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0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PPSB_PCHS_2026\PPSB_PCHS_2026_Feedmill Stock Report (Current)\"/>
    </mc:Choice>
  </mc:AlternateContent>
  <xr:revisionPtr revIDLastSave="0" documentId="8_{AD6A3221-CCCC-4222-85D7-4CDF6D369767}" xr6:coauthVersionLast="47" xr6:coauthVersionMax="47" xr10:uidLastSave="{00000000-0000-0000-0000-000000000000}"/>
  <bookViews>
    <workbookView xWindow="-108" yWindow="-108" windowWidth="23256" windowHeight="12456" tabRatio="845" firstSheet="2" activeTab="2" xr2:uid="{00000000-000D-0000-FFFF-FFFF00000000}"/>
  </bookViews>
  <sheets>
    <sheet name="FORMULA" sheetId="6" r:id="rId1"/>
    <sheet name="PRODUCE" sheetId="7" r:id="rId2"/>
    <sheet name="VAC &amp; MED" sheetId="1" r:id="rId3"/>
    <sheet name="SUMMARY" sheetId="5" r:id="rId4"/>
    <sheet name="Jan26" sheetId="17" r:id="rId5"/>
    <sheet name="Feb26" sheetId="18" r:id="rId6"/>
    <sheet name="Mar26" sheetId="19" r:id="rId7"/>
    <sheet name="Apr26" sheetId="20" r:id="rId8"/>
    <sheet name="May26" sheetId="21" r:id="rId9"/>
    <sheet name="Jun26" sheetId="8" r:id="rId10"/>
    <sheet name="Jul26" sheetId="11" r:id="rId11"/>
    <sheet name="Aug26" sheetId="12" r:id="rId12"/>
    <sheet name="Sept26" sheetId="13" r:id="rId13"/>
    <sheet name="Oct26" sheetId="14" r:id="rId14"/>
    <sheet name="Nov26" sheetId="15" r:id="rId15"/>
    <sheet name="Dec26" sheetId="16" r:id="rId16"/>
  </sheets>
  <definedNames>
    <definedName name="_xlnm._FilterDatabase" localSheetId="7" hidden="1">'Apr26'!$A$2:$AC$68</definedName>
    <definedName name="_xlnm._FilterDatabase" localSheetId="11" hidden="1">'Aug26'!$A$2:$X$73</definedName>
    <definedName name="_xlnm._FilterDatabase" localSheetId="15" hidden="1">'Dec26'!$A$2:$X$71</definedName>
    <definedName name="_xlnm._FilterDatabase" localSheetId="5" hidden="1">'Feb26'!$A$2:$AC$93</definedName>
    <definedName name="_xlnm._FilterDatabase" localSheetId="4" hidden="1">'Jan26'!$A$2:$AC$92</definedName>
    <definedName name="_xlnm._FilterDatabase" localSheetId="10" hidden="1">'Jul26'!$A$2:$X$81</definedName>
    <definedName name="_xlnm._FilterDatabase" localSheetId="9" hidden="1">'Jun26'!$A$2:$AC$72</definedName>
    <definedName name="_xlnm._FilterDatabase" localSheetId="6" hidden="1">'Mar26'!$A$2:$AC$90</definedName>
    <definedName name="_xlnm._FilterDatabase" localSheetId="8" hidden="1">'May26'!$A$2:$AD$72</definedName>
    <definedName name="_xlnm._FilterDatabase" localSheetId="14" hidden="1">'Nov26'!$A$2:$X$72</definedName>
    <definedName name="_xlnm._FilterDatabase" localSheetId="13" hidden="1">'Oct26'!$A$2:$X$71</definedName>
    <definedName name="_xlnm._FilterDatabase" localSheetId="12" hidden="1">Sept26!$A$2:$X$72</definedName>
    <definedName name="_xlnm.Print_Titles" localSheetId="2">'VAC &amp; MED'!$2:$2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T5" i="7" l="1"/>
  <c r="ES5" i="7"/>
  <c r="ER5" i="7"/>
  <c r="E256" i="1"/>
  <c r="EC5" i="7"/>
  <c r="ED5" i="7"/>
  <c r="EC6" i="7"/>
  <c r="ED6" i="7"/>
  <c r="C3" i="7"/>
  <c r="CB3" i="7"/>
  <c r="D4" i="17"/>
  <c r="D4" i="11"/>
  <c r="D46" i="5"/>
  <c r="BS3" i="7"/>
  <c r="EU5" i="7"/>
  <c r="C258" i="7"/>
  <c r="D18" i="6"/>
  <c r="D13" i="6"/>
  <c r="D11" i="6"/>
  <c r="D7" i="6"/>
  <c r="B7" i="6"/>
  <c r="D6" i="6"/>
  <c r="B6" i="6"/>
  <c r="H45" i="12"/>
  <c r="H80" i="11"/>
  <c r="F256" i="1"/>
  <c r="B256" i="1"/>
  <c r="M228" i="1"/>
  <c r="D224" i="1"/>
  <c r="D151" i="8"/>
  <c r="G85" i="8"/>
  <c r="L85" i="8"/>
  <c r="IJ273" i="1"/>
  <c r="IJ265" i="1"/>
  <c r="JB272" i="1"/>
  <c r="IY265" i="1"/>
  <c r="JB265" i="1"/>
  <c r="IS260" i="1"/>
  <c r="MT266" i="1"/>
  <c r="MT265" i="1"/>
  <c r="MT260" i="1"/>
  <c r="MT258" i="1"/>
  <c r="IS258" i="1"/>
  <c r="QX266" i="1"/>
  <c r="BZ265" i="1"/>
  <c r="BZ260" i="1"/>
  <c r="BZ258" i="1"/>
  <c r="FX258" i="1"/>
  <c r="QF265" i="1"/>
  <c r="HX269" i="1"/>
  <c r="IA269" i="1" s="1"/>
  <c r="IA260" i="1" l="1"/>
  <c r="IA258" i="1"/>
  <c r="HX265" i="1"/>
  <c r="IA265" i="1" s="1"/>
  <c r="CC82" i="1"/>
  <c r="CD82" i="1" s="1"/>
  <c r="G138" i="8"/>
  <c r="E138" i="8"/>
  <c r="D138" i="8"/>
  <c r="H136" i="8"/>
  <c r="QD246" i="1" l="1"/>
  <c r="CI248" i="1"/>
  <c r="BZ248" i="1"/>
  <c r="OM248" i="1"/>
  <c r="NC248" i="1"/>
  <c r="MT248" i="1"/>
  <c r="IS248" i="1"/>
  <c r="IS231" i="1"/>
  <c r="IP241" i="1"/>
  <c r="IS241" i="1" s="1"/>
  <c r="QF241" i="1" l="1"/>
  <c r="FU241" i="1"/>
  <c r="FX241" i="1" s="1"/>
  <c r="OM241" i="1"/>
  <c r="NC241" i="1"/>
  <c r="MT241" i="1"/>
  <c r="CI241" i="1"/>
  <c r="BZ241" i="1"/>
  <c r="IP234" i="1"/>
  <c r="IS234" i="1"/>
  <c r="IA234" i="1"/>
  <c r="OM234" i="1"/>
  <c r="NC234" i="1"/>
  <c r="MT234" i="1"/>
  <c r="CI234" i="1"/>
  <c r="BZ234" i="1"/>
  <c r="OM230" i="1"/>
  <c r="CI230" i="1"/>
  <c r="NC230" i="1"/>
  <c r="MT230" i="1"/>
  <c r="BZ230" i="1"/>
  <c r="IS227" i="1"/>
  <c r="IA227" i="1"/>
  <c r="OM227" i="1"/>
  <c r="NC227" i="1"/>
  <c r="MT227" i="1"/>
  <c r="CI227" i="1"/>
  <c r="EK227" i="1"/>
  <c r="OM224" i="1"/>
  <c r="NC224" i="1"/>
  <c r="EK224" i="1"/>
  <c r="CI224" i="1"/>
  <c r="MT224" i="1"/>
  <c r="OM221" i="1"/>
  <c r="NC221" i="1"/>
  <c r="MT221" i="1"/>
  <c r="CI221" i="1"/>
  <c r="EK221" i="1"/>
  <c r="IS220" i="1"/>
  <c r="IA220" i="1"/>
  <c r="IA208" i="1"/>
  <c r="MT220" i="1"/>
  <c r="NC220" i="1"/>
  <c r="CI220" i="1"/>
  <c r="GD192" i="1"/>
  <c r="UA192" i="1"/>
  <c r="TR192" i="1"/>
  <c r="D182" i="8"/>
  <c r="D176" i="8"/>
  <c r="D170" i="8"/>
  <c r="D164" i="8"/>
  <c r="FU192" i="1" l="1"/>
  <c r="FX192" i="1" s="1"/>
  <c r="F85" i="8"/>
  <c r="H85" i="8" s="1"/>
  <c r="F76" i="8"/>
  <c r="H135" i="8"/>
  <c r="H134" i="8"/>
  <c r="H133" i="8"/>
  <c r="H132" i="8"/>
  <c r="H131" i="8"/>
  <c r="H128" i="8"/>
  <c r="H127" i="8"/>
  <c r="H126" i="8"/>
  <c r="H125" i="8"/>
  <c r="H124" i="8"/>
  <c r="H123" i="8"/>
  <c r="H122" i="8"/>
  <c r="H121" i="8"/>
  <c r="H120" i="8"/>
  <c r="H119" i="8"/>
  <c r="H118" i="8"/>
  <c r="H117" i="8"/>
  <c r="H116" i="8"/>
  <c r="H115" i="8"/>
  <c r="H114" i="8"/>
  <c r="H113" i="8"/>
  <c r="H112" i="8"/>
  <c r="H111" i="8"/>
  <c r="H110" i="8"/>
  <c r="H109" i="8"/>
  <c r="H108" i="8"/>
  <c r="H107" i="8"/>
  <c r="H106" i="8"/>
  <c r="H105" i="8"/>
  <c r="H104" i="8"/>
  <c r="H103" i="8"/>
  <c r="H102" i="8"/>
  <c r="H101" i="8"/>
  <c r="H100" i="8"/>
  <c r="H99" i="8"/>
  <c r="H98" i="8"/>
  <c r="H97" i="8"/>
  <c r="H96" i="8"/>
  <c r="H95" i="8"/>
  <c r="H94" i="8"/>
  <c r="H93" i="8"/>
  <c r="H92" i="8"/>
  <c r="H91" i="8"/>
  <c r="H88" i="8"/>
  <c r="H87" i="8"/>
  <c r="H86" i="8"/>
  <c r="H84" i="8"/>
  <c r="H83" i="8"/>
  <c r="H82" i="8"/>
  <c r="H81" i="8"/>
  <c r="H80" i="8"/>
  <c r="H79" i="8"/>
  <c r="H78" i="8"/>
  <c r="H77" i="8"/>
  <c r="H76" i="8" l="1"/>
  <c r="H138" i="8" s="1"/>
  <c r="F138" i="8"/>
  <c r="G126" i="21"/>
  <c r="D207" i="21"/>
  <c r="G139" i="21" l="1"/>
  <c r="E139" i="21"/>
  <c r="D139" i="21"/>
  <c r="D193" i="21"/>
  <c r="D180" i="21"/>
  <c r="D174" i="21"/>
  <c r="AY160" i="1" l="1"/>
  <c r="H129" i="21"/>
  <c r="H124" i="21"/>
  <c r="H123" i="21" l="1"/>
  <c r="H128" i="21"/>
  <c r="H109" i="21"/>
  <c r="H88" i="21" l="1"/>
  <c r="H84" i="21"/>
  <c r="H127" i="21"/>
  <c r="H112" i="21" l="1"/>
  <c r="H108" i="21"/>
  <c r="NA175" i="1"/>
  <c r="NA161" i="1"/>
  <c r="NA158" i="1"/>
  <c r="NA154" i="1"/>
  <c r="KY136" i="1"/>
  <c r="IG154" i="1"/>
  <c r="I114" i="19"/>
  <c r="J171" i="20"/>
  <c r="OM209" i="1" l="1"/>
  <c r="MT209" i="1"/>
  <c r="MT208" i="1"/>
  <c r="NC209" i="1"/>
  <c r="NC208" i="1"/>
  <c r="CI209" i="1"/>
  <c r="CI208" i="1"/>
  <c r="BZ208" i="1"/>
  <c r="GY194" i="1"/>
  <c r="JT194" i="1"/>
  <c r="IS194" i="1"/>
  <c r="OM194" i="1"/>
  <c r="NC194" i="1"/>
  <c r="CI194" i="1"/>
  <c r="BZ194" i="1"/>
  <c r="QM186" i="1" l="1"/>
  <c r="QO169" i="1" l="1"/>
  <c r="QM171" i="1"/>
  <c r="QM158" i="1"/>
  <c r="QD154" i="1"/>
  <c r="GV187" i="1" l="1"/>
  <c r="GY187" i="1" s="1"/>
  <c r="JQ187" i="1"/>
  <c r="JT187" i="1" s="1"/>
  <c r="H125" i="21"/>
  <c r="H126" i="21"/>
  <c r="H82" i="21" l="1"/>
  <c r="OM187" i="1"/>
  <c r="NC187" i="1"/>
  <c r="CI187" i="1"/>
  <c r="BZ187" i="1"/>
  <c r="B208" i="1" l="1"/>
  <c r="AB535" i="6"/>
  <c r="AB534" i="6"/>
  <c r="AB545" i="6"/>
  <c r="AB542" i="6"/>
  <c r="AB541" i="6"/>
  <c r="AB540" i="6"/>
  <c r="AB536" i="6"/>
  <c r="V535" i="6"/>
  <c r="V534" i="6"/>
  <c r="T534" i="6"/>
  <c r="Z535" i="6" l="1"/>
  <c r="Z534" i="6"/>
  <c r="GG161" i="1" l="1"/>
  <c r="F80" i="21"/>
  <c r="H80" i="21" s="1"/>
  <c r="F79" i="21"/>
  <c r="CI176" i="1"/>
  <c r="CI175" i="1"/>
  <c r="H137" i="21"/>
  <c r="H136" i="21"/>
  <c r="H135" i="21"/>
  <c r="H134" i="21"/>
  <c r="H133" i="21"/>
  <c r="H132" i="21"/>
  <c r="H122" i="21"/>
  <c r="H121" i="21"/>
  <c r="H120" i="21"/>
  <c r="H119" i="21"/>
  <c r="H118" i="21"/>
  <c r="H117" i="21"/>
  <c r="H116" i="21"/>
  <c r="H115" i="21"/>
  <c r="H114" i="21"/>
  <c r="H113" i="21"/>
  <c r="H111" i="21"/>
  <c r="H110" i="21"/>
  <c r="H107" i="21"/>
  <c r="H106" i="21"/>
  <c r="H105" i="21"/>
  <c r="H104" i="21"/>
  <c r="H103" i="21"/>
  <c r="H102" i="21"/>
  <c r="H101" i="21"/>
  <c r="H100" i="21"/>
  <c r="H99" i="21"/>
  <c r="H98" i="21"/>
  <c r="H97" i="21"/>
  <c r="H96" i="21"/>
  <c r="H95" i="21"/>
  <c r="H94" i="21"/>
  <c r="H93" i="21"/>
  <c r="H92" i="21"/>
  <c r="H91" i="21"/>
  <c r="H87" i="21"/>
  <c r="H86" i="21"/>
  <c r="H85" i="21"/>
  <c r="H83" i="21"/>
  <c r="H81" i="21"/>
  <c r="H78" i="21"/>
  <c r="H77" i="21"/>
  <c r="H76" i="21"/>
  <c r="H79" i="21" l="1"/>
  <c r="H139" i="21" s="1"/>
  <c r="F139" i="21"/>
  <c r="OM169" i="1"/>
  <c r="CI169" i="1"/>
  <c r="BZ175" i="1"/>
  <c r="UJ142" i="1" l="1"/>
  <c r="UA142" i="1"/>
  <c r="TR142" i="1"/>
  <c r="TI142" i="1"/>
  <c r="US142" i="1"/>
  <c r="L262" i="20" l="1"/>
  <c r="BZ141" i="1" l="1"/>
  <c r="XM159" i="1"/>
  <c r="UJ176" i="1"/>
  <c r="US176" i="1"/>
  <c r="JB175" i="1" l="1"/>
  <c r="JT175" i="1"/>
  <c r="IA175" i="1"/>
  <c r="GP175" i="1"/>
  <c r="NC175" i="1"/>
  <c r="GY169" i="1"/>
  <c r="JT169" i="1"/>
  <c r="JB169" i="1"/>
  <c r="IS169" i="1"/>
  <c r="GP169" i="1"/>
  <c r="B195" i="1" l="1"/>
  <c r="XM195" i="1"/>
  <c r="B194" i="1"/>
  <c r="BQ188" i="1" l="1"/>
  <c r="X188" i="1" l="1"/>
  <c r="O188" i="1"/>
  <c r="F188" i="1"/>
  <c r="B193" i="1" l="1"/>
  <c r="B190" i="1"/>
  <c r="B188" i="1"/>
  <c r="B186" i="1"/>
  <c r="GP161" i="1"/>
  <c r="GV161" i="1"/>
  <c r="GY161" i="1" s="1"/>
  <c r="JQ161" i="1"/>
  <c r="JT161" i="1" s="1"/>
  <c r="HX161" i="1"/>
  <c r="IA161" i="1" s="1"/>
  <c r="NC161" i="1"/>
  <c r="MT161" i="1"/>
  <c r="CI161" i="1"/>
  <c r="KR158" i="1"/>
  <c r="HX158" i="1"/>
  <c r="IA158" i="1" s="1"/>
  <c r="NC158" i="1"/>
  <c r="CI158" i="1"/>
  <c r="BZ158" i="1"/>
  <c r="JQ154" i="1"/>
  <c r="JT154" i="1" s="1"/>
  <c r="JK154" i="1" l="1"/>
  <c r="JH154" i="1"/>
  <c r="HX154" i="1"/>
  <c r="IA154" i="1" s="1"/>
  <c r="GM154" i="1"/>
  <c r="GP154" i="1" s="1"/>
  <c r="QO154" i="1"/>
  <c r="QF154" i="1"/>
  <c r="NC154" i="1"/>
  <c r="MT154" i="1"/>
  <c r="CI154" i="1"/>
  <c r="JK152" i="1"/>
  <c r="JH152" i="1"/>
  <c r="BQ154" i="1"/>
  <c r="BH154" i="1"/>
  <c r="X154" i="1"/>
  <c r="O154" i="1"/>
  <c r="F154" i="1"/>
  <c r="X164" i="1"/>
  <c r="X162" i="1"/>
  <c r="Z541" i="6" l="1"/>
  <c r="V541" i="6"/>
  <c r="T541" i="6"/>
  <c r="D243" i="6" l="1"/>
  <c r="D191" i="6"/>
  <c r="D189" i="6"/>
  <c r="D194" i="6"/>
  <c r="D188" i="6"/>
  <c r="D187" i="6"/>
  <c r="D184" i="6"/>
  <c r="D183" i="6"/>
  <c r="D182" i="6"/>
  <c r="F150" i="1"/>
  <c r="B171" i="1"/>
  <c r="Z542" i="6"/>
  <c r="Z545" i="6"/>
  <c r="Z540" i="6"/>
  <c r="Z536" i="6"/>
  <c r="V545" i="6"/>
  <c r="V542" i="6"/>
  <c r="V536" i="6"/>
  <c r="T542" i="6"/>
  <c r="T536" i="6"/>
  <c r="T535" i="6"/>
  <c r="P534" i="6"/>
  <c r="P545" i="6" l="1"/>
  <c r="P542" i="6"/>
  <c r="P536" i="6"/>
  <c r="P535" i="6"/>
  <c r="N545" i="6"/>
  <c r="N542" i="6"/>
  <c r="N536" i="6"/>
  <c r="N535" i="6"/>
  <c r="N534" i="6"/>
  <c r="T545" i="6"/>
  <c r="B164" i="1" l="1"/>
  <c r="V504" i="6" l="1"/>
  <c r="V528" i="6" s="1"/>
  <c r="V486" i="6"/>
  <c r="V453" i="6"/>
  <c r="V452" i="6"/>
  <c r="V451" i="6"/>
  <c r="V449" i="6"/>
  <c r="V448" i="6"/>
  <c r="V447" i="6"/>
  <c r="V446" i="6"/>
  <c r="AE528" i="6"/>
  <c r="AD528" i="6"/>
  <c r="AC528" i="6"/>
  <c r="AB528" i="6"/>
  <c r="AA528" i="6"/>
  <c r="Z528" i="6"/>
  <c r="Y528" i="6"/>
  <c r="X528" i="6"/>
  <c r="U528" i="6"/>
  <c r="T528" i="6"/>
  <c r="S528" i="6"/>
  <c r="R528" i="6"/>
  <c r="Q528" i="6"/>
  <c r="P528" i="6"/>
  <c r="O528" i="6"/>
  <c r="N528" i="6"/>
  <c r="M528" i="6"/>
  <c r="L528" i="6"/>
  <c r="K528" i="6"/>
  <c r="J528" i="6"/>
  <c r="I528" i="6"/>
  <c r="H528" i="6"/>
  <c r="G528" i="6"/>
  <c r="F528" i="6"/>
  <c r="E528" i="6"/>
  <c r="D528" i="6"/>
  <c r="T504" i="6"/>
  <c r="T490" i="6"/>
  <c r="T486" i="6"/>
  <c r="T468" i="6"/>
  <c r="T453" i="6"/>
  <c r="T451" i="6"/>
  <c r="T449" i="6"/>
  <c r="T448" i="6"/>
  <c r="T447" i="6"/>
  <c r="T446" i="6"/>
  <c r="F159" i="1"/>
  <c r="B159" i="1"/>
  <c r="B157" i="1"/>
  <c r="B154" i="1"/>
  <c r="CB161" i="7"/>
  <c r="AD408" i="6"/>
  <c r="AD403" i="6"/>
  <c r="AD401" i="6"/>
  <c r="AD358" i="6"/>
  <c r="AB403" i="6"/>
  <c r="AB358" i="6"/>
  <c r="AD398" i="6"/>
  <c r="AD367" i="6"/>
  <c r="AD365" i="6"/>
  <c r="AD364" i="6"/>
  <c r="AD360" i="6"/>
  <c r="AD359" i="6"/>
  <c r="AB407" i="6"/>
  <c r="AB398" i="6"/>
  <c r="AB367" i="6"/>
  <c r="AB365" i="6"/>
  <c r="AB364" i="6"/>
  <c r="AB360" i="6"/>
  <c r="AB359" i="6"/>
  <c r="V408" i="6"/>
  <c r="V398" i="6"/>
  <c r="V367" i="6"/>
  <c r="V365" i="6"/>
  <c r="V364" i="6"/>
  <c r="V360" i="6"/>
  <c r="V359" i="6"/>
  <c r="V358" i="6"/>
  <c r="T408" i="6"/>
  <c r="T398" i="6"/>
  <c r="T367" i="6"/>
  <c r="T365" i="6"/>
  <c r="T364" i="6"/>
  <c r="T360" i="6"/>
  <c r="T359" i="6"/>
  <c r="T358" i="6"/>
  <c r="Q387" i="6"/>
  <c r="R407" i="6"/>
  <c r="R398" i="6"/>
  <c r="R367" i="6"/>
  <c r="R365" i="6"/>
  <c r="R364" i="6"/>
  <c r="R360" i="6"/>
  <c r="R359" i="6"/>
  <c r="R358" i="6"/>
  <c r="P407" i="6"/>
  <c r="P367" i="6"/>
  <c r="P365" i="6"/>
  <c r="P364" i="6"/>
  <c r="P360" i="6"/>
  <c r="P359" i="6"/>
  <c r="P358" i="6"/>
  <c r="B150" i="1"/>
  <c r="L263" i="20"/>
  <c r="L261" i="20"/>
  <c r="L260" i="20"/>
  <c r="L259" i="20"/>
  <c r="G442" i="19"/>
  <c r="D442" i="19"/>
  <c r="H440" i="19"/>
  <c r="H439" i="19"/>
  <c r="H438" i="19"/>
  <c r="H437" i="19"/>
  <c r="H436" i="19"/>
  <c r="H435" i="19"/>
  <c r="H432" i="19"/>
  <c r="H431" i="19"/>
  <c r="H430" i="19"/>
  <c r="H429" i="19"/>
  <c r="H428" i="19"/>
  <c r="H427" i="19"/>
  <c r="H426" i="19"/>
  <c r="H425" i="19"/>
  <c r="H424" i="19"/>
  <c r="H423" i="19"/>
  <c r="H422" i="19"/>
  <c r="H421" i="19"/>
  <c r="H420" i="19"/>
  <c r="H419" i="19"/>
  <c r="E418" i="19"/>
  <c r="H418" i="19" s="1"/>
  <c r="E417" i="19"/>
  <c r="H417" i="19" s="1"/>
  <c r="E416" i="19"/>
  <c r="H416" i="19" s="1"/>
  <c r="H415" i="19"/>
  <c r="H414" i="19"/>
  <c r="H413" i="19"/>
  <c r="H412" i="19"/>
  <c r="H411" i="19"/>
  <c r="H410" i="19"/>
  <c r="H409" i="19"/>
  <c r="H408" i="19"/>
  <c r="H407" i="19"/>
  <c r="H404" i="19"/>
  <c r="H403" i="19"/>
  <c r="H402" i="19"/>
  <c r="H401" i="19"/>
  <c r="H400" i="19"/>
  <c r="H399" i="19"/>
  <c r="H398" i="19"/>
  <c r="H397" i="19"/>
  <c r="G397" i="19"/>
  <c r="F396" i="19"/>
  <c r="H396" i="19" s="1"/>
  <c r="H395" i="19"/>
  <c r="H394" i="19"/>
  <c r="E393" i="19"/>
  <c r="E442" i="19" s="1"/>
  <c r="F392" i="19"/>
  <c r="F442" i="19" s="1"/>
  <c r="G289" i="20"/>
  <c r="D289" i="20"/>
  <c r="H287" i="20"/>
  <c r="H286" i="20"/>
  <c r="H285" i="20"/>
  <c r="H284" i="20"/>
  <c r="H283" i="20"/>
  <c r="H282" i="20"/>
  <c r="H279" i="20"/>
  <c r="H278" i="20"/>
  <c r="H277" i="20"/>
  <c r="H276" i="20"/>
  <c r="H275" i="20"/>
  <c r="H274" i="20"/>
  <c r="H273" i="20"/>
  <c r="H272" i="20"/>
  <c r="H271" i="20"/>
  <c r="F270" i="20"/>
  <c r="H270" i="20" s="1"/>
  <c r="H269" i="20"/>
  <c r="H268" i="20"/>
  <c r="H267" i="20"/>
  <c r="H266" i="20"/>
  <c r="H265" i="20"/>
  <c r="H264" i="20"/>
  <c r="H263" i="20"/>
  <c r="H262" i="20"/>
  <c r="F261" i="20"/>
  <c r="H261" i="20" s="1"/>
  <c r="F260" i="20"/>
  <c r="H260" i="20" s="1"/>
  <c r="H259" i="20"/>
  <c r="H258" i="20"/>
  <c r="H257" i="20"/>
  <c r="H256" i="20"/>
  <c r="H255" i="20"/>
  <c r="H254" i="20"/>
  <c r="H253" i="20"/>
  <c r="H252" i="20"/>
  <c r="H251" i="20"/>
  <c r="H250" i="20"/>
  <c r="F247" i="20"/>
  <c r="F289" i="20" s="1"/>
  <c r="H246" i="20"/>
  <c r="H245" i="20"/>
  <c r="H244" i="20"/>
  <c r="H243" i="20"/>
  <c r="H242" i="20"/>
  <c r="H241" i="20"/>
  <c r="E240" i="20"/>
  <c r="H240" i="20" s="1"/>
  <c r="H239" i="20"/>
  <c r="H238" i="20"/>
  <c r="H237" i="20"/>
  <c r="E236" i="20"/>
  <c r="E289" i="20" s="1"/>
  <c r="H235" i="20"/>
  <c r="F188" i="20"/>
  <c r="H188" i="20" s="1"/>
  <c r="F179" i="20"/>
  <c r="F178" i="20"/>
  <c r="H178" i="20" s="1"/>
  <c r="G207" i="20"/>
  <c r="D207" i="20"/>
  <c r="H205" i="20"/>
  <c r="H204" i="20"/>
  <c r="H203" i="20"/>
  <c r="H202" i="20"/>
  <c r="H201" i="20"/>
  <c r="H200" i="20"/>
  <c r="H197" i="20"/>
  <c r="H196" i="20"/>
  <c r="H195" i="20"/>
  <c r="H194" i="20"/>
  <c r="H193" i="20"/>
  <c r="H192" i="20"/>
  <c r="H191" i="20"/>
  <c r="H190" i="20"/>
  <c r="H189" i="20"/>
  <c r="H187" i="20"/>
  <c r="H186" i="20"/>
  <c r="H185" i="20"/>
  <c r="H184" i="20"/>
  <c r="H183" i="20"/>
  <c r="H182" i="20"/>
  <c r="H181" i="20"/>
  <c r="H180" i="20"/>
  <c r="H177" i="20"/>
  <c r="H176" i="20"/>
  <c r="H175" i="20"/>
  <c r="H174" i="20"/>
  <c r="H173" i="20"/>
  <c r="H172" i="20"/>
  <c r="H171" i="20"/>
  <c r="H170" i="20"/>
  <c r="H169" i="20"/>
  <c r="H168" i="20"/>
  <c r="F165" i="20"/>
  <c r="H165" i="20" s="1"/>
  <c r="H164" i="20"/>
  <c r="H163" i="20"/>
  <c r="H162" i="20"/>
  <c r="H161" i="20"/>
  <c r="H160" i="20"/>
  <c r="H159" i="20"/>
  <c r="E158" i="20"/>
  <c r="H158" i="20" s="1"/>
  <c r="H157" i="20"/>
  <c r="H156" i="20"/>
  <c r="H155" i="20"/>
  <c r="E154" i="20"/>
  <c r="E207" i="20" s="1"/>
  <c r="H153" i="20"/>
  <c r="H392" i="19" l="1"/>
  <c r="H393" i="19"/>
  <c r="H236" i="20"/>
  <c r="H289" i="20" s="1"/>
  <c r="H247" i="20"/>
  <c r="H154" i="20"/>
  <c r="F207" i="20"/>
  <c r="H179" i="20"/>
  <c r="E73" i="20"/>
  <c r="H111" i="20"/>
  <c r="H279" i="19"/>
  <c r="H442" i="19" l="1"/>
  <c r="H207" i="20"/>
  <c r="NU121" i="1"/>
  <c r="G126" i="20"/>
  <c r="D126" i="20"/>
  <c r="H116" i="20"/>
  <c r="H115" i="20"/>
  <c r="LA131" i="1"/>
  <c r="D292" i="19"/>
  <c r="H290" i="19"/>
  <c r="H289" i="19"/>
  <c r="H288" i="19"/>
  <c r="H287" i="19"/>
  <c r="H286" i="19"/>
  <c r="H285" i="19"/>
  <c r="H282" i="19"/>
  <c r="H281" i="19"/>
  <c r="H280" i="19"/>
  <c r="H278" i="19"/>
  <c r="H277" i="19"/>
  <c r="H276" i="19"/>
  <c r="H275" i="19"/>
  <c r="H274" i="19"/>
  <c r="H273" i="19"/>
  <c r="H272" i="19"/>
  <c r="H271" i="19"/>
  <c r="H270" i="19"/>
  <c r="H269" i="19"/>
  <c r="E268" i="19"/>
  <c r="H268" i="19" s="1"/>
  <c r="E267" i="19"/>
  <c r="H267" i="19" s="1"/>
  <c r="E266" i="19"/>
  <c r="H266" i="19" s="1"/>
  <c r="H265" i="19"/>
  <c r="H264" i="19"/>
  <c r="H263" i="19"/>
  <c r="H262" i="19"/>
  <c r="H261" i="19"/>
  <c r="H260" i="19"/>
  <c r="H259" i="19"/>
  <c r="H258" i="19"/>
  <c r="H257" i="19"/>
  <c r="H254" i="19"/>
  <c r="H253" i="19"/>
  <c r="H252" i="19"/>
  <c r="H251" i="19"/>
  <c r="H250" i="19"/>
  <c r="H249" i="19"/>
  <c r="H248" i="19"/>
  <c r="G247" i="19"/>
  <c r="H247" i="19" s="1"/>
  <c r="F246" i="19"/>
  <c r="H246" i="19" s="1"/>
  <c r="H245" i="19"/>
  <c r="H244" i="19"/>
  <c r="E243" i="19"/>
  <c r="F242" i="19"/>
  <c r="KR54" i="1"/>
  <c r="G227" i="18"/>
  <c r="D227" i="18"/>
  <c r="H225" i="18"/>
  <c r="H224" i="18"/>
  <c r="H223" i="18"/>
  <c r="H222" i="18"/>
  <c r="H221" i="18"/>
  <c r="H220" i="18"/>
  <c r="H217" i="18"/>
  <c r="H216" i="18"/>
  <c r="H215" i="18"/>
  <c r="H214" i="18"/>
  <c r="H213" i="18"/>
  <c r="H212" i="18"/>
  <c r="H211" i="18"/>
  <c r="H210" i="18"/>
  <c r="H209" i="18"/>
  <c r="H208" i="18"/>
  <c r="H207" i="18"/>
  <c r="E206" i="18"/>
  <c r="H206" i="18" s="1"/>
  <c r="H205" i="18"/>
  <c r="H204" i="18"/>
  <c r="H203" i="18"/>
  <c r="H202" i="18"/>
  <c r="H201" i="18"/>
  <c r="H200" i="18"/>
  <c r="H199" i="18"/>
  <c r="H198" i="18"/>
  <c r="H197" i="18"/>
  <c r="H196" i="18"/>
  <c r="H195" i="18"/>
  <c r="H194" i="18"/>
  <c r="H193" i="18"/>
  <c r="H192" i="18"/>
  <c r="H189" i="18"/>
  <c r="H188" i="18"/>
  <c r="F187" i="18"/>
  <c r="H186" i="18"/>
  <c r="H185" i="18"/>
  <c r="H184" i="18"/>
  <c r="H183" i="18"/>
  <c r="H182" i="18"/>
  <c r="E181" i="18"/>
  <c r="H181" i="18" s="1"/>
  <c r="H180" i="18"/>
  <c r="E179" i="18"/>
  <c r="H179" i="18" s="1"/>
  <c r="F178" i="18"/>
  <c r="H178" i="18" s="1"/>
  <c r="F177" i="18"/>
  <c r="H177" i="18" s="1"/>
  <c r="KI68" i="1"/>
  <c r="KI54" i="1"/>
  <c r="JV71" i="1"/>
  <c r="F292" i="19" l="1"/>
  <c r="E292" i="19"/>
  <c r="G292" i="19"/>
  <c r="H242" i="19"/>
  <c r="H243" i="19"/>
  <c r="H227" i="18"/>
  <c r="E227" i="18"/>
  <c r="F227" i="18"/>
  <c r="H292" i="19" l="1"/>
  <c r="F84" i="20"/>
  <c r="E77" i="20"/>
  <c r="E126" i="20" s="1"/>
  <c r="H124" i="20"/>
  <c r="H123" i="20"/>
  <c r="H122" i="20"/>
  <c r="H121" i="20"/>
  <c r="H120" i="20"/>
  <c r="H119" i="20"/>
  <c r="H114" i="20"/>
  <c r="H113" i="20"/>
  <c r="H112" i="20"/>
  <c r="H110" i="20"/>
  <c r="H109" i="20"/>
  <c r="H108" i="20"/>
  <c r="H107" i="20"/>
  <c r="H106" i="20"/>
  <c r="H105" i="20"/>
  <c r="H104" i="20"/>
  <c r="H103" i="20"/>
  <c r="H102" i="20"/>
  <c r="H101" i="20"/>
  <c r="H100" i="20"/>
  <c r="I100" i="20" s="1"/>
  <c r="H99" i="20"/>
  <c r="I99" i="20" s="1"/>
  <c r="H98" i="20"/>
  <c r="I98" i="20" s="1"/>
  <c r="H97" i="20"/>
  <c r="I97" i="20" s="1"/>
  <c r="H96" i="20"/>
  <c r="I96" i="20" s="1"/>
  <c r="H95" i="20"/>
  <c r="I95" i="20" s="1"/>
  <c r="H94" i="20"/>
  <c r="I94" i="20" s="1"/>
  <c r="H93" i="20"/>
  <c r="I93" i="20" s="1"/>
  <c r="H92" i="20"/>
  <c r="I92" i="20" s="1"/>
  <c r="H91" i="20"/>
  <c r="I91" i="20" s="1"/>
  <c r="H90" i="20"/>
  <c r="I90" i="20" s="1"/>
  <c r="H89" i="20"/>
  <c r="I89" i="20" s="1"/>
  <c r="H88" i="20"/>
  <c r="I88" i="20" s="1"/>
  <c r="H87" i="20"/>
  <c r="I87" i="20" s="1"/>
  <c r="H83" i="20"/>
  <c r="H82" i="20"/>
  <c r="H81" i="20"/>
  <c r="H80" i="20"/>
  <c r="H79" i="20"/>
  <c r="H78" i="20"/>
  <c r="H76" i="20"/>
  <c r="H75" i="20"/>
  <c r="H74" i="20"/>
  <c r="H73" i="20"/>
  <c r="H72" i="20"/>
  <c r="LH131" i="1"/>
  <c r="KW122" i="1"/>
  <c r="KY131" i="1"/>
  <c r="KW131" i="1" s="1"/>
  <c r="KG118" i="1"/>
  <c r="H77" i="20" l="1"/>
  <c r="H84" i="20"/>
  <c r="F126" i="20"/>
  <c r="HV141" i="1"/>
  <c r="GB126" i="1"/>
  <c r="FS125" i="1"/>
  <c r="H126" i="20" l="1"/>
  <c r="GM141" i="1"/>
  <c r="GP141" i="1" s="1"/>
  <c r="GD141" i="1"/>
  <c r="GG141" i="1" s="1"/>
  <c r="JH141" i="1"/>
  <c r="JK141" i="1" s="1"/>
  <c r="HX141" i="1"/>
  <c r="IA141" i="1" s="1"/>
  <c r="KR141" i="1"/>
  <c r="KU141" i="1" s="1"/>
  <c r="CI141" i="1"/>
  <c r="NC141" i="1"/>
  <c r="MT141" i="1"/>
  <c r="JH138" i="1"/>
  <c r="JK138" i="1" s="1"/>
  <c r="HX138" i="1"/>
  <c r="IA138" i="1" s="1"/>
  <c r="NC138" i="1"/>
  <c r="CI138" i="1"/>
  <c r="JK136" i="1"/>
  <c r="GM136" i="1"/>
  <c r="GP136" i="1" s="1"/>
  <c r="GG136" i="1"/>
  <c r="GD136" i="1"/>
  <c r="JH136" i="1"/>
  <c r="KR136" i="1"/>
  <c r="KU136" i="1" s="1"/>
  <c r="SQ136" i="1"/>
  <c r="ABH142" i="1"/>
  <c r="AAY142" i="1"/>
  <c r="AAP142" i="1"/>
  <c r="AAG142" i="1"/>
  <c r="ZX142" i="1"/>
  <c r="ZO142" i="1"/>
  <c r="ZF142" i="1"/>
  <c r="YW142" i="1"/>
  <c r="YN142" i="1"/>
  <c r="YE142" i="1"/>
  <c r="XV142" i="1"/>
  <c r="XM142" i="1"/>
  <c r="XD142" i="1"/>
  <c r="WU142" i="1"/>
  <c r="WL142" i="1"/>
  <c r="SZ142" i="1"/>
  <c r="SQ142" i="1"/>
  <c r="RY142" i="1"/>
  <c r="RP142" i="1"/>
  <c r="RG142" i="1"/>
  <c r="QX142" i="1"/>
  <c r="SH136" i="1"/>
  <c r="SH142" i="1" s="1"/>
  <c r="NC136" i="1" l="1"/>
  <c r="MT136" i="1"/>
  <c r="CI136" i="1"/>
  <c r="GD129" i="1"/>
  <c r="GG129" i="1" s="1"/>
  <c r="KR129" i="1"/>
  <c r="KU129" i="1" s="1"/>
  <c r="KI129" i="1" l="1"/>
  <c r="KL129" i="1" s="1"/>
  <c r="KC129" i="1"/>
  <c r="JZ129" i="1"/>
  <c r="OM129" i="1"/>
  <c r="NU129" i="1"/>
  <c r="NL129" i="1"/>
  <c r="NC129" i="1"/>
  <c r="CI129" i="1"/>
  <c r="BZ129" i="1" l="1"/>
  <c r="FU121" i="1"/>
  <c r="FX121" i="1" s="1"/>
  <c r="KU119" i="1"/>
  <c r="KR121" i="1"/>
  <c r="KU121" i="1" s="1"/>
  <c r="KI121" i="1"/>
  <c r="KL121" i="1" s="1"/>
  <c r="JZ121" i="1"/>
  <c r="KC121" i="1" s="1"/>
  <c r="NL121" i="1"/>
  <c r="OM121" i="1"/>
  <c r="NC121" i="1"/>
  <c r="CI121" i="1"/>
  <c r="BZ121" i="1"/>
  <c r="KR119" i="1"/>
  <c r="KI119" i="1"/>
  <c r="KL119" i="1" s="1"/>
  <c r="OM119" i="1"/>
  <c r="NU119" i="1"/>
  <c r="NL119" i="1"/>
  <c r="NC119" i="1"/>
  <c r="CI119" i="1"/>
  <c r="BZ119" i="1"/>
  <c r="KI115" i="1"/>
  <c r="KL115" i="1" s="1"/>
  <c r="JZ115" i="1"/>
  <c r="KC115" i="1" s="1"/>
  <c r="GB114" i="1"/>
  <c r="FU115" i="1"/>
  <c r="FX115" i="1" s="1"/>
  <c r="OM115" i="1"/>
  <c r="NU115" i="1"/>
  <c r="NL115" i="1"/>
  <c r="NC115" i="1"/>
  <c r="CI115" i="1"/>
  <c r="BZ115" i="1" l="1"/>
  <c r="D397" i="6" l="1"/>
  <c r="D398" i="6"/>
  <c r="D366" i="6"/>
  <c r="D367" i="6"/>
  <c r="D365" i="6"/>
  <c r="D370" i="6"/>
  <c r="D363" i="6"/>
  <c r="D364" i="6"/>
  <c r="D360" i="6"/>
  <c r="D359" i="6"/>
  <c r="D358" i="6"/>
  <c r="B139" i="1"/>
  <c r="B138" i="1"/>
  <c r="P398" i="6"/>
  <c r="N407" i="6"/>
  <c r="N398" i="6"/>
  <c r="N367" i="6"/>
  <c r="N365" i="6"/>
  <c r="N364" i="6"/>
  <c r="N361" i="6"/>
  <c r="N360" i="6"/>
  <c r="N359" i="6"/>
  <c r="N358" i="6"/>
  <c r="L407" i="6"/>
  <c r="L367" i="6"/>
  <c r="L398" i="6"/>
  <c r="L365" i="6"/>
  <c r="L364" i="6"/>
  <c r="L361" i="6"/>
  <c r="L360" i="6"/>
  <c r="L359" i="6"/>
  <c r="L358" i="6"/>
  <c r="Z398" i="6"/>
  <c r="Z370" i="6"/>
  <c r="Z365" i="6"/>
  <c r="Z364" i="6"/>
  <c r="Z363" i="6"/>
  <c r="Z361" i="6"/>
  <c r="Z360" i="6"/>
  <c r="Z359" i="6"/>
  <c r="Z358" i="6"/>
  <c r="X398" i="6"/>
  <c r="X370" i="6"/>
  <c r="X365" i="6"/>
  <c r="X364" i="6"/>
  <c r="X363" i="6"/>
  <c r="X361" i="6"/>
  <c r="X360" i="6"/>
  <c r="X359" i="6"/>
  <c r="X358" i="6"/>
  <c r="W358" i="6"/>
  <c r="W359" i="6"/>
  <c r="W360" i="6"/>
  <c r="W361" i="6"/>
  <c r="W362" i="6"/>
  <c r="W363" i="6"/>
  <c r="W364" i="6"/>
  <c r="W365" i="6"/>
  <c r="W366" i="6"/>
  <c r="W367" i="6"/>
  <c r="W368" i="6"/>
  <c r="B136" i="1"/>
  <c r="B134" i="1"/>
  <c r="H657" i="6"/>
  <c r="H622" i="6"/>
  <c r="H666" i="6"/>
  <c r="H664" i="6"/>
  <c r="H663" i="6"/>
  <c r="H662" i="6"/>
  <c r="H634" i="6"/>
  <c r="H633" i="6"/>
  <c r="H631" i="6"/>
  <c r="H630" i="6"/>
  <c r="H629" i="6"/>
  <c r="H628" i="6"/>
  <c r="H625" i="6"/>
  <c r="H624" i="6"/>
  <c r="H623" i="6"/>
  <c r="F568" i="6"/>
  <c r="F534" i="6"/>
  <c r="F578" i="6"/>
  <c r="F576" i="6"/>
  <c r="F575" i="6"/>
  <c r="F574" i="6"/>
  <c r="F546" i="6"/>
  <c r="F545" i="6"/>
  <c r="F543" i="6"/>
  <c r="F542" i="6"/>
  <c r="F541" i="6"/>
  <c r="F540" i="6"/>
  <c r="F537" i="6"/>
  <c r="F536" i="6"/>
  <c r="F535" i="6"/>
  <c r="B132" i="1"/>
  <c r="B131" i="1"/>
  <c r="B128" i="1"/>
  <c r="B125" i="1"/>
  <c r="B122" i="1"/>
  <c r="B117" i="1"/>
  <c r="F487" i="6"/>
  <c r="F486" i="6"/>
  <c r="F488" i="6"/>
  <c r="F490" i="6"/>
  <c r="F454" i="6"/>
  <c r="F455" i="6"/>
  <c r="F477" i="6"/>
  <c r="F459" i="6"/>
  <c r="F457" i="6"/>
  <c r="F453" i="6"/>
  <c r="F452" i="6"/>
  <c r="F451" i="6"/>
  <c r="F449" i="6"/>
  <c r="F448" i="6"/>
  <c r="F447" i="6"/>
  <c r="F446" i="6"/>
  <c r="B114" i="1"/>
  <c r="F663" i="6"/>
  <c r="F622" i="6"/>
  <c r="F666" i="6"/>
  <c r="F664" i="6"/>
  <c r="F662" i="6"/>
  <c r="F655" i="6"/>
  <c r="F634" i="6"/>
  <c r="F633" i="6"/>
  <c r="F631" i="6"/>
  <c r="F630" i="6"/>
  <c r="F629" i="6"/>
  <c r="F628" i="6"/>
  <c r="F625" i="6"/>
  <c r="F624" i="6"/>
  <c r="F623" i="6"/>
  <c r="D575" i="6"/>
  <c r="D534" i="6"/>
  <c r="D578" i="6"/>
  <c r="D576" i="6"/>
  <c r="D574" i="6"/>
  <c r="D566" i="6"/>
  <c r="D546" i="6"/>
  <c r="D545" i="6"/>
  <c r="D543" i="6"/>
  <c r="D542" i="6"/>
  <c r="D541" i="6"/>
  <c r="D540" i="6"/>
  <c r="D537" i="6"/>
  <c r="D536" i="6"/>
  <c r="D535" i="6"/>
  <c r="D487" i="6"/>
  <c r="D490" i="6"/>
  <c r="D488" i="6"/>
  <c r="D486" i="6"/>
  <c r="D477" i="6"/>
  <c r="D446" i="6"/>
  <c r="D460" i="6"/>
  <c r="D458" i="6"/>
  <c r="D457" i="6"/>
  <c r="D455" i="6"/>
  <c r="D454" i="6"/>
  <c r="D453" i="6"/>
  <c r="D452" i="6"/>
  <c r="D451" i="6"/>
  <c r="D449" i="6"/>
  <c r="D448" i="6"/>
  <c r="D447" i="6"/>
  <c r="KR99" i="1" l="1"/>
  <c r="KI99" i="1"/>
  <c r="JZ94" i="1"/>
  <c r="G100" i="19"/>
  <c r="H100" i="19" s="1"/>
  <c r="E121" i="19"/>
  <c r="H121" i="19" s="1"/>
  <c r="E120" i="19"/>
  <c r="H120" i="19" s="1"/>
  <c r="E119" i="19"/>
  <c r="H119" i="19" s="1"/>
  <c r="F99" i="19"/>
  <c r="H99" i="19" s="1"/>
  <c r="E96" i="19"/>
  <c r="F95" i="19"/>
  <c r="H95" i="19" s="1"/>
  <c r="H143" i="19"/>
  <c r="H142" i="19"/>
  <c r="H141" i="19"/>
  <c r="H140" i="19"/>
  <c r="H139" i="19"/>
  <c r="H138" i="19"/>
  <c r="H135" i="19"/>
  <c r="H134" i="19"/>
  <c r="H133" i="19"/>
  <c r="H132" i="19"/>
  <c r="H131" i="19"/>
  <c r="H130" i="19"/>
  <c r="H129" i="19"/>
  <c r="H128" i="19"/>
  <c r="H127" i="19"/>
  <c r="H126" i="19"/>
  <c r="H125" i="19"/>
  <c r="H124" i="19"/>
  <c r="H123" i="19"/>
  <c r="H122" i="19"/>
  <c r="H118" i="19"/>
  <c r="H117" i="19"/>
  <c r="H116" i="19"/>
  <c r="H115" i="19"/>
  <c r="H114" i="19"/>
  <c r="H113" i="19"/>
  <c r="H112" i="19"/>
  <c r="H111" i="19"/>
  <c r="H110" i="19"/>
  <c r="H107" i="19"/>
  <c r="H106" i="19"/>
  <c r="H105" i="19"/>
  <c r="H104" i="19"/>
  <c r="H103" i="19"/>
  <c r="H102" i="19"/>
  <c r="H101" i="19"/>
  <c r="H98" i="19"/>
  <c r="H97" i="19"/>
  <c r="D145" i="19"/>
  <c r="G145" i="19" l="1"/>
  <c r="F145" i="19"/>
  <c r="E145" i="19"/>
  <c r="H96" i="19"/>
  <c r="H145" i="19" s="1"/>
  <c r="KR102" i="1" l="1"/>
  <c r="KR89" i="1"/>
  <c r="KR82" i="1"/>
  <c r="KI78" i="1"/>
  <c r="KI89" i="1"/>
  <c r="KI102" i="1"/>
  <c r="JZ102" i="1"/>
  <c r="JZ89" i="1"/>
  <c r="JZ82" i="1"/>
  <c r="KP89" i="1" l="1"/>
  <c r="KG89" i="1"/>
  <c r="JX89" i="1"/>
  <c r="KP81" i="1"/>
  <c r="KG81" i="1"/>
  <c r="JX81" i="1"/>
  <c r="KG78" i="1"/>
  <c r="GM102" i="1"/>
  <c r="GD102" i="1"/>
  <c r="GD99" i="1"/>
  <c r="GD94" i="1"/>
  <c r="GD89" i="1"/>
  <c r="GD82" i="1"/>
  <c r="JO81" i="1"/>
  <c r="JF81" i="1"/>
  <c r="IN81" i="1"/>
  <c r="IE81" i="1"/>
  <c r="GB102" i="1"/>
  <c r="FU102" i="1"/>
  <c r="FU89" i="1"/>
  <c r="FU82" i="1"/>
  <c r="FU80" i="1"/>
  <c r="FS88" i="1"/>
  <c r="FS86" i="1"/>
  <c r="H108" i="18"/>
  <c r="H145" i="18"/>
  <c r="H144" i="18"/>
  <c r="H143" i="18"/>
  <c r="H142" i="18"/>
  <c r="H141" i="18"/>
  <c r="D147" i="18"/>
  <c r="E126" i="18"/>
  <c r="H126" i="18" s="1"/>
  <c r="G293" i="17"/>
  <c r="D293" i="17"/>
  <c r="H291" i="17"/>
  <c r="H290" i="17"/>
  <c r="H289" i="17"/>
  <c r="H288" i="17"/>
  <c r="H287" i="17"/>
  <c r="H286" i="17"/>
  <c r="H283" i="17"/>
  <c r="H282" i="17"/>
  <c r="H281" i="17"/>
  <c r="H280" i="17"/>
  <c r="H279" i="17"/>
  <c r="H278" i="17"/>
  <c r="H277" i="17"/>
  <c r="H276" i="17"/>
  <c r="H275" i="17"/>
  <c r="H274" i="17"/>
  <c r="H273" i="17"/>
  <c r="H272" i="17"/>
  <c r="H271" i="17"/>
  <c r="H270" i="17"/>
  <c r="H269" i="17"/>
  <c r="H268" i="17"/>
  <c r="E267" i="17"/>
  <c r="H267" i="17" s="1"/>
  <c r="H266" i="17"/>
  <c r="H265" i="17"/>
  <c r="E264" i="17"/>
  <c r="H264" i="17" s="1"/>
  <c r="H263" i="17"/>
  <c r="H262" i="17"/>
  <c r="H259" i="17"/>
  <c r="H258" i="17"/>
  <c r="H257" i="17"/>
  <c r="H256" i="17"/>
  <c r="E255" i="17"/>
  <c r="H255" i="17" s="1"/>
  <c r="E254" i="17"/>
  <c r="H254" i="17" s="1"/>
  <c r="H253" i="17"/>
  <c r="H252" i="17"/>
  <c r="E251" i="17"/>
  <c r="F250" i="17"/>
  <c r="H250" i="17" s="1"/>
  <c r="F107" i="18"/>
  <c r="H103" i="18"/>
  <c r="E101" i="18"/>
  <c r="H101" i="18" s="1"/>
  <c r="E99" i="18"/>
  <c r="H99" i="18" s="1"/>
  <c r="F98" i="18"/>
  <c r="H98" i="18" s="1"/>
  <c r="F97" i="18"/>
  <c r="H97" i="18" s="1"/>
  <c r="G147" i="18"/>
  <c r="H137" i="18"/>
  <c r="H136" i="18"/>
  <c r="H135" i="18"/>
  <c r="H134" i="18"/>
  <c r="H133" i="18"/>
  <c r="H132" i="18"/>
  <c r="H131" i="18"/>
  <c r="H130" i="18"/>
  <c r="H129" i="18"/>
  <c r="H128" i="18"/>
  <c r="H127" i="18"/>
  <c r="H125" i="18"/>
  <c r="H124" i="18"/>
  <c r="H123" i="18"/>
  <c r="H122" i="18"/>
  <c r="H121" i="18"/>
  <c r="H120" i="18"/>
  <c r="H119" i="18"/>
  <c r="H118" i="18"/>
  <c r="H117" i="18"/>
  <c r="H116" i="18"/>
  <c r="H115" i="18"/>
  <c r="H114" i="18"/>
  <c r="H113" i="18"/>
  <c r="H112" i="18"/>
  <c r="H109" i="18"/>
  <c r="H106" i="18"/>
  <c r="H105" i="18"/>
  <c r="H104" i="18"/>
  <c r="H102" i="18"/>
  <c r="H100" i="18"/>
  <c r="PC48" i="1"/>
  <c r="NA52" i="1"/>
  <c r="NA48" i="1"/>
  <c r="KR69" i="1"/>
  <c r="KR65" i="1"/>
  <c r="JZ52" i="1"/>
  <c r="KI48" i="1"/>
  <c r="JZ48" i="1"/>
  <c r="KP51" i="1"/>
  <c r="KP48" i="1"/>
  <c r="KP46" i="1"/>
  <c r="KG51" i="1"/>
  <c r="KG45" i="1"/>
  <c r="KP45" i="1"/>
  <c r="JX54" i="1"/>
  <c r="JX51" i="1"/>
  <c r="IY15" i="1"/>
  <c r="IP8" i="1"/>
  <c r="E293" i="17" l="1"/>
  <c r="F293" i="17"/>
  <c r="H140" i="18"/>
  <c r="H147" i="18" s="1"/>
  <c r="H251" i="17"/>
  <c r="H293" i="17" s="1"/>
  <c r="E147" i="18"/>
  <c r="F147" i="18"/>
  <c r="HV34" i="1"/>
  <c r="JH69" i="1"/>
  <c r="IA48" i="1"/>
  <c r="IP55" i="1"/>
  <c r="IS55" i="1" s="1"/>
  <c r="IP52" i="1"/>
  <c r="IS52" i="1" s="1"/>
  <c r="IP48" i="1"/>
  <c r="IS48" i="1" s="1"/>
  <c r="IW53" i="1"/>
  <c r="GK53" i="1"/>
  <c r="GB47" i="1"/>
  <c r="FU55" i="1"/>
  <c r="FX55" i="1" s="1"/>
  <c r="FU57" i="1"/>
  <c r="FU69" i="1"/>
  <c r="FX69" i="1" s="1"/>
  <c r="FU65" i="1"/>
  <c r="FX65" i="1" s="1"/>
  <c r="FX57" i="1"/>
  <c r="FU52" i="1"/>
  <c r="FX52" i="1" s="1"/>
  <c r="KC52" i="1"/>
  <c r="OM52" i="1"/>
  <c r="NC52" i="1"/>
  <c r="MT52" i="1"/>
  <c r="BZ52" i="1"/>
  <c r="PE48" i="1"/>
  <c r="OM48" i="1"/>
  <c r="SZ48" i="1"/>
  <c r="NU48" i="1"/>
  <c r="NC48" i="1"/>
  <c r="MT48" i="1"/>
  <c r="CI48" i="1"/>
  <c r="G217" i="17" l="1"/>
  <c r="D217" i="17"/>
  <c r="H215" i="17"/>
  <c r="H214" i="17"/>
  <c r="H213" i="17"/>
  <c r="H212" i="17"/>
  <c r="H211" i="17"/>
  <c r="H210" i="17"/>
  <c r="H207" i="17"/>
  <c r="H206" i="17"/>
  <c r="H205" i="17"/>
  <c r="H204" i="17"/>
  <c r="H203" i="17"/>
  <c r="H202" i="17"/>
  <c r="H201" i="17"/>
  <c r="H200" i="17"/>
  <c r="H199" i="17"/>
  <c r="H198" i="17"/>
  <c r="H197" i="17"/>
  <c r="H196" i="17"/>
  <c r="H195" i="17"/>
  <c r="H194" i="17"/>
  <c r="H193" i="17"/>
  <c r="H192" i="17"/>
  <c r="E191" i="17"/>
  <c r="H191" i="17" s="1"/>
  <c r="H190" i="17"/>
  <c r="H189" i="17"/>
  <c r="E188" i="17"/>
  <c r="H188" i="17" s="1"/>
  <c r="H187" i="17"/>
  <c r="H186" i="17"/>
  <c r="H183" i="17"/>
  <c r="H182" i="17"/>
  <c r="H181" i="17"/>
  <c r="H180" i="17"/>
  <c r="E179" i="17"/>
  <c r="H179" i="17" s="1"/>
  <c r="E178" i="17"/>
  <c r="H178" i="17" s="1"/>
  <c r="H177" i="17"/>
  <c r="H176" i="17"/>
  <c r="E175" i="17"/>
  <c r="F174" i="17"/>
  <c r="H174" i="17" s="1"/>
  <c r="F217" i="17" l="1"/>
  <c r="E217" i="17"/>
  <c r="H175" i="17"/>
  <c r="H217" i="17" s="1"/>
  <c r="D80" i="1"/>
  <c r="BQ84" i="1"/>
  <c r="D663" i="6"/>
  <c r="D662" i="6"/>
  <c r="D681" i="6"/>
  <c r="D680" i="6"/>
  <c r="D675" i="6"/>
  <c r="D674" i="6"/>
  <c r="D664" i="6"/>
  <c r="D666" i="6"/>
  <c r="D630" i="6"/>
  <c r="D631" i="6"/>
  <c r="D655" i="6"/>
  <c r="D629" i="6"/>
  <c r="D634" i="6"/>
  <c r="D633" i="6"/>
  <c r="D624" i="6"/>
  <c r="D623" i="6"/>
  <c r="D622" i="6"/>
  <c r="F46" i="1" l="1"/>
  <c r="B105" i="1"/>
  <c r="B103" i="1"/>
  <c r="B102" i="1"/>
  <c r="B101" i="1"/>
  <c r="B100" i="1"/>
  <c r="B93" i="1"/>
  <c r="B92" i="1"/>
  <c r="B91" i="1"/>
  <c r="B89" i="1"/>
  <c r="B84" i="1"/>
  <c r="B82" i="1"/>
  <c r="B78" i="1"/>
  <c r="B77" i="1"/>
  <c r="B66" i="1"/>
  <c r="A78" i="7"/>
  <c r="B62" i="1"/>
  <c r="B60" i="1"/>
  <c r="B54" i="1"/>
  <c r="B47" i="1"/>
  <c r="CT60" i="7"/>
  <c r="B661" i="6"/>
  <c r="B662" i="6"/>
  <c r="B664" i="6"/>
  <c r="B666" i="6"/>
  <c r="B630" i="6"/>
  <c r="B631" i="6"/>
  <c r="B655" i="6"/>
  <c r="B629" i="6"/>
  <c r="B633" i="6"/>
  <c r="B634" i="6"/>
  <c r="B625" i="6"/>
  <c r="B628" i="6"/>
  <c r="B624" i="6"/>
  <c r="B623" i="6"/>
  <c r="B622" i="6"/>
  <c r="B573" i="6"/>
  <c r="B574" i="6"/>
  <c r="B576" i="6"/>
  <c r="B578" i="6"/>
  <c r="B542" i="6"/>
  <c r="B543" i="6"/>
  <c r="B566" i="6"/>
  <c r="B541" i="6"/>
  <c r="B545" i="6"/>
  <c r="B546" i="6"/>
  <c r="B537" i="6"/>
  <c r="B540" i="6"/>
  <c r="B536" i="6"/>
  <c r="B535" i="6"/>
  <c r="B534" i="6"/>
  <c r="B485" i="6"/>
  <c r="B486" i="6"/>
  <c r="B488" i="6"/>
  <c r="B490" i="6"/>
  <c r="B454" i="6"/>
  <c r="B455" i="6"/>
  <c r="B460" i="6"/>
  <c r="B458" i="6"/>
  <c r="B457" i="6"/>
  <c r="B453" i="6"/>
  <c r="B452" i="6"/>
  <c r="B451" i="6"/>
  <c r="B449" i="6"/>
  <c r="B448" i="6"/>
  <c r="B447" i="6"/>
  <c r="B446" i="6"/>
  <c r="B477" i="6"/>
  <c r="B46" i="1"/>
  <c r="B44" i="1"/>
  <c r="H118" i="17"/>
  <c r="G140" i="17"/>
  <c r="D140" i="17"/>
  <c r="H130" i="17"/>
  <c r="E114" i="17" l="1"/>
  <c r="E111" i="17"/>
  <c r="E102" i="17" l="1"/>
  <c r="H102" i="17" s="1"/>
  <c r="E101" i="17"/>
  <c r="H101" i="17" s="1"/>
  <c r="E98" i="17"/>
  <c r="F97" i="17"/>
  <c r="F140" i="17" s="1"/>
  <c r="H138" i="17"/>
  <c r="H137" i="17"/>
  <c r="H136" i="17"/>
  <c r="H135" i="17"/>
  <c r="H134" i="17"/>
  <c r="H133" i="17"/>
  <c r="H129" i="17"/>
  <c r="H128" i="17"/>
  <c r="H127" i="17"/>
  <c r="H126" i="17"/>
  <c r="H125" i="17"/>
  <c r="H124" i="17"/>
  <c r="H123" i="17"/>
  <c r="H122" i="17"/>
  <c r="H121" i="17"/>
  <c r="H120" i="17"/>
  <c r="H119" i="17"/>
  <c r="H117" i="17"/>
  <c r="H116" i="17"/>
  <c r="H115" i="17"/>
  <c r="H114" i="17"/>
  <c r="H113" i="17"/>
  <c r="H112" i="17"/>
  <c r="H111" i="17"/>
  <c r="H110" i="17"/>
  <c r="H109" i="17"/>
  <c r="H106" i="17"/>
  <c r="H105" i="17"/>
  <c r="H104" i="17"/>
  <c r="H103" i="17"/>
  <c r="H100" i="17"/>
  <c r="H99" i="17"/>
  <c r="E140" i="17" l="1"/>
  <c r="H97" i="17"/>
  <c r="H98" i="17"/>
  <c r="H140" i="17" l="1"/>
  <c r="IW35" i="1"/>
  <c r="IW34" i="1"/>
  <c r="IW26" i="1"/>
  <c r="IN34" i="1"/>
  <c r="IN20" i="1"/>
  <c r="IN12" i="1"/>
  <c r="HV12" i="1"/>
  <c r="IE12" i="1"/>
  <c r="GK20" i="1"/>
  <c r="GK14" i="1"/>
  <c r="GK12" i="1"/>
  <c r="GB34" i="1"/>
  <c r="IS35" i="1" l="1"/>
  <c r="GP35" i="1"/>
  <c r="MT35" i="1"/>
  <c r="IS28" i="1"/>
  <c r="IA28" i="1"/>
  <c r="GP28" i="1"/>
  <c r="PE28" i="1"/>
  <c r="NC28" i="1" l="1"/>
  <c r="MT28" i="1"/>
  <c r="GP21" i="1"/>
  <c r="IS21" i="1"/>
  <c r="IA20" i="1"/>
  <c r="PE21" i="1"/>
  <c r="NC21" i="1"/>
  <c r="MT21" i="1"/>
  <c r="IS18" i="1"/>
  <c r="GP15" i="1"/>
  <c r="JB15" i="1"/>
  <c r="IS15" i="1"/>
  <c r="IP15" i="1"/>
  <c r="HX15" i="1"/>
  <c r="IA15" i="1" s="1"/>
  <c r="OD15" i="1"/>
  <c r="PE10" i="1"/>
  <c r="NC15" i="1"/>
  <c r="MT15" i="1"/>
  <c r="IY8" i="1"/>
  <c r="IS8" i="1"/>
  <c r="GM8" i="1"/>
  <c r="GP8" i="1" s="1"/>
  <c r="OV8" i="1"/>
  <c r="OD8" i="1"/>
  <c r="NC8" i="1"/>
  <c r="MT8" i="1"/>
  <c r="B36" i="1" l="1"/>
  <c r="B33" i="1"/>
  <c r="B32" i="1"/>
  <c r="B31" i="1"/>
  <c r="B28" i="1"/>
  <c r="B26" i="1"/>
  <c r="B24" i="1"/>
  <c r="B21" i="1"/>
  <c r="B20" i="1"/>
  <c r="B18" i="1"/>
  <c r="B17" i="1"/>
  <c r="B12" i="1"/>
  <c r="B11" i="1"/>
  <c r="JT5" i="1"/>
  <c r="JK5" i="1"/>
  <c r="JB5" i="1"/>
  <c r="IS5" i="1"/>
  <c r="IJ5" i="1"/>
  <c r="IA5" i="1"/>
  <c r="GP5" i="1"/>
  <c r="GG5" i="1"/>
  <c r="FX5" i="1"/>
  <c r="DU6" i="1"/>
  <c r="BQ8" i="1"/>
  <c r="BH8" i="1"/>
  <c r="AY8" i="1"/>
  <c r="AG8" i="1"/>
  <c r="X8" i="1"/>
  <c r="O8" i="1"/>
  <c r="F8" i="1"/>
  <c r="B8" i="1"/>
  <c r="BQ7" i="1"/>
  <c r="BH7" i="1"/>
  <c r="AY7" i="1"/>
  <c r="AG7" i="1"/>
  <c r="X7" i="1"/>
  <c r="O7" i="1"/>
  <c r="F7" i="1"/>
  <c r="B7" i="1"/>
  <c r="B427" i="1"/>
  <c r="B391" i="1"/>
  <c r="B356" i="1"/>
  <c r="B320" i="1"/>
  <c r="B285" i="1"/>
  <c r="B249" i="1"/>
  <c r="B213" i="1"/>
  <c r="B178" i="1"/>
  <c r="B142" i="1"/>
  <c r="B107" i="1"/>
  <c r="B71" i="1"/>
  <c r="B37" i="1" l="1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9" i="7"/>
  <c r="A80" i="7"/>
  <c r="A81" i="7"/>
  <c r="A82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89" i="7"/>
  <c r="A356" i="7"/>
  <c r="A322" i="7"/>
  <c r="A289" i="7"/>
  <c r="A255" i="7"/>
  <c r="A221" i="7"/>
  <c r="A188" i="7"/>
  <c r="A154" i="7"/>
  <c r="A121" i="7"/>
  <c r="A87" i="7"/>
  <c r="A55" i="7"/>
  <c r="A5" i="7"/>
  <c r="J401" i="6"/>
  <c r="J398" i="6"/>
  <c r="J397" i="6"/>
  <c r="H398" i="6"/>
  <c r="H397" i="6"/>
  <c r="J365" i="6"/>
  <c r="J364" i="6"/>
  <c r="J363" i="6"/>
  <c r="J361" i="6"/>
  <c r="J360" i="6"/>
  <c r="J359" i="6"/>
  <c r="J358" i="6"/>
  <c r="H365" i="6"/>
  <c r="H364" i="6"/>
  <c r="H363" i="6"/>
  <c r="H361" i="6"/>
  <c r="H360" i="6"/>
  <c r="H359" i="6"/>
  <c r="H358" i="6"/>
  <c r="B398" i="6" l="1"/>
  <c r="B397" i="6"/>
  <c r="B367" i="6"/>
  <c r="B366" i="6"/>
  <c r="B365" i="6"/>
  <c r="B364" i="6"/>
  <c r="B363" i="6"/>
  <c r="B361" i="6"/>
  <c r="B360" i="6"/>
  <c r="B359" i="6"/>
  <c r="B358" i="6"/>
  <c r="B221" i="6"/>
  <c r="B189" i="6"/>
  <c r="B188" i="6"/>
  <c r="B187" i="6"/>
  <c r="B185" i="6"/>
  <c r="B184" i="6"/>
  <c r="B183" i="6"/>
  <c r="B182" i="6"/>
  <c r="B133" i="6"/>
  <c r="B103" i="6"/>
  <c r="B101" i="6"/>
  <c r="B100" i="6"/>
  <c r="B99" i="6"/>
  <c r="B97" i="6"/>
  <c r="B96" i="6"/>
  <c r="B95" i="6"/>
  <c r="B94" i="6"/>
  <c r="B45" i="6"/>
  <c r="B15" i="6"/>
  <c r="B14" i="6"/>
  <c r="B13" i="6"/>
  <c r="B11" i="6"/>
  <c r="B9" i="6"/>
  <c r="B8" i="6"/>
  <c r="B1" i="16" l="1"/>
  <c r="B1" i="15"/>
  <c r="B1" i="14"/>
  <c r="B1" i="13"/>
  <c r="B1" i="12"/>
  <c r="B1" i="11"/>
  <c r="B1" i="8"/>
  <c r="B1" i="21"/>
  <c r="B1" i="20"/>
  <c r="B1" i="19"/>
  <c r="B1" i="18"/>
  <c r="B1" i="17"/>
  <c r="BZ4" i="5"/>
  <c r="BY34" i="5"/>
  <c r="BY33" i="5"/>
  <c r="BY15" i="5"/>
  <c r="BY4" i="5"/>
  <c r="FE89" i="7"/>
  <c r="FD89" i="7"/>
  <c r="FC89" i="7"/>
  <c r="FB89" i="7"/>
  <c r="FA89" i="7"/>
  <c r="EY89" i="7"/>
  <c r="EX89" i="7"/>
  <c r="EW89" i="7"/>
  <c r="EV89" i="7"/>
  <c r="EU89" i="7"/>
  <c r="ET89" i="7"/>
  <c r="ES89" i="7"/>
  <c r="IX89" i="7"/>
  <c r="IW89" i="7"/>
  <c r="IV89" i="7"/>
  <c r="IU89" i="7"/>
  <c r="IT89" i="7"/>
  <c r="IS89" i="7"/>
  <c r="IR89" i="7"/>
  <c r="IQ89" i="7"/>
  <c r="IP89" i="7"/>
  <c r="IO89" i="7"/>
  <c r="IN89" i="7"/>
  <c r="IM89" i="7"/>
  <c r="IL89" i="7"/>
  <c r="IH89" i="7"/>
  <c r="IG89" i="7"/>
  <c r="IF89" i="7"/>
  <c r="IE89" i="7"/>
  <c r="ID89" i="7"/>
  <c r="IC89" i="7"/>
  <c r="IB89" i="7"/>
  <c r="IA89" i="7"/>
  <c r="HZ89" i="7"/>
  <c r="HY89" i="7"/>
  <c r="HX89" i="7"/>
  <c r="HW89" i="7"/>
  <c r="HV89" i="7"/>
  <c r="HR89" i="7"/>
  <c r="HQ89" i="7"/>
  <c r="HP89" i="7"/>
  <c r="HO89" i="7"/>
  <c r="HN89" i="7"/>
  <c r="HM89" i="7"/>
  <c r="HL89" i="7"/>
  <c r="HK89" i="7"/>
  <c r="HJ89" i="7"/>
  <c r="HI89" i="7"/>
  <c r="HH89" i="7"/>
  <c r="HG89" i="7"/>
  <c r="HF89" i="7"/>
  <c r="HB89" i="7"/>
  <c r="HA89" i="7"/>
  <c r="GZ89" i="7"/>
  <c r="GY89" i="7"/>
  <c r="GX89" i="7"/>
  <c r="GW89" i="7"/>
  <c r="GV89" i="7"/>
  <c r="GU89" i="7"/>
  <c r="GT89" i="7"/>
  <c r="GS89" i="7"/>
  <c r="GR89" i="7"/>
  <c r="GQ89" i="7"/>
  <c r="GP89" i="7"/>
  <c r="GL89" i="7"/>
  <c r="GK89" i="7"/>
  <c r="GJ89" i="7"/>
  <c r="GI89" i="7"/>
  <c r="GH89" i="7"/>
  <c r="GG89" i="7"/>
  <c r="GF89" i="7"/>
  <c r="GE89" i="7"/>
  <c r="GD89" i="7"/>
  <c r="GC89" i="7"/>
  <c r="GB89" i="7"/>
  <c r="GA89" i="7"/>
  <c r="FZ89" i="7"/>
  <c r="FV89" i="7"/>
  <c r="FU89" i="7"/>
  <c r="FT89" i="7"/>
  <c r="FS89" i="7"/>
  <c r="FR89" i="7"/>
  <c r="FQ89" i="7"/>
  <c r="FP89" i="7"/>
  <c r="FO89" i="7"/>
  <c r="FN89" i="7"/>
  <c r="FM89" i="7"/>
  <c r="FL89" i="7"/>
  <c r="FK89" i="7"/>
  <c r="FJ89" i="7"/>
  <c r="EZ89" i="7"/>
  <c r="EO89" i="7"/>
  <c r="EN89" i="7"/>
  <c r="EM89" i="7"/>
  <c r="EL89" i="7"/>
  <c r="EK89" i="7"/>
  <c r="EJ89" i="7"/>
  <c r="EI89" i="7"/>
  <c r="EH89" i="7"/>
  <c r="EG89" i="7"/>
  <c r="EF89" i="7"/>
  <c r="EE89" i="7"/>
  <c r="BX69" i="5"/>
  <c r="BW61" i="5"/>
  <c r="BX4" i="5"/>
  <c r="BW4" i="5"/>
  <c r="BV13" i="5"/>
  <c r="BV12" i="5"/>
  <c r="BV4" i="5"/>
  <c r="BU4" i="5"/>
  <c r="BT4" i="5"/>
  <c r="BS4" i="5"/>
  <c r="BR4" i="5"/>
  <c r="BQ4" i="5"/>
  <c r="BP4" i="5"/>
  <c r="BO4" i="5"/>
  <c r="BN4" i="5"/>
  <c r="BM4" i="5"/>
  <c r="BL4" i="5"/>
  <c r="BK4" i="5"/>
  <c r="BJ4" i="5"/>
  <c r="BI4" i="5"/>
  <c r="BH4" i="5"/>
  <c r="BG4" i="5"/>
  <c r="BF4" i="5"/>
  <c r="BE4" i="5"/>
  <c r="BD4" i="5"/>
  <c r="BC4" i="5"/>
  <c r="BB4" i="5"/>
  <c r="BA4" i="5"/>
  <c r="IX88" i="7"/>
  <c r="IW88" i="7"/>
  <c r="IV88" i="7"/>
  <c r="IU88" i="7"/>
  <c r="IT88" i="7"/>
  <c r="IS88" i="7"/>
  <c r="IR88" i="7"/>
  <c r="IQ88" i="7"/>
  <c r="IP88" i="7"/>
  <c r="IO88" i="7"/>
  <c r="IN88" i="7"/>
  <c r="IM88" i="7"/>
  <c r="IL88" i="7"/>
  <c r="IK88" i="7"/>
  <c r="IJ88" i="7"/>
  <c r="IH88" i="7"/>
  <c r="IG88" i="7"/>
  <c r="IF88" i="7"/>
  <c r="IE88" i="7"/>
  <c r="ID88" i="7"/>
  <c r="IC88" i="7"/>
  <c r="IB88" i="7"/>
  <c r="IA88" i="7"/>
  <c r="HZ88" i="7"/>
  <c r="HY88" i="7"/>
  <c r="HX88" i="7"/>
  <c r="HW88" i="7"/>
  <c r="HV88" i="7"/>
  <c r="HU88" i="7"/>
  <c r="HT88" i="7"/>
  <c r="HR88" i="7"/>
  <c r="HQ88" i="7"/>
  <c r="HP88" i="7"/>
  <c r="HO88" i="7"/>
  <c r="HN88" i="7"/>
  <c r="HM88" i="7"/>
  <c r="HL88" i="7"/>
  <c r="HK88" i="7"/>
  <c r="HJ88" i="7"/>
  <c r="HI88" i="7"/>
  <c r="HH88" i="7"/>
  <c r="HG88" i="7"/>
  <c r="HF88" i="7"/>
  <c r="HE88" i="7"/>
  <c r="HD88" i="7"/>
  <c r="HB88" i="7"/>
  <c r="GZ88" i="7"/>
  <c r="GY88" i="7"/>
  <c r="GW88" i="7"/>
  <c r="GV88" i="7"/>
  <c r="GU88" i="7"/>
  <c r="GT88" i="7"/>
  <c r="GS88" i="7"/>
  <c r="GR88" i="7"/>
  <c r="GQ88" i="7"/>
  <c r="GP88" i="7"/>
  <c r="GO88" i="7"/>
  <c r="GN88" i="7"/>
  <c r="GL88" i="7"/>
  <c r="GK88" i="7"/>
  <c r="GJ88" i="7"/>
  <c r="GI88" i="7"/>
  <c r="GH88" i="7"/>
  <c r="GG88" i="7"/>
  <c r="GF88" i="7"/>
  <c r="GE88" i="7"/>
  <c r="GD88" i="7"/>
  <c r="GC88" i="7"/>
  <c r="GB88" i="7"/>
  <c r="GA88" i="7"/>
  <c r="FZ88" i="7"/>
  <c r="FY88" i="7"/>
  <c r="FX88" i="7"/>
  <c r="FV88" i="7"/>
  <c r="FU88" i="7"/>
  <c r="FT88" i="7"/>
  <c r="FS88" i="7"/>
  <c r="FR88" i="7"/>
  <c r="FQ88" i="7"/>
  <c r="FP88" i="7"/>
  <c r="FO88" i="7"/>
  <c r="FN88" i="7"/>
  <c r="FM88" i="7"/>
  <c r="FL88" i="7"/>
  <c r="FK88" i="7"/>
  <c r="FJ88" i="7"/>
  <c r="FI88" i="7"/>
  <c r="FH88" i="7"/>
  <c r="FE88" i="7"/>
  <c r="FD88" i="7"/>
  <c r="FC88" i="7"/>
  <c r="FB88" i="7"/>
  <c r="FA88" i="7"/>
  <c r="EZ88" i="7"/>
  <c r="EY88" i="7"/>
  <c r="EX88" i="7"/>
  <c r="EW88" i="7"/>
  <c r="EV88" i="7"/>
  <c r="EU88" i="7"/>
  <c r="ET88" i="7"/>
  <c r="ES88" i="7"/>
  <c r="EP88" i="7"/>
  <c r="EO88" i="7"/>
  <c r="EN88" i="7"/>
  <c r="EM88" i="7"/>
  <c r="EL88" i="7"/>
  <c r="EK88" i="7"/>
  <c r="EJ88" i="7"/>
  <c r="EI88" i="7"/>
  <c r="EH88" i="7"/>
  <c r="EG88" i="7"/>
  <c r="EF88" i="7"/>
  <c r="EE88" i="7"/>
  <c r="ED88" i="7"/>
  <c r="EC88" i="7"/>
  <c r="EB88" i="7"/>
  <c r="IX87" i="7"/>
  <c r="IW87" i="7"/>
  <c r="IV87" i="7"/>
  <c r="IU87" i="7"/>
  <c r="IT87" i="7"/>
  <c r="IS87" i="7"/>
  <c r="IR87" i="7"/>
  <c r="IQ87" i="7"/>
  <c r="IP87" i="7"/>
  <c r="IO87" i="7"/>
  <c r="IN87" i="7"/>
  <c r="IM87" i="7"/>
  <c r="IL87" i="7"/>
  <c r="IK87" i="7"/>
  <c r="IJ87" i="7"/>
  <c r="IH87" i="7"/>
  <c r="IG87" i="7"/>
  <c r="IF87" i="7"/>
  <c r="IE87" i="7"/>
  <c r="ID87" i="7"/>
  <c r="IC87" i="7"/>
  <c r="IB87" i="7"/>
  <c r="IA87" i="7"/>
  <c r="HZ87" i="7"/>
  <c r="HY87" i="7"/>
  <c r="HX87" i="7"/>
  <c r="HW87" i="7"/>
  <c r="HV87" i="7"/>
  <c r="HU87" i="7"/>
  <c r="HT87" i="7"/>
  <c r="HR87" i="7"/>
  <c r="HQ87" i="7"/>
  <c r="HP87" i="7"/>
  <c r="HO87" i="7"/>
  <c r="HN87" i="7"/>
  <c r="HM87" i="7"/>
  <c r="HL87" i="7"/>
  <c r="HK87" i="7"/>
  <c r="HJ87" i="7"/>
  <c r="HI87" i="7"/>
  <c r="HH87" i="7"/>
  <c r="HG87" i="7"/>
  <c r="HF87" i="7"/>
  <c r="HE87" i="7"/>
  <c r="HD87" i="7"/>
  <c r="HB87" i="7"/>
  <c r="GZ87" i="7"/>
  <c r="GY87" i="7"/>
  <c r="GX87" i="7"/>
  <c r="GW87" i="7"/>
  <c r="GU87" i="7"/>
  <c r="GT87" i="7"/>
  <c r="GS87" i="7"/>
  <c r="GR87" i="7"/>
  <c r="GQ87" i="7"/>
  <c r="GP87" i="7"/>
  <c r="GO87" i="7"/>
  <c r="GN87" i="7"/>
  <c r="GL87" i="7"/>
  <c r="GK87" i="7"/>
  <c r="GJ87" i="7"/>
  <c r="GI87" i="7"/>
  <c r="GH87" i="7"/>
  <c r="GG87" i="7"/>
  <c r="GF87" i="7"/>
  <c r="GE87" i="7"/>
  <c r="GD87" i="7"/>
  <c r="GC87" i="7"/>
  <c r="GB87" i="7"/>
  <c r="GA87" i="7"/>
  <c r="FZ87" i="7"/>
  <c r="FY87" i="7"/>
  <c r="FX87" i="7"/>
  <c r="FV87" i="7"/>
  <c r="FU87" i="7"/>
  <c r="FT87" i="7"/>
  <c r="FS87" i="7"/>
  <c r="FR87" i="7"/>
  <c r="FQ87" i="7"/>
  <c r="FP87" i="7"/>
  <c r="FO87" i="7"/>
  <c r="FN87" i="7"/>
  <c r="FM87" i="7"/>
  <c r="FL87" i="7"/>
  <c r="FK87" i="7"/>
  <c r="FJ87" i="7"/>
  <c r="FI87" i="7"/>
  <c r="FH87" i="7"/>
  <c r="FE87" i="7"/>
  <c r="FD87" i="7"/>
  <c r="FC87" i="7"/>
  <c r="FB87" i="7"/>
  <c r="FA87" i="7"/>
  <c r="EZ87" i="7"/>
  <c r="EY87" i="7"/>
  <c r="EX87" i="7"/>
  <c r="EW87" i="7"/>
  <c r="EV87" i="7"/>
  <c r="EU87" i="7"/>
  <c r="ET87" i="7"/>
  <c r="ES87" i="7"/>
  <c r="EP87" i="7"/>
  <c r="EO87" i="7"/>
  <c r="EN87" i="7"/>
  <c r="EM87" i="7"/>
  <c r="EL87" i="7"/>
  <c r="EK87" i="7"/>
  <c r="EJ87" i="7"/>
  <c r="EI87" i="7"/>
  <c r="EH87" i="7"/>
  <c r="EG87" i="7"/>
  <c r="EF87" i="7"/>
  <c r="EE87" i="7"/>
  <c r="ED87" i="7"/>
  <c r="EC87" i="7"/>
  <c r="EB87" i="7"/>
  <c r="IX86" i="7"/>
  <c r="IW86" i="7"/>
  <c r="IV86" i="7"/>
  <c r="IU86" i="7"/>
  <c r="IT86" i="7"/>
  <c r="IS86" i="7"/>
  <c r="IR86" i="7"/>
  <c r="IQ86" i="7"/>
  <c r="IP86" i="7"/>
  <c r="IO86" i="7"/>
  <c r="IN86" i="7"/>
  <c r="IM86" i="7"/>
  <c r="IL86" i="7"/>
  <c r="IK86" i="7"/>
  <c r="IJ86" i="7"/>
  <c r="IH86" i="7"/>
  <c r="IG86" i="7"/>
  <c r="IF86" i="7"/>
  <c r="IE86" i="7"/>
  <c r="ID86" i="7"/>
  <c r="IC86" i="7"/>
  <c r="IB86" i="7"/>
  <c r="IA86" i="7"/>
  <c r="HZ86" i="7"/>
  <c r="HY86" i="7"/>
  <c r="HX86" i="7"/>
  <c r="HW86" i="7"/>
  <c r="HV86" i="7"/>
  <c r="HU86" i="7"/>
  <c r="HT86" i="7"/>
  <c r="HR86" i="7"/>
  <c r="HQ86" i="7"/>
  <c r="HP86" i="7"/>
  <c r="HO86" i="7"/>
  <c r="HN86" i="7"/>
  <c r="HM86" i="7"/>
  <c r="HL86" i="7"/>
  <c r="HK86" i="7"/>
  <c r="HJ86" i="7"/>
  <c r="HI86" i="7"/>
  <c r="HH86" i="7"/>
  <c r="HG86" i="7"/>
  <c r="HE86" i="7"/>
  <c r="HD86" i="7"/>
  <c r="HA86" i="7"/>
  <c r="GZ86" i="7"/>
  <c r="GY86" i="7"/>
  <c r="GW86" i="7"/>
  <c r="GU86" i="7"/>
  <c r="GT86" i="7"/>
  <c r="GS86" i="7"/>
  <c r="GR86" i="7"/>
  <c r="GQ86" i="7"/>
  <c r="GP86" i="7"/>
  <c r="GO86" i="7"/>
  <c r="GN86" i="7"/>
  <c r="GL86" i="7"/>
  <c r="GK86" i="7"/>
  <c r="GJ86" i="7"/>
  <c r="GI86" i="7"/>
  <c r="GH86" i="7"/>
  <c r="GG86" i="7"/>
  <c r="GF86" i="7"/>
  <c r="GE86" i="7"/>
  <c r="GD86" i="7"/>
  <c r="GC86" i="7"/>
  <c r="GB86" i="7"/>
  <c r="GA86" i="7"/>
  <c r="FZ86" i="7"/>
  <c r="FY86" i="7"/>
  <c r="FX86" i="7"/>
  <c r="FV86" i="7"/>
  <c r="FU86" i="7"/>
  <c r="FT86" i="7"/>
  <c r="FS86" i="7"/>
  <c r="FR86" i="7"/>
  <c r="FQ86" i="7"/>
  <c r="FP86" i="7"/>
  <c r="FO86" i="7"/>
  <c r="FN86" i="7"/>
  <c r="FM86" i="7"/>
  <c r="FL86" i="7"/>
  <c r="FK86" i="7"/>
  <c r="FJ86" i="7"/>
  <c r="FI86" i="7"/>
  <c r="FH86" i="7"/>
  <c r="FE86" i="7"/>
  <c r="FD86" i="7"/>
  <c r="FC86" i="7"/>
  <c r="FB86" i="7"/>
  <c r="FA86" i="7"/>
  <c r="EZ86" i="7"/>
  <c r="EY86" i="7"/>
  <c r="EX86" i="7"/>
  <c r="EW86" i="7"/>
  <c r="EV86" i="7"/>
  <c r="EU86" i="7"/>
  <c r="ET86" i="7"/>
  <c r="ES86" i="7"/>
  <c r="ER86" i="7"/>
  <c r="EP86" i="7"/>
  <c r="EO86" i="7"/>
  <c r="EN86" i="7"/>
  <c r="EM86" i="7"/>
  <c r="EL86" i="7"/>
  <c r="EK86" i="7"/>
  <c r="EJ86" i="7"/>
  <c r="EI86" i="7"/>
  <c r="EH86" i="7"/>
  <c r="EG86" i="7"/>
  <c r="EF86" i="7"/>
  <c r="EE86" i="7"/>
  <c r="ED86" i="7"/>
  <c r="EC86" i="7"/>
  <c r="EB86" i="7"/>
  <c r="IX85" i="7"/>
  <c r="IW85" i="7"/>
  <c r="IV85" i="7"/>
  <c r="IU85" i="7"/>
  <c r="IT85" i="7"/>
  <c r="IS85" i="7"/>
  <c r="IR85" i="7"/>
  <c r="IQ85" i="7"/>
  <c r="IP85" i="7"/>
  <c r="IO85" i="7"/>
  <c r="IN85" i="7"/>
  <c r="IM85" i="7"/>
  <c r="IL85" i="7"/>
  <c r="IK85" i="7"/>
  <c r="IJ85" i="7"/>
  <c r="IH85" i="7"/>
  <c r="IG85" i="7"/>
  <c r="IF85" i="7"/>
  <c r="IE85" i="7"/>
  <c r="ID85" i="7"/>
  <c r="IC85" i="7"/>
  <c r="IB85" i="7"/>
  <c r="IA85" i="7"/>
  <c r="HZ85" i="7"/>
  <c r="HY85" i="7"/>
  <c r="HX85" i="7"/>
  <c r="HW85" i="7"/>
  <c r="HV85" i="7"/>
  <c r="HU85" i="7"/>
  <c r="HT85" i="7"/>
  <c r="HR85" i="7"/>
  <c r="HQ85" i="7"/>
  <c r="HP85" i="7"/>
  <c r="HO85" i="7"/>
  <c r="HN85" i="7"/>
  <c r="HM85" i="7"/>
  <c r="HL85" i="7"/>
  <c r="HK85" i="7"/>
  <c r="HJ85" i="7"/>
  <c r="HI85" i="7"/>
  <c r="HH85" i="7"/>
  <c r="HG85" i="7"/>
  <c r="HE85" i="7"/>
  <c r="HD85" i="7"/>
  <c r="HA85" i="7"/>
  <c r="GZ85" i="7"/>
  <c r="GY85" i="7"/>
  <c r="GX85" i="7"/>
  <c r="GW85" i="7"/>
  <c r="GU85" i="7"/>
  <c r="GT85" i="7"/>
  <c r="GS85" i="7"/>
  <c r="GR85" i="7"/>
  <c r="GQ85" i="7"/>
  <c r="GP85" i="7"/>
  <c r="GO85" i="7"/>
  <c r="GN85" i="7"/>
  <c r="GL85" i="7"/>
  <c r="GK85" i="7"/>
  <c r="GJ85" i="7"/>
  <c r="GI85" i="7"/>
  <c r="GH85" i="7"/>
  <c r="GG85" i="7"/>
  <c r="GF85" i="7"/>
  <c r="GE85" i="7"/>
  <c r="GD85" i="7"/>
  <c r="GC85" i="7"/>
  <c r="GB85" i="7"/>
  <c r="GA85" i="7"/>
  <c r="FZ85" i="7"/>
  <c r="FY85" i="7"/>
  <c r="FX85" i="7"/>
  <c r="FV85" i="7"/>
  <c r="FU85" i="7"/>
  <c r="FT85" i="7"/>
  <c r="FS85" i="7"/>
  <c r="FR85" i="7"/>
  <c r="FQ85" i="7"/>
  <c r="FP85" i="7"/>
  <c r="FO85" i="7"/>
  <c r="FN85" i="7"/>
  <c r="FM85" i="7"/>
  <c r="FL85" i="7"/>
  <c r="FK85" i="7"/>
  <c r="FJ85" i="7"/>
  <c r="FI85" i="7"/>
  <c r="FH85" i="7"/>
  <c r="FF85" i="7"/>
  <c r="FE85" i="7"/>
  <c r="FD85" i="7"/>
  <c r="FC85" i="7"/>
  <c r="FB85" i="7"/>
  <c r="FA85" i="7"/>
  <c r="EZ85" i="7"/>
  <c r="EY85" i="7"/>
  <c r="EX85" i="7"/>
  <c r="EW85" i="7"/>
  <c r="EV85" i="7"/>
  <c r="EU85" i="7"/>
  <c r="ET85" i="7"/>
  <c r="ES85" i="7"/>
  <c r="EP85" i="7"/>
  <c r="EO85" i="7"/>
  <c r="EN85" i="7"/>
  <c r="EM85" i="7"/>
  <c r="EL85" i="7"/>
  <c r="EK85" i="7"/>
  <c r="EJ85" i="7"/>
  <c r="EI85" i="7"/>
  <c r="EH85" i="7"/>
  <c r="EG85" i="7"/>
  <c r="EF85" i="7"/>
  <c r="EE85" i="7"/>
  <c r="ED85" i="7"/>
  <c r="EC85" i="7"/>
  <c r="EB85" i="7"/>
  <c r="IX84" i="7"/>
  <c r="IW84" i="7"/>
  <c r="IV84" i="7"/>
  <c r="IU84" i="7"/>
  <c r="IT84" i="7"/>
  <c r="IS84" i="7"/>
  <c r="IR84" i="7"/>
  <c r="IQ84" i="7"/>
  <c r="IP84" i="7"/>
  <c r="IO84" i="7"/>
  <c r="IN84" i="7"/>
  <c r="IM84" i="7"/>
  <c r="IL84" i="7"/>
  <c r="IK84" i="7"/>
  <c r="IJ84" i="7"/>
  <c r="IH84" i="7"/>
  <c r="IG84" i="7"/>
  <c r="IF84" i="7"/>
  <c r="IE84" i="7"/>
  <c r="ID84" i="7"/>
  <c r="IC84" i="7"/>
  <c r="IB84" i="7"/>
  <c r="IA84" i="7"/>
  <c r="HZ84" i="7"/>
  <c r="HY84" i="7"/>
  <c r="HX84" i="7"/>
  <c r="HW84" i="7"/>
  <c r="HV84" i="7"/>
  <c r="HU84" i="7"/>
  <c r="HT84" i="7"/>
  <c r="HR84" i="7"/>
  <c r="HQ84" i="7"/>
  <c r="HP84" i="7"/>
  <c r="HO84" i="7"/>
  <c r="HN84" i="7"/>
  <c r="HM84" i="7"/>
  <c r="HL84" i="7"/>
  <c r="HK84" i="7"/>
  <c r="HJ84" i="7"/>
  <c r="HI84" i="7"/>
  <c r="HH84" i="7"/>
  <c r="HG84" i="7"/>
  <c r="HE84" i="7"/>
  <c r="HD84" i="7"/>
  <c r="HB84" i="7"/>
  <c r="GZ84" i="7"/>
  <c r="GY84" i="7"/>
  <c r="GW84" i="7"/>
  <c r="GV84" i="7"/>
  <c r="GU84" i="7"/>
  <c r="GT84" i="7"/>
  <c r="GS84" i="7"/>
  <c r="GR84" i="7"/>
  <c r="GQ84" i="7"/>
  <c r="GP84" i="7"/>
  <c r="GO84" i="7"/>
  <c r="GN84" i="7"/>
  <c r="GL84" i="7"/>
  <c r="GK84" i="7"/>
  <c r="GJ84" i="7"/>
  <c r="GI84" i="7"/>
  <c r="GH84" i="7"/>
  <c r="GG84" i="7"/>
  <c r="GF84" i="7"/>
  <c r="GE84" i="7"/>
  <c r="GD84" i="7"/>
  <c r="GC84" i="7"/>
  <c r="GB84" i="7"/>
  <c r="GA84" i="7"/>
  <c r="FZ84" i="7"/>
  <c r="FY84" i="7"/>
  <c r="FX84" i="7"/>
  <c r="FV84" i="7"/>
  <c r="FU84" i="7"/>
  <c r="FT84" i="7"/>
  <c r="FS84" i="7"/>
  <c r="FR84" i="7"/>
  <c r="FQ84" i="7"/>
  <c r="FP84" i="7"/>
  <c r="FO84" i="7"/>
  <c r="FN84" i="7"/>
  <c r="FM84" i="7"/>
  <c r="FL84" i="7"/>
  <c r="FK84" i="7"/>
  <c r="FJ84" i="7"/>
  <c r="FI84" i="7"/>
  <c r="FH84" i="7"/>
  <c r="FE84" i="7"/>
  <c r="FD84" i="7"/>
  <c r="FC84" i="7"/>
  <c r="FB84" i="7"/>
  <c r="FA84" i="7"/>
  <c r="EZ84" i="7"/>
  <c r="EY84" i="7"/>
  <c r="EX84" i="7"/>
  <c r="EW84" i="7"/>
  <c r="EV84" i="7"/>
  <c r="EU84" i="7"/>
  <c r="ET84" i="7"/>
  <c r="ES84" i="7"/>
  <c r="EP84" i="7"/>
  <c r="EO84" i="7"/>
  <c r="EN84" i="7"/>
  <c r="EM84" i="7"/>
  <c r="EL84" i="7"/>
  <c r="EK84" i="7"/>
  <c r="EJ84" i="7"/>
  <c r="EI84" i="7"/>
  <c r="EH84" i="7"/>
  <c r="EG84" i="7"/>
  <c r="EF84" i="7"/>
  <c r="EE84" i="7"/>
  <c r="ED84" i="7"/>
  <c r="EC84" i="7"/>
  <c r="EB84" i="7"/>
  <c r="IX83" i="7"/>
  <c r="IW83" i="7"/>
  <c r="IV83" i="7"/>
  <c r="IU83" i="7"/>
  <c r="IT83" i="7"/>
  <c r="IS83" i="7"/>
  <c r="IR83" i="7"/>
  <c r="IQ83" i="7"/>
  <c r="IP83" i="7"/>
  <c r="IO83" i="7"/>
  <c r="IN83" i="7"/>
  <c r="IM83" i="7"/>
  <c r="IL83" i="7"/>
  <c r="IK83" i="7"/>
  <c r="IJ83" i="7"/>
  <c r="IH83" i="7"/>
  <c r="IG83" i="7"/>
  <c r="IF83" i="7"/>
  <c r="IE83" i="7"/>
  <c r="ID83" i="7"/>
  <c r="IC83" i="7"/>
  <c r="IB83" i="7"/>
  <c r="IA83" i="7"/>
  <c r="HZ83" i="7"/>
  <c r="HY83" i="7"/>
  <c r="HX83" i="7"/>
  <c r="HW83" i="7"/>
  <c r="HV83" i="7"/>
  <c r="HU83" i="7"/>
  <c r="HT83" i="7"/>
  <c r="HR83" i="7"/>
  <c r="HQ83" i="7"/>
  <c r="HP83" i="7"/>
  <c r="HO83" i="7"/>
  <c r="HN83" i="7"/>
  <c r="HM83" i="7"/>
  <c r="HL83" i="7"/>
  <c r="HK83" i="7"/>
  <c r="HJ83" i="7"/>
  <c r="HI83" i="7"/>
  <c r="HH83" i="7"/>
  <c r="HG83" i="7"/>
  <c r="HF83" i="7"/>
  <c r="HE83" i="7"/>
  <c r="HD83" i="7"/>
  <c r="HB83" i="7"/>
  <c r="HA83" i="7"/>
  <c r="GZ83" i="7"/>
  <c r="GY83" i="7"/>
  <c r="GX83" i="7"/>
  <c r="GW83" i="7"/>
  <c r="GV83" i="7"/>
  <c r="GU83" i="7"/>
  <c r="GT83" i="7"/>
  <c r="GS83" i="7"/>
  <c r="GR83" i="7"/>
  <c r="GQ83" i="7"/>
  <c r="GP83" i="7"/>
  <c r="GO83" i="7"/>
  <c r="GN83" i="7"/>
  <c r="GL83" i="7"/>
  <c r="GK83" i="7"/>
  <c r="GJ83" i="7"/>
  <c r="GI83" i="7"/>
  <c r="GH83" i="7"/>
  <c r="GG83" i="7"/>
  <c r="GF83" i="7"/>
  <c r="GE83" i="7"/>
  <c r="GD83" i="7"/>
  <c r="GC83" i="7"/>
  <c r="GB83" i="7"/>
  <c r="GA83" i="7"/>
  <c r="FZ83" i="7"/>
  <c r="FY83" i="7"/>
  <c r="FX83" i="7"/>
  <c r="FV83" i="7"/>
  <c r="FU83" i="7"/>
  <c r="FT83" i="7"/>
  <c r="FS83" i="7"/>
  <c r="FR83" i="7"/>
  <c r="FQ83" i="7"/>
  <c r="FP83" i="7"/>
  <c r="FO83" i="7"/>
  <c r="FN83" i="7"/>
  <c r="FM83" i="7"/>
  <c r="FL83" i="7"/>
  <c r="FK83" i="7"/>
  <c r="FJ83" i="7"/>
  <c r="FI83" i="7"/>
  <c r="FH83" i="7"/>
  <c r="FE83" i="7"/>
  <c r="FD83" i="7"/>
  <c r="FC83" i="7"/>
  <c r="FB83" i="7"/>
  <c r="FA83" i="7"/>
  <c r="EZ83" i="7"/>
  <c r="EY83" i="7"/>
  <c r="EX83" i="7"/>
  <c r="EW83" i="7"/>
  <c r="EV83" i="7"/>
  <c r="EU83" i="7"/>
  <c r="ET83" i="7"/>
  <c r="ES83" i="7"/>
  <c r="EP83" i="7"/>
  <c r="EO83" i="7"/>
  <c r="EN83" i="7"/>
  <c r="EM83" i="7"/>
  <c r="EL83" i="7"/>
  <c r="EK83" i="7"/>
  <c r="EJ83" i="7"/>
  <c r="EI83" i="7"/>
  <c r="EH83" i="7"/>
  <c r="EG83" i="7"/>
  <c r="EF83" i="7"/>
  <c r="EE83" i="7"/>
  <c r="ED83" i="7"/>
  <c r="EC83" i="7"/>
  <c r="EB83" i="7"/>
  <c r="IX82" i="7"/>
  <c r="IW82" i="7"/>
  <c r="IV82" i="7"/>
  <c r="IU82" i="7"/>
  <c r="IT82" i="7"/>
  <c r="IS82" i="7"/>
  <c r="IR82" i="7"/>
  <c r="IQ82" i="7"/>
  <c r="IP82" i="7"/>
  <c r="IO82" i="7"/>
  <c r="IN82" i="7"/>
  <c r="IM82" i="7"/>
  <c r="IL82" i="7"/>
  <c r="IK82" i="7"/>
  <c r="IJ82" i="7"/>
  <c r="IH82" i="7"/>
  <c r="IG82" i="7"/>
  <c r="IF82" i="7"/>
  <c r="IE82" i="7"/>
  <c r="ID82" i="7"/>
  <c r="IC82" i="7"/>
  <c r="IB82" i="7"/>
  <c r="IA82" i="7"/>
  <c r="HZ82" i="7"/>
  <c r="HY82" i="7"/>
  <c r="HX82" i="7"/>
  <c r="HW82" i="7"/>
  <c r="HV82" i="7"/>
  <c r="HU82" i="7"/>
  <c r="HT82" i="7"/>
  <c r="HR82" i="7"/>
  <c r="HQ82" i="7"/>
  <c r="HP82" i="7"/>
  <c r="HO82" i="7"/>
  <c r="HN82" i="7"/>
  <c r="HM82" i="7"/>
  <c r="HL82" i="7"/>
  <c r="HK82" i="7"/>
  <c r="HJ82" i="7"/>
  <c r="HI82" i="7"/>
  <c r="HH82" i="7"/>
  <c r="HG82" i="7"/>
  <c r="HE82" i="7"/>
  <c r="HD82" i="7"/>
  <c r="GZ82" i="7"/>
  <c r="GY82" i="7"/>
  <c r="GW82" i="7"/>
  <c r="GU82" i="7"/>
  <c r="GT82" i="7"/>
  <c r="GS82" i="7"/>
  <c r="GR82" i="7"/>
  <c r="GQ82" i="7"/>
  <c r="GP82" i="7"/>
  <c r="GO82" i="7"/>
  <c r="GN82" i="7"/>
  <c r="GL82" i="7"/>
  <c r="GK82" i="7"/>
  <c r="GJ82" i="7"/>
  <c r="GI82" i="7"/>
  <c r="GH82" i="7"/>
  <c r="GG82" i="7"/>
  <c r="GF82" i="7"/>
  <c r="GE82" i="7"/>
  <c r="GD82" i="7"/>
  <c r="GC82" i="7"/>
  <c r="GB82" i="7"/>
  <c r="GA82" i="7"/>
  <c r="FZ82" i="7"/>
  <c r="FY82" i="7"/>
  <c r="FX82" i="7"/>
  <c r="FV82" i="7"/>
  <c r="FU82" i="7"/>
  <c r="FT82" i="7"/>
  <c r="FS82" i="7"/>
  <c r="FR82" i="7"/>
  <c r="FQ82" i="7"/>
  <c r="FP82" i="7"/>
  <c r="FO82" i="7"/>
  <c r="FN82" i="7"/>
  <c r="FM82" i="7"/>
  <c r="FL82" i="7"/>
  <c r="FK82" i="7"/>
  <c r="FJ82" i="7"/>
  <c r="FI82" i="7"/>
  <c r="FH82" i="7"/>
  <c r="FE82" i="7"/>
  <c r="FD82" i="7"/>
  <c r="FC82" i="7"/>
  <c r="FB82" i="7"/>
  <c r="FA82" i="7"/>
  <c r="EZ82" i="7"/>
  <c r="EY82" i="7"/>
  <c r="EX82" i="7"/>
  <c r="EW82" i="7"/>
  <c r="EV82" i="7"/>
  <c r="EU82" i="7"/>
  <c r="ET82" i="7"/>
  <c r="ES82" i="7"/>
  <c r="EP82" i="7"/>
  <c r="EO82" i="7"/>
  <c r="EN82" i="7"/>
  <c r="EM82" i="7"/>
  <c r="EL82" i="7"/>
  <c r="EK82" i="7"/>
  <c r="EJ82" i="7"/>
  <c r="EI82" i="7"/>
  <c r="EH82" i="7"/>
  <c r="EG82" i="7"/>
  <c r="EF82" i="7"/>
  <c r="EE82" i="7"/>
  <c r="ED82" i="7"/>
  <c r="EC82" i="7"/>
  <c r="EB82" i="7"/>
  <c r="IX81" i="7"/>
  <c r="IW81" i="7"/>
  <c r="IV81" i="7"/>
  <c r="IU81" i="7"/>
  <c r="IT81" i="7"/>
  <c r="IS81" i="7"/>
  <c r="IR81" i="7"/>
  <c r="IQ81" i="7"/>
  <c r="IP81" i="7"/>
  <c r="IO81" i="7"/>
  <c r="IN81" i="7"/>
  <c r="IM81" i="7"/>
  <c r="IL81" i="7"/>
  <c r="IK81" i="7"/>
  <c r="IJ81" i="7"/>
  <c r="IH81" i="7"/>
  <c r="IG81" i="7"/>
  <c r="IF81" i="7"/>
  <c r="IE81" i="7"/>
  <c r="ID81" i="7"/>
  <c r="IC81" i="7"/>
  <c r="IB81" i="7"/>
  <c r="IA81" i="7"/>
  <c r="HZ81" i="7"/>
  <c r="HY81" i="7"/>
  <c r="HX81" i="7"/>
  <c r="HW81" i="7"/>
  <c r="HV81" i="7"/>
  <c r="HU81" i="7"/>
  <c r="HT81" i="7"/>
  <c r="HR81" i="7"/>
  <c r="HQ81" i="7"/>
  <c r="HP81" i="7"/>
  <c r="HO81" i="7"/>
  <c r="HN81" i="7"/>
  <c r="HM81" i="7"/>
  <c r="HL81" i="7"/>
  <c r="HK81" i="7"/>
  <c r="HJ81" i="7"/>
  <c r="HI81" i="7"/>
  <c r="HH81" i="7"/>
  <c r="HG81" i="7"/>
  <c r="HE81" i="7"/>
  <c r="HD81" i="7"/>
  <c r="GZ81" i="7"/>
  <c r="GY81" i="7"/>
  <c r="GX81" i="7"/>
  <c r="GW81" i="7"/>
  <c r="GV81" i="7"/>
  <c r="GU81" i="7"/>
  <c r="GT81" i="7"/>
  <c r="GS81" i="7"/>
  <c r="GR81" i="7"/>
  <c r="GQ81" i="7"/>
  <c r="GP81" i="7"/>
  <c r="GO81" i="7"/>
  <c r="GN81" i="7"/>
  <c r="GL81" i="7"/>
  <c r="GK81" i="7"/>
  <c r="GJ81" i="7"/>
  <c r="GI81" i="7"/>
  <c r="GH81" i="7"/>
  <c r="GG81" i="7"/>
  <c r="GF81" i="7"/>
  <c r="GE81" i="7"/>
  <c r="GD81" i="7"/>
  <c r="GC81" i="7"/>
  <c r="GB81" i="7"/>
  <c r="GA81" i="7"/>
  <c r="FZ81" i="7"/>
  <c r="FY81" i="7"/>
  <c r="FX81" i="7"/>
  <c r="FV81" i="7"/>
  <c r="FU81" i="7"/>
  <c r="FT81" i="7"/>
  <c r="FS81" i="7"/>
  <c r="FR81" i="7"/>
  <c r="FQ81" i="7"/>
  <c r="FP81" i="7"/>
  <c r="FO81" i="7"/>
  <c r="FN81" i="7"/>
  <c r="FM81" i="7"/>
  <c r="FL81" i="7"/>
  <c r="FK81" i="7"/>
  <c r="FJ81" i="7"/>
  <c r="FI81" i="7"/>
  <c r="FH81" i="7"/>
  <c r="FE81" i="7"/>
  <c r="FD81" i="7"/>
  <c r="FC81" i="7"/>
  <c r="FB81" i="7"/>
  <c r="FA81" i="7"/>
  <c r="EZ81" i="7"/>
  <c r="EY81" i="7"/>
  <c r="EX81" i="7"/>
  <c r="EW81" i="7"/>
  <c r="EV81" i="7"/>
  <c r="EU81" i="7"/>
  <c r="ET81" i="7"/>
  <c r="ES81" i="7"/>
  <c r="EP81" i="7"/>
  <c r="EO81" i="7"/>
  <c r="EN81" i="7"/>
  <c r="EM81" i="7"/>
  <c r="EL81" i="7"/>
  <c r="EK81" i="7"/>
  <c r="EJ81" i="7"/>
  <c r="EI81" i="7"/>
  <c r="EH81" i="7"/>
  <c r="EG81" i="7"/>
  <c r="EF81" i="7"/>
  <c r="EE81" i="7"/>
  <c r="ED81" i="7"/>
  <c r="EC81" i="7"/>
  <c r="EB81" i="7"/>
  <c r="IX80" i="7"/>
  <c r="IW80" i="7"/>
  <c r="IV80" i="7"/>
  <c r="IU80" i="7"/>
  <c r="IT80" i="7"/>
  <c r="IS80" i="7"/>
  <c r="IR80" i="7"/>
  <c r="IQ80" i="7"/>
  <c r="IP80" i="7"/>
  <c r="IO80" i="7"/>
  <c r="IN80" i="7"/>
  <c r="IM80" i="7"/>
  <c r="IL80" i="7"/>
  <c r="IK80" i="7"/>
  <c r="IJ80" i="7"/>
  <c r="IH80" i="7"/>
  <c r="IG80" i="7"/>
  <c r="IF80" i="7"/>
  <c r="IE80" i="7"/>
  <c r="ID80" i="7"/>
  <c r="IC80" i="7"/>
  <c r="IB80" i="7"/>
  <c r="IA80" i="7"/>
  <c r="HZ80" i="7"/>
  <c r="HY80" i="7"/>
  <c r="HX80" i="7"/>
  <c r="HW80" i="7"/>
  <c r="HV80" i="7"/>
  <c r="HU80" i="7"/>
  <c r="HT80" i="7"/>
  <c r="HR80" i="7"/>
  <c r="HQ80" i="7"/>
  <c r="HP80" i="7"/>
  <c r="HO80" i="7"/>
  <c r="HN80" i="7"/>
  <c r="HM80" i="7"/>
  <c r="HL80" i="7"/>
  <c r="HK80" i="7"/>
  <c r="HJ80" i="7"/>
  <c r="HI80" i="7"/>
  <c r="HH80" i="7"/>
  <c r="HG80" i="7"/>
  <c r="HF80" i="7"/>
  <c r="HE80" i="7"/>
  <c r="HD80" i="7"/>
  <c r="HB80" i="7"/>
  <c r="GZ80" i="7"/>
  <c r="GY80" i="7"/>
  <c r="GW80" i="7"/>
  <c r="GU80" i="7"/>
  <c r="GT80" i="7"/>
  <c r="GS80" i="7"/>
  <c r="GR80" i="7"/>
  <c r="GQ80" i="7"/>
  <c r="GP80" i="7"/>
  <c r="GO80" i="7"/>
  <c r="GN80" i="7"/>
  <c r="GL80" i="7"/>
  <c r="GK80" i="7"/>
  <c r="GJ80" i="7"/>
  <c r="GI80" i="7"/>
  <c r="GH80" i="7"/>
  <c r="GG80" i="7"/>
  <c r="GF80" i="7"/>
  <c r="GE80" i="7"/>
  <c r="GD80" i="7"/>
  <c r="GC80" i="7"/>
  <c r="GB80" i="7"/>
  <c r="GA80" i="7"/>
  <c r="FZ80" i="7"/>
  <c r="FY80" i="7"/>
  <c r="FX80" i="7"/>
  <c r="FV80" i="7"/>
  <c r="FU80" i="7"/>
  <c r="FT80" i="7"/>
  <c r="FS80" i="7"/>
  <c r="FR80" i="7"/>
  <c r="FQ80" i="7"/>
  <c r="FP80" i="7"/>
  <c r="FO80" i="7"/>
  <c r="FN80" i="7"/>
  <c r="FM80" i="7"/>
  <c r="FL80" i="7"/>
  <c r="FK80" i="7"/>
  <c r="FJ80" i="7"/>
  <c r="FI80" i="7"/>
  <c r="FH80" i="7"/>
  <c r="FE80" i="7"/>
  <c r="FD80" i="7"/>
  <c r="FC80" i="7"/>
  <c r="FB80" i="7"/>
  <c r="FA80" i="7"/>
  <c r="EZ80" i="7"/>
  <c r="EY80" i="7"/>
  <c r="EX80" i="7"/>
  <c r="EW80" i="7"/>
  <c r="EV80" i="7"/>
  <c r="EU80" i="7"/>
  <c r="ET80" i="7"/>
  <c r="ES80" i="7"/>
  <c r="EP80" i="7"/>
  <c r="EO80" i="7"/>
  <c r="EN80" i="7"/>
  <c r="EM80" i="7"/>
  <c r="EL80" i="7"/>
  <c r="EK80" i="7"/>
  <c r="EJ80" i="7"/>
  <c r="EI80" i="7"/>
  <c r="EH80" i="7"/>
  <c r="EG80" i="7"/>
  <c r="EF80" i="7"/>
  <c r="EE80" i="7"/>
  <c r="ED80" i="7"/>
  <c r="EC80" i="7"/>
  <c r="EB80" i="7"/>
  <c r="IX79" i="7"/>
  <c r="IW79" i="7"/>
  <c r="IV79" i="7"/>
  <c r="IU79" i="7"/>
  <c r="IT79" i="7"/>
  <c r="IS79" i="7"/>
  <c r="IR79" i="7"/>
  <c r="IQ79" i="7"/>
  <c r="IP79" i="7"/>
  <c r="IO79" i="7"/>
  <c r="IN79" i="7"/>
  <c r="IM79" i="7"/>
  <c r="IL79" i="7"/>
  <c r="IK79" i="7"/>
  <c r="IJ79" i="7"/>
  <c r="IH79" i="7"/>
  <c r="IG79" i="7"/>
  <c r="IF79" i="7"/>
  <c r="IE79" i="7"/>
  <c r="ID79" i="7"/>
  <c r="IC79" i="7"/>
  <c r="IB79" i="7"/>
  <c r="IA79" i="7"/>
  <c r="HZ79" i="7"/>
  <c r="HY79" i="7"/>
  <c r="HX79" i="7"/>
  <c r="HW79" i="7"/>
  <c r="HV79" i="7"/>
  <c r="HU79" i="7"/>
  <c r="HT79" i="7"/>
  <c r="HR79" i="7"/>
  <c r="HQ79" i="7"/>
  <c r="HP79" i="7"/>
  <c r="HO79" i="7"/>
  <c r="HN79" i="7"/>
  <c r="HM79" i="7"/>
  <c r="HL79" i="7"/>
  <c r="HK79" i="7"/>
  <c r="HJ79" i="7"/>
  <c r="HI79" i="7"/>
  <c r="HH79" i="7"/>
  <c r="HG79" i="7"/>
  <c r="HE79" i="7"/>
  <c r="HD79" i="7"/>
  <c r="HA79" i="7"/>
  <c r="GZ79" i="7"/>
  <c r="GY79" i="7"/>
  <c r="GX79" i="7"/>
  <c r="GW79" i="7"/>
  <c r="GU79" i="7"/>
  <c r="GT79" i="7"/>
  <c r="GS79" i="7"/>
  <c r="GR79" i="7"/>
  <c r="GQ79" i="7"/>
  <c r="GP79" i="7"/>
  <c r="GO79" i="7"/>
  <c r="GN79" i="7"/>
  <c r="GL79" i="7"/>
  <c r="GK79" i="7"/>
  <c r="GJ79" i="7"/>
  <c r="GI79" i="7"/>
  <c r="GH79" i="7"/>
  <c r="GG79" i="7"/>
  <c r="GF79" i="7"/>
  <c r="GE79" i="7"/>
  <c r="GD79" i="7"/>
  <c r="GC79" i="7"/>
  <c r="GB79" i="7"/>
  <c r="GA79" i="7"/>
  <c r="FZ79" i="7"/>
  <c r="FY79" i="7"/>
  <c r="FX79" i="7"/>
  <c r="FV79" i="7"/>
  <c r="FU79" i="7"/>
  <c r="FT79" i="7"/>
  <c r="FS79" i="7"/>
  <c r="FR79" i="7"/>
  <c r="FQ79" i="7"/>
  <c r="FP79" i="7"/>
  <c r="FO79" i="7"/>
  <c r="FN79" i="7"/>
  <c r="FM79" i="7"/>
  <c r="FL79" i="7"/>
  <c r="FK79" i="7"/>
  <c r="FJ79" i="7"/>
  <c r="FI79" i="7"/>
  <c r="FH79" i="7"/>
  <c r="FE79" i="7"/>
  <c r="FD79" i="7"/>
  <c r="FC79" i="7"/>
  <c r="FB79" i="7"/>
  <c r="FA79" i="7"/>
  <c r="EZ79" i="7"/>
  <c r="EY79" i="7"/>
  <c r="EX79" i="7"/>
  <c r="EW79" i="7"/>
  <c r="EV79" i="7"/>
  <c r="EU79" i="7"/>
  <c r="ET79" i="7"/>
  <c r="ES79" i="7"/>
  <c r="EP79" i="7"/>
  <c r="EO79" i="7"/>
  <c r="EN79" i="7"/>
  <c r="EM79" i="7"/>
  <c r="EL79" i="7"/>
  <c r="EK79" i="7"/>
  <c r="EJ79" i="7"/>
  <c r="EI79" i="7"/>
  <c r="EH79" i="7"/>
  <c r="EG79" i="7"/>
  <c r="EF79" i="7"/>
  <c r="EE79" i="7"/>
  <c r="ED79" i="7"/>
  <c r="EC79" i="7"/>
  <c r="EB79" i="7"/>
  <c r="IX78" i="7"/>
  <c r="IW78" i="7"/>
  <c r="IV78" i="7"/>
  <c r="IU78" i="7"/>
  <c r="IT78" i="7"/>
  <c r="IS78" i="7"/>
  <c r="IR78" i="7"/>
  <c r="IQ78" i="7"/>
  <c r="IP78" i="7"/>
  <c r="IO78" i="7"/>
  <c r="IN78" i="7"/>
  <c r="IM78" i="7"/>
  <c r="IL78" i="7"/>
  <c r="IK78" i="7"/>
  <c r="IJ78" i="7"/>
  <c r="IH78" i="7"/>
  <c r="IG78" i="7"/>
  <c r="IF78" i="7"/>
  <c r="IE78" i="7"/>
  <c r="ID78" i="7"/>
  <c r="IC78" i="7"/>
  <c r="IB78" i="7"/>
  <c r="IA78" i="7"/>
  <c r="HZ78" i="7"/>
  <c r="HY78" i="7"/>
  <c r="HX78" i="7"/>
  <c r="HW78" i="7"/>
  <c r="HV78" i="7"/>
  <c r="HU78" i="7"/>
  <c r="HT78" i="7"/>
  <c r="HR78" i="7"/>
  <c r="HQ78" i="7"/>
  <c r="HP78" i="7"/>
  <c r="HO78" i="7"/>
  <c r="HN78" i="7"/>
  <c r="HM78" i="7"/>
  <c r="HL78" i="7"/>
  <c r="HK78" i="7"/>
  <c r="HJ78" i="7"/>
  <c r="HI78" i="7"/>
  <c r="HH78" i="7"/>
  <c r="HG78" i="7"/>
  <c r="HE78" i="7"/>
  <c r="HD78" i="7"/>
  <c r="HB78" i="7"/>
  <c r="GZ78" i="7"/>
  <c r="GY78" i="7"/>
  <c r="GX78" i="7"/>
  <c r="GW78" i="7"/>
  <c r="GT78" i="7"/>
  <c r="GS78" i="7"/>
  <c r="GR78" i="7"/>
  <c r="GQ78" i="7"/>
  <c r="GP78" i="7"/>
  <c r="GO78" i="7"/>
  <c r="GN78" i="7"/>
  <c r="GL78" i="7"/>
  <c r="GK78" i="7"/>
  <c r="GJ78" i="7"/>
  <c r="GI78" i="7"/>
  <c r="GH78" i="7"/>
  <c r="GG78" i="7"/>
  <c r="GF78" i="7"/>
  <c r="GE78" i="7"/>
  <c r="GD78" i="7"/>
  <c r="GC78" i="7"/>
  <c r="GB78" i="7"/>
  <c r="GA78" i="7"/>
  <c r="FZ78" i="7"/>
  <c r="FY78" i="7"/>
  <c r="FX78" i="7"/>
  <c r="FV78" i="7"/>
  <c r="FU78" i="7"/>
  <c r="FT78" i="7"/>
  <c r="FS78" i="7"/>
  <c r="FR78" i="7"/>
  <c r="FQ78" i="7"/>
  <c r="FP78" i="7"/>
  <c r="FO78" i="7"/>
  <c r="FN78" i="7"/>
  <c r="FM78" i="7"/>
  <c r="FL78" i="7"/>
  <c r="FK78" i="7"/>
  <c r="FJ78" i="7"/>
  <c r="FI78" i="7"/>
  <c r="FH78" i="7"/>
  <c r="FE78" i="7"/>
  <c r="FD78" i="7"/>
  <c r="FC78" i="7"/>
  <c r="FB78" i="7"/>
  <c r="FA78" i="7"/>
  <c r="EZ78" i="7"/>
  <c r="EY78" i="7"/>
  <c r="EX78" i="7"/>
  <c r="EW78" i="7"/>
  <c r="EV78" i="7"/>
  <c r="EU78" i="7"/>
  <c r="ET78" i="7"/>
  <c r="ES78" i="7"/>
  <c r="EP78" i="7"/>
  <c r="EO78" i="7"/>
  <c r="EN78" i="7"/>
  <c r="EM78" i="7"/>
  <c r="EL78" i="7"/>
  <c r="EK78" i="7"/>
  <c r="EJ78" i="7"/>
  <c r="EI78" i="7"/>
  <c r="EH78" i="7"/>
  <c r="EG78" i="7"/>
  <c r="EF78" i="7"/>
  <c r="EE78" i="7"/>
  <c r="ED78" i="7"/>
  <c r="EC78" i="7"/>
  <c r="EB78" i="7"/>
  <c r="IX77" i="7"/>
  <c r="IW77" i="7"/>
  <c r="IV77" i="7"/>
  <c r="IU77" i="7"/>
  <c r="IT77" i="7"/>
  <c r="IS77" i="7"/>
  <c r="IR77" i="7"/>
  <c r="IQ77" i="7"/>
  <c r="IP77" i="7"/>
  <c r="IO77" i="7"/>
  <c r="IN77" i="7"/>
  <c r="IM77" i="7"/>
  <c r="IL77" i="7"/>
  <c r="IK77" i="7"/>
  <c r="IJ77" i="7"/>
  <c r="IH77" i="7"/>
  <c r="IG77" i="7"/>
  <c r="IF77" i="7"/>
  <c r="IE77" i="7"/>
  <c r="ID77" i="7"/>
  <c r="IC77" i="7"/>
  <c r="IB77" i="7"/>
  <c r="IA77" i="7"/>
  <c r="HZ77" i="7"/>
  <c r="HY77" i="7"/>
  <c r="HX77" i="7"/>
  <c r="HW77" i="7"/>
  <c r="HV77" i="7"/>
  <c r="HU77" i="7"/>
  <c r="HT77" i="7"/>
  <c r="HR77" i="7"/>
  <c r="HQ77" i="7"/>
  <c r="HP77" i="7"/>
  <c r="HO77" i="7"/>
  <c r="HN77" i="7"/>
  <c r="HM77" i="7"/>
  <c r="HL77" i="7"/>
  <c r="HK77" i="7"/>
  <c r="HJ77" i="7"/>
  <c r="HI77" i="7"/>
  <c r="HH77" i="7"/>
  <c r="HG77" i="7"/>
  <c r="HE77" i="7"/>
  <c r="HD77" i="7"/>
  <c r="HA77" i="7"/>
  <c r="GZ77" i="7"/>
  <c r="GW77" i="7"/>
  <c r="GU77" i="7"/>
  <c r="GT77" i="7"/>
  <c r="GS77" i="7"/>
  <c r="GR77" i="7"/>
  <c r="GQ77" i="7"/>
  <c r="GP77" i="7"/>
  <c r="GO77" i="7"/>
  <c r="GN77" i="7"/>
  <c r="GL77" i="7"/>
  <c r="GK77" i="7"/>
  <c r="GJ77" i="7"/>
  <c r="GI77" i="7"/>
  <c r="GH77" i="7"/>
  <c r="GG77" i="7"/>
  <c r="GF77" i="7"/>
  <c r="GE77" i="7"/>
  <c r="GD77" i="7"/>
  <c r="GC77" i="7"/>
  <c r="GB77" i="7"/>
  <c r="GA77" i="7"/>
  <c r="FZ77" i="7"/>
  <c r="FY77" i="7"/>
  <c r="FX77" i="7"/>
  <c r="FV77" i="7"/>
  <c r="FU77" i="7"/>
  <c r="FT77" i="7"/>
  <c r="FS77" i="7"/>
  <c r="FR77" i="7"/>
  <c r="FQ77" i="7"/>
  <c r="FP77" i="7"/>
  <c r="FO77" i="7"/>
  <c r="FN77" i="7"/>
  <c r="FM77" i="7"/>
  <c r="FL77" i="7"/>
  <c r="FK77" i="7"/>
  <c r="FJ77" i="7"/>
  <c r="FI77" i="7"/>
  <c r="FH77" i="7"/>
  <c r="FF77" i="7"/>
  <c r="FE77" i="7"/>
  <c r="FD77" i="7"/>
  <c r="FC77" i="7"/>
  <c r="FB77" i="7"/>
  <c r="FA77" i="7"/>
  <c r="EZ77" i="7"/>
  <c r="EY77" i="7"/>
  <c r="EX77" i="7"/>
  <c r="EW77" i="7"/>
  <c r="EV77" i="7"/>
  <c r="EU77" i="7"/>
  <c r="ET77" i="7"/>
  <c r="ES77" i="7"/>
  <c r="EP77" i="7"/>
  <c r="EO77" i="7"/>
  <c r="EN77" i="7"/>
  <c r="EM77" i="7"/>
  <c r="EL77" i="7"/>
  <c r="EK77" i="7"/>
  <c r="EJ77" i="7"/>
  <c r="EI77" i="7"/>
  <c r="EH77" i="7"/>
  <c r="EG77" i="7"/>
  <c r="EF77" i="7"/>
  <c r="EE77" i="7"/>
  <c r="ED77" i="7"/>
  <c r="EC77" i="7"/>
  <c r="EB77" i="7"/>
  <c r="IX76" i="7"/>
  <c r="IW76" i="7"/>
  <c r="IV76" i="7"/>
  <c r="IU76" i="7"/>
  <c r="IT76" i="7"/>
  <c r="IS76" i="7"/>
  <c r="IR76" i="7"/>
  <c r="IQ76" i="7"/>
  <c r="IP76" i="7"/>
  <c r="IO76" i="7"/>
  <c r="IN76" i="7"/>
  <c r="IM76" i="7"/>
  <c r="IL76" i="7"/>
  <c r="IK76" i="7"/>
  <c r="IJ76" i="7"/>
  <c r="IH76" i="7"/>
  <c r="IG76" i="7"/>
  <c r="IF76" i="7"/>
  <c r="IE76" i="7"/>
  <c r="ID76" i="7"/>
  <c r="IC76" i="7"/>
  <c r="IB76" i="7"/>
  <c r="IA76" i="7"/>
  <c r="HZ76" i="7"/>
  <c r="HY76" i="7"/>
  <c r="HX76" i="7"/>
  <c r="HW76" i="7"/>
  <c r="HV76" i="7"/>
  <c r="HU76" i="7"/>
  <c r="HT76" i="7"/>
  <c r="HR76" i="7"/>
  <c r="HQ76" i="7"/>
  <c r="HP76" i="7"/>
  <c r="HO76" i="7"/>
  <c r="HN76" i="7"/>
  <c r="HM76" i="7"/>
  <c r="HL76" i="7"/>
  <c r="HK76" i="7"/>
  <c r="HJ76" i="7"/>
  <c r="HI76" i="7"/>
  <c r="HH76" i="7"/>
  <c r="HG76" i="7"/>
  <c r="HF76" i="7"/>
  <c r="HE76" i="7"/>
  <c r="HD76" i="7"/>
  <c r="HB76" i="7"/>
  <c r="GZ76" i="7"/>
  <c r="GY76" i="7"/>
  <c r="GW76" i="7"/>
  <c r="GV76" i="7"/>
  <c r="GT76" i="7"/>
  <c r="GS76" i="7"/>
  <c r="GR76" i="7"/>
  <c r="GQ76" i="7"/>
  <c r="GP76" i="7"/>
  <c r="GO76" i="7"/>
  <c r="GN76" i="7"/>
  <c r="GL76" i="7"/>
  <c r="GK76" i="7"/>
  <c r="GJ76" i="7"/>
  <c r="GI76" i="7"/>
  <c r="GH76" i="7"/>
  <c r="GG76" i="7"/>
  <c r="GF76" i="7"/>
  <c r="GE76" i="7"/>
  <c r="GD76" i="7"/>
  <c r="GC76" i="7"/>
  <c r="GB76" i="7"/>
  <c r="GA76" i="7"/>
  <c r="FZ76" i="7"/>
  <c r="FY76" i="7"/>
  <c r="FX76" i="7"/>
  <c r="FV76" i="7"/>
  <c r="FU76" i="7"/>
  <c r="FT76" i="7"/>
  <c r="FS76" i="7"/>
  <c r="FR76" i="7"/>
  <c r="FQ76" i="7"/>
  <c r="FP76" i="7"/>
  <c r="FO76" i="7"/>
  <c r="FN76" i="7"/>
  <c r="FM76" i="7"/>
  <c r="FL76" i="7"/>
  <c r="FK76" i="7"/>
  <c r="FJ76" i="7"/>
  <c r="FI76" i="7"/>
  <c r="FH76" i="7"/>
  <c r="FE76" i="7"/>
  <c r="FD76" i="7"/>
  <c r="FC76" i="7"/>
  <c r="FB76" i="7"/>
  <c r="FA76" i="7"/>
  <c r="EZ76" i="7"/>
  <c r="EY76" i="7"/>
  <c r="EX76" i="7"/>
  <c r="EW76" i="7"/>
  <c r="EV76" i="7"/>
  <c r="EU76" i="7"/>
  <c r="ET76" i="7"/>
  <c r="ES76" i="7"/>
  <c r="EP76" i="7"/>
  <c r="EO76" i="7"/>
  <c r="EN76" i="7"/>
  <c r="EM76" i="7"/>
  <c r="EL76" i="7"/>
  <c r="EK76" i="7"/>
  <c r="EJ76" i="7"/>
  <c r="EI76" i="7"/>
  <c r="EH76" i="7"/>
  <c r="EG76" i="7"/>
  <c r="EF76" i="7"/>
  <c r="EE76" i="7"/>
  <c r="ED76" i="7"/>
  <c r="EC76" i="7"/>
  <c r="EB76" i="7"/>
  <c r="IX75" i="7"/>
  <c r="IW75" i="7"/>
  <c r="IV75" i="7"/>
  <c r="IU75" i="7"/>
  <c r="IT75" i="7"/>
  <c r="IS75" i="7"/>
  <c r="IR75" i="7"/>
  <c r="IQ75" i="7"/>
  <c r="IP75" i="7"/>
  <c r="IO75" i="7"/>
  <c r="IN75" i="7"/>
  <c r="IL75" i="7"/>
  <c r="IK75" i="7"/>
  <c r="IJ75" i="7"/>
  <c r="IH75" i="7"/>
  <c r="IG75" i="7"/>
  <c r="IF75" i="7"/>
  <c r="IE75" i="7"/>
  <c r="ID75" i="7"/>
  <c r="IC75" i="7"/>
  <c r="IB75" i="7"/>
  <c r="IA75" i="7"/>
  <c r="HZ75" i="7"/>
  <c r="HY75" i="7"/>
  <c r="HX75" i="7"/>
  <c r="HW75" i="7"/>
  <c r="HV75" i="7"/>
  <c r="HU75" i="7"/>
  <c r="HT75" i="7"/>
  <c r="HR75" i="7"/>
  <c r="HQ75" i="7"/>
  <c r="HP75" i="7"/>
  <c r="HO75" i="7"/>
  <c r="HN75" i="7"/>
  <c r="HM75" i="7"/>
  <c r="HL75" i="7"/>
  <c r="HK75" i="7"/>
  <c r="HJ75" i="7"/>
  <c r="HI75" i="7"/>
  <c r="HH75" i="7"/>
  <c r="HG75" i="7"/>
  <c r="HF75" i="7"/>
  <c r="HE75" i="7"/>
  <c r="HD75" i="7"/>
  <c r="GZ75" i="7"/>
  <c r="GX75" i="7"/>
  <c r="GW75" i="7"/>
  <c r="GU75" i="7"/>
  <c r="GT75" i="7"/>
  <c r="GS75" i="7"/>
  <c r="GR75" i="7"/>
  <c r="GQ75" i="7"/>
  <c r="GP75" i="7"/>
  <c r="GO75" i="7"/>
  <c r="GN75" i="7"/>
  <c r="GL75" i="7"/>
  <c r="GK75" i="7"/>
  <c r="GJ75" i="7"/>
  <c r="GI75" i="7"/>
  <c r="GH75" i="7"/>
  <c r="GG75" i="7"/>
  <c r="GF75" i="7"/>
  <c r="GE75" i="7"/>
  <c r="GD75" i="7"/>
  <c r="GC75" i="7"/>
  <c r="GB75" i="7"/>
  <c r="GA75" i="7"/>
  <c r="FZ75" i="7"/>
  <c r="FY75" i="7"/>
  <c r="FX75" i="7"/>
  <c r="FV75" i="7"/>
  <c r="FU75" i="7"/>
  <c r="FT75" i="7"/>
  <c r="FS75" i="7"/>
  <c r="FR75" i="7"/>
  <c r="FQ75" i="7"/>
  <c r="FP75" i="7"/>
  <c r="FO75" i="7"/>
  <c r="FN75" i="7"/>
  <c r="FM75" i="7"/>
  <c r="FL75" i="7"/>
  <c r="FK75" i="7"/>
  <c r="FJ75" i="7"/>
  <c r="FI75" i="7"/>
  <c r="FH75" i="7"/>
  <c r="FE75" i="7"/>
  <c r="FD75" i="7"/>
  <c r="FC75" i="7"/>
  <c r="FB75" i="7"/>
  <c r="FA75" i="7"/>
  <c r="EZ75" i="7"/>
  <c r="EY75" i="7"/>
  <c r="EX75" i="7"/>
  <c r="EW75" i="7"/>
  <c r="EV75" i="7"/>
  <c r="EU75" i="7"/>
  <c r="ET75" i="7"/>
  <c r="ES75" i="7"/>
  <c r="EP75" i="7"/>
  <c r="EO75" i="7"/>
  <c r="EN75" i="7"/>
  <c r="EM75" i="7"/>
  <c r="EL75" i="7"/>
  <c r="EK75" i="7"/>
  <c r="EJ75" i="7"/>
  <c r="EI75" i="7"/>
  <c r="EH75" i="7"/>
  <c r="EG75" i="7"/>
  <c r="EF75" i="7"/>
  <c r="EE75" i="7"/>
  <c r="ED75" i="7"/>
  <c r="EC75" i="7"/>
  <c r="EB75" i="7"/>
  <c r="IX74" i="7"/>
  <c r="IW74" i="7"/>
  <c r="IV74" i="7"/>
  <c r="IU74" i="7"/>
  <c r="IT74" i="7"/>
  <c r="IS74" i="7"/>
  <c r="IR74" i="7"/>
  <c r="IQ74" i="7"/>
  <c r="IP74" i="7"/>
  <c r="IO74" i="7"/>
  <c r="IN74" i="7"/>
  <c r="IL74" i="7"/>
  <c r="IK74" i="7"/>
  <c r="IJ74" i="7"/>
  <c r="IH74" i="7"/>
  <c r="IG74" i="7"/>
  <c r="IF74" i="7"/>
  <c r="IE74" i="7"/>
  <c r="ID74" i="7"/>
  <c r="IC74" i="7"/>
  <c r="IB74" i="7"/>
  <c r="IA74" i="7"/>
  <c r="HZ74" i="7"/>
  <c r="HY74" i="7"/>
  <c r="HX74" i="7"/>
  <c r="HW74" i="7"/>
  <c r="HV74" i="7"/>
  <c r="HU74" i="7"/>
  <c r="HT74" i="7"/>
  <c r="HR74" i="7"/>
  <c r="HQ74" i="7"/>
  <c r="HP74" i="7"/>
  <c r="HO74" i="7"/>
  <c r="HN74" i="7"/>
  <c r="HM74" i="7"/>
  <c r="HL74" i="7"/>
  <c r="HK74" i="7"/>
  <c r="HJ74" i="7"/>
  <c r="HI74" i="7"/>
  <c r="HH74" i="7"/>
  <c r="HG74" i="7"/>
  <c r="HE74" i="7"/>
  <c r="HD74" i="7"/>
  <c r="HB74" i="7"/>
  <c r="GZ74" i="7"/>
  <c r="GY74" i="7"/>
  <c r="GW74" i="7"/>
  <c r="GU74" i="7"/>
  <c r="GS74" i="7"/>
  <c r="GR74" i="7"/>
  <c r="GQ74" i="7"/>
  <c r="GP74" i="7"/>
  <c r="GO74" i="7"/>
  <c r="GN74" i="7"/>
  <c r="GL74" i="7"/>
  <c r="GK74" i="7"/>
  <c r="GJ74" i="7"/>
  <c r="GI74" i="7"/>
  <c r="GH74" i="7"/>
  <c r="GG74" i="7"/>
  <c r="GF74" i="7"/>
  <c r="GE74" i="7"/>
  <c r="GD74" i="7"/>
  <c r="GC74" i="7"/>
  <c r="GB74" i="7"/>
  <c r="GA74" i="7"/>
  <c r="FZ74" i="7"/>
  <c r="FY74" i="7"/>
  <c r="FX74" i="7"/>
  <c r="FV74" i="7"/>
  <c r="FU74" i="7"/>
  <c r="FT74" i="7"/>
  <c r="FS74" i="7"/>
  <c r="FR74" i="7"/>
  <c r="FQ74" i="7"/>
  <c r="FP74" i="7"/>
  <c r="FO74" i="7"/>
  <c r="FN74" i="7"/>
  <c r="FM74" i="7"/>
  <c r="FL74" i="7"/>
  <c r="FK74" i="7"/>
  <c r="FJ74" i="7"/>
  <c r="FI74" i="7"/>
  <c r="FH74" i="7"/>
  <c r="FE74" i="7"/>
  <c r="FD74" i="7"/>
  <c r="FC74" i="7"/>
  <c r="FB74" i="7"/>
  <c r="FA74" i="7"/>
  <c r="EZ74" i="7"/>
  <c r="EY74" i="7"/>
  <c r="EX74" i="7"/>
  <c r="EW74" i="7"/>
  <c r="EV74" i="7"/>
  <c r="EU74" i="7"/>
  <c r="ET74" i="7"/>
  <c r="ES74" i="7"/>
  <c r="EP74" i="7"/>
  <c r="EO74" i="7"/>
  <c r="EN74" i="7"/>
  <c r="EM74" i="7"/>
  <c r="EL74" i="7"/>
  <c r="EK74" i="7"/>
  <c r="EJ74" i="7"/>
  <c r="EI74" i="7"/>
  <c r="EH74" i="7"/>
  <c r="EG74" i="7"/>
  <c r="EF74" i="7"/>
  <c r="EE74" i="7"/>
  <c r="ED74" i="7"/>
  <c r="EC74" i="7"/>
  <c r="EB74" i="7"/>
  <c r="IX73" i="7"/>
  <c r="IW73" i="7"/>
  <c r="IV73" i="7"/>
  <c r="IU73" i="7"/>
  <c r="IT73" i="7"/>
  <c r="IS73" i="7"/>
  <c r="IR73" i="7"/>
  <c r="IQ73" i="7"/>
  <c r="IP73" i="7"/>
  <c r="IO73" i="7"/>
  <c r="IN73" i="7"/>
  <c r="IM73" i="7"/>
  <c r="IL73" i="7"/>
  <c r="IK73" i="7"/>
  <c r="IJ73" i="7"/>
  <c r="IH73" i="7"/>
  <c r="IG73" i="7"/>
  <c r="IF73" i="7"/>
  <c r="IE73" i="7"/>
  <c r="ID73" i="7"/>
  <c r="IC73" i="7"/>
  <c r="IB73" i="7"/>
  <c r="IA73" i="7"/>
  <c r="HZ73" i="7"/>
  <c r="HY73" i="7"/>
  <c r="HX73" i="7"/>
  <c r="HW73" i="7"/>
  <c r="HV73" i="7"/>
  <c r="HU73" i="7"/>
  <c r="HT73" i="7"/>
  <c r="HR73" i="7"/>
  <c r="HQ73" i="7"/>
  <c r="HP73" i="7"/>
  <c r="HO73" i="7"/>
  <c r="HN73" i="7"/>
  <c r="HM73" i="7"/>
  <c r="HL73" i="7"/>
  <c r="HK73" i="7"/>
  <c r="HJ73" i="7"/>
  <c r="HI73" i="7"/>
  <c r="HH73" i="7"/>
  <c r="HG73" i="7"/>
  <c r="HE73" i="7"/>
  <c r="HD73" i="7"/>
  <c r="HA73" i="7"/>
  <c r="GZ73" i="7"/>
  <c r="GX73" i="7"/>
  <c r="GW73" i="7"/>
  <c r="GS73" i="7"/>
  <c r="GR73" i="7"/>
  <c r="GQ73" i="7"/>
  <c r="GP73" i="7"/>
  <c r="GO73" i="7"/>
  <c r="GN73" i="7"/>
  <c r="GL73" i="7"/>
  <c r="GK73" i="7"/>
  <c r="GJ73" i="7"/>
  <c r="GI73" i="7"/>
  <c r="GH73" i="7"/>
  <c r="GG73" i="7"/>
  <c r="GF73" i="7"/>
  <c r="GE73" i="7"/>
  <c r="GD73" i="7"/>
  <c r="GC73" i="7"/>
  <c r="GB73" i="7"/>
  <c r="GA73" i="7"/>
  <c r="FZ73" i="7"/>
  <c r="FY73" i="7"/>
  <c r="FX73" i="7"/>
  <c r="FV73" i="7"/>
  <c r="FU73" i="7"/>
  <c r="FT73" i="7"/>
  <c r="FS73" i="7"/>
  <c r="FR73" i="7"/>
  <c r="FQ73" i="7"/>
  <c r="FP73" i="7"/>
  <c r="FO73" i="7"/>
  <c r="FN73" i="7"/>
  <c r="FM73" i="7"/>
  <c r="FL73" i="7"/>
  <c r="FK73" i="7"/>
  <c r="FJ73" i="7"/>
  <c r="FI73" i="7"/>
  <c r="FH73" i="7"/>
  <c r="FE73" i="7"/>
  <c r="FD73" i="7"/>
  <c r="FC73" i="7"/>
  <c r="FB73" i="7"/>
  <c r="FA73" i="7"/>
  <c r="EZ73" i="7"/>
  <c r="EY73" i="7"/>
  <c r="EX73" i="7"/>
  <c r="EW73" i="7"/>
  <c r="EV73" i="7"/>
  <c r="EU73" i="7"/>
  <c r="ET73" i="7"/>
  <c r="ES73" i="7"/>
  <c r="EP73" i="7"/>
  <c r="EO73" i="7"/>
  <c r="EN73" i="7"/>
  <c r="EM73" i="7"/>
  <c r="EL73" i="7"/>
  <c r="EK73" i="7"/>
  <c r="EJ73" i="7"/>
  <c r="EI73" i="7"/>
  <c r="EH73" i="7"/>
  <c r="EG73" i="7"/>
  <c r="EF73" i="7"/>
  <c r="EE73" i="7"/>
  <c r="ED73" i="7"/>
  <c r="EC73" i="7"/>
  <c r="EB73" i="7"/>
  <c r="IX72" i="7"/>
  <c r="IW72" i="7"/>
  <c r="IV72" i="7"/>
  <c r="IU72" i="7"/>
  <c r="IT72" i="7"/>
  <c r="IS72" i="7"/>
  <c r="IR72" i="7"/>
  <c r="IQ72" i="7"/>
  <c r="IP72" i="7"/>
  <c r="IO72" i="7"/>
  <c r="IN72" i="7"/>
  <c r="IL72" i="7"/>
  <c r="IK72" i="7"/>
  <c r="IJ72" i="7"/>
  <c r="IH72" i="7"/>
  <c r="IG72" i="7"/>
  <c r="IF72" i="7"/>
  <c r="IE72" i="7"/>
  <c r="ID72" i="7"/>
  <c r="IC72" i="7"/>
  <c r="IB72" i="7"/>
  <c r="IA72" i="7"/>
  <c r="HZ72" i="7"/>
  <c r="HY72" i="7"/>
  <c r="HX72" i="7"/>
  <c r="HW72" i="7"/>
  <c r="HV72" i="7"/>
  <c r="HU72" i="7"/>
  <c r="HT72" i="7"/>
  <c r="HR72" i="7"/>
  <c r="HQ72" i="7"/>
  <c r="HP72" i="7"/>
  <c r="HO72" i="7"/>
  <c r="HN72" i="7"/>
  <c r="HM72" i="7"/>
  <c r="HL72" i="7"/>
  <c r="HK72" i="7"/>
  <c r="HJ72" i="7"/>
  <c r="HI72" i="7"/>
  <c r="HH72" i="7"/>
  <c r="HG72" i="7"/>
  <c r="HE72" i="7"/>
  <c r="HD72" i="7"/>
  <c r="GZ72" i="7"/>
  <c r="GY72" i="7"/>
  <c r="GX72" i="7"/>
  <c r="GW72" i="7"/>
  <c r="GV72" i="7"/>
  <c r="GS72" i="7"/>
  <c r="GR72" i="7"/>
  <c r="GQ72" i="7"/>
  <c r="GP72" i="7"/>
  <c r="GO72" i="7"/>
  <c r="GN72" i="7"/>
  <c r="GL72" i="7"/>
  <c r="GK72" i="7"/>
  <c r="GJ72" i="7"/>
  <c r="GI72" i="7"/>
  <c r="GH72" i="7"/>
  <c r="GG72" i="7"/>
  <c r="GF72" i="7"/>
  <c r="GE72" i="7"/>
  <c r="GD72" i="7"/>
  <c r="GC72" i="7"/>
  <c r="GB72" i="7"/>
  <c r="GA72" i="7"/>
  <c r="FZ72" i="7"/>
  <c r="FY72" i="7"/>
  <c r="FX72" i="7"/>
  <c r="FV72" i="7"/>
  <c r="FU72" i="7"/>
  <c r="FT72" i="7"/>
  <c r="FS72" i="7"/>
  <c r="FR72" i="7"/>
  <c r="FQ72" i="7"/>
  <c r="FP72" i="7"/>
  <c r="FO72" i="7"/>
  <c r="FN72" i="7"/>
  <c r="FM72" i="7"/>
  <c r="FL72" i="7"/>
  <c r="FK72" i="7"/>
  <c r="FJ72" i="7"/>
  <c r="FI72" i="7"/>
  <c r="FH72" i="7"/>
  <c r="FE72" i="7"/>
  <c r="FD72" i="7"/>
  <c r="FC72" i="7"/>
  <c r="FB72" i="7"/>
  <c r="FA72" i="7"/>
  <c r="EZ72" i="7"/>
  <c r="EY72" i="7"/>
  <c r="EX72" i="7"/>
  <c r="EW72" i="7"/>
  <c r="EV72" i="7"/>
  <c r="EU72" i="7"/>
  <c r="ET72" i="7"/>
  <c r="ES72" i="7"/>
  <c r="EP72" i="7"/>
  <c r="EO72" i="7"/>
  <c r="EN72" i="7"/>
  <c r="EM72" i="7"/>
  <c r="EL72" i="7"/>
  <c r="EK72" i="7"/>
  <c r="EJ72" i="7"/>
  <c r="EI72" i="7"/>
  <c r="EH72" i="7"/>
  <c r="EG72" i="7"/>
  <c r="EF72" i="7"/>
  <c r="EE72" i="7"/>
  <c r="ED72" i="7"/>
  <c r="EC72" i="7"/>
  <c r="EB72" i="7"/>
  <c r="EA88" i="7"/>
  <c r="EA87" i="7"/>
  <c r="CD73" i="5" s="1"/>
  <c r="EA86" i="7"/>
  <c r="CC24" i="5" s="1"/>
  <c r="EA85" i="7"/>
  <c r="CB45" i="5" s="1"/>
  <c r="EA84" i="7"/>
  <c r="EA83" i="7"/>
  <c r="BZ10" i="5" s="1"/>
  <c r="EA82" i="7"/>
  <c r="BY3" i="5" s="1"/>
  <c r="B82" i="18" s="1"/>
  <c r="EA81" i="7"/>
  <c r="EA80" i="7"/>
  <c r="BW10" i="5" s="1"/>
  <c r="EA79" i="7"/>
  <c r="EA78" i="7"/>
  <c r="EA77" i="7"/>
  <c r="BT45" i="5" s="1"/>
  <c r="ED89" i="7"/>
  <c r="EA89" i="7"/>
  <c r="AE703" i="6"/>
  <c r="AC703" i="6"/>
  <c r="AA703" i="6"/>
  <c r="Y703" i="6"/>
  <c r="W703" i="6"/>
  <c r="U703" i="6"/>
  <c r="S703" i="6"/>
  <c r="Q703" i="6"/>
  <c r="O703" i="6"/>
  <c r="M703" i="6"/>
  <c r="K703" i="6"/>
  <c r="I703" i="6"/>
  <c r="G703" i="6"/>
  <c r="E703" i="6"/>
  <c r="C703" i="6"/>
  <c r="AE702" i="6"/>
  <c r="AC702" i="6"/>
  <c r="AA702" i="6"/>
  <c r="Y702" i="6"/>
  <c r="W702" i="6"/>
  <c r="U702" i="6"/>
  <c r="S702" i="6"/>
  <c r="Q702" i="6"/>
  <c r="O702" i="6"/>
  <c r="M702" i="6"/>
  <c r="K702" i="6"/>
  <c r="I702" i="6"/>
  <c r="G702" i="6"/>
  <c r="E702" i="6"/>
  <c r="C702" i="6"/>
  <c r="AE701" i="6"/>
  <c r="AC701" i="6"/>
  <c r="AA701" i="6"/>
  <c r="Y701" i="6"/>
  <c r="W701" i="6"/>
  <c r="U701" i="6"/>
  <c r="S701" i="6"/>
  <c r="Q701" i="6"/>
  <c r="O701" i="6"/>
  <c r="M701" i="6"/>
  <c r="K701" i="6"/>
  <c r="I701" i="6"/>
  <c r="G701" i="6"/>
  <c r="E701" i="6"/>
  <c r="C701" i="6"/>
  <c r="AE700" i="6"/>
  <c r="AC700" i="6"/>
  <c r="AA700" i="6"/>
  <c r="Y700" i="6"/>
  <c r="W700" i="6"/>
  <c r="U700" i="6"/>
  <c r="S700" i="6"/>
  <c r="Q700" i="6"/>
  <c r="O700" i="6"/>
  <c r="M700" i="6"/>
  <c r="K700" i="6"/>
  <c r="I700" i="6"/>
  <c r="G700" i="6"/>
  <c r="E700" i="6"/>
  <c r="C700" i="6"/>
  <c r="AE699" i="6"/>
  <c r="AC699" i="6"/>
  <c r="AA699" i="6"/>
  <c r="Y699" i="6"/>
  <c r="W699" i="6"/>
  <c r="U699" i="6"/>
  <c r="S699" i="6"/>
  <c r="Q699" i="6"/>
  <c r="O699" i="6"/>
  <c r="M699" i="6"/>
  <c r="K699" i="6"/>
  <c r="I699" i="6"/>
  <c r="G699" i="6"/>
  <c r="E699" i="6"/>
  <c r="C699" i="6"/>
  <c r="AE698" i="6"/>
  <c r="AC698" i="6"/>
  <c r="AA698" i="6"/>
  <c r="Y698" i="6"/>
  <c r="W698" i="6"/>
  <c r="U698" i="6"/>
  <c r="S698" i="6"/>
  <c r="Q698" i="6"/>
  <c r="O698" i="6"/>
  <c r="M698" i="6"/>
  <c r="K698" i="6"/>
  <c r="I698" i="6"/>
  <c r="G698" i="6"/>
  <c r="E698" i="6"/>
  <c r="C698" i="6"/>
  <c r="AE697" i="6"/>
  <c r="AC697" i="6"/>
  <c r="AA697" i="6"/>
  <c r="Y697" i="6"/>
  <c r="W697" i="6"/>
  <c r="U697" i="6"/>
  <c r="S697" i="6"/>
  <c r="Q697" i="6"/>
  <c r="O697" i="6"/>
  <c r="M697" i="6"/>
  <c r="K697" i="6"/>
  <c r="I697" i="6"/>
  <c r="G697" i="6"/>
  <c r="E697" i="6"/>
  <c r="C697" i="6"/>
  <c r="AE696" i="6"/>
  <c r="AC696" i="6"/>
  <c r="AA696" i="6"/>
  <c r="Y696" i="6"/>
  <c r="W696" i="6"/>
  <c r="U696" i="6"/>
  <c r="S696" i="6"/>
  <c r="Q696" i="6"/>
  <c r="O696" i="6"/>
  <c r="M696" i="6"/>
  <c r="K696" i="6"/>
  <c r="I696" i="6"/>
  <c r="G696" i="6"/>
  <c r="E696" i="6"/>
  <c r="C696" i="6"/>
  <c r="AE695" i="6"/>
  <c r="AC695" i="6"/>
  <c r="AA695" i="6"/>
  <c r="Y695" i="6"/>
  <c r="W695" i="6"/>
  <c r="U695" i="6"/>
  <c r="S695" i="6"/>
  <c r="Q695" i="6"/>
  <c r="O695" i="6"/>
  <c r="M695" i="6"/>
  <c r="K695" i="6"/>
  <c r="I695" i="6"/>
  <c r="G695" i="6"/>
  <c r="E695" i="6"/>
  <c r="C695" i="6"/>
  <c r="AE694" i="6"/>
  <c r="AC694" i="6"/>
  <c r="AA694" i="6"/>
  <c r="Y694" i="6"/>
  <c r="W694" i="6"/>
  <c r="U694" i="6"/>
  <c r="S694" i="6"/>
  <c r="Q694" i="6"/>
  <c r="O694" i="6"/>
  <c r="M694" i="6"/>
  <c r="K694" i="6"/>
  <c r="I694" i="6"/>
  <c r="G694" i="6"/>
  <c r="E694" i="6"/>
  <c r="C694" i="6"/>
  <c r="AE693" i="6"/>
  <c r="AC693" i="6"/>
  <c r="AA693" i="6"/>
  <c r="Y693" i="6"/>
  <c r="W693" i="6"/>
  <c r="U693" i="6"/>
  <c r="S693" i="6"/>
  <c r="Q693" i="6"/>
  <c r="O693" i="6"/>
  <c r="M693" i="6"/>
  <c r="K693" i="6"/>
  <c r="I693" i="6"/>
  <c r="G693" i="6"/>
  <c r="E693" i="6"/>
  <c r="C693" i="6"/>
  <c r="AE692" i="6"/>
  <c r="AC692" i="6"/>
  <c r="AA692" i="6"/>
  <c r="Y692" i="6"/>
  <c r="W692" i="6"/>
  <c r="U692" i="6"/>
  <c r="S692" i="6"/>
  <c r="Q692" i="6"/>
  <c r="O692" i="6"/>
  <c r="M692" i="6"/>
  <c r="K692" i="6"/>
  <c r="I692" i="6"/>
  <c r="G692" i="6"/>
  <c r="E692" i="6"/>
  <c r="C692" i="6"/>
  <c r="AE691" i="6"/>
  <c r="AC691" i="6"/>
  <c r="AA691" i="6"/>
  <c r="Y691" i="6"/>
  <c r="W691" i="6"/>
  <c r="U691" i="6"/>
  <c r="S691" i="6"/>
  <c r="Q691" i="6"/>
  <c r="O691" i="6"/>
  <c r="M691" i="6"/>
  <c r="K691" i="6"/>
  <c r="I691" i="6"/>
  <c r="G691" i="6"/>
  <c r="E691" i="6"/>
  <c r="C691" i="6"/>
  <c r="AE690" i="6"/>
  <c r="AC690" i="6"/>
  <c r="AA690" i="6"/>
  <c r="Y690" i="6"/>
  <c r="W690" i="6"/>
  <c r="U690" i="6"/>
  <c r="S690" i="6"/>
  <c r="Q690" i="6"/>
  <c r="O690" i="6"/>
  <c r="M690" i="6"/>
  <c r="K690" i="6"/>
  <c r="I690" i="6"/>
  <c r="IM75" i="7" s="1"/>
  <c r="G690" i="6"/>
  <c r="E690" i="6"/>
  <c r="C690" i="6"/>
  <c r="AE689" i="6"/>
  <c r="AC689" i="6"/>
  <c r="AA689" i="6"/>
  <c r="Y689" i="6"/>
  <c r="W689" i="6"/>
  <c r="U689" i="6"/>
  <c r="S689" i="6"/>
  <c r="Q689" i="6"/>
  <c r="O689" i="6"/>
  <c r="M689" i="6"/>
  <c r="K689" i="6"/>
  <c r="I689" i="6"/>
  <c r="IM74" i="7" s="1"/>
  <c r="G689" i="6"/>
  <c r="E689" i="6"/>
  <c r="C689" i="6"/>
  <c r="AE688" i="6"/>
  <c r="AC688" i="6"/>
  <c r="AA688" i="6"/>
  <c r="Y688" i="6"/>
  <c r="W688" i="6"/>
  <c r="U688" i="6"/>
  <c r="S688" i="6"/>
  <c r="Q688" i="6"/>
  <c r="O688" i="6"/>
  <c r="M688" i="6"/>
  <c r="K688" i="6"/>
  <c r="I688" i="6"/>
  <c r="G688" i="6"/>
  <c r="E688" i="6"/>
  <c r="C688" i="6"/>
  <c r="AE687" i="6"/>
  <c r="AC687" i="6"/>
  <c r="AA687" i="6"/>
  <c r="Y687" i="6"/>
  <c r="W687" i="6"/>
  <c r="U687" i="6"/>
  <c r="S687" i="6"/>
  <c r="Q687" i="6"/>
  <c r="O687" i="6"/>
  <c r="M687" i="6"/>
  <c r="K687" i="6"/>
  <c r="I687" i="6"/>
  <c r="IM72" i="7" s="1"/>
  <c r="G687" i="6"/>
  <c r="E687" i="6"/>
  <c r="C687" i="6"/>
  <c r="AE686" i="6"/>
  <c r="AC686" i="6"/>
  <c r="AA686" i="6"/>
  <c r="Y686" i="6"/>
  <c r="W686" i="6"/>
  <c r="U686" i="6"/>
  <c r="S686" i="6"/>
  <c r="Q686" i="6"/>
  <c r="O686" i="6"/>
  <c r="M686" i="6"/>
  <c r="K686" i="6"/>
  <c r="I686" i="6"/>
  <c r="G686" i="6"/>
  <c r="E686" i="6"/>
  <c r="C686" i="6"/>
  <c r="AE685" i="6"/>
  <c r="AC685" i="6"/>
  <c r="AA685" i="6"/>
  <c r="Y685" i="6"/>
  <c r="W685" i="6"/>
  <c r="U685" i="6"/>
  <c r="S685" i="6"/>
  <c r="Q685" i="6"/>
  <c r="O685" i="6"/>
  <c r="M685" i="6"/>
  <c r="K685" i="6"/>
  <c r="I685" i="6"/>
  <c r="G685" i="6"/>
  <c r="E685" i="6"/>
  <c r="C685" i="6"/>
  <c r="AE684" i="6"/>
  <c r="AC684" i="6"/>
  <c r="AA684" i="6"/>
  <c r="Y684" i="6"/>
  <c r="W684" i="6"/>
  <c r="U684" i="6"/>
  <c r="S684" i="6"/>
  <c r="Q684" i="6"/>
  <c r="O684" i="6"/>
  <c r="M684" i="6"/>
  <c r="K684" i="6"/>
  <c r="I684" i="6"/>
  <c r="G684" i="6"/>
  <c r="E684" i="6"/>
  <c r="C684" i="6"/>
  <c r="AE683" i="6"/>
  <c r="AC683" i="6"/>
  <c r="AA683" i="6"/>
  <c r="Y683" i="6"/>
  <c r="W683" i="6"/>
  <c r="U683" i="6"/>
  <c r="S683" i="6"/>
  <c r="Q683" i="6"/>
  <c r="O683" i="6"/>
  <c r="M683" i="6"/>
  <c r="K683" i="6"/>
  <c r="I683" i="6"/>
  <c r="G683" i="6"/>
  <c r="E683" i="6"/>
  <c r="C683" i="6"/>
  <c r="AE682" i="6"/>
  <c r="AC682" i="6"/>
  <c r="AA682" i="6"/>
  <c r="Y682" i="6"/>
  <c r="W682" i="6"/>
  <c r="U682" i="6"/>
  <c r="S682" i="6"/>
  <c r="Q682" i="6"/>
  <c r="O682" i="6"/>
  <c r="M682" i="6"/>
  <c r="K682" i="6"/>
  <c r="I682" i="6"/>
  <c r="G682" i="6"/>
  <c r="E682" i="6"/>
  <c r="C682" i="6"/>
  <c r="AE681" i="6"/>
  <c r="AC681" i="6"/>
  <c r="AA681" i="6"/>
  <c r="Y681" i="6"/>
  <c r="W681" i="6"/>
  <c r="U681" i="6"/>
  <c r="S681" i="6"/>
  <c r="Q681" i="6"/>
  <c r="O681" i="6"/>
  <c r="M681" i="6"/>
  <c r="K681" i="6"/>
  <c r="I681" i="6"/>
  <c r="G681" i="6"/>
  <c r="E681" i="6"/>
  <c r="C681" i="6"/>
  <c r="AE680" i="6"/>
  <c r="AC680" i="6"/>
  <c r="AA680" i="6"/>
  <c r="Y680" i="6"/>
  <c r="W680" i="6"/>
  <c r="U680" i="6"/>
  <c r="S680" i="6"/>
  <c r="Q680" i="6"/>
  <c r="O680" i="6"/>
  <c r="M680" i="6"/>
  <c r="K680" i="6"/>
  <c r="I680" i="6"/>
  <c r="G680" i="6"/>
  <c r="E680" i="6"/>
  <c r="C680" i="6"/>
  <c r="AE679" i="6"/>
  <c r="AC679" i="6"/>
  <c r="AA679" i="6"/>
  <c r="Y679" i="6"/>
  <c r="W679" i="6"/>
  <c r="U679" i="6"/>
  <c r="S679" i="6"/>
  <c r="Q679" i="6"/>
  <c r="O679" i="6"/>
  <c r="M679" i="6"/>
  <c r="K679" i="6"/>
  <c r="I679" i="6"/>
  <c r="G679" i="6"/>
  <c r="E679" i="6"/>
  <c r="C679" i="6"/>
  <c r="AE678" i="6"/>
  <c r="AC678" i="6"/>
  <c r="AA678" i="6"/>
  <c r="Y678" i="6"/>
  <c r="W678" i="6"/>
  <c r="U678" i="6"/>
  <c r="S678" i="6"/>
  <c r="Q678" i="6"/>
  <c r="O678" i="6"/>
  <c r="M678" i="6"/>
  <c r="K678" i="6"/>
  <c r="I678" i="6"/>
  <c r="G678" i="6"/>
  <c r="E678" i="6"/>
  <c r="C678" i="6"/>
  <c r="AE677" i="6"/>
  <c r="AC677" i="6"/>
  <c r="AA677" i="6"/>
  <c r="Y677" i="6"/>
  <c r="W677" i="6"/>
  <c r="U677" i="6"/>
  <c r="S677" i="6"/>
  <c r="Q677" i="6"/>
  <c r="O677" i="6"/>
  <c r="M677" i="6"/>
  <c r="K677" i="6"/>
  <c r="I677" i="6"/>
  <c r="G677" i="6"/>
  <c r="E677" i="6"/>
  <c r="C677" i="6"/>
  <c r="AE676" i="6"/>
  <c r="AC676" i="6"/>
  <c r="AA676" i="6"/>
  <c r="Y676" i="6"/>
  <c r="W676" i="6"/>
  <c r="U676" i="6"/>
  <c r="S676" i="6"/>
  <c r="Q676" i="6"/>
  <c r="O676" i="6"/>
  <c r="M676" i="6"/>
  <c r="K676" i="6"/>
  <c r="I676" i="6"/>
  <c r="G676" i="6"/>
  <c r="E676" i="6"/>
  <c r="C676" i="6"/>
  <c r="AE675" i="6"/>
  <c r="AC675" i="6"/>
  <c r="AA675" i="6"/>
  <c r="Y675" i="6"/>
  <c r="W675" i="6"/>
  <c r="U675" i="6"/>
  <c r="S675" i="6"/>
  <c r="Q675" i="6"/>
  <c r="O675" i="6"/>
  <c r="M675" i="6"/>
  <c r="K675" i="6"/>
  <c r="I675" i="6"/>
  <c r="G675" i="6"/>
  <c r="E675" i="6"/>
  <c r="C675" i="6"/>
  <c r="AE674" i="6"/>
  <c r="AC674" i="6"/>
  <c r="AA674" i="6"/>
  <c r="Y674" i="6"/>
  <c r="W674" i="6"/>
  <c r="U674" i="6"/>
  <c r="S674" i="6"/>
  <c r="Q674" i="6"/>
  <c r="O674" i="6"/>
  <c r="M674" i="6"/>
  <c r="K674" i="6"/>
  <c r="I674" i="6"/>
  <c r="G674" i="6"/>
  <c r="E674" i="6"/>
  <c r="C674" i="6"/>
  <c r="AE673" i="6"/>
  <c r="AC673" i="6"/>
  <c r="AA673" i="6"/>
  <c r="Y673" i="6"/>
  <c r="W673" i="6"/>
  <c r="U673" i="6"/>
  <c r="S673" i="6"/>
  <c r="Q673" i="6"/>
  <c r="O673" i="6"/>
  <c r="M673" i="6"/>
  <c r="K673" i="6"/>
  <c r="I673" i="6"/>
  <c r="G673" i="6"/>
  <c r="E673" i="6"/>
  <c r="C673" i="6"/>
  <c r="AE615" i="6"/>
  <c r="AC615" i="6"/>
  <c r="AA615" i="6"/>
  <c r="Y615" i="6"/>
  <c r="W615" i="6"/>
  <c r="U615" i="6"/>
  <c r="S615" i="6"/>
  <c r="Q615" i="6"/>
  <c r="O615" i="6"/>
  <c r="M615" i="6"/>
  <c r="K615" i="6"/>
  <c r="I615" i="6"/>
  <c r="G615" i="6"/>
  <c r="E615" i="6"/>
  <c r="C615" i="6"/>
  <c r="AE614" i="6"/>
  <c r="AC614" i="6"/>
  <c r="AA614" i="6"/>
  <c r="Y614" i="6"/>
  <c r="W614" i="6"/>
  <c r="U614" i="6"/>
  <c r="S614" i="6"/>
  <c r="Q614" i="6"/>
  <c r="O614" i="6"/>
  <c r="M614" i="6"/>
  <c r="K614" i="6"/>
  <c r="I614" i="6"/>
  <c r="G614" i="6"/>
  <c r="E614" i="6"/>
  <c r="C614" i="6"/>
  <c r="AE613" i="6"/>
  <c r="AC613" i="6"/>
  <c r="AA613" i="6"/>
  <c r="Y613" i="6"/>
  <c r="W613" i="6"/>
  <c r="U613" i="6"/>
  <c r="S613" i="6"/>
  <c r="Q613" i="6"/>
  <c r="O613" i="6"/>
  <c r="M613" i="6"/>
  <c r="K613" i="6"/>
  <c r="I613" i="6"/>
  <c r="G613" i="6"/>
  <c r="E613" i="6"/>
  <c r="C613" i="6"/>
  <c r="AE612" i="6"/>
  <c r="AC612" i="6"/>
  <c r="AA612" i="6"/>
  <c r="Y612" i="6"/>
  <c r="W612" i="6"/>
  <c r="U612" i="6"/>
  <c r="S612" i="6"/>
  <c r="Q612" i="6"/>
  <c r="O612" i="6"/>
  <c r="M612" i="6"/>
  <c r="K612" i="6"/>
  <c r="I612" i="6"/>
  <c r="G612" i="6"/>
  <c r="E612" i="6"/>
  <c r="C612" i="6"/>
  <c r="AE611" i="6"/>
  <c r="AC611" i="6"/>
  <c r="AA611" i="6"/>
  <c r="Y611" i="6"/>
  <c r="W611" i="6"/>
  <c r="U611" i="6"/>
  <c r="S611" i="6"/>
  <c r="Q611" i="6"/>
  <c r="O611" i="6"/>
  <c r="M611" i="6"/>
  <c r="K611" i="6"/>
  <c r="I611" i="6"/>
  <c r="G611" i="6"/>
  <c r="E611" i="6"/>
  <c r="C611" i="6"/>
  <c r="AE610" i="6"/>
  <c r="AC610" i="6"/>
  <c r="AA610" i="6"/>
  <c r="Y610" i="6"/>
  <c r="W610" i="6"/>
  <c r="U610" i="6"/>
  <c r="S610" i="6"/>
  <c r="Q610" i="6"/>
  <c r="O610" i="6"/>
  <c r="M610" i="6"/>
  <c r="K610" i="6"/>
  <c r="I610" i="6"/>
  <c r="G610" i="6"/>
  <c r="E610" i="6"/>
  <c r="C610" i="6"/>
  <c r="AE609" i="6"/>
  <c r="AC609" i="6"/>
  <c r="AA609" i="6"/>
  <c r="Y609" i="6"/>
  <c r="W609" i="6"/>
  <c r="U609" i="6"/>
  <c r="S609" i="6"/>
  <c r="Q609" i="6"/>
  <c r="O609" i="6"/>
  <c r="M609" i="6"/>
  <c r="K609" i="6"/>
  <c r="I609" i="6"/>
  <c r="G609" i="6"/>
  <c r="E609" i="6"/>
  <c r="C609" i="6"/>
  <c r="AE608" i="6"/>
  <c r="AC608" i="6"/>
  <c r="AA608" i="6"/>
  <c r="Y608" i="6"/>
  <c r="W608" i="6"/>
  <c r="U608" i="6"/>
  <c r="S608" i="6"/>
  <c r="Q608" i="6"/>
  <c r="O608" i="6"/>
  <c r="M608" i="6"/>
  <c r="K608" i="6"/>
  <c r="I608" i="6"/>
  <c r="G608" i="6"/>
  <c r="E608" i="6"/>
  <c r="C608" i="6"/>
  <c r="AE607" i="6"/>
  <c r="AC607" i="6"/>
  <c r="AA607" i="6"/>
  <c r="Y607" i="6"/>
  <c r="W607" i="6"/>
  <c r="U607" i="6"/>
  <c r="S607" i="6"/>
  <c r="Q607" i="6"/>
  <c r="O607" i="6"/>
  <c r="M607" i="6"/>
  <c r="K607" i="6"/>
  <c r="I607" i="6"/>
  <c r="G607" i="6"/>
  <c r="E607" i="6"/>
  <c r="C607" i="6"/>
  <c r="AE606" i="6"/>
  <c r="AC606" i="6"/>
  <c r="AA606" i="6"/>
  <c r="Y606" i="6"/>
  <c r="W606" i="6"/>
  <c r="U606" i="6"/>
  <c r="S606" i="6"/>
  <c r="Q606" i="6"/>
  <c r="O606" i="6"/>
  <c r="M606" i="6"/>
  <c r="K606" i="6"/>
  <c r="I606" i="6"/>
  <c r="G606" i="6"/>
  <c r="E606" i="6"/>
  <c r="C606" i="6"/>
  <c r="AE605" i="6"/>
  <c r="AC605" i="6"/>
  <c r="AA605" i="6"/>
  <c r="Y605" i="6"/>
  <c r="W605" i="6"/>
  <c r="U605" i="6"/>
  <c r="S605" i="6"/>
  <c r="Q605" i="6"/>
  <c r="O605" i="6"/>
  <c r="M605" i="6"/>
  <c r="K605" i="6"/>
  <c r="I605" i="6"/>
  <c r="G605" i="6"/>
  <c r="E605" i="6"/>
  <c r="C605" i="6"/>
  <c r="AE604" i="6"/>
  <c r="AC604" i="6"/>
  <c r="AA604" i="6"/>
  <c r="Y604" i="6"/>
  <c r="W604" i="6"/>
  <c r="U604" i="6"/>
  <c r="S604" i="6"/>
  <c r="Q604" i="6"/>
  <c r="O604" i="6"/>
  <c r="M604" i="6"/>
  <c r="K604" i="6"/>
  <c r="I604" i="6"/>
  <c r="G604" i="6"/>
  <c r="E604" i="6"/>
  <c r="C604" i="6"/>
  <c r="AE603" i="6"/>
  <c r="AC603" i="6"/>
  <c r="AA603" i="6"/>
  <c r="Y603" i="6"/>
  <c r="W603" i="6"/>
  <c r="U603" i="6"/>
  <c r="S603" i="6"/>
  <c r="Q603" i="6"/>
  <c r="O603" i="6"/>
  <c r="M603" i="6"/>
  <c r="K603" i="6"/>
  <c r="I603" i="6"/>
  <c r="G603" i="6"/>
  <c r="E603" i="6"/>
  <c r="C603" i="6"/>
  <c r="AE602" i="6"/>
  <c r="AC602" i="6"/>
  <c r="AA602" i="6"/>
  <c r="Y602" i="6"/>
  <c r="W602" i="6"/>
  <c r="U602" i="6"/>
  <c r="S602" i="6"/>
  <c r="Q602" i="6"/>
  <c r="O602" i="6"/>
  <c r="M602" i="6"/>
  <c r="K602" i="6"/>
  <c r="I602" i="6"/>
  <c r="G602" i="6"/>
  <c r="E602" i="6"/>
  <c r="C602" i="6"/>
  <c r="AE601" i="6"/>
  <c r="AC601" i="6"/>
  <c r="AA601" i="6"/>
  <c r="Y601" i="6"/>
  <c r="W601" i="6"/>
  <c r="U601" i="6"/>
  <c r="S601" i="6"/>
  <c r="Q601" i="6"/>
  <c r="O601" i="6"/>
  <c r="M601" i="6"/>
  <c r="K601" i="6"/>
  <c r="I601" i="6"/>
  <c r="G601" i="6"/>
  <c r="E601" i="6"/>
  <c r="C601" i="6"/>
  <c r="AE600" i="6"/>
  <c r="AC600" i="6"/>
  <c r="AA600" i="6"/>
  <c r="Y600" i="6"/>
  <c r="W600" i="6"/>
  <c r="U600" i="6"/>
  <c r="S600" i="6"/>
  <c r="Q600" i="6"/>
  <c r="O600" i="6"/>
  <c r="M600" i="6"/>
  <c r="K600" i="6"/>
  <c r="I600" i="6"/>
  <c r="G600" i="6"/>
  <c r="E600" i="6"/>
  <c r="C600" i="6"/>
  <c r="AE599" i="6"/>
  <c r="AC599" i="6"/>
  <c r="AA599" i="6"/>
  <c r="Y599" i="6"/>
  <c r="W599" i="6"/>
  <c r="U599" i="6"/>
  <c r="S599" i="6"/>
  <c r="Q599" i="6"/>
  <c r="O599" i="6"/>
  <c r="M599" i="6"/>
  <c r="K599" i="6"/>
  <c r="I599" i="6"/>
  <c r="G599" i="6"/>
  <c r="E599" i="6"/>
  <c r="C599" i="6"/>
  <c r="AE598" i="6"/>
  <c r="AC598" i="6"/>
  <c r="AA598" i="6"/>
  <c r="Y598" i="6"/>
  <c r="W598" i="6"/>
  <c r="U598" i="6"/>
  <c r="S598" i="6"/>
  <c r="Q598" i="6"/>
  <c r="O598" i="6"/>
  <c r="M598" i="6"/>
  <c r="K598" i="6"/>
  <c r="I598" i="6"/>
  <c r="G598" i="6"/>
  <c r="E598" i="6"/>
  <c r="C598" i="6"/>
  <c r="AE597" i="6"/>
  <c r="AC597" i="6"/>
  <c r="AA597" i="6"/>
  <c r="Y597" i="6"/>
  <c r="W597" i="6"/>
  <c r="U597" i="6"/>
  <c r="S597" i="6"/>
  <c r="Q597" i="6"/>
  <c r="O597" i="6"/>
  <c r="M597" i="6"/>
  <c r="K597" i="6"/>
  <c r="I597" i="6"/>
  <c r="G597" i="6"/>
  <c r="E597" i="6"/>
  <c r="C597" i="6"/>
  <c r="AE596" i="6"/>
  <c r="AC596" i="6"/>
  <c r="AA596" i="6"/>
  <c r="Y596" i="6"/>
  <c r="W596" i="6"/>
  <c r="U596" i="6"/>
  <c r="S596" i="6"/>
  <c r="Q596" i="6"/>
  <c r="O596" i="6"/>
  <c r="M596" i="6"/>
  <c r="K596" i="6"/>
  <c r="I596" i="6"/>
  <c r="G596" i="6"/>
  <c r="E596" i="6"/>
  <c r="C596" i="6"/>
  <c r="AE595" i="6"/>
  <c r="AC595" i="6"/>
  <c r="AA595" i="6"/>
  <c r="Y595" i="6"/>
  <c r="W595" i="6"/>
  <c r="U595" i="6"/>
  <c r="S595" i="6"/>
  <c r="Q595" i="6"/>
  <c r="O595" i="6"/>
  <c r="M595" i="6"/>
  <c r="K595" i="6"/>
  <c r="I595" i="6"/>
  <c r="G595" i="6"/>
  <c r="E595" i="6"/>
  <c r="C595" i="6"/>
  <c r="AE594" i="6"/>
  <c r="AC594" i="6"/>
  <c r="AA594" i="6"/>
  <c r="Y594" i="6"/>
  <c r="W594" i="6"/>
  <c r="U594" i="6"/>
  <c r="S594" i="6"/>
  <c r="Q594" i="6"/>
  <c r="O594" i="6"/>
  <c r="M594" i="6"/>
  <c r="K594" i="6"/>
  <c r="I594" i="6"/>
  <c r="G594" i="6"/>
  <c r="E594" i="6"/>
  <c r="C594" i="6"/>
  <c r="AE593" i="6"/>
  <c r="AC593" i="6"/>
  <c r="AA593" i="6"/>
  <c r="Y593" i="6"/>
  <c r="W593" i="6"/>
  <c r="U593" i="6"/>
  <c r="S593" i="6"/>
  <c r="Q593" i="6"/>
  <c r="O593" i="6"/>
  <c r="M593" i="6"/>
  <c r="K593" i="6"/>
  <c r="I593" i="6"/>
  <c r="G593" i="6"/>
  <c r="E593" i="6"/>
  <c r="C593" i="6"/>
  <c r="AE592" i="6"/>
  <c r="AC592" i="6"/>
  <c r="AA592" i="6"/>
  <c r="Y592" i="6"/>
  <c r="W592" i="6"/>
  <c r="U592" i="6"/>
  <c r="S592" i="6"/>
  <c r="Q592" i="6"/>
  <c r="O592" i="6"/>
  <c r="M592" i="6"/>
  <c r="K592" i="6"/>
  <c r="I592" i="6"/>
  <c r="G592" i="6"/>
  <c r="E592" i="6"/>
  <c r="C592" i="6"/>
  <c r="AE591" i="6"/>
  <c r="AC591" i="6"/>
  <c r="AA591" i="6"/>
  <c r="Y591" i="6"/>
  <c r="W591" i="6"/>
  <c r="U591" i="6"/>
  <c r="S591" i="6"/>
  <c r="Q591" i="6"/>
  <c r="O591" i="6"/>
  <c r="M591" i="6"/>
  <c r="K591" i="6"/>
  <c r="I591" i="6"/>
  <c r="G591" i="6"/>
  <c r="E591" i="6"/>
  <c r="C591" i="6"/>
  <c r="AE590" i="6"/>
  <c r="AC590" i="6"/>
  <c r="AA590" i="6"/>
  <c r="Y590" i="6"/>
  <c r="W590" i="6"/>
  <c r="U590" i="6"/>
  <c r="S590" i="6"/>
  <c r="Q590" i="6"/>
  <c r="O590" i="6"/>
  <c r="M590" i="6"/>
  <c r="K590" i="6"/>
  <c r="I590" i="6"/>
  <c r="G590" i="6"/>
  <c r="E590" i="6"/>
  <c r="C590" i="6"/>
  <c r="AE589" i="6"/>
  <c r="AC589" i="6"/>
  <c r="AA589" i="6"/>
  <c r="Y589" i="6"/>
  <c r="W589" i="6"/>
  <c r="U589" i="6"/>
  <c r="S589" i="6"/>
  <c r="Q589" i="6"/>
  <c r="O589" i="6"/>
  <c r="M589" i="6"/>
  <c r="K589" i="6"/>
  <c r="I589" i="6"/>
  <c r="G589" i="6"/>
  <c r="E589" i="6"/>
  <c r="C589" i="6"/>
  <c r="AE588" i="6"/>
  <c r="AC588" i="6"/>
  <c r="AA588" i="6"/>
  <c r="Y588" i="6"/>
  <c r="W588" i="6"/>
  <c r="U588" i="6"/>
  <c r="S588" i="6"/>
  <c r="Q588" i="6"/>
  <c r="O588" i="6"/>
  <c r="M588" i="6"/>
  <c r="K588" i="6"/>
  <c r="I588" i="6"/>
  <c r="G588" i="6"/>
  <c r="E588" i="6"/>
  <c r="C588" i="6"/>
  <c r="AE587" i="6"/>
  <c r="AC587" i="6"/>
  <c r="AA587" i="6"/>
  <c r="Y587" i="6"/>
  <c r="W587" i="6"/>
  <c r="U587" i="6"/>
  <c r="S587" i="6"/>
  <c r="Q587" i="6"/>
  <c r="O587" i="6"/>
  <c r="M587" i="6"/>
  <c r="K587" i="6"/>
  <c r="I587" i="6"/>
  <c r="G587" i="6"/>
  <c r="E587" i="6"/>
  <c r="C587" i="6"/>
  <c r="AE586" i="6"/>
  <c r="AC586" i="6"/>
  <c r="AA586" i="6"/>
  <c r="Y586" i="6"/>
  <c r="W586" i="6"/>
  <c r="U586" i="6"/>
  <c r="S586" i="6"/>
  <c r="Q586" i="6"/>
  <c r="O586" i="6"/>
  <c r="M586" i="6"/>
  <c r="K586" i="6"/>
  <c r="I586" i="6"/>
  <c r="G586" i="6"/>
  <c r="E586" i="6"/>
  <c r="C586" i="6"/>
  <c r="AE585" i="6"/>
  <c r="AC585" i="6"/>
  <c r="AA585" i="6"/>
  <c r="Y585" i="6"/>
  <c r="W585" i="6"/>
  <c r="U585" i="6"/>
  <c r="S585" i="6"/>
  <c r="Q585" i="6"/>
  <c r="O585" i="6"/>
  <c r="M585" i="6"/>
  <c r="K585" i="6"/>
  <c r="I585" i="6"/>
  <c r="G585" i="6"/>
  <c r="E585" i="6"/>
  <c r="C585" i="6"/>
  <c r="AE527" i="6"/>
  <c r="AC527" i="6"/>
  <c r="AA527" i="6"/>
  <c r="Y527" i="6"/>
  <c r="W527" i="6"/>
  <c r="U527" i="6"/>
  <c r="S527" i="6"/>
  <c r="Q527" i="6"/>
  <c r="O527" i="6"/>
  <c r="M527" i="6"/>
  <c r="K527" i="6"/>
  <c r="I527" i="6"/>
  <c r="G527" i="6"/>
  <c r="E527" i="6"/>
  <c r="C527" i="6"/>
  <c r="AE526" i="6"/>
  <c r="AC526" i="6"/>
  <c r="AA526" i="6"/>
  <c r="Y526" i="6"/>
  <c r="W526" i="6"/>
  <c r="U526" i="6"/>
  <c r="S526" i="6"/>
  <c r="Q526" i="6"/>
  <c r="O526" i="6"/>
  <c r="M526" i="6"/>
  <c r="K526" i="6"/>
  <c r="I526" i="6"/>
  <c r="G526" i="6"/>
  <c r="E526" i="6"/>
  <c r="C526" i="6"/>
  <c r="AE525" i="6"/>
  <c r="AC525" i="6"/>
  <c r="AA525" i="6"/>
  <c r="Y525" i="6"/>
  <c r="W525" i="6"/>
  <c r="U525" i="6"/>
  <c r="S525" i="6"/>
  <c r="Q525" i="6"/>
  <c r="O525" i="6"/>
  <c r="M525" i="6"/>
  <c r="K525" i="6"/>
  <c r="I525" i="6"/>
  <c r="G525" i="6"/>
  <c r="HF86" i="7" s="1"/>
  <c r="E525" i="6"/>
  <c r="C525" i="6"/>
  <c r="AE524" i="6"/>
  <c r="AC524" i="6"/>
  <c r="AA524" i="6"/>
  <c r="Y524" i="6"/>
  <c r="W524" i="6"/>
  <c r="U524" i="6"/>
  <c r="S524" i="6"/>
  <c r="Q524" i="6"/>
  <c r="O524" i="6"/>
  <c r="M524" i="6"/>
  <c r="K524" i="6"/>
  <c r="I524" i="6"/>
  <c r="G524" i="6"/>
  <c r="HF85" i="7" s="1"/>
  <c r="E524" i="6"/>
  <c r="C524" i="6"/>
  <c r="AE523" i="6"/>
  <c r="AC523" i="6"/>
  <c r="AA523" i="6"/>
  <c r="Y523" i="6"/>
  <c r="W523" i="6"/>
  <c r="U523" i="6"/>
  <c r="S523" i="6"/>
  <c r="Q523" i="6"/>
  <c r="O523" i="6"/>
  <c r="M523" i="6"/>
  <c r="K523" i="6"/>
  <c r="I523" i="6"/>
  <c r="G523" i="6"/>
  <c r="HF84" i="7" s="1"/>
  <c r="E523" i="6"/>
  <c r="C523" i="6"/>
  <c r="AE522" i="6"/>
  <c r="AC522" i="6"/>
  <c r="AA522" i="6"/>
  <c r="Y522" i="6"/>
  <c r="W522" i="6"/>
  <c r="U522" i="6"/>
  <c r="S522" i="6"/>
  <c r="Q522" i="6"/>
  <c r="O522" i="6"/>
  <c r="M522" i="6"/>
  <c r="K522" i="6"/>
  <c r="I522" i="6"/>
  <c r="G522" i="6"/>
  <c r="E522" i="6"/>
  <c r="C522" i="6"/>
  <c r="AE521" i="6"/>
  <c r="AC521" i="6"/>
  <c r="AA521" i="6"/>
  <c r="Y521" i="6"/>
  <c r="W521" i="6"/>
  <c r="U521" i="6"/>
  <c r="S521" i="6"/>
  <c r="Q521" i="6"/>
  <c r="O521" i="6"/>
  <c r="M521" i="6"/>
  <c r="K521" i="6"/>
  <c r="I521" i="6"/>
  <c r="G521" i="6"/>
  <c r="HF82" i="7" s="1"/>
  <c r="E521" i="6"/>
  <c r="C521" i="6"/>
  <c r="AE520" i="6"/>
  <c r="AC520" i="6"/>
  <c r="AA520" i="6"/>
  <c r="Y520" i="6"/>
  <c r="W520" i="6"/>
  <c r="U520" i="6"/>
  <c r="S520" i="6"/>
  <c r="Q520" i="6"/>
  <c r="O520" i="6"/>
  <c r="M520" i="6"/>
  <c r="K520" i="6"/>
  <c r="I520" i="6"/>
  <c r="G520" i="6"/>
  <c r="HF81" i="7" s="1"/>
  <c r="E520" i="6"/>
  <c r="C520" i="6"/>
  <c r="AE519" i="6"/>
  <c r="AC519" i="6"/>
  <c r="AA519" i="6"/>
  <c r="Y519" i="6"/>
  <c r="W519" i="6"/>
  <c r="U519" i="6"/>
  <c r="S519" i="6"/>
  <c r="Q519" i="6"/>
  <c r="O519" i="6"/>
  <c r="M519" i="6"/>
  <c r="K519" i="6"/>
  <c r="I519" i="6"/>
  <c r="G519" i="6"/>
  <c r="E519" i="6"/>
  <c r="C519" i="6"/>
  <c r="AE518" i="6"/>
  <c r="AC518" i="6"/>
  <c r="AA518" i="6"/>
  <c r="Y518" i="6"/>
  <c r="W518" i="6"/>
  <c r="U518" i="6"/>
  <c r="S518" i="6"/>
  <c r="Q518" i="6"/>
  <c r="O518" i="6"/>
  <c r="M518" i="6"/>
  <c r="K518" i="6"/>
  <c r="I518" i="6"/>
  <c r="G518" i="6"/>
  <c r="HF79" i="7" s="1"/>
  <c r="E518" i="6"/>
  <c r="C518" i="6"/>
  <c r="AE517" i="6"/>
  <c r="AC517" i="6"/>
  <c r="AA517" i="6"/>
  <c r="Y517" i="6"/>
  <c r="W517" i="6"/>
  <c r="U517" i="6"/>
  <c r="S517" i="6"/>
  <c r="Q517" i="6"/>
  <c r="O517" i="6"/>
  <c r="M517" i="6"/>
  <c r="K517" i="6"/>
  <c r="I517" i="6"/>
  <c r="G517" i="6"/>
  <c r="HF78" i="7" s="1"/>
  <c r="E517" i="6"/>
  <c r="C517" i="6"/>
  <c r="AE516" i="6"/>
  <c r="AC516" i="6"/>
  <c r="AA516" i="6"/>
  <c r="Y516" i="6"/>
  <c r="W516" i="6"/>
  <c r="U516" i="6"/>
  <c r="S516" i="6"/>
  <c r="Q516" i="6"/>
  <c r="O516" i="6"/>
  <c r="M516" i="6"/>
  <c r="K516" i="6"/>
  <c r="I516" i="6"/>
  <c r="G516" i="6"/>
  <c r="HF77" i="7" s="1"/>
  <c r="E516" i="6"/>
  <c r="C516" i="6"/>
  <c r="AE515" i="6"/>
  <c r="AC515" i="6"/>
  <c r="AA515" i="6"/>
  <c r="Y515" i="6"/>
  <c r="W515" i="6"/>
  <c r="U515" i="6"/>
  <c r="S515" i="6"/>
  <c r="Q515" i="6"/>
  <c r="O515" i="6"/>
  <c r="M515" i="6"/>
  <c r="K515" i="6"/>
  <c r="I515" i="6"/>
  <c r="G515" i="6"/>
  <c r="E515" i="6"/>
  <c r="C515" i="6"/>
  <c r="AE514" i="6"/>
  <c r="AC514" i="6"/>
  <c r="AA514" i="6"/>
  <c r="Y514" i="6"/>
  <c r="W514" i="6"/>
  <c r="U514" i="6"/>
  <c r="S514" i="6"/>
  <c r="Q514" i="6"/>
  <c r="O514" i="6"/>
  <c r="M514" i="6"/>
  <c r="K514" i="6"/>
  <c r="I514" i="6"/>
  <c r="G514" i="6"/>
  <c r="E514" i="6"/>
  <c r="C514" i="6"/>
  <c r="AE513" i="6"/>
  <c r="AC513" i="6"/>
  <c r="AA513" i="6"/>
  <c r="Y513" i="6"/>
  <c r="W513" i="6"/>
  <c r="U513" i="6"/>
  <c r="S513" i="6"/>
  <c r="Q513" i="6"/>
  <c r="O513" i="6"/>
  <c r="M513" i="6"/>
  <c r="K513" i="6"/>
  <c r="I513" i="6"/>
  <c r="G513" i="6"/>
  <c r="HF74" i="7" s="1"/>
  <c r="E513" i="6"/>
  <c r="C513" i="6"/>
  <c r="AE512" i="6"/>
  <c r="AC512" i="6"/>
  <c r="AA512" i="6"/>
  <c r="Y512" i="6"/>
  <c r="W512" i="6"/>
  <c r="U512" i="6"/>
  <c r="S512" i="6"/>
  <c r="Q512" i="6"/>
  <c r="O512" i="6"/>
  <c r="M512" i="6"/>
  <c r="K512" i="6"/>
  <c r="I512" i="6"/>
  <c r="G512" i="6"/>
  <c r="HF73" i="7" s="1"/>
  <c r="E512" i="6"/>
  <c r="C512" i="6"/>
  <c r="AE511" i="6"/>
  <c r="AC511" i="6"/>
  <c r="AA511" i="6"/>
  <c r="Y511" i="6"/>
  <c r="W511" i="6"/>
  <c r="U511" i="6"/>
  <c r="S511" i="6"/>
  <c r="Q511" i="6"/>
  <c r="O511" i="6"/>
  <c r="M511" i="6"/>
  <c r="K511" i="6"/>
  <c r="I511" i="6"/>
  <c r="G511" i="6"/>
  <c r="HF72" i="7" s="1"/>
  <c r="E511" i="6"/>
  <c r="C511" i="6"/>
  <c r="AE510" i="6"/>
  <c r="AC510" i="6"/>
  <c r="AA510" i="6"/>
  <c r="Y510" i="6"/>
  <c r="W510" i="6"/>
  <c r="U510" i="6"/>
  <c r="S510" i="6"/>
  <c r="Q510" i="6"/>
  <c r="O510" i="6"/>
  <c r="M510" i="6"/>
  <c r="K510" i="6"/>
  <c r="I510" i="6"/>
  <c r="G510" i="6"/>
  <c r="E510" i="6"/>
  <c r="C510" i="6"/>
  <c r="AE509" i="6"/>
  <c r="AC509" i="6"/>
  <c r="AA509" i="6"/>
  <c r="Y509" i="6"/>
  <c r="W509" i="6"/>
  <c r="U509" i="6"/>
  <c r="S509" i="6"/>
  <c r="Q509" i="6"/>
  <c r="O509" i="6"/>
  <c r="M509" i="6"/>
  <c r="K509" i="6"/>
  <c r="I509" i="6"/>
  <c r="G509" i="6"/>
  <c r="E509" i="6"/>
  <c r="C509" i="6"/>
  <c r="AE508" i="6"/>
  <c r="AC508" i="6"/>
  <c r="AA508" i="6"/>
  <c r="Y508" i="6"/>
  <c r="W508" i="6"/>
  <c r="U508" i="6"/>
  <c r="S508" i="6"/>
  <c r="Q508" i="6"/>
  <c r="O508" i="6"/>
  <c r="M508" i="6"/>
  <c r="K508" i="6"/>
  <c r="I508" i="6"/>
  <c r="G508" i="6"/>
  <c r="E508" i="6"/>
  <c r="C508" i="6"/>
  <c r="AE507" i="6"/>
  <c r="AC507" i="6"/>
  <c r="AA507" i="6"/>
  <c r="Y507" i="6"/>
  <c r="W507" i="6"/>
  <c r="U507" i="6"/>
  <c r="S507" i="6"/>
  <c r="Q507" i="6"/>
  <c r="O507" i="6"/>
  <c r="M507" i="6"/>
  <c r="K507" i="6"/>
  <c r="I507" i="6"/>
  <c r="G507" i="6"/>
  <c r="E507" i="6"/>
  <c r="C507" i="6"/>
  <c r="AE506" i="6"/>
  <c r="AC506" i="6"/>
  <c r="AA506" i="6"/>
  <c r="Y506" i="6"/>
  <c r="W506" i="6"/>
  <c r="U506" i="6"/>
  <c r="S506" i="6"/>
  <c r="Q506" i="6"/>
  <c r="O506" i="6"/>
  <c r="M506" i="6"/>
  <c r="K506" i="6"/>
  <c r="I506" i="6"/>
  <c r="G506" i="6"/>
  <c r="E506" i="6"/>
  <c r="C506" i="6"/>
  <c r="AE505" i="6"/>
  <c r="AC505" i="6"/>
  <c r="AA505" i="6"/>
  <c r="Y505" i="6"/>
  <c r="W505" i="6"/>
  <c r="U505" i="6"/>
  <c r="S505" i="6"/>
  <c r="Q505" i="6"/>
  <c r="O505" i="6"/>
  <c r="M505" i="6"/>
  <c r="K505" i="6"/>
  <c r="I505" i="6"/>
  <c r="G505" i="6"/>
  <c r="E505" i="6"/>
  <c r="C505" i="6"/>
  <c r="AE504" i="6"/>
  <c r="AC504" i="6"/>
  <c r="AA504" i="6"/>
  <c r="Y504" i="6"/>
  <c r="W504" i="6"/>
  <c r="U504" i="6"/>
  <c r="S504" i="6"/>
  <c r="Q504" i="6"/>
  <c r="O504" i="6"/>
  <c r="M504" i="6"/>
  <c r="K504" i="6"/>
  <c r="I504" i="6"/>
  <c r="G504" i="6"/>
  <c r="E504" i="6"/>
  <c r="C504" i="6"/>
  <c r="AE503" i="6"/>
  <c r="AC503" i="6"/>
  <c r="AA503" i="6"/>
  <c r="Y503" i="6"/>
  <c r="W503" i="6"/>
  <c r="U503" i="6"/>
  <c r="S503" i="6"/>
  <c r="Q503" i="6"/>
  <c r="O503" i="6"/>
  <c r="M503" i="6"/>
  <c r="K503" i="6"/>
  <c r="I503" i="6"/>
  <c r="G503" i="6"/>
  <c r="E503" i="6"/>
  <c r="C503" i="6"/>
  <c r="AE502" i="6"/>
  <c r="AC502" i="6"/>
  <c r="AA502" i="6"/>
  <c r="Y502" i="6"/>
  <c r="W502" i="6"/>
  <c r="U502" i="6"/>
  <c r="S502" i="6"/>
  <c r="Q502" i="6"/>
  <c r="O502" i="6"/>
  <c r="M502" i="6"/>
  <c r="K502" i="6"/>
  <c r="I502" i="6"/>
  <c r="G502" i="6"/>
  <c r="E502" i="6"/>
  <c r="C502" i="6"/>
  <c r="AE501" i="6"/>
  <c r="AC501" i="6"/>
  <c r="AA501" i="6"/>
  <c r="Y501" i="6"/>
  <c r="W501" i="6"/>
  <c r="U501" i="6"/>
  <c r="S501" i="6"/>
  <c r="Q501" i="6"/>
  <c r="O501" i="6"/>
  <c r="M501" i="6"/>
  <c r="K501" i="6"/>
  <c r="I501" i="6"/>
  <c r="G501" i="6"/>
  <c r="E501" i="6"/>
  <c r="C501" i="6"/>
  <c r="AE500" i="6"/>
  <c r="AC500" i="6"/>
  <c r="AA500" i="6"/>
  <c r="Y500" i="6"/>
  <c r="W500" i="6"/>
  <c r="U500" i="6"/>
  <c r="S500" i="6"/>
  <c r="Q500" i="6"/>
  <c r="O500" i="6"/>
  <c r="M500" i="6"/>
  <c r="K500" i="6"/>
  <c r="I500" i="6"/>
  <c r="G500" i="6"/>
  <c r="E500" i="6"/>
  <c r="C500" i="6"/>
  <c r="AE499" i="6"/>
  <c r="AC499" i="6"/>
  <c r="AA499" i="6"/>
  <c r="Y499" i="6"/>
  <c r="W499" i="6"/>
  <c r="U499" i="6"/>
  <c r="S499" i="6"/>
  <c r="Q499" i="6"/>
  <c r="O499" i="6"/>
  <c r="M499" i="6"/>
  <c r="K499" i="6"/>
  <c r="I499" i="6"/>
  <c r="G499" i="6"/>
  <c r="E499" i="6"/>
  <c r="C499" i="6"/>
  <c r="AE498" i="6"/>
  <c r="AC498" i="6"/>
  <c r="AA498" i="6"/>
  <c r="Y498" i="6"/>
  <c r="W498" i="6"/>
  <c r="U498" i="6"/>
  <c r="S498" i="6"/>
  <c r="Q498" i="6"/>
  <c r="O498" i="6"/>
  <c r="M498" i="6"/>
  <c r="K498" i="6"/>
  <c r="I498" i="6"/>
  <c r="G498" i="6"/>
  <c r="E498" i="6"/>
  <c r="C498" i="6"/>
  <c r="AE497" i="6"/>
  <c r="AC497" i="6"/>
  <c r="AA497" i="6"/>
  <c r="Y497" i="6"/>
  <c r="W497" i="6"/>
  <c r="U497" i="6"/>
  <c r="S497" i="6"/>
  <c r="Q497" i="6"/>
  <c r="O497" i="6"/>
  <c r="M497" i="6"/>
  <c r="K497" i="6"/>
  <c r="I497" i="6"/>
  <c r="G497" i="6"/>
  <c r="E497" i="6"/>
  <c r="C497" i="6"/>
  <c r="B528" i="6"/>
  <c r="C534" i="6"/>
  <c r="E534" i="6"/>
  <c r="G534" i="6"/>
  <c r="I534" i="6"/>
  <c r="K534" i="6"/>
  <c r="M534" i="6"/>
  <c r="O534" i="6"/>
  <c r="Q534" i="6"/>
  <c r="S534" i="6"/>
  <c r="U534" i="6"/>
  <c r="W534" i="6"/>
  <c r="Y534" i="6"/>
  <c r="AA534" i="6"/>
  <c r="AC534" i="6"/>
  <c r="AE534" i="6"/>
  <c r="AE439" i="6"/>
  <c r="AC439" i="6"/>
  <c r="HA88" i="7" s="1"/>
  <c r="AA439" i="6"/>
  <c r="Y439" i="6"/>
  <c r="W439" i="6"/>
  <c r="GX88" i="7" s="1"/>
  <c r="U439" i="6"/>
  <c r="S439" i="6"/>
  <c r="Q439" i="6"/>
  <c r="O439" i="6"/>
  <c r="M439" i="6"/>
  <c r="K439" i="6"/>
  <c r="I439" i="6"/>
  <c r="G439" i="6"/>
  <c r="E439" i="6"/>
  <c r="C439" i="6"/>
  <c r="AE438" i="6"/>
  <c r="AC438" i="6"/>
  <c r="HA87" i="7" s="1"/>
  <c r="AA438" i="6"/>
  <c r="Y438" i="6"/>
  <c r="W438" i="6"/>
  <c r="U438" i="6"/>
  <c r="S438" i="6"/>
  <c r="GV87" i="7" s="1"/>
  <c r="Q438" i="6"/>
  <c r="O438" i="6"/>
  <c r="M438" i="6"/>
  <c r="K438" i="6"/>
  <c r="I438" i="6"/>
  <c r="G438" i="6"/>
  <c r="E438" i="6"/>
  <c r="C438" i="6"/>
  <c r="AE437" i="6"/>
  <c r="HB86" i="7" s="1"/>
  <c r="AC437" i="6"/>
  <c r="AA437" i="6"/>
  <c r="Y437" i="6"/>
  <c r="W437" i="6"/>
  <c r="GX86" i="7" s="1"/>
  <c r="U437" i="6"/>
  <c r="S437" i="6"/>
  <c r="GV86" i="7" s="1"/>
  <c r="Q437" i="6"/>
  <c r="O437" i="6"/>
  <c r="M437" i="6"/>
  <c r="K437" i="6"/>
  <c r="I437" i="6"/>
  <c r="G437" i="6"/>
  <c r="E437" i="6"/>
  <c r="C437" i="6"/>
  <c r="AE436" i="6"/>
  <c r="HB85" i="7" s="1"/>
  <c r="AC436" i="6"/>
  <c r="AA436" i="6"/>
  <c r="Y436" i="6"/>
  <c r="W436" i="6"/>
  <c r="U436" i="6"/>
  <c r="S436" i="6"/>
  <c r="GV85" i="7" s="1"/>
  <c r="Q436" i="6"/>
  <c r="O436" i="6"/>
  <c r="M436" i="6"/>
  <c r="K436" i="6"/>
  <c r="I436" i="6"/>
  <c r="G436" i="6"/>
  <c r="E436" i="6"/>
  <c r="C436" i="6"/>
  <c r="AE435" i="6"/>
  <c r="AC435" i="6"/>
  <c r="HA84" i="7" s="1"/>
  <c r="AA435" i="6"/>
  <c r="Y435" i="6"/>
  <c r="W435" i="6"/>
  <c r="GX84" i="7" s="1"/>
  <c r="U435" i="6"/>
  <c r="S435" i="6"/>
  <c r="Q435" i="6"/>
  <c r="O435" i="6"/>
  <c r="M435" i="6"/>
  <c r="K435" i="6"/>
  <c r="I435" i="6"/>
  <c r="G435" i="6"/>
  <c r="E435" i="6"/>
  <c r="C435" i="6"/>
  <c r="AE434" i="6"/>
  <c r="AC434" i="6"/>
  <c r="AA434" i="6"/>
  <c r="Y434" i="6"/>
  <c r="W434" i="6"/>
  <c r="U434" i="6"/>
  <c r="S434" i="6"/>
  <c r="Q434" i="6"/>
  <c r="O434" i="6"/>
  <c r="M434" i="6"/>
  <c r="K434" i="6"/>
  <c r="I434" i="6"/>
  <c r="G434" i="6"/>
  <c r="E434" i="6"/>
  <c r="C434" i="6"/>
  <c r="AE433" i="6"/>
  <c r="HB82" i="7" s="1"/>
  <c r="AC433" i="6"/>
  <c r="HA82" i="7" s="1"/>
  <c r="AA433" i="6"/>
  <c r="Y433" i="6"/>
  <c r="W433" i="6"/>
  <c r="GX82" i="7" s="1"/>
  <c r="U433" i="6"/>
  <c r="S433" i="6"/>
  <c r="GV82" i="7" s="1"/>
  <c r="Q433" i="6"/>
  <c r="O433" i="6"/>
  <c r="M433" i="6"/>
  <c r="K433" i="6"/>
  <c r="I433" i="6"/>
  <c r="G433" i="6"/>
  <c r="E433" i="6"/>
  <c r="C433" i="6"/>
  <c r="AE432" i="6"/>
  <c r="HB81" i="7" s="1"/>
  <c r="AC432" i="6"/>
  <c r="HA81" i="7" s="1"/>
  <c r="AA432" i="6"/>
  <c r="Y432" i="6"/>
  <c r="W432" i="6"/>
  <c r="U432" i="6"/>
  <c r="S432" i="6"/>
  <c r="Q432" i="6"/>
  <c r="O432" i="6"/>
  <c r="M432" i="6"/>
  <c r="K432" i="6"/>
  <c r="I432" i="6"/>
  <c r="G432" i="6"/>
  <c r="E432" i="6"/>
  <c r="C432" i="6"/>
  <c r="AE431" i="6"/>
  <c r="AC431" i="6"/>
  <c r="HA80" i="7" s="1"/>
  <c r="AA431" i="6"/>
  <c r="Y431" i="6"/>
  <c r="W431" i="6"/>
  <c r="GX80" i="7" s="1"/>
  <c r="U431" i="6"/>
  <c r="S431" i="6"/>
  <c r="GV80" i="7" s="1"/>
  <c r="Q431" i="6"/>
  <c r="O431" i="6"/>
  <c r="M431" i="6"/>
  <c r="K431" i="6"/>
  <c r="I431" i="6"/>
  <c r="G431" i="6"/>
  <c r="E431" i="6"/>
  <c r="C431" i="6"/>
  <c r="AE430" i="6"/>
  <c r="HB79" i="7" s="1"/>
  <c r="AC430" i="6"/>
  <c r="AA430" i="6"/>
  <c r="Y430" i="6"/>
  <c r="W430" i="6"/>
  <c r="U430" i="6"/>
  <c r="S430" i="6"/>
  <c r="GV79" i="7" s="1"/>
  <c r="Q430" i="6"/>
  <c r="O430" i="6"/>
  <c r="M430" i="6"/>
  <c r="K430" i="6"/>
  <c r="I430" i="6"/>
  <c r="G430" i="6"/>
  <c r="E430" i="6"/>
  <c r="C430" i="6"/>
  <c r="AE429" i="6"/>
  <c r="AC429" i="6"/>
  <c r="HA78" i="7" s="1"/>
  <c r="AA429" i="6"/>
  <c r="Y429" i="6"/>
  <c r="W429" i="6"/>
  <c r="U429" i="6"/>
  <c r="S429" i="6"/>
  <c r="GV78" i="7" s="1"/>
  <c r="Q429" i="6"/>
  <c r="GU78" i="7" s="1"/>
  <c r="O429" i="6"/>
  <c r="M429" i="6"/>
  <c r="K429" i="6"/>
  <c r="I429" i="6"/>
  <c r="G429" i="6"/>
  <c r="E429" i="6"/>
  <c r="C429" i="6"/>
  <c r="AE428" i="6"/>
  <c r="HB77" i="7" s="1"/>
  <c r="AC428" i="6"/>
  <c r="AA428" i="6"/>
  <c r="Y428" i="6"/>
  <c r="GY77" i="7" s="1"/>
  <c r="W428" i="6"/>
  <c r="GX77" i="7" s="1"/>
  <c r="U428" i="6"/>
  <c r="S428" i="6"/>
  <c r="GV77" i="7" s="1"/>
  <c r="Q428" i="6"/>
  <c r="O428" i="6"/>
  <c r="M428" i="6"/>
  <c r="K428" i="6"/>
  <c r="I428" i="6"/>
  <c r="G428" i="6"/>
  <c r="E428" i="6"/>
  <c r="C428" i="6"/>
  <c r="AE427" i="6"/>
  <c r="AC427" i="6"/>
  <c r="HA76" i="7" s="1"/>
  <c r="AA427" i="6"/>
  <c r="Y427" i="6"/>
  <c r="W427" i="6"/>
  <c r="GX76" i="7" s="1"/>
  <c r="U427" i="6"/>
  <c r="S427" i="6"/>
  <c r="Q427" i="6"/>
  <c r="GU76" i="7" s="1"/>
  <c r="O427" i="6"/>
  <c r="M427" i="6"/>
  <c r="K427" i="6"/>
  <c r="I427" i="6"/>
  <c r="G427" i="6"/>
  <c r="E427" i="6"/>
  <c r="C427" i="6"/>
  <c r="AE426" i="6"/>
  <c r="HB75" i="7" s="1"/>
  <c r="AC426" i="6"/>
  <c r="HA75" i="7" s="1"/>
  <c r="AA426" i="6"/>
  <c r="Y426" i="6"/>
  <c r="GY75" i="7" s="1"/>
  <c r="W426" i="6"/>
  <c r="U426" i="6"/>
  <c r="S426" i="6"/>
  <c r="GV75" i="7" s="1"/>
  <c r="Q426" i="6"/>
  <c r="O426" i="6"/>
  <c r="M426" i="6"/>
  <c r="K426" i="6"/>
  <c r="I426" i="6"/>
  <c r="G426" i="6"/>
  <c r="E426" i="6"/>
  <c r="C426" i="6"/>
  <c r="AE425" i="6"/>
  <c r="AC425" i="6"/>
  <c r="HA74" i="7" s="1"/>
  <c r="AA425" i="6"/>
  <c r="Y425" i="6"/>
  <c r="W425" i="6"/>
  <c r="GX74" i="7" s="1"/>
  <c r="U425" i="6"/>
  <c r="S425" i="6"/>
  <c r="GV74" i="7" s="1"/>
  <c r="Q425" i="6"/>
  <c r="O425" i="6"/>
  <c r="GT74" i="7" s="1"/>
  <c r="M425" i="6"/>
  <c r="K425" i="6"/>
  <c r="I425" i="6"/>
  <c r="G425" i="6"/>
  <c r="E425" i="6"/>
  <c r="C425" i="6"/>
  <c r="AE424" i="6"/>
  <c r="HB73" i="7" s="1"/>
  <c r="AC424" i="6"/>
  <c r="AA424" i="6"/>
  <c r="Y424" i="6"/>
  <c r="GY73" i="7" s="1"/>
  <c r="W424" i="6"/>
  <c r="U424" i="6"/>
  <c r="S424" i="6"/>
  <c r="GV73" i="7" s="1"/>
  <c r="Q424" i="6"/>
  <c r="GU73" i="7" s="1"/>
  <c r="O424" i="6"/>
  <c r="GT73" i="7" s="1"/>
  <c r="M424" i="6"/>
  <c r="K424" i="6"/>
  <c r="I424" i="6"/>
  <c r="G424" i="6"/>
  <c r="E424" i="6"/>
  <c r="C424" i="6"/>
  <c r="AE423" i="6"/>
  <c r="HB72" i="7" s="1"/>
  <c r="AC423" i="6"/>
  <c r="HA72" i="7" s="1"/>
  <c r="AA423" i="6"/>
  <c r="Y423" i="6"/>
  <c r="W423" i="6"/>
  <c r="U423" i="6"/>
  <c r="S423" i="6"/>
  <c r="Q423" i="6"/>
  <c r="GU72" i="7" s="1"/>
  <c r="O423" i="6"/>
  <c r="GT72" i="7" s="1"/>
  <c r="M423" i="6"/>
  <c r="K423" i="6"/>
  <c r="I423" i="6"/>
  <c r="G423" i="6"/>
  <c r="E423" i="6"/>
  <c r="C423" i="6"/>
  <c r="AE422" i="6"/>
  <c r="AC422" i="6"/>
  <c r="AA422" i="6"/>
  <c r="Y422" i="6"/>
  <c r="W422" i="6"/>
  <c r="U422" i="6"/>
  <c r="S422" i="6"/>
  <c r="Q422" i="6"/>
  <c r="O422" i="6"/>
  <c r="M422" i="6"/>
  <c r="K422" i="6"/>
  <c r="I422" i="6"/>
  <c r="G422" i="6"/>
  <c r="E422" i="6"/>
  <c r="C422" i="6"/>
  <c r="AE421" i="6"/>
  <c r="AC421" i="6"/>
  <c r="AA421" i="6"/>
  <c r="Y421" i="6"/>
  <c r="W421" i="6"/>
  <c r="U421" i="6"/>
  <c r="S421" i="6"/>
  <c r="Q421" i="6"/>
  <c r="O421" i="6"/>
  <c r="M421" i="6"/>
  <c r="K421" i="6"/>
  <c r="I421" i="6"/>
  <c r="G421" i="6"/>
  <c r="E421" i="6"/>
  <c r="C421" i="6"/>
  <c r="AE420" i="6"/>
  <c r="AC420" i="6"/>
  <c r="AA420" i="6"/>
  <c r="Y420" i="6"/>
  <c r="W420" i="6"/>
  <c r="U420" i="6"/>
  <c r="S420" i="6"/>
  <c r="Q420" i="6"/>
  <c r="O420" i="6"/>
  <c r="M420" i="6"/>
  <c r="K420" i="6"/>
  <c r="I420" i="6"/>
  <c r="G420" i="6"/>
  <c r="E420" i="6"/>
  <c r="C420" i="6"/>
  <c r="AE419" i="6"/>
  <c r="AC419" i="6"/>
  <c r="AA419" i="6"/>
  <c r="Y419" i="6"/>
  <c r="W419" i="6"/>
  <c r="U419" i="6"/>
  <c r="S419" i="6"/>
  <c r="Q419" i="6"/>
  <c r="O419" i="6"/>
  <c r="M419" i="6"/>
  <c r="K419" i="6"/>
  <c r="I419" i="6"/>
  <c r="G419" i="6"/>
  <c r="E419" i="6"/>
  <c r="C419" i="6"/>
  <c r="AE418" i="6"/>
  <c r="AC418" i="6"/>
  <c r="AA418" i="6"/>
  <c r="Y418" i="6"/>
  <c r="W418" i="6"/>
  <c r="U418" i="6"/>
  <c r="S418" i="6"/>
  <c r="Q418" i="6"/>
  <c r="O418" i="6"/>
  <c r="M418" i="6"/>
  <c r="K418" i="6"/>
  <c r="I418" i="6"/>
  <c r="G418" i="6"/>
  <c r="E418" i="6"/>
  <c r="C418" i="6"/>
  <c r="AE417" i="6"/>
  <c r="AC417" i="6"/>
  <c r="AA417" i="6"/>
  <c r="Y417" i="6"/>
  <c r="W417" i="6"/>
  <c r="U417" i="6"/>
  <c r="S417" i="6"/>
  <c r="Q417" i="6"/>
  <c r="O417" i="6"/>
  <c r="M417" i="6"/>
  <c r="K417" i="6"/>
  <c r="I417" i="6"/>
  <c r="G417" i="6"/>
  <c r="E417" i="6"/>
  <c r="C417" i="6"/>
  <c r="AE416" i="6"/>
  <c r="AC416" i="6"/>
  <c r="AA416" i="6"/>
  <c r="Y416" i="6"/>
  <c r="W416" i="6"/>
  <c r="U416" i="6"/>
  <c r="S416" i="6"/>
  <c r="Q416" i="6"/>
  <c r="O416" i="6"/>
  <c r="M416" i="6"/>
  <c r="K416" i="6"/>
  <c r="I416" i="6"/>
  <c r="G416" i="6"/>
  <c r="E416" i="6"/>
  <c r="C416" i="6"/>
  <c r="AE415" i="6"/>
  <c r="AC415" i="6"/>
  <c r="AA415" i="6"/>
  <c r="Y415" i="6"/>
  <c r="W415" i="6"/>
  <c r="U415" i="6"/>
  <c r="S415" i="6"/>
  <c r="Q415" i="6"/>
  <c r="O415" i="6"/>
  <c r="M415" i="6"/>
  <c r="K415" i="6"/>
  <c r="I415" i="6"/>
  <c r="G415" i="6"/>
  <c r="E415" i="6"/>
  <c r="C415" i="6"/>
  <c r="AE414" i="6"/>
  <c r="AC414" i="6"/>
  <c r="AA414" i="6"/>
  <c r="Y414" i="6"/>
  <c r="W414" i="6"/>
  <c r="U414" i="6"/>
  <c r="S414" i="6"/>
  <c r="Q414" i="6"/>
  <c r="O414" i="6"/>
  <c r="M414" i="6"/>
  <c r="K414" i="6"/>
  <c r="I414" i="6"/>
  <c r="G414" i="6"/>
  <c r="E414" i="6"/>
  <c r="C414" i="6"/>
  <c r="AE351" i="6"/>
  <c r="AC351" i="6"/>
  <c r="AA351" i="6"/>
  <c r="Y351" i="6"/>
  <c r="W351" i="6"/>
  <c r="U351" i="6"/>
  <c r="S351" i="6"/>
  <c r="Q351" i="6"/>
  <c r="O351" i="6"/>
  <c r="M351" i="6"/>
  <c r="K351" i="6"/>
  <c r="I351" i="6"/>
  <c r="G351" i="6"/>
  <c r="E351" i="6"/>
  <c r="C351" i="6"/>
  <c r="AE350" i="6"/>
  <c r="AC350" i="6"/>
  <c r="AA350" i="6"/>
  <c r="Y350" i="6"/>
  <c r="W350" i="6"/>
  <c r="U350" i="6"/>
  <c r="S350" i="6"/>
  <c r="Q350" i="6"/>
  <c r="O350" i="6"/>
  <c r="M350" i="6"/>
  <c r="K350" i="6"/>
  <c r="I350" i="6"/>
  <c r="G350" i="6"/>
  <c r="E350" i="6"/>
  <c r="C350" i="6"/>
  <c r="AE349" i="6"/>
  <c r="AC349" i="6"/>
  <c r="AA349" i="6"/>
  <c r="Y349" i="6"/>
  <c r="W349" i="6"/>
  <c r="U349" i="6"/>
  <c r="S349" i="6"/>
  <c r="Q349" i="6"/>
  <c r="O349" i="6"/>
  <c r="M349" i="6"/>
  <c r="K349" i="6"/>
  <c r="I349" i="6"/>
  <c r="G349" i="6"/>
  <c r="E349" i="6"/>
  <c r="C349" i="6"/>
  <c r="AE348" i="6"/>
  <c r="AC348" i="6"/>
  <c r="AA348" i="6"/>
  <c r="Y348" i="6"/>
  <c r="W348" i="6"/>
  <c r="U348" i="6"/>
  <c r="S348" i="6"/>
  <c r="Q348" i="6"/>
  <c r="O348" i="6"/>
  <c r="M348" i="6"/>
  <c r="K348" i="6"/>
  <c r="I348" i="6"/>
  <c r="G348" i="6"/>
  <c r="E348" i="6"/>
  <c r="C348" i="6"/>
  <c r="AE347" i="6"/>
  <c r="AC347" i="6"/>
  <c r="AA347" i="6"/>
  <c r="Y347" i="6"/>
  <c r="W347" i="6"/>
  <c r="U347" i="6"/>
  <c r="S347" i="6"/>
  <c r="Q347" i="6"/>
  <c r="O347" i="6"/>
  <c r="M347" i="6"/>
  <c r="K347" i="6"/>
  <c r="I347" i="6"/>
  <c r="G347" i="6"/>
  <c r="E347" i="6"/>
  <c r="C347" i="6"/>
  <c r="AE346" i="6"/>
  <c r="AC346" i="6"/>
  <c r="AA346" i="6"/>
  <c r="Y346" i="6"/>
  <c r="W346" i="6"/>
  <c r="U346" i="6"/>
  <c r="S346" i="6"/>
  <c r="Q346" i="6"/>
  <c r="O346" i="6"/>
  <c r="M346" i="6"/>
  <c r="K346" i="6"/>
  <c r="I346" i="6"/>
  <c r="G346" i="6"/>
  <c r="E346" i="6"/>
  <c r="C346" i="6"/>
  <c r="AE345" i="6"/>
  <c r="AC345" i="6"/>
  <c r="AA345" i="6"/>
  <c r="Y345" i="6"/>
  <c r="W345" i="6"/>
  <c r="U345" i="6"/>
  <c r="S345" i="6"/>
  <c r="Q345" i="6"/>
  <c r="O345" i="6"/>
  <c r="M345" i="6"/>
  <c r="K345" i="6"/>
  <c r="I345" i="6"/>
  <c r="G345" i="6"/>
  <c r="E345" i="6"/>
  <c r="C345" i="6"/>
  <c r="AE344" i="6"/>
  <c r="AC344" i="6"/>
  <c r="AA344" i="6"/>
  <c r="Y344" i="6"/>
  <c r="W344" i="6"/>
  <c r="U344" i="6"/>
  <c r="S344" i="6"/>
  <c r="Q344" i="6"/>
  <c r="O344" i="6"/>
  <c r="M344" i="6"/>
  <c r="K344" i="6"/>
  <c r="I344" i="6"/>
  <c r="G344" i="6"/>
  <c r="E344" i="6"/>
  <c r="C344" i="6"/>
  <c r="AE343" i="6"/>
  <c r="AC343" i="6"/>
  <c r="AA343" i="6"/>
  <c r="Y343" i="6"/>
  <c r="W343" i="6"/>
  <c r="U343" i="6"/>
  <c r="S343" i="6"/>
  <c r="Q343" i="6"/>
  <c r="O343" i="6"/>
  <c r="M343" i="6"/>
  <c r="K343" i="6"/>
  <c r="I343" i="6"/>
  <c r="G343" i="6"/>
  <c r="E343" i="6"/>
  <c r="C343" i="6"/>
  <c r="AE342" i="6"/>
  <c r="AC342" i="6"/>
  <c r="AA342" i="6"/>
  <c r="Y342" i="6"/>
  <c r="W342" i="6"/>
  <c r="U342" i="6"/>
  <c r="S342" i="6"/>
  <c r="Q342" i="6"/>
  <c r="O342" i="6"/>
  <c r="M342" i="6"/>
  <c r="K342" i="6"/>
  <c r="I342" i="6"/>
  <c r="G342" i="6"/>
  <c r="E342" i="6"/>
  <c r="C342" i="6"/>
  <c r="AE341" i="6"/>
  <c r="AC341" i="6"/>
  <c r="AA341" i="6"/>
  <c r="Y341" i="6"/>
  <c r="W341" i="6"/>
  <c r="U341" i="6"/>
  <c r="S341" i="6"/>
  <c r="Q341" i="6"/>
  <c r="O341" i="6"/>
  <c r="M341" i="6"/>
  <c r="K341" i="6"/>
  <c r="I341" i="6"/>
  <c r="G341" i="6"/>
  <c r="E341" i="6"/>
  <c r="C341" i="6"/>
  <c r="AE340" i="6"/>
  <c r="AC340" i="6"/>
  <c r="AA340" i="6"/>
  <c r="Y340" i="6"/>
  <c r="W340" i="6"/>
  <c r="U340" i="6"/>
  <c r="S340" i="6"/>
  <c r="Q340" i="6"/>
  <c r="O340" i="6"/>
  <c r="M340" i="6"/>
  <c r="K340" i="6"/>
  <c r="I340" i="6"/>
  <c r="G340" i="6"/>
  <c r="E340" i="6"/>
  <c r="C340" i="6"/>
  <c r="AE339" i="6"/>
  <c r="AC339" i="6"/>
  <c r="AA339" i="6"/>
  <c r="Y339" i="6"/>
  <c r="W339" i="6"/>
  <c r="U339" i="6"/>
  <c r="S339" i="6"/>
  <c r="Q339" i="6"/>
  <c r="O339" i="6"/>
  <c r="M339" i="6"/>
  <c r="K339" i="6"/>
  <c r="I339" i="6"/>
  <c r="G339" i="6"/>
  <c r="E339" i="6"/>
  <c r="C339" i="6"/>
  <c r="AE338" i="6"/>
  <c r="AC338" i="6"/>
  <c r="AA338" i="6"/>
  <c r="Y338" i="6"/>
  <c r="W338" i="6"/>
  <c r="U338" i="6"/>
  <c r="S338" i="6"/>
  <c r="Q338" i="6"/>
  <c r="O338" i="6"/>
  <c r="M338" i="6"/>
  <c r="K338" i="6"/>
  <c r="I338" i="6"/>
  <c r="G338" i="6"/>
  <c r="E338" i="6"/>
  <c r="C338" i="6"/>
  <c r="AE337" i="6"/>
  <c r="AC337" i="6"/>
  <c r="AA337" i="6"/>
  <c r="Y337" i="6"/>
  <c r="W337" i="6"/>
  <c r="U337" i="6"/>
  <c r="S337" i="6"/>
  <c r="Q337" i="6"/>
  <c r="O337" i="6"/>
  <c r="M337" i="6"/>
  <c r="K337" i="6"/>
  <c r="I337" i="6"/>
  <c r="G337" i="6"/>
  <c r="E337" i="6"/>
  <c r="C337" i="6"/>
  <c r="AE336" i="6"/>
  <c r="AC336" i="6"/>
  <c r="AA336" i="6"/>
  <c r="Y336" i="6"/>
  <c r="W336" i="6"/>
  <c r="U336" i="6"/>
  <c r="S336" i="6"/>
  <c r="Q336" i="6"/>
  <c r="O336" i="6"/>
  <c r="M336" i="6"/>
  <c r="K336" i="6"/>
  <c r="I336" i="6"/>
  <c r="G336" i="6"/>
  <c r="E336" i="6"/>
  <c r="C336" i="6"/>
  <c r="AE335" i="6"/>
  <c r="AC335" i="6"/>
  <c r="AA335" i="6"/>
  <c r="Y335" i="6"/>
  <c r="W335" i="6"/>
  <c r="U335" i="6"/>
  <c r="S335" i="6"/>
  <c r="Q335" i="6"/>
  <c r="O335" i="6"/>
  <c r="M335" i="6"/>
  <c r="K335" i="6"/>
  <c r="I335" i="6"/>
  <c r="G335" i="6"/>
  <c r="E335" i="6"/>
  <c r="C335" i="6"/>
  <c r="AE263" i="6"/>
  <c r="AC263" i="6"/>
  <c r="AA263" i="6"/>
  <c r="Y263" i="6"/>
  <c r="W263" i="6"/>
  <c r="U263" i="6"/>
  <c r="S263" i="6"/>
  <c r="Q263" i="6"/>
  <c r="O263" i="6"/>
  <c r="M263" i="6"/>
  <c r="K263" i="6"/>
  <c r="I263" i="6"/>
  <c r="G263" i="6"/>
  <c r="E263" i="6"/>
  <c r="C263" i="6"/>
  <c r="AE262" i="6"/>
  <c r="AC262" i="6"/>
  <c r="AA262" i="6"/>
  <c r="Y262" i="6"/>
  <c r="W262" i="6"/>
  <c r="U262" i="6"/>
  <c r="S262" i="6"/>
  <c r="Q262" i="6"/>
  <c r="O262" i="6"/>
  <c r="M262" i="6"/>
  <c r="K262" i="6"/>
  <c r="I262" i="6"/>
  <c r="G262" i="6"/>
  <c r="E262" i="6"/>
  <c r="C262" i="6"/>
  <c r="AE261" i="6"/>
  <c r="AC261" i="6"/>
  <c r="AA261" i="6"/>
  <c r="Y261" i="6"/>
  <c r="W261" i="6"/>
  <c r="U261" i="6"/>
  <c r="S261" i="6"/>
  <c r="Q261" i="6"/>
  <c r="O261" i="6"/>
  <c r="M261" i="6"/>
  <c r="K261" i="6"/>
  <c r="I261" i="6"/>
  <c r="G261" i="6"/>
  <c r="E261" i="6"/>
  <c r="C261" i="6"/>
  <c r="AE260" i="6"/>
  <c r="AC260" i="6"/>
  <c r="AA260" i="6"/>
  <c r="Y260" i="6"/>
  <c r="W260" i="6"/>
  <c r="U260" i="6"/>
  <c r="S260" i="6"/>
  <c r="Q260" i="6"/>
  <c r="O260" i="6"/>
  <c r="M260" i="6"/>
  <c r="K260" i="6"/>
  <c r="I260" i="6"/>
  <c r="G260" i="6"/>
  <c r="E260" i="6"/>
  <c r="C260" i="6"/>
  <c r="AE259" i="6"/>
  <c r="AC259" i="6"/>
  <c r="AA259" i="6"/>
  <c r="Y259" i="6"/>
  <c r="W259" i="6"/>
  <c r="U259" i="6"/>
  <c r="S259" i="6"/>
  <c r="Q259" i="6"/>
  <c r="O259" i="6"/>
  <c r="M259" i="6"/>
  <c r="K259" i="6"/>
  <c r="I259" i="6"/>
  <c r="G259" i="6"/>
  <c r="E259" i="6"/>
  <c r="C259" i="6"/>
  <c r="AE258" i="6"/>
  <c r="AC258" i="6"/>
  <c r="AA258" i="6"/>
  <c r="Y258" i="6"/>
  <c r="W258" i="6"/>
  <c r="U258" i="6"/>
  <c r="S258" i="6"/>
  <c r="Q258" i="6"/>
  <c r="O258" i="6"/>
  <c r="M258" i="6"/>
  <c r="K258" i="6"/>
  <c r="I258" i="6"/>
  <c r="G258" i="6"/>
  <c r="E258" i="6"/>
  <c r="C258" i="6"/>
  <c r="AE257" i="6"/>
  <c r="AC257" i="6"/>
  <c r="AA257" i="6"/>
  <c r="Y257" i="6"/>
  <c r="W257" i="6"/>
  <c r="U257" i="6"/>
  <c r="S257" i="6"/>
  <c r="Q257" i="6"/>
  <c r="O257" i="6"/>
  <c r="M257" i="6"/>
  <c r="K257" i="6"/>
  <c r="I257" i="6"/>
  <c r="G257" i="6"/>
  <c r="E257" i="6"/>
  <c r="C257" i="6"/>
  <c r="AE256" i="6"/>
  <c r="AC256" i="6"/>
  <c r="AA256" i="6"/>
  <c r="Y256" i="6"/>
  <c r="W256" i="6"/>
  <c r="U256" i="6"/>
  <c r="S256" i="6"/>
  <c r="Q256" i="6"/>
  <c r="O256" i="6"/>
  <c r="M256" i="6"/>
  <c r="K256" i="6"/>
  <c r="I256" i="6"/>
  <c r="G256" i="6"/>
  <c r="E256" i="6"/>
  <c r="C256" i="6"/>
  <c r="AE255" i="6"/>
  <c r="AC255" i="6"/>
  <c r="AA255" i="6"/>
  <c r="Y255" i="6"/>
  <c r="W255" i="6"/>
  <c r="U255" i="6"/>
  <c r="S255" i="6"/>
  <c r="Q255" i="6"/>
  <c r="O255" i="6"/>
  <c r="M255" i="6"/>
  <c r="K255" i="6"/>
  <c r="I255" i="6"/>
  <c r="G255" i="6"/>
  <c r="E255" i="6"/>
  <c r="C255" i="6"/>
  <c r="AE254" i="6"/>
  <c r="AC254" i="6"/>
  <c r="AA254" i="6"/>
  <c r="Y254" i="6"/>
  <c r="W254" i="6"/>
  <c r="U254" i="6"/>
  <c r="S254" i="6"/>
  <c r="Q254" i="6"/>
  <c r="O254" i="6"/>
  <c r="M254" i="6"/>
  <c r="K254" i="6"/>
  <c r="I254" i="6"/>
  <c r="G254" i="6"/>
  <c r="E254" i="6"/>
  <c r="C254" i="6"/>
  <c r="AE253" i="6"/>
  <c r="AC253" i="6"/>
  <c r="AA253" i="6"/>
  <c r="Y253" i="6"/>
  <c r="W253" i="6"/>
  <c r="U253" i="6"/>
  <c r="S253" i="6"/>
  <c r="Q253" i="6"/>
  <c r="O253" i="6"/>
  <c r="M253" i="6"/>
  <c r="K253" i="6"/>
  <c r="I253" i="6"/>
  <c r="G253" i="6"/>
  <c r="E253" i="6"/>
  <c r="C253" i="6"/>
  <c r="AE252" i="6"/>
  <c r="AC252" i="6"/>
  <c r="AA252" i="6"/>
  <c r="Y252" i="6"/>
  <c r="W252" i="6"/>
  <c r="U252" i="6"/>
  <c r="S252" i="6"/>
  <c r="Q252" i="6"/>
  <c r="O252" i="6"/>
  <c r="M252" i="6"/>
  <c r="K252" i="6"/>
  <c r="I252" i="6"/>
  <c r="G252" i="6"/>
  <c r="E252" i="6"/>
  <c r="C252" i="6"/>
  <c r="AE251" i="6"/>
  <c r="AC251" i="6"/>
  <c r="AA251" i="6"/>
  <c r="Y251" i="6"/>
  <c r="W251" i="6"/>
  <c r="U251" i="6"/>
  <c r="S251" i="6"/>
  <c r="Q251" i="6"/>
  <c r="O251" i="6"/>
  <c r="M251" i="6"/>
  <c r="K251" i="6"/>
  <c r="I251" i="6"/>
  <c r="G251" i="6"/>
  <c r="E251" i="6"/>
  <c r="C251" i="6"/>
  <c r="AE250" i="6"/>
  <c r="AC250" i="6"/>
  <c r="AA250" i="6"/>
  <c r="Y250" i="6"/>
  <c r="W250" i="6"/>
  <c r="U250" i="6"/>
  <c r="S250" i="6"/>
  <c r="Q250" i="6"/>
  <c r="O250" i="6"/>
  <c r="M250" i="6"/>
  <c r="K250" i="6"/>
  <c r="I250" i="6"/>
  <c r="G250" i="6"/>
  <c r="E250" i="6"/>
  <c r="C250" i="6"/>
  <c r="AE249" i="6"/>
  <c r="AC249" i="6"/>
  <c r="AA249" i="6"/>
  <c r="Y249" i="6"/>
  <c r="W249" i="6"/>
  <c r="U249" i="6"/>
  <c r="S249" i="6"/>
  <c r="Q249" i="6"/>
  <c r="O249" i="6"/>
  <c r="M249" i="6"/>
  <c r="K249" i="6"/>
  <c r="I249" i="6"/>
  <c r="G249" i="6"/>
  <c r="E249" i="6"/>
  <c r="C249" i="6"/>
  <c r="AE248" i="6"/>
  <c r="AC248" i="6"/>
  <c r="AA248" i="6"/>
  <c r="Y248" i="6"/>
  <c r="W248" i="6"/>
  <c r="U248" i="6"/>
  <c r="S248" i="6"/>
  <c r="Q248" i="6"/>
  <c r="O248" i="6"/>
  <c r="M248" i="6"/>
  <c r="K248" i="6"/>
  <c r="I248" i="6"/>
  <c r="G248" i="6"/>
  <c r="E248" i="6"/>
  <c r="C248" i="6"/>
  <c r="AE247" i="6"/>
  <c r="AC247" i="6"/>
  <c r="AA247" i="6"/>
  <c r="Y247" i="6"/>
  <c r="W247" i="6"/>
  <c r="U247" i="6"/>
  <c r="S247" i="6"/>
  <c r="Q247" i="6"/>
  <c r="O247" i="6"/>
  <c r="M247" i="6"/>
  <c r="K247" i="6"/>
  <c r="I247" i="6"/>
  <c r="G247" i="6"/>
  <c r="E247" i="6"/>
  <c r="C247" i="6"/>
  <c r="AE175" i="6"/>
  <c r="FF88" i="7" s="1"/>
  <c r="AC175" i="6"/>
  <c r="AA175" i="6"/>
  <c r="Y175" i="6"/>
  <c r="W175" i="6"/>
  <c r="U175" i="6"/>
  <c r="S175" i="6"/>
  <c r="Q175" i="6"/>
  <c r="O175" i="6"/>
  <c r="M175" i="6"/>
  <c r="K175" i="6"/>
  <c r="I175" i="6"/>
  <c r="G175" i="6"/>
  <c r="E175" i="6"/>
  <c r="C175" i="6"/>
  <c r="ER88" i="7" s="1"/>
  <c r="AE174" i="6"/>
  <c r="FF87" i="7" s="1"/>
  <c r="AC174" i="6"/>
  <c r="AA174" i="6"/>
  <c r="Y174" i="6"/>
  <c r="W174" i="6"/>
  <c r="U174" i="6"/>
  <c r="S174" i="6"/>
  <c r="Q174" i="6"/>
  <c r="O174" i="6"/>
  <c r="M174" i="6"/>
  <c r="K174" i="6"/>
  <c r="I174" i="6"/>
  <c r="G174" i="6"/>
  <c r="E174" i="6"/>
  <c r="C174" i="6"/>
  <c r="ER87" i="7" s="1"/>
  <c r="AE173" i="6"/>
  <c r="FF86" i="7" s="1"/>
  <c r="AC173" i="6"/>
  <c r="AA173" i="6"/>
  <c r="Y173" i="6"/>
  <c r="W173" i="6"/>
  <c r="U173" i="6"/>
  <c r="S173" i="6"/>
  <c r="Q173" i="6"/>
  <c r="O173" i="6"/>
  <c r="M173" i="6"/>
  <c r="K173" i="6"/>
  <c r="I173" i="6"/>
  <c r="G173" i="6"/>
  <c r="E173" i="6"/>
  <c r="C173" i="6"/>
  <c r="AE172" i="6"/>
  <c r="AC172" i="6"/>
  <c r="AA172" i="6"/>
  <c r="Y172" i="6"/>
  <c r="W172" i="6"/>
  <c r="U172" i="6"/>
  <c r="S172" i="6"/>
  <c r="Q172" i="6"/>
  <c r="O172" i="6"/>
  <c r="M172" i="6"/>
  <c r="K172" i="6"/>
  <c r="I172" i="6"/>
  <c r="G172" i="6"/>
  <c r="E172" i="6"/>
  <c r="C172" i="6"/>
  <c r="ER85" i="7" s="1"/>
  <c r="AE171" i="6"/>
  <c r="FF84" i="7" s="1"/>
  <c r="AC171" i="6"/>
  <c r="AA171" i="6"/>
  <c r="Y171" i="6"/>
  <c r="W171" i="6"/>
  <c r="U171" i="6"/>
  <c r="S171" i="6"/>
  <c r="Q171" i="6"/>
  <c r="O171" i="6"/>
  <c r="M171" i="6"/>
  <c r="K171" i="6"/>
  <c r="I171" i="6"/>
  <c r="G171" i="6"/>
  <c r="E171" i="6"/>
  <c r="C171" i="6"/>
  <c r="ER84" i="7" s="1"/>
  <c r="AE170" i="6"/>
  <c r="FF83" i="7" s="1"/>
  <c r="AC170" i="6"/>
  <c r="AA170" i="6"/>
  <c r="Y170" i="6"/>
  <c r="W170" i="6"/>
  <c r="U170" i="6"/>
  <c r="S170" i="6"/>
  <c r="Q170" i="6"/>
  <c r="O170" i="6"/>
  <c r="M170" i="6"/>
  <c r="K170" i="6"/>
  <c r="I170" i="6"/>
  <c r="G170" i="6"/>
  <c r="E170" i="6"/>
  <c r="C170" i="6"/>
  <c r="ER83" i="7" s="1"/>
  <c r="AE169" i="6"/>
  <c r="FF82" i="7" s="1"/>
  <c r="AC169" i="6"/>
  <c r="AA169" i="6"/>
  <c r="Y169" i="6"/>
  <c r="W169" i="6"/>
  <c r="U169" i="6"/>
  <c r="S169" i="6"/>
  <c r="Q169" i="6"/>
  <c r="O169" i="6"/>
  <c r="M169" i="6"/>
  <c r="K169" i="6"/>
  <c r="I169" i="6"/>
  <c r="G169" i="6"/>
  <c r="E169" i="6"/>
  <c r="C169" i="6"/>
  <c r="ER82" i="7" s="1"/>
  <c r="AE168" i="6"/>
  <c r="FF81" i="7" s="1"/>
  <c r="AC168" i="6"/>
  <c r="AA168" i="6"/>
  <c r="Y168" i="6"/>
  <c r="W168" i="6"/>
  <c r="U168" i="6"/>
  <c r="S168" i="6"/>
  <c r="Q168" i="6"/>
  <c r="O168" i="6"/>
  <c r="M168" i="6"/>
  <c r="K168" i="6"/>
  <c r="I168" i="6"/>
  <c r="G168" i="6"/>
  <c r="E168" i="6"/>
  <c r="C168" i="6"/>
  <c r="ER81" i="7" s="1"/>
  <c r="AE167" i="6"/>
  <c r="FF80" i="7" s="1"/>
  <c r="AC167" i="6"/>
  <c r="AA167" i="6"/>
  <c r="Y167" i="6"/>
  <c r="W167" i="6"/>
  <c r="U167" i="6"/>
  <c r="S167" i="6"/>
  <c r="Q167" i="6"/>
  <c r="O167" i="6"/>
  <c r="M167" i="6"/>
  <c r="K167" i="6"/>
  <c r="I167" i="6"/>
  <c r="G167" i="6"/>
  <c r="E167" i="6"/>
  <c r="C167" i="6"/>
  <c r="ER80" i="7" s="1"/>
  <c r="AE166" i="6"/>
  <c r="FF79" i="7" s="1"/>
  <c r="AC166" i="6"/>
  <c r="AA166" i="6"/>
  <c r="Y166" i="6"/>
  <c r="W166" i="6"/>
  <c r="U166" i="6"/>
  <c r="S166" i="6"/>
  <c r="Q166" i="6"/>
  <c r="O166" i="6"/>
  <c r="M166" i="6"/>
  <c r="K166" i="6"/>
  <c r="I166" i="6"/>
  <c r="G166" i="6"/>
  <c r="E166" i="6"/>
  <c r="C166" i="6"/>
  <c r="ER79" i="7" s="1"/>
  <c r="AE165" i="6"/>
  <c r="FF78" i="7" s="1"/>
  <c r="AC165" i="6"/>
  <c r="AA165" i="6"/>
  <c r="Y165" i="6"/>
  <c r="W165" i="6"/>
  <c r="U165" i="6"/>
  <c r="S165" i="6"/>
  <c r="Q165" i="6"/>
  <c r="O165" i="6"/>
  <c r="M165" i="6"/>
  <c r="K165" i="6"/>
  <c r="I165" i="6"/>
  <c r="G165" i="6"/>
  <c r="E165" i="6"/>
  <c r="C165" i="6"/>
  <c r="ER78" i="7" s="1"/>
  <c r="AE164" i="6"/>
  <c r="AC164" i="6"/>
  <c r="AA164" i="6"/>
  <c r="Y164" i="6"/>
  <c r="W164" i="6"/>
  <c r="U164" i="6"/>
  <c r="S164" i="6"/>
  <c r="Q164" i="6"/>
  <c r="O164" i="6"/>
  <c r="M164" i="6"/>
  <c r="K164" i="6"/>
  <c r="I164" i="6"/>
  <c r="G164" i="6"/>
  <c r="E164" i="6"/>
  <c r="C164" i="6"/>
  <c r="ER77" i="7" s="1"/>
  <c r="AE163" i="6"/>
  <c r="FF76" i="7" s="1"/>
  <c r="AC163" i="6"/>
  <c r="AA163" i="6"/>
  <c r="Y163" i="6"/>
  <c r="W163" i="6"/>
  <c r="U163" i="6"/>
  <c r="S163" i="6"/>
  <c r="Q163" i="6"/>
  <c r="O163" i="6"/>
  <c r="M163" i="6"/>
  <c r="K163" i="6"/>
  <c r="I163" i="6"/>
  <c r="G163" i="6"/>
  <c r="E163" i="6"/>
  <c r="C163" i="6"/>
  <c r="ER76" i="7" s="1"/>
  <c r="AE162" i="6"/>
  <c r="FF75" i="7" s="1"/>
  <c r="AC162" i="6"/>
  <c r="AA162" i="6"/>
  <c r="Y162" i="6"/>
  <c r="W162" i="6"/>
  <c r="U162" i="6"/>
  <c r="S162" i="6"/>
  <c r="Q162" i="6"/>
  <c r="O162" i="6"/>
  <c r="M162" i="6"/>
  <c r="K162" i="6"/>
  <c r="I162" i="6"/>
  <c r="G162" i="6"/>
  <c r="E162" i="6"/>
  <c r="C162" i="6"/>
  <c r="ER75" i="7" s="1"/>
  <c r="AE161" i="6"/>
  <c r="FF74" i="7" s="1"/>
  <c r="AC161" i="6"/>
  <c r="AA161" i="6"/>
  <c r="Y161" i="6"/>
  <c r="W161" i="6"/>
  <c r="U161" i="6"/>
  <c r="S161" i="6"/>
  <c r="Q161" i="6"/>
  <c r="O161" i="6"/>
  <c r="M161" i="6"/>
  <c r="K161" i="6"/>
  <c r="I161" i="6"/>
  <c r="G161" i="6"/>
  <c r="E161" i="6"/>
  <c r="C161" i="6"/>
  <c r="ER74" i="7" s="1"/>
  <c r="AE160" i="6"/>
  <c r="FF73" i="7" s="1"/>
  <c r="AC160" i="6"/>
  <c r="AA160" i="6"/>
  <c r="Y160" i="6"/>
  <c r="W160" i="6"/>
  <c r="U160" i="6"/>
  <c r="S160" i="6"/>
  <c r="Q160" i="6"/>
  <c r="O160" i="6"/>
  <c r="M160" i="6"/>
  <c r="K160" i="6"/>
  <c r="I160" i="6"/>
  <c r="G160" i="6"/>
  <c r="E160" i="6"/>
  <c r="C160" i="6"/>
  <c r="ER73" i="7" s="1"/>
  <c r="AE159" i="6"/>
  <c r="FF72" i="7" s="1"/>
  <c r="AC159" i="6"/>
  <c r="AA159" i="6"/>
  <c r="Y159" i="6"/>
  <c r="W159" i="6"/>
  <c r="U159" i="6"/>
  <c r="S159" i="6"/>
  <c r="Q159" i="6"/>
  <c r="O159" i="6"/>
  <c r="M159" i="6"/>
  <c r="K159" i="6"/>
  <c r="I159" i="6"/>
  <c r="G159" i="6"/>
  <c r="E159" i="6"/>
  <c r="C159" i="6"/>
  <c r="ER72" i="7" s="1"/>
  <c r="AE87" i="6"/>
  <c r="AC87" i="6"/>
  <c r="AA87" i="6"/>
  <c r="Y87" i="6"/>
  <c r="W87" i="6"/>
  <c r="U87" i="6"/>
  <c r="S87" i="6"/>
  <c r="Q87" i="6"/>
  <c r="O87" i="6"/>
  <c r="M87" i="6"/>
  <c r="K87" i="6"/>
  <c r="I87" i="6"/>
  <c r="G87" i="6"/>
  <c r="E87" i="6"/>
  <c r="C87" i="6"/>
  <c r="AE86" i="6"/>
  <c r="AC86" i="6"/>
  <c r="AA86" i="6"/>
  <c r="Y86" i="6"/>
  <c r="W86" i="6"/>
  <c r="U86" i="6"/>
  <c r="S86" i="6"/>
  <c r="Q86" i="6"/>
  <c r="O86" i="6"/>
  <c r="M86" i="6"/>
  <c r="K86" i="6"/>
  <c r="I86" i="6"/>
  <c r="G86" i="6"/>
  <c r="E86" i="6"/>
  <c r="C86" i="6"/>
  <c r="AE85" i="6"/>
  <c r="AC85" i="6"/>
  <c r="AA85" i="6"/>
  <c r="Y85" i="6"/>
  <c r="W85" i="6"/>
  <c r="U85" i="6"/>
  <c r="S85" i="6"/>
  <c r="Q85" i="6"/>
  <c r="O85" i="6"/>
  <c r="M85" i="6"/>
  <c r="K85" i="6"/>
  <c r="I85" i="6"/>
  <c r="G85" i="6"/>
  <c r="E85" i="6"/>
  <c r="C85" i="6"/>
  <c r="AE84" i="6"/>
  <c r="AC84" i="6"/>
  <c r="AA84" i="6"/>
  <c r="Y84" i="6"/>
  <c r="W84" i="6"/>
  <c r="U84" i="6"/>
  <c r="S84" i="6"/>
  <c r="Q84" i="6"/>
  <c r="O84" i="6"/>
  <c r="M84" i="6"/>
  <c r="K84" i="6"/>
  <c r="I84" i="6"/>
  <c r="G84" i="6"/>
  <c r="E84" i="6"/>
  <c r="C84" i="6"/>
  <c r="AE83" i="6"/>
  <c r="AC83" i="6"/>
  <c r="AA83" i="6"/>
  <c r="Y83" i="6"/>
  <c r="W83" i="6"/>
  <c r="U83" i="6"/>
  <c r="S83" i="6"/>
  <c r="Q83" i="6"/>
  <c r="O83" i="6"/>
  <c r="M83" i="6"/>
  <c r="K83" i="6"/>
  <c r="I83" i="6"/>
  <c r="G83" i="6"/>
  <c r="E83" i="6"/>
  <c r="C83" i="6"/>
  <c r="AE82" i="6"/>
  <c r="AC82" i="6"/>
  <c r="AA82" i="6"/>
  <c r="Y82" i="6"/>
  <c r="W82" i="6"/>
  <c r="U82" i="6"/>
  <c r="S82" i="6"/>
  <c r="Q82" i="6"/>
  <c r="O82" i="6"/>
  <c r="M82" i="6"/>
  <c r="K82" i="6"/>
  <c r="I82" i="6"/>
  <c r="G82" i="6"/>
  <c r="E82" i="6"/>
  <c r="C82" i="6"/>
  <c r="AE81" i="6"/>
  <c r="AC81" i="6"/>
  <c r="AA81" i="6"/>
  <c r="Y81" i="6"/>
  <c r="W81" i="6"/>
  <c r="U81" i="6"/>
  <c r="S81" i="6"/>
  <c r="Q81" i="6"/>
  <c r="O81" i="6"/>
  <c r="M81" i="6"/>
  <c r="K81" i="6"/>
  <c r="I81" i="6"/>
  <c r="G81" i="6"/>
  <c r="E81" i="6"/>
  <c r="C81" i="6"/>
  <c r="AE80" i="6"/>
  <c r="AC80" i="6"/>
  <c r="AA80" i="6"/>
  <c r="Y80" i="6"/>
  <c r="W80" i="6"/>
  <c r="U80" i="6"/>
  <c r="S80" i="6"/>
  <c r="Q80" i="6"/>
  <c r="O80" i="6"/>
  <c r="M80" i="6"/>
  <c r="K80" i="6"/>
  <c r="I80" i="6"/>
  <c r="G80" i="6"/>
  <c r="E80" i="6"/>
  <c r="C80" i="6"/>
  <c r="AE79" i="6"/>
  <c r="AC79" i="6"/>
  <c r="AA79" i="6"/>
  <c r="Y79" i="6"/>
  <c r="W79" i="6"/>
  <c r="U79" i="6"/>
  <c r="S79" i="6"/>
  <c r="Q79" i="6"/>
  <c r="O79" i="6"/>
  <c r="M79" i="6"/>
  <c r="K79" i="6"/>
  <c r="I79" i="6"/>
  <c r="G79" i="6"/>
  <c r="E79" i="6"/>
  <c r="C79" i="6"/>
  <c r="AE78" i="6"/>
  <c r="AC78" i="6"/>
  <c r="AA78" i="6"/>
  <c r="Y78" i="6"/>
  <c r="W78" i="6"/>
  <c r="U78" i="6"/>
  <c r="S78" i="6"/>
  <c r="Q78" i="6"/>
  <c r="O78" i="6"/>
  <c r="M78" i="6"/>
  <c r="K78" i="6"/>
  <c r="I78" i="6"/>
  <c r="G78" i="6"/>
  <c r="E78" i="6"/>
  <c r="C78" i="6"/>
  <c r="AE77" i="6"/>
  <c r="AC77" i="6"/>
  <c r="AA77" i="6"/>
  <c r="Y77" i="6"/>
  <c r="W77" i="6"/>
  <c r="U77" i="6"/>
  <c r="S77" i="6"/>
  <c r="Q77" i="6"/>
  <c r="O77" i="6"/>
  <c r="M77" i="6"/>
  <c r="K77" i="6"/>
  <c r="I77" i="6"/>
  <c r="G77" i="6"/>
  <c r="E77" i="6"/>
  <c r="C77" i="6"/>
  <c r="AE76" i="6"/>
  <c r="AC76" i="6"/>
  <c r="AA76" i="6"/>
  <c r="Y76" i="6"/>
  <c r="W76" i="6"/>
  <c r="U76" i="6"/>
  <c r="S76" i="6"/>
  <c r="Q76" i="6"/>
  <c r="O76" i="6"/>
  <c r="M76" i="6"/>
  <c r="K76" i="6"/>
  <c r="I76" i="6"/>
  <c r="G76" i="6"/>
  <c r="E76" i="6"/>
  <c r="C76" i="6"/>
  <c r="AE75" i="6"/>
  <c r="AC75" i="6"/>
  <c r="AA75" i="6"/>
  <c r="Y75" i="6"/>
  <c r="W75" i="6"/>
  <c r="U75" i="6"/>
  <c r="S75" i="6"/>
  <c r="Q75" i="6"/>
  <c r="O75" i="6"/>
  <c r="M75" i="6"/>
  <c r="K75" i="6"/>
  <c r="I75" i="6"/>
  <c r="G75" i="6"/>
  <c r="E75" i="6"/>
  <c r="C75" i="6"/>
  <c r="AE74" i="6"/>
  <c r="AC74" i="6"/>
  <c r="AA74" i="6"/>
  <c r="Y74" i="6"/>
  <c r="W74" i="6"/>
  <c r="U74" i="6"/>
  <c r="S74" i="6"/>
  <c r="Q74" i="6"/>
  <c r="O74" i="6"/>
  <c r="M74" i="6"/>
  <c r="K74" i="6"/>
  <c r="I74" i="6"/>
  <c r="G74" i="6"/>
  <c r="E74" i="6"/>
  <c r="C74" i="6"/>
  <c r="AE73" i="6"/>
  <c r="AC73" i="6"/>
  <c r="AA73" i="6"/>
  <c r="Y73" i="6"/>
  <c r="W73" i="6"/>
  <c r="U73" i="6"/>
  <c r="S73" i="6"/>
  <c r="Q73" i="6"/>
  <c r="O73" i="6"/>
  <c r="M73" i="6"/>
  <c r="K73" i="6"/>
  <c r="I73" i="6"/>
  <c r="G73" i="6"/>
  <c r="E73" i="6"/>
  <c r="C73" i="6"/>
  <c r="AE72" i="6"/>
  <c r="AC72" i="6"/>
  <c r="AA72" i="6"/>
  <c r="Y72" i="6"/>
  <c r="W72" i="6"/>
  <c r="U72" i="6"/>
  <c r="S72" i="6"/>
  <c r="Q72" i="6"/>
  <c r="O72" i="6"/>
  <c r="M72" i="6"/>
  <c r="K72" i="6"/>
  <c r="I72" i="6"/>
  <c r="G72" i="6"/>
  <c r="E72" i="6"/>
  <c r="C72" i="6"/>
  <c r="AE71" i="6"/>
  <c r="AC71" i="6"/>
  <c r="AA71" i="6"/>
  <c r="Y71" i="6"/>
  <c r="W71" i="6"/>
  <c r="U71" i="6"/>
  <c r="S71" i="6"/>
  <c r="Q71" i="6"/>
  <c r="O71" i="6"/>
  <c r="M71" i="6"/>
  <c r="K71" i="6"/>
  <c r="I71" i="6"/>
  <c r="G71" i="6"/>
  <c r="E71" i="6"/>
  <c r="C71" i="6"/>
  <c r="C70" i="6"/>
  <c r="ABH427" i="1"/>
  <c r="ABF427" i="1"/>
  <c r="ABH391" i="1"/>
  <c r="ABF391" i="1"/>
  <c r="ABH356" i="1"/>
  <c r="ABF356" i="1"/>
  <c r="ABH320" i="1"/>
  <c r="ABF320" i="1"/>
  <c r="ABH285" i="1"/>
  <c r="ABF285" i="1"/>
  <c r="ABH249" i="1"/>
  <c r="ABF249" i="1"/>
  <c r="ABH213" i="1"/>
  <c r="ABF213" i="1"/>
  <c r="ABH178" i="1"/>
  <c r="ABF178" i="1"/>
  <c r="ABF142" i="1"/>
  <c r="ABH107" i="1"/>
  <c r="ABF107" i="1"/>
  <c r="ABH71" i="1"/>
  <c r="ABF71" i="1"/>
  <c r="ABH37" i="1"/>
  <c r="ABF37" i="1"/>
  <c r="ABJ6" i="1"/>
  <c r="ABJ7" i="1" s="1"/>
  <c r="ABJ8" i="1" s="1"/>
  <c r="ABJ9" i="1" s="1"/>
  <c r="ABJ10" i="1" s="1"/>
  <c r="ABJ11" i="1" s="1"/>
  <c r="ABJ12" i="1" s="1"/>
  <c r="ABJ13" i="1" s="1"/>
  <c r="ABJ14" i="1" s="1"/>
  <c r="ABJ15" i="1" s="1"/>
  <c r="ABJ16" i="1" s="1"/>
  <c r="ABJ17" i="1" s="1"/>
  <c r="ABJ18" i="1" s="1"/>
  <c r="ABJ19" i="1" s="1"/>
  <c r="ABJ20" i="1" s="1"/>
  <c r="ABJ21" i="1" s="1"/>
  <c r="ABJ22" i="1" s="1"/>
  <c r="ABJ23" i="1" s="1"/>
  <c r="ABJ24" i="1" s="1"/>
  <c r="ABJ25" i="1" s="1"/>
  <c r="ABJ26" i="1" s="1"/>
  <c r="ABJ27" i="1" s="1"/>
  <c r="ABJ28" i="1" s="1"/>
  <c r="ABJ29" i="1" s="1"/>
  <c r="ABJ30" i="1" s="1"/>
  <c r="ABJ31" i="1" s="1"/>
  <c r="ABJ32" i="1" s="1"/>
  <c r="ABJ33" i="1" s="1"/>
  <c r="ABJ34" i="1" s="1"/>
  <c r="ABJ35" i="1" s="1"/>
  <c r="ABJ36" i="1" s="1"/>
  <c r="ABJ37" i="1" s="1"/>
  <c r="ABJ41" i="1" s="1"/>
  <c r="ABJ42" i="1" s="1"/>
  <c r="ABJ43" i="1" s="1"/>
  <c r="ABJ44" i="1" s="1"/>
  <c r="ABJ45" i="1" s="1"/>
  <c r="ABJ46" i="1" s="1"/>
  <c r="ABJ47" i="1" s="1"/>
  <c r="ABJ48" i="1" s="1"/>
  <c r="ABJ49" i="1" s="1"/>
  <c r="ABJ50" i="1" s="1"/>
  <c r="ABJ51" i="1" s="1"/>
  <c r="ABJ52" i="1" s="1"/>
  <c r="ABJ53" i="1" s="1"/>
  <c r="ABJ54" i="1" s="1"/>
  <c r="ABJ55" i="1" s="1"/>
  <c r="ABJ56" i="1" s="1"/>
  <c r="ABJ57" i="1" s="1"/>
  <c r="ABJ58" i="1" s="1"/>
  <c r="ABJ59" i="1" s="1"/>
  <c r="ABJ60" i="1" s="1"/>
  <c r="ABJ61" i="1" s="1"/>
  <c r="ABJ62" i="1" s="1"/>
  <c r="ABJ63" i="1" s="1"/>
  <c r="ABJ64" i="1" s="1"/>
  <c r="ABJ65" i="1" s="1"/>
  <c r="ABJ66" i="1" s="1"/>
  <c r="ABJ67" i="1" s="1"/>
  <c r="ABJ68" i="1" s="1"/>
  <c r="ABJ69" i="1" s="1"/>
  <c r="ABJ70" i="1" s="1"/>
  <c r="ABJ71" i="1" s="1"/>
  <c r="ABJ75" i="1" s="1"/>
  <c r="ABJ76" i="1" s="1"/>
  <c r="ABJ77" i="1" s="1"/>
  <c r="ABJ78" i="1" s="1"/>
  <c r="ABJ79" i="1" s="1"/>
  <c r="ABJ80" i="1" s="1"/>
  <c r="ABJ81" i="1" s="1"/>
  <c r="ABJ82" i="1" s="1"/>
  <c r="ABJ83" i="1" s="1"/>
  <c r="ABJ84" i="1" s="1"/>
  <c r="ABJ85" i="1" s="1"/>
  <c r="ABJ86" i="1" s="1"/>
  <c r="ABJ87" i="1" s="1"/>
  <c r="ABJ88" i="1" s="1"/>
  <c r="ABJ89" i="1" s="1"/>
  <c r="ABJ90" i="1" s="1"/>
  <c r="ABJ91" i="1" s="1"/>
  <c r="ABJ92" i="1" s="1"/>
  <c r="ABJ93" i="1" s="1"/>
  <c r="ABJ94" i="1" s="1"/>
  <c r="ABJ95" i="1" s="1"/>
  <c r="ABJ96" i="1" s="1"/>
  <c r="ABJ97" i="1" s="1"/>
  <c r="ABJ98" i="1" s="1"/>
  <c r="ABJ99" i="1" s="1"/>
  <c r="ABJ100" i="1" s="1"/>
  <c r="ABJ101" i="1" s="1"/>
  <c r="ABJ102" i="1" s="1"/>
  <c r="ABJ103" i="1" s="1"/>
  <c r="ABJ104" i="1" s="1"/>
  <c r="ABJ105" i="1" s="1"/>
  <c r="ABJ106" i="1" s="1"/>
  <c r="ABJ107" i="1" s="1"/>
  <c r="ABJ111" i="1" s="1"/>
  <c r="ABJ112" i="1" s="1"/>
  <c r="ABJ113" i="1" s="1"/>
  <c r="ABJ114" i="1" s="1"/>
  <c r="ABJ115" i="1" s="1"/>
  <c r="ABJ116" i="1" s="1"/>
  <c r="ABJ117" i="1" s="1"/>
  <c r="ABJ118" i="1" s="1"/>
  <c r="ABJ119" i="1" s="1"/>
  <c r="ABJ120" i="1" s="1"/>
  <c r="ABJ121" i="1" s="1"/>
  <c r="ABJ122" i="1" s="1"/>
  <c r="ABJ123" i="1" s="1"/>
  <c r="ABJ124" i="1" s="1"/>
  <c r="ABJ125" i="1" s="1"/>
  <c r="ABJ126" i="1" s="1"/>
  <c r="ABJ127" i="1" s="1"/>
  <c r="ABJ128" i="1" s="1"/>
  <c r="ABJ129" i="1" s="1"/>
  <c r="ABJ130" i="1" s="1"/>
  <c r="ABJ131" i="1" s="1"/>
  <c r="ABJ132" i="1" s="1"/>
  <c r="ABJ133" i="1" s="1"/>
  <c r="ABJ134" i="1" s="1"/>
  <c r="ABJ135" i="1" s="1"/>
  <c r="ABJ136" i="1" s="1"/>
  <c r="ABJ137" i="1" s="1"/>
  <c r="ABJ138" i="1" s="1"/>
  <c r="ABJ139" i="1" s="1"/>
  <c r="ABJ140" i="1" s="1"/>
  <c r="ABJ141" i="1" s="1"/>
  <c r="ABJ142" i="1" s="1"/>
  <c r="ABJ146" i="1" s="1"/>
  <c r="ABJ147" i="1" s="1"/>
  <c r="ABJ148" i="1" s="1"/>
  <c r="ABJ149" i="1" s="1"/>
  <c r="ABJ150" i="1" s="1"/>
  <c r="ABJ151" i="1" s="1"/>
  <c r="ABJ152" i="1" s="1"/>
  <c r="ABJ153" i="1" s="1"/>
  <c r="ABJ154" i="1" s="1"/>
  <c r="ABJ155" i="1" s="1"/>
  <c r="ABJ156" i="1" s="1"/>
  <c r="ABJ157" i="1" s="1"/>
  <c r="ABJ158" i="1" s="1"/>
  <c r="ABJ159" i="1" s="1"/>
  <c r="ABJ160" i="1" s="1"/>
  <c r="ABJ161" i="1" s="1"/>
  <c r="ABJ162" i="1" s="1"/>
  <c r="ABJ163" i="1" s="1"/>
  <c r="ABJ164" i="1" s="1"/>
  <c r="ABJ165" i="1" s="1"/>
  <c r="ABJ166" i="1" s="1"/>
  <c r="ABJ167" i="1" s="1"/>
  <c r="ABJ168" i="1" s="1"/>
  <c r="ABJ169" i="1" s="1"/>
  <c r="ABJ170" i="1" s="1"/>
  <c r="ABJ171" i="1" s="1"/>
  <c r="ABJ172" i="1" s="1"/>
  <c r="ABJ173" i="1" s="1"/>
  <c r="ABJ174" i="1" s="1"/>
  <c r="ABJ175" i="1" s="1"/>
  <c r="ABJ176" i="1" s="1"/>
  <c r="ABJ177" i="1" s="1"/>
  <c r="ABJ178" i="1" s="1"/>
  <c r="ABJ182" i="1" s="1"/>
  <c r="ABJ183" i="1" s="1"/>
  <c r="ABJ184" i="1" s="1"/>
  <c r="ABJ185" i="1" s="1"/>
  <c r="ABJ186" i="1" s="1"/>
  <c r="ABJ187" i="1" s="1"/>
  <c r="ABJ188" i="1" s="1"/>
  <c r="ABJ189" i="1" s="1"/>
  <c r="ABJ190" i="1" s="1"/>
  <c r="ABJ191" i="1" s="1"/>
  <c r="ABJ192" i="1" s="1"/>
  <c r="ABJ193" i="1" s="1"/>
  <c r="ABJ194" i="1" s="1"/>
  <c r="ABJ195" i="1" s="1"/>
  <c r="ABJ196" i="1" s="1"/>
  <c r="ABJ197" i="1" s="1"/>
  <c r="ABJ198" i="1" s="1"/>
  <c r="ABJ199" i="1" s="1"/>
  <c r="ABJ200" i="1" s="1"/>
  <c r="ABJ201" i="1" s="1"/>
  <c r="ABJ202" i="1" s="1"/>
  <c r="ABJ203" i="1" s="1"/>
  <c r="ABJ204" i="1" s="1"/>
  <c r="ABJ205" i="1" s="1"/>
  <c r="ABJ206" i="1" s="1"/>
  <c r="ABJ207" i="1" s="1"/>
  <c r="ABJ208" i="1" s="1"/>
  <c r="ABJ209" i="1" s="1"/>
  <c r="ABJ210" i="1" s="1"/>
  <c r="ABJ211" i="1" s="1"/>
  <c r="ABJ212" i="1" s="1"/>
  <c r="ABJ213" i="1" s="1"/>
  <c r="ABJ217" i="1" s="1"/>
  <c r="ABJ218" i="1" s="1"/>
  <c r="ABJ219" i="1" s="1"/>
  <c r="ABJ220" i="1" s="1"/>
  <c r="ABJ221" i="1" s="1"/>
  <c r="ABJ222" i="1" s="1"/>
  <c r="ABJ223" i="1" s="1"/>
  <c r="ABJ224" i="1" s="1"/>
  <c r="ABJ225" i="1" s="1"/>
  <c r="ABJ226" i="1" s="1"/>
  <c r="ABJ227" i="1" s="1"/>
  <c r="ABJ228" i="1" s="1"/>
  <c r="ABJ229" i="1" s="1"/>
  <c r="ABJ230" i="1" s="1"/>
  <c r="ABJ231" i="1" s="1"/>
  <c r="ABJ232" i="1" s="1"/>
  <c r="ABJ233" i="1" s="1"/>
  <c r="ABJ234" i="1" s="1"/>
  <c r="ABJ235" i="1" s="1"/>
  <c r="ABJ236" i="1" s="1"/>
  <c r="ABJ237" i="1" s="1"/>
  <c r="ABJ238" i="1" s="1"/>
  <c r="ABJ239" i="1" s="1"/>
  <c r="ABJ240" i="1" s="1"/>
  <c r="ABJ241" i="1" s="1"/>
  <c r="ABJ242" i="1" s="1"/>
  <c r="ABJ243" i="1" s="1"/>
  <c r="ABJ244" i="1" s="1"/>
  <c r="ABJ245" i="1" s="1"/>
  <c r="ABJ246" i="1" s="1"/>
  <c r="ABJ247" i="1" s="1"/>
  <c r="ABJ248" i="1" s="1"/>
  <c r="ABJ249" i="1" s="1"/>
  <c r="ABJ253" i="1" s="1"/>
  <c r="ABJ254" i="1" s="1"/>
  <c r="ABJ255" i="1" s="1"/>
  <c r="ABJ256" i="1" s="1"/>
  <c r="ABJ257" i="1" s="1"/>
  <c r="ABJ258" i="1" s="1"/>
  <c r="ABJ259" i="1" s="1"/>
  <c r="ABJ260" i="1" s="1"/>
  <c r="ABJ261" i="1" s="1"/>
  <c r="ABJ262" i="1" s="1"/>
  <c r="ABJ263" i="1" s="1"/>
  <c r="ABJ264" i="1" s="1"/>
  <c r="ABJ265" i="1" s="1"/>
  <c r="ABJ266" i="1" s="1"/>
  <c r="ABJ267" i="1" s="1"/>
  <c r="ABJ268" i="1" s="1"/>
  <c r="ABJ269" i="1" s="1"/>
  <c r="ABJ270" i="1" s="1"/>
  <c r="ABJ271" i="1" s="1"/>
  <c r="ABJ272" i="1" s="1"/>
  <c r="ABJ273" i="1" s="1"/>
  <c r="ABJ274" i="1" s="1"/>
  <c r="ABJ275" i="1" s="1"/>
  <c r="ABJ276" i="1" s="1"/>
  <c r="ABJ277" i="1" s="1"/>
  <c r="ABJ278" i="1" s="1"/>
  <c r="ABJ279" i="1" s="1"/>
  <c r="ABJ280" i="1" s="1"/>
  <c r="ABJ281" i="1" s="1"/>
  <c r="ABJ282" i="1" s="1"/>
  <c r="ABJ283" i="1" s="1"/>
  <c r="ABJ284" i="1" s="1"/>
  <c r="ABJ285" i="1" s="1"/>
  <c r="ABJ289" i="1" s="1"/>
  <c r="ABJ290" i="1" s="1"/>
  <c r="ABJ291" i="1" s="1"/>
  <c r="ABJ292" i="1" s="1"/>
  <c r="ABJ293" i="1" s="1"/>
  <c r="ABJ294" i="1" s="1"/>
  <c r="ABJ295" i="1" s="1"/>
  <c r="ABJ296" i="1" s="1"/>
  <c r="ABJ297" i="1" s="1"/>
  <c r="ABJ298" i="1" s="1"/>
  <c r="ABJ299" i="1" s="1"/>
  <c r="ABJ300" i="1" s="1"/>
  <c r="ABJ301" i="1" s="1"/>
  <c r="ABJ302" i="1" s="1"/>
  <c r="ABJ303" i="1" s="1"/>
  <c r="ABJ304" i="1" s="1"/>
  <c r="ABJ305" i="1" s="1"/>
  <c r="ABJ306" i="1" s="1"/>
  <c r="ABJ307" i="1" s="1"/>
  <c r="ABJ308" i="1" s="1"/>
  <c r="ABJ309" i="1" s="1"/>
  <c r="ABJ310" i="1" s="1"/>
  <c r="ABJ311" i="1" s="1"/>
  <c r="ABJ312" i="1" s="1"/>
  <c r="ABJ313" i="1" s="1"/>
  <c r="ABJ314" i="1" s="1"/>
  <c r="ABJ315" i="1" s="1"/>
  <c r="ABJ316" i="1" s="1"/>
  <c r="ABJ317" i="1" s="1"/>
  <c r="ABJ318" i="1" s="1"/>
  <c r="ABJ319" i="1" s="1"/>
  <c r="ABJ320" i="1" s="1"/>
  <c r="ABJ324" i="1" s="1"/>
  <c r="ABJ325" i="1" s="1"/>
  <c r="ABJ326" i="1" s="1"/>
  <c r="ABJ327" i="1" s="1"/>
  <c r="ABJ328" i="1" s="1"/>
  <c r="ABJ329" i="1" s="1"/>
  <c r="ABJ330" i="1" s="1"/>
  <c r="ABJ331" i="1" s="1"/>
  <c r="ABJ332" i="1" s="1"/>
  <c r="ABJ333" i="1" s="1"/>
  <c r="ABJ334" i="1" s="1"/>
  <c r="ABJ335" i="1" s="1"/>
  <c r="ABJ336" i="1" s="1"/>
  <c r="ABJ337" i="1" s="1"/>
  <c r="ABJ338" i="1" s="1"/>
  <c r="ABJ339" i="1" s="1"/>
  <c r="ABJ340" i="1" s="1"/>
  <c r="ABJ341" i="1" s="1"/>
  <c r="ABJ342" i="1" s="1"/>
  <c r="ABJ343" i="1" s="1"/>
  <c r="ABJ344" i="1" s="1"/>
  <c r="ABJ345" i="1" s="1"/>
  <c r="ABJ346" i="1" s="1"/>
  <c r="ABJ347" i="1" s="1"/>
  <c r="ABJ348" i="1" s="1"/>
  <c r="ABJ349" i="1" s="1"/>
  <c r="ABJ350" i="1" s="1"/>
  <c r="ABJ351" i="1" s="1"/>
  <c r="ABJ352" i="1" s="1"/>
  <c r="ABJ353" i="1" s="1"/>
  <c r="ABJ354" i="1" s="1"/>
  <c r="ABJ355" i="1" s="1"/>
  <c r="ABJ356" i="1" s="1"/>
  <c r="ABJ360" i="1" s="1"/>
  <c r="ABJ361" i="1" s="1"/>
  <c r="ABJ362" i="1" s="1"/>
  <c r="ABJ363" i="1" s="1"/>
  <c r="ABJ364" i="1" s="1"/>
  <c r="ABJ365" i="1" s="1"/>
  <c r="ABJ366" i="1" s="1"/>
  <c r="ABJ367" i="1" s="1"/>
  <c r="ABJ368" i="1" s="1"/>
  <c r="ABJ369" i="1" s="1"/>
  <c r="ABJ370" i="1" s="1"/>
  <c r="ABJ371" i="1" s="1"/>
  <c r="ABJ372" i="1" s="1"/>
  <c r="ABJ373" i="1" s="1"/>
  <c r="ABJ374" i="1" s="1"/>
  <c r="ABJ375" i="1" s="1"/>
  <c r="ABJ376" i="1" s="1"/>
  <c r="ABJ377" i="1" s="1"/>
  <c r="ABJ378" i="1" s="1"/>
  <c r="ABJ379" i="1" s="1"/>
  <c r="ABJ380" i="1" s="1"/>
  <c r="ABJ381" i="1" s="1"/>
  <c r="ABJ382" i="1" s="1"/>
  <c r="ABJ383" i="1" s="1"/>
  <c r="ABJ384" i="1" s="1"/>
  <c r="ABJ385" i="1" s="1"/>
  <c r="ABJ386" i="1" s="1"/>
  <c r="ABJ387" i="1" s="1"/>
  <c r="ABJ388" i="1" s="1"/>
  <c r="ABJ389" i="1" s="1"/>
  <c r="ABJ390" i="1" s="1"/>
  <c r="ABJ391" i="1" s="1"/>
  <c r="ABJ395" i="1" s="1"/>
  <c r="ABJ396" i="1" s="1"/>
  <c r="ABJ397" i="1" s="1"/>
  <c r="ABJ398" i="1" s="1"/>
  <c r="ABJ399" i="1" s="1"/>
  <c r="ABJ400" i="1" s="1"/>
  <c r="ABJ401" i="1" s="1"/>
  <c r="ABJ402" i="1" s="1"/>
  <c r="ABJ403" i="1" s="1"/>
  <c r="ABJ404" i="1" s="1"/>
  <c r="ABJ405" i="1" s="1"/>
  <c r="ABJ406" i="1" s="1"/>
  <c r="ABJ407" i="1" s="1"/>
  <c r="ABJ408" i="1" s="1"/>
  <c r="ABJ409" i="1" s="1"/>
  <c r="ABJ410" i="1" s="1"/>
  <c r="ABJ411" i="1" s="1"/>
  <c r="ABJ412" i="1" s="1"/>
  <c r="ABJ413" i="1" s="1"/>
  <c r="ABJ414" i="1" s="1"/>
  <c r="ABJ415" i="1" s="1"/>
  <c r="ABJ416" i="1" s="1"/>
  <c r="ABJ417" i="1" s="1"/>
  <c r="ABJ418" i="1" s="1"/>
  <c r="ABJ419" i="1" s="1"/>
  <c r="ABJ420" i="1" s="1"/>
  <c r="ABJ421" i="1" s="1"/>
  <c r="ABJ422" i="1" s="1"/>
  <c r="ABJ423" i="1" s="1"/>
  <c r="ABJ424" i="1" s="1"/>
  <c r="ABJ425" i="1" s="1"/>
  <c r="ABJ426" i="1" s="1"/>
  <c r="ABJ427" i="1" s="1"/>
  <c r="AAY427" i="1"/>
  <c r="AAW427" i="1"/>
  <c r="AAY391" i="1"/>
  <c r="AAW391" i="1"/>
  <c r="AAY356" i="1"/>
  <c r="AAW356" i="1"/>
  <c r="AAY320" i="1"/>
  <c r="AAW320" i="1"/>
  <c r="AAY285" i="1"/>
  <c r="AAW285" i="1"/>
  <c r="AAY249" i="1"/>
  <c r="AAW249" i="1"/>
  <c r="AAY213" i="1"/>
  <c r="AAW213" i="1"/>
  <c r="AAY178" i="1"/>
  <c r="AAW178" i="1"/>
  <c r="AAW142" i="1"/>
  <c r="AAY107" i="1"/>
  <c r="AAW107" i="1"/>
  <c r="AAY71" i="1"/>
  <c r="AAW71" i="1"/>
  <c r="AAY37" i="1"/>
  <c r="AAW37" i="1"/>
  <c r="ABA6" i="1"/>
  <c r="ABA7" i="1" s="1"/>
  <c r="ABA8" i="1" s="1"/>
  <c r="ABA9" i="1" s="1"/>
  <c r="ABA10" i="1" s="1"/>
  <c r="ABA11" i="1" s="1"/>
  <c r="ABA12" i="1" s="1"/>
  <c r="ABA13" i="1" s="1"/>
  <c r="ABA14" i="1" s="1"/>
  <c r="ABA15" i="1" s="1"/>
  <c r="ABA16" i="1" s="1"/>
  <c r="ABA17" i="1" s="1"/>
  <c r="ABA18" i="1" s="1"/>
  <c r="ABA19" i="1" s="1"/>
  <c r="ABA20" i="1" s="1"/>
  <c r="ABA21" i="1" s="1"/>
  <c r="ABA22" i="1" s="1"/>
  <c r="ABA23" i="1" s="1"/>
  <c r="ABA24" i="1" s="1"/>
  <c r="ABA25" i="1" s="1"/>
  <c r="ABA26" i="1" s="1"/>
  <c r="ABA27" i="1" s="1"/>
  <c r="ABA28" i="1" s="1"/>
  <c r="ABA29" i="1" s="1"/>
  <c r="ABA30" i="1" s="1"/>
  <c r="ABA31" i="1" s="1"/>
  <c r="ABA32" i="1" s="1"/>
  <c r="ABA33" i="1" s="1"/>
  <c r="ABA34" i="1" s="1"/>
  <c r="ABA35" i="1" s="1"/>
  <c r="ABA36" i="1" s="1"/>
  <c r="ABA37" i="1" s="1"/>
  <c r="ABA41" i="1" s="1"/>
  <c r="ABA42" i="1" s="1"/>
  <c r="ABA43" i="1" s="1"/>
  <c r="ABA44" i="1" s="1"/>
  <c r="ABA45" i="1" s="1"/>
  <c r="ABA46" i="1" s="1"/>
  <c r="ABA47" i="1" s="1"/>
  <c r="ABA48" i="1" s="1"/>
  <c r="ABA49" i="1" s="1"/>
  <c r="ABA50" i="1" s="1"/>
  <c r="ABA51" i="1" s="1"/>
  <c r="ABA52" i="1" s="1"/>
  <c r="ABA53" i="1" s="1"/>
  <c r="ABA54" i="1" s="1"/>
  <c r="ABA55" i="1" s="1"/>
  <c r="ABA56" i="1" s="1"/>
  <c r="ABA57" i="1" s="1"/>
  <c r="ABA58" i="1" s="1"/>
  <c r="ABA59" i="1" s="1"/>
  <c r="ABA60" i="1" s="1"/>
  <c r="ABA61" i="1" s="1"/>
  <c r="ABA62" i="1" s="1"/>
  <c r="ABA63" i="1" s="1"/>
  <c r="ABA64" i="1" s="1"/>
  <c r="ABA65" i="1" s="1"/>
  <c r="ABA66" i="1" s="1"/>
  <c r="ABA67" i="1" s="1"/>
  <c r="ABA68" i="1" s="1"/>
  <c r="ABA69" i="1" s="1"/>
  <c r="ABA70" i="1" s="1"/>
  <c r="ABA71" i="1" s="1"/>
  <c r="ABA75" i="1" s="1"/>
  <c r="ABA76" i="1" s="1"/>
  <c r="ABA77" i="1" s="1"/>
  <c r="ABA78" i="1" s="1"/>
  <c r="ABA79" i="1" s="1"/>
  <c r="ABA80" i="1" s="1"/>
  <c r="ABA81" i="1" s="1"/>
  <c r="ABA82" i="1" s="1"/>
  <c r="ABA83" i="1" s="1"/>
  <c r="ABA84" i="1" s="1"/>
  <c r="ABA85" i="1" s="1"/>
  <c r="ABA86" i="1" s="1"/>
  <c r="ABA87" i="1" s="1"/>
  <c r="ABA88" i="1" s="1"/>
  <c r="ABA89" i="1" s="1"/>
  <c r="ABA90" i="1" s="1"/>
  <c r="ABA91" i="1" s="1"/>
  <c r="ABA92" i="1" s="1"/>
  <c r="ABA93" i="1" s="1"/>
  <c r="ABA94" i="1" s="1"/>
  <c r="ABA95" i="1" s="1"/>
  <c r="ABA96" i="1" s="1"/>
  <c r="ABA97" i="1" s="1"/>
  <c r="ABA98" i="1" s="1"/>
  <c r="ABA99" i="1" s="1"/>
  <c r="ABA100" i="1" s="1"/>
  <c r="ABA101" i="1" s="1"/>
  <c r="ABA102" i="1" s="1"/>
  <c r="ABA103" i="1" s="1"/>
  <c r="ABA104" i="1" s="1"/>
  <c r="ABA105" i="1" s="1"/>
  <c r="ABA106" i="1" s="1"/>
  <c r="ABA107" i="1" s="1"/>
  <c r="ABA111" i="1" s="1"/>
  <c r="ABA112" i="1" s="1"/>
  <c r="ABA113" i="1" s="1"/>
  <c r="ABA114" i="1" s="1"/>
  <c r="ABA115" i="1" s="1"/>
  <c r="ABA116" i="1" s="1"/>
  <c r="ABA117" i="1" s="1"/>
  <c r="ABA118" i="1" s="1"/>
  <c r="ABA119" i="1" s="1"/>
  <c r="ABA120" i="1" s="1"/>
  <c r="ABA121" i="1" s="1"/>
  <c r="ABA122" i="1" s="1"/>
  <c r="ABA123" i="1" s="1"/>
  <c r="ABA124" i="1" s="1"/>
  <c r="ABA125" i="1" s="1"/>
  <c r="ABA126" i="1" s="1"/>
  <c r="ABA127" i="1" s="1"/>
  <c r="ABA128" i="1" s="1"/>
  <c r="ABA129" i="1" s="1"/>
  <c r="ABA130" i="1" s="1"/>
  <c r="ABA131" i="1" s="1"/>
  <c r="ABA132" i="1" s="1"/>
  <c r="ABA133" i="1" s="1"/>
  <c r="ABA134" i="1" s="1"/>
  <c r="ABA135" i="1" s="1"/>
  <c r="ABA136" i="1" s="1"/>
  <c r="ABA137" i="1" s="1"/>
  <c r="ABA138" i="1" s="1"/>
  <c r="ABA139" i="1" s="1"/>
  <c r="ABA140" i="1" s="1"/>
  <c r="ABA141" i="1" s="1"/>
  <c r="ABA142" i="1" s="1"/>
  <c r="ABA146" i="1" s="1"/>
  <c r="ABA147" i="1" s="1"/>
  <c r="ABA148" i="1" s="1"/>
  <c r="ABA149" i="1" s="1"/>
  <c r="ABA150" i="1" s="1"/>
  <c r="ABA151" i="1" s="1"/>
  <c r="ABA152" i="1" s="1"/>
  <c r="ABA153" i="1" s="1"/>
  <c r="ABA154" i="1" s="1"/>
  <c r="ABA155" i="1" s="1"/>
  <c r="ABA156" i="1" s="1"/>
  <c r="ABA157" i="1" s="1"/>
  <c r="ABA158" i="1" s="1"/>
  <c r="ABA159" i="1" s="1"/>
  <c r="ABA160" i="1" s="1"/>
  <c r="ABA161" i="1" s="1"/>
  <c r="ABA162" i="1" s="1"/>
  <c r="ABA163" i="1" s="1"/>
  <c r="ABA164" i="1" s="1"/>
  <c r="ABA165" i="1" s="1"/>
  <c r="ABA166" i="1" s="1"/>
  <c r="ABA167" i="1" s="1"/>
  <c r="ABA168" i="1" s="1"/>
  <c r="ABA169" i="1" s="1"/>
  <c r="ABA170" i="1" s="1"/>
  <c r="ABA171" i="1" s="1"/>
  <c r="ABA172" i="1" s="1"/>
  <c r="ABA173" i="1" s="1"/>
  <c r="ABA174" i="1" s="1"/>
  <c r="ABA175" i="1" s="1"/>
  <c r="ABA176" i="1" s="1"/>
  <c r="ABA177" i="1" s="1"/>
  <c r="ABA178" i="1" s="1"/>
  <c r="ABA182" i="1" s="1"/>
  <c r="ABA183" i="1" s="1"/>
  <c r="ABA184" i="1" s="1"/>
  <c r="ABA185" i="1" s="1"/>
  <c r="ABA186" i="1" s="1"/>
  <c r="ABA187" i="1" s="1"/>
  <c r="ABA188" i="1" s="1"/>
  <c r="ABA189" i="1" s="1"/>
  <c r="ABA190" i="1" s="1"/>
  <c r="ABA191" i="1" s="1"/>
  <c r="ABA192" i="1" s="1"/>
  <c r="ABA193" i="1" s="1"/>
  <c r="ABA194" i="1" s="1"/>
  <c r="ABA195" i="1" s="1"/>
  <c r="ABA196" i="1" s="1"/>
  <c r="ABA197" i="1" s="1"/>
  <c r="ABA198" i="1" s="1"/>
  <c r="ABA199" i="1" s="1"/>
  <c r="ABA200" i="1" s="1"/>
  <c r="ABA201" i="1" s="1"/>
  <c r="ABA202" i="1" s="1"/>
  <c r="ABA203" i="1" s="1"/>
  <c r="ABA204" i="1" s="1"/>
  <c r="ABA205" i="1" s="1"/>
  <c r="ABA206" i="1" s="1"/>
  <c r="ABA207" i="1" s="1"/>
  <c r="ABA208" i="1" s="1"/>
  <c r="ABA209" i="1" s="1"/>
  <c r="ABA210" i="1" s="1"/>
  <c r="ABA211" i="1" s="1"/>
  <c r="ABA212" i="1" s="1"/>
  <c r="ABA213" i="1" s="1"/>
  <c r="ABA217" i="1" s="1"/>
  <c r="ABA218" i="1" s="1"/>
  <c r="ABA219" i="1" s="1"/>
  <c r="ABA220" i="1" s="1"/>
  <c r="ABA221" i="1" s="1"/>
  <c r="ABA222" i="1" s="1"/>
  <c r="ABA223" i="1" s="1"/>
  <c r="ABA224" i="1" s="1"/>
  <c r="ABA225" i="1" s="1"/>
  <c r="ABA226" i="1" s="1"/>
  <c r="ABA227" i="1" s="1"/>
  <c r="ABA228" i="1" s="1"/>
  <c r="ABA229" i="1" s="1"/>
  <c r="ABA230" i="1" s="1"/>
  <c r="ABA231" i="1" s="1"/>
  <c r="ABA232" i="1" s="1"/>
  <c r="ABA233" i="1" s="1"/>
  <c r="ABA234" i="1" s="1"/>
  <c r="ABA235" i="1" s="1"/>
  <c r="ABA236" i="1" s="1"/>
  <c r="ABA237" i="1" s="1"/>
  <c r="ABA238" i="1" s="1"/>
  <c r="ABA239" i="1" s="1"/>
  <c r="ABA240" i="1" s="1"/>
  <c r="ABA241" i="1" s="1"/>
  <c r="ABA242" i="1" s="1"/>
  <c r="ABA243" i="1" s="1"/>
  <c r="ABA244" i="1" s="1"/>
  <c r="ABA245" i="1" s="1"/>
  <c r="ABA246" i="1" s="1"/>
  <c r="ABA247" i="1" s="1"/>
  <c r="ABA248" i="1" s="1"/>
  <c r="ABA249" i="1" s="1"/>
  <c r="ABA253" i="1" s="1"/>
  <c r="ABA254" i="1" s="1"/>
  <c r="ABA255" i="1" s="1"/>
  <c r="ABA256" i="1" s="1"/>
  <c r="ABA257" i="1" s="1"/>
  <c r="ABA258" i="1" s="1"/>
  <c r="ABA259" i="1" s="1"/>
  <c r="ABA260" i="1" s="1"/>
  <c r="ABA261" i="1" s="1"/>
  <c r="ABA262" i="1" s="1"/>
  <c r="ABA263" i="1" s="1"/>
  <c r="ABA264" i="1" s="1"/>
  <c r="ABA265" i="1" s="1"/>
  <c r="ABA266" i="1" s="1"/>
  <c r="ABA267" i="1" s="1"/>
  <c r="ABA268" i="1" s="1"/>
  <c r="ABA269" i="1" s="1"/>
  <c r="ABA270" i="1" s="1"/>
  <c r="ABA271" i="1" s="1"/>
  <c r="ABA272" i="1" s="1"/>
  <c r="ABA273" i="1" s="1"/>
  <c r="ABA274" i="1" s="1"/>
  <c r="ABA275" i="1" s="1"/>
  <c r="ABA276" i="1" s="1"/>
  <c r="ABA277" i="1" s="1"/>
  <c r="ABA278" i="1" s="1"/>
  <c r="ABA279" i="1" s="1"/>
  <c r="ABA280" i="1" s="1"/>
  <c r="ABA281" i="1" s="1"/>
  <c r="ABA282" i="1" s="1"/>
  <c r="ABA283" i="1" s="1"/>
  <c r="ABA284" i="1" s="1"/>
  <c r="ABA285" i="1" s="1"/>
  <c r="ABA289" i="1" s="1"/>
  <c r="ABA290" i="1" s="1"/>
  <c r="ABA291" i="1" s="1"/>
  <c r="ABA292" i="1" s="1"/>
  <c r="ABA293" i="1" s="1"/>
  <c r="ABA294" i="1" s="1"/>
  <c r="ABA295" i="1" s="1"/>
  <c r="ABA296" i="1" s="1"/>
  <c r="ABA297" i="1" s="1"/>
  <c r="ABA298" i="1" s="1"/>
  <c r="ABA299" i="1" s="1"/>
  <c r="ABA300" i="1" s="1"/>
  <c r="ABA301" i="1" s="1"/>
  <c r="ABA302" i="1" s="1"/>
  <c r="ABA303" i="1" s="1"/>
  <c r="ABA304" i="1" s="1"/>
  <c r="ABA305" i="1" s="1"/>
  <c r="ABA306" i="1" s="1"/>
  <c r="ABA307" i="1" s="1"/>
  <c r="ABA308" i="1" s="1"/>
  <c r="ABA309" i="1" s="1"/>
  <c r="ABA310" i="1" s="1"/>
  <c r="ABA311" i="1" s="1"/>
  <c r="ABA312" i="1" s="1"/>
  <c r="ABA313" i="1" s="1"/>
  <c r="ABA314" i="1" s="1"/>
  <c r="ABA315" i="1" s="1"/>
  <c r="ABA316" i="1" s="1"/>
  <c r="ABA317" i="1" s="1"/>
  <c r="ABA318" i="1" s="1"/>
  <c r="ABA319" i="1" s="1"/>
  <c r="ABA320" i="1" s="1"/>
  <c r="ABA324" i="1" s="1"/>
  <c r="ABA325" i="1" s="1"/>
  <c r="ABA326" i="1" s="1"/>
  <c r="ABA327" i="1" s="1"/>
  <c r="ABA328" i="1" s="1"/>
  <c r="ABA329" i="1" s="1"/>
  <c r="ABA330" i="1" s="1"/>
  <c r="ABA331" i="1" s="1"/>
  <c r="ABA332" i="1" s="1"/>
  <c r="ABA333" i="1" s="1"/>
  <c r="ABA334" i="1" s="1"/>
  <c r="ABA335" i="1" s="1"/>
  <c r="ABA336" i="1" s="1"/>
  <c r="ABA337" i="1" s="1"/>
  <c r="ABA338" i="1" s="1"/>
  <c r="ABA339" i="1" s="1"/>
  <c r="ABA340" i="1" s="1"/>
  <c r="ABA341" i="1" s="1"/>
  <c r="ABA342" i="1" s="1"/>
  <c r="ABA343" i="1" s="1"/>
  <c r="ABA344" i="1" s="1"/>
  <c r="ABA345" i="1" s="1"/>
  <c r="ABA346" i="1" s="1"/>
  <c r="ABA347" i="1" s="1"/>
  <c r="ABA348" i="1" s="1"/>
  <c r="ABA349" i="1" s="1"/>
  <c r="ABA350" i="1" s="1"/>
  <c r="ABA351" i="1" s="1"/>
  <c r="ABA352" i="1" s="1"/>
  <c r="ABA353" i="1" s="1"/>
  <c r="ABA354" i="1" s="1"/>
  <c r="ABA355" i="1" s="1"/>
  <c r="ABA356" i="1" s="1"/>
  <c r="ABA360" i="1" s="1"/>
  <c r="ABA361" i="1" s="1"/>
  <c r="ABA362" i="1" s="1"/>
  <c r="ABA363" i="1" s="1"/>
  <c r="ABA364" i="1" s="1"/>
  <c r="ABA365" i="1" s="1"/>
  <c r="ABA366" i="1" s="1"/>
  <c r="ABA367" i="1" s="1"/>
  <c r="ABA368" i="1" s="1"/>
  <c r="ABA369" i="1" s="1"/>
  <c r="ABA370" i="1" s="1"/>
  <c r="ABA371" i="1" s="1"/>
  <c r="ABA372" i="1" s="1"/>
  <c r="ABA373" i="1" s="1"/>
  <c r="ABA374" i="1" s="1"/>
  <c r="ABA375" i="1" s="1"/>
  <c r="ABA376" i="1" s="1"/>
  <c r="ABA377" i="1" s="1"/>
  <c r="ABA378" i="1" s="1"/>
  <c r="ABA379" i="1" s="1"/>
  <c r="ABA380" i="1" s="1"/>
  <c r="ABA381" i="1" s="1"/>
  <c r="ABA382" i="1" s="1"/>
  <c r="ABA383" i="1" s="1"/>
  <c r="ABA384" i="1" s="1"/>
  <c r="ABA385" i="1" s="1"/>
  <c r="ABA386" i="1" s="1"/>
  <c r="ABA387" i="1" s="1"/>
  <c r="ABA388" i="1" s="1"/>
  <c r="ABA389" i="1" s="1"/>
  <c r="ABA390" i="1" s="1"/>
  <c r="ABA391" i="1" s="1"/>
  <c r="ABA395" i="1" s="1"/>
  <c r="ABA396" i="1" s="1"/>
  <c r="ABA397" i="1" s="1"/>
  <c r="ABA398" i="1" s="1"/>
  <c r="ABA399" i="1" s="1"/>
  <c r="ABA400" i="1" s="1"/>
  <c r="ABA401" i="1" s="1"/>
  <c r="ABA402" i="1" s="1"/>
  <c r="ABA403" i="1" s="1"/>
  <c r="ABA404" i="1" s="1"/>
  <c r="ABA405" i="1" s="1"/>
  <c r="ABA406" i="1" s="1"/>
  <c r="ABA407" i="1" s="1"/>
  <c r="ABA408" i="1" s="1"/>
  <c r="ABA409" i="1" s="1"/>
  <c r="ABA410" i="1" s="1"/>
  <c r="ABA411" i="1" s="1"/>
  <c r="ABA412" i="1" s="1"/>
  <c r="ABA413" i="1" s="1"/>
  <c r="ABA414" i="1" s="1"/>
  <c r="ABA415" i="1" s="1"/>
  <c r="ABA416" i="1" s="1"/>
  <c r="ABA417" i="1" s="1"/>
  <c r="ABA418" i="1" s="1"/>
  <c r="ABA419" i="1" s="1"/>
  <c r="ABA420" i="1" s="1"/>
  <c r="ABA421" i="1" s="1"/>
  <c r="ABA422" i="1" s="1"/>
  <c r="ABA423" i="1" s="1"/>
  <c r="ABA424" i="1" s="1"/>
  <c r="ABA425" i="1" s="1"/>
  <c r="ABA426" i="1" s="1"/>
  <c r="ABA427" i="1" s="1"/>
  <c r="AAP427" i="1"/>
  <c r="AAN427" i="1"/>
  <c r="AAP391" i="1"/>
  <c r="AAN391" i="1"/>
  <c r="AAP356" i="1"/>
  <c r="AAN356" i="1"/>
  <c r="AAP320" i="1"/>
  <c r="AAN320" i="1"/>
  <c r="AAP285" i="1"/>
  <c r="AAN285" i="1"/>
  <c r="AAP249" i="1"/>
  <c r="AAN249" i="1"/>
  <c r="AAP213" i="1"/>
  <c r="AAN213" i="1"/>
  <c r="AAP178" i="1"/>
  <c r="AAN178" i="1"/>
  <c r="AAN142" i="1"/>
  <c r="AAP107" i="1"/>
  <c r="AAN107" i="1"/>
  <c r="AAP71" i="1"/>
  <c r="AAN71" i="1"/>
  <c r="AAP37" i="1"/>
  <c r="AAN37" i="1"/>
  <c r="AAR6" i="1"/>
  <c r="AAR7" i="1" s="1"/>
  <c r="AAR8" i="1" s="1"/>
  <c r="AAR9" i="1" s="1"/>
  <c r="AAR10" i="1" s="1"/>
  <c r="AAR11" i="1" s="1"/>
  <c r="AAR12" i="1" s="1"/>
  <c r="AAR13" i="1" s="1"/>
  <c r="AAR14" i="1" s="1"/>
  <c r="AAR15" i="1" s="1"/>
  <c r="AAR16" i="1" s="1"/>
  <c r="AAR17" i="1" s="1"/>
  <c r="AAR18" i="1" s="1"/>
  <c r="AAR19" i="1" s="1"/>
  <c r="AAR20" i="1" s="1"/>
  <c r="AAR21" i="1" s="1"/>
  <c r="AAR22" i="1" s="1"/>
  <c r="AAR23" i="1" s="1"/>
  <c r="AAR24" i="1" s="1"/>
  <c r="AAR25" i="1" s="1"/>
  <c r="AAR26" i="1" s="1"/>
  <c r="AAR27" i="1" s="1"/>
  <c r="AAR28" i="1" s="1"/>
  <c r="AAR29" i="1" s="1"/>
  <c r="AAR30" i="1" s="1"/>
  <c r="AAR31" i="1" s="1"/>
  <c r="AAR32" i="1" s="1"/>
  <c r="AAR33" i="1" s="1"/>
  <c r="AAR34" i="1" s="1"/>
  <c r="AAR35" i="1" s="1"/>
  <c r="AAR36" i="1" s="1"/>
  <c r="AAR37" i="1" s="1"/>
  <c r="AAR41" i="1" s="1"/>
  <c r="AAR42" i="1" s="1"/>
  <c r="AAR43" i="1" s="1"/>
  <c r="AAR44" i="1" s="1"/>
  <c r="AAR45" i="1" s="1"/>
  <c r="AAR46" i="1" s="1"/>
  <c r="AAR47" i="1" s="1"/>
  <c r="AAR48" i="1" s="1"/>
  <c r="AAR49" i="1" s="1"/>
  <c r="AAR50" i="1" s="1"/>
  <c r="AAR51" i="1" s="1"/>
  <c r="AAR52" i="1" s="1"/>
  <c r="AAR53" i="1" s="1"/>
  <c r="AAR54" i="1" s="1"/>
  <c r="AAR55" i="1" s="1"/>
  <c r="AAR56" i="1" s="1"/>
  <c r="AAR57" i="1" s="1"/>
  <c r="AAR58" i="1" s="1"/>
  <c r="AAR59" i="1" s="1"/>
  <c r="AAR60" i="1" s="1"/>
  <c r="AAR61" i="1" s="1"/>
  <c r="AAR62" i="1" s="1"/>
  <c r="AAR63" i="1" s="1"/>
  <c r="AAR64" i="1" s="1"/>
  <c r="AAR65" i="1" s="1"/>
  <c r="AAR66" i="1" s="1"/>
  <c r="AAR67" i="1" s="1"/>
  <c r="AAR68" i="1" s="1"/>
  <c r="AAR69" i="1" s="1"/>
  <c r="AAR70" i="1" s="1"/>
  <c r="AAR71" i="1" s="1"/>
  <c r="AAR75" i="1" s="1"/>
  <c r="AAR76" i="1" s="1"/>
  <c r="AAR77" i="1" s="1"/>
  <c r="AAR78" i="1" s="1"/>
  <c r="AAR79" i="1" s="1"/>
  <c r="AAR80" i="1" s="1"/>
  <c r="AAR81" i="1" s="1"/>
  <c r="AAR82" i="1" s="1"/>
  <c r="AAR83" i="1" s="1"/>
  <c r="AAR84" i="1" s="1"/>
  <c r="AAR85" i="1" s="1"/>
  <c r="AAR86" i="1" s="1"/>
  <c r="AAR87" i="1" s="1"/>
  <c r="AAR88" i="1" s="1"/>
  <c r="AAR89" i="1" s="1"/>
  <c r="AAR90" i="1" s="1"/>
  <c r="AAR91" i="1" s="1"/>
  <c r="AAR92" i="1" s="1"/>
  <c r="AAR93" i="1" s="1"/>
  <c r="AAR94" i="1" s="1"/>
  <c r="AAR95" i="1" s="1"/>
  <c r="AAR96" i="1" s="1"/>
  <c r="AAR97" i="1" s="1"/>
  <c r="AAR98" i="1" s="1"/>
  <c r="AAR99" i="1" s="1"/>
  <c r="AAR100" i="1" s="1"/>
  <c r="AAR101" i="1" s="1"/>
  <c r="AAR102" i="1" s="1"/>
  <c r="AAR103" i="1" s="1"/>
  <c r="AAR104" i="1" s="1"/>
  <c r="AAR105" i="1" s="1"/>
  <c r="AAR106" i="1" s="1"/>
  <c r="AAR107" i="1" s="1"/>
  <c r="AAR111" i="1" s="1"/>
  <c r="AAR112" i="1" s="1"/>
  <c r="AAR113" i="1" s="1"/>
  <c r="AAR114" i="1" s="1"/>
  <c r="AAR115" i="1" s="1"/>
  <c r="AAR116" i="1" s="1"/>
  <c r="AAR117" i="1" s="1"/>
  <c r="AAR118" i="1" s="1"/>
  <c r="AAR119" i="1" s="1"/>
  <c r="AAR120" i="1" s="1"/>
  <c r="AAR121" i="1" s="1"/>
  <c r="AAR122" i="1" s="1"/>
  <c r="AAR123" i="1" s="1"/>
  <c r="AAR124" i="1" s="1"/>
  <c r="AAR125" i="1" s="1"/>
  <c r="AAR126" i="1" s="1"/>
  <c r="AAR127" i="1" s="1"/>
  <c r="AAR128" i="1" s="1"/>
  <c r="AAR129" i="1" s="1"/>
  <c r="AAR130" i="1" s="1"/>
  <c r="AAR131" i="1" s="1"/>
  <c r="AAR132" i="1" s="1"/>
  <c r="AAR133" i="1" s="1"/>
  <c r="AAR134" i="1" s="1"/>
  <c r="AAR135" i="1" s="1"/>
  <c r="AAR136" i="1" s="1"/>
  <c r="AAR137" i="1" s="1"/>
  <c r="AAR138" i="1" s="1"/>
  <c r="AAR139" i="1" s="1"/>
  <c r="AAR140" i="1" s="1"/>
  <c r="AAR141" i="1" s="1"/>
  <c r="AAR142" i="1" s="1"/>
  <c r="AAR146" i="1" s="1"/>
  <c r="AAR147" i="1" s="1"/>
  <c r="AAR148" i="1" s="1"/>
  <c r="AAR149" i="1" s="1"/>
  <c r="AAR150" i="1" s="1"/>
  <c r="AAR151" i="1" s="1"/>
  <c r="AAR152" i="1" s="1"/>
  <c r="AAR153" i="1" s="1"/>
  <c r="AAR154" i="1" s="1"/>
  <c r="AAR155" i="1" s="1"/>
  <c r="AAR156" i="1" s="1"/>
  <c r="AAR157" i="1" s="1"/>
  <c r="AAR158" i="1" s="1"/>
  <c r="AAR159" i="1" s="1"/>
  <c r="AAR160" i="1" s="1"/>
  <c r="AAR161" i="1" s="1"/>
  <c r="AAR162" i="1" s="1"/>
  <c r="AAR163" i="1" s="1"/>
  <c r="AAR164" i="1" s="1"/>
  <c r="AAR165" i="1" s="1"/>
  <c r="AAR166" i="1" s="1"/>
  <c r="AAR167" i="1" s="1"/>
  <c r="AAR168" i="1" s="1"/>
  <c r="AAR169" i="1" s="1"/>
  <c r="AAR170" i="1" s="1"/>
  <c r="AAR171" i="1" s="1"/>
  <c r="AAR172" i="1" s="1"/>
  <c r="AAR173" i="1" s="1"/>
  <c r="AAR174" i="1" s="1"/>
  <c r="AAR175" i="1" s="1"/>
  <c r="AAR176" i="1" s="1"/>
  <c r="AAR177" i="1" s="1"/>
  <c r="AAR178" i="1" s="1"/>
  <c r="AAR182" i="1" s="1"/>
  <c r="AAR183" i="1" s="1"/>
  <c r="AAR184" i="1" s="1"/>
  <c r="AAR185" i="1" s="1"/>
  <c r="AAR186" i="1" s="1"/>
  <c r="AAR187" i="1" s="1"/>
  <c r="AAR188" i="1" s="1"/>
  <c r="AAR189" i="1" s="1"/>
  <c r="AAR190" i="1" s="1"/>
  <c r="AAR191" i="1" s="1"/>
  <c r="AAR192" i="1" s="1"/>
  <c r="AAR193" i="1" s="1"/>
  <c r="AAR194" i="1" s="1"/>
  <c r="AAR195" i="1" s="1"/>
  <c r="AAR196" i="1" s="1"/>
  <c r="AAR197" i="1" s="1"/>
  <c r="AAR198" i="1" s="1"/>
  <c r="AAR199" i="1" s="1"/>
  <c r="AAR200" i="1" s="1"/>
  <c r="AAR201" i="1" s="1"/>
  <c r="AAR202" i="1" s="1"/>
  <c r="AAR203" i="1" s="1"/>
  <c r="AAR204" i="1" s="1"/>
  <c r="AAR205" i="1" s="1"/>
  <c r="AAR206" i="1" s="1"/>
  <c r="AAR207" i="1" s="1"/>
  <c r="AAR208" i="1" s="1"/>
  <c r="AAR209" i="1" s="1"/>
  <c r="AAR210" i="1" s="1"/>
  <c r="AAR211" i="1" s="1"/>
  <c r="AAR212" i="1" s="1"/>
  <c r="AAR213" i="1" s="1"/>
  <c r="AAR217" i="1" s="1"/>
  <c r="AAR218" i="1" s="1"/>
  <c r="AAR219" i="1" s="1"/>
  <c r="AAR220" i="1" s="1"/>
  <c r="AAR221" i="1" s="1"/>
  <c r="AAR222" i="1" s="1"/>
  <c r="AAR223" i="1" s="1"/>
  <c r="AAR224" i="1" s="1"/>
  <c r="AAR225" i="1" s="1"/>
  <c r="AAR226" i="1" s="1"/>
  <c r="AAR227" i="1" s="1"/>
  <c r="AAR228" i="1" s="1"/>
  <c r="AAR229" i="1" s="1"/>
  <c r="AAR230" i="1" s="1"/>
  <c r="AAR231" i="1" s="1"/>
  <c r="AAR232" i="1" s="1"/>
  <c r="AAR233" i="1" s="1"/>
  <c r="AAR234" i="1" s="1"/>
  <c r="AAR235" i="1" s="1"/>
  <c r="AAR236" i="1" s="1"/>
  <c r="AAR237" i="1" s="1"/>
  <c r="AAR238" i="1" s="1"/>
  <c r="AAR239" i="1" s="1"/>
  <c r="AAR240" i="1" s="1"/>
  <c r="AAR241" i="1" s="1"/>
  <c r="AAR242" i="1" s="1"/>
  <c r="AAR243" i="1" s="1"/>
  <c r="AAR244" i="1" s="1"/>
  <c r="AAR245" i="1" s="1"/>
  <c r="AAR246" i="1" s="1"/>
  <c r="AAR247" i="1" s="1"/>
  <c r="AAR248" i="1" s="1"/>
  <c r="AAR249" i="1" s="1"/>
  <c r="AAR253" i="1" s="1"/>
  <c r="AAR254" i="1" s="1"/>
  <c r="AAR255" i="1" s="1"/>
  <c r="AAR256" i="1" s="1"/>
  <c r="AAR257" i="1" s="1"/>
  <c r="AAR258" i="1" s="1"/>
  <c r="AAR259" i="1" s="1"/>
  <c r="AAR260" i="1" s="1"/>
  <c r="AAR261" i="1" s="1"/>
  <c r="AAR262" i="1" s="1"/>
  <c r="AAR263" i="1" s="1"/>
  <c r="AAR264" i="1" s="1"/>
  <c r="AAR265" i="1" s="1"/>
  <c r="AAR266" i="1" s="1"/>
  <c r="AAR267" i="1" s="1"/>
  <c r="AAR268" i="1" s="1"/>
  <c r="AAR269" i="1" s="1"/>
  <c r="AAR270" i="1" s="1"/>
  <c r="AAR271" i="1" s="1"/>
  <c r="AAR272" i="1" s="1"/>
  <c r="AAR273" i="1" s="1"/>
  <c r="AAR274" i="1" s="1"/>
  <c r="AAR275" i="1" s="1"/>
  <c r="AAR276" i="1" s="1"/>
  <c r="AAR277" i="1" s="1"/>
  <c r="AAR278" i="1" s="1"/>
  <c r="AAR279" i="1" s="1"/>
  <c r="AAR280" i="1" s="1"/>
  <c r="AAR281" i="1" s="1"/>
  <c r="AAR282" i="1" s="1"/>
  <c r="AAR283" i="1" s="1"/>
  <c r="AAR284" i="1" s="1"/>
  <c r="AAR285" i="1" s="1"/>
  <c r="AAR289" i="1" s="1"/>
  <c r="AAR290" i="1" s="1"/>
  <c r="AAR291" i="1" s="1"/>
  <c r="AAR292" i="1" s="1"/>
  <c r="AAR293" i="1" s="1"/>
  <c r="AAR294" i="1" s="1"/>
  <c r="AAR295" i="1" s="1"/>
  <c r="AAR296" i="1" s="1"/>
  <c r="AAR297" i="1" s="1"/>
  <c r="AAR298" i="1" s="1"/>
  <c r="AAR299" i="1" s="1"/>
  <c r="AAR300" i="1" s="1"/>
  <c r="AAR301" i="1" s="1"/>
  <c r="AAR302" i="1" s="1"/>
  <c r="AAR303" i="1" s="1"/>
  <c r="AAR304" i="1" s="1"/>
  <c r="AAR305" i="1" s="1"/>
  <c r="AAR306" i="1" s="1"/>
  <c r="AAR307" i="1" s="1"/>
  <c r="AAR308" i="1" s="1"/>
  <c r="AAR309" i="1" s="1"/>
  <c r="AAR310" i="1" s="1"/>
  <c r="AAR311" i="1" s="1"/>
  <c r="AAR312" i="1" s="1"/>
  <c r="AAR313" i="1" s="1"/>
  <c r="AAR314" i="1" s="1"/>
  <c r="AAR315" i="1" s="1"/>
  <c r="AAR316" i="1" s="1"/>
  <c r="AAR317" i="1" s="1"/>
  <c r="AAR318" i="1" s="1"/>
  <c r="AAR319" i="1" s="1"/>
  <c r="AAR320" i="1" s="1"/>
  <c r="AAR324" i="1" s="1"/>
  <c r="AAR325" i="1" s="1"/>
  <c r="AAR326" i="1" s="1"/>
  <c r="AAR327" i="1" s="1"/>
  <c r="AAR328" i="1" s="1"/>
  <c r="AAR329" i="1" s="1"/>
  <c r="AAR330" i="1" s="1"/>
  <c r="AAR331" i="1" s="1"/>
  <c r="AAR332" i="1" s="1"/>
  <c r="AAR333" i="1" s="1"/>
  <c r="AAR334" i="1" s="1"/>
  <c r="AAR335" i="1" s="1"/>
  <c r="AAR336" i="1" s="1"/>
  <c r="AAR337" i="1" s="1"/>
  <c r="AAR338" i="1" s="1"/>
  <c r="AAR339" i="1" s="1"/>
  <c r="AAR340" i="1" s="1"/>
  <c r="AAR341" i="1" s="1"/>
  <c r="AAR342" i="1" s="1"/>
  <c r="AAR343" i="1" s="1"/>
  <c r="AAR344" i="1" s="1"/>
  <c r="AAR345" i="1" s="1"/>
  <c r="AAR346" i="1" s="1"/>
  <c r="AAR347" i="1" s="1"/>
  <c r="AAR348" i="1" s="1"/>
  <c r="AAR349" i="1" s="1"/>
  <c r="AAR350" i="1" s="1"/>
  <c r="AAR351" i="1" s="1"/>
  <c r="AAR352" i="1" s="1"/>
  <c r="AAR353" i="1" s="1"/>
  <c r="AAR354" i="1" s="1"/>
  <c r="AAR355" i="1" s="1"/>
  <c r="AAR356" i="1" s="1"/>
  <c r="AAR360" i="1" s="1"/>
  <c r="AAR361" i="1" s="1"/>
  <c r="AAR362" i="1" s="1"/>
  <c r="AAR363" i="1" s="1"/>
  <c r="AAR364" i="1" s="1"/>
  <c r="AAR365" i="1" s="1"/>
  <c r="AAR366" i="1" s="1"/>
  <c r="AAR367" i="1" s="1"/>
  <c r="AAR368" i="1" s="1"/>
  <c r="AAR369" i="1" s="1"/>
  <c r="AAR370" i="1" s="1"/>
  <c r="AAR371" i="1" s="1"/>
  <c r="AAR372" i="1" s="1"/>
  <c r="AAR373" i="1" s="1"/>
  <c r="AAR374" i="1" s="1"/>
  <c r="AAR375" i="1" s="1"/>
  <c r="AAR376" i="1" s="1"/>
  <c r="AAR377" i="1" s="1"/>
  <c r="AAR378" i="1" s="1"/>
  <c r="AAR379" i="1" s="1"/>
  <c r="AAR380" i="1" s="1"/>
  <c r="AAR381" i="1" s="1"/>
  <c r="AAR382" i="1" s="1"/>
  <c r="AAR383" i="1" s="1"/>
  <c r="AAR384" i="1" s="1"/>
  <c r="AAR385" i="1" s="1"/>
  <c r="AAR386" i="1" s="1"/>
  <c r="AAR387" i="1" s="1"/>
  <c r="AAR388" i="1" s="1"/>
  <c r="AAR389" i="1" s="1"/>
  <c r="AAR390" i="1" s="1"/>
  <c r="AAR391" i="1" s="1"/>
  <c r="AAR395" i="1" s="1"/>
  <c r="AAR396" i="1" s="1"/>
  <c r="AAR397" i="1" s="1"/>
  <c r="AAR398" i="1" s="1"/>
  <c r="AAR399" i="1" s="1"/>
  <c r="AAR400" i="1" s="1"/>
  <c r="AAR401" i="1" s="1"/>
  <c r="AAR402" i="1" s="1"/>
  <c r="AAR403" i="1" s="1"/>
  <c r="AAR404" i="1" s="1"/>
  <c r="AAR405" i="1" s="1"/>
  <c r="AAR406" i="1" s="1"/>
  <c r="AAR407" i="1" s="1"/>
  <c r="AAR408" i="1" s="1"/>
  <c r="AAR409" i="1" s="1"/>
  <c r="AAR410" i="1" s="1"/>
  <c r="AAR411" i="1" s="1"/>
  <c r="AAR412" i="1" s="1"/>
  <c r="AAR413" i="1" s="1"/>
  <c r="AAR414" i="1" s="1"/>
  <c r="AAR415" i="1" s="1"/>
  <c r="AAR416" i="1" s="1"/>
  <c r="AAR417" i="1" s="1"/>
  <c r="AAR418" i="1" s="1"/>
  <c r="AAR419" i="1" s="1"/>
  <c r="AAR420" i="1" s="1"/>
  <c r="AAR421" i="1" s="1"/>
  <c r="AAR422" i="1" s="1"/>
  <c r="AAR423" i="1" s="1"/>
  <c r="AAR424" i="1" s="1"/>
  <c r="AAR425" i="1" s="1"/>
  <c r="AAR426" i="1" s="1"/>
  <c r="AAR427" i="1" s="1"/>
  <c r="AAG427" i="1"/>
  <c r="AAE427" i="1"/>
  <c r="AAG391" i="1"/>
  <c r="AAE391" i="1"/>
  <c r="AAG356" i="1"/>
  <c r="AAE356" i="1"/>
  <c r="AAG320" i="1"/>
  <c r="AAE320" i="1"/>
  <c r="AAG285" i="1"/>
  <c r="AAE285" i="1"/>
  <c r="AAG249" i="1"/>
  <c r="AAE249" i="1"/>
  <c r="AAG213" i="1"/>
  <c r="AAE213" i="1"/>
  <c r="AAG178" i="1"/>
  <c r="AAE178" i="1"/>
  <c r="AAE142" i="1"/>
  <c r="AAG107" i="1"/>
  <c r="AAE107" i="1"/>
  <c r="AAG71" i="1"/>
  <c r="AAE71" i="1"/>
  <c r="AAG37" i="1"/>
  <c r="AAE37" i="1"/>
  <c r="AAI6" i="1"/>
  <c r="AAI7" i="1" s="1"/>
  <c r="AAI8" i="1" s="1"/>
  <c r="AAI9" i="1" s="1"/>
  <c r="AAI10" i="1" s="1"/>
  <c r="AAI11" i="1" s="1"/>
  <c r="AAI12" i="1" s="1"/>
  <c r="AAI13" i="1" s="1"/>
  <c r="AAI14" i="1" s="1"/>
  <c r="AAI15" i="1" s="1"/>
  <c r="AAI16" i="1" s="1"/>
  <c r="AAI17" i="1" s="1"/>
  <c r="AAI18" i="1" s="1"/>
  <c r="AAI19" i="1" s="1"/>
  <c r="AAI20" i="1" s="1"/>
  <c r="AAI21" i="1" s="1"/>
  <c r="AAI22" i="1" s="1"/>
  <c r="AAI23" i="1" s="1"/>
  <c r="AAI24" i="1" s="1"/>
  <c r="AAI25" i="1" s="1"/>
  <c r="AAI26" i="1" s="1"/>
  <c r="AAI27" i="1" s="1"/>
  <c r="AAI28" i="1" s="1"/>
  <c r="AAI29" i="1" s="1"/>
  <c r="AAI30" i="1" s="1"/>
  <c r="AAI31" i="1" s="1"/>
  <c r="AAI32" i="1" s="1"/>
  <c r="AAI33" i="1" s="1"/>
  <c r="AAI34" i="1" s="1"/>
  <c r="AAI35" i="1" s="1"/>
  <c r="AAI36" i="1" s="1"/>
  <c r="AAI37" i="1" s="1"/>
  <c r="AAI41" i="1" s="1"/>
  <c r="AAI42" i="1" s="1"/>
  <c r="AAI43" i="1" s="1"/>
  <c r="AAI44" i="1" s="1"/>
  <c r="AAI45" i="1" s="1"/>
  <c r="AAI46" i="1" s="1"/>
  <c r="AAI47" i="1" s="1"/>
  <c r="AAI48" i="1" s="1"/>
  <c r="AAI49" i="1" s="1"/>
  <c r="AAI50" i="1" s="1"/>
  <c r="AAI51" i="1" s="1"/>
  <c r="AAI52" i="1" s="1"/>
  <c r="AAI53" i="1" s="1"/>
  <c r="AAI54" i="1" s="1"/>
  <c r="AAI55" i="1" s="1"/>
  <c r="AAI56" i="1" s="1"/>
  <c r="AAI57" i="1" s="1"/>
  <c r="AAI58" i="1" s="1"/>
  <c r="AAI59" i="1" s="1"/>
  <c r="AAI60" i="1" s="1"/>
  <c r="AAI61" i="1" s="1"/>
  <c r="AAI62" i="1" s="1"/>
  <c r="AAI63" i="1" s="1"/>
  <c r="AAI64" i="1" s="1"/>
  <c r="AAI65" i="1" s="1"/>
  <c r="AAI66" i="1" s="1"/>
  <c r="AAI67" i="1" s="1"/>
  <c r="AAI68" i="1" s="1"/>
  <c r="AAI69" i="1" s="1"/>
  <c r="AAI70" i="1" s="1"/>
  <c r="AAI71" i="1" s="1"/>
  <c r="AAI75" i="1" s="1"/>
  <c r="AAI76" i="1" s="1"/>
  <c r="AAI77" i="1" s="1"/>
  <c r="AAI78" i="1" s="1"/>
  <c r="AAI79" i="1" s="1"/>
  <c r="AAI80" i="1" s="1"/>
  <c r="AAI81" i="1" s="1"/>
  <c r="AAI82" i="1" s="1"/>
  <c r="AAI83" i="1" s="1"/>
  <c r="AAI84" i="1" s="1"/>
  <c r="AAI85" i="1" s="1"/>
  <c r="AAI86" i="1" s="1"/>
  <c r="AAI87" i="1" s="1"/>
  <c r="AAI88" i="1" s="1"/>
  <c r="AAI89" i="1" s="1"/>
  <c r="AAI90" i="1" s="1"/>
  <c r="AAI91" i="1" s="1"/>
  <c r="AAI92" i="1" s="1"/>
  <c r="AAI93" i="1" s="1"/>
  <c r="AAI94" i="1" s="1"/>
  <c r="AAI95" i="1" s="1"/>
  <c r="AAI96" i="1" s="1"/>
  <c r="AAI97" i="1" s="1"/>
  <c r="AAI98" i="1" s="1"/>
  <c r="AAI99" i="1" s="1"/>
  <c r="AAI100" i="1" s="1"/>
  <c r="AAI101" i="1" s="1"/>
  <c r="AAI102" i="1" s="1"/>
  <c r="AAI103" i="1" s="1"/>
  <c r="AAI104" i="1" s="1"/>
  <c r="AAI105" i="1" s="1"/>
  <c r="AAI106" i="1" s="1"/>
  <c r="AAI107" i="1" s="1"/>
  <c r="AAI111" i="1" s="1"/>
  <c r="AAI112" i="1" s="1"/>
  <c r="AAI113" i="1" s="1"/>
  <c r="AAI114" i="1" s="1"/>
  <c r="AAI115" i="1" s="1"/>
  <c r="AAI116" i="1" s="1"/>
  <c r="AAI117" i="1" s="1"/>
  <c r="AAI118" i="1" s="1"/>
  <c r="AAI119" i="1" s="1"/>
  <c r="AAI120" i="1" s="1"/>
  <c r="AAI121" i="1" s="1"/>
  <c r="AAI122" i="1" s="1"/>
  <c r="AAI123" i="1" s="1"/>
  <c r="AAI124" i="1" s="1"/>
  <c r="AAI125" i="1" s="1"/>
  <c r="AAI126" i="1" s="1"/>
  <c r="AAI127" i="1" s="1"/>
  <c r="AAI128" i="1" s="1"/>
  <c r="AAI129" i="1" s="1"/>
  <c r="AAI130" i="1" s="1"/>
  <c r="AAI131" i="1" s="1"/>
  <c r="AAI132" i="1" s="1"/>
  <c r="AAI133" i="1" s="1"/>
  <c r="AAI134" i="1" s="1"/>
  <c r="AAI135" i="1" s="1"/>
  <c r="AAI136" i="1" s="1"/>
  <c r="AAI137" i="1" s="1"/>
  <c r="AAI138" i="1" s="1"/>
  <c r="AAI139" i="1" s="1"/>
  <c r="AAI140" i="1" s="1"/>
  <c r="AAI141" i="1" s="1"/>
  <c r="AAI142" i="1" s="1"/>
  <c r="AAI146" i="1" s="1"/>
  <c r="AAI147" i="1" s="1"/>
  <c r="AAI148" i="1" s="1"/>
  <c r="AAI149" i="1" s="1"/>
  <c r="AAI150" i="1" s="1"/>
  <c r="AAI151" i="1" s="1"/>
  <c r="AAI152" i="1" s="1"/>
  <c r="AAI153" i="1" s="1"/>
  <c r="AAI154" i="1" s="1"/>
  <c r="AAI155" i="1" s="1"/>
  <c r="AAI156" i="1" s="1"/>
  <c r="AAI157" i="1" s="1"/>
  <c r="AAI158" i="1" s="1"/>
  <c r="AAI159" i="1" s="1"/>
  <c r="AAI160" i="1" s="1"/>
  <c r="AAI161" i="1" s="1"/>
  <c r="AAI162" i="1" s="1"/>
  <c r="AAI163" i="1" s="1"/>
  <c r="AAI164" i="1" s="1"/>
  <c r="AAI165" i="1" s="1"/>
  <c r="AAI166" i="1" s="1"/>
  <c r="AAI167" i="1" s="1"/>
  <c r="AAI168" i="1" s="1"/>
  <c r="AAI169" i="1" s="1"/>
  <c r="AAI170" i="1" s="1"/>
  <c r="AAI171" i="1" s="1"/>
  <c r="AAI172" i="1" s="1"/>
  <c r="AAI173" i="1" s="1"/>
  <c r="AAI174" i="1" s="1"/>
  <c r="AAI175" i="1" s="1"/>
  <c r="AAI176" i="1" s="1"/>
  <c r="AAI177" i="1" s="1"/>
  <c r="AAI178" i="1" s="1"/>
  <c r="AAI182" i="1" s="1"/>
  <c r="AAI183" i="1" s="1"/>
  <c r="AAI184" i="1" s="1"/>
  <c r="AAI185" i="1" s="1"/>
  <c r="AAI186" i="1" s="1"/>
  <c r="AAI187" i="1" s="1"/>
  <c r="AAI188" i="1" s="1"/>
  <c r="AAI189" i="1" s="1"/>
  <c r="AAI190" i="1" s="1"/>
  <c r="AAI191" i="1" s="1"/>
  <c r="AAI192" i="1" s="1"/>
  <c r="AAI193" i="1" s="1"/>
  <c r="AAI194" i="1" s="1"/>
  <c r="AAI195" i="1" s="1"/>
  <c r="AAI196" i="1" s="1"/>
  <c r="AAI197" i="1" s="1"/>
  <c r="AAI198" i="1" s="1"/>
  <c r="AAI199" i="1" s="1"/>
  <c r="AAI200" i="1" s="1"/>
  <c r="AAI201" i="1" s="1"/>
  <c r="AAI202" i="1" s="1"/>
  <c r="AAI203" i="1" s="1"/>
  <c r="AAI204" i="1" s="1"/>
  <c r="AAI205" i="1" s="1"/>
  <c r="AAI206" i="1" s="1"/>
  <c r="AAI207" i="1" s="1"/>
  <c r="AAI208" i="1" s="1"/>
  <c r="AAI209" i="1" s="1"/>
  <c r="AAI210" i="1" s="1"/>
  <c r="AAI211" i="1" s="1"/>
  <c r="AAI212" i="1" s="1"/>
  <c r="AAI213" i="1" s="1"/>
  <c r="AAI217" i="1" s="1"/>
  <c r="AAI218" i="1" s="1"/>
  <c r="AAI219" i="1" s="1"/>
  <c r="AAI220" i="1" s="1"/>
  <c r="AAI221" i="1" s="1"/>
  <c r="AAI222" i="1" s="1"/>
  <c r="AAI223" i="1" s="1"/>
  <c r="AAI224" i="1" s="1"/>
  <c r="AAI225" i="1" s="1"/>
  <c r="AAI226" i="1" s="1"/>
  <c r="AAI227" i="1" s="1"/>
  <c r="AAI228" i="1" s="1"/>
  <c r="AAI229" i="1" s="1"/>
  <c r="AAI230" i="1" s="1"/>
  <c r="AAI231" i="1" s="1"/>
  <c r="AAI232" i="1" s="1"/>
  <c r="AAI233" i="1" s="1"/>
  <c r="AAI234" i="1" s="1"/>
  <c r="AAI235" i="1" s="1"/>
  <c r="AAI236" i="1" s="1"/>
  <c r="AAI237" i="1" s="1"/>
  <c r="AAI238" i="1" s="1"/>
  <c r="AAI239" i="1" s="1"/>
  <c r="AAI240" i="1" s="1"/>
  <c r="AAI241" i="1" s="1"/>
  <c r="AAI242" i="1" s="1"/>
  <c r="AAI243" i="1" s="1"/>
  <c r="AAI244" i="1" s="1"/>
  <c r="AAI245" i="1" s="1"/>
  <c r="AAI246" i="1" s="1"/>
  <c r="AAI247" i="1" s="1"/>
  <c r="AAI248" i="1" s="1"/>
  <c r="AAI249" i="1" s="1"/>
  <c r="AAI253" i="1" s="1"/>
  <c r="AAI254" i="1" s="1"/>
  <c r="AAI255" i="1" s="1"/>
  <c r="AAI256" i="1" s="1"/>
  <c r="AAI257" i="1" s="1"/>
  <c r="AAI258" i="1" s="1"/>
  <c r="AAI259" i="1" s="1"/>
  <c r="AAI260" i="1" s="1"/>
  <c r="AAI261" i="1" s="1"/>
  <c r="AAI262" i="1" s="1"/>
  <c r="AAI263" i="1" s="1"/>
  <c r="AAI264" i="1" s="1"/>
  <c r="AAI265" i="1" s="1"/>
  <c r="AAI266" i="1" s="1"/>
  <c r="AAI267" i="1" s="1"/>
  <c r="AAI268" i="1" s="1"/>
  <c r="AAI269" i="1" s="1"/>
  <c r="AAI270" i="1" s="1"/>
  <c r="AAI271" i="1" s="1"/>
  <c r="AAI272" i="1" s="1"/>
  <c r="AAI273" i="1" s="1"/>
  <c r="AAI274" i="1" s="1"/>
  <c r="AAI275" i="1" s="1"/>
  <c r="AAI276" i="1" s="1"/>
  <c r="AAI277" i="1" s="1"/>
  <c r="AAI278" i="1" s="1"/>
  <c r="AAI279" i="1" s="1"/>
  <c r="AAI280" i="1" s="1"/>
  <c r="AAI281" i="1" s="1"/>
  <c r="AAI282" i="1" s="1"/>
  <c r="AAI283" i="1" s="1"/>
  <c r="AAI284" i="1" s="1"/>
  <c r="AAI285" i="1" s="1"/>
  <c r="AAI289" i="1" s="1"/>
  <c r="AAI290" i="1" s="1"/>
  <c r="AAI291" i="1" s="1"/>
  <c r="AAI292" i="1" s="1"/>
  <c r="AAI293" i="1" s="1"/>
  <c r="AAI294" i="1" s="1"/>
  <c r="AAI295" i="1" s="1"/>
  <c r="AAI296" i="1" s="1"/>
  <c r="AAI297" i="1" s="1"/>
  <c r="AAI298" i="1" s="1"/>
  <c r="AAI299" i="1" s="1"/>
  <c r="AAI300" i="1" s="1"/>
  <c r="AAI301" i="1" s="1"/>
  <c r="AAI302" i="1" s="1"/>
  <c r="AAI303" i="1" s="1"/>
  <c r="AAI304" i="1" s="1"/>
  <c r="AAI305" i="1" s="1"/>
  <c r="AAI306" i="1" s="1"/>
  <c r="AAI307" i="1" s="1"/>
  <c r="AAI308" i="1" s="1"/>
  <c r="AAI309" i="1" s="1"/>
  <c r="AAI310" i="1" s="1"/>
  <c r="AAI311" i="1" s="1"/>
  <c r="AAI312" i="1" s="1"/>
  <c r="AAI313" i="1" s="1"/>
  <c r="AAI314" i="1" s="1"/>
  <c r="AAI315" i="1" s="1"/>
  <c r="AAI316" i="1" s="1"/>
  <c r="AAI317" i="1" s="1"/>
  <c r="AAI318" i="1" s="1"/>
  <c r="AAI319" i="1" s="1"/>
  <c r="AAI320" i="1" s="1"/>
  <c r="AAI324" i="1" s="1"/>
  <c r="AAI325" i="1" s="1"/>
  <c r="AAI326" i="1" s="1"/>
  <c r="AAI327" i="1" s="1"/>
  <c r="AAI328" i="1" s="1"/>
  <c r="AAI329" i="1" s="1"/>
  <c r="AAI330" i="1" s="1"/>
  <c r="AAI331" i="1" s="1"/>
  <c r="AAI332" i="1" s="1"/>
  <c r="AAI333" i="1" s="1"/>
  <c r="AAI334" i="1" s="1"/>
  <c r="AAI335" i="1" s="1"/>
  <c r="AAI336" i="1" s="1"/>
  <c r="AAI337" i="1" s="1"/>
  <c r="AAI338" i="1" s="1"/>
  <c r="AAI339" i="1" s="1"/>
  <c r="AAI340" i="1" s="1"/>
  <c r="AAI341" i="1" s="1"/>
  <c r="AAI342" i="1" s="1"/>
  <c r="AAI343" i="1" s="1"/>
  <c r="AAI344" i="1" s="1"/>
  <c r="AAI345" i="1" s="1"/>
  <c r="AAI346" i="1" s="1"/>
  <c r="AAI347" i="1" s="1"/>
  <c r="AAI348" i="1" s="1"/>
  <c r="AAI349" i="1" s="1"/>
  <c r="AAI350" i="1" s="1"/>
  <c r="AAI351" i="1" s="1"/>
  <c r="AAI352" i="1" s="1"/>
  <c r="AAI353" i="1" s="1"/>
  <c r="AAI354" i="1" s="1"/>
  <c r="AAI355" i="1" s="1"/>
  <c r="AAI356" i="1" s="1"/>
  <c r="AAI360" i="1" s="1"/>
  <c r="AAI361" i="1" s="1"/>
  <c r="AAI362" i="1" s="1"/>
  <c r="AAI363" i="1" s="1"/>
  <c r="AAI364" i="1" s="1"/>
  <c r="AAI365" i="1" s="1"/>
  <c r="AAI366" i="1" s="1"/>
  <c r="AAI367" i="1" s="1"/>
  <c r="AAI368" i="1" s="1"/>
  <c r="AAI369" i="1" s="1"/>
  <c r="AAI370" i="1" s="1"/>
  <c r="AAI371" i="1" s="1"/>
  <c r="AAI372" i="1" s="1"/>
  <c r="AAI373" i="1" s="1"/>
  <c r="AAI374" i="1" s="1"/>
  <c r="AAI375" i="1" s="1"/>
  <c r="AAI376" i="1" s="1"/>
  <c r="AAI377" i="1" s="1"/>
  <c r="AAI378" i="1" s="1"/>
  <c r="AAI379" i="1" s="1"/>
  <c r="AAI380" i="1" s="1"/>
  <c r="AAI381" i="1" s="1"/>
  <c r="AAI382" i="1" s="1"/>
  <c r="AAI383" i="1" s="1"/>
  <c r="AAI384" i="1" s="1"/>
  <c r="AAI385" i="1" s="1"/>
  <c r="AAI386" i="1" s="1"/>
  <c r="AAI387" i="1" s="1"/>
  <c r="AAI388" i="1" s="1"/>
  <c r="AAI389" i="1" s="1"/>
  <c r="AAI390" i="1" s="1"/>
  <c r="AAI391" i="1" s="1"/>
  <c r="AAI395" i="1" s="1"/>
  <c r="AAI396" i="1" s="1"/>
  <c r="AAI397" i="1" s="1"/>
  <c r="AAI398" i="1" s="1"/>
  <c r="AAI399" i="1" s="1"/>
  <c r="AAI400" i="1" s="1"/>
  <c r="AAI401" i="1" s="1"/>
  <c r="AAI402" i="1" s="1"/>
  <c r="AAI403" i="1" s="1"/>
  <c r="AAI404" i="1" s="1"/>
  <c r="AAI405" i="1" s="1"/>
  <c r="AAI406" i="1" s="1"/>
  <c r="AAI407" i="1" s="1"/>
  <c r="AAI408" i="1" s="1"/>
  <c r="AAI409" i="1" s="1"/>
  <c r="AAI410" i="1" s="1"/>
  <c r="AAI411" i="1" s="1"/>
  <c r="AAI412" i="1" s="1"/>
  <c r="AAI413" i="1" s="1"/>
  <c r="AAI414" i="1" s="1"/>
  <c r="AAI415" i="1" s="1"/>
  <c r="AAI416" i="1" s="1"/>
  <c r="AAI417" i="1" s="1"/>
  <c r="AAI418" i="1" s="1"/>
  <c r="AAI419" i="1" s="1"/>
  <c r="AAI420" i="1" s="1"/>
  <c r="AAI421" i="1" s="1"/>
  <c r="AAI422" i="1" s="1"/>
  <c r="AAI423" i="1" s="1"/>
  <c r="AAI424" i="1" s="1"/>
  <c r="AAI425" i="1" s="1"/>
  <c r="AAI426" i="1" s="1"/>
  <c r="AAI427" i="1" s="1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171" i="6"/>
  <c r="A172" i="6"/>
  <c r="A173" i="6"/>
  <c r="A174" i="6"/>
  <c r="A175" i="6"/>
  <c r="A170" i="6"/>
  <c r="ZX427" i="1"/>
  <c r="ZV427" i="1"/>
  <c r="ZX391" i="1"/>
  <c r="ZV391" i="1"/>
  <c r="ZX356" i="1"/>
  <c r="ZV356" i="1"/>
  <c r="ZX320" i="1"/>
  <c r="ZV320" i="1"/>
  <c r="ZX285" i="1"/>
  <c r="ZV285" i="1"/>
  <c r="ZX249" i="1"/>
  <c r="ZV249" i="1"/>
  <c r="ZX213" i="1"/>
  <c r="ZV213" i="1"/>
  <c r="ZX178" i="1"/>
  <c r="ZV178" i="1"/>
  <c r="ZV142" i="1"/>
  <c r="ZX107" i="1"/>
  <c r="ZV107" i="1"/>
  <c r="ZX71" i="1"/>
  <c r="ZV71" i="1"/>
  <c r="ZX37" i="1"/>
  <c r="ZV37" i="1"/>
  <c r="ZZ6" i="1"/>
  <c r="ZZ7" i="1" s="1"/>
  <c r="ZZ8" i="1" s="1"/>
  <c r="ZZ9" i="1" s="1"/>
  <c r="ZZ10" i="1" s="1"/>
  <c r="ZZ11" i="1" s="1"/>
  <c r="ZZ12" i="1" s="1"/>
  <c r="ZZ13" i="1" s="1"/>
  <c r="ZZ14" i="1" s="1"/>
  <c r="ZZ15" i="1" s="1"/>
  <c r="ZZ16" i="1" s="1"/>
  <c r="ZZ17" i="1" s="1"/>
  <c r="ZZ18" i="1" s="1"/>
  <c r="ZZ19" i="1" s="1"/>
  <c r="ZZ20" i="1" s="1"/>
  <c r="ZZ21" i="1" s="1"/>
  <c r="ZZ22" i="1" s="1"/>
  <c r="ZZ23" i="1" s="1"/>
  <c r="ZZ24" i="1" s="1"/>
  <c r="ZZ25" i="1" s="1"/>
  <c r="ZZ26" i="1" s="1"/>
  <c r="ZZ27" i="1" s="1"/>
  <c r="ZZ28" i="1" s="1"/>
  <c r="ZZ29" i="1" s="1"/>
  <c r="ZZ30" i="1" s="1"/>
  <c r="ZZ31" i="1" s="1"/>
  <c r="ZZ32" i="1" s="1"/>
  <c r="ZZ33" i="1" s="1"/>
  <c r="ZZ34" i="1" s="1"/>
  <c r="ZZ35" i="1" s="1"/>
  <c r="ZZ36" i="1" s="1"/>
  <c r="ZZ37" i="1" s="1"/>
  <c r="ZZ41" i="1" s="1"/>
  <c r="ZZ42" i="1" s="1"/>
  <c r="ZZ43" i="1" s="1"/>
  <c r="ZZ44" i="1" s="1"/>
  <c r="ZZ45" i="1" s="1"/>
  <c r="ZZ46" i="1" s="1"/>
  <c r="ZZ47" i="1" s="1"/>
  <c r="ZZ48" i="1" s="1"/>
  <c r="ZZ49" i="1" s="1"/>
  <c r="ZZ50" i="1" s="1"/>
  <c r="ZZ51" i="1" s="1"/>
  <c r="ZZ52" i="1" s="1"/>
  <c r="ZZ53" i="1" s="1"/>
  <c r="ZZ54" i="1" s="1"/>
  <c r="ZZ55" i="1" s="1"/>
  <c r="ZZ56" i="1" s="1"/>
  <c r="ZZ57" i="1" s="1"/>
  <c r="ZZ58" i="1" s="1"/>
  <c r="ZZ59" i="1" s="1"/>
  <c r="ZZ60" i="1" s="1"/>
  <c r="ZZ61" i="1" s="1"/>
  <c r="ZZ62" i="1" s="1"/>
  <c r="ZZ63" i="1" s="1"/>
  <c r="ZZ64" i="1" s="1"/>
  <c r="ZZ65" i="1" s="1"/>
  <c r="ZZ66" i="1" s="1"/>
  <c r="ZZ67" i="1" s="1"/>
  <c r="ZZ68" i="1" s="1"/>
  <c r="ZZ69" i="1" s="1"/>
  <c r="ZZ70" i="1" s="1"/>
  <c r="ZZ71" i="1" s="1"/>
  <c r="ZZ75" i="1" s="1"/>
  <c r="ZZ76" i="1" s="1"/>
  <c r="ZZ77" i="1" s="1"/>
  <c r="ZZ78" i="1" s="1"/>
  <c r="ZZ79" i="1" s="1"/>
  <c r="ZZ80" i="1" s="1"/>
  <c r="ZZ81" i="1" s="1"/>
  <c r="ZZ82" i="1" s="1"/>
  <c r="ZZ83" i="1" s="1"/>
  <c r="ZZ84" i="1" s="1"/>
  <c r="ZZ85" i="1" s="1"/>
  <c r="ZZ86" i="1" s="1"/>
  <c r="ZZ87" i="1" s="1"/>
  <c r="ZZ88" i="1" s="1"/>
  <c r="ZZ89" i="1" s="1"/>
  <c r="ZZ90" i="1" s="1"/>
  <c r="ZZ91" i="1" s="1"/>
  <c r="ZZ92" i="1" s="1"/>
  <c r="ZZ93" i="1" s="1"/>
  <c r="ZZ94" i="1" s="1"/>
  <c r="ZZ95" i="1" s="1"/>
  <c r="ZZ96" i="1" s="1"/>
  <c r="ZZ97" i="1" s="1"/>
  <c r="ZZ98" i="1" s="1"/>
  <c r="ZZ99" i="1" s="1"/>
  <c r="ZZ100" i="1" s="1"/>
  <c r="ZZ101" i="1" s="1"/>
  <c r="ZZ102" i="1" s="1"/>
  <c r="ZZ103" i="1" s="1"/>
  <c r="ZZ104" i="1" s="1"/>
  <c r="ZZ105" i="1" s="1"/>
  <c r="ZZ106" i="1" s="1"/>
  <c r="ZZ107" i="1" s="1"/>
  <c r="ZZ111" i="1" s="1"/>
  <c r="ZZ112" i="1" s="1"/>
  <c r="ZZ113" i="1" s="1"/>
  <c r="ZZ114" i="1" s="1"/>
  <c r="ZZ115" i="1" s="1"/>
  <c r="ZZ116" i="1" s="1"/>
  <c r="ZZ117" i="1" s="1"/>
  <c r="ZZ118" i="1" s="1"/>
  <c r="ZZ119" i="1" s="1"/>
  <c r="ZZ120" i="1" s="1"/>
  <c r="ZZ121" i="1" s="1"/>
  <c r="ZZ122" i="1" s="1"/>
  <c r="ZZ123" i="1" s="1"/>
  <c r="ZZ124" i="1" s="1"/>
  <c r="ZZ125" i="1" s="1"/>
  <c r="ZZ126" i="1" s="1"/>
  <c r="ZZ127" i="1" s="1"/>
  <c r="ZZ128" i="1" s="1"/>
  <c r="ZZ129" i="1" s="1"/>
  <c r="ZZ130" i="1" s="1"/>
  <c r="ZZ131" i="1" s="1"/>
  <c r="ZZ132" i="1" s="1"/>
  <c r="ZZ133" i="1" s="1"/>
  <c r="ZZ134" i="1" s="1"/>
  <c r="ZZ135" i="1" s="1"/>
  <c r="ZZ136" i="1" s="1"/>
  <c r="ZZ137" i="1" s="1"/>
  <c r="ZZ138" i="1" s="1"/>
  <c r="ZZ139" i="1" s="1"/>
  <c r="ZZ140" i="1" s="1"/>
  <c r="ZZ141" i="1" s="1"/>
  <c r="ZZ142" i="1" s="1"/>
  <c r="ZZ146" i="1" s="1"/>
  <c r="ZZ147" i="1" s="1"/>
  <c r="ZZ148" i="1" s="1"/>
  <c r="ZZ149" i="1" s="1"/>
  <c r="ZZ150" i="1" s="1"/>
  <c r="ZZ151" i="1" s="1"/>
  <c r="ZZ152" i="1" s="1"/>
  <c r="ZZ153" i="1" s="1"/>
  <c r="ZZ154" i="1" s="1"/>
  <c r="ZZ155" i="1" s="1"/>
  <c r="ZZ156" i="1" s="1"/>
  <c r="ZZ157" i="1" s="1"/>
  <c r="ZZ158" i="1" s="1"/>
  <c r="ZZ159" i="1" s="1"/>
  <c r="ZZ160" i="1" s="1"/>
  <c r="ZZ161" i="1" s="1"/>
  <c r="ZZ162" i="1" s="1"/>
  <c r="ZZ163" i="1" s="1"/>
  <c r="ZZ164" i="1" s="1"/>
  <c r="ZZ165" i="1" s="1"/>
  <c r="ZZ166" i="1" s="1"/>
  <c r="ZZ167" i="1" s="1"/>
  <c r="ZZ168" i="1" s="1"/>
  <c r="ZZ169" i="1" s="1"/>
  <c r="ZZ170" i="1" s="1"/>
  <c r="ZZ171" i="1" s="1"/>
  <c r="ZZ172" i="1" s="1"/>
  <c r="ZZ173" i="1" s="1"/>
  <c r="ZZ174" i="1" s="1"/>
  <c r="ZZ175" i="1" s="1"/>
  <c r="ZZ176" i="1" s="1"/>
  <c r="ZZ177" i="1" s="1"/>
  <c r="ZZ178" i="1" s="1"/>
  <c r="ZZ182" i="1" s="1"/>
  <c r="ZZ183" i="1" s="1"/>
  <c r="ZZ184" i="1" s="1"/>
  <c r="ZZ185" i="1" s="1"/>
  <c r="ZZ186" i="1" s="1"/>
  <c r="ZZ187" i="1" s="1"/>
  <c r="ZZ188" i="1" s="1"/>
  <c r="ZZ189" i="1" s="1"/>
  <c r="ZZ190" i="1" s="1"/>
  <c r="ZZ191" i="1" s="1"/>
  <c r="ZZ192" i="1" s="1"/>
  <c r="ZZ193" i="1" s="1"/>
  <c r="ZZ194" i="1" s="1"/>
  <c r="ZZ195" i="1" s="1"/>
  <c r="ZZ196" i="1" s="1"/>
  <c r="ZZ197" i="1" s="1"/>
  <c r="ZZ198" i="1" s="1"/>
  <c r="ZZ199" i="1" s="1"/>
  <c r="ZZ200" i="1" s="1"/>
  <c r="ZZ201" i="1" s="1"/>
  <c r="ZZ202" i="1" s="1"/>
  <c r="ZZ203" i="1" s="1"/>
  <c r="ZZ204" i="1" s="1"/>
  <c r="ZZ205" i="1" s="1"/>
  <c r="ZZ206" i="1" s="1"/>
  <c r="ZZ207" i="1" s="1"/>
  <c r="ZZ208" i="1" s="1"/>
  <c r="ZZ209" i="1" s="1"/>
  <c r="ZZ210" i="1" s="1"/>
  <c r="ZZ211" i="1" s="1"/>
  <c r="ZZ212" i="1" s="1"/>
  <c r="ZZ213" i="1" s="1"/>
  <c r="ZZ217" i="1" s="1"/>
  <c r="ZZ218" i="1" s="1"/>
  <c r="ZZ219" i="1" s="1"/>
  <c r="ZZ220" i="1" s="1"/>
  <c r="ZZ221" i="1" s="1"/>
  <c r="ZZ222" i="1" s="1"/>
  <c r="ZZ223" i="1" s="1"/>
  <c r="ZZ224" i="1" s="1"/>
  <c r="ZZ225" i="1" s="1"/>
  <c r="ZZ226" i="1" s="1"/>
  <c r="ZZ227" i="1" s="1"/>
  <c r="ZZ228" i="1" s="1"/>
  <c r="ZZ229" i="1" s="1"/>
  <c r="ZZ230" i="1" s="1"/>
  <c r="ZZ231" i="1" s="1"/>
  <c r="ZZ232" i="1" s="1"/>
  <c r="ZZ233" i="1" s="1"/>
  <c r="ZZ234" i="1" s="1"/>
  <c r="ZZ235" i="1" s="1"/>
  <c r="ZZ236" i="1" s="1"/>
  <c r="ZZ237" i="1" s="1"/>
  <c r="ZZ238" i="1" s="1"/>
  <c r="ZZ239" i="1" s="1"/>
  <c r="ZZ240" i="1" s="1"/>
  <c r="ZZ241" i="1" s="1"/>
  <c r="ZZ242" i="1" s="1"/>
  <c r="ZZ243" i="1" s="1"/>
  <c r="ZZ244" i="1" s="1"/>
  <c r="ZZ245" i="1" s="1"/>
  <c r="ZZ246" i="1" s="1"/>
  <c r="ZZ247" i="1" s="1"/>
  <c r="ZZ248" i="1" s="1"/>
  <c r="ZZ249" i="1" s="1"/>
  <c r="ZZ253" i="1" s="1"/>
  <c r="ZZ254" i="1" s="1"/>
  <c r="ZZ255" i="1" s="1"/>
  <c r="ZZ256" i="1" s="1"/>
  <c r="ZZ257" i="1" s="1"/>
  <c r="ZZ258" i="1" s="1"/>
  <c r="ZZ259" i="1" s="1"/>
  <c r="ZZ260" i="1" s="1"/>
  <c r="ZZ261" i="1" s="1"/>
  <c r="ZZ262" i="1" s="1"/>
  <c r="ZZ263" i="1" s="1"/>
  <c r="ZZ264" i="1" s="1"/>
  <c r="ZZ265" i="1" s="1"/>
  <c r="ZZ266" i="1" s="1"/>
  <c r="ZZ267" i="1" s="1"/>
  <c r="ZZ268" i="1" s="1"/>
  <c r="ZZ269" i="1" s="1"/>
  <c r="ZZ270" i="1" s="1"/>
  <c r="ZZ271" i="1" s="1"/>
  <c r="ZZ272" i="1" s="1"/>
  <c r="ZZ273" i="1" s="1"/>
  <c r="ZZ274" i="1" s="1"/>
  <c r="ZZ275" i="1" s="1"/>
  <c r="ZZ276" i="1" s="1"/>
  <c r="ZZ277" i="1" s="1"/>
  <c r="ZZ278" i="1" s="1"/>
  <c r="ZZ279" i="1" s="1"/>
  <c r="ZZ280" i="1" s="1"/>
  <c r="ZZ281" i="1" s="1"/>
  <c r="ZZ282" i="1" s="1"/>
  <c r="ZZ283" i="1" s="1"/>
  <c r="ZZ284" i="1" s="1"/>
  <c r="ZZ285" i="1" s="1"/>
  <c r="ZZ289" i="1" s="1"/>
  <c r="ZZ290" i="1" s="1"/>
  <c r="ZZ291" i="1" s="1"/>
  <c r="ZZ292" i="1" s="1"/>
  <c r="ZZ293" i="1" s="1"/>
  <c r="ZZ294" i="1" s="1"/>
  <c r="ZZ295" i="1" s="1"/>
  <c r="ZZ296" i="1" s="1"/>
  <c r="ZZ297" i="1" s="1"/>
  <c r="ZZ298" i="1" s="1"/>
  <c r="ZZ299" i="1" s="1"/>
  <c r="ZZ300" i="1" s="1"/>
  <c r="ZZ301" i="1" s="1"/>
  <c r="ZZ302" i="1" s="1"/>
  <c r="ZZ303" i="1" s="1"/>
  <c r="ZZ304" i="1" s="1"/>
  <c r="ZZ305" i="1" s="1"/>
  <c r="ZZ306" i="1" s="1"/>
  <c r="ZZ307" i="1" s="1"/>
  <c r="ZZ308" i="1" s="1"/>
  <c r="ZZ309" i="1" s="1"/>
  <c r="ZZ310" i="1" s="1"/>
  <c r="ZZ311" i="1" s="1"/>
  <c r="ZZ312" i="1" s="1"/>
  <c r="ZZ313" i="1" s="1"/>
  <c r="ZZ314" i="1" s="1"/>
  <c r="ZZ315" i="1" s="1"/>
  <c r="ZZ316" i="1" s="1"/>
  <c r="ZZ317" i="1" s="1"/>
  <c r="ZZ318" i="1" s="1"/>
  <c r="ZZ319" i="1" s="1"/>
  <c r="ZZ320" i="1" s="1"/>
  <c r="ZZ324" i="1" s="1"/>
  <c r="ZZ325" i="1" s="1"/>
  <c r="ZZ326" i="1" s="1"/>
  <c r="ZZ327" i="1" s="1"/>
  <c r="ZZ328" i="1" s="1"/>
  <c r="ZZ329" i="1" s="1"/>
  <c r="ZZ330" i="1" s="1"/>
  <c r="ZZ331" i="1" s="1"/>
  <c r="ZZ332" i="1" s="1"/>
  <c r="ZZ333" i="1" s="1"/>
  <c r="ZZ334" i="1" s="1"/>
  <c r="ZZ335" i="1" s="1"/>
  <c r="ZZ336" i="1" s="1"/>
  <c r="ZZ337" i="1" s="1"/>
  <c r="ZZ338" i="1" s="1"/>
  <c r="ZZ339" i="1" s="1"/>
  <c r="ZZ340" i="1" s="1"/>
  <c r="ZZ341" i="1" s="1"/>
  <c r="ZZ342" i="1" s="1"/>
  <c r="ZZ343" i="1" s="1"/>
  <c r="ZZ344" i="1" s="1"/>
  <c r="ZZ345" i="1" s="1"/>
  <c r="ZZ346" i="1" s="1"/>
  <c r="ZZ347" i="1" s="1"/>
  <c r="ZZ348" i="1" s="1"/>
  <c r="ZZ349" i="1" s="1"/>
  <c r="ZZ350" i="1" s="1"/>
  <c r="ZZ351" i="1" s="1"/>
  <c r="ZZ352" i="1" s="1"/>
  <c r="ZZ353" i="1" s="1"/>
  <c r="ZZ354" i="1" s="1"/>
  <c r="ZZ355" i="1" s="1"/>
  <c r="ZZ356" i="1" s="1"/>
  <c r="ZZ360" i="1" s="1"/>
  <c r="ZZ361" i="1" s="1"/>
  <c r="ZZ362" i="1" s="1"/>
  <c r="ZZ363" i="1" s="1"/>
  <c r="ZZ364" i="1" s="1"/>
  <c r="ZZ365" i="1" s="1"/>
  <c r="ZZ366" i="1" s="1"/>
  <c r="ZZ367" i="1" s="1"/>
  <c r="ZZ368" i="1" s="1"/>
  <c r="ZZ369" i="1" s="1"/>
  <c r="ZZ370" i="1" s="1"/>
  <c r="ZZ371" i="1" s="1"/>
  <c r="ZZ372" i="1" s="1"/>
  <c r="ZZ373" i="1" s="1"/>
  <c r="ZZ374" i="1" s="1"/>
  <c r="ZZ375" i="1" s="1"/>
  <c r="ZZ376" i="1" s="1"/>
  <c r="ZZ377" i="1" s="1"/>
  <c r="ZZ378" i="1" s="1"/>
  <c r="ZZ379" i="1" s="1"/>
  <c r="ZZ380" i="1" s="1"/>
  <c r="ZZ381" i="1" s="1"/>
  <c r="ZZ382" i="1" s="1"/>
  <c r="ZZ383" i="1" s="1"/>
  <c r="ZZ384" i="1" s="1"/>
  <c r="ZZ385" i="1" s="1"/>
  <c r="ZZ386" i="1" s="1"/>
  <c r="ZZ387" i="1" s="1"/>
  <c r="ZZ388" i="1" s="1"/>
  <c r="ZZ389" i="1" s="1"/>
  <c r="ZZ390" i="1" s="1"/>
  <c r="ZZ391" i="1" s="1"/>
  <c r="ZZ395" i="1" s="1"/>
  <c r="ZZ396" i="1" s="1"/>
  <c r="ZZ397" i="1" s="1"/>
  <c r="ZZ398" i="1" s="1"/>
  <c r="ZZ399" i="1" s="1"/>
  <c r="ZZ400" i="1" s="1"/>
  <c r="ZZ401" i="1" s="1"/>
  <c r="ZZ402" i="1" s="1"/>
  <c r="ZZ403" i="1" s="1"/>
  <c r="ZZ404" i="1" s="1"/>
  <c r="ZZ405" i="1" s="1"/>
  <c r="ZZ406" i="1" s="1"/>
  <c r="ZZ407" i="1" s="1"/>
  <c r="ZZ408" i="1" s="1"/>
  <c r="ZZ409" i="1" s="1"/>
  <c r="ZZ410" i="1" s="1"/>
  <c r="ZZ411" i="1" s="1"/>
  <c r="ZZ412" i="1" s="1"/>
  <c r="ZZ413" i="1" s="1"/>
  <c r="ZZ414" i="1" s="1"/>
  <c r="ZZ415" i="1" s="1"/>
  <c r="ZZ416" i="1" s="1"/>
  <c r="ZZ417" i="1" s="1"/>
  <c r="ZZ418" i="1" s="1"/>
  <c r="ZZ419" i="1" s="1"/>
  <c r="ZZ420" i="1" s="1"/>
  <c r="ZZ421" i="1" s="1"/>
  <c r="ZZ422" i="1" s="1"/>
  <c r="ZZ423" i="1" s="1"/>
  <c r="ZZ424" i="1" s="1"/>
  <c r="ZZ425" i="1" s="1"/>
  <c r="ZZ426" i="1" s="1"/>
  <c r="ZZ427" i="1" s="1"/>
  <c r="ZO427" i="1"/>
  <c r="BZ83" i="5" s="1"/>
  <c r="ZM427" i="1"/>
  <c r="BZ82" i="5" s="1"/>
  <c r="ZO391" i="1"/>
  <c r="BZ76" i="5" s="1"/>
  <c r="ZM391" i="1"/>
  <c r="BZ75" i="5" s="1"/>
  <c r="ZO356" i="1"/>
  <c r="BZ69" i="5" s="1"/>
  <c r="ZM356" i="1"/>
  <c r="BZ68" i="5" s="1"/>
  <c r="ZO320" i="1"/>
  <c r="BZ62" i="5" s="1"/>
  <c r="ZM320" i="1"/>
  <c r="BZ61" i="5" s="1"/>
  <c r="ZO285" i="1"/>
  <c r="BZ55" i="5" s="1"/>
  <c r="ZM285" i="1"/>
  <c r="BZ54" i="5" s="1"/>
  <c r="ZO249" i="1"/>
  <c r="BZ48" i="5" s="1"/>
  <c r="ZM249" i="1"/>
  <c r="BZ47" i="5" s="1"/>
  <c r="ZO213" i="1"/>
  <c r="BZ41" i="5" s="1"/>
  <c r="ZM213" i="1"/>
  <c r="BZ40" i="5" s="1"/>
  <c r="ZO178" i="1"/>
  <c r="BZ34" i="5" s="1"/>
  <c r="ZM178" i="1"/>
  <c r="BZ33" i="5" s="1"/>
  <c r="BZ27" i="5"/>
  <c r="ZM142" i="1"/>
  <c r="BZ26" i="5" s="1"/>
  <c r="ZO107" i="1"/>
  <c r="BZ20" i="5" s="1"/>
  <c r="ZM107" i="1"/>
  <c r="BZ19" i="5" s="1"/>
  <c r="ZO71" i="1"/>
  <c r="BZ13" i="5" s="1"/>
  <c r="ZM71" i="1"/>
  <c r="BZ12" i="5" s="1"/>
  <c r="ZO37" i="1"/>
  <c r="BZ6" i="5" s="1"/>
  <c r="ZM37" i="1"/>
  <c r="BZ5" i="5" s="1"/>
  <c r="ZQ6" i="1"/>
  <c r="ZQ7" i="1" s="1"/>
  <c r="ZQ8" i="1" s="1"/>
  <c r="ZQ9" i="1" s="1"/>
  <c r="ZQ10" i="1" s="1"/>
  <c r="ZQ11" i="1" s="1"/>
  <c r="ZQ12" i="1" s="1"/>
  <c r="ZQ13" i="1" s="1"/>
  <c r="ZQ14" i="1" s="1"/>
  <c r="ZQ15" i="1" s="1"/>
  <c r="ZQ16" i="1" s="1"/>
  <c r="ZQ17" i="1" s="1"/>
  <c r="ZQ18" i="1" s="1"/>
  <c r="ZQ19" i="1" s="1"/>
  <c r="ZQ20" i="1" s="1"/>
  <c r="ZQ21" i="1" s="1"/>
  <c r="ZQ22" i="1" s="1"/>
  <c r="ZQ23" i="1" s="1"/>
  <c r="ZQ24" i="1" s="1"/>
  <c r="ZQ25" i="1" s="1"/>
  <c r="ZQ26" i="1" s="1"/>
  <c r="ZQ27" i="1" s="1"/>
  <c r="ZQ28" i="1" s="1"/>
  <c r="ZQ29" i="1" s="1"/>
  <c r="ZQ30" i="1" s="1"/>
  <c r="ZQ31" i="1" s="1"/>
  <c r="ZQ32" i="1" s="1"/>
  <c r="ZQ33" i="1" s="1"/>
  <c r="ZQ34" i="1" s="1"/>
  <c r="ZQ35" i="1" s="1"/>
  <c r="ZQ36" i="1" s="1"/>
  <c r="ZQ37" i="1" s="1"/>
  <c r="ZF427" i="1"/>
  <c r="BY83" i="5" s="1"/>
  <c r="ZD427" i="1"/>
  <c r="BY82" i="5" s="1"/>
  <c r="ZF391" i="1"/>
  <c r="BY76" i="5" s="1"/>
  <c r="ZD391" i="1"/>
  <c r="BY75" i="5" s="1"/>
  <c r="ZF356" i="1"/>
  <c r="BY69" i="5" s="1"/>
  <c r="ZD356" i="1"/>
  <c r="BY68" i="5" s="1"/>
  <c r="ZF320" i="1"/>
  <c r="BY62" i="5" s="1"/>
  <c r="ZD320" i="1"/>
  <c r="BY61" i="5" s="1"/>
  <c r="ZF285" i="1"/>
  <c r="BY55" i="5" s="1"/>
  <c r="ZD285" i="1"/>
  <c r="BY54" i="5" s="1"/>
  <c r="ZF249" i="1"/>
  <c r="BY48" i="5" s="1"/>
  <c r="ZD249" i="1"/>
  <c r="BY47" i="5" s="1"/>
  <c r="ZF213" i="1"/>
  <c r="BY41" i="5" s="1"/>
  <c r="ZD213" i="1"/>
  <c r="BY40" i="5" s="1"/>
  <c r="ZF178" i="1"/>
  <c r="ZD178" i="1"/>
  <c r="BY27" i="5"/>
  <c r="ZD142" i="1"/>
  <c r="BY26" i="5" s="1"/>
  <c r="ZF107" i="1"/>
  <c r="BY20" i="5" s="1"/>
  <c r="ZD107" i="1"/>
  <c r="BY19" i="5" s="1"/>
  <c r="ZF71" i="1"/>
  <c r="BY13" i="5" s="1"/>
  <c r="ZD71" i="1"/>
  <c r="BY12" i="5" s="1"/>
  <c r="ZF37" i="1"/>
  <c r="BY6" i="5" s="1"/>
  <c r="ZD37" i="1"/>
  <c r="BY5" i="5" s="1"/>
  <c r="ZH6" i="1"/>
  <c r="ZH7" i="1" s="1"/>
  <c r="ZH8" i="1" s="1"/>
  <c r="ZH9" i="1" s="1"/>
  <c r="ZH10" i="1" s="1"/>
  <c r="ZH11" i="1" s="1"/>
  <c r="ZH12" i="1" s="1"/>
  <c r="ZH13" i="1" s="1"/>
  <c r="ZH14" i="1" s="1"/>
  <c r="ZH15" i="1" s="1"/>
  <c r="ZH16" i="1" s="1"/>
  <c r="ZH17" i="1" s="1"/>
  <c r="ZH18" i="1" s="1"/>
  <c r="ZH19" i="1" s="1"/>
  <c r="ZH20" i="1" s="1"/>
  <c r="ZH21" i="1" s="1"/>
  <c r="ZH22" i="1" s="1"/>
  <c r="ZH23" i="1" s="1"/>
  <c r="ZH24" i="1" s="1"/>
  <c r="ZH25" i="1" s="1"/>
  <c r="ZH26" i="1" s="1"/>
  <c r="ZH27" i="1" s="1"/>
  <c r="ZH28" i="1" s="1"/>
  <c r="ZH29" i="1" s="1"/>
  <c r="ZH30" i="1" s="1"/>
  <c r="ZH31" i="1" s="1"/>
  <c r="ZH32" i="1" s="1"/>
  <c r="ZH33" i="1" s="1"/>
  <c r="ZH34" i="1" s="1"/>
  <c r="ZH35" i="1" s="1"/>
  <c r="ZH36" i="1" s="1"/>
  <c r="ZH37" i="1" s="1"/>
  <c r="YW427" i="1"/>
  <c r="BX83" i="5" s="1"/>
  <c r="YU427" i="1"/>
  <c r="BX82" i="5" s="1"/>
  <c r="YW391" i="1"/>
  <c r="BX76" i="5" s="1"/>
  <c r="YU391" i="1"/>
  <c r="BX75" i="5" s="1"/>
  <c r="YW356" i="1"/>
  <c r="YU356" i="1"/>
  <c r="BX68" i="5" s="1"/>
  <c r="YW320" i="1"/>
  <c r="BX62" i="5" s="1"/>
  <c r="YU320" i="1"/>
  <c r="BX61" i="5" s="1"/>
  <c r="YW285" i="1"/>
  <c r="BX55" i="5" s="1"/>
  <c r="YU285" i="1"/>
  <c r="BX54" i="5" s="1"/>
  <c r="YW249" i="1"/>
  <c r="BX48" i="5" s="1"/>
  <c r="YU249" i="1"/>
  <c r="BX47" i="5" s="1"/>
  <c r="YW213" i="1"/>
  <c r="BX41" i="5" s="1"/>
  <c r="YU213" i="1"/>
  <c r="BX40" i="5" s="1"/>
  <c r="YW178" i="1"/>
  <c r="BX34" i="5" s="1"/>
  <c r="YU178" i="1"/>
  <c r="BX33" i="5" s="1"/>
  <c r="BX27" i="5"/>
  <c r="YU142" i="1"/>
  <c r="BX26" i="5" s="1"/>
  <c r="YW107" i="1"/>
  <c r="BX20" i="5" s="1"/>
  <c r="YU107" i="1"/>
  <c r="BX19" i="5" s="1"/>
  <c r="YW71" i="1"/>
  <c r="BX13" i="5" s="1"/>
  <c r="YU71" i="1"/>
  <c r="BX12" i="5" s="1"/>
  <c r="YW37" i="1"/>
  <c r="BX6" i="5" s="1"/>
  <c r="YU37" i="1"/>
  <c r="BX5" i="5" s="1"/>
  <c r="YY6" i="1"/>
  <c r="YY7" i="1" s="1"/>
  <c r="YY8" i="1" s="1"/>
  <c r="YY9" i="1" s="1"/>
  <c r="YY10" i="1" s="1"/>
  <c r="YY11" i="1" s="1"/>
  <c r="YY12" i="1" s="1"/>
  <c r="YY13" i="1" s="1"/>
  <c r="YY14" i="1" s="1"/>
  <c r="YY15" i="1" s="1"/>
  <c r="YY16" i="1" s="1"/>
  <c r="YY17" i="1" s="1"/>
  <c r="YY18" i="1" s="1"/>
  <c r="YY19" i="1" s="1"/>
  <c r="YY20" i="1" s="1"/>
  <c r="YY21" i="1" s="1"/>
  <c r="YY22" i="1" s="1"/>
  <c r="YY23" i="1" s="1"/>
  <c r="YY24" i="1" s="1"/>
  <c r="YY25" i="1" s="1"/>
  <c r="YY26" i="1" s="1"/>
  <c r="YY27" i="1" s="1"/>
  <c r="YY28" i="1" s="1"/>
  <c r="YY29" i="1" s="1"/>
  <c r="YY30" i="1" s="1"/>
  <c r="YY31" i="1" s="1"/>
  <c r="YY32" i="1" s="1"/>
  <c r="YY33" i="1" s="1"/>
  <c r="YY34" i="1" s="1"/>
  <c r="YY35" i="1" s="1"/>
  <c r="YY36" i="1" s="1"/>
  <c r="YY37" i="1" s="1"/>
  <c r="YY41" i="1" s="1"/>
  <c r="YN427" i="1"/>
  <c r="BW83" i="5" s="1"/>
  <c r="YL427" i="1"/>
  <c r="BW82" i="5" s="1"/>
  <c r="YN391" i="1"/>
  <c r="BW76" i="5" s="1"/>
  <c r="YL391" i="1"/>
  <c r="BW75" i="5" s="1"/>
  <c r="YN356" i="1"/>
  <c r="BW69" i="5" s="1"/>
  <c r="YL356" i="1"/>
  <c r="BW68" i="5" s="1"/>
  <c r="YN320" i="1"/>
  <c r="BW62" i="5" s="1"/>
  <c r="YL320" i="1"/>
  <c r="YN285" i="1"/>
  <c r="BW55" i="5" s="1"/>
  <c r="YL285" i="1"/>
  <c r="BW54" i="5" s="1"/>
  <c r="YN249" i="1"/>
  <c r="BW48" i="5" s="1"/>
  <c r="YL249" i="1"/>
  <c r="BW47" i="5" s="1"/>
  <c r="YN213" i="1"/>
  <c r="BW41" i="5" s="1"/>
  <c r="YL213" i="1"/>
  <c r="BW40" i="5" s="1"/>
  <c r="YN178" i="1"/>
  <c r="BW34" i="5" s="1"/>
  <c r="YL178" i="1"/>
  <c r="BW33" i="5" s="1"/>
  <c r="BW27" i="5"/>
  <c r="YL142" i="1"/>
  <c r="BW26" i="5" s="1"/>
  <c r="YN107" i="1"/>
  <c r="BW20" i="5" s="1"/>
  <c r="YL107" i="1"/>
  <c r="BW19" i="5" s="1"/>
  <c r="YN71" i="1"/>
  <c r="BW13" i="5" s="1"/>
  <c r="YL71" i="1"/>
  <c r="BW12" i="5" s="1"/>
  <c r="YN37" i="1"/>
  <c r="BW6" i="5" s="1"/>
  <c r="YL37" i="1"/>
  <c r="BW5" i="5" s="1"/>
  <c r="YP6" i="1"/>
  <c r="YP7" i="1" s="1"/>
  <c r="YP8" i="1" s="1"/>
  <c r="YP9" i="1" s="1"/>
  <c r="YP10" i="1" s="1"/>
  <c r="YP11" i="1" s="1"/>
  <c r="YP12" i="1" s="1"/>
  <c r="YP13" i="1" s="1"/>
  <c r="YP14" i="1" s="1"/>
  <c r="YP15" i="1" s="1"/>
  <c r="YP16" i="1" s="1"/>
  <c r="YP17" i="1" s="1"/>
  <c r="YP18" i="1" s="1"/>
  <c r="YP19" i="1" s="1"/>
  <c r="YP20" i="1" s="1"/>
  <c r="YP21" i="1" s="1"/>
  <c r="YP22" i="1" s="1"/>
  <c r="YP23" i="1" s="1"/>
  <c r="YP24" i="1" s="1"/>
  <c r="YP25" i="1" s="1"/>
  <c r="YP26" i="1" s="1"/>
  <c r="YP27" i="1" s="1"/>
  <c r="YP28" i="1" s="1"/>
  <c r="YP29" i="1" s="1"/>
  <c r="YP30" i="1" s="1"/>
  <c r="YP31" i="1" s="1"/>
  <c r="YP32" i="1" s="1"/>
  <c r="YP33" i="1" s="1"/>
  <c r="YP34" i="1" s="1"/>
  <c r="YP35" i="1" s="1"/>
  <c r="YP36" i="1" s="1"/>
  <c r="YP37" i="1" s="1"/>
  <c r="YE427" i="1"/>
  <c r="BV83" i="5" s="1"/>
  <c r="YC427" i="1"/>
  <c r="BV82" i="5" s="1"/>
  <c r="YE391" i="1"/>
  <c r="BV76" i="5" s="1"/>
  <c r="YC391" i="1"/>
  <c r="BV75" i="5" s="1"/>
  <c r="YE356" i="1"/>
  <c r="BV69" i="5" s="1"/>
  <c r="YC356" i="1"/>
  <c r="BV68" i="5" s="1"/>
  <c r="YE320" i="1"/>
  <c r="BV62" i="5" s="1"/>
  <c r="YC320" i="1"/>
  <c r="BV61" i="5" s="1"/>
  <c r="YE285" i="1"/>
  <c r="BV55" i="5" s="1"/>
  <c r="YC285" i="1"/>
  <c r="BV54" i="5" s="1"/>
  <c r="YE249" i="1"/>
  <c r="BV48" i="5" s="1"/>
  <c r="YC249" i="1"/>
  <c r="BV47" i="5" s="1"/>
  <c r="YE213" i="1"/>
  <c r="BV41" i="5" s="1"/>
  <c r="YC213" i="1"/>
  <c r="BV40" i="5" s="1"/>
  <c r="YE178" i="1"/>
  <c r="BV34" i="5" s="1"/>
  <c r="YC178" i="1"/>
  <c r="BV33" i="5" s="1"/>
  <c r="BV27" i="5"/>
  <c r="YC142" i="1"/>
  <c r="BV26" i="5" s="1"/>
  <c r="YE107" i="1"/>
  <c r="BV20" i="5" s="1"/>
  <c r="YC107" i="1"/>
  <c r="BV19" i="5" s="1"/>
  <c r="YE71" i="1"/>
  <c r="YC71" i="1"/>
  <c r="YE37" i="1"/>
  <c r="BV6" i="5" s="1"/>
  <c r="YC37" i="1"/>
  <c r="BV5" i="5" s="1"/>
  <c r="YG6" i="1"/>
  <c r="YG7" i="1" s="1"/>
  <c r="YG8" i="1" s="1"/>
  <c r="YG9" i="1" s="1"/>
  <c r="YG10" i="1" s="1"/>
  <c r="YG11" i="1" s="1"/>
  <c r="YG12" i="1" s="1"/>
  <c r="YG13" i="1" s="1"/>
  <c r="YG14" i="1" s="1"/>
  <c r="YG15" i="1" s="1"/>
  <c r="YG16" i="1" s="1"/>
  <c r="YG17" i="1" s="1"/>
  <c r="YG18" i="1" s="1"/>
  <c r="YG19" i="1" s="1"/>
  <c r="YG20" i="1" s="1"/>
  <c r="YG21" i="1" s="1"/>
  <c r="YG22" i="1" s="1"/>
  <c r="YG23" i="1" s="1"/>
  <c r="YG24" i="1" s="1"/>
  <c r="YG25" i="1" s="1"/>
  <c r="YG26" i="1" s="1"/>
  <c r="YG27" i="1" s="1"/>
  <c r="YG28" i="1" s="1"/>
  <c r="YG29" i="1" s="1"/>
  <c r="YG30" i="1" s="1"/>
  <c r="YG31" i="1" s="1"/>
  <c r="YG32" i="1" s="1"/>
  <c r="YG33" i="1" s="1"/>
  <c r="YG34" i="1" s="1"/>
  <c r="YG35" i="1" s="1"/>
  <c r="YG36" i="1" s="1"/>
  <c r="YG37" i="1" s="1"/>
  <c r="XV427" i="1"/>
  <c r="BU83" i="5" s="1"/>
  <c r="XT427" i="1"/>
  <c r="BU82" i="5" s="1"/>
  <c r="XV391" i="1"/>
  <c r="BU76" i="5" s="1"/>
  <c r="XT391" i="1"/>
  <c r="BU75" i="5" s="1"/>
  <c r="XV356" i="1"/>
  <c r="BU69" i="5" s="1"/>
  <c r="XT356" i="1"/>
  <c r="BU68" i="5" s="1"/>
  <c r="XV320" i="1"/>
  <c r="BU62" i="5" s="1"/>
  <c r="XT320" i="1"/>
  <c r="BU61" i="5" s="1"/>
  <c r="XV285" i="1"/>
  <c r="BU55" i="5" s="1"/>
  <c r="XT285" i="1"/>
  <c r="BU54" i="5" s="1"/>
  <c r="XV249" i="1"/>
  <c r="BU48" i="5" s="1"/>
  <c r="XT249" i="1"/>
  <c r="BU47" i="5" s="1"/>
  <c r="XV213" i="1"/>
  <c r="BU41" i="5" s="1"/>
  <c r="XT213" i="1"/>
  <c r="BU40" i="5" s="1"/>
  <c r="XV178" i="1"/>
  <c r="BU34" i="5" s="1"/>
  <c r="XT178" i="1"/>
  <c r="BU33" i="5" s="1"/>
  <c r="BU27" i="5"/>
  <c r="XT142" i="1"/>
  <c r="BU26" i="5" s="1"/>
  <c r="XV107" i="1"/>
  <c r="BU20" i="5" s="1"/>
  <c r="XT107" i="1"/>
  <c r="BU19" i="5" s="1"/>
  <c r="XV71" i="1"/>
  <c r="BU13" i="5" s="1"/>
  <c r="XT71" i="1"/>
  <c r="BU12" i="5" s="1"/>
  <c r="XV37" i="1"/>
  <c r="BU6" i="5" s="1"/>
  <c r="XT37" i="1"/>
  <c r="BU5" i="5" s="1"/>
  <c r="XX6" i="1"/>
  <c r="XX7" i="1" s="1"/>
  <c r="XX8" i="1" s="1"/>
  <c r="XX9" i="1" s="1"/>
  <c r="XX10" i="1" s="1"/>
  <c r="XX11" i="1" s="1"/>
  <c r="XX12" i="1" s="1"/>
  <c r="XX13" i="1" s="1"/>
  <c r="XX14" i="1" s="1"/>
  <c r="XX15" i="1" s="1"/>
  <c r="XX16" i="1" s="1"/>
  <c r="XX17" i="1" s="1"/>
  <c r="XX18" i="1" s="1"/>
  <c r="XX19" i="1" s="1"/>
  <c r="XX20" i="1" s="1"/>
  <c r="XX21" i="1" s="1"/>
  <c r="XX22" i="1" s="1"/>
  <c r="XX23" i="1" s="1"/>
  <c r="XX24" i="1" s="1"/>
  <c r="XX25" i="1" s="1"/>
  <c r="XX26" i="1" s="1"/>
  <c r="XX27" i="1" s="1"/>
  <c r="XX28" i="1" s="1"/>
  <c r="XX29" i="1" s="1"/>
  <c r="XX30" i="1" s="1"/>
  <c r="XX31" i="1" s="1"/>
  <c r="XX32" i="1" s="1"/>
  <c r="XX33" i="1" s="1"/>
  <c r="XX34" i="1" s="1"/>
  <c r="XX35" i="1" s="1"/>
  <c r="XX36" i="1" s="1"/>
  <c r="XX37" i="1" s="1"/>
  <c r="XM427" i="1"/>
  <c r="BT83" i="5" s="1"/>
  <c r="XK427" i="1"/>
  <c r="BT82" i="5" s="1"/>
  <c r="XM391" i="1"/>
  <c r="BT76" i="5" s="1"/>
  <c r="XK391" i="1"/>
  <c r="BT75" i="5" s="1"/>
  <c r="XM356" i="1"/>
  <c r="BT69" i="5" s="1"/>
  <c r="XK356" i="1"/>
  <c r="BT68" i="5" s="1"/>
  <c r="XM320" i="1"/>
  <c r="BT62" i="5" s="1"/>
  <c r="XK320" i="1"/>
  <c r="BT61" i="5" s="1"/>
  <c r="XM285" i="1"/>
  <c r="BT55" i="5" s="1"/>
  <c r="XK285" i="1"/>
  <c r="BT54" i="5" s="1"/>
  <c r="XM249" i="1"/>
  <c r="BT48" i="5" s="1"/>
  <c r="XK249" i="1"/>
  <c r="BT47" i="5" s="1"/>
  <c r="XM213" i="1"/>
  <c r="BT41" i="5" s="1"/>
  <c r="XK213" i="1"/>
  <c r="BT40" i="5" s="1"/>
  <c r="XM178" i="1"/>
  <c r="BT34" i="5" s="1"/>
  <c r="XK178" i="1"/>
  <c r="BT33" i="5" s="1"/>
  <c r="BT27" i="5"/>
  <c r="XK142" i="1"/>
  <c r="BT26" i="5" s="1"/>
  <c r="XM107" i="1"/>
  <c r="BT20" i="5" s="1"/>
  <c r="XK107" i="1"/>
  <c r="BT19" i="5" s="1"/>
  <c r="XM71" i="1"/>
  <c r="BT13" i="5" s="1"/>
  <c r="XK71" i="1"/>
  <c r="BT12" i="5" s="1"/>
  <c r="XM37" i="1"/>
  <c r="BT6" i="5" s="1"/>
  <c r="XK37" i="1"/>
  <c r="BT5" i="5" s="1"/>
  <c r="XO6" i="1"/>
  <c r="XO7" i="1" s="1"/>
  <c r="XO8" i="1" s="1"/>
  <c r="XO9" i="1" s="1"/>
  <c r="XO10" i="1" s="1"/>
  <c r="XO11" i="1" s="1"/>
  <c r="XO12" i="1" s="1"/>
  <c r="XO13" i="1" s="1"/>
  <c r="XO14" i="1" s="1"/>
  <c r="XO15" i="1" s="1"/>
  <c r="XO16" i="1" s="1"/>
  <c r="XO17" i="1" s="1"/>
  <c r="XO18" i="1" s="1"/>
  <c r="XO19" i="1" s="1"/>
  <c r="XO20" i="1" s="1"/>
  <c r="XO21" i="1" s="1"/>
  <c r="XO22" i="1" s="1"/>
  <c r="XO23" i="1" s="1"/>
  <c r="XO24" i="1" s="1"/>
  <c r="XO25" i="1" s="1"/>
  <c r="XO26" i="1" s="1"/>
  <c r="XO27" i="1" s="1"/>
  <c r="XO28" i="1" s="1"/>
  <c r="XO29" i="1" s="1"/>
  <c r="XO30" i="1" s="1"/>
  <c r="XO31" i="1" s="1"/>
  <c r="XO32" i="1" s="1"/>
  <c r="XO33" i="1" s="1"/>
  <c r="XO34" i="1" s="1"/>
  <c r="XO35" i="1" s="1"/>
  <c r="XO36" i="1" s="1"/>
  <c r="XO37" i="1" s="1"/>
  <c r="BU80" i="5" l="1"/>
  <c r="BU66" i="5"/>
  <c r="BU45" i="5"/>
  <c r="BU24" i="5"/>
  <c r="BU10" i="5"/>
  <c r="BV52" i="5"/>
  <c r="BV31" i="5"/>
  <c r="BV80" i="5"/>
  <c r="BV66" i="5"/>
  <c r="BV59" i="5"/>
  <c r="BV45" i="5"/>
  <c r="BV38" i="5"/>
  <c r="BV24" i="5"/>
  <c r="BV17" i="5"/>
  <c r="BV10" i="5"/>
  <c r="YA2" i="1"/>
  <c r="BX10" i="5"/>
  <c r="BX73" i="5"/>
  <c r="CA59" i="5"/>
  <c r="CA31" i="5"/>
  <c r="CE24" i="5"/>
  <c r="CE73" i="5"/>
  <c r="CE17" i="5"/>
  <c r="CE3" i="5"/>
  <c r="B88" i="18" s="1"/>
  <c r="WK184" i="1"/>
  <c r="WK185" i="1"/>
  <c r="WK186" i="1"/>
  <c r="WK187" i="1"/>
  <c r="WK188" i="1"/>
  <c r="WK189" i="1"/>
  <c r="WK190" i="1"/>
  <c r="WK191" i="1"/>
  <c r="WK192" i="1"/>
  <c r="WK193" i="1"/>
  <c r="WK194" i="1"/>
  <c r="WK195" i="1"/>
  <c r="WK196" i="1"/>
  <c r="WK197" i="1"/>
  <c r="WK198" i="1"/>
  <c r="WK199" i="1"/>
  <c r="WK200" i="1"/>
  <c r="WK201" i="1"/>
  <c r="WK202" i="1"/>
  <c r="WK203" i="1"/>
  <c r="WK204" i="1"/>
  <c r="WK205" i="1"/>
  <c r="WK206" i="1"/>
  <c r="WK207" i="1"/>
  <c r="WK208" i="1"/>
  <c r="WK209" i="1"/>
  <c r="WK210" i="1"/>
  <c r="WK211" i="1"/>
  <c r="WK212" i="1"/>
  <c r="WK183" i="1"/>
  <c r="WK148" i="1"/>
  <c r="WK149" i="1"/>
  <c r="WK150" i="1"/>
  <c r="WK151" i="1"/>
  <c r="WK152" i="1"/>
  <c r="WK153" i="1"/>
  <c r="WK155" i="1"/>
  <c r="WK156" i="1"/>
  <c r="WK157" i="1"/>
  <c r="WK158" i="1"/>
  <c r="WK159" i="1"/>
  <c r="WK160" i="1"/>
  <c r="WK161" i="1"/>
  <c r="WK162" i="1"/>
  <c r="WK163" i="1"/>
  <c r="WK164" i="1"/>
  <c r="WK165" i="1"/>
  <c r="WK166" i="1"/>
  <c r="WK167" i="1"/>
  <c r="WK168" i="1"/>
  <c r="WK169" i="1"/>
  <c r="WK170" i="1"/>
  <c r="WK171" i="1"/>
  <c r="WK172" i="1"/>
  <c r="WK173" i="1"/>
  <c r="WK174" i="1"/>
  <c r="WK175" i="1"/>
  <c r="WK176" i="1"/>
  <c r="WK177" i="1"/>
  <c r="WK147" i="1"/>
  <c r="WK154" i="1"/>
  <c r="WT184" i="1"/>
  <c r="WT185" i="1"/>
  <c r="WT186" i="1"/>
  <c r="WT187" i="1"/>
  <c r="WT188" i="1"/>
  <c r="WT189" i="1"/>
  <c r="WT190" i="1"/>
  <c r="WT191" i="1"/>
  <c r="WT192" i="1"/>
  <c r="WT193" i="1"/>
  <c r="WT194" i="1"/>
  <c r="WT195" i="1"/>
  <c r="WT196" i="1"/>
  <c r="WT197" i="1"/>
  <c r="WT198" i="1"/>
  <c r="WT199" i="1"/>
  <c r="WT200" i="1"/>
  <c r="WT201" i="1"/>
  <c r="WT202" i="1"/>
  <c r="WT203" i="1"/>
  <c r="WT204" i="1"/>
  <c r="WT205" i="1"/>
  <c r="WT206" i="1"/>
  <c r="WT207" i="1"/>
  <c r="WT208" i="1"/>
  <c r="WT209" i="1"/>
  <c r="WT210" i="1"/>
  <c r="WT211" i="1"/>
  <c r="WT212" i="1"/>
  <c r="WT183" i="1"/>
  <c r="WT148" i="1"/>
  <c r="WT149" i="1"/>
  <c r="WT150" i="1"/>
  <c r="WT151" i="1"/>
  <c r="WT152" i="1"/>
  <c r="WT153" i="1"/>
  <c r="WT155" i="1"/>
  <c r="WT156" i="1"/>
  <c r="WT157" i="1"/>
  <c r="WT158" i="1"/>
  <c r="WT159" i="1"/>
  <c r="WT160" i="1"/>
  <c r="WT161" i="1"/>
  <c r="WT162" i="1"/>
  <c r="WT163" i="1"/>
  <c r="WT164" i="1"/>
  <c r="WT165" i="1"/>
  <c r="WT166" i="1"/>
  <c r="WT167" i="1"/>
  <c r="WT168" i="1"/>
  <c r="WT169" i="1"/>
  <c r="WT170" i="1"/>
  <c r="WT171" i="1"/>
  <c r="WT172" i="1"/>
  <c r="WT173" i="1"/>
  <c r="WT174" i="1"/>
  <c r="WT175" i="1"/>
  <c r="WT176" i="1"/>
  <c r="WT177" i="1"/>
  <c r="WT147" i="1"/>
  <c r="WT154" i="1"/>
  <c r="XC184" i="1"/>
  <c r="XC185" i="1"/>
  <c r="XC186" i="1"/>
  <c r="XC187" i="1"/>
  <c r="XC188" i="1"/>
  <c r="XC189" i="1"/>
  <c r="XC190" i="1"/>
  <c r="XC191" i="1"/>
  <c r="XC192" i="1"/>
  <c r="XC193" i="1"/>
  <c r="XC194" i="1"/>
  <c r="XC195" i="1"/>
  <c r="XC196" i="1"/>
  <c r="XC197" i="1"/>
  <c r="XC198" i="1"/>
  <c r="XC199" i="1"/>
  <c r="XC200" i="1"/>
  <c r="XC201" i="1"/>
  <c r="XC202" i="1"/>
  <c r="XC203" i="1"/>
  <c r="XC204" i="1"/>
  <c r="XC205" i="1"/>
  <c r="XC206" i="1"/>
  <c r="XC207" i="1"/>
  <c r="XC208" i="1"/>
  <c r="XC209" i="1"/>
  <c r="XC210" i="1"/>
  <c r="XC211" i="1"/>
  <c r="XC212" i="1"/>
  <c r="XC183" i="1"/>
  <c r="XC148" i="1"/>
  <c r="XC149" i="1"/>
  <c r="XC150" i="1"/>
  <c r="XC151" i="1"/>
  <c r="XC152" i="1"/>
  <c r="XC153" i="1"/>
  <c r="XC155" i="1"/>
  <c r="XC156" i="1"/>
  <c r="XC157" i="1"/>
  <c r="XC158" i="1"/>
  <c r="XC159" i="1"/>
  <c r="XC160" i="1"/>
  <c r="XC161" i="1"/>
  <c r="XC162" i="1"/>
  <c r="XC163" i="1"/>
  <c r="XC164" i="1"/>
  <c r="XC165" i="1"/>
  <c r="XC166" i="1"/>
  <c r="XC167" i="1"/>
  <c r="XC168" i="1"/>
  <c r="XC169" i="1"/>
  <c r="XC170" i="1"/>
  <c r="XC171" i="1"/>
  <c r="XC172" i="1"/>
  <c r="XC173" i="1"/>
  <c r="XC174" i="1"/>
  <c r="XC175" i="1"/>
  <c r="XC176" i="1"/>
  <c r="XC177" i="1"/>
  <c r="XC147" i="1"/>
  <c r="XC154" i="1"/>
  <c r="XL184" i="1"/>
  <c r="XL185" i="1"/>
  <c r="XL186" i="1"/>
  <c r="XL187" i="1"/>
  <c r="XL188" i="1"/>
  <c r="XL189" i="1"/>
  <c r="XL190" i="1"/>
  <c r="XL191" i="1"/>
  <c r="XL192" i="1"/>
  <c r="XL193" i="1"/>
  <c r="XL194" i="1"/>
  <c r="XL195" i="1"/>
  <c r="XL196" i="1"/>
  <c r="XL197" i="1"/>
  <c r="XL198" i="1"/>
  <c r="XL199" i="1"/>
  <c r="XL200" i="1"/>
  <c r="XL201" i="1"/>
  <c r="XL202" i="1"/>
  <c r="XL203" i="1"/>
  <c r="XL204" i="1"/>
  <c r="XL205" i="1"/>
  <c r="XL206" i="1"/>
  <c r="XL207" i="1"/>
  <c r="XL208" i="1"/>
  <c r="XL209" i="1"/>
  <c r="XL210" i="1"/>
  <c r="XL211" i="1"/>
  <c r="XL212" i="1"/>
  <c r="XL183" i="1"/>
  <c r="XL148" i="1"/>
  <c r="XL149" i="1"/>
  <c r="XL150" i="1"/>
  <c r="XL151" i="1"/>
  <c r="XL152" i="1"/>
  <c r="XL153" i="1"/>
  <c r="XL155" i="1"/>
  <c r="XL156" i="1"/>
  <c r="XL157" i="1"/>
  <c r="XL158" i="1"/>
  <c r="XL159" i="1"/>
  <c r="XL160" i="1"/>
  <c r="XL161" i="1"/>
  <c r="XL162" i="1"/>
  <c r="XL163" i="1"/>
  <c r="XL164" i="1"/>
  <c r="XL165" i="1"/>
  <c r="XL166" i="1"/>
  <c r="XL167" i="1"/>
  <c r="XL168" i="1"/>
  <c r="XL169" i="1"/>
  <c r="XL170" i="1"/>
  <c r="XL171" i="1"/>
  <c r="XL172" i="1"/>
  <c r="XL173" i="1"/>
  <c r="XL174" i="1"/>
  <c r="XL175" i="1"/>
  <c r="XL176" i="1"/>
  <c r="XL177" i="1"/>
  <c r="XL147" i="1"/>
  <c r="XL154" i="1"/>
  <c r="XU184" i="1"/>
  <c r="XU185" i="1"/>
  <c r="XU186" i="1"/>
  <c r="XU187" i="1"/>
  <c r="XU188" i="1"/>
  <c r="XU189" i="1"/>
  <c r="XU190" i="1"/>
  <c r="XU191" i="1"/>
  <c r="XU192" i="1"/>
  <c r="XU193" i="1"/>
  <c r="XU194" i="1"/>
  <c r="XU195" i="1"/>
  <c r="XU196" i="1"/>
  <c r="XU197" i="1"/>
  <c r="XU198" i="1"/>
  <c r="XU199" i="1"/>
  <c r="XU200" i="1"/>
  <c r="XU201" i="1"/>
  <c r="XU202" i="1"/>
  <c r="XU203" i="1"/>
  <c r="XU204" i="1"/>
  <c r="XU205" i="1"/>
  <c r="XU206" i="1"/>
  <c r="XU207" i="1"/>
  <c r="XU208" i="1"/>
  <c r="XU209" i="1"/>
  <c r="XU210" i="1"/>
  <c r="XU211" i="1"/>
  <c r="XU212" i="1"/>
  <c r="XU183" i="1"/>
  <c r="XU148" i="1"/>
  <c r="XU149" i="1"/>
  <c r="XU150" i="1"/>
  <c r="XU151" i="1"/>
  <c r="XU152" i="1"/>
  <c r="XU153" i="1"/>
  <c r="XU155" i="1"/>
  <c r="XU156" i="1"/>
  <c r="XU157" i="1"/>
  <c r="XU158" i="1"/>
  <c r="XU159" i="1"/>
  <c r="XU160" i="1"/>
  <c r="XU161" i="1"/>
  <c r="XU162" i="1"/>
  <c r="XU163" i="1"/>
  <c r="XU164" i="1"/>
  <c r="XU165" i="1"/>
  <c r="XU166" i="1"/>
  <c r="XU167" i="1"/>
  <c r="XU168" i="1"/>
  <c r="XU169" i="1"/>
  <c r="XU170" i="1"/>
  <c r="XU171" i="1"/>
  <c r="XU172" i="1"/>
  <c r="XU173" i="1"/>
  <c r="XU174" i="1"/>
  <c r="XU175" i="1"/>
  <c r="XU176" i="1"/>
  <c r="XU177" i="1"/>
  <c r="XU147" i="1"/>
  <c r="XU154" i="1"/>
  <c r="YD184" i="1"/>
  <c r="YD185" i="1"/>
  <c r="YD186" i="1"/>
  <c r="YD187" i="1"/>
  <c r="YD188" i="1"/>
  <c r="YD189" i="1"/>
  <c r="YD190" i="1"/>
  <c r="YD191" i="1"/>
  <c r="YD192" i="1"/>
  <c r="YD193" i="1"/>
  <c r="YD194" i="1"/>
  <c r="YD195" i="1"/>
  <c r="YD196" i="1"/>
  <c r="YD197" i="1"/>
  <c r="YD198" i="1"/>
  <c r="YD199" i="1"/>
  <c r="YD200" i="1"/>
  <c r="YD201" i="1"/>
  <c r="YD202" i="1"/>
  <c r="YD203" i="1"/>
  <c r="YD204" i="1"/>
  <c r="YD205" i="1"/>
  <c r="YD206" i="1"/>
  <c r="YD207" i="1"/>
  <c r="YD208" i="1"/>
  <c r="YD209" i="1"/>
  <c r="YD210" i="1"/>
  <c r="YD211" i="1"/>
  <c r="YD212" i="1"/>
  <c r="YD183" i="1"/>
  <c r="YD148" i="1"/>
  <c r="YD149" i="1"/>
  <c r="YD150" i="1"/>
  <c r="YD151" i="1"/>
  <c r="YD152" i="1"/>
  <c r="YD153" i="1"/>
  <c r="YD155" i="1"/>
  <c r="YD156" i="1"/>
  <c r="YD157" i="1"/>
  <c r="YD158" i="1"/>
  <c r="YD159" i="1"/>
  <c r="YD160" i="1"/>
  <c r="YD161" i="1"/>
  <c r="YD162" i="1"/>
  <c r="YD163" i="1"/>
  <c r="YD164" i="1"/>
  <c r="YD165" i="1"/>
  <c r="YD166" i="1"/>
  <c r="YD167" i="1"/>
  <c r="YD168" i="1"/>
  <c r="YD169" i="1"/>
  <c r="YD170" i="1"/>
  <c r="YD171" i="1"/>
  <c r="YD172" i="1"/>
  <c r="YD173" i="1"/>
  <c r="YD174" i="1"/>
  <c r="YD175" i="1"/>
  <c r="YD176" i="1"/>
  <c r="YD177" i="1"/>
  <c r="YD147" i="1"/>
  <c r="YD154" i="1"/>
  <c r="YM184" i="1"/>
  <c r="YM185" i="1"/>
  <c r="YM186" i="1"/>
  <c r="YM187" i="1"/>
  <c r="YM188" i="1"/>
  <c r="YM189" i="1"/>
  <c r="YM190" i="1"/>
  <c r="YM191" i="1"/>
  <c r="YM192" i="1"/>
  <c r="YM193" i="1"/>
  <c r="YM194" i="1"/>
  <c r="YM195" i="1"/>
  <c r="YM196" i="1"/>
  <c r="YM197" i="1"/>
  <c r="YM198" i="1"/>
  <c r="YM199" i="1"/>
  <c r="YM200" i="1"/>
  <c r="YM201" i="1"/>
  <c r="YM202" i="1"/>
  <c r="YM203" i="1"/>
  <c r="YM204" i="1"/>
  <c r="YM205" i="1"/>
  <c r="YM206" i="1"/>
  <c r="YM207" i="1"/>
  <c r="YM208" i="1"/>
  <c r="YM209" i="1"/>
  <c r="YM210" i="1"/>
  <c r="YM211" i="1"/>
  <c r="YM212" i="1"/>
  <c r="YM183" i="1"/>
  <c r="YM148" i="1"/>
  <c r="YM149" i="1"/>
  <c r="YM150" i="1"/>
  <c r="YM151" i="1"/>
  <c r="YM152" i="1"/>
  <c r="YM153" i="1"/>
  <c r="YM155" i="1"/>
  <c r="YM156" i="1"/>
  <c r="YM157" i="1"/>
  <c r="YM158" i="1"/>
  <c r="YM159" i="1"/>
  <c r="YM160" i="1"/>
  <c r="YM161" i="1"/>
  <c r="YM162" i="1"/>
  <c r="YM163" i="1"/>
  <c r="YM164" i="1"/>
  <c r="YM165" i="1"/>
  <c r="YM166" i="1"/>
  <c r="YM167" i="1"/>
  <c r="YM168" i="1"/>
  <c r="YM169" i="1"/>
  <c r="YM170" i="1"/>
  <c r="YM171" i="1"/>
  <c r="YM172" i="1"/>
  <c r="YM173" i="1"/>
  <c r="YM174" i="1"/>
  <c r="YM175" i="1"/>
  <c r="YM176" i="1"/>
  <c r="YM177" i="1"/>
  <c r="YM147" i="1"/>
  <c r="YM154" i="1"/>
  <c r="ZH41" i="1"/>
  <c r="BY8" i="5"/>
  <c r="ZQ41" i="1"/>
  <c r="BZ8" i="5"/>
  <c r="YY42" i="1"/>
  <c r="YY43" i="1" s="1"/>
  <c r="YY44" i="1" s="1"/>
  <c r="YY45" i="1" s="1"/>
  <c r="YY46" i="1" s="1"/>
  <c r="YY47" i="1" s="1"/>
  <c r="YY48" i="1" s="1"/>
  <c r="YY49" i="1" s="1"/>
  <c r="YY50" i="1" s="1"/>
  <c r="YY51" i="1" s="1"/>
  <c r="YY52" i="1" s="1"/>
  <c r="YY53" i="1" s="1"/>
  <c r="YY54" i="1" s="1"/>
  <c r="YY55" i="1" s="1"/>
  <c r="YY56" i="1" s="1"/>
  <c r="YY57" i="1" s="1"/>
  <c r="YY58" i="1" s="1"/>
  <c r="YY59" i="1" s="1"/>
  <c r="YY60" i="1" s="1"/>
  <c r="YY61" i="1" s="1"/>
  <c r="YY62" i="1" s="1"/>
  <c r="YY63" i="1" s="1"/>
  <c r="YY64" i="1" s="1"/>
  <c r="YY65" i="1" s="1"/>
  <c r="YY66" i="1" s="1"/>
  <c r="YY67" i="1" s="1"/>
  <c r="YY68" i="1" s="1"/>
  <c r="YY69" i="1" s="1"/>
  <c r="YY70" i="1" s="1"/>
  <c r="YY71" i="1" s="1"/>
  <c r="BX11" i="5"/>
  <c r="YP41" i="1"/>
  <c r="BW8" i="5"/>
  <c r="YG41" i="1"/>
  <c r="BV8" i="5"/>
  <c r="XX41" i="1"/>
  <c r="BU8" i="5"/>
  <c r="XO41" i="1"/>
  <c r="BT8" i="5"/>
  <c r="CE38" i="5"/>
  <c r="CC31" i="5"/>
  <c r="CC66" i="5"/>
  <c r="CC52" i="5"/>
  <c r="CA52" i="5"/>
  <c r="BX80" i="5"/>
  <c r="BT73" i="5"/>
  <c r="BT80" i="5"/>
  <c r="BT31" i="5"/>
  <c r="BT59" i="5"/>
  <c r="XI2" i="1"/>
  <c r="BT66" i="5"/>
  <c r="BT17" i="5"/>
  <c r="BT24" i="5"/>
  <c r="BT38" i="5"/>
  <c r="BT10" i="5"/>
  <c r="BT52" i="5"/>
  <c r="BW38" i="5"/>
  <c r="BW66" i="5"/>
  <c r="XR2" i="1"/>
  <c r="BW45" i="5"/>
  <c r="BU73" i="5"/>
  <c r="BU52" i="5"/>
  <c r="BV73" i="5"/>
  <c r="YJ2" i="1"/>
  <c r="BW73" i="5"/>
  <c r="BU31" i="5"/>
  <c r="BU38" i="5"/>
  <c r="BU17" i="5"/>
  <c r="BU59" i="5"/>
  <c r="CE31" i="5"/>
  <c r="CE66" i="5"/>
  <c r="CE52" i="5"/>
  <c r="CD3" i="5"/>
  <c r="B87" i="17" s="1"/>
  <c r="CD31" i="5"/>
  <c r="CD66" i="5"/>
  <c r="CD17" i="5"/>
  <c r="CD52" i="5"/>
  <c r="CC17" i="5"/>
  <c r="CC3" i="5"/>
  <c r="B86" i="17" s="1"/>
  <c r="CB3" i="5"/>
  <c r="B85" i="17" s="1"/>
  <c r="CA3" i="5"/>
  <c r="B84" i="17" s="1"/>
  <c r="BZ3" i="5"/>
  <c r="B83" i="18" s="1"/>
  <c r="CA10" i="5"/>
  <c r="CA24" i="5"/>
  <c r="CE45" i="5"/>
  <c r="CD59" i="5"/>
  <c r="CE80" i="5"/>
  <c r="B88" i="17"/>
  <c r="AAU2" i="1"/>
  <c r="CD10" i="5"/>
  <c r="CD24" i="5"/>
  <c r="CC38" i="5"/>
  <c r="CC73" i="5"/>
  <c r="B86" i="18"/>
  <c r="CA45" i="5"/>
  <c r="CA80" i="5"/>
  <c r="B87" i="18"/>
  <c r="ZK2" i="1"/>
  <c r="CC45" i="5"/>
  <c r="CC80" i="5"/>
  <c r="ZT2" i="1"/>
  <c r="CD45" i="5"/>
  <c r="CC59" i="5"/>
  <c r="CD80" i="5"/>
  <c r="AAL2" i="1"/>
  <c r="CC10" i="5"/>
  <c r="CE59" i="5"/>
  <c r="CA73" i="5"/>
  <c r="ABD2" i="1"/>
  <c r="CE10" i="5"/>
  <c r="CD38" i="5"/>
  <c r="CB38" i="5"/>
  <c r="CB59" i="5"/>
  <c r="CB17" i="5"/>
  <c r="CB31" i="5"/>
  <c r="AAC2" i="1"/>
  <c r="CB52" i="5"/>
  <c r="CB73" i="5"/>
  <c r="CB80" i="5"/>
  <c r="CB10" i="5"/>
  <c r="CB66" i="5"/>
  <c r="CB24" i="5"/>
  <c r="CA66" i="5"/>
  <c r="CA17" i="5"/>
  <c r="CA38" i="5"/>
  <c r="B82" i="17"/>
  <c r="ZB2" i="1"/>
  <c r="YS2" i="1"/>
  <c r="BW31" i="5"/>
  <c r="BW59" i="5"/>
  <c r="BW52" i="5"/>
  <c r="BW80" i="5"/>
  <c r="BW17" i="5"/>
  <c r="BW24" i="5"/>
  <c r="BX31" i="5"/>
  <c r="BX38" i="5"/>
  <c r="BX45" i="5"/>
  <c r="BX52" i="5"/>
  <c r="BX59" i="5"/>
  <c r="BX66" i="5"/>
  <c r="BY73" i="5"/>
  <c r="BY80" i="5"/>
  <c r="BX17" i="5"/>
  <c r="BX24" i="5"/>
  <c r="BY31" i="5"/>
  <c r="BY38" i="5"/>
  <c r="BY45" i="5"/>
  <c r="BY52" i="5"/>
  <c r="BY59" i="5"/>
  <c r="BY66" i="5"/>
  <c r="BZ73" i="5"/>
  <c r="BZ80" i="5"/>
  <c r="BY17" i="5"/>
  <c r="BY24" i="5"/>
  <c r="BZ31" i="5"/>
  <c r="BZ38" i="5"/>
  <c r="BZ45" i="5"/>
  <c r="BZ52" i="5"/>
  <c r="BZ59" i="5"/>
  <c r="BZ66" i="5"/>
  <c r="BY10" i="5"/>
  <c r="BZ17" i="5"/>
  <c r="BZ24" i="5"/>
  <c r="BX8" i="5"/>
  <c r="EA76" i="7"/>
  <c r="EA75" i="7"/>
  <c r="EA74" i="7"/>
  <c r="EA73" i="7"/>
  <c r="EA72" i="7"/>
  <c r="BX3" i="5"/>
  <c r="BW3" i="5"/>
  <c r="BV3" i="5"/>
  <c r="BU3" i="5"/>
  <c r="BT3" i="5"/>
  <c r="A686" i="6"/>
  <c r="A687" i="6"/>
  <c r="A688" i="6"/>
  <c r="A685" i="6"/>
  <c r="A599" i="6"/>
  <c r="A600" i="6"/>
  <c r="A597" i="6"/>
  <c r="A510" i="6"/>
  <c r="A511" i="6"/>
  <c r="A512" i="6"/>
  <c r="A509" i="6"/>
  <c r="A422" i="6"/>
  <c r="A423" i="6"/>
  <c r="A424" i="6"/>
  <c r="A421" i="6"/>
  <c r="A334" i="6"/>
  <c r="A335" i="6"/>
  <c r="A336" i="6"/>
  <c r="A333" i="6"/>
  <c r="A246" i="6"/>
  <c r="A247" i="6"/>
  <c r="A248" i="6"/>
  <c r="A245" i="6"/>
  <c r="A169" i="6"/>
  <c r="A168" i="6"/>
  <c r="A167" i="6"/>
  <c r="A166" i="6"/>
  <c r="A165" i="6"/>
  <c r="A164" i="6"/>
  <c r="A163" i="6"/>
  <c r="A162" i="6"/>
  <c r="A161" i="6"/>
  <c r="A160" i="6"/>
  <c r="A159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YY75" i="1" l="1"/>
  <c r="BX15" i="5"/>
  <c r="ZQ42" i="1"/>
  <c r="ZQ43" i="1" s="1"/>
  <c r="ZQ44" i="1" s="1"/>
  <c r="ZQ45" i="1" s="1"/>
  <c r="ZQ46" i="1" s="1"/>
  <c r="ZQ47" i="1" s="1"/>
  <c r="ZQ48" i="1" s="1"/>
  <c r="ZQ49" i="1" s="1"/>
  <c r="ZQ50" i="1" s="1"/>
  <c r="ZQ51" i="1" s="1"/>
  <c r="ZQ52" i="1" s="1"/>
  <c r="ZQ53" i="1" s="1"/>
  <c r="ZQ54" i="1" s="1"/>
  <c r="ZQ55" i="1" s="1"/>
  <c r="ZQ56" i="1" s="1"/>
  <c r="ZQ57" i="1" s="1"/>
  <c r="ZQ58" i="1" s="1"/>
  <c r="ZQ59" i="1" s="1"/>
  <c r="ZQ60" i="1" s="1"/>
  <c r="ZQ61" i="1" s="1"/>
  <c r="ZQ62" i="1" s="1"/>
  <c r="ZQ63" i="1" s="1"/>
  <c r="ZQ64" i="1" s="1"/>
  <c r="ZQ65" i="1" s="1"/>
  <c r="ZQ66" i="1" s="1"/>
  <c r="ZQ67" i="1" s="1"/>
  <c r="ZQ68" i="1" s="1"/>
  <c r="ZQ69" i="1" s="1"/>
  <c r="ZQ70" i="1" s="1"/>
  <c r="ZQ71" i="1" s="1"/>
  <c r="BZ11" i="5"/>
  <c r="ZH42" i="1"/>
  <c r="ZH43" i="1" s="1"/>
  <c r="ZH44" i="1" s="1"/>
  <c r="ZH45" i="1" s="1"/>
  <c r="ZH46" i="1" s="1"/>
  <c r="ZH47" i="1" s="1"/>
  <c r="ZH48" i="1" s="1"/>
  <c r="ZH49" i="1" s="1"/>
  <c r="ZH50" i="1" s="1"/>
  <c r="ZH51" i="1" s="1"/>
  <c r="ZH52" i="1" s="1"/>
  <c r="ZH53" i="1" s="1"/>
  <c r="ZH54" i="1" s="1"/>
  <c r="ZH55" i="1" s="1"/>
  <c r="ZH56" i="1" s="1"/>
  <c r="ZH57" i="1" s="1"/>
  <c r="ZH58" i="1" s="1"/>
  <c r="ZH59" i="1" s="1"/>
  <c r="ZH60" i="1" s="1"/>
  <c r="ZH61" i="1" s="1"/>
  <c r="ZH62" i="1" s="1"/>
  <c r="ZH63" i="1" s="1"/>
  <c r="ZH64" i="1" s="1"/>
  <c r="ZH65" i="1" s="1"/>
  <c r="ZH66" i="1" s="1"/>
  <c r="ZH67" i="1" s="1"/>
  <c r="ZH68" i="1" s="1"/>
  <c r="ZH69" i="1" s="1"/>
  <c r="ZH70" i="1" s="1"/>
  <c r="ZH71" i="1" s="1"/>
  <c r="ZH75" i="1" s="1"/>
  <c r="BY11" i="5"/>
  <c r="YP42" i="1"/>
  <c r="YP43" i="1" s="1"/>
  <c r="YP44" i="1" s="1"/>
  <c r="YP45" i="1" s="1"/>
  <c r="YP46" i="1" s="1"/>
  <c r="YP47" i="1" s="1"/>
  <c r="YP48" i="1" s="1"/>
  <c r="YP49" i="1" s="1"/>
  <c r="YP50" i="1" s="1"/>
  <c r="YP51" i="1" s="1"/>
  <c r="YP52" i="1" s="1"/>
  <c r="YP53" i="1" s="1"/>
  <c r="YP54" i="1" s="1"/>
  <c r="YP55" i="1" s="1"/>
  <c r="YP56" i="1" s="1"/>
  <c r="YP57" i="1" s="1"/>
  <c r="YP58" i="1" s="1"/>
  <c r="YP59" i="1" s="1"/>
  <c r="YP60" i="1" s="1"/>
  <c r="YP61" i="1" s="1"/>
  <c r="YP62" i="1" s="1"/>
  <c r="YP63" i="1" s="1"/>
  <c r="YP64" i="1" s="1"/>
  <c r="YP65" i="1" s="1"/>
  <c r="YP66" i="1" s="1"/>
  <c r="YP67" i="1" s="1"/>
  <c r="YP68" i="1" s="1"/>
  <c r="YP69" i="1" s="1"/>
  <c r="YP70" i="1" s="1"/>
  <c r="YP71" i="1" s="1"/>
  <c r="BW11" i="5"/>
  <c r="YG42" i="1"/>
  <c r="YG43" i="1" s="1"/>
  <c r="YG44" i="1" s="1"/>
  <c r="YG45" i="1" s="1"/>
  <c r="YG46" i="1" s="1"/>
  <c r="YG47" i="1" s="1"/>
  <c r="YG48" i="1" s="1"/>
  <c r="YG49" i="1" s="1"/>
  <c r="YG50" i="1" s="1"/>
  <c r="YG51" i="1" s="1"/>
  <c r="YG52" i="1" s="1"/>
  <c r="YG53" i="1" s="1"/>
  <c r="YG54" i="1" s="1"/>
  <c r="YG55" i="1" s="1"/>
  <c r="YG56" i="1" s="1"/>
  <c r="YG57" i="1" s="1"/>
  <c r="YG58" i="1" s="1"/>
  <c r="YG59" i="1" s="1"/>
  <c r="YG60" i="1" s="1"/>
  <c r="YG61" i="1" s="1"/>
  <c r="YG62" i="1" s="1"/>
  <c r="YG63" i="1" s="1"/>
  <c r="YG64" i="1" s="1"/>
  <c r="YG65" i="1" s="1"/>
  <c r="YG66" i="1" s="1"/>
  <c r="YG67" i="1" s="1"/>
  <c r="YG68" i="1" s="1"/>
  <c r="YG69" i="1" s="1"/>
  <c r="YG70" i="1" s="1"/>
  <c r="YG71" i="1" s="1"/>
  <c r="BV11" i="5"/>
  <c r="XX42" i="1"/>
  <c r="XX43" i="1" s="1"/>
  <c r="XX44" i="1" s="1"/>
  <c r="XX45" i="1" s="1"/>
  <c r="XX46" i="1" s="1"/>
  <c r="XX47" i="1" s="1"/>
  <c r="XX48" i="1" s="1"/>
  <c r="XX49" i="1" s="1"/>
  <c r="XX50" i="1" s="1"/>
  <c r="XX51" i="1" s="1"/>
  <c r="XX52" i="1" s="1"/>
  <c r="XX53" i="1" s="1"/>
  <c r="XX54" i="1" s="1"/>
  <c r="XX55" i="1" s="1"/>
  <c r="XX56" i="1" s="1"/>
  <c r="XX57" i="1" s="1"/>
  <c r="XX58" i="1" s="1"/>
  <c r="XX59" i="1" s="1"/>
  <c r="XX60" i="1" s="1"/>
  <c r="XX61" i="1" s="1"/>
  <c r="XX62" i="1" s="1"/>
  <c r="XX63" i="1" s="1"/>
  <c r="XX64" i="1" s="1"/>
  <c r="XX65" i="1" s="1"/>
  <c r="XX66" i="1" s="1"/>
  <c r="XX67" i="1" s="1"/>
  <c r="XX68" i="1" s="1"/>
  <c r="XX69" i="1" s="1"/>
  <c r="XX70" i="1" s="1"/>
  <c r="XX71" i="1" s="1"/>
  <c r="BU11" i="5"/>
  <c r="XO42" i="1"/>
  <c r="XO43" i="1" s="1"/>
  <c r="XO44" i="1" s="1"/>
  <c r="XO45" i="1" s="1"/>
  <c r="XO46" i="1" s="1"/>
  <c r="XO47" i="1" s="1"/>
  <c r="XO48" i="1" s="1"/>
  <c r="XO49" i="1" s="1"/>
  <c r="XO50" i="1" s="1"/>
  <c r="XO51" i="1" s="1"/>
  <c r="XO52" i="1" s="1"/>
  <c r="XO53" i="1" s="1"/>
  <c r="XO54" i="1" s="1"/>
  <c r="XO55" i="1" s="1"/>
  <c r="XO56" i="1" s="1"/>
  <c r="XO57" i="1" s="1"/>
  <c r="XO58" i="1" s="1"/>
  <c r="XO59" i="1" s="1"/>
  <c r="XO60" i="1" s="1"/>
  <c r="XO61" i="1" s="1"/>
  <c r="XO62" i="1" s="1"/>
  <c r="XO63" i="1" s="1"/>
  <c r="XO64" i="1" s="1"/>
  <c r="XO65" i="1" s="1"/>
  <c r="XO66" i="1" s="1"/>
  <c r="XO67" i="1" s="1"/>
  <c r="XO68" i="1" s="1"/>
  <c r="XO69" i="1" s="1"/>
  <c r="XO70" i="1" s="1"/>
  <c r="XO71" i="1" s="1"/>
  <c r="BT11" i="5"/>
  <c r="B77" i="17"/>
  <c r="B77" i="18"/>
  <c r="B79" i="17"/>
  <c r="B79" i="18"/>
  <c r="B78" i="17"/>
  <c r="B78" i="18"/>
  <c r="B85" i="18"/>
  <c r="B84" i="18"/>
  <c r="B83" i="17"/>
  <c r="B80" i="17"/>
  <c r="B80" i="18"/>
  <c r="B81" i="17"/>
  <c r="B81" i="18"/>
  <c r="BP3" i="5"/>
  <c r="BP80" i="5"/>
  <c r="BP73" i="5"/>
  <c r="BP66" i="5"/>
  <c r="BP59" i="5"/>
  <c r="BP52" i="5"/>
  <c r="BP45" i="5"/>
  <c r="BP38" i="5"/>
  <c r="BP31" i="5"/>
  <c r="BP24" i="5"/>
  <c r="BP17" i="5"/>
  <c r="BP10" i="5"/>
  <c r="BQ3" i="5"/>
  <c r="BQ24" i="5"/>
  <c r="BQ66" i="5"/>
  <c r="BQ38" i="5"/>
  <c r="BQ52" i="5"/>
  <c r="BQ80" i="5"/>
  <c r="BQ17" i="5"/>
  <c r="BQ31" i="5"/>
  <c r="BQ59" i="5"/>
  <c r="BQ73" i="5"/>
  <c r="BQ45" i="5"/>
  <c r="BQ10" i="5"/>
  <c r="BR3" i="5"/>
  <c r="BR24" i="5"/>
  <c r="BR52" i="5"/>
  <c r="BR73" i="5"/>
  <c r="BR59" i="5"/>
  <c r="BR80" i="5"/>
  <c r="BR17" i="5"/>
  <c r="BR45" i="5"/>
  <c r="BR66" i="5"/>
  <c r="BR38" i="5"/>
  <c r="BR31" i="5"/>
  <c r="BR10" i="5"/>
  <c r="BS3" i="5"/>
  <c r="BS17" i="5"/>
  <c r="BS38" i="5"/>
  <c r="BS59" i="5"/>
  <c r="BS80" i="5"/>
  <c r="BS10" i="5"/>
  <c r="BS24" i="5"/>
  <c r="BS66" i="5"/>
  <c r="BS45" i="5"/>
  <c r="BS31" i="5"/>
  <c r="BS73" i="5"/>
  <c r="BS52" i="5"/>
  <c r="BO3" i="5"/>
  <c r="B70" i="18" s="1"/>
  <c r="BO73" i="5"/>
  <c r="BO38" i="5"/>
  <c r="BO17" i="5"/>
  <c r="BO52" i="5"/>
  <c r="BO10" i="5"/>
  <c r="BO31" i="5"/>
  <c r="BO66" i="5"/>
  <c r="BO80" i="5"/>
  <c r="BO45" i="5"/>
  <c r="BO24" i="5"/>
  <c r="BO59" i="5"/>
  <c r="B70" i="17"/>
  <c r="EA65" i="7"/>
  <c r="XD427" i="1"/>
  <c r="BS83" i="5" s="1"/>
  <c r="XB427" i="1"/>
  <c r="BS82" i="5" s="1"/>
  <c r="XD391" i="1"/>
  <c r="BS76" i="5" s="1"/>
  <c r="XB391" i="1"/>
  <c r="BS75" i="5" s="1"/>
  <c r="XD356" i="1"/>
  <c r="BS69" i="5" s="1"/>
  <c r="XB356" i="1"/>
  <c r="BS68" i="5" s="1"/>
  <c r="XD320" i="1"/>
  <c r="BS62" i="5" s="1"/>
  <c r="XB320" i="1"/>
  <c r="BS61" i="5" s="1"/>
  <c r="XD285" i="1"/>
  <c r="BS55" i="5" s="1"/>
  <c r="XB285" i="1"/>
  <c r="BS54" i="5" s="1"/>
  <c r="XD249" i="1"/>
  <c r="BS48" i="5" s="1"/>
  <c r="XB249" i="1"/>
  <c r="BS47" i="5" s="1"/>
  <c r="XD213" i="1"/>
  <c r="BS41" i="5" s="1"/>
  <c r="XB213" i="1"/>
  <c r="BS40" i="5" s="1"/>
  <c r="XD178" i="1"/>
  <c r="BS34" i="5" s="1"/>
  <c r="XB178" i="1"/>
  <c r="BS33" i="5" s="1"/>
  <c r="BS27" i="5"/>
  <c r="XB142" i="1"/>
  <c r="BS26" i="5" s="1"/>
  <c r="XD107" i="1"/>
  <c r="BS20" i="5" s="1"/>
  <c r="XB107" i="1"/>
  <c r="BS19" i="5" s="1"/>
  <c r="XD71" i="1"/>
  <c r="BS13" i="5" s="1"/>
  <c r="XB71" i="1"/>
  <c r="BS12" i="5" s="1"/>
  <c r="XD37" i="1"/>
  <c r="BS6" i="5" s="1"/>
  <c r="XB37" i="1"/>
  <c r="BS5" i="5" s="1"/>
  <c r="XF6" i="1"/>
  <c r="XF7" i="1" s="1"/>
  <c r="XF8" i="1" s="1"/>
  <c r="XF9" i="1" s="1"/>
  <c r="XF10" i="1" s="1"/>
  <c r="XF11" i="1" s="1"/>
  <c r="XF12" i="1" s="1"/>
  <c r="XF13" i="1" s="1"/>
  <c r="XF14" i="1" s="1"/>
  <c r="XF15" i="1" s="1"/>
  <c r="XF16" i="1" s="1"/>
  <c r="XF17" i="1" s="1"/>
  <c r="XF18" i="1" s="1"/>
  <c r="XF19" i="1" s="1"/>
  <c r="XF20" i="1" s="1"/>
  <c r="XF21" i="1" s="1"/>
  <c r="XF22" i="1" s="1"/>
  <c r="XF23" i="1" s="1"/>
  <c r="XF24" i="1" s="1"/>
  <c r="XF25" i="1" s="1"/>
  <c r="XF26" i="1" s="1"/>
  <c r="XF27" i="1" s="1"/>
  <c r="XF28" i="1" s="1"/>
  <c r="XF29" i="1" s="1"/>
  <c r="XF30" i="1" s="1"/>
  <c r="XF31" i="1" s="1"/>
  <c r="XF32" i="1" s="1"/>
  <c r="XF33" i="1" s="1"/>
  <c r="XF34" i="1" s="1"/>
  <c r="XF35" i="1" s="1"/>
  <c r="XF36" i="1" s="1"/>
  <c r="XF37" i="1" s="1"/>
  <c r="WU427" i="1"/>
  <c r="BR83" i="5" s="1"/>
  <c r="WS427" i="1"/>
  <c r="BR82" i="5" s="1"/>
  <c r="WU391" i="1"/>
  <c r="BR76" i="5" s="1"/>
  <c r="WS391" i="1"/>
  <c r="BR75" i="5" s="1"/>
  <c r="WU356" i="1"/>
  <c r="BR69" i="5" s="1"/>
  <c r="WS356" i="1"/>
  <c r="BR68" i="5" s="1"/>
  <c r="WU320" i="1"/>
  <c r="BR62" i="5" s="1"/>
  <c r="WS320" i="1"/>
  <c r="BR61" i="5" s="1"/>
  <c r="WU285" i="1"/>
  <c r="BR55" i="5" s="1"/>
  <c r="WS285" i="1"/>
  <c r="BR54" i="5" s="1"/>
  <c r="WU249" i="1"/>
  <c r="BR48" i="5" s="1"/>
  <c r="WS249" i="1"/>
  <c r="BR47" i="5" s="1"/>
  <c r="WU213" i="1"/>
  <c r="BR41" i="5" s="1"/>
  <c r="WS213" i="1"/>
  <c r="BR40" i="5" s="1"/>
  <c r="WU178" i="1"/>
  <c r="BR34" i="5" s="1"/>
  <c r="WS178" i="1"/>
  <c r="BR33" i="5" s="1"/>
  <c r="BR27" i="5"/>
  <c r="WS142" i="1"/>
  <c r="BR26" i="5" s="1"/>
  <c r="WU107" i="1"/>
  <c r="BR20" i="5" s="1"/>
  <c r="WS107" i="1"/>
  <c r="BR19" i="5" s="1"/>
  <c r="WU71" i="1"/>
  <c r="BR13" i="5" s="1"/>
  <c r="WS71" i="1"/>
  <c r="BR12" i="5" s="1"/>
  <c r="WU37" i="1"/>
  <c r="BR6" i="5" s="1"/>
  <c r="WS37" i="1"/>
  <c r="BR5" i="5" s="1"/>
  <c r="WW6" i="1"/>
  <c r="WW7" i="1" s="1"/>
  <c r="WW8" i="1" s="1"/>
  <c r="WW9" i="1" s="1"/>
  <c r="WW10" i="1" s="1"/>
  <c r="WW11" i="1" s="1"/>
  <c r="WW12" i="1" s="1"/>
  <c r="WW13" i="1" s="1"/>
  <c r="WW14" i="1" s="1"/>
  <c r="WW15" i="1" s="1"/>
  <c r="WW16" i="1" s="1"/>
  <c r="WW17" i="1" s="1"/>
  <c r="WW18" i="1" s="1"/>
  <c r="WW19" i="1" s="1"/>
  <c r="WW20" i="1" s="1"/>
  <c r="WW21" i="1" s="1"/>
  <c r="WW22" i="1" s="1"/>
  <c r="WW23" i="1" s="1"/>
  <c r="WW24" i="1" s="1"/>
  <c r="WW25" i="1" s="1"/>
  <c r="WW26" i="1" s="1"/>
  <c r="WW27" i="1" s="1"/>
  <c r="WW28" i="1" s="1"/>
  <c r="WW29" i="1" s="1"/>
  <c r="WW30" i="1" s="1"/>
  <c r="WW31" i="1" s="1"/>
  <c r="WW32" i="1" s="1"/>
  <c r="WW33" i="1" s="1"/>
  <c r="WW34" i="1" s="1"/>
  <c r="WW35" i="1" s="1"/>
  <c r="WW36" i="1" s="1"/>
  <c r="WW37" i="1" s="1"/>
  <c r="WL427" i="1"/>
  <c r="BQ83" i="5" s="1"/>
  <c r="WJ427" i="1"/>
  <c r="BQ82" i="5" s="1"/>
  <c r="WL391" i="1"/>
  <c r="BQ76" i="5" s="1"/>
  <c r="WJ391" i="1"/>
  <c r="BQ75" i="5" s="1"/>
  <c r="WL356" i="1"/>
  <c r="BQ69" i="5" s="1"/>
  <c r="WJ356" i="1"/>
  <c r="BQ68" i="5" s="1"/>
  <c r="WL320" i="1"/>
  <c r="BQ62" i="5" s="1"/>
  <c r="WJ320" i="1"/>
  <c r="BQ61" i="5" s="1"/>
  <c r="WL285" i="1"/>
  <c r="BQ55" i="5" s="1"/>
  <c r="WJ285" i="1"/>
  <c r="BQ54" i="5" s="1"/>
  <c r="WL249" i="1"/>
  <c r="BQ48" i="5" s="1"/>
  <c r="WJ249" i="1"/>
  <c r="BQ47" i="5" s="1"/>
  <c r="WL213" i="1"/>
  <c r="BQ41" i="5" s="1"/>
  <c r="WJ213" i="1"/>
  <c r="BQ40" i="5" s="1"/>
  <c r="WL178" i="1"/>
  <c r="BQ34" i="5" s="1"/>
  <c r="WJ178" i="1"/>
  <c r="BQ33" i="5" s="1"/>
  <c r="BQ27" i="5"/>
  <c r="WJ142" i="1"/>
  <c r="BQ26" i="5" s="1"/>
  <c r="WL107" i="1"/>
  <c r="BQ20" i="5" s="1"/>
  <c r="WJ107" i="1"/>
  <c r="BQ19" i="5" s="1"/>
  <c r="WL71" i="1"/>
  <c r="BQ13" i="5" s="1"/>
  <c r="WJ71" i="1"/>
  <c r="BQ12" i="5" s="1"/>
  <c r="WL37" i="1"/>
  <c r="BQ6" i="5" s="1"/>
  <c r="WJ37" i="1"/>
  <c r="BQ5" i="5" s="1"/>
  <c r="WN6" i="1"/>
  <c r="WN7" i="1" s="1"/>
  <c r="WN8" i="1" s="1"/>
  <c r="WN9" i="1" s="1"/>
  <c r="WN10" i="1" s="1"/>
  <c r="WN11" i="1" s="1"/>
  <c r="WN12" i="1" s="1"/>
  <c r="WN13" i="1" s="1"/>
  <c r="WN14" i="1" s="1"/>
  <c r="WN15" i="1" s="1"/>
  <c r="WN16" i="1" s="1"/>
  <c r="WN17" i="1" s="1"/>
  <c r="WN18" i="1" s="1"/>
  <c r="WN19" i="1" s="1"/>
  <c r="WN20" i="1" s="1"/>
  <c r="WN21" i="1" s="1"/>
  <c r="WN22" i="1" s="1"/>
  <c r="WN23" i="1" s="1"/>
  <c r="WN24" i="1" s="1"/>
  <c r="WN25" i="1" s="1"/>
  <c r="WN26" i="1" s="1"/>
  <c r="WN27" i="1" s="1"/>
  <c r="WN28" i="1" s="1"/>
  <c r="WN29" i="1" s="1"/>
  <c r="WN30" i="1" s="1"/>
  <c r="WN31" i="1" s="1"/>
  <c r="WN32" i="1" s="1"/>
  <c r="WN33" i="1" s="1"/>
  <c r="WN34" i="1" s="1"/>
  <c r="WN35" i="1" s="1"/>
  <c r="WN36" i="1" s="1"/>
  <c r="WN37" i="1" s="1"/>
  <c r="WC427" i="1"/>
  <c r="BP83" i="5" s="1"/>
  <c r="WA427" i="1"/>
  <c r="BP82" i="5" s="1"/>
  <c r="WC391" i="1"/>
  <c r="BP76" i="5" s="1"/>
  <c r="WA391" i="1"/>
  <c r="BP75" i="5" s="1"/>
  <c r="WC356" i="1"/>
  <c r="BP69" i="5" s="1"/>
  <c r="WA356" i="1"/>
  <c r="BP68" i="5" s="1"/>
  <c r="WC320" i="1"/>
  <c r="BP62" i="5" s="1"/>
  <c r="WA320" i="1"/>
  <c r="BP61" i="5" s="1"/>
  <c r="WC285" i="1"/>
  <c r="BP55" i="5" s="1"/>
  <c r="WA285" i="1"/>
  <c r="BP54" i="5" s="1"/>
  <c r="WC249" i="1"/>
  <c r="BP48" i="5" s="1"/>
  <c r="WA249" i="1"/>
  <c r="BP47" i="5" s="1"/>
  <c r="WC213" i="1"/>
  <c r="BP41" i="5" s="1"/>
  <c r="WA213" i="1"/>
  <c r="BP40" i="5" s="1"/>
  <c r="WC178" i="1"/>
  <c r="BP34" i="5" s="1"/>
  <c r="WA178" i="1"/>
  <c r="BP33" i="5" s="1"/>
  <c r="WC142" i="1"/>
  <c r="BP27" i="5" s="1"/>
  <c r="WA142" i="1"/>
  <c r="BP26" i="5" s="1"/>
  <c r="WC107" i="1"/>
  <c r="BP20" i="5" s="1"/>
  <c r="WA107" i="1"/>
  <c r="BP19" i="5" s="1"/>
  <c r="WC71" i="1"/>
  <c r="BP13" i="5" s="1"/>
  <c r="WA71" i="1"/>
  <c r="BP12" i="5" s="1"/>
  <c r="WC37" i="1"/>
  <c r="BP6" i="5" s="1"/>
  <c r="WA37" i="1"/>
  <c r="BP5" i="5" s="1"/>
  <c r="WE6" i="1"/>
  <c r="WE7" i="1" s="1"/>
  <c r="WE8" i="1" s="1"/>
  <c r="WE9" i="1" s="1"/>
  <c r="WE10" i="1" s="1"/>
  <c r="WE11" i="1" s="1"/>
  <c r="WE12" i="1" s="1"/>
  <c r="WE13" i="1" s="1"/>
  <c r="WE14" i="1" s="1"/>
  <c r="WE15" i="1" s="1"/>
  <c r="WE16" i="1" s="1"/>
  <c r="WE17" i="1" s="1"/>
  <c r="WE18" i="1" s="1"/>
  <c r="WE19" i="1" s="1"/>
  <c r="WE20" i="1" s="1"/>
  <c r="WE21" i="1" s="1"/>
  <c r="WE22" i="1" s="1"/>
  <c r="WE23" i="1" s="1"/>
  <c r="WE24" i="1" s="1"/>
  <c r="WE25" i="1" s="1"/>
  <c r="WE26" i="1" s="1"/>
  <c r="WE27" i="1" s="1"/>
  <c r="WE28" i="1" s="1"/>
  <c r="WE29" i="1" s="1"/>
  <c r="WE30" i="1" s="1"/>
  <c r="WE31" i="1" s="1"/>
  <c r="WE32" i="1" s="1"/>
  <c r="WE33" i="1" s="1"/>
  <c r="WE34" i="1" s="1"/>
  <c r="WE35" i="1" s="1"/>
  <c r="WE36" i="1" s="1"/>
  <c r="WE37" i="1" s="1"/>
  <c r="WZ2" i="1"/>
  <c r="WQ2" i="1"/>
  <c r="WH2" i="1"/>
  <c r="VY2" i="1"/>
  <c r="VP2" i="1"/>
  <c r="EA71" i="7"/>
  <c r="EA70" i="7"/>
  <c r="EA69" i="7"/>
  <c r="EA68" i="7"/>
  <c r="EA67" i="7"/>
  <c r="EA66" i="7"/>
  <c r="EA64" i="7"/>
  <c r="EA63" i="7"/>
  <c r="EA62" i="7"/>
  <c r="SD2" i="1" s="1"/>
  <c r="EA61" i="7"/>
  <c r="RU2" i="1" s="1"/>
  <c r="EA60" i="7"/>
  <c r="RL2" i="1" s="1"/>
  <c r="EA59" i="7"/>
  <c r="RC2" i="1" s="1"/>
  <c r="EA58" i="7"/>
  <c r="QT2" i="1" s="1"/>
  <c r="IX71" i="7"/>
  <c r="IW71" i="7"/>
  <c r="IV71" i="7"/>
  <c r="IU71" i="7"/>
  <c r="IT71" i="7"/>
  <c r="IS71" i="7"/>
  <c r="IR71" i="7"/>
  <c r="IQ71" i="7"/>
  <c r="IP71" i="7"/>
  <c r="IO71" i="7"/>
  <c r="IN71" i="7"/>
  <c r="IM71" i="7"/>
  <c r="IL71" i="7"/>
  <c r="IH71" i="7"/>
  <c r="IG71" i="7"/>
  <c r="IF71" i="7"/>
  <c r="IE71" i="7"/>
  <c r="ID71" i="7"/>
  <c r="IC71" i="7"/>
  <c r="IB71" i="7"/>
  <c r="IA71" i="7"/>
  <c r="HZ71" i="7"/>
  <c r="HY71" i="7"/>
  <c r="HX71" i="7"/>
  <c r="HW71" i="7"/>
  <c r="HV71" i="7"/>
  <c r="HR71" i="7"/>
  <c r="HQ71" i="7"/>
  <c r="HP71" i="7"/>
  <c r="HO71" i="7"/>
  <c r="HN71" i="7"/>
  <c r="HM71" i="7"/>
  <c r="HL71" i="7"/>
  <c r="HK71" i="7"/>
  <c r="HJ71" i="7"/>
  <c r="HI71" i="7"/>
  <c r="HH71" i="7"/>
  <c r="HG71" i="7"/>
  <c r="HF71" i="7"/>
  <c r="IX70" i="7"/>
  <c r="IW70" i="7"/>
  <c r="IV70" i="7"/>
  <c r="IU70" i="7"/>
  <c r="IT70" i="7"/>
  <c r="IS70" i="7"/>
  <c r="IR70" i="7"/>
  <c r="IQ70" i="7"/>
  <c r="IP70" i="7"/>
  <c r="IO70" i="7"/>
  <c r="IN70" i="7"/>
  <c r="IM70" i="7"/>
  <c r="IL70" i="7"/>
  <c r="IH70" i="7"/>
  <c r="IG70" i="7"/>
  <c r="IF70" i="7"/>
  <c r="IE70" i="7"/>
  <c r="ID70" i="7"/>
  <c r="IC70" i="7"/>
  <c r="IB70" i="7"/>
  <c r="IA70" i="7"/>
  <c r="HZ70" i="7"/>
  <c r="HY70" i="7"/>
  <c r="HX70" i="7"/>
  <c r="HW70" i="7"/>
  <c r="HV70" i="7"/>
  <c r="HR70" i="7"/>
  <c r="HQ70" i="7"/>
  <c r="HP70" i="7"/>
  <c r="HO70" i="7"/>
  <c r="HN70" i="7"/>
  <c r="HM70" i="7"/>
  <c r="HL70" i="7"/>
  <c r="HK70" i="7"/>
  <c r="HJ70" i="7"/>
  <c r="HI70" i="7"/>
  <c r="HH70" i="7"/>
  <c r="HG70" i="7"/>
  <c r="HF70" i="7"/>
  <c r="IX69" i="7"/>
  <c r="IW69" i="7"/>
  <c r="IV69" i="7"/>
  <c r="IU69" i="7"/>
  <c r="IT69" i="7"/>
  <c r="IS69" i="7"/>
  <c r="IR69" i="7"/>
  <c r="IQ69" i="7"/>
  <c r="IP69" i="7"/>
  <c r="IO69" i="7"/>
  <c r="IN69" i="7"/>
  <c r="IM69" i="7"/>
  <c r="IL69" i="7"/>
  <c r="IK69" i="7"/>
  <c r="IJ69" i="7"/>
  <c r="IH69" i="7"/>
  <c r="IG69" i="7"/>
  <c r="IF69" i="7"/>
  <c r="IE69" i="7"/>
  <c r="ID69" i="7"/>
  <c r="IC69" i="7"/>
  <c r="IB69" i="7"/>
  <c r="IA69" i="7"/>
  <c r="HZ69" i="7"/>
  <c r="HY69" i="7"/>
  <c r="HX69" i="7"/>
  <c r="HW69" i="7"/>
  <c r="HV69" i="7"/>
  <c r="HU69" i="7"/>
  <c r="HT69" i="7"/>
  <c r="HR69" i="7"/>
  <c r="HQ69" i="7"/>
  <c r="HP69" i="7"/>
  <c r="HO69" i="7"/>
  <c r="HN69" i="7"/>
  <c r="HM69" i="7"/>
  <c r="HL69" i="7"/>
  <c r="HK69" i="7"/>
  <c r="HJ69" i="7"/>
  <c r="HI69" i="7"/>
  <c r="HH69" i="7"/>
  <c r="HG69" i="7"/>
  <c r="HF69" i="7"/>
  <c r="HE69" i="7"/>
  <c r="HD69" i="7"/>
  <c r="HB69" i="7"/>
  <c r="HA69" i="7"/>
  <c r="GZ69" i="7"/>
  <c r="GY69" i="7"/>
  <c r="GX69" i="7"/>
  <c r="GW69" i="7"/>
  <c r="GV69" i="7"/>
  <c r="GU69" i="7"/>
  <c r="GT69" i="7"/>
  <c r="GS69" i="7"/>
  <c r="GR69" i="7"/>
  <c r="GQ69" i="7"/>
  <c r="GP69" i="7"/>
  <c r="GO69" i="7"/>
  <c r="GN69" i="7"/>
  <c r="IX68" i="7"/>
  <c r="IW68" i="7"/>
  <c r="IV68" i="7"/>
  <c r="IU68" i="7"/>
  <c r="IT68" i="7"/>
  <c r="IS68" i="7"/>
  <c r="IR68" i="7"/>
  <c r="IQ68" i="7"/>
  <c r="IP68" i="7"/>
  <c r="IO68" i="7"/>
  <c r="IN68" i="7"/>
  <c r="IM68" i="7"/>
  <c r="IL68" i="7"/>
  <c r="IK68" i="7"/>
  <c r="IJ68" i="7"/>
  <c r="IH68" i="7"/>
  <c r="IG68" i="7"/>
  <c r="IF68" i="7"/>
  <c r="IE68" i="7"/>
  <c r="ID68" i="7"/>
  <c r="IC68" i="7"/>
  <c r="IB68" i="7"/>
  <c r="IA68" i="7"/>
  <c r="HZ68" i="7"/>
  <c r="HY68" i="7"/>
  <c r="HX68" i="7"/>
  <c r="HW68" i="7"/>
  <c r="HV68" i="7"/>
  <c r="HU68" i="7"/>
  <c r="HT68" i="7"/>
  <c r="HR68" i="7"/>
  <c r="HQ68" i="7"/>
  <c r="HP68" i="7"/>
  <c r="HO68" i="7"/>
  <c r="HN68" i="7"/>
  <c r="HM68" i="7"/>
  <c r="HL68" i="7"/>
  <c r="HK68" i="7"/>
  <c r="HJ68" i="7"/>
  <c r="HI68" i="7"/>
  <c r="HH68" i="7"/>
  <c r="HG68" i="7"/>
  <c r="HF68" i="7"/>
  <c r="HE68" i="7"/>
  <c r="HD68" i="7"/>
  <c r="HB68" i="7"/>
  <c r="HA68" i="7"/>
  <c r="GZ68" i="7"/>
  <c r="GY68" i="7"/>
  <c r="GX68" i="7"/>
  <c r="GW68" i="7"/>
  <c r="GV68" i="7"/>
  <c r="GU68" i="7"/>
  <c r="GT68" i="7"/>
  <c r="GS68" i="7"/>
  <c r="GR68" i="7"/>
  <c r="GQ68" i="7"/>
  <c r="GP68" i="7"/>
  <c r="GO68" i="7"/>
  <c r="GN68" i="7"/>
  <c r="IX67" i="7"/>
  <c r="IW67" i="7"/>
  <c r="IV67" i="7"/>
  <c r="IU67" i="7"/>
  <c r="IT67" i="7"/>
  <c r="IS67" i="7"/>
  <c r="IR67" i="7"/>
  <c r="IQ67" i="7"/>
  <c r="IP67" i="7"/>
  <c r="IO67" i="7"/>
  <c r="IN67" i="7"/>
  <c r="IM67" i="7"/>
  <c r="IL67" i="7"/>
  <c r="IK67" i="7"/>
  <c r="IJ67" i="7"/>
  <c r="IH67" i="7"/>
  <c r="IG67" i="7"/>
  <c r="IF67" i="7"/>
  <c r="IE67" i="7"/>
  <c r="ID67" i="7"/>
  <c r="IC67" i="7"/>
  <c r="IB67" i="7"/>
  <c r="IA67" i="7"/>
  <c r="HZ67" i="7"/>
  <c r="HY67" i="7"/>
  <c r="HX67" i="7"/>
  <c r="HW67" i="7"/>
  <c r="HV67" i="7"/>
  <c r="HU67" i="7"/>
  <c r="HT67" i="7"/>
  <c r="HR67" i="7"/>
  <c r="HQ67" i="7"/>
  <c r="HP67" i="7"/>
  <c r="HO67" i="7"/>
  <c r="HN67" i="7"/>
  <c r="HM67" i="7"/>
  <c r="HL67" i="7"/>
  <c r="HK67" i="7"/>
  <c r="HJ67" i="7"/>
  <c r="HI67" i="7"/>
  <c r="HH67" i="7"/>
  <c r="HG67" i="7"/>
  <c r="HF67" i="7"/>
  <c r="HE67" i="7"/>
  <c r="HD67" i="7"/>
  <c r="HB67" i="7"/>
  <c r="HA67" i="7"/>
  <c r="GZ67" i="7"/>
  <c r="GY67" i="7"/>
  <c r="GX67" i="7"/>
  <c r="GW67" i="7"/>
  <c r="GV67" i="7"/>
  <c r="GU67" i="7"/>
  <c r="GT67" i="7"/>
  <c r="GS67" i="7"/>
  <c r="GR67" i="7"/>
  <c r="GQ67" i="7"/>
  <c r="GP67" i="7"/>
  <c r="GO67" i="7"/>
  <c r="GN67" i="7"/>
  <c r="IX66" i="7"/>
  <c r="IW66" i="7"/>
  <c r="IV66" i="7"/>
  <c r="IU66" i="7"/>
  <c r="IT66" i="7"/>
  <c r="IS66" i="7"/>
  <c r="IR66" i="7"/>
  <c r="IQ66" i="7"/>
  <c r="IP66" i="7"/>
  <c r="IO66" i="7"/>
  <c r="IN66" i="7"/>
  <c r="IM66" i="7"/>
  <c r="IL66" i="7"/>
  <c r="IK66" i="7"/>
  <c r="IJ66" i="7"/>
  <c r="IH66" i="7"/>
  <c r="IG66" i="7"/>
  <c r="IF66" i="7"/>
  <c r="IE66" i="7"/>
  <c r="ID66" i="7"/>
  <c r="IC66" i="7"/>
  <c r="IB66" i="7"/>
  <c r="IA66" i="7"/>
  <c r="HZ66" i="7"/>
  <c r="HY66" i="7"/>
  <c r="HX66" i="7"/>
  <c r="HW66" i="7"/>
  <c r="HV66" i="7"/>
  <c r="HU66" i="7"/>
  <c r="HT66" i="7"/>
  <c r="HR66" i="7"/>
  <c r="HQ66" i="7"/>
  <c r="HP66" i="7"/>
  <c r="HO66" i="7"/>
  <c r="HN66" i="7"/>
  <c r="HM66" i="7"/>
  <c r="HL66" i="7"/>
  <c r="HK66" i="7"/>
  <c r="HJ66" i="7"/>
  <c r="HI66" i="7"/>
  <c r="HH66" i="7"/>
  <c r="HG66" i="7"/>
  <c r="HF66" i="7"/>
  <c r="HE66" i="7"/>
  <c r="HD66" i="7"/>
  <c r="HB66" i="7"/>
  <c r="HA66" i="7"/>
  <c r="GZ66" i="7"/>
  <c r="GY66" i="7"/>
  <c r="GX66" i="7"/>
  <c r="GW66" i="7"/>
  <c r="GV66" i="7"/>
  <c r="GU66" i="7"/>
  <c r="GT66" i="7"/>
  <c r="GS66" i="7"/>
  <c r="GR66" i="7"/>
  <c r="GQ66" i="7"/>
  <c r="GP66" i="7"/>
  <c r="GO66" i="7"/>
  <c r="GN66" i="7"/>
  <c r="IX65" i="7"/>
  <c r="IW65" i="7"/>
  <c r="IV65" i="7"/>
  <c r="IU65" i="7"/>
  <c r="IT65" i="7"/>
  <c r="IS65" i="7"/>
  <c r="IR65" i="7"/>
  <c r="IQ65" i="7"/>
  <c r="IP65" i="7"/>
  <c r="IO65" i="7"/>
  <c r="IN65" i="7"/>
  <c r="IM65" i="7"/>
  <c r="IL65" i="7"/>
  <c r="IK65" i="7"/>
  <c r="IJ65" i="7"/>
  <c r="IH65" i="7"/>
  <c r="IG65" i="7"/>
  <c r="IF65" i="7"/>
  <c r="IE65" i="7"/>
  <c r="ID65" i="7"/>
  <c r="IC65" i="7"/>
  <c r="IB65" i="7"/>
  <c r="IA65" i="7"/>
  <c r="HZ65" i="7"/>
  <c r="HY65" i="7"/>
  <c r="HX65" i="7"/>
  <c r="HW65" i="7"/>
  <c r="HV65" i="7"/>
  <c r="HU65" i="7"/>
  <c r="HT65" i="7"/>
  <c r="HR65" i="7"/>
  <c r="HQ65" i="7"/>
  <c r="HP65" i="7"/>
  <c r="HO65" i="7"/>
  <c r="HN65" i="7"/>
  <c r="HM65" i="7"/>
  <c r="HL65" i="7"/>
  <c r="HK65" i="7"/>
  <c r="HJ65" i="7"/>
  <c r="HI65" i="7"/>
  <c r="HH65" i="7"/>
  <c r="HG65" i="7"/>
  <c r="HF65" i="7"/>
  <c r="HE65" i="7"/>
  <c r="HD65" i="7"/>
  <c r="HB65" i="7"/>
  <c r="HA65" i="7"/>
  <c r="GZ65" i="7"/>
  <c r="GY65" i="7"/>
  <c r="GX65" i="7"/>
  <c r="GW65" i="7"/>
  <c r="GV65" i="7"/>
  <c r="GU65" i="7"/>
  <c r="GT65" i="7"/>
  <c r="GS65" i="7"/>
  <c r="GR65" i="7"/>
  <c r="GQ65" i="7"/>
  <c r="GP65" i="7"/>
  <c r="GO65" i="7"/>
  <c r="GN65" i="7"/>
  <c r="IX64" i="7"/>
  <c r="IW64" i="7"/>
  <c r="IV64" i="7"/>
  <c r="IU64" i="7"/>
  <c r="IT64" i="7"/>
  <c r="IS64" i="7"/>
  <c r="IR64" i="7"/>
  <c r="IQ64" i="7"/>
  <c r="IP64" i="7"/>
  <c r="IO64" i="7"/>
  <c r="IN64" i="7"/>
  <c r="IM64" i="7"/>
  <c r="IL64" i="7"/>
  <c r="IK64" i="7"/>
  <c r="IJ64" i="7"/>
  <c r="IH64" i="7"/>
  <c r="IG64" i="7"/>
  <c r="IF64" i="7"/>
  <c r="IE64" i="7"/>
  <c r="ID64" i="7"/>
  <c r="IC64" i="7"/>
  <c r="IB64" i="7"/>
  <c r="IA64" i="7"/>
  <c r="HZ64" i="7"/>
  <c r="HY64" i="7"/>
  <c r="HX64" i="7"/>
  <c r="HW64" i="7"/>
  <c r="HV64" i="7"/>
  <c r="HU64" i="7"/>
  <c r="HT64" i="7"/>
  <c r="HR64" i="7"/>
  <c r="HQ64" i="7"/>
  <c r="HP64" i="7"/>
  <c r="HO64" i="7"/>
  <c r="HN64" i="7"/>
  <c r="HM64" i="7"/>
  <c r="HL64" i="7"/>
  <c r="HK64" i="7"/>
  <c r="HJ64" i="7"/>
  <c r="HI64" i="7"/>
  <c r="HH64" i="7"/>
  <c r="HG64" i="7"/>
  <c r="HF64" i="7"/>
  <c r="HE64" i="7"/>
  <c r="HD64" i="7"/>
  <c r="HB64" i="7"/>
  <c r="HA64" i="7"/>
  <c r="GZ64" i="7"/>
  <c r="GY64" i="7"/>
  <c r="GX64" i="7"/>
  <c r="GW64" i="7"/>
  <c r="GV64" i="7"/>
  <c r="GU64" i="7"/>
  <c r="GT64" i="7"/>
  <c r="GS64" i="7"/>
  <c r="GR64" i="7"/>
  <c r="GQ64" i="7"/>
  <c r="GP64" i="7"/>
  <c r="GO64" i="7"/>
  <c r="GN64" i="7"/>
  <c r="IX63" i="7"/>
  <c r="IW63" i="7"/>
  <c r="IV63" i="7"/>
  <c r="IU63" i="7"/>
  <c r="IT63" i="7"/>
  <c r="IS63" i="7"/>
  <c r="IR63" i="7"/>
  <c r="IQ63" i="7"/>
  <c r="IP63" i="7"/>
  <c r="IO63" i="7"/>
  <c r="IN63" i="7"/>
  <c r="IM63" i="7"/>
  <c r="IL63" i="7"/>
  <c r="IK63" i="7"/>
  <c r="IJ63" i="7"/>
  <c r="IH63" i="7"/>
  <c r="IG63" i="7"/>
  <c r="IF63" i="7"/>
  <c r="IE63" i="7"/>
  <c r="ID63" i="7"/>
  <c r="IC63" i="7"/>
  <c r="IB63" i="7"/>
  <c r="IA63" i="7"/>
  <c r="HZ63" i="7"/>
  <c r="HY63" i="7"/>
  <c r="HX63" i="7"/>
  <c r="HW63" i="7"/>
  <c r="HV63" i="7"/>
  <c r="HU63" i="7"/>
  <c r="HT63" i="7"/>
  <c r="HR63" i="7"/>
  <c r="HQ63" i="7"/>
  <c r="HP63" i="7"/>
  <c r="HO63" i="7"/>
  <c r="HN63" i="7"/>
  <c r="HM63" i="7"/>
  <c r="HL63" i="7"/>
  <c r="HK63" i="7"/>
  <c r="HJ63" i="7"/>
  <c r="HI63" i="7"/>
  <c r="HH63" i="7"/>
  <c r="HG63" i="7"/>
  <c r="HF63" i="7"/>
  <c r="HE63" i="7"/>
  <c r="HD63" i="7"/>
  <c r="HB63" i="7"/>
  <c r="HA63" i="7"/>
  <c r="GZ63" i="7"/>
  <c r="GY63" i="7"/>
  <c r="GX63" i="7"/>
  <c r="GW63" i="7"/>
  <c r="GV63" i="7"/>
  <c r="GU63" i="7"/>
  <c r="GT63" i="7"/>
  <c r="GS63" i="7"/>
  <c r="GR63" i="7"/>
  <c r="GQ63" i="7"/>
  <c r="GP63" i="7"/>
  <c r="GO63" i="7"/>
  <c r="GN63" i="7"/>
  <c r="IX62" i="7"/>
  <c r="IW62" i="7"/>
  <c r="IV62" i="7"/>
  <c r="IU62" i="7"/>
  <c r="IT62" i="7"/>
  <c r="IS62" i="7"/>
  <c r="IR62" i="7"/>
  <c r="IQ62" i="7"/>
  <c r="IP62" i="7"/>
  <c r="IO62" i="7"/>
  <c r="IN62" i="7"/>
  <c r="IM62" i="7"/>
  <c r="IL62" i="7"/>
  <c r="IH62" i="7"/>
  <c r="IG62" i="7"/>
  <c r="IF62" i="7"/>
  <c r="IE62" i="7"/>
  <c r="ID62" i="7"/>
  <c r="IC62" i="7"/>
  <c r="IB62" i="7"/>
  <c r="IA62" i="7"/>
  <c r="HZ62" i="7"/>
  <c r="HY62" i="7"/>
  <c r="HX62" i="7"/>
  <c r="HW62" i="7"/>
  <c r="HV62" i="7"/>
  <c r="HR62" i="7"/>
  <c r="HQ62" i="7"/>
  <c r="HP62" i="7"/>
  <c r="HO62" i="7"/>
  <c r="HN62" i="7"/>
  <c r="HM62" i="7"/>
  <c r="HL62" i="7"/>
  <c r="HK62" i="7"/>
  <c r="HJ62" i="7"/>
  <c r="HI62" i="7"/>
  <c r="HH62" i="7"/>
  <c r="HG62" i="7"/>
  <c r="HF62" i="7"/>
  <c r="NI70" i="1"/>
  <c r="EA49" i="7"/>
  <c r="A590" i="6"/>
  <c r="A678" i="6" s="1"/>
  <c r="A596" i="6"/>
  <c r="A684" i="6" s="1"/>
  <c r="A502" i="6"/>
  <c r="A508" i="6"/>
  <c r="A414" i="6"/>
  <c r="A420" i="6"/>
  <c r="A326" i="6"/>
  <c r="A332" i="6"/>
  <c r="A238" i="6"/>
  <c r="A244" i="6"/>
  <c r="A239" i="6"/>
  <c r="A327" i="6" s="1"/>
  <c r="A415" i="6" s="1"/>
  <c r="A503" i="6" s="1"/>
  <c r="A591" i="6" s="1"/>
  <c r="A679" i="6" s="1"/>
  <c r="A241" i="6"/>
  <c r="A329" i="6" s="1"/>
  <c r="A417" i="6" s="1"/>
  <c r="A505" i="6" s="1"/>
  <c r="A593" i="6" s="1"/>
  <c r="A242" i="6"/>
  <c r="A330" i="6" s="1"/>
  <c r="A418" i="6" s="1"/>
  <c r="A506" i="6" s="1"/>
  <c r="A594" i="6" s="1"/>
  <c r="A682" i="6" s="1"/>
  <c r="A243" i="6"/>
  <c r="A331" i="6" s="1"/>
  <c r="A419" i="6" s="1"/>
  <c r="A507" i="6" s="1"/>
  <c r="A595" i="6" s="1"/>
  <c r="A683" i="6" s="1"/>
  <c r="A224" i="6"/>
  <c r="EA23" i="7"/>
  <c r="EA7" i="7"/>
  <c r="EA8" i="7"/>
  <c r="EA9" i="7"/>
  <c r="EA10" i="7"/>
  <c r="EA11" i="7"/>
  <c r="EA12" i="7"/>
  <c r="EA13" i="7"/>
  <c r="EA14" i="7"/>
  <c r="EA15" i="7"/>
  <c r="EA16" i="7"/>
  <c r="EA17" i="7"/>
  <c r="EA18" i="7"/>
  <c r="EA19" i="7"/>
  <c r="EA20" i="7"/>
  <c r="EA21" i="7"/>
  <c r="EA22" i="7"/>
  <c r="EA24" i="7"/>
  <c r="EA25" i="7"/>
  <c r="EA26" i="7"/>
  <c r="EA27" i="7"/>
  <c r="EA28" i="7"/>
  <c r="EA29" i="7"/>
  <c r="EA30" i="7"/>
  <c r="EA31" i="7"/>
  <c r="EA32" i="7"/>
  <c r="EA33" i="7"/>
  <c r="EA34" i="7"/>
  <c r="EA35" i="7"/>
  <c r="EA36" i="7"/>
  <c r="EA37" i="7"/>
  <c r="EA38" i="7"/>
  <c r="EA39" i="7"/>
  <c r="EA40" i="7"/>
  <c r="EA41" i="7"/>
  <c r="EA42" i="7"/>
  <c r="EA43" i="7"/>
  <c r="EA44" i="7"/>
  <c r="EA45" i="7"/>
  <c r="EA46" i="7"/>
  <c r="EA47" i="7"/>
  <c r="EA48" i="7"/>
  <c r="EA50" i="7"/>
  <c r="EA51" i="7"/>
  <c r="EA52" i="7"/>
  <c r="EA53" i="7"/>
  <c r="EA54" i="7"/>
  <c r="EA55" i="7"/>
  <c r="EA56" i="7"/>
  <c r="EA57" i="7"/>
  <c r="C19" i="6"/>
  <c r="EB20" i="7" s="1"/>
  <c r="E19" i="6"/>
  <c r="G19" i="6"/>
  <c r="I19" i="6"/>
  <c r="K19" i="6"/>
  <c r="M19" i="6"/>
  <c r="O19" i="6"/>
  <c r="Q19" i="6"/>
  <c r="S19" i="6"/>
  <c r="U19" i="6"/>
  <c r="W19" i="6"/>
  <c r="Y19" i="6"/>
  <c r="AA19" i="6"/>
  <c r="AC19" i="6"/>
  <c r="AE19" i="6"/>
  <c r="L397" i="1"/>
  <c r="U397" i="1" s="1"/>
  <c r="AD397" i="1" s="1"/>
  <c r="AM397" i="1" s="1"/>
  <c r="AV397" i="1" s="1"/>
  <c r="BE397" i="1" s="1"/>
  <c r="BN397" i="1" s="1"/>
  <c r="BW397" i="1" s="1"/>
  <c r="CF397" i="1" s="1"/>
  <c r="CO397" i="1" s="1"/>
  <c r="CX397" i="1" s="1"/>
  <c r="DG397" i="1" s="1"/>
  <c r="DP397" i="1" s="1"/>
  <c r="DY397" i="1" s="1"/>
  <c r="EH397" i="1" s="1"/>
  <c r="EQ397" i="1" s="1"/>
  <c r="EZ397" i="1" s="1"/>
  <c r="FI397" i="1" s="1"/>
  <c r="FR397" i="1" s="1"/>
  <c r="GA397" i="1" s="1"/>
  <c r="GJ397" i="1" s="1"/>
  <c r="GS397" i="1" s="1"/>
  <c r="HB397" i="1" s="1"/>
  <c r="HK397" i="1" s="1"/>
  <c r="HU397" i="1" s="1"/>
  <c r="ID397" i="1" s="1"/>
  <c r="IM397" i="1" s="1"/>
  <c r="IV397" i="1" s="1"/>
  <c r="JE397" i="1" s="1"/>
  <c r="JN397" i="1" s="1"/>
  <c r="JW397" i="1" s="1"/>
  <c r="KF397" i="1" s="1"/>
  <c r="KO397" i="1" s="1"/>
  <c r="KX397" i="1" s="1"/>
  <c r="LG397" i="1" s="1"/>
  <c r="LP397" i="1" s="1"/>
  <c r="LY397" i="1" s="1"/>
  <c r="MH397" i="1" s="1"/>
  <c r="MQ397" i="1" s="1"/>
  <c r="MZ397" i="1" s="1"/>
  <c r="L398" i="1"/>
  <c r="U398" i="1" s="1"/>
  <c r="AD398" i="1" s="1"/>
  <c r="AM398" i="1" s="1"/>
  <c r="AV398" i="1" s="1"/>
  <c r="BE398" i="1" s="1"/>
  <c r="BN398" i="1" s="1"/>
  <c r="BW398" i="1" s="1"/>
  <c r="CF398" i="1" s="1"/>
  <c r="CO398" i="1" s="1"/>
  <c r="CX398" i="1" s="1"/>
  <c r="DG398" i="1" s="1"/>
  <c r="DP398" i="1" s="1"/>
  <c r="DY398" i="1" s="1"/>
  <c r="EH398" i="1" s="1"/>
  <c r="EQ398" i="1" s="1"/>
  <c r="EZ398" i="1" s="1"/>
  <c r="FI398" i="1" s="1"/>
  <c r="FR398" i="1" s="1"/>
  <c r="GA398" i="1" s="1"/>
  <c r="GJ398" i="1" s="1"/>
  <c r="GS398" i="1" s="1"/>
  <c r="HB398" i="1" s="1"/>
  <c r="HK398" i="1" s="1"/>
  <c r="HU398" i="1" s="1"/>
  <c r="ID398" i="1" s="1"/>
  <c r="IM398" i="1" s="1"/>
  <c r="IV398" i="1" s="1"/>
  <c r="JE398" i="1" s="1"/>
  <c r="JN398" i="1" s="1"/>
  <c r="JW398" i="1" s="1"/>
  <c r="KF398" i="1" s="1"/>
  <c r="KO398" i="1" s="1"/>
  <c r="KX398" i="1" s="1"/>
  <c r="LG398" i="1" s="1"/>
  <c r="LP398" i="1" s="1"/>
  <c r="LY398" i="1" s="1"/>
  <c r="MH398" i="1" s="1"/>
  <c r="MQ398" i="1" s="1"/>
  <c r="MZ398" i="1" s="1"/>
  <c r="L399" i="1"/>
  <c r="U399" i="1" s="1"/>
  <c r="L400" i="1"/>
  <c r="L401" i="1"/>
  <c r="U401" i="1" s="1"/>
  <c r="L402" i="1"/>
  <c r="U402" i="1" s="1"/>
  <c r="AD402" i="1" s="1"/>
  <c r="AM402" i="1" s="1"/>
  <c r="AV402" i="1" s="1"/>
  <c r="BE402" i="1" s="1"/>
  <c r="BN402" i="1" s="1"/>
  <c r="BW402" i="1" s="1"/>
  <c r="CF402" i="1" s="1"/>
  <c r="CO402" i="1" s="1"/>
  <c r="CX402" i="1" s="1"/>
  <c r="DG402" i="1" s="1"/>
  <c r="DP402" i="1" s="1"/>
  <c r="DY402" i="1" s="1"/>
  <c r="EH402" i="1" s="1"/>
  <c r="EQ402" i="1" s="1"/>
  <c r="EZ402" i="1" s="1"/>
  <c r="FI402" i="1" s="1"/>
  <c r="FR402" i="1" s="1"/>
  <c r="GA402" i="1" s="1"/>
  <c r="GJ402" i="1" s="1"/>
  <c r="GS402" i="1" s="1"/>
  <c r="HB402" i="1" s="1"/>
  <c r="HK402" i="1" s="1"/>
  <c r="HU402" i="1" s="1"/>
  <c r="ID402" i="1" s="1"/>
  <c r="IM402" i="1" s="1"/>
  <c r="IV402" i="1" s="1"/>
  <c r="JE402" i="1" s="1"/>
  <c r="JN402" i="1" s="1"/>
  <c r="JW402" i="1" s="1"/>
  <c r="KF402" i="1" s="1"/>
  <c r="KO402" i="1" s="1"/>
  <c r="KX402" i="1" s="1"/>
  <c r="LG402" i="1" s="1"/>
  <c r="LP402" i="1" s="1"/>
  <c r="LY402" i="1" s="1"/>
  <c r="MH402" i="1" s="1"/>
  <c r="MQ402" i="1" s="1"/>
  <c r="MZ402" i="1" s="1"/>
  <c r="L403" i="1"/>
  <c r="U403" i="1" s="1"/>
  <c r="AD403" i="1" s="1"/>
  <c r="AM403" i="1" s="1"/>
  <c r="AV403" i="1" s="1"/>
  <c r="BE403" i="1" s="1"/>
  <c r="BN403" i="1" s="1"/>
  <c r="BW403" i="1" s="1"/>
  <c r="CF403" i="1" s="1"/>
  <c r="CO403" i="1" s="1"/>
  <c r="CX403" i="1" s="1"/>
  <c r="DG403" i="1" s="1"/>
  <c r="DP403" i="1" s="1"/>
  <c r="DY403" i="1" s="1"/>
  <c r="EH403" i="1" s="1"/>
  <c r="EQ403" i="1" s="1"/>
  <c r="EZ403" i="1" s="1"/>
  <c r="FI403" i="1" s="1"/>
  <c r="FR403" i="1" s="1"/>
  <c r="GA403" i="1" s="1"/>
  <c r="GJ403" i="1" s="1"/>
  <c r="GS403" i="1" s="1"/>
  <c r="HB403" i="1" s="1"/>
  <c r="HK403" i="1" s="1"/>
  <c r="HU403" i="1" s="1"/>
  <c r="ID403" i="1" s="1"/>
  <c r="IM403" i="1" s="1"/>
  <c r="IV403" i="1" s="1"/>
  <c r="JE403" i="1" s="1"/>
  <c r="JN403" i="1" s="1"/>
  <c r="JW403" i="1" s="1"/>
  <c r="KF403" i="1" s="1"/>
  <c r="KO403" i="1" s="1"/>
  <c r="KX403" i="1" s="1"/>
  <c r="LG403" i="1" s="1"/>
  <c r="LP403" i="1" s="1"/>
  <c r="LY403" i="1" s="1"/>
  <c r="MH403" i="1" s="1"/>
  <c r="MQ403" i="1" s="1"/>
  <c r="MZ403" i="1" s="1"/>
  <c r="L404" i="1"/>
  <c r="L405" i="1"/>
  <c r="U405" i="1" s="1"/>
  <c r="AD405" i="1" s="1"/>
  <c r="AM405" i="1" s="1"/>
  <c r="AV405" i="1" s="1"/>
  <c r="BE405" i="1" s="1"/>
  <c r="BN405" i="1" s="1"/>
  <c r="BW405" i="1" s="1"/>
  <c r="CF405" i="1" s="1"/>
  <c r="CO405" i="1" s="1"/>
  <c r="CX405" i="1" s="1"/>
  <c r="DG405" i="1" s="1"/>
  <c r="DP405" i="1" s="1"/>
  <c r="DY405" i="1" s="1"/>
  <c r="EH405" i="1" s="1"/>
  <c r="EQ405" i="1" s="1"/>
  <c r="EZ405" i="1" s="1"/>
  <c r="FI405" i="1" s="1"/>
  <c r="FR405" i="1" s="1"/>
  <c r="GA405" i="1" s="1"/>
  <c r="GJ405" i="1" s="1"/>
  <c r="GS405" i="1" s="1"/>
  <c r="HB405" i="1" s="1"/>
  <c r="HK405" i="1" s="1"/>
  <c r="HU405" i="1" s="1"/>
  <c r="ID405" i="1" s="1"/>
  <c r="IM405" i="1" s="1"/>
  <c r="IV405" i="1" s="1"/>
  <c r="JE405" i="1" s="1"/>
  <c r="JN405" i="1" s="1"/>
  <c r="JW405" i="1" s="1"/>
  <c r="KF405" i="1" s="1"/>
  <c r="KO405" i="1" s="1"/>
  <c r="KX405" i="1" s="1"/>
  <c r="LG405" i="1" s="1"/>
  <c r="LP405" i="1" s="1"/>
  <c r="LY405" i="1" s="1"/>
  <c r="MH405" i="1" s="1"/>
  <c r="MQ405" i="1" s="1"/>
  <c r="MZ405" i="1" s="1"/>
  <c r="L406" i="1"/>
  <c r="L407" i="1"/>
  <c r="L408" i="1"/>
  <c r="L409" i="1"/>
  <c r="U409" i="1" s="1"/>
  <c r="AD409" i="1" s="1"/>
  <c r="AM409" i="1" s="1"/>
  <c r="AV409" i="1" s="1"/>
  <c r="BE409" i="1" s="1"/>
  <c r="BN409" i="1" s="1"/>
  <c r="BW409" i="1" s="1"/>
  <c r="CF409" i="1" s="1"/>
  <c r="CO409" i="1" s="1"/>
  <c r="CX409" i="1" s="1"/>
  <c r="DG409" i="1" s="1"/>
  <c r="DP409" i="1" s="1"/>
  <c r="DY409" i="1" s="1"/>
  <c r="EH409" i="1" s="1"/>
  <c r="EQ409" i="1" s="1"/>
  <c r="EZ409" i="1" s="1"/>
  <c r="FI409" i="1" s="1"/>
  <c r="FR409" i="1" s="1"/>
  <c r="GA409" i="1" s="1"/>
  <c r="GJ409" i="1" s="1"/>
  <c r="GS409" i="1" s="1"/>
  <c r="HB409" i="1" s="1"/>
  <c r="HK409" i="1" s="1"/>
  <c r="HU409" i="1" s="1"/>
  <c r="ID409" i="1" s="1"/>
  <c r="IM409" i="1" s="1"/>
  <c r="IV409" i="1" s="1"/>
  <c r="JE409" i="1" s="1"/>
  <c r="JN409" i="1" s="1"/>
  <c r="JW409" i="1" s="1"/>
  <c r="KF409" i="1" s="1"/>
  <c r="KO409" i="1" s="1"/>
  <c r="KX409" i="1" s="1"/>
  <c r="LG409" i="1" s="1"/>
  <c r="LP409" i="1" s="1"/>
  <c r="LY409" i="1" s="1"/>
  <c r="MH409" i="1" s="1"/>
  <c r="MQ409" i="1" s="1"/>
  <c r="MZ409" i="1" s="1"/>
  <c r="L410" i="1"/>
  <c r="U410" i="1" s="1"/>
  <c r="AD410" i="1" s="1"/>
  <c r="AM410" i="1" s="1"/>
  <c r="AV410" i="1" s="1"/>
  <c r="BE410" i="1" s="1"/>
  <c r="BN410" i="1" s="1"/>
  <c r="BW410" i="1" s="1"/>
  <c r="CF410" i="1" s="1"/>
  <c r="CO410" i="1" s="1"/>
  <c r="CX410" i="1" s="1"/>
  <c r="DG410" i="1" s="1"/>
  <c r="DP410" i="1" s="1"/>
  <c r="DY410" i="1" s="1"/>
  <c r="EH410" i="1" s="1"/>
  <c r="EQ410" i="1" s="1"/>
  <c r="EZ410" i="1" s="1"/>
  <c r="FI410" i="1" s="1"/>
  <c r="FR410" i="1" s="1"/>
  <c r="GA410" i="1" s="1"/>
  <c r="GJ410" i="1" s="1"/>
  <c r="GS410" i="1" s="1"/>
  <c r="HB410" i="1" s="1"/>
  <c r="HK410" i="1" s="1"/>
  <c r="HU410" i="1" s="1"/>
  <c r="ID410" i="1" s="1"/>
  <c r="IM410" i="1" s="1"/>
  <c r="IV410" i="1" s="1"/>
  <c r="JE410" i="1" s="1"/>
  <c r="JN410" i="1" s="1"/>
  <c r="JW410" i="1" s="1"/>
  <c r="KF410" i="1" s="1"/>
  <c r="KO410" i="1" s="1"/>
  <c r="KX410" i="1" s="1"/>
  <c r="LG410" i="1" s="1"/>
  <c r="LP410" i="1" s="1"/>
  <c r="LY410" i="1" s="1"/>
  <c r="MH410" i="1" s="1"/>
  <c r="MQ410" i="1" s="1"/>
  <c r="MZ410" i="1" s="1"/>
  <c r="L411" i="1"/>
  <c r="U411" i="1" s="1"/>
  <c r="AD411" i="1" s="1"/>
  <c r="AM411" i="1" s="1"/>
  <c r="AV411" i="1" s="1"/>
  <c r="BE411" i="1" s="1"/>
  <c r="BN411" i="1" s="1"/>
  <c r="BW411" i="1" s="1"/>
  <c r="CF411" i="1" s="1"/>
  <c r="CO411" i="1" s="1"/>
  <c r="CX411" i="1" s="1"/>
  <c r="DG411" i="1" s="1"/>
  <c r="DP411" i="1" s="1"/>
  <c r="DY411" i="1" s="1"/>
  <c r="EH411" i="1" s="1"/>
  <c r="EQ411" i="1" s="1"/>
  <c r="EZ411" i="1" s="1"/>
  <c r="FI411" i="1" s="1"/>
  <c r="FR411" i="1" s="1"/>
  <c r="GA411" i="1" s="1"/>
  <c r="GJ411" i="1" s="1"/>
  <c r="GS411" i="1" s="1"/>
  <c r="HB411" i="1" s="1"/>
  <c r="HK411" i="1" s="1"/>
  <c r="HU411" i="1" s="1"/>
  <c r="ID411" i="1" s="1"/>
  <c r="IM411" i="1" s="1"/>
  <c r="IV411" i="1" s="1"/>
  <c r="JE411" i="1" s="1"/>
  <c r="JN411" i="1" s="1"/>
  <c r="JW411" i="1" s="1"/>
  <c r="KF411" i="1" s="1"/>
  <c r="KO411" i="1" s="1"/>
  <c r="KX411" i="1" s="1"/>
  <c r="LG411" i="1" s="1"/>
  <c r="LP411" i="1" s="1"/>
  <c r="LY411" i="1" s="1"/>
  <c r="MH411" i="1" s="1"/>
  <c r="MQ411" i="1" s="1"/>
  <c r="MZ411" i="1" s="1"/>
  <c r="L412" i="1"/>
  <c r="L413" i="1"/>
  <c r="U413" i="1" s="1"/>
  <c r="L414" i="1"/>
  <c r="U414" i="1" s="1"/>
  <c r="AD414" i="1" s="1"/>
  <c r="AM414" i="1" s="1"/>
  <c r="L415" i="1"/>
  <c r="U415" i="1" s="1"/>
  <c r="L416" i="1"/>
  <c r="U416" i="1" s="1"/>
  <c r="AD416" i="1" s="1"/>
  <c r="AM416" i="1" s="1"/>
  <c r="AV416" i="1" s="1"/>
  <c r="BE416" i="1" s="1"/>
  <c r="BN416" i="1" s="1"/>
  <c r="BW416" i="1" s="1"/>
  <c r="CF416" i="1" s="1"/>
  <c r="CO416" i="1" s="1"/>
  <c r="CX416" i="1" s="1"/>
  <c r="DG416" i="1" s="1"/>
  <c r="DP416" i="1" s="1"/>
  <c r="DY416" i="1" s="1"/>
  <c r="EH416" i="1" s="1"/>
  <c r="EQ416" i="1" s="1"/>
  <c r="EZ416" i="1" s="1"/>
  <c r="FI416" i="1" s="1"/>
  <c r="FR416" i="1" s="1"/>
  <c r="GA416" i="1" s="1"/>
  <c r="GJ416" i="1" s="1"/>
  <c r="GS416" i="1" s="1"/>
  <c r="HB416" i="1" s="1"/>
  <c r="HK416" i="1" s="1"/>
  <c r="HU416" i="1" s="1"/>
  <c r="ID416" i="1" s="1"/>
  <c r="IM416" i="1" s="1"/>
  <c r="IV416" i="1" s="1"/>
  <c r="JE416" i="1" s="1"/>
  <c r="JN416" i="1" s="1"/>
  <c r="JW416" i="1" s="1"/>
  <c r="KF416" i="1" s="1"/>
  <c r="KO416" i="1" s="1"/>
  <c r="KX416" i="1" s="1"/>
  <c r="LG416" i="1" s="1"/>
  <c r="LP416" i="1" s="1"/>
  <c r="LY416" i="1" s="1"/>
  <c r="MH416" i="1" s="1"/>
  <c r="MQ416" i="1" s="1"/>
  <c r="MZ416" i="1" s="1"/>
  <c r="L417" i="1"/>
  <c r="U417" i="1" s="1"/>
  <c r="AD417" i="1" s="1"/>
  <c r="AM417" i="1" s="1"/>
  <c r="AV417" i="1" s="1"/>
  <c r="BE417" i="1" s="1"/>
  <c r="BN417" i="1" s="1"/>
  <c r="BW417" i="1" s="1"/>
  <c r="CF417" i="1" s="1"/>
  <c r="CO417" i="1" s="1"/>
  <c r="CX417" i="1" s="1"/>
  <c r="DG417" i="1" s="1"/>
  <c r="DP417" i="1" s="1"/>
  <c r="DY417" i="1" s="1"/>
  <c r="EH417" i="1" s="1"/>
  <c r="EQ417" i="1" s="1"/>
  <c r="EZ417" i="1" s="1"/>
  <c r="FI417" i="1" s="1"/>
  <c r="FR417" i="1" s="1"/>
  <c r="GA417" i="1" s="1"/>
  <c r="GJ417" i="1" s="1"/>
  <c r="GS417" i="1" s="1"/>
  <c r="HB417" i="1" s="1"/>
  <c r="HK417" i="1" s="1"/>
  <c r="HU417" i="1" s="1"/>
  <c r="ID417" i="1" s="1"/>
  <c r="IM417" i="1" s="1"/>
  <c r="IV417" i="1" s="1"/>
  <c r="JE417" i="1" s="1"/>
  <c r="JN417" i="1" s="1"/>
  <c r="JW417" i="1" s="1"/>
  <c r="KF417" i="1" s="1"/>
  <c r="KO417" i="1" s="1"/>
  <c r="KX417" i="1" s="1"/>
  <c r="LG417" i="1" s="1"/>
  <c r="LP417" i="1" s="1"/>
  <c r="LY417" i="1" s="1"/>
  <c r="MH417" i="1" s="1"/>
  <c r="MQ417" i="1" s="1"/>
  <c r="MZ417" i="1" s="1"/>
  <c r="L418" i="1"/>
  <c r="U418" i="1" s="1"/>
  <c r="AD418" i="1" s="1"/>
  <c r="AM418" i="1" s="1"/>
  <c r="AV418" i="1" s="1"/>
  <c r="BE418" i="1" s="1"/>
  <c r="BN418" i="1" s="1"/>
  <c r="BW418" i="1" s="1"/>
  <c r="CF418" i="1" s="1"/>
  <c r="CO418" i="1" s="1"/>
  <c r="CX418" i="1" s="1"/>
  <c r="DG418" i="1" s="1"/>
  <c r="DP418" i="1" s="1"/>
  <c r="DY418" i="1" s="1"/>
  <c r="EH418" i="1" s="1"/>
  <c r="EQ418" i="1" s="1"/>
  <c r="EZ418" i="1" s="1"/>
  <c r="FI418" i="1" s="1"/>
  <c r="FR418" i="1" s="1"/>
  <c r="GA418" i="1" s="1"/>
  <c r="GJ418" i="1" s="1"/>
  <c r="GS418" i="1" s="1"/>
  <c r="HB418" i="1" s="1"/>
  <c r="HK418" i="1" s="1"/>
  <c r="HU418" i="1" s="1"/>
  <c r="ID418" i="1" s="1"/>
  <c r="IM418" i="1" s="1"/>
  <c r="IV418" i="1" s="1"/>
  <c r="JE418" i="1" s="1"/>
  <c r="JN418" i="1" s="1"/>
  <c r="JW418" i="1" s="1"/>
  <c r="KF418" i="1" s="1"/>
  <c r="KO418" i="1" s="1"/>
  <c r="KX418" i="1" s="1"/>
  <c r="LG418" i="1" s="1"/>
  <c r="LP418" i="1" s="1"/>
  <c r="LY418" i="1" s="1"/>
  <c r="MH418" i="1" s="1"/>
  <c r="MQ418" i="1" s="1"/>
  <c r="MZ418" i="1" s="1"/>
  <c r="L419" i="1"/>
  <c r="U419" i="1" s="1"/>
  <c r="AD419" i="1" s="1"/>
  <c r="AM419" i="1" s="1"/>
  <c r="AV419" i="1" s="1"/>
  <c r="BE419" i="1" s="1"/>
  <c r="BN419" i="1" s="1"/>
  <c r="BW419" i="1" s="1"/>
  <c r="CF419" i="1" s="1"/>
  <c r="CO419" i="1" s="1"/>
  <c r="CX419" i="1" s="1"/>
  <c r="DG419" i="1" s="1"/>
  <c r="DP419" i="1" s="1"/>
  <c r="DY419" i="1" s="1"/>
  <c r="EH419" i="1" s="1"/>
  <c r="EQ419" i="1" s="1"/>
  <c r="EZ419" i="1" s="1"/>
  <c r="FI419" i="1" s="1"/>
  <c r="FR419" i="1" s="1"/>
  <c r="GA419" i="1" s="1"/>
  <c r="GJ419" i="1" s="1"/>
  <c r="GS419" i="1" s="1"/>
  <c r="HB419" i="1" s="1"/>
  <c r="HK419" i="1" s="1"/>
  <c r="HU419" i="1" s="1"/>
  <c r="ID419" i="1" s="1"/>
  <c r="IM419" i="1" s="1"/>
  <c r="IV419" i="1" s="1"/>
  <c r="JE419" i="1" s="1"/>
  <c r="JN419" i="1" s="1"/>
  <c r="JW419" i="1" s="1"/>
  <c r="KF419" i="1" s="1"/>
  <c r="KO419" i="1" s="1"/>
  <c r="KX419" i="1" s="1"/>
  <c r="LG419" i="1" s="1"/>
  <c r="LP419" i="1" s="1"/>
  <c r="LY419" i="1" s="1"/>
  <c r="MH419" i="1" s="1"/>
  <c r="MQ419" i="1" s="1"/>
  <c r="MZ419" i="1" s="1"/>
  <c r="L420" i="1"/>
  <c r="U420" i="1" s="1"/>
  <c r="AD420" i="1" s="1"/>
  <c r="AM420" i="1" s="1"/>
  <c r="AV420" i="1" s="1"/>
  <c r="BE420" i="1" s="1"/>
  <c r="BN420" i="1" s="1"/>
  <c r="BW420" i="1" s="1"/>
  <c r="CF420" i="1" s="1"/>
  <c r="CO420" i="1" s="1"/>
  <c r="CX420" i="1" s="1"/>
  <c r="DG420" i="1" s="1"/>
  <c r="DP420" i="1" s="1"/>
  <c r="DY420" i="1" s="1"/>
  <c r="EH420" i="1" s="1"/>
  <c r="EQ420" i="1" s="1"/>
  <c r="EZ420" i="1" s="1"/>
  <c r="FI420" i="1" s="1"/>
  <c r="FR420" i="1" s="1"/>
  <c r="GA420" i="1" s="1"/>
  <c r="GJ420" i="1" s="1"/>
  <c r="GS420" i="1" s="1"/>
  <c r="HB420" i="1" s="1"/>
  <c r="HK420" i="1" s="1"/>
  <c r="HU420" i="1" s="1"/>
  <c r="ID420" i="1" s="1"/>
  <c r="IM420" i="1" s="1"/>
  <c r="IV420" i="1" s="1"/>
  <c r="JE420" i="1" s="1"/>
  <c r="JN420" i="1" s="1"/>
  <c r="JW420" i="1" s="1"/>
  <c r="KF420" i="1" s="1"/>
  <c r="KO420" i="1" s="1"/>
  <c r="KX420" i="1" s="1"/>
  <c r="LG420" i="1" s="1"/>
  <c r="LP420" i="1" s="1"/>
  <c r="LY420" i="1" s="1"/>
  <c r="MH420" i="1" s="1"/>
  <c r="MQ420" i="1" s="1"/>
  <c r="MZ420" i="1" s="1"/>
  <c r="L421" i="1"/>
  <c r="U421" i="1" s="1"/>
  <c r="AD421" i="1" s="1"/>
  <c r="AM421" i="1" s="1"/>
  <c r="AV421" i="1" s="1"/>
  <c r="BE421" i="1" s="1"/>
  <c r="BN421" i="1" s="1"/>
  <c r="BW421" i="1" s="1"/>
  <c r="CF421" i="1" s="1"/>
  <c r="CO421" i="1" s="1"/>
  <c r="CX421" i="1" s="1"/>
  <c r="DG421" i="1" s="1"/>
  <c r="DP421" i="1" s="1"/>
  <c r="DY421" i="1" s="1"/>
  <c r="EH421" i="1" s="1"/>
  <c r="EQ421" i="1" s="1"/>
  <c r="EZ421" i="1" s="1"/>
  <c r="FI421" i="1" s="1"/>
  <c r="FR421" i="1" s="1"/>
  <c r="GA421" i="1" s="1"/>
  <c r="GJ421" i="1" s="1"/>
  <c r="GS421" i="1" s="1"/>
  <c r="HB421" i="1" s="1"/>
  <c r="HK421" i="1" s="1"/>
  <c r="HU421" i="1" s="1"/>
  <c r="ID421" i="1" s="1"/>
  <c r="IM421" i="1" s="1"/>
  <c r="IV421" i="1" s="1"/>
  <c r="JE421" i="1" s="1"/>
  <c r="JN421" i="1" s="1"/>
  <c r="JW421" i="1" s="1"/>
  <c r="KF421" i="1" s="1"/>
  <c r="KO421" i="1" s="1"/>
  <c r="KX421" i="1" s="1"/>
  <c r="LG421" i="1" s="1"/>
  <c r="LP421" i="1" s="1"/>
  <c r="LY421" i="1" s="1"/>
  <c r="MH421" i="1" s="1"/>
  <c r="MQ421" i="1" s="1"/>
  <c r="MZ421" i="1" s="1"/>
  <c r="L422" i="1"/>
  <c r="U422" i="1" s="1"/>
  <c r="AD422" i="1" s="1"/>
  <c r="AM422" i="1" s="1"/>
  <c r="AV422" i="1" s="1"/>
  <c r="BE422" i="1" s="1"/>
  <c r="BN422" i="1" s="1"/>
  <c r="BW422" i="1" s="1"/>
  <c r="CF422" i="1" s="1"/>
  <c r="CO422" i="1" s="1"/>
  <c r="CX422" i="1" s="1"/>
  <c r="DG422" i="1" s="1"/>
  <c r="DP422" i="1" s="1"/>
  <c r="DY422" i="1" s="1"/>
  <c r="EH422" i="1" s="1"/>
  <c r="EQ422" i="1" s="1"/>
  <c r="EZ422" i="1" s="1"/>
  <c r="FI422" i="1" s="1"/>
  <c r="FR422" i="1" s="1"/>
  <c r="GA422" i="1" s="1"/>
  <c r="GJ422" i="1" s="1"/>
  <c r="GS422" i="1" s="1"/>
  <c r="HB422" i="1" s="1"/>
  <c r="HK422" i="1" s="1"/>
  <c r="HU422" i="1" s="1"/>
  <c r="ID422" i="1" s="1"/>
  <c r="IM422" i="1" s="1"/>
  <c r="IV422" i="1" s="1"/>
  <c r="JE422" i="1" s="1"/>
  <c r="JN422" i="1" s="1"/>
  <c r="JW422" i="1" s="1"/>
  <c r="KF422" i="1" s="1"/>
  <c r="KO422" i="1" s="1"/>
  <c r="KX422" i="1" s="1"/>
  <c r="LG422" i="1" s="1"/>
  <c r="LP422" i="1" s="1"/>
  <c r="LY422" i="1" s="1"/>
  <c r="MH422" i="1" s="1"/>
  <c r="MQ422" i="1" s="1"/>
  <c r="MZ422" i="1" s="1"/>
  <c r="L423" i="1"/>
  <c r="L424" i="1"/>
  <c r="L425" i="1"/>
  <c r="U425" i="1" s="1"/>
  <c r="L426" i="1"/>
  <c r="U426" i="1" s="1"/>
  <c r="AD426" i="1" s="1"/>
  <c r="AM426" i="1" s="1"/>
  <c r="AV426" i="1" s="1"/>
  <c r="BE426" i="1" s="1"/>
  <c r="L396" i="1"/>
  <c r="U396" i="1" s="1"/>
  <c r="AD396" i="1" s="1"/>
  <c r="AM396" i="1" s="1"/>
  <c r="AV396" i="1" s="1"/>
  <c r="BE396" i="1" s="1"/>
  <c r="BN396" i="1" s="1"/>
  <c r="BW396" i="1" s="1"/>
  <c r="CF396" i="1" s="1"/>
  <c r="CO396" i="1" s="1"/>
  <c r="CX396" i="1" s="1"/>
  <c r="DG396" i="1" s="1"/>
  <c r="DP396" i="1" s="1"/>
  <c r="DY396" i="1" s="1"/>
  <c r="EH396" i="1" s="1"/>
  <c r="EQ396" i="1" s="1"/>
  <c r="EZ396" i="1" s="1"/>
  <c r="FI396" i="1" s="1"/>
  <c r="FR396" i="1" s="1"/>
  <c r="GA396" i="1" s="1"/>
  <c r="GJ396" i="1" s="1"/>
  <c r="GS396" i="1" s="1"/>
  <c r="HB396" i="1" s="1"/>
  <c r="HK396" i="1" s="1"/>
  <c r="HU396" i="1" s="1"/>
  <c r="ID396" i="1" s="1"/>
  <c r="IM396" i="1" s="1"/>
  <c r="IV396" i="1" s="1"/>
  <c r="JE396" i="1" s="1"/>
  <c r="JN396" i="1" s="1"/>
  <c r="JW396" i="1" s="1"/>
  <c r="KF396" i="1" s="1"/>
  <c r="KO396" i="1" s="1"/>
  <c r="KX396" i="1" s="1"/>
  <c r="LG396" i="1" s="1"/>
  <c r="LP396" i="1" s="1"/>
  <c r="LY396" i="1" s="1"/>
  <c r="MH396" i="1" s="1"/>
  <c r="MQ396" i="1" s="1"/>
  <c r="MZ396" i="1" s="1"/>
  <c r="U400" i="1"/>
  <c r="AD400" i="1" s="1"/>
  <c r="AM400" i="1" s="1"/>
  <c r="AV400" i="1" s="1"/>
  <c r="BE400" i="1" s="1"/>
  <c r="BN400" i="1" s="1"/>
  <c r="BW400" i="1" s="1"/>
  <c r="CF400" i="1" s="1"/>
  <c r="CO400" i="1" s="1"/>
  <c r="CX400" i="1" s="1"/>
  <c r="DG400" i="1" s="1"/>
  <c r="DP400" i="1" s="1"/>
  <c r="DY400" i="1" s="1"/>
  <c r="EH400" i="1" s="1"/>
  <c r="EQ400" i="1" s="1"/>
  <c r="EZ400" i="1" s="1"/>
  <c r="FI400" i="1" s="1"/>
  <c r="FR400" i="1" s="1"/>
  <c r="GA400" i="1" s="1"/>
  <c r="GJ400" i="1" s="1"/>
  <c r="GS400" i="1" s="1"/>
  <c r="HB400" i="1" s="1"/>
  <c r="HK400" i="1" s="1"/>
  <c r="HU400" i="1" s="1"/>
  <c r="ID400" i="1" s="1"/>
  <c r="IM400" i="1" s="1"/>
  <c r="IV400" i="1" s="1"/>
  <c r="JE400" i="1" s="1"/>
  <c r="JN400" i="1" s="1"/>
  <c r="JW400" i="1" s="1"/>
  <c r="KF400" i="1" s="1"/>
  <c r="KO400" i="1" s="1"/>
  <c r="KX400" i="1" s="1"/>
  <c r="LG400" i="1" s="1"/>
  <c r="LP400" i="1" s="1"/>
  <c r="LY400" i="1" s="1"/>
  <c r="MH400" i="1" s="1"/>
  <c r="MQ400" i="1" s="1"/>
  <c r="MZ400" i="1" s="1"/>
  <c r="NI400" i="1" s="1"/>
  <c r="U404" i="1"/>
  <c r="AD404" i="1" s="1"/>
  <c r="AM404" i="1" s="1"/>
  <c r="AV404" i="1" s="1"/>
  <c r="BE404" i="1" s="1"/>
  <c r="BN404" i="1" s="1"/>
  <c r="BW404" i="1" s="1"/>
  <c r="CF404" i="1" s="1"/>
  <c r="CO404" i="1" s="1"/>
  <c r="CX404" i="1" s="1"/>
  <c r="DG404" i="1" s="1"/>
  <c r="DP404" i="1" s="1"/>
  <c r="DY404" i="1" s="1"/>
  <c r="EH404" i="1" s="1"/>
  <c r="EQ404" i="1" s="1"/>
  <c r="EZ404" i="1" s="1"/>
  <c r="FI404" i="1" s="1"/>
  <c r="FR404" i="1" s="1"/>
  <c r="GA404" i="1" s="1"/>
  <c r="GJ404" i="1" s="1"/>
  <c r="GS404" i="1" s="1"/>
  <c r="HB404" i="1" s="1"/>
  <c r="HK404" i="1" s="1"/>
  <c r="HU404" i="1" s="1"/>
  <c r="ID404" i="1" s="1"/>
  <c r="IM404" i="1" s="1"/>
  <c r="IV404" i="1" s="1"/>
  <c r="JE404" i="1" s="1"/>
  <c r="JN404" i="1" s="1"/>
  <c r="JW404" i="1" s="1"/>
  <c r="KF404" i="1" s="1"/>
  <c r="KO404" i="1" s="1"/>
  <c r="KX404" i="1" s="1"/>
  <c r="LG404" i="1" s="1"/>
  <c r="LP404" i="1" s="1"/>
  <c r="LY404" i="1" s="1"/>
  <c r="MH404" i="1" s="1"/>
  <c r="MQ404" i="1" s="1"/>
  <c r="MZ404" i="1" s="1"/>
  <c r="U406" i="1"/>
  <c r="AD406" i="1" s="1"/>
  <c r="AM406" i="1" s="1"/>
  <c r="AV406" i="1" s="1"/>
  <c r="BE406" i="1" s="1"/>
  <c r="BN406" i="1" s="1"/>
  <c r="BW406" i="1" s="1"/>
  <c r="CF406" i="1" s="1"/>
  <c r="CO406" i="1" s="1"/>
  <c r="CX406" i="1" s="1"/>
  <c r="DG406" i="1" s="1"/>
  <c r="DP406" i="1" s="1"/>
  <c r="DY406" i="1" s="1"/>
  <c r="EH406" i="1" s="1"/>
  <c r="EQ406" i="1" s="1"/>
  <c r="EZ406" i="1" s="1"/>
  <c r="FI406" i="1" s="1"/>
  <c r="FR406" i="1" s="1"/>
  <c r="GA406" i="1" s="1"/>
  <c r="GJ406" i="1" s="1"/>
  <c r="GS406" i="1" s="1"/>
  <c r="HB406" i="1" s="1"/>
  <c r="HK406" i="1" s="1"/>
  <c r="HU406" i="1" s="1"/>
  <c r="ID406" i="1" s="1"/>
  <c r="IM406" i="1" s="1"/>
  <c r="IV406" i="1" s="1"/>
  <c r="JE406" i="1" s="1"/>
  <c r="JN406" i="1" s="1"/>
  <c r="JW406" i="1" s="1"/>
  <c r="KF406" i="1" s="1"/>
  <c r="KO406" i="1" s="1"/>
  <c r="KX406" i="1" s="1"/>
  <c r="LG406" i="1" s="1"/>
  <c r="LP406" i="1" s="1"/>
  <c r="LY406" i="1" s="1"/>
  <c r="MH406" i="1" s="1"/>
  <c r="MQ406" i="1" s="1"/>
  <c r="MZ406" i="1" s="1"/>
  <c r="U407" i="1"/>
  <c r="AD407" i="1" s="1"/>
  <c r="AM407" i="1" s="1"/>
  <c r="AV407" i="1" s="1"/>
  <c r="BE407" i="1" s="1"/>
  <c r="BN407" i="1" s="1"/>
  <c r="BW407" i="1" s="1"/>
  <c r="CF407" i="1" s="1"/>
  <c r="CO407" i="1" s="1"/>
  <c r="CX407" i="1" s="1"/>
  <c r="DG407" i="1" s="1"/>
  <c r="DP407" i="1" s="1"/>
  <c r="DY407" i="1" s="1"/>
  <c r="EH407" i="1" s="1"/>
  <c r="EQ407" i="1" s="1"/>
  <c r="EZ407" i="1" s="1"/>
  <c r="FI407" i="1" s="1"/>
  <c r="FR407" i="1" s="1"/>
  <c r="GA407" i="1" s="1"/>
  <c r="GJ407" i="1" s="1"/>
  <c r="GS407" i="1" s="1"/>
  <c r="HB407" i="1" s="1"/>
  <c r="HK407" i="1" s="1"/>
  <c r="HU407" i="1" s="1"/>
  <c r="ID407" i="1" s="1"/>
  <c r="IM407" i="1" s="1"/>
  <c r="IV407" i="1" s="1"/>
  <c r="JE407" i="1" s="1"/>
  <c r="JN407" i="1" s="1"/>
  <c r="JW407" i="1" s="1"/>
  <c r="KF407" i="1" s="1"/>
  <c r="KO407" i="1" s="1"/>
  <c r="KX407" i="1" s="1"/>
  <c r="LG407" i="1" s="1"/>
  <c r="LP407" i="1" s="1"/>
  <c r="LY407" i="1" s="1"/>
  <c r="MH407" i="1" s="1"/>
  <c r="MQ407" i="1" s="1"/>
  <c r="MZ407" i="1" s="1"/>
  <c r="U408" i="1"/>
  <c r="AD408" i="1" s="1"/>
  <c r="AM408" i="1" s="1"/>
  <c r="AV408" i="1" s="1"/>
  <c r="BE408" i="1" s="1"/>
  <c r="BN408" i="1" s="1"/>
  <c r="BW408" i="1" s="1"/>
  <c r="CF408" i="1" s="1"/>
  <c r="CO408" i="1" s="1"/>
  <c r="CX408" i="1" s="1"/>
  <c r="DG408" i="1" s="1"/>
  <c r="DP408" i="1" s="1"/>
  <c r="DY408" i="1" s="1"/>
  <c r="EH408" i="1" s="1"/>
  <c r="EQ408" i="1" s="1"/>
  <c r="EZ408" i="1" s="1"/>
  <c r="FI408" i="1" s="1"/>
  <c r="FR408" i="1" s="1"/>
  <c r="GA408" i="1" s="1"/>
  <c r="GJ408" i="1" s="1"/>
  <c r="GS408" i="1" s="1"/>
  <c r="HB408" i="1" s="1"/>
  <c r="HK408" i="1" s="1"/>
  <c r="HU408" i="1" s="1"/>
  <c r="ID408" i="1" s="1"/>
  <c r="IM408" i="1" s="1"/>
  <c r="IV408" i="1" s="1"/>
  <c r="JE408" i="1" s="1"/>
  <c r="JN408" i="1" s="1"/>
  <c r="JW408" i="1" s="1"/>
  <c r="KF408" i="1" s="1"/>
  <c r="KO408" i="1" s="1"/>
  <c r="KX408" i="1" s="1"/>
  <c r="LG408" i="1" s="1"/>
  <c r="LP408" i="1" s="1"/>
  <c r="LY408" i="1" s="1"/>
  <c r="MH408" i="1" s="1"/>
  <c r="MQ408" i="1" s="1"/>
  <c r="MZ408" i="1" s="1"/>
  <c r="U412" i="1"/>
  <c r="AD412" i="1" s="1"/>
  <c r="AM412" i="1" s="1"/>
  <c r="AV412" i="1" s="1"/>
  <c r="BE412" i="1" s="1"/>
  <c r="BN412" i="1" s="1"/>
  <c r="BW412" i="1" s="1"/>
  <c r="CF412" i="1" s="1"/>
  <c r="CO412" i="1" s="1"/>
  <c r="CX412" i="1" s="1"/>
  <c r="DG412" i="1" s="1"/>
  <c r="DP412" i="1" s="1"/>
  <c r="DY412" i="1" s="1"/>
  <c r="EH412" i="1" s="1"/>
  <c r="EQ412" i="1" s="1"/>
  <c r="EZ412" i="1" s="1"/>
  <c r="FI412" i="1" s="1"/>
  <c r="FR412" i="1" s="1"/>
  <c r="GA412" i="1" s="1"/>
  <c r="GJ412" i="1" s="1"/>
  <c r="GS412" i="1" s="1"/>
  <c r="HB412" i="1" s="1"/>
  <c r="HK412" i="1" s="1"/>
  <c r="HU412" i="1" s="1"/>
  <c r="ID412" i="1" s="1"/>
  <c r="IM412" i="1" s="1"/>
  <c r="IV412" i="1" s="1"/>
  <c r="JE412" i="1" s="1"/>
  <c r="JN412" i="1" s="1"/>
  <c r="JW412" i="1" s="1"/>
  <c r="KF412" i="1" s="1"/>
  <c r="KO412" i="1" s="1"/>
  <c r="KX412" i="1" s="1"/>
  <c r="LG412" i="1" s="1"/>
  <c r="LP412" i="1" s="1"/>
  <c r="LY412" i="1" s="1"/>
  <c r="MH412" i="1" s="1"/>
  <c r="MQ412" i="1" s="1"/>
  <c r="MZ412" i="1" s="1"/>
  <c r="U423" i="1"/>
  <c r="AD423" i="1" s="1"/>
  <c r="AM423" i="1" s="1"/>
  <c r="AV423" i="1" s="1"/>
  <c r="BE423" i="1" s="1"/>
  <c r="BN423" i="1" s="1"/>
  <c r="BW423" i="1" s="1"/>
  <c r="CF423" i="1" s="1"/>
  <c r="CO423" i="1" s="1"/>
  <c r="CX423" i="1" s="1"/>
  <c r="DG423" i="1" s="1"/>
  <c r="DP423" i="1" s="1"/>
  <c r="DY423" i="1" s="1"/>
  <c r="EH423" i="1" s="1"/>
  <c r="EQ423" i="1" s="1"/>
  <c r="EZ423" i="1" s="1"/>
  <c r="FI423" i="1" s="1"/>
  <c r="FR423" i="1" s="1"/>
  <c r="GA423" i="1" s="1"/>
  <c r="GJ423" i="1" s="1"/>
  <c r="GS423" i="1" s="1"/>
  <c r="HB423" i="1" s="1"/>
  <c r="HK423" i="1" s="1"/>
  <c r="HU423" i="1" s="1"/>
  <c r="ID423" i="1" s="1"/>
  <c r="IM423" i="1" s="1"/>
  <c r="IV423" i="1" s="1"/>
  <c r="JE423" i="1" s="1"/>
  <c r="JN423" i="1" s="1"/>
  <c r="JW423" i="1" s="1"/>
  <c r="KF423" i="1" s="1"/>
  <c r="KO423" i="1" s="1"/>
  <c r="KX423" i="1" s="1"/>
  <c r="LG423" i="1" s="1"/>
  <c r="LP423" i="1" s="1"/>
  <c r="LY423" i="1" s="1"/>
  <c r="MH423" i="1" s="1"/>
  <c r="MQ423" i="1" s="1"/>
  <c r="MZ423" i="1" s="1"/>
  <c r="U424" i="1"/>
  <c r="AD424" i="1" s="1"/>
  <c r="AM424" i="1" s="1"/>
  <c r="AV424" i="1" s="1"/>
  <c r="BE424" i="1" s="1"/>
  <c r="BN424" i="1" s="1"/>
  <c r="BW424" i="1" s="1"/>
  <c r="CF424" i="1" s="1"/>
  <c r="CO424" i="1" s="1"/>
  <c r="CX424" i="1" s="1"/>
  <c r="DG424" i="1" s="1"/>
  <c r="DP424" i="1" s="1"/>
  <c r="DY424" i="1" s="1"/>
  <c r="EH424" i="1" s="1"/>
  <c r="EQ424" i="1" s="1"/>
  <c r="EZ424" i="1" s="1"/>
  <c r="FI424" i="1" s="1"/>
  <c r="FR424" i="1" s="1"/>
  <c r="GA424" i="1" s="1"/>
  <c r="GJ424" i="1" s="1"/>
  <c r="GS424" i="1" s="1"/>
  <c r="HB424" i="1" s="1"/>
  <c r="HK424" i="1" s="1"/>
  <c r="HU424" i="1" s="1"/>
  <c r="ID424" i="1" s="1"/>
  <c r="IM424" i="1" s="1"/>
  <c r="IV424" i="1" s="1"/>
  <c r="JE424" i="1" s="1"/>
  <c r="JN424" i="1" s="1"/>
  <c r="JW424" i="1" s="1"/>
  <c r="KF424" i="1" s="1"/>
  <c r="KO424" i="1" s="1"/>
  <c r="KX424" i="1" s="1"/>
  <c r="LG424" i="1" s="1"/>
  <c r="LP424" i="1" s="1"/>
  <c r="LY424" i="1" s="1"/>
  <c r="MH424" i="1" s="1"/>
  <c r="MQ424" i="1" s="1"/>
  <c r="MZ424" i="1" s="1"/>
  <c r="AD399" i="1"/>
  <c r="AM399" i="1" s="1"/>
  <c r="AV399" i="1" s="1"/>
  <c r="BE399" i="1" s="1"/>
  <c r="BN399" i="1" s="1"/>
  <c r="BW399" i="1" s="1"/>
  <c r="CF399" i="1" s="1"/>
  <c r="CO399" i="1" s="1"/>
  <c r="CX399" i="1" s="1"/>
  <c r="DG399" i="1" s="1"/>
  <c r="DP399" i="1" s="1"/>
  <c r="DY399" i="1" s="1"/>
  <c r="EH399" i="1" s="1"/>
  <c r="EQ399" i="1" s="1"/>
  <c r="EZ399" i="1" s="1"/>
  <c r="FI399" i="1" s="1"/>
  <c r="FR399" i="1" s="1"/>
  <c r="GA399" i="1" s="1"/>
  <c r="GJ399" i="1" s="1"/>
  <c r="GS399" i="1" s="1"/>
  <c r="HB399" i="1" s="1"/>
  <c r="HK399" i="1" s="1"/>
  <c r="HU399" i="1" s="1"/>
  <c r="ID399" i="1" s="1"/>
  <c r="IM399" i="1" s="1"/>
  <c r="IV399" i="1" s="1"/>
  <c r="JE399" i="1" s="1"/>
  <c r="JN399" i="1" s="1"/>
  <c r="JW399" i="1" s="1"/>
  <c r="KF399" i="1" s="1"/>
  <c r="KO399" i="1" s="1"/>
  <c r="KX399" i="1" s="1"/>
  <c r="LG399" i="1" s="1"/>
  <c r="LP399" i="1" s="1"/>
  <c r="LY399" i="1" s="1"/>
  <c r="MH399" i="1" s="1"/>
  <c r="MQ399" i="1" s="1"/>
  <c r="MZ399" i="1" s="1"/>
  <c r="AD401" i="1"/>
  <c r="AM401" i="1" s="1"/>
  <c r="AV401" i="1" s="1"/>
  <c r="BE401" i="1" s="1"/>
  <c r="BN401" i="1" s="1"/>
  <c r="BW401" i="1" s="1"/>
  <c r="CF401" i="1" s="1"/>
  <c r="CO401" i="1" s="1"/>
  <c r="CX401" i="1" s="1"/>
  <c r="DG401" i="1" s="1"/>
  <c r="DP401" i="1" s="1"/>
  <c r="DY401" i="1" s="1"/>
  <c r="EH401" i="1" s="1"/>
  <c r="EQ401" i="1" s="1"/>
  <c r="EZ401" i="1" s="1"/>
  <c r="FI401" i="1" s="1"/>
  <c r="FR401" i="1" s="1"/>
  <c r="GA401" i="1" s="1"/>
  <c r="GJ401" i="1" s="1"/>
  <c r="GS401" i="1" s="1"/>
  <c r="HB401" i="1" s="1"/>
  <c r="HK401" i="1" s="1"/>
  <c r="HU401" i="1" s="1"/>
  <c r="ID401" i="1" s="1"/>
  <c r="IM401" i="1" s="1"/>
  <c r="IV401" i="1" s="1"/>
  <c r="JE401" i="1" s="1"/>
  <c r="JN401" i="1" s="1"/>
  <c r="JW401" i="1" s="1"/>
  <c r="KF401" i="1" s="1"/>
  <c r="KO401" i="1" s="1"/>
  <c r="KX401" i="1" s="1"/>
  <c r="LG401" i="1" s="1"/>
  <c r="LP401" i="1" s="1"/>
  <c r="LY401" i="1" s="1"/>
  <c r="MH401" i="1" s="1"/>
  <c r="MQ401" i="1" s="1"/>
  <c r="MZ401" i="1" s="1"/>
  <c r="AD413" i="1"/>
  <c r="AM413" i="1" s="1"/>
  <c r="AV413" i="1" s="1"/>
  <c r="BE413" i="1" s="1"/>
  <c r="BN413" i="1" s="1"/>
  <c r="BW413" i="1" s="1"/>
  <c r="CF413" i="1" s="1"/>
  <c r="CO413" i="1" s="1"/>
  <c r="CX413" i="1" s="1"/>
  <c r="DG413" i="1" s="1"/>
  <c r="DP413" i="1" s="1"/>
  <c r="DY413" i="1" s="1"/>
  <c r="EH413" i="1" s="1"/>
  <c r="EQ413" i="1" s="1"/>
  <c r="EZ413" i="1" s="1"/>
  <c r="FI413" i="1" s="1"/>
  <c r="FR413" i="1" s="1"/>
  <c r="GA413" i="1" s="1"/>
  <c r="GJ413" i="1" s="1"/>
  <c r="GS413" i="1" s="1"/>
  <c r="HB413" i="1" s="1"/>
  <c r="HK413" i="1" s="1"/>
  <c r="HU413" i="1" s="1"/>
  <c r="ID413" i="1" s="1"/>
  <c r="IM413" i="1" s="1"/>
  <c r="IV413" i="1" s="1"/>
  <c r="JE413" i="1" s="1"/>
  <c r="JN413" i="1" s="1"/>
  <c r="JW413" i="1" s="1"/>
  <c r="KF413" i="1" s="1"/>
  <c r="KO413" i="1" s="1"/>
  <c r="KX413" i="1" s="1"/>
  <c r="LG413" i="1" s="1"/>
  <c r="LP413" i="1" s="1"/>
  <c r="LY413" i="1" s="1"/>
  <c r="MH413" i="1" s="1"/>
  <c r="MQ413" i="1" s="1"/>
  <c r="MZ413" i="1" s="1"/>
  <c r="AD415" i="1"/>
  <c r="AM415" i="1" s="1"/>
  <c r="AD425" i="1"/>
  <c r="AM425" i="1" s="1"/>
  <c r="AV425" i="1" s="1"/>
  <c r="BE425" i="1" s="1"/>
  <c r="BN425" i="1" s="1"/>
  <c r="BW425" i="1" s="1"/>
  <c r="CF425" i="1" s="1"/>
  <c r="CO425" i="1" s="1"/>
  <c r="CX425" i="1" s="1"/>
  <c r="DG425" i="1" s="1"/>
  <c r="DP425" i="1" s="1"/>
  <c r="DY425" i="1" s="1"/>
  <c r="EH425" i="1" s="1"/>
  <c r="EQ425" i="1" s="1"/>
  <c r="EZ425" i="1" s="1"/>
  <c r="FI425" i="1" s="1"/>
  <c r="FR425" i="1" s="1"/>
  <c r="GA425" i="1" s="1"/>
  <c r="GJ425" i="1" s="1"/>
  <c r="GS425" i="1" s="1"/>
  <c r="HB425" i="1" s="1"/>
  <c r="HK425" i="1" s="1"/>
  <c r="HU425" i="1" s="1"/>
  <c r="ID425" i="1" s="1"/>
  <c r="IM425" i="1" s="1"/>
  <c r="IV425" i="1" s="1"/>
  <c r="JE425" i="1" s="1"/>
  <c r="JN425" i="1" s="1"/>
  <c r="JW425" i="1" s="1"/>
  <c r="KF425" i="1" s="1"/>
  <c r="KO425" i="1" s="1"/>
  <c r="KX425" i="1" s="1"/>
  <c r="LG425" i="1" s="1"/>
  <c r="LP425" i="1" s="1"/>
  <c r="LY425" i="1" s="1"/>
  <c r="MH425" i="1" s="1"/>
  <c r="MQ425" i="1" s="1"/>
  <c r="MZ425" i="1" s="1"/>
  <c r="AV414" i="1"/>
  <c r="BE414" i="1" s="1"/>
  <c r="BN414" i="1" s="1"/>
  <c r="BW414" i="1" s="1"/>
  <c r="CF414" i="1" s="1"/>
  <c r="CO414" i="1" s="1"/>
  <c r="CX414" i="1" s="1"/>
  <c r="DG414" i="1" s="1"/>
  <c r="DP414" i="1" s="1"/>
  <c r="DY414" i="1" s="1"/>
  <c r="EH414" i="1" s="1"/>
  <c r="EQ414" i="1" s="1"/>
  <c r="EZ414" i="1" s="1"/>
  <c r="FI414" i="1" s="1"/>
  <c r="FR414" i="1" s="1"/>
  <c r="GA414" i="1" s="1"/>
  <c r="GJ414" i="1" s="1"/>
  <c r="GS414" i="1" s="1"/>
  <c r="HB414" i="1" s="1"/>
  <c r="HK414" i="1" s="1"/>
  <c r="HU414" i="1" s="1"/>
  <c r="ID414" i="1" s="1"/>
  <c r="IM414" i="1" s="1"/>
  <c r="IV414" i="1" s="1"/>
  <c r="JE414" i="1" s="1"/>
  <c r="JN414" i="1" s="1"/>
  <c r="JW414" i="1" s="1"/>
  <c r="KF414" i="1" s="1"/>
  <c r="KO414" i="1" s="1"/>
  <c r="KX414" i="1" s="1"/>
  <c r="LG414" i="1" s="1"/>
  <c r="LP414" i="1" s="1"/>
  <c r="LY414" i="1" s="1"/>
  <c r="MH414" i="1" s="1"/>
  <c r="MQ414" i="1" s="1"/>
  <c r="MZ414" i="1" s="1"/>
  <c r="AV415" i="1"/>
  <c r="BE415" i="1" s="1"/>
  <c r="BN415" i="1" s="1"/>
  <c r="BW415" i="1" s="1"/>
  <c r="CF415" i="1" s="1"/>
  <c r="CO415" i="1" s="1"/>
  <c r="CX415" i="1" s="1"/>
  <c r="DG415" i="1" s="1"/>
  <c r="DP415" i="1" s="1"/>
  <c r="DY415" i="1" s="1"/>
  <c r="EH415" i="1" s="1"/>
  <c r="EQ415" i="1" s="1"/>
  <c r="EZ415" i="1" s="1"/>
  <c r="FI415" i="1" s="1"/>
  <c r="FR415" i="1" s="1"/>
  <c r="GA415" i="1" s="1"/>
  <c r="GJ415" i="1" s="1"/>
  <c r="GS415" i="1" s="1"/>
  <c r="HB415" i="1" s="1"/>
  <c r="HK415" i="1" s="1"/>
  <c r="HU415" i="1" s="1"/>
  <c r="ID415" i="1" s="1"/>
  <c r="IM415" i="1" s="1"/>
  <c r="IV415" i="1" s="1"/>
  <c r="JE415" i="1" s="1"/>
  <c r="JN415" i="1" s="1"/>
  <c r="JW415" i="1" s="1"/>
  <c r="KF415" i="1" s="1"/>
  <c r="KO415" i="1" s="1"/>
  <c r="KX415" i="1" s="1"/>
  <c r="LG415" i="1" s="1"/>
  <c r="LP415" i="1" s="1"/>
  <c r="LY415" i="1" s="1"/>
  <c r="MH415" i="1" s="1"/>
  <c r="MQ415" i="1" s="1"/>
  <c r="MZ415" i="1" s="1"/>
  <c r="BN426" i="1"/>
  <c r="BW426" i="1" s="1"/>
  <c r="CF426" i="1" s="1"/>
  <c r="CO426" i="1" s="1"/>
  <c r="CX426" i="1" s="1"/>
  <c r="DG426" i="1" s="1"/>
  <c r="DP426" i="1" s="1"/>
  <c r="DY426" i="1" s="1"/>
  <c r="EH426" i="1" s="1"/>
  <c r="EQ426" i="1" s="1"/>
  <c r="EZ426" i="1" s="1"/>
  <c r="FI426" i="1" s="1"/>
  <c r="FR426" i="1" s="1"/>
  <c r="GA426" i="1" s="1"/>
  <c r="GJ426" i="1" s="1"/>
  <c r="GS426" i="1" s="1"/>
  <c r="HB426" i="1" s="1"/>
  <c r="HK426" i="1" s="1"/>
  <c r="HU426" i="1" s="1"/>
  <c r="ID426" i="1" s="1"/>
  <c r="IM426" i="1" s="1"/>
  <c r="IV426" i="1" s="1"/>
  <c r="JE426" i="1" s="1"/>
  <c r="JN426" i="1" s="1"/>
  <c r="JW426" i="1" s="1"/>
  <c r="KF426" i="1" s="1"/>
  <c r="KO426" i="1" s="1"/>
  <c r="KX426" i="1" s="1"/>
  <c r="LG426" i="1" s="1"/>
  <c r="LP426" i="1" s="1"/>
  <c r="LY426" i="1" s="1"/>
  <c r="MH426" i="1" s="1"/>
  <c r="MQ426" i="1" s="1"/>
  <c r="MZ426" i="1" s="1"/>
  <c r="L362" i="1"/>
  <c r="U362" i="1" s="1"/>
  <c r="AD362" i="1" s="1"/>
  <c r="AM362" i="1" s="1"/>
  <c r="AV362" i="1" s="1"/>
  <c r="BE362" i="1" s="1"/>
  <c r="BN362" i="1" s="1"/>
  <c r="BW362" i="1" s="1"/>
  <c r="CF362" i="1" s="1"/>
  <c r="CO362" i="1" s="1"/>
  <c r="CX362" i="1" s="1"/>
  <c r="DG362" i="1" s="1"/>
  <c r="DP362" i="1" s="1"/>
  <c r="DY362" i="1" s="1"/>
  <c r="EH362" i="1" s="1"/>
  <c r="EQ362" i="1" s="1"/>
  <c r="EZ362" i="1" s="1"/>
  <c r="FI362" i="1" s="1"/>
  <c r="FR362" i="1" s="1"/>
  <c r="GA362" i="1" s="1"/>
  <c r="GJ362" i="1" s="1"/>
  <c r="GS362" i="1" s="1"/>
  <c r="HB362" i="1" s="1"/>
  <c r="HK362" i="1" s="1"/>
  <c r="HU362" i="1" s="1"/>
  <c r="ID362" i="1" s="1"/>
  <c r="IM362" i="1" s="1"/>
  <c r="IV362" i="1" s="1"/>
  <c r="JE362" i="1" s="1"/>
  <c r="JN362" i="1" s="1"/>
  <c r="JW362" i="1" s="1"/>
  <c r="KF362" i="1" s="1"/>
  <c r="KO362" i="1" s="1"/>
  <c r="KX362" i="1" s="1"/>
  <c r="LG362" i="1" s="1"/>
  <c r="LP362" i="1" s="1"/>
  <c r="LY362" i="1" s="1"/>
  <c r="MH362" i="1" s="1"/>
  <c r="MQ362" i="1" s="1"/>
  <c r="MZ362" i="1" s="1"/>
  <c r="L363" i="1"/>
  <c r="U363" i="1" s="1"/>
  <c r="AD363" i="1" s="1"/>
  <c r="AM363" i="1" s="1"/>
  <c r="AV363" i="1" s="1"/>
  <c r="BE363" i="1" s="1"/>
  <c r="BN363" i="1" s="1"/>
  <c r="BW363" i="1" s="1"/>
  <c r="CF363" i="1" s="1"/>
  <c r="CO363" i="1" s="1"/>
  <c r="CX363" i="1" s="1"/>
  <c r="DG363" i="1" s="1"/>
  <c r="DP363" i="1" s="1"/>
  <c r="DY363" i="1" s="1"/>
  <c r="EH363" i="1" s="1"/>
  <c r="EQ363" i="1" s="1"/>
  <c r="EZ363" i="1" s="1"/>
  <c r="FI363" i="1" s="1"/>
  <c r="FR363" i="1" s="1"/>
  <c r="GA363" i="1" s="1"/>
  <c r="GJ363" i="1" s="1"/>
  <c r="GS363" i="1" s="1"/>
  <c r="HB363" i="1" s="1"/>
  <c r="HK363" i="1" s="1"/>
  <c r="HU363" i="1" s="1"/>
  <c r="ID363" i="1" s="1"/>
  <c r="IM363" i="1" s="1"/>
  <c r="IV363" i="1" s="1"/>
  <c r="JE363" i="1" s="1"/>
  <c r="JN363" i="1" s="1"/>
  <c r="JW363" i="1" s="1"/>
  <c r="KF363" i="1" s="1"/>
  <c r="KO363" i="1" s="1"/>
  <c r="KX363" i="1" s="1"/>
  <c r="LG363" i="1" s="1"/>
  <c r="LP363" i="1" s="1"/>
  <c r="LY363" i="1" s="1"/>
  <c r="MH363" i="1" s="1"/>
  <c r="MQ363" i="1" s="1"/>
  <c r="MZ363" i="1" s="1"/>
  <c r="L364" i="1"/>
  <c r="L365" i="1"/>
  <c r="U365" i="1" s="1"/>
  <c r="AD365" i="1" s="1"/>
  <c r="AM365" i="1" s="1"/>
  <c r="AV365" i="1" s="1"/>
  <c r="BE365" i="1" s="1"/>
  <c r="BN365" i="1" s="1"/>
  <c r="BW365" i="1" s="1"/>
  <c r="CF365" i="1" s="1"/>
  <c r="CO365" i="1" s="1"/>
  <c r="CX365" i="1" s="1"/>
  <c r="DG365" i="1" s="1"/>
  <c r="DP365" i="1" s="1"/>
  <c r="DY365" i="1" s="1"/>
  <c r="EH365" i="1" s="1"/>
  <c r="EQ365" i="1" s="1"/>
  <c r="EZ365" i="1" s="1"/>
  <c r="FI365" i="1" s="1"/>
  <c r="FR365" i="1" s="1"/>
  <c r="GA365" i="1" s="1"/>
  <c r="GJ365" i="1" s="1"/>
  <c r="GS365" i="1" s="1"/>
  <c r="HB365" i="1" s="1"/>
  <c r="HK365" i="1" s="1"/>
  <c r="HU365" i="1" s="1"/>
  <c r="ID365" i="1" s="1"/>
  <c r="IM365" i="1" s="1"/>
  <c r="IV365" i="1" s="1"/>
  <c r="JE365" i="1" s="1"/>
  <c r="JN365" i="1" s="1"/>
  <c r="JW365" i="1" s="1"/>
  <c r="KF365" i="1" s="1"/>
  <c r="KO365" i="1" s="1"/>
  <c r="KX365" i="1" s="1"/>
  <c r="LG365" i="1" s="1"/>
  <c r="LP365" i="1" s="1"/>
  <c r="LY365" i="1" s="1"/>
  <c r="MH365" i="1" s="1"/>
  <c r="MQ365" i="1" s="1"/>
  <c r="MZ365" i="1" s="1"/>
  <c r="L366" i="1"/>
  <c r="U366" i="1" s="1"/>
  <c r="AD366" i="1" s="1"/>
  <c r="AM366" i="1" s="1"/>
  <c r="AV366" i="1" s="1"/>
  <c r="BE366" i="1" s="1"/>
  <c r="BN366" i="1" s="1"/>
  <c r="BW366" i="1" s="1"/>
  <c r="CF366" i="1" s="1"/>
  <c r="CO366" i="1" s="1"/>
  <c r="CX366" i="1" s="1"/>
  <c r="DG366" i="1" s="1"/>
  <c r="DP366" i="1" s="1"/>
  <c r="DY366" i="1" s="1"/>
  <c r="EH366" i="1" s="1"/>
  <c r="EQ366" i="1" s="1"/>
  <c r="EZ366" i="1" s="1"/>
  <c r="FI366" i="1" s="1"/>
  <c r="FR366" i="1" s="1"/>
  <c r="GA366" i="1" s="1"/>
  <c r="GJ366" i="1" s="1"/>
  <c r="GS366" i="1" s="1"/>
  <c r="HB366" i="1" s="1"/>
  <c r="HK366" i="1" s="1"/>
  <c r="HU366" i="1" s="1"/>
  <c r="ID366" i="1" s="1"/>
  <c r="IM366" i="1" s="1"/>
  <c r="IV366" i="1" s="1"/>
  <c r="JE366" i="1" s="1"/>
  <c r="JN366" i="1" s="1"/>
  <c r="JW366" i="1" s="1"/>
  <c r="KF366" i="1" s="1"/>
  <c r="KO366" i="1" s="1"/>
  <c r="KX366" i="1" s="1"/>
  <c r="LG366" i="1" s="1"/>
  <c r="LP366" i="1" s="1"/>
  <c r="LY366" i="1" s="1"/>
  <c r="MH366" i="1" s="1"/>
  <c r="MQ366" i="1" s="1"/>
  <c r="MZ366" i="1" s="1"/>
  <c r="L367" i="1"/>
  <c r="U367" i="1" s="1"/>
  <c r="AD367" i="1" s="1"/>
  <c r="AM367" i="1" s="1"/>
  <c r="AV367" i="1" s="1"/>
  <c r="BE367" i="1" s="1"/>
  <c r="BN367" i="1" s="1"/>
  <c r="BW367" i="1" s="1"/>
  <c r="CF367" i="1" s="1"/>
  <c r="CO367" i="1" s="1"/>
  <c r="CX367" i="1" s="1"/>
  <c r="DG367" i="1" s="1"/>
  <c r="DP367" i="1" s="1"/>
  <c r="DY367" i="1" s="1"/>
  <c r="EH367" i="1" s="1"/>
  <c r="EQ367" i="1" s="1"/>
  <c r="EZ367" i="1" s="1"/>
  <c r="FI367" i="1" s="1"/>
  <c r="FR367" i="1" s="1"/>
  <c r="GA367" i="1" s="1"/>
  <c r="GJ367" i="1" s="1"/>
  <c r="GS367" i="1" s="1"/>
  <c r="HB367" i="1" s="1"/>
  <c r="HK367" i="1" s="1"/>
  <c r="HU367" i="1" s="1"/>
  <c r="ID367" i="1" s="1"/>
  <c r="IM367" i="1" s="1"/>
  <c r="IV367" i="1" s="1"/>
  <c r="JE367" i="1" s="1"/>
  <c r="JN367" i="1" s="1"/>
  <c r="JW367" i="1" s="1"/>
  <c r="KF367" i="1" s="1"/>
  <c r="KO367" i="1" s="1"/>
  <c r="KX367" i="1" s="1"/>
  <c r="LG367" i="1" s="1"/>
  <c r="LP367" i="1" s="1"/>
  <c r="LY367" i="1" s="1"/>
  <c r="MH367" i="1" s="1"/>
  <c r="MQ367" i="1" s="1"/>
  <c r="MZ367" i="1" s="1"/>
  <c r="L368" i="1"/>
  <c r="U368" i="1" s="1"/>
  <c r="AD368" i="1" s="1"/>
  <c r="AM368" i="1" s="1"/>
  <c r="AV368" i="1" s="1"/>
  <c r="BE368" i="1" s="1"/>
  <c r="BN368" i="1" s="1"/>
  <c r="BW368" i="1" s="1"/>
  <c r="CF368" i="1" s="1"/>
  <c r="CO368" i="1" s="1"/>
  <c r="CX368" i="1" s="1"/>
  <c r="DG368" i="1" s="1"/>
  <c r="DP368" i="1" s="1"/>
  <c r="DY368" i="1" s="1"/>
  <c r="EH368" i="1" s="1"/>
  <c r="EQ368" i="1" s="1"/>
  <c r="EZ368" i="1" s="1"/>
  <c r="FI368" i="1" s="1"/>
  <c r="FR368" i="1" s="1"/>
  <c r="GA368" i="1" s="1"/>
  <c r="GJ368" i="1" s="1"/>
  <c r="GS368" i="1" s="1"/>
  <c r="HB368" i="1" s="1"/>
  <c r="HK368" i="1" s="1"/>
  <c r="HU368" i="1" s="1"/>
  <c r="ID368" i="1" s="1"/>
  <c r="IM368" i="1" s="1"/>
  <c r="IV368" i="1" s="1"/>
  <c r="JE368" i="1" s="1"/>
  <c r="JN368" i="1" s="1"/>
  <c r="JW368" i="1" s="1"/>
  <c r="KF368" i="1" s="1"/>
  <c r="KO368" i="1" s="1"/>
  <c r="KX368" i="1" s="1"/>
  <c r="LG368" i="1" s="1"/>
  <c r="LP368" i="1" s="1"/>
  <c r="LY368" i="1" s="1"/>
  <c r="MH368" i="1" s="1"/>
  <c r="MQ368" i="1" s="1"/>
  <c r="MZ368" i="1" s="1"/>
  <c r="L369" i="1"/>
  <c r="U369" i="1" s="1"/>
  <c r="AD369" i="1" s="1"/>
  <c r="AM369" i="1" s="1"/>
  <c r="AV369" i="1" s="1"/>
  <c r="BE369" i="1" s="1"/>
  <c r="BN369" i="1" s="1"/>
  <c r="BW369" i="1" s="1"/>
  <c r="CF369" i="1" s="1"/>
  <c r="CO369" i="1" s="1"/>
  <c r="CX369" i="1" s="1"/>
  <c r="DG369" i="1" s="1"/>
  <c r="DP369" i="1" s="1"/>
  <c r="DY369" i="1" s="1"/>
  <c r="EH369" i="1" s="1"/>
  <c r="EQ369" i="1" s="1"/>
  <c r="EZ369" i="1" s="1"/>
  <c r="FI369" i="1" s="1"/>
  <c r="FR369" i="1" s="1"/>
  <c r="GA369" i="1" s="1"/>
  <c r="GJ369" i="1" s="1"/>
  <c r="GS369" i="1" s="1"/>
  <c r="HB369" i="1" s="1"/>
  <c r="HK369" i="1" s="1"/>
  <c r="HU369" i="1" s="1"/>
  <c r="ID369" i="1" s="1"/>
  <c r="IM369" i="1" s="1"/>
  <c r="IV369" i="1" s="1"/>
  <c r="JE369" i="1" s="1"/>
  <c r="JN369" i="1" s="1"/>
  <c r="JW369" i="1" s="1"/>
  <c r="KF369" i="1" s="1"/>
  <c r="KO369" i="1" s="1"/>
  <c r="KX369" i="1" s="1"/>
  <c r="LG369" i="1" s="1"/>
  <c r="LP369" i="1" s="1"/>
  <c r="LY369" i="1" s="1"/>
  <c r="MH369" i="1" s="1"/>
  <c r="MQ369" i="1" s="1"/>
  <c r="MZ369" i="1" s="1"/>
  <c r="L370" i="1"/>
  <c r="U370" i="1" s="1"/>
  <c r="AD370" i="1" s="1"/>
  <c r="AM370" i="1" s="1"/>
  <c r="AV370" i="1" s="1"/>
  <c r="BE370" i="1" s="1"/>
  <c r="BN370" i="1" s="1"/>
  <c r="BW370" i="1" s="1"/>
  <c r="CF370" i="1" s="1"/>
  <c r="CO370" i="1" s="1"/>
  <c r="CX370" i="1" s="1"/>
  <c r="DG370" i="1" s="1"/>
  <c r="DP370" i="1" s="1"/>
  <c r="DY370" i="1" s="1"/>
  <c r="EH370" i="1" s="1"/>
  <c r="EQ370" i="1" s="1"/>
  <c r="EZ370" i="1" s="1"/>
  <c r="FI370" i="1" s="1"/>
  <c r="FR370" i="1" s="1"/>
  <c r="GA370" i="1" s="1"/>
  <c r="GJ370" i="1" s="1"/>
  <c r="GS370" i="1" s="1"/>
  <c r="HB370" i="1" s="1"/>
  <c r="HK370" i="1" s="1"/>
  <c r="HU370" i="1" s="1"/>
  <c r="ID370" i="1" s="1"/>
  <c r="IM370" i="1" s="1"/>
  <c r="IV370" i="1" s="1"/>
  <c r="JE370" i="1" s="1"/>
  <c r="JN370" i="1" s="1"/>
  <c r="JW370" i="1" s="1"/>
  <c r="KF370" i="1" s="1"/>
  <c r="KO370" i="1" s="1"/>
  <c r="KX370" i="1" s="1"/>
  <c r="LG370" i="1" s="1"/>
  <c r="LP370" i="1" s="1"/>
  <c r="LY370" i="1" s="1"/>
  <c r="MH370" i="1" s="1"/>
  <c r="MQ370" i="1" s="1"/>
  <c r="MZ370" i="1" s="1"/>
  <c r="L371" i="1"/>
  <c r="U371" i="1" s="1"/>
  <c r="AD371" i="1" s="1"/>
  <c r="AM371" i="1" s="1"/>
  <c r="AV371" i="1" s="1"/>
  <c r="BE371" i="1" s="1"/>
  <c r="BN371" i="1" s="1"/>
  <c r="BW371" i="1" s="1"/>
  <c r="CF371" i="1" s="1"/>
  <c r="CO371" i="1" s="1"/>
  <c r="CX371" i="1" s="1"/>
  <c r="DG371" i="1" s="1"/>
  <c r="DP371" i="1" s="1"/>
  <c r="DY371" i="1" s="1"/>
  <c r="EH371" i="1" s="1"/>
  <c r="EQ371" i="1" s="1"/>
  <c r="EZ371" i="1" s="1"/>
  <c r="FI371" i="1" s="1"/>
  <c r="FR371" i="1" s="1"/>
  <c r="GA371" i="1" s="1"/>
  <c r="GJ371" i="1" s="1"/>
  <c r="GS371" i="1" s="1"/>
  <c r="HB371" i="1" s="1"/>
  <c r="HK371" i="1" s="1"/>
  <c r="HU371" i="1" s="1"/>
  <c r="ID371" i="1" s="1"/>
  <c r="IM371" i="1" s="1"/>
  <c r="IV371" i="1" s="1"/>
  <c r="JE371" i="1" s="1"/>
  <c r="JN371" i="1" s="1"/>
  <c r="JW371" i="1" s="1"/>
  <c r="KF371" i="1" s="1"/>
  <c r="KO371" i="1" s="1"/>
  <c r="KX371" i="1" s="1"/>
  <c r="LG371" i="1" s="1"/>
  <c r="LP371" i="1" s="1"/>
  <c r="LY371" i="1" s="1"/>
  <c r="MH371" i="1" s="1"/>
  <c r="MQ371" i="1" s="1"/>
  <c r="MZ371" i="1" s="1"/>
  <c r="L372" i="1"/>
  <c r="U372" i="1" s="1"/>
  <c r="AD372" i="1" s="1"/>
  <c r="AM372" i="1" s="1"/>
  <c r="AV372" i="1" s="1"/>
  <c r="BE372" i="1" s="1"/>
  <c r="BN372" i="1" s="1"/>
  <c r="BW372" i="1" s="1"/>
  <c r="CF372" i="1" s="1"/>
  <c r="CO372" i="1" s="1"/>
  <c r="CX372" i="1" s="1"/>
  <c r="DG372" i="1" s="1"/>
  <c r="DP372" i="1" s="1"/>
  <c r="DY372" i="1" s="1"/>
  <c r="EH372" i="1" s="1"/>
  <c r="EQ372" i="1" s="1"/>
  <c r="EZ372" i="1" s="1"/>
  <c r="FI372" i="1" s="1"/>
  <c r="FR372" i="1" s="1"/>
  <c r="GA372" i="1" s="1"/>
  <c r="GJ372" i="1" s="1"/>
  <c r="GS372" i="1" s="1"/>
  <c r="HB372" i="1" s="1"/>
  <c r="HK372" i="1" s="1"/>
  <c r="HU372" i="1" s="1"/>
  <c r="ID372" i="1" s="1"/>
  <c r="IM372" i="1" s="1"/>
  <c r="IV372" i="1" s="1"/>
  <c r="JE372" i="1" s="1"/>
  <c r="JN372" i="1" s="1"/>
  <c r="JW372" i="1" s="1"/>
  <c r="KF372" i="1" s="1"/>
  <c r="KO372" i="1" s="1"/>
  <c r="KX372" i="1" s="1"/>
  <c r="LG372" i="1" s="1"/>
  <c r="LP372" i="1" s="1"/>
  <c r="LY372" i="1" s="1"/>
  <c r="MH372" i="1" s="1"/>
  <c r="MQ372" i="1" s="1"/>
  <c r="MZ372" i="1" s="1"/>
  <c r="L373" i="1"/>
  <c r="U373" i="1" s="1"/>
  <c r="AD373" i="1" s="1"/>
  <c r="AM373" i="1" s="1"/>
  <c r="AV373" i="1" s="1"/>
  <c r="BE373" i="1" s="1"/>
  <c r="BN373" i="1" s="1"/>
  <c r="BW373" i="1" s="1"/>
  <c r="CF373" i="1" s="1"/>
  <c r="CO373" i="1" s="1"/>
  <c r="CX373" i="1" s="1"/>
  <c r="DG373" i="1" s="1"/>
  <c r="DP373" i="1" s="1"/>
  <c r="DY373" i="1" s="1"/>
  <c r="EH373" i="1" s="1"/>
  <c r="EQ373" i="1" s="1"/>
  <c r="EZ373" i="1" s="1"/>
  <c r="FI373" i="1" s="1"/>
  <c r="FR373" i="1" s="1"/>
  <c r="GA373" i="1" s="1"/>
  <c r="GJ373" i="1" s="1"/>
  <c r="GS373" i="1" s="1"/>
  <c r="HB373" i="1" s="1"/>
  <c r="HK373" i="1" s="1"/>
  <c r="HU373" i="1" s="1"/>
  <c r="ID373" i="1" s="1"/>
  <c r="IM373" i="1" s="1"/>
  <c r="IV373" i="1" s="1"/>
  <c r="JE373" i="1" s="1"/>
  <c r="JN373" i="1" s="1"/>
  <c r="JW373" i="1" s="1"/>
  <c r="KF373" i="1" s="1"/>
  <c r="KO373" i="1" s="1"/>
  <c r="KX373" i="1" s="1"/>
  <c r="LG373" i="1" s="1"/>
  <c r="LP373" i="1" s="1"/>
  <c r="LY373" i="1" s="1"/>
  <c r="MH373" i="1" s="1"/>
  <c r="MQ373" i="1" s="1"/>
  <c r="MZ373" i="1" s="1"/>
  <c r="L374" i="1"/>
  <c r="U374" i="1" s="1"/>
  <c r="AD374" i="1" s="1"/>
  <c r="AM374" i="1" s="1"/>
  <c r="AV374" i="1" s="1"/>
  <c r="BE374" i="1" s="1"/>
  <c r="BN374" i="1" s="1"/>
  <c r="BW374" i="1" s="1"/>
  <c r="CF374" i="1" s="1"/>
  <c r="CO374" i="1" s="1"/>
  <c r="CX374" i="1" s="1"/>
  <c r="DG374" i="1" s="1"/>
  <c r="DP374" i="1" s="1"/>
  <c r="DY374" i="1" s="1"/>
  <c r="EH374" i="1" s="1"/>
  <c r="EQ374" i="1" s="1"/>
  <c r="EZ374" i="1" s="1"/>
  <c r="FI374" i="1" s="1"/>
  <c r="FR374" i="1" s="1"/>
  <c r="GA374" i="1" s="1"/>
  <c r="GJ374" i="1" s="1"/>
  <c r="GS374" i="1" s="1"/>
  <c r="HB374" i="1" s="1"/>
  <c r="HK374" i="1" s="1"/>
  <c r="HU374" i="1" s="1"/>
  <c r="ID374" i="1" s="1"/>
  <c r="IM374" i="1" s="1"/>
  <c r="IV374" i="1" s="1"/>
  <c r="JE374" i="1" s="1"/>
  <c r="JN374" i="1" s="1"/>
  <c r="JW374" i="1" s="1"/>
  <c r="KF374" i="1" s="1"/>
  <c r="KO374" i="1" s="1"/>
  <c r="KX374" i="1" s="1"/>
  <c r="LG374" i="1" s="1"/>
  <c r="LP374" i="1" s="1"/>
  <c r="LY374" i="1" s="1"/>
  <c r="MH374" i="1" s="1"/>
  <c r="MQ374" i="1" s="1"/>
  <c r="MZ374" i="1" s="1"/>
  <c r="L375" i="1"/>
  <c r="U375" i="1" s="1"/>
  <c r="AD375" i="1" s="1"/>
  <c r="AM375" i="1" s="1"/>
  <c r="AV375" i="1" s="1"/>
  <c r="BE375" i="1" s="1"/>
  <c r="BN375" i="1" s="1"/>
  <c r="BW375" i="1" s="1"/>
  <c r="CF375" i="1" s="1"/>
  <c r="CO375" i="1" s="1"/>
  <c r="CX375" i="1" s="1"/>
  <c r="DG375" i="1" s="1"/>
  <c r="DP375" i="1" s="1"/>
  <c r="DY375" i="1" s="1"/>
  <c r="EH375" i="1" s="1"/>
  <c r="EQ375" i="1" s="1"/>
  <c r="EZ375" i="1" s="1"/>
  <c r="FI375" i="1" s="1"/>
  <c r="FR375" i="1" s="1"/>
  <c r="GA375" i="1" s="1"/>
  <c r="GJ375" i="1" s="1"/>
  <c r="GS375" i="1" s="1"/>
  <c r="HB375" i="1" s="1"/>
  <c r="HK375" i="1" s="1"/>
  <c r="HU375" i="1" s="1"/>
  <c r="ID375" i="1" s="1"/>
  <c r="IM375" i="1" s="1"/>
  <c r="IV375" i="1" s="1"/>
  <c r="JE375" i="1" s="1"/>
  <c r="JN375" i="1" s="1"/>
  <c r="JW375" i="1" s="1"/>
  <c r="KF375" i="1" s="1"/>
  <c r="KO375" i="1" s="1"/>
  <c r="KX375" i="1" s="1"/>
  <c r="LG375" i="1" s="1"/>
  <c r="LP375" i="1" s="1"/>
  <c r="LY375" i="1" s="1"/>
  <c r="MH375" i="1" s="1"/>
  <c r="MQ375" i="1" s="1"/>
  <c r="MZ375" i="1" s="1"/>
  <c r="L376" i="1"/>
  <c r="U376" i="1" s="1"/>
  <c r="AD376" i="1" s="1"/>
  <c r="AM376" i="1" s="1"/>
  <c r="AV376" i="1" s="1"/>
  <c r="BE376" i="1" s="1"/>
  <c r="BN376" i="1" s="1"/>
  <c r="BW376" i="1" s="1"/>
  <c r="CF376" i="1" s="1"/>
  <c r="CO376" i="1" s="1"/>
  <c r="CX376" i="1" s="1"/>
  <c r="DG376" i="1" s="1"/>
  <c r="DP376" i="1" s="1"/>
  <c r="DY376" i="1" s="1"/>
  <c r="EH376" i="1" s="1"/>
  <c r="EQ376" i="1" s="1"/>
  <c r="EZ376" i="1" s="1"/>
  <c r="FI376" i="1" s="1"/>
  <c r="FR376" i="1" s="1"/>
  <c r="GA376" i="1" s="1"/>
  <c r="GJ376" i="1" s="1"/>
  <c r="GS376" i="1" s="1"/>
  <c r="HB376" i="1" s="1"/>
  <c r="HK376" i="1" s="1"/>
  <c r="HU376" i="1" s="1"/>
  <c r="ID376" i="1" s="1"/>
  <c r="IM376" i="1" s="1"/>
  <c r="IV376" i="1" s="1"/>
  <c r="JE376" i="1" s="1"/>
  <c r="JN376" i="1" s="1"/>
  <c r="JW376" i="1" s="1"/>
  <c r="KF376" i="1" s="1"/>
  <c r="KO376" i="1" s="1"/>
  <c r="KX376" i="1" s="1"/>
  <c r="LG376" i="1" s="1"/>
  <c r="LP376" i="1" s="1"/>
  <c r="LY376" i="1" s="1"/>
  <c r="MH376" i="1" s="1"/>
  <c r="MQ376" i="1" s="1"/>
  <c r="MZ376" i="1" s="1"/>
  <c r="L377" i="1"/>
  <c r="U377" i="1" s="1"/>
  <c r="AD377" i="1" s="1"/>
  <c r="AM377" i="1" s="1"/>
  <c r="AV377" i="1" s="1"/>
  <c r="BE377" i="1" s="1"/>
  <c r="BN377" i="1" s="1"/>
  <c r="BW377" i="1" s="1"/>
  <c r="CF377" i="1" s="1"/>
  <c r="CO377" i="1" s="1"/>
  <c r="CX377" i="1" s="1"/>
  <c r="L378" i="1"/>
  <c r="U378" i="1" s="1"/>
  <c r="AD378" i="1" s="1"/>
  <c r="AM378" i="1" s="1"/>
  <c r="AV378" i="1" s="1"/>
  <c r="BE378" i="1" s="1"/>
  <c r="BN378" i="1" s="1"/>
  <c r="BW378" i="1" s="1"/>
  <c r="CF378" i="1" s="1"/>
  <c r="CO378" i="1" s="1"/>
  <c r="CX378" i="1" s="1"/>
  <c r="DG378" i="1" s="1"/>
  <c r="DP378" i="1" s="1"/>
  <c r="DY378" i="1" s="1"/>
  <c r="EH378" i="1" s="1"/>
  <c r="EQ378" i="1" s="1"/>
  <c r="EZ378" i="1" s="1"/>
  <c r="FI378" i="1" s="1"/>
  <c r="FR378" i="1" s="1"/>
  <c r="GA378" i="1" s="1"/>
  <c r="GJ378" i="1" s="1"/>
  <c r="GS378" i="1" s="1"/>
  <c r="HB378" i="1" s="1"/>
  <c r="HK378" i="1" s="1"/>
  <c r="HU378" i="1" s="1"/>
  <c r="ID378" i="1" s="1"/>
  <c r="IM378" i="1" s="1"/>
  <c r="IV378" i="1" s="1"/>
  <c r="JE378" i="1" s="1"/>
  <c r="JN378" i="1" s="1"/>
  <c r="JW378" i="1" s="1"/>
  <c r="KF378" i="1" s="1"/>
  <c r="KO378" i="1" s="1"/>
  <c r="KX378" i="1" s="1"/>
  <c r="LG378" i="1" s="1"/>
  <c r="LP378" i="1" s="1"/>
  <c r="LY378" i="1" s="1"/>
  <c r="MH378" i="1" s="1"/>
  <c r="MQ378" i="1" s="1"/>
  <c r="MZ378" i="1" s="1"/>
  <c r="L379" i="1"/>
  <c r="U379" i="1" s="1"/>
  <c r="AD379" i="1" s="1"/>
  <c r="AM379" i="1" s="1"/>
  <c r="AV379" i="1" s="1"/>
  <c r="BE379" i="1" s="1"/>
  <c r="BN379" i="1" s="1"/>
  <c r="BW379" i="1" s="1"/>
  <c r="CF379" i="1" s="1"/>
  <c r="CO379" i="1" s="1"/>
  <c r="CX379" i="1" s="1"/>
  <c r="DG379" i="1" s="1"/>
  <c r="DP379" i="1" s="1"/>
  <c r="DY379" i="1" s="1"/>
  <c r="EH379" i="1" s="1"/>
  <c r="EQ379" i="1" s="1"/>
  <c r="EZ379" i="1" s="1"/>
  <c r="FI379" i="1" s="1"/>
  <c r="FR379" i="1" s="1"/>
  <c r="GA379" i="1" s="1"/>
  <c r="GJ379" i="1" s="1"/>
  <c r="GS379" i="1" s="1"/>
  <c r="HB379" i="1" s="1"/>
  <c r="HK379" i="1" s="1"/>
  <c r="HU379" i="1" s="1"/>
  <c r="ID379" i="1" s="1"/>
  <c r="IM379" i="1" s="1"/>
  <c r="IV379" i="1" s="1"/>
  <c r="JE379" i="1" s="1"/>
  <c r="JN379" i="1" s="1"/>
  <c r="JW379" i="1" s="1"/>
  <c r="KF379" i="1" s="1"/>
  <c r="KO379" i="1" s="1"/>
  <c r="KX379" i="1" s="1"/>
  <c r="LG379" i="1" s="1"/>
  <c r="LP379" i="1" s="1"/>
  <c r="LY379" i="1" s="1"/>
  <c r="MH379" i="1" s="1"/>
  <c r="MQ379" i="1" s="1"/>
  <c r="MZ379" i="1" s="1"/>
  <c r="L380" i="1"/>
  <c r="U380" i="1" s="1"/>
  <c r="AD380" i="1" s="1"/>
  <c r="AM380" i="1" s="1"/>
  <c r="AV380" i="1" s="1"/>
  <c r="BE380" i="1" s="1"/>
  <c r="BN380" i="1" s="1"/>
  <c r="BW380" i="1" s="1"/>
  <c r="CF380" i="1" s="1"/>
  <c r="CO380" i="1" s="1"/>
  <c r="CX380" i="1" s="1"/>
  <c r="DG380" i="1" s="1"/>
  <c r="DP380" i="1" s="1"/>
  <c r="DY380" i="1" s="1"/>
  <c r="EH380" i="1" s="1"/>
  <c r="EQ380" i="1" s="1"/>
  <c r="EZ380" i="1" s="1"/>
  <c r="FI380" i="1" s="1"/>
  <c r="FR380" i="1" s="1"/>
  <c r="GA380" i="1" s="1"/>
  <c r="GJ380" i="1" s="1"/>
  <c r="GS380" i="1" s="1"/>
  <c r="HB380" i="1" s="1"/>
  <c r="HK380" i="1" s="1"/>
  <c r="HU380" i="1" s="1"/>
  <c r="ID380" i="1" s="1"/>
  <c r="IM380" i="1" s="1"/>
  <c r="IV380" i="1" s="1"/>
  <c r="JE380" i="1" s="1"/>
  <c r="JN380" i="1" s="1"/>
  <c r="JW380" i="1" s="1"/>
  <c r="KF380" i="1" s="1"/>
  <c r="KO380" i="1" s="1"/>
  <c r="KX380" i="1" s="1"/>
  <c r="LG380" i="1" s="1"/>
  <c r="LP380" i="1" s="1"/>
  <c r="LY380" i="1" s="1"/>
  <c r="MH380" i="1" s="1"/>
  <c r="MQ380" i="1" s="1"/>
  <c r="MZ380" i="1" s="1"/>
  <c r="L381" i="1"/>
  <c r="U381" i="1" s="1"/>
  <c r="AD381" i="1" s="1"/>
  <c r="AM381" i="1" s="1"/>
  <c r="AV381" i="1" s="1"/>
  <c r="BE381" i="1" s="1"/>
  <c r="BN381" i="1" s="1"/>
  <c r="BW381" i="1" s="1"/>
  <c r="CF381" i="1" s="1"/>
  <c r="CO381" i="1" s="1"/>
  <c r="CX381" i="1" s="1"/>
  <c r="DG381" i="1" s="1"/>
  <c r="DP381" i="1" s="1"/>
  <c r="DY381" i="1" s="1"/>
  <c r="EH381" i="1" s="1"/>
  <c r="EQ381" i="1" s="1"/>
  <c r="EZ381" i="1" s="1"/>
  <c r="FI381" i="1" s="1"/>
  <c r="FR381" i="1" s="1"/>
  <c r="GA381" i="1" s="1"/>
  <c r="GJ381" i="1" s="1"/>
  <c r="GS381" i="1" s="1"/>
  <c r="HB381" i="1" s="1"/>
  <c r="HK381" i="1" s="1"/>
  <c r="HU381" i="1" s="1"/>
  <c r="ID381" i="1" s="1"/>
  <c r="IM381" i="1" s="1"/>
  <c r="IV381" i="1" s="1"/>
  <c r="JE381" i="1" s="1"/>
  <c r="JN381" i="1" s="1"/>
  <c r="JW381" i="1" s="1"/>
  <c r="KF381" i="1" s="1"/>
  <c r="KO381" i="1" s="1"/>
  <c r="KX381" i="1" s="1"/>
  <c r="LG381" i="1" s="1"/>
  <c r="LP381" i="1" s="1"/>
  <c r="LY381" i="1" s="1"/>
  <c r="MH381" i="1" s="1"/>
  <c r="MQ381" i="1" s="1"/>
  <c r="MZ381" i="1" s="1"/>
  <c r="L382" i="1"/>
  <c r="U382" i="1" s="1"/>
  <c r="L383" i="1"/>
  <c r="U383" i="1" s="1"/>
  <c r="AD383" i="1" s="1"/>
  <c r="AM383" i="1" s="1"/>
  <c r="AV383" i="1" s="1"/>
  <c r="BE383" i="1" s="1"/>
  <c r="BN383" i="1" s="1"/>
  <c r="BW383" i="1" s="1"/>
  <c r="CF383" i="1" s="1"/>
  <c r="CO383" i="1" s="1"/>
  <c r="CX383" i="1" s="1"/>
  <c r="DG383" i="1" s="1"/>
  <c r="DP383" i="1" s="1"/>
  <c r="DY383" i="1" s="1"/>
  <c r="EH383" i="1" s="1"/>
  <c r="EQ383" i="1" s="1"/>
  <c r="EZ383" i="1" s="1"/>
  <c r="FI383" i="1" s="1"/>
  <c r="FR383" i="1" s="1"/>
  <c r="GA383" i="1" s="1"/>
  <c r="GJ383" i="1" s="1"/>
  <c r="GS383" i="1" s="1"/>
  <c r="HB383" i="1" s="1"/>
  <c r="HK383" i="1" s="1"/>
  <c r="HU383" i="1" s="1"/>
  <c r="ID383" i="1" s="1"/>
  <c r="IM383" i="1" s="1"/>
  <c r="IV383" i="1" s="1"/>
  <c r="JE383" i="1" s="1"/>
  <c r="JN383" i="1" s="1"/>
  <c r="JW383" i="1" s="1"/>
  <c r="KF383" i="1" s="1"/>
  <c r="KO383" i="1" s="1"/>
  <c r="KX383" i="1" s="1"/>
  <c r="LG383" i="1" s="1"/>
  <c r="LP383" i="1" s="1"/>
  <c r="LY383" i="1" s="1"/>
  <c r="MH383" i="1" s="1"/>
  <c r="MQ383" i="1" s="1"/>
  <c r="MZ383" i="1" s="1"/>
  <c r="L384" i="1"/>
  <c r="U384" i="1" s="1"/>
  <c r="AD384" i="1" s="1"/>
  <c r="AM384" i="1" s="1"/>
  <c r="AV384" i="1" s="1"/>
  <c r="BE384" i="1" s="1"/>
  <c r="L385" i="1"/>
  <c r="U385" i="1" s="1"/>
  <c r="AD385" i="1" s="1"/>
  <c r="AM385" i="1" s="1"/>
  <c r="AV385" i="1" s="1"/>
  <c r="BE385" i="1" s="1"/>
  <c r="BN385" i="1" s="1"/>
  <c r="BW385" i="1" s="1"/>
  <c r="CF385" i="1" s="1"/>
  <c r="CO385" i="1" s="1"/>
  <c r="CX385" i="1" s="1"/>
  <c r="DG385" i="1" s="1"/>
  <c r="DP385" i="1" s="1"/>
  <c r="DY385" i="1" s="1"/>
  <c r="EH385" i="1" s="1"/>
  <c r="EQ385" i="1" s="1"/>
  <c r="EZ385" i="1" s="1"/>
  <c r="FI385" i="1" s="1"/>
  <c r="FR385" i="1" s="1"/>
  <c r="GA385" i="1" s="1"/>
  <c r="GJ385" i="1" s="1"/>
  <c r="GS385" i="1" s="1"/>
  <c r="HB385" i="1" s="1"/>
  <c r="HK385" i="1" s="1"/>
  <c r="HU385" i="1" s="1"/>
  <c r="ID385" i="1" s="1"/>
  <c r="IM385" i="1" s="1"/>
  <c r="IV385" i="1" s="1"/>
  <c r="JE385" i="1" s="1"/>
  <c r="JN385" i="1" s="1"/>
  <c r="JW385" i="1" s="1"/>
  <c r="KF385" i="1" s="1"/>
  <c r="KO385" i="1" s="1"/>
  <c r="KX385" i="1" s="1"/>
  <c r="LG385" i="1" s="1"/>
  <c r="LP385" i="1" s="1"/>
  <c r="LY385" i="1" s="1"/>
  <c r="MH385" i="1" s="1"/>
  <c r="MQ385" i="1" s="1"/>
  <c r="MZ385" i="1" s="1"/>
  <c r="L386" i="1"/>
  <c r="U386" i="1" s="1"/>
  <c r="AD386" i="1" s="1"/>
  <c r="AM386" i="1" s="1"/>
  <c r="AV386" i="1" s="1"/>
  <c r="BE386" i="1" s="1"/>
  <c r="BN386" i="1" s="1"/>
  <c r="BW386" i="1" s="1"/>
  <c r="CF386" i="1" s="1"/>
  <c r="CO386" i="1" s="1"/>
  <c r="CX386" i="1" s="1"/>
  <c r="DG386" i="1" s="1"/>
  <c r="DP386" i="1" s="1"/>
  <c r="DY386" i="1" s="1"/>
  <c r="EH386" i="1" s="1"/>
  <c r="EQ386" i="1" s="1"/>
  <c r="EZ386" i="1" s="1"/>
  <c r="FI386" i="1" s="1"/>
  <c r="FR386" i="1" s="1"/>
  <c r="GA386" i="1" s="1"/>
  <c r="GJ386" i="1" s="1"/>
  <c r="GS386" i="1" s="1"/>
  <c r="HB386" i="1" s="1"/>
  <c r="HK386" i="1" s="1"/>
  <c r="HU386" i="1" s="1"/>
  <c r="ID386" i="1" s="1"/>
  <c r="IM386" i="1" s="1"/>
  <c r="IV386" i="1" s="1"/>
  <c r="JE386" i="1" s="1"/>
  <c r="JN386" i="1" s="1"/>
  <c r="JW386" i="1" s="1"/>
  <c r="KF386" i="1" s="1"/>
  <c r="KO386" i="1" s="1"/>
  <c r="KX386" i="1" s="1"/>
  <c r="LG386" i="1" s="1"/>
  <c r="LP386" i="1" s="1"/>
  <c r="LY386" i="1" s="1"/>
  <c r="MH386" i="1" s="1"/>
  <c r="MQ386" i="1" s="1"/>
  <c r="MZ386" i="1" s="1"/>
  <c r="L387" i="1"/>
  <c r="U387" i="1" s="1"/>
  <c r="AD387" i="1" s="1"/>
  <c r="AM387" i="1" s="1"/>
  <c r="AV387" i="1" s="1"/>
  <c r="BE387" i="1" s="1"/>
  <c r="BN387" i="1" s="1"/>
  <c r="BW387" i="1" s="1"/>
  <c r="CF387" i="1" s="1"/>
  <c r="CO387" i="1" s="1"/>
  <c r="CX387" i="1" s="1"/>
  <c r="DG387" i="1" s="1"/>
  <c r="DP387" i="1" s="1"/>
  <c r="DY387" i="1" s="1"/>
  <c r="EH387" i="1" s="1"/>
  <c r="EQ387" i="1" s="1"/>
  <c r="EZ387" i="1" s="1"/>
  <c r="FI387" i="1" s="1"/>
  <c r="FR387" i="1" s="1"/>
  <c r="GA387" i="1" s="1"/>
  <c r="GJ387" i="1" s="1"/>
  <c r="GS387" i="1" s="1"/>
  <c r="HB387" i="1" s="1"/>
  <c r="HK387" i="1" s="1"/>
  <c r="HU387" i="1" s="1"/>
  <c r="ID387" i="1" s="1"/>
  <c r="IM387" i="1" s="1"/>
  <c r="IV387" i="1" s="1"/>
  <c r="JE387" i="1" s="1"/>
  <c r="JN387" i="1" s="1"/>
  <c r="JW387" i="1" s="1"/>
  <c r="KF387" i="1" s="1"/>
  <c r="KO387" i="1" s="1"/>
  <c r="KX387" i="1" s="1"/>
  <c r="LG387" i="1" s="1"/>
  <c r="LP387" i="1" s="1"/>
  <c r="LY387" i="1" s="1"/>
  <c r="MH387" i="1" s="1"/>
  <c r="MQ387" i="1" s="1"/>
  <c r="MZ387" i="1" s="1"/>
  <c r="L388" i="1"/>
  <c r="L389" i="1"/>
  <c r="L390" i="1"/>
  <c r="U390" i="1" s="1"/>
  <c r="AD390" i="1" s="1"/>
  <c r="AM390" i="1" s="1"/>
  <c r="AV390" i="1" s="1"/>
  <c r="BE390" i="1" s="1"/>
  <c r="BN390" i="1" s="1"/>
  <c r="BW390" i="1" s="1"/>
  <c r="CF390" i="1" s="1"/>
  <c r="CO390" i="1" s="1"/>
  <c r="CX390" i="1" s="1"/>
  <c r="DG390" i="1" s="1"/>
  <c r="DP390" i="1" s="1"/>
  <c r="DY390" i="1" s="1"/>
  <c r="EH390" i="1" s="1"/>
  <c r="EQ390" i="1" s="1"/>
  <c r="EZ390" i="1" s="1"/>
  <c r="FI390" i="1" s="1"/>
  <c r="FR390" i="1" s="1"/>
  <c r="GA390" i="1" s="1"/>
  <c r="GJ390" i="1" s="1"/>
  <c r="GS390" i="1" s="1"/>
  <c r="HB390" i="1" s="1"/>
  <c r="HK390" i="1" s="1"/>
  <c r="HU390" i="1" s="1"/>
  <c r="ID390" i="1" s="1"/>
  <c r="IM390" i="1" s="1"/>
  <c r="IV390" i="1" s="1"/>
  <c r="JE390" i="1" s="1"/>
  <c r="JN390" i="1" s="1"/>
  <c r="JW390" i="1" s="1"/>
  <c r="KF390" i="1" s="1"/>
  <c r="KO390" i="1" s="1"/>
  <c r="KX390" i="1" s="1"/>
  <c r="LG390" i="1" s="1"/>
  <c r="LP390" i="1" s="1"/>
  <c r="LY390" i="1" s="1"/>
  <c r="MH390" i="1" s="1"/>
  <c r="MQ390" i="1" s="1"/>
  <c r="MZ390" i="1" s="1"/>
  <c r="L361" i="1"/>
  <c r="U361" i="1" s="1"/>
  <c r="AD361" i="1" s="1"/>
  <c r="AM361" i="1" s="1"/>
  <c r="AV361" i="1" s="1"/>
  <c r="BE361" i="1" s="1"/>
  <c r="BN361" i="1" s="1"/>
  <c r="BW361" i="1" s="1"/>
  <c r="CF361" i="1" s="1"/>
  <c r="CO361" i="1" s="1"/>
  <c r="CX361" i="1" s="1"/>
  <c r="DG361" i="1" s="1"/>
  <c r="DP361" i="1" s="1"/>
  <c r="DY361" i="1" s="1"/>
  <c r="EH361" i="1" s="1"/>
  <c r="EQ361" i="1" s="1"/>
  <c r="EZ361" i="1" s="1"/>
  <c r="FI361" i="1" s="1"/>
  <c r="FR361" i="1" s="1"/>
  <c r="GA361" i="1" s="1"/>
  <c r="GJ361" i="1" s="1"/>
  <c r="GS361" i="1" s="1"/>
  <c r="HB361" i="1" s="1"/>
  <c r="HK361" i="1" s="1"/>
  <c r="HU361" i="1" s="1"/>
  <c r="ID361" i="1" s="1"/>
  <c r="IM361" i="1" s="1"/>
  <c r="IV361" i="1" s="1"/>
  <c r="JE361" i="1" s="1"/>
  <c r="JN361" i="1" s="1"/>
  <c r="JW361" i="1" s="1"/>
  <c r="KF361" i="1" s="1"/>
  <c r="KO361" i="1" s="1"/>
  <c r="KX361" i="1" s="1"/>
  <c r="LG361" i="1" s="1"/>
  <c r="LP361" i="1" s="1"/>
  <c r="LY361" i="1" s="1"/>
  <c r="MH361" i="1" s="1"/>
  <c r="MQ361" i="1" s="1"/>
  <c r="MZ361" i="1" s="1"/>
  <c r="U364" i="1"/>
  <c r="AD364" i="1" s="1"/>
  <c r="AM364" i="1" s="1"/>
  <c r="AV364" i="1" s="1"/>
  <c r="BE364" i="1" s="1"/>
  <c r="BN364" i="1" s="1"/>
  <c r="BW364" i="1" s="1"/>
  <c r="CF364" i="1" s="1"/>
  <c r="CO364" i="1" s="1"/>
  <c r="CX364" i="1" s="1"/>
  <c r="DG364" i="1" s="1"/>
  <c r="DP364" i="1" s="1"/>
  <c r="DY364" i="1" s="1"/>
  <c r="EH364" i="1" s="1"/>
  <c r="EQ364" i="1" s="1"/>
  <c r="EZ364" i="1" s="1"/>
  <c r="FI364" i="1" s="1"/>
  <c r="FR364" i="1" s="1"/>
  <c r="GA364" i="1" s="1"/>
  <c r="GJ364" i="1" s="1"/>
  <c r="GS364" i="1" s="1"/>
  <c r="HB364" i="1" s="1"/>
  <c r="HK364" i="1" s="1"/>
  <c r="HU364" i="1" s="1"/>
  <c r="ID364" i="1" s="1"/>
  <c r="IM364" i="1" s="1"/>
  <c r="IV364" i="1" s="1"/>
  <c r="JE364" i="1" s="1"/>
  <c r="JN364" i="1" s="1"/>
  <c r="JW364" i="1" s="1"/>
  <c r="KF364" i="1" s="1"/>
  <c r="KO364" i="1" s="1"/>
  <c r="KX364" i="1" s="1"/>
  <c r="LG364" i="1" s="1"/>
  <c r="LP364" i="1" s="1"/>
  <c r="LY364" i="1" s="1"/>
  <c r="MH364" i="1" s="1"/>
  <c r="MQ364" i="1" s="1"/>
  <c r="MZ364" i="1" s="1"/>
  <c r="U388" i="1"/>
  <c r="AD388" i="1" s="1"/>
  <c r="AM388" i="1" s="1"/>
  <c r="AV388" i="1" s="1"/>
  <c r="BE388" i="1" s="1"/>
  <c r="BN388" i="1" s="1"/>
  <c r="BW388" i="1" s="1"/>
  <c r="CF388" i="1" s="1"/>
  <c r="CO388" i="1" s="1"/>
  <c r="CX388" i="1" s="1"/>
  <c r="DG388" i="1" s="1"/>
  <c r="DP388" i="1" s="1"/>
  <c r="DY388" i="1" s="1"/>
  <c r="EH388" i="1" s="1"/>
  <c r="EQ388" i="1" s="1"/>
  <c r="EZ388" i="1" s="1"/>
  <c r="FI388" i="1" s="1"/>
  <c r="FR388" i="1" s="1"/>
  <c r="GA388" i="1" s="1"/>
  <c r="GJ388" i="1" s="1"/>
  <c r="GS388" i="1" s="1"/>
  <c r="HB388" i="1" s="1"/>
  <c r="HK388" i="1" s="1"/>
  <c r="HU388" i="1" s="1"/>
  <c r="ID388" i="1" s="1"/>
  <c r="IM388" i="1" s="1"/>
  <c r="IV388" i="1" s="1"/>
  <c r="JE388" i="1" s="1"/>
  <c r="JN388" i="1" s="1"/>
  <c r="JW388" i="1" s="1"/>
  <c r="KF388" i="1" s="1"/>
  <c r="KO388" i="1" s="1"/>
  <c r="KX388" i="1" s="1"/>
  <c r="LG388" i="1" s="1"/>
  <c r="LP388" i="1" s="1"/>
  <c r="LY388" i="1" s="1"/>
  <c r="MH388" i="1" s="1"/>
  <c r="MQ388" i="1" s="1"/>
  <c r="MZ388" i="1" s="1"/>
  <c r="U389" i="1"/>
  <c r="AD389" i="1" s="1"/>
  <c r="AM389" i="1" s="1"/>
  <c r="AV389" i="1" s="1"/>
  <c r="BE389" i="1" s="1"/>
  <c r="BN389" i="1" s="1"/>
  <c r="BW389" i="1" s="1"/>
  <c r="CF389" i="1" s="1"/>
  <c r="CO389" i="1" s="1"/>
  <c r="CX389" i="1" s="1"/>
  <c r="DG389" i="1" s="1"/>
  <c r="DP389" i="1" s="1"/>
  <c r="DY389" i="1" s="1"/>
  <c r="EH389" i="1" s="1"/>
  <c r="EQ389" i="1" s="1"/>
  <c r="EZ389" i="1" s="1"/>
  <c r="FI389" i="1" s="1"/>
  <c r="FR389" i="1" s="1"/>
  <c r="GA389" i="1" s="1"/>
  <c r="GJ389" i="1" s="1"/>
  <c r="GS389" i="1" s="1"/>
  <c r="HB389" i="1" s="1"/>
  <c r="HK389" i="1" s="1"/>
  <c r="HU389" i="1" s="1"/>
  <c r="ID389" i="1" s="1"/>
  <c r="IM389" i="1" s="1"/>
  <c r="IV389" i="1" s="1"/>
  <c r="JE389" i="1" s="1"/>
  <c r="JN389" i="1" s="1"/>
  <c r="JW389" i="1" s="1"/>
  <c r="KF389" i="1" s="1"/>
  <c r="KO389" i="1" s="1"/>
  <c r="KX389" i="1" s="1"/>
  <c r="LG389" i="1" s="1"/>
  <c r="LP389" i="1" s="1"/>
  <c r="LY389" i="1" s="1"/>
  <c r="MH389" i="1" s="1"/>
  <c r="MQ389" i="1" s="1"/>
  <c r="MZ389" i="1" s="1"/>
  <c r="AD382" i="1"/>
  <c r="AM382" i="1" s="1"/>
  <c r="AV382" i="1" s="1"/>
  <c r="BE382" i="1" s="1"/>
  <c r="BN382" i="1" s="1"/>
  <c r="BW382" i="1" s="1"/>
  <c r="CF382" i="1" s="1"/>
  <c r="CO382" i="1" s="1"/>
  <c r="CX382" i="1" s="1"/>
  <c r="DG382" i="1" s="1"/>
  <c r="DP382" i="1" s="1"/>
  <c r="DY382" i="1" s="1"/>
  <c r="EH382" i="1" s="1"/>
  <c r="EQ382" i="1" s="1"/>
  <c r="EZ382" i="1" s="1"/>
  <c r="FI382" i="1" s="1"/>
  <c r="FR382" i="1" s="1"/>
  <c r="GA382" i="1" s="1"/>
  <c r="GJ382" i="1" s="1"/>
  <c r="GS382" i="1" s="1"/>
  <c r="HB382" i="1" s="1"/>
  <c r="HK382" i="1" s="1"/>
  <c r="HU382" i="1" s="1"/>
  <c r="ID382" i="1" s="1"/>
  <c r="IM382" i="1" s="1"/>
  <c r="IV382" i="1" s="1"/>
  <c r="JE382" i="1" s="1"/>
  <c r="JN382" i="1" s="1"/>
  <c r="JW382" i="1" s="1"/>
  <c r="KF382" i="1" s="1"/>
  <c r="KO382" i="1" s="1"/>
  <c r="KX382" i="1" s="1"/>
  <c r="LG382" i="1" s="1"/>
  <c r="LP382" i="1" s="1"/>
  <c r="LY382" i="1" s="1"/>
  <c r="MH382" i="1" s="1"/>
  <c r="MQ382" i="1" s="1"/>
  <c r="MZ382" i="1" s="1"/>
  <c r="BN384" i="1"/>
  <c r="BW384" i="1" s="1"/>
  <c r="CF384" i="1" s="1"/>
  <c r="CO384" i="1" s="1"/>
  <c r="CX384" i="1" s="1"/>
  <c r="DG384" i="1" s="1"/>
  <c r="DP384" i="1" s="1"/>
  <c r="DY384" i="1" s="1"/>
  <c r="EH384" i="1" s="1"/>
  <c r="EQ384" i="1" s="1"/>
  <c r="EZ384" i="1" s="1"/>
  <c r="FI384" i="1" s="1"/>
  <c r="FR384" i="1" s="1"/>
  <c r="GA384" i="1" s="1"/>
  <c r="GJ384" i="1" s="1"/>
  <c r="GS384" i="1" s="1"/>
  <c r="HB384" i="1" s="1"/>
  <c r="HK384" i="1" s="1"/>
  <c r="HU384" i="1" s="1"/>
  <c r="ID384" i="1" s="1"/>
  <c r="IM384" i="1" s="1"/>
  <c r="IV384" i="1" s="1"/>
  <c r="JE384" i="1" s="1"/>
  <c r="JN384" i="1" s="1"/>
  <c r="JW384" i="1" s="1"/>
  <c r="KF384" i="1" s="1"/>
  <c r="KO384" i="1" s="1"/>
  <c r="KX384" i="1" s="1"/>
  <c r="LG384" i="1" s="1"/>
  <c r="LP384" i="1" s="1"/>
  <c r="LY384" i="1" s="1"/>
  <c r="MH384" i="1" s="1"/>
  <c r="MQ384" i="1" s="1"/>
  <c r="MZ384" i="1" s="1"/>
  <c r="DG377" i="1"/>
  <c r="DP377" i="1" s="1"/>
  <c r="DY377" i="1" s="1"/>
  <c r="EH377" i="1" s="1"/>
  <c r="EQ377" i="1" s="1"/>
  <c r="EZ377" i="1" s="1"/>
  <c r="FI377" i="1" s="1"/>
  <c r="FR377" i="1" s="1"/>
  <c r="GA377" i="1" s="1"/>
  <c r="GJ377" i="1" s="1"/>
  <c r="GS377" i="1" s="1"/>
  <c r="HB377" i="1" s="1"/>
  <c r="HK377" i="1" s="1"/>
  <c r="HU377" i="1" s="1"/>
  <c r="ID377" i="1" s="1"/>
  <c r="IM377" i="1" s="1"/>
  <c r="IV377" i="1" s="1"/>
  <c r="JE377" i="1" s="1"/>
  <c r="JN377" i="1" s="1"/>
  <c r="JW377" i="1" s="1"/>
  <c r="KF377" i="1" s="1"/>
  <c r="KO377" i="1" s="1"/>
  <c r="KX377" i="1" s="1"/>
  <c r="LG377" i="1" s="1"/>
  <c r="LP377" i="1" s="1"/>
  <c r="LY377" i="1" s="1"/>
  <c r="MH377" i="1" s="1"/>
  <c r="MQ377" i="1" s="1"/>
  <c r="MZ377" i="1" s="1"/>
  <c r="L326" i="1"/>
  <c r="U326" i="1" s="1"/>
  <c r="AD326" i="1" s="1"/>
  <c r="AM326" i="1" s="1"/>
  <c r="AV326" i="1" s="1"/>
  <c r="BE326" i="1" s="1"/>
  <c r="BN326" i="1" s="1"/>
  <c r="BW326" i="1" s="1"/>
  <c r="CF326" i="1" s="1"/>
  <c r="CO326" i="1" s="1"/>
  <c r="CX326" i="1" s="1"/>
  <c r="DG326" i="1" s="1"/>
  <c r="DP326" i="1" s="1"/>
  <c r="DY326" i="1" s="1"/>
  <c r="EH326" i="1" s="1"/>
  <c r="EQ326" i="1" s="1"/>
  <c r="EZ326" i="1" s="1"/>
  <c r="FI326" i="1" s="1"/>
  <c r="FR326" i="1" s="1"/>
  <c r="GA326" i="1" s="1"/>
  <c r="GJ326" i="1" s="1"/>
  <c r="GS326" i="1" s="1"/>
  <c r="HB326" i="1" s="1"/>
  <c r="HK326" i="1" s="1"/>
  <c r="HU326" i="1" s="1"/>
  <c r="ID326" i="1" s="1"/>
  <c r="IM326" i="1" s="1"/>
  <c r="IV326" i="1" s="1"/>
  <c r="JE326" i="1" s="1"/>
  <c r="JN326" i="1" s="1"/>
  <c r="JW326" i="1" s="1"/>
  <c r="KF326" i="1" s="1"/>
  <c r="KO326" i="1" s="1"/>
  <c r="KX326" i="1" s="1"/>
  <c r="LG326" i="1" s="1"/>
  <c r="LP326" i="1" s="1"/>
  <c r="LY326" i="1" s="1"/>
  <c r="MH326" i="1" s="1"/>
  <c r="MQ326" i="1" s="1"/>
  <c r="MZ326" i="1" s="1"/>
  <c r="L327" i="1"/>
  <c r="U327" i="1" s="1"/>
  <c r="AD327" i="1" s="1"/>
  <c r="AM327" i="1" s="1"/>
  <c r="AV327" i="1" s="1"/>
  <c r="BE327" i="1" s="1"/>
  <c r="BN327" i="1" s="1"/>
  <c r="BW327" i="1" s="1"/>
  <c r="CF327" i="1" s="1"/>
  <c r="CO327" i="1" s="1"/>
  <c r="CX327" i="1" s="1"/>
  <c r="DG327" i="1" s="1"/>
  <c r="DP327" i="1" s="1"/>
  <c r="DY327" i="1" s="1"/>
  <c r="EH327" i="1" s="1"/>
  <c r="EQ327" i="1" s="1"/>
  <c r="EZ327" i="1" s="1"/>
  <c r="FI327" i="1" s="1"/>
  <c r="FR327" i="1" s="1"/>
  <c r="GA327" i="1" s="1"/>
  <c r="GJ327" i="1" s="1"/>
  <c r="GS327" i="1" s="1"/>
  <c r="HB327" i="1" s="1"/>
  <c r="HK327" i="1" s="1"/>
  <c r="HU327" i="1" s="1"/>
  <c r="ID327" i="1" s="1"/>
  <c r="IM327" i="1" s="1"/>
  <c r="IV327" i="1" s="1"/>
  <c r="JE327" i="1" s="1"/>
  <c r="JN327" i="1" s="1"/>
  <c r="JW327" i="1" s="1"/>
  <c r="KF327" i="1" s="1"/>
  <c r="KO327" i="1" s="1"/>
  <c r="KX327" i="1" s="1"/>
  <c r="LG327" i="1" s="1"/>
  <c r="LP327" i="1" s="1"/>
  <c r="LY327" i="1" s="1"/>
  <c r="MH327" i="1" s="1"/>
  <c r="MQ327" i="1" s="1"/>
  <c r="MZ327" i="1" s="1"/>
  <c r="L328" i="1"/>
  <c r="U328" i="1" s="1"/>
  <c r="AD328" i="1" s="1"/>
  <c r="AM328" i="1" s="1"/>
  <c r="AV328" i="1" s="1"/>
  <c r="BE328" i="1" s="1"/>
  <c r="BN328" i="1" s="1"/>
  <c r="BW328" i="1" s="1"/>
  <c r="CF328" i="1" s="1"/>
  <c r="CO328" i="1" s="1"/>
  <c r="CX328" i="1" s="1"/>
  <c r="DG328" i="1" s="1"/>
  <c r="DP328" i="1" s="1"/>
  <c r="DY328" i="1" s="1"/>
  <c r="EH328" i="1" s="1"/>
  <c r="EQ328" i="1" s="1"/>
  <c r="EZ328" i="1" s="1"/>
  <c r="FI328" i="1" s="1"/>
  <c r="FR328" i="1" s="1"/>
  <c r="GA328" i="1" s="1"/>
  <c r="GJ328" i="1" s="1"/>
  <c r="GS328" i="1" s="1"/>
  <c r="HB328" i="1" s="1"/>
  <c r="HK328" i="1" s="1"/>
  <c r="HU328" i="1" s="1"/>
  <c r="ID328" i="1" s="1"/>
  <c r="IM328" i="1" s="1"/>
  <c r="IV328" i="1" s="1"/>
  <c r="JE328" i="1" s="1"/>
  <c r="JN328" i="1" s="1"/>
  <c r="JW328" i="1" s="1"/>
  <c r="KF328" i="1" s="1"/>
  <c r="KO328" i="1" s="1"/>
  <c r="KX328" i="1" s="1"/>
  <c r="LG328" i="1" s="1"/>
  <c r="LP328" i="1" s="1"/>
  <c r="LY328" i="1" s="1"/>
  <c r="MH328" i="1" s="1"/>
  <c r="MQ328" i="1" s="1"/>
  <c r="MZ328" i="1" s="1"/>
  <c r="L329" i="1"/>
  <c r="U329" i="1" s="1"/>
  <c r="AD329" i="1" s="1"/>
  <c r="AM329" i="1" s="1"/>
  <c r="AV329" i="1" s="1"/>
  <c r="BE329" i="1" s="1"/>
  <c r="BN329" i="1" s="1"/>
  <c r="BW329" i="1" s="1"/>
  <c r="CF329" i="1" s="1"/>
  <c r="CO329" i="1" s="1"/>
  <c r="CX329" i="1" s="1"/>
  <c r="DG329" i="1" s="1"/>
  <c r="DP329" i="1" s="1"/>
  <c r="DY329" i="1" s="1"/>
  <c r="EH329" i="1" s="1"/>
  <c r="EQ329" i="1" s="1"/>
  <c r="EZ329" i="1" s="1"/>
  <c r="FI329" i="1" s="1"/>
  <c r="FR329" i="1" s="1"/>
  <c r="GA329" i="1" s="1"/>
  <c r="GJ329" i="1" s="1"/>
  <c r="GS329" i="1" s="1"/>
  <c r="HB329" i="1" s="1"/>
  <c r="HK329" i="1" s="1"/>
  <c r="HU329" i="1" s="1"/>
  <c r="ID329" i="1" s="1"/>
  <c r="IM329" i="1" s="1"/>
  <c r="IV329" i="1" s="1"/>
  <c r="JE329" i="1" s="1"/>
  <c r="JN329" i="1" s="1"/>
  <c r="JW329" i="1" s="1"/>
  <c r="KF329" i="1" s="1"/>
  <c r="KO329" i="1" s="1"/>
  <c r="KX329" i="1" s="1"/>
  <c r="LG329" i="1" s="1"/>
  <c r="LP329" i="1" s="1"/>
  <c r="LY329" i="1" s="1"/>
  <c r="MH329" i="1" s="1"/>
  <c r="MQ329" i="1" s="1"/>
  <c r="MZ329" i="1" s="1"/>
  <c r="L330" i="1"/>
  <c r="U330" i="1" s="1"/>
  <c r="AD330" i="1" s="1"/>
  <c r="AM330" i="1" s="1"/>
  <c r="AV330" i="1" s="1"/>
  <c r="BE330" i="1" s="1"/>
  <c r="BN330" i="1" s="1"/>
  <c r="BW330" i="1" s="1"/>
  <c r="CF330" i="1" s="1"/>
  <c r="CO330" i="1" s="1"/>
  <c r="CX330" i="1" s="1"/>
  <c r="DG330" i="1" s="1"/>
  <c r="DP330" i="1" s="1"/>
  <c r="DY330" i="1" s="1"/>
  <c r="EH330" i="1" s="1"/>
  <c r="EQ330" i="1" s="1"/>
  <c r="EZ330" i="1" s="1"/>
  <c r="FI330" i="1" s="1"/>
  <c r="FR330" i="1" s="1"/>
  <c r="GA330" i="1" s="1"/>
  <c r="GJ330" i="1" s="1"/>
  <c r="GS330" i="1" s="1"/>
  <c r="HB330" i="1" s="1"/>
  <c r="HK330" i="1" s="1"/>
  <c r="HU330" i="1" s="1"/>
  <c r="ID330" i="1" s="1"/>
  <c r="IM330" i="1" s="1"/>
  <c r="IV330" i="1" s="1"/>
  <c r="JE330" i="1" s="1"/>
  <c r="JN330" i="1" s="1"/>
  <c r="JW330" i="1" s="1"/>
  <c r="KF330" i="1" s="1"/>
  <c r="KO330" i="1" s="1"/>
  <c r="KX330" i="1" s="1"/>
  <c r="LG330" i="1" s="1"/>
  <c r="LP330" i="1" s="1"/>
  <c r="LY330" i="1" s="1"/>
  <c r="MH330" i="1" s="1"/>
  <c r="MQ330" i="1" s="1"/>
  <c r="MZ330" i="1" s="1"/>
  <c r="L331" i="1"/>
  <c r="U331" i="1" s="1"/>
  <c r="AD331" i="1" s="1"/>
  <c r="AM331" i="1" s="1"/>
  <c r="AV331" i="1" s="1"/>
  <c r="BE331" i="1" s="1"/>
  <c r="BN331" i="1" s="1"/>
  <c r="BW331" i="1" s="1"/>
  <c r="CF331" i="1" s="1"/>
  <c r="CO331" i="1" s="1"/>
  <c r="CX331" i="1" s="1"/>
  <c r="DG331" i="1" s="1"/>
  <c r="DP331" i="1" s="1"/>
  <c r="DY331" i="1" s="1"/>
  <c r="EH331" i="1" s="1"/>
  <c r="EQ331" i="1" s="1"/>
  <c r="EZ331" i="1" s="1"/>
  <c r="FI331" i="1" s="1"/>
  <c r="FR331" i="1" s="1"/>
  <c r="GA331" i="1" s="1"/>
  <c r="L332" i="1"/>
  <c r="U332" i="1" s="1"/>
  <c r="AD332" i="1" s="1"/>
  <c r="AM332" i="1" s="1"/>
  <c r="AV332" i="1" s="1"/>
  <c r="BE332" i="1" s="1"/>
  <c r="BN332" i="1" s="1"/>
  <c r="BW332" i="1" s="1"/>
  <c r="CF332" i="1" s="1"/>
  <c r="CO332" i="1" s="1"/>
  <c r="CX332" i="1" s="1"/>
  <c r="DG332" i="1" s="1"/>
  <c r="DP332" i="1" s="1"/>
  <c r="DY332" i="1" s="1"/>
  <c r="EH332" i="1" s="1"/>
  <c r="EQ332" i="1" s="1"/>
  <c r="EZ332" i="1" s="1"/>
  <c r="FI332" i="1" s="1"/>
  <c r="FR332" i="1" s="1"/>
  <c r="GA332" i="1" s="1"/>
  <c r="GJ332" i="1" s="1"/>
  <c r="GS332" i="1" s="1"/>
  <c r="HB332" i="1" s="1"/>
  <c r="HK332" i="1" s="1"/>
  <c r="HU332" i="1" s="1"/>
  <c r="ID332" i="1" s="1"/>
  <c r="IM332" i="1" s="1"/>
  <c r="IV332" i="1" s="1"/>
  <c r="JE332" i="1" s="1"/>
  <c r="JN332" i="1" s="1"/>
  <c r="JW332" i="1" s="1"/>
  <c r="KF332" i="1" s="1"/>
  <c r="KO332" i="1" s="1"/>
  <c r="KX332" i="1" s="1"/>
  <c r="LG332" i="1" s="1"/>
  <c r="LP332" i="1" s="1"/>
  <c r="LY332" i="1" s="1"/>
  <c r="MH332" i="1" s="1"/>
  <c r="MQ332" i="1" s="1"/>
  <c r="MZ332" i="1" s="1"/>
  <c r="L333" i="1"/>
  <c r="U333" i="1" s="1"/>
  <c r="AD333" i="1" s="1"/>
  <c r="AM333" i="1" s="1"/>
  <c r="AV333" i="1" s="1"/>
  <c r="BE333" i="1" s="1"/>
  <c r="BN333" i="1" s="1"/>
  <c r="BW333" i="1" s="1"/>
  <c r="CF333" i="1" s="1"/>
  <c r="CO333" i="1" s="1"/>
  <c r="CX333" i="1" s="1"/>
  <c r="DG333" i="1" s="1"/>
  <c r="DP333" i="1" s="1"/>
  <c r="DY333" i="1" s="1"/>
  <c r="EH333" i="1" s="1"/>
  <c r="EQ333" i="1" s="1"/>
  <c r="EZ333" i="1" s="1"/>
  <c r="FI333" i="1" s="1"/>
  <c r="FR333" i="1" s="1"/>
  <c r="GA333" i="1" s="1"/>
  <c r="GJ333" i="1" s="1"/>
  <c r="GS333" i="1" s="1"/>
  <c r="HB333" i="1" s="1"/>
  <c r="HK333" i="1" s="1"/>
  <c r="HU333" i="1" s="1"/>
  <c r="ID333" i="1" s="1"/>
  <c r="IM333" i="1" s="1"/>
  <c r="IV333" i="1" s="1"/>
  <c r="JE333" i="1" s="1"/>
  <c r="JN333" i="1" s="1"/>
  <c r="JW333" i="1" s="1"/>
  <c r="KF333" i="1" s="1"/>
  <c r="KO333" i="1" s="1"/>
  <c r="KX333" i="1" s="1"/>
  <c r="LG333" i="1" s="1"/>
  <c r="LP333" i="1" s="1"/>
  <c r="LY333" i="1" s="1"/>
  <c r="MH333" i="1" s="1"/>
  <c r="MQ333" i="1" s="1"/>
  <c r="MZ333" i="1" s="1"/>
  <c r="L334" i="1"/>
  <c r="U334" i="1" s="1"/>
  <c r="AD334" i="1" s="1"/>
  <c r="AM334" i="1" s="1"/>
  <c r="AV334" i="1" s="1"/>
  <c r="BE334" i="1" s="1"/>
  <c r="BN334" i="1" s="1"/>
  <c r="BW334" i="1" s="1"/>
  <c r="CF334" i="1" s="1"/>
  <c r="CO334" i="1" s="1"/>
  <c r="CX334" i="1" s="1"/>
  <c r="DG334" i="1" s="1"/>
  <c r="DP334" i="1" s="1"/>
  <c r="DY334" i="1" s="1"/>
  <c r="EH334" i="1" s="1"/>
  <c r="EQ334" i="1" s="1"/>
  <c r="EZ334" i="1" s="1"/>
  <c r="FI334" i="1" s="1"/>
  <c r="FR334" i="1" s="1"/>
  <c r="GA334" i="1" s="1"/>
  <c r="GJ334" i="1" s="1"/>
  <c r="GS334" i="1" s="1"/>
  <c r="HB334" i="1" s="1"/>
  <c r="HK334" i="1" s="1"/>
  <c r="HU334" i="1" s="1"/>
  <c r="ID334" i="1" s="1"/>
  <c r="IM334" i="1" s="1"/>
  <c r="IV334" i="1" s="1"/>
  <c r="JE334" i="1" s="1"/>
  <c r="JN334" i="1" s="1"/>
  <c r="JW334" i="1" s="1"/>
  <c r="KF334" i="1" s="1"/>
  <c r="KO334" i="1" s="1"/>
  <c r="KX334" i="1" s="1"/>
  <c r="LG334" i="1" s="1"/>
  <c r="LP334" i="1" s="1"/>
  <c r="LY334" i="1" s="1"/>
  <c r="MH334" i="1" s="1"/>
  <c r="MQ334" i="1" s="1"/>
  <c r="MZ334" i="1" s="1"/>
  <c r="L335" i="1"/>
  <c r="U335" i="1" s="1"/>
  <c r="AD335" i="1" s="1"/>
  <c r="AM335" i="1" s="1"/>
  <c r="AV335" i="1" s="1"/>
  <c r="BE335" i="1" s="1"/>
  <c r="BN335" i="1" s="1"/>
  <c r="BW335" i="1" s="1"/>
  <c r="CF335" i="1" s="1"/>
  <c r="CO335" i="1" s="1"/>
  <c r="CX335" i="1" s="1"/>
  <c r="DG335" i="1" s="1"/>
  <c r="DP335" i="1" s="1"/>
  <c r="DY335" i="1" s="1"/>
  <c r="EH335" i="1" s="1"/>
  <c r="EQ335" i="1" s="1"/>
  <c r="EZ335" i="1" s="1"/>
  <c r="FI335" i="1" s="1"/>
  <c r="FR335" i="1" s="1"/>
  <c r="GA335" i="1" s="1"/>
  <c r="GJ335" i="1" s="1"/>
  <c r="GS335" i="1" s="1"/>
  <c r="HB335" i="1" s="1"/>
  <c r="HK335" i="1" s="1"/>
  <c r="HU335" i="1" s="1"/>
  <c r="ID335" i="1" s="1"/>
  <c r="IM335" i="1" s="1"/>
  <c r="IV335" i="1" s="1"/>
  <c r="JE335" i="1" s="1"/>
  <c r="JN335" i="1" s="1"/>
  <c r="JW335" i="1" s="1"/>
  <c r="KF335" i="1" s="1"/>
  <c r="KO335" i="1" s="1"/>
  <c r="KX335" i="1" s="1"/>
  <c r="LG335" i="1" s="1"/>
  <c r="LP335" i="1" s="1"/>
  <c r="LY335" i="1" s="1"/>
  <c r="MH335" i="1" s="1"/>
  <c r="MQ335" i="1" s="1"/>
  <c r="MZ335" i="1" s="1"/>
  <c r="L336" i="1"/>
  <c r="U336" i="1" s="1"/>
  <c r="AD336" i="1" s="1"/>
  <c r="AM336" i="1" s="1"/>
  <c r="AV336" i="1" s="1"/>
  <c r="BE336" i="1" s="1"/>
  <c r="BN336" i="1" s="1"/>
  <c r="BW336" i="1" s="1"/>
  <c r="CF336" i="1" s="1"/>
  <c r="CO336" i="1" s="1"/>
  <c r="CX336" i="1" s="1"/>
  <c r="DG336" i="1" s="1"/>
  <c r="DP336" i="1" s="1"/>
  <c r="DY336" i="1" s="1"/>
  <c r="EH336" i="1" s="1"/>
  <c r="EQ336" i="1" s="1"/>
  <c r="EZ336" i="1" s="1"/>
  <c r="FI336" i="1" s="1"/>
  <c r="FR336" i="1" s="1"/>
  <c r="GA336" i="1" s="1"/>
  <c r="GJ336" i="1" s="1"/>
  <c r="GS336" i="1" s="1"/>
  <c r="HB336" i="1" s="1"/>
  <c r="HK336" i="1" s="1"/>
  <c r="HU336" i="1" s="1"/>
  <c r="ID336" i="1" s="1"/>
  <c r="IM336" i="1" s="1"/>
  <c r="IV336" i="1" s="1"/>
  <c r="JE336" i="1" s="1"/>
  <c r="JN336" i="1" s="1"/>
  <c r="JW336" i="1" s="1"/>
  <c r="KF336" i="1" s="1"/>
  <c r="KO336" i="1" s="1"/>
  <c r="KX336" i="1" s="1"/>
  <c r="LG336" i="1" s="1"/>
  <c r="LP336" i="1" s="1"/>
  <c r="LY336" i="1" s="1"/>
  <c r="MH336" i="1" s="1"/>
  <c r="MQ336" i="1" s="1"/>
  <c r="MZ336" i="1" s="1"/>
  <c r="L337" i="1"/>
  <c r="U337" i="1" s="1"/>
  <c r="AD337" i="1" s="1"/>
  <c r="AM337" i="1" s="1"/>
  <c r="AV337" i="1" s="1"/>
  <c r="BE337" i="1" s="1"/>
  <c r="BN337" i="1" s="1"/>
  <c r="BW337" i="1" s="1"/>
  <c r="CF337" i="1" s="1"/>
  <c r="CO337" i="1" s="1"/>
  <c r="CX337" i="1" s="1"/>
  <c r="DG337" i="1" s="1"/>
  <c r="DP337" i="1" s="1"/>
  <c r="DY337" i="1" s="1"/>
  <c r="EH337" i="1" s="1"/>
  <c r="EQ337" i="1" s="1"/>
  <c r="EZ337" i="1" s="1"/>
  <c r="FI337" i="1" s="1"/>
  <c r="FR337" i="1" s="1"/>
  <c r="GA337" i="1" s="1"/>
  <c r="GJ337" i="1" s="1"/>
  <c r="GS337" i="1" s="1"/>
  <c r="HB337" i="1" s="1"/>
  <c r="HK337" i="1" s="1"/>
  <c r="HU337" i="1" s="1"/>
  <c r="ID337" i="1" s="1"/>
  <c r="IM337" i="1" s="1"/>
  <c r="IV337" i="1" s="1"/>
  <c r="JE337" i="1" s="1"/>
  <c r="JN337" i="1" s="1"/>
  <c r="JW337" i="1" s="1"/>
  <c r="KF337" i="1" s="1"/>
  <c r="KO337" i="1" s="1"/>
  <c r="KX337" i="1" s="1"/>
  <c r="LG337" i="1" s="1"/>
  <c r="LP337" i="1" s="1"/>
  <c r="LY337" i="1" s="1"/>
  <c r="MH337" i="1" s="1"/>
  <c r="MQ337" i="1" s="1"/>
  <c r="MZ337" i="1" s="1"/>
  <c r="L338" i="1"/>
  <c r="U338" i="1" s="1"/>
  <c r="AD338" i="1" s="1"/>
  <c r="AM338" i="1" s="1"/>
  <c r="AV338" i="1" s="1"/>
  <c r="BE338" i="1" s="1"/>
  <c r="BN338" i="1" s="1"/>
  <c r="BW338" i="1" s="1"/>
  <c r="CF338" i="1" s="1"/>
  <c r="CO338" i="1" s="1"/>
  <c r="CX338" i="1" s="1"/>
  <c r="DG338" i="1" s="1"/>
  <c r="DP338" i="1" s="1"/>
  <c r="DY338" i="1" s="1"/>
  <c r="EH338" i="1" s="1"/>
  <c r="EQ338" i="1" s="1"/>
  <c r="EZ338" i="1" s="1"/>
  <c r="FI338" i="1" s="1"/>
  <c r="FR338" i="1" s="1"/>
  <c r="GA338" i="1" s="1"/>
  <c r="GJ338" i="1" s="1"/>
  <c r="GS338" i="1" s="1"/>
  <c r="HB338" i="1" s="1"/>
  <c r="HK338" i="1" s="1"/>
  <c r="HU338" i="1" s="1"/>
  <c r="ID338" i="1" s="1"/>
  <c r="IM338" i="1" s="1"/>
  <c r="IV338" i="1" s="1"/>
  <c r="JE338" i="1" s="1"/>
  <c r="JN338" i="1" s="1"/>
  <c r="JW338" i="1" s="1"/>
  <c r="KF338" i="1" s="1"/>
  <c r="KO338" i="1" s="1"/>
  <c r="KX338" i="1" s="1"/>
  <c r="LG338" i="1" s="1"/>
  <c r="LP338" i="1" s="1"/>
  <c r="LY338" i="1" s="1"/>
  <c r="MH338" i="1" s="1"/>
  <c r="MQ338" i="1" s="1"/>
  <c r="MZ338" i="1" s="1"/>
  <c r="L339" i="1"/>
  <c r="U339" i="1" s="1"/>
  <c r="AD339" i="1" s="1"/>
  <c r="AM339" i="1" s="1"/>
  <c r="AV339" i="1" s="1"/>
  <c r="BE339" i="1" s="1"/>
  <c r="BN339" i="1" s="1"/>
  <c r="BW339" i="1" s="1"/>
  <c r="CF339" i="1" s="1"/>
  <c r="CO339" i="1" s="1"/>
  <c r="CX339" i="1" s="1"/>
  <c r="DG339" i="1" s="1"/>
  <c r="DP339" i="1" s="1"/>
  <c r="DY339" i="1" s="1"/>
  <c r="EH339" i="1" s="1"/>
  <c r="EQ339" i="1" s="1"/>
  <c r="EZ339" i="1" s="1"/>
  <c r="FI339" i="1" s="1"/>
  <c r="FR339" i="1" s="1"/>
  <c r="GA339" i="1" s="1"/>
  <c r="GJ339" i="1" s="1"/>
  <c r="GS339" i="1" s="1"/>
  <c r="HB339" i="1" s="1"/>
  <c r="HK339" i="1" s="1"/>
  <c r="HU339" i="1" s="1"/>
  <c r="ID339" i="1" s="1"/>
  <c r="IM339" i="1" s="1"/>
  <c r="IV339" i="1" s="1"/>
  <c r="JE339" i="1" s="1"/>
  <c r="JN339" i="1" s="1"/>
  <c r="JW339" i="1" s="1"/>
  <c r="KF339" i="1" s="1"/>
  <c r="KO339" i="1" s="1"/>
  <c r="KX339" i="1" s="1"/>
  <c r="LG339" i="1" s="1"/>
  <c r="LP339" i="1" s="1"/>
  <c r="LY339" i="1" s="1"/>
  <c r="MH339" i="1" s="1"/>
  <c r="MQ339" i="1" s="1"/>
  <c r="MZ339" i="1" s="1"/>
  <c r="L340" i="1"/>
  <c r="U340" i="1" s="1"/>
  <c r="AD340" i="1" s="1"/>
  <c r="AM340" i="1" s="1"/>
  <c r="AV340" i="1" s="1"/>
  <c r="BE340" i="1" s="1"/>
  <c r="BN340" i="1" s="1"/>
  <c r="BW340" i="1" s="1"/>
  <c r="CF340" i="1" s="1"/>
  <c r="CO340" i="1" s="1"/>
  <c r="CX340" i="1" s="1"/>
  <c r="DG340" i="1" s="1"/>
  <c r="DP340" i="1" s="1"/>
  <c r="DY340" i="1" s="1"/>
  <c r="EH340" i="1" s="1"/>
  <c r="EQ340" i="1" s="1"/>
  <c r="EZ340" i="1" s="1"/>
  <c r="FI340" i="1" s="1"/>
  <c r="FR340" i="1" s="1"/>
  <c r="GA340" i="1" s="1"/>
  <c r="GJ340" i="1" s="1"/>
  <c r="GS340" i="1" s="1"/>
  <c r="HB340" i="1" s="1"/>
  <c r="HK340" i="1" s="1"/>
  <c r="HU340" i="1" s="1"/>
  <c r="ID340" i="1" s="1"/>
  <c r="IM340" i="1" s="1"/>
  <c r="IV340" i="1" s="1"/>
  <c r="JE340" i="1" s="1"/>
  <c r="JN340" i="1" s="1"/>
  <c r="JW340" i="1" s="1"/>
  <c r="KF340" i="1" s="1"/>
  <c r="KO340" i="1" s="1"/>
  <c r="KX340" i="1" s="1"/>
  <c r="LG340" i="1" s="1"/>
  <c r="LP340" i="1" s="1"/>
  <c r="LY340" i="1" s="1"/>
  <c r="MH340" i="1" s="1"/>
  <c r="MQ340" i="1" s="1"/>
  <c r="MZ340" i="1" s="1"/>
  <c r="L341" i="1"/>
  <c r="U341" i="1" s="1"/>
  <c r="AD341" i="1" s="1"/>
  <c r="AM341" i="1" s="1"/>
  <c r="AV341" i="1" s="1"/>
  <c r="BE341" i="1" s="1"/>
  <c r="BN341" i="1" s="1"/>
  <c r="BW341" i="1" s="1"/>
  <c r="CF341" i="1" s="1"/>
  <c r="CO341" i="1" s="1"/>
  <c r="CX341" i="1" s="1"/>
  <c r="DG341" i="1" s="1"/>
  <c r="DP341" i="1" s="1"/>
  <c r="DY341" i="1" s="1"/>
  <c r="EH341" i="1" s="1"/>
  <c r="EQ341" i="1" s="1"/>
  <c r="EZ341" i="1" s="1"/>
  <c r="FI341" i="1" s="1"/>
  <c r="FR341" i="1" s="1"/>
  <c r="GA341" i="1" s="1"/>
  <c r="GJ341" i="1" s="1"/>
  <c r="GS341" i="1" s="1"/>
  <c r="HB341" i="1" s="1"/>
  <c r="HK341" i="1" s="1"/>
  <c r="HU341" i="1" s="1"/>
  <c r="ID341" i="1" s="1"/>
  <c r="IM341" i="1" s="1"/>
  <c r="IV341" i="1" s="1"/>
  <c r="JE341" i="1" s="1"/>
  <c r="JN341" i="1" s="1"/>
  <c r="JW341" i="1" s="1"/>
  <c r="KF341" i="1" s="1"/>
  <c r="KO341" i="1" s="1"/>
  <c r="KX341" i="1" s="1"/>
  <c r="LG341" i="1" s="1"/>
  <c r="LP341" i="1" s="1"/>
  <c r="LY341" i="1" s="1"/>
  <c r="MH341" i="1" s="1"/>
  <c r="MQ341" i="1" s="1"/>
  <c r="MZ341" i="1" s="1"/>
  <c r="L342" i="1"/>
  <c r="U342" i="1" s="1"/>
  <c r="AD342" i="1" s="1"/>
  <c r="AM342" i="1" s="1"/>
  <c r="AV342" i="1" s="1"/>
  <c r="BE342" i="1" s="1"/>
  <c r="BN342" i="1" s="1"/>
  <c r="BW342" i="1" s="1"/>
  <c r="CF342" i="1" s="1"/>
  <c r="CO342" i="1" s="1"/>
  <c r="CX342" i="1" s="1"/>
  <c r="DG342" i="1" s="1"/>
  <c r="DP342" i="1" s="1"/>
  <c r="DY342" i="1" s="1"/>
  <c r="EH342" i="1" s="1"/>
  <c r="EQ342" i="1" s="1"/>
  <c r="EZ342" i="1" s="1"/>
  <c r="FI342" i="1" s="1"/>
  <c r="FR342" i="1" s="1"/>
  <c r="GA342" i="1" s="1"/>
  <c r="GJ342" i="1" s="1"/>
  <c r="GS342" i="1" s="1"/>
  <c r="HB342" i="1" s="1"/>
  <c r="HK342" i="1" s="1"/>
  <c r="HU342" i="1" s="1"/>
  <c r="ID342" i="1" s="1"/>
  <c r="IM342" i="1" s="1"/>
  <c r="IV342" i="1" s="1"/>
  <c r="JE342" i="1" s="1"/>
  <c r="JN342" i="1" s="1"/>
  <c r="JW342" i="1" s="1"/>
  <c r="KF342" i="1" s="1"/>
  <c r="KO342" i="1" s="1"/>
  <c r="KX342" i="1" s="1"/>
  <c r="LG342" i="1" s="1"/>
  <c r="LP342" i="1" s="1"/>
  <c r="LY342" i="1" s="1"/>
  <c r="MH342" i="1" s="1"/>
  <c r="MQ342" i="1" s="1"/>
  <c r="MZ342" i="1" s="1"/>
  <c r="L343" i="1"/>
  <c r="U343" i="1" s="1"/>
  <c r="AD343" i="1" s="1"/>
  <c r="AM343" i="1" s="1"/>
  <c r="AV343" i="1" s="1"/>
  <c r="BE343" i="1" s="1"/>
  <c r="BN343" i="1" s="1"/>
  <c r="BW343" i="1" s="1"/>
  <c r="CF343" i="1" s="1"/>
  <c r="CO343" i="1" s="1"/>
  <c r="CX343" i="1" s="1"/>
  <c r="DG343" i="1" s="1"/>
  <c r="DP343" i="1" s="1"/>
  <c r="DY343" i="1" s="1"/>
  <c r="EH343" i="1" s="1"/>
  <c r="EQ343" i="1" s="1"/>
  <c r="EZ343" i="1" s="1"/>
  <c r="FI343" i="1" s="1"/>
  <c r="FR343" i="1" s="1"/>
  <c r="GA343" i="1" s="1"/>
  <c r="GJ343" i="1" s="1"/>
  <c r="GS343" i="1" s="1"/>
  <c r="HB343" i="1" s="1"/>
  <c r="HK343" i="1" s="1"/>
  <c r="HU343" i="1" s="1"/>
  <c r="ID343" i="1" s="1"/>
  <c r="IM343" i="1" s="1"/>
  <c r="IV343" i="1" s="1"/>
  <c r="JE343" i="1" s="1"/>
  <c r="JN343" i="1" s="1"/>
  <c r="JW343" i="1" s="1"/>
  <c r="KF343" i="1" s="1"/>
  <c r="KO343" i="1" s="1"/>
  <c r="KX343" i="1" s="1"/>
  <c r="LG343" i="1" s="1"/>
  <c r="LP343" i="1" s="1"/>
  <c r="LY343" i="1" s="1"/>
  <c r="MH343" i="1" s="1"/>
  <c r="MQ343" i="1" s="1"/>
  <c r="MZ343" i="1" s="1"/>
  <c r="L344" i="1"/>
  <c r="U344" i="1" s="1"/>
  <c r="AD344" i="1" s="1"/>
  <c r="AM344" i="1" s="1"/>
  <c r="AV344" i="1" s="1"/>
  <c r="BE344" i="1" s="1"/>
  <c r="BN344" i="1" s="1"/>
  <c r="BW344" i="1" s="1"/>
  <c r="CF344" i="1" s="1"/>
  <c r="CO344" i="1" s="1"/>
  <c r="CX344" i="1" s="1"/>
  <c r="DG344" i="1" s="1"/>
  <c r="DP344" i="1" s="1"/>
  <c r="DY344" i="1" s="1"/>
  <c r="EH344" i="1" s="1"/>
  <c r="EQ344" i="1" s="1"/>
  <c r="EZ344" i="1" s="1"/>
  <c r="FI344" i="1" s="1"/>
  <c r="FR344" i="1" s="1"/>
  <c r="GA344" i="1" s="1"/>
  <c r="GJ344" i="1" s="1"/>
  <c r="GS344" i="1" s="1"/>
  <c r="HB344" i="1" s="1"/>
  <c r="HK344" i="1" s="1"/>
  <c r="HU344" i="1" s="1"/>
  <c r="ID344" i="1" s="1"/>
  <c r="IM344" i="1" s="1"/>
  <c r="IV344" i="1" s="1"/>
  <c r="JE344" i="1" s="1"/>
  <c r="JN344" i="1" s="1"/>
  <c r="JW344" i="1" s="1"/>
  <c r="KF344" i="1" s="1"/>
  <c r="KO344" i="1" s="1"/>
  <c r="KX344" i="1" s="1"/>
  <c r="LG344" i="1" s="1"/>
  <c r="LP344" i="1" s="1"/>
  <c r="LY344" i="1" s="1"/>
  <c r="MH344" i="1" s="1"/>
  <c r="MQ344" i="1" s="1"/>
  <c r="MZ344" i="1" s="1"/>
  <c r="L345" i="1"/>
  <c r="U345" i="1" s="1"/>
  <c r="AD345" i="1" s="1"/>
  <c r="AM345" i="1" s="1"/>
  <c r="AV345" i="1" s="1"/>
  <c r="BE345" i="1" s="1"/>
  <c r="BN345" i="1" s="1"/>
  <c r="BW345" i="1" s="1"/>
  <c r="CF345" i="1" s="1"/>
  <c r="CO345" i="1" s="1"/>
  <c r="CX345" i="1" s="1"/>
  <c r="DG345" i="1" s="1"/>
  <c r="DP345" i="1" s="1"/>
  <c r="DY345" i="1" s="1"/>
  <c r="EH345" i="1" s="1"/>
  <c r="EQ345" i="1" s="1"/>
  <c r="EZ345" i="1" s="1"/>
  <c r="FI345" i="1" s="1"/>
  <c r="FR345" i="1" s="1"/>
  <c r="GA345" i="1" s="1"/>
  <c r="GJ345" i="1" s="1"/>
  <c r="GS345" i="1" s="1"/>
  <c r="HB345" i="1" s="1"/>
  <c r="HK345" i="1" s="1"/>
  <c r="HU345" i="1" s="1"/>
  <c r="ID345" i="1" s="1"/>
  <c r="IM345" i="1" s="1"/>
  <c r="IV345" i="1" s="1"/>
  <c r="JE345" i="1" s="1"/>
  <c r="JN345" i="1" s="1"/>
  <c r="JW345" i="1" s="1"/>
  <c r="KF345" i="1" s="1"/>
  <c r="KO345" i="1" s="1"/>
  <c r="KX345" i="1" s="1"/>
  <c r="LG345" i="1" s="1"/>
  <c r="LP345" i="1" s="1"/>
  <c r="LY345" i="1" s="1"/>
  <c r="MH345" i="1" s="1"/>
  <c r="MQ345" i="1" s="1"/>
  <c r="MZ345" i="1" s="1"/>
  <c r="L346" i="1"/>
  <c r="U346" i="1" s="1"/>
  <c r="AD346" i="1" s="1"/>
  <c r="AM346" i="1" s="1"/>
  <c r="AV346" i="1" s="1"/>
  <c r="BE346" i="1" s="1"/>
  <c r="BN346" i="1" s="1"/>
  <c r="BW346" i="1" s="1"/>
  <c r="CF346" i="1" s="1"/>
  <c r="CO346" i="1" s="1"/>
  <c r="CX346" i="1" s="1"/>
  <c r="DG346" i="1" s="1"/>
  <c r="DP346" i="1" s="1"/>
  <c r="DY346" i="1" s="1"/>
  <c r="EH346" i="1" s="1"/>
  <c r="EQ346" i="1" s="1"/>
  <c r="EZ346" i="1" s="1"/>
  <c r="FI346" i="1" s="1"/>
  <c r="FR346" i="1" s="1"/>
  <c r="GA346" i="1" s="1"/>
  <c r="GJ346" i="1" s="1"/>
  <c r="GS346" i="1" s="1"/>
  <c r="HB346" i="1" s="1"/>
  <c r="HK346" i="1" s="1"/>
  <c r="HU346" i="1" s="1"/>
  <c r="ID346" i="1" s="1"/>
  <c r="IM346" i="1" s="1"/>
  <c r="IV346" i="1" s="1"/>
  <c r="JE346" i="1" s="1"/>
  <c r="JN346" i="1" s="1"/>
  <c r="JW346" i="1" s="1"/>
  <c r="KF346" i="1" s="1"/>
  <c r="KO346" i="1" s="1"/>
  <c r="KX346" i="1" s="1"/>
  <c r="LG346" i="1" s="1"/>
  <c r="LP346" i="1" s="1"/>
  <c r="LY346" i="1" s="1"/>
  <c r="MH346" i="1" s="1"/>
  <c r="MQ346" i="1" s="1"/>
  <c r="MZ346" i="1" s="1"/>
  <c r="L347" i="1"/>
  <c r="U347" i="1" s="1"/>
  <c r="AD347" i="1" s="1"/>
  <c r="AM347" i="1" s="1"/>
  <c r="AV347" i="1" s="1"/>
  <c r="BE347" i="1" s="1"/>
  <c r="BN347" i="1" s="1"/>
  <c r="BW347" i="1" s="1"/>
  <c r="CF347" i="1" s="1"/>
  <c r="CO347" i="1" s="1"/>
  <c r="CX347" i="1" s="1"/>
  <c r="DG347" i="1" s="1"/>
  <c r="DP347" i="1" s="1"/>
  <c r="DY347" i="1" s="1"/>
  <c r="EH347" i="1" s="1"/>
  <c r="EQ347" i="1" s="1"/>
  <c r="EZ347" i="1" s="1"/>
  <c r="FI347" i="1" s="1"/>
  <c r="FR347" i="1" s="1"/>
  <c r="GA347" i="1" s="1"/>
  <c r="GJ347" i="1" s="1"/>
  <c r="GS347" i="1" s="1"/>
  <c r="HB347" i="1" s="1"/>
  <c r="HK347" i="1" s="1"/>
  <c r="HU347" i="1" s="1"/>
  <c r="ID347" i="1" s="1"/>
  <c r="IM347" i="1" s="1"/>
  <c r="IV347" i="1" s="1"/>
  <c r="JE347" i="1" s="1"/>
  <c r="JN347" i="1" s="1"/>
  <c r="JW347" i="1" s="1"/>
  <c r="KF347" i="1" s="1"/>
  <c r="KO347" i="1" s="1"/>
  <c r="KX347" i="1" s="1"/>
  <c r="LG347" i="1" s="1"/>
  <c r="LP347" i="1" s="1"/>
  <c r="LY347" i="1" s="1"/>
  <c r="MH347" i="1" s="1"/>
  <c r="MQ347" i="1" s="1"/>
  <c r="MZ347" i="1" s="1"/>
  <c r="L348" i="1"/>
  <c r="U348" i="1" s="1"/>
  <c r="AD348" i="1" s="1"/>
  <c r="AM348" i="1" s="1"/>
  <c r="AV348" i="1" s="1"/>
  <c r="BE348" i="1" s="1"/>
  <c r="BN348" i="1" s="1"/>
  <c r="BW348" i="1" s="1"/>
  <c r="CF348" i="1" s="1"/>
  <c r="CO348" i="1" s="1"/>
  <c r="CX348" i="1" s="1"/>
  <c r="DG348" i="1" s="1"/>
  <c r="DP348" i="1" s="1"/>
  <c r="DY348" i="1" s="1"/>
  <c r="EH348" i="1" s="1"/>
  <c r="EQ348" i="1" s="1"/>
  <c r="EZ348" i="1" s="1"/>
  <c r="FI348" i="1" s="1"/>
  <c r="FR348" i="1" s="1"/>
  <c r="GA348" i="1" s="1"/>
  <c r="GJ348" i="1" s="1"/>
  <c r="GS348" i="1" s="1"/>
  <c r="HB348" i="1" s="1"/>
  <c r="HK348" i="1" s="1"/>
  <c r="HU348" i="1" s="1"/>
  <c r="ID348" i="1" s="1"/>
  <c r="IM348" i="1" s="1"/>
  <c r="IV348" i="1" s="1"/>
  <c r="JE348" i="1" s="1"/>
  <c r="JN348" i="1" s="1"/>
  <c r="JW348" i="1" s="1"/>
  <c r="KF348" i="1" s="1"/>
  <c r="KO348" i="1" s="1"/>
  <c r="KX348" i="1" s="1"/>
  <c r="LG348" i="1" s="1"/>
  <c r="LP348" i="1" s="1"/>
  <c r="LY348" i="1" s="1"/>
  <c r="MH348" i="1" s="1"/>
  <c r="MQ348" i="1" s="1"/>
  <c r="MZ348" i="1" s="1"/>
  <c r="L349" i="1"/>
  <c r="U349" i="1" s="1"/>
  <c r="AD349" i="1" s="1"/>
  <c r="AM349" i="1" s="1"/>
  <c r="AV349" i="1" s="1"/>
  <c r="BE349" i="1" s="1"/>
  <c r="BN349" i="1" s="1"/>
  <c r="BW349" i="1" s="1"/>
  <c r="CF349" i="1" s="1"/>
  <c r="CO349" i="1" s="1"/>
  <c r="CX349" i="1" s="1"/>
  <c r="DG349" i="1" s="1"/>
  <c r="DP349" i="1" s="1"/>
  <c r="DY349" i="1" s="1"/>
  <c r="EH349" i="1" s="1"/>
  <c r="EQ349" i="1" s="1"/>
  <c r="EZ349" i="1" s="1"/>
  <c r="FI349" i="1" s="1"/>
  <c r="FR349" i="1" s="1"/>
  <c r="GA349" i="1" s="1"/>
  <c r="GJ349" i="1" s="1"/>
  <c r="GS349" i="1" s="1"/>
  <c r="HB349" i="1" s="1"/>
  <c r="HK349" i="1" s="1"/>
  <c r="HU349" i="1" s="1"/>
  <c r="ID349" i="1" s="1"/>
  <c r="IM349" i="1" s="1"/>
  <c r="IV349" i="1" s="1"/>
  <c r="JE349" i="1" s="1"/>
  <c r="JN349" i="1" s="1"/>
  <c r="JW349" i="1" s="1"/>
  <c r="KF349" i="1" s="1"/>
  <c r="KO349" i="1" s="1"/>
  <c r="KX349" i="1" s="1"/>
  <c r="LG349" i="1" s="1"/>
  <c r="LP349" i="1" s="1"/>
  <c r="LY349" i="1" s="1"/>
  <c r="MH349" i="1" s="1"/>
  <c r="MQ349" i="1" s="1"/>
  <c r="MZ349" i="1" s="1"/>
  <c r="L350" i="1"/>
  <c r="U350" i="1" s="1"/>
  <c r="AD350" i="1" s="1"/>
  <c r="AM350" i="1" s="1"/>
  <c r="AV350" i="1" s="1"/>
  <c r="BE350" i="1" s="1"/>
  <c r="BN350" i="1" s="1"/>
  <c r="BW350" i="1" s="1"/>
  <c r="CF350" i="1" s="1"/>
  <c r="CO350" i="1" s="1"/>
  <c r="CX350" i="1" s="1"/>
  <c r="DG350" i="1" s="1"/>
  <c r="DP350" i="1" s="1"/>
  <c r="DY350" i="1" s="1"/>
  <c r="EH350" i="1" s="1"/>
  <c r="EQ350" i="1" s="1"/>
  <c r="EZ350" i="1" s="1"/>
  <c r="FI350" i="1" s="1"/>
  <c r="FR350" i="1" s="1"/>
  <c r="GA350" i="1" s="1"/>
  <c r="GJ350" i="1" s="1"/>
  <c r="GS350" i="1" s="1"/>
  <c r="HB350" i="1" s="1"/>
  <c r="HK350" i="1" s="1"/>
  <c r="HU350" i="1" s="1"/>
  <c r="ID350" i="1" s="1"/>
  <c r="IM350" i="1" s="1"/>
  <c r="IV350" i="1" s="1"/>
  <c r="JE350" i="1" s="1"/>
  <c r="JN350" i="1" s="1"/>
  <c r="JW350" i="1" s="1"/>
  <c r="KF350" i="1" s="1"/>
  <c r="KO350" i="1" s="1"/>
  <c r="KX350" i="1" s="1"/>
  <c r="LG350" i="1" s="1"/>
  <c r="LP350" i="1" s="1"/>
  <c r="LY350" i="1" s="1"/>
  <c r="MH350" i="1" s="1"/>
  <c r="MQ350" i="1" s="1"/>
  <c r="MZ350" i="1" s="1"/>
  <c r="L351" i="1"/>
  <c r="U351" i="1" s="1"/>
  <c r="AD351" i="1" s="1"/>
  <c r="AM351" i="1" s="1"/>
  <c r="AV351" i="1" s="1"/>
  <c r="BE351" i="1" s="1"/>
  <c r="BN351" i="1" s="1"/>
  <c r="BW351" i="1" s="1"/>
  <c r="CF351" i="1" s="1"/>
  <c r="CO351" i="1" s="1"/>
  <c r="CX351" i="1" s="1"/>
  <c r="DG351" i="1" s="1"/>
  <c r="DP351" i="1" s="1"/>
  <c r="DY351" i="1" s="1"/>
  <c r="EH351" i="1" s="1"/>
  <c r="EQ351" i="1" s="1"/>
  <c r="EZ351" i="1" s="1"/>
  <c r="FI351" i="1" s="1"/>
  <c r="FR351" i="1" s="1"/>
  <c r="GA351" i="1" s="1"/>
  <c r="GJ351" i="1" s="1"/>
  <c r="GS351" i="1" s="1"/>
  <c r="HB351" i="1" s="1"/>
  <c r="HK351" i="1" s="1"/>
  <c r="HU351" i="1" s="1"/>
  <c r="ID351" i="1" s="1"/>
  <c r="IM351" i="1" s="1"/>
  <c r="IV351" i="1" s="1"/>
  <c r="JE351" i="1" s="1"/>
  <c r="JN351" i="1" s="1"/>
  <c r="JW351" i="1" s="1"/>
  <c r="KF351" i="1" s="1"/>
  <c r="KO351" i="1" s="1"/>
  <c r="KX351" i="1" s="1"/>
  <c r="LG351" i="1" s="1"/>
  <c r="LP351" i="1" s="1"/>
  <c r="LY351" i="1" s="1"/>
  <c r="MH351" i="1" s="1"/>
  <c r="MQ351" i="1" s="1"/>
  <c r="MZ351" i="1" s="1"/>
  <c r="L352" i="1"/>
  <c r="U352" i="1" s="1"/>
  <c r="AD352" i="1" s="1"/>
  <c r="AM352" i="1" s="1"/>
  <c r="AV352" i="1" s="1"/>
  <c r="BE352" i="1" s="1"/>
  <c r="BN352" i="1" s="1"/>
  <c r="BW352" i="1" s="1"/>
  <c r="CF352" i="1" s="1"/>
  <c r="CO352" i="1" s="1"/>
  <c r="CX352" i="1" s="1"/>
  <c r="DG352" i="1" s="1"/>
  <c r="DP352" i="1" s="1"/>
  <c r="DY352" i="1" s="1"/>
  <c r="EH352" i="1" s="1"/>
  <c r="EQ352" i="1" s="1"/>
  <c r="EZ352" i="1" s="1"/>
  <c r="FI352" i="1" s="1"/>
  <c r="FR352" i="1" s="1"/>
  <c r="GA352" i="1" s="1"/>
  <c r="GJ352" i="1" s="1"/>
  <c r="GS352" i="1" s="1"/>
  <c r="HB352" i="1" s="1"/>
  <c r="HK352" i="1" s="1"/>
  <c r="HU352" i="1" s="1"/>
  <c r="ID352" i="1" s="1"/>
  <c r="IM352" i="1" s="1"/>
  <c r="IV352" i="1" s="1"/>
  <c r="JE352" i="1" s="1"/>
  <c r="JN352" i="1" s="1"/>
  <c r="JW352" i="1" s="1"/>
  <c r="KF352" i="1" s="1"/>
  <c r="KO352" i="1" s="1"/>
  <c r="KX352" i="1" s="1"/>
  <c r="LG352" i="1" s="1"/>
  <c r="LP352" i="1" s="1"/>
  <c r="LY352" i="1" s="1"/>
  <c r="MH352" i="1" s="1"/>
  <c r="MQ352" i="1" s="1"/>
  <c r="MZ352" i="1" s="1"/>
  <c r="L353" i="1"/>
  <c r="U353" i="1" s="1"/>
  <c r="AD353" i="1" s="1"/>
  <c r="AM353" i="1" s="1"/>
  <c r="AV353" i="1" s="1"/>
  <c r="BE353" i="1" s="1"/>
  <c r="BN353" i="1" s="1"/>
  <c r="BW353" i="1" s="1"/>
  <c r="CF353" i="1" s="1"/>
  <c r="CO353" i="1" s="1"/>
  <c r="CX353" i="1" s="1"/>
  <c r="DG353" i="1" s="1"/>
  <c r="DP353" i="1" s="1"/>
  <c r="DY353" i="1" s="1"/>
  <c r="EH353" i="1" s="1"/>
  <c r="EQ353" i="1" s="1"/>
  <c r="EZ353" i="1" s="1"/>
  <c r="FI353" i="1" s="1"/>
  <c r="FR353" i="1" s="1"/>
  <c r="GA353" i="1" s="1"/>
  <c r="GJ353" i="1" s="1"/>
  <c r="GS353" i="1" s="1"/>
  <c r="HB353" i="1" s="1"/>
  <c r="HK353" i="1" s="1"/>
  <c r="HU353" i="1" s="1"/>
  <c r="ID353" i="1" s="1"/>
  <c r="IM353" i="1" s="1"/>
  <c r="IV353" i="1" s="1"/>
  <c r="JE353" i="1" s="1"/>
  <c r="JN353" i="1" s="1"/>
  <c r="JW353" i="1" s="1"/>
  <c r="KF353" i="1" s="1"/>
  <c r="KO353" i="1" s="1"/>
  <c r="KX353" i="1" s="1"/>
  <c r="LG353" i="1" s="1"/>
  <c r="LP353" i="1" s="1"/>
  <c r="LY353" i="1" s="1"/>
  <c r="MH353" i="1" s="1"/>
  <c r="MQ353" i="1" s="1"/>
  <c r="MZ353" i="1" s="1"/>
  <c r="L354" i="1"/>
  <c r="U354" i="1" s="1"/>
  <c r="AD354" i="1" s="1"/>
  <c r="AM354" i="1" s="1"/>
  <c r="AV354" i="1" s="1"/>
  <c r="BE354" i="1" s="1"/>
  <c r="BN354" i="1" s="1"/>
  <c r="BW354" i="1" s="1"/>
  <c r="CF354" i="1" s="1"/>
  <c r="CO354" i="1" s="1"/>
  <c r="CX354" i="1" s="1"/>
  <c r="DG354" i="1" s="1"/>
  <c r="DP354" i="1" s="1"/>
  <c r="DY354" i="1" s="1"/>
  <c r="EH354" i="1" s="1"/>
  <c r="EQ354" i="1" s="1"/>
  <c r="EZ354" i="1" s="1"/>
  <c r="FI354" i="1" s="1"/>
  <c r="FR354" i="1" s="1"/>
  <c r="GA354" i="1" s="1"/>
  <c r="GJ354" i="1" s="1"/>
  <c r="GS354" i="1" s="1"/>
  <c r="HB354" i="1" s="1"/>
  <c r="HK354" i="1" s="1"/>
  <c r="HU354" i="1" s="1"/>
  <c r="ID354" i="1" s="1"/>
  <c r="IM354" i="1" s="1"/>
  <c r="IV354" i="1" s="1"/>
  <c r="JE354" i="1" s="1"/>
  <c r="JN354" i="1" s="1"/>
  <c r="JW354" i="1" s="1"/>
  <c r="KF354" i="1" s="1"/>
  <c r="KO354" i="1" s="1"/>
  <c r="KX354" i="1" s="1"/>
  <c r="LG354" i="1" s="1"/>
  <c r="LP354" i="1" s="1"/>
  <c r="LY354" i="1" s="1"/>
  <c r="MH354" i="1" s="1"/>
  <c r="MQ354" i="1" s="1"/>
  <c r="MZ354" i="1" s="1"/>
  <c r="L355" i="1"/>
  <c r="U355" i="1" s="1"/>
  <c r="AD355" i="1" s="1"/>
  <c r="AM355" i="1" s="1"/>
  <c r="AV355" i="1" s="1"/>
  <c r="BE355" i="1" s="1"/>
  <c r="BN355" i="1" s="1"/>
  <c r="BW355" i="1" s="1"/>
  <c r="CF355" i="1" s="1"/>
  <c r="CO355" i="1" s="1"/>
  <c r="CX355" i="1" s="1"/>
  <c r="DG355" i="1" s="1"/>
  <c r="DP355" i="1" s="1"/>
  <c r="DY355" i="1" s="1"/>
  <c r="EH355" i="1" s="1"/>
  <c r="EQ355" i="1" s="1"/>
  <c r="EZ355" i="1" s="1"/>
  <c r="FI355" i="1" s="1"/>
  <c r="FR355" i="1" s="1"/>
  <c r="GA355" i="1" s="1"/>
  <c r="GJ355" i="1" s="1"/>
  <c r="GS355" i="1" s="1"/>
  <c r="HB355" i="1" s="1"/>
  <c r="HK355" i="1" s="1"/>
  <c r="HU355" i="1" s="1"/>
  <c r="ID355" i="1" s="1"/>
  <c r="IM355" i="1" s="1"/>
  <c r="IV355" i="1" s="1"/>
  <c r="JE355" i="1" s="1"/>
  <c r="JN355" i="1" s="1"/>
  <c r="JW355" i="1" s="1"/>
  <c r="KF355" i="1" s="1"/>
  <c r="KO355" i="1" s="1"/>
  <c r="KX355" i="1" s="1"/>
  <c r="LG355" i="1" s="1"/>
  <c r="LP355" i="1" s="1"/>
  <c r="LY355" i="1" s="1"/>
  <c r="MH355" i="1" s="1"/>
  <c r="MQ355" i="1" s="1"/>
  <c r="MZ355" i="1" s="1"/>
  <c r="L325" i="1"/>
  <c r="U325" i="1" s="1"/>
  <c r="AD325" i="1" s="1"/>
  <c r="AM325" i="1" s="1"/>
  <c r="AV325" i="1" s="1"/>
  <c r="BE325" i="1" s="1"/>
  <c r="BN325" i="1" s="1"/>
  <c r="BW325" i="1" s="1"/>
  <c r="CF325" i="1" s="1"/>
  <c r="CO325" i="1" s="1"/>
  <c r="CX325" i="1" s="1"/>
  <c r="DG325" i="1" s="1"/>
  <c r="DP325" i="1" s="1"/>
  <c r="DY325" i="1" s="1"/>
  <c r="EH325" i="1" s="1"/>
  <c r="EQ325" i="1" s="1"/>
  <c r="EZ325" i="1" s="1"/>
  <c r="FI325" i="1" s="1"/>
  <c r="FR325" i="1" s="1"/>
  <c r="GA325" i="1" s="1"/>
  <c r="GJ325" i="1" s="1"/>
  <c r="GS325" i="1" s="1"/>
  <c r="HB325" i="1" s="1"/>
  <c r="HK325" i="1" s="1"/>
  <c r="HU325" i="1" s="1"/>
  <c r="ID325" i="1" s="1"/>
  <c r="IM325" i="1" s="1"/>
  <c r="IV325" i="1" s="1"/>
  <c r="JE325" i="1" s="1"/>
  <c r="JN325" i="1" s="1"/>
  <c r="JW325" i="1" s="1"/>
  <c r="KF325" i="1" s="1"/>
  <c r="KO325" i="1" s="1"/>
  <c r="KX325" i="1" s="1"/>
  <c r="LG325" i="1" s="1"/>
  <c r="LP325" i="1" s="1"/>
  <c r="LY325" i="1" s="1"/>
  <c r="MH325" i="1" s="1"/>
  <c r="MQ325" i="1" s="1"/>
  <c r="MZ325" i="1" s="1"/>
  <c r="GJ331" i="1"/>
  <c r="GS331" i="1" s="1"/>
  <c r="HB331" i="1" s="1"/>
  <c r="HK331" i="1" s="1"/>
  <c r="HU331" i="1" s="1"/>
  <c r="ID331" i="1" s="1"/>
  <c r="IM331" i="1" s="1"/>
  <c r="IV331" i="1" s="1"/>
  <c r="JE331" i="1" s="1"/>
  <c r="JN331" i="1" s="1"/>
  <c r="JW331" i="1" s="1"/>
  <c r="KF331" i="1" s="1"/>
  <c r="KO331" i="1" s="1"/>
  <c r="KX331" i="1" s="1"/>
  <c r="LG331" i="1" s="1"/>
  <c r="LP331" i="1" s="1"/>
  <c r="LY331" i="1" s="1"/>
  <c r="MH331" i="1" s="1"/>
  <c r="MQ331" i="1" s="1"/>
  <c r="MZ331" i="1" s="1"/>
  <c r="L291" i="1"/>
  <c r="U291" i="1" s="1"/>
  <c r="AD291" i="1" s="1"/>
  <c r="AM291" i="1" s="1"/>
  <c r="AV291" i="1" s="1"/>
  <c r="BE291" i="1" s="1"/>
  <c r="BN291" i="1" s="1"/>
  <c r="BW291" i="1" s="1"/>
  <c r="CF291" i="1" s="1"/>
  <c r="CO291" i="1" s="1"/>
  <c r="CX291" i="1" s="1"/>
  <c r="DG291" i="1" s="1"/>
  <c r="DP291" i="1" s="1"/>
  <c r="DY291" i="1" s="1"/>
  <c r="EH291" i="1" s="1"/>
  <c r="EQ291" i="1" s="1"/>
  <c r="EZ291" i="1" s="1"/>
  <c r="FI291" i="1" s="1"/>
  <c r="FR291" i="1" s="1"/>
  <c r="GA291" i="1" s="1"/>
  <c r="GJ291" i="1" s="1"/>
  <c r="GS291" i="1" s="1"/>
  <c r="HB291" i="1" s="1"/>
  <c r="HK291" i="1" s="1"/>
  <c r="HU291" i="1" s="1"/>
  <c r="ID291" i="1" s="1"/>
  <c r="IM291" i="1" s="1"/>
  <c r="IV291" i="1" s="1"/>
  <c r="JE291" i="1" s="1"/>
  <c r="JN291" i="1" s="1"/>
  <c r="JW291" i="1" s="1"/>
  <c r="KF291" i="1" s="1"/>
  <c r="KO291" i="1" s="1"/>
  <c r="KX291" i="1" s="1"/>
  <c r="LG291" i="1" s="1"/>
  <c r="LP291" i="1" s="1"/>
  <c r="LY291" i="1" s="1"/>
  <c r="MH291" i="1" s="1"/>
  <c r="MQ291" i="1" s="1"/>
  <c r="MZ291" i="1" s="1"/>
  <c r="L292" i="1"/>
  <c r="U292" i="1" s="1"/>
  <c r="AD292" i="1" s="1"/>
  <c r="AM292" i="1" s="1"/>
  <c r="AV292" i="1" s="1"/>
  <c r="BE292" i="1" s="1"/>
  <c r="BN292" i="1" s="1"/>
  <c r="BW292" i="1" s="1"/>
  <c r="CF292" i="1" s="1"/>
  <c r="CO292" i="1" s="1"/>
  <c r="CX292" i="1" s="1"/>
  <c r="DG292" i="1" s="1"/>
  <c r="DP292" i="1" s="1"/>
  <c r="DY292" i="1" s="1"/>
  <c r="EH292" i="1" s="1"/>
  <c r="EQ292" i="1" s="1"/>
  <c r="EZ292" i="1" s="1"/>
  <c r="FI292" i="1" s="1"/>
  <c r="FR292" i="1" s="1"/>
  <c r="GA292" i="1" s="1"/>
  <c r="GJ292" i="1" s="1"/>
  <c r="GS292" i="1" s="1"/>
  <c r="HB292" i="1" s="1"/>
  <c r="HK292" i="1" s="1"/>
  <c r="HU292" i="1" s="1"/>
  <c r="ID292" i="1" s="1"/>
  <c r="IM292" i="1" s="1"/>
  <c r="IV292" i="1" s="1"/>
  <c r="JE292" i="1" s="1"/>
  <c r="JN292" i="1" s="1"/>
  <c r="JW292" i="1" s="1"/>
  <c r="KF292" i="1" s="1"/>
  <c r="KO292" i="1" s="1"/>
  <c r="KX292" i="1" s="1"/>
  <c r="LG292" i="1" s="1"/>
  <c r="LP292" i="1" s="1"/>
  <c r="LY292" i="1" s="1"/>
  <c r="MH292" i="1" s="1"/>
  <c r="MQ292" i="1" s="1"/>
  <c r="MZ292" i="1" s="1"/>
  <c r="L293" i="1"/>
  <c r="U293" i="1" s="1"/>
  <c r="AD293" i="1" s="1"/>
  <c r="AM293" i="1" s="1"/>
  <c r="AV293" i="1" s="1"/>
  <c r="BE293" i="1" s="1"/>
  <c r="BN293" i="1" s="1"/>
  <c r="BW293" i="1" s="1"/>
  <c r="CF293" i="1" s="1"/>
  <c r="CO293" i="1" s="1"/>
  <c r="CX293" i="1" s="1"/>
  <c r="DG293" i="1" s="1"/>
  <c r="DP293" i="1" s="1"/>
  <c r="DY293" i="1" s="1"/>
  <c r="EH293" i="1" s="1"/>
  <c r="EQ293" i="1" s="1"/>
  <c r="EZ293" i="1" s="1"/>
  <c r="FI293" i="1" s="1"/>
  <c r="FR293" i="1" s="1"/>
  <c r="GA293" i="1" s="1"/>
  <c r="GJ293" i="1" s="1"/>
  <c r="GS293" i="1" s="1"/>
  <c r="HB293" i="1" s="1"/>
  <c r="HK293" i="1" s="1"/>
  <c r="HU293" i="1" s="1"/>
  <c r="ID293" i="1" s="1"/>
  <c r="IM293" i="1" s="1"/>
  <c r="IV293" i="1" s="1"/>
  <c r="JE293" i="1" s="1"/>
  <c r="JN293" i="1" s="1"/>
  <c r="JW293" i="1" s="1"/>
  <c r="KF293" i="1" s="1"/>
  <c r="KO293" i="1" s="1"/>
  <c r="KX293" i="1" s="1"/>
  <c r="LG293" i="1" s="1"/>
  <c r="LP293" i="1" s="1"/>
  <c r="LY293" i="1" s="1"/>
  <c r="MH293" i="1" s="1"/>
  <c r="MQ293" i="1" s="1"/>
  <c r="MZ293" i="1" s="1"/>
  <c r="L294" i="1"/>
  <c r="U294" i="1" s="1"/>
  <c r="AD294" i="1" s="1"/>
  <c r="AM294" i="1" s="1"/>
  <c r="AV294" i="1" s="1"/>
  <c r="BE294" i="1" s="1"/>
  <c r="BN294" i="1" s="1"/>
  <c r="BW294" i="1" s="1"/>
  <c r="CF294" i="1" s="1"/>
  <c r="CO294" i="1" s="1"/>
  <c r="CX294" i="1" s="1"/>
  <c r="DG294" i="1" s="1"/>
  <c r="DP294" i="1" s="1"/>
  <c r="DY294" i="1" s="1"/>
  <c r="EH294" i="1" s="1"/>
  <c r="EQ294" i="1" s="1"/>
  <c r="EZ294" i="1" s="1"/>
  <c r="FI294" i="1" s="1"/>
  <c r="FR294" i="1" s="1"/>
  <c r="GA294" i="1" s="1"/>
  <c r="GJ294" i="1" s="1"/>
  <c r="GS294" i="1" s="1"/>
  <c r="HB294" i="1" s="1"/>
  <c r="HK294" i="1" s="1"/>
  <c r="HU294" i="1" s="1"/>
  <c r="ID294" i="1" s="1"/>
  <c r="IM294" i="1" s="1"/>
  <c r="IV294" i="1" s="1"/>
  <c r="JE294" i="1" s="1"/>
  <c r="JN294" i="1" s="1"/>
  <c r="JW294" i="1" s="1"/>
  <c r="KF294" i="1" s="1"/>
  <c r="KO294" i="1" s="1"/>
  <c r="KX294" i="1" s="1"/>
  <c r="LG294" i="1" s="1"/>
  <c r="LP294" i="1" s="1"/>
  <c r="LY294" i="1" s="1"/>
  <c r="MH294" i="1" s="1"/>
  <c r="MQ294" i="1" s="1"/>
  <c r="MZ294" i="1" s="1"/>
  <c r="L295" i="1"/>
  <c r="U295" i="1" s="1"/>
  <c r="AD295" i="1" s="1"/>
  <c r="AM295" i="1" s="1"/>
  <c r="AV295" i="1" s="1"/>
  <c r="BE295" i="1" s="1"/>
  <c r="BN295" i="1" s="1"/>
  <c r="BW295" i="1" s="1"/>
  <c r="CF295" i="1" s="1"/>
  <c r="CO295" i="1" s="1"/>
  <c r="CX295" i="1" s="1"/>
  <c r="DG295" i="1" s="1"/>
  <c r="DP295" i="1" s="1"/>
  <c r="DY295" i="1" s="1"/>
  <c r="EH295" i="1" s="1"/>
  <c r="EQ295" i="1" s="1"/>
  <c r="EZ295" i="1" s="1"/>
  <c r="FI295" i="1" s="1"/>
  <c r="FR295" i="1" s="1"/>
  <c r="GA295" i="1" s="1"/>
  <c r="GJ295" i="1" s="1"/>
  <c r="GS295" i="1" s="1"/>
  <c r="HB295" i="1" s="1"/>
  <c r="HK295" i="1" s="1"/>
  <c r="HU295" i="1" s="1"/>
  <c r="ID295" i="1" s="1"/>
  <c r="IM295" i="1" s="1"/>
  <c r="IV295" i="1" s="1"/>
  <c r="JE295" i="1" s="1"/>
  <c r="JN295" i="1" s="1"/>
  <c r="JW295" i="1" s="1"/>
  <c r="KF295" i="1" s="1"/>
  <c r="KO295" i="1" s="1"/>
  <c r="KX295" i="1" s="1"/>
  <c r="LG295" i="1" s="1"/>
  <c r="LP295" i="1" s="1"/>
  <c r="LY295" i="1" s="1"/>
  <c r="MH295" i="1" s="1"/>
  <c r="MQ295" i="1" s="1"/>
  <c r="MZ295" i="1" s="1"/>
  <c r="L296" i="1"/>
  <c r="U296" i="1" s="1"/>
  <c r="AD296" i="1" s="1"/>
  <c r="AM296" i="1" s="1"/>
  <c r="AV296" i="1" s="1"/>
  <c r="BE296" i="1" s="1"/>
  <c r="BN296" i="1" s="1"/>
  <c r="BW296" i="1" s="1"/>
  <c r="CF296" i="1" s="1"/>
  <c r="CO296" i="1" s="1"/>
  <c r="CX296" i="1" s="1"/>
  <c r="DG296" i="1" s="1"/>
  <c r="DP296" i="1" s="1"/>
  <c r="DY296" i="1" s="1"/>
  <c r="EH296" i="1" s="1"/>
  <c r="EQ296" i="1" s="1"/>
  <c r="EZ296" i="1" s="1"/>
  <c r="FI296" i="1" s="1"/>
  <c r="FR296" i="1" s="1"/>
  <c r="GA296" i="1" s="1"/>
  <c r="GJ296" i="1" s="1"/>
  <c r="GS296" i="1" s="1"/>
  <c r="HB296" i="1" s="1"/>
  <c r="HK296" i="1" s="1"/>
  <c r="HU296" i="1" s="1"/>
  <c r="ID296" i="1" s="1"/>
  <c r="IM296" i="1" s="1"/>
  <c r="IV296" i="1" s="1"/>
  <c r="JE296" i="1" s="1"/>
  <c r="JN296" i="1" s="1"/>
  <c r="JW296" i="1" s="1"/>
  <c r="KF296" i="1" s="1"/>
  <c r="KO296" i="1" s="1"/>
  <c r="KX296" i="1" s="1"/>
  <c r="LG296" i="1" s="1"/>
  <c r="LP296" i="1" s="1"/>
  <c r="LY296" i="1" s="1"/>
  <c r="MH296" i="1" s="1"/>
  <c r="MQ296" i="1" s="1"/>
  <c r="MZ296" i="1" s="1"/>
  <c r="L297" i="1"/>
  <c r="U297" i="1" s="1"/>
  <c r="AD297" i="1" s="1"/>
  <c r="AM297" i="1" s="1"/>
  <c r="AV297" i="1" s="1"/>
  <c r="BE297" i="1" s="1"/>
  <c r="BN297" i="1" s="1"/>
  <c r="BW297" i="1" s="1"/>
  <c r="CF297" i="1" s="1"/>
  <c r="CO297" i="1" s="1"/>
  <c r="CX297" i="1" s="1"/>
  <c r="DG297" i="1" s="1"/>
  <c r="DP297" i="1" s="1"/>
  <c r="DY297" i="1" s="1"/>
  <c r="EH297" i="1" s="1"/>
  <c r="EQ297" i="1" s="1"/>
  <c r="EZ297" i="1" s="1"/>
  <c r="FI297" i="1" s="1"/>
  <c r="FR297" i="1" s="1"/>
  <c r="GA297" i="1" s="1"/>
  <c r="GJ297" i="1" s="1"/>
  <c r="GS297" i="1" s="1"/>
  <c r="HB297" i="1" s="1"/>
  <c r="HK297" i="1" s="1"/>
  <c r="HU297" i="1" s="1"/>
  <c r="ID297" i="1" s="1"/>
  <c r="IM297" i="1" s="1"/>
  <c r="IV297" i="1" s="1"/>
  <c r="JE297" i="1" s="1"/>
  <c r="JN297" i="1" s="1"/>
  <c r="JW297" i="1" s="1"/>
  <c r="KF297" i="1" s="1"/>
  <c r="KO297" i="1" s="1"/>
  <c r="KX297" i="1" s="1"/>
  <c r="LG297" i="1" s="1"/>
  <c r="LP297" i="1" s="1"/>
  <c r="LY297" i="1" s="1"/>
  <c r="MH297" i="1" s="1"/>
  <c r="MQ297" i="1" s="1"/>
  <c r="MZ297" i="1" s="1"/>
  <c r="L298" i="1"/>
  <c r="U298" i="1" s="1"/>
  <c r="AD298" i="1" s="1"/>
  <c r="AM298" i="1" s="1"/>
  <c r="AV298" i="1" s="1"/>
  <c r="BE298" i="1" s="1"/>
  <c r="BN298" i="1" s="1"/>
  <c r="BW298" i="1" s="1"/>
  <c r="CF298" i="1" s="1"/>
  <c r="CO298" i="1" s="1"/>
  <c r="CX298" i="1" s="1"/>
  <c r="DG298" i="1" s="1"/>
  <c r="DP298" i="1" s="1"/>
  <c r="DY298" i="1" s="1"/>
  <c r="EH298" i="1" s="1"/>
  <c r="EQ298" i="1" s="1"/>
  <c r="EZ298" i="1" s="1"/>
  <c r="FI298" i="1" s="1"/>
  <c r="FR298" i="1" s="1"/>
  <c r="GA298" i="1" s="1"/>
  <c r="GJ298" i="1" s="1"/>
  <c r="GS298" i="1" s="1"/>
  <c r="HB298" i="1" s="1"/>
  <c r="HK298" i="1" s="1"/>
  <c r="HU298" i="1" s="1"/>
  <c r="ID298" i="1" s="1"/>
  <c r="IM298" i="1" s="1"/>
  <c r="IV298" i="1" s="1"/>
  <c r="JE298" i="1" s="1"/>
  <c r="JN298" i="1" s="1"/>
  <c r="JW298" i="1" s="1"/>
  <c r="KF298" i="1" s="1"/>
  <c r="KO298" i="1" s="1"/>
  <c r="KX298" i="1" s="1"/>
  <c r="LG298" i="1" s="1"/>
  <c r="LP298" i="1" s="1"/>
  <c r="LY298" i="1" s="1"/>
  <c r="MH298" i="1" s="1"/>
  <c r="MQ298" i="1" s="1"/>
  <c r="MZ298" i="1" s="1"/>
  <c r="L299" i="1"/>
  <c r="L300" i="1"/>
  <c r="U300" i="1" s="1"/>
  <c r="AD300" i="1" s="1"/>
  <c r="AM300" i="1" s="1"/>
  <c r="AV300" i="1" s="1"/>
  <c r="BE300" i="1" s="1"/>
  <c r="BN300" i="1" s="1"/>
  <c r="BW300" i="1" s="1"/>
  <c r="CF300" i="1" s="1"/>
  <c r="CO300" i="1" s="1"/>
  <c r="CX300" i="1" s="1"/>
  <c r="DG300" i="1" s="1"/>
  <c r="DP300" i="1" s="1"/>
  <c r="DY300" i="1" s="1"/>
  <c r="EH300" i="1" s="1"/>
  <c r="EQ300" i="1" s="1"/>
  <c r="EZ300" i="1" s="1"/>
  <c r="FI300" i="1" s="1"/>
  <c r="FR300" i="1" s="1"/>
  <c r="GA300" i="1" s="1"/>
  <c r="GJ300" i="1" s="1"/>
  <c r="GS300" i="1" s="1"/>
  <c r="HB300" i="1" s="1"/>
  <c r="HK300" i="1" s="1"/>
  <c r="HU300" i="1" s="1"/>
  <c r="ID300" i="1" s="1"/>
  <c r="IM300" i="1" s="1"/>
  <c r="IV300" i="1" s="1"/>
  <c r="JE300" i="1" s="1"/>
  <c r="JN300" i="1" s="1"/>
  <c r="JW300" i="1" s="1"/>
  <c r="KF300" i="1" s="1"/>
  <c r="KO300" i="1" s="1"/>
  <c r="KX300" i="1" s="1"/>
  <c r="LG300" i="1" s="1"/>
  <c r="LP300" i="1" s="1"/>
  <c r="LY300" i="1" s="1"/>
  <c r="MH300" i="1" s="1"/>
  <c r="MQ300" i="1" s="1"/>
  <c r="MZ300" i="1" s="1"/>
  <c r="L301" i="1"/>
  <c r="U301" i="1" s="1"/>
  <c r="AD301" i="1" s="1"/>
  <c r="AM301" i="1" s="1"/>
  <c r="AV301" i="1" s="1"/>
  <c r="BE301" i="1" s="1"/>
  <c r="BN301" i="1" s="1"/>
  <c r="BW301" i="1" s="1"/>
  <c r="CF301" i="1" s="1"/>
  <c r="CO301" i="1" s="1"/>
  <c r="CX301" i="1" s="1"/>
  <c r="DG301" i="1" s="1"/>
  <c r="DP301" i="1" s="1"/>
  <c r="DY301" i="1" s="1"/>
  <c r="EH301" i="1" s="1"/>
  <c r="EQ301" i="1" s="1"/>
  <c r="EZ301" i="1" s="1"/>
  <c r="FI301" i="1" s="1"/>
  <c r="FR301" i="1" s="1"/>
  <c r="GA301" i="1" s="1"/>
  <c r="GJ301" i="1" s="1"/>
  <c r="GS301" i="1" s="1"/>
  <c r="HB301" i="1" s="1"/>
  <c r="HK301" i="1" s="1"/>
  <c r="HU301" i="1" s="1"/>
  <c r="ID301" i="1" s="1"/>
  <c r="IM301" i="1" s="1"/>
  <c r="IV301" i="1" s="1"/>
  <c r="JE301" i="1" s="1"/>
  <c r="JN301" i="1" s="1"/>
  <c r="JW301" i="1" s="1"/>
  <c r="KF301" i="1" s="1"/>
  <c r="KO301" i="1" s="1"/>
  <c r="KX301" i="1" s="1"/>
  <c r="LG301" i="1" s="1"/>
  <c r="LP301" i="1" s="1"/>
  <c r="LY301" i="1" s="1"/>
  <c r="MH301" i="1" s="1"/>
  <c r="MQ301" i="1" s="1"/>
  <c r="MZ301" i="1" s="1"/>
  <c r="L302" i="1"/>
  <c r="U302" i="1" s="1"/>
  <c r="AD302" i="1" s="1"/>
  <c r="AM302" i="1" s="1"/>
  <c r="AV302" i="1" s="1"/>
  <c r="BE302" i="1" s="1"/>
  <c r="BN302" i="1" s="1"/>
  <c r="BW302" i="1" s="1"/>
  <c r="CF302" i="1" s="1"/>
  <c r="CO302" i="1" s="1"/>
  <c r="CX302" i="1" s="1"/>
  <c r="DG302" i="1" s="1"/>
  <c r="DP302" i="1" s="1"/>
  <c r="DY302" i="1" s="1"/>
  <c r="EH302" i="1" s="1"/>
  <c r="EQ302" i="1" s="1"/>
  <c r="EZ302" i="1" s="1"/>
  <c r="FI302" i="1" s="1"/>
  <c r="FR302" i="1" s="1"/>
  <c r="GA302" i="1" s="1"/>
  <c r="GJ302" i="1" s="1"/>
  <c r="GS302" i="1" s="1"/>
  <c r="HB302" i="1" s="1"/>
  <c r="HK302" i="1" s="1"/>
  <c r="HU302" i="1" s="1"/>
  <c r="ID302" i="1" s="1"/>
  <c r="IM302" i="1" s="1"/>
  <c r="IV302" i="1" s="1"/>
  <c r="JE302" i="1" s="1"/>
  <c r="JN302" i="1" s="1"/>
  <c r="JW302" i="1" s="1"/>
  <c r="KF302" i="1" s="1"/>
  <c r="KO302" i="1" s="1"/>
  <c r="KX302" i="1" s="1"/>
  <c r="LG302" i="1" s="1"/>
  <c r="LP302" i="1" s="1"/>
  <c r="LY302" i="1" s="1"/>
  <c r="MH302" i="1" s="1"/>
  <c r="MQ302" i="1" s="1"/>
  <c r="MZ302" i="1" s="1"/>
  <c r="L303" i="1"/>
  <c r="U303" i="1" s="1"/>
  <c r="AD303" i="1" s="1"/>
  <c r="AM303" i="1" s="1"/>
  <c r="AV303" i="1" s="1"/>
  <c r="BE303" i="1" s="1"/>
  <c r="BN303" i="1" s="1"/>
  <c r="BW303" i="1" s="1"/>
  <c r="CF303" i="1" s="1"/>
  <c r="CO303" i="1" s="1"/>
  <c r="CX303" i="1" s="1"/>
  <c r="DG303" i="1" s="1"/>
  <c r="DP303" i="1" s="1"/>
  <c r="DY303" i="1" s="1"/>
  <c r="EH303" i="1" s="1"/>
  <c r="EQ303" i="1" s="1"/>
  <c r="EZ303" i="1" s="1"/>
  <c r="FI303" i="1" s="1"/>
  <c r="FR303" i="1" s="1"/>
  <c r="GA303" i="1" s="1"/>
  <c r="GJ303" i="1" s="1"/>
  <c r="GS303" i="1" s="1"/>
  <c r="HB303" i="1" s="1"/>
  <c r="HK303" i="1" s="1"/>
  <c r="HU303" i="1" s="1"/>
  <c r="ID303" i="1" s="1"/>
  <c r="IM303" i="1" s="1"/>
  <c r="IV303" i="1" s="1"/>
  <c r="JE303" i="1" s="1"/>
  <c r="JN303" i="1" s="1"/>
  <c r="JW303" i="1" s="1"/>
  <c r="KF303" i="1" s="1"/>
  <c r="KO303" i="1" s="1"/>
  <c r="KX303" i="1" s="1"/>
  <c r="LG303" i="1" s="1"/>
  <c r="LP303" i="1" s="1"/>
  <c r="LY303" i="1" s="1"/>
  <c r="MH303" i="1" s="1"/>
  <c r="MQ303" i="1" s="1"/>
  <c r="MZ303" i="1" s="1"/>
  <c r="NI303" i="1" s="1"/>
  <c r="L304" i="1"/>
  <c r="U304" i="1" s="1"/>
  <c r="AD304" i="1" s="1"/>
  <c r="AM304" i="1" s="1"/>
  <c r="AV304" i="1" s="1"/>
  <c r="BE304" i="1" s="1"/>
  <c r="BN304" i="1" s="1"/>
  <c r="BW304" i="1" s="1"/>
  <c r="CF304" i="1" s="1"/>
  <c r="CO304" i="1" s="1"/>
  <c r="CX304" i="1" s="1"/>
  <c r="DG304" i="1" s="1"/>
  <c r="DP304" i="1" s="1"/>
  <c r="DY304" i="1" s="1"/>
  <c r="EH304" i="1" s="1"/>
  <c r="EQ304" i="1" s="1"/>
  <c r="EZ304" i="1" s="1"/>
  <c r="FI304" i="1" s="1"/>
  <c r="FR304" i="1" s="1"/>
  <c r="GA304" i="1" s="1"/>
  <c r="GJ304" i="1" s="1"/>
  <c r="GS304" i="1" s="1"/>
  <c r="HB304" i="1" s="1"/>
  <c r="HK304" i="1" s="1"/>
  <c r="HU304" i="1" s="1"/>
  <c r="ID304" i="1" s="1"/>
  <c r="IM304" i="1" s="1"/>
  <c r="IV304" i="1" s="1"/>
  <c r="JE304" i="1" s="1"/>
  <c r="JN304" i="1" s="1"/>
  <c r="JW304" i="1" s="1"/>
  <c r="KF304" i="1" s="1"/>
  <c r="KO304" i="1" s="1"/>
  <c r="KX304" i="1" s="1"/>
  <c r="LG304" i="1" s="1"/>
  <c r="LP304" i="1" s="1"/>
  <c r="LY304" i="1" s="1"/>
  <c r="MH304" i="1" s="1"/>
  <c r="MQ304" i="1" s="1"/>
  <c r="MZ304" i="1" s="1"/>
  <c r="L305" i="1"/>
  <c r="U305" i="1" s="1"/>
  <c r="AD305" i="1" s="1"/>
  <c r="AM305" i="1" s="1"/>
  <c r="AV305" i="1" s="1"/>
  <c r="BE305" i="1" s="1"/>
  <c r="BN305" i="1" s="1"/>
  <c r="BW305" i="1" s="1"/>
  <c r="CF305" i="1" s="1"/>
  <c r="CO305" i="1" s="1"/>
  <c r="CX305" i="1" s="1"/>
  <c r="DG305" i="1" s="1"/>
  <c r="DP305" i="1" s="1"/>
  <c r="DY305" i="1" s="1"/>
  <c r="EH305" i="1" s="1"/>
  <c r="EQ305" i="1" s="1"/>
  <c r="EZ305" i="1" s="1"/>
  <c r="FI305" i="1" s="1"/>
  <c r="FR305" i="1" s="1"/>
  <c r="GA305" i="1" s="1"/>
  <c r="GJ305" i="1" s="1"/>
  <c r="GS305" i="1" s="1"/>
  <c r="HB305" i="1" s="1"/>
  <c r="HK305" i="1" s="1"/>
  <c r="HU305" i="1" s="1"/>
  <c r="ID305" i="1" s="1"/>
  <c r="IM305" i="1" s="1"/>
  <c r="IV305" i="1" s="1"/>
  <c r="JE305" i="1" s="1"/>
  <c r="JN305" i="1" s="1"/>
  <c r="JW305" i="1" s="1"/>
  <c r="KF305" i="1" s="1"/>
  <c r="KO305" i="1" s="1"/>
  <c r="KX305" i="1" s="1"/>
  <c r="LG305" i="1" s="1"/>
  <c r="LP305" i="1" s="1"/>
  <c r="LY305" i="1" s="1"/>
  <c r="MH305" i="1" s="1"/>
  <c r="MQ305" i="1" s="1"/>
  <c r="MZ305" i="1" s="1"/>
  <c r="L306" i="1"/>
  <c r="U306" i="1" s="1"/>
  <c r="AD306" i="1" s="1"/>
  <c r="AM306" i="1" s="1"/>
  <c r="AV306" i="1" s="1"/>
  <c r="BE306" i="1" s="1"/>
  <c r="BN306" i="1" s="1"/>
  <c r="BW306" i="1" s="1"/>
  <c r="CF306" i="1" s="1"/>
  <c r="CO306" i="1" s="1"/>
  <c r="CX306" i="1" s="1"/>
  <c r="DG306" i="1" s="1"/>
  <c r="DP306" i="1" s="1"/>
  <c r="DY306" i="1" s="1"/>
  <c r="EH306" i="1" s="1"/>
  <c r="EQ306" i="1" s="1"/>
  <c r="EZ306" i="1" s="1"/>
  <c r="FI306" i="1" s="1"/>
  <c r="FR306" i="1" s="1"/>
  <c r="GA306" i="1" s="1"/>
  <c r="GJ306" i="1" s="1"/>
  <c r="GS306" i="1" s="1"/>
  <c r="HB306" i="1" s="1"/>
  <c r="HK306" i="1" s="1"/>
  <c r="HU306" i="1" s="1"/>
  <c r="ID306" i="1" s="1"/>
  <c r="IM306" i="1" s="1"/>
  <c r="IV306" i="1" s="1"/>
  <c r="JE306" i="1" s="1"/>
  <c r="JN306" i="1" s="1"/>
  <c r="JW306" i="1" s="1"/>
  <c r="KF306" i="1" s="1"/>
  <c r="KO306" i="1" s="1"/>
  <c r="KX306" i="1" s="1"/>
  <c r="LG306" i="1" s="1"/>
  <c r="LP306" i="1" s="1"/>
  <c r="LY306" i="1" s="1"/>
  <c r="MH306" i="1" s="1"/>
  <c r="MQ306" i="1" s="1"/>
  <c r="MZ306" i="1" s="1"/>
  <c r="L307" i="1"/>
  <c r="U307" i="1" s="1"/>
  <c r="AD307" i="1" s="1"/>
  <c r="AM307" i="1" s="1"/>
  <c r="AV307" i="1" s="1"/>
  <c r="BE307" i="1" s="1"/>
  <c r="BN307" i="1" s="1"/>
  <c r="BW307" i="1" s="1"/>
  <c r="CF307" i="1" s="1"/>
  <c r="CO307" i="1" s="1"/>
  <c r="CX307" i="1" s="1"/>
  <c r="DG307" i="1" s="1"/>
  <c r="DP307" i="1" s="1"/>
  <c r="DY307" i="1" s="1"/>
  <c r="EH307" i="1" s="1"/>
  <c r="EQ307" i="1" s="1"/>
  <c r="EZ307" i="1" s="1"/>
  <c r="FI307" i="1" s="1"/>
  <c r="FR307" i="1" s="1"/>
  <c r="GA307" i="1" s="1"/>
  <c r="GJ307" i="1" s="1"/>
  <c r="GS307" i="1" s="1"/>
  <c r="HB307" i="1" s="1"/>
  <c r="HK307" i="1" s="1"/>
  <c r="HU307" i="1" s="1"/>
  <c r="ID307" i="1" s="1"/>
  <c r="IM307" i="1" s="1"/>
  <c r="IV307" i="1" s="1"/>
  <c r="JE307" i="1" s="1"/>
  <c r="JN307" i="1" s="1"/>
  <c r="JW307" i="1" s="1"/>
  <c r="KF307" i="1" s="1"/>
  <c r="KO307" i="1" s="1"/>
  <c r="KX307" i="1" s="1"/>
  <c r="LG307" i="1" s="1"/>
  <c r="LP307" i="1" s="1"/>
  <c r="LY307" i="1" s="1"/>
  <c r="MH307" i="1" s="1"/>
  <c r="MQ307" i="1" s="1"/>
  <c r="MZ307" i="1" s="1"/>
  <c r="L308" i="1"/>
  <c r="U308" i="1" s="1"/>
  <c r="AD308" i="1" s="1"/>
  <c r="AM308" i="1" s="1"/>
  <c r="AV308" i="1" s="1"/>
  <c r="BE308" i="1" s="1"/>
  <c r="BN308" i="1" s="1"/>
  <c r="BW308" i="1" s="1"/>
  <c r="CF308" i="1" s="1"/>
  <c r="CO308" i="1" s="1"/>
  <c r="CX308" i="1" s="1"/>
  <c r="DG308" i="1" s="1"/>
  <c r="DP308" i="1" s="1"/>
  <c r="DY308" i="1" s="1"/>
  <c r="EH308" i="1" s="1"/>
  <c r="EQ308" i="1" s="1"/>
  <c r="EZ308" i="1" s="1"/>
  <c r="FI308" i="1" s="1"/>
  <c r="FR308" i="1" s="1"/>
  <c r="GA308" i="1" s="1"/>
  <c r="GJ308" i="1" s="1"/>
  <c r="GS308" i="1" s="1"/>
  <c r="HB308" i="1" s="1"/>
  <c r="HK308" i="1" s="1"/>
  <c r="HU308" i="1" s="1"/>
  <c r="ID308" i="1" s="1"/>
  <c r="IM308" i="1" s="1"/>
  <c r="IV308" i="1" s="1"/>
  <c r="JE308" i="1" s="1"/>
  <c r="JN308" i="1" s="1"/>
  <c r="JW308" i="1" s="1"/>
  <c r="KF308" i="1" s="1"/>
  <c r="KO308" i="1" s="1"/>
  <c r="KX308" i="1" s="1"/>
  <c r="LG308" i="1" s="1"/>
  <c r="LP308" i="1" s="1"/>
  <c r="LY308" i="1" s="1"/>
  <c r="MH308" i="1" s="1"/>
  <c r="MQ308" i="1" s="1"/>
  <c r="MZ308" i="1" s="1"/>
  <c r="L309" i="1"/>
  <c r="U309" i="1" s="1"/>
  <c r="AD309" i="1" s="1"/>
  <c r="AM309" i="1" s="1"/>
  <c r="AV309" i="1" s="1"/>
  <c r="BE309" i="1" s="1"/>
  <c r="BN309" i="1" s="1"/>
  <c r="BW309" i="1" s="1"/>
  <c r="CF309" i="1" s="1"/>
  <c r="CO309" i="1" s="1"/>
  <c r="CX309" i="1" s="1"/>
  <c r="DG309" i="1" s="1"/>
  <c r="DP309" i="1" s="1"/>
  <c r="DY309" i="1" s="1"/>
  <c r="EH309" i="1" s="1"/>
  <c r="EQ309" i="1" s="1"/>
  <c r="EZ309" i="1" s="1"/>
  <c r="FI309" i="1" s="1"/>
  <c r="FR309" i="1" s="1"/>
  <c r="GA309" i="1" s="1"/>
  <c r="GJ309" i="1" s="1"/>
  <c r="GS309" i="1" s="1"/>
  <c r="HB309" i="1" s="1"/>
  <c r="HK309" i="1" s="1"/>
  <c r="HU309" i="1" s="1"/>
  <c r="ID309" i="1" s="1"/>
  <c r="IM309" i="1" s="1"/>
  <c r="IV309" i="1" s="1"/>
  <c r="JE309" i="1" s="1"/>
  <c r="JN309" i="1" s="1"/>
  <c r="JW309" i="1" s="1"/>
  <c r="KF309" i="1" s="1"/>
  <c r="KO309" i="1" s="1"/>
  <c r="KX309" i="1" s="1"/>
  <c r="LG309" i="1" s="1"/>
  <c r="LP309" i="1" s="1"/>
  <c r="LY309" i="1" s="1"/>
  <c r="MH309" i="1" s="1"/>
  <c r="MQ309" i="1" s="1"/>
  <c r="MZ309" i="1" s="1"/>
  <c r="L310" i="1"/>
  <c r="U310" i="1" s="1"/>
  <c r="AD310" i="1" s="1"/>
  <c r="AM310" i="1" s="1"/>
  <c r="AV310" i="1" s="1"/>
  <c r="BE310" i="1" s="1"/>
  <c r="BN310" i="1" s="1"/>
  <c r="BW310" i="1" s="1"/>
  <c r="CF310" i="1" s="1"/>
  <c r="CO310" i="1" s="1"/>
  <c r="CX310" i="1" s="1"/>
  <c r="DG310" i="1" s="1"/>
  <c r="DP310" i="1" s="1"/>
  <c r="DY310" i="1" s="1"/>
  <c r="EH310" i="1" s="1"/>
  <c r="EQ310" i="1" s="1"/>
  <c r="EZ310" i="1" s="1"/>
  <c r="FI310" i="1" s="1"/>
  <c r="FR310" i="1" s="1"/>
  <c r="GA310" i="1" s="1"/>
  <c r="GJ310" i="1" s="1"/>
  <c r="GS310" i="1" s="1"/>
  <c r="HB310" i="1" s="1"/>
  <c r="HK310" i="1" s="1"/>
  <c r="HU310" i="1" s="1"/>
  <c r="ID310" i="1" s="1"/>
  <c r="IM310" i="1" s="1"/>
  <c r="IV310" i="1" s="1"/>
  <c r="JE310" i="1" s="1"/>
  <c r="JN310" i="1" s="1"/>
  <c r="JW310" i="1" s="1"/>
  <c r="KF310" i="1" s="1"/>
  <c r="KO310" i="1" s="1"/>
  <c r="KX310" i="1" s="1"/>
  <c r="LG310" i="1" s="1"/>
  <c r="LP310" i="1" s="1"/>
  <c r="LY310" i="1" s="1"/>
  <c r="MH310" i="1" s="1"/>
  <c r="MQ310" i="1" s="1"/>
  <c r="MZ310" i="1" s="1"/>
  <c r="L311" i="1"/>
  <c r="L312" i="1"/>
  <c r="U312" i="1" s="1"/>
  <c r="AD312" i="1" s="1"/>
  <c r="AM312" i="1" s="1"/>
  <c r="AV312" i="1" s="1"/>
  <c r="BE312" i="1" s="1"/>
  <c r="BN312" i="1" s="1"/>
  <c r="BW312" i="1" s="1"/>
  <c r="CF312" i="1" s="1"/>
  <c r="CO312" i="1" s="1"/>
  <c r="CX312" i="1" s="1"/>
  <c r="DG312" i="1" s="1"/>
  <c r="DP312" i="1" s="1"/>
  <c r="DY312" i="1" s="1"/>
  <c r="EH312" i="1" s="1"/>
  <c r="EQ312" i="1" s="1"/>
  <c r="EZ312" i="1" s="1"/>
  <c r="FI312" i="1" s="1"/>
  <c r="FR312" i="1" s="1"/>
  <c r="GA312" i="1" s="1"/>
  <c r="GJ312" i="1" s="1"/>
  <c r="GS312" i="1" s="1"/>
  <c r="HB312" i="1" s="1"/>
  <c r="HK312" i="1" s="1"/>
  <c r="HU312" i="1" s="1"/>
  <c r="ID312" i="1" s="1"/>
  <c r="IM312" i="1" s="1"/>
  <c r="IV312" i="1" s="1"/>
  <c r="JE312" i="1" s="1"/>
  <c r="JN312" i="1" s="1"/>
  <c r="JW312" i="1" s="1"/>
  <c r="KF312" i="1" s="1"/>
  <c r="KO312" i="1" s="1"/>
  <c r="KX312" i="1" s="1"/>
  <c r="LG312" i="1" s="1"/>
  <c r="LP312" i="1" s="1"/>
  <c r="LY312" i="1" s="1"/>
  <c r="MH312" i="1" s="1"/>
  <c r="MQ312" i="1" s="1"/>
  <c r="MZ312" i="1" s="1"/>
  <c r="L313" i="1"/>
  <c r="U313" i="1" s="1"/>
  <c r="AD313" i="1" s="1"/>
  <c r="AM313" i="1" s="1"/>
  <c r="AV313" i="1" s="1"/>
  <c r="BE313" i="1" s="1"/>
  <c r="BN313" i="1" s="1"/>
  <c r="BW313" i="1" s="1"/>
  <c r="CF313" i="1" s="1"/>
  <c r="CO313" i="1" s="1"/>
  <c r="CX313" i="1" s="1"/>
  <c r="DG313" i="1" s="1"/>
  <c r="DP313" i="1" s="1"/>
  <c r="DY313" i="1" s="1"/>
  <c r="EH313" i="1" s="1"/>
  <c r="EQ313" i="1" s="1"/>
  <c r="EZ313" i="1" s="1"/>
  <c r="FI313" i="1" s="1"/>
  <c r="FR313" i="1" s="1"/>
  <c r="GA313" i="1" s="1"/>
  <c r="GJ313" i="1" s="1"/>
  <c r="GS313" i="1" s="1"/>
  <c r="HB313" i="1" s="1"/>
  <c r="HK313" i="1" s="1"/>
  <c r="HU313" i="1" s="1"/>
  <c r="ID313" i="1" s="1"/>
  <c r="IM313" i="1" s="1"/>
  <c r="IV313" i="1" s="1"/>
  <c r="JE313" i="1" s="1"/>
  <c r="JN313" i="1" s="1"/>
  <c r="JW313" i="1" s="1"/>
  <c r="KF313" i="1" s="1"/>
  <c r="KO313" i="1" s="1"/>
  <c r="KX313" i="1" s="1"/>
  <c r="LG313" i="1" s="1"/>
  <c r="LP313" i="1" s="1"/>
  <c r="LY313" i="1" s="1"/>
  <c r="MH313" i="1" s="1"/>
  <c r="MQ313" i="1" s="1"/>
  <c r="MZ313" i="1" s="1"/>
  <c r="L314" i="1"/>
  <c r="U314" i="1" s="1"/>
  <c r="AD314" i="1" s="1"/>
  <c r="AM314" i="1" s="1"/>
  <c r="AV314" i="1" s="1"/>
  <c r="BE314" i="1" s="1"/>
  <c r="BN314" i="1" s="1"/>
  <c r="BW314" i="1" s="1"/>
  <c r="CF314" i="1" s="1"/>
  <c r="CO314" i="1" s="1"/>
  <c r="CX314" i="1" s="1"/>
  <c r="DG314" i="1" s="1"/>
  <c r="DP314" i="1" s="1"/>
  <c r="DY314" i="1" s="1"/>
  <c r="EH314" i="1" s="1"/>
  <c r="EQ314" i="1" s="1"/>
  <c r="EZ314" i="1" s="1"/>
  <c r="FI314" i="1" s="1"/>
  <c r="FR314" i="1" s="1"/>
  <c r="GA314" i="1" s="1"/>
  <c r="GJ314" i="1" s="1"/>
  <c r="GS314" i="1" s="1"/>
  <c r="HB314" i="1" s="1"/>
  <c r="HK314" i="1" s="1"/>
  <c r="HU314" i="1" s="1"/>
  <c r="ID314" i="1" s="1"/>
  <c r="IM314" i="1" s="1"/>
  <c r="IV314" i="1" s="1"/>
  <c r="JE314" i="1" s="1"/>
  <c r="JN314" i="1" s="1"/>
  <c r="JW314" i="1" s="1"/>
  <c r="KF314" i="1" s="1"/>
  <c r="KO314" i="1" s="1"/>
  <c r="KX314" i="1" s="1"/>
  <c r="LG314" i="1" s="1"/>
  <c r="LP314" i="1" s="1"/>
  <c r="LY314" i="1" s="1"/>
  <c r="MH314" i="1" s="1"/>
  <c r="MQ314" i="1" s="1"/>
  <c r="MZ314" i="1" s="1"/>
  <c r="L315" i="1"/>
  <c r="U315" i="1" s="1"/>
  <c r="AD315" i="1" s="1"/>
  <c r="AM315" i="1" s="1"/>
  <c r="AV315" i="1" s="1"/>
  <c r="BE315" i="1" s="1"/>
  <c r="BN315" i="1" s="1"/>
  <c r="BW315" i="1" s="1"/>
  <c r="CF315" i="1" s="1"/>
  <c r="CO315" i="1" s="1"/>
  <c r="CX315" i="1" s="1"/>
  <c r="DG315" i="1" s="1"/>
  <c r="DP315" i="1" s="1"/>
  <c r="DY315" i="1" s="1"/>
  <c r="EH315" i="1" s="1"/>
  <c r="EQ315" i="1" s="1"/>
  <c r="EZ315" i="1" s="1"/>
  <c r="FI315" i="1" s="1"/>
  <c r="FR315" i="1" s="1"/>
  <c r="GA315" i="1" s="1"/>
  <c r="GJ315" i="1" s="1"/>
  <c r="GS315" i="1" s="1"/>
  <c r="HB315" i="1" s="1"/>
  <c r="HK315" i="1" s="1"/>
  <c r="HU315" i="1" s="1"/>
  <c r="ID315" i="1" s="1"/>
  <c r="IM315" i="1" s="1"/>
  <c r="IV315" i="1" s="1"/>
  <c r="JE315" i="1" s="1"/>
  <c r="JN315" i="1" s="1"/>
  <c r="JW315" i="1" s="1"/>
  <c r="KF315" i="1" s="1"/>
  <c r="KO315" i="1" s="1"/>
  <c r="KX315" i="1" s="1"/>
  <c r="LG315" i="1" s="1"/>
  <c r="LP315" i="1" s="1"/>
  <c r="LY315" i="1" s="1"/>
  <c r="MH315" i="1" s="1"/>
  <c r="MQ315" i="1" s="1"/>
  <c r="MZ315" i="1" s="1"/>
  <c r="L316" i="1"/>
  <c r="U316" i="1" s="1"/>
  <c r="AD316" i="1" s="1"/>
  <c r="AM316" i="1" s="1"/>
  <c r="AV316" i="1" s="1"/>
  <c r="BE316" i="1" s="1"/>
  <c r="BN316" i="1" s="1"/>
  <c r="BW316" i="1" s="1"/>
  <c r="CF316" i="1" s="1"/>
  <c r="CO316" i="1" s="1"/>
  <c r="CX316" i="1" s="1"/>
  <c r="DG316" i="1" s="1"/>
  <c r="DP316" i="1" s="1"/>
  <c r="DY316" i="1" s="1"/>
  <c r="EH316" i="1" s="1"/>
  <c r="EQ316" i="1" s="1"/>
  <c r="EZ316" i="1" s="1"/>
  <c r="FI316" i="1" s="1"/>
  <c r="FR316" i="1" s="1"/>
  <c r="GA316" i="1" s="1"/>
  <c r="GJ316" i="1" s="1"/>
  <c r="GS316" i="1" s="1"/>
  <c r="HB316" i="1" s="1"/>
  <c r="HK316" i="1" s="1"/>
  <c r="HU316" i="1" s="1"/>
  <c r="ID316" i="1" s="1"/>
  <c r="IM316" i="1" s="1"/>
  <c r="IV316" i="1" s="1"/>
  <c r="JE316" i="1" s="1"/>
  <c r="JN316" i="1" s="1"/>
  <c r="JW316" i="1" s="1"/>
  <c r="KF316" i="1" s="1"/>
  <c r="KO316" i="1" s="1"/>
  <c r="KX316" i="1" s="1"/>
  <c r="LG316" i="1" s="1"/>
  <c r="LP316" i="1" s="1"/>
  <c r="LY316" i="1" s="1"/>
  <c r="MH316" i="1" s="1"/>
  <c r="MQ316" i="1" s="1"/>
  <c r="MZ316" i="1" s="1"/>
  <c r="L317" i="1"/>
  <c r="U317" i="1" s="1"/>
  <c r="AD317" i="1" s="1"/>
  <c r="AM317" i="1" s="1"/>
  <c r="AV317" i="1" s="1"/>
  <c r="BE317" i="1" s="1"/>
  <c r="BN317" i="1" s="1"/>
  <c r="BW317" i="1" s="1"/>
  <c r="CF317" i="1" s="1"/>
  <c r="CO317" i="1" s="1"/>
  <c r="CX317" i="1" s="1"/>
  <c r="DG317" i="1" s="1"/>
  <c r="DP317" i="1" s="1"/>
  <c r="DY317" i="1" s="1"/>
  <c r="EH317" i="1" s="1"/>
  <c r="EQ317" i="1" s="1"/>
  <c r="EZ317" i="1" s="1"/>
  <c r="FI317" i="1" s="1"/>
  <c r="FR317" i="1" s="1"/>
  <c r="GA317" i="1" s="1"/>
  <c r="GJ317" i="1" s="1"/>
  <c r="GS317" i="1" s="1"/>
  <c r="HB317" i="1" s="1"/>
  <c r="HK317" i="1" s="1"/>
  <c r="HU317" i="1" s="1"/>
  <c r="ID317" i="1" s="1"/>
  <c r="IM317" i="1" s="1"/>
  <c r="IV317" i="1" s="1"/>
  <c r="JE317" i="1" s="1"/>
  <c r="JN317" i="1" s="1"/>
  <c r="JW317" i="1" s="1"/>
  <c r="KF317" i="1" s="1"/>
  <c r="KO317" i="1" s="1"/>
  <c r="KX317" i="1" s="1"/>
  <c r="LG317" i="1" s="1"/>
  <c r="LP317" i="1" s="1"/>
  <c r="LY317" i="1" s="1"/>
  <c r="MH317" i="1" s="1"/>
  <c r="MQ317" i="1" s="1"/>
  <c r="MZ317" i="1" s="1"/>
  <c r="L318" i="1"/>
  <c r="U318" i="1" s="1"/>
  <c r="AD318" i="1" s="1"/>
  <c r="AM318" i="1" s="1"/>
  <c r="AV318" i="1" s="1"/>
  <c r="BE318" i="1" s="1"/>
  <c r="BN318" i="1" s="1"/>
  <c r="BW318" i="1" s="1"/>
  <c r="CF318" i="1" s="1"/>
  <c r="CO318" i="1" s="1"/>
  <c r="CX318" i="1" s="1"/>
  <c r="DG318" i="1" s="1"/>
  <c r="DP318" i="1" s="1"/>
  <c r="DY318" i="1" s="1"/>
  <c r="EH318" i="1" s="1"/>
  <c r="EQ318" i="1" s="1"/>
  <c r="EZ318" i="1" s="1"/>
  <c r="FI318" i="1" s="1"/>
  <c r="FR318" i="1" s="1"/>
  <c r="GA318" i="1" s="1"/>
  <c r="GJ318" i="1" s="1"/>
  <c r="GS318" i="1" s="1"/>
  <c r="HB318" i="1" s="1"/>
  <c r="HK318" i="1" s="1"/>
  <c r="HU318" i="1" s="1"/>
  <c r="ID318" i="1" s="1"/>
  <c r="IM318" i="1" s="1"/>
  <c r="IV318" i="1" s="1"/>
  <c r="JE318" i="1" s="1"/>
  <c r="JN318" i="1" s="1"/>
  <c r="JW318" i="1" s="1"/>
  <c r="KF318" i="1" s="1"/>
  <c r="KO318" i="1" s="1"/>
  <c r="KX318" i="1" s="1"/>
  <c r="LG318" i="1" s="1"/>
  <c r="LP318" i="1" s="1"/>
  <c r="LY318" i="1" s="1"/>
  <c r="MH318" i="1" s="1"/>
  <c r="MQ318" i="1" s="1"/>
  <c r="MZ318" i="1" s="1"/>
  <c r="NI318" i="1" s="1"/>
  <c r="L319" i="1"/>
  <c r="U319" i="1" s="1"/>
  <c r="AD319" i="1" s="1"/>
  <c r="AM319" i="1" s="1"/>
  <c r="AV319" i="1" s="1"/>
  <c r="BE319" i="1" s="1"/>
  <c r="BN319" i="1" s="1"/>
  <c r="BW319" i="1" s="1"/>
  <c r="CF319" i="1" s="1"/>
  <c r="CO319" i="1" s="1"/>
  <c r="CX319" i="1" s="1"/>
  <c r="DG319" i="1" s="1"/>
  <c r="DP319" i="1" s="1"/>
  <c r="DY319" i="1" s="1"/>
  <c r="EH319" i="1" s="1"/>
  <c r="EQ319" i="1" s="1"/>
  <c r="EZ319" i="1" s="1"/>
  <c r="FI319" i="1" s="1"/>
  <c r="FR319" i="1" s="1"/>
  <c r="GA319" i="1" s="1"/>
  <c r="GJ319" i="1" s="1"/>
  <c r="GS319" i="1" s="1"/>
  <c r="HB319" i="1" s="1"/>
  <c r="HK319" i="1" s="1"/>
  <c r="HU319" i="1" s="1"/>
  <c r="ID319" i="1" s="1"/>
  <c r="IM319" i="1" s="1"/>
  <c r="IV319" i="1" s="1"/>
  <c r="JE319" i="1" s="1"/>
  <c r="JN319" i="1" s="1"/>
  <c r="JW319" i="1" s="1"/>
  <c r="KF319" i="1" s="1"/>
  <c r="KO319" i="1" s="1"/>
  <c r="KX319" i="1" s="1"/>
  <c r="LG319" i="1" s="1"/>
  <c r="LP319" i="1" s="1"/>
  <c r="LY319" i="1" s="1"/>
  <c r="MH319" i="1" s="1"/>
  <c r="MQ319" i="1" s="1"/>
  <c r="MZ319" i="1" s="1"/>
  <c r="L290" i="1"/>
  <c r="U290" i="1" s="1"/>
  <c r="AD290" i="1" s="1"/>
  <c r="AM290" i="1" s="1"/>
  <c r="AV290" i="1" s="1"/>
  <c r="BE290" i="1" s="1"/>
  <c r="BN290" i="1" s="1"/>
  <c r="BW290" i="1" s="1"/>
  <c r="CF290" i="1" s="1"/>
  <c r="CO290" i="1" s="1"/>
  <c r="CX290" i="1" s="1"/>
  <c r="DG290" i="1" s="1"/>
  <c r="DP290" i="1" s="1"/>
  <c r="DY290" i="1" s="1"/>
  <c r="EH290" i="1" s="1"/>
  <c r="EQ290" i="1" s="1"/>
  <c r="EZ290" i="1" s="1"/>
  <c r="FI290" i="1" s="1"/>
  <c r="FR290" i="1" s="1"/>
  <c r="GA290" i="1" s="1"/>
  <c r="GJ290" i="1" s="1"/>
  <c r="GS290" i="1" s="1"/>
  <c r="HB290" i="1" s="1"/>
  <c r="HK290" i="1" s="1"/>
  <c r="HU290" i="1" s="1"/>
  <c r="ID290" i="1" s="1"/>
  <c r="IM290" i="1" s="1"/>
  <c r="IV290" i="1" s="1"/>
  <c r="JE290" i="1" s="1"/>
  <c r="JN290" i="1" s="1"/>
  <c r="JW290" i="1" s="1"/>
  <c r="KF290" i="1" s="1"/>
  <c r="KO290" i="1" s="1"/>
  <c r="KX290" i="1" s="1"/>
  <c r="LG290" i="1" s="1"/>
  <c r="LP290" i="1" s="1"/>
  <c r="LY290" i="1" s="1"/>
  <c r="MH290" i="1" s="1"/>
  <c r="MQ290" i="1" s="1"/>
  <c r="MZ290" i="1" s="1"/>
  <c r="U299" i="1"/>
  <c r="AD299" i="1" s="1"/>
  <c r="AM299" i="1" s="1"/>
  <c r="AV299" i="1" s="1"/>
  <c r="BE299" i="1" s="1"/>
  <c r="BN299" i="1" s="1"/>
  <c r="BW299" i="1" s="1"/>
  <c r="CF299" i="1" s="1"/>
  <c r="CO299" i="1" s="1"/>
  <c r="CX299" i="1" s="1"/>
  <c r="DG299" i="1" s="1"/>
  <c r="DP299" i="1" s="1"/>
  <c r="DY299" i="1" s="1"/>
  <c r="EH299" i="1" s="1"/>
  <c r="EQ299" i="1" s="1"/>
  <c r="EZ299" i="1" s="1"/>
  <c r="FI299" i="1" s="1"/>
  <c r="FR299" i="1" s="1"/>
  <c r="GA299" i="1" s="1"/>
  <c r="GJ299" i="1" s="1"/>
  <c r="GS299" i="1" s="1"/>
  <c r="HB299" i="1" s="1"/>
  <c r="HK299" i="1" s="1"/>
  <c r="HU299" i="1" s="1"/>
  <c r="ID299" i="1" s="1"/>
  <c r="IM299" i="1" s="1"/>
  <c r="IV299" i="1" s="1"/>
  <c r="JE299" i="1" s="1"/>
  <c r="JN299" i="1" s="1"/>
  <c r="JW299" i="1" s="1"/>
  <c r="KF299" i="1" s="1"/>
  <c r="KO299" i="1" s="1"/>
  <c r="KX299" i="1" s="1"/>
  <c r="LG299" i="1" s="1"/>
  <c r="LP299" i="1" s="1"/>
  <c r="LY299" i="1" s="1"/>
  <c r="MH299" i="1" s="1"/>
  <c r="MQ299" i="1" s="1"/>
  <c r="MZ299" i="1" s="1"/>
  <c r="U311" i="1"/>
  <c r="AD311" i="1" s="1"/>
  <c r="AM311" i="1" s="1"/>
  <c r="AV311" i="1" s="1"/>
  <c r="BE311" i="1" s="1"/>
  <c r="BN311" i="1" s="1"/>
  <c r="BW311" i="1" s="1"/>
  <c r="CF311" i="1" s="1"/>
  <c r="CO311" i="1" s="1"/>
  <c r="CX311" i="1" s="1"/>
  <c r="DG311" i="1" s="1"/>
  <c r="DP311" i="1" s="1"/>
  <c r="DY311" i="1" s="1"/>
  <c r="EH311" i="1" s="1"/>
  <c r="EQ311" i="1" s="1"/>
  <c r="EZ311" i="1" s="1"/>
  <c r="FI311" i="1" s="1"/>
  <c r="FR311" i="1" s="1"/>
  <c r="GA311" i="1" s="1"/>
  <c r="GJ311" i="1" s="1"/>
  <c r="GS311" i="1" s="1"/>
  <c r="HB311" i="1" s="1"/>
  <c r="HK311" i="1" s="1"/>
  <c r="HU311" i="1" s="1"/>
  <c r="ID311" i="1" s="1"/>
  <c r="IM311" i="1" s="1"/>
  <c r="IV311" i="1" s="1"/>
  <c r="JE311" i="1" s="1"/>
  <c r="JN311" i="1" s="1"/>
  <c r="JW311" i="1" s="1"/>
  <c r="KF311" i="1" s="1"/>
  <c r="KO311" i="1" s="1"/>
  <c r="KX311" i="1" s="1"/>
  <c r="LG311" i="1" s="1"/>
  <c r="LP311" i="1" s="1"/>
  <c r="LY311" i="1" s="1"/>
  <c r="MH311" i="1" s="1"/>
  <c r="MQ311" i="1" s="1"/>
  <c r="MZ311" i="1" s="1"/>
  <c r="L255" i="1"/>
  <c r="U255" i="1" s="1"/>
  <c r="AD255" i="1" s="1"/>
  <c r="AM255" i="1" s="1"/>
  <c r="AV255" i="1" s="1"/>
  <c r="BE255" i="1" s="1"/>
  <c r="BN255" i="1" s="1"/>
  <c r="BW255" i="1" s="1"/>
  <c r="CF255" i="1" s="1"/>
  <c r="CO255" i="1" s="1"/>
  <c r="CX255" i="1" s="1"/>
  <c r="DG255" i="1" s="1"/>
  <c r="DP255" i="1" s="1"/>
  <c r="DY255" i="1" s="1"/>
  <c r="EH255" i="1" s="1"/>
  <c r="EQ255" i="1" s="1"/>
  <c r="EZ255" i="1" s="1"/>
  <c r="FI255" i="1" s="1"/>
  <c r="FR255" i="1" s="1"/>
  <c r="GA255" i="1" s="1"/>
  <c r="GJ255" i="1" s="1"/>
  <c r="GS255" i="1" s="1"/>
  <c r="HB255" i="1" s="1"/>
  <c r="HK255" i="1" s="1"/>
  <c r="HU255" i="1" s="1"/>
  <c r="ID255" i="1" s="1"/>
  <c r="IM255" i="1" s="1"/>
  <c r="IV255" i="1" s="1"/>
  <c r="JE255" i="1" s="1"/>
  <c r="JN255" i="1" s="1"/>
  <c r="JW255" i="1" s="1"/>
  <c r="KF255" i="1" s="1"/>
  <c r="KO255" i="1" s="1"/>
  <c r="KX255" i="1" s="1"/>
  <c r="LG255" i="1" s="1"/>
  <c r="LP255" i="1" s="1"/>
  <c r="LY255" i="1" s="1"/>
  <c r="MH255" i="1" s="1"/>
  <c r="MQ255" i="1" s="1"/>
  <c r="MZ255" i="1" s="1"/>
  <c r="L256" i="1"/>
  <c r="U256" i="1" s="1"/>
  <c r="AD256" i="1" s="1"/>
  <c r="AM256" i="1" s="1"/>
  <c r="AV256" i="1" s="1"/>
  <c r="BE256" i="1" s="1"/>
  <c r="BN256" i="1" s="1"/>
  <c r="BW256" i="1" s="1"/>
  <c r="CF256" i="1" s="1"/>
  <c r="CO256" i="1" s="1"/>
  <c r="CX256" i="1" s="1"/>
  <c r="DG256" i="1" s="1"/>
  <c r="DP256" i="1" s="1"/>
  <c r="DY256" i="1" s="1"/>
  <c r="EH256" i="1" s="1"/>
  <c r="EQ256" i="1" s="1"/>
  <c r="EZ256" i="1" s="1"/>
  <c r="FI256" i="1" s="1"/>
  <c r="FR256" i="1" s="1"/>
  <c r="GA256" i="1" s="1"/>
  <c r="GJ256" i="1" s="1"/>
  <c r="GS256" i="1" s="1"/>
  <c r="HB256" i="1" s="1"/>
  <c r="HK256" i="1" s="1"/>
  <c r="HU256" i="1" s="1"/>
  <c r="ID256" i="1" s="1"/>
  <c r="IM256" i="1" s="1"/>
  <c r="IV256" i="1" s="1"/>
  <c r="JE256" i="1" s="1"/>
  <c r="JN256" i="1" s="1"/>
  <c r="JW256" i="1" s="1"/>
  <c r="KF256" i="1" s="1"/>
  <c r="KO256" i="1" s="1"/>
  <c r="KX256" i="1" s="1"/>
  <c r="LG256" i="1" s="1"/>
  <c r="LP256" i="1" s="1"/>
  <c r="LY256" i="1" s="1"/>
  <c r="MH256" i="1" s="1"/>
  <c r="MQ256" i="1" s="1"/>
  <c r="MZ256" i="1" s="1"/>
  <c r="L257" i="1"/>
  <c r="U257" i="1" s="1"/>
  <c r="AD257" i="1" s="1"/>
  <c r="AM257" i="1" s="1"/>
  <c r="AV257" i="1" s="1"/>
  <c r="BE257" i="1" s="1"/>
  <c r="BN257" i="1" s="1"/>
  <c r="BW257" i="1" s="1"/>
  <c r="CF257" i="1" s="1"/>
  <c r="CO257" i="1" s="1"/>
  <c r="CX257" i="1" s="1"/>
  <c r="DG257" i="1" s="1"/>
  <c r="DP257" i="1" s="1"/>
  <c r="DY257" i="1" s="1"/>
  <c r="EH257" i="1" s="1"/>
  <c r="EQ257" i="1" s="1"/>
  <c r="EZ257" i="1" s="1"/>
  <c r="FI257" i="1" s="1"/>
  <c r="FR257" i="1" s="1"/>
  <c r="GA257" i="1" s="1"/>
  <c r="GJ257" i="1" s="1"/>
  <c r="GS257" i="1" s="1"/>
  <c r="HB257" i="1" s="1"/>
  <c r="HK257" i="1" s="1"/>
  <c r="HU257" i="1" s="1"/>
  <c r="ID257" i="1" s="1"/>
  <c r="IM257" i="1" s="1"/>
  <c r="IV257" i="1" s="1"/>
  <c r="JE257" i="1" s="1"/>
  <c r="JN257" i="1" s="1"/>
  <c r="JW257" i="1" s="1"/>
  <c r="KF257" i="1" s="1"/>
  <c r="KO257" i="1" s="1"/>
  <c r="KX257" i="1" s="1"/>
  <c r="LG257" i="1" s="1"/>
  <c r="LP257" i="1" s="1"/>
  <c r="LY257" i="1" s="1"/>
  <c r="MH257" i="1" s="1"/>
  <c r="MQ257" i="1" s="1"/>
  <c r="MZ257" i="1" s="1"/>
  <c r="L258" i="1"/>
  <c r="U258" i="1" s="1"/>
  <c r="AD258" i="1" s="1"/>
  <c r="AM258" i="1" s="1"/>
  <c r="AV258" i="1" s="1"/>
  <c r="BE258" i="1" s="1"/>
  <c r="BN258" i="1" s="1"/>
  <c r="BW258" i="1" s="1"/>
  <c r="CF258" i="1" s="1"/>
  <c r="CO258" i="1" s="1"/>
  <c r="CX258" i="1" s="1"/>
  <c r="DG258" i="1" s="1"/>
  <c r="DP258" i="1" s="1"/>
  <c r="DY258" i="1" s="1"/>
  <c r="EH258" i="1" s="1"/>
  <c r="EQ258" i="1" s="1"/>
  <c r="EZ258" i="1" s="1"/>
  <c r="FI258" i="1" s="1"/>
  <c r="FR258" i="1" s="1"/>
  <c r="GA258" i="1" s="1"/>
  <c r="GJ258" i="1" s="1"/>
  <c r="GS258" i="1" s="1"/>
  <c r="HB258" i="1" s="1"/>
  <c r="HK258" i="1" s="1"/>
  <c r="HU258" i="1" s="1"/>
  <c r="ID258" i="1" s="1"/>
  <c r="IM258" i="1" s="1"/>
  <c r="IV258" i="1" s="1"/>
  <c r="JE258" i="1" s="1"/>
  <c r="JN258" i="1" s="1"/>
  <c r="JW258" i="1" s="1"/>
  <c r="KF258" i="1" s="1"/>
  <c r="KO258" i="1" s="1"/>
  <c r="KX258" i="1" s="1"/>
  <c r="LG258" i="1" s="1"/>
  <c r="LP258" i="1" s="1"/>
  <c r="LY258" i="1" s="1"/>
  <c r="MH258" i="1" s="1"/>
  <c r="MQ258" i="1" s="1"/>
  <c r="MZ258" i="1" s="1"/>
  <c r="L259" i="1"/>
  <c r="U259" i="1" s="1"/>
  <c r="AD259" i="1" s="1"/>
  <c r="AM259" i="1" s="1"/>
  <c r="AV259" i="1" s="1"/>
  <c r="BE259" i="1" s="1"/>
  <c r="BN259" i="1" s="1"/>
  <c r="BW259" i="1" s="1"/>
  <c r="CF259" i="1" s="1"/>
  <c r="CO259" i="1" s="1"/>
  <c r="CX259" i="1" s="1"/>
  <c r="DG259" i="1" s="1"/>
  <c r="DP259" i="1" s="1"/>
  <c r="DY259" i="1" s="1"/>
  <c r="EH259" i="1" s="1"/>
  <c r="EQ259" i="1" s="1"/>
  <c r="EZ259" i="1" s="1"/>
  <c r="FI259" i="1" s="1"/>
  <c r="FR259" i="1" s="1"/>
  <c r="GA259" i="1" s="1"/>
  <c r="GJ259" i="1" s="1"/>
  <c r="GS259" i="1" s="1"/>
  <c r="HB259" i="1" s="1"/>
  <c r="HK259" i="1" s="1"/>
  <c r="HU259" i="1" s="1"/>
  <c r="ID259" i="1" s="1"/>
  <c r="IM259" i="1" s="1"/>
  <c r="IV259" i="1" s="1"/>
  <c r="JE259" i="1" s="1"/>
  <c r="JN259" i="1" s="1"/>
  <c r="JW259" i="1" s="1"/>
  <c r="KF259" i="1" s="1"/>
  <c r="KO259" i="1" s="1"/>
  <c r="KX259" i="1" s="1"/>
  <c r="LG259" i="1" s="1"/>
  <c r="LP259" i="1" s="1"/>
  <c r="LY259" i="1" s="1"/>
  <c r="MH259" i="1" s="1"/>
  <c r="MQ259" i="1" s="1"/>
  <c r="MZ259" i="1" s="1"/>
  <c r="L260" i="1"/>
  <c r="U260" i="1" s="1"/>
  <c r="L261" i="1"/>
  <c r="U261" i="1" s="1"/>
  <c r="AD261" i="1" s="1"/>
  <c r="AM261" i="1" s="1"/>
  <c r="AV261" i="1" s="1"/>
  <c r="BE261" i="1" s="1"/>
  <c r="BN261" i="1" s="1"/>
  <c r="BW261" i="1" s="1"/>
  <c r="CF261" i="1" s="1"/>
  <c r="CO261" i="1" s="1"/>
  <c r="CX261" i="1" s="1"/>
  <c r="DG261" i="1" s="1"/>
  <c r="DP261" i="1" s="1"/>
  <c r="DY261" i="1" s="1"/>
  <c r="EH261" i="1" s="1"/>
  <c r="EQ261" i="1" s="1"/>
  <c r="EZ261" i="1" s="1"/>
  <c r="FI261" i="1" s="1"/>
  <c r="FR261" i="1" s="1"/>
  <c r="GA261" i="1" s="1"/>
  <c r="GJ261" i="1" s="1"/>
  <c r="GS261" i="1" s="1"/>
  <c r="HB261" i="1" s="1"/>
  <c r="HK261" i="1" s="1"/>
  <c r="HU261" i="1" s="1"/>
  <c r="ID261" i="1" s="1"/>
  <c r="IM261" i="1" s="1"/>
  <c r="IV261" i="1" s="1"/>
  <c r="JE261" i="1" s="1"/>
  <c r="JN261" i="1" s="1"/>
  <c r="JW261" i="1" s="1"/>
  <c r="KF261" i="1" s="1"/>
  <c r="KO261" i="1" s="1"/>
  <c r="KX261" i="1" s="1"/>
  <c r="LG261" i="1" s="1"/>
  <c r="LP261" i="1" s="1"/>
  <c r="LY261" i="1" s="1"/>
  <c r="MH261" i="1" s="1"/>
  <c r="MQ261" i="1" s="1"/>
  <c r="MZ261" i="1" s="1"/>
  <c r="L262" i="1"/>
  <c r="L263" i="1"/>
  <c r="L264" i="1"/>
  <c r="L265" i="1"/>
  <c r="L266" i="1"/>
  <c r="L267" i="1"/>
  <c r="U267" i="1" s="1"/>
  <c r="AD267" i="1" s="1"/>
  <c r="AM267" i="1" s="1"/>
  <c r="AV267" i="1" s="1"/>
  <c r="BE267" i="1" s="1"/>
  <c r="BN267" i="1" s="1"/>
  <c r="BW267" i="1" s="1"/>
  <c r="CF267" i="1" s="1"/>
  <c r="CO267" i="1" s="1"/>
  <c r="CX267" i="1" s="1"/>
  <c r="DG267" i="1" s="1"/>
  <c r="DP267" i="1" s="1"/>
  <c r="DY267" i="1" s="1"/>
  <c r="EH267" i="1" s="1"/>
  <c r="EQ267" i="1" s="1"/>
  <c r="EZ267" i="1" s="1"/>
  <c r="FI267" i="1" s="1"/>
  <c r="FR267" i="1" s="1"/>
  <c r="GA267" i="1" s="1"/>
  <c r="GJ267" i="1" s="1"/>
  <c r="GS267" i="1" s="1"/>
  <c r="HB267" i="1" s="1"/>
  <c r="HK267" i="1" s="1"/>
  <c r="HU267" i="1" s="1"/>
  <c r="ID267" i="1" s="1"/>
  <c r="IM267" i="1" s="1"/>
  <c r="IV267" i="1" s="1"/>
  <c r="JE267" i="1" s="1"/>
  <c r="JN267" i="1" s="1"/>
  <c r="JW267" i="1" s="1"/>
  <c r="KF267" i="1" s="1"/>
  <c r="KO267" i="1" s="1"/>
  <c r="KX267" i="1" s="1"/>
  <c r="LG267" i="1" s="1"/>
  <c r="LP267" i="1" s="1"/>
  <c r="LY267" i="1" s="1"/>
  <c r="MH267" i="1" s="1"/>
  <c r="MQ267" i="1" s="1"/>
  <c r="MZ267" i="1" s="1"/>
  <c r="L268" i="1"/>
  <c r="U268" i="1" s="1"/>
  <c r="AD268" i="1" s="1"/>
  <c r="AM268" i="1" s="1"/>
  <c r="AV268" i="1" s="1"/>
  <c r="BE268" i="1" s="1"/>
  <c r="BN268" i="1" s="1"/>
  <c r="BW268" i="1" s="1"/>
  <c r="CF268" i="1" s="1"/>
  <c r="CO268" i="1" s="1"/>
  <c r="CX268" i="1" s="1"/>
  <c r="DG268" i="1" s="1"/>
  <c r="DP268" i="1" s="1"/>
  <c r="DY268" i="1" s="1"/>
  <c r="EH268" i="1" s="1"/>
  <c r="EQ268" i="1" s="1"/>
  <c r="EZ268" i="1" s="1"/>
  <c r="FI268" i="1" s="1"/>
  <c r="FR268" i="1" s="1"/>
  <c r="GA268" i="1" s="1"/>
  <c r="GJ268" i="1" s="1"/>
  <c r="GS268" i="1" s="1"/>
  <c r="HB268" i="1" s="1"/>
  <c r="HK268" i="1" s="1"/>
  <c r="HU268" i="1" s="1"/>
  <c r="ID268" i="1" s="1"/>
  <c r="IM268" i="1" s="1"/>
  <c r="IV268" i="1" s="1"/>
  <c r="JE268" i="1" s="1"/>
  <c r="JN268" i="1" s="1"/>
  <c r="JW268" i="1" s="1"/>
  <c r="KF268" i="1" s="1"/>
  <c r="KO268" i="1" s="1"/>
  <c r="KX268" i="1" s="1"/>
  <c r="LG268" i="1" s="1"/>
  <c r="LP268" i="1" s="1"/>
  <c r="LY268" i="1" s="1"/>
  <c r="MH268" i="1" s="1"/>
  <c r="MQ268" i="1" s="1"/>
  <c r="MZ268" i="1" s="1"/>
  <c r="L269" i="1"/>
  <c r="U269" i="1" s="1"/>
  <c r="AD269" i="1" s="1"/>
  <c r="AM269" i="1" s="1"/>
  <c r="AV269" i="1" s="1"/>
  <c r="BE269" i="1" s="1"/>
  <c r="BN269" i="1" s="1"/>
  <c r="BW269" i="1" s="1"/>
  <c r="CF269" i="1" s="1"/>
  <c r="CO269" i="1" s="1"/>
  <c r="CX269" i="1" s="1"/>
  <c r="DG269" i="1" s="1"/>
  <c r="DP269" i="1" s="1"/>
  <c r="DY269" i="1" s="1"/>
  <c r="EH269" i="1" s="1"/>
  <c r="EQ269" i="1" s="1"/>
  <c r="EZ269" i="1" s="1"/>
  <c r="FI269" i="1" s="1"/>
  <c r="FR269" i="1" s="1"/>
  <c r="GA269" i="1" s="1"/>
  <c r="GJ269" i="1" s="1"/>
  <c r="GS269" i="1" s="1"/>
  <c r="HB269" i="1" s="1"/>
  <c r="HK269" i="1" s="1"/>
  <c r="HU269" i="1" s="1"/>
  <c r="ID269" i="1" s="1"/>
  <c r="IM269" i="1" s="1"/>
  <c r="IV269" i="1" s="1"/>
  <c r="JE269" i="1" s="1"/>
  <c r="JN269" i="1" s="1"/>
  <c r="JW269" i="1" s="1"/>
  <c r="KF269" i="1" s="1"/>
  <c r="KO269" i="1" s="1"/>
  <c r="KX269" i="1" s="1"/>
  <c r="LG269" i="1" s="1"/>
  <c r="LP269" i="1" s="1"/>
  <c r="LY269" i="1" s="1"/>
  <c r="MH269" i="1" s="1"/>
  <c r="MQ269" i="1" s="1"/>
  <c r="MZ269" i="1" s="1"/>
  <c r="L270" i="1"/>
  <c r="U270" i="1" s="1"/>
  <c r="AD270" i="1" s="1"/>
  <c r="AM270" i="1" s="1"/>
  <c r="AV270" i="1" s="1"/>
  <c r="BE270" i="1" s="1"/>
  <c r="BN270" i="1" s="1"/>
  <c r="BW270" i="1" s="1"/>
  <c r="CF270" i="1" s="1"/>
  <c r="CO270" i="1" s="1"/>
  <c r="CX270" i="1" s="1"/>
  <c r="DG270" i="1" s="1"/>
  <c r="DP270" i="1" s="1"/>
  <c r="DY270" i="1" s="1"/>
  <c r="EH270" i="1" s="1"/>
  <c r="EQ270" i="1" s="1"/>
  <c r="EZ270" i="1" s="1"/>
  <c r="FI270" i="1" s="1"/>
  <c r="FR270" i="1" s="1"/>
  <c r="GA270" i="1" s="1"/>
  <c r="GJ270" i="1" s="1"/>
  <c r="GS270" i="1" s="1"/>
  <c r="HB270" i="1" s="1"/>
  <c r="HK270" i="1" s="1"/>
  <c r="HU270" i="1" s="1"/>
  <c r="ID270" i="1" s="1"/>
  <c r="IM270" i="1" s="1"/>
  <c r="IV270" i="1" s="1"/>
  <c r="JE270" i="1" s="1"/>
  <c r="JN270" i="1" s="1"/>
  <c r="JW270" i="1" s="1"/>
  <c r="KF270" i="1" s="1"/>
  <c r="KO270" i="1" s="1"/>
  <c r="KX270" i="1" s="1"/>
  <c r="LG270" i="1" s="1"/>
  <c r="LP270" i="1" s="1"/>
  <c r="LY270" i="1" s="1"/>
  <c r="MH270" i="1" s="1"/>
  <c r="MQ270" i="1" s="1"/>
  <c r="MZ270" i="1" s="1"/>
  <c r="L271" i="1"/>
  <c r="U271" i="1" s="1"/>
  <c r="AD271" i="1" s="1"/>
  <c r="AM271" i="1" s="1"/>
  <c r="AV271" i="1" s="1"/>
  <c r="BE271" i="1" s="1"/>
  <c r="BN271" i="1" s="1"/>
  <c r="BW271" i="1" s="1"/>
  <c r="CF271" i="1" s="1"/>
  <c r="CO271" i="1" s="1"/>
  <c r="CX271" i="1" s="1"/>
  <c r="DG271" i="1" s="1"/>
  <c r="DP271" i="1" s="1"/>
  <c r="DY271" i="1" s="1"/>
  <c r="EH271" i="1" s="1"/>
  <c r="EQ271" i="1" s="1"/>
  <c r="EZ271" i="1" s="1"/>
  <c r="FI271" i="1" s="1"/>
  <c r="FR271" i="1" s="1"/>
  <c r="GA271" i="1" s="1"/>
  <c r="GJ271" i="1" s="1"/>
  <c r="GS271" i="1" s="1"/>
  <c r="HB271" i="1" s="1"/>
  <c r="HK271" i="1" s="1"/>
  <c r="HU271" i="1" s="1"/>
  <c r="ID271" i="1" s="1"/>
  <c r="IM271" i="1" s="1"/>
  <c r="IV271" i="1" s="1"/>
  <c r="JE271" i="1" s="1"/>
  <c r="JN271" i="1" s="1"/>
  <c r="JW271" i="1" s="1"/>
  <c r="KF271" i="1" s="1"/>
  <c r="KO271" i="1" s="1"/>
  <c r="KX271" i="1" s="1"/>
  <c r="LG271" i="1" s="1"/>
  <c r="LP271" i="1" s="1"/>
  <c r="LY271" i="1" s="1"/>
  <c r="MH271" i="1" s="1"/>
  <c r="MQ271" i="1" s="1"/>
  <c r="MZ271" i="1" s="1"/>
  <c r="L272" i="1"/>
  <c r="U272" i="1" s="1"/>
  <c r="AD272" i="1" s="1"/>
  <c r="AM272" i="1" s="1"/>
  <c r="AV272" i="1" s="1"/>
  <c r="BE272" i="1" s="1"/>
  <c r="BN272" i="1" s="1"/>
  <c r="BW272" i="1" s="1"/>
  <c r="CF272" i="1" s="1"/>
  <c r="CO272" i="1" s="1"/>
  <c r="CX272" i="1" s="1"/>
  <c r="DG272" i="1" s="1"/>
  <c r="DP272" i="1" s="1"/>
  <c r="DY272" i="1" s="1"/>
  <c r="EH272" i="1" s="1"/>
  <c r="EQ272" i="1" s="1"/>
  <c r="EZ272" i="1" s="1"/>
  <c r="FI272" i="1" s="1"/>
  <c r="FR272" i="1" s="1"/>
  <c r="GA272" i="1" s="1"/>
  <c r="GJ272" i="1" s="1"/>
  <c r="GS272" i="1" s="1"/>
  <c r="HB272" i="1" s="1"/>
  <c r="HK272" i="1" s="1"/>
  <c r="HU272" i="1" s="1"/>
  <c r="ID272" i="1" s="1"/>
  <c r="IM272" i="1" s="1"/>
  <c r="IV272" i="1" s="1"/>
  <c r="JE272" i="1" s="1"/>
  <c r="JN272" i="1" s="1"/>
  <c r="JW272" i="1" s="1"/>
  <c r="KF272" i="1" s="1"/>
  <c r="KO272" i="1" s="1"/>
  <c r="KX272" i="1" s="1"/>
  <c r="LG272" i="1" s="1"/>
  <c r="LP272" i="1" s="1"/>
  <c r="LY272" i="1" s="1"/>
  <c r="MH272" i="1" s="1"/>
  <c r="MQ272" i="1" s="1"/>
  <c r="MZ272" i="1" s="1"/>
  <c r="L273" i="1"/>
  <c r="U273" i="1" s="1"/>
  <c r="AD273" i="1" s="1"/>
  <c r="AM273" i="1" s="1"/>
  <c r="AV273" i="1" s="1"/>
  <c r="BE273" i="1" s="1"/>
  <c r="BN273" i="1" s="1"/>
  <c r="BW273" i="1" s="1"/>
  <c r="CF273" i="1" s="1"/>
  <c r="CO273" i="1" s="1"/>
  <c r="CX273" i="1" s="1"/>
  <c r="DG273" i="1" s="1"/>
  <c r="DP273" i="1" s="1"/>
  <c r="DY273" i="1" s="1"/>
  <c r="EH273" i="1" s="1"/>
  <c r="EQ273" i="1" s="1"/>
  <c r="EZ273" i="1" s="1"/>
  <c r="FI273" i="1" s="1"/>
  <c r="FR273" i="1" s="1"/>
  <c r="GA273" i="1" s="1"/>
  <c r="GJ273" i="1" s="1"/>
  <c r="GS273" i="1" s="1"/>
  <c r="HB273" i="1" s="1"/>
  <c r="HK273" i="1" s="1"/>
  <c r="HU273" i="1" s="1"/>
  <c r="ID273" i="1" s="1"/>
  <c r="IM273" i="1" s="1"/>
  <c r="IV273" i="1" s="1"/>
  <c r="JE273" i="1" s="1"/>
  <c r="JN273" i="1" s="1"/>
  <c r="JW273" i="1" s="1"/>
  <c r="KF273" i="1" s="1"/>
  <c r="KO273" i="1" s="1"/>
  <c r="KX273" i="1" s="1"/>
  <c r="LG273" i="1" s="1"/>
  <c r="LP273" i="1" s="1"/>
  <c r="LY273" i="1" s="1"/>
  <c r="MH273" i="1" s="1"/>
  <c r="MQ273" i="1" s="1"/>
  <c r="MZ273" i="1" s="1"/>
  <c r="L274" i="1"/>
  <c r="U274" i="1" s="1"/>
  <c r="AD274" i="1" s="1"/>
  <c r="AM274" i="1" s="1"/>
  <c r="AV274" i="1" s="1"/>
  <c r="BE274" i="1" s="1"/>
  <c r="BN274" i="1" s="1"/>
  <c r="BW274" i="1" s="1"/>
  <c r="CF274" i="1" s="1"/>
  <c r="CO274" i="1" s="1"/>
  <c r="CX274" i="1" s="1"/>
  <c r="DG274" i="1" s="1"/>
  <c r="DP274" i="1" s="1"/>
  <c r="DY274" i="1" s="1"/>
  <c r="EH274" i="1" s="1"/>
  <c r="EQ274" i="1" s="1"/>
  <c r="EZ274" i="1" s="1"/>
  <c r="FI274" i="1" s="1"/>
  <c r="FR274" i="1" s="1"/>
  <c r="GA274" i="1" s="1"/>
  <c r="GJ274" i="1" s="1"/>
  <c r="GS274" i="1" s="1"/>
  <c r="HB274" i="1" s="1"/>
  <c r="HK274" i="1" s="1"/>
  <c r="HU274" i="1" s="1"/>
  <c r="ID274" i="1" s="1"/>
  <c r="IM274" i="1" s="1"/>
  <c r="IV274" i="1" s="1"/>
  <c r="JE274" i="1" s="1"/>
  <c r="JN274" i="1" s="1"/>
  <c r="JW274" i="1" s="1"/>
  <c r="KF274" i="1" s="1"/>
  <c r="KO274" i="1" s="1"/>
  <c r="KX274" i="1" s="1"/>
  <c r="LG274" i="1" s="1"/>
  <c r="LP274" i="1" s="1"/>
  <c r="LY274" i="1" s="1"/>
  <c r="MH274" i="1" s="1"/>
  <c r="MQ274" i="1" s="1"/>
  <c r="MZ274" i="1" s="1"/>
  <c r="L275" i="1"/>
  <c r="U275" i="1" s="1"/>
  <c r="AD275" i="1" s="1"/>
  <c r="AM275" i="1" s="1"/>
  <c r="AV275" i="1" s="1"/>
  <c r="BE275" i="1" s="1"/>
  <c r="BN275" i="1" s="1"/>
  <c r="BW275" i="1" s="1"/>
  <c r="CF275" i="1" s="1"/>
  <c r="CO275" i="1" s="1"/>
  <c r="CX275" i="1" s="1"/>
  <c r="DG275" i="1" s="1"/>
  <c r="DP275" i="1" s="1"/>
  <c r="DY275" i="1" s="1"/>
  <c r="EH275" i="1" s="1"/>
  <c r="EQ275" i="1" s="1"/>
  <c r="EZ275" i="1" s="1"/>
  <c r="FI275" i="1" s="1"/>
  <c r="FR275" i="1" s="1"/>
  <c r="GA275" i="1" s="1"/>
  <c r="GJ275" i="1" s="1"/>
  <c r="GS275" i="1" s="1"/>
  <c r="HB275" i="1" s="1"/>
  <c r="HK275" i="1" s="1"/>
  <c r="HU275" i="1" s="1"/>
  <c r="ID275" i="1" s="1"/>
  <c r="IM275" i="1" s="1"/>
  <c r="IV275" i="1" s="1"/>
  <c r="JE275" i="1" s="1"/>
  <c r="JN275" i="1" s="1"/>
  <c r="JW275" i="1" s="1"/>
  <c r="KF275" i="1" s="1"/>
  <c r="KO275" i="1" s="1"/>
  <c r="KX275" i="1" s="1"/>
  <c r="LG275" i="1" s="1"/>
  <c r="LP275" i="1" s="1"/>
  <c r="LY275" i="1" s="1"/>
  <c r="MH275" i="1" s="1"/>
  <c r="MQ275" i="1" s="1"/>
  <c r="MZ275" i="1" s="1"/>
  <c r="L276" i="1"/>
  <c r="U276" i="1" s="1"/>
  <c r="AD276" i="1" s="1"/>
  <c r="AM276" i="1" s="1"/>
  <c r="AV276" i="1" s="1"/>
  <c r="BE276" i="1" s="1"/>
  <c r="BN276" i="1" s="1"/>
  <c r="BW276" i="1" s="1"/>
  <c r="CF276" i="1" s="1"/>
  <c r="CO276" i="1" s="1"/>
  <c r="CX276" i="1" s="1"/>
  <c r="DG276" i="1" s="1"/>
  <c r="DP276" i="1" s="1"/>
  <c r="DY276" i="1" s="1"/>
  <c r="EH276" i="1" s="1"/>
  <c r="EQ276" i="1" s="1"/>
  <c r="EZ276" i="1" s="1"/>
  <c r="FI276" i="1" s="1"/>
  <c r="FR276" i="1" s="1"/>
  <c r="GA276" i="1" s="1"/>
  <c r="GJ276" i="1" s="1"/>
  <c r="GS276" i="1" s="1"/>
  <c r="HB276" i="1" s="1"/>
  <c r="HK276" i="1" s="1"/>
  <c r="HU276" i="1" s="1"/>
  <c r="ID276" i="1" s="1"/>
  <c r="IM276" i="1" s="1"/>
  <c r="IV276" i="1" s="1"/>
  <c r="JE276" i="1" s="1"/>
  <c r="JN276" i="1" s="1"/>
  <c r="JW276" i="1" s="1"/>
  <c r="KF276" i="1" s="1"/>
  <c r="KO276" i="1" s="1"/>
  <c r="KX276" i="1" s="1"/>
  <c r="LG276" i="1" s="1"/>
  <c r="LP276" i="1" s="1"/>
  <c r="LY276" i="1" s="1"/>
  <c r="MH276" i="1" s="1"/>
  <c r="MQ276" i="1" s="1"/>
  <c r="MZ276" i="1" s="1"/>
  <c r="L277" i="1"/>
  <c r="U277" i="1" s="1"/>
  <c r="AD277" i="1" s="1"/>
  <c r="AM277" i="1" s="1"/>
  <c r="AV277" i="1" s="1"/>
  <c r="BE277" i="1" s="1"/>
  <c r="BN277" i="1" s="1"/>
  <c r="BW277" i="1" s="1"/>
  <c r="CF277" i="1" s="1"/>
  <c r="CO277" i="1" s="1"/>
  <c r="CX277" i="1" s="1"/>
  <c r="DG277" i="1" s="1"/>
  <c r="DP277" i="1" s="1"/>
  <c r="DY277" i="1" s="1"/>
  <c r="EH277" i="1" s="1"/>
  <c r="EQ277" i="1" s="1"/>
  <c r="EZ277" i="1" s="1"/>
  <c r="FI277" i="1" s="1"/>
  <c r="FR277" i="1" s="1"/>
  <c r="GA277" i="1" s="1"/>
  <c r="GJ277" i="1" s="1"/>
  <c r="GS277" i="1" s="1"/>
  <c r="HB277" i="1" s="1"/>
  <c r="HK277" i="1" s="1"/>
  <c r="HU277" i="1" s="1"/>
  <c r="ID277" i="1" s="1"/>
  <c r="IM277" i="1" s="1"/>
  <c r="IV277" i="1" s="1"/>
  <c r="JE277" i="1" s="1"/>
  <c r="JN277" i="1" s="1"/>
  <c r="JW277" i="1" s="1"/>
  <c r="KF277" i="1" s="1"/>
  <c r="KO277" i="1" s="1"/>
  <c r="KX277" i="1" s="1"/>
  <c r="LG277" i="1" s="1"/>
  <c r="LP277" i="1" s="1"/>
  <c r="LY277" i="1" s="1"/>
  <c r="MH277" i="1" s="1"/>
  <c r="MQ277" i="1" s="1"/>
  <c r="MZ277" i="1" s="1"/>
  <c r="L278" i="1"/>
  <c r="U278" i="1" s="1"/>
  <c r="AD278" i="1" s="1"/>
  <c r="AM278" i="1" s="1"/>
  <c r="AV278" i="1" s="1"/>
  <c r="BE278" i="1" s="1"/>
  <c r="BN278" i="1" s="1"/>
  <c r="BW278" i="1" s="1"/>
  <c r="CF278" i="1" s="1"/>
  <c r="CO278" i="1" s="1"/>
  <c r="CX278" i="1" s="1"/>
  <c r="DG278" i="1" s="1"/>
  <c r="DP278" i="1" s="1"/>
  <c r="DY278" i="1" s="1"/>
  <c r="EH278" i="1" s="1"/>
  <c r="EQ278" i="1" s="1"/>
  <c r="EZ278" i="1" s="1"/>
  <c r="FI278" i="1" s="1"/>
  <c r="FR278" i="1" s="1"/>
  <c r="GA278" i="1" s="1"/>
  <c r="GJ278" i="1" s="1"/>
  <c r="GS278" i="1" s="1"/>
  <c r="HB278" i="1" s="1"/>
  <c r="HK278" i="1" s="1"/>
  <c r="HU278" i="1" s="1"/>
  <c r="ID278" i="1" s="1"/>
  <c r="IM278" i="1" s="1"/>
  <c r="IV278" i="1" s="1"/>
  <c r="JE278" i="1" s="1"/>
  <c r="JN278" i="1" s="1"/>
  <c r="JW278" i="1" s="1"/>
  <c r="KF278" i="1" s="1"/>
  <c r="KO278" i="1" s="1"/>
  <c r="KX278" i="1" s="1"/>
  <c r="LG278" i="1" s="1"/>
  <c r="LP278" i="1" s="1"/>
  <c r="LY278" i="1" s="1"/>
  <c r="MH278" i="1" s="1"/>
  <c r="MQ278" i="1" s="1"/>
  <c r="MZ278" i="1" s="1"/>
  <c r="L279" i="1"/>
  <c r="U279" i="1" s="1"/>
  <c r="AD279" i="1" s="1"/>
  <c r="AM279" i="1" s="1"/>
  <c r="AV279" i="1" s="1"/>
  <c r="BE279" i="1" s="1"/>
  <c r="BN279" i="1" s="1"/>
  <c r="BW279" i="1" s="1"/>
  <c r="CF279" i="1" s="1"/>
  <c r="CO279" i="1" s="1"/>
  <c r="CX279" i="1" s="1"/>
  <c r="DG279" i="1" s="1"/>
  <c r="DP279" i="1" s="1"/>
  <c r="DY279" i="1" s="1"/>
  <c r="EH279" i="1" s="1"/>
  <c r="EQ279" i="1" s="1"/>
  <c r="EZ279" i="1" s="1"/>
  <c r="FI279" i="1" s="1"/>
  <c r="FR279" i="1" s="1"/>
  <c r="GA279" i="1" s="1"/>
  <c r="GJ279" i="1" s="1"/>
  <c r="GS279" i="1" s="1"/>
  <c r="HB279" i="1" s="1"/>
  <c r="HK279" i="1" s="1"/>
  <c r="HU279" i="1" s="1"/>
  <c r="ID279" i="1" s="1"/>
  <c r="IM279" i="1" s="1"/>
  <c r="IV279" i="1" s="1"/>
  <c r="JE279" i="1" s="1"/>
  <c r="JN279" i="1" s="1"/>
  <c r="JW279" i="1" s="1"/>
  <c r="KF279" i="1" s="1"/>
  <c r="KO279" i="1" s="1"/>
  <c r="KX279" i="1" s="1"/>
  <c r="LG279" i="1" s="1"/>
  <c r="LP279" i="1" s="1"/>
  <c r="LY279" i="1" s="1"/>
  <c r="MH279" i="1" s="1"/>
  <c r="MQ279" i="1" s="1"/>
  <c r="MZ279" i="1" s="1"/>
  <c r="L280" i="1"/>
  <c r="U280" i="1" s="1"/>
  <c r="AD280" i="1" s="1"/>
  <c r="AM280" i="1" s="1"/>
  <c r="AV280" i="1" s="1"/>
  <c r="BE280" i="1" s="1"/>
  <c r="BN280" i="1" s="1"/>
  <c r="BW280" i="1" s="1"/>
  <c r="CF280" i="1" s="1"/>
  <c r="CO280" i="1" s="1"/>
  <c r="CX280" i="1" s="1"/>
  <c r="DG280" i="1" s="1"/>
  <c r="DP280" i="1" s="1"/>
  <c r="DY280" i="1" s="1"/>
  <c r="EH280" i="1" s="1"/>
  <c r="EQ280" i="1" s="1"/>
  <c r="EZ280" i="1" s="1"/>
  <c r="FI280" i="1" s="1"/>
  <c r="FR280" i="1" s="1"/>
  <c r="GA280" i="1" s="1"/>
  <c r="GJ280" i="1" s="1"/>
  <c r="GS280" i="1" s="1"/>
  <c r="HB280" i="1" s="1"/>
  <c r="HK280" i="1" s="1"/>
  <c r="HU280" i="1" s="1"/>
  <c r="ID280" i="1" s="1"/>
  <c r="IM280" i="1" s="1"/>
  <c r="IV280" i="1" s="1"/>
  <c r="JE280" i="1" s="1"/>
  <c r="JN280" i="1" s="1"/>
  <c r="JW280" i="1" s="1"/>
  <c r="KF280" i="1" s="1"/>
  <c r="KO280" i="1" s="1"/>
  <c r="KX280" i="1" s="1"/>
  <c r="LG280" i="1" s="1"/>
  <c r="LP280" i="1" s="1"/>
  <c r="LY280" i="1" s="1"/>
  <c r="MH280" i="1" s="1"/>
  <c r="MQ280" i="1" s="1"/>
  <c r="MZ280" i="1" s="1"/>
  <c r="L281" i="1"/>
  <c r="L282" i="1"/>
  <c r="U282" i="1" s="1"/>
  <c r="AD282" i="1" s="1"/>
  <c r="AM282" i="1" s="1"/>
  <c r="AV282" i="1" s="1"/>
  <c r="BE282" i="1" s="1"/>
  <c r="BN282" i="1" s="1"/>
  <c r="BW282" i="1" s="1"/>
  <c r="CF282" i="1" s="1"/>
  <c r="CO282" i="1" s="1"/>
  <c r="CX282" i="1" s="1"/>
  <c r="DG282" i="1" s="1"/>
  <c r="DP282" i="1" s="1"/>
  <c r="DY282" i="1" s="1"/>
  <c r="EH282" i="1" s="1"/>
  <c r="EQ282" i="1" s="1"/>
  <c r="EZ282" i="1" s="1"/>
  <c r="FI282" i="1" s="1"/>
  <c r="FR282" i="1" s="1"/>
  <c r="GA282" i="1" s="1"/>
  <c r="GJ282" i="1" s="1"/>
  <c r="GS282" i="1" s="1"/>
  <c r="HB282" i="1" s="1"/>
  <c r="HK282" i="1" s="1"/>
  <c r="HU282" i="1" s="1"/>
  <c r="ID282" i="1" s="1"/>
  <c r="IM282" i="1" s="1"/>
  <c r="IV282" i="1" s="1"/>
  <c r="JE282" i="1" s="1"/>
  <c r="JN282" i="1" s="1"/>
  <c r="JW282" i="1" s="1"/>
  <c r="KF282" i="1" s="1"/>
  <c r="KO282" i="1" s="1"/>
  <c r="KX282" i="1" s="1"/>
  <c r="LG282" i="1" s="1"/>
  <c r="LP282" i="1" s="1"/>
  <c r="LY282" i="1" s="1"/>
  <c r="MH282" i="1" s="1"/>
  <c r="MQ282" i="1" s="1"/>
  <c r="MZ282" i="1" s="1"/>
  <c r="L283" i="1"/>
  <c r="U283" i="1" s="1"/>
  <c r="AD283" i="1" s="1"/>
  <c r="AM283" i="1" s="1"/>
  <c r="AV283" i="1" s="1"/>
  <c r="BE283" i="1" s="1"/>
  <c r="BN283" i="1" s="1"/>
  <c r="BW283" i="1" s="1"/>
  <c r="CF283" i="1" s="1"/>
  <c r="CO283" i="1" s="1"/>
  <c r="CX283" i="1" s="1"/>
  <c r="DG283" i="1" s="1"/>
  <c r="DP283" i="1" s="1"/>
  <c r="DY283" i="1" s="1"/>
  <c r="EH283" i="1" s="1"/>
  <c r="EQ283" i="1" s="1"/>
  <c r="EZ283" i="1" s="1"/>
  <c r="FI283" i="1" s="1"/>
  <c r="FR283" i="1" s="1"/>
  <c r="GA283" i="1" s="1"/>
  <c r="GJ283" i="1" s="1"/>
  <c r="GS283" i="1" s="1"/>
  <c r="HB283" i="1" s="1"/>
  <c r="HK283" i="1" s="1"/>
  <c r="HU283" i="1" s="1"/>
  <c r="ID283" i="1" s="1"/>
  <c r="IM283" i="1" s="1"/>
  <c r="IV283" i="1" s="1"/>
  <c r="JE283" i="1" s="1"/>
  <c r="JN283" i="1" s="1"/>
  <c r="JW283" i="1" s="1"/>
  <c r="KF283" i="1" s="1"/>
  <c r="KO283" i="1" s="1"/>
  <c r="KX283" i="1" s="1"/>
  <c r="LG283" i="1" s="1"/>
  <c r="LP283" i="1" s="1"/>
  <c r="LY283" i="1" s="1"/>
  <c r="MH283" i="1" s="1"/>
  <c r="MQ283" i="1" s="1"/>
  <c r="MZ283" i="1" s="1"/>
  <c r="L284" i="1"/>
  <c r="U284" i="1" s="1"/>
  <c r="AD284" i="1" s="1"/>
  <c r="AM284" i="1" s="1"/>
  <c r="AV284" i="1" s="1"/>
  <c r="BE284" i="1" s="1"/>
  <c r="BN284" i="1" s="1"/>
  <c r="BW284" i="1" s="1"/>
  <c r="CF284" i="1" s="1"/>
  <c r="CO284" i="1" s="1"/>
  <c r="CX284" i="1" s="1"/>
  <c r="DG284" i="1" s="1"/>
  <c r="DP284" i="1" s="1"/>
  <c r="DY284" i="1" s="1"/>
  <c r="EH284" i="1" s="1"/>
  <c r="EQ284" i="1" s="1"/>
  <c r="EZ284" i="1" s="1"/>
  <c r="FI284" i="1" s="1"/>
  <c r="FR284" i="1" s="1"/>
  <c r="GA284" i="1" s="1"/>
  <c r="GJ284" i="1" s="1"/>
  <c r="GS284" i="1" s="1"/>
  <c r="HB284" i="1" s="1"/>
  <c r="HK284" i="1" s="1"/>
  <c r="HU284" i="1" s="1"/>
  <c r="ID284" i="1" s="1"/>
  <c r="IM284" i="1" s="1"/>
  <c r="IV284" i="1" s="1"/>
  <c r="JE284" i="1" s="1"/>
  <c r="JN284" i="1" s="1"/>
  <c r="JW284" i="1" s="1"/>
  <c r="KF284" i="1" s="1"/>
  <c r="KO284" i="1" s="1"/>
  <c r="KX284" i="1" s="1"/>
  <c r="LG284" i="1" s="1"/>
  <c r="LP284" i="1" s="1"/>
  <c r="LY284" i="1" s="1"/>
  <c r="MH284" i="1" s="1"/>
  <c r="MQ284" i="1" s="1"/>
  <c r="MZ284" i="1" s="1"/>
  <c r="L254" i="1"/>
  <c r="U262" i="1"/>
  <c r="AD262" i="1" s="1"/>
  <c r="AM262" i="1" s="1"/>
  <c r="AV262" i="1" s="1"/>
  <c r="BE262" i="1" s="1"/>
  <c r="BN262" i="1" s="1"/>
  <c r="BW262" i="1" s="1"/>
  <c r="CF262" i="1" s="1"/>
  <c r="CO262" i="1" s="1"/>
  <c r="CX262" i="1" s="1"/>
  <c r="DG262" i="1" s="1"/>
  <c r="DP262" i="1" s="1"/>
  <c r="DY262" i="1" s="1"/>
  <c r="EH262" i="1" s="1"/>
  <c r="EQ262" i="1" s="1"/>
  <c r="EZ262" i="1" s="1"/>
  <c r="FI262" i="1" s="1"/>
  <c r="FR262" i="1" s="1"/>
  <c r="GA262" i="1" s="1"/>
  <c r="GJ262" i="1" s="1"/>
  <c r="GS262" i="1" s="1"/>
  <c r="HB262" i="1" s="1"/>
  <c r="HK262" i="1" s="1"/>
  <c r="HU262" i="1" s="1"/>
  <c r="ID262" i="1" s="1"/>
  <c r="IM262" i="1" s="1"/>
  <c r="IV262" i="1" s="1"/>
  <c r="JE262" i="1" s="1"/>
  <c r="JN262" i="1" s="1"/>
  <c r="JW262" i="1" s="1"/>
  <c r="KF262" i="1" s="1"/>
  <c r="KO262" i="1" s="1"/>
  <c r="KX262" i="1" s="1"/>
  <c r="LG262" i="1" s="1"/>
  <c r="LP262" i="1" s="1"/>
  <c r="LY262" i="1" s="1"/>
  <c r="MH262" i="1" s="1"/>
  <c r="MQ262" i="1" s="1"/>
  <c r="MZ262" i="1" s="1"/>
  <c r="U263" i="1"/>
  <c r="AD263" i="1" s="1"/>
  <c r="AM263" i="1" s="1"/>
  <c r="AV263" i="1" s="1"/>
  <c r="BE263" i="1" s="1"/>
  <c r="BN263" i="1" s="1"/>
  <c r="BW263" i="1" s="1"/>
  <c r="CF263" i="1" s="1"/>
  <c r="CO263" i="1" s="1"/>
  <c r="CX263" i="1" s="1"/>
  <c r="DG263" i="1" s="1"/>
  <c r="DP263" i="1" s="1"/>
  <c r="DY263" i="1" s="1"/>
  <c r="EH263" i="1" s="1"/>
  <c r="EQ263" i="1" s="1"/>
  <c r="EZ263" i="1" s="1"/>
  <c r="FI263" i="1" s="1"/>
  <c r="FR263" i="1" s="1"/>
  <c r="GA263" i="1" s="1"/>
  <c r="GJ263" i="1" s="1"/>
  <c r="GS263" i="1" s="1"/>
  <c r="HB263" i="1" s="1"/>
  <c r="HK263" i="1" s="1"/>
  <c r="HU263" i="1" s="1"/>
  <c r="ID263" i="1" s="1"/>
  <c r="IM263" i="1" s="1"/>
  <c r="IV263" i="1" s="1"/>
  <c r="JE263" i="1" s="1"/>
  <c r="JN263" i="1" s="1"/>
  <c r="JW263" i="1" s="1"/>
  <c r="KF263" i="1" s="1"/>
  <c r="KO263" i="1" s="1"/>
  <c r="KX263" i="1" s="1"/>
  <c r="LG263" i="1" s="1"/>
  <c r="LP263" i="1" s="1"/>
  <c r="LY263" i="1" s="1"/>
  <c r="MH263" i="1" s="1"/>
  <c r="MQ263" i="1" s="1"/>
  <c r="MZ263" i="1" s="1"/>
  <c r="U264" i="1"/>
  <c r="AD264" i="1" s="1"/>
  <c r="AM264" i="1" s="1"/>
  <c r="AV264" i="1" s="1"/>
  <c r="BE264" i="1" s="1"/>
  <c r="BN264" i="1" s="1"/>
  <c r="BW264" i="1" s="1"/>
  <c r="CF264" i="1" s="1"/>
  <c r="CO264" i="1" s="1"/>
  <c r="CX264" i="1" s="1"/>
  <c r="DG264" i="1" s="1"/>
  <c r="DP264" i="1" s="1"/>
  <c r="DY264" i="1" s="1"/>
  <c r="EH264" i="1" s="1"/>
  <c r="EQ264" i="1" s="1"/>
  <c r="EZ264" i="1" s="1"/>
  <c r="FI264" i="1" s="1"/>
  <c r="FR264" i="1" s="1"/>
  <c r="GA264" i="1" s="1"/>
  <c r="GJ264" i="1" s="1"/>
  <c r="GS264" i="1" s="1"/>
  <c r="HB264" i="1" s="1"/>
  <c r="HK264" i="1" s="1"/>
  <c r="HU264" i="1" s="1"/>
  <c r="ID264" i="1" s="1"/>
  <c r="IM264" i="1" s="1"/>
  <c r="IV264" i="1" s="1"/>
  <c r="JE264" i="1" s="1"/>
  <c r="JN264" i="1" s="1"/>
  <c r="JW264" i="1" s="1"/>
  <c r="KF264" i="1" s="1"/>
  <c r="KO264" i="1" s="1"/>
  <c r="KX264" i="1" s="1"/>
  <c r="LG264" i="1" s="1"/>
  <c r="LP264" i="1" s="1"/>
  <c r="LY264" i="1" s="1"/>
  <c r="MH264" i="1" s="1"/>
  <c r="MQ264" i="1" s="1"/>
  <c r="MZ264" i="1" s="1"/>
  <c r="U265" i="1"/>
  <c r="AD265" i="1" s="1"/>
  <c r="AM265" i="1" s="1"/>
  <c r="AV265" i="1" s="1"/>
  <c r="BE265" i="1" s="1"/>
  <c r="BN265" i="1" s="1"/>
  <c r="BW265" i="1" s="1"/>
  <c r="CF265" i="1" s="1"/>
  <c r="CO265" i="1" s="1"/>
  <c r="CX265" i="1" s="1"/>
  <c r="DG265" i="1" s="1"/>
  <c r="DP265" i="1" s="1"/>
  <c r="DY265" i="1" s="1"/>
  <c r="EH265" i="1" s="1"/>
  <c r="EQ265" i="1" s="1"/>
  <c r="EZ265" i="1" s="1"/>
  <c r="FI265" i="1" s="1"/>
  <c r="FR265" i="1" s="1"/>
  <c r="GA265" i="1" s="1"/>
  <c r="GJ265" i="1" s="1"/>
  <c r="GS265" i="1" s="1"/>
  <c r="HB265" i="1" s="1"/>
  <c r="HK265" i="1" s="1"/>
  <c r="HU265" i="1" s="1"/>
  <c r="ID265" i="1" s="1"/>
  <c r="IM265" i="1" s="1"/>
  <c r="IV265" i="1" s="1"/>
  <c r="JE265" i="1" s="1"/>
  <c r="JN265" i="1" s="1"/>
  <c r="JW265" i="1" s="1"/>
  <c r="KF265" i="1" s="1"/>
  <c r="KO265" i="1" s="1"/>
  <c r="KX265" i="1" s="1"/>
  <c r="LG265" i="1" s="1"/>
  <c r="LP265" i="1" s="1"/>
  <c r="LY265" i="1" s="1"/>
  <c r="MH265" i="1" s="1"/>
  <c r="MQ265" i="1" s="1"/>
  <c r="MZ265" i="1" s="1"/>
  <c r="U266" i="1"/>
  <c r="AD266" i="1" s="1"/>
  <c r="AM266" i="1" s="1"/>
  <c r="AV266" i="1" s="1"/>
  <c r="BE266" i="1" s="1"/>
  <c r="BN266" i="1" s="1"/>
  <c r="BW266" i="1" s="1"/>
  <c r="CF266" i="1" s="1"/>
  <c r="CO266" i="1" s="1"/>
  <c r="CX266" i="1" s="1"/>
  <c r="DG266" i="1" s="1"/>
  <c r="DP266" i="1" s="1"/>
  <c r="DY266" i="1" s="1"/>
  <c r="EH266" i="1" s="1"/>
  <c r="EQ266" i="1" s="1"/>
  <c r="EZ266" i="1" s="1"/>
  <c r="FI266" i="1" s="1"/>
  <c r="FR266" i="1" s="1"/>
  <c r="GA266" i="1" s="1"/>
  <c r="GJ266" i="1" s="1"/>
  <c r="GS266" i="1" s="1"/>
  <c r="HB266" i="1" s="1"/>
  <c r="HK266" i="1" s="1"/>
  <c r="HU266" i="1" s="1"/>
  <c r="ID266" i="1" s="1"/>
  <c r="IM266" i="1" s="1"/>
  <c r="IV266" i="1" s="1"/>
  <c r="JE266" i="1" s="1"/>
  <c r="JN266" i="1" s="1"/>
  <c r="JW266" i="1" s="1"/>
  <c r="KF266" i="1" s="1"/>
  <c r="KO266" i="1" s="1"/>
  <c r="KX266" i="1" s="1"/>
  <c r="LG266" i="1" s="1"/>
  <c r="LP266" i="1" s="1"/>
  <c r="LY266" i="1" s="1"/>
  <c r="MH266" i="1" s="1"/>
  <c r="MQ266" i="1" s="1"/>
  <c r="MZ266" i="1" s="1"/>
  <c r="U281" i="1"/>
  <c r="AD281" i="1" s="1"/>
  <c r="AM281" i="1" s="1"/>
  <c r="AV281" i="1" s="1"/>
  <c r="BE281" i="1" s="1"/>
  <c r="BN281" i="1" s="1"/>
  <c r="BW281" i="1" s="1"/>
  <c r="CF281" i="1" s="1"/>
  <c r="CO281" i="1" s="1"/>
  <c r="CX281" i="1" s="1"/>
  <c r="DG281" i="1" s="1"/>
  <c r="DP281" i="1" s="1"/>
  <c r="DY281" i="1" s="1"/>
  <c r="EH281" i="1" s="1"/>
  <c r="EQ281" i="1" s="1"/>
  <c r="EZ281" i="1" s="1"/>
  <c r="FI281" i="1" s="1"/>
  <c r="FR281" i="1" s="1"/>
  <c r="GA281" i="1" s="1"/>
  <c r="GJ281" i="1" s="1"/>
  <c r="GS281" i="1" s="1"/>
  <c r="HB281" i="1" s="1"/>
  <c r="HK281" i="1" s="1"/>
  <c r="HU281" i="1" s="1"/>
  <c r="ID281" i="1" s="1"/>
  <c r="IM281" i="1" s="1"/>
  <c r="IV281" i="1" s="1"/>
  <c r="JE281" i="1" s="1"/>
  <c r="JN281" i="1" s="1"/>
  <c r="JW281" i="1" s="1"/>
  <c r="KF281" i="1" s="1"/>
  <c r="KO281" i="1" s="1"/>
  <c r="KX281" i="1" s="1"/>
  <c r="LG281" i="1" s="1"/>
  <c r="LP281" i="1" s="1"/>
  <c r="LY281" i="1" s="1"/>
  <c r="MH281" i="1" s="1"/>
  <c r="MQ281" i="1" s="1"/>
  <c r="MZ281" i="1" s="1"/>
  <c r="U254" i="1"/>
  <c r="AD254" i="1" s="1"/>
  <c r="AM254" i="1" s="1"/>
  <c r="AV254" i="1" s="1"/>
  <c r="BE254" i="1" s="1"/>
  <c r="BN254" i="1" s="1"/>
  <c r="BW254" i="1" s="1"/>
  <c r="CF254" i="1" s="1"/>
  <c r="CO254" i="1" s="1"/>
  <c r="CX254" i="1" s="1"/>
  <c r="DG254" i="1" s="1"/>
  <c r="DP254" i="1" s="1"/>
  <c r="DY254" i="1" s="1"/>
  <c r="EH254" i="1" s="1"/>
  <c r="EQ254" i="1" s="1"/>
  <c r="EZ254" i="1" s="1"/>
  <c r="FI254" i="1" s="1"/>
  <c r="FR254" i="1" s="1"/>
  <c r="GA254" i="1" s="1"/>
  <c r="GJ254" i="1" s="1"/>
  <c r="GS254" i="1" s="1"/>
  <c r="HB254" i="1" s="1"/>
  <c r="HK254" i="1" s="1"/>
  <c r="HU254" i="1" s="1"/>
  <c r="ID254" i="1" s="1"/>
  <c r="IM254" i="1" s="1"/>
  <c r="IV254" i="1" s="1"/>
  <c r="JE254" i="1" s="1"/>
  <c r="JN254" i="1" s="1"/>
  <c r="JW254" i="1" s="1"/>
  <c r="KF254" i="1" s="1"/>
  <c r="KO254" i="1" s="1"/>
  <c r="KX254" i="1" s="1"/>
  <c r="LG254" i="1" s="1"/>
  <c r="LP254" i="1" s="1"/>
  <c r="LY254" i="1" s="1"/>
  <c r="MH254" i="1" s="1"/>
  <c r="MQ254" i="1" s="1"/>
  <c r="MZ254" i="1" s="1"/>
  <c r="AD260" i="1"/>
  <c r="AM260" i="1" s="1"/>
  <c r="AV260" i="1" s="1"/>
  <c r="BE260" i="1" s="1"/>
  <c r="BN260" i="1" s="1"/>
  <c r="BW260" i="1" s="1"/>
  <c r="CF260" i="1" s="1"/>
  <c r="CO260" i="1" s="1"/>
  <c r="CX260" i="1" s="1"/>
  <c r="DG260" i="1" s="1"/>
  <c r="DP260" i="1" s="1"/>
  <c r="DY260" i="1" s="1"/>
  <c r="EH260" i="1" s="1"/>
  <c r="EQ260" i="1" s="1"/>
  <c r="EZ260" i="1" s="1"/>
  <c r="FI260" i="1" s="1"/>
  <c r="FR260" i="1" s="1"/>
  <c r="GA260" i="1" s="1"/>
  <c r="GJ260" i="1" s="1"/>
  <c r="GS260" i="1" s="1"/>
  <c r="HB260" i="1" s="1"/>
  <c r="HK260" i="1" s="1"/>
  <c r="HU260" i="1" s="1"/>
  <c r="ID260" i="1" s="1"/>
  <c r="IM260" i="1" s="1"/>
  <c r="IV260" i="1" s="1"/>
  <c r="JE260" i="1" s="1"/>
  <c r="JN260" i="1" s="1"/>
  <c r="JW260" i="1" s="1"/>
  <c r="KF260" i="1" s="1"/>
  <c r="KO260" i="1" s="1"/>
  <c r="KX260" i="1" s="1"/>
  <c r="LG260" i="1" s="1"/>
  <c r="LP260" i="1" s="1"/>
  <c r="LY260" i="1" s="1"/>
  <c r="MH260" i="1" s="1"/>
  <c r="MQ260" i="1" s="1"/>
  <c r="MZ260" i="1" s="1"/>
  <c r="L219" i="1"/>
  <c r="U219" i="1" s="1"/>
  <c r="AD219" i="1" s="1"/>
  <c r="AM219" i="1" s="1"/>
  <c r="AV219" i="1" s="1"/>
  <c r="BE219" i="1" s="1"/>
  <c r="BN219" i="1" s="1"/>
  <c r="BW219" i="1" s="1"/>
  <c r="CF219" i="1" s="1"/>
  <c r="CO219" i="1" s="1"/>
  <c r="CX219" i="1" s="1"/>
  <c r="DG219" i="1" s="1"/>
  <c r="DP219" i="1" s="1"/>
  <c r="DY219" i="1" s="1"/>
  <c r="EH219" i="1" s="1"/>
  <c r="EQ219" i="1" s="1"/>
  <c r="EZ219" i="1" s="1"/>
  <c r="FI219" i="1" s="1"/>
  <c r="FR219" i="1" s="1"/>
  <c r="GA219" i="1" s="1"/>
  <c r="GJ219" i="1" s="1"/>
  <c r="GS219" i="1" s="1"/>
  <c r="HB219" i="1" s="1"/>
  <c r="HK219" i="1" s="1"/>
  <c r="HU219" i="1" s="1"/>
  <c r="ID219" i="1" s="1"/>
  <c r="IM219" i="1" s="1"/>
  <c r="IV219" i="1" s="1"/>
  <c r="JE219" i="1" s="1"/>
  <c r="JN219" i="1" s="1"/>
  <c r="JW219" i="1" s="1"/>
  <c r="KF219" i="1" s="1"/>
  <c r="KO219" i="1" s="1"/>
  <c r="KX219" i="1" s="1"/>
  <c r="LG219" i="1" s="1"/>
  <c r="LP219" i="1" s="1"/>
  <c r="LY219" i="1" s="1"/>
  <c r="MH219" i="1" s="1"/>
  <c r="MQ219" i="1" s="1"/>
  <c r="MZ219" i="1" s="1"/>
  <c r="L220" i="1"/>
  <c r="U220" i="1" s="1"/>
  <c r="AD220" i="1" s="1"/>
  <c r="AM220" i="1" s="1"/>
  <c r="AV220" i="1" s="1"/>
  <c r="BE220" i="1" s="1"/>
  <c r="BN220" i="1" s="1"/>
  <c r="BW220" i="1" s="1"/>
  <c r="CF220" i="1" s="1"/>
  <c r="CO220" i="1" s="1"/>
  <c r="CX220" i="1" s="1"/>
  <c r="DG220" i="1" s="1"/>
  <c r="DP220" i="1" s="1"/>
  <c r="DY220" i="1" s="1"/>
  <c r="EH220" i="1" s="1"/>
  <c r="EQ220" i="1" s="1"/>
  <c r="EZ220" i="1" s="1"/>
  <c r="FI220" i="1" s="1"/>
  <c r="FR220" i="1" s="1"/>
  <c r="GA220" i="1" s="1"/>
  <c r="GJ220" i="1" s="1"/>
  <c r="GS220" i="1" s="1"/>
  <c r="HB220" i="1" s="1"/>
  <c r="HK220" i="1" s="1"/>
  <c r="HU220" i="1" s="1"/>
  <c r="ID220" i="1" s="1"/>
  <c r="IM220" i="1" s="1"/>
  <c r="IV220" i="1" s="1"/>
  <c r="JE220" i="1" s="1"/>
  <c r="JN220" i="1" s="1"/>
  <c r="JW220" i="1" s="1"/>
  <c r="KF220" i="1" s="1"/>
  <c r="KO220" i="1" s="1"/>
  <c r="KX220" i="1" s="1"/>
  <c r="LG220" i="1" s="1"/>
  <c r="LP220" i="1" s="1"/>
  <c r="LY220" i="1" s="1"/>
  <c r="MH220" i="1" s="1"/>
  <c r="MQ220" i="1" s="1"/>
  <c r="MZ220" i="1" s="1"/>
  <c r="L221" i="1"/>
  <c r="U221" i="1" s="1"/>
  <c r="AD221" i="1" s="1"/>
  <c r="AM221" i="1" s="1"/>
  <c r="AV221" i="1" s="1"/>
  <c r="BE221" i="1" s="1"/>
  <c r="BN221" i="1" s="1"/>
  <c r="BW221" i="1" s="1"/>
  <c r="CF221" i="1" s="1"/>
  <c r="CO221" i="1" s="1"/>
  <c r="CX221" i="1" s="1"/>
  <c r="DG221" i="1" s="1"/>
  <c r="DP221" i="1" s="1"/>
  <c r="DY221" i="1" s="1"/>
  <c r="EH221" i="1" s="1"/>
  <c r="EQ221" i="1" s="1"/>
  <c r="EZ221" i="1" s="1"/>
  <c r="FI221" i="1" s="1"/>
  <c r="FR221" i="1" s="1"/>
  <c r="GA221" i="1" s="1"/>
  <c r="GJ221" i="1" s="1"/>
  <c r="GS221" i="1" s="1"/>
  <c r="HB221" i="1" s="1"/>
  <c r="HK221" i="1" s="1"/>
  <c r="HU221" i="1" s="1"/>
  <c r="ID221" i="1" s="1"/>
  <c r="IM221" i="1" s="1"/>
  <c r="IV221" i="1" s="1"/>
  <c r="JE221" i="1" s="1"/>
  <c r="JN221" i="1" s="1"/>
  <c r="JW221" i="1" s="1"/>
  <c r="KF221" i="1" s="1"/>
  <c r="KO221" i="1" s="1"/>
  <c r="KX221" i="1" s="1"/>
  <c r="LG221" i="1" s="1"/>
  <c r="LP221" i="1" s="1"/>
  <c r="LY221" i="1" s="1"/>
  <c r="MH221" i="1" s="1"/>
  <c r="MQ221" i="1" s="1"/>
  <c r="MZ221" i="1" s="1"/>
  <c r="L222" i="1"/>
  <c r="U222" i="1" s="1"/>
  <c r="AD222" i="1" s="1"/>
  <c r="AM222" i="1" s="1"/>
  <c r="AV222" i="1" s="1"/>
  <c r="BE222" i="1" s="1"/>
  <c r="BN222" i="1" s="1"/>
  <c r="BW222" i="1" s="1"/>
  <c r="CF222" i="1" s="1"/>
  <c r="CO222" i="1" s="1"/>
  <c r="CX222" i="1" s="1"/>
  <c r="DG222" i="1" s="1"/>
  <c r="DP222" i="1" s="1"/>
  <c r="DY222" i="1" s="1"/>
  <c r="EH222" i="1" s="1"/>
  <c r="EQ222" i="1" s="1"/>
  <c r="EZ222" i="1" s="1"/>
  <c r="FI222" i="1" s="1"/>
  <c r="FR222" i="1" s="1"/>
  <c r="GA222" i="1" s="1"/>
  <c r="GJ222" i="1" s="1"/>
  <c r="GS222" i="1" s="1"/>
  <c r="HB222" i="1" s="1"/>
  <c r="HK222" i="1" s="1"/>
  <c r="HU222" i="1" s="1"/>
  <c r="ID222" i="1" s="1"/>
  <c r="IM222" i="1" s="1"/>
  <c r="IV222" i="1" s="1"/>
  <c r="JE222" i="1" s="1"/>
  <c r="JN222" i="1" s="1"/>
  <c r="JW222" i="1" s="1"/>
  <c r="KF222" i="1" s="1"/>
  <c r="KO222" i="1" s="1"/>
  <c r="KX222" i="1" s="1"/>
  <c r="LG222" i="1" s="1"/>
  <c r="LP222" i="1" s="1"/>
  <c r="LY222" i="1" s="1"/>
  <c r="MH222" i="1" s="1"/>
  <c r="MQ222" i="1" s="1"/>
  <c r="MZ222" i="1" s="1"/>
  <c r="L223" i="1"/>
  <c r="U223" i="1" s="1"/>
  <c r="AD223" i="1" s="1"/>
  <c r="AM223" i="1" s="1"/>
  <c r="AV223" i="1" s="1"/>
  <c r="BE223" i="1" s="1"/>
  <c r="BN223" i="1" s="1"/>
  <c r="BW223" i="1" s="1"/>
  <c r="CF223" i="1" s="1"/>
  <c r="CO223" i="1" s="1"/>
  <c r="CX223" i="1" s="1"/>
  <c r="DG223" i="1" s="1"/>
  <c r="DP223" i="1" s="1"/>
  <c r="DY223" i="1" s="1"/>
  <c r="EH223" i="1" s="1"/>
  <c r="EQ223" i="1" s="1"/>
  <c r="EZ223" i="1" s="1"/>
  <c r="FI223" i="1" s="1"/>
  <c r="FR223" i="1" s="1"/>
  <c r="GA223" i="1" s="1"/>
  <c r="GJ223" i="1" s="1"/>
  <c r="GS223" i="1" s="1"/>
  <c r="HB223" i="1" s="1"/>
  <c r="HK223" i="1" s="1"/>
  <c r="HU223" i="1" s="1"/>
  <c r="ID223" i="1" s="1"/>
  <c r="IM223" i="1" s="1"/>
  <c r="IV223" i="1" s="1"/>
  <c r="JE223" i="1" s="1"/>
  <c r="JN223" i="1" s="1"/>
  <c r="JW223" i="1" s="1"/>
  <c r="KF223" i="1" s="1"/>
  <c r="KO223" i="1" s="1"/>
  <c r="KX223" i="1" s="1"/>
  <c r="LG223" i="1" s="1"/>
  <c r="LP223" i="1" s="1"/>
  <c r="LY223" i="1" s="1"/>
  <c r="MH223" i="1" s="1"/>
  <c r="MQ223" i="1" s="1"/>
  <c r="MZ223" i="1" s="1"/>
  <c r="L224" i="1"/>
  <c r="U224" i="1" s="1"/>
  <c r="AD224" i="1" s="1"/>
  <c r="AM224" i="1" s="1"/>
  <c r="AV224" i="1" s="1"/>
  <c r="BE224" i="1" s="1"/>
  <c r="BN224" i="1" s="1"/>
  <c r="BW224" i="1" s="1"/>
  <c r="CF224" i="1" s="1"/>
  <c r="CO224" i="1" s="1"/>
  <c r="CX224" i="1" s="1"/>
  <c r="DG224" i="1" s="1"/>
  <c r="DP224" i="1" s="1"/>
  <c r="DY224" i="1" s="1"/>
  <c r="EH224" i="1" s="1"/>
  <c r="EQ224" i="1" s="1"/>
  <c r="EZ224" i="1" s="1"/>
  <c r="FI224" i="1" s="1"/>
  <c r="FR224" i="1" s="1"/>
  <c r="GA224" i="1" s="1"/>
  <c r="GJ224" i="1" s="1"/>
  <c r="GS224" i="1" s="1"/>
  <c r="HB224" i="1" s="1"/>
  <c r="HK224" i="1" s="1"/>
  <c r="HU224" i="1" s="1"/>
  <c r="ID224" i="1" s="1"/>
  <c r="IM224" i="1" s="1"/>
  <c r="IV224" i="1" s="1"/>
  <c r="JE224" i="1" s="1"/>
  <c r="JN224" i="1" s="1"/>
  <c r="JW224" i="1" s="1"/>
  <c r="KF224" i="1" s="1"/>
  <c r="KO224" i="1" s="1"/>
  <c r="KX224" i="1" s="1"/>
  <c r="LG224" i="1" s="1"/>
  <c r="LP224" i="1" s="1"/>
  <c r="LY224" i="1" s="1"/>
  <c r="MH224" i="1" s="1"/>
  <c r="MQ224" i="1" s="1"/>
  <c r="MZ224" i="1" s="1"/>
  <c r="L225" i="1"/>
  <c r="U225" i="1" s="1"/>
  <c r="AD225" i="1" s="1"/>
  <c r="AM225" i="1" s="1"/>
  <c r="AV225" i="1" s="1"/>
  <c r="BE225" i="1" s="1"/>
  <c r="BN225" i="1" s="1"/>
  <c r="BW225" i="1" s="1"/>
  <c r="CF225" i="1" s="1"/>
  <c r="CO225" i="1" s="1"/>
  <c r="CX225" i="1" s="1"/>
  <c r="DG225" i="1" s="1"/>
  <c r="DP225" i="1" s="1"/>
  <c r="DY225" i="1" s="1"/>
  <c r="EH225" i="1" s="1"/>
  <c r="EQ225" i="1" s="1"/>
  <c r="EZ225" i="1" s="1"/>
  <c r="FI225" i="1" s="1"/>
  <c r="FR225" i="1" s="1"/>
  <c r="GA225" i="1" s="1"/>
  <c r="GJ225" i="1" s="1"/>
  <c r="GS225" i="1" s="1"/>
  <c r="HB225" i="1" s="1"/>
  <c r="HK225" i="1" s="1"/>
  <c r="HU225" i="1" s="1"/>
  <c r="ID225" i="1" s="1"/>
  <c r="IM225" i="1" s="1"/>
  <c r="IV225" i="1" s="1"/>
  <c r="JE225" i="1" s="1"/>
  <c r="JN225" i="1" s="1"/>
  <c r="JW225" i="1" s="1"/>
  <c r="KF225" i="1" s="1"/>
  <c r="KO225" i="1" s="1"/>
  <c r="KX225" i="1" s="1"/>
  <c r="LG225" i="1" s="1"/>
  <c r="LP225" i="1" s="1"/>
  <c r="LY225" i="1" s="1"/>
  <c r="MH225" i="1" s="1"/>
  <c r="MQ225" i="1" s="1"/>
  <c r="MZ225" i="1" s="1"/>
  <c r="L226" i="1"/>
  <c r="U226" i="1" s="1"/>
  <c r="AD226" i="1" s="1"/>
  <c r="AM226" i="1" s="1"/>
  <c r="AV226" i="1" s="1"/>
  <c r="BE226" i="1" s="1"/>
  <c r="BN226" i="1" s="1"/>
  <c r="BW226" i="1" s="1"/>
  <c r="CF226" i="1" s="1"/>
  <c r="CO226" i="1" s="1"/>
  <c r="CX226" i="1" s="1"/>
  <c r="DG226" i="1" s="1"/>
  <c r="DP226" i="1" s="1"/>
  <c r="DY226" i="1" s="1"/>
  <c r="EH226" i="1" s="1"/>
  <c r="EQ226" i="1" s="1"/>
  <c r="EZ226" i="1" s="1"/>
  <c r="FI226" i="1" s="1"/>
  <c r="FR226" i="1" s="1"/>
  <c r="GA226" i="1" s="1"/>
  <c r="GJ226" i="1" s="1"/>
  <c r="GS226" i="1" s="1"/>
  <c r="HB226" i="1" s="1"/>
  <c r="HK226" i="1" s="1"/>
  <c r="HU226" i="1" s="1"/>
  <c r="ID226" i="1" s="1"/>
  <c r="IM226" i="1" s="1"/>
  <c r="IV226" i="1" s="1"/>
  <c r="JE226" i="1" s="1"/>
  <c r="JN226" i="1" s="1"/>
  <c r="JW226" i="1" s="1"/>
  <c r="KF226" i="1" s="1"/>
  <c r="KO226" i="1" s="1"/>
  <c r="KX226" i="1" s="1"/>
  <c r="LG226" i="1" s="1"/>
  <c r="LP226" i="1" s="1"/>
  <c r="LY226" i="1" s="1"/>
  <c r="MH226" i="1" s="1"/>
  <c r="MQ226" i="1" s="1"/>
  <c r="MZ226" i="1" s="1"/>
  <c r="L227" i="1"/>
  <c r="U227" i="1" s="1"/>
  <c r="AD227" i="1" s="1"/>
  <c r="AM227" i="1" s="1"/>
  <c r="AV227" i="1" s="1"/>
  <c r="BE227" i="1" s="1"/>
  <c r="BN227" i="1" s="1"/>
  <c r="BW227" i="1" s="1"/>
  <c r="CF227" i="1" s="1"/>
  <c r="CO227" i="1" s="1"/>
  <c r="CX227" i="1" s="1"/>
  <c r="DG227" i="1" s="1"/>
  <c r="DP227" i="1" s="1"/>
  <c r="DY227" i="1" s="1"/>
  <c r="EH227" i="1" s="1"/>
  <c r="EQ227" i="1" s="1"/>
  <c r="EZ227" i="1" s="1"/>
  <c r="FI227" i="1" s="1"/>
  <c r="FR227" i="1" s="1"/>
  <c r="GA227" i="1" s="1"/>
  <c r="GJ227" i="1" s="1"/>
  <c r="GS227" i="1" s="1"/>
  <c r="HB227" i="1" s="1"/>
  <c r="HK227" i="1" s="1"/>
  <c r="HU227" i="1" s="1"/>
  <c r="ID227" i="1" s="1"/>
  <c r="IM227" i="1" s="1"/>
  <c r="IV227" i="1" s="1"/>
  <c r="JE227" i="1" s="1"/>
  <c r="JN227" i="1" s="1"/>
  <c r="JW227" i="1" s="1"/>
  <c r="KF227" i="1" s="1"/>
  <c r="KO227" i="1" s="1"/>
  <c r="KX227" i="1" s="1"/>
  <c r="LG227" i="1" s="1"/>
  <c r="LP227" i="1" s="1"/>
  <c r="LY227" i="1" s="1"/>
  <c r="MH227" i="1" s="1"/>
  <c r="MQ227" i="1" s="1"/>
  <c r="MZ227" i="1" s="1"/>
  <c r="L228" i="1"/>
  <c r="U228" i="1" s="1"/>
  <c r="AD228" i="1" s="1"/>
  <c r="AM228" i="1" s="1"/>
  <c r="AV228" i="1" s="1"/>
  <c r="BE228" i="1" s="1"/>
  <c r="BN228" i="1" s="1"/>
  <c r="BW228" i="1" s="1"/>
  <c r="CF228" i="1" s="1"/>
  <c r="CO228" i="1" s="1"/>
  <c r="CX228" i="1" s="1"/>
  <c r="DG228" i="1" s="1"/>
  <c r="DP228" i="1" s="1"/>
  <c r="DY228" i="1" s="1"/>
  <c r="EH228" i="1" s="1"/>
  <c r="EQ228" i="1" s="1"/>
  <c r="EZ228" i="1" s="1"/>
  <c r="FI228" i="1" s="1"/>
  <c r="FR228" i="1" s="1"/>
  <c r="GA228" i="1" s="1"/>
  <c r="GJ228" i="1" s="1"/>
  <c r="GS228" i="1" s="1"/>
  <c r="HB228" i="1" s="1"/>
  <c r="HK228" i="1" s="1"/>
  <c r="HU228" i="1" s="1"/>
  <c r="ID228" i="1" s="1"/>
  <c r="IM228" i="1" s="1"/>
  <c r="IV228" i="1" s="1"/>
  <c r="JE228" i="1" s="1"/>
  <c r="JN228" i="1" s="1"/>
  <c r="JW228" i="1" s="1"/>
  <c r="KF228" i="1" s="1"/>
  <c r="KO228" i="1" s="1"/>
  <c r="KX228" i="1" s="1"/>
  <c r="LG228" i="1" s="1"/>
  <c r="LP228" i="1" s="1"/>
  <c r="LY228" i="1" s="1"/>
  <c r="MH228" i="1" s="1"/>
  <c r="MQ228" i="1" s="1"/>
  <c r="MZ228" i="1" s="1"/>
  <c r="L229" i="1"/>
  <c r="U229" i="1" s="1"/>
  <c r="AD229" i="1" s="1"/>
  <c r="AM229" i="1" s="1"/>
  <c r="AV229" i="1" s="1"/>
  <c r="BE229" i="1" s="1"/>
  <c r="BN229" i="1" s="1"/>
  <c r="BW229" i="1" s="1"/>
  <c r="CF229" i="1" s="1"/>
  <c r="CO229" i="1" s="1"/>
  <c r="CX229" i="1" s="1"/>
  <c r="DG229" i="1" s="1"/>
  <c r="DP229" i="1" s="1"/>
  <c r="DY229" i="1" s="1"/>
  <c r="EH229" i="1" s="1"/>
  <c r="EQ229" i="1" s="1"/>
  <c r="EZ229" i="1" s="1"/>
  <c r="FI229" i="1" s="1"/>
  <c r="FR229" i="1" s="1"/>
  <c r="GA229" i="1" s="1"/>
  <c r="GJ229" i="1" s="1"/>
  <c r="GS229" i="1" s="1"/>
  <c r="HB229" i="1" s="1"/>
  <c r="HK229" i="1" s="1"/>
  <c r="HU229" i="1" s="1"/>
  <c r="ID229" i="1" s="1"/>
  <c r="IM229" i="1" s="1"/>
  <c r="IV229" i="1" s="1"/>
  <c r="JE229" i="1" s="1"/>
  <c r="JN229" i="1" s="1"/>
  <c r="JW229" i="1" s="1"/>
  <c r="KF229" i="1" s="1"/>
  <c r="KO229" i="1" s="1"/>
  <c r="KX229" i="1" s="1"/>
  <c r="LG229" i="1" s="1"/>
  <c r="LP229" i="1" s="1"/>
  <c r="LY229" i="1" s="1"/>
  <c r="MH229" i="1" s="1"/>
  <c r="MQ229" i="1" s="1"/>
  <c r="MZ229" i="1" s="1"/>
  <c r="L230" i="1"/>
  <c r="U230" i="1" s="1"/>
  <c r="AD230" i="1" s="1"/>
  <c r="AM230" i="1" s="1"/>
  <c r="AV230" i="1" s="1"/>
  <c r="BE230" i="1" s="1"/>
  <c r="BN230" i="1" s="1"/>
  <c r="BW230" i="1" s="1"/>
  <c r="CF230" i="1" s="1"/>
  <c r="CO230" i="1" s="1"/>
  <c r="CX230" i="1" s="1"/>
  <c r="DG230" i="1" s="1"/>
  <c r="DP230" i="1" s="1"/>
  <c r="DY230" i="1" s="1"/>
  <c r="EH230" i="1" s="1"/>
  <c r="EQ230" i="1" s="1"/>
  <c r="EZ230" i="1" s="1"/>
  <c r="FI230" i="1" s="1"/>
  <c r="FR230" i="1" s="1"/>
  <c r="GA230" i="1" s="1"/>
  <c r="GJ230" i="1" s="1"/>
  <c r="GS230" i="1" s="1"/>
  <c r="HB230" i="1" s="1"/>
  <c r="HK230" i="1" s="1"/>
  <c r="HU230" i="1" s="1"/>
  <c r="ID230" i="1" s="1"/>
  <c r="IM230" i="1" s="1"/>
  <c r="IV230" i="1" s="1"/>
  <c r="JE230" i="1" s="1"/>
  <c r="JN230" i="1" s="1"/>
  <c r="JW230" i="1" s="1"/>
  <c r="KF230" i="1" s="1"/>
  <c r="KO230" i="1" s="1"/>
  <c r="KX230" i="1" s="1"/>
  <c r="LG230" i="1" s="1"/>
  <c r="LP230" i="1" s="1"/>
  <c r="LY230" i="1" s="1"/>
  <c r="MH230" i="1" s="1"/>
  <c r="MQ230" i="1" s="1"/>
  <c r="MZ230" i="1" s="1"/>
  <c r="L231" i="1"/>
  <c r="U231" i="1" s="1"/>
  <c r="AD231" i="1" s="1"/>
  <c r="AM231" i="1" s="1"/>
  <c r="AV231" i="1" s="1"/>
  <c r="BE231" i="1" s="1"/>
  <c r="BN231" i="1" s="1"/>
  <c r="BW231" i="1" s="1"/>
  <c r="CF231" i="1" s="1"/>
  <c r="CO231" i="1" s="1"/>
  <c r="CX231" i="1" s="1"/>
  <c r="DG231" i="1" s="1"/>
  <c r="DP231" i="1" s="1"/>
  <c r="DY231" i="1" s="1"/>
  <c r="EH231" i="1" s="1"/>
  <c r="EQ231" i="1" s="1"/>
  <c r="EZ231" i="1" s="1"/>
  <c r="FI231" i="1" s="1"/>
  <c r="FR231" i="1" s="1"/>
  <c r="GA231" i="1" s="1"/>
  <c r="GJ231" i="1" s="1"/>
  <c r="GS231" i="1" s="1"/>
  <c r="HB231" i="1" s="1"/>
  <c r="HK231" i="1" s="1"/>
  <c r="HU231" i="1" s="1"/>
  <c r="ID231" i="1" s="1"/>
  <c r="IM231" i="1" s="1"/>
  <c r="IV231" i="1" s="1"/>
  <c r="JE231" i="1" s="1"/>
  <c r="JN231" i="1" s="1"/>
  <c r="JW231" i="1" s="1"/>
  <c r="KF231" i="1" s="1"/>
  <c r="KO231" i="1" s="1"/>
  <c r="KX231" i="1" s="1"/>
  <c r="LG231" i="1" s="1"/>
  <c r="LP231" i="1" s="1"/>
  <c r="LY231" i="1" s="1"/>
  <c r="MH231" i="1" s="1"/>
  <c r="MQ231" i="1" s="1"/>
  <c r="MZ231" i="1" s="1"/>
  <c r="L232" i="1"/>
  <c r="U232" i="1" s="1"/>
  <c r="AD232" i="1" s="1"/>
  <c r="AM232" i="1" s="1"/>
  <c r="AV232" i="1" s="1"/>
  <c r="BE232" i="1" s="1"/>
  <c r="BN232" i="1" s="1"/>
  <c r="BW232" i="1" s="1"/>
  <c r="CF232" i="1" s="1"/>
  <c r="CO232" i="1" s="1"/>
  <c r="CX232" i="1" s="1"/>
  <c r="DG232" i="1" s="1"/>
  <c r="DP232" i="1" s="1"/>
  <c r="DY232" i="1" s="1"/>
  <c r="EH232" i="1" s="1"/>
  <c r="EQ232" i="1" s="1"/>
  <c r="EZ232" i="1" s="1"/>
  <c r="FI232" i="1" s="1"/>
  <c r="FR232" i="1" s="1"/>
  <c r="GA232" i="1" s="1"/>
  <c r="GJ232" i="1" s="1"/>
  <c r="GS232" i="1" s="1"/>
  <c r="HB232" i="1" s="1"/>
  <c r="HK232" i="1" s="1"/>
  <c r="HU232" i="1" s="1"/>
  <c r="ID232" i="1" s="1"/>
  <c r="IM232" i="1" s="1"/>
  <c r="IV232" i="1" s="1"/>
  <c r="JE232" i="1" s="1"/>
  <c r="JN232" i="1" s="1"/>
  <c r="JW232" i="1" s="1"/>
  <c r="KF232" i="1" s="1"/>
  <c r="KO232" i="1" s="1"/>
  <c r="KX232" i="1" s="1"/>
  <c r="LG232" i="1" s="1"/>
  <c r="LP232" i="1" s="1"/>
  <c r="LY232" i="1" s="1"/>
  <c r="MH232" i="1" s="1"/>
  <c r="MQ232" i="1" s="1"/>
  <c r="MZ232" i="1" s="1"/>
  <c r="L233" i="1"/>
  <c r="U233" i="1" s="1"/>
  <c r="AD233" i="1" s="1"/>
  <c r="AM233" i="1" s="1"/>
  <c r="AV233" i="1" s="1"/>
  <c r="BE233" i="1" s="1"/>
  <c r="BN233" i="1" s="1"/>
  <c r="BW233" i="1" s="1"/>
  <c r="CF233" i="1" s="1"/>
  <c r="CO233" i="1" s="1"/>
  <c r="CX233" i="1" s="1"/>
  <c r="DG233" i="1" s="1"/>
  <c r="DP233" i="1" s="1"/>
  <c r="DY233" i="1" s="1"/>
  <c r="EH233" i="1" s="1"/>
  <c r="EQ233" i="1" s="1"/>
  <c r="EZ233" i="1" s="1"/>
  <c r="FI233" i="1" s="1"/>
  <c r="FR233" i="1" s="1"/>
  <c r="GA233" i="1" s="1"/>
  <c r="GJ233" i="1" s="1"/>
  <c r="GS233" i="1" s="1"/>
  <c r="HB233" i="1" s="1"/>
  <c r="HK233" i="1" s="1"/>
  <c r="HU233" i="1" s="1"/>
  <c r="ID233" i="1" s="1"/>
  <c r="IM233" i="1" s="1"/>
  <c r="IV233" i="1" s="1"/>
  <c r="JE233" i="1" s="1"/>
  <c r="JN233" i="1" s="1"/>
  <c r="JW233" i="1" s="1"/>
  <c r="KF233" i="1" s="1"/>
  <c r="KO233" i="1" s="1"/>
  <c r="KX233" i="1" s="1"/>
  <c r="LG233" i="1" s="1"/>
  <c r="LP233" i="1" s="1"/>
  <c r="LY233" i="1" s="1"/>
  <c r="MH233" i="1" s="1"/>
  <c r="MQ233" i="1" s="1"/>
  <c r="MZ233" i="1" s="1"/>
  <c r="L234" i="1"/>
  <c r="U234" i="1" s="1"/>
  <c r="AD234" i="1" s="1"/>
  <c r="AM234" i="1" s="1"/>
  <c r="AV234" i="1" s="1"/>
  <c r="BE234" i="1" s="1"/>
  <c r="BN234" i="1" s="1"/>
  <c r="BW234" i="1" s="1"/>
  <c r="CF234" i="1" s="1"/>
  <c r="CO234" i="1" s="1"/>
  <c r="CX234" i="1" s="1"/>
  <c r="DG234" i="1" s="1"/>
  <c r="DP234" i="1" s="1"/>
  <c r="DY234" i="1" s="1"/>
  <c r="EH234" i="1" s="1"/>
  <c r="EQ234" i="1" s="1"/>
  <c r="EZ234" i="1" s="1"/>
  <c r="FI234" i="1" s="1"/>
  <c r="FR234" i="1" s="1"/>
  <c r="GA234" i="1" s="1"/>
  <c r="GJ234" i="1" s="1"/>
  <c r="GS234" i="1" s="1"/>
  <c r="HB234" i="1" s="1"/>
  <c r="HK234" i="1" s="1"/>
  <c r="HU234" i="1" s="1"/>
  <c r="ID234" i="1" s="1"/>
  <c r="IM234" i="1" s="1"/>
  <c r="IV234" i="1" s="1"/>
  <c r="JE234" i="1" s="1"/>
  <c r="JN234" i="1" s="1"/>
  <c r="JW234" i="1" s="1"/>
  <c r="KF234" i="1" s="1"/>
  <c r="KO234" i="1" s="1"/>
  <c r="KX234" i="1" s="1"/>
  <c r="LG234" i="1" s="1"/>
  <c r="LP234" i="1" s="1"/>
  <c r="LY234" i="1" s="1"/>
  <c r="MH234" i="1" s="1"/>
  <c r="MQ234" i="1" s="1"/>
  <c r="MZ234" i="1" s="1"/>
  <c r="L235" i="1"/>
  <c r="U235" i="1" s="1"/>
  <c r="AD235" i="1" s="1"/>
  <c r="AM235" i="1" s="1"/>
  <c r="AV235" i="1" s="1"/>
  <c r="BE235" i="1" s="1"/>
  <c r="BN235" i="1" s="1"/>
  <c r="BW235" i="1" s="1"/>
  <c r="CF235" i="1" s="1"/>
  <c r="CO235" i="1" s="1"/>
  <c r="CX235" i="1" s="1"/>
  <c r="DG235" i="1" s="1"/>
  <c r="DP235" i="1" s="1"/>
  <c r="DY235" i="1" s="1"/>
  <c r="EH235" i="1" s="1"/>
  <c r="EQ235" i="1" s="1"/>
  <c r="EZ235" i="1" s="1"/>
  <c r="FI235" i="1" s="1"/>
  <c r="FR235" i="1" s="1"/>
  <c r="GA235" i="1" s="1"/>
  <c r="GJ235" i="1" s="1"/>
  <c r="GS235" i="1" s="1"/>
  <c r="HB235" i="1" s="1"/>
  <c r="HK235" i="1" s="1"/>
  <c r="HU235" i="1" s="1"/>
  <c r="ID235" i="1" s="1"/>
  <c r="IM235" i="1" s="1"/>
  <c r="IV235" i="1" s="1"/>
  <c r="JE235" i="1" s="1"/>
  <c r="JN235" i="1" s="1"/>
  <c r="JW235" i="1" s="1"/>
  <c r="KF235" i="1" s="1"/>
  <c r="KO235" i="1" s="1"/>
  <c r="KX235" i="1" s="1"/>
  <c r="LG235" i="1" s="1"/>
  <c r="LP235" i="1" s="1"/>
  <c r="LY235" i="1" s="1"/>
  <c r="MH235" i="1" s="1"/>
  <c r="MQ235" i="1" s="1"/>
  <c r="MZ235" i="1" s="1"/>
  <c r="L236" i="1"/>
  <c r="U236" i="1" s="1"/>
  <c r="AD236" i="1" s="1"/>
  <c r="AM236" i="1" s="1"/>
  <c r="AV236" i="1" s="1"/>
  <c r="BE236" i="1" s="1"/>
  <c r="BN236" i="1" s="1"/>
  <c r="BW236" i="1" s="1"/>
  <c r="CF236" i="1" s="1"/>
  <c r="CO236" i="1" s="1"/>
  <c r="CX236" i="1" s="1"/>
  <c r="DG236" i="1" s="1"/>
  <c r="DP236" i="1" s="1"/>
  <c r="DY236" i="1" s="1"/>
  <c r="EH236" i="1" s="1"/>
  <c r="EQ236" i="1" s="1"/>
  <c r="EZ236" i="1" s="1"/>
  <c r="FI236" i="1" s="1"/>
  <c r="FR236" i="1" s="1"/>
  <c r="GA236" i="1" s="1"/>
  <c r="GJ236" i="1" s="1"/>
  <c r="GS236" i="1" s="1"/>
  <c r="HB236" i="1" s="1"/>
  <c r="HK236" i="1" s="1"/>
  <c r="HU236" i="1" s="1"/>
  <c r="ID236" i="1" s="1"/>
  <c r="IM236" i="1" s="1"/>
  <c r="IV236" i="1" s="1"/>
  <c r="JE236" i="1" s="1"/>
  <c r="JN236" i="1" s="1"/>
  <c r="JW236" i="1" s="1"/>
  <c r="KF236" i="1" s="1"/>
  <c r="KO236" i="1" s="1"/>
  <c r="KX236" i="1" s="1"/>
  <c r="LG236" i="1" s="1"/>
  <c r="LP236" i="1" s="1"/>
  <c r="LY236" i="1" s="1"/>
  <c r="MH236" i="1" s="1"/>
  <c r="MQ236" i="1" s="1"/>
  <c r="MZ236" i="1" s="1"/>
  <c r="L237" i="1"/>
  <c r="U237" i="1" s="1"/>
  <c r="AD237" i="1" s="1"/>
  <c r="AM237" i="1" s="1"/>
  <c r="AV237" i="1" s="1"/>
  <c r="BE237" i="1" s="1"/>
  <c r="BN237" i="1" s="1"/>
  <c r="BW237" i="1" s="1"/>
  <c r="CF237" i="1" s="1"/>
  <c r="CO237" i="1" s="1"/>
  <c r="CX237" i="1" s="1"/>
  <c r="DG237" i="1" s="1"/>
  <c r="DP237" i="1" s="1"/>
  <c r="DY237" i="1" s="1"/>
  <c r="EH237" i="1" s="1"/>
  <c r="EQ237" i="1" s="1"/>
  <c r="EZ237" i="1" s="1"/>
  <c r="FI237" i="1" s="1"/>
  <c r="FR237" i="1" s="1"/>
  <c r="GA237" i="1" s="1"/>
  <c r="GJ237" i="1" s="1"/>
  <c r="GS237" i="1" s="1"/>
  <c r="HB237" i="1" s="1"/>
  <c r="HK237" i="1" s="1"/>
  <c r="HU237" i="1" s="1"/>
  <c r="ID237" i="1" s="1"/>
  <c r="IM237" i="1" s="1"/>
  <c r="IV237" i="1" s="1"/>
  <c r="JE237" i="1" s="1"/>
  <c r="JN237" i="1" s="1"/>
  <c r="JW237" i="1" s="1"/>
  <c r="KF237" i="1" s="1"/>
  <c r="KO237" i="1" s="1"/>
  <c r="KX237" i="1" s="1"/>
  <c r="LG237" i="1" s="1"/>
  <c r="LP237" i="1" s="1"/>
  <c r="LY237" i="1" s="1"/>
  <c r="MH237" i="1" s="1"/>
  <c r="MQ237" i="1" s="1"/>
  <c r="MZ237" i="1" s="1"/>
  <c r="L238" i="1"/>
  <c r="U238" i="1" s="1"/>
  <c r="AD238" i="1" s="1"/>
  <c r="AM238" i="1" s="1"/>
  <c r="AV238" i="1" s="1"/>
  <c r="BE238" i="1" s="1"/>
  <c r="BN238" i="1" s="1"/>
  <c r="BW238" i="1" s="1"/>
  <c r="CF238" i="1" s="1"/>
  <c r="CO238" i="1" s="1"/>
  <c r="CX238" i="1" s="1"/>
  <c r="DG238" i="1" s="1"/>
  <c r="DP238" i="1" s="1"/>
  <c r="DY238" i="1" s="1"/>
  <c r="EH238" i="1" s="1"/>
  <c r="EQ238" i="1" s="1"/>
  <c r="EZ238" i="1" s="1"/>
  <c r="FI238" i="1" s="1"/>
  <c r="FR238" i="1" s="1"/>
  <c r="GA238" i="1" s="1"/>
  <c r="GJ238" i="1" s="1"/>
  <c r="GS238" i="1" s="1"/>
  <c r="HB238" i="1" s="1"/>
  <c r="HK238" i="1" s="1"/>
  <c r="HU238" i="1" s="1"/>
  <c r="ID238" i="1" s="1"/>
  <c r="IM238" i="1" s="1"/>
  <c r="IV238" i="1" s="1"/>
  <c r="JE238" i="1" s="1"/>
  <c r="JN238" i="1" s="1"/>
  <c r="JW238" i="1" s="1"/>
  <c r="KF238" i="1" s="1"/>
  <c r="KO238" i="1" s="1"/>
  <c r="KX238" i="1" s="1"/>
  <c r="LG238" i="1" s="1"/>
  <c r="LP238" i="1" s="1"/>
  <c r="LY238" i="1" s="1"/>
  <c r="MH238" i="1" s="1"/>
  <c r="MQ238" i="1" s="1"/>
  <c r="MZ238" i="1" s="1"/>
  <c r="L239" i="1"/>
  <c r="U239" i="1" s="1"/>
  <c r="AD239" i="1" s="1"/>
  <c r="AM239" i="1" s="1"/>
  <c r="AV239" i="1" s="1"/>
  <c r="BE239" i="1" s="1"/>
  <c r="BN239" i="1" s="1"/>
  <c r="BW239" i="1" s="1"/>
  <c r="CF239" i="1" s="1"/>
  <c r="CO239" i="1" s="1"/>
  <c r="CX239" i="1" s="1"/>
  <c r="DG239" i="1" s="1"/>
  <c r="DP239" i="1" s="1"/>
  <c r="DY239" i="1" s="1"/>
  <c r="EH239" i="1" s="1"/>
  <c r="EQ239" i="1" s="1"/>
  <c r="EZ239" i="1" s="1"/>
  <c r="FI239" i="1" s="1"/>
  <c r="FR239" i="1" s="1"/>
  <c r="GA239" i="1" s="1"/>
  <c r="GJ239" i="1" s="1"/>
  <c r="GS239" i="1" s="1"/>
  <c r="HB239" i="1" s="1"/>
  <c r="HK239" i="1" s="1"/>
  <c r="HU239" i="1" s="1"/>
  <c r="ID239" i="1" s="1"/>
  <c r="IM239" i="1" s="1"/>
  <c r="IV239" i="1" s="1"/>
  <c r="JE239" i="1" s="1"/>
  <c r="JN239" i="1" s="1"/>
  <c r="JW239" i="1" s="1"/>
  <c r="KF239" i="1" s="1"/>
  <c r="KO239" i="1" s="1"/>
  <c r="KX239" i="1" s="1"/>
  <c r="LG239" i="1" s="1"/>
  <c r="LP239" i="1" s="1"/>
  <c r="LY239" i="1" s="1"/>
  <c r="MH239" i="1" s="1"/>
  <c r="MQ239" i="1" s="1"/>
  <c r="MZ239" i="1" s="1"/>
  <c r="L240" i="1"/>
  <c r="U240" i="1" s="1"/>
  <c r="AD240" i="1" s="1"/>
  <c r="AM240" i="1" s="1"/>
  <c r="AV240" i="1" s="1"/>
  <c r="BE240" i="1" s="1"/>
  <c r="BN240" i="1" s="1"/>
  <c r="BW240" i="1" s="1"/>
  <c r="CF240" i="1" s="1"/>
  <c r="CO240" i="1" s="1"/>
  <c r="CX240" i="1" s="1"/>
  <c r="DG240" i="1" s="1"/>
  <c r="DP240" i="1" s="1"/>
  <c r="DY240" i="1" s="1"/>
  <c r="EH240" i="1" s="1"/>
  <c r="EQ240" i="1" s="1"/>
  <c r="EZ240" i="1" s="1"/>
  <c r="FI240" i="1" s="1"/>
  <c r="FR240" i="1" s="1"/>
  <c r="GA240" i="1" s="1"/>
  <c r="GJ240" i="1" s="1"/>
  <c r="GS240" i="1" s="1"/>
  <c r="HB240" i="1" s="1"/>
  <c r="HK240" i="1" s="1"/>
  <c r="HU240" i="1" s="1"/>
  <c r="ID240" i="1" s="1"/>
  <c r="IM240" i="1" s="1"/>
  <c r="IV240" i="1" s="1"/>
  <c r="JE240" i="1" s="1"/>
  <c r="JN240" i="1" s="1"/>
  <c r="JW240" i="1" s="1"/>
  <c r="KF240" i="1" s="1"/>
  <c r="KO240" i="1" s="1"/>
  <c r="KX240" i="1" s="1"/>
  <c r="LG240" i="1" s="1"/>
  <c r="LP240" i="1" s="1"/>
  <c r="LY240" i="1" s="1"/>
  <c r="MH240" i="1" s="1"/>
  <c r="MQ240" i="1" s="1"/>
  <c r="MZ240" i="1" s="1"/>
  <c r="L241" i="1"/>
  <c r="U241" i="1" s="1"/>
  <c r="AD241" i="1" s="1"/>
  <c r="AM241" i="1" s="1"/>
  <c r="AV241" i="1" s="1"/>
  <c r="BE241" i="1" s="1"/>
  <c r="BN241" i="1" s="1"/>
  <c r="BW241" i="1" s="1"/>
  <c r="CF241" i="1" s="1"/>
  <c r="CO241" i="1" s="1"/>
  <c r="CX241" i="1" s="1"/>
  <c r="DG241" i="1" s="1"/>
  <c r="DP241" i="1" s="1"/>
  <c r="DY241" i="1" s="1"/>
  <c r="EH241" i="1" s="1"/>
  <c r="EQ241" i="1" s="1"/>
  <c r="EZ241" i="1" s="1"/>
  <c r="FI241" i="1" s="1"/>
  <c r="FR241" i="1" s="1"/>
  <c r="GA241" i="1" s="1"/>
  <c r="GJ241" i="1" s="1"/>
  <c r="GS241" i="1" s="1"/>
  <c r="HB241" i="1" s="1"/>
  <c r="HK241" i="1" s="1"/>
  <c r="HU241" i="1" s="1"/>
  <c r="ID241" i="1" s="1"/>
  <c r="IM241" i="1" s="1"/>
  <c r="IV241" i="1" s="1"/>
  <c r="JE241" i="1" s="1"/>
  <c r="JN241" i="1" s="1"/>
  <c r="JW241" i="1" s="1"/>
  <c r="KF241" i="1" s="1"/>
  <c r="KO241" i="1" s="1"/>
  <c r="KX241" i="1" s="1"/>
  <c r="LG241" i="1" s="1"/>
  <c r="LP241" i="1" s="1"/>
  <c r="LY241" i="1" s="1"/>
  <c r="MH241" i="1" s="1"/>
  <c r="MQ241" i="1" s="1"/>
  <c r="MZ241" i="1" s="1"/>
  <c r="L242" i="1"/>
  <c r="U242" i="1" s="1"/>
  <c r="AD242" i="1" s="1"/>
  <c r="AM242" i="1" s="1"/>
  <c r="AV242" i="1" s="1"/>
  <c r="BE242" i="1" s="1"/>
  <c r="BN242" i="1" s="1"/>
  <c r="BW242" i="1" s="1"/>
  <c r="CF242" i="1" s="1"/>
  <c r="CO242" i="1" s="1"/>
  <c r="CX242" i="1" s="1"/>
  <c r="DG242" i="1" s="1"/>
  <c r="DP242" i="1" s="1"/>
  <c r="DY242" i="1" s="1"/>
  <c r="EH242" i="1" s="1"/>
  <c r="EQ242" i="1" s="1"/>
  <c r="EZ242" i="1" s="1"/>
  <c r="FI242" i="1" s="1"/>
  <c r="FR242" i="1" s="1"/>
  <c r="GA242" i="1" s="1"/>
  <c r="GJ242" i="1" s="1"/>
  <c r="GS242" i="1" s="1"/>
  <c r="HB242" i="1" s="1"/>
  <c r="HK242" i="1" s="1"/>
  <c r="HU242" i="1" s="1"/>
  <c r="ID242" i="1" s="1"/>
  <c r="IM242" i="1" s="1"/>
  <c r="IV242" i="1" s="1"/>
  <c r="JE242" i="1" s="1"/>
  <c r="JN242" i="1" s="1"/>
  <c r="JW242" i="1" s="1"/>
  <c r="KF242" i="1" s="1"/>
  <c r="KO242" i="1" s="1"/>
  <c r="KX242" i="1" s="1"/>
  <c r="LG242" i="1" s="1"/>
  <c r="LP242" i="1" s="1"/>
  <c r="LY242" i="1" s="1"/>
  <c r="MH242" i="1" s="1"/>
  <c r="MQ242" i="1" s="1"/>
  <c r="MZ242" i="1" s="1"/>
  <c r="L243" i="1"/>
  <c r="U243" i="1" s="1"/>
  <c r="AD243" i="1" s="1"/>
  <c r="AM243" i="1" s="1"/>
  <c r="AV243" i="1" s="1"/>
  <c r="BE243" i="1" s="1"/>
  <c r="BN243" i="1" s="1"/>
  <c r="BW243" i="1" s="1"/>
  <c r="CF243" i="1" s="1"/>
  <c r="CO243" i="1" s="1"/>
  <c r="CX243" i="1" s="1"/>
  <c r="DG243" i="1" s="1"/>
  <c r="DP243" i="1" s="1"/>
  <c r="DY243" i="1" s="1"/>
  <c r="EH243" i="1" s="1"/>
  <c r="EQ243" i="1" s="1"/>
  <c r="EZ243" i="1" s="1"/>
  <c r="FI243" i="1" s="1"/>
  <c r="FR243" i="1" s="1"/>
  <c r="GA243" i="1" s="1"/>
  <c r="GJ243" i="1" s="1"/>
  <c r="GS243" i="1" s="1"/>
  <c r="HB243" i="1" s="1"/>
  <c r="HK243" i="1" s="1"/>
  <c r="HU243" i="1" s="1"/>
  <c r="ID243" i="1" s="1"/>
  <c r="IM243" i="1" s="1"/>
  <c r="IV243" i="1" s="1"/>
  <c r="JE243" i="1" s="1"/>
  <c r="JN243" i="1" s="1"/>
  <c r="JW243" i="1" s="1"/>
  <c r="KF243" i="1" s="1"/>
  <c r="KO243" i="1" s="1"/>
  <c r="KX243" i="1" s="1"/>
  <c r="LG243" i="1" s="1"/>
  <c r="LP243" i="1" s="1"/>
  <c r="LY243" i="1" s="1"/>
  <c r="MH243" i="1" s="1"/>
  <c r="MQ243" i="1" s="1"/>
  <c r="MZ243" i="1" s="1"/>
  <c r="L244" i="1"/>
  <c r="U244" i="1" s="1"/>
  <c r="AD244" i="1" s="1"/>
  <c r="AM244" i="1" s="1"/>
  <c r="AV244" i="1" s="1"/>
  <c r="BE244" i="1" s="1"/>
  <c r="BN244" i="1" s="1"/>
  <c r="BW244" i="1" s="1"/>
  <c r="CF244" i="1" s="1"/>
  <c r="CO244" i="1" s="1"/>
  <c r="CX244" i="1" s="1"/>
  <c r="DG244" i="1" s="1"/>
  <c r="DP244" i="1" s="1"/>
  <c r="DY244" i="1" s="1"/>
  <c r="EH244" i="1" s="1"/>
  <c r="EQ244" i="1" s="1"/>
  <c r="EZ244" i="1" s="1"/>
  <c r="FI244" i="1" s="1"/>
  <c r="FR244" i="1" s="1"/>
  <c r="GA244" i="1" s="1"/>
  <c r="GJ244" i="1" s="1"/>
  <c r="GS244" i="1" s="1"/>
  <c r="HB244" i="1" s="1"/>
  <c r="HK244" i="1" s="1"/>
  <c r="HU244" i="1" s="1"/>
  <c r="ID244" i="1" s="1"/>
  <c r="IM244" i="1" s="1"/>
  <c r="IV244" i="1" s="1"/>
  <c r="JE244" i="1" s="1"/>
  <c r="JN244" i="1" s="1"/>
  <c r="JW244" i="1" s="1"/>
  <c r="KF244" i="1" s="1"/>
  <c r="KO244" i="1" s="1"/>
  <c r="KX244" i="1" s="1"/>
  <c r="LG244" i="1" s="1"/>
  <c r="LP244" i="1" s="1"/>
  <c r="LY244" i="1" s="1"/>
  <c r="MH244" i="1" s="1"/>
  <c r="MQ244" i="1" s="1"/>
  <c r="MZ244" i="1" s="1"/>
  <c r="L245" i="1"/>
  <c r="U245" i="1" s="1"/>
  <c r="AD245" i="1" s="1"/>
  <c r="AM245" i="1" s="1"/>
  <c r="AV245" i="1" s="1"/>
  <c r="BE245" i="1" s="1"/>
  <c r="BN245" i="1" s="1"/>
  <c r="BW245" i="1" s="1"/>
  <c r="CF245" i="1" s="1"/>
  <c r="CO245" i="1" s="1"/>
  <c r="CX245" i="1" s="1"/>
  <c r="DG245" i="1" s="1"/>
  <c r="DP245" i="1" s="1"/>
  <c r="DY245" i="1" s="1"/>
  <c r="EH245" i="1" s="1"/>
  <c r="EQ245" i="1" s="1"/>
  <c r="EZ245" i="1" s="1"/>
  <c r="FI245" i="1" s="1"/>
  <c r="FR245" i="1" s="1"/>
  <c r="GA245" i="1" s="1"/>
  <c r="GJ245" i="1" s="1"/>
  <c r="GS245" i="1" s="1"/>
  <c r="HB245" i="1" s="1"/>
  <c r="HK245" i="1" s="1"/>
  <c r="HU245" i="1" s="1"/>
  <c r="ID245" i="1" s="1"/>
  <c r="IM245" i="1" s="1"/>
  <c r="IV245" i="1" s="1"/>
  <c r="JE245" i="1" s="1"/>
  <c r="JN245" i="1" s="1"/>
  <c r="JW245" i="1" s="1"/>
  <c r="KF245" i="1" s="1"/>
  <c r="KO245" i="1" s="1"/>
  <c r="KX245" i="1" s="1"/>
  <c r="LG245" i="1" s="1"/>
  <c r="LP245" i="1" s="1"/>
  <c r="LY245" i="1" s="1"/>
  <c r="MH245" i="1" s="1"/>
  <c r="MQ245" i="1" s="1"/>
  <c r="MZ245" i="1" s="1"/>
  <c r="L246" i="1"/>
  <c r="U246" i="1" s="1"/>
  <c r="AD246" i="1" s="1"/>
  <c r="AM246" i="1" s="1"/>
  <c r="AV246" i="1" s="1"/>
  <c r="BE246" i="1" s="1"/>
  <c r="BN246" i="1" s="1"/>
  <c r="BW246" i="1" s="1"/>
  <c r="CF246" i="1" s="1"/>
  <c r="CO246" i="1" s="1"/>
  <c r="CX246" i="1" s="1"/>
  <c r="DG246" i="1" s="1"/>
  <c r="DP246" i="1" s="1"/>
  <c r="DY246" i="1" s="1"/>
  <c r="EH246" i="1" s="1"/>
  <c r="EQ246" i="1" s="1"/>
  <c r="EZ246" i="1" s="1"/>
  <c r="FI246" i="1" s="1"/>
  <c r="FR246" i="1" s="1"/>
  <c r="GA246" i="1" s="1"/>
  <c r="GJ246" i="1" s="1"/>
  <c r="GS246" i="1" s="1"/>
  <c r="HB246" i="1" s="1"/>
  <c r="HK246" i="1" s="1"/>
  <c r="HU246" i="1" s="1"/>
  <c r="ID246" i="1" s="1"/>
  <c r="IM246" i="1" s="1"/>
  <c r="IV246" i="1" s="1"/>
  <c r="JE246" i="1" s="1"/>
  <c r="JN246" i="1" s="1"/>
  <c r="JW246" i="1" s="1"/>
  <c r="KF246" i="1" s="1"/>
  <c r="KO246" i="1" s="1"/>
  <c r="KX246" i="1" s="1"/>
  <c r="LG246" i="1" s="1"/>
  <c r="LP246" i="1" s="1"/>
  <c r="LY246" i="1" s="1"/>
  <c r="MH246" i="1" s="1"/>
  <c r="MQ246" i="1" s="1"/>
  <c r="MZ246" i="1" s="1"/>
  <c r="L247" i="1"/>
  <c r="U247" i="1" s="1"/>
  <c r="AD247" i="1" s="1"/>
  <c r="AM247" i="1" s="1"/>
  <c r="AV247" i="1" s="1"/>
  <c r="BE247" i="1" s="1"/>
  <c r="BN247" i="1" s="1"/>
  <c r="BW247" i="1" s="1"/>
  <c r="CF247" i="1" s="1"/>
  <c r="CO247" i="1" s="1"/>
  <c r="CX247" i="1" s="1"/>
  <c r="DG247" i="1" s="1"/>
  <c r="DP247" i="1" s="1"/>
  <c r="DY247" i="1" s="1"/>
  <c r="EH247" i="1" s="1"/>
  <c r="EQ247" i="1" s="1"/>
  <c r="EZ247" i="1" s="1"/>
  <c r="FI247" i="1" s="1"/>
  <c r="FR247" i="1" s="1"/>
  <c r="GA247" i="1" s="1"/>
  <c r="GJ247" i="1" s="1"/>
  <c r="GS247" i="1" s="1"/>
  <c r="HB247" i="1" s="1"/>
  <c r="HK247" i="1" s="1"/>
  <c r="HU247" i="1" s="1"/>
  <c r="ID247" i="1" s="1"/>
  <c r="IM247" i="1" s="1"/>
  <c r="IV247" i="1" s="1"/>
  <c r="JE247" i="1" s="1"/>
  <c r="JN247" i="1" s="1"/>
  <c r="JW247" i="1" s="1"/>
  <c r="KF247" i="1" s="1"/>
  <c r="KO247" i="1" s="1"/>
  <c r="KX247" i="1" s="1"/>
  <c r="LG247" i="1" s="1"/>
  <c r="LP247" i="1" s="1"/>
  <c r="LY247" i="1" s="1"/>
  <c r="MH247" i="1" s="1"/>
  <c r="MQ247" i="1" s="1"/>
  <c r="MZ247" i="1" s="1"/>
  <c r="L248" i="1"/>
  <c r="U248" i="1" s="1"/>
  <c r="AD248" i="1" s="1"/>
  <c r="AM248" i="1" s="1"/>
  <c r="AV248" i="1" s="1"/>
  <c r="BE248" i="1" s="1"/>
  <c r="BN248" i="1" s="1"/>
  <c r="BW248" i="1" s="1"/>
  <c r="CF248" i="1" s="1"/>
  <c r="CO248" i="1" s="1"/>
  <c r="CX248" i="1" s="1"/>
  <c r="DG248" i="1" s="1"/>
  <c r="DP248" i="1" s="1"/>
  <c r="DY248" i="1" s="1"/>
  <c r="EH248" i="1" s="1"/>
  <c r="EQ248" i="1" s="1"/>
  <c r="EZ248" i="1" s="1"/>
  <c r="FI248" i="1" s="1"/>
  <c r="FR248" i="1" s="1"/>
  <c r="GA248" i="1" s="1"/>
  <c r="GJ248" i="1" s="1"/>
  <c r="GS248" i="1" s="1"/>
  <c r="HB248" i="1" s="1"/>
  <c r="HK248" i="1" s="1"/>
  <c r="HU248" i="1" s="1"/>
  <c r="ID248" i="1" s="1"/>
  <c r="IM248" i="1" s="1"/>
  <c r="IV248" i="1" s="1"/>
  <c r="JE248" i="1" s="1"/>
  <c r="JN248" i="1" s="1"/>
  <c r="JW248" i="1" s="1"/>
  <c r="KF248" i="1" s="1"/>
  <c r="KO248" i="1" s="1"/>
  <c r="KX248" i="1" s="1"/>
  <c r="LG248" i="1" s="1"/>
  <c r="LP248" i="1" s="1"/>
  <c r="LY248" i="1" s="1"/>
  <c r="MH248" i="1" s="1"/>
  <c r="MQ248" i="1" s="1"/>
  <c r="MZ248" i="1" s="1"/>
  <c r="L218" i="1"/>
  <c r="U218" i="1" s="1"/>
  <c r="AD218" i="1" s="1"/>
  <c r="AM218" i="1" s="1"/>
  <c r="AV218" i="1" s="1"/>
  <c r="BE218" i="1" s="1"/>
  <c r="BN218" i="1" s="1"/>
  <c r="BW218" i="1" s="1"/>
  <c r="CF218" i="1" s="1"/>
  <c r="CO218" i="1" s="1"/>
  <c r="CX218" i="1" s="1"/>
  <c r="DG218" i="1" s="1"/>
  <c r="DP218" i="1" s="1"/>
  <c r="DY218" i="1" s="1"/>
  <c r="EH218" i="1" s="1"/>
  <c r="EQ218" i="1" s="1"/>
  <c r="EZ218" i="1" s="1"/>
  <c r="FI218" i="1" s="1"/>
  <c r="FR218" i="1" s="1"/>
  <c r="GA218" i="1" s="1"/>
  <c r="GJ218" i="1" s="1"/>
  <c r="GS218" i="1" s="1"/>
  <c r="HB218" i="1" s="1"/>
  <c r="HK218" i="1" s="1"/>
  <c r="HU218" i="1" s="1"/>
  <c r="ID218" i="1" s="1"/>
  <c r="IM218" i="1" s="1"/>
  <c r="IV218" i="1" s="1"/>
  <c r="JE218" i="1" s="1"/>
  <c r="JN218" i="1" s="1"/>
  <c r="JW218" i="1" s="1"/>
  <c r="KF218" i="1" s="1"/>
  <c r="KO218" i="1" s="1"/>
  <c r="KX218" i="1" s="1"/>
  <c r="LG218" i="1" s="1"/>
  <c r="LP218" i="1" s="1"/>
  <c r="LY218" i="1" s="1"/>
  <c r="MH218" i="1" s="1"/>
  <c r="MQ218" i="1" s="1"/>
  <c r="MZ218" i="1" s="1"/>
  <c r="L184" i="1"/>
  <c r="U184" i="1" s="1"/>
  <c r="AD184" i="1" s="1"/>
  <c r="AM184" i="1" s="1"/>
  <c r="AV184" i="1" s="1"/>
  <c r="BE184" i="1" s="1"/>
  <c r="BN184" i="1" s="1"/>
  <c r="BW184" i="1" s="1"/>
  <c r="CF184" i="1" s="1"/>
  <c r="CO184" i="1" s="1"/>
  <c r="CX184" i="1" s="1"/>
  <c r="DG184" i="1" s="1"/>
  <c r="DP184" i="1" s="1"/>
  <c r="DY184" i="1" s="1"/>
  <c r="EH184" i="1" s="1"/>
  <c r="EQ184" i="1" s="1"/>
  <c r="EZ184" i="1" s="1"/>
  <c r="FI184" i="1" s="1"/>
  <c r="FR184" i="1" s="1"/>
  <c r="GA184" i="1" s="1"/>
  <c r="GJ184" i="1" s="1"/>
  <c r="GS184" i="1" s="1"/>
  <c r="HB184" i="1" s="1"/>
  <c r="HK184" i="1" s="1"/>
  <c r="HU184" i="1" s="1"/>
  <c r="ID184" i="1" s="1"/>
  <c r="IM184" i="1" s="1"/>
  <c r="IV184" i="1" s="1"/>
  <c r="JE184" i="1" s="1"/>
  <c r="JN184" i="1" s="1"/>
  <c r="JW184" i="1" s="1"/>
  <c r="KF184" i="1" s="1"/>
  <c r="KO184" i="1" s="1"/>
  <c r="KX184" i="1" s="1"/>
  <c r="LG184" i="1" s="1"/>
  <c r="LP184" i="1" s="1"/>
  <c r="LY184" i="1" s="1"/>
  <c r="MH184" i="1" s="1"/>
  <c r="MQ184" i="1" s="1"/>
  <c r="MZ184" i="1" s="1"/>
  <c r="L185" i="1"/>
  <c r="U185" i="1" s="1"/>
  <c r="AD185" i="1" s="1"/>
  <c r="AM185" i="1" s="1"/>
  <c r="AV185" i="1" s="1"/>
  <c r="BE185" i="1" s="1"/>
  <c r="BN185" i="1" s="1"/>
  <c r="BW185" i="1" s="1"/>
  <c r="CF185" i="1" s="1"/>
  <c r="CO185" i="1" s="1"/>
  <c r="CX185" i="1" s="1"/>
  <c r="DG185" i="1" s="1"/>
  <c r="DP185" i="1" s="1"/>
  <c r="DY185" i="1" s="1"/>
  <c r="EH185" i="1" s="1"/>
  <c r="EQ185" i="1" s="1"/>
  <c r="EZ185" i="1" s="1"/>
  <c r="FI185" i="1" s="1"/>
  <c r="FR185" i="1" s="1"/>
  <c r="GA185" i="1" s="1"/>
  <c r="GJ185" i="1" s="1"/>
  <c r="GS185" i="1" s="1"/>
  <c r="HB185" i="1" s="1"/>
  <c r="HK185" i="1" s="1"/>
  <c r="HU185" i="1" s="1"/>
  <c r="ID185" i="1" s="1"/>
  <c r="IM185" i="1" s="1"/>
  <c r="IV185" i="1" s="1"/>
  <c r="JE185" i="1" s="1"/>
  <c r="JN185" i="1" s="1"/>
  <c r="JW185" i="1" s="1"/>
  <c r="KF185" i="1" s="1"/>
  <c r="KO185" i="1" s="1"/>
  <c r="KX185" i="1" s="1"/>
  <c r="LG185" i="1" s="1"/>
  <c r="LP185" i="1" s="1"/>
  <c r="LY185" i="1" s="1"/>
  <c r="MH185" i="1" s="1"/>
  <c r="MQ185" i="1" s="1"/>
  <c r="MZ185" i="1" s="1"/>
  <c r="L186" i="1"/>
  <c r="U186" i="1" s="1"/>
  <c r="AD186" i="1" s="1"/>
  <c r="AM186" i="1" s="1"/>
  <c r="AV186" i="1" s="1"/>
  <c r="BE186" i="1" s="1"/>
  <c r="BN186" i="1" s="1"/>
  <c r="BW186" i="1" s="1"/>
  <c r="CF186" i="1" s="1"/>
  <c r="CO186" i="1" s="1"/>
  <c r="CX186" i="1" s="1"/>
  <c r="DG186" i="1" s="1"/>
  <c r="DP186" i="1" s="1"/>
  <c r="DY186" i="1" s="1"/>
  <c r="EH186" i="1" s="1"/>
  <c r="EQ186" i="1" s="1"/>
  <c r="EZ186" i="1" s="1"/>
  <c r="FI186" i="1" s="1"/>
  <c r="FR186" i="1" s="1"/>
  <c r="GA186" i="1" s="1"/>
  <c r="GJ186" i="1" s="1"/>
  <c r="GS186" i="1" s="1"/>
  <c r="HB186" i="1" s="1"/>
  <c r="HK186" i="1" s="1"/>
  <c r="HU186" i="1" s="1"/>
  <c r="ID186" i="1" s="1"/>
  <c r="IM186" i="1" s="1"/>
  <c r="IV186" i="1" s="1"/>
  <c r="JE186" i="1" s="1"/>
  <c r="JN186" i="1" s="1"/>
  <c r="JW186" i="1" s="1"/>
  <c r="KF186" i="1" s="1"/>
  <c r="KO186" i="1" s="1"/>
  <c r="KX186" i="1" s="1"/>
  <c r="LG186" i="1" s="1"/>
  <c r="LP186" i="1" s="1"/>
  <c r="LY186" i="1" s="1"/>
  <c r="MH186" i="1" s="1"/>
  <c r="MQ186" i="1" s="1"/>
  <c r="MZ186" i="1" s="1"/>
  <c r="L187" i="1"/>
  <c r="U187" i="1" s="1"/>
  <c r="AD187" i="1" s="1"/>
  <c r="AM187" i="1" s="1"/>
  <c r="AV187" i="1" s="1"/>
  <c r="BE187" i="1" s="1"/>
  <c r="BN187" i="1" s="1"/>
  <c r="BW187" i="1" s="1"/>
  <c r="CF187" i="1" s="1"/>
  <c r="CO187" i="1" s="1"/>
  <c r="CX187" i="1" s="1"/>
  <c r="DG187" i="1" s="1"/>
  <c r="DP187" i="1" s="1"/>
  <c r="DY187" i="1" s="1"/>
  <c r="EH187" i="1" s="1"/>
  <c r="EQ187" i="1" s="1"/>
  <c r="EZ187" i="1" s="1"/>
  <c r="FI187" i="1" s="1"/>
  <c r="FR187" i="1" s="1"/>
  <c r="GA187" i="1" s="1"/>
  <c r="GJ187" i="1" s="1"/>
  <c r="GS187" i="1" s="1"/>
  <c r="HB187" i="1" s="1"/>
  <c r="HK187" i="1" s="1"/>
  <c r="HU187" i="1" s="1"/>
  <c r="ID187" i="1" s="1"/>
  <c r="IM187" i="1" s="1"/>
  <c r="IV187" i="1" s="1"/>
  <c r="JE187" i="1" s="1"/>
  <c r="JN187" i="1" s="1"/>
  <c r="JW187" i="1" s="1"/>
  <c r="KF187" i="1" s="1"/>
  <c r="KO187" i="1" s="1"/>
  <c r="KX187" i="1" s="1"/>
  <c r="LG187" i="1" s="1"/>
  <c r="LP187" i="1" s="1"/>
  <c r="LY187" i="1" s="1"/>
  <c r="MH187" i="1" s="1"/>
  <c r="MQ187" i="1" s="1"/>
  <c r="MZ187" i="1" s="1"/>
  <c r="L188" i="1"/>
  <c r="U188" i="1" s="1"/>
  <c r="AD188" i="1" s="1"/>
  <c r="AM188" i="1" s="1"/>
  <c r="AV188" i="1" s="1"/>
  <c r="BE188" i="1" s="1"/>
  <c r="BN188" i="1" s="1"/>
  <c r="BW188" i="1" s="1"/>
  <c r="CF188" i="1" s="1"/>
  <c r="CO188" i="1" s="1"/>
  <c r="CX188" i="1" s="1"/>
  <c r="DG188" i="1" s="1"/>
  <c r="DP188" i="1" s="1"/>
  <c r="DY188" i="1" s="1"/>
  <c r="EH188" i="1" s="1"/>
  <c r="EQ188" i="1" s="1"/>
  <c r="EZ188" i="1" s="1"/>
  <c r="FI188" i="1" s="1"/>
  <c r="FR188" i="1" s="1"/>
  <c r="GA188" i="1" s="1"/>
  <c r="GJ188" i="1" s="1"/>
  <c r="GS188" i="1" s="1"/>
  <c r="HB188" i="1" s="1"/>
  <c r="HK188" i="1" s="1"/>
  <c r="HU188" i="1" s="1"/>
  <c r="ID188" i="1" s="1"/>
  <c r="IM188" i="1" s="1"/>
  <c r="IV188" i="1" s="1"/>
  <c r="JE188" i="1" s="1"/>
  <c r="JN188" i="1" s="1"/>
  <c r="JW188" i="1" s="1"/>
  <c r="KF188" i="1" s="1"/>
  <c r="KO188" i="1" s="1"/>
  <c r="KX188" i="1" s="1"/>
  <c r="LG188" i="1" s="1"/>
  <c r="LP188" i="1" s="1"/>
  <c r="LY188" i="1" s="1"/>
  <c r="MH188" i="1" s="1"/>
  <c r="MQ188" i="1" s="1"/>
  <c r="MZ188" i="1" s="1"/>
  <c r="L189" i="1"/>
  <c r="U189" i="1" s="1"/>
  <c r="AD189" i="1" s="1"/>
  <c r="AM189" i="1" s="1"/>
  <c r="AV189" i="1" s="1"/>
  <c r="BE189" i="1" s="1"/>
  <c r="BN189" i="1" s="1"/>
  <c r="BW189" i="1" s="1"/>
  <c r="CF189" i="1" s="1"/>
  <c r="CO189" i="1" s="1"/>
  <c r="CX189" i="1" s="1"/>
  <c r="DG189" i="1" s="1"/>
  <c r="DP189" i="1" s="1"/>
  <c r="DY189" i="1" s="1"/>
  <c r="EH189" i="1" s="1"/>
  <c r="EQ189" i="1" s="1"/>
  <c r="EZ189" i="1" s="1"/>
  <c r="FI189" i="1" s="1"/>
  <c r="FR189" i="1" s="1"/>
  <c r="GA189" i="1" s="1"/>
  <c r="GJ189" i="1" s="1"/>
  <c r="GS189" i="1" s="1"/>
  <c r="HB189" i="1" s="1"/>
  <c r="HK189" i="1" s="1"/>
  <c r="HU189" i="1" s="1"/>
  <c r="ID189" i="1" s="1"/>
  <c r="IM189" i="1" s="1"/>
  <c r="IV189" i="1" s="1"/>
  <c r="JE189" i="1" s="1"/>
  <c r="JN189" i="1" s="1"/>
  <c r="JW189" i="1" s="1"/>
  <c r="KF189" i="1" s="1"/>
  <c r="KO189" i="1" s="1"/>
  <c r="KX189" i="1" s="1"/>
  <c r="LG189" i="1" s="1"/>
  <c r="LP189" i="1" s="1"/>
  <c r="LY189" i="1" s="1"/>
  <c r="MH189" i="1" s="1"/>
  <c r="MQ189" i="1" s="1"/>
  <c r="MZ189" i="1" s="1"/>
  <c r="L190" i="1"/>
  <c r="U190" i="1" s="1"/>
  <c r="AD190" i="1" s="1"/>
  <c r="AM190" i="1" s="1"/>
  <c r="AV190" i="1" s="1"/>
  <c r="BE190" i="1" s="1"/>
  <c r="BN190" i="1" s="1"/>
  <c r="BW190" i="1" s="1"/>
  <c r="CF190" i="1" s="1"/>
  <c r="CO190" i="1" s="1"/>
  <c r="CX190" i="1" s="1"/>
  <c r="DG190" i="1" s="1"/>
  <c r="DP190" i="1" s="1"/>
  <c r="DY190" i="1" s="1"/>
  <c r="EH190" i="1" s="1"/>
  <c r="EQ190" i="1" s="1"/>
  <c r="EZ190" i="1" s="1"/>
  <c r="FI190" i="1" s="1"/>
  <c r="FR190" i="1" s="1"/>
  <c r="GA190" i="1" s="1"/>
  <c r="GJ190" i="1" s="1"/>
  <c r="GS190" i="1" s="1"/>
  <c r="HB190" i="1" s="1"/>
  <c r="HK190" i="1" s="1"/>
  <c r="HU190" i="1" s="1"/>
  <c r="ID190" i="1" s="1"/>
  <c r="IM190" i="1" s="1"/>
  <c r="IV190" i="1" s="1"/>
  <c r="JE190" i="1" s="1"/>
  <c r="JN190" i="1" s="1"/>
  <c r="JW190" i="1" s="1"/>
  <c r="KF190" i="1" s="1"/>
  <c r="KO190" i="1" s="1"/>
  <c r="KX190" i="1" s="1"/>
  <c r="LG190" i="1" s="1"/>
  <c r="LP190" i="1" s="1"/>
  <c r="LY190" i="1" s="1"/>
  <c r="MH190" i="1" s="1"/>
  <c r="MQ190" i="1" s="1"/>
  <c r="MZ190" i="1" s="1"/>
  <c r="L191" i="1"/>
  <c r="U191" i="1" s="1"/>
  <c r="AD191" i="1" s="1"/>
  <c r="AM191" i="1" s="1"/>
  <c r="AV191" i="1" s="1"/>
  <c r="BE191" i="1" s="1"/>
  <c r="BN191" i="1" s="1"/>
  <c r="BW191" i="1" s="1"/>
  <c r="CF191" i="1" s="1"/>
  <c r="CO191" i="1" s="1"/>
  <c r="CX191" i="1" s="1"/>
  <c r="DG191" i="1" s="1"/>
  <c r="DP191" i="1" s="1"/>
  <c r="DY191" i="1" s="1"/>
  <c r="EH191" i="1" s="1"/>
  <c r="EQ191" i="1" s="1"/>
  <c r="EZ191" i="1" s="1"/>
  <c r="FI191" i="1" s="1"/>
  <c r="FR191" i="1" s="1"/>
  <c r="GA191" i="1" s="1"/>
  <c r="GJ191" i="1" s="1"/>
  <c r="GS191" i="1" s="1"/>
  <c r="HB191" i="1" s="1"/>
  <c r="HK191" i="1" s="1"/>
  <c r="HU191" i="1" s="1"/>
  <c r="ID191" i="1" s="1"/>
  <c r="IM191" i="1" s="1"/>
  <c r="IV191" i="1" s="1"/>
  <c r="JE191" i="1" s="1"/>
  <c r="JN191" i="1" s="1"/>
  <c r="JW191" i="1" s="1"/>
  <c r="KF191" i="1" s="1"/>
  <c r="KO191" i="1" s="1"/>
  <c r="KX191" i="1" s="1"/>
  <c r="LG191" i="1" s="1"/>
  <c r="LP191" i="1" s="1"/>
  <c r="LY191" i="1" s="1"/>
  <c r="MH191" i="1" s="1"/>
  <c r="MQ191" i="1" s="1"/>
  <c r="MZ191" i="1" s="1"/>
  <c r="L192" i="1"/>
  <c r="U192" i="1" s="1"/>
  <c r="AD192" i="1" s="1"/>
  <c r="AM192" i="1" s="1"/>
  <c r="AV192" i="1" s="1"/>
  <c r="BE192" i="1" s="1"/>
  <c r="BN192" i="1" s="1"/>
  <c r="BW192" i="1" s="1"/>
  <c r="CF192" i="1" s="1"/>
  <c r="CO192" i="1" s="1"/>
  <c r="CX192" i="1" s="1"/>
  <c r="DG192" i="1" s="1"/>
  <c r="DP192" i="1" s="1"/>
  <c r="DY192" i="1" s="1"/>
  <c r="EH192" i="1" s="1"/>
  <c r="EQ192" i="1" s="1"/>
  <c r="EZ192" i="1" s="1"/>
  <c r="FI192" i="1" s="1"/>
  <c r="FR192" i="1" s="1"/>
  <c r="GA192" i="1" s="1"/>
  <c r="GJ192" i="1" s="1"/>
  <c r="GS192" i="1" s="1"/>
  <c r="HB192" i="1" s="1"/>
  <c r="HK192" i="1" s="1"/>
  <c r="HU192" i="1" s="1"/>
  <c r="ID192" i="1" s="1"/>
  <c r="IM192" i="1" s="1"/>
  <c r="IV192" i="1" s="1"/>
  <c r="JE192" i="1" s="1"/>
  <c r="JN192" i="1" s="1"/>
  <c r="JW192" i="1" s="1"/>
  <c r="KF192" i="1" s="1"/>
  <c r="KO192" i="1" s="1"/>
  <c r="KX192" i="1" s="1"/>
  <c r="LG192" i="1" s="1"/>
  <c r="LP192" i="1" s="1"/>
  <c r="LY192" i="1" s="1"/>
  <c r="MH192" i="1" s="1"/>
  <c r="MQ192" i="1" s="1"/>
  <c r="MZ192" i="1" s="1"/>
  <c r="L193" i="1"/>
  <c r="U193" i="1" s="1"/>
  <c r="AD193" i="1" s="1"/>
  <c r="AM193" i="1" s="1"/>
  <c r="AV193" i="1" s="1"/>
  <c r="BE193" i="1" s="1"/>
  <c r="BN193" i="1" s="1"/>
  <c r="BW193" i="1" s="1"/>
  <c r="CF193" i="1" s="1"/>
  <c r="CO193" i="1" s="1"/>
  <c r="CX193" i="1" s="1"/>
  <c r="DG193" i="1" s="1"/>
  <c r="DP193" i="1" s="1"/>
  <c r="DY193" i="1" s="1"/>
  <c r="EH193" i="1" s="1"/>
  <c r="EQ193" i="1" s="1"/>
  <c r="EZ193" i="1" s="1"/>
  <c r="FI193" i="1" s="1"/>
  <c r="FR193" i="1" s="1"/>
  <c r="GA193" i="1" s="1"/>
  <c r="GJ193" i="1" s="1"/>
  <c r="GS193" i="1" s="1"/>
  <c r="HB193" i="1" s="1"/>
  <c r="HK193" i="1" s="1"/>
  <c r="HU193" i="1" s="1"/>
  <c r="ID193" i="1" s="1"/>
  <c r="IM193" i="1" s="1"/>
  <c r="IV193" i="1" s="1"/>
  <c r="JE193" i="1" s="1"/>
  <c r="JN193" i="1" s="1"/>
  <c r="JW193" i="1" s="1"/>
  <c r="KF193" i="1" s="1"/>
  <c r="KO193" i="1" s="1"/>
  <c r="KX193" i="1" s="1"/>
  <c r="LG193" i="1" s="1"/>
  <c r="LP193" i="1" s="1"/>
  <c r="LY193" i="1" s="1"/>
  <c r="MH193" i="1" s="1"/>
  <c r="MQ193" i="1" s="1"/>
  <c r="MZ193" i="1" s="1"/>
  <c r="L194" i="1"/>
  <c r="U194" i="1" s="1"/>
  <c r="AD194" i="1" s="1"/>
  <c r="AM194" i="1" s="1"/>
  <c r="AV194" i="1" s="1"/>
  <c r="BE194" i="1" s="1"/>
  <c r="BN194" i="1" s="1"/>
  <c r="BW194" i="1" s="1"/>
  <c r="CF194" i="1" s="1"/>
  <c r="CO194" i="1" s="1"/>
  <c r="CX194" i="1" s="1"/>
  <c r="DG194" i="1" s="1"/>
  <c r="DP194" i="1" s="1"/>
  <c r="DY194" i="1" s="1"/>
  <c r="EH194" i="1" s="1"/>
  <c r="EQ194" i="1" s="1"/>
  <c r="EZ194" i="1" s="1"/>
  <c r="FI194" i="1" s="1"/>
  <c r="FR194" i="1" s="1"/>
  <c r="GA194" i="1" s="1"/>
  <c r="GJ194" i="1" s="1"/>
  <c r="GS194" i="1" s="1"/>
  <c r="HB194" i="1" s="1"/>
  <c r="HK194" i="1" s="1"/>
  <c r="HU194" i="1" s="1"/>
  <c r="ID194" i="1" s="1"/>
  <c r="IM194" i="1" s="1"/>
  <c r="IV194" i="1" s="1"/>
  <c r="JE194" i="1" s="1"/>
  <c r="JN194" i="1" s="1"/>
  <c r="JW194" i="1" s="1"/>
  <c r="KF194" i="1" s="1"/>
  <c r="KO194" i="1" s="1"/>
  <c r="KX194" i="1" s="1"/>
  <c r="LG194" i="1" s="1"/>
  <c r="LP194" i="1" s="1"/>
  <c r="LY194" i="1" s="1"/>
  <c r="MH194" i="1" s="1"/>
  <c r="MQ194" i="1" s="1"/>
  <c r="MZ194" i="1" s="1"/>
  <c r="L195" i="1"/>
  <c r="U195" i="1" s="1"/>
  <c r="AD195" i="1" s="1"/>
  <c r="AM195" i="1" s="1"/>
  <c r="AV195" i="1" s="1"/>
  <c r="BE195" i="1" s="1"/>
  <c r="BN195" i="1" s="1"/>
  <c r="BW195" i="1" s="1"/>
  <c r="CF195" i="1" s="1"/>
  <c r="CO195" i="1" s="1"/>
  <c r="CX195" i="1" s="1"/>
  <c r="DG195" i="1" s="1"/>
  <c r="DP195" i="1" s="1"/>
  <c r="DY195" i="1" s="1"/>
  <c r="EH195" i="1" s="1"/>
  <c r="EQ195" i="1" s="1"/>
  <c r="EZ195" i="1" s="1"/>
  <c r="FI195" i="1" s="1"/>
  <c r="FR195" i="1" s="1"/>
  <c r="GA195" i="1" s="1"/>
  <c r="GJ195" i="1" s="1"/>
  <c r="GS195" i="1" s="1"/>
  <c r="HB195" i="1" s="1"/>
  <c r="HK195" i="1" s="1"/>
  <c r="HU195" i="1" s="1"/>
  <c r="ID195" i="1" s="1"/>
  <c r="IM195" i="1" s="1"/>
  <c r="IV195" i="1" s="1"/>
  <c r="JE195" i="1" s="1"/>
  <c r="JN195" i="1" s="1"/>
  <c r="JW195" i="1" s="1"/>
  <c r="KF195" i="1" s="1"/>
  <c r="KO195" i="1" s="1"/>
  <c r="KX195" i="1" s="1"/>
  <c r="LG195" i="1" s="1"/>
  <c r="LP195" i="1" s="1"/>
  <c r="LY195" i="1" s="1"/>
  <c r="MH195" i="1" s="1"/>
  <c r="MQ195" i="1" s="1"/>
  <c r="MZ195" i="1" s="1"/>
  <c r="L196" i="1"/>
  <c r="U196" i="1" s="1"/>
  <c r="AD196" i="1" s="1"/>
  <c r="AM196" i="1" s="1"/>
  <c r="AV196" i="1" s="1"/>
  <c r="BE196" i="1" s="1"/>
  <c r="BN196" i="1" s="1"/>
  <c r="BW196" i="1" s="1"/>
  <c r="CF196" i="1" s="1"/>
  <c r="CO196" i="1" s="1"/>
  <c r="CX196" i="1" s="1"/>
  <c r="DG196" i="1" s="1"/>
  <c r="DP196" i="1" s="1"/>
  <c r="DY196" i="1" s="1"/>
  <c r="EH196" i="1" s="1"/>
  <c r="EQ196" i="1" s="1"/>
  <c r="EZ196" i="1" s="1"/>
  <c r="FI196" i="1" s="1"/>
  <c r="FR196" i="1" s="1"/>
  <c r="GA196" i="1" s="1"/>
  <c r="GJ196" i="1" s="1"/>
  <c r="GS196" i="1" s="1"/>
  <c r="HB196" i="1" s="1"/>
  <c r="HK196" i="1" s="1"/>
  <c r="HU196" i="1" s="1"/>
  <c r="ID196" i="1" s="1"/>
  <c r="IM196" i="1" s="1"/>
  <c r="IV196" i="1" s="1"/>
  <c r="JE196" i="1" s="1"/>
  <c r="JN196" i="1" s="1"/>
  <c r="JW196" i="1" s="1"/>
  <c r="KF196" i="1" s="1"/>
  <c r="KO196" i="1" s="1"/>
  <c r="KX196" i="1" s="1"/>
  <c r="LG196" i="1" s="1"/>
  <c r="LP196" i="1" s="1"/>
  <c r="LY196" i="1" s="1"/>
  <c r="MH196" i="1" s="1"/>
  <c r="MQ196" i="1" s="1"/>
  <c r="MZ196" i="1" s="1"/>
  <c r="L197" i="1"/>
  <c r="U197" i="1" s="1"/>
  <c r="AD197" i="1" s="1"/>
  <c r="AM197" i="1" s="1"/>
  <c r="AV197" i="1" s="1"/>
  <c r="BE197" i="1" s="1"/>
  <c r="BN197" i="1" s="1"/>
  <c r="BW197" i="1" s="1"/>
  <c r="CF197" i="1" s="1"/>
  <c r="CO197" i="1" s="1"/>
  <c r="CX197" i="1" s="1"/>
  <c r="DG197" i="1" s="1"/>
  <c r="DP197" i="1" s="1"/>
  <c r="DY197" i="1" s="1"/>
  <c r="EH197" i="1" s="1"/>
  <c r="EQ197" i="1" s="1"/>
  <c r="EZ197" i="1" s="1"/>
  <c r="FI197" i="1" s="1"/>
  <c r="FR197" i="1" s="1"/>
  <c r="GA197" i="1" s="1"/>
  <c r="GJ197" i="1" s="1"/>
  <c r="GS197" i="1" s="1"/>
  <c r="HB197" i="1" s="1"/>
  <c r="HK197" i="1" s="1"/>
  <c r="HU197" i="1" s="1"/>
  <c r="ID197" i="1" s="1"/>
  <c r="IM197" i="1" s="1"/>
  <c r="IV197" i="1" s="1"/>
  <c r="JE197" i="1" s="1"/>
  <c r="JN197" i="1" s="1"/>
  <c r="JW197" i="1" s="1"/>
  <c r="KF197" i="1" s="1"/>
  <c r="KO197" i="1" s="1"/>
  <c r="KX197" i="1" s="1"/>
  <c r="LG197" i="1" s="1"/>
  <c r="LP197" i="1" s="1"/>
  <c r="LY197" i="1" s="1"/>
  <c r="MH197" i="1" s="1"/>
  <c r="MQ197" i="1" s="1"/>
  <c r="MZ197" i="1" s="1"/>
  <c r="L198" i="1"/>
  <c r="U198" i="1" s="1"/>
  <c r="AD198" i="1" s="1"/>
  <c r="AM198" i="1" s="1"/>
  <c r="AV198" i="1" s="1"/>
  <c r="BE198" i="1" s="1"/>
  <c r="BN198" i="1" s="1"/>
  <c r="BW198" i="1" s="1"/>
  <c r="CF198" i="1" s="1"/>
  <c r="CO198" i="1" s="1"/>
  <c r="CX198" i="1" s="1"/>
  <c r="DG198" i="1" s="1"/>
  <c r="DP198" i="1" s="1"/>
  <c r="DY198" i="1" s="1"/>
  <c r="EH198" i="1" s="1"/>
  <c r="EQ198" i="1" s="1"/>
  <c r="EZ198" i="1" s="1"/>
  <c r="FI198" i="1" s="1"/>
  <c r="FR198" i="1" s="1"/>
  <c r="GA198" i="1" s="1"/>
  <c r="GJ198" i="1" s="1"/>
  <c r="GS198" i="1" s="1"/>
  <c r="HB198" i="1" s="1"/>
  <c r="HK198" i="1" s="1"/>
  <c r="HU198" i="1" s="1"/>
  <c r="ID198" i="1" s="1"/>
  <c r="IM198" i="1" s="1"/>
  <c r="IV198" i="1" s="1"/>
  <c r="JE198" i="1" s="1"/>
  <c r="JN198" i="1" s="1"/>
  <c r="JW198" i="1" s="1"/>
  <c r="KF198" i="1" s="1"/>
  <c r="KO198" i="1" s="1"/>
  <c r="KX198" i="1" s="1"/>
  <c r="LG198" i="1" s="1"/>
  <c r="LP198" i="1" s="1"/>
  <c r="LY198" i="1" s="1"/>
  <c r="MH198" i="1" s="1"/>
  <c r="MQ198" i="1" s="1"/>
  <c r="MZ198" i="1" s="1"/>
  <c r="L199" i="1"/>
  <c r="U199" i="1" s="1"/>
  <c r="AD199" i="1" s="1"/>
  <c r="AM199" i="1" s="1"/>
  <c r="AV199" i="1" s="1"/>
  <c r="BE199" i="1" s="1"/>
  <c r="BN199" i="1" s="1"/>
  <c r="BW199" i="1" s="1"/>
  <c r="CF199" i="1" s="1"/>
  <c r="CO199" i="1" s="1"/>
  <c r="CX199" i="1" s="1"/>
  <c r="DG199" i="1" s="1"/>
  <c r="DP199" i="1" s="1"/>
  <c r="DY199" i="1" s="1"/>
  <c r="EH199" i="1" s="1"/>
  <c r="EQ199" i="1" s="1"/>
  <c r="EZ199" i="1" s="1"/>
  <c r="FI199" i="1" s="1"/>
  <c r="FR199" i="1" s="1"/>
  <c r="GA199" i="1" s="1"/>
  <c r="GJ199" i="1" s="1"/>
  <c r="GS199" i="1" s="1"/>
  <c r="HB199" i="1" s="1"/>
  <c r="HK199" i="1" s="1"/>
  <c r="HU199" i="1" s="1"/>
  <c r="ID199" i="1" s="1"/>
  <c r="IM199" i="1" s="1"/>
  <c r="IV199" i="1" s="1"/>
  <c r="JE199" i="1" s="1"/>
  <c r="JN199" i="1" s="1"/>
  <c r="JW199" i="1" s="1"/>
  <c r="KF199" i="1" s="1"/>
  <c r="KO199" i="1" s="1"/>
  <c r="KX199" i="1" s="1"/>
  <c r="LG199" i="1" s="1"/>
  <c r="LP199" i="1" s="1"/>
  <c r="LY199" i="1" s="1"/>
  <c r="MH199" i="1" s="1"/>
  <c r="MQ199" i="1" s="1"/>
  <c r="MZ199" i="1" s="1"/>
  <c r="L200" i="1"/>
  <c r="U200" i="1" s="1"/>
  <c r="AD200" i="1" s="1"/>
  <c r="AM200" i="1" s="1"/>
  <c r="AV200" i="1" s="1"/>
  <c r="BE200" i="1" s="1"/>
  <c r="BN200" i="1" s="1"/>
  <c r="BW200" i="1" s="1"/>
  <c r="CF200" i="1" s="1"/>
  <c r="CO200" i="1" s="1"/>
  <c r="CX200" i="1" s="1"/>
  <c r="DG200" i="1" s="1"/>
  <c r="DP200" i="1" s="1"/>
  <c r="DY200" i="1" s="1"/>
  <c r="EH200" i="1" s="1"/>
  <c r="EQ200" i="1" s="1"/>
  <c r="EZ200" i="1" s="1"/>
  <c r="FI200" i="1" s="1"/>
  <c r="FR200" i="1" s="1"/>
  <c r="GA200" i="1" s="1"/>
  <c r="GJ200" i="1" s="1"/>
  <c r="GS200" i="1" s="1"/>
  <c r="HB200" i="1" s="1"/>
  <c r="HK200" i="1" s="1"/>
  <c r="HU200" i="1" s="1"/>
  <c r="ID200" i="1" s="1"/>
  <c r="IM200" i="1" s="1"/>
  <c r="IV200" i="1" s="1"/>
  <c r="JE200" i="1" s="1"/>
  <c r="JN200" i="1" s="1"/>
  <c r="JW200" i="1" s="1"/>
  <c r="KF200" i="1" s="1"/>
  <c r="KO200" i="1" s="1"/>
  <c r="KX200" i="1" s="1"/>
  <c r="LG200" i="1" s="1"/>
  <c r="LP200" i="1" s="1"/>
  <c r="LY200" i="1" s="1"/>
  <c r="MH200" i="1" s="1"/>
  <c r="MQ200" i="1" s="1"/>
  <c r="MZ200" i="1" s="1"/>
  <c r="L201" i="1"/>
  <c r="U201" i="1" s="1"/>
  <c r="AD201" i="1" s="1"/>
  <c r="AM201" i="1" s="1"/>
  <c r="AV201" i="1" s="1"/>
  <c r="BE201" i="1" s="1"/>
  <c r="BN201" i="1" s="1"/>
  <c r="BW201" i="1" s="1"/>
  <c r="CF201" i="1" s="1"/>
  <c r="CO201" i="1" s="1"/>
  <c r="CX201" i="1" s="1"/>
  <c r="DG201" i="1" s="1"/>
  <c r="DP201" i="1" s="1"/>
  <c r="DY201" i="1" s="1"/>
  <c r="EH201" i="1" s="1"/>
  <c r="EQ201" i="1" s="1"/>
  <c r="EZ201" i="1" s="1"/>
  <c r="FI201" i="1" s="1"/>
  <c r="FR201" i="1" s="1"/>
  <c r="GA201" i="1" s="1"/>
  <c r="GJ201" i="1" s="1"/>
  <c r="GS201" i="1" s="1"/>
  <c r="HB201" i="1" s="1"/>
  <c r="HK201" i="1" s="1"/>
  <c r="HU201" i="1" s="1"/>
  <c r="ID201" i="1" s="1"/>
  <c r="IM201" i="1" s="1"/>
  <c r="IV201" i="1" s="1"/>
  <c r="JE201" i="1" s="1"/>
  <c r="JN201" i="1" s="1"/>
  <c r="JW201" i="1" s="1"/>
  <c r="KF201" i="1" s="1"/>
  <c r="KO201" i="1" s="1"/>
  <c r="KX201" i="1" s="1"/>
  <c r="LG201" i="1" s="1"/>
  <c r="LP201" i="1" s="1"/>
  <c r="LY201" i="1" s="1"/>
  <c r="MH201" i="1" s="1"/>
  <c r="MQ201" i="1" s="1"/>
  <c r="MZ201" i="1" s="1"/>
  <c r="L202" i="1"/>
  <c r="U202" i="1" s="1"/>
  <c r="AD202" i="1" s="1"/>
  <c r="AM202" i="1" s="1"/>
  <c r="AV202" i="1" s="1"/>
  <c r="BE202" i="1" s="1"/>
  <c r="BN202" i="1" s="1"/>
  <c r="BW202" i="1" s="1"/>
  <c r="CF202" i="1" s="1"/>
  <c r="CO202" i="1" s="1"/>
  <c r="CX202" i="1" s="1"/>
  <c r="DG202" i="1" s="1"/>
  <c r="DP202" i="1" s="1"/>
  <c r="DY202" i="1" s="1"/>
  <c r="EH202" i="1" s="1"/>
  <c r="EQ202" i="1" s="1"/>
  <c r="EZ202" i="1" s="1"/>
  <c r="FI202" i="1" s="1"/>
  <c r="FR202" i="1" s="1"/>
  <c r="GA202" i="1" s="1"/>
  <c r="GJ202" i="1" s="1"/>
  <c r="GS202" i="1" s="1"/>
  <c r="HB202" i="1" s="1"/>
  <c r="HK202" i="1" s="1"/>
  <c r="HU202" i="1" s="1"/>
  <c r="ID202" i="1" s="1"/>
  <c r="IM202" i="1" s="1"/>
  <c r="IV202" i="1" s="1"/>
  <c r="JE202" i="1" s="1"/>
  <c r="JN202" i="1" s="1"/>
  <c r="JW202" i="1" s="1"/>
  <c r="KF202" i="1" s="1"/>
  <c r="KO202" i="1" s="1"/>
  <c r="KX202" i="1" s="1"/>
  <c r="LG202" i="1" s="1"/>
  <c r="LP202" i="1" s="1"/>
  <c r="LY202" i="1" s="1"/>
  <c r="MH202" i="1" s="1"/>
  <c r="MQ202" i="1" s="1"/>
  <c r="MZ202" i="1" s="1"/>
  <c r="L203" i="1"/>
  <c r="U203" i="1" s="1"/>
  <c r="AD203" i="1" s="1"/>
  <c r="AM203" i="1" s="1"/>
  <c r="AV203" i="1" s="1"/>
  <c r="BE203" i="1" s="1"/>
  <c r="BN203" i="1" s="1"/>
  <c r="BW203" i="1" s="1"/>
  <c r="CF203" i="1" s="1"/>
  <c r="CO203" i="1" s="1"/>
  <c r="CX203" i="1" s="1"/>
  <c r="DG203" i="1" s="1"/>
  <c r="DP203" i="1" s="1"/>
  <c r="DY203" i="1" s="1"/>
  <c r="EH203" i="1" s="1"/>
  <c r="EQ203" i="1" s="1"/>
  <c r="EZ203" i="1" s="1"/>
  <c r="FI203" i="1" s="1"/>
  <c r="FR203" i="1" s="1"/>
  <c r="GA203" i="1" s="1"/>
  <c r="GJ203" i="1" s="1"/>
  <c r="GS203" i="1" s="1"/>
  <c r="HB203" i="1" s="1"/>
  <c r="HK203" i="1" s="1"/>
  <c r="HU203" i="1" s="1"/>
  <c r="ID203" i="1" s="1"/>
  <c r="IM203" i="1" s="1"/>
  <c r="IV203" i="1" s="1"/>
  <c r="JE203" i="1" s="1"/>
  <c r="JN203" i="1" s="1"/>
  <c r="JW203" i="1" s="1"/>
  <c r="KF203" i="1" s="1"/>
  <c r="KO203" i="1" s="1"/>
  <c r="KX203" i="1" s="1"/>
  <c r="LG203" i="1" s="1"/>
  <c r="LP203" i="1" s="1"/>
  <c r="LY203" i="1" s="1"/>
  <c r="MH203" i="1" s="1"/>
  <c r="MQ203" i="1" s="1"/>
  <c r="MZ203" i="1" s="1"/>
  <c r="L204" i="1"/>
  <c r="U204" i="1" s="1"/>
  <c r="AD204" i="1" s="1"/>
  <c r="AM204" i="1" s="1"/>
  <c r="AV204" i="1" s="1"/>
  <c r="BE204" i="1" s="1"/>
  <c r="BN204" i="1" s="1"/>
  <c r="BW204" i="1" s="1"/>
  <c r="CF204" i="1" s="1"/>
  <c r="CO204" i="1" s="1"/>
  <c r="CX204" i="1" s="1"/>
  <c r="DG204" i="1" s="1"/>
  <c r="DP204" i="1" s="1"/>
  <c r="DY204" i="1" s="1"/>
  <c r="EH204" i="1" s="1"/>
  <c r="EQ204" i="1" s="1"/>
  <c r="EZ204" i="1" s="1"/>
  <c r="FI204" i="1" s="1"/>
  <c r="FR204" i="1" s="1"/>
  <c r="GA204" i="1" s="1"/>
  <c r="GJ204" i="1" s="1"/>
  <c r="GS204" i="1" s="1"/>
  <c r="HB204" i="1" s="1"/>
  <c r="HK204" i="1" s="1"/>
  <c r="HU204" i="1" s="1"/>
  <c r="ID204" i="1" s="1"/>
  <c r="IM204" i="1" s="1"/>
  <c r="IV204" i="1" s="1"/>
  <c r="JE204" i="1" s="1"/>
  <c r="JN204" i="1" s="1"/>
  <c r="JW204" i="1" s="1"/>
  <c r="KF204" i="1" s="1"/>
  <c r="KO204" i="1" s="1"/>
  <c r="KX204" i="1" s="1"/>
  <c r="LG204" i="1" s="1"/>
  <c r="LP204" i="1" s="1"/>
  <c r="LY204" i="1" s="1"/>
  <c r="MH204" i="1" s="1"/>
  <c r="MQ204" i="1" s="1"/>
  <c r="MZ204" i="1" s="1"/>
  <c r="L205" i="1"/>
  <c r="U205" i="1" s="1"/>
  <c r="AD205" i="1" s="1"/>
  <c r="AM205" i="1" s="1"/>
  <c r="AV205" i="1" s="1"/>
  <c r="BE205" i="1" s="1"/>
  <c r="BN205" i="1" s="1"/>
  <c r="BW205" i="1" s="1"/>
  <c r="CF205" i="1" s="1"/>
  <c r="CO205" i="1" s="1"/>
  <c r="CX205" i="1" s="1"/>
  <c r="DG205" i="1" s="1"/>
  <c r="DP205" i="1" s="1"/>
  <c r="DY205" i="1" s="1"/>
  <c r="EH205" i="1" s="1"/>
  <c r="EQ205" i="1" s="1"/>
  <c r="EZ205" i="1" s="1"/>
  <c r="FI205" i="1" s="1"/>
  <c r="FR205" i="1" s="1"/>
  <c r="GA205" i="1" s="1"/>
  <c r="GJ205" i="1" s="1"/>
  <c r="GS205" i="1" s="1"/>
  <c r="HB205" i="1" s="1"/>
  <c r="HK205" i="1" s="1"/>
  <c r="HU205" i="1" s="1"/>
  <c r="ID205" i="1" s="1"/>
  <c r="IM205" i="1" s="1"/>
  <c r="IV205" i="1" s="1"/>
  <c r="JE205" i="1" s="1"/>
  <c r="JN205" i="1" s="1"/>
  <c r="JW205" i="1" s="1"/>
  <c r="KF205" i="1" s="1"/>
  <c r="KO205" i="1" s="1"/>
  <c r="KX205" i="1" s="1"/>
  <c r="LG205" i="1" s="1"/>
  <c r="LP205" i="1" s="1"/>
  <c r="LY205" i="1" s="1"/>
  <c r="MH205" i="1" s="1"/>
  <c r="MQ205" i="1" s="1"/>
  <c r="MZ205" i="1" s="1"/>
  <c r="L206" i="1"/>
  <c r="U206" i="1" s="1"/>
  <c r="AD206" i="1" s="1"/>
  <c r="AM206" i="1" s="1"/>
  <c r="AV206" i="1" s="1"/>
  <c r="BE206" i="1" s="1"/>
  <c r="BN206" i="1" s="1"/>
  <c r="BW206" i="1" s="1"/>
  <c r="CF206" i="1" s="1"/>
  <c r="CO206" i="1" s="1"/>
  <c r="CX206" i="1" s="1"/>
  <c r="DG206" i="1" s="1"/>
  <c r="DP206" i="1" s="1"/>
  <c r="DY206" i="1" s="1"/>
  <c r="EH206" i="1" s="1"/>
  <c r="EQ206" i="1" s="1"/>
  <c r="EZ206" i="1" s="1"/>
  <c r="FI206" i="1" s="1"/>
  <c r="FR206" i="1" s="1"/>
  <c r="GA206" i="1" s="1"/>
  <c r="GJ206" i="1" s="1"/>
  <c r="GS206" i="1" s="1"/>
  <c r="HB206" i="1" s="1"/>
  <c r="HK206" i="1" s="1"/>
  <c r="HU206" i="1" s="1"/>
  <c r="ID206" i="1" s="1"/>
  <c r="IM206" i="1" s="1"/>
  <c r="IV206" i="1" s="1"/>
  <c r="JE206" i="1" s="1"/>
  <c r="JN206" i="1" s="1"/>
  <c r="JW206" i="1" s="1"/>
  <c r="KF206" i="1" s="1"/>
  <c r="KO206" i="1" s="1"/>
  <c r="KX206" i="1" s="1"/>
  <c r="LG206" i="1" s="1"/>
  <c r="LP206" i="1" s="1"/>
  <c r="LY206" i="1" s="1"/>
  <c r="MH206" i="1" s="1"/>
  <c r="MQ206" i="1" s="1"/>
  <c r="MZ206" i="1" s="1"/>
  <c r="L207" i="1"/>
  <c r="U207" i="1" s="1"/>
  <c r="AD207" i="1" s="1"/>
  <c r="AM207" i="1" s="1"/>
  <c r="AV207" i="1" s="1"/>
  <c r="BE207" i="1" s="1"/>
  <c r="BN207" i="1" s="1"/>
  <c r="BW207" i="1" s="1"/>
  <c r="CF207" i="1" s="1"/>
  <c r="CO207" i="1" s="1"/>
  <c r="CX207" i="1" s="1"/>
  <c r="DG207" i="1" s="1"/>
  <c r="DP207" i="1" s="1"/>
  <c r="DY207" i="1" s="1"/>
  <c r="EH207" i="1" s="1"/>
  <c r="EQ207" i="1" s="1"/>
  <c r="EZ207" i="1" s="1"/>
  <c r="FI207" i="1" s="1"/>
  <c r="FR207" i="1" s="1"/>
  <c r="GA207" i="1" s="1"/>
  <c r="GJ207" i="1" s="1"/>
  <c r="GS207" i="1" s="1"/>
  <c r="HB207" i="1" s="1"/>
  <c r="HK207" i="1" s="1"/>
  <c r="HU207" i="1" s="1"/>
  <c r="ID207" i="1" s="1"/>
  <c r="IM207" i="1" s="1"/>
  <c r="IV207" i="1" s="1"/>
  <c r="JE207" i="1" s="1"/>
  <c r="JN207" i="1" s="1"/>
  <c r="JW207" i="1" s="1"/>
  <c r="KF207" i="1" s="1"/>
  <c r="KO207" i="1" s="1"/>
  <c r="KX207" i="1" s="1"/>
  <c r="LG207" i="1" s="1"/>
  <c r="LP207" i="1" s="1"/>
  <c r="LY207" i="1" s="1"/>
  <c r="MH207" i="1" s="1"/>
  <c r="MQ207" i="1" s="1"/>
  <c r="MZ207" i="1" s="1"/>
  <c r="L208" i="1"/>
  <c r="U208" i="1" s="1"/>
  <c r="AD208" i="1" s="1"/>
  <c r="AM208" i="1" s="1"/>
  <c r="AV208" i="1" s="1"/>
  <c r="BE208" i="1" s="1"/>
  <c r="BN208" i="1" s="1"/>
  <c r="BW208" i="1" s="1"/>
  <c r="CF208" i="1" s="1"/>
  <c r="CO208" i="1" s="1"/>
  <c r="CX208" i="1" s="1"/>
  <c r="DG208" i="1" s="1"/>
  <c r="DP208" i="1" s="1"/>
  <c r="DY208" i="1" s="1"/>
  <c r="EH208" i="1" s="1"/>
  <c r="EQ208" i="1" s="1"/>
  <c r="EZ208" i="1" s="1"/>
  <c r="FI208" i="1" s="1"/>
  <c r="FR208" i="1" s="1"/>
  <c r="GA208" i="1" s="1"/>
  <c r="GJ208" i="1" s="1"/>
  <c r="GS208" i="1" s="1"/>
  <c r="HB208" i="1" s="1"/>
  <c r="HK208" i="1" s="1"/>
  <c r="HU208" i="1" s="1"/>
  <c r="ID208" i="1" s="1"/>
  <c r="IM208" i="1" s="1"/>
  <c r="IV208" i="1" s="1"/>
  <c r="JE208" i="1" s="1"/>
  <c r="JN208" i="1" s="1"/>
  <c r="JW208" i="1" s="1"/>
  <c r="KF208" i="1" s="1"/>
  <c r="KO208" i="1" s="1"/>
  <c r="KX208" i="1" s="1"/>
  <c r="LG208" i="1" s="1"/>
  <c r="LP208" i="1" s="1"/>
  <c r="LY208" i="1" s="1"/>
  <c r="MH208" i="1" s="1"/>
  <c r="MQ208" i="1" s="1"/>
  <c r="MZ208" i="1" s="1"/>
  <c r="L209" i="1"/>
  <c r="U209" i="1" s="1"/>
  <c r="AD209" i="1" s="1"/>
  <c r="AM209" i="1" s="1"/>
  <c r="AV209" i="1" s="1"/>
  <c r="BE209" i="1" s="1"/>
  <c r="BN209" i="1" s="1"/>
  <c r="BW209" i="1" s="1"/>
  <c r="CF209" i="1" s="1"/>
  <c r="CO209" i="1" s="1"/>
  <c r="CX209" i="1" s="1"/>
  <c r="DG209" i="1" s="1"/>
  <c r="DP209" i="1" s="1"/>
  <c r="DY209" i="1" s="1"/>
  <c r="EH209" i="1" s="1"/>
  <c r="EQ209" i="1" s="1"/>
  <c r="EZ209" i="1" s="1"/>
  <c r="FI209" i="1" s="1"/>
  <c r="FR209" i="1" s="1"/>
  <c r="GA209" i="1" s="1"/>
  <c r="GJ209" i="1" s="1"/>
  <c r="GS209" i="1" s="1"/>
  <c r="HB209" i="1" s="1"/>
  <c r="HK209" i="1" s="1"/>
  <c r="HU209" i="1" s="1"/>
  <c r="ID209" i="1" s="1"/>
  <c r="IM209" i="1" s="1"/>
  <c r="IV209" i="1" s="1"/>
  <c r="JE209" i="1" s="1"/>
  <c r="JN209" i="1" s="1"/>
  <c r="JW209" i="1" s="1"/>
  <c r="KF209" i="1" s="1"/>
  <c r="KO209" i="1" s="1"/>
  <c r="KX209" i="1" s="1"/>
  <c r="LG209" i="1" s="1"/>
  <c r="LP209" i="1" s="1"/>
  <c r="LY209" i="1" s="1"/>
  <c r="MH209" i="1" s="1"/>
  <c r="MQ209" i="1" s="1"/>
  <c r="MZ209" i="1" s="1"/>
  <c r="L210" i="1"/>
  <c r="U210" i="1" s="1"/>
  <c r="AD210" i="1" s="1"/>
  <c r="AM210" i="1" s="1"/>
  <c r="AV210" i="1" s="1"/>
  <c r="BE210" i="1" s="1"/>
  <c r="BN210" i="1" s="1"/>
  <c r="BW210" i="1" s="1"/>
  <c r="CF210" i="1" s="1"/>
  <c r="CO210" i="1" s="1"/>
  <c r="CX210" i="1" s="1"/>
  <c r="DG210" i="1" s="1"/>
  <c r="DP210" i="1" s="1"/>
  <c r="DY210" i="1" s="1"/>
  <c r="EH210" i="1" s="1"/>
  <c r="EQ210" i="1" s="1"/>
  <c r="EZ210" i="1" s="1"/>
  <c r="FI210" i="1" s="1"/>
  <c r="FR210" i="1" s="1"/>
  <c r="GA210" i="1" s="1"/>
  <c r="GJ210" i="1" s="1"/>
  <c r="GS210" i="1" s="1"/>
  <c r="HB210" i="1" s="1"/>
  <c r="HK210" i="1" s="1"/>
  <c r="HU210" i="1" s="1"/>
  <c r="ID210" i="1" s="1"/>
  <c r="IM210" i="1" s="1"/>
  <c r="IV210" i="1" s="1"/>
  <c r="JE210" i="1" s="1"/>
  <c r="JN210" i="1" s="1"/>
  <c r="JW210" i="1" s="1"/>
  <c r="KF210" i="1" s="1"/>
  <c r="KO210" i="1" s="1"/>
  <c r="KX210" i="1" s="1"/>
  <c r="LG210" i="1" s="1"/>
  <c r="LP210" i="1" s="1"/>
  <c r="LY210" i="1" s="1"/>
  <c r="MH210" i="1" s="1"/>
  <c r="MQ210" i="1" s="1"/>
  <c r="MZ210" i="1" s="1"/>
  <c r="L211" i="1"/>
  <c r="U211" i="1" s="1"/>
  <c r="AD211" i="1" s="1"/>
  <c r="AM211" i="1" s="1"/>
  <c r="AV211" i="1" s="1"/>
  <c r="BE211" i="1" s="1"/>
  <c r="BN211" i="1" s="1"/>
  <c r="BW211" i="1" s="1"/>
  <c r="CF211" i="1" s="1"/>
  <c r="CO211" i="1" s="1"/>
  <c r="CX211" i="1" s="1"/>
  <c r="DG211" i="1" s="1"/>
  <c r="DP211" i="1" s="1"/>
  <c r="DY211" i="1" s="1"/>
  <c r="EH211" i="1" s="1"/>
  <c r="EQ211" i="1" s="1"/>
  <c r="EZ211" i="1" s="1"/>
  <c r="FI211" i="1" s="1"/>
  <c r="FR211" i="1" s="1"/>
  <c r="GA211" i="1" s="1"/>
  <c r="GJ211" i="1" s="1"/>
  <c r="GS211" i="1" s="1"/>
  <c r="HB211" i="1" s="1"/>
  <c r="HK211" i="1" s="1"/>
  <c r="HU211" i="1" s="1"/>
  <c r="ID211" i="1" s="1"/>
  <c r="IM211" i="1" s="1"/>
  <c r="IV211" i="1" s="1"/>
  <c r="JE211" i="1" s="1"/>
  <c r="JN211" i="1" s="1"/>
  <c r="JW211" i="1" s="1"/>
  <c r="KF211" i="1" s="1"/>
  <c r="KO211" i="1" s="1"/>
  <c r="KX211" i="1" s="1"/>
  <c r="LG211" i="1" s="1"/>
  <c r="LP211" i="1" s="1"/>
  <c r="LY211" i="1" s="1"/>
  <c r="MH211" i="1" s="1"/>
  <c r="MQ211" i="1" s="1"/>
  <c r="MZ211" i="1" s="1"/>
  <c r="L212" i="1"/>
  <c r="U212" i="1" s="1"/>
  <c r="AD212" i="1" s="1"/>
  <c r="AM212" i="1" s="1"/>
  <c r="AV212" i="1" s="1"/>
  <c r="BE212" i="1" s="1"/>
  <c r="BN212" i="1" s="1"/>
  <c r="BW212" i="1" s="1"/>
  <c r="CF212" i="1" s="1"/>
  <c r="CO212" i="1" s="1"/>
  <c r="CX212" i="1" s="1"/>
  <c r="DG212" i="1" s="1"/>
  <c r="DP212" i="1" s="1"/>
  <c r="DY212" i="1" s="1"/>
  <c r="EH212" i="1" s="1"/>
  <c r="EQ212" i="1" s="1"/>
  <c r="EZ212" i="1" s="1"/>
  <c r="FI212" i="1" s="1"/>
  <c r="FR212" i="1" s="1"/>
  <c r="GA212" i="1" s="1"/>
  <c r="GJ212" i="1" s="1"/>
  <c r="GS212" i="1" s="1"/>
  <c r="HB212" i="1" s="1"/>
  <c r="HK212" i="1" s="1"/>
  <c r="HU212" i="1" s="1"/>
  <c r="ID212" i="1" s="1"/>
  <c r="IM212" i="1" s="1"/>
  <c r="IV212" i="1" s="1"/>
  <c r="JE212" i="1" s="1"/>
  <c r="JN212" i="1" s="1"/>
  <c r="JW212" i="1" s="1"/>
  <c r="KF212" i="1" s="1"/>
  <c r="KO212" i="1" s="1"/>
  <c r="KX212" i="1" s="1"/>
  <c r="LG212" i="1" s="1"/>
  <c r="LP212" i="1" s="1"/>
  <c r="LY212" i="1" s="1"/>
  <c r="MH212" i="1" s="1"/>
  <c r="MQ212" i="1" s="1"/>
  <c r="MZ212" i="1" s="1"/>
  <c r="L183" i="1"/>
  <c r="U183" i="1" s="1"/>
  <c r="AD183" i="1" s="1"/>
  <c r="AM183" i="1" s="1"/>
  <c r="AV183" i="1" s="1"/>
  <c r="BE183" i="1" s="1"/>
  <c r="BN183" i="1" s="1"/>
  <c r="BW183" i="1" s="1"/>
  <c r="CF183" i="1" s="1"/>
  <c r="CO183" i="1" s="1"/>
  <c r="CX183" i="1" s="1"/>
  <c r="DG183" i="1" s="1"/>
  <c r="DP183" i="1" s="1"/>
  <c r="DY183" i="1" s="1"/>
  <c r="EH183" i="1" s="1"/>
  <c r="EQ183" i="1" s="1"/>
  <c r="EZ183" i="1" s="1"/>
  <c r="FI183" i="1" s="1"/>
  <c r="FR183" i="1" s="1"/>
  <c r="GA183" i="1" s="1"/>
  <c r="GJ183" i="1" s="1"/>
  <c r="GS183" i="1" s="1"/>
  <c r="HB183" i="1" s="1"/>
  <c r="HK183" i="1" s="1"/>
  <c r="HU183" i="1" s="1"/>
  <c r="ID183" i="1" s="1"/>
  <c r="IM183" i="1" s="1"/>
  <c r="IV183" i="1" s="1"/>
  <c r="JE183" i="1" s="1"/>
  <c r="JN183" i="1" s="1"/>
  <c r="JW183" i="1" s="1"/>
  <c r="KF183" i="1" s="1"/>
  <c r="KO183" i="1" s="1"/>
  <c r="KX183" i="1" s="1"/>
  <c r="LG183" i="1" s="1"/>
  <c r="LP183" i="1" s="1"/>
  <c r="LY183" i="1" s="1"/>
  <c r="MH183" i="1" s="1"/>
  <c r="MQ183" i="1" s="1"/>
  <c r="MZ183" i="1" s="1"/>
  <c r="L148" i="1"/>
  <c r="U148" i="1" s="1"/>
  <c r="AD148" i="1" s="1"/>
  <c r="AM148" i="1" s="1"/>
  <c r="AV148" i="1" s="1"/>
  <c r="BE148" i="1" s="1"/>
  <c r="BN148" i="1" s="1"/>
  <c r="BW148" i="1" s="1"/>
  <c r="CF148" i="1" s="1"/>
  <c r="CO148" i="1" s="1"/>
  <c r="CX148" i="1" s="1"/>
  <c r="DG148" i="1" s="1"/>
  <c r="DP148" i="1" s="1"/>
  <c r="DY148" i="1" s="1"/>
  <c r="EH148" i="1" s="1"/>
  <c r="EQ148" i="1" s="1"/>
  <c r="EZ148" i="1" s="1"/>
  <c r="FI148" i="1" s="1"/>
  <c r="FR148" i="1" s="1"/>
  <c r="GA148" i="1" s="1"/>
  <c r="GJ148" i="1" s="1"/>
  <c r="GS148" i="1" s="1"/>
  <c r="HB148" i="1" s="1"/>
  <c r="HK148" i="1" s="1"/>
  <c r="HU148" i="1" s="1"/>
  <c r="ID148" i="1" s="1"/>
  <c r="IM148" i="1" s="1"/>
  <c r="IV148" i="1" s="1"/>
  <c r="JE148" i="1" s="1"/>
  <c r="JN148" i="1" s="1"/>
  <c r="JW148" i="1" s="1"/>
  <c r="KF148" i="1" s="1"/>
  <c r="KO148" i="1" s="1"/>
  <c r="KX148" i="1" s="1"/>
  <c r="LG148" i="1" s="1"/>
  <c r="LP148" i="1" s="1"/>
  <c r="LY148" i="1" s="1"/>
  <c r="MH148" i="1" s="1"/>
  <c r="MQ148" i="1" s="1"/>
  <c r="MZ148" i="1" s="1"/>
  <c r="L149" i="1"/>
  <c r="U149" i="1" s="1"/>
  <c r="AD149" i="1" s="1"/>
  <c r="AM149" i="1" s="1"/>
  <c r="AV149" i="1" s="1"/>
  <c r="BE149" i="1" s="1"/>
  <c r="BN149" i="1" s="1"/>
  <c r="BW149" i="1" s="1"/>
  <c r="CF149" i="1" s="1"/>
  <c r="CO149" i="1" s="1"/>
  <c r="CX149" i="1" s="1"/>
  <c r="DG149" i="1" s="1"/>
  <c r="DP149" i="1" s="1"/>
  <c r="DY149" i="1" s="1"/>
  <c r="EH149" i="1" s="1"/>
  <c r="EQ149" i="1" s="1"/>
  <c r="EZ149" i="1" s="1"/>
  <c r="FI149" i="1" s="1"/>
  <c r="FR149" i="1" s="1"/>
  <c r="GA149" i="1" s="1"/>
  <c r="GJ149" i="1" s="1"/>
  <c r="GS149" i="1" s="1"/>
  <c r="HB149" i="1" s="1"/>
  <c r="HK149" i="1" s="1"/>
  <c r="HU149" i="1" s="1"/>
  <c r="ID149" i="1" s="1"/>
  <c r="IM149" i="1" s="1"/>
  <c r="IV149" i="1" s="1"/>
  <c r="JE149" i="1" s="1"/>
  <c r="JN149" i="1" s="1"/>
  <c r="JW149" i="1" s="1"/>
  <c r="KF149" i="1" s="1"/>
  <c r="KO149" i="1" s="1"/>
  <c r="KX149" i="1" s="1"/>
  <c r="LG149" i="1" s="1"/>
  <c r="LP149" i="1" s="1"/>
  <c r="LY149" i="1" s="1"/>
  <c r="MH149" i="1" s="1"/>
  <c r="MQ149" i="1" s="1"/>
  <c r="MZ149" i="1" s="1"/>
  <c r="L150" i="1"/>
  <c r="U150" i="1" s="1"/>
  <c r="AD150" i="1" s="1"/>
  <c r="AM150" i="1" s="1"/>
  <c r="AV150" i="1" s="1"/>
  <c r="BE150" i="1" s="1"/>
  <c r="BN150" i="1" s="1"/>
  <c r="BW150" i="1" s="1"/>
  <c r="CF150" i="1" s="1"/>
  <c r="CO150" i="1" s="1"/>
  <c r="CX150" i="1" s="1"/>
  <c r="DG150" i="1" s="1"/>
  <c r="DP150" i="1" s="1"/>
  <c r="DY150" i="1" s="1"/>
  <c r="EH150" i="1" s="1"/>
  <c r="EQ150" i="1" s="1"/>
  <c r="EZ150" i="1" s="1"/>
  <c r="FI150" i="1" s="1"/>
  <c r="FR150" i="1" s="1"/>
  <c r="GA150" i="1" s="1"/>
  <c r="GJ150" i="1" s="1"/>
  <c r="GS150" i="1" s="1"/>
  <c r="HB150" i="1" s="1"/>
  <c r="HK150" i="1" s="1"/>
  <c r="HU150" i="1" s="1"/>
  <c r="ID150" i="1" s="1"/>
  <c r="IM150" i="1" s="1"/>
  <c r="IV150" i="1" s="1"/>
  <c r="JE150" i="1" s="1"/>
  <c r="JN150" i="1" s="1"/>
  <c r="JW150" i="1" s="1"/>
  <c r="KF150" i="1" s="1"/>
  <c r="KO150" i="1" s="1"/>
  <c r="KX150" i="1" s="1"/>
  <c r="LG150" i="1" s="1"/>
  <c r="LP150" i="1" s="1"/>
  <c r="LY150" i="1" s="1"/>
  <c r="MH150" i="1" s="1"/>
  <c r="MQ150" i="1" s="1"/>
  <c r="MZ150" i="1" s="1"/>
  <c r="L151" i="1"/>
  <c r="U151" i="1" s="1"/>
  <c r="AD151" i="1" s="1"/>
  <c r="AM151" i="1" s="1"/>
  <c r="AV151" i="1" s="1"/>
  <c r="BE151" i="1" s="1"/>
  <c r="BN151" i="1" s="1"/>
  <c r="BW151" i="1" s="1"/>
  <c r="CF151" i="1" s="1"/>
  <c r="CO151" i="1" s="1"/>
  <c r="CX151" i="1" s="1"/>
  <c r="DG151" i="1" s="1"/>
  <c r="DP151" i="1" s="1"/>
  <c r="DY151" i="1" s="1"/>
  <c r="EH151" i="1" s="1"/>
  <c r="EQ151" i="1" s="1"/>
  <c r="EZ151" i="1" s="1"/>
  <c r="FI151" i="1" s="1"/>
  <c r="FR151" i="1" s="1"/>
  <c r="GA151" i="1" s="1"/>
  <c r="GJ151" i="1" s="1"/>
  <c r="GS151" i="1" s="1"/>
  <c r="HB151" i="1" s="1"/>
  <c r="HK151" i="1" s="1"/>
  <c r="HU151" i="1" s="1"/>
  <c r="ID151" i="1" s="1"/>
  <c r="IM151" i="1" s="1"/>
  <c r="IV151" i="1" s="1"/>
  <c r="JE151" i="1" s="1"/>
  <c r="JN151" i="1" s="1"/>
  <c r="JW151" i="1" s="1"/>
  <c r="KF151" i="1" s="1"/>
  <c r="KO151" i="1" s="1"/>
  <c r="KX151" i="1" s="1"/>
  <c r="LG151" i="1" s="1"/>
  <c r="LP151" i="1" s="1"/>
  <c r="LY151" i="1" s="1"/>
  <c r="MH151" i="1" s="1"/>
  <c r="MQ151" i="1" s="1"/>
  <c r="MZ151" i="1" s="1"/>
  <c r="L152" i="1"/>
  <c r="U152" i="1" s="1"/>
  <c r="AD152" i="1" s="1"/>
  <c r="AM152" i="1" s="1"/>
  <c r="AV152" i="1" s="1"/>
  <c r="BE152" i="1" s="1"/>
  <c r="BN152" i="1" s="1"/>
  <c r="BW152" i="1" s="1"/>
  <c r="CF152" i="1" s="1"/>
  <c r="CO152" i="1" s="1"/>
  <c r="CX152" i="1" s="1"/>
  <c r="DG152" i="1" s="1"/>
  <c r="DP152" i="1" s="1"/>
  <c r="DY152" i="1" s="1"/>
  <c r="EH152" i="1" s="1"/>
  <c r="EQ152" i="1" s="1"/>
  <c r="EZ152" i="1" s="1"/>
  <c r="FI152" i="1" s="1"/>
  <c r="FR152" i="1" s="1"/>
  <c r="GA152" i="1" s="1"/>
  <c r="GJ152" i="1" s="1"/>
  <c r="GS152" i="1" s="1"/>
  <c r="HB152" i="1" s="1"/>
  <c r="HK152" i="1" s="1"/>
  <c r="HU152" i="1" s="1"/>
  <c r="ID152" i="1" s="1"/>
  <c r="IM152" i="1" s="1"/>
  <c r="IV152" i="1" s="1"/>
  <c r="JE152" i="1" s="1"/>
  <c r="JN152" i="1" s="1"/>
  <c r="JW152" i="1" s="1"/>
  <c r="KF152" i="1" s="1"/>
  <c r="KO152" i="1" s="1"/>
  <c r="KX152" i="1" s="1"/>
  <c r="LG152" i="1" s="1"/>
  <c r="LP152" i="1" s="1"/>
  <c r="LY152" i="1" s="1"/>
  <c r="MH152" i="1" s="1"/>
  <c r="MQ152" i="1" s="1"/>
  <c r="MZ152" i="1" s="1"/>
  <c r="L153" i="1"/>
  <c r="U153" i="1" s="1"/>
  <c r="AD153" i="1" s="1"/>
  <c r="AM153" i="1" s="1"/>
  <c r="AV153" i="1" s="1"/>
  <c r="BE153" i="1" s="1"/>
  <c r="BN153" i="1" s="1"/>
  <c r="BW153" i="1" s="1"/>
  <c r="CF153" i="1" s="1"/>
  <c r="CO153" i="1" s="1"/>
  <c r="CX153" i="1" s="1"/>
  <c r="DG153" i="1" s="1"/>
  <c r="DP153" i="1" s="1"/>
  <c r="DY153" i="1" s="1"/>
  <c r="EH153" i="1" s="1"/>
  <c r="EQ153" i="1" s="1"/>
  <c r="EZ153" i="1" s="1"/>
  <c r="FI153" i="1" s="1"/>
  <c r="FR153" i="1" s="1"/>
  <c r="GA153" i="1" s="1"/>
  <c r="GJ153" i="1" s="1"/>
  <c r="GS153" i="1" s="1"/>
  <c r="HB153" i="1" s="1"/>
  <c r="HK153" i="1" s="1"/>
  <c r="HU153" i="1" s="1"/>
  <c r="ID153" i="1" s="1"/>
  <c r="IM153" i="1" s="1"/>
  <c r="IV153" i="1" s="1"/>
  <c r="JE153" i="1" s="1"/>
  <c r="JN153" i="1" s="1"/>
  <c r="JW153" i="1" s="1"/>
  <c r="KF153" i="1" s="1"/>
  <c r="KO153" i="1" s="1"/>
  <c r="KX153" i="1" s="1"/>
  <c r="LG153" i="1" s="1"/>
  <c r="LP153" i="1" s="1"/>
  <c r="LY153" i="1" s="1"/>
  <c r="MH153" i="1" s="1"/>
  <c r="MQ153" i="1" s="1"/>
  <c r="MZ153" i="1" s="1"/>
  <c r="L154" i="1"/>
  <c r="U154" i="1" s="1"/>
  <c r="AD154" i="1" s="1"/>
  <c r="AM154" i="1" s="1"/>
  <c r="AV154" i="1" s="1"/>
  <c r="BE154" i="1" s="1"/>
  <c r="BN154" i="1" s="1"/>
  <c r="BW154" i="1" s="1"/>
  <c r="CF154" i="1" s="1"/>
  <c r="CO154" i="1" s="1"/>
  <c r="CX154" i="1" s="1"/>
  <c r="DG154" i="1" s="1"/>
  <c r="DP154" i="1" s="1"/>
  <c r="DY154" i="1" s="1"/>
  <c r="EH154" i="1" s="1"/>
  <c r="EQ154" i="1" s="1"/>
  <c r="EZ154" i="1" s="1"/>
  <c r="FI154" i="1" s="1"/>
  <c r="FR154" i="1" s="1"/>
  <c r="GA154" i="1" s="1"/>
  <c r="GJ154" i="1" s="1"/>
  <c r="GS154" i="1" s="1"/>
  <c r="HB154" i="1" s="1"/>
  <c r="HK154" i="1" s="1"/>
  <c r="HU154" i="1" s="1"/>
  <c r="ID154" i="1" s="1"/>
  <c r="IM154" i="1" s="1"/>
  <c r="IV154" i="1" s="1"/>
  <c r="JE154" i="1" s="1"/>
  <c r="JN154" i="1" s="1"/>
  <c r="JW154" i="1" s="1"/>
  <c r="KF154" i="1" s="1"/>
  <c r="KO154" i="1" s="1"/>
  <c r="KX154" i="1" s="1"/>
  <c r="LG154" i="1" s="1"/>
  <c r="LP154" i="1" s="1"/>
  <c r="LY154" i="1" s="1"/>
  <c r="MH154" i="1" s="1"/>
  <c r="MQ154" i="1" s="1"/>
  <c r="MZ154" i="1" s="1"/>
  <c r="L155" i="1"/>
  <c r="U155" i="1" s="1"/>
  <c r="AD155" i="1" s="1"/>
  <c r="AM155" i="1" s="1"/>
  <c r="AV155" i="1" s="1"/>
  <c r="BE155" i="1" s="1"/>
  <c r="BN155" i="1" s="1"/>
  <c r="BW155" i="1" s="1"/>
  <c r="CF155" i="1" s="1"/>
  <c r="CO155" i="1" s="1"/>
  <c r="CX155" i="1" s="1"/>
  <c r="DG155" i="1" s="1"/>
  <c r="DP155" i="1" s="1"/>
  <c r="DY155" i="1" s="1"/>
  <c r="EH155" i="1" s="1"/>
  <c r="EQ155" i="1" s="1"/>
  <c r="EZ155" i="1" s="1"/>
  <c r="FI155" i="1" s="1"/>
  <c r="FR155" i="1" s="1"/>
  <c r="GA155" i="1" s="1"/>
  <c r="GJ155" i="1" s="1"/>
  <c r="GS155" i="1" s="1"/>
  <c r="HB155" i="1" s="1"/>
  <c r="HK155" i="1" s="1"/>
  <c r="HU155" i="1" s="1"/>
  <c r="ID155" i="1" s="1"/>
  <c r="IM155" i="1" s="1"/>
  <c r="IV155" i="1" s="1"/>
  <c r="JE155" i="1" s="1"/>
  <c r="JN155" i="1" s="1"/>
  <c r="JW155" i="1" s="1"/>
  <c r="KF155" i="1" s="1"/>
  <c r="KO155" i="1" s="1"/>
  <c r="KX155" i="1" s="1"/>
  <c r="LG155" i="1" s="1"/>
  <c r="LP155" i="1" s="1"/>
  <c r="LY155" i="1" s="1"/>
  <c r="MH155" i="1" s="1"/>
  <c r="MQ155" i="1" s="1"/>
  <c r="MZ155" i="1" s="1"/>
  <c r="L156" i="1"/>
  <c r="U156" i="1" s="1"/>
  <c r="AD156" i="1" s="1"/>
  <c r="AM156" i="1" s="1"/>
  <c r="L157" i="1"/>
  <c r="U157" i="1" s="1"/>
  <c r="AD157" i="1" s="1"/>
  <c r="AM157" i="1" s="1"/>
  <c r="AV157" i="1" s="1"/>
  <c r="BE157" i="1" s="1"/>
  <c r="BN157" i="1" s="1"/>
  <c r="BW157" i="1" s="1"/>
  <c r="CF157" i="1" s="1"/>
  <c r="CO157" i="1" s="1"/>
  <c r="CX157" i="1" s="1"/>
  <c r="DG157" i="1" s="1"/>
  <c r="DP157" i="1" s="1"/>
  <c r="DY157" i="1" s="1"/>
  <c r="EH157" i="1" s="1"/>
  <c r="EQ157" i="1" s="1"/>
  <c r="EZ157" i="1" s="1"/>
  <c r="FI157" i="1" s="1"/>
  <c r="FR157" i="1" s="1"/>
  <c r="GA157" i="1" s="1"/>
  <c r="GJ157" i="1" s="1"/>
  <c r="GS157" i="1" s="1"/>
  <c r="HB157" i="1" s="1"/>
  <c r="HK157" i="1" s="1"/>
  <c r="HU157" i="1" s="1"/>
  <c r="ID157" i="1" s="1"/>
  <c r="IM157" i="1" s="1"/>
  <c r="IV157" i="1" s="1"/>
  <c r="JE157" i="1" s="1"/>
  <c r="JN157" i="1" s="1"/>
  <c r="JW157" i="1" s="1"/>
  <c r="KF157" i="1" s="1"/>
  <c r="KO157" i="1" s="1"/>
  <c r="KX157" i="1" s="1"/>
  <c r="LG157" i="1" s="1"/>
  <c r="LP157" i="1" s="1"/>
  <c r="LY157" i="1" s="1"/>
  <c r="MH157" i="1" s="1"/>
  <c r="MQ157" i="1" s="1"/>
  <c r="MZ157" i="1" s="1"/>
  <c r="L158" i="1"/>
  <c r="U158" i="1" s="1"/>
  <c r="AD158" i="1" s="1"/>
  <c r="AM158" i="1" s="1"/>
  <c r="AV158" i="1" s="1"/>
  <c r="BE158" i="1" s="1"/>
  <c r="BN158" i="1" s="1"/>
  <c r="BW158" i="1" s="1"/>
  <c r="CF158" i="1" s="1"/>
  <c r="CO158" i="1" s="1"/>
  <c r="CX158" i="1" s="1"/>
  <c r="DG158" i="1" s="1"/>
  <c r="DP158" i="1" s="1"/>
  <c r="DY158" i="1" s="1"/>
  <c r="EH158" i="1" s="1"/>
  <c r="EQ158" i="1" s="1"/>
  <c r="EZ158" i="1" s="1"/>
  <c r="FI158" i="1" s="1"/>
  <c r="FR158" i="1" s="1"/>
  <c r="GA158" i="1" s="1"/>
  <c r="GJ158" i="1" s="1"/>
  <c r="GS158" i="1" s="1"/>
  <c r="HB158" i="1" s="1"/>
  <c r="HK158" i="1" s="1"/>
  <c r="HU158" i="1" s="1"/>
  <c r="ID158" i="1" s="1"/>
  <c r="IM158" i="1" s="1"/>
  <c r="IV158" i="1" s="1"/>
  <c r="JE158" i="1" s="1"/>
  <c r="JN158" i="1" s="1"/>
  <c r="JW158" i="1" s="1"/>
  <c r="KF158" i="1" s="1"/>
  <c r="KO158" i="1" s="1"/>
  <c r="KX158" i="1" s="1"/>
  <c r="LG158" i="1" s="1"/>
  <c r="LP158" i="1" s="1"/>
  <c r="LY158" i="1" s="1"/>
  <c r="MH158" i="1" s="1"/>
  <c r="MQ158" i="1" s="1"/>
  <c r="MZ158" i="1" s="1"/>
  <c r="L159" i="1"/>
  <c r="U159" i="1" s="1"/>
  <c r="AD159" i="1" s="1"/>
  <c r="AM159" i="1" s="1"/>
  <c r="AV159" i="1" s="1"/>
  <c r="BE159" i="1" s="1"/>
  <c r="BN159" i="1" s="1"/>
  <c r="L160" i="1"/>
  <c r="U160" i="1" s="1"/>
  <c r="AD160" i="1" s="1"/>
  <c r="AM160" i="1" s="1"/>
  <c r="AV160" i="1" s="1"/>
  <c r="BE160" i="1" s="1"/>
  <c r="BN160" i="1" s="1"/>
  <c r="BW160" i="1" s="1"/>
  <c r="CF160" i="1" s="1"/>
  <c r="CO160" i="1" s="1"/>
  <c r="CX160" i="1" s="1"/>
  <c r="DG160" i="1" s="1"/>
  <c r="DP160" i="1" s="1"/>
  <c r="DY160" i="1" s="1"/>
  <c r="EH160" i="1" s="1"/>
  <c r="EQ160" i="1" s="1"/>
  <c r="EZ160" i="1" s="1"/>
  <c r="FI160" i="1" s="1"/>
  <c r="FR160" i="1" s="1"/>
  <c r="GA160" i="1" s="1"/>
  <c r="GJ160" i="1" s="1"/>
  <c r="GS160" i="1" s="1"/>
  <c r="HB160" i="1" s="1"/>
  <c r="HK160" i="1" s="1"/>
  <c r="HU160" i="1" s="1"/>
  <c r="ID160" i="1" s="1"/>
  <c r="IM160" i="1" s="1"/>
  <c r="IV160" i="1" s="1"/>
  <c r="JE160" i="1" s="1"/>
  <c r="JN160" i="1" s="1"/>
  <c r="JW160" i="1" s="1"/>
  <c r="KF160" i="1" s="1"/>
  <c r="KO160" i="1" s="1"/>
  <c r="KX160" i="1" s="1"/>
  <c r="LG160" i="1" s="1"/>
  <c r="LP160" i="1" s="1"/>
  <c r="LY160" i="1" s="1"/>
  <c r="MH160" i="1" s="1"/>
  <c r="MQ160" i="1" s="1"/>
  <c r="MZ160" i="1" s="1"/>
  <c r="L161" i="1"/>
  <c r="U161" i="1" s="1"/>
  <c r="AD161" i="1" s="1"/>
  <c r="AM161" i="1" s="1"/>
  <c r="AV161" i="1" s="1"/>
  <c r="BE161" i="1" s="1"/>
  <c r="BN161" i="1" s="1"/>
  <c r="BW161" i="1" s="1"/>
  <c r="CF161" i="1" s="1"/>
  <c r="CO161" i="1" s="1"/>
  <c r="CX161" i="1" s="1"/>
  <c r="DG161" i="1" s="1"/>
  <c r="DP161" i="1" s="1"/>
  <c r="DY161" i="1" s="1"/>
  <c r="EH161" i="1" s="1"/>
  <c r="EQ161" i="1" s="1"/>
  <c r="EZ161" i="1" s="1"/>
  <c r="FI161" i="1" s="1"/>
  <c r="FR161" i="1" s="1"/>
  <c r="GA161" i="1" s="1"/>
  <c r="GJ161" i="1" s="1"/>
  <c r="GS161" i="1" s="1"/>
  <c r="HB161" i="1" s="1"/>
  <c r="HK161" i="1" s="1"/>
  <c r="HU161" i="1" s="1"/>
  <c r="ID161" i="1" s="1"/>
  <c r="IM161" i="1" s="1"/>
  <c r="IV161" i="1" s="1"/>
  <c r="JE161" i="1" s="1"/>
  <c r="JN161" i="1" s="1"/>
  <c r="JW161" i="1" s="1"/>
  <c r="KF161" i="1" s="1"/>
  <c r="KO161" i="1" s="1"/>
  <c r="KX161" i="1" s="1"/>
  <c r="LG161" i="1" s="1"/>
  <c r="LP161" i="1" s="1"/>
  <c r="LY161" i="1" s="1"/>
  <c r="MH161" i="1" s="1"/>
  <c r="MQ161" i="1" s="1"/>
  <c r="MZ161" i="1" s="1"/>
  <c r="L162" i="1"/>
  <c r="U162" i="1" s="1"/>
  <c r="AD162" i="1" s="1"/>
  <c r="AM162" i="1" s="1"/>
  <c r="AV162" i="1" s="1"/>
  <c r="BE162" i="1" s="1"/>
  <c r="BN162" i="1" s="1"/>
  <c r="BW162" i="1" s="1"/>
  <c r="CF162" i="1" s="1"/>
  <c r="CO162" i="1" s="1"/>
  <c r="CX162" i="1" s="1"/>
  <c r="DG162" i="1" s="1"/>
  <c r="DP162" i="1" s="1"/>
  <c r="DY162" i="1" s="1"/>
  <c r="EH162" i="1" s="1"/>
  <c r="EQ162" i="1" s="1"/>
  <c r="EZ162" i="1" s="1"/>
  <c r="FI162" i="1" s="1"/>
  <c r="FR162" i="1" s="1"/>
  <c r="GA162" i="1" s="1"/>
  <c r="GJ162" i="1" s="1"/>
  <c r="GS162" i="1" s="1"/>
  <c r="HB162" i="1" s="1"/>
  <c r="HK162" i="1" s="1"/>
  <c r="HU162" i="1" s="1"/>
  <c r="ID162" i="1" s="1"/>
  <c r="IM162" i="1" s="1"/>
  <c r="IV162" i="1" s="1"/>
  <c r="JE162" i="1" s="1"/>
  <c r="JN162" i="1" s="1"/>
  <c r="JW162" i="1" s="1"/>
  <c r="KF162" i="1" s="1"/>
  <c r="KO162" i="1" s="1"/>
  <c r="KX162" i="1" s="1"/>
  <c r="LG162" i="1" s="1"/>
  <c r="LP162" i="1" s="1"/>
  <c r="LY162" i="1" s="1"/>
  <c r="MH162" i="1" s="1"/>
  <c r="MQ162" i="1" s="1"/>
  <c r="MZ162" i="1" s="1"/>
  <c r="L163" i="1"/>
  <c r="U163" i="1" s="1"/>
  <c r="AD163" i="1" s="1"/>
  <c r="AM163" i="1" s="1"/>
  <c r="AV163" i="1" s="1"/>
  <c r="BE163" i="1" s="1"/>
  <c r="BN163" i="1" s="1"/>
  <c r="BW163" i="1" s="1"/>
  <c r="CF163" i="1" s="1"/>
  <c r="CO163" i="1" s="1"/>
  <c r="CX163" i="1" s="1"/>
  <c r="DG163" i="1" s="1"/>
  <c r="DP163" i="1" s="1"/>
  <c r="DY163" i="1" s="1"/>
  <c r="EH163" i="1" s="1"/>
  <c r="EQ163" i="1" s="1"/>
  <c r="EZ163" i="1" s="1"/>
  <c r="FI163" i="1" s="1"/>
  <c r="FR163" i="1" s="1"/>
  <c r="GA163" i="1" s="1"/>
  <c r="GJ163" i="1" s="1"/>
  <c r="GS163" i="1" s="1"/>
  <c r="HB163" i="1" s="1"/>
  <c r="HK163" i="1" s="1"/>
  <c r="HU163" i="1" s="1"/>
  <c r="ID163" i="1" s="1"/>
  <c r="IM163" i="1" s="1"/>
  <c r="IV163" i="1" s="1"/>
  <c r="JE163" i="1" s="1"/>
  <c r="JN163" i="1" s="1"/>
  <c r="JW163" i="1" s="1"/>
  <c r="KF163" i="1" s="1"/>
  <c r="KO163" i="1" s="1"/>
  <c r="KX163" i="1" s="1"/>
  <c r="LG163" i="1" s="1"/>
  <c r="LP163" i="1" s="1"/>
  <c r="LY163" i="1" s="1"/>
  <c r="MH163" i="1" s="1"/>
  <c r="MQ163" i="1" s="1"/>
  <c r="MZ163" i="1" s="1"/>
  <c r="L164" i="1"/>
  <c r="U164" i="1" s="1"/>
  <c r="AD164" i="1" s="1"/>
  <c r="AM164" i="1" s="1"/>
  <c r="AV164" i="1" s="1"/>
  <c r="BE164" i="1" s="1"/>
  <c r="BN164" i="1" s="1"/>
  <c r="BW164" i="1" s="1"/>
  <c r="CF164" i="1" s="1"/>
  <c r="CO164" i="1" s="1"/>
  <c r="CX164" i="1" s="1"/>
  <c r="DG164" i="1" s="1"/>
  <c r="DP164" i="1" s="1"/>
  <c r="DY164" i="1" s="1"/>
  <c r="EH164" i="1" s="1"/>
  <c r="EQ164" i="1" s="1"/>
  <c r="EZ164" i="1" s="1"/>
  <c r="FI164" i="1" s="1"/>
  <c r="FR164" i="1" s="1"/>
  <c r="GA164" i="1" s="1"/>
  <c r="GJ164" i="1" s="1"/>
  <c r="GS164" i="1" s="1"/>
  <c r="HB164" i="1" s="1"/>
  <c r="HK164" i="1" s="1"/>
  <c r="HU164" i="1" s="1"/>
  <c r="ID164" i="1" s="1"/>
  <c r="IM164" i="1" s="1"/>
  <c r="IV164" i="1" s="1"/>
  <c r="JE164" i="1" s="1"/>
  <c r="JN164" i="1" s="1"/>
  <c r="JW164" i="1" s="1"/>
  <c r="KF164" i="1" s="1"/>
  <c r="KO164" i="1" s="1"/>
  <c r="KX164" i="1" s="1"/>
  <c r="LG164" i="1" s="1"/>
  <c r="LP164" i="1" s="1"/>
  <c r="LY164" i="1" s="1"/>
  <c r="MH164" i="1" s="1"/>
  <c r="MQ164" i="1" s="1"/>
  <c r="MZ164" i="1" s="1"/>
  <c r="L165" i="1"/>
  <c r="U165" i="1" s="1"/>
  <c r="AD165" i="1" s="1"/>
  <c r="AM165" i="1" s="1"/>
  <c r="AV165" i="1" s="1"/>
  <c r="BE165" i="1" s="1"/>
  <c r="BN165" i="1" s="1"/>
  <c r="BW165" i="1" s="1"/>
  <c r="CF165" i="1" s="1"/>
  <c r="CO165" i="1" s="1"/>
  <c r="CX165" i="1" s="1"/>
  <c r="DG165" i="1" s="1"/>
  <c r="DP165" i="1" s="1"/>
  <c r="DY165" i="1" s="1"/>
  <c r="EH165" i="1" s="1"/>
  <c r="EQ165" i="1" s="1"/>
  <c r="EZ165" i="1" s="1"/>
  <c r="FI165" i="1" s="1"/>
  <c r="FR165" i="1" s="1"/>
  <c r="GA165" i="1" s="1"/>
  <c r="GJ165" i="1" s="1"/>
  <c r="GS165" i="1" s="1"/>
  <c r="HB165" i="1" s="1"/>
  <c r="HK165" i="1" s="1"/>
  <c r="HU165" i="1" s="1"/>
  <c r="ID165" i="1" s="1"/>
  <c r="IM165" i="1" s="1"/>
  <c r="IV165" i="1" s="1"/>
  <c r="JE165" i="1" s="1"/>
  <c r="JN165" i="1" s="1"/>
  <c r="JW165" i="1" s="1"/>
  <c r="KF165" i="1" s="1"/>
  <c r="KO165" i="1" s="1"/>
  <c r="KX165" i="1" s="1"/>
  <c r="LG165" i="1" s="1"/>
  <c r="LP165" i="1" s="1"/>
  <c r="LY165" i="1" s="1"/>
  <c r="MH165" i="1" s="1"/>
  <c r="MQ165" i="1" s="1"/>
  <c r="MZ165" i="1" s="1"/>
  <c r="L166" i="1"/>
  <c r="U166" i="1" s="1"/>
  <c r="AD166" i="1" s="1"/>
  <c r="AM166" i="1" s="1"/>
  <c r="AV166" i="1" s="1"/>
  <c r="BE166" i="1" s="1"/>
  <c r="BN166" i="1" s="1"/>
  <c r="BW166" i="1" s="1"/>
  <c r="CF166" i="1" s="1"/>
  <c r="CO166" i="1" s="1"/>
  <c r="CX166" i="1" s="1"/>
  <c r="DG166" i="1" s="1"/>
  <c r="DP166" i="1" s="1"/>
  <c r="DY166" i="1" s="1"/>
  <c r="EH166" i="1" s="1"/>
  <c r="EQ166" i="1" s="1"/>
  <c r="EZ166" i="1" s="1"/>
  <c r="FI166" i="1" s="1"/>
  <c r="FR166" i="1" s="1"/>
  <c r="GA166" i="1" s="1"/>
  <c r="GJ166" i="1" s="1"/>
  <c r="GS166" i="1" s="1"/>
  <c r="HB166" i="1" s="1"/>
  <c r="HK166" i="1" s="1"/>
  <c r="HU166" i="1" s="1"/>
  <c r="ID166" i="1" s="1"/>
  <c r="IM166" i="1" s="1"/>
  <c r="IV166" i="1" s="1"/>
  <c r="JE166" i="1" s="1"/>
  <c r="JN166" i="1" s="1"/>
  <c r="JW166" i="1" s="1"/>
  <c r="KF166" i="1" s="1"/>
  <c r="KO166" i="1" s="1"/>
  <c r="KX166" i="1" s="1"/>
  <c r="LG166" i="1" s="1"/>
  <c r="LP166" i="1" s="1"/>
  <c r="LY166" i="1" s="1"/>
  <c r="MH166" i="1" s="1"/>
  <c r="MQ166" i="1" s="1"/>
  <c r="MZ166" i="1" s="1"/>
  <c r="L167" i="1"/>
  <c r="U167" i="1" s="1"/>
  <c r="AD167" i="1" s="1"/>
  <c r="AM167" i="1" s="1"/>
  <c r="AV167" i="1" s="1"/>
  <c r="BE167" i="1" s="1"/>
  <c r="BN167" i="1" s="1"/>
  <c r="BW167" i="1" s="1"/>
  <c r="CF167" i="1" s="1"/>
  <c r="CO167" i="1" s="1"/>
  <c r="CX167" i="1" s="1"/>
  <c r="DG167" i="1" s="1"/>
  <c r="DP167" i="1" s="1"/>
  <c r="DY167" i="1" s="1"/>
  <c r="EH167" i="1" s="1"/>
  <c r="EQ167" i="1" s="1"/>
  <c r="EZ167" i="1" s="1"/>
  <c r="FI167" i="1" s="1"/>
  <c r="FR167" i="1" s="1"/>
  <c r="GA167" i="1" s="1"/>
  <c r="GJ167" i="1" s="1"/>
  <c r="GS167" i="1" s="1"/>
  <c r="HB167" i="1" s="1"/>
  <c r="HK167" i="1" s="1"/>
  <c r="HU167" i="1" s="1"/>
  <c r="ID167" i="1" s="1"/>
  <c r="IM167" i="1" s="1"/>
  <c r="IV167" i="1" s="1"/>
  <c r="JE167" i="1" s="1"/>
  <c r="JN167" i="1" s="1"/>
  <c r="JW167" i="1" s="1"/>
  <c r="KF167" i="1" s="1"/>
  <c r="KO167" i="1" s="1"/>
  <c r="KX167" i="1" s="1"/>
  <c r="LG167" i="1" s="1"/>
  <c r="LP167" i="1" s="1"/>
  <c r="LY167" i="1" s="1"/>
  <c r="MH167" i="1" s="1"/>
  <c r="MQ167" i="1" s="1"/>
  <c r="MZ167" i="1" s="1"/>
  <c r="L168" i="1"/>
  <c r="U168" i="1" s="1"/>
  <c r="AD168" i="1" s="1"/>
  <c r="AM168" i="1" s="1"/>
  <c r="AV168" i="1" s="1"/>
  <c r="BE168" i="1" s="1"/>
  <c r="BN168" i="1" s="1"/>
  <c r="BW168" i="1" s="1"/>
  <c r="CF168" i="1" s="1"/>
  <c r="CO168" i="1" s="1"/>
  <c r="CX168" i="1" s="1"/>
  <c r="DG168" i="1" s="1"/>
  <c r="DP168" i="1" s="1"/>
  <c r="DY168" i="1" s="1"/>
  <c r="EH168" i="1" s="1"/>
  <c r="EQ168" i="1" s="1"/>
  <c r="EZ168" i="1" s="1"/>
  <c r="FI168" i="1" s="1"/>
  <c r="FR168" i="1" s="1"/>
  <c r="GA168" i="1" s="1"/>
  <c r="GJ168" i="1" s="1"/>
  <c r="GS168" i="1" s="1"/>
  <c r="HB168" i="1" s="1"/>
  <c r="HK168" i="1" s="1"/>
  <c r="HU168" i="1" s="1"/>
  <c r="ID168" i="1" s="1"/>
  <c r="IM168" i="1" s="1"/>
  <c r="IV168" i="1" s="1"/>
  <c r="JE168" i="1" s="1"/>
  <c r="JN168" i="1" s="1"/>
  <c r="JW168" i="1" s="1"/>
  <c r="KF168" i="1" s="1"/>
  <c r="KO168" i="1" s="1"/>
  <c r="KX168" i="1" s="1"/>
  <c r="LG168" i="1" s="1"/>
  <c r="LP168" i="1" s="1"/>
  <c r="LY168" i="1" s="1"/>
  <c r="MH168" i="1" s="1"/>
  <c r="MQ168" i="1" s="1"/>
  <c r="MZ168" i="1" s="1"/>
  <c r="L169" i="1"/>
  <c r="U169" i="1" s="1"/>
  <c r="AD169" i="1" s="1"/>
  <c r="AM169" i="1" s="1"/>
  <c r="AV169" i="1" s="1"/>
  <c r="BE169" i="1" s="1"/>
  <c r="BN169" i="1" s="1"/>
  <c r="BW169" i="1" s="1"/>
  <c r="CF169" i="1" s="1"/>
  <c r="CO169" i="1" s="1"/>
  <c r="CX169" i="1" s="1"/>
  <c r="DG169" i="1" s="1"/>
  <c r="DP169" i="1" s="1"/>
  <c r="DY169" i="1" s="1"/>
  <c r="EH169" i="1" s="1"/>
  <c r="EQ169" i="1" s="1"/>
  <c r="EZ169" i="1" s="1"/>
  <c r="FI169" i="1" s="1"/>
  <c r="FR169" i="1" s="1"/>
  <c r="GA169" i="1" s="1"/>
  <c r="GJ169" i="1" s="1"/>
  <c r="GS169" i="1" s="1"/>
  <c r="HB169" i="1" s="1"/>
  <c r="HK169" i="1" s="1"/>
  <c r="HU169" i="1" s="1"/>
  <c r="ID169" i="1" s="1"/>
  <c r="IM169" i="1" s="1"/>
  <c r="IV169" i="1" s="1"/>
  <c r="JE169" i="1" s="1"/>
  <c r="JN169" i="1" s="1"/>
  <c r="JW169" i="1" s="1"/>
  <c r="KF169" i="1" s="1"/>
  <c r="KO169" i="1" s="1"/>
  <c r="KX169" i="1" s="1"/>
  <c r="LG169" i="1" s="1"/>
  <c r="LP169" i="1" s="1"/>
  <c r="LY169" i="1" s="1"/>
  <c r="MH169" i="1" s="1"/>
  <c r="MQ169" i="1" s="1"/>
  <c r="MZ169" i="1" s="1"/>
  <c r="L170" i="1"/>
  <c r="U170" i="1" s="1"/>
  <c r="AD170" i="1" s="1"/>
  <c r="AM170" i="1" s="1"/>
  <c r="AV170" i="1" s="1"/>
  <c r="BE170" i="1" s="1"/>
  <c r="BN170" i="1" s="1"/>
  <c r="BW170" i="1" s="1"/>
  <c r="CF170" i="1" s="1"/>
  <c r="CO170" i="1" s="1"/>
  <c r="CX170" i="1" s="1"/>
  <c r="DG170" i="1" s="1"/>
  <c r="DP170" i="1" s="1"/>
  <c r="DY170" i="1" s="1"/>
  <c r="EH170" i="1" s="1"/>
  <c r="EQ170" i="1" s="1"/>
  <c r="EZ170" i="1" s="1"/>
  <c r="FI170" i="1" s="1"/>
  <c r="FR170" i="1" s="1"/>
  <c r="GA170" i="1" s="1"/>
  <c r="GJ170" i="1" s="1"/>
  <c r="GS170" i="1" s="1"/>
  <c r="HB170" i="1" s="1"/>
  <c r="HK170" i="1" s="1"/>
  <c r="HU170" i="1" s="1"/>
  <c r="ID170" i="1" s="1"/>
  <c r="IM170" i="1" s="1"/>
  <c r="IV170" i="1" s="1"/>
  <c r="JE170" i="1" s="1"/>
  <c r="JN170" i="1" s="1"/>
  <c r="JW170" i="1" s="1"/>
  <c r="KF170" i="1" s="1"/>
  <c r="KO170" i="1" s="1"/>
  <c r="KX170" i="1" s="1"/>
  <c r="LG170" i="1" s="1"/>
  <c r="LP170" i="1" s="1"/>
  <c r="LY170" i="1" s="1"/>
  <c r="MH170" i="1" s="1"/>
  <c r="MQ170" i="1" s="1"/>
  <c r="MZ170" i="1" s="1"/>
  <c r="L171" i="1"/>
  <c r="U171" i="1" s="1"/>
  <c r="AD171" i="1" s="1"/>
  <c r="AM171" i="1" s="1"/>
  <c r="AV171" i="1" s="1"/>
  <c r="BE171" i="1" s="1"/>
  <c r="BN171" i="1" s="1"/>
  <c r="BW171" i="1" s="1"/>
  <c r="CF171" i="1" s="1"/>
  <c r="CO171" i="1" s="1"/>
  <c r="CX171" i="1" s="1"/>
  <c r="DG171" i="1" s="1"/>
  <c r="DP171" i="1" s="1"/>
  <c r="DY171" i="1" s="1"/>
  <c r="EH171" i="1" s="1"/>
  <c r="EQ171" i="1" s="1"/>
  <c r="EZ171" i="1" s="1"/>
  <c r="FI171" i="1" s="1"/>
  <c r="FR171" i="1" s="1"/>
  <c r="GA171" i="1" s="1"/>
  <c r="GJ171" i="1" s="1"/>
  <c r="GS171" i="1" s="1"/>
  <c r="HB171" i="1" s="1"/>
  <c r="HK171" i="1" s="1"/>
  <c r="HU171" i="1" s="1"/>
  <c r="ID171" i="1" s="1"/>
  <c r="IM171" i="1" s="1"/>
  <c r="IV171" i="1" s="1"/>
  <c r="JE171" i="1" s="1"/>
  <c r="JN171" i="1" s="1"/>
  <c r="JW171" i="1" s="1"/>
  <c r="KF171" i="1" s="1"/>
  <c r="KO171" i="1" s="1"/>
  <c r="KX171" i="1" s="1"/>
  <c r="LG171" i="1" s="1"/>
  <c r="LP171" i="1" s="1"/>
  <c r="LY171" i="1" s="1"/>
  <c r="MH171" i="1" s="1"/>
  <c r="MQ171" i="1" s="1"/>
  <c r="MZ171" i="1" s="1"/>
  <c r="L172" i="1"/>
  <c r="U172" i="1" s="1"/>
  <c r="AD172" i="1" s="1"/>
  <c r="AM172" i="1" s="1"/>
  <c r="AV172" i="1" s="1"/>
  <c r="BE172" i="1" s="1"/>
  <c r="BN172" i="1" s="1"/>
  <c r="BW172" i="1" s="1"/>
  <c r="CF172" i="1" s="1"/>
  <c r="CO172" i="1" s="1"/>
  <c r="CX172" i="1" s="1"/>
  <c r="DG172" i="1" s="1"/>
  <c r="DP172" i="1" s="1"/>
  <c r="DY172" i="1" s="1"/>
  <c r="EH172" i="1" s="1"/>
  <c r="EQ172" i="1" s="1"/>
  <c r="EZ172" i="1" s="1"/>
  <c r="FI172" i="1" s="1"/>
  <c r="FR172" i="1" s="1"/>
  <c r="GA172" i="1" s="1"/>
  <c r="GJ172" i="1" s="1"/>
  <c r="GS172" i="1" s="1"/>
  <c r="HB172" i="1" s="1"/>
  <c r="HK172" i="1" s="1"/>
  <c r="HU172" i="1" s="1"/>
  <c r="ID172" i="1" s="1"/>
  <c r="IM172" i="1" s="1"/>
  <c r="IV172" i="1" s="1"/>
  <c r="JE172" i="1" s="1"/>
  <c r="JN172" i="1" s="1"/>
  <c r="JW172" i="1" s="1"/>
  <c r="KF172" i="1" s="1"/>
  <c r="KO172" i="1" s="1"/>
  <c r="KX172" i="1" s="1"/>
  <c r="LG172" i="1" s="1"/>
  <c r="LP172" i="1" s="1"/>
  <c r="LY172" i="1" s="1"/>
  <c r="MH172" i="1" s="1"/>
  <c r="MQ172" i="1" s="1"/>
  <c r="MZ172" i="1" s="1"/>
  <c r="L173" i="1"/>
  <c r="U173" i="1" s="1"/>
  <c r="AD173" i="1" s="1"/>
  <c r="AM173" i="1" s="1"/>
  <c r="AV173" i="1" s="1"/>
  <c r="BE173" i="1" s="1"/>
  <c r="BN173" i="1" s="1"/>
  <c r="BW173" i="1" s="1"/>
  <c r="CF173" i="1" s="1"/>
  <c r="CO173" i="1" s="1"/>
  <c r="CX173" i="1" s="1"/>
  <c r="DG173" i="1" s="1"/>
  <c r="DP173" i="1" s="1"/>
  <c r="DY173" i="1" s="1"/>
  <c r="EH173" i="1" s="1"/>
  <c r="EQ173" i="1" s="1"/>
  <c r="EZ173" i="1" s="1"/>
  <c r="FI173" i="1" s="1"/>
  <c r="FR173" i="1" s="1"/>
  <c r="GA173" i="1" s="1"/>
  <c r="GJ173" i="1" s="1"/>
  <c r="GS173" i="1" s="1"/>
  <c r="HB173" i="1" s="1"/>
  <c r="HK173" i="1" s="1"/>
  <c r="HU173" i="1" s="1"/>
  <c r="ID173" i="1" s="1"/>
  <c r="IM173" i="1" s="1"/>
  <c r="IV173" i="1" s="1"/>
  <c r="JE173" i="1" s="1"/>
  <c r="JN173" i="1" s="1"/>
  <c r="JW173" i="1" s="1"/>
  <c r="KF173" i="1" s="1"/>
  <c r="KO173" i="1" s="1"/>
  <c r="KX173" i="1" s="1"/>
  <c r="LG173" i="1" s="1"/>
  <c r="LP173" i="1" s="1"/>
  <c r="LY173" i="1" s="1"/>
  <c r="MH173" i="1" s="1"/>
  <c r="MQ173" i="1" s="1"/>
  <c r="MZ173" i="1" s="1"/>
  <c r="L174" i="1"/>
  <c r="U174" i="1" s="1"/>
  <c r="AD174" i="1" s="1"/>
  <c r="AM174" i="1" s="1"/>
  <c r="AV174" i="1" s="1"/>
  <c r="BE174" i="1" s="1"/>
  <c r="BN174" i="1" s="1"/>
  <c r="BW174" i="1" s="1"/>
  <c r="CF174" i="1" s="1"/>
  <c r="CO174" i="1" s="1"/>
  <c r="CX174" i="1" s="1"/>
  <c r="DG174" i="1" s="1"/>
  <c r="DP174" i="1" s="1"/>
  <c r="DY174" i="1" s="1"/>
  <c r="EH174" i="1" s="1"/>
  <c r="EQ174" i="1" s="1"/>
  <c r="EZ174" i="1" s="1"/>
  <c r="FI174" i="1" s="1"/>
  <c r="FR174" i="1" s="1"/>
  <c r="GA174" i="1" s="1"/>
  <c r="GJ174" i="1" s="1"/>
  <c r="GS174" i="1" s="1"/>
  <c r="HB174" i="1" s="1"/>
  <c r="HK174" i="1" s="1"/>
  <c r="HU174" i="1" s="1"/>
  <c r="ID174" i="1" s="1"/>
  <c r="IM174" i="1" s="1"/>
  <c r="IV174" i="1" s="1"/>
  <c r="JE174" i="1" s="1"/>
  <c r="JN174" i="1" s="1"/>
  <c r="JW174" i="1" s="1"/>
  <c r="KF174" i="1" s="1"/>
  <c r="KO174" i="1" s="1"/>
  <c r="KX174" i="1" s="1"/>
  <c r="LG174" i="1" s="1"/>
  <c r="LP174" i="1" s="1"/>
  <c r="LY174" i="1" s="1"/>
  <c r="MH174" i="1" s="1"/>
  <c r="MQ174" i="1" s="1"/>
  <c r="MZ174" i="1" s="1"/>
  <c r="L175" i="1"/>
  <c r="U175" i="1" s="1"/>
  <c r="AD175" i="1" s="1"/>
  <c r="AM175" i="1" s="1"/>
  <c r="AV175" i="1" s="1"/>
  <c r="BE175" i="1" s="1"/>
  <c r="BN175" i="1" s="1"/>
  <c r="BW175" i="1" s="1"/>
  <c r="CF175" i="1" s="1"/>
  <c r="CO175" i="1" s="1"/>
  <c r="CX175" i="1" s="1"/>
  <c r="DG175" i="1" s="1"/>
  <c r="DP175" i="1" s="1"/>
  <c r="DY175" i="1" s="1"/>
  <c r="EH175" i="1" s="1"/>
  <c r="EQ175" i="1" s="1"/>
  <c r="EZ175" i="1" s="1"/>
  <c r="FI175" i="1" s="1"/>
  <c r="FR175" i="1" s="1"/>
  <c r="GA175" i="1" s="1"/>
  <c r="GJ175" i="1" s="1"/>
  <c r="GS175" i="1" s="1"/>
  <c r="HB175" i="1" s="1"/>
  <c r="HK175" i="1" s="1"/>
  <c r="HU175" i="1" s="1"/>
  <c r="ID175" i="1" s="1"/>
  <c r="IM175" i="1" s="1"/>
  <c r="IV175" i="1" s="1"/>
  <c r="JE175" i="1" s="1"/>
  <c r="JN175" i="1" s="1"/>
  <c r="JW175" i="1" s="1"/>
  <c r="KF175" i="1" s="1"/>
  <c r="KO175" i="1" s="1"/>
  <c r="KX175" i="1" s="1"/>
  <c r="LG175" i="1" s="1"/>
  <c r="LP175" i="1" s="1"/>
  <c r="LY175" i="1" s="1"/>
  <c r="MH175" i="1" s="1"/>
  <c r="MQ175" i="1" s="1"/>
  <c r="MZ175" i="1" s="1"/>
  <c r="L176" i="1"/>
  <c r="U176" i="1" s="1"/>
  <c r="AD176" i="1" s="1"/>
  <c r="AM176" i="1" s="1"/>
  <c r="AV176" i="1" s="1"/>
  <c r="BE176" i="1" s="1"/>
  <c r="BN176" i="1" s="1"/>
  <c r="BW176" i="1" s="1"/>
  <c r="CF176" i="1" s="1"/>
  <c r="CO176" i="1" s="1"/>
  <c r="CX176" i="1" s="1"/>
  <c r="DG176" i="1" s="1"/>
  <c r="DP176" i="1" s="1"/>
  <c r="DY176" i="1" s="1"/>
  <c r="EH176" i="1" s="1"/>
  <c r="EQ176" i="1" s="1"/>
  <c r="EZ176" i="1" s="1"/>
  <c r="FI176" i="1" s="1"/>
  <c r="FR176" i="1" s="1"/>
  <c r="GA176" i="1" s="1"/>
  <c r="GJ176" i="1" s="1"/>
  <c r="GS176" i="1" s="1"/>
  <c r="HB176" i="1" s="1"/>
  <c r="HK176" i="1" s="1"/>
  <c r="HU176" i="1" s="1"/>
  <c r="ID176" i="1" s="1"/>
  <c r="IM176" i="1" s="1"/>
  <c r="IV176" i="1" s="1"/>
  <c r="JE176" i="1" s="1"/>
  <c r="JN176" i="1" s="1"/>
  <c r="JW176" i="1" s="1"/>
  <c r="KF176" i="1" s="1"/>
  <c r="KO176" i="1" s="1"/>
  <c r="KX176" i="1" s="1"/>
  <c r="LG176" i="1" s="1"/>
  <c r="LP176" i="1" s="1"/>
  <c r="LY176" i="1" s="1"/>
  <c r="MH176" i="1" s="1"/>
  <c r="MQ176" i="1" s="1"/>
  <c r="MZ176" i="1" s="1"/>
  <c r="L177" i="1"/>
  <c r="U177" i="1" s="1"/>
  <c r="AD177" i="1" s="1"/>
  <c r="AM177" i="1" s="1"/>
  <c r="AV177" i="1" s="1"/>
  <c r="BE177" i="1" s="1"/>
  <c r="BN177" i="1" s="1"/>
  <c r="BW177" i="1" s="1"/>
  <c r="CF177" i="1" s="1"/>
  <c r="CO177" i="1" s="1"/>
  <c r="CX177" i="1" s="1"/>
  <c r="DG177" i="1" s="1"/>
  <c r="DP177" i="1" s="1"/>
  <c r="DY177" i="1" s="1"/>
  <c r="EH177" i="1" s="1"/>
  <c r="EQ177" i="1" s="1"/>
  <c r="EZ177" i="1" s="1"/>
  <c r="FI177" i="1" s="1"/>
  <c r="FR177" i="1" s="1"/>
  <c r="GA177" i="1" s="1"/>
  <c r="GJ177" i="1" s="1"/>
  <c r="GS177" i="1" s="1"/>
  <c r="HB177" i="1" s="1"/>
  <c r="HK177" i="1" s="1"/>
  <c r="HU177" i="1" s="1"/>
  <c r="ID177" i="1" s="1"/>
  <c r="IM177" i="1" s="1"/>
  <c r="IV177" i="1" s="1"/>
  <c r="JE177" i="1" s="1"/>
  <c r="JN177" i="1" s="1"/>
  <c r="JW177" i="1" s="1"/>
  <c r="KF177" i="1" s="1"/>
  <c r="KO177" i="1" s="1"/>
  <c r="KX177" i="1" s="1"/>
  <c r="LG177" i="1" s="1"/>
  <c r="LP177" i="1" s="1"/>
  <c r="LY177" i="1" s="1"/>
  <c r="MH177" i="1" s="1"/>
  <c r="MQ177" i="1" s="1"/>
  <c r="MZ177" i="1" s="1"/>
  <c r="L147" i="1"/>
  <c r="U147" i="1" s="1"/>
  <c r="AD147" i="1" s="1"/>
  <c r="AM147" i="1" s="1"/>
  <c r="AV147" i="1" s="1"/>
  <c r="BE147" i="1" s="1"/>
  <c r="BN147" i="1" s="1"/>
  <c r="BW147" i="1" s="1"/>
  <c r="CF147" i="1" s="1"/>
  <c r="CO147" i="1" s="1"/>
  <c r="CX147" i="1" s="1"/>
  <c r="DG147" i="1" s="1"/>
  <c r="DP147" i="1" s="1"/>
  <c r="DY147" i="1" s="1"/>
  <c r="EH147" i="1" s="1"/>
  <c r="EQ147" i="1" s="1"/>
  <c r="EZ147" i="1" s="1"/>
  <c r="FI147" i="1" s="1"/>
  <c r="FR147" i="1" s="1"/>
  <c r="GA147" i="1" s="1"/>
  <c r="GJ147" i="1" s="1"/>
  <c r="GS147" i="1" s="1"/>
  <c r="HB147" i="1" s="1"/>
  <c r="HK147" i="1" s="1"/>
  <c r="HU147" i="1" s="1"/>
  <c r="ID147" i="1" s="1"/>
  <c r="IM147" i="1" s="1"/>
  <c r="IV147" i="1" s="1"/>
  <c r="JE147" i="1" s="1"/>
  <c r="JN147" i="1" s="1"/>
  <c r="JW147" i="1" s="1"/>
  <c r="KF147" i="1" s="1"/>
  <c r="KO147" i="1" s="1"/>
  <c r="KX147" i="1" s="1"/>
  <c r="LG147" i="1" s="1"/>
  <c r="LP147" i="1" s="1"/>
  <c r="LY147" i="1" s="1"/>
  <c r="MH147" i="1" s="1"/>
  <c r="MQ147" i="1" s="1"/>
  <c r="MZ147" i="1" s="1"/>
  <c r="AV156" i="1"/>
  <c r="BE156" i="1" s="1"/>
  <c r="BN156" i="1" s="1"/>
  <c r="BW156" i="1" s="1"/>
  <c r="CF156" i="1" s="1"/>
  <c r="CO156" i="1" s="1"/>
  <c r="CX156" i="1" s="1"/>
  <c r="DG156" i="1" s="1"/>
  <c r="DP156" i="1" s="1"/>
  <c r="DY156" i="1" s="1"/>
  <c r="EH156" i="1" s="1"/>
  <c r="EQ156" i="1" s="1"/>
  <c r="EZ156" i="1" s="1"/>
  <c r="FI156" i="1" s="1"/>
  <c r="FR156" i="1" s="1"/>
  <c r="GA156" i="1" s="1"/>
  <c r="GJ156" i="1" s="1"/>
  <c r="GS156" i="1" s="1"/>
  <c r="HB156" i="1" s="1"/>
  <c r="HK156" i="1" s="1"/>
  <c r="HU156" i="1" s="1"/>
  <c r="ID156" i="1" s="1"/>
  <c r="IM156" i="1" s="1"/>
  <c r="IV156" i="1" s="1"/>
  <c r="JE156" i="1" s="1"/>
  <c r="JN156" i="1" s="1"/>
  <c r="JW156" i="1" s="1"/>
  <c r="KF156" i="1" s="1"/>
  <c r="KO156" i="1" s="1"/>
  <c r="KX156" i="1" s="1"/>
  <c r="LG156" i="1" s="1"/>
  <c r="LP156" i="1" s="1"/>
  <c r="LY156" i="1" s="1"/>
  <c r="MH156" i="1" s="1"/>
  <c r="MQ156" i="1" s="1"/>
  <c r="MZ156" i="1" s="1"/>
  <c r="BW159" i="1"/>
  <c r="CF159" i="1" s="1"/>
  <c r="CO159" i="1" s="1"/>
  <c r="CX159" i="1" s="1"/>
  <c r="DG159" i="1" s="1"/>
  <c r="DP159" i="1" s="1"/>
  <c r="DY159" i="1" s="1"/>
  <c r="EH159" i="1" s="1"/>
  <c r="EQ159" i="1" s="1"/>
  <c r="EZ159" i="1" s="1"/>
  <c r="FI159" i="1" s="1"/>
  <c r="FR159" i="1" s="1"/>
  <c r="GA159" i="1" s="1"/>
  <c r="GJ159" i="1" s="1"/>
  <c r="GS159" i="1" s="1"/>
  <c r="HB159" i="1" s="1"/>
  <c r="HK159" i="1" s="1"/>
  <c r="HU159" i="1" s="1"/>
  <c r="ID159" i="1" s="1"/>
  <c r="IM159" i="1" s="1"/>
  <c r="IV159" i="1" s="1"/>
  <c r="JE159" i="1" s="1"/>
  <c r="JN159" i="1" s="1"/>
  <c r="JW159" i="1" s="1"/>
  <c r="KF159" i="1" s="1"/>
  <c r="KO159" i="1" s="1"/>
  <c r="KX159" i="1" s="1"/>
  <c r="LG159" i="1" s="1"/>
  <c r="LP159" i="1" s="1"/>
  <c r="LY159" i="1" s="1"/>
  <c r="MH159" i="1" s="1"/>
  <c r="MQ159" i="1" s="1"/>
  <c r="MZ159" i="1" s="1"/>
  <c r="VT142" i="1"/>
  <c r="BO27" i="5" s="1"/>
  <c r="VK142" i="1"/>
  <c r="BN27" i="5" s="1"/>
  <c r="VB142" i="1"/>
  <c r="BM27" i="5" s="1"/>
  <c r="BL27" i="5"/>
  <c r="BK27" i="5"/>
  <c r="BJ27" i="5"/>
  <c r="BI27" i="5"/>
  <c r="BH27" i="5"/>
  <c r="BG27" i="5"/>
  <c r="BF27" i="5"/>
  <c r="BE27" i="5"/>
  <c r="L113" i="1"/>
  <c r="U113" i="1" s="1"/>
  <c r="AD113" i="1" s="1"/>
  <c r="AM113" i="1" s="1"/>
  <c r="AV113" i="1" s="1"/>
  <c r="BE113" i="1" s="1"/>
  <c r="BN113" i="1" s="1"/>
  <c r="BW113" i="1" s="1"/>
  <c r="CF113" i="1" s="1"/>
  <c r="CO113" i="1" s="1"/>
  <c r="CX113" i="1" s="1"/>
  <c r="DG113" i="1" s="1"/>
  <c r="DP113" i="1" s="1"/>
  <c r="DY113" i="1" s="1"/>
  <c r="EH113" i="1" s="1"/>
  <c r="EQ113" i="1" s="1"/>
  <c r="EZ113" i="1" s="1"/>
  <c r="FI113" i="1" s="1"/>
  <c r="FR113" i="1" s="1"/>
  <c r="GA113" i="1" s="1"/>
  <c r="GJ113" i="1" s="1"/>
  <c r="GS113" i="1" s="1"/>
  <c r="HB113" i="1" s="1"/>
  <c r="HK113" i="1" s="1"/>
  <c r="HU113" i="1" s="1"/>
  <c r="ID113" i="1" s="1"/>
  <c r="IM113" i="1" s="1"/>
  <c r="IV113" i="1" s="1"/>
  <c r="JE113" i="1" s="1"/>
  <c r="JN113" i="1" s="1"/>
  <c r="JW113" i="1" s="1"/>
  <c r="KF113" i="1" s="1"/>
  <c r="KO113" i="1" s="1"/>
  <c r="KX113" i="1" s="1"/>
  <c r="LG113" i="1" s="1"/>
  <c r="LP113" i="1" s="1"/>
  <c r="LY113" i="1" s="1"/>
  <c r="MH113" i="1" s="1"/>
  <c r="MQ113" i="1" s="1"/>
  <c r="MZ113" i="1" s="1"/>
  <c r="L114" i="1"/>
  <c r="U114" i="1" s="1"/>
  <c r="AD114" i="1" s="1"/>
  <c r="AM114" i="1" s="1"/>
  <c r="AV114" i="1" s="1"/>
  <c r="BE114" i="1" s="1"/>
  <c r="BN114" i="1" s="1"/>
  <c r="BW114" i="1" s="1"/>
  <c r="CF114" i="1" s="1"/>
  <c r="CO114" i="1" s="1"/>
  <c r="CX114" i="1" s="1"/>
  <c r="DG114" i="1" s="1"/>
  <c r="DP114" i="1" s="1"/>
  <c r="DY114" i="1" s="1"/>
  <c r="EH114" i="1" s="1"/>
  <c r="EQ114" i="1" s="1"/>
  <c r="EZ114" i="1" s="1"/>
  <c r="FI114" i="1" s="1"/>
  <c r="FR114" i="1" s="1"/>
  <c r="GA114" i="1" s="1"/>
  <c r="GJ114" i="1" s="1"/>
  <c r="GS114" i="1" s="1"/>
  <c r="HB114" i="1" s="1"/>
  <c r="HK114" i="1" s="1"/>
  <c r="HU114" i="1" s="1"/>
  <c r="ID114" i="1" s="1"/>
  <c r="IM114" i="1" s="1"/>
  <c r="IV114" i="1" s="1"/>
  <c r="JE114" i="1" s="1"/>
  <c r="JN114" i="1" s="1"/>
  <c r="JW114" i="1" s="1"/>
  <c r="KF114" i="1" s="1"/>
  <c r="KO114" i="1" s="1"/>
  <c r="KX114" i="1" s="1"/>
  <c r="LG114" i="1" s="1"/>
  <c r="LP114" i="1" s="1"/>
  <c r="LY114" i="1" s="1"/>
  <c r="MH114" i="1" s="1"/>
  <c r="MQ114" i="1" s="1"/>
  <c r="MZ114" i="1" s="1"/>
  <c r="L115" i="1"/>
  <c r="U115" i="1" s="1"/>
  <c r="AD115" i="1" s="1"/>
  <c r="AM115" i="1" s="1"/>
  <c r="AV115" i="1" s="1"/>
  <c r="BE115" i="1" s="1"/>
  <c r="BN115" i="1" s="1"/>
  <c r="BW115" i="1" s="1"/>
  <c r="CF115" i="1" s="1"/>
  <c r="CO115" i="1" s="1"/>
  <c r="CX115" i="1" s="1"/>
  <c r="DG115" i="1" s="1"/>
  <c r="DP115" i="1" s="1"/>
  <c r="DY115" i="1" s="1"/>
  <c r="EH115" i="1" s="1"/>
  <c r="EQ115" i="1" s="1"/>
  <c r="EZ115" i="1" s="1"/>
  <c r="FI115" i="1" s="1"/>
  <c r="FR115" i="1" s="1"/>
  <c r="GA115" i="1" s="1"/>
  <c r="GJ115" i="1" s="1"/>
  <c r="GS115" i="1" s="1"/>
  <c r="HB115" i="1" s="1"/>
  <c r="HK115" i="1" s="1"/>
  <c r="HU115" i="1" s="1"/>
  <c r="ID115" i="1" s="1"/>
  <c r="IM115" i="1" s="1"/>
  <c r="IV115" i="1" s="1"/>
  <c r="JE115" i="1" s="1"/>
  <c r="JN115" i="1" s="1"/>
  <c r="JW115" i="1" s="1"/>
  <c r="KF115" i="1" s="1"/>
  <c r="KO115" i="1" s="1"/>
  <c r="KX115" i="1" s="1"/>
  <c r="LG115" i="1" s="1"/>
  <c r="LP115" i="1" s="1"/>
  <c r="LY115" i="1" s="1"/>
  <c r="MH115" i="1" s="1"/>
  <c r="MQ115" i="1" s="1"/>
  <c r="MZ115" i="1" s="1"/>
  <c r="L116" i="1"/>
  <c r="U116" i="1" s="1"/>
  <c r="AD116" i="1" s="1"/>
  <c r="AM116" i="1" s="1"/>
  <c r="AV116" i="1" s="1"/>
  <c r="BE116" i="1" s="1"/>
  <c r="BN116" i="1" s="1"/>
  <c r="BW116" i="1" s="1"/>
  <c r="CF116" i="1" s="1"/>
  <c r="CO116" i="1" s="1"/>
  <c r="CX116" i="1" s="1"/>
  <c r="DG116" i="1" s="1"/>
  <c r="DP116" i="1" s="1"/>
  <c r="DY116" i="1" s="1"/>
  <c r="EH116" i="1" s="1"/>
  <c r="EQ116" i="1" s="1"/>
  <c r="EZ116" i="1" s="1"/>
  <c r="FI116" i="1" s="1"/>
  <c r="FR116" i="1" s="1"/>
  <c r="GA116" i="1" s="1"/>
  <c r="GJ116" i="1" s="1"/>
  <c r="GS116" i="1" s="1"/>
  <c r="HB116" i="1" s="1"/>
  <c r="HK116" i="1" s="1"/>
  <c r="HU116" i="1" s="1"/>
  <c r="ID116" i="1" s="1"/>
  <c r="IM116" i="1" s="1"/>
  <c r="IV116" i="1" s="1"/>
  <c r="JE116" i="1" s="1"/>
  <c r="JN116" i="1" s="1"/>
  <c r="JW116" i="1" s="1"/>
  <c r="KF116" i="1" s="1"/>
  <c r="KO116" i="1" s="1"/>
  <c r="KX116" i="1" s="1"/>
  <c r="LG116" i="1" s="1"/>
  <c r="LP116" i="1" s="1"/>
  <c r="LY116" i="1" s="1"/>
  <c r="MH116" i="1" s="1"/>
  <c r="MQ116" i="1" s="1"/>
  <c r="MZ116" i="1" s="1"/>
  <c r="L117" i="1"/>
  <c r="U117" i="1" s="1"/>
  <c r="AD117" i="1" s="1"/>
  <c r="AM117" i="1" s="1"/>
  <c r="AV117" i="1" s="1"/>
  <c r="BE117" i="1" s="1"/>
  <c r="BN117" i="1" s="1"/>
  <c r="BW117" i="1" s="1"/>
  <c r="CF117" i="1" s="1"/>
  <c r="CO117" i="1" s="1"/>
  <c r="CX117" i="1" s="1"/>
  <c r="DG117" i="1" s="1"/>
  <c r="DP117" i="1" s="1"/>
  <c r="DY117" i="1" s="1"/>
  <c r="EH117" i="1" s="1"/>
  <c r="EQ117" i="1" s="1"/>
  <c r="EZ117" i="1" s="1"/>
  <c r="FI117" i="1" s="1"/>
  <c r="FR117" i="1" s="1"/>
  <c r="GA117" i="1" s="1"/>
  <c r="GJ117" i="1" s="1"/>
  <c r="GS117" i="1" s="1"/>
  <c r="HB117" i="1" s="1"/>
  <c r="HK117" i="1" s="1"/>
  <c r="HU117" i="1" s="1"/>
  <c r="ID117" i="1" s="1"/>
  <c r="IM117" i="1" s="1"/>
  <c r="IV117" i="1" s="1"/>
  <c r="JE117" i="1" s="1"/>
  <c r="JN117" i="1" s="1"/>
  <c r="JW117" i="1" s="1"/>
  <c r="KF117" i="1" s="1"/>
  <c r="KO117" i="1" s="1"/>
  <c r="KX117" i="1" s="1"/>
  <c r="LG117" i="1" s="1"/>
  <c r="LP117" i="1" s="1"/>
  <c r="LY117" i="1" s="1"/>
  <c r="MH117" i="1" s="1"/>
  <c r="MQ117" i="1" s="1"/>
  <c r="MZ117" i="1" s="1"/>
  <c r="L118" i="1"/>
  <c r="U118" i="1" s="1"/>
  <c r="AD118" i="1" s="1"/>
  <c r="AM118" i="1" s="1"/>
  <c r="AV118" i="1" s="1"/>
  <c r="BE118" i="1" s="1"/>
  <c r="BN118" i="1" s="1"/>
  <c r="BW118" i="1" s="1"/>
  <c r="CF118" i="1" s="1"/>
  <c r="CO118" i="1" s="1"/>
  <c r="CX118" i="1" s="1"/>
  <c r="DG118" i="1" s="1"/>
  <c r="DP118" i="1" s="1"/>
  <c r="DY118" i="1" s="1"/>
  <c r="EH118" i="1" s="1"/>
  <c r="EQ118" i="1" s="1"/>
  <c r="EZ118" i="1" s="1"/>
  <c r="FI118" i="1" s="1"/>
  <c r="FR118" i="1" s="1"/>
  <c r="GA118" i="1" s="1"/>
  <c r="GJ118" i="1" s="1"/>
  <c r="GS118" i="1" s="1"/>
  <c r="HB118" i="1" s="1"/>
  <c r="HK118" i="1" s="1"/>
  <c r="HU118" i="1" s="1"/>
  <c r="ID118" i="1" s="1"/>
  <c r="IM118" i="1" s="1"/>
  <c r="IV118" i="1" s="1"/>
  <c r="JE118" i="1" s="1"/>
  <c r="JN118" i="1" s="1"/>
  <c r="JW118" i="1" s="1"/>
  <c r="KF118" i="1" s="1"/>
  <c r="KO118" i="1" s="1"/>
  <c r="KX118" i="1" s="1"/>
  <c r="LG118" i="1" s="1"/>
  <c r="LP118" i="1" s="1"/>
  <c r="LY118" i="1" s="1"/>
  <c r="MH118" i="1" s="1"/>
  <c r="MQ118" i="1" s="1"/>
  <c r="MZ118" i="1" s="1"/>
  <c r="L119" i="1"/>
  <c r="U119" i="1" s="1"/>
  <c r="AD119" i="1" s="1"/>
  <c r="AM119" i="1" s="1"/>
  <c r="AV119" i="1" s="1"/>
  <c r="BE119" i="1" s="1"/>
  <c r="BN119" i="1" s="1"/>
  <c r="BW119" i="1" s="1"/>
  <c r="CF119" i="1" s="1"/>
  <c r="CO119" i="1" s="1"/>
  <c r="CX119" i="1" s="1"/>
  <c r="DG119" i="1" s="1"/>
  <c r="DP119" i="1" s="1"/>
  <c r="DY119" i="1" s="1"/>
  <c r="EH119" i="1" s="1"/>
  <c r="EQ119" i="1" s="1"/>
  <c r="EZ119" i="1" s="1"/>
  <c r="FI119" i="1" s="1"/>
  <c r="FR119" i="1" s="1"/>
  <c r="GA119" i="1" s="1"/>
  <c r="GJ119" i="1" s="1"/>
  <c r="GS119" i="1" s="1"/>
  <c r="HB119" i="1" s="1"/>
  <c r="HK119" i="1" s="1"/>
  <c r="HU119" i="1" s="1"/>
  <c r="ID119" i="1" s="1"/>
  <c r="IM119" i="1" s="1"/>
  <c r="IV119" i="1" s="1"/>
  <c r="JE119" i="1" s="1"/>
  <c r="JN119" i="1" s="1"/>
  <c r="JW119" i="1" s="1"/>
  <c r="KF119" i="1" s="1"/>
  <c r="KO119" i="1" s="1"/>
  <c r="KX119" i="1" s="1"/>
  <c r="LG119" i="1" s="1"/>
  <c r="LP119" i="1" s="1"/>
  <c r="LY119" i="1" s="1"/>
  <c r="MH119" i="1" s="1"/>
  <c r="MQ119" i="1" s="1"/>
  <c r="MZ119" i="1" s="1"/>
  <c r="L120" i="1"/>
  <c r="U120" i="1" s="1"/>
  <c r="AD120" i="1" s="1"/>
  <c r="AM120" i="1" s="1"/>
  <c r="AV120" i="1" s="1"/>
  <c r="BE120" i="1" s="1"/>
  <c r="BN120" i="1" s="1"/>
  <c r="BW120" i="1" s="1"/>
  <c r="CF120" i="1" s="1"/>
  <c r="CO120" i="1" s="1"/>
  <c r="CX120" i="1" s="1"/>
  <c r="DG120" i="1" s="1"/>
  <c r="DP120" i="1" s="1"/>
  <c r="DY120" i="1" s="1"/>
  <c r="EH120" i="1" s="1"/>
  <c r="EQ120" i="1" s="1"/>
  <c r="EZ120" i="1" s="1"/>
  <c r="FI120" i="1" s="1"/>
  <c r="FR120" i="1" s="1"/>
  <c r="GA120" i="1" s="1"/>
  <c r="GJ120" i="1" s="1"/>
  <c r="GS120" i="1" s="1"/>
  <c r="HB120" i="1" s="1"/>
  <c r="HK120" i="1" s="1"/>
  <c r="HU120" i="1" s="1"/>
  <c r="ID120" i="1" s="1"/>
  <c r="IM120" i="1" s="1"/>
  <c r="IV120" i="1" s="1"/>
  <c r="JE120" i="1" s="1"/>
  <c r="JN120" i="1" s="1"/>
  <c r="JW120" i="1" s="1"/>
  <c r="KF120" i="1" s="1"/>
  <c r="KO120" i="1" s="1"/>
  <c r="KX120" i="1" s="1"/>
  <c r="LG120" i="1" s="1"/>
  <c r="LP120" i="1" s="1"/>
  <c r="LY120" i="1" s="1"/>
  <c r="MH120" i="1" s="1"/>
  <c r="MQ120" i="1" s="1"/>
  <c r="MZ120" i="1" s="1"/>
  <c r="L121" i="1"/>
  <c r="U121" i="1" s="1"/>
  <c r="AD121" i="1" s="1"/>
  <c r="AM121" i="1" s="1"/>
  <c r="AV121" i="1" s="1"/>
  <c r="BE121" i="1" s="1"/>
  <c r="BN121" i="1" s="1"/>
  <c r="BW121" i="1" s="1"/>
  <c r="CF121" i="1" s="1"/>
  <c r="CO121" i="1" s="1"/>
  <c r="CX121" i="1" s="1"/>
  <c r="DG121" i="1" s="1"/>
  <c r="DP121" i="1" s="1"/>
  <c r="DY121" i="1" s="1"/>
  <c r="EH121" i="1" s="1"/>
  <c r="EQ121" i="1" s="1"/>
  <c r="EZ121" i="1" s="1"/>
  <c r="FI121" i="1" s="1"/>
  <c r="FR121" i="1" s="1"/>
  <c r="GA121" i="1" s="1"/>
  <c r="GJ121" i="1" s="1"/>
  <c r="GS121" i="1" s="1"/>
  <c r="HB121" i="1" s="1"/>
  <c r="HK121" i="1" s="1"/>
  <c r="HU121" i="1" s="1"/>
  <c r="ID121" i="1" s="1"/>
  <c r="IM121" i="1" s="1"/>
  <c r="IV121" i="1" s="1"/>
  <c r="JE121" i="1" s="1"/>
  <c r="JN121" i="1" s="1"/>
  <c r="JW121" i="1" s="1"/>
  <c r="KF121" i="1" s="1"/>
  <c r="KO121" i="1" s="1"/>
  <c r="KX121" i="1" s="1"/>
  <c r="LG121" i="1" s="1"/>
  <c r="LP121" i="1" s="1"/>
  <c r="LY121" i="1" s="1"/>
  <c r="MH121" i="1" s="1"/>
  <c r="MQ121" i="1" s="1"/>
  <c r="MZ121" i="1" s="1"/>
  <c r="L122" i="1"/>
  <c r="U122" i="1" s="1"/>
  <c r="AD122" i="1" s="1"/>
  <c r="AM122" i="1" s="1"/>
  <c r="AV122" i="1" s="1"/>
  <c r="BE122" i="1" s="1"/>
  <c r="BN122" i="1" s="1"/>
  <c r="BW122" i="1" s="1"/>
  <c r="CF122" i="1" s="1"/>
  <c r="CO122" i="1" s="1"/>
  <c r="CX122" i="1" s="1"/>
  <c r="DG122" i="1" s="1"/>
  <c r="DP122" i="1" s="1"/>
  <c r="DY122" i="1" s="1"/>
  <c r="EH122" i="1" s="1"/>
  <c r="EQ122" i="1" s="1"/>
  <c r="EZ122" i="1" s="1"/>
  <c r="FI122" i="1" s="1"/>
  <c r="FR122" i="1" s="1"/>
  <c r="GA122" i="1" s="1"/>
  <c r="GJ122" i="1" s="1"/>
  <c r="GS122" i="1" s="1"/>
  <c r="HB122" i="1" s="1"/>
  <c r="HK122" i="1" s="1"/>
  <c r="HU122" i="1" s="1"/>
  <c r="ID122" i="1" s="1"/>
  <c r="IM122" i="1" s="1"/>
  <c r="IV122" i="1" s="1"/>
  <c r="JE122" i="1" s="1"/>
  <c r="JN122" i="1" s="1"/>
  <c r="JW122" i="1" s="1"/>
  <c r="KF122" i="1" s="1"/>
  <c r="KO122" i="1" s="1"/>
  <c r="KX122" i="1" s="1"/>
  <c r="LG122" i="1" s="1"/>
  <c r="LP122" i="1" s="1"/>
  <c r="LY122" i="1" s="1"/>
  <c r="MH122" i="1" s="1"/>
  <c r="MQ122" i="1" s="1"/>
  <c r="MZ122" i="1" s="1"/>
  <c r="L123" i="1"/>
  <c r="U123" i="1" s="1"/>
  <c r="AD123" i="1" s="1"/>
  <c r="AM123" i="1" s="1"/>
  <c r="AV123" i="1" s="1"/>
  <c r="BE123" i="1" s="1"/>
  <c r="BN123" i="1" s="1"/>
  <c r="BW123" i="1" s="1"/>
  <c r="CF123" i="1" s="1"/>
  <c r="CO123" i="1" s="1"/>
  <c r="CX123" i="1" s="1"/>
  <c r="DG123" i="1" s="1"/>
  <c r="DP123" i="1" s="1"/>
  <c r="DY123" i="1" s="1"/>
  <c r="EH123" i="1" s="1"/>
  <c r="EQ123" i="1" s="1"/>
  <c r="EZ123" i="1" s="1"/>
  <c r="FI123" i="1" s="1"/>
  <c r="FR123" i="1" s="1"/>
  <c r="GA123" i="1" s="1"/>
  <c r="GJ123" i="1" s="1"/>
  <c r="GS123" i="1" s="1"/>
  <c r="HB123" i="1" s="1"/>
  <c r="HK123" i="1" s="1"/>
  <c r="HU123" i="1" s="1"/>
  <c r="ID123" i="1" s="1"/>
  <c r="IM123" i="1" s="1"/>
  <c r="IV123" i="1" s="1"/>
  <c r="JE123" i="1" s="1"/>
  <c r="JN123" i="1" s="1"/>
  <c r="JW123" i="1" s="1"/>
  <c r="KF123" i="1" s="1"/>
  <c r="KO123" i="1" s="1"/>
  <c r="KX123" i="1" s="1"/>
  <c r="LG123" i="1" s="1"/>
  <c r="LP123" i="1" s="1"/>
  <c r="LY123" i="1" s="1"/>
  <c r="MH123" i="1" s="1"/>
  <c r="MQ123" i="1" s="1"/>
  <c r="MZ123" i="1" s="1"/>
  <c r="L124" i="1"/>
  <c r="U124" i="1" s="1"/>
  <c r="AD124" i="1" s="1"/>
  <c r="AM124" i="1" s="1"/>
  <c r="AV124" i="1" s="1"/>
  <c r="BE124" i="1" s="1"/>
  <c r="BN124" i="1" s="1"/>
  <c r="BW124" i="1" s="1"/>
  <c r="CF124" i="1" s="1"/>
  <c r="CO124" i="1" s="1"/>
  <c r="CX124" i="1" s="1"/>
  <c r="DG124" i="1" s="1"/>
  <c r="DP124" i="1" s="1"/>
  <c r="DY124" i="1" s="1"/>
  <c r="EH124" i="1" s="1"/>
  <c r="EQ124" i="1" s="1"/>
  <c r="EZ124" i="1" s="1"/>
  <c r="FI124" i="1" s="1"/>
  <c r="FR124" i="1" s="1"/>
  <c r="GA124" i="1" s="1"/>
  <c r="GJ124" i="1" s="1"/>
  <c r="GS124" i="1" s="1"/>
  <c r="HB124" i="1" s="1"/>
  <c r="HK124" i="1" s="1"/>
  <c r="HU124" i="1" s="1"/>
  <c r="ID124" i="1" s="1"/>
  <c r="IM124" i="1" s="1"/>
  <c r="IV124" i="1" s="1"/>
  <c r="JE124" i="1" s="1"/>
  <c r="JN124" i="1" s="1"/>
  <c r="JW124" i="1" s="1"/>
  <c r="KF124" i="1" s="1"/>
  <c r="KO124" i="1" s="1"/>
  <c r="KX124" i="1" s="1"/>
  <c r="LG124" i="1" s="1"/>
  <c r="LP124" i="1" s="1"/>
  <c r="LY124" i="1" s="1"/>
  <c r="MH124" i="1" s="1"/>
  <c r="MQ124" i="1" s="1"/>
  <c r="MZ124" i="1" s="1"/>
  <c r="L125" i="1"/>
  <c r="U125" i="1" s="1"/>
  <c r="AD125" i="1" s="1"/>
  <c r="AM125" i="1" s="1"/>
  <c r="AV125" i="1" s="1"/>
  <c r="BE125" i="1" s="1"/>
  <c r="BN125" i="1" s="1"/>
  <c r="BW125" i="1" s="1"/>
  <c r="CF125" i="1" s="1"/>
  <c r="CO125" i="1" s="1"/>
  <c r="CX125" i="1" s="1"/>
  <c r="DG125" i="1" s="1"/>
  <c r="DP125" i="1" s="1"/>
  <c r="DY125" i="1" s="1"/>
  <c r="EH125" i="1" s="1"/>
  <c r="EQ125" i="1" s="1"/>
  <c r="EZ125" i="1" s="1"/>
  <c r="FI125" i="1" s="1"/>
  <c r="FR125" i="1" s="1"/>
  <c r="GA125" i="1" s="1"/>
  <c r="GJ125" i="1" s="1"/>
  <c r="GS125" i="1" s="1"/>
  <c r="HB125" i="1" s="1"/>
  <c r="HK125" i="1" s="1"/>
  <c r="HU125" i="1" s="1"/>
  <c r="ID125" i="1" s="1"/>
  <c r="IM125" i="1" s="1"/>
  <c r="IV125" i="1" s="1"/>
  <c r="JE125" i="1" s="1"/>
  <c r="JN125" i="1" s="1"/>
  <c r="JW125" i="1" s="1"/>
  <c r="KF125" i="1" s="1"/>
  <c r="KO125" i="1" s="1"/>
  <c r="KX125" i="1" s="1"/>
  <c r="LG125" i="1" s="1"/>
  <c r="LP125" i="1" s="1"/>
  <c r="LY125" i="1" s="1"/>
  <c r="MH125" i="1" s="1"/>
  <c r="MQ125" i="1" s="1"/>
  <c r="MZ125" i="1" s="1"/>
  <c r="L126" i="1"/>
  <c r="U126" i="1" s="1"/>
  <c r="AD126" i="1" s="1"/>
  <c r="AM126" i="1" s="1"/>
  <c r="AV126" i="1" s="1"/>
  <c r="BE126" i="1" s="1"/>
  <c r="BN126" i="1" s="1"/>
  <c r="BW126" i="1" s="1"/>
  <c r="CF126" i="1" s="1"/>
  <c r="CO126" i="1" s="1"/>
  <c r="CX126" i="1" s="1"/>
  <c r="DG126" i="1" s="1"/>
  <c r="DP126" i="1" s="1"/>
  <c r="DY126" i="1" s="1"/>
  <c r="EH126" i="1" s="1"/>
  <c r="EQ126" i="1" s="1"/>
  <c r="EZ126" i="1" s="1"/>
  <c r="FI126" i="1" s="1"/>
  <c r="FR126" i="1" s="1"/>
  <c r="GA126" i="1" s="1"/>
  <c r="GJ126" i="1" s="1"/>
  <c r="GS126" i="1" s="1"/>
  <c r="HB126" i="1" s="1"/>
  <c r="HK126" i="1" s="1"/>
  <c r="HU126" i="1" s="1"/>
  <c r="ID126" i="1" s="1"/>
  <c r="IM126" i="1" s="1"/>
  <c r="IV126" i="1" s="1"/>
  <c r="JE126" i="1" s="1"/>
  <c r="JN126" i="1" s="1"/>
  <c r="JW126" i="1" s="1"/>
  <c r="KF126" i="1" s="1"/>
  <c r="KO126" i="1" s="1"/>
  <c r="KX126" i="1" s="1"/>
  <c r="LG126" i="1" s="1"/>
  <c r="LP126" i="1" s="1"/>
  <c r="LY126" i="1" s="1"/>
  <c r="MH126" i="1" s="1"/>
  <c r="MQ126" i="1" s="1"/>
  <c r="MZ126" i="1" s="1"/>
  <c r="L127" i="1"/>
  <c r="U127" i="1" s="1"/>
  <c r="AD127" i="1" s="1"/>
  <c r="AM127" i="1" s="1"/>
  <c r="AV127" i="1" s="1"/>
  <c r="BE127" i="1" s="1"/>
  <c r="BN127" i="1" s="1"/>
  <c r="BW127" i="1" s="1"/>
  <c r="CF127" i="1" s="1"/>
  <c r="CO127" i="1" s="1"/>
  <c r="CX127" i="1" s="1"/>
  <c r="DG127" i="1" s="1"/>
  <c r="DP127" i="1" s="1"/>
  <c r="DY127" i="1" s="1"/>
  <c r="EH127" i="1" s="1"/>
  <c r="EQ127" i="1" s="1"/>
  <c r="EZ127" i="1" s="1"/>
  <c r="FI127" i="1" s="1"/>
  <c r="FR127" i="1" s="1"/>
  <c r="GA127" i="1" s="1"/>
  <c r="GJ127" i="1" s="1"/>
  <c r="GS127" i="1" s="1"/>
  <c r="HB127" i="1" s="1"/>
  <c r="HK127" i="1" s="1"/>
  <c r="HU127" i="1" s="1"/>
  <c r="ID127" i="1" s="1"/>
  <c r="IM127" i="1" s="1"/>
  <c r="IV127" i="1" s="1"/>
  <c r="JE127" i="1" s="1"/>
  <c r="JN127" i="1" s="1"/>
  <c r="JW127" i="1" s="1"/>
  <c r="KF127" i="1" s="1"/>
  <c r="KO127" i="1" s="1"/>
  <c r="KX127" i="1" s="1"/>
  <c r="LG127" i="1" s="1"/>
  <c r="LP127" i="1" s="1"/>
  <c r="LY127" i="1" s="1"/>
  <c r="MH127" i="1" s="1"/>
  <c r="MQ127" i="1" s="1"/>
  <c r="MZ127" i="1" s="1"/>
  <c r="L128" i="1"/>
  <c r="U128" i="1" s="1"/>
  <c r="AD128" i="1" s="1"/>
  <c r="AM128" i="1" s="1"/>
  <c r="AV128" i="1" s="1"/>
  <c r="BE128" i="1" s="1"/>
  <c r="BN128" i="1" s="1"/>
  <c r="BW128" i="1" s="1"/>
  <c r="CF128" i="1" s="1"/>
  <c r="CO128" i="1" s="1"/>
  <c r="CX128" i="1" s="1"/>
  <c r="DG128" i="1" s="1"/>
  <c r="DP128" i="1" s="1"/>
  <c r="DY128" i="1" s="1"/>
  <c r="EH128" i="1" s="1"/>
  <c r="EQ128" i="1" s="1"/>
  <c r="EZ128" i="1" s="1"/>
  <c r="FI128" i="1" s="1"/>
  <c r="FR128" i="1" s="1"/>
  <c r="GA128" i="1" s="1"/>
  <c r="GJ128" i="1" s="1"/>
  <c r="GS128" i="1" s="1"/>
  <c r="HB128" i="1" s="1"/>
  <c r="HK128" i="1" s="1"/>
  <c r="HU128" i="1" s="1"/>
  <c r="ID128" i="1" s="1"/>
  <c r="IM128" i="1" s="1"/>
  <c r="IV128" i="1" s="1"/>
  <c r="JE128" i="1" s="1"/>
  <c r="JN128" i="1" s="1"/>
  <c r="JW128" i="1" s="1"/>
  <c r="KF128" i="1" s="1"/>
  <c r="KO128" i="1" s="1"/>
  <c r="KX128" i="1" s="1"/>
  <c r="LG128" i="1" s="1"/>
  <c r="LP128" i="1" s="1"/>
  <c r="LY128" i="1" s="1"/>
  <c r="MH128" i="1" s="1"/>
  <c r="MQ128" i="1" s="1"/>
  <c r="MZ128" i="1" s="1"/>
  <c r="L129" i="1"/>
  <c r="U129" i="1" s="1"/>
  <c r="AD129" i="1" s="1"/>
  <c r="AM129" i="1" s="1"/>
  <c r="AV129" i="1" s="1"/>
  <c r="BE129" i="1" s="1"/>
  <c r="BN129" i="1" s="1"/>
  <c r="BW129" i="1" s="1"/>
  <c r="CF129" i="1" s="1"/>
  <c r="CO129" i="1" s="1"/>
  <c r="CX129" i="1" s="1"/>
  <c r="DG129" i="1" s="1"/>
  <c r="DP129" i="1" s="1"/>
  <c r="DY129" i="1" s="1"/>
  <c r="EH129" i="1" s="1"/>
  <c r="EQ129" i="1" s="1"/>
  <c r="EZ129" i="1" s="1"/>
  <c r="FI129" i="1" s="1"/>
  <c r="FR129" i="1" s="1"/>
  <c r="GA129" i="1" s="1"/>
  <c r="GJ129" i="1" s="1"/>
  <c r="GS129" i="1" s="1"/>
  <c r="HB129" i="1" s="1"/>
  <c r="HK129" i="1" s="1"/>
  <c r="HU129" i="1" s="1"/>
  <c r="ID129" i="1" s="1"/>
  <c r="IM129" i="1" s="1"/>
  <c r="IV129" i="1" s="1"/>
  <c r="JE129" i="1" s="1"/>
  <c r="JN129" i="1" s="1"/>
  <c r="JW129" i="1" s="1"/>
  <c r="KF129" i="1" s="1"/>
  <c r="KO129" i="1" s="1"/>
  <c r="KX129" i="1" s="1"/>
  <c r="LG129" i="1" s="1"/>
  <c r="LP129" i="1" s="1"/>
  <c r="LY129" i="1" s="1"/>
  <c r="MH129" i="1" s="1"/>
  <c r="MQ129" i="1" s="1"/>
  <c r="MZ129" i="1" s="1"/>
  <c r="L130" i="1"/>
  <c r="U130" i="1" s="1"/>
  <c r="AD130" i="1" s="1"/>
  <c r="AM130" i="1" s="1"/>
  <c r="AV130" i="1" s="1"/>
  <c r="BE130" i="1" s="1"/>
  <c r="BN130" i="1" s="1"/>
  <c r="BW130" i="1" s="1"/>
  <c r="CF130" i="1" s="1"/>
  <c r="CO130" i="1" s="1"/>
  <c r="CX130" i="1" s="1"/>
  <c r="DG130" i="1" s="1"/>
  <c r="DP130" i="1" s="1"/>
  <c r="DY130" i="1" s="1"/>
  <c r="EH130" i="1" s="1"/>
  <c r="EQ130" i="1" s="1"/>
  <c r="EZ130" i="1" s="1"/>
  <c r="FI130" i="1" s="1"/>
  <c r="FR130" i="1" s="1"/>
  <c r="GA130" i="1" s="1"/>
  <c r="GJ130" i="1" s="1"/>
  <c r="GS130" i="1" s="1"/>
  <c r="HB130" i="1" s="1"/>
  <c r="HK130" i="1" s="1"/>
  <c r="HU130" i="1" s="1"/>
  <c r="ID130" i="1" s="1"/>
  <c r="IM130" i="1" s="1"/>
  <c r="IV130" i="1" s="1"/>
  <c r="JE130" i="1" s="1"/>
  <c r="JN130" i="1" s="1"/>
  <c r="JW130" i="1" s="1"/>
  <c r="KF130" i="1" s="1"/>
  <c r="KO130" i="1" s="1"/>
  <c r="KX130" i="1" s="1"/>
  <c r="LG130" i="1" s="1"/>
  <c r="LP130" i="1" s="1"/>
  <c r="LY130" i="1" s="1"/>
  <c r="MH130" i="1" s="1"/>
  <c r="MQ130" i="1" s="1"/>
  <c r="MZ130" i="1" s="1"/>
  <c r="L131" i="1"/>
  <c r="U131" i="1" s="1"/>
  <c r="AD131" i="1" s="1"/>
  <c r="AM131" i="1" s="1"/>
  <c r="AV131" i="1" s="1"/>
  <c r="BE131" i="1" s="1"/>
  <c r="BN131" i="1" s="1"/>
  <c r="BW131" i="1" s="1"/>
  <c r="CF131" i="1" s="1"/>
  <c r="CO131" i="1" s="1"/>
  <c r="CX131" i="1" s="1"/>
  <c r="DG131" i="1" s="1"/>
  <c r="DP131" i="1" s="1"/>
  <c r="DY131" i="1" s="1"/>
  <c r="EH131" i="1" s="1"/>
  <c r="EQ131" i="1" s="1"/>
  <c r="EZ131" i="1" s="1"/>
  <c r="FI131" i="1" s="1"/>
  <c r="FR131" i="1" s="1"/>
  <c r="GA131" i="1" s="1"/>
  <c r="GJ131" i="1" s="1"/>
  <c r="GS131" i="1" s="1"/>
  <c r="HB131" i="1" s="1"/>
  <c r="HK131" i="1" s="1"/>
  <c r="HU131" i="1" s="1"/>
  <c r="ID131" i="1" s="1"/>
  <c r="IM131" i="1" s="1"/>
  <c r="IV131" i="1" s="1"/>
  <c r="JE131" i="1" s="1"/>
  <c r="JN131" i="1" s="1"/>
  <c r="JW131" i="1" s="1"/>
  <c r="KF131" i="1" s="1"/>
  <c r="KO131" i="1" s="1"/>
  <c r="KX131" i="1" s="1"/>
  <c r="LG131" i="1" s="1"/>
  <c r="LP131" i="1" s="1"/>
  <c r="LY131" i="1" s="1"/>
  <c r="MH131" i="1" s="1"/>
  <c r="MQ131" i="1" s="1"/>
  <c r="MZ131" i="1" s="1"/>
  <c r="L132" i="1"/>
  <c r="U132" i="1" s="1"/>
  <c r="AD132" i="1" s="1"/>
  <c r="AM132" i="1" s="1"/>
  <c r="AV132" i="1" s="1"/>
  <c r="BE132" i="1" s="1"/>
  <c r="BN132" i="1" s="1"/>
  <c r="BW132" i="1" s="1"/>
  <c r="CF132" i="1" s="1"/>
  <c r="CO132" i="1" s="1"/>
  <c r="CX132" i="1" s="1"/>
  <c r="DG132" i="1" s="1"/>
  <c r="DP132" i="1" s="1"/>
  <c r="DY132" i="1" s="1"/>
  <c r="EH132" i="1" s="1"/>
  <c r="EQ132" i="1" s="1"/>
  <c r="EZ132" i="1" s="1"/>
  <c r="FI132" i="1" s="1"/>
  <c r="FR132" i="1" s="1"/>
  <c r="GA132" i="1" s="1"/>
  <c r="GJ132" i="1" s="1"/>
  <c r="GS132" i="1" s="1"/>
  <c r="HB132" i="1" s="1"/>
  <c r="HK132" i="1" s="1"/>
  <c r="HU132" i="1" s="1"/>
  <c r="ID132" i="1" s="1"/>
  <c r="IM132" i="1" s="1"/>
  <c r="IV132" i="1" s="1"/>
  <c r="JE132" i="1" s="1"/>
  <c r="JN132" i="1" s="1"/>
  <c r="JW132" i="1" s="1"/>
  <c r="KF132" i="1" s="1"/>
  <c r="KO132" i="1" s="1"/>
  <c r="KX132" i="1" s="1"/>
  <c r="LG132" i="1" s="1"/>
  <c r="LP132" i="1" s="1"/>
  <c r="LY132" i="1" s="1"/>
  <c r="MH132" i="1" s="1"/>
  <c r="MQ132" i="1" s="1"/>
  <c r="MZ132" i="1" s="1"/>
  <c r="L133" i="1"/>
  <c r="U133" i="1" s="1"/>
  <c r="AD133" i="1" s="1"/>
  <c r="AM133" i="1" s="1"/>
  <c r="AV133" i="1" s="1"/>
  <c r="BE133" i="1" s="1"/>
  <c r="BN133" i="1" s="1"/>
  <c r="BW133" i="1" s="1"/>
  <c r="CF133" i="1" s="1"/>
  <c r="CO133" i="1" s="1"/>
  <c r="CX133" i="1" s="1"/>
  <c r="DG133" i="1" s="1"/>
  <c r="DP133" i="1" s="1"/>
  <c r="DY133" i="1" s="1"/>
  <c r="EH133" i="1" s="1"/>
  <c r="EQ133" i="1" s="1"/>
  <c r="EZ133" i="1" s="1"/>
  <c r="FI133" i="1" s="1"/>
  <c r="FR133" i="1" s="1"/>
  <c r="GA133" i="1" s="1"/>
  <c r="GJ133" i="1" s="1"/>
  <c r="GS133" i="1" s="1"/>
  <c r="HB133" i="1" s="1"/>
  <c r="HK133" i="1" s="1"/>
  <c r="HU133" i="1" s="1"/>
  <c r="ID133" i="1" s="1"/>
  <c r="IM133" i="1" s="1"/>
  <c r="IV133" i="1" s="1"/>
  <c r="JE133" i="1" s="1"/>
  <c r="JN133" i="1" s="1"/>
  <c r="JW133" i="1" s="1"/>
  <c r="KF133" i="1" s="1"/>
  <c r="KO133" i="1" s="1"/>
  <c r="KX133" i="1" s="1"/>
  <c r="LG133" i="1" s="1"/>
  <c r="LP133" i="1" s="1"/>
  <c r="LY133" i="1" s="1"/>
  <c r="MH133" i="1" s="1"/>
  <c r="MQ133" i="1" s="1"/>
  <c r="MZ133" i="1" s="1"/>
  <c r="NI133" i="1" s="1"/>
  <c r="L134" i="1"/>
  <c r="U134" i="1" s="1"/>
  <c r="AD134" i="1" s="1"/>
  <c r="AM134" i="1" s="1"/>
  <c r="AV134" i="1" s="1"/>
  <c r="BE134" i="1" s="1"/>
  <c r="BN134" i="1" s="1"/>
  <c r="BW134" i="1" s="1"/>
  <c r="CF134" i="1" s="1"/>
  <c r="CO134" i="1" s="1"/>
  <c r="CX134" i="1" s="1"/>
  <c r="DG134" i="1" s="1"/>
  <c r="DP134" i="1" s="1"/>
  <c r="DY134" i="1" s="1"/>
  <c r="EH134" i="1" s="1"/>
  <c r="EQ134" i="1" s="1"/>
  <c r="EZ134" i="1" s="1"/>
  <c r="FI134" i="1" s="1"/>
  <c r="FR134" i="1" s="1"/>
  <c r="GA134" i="1" s="1"/>
  <c r="GJ134" i="1" s="1"/>
  <c r="GS134" i="1" s="1"/>
  <c r="HB134" i="1" s="1"/>
  <c r="HK134" i="1" s="1"/>
  <c r="HU134" i="1" s="1"/>
  <c r="ID134" i="1" s="1"/>
  <c r="IM134" i="1" s="1"/>
  <c r="IV134" i="1" s="1"/>
  <c r="JE134" i="1" s="1"/>
  <c r="JN134" i="1" s="1"/>
  <c r="JW134" i="1" s="1"/>
  <c r="KF134" i="1" s="1"/>
  <c r="KO134" i="1" s="1"/>
  <c r="KX134" i="1" s="1"/>
  <c r="LG134" i="1" s="1"/>
  <c r="LP134" i="1" s="1"/>
  <c r="LY134" i="1" s="1"/>
  <c r="MH134" i="1" s="1"/>
  <c r="MQ134" i="1" s="1"/>
  <c r="MZ134" i="1" s="1"/>
  <c r="L135" i="1"/>
  <c r="U135" i="1" s="1"/>
  <c r="AD135" i="1" s="1"/>
  <c r="AM135" i="1" s="1"/>
  <c r="AV135" i="1" s="1"/>
  <c r="BE135" i="1" s="1"/>
  <c r="BN135" i="1" s="1"/>
  <c r="BW135" i="1" s="1"/>
  <c r="CF135" i="1" s="1"/>
  <c r="CO135" i="1" s="1"/>
  <c r="CX135" i="1" s="1"/>
  <c r="DG135" i="1" s="1"/>
  <c r="DP135" i="1" s="1"/>
  <c r="DY135" i="1" s="1"/>
  <c r="EH135" i="1" s="1"/>
  <c r="EQ135" i="1" s="1"/>
  <c r="EZ135" i="1" s="1"/>
  <c r="FI135" i="1" s="1"/>
  <c r="FR135" i="1" s="1"/>
  <c r="GA135" i="1" s="1"/>
  <c r="GJ135" i="1" s="1"/>
  <c r="GS135" i="1" s="1"/>
  <c r="HB135" i="1" s="1"/>
  <c r="HK135" i="1" s="1"/>
  <c r="HU135" i="1" s="1"/>
  <c r="ID135" i="1" s="1"/>
  <c r="IM135" i="1" s="1"/>
  <c r="IV135" i="1" s="1"/>
  <c r="JE135" i="1" s="1"/>
  <c r="JN135" i="1" s="1"/>
  <c r="JW135" i="1" s="1"/>
  <c r="KF135" i="1" s="1"/>
  <c r="KO135" i="1" s="1"/>
  <c r="KX135" i="1" s="1"/>
  <c r="LG135" i="1" s="1"/>
  <c r="LP135" i="1" s="1"/>
  <c r="LY135" i="1" s="1"/>
  <c r="MH135" i="1" s="1"/>
  <c r="MQ135" i="1" s="1"/>
  <c r="MZ135" i="1" s="1"/>
  <c r="L136" i="1"/>
  <c r="U136" i="1" s="1"/>
  <c r="AD136" i="1" s="1"/>
  <c r="AM136" i="1" s="1"/>
  <c r="AV136" i="1" s="1"/>
  <c r="BE136" i="1" s="1"/>
  <c r="BN136" i="1" s="1"/>
  <c r="BW136" i="1" s="1"/>
  <c r="CF136" i="1" s="1"/>
  <c r="CO136" i="1" s="1"/>
  <c r="CX136" i="1" s="1"/>
  <c r="DG136" i="1" s="1"/>
  <c r="DP136" i="1" s="1"/>
  <c r="DY136" i="1" s="1"/>
  <c r="EH136" i="1" s="1"/>
  <c r="EQ136" i="1" s="1"/>
  <c r="EZ136" i="1" s="1"/>
  <c r="FI136" i="1" s="1"/>
  <c r="FR136" i="1" s="1"/>
  <c r="GA136" i="1" s="1"/>
  <c r="GJ136" i="1" s="1"/>
  <c r="GS136" i="1" s="1"/>
  <c r="HB136" i="1" s="1"/>
  <c r="HK136" i="1" s="1"/>
  <c r="HU136" i="1" s="1"/>
  <c r="ID136" i="1" s="1"/>
  <c r="IM136" i="1" s="1"/>
  <c r="IV136" i="1" s="1"/>
  <c r="JE136" i="1" s="1"/>
  <c r="JN136" i="1" s="1"/>
  <c r="JW136" i="1" s="1"/>
  <c r="KF136" i="1" s="1"/>
  <c r="KO136" i="1" s="1"/>
  <c r="KX136" i="1" s="1"/>
  <c r="LG136" i="1" s="1"/>
  <c r="LP136" i="1" s="1"/>
  <c r="LY136" i="1" s="1"/>
  <c r="MH136" i="1" s="1"/>
  <c r="MQ136" i="1" s="1"/>
  <c r="MZ136" i="1" s="1"/>
  <c r="L137" i="1"/>
  <c r="U137" i="1" s="1"/>
  <c r="AD137" i="1" s="1"/>
  <c r="AM137" i="1" s="1"/>
  <c r="AV137" i="1" s="1"/>
  <c r="BE137" i="1" s="1"/>
  <c r="BN137" i="1" s="1"/>
  <c r="BW137" i="1" s="1"/>
  <c r="CF137" i="1" s="1"/>
  <c r="CO137" i="1" s="1"/>
  <c r="CX137" i="1" s="1"/>
  <c r="DG137" i="1" s="1"/>
  <c r="DP137" i="1" s="1"/>
  <c r="DY137" i="1" s="1"/>
  <c r="EH137" i="1" s="1"/>
  <c r="EQ137" i="1" s="1"/>
  <c r="EZ137" i="1" s="1"/>
  <c r="FI137" i="1" s="1"/>
  <c r="FR137" i="1" s="1"/>
  <c r="GA137" i="1" s="1"/>
  <c r="GJ137" i="1" s="1"/>
  <c r="GS137" i="1" s="1"/>
  <c r="HB137" i="1" s="1"/>
  <c r="HK137" i="1" s="1"/>
  <c r="HU137" i="1" s="1"/>
  <c r="ID137" i="1" s="1"/>
  <c r="IM137" i="1" s="1"/>
  <c r="IV137" i="1" s="1"/>
  <c r="JE137" i="1" s="1"/>
  <c r="JN137" i="1" s="1"/>
  <c r="JW137" i="1" s="1"/>
  <c r="KF137" i="1" s="1"/>
  <c r="KO137" i="1" s="1"/>
  <c r="KX137" i="1" s="1"/>
  <c r="LG137" i="1" s="1"/>
  <c r="LP137" i="1" s="1"/>
  <c r="LY137" i="1" s="1"/>
  <c r="MH137" i="1" s="1"/>
  <c r="MQ137" i="1" s="1"/>
  <c r="MZ137" i="1" s="1"/>
  <c r="L138" i="1"/>
  <c r="U138" i="1" s="1"/>
  <c r="AD138" i="1" s="1"/>
  <c r="AM138" i="1" s="1"/>
  <c r="AV138" i="1" s="1"/>
  <c r="BE138" i="1" s="1"/>
  <c r="BN138" i="1" s="1"/>
  <c r="BW138" i="1" s="1"/>
  <c r="CF138" i="1" s="1"/>
  <c r="CO138" i="1" s="1"/>
  <c r="CX138" i="1" s="1"/>
  <c r="DG138" i="1" s="1"/>
  <c r="DP138" i="1" s="1"/>
  <c r="DY138" i="1" s="1"/>
  <c r="EH138" i="1" s="1"/>
  <c r="EQ138" i="1" s="1"/>
  <c r="EZ138" i="1" s="1"/>
  <c r="FI138" i="1" s="1"/>
  <c r="FR138" i="1" s="1"/>
  <c r="GA138" i="1" s="1"/>
  <c r="GJ138" i="1" s="1"/>
  <c r="GS138" i="1" s="1"/>
  <c r="HB138" i="1" s="1"/>
  <c r="HK138" i="1" s="1"/>
  <c r="HU138" i="1" s="1"/>
  <c r="ID138" i="1" s="1"/>
  <c r="IM138" i="1" s="1"/>
  <c r="IV138" i="1" s="1"/>
  <c r="JE138" i="1" s="1"/>
  <c r="JN138" i="1" s="1"/>
  <c r="JW138" i="1" s="1"/>
  <c r="KF138" i="1" s="1"/>
  <c r="KO138" i="1" s="1"/>
  <c r="KX138" i="1" s="1"/>
  <c r="LG138" i="1" s="1"/>
  <c r="LP138" i="1" s="1"/>
  <c r="LY138" i="1" s="1"/>
  <c r="MH138" i="1" s="1"/>
  <c r="MQ138" i="1" s="1"/>
  <c r="MZ138" i="1" s="1"/>
  <c r="L139" i="1"/>
  <c r="U139" i="1" s="1"/>
  <c r="AD139" i="1" s="1"/>
  <c r="AM139" i="1" s="1"/>
  <c r="AV139" i="1" s="1"/>
  <c r="BE139" i="1" s="1"/>
  <c r="BN139" i="1" s="1"/>
  <c r="BW139" i="1" s="1"/>
  <c r="CF139" i="1" s="1"/>
  <c r="CO139" i="1" s="1"/>
  <c r="CX139" i="1" s="1"/>
  <c r="DG139" i="1" s="1"/>
  <c r="DP139" i="1" s="1"/>
  <c r="DY139" i="1" s="1"/>
  <c r="EH139" i="1" s="1"/>
  <c r="EQ139" i="1" s="1"/>
  <c r="EZ139" i="1" s="1"/>
  <c r="FI139" i="1" s="1"/>
  <c r="FR139" i="1" s="1"/>
  <c r="GA139" i="1" s="1"/>
  <c r="GJ139" i="1" s="1"/>
  <c r="GS139" i="1" s="1"/>
  <c r="HB139" i="1" s="1"/>
  <c r="HK139" i="1" s="1"/>
  <c r="HU139" i="1" s="1"/>
  <c r="ID139" i="1" s="1"/>
  <c r="IM139" i="1" s="1"/>
  <c r="IV139" i="1" s="1"/>
  <c r="JE139" i="1" s="1"/>
  <c r="JN139" i="1" s="1"/>
  <c r="JW139" i="1" s="1"/>
  <c r="KF139" i="1" s="1"/>
  <c r="KO139" i="1" s="1"/>
  <c r="KX139" i="1" s="1"/>
  <c r="LG139" i="1" s="1"/>
  <c r="LP139" i="1" s="1"/>
  <c r="LY139" i="1" s="1"/>
  <c r="MH139" i="1" s="1"/>
  <c r="MQ139" i="1" s="1"/>
  <c r="MZ139" i="1" s="1"/>
  <c r="L140" i="1"/>
  <c r="U140" i="1" s="1"/>
  <c r="AD140" i="1" s="1"/>
  <c r="AM140" i="1" s="1"/>
  <c r="AV140" i="1" s="1"/>
  <c r="BE140" i="1" s="1"/>
  <c r="BN140" i="1" s="1"/>
  <c r="BW140" i="1" s="1"/>
  <c r="CF140" i="1" s="1"/>
  <c r="CO140" i="1" s="1"/>
  <c r="CX140" i="1" s="1"/>
  <c r="DG140" i="1" s="1"/>
  <c r="DP140" i="1" s="1"/>
  <c r="DY140" i="1" s="1"/>
  <c r="EH140" i="1" s="1"/>
  <c r="EQ140" i="1" s="1"/>
  <c r="EZ140" i="1" s="1"/>
  <c r="FI140" i="1" s="1"/>
  <c r="FR140" i="1" s="1"/>
  <c r="GA140" i="1" s="1"/>
  <c r="GJ140" i="1" s="1"/>
  <c r="GS140" i="1" s="1"/>
  <c r="HB140" i="1" s="1"/>
  <c r="HK140" i="1" s="1"/>
  <c r="HU140" i="1" s="1"/>
  <c r="ID140" i="1" s="1"/>
  <c r="IM140" i="1" s="1"/>
  <c r="IV140" i="1" s="1"/>
  <c r="JE140" i="1" s="1"/>
  <c r="JN140" i="1" s="1"/>
  <c r="JW140" i="1" s="1"/>
  <c r="KF140" i="1" s="1"/>
  <c r="KO140" i="1" s="1"/>
  <c r="KX140" i="1" s="1"/>
  <c r="LG140" i="1" s="1"/>
  <c r="LP140" i="1" s="1"/>
  <c r="LY140" i="1" s="1"/>
  <c r="MH140" i="1" s="1"/>
  <c r="MQ140" i="1" s="1"/>
  <c r="MZ140" i="1" s="1"/>
  <c r="L141" i="1"/>
  <c r="U141" i="1" s="1"/>
  <c r="AD141" i="1" s="1"/>
  <c r="L112" i="1"/>
  <c r="U112" i="1" s="1"/>
  <c r="AD112" i="1" s="1"/>
  <c r="AM112" i="1" s="1"/>
  <c r="AV112" i="1" s="1"/>
  <c r="BE112" i="1" s="1"/>
  <c r="BN112" i="1" s="1"/>
  <c r="BW112" i="1" s="1"/>
  <c r="CF112" i="1" s="1"/>
  <c r="CO112" i="1" s="1"/>
  <c r="CX112" i="1" s="1"/>
  <c r="DG112" i="1" s="1"/>
  <c r="DP112" i="1" s="1"/>
  <c r="DY112" i="1" s="1"/>
  <c r="EH112" i="1" s="1"/>
  <c r="EQ112" i="1" s="1"/>
  <c r="EZ112" i="1" s="1"/>
  <c r="FI112" i="1" s="1"/>
  <c r="FR112" i="1" s="1"/>
  <c r="GA112" i="1" s="1"/>
  <c r="GJ112" i="1" s="1"/>
  <c r="GS112" i="1" s="1"/>
  <c r="HB112" i="1" s="1"/>
  <c r="HK112" i="1" s="1"/>
  <c r="HU112" i="1" s="1"/>
  <c r="ID112" i="1" s="1"/>
  <c r="IM112" i="1" s="1"/>
  <c r="IV112" i="1" s="1"/>
  <c r="JE112" i="1" s="1"/>
  <c r="JN112" i="1" s="1"/>
  <c r="JW112" i="1" s="1"/>
  <c r="KF112" i="1" s="1"/>
  <c r="KO112" i="1" s="1"/>
  <c r="KX112" i="1" s="1"/>
  <c r="LG112" i="1" s="1"/>
  <c r="LP112" i="1" s="1"/>
  <c r="LY112" i="1" s="1"/>
  <c r="MH112" i="1" s="1"/>
  <c r="MQ112" i="1" s="1"/>
  <c r="MZ112" i="1" s="1"/>
  <c r="AM141" i="1"/>
  <c r="AV141" i="1" s="1"/>
  <c r="BE141" i="1" s="1"/>
  <c r="BN141" i="1" s="1"/>
  <c r="BW141" i="1" s="1"/>
  <c r="CF141" i="1" s="1"/>
  <c r="CO141" i="1" s="1"/>
  <c r="CX141" i="1" s="1"/>
  <c r="DG141" i="1" s="1"/>
  <c r="DP141" i="1" s="1"/>
  <c r="DY141" i="1" s="1"/>
  <c r="EH141" i="1" s="1"/>
  <c r="EQ141" i="1" s="1"/>
  <c r="EZ141" i="1" s="1"/>
  <c r="FI141" i="1" s="1"/>
  <c r="FR141" i="1" s="1"/>
  <c r="GA141" i="1" s="1"/>
  <c r="GJ141" i="1" s="1"/>
  <c r="GS141" i="1" s="1"/>
  <c r="HB141" i="1" s="1"/>
  <c r="HK141" i="1" s="1"/>
  <c r="HU141" i="1" s="1"/>
  <c r="ID141" i="1" s="1"/>
  <c r="IM141" i="1" s="1"/>
  <c r="IV141" i="1" s="1"/>
  <c r="JE141" i="1" s="1"/>
  <c r="JN141" i="1" s="1"/>
  <c r="JW141" i="1" s="1"/>
  <c r="KF141" i="1" s="1"/>
  <c r="KO141" i="1" s="1"/>
  <c r="KX141" i="1" s="1"/>
  <c r="LG141" i="1" s="1"/>
  <c r="LP141" i="1" s="1"/>
  <c r="LY141" i="1" s="1"/>
  <c r="MH141" i="1" s="1"/>
  <c r="MQ141" i="1" s="1"/>
  <c r="MZ141" i="1" s="1"/>
  <c r="L106" i="1"/>
  <c r="U106" i="1" s="1"/>
  <c r="AD106" i="1" s="1"/>
  <c r="AM106" i="1" s="1"/>
  <c r="AV106" i="1" s="1"/>
  <c r="BE106" i="1" s="1"/>
  <c r="BN106" i="1" s="1"/>
  <c r="BW106" i="1" s="1"/>
  <c r="CF106" i="1" s="1"/>
  <c r="CO106" i="1" s="1"/>
  <c r="CX106" i="1" s="1"/>
  <c r="DG106" i="1" s="1"/>
  <c r="DP106" i="1" s="1"/>
  <c r="DY106" i="1" s="1"/>
  <c r="EH106" i="1" s="1"/>
  <c r="EQ106" i="1" s="1"/>
  <c r="EZ106" i="1" s="1"/>
  <c r="FI106" i="1" s="1"/>
  <c r="FR106" i="1" s="1"/>
  <c r="GA106" i="1" s="1"/>
  <c r="GJ106" i="1" s="1"/>
  <c r="GS106" i="1" s="1"/>
  <c r="HB106" i="1" s="1"/>
  <c r="HK106" i="1" s="1"/>
  <c r="HU106" i="1" s="1"/>
  <c r="ID106" i="1" s="1"/>
  <c r="IM106" i="1" s="1"/>
  <c r="IV106" i="1" s="1"/>
  <c r="JE106" i="1" s="1"/>
  <c r="JN106" i="1" s="1"/>
  <c r="JW106" i="1" s="1"/>
  <c r="KF106" i="1" s="1"/>
  <c r="KO106" i="1" s="1"/>
  <c r="KX106" i="1" s="1"/>
  <c r="LG106" i="1" s="1"/>
  <c r="LP106" i="1" s="1"/>
  <c r="LY106" i="1" s="1"/>
  <c r="MH106" i="1" s="1"/>
  <c r="MQ106" i="1" s="1"/>
  <c r="MZ106" i="1" s="1"/>
  <c r="L77" i="1"/>
  <c r="U77" i="1" s="1"/>
  <c r="AD77" i="1" s="1"/>
  <c r="AM77" i="1" s="1"/>
  <c r="AV77" i="1" s="1"/>
  <c r="BE77" i="1" s="1"/>
  <c r="BN77" i="1" s="1"/>
  <c r="BW77" i="1" s="1"/>
  <c r="CF77" i="1" s="1"/>
  <c r="CO77" i="1" s="1"/>
  <c r="CX77" i="1" s="1"/>
  <c r="DG77" i="1" s="1"/>
  <c r="DP77" i="1" s="1"/>
  <c r="DY77" i="1" s="1"/>
  <c r="EH77" i="1" s="1"/>
  <c r="EQ77" i="1" s="1"/>
  <c r="EZ77" i="1" s="1"/>
  <c r="FI77" i="1" s="1"/>
  <c r="FR77" i="1" s="1"/>
  <c r="GA77" i="1" s="1"/>
  <c r="GJ77" i="1" s="1"/>
  <c r="GS77" i="1" s="1"/>
  <c r="HB77" i="1" s="1"/>
  <c r="HK77" i="1" s="1"/>
  <c r="HU77" i="1" s="1"/>
  <c r="ID77" i="1" s="1"/>
  <c r="IM77" i="1" s="1"/>
  <c r="IV77" i="1" s="1"/>
  <c r="JE77" i="1" s="1"/>
  <c r="JN77" i="1" s="1"/>
  <c r="JW77" i="1" s="1"/>
  <c r="KF77" i="1" s="1"/>
  <c r="KO77" i="1" s="1"/>
  <c r="KX77" i="1" s="1"/>
  <c r="LG77" i="1" s="1"/>
  <c r="LP77" i="1" s="1"/>
  <c r="LY77" i="1" s="1"/>
  <c r="MH77" i="1" s="1"/>
  <c r="MQ77" i="1" s="1"/>
  <c r="MZ77" i="1" s="1"/>
  <c r="L78" i="1"/>
  <c r="U78" i="1" s="1"/>
  <c r="AD78" i="1" s="1"/>
  <c r="AM78" i="1" s="1"/>
  <c r="AV78" i="1" s="1"/>
  <c r="BE78" i="1" s="1"/>
  <c r="BN78" i="1" s="1"/>
  <c r="BW78" i="1" s="1"/>
  <c r="CF78" i="1" s="1"/>
  <c r="CO78" i="1" s="1"/>
  <c r="CX78" i="1" s="1"/>
  <c r="DG78" i="1" s="1"/>
  <c r="DP78" i="1" s="1"/>
  <c r="DY78" i="1" s="1"/>
  <c r="EH78" i="1" s="1"/>
  <c r="EQ78" i="1" s="1"/>
  <c r="EZ78" i="1" s="1"/>
  <c r="FI78" i="1" s="1"/>
  <c r="FR78" i="1" s="1"/>
  <c r="GA78" i="1" s="1"/>
  <c r="GJ78" i="1" s="1"/>
  <c r="GS78" i="1" s="1"/>
  <c r="HB78" i="1" s="1"/>
  <c r="HK78" i="1" s="1"/>
  <c r="HU78" i="1" s="1"/>
  <c r="ID78" i="1" s="1"/>
  <c r="IM78" i="1" s="1"/>
  <c r="IV78" i="1" s="1"/>
  <c r="JE78" i="1" s="1"/>
  <c r="JN78" i="1" s="1"/>
  <c r="JW78" i="1" s="1"/>
  <c r="KF78" i="1" s="1"/>
  <c r="KO78" i="1" s="1"/>
  <c r="KX78" i="1" s="1"/>
  <c r="LG78" i="1" s="1"/>
  <c r="LP78" i="1" s="1"/>
  <c r="LY78" i="1" s="1"/>
  <c r="MH78" i="1" s="1"/>
  <c r="MQ78" i="1" s="1"/>
  <c r="MZ78" i="1" s="1"/>
  <c r="L79" i="1"/>
  <c r="U79" i="1" s="1"/>
  <c r="AD79" i="1" s="1"/>
  <c r="AM79" i="1" s="1"/>
  <c r="AV79" i="1" s="1"/>
  <c r="BE79" i="1" s="1"/>
  <c r="BN79" i="1" s="1"/>
  <c r="BW79" i="1" s="1"/>
  <c r="CF79" i="1" s="1"/>
  <c r="CO79" i="1" s="1"/>
  <c r="CX79" i="1" s="1"/>
  <c r="DG79" i="1" s="1"/>
  <c r="DP79" i="1" s="1"/>
  <c r="DY79" i="1" s="1"/>
  <c r="EH79" i="1" s="1"/>
  <c r="EQ79" i="1" s="1"/>
  <c r="EZ79" i="1" s="1"/>
  <c r="FI79" i="1" s="1"/>
  <c r="FR79" i="1" s="1"/>
  <c r="GA79" i="1" s="1"/>
  <c r="GJ79" i="1" s="1"/>
  <c r="GS79" i="1" s="1"/>
  <c r="HB79" i="1" s="1"/>
  <c r="HK79" i="1" s="1"/>
  <c r="HU79" i="1" s="1"/>
  <c r="ID79" i="1" s="1"/>
  <c r="IM79" i="1" s="1"/>
  <c r="IV79" i="1" s="1"/>
  <c r="JE79" i="1" s="1"/>
  <c r="JN79" i="1" s="1"/>
  <c r="JW79" i="1" s="1"/>
  <c r="KF79" i="1" s="1"/>
  <c r="KO79" i="1" s="1"/>
  <c r="KX79" i="1" s="1"/>
  <c r="LG79" i="1" s="1"/>
  <c r="LP79" i="1" s="1"/>
  <c r="LY79" i="1" s="1"/>
  <c r="MH79" i="1" s="1"/>
  <c r="MQ79" i="1" s="1"/>
  <c r="MZ79" i="1" s="1"/>
  <c r="L80" i="1"/>
  <c r="U80" i="1" s="1"/>
  <c r="AD80" i="1" s="1"/>
  <c r="AM80" i="1" s="1"/>
  <c r="AV80" i="1" s="1"/>
  <c r="BE80" i="1" s="1"/>
  <c r="BN80" i="1" s="1"/>
  <c r="BW80" i="1" s="1"/>
  <c r="CF80" i="1" s="1"/>
  <c r="CO80" i="1" s="1"/>
  <c r="CX80" i="1" s="1"/>
  <c r="DG80" i="1" s="1"/>
  <c r="DP80" i="1" s="1"/>
  <c r="DY80" i="1" s="1"/>
  <c r="EH80" i="1" s="1"/>
  <c r="EQ80" i="1" s="1"/>
  <c r="EZ80" i="1" s="1"/>
  <c r="FI80" i="1" s="1"/>
  <c r="FR80" i="1" s="1"/>
  <c r="GA80" i="1" s="1"/>
  <c r="GJ80" i="1" s="1"/>
  <c r="GS80" i="1" s="1"/>
  <c r="HB80" i="1" s="1"/>
  <c r="HK80" i="1" s="1"/>
  <c r="HU80" i="1" s="1"/>
  <c r="ID80" i="1" s="1"/>
  <c r="IM80" i="1" s="1"/>
  <c r="IV80" i="1" s="1"/>
  <c r="JE80" i="1" s="1"/>
  <c r="JN80" i="1" s="1"/>
  <c r="JW80" i="1" s="1"/>
  <c r="KF80" i="1" s="1"/>
  <c r="KO80" i="1" s="1"/>
  <c r="KX80" i="1" s="1"/>
  <c r="LG80" i="1" s="1"/>
  <c r="LP80" i="1" s="1"/>
  <c r="LY80" i="1" s="1"/>
  <c r="MH80" i="1" s="1"/>
  <c r="MQ80" i="1" s="1"/>
  <c r="MZ80" i="1" s="1"/>
  <c r="L81" i="1"/>
  <c r="U81" i="1" s="1"/>
  <c r="AD81" i="1" s="1"/>
  <c r="AM81" i="1" s="1"/>
  <c r="AV81" i="1" s="1"/>
  <c r="BE81" i="1" s="1"/>
  <c r="BN81" i="1" s="1"/>
  <c r="BW81" i="1" s="1"/>
  <c r="CF81" i="1" s="1"/>
  <c r="CO81" i="1" s="1"/>
  <c r="CX81" i="1" s="1"/>
  <c r="DG81" i="1" s="1"/>
  <c r="DP81" i="1" s="1"/>
  <c r="DY81" i="1" s="1"/>
  <c r="EH81" i="1" s="1"/>
  <c r="EQ81" i="1" s="1"/>
  <c r="EZ81" i="1" s="1"/>
  <c r="FI81" i="1" s="1"/>
  <c r="FR81" i="1" s="1"/>
  <c r="GA81" i="1" s="1"/>
  <c r="GJ81" i="1" s="1"/>
  <c r="GS81" i="1" s="1"/>
  <c r="HB81" i="1" s="1"/>
  <c r="HK81" i="1" s="1"/>
  <c r="HU81" i="1" s="1"/>
  <c r="ID81" i="1" s="1"/>
  <c r="IM81" i="1" s="1"/>
  <c r="IV81" i="1" s="1"/>
  <c r="JE81" i="1" s="1"/>
  <c r="JN81" i="1" s="1"/>
  <c r="JW81" i="1" s="1"/>
  <c r="KF81" i="1" s="1"/>
  <c r="KO81" i="1" s="1"/>
  <c r="KX81" i="1" s="1"/>
  <c r="LG81" i="1" s="1"/>
  <c r="LP81" i="1" s="1"/>
  <c r="LY81" i="1" s="1"/>
  <c r="MH81" i="1" s="1"/>
  <c r="MQ81" i="1" s="1"/>
  <c r="MZ81" i="1" s="1"/>
  <c r="L82" i="1"/>
  <c r="U82" i="1" s="1"/>
  <c r="AD82" i="1" s="1"/>
  <c r="AM82" i="1" s="1"/>
  <c r="AV82" i="1" s="1"/>
  <c r="BE82" i="1" s="1"/>
  <c r="BN82" i="1" s="1"/>
  <c r="BW82" i="1" s="1"/>
  <c r="CF82" i="1" s="1"/>
  <c r="CO82" i="1" s="1"/>
  <c r="CX82" i="1" s="1"/>
  <c r="DG82" i="1" s="1"/>
  <c r="DP82" i="1" s="1"/>
  <c r="DY82" i="1" s="1"/>
  <c r="EH82" i="1" s="1"/>
  <c r="EQ82" i="1" s="1"/>
  <c r="EZ82" i="1" s="1"/>
  <c r="FI82" i="1" s="1"/>
  <c r="FR82" i="1" s="1"/>
  <c r="GA82" i="1" s="1"/>
  <c r="GJ82" i="1" s="1"/>
  <c r="GS82" i="1" s="1"/>
  <c r="HB82" i="1" s="1"/>
  <c r="HK82" i="1" s="1"/>
  <c r="HU82" i="1" s="1"/>
  <c r="ID82" i="1" s="1"/>
  <c r="IM82" i="1" s="1"/>
  <c r="IV82" i="1" s="1"/>
  <c r="JE82" i="1" s="1"/>
  <c r="JN82" i="1" s="1"/>
  <c r="JW82" i="1" s="1"/>
  <c r="KF82" i="1" s="1"/>
  <c r="KO82" i="1" s="1"/>
  <c r="KX82" i="1" s="1"/>
  <c r="LG82" i="1" s="1"/>
  <c r="LP82" i="1" s="1"/>
  <c r="LY82" i="1" s="1"/>
  <c r="MH82" i="1" s="1"/>
  <c r="MQ82" i="1" s="1"/>
  <c r="MZ82" i="1" s="1"/>
  <c r="L83" i="1"/>
  <c r="U83" i="1" s="1"/>
  <c r="AD83" i="1" s="1"/>
  <c r="AM83" i="1" s="1"/>
  <c r="AV83" i="1" s="1"/>
  <c r="BE83" i="1" s="1"/>
  <c r="BN83" i="1" s="1"/>
  <c r="BW83" i="1" s="1"/>
  <c r="CF83" i="1" s="1"/>
  <c r="CO83" i="1" s="1"/>
  <c r="CX83" i="1" s="1"/>
  <c r="DG83" i="1" s="1"/>
  <c r="DP83" i="1" s="1"/>
  <c r="DY83" i="1" s="1"/>
  <c r="EH83" i="1" s="1"/>
  <c r="EQ83" i="1" s="1"/>
  <c r="EZ83" i="1" s="1"/>
  <c r="FI83" i="1" s="1"/>
  <c r="FR83" i="1" s="1"/>
  <c r="GA83" i="1" s="1"/>
  <c r="GJ83" i="1" s="1"/>
  <c r="GS83" i="1" s="1"/>
  <c r="HB83" i="1" s="1"/>
  <c r="HK83" i="1" s="1"/>
  <c r="HU83" i="1" s="1"/>
  <c r="ID83" i="1" s="1"/>
  <c r="IM83" i="1" s="1"/>
  <c r="IV83" i="1" s="1"/>
  <c r="JE83" i="1" s="1"/>
  <c r="JN83" i="1" s="1"/>
  <c r="JW83" i="1" s="1"/>
  <c r="KF83" i="1" s="1"/>
  <c r="KO83" i="1" s="1"/>
  <c r="KX83" i="1" s="1"/>
  <c r="LG83" i="1" s="1"/>
  <c r="LP83" i="1" s="1"/>
  <c r="LY83" i="1" s="1"/>
  <c r="MH83" i="1" s="1"/>
  <c r="MQ83" i="1" s="1"/>
  <c r="MZ83" i="1" s="1"/>
  <c r="L84" i="1"/>
  <c r="U84" i="1" s="1"/>
  <c r="AD84" i="1" s="1"/>
  <c r="AM84" i="1" s="1"/>
  <c r="AV84" i="1" s="1"/>
  <c r="BE84" i="1" s="1"/>
  <c r="BN84" i="1" s="1"/>
  <c r="BW84" i="1" s="1"/>
  <c r="CF84" i="1" s="1"/>
  <c r="CO84" i="1" s="1"/>
  <c r="CX84" i="1" s="1"/>
  <c r="DG84" i="1" s="1"/>
  <c r="DP84" i="1" s="1"/>
  <c r="DY84" i="1" s="1"/>
  <c r="EH84" i="1" s="1"/>
  <c r="EQ84" i="1" s="1"/>
  <c r="EZ84" i="1" s="1"/>
  <c r="FI84" i="1" s="1"/>
  <c r="FR84" i="1" s="1"/>
  <c r="GA84" i="1" s="1"/>
  <c r="GJ84" i="1" s="1"/>
  <c r="GS84" i="1" s="1"/>
  <c r="HB84" i="1" s="1"/>
  <c r="HK84" i="1" s="1"/>
  <c r="HU84" i="1" s="1"/>
  <c r="ID84" i="1" s="1"/>
  <c r="IM84" i="1" s="1"/>
  <c r="IV84" i="1" s="1"/>
  <c r="JE84" i="1" s="1"/>
  <c r="JN84" i="1" s="1"/>
  <c r="JW84" i="1" s="1"/>
  <c r="KF84" i="1" s="1"/>
  <c r="KO84" i="1" s="1"/>
  <c r="KX84" i="1" s="1"/>
  <c r="LG84" i="1" s="1"/>
  <c r="LP84" i="1" s="1"/>
  <c r="LY84" i="1" s="1"/>
  <c r="MH84" i="1" s="1"/>
  <c r="MQ84" i="1" s="1"/>
  <c r="MZ84" i="1" s="1"/>
  <c r="L85" i="1"/>
  <c r="U85" i="1" s="1"/>
  <c r="AD85" i="1" s="1"/>
  <c r="AM85" i="1" s="1"/>
  <c r="AV85" i="1" s="1"/>
  <c r="BE85" i="1" s="1"/>
  <c r="BN85" i="1" s="1"/>
  <c r="BW85" i="1" s="1"/>
  <c r="CF85" i="1" s="1"/>
  <c r="CO85" i="1" s="1"/>
  <c r="CX85" i="1" s="1"/>
  <c r="DG85" i="1" s="1"/>
  <c r="DP85" i="1" s="1"/>
  <c r="DY85" i="1" s="1"/>
  <c r="EH85" i="1" s="1"/>
  <c r="EQ85" i="1" s="1"/>
  <c r="EZ85" i="1" s="1"/>
  <c r="FI85" i="1" s="1"/>
  <c r="FR85" i="1" s="1"/>
  <c r="GA85" i="1" s="1"/>
  <c r="GJ85" i="1" s="1"/>
  <c r="GS85" i="1" s="1"/>
  <c r="HB85" i="1" s="1"/>
  <c r="HK85" i="1" s="1"/>
  <c r="HU85" i="1" s="1"/>
  <c r="ID85" i="1" s="1"/>
  <c r="IM85" i="1" s="1"/>
  <c r="IV85" i="1" s="1"/>
  <c r="JE85" i="1" s="1"/>
  <c r="JN85" i="1" s="1"/>
  <c r="JW85" i="1" s="1"/>
  <c r="KF85" i="1" s="1"/>
  <c r="KO85" i="1" s="1"/>
  <c r="KX85" i="1" s="1"/>
  <c r="LG85" i="1" s="1"/>
  <c r="LP85" i="1" s="1"/>
  <c r="LY85" i="1" s="1"/>
  <c r="MH85" i="1" s="1"/>
  <c r="MQ85" i="1" s="1"/>
  <c r="MZ85" i="1" s="1"/>
  <c r="L86" i="1"/>
  <c r="U86" i="1" s="1"/>
  <c r="AD86" i="1" s="1"/>
  <c r="AM86" i="1" s="1"/>
  <c r="AV86" i="1" s="1"/>
  <c r="BE86" i="1" s="1"/>
  <c r="BN86" i="1" s="1"/>
  <c r="BW86" i="1" s="1"/>
  <c r="CF86" i="1" s="1"/>
  <c r="CO86" i="1" s="1"/>
  <c r="CX86" i="1" s="1"/>
  <c r="DG86" i="1" s="1"/>
  <c r="DP86" i="1" s="1"/>
  <c r="DY86" i="1" s="1"/>
  <c r="EH86" i="1" s="1"/>
  <c r="EQ86" i="1" s="1"/>
  <c r="EZ86" i="1" s="1"/>
  <c r="FI86" i="1" s="1"/>
  <c r="FR86" i="1" s="1"/>
  <c r="GA86" i="1" s="1"/>
  <c r="GJ86" i="1" s="1"/>
  <c r="GS86" i="1" s="1"/>
  <c r="HB86" i="1" s="1"/>
  <c r="HK86" i="1" s="1"/>
  <c r="HU86" i="1" s="1"/>
  <c r="ID86" i="1" s="1"/>
  <c r="IM86" i="1" s="1"/>
  <c r="IV86" i="1" s="1"/>
  <c r="JE86" i="1" s="1"/>
  <c r="JN86" i="1" s="1"/>
  <c r="JW86" i="1" s="1"/>
  <c r="KF86" i="1" s="1"/>
  <c r="KO86" i="1" s="1"/>
  <c r="KX86" i="1" s="1"/>
  <c r="LG86" i="1" s="1"/>
  <c r="LP86" i="1" s="1"/>
  <c r="LY86" i="1" s="1"/>
  <c r="MH86" i="1" s="1"/>
  <c r="MQ86" i="1" s="1"/>
  <c r="MZ86" i="1" s="1"/>
  <c r="L87" i="1"/>
  <c r="U87" i="1" s="1"/>
  <c r="AD87" i="1" s="1"/>
  <c r="AM87" i="1" s="1"/>
  <c r="AV87" i="1" s="1"/>
  <c r="BE87" i="1" s="1"/>
  <c r="BN87" i="1" s="1"/>
  <c r="BW87" i="1" s="1"/>
  <c r="CF87" i="1" s="1"/>
  <c r="CO87" i="1" s="1"/>
  <c r="CX87" i="1" s="1"/>
  <c r="DG87" i="1" s="1"/>
  <c r="DP87" i="1" s="1"/>
  <c r="DY87" i="1" s="1"/>
  <c r="EH87" i="1" s="1"/>
  <c r="EQ87" i="1" s="1"/>
  <c r="EZ87" i="1" s="1"/>
  <c r="FI87" i="1" s="1"/>
  <c r="FR87" i="1" s="1"/>
  <c r="GA87" i="1" s="1"/>
  <c r="GJ87" i="1" s="1"/>
  <c r="GS87" i="1" s="1"/>
  <c r="HB87" i="1" s="1"/>
  <c r="HK87" i="1" s="1"/>
  <c r="HU87" i="1" s="1"/>
  <c r="ID87" i="1" s="1"/>
  <c r="IM87" i="1" s="1"/>
  <c r="IV87" i="1" s="1"/>
  <c r="JE87" i="1" s="1"/>
  <c r="JN87" i="1" s="1"/>
  <c r="JW87" i="1" s="1"/>
  <c r="KF87" i="1" s="1"/>
  <c r="KO87" i="1" s="1"/>
  <c r="KX87" i="1" s="1"/>
  <c r="LG87" i="1" s="1"/>
  <c r="LP87" i="1" s="1"/>
  <c r="LY87" i="1" s="1"/>
  <c r="MH87" i="1" s="1"/>
  <c r="MQ87" i="1" s="1"/>
  <c r="MZ87" i="1" s="1"/>
  <c r="L88" i="1"/>
  <c r="U88" i="1" s="1"/>
  <c r="AD88" i="1" s="1"/>
  <c r="AM88" i="1" s="1"/>
  <c r="AV88" i="1" s="1"/>
  <c r="BE88" i="1" s="1"/>
  <c r="BN88" i="1" s="1"/>
  <c r="BW88" i="1" s="1"/>
  <c r="CF88" i="1" s="1"/>
  <c r="CO88" i="1" s="1"/>
  <c r="CX88" i="1" s="1"/>
  <c r="DG88" i="1" s="1"/>
  <c r="DP88" i="1" s="1"/>
  <c r="DY88" i="1" s="1"/>
  <c r="EH88" i="1" s="1"/>
  <c r="EQ88" i="1" s="1"/>
  <c r="EZ88" i="1" s="1"/>
  <c r="FI88" i="1" s="1"/>
  <c r="FR88" i="1" s="1"/>
  <c r="GA88" i="1" s="1"/>
  <c r="GJ88" i="1" s="1"/>
  <c r="GS88" i="1" s="1"/>
  <c r="HB88" i="1" s="1"/>
  <c r="HK88" i="1" s="1"/>
  <c r="HU88" i="1" s="1"/>
  <c r="ID88" i="1" s="1"/>
  <c r="IM88" i="1" s="1"/>
  <c r="IV88" i="1" s="1"/>
  <c r="JE88" i="1" s="1"/>
  <c r="JN88" i="1" s="1"/>
  <c r="JW88" i="1" s="1"/>
  <c r="KF88" i="1" s="1"/>
  <c r="KO88" i="1" s="1"/>
  <c r="KX88" i="1" s="1"/>
  <c r="LG88" i="1" s="1"/>
  <c r="LP88" i="1" s="1"/>
  <c r="LY88" i="1" s="1"/>
  <c r="MH88" i="1" s="1"/>
  <c r="MQ88" i="1" s="1"/>
  <c r="MZ88" i="1" s="1"/>
  <c r="L89" i="1"/>
  <c r="U89" i="1" s="1"/>
  <c r="AD89" i="1" s="1"/>
  <c r="AM89" i="1" s="1"/>
  <c r="AV89" i="1" s="1"/>
  <c r="BE89" i="1" s="1"/>
  <c r="BN89" i="1" s="1"/>
  <c r="BW89" i="1" s="1"/>
  <c r="CF89" i="1" s="1"/>
  <c r="CO89" i="1" s="1"/>
  <c r="CX89" i="1" s="1"/>
  <c r="DG89" i="1" s="1"/>
  <c r="DP89" i="1" s="1"/>
  <c r="DY89" i="1" s="1"/>
  <c r="EH89" i="1" s="1"/>
  <c r="EQ89" i="1" s="1"/>
  <c r="EZ89" i="1" s="1"/>
  <c r="FI89" i="1" s="1"/>
  <c r="FR89" i="1" s="1"/>
  <c r="GA89" i="1" s="1"/>
  <c r="GJ89" i="1" s="1"/>
  <c r="GS89" i="1" s="1"/>
  <c r="HB89" i="1" s="1"/>
  <c r="HK89" i="1" s="1"/>
  <c r="HU89" i="1" s="1"/>
  <c r="ID89" i="1" s="1"/>
  <c r="IM89" i="1" s="1"/>
  <c r="IV89" i="1" s="1"/>
  <c r="JE89" i="1" s="1"/>
  <c r="JN89" i="1" s="1"/>
  <c r="JW89" i="1" s="1"/>
  <c r="KF89" i="1" s="1"/>
  <c r="KO89" i="1" s="1"/>
  <c r="KX89" i="1" s="1"/>
  <c r="LG89" i="1" s="1"/>
  <c r="LP89" i="1" s="1"/>
  <c r="LY89" i="1" s="1"/>
  <c r="MH89" i="1" s="1"/>
  <c r="MQ89" i="1" s="1"/>
  <c r="MZ89" i="1" s="1"/>
  <c r="L90" i="1"/>
  <c r="U90" i="1" s="1"/>
  <c r="AD90" i="1" s="1"/>
  <c r="AM90" i="1" s="1"/>
  <c r="AV90" i="1" s="1"/>
  <c r="BE90" i="1" s="1"/>
  <c r="BN90" i="1" s="1"/>
  <c r="BW90" i="1" s="1"/>
  <c r="CF90" i="1" s="1"/>
  <c r="CO90" i="1" s="1"/>
  <c r="CX90" i="1" s="1"/>
  <c r="DG90" i="1" s="1"/>
  <c r="DP90" i="1" s="1"/>
  <c r="DY90" i="1" s="1"/>
  <c r="EH90" i="1" s="1"/>
  <c r="EQ90" i="1" s="1"/>
  <c r="EZ90" i="1" s="1"/>
  <c r="FI90" i="1" s="1"/>
  <c r="FR90" i="1" s="1"/>
  <c r="GA90" i="1" s="1"/>
  <c r="GJ90" i="1" s="1"/>
  <c r="GS90" i="1" s="1"/>
  <c r="HB90" i="1" s="1"/>
  <c r="HK90" i="1" s="1"/>
  <c r="HU90" i="1" s="1"/>
  <c r="ID90" i="1" s="1"/>
  <c r="IM90" i="1" s="1"/>
  <c r="IV90" i="1" s="1"/>
  <c r="JE90" i="1" s="1"/>
  <c r="JN90" i="1" s="1"/>
  <c r="JW90" i="1" s="1"/>
  <c r="KF90" i="1" s="1"/>
  <c r="KO90" i="1" s="1"/>
  <c r="KX90" i="1" s="1"/>
  <c r="LG90" i="1" s="1"/>
  <c r="LP90" i="1" s="1"/>
  <c r="LY90" i="1" s="1"/>
  <c r="MH90" i="1" s="1"/>
  <c r="MQ90" i="1" s="1"/>
  <c r="MZ90" i="1" s="1"/>
  <c r="L91" i="1"/>
  <c r="U91" i="1" s="1"/>
  <c r="AD91" i="1" s="1"/>
  <c r="AM91" i="1" s="1"/>
  <c r="AV91" i="1" s="1"/>
  <c r="BE91" i="1" s="1"/>
  <c r="BN91" i="1" s="1"/>
  <c r="BW91" i="1" s="1"/>
  <c r="CF91" i="1" s="1"/>
  <c r="CO91" i="1" s="1"/>
  <c r="CX91" i="1" s="1"/>
  <c r="DG91" i="1" s="1"/>
  <c r="DP91" i="1" s="1"/>
  <c r="DY91" i="1" s="1"/>
  <c r="EH91" i="1" s="1"/>
  <c r="EQ91" i="1" s="1"/>
  <c r="EZ91" i="1" s="1"/>
  <c r="FI91" i="1" s="1"/>
  <c r="FR91" i="1" s="1"/>
  <c r="GA91" i="1" s="1"/>
  <c r="GJ91" i="1" s="1"/>
  <c r="GS91" i="1" s="1"/>
  <c r="HB91" i="1" s="1"/>
  <c r="HK91" i="1" s="1"/>
  <c r="HU91" i="1" s="1"/>
  <c r="ID91" i="1" s="1"/>
  <c r="IM91" i="1" s="1"/>
  <c r="IV91" i="1" s="1"/>
  <c r="JE91" i="1" s="1"/>
  <c r="JN91" i="1" s="1"/>
  <c r="JW91" i="1" s="1"/>
  <c r="KF91" i="1" s="1"/>
  <c r="KO91" i="1" s="1"/>
  <c r="KX91" i="1" s="1"/>
  <c r="LG91" i="1" s="1"/>
  <c r="LP91" i="1" s="1"/>
  <c r="LY91" i="1" s="1"/>
  <c r="MH91" i="1" s="1"/>
  <c r="MQ91" i="1" s="1"/>
  <c r="MZ91" i="1" s="1"/>
  <c r="L92" i="1"/>
  <c r="U92" i="1" s="1"/>
  <c r="AD92" i="1" s="1"/>
  <c r="AM92" i="1" s="1"/>
  <c r="AV92" i="1" s="1"/>
  <c r="BE92" i="1" s="1"/>
  <c r="BN92" i="1" s="1"/>
  <c r="BW92" i="1" s="1"/>
  <c r="CF92" i="1" s="1"/>
  <c r="CO92" i="1" s="1"/>
  <c r="CX92" i="1" s="1"/>
  <c r="DG92" i="1" s="1"/>
  <c r="DP92" i="1" s="1"/>
  <c r="DY92" i="1" s="1"/>
  <c r="EH92" i="1" s="1"/>
  <c r="EQ92" i="1" s="1"/>
  <c r="EZ92" i="1" s="1"/>
  <c r="FI92" i="1" s="1"/>
  <c r="FR92" i="1" s="1"/>
  <c r="GA92" i="1" s="1"/>
  <c r="GJ92" i="1" s="1"/>
  <c r="GS92" i="1" s="1"/>
  <c r="HB92" i="1" s="1"/>
  <c r="HK92" i="1" s="1"/>
  <c r="HU92" i="1" s="1"/>
  <c r="ID92" i="1" s="1"/>
  <c r="IM92" i="1" s="1"/>
  <c r="IV92" i="1" s="1"/>
  <c r="JE92" i="1" s="1"/>
  <c r="JN92" i="1" s="1"/>
  <c r="JW92" i="1" s="1"/>
  <c r="KF92" i="1" s="1"/>
  <c r="KO92" i="1" s="1"/>
  <c r="KX92" i="1" s="1"/>
  <c r="LG92" i="1" s="1"/>
  <c r="LP92" i="1" s="1"/>
  <c r="LY92" i="1" s="1"/>
  <c r="MH92" i="1" s="1"/>
  <c r="MQ92" i="1" s="1"/>
  <c r="MZ92" i="1" s="1"/>
  <c r="L93" i="1"/>
  <c r="U93" i="1" s="1"/>
  <c r="AD93" i="1" s="1"/>
  <c r="AM93" i="1" s="1"/>
  <c r="AV93" i="1" s="1"/>
  <c r="BE93" i="1" s="1"/>
  <c r="BN93" i="1" s="1"/>
  <c r="BW93" i="1" s="1"/>
  <c r="CF93" i="1" s="1"/>
  <c r="CO93" i="1" s="1"/>
  <c r="CX93" i="1" s="1"/>
  <c r="DG93" i="1" s="1"/>
  <c r="DP93" i="1" s="1"/>
  <c r="DY93" i="1" s="1"/>
  <c r="EH93" i="1" s="1"/>
  <c r="EQ93" i="1" s="1"/>
  <c r="EZ93" i="1" s="1"/>
  <c r="FI93" i="1" s="1"/>
  <c r="FR93" i="1" s="1"/>
  <c r="GA93" i="1" s="1"/>
  <c r="GJ93" i="1" s="1"/>
  <c r="GS93" i="1" s="1"/>
  <c r="HB93" i="1" s="1"/>
  <c r="HK93" i="1" s="1"/>
  <c r="HU93" i="1" s="1"/>
  <c r="ID93" i="1" s="1"/>
  <c r="IM93" i="1" s="1"/>
  <c r="IV93" i="1" s="1"/>
  <c r="JE93" i="1" s="1"/>
  <c r="JN93" i="1" s="1"/>
  <c r="JW93" i="1" s="1"/>
  <c r="KF93" i="1" s="1"/>
  <c r="KO93" i="1" s="1"/>
  <c r="KX93" i="1" s="1"/>
  <c r="LG93" i="1" s="1"/>
  <c r="LP93" i="1" s="1"/>
  <c r="LY93" i="1" s="1"/>
  <c r="MH93" i="1" s="1"/>
  <c r="MQ93" i="1" s="1"/>
  <c r="MZ93" i="1" s="1"/>
  <c r="L94" i="1"/>
  <c r="U94" i="1" s="1"/>
  <c r="AD94" i="1" s="1"/>
  <c r="AM94" i="1" s="1"/>
  <c r="AV94" i="1" s="1"/>
  <c r="BE94" i="1" s="1"/>
  <c r="BN94" i="1" s="1"/>
  <c r="BW94" i="1" s="1"/>
  <c r="CF94" i="1" s="1"/>
  <c r="CO94" i="1" s="1"/>
  <c r="CX94" i="1" s="1"/>
  <c r="DG94" i="1" s="1"/>
  <c r="DP94" i="1" s="1"/>
  <c r="DY94" i="1" s="1"/>
  <c r="EH94" i="1" s="1"/>
  <c r="EQ94" i="1" s="1"/>
  <c r="EZ94" i="1" s="1"/>
  <c r="FI94" i="1" s="1"/>
  <c r="FR94" i="1" s="1"/>
  <c r="GA94" i="1" s="1"/>
  <c r="GJ94" i="1" s="1"/>
  <c r="GS94" i="1" s="1"/>
  <c r="HB94" i="1" s="1"/>
  <c r="HK94" i="1" s="1"/>
  <c r="HU94" i="1" s="1"/>
  <c r="ID94" i="1" s="1"/>
  <c r="IM94" i="1" s="1"/>
  <c r="IV94" i="1" s="1"/>
  <c r="JE94" i="1" s="1"/>
  <c r="JN94" i="1" s="1"/>
  <c r="JW94" i="1" s="1"/>
  <c r="KF94" i="1" s="1"/>
  <c r="KO94" i="1" s="1"/>
  <c r="KX94" i="1" s="1"/>
  <c r="LG94" i="1" s="1"/>
  <c r="LP94" i="1" s="1"/>
  <c r="LY94" i="1" s="1"/>
  <c r="MH94" i="1" s="1"/>
  <c r="MQ94" i="1" s="1"/>
  <c r="MZ94" i="1" s="1"/>
  <c r="L95" i="1"/>
  <c r="U95" i="1" s="1"/>
  <c r="AD95" i="1" s="1"/>
  <c r="AM95" i="1" s="1"/>
  <c r="AV95" i="1" s="1"/>
  <c r="BE95" i="1" s="1"/>
  <c r="BN95" i="1" s="1"/>
  <c r="BW95" i="1" s="1"/>
  <c r="CF95" i="1" s="1"/>
  <c r="CO95" i="1" s="1"/>
  <c r="CX95" i="1" s="1"/>
  <c r="DG95" i="1" s="1"/>
  <c r="DP95" i="1" s="1"/>
  <c r="DY95" i="1" s="1"/>
  <c r="EH95" i="1" s="1"/>
  <c r="EQ95" i="1" s="1"/>
  <c r="EZ95" i="1" s="1"/>
  <c r="FI95" i="1" s="1"/>
  <c r="FR95" i="1" s="1"/>
  <c r="GA95" i="1" s="1"/>
  <c r="GJ95" i="1" s="1"/>
  <c r="GS95" i="1" s="1"/>
  <c r="HB95" i="1" s="1"/>
  <c r="HK95" i="1" s="1"/>
  <c r="HU95" i="1" s="1"/>
  <c r="ID95" i="1" s="1"/>
  <c r="IM95" i="1" s="1"/>
  <c r="IV95" i="1" s="1"/>
  <c r="JE95" i="1" s="1"/>
  <c r="JN95" i="1" s="1"/>
  <c r="JW95" i="1" s="1"/>
  <c r="KF95" i="1" s="1"/>
  <c r="KO95" i="1" s="1"/>
  <c r="KX95" i="1" s="1"/>
  <c r="LG95" i="1" s="1"/>
  <c r="LP95" i="1" s="1"/>
  <c r="LY95" i="1" s="1"/>
  <c r="MH95" i="1" s="1"/>
  <c r="MQ95" i="1" s="1"/>
  <c r="MZ95" i="1" s="1"/>
  <c r="L96" i="1"/>
  <c r="U96" i="1" s="1"/>
  <c r="AD96" i="1" s="1"/>
  <c r="AM96" i="1" s="1"/>
  <c r="AV96" i="1" s="1"/>
  <c r="BE96" i="1" s="1"/>
  <c r="BN96" i="1" s="1"/>
  <c r="BW96" i="1" s="1"/>
  <c r="CF96" i="1" s="1"/>
  <c r="CO96" i="1" s="1"/>
  <c r="CX96" i="1" s="1"/>
  <c r="DG96" i="1" s="1"/>
  <c r="DP96" i="1" s="1"/>
  <c r="DY96" i="1" s="1"/>
  <c r="EH96" i="1" s="1"/>
  <c r="EQ96" i="1" s="1"/>
  <c r="EZ96" i="1" s="1"/>
  <c r="FI96" i="1" s="1"/>
  <c r="FR96" i="1" s="1"/>
  <c r="GA96" i="1" s="1"/>
  <c r="GJ96" i="1" s="1"/>
  <c r="GS96" i="1" s="1"/>
  <c r="HB96" i="1" s="1"/>
  <c r="HK96" i="1" s="1"/>
  <c r="HU96" i="1" s="1"/>
  <c r="ID96" i="1" s="1"/>
  <c r="IM96" i="1" s="1"/>
  <c r="IV96" i="1" s="1"/>
  <c r="JE96" i="1" s="1"/>
  <c r="JN96" i="1" s="1"/>
  <c r="JW96" i="1" s="1"/>
  <c r="KF96" i="1" s="1"/>
  <c r="KO96" i="1" s="1"/>
  <c r="KX96" i="1" s="1"/>
  <c r="LG96" i="1" s="1"/>
  <c r="LP96" i="1" s="1"/>
  <c r="LY96" i="1" s="1"/>
  <c r="MH96" i="1" s="1"/>
  <c r="MQ96" i="1" s="1"/>
  <c r="MZ96" i="1" s="1"/>
  <c r="L97" i="1"/>
  <c r="U97" i="1" s="1"/>
  <c r="AD97" i="1" s="1"/>
  <c r="AM97" i="1" s="1"/>
  <c r="AV97" i="1" s="1"/>
  <c r="BE97" i="1" s="1"/>
  <c r="BN97" i="1" s="1"/>
  <c r="BW97" i="1" s="1"/>
  <c r="CF97" i="1" s="1"/>
  <c r="CO97" i="1" s="1"/>
  <c r="CX97" i="1" s="1"/>
  <c r="DG97" i="1" s="1"/>
  <c r="DP97" i="1" s="1"/>
  <c r="DY97" i="1" s="1"/>
  <c r="EH97" i="1" s="1"/>
  <c r="EQ97" i="1" s="1"/>
  <c r="EZ97" i="1" s="1"/>
  <c r="FI97" i="1" s="1"/>
  <c r="FR97" i="1" s="1"/>
  <c r="GA97" i="1" s="1"/>
  <c r="GJ97" i="1" s="1"/>
  <c r="GS97" i="1" s="1"/>
  <c r="HB97" i="1" s="1"/>
  <c r="HK97" i="1" s="1"/>
  <c r="HU97" i="1" s="1"/>
  <c r="ID97" i="1" s="1"/>
  <c r="IM97" i="1" s="1"/>
  <c r="IV97" i="1" s="1"/>
  <c r="JE97" i="1" s="1"/>
  <c r="JN97" i="1" s="1"/>
  <c r="JW97" i="1" s="1"/>
  <c r="KF97" i="1" s="1"/>
  <c r="KO97" i="1" s="1"/>
  <c r="KX97" i="1" s="1"/>
  <c r="LG97" i="1" s="1"/>
  <c r="LP97" i="1" s="1"/>
  <c r="LY97" i="1" s="1"/>
  <c r="MH97" i="1" s="1"/>
  <c r="MQ97" i="1" s="1"/>
  <c r="MZ97" i="1" s="1"/>
  <c r="L98" i="1"/>
  <c r="U98" i="1" s="1"/>
  <c r="AD98" i="1" s="1"/>
  <c r="AM98" i="1" s="1"/>
  <c r="AV98" i="1" s="1"/>
  <c r="BE98" i="1" s="1"/>
  <c r="BN98" i="1" s="1"/>
  <c r="BW98" i="1" s="1"/>
  <c r="CF98" i="1" s="1"/>
  <c r="CO98" i="1" s="1"/>
  <c r="CX98" i="1" s="1"/>
  <c r="DG98" i="1" s="1"/>
  <c r="DP98" i="1" s="1"/>
  <c r="DY98" i="1" s="1"/>
  <c r="EH98" i="1" s="1"/>
  <c r="EQ98" i="1" s="1"/>
  <c r="EZ98" i="1" s="1"/>
  <c r="FI98" i="1" s="1"/>
  <c r="FR98" i="1" s="1"/>
  <c r="GA98" i="1" s="1"/>
  <c r="GJ98" i="1" s="1"/>
  <c r="GS98" i="1" s="1"/>
  <c r="HB98" i="1" s="1"/>
  <c r="HK98" i="1" s="1"/>
  <c r="HU98" i="1" s="1"/>
  <c r="ID98" i="1" s="1"/>
  <c r="IM98" i="1" s="1"/>
  <c r="IV98" i="1" s="1"/>
  <c r="JE98" i="1" s="1"/>
  <c r="JN98" i="1" s="1"/>
  <c r="JW98" i="1" s="1"/>
  <c r="KF98" i="1" s="1"/>
  <c r="KO98" i="1" s="1"/>
  <c r="KX98" i="1" s="1"/>
  <c r="LG98" i="1" s="1"/>
  <c r="LP98" i="1" s="1"/>
  <c r="LY98" i="1" s="1"/>
  <c r="MH98" i="1" s="1"/>
  <c r="MQ98" i="1" s="1"/>
  <c r="MZ98" i="1" s="1"/>
  <c r="L99" i="1"/>
  <c r="U99" i="1" s="1"/>
  <c r="AD99" i="1" s="1"/>
  <c r="AM99" i="1" s="1"/>
  <c r="AV99" i="1" s="1"/>
  <c r="BE99" i="1" s="1"/>
  <c r="BN99" i="1" s="1"/>
  <c r="BW99" i="1" s="1"/>
  <c r="CF99" i="1" s="1"/>
  <c r="CO99" i="1" s="1"/>
  <c r="CX99" i="1" s="1"/>
  <c r="DG99" i="1" s="1"/>
  <c r="DP99" i="1" s="1"/>
  <c r="DY99" i="1" s="1"/>
  <c r="EH99" i="1" s="1"/>
  <c r="EQ99" i="1" s="1"/>
  <c r="EZ99" i="1" s="1"/>
  <c r="FI99" i="1" s="1"/>
  <c r="FR99" i="1" s="1"/>
  <c r="GA99" i="1" s="1"/>
  <c r="GJ99" i="1" s="1"/>
  <c r="GS99" i="1" s="1"/>
  <c r="HB99" i="1" s="1"/>
  <c r="HK99" i="1" s="1"/>
  <c r="HU99" i="1" s="1"/>
  <c r="ID99" i="1" s="1"/>
  <c r="IM99" i="1" s="1"/>
  <c r="IV99" i="1" s="1"/>
  <c r="JE99" i="1" s="1"/>
  <c r="JN99" i="1" s="1"/>
  <c r="JW99" i="1" s="1"/>
  <c r="KF99" i="1" s="1"/>
  <c r="KO99" i="1" s="1"/>
  <c r="KX99" i="1" s="1"/>
  <c r="LG99" i="1" s="1"/>
  <c r="LP99" i="1" s="1"/>
  <c r="LY99" i="1" s="1"/>
  <c r="MH99" i="1" s="1"/>
  <c r="MQ99" i="1" s="1"/>
  <c r="MZ99" i="1" s="1"/>
  <c r="L100" i="1"/>
  <c r="U100" i="1" s="1"/>
  <c r="AD100" i="1" s="1"/>
  <c r="AM100" i="1" s="1"/>
  <c r="AV100" i="1" s="1"/>
  <c r="BE100" i="1" s="1"/>
  <c r="BN100" i="1" s="1"/>
  <c r="BW100" i="1" s="1"/>
  <c r="CF100" i="1" s="1"/>
  <c r="CO100" i="1" s="1"/>
  <c r="CX100" i="1" s="1"/>
  <c r="DG100" i="1" s="1"/>
  <c r="DP100" i="1" s="1"/>
  <c r="DY100" i="1" s="1"/>
  <c r="EH100" i="1" s="1"/>
  <c r="EQ100" i="1" s="1"/>
  <c r="EZ100" i="1" s="1"/>
  <c r="FI100" i="1" s="1"/>
  <c r="FR100" i="1" s="1"/>
  <c r="GA100" i="1" s="1"/>
  <c r="GJ100" i="1" s="1"/>
  <c r="GS100" i="1" s="1"/>
  <c r="HB100" i="1" s="1"/>
  <c r="HK100" i="1" s="1"/>
  <c r="HU100" i="1" s="1"/>
  <c r="ID100" i="1" s="1"/>
  <c r="IM100" i="1" s="1"/>
  <c r="IV100" i="1" s="1"/>
  <c r="JE100" i="1" s="1"/>
  <c r="JN100" i="1" s="1"/>
  <c r="JW100" i="1" s="1"/>
  <c r="KF100" i="1" s="1"/>
  <c r="KO100" i="1" s="1"/>
  <c r="KX100" i="1" s="1"/>
  <c r="LG100" i="1" s="1"/>
  <c r="LP100" i="1" s="1"/>
  <c r="LY100" i="1" s="1"/>
  <c r="MH100" i="1" s="1"/>
  <c r="MQ100" i="1" s="1"/>
  <c r="MZ100" i="1" s="1"/>
  <c r="L101" i="1"/>
  <c r="U101" i="1" s="1"/>
  <c r="AD101" i="1" s="1"/>
  <c r="AM101" i="1" s="1"/>
  <c r="AV101" i="1" s="1"/>
  <c r="BE101" i="1" s="1"/>
  <c r="BN101" i="1" s="1"/>
  <c r="BW101" i="1" s="1"/>
  <c r="CF101" i="1" s="1"/>
  <c r="CO101" i="1" s="1"/>
  <c r="CX101" i="1" s="1"/>
  <c r="DG101" i="1" s="1"/>
  <c r="DP101" i="1" s="1"/>
  <c r="DY101" i="1" s="1"/>
  <c r="EH101" i="1" s="1"/>
  <c r="EQ101" i="1" s="1"/>
  <c r="EZ101" i="1" s="1"/>
  <c r="FI101" i="1" s="1"/>
  <c r="FR101" i="1" s="1"/>
  <c r="GA101" i="1" s="1"/>
  <c r="GJ101" i="1" s="1"/>
  <c r="GS101" i="1" s="1"/>
  <c r="HB101" i="1" s="1"/>
  <c r="HK101" i="1" s="1"/>
  <c r="HU101" i="1" s="1"/>
  <c r="ID101" i="1" s="1"/>
  <c r="IM101" i="1" s="1"/>
  <c r="IV101" i="1" s="1"/>
  <c r="JE101" i="1" s="1"/>
  <c r="JN101" i="1" s="1"/>
  <c r="JW101" i="1" s="1"/>
  <c r="KF101" i="1" s="1"/>
  <c r="KO101" i="1" s="1"/>
  <c r="KX101" i="1" s="1"/>
  <c r="LG101" i="1" s="1"/>
  <c r="LP101" i="1" s="1"/>
  <c r="LY101" i="1" s="1"/>
  <c r="MH101" i="1" s="1"/>
  <c r="MQ101" i="1" s="1"/>
  <c r="MZ101" i="1" s="1"/>
  <c r="L102" i="1"/>
  <c r="U102" i="1" s="1"/>
  <c r="AD102" i="1" s="1"/>
  <c r="AM102" i="1" s="1"/>
  <c r="AV102" i="1" s="1"/>
  <c r="BE102" i="1" s="1"/>
  <c r="BN102" i="1" s="1"/>
  <c r="BW102" i="1" s="1"/>
  <c r="CF102" i="1" s="1"/>
  <c r="CO102" i="1" s="1"/>
  <c r="CX102" i="1" s="1"/>
  <c r="DG102" i="1" s="1"/>
  <c r="DP102" i="1" s="1"/>
  <c r="DY102" i="1" s="1"/>
  <c r="EH102" i="1" s="1"/>
  <c r="EQ102" i="1" s="1"/>
  <c r="EZ102" i="1" s="1"/>
  <c r="FI102" i="1" s="1"/>
  <c r="FR102" i="1" s="1"/>
  <c r="GA102" i="1" s="1"/>
  <c r="GJ102" i="1" s="1"/>
  <c r="GS102" i="1" s="1"/>
  <c r="HB102" i="1" s="1"/>
  <c r="HK102" i="1" s="1"/>
  <c r="HU102" i="1" s="1"/>
  <c r="ID102" i="1" s="1"/>
  <c r="IM102" i="1" s="1"/>
  <c r="IV102" i="1" s="1"/>
  <c r="JE102" i="1" s="1"/>
  <c r="JN102" i="1" s="1"/>
  <c r="JW102" i="1" s="1"/>
  <c r="KF102" i="1" s="1"/>
  <c r="KO102" i="1" s="1"/>
  <c r="KX102" i="1" s="1"/>
  <c r="LG102" i="1" s="1"/>
  <c r="LP102" i="1" s="1"/>
  <c r="LY102" i="1" s="1"/>
  <c r="MH102" i="1" s="1"/>
  <c r="MQ102" i="1" s="1"/>
  <c r="MZ102" i="1" s="1"/>
  <c r="L103" i="1"/>
  <c r="U103" i="1" s="1"/>
  <c r="AD103" i="1" s="1"/>
  <c r="AM103" i="1" s="1"/>
  <c r="AV103" i="1" s="1"/>
  <c r="BE103" i="1" s="1"/>
  <c r="BN103" i="1" s="1"/>
  <c r="BW103" i="1" s="1"/>
  <c r="CF103" i="1" s="1"/>
  <c r="CO103" i="1" s="1"/>
  <c r="CX103" i="1" s="1"/>
  <c r="DG103" i="1" s="1"/>
  <c r="DP103" i="1" s="1"/>
  <c r="DY103" i="1" s="1"/>
  <c r="EH103" i="1" s="1"/>
  <c r="EQ103" i="1" s="1"/>
  <c r="EZ103" i="1" s="1"/>
  <c r="FI103" i="1" s="1"/>
  <c r="FR103" i="1" s="1"/>
  <c r="GA103" i="1" s="1"/>
  <c r="GJ103" i="1" s="1"/>
  <c r="GS103" i="1" s="1"/>
  <c r="HB103" i="1" s="1"/>
  <c r="HK103" i="1" s="1"/>
  <c r="HU103" i="1" s="1"/>
  <c r="ID103" i="1" s="1"/>
  <c r="IM103" i="1" s="1"/>
  <c r="IV103" i="1" s="1"/>
  <c r="JE103" i="1" s="1"/>
  <c r="JN103" i="1" s="1"/>
  <c r="JW103" i="1" s="1"/>
  <c r="KF103" i="1" s="1"/>
  <c r="KO103" i="1" s="1"/>
  <c r="KX103" i="1" s="1"/>
  <c r="LG103" i="1" s="1"/>
  <c r="LP103" i="1" s="1"/>
  <c r="LY103" i="1" s="1"/>
  <c r="MH103" i="1" s="1"/>
  <c r="MQ103" i="1" s="1"/>
  <c r="MZ103" i="1" s="1"/>
  <c r="L104" i="1"/>
  <c r="U104" i="1" s="1"/>
  <c r="AD104" i="1" s="1"/>
  <c r="AM104" i="1" s="1"/>
  <c r="AV104" i="1" s="1"/>
  <c r="BE104" i="1" s="1"/>
  <c r="BN104" i="1" s="1"/>
  <c r="BW104" i="1" s="1"/>
  <c r="CF104" i="1" s="1"/>
  <c r="CO104" i="1" s="1"/>
  <c r="CX104" i="1" s="1"/>
  <c r="DG104" i="1" s="1"/>
  <c r="DP104" i="1" s="1"/>
  <c r="DY104" i="1" s="1"/>
  <c r="EH104" i="1" s="1"/>
  <c r="EQ104" i="1" s="1"/>
  <c r="EZ104" i="1" s="1"/>
  <c r="FI104" i="1" s="1"/>
  <c r="FR104" i="1" s="1"/>
  <c r="GA104" i="1" s="1"/>
  <c r="GJ104" i="1" s="1"/>
  <c r="GS104" i="1" s="1"/>
  <c r="HB104" i="1" s="1"/>
  <c r="HK104" i="1" s="1"/>
  <c r="HU104" i="1" s="1"/>
  <c r="ID104" i="1" s="1"/>
  <c r="IM104" i="1" s="1"/>
  <c r="IV104" i="1" s="1"/>
  <c r="JE104" i="1" s="1"/>
  <c r="JN104" i="1" s="1"/>
  <c r="JW104" i="1" s="1"/>
  <c r="KF104" i="1" s="1"/>
  <c r="KO104" i="1" s="1"/>
  <c r="KX104" i="1" s="1"/>
  <c r="LG104" i="1" s="1"/>
  <c r="LP104" i="1" s="1"/>
  <c r="LY104" i="1" s="1"/>
  <c r="MH104" i="1" s="1"/>
  <c r="MQ104" i="1" s="1"/>
  <c r="MZ104" i="1" s="1"/>
  <c r="L105" i="1"/>
  <c r="U105" i="1" s="1"/>
  <c r="AD105" i="1" s="1"/>
  <c r="AM105" i="1" s="1"/>
  <c r="AV105" i="1" s="1"/>
  <c r="BE105" i="1" s="1"/>
  <c r="BN105" i="1" s="1"/>
  <c r="BW105" i="1" s="1"/>
  <c r="CF105" i="1" s="1"/>
  <c r="CO105" i="1" s="1"/>
  <c r="CX105" i="1" s="1"/>
  <c r="DG105" i="1" s="1"/>
  <c r="DP105" i="1" s="1"/>
  <c r="DY105" i="1" s="1"/>
  <c r="EH105" i="1" s="1"/>
  <c r="EQ105" i="1" s="1"/>
  <c r="EZ105" i="1" s="1"/>
  <c r="FI105" i="1" s="1"/>
  <c r="FR105" i="1" s="1"/>
  <c r="GA105" i="1" s="1"/>
  <c r="GJ105" i="1" s="1"/>
  <c r="GS105" i="1" s="1"/>
  <c r="HB105" i="1" s="1"/>
  <c r="HK105" i="1" s="1"/>
  <c r="HU105" i="1" s="1"/>
  <c r="ID105" i="1" s="1"/>
  <c r="IM105" i="1" s="1"/>
  <c r="IV105" i="1" s="1"/>
  <c r="JE105" i="1" s="1"/>
  <c r="JN105" i="1" s="1"/>
  <c r="JW105" i="1" s="1"/>
  <c r="KF105" i="1" s="1"/>
  <c r="KO105" i="1" s="1"/>
  <c r="KX105" i="1" s="1"/>
  <c r="LG105" i="1" s="1"/>
  <c r="LP105" i="1" s="1"/>
  <c r="LY105" i="1" s="1"/>
  <c r="MH105" i="1" s="1"/>
  <c r="MQ105" i="1" s="1"/>
  <c r="MZ105" i="1" s="1"/>
  <c r="L76" i="1"/>
  <c r="U76" i="1" s="1"/>
  <c r="AD76" i="1" s="1"/>
  <c r="AM76" i="1" s="1"/>
  <c r="AV76" i="1" s="1"/>
  <c r="BE76" i="1" s="1"/>
  <c r="BN76" i="1" s="1"/>
  <c r="BW76" i="1" s="1"/>
  <c r="CF76" i="1" s="1"/>
  <c r="CO76" i="1" s="1"/>
  <c r="CX76" i="1" s="1"/>
  <c r="DG76" i="1" s="1"/>
  <c r="DP76" i="1" s="1"/>
  <c r="DY76" i="1" s="1"/>
  <c r="EH76" i="1" s="1"/>
  <c r="EQ76" i="1" s="1"/>
  <c r="EZ76" i="1" s="1"/>
  <c r="FI76" i="1" s="1"/>
  <c r="FR76" i="1" s="1"/>
  <c r="GA76" i="1" s="1"/>
  <c r="GJ76" i="1" s="1"/>
  <c r="GS76" i="1" s="1"/>
  <c r="HB76" i="1" s="1"/>
  <c r="HK76" i="1" s="1"/>
  <c r="HU76" i="1" s="1"/>
  <c r="ID76" i="1" s="1"/>
  <c r="IM76" i="1" s="1"/>
  <c r="IV76" i="1" s="1"/>
  <c r="JE76" i="1" s="1"/>
  <c r="JN76" i="1" s="1"/>
  <c r="JW76" i="1" s="1"/>
  <c r="KF76" i="1" s="1"/>
  <c r="KO76" i="1" s="1"/>
  <c r="KX76" i="1" s="1"/>
  <c r="LG76" i="1" s="1"/>
  <c r="LP76" i="1" s="1"/>
  <c r="LY76" i="1" s="1"/>
  <c r="MH76" i="1" s="1"/>
  <c r="MQ76" i="1" s="1"/>
  <c r="MZ76" i="1" s="1"/>
  <c r="L43" i="1"/>
  <c r="U43" i="1" s="1"/>
  <c r="AD43" i="1" s="1"/>
  <c r="AM43" i="1" s="1"/>
  <c r="AV43" i="1" s="1"/>
  <c r="BE43" i="1" s="1"/>
  <c r="BN43" i="1" s="1"/>
  <c r="BW43" i="1" s="1"/>
  <c r="CF43" i="1" s="1"/>
  <c r="CO43" i="1" s="1"/>
  <c r="CX43" i="1" s="1"/>
  <c r="DG43" i="1" s="1"/>
  <c r="DP43" i="1" s="1"/>
  <c r="DY43" i="1" s="1"/>
  <c r="EH43" i="1" s="1"/>
  <c r="EQ43" i="1" s="1"/>
  <c r="EZ43" i="1" s="1"/>
  <c r="FI43" i="1" s="1"/>
  <c r="FR43" i="1" s="1"/>
  <c r="GA43" i="1" s="1"/>
  <c r="GJ43" i="1" s="1"/>
  <c r="GS43" i="1" s="1"/>
  <c r="HB43" i="1" s="1"/>
  <c r="HK43" i="1" s="1"/>
  <c r="HU43" i="1" s="1"/>
  <c r="ID43" i="1" s="1"/>
  <c r="IM43" i="1" s="1"/>
  <c r="IV43" i="1" s="1"/>
  <c r="JE43" i="1" s="1"/>
  <c r="JN43" i="1" s="1"/>
  <c r="JW43" i="1" s="1"/>
  <c r="KF43" i="1" s="1"/>
  <c r="KO43" i="1" s="1"/>
  <c r="KX43" i="1" s="1"/>
  <c r="LG43" i="1" s="1"/>
  <c r="LP43" i="1" s="1"/>
  <c r="LY43" i="1" s="1"/>
  <c r="MH43" i="1" s="1"/>
  <c r="MQ43" i="1" s="1"/>
  <c r="MZ43" i="1" s="1"/>
  <c r="L44" i="1"/>
  <c r="U44" i="1" s="1"/>
  <c r="AD44" i="1" s="1"/>
  <c r="AM44" i="1" s="1"/>
  <c r="AV44" i="1" s="1"/>
  <c r="BE44" i="1" s="1"/>
  <c r="BN44" i="1" s="1"/>
  <c r="BW44" i="1" s="1"/>
  <c r="CF44" i="1" s="1"/>
  <c r="CO44" i="1" s="1"/>
  <c r="CX44" i="1" s="1"/>
  <c r="DG44" i="1" s="1"/>
  <c r="DP44" i="1" s="1"/>
  <c r="DY44" i="1" s="1"/>
  <c r="EH44" i="1" s="1"/>
  <c r="EQ44" i="1" s="1"/>
  <c r="EZ44" i="1" s="1"/>
  <c r="FI44" i="1" s="1"/>
  <c r="FR44" i="1" s="1"/>
  <c r="GA44" i="1" s="1"/>
  <c r="GJ44" i="1" s="1"/>
  <c r="GS44" i="1" s="1"/>
  <c r="HB44" i="1" s="1"/>
  <c r="HK44" i="1" s="1"/>
  <c r="HU44" i="1" s="1"/>
  <c r="ID44" i="1" s="1"/>
  <c r="IM44" i="1" s="1"/>
  <c r="IV44" i="1" s="1"/>
  <c r="JE44" i="1" s="1"/>
  <c r="JN44" i="1" s="1"/>
  <c r="JW44" i="1" s="1"/>
  <c r="KF44" i="1" s="1"/>
  <c r="KO44" i="1" s="1"/>
  <c r="KX44" i="1" s="1"/>
  <c r="LG44" i="1" s="1"/>
  <c r="LP44" i="1" s="1"/>
  <c r="LY44" i="1" s="1"/>
  <c r="MH44" i="1" s="1"/>
  <c r="MQ44" i="1" s="1"/>
  <c r="MZ44" i="1" s="1"/>
  <c r="L45" i="1"/>
  <c r="U45" i="1" s="1"/>
  <c r="AD45" i="1" s="1"/>
  <c r="AM45" i="1" s="1"/>
  <c r="AV45" i="1" s="1"/>
  <c r="BE45" i="1" s="1"/>
  <c r="BN45" i="1" s="1"/>
  <c r="BW45" i="1" s="1"/>
  <c r="CF45" i="1" s="1"/>
  <c r="CO45" i="1" s="1"/>
  <c r="CX45" i="1" s="1"/>
  <c r="DG45" i="1" s="1"/>
  <c r="DP45" i="1" s="1"/>
  <c r="DY45" i="1" s="1"/>
  <c r="EH45" i="1" s="1"/>
  <c r="EQ45" i="1" s="1"/>
  <c r="EZ45" i="1" s="1"/>
  <c r="FI45" i="1" s="1"/>
  <c r="FR45" i="1" s="1"/>
  <c r="GA45" i="1" s="1"/>
  <c r="GJ45" i="1" s="1"/>
  <c r="GS45" i="1" s="1"/>
  <c r="HB45" i="1" s="1"/>
  <c r="HK45" i="1" s="1"/>
  <c r="HU45" i="1" s="1"/>
  <c r="ID45" i="1" s="1"/>
  <c r="IM45" i="1" s="1"/>
  <c r="IV45" i="1" s="1"/>
  <c r="JE45" i="1" s="1"/>
  <c r="JN45" i="1" s="1"/>
  <c r="JW45" i="1" s="1"/>
  <c r="KF45" i="1" s="1"/>
  <c r="KO45" i="1" s="1"/>
  <c r="KX45" i="1" s="1"/>
  <c r="LG45" i="1" s="1"/>
  <c r="LP45" i="1" s="1"/>
  <c r="LY45" i="1" s="1"/>
  <c r="MH45" i="1" s="1"/>
  <c r="MQ45" i="1" s="1"/>
  <c r="MZ45" i="1" s="1"/>
  <c r="L46" i="1"/>
  <c r="U46" i="1" s="1"/>
  <c r="AD46" i="1" s="1"/>
  <c r="AM46" i="1" s="1"/>
  <c r="AV46" i="1" s="1"/>
  <c r="BE46" i="1" s="1"/>
  <c r="BN46" i="1" s="1"/>
  <c r="BW46" i="1" s="1"/>
  <c r="CF46" i="1" s="1"/>
  <c r="CO46" i="1" s="1"/>
  <c r="CX46" i="1" s="1"/>
  <c r="DG46" i="1" s="1"/>
  <c r="DP46" i="1" s="1"/>
  <c r="DY46" i="1" s="1"/>
  <c r="EH46" i="1" s="1"/>
  <c r="EQ46" i="1" s="1"/>
  <c r="EZ46" i="1" s="1"/>
  <c r="FI46" i="1" s="1"/>
  <c r="FR46" i="1" s="1"/>
  <c r="GA46" i="1" s="1"/>
  <c r="GJ46" i="1" s="1"/>
  <c r="GS46" i="1" s="1"/>
  <c r="HB46" i="1" s="1"/>
  <c r="HK46" i="1" s="1"/>
  <c r="HU46" i="1" s="1"/>
  <c r="ID46" i="1" s="1"/>
  <c r="IM46" i="1" s="1"/>
  <c r="IV46" i="1" s="1"/>
  <c r="JE46" i="1" s="1"/>
  <c r="JN46" i="1" s="1"/>
  <c r="JW46" i="1" s="1"/>
  <c r="KF46" i="1" s="1"/>
  <c r="KO46" i="1" s="1"/>
  <c r="KX46" i="1" s="1"/>
  <c r="LG46" i="1" s="1"/>
  <c r="LP46" i="1" s="1"/>
  <c r="LY46" i="1" s="1"/>
  <c r="MH46" i="1" s="1"/>
  <c r="MQ46" i="1" s="1"/>
  <c r="MZ46" i="1" s="1"/>
  <c r="L47" i="1"/>
  <c r="U47" i="1" s="1"/>
  <c r="AD47" i="1" s="1"/>
  <c r="AM47" i="1" s="1"/>
  <c r="AV47" i="1" s="1"/>
  <c r="BE47" i="1" s="1"/>
  <c r="BN47" i="1" s="1"/>
  <c r="BW47" i="1" s="1"/>
  <c r="CF47" i="1" s="1"/>
  <c r="CO47" i="1" s="1"/>
  <c r="CX47" i="1" s="1"/>
  <c r="DG47" i="1" s="1"/>
  <c r="DP47" i="1" s="1"/>
  <c r="DY47" i="1" s="1"/>
  <c r="EH47" i="1" s="1"/>
  <c r="EQ47" i="1" s="1"/>
  <c r="EZ47" i="1" s="1"/>
  <c r="FI47" i="1" s="1"/>
  <c r="FR47" i="1" s="1"/>
  <c r="GA47" i="1" s="1"/>
  <c r="GJ47" i="1" s="1"/>
  <c r="GS47" i="1" s="1"/>
  <c r="HB47" i="1" s="1"/>
  <c r="HK47" i="1" s="1"/>
  <c r="HU47" i="1" s="1"/>
  <c r="ID47" i="1" s="1"/>
  <c r="IM47" i="1" s="1"/>
  <c r="IV47" i="1" s="1"/>
  <c r="JE47" i="1" s="1"/>
  <c r="JN47" i="1" s="1"/>
  <c r="JW47" i="1" s="1"/>
  <c r="KF47" i="1" s="1"/>
  <c r="KO47" i="1" s="1"/>
  <c r="KX47" i="1" s="1"/>
  <c r="LG47" i="1" s="1"/>
  <c r="LP47" i="1" s="1"/>
  <c r="LY47" i="1" s="1"/>
  <c r="MH47" i="1" s="1"/>
  <c r="MQ47" i="1" s="1"/>
  <c r="MZ47" i="1" s="1"/>
  <c r="L48" i="1"/>
  <c r="U48" i="1" s="1"/>
  <c r="AD48" i="1" s="1"/>
  <c r="AM48" i="1" s="1"/>
  <c r="AV48" i="1" s="1"/>
  <c r="BE48" i="1" s="1"/>
  <c r="BN48" i="1" s="1"/>
  <c r="BW48" i="1" s="1"/>
  <c r="CF48" i="1" s="1"/>
  <c r="CO48" i="1" s="1"/>
  <c r="CX48" i="1" s="1"/>
  <c r="DG48" i="1" s="1"/>
  <c r="DP48" i="1" s="1"/>
  <c r="DY48" i="1" s="1"/>
  <c r="EH48" i="1" s="1"/>
  <c r="EQ48" i="1" s="1"/>
  <c r="EZ48" i="1" s="1"/>
  <c r="FI48" i="1" s="1"/>
  <c r="FR48" i="1" s="1"/>
  <c r="GA48" i="1" s="1"/>
  <c r="GJ48" i="1" s="1"/>
  <c r="GS48" i="1" s="1"/>
  <c r="HB48" i="1" s="1"/>
  <c r="HK48" i="1" s="1"/>
  <c r="HU48" i="1" s="1"/>
  <c r="ID48" i="1" s="1"/>
  <c r="IM48" i="1" s="1"/>
  <c r="IV48" i="1" s="1"/>
  <c r="JE48" i="1" s="1"/>
  <c r="JN48" i="1" s="1"/>
  <c r="JW48" i="1" s="1"/>
  <c r="KF48" i="1" s="1"/>
  <c r="KO48" i="1" s="1"/>
  <c r="KX48" i="1" s="1"/>
  <c r="LG48" i="1" s="1"/>
  <c r="LP48" i="1" s="1"/>
  <c r="LY48" i="1" s="1"/>
  <c r="MH48" i="1" s="1"/>
  <c r="MQ48" i="1" s="1"/>
  <c r="MZ48" i="1" s="1"/>
  <c r="L49" i="1"/>
  <c r="U49" i="1" s="1"/>
  <c r="AD49" i="1" s="1"/>
  <c r="AM49" i="1" s="1"/>
  <c r="AV49" i="1" s="1"/>
  <c r="BE49" i="1" s="1"/>
  <c r="BN49" i="1" s="1"/>
  <c r="BW49" i="1" s="1"/>
  <c r="CF49" i="1" s="1"/>
  <c r="CO49" i="1" s="1"/>
  <c r="CX49" i="1" s="1"/>
  <c r="DG49" i="1" s="1"/>
  <c r="DP49" i="1" s="1"/>
  <c r="DY49" i="1" s="1"/>
  <c r="EH49" i="1" s="1"/>
  <c r="EQ49" i="1" s="1"/>
  <c r="EZ49" i="1" s="1"/>
  <c r="FI49" i="1" s="1"/>
  <c r="FR49" i="1" s="1"/>
  <c r="GA49" i="1" s="1"/>
  <c r="GJ49" i="1" s="1"/>
  <c r="GS49" i="1" s="1"/>
  <c r="HB49" i="1" s="1"/>
  <c r="HK49" i="1" s="1"/>
  <c r="HU49" i="1" s="1"/>
  <c r="ID49" i="1" s="1"/>
  <c r="IM49" i="1" s="1"/>
  <c r="IV49" i="1" s="1"/>
  <c r="JE49" i="1" s="1"/>
  <c r="JN49" i="1" s="1"/>
  <c r="JW49" i="1" s="1"/>
  <c r="KF49" i="1" s="1"/>
  <c r="KO49" i="1" s="1"/>
  <c r="KX49" i="1" s="1"/>
  <c r="LG49" i="1" s="1"/>
  <c r="LP49" i="1" s="1"/>
  <c r="LY49" i="1" s="1"/>
  <c r="MH49" i="1" s="1"/>
  <c r="MQ49" i="1" s="1"/>
  <c r="MZ49" i="1" s="1"/>
  <c r="L50" i="1"/>
  <c r="U50" i="1" s="1"/>
  <c r="AD50" i="1" s="1"/>
  <c r="AM50" i="1" s="1"/>
  <c r="AV50" i="1" s="1"/>
  <c r="BE50" i="1" s="1"/>
  <c r="BN50" i="1" s="1"/>
  <c r="BW50" i="1" s="1"/>
  <c r="CF50" i="1" s="1"/>
  <c r="CO50" i="1" s="1"/>
  <c r="CX50" i="1" s="1"/>
  <c r="DG50" i="1" s="1"/>
  <c r="DP50" i="1" s="1"/>
  <c r="DY50" i="1" s="1"/>
  <c r="EH50" i="1" s="1"/>
  <c r="EQ50" i="1" s="1"/>
  <c r="EZ50" i="1" s="1"/>
  <c r="FI50" i="1" s="1"/>
  <c r="FR50" i="1" s="1"/>
  <c r="GA50" i="1" s="1"/>
  <c r="GJ50" i="1" s="1"/>
  <c r="GS50" i="1" s="1"/>
  <c r="HB50" i="1" s="1"/>
  <c r="HK50" i="1" s="1"/>
  <c r="HU50" i="1" s="1"/>
  <c r="ID50" i="1" s="1"/>
  <c r="IM50" i="1" s="1"/>
  <c r="IV50" i="1" s="1"/>
  <c r="JE50" i="1" s="1"/>
  <c r="JN50" i="1" s="1"/>
  <c r="JW50" i="1" s="1"/>
  <c r="KF50" i="1" s="1"/>
  <c r="KO50" i="1" s="1"/>
  <c r="KX50" i="1" s="1"/>
  <c r="LG50" i="1" s="1"/>
  <c r="LP50" i="1" s="1"/>
  <c r="LY50" i="1" s="1"/>
  <c r="MH50" i="1" s="1"/>
  <c r="MQ50" i="1" s="1"/>
  <c r="MZ50" i="1" s="1"/>
  <c r="L51" i="1"/>
  <c r="U51" i="1" s="1"/>
  <c r="AD51" i="1" s="1"/>
  <c r="AM51" i="1" s="1"/>
  <c r="AV51" i="1" s="1"/>
  <c r="BE51" i="1" s="1"/>
  <c r="BN51" i="1" s="1"/>
  <c r="BW51" i="1" s="1"/>
  <c r="CF51" i="1" s="1"/>
  <c r="CO51" i="1" s="1"/>
  <c r="CX51" i="1" s="1"/>
  <c r="DG51" i="1" s="1"/>
  <c r="DP51" i="1" s="1"/>
  <c r="DY51" i="1" s="1"/>
  <c r="EH51" i="1" s="1"/>
  <c r="EQ51" i="1" s="1"/>
  <c r="EZ51" i="1" s="1"/>
  <c r="FI51" i="1" s="1"/>
  <c r="FR51" i="1" s="1"/>
  <c r="GA51" i="1" s="1"/>
  <c r="GJ51" i="1" s="1"/>
  <c r="GS51" i="1" s="1"/>
  <c r="HB51" i="1" s="1"/>
  <c r="HK51" i="1" s="1"/>
  <c r="HU51" i="1" s="1"/>
  <c r="ID51" i="1" s="1"/>
  <c r="IM51" i="1" s="1"/>
  <c r="IV51" i="1" s="1"/>
  <c r="JE51" i="1" s="1"/>
  <c r="JN51" i="1" s="1"/>
  <c r="JW51" i="1" s="1"/>
  <c r="KF51" i="1" s="1"/>
  <c r="KO51" i="1" s="1"/>
  <c r="KX51" i="1" s="1"/>
  <c r="LG51" i="1" s="1"/>
  <c r="LP51" i="1" s="1"/>
  <c r="LY51" i="1" s="1"/>
  <c r="MH51" i="1" s="1"/>
  <c r="MQ51" i="1" s="1"/>
  <c r="MZ51" i="1" s="1"/>
  <c r="L52" i="1"/>
  <c r="U52" i="1" s="1"/>
  <c r="AD52" i="1" s="1"/>
  <c r="AM52" i="1" s="1"/>
  <c r="AV52" i="1" s="1"/>
  <c r="BE52" i="1" s="1"/>
  <c r="BN52" i="1" s="1"/>
  <c r="BW52" i="1" s="1"/>
  <c r="CF52" i="1" s="1"/>
  <c r="CO52" i="1" s="1"/>
  <c r="CX52" i="1" s="1"/>
  <c r="DG52" i="1" s="1"/>
  <c r="DP52" i="1" s="1"/>
  <c r="DY52" i="1" s="1"/>
  <c r="EH52" i="1" s="1"/>
  <c r="EQ52" i="1" s="1"/>
  <c r="EZ52" i="1" s="1"/>
  <c r="FI52" i="1" s="1"/>
  <c r="FR52" i="1" s="1"/>
  <c r="GA52" i="1" s="1"/>
  <c r="GJ52" i="1" s="1"/>
  <c r="GS52" i="1" s="1"/>
  <c r="HB52" i="1" s="1"/>
  <c r="HK52" i="1" s="1"/>
  <c r="HU52" i="1" s="1"/>
  <c r="ID52" i="1" s="1"/>
  <c r="IM52" i="1" s="1"/>
  <c r="IV52" i="1" s="1"/>
  <c r="JE52" i="1" s="1"/>
  <c r="JN52" i="1" s="1"/>
  <c r="JW52" i="1" s="1"/>
  <c r="KF52" i="1" s="1"/>
  <c r="KO52" i="1" s="1"/>
  <c r="KX52" i="1" s="1"/>
  <c r="LG52" i="1" s="1"/>
  <c r="LP52" i="1" s="1"/>
  <c r="LY52" i="1" s="1"/>
  <c r="MH52" i="1" s="1"/>
  <c r="MQ52" i="1" s="1"/>
  <c r="MZ52" i="1" s="1"/>
  <c r="L53" i="1"/>
  <c r="U53" i="1" s="1"/>
  <c r="AD53" i="1" s="1"/>
  <c r="AM53" i="1" s="1"/>
  <c r="AV53" i="1" s="1"/>
  <c r="BE53" i="1" s="1"/>
  <c r="BN53" i="1" s="1"/>
  <c r="BW53" i="1" s="1"/>
  <c r="CF53" i="1" s="1"/>
  <c r="CO53" i="1" s="1"/>
  <c r="CX53" i="1" s="1"/>
  <c r="DG53" i="1" s="1"/>
  <c r="DP53" i="1" s="1"/>
  <c r="DY53" i="1" s="1"/>
  <c r="EH53" i="1" s="1"/>
  <c r="EQ53" i="1" s="1"/>
  <c r="EZ53" i="1" s="1"/>
  <c r="FI53" i="1" s="1"/>
  <c r="FR53" i="1" s="1"/>
  <c r="GA53" i="1" s="1"/>
  <c r="GJ53" i="1" s="1"/>
  <c r="GS53" i="1" s="1"/>
  <c r="HB53" i="1" s="1"/>
  <c r="HK53" i="1" s="1"/>
  <c r="HU53" i="1" s="1"/>
  <c r="ID53" i="1" s="1"/>
  <c r="IM53" i="1" s="1"/>
  <c r="IV53" i="1" s="1"/>
  <c r="JE53" i="1" s="1"/>
  <c r="JN53" i="1" s="1"/>
  <c r="JW53" i="1" s="1"/>
  <c r="KF53" i="1" s="1"/>
  <c r="KO53" i="1" s="1"/>
  <c r="KX53" i="1" s="1"/>
  <c r="LG53" i="1" s="1"/>
  <c r="LP53" i="1" s="1"/>
  <c r="LY53" i="1" s="1"/>
  <c r="MH53" i="1" s="1"/>
  <c r="MQ53" i="1" s="1"/>
  <c r="MZ53" i="1" s="1"/>
  <c r="L54" i="1"/>
  <c r="U54" i="1" s="1"/>
  <c r="AD54" i="1" s="1"/>
  <c r="AM54" i="1" s="1"/>
  <c r="AV54" i="1" s="1"/>
  <c r="BE54" i="1" s="1"/>
  <c r="BN54" i="1" s="1"/>
  <c r="BW54" i="1" s="1"/>
  <c r="CF54" i="1" s="1"/>
  <c r="CO54" i="1" s="1"/>
  <c r="CX54" i="1" s="1"/>
  <c r="DG54" i="1" s="1"/>
  <c r="DP54" i="1" s="1"/>
  <c r="DY54" i="1" s="1"/>
  <c r="EH54" i="1" s="1"/>
  <c r="EQ54" i="1" s="1"/>
  <c r="EZ54" i="1" s="1"/>
  <c r="FI54" i="1" s="1"/>
  <c r="FR54" i="1" s="1"/>
  <c r="GA54" i="1" s="1"/>
  <c r="GJ54" i="1" s="1"/>
  <c r="GS54" i="1" s="1"/>
  <c r="HB54" i="1" s="1"/>
  <c r="HK54" i="1" s="1"/>
  <c r="HU54" i="1" s="1"/>
  <c r="ID54" i="1" s="1"/>
  <c r="IM54" i="1" s="1"/>
  <c r="IV54" i="1" s="1"/>
  <c r="JE54" i="1" s="1"/>
  <c r="JN54" i="1" s="1"/>
  <c r="JW54" i="1" s="1"/>
  <c r="KF54" i="1" s="1"/>
  <c r="KO54" i="1" s="1"/>
  <c r="KX54" i="1" s="1"/>
  <c r="LG54" i="1" s="1"/>
  <c r="LP54" i="1" s="1"/>
  <c r="LY54" i="1" s="1"/>
  <c r="MH54" i="1" s="1"/>
  <c r="MQ54" i="1" s="1"/>
  <c r="MZ54" i="1" s="1"/>
  <c r="L55" i="1"/>
  <c r="U55" i="1" s="1"/>
  <c r="AD55" i="1" s="1"/>
  <c r="AM55" i="1" s="1"/>
  <c r="AV55" i="1" s="1"/>
  <c r="BE55" i="1" s="1"/>
  <c r="BN55" i="1" s="1"/>
  <c r="BW55" i="1" s="1"/>
  <c r="CF55" i="1" s="1"/>
  <c r="CO55" i="1" s="1"/>
  <c r="CX55" i="1" s="1"/>
  <c r="DG55" i="1" s="1"/>
  <c r="DP55" i="1" s="1"/>
  <c r="DY55" i="1" s="1"/>
  <c r="EH55" i="1" s="1"/>
  <c r="EQ55" i="1" s="1"/>
  <c r="EZ55" i="1" s="1"/>
  <c r="FI55" i="1" s="1"/>
  <c r="FR55" i="1" s="1"/>
  <c r="GA55" i="1" s="1"/>
  <c r="GJ55" i="1" s="1"/>
  <c r="GS55" i="1" s="1"/>
  <c r="HB55" i="1" s="1"/>
  <c r="HK55" i="1" s="1"/>
  <c r="HU55" i="1" s="1"/>
  <c r="ID55" i="1" s="1"/>
  <c r="IM55" i="1" s="1"/>
  <c r="IV55" i="1" s="1"/>
  <c r="JE55" i="1" s="1"/>
  <c r="JN55" i="1" s="1"/>
  <c r="JW55" i="1" s="1"/>
  <c r="KF55" i="1" s="1"/>
  <c r="KO55" i="1" s="1"/>
  <c r="KX55" i="1" s="1"/>
  <c r="LG55" i="1" s="1"/>
  <c r="LP55" i="1" s="1"/>
  <c r="LY55" i="1" s="1"/>
  <c r="MH55" i="1" s="1"/>
  <c r="MQ55" i="1" s="1"/>
  <c r="MZ55" i="1" s="1"/>
  <c r="L56" i="1"/>
  <c r="U56" i="1" s="1"/>
  <c r="AD56" i="1" s="1"/>
  <c r="AM56" i="1" s="1"/>
  <c r="AV56" i="1" s="1"/>
  <c r="BE56" i="1" s="1"/>
  <c r="BN56" i="1" s="1"/>
  <c r="BW56" i="1" s="1"/>
  <c r="CF56" i="1" s="1"/>
  <c r="CO56" i="1" s="1"/>
  <c r="CX56" i="1" s="1"/>
  <c r="DG56" i="1" s="1"/>
  <c r="DP56" i="1" s="1"/>
  <c r="DY56" i="1" s="1"/>
  <c r="EH56" i="1" s="1"/>
  <c r="EQ56" i="1" s="1"/>
  <c r="EZ56" i="1" s="1"/>
  <c r="FI56" i="1" s="1"/>
  <c r="FR56" i="1" s="1"/>
  <c r="GA56" i="1" s="1"/>
  <c r="GJ56" i="1" s="1"/>
  <c r="GS56" i="1" s="1"/>
  <c r="HB56" i="1" s="1"/>
  <c r="HK56" i="1" s="1"/>
  <c r="HU56" i="1" s="1"/>
  <c r="ID56" i="1" s="1"/>
  <c r="IM56" i="1" s="1"/>
  <c r="IV56" i="1" s="1"/>
  <c r="JE56" i="1" s="1"/>
  <c r="JN56" i="1" s="1"/>
  <c r="JW56" i="1" s="1"/>
  <c r="KF56" i="1" s="1"/>
  <c r="KO56" i="1" s="1"/>
  <c r="KX56" i="1" s="1"/>
  <c r="LG56" i="1" s="1"/>
  <c r="LP56" i="1" s="1"/>
  <c r="LY56" i="1" s="1"/>
  <c r="MH56" i="1" s="1"/>
  <c r="MQ56" i="1" s="1"/>
  <c r="MZ56" i="1" s="1"/>
  <c r="L57" i="1"/>
  <c r="U57" i="1" s="1"/>
  <c r="AD57" i="1" s="1"/>
  <c r="AM57" i="1" s="1"/>
  <c r="AV57" i="1" s="1"/>
  <c r="BE57" i="1" s="1"/>
  <c r="BN57" i="1" s="1"/>
  <c r="BW57" i="1" s="1"/>
  <c r="CF57" i="1" s="1"/>
  <c r="CO57" i="1" s="1"/>
  <c r="CX57" i="1" s="1"/>
  <c r="DG57" i="1" s="1"/>
  <c r="DP57" i="1" s="1"/>
  <c r="DY57" i="1" s="1"/>
  <c r="EH57" i="1" s="1"/>
  <c r="EQ57" i="1" s="1"/>
  <c r="EZ57" i="1" s="1"/>
  <c r="FI57" i="1" s="1"/>
  <c r="FR57" i="1" s="1"/>
  <c r="GA57" i="1" s="1"/>
  <c r="GJ57" i="1" s="1"/>
  <c r="GS57" i="1" s="1"/>
  <c r="HB57" i="1" s="1"/>
  <c r="HK57" i="1" s="1"/>
  <c r="HU57" i="1" s="1"/>
  <c r="ID57" i="1" s="1"/>
  <c r="IM57" i="1" s="1"/>
  <c r="IV57" i="1" s="1"/>
  <c r="JE57" i="1" s="1"/>
  <c r="JN57" i="1" s="1"/>
  <c r="JW57" i="1" s="1"/>
  <c r="KF57" i="1" s="1"/>
  <c r="KO57" i="1" s="1"/>
  <c r="KX57" i="1" s="1"/>
  <c r="LG57" i="1" s="1"/>
  <c r="LP57" i="1" s="1"/>
  <c r="LY57" i="1" s="1"/>
  <c r="MH57" i="1" s="1"/>
  <c r="MQ57" i="1" s="1"/>
  <c r="MZ57" i="1" s="1"/>
  <c r="L58" i="1"/>
  <c r="U58" i="1" s="1"/>
  <c r="AD58" i="1" s="1"/>
  <c r="AM58" i="1" s="1"/>
  <c r="AV58" i="1" s="1"/>
  <c r="BE58" i="1" s="1"/>
  <c r="BN58" i="1" s="1"/>
  <c r="BW58" i="1" s="1"/>
  <c r="CF58" i="1" s="1"/>
  <c r="CO58" i="1" s="1"/>
  <c r="CX58" i="1" s="1"/>
  <c r="DG58" i="1" s="1"/>
  <c r="DP58" i="1" s="1"/>
  <c r="DY58" i="1" s="1"/>
  <c r="EH58" i="1" s="1"/>
  <c r="EQ58" i="1" s="1"/>
  <c r="EZ58" i="1" s="1"/>
  <c r="FI58" i="1" s="1"/>
  <c r="FR58" i="1" s="1"/>
  <c r="GA58" i="1" s="1"/>
  <c r="GJ58" i="1" s="1"/>
  <c r="GS58" i="1" s="1"/>
  <c r="HB58" i="1" s="1"/>
  <c r="HK58" i="1" s="1"/>
  <c r="HU58" i="1" s="1"/>
  <c r="ID58" i="1" s="1"/>
  <c r="IM58" i="1" s="1"/>
  <c r="IV58" i="1" s="1"/>
  <c r="JE58" i="1" s="1"/>
  <c r="JN58" i="1" s="1"/>
  <c r="JW58" i="1" s="1"/>
  <c r="KF58" i="1" s="1"/>
  <c r="KO58" i="1" s="1"/>
  <c r="KX58" i="1" s="1"/>
  <c r="LG58" i="1" s="1"/>
  <c r="LP58" i="1" s="1"/>
  <c r="LY58" i="1" s="1"/>
  <c r="MH58" i="1" s="1"/>
  <c r="MQ58" i="1" s="1"/>
  <c r="MZ58" i="1" s="1"/>
  <c r="L59" i="1"/>
  <c r="U59" i="1" s="1"/>
  <c r="AD59" i="1" s="1"/>
  <c r="AM59" i="1" s="1"/>
  <c r="AV59" i="1" s="1"/>
  <c r="BE59" i="1" s="1"/>
  <c r="BN59" i="1" s="1"/>
  <c r="BW59" i="1" s="1"/>
  <c r="CF59" i="1" s="1"/>
  <c r="CO59" i="1" s="1"/>
  <c r="CX59" i="1" s="1"/>
  <c r="DG59" i="1" s="1"/>
  <c r="DP59" i="1" s="1"/>
  <c r="DY59" i="1" s="1"/>
  <c r="EH59" i="1" s="1"/>
  <c r="EQ59" i="1" s="1"/>
  <c r="EZ59" i="1" s="1"/>
  <c r="FI59" i="1" s="1"/>
  <c r="FR59" i="1" s="1"/>
  <c r="GA59" i="1" s="1"/>
  <c r="GJ59" i="1" s="1"/>
  <c r="GS59" i="1" s="1"/>
  <c r="HB59" i="1" s="1"/>
  <c r="HK59" i="1" s="1"/>
  <c r="HU59" i="1" s="1"/>
  <c r="ID59" i="1" s="1"/>
  <c r="IM59" i="1" s="1"/>
  <c r="IV59" i="1" s="1"/>
  <c r="JE59" i="1" s="1"/>
  <c r="JN59" i="1" s="1"/>
  <c r="JW59" i="1" s="1"/>
  <c r="KF59" i="1" s="1"/>
  <c r="KO59" i="1" s="1"/>
  <c r="KX59" i="1" s="1"/>
  <c r="LG59" i="1" s="1"/>
  <c r="LP59" i="1" s="1"/>
  <c r="LY59" i="1" s="1"/>
  <c r="MH59" i="1" s="1"/>
  <c r="MQ59" i="1" s="1"/>
  <c r="MZ59" i="1" s="1"/>
  <c r="L60" i="1"/>
  <c r="U60" i="1" s="1"/>
  <c r="AD60" i="1" s="1"/>
  <c r="AM60" i="1" s="1"/>
  <c r="AV60" i="1" s="1"/>
  <c r="BE60" i="1" s="1"/>
  <c r="BN60" i="1" s="1"/>
  <c r="BW60" i="1" s="1"/>
  <c r="CF60" i="1" s="1"/>
  <c r="CO60" i="1" s="1"/>
  <c r="CX60" i="1" s="1"/>
  <c r="DG60" i="1" s="1"/>
  <c r="DP60" i="1" s="1"/>
  <c r="DY60" i="1" s="1"/>
  <c r="EH60" i="1" s="1"/>
  <c r="EQ60" i="1" s="1"/>
  <c r="EZ60" i="1" s="1"/>
  <c r="FI60" i="1" s="1"/>
  <c r="FR60" i="1" s="1"/>
  <c r="GA60" i="1" s="1"/>
  <c r="GJ60" i="1" s="1"/>
  <c r="GS60" i="1" s="1"/>
  <c r="HB60" i="1" s="1"/>
  <c r="HK60" i="1" s="1"/>
  <c r="HU60" i="1" s="1"/>
  <c r="ID60" i="1" s="1"/>
  <c r="IM60" i="1" s="1"/>
  <c r="IV60" i="1" s="1"/>
  <c r="JE60" i="1" s="1"/>
  <c r="JN60" i="1" s="1"/>
  <c r="JW60" i="1" s="1"/>
  <c r="KF60" i="1" s="1"/>
  <c r="KO60" i="1" s="1"/>
  <c r="KX60" i="1" s="1"/>
  <c r="LG60" i="1" s="1"/>
  <c r="LP60" i="1" s="1"/>
  <c r="LY60" i="1" s="1"/>
  <c r="MH60" i="1" s="1"/>
  <c r="MQ60" i="1" s="1"/>
  <c r="MZ60" i="1" s="1"/>
  <c r="L61" i="1"/>
  <c r="U61" i="1" s="1"/>
  <c r="AD61" i="1" s="1"/>
  <c r="AM61" i="1" s="1"/>
  <c r="AV61" i="1" s="1"/>
  <c r="BE61" i="1" s="1"/>
  <c r="BN61" i="1" s="1"/>
  <c r="BW61" i="1" s="1"/>
  <c r="CF61" i="1" s="1"/>
  <c r="CO61" i="1" s="1"/>
  <c r="CX61" i="1" s="1"/>
  <c r="DG61" i="1" s="1"/>
  <c r="DP61" i="1" s="1"/>
  <c r="DY61" i="1" s="1"/>
  <c r="EH61" i="1" s="1"/>
  <c r="EQ61" i="1" s="1"/>
  <c r="EZ61" i="1" s="1"/>
  <c r="FI61" i="1" s="1"/>
  <c r="FR61" i="1" s="1"/>
  <c r="GA61" i="1" s="1"/>
  <c r="GJ61" i="1" s="1"/>
  <c r="GS61" i="1" s="1"/>
  <c r="HB61" i="1" s="1"/>
  <c r="HK61" i="1" s="1"/>
  <c r="HU61" i="1" s="1"/>
  <c r="ID61" i="1" s="1"/>
  <c r="IM61" i="1" s="1"/>
  <c r="IV61" i="1" s="1"/>
  <c r="JE61" i="1" s="1"/>
  <c r="JN61" i="1" s="1"/>
  <c r="JW61" i="1" s="1"/>
  <c r="KF61" i="1" s="1"/>
  <c r="KO61" i="1" s="1"/>
  <c r="KX61" i="1" s="1"/>
  <c r="LG61" i="1" s="1"/>
  <c r="LP61" i="1" s="1"/>
  <c r="LY61" i="1" s="1"/>
  <c r="MH61" i="1" s="1"/>
  <c r="MQ61" i="1" s="1"/>
  <c r="MZ61" i="1" s="1"/>
  <c r="L62" i="1"/>
  <c r="U62" i="1" s="1"/>
  <c r="AD62" i="1" s="1"/>
  <c r="AM62" i="1" s="1"/>
  <c r="AV62" i="1" s="1"/>
  <c r="BE62" i="1" s="1"/>
  <c r="BN62" i="1" s="1"/>
  <c r="BW62" i="1" s="1"/>
  <c r="CF62" i="1" s="1"/>
  <c r="CO62" i="1" s="1"/>
  <c r="CX62" i="1" s="1"/>
  <c r="DG62" i="1" s="1"/>
  <c r="DP62" i="1" s="1"/>
  <c r="DY62" i="1" s="1"/>
  <c r="EH62" i="1" s="1"/>
  <c r="EQ62" i="1" s="1"/>
  <c r="EZ62" i="1" s="1"/>
  <c r="FI62" i="1" s="1"/>
  <c r="FR62" i="1" s="1"/>
  <c r="GA62" i="1" s="1"/>
  <c r="GJ62" i="1" s="1"/>
  <c r="GS62" i="1" s="1"/>
  <c r="HB62" i="1" s="1"/>
  <c r="HK62" i="1" s="1"/>
  <c r="HU62" i="1" s="1"/>
  <c r="ID62" i="1" s="1"/>
  <c r="IM62" i="1" s="1"/>
  <c r="IV62" i="1" s="1"/>
  <c r="JE62" i="1" s="1"/>
  <c r="JN62" i="1" s="1"/>
  <c r="JW62" i="1" s="1"/>
  <c r="KF62" i="1" s="1"/>
  <c r="KO62" i="1" s="1"/>
  <c r="KX62" i="1" s="1"/>
  <c r="LG62" i="1" s="1"/>
  <c r="LP62" i="1" s="1"/>
  <c r="LY62" i="1" s="1"/>
  <c r="MH62" i="1" s="1"/>
  <c r="MQ62" i="1" s="1"/>
  <c r="MZ62" i="1" s="1"/>
  <c r="L63" i="1"/>
  <c r="U63" i="1" s="1"/>
  <c r="AD63" i="1" s="1"/>
  <c r="AM63" i="1" s="1"/>
  <c r="AV63" i="1" s="1"/>
  <c r="BE63" i="1" s="1"/>
  <c r="BN63" i="1" s="1"/>
  <c r="BW63" i="1" s="1"/>
  <c r="CF63" i="1" s="1"/>
  <c r="CO63" i="1" s="1"/>
  <c r="CX63" i="1" s="1"/>
  <c r="DG63" i="1" s="1"/>
  <c r="DP63" i="1" s="1"/>
  <c r="DY63" i="1" s="1"/>
  <c r="EH63" i="1" s="1"/>
  <c r="EQ63" i="1" s="1"/>
  <c r="EZ63" i="1" s="1"/>
  <c r="FI63" i="1" s="1"/>
  <c r="FR63" i="1" s="1"/>
  <c r="GA63" i="1" s="1"/>
  <c r="GJ63" i="1" s="1"/>
  <c r="GS63" i="1" s="1"/>
  <c r="HB63" i="1" s="1"/>
  <c r="HK63" i="1" s="1"/>
  <c r="HU63" i="1" s="1"/>
  <c r="ID63" i="1" s="1"/>
  <c r="IM63" i="1" s="1"/>
  <c r="IV63" i="1" s="1"/>
  <c r="JE63" i="1" s="1"/>
  <c r="JN63" i="1" s="1"/>
  <c r="JW63" i="1" s="1"/>
  <c r="KF63" i="1" s="1"/>
  <c r="KO63" i="1" s="1"/>
  <c r="KX63" i="1" s="1"/>
  <c r="LG63" i="1" s="1"/>
  <c r="LP63" i="1" s="1"/>
  <c r="LY63" i="1" s="1"/>
  <c r="MH63" i="1" s="1"/>
  <c r="MQ63" i="1" s="1"/>
  <c r="MZ63" i="1" s="1"/>
  <c r="L64" i="1"/>
  <c r="U64" i="1" s="1"/>
  <c r="AD64" i="1" s="1"/>
  <c r="AM64" i="1" s="1"/>
  <c r="AV64" i="1" s="1"/>
  <c r="BE64" i="1" s="1"/>
  <c r="BN64" i="1" s="1"/>
  <c r="BW64" i="1" s="1"/>
  <c r="CF64" i="1" s="1"/>
  <c r="CO64" i="1" s="1"/>
  <c r="CX64" i="1" s="1"/>
  <c r="DG64" i="1" s="1"/>
  <c r="DP64" i="1" s="1"/>
  <c r="DY64" i="1" s="1"/>
  <c r="EH64" i="1" s="1"/>
  <c r="EQ64" i="1" s="1"/>
  <c r="EZ64" i="1" s="1"/>
  <c r="FI64" i="1" s="1"/>
  <c r="FR64" i="1" s="1"/>
  <c r="GA64" i="1" s="1"/>
  <c r="GJ64" i="1" s="1"/>
  <c r="GS64" i="1" s="1"/>
  <c r="HB64" i="1" s="1"/>
  <c r="HK64" i="1" s="1"/>
  <c r="HU64" i="1" s="1"/>
  <c r="ID64" i="1" s="1"/>
  <c r="IM64" i="1" s="1"/>
  <c r="IV64" i="1" s="1"/>
  <c r="JE64" i="1" s="1"/>
  <c r="JN64" i="1" s="1"/>
  <c r="JW64" i="1" s="1"/>
  <c r="KF64" i="1" s="1"/>
  <c r="KO64" i="1" s="1"/>
  <c r="KX64" i="1" s="1"/>
  <c r="LG64" i="1" s="1"/>
  <c r="LP64" i="1" s="1"/>
  <c r="LY64" i="1" s="1"/>
  <c r="MH64" i="1" s="1"/>
  <c r="MQ64" i="1" s="1"/>
  <c r="MZ64" i="1" s="1"/>
  <c r="L65" i="1"/>
  <c r="U65" i="1" s="1"/>
  <c r="AD65" i="1" s="1"/>
  <c r="AM65" i="1" s="1"/>
  <c r="AV65" i="1" s="1"/>
  <c r="BE65" i="1" s="1"/>
  <c r="BN65" i="1" s="1"/>
  <c r="BW65" i="1" s="1"/>
  <c r="CF65" i="1" s="1"/>
  <c r="CO65" i="1" s="1"/>
  <c r="CX65" i="1" s="1"/>
  <c r="DG65" i="1" s="1"/>
  <c r="DP65" i="1" s="1"/>
  <c r="DY65" i="1" s="1"/>
  <c r="EH65" i="1" s="1"/>
  <c r="EQ65" i="1" s="1"/>
  <c r="EZ65" i="1" s="1"/>
  <c r="FI65" i="1" s="1"/>
  <c r="FR65" i="1" s="1"/>
  <c r="GA65" i="1" s="1"/>
  <c r="GJ65" i="1" s="1"/>
  <c r="GS65" i="1" s="1"/>
  <c r="HB65" i="1" s="1"/>
  <c r="HK65" i="1" s="1"/>
  <c r="HU65" i="1" s="1"/>
  <c r="ID65" i="1" s="1"/>
  <c r="IM65" i="1" s="1"/>
  <c r="IV65" i="1" s="1"/>
  <c r="JE65" i="1" s="1"/>
  <c r="JN65" i="1" s="1"/>
  <c r="JW65" i="1" s="1"/>
  <c r="KF65" i="1" s="1"/>
  <c r="KO65" i="1" s="1"/>
  <c r="KX65" i="1" s="1"/>
  <c r="LG65" i="1" s="1"/>
  <c r="LP65" i="1" s="1"/>
  <c r="LY65" i="1" s="1"/>
  <c r="MH65" i="1" s="1"/>
  <c r="MQ65" i="1" s="1"/>
  <c r="MZ65" i="1" s="1"/>
  <c r="L66" i="1"/>
  <c r="U66" i="1" s="1"/>
  <c r="AD66" i="1" s="1"/>
  <c r="AM66" i="1" s="1"/>
  <c r="AV66" i="1" s="1"/>
  <c r="BE66" i="1" s="1"/>
  <c r="BN66" i="1" s="1"/>
  <c r="BW66" i="1" s="1"/>
  <c r="CF66" i="1" s="1"/>
  <c r="CO66" i="1" s="1"/>
  <c r="CX66" i="1" s="1"/>
  <c r="DG66" i="1" s="1"/>
  <c r="DP66" i="1" s="1"/>
  <c r="DY66" i="1" s="1"/>
  <c r="EH66" i="1" s="1"/>
  <c r="EQ66" i="1" s="1"/>
  <c r="EZ66" i="1" s="1"/>
  <c r="FI66" i="1" s="1"/>
  <c r="FR66" i="1" s="1"/>
  <c r="GA66" i="1" s="1"/>
  <c r="GJ66" i="1" s="1"/>
  <c r="GS66" i="1" s="1"/>
  <c r="HB66" i="1" s="1"/>
  <c r="HK66" i="1" s="1"/>
  <c r="HU66" i="1" s="1"/>
  <c r="ID66" i="1" s="1"/>
  <c r="IM66" i="1" s="1"/>
  <c r="IV66" i="1" s="1"/>
  <c r="JE66" i="1" s="1"/>
  <c r="JN66" i="1" s="1"/>
  <c r="JW66" i="1" s="1"/>
  <c r="KF66" i="1" s="1"/>
  <c r="KO66" i="1" s="1"/>
  <c r="KX66" i="1" s="1"/>
  <c r="LG66" i="1" s="1"/>
  <c r="LP66" i="1" s="1"/>
  <c r="LY66" i="1" s="1"/>
  <c r="MH66" i="1" s="1"/>
  <c r="MQ66" i="1" s="1"/>
  <c r="MZ66" i="1" s="1"/>
  <c r="L67" i="1"/>
  <c r="U67" i="1" s="1"/>
  <c r="AD67" i="1" s="1"/>
  <c r="AM67" i="1" s="1"/>
  <c r="AV67" i="1" s="1"/>
  <c r="BE67" i="1" s="1"/>
  <c r="BN67" i="1" s="1"/>
  <c r="BW67" i="1" s="1"/>
  <c r="CF67" i="1" s="1"/>
  <c r="CO67" i="1" s="1"/>
  <c r="CX67" i="1" s="1"/>
  <c r="DG67" i="1" s="1"/>
  <c r="DP67" i="1" s="1"/>
  <c r="DY67" i="1" s="1"/>
  <c r="EH67" i="1" s="1"/>
  <c r="EQ67" i="1" s="1"/>
  <c r="EZ67" i="1" s="1"/>
  <c r="FI67" i="1" s="1"/>
  <c r="FR67" i="1" s="1"/>
  <c r="GA67" i="1" s="1"/>
  <c r="GJ67" i="1" s="1"/>
  <c r="GS67" i="1" s="1"/>
  <c r="HB67" i="1" s="1"/>
  <c r="HK67" i="1" s="1"/>
  <c r="HU67" i="1" s="1"/>
  <c r="ID67" i="1" s="1"/>
  <c r="IM67" i="1" s="1"/>
  <c r="IV67" i="1" s="1"/>
  <c r="JE67" i="1" s="1"/>
  <c r="JN67" i="1" s="1"/>
  <c r="JW67" i="1" s="1"/>
  <c r="KF67" i="1" s="1"/>
  <c r="KO67" i="1" s="1"/>
  <c r="KX67" i="1" s="1"/>
  <c r="LG67" i="1" s="1"/>
  <c r="LP67" i="1" s="1"/>
  <c r="LY67" i="1" s="1"/>
  <c r="MH67" i="1" s="1"/>
  <c r="MQ67" i="1" s="1"/>
  <c r="MZ67" i="1" s="1"/>
  <c r="L68" i="1"/>
  <c r="U68" i="1" s="1"/>
  <c r="AD68" i="1" s="1"/>
  <c r="AM68" i="1" s="1"/>
  <c r="AV68" i="1" s="1"/>
  <c r="BE68" i="1" s="1"/>
  <c r="BN68" i="1" s="1"/>
  <c r="BW68" i="1" s="1"/>
  <c r="CF68" i="1" s="1"/>
  <c r="CO68" i="1" s="1"/>
  <c r="CX68" i="1" s="1"/>
  <c r="DG68" i="1" s="1"/>
  <c r="DP68" i="1" s="1"/>
  <c r="DY68" i="1" s="1"/>
  <c r="EH68" i="1" s="1"/>
  <c r="EQ68" i="1" s="1"/>
  <c r="EZ68" i="1" s="1"/>
  <c r="FI68" i="1" s="1"/>
  <c r="FR68" i="1" s="1"/>
  <c r="GA68" i="1" s="1"/>
  <c r="GJ68" i="1" s="1"/>
  <c r="GS68" i="1" s="1"/>
  <c r="HB68" i="1" s="1"/>
  <c r="HK68" i="1" s="1"/>
  <c r="HU68" i="1" s="1"/>
  <c r="ID68" i="1" s="1"/>
  <c r="IM68" i="1" s="1"/>
  <c r="IV68" i="1" s="1"/>
  <c r="JE68" i="1" s="1"/>
  <c r="JN68" i="1" s="1"/>
  <c r="JW68" i="1" s="1"/>
  <c r="KF68" i="1" s="1"/>
  <c r="KO68" i="1" s="1"/>
  <c r="KX68" i="1" s="1"/>
  <c r="LG68" i="1" s="1"/>
  <c r="LP68" i="1" s="1"/>
  <c r="LY68" i="1" s="1"/>
  <c r="MH68" i="1" s="1"/>
  <c r="MQ68" i="1" s="1"/>
  <c r="MZ68" i="1" s="1"/>
  <c r="L69" i="1"/>
  <c r="U69" i="1" s="1"/>
  <c r="AD69" i="1" s="1"/>
  <c r="AM69" i="1" s="1"/>
  <c r="AV69" i="1" s="1"/>
  <c r="BE69" i="1" s="1"/>
  <c r="BN69" i="1" s="1"/>
  <c r="BW69" i="1" s="1"/>
  <c r="CF69" i="1" s="1"/>
  <c r="CO69" i="1" s="1"/>
  <c r="CX69" i="1" s="1"/>
  <c r="DG69" i="1" s="1"/>
  <c r="DP69" i="1" s="1"/>
  <c r="DY69" i="1" s="1"/>
  <c r="EH69" i="1" s="1"/>
  <c r="EQ69" i="1" s="1"/>
  <c r="EZ69" i="1" s="1"/>
  <c r="FI69" i="1" s="1"/>
  <c r="FR69" i="1" s="1"/>
  <c r="GA69" i="1" s="1"/>
  <c r="GJ69" i="1" s="1"/>
  <c r="GS69" i="1" s="1"/>
  <c r="HB69" i="1" s="1"/>
  <c r="HK69" i="1" s="1"/>
  <c r="HU69" i="1" s="1"/>
  <c r="ID69" i="1" s="1"/>
  <c r="IM69" i="1" s="1"/>
  <c r="IV69" i="1" s="1"/>
  <c r="JE69" i="1" s="1"/>
  <c r="JN69" i="1" s="1"/>
  <c r="JW69" i="1" s="1"/>
  <c r="KF69" i="1" s="1"/>
  <c r="KO69" i="1" s="1"/>
  <c r="KX69" i="1" s="1"/>
  <c r="LG69" i="1" s="1"/>
  <c r="LP69" i="1" s="1"/>
  <c r="LY69" i="1" s="1"/>
  <c r="MH69" i="1" s="1"/>
  <c r="MQ69" i="1" s="1"/>
  <c r="MZ69" i="1" s="1"/>
  <c r="L42" i="1"/>
  <c r="U42" i="1" s="1"/>
  <c r="AD42" i="1" s="1"/>
  <c r="AM42" i="1" s="1"/>
  <c r="AV42" i="1" s="1"/>
  <c r="BE42" i="1" s="1"/>
  <c r="BN42" i="1" s="1"/>
  <c r="BW42" i="1" s="1"/>
  <c r="CF42" i="1" s="1"/>
  <c r="CO42" i="1" s="1"/>
  <c r="CX42" i="1" s="1"/>
  <c r="DG42" i="1" s="1"/>
  <c r="DP42" i="1" s="1"/>
  <c r="DY42" i="1" s="1"/>
  <c r="EH42" i="1" s="1"/>
  <c r="EQ42" i="1" s="1"/>
  <c r="EZ42" i="1" s="1"/>
  <c r="FI42" i="1" s="1"/>
  <c r="FR42" i="1" s="1"/>
  <c r="GA42" i="1" s="1"/>
  <c r="GJ42" i="1" s="1"/>
  <c r="GS42" i="1" s="1"/>
  <c r="HB42" i="1" s="1"/>
  <c r="HK42" i="1" s="1"/>
  <c r="HU42" i="1" s="1"/>
  <c r="ID42" i="1" s="1"/>
  <c r="IM42" i="1" s="1"/>
  <c r="IV42" i="1" s="1"/>
  <c r="JE42" i="1" s="1"/>
  <c r="JN42" i="1" s="1"/>
  <c r="JW42" i="1" s="1"/>
  <c r="KF42" i="1" s="1"/>
  <c r="KO42" i="1" s="1"/>
  <c r="KX42" i="1" s="1"/>
  <c r="LG42" i="1" s="1"/>
  <c r="LP42" i="1" s="1"/>
  <c r="LY42" i="1" s="1"/>
  <c r="MH42" i="1" s="1"/>
  <c r="MQ42" i="1" s="1"/>
  <c r="MZ42" i="1" s="1"/>
  <c r="VT427" i="1"/>
  <c r="BO83" i="5" s="1"/>
  <c r="VR427" i="1"/>
  <c r="BO82" i="5" s="1"/>
  <c r="VT391" i="1"/>
  <c r="BO76" i="5" s="1"/>
  <c r="VR391" i="1"/>
  <c r="BO75" i="5" s="1"/>
  <c r="VT356" i="1"/>
  <c r="BO69" i="5" s="1"/>
  <c r="VR356" i="1"/>
  <c r="BO68" i="5" s="1"/>
  <c r="VT320" i="1"/>
  <c r="BO62" i="5" s="1"/>
  <c r="VR320" i="1"/>
  <c r="BO61" i="5" s="1"/>
  <c r="VT285" i="1"/>
  <c r="BO55" i="5" s="1"/>
  <c r="VR285" i="1"/>
  <c r="BO54" i="5" s="1"/>
  <c r="VT249" i="1"/>
  <c r="BO48" i="5" s="1"/>
  <c r="VR249" i="1"/>
  <c r="BO47" i="5" s="1"/>
  <c r="VT213" i="1"/>
  <c r="BO41" i="5" s="1"/>
  <c r="VR213" i="1"/>
  <c r="BO40" i="5" s="1"/>
  <c r="VT178" i="1"/>
  <c r="BO34" i="5" s="1"/>
  <c r="VR178" i="1"/>
  <c r="BO33" i="5" s="1"/>
  <c r="VR142" i="1"/>
  <c r="BO26" i="5" s="1"/>
  <c r="VT107" i="1"/>
  <c r="BO20" i="5" s="1"/>
  <c r="VR107" i="1"/>
  <c r="BO19" i="5" s="1"/>
  <c r="VT71" i="1"/>
  <c r="BO13" i="5" s="1"/>
  <c r="VR71" i="1"/>
  <c r="BO12" i="5" s="1"/>
  <c r="VT37" i="1"/>
  <c r="BO6" i="5" s="1"/>
  <c r="VR37" i="1"/>
  <c r="BO5" i="5" s="1"/>
  <c r="VV6" i="1"/>
  <c r="VV7" i="1" s="1"/>
  <c r="VV8" i="1" s="1"/>
  <c r="VV9" i="1" s="1"/>
  <c r="VV10" i="1" s="1"/>
  <c r="VV11" i="1" s="1"/>
  <c r="VV12" i="1" s="1"/>
  <c r="VV13" i="1" s="1"/>
  <c r="VV14" i="1" s="1"/>
  <c r="VV15" i="1" s="1"/>
  <c r="VV16" i="1" s="1"/>
  <c r="VV17" i="1" s="1"/>
  <c r="VV18" i="1" s="1"/>
  <c r="VV19" i="1" s="1"/>
  <c r="VV20" i="1" s="1"/>
  <c r="VV21" i="1" s="1"/>
  <c r="VV22" i="1" s="1"/>
  <c r="VV23" i="1" s="1"/>
  <c r="VV24" i="1" s="1"/>
  <c r="VV25" i="1" s="1"/>
  <c r="VV26" i="1" s="1"/>
  <c r="VV27" i="1" s="1"/>
  <c r="VV28" i="1" s="1"/>
  <c r="VV29" i="1" s="1"/>
  <c r="VV30" i="1" s="1"/>
  <c r="VV31" i="1" s="1"/>
  <c r="VV32" i="1" s="1"/>
  <c r="VV33" i="1" s="1"/>
  <c r="VV34" i="1" s="1"/>
  <c r="VV35" i="1" s="1"/>
  <c r="VV36" i="1" s="1"/>
  <c r="VV37" i="1" s="1"/>
  <c r="VK427" i="1"/>
  <c r="BN83" i="5" s="1"/>
  <c r="VI427" i="1"/>
  <c r="BN82" i="5" s="1"/>
  <c r="VK391" i="1"/>
  <c r="BN76" i="5" s="1"/>
  <c r="VI391" i="1"/>
  <c r="BN75" i="5" s="1"/>
  <c r="VK356" i="1"/>
  <c r="BN69" i="5" s="1"/>
  <c r="VI356" i="1"/>
  <c r="BN68" i="5" s="1"/>
  <c r="VK320" i="1"/>
  <c r="BN62" i="5" s="1"/>
  <c r="VI320" i="1"/>
  <c r="BN61" i="5" s="1"/>
  <c r="VK285" i="1"/>
  <c r="BN55" i="5" s="1"/>
  <c r="VI285" i="1"/>
  <c r="BN54" i="5" s="1"/>
  <c r="VK249" i="1"/>
  <c r="BN48" i="5" s="1"/>
  <c r="VI249" i="1"/>
  <c r="BN47" i="5" s="1"/>
  <c r="VK213" i="1"/>
  <c r="BN41" i="5" s="1"/>
  <c r="VI213" i="1"/>
  <c r="BN40" i="5" s="1"/>
  <c r="VK178" i="1"/>
  <c r="BN34" i="5" s="1"/>
  <c r="VI178" i="1"/>
  <c r="BN33" i="5" s="1"/>
  <c r="VI142" i="1"/>
  <c r="BN26" i="5" s="1"/>
  <c r="VK107" i="1"/>
  <c r="BN20" i="5" s="1"/>
  <c r="VI107" i="1"/>
  <c r="BN19" i="5" s="1"/>
  <c r="VK71" i="1"/>
  <c r="BN13" i="5" s="1"/>
  <c r="VI71" i="1"/>
  <c r="BN12" i="5" s="1"/>
  <c r="VK37" i="1"/>
  <c r="BN6" i="5" s="1"/>
  <c r="VI37" i="1"/>
  <c r="BN5" i="5" s="1"/>
  <c r="VM6" i="1"/>
  <c r="VM7" i="1" s="1"/>
  <c r="VM8" i="1" s="1"/>
  <c r="VM9" i="1" s="1"/>
  <c r="VM10" i="1" s="1"/>
  <c r="VM11" i="1" s="1"/>
  <c r="VM12" i="1" s="1"/>
  <c r="VM13" i="1" s="1"/>
  <c r="VM14" i="1" s="1"/>
  <c r="VM15" i="1" s="1"/>
  <c r="VM16" i="1" s="1"/>
  <c r="VM17" i="1" s="1"/>
  <c r="VM18" i="1" s="1"/>
  <c r="VM19" i="1" s="1"/>
  <c r="VM20" i="1" s="1"/>
  <c r="VM21" i="1" s="1"/>
  <c r="VM22" i="1" s="1"/>
  <c r="VM23" i="1" s="1"/>
  <c r="VM24" i="1" s="1"/>
  <c r="VM25" i="1" s="1"/>
  <c r="VM26" i="1" s="1"/>
  <c r="VM27" i="1" s="1"/>
  <c r="VM28" i="1" s="1"/>
  <c r="VM29" i="1" s="1"/>
  <c r="VM30" i="1" s="1"/>
  <c r="VM31" i="1" s="1"/>
  <c r="VM32" i="1" s="1"/>
  <c r="VM33" i="1" s="1"/>
  <c r="VM34" i="1" s="1"/>
  <c r="VM35" i="1" s="1"/>
  <c r="VM36" i="1" s="1"/>
  <c r="VM37" i="1" s="1"/>
  <c r="VB427" i="1"/>
  <c r="BM83" i="5" s="1"/>
  <c r="UZ427" i="1"/>
  <c r="BM82" i="5" s="1"/>
  <c r="VB391" i="1"/>
  <c r="BM76" i="5" s="1"/>
  <c r="UZ391" i="1"/>
  <c r="BM75" i="5" s="1"/>
  <c r="VB356" i="1"/>
  <c r="BM69" i="5" s="1"/>
  <c r="UZ356" i="1"/>
  <c r="BM68" i="5" s="1"/>
  <c r="VB320" i="1"/>
  <c r="BM62" i="5" s="1"/>
  <c r="UZ320" i="1"/>
  <c r="BM61" i="5" s="1"/>
  <c r="VB285" i="1"/>
  <c r="BM55" i="5" s="1"/>
  <c r="UZ285" i="1"/>
  <c r="BM54" i="5" s="1"/>
  <c r="VB249" i="1"/>
  <c r="BM48" i="5" s="1"/>
  <c r="UZ249" i="1"/>
  <c r="BM47" i="5" s="1"/>
  <c r="VB213" i="1"/>
  <c r="BM41" i="5" s="1"/>
  <c r="UZ213" i="1"/>
  <c r="BM40" i="5" s="1"/>
  <c r="VB178" i="1"/>
  <c r="BM34" i="5" s="1"/>
  <c r="UZ178" i="1"/>
  <c r="BM33" i="5" s="1"/>
  <c r="UZ142" i="1"/>
  <c r="BM26" i="5" s="1"/>
  <c r="VB107" i="1"/>
  <c r="BM20" i="5" s="1"/>
  <c r="UZ107" i="1"/>
  <c r="BM19" i="5" s="1"/>
  <c r="VB71" i="1"/>
  <c r="BM13" i="5" s="1"/>
  <c r="UZ71" i="1"/>
  <c r="BM12" i="5" s="1"/>
  <c r="VB37" i="1"/>
  <c r="BM6" i="5" s="1"/>
  <c r="UZ37" i="1"/>
  <c r="BM5" i="5" s="1"/>
  <c r="VD6" i="1"/>
  <c r="VD7" i="1" s="1"/>
  <c r="VD8" i="1" s="1"/>
  <c r="VD9" i="1" s="1"/>
  <c r="VD10" i="1" s="1"/>
  <c r="VD11" i="1" s="1"/>
  <c r="VD12" i="1" s="1"/>
  <c r="VD13" i="1" s="1"/>
  <c r="VD14" i="1" s="1"/>
  <c r="VD15" i="1" s="1"/>
  <c r="VD16" i="1" s="1"/>
  <c r="VD17" i="1" s="1"/>
  <c r="VD18" i="1" s="1"/>
  <c r="VD19" i="1" s="1"/>
  <c r="VD20" i="1" s="1"/>
  <c r="VD21" i="1" s="1"/>
  <c r="VD22" i="1" s="1"/>
  <c r="VD23" i="1" s="1"/>
  <c r="VD24" i="1" s="1"/>
  <c r="VD25" i="1" s="1"/>
  <c r="VD26" i="1" s="1"/>
  <c r="VD27" i="1" s="1"/>
  <c r="VD28" i="1" s="1"/>
  <c r="VD29" i="1" s="1"/>
  <c r="VD30" i="1" s="1"/>
  <c r="VD31" i="1" s="1"/>
  <c r="VD32" i="1" s="1"/>
  <c r="VD33" i="1" s="1"/>
  <c r="VD34" i="1" s="1"/>
  <c r="VD35" i="1" s="1"/>
  <c r="VD36" i="1" s="1"/>
  <c r="VD37" i="1" s="1"/>
  <c r="US427" i="1"/>
  <c r="BL84" i="5" s="1"/>
  <c r="UQ427" i="1"/>
  <c r="BL82" i="5" s="1"/>
  <c r="US391" i="1"/>
  <c r="BL76" i="5" s="1"/>
  <c r="UQ391" i="1"/>
  <c r="BL75" i="5" s="1"/>
  <c r="US356" i="1"/>
  <c r="BL69" i="5" s="1"/>
  <c r="UQ356" i="1"/>
  <c r="BL68" i="5" s="1"/>
  <c r="US320" i="1"/>
  <c r="BL62" i="5" s="1"/>
  <c r="UQ320" i="1"/>
  <c r="BL61" i="5" s="1"/>
  <c r="US285" i="1"/>
  <c r="BL55" i="5" s="1"/>
  <c r="UQ285" i="1"/>
  <c r="BL54" i="5" s="1"/>
  <c r="US249" i="1"/>
  <c r="BL48" i="5" s="1"/>
  <c r="UQ249" i="1"/>
  <c r="BL47" i="5" s="1"/>
  <c r="US213" i="1"/>
  <c r="BL41" i="5" s="1"/>
  <c r="UQ213" i="1"/>
  <c r="BL40" i="5" s="1"/>
  <c r="US178" i="1"/>
  <c r="BL34" i="5" s="1"/>
  <c r="UQ178" i="1"/>
  <c r="BL33" i="5" s="1"/>
  <c r="UQ142" i="1"/>
  <c r="BL26" i="5" s="1"/>
  <c r="US107" i="1"/>
  <c r="BL20" i="5" s="1"/>
  <c r="UQ107" i="1"/>
  <c r="BL19" i="5" s="1"/>
  <c r="US71" i="1"/>
  <c r="BL13" i="5" s="1"/>
  <c r="UQ71" i="1"/>
  <c r="BL12" i="5" s="1"/>
  <c r="US37" i="1"/>
  <c r="BL6" i="5" s="1"/>
  <c r="UQ37" i="1"/>
  <c r="BL5" i="5" s="1"/>
  <c r="UU6" i="1"/>
  <c r="UU7" i="1" s="1"/>
  <c r="UU8" i="1" s="1"/>
  <c r="UU9" i="1" s="1"/>
  <c r="UU10" i="1" s="1"/>
  <c r="UU11" i="1" s="1"/>
  <c r="UU12" i="1" s="1"/>
  <c r="UU13" i="1" s="1"/>
  <c r="UU14" i="1" s="1"/>
  <c r="UU15" i="1" s="1"/>
  <c r="UU16" i="1" s="1"/>
  <c r="UU17" i="1" s="1"/>
  <c r="UU18" i="1" s="1"/>
  <c r="UU19" i="1" s="1"/>
  <c r="UU20" i="1" s="1"/>
  <c r="UU21" i="1" s="1"/>
  <c r="UU22" i="1" s="1"/>
  <c r="UU23" i="1" s="1"/>
  <c r="UU24" i="1" s="1"/>
  <c r="UU25" i="1" s="1"/>
  <c r="UU26" i="1" s="1"/>
  <c r="UU27" i="1" s="1"/>
  <c r="UU28" i="1" s="1"/>
  <c r="UU29" i="1" s="1"/>
  <c r="UU30" i="1" s="1"/>
  <c r="UU31" i="1" s="1"/>
  <c r="UU32" i="1" s="1"/>
  <c r="UU33" i="1" s="1"/>
  <c r="UU34" i="1" s="1"/>
  <c r="UU35" i="1" s="1"/>
  <c r="UU36" i="1" s="1"/>
  <c r="UU37" i="1" s="1"/>
  <c r="UJ427" i="1"/>
  <c r="BK83" i="5" s="1"/>
  <c r="UH427" i="1"/>
  <c r="BK82" i="5" s="1"/>
  <c r="UJ391" i="1"/>
  <c r="BK76" i="5" s="1"/>
  <c r="UH391" i="1"/>
  <c r="BK75" i="5" s="1"/>
  <c r="UJ356" i="1"/>
  <c r="BK69" i="5" s="1"/>
  <c r="UH356" i="1"/>
  <c r="BK68" i="5" s="1"/>
  <c r="UJ320" i="1"/>
  <c r="BK62" i="5" s="1"/>
  <c r="UH320" i="1"/>
  <c r="BK61" i="5" s="1"/>
  <c r="UJ285" i="1"/>
  <c r="BK55" i="5" s="1"/>
  <c r="UH285" i="1"/>
  <c r="BK54" i="5" s="1"/>
  <c r="UJ249" i="1"/>
  <c r="BK48" i="5" s="1"/>
  <c r="UH249" i="1"/>
  <c r="BK47" i="5" s="1"/>
  <c r="UJ213" i="1"/>
  <c r="BK41" i="5" s="1"/>
  <c r="UH213" i="1"/>
  <c r="BK40" i="5" s="1"/>
  <c r="UJ178" i="1"/>
  <c r="BK34" i="5" s="1"/>
  <c r="UH178" i="1"/>
  <c r="BK33" i="5" s="1"/>
  <c r="UH142" i="1"/>
  <c r="BK26" i="5" s="1"/>
  <c r="UJ107" i="1"/>
  <c r="BK20" i="5" s="1"/>
  <c r="UH107" i="1"/>
  <c r="BK19" i="5" s="1"/>
  <c r="UJ71" i="1"/>
  <c r="BK13" i="5" s="1"/>
  <c r="UH71" i="1"/>
  <c r="BK12" i="5" s="1"/>
  <c r="UJ37" i="1"/>
  <c r="BK6" i="5" s="1"/>
  <c r="UH37" i="1"/>
  <c r="BK5" i="5" s="1"/>
  <c r="UL6" i="1"/>
  <c r="UL7" i="1" s="1"/>
  <c r="UL8" i="1" s="1"/>
  <c r="UL9" i="1" s="1"/>
  <c r="UL10" i="1" s="1"/>
  <c r="UL11" i="1" s="1"/>
  <c r="UL12" i="1" s="1"/>
  <c r="UL13" i="1" s="1"/>
  <c r="UL14" i="1" s="1"/>
  <c r="UL15" i="1" s="1"/>
  <c r="UL16" i="1" s="1"/>
  <c r="UL17" i="1" s="1"/>
  <c r="UL18" i="1" s="1"/>
  <c r="UL19" i="1" s="1"/>
  <c r="UL20" i="1" s="1"/>
  <c r="UL21" i="1" s="1"/>
  <c r="UL22" i="1" s="1"/>
  <c r="UL23" i="1" s="1"/>
  <c r="UL24" i="1" s="1"/>
  <c r="UL25" i="1" s="1"/>
  <c r="UL26" i="1" s="1"/>
  <c r="UL27" i="1" s="1"/>
  <c r="UL28" i="1" s="1"/>
  <c r="UL29" i="1" s="1"/>
  <c r="UL30" i="1" s="1"/>
  <c r="UL31" i="1" s="1"/>
  <c r="UL32" i="1" s="1"/>
  <c r="UL33" i="1" s="1"/>
  <c r="UL34" i="1" s="1"/>
  <c r="UL35" i="1" s="1"/>
  <c r="UL36" i="1" s="1"/>
  <c r="UL37" i="1" s="1"/>
  <c r="UA427" i="1"/>
  <c r="BJ83" i="5" s="1"/>
  <c r="TY427" i="1"/>
  <c r="BJ82" i="5" s="1"/>
  <c r="UA391" i="1"/>
  <c r="BJ76" i="5" s="1"/>
  <c r="TY391" i="1"/>
  <c r="BJ75" i="5" s="1"/>
  <c r="UA356" i="1"/>
  <c r="BJ69" i="5" s="1"/>
  <c r="TY356" i="1"/>
  <c r="BJ68" i="5" s="1"/>
  <c r="UA320" i="1"/>
  <c r="BJ62" i="5" s="1"/>
  <c r="TY320" i="1"/>
  <c r="BJ61" i="5" s="1"/>
  <c r="UA285" i="1"/>
  <c r="BJ55" i="5" s="1"/>
  <c r="TY285" i="1"/>
  <c r="BJ54" i="5" s="1"/>
  <c r="UA249" i="1"/>
  <c r="BJ48" i="5" s="1"/>
  <c r="TY249" i="1"/>
  <c r="BJ47" i="5" s="1"/>
  <c r="UA213" i="1"/>
  <c r="BJ41" i="5" s="1"/>
  <c r="TY213" i="1"/>
  <c r="BJ40" i="5" s="1"/>
  <c r="UA178" i="1"/>
  <c r="BJ34" i="5" s="1"/>
  <c r="TY178" i="1"/>
  <c r="BJ33" i="5" s="1"/>
  <c r="TY142" i="1"/>
  <c r="BJ26" i="5" s="1"/>
  <c r="UA107" i="1"/>
  <c r="BJ20" i="5" s="1"/>
  <c r="TY107" i="1"/>
  <c r="BJ19" i="5" s="1"/>
  <c r="UA71" i="1"/>
  <c r="BJ13" i="5" s="1"/>
  <c r="TY71" i="1"/>
  <c r="BJ12" i="5" s="1"/>
  <c r="UA37" i="1"/>
  <c r="BJ6" i="5" s="1"/>
  <c r="TY37" i="1"/>
  <c r="BJ5" i="5" s="1"/>
  <c r="UC6" i="1"/>
  <c r="UC7" i="1" s="1"/>
  <c r="UC8" i="1" s="1"/>
  <c r="UC9" i="1" s="1"/>
  <c r="UC10" i="1" s="1"/>
  <c r="UC11" i="1" s="1"/>
  <c r="UC12" i="1" s="1"/>
  <c r="UC13" i="1" s="1"/>
  <c r="UC14" i="1" s="1"/>
  <c r="UC15" i="1" s="1"/>
  <c r="UC16" i="1" s="1"/>
  <c r="UC17" i="1" s="1"/>
  <c r="UC18" i="1" s="1"/>
  <c r="UC19" i="1" s="1"/>
  <c r="UC20" i="1" s="1"/>
  <c r="UC21" i="1" s="1"/>
  <c r="UC22" i="1" s="1"/>
  <c r="UC23" i="1" s="1"/>
  <c r="UC24" i="1" s="1"/>
  <c r="UC25" i="1" s="1"/>
  <c r="UC26" i="1" s="1"/>
  <c r="UC27" i="1" s="1"/>
  <c r="UC28" i="1" s="1"/>
  <c r="UC29" i="1" s="1"/>
  <c r="UC30" i="1" s="1"/>
  <c r="UC31" i="1" s="1"/>
  <c r="UC32" i="1" s="1"/>
  <c r="UC33" i="1" s="1"/>
  <c r="UC34" i="1" s="1"/>
  <c r="UC35" i="1" s="1"/>
  <c r="UC36" i="1" s="1"/>
  <c r="UC37" i="1" s="1"/>
  <c r="TR427" i="1"/>
  <c r="BI83" i="5" s="1"/>
  <c r="TP427" i="1"/>
  <c r="BI82" i="5" s="1"/>
  <c r="TR391" i="1"/>
  <c r="BI76" i="5" s="1"/>
  <c r="TP391" i="1"/>
  <c r="BI75" i="5" s="1"/>
  <c r="TR356" i="1"/>
  <c r="BI69" i="5" s="1"/>
  <c r="TP356" i="1"/>
  <c r="BI68" i="5" s="1"/>
  <c r="TR320" i="1"/>
  <c r="BI62" i="5" s="1"/>
  <c r="TP320" i="1"/>
  <c r="BI61" i="5" s="1"/>
  <c r="TR285" i="1"/>
  <c r="BI55" i="5" s="1"/>
  <c r="TP285" i="1"/>
  <c r="BI54" i="5" s="1"/>
  <c r="TR249" i="1"/>
  <c r="BI48" i="5" s="1"/>
  <c r="TP249" i="1"/>
  <c r="BI47" i="5" s="1"/>
  <c r="TR213" i="1"/>
  <c r="BI41" i="5" s="1"/>
  <c r="TP213" i="1"/>
  <c r="BI40" i="5" s="1"/>
  <c r="TR178" i="1"/>
  <c r="BI34" i="5" s="1"/>
  <c r="TP178" i="1"/>
  <c r="BI33" i="5" s="1"/>
  <c r="TP142" i="1"/>
  <c r="BI26" i="5" s="1"/>
  <c r="TR107" i="1"/>
  <c r="BI20" i="5" s="1"/>
  <c r="TP107" i="1"/>
  <c r="BI19" i="5" s="1"/>
  <c r="TR71" i="1"/>
  <c r="BI13" i="5" s="1"/>
  <c r="TP71" i="1"/>
  <c r="BI12" i="5" s="1"/>
  <c r="TR37" i="1"/>
  <c r="BI6" i="5" s="1"/>
  <c r="TP37" i="1"/>
  <c r="BI5" i="5" s="1"/>
  <c r="TT6" i="1"/>
  <c r="TT7" i="1" s="1"/>
  <c r="TT8" i="1" s="1"/>
  <c r="TT9" i="1" s="1"/>
  <c r="TT10" i="1" s="1"/>
  <c r="TT11" i="1" s="1"/>
  <c r="TT12" i="1" s="1"/>
  <c r="TT13" i="1" s="1"/>
  <c r="TT14" i="1" s="1"/>
  <c r="TT15" i="1" s="1"/>
  <c r="TT16" i="1" s="1"/>
  <c r="TT17" i="1" s="1"/>
  <c r="TT18" i="1" s="1"/>
  <c r="TT19" i="1" s="1"/>
  <c r="TT20" i="1" s="1"/>
  <c r="TT21" i="1" s="1"/>
  <c r="TT22" i="1" s="1"/>
  <c r="TT23" i="1" s="1"/>
  <c r="TT24" i="1" s="1"/>
  <c r="TT25" i="1" s="1"/>
  <c r="TT26" i="1" s="1"/>
  <c r="TT27" i="1" s="1"/>
  <c r="TT28" i="1" s="1"/>
  <c r="TT29" i="1" s="1"/>
  <c r="TT30" i="1" s="1"/>
  <c r="TT31" i="1" s="1"/>
  <c r="TT32" i="1" s="1"/>
  <c r="TT33" i="1" s="1"/>
  <c r="TT34" i="1" s="1"/>
  <c r="TT35" i="1" s="1"/>
  <c r="TT36" i="1" s="1"/>
  <c r="TT37" i="1" s="1"/>
  <c r="L7" i="1"/>
  <c r="U7" i="1" s="1"/>
  <c r="AD7" i="1" s="1"/>
  <c r="AM7" i="1" s="1"/>
  <c r="AV7" i="1" s="1"/>
  <c r="BE7" i="1" s="1"/>
  <c r="BN7" i="1" s="1"/>
  <c r="BW7" i="1" s="1"/>
  <c r="CF7" i="1" s="1"/>
  <c r="CO7" i="1" s="1"/>
  <c r="CX7" i="1" s="1"/>
  <c r="DG7" i="1" s="1"/>
  <c r="DP7" i="1" s="1"/>
  <c r="DY7" i="1" s="1"/>
  <c r="EH7" i="1" s="1"/>
  <c r="EQ7" i="1" s="1"/>
  <c r="EZ7" i="1" s="1"/>
  <c r="FI7" i="1" s="1"/>
  <c r="FR7" i="1" s="1"/>
  <c r="GA7" i="1" s="1"/>
  <c r="GJ7" i="1" s="1"/>
  <c r="GS7" i="1" s="1"/>
  <c r="HB7" i="1" s="1"/>
  <c r="HK7" i="1" s="1"/>
  <c r="HU7" i="1" s="1"/>
  <c r="ID7" i="1" s="1"/>
  <c r="IM7" i="1" s="1"/>
  <c r="IV7" i="1" s="1"/>
  <c r="JE7" i="1" s="1"/>
  <c r="JN7" i="1" s="1"/>
  <c r="JW7" i="1" s="1"/>
  <c r="KF7" i="1" s="1"/>
  <c r="KO7" i="1" s="1"/>
  <c r="KX7" i="1" s="1"/>
  <c r="LG7" i="1" s="1"/>
  <c r="LP7" i="1" s="1"/>
  <c r="LY7" i="1" s="1"/>
  <c r="MH7" i="1" s="1"/>
  <c r="MQ7" i="1" s="1"/>
  <c r="MZ7" i="1" s="1"/>
  <c r="L8" i="1"/>
  <c r="U8" i="1" s="1"/>
  <c r="AD8" i="1" s="1"/>
  <c r="AM8" i="1" s="1"/>
  <c r="AV8" i="1" s="1"/>
  <c r="BE8" i="1" s="1"/>
  <c r="BN8" i="1" s="1"/>
  <c r="BW8" i="1" s="1"/>
  <c r="CF8" i="1" s="1"/>
  <c r="CO8" i="1" s="1"/>
  <c r="CX8" i="1" s="1"/>
  <c r="DG8" i="1" s="1"/>
  <c r="DP8" i="1" s="1"/>
  <c r="DY8" i="1" s="1"/>
  <c r="EH8" i="1" s="1"/>
  <c r="EQ8" i="1" s="1"/>
  <c r="EZ8" i="1" s="1"/>
  <c r="FI8" i="1" s="1"/>
  <c r="FR8" i="1" s="1"/>
  <c r="GA8" i="1" s="1"/>
  <c r="GJ8" i="1" s="1"/>
  <c r="GS8" i="1" s="1"/>
  <c r="HB8" i="1" s="1"/>
  <c r="HK8" i="1" s="1"/>
  <c r="HU8" i="1" s="1"/>
  <c r="ID8" i="1" s="1"/>
  <c r="IM8" i="1" s="1"/>
  <c r="IV8" i="1" s="1"/>
  <c r="JE8" i="1" s="1"/>
  <c r="JN8" i="1" s="1"/>
  <c r="JW8" i="1" s="1"/>
  <c r="KF8" i="1" s="1"/>
  <c r="KO8" i="1" s="1"/>
  <c r="KX8" i="1" s="1"/>
  <c r="LG8" i="1" s="1"/>
  <c r="LP8" i="1" s="1"/>
  <c r="LY8" i="1" s="1"/>
  <c r="MH8" i="1" s="1"/>
  <c r="MQ8" i="1" s="1"/>
  <c r="MZ8" i="1" s="1"/>
  <c r="L9" i="1"/>
  <c r="U9" i="1" s="1"/>
  <c r="AD9" i="1" s="1"/>
  <c r="AM9" i="1" s="1"/>
  <c r="AV9" i="1" s="1"/>
  <c r="BE9" i="1" s="1"/>
  <c r="BN9" i="1" s="1"/>
  <c r="BW9" i="1" s="1"/>
  <c r="CF9" i="1" s="1"/>
  <c r="CO9" i="1" s="1"/>
  <c r="CX9" i="1" s="1"/>
  <c r="DG9" i="1" s="1"/>
  <c r="DP9" i="1" s="1"/>
  <c r="DY9" i="1" s="1"/>
  <c r="EH9" i="1" s="1"/>
  <c r="EQ9" i="1" s="1"/>
  <c r="EZ9" i="1" s="1"/>
  <c r="FI9" i="1" s="1"/>
  <c r="FR9" i="1" s="1"/>
  <c r="GA9" i="1" s="1"/>
  <c r="GJ9" i="1" s="1"/>
  <c r="GS9" i="1" s="1"/>
  <c r="HB9" i="1" s="1"/>
  <c r="HK9" i="1" s="1"/>
  <c r="HU9" i="1" s="1"/>
  <c r="ID9" i="1" s="1"/>
  <c r="IM9" i="1" s="1"/>
  <c r="IV9" i="1" s="1"/>
  <c r="JE9" i="1" s="1"/>
  <c r="JN9" i="1" s="1"/>
  <c r="JW9" i="1" s="1"/>
  <c r="KF9" i="1" s="1"/>
  <c r="KO9" i="1" s="1"/>
  <c r="KX9" i="1" s="1"/>
  <c r="LG9" i="1" s="1"/>
  <c r="LP9" i="1" s="1"/>
  <c r="LY9" i="1" s="1"/>
  <c r="MH9" i="1" s="1"/>
  <c r="MQ9" i="1" s="1"/>
  <c r="MZ9" i="1" s="1"/>
  <c r="L10" i="1"/>
  <c r="U10" i="1" s="1"/>
  <c r="AD10" i="1" s="1"/>
  <c r="AM10" i="1" s="1"/>
  <c r="AV10" i="1" s="1"/>
  <c r="BE10" i="1" s="1"/>
  <c r="BN10" i="1" s="1"/>
  <c r="BW10" i="1" s="1"/>
  <c r="CF10" i="1" s="1"/>
  <c r="CO10" i="1" s="1"/>
  <c r="CX10" i="1" s="1"/>
  <c r="DG10" i="1" s="1"/>
  <c r="DP10" i="1" s="1"/>
  <c r="DY10" i="1" s="1"/>
  <c r="EH10" i="1" s="1"/>
  <c r="EQ10" i="1" s="1"/>
  <c r="EZ10" i="1" s="1"/>
  <c r="FI10" i="1" s="1"/>
  <c r="FR10" i="1" s="1"/>
  <c r="GA10" i="1" s="1"/>
  <c r="GJ10" i="1" s="1"/>
  <c r="GS10" i="1" s="1"/>
  <c r="HB10" i="1" s="1"/>
  <c r="HK10" i="1" s="1"/>
  <c r="HU10" i="1" s="1"/>
  <c r="ID10" i="1" s="1"/>
  <c r="IM10" i="1" s="1"/>
  <c r="IV10" i="1" s="1"/>
  <c r="JE10" i="1" s="1"/>
  <c r="JN10" i="1" s="1"/>
  <c r="JW10" i="1" s="1"/>
  <c r="KF10" i="1" s="1"/>
  <c r="KO10" i="1" s="1"/>
  <c r="KX10" i="1" s="1"/>
  <c r="LG10" i="1" s="1"/>
  <c r="LP10" i="1" s="1"/>
  <c r="LY10" i="1" s="1"/>
  <c r="MH10" i="1" s="1"/>
  <c r="MQ10" i="1" s="1"/>
  <c r="MZ10" i="1" s="1"/>
  <c r="L11" i="1"/>
  <c r="U11" i="1" s="1"/>
  <c r="AD11" i="1" s="1"/>
  <c r="AM11" i="1" s="1"/>
  <c r="AV11" i="1" s="1"/>
  <c r="BE11" i="1" s="1"/>
  <c r="BN11" i="1" s="1"/>
  <c r="BW11" i="1" s="1"/>
  <c r="CF11" i="1" s="1"/>
  <c r="CO11" i="1" s="1"/>
  <c r="CX11" i="1" s="1"/>
  <c r="DG11" i="1" s="1"/>
  <c r="DP11" i="1" s="1"/>
  <c r="DY11" i="1" s="1"/>
  <c r="EH11" i="1" s="1"/>
  <c r="EQ11" i="1" s="1"/>
  <c r="EZ11" i="1" s="1"/>
  <c r="FI11" i="1" s="1"/>
  <c r="FR11" i="1" s="1"/>
  <c r="GA11" i="1" s="1"/>
  <c r="GJ11" i="1" s="1"/>
  <c r="GS11" i="1" s="1"/>
  <c r="HB11" i="1" s="1"/>
  <c r="HK11" i="1" s="1"/>
  <c r="HU11" i="1" s="1"/>
  <c r="ID11" i="1" s="1"/>
  <c r="IM11" i="1" s="1"/>
  <c r="IV11" i="1" s="1"/>
  <c r="JE11" i="1" s="1"/>
  <c r="JN11" i="1" s="1"/>
  <c r="JW11" i="1" s="1"/>
  <c r="KF11" i="1" s="1"/>
  <c r="KO11" i="1" s="1"/>
  <c r="KX11" i="1" s="1"/>
  <c r="LG11" i="1" s="1"/>
  <c r="LP11" i="1" s="1"/>
  <c r="LY11" i="1" s="1"/>
  <c r="MH11" i="1" s="1"/>
  <c r="MQ11" i="1" s="1"/>
  <c r="MZ11" i="1" s="1"/>
  <c r="L12" i="1"/>
  <c r="U12" i="1" s="1"/>
  <c r="AD12" i="1" s="1"/>
  <c r="AM12" i="1" s="1"/>
  <c r="AV12" i="1" s="1"/>
  <c r="BE12" i="1" s="1"/>
  <c r="BN12" i="1" s="1"/>
  <c r="BW12" i="1" s="1"/>
  <c r="CF12" i="1" s="1"/>
  <c r="CO12" i="1" s="1"/>
  <c r="CX12" i="1" s="1"/>
  <c r="DG12" i="1" s="1"/>
  <c r="DP12" i="1" s="1"/>
  <c r="DY12" i="1" s="1"/>
  <c r="EH12" i="1" s="1"/>
  <c r="EQ12" i="1" s="1"/>
  <c r="EZ12" i="1" s="1"/>
  <c r="FI12" i="1" s="1"/>
  <c r="FR12" i="1" s="1"/>
  <c r="GA12" i="1" s="1"/>
  <c r="GJ12" i="1" s="1"/>
  <c r="GS12" i="1" s="1"/>
  <c r="HB12" i="1" s="1"/>
  <c r="HK12" i="1" s="1"/>
  <c r="HU12" i="1" s="1"/>
  <c r="ID12" i="1" s="1"/>
  <c r="IM12" i="1" s="1"/>
  <c r="IV12" i="1" s="1"/>
  <c r="JE12" i="1" s="1"/>
  <c r="JN12" i="1" s="1"/>
  <c r="JW12" i="1" s="1"/>
  <c r="KF12" i="1" s="1"/>
  <c r="KO12" i="1" s="1"/>
  <c r="KX12" i="1" s="1"/>
  <c r="LG12" i="1" s="1"/>
  <c r="LP12" i="1" s="1"/>
  <c r="LY12" i="1" s="1"/>
  <c r="MH12" i="1" s="1"/>
  <c r="MQ12" i="1" s="1"/>
  <c r="MZ12" i="1" s="1"/>
  <c r="L13" i="1"/>
  <c r="U13" i="1" s="1"/>
  <c r="AD13" i="1" s="1"/>
  <c r="AM13" i="1" s="1"/>
  <c r="AV13" i="1" s="1"/>
  <c r="BE13" i="1" s="1"/>
  <c r="BN13" i="1" s="1"/>
  <c r="BW13" i="1" s="1"/>
  <c r="CF13" i="1" s="1"/>
  <c r="CO13" i="1" s="1"/>
  <c r="CX13" i="1" s="1"/>
  <c r="DG13" i="1" s="1"/>
  <c r="DP13" i="1" s="1"/>
  <c r="DY13" i="1" s="1"/>
  <c r="EH13" i="1" s="1"/>
  <c r="EQ13" i="1" s="1"/>
  <c r="EZ13" i="1" s="1"/>
  <c r="FI13" i="1" s="1"/>
  <c r="FR13" i="1" s="1"/>
  <c r="GA13" i="1" s="1"/>
  <c r="GJ13" i="1" s="1"/>
  <c r="GS13" i="1" s="1"/>
  <c r="HB13" i="1" s="1"/>
  <c r="HK13" i="1" s="1"/>
  <c r="HU13" i="1" s="1"/>
  <c r="ID13" i="1" s="1"/>
  <c r="IM13" i="1" s="1"/>
  <c r="IV13" i="1" s="1"/>
  <c r="JE13" i="1" s="1"/>
  <c r="JN13" i="1" s="1"/>
  <c r="JW13" i="1" s="1"/>
  <c r="KF13" i="1" s="1"/>
  <c r="KO13" i="1" s="1"/>
  <c r="KX13" i="1" s="1"/>
  <c r="LG13" i="1" s="1"/>
  <c r="LP13" i="1" s="1"/>
  <c r="LY13" i="1" s="1"/>
  <c r="MH13" i="1" s="1"/>
  <c r="MQ13" i="1" s="1"/>
  <c r="MZ13" i="1" s="1"/>
  <c r="L14" i="1"/>
  <c r="U14" i="1" s="1"/>
  <c r="AD14" i="1" s="1"/>
  <c r="AM14" i="1" s="1"/>
  <c r="AV14" i="1" s="1"/>
  <c r="BE14" i="1" s="1"/>
  <c r="BN14" i="1" s="1"/>
  <c r="BW14" i="1" s="1"/>
  <c r="CF14" i="1" s="1"/>
  <c r="CO14" i="1" s="1"/>
  <c r="CX14" i="1" s="1"/>
  <c r="DG14" i="1" s="1"/>
  <c r="DP14" i="1" s="1"/>
  <c r="DY14" i="1" s="1"/>
  <c r="EH14" i="1" s="1"/>
  <c r="EQ14" i="1" s="1"/>
  <c r="EZ14" i="1" s="1"/>
  <c r="FI14" i="1" s="1"/>
  <c r="FR14" i="1" s="1"/>
  <c r="GA14" i="1" s="1"/>
  <c r="GJ14" i="1" s="1"/>
  <c r="GS14" i="1" s="1"/>
  <c r="HB14" i="1" s="1"/>
  <c r="HK14" i="1" s="1"/>
  <c r="HU14" i="1" s="1"/>
  <c r="ID14" i="1" s="1"/>
  <c r="IM14" i="1" s="1"/>
  <c r="IV14" i="1" s="1"/>
  <c r="JE14" i="1" s="1"/>
  <c r="JN14" i="1" s="1"/>
  <c r="JW14" i="1" s="1"/>
  <c r="KF14" i="1" s="1"/>
  <c r="KO14" i="1" s="1"/>
  <c r="KX14" i="1" s="1"/>
  <c r="LG14" i="1" s="1"/>
  <c r="LP14" i="1" s="1"/>
  <c r="LY14" i="1" s="1"/>
  <c r="MH14" i="1" s="1"/>
  <c r="MQ14" i="1" s="1"/>
  <c r="MZ14" i="1" s="1"/>
  <c r="L15" i="1"/>
  <c r="U15" i="1" s="1"/>
  <c r="AD15" i="1" s="1"/>
  <c r="AM15" i="1" s="1"/>
  <c r="AV15" i="1" s="1"/>
  <c r="BE15" i="1" s="1"/>
  <c r="BN15" i="1" s="1"/>
  <c r="BW15" i="1" s="1"/>
  <c r="CF15" i="1" s="1"/>
  <c r="CO15" i="1" s="1"/>
  <c r="CX15" i="1" s="1"/>
  <c r="DG15" i="1" s="1"/>
  <c r="DP15" i="1" s="1"/>
  <c r="DY15" i="1" s="1"/>
  <c r="EH15" i="1" s="1"/>
  <c r="EQ15" i="1" s="1"/>
  <c r="EZ15" i="1" s="1"/>
  <c r="FI15" i="1" s="1"/>
  <c r="FR15" i="1" s="1"/>
  <c r="GA15" i="1" s="1"/>
  <c r="GJ15" i="1" s="1"/>
  <c r="GS15" i="1" s="1"/>
  <c r="HB15" i="1" s="1"/>
  <c r="HK15" i="1" s="1"/>
  <c r="HU15" i="1" s="1"/>
  <c r="ID15" i="1" s="1"/>
  <c r="IM15" i="1" s="1"/>
  <c r="IV15" i="1" s="1"/>
  <c r="JE15" i="1" s="1"/>
  <c r="JN15" i="1" s="1"/>
  <c r="JW15" i="1" s="1"/>
  <c r="KF15" i="1" s="1"/>
  <c r="KO15" i="1" s="1"/>
  <c r="KX15" i="1" s="1"/>
  <c r="LG15" i="1" s="1"/>
  <c r="LP15" i="1" s="1"/>
  <c r="LY15" i="1" s="1"/>
  <c r="MH15" i="1" s="1"/>
  <c r="MQ15" i="1" s="1"/>
  <c r="MZ15" i="1" s="1"/>
  <c r="L16" i="1"/>
  <c r="U16" i="1" s="1"/>
  <c r="AD16" i="1" s="1"/>
  <c r="AM16" i="1" s="1"/>
  <c r="AV16" i="1" s="1"/>
  <c r="BE16" i="1" s="1"/>
  <c r="BN16" i="1" s="1"/>
  <c r="BW16" i="1" s="1"/>
  <c r="CF16" i="1" s="1"/>
  <c r="CO16" i="1" s="1"/>
  <c r="CX16" i="1" s="1"/>
  <c r="DG16" i="1" s="1"/>
  <c r="DP16" i="1" s="1"/>
  <c r="DY16" i="1" s="1"/>
  <c r="EH16" i="1" s="1"/>
  <c r="EQ16" i="1" s="1"/>
  <c r="EZ16" i="1" s="1"/>
  <c r="FI16" i="1" s="1"/>
  <c r="FR16" i="1" s="1"/>
  <c r="GA16" i="1" s="1"/>
  <c r="GJ16" i="1" s="1"/>
  <c r="GS16" i="1" s="1"/>
  <c r="HB16" i="1" s="1"/>
  <c r="HK16" i="1" s="1"/>
  <c r="HU16" i="1" s="1"/>
  <c r="ID16" i="1" s="1"/>
  <c r="IM16" i="1" s="1"/>
  <c r="IV16" i="1" s="1"/>
  <c r="JE16" i="1" s="1"/>
  <c r="JN16" i="1" s="1"/>
  <c r="JW16" i="1" s="1"/>
  <c r="KF16" i="1" s="1"/>
  <c r="KO16" i="1" s="1"/>
  <c r="KX16" i="1" s="1"/>
  <c r="LG16" i="1" s="1"/>
  <c r="LP16" i="1" s="1"/>
  <c r="LY16" i="1" s="1"/>
  <c r="MH16" i="1" s="1"/>
  <c r="MQ16" i="1" s="1"/>
  <c r="MZ16" i="1" s="1"/>
  <c r="L17" i="1"/>
  <c r="U17" i="1" s="1"/>
  <c r="AD17" i="1" s="1"/>
  <c r="AM17" i="1" s="1"/>
  <c r="AV17" i="1" s="1"/>
  <c r="BE17" i="1" s="1"/>
  <c r="BN17" i="1" s="1"/>
  <c r="BW17" i="1" s="1"/>
  <c r="CF17" i="1" s="1"/>
  <c r="CO17" i="1" s="1"/>
  <c r="CX17" i="1" s="1"/>
  <c r="DG17" i="1" s="1"/>
  <c r="DP17" i="1" s="1"/>
  <c r="DY17" i="1" s="1"/>
  <c r="EH17" i="1" s="1"/>
  <c r="EQ17" i="1" s="1"/>
  <c r="EZ17" i="1" s="1"/>
  <c r="FI17" i="1" s="1"/>
  <c r="FR17" i="1" s="1"/>
  <c r="GA17" i="1" s="1"/>
  <c r="GJ17" i="1" s="1"/>
  <c r="GS17" i="1" s="1"/>
  <c r="HB17" i="1" s="1"/>
  <c r="HK17" i="1" s="1"/>
  <c r="HU17" i="1" s="1"/>
  <c r="ID17" i="1" s="1"/>
  <c r="IM17" i="1" s="1"/>
  <c r="IV17" i="1" s="1"/>
  <c r="JE17" i="1" s="1"/>
  <c r="JN17" i="1" s="1"/>
  <c r="JW17" i="1" s="1"/>
  <c r="KF17" i="1" s="1"/>
  <c r="KO17" i="1" s="1"/>
  <c r="KX17" i="1" s="1"/>
  <c r="LG17" i="1" s="1"/>
  <c r="LP17" i="1" s="1"/>
  <c r="LY17" i="1" s="1"/>
  <c r="MH17" i="1" s="1"/>
  <c r="MQ17" i="1" s="1"/>
  <c r="MZ17" i="1" s="1"/>
  <c r="L18" i="1"/>
  <c r="U18" i="1" s="1"/>
  <c r="AD18" i="1" s="1"/>
  <c r="AM18" i="1" s="1"/>
  <c r="AV18" i="1" s="1"/>
  <c r="BE18" i="1" s="1"/>
  <c r="BN18" i="1" s="1"/>
  <c r="BW18" i="1" s="1"/>
  <c r="CF18" i="1" s="1"/>
  <c r="CO18" i="1" s="1"/>
  <c r="CX18" i="1" s="1"/>
  <c r="DG18" i="1" s="1"/>
  <c r="DP18" i="1" s="1"/>
  <c r="DY18" i="1" s="1"/>
  <c r="EH18" i="1" s="1"/>
  <c r="EQ18" i="1" s="1"/>
  <c r="EZ18" i="1" s="1"/>
  <c r="FI18" i="1" s="1"/>
  <c r="FR18" i="1" s="1"/>
  <c r="GA18" i="1" s="1"/>
  <c r="GJ18" i="1" s="1"/>
  <c r="GS18" i="1" s="1"/>
  <c r="HB18" i="1" s="1"/>
  <c r="HK18" i="1" s="1"/>
  <c r="HU18" i="1" s="1"/>
  <c r="ID18" i="1" s="1"/>
  <c r="IM18" i="1" s="1"/>
  <c r="IV18" i="1" s="1"/>
  <c r="JE18" i="1" s="1"/>
  <c r="JN18" i="1" s="1"/>
  <c r="JW18" i="1" s="1"/>
  <c r="KF18" i="1" s="1"/>
  <c r="KO18" i="1" s="1"/>
  <c r="KX18" i="1" s="1"/>
  <c r="LG18" i="1" s="1"/>
  <c r="LP18" i="1" s="1"/>
  <c r="LY18" i="1" s="1"/>
  <c r="MH18" i="1" s="1"/>
  <c r="MQ18" i="1" s="1"/>
  <c r="MZ18" i="1" s="1"/>
  <c r="L19" i="1"/>
  <c r="U19" i="1" s="1"/>
  <c r="AD19" i="1" s="1"/>
  <c r="AM19" i="1" s="1"/>
  <c r="AV19" i="1" s="1"/>
  <c r="BE19" i="1" s="1"/>
  <c r="BN19" i="1" s="1"/>
  <c r="BW19" i="1" s="1"/>
  <c r="CF19" i="1" s="1"/>
  <c r="CO19" i="1" s="1"/>
  <c r="CX19" i="1" s="1"/>
  <c r="DG19" i="1" s="1"/>
  <c r="DP19" i="1" s="1"/>
  <c r="DY19" i="1" s="1"/>
  <c r="EH19" i="1" s="1"/>
  <c r="EQ19" i="1" s="1"/>
  <c r="EZ19" i="1" s="1"/>
  <c r="FI19" i="1" s="1"/>
  <c r="FR19" i="1" s="1"/>
  <c r="GA19" i="1" s="1"/>
  <c r="GJ19" i="1" s="1"/>
  <c r="GS19" i="1" s="1"/>
  <c r="HB19" i="1" s="1"/>
  <c r="HK19" i="1" s="1"/>
  <c r="HU19" i="1" s="1"/>
  <c r="ID19" i="1" s="1"/>
  <c r="IM19" i="1" s="1"/>
  <c r="IV19" i="1" s="1"/>
  <c r="JE19" i="1" s="1"/>
  <c r="JN19" i="1" s="1"/>
  <c r="JW19" i="1" s="1"/>
  <c r="KF19" i="1" s="1"/>
  <c r="KO19" i="1" s="1"/>
  <c r="KX19" i="1" s="1"/>
  <c r="LG19" i="1" s="1"/>
  <c r="LP19" i="1" s="1"/>
  <c r="LY19" i="1" s="1"/>
  <c r="MH19" i="1" s="1"/>
  <c r="MQ19" i="1" s="1"/>
  <c r="MZ19" i="1" s="1"/>
  <c r="L20" i="1"/>
  <c r="U20" i="1" s="1"/>
  <c r="AD20" i="1" s="1"/>
  <c r="AM20" i="1" s="1"/>
  <c r="AV20" i="1" s="1"/>
  <c r="BE20" i="1" s="1"/>
  <c r="BN20" i="1" s="1"/>
  <c r="BW20" i="1" s="1"/>
  <c r="CF20" i="1" s="1"/>
  <c r="CO20" i="1" s="1"/>
  <c r="CX20" i="1" s="1"/>
  <c r="DG20" i="1" s="1"/>
  <c r="DP20" i="1" s="1"/>
  <c r="DY20" i="1" s="1"/>
  <c r="EH20" i="1" s="1"/>
  <c r="EQ20" i="1" s="1"/>
  <c r="EZ20" i="1" s="1"/>
  <c r="FI20" i="1" s="1"/>
  <c r="FR20" i="1" s="1"/>
  <c r="GA20" i="1" s="1"/>
  <c r="GJ20" i="1" s="1"/>
  <c r="GS20" i="1" s="1"/>
  <c r="HB20" i="1" s="1"/>
  <c r="HK20" i="1" s="1"/>
  <c r="HU20" i="1" s="1"/>
  <c r="ID20" i="1" s="1"/>
  <c r="IM20" i="1" s="1"/>
  <c r="IV20" i="1" s="1"/>
  <c r="JE20" i="1" s="1"/>
  <c r="JN20" i="1" s="1"/>
  <c r="JW20" i="1" s="1"/>
  <c r="KF20" i="1" s="1"/>
  <c r="KO20" i="1" s="1"/>
  <c r="KX20" i="1" s="1"/>
  <c r="LG20" i="1" s="1"/>
  <c r="LP20" i="1" s="1"/>
  <c r="LY20" i="1" s="1"/>
  <c r="MH20" i="1" s="1"/>
  <c r="MQ20" i="1" s="1"/>
  <c r="MZ20" i="1" s="1"/>
  <c r="L21" i="1"/>
  <c r="U21" i="1" s="1"/>
  <c r="AD21" i="1" s="1"/>
  <c r="AM21" i="1" s="1"/>
  <c r="AV21" i="1" s="1"/>
  <c r="BE21" i="1" s="1"/>
  <c r="BN21" i="1" s="1"/>
  <c r="BW21" i="1" s="1"/>
  <c r="CF21" i="1" s="1"/>
  <c r="CO21" i="1" s="1"/>
  <c r="CX21" i="1" s="1"/>
  <c r="DG21" i="1" s="1"/>
  <c r="DP21" i="1" s="1"/>
  <c r="DY21" i="1" s="1"/>
  <c r="EH21" i="1" s="1"/>
  <c r="EQ21" i="1" s="1"/>
  <c r="EZ21" i="1" s="1"/>
  <c r="FI21" i="1" s="1"/>
  <c r="FR21" i="1" s="1"/>
  <c r="GA21" i="1" s="1"/>
  <c r="GJ21" i="1" s="1"/>
  <c r="GS21" i="1" s="1"/>
  <c r="HB21" i="1" s="1"/>
  <c r="HK21" i="1" s="1"/>
  <c r="HU21" i="1" s="1"/>
  <c r="ID21" i="1" s="1"/>
  <c r="IM21" i="1" s="1"/>
  <c r="IV21" i="1" s="1"/>
  <c r="JE21" i="1" s="1"/>
  <c r="JN21" i="1" s="1"/>
  <c r="JW21" i="1" s="1"/>
  <c r="KF21" i="1" s="1"/>
  <c r="KO21" i="1" s="1"/>
  <c r="KX21" i="1" s="1"/>
  <c r="LG21" i="1" s="1"/>
  <c r="LP21" i="1" s="1"/>
  <c r="LY21" i="1" s="1"/>
  <c r="MH21" i="1" s="1"/>
  <c r="MQ21" i="1" s="1"/>
  <c r="MZ21" i="1" s="1"/>
  <c r="L22" i="1"/>
  <c r="U22" i="1" s="1"/>
  <c r="AD22" i="1" s="1"/>
  <c r="AM22" i="1" s="1"/>
  <c r="AV22" i="1" s="1"/>
  <c r="BE22" i="1" s="1"/>
  <c r="BN22" i="1" s="1"/>
  <c r="BW22" i="1" s="1"/>
  <c r="CF22" i="1" s="1"/>
  <c r="CO22" i="1" s="1"/>
  <c r="CX22" i="1" s="1"/>
  <c r="DG22" i="1" s="1"/>
  <c r="DP22" i="1" s="1"/>
  <c r="DY22" i="1" s="1"/>
  <c r="EH22" i="1" s="1"/>
  <c r="EQ22" i="1" s="1"/>
  <c r="EZ22" i="1" s="1"/>
  <c r="FI22" i="1" s="1"/>
  <c r="FR22" i="1" s="1"/>
  <c r="GA22" i="1" s="1"/>
  <c r="GJ22" i="1" s="1"/>
  <c r="GS22" i="1" s="1"/>
  <c r="HB22" i="1" s="1"/>
  <c r="HK22" i="1" s="1"/>
  <c r="HU22" i="1" s="1"/>
  <c r="ID22" i="1" s="1"/>
  <c r="IM22" i="1" s="1"/>
  <c r="IV22" i="1" s="1"/>
  <c r="JE22" i="1" s="1"/>
  <c r="JN22" i="1" s="1"/>
  <c r="JW22" i="1" s="1"/>
  <c r="KF22" i="1" s="1"/>
  <c r="KO22" i="1" s="1"/>
  <c r="KX22" i="1" s="1"/>
  <c r="LG22" i="1" s="1"/>
  <c r="LP22" i="1" s="1"/>
  <c r="LY22" i="1" s="1"/>
  <c r="MH22" i="1" s="1"/>
  <c r="MQ22" i="1" s="1"/>
  <c r="MZ22" i="1" s="1"/>
  <c r="L23" i="1"/>
  <c r="U23" i="1" s="1"/>
  <c r="AD23" i="1" s="1"/>
  <c r="AM23" i="1" s="1"/>
  <c r="AV23" i="1" s="1"/>
  <c r="BE23" i="1" s="1"/>
  <c r="BN23" i="1" s="1"/>
  <c r="BW23" i="1" s="1"/>
  <c r="CF23" i="1" s="1"/>
  <c r="CO23" i="1" s="1"/>
  <c r="CX23" i="1" s="1"/>
  <c r="DG23" i="1" s="1"/>
  <c r="DP23" i="1" s="1"/>
  <c r="DY23" i="1" s="1"/>
  <c r="EH23" i="1" s="1"/>
  <c r="EQ23" i="1" s="1"/>
  <c r="EZ23" i="1" s="1"/>
  <c r="FI23" i="1" s="1"/>
  <c r="FR23" i="1" s="1"/>
  <c r="GA23" i="1" s="1"/>
  <c r="GJ23" i="1" s="1"/>
  <c r="GS23" i="1" s="1"/>
  <c r="HB23" i="1" s="1"/>
  <c r="HK23" i="1" s="1"/>
  <c r="HU23" i="1" s="1"/>
  <c r="ID23" i="1" s="1"/>
  <c r="IM23" i="1" s="1"/>
  <c r="IV23" i="1" s="1"/>
  <c r="JE23" i="1" s="1"/>
  <c r="JN23" i="1" s="1"/>
  <c r="JW23" i="1" s="1"/>
  <c r="KF23" i="1" s="1"/>
  <c r="KO23" i="1" s="1"/>
  <c r="KX23" i="1" s="1"/>
  <c r="LG23" i="1" s="1"/>
  <c r="LP23" i="1" s="1"/>
  <c r="LY23" i="1" s="1"/>
  <c r="MH23" i="1" s="1"/>
  <c r="MQ23" i="1" s="1"/>
  <c r="MZ23" i="1" s="1"/>
  <c r="L24" i="1"/>
  <c r="U24" i="1" s="1"/>
  <c r="AD24" i="1" s="1"/>
  <c r="AM24" i="1" s="1"/>
  <c r="AV24" i="1" s="1"/>
  <c r="BE24" i="1" s="1"/>
  <c r="BN24" i="1" s="1"/>
  <c r="BW24" i="1" s="1"/>
  <c r="CF24" i="1" s="1"/>
  <c r="CO24" i="1" s="1"/>
  <c r="CX24" i="1" s="1"/>
  <c r="DG24" i="1" s="1"/>
  <c r="DP24" i="1" s="1"/>
  <c r="DY24" i="1" s="1"/>
  <c r="EH24" i="1" s="1"/>
  <c r="EQ24" i="1" s="1"/>
  <c r="EZ24" i="1" s="1"/>
  <c r="FI24" i="1" s="1"/>
  <c r="FR24" i="1" s="1"/>
  <c r="GA24" i="1" s="1"/>
  <c r="GJ24" i="1" s="1"/>
  <c r="GS24" i="1" s="1"/>
  <c r="HB24" i="1" s="1"/>
  <c r="HK24" i="1" s="1"/>
  <c r="HU24" i="1" s="1"/>
  <c r="ID24" i="1" s="1"/>
  <c r="IM24" i="1" s="1"/>
  <c r="IV24" i="1" s="1"/>
  <c r="JE24" i="1" s="1"/>
  <c r="JN24" i="1" s="1"/>
  <c r="JW24" i="1" s="1"/>
  <c r="KF24" i="1" s="1"/>
  <c r="KO24" i="1" s="1"/>
  <c r="KX24" i="1" s="1"/>
  <c r="LG24" i="1" s="1"/>
  <c r="LP24" i="1" s="1"/>
  <c r="LY24" i="1" s="1"/>
  <c r="MH24" i="1" s="1"/>
  <c r="MQ24" i="1" s="1"/>
  <c r="MZ24" i="1" s="1"/>
  <c r="L25" i="1"/>
  <c r="U25" i="1" s="1"/>
  <c r="AD25" i="1" s="1"/>
  <c r="AM25" i="1" s="1"/>
  <c r="AV25" i="1" s="1"/>
  <c r="BE25" i="1" s="1"/>
  <c r="BN25" i="1" s="1"/>
  <c r="BW25" i="1" s="1"/>
  <c r="CF25" i="1" s="1"/>
  <c r="CO25" i="1" s="1"/>
  <c r="CX25" i="1" s="1"/>
  <c r="DG25" i="1" s="1"/>
  <c r="DP25" i="1" s="1"/>
  <c r="DY25" i="1" s="1"/>
  <c r="EH25" i="1" s="1"/>
  <c r="EQ25" i="1" s="1"/>
  <c r="EZ25" i="1" s="1"/>
  <c r="FI25" i="1" s="1"/>
  <c r="FR25" i="1" s="1"/>
  <c r="GA25" i="1" s="1"/>
  <c r="GJ25" i="1" s="1"/>
  <c r="GS25" i="1" s="1"/>
  <c r="HB25" i="1" s="1"/>
  <c r="HK25" i="1" s="1"/>
  <c r="HU25" i="1" s="1"/>
  <c r="ID25" i="1" s="1"/>
  <c r="IM25" i="1" s="1"/>
  <c r="IV25" i="1" s="1"/>
  <c r="JE25" i="1" s="1"/>
  <c r="JN25" i="1" s="1"/>
  <c r="JW25" i="1" s="1"/>
  <c r="KF25" i="1" s="1"/>
  <c r="KO25" i="1" s="1"/>
  <c r="KX25" i="1" s="1"/>
  <c r="LG25" i="1" s="1"/>
  <c r="LP25" i="1" s="1"/>
  <c r="LY25" i="1" s="1"/>
  <c r="MH25" i="1" s="1"/>
  <c r="MQ25" i="1" s="1"/>
  <c r="MZ25" i="1" s="1"/>
  <c r="L26" i="1"/>
  <c r="U26" i="1" s="1"/>
  <c r="AD26" i="1" s="1"/>
  <c r="AM26" i="1" s="1"/>
  <c r="AV26" i="1" s="1"/>
  <c r="BE26" i="1" s="1"/>
  <c r="BN26" i="1" s="1"/>
  <c r="BW26" i="1" s="1"/>
  <c r="CF26" i="1" s="1"/>
  <c r="CO26" i="1" s="1"/>
  <c r="CX26" i="1" s="1"/>
  <c r="DG26" i="1" s="1"/>
  <c r="DP26" i="1" s="1"/>
  <c r="DY26" i="1" s="1"/>
  <c r="EH26" i="1" s="1"/>
  <c r="EQ26" i="1" s="1"/>
  <c r="EZ26" i="1" s="1"/>
  <c r="FI26" i="1" s="1"/>
  <c r="FR26" i="1" s="1"/>
  <c r="GA26" i="1" s="1"/>
  <c r="GJ26" i="1" s="1"/>
  <c r="GS26" i="1" s="1"/>
  <c r="HB26" i="1" s="1"/>
  <c r="HK26" i="1" s="1"/>
  <c r="HU26" i="1" s="1"/>
  <c r="ID26" i="1" s="1"/>
  <c r="IM26" i="1" s="1"/>
  <c r="IV26" i="1" s="1"/>
  <c r="JE26" i="1" s="1"/>
  <c r="JN26" i="1" s="1"/>
  <c r="JW26" i="1" s="1"/>
  <c r="KF26" i="1" s="1"/>
  <c r="KO26" i="1" s="1"/>
  <c r="KX26" i="1" s="1"/>
  <c r="LG26" i="1" s="1"/>
  <c r="LP26" i="1" s="1"/>
  <c r="LY26" i="1" s="1"/>
  <c r="MH26" i="1" s="1"/>
  <c r="MQ26" i="1" s="1"/>
  <c r="MZ26" i="1" s="1"/>
  <c r="L27" i="1"/>
  <c r="U27" i="1" s="1"/>
  <c r="AD27" i="1" s="1"/>
  <c r="AM27" i="1" s="1"/>
  <c r="AV27" i="1" s="1"/>
  <c r="BE27" i="1" s="1"/>
  <c r="BN27" i="1" s="1"/>
  <c r="BW27" i="1" s="1"/>
  <c r="CF27" i="1" s="1"/>
  <c r="CO27" i="1" s="1"/>
  <c r="CX27" i="1" s="1"/>
  <c r="DG27" i="1" s="1"/>
  <c r="DP27" i="1" s="1"/>
  <c r="DY27" i="1" s="1"/>
  <c r="EH27" i="1" s="1"/>
  <c r="EQ27" i="1" s="1"/>
  <c r="EZ27" i="1" s="1"/>
  <c r="FI27" i="1" s="1"/>
  <c r="FR27" i="1" s="1"/>
  <c r="GA27" i="1" s="1"/>
  <c r="GJ27" i="1" s="1"/>
  <c r="GS27" i="1" s="1"/>
  <c r="HB27" i="1" s="1"/>
  <c r="HK27" i="1" s="1"/>
  <c r="HU27" i="1" s="1"/>
  <c r="ID27" i="1" s="1"/>
  <c r="IM27" i="1" s="1"/>
  <c r="IV27" i="1" s="1"/>
  <c r="JE27" i="1" s="1"/>
  <c r="JN27" i="1" s="1"/>
  <c r="JW27" i="1" s="1"/>
  <c r="KF27" i="1" s="1"/>
  <c r="KO27" i="1" s="1"/>
  <c r="KX27" i="1" s="1"/>
  <c r="LG27" i="1" s="1"/>
  <c r="LP27" i="1" s="1"/>
  <c r="LY27" i="1" s="1"/>
  <c r="MH27" i="1" s="1"/>
  <c r="MQ27" i="1" s="1"/>
  <c r="MZ27" i="1" s="1"/>
  <c r="L28" i="1"/>
  <c r="U28" i="1" s="1"/>
  <c r="AD28" i="1" s="1"/>
  <c r="AM28" i="1" s="1"/>
  <c r="AV28" i="1" s="1"/>
  <c r="BE28" i="1" s="1"/>
  <c r="BN28" i="1" s="1"/>
  <c r="BW28" i="1" s="1"/>
  <c r="CF28" i="1" s="1"/>
  <c r="CO28" i="1" s="1"/>
  <c r="CX28" i="1" s="1"/>
  <c r="DG28" i="1" s="1"/>
  <c r="DP28" i="1" s="1"/>
  <c r="DY28" i="1" s="1"/>
  <c r="EH28" i="1" s="1"/>
  <c r="EQ28" i="1" s="1"/>
  <c r="EZ28" i="1" s="1"/>
  <c r="FI28" i="1" s="1"/>
  <c r="FR28" i="1" s="1"/>
  <c r="GA28" i="1" s="1"/>
  <c r="GJ28" i="1" s="1"/>
  <c r="GS28" i="1" s="1"/>
  <c r="HB28" i="1" s="1"/>
  <c r="HK28" i="1" s="1"/>
  <c r="HU28" i="1" s="1"/>
  <c r="ID28" i="1" s="1"/>
  <c r="IM28" i="1" s="1"/>
  <c r="IV28" i="1" s="1"/>
  <c r="JE28" i="1" s="1"/>
  <c r="JN28" i="1" s="1"/>
  <c r="JW28" i="1" s="1"/>
  <c r="KF28" i="1" s="1"/>
  <c r="KO28" i="1" s="1"/>
  <c r="KX28" i="1" s="1"/>
  <c r="LG28" i="1" s="1"/>
  <c r="LP28" i="1" s="1"/>
  <c r="LY28" i="1" s="1"/>
  <c r="MH28" i="1" s="1"/>
  <c r="MQ28" i="1" s="1"/>
  <c r="MZ28" i="1" s="1"/>
  <c r="L29" i="1"/>
  <c r="U29" i="1" s="1"/>
  <c r="AD29" i="1" s="1"/>
  <c r="AM29" i="1" s="1"/>
  <c r="AV29" i="1" s="1"/>
  <c r="BE29" i="1" s="1"/>
  <c r="BN29" i="1" s="1"/>
  <c r="BW29" i="1" s="1"/>
  <c r="CF29" i="1" s="1"/>
  <c r="CO29" i="1" s="1"/>
  <c r="CX29" i="1" s="1"/>
  <c r="DG29" i="1" s="1"/>
  <c r="DP29" i="1" s="1"/>
  <c r="DY29" i="1" s="1"/>
  <c r="EH29" i="1" s="1"/>
  <c r="EQ29" i="1" s="1"/>
  <c r="EZ29" i="1" s="1"/>
  <c r="FI29" i="1" s="1"/>
  <c r="FR29" i="1" s="1"/>
  <c r="GA29" i="1" s="1"/>
  <c r="GJ29" i="1" s="1"/>
  <c r="GS29" i="1" s="1"/>
  <c r="HB29" i="1" s="1"/>
  <c r="HK29" i="1" s="1"/>
  <c r="HU29" i="1" s="1"/>
  <c r="ID29" i="1" s="1"/>
  <c r="IM29" i="1" s="1"/>
  <c r="IV29" i="1" s="1"/>
  <c r="JE29" i="1" s="1"/>
  <c r="JN29" i="1" s="1"/>
  <c r="JW29" i="1" s="1"/>
  <c r="KF29" i="1" s="1"/>
  <c r="KO29" i="1" s="1"/>
  <c r="KX29" i="1" s="1"/>
  <c r="LG29" i="1" s="1"/>
  <c r="LP29" i="1" s="1"/>
  <c r="LY29" i="1" s="1"/>
  <c r="MH29" i="1" s="1"/>
  <c r="MQ29" i="1" s="1"/>
  <c r="MZ29" i="1" s="1"/>
  <c r="L30" i="1"/>
  <c r="U30" i="1" s="1"/>
  <c r="AD30" i="1" s="1"/>
  <c r="AM30" i="1" s="1"/>
  <c r="AV30" i="1" s="1"/>
  <c r="BE30" i="1" s="1"/>
  <c r="BN30" i="1" s="1"/>
  <c r="BW30" i="1" s="1"/>
  <c r="CF30" i="1" s="1"/>
  <c r="CO30" i="1" s="1"/>
  <c r="CX30" i="1" s="1"/>
  <c r="DG30" i="1" s="1"/>
  <c r="DP30" i="1" s="1"/>
  <c r="DY30" i="1" s="1"/>
  <c r="EH30" i="1" s="1"/>
  <c r="EQ30" i="1" s="1"/>
  <c r="EZ30" i="1" s="1"/>
  <c r="FI30" i="1" s="1"/>
  <c r="FR30" i="1" s="1"/>
  <c r="GA30" i="1" s="1"/>
  <c r="GJ30" i="1" s="1"/>
  <c r="GS30" i="1" s="1"/>
  <c r="HB30" i="1" s="1"/>
  <c r="HK30" i="1" s="1"/>
  <c r="HU30" i="1" s="1"/>
  <c r="ID30" i="1" s="1"/>
  <c r="IM30" i="1" s="1"/>
  <c r="IV30" i="1" s="1"/>
  <c r="JE30" i="1" s="1"/>
  <c r="JN30" i="1" s="1"/>
  <c r="JW30" i="1" s="1"/>
  <c r="KF30" i="1" s="1"/>
  <c r="KO30" i="1" s="1"/>
  <c r="KX30" i="1" s="1"/>
  <c r="LG30" i="1" s="1"/>
  <c r="LP30" i="1" s="1"/>
  <c r="LY30" i="1" s="1"/>
  <c r="MH30" i="1" s="1"/>
  <c r="MQ30" i="1" s="1"/>
  <c r="MZ30" i="1" s="1"/>
  <c r="L31" i="1"/>
  <c r="U31" i="1" s="1"/>
  <c r="AD31" i="1" s="1"/>
  <c r="AM31" i="1" s="1"/>
  <c r="AV31" i="1" s="1"/>
  <c r="BE31" i="1" s="1"/>
  <c r="BN31" i="1" s="1"/>
  <c r="BW31" i="1" s="1"/>
  <c r="CF31" i="1" s="1"/>
  <c r="CO31" i="1" s="1"/>
  <c r="CX31" i="1" s="1"/>
  <c r="DG31" i="1" s="1"/>
  <c r="DP31" i="1" s="1"/>
  <c r="DY31" i="1" s="1"/>
  <c r="EH31" i="1" s="1"/>
  <c r="EQ31" i="1" s="1"/>
  <c r="EZ31" i="1" s="1"/>
  <c r="FI31" i="1" s="1"/>
  <c r="FR31" i="1" s="1"/>
  <c r="GA31" i="1" s="1"/>
  <c r="GJ31" i="1" s="1"/>
  <c r="GS31" i="1" s="1"/>
  <c r="HB31" i="1" s="1"/>
  <c r="HK31" i="1" s="1"/>
  <c r="HU31" i="1" s="1"/>
  <c r="ID31" i="1" s="1"/>
  <c r="IM31" i="1" s="1"/>
  <c r="IV31" i="1" s="1"/>
  <c r="JE31" i="1" s="1"/>
  <c r="JN31" i="1" s="1"/>
  <c r="JW31" i="1" s="1"/>
  <c r="KF31" i="1" s="1"/>
  <c r="KO31" i="1" s="1"/>
  <c r="KX31" i="1" s="1"/>
  <c r="LG31" i="1" s="1"/>
  <c r="LP31" i="1" s="1"/>
  <c r="LY31" i="1" s="1"/>
  <c r="MH31" i="1" s="1"/>
  <c r="MQ31" i="1" s="1"/>
  <c r="MZ31" i="1" s="1"/>
  <c r="L32" i="1"/>
  <c r="U32" i="1" s="1"/>
  <c r="AD32" i="1" s="1"/>
  <c r="AM32" i="1" s="1"/>
  <c r="AV32" i="1" s="1"/>
  <c r="BE32" i="1" s="1"/>
  <c r="BN32" i="1" s="1"/>
  <c r="BW32" i="1" s="1"/>
  <c r="CF32" i="1" s="1"/>
  <c r="CO32" i="1" s="1"/>
  <c r="CX32" i="1" s="1"/>
  <c r="DG32" i="1" s="1"/>
  <c r="DP32" i="1" s="1"/>
  <c r="DY32" i="1" s="1"/>
  <c r="EH32" i="1" s="1"/>
  <c r="EQ32" i="1" s="1"/>
  <c r="EZ32" i="1" s="1"/>
  <c r="FI32" i="1" s="1"/>
  <c r="FR32" i="1" s="1"/>
  <c r="GA32" i="1" s="1"/>
  <c r="GJ32" i="1" s="1"/>
  <c r="GS32" i="1" s="1"/>
  <c r="HB32" i="1" s="1"/>
  <c r="HK32" i="1" s="1"/>
  <c r="HU32" i="1" s="1"/>
  <c r="ID32" i="1" s="1"/>
  <c r="IM32" i="1" s="1"/>
  <c r="IV32" i="1" s="1"/>
  <c r="JE32" i="1" s="1"/>
  <c r="JN32" i="1" s="1"/>
  <c r="JW32" i="1" s="1"/>
  <c r="KF32" i="1" s="1"/>
  <c r="KO32" i="1" s="1"/>
  <c r="KX32" i="1" s="1"/>
  <c r="LG32" i="1" s="1"/>
  <c r="LP32" i="1" s="1"/>
  <c r="LY32" i="1" s="1"/>
  <c r="MH32" i="1" s="1"/>
  <c r="MQ32" i="1" s="1"/>
  <c r="MZ32" i="1" s="1"/>
  <c r="L33" i="1"/>
  <c r="U33" i="1" s="1"/>
  <c r="AD33" i="1" s="1"/>
  <c r="AM33" i="1" s="1"/>
  <c r="AV33" i="1" s="1"/>
  <c r="BE33" i="1" s="1"/>
  <c r="BN33" i="1" s="1"/>
  <c r="BW33" i="1" s="1"/>
  <c r="CF33" i="1" s="1"/>
  <c r="CO33" i="1" s="1"/>
  <c r="CX33" i="1" s="1"/>
  <c r="DG33" i="1" s="1"/>
  <c r="DP33" i="1" s="1"/>
  <c r="DY33" i="1" s="1"/>
  <c r="EH33" i="1" s="1"/>
  <c r="EQ33" i="1" s="1"/>
  <c r="EZ33" i="1" s="1"/>
  <c r="FI33" i="1" s="1"/>
  <c r="FR33" i="1" s="1"/>
  <c r="GA33" i="1" s="1"/>
  <c r="GJ33" i="1" s="1"/>
  <c r="GS33" i="1" s="1"/>
  <c r="HB33" i="1" s="1"/>
  <c r="HK33" i="1" s="1"/>
  <c r="HU33" i="1" s="1"/>
  <c r="ID33" i="1" s="1"/>
  <c r="IM33" i="1" s="1"/>
  <c r="IV33" i="1" s="1"/>
  <c r="JE33" i="1" s="1"/>
  <c r="JN33" i="1" s="1"/>
  <c r="JW33" i="1" s="1"/>
  <c r="KF33" i="1" s="1"/>
  <c r="KO33" i="1" s="1"/>
  <c r="KX33" i="1" s="1"/>
  <c r="LG33" i="1" s="1"/>
  <c r="LP33" i="1" s="1"/>
  <c r="LY33" i="1" s="1"/>
  <c r="MH33" i="1" s="1"/>
  <c r="MQ33" i="1" s="1"/>
  <c r="MZ33" i="1" s="1"/>
  <c r="L34" i="1"/>
  <c r="U34" i="1" s="1"/>
  <c r="AD34" i="1" s="1"/>
  <c r="AM34" i="1" s="1"/>
  <c r="AV34" i="1" s="1"/>
  <c r="BE34" i="1" s="1"/>
  <c r="BN34" i="1" s="1"/>
  <c r="BW34" i="1" s="1"/>
  <c r="CF34" i="1" s="1"/>
  <c r="CO34" i="1" s="1"/>
  <c r="CX34" i="1" s="1"/>
  <c r="DG34" i="1" s="1"/>
  <c r="DP34" i="1" s="1"/>
  <c r="DY34" i="1" s="1"/>
  <c r="EH34" i="1" s="1"/>
  <c r="EQ34" i="1" s="1"/>
  <c r="EZ34" i="1" s="1"/>
  <c r="FI34" i="1" s="1"/>
  <c r="FR34" i="1" s="1"/>
  <c r="GA34" i="1" s="1"/>
  <c r="GJ34" i="1" s="1"/>
  <c r="GS34" i="1" s="1"/>
  <c r="HB34" i="1" s="1"/>
  <c r="HK34" i="1" s="1"/>
  <c r="HU34" i="1" s="1"/>
  <c r="ID34" i="1" s="1"/>
  <c r="IM34" i="1" s="1"/>
  <c r="IV34" i="1" s="1"/>
  <c r="JE34" i="1" s="1"/>
  <c r="JN34" i="1" s="1"/>
  <c r="JW34" i="1" s="1"/>
  <c r="KF34" i="1" s="1"/>
  <c r="KO34" i="1" s="1"/>
  <c r="KX34" i="1" s="1"/>
  <c r="LG34" i="1" s="1"/>
  <c r="LP34" i="1" s="1"/>
  <c r="LY34" i="1" s="1"/>
  <c r="MH34" i="1" s="1"/>
  <c r="MQ34" i="1" s="1"/>
  <c r="MZ34" i="1" s="1"/>
  <c r="L35" i="1"/>
  <c r="U35" i="1" s="1"/>
  <c r="AD35" i="1" s="1"/>
  <c r="AM35" i="1" s="1"/>
  <c r="AV35" i="1" s="1"/>
  <c r="BE35" i="1" s="1"/>
  <c r="BN35" i="1" s="1"/>
  <c r="BW35" i="1" s="1"/>
  <c r="CF35" i="1" s="1"/>
  <c r="CO35" i="1" s="1"/>
  <c r="CX35" i="1" s="1"/>
  <c r="DG35" i="1" s="1"/>
  <c r="DP35" i="1" s="1"/>
  <c r="DY35" i="1" s="1"/>
  <c r="EH35" i="1" s="1"/>
  <c r="EQ35" i="1" s="1"/>
  <c r="EZ35" i="1" s="1"/>
  <c r="FI35" i="1" s="1"/>
  <c r="FR35" i="1" s="1"/>
  <c r="GA35" i="1" s="1"/>
  <c r="GJ35" i="1" s="1"/>
  <c r="GS35" i="1" s="1"/>
  <c r="HB35" i="1" s="1"/>
  <c r="HK35" i="1" s="1"/>
  <c r="HU35" i="1" s="1"/>
  <c r="ID35" i="1" s="1"/>
  <c r="IM35" i="1" s="1"/>
  <c r="IV35" i="1" s="1"/>
  <c r="JE35" i="1" s="1"/>
  <c r="JN35" i="1" s="1"/>
  <c r="JW35" i="1" s="1"/>
  <c r="KF35" i="1" s="1"/>
  <c r="KO35" i="1" s="1"/>
  <c r="KX35" i="1" s="1"/>
  <c r="LG35" i="1" s="1"/>
  <c r="LP35" i="1" s="1"/>
  <c r="LY35" i="1" s="1"/>
  <c r="MH35" i="1" s="1"/>
  <c r="MQ35" i="1" s="1"/>
  <c r="MZ35" i="1" s="1"/>
  <c r="L36" i="1"/>
  <c r="U36" i="1" s="1"/>
  <c r="AD36" i="1" s="1"/>
  <c r="AM36" i="1" s="1"/>
  <c r="AV36" i="1" s="1"/>
  <c r="BE36" i="1" s="1"/>
  <c r="BN36" i="1" s="1"/>
  <c r="BW36" i="1" s="1"/>
  <c r="CF36" i="1" s="1"/>
  <c r="CO36" i="1" s="1"/>
  <c r="CX36" i="1" s="1"/>
  <c r="DG36" i="1" s="1"/>
  <c r="DP36" i="1" s="1"/>
  <c r="DY36" i="1" s="1"/>
  <c r="EH36" i="1" s="1"/>
  <c r="EQ36" i="1" s="1"/>
  <c r="EZ36" i="1" s="1"/>
  <c r="FI36" i="1" s="1"/>
  <c r="FR36" i="1" s="1"/>
  <c r="GA36" i="1" s="1"/>
  <c r="GJ36" i="1" s="1"/>
  <c r="GS36" i="1" s="1"/>
  <c r="HB36" i="1" s="1"/>
  <c r="HK36" i="1" s="1"/>
  <c r="HU36" i="1" s="1"/>
  <c r="ID36" i="1" s="1"/>
  <c r="IM36" i="1" s="1"/>
  <c r="IV36" i="1" s="1"/>
  <c r="JE36" i="1" s="1"/>
  <c r="JN36" i="1" s="1"/>
  <c r="JW36" i="1" s="1"/>
  <c r="KF36" i="1" s="1"/>
  <c r="KO36" i="1" s="1"/>
  <c r="KX36" i="1" s="1"/>
  <c r="LG36" i="1" s="1"/>
  <c r="LP36" i="1" s="1"/>
  <c r="LY36" i="1" s="1"/>
  <c r="MH36" i="1" s="1"/>
  <c r="MQ36" i="1" s="1"/>
  <c r="MZ36" i="1" s="1"/>
  <c r="L6" i="1"/>
  <c r="NR303" i="1" l="1"/>
  <c r="OA303" i="1" s="1"/>
  <c r="OJ303" i="1" s="1"/>
  <c r="OS303" i="1" s="1"/>
  <c r="PB303" i="1" s="1"/>
  <c r="PK303" i="1" s="1"/>
  <c r="PT303" i="1" s="1"/>
  <c r="QC303" i="1" s="1"/>
  <c r="QL303" i="1" s="1"/>
  <c r="QU303" i="1" s="1"/>
  <c r="RD303" i="1" s="1"/>
  <c r="RM303" i="1" s="1"/>
  <c r="RV303" i="1" s="1"/>
  <c r="SE303" i="1" s="1"/>
  <c r="SN303" i="1" s="1"/>
  <c r="SW303" i="1" s="1"/>
  <c r="TF303" i="1" s="1"/>
  <c r="TO303" i="1" s="1"/>
  <c r="TX303" i="1" s="1"/>
  <c r="UG303" i="1" s="1"/>
  <c r="UP303" i="1" s="1"/>
  <c r="UY303" i="1" s="1"/>
  <c r="VH303" i="1" s="1"/>
  <c r="VQ303" i="1" s="1"/>
  <c r="VZ303" i="1" s="1"/>
  <c r="WI303" i="1" s="1"/>
  <c r="WR303" i="1" s="1"/>
  <c r="XA303" i="1" s="1"/>
  <c r="XJ303" i="1" s="1"/>
  <c r="XS303" i="1" s="1"/>
  <c r="YB303" i="1" s="1"/>
  <c r="YK303" i="1" s="1"/>
  <c r="YT303" i="1" s="1"/>
  <c r="ZC303" i="1" s="1"/>
  <c r="ZL303" i="1" s="1"/>
  <c r="ZU303" i="1" s="1"/>
  <c r="AAD303" i="1" s="1"/>
  <c r="AAM303" i="1" s="1"/>
  <c r="AAV303" i="1" s="1"/>
  <c r="ABE303" i="1" s="1"/>
  <c r="B71" i="18"/>
  <c r="B71" i="17"/>
  <c r="NI273" i="1"/>
  <c r="NR273" i="1"/>
  <c r="OA273" i="1" s="1"/>
  <c r="OJ273" i="1" s="1"/>
  <c r="OS273" i="1" s="1"/>
  <c r="PB273" i="1" s="1"/>
  <c r="PK273" i="1" s="1"/>
  <c r="PT273" i="1" s="1"/>
  <c r="QC273" i="1" s="1"/>
  <c r="QL273" i="1" s="1"/>
  <c r="QU273" i="1" s="1"/>
  <c r="RD273" i="1" s="1"/>
  <c r="RM273" i="1" s="1"/>
  <c r="RV273" i="1" s="1"/>
  <c r="SE273" i="1" s="1"/>
  <c r="SN273" i="1" s="1"/>
  <c r="SW273" i="1" s="1"/>
  <c r="TF273" i="1" s="1"/>
  <c r="TO273" i="1" s="1"/>
  <c r="TX273" i="1" s="1"/>
  <c r="UG273" i="1" s="1"/>
  <c r="UP273" i="1" s="1"/>
  <c r="UY273" i="1" s="1"/>
  <c r="VH273" i="1" s="1"/>
  <c r="VQ273" i="1" s="1"/>
  <c r="VZ273" i="1" s="1"/>
  <c r="WI273" i="1" s="1"/>
  <c r="WR273" i="1" s="1"/>
  <c r="XA273" i="1" s="1"/>
  <c r="XJ273" i="1" s="1"/>
  <c r="XS273" i="1" s="1"/>
  <c r="YB273" i="1" s="1"/>
  <c r="YK273" i="1" s="1"/>
  <c r="YT273" i="1" s="1"/>
  <c r="ZC273" i="1" s="1"/>
  <c r="ZL273" i="1" s="1"/>
  <c r="ZU273" i="1" s="1"/>
  <c r="AAD273" i="1" s="1"/>
  <c r="AAM273" i="1" s="1"/>
  <c r="AAV273" i="1" s="1"/>
  <c r="ABE273" i="1" s="1"/>
  <c r="UC41" i="1"/>
  <c r="BJ8" i="5"/>
  <c r="UU41" i="1"/>
  <c r="BL8" i="5"/>
  <c r="ZH76" i="1"/>
  <c r="ZH77" i="1" s="1"/>
  <c r="ZH78" i="1" s="1"/>
  <c r="ZH79" i="1" s="1"/>
  <c r="ZH80" i="1" s="1"/>
  <c r="ZH81" i="1" s="1"/>
  <c r="ZH82" i="1" s="1"/>
  <c r="ZH83" i="1" s="1"/>
  <c r="ZH84" i="1" s="1"/>
  <c r="ZH85" i="1" s="1"/>
  <c r="ZH86" i="1" s="1"/>
  <c r="ZH87" i="1" s="1"/>
  <c r="ZH88" i="1" s="1"/>
  <c r="ZH89" i="1" s="1"/>
  <c r="ZH90" i="1" s="1"/>
  <c r="ZH91" i="1" s="1"/>
  <c r="ZH92" i="1" s="1"/>
  <c r="ZH93" i="1" s="1"/>
  <c r="ZH94" i="1" s="1"/>
  <c r="ZH95" i="1" s="1"/>
  <c r="ZH96" i="1" s="1"/>
  <c r="ZH97" i="1" s="1"/>
  <c r="ZH98" i="1" s="1"/>
  <c r="ZH99" i="1" s="1"/>
  <c r="ZH100" i="1" s="1"/>
  <c r="ZH101" i="1" s="1"/>
  <c r="ZH102" i="1" s="1"/>
  <c r="ZH103" i="1" s="1"/>
  <c r="ZH104" i="1" s="1"/>
  <c r="ZH105" i="1" s="1"/>
  <c r="ZH106" i="1" s="1"/>
  <c r="ZH107" i="1" s="1"/>
  <c r="BY18" i="5"/>
  <c r="UL41" i="1"/>
  <c r="BK8" i="5"/>
  <c r="VV41" i="1"/>
  <c r="BO8" i="5"/>
  <c r="ZQ75" i="1"/>
  <c r="BZ15" i="5"/>
  <c r="VD41" i="1"/>
  <c r="BM8" i="5"/>
  <c r="TT41" i="1"/>
  <c r="BI8" i="5"/>
  <c r="VM41" i="1"/>
  <c r="BN8" i="5"/>
  <c r="WE41" i="1"/>
  <c r="BP8" i="5"/>
  <c r="YY76" i="1"/>
  <c r="YY77" i="1" s="1"/>
  <c r="YY78" i="1" s="1"/>
  <c r="YY79" i="1" s="1"/>
  <c r="YY80" i="1" s="1"/>
  <c r="YY81" i="1" s="1"/>
  <c r="YY82" i="1" s="1"/>
  <c r="YY83" i="1" s="1"/>
  <c r="YY84" i="1" s="1"/>
  <c r="YY85" i="1" s="1"/>
  <c r="YY86" i="1" s="1"/>
  <c r="YY87" i="1" s="1"/>
  <c r="YY88" i="1" s="1"/>
  <c r="YY89" i="1" s="1"/>
  <c r="YY90" i="1" s="1"/>
  <c r="YY91" i="1" s="1"/>
  <c r="YY92" i="1" s="1"/>
  <c r="YY93" i="1" s="1"/>
  <c r="YY94" i="1" s="1"/>
  <c r="YY95" i="1" s="1"/>
  <c r="YY96" i="1" s="1"/>
  <c r="YY97" i="1" s="1"/>
  <c r="YY98" i="1" s="1"/>
  <c r="YY99" i="1" s="1"/>
  <c r="YY100" i="1" s="1"/>
  <c r="YY101" i="1" s="1"/>
  <c r="YY102" i="1" s="1"/>
  <c r="YY103" i="1" s="1"/>
  <c r="YY104" i="1" s="1"/>
  <c r="YY105" i="1" s="1"/>
  <c r="YY106" i="1" s="1"/>
  <c r="YY107" i="1" s="1"/>
  <c r="BX18" i="5"/>
  <c r="YP75" i="1"/>
  <c r="BW15" i="5"/>
  <c r="YG75" i="1"/>
  <c r="BV15" i="5"/>
  <c r="XX75" i="1"/>
  <c r="BU15" i="5"/>
  <c r="XF41" i="1"/>
  <c r="BS8" i="5"/>
  <c r="WW41" i="1"/>
  <c r="BR8" i="5"/>
  <c r="WN41" i="1"/>
  <c r="BQ8" i="5"/>
  <c r="XO75" i="1"/>
  <c r="BT15" i="5"/>
  <c r="NI423" i="1"/>
  <c r="NR423" i="1"/>
  <c r="OA423" i="1" s="1"/>
  <c r="OJ423" i="1" s="1"/>
  <c r="OS423" i="1" s="1"/>
  <c r="PB423" i="1" s="1"/>
  <c r="PK423" i="1" s="1"/>
  <c r="PT423" i="1" s="1"/>
  <c r="QC423" i="1" s="1"/>
  <c r="QL423" i="1" s="1"/>
  <c r="QU423" i="1" s="1"/>
  <c r="RD423" i="1" s="1"/>
  <c r="RM423" i="1" s="1"/>
  <c r="RV423" i="1" s="1"/>
  <c r="SE423" i="1" s="1"/>
  <c r="SN423" i="1" s="1"/>
  <c r="SW423" i="1" s="1"/>
  <c r="TF423" i="1" s="1"/>
  <c r="TO423" i="1" s="1"/>
  <c r="TX423" i="1" s="1"/>
  <c r="UG423" i="1" s="1"/>
  <c r="UP423" i="1" s="1"/>
  <c r="UY423" i="1" s="1"/>
  <c r="VH423" i="1" s="1"/>
  <c r="VQ423" i="1" s="1"/>
  <c r="VZ423" i="1" s="1"/>
  <c r="WI423" i="1" s="1"/>
  <c r="WR423" i="1" s="1"/>
  <c r="XA423" i="1" s="1"/>
  <c r="XJ423" i="1" s="1"/>
  <c r="XS423" i="1" s="1"/>
  <c r="YB423" i="1" s="1"/>
  <c r="YK423" i="1" s="1"/>
  <c r="YT423" i="1" s="1"/>
  <c r="ZC423" i="1" s="1"/>
  <c r="ZL423" i="1" s="1"/>
  <c r="ZU423" i="1" s="1"/>
  <c r="AAD423" i="1" s="1"/>
  <c r="AAM423" i="1" s="1"/>
  <c r="AAV423" i="1" s="1"/>
  <c r="ABE423" i="1" s="1"/>
  <c r="NI413" i="1"/>
  <c r="NR413" i="1"/>
  <c r="OA413" i="1" s="1"/>
  <c r="OJ413" i="1" s="1"/>
  <c r="OS413" i="1" s="1"/>
  <c r="PB413" i="1" s="1"/>
  <c r="PK413" i="1" s="1"/>
  <c r="PT413" i="1" s="1"/>
  <c r="QC413" i="1" s="1"/>
  <c r="QL413" i="1" s="1"/>
  <c r="QU413" i="1" s="1"/>
  <c r="RD413" i="1" s="1"/>
  <c r="RM413" i="1" s="1"/>
  <c r="RV413" i="1" s="1"/>
  <c r="SE413" i="1" s="1"/>
  <c r="SN413" i="1" s="1"/>
  <c r="SW413" i="1" s="1"/>
  <c r="TF413" i="1" s="1"/>
  <c r="TO413" i="1" s="1"/>
  <c r="TX413" i="1" s="1"/>
  <c r="UG413" i="1" s="1"/>
  <c r="UP413" i="1" s="1"/>
  <c r="UY413" i="1" s="1"/>
  <c r="VH413" i="1" s="1"/>
  <c r="VQ413" i="1" s="1"/>
  <c r="VZ413" i="1" s="1"/>
  <c r="WI413" i="1" s="1"/>
  <c r="WR413" i="1" s="1"/>
  <c r="XA413" i="1" s="1"/>
  <c r="XJ413" i="1" s="1"/>
  <c r="XS413" i="1" s="1"/>
  <c r="YB413" i="1" s="1"/>
  <c r="YK413" i="1" s="1"/>
  <c r="YT413" i="1" s="1"/>
  <c r="ZC413" i="1" s="1"/>
  <c r="ZL413" i="1" s="1"/>
  <c r="ZU413" i="1" s="1"/>
  <c r="AAD413" i="1" s="1"/>
  <c r="AAM413" i="1" s="1"/>
  <c r="AAV413" i="1" s="1"/>
  <c r="ABE413" i="1" s="1"/>
  <c r="NI405" i="1"/>
  <c r="NR405" i="1"/>
  <c r="OA405" i="1" s="1"/>
  <c r="OJ405" i="1" s="1"/>
  <c r="OS405" i="1" s="1"/>
  <c r="PB405" i="1" s="1"/>
  <c r="PK405" i="1" s="1"/>
  <c r="PT405" i="1" s="1"/>
  <c r="QC405" i="1" s="1"/>
  <c r="QL405" i="1" s="1"/>
  <c r="QU405" i="1" s="1"/>
  <c r="RD405" i="1" s="1"/>
  <c r="RM405" i="1" s="1"/>
  <c r="RV405" i="1" s="1"/>
  <c r="SE405" i="1" s="1"/>
  <c r="SN405" i="1" s="1"/>
  <c r="SW405" i="1" s="1"/>
  <c r="TF405" i="1" s="1"/>
  <c r="TO405" i="1" s="1"/>
  <c r="TX405" i="1" s="1"/>
  <c r="UG405" i="1" s="1"/>
  <c r="UP405" i="1" s="1"/>
  <c r="UY405" i="1" s="1"/>
  <c r="VH405" i="1" s="1"/>
  <c r="VQ405" i="1" s="1"/>
  <c r="VZ405" i="1" s="1"/>
  <c r="WI405" i="1" s="1"/>
  <c r="WR405" i="1" s="1"/>
  <c r="XA405" i="1" s="1"/>
  <c r="XJ405" i="1" s="1"/>
  <c r="XS405" i="1" s="1"/>
  <c r="YB405" i="1" s="1"/>
  <c r="YK405" i="1" s="1"/>
  <c r="YT405" i="1" s="1"/>
  <c r="ZC405" i="1" s="1"/>
  <c r="ZL405" i="1" s="1"/>
  <c r="ZU405" i="1" s="1"/>
  <c r="AAD405" i="1" s="1"/>
  <c r="AAM405" i="1" s="1"/>
  <c r="AAV405" i="1" s="1"/>
  <c r="ABE405" i="1" s="1"/>
  <c r="NI409" i="1"/>
  <c r="NR409" i="1"/>
  <c r="OA409" i="1" s="1"/>
  <c r="OJ409" i="1" s="1"/>
  <c r="OS409" i="1" s="1"/>
  <c r="PB409" i="1" s="1"/>
  <c r="PK409" i="1" s="1"/>
  <c r="PT409" i="1" s="1"/>
  <c r="QC409" i="1" s="1"/>
  <c r="QL409" i="1" s="1"/>
  <c r="QU409" i="1" s="1"/>
  <c r="RD409" i="1" s="1"/>
  <c r="RM409" i="1" s="1"/>
  <c r="RV409" i="1" s="1"/>
  <c r="SE409" i="1" s="1"/>
  <c r="SN409" i="1" s="1"/>
  <c r="SW409" i="1" s="1"/>
  <c r="TF409" i="1" s="1"/>
  <c r="TO409" i="1" s="1"/>
  <c r="TX409" i="1" s="1"/>
  <c r="UG409" i="1" s="1"/>
  <c r="UP409" i="1" s="1"/>
  <c r="UY409" i="1" s="1"/>
  <c r="VH409" i="1" s="1"/>
  <c r="VQ409" i="1" s="1"/>
  <c r="VZ409" i="1" s="1"/>
  <c r="WI409" i="1" s="1"/>
  <c r="WR409" i="1" s="1"/>
  <c r="XA409" i="1" s="1"/>
  <c r="XJ409" i="1" s="1"/>
  <c r="XS409" i="1" s="1"/>
  <c r="YB409" i="1" s="1"/>
  <c r="YK409" i="1" s="1"/>
  <c r="YT409" i="1" s="1"/>
  <c r="ZC409" i="1" s="1"/>
  <c r="ZL409" i="1" s="1"/>
  <c r="ZU409" i="1" s="1"/>
  <c r="AAD409" i="1" s="1"/>
  <c r="AAM409" i="1" s="1"/>
  <c r="AAV409" i="1" s="1"/>
  <c r="ABE409" i="1" s="1"/>
  <c r="NI418" i="1"/>
  <c r="NR418" i="1"/>
  <c r="OA418" i="1" s="1"/>
  <c r="OJ418" i="1" s="1"/>
  <c r="OS418" i="1" s="1"/>
  <c r="PB418" i="1" s="1"/>
  <c r="PK418" i="1" s="1"/>
  <c r="PT418" i="1" s="1"/>
  <c r="QC418" i="1" s="1"/>
  <c r="QL418" i="1" s="1"/>
  <c r="QU418" i="1" s="1"/>
  <c r="RD418" i="1" s="1"/>
  <c r="RM418" i="1" s="1"/>
  <c r="RV418" i="1" s="1"/>
  <c r="SE418" i="1" s="1"/>
  <c r="SN418" i="1" s="1"/>
  <c r="SW418" i="1" s="1"/>
  <c r="TF418" i="1" s="1"/>
  <c r="TO418" i="1" s="1"/>
  <c r="TX418" i="1" s="1"/>
  <c r="UG418" i="1" s="1"/>
  <c r="UP418" i="1" s="1"/>
  <c r="UY418" i="1" s="1"/>
  <c r="VH418" i="1" s="1"/>
  <c r="VQ418" i="1" s="1"/>
  <c r="VZ418" i="1" s="1"/>
  <c r="WI418" i="1" s="1"/>
  <c r="WR418" i="1" s="1"/>
  <c r="XA418" i="1" s="1"/>
  <c r="XJ418" i="1" s="1"/>
  <c r="XS418" i="1" s="1"/>
  <c r="YB418" i="1" s="1"/>
  <c r="YK418" i="1" s="1"/>
  <c r="YT418" i="1" s="1"/>
  <c r="ZC418" i="1" s="1"/>
  <c r="ZL418" i="1" s="1"/>
  <c r="ZU418" i="1" s="1"/>
  <c r="AAD418" i="1" s="1"/>
  <c r="AAM418" i="1" s="1"/>
  <c r="AAV418" i="1" s="1"/>
  <c r="ABE418" i="1" s="1"/>
  <c r="NI401" i="1"/>
  <c r="NR401" i="1"/>
  <c r="OA401" i="1" s="1"/>
  <c r="OJ401" i="1" s="1"/>
  <c r="OS401" i="1" s="1"/>
  <c r="PB401" i="1" s="1"/>
  <c r="PK401" i="1" s="1"/>
  <c r="PT401" i="1" s="1"/>
  <c r="QC401" i="1" s="1"/>
  <c r="QL401" i="1" s="1"/>
  <c r="QU401" i="1" s="1"/>
  <c r="RD401" i="1" s="1"/>
  <c r="RM401" i="1" s="1"/>
  <c r="RV401" i="1" s="1"/>
  <c r="SE401" i="1" s="1"/>
  <c r="SN401" i="1" s="1"/>
  <c r="SW401" i="1" s="1"/>
  <c r="TF401" i="1" s="1"/>
  <c r="TO401" i="1" s="1"/>
  <c r="TX401" i="1" s="1"/>
  <c r="UG401" i="1" s="1"/>
  <c r="UP401" i="1" s="1"/>
  <c r="UY401" i="1" s="1"/>
  <c r="VH401" i="1" s="1"/>
  <c r="VQ401" i="1" s="1"/>
  <c r="VZ401" i="1" s="1"/>
  <c r="WI401" i="1" s="1"/>
  <c r="WR401" i="1" s="1"/>
  <c r="XA401" i="1" s="1"/>
  <c r="XJ401" i="1" s="1"/>
  <c r="XS401" i="1" s="1"/>
  <c r="YB401" i="1" s="1"/>
  <c r="YK401" i="1" s="1"/>
  <c r="YT401" i="1" s="1"/>
  <c r="ZC401" i="1" s="1"/>
  <c r="ZL401" i="1" s="1"/>
  <c r="ZU401" i="1" s="1"/>
  <c r="AAD401" i="1" s="1"/>
  <c r="AAM401" i="1" s="1"/>
  <c r="AAV401" i="1" s="1"/>
  <c r="ABE401" i="1" s="1"/>
  <c r="NI408" i="1"/>
  <c r="NR408" i="1"/>
  <c r="OA408" i="1" s="1"/>
  <c r="OJ408" i="1" s="1"/>
  <c r="OS408" i="1" s="1"/>
  <c r="PB408" i="1" s="1"/>
  <c r="PK408" i="1" s="1"/>
  <c r="PT408" i="1" s="1"/>
  <c r="QC408" i="1" s="1"/>
  <c r="QL408" i="1" s="1"/>
  <c r="QU408" i="1" s="1"/>
  <c r="RD408" i="1" s="1"/>
  <c r="RM408" i="1" s="1"/>
  <c r="RV408" i="1" s="1"/>
  <c r="SE408" i="1" s="1"/>
  <c r="SN408" i="1" s="1"/>
  <c r="SW408" i="1" s="1"/>
  <c r="TF408" i="1" s="1"/>
  <c r="TO408" i="1" s="1"/>
  <c r="TX408" i="1" s="1"/>
  <c r="UG408" i="1" s="1"/>
  <c r="UP408" i="1" s="1"/>
  <c r="UY408" i="1" s="1"/>
  <c r="VH408" i="1" s="1"/>
  <c r="VQ408" i="1" s="1"/>
  <c r="VZ408" i="1" s="1"/>
  <c r="WI408" i="1" s="1"/>
  <c r="WR408" i="1" s="1"/>
  <c r="XA408" i="1" s="1"/>
  <c r="XJ408" i="1" s="1"/>
  <c r="XS408" i="1" s="1"/>
  <c r="YB408" i="1" s="1"/>
  <c r="YK408" i="1" s="1"/>
  <c r="YT408" i="1" s="1"/>
  <c r="ZC408" i="1" s="1"/>
  <c r="ZL408" i="1" s="1"/>
  <c r="ZU408" i="1" s="1"/>
  <c r="AAD408" i="1" s="1"/>
  <c r="AAM408" i="1" s="1"/>
  <c r="AAV408" i="1" s="1"/>
  <c r="ABE408" i="1" s="1"/>
  <c r="NI402" i="1"/>
  <c r="NR402" i="1"/>
  <c r="OA402" i="1" s="1"/>
  <c r="OJ402" i="1" s="1"/>
  <c r="OS402" i="1" s="1"/>
  <c r="PB402" i="1" s="1"/>
  <c r="PK402" i="1" s="1"/>
  <c r="PT402" i="1" s="1"/>
  <c r="QC402" i="1" s="1"/>
  <c r="QL402" i="1" s="1"/>
  <c r="QU402" i="1" s="1"/>
  <c r="RD402" i="1" s="1"/>
  <c r="RM402" i="1" s="1"/>
  <c r="RV402" i="1" s="1"/>
  <c r="SE402" i="1" s="1"/>
  <c r="SN402" i="1" s="1"/>
  <c r="SW402" i="1" s="1"/>
  <c r="TF402" i="1" s="1"/>
  <c r="TO402" i="1" s="1"/>
  <c r="TX402" i="1" s="1"/>
  <c r="UG402" i="1" s="1"/>
  <c r="UP402" i="1" s="1"/>
  <c r="UY402" i="1" s="1"/>
  <c r="VH402" i="1" s="1"/>
  <c r="VQ402" i="1" s="1"/>
  <c r="VZ402" i="1" s="1"/>
  <c r="WI402" i="1" s="1"/>
  <c r="WR402" i="1" s="1"/>
  <c r="XA402" i="1" s="1"/>
  <c r="XJ402" i="1" s="1"/>
  <c r="XS402" i="1" s="1"/>
  <c r="YB402" i="1" s="1"/>
  <c r="YK402" i="1" s="1"/>
  <c r="YT402" i="1" s="1"/>
  <c r="ZC402" i="1" s="1"/>
  <c r="ZL402" i="1" s="1"/>
  <c r="ZU402" i="1" s="1"/>
  <c r="AAD402" i="1" s="1"/>
  <c r="AAM402" i="1" s="1"/>
  <c r="AAV402" i="1" s="1"/>
  <c r="ABE402" i="1" s="1"/>
  <c r="NI426" i="1"/>
  <c r="NR426" i="1"/>
  <c r="OA426" i="1" s="1"/>
  <c r="OJ426" i="1" s="1"/>
  <c r="OS426" i="1" s="1"/>
  <c r="PB426" i="1" s="1"/>
  <c r="PK426" i="1" s="1"/>
  <c r="PT426" i="1" s="1"/>
  <c r="QC426" i="1" s="1"/>
  <c r="QL426" i="1" s="1"/>
  <c r="QU426" i="1" s="1"/>
  <c r="RD426" i="1" s="1"/>
  <c r="RM426" i="1" s="1"/>
  <c r="RV426" i="1" s="1"/>
  <c r="SE426" i="1" s="1"/>
  <c r="SN426" i="1" s="1"/>
  <c r="SW426" i="1" s="1"/>
  <c r="TF426" i="1" s="1"/>
  <c r="TO426" i="1" s="1"/>
  <c r="TX426" i="1" s="1"/>
  <c r="UG426" i="1" s="1"/>
  <c r="UP426" i="1" s="1"/>
  <c r="UY426" i="1" s="1"/>
  <c r="VH426" i="1" s="1"/>
  <c r="VQ426" i="1" s="1"/>
  <c r="VZ426" i="1" s="1"/>
  <c r="WI426" i="1" s="1"/>
  <c r="WR426" i="1" s="1"/>
  <c r="XA426" i="1" s="1"/>
  <c r="XJ426" i="1" s="1"/>
  <c r="XS426" i="1" s="1"/>
  <c r="YB426" i="1" s="1"/>
  <c r="YK426" i="1" s="1"/>
  <c r="YT426" i="1" s="1"/>
  <c r="ZC426" i="1" s="1"/>
  <c r="ZL426" i="1" s="1"/>
  <c r="ZU426" i="1" s="1"/>
  <c r="AAD426" i="1" s="1"/>
  <c r="AAM426" i="1" s="1"/>
  <c r="AAV426" i="1" s="1"/>
  <c r="ABE426" i="1" s="1"/>
  <c r="NI416" i="1"/>
  <c r="NR416" i="1"/>
  <c r="OA416" i="1" s="1"/>
  <c r="OJ416" i="1" s="1"/>
  <c r="OS416" i="1" s="1"/>
  <c r="PB416" i="1" s="1"/>
  <c r="PK416" i="1" s="1"/>
  <c r="PT416" i="1" s="1"/>
  <c r="QC416" i="1" s="1"/>
  <c r="QL416" i="1" s="1"/>
  <c r="QU416" i="1" s="1"/>
  <c r="RD416" i="1" s="1"/>
  <c r="RM416" i="1" s="1"/>
  <c r="RV416" i="1" s="1"/>
  <c r="SE416" i="1" s="1"/>
  <c r="SN416" i="1" s="1"/>
  <c r="SW416" i="1" s="1"/>
  <c r="TF416" i="1" s="1"/>
  <c r="TO416" i="1" s="1"/>
  <c r="TX416" i="1" s="1"/>
  <c r="UG416" i="1" s="1"/>
  <c r="UP416" i="1" s="1"/>
  <c r="UY416" i="1" s="1"/>
  <c r="VH416" i="1" s="1"/>
  <c r="VQ416" i="1" s="1"/>
  <c r="VZ416" i="1" s="1"/>
  <c r="WI416" i="1" s="1"/>
  <c r="WR416" i="1" s="1"/>
  <c r="XA416" i="1" s="1"/>
  <c r="XJ416" i="1" s="1"/>
  <c r="XS416" i="1" s="1"/>
  <c r="YB416" i="1" s="1"/>
  <c r="YK416" i="1" s="1"/>
  <c r="YT416" i="1" s="1"/>
  <c r="ZC416" i="1" s="1"/>
  <c r="ZL416" i="1" s="1"/>
  <c r="ZU416" i="1" s="1"/>
  <c r="AAD416" i="1" s="1"/>
  <c r="AAM416" i="1" s="1"/>
  <c r="AAV416" i="1" s="1"/>
  <c r="ABE416" i="1" s="1"/>
  <c r="NI412" i="1"/>
  <c r="NR412" i="1"/>
  <c r="OA412" i="1" s="1"/>
  <c r="OJ412" i="1" s="1"/>
  <c r="OS412" i="1" s="1"/>
  <c r="PB412" i="1" s="1"/>
  <c r="PK412" i="1" s="1"/>
  <c r="PT412" i="1" s="1"/>
  <c r="QC412" i="1" s="1"/>
  <c r="QL412" i="1" s="1"/>
  <c r="QU412" i="1" s="1"/>
  <c r="RD412" i="1" s="1"/>
  <c r="RM412" i="1" s="1"/>
  <c r="RV412" i="1" s="1"/>
  <c r="SE412" i="1" s="1"/>
  <c r="SN412" i="1" s="1"/>
  <c r="SW412" i="1" s="1"/>
  <c r="TF412" i="1" s="1"/>
  <c r="TO412" i="1" s="1"/>
  <c r="TX412" i="1" s="1"/>
  <c r="UG412" i="1" s="1"/>
  <c r="UP412" i="1" s="1"/>
  <c r="UY412" i="1" s="1"/>
  <c r="VH412" i="1" s="1"/>
  <c r="VQ412" i="1" s="1"/>
  <c r="VZ412" i="1" s="1"/>
  <c r="WI412" i="1" s="1"/>
  <c r="WR412" i="1" s="1"/>
  <c r="XA412" i="1" s="1"/>
  <c r="XJ412" i="1" s="1"/>
  <c r="XS412" i="1" s="1"/>
  <c r="YB412" i="1" s="1"/>
  <c r="YK412" i="1" s="1"/>
  <c r="YT412" i="1" s="1"/>
  <c r="ZC412" i="1" s="1"/>
  <c r="ZL412" i="1" s="1"/>
  <c r="ZU412" i="1" s="1"/>
  <c r="AAD412" i="1" s="1"/>
  <c r="AAM412" i="1" s="1"/>
  <c r="AAV412" i="1" s="1"/>
  <c r="ABE412" i="1" s="1"/>
  <c r="NI419" i="1"/>
  <c r="NR419" i="1"/>
  <c r="OA419" i="1" s="1"/>
  <c r="OJ419" i="1" s="1"/>
  <c r="OS419" i="1" s="1"/>
  <c r="PB419" i="1" s="1"/>
  <c r="PK419" i="1" s="1"/>
  <c r="PT419" i="1" s="1"/>
  <c r="QC419" i="1" s="1"/>
  <c r="QL419" i="1" s="1"/>
  <c r="QU419" i="1" s="1"/>
  <c r="RD419" i="1" s="1"/>
  <c r="RM419" i="1" s="1"/>
  <c r="RV419" i="1" s="1"/>
  <c r="SE419" i="1" s="1"/>
  <c r="SN419" i="1" s="1"/>
  <c r="SW419" i="1" s="1"/>
  <c r="TF419" i="1" s="1"/>
  <c r="TO419" i="1" s="1"/>
  <c r="TX419" i="1" s="1"/>
  <c r="UG419" i="1" s="1"/>
  <c r="UP419" i="1" s="1"/>
  <c r="UY419" i="1" s="1"/>
  <c r="VH419" i="1" s="1"/>
  <c r="VQ419" i="1" s="1"/>
  <c r="VZ419" i="1" s="1"/>
  <c r="WI419" i="1" s="1"/>
  <c r="WR419" i="1" s="1"/>
  <c r="XA419" i="1" s="1"/>
  <c r="XJ419" i="1" s="1"/>
  <c r="XS419" i="1" s="1"/>
  <c r="YB419" i="1" s="1"/>
  <c r="YK419" i="1" s="1"/>
  <c r="YT419" i="1" s="1"/>
  <c r="ZC419" i="1" s="1"/>
  <c r="ZL419" i="1" s="1"/>
  <c r="ZU419" i="1" s="1"/>
  <c r="AAD419" i="1" s="1"/>
  <c r="AAM419" i="1" s="1"/>
  <c r="AAV419" i="1" s="1"/>
  <c r="ABE419" i="1" s="1"/>
  <c r="NI403" i="1"/>
  <c r="NR403" i="1"/>
  <c r="OA403" i="1" s="1"/>
  <c r="OJ403" i="1" s="1"/>
  <c r="OS403" i="1" s="1"/>
  <c r="PB403" i="1" s="1"/>
  <c r="PK403" i="1" s="1"/>
  <c r="PT403" i="1" s="1"/>
  <c r="QC403" i="1" s="1"/>
  <c r="QL403" i="1" s="1"/>
  <c r="QU403" i="1" s="1"/>
  <c r="RD403" i="1" s="1"/>
  <c r="RM403" i="1" s="1"/>
  <c r="RV403" i="1" s="1"/>
  <c r="SE403" i="1" s="1"/>
  <c r="SN403" i="1" s="1"/>
  <c r="SW403" i="1" s="1"/>
  <c r="TF403" i="1" s="1"/>
  <c r="TO403" i="1" s="1"/>
  <c r="TX403" i="1" s="1"/>
  <c r="UG403" i="1" s="1"/>
  <c r="UP403" i="1" s="1"/>
  <c r="UY403" i="1" s="1"/>
  <c r="VH403" i="1" s="1"/>
  <c r="VQ403" i="1" s="1"/>
  <c r="VZ403" i="1" s="1"/>
  <c r="WI403" i="1" s="1"/>
  <c r="WR403" i="1" s="1"/>
  <c r="XA403" i="1" s="1"/>
  <c r="XJ403" i="1" s="1"/>
  <c r="XS403" i="1" s="1"/>
  <c r="YB403" i="1" s="1"/>
  <c r="YK403" i="1" s="1"/>
  <c r="YT403" i="1" s="1"/>
  <c r="ZC403" i="1" s="1"/>
  <c r="ZL403" i="1" s="1"/>
  <c r="ZU403" i="1" s="1"/>
  <c r="AAD403" i="1" s="1"/>
  <c r="AAM403" i="1" s="1"/>
  <c r="AAV403" i="1" s="1"/>
  <c r="ABE403" i="1" s="1"/>
  <c r="NI417" i="1"/>
  <c r="NR417" i="1"/>
  <c r="OA417" i="1" s="1"/>
  <c r="OJ417" i="1" s="1"/>
  <c r="OS417" i="1" s="1"/>
  <c r="PB417" i="1" s="1"/>
  <c r="PK417" i="1" s="1"/>
  <c r="PT417" i="1" s="1"/>
  <c r="QC417" i="1" s="1"/>
  <c r="QL417" i="1" s="1"/>
  <c r="QU417" i="1" s="1"/>
  <c r="RD417" i="1" s="1"/>
  <c r="RM417" i="1" s="1"/>
  <c r="RV417" i="1" s="1"/>
  <c r="SE417" i="1" s="1"/>
  <c r="SN417" i="1" s="1"/>
  <c r="SW417" i="1" s="1"/>
  <c r="TF417" i="1" s="1"/>
  <c r="TO417" i="1" s="1"/>
  <c r="TX417" i="1" s="1"/>
  <c r="UG417" i="1" s="1"/>
  <c r="UP417" i="1" s="1"/>
  <c r="UY417" i="1" s="1"/>
  <c r="VH417" i="1" s="1"/>
  <c r="VQ417" i="1" s="1"/>
  <c r="VZ417" i="1" s="1"/>
  <c r="WI417" i="1" s="1"/>
  <c r="WR417" i="1" s="1"/>
  <c r="XA417" i="1" s="1"/>
  <c r="XJ417" i="1" s="1"/>
  <c r="XS417" i="1" s="1"/>
  <c r="YB417" i="1" s="1"/>
  <c r="YK417" i="1" s="1"/>
  <c r="YT417" i="1" s="1"/>
  <c r="ZC417" i="1" s="1"/>
  <c r="ZL417" i="1" s="1"/>
  <c r="ZU417" i="1" s="1"/>
  <c r="AAD417" i="1" s="1"/>
  <c r="AAM417" i="1" s="1"/>
  <c r="AAV417" i="1" s="1"/>
  <c r="ABE417" i="1" s="1"/>
  <c r="NI420" i="1"/>
  <c r="NR420" i="1"/>
  <c r="OA420" i="1" s="1"/>
  <c r="OJ420" i="1" s="1"/>
  <c r="OS420" i="1" s="1"/>
  <c r="PB420" i="1" s="1"/>
  <c r="PK420" i="1" s="1"/>
  <c r="PT420" i="1" s="1"/>
  <c r="QC420" i="1" s="1"/>
  <c r="QL420" i="1" s="1"/>
  <c r="QU420" i="1" s="1"/>
  <c r="RD420" i="1" s="1"/>
  <c r="RM420" i="1" s="1"/>
  <c r="RV420" i="1" s="1"/>
  <c r="SE420" i="1" s="1"/>
  <c r="SN420" i="1" s="1"/>
  <c r="SW420" i="1" s="1"/>
  <c r="TF420" i="1" s="1"/>
  <c r="TO420" i="1" s="1"/>
  <c r="TX420" i="1" s="1"/>
  <c r="UG420" i="1" s="1"/>
  <c r="UP420" i="1" s="1"/>
  <c r="UY420" i="1" s="1"/>
  <c r="VH420" i="1" s="1"/>
  <c r="VQ420" i="1" s="1"/>
  <c r="VZ420" i="1" s="1"/>
  <c r="WI420" i="1" s="1"/>
  <c r="WR420" i="1" s="1"/>
  <c r="XA420" i="1" s="1"/>
  <c r="XJ420" i="1" s="1"/>
  <c r="XS420" i="1" s="1"/>
  <c r="YB420" i="1" s="1"/>
  <c r="YK420" i="1" s="1"/>
  <c r="YT420" i="1" s="1"/>
  <c r="ZC420" i="1" s="1"/>
  <c r="ZL420" i="1" s="1"/>
  <c r="ZU420" i="1" s="1"/>
  <c r="AAD420" i="1" s="1"/>
  <c r="AAM420" i="1" s="1"/>
  <c r="AAV420" i="1" s="1"/>
  <c r="ABE420" i="1" s="1"/>
  <c r="NI399" i="1"/>
  <c r="NR399" i="1"/>
  <c r="OA399" i="1" s="1"/>
  <c r="OJ399" i="1" s="1"/>
  <c r="OS399" i="1" s="1"/>
  <c r="PB399" i="1" s="1"/>
  <c r="PK399" i="1" s="1"/>
  <c r="PT399" i="1" s="1"/>
  <c r="QC399" i="1" s="1"/>
  <c r="QL399" i="1" s="1"/>
  <c r="QU399" i="1" s="1"/>
  <c r="RD399" i="1" s="1"/>
  <c r="RM399" i="1" s="1"/>
  <c r="RV399" i="1" s="1"/>
  <c r="SE399" i="1" s="1"/>
  <c r="SN399" i="1" s="1"/>
  <c r="SW399" i="1" s="1"/>
  <c r="TF399" i="1" s="1"/>
  <c r="TO399" i="1" s="1"/>
  <c r="TX399" i="1" s="1"/>
  <c r="UG399" i="1" s="1"/>
  <c r="UP399" i="1" s="1"/>
  <c r="UY399" i="1" s="1"/>
  <c r="VH399" i="1" s="1"/>
  <c r="VQ399" i="1" s="1"/>
  <c r="VZ399" i="1" s="1"/>
  <c r="WI399" i="1" s="1"/>
  <c r="WR399" i="1" s="1"/>
  <c r="XA399" i="1" s="1"/>
  <c r="XJ399" i="1" s="1"/>
  <c r="XS399" i="1" s="1"/>
  <c r="YB399" i="1" s="1"/>
  <c r="YK399" i="1" s="1"/>
  <c r="YT399" i="1" s="1"/>
  <c r="ZC399" i="1" s="1"/>
  <c r="ZL399" i="1" s="1"/>
  <c r="ZU399" i="1" s="1"/>
  <c r="AAD399" i="1" s="1"/>
  <c r="AAM399" i="1" s="1"/>
  <c r="AAV399" i="1" s="1"/>
  <c r="ABE399" i="1" s="1"/>
  <c r="NI411" i="1"/>
  <c r="NR411" i="1"/>
  <c r="OA411" i="1" s="1"/>
  <c r="OJ411" i="1" s="1"/>
  <c r="OS411" i="1" s="1"/>
  <c r="PB411" i="1" s="1"/>
  <c r="PK411" i="1" s="1"/>
  <c r="PT411" i="1" s="1"/>
  <c r="QC411" i="1" s="1"/>
  <c r="QL411" i="1" s="1"/>
  <c r="QU411" i="1" s="1"/>
  <c r="RD411" i="1" s="1"/>
  <c r="RM411" i="1" s="1"/>
  <c r="RV411" i="1" s="1"/>
  <c r="SE411" i="1" s="1"/>
  <c r="SN411" i="1" s="1"/>
  <c r="SW411" i="1" s="1"/>
  <c r="TF411" i="1" s="1"/>
  <c r="TO411" i="1" s="1"/>
  <c r="TX411" i="1" s="1"/>
  <c r="UG411" i="1" s="1"/>
  <c r="UP411" i="1" s="1"/>
  <c r="UY411" i="1" s="1"/>
  <c r="VH411" i="1" s="1"/>
  <c r="VQ411" i="1" s="1"/>
  <c r="VZ411" i="1" s="1"/>
  <c r="WI411" i="1" s="1"/>
  <c r="WR411" i="1" s="1"/>
  <c r="XA411" i="1" s="1"/>
  <c r="XJ411" i="1" s="1"/>
  <c r="XS411" i="1" s="1"/>
  <c r="YB411" i="1" s="1"/>
  <c r="YK411" i="1" s="1"/>
  <c r="YT411" i="1" s="1"/>
  <c r="ZC411" i="1" s="1"/>
  <c r="ZL411" i="1" s="1"/>
  <c r="ZU411" i="1" s="1"/>
  <c r="AAD411" i="1" s="1"/>
  <c r="AAM411" i="1" s="1"/>
  <c r="AAV411" i="1" s="1"/>
  <c r="ABE411" i="1" s="1"/>
  <c r="NI422" i="1"/>
  <c r="NR422" i="1"/>
  <c r="OA422" i="1" s="1"/>
  <c r="OJ422" i="1" s="1"/>
  <c r="OS422" i="1" s="1"/>
  <c r="PB422" i="1" s="1"/>
  <c r="PK422" i="1" s="1"/>
  <c r="PT422" i="1" s="1"/>
  <c r="QC422" i="1" s="1"/>
  <c r="QL422" i="1" s="1"/>
  <c r="QU422" i="1" s="1"/>
  <c r="RD422" i="1" s="1"/>
  <c r="RM422" i="1" s="1"/>
  <c r="RV422" i="1" s="1"/>
  <c r="SE422" i="1" s="1"/>
  <c r="SN422" i="1" s="1"/>
  <c r="SW422" i="1" s="1"/>
  <c r="TF422" i="1" s="1"/>
  <c r="TO422" i="1" s="1"/>
  <c r="TX422" i="1" s="1"/>
  <c r="UG422" i="1" s="1"/>
  <c r="UP422" i="1" s="1"/>
  <c r="UY422" i="1" s="1"/>
  <c r="VH422" i="1" s="1"/>
  <c r="VQ422" i="1" s="1"/>
  <c r="VZ422" i="1" s="1"/>
  <c r="WI422" i="1" s="1"/>
  <c r="WR422" i="1" s="1"/>
  <c r="XA422" i="1" s="1"/>
  <c r="XJ422" i="1" s="1"/>
  <c r="XS422" i="1" s="1"/>
  <c r="YB422" i="1" s="1"/>
  <c r="YK422" i="1" s="1"/>
  <c r="YT422" i="1" s="1"/>
  <c r="ZC422" i="1" s="1"/>
  <c r="ZL422" i="1" s="1"/>
  <c r="ZU422" i="1" s="1"/>
  <c r="AAD422" i="1" s="1"/>
  <c r="AAM422" i="1" s="1"/>
  <c r="AAV422" i="1" s="1"/>
  <c r="ABE422" i="1" s="1"/>
  <c r="NI398" i="1"/>
  <c r="NR398" i="1"/>
  <c r="OA398" i="1" s="1"/>
  <c r="OJ398" i="1" s="1"/>
  <c r="OS398" i="1" s="1"/>
  <c r="PB398" i="1" s="1"/>
  <c r="PK398" i="1" s="1"/>
  <c r="PT398" i="1" s="1"/>
  <c r="QC398" i="1" s="1"/>
  <c r="QL398" i="1" s="1"/>
  <c r="QU398" i="1" s="1"/>
  <c r="RD398" i="1" s="1"/>
  <c r="RM398" i="1" s="1"/>
  <c r="RV398" i="1" s="1"/>
  <c r="SE398" i="1" s="1"/>
  <c r="SN398" i="1" s="1"/>
  <c r="SW398" i="1" s="1"/>
  <c r="TF398" i="1" s="1"/>
  <c r="TO398" i="1" s="1"/>
  <c r="TX398" i="1" s="1"/>
  <c r="UG398" i="1" s="1"/>
  <c r="UP398" i="1" s="1"/>
  <c r="UY398" i="1" s="1"/>
  <c r="VH398" i="1" s="1"/>
  <c r="VQ398" i="1" s="1"/>
  <c r="VZ398" i="1" s="1"/>
  <c r="WI398" i="1" s="1"/>
  <c r="WR398" i="1" s="1"/>
  <c r="XA398" i="1" s="1"/>
  <c r="XJ398" i="1" s="1"/>
  <c r="XS398" i="1" s="1"/>
  <c r="YB398" i="1" s="1"/>
  <c r="YK398" i="1" s="1"/>
  <c r="YT398" i="1" s="1"/>
  <c r="ZC398" i="1" s="1"/>
  <c r="ZL398" i="1" s="1"/>
  <c r="ZU398" i="1" s="1"/>
  <c r="AAD398" i="1" s="1"/>
  <c r="AAM398" i="1" s="1"/>
  <c r="AAV398" i="1" s="1"/>
  <c r="ABE398" i="1" s="1"/>
  <c r="NI406" i="1"/>
  <c r="NR406" i="1"/>
  <c r="OA406" i="1" s="1"/>
  <c r="OJ406" i="1" s="1"/>
  <c r="OS406" i="1" s="1"/>
  <c r="PB406" i="1" s="1"/>
  <c r="PK406" i="1" s="1"/>
  <c r="PT406" i="1" s="1"/>
  <c r="QC406" i="1" s="1"/>
  <c r="QL406" i="1" s="1"/>
  <c r="QU406" i="1" s="1"/>
  <c r="RD406" i="1" s="1"/>
  <c r="RM406" i="1" s="1"/>
  <c r="RV406" i="1" s="1"/>
  <c r="SE406" i="1" s="1"/>
  <c r="SN406" i="1" s="1"/>
  <c r="SW406" i="1" s="1"/>
  <c r="TF406" i="1" s="1"/>
  <c r="TO406" i="1" s="1"/>
  <c r="TX406" i="1" s="1"/>
  <c r="UG406" i="1" s="1"/>
  <c r="UP406" i="1" s="1"/>
  <c r="UY406" i="1" s="1"/>
  <c r="VH406" i="1" s="1"/>
  <c r="VQ406" i="1" s="1"/>
  <c r="VZ406" i="1" s="1"/>
  <c r="WI406" i="1" s="1"/>
  <c r="WR406" i="1" s="1"/>
  <c r="XA406" i="1" s="1"/>
  <c r="XJ406" i="1" s="1"/>
  <c r="XS406" i="1" s="1"/>
  <c r="YB406" i="1" s="1"/>
  <c r="YK406" i="1" s="1"/>
  <c r="YT406" i="1" s="1"/>
  <c r="ZC406" i="1" s="1"/>
  <c r="ZL406" i="1" s="1"/>
  <c r="ZU406" i="1" s="1"/>
  <c r="AAD406" i="1" s="1"/>
  <c r="AAM406" i="1" s="1"/>
  <c r="AAV406" i="1" s="1"/>
  <c r="ABE406" i="1" s="1"/>
  <c r="NI421" i="1"/>
  <c r="NR421" i="1"/>
  <c r="OA421" i="1" s="1"/>
  <c r="OJ421" i="1" s="1"/>
  <c r="OS421" i="1" s="1"/>
  <c r="PB421" i="1" s="1"/>
  <c r="PK421" i="1" s="1"/>
  <c r="PT421" i="1" s="1"/>
  <c r="QC421" i="1" s="1"/>
  <c r="QL421" i="1" s="1"/>
  <c r="QU421" i="1" s="1"/>
  <c r="RD421" i="1" s="1"/>
  <c r="RM421" i="1" s="1"/>
  <c r="RV421" i="1" s="1"/>
  <c r="SE421" i="1" s="1"/>
  <c r="SN421" i="1" s="1"/>
  <c r="SW421" i="1" s="1"/>
  <c r="TF421" i="1" s="1"/>
  <c r="TO421" i="1" s="1"/>
  <c r="TX421" i="1" s="1"/>
  <c r="UG421" i="1" s="1"/>
  <c r="UP421" i="1" s="1"/>
  <c r="UY421" i="1" s="1"/>
  <c r="VH421" i="1" s="1"/>
  <c r="VQ421" i="1" s="1"/>
  <c r="VZ421" i="1" s="1"/>
  <c r="WI421" i="1" s="1"/>
  <c r="WR421" i="1" s="1"/>
  <c r="XA421" i="1" s="1"/>
  <c r="XJ421" i="1" s="1"/>
  <c r="XS421" i="1" s="1"/>
  <c r="YB421" i="1" s="1"/>
  <c r="YK421" i="1" s="1"/>
  <c r="YT421" i="1" s="1"/>
  <c r="ZC421" i="1" s="1"/>
  <c r="ZL421" i="1" s="1"/>
  <c r="ZU421" i="1" s="1"/>
  <c r="AAD421" i="1" s="1"/>
  <c r="AAM421" i="1" s="1"/>
  <c r="AAV421" i="1" s="1"/>
  <c r="ABE421" i="1" s="1"/>
  <c r="NI404" i="1"/>
  <c r="NR404" i="1"/>
  <c r="OA404" i="1" s="1"/>
  <c r="OJ404" i="1" s="1"/>
  <c r="OS404" i="1" s="1"/>
  <c r="PB404" i="1" s="1"/>
  <c r="PK404" i="1" s="1"/>
  <c r="PT404" i="1" s="1"/>
  <c r="QC404" i="1" s="1"/>
  <c r="QL404" i="1" s="1"/>
  <c r="QU404" i="1" s="1"/>
  <c r="RD404" i="1" s="1"/>
  <c r="RM404" i="1" s="1"/>
  <c r="RV404" i="1" s="1"/>
  <c r="SE404" i="1" s="1"/>
  <c r="SN404" i="1" s="1"/>
  <c r="SW404" i="1" s="1"/>
  <c r="TF404" i="1" s="1"/>
  <c r="TO404" i="1" s="1"/>
  <c r="TX404" i="1" s="1"/>
  <c r="UG404" i="1" s="1"/>
  <c r="UP404" i="1" s="1"/>
  <c r="UY404" i="1" s="1"/>
  <c r="VH404" i="1" s="1"/>
  <c r="VQ404" i="1" s="1"/>
  <c r="VZ404" i="1" s="1"/>
  <c r="WI404" i="1" s="1"/>
  <c r="WR404" i="1" s="1"/>
  <c r="XA404" i="1" s="1"/>
  <c r="XJ404" i="1" s="1"/>
  <c r="XS404" i="1" s="1"/>
  <c r="YB404" i="1" s="1"/>
  <c r="YK404" i="1" s="1"/>
  <c r="YT404" i="1" s="1"/>
  <c r="ZC404" i="1" s="1"/>
  <c r="ZL404" i="1" s="1"/>
  <c r="ZU404" i="1" s="1"/>
  <c r="AAD404" i="1" s="1"/>
  <c r="AAM404" i="1" s="1"/>
  <c r="AAV404" i="1" s="1"/>
  <c r="ABE404" i="1" s="1"/>
  <c r="NI424" i="1"/>
  <c r="NR424" i="1"/>
  <c r="OA424" i="1" s="1"/>
  <c r="OJ424" i="1" s="1"/>
  <c r="OS424" i="1" s="1"/>
  <c r="PB424" i="1" s="1"/>
  <c r="PK424" i="1" s="1"/>
  <c r="PT424" i="1" s="1"/>
  <c r="QC424" i="1" s="1"/>
  <c r="QL424" i="1" s="1"/>
  <c r="QU424" i="1" s="1"/>
  <c r="RD424" i="1" s="1"/>
  <c r="RM424" i="1" s="1"/>
  <c r="RV424" i="1" s="1"/>
  <c r="SE424" i="1" s="1"/>
  <c r="SN424" i="1" s="1"/>
  <c r="SW424" i="1" s="1"/>
  <c r="TF424" i="1" s="1"/>
  <c r="TO424" i="1" s="1"/>
  <c r="TX424" i="1" s="1"/>
  <c r="UG424" i="1" s="1"/>
  <c r="UP424" i="1" s="1"/>
  <c r="UY424" i="1" s="1"/>
  <c r="VH424" i="1" s="1"/>
  <c r="VQ424" i="1" s="1"/>
  <c r="VZ424" i="1" s="1"/>
  <c r="WI424" i="1" s="1"/>
  <c r="WR424" i="1" s="1"/>
  <c r="XA424" i="1" s="1"/>
  <c r="XJ424" i="1" s="1"/>
  <c r="XS424" i="1" s="1"/>
  <c r="YB424" i="1" s="1"/>
  <c r="YK424" i="1" s="1"/>
  <c r="YT424" i="1" s="1"/>
  <c r="ZC424" i="1" s="1"/>
  <c r="ZL424" i="1" s="1"/>
  <c r="ZU424" i="1" s="1"/>
  <c r="AAD424" i="1" s="1"/>
  <c r="AAM424" i="1" s="1"/>
  <c r="AAV424" i="1" s="1"/>
  <c r="ABE424" i="1" s="1"/>
  <c r="NI414" i="1"/>
  <c r="NR414" i="1"/>
  <c r="OA414" i="1" s="1"/>
  <c r="OJ414" i="1" s="1"/>
  <c r="OS414" i="1" s="1"/>
  <c r="PB414" i="1" s="1"/>
  <c r="PK414" i="1" s="1"/>
  <c r="PT414" i="1" s="1"/>
  <c r="QC414" i="1" s="1"/>
  <c r="QL414" i="1" s="1"/>
  <c r="QU414" i="1" s="1"/>
  <c r="RD414" i="1" s="1"/>
  <c r="RM414" i="1" s="1"/>
  <c r="RV414" i="1" s="1"/>
  <c r="SE414" i="1" s="1"/>
  <c r="SN414" i="1" s="1"/>
  <c r="SW414" i="1" s="1"/>
  <c r="TF414" i="1" s="1"/>
  <c r="TO414" i="1" s="1"/>
  <c r="TX414" i="1" s="1"/>
  <c r="UG414" i="1" s="1"/>
  <c r="UP414" i="1" s="1"/>
  <c r="UY414" i="1" s="1"/>
  <c r="VH414" i="1" s="1"/>
  <c r="VQ414" i="1" s="1"/>
  <c r="VZ414" i="1" s="1"/>
  <c r="WI414" i="1" s="1"/>
  <c r="WR414" i="1" s="1"/>
  <c r="XA414" i="1" s="1"/>
  <c r="XJ414" i="1" s="1"/>
  <c r="XS414" i="1" s="1"/>
  <c r="YB414" i="1" s="1"/>
  <c r="YK414" i="1" s="1"/>
  <c r="YT414" i="1" s="1"/>
  <c r="ZC414" i="1" s="1"/>
  <c r="ZL414" i="1" s="1"/>
  <c r="ZU414" i="1" s="1"/>
  <c r="AAD414" i="1" s="1"/>
  <c r="AAM414" i="1" s="1"/>
  <c r="AAV414" i="1" s="1"/>
  <c r="ABE414" i="1" s="1"/>
  <c r="NI397" i="1"/>
  <c r="NR397" i="1"/>
  <c r="OA397" i="1" s="1"/>
  <c r="OJ397" i="1" s="1"/>
  <c r="OS397" i="1" s="1"/>
  <c r="PB397" i="1" s="1"/>
  <c r="PK397" i="1" s="1"/>
  <c r="PT397" i="1" s="1"/>
  <c r="QC397" i="1" s="1"/>
  <c r="QL397" i="1" s="1"/>
  <c r="QU397" i="1" s="1"/>
  <c r="RD397" i="1" s="1"/>
  <c r="RM397" i="1" s="1"/>
  <c r="RV397" i="1" s="1"/>
  <c r="SE397" i="1" s="1"/>
  <c r="SN397" i="1" s="1"/>
  <c r="SW397" i="1" s="1"/>
  <c r="TF397" i="1" s="1"/>
  <c r="TO397" i="1" s="1"/>
  <c r="TX397" i="1" s="1"/>
  <c r="UG397" i="1" s="1"/>
  <c r="UP397" i="1" s="1"/>
  <c r="UY397" i="1" s="1"/>
  <c r="VH397" i="1" s="1"/>
  <c r="VQ397" i="1" s="1"/>
  <c r="VZ397" i="1" s="1"/>
  <c r="WI397" i="1" s="1"/>
  <c r="WR397" i="1" s="1"/>
  <c r="XA397" i="1" s="1"/>
  <c r="XJ397" i="1" s="1"/>
  <c r="XS397" i="1" s="1"/>
  <c r="YB397" i="1" s="1"/>
  <c r="YK397" i="1" s="1"/>
  <c r="YT397" i="1" s="1"/>
  <c r="ZC397" i="1" s="1"/>
  <c r="ZL397" i="1" s="1"/>
  <c r="ZU397" i="1" s="1"/>
  <c r="AAD397" i="1" s="1"/>
  <c r="AAM397" i="1" s="1"/>
  <c r="AAV397" i="1" s="1"/>
  <c r="ABE397" i="1" s="1"/>
  <c r="NR400" i="1"/>
  <c r="OA400" i="1" s="1"/>
  <c r="OJ400" i="1" s="1"/>
  <c r="OS400" i="1" s="1"/>
  <c r="PB400" i="1" s="1"/>
  <c r="PK400" i="1" s="1"/>
  <c r="PT400" i="1" s="1"/>
  <c r="QC400" i="1" s="1"/>
  <c r="QL400" i="1" s="1"/>
  <c r="QU400" i="1" s="1"/>
  <c r="RD400" i="1" s="1"/>
  <c r="RM400" i="1" s="1"/>
  <c r="RV400" i="1" s="1"/>
  <c r="SE400" i="1" s="1"/>
  <c r="SN400" i="1" s="1"/>
  <c r="SW400" i="1" s="1"/>
  <c r="TF400" i="1" s="1"/>
  <c r="TO400" i="1" s="1"/>
  <c r="TX400" i="1" s="1"/>
  <c r="UG400" i="1" s="1"/>
  <c r="UP400" i="1" s="1"/>
  <c r="UY400" i="1" s="1"/>
  <c r="VH400" i="1" s="1"/>
  <c r="VQ400" i="1" s="1"/>
  <c r="VZ400" i="1" s="1"/>
  <c r="WI400" i="1" s="1"/>
  <c r="WR400" i="1" s="1"/>
  <c r="XA400" i="1" s="1"/>
  <c r="XJ400" i="1" s="1"/>
  <c r="XS400" i="1" s="1"/>
  <c r="YB400" i="1" s="1"/>
  <c r="YK400" i="1" s="1"/>
  <c r="YT400" i="1" s="1"/>
  <c r="ZC400" i="1" s="1"/>
  <c r="ZL400" i="1" s="1"/>
  <c r="ZU400" i="1" s="1"/>
  <c r="AAD400" i="1" s="1"/>
  <c r="AAM400" i="1" s="1"/>
  <c r="AAV400" i="1" s="1"/>
  <c r="ABE400" i="1" s="1"/>
  <c r="NI407" i="1"/>
  <c r="NR407" i="1"/>
  <c r="OA407" i="1" s="1"/>
  <c r="OJ407" i="1" s="1"/>
  <c r="OS407" i="1" s="1"/>
  <c r="PB407" i="1" s="1"/>
  <c r="PK407" i="1" s="1"/>
  <c r="PT407" i="1" s="1"/>
  <c r="QC407" i="1" s="1"/>
  <c r="QL407" i="1" s="1"/>
  <c r="QU407" i="1" s="1"/>
  <c r="RD407" i="1" s="1"/>
  <c r="RM407" i="1" s="1"/>
  <c r="RV407" i="1" s="1"/>
  <c r="SE407" i="1" s="1"/>
  <c r="SN407" i="1" s="1"/>
  <c r="SW407" i="1" s="1"/>
  <c r="TF407" i="1" s="1"/>
  <c r="TO407" i="1" s="1"/>
  <c r="TX407" i="1" s="1"/>
  <c r="UG407" i="1" s="1"/>
  <c r="UP407" i="1" s="1"/>
  <c r="UY407" i="1" s="1"/>
  <c r="VH407" i="1" s="1"/>
  <c r="VQ407" i="1" s="1"/>
  <c r="VZ407" i="1" s="1"/>
  <c r="WI407" i="1" s="1"/>
  <c r="WR407" i="1" s="1"/>
  <c r="XA407" i="1" s="1"/>
  <c r="XJ407" i="1" s="1"/>
  <c r="XS407" i="1" s="1"/>
  <c r="YB407" i="1" s="1"/>
  <c r="YK407" i="1" s="1"/>
  <c r="YT407" i="1" s="1"/>
  <c r="ZC407" i="1" s="1"/>
  <c r="ZL407" i="1" s="1"/>
  <c r="ZU407" i="1" s="1"/>
  <c r="AAD407" i="1" s="1"/>
  <c r="AAM407" i="1" s="1"/>
  <c r="AAV407" i="1" s="1"/>
  <c r="ABE407" i="1" s="1"/>
  <c r="NI396" i="1"/>
  <c r="NR396" i="1"/>
  <c r="OA396" i="1" s="1"/>
  <c r="OJ396" i="1" s="1"/>
  <c r="OS396" i="1" s="1"/>
  <c r="PB396" i="1" s="1"/>
  <c r="PK396" i="1" s="1"/>
  <c r="PT396" i="1" s="1"/>
  <c r="QC396" i="1" s="1"/>
  <c r="QL396" i="1" s="1"/>
  <c r="QU396" i="1" s="1"/>
  <c r="RD396" i="1" s="1"/>
  <c r="RM396" i="1" s="1"/>
  <c r="RV396" i="1" s="1"/>
  <c r="SE396" i="1" s="1"/>
  <c r="SN396" i="1" s="1"/>
  <c r="SW396" i="1" s="1"/>
  <c r="TF396" i="1" s="1"/>
  <c r="TO396" i="1" s="1"/>
  <c r="TX396" i="1" s="1"/>
  <c r="UG396" i="1" s="1"/>
  <c r="UP396" i="1" s="1"/>
  <c r="UY396" i="1" s="1"/>
  <c r="VH396" i="1" s="1"/>
  <c r="VQ396" i="1" s="1"/>
  <c r="VZ396" i="1" s="1"/>
  <c r="WI396" i="1" s="1"/>
  <c r="WR396" i="1" s="1"/>
  <c r="XA396" i="1" s="1"/>
  <c r="XJ396" i="1" s="1"/>
  <c r="XS396" i="1" s="1"/>
  <c r="YB396" i="1" s="1"/>
  <c r="YK396" i="1" s="1"/>
  <c r="YT396" i="1" s="1"/>
  <c r="ZC396" i="1" s="1"/>
  <c r="ZL396" i="1" s="1"/>
  <c r="ZU396" i="1" s="1"/>
  <c r="AAD396" i="1" s="1"/>
  <c r="AAM396" i="1" s="1"/>
  <c r="AAV396" i="1" s="1"/>
  <c r="ABE396" i="1" s="1"/>
  <c r="NI383" i="1"/>
  <c r="NR383" i="1"/>
  <c r="OA383" i="1" s="1"/>
  <c r="OJ383" i="1" s="1"/>
  <c r="OS383" i="1" s="1"/>
  <c r="PB383" i="1" s="1"/>
  <c r="PK383" i="1" s="1"/>
  <c r="PT383" i="1" s="1"/>
  <c r="QC383" i="1" s="1"/>
  <c r="QL383" i="1" s="1"/>
  <c r="QU383" i="1" s="1"/>
  <c r="RD383" i="1" s="1"/>
  <c r="RM383" i="1" s="1"/>
  <c r="RV383" i="1" s="1"/>
  <c r="SE383" i="1" s="1"/>
  <c r="SN383" i="1" s="1"/>
  <c r="SW383" i="1" s="1"/>
  <c r="TF383" i="1" s="1"/>
  <c r="TO383" i="1" s="1"/>
  <c r="TX383" i="1" s="1"/>
  <c r="UG383" i="1" s="1"/>
  <c r="UP383" i="1" s="1"/>
  <c r="UY383" i="1" s="1"/>
  <c r="VH383" i="1" s="1"/>
  <c r="VQ383" i="1" s="1"/>
  <c r="VZ383" i="1" s="1"/>
  <c r="WI383" i="1" s="1"/>
  <c r="WR383" i="1" s="1"/>
  <c r="XA383" i="1" s="1"/>
  <c r="XJ383" i="1" s="1"/>
  <c r="XS383" i="1" s="1"/>
  <c r="YB383" i="1" s="1"/>
  <c r="YK383" i="1" s="1"/>
  <c r="YT383" i="1" s="1"/>
  <c r="ZC383" i="1" s="1"/>
  <c r="ZL383" i="1" s="1"/>
  <c r="ZU383" i="1" s="1"/>
  <c r="AAD383" i="1" s="1"/>
  <c r="AAM383" i="1" s="1"/>
  <c r="AAV383" i="1" s="1"/>
  <c r="ABE383" i="1" s="1"/>
  <c r="NI374" i="1"/>
  <c r="NR374" i="1"/>
  <c r="OA374" i="1" s="1"/>
  <c r="OJ374" i="1" s="1"/>
  <c r="OS374" i="1" s="1"/>
  <c r="PB374" i="1" s="1"/>
  <c r="PK374" i="1" s="1"/>
  <c r="PT374" i="1" s="1"/>
  <c r="QC374" i="1" s="1"/>
  <c r="QL374" i="1" s="1"/>
  <c r="QU374" i="1" s="1"/>
  <c r="RD374" i="1" s="1"/>
  <c r="RM374" i="1" s="1"/>
  <c r="RV374" i="1" s="1"/>
  <c r="SE374" i="1" s="1"/>
  <c r="SN374" i="1" s="1"/>
  <c r="SW374" i="1" s="1"/>
  <c r="TF374" i="1" s="1"/>
  <c r="TO374" i="1" s="1"/>
  <c r="TX374" i="1" s="1"/>
  <c r="UG374" i="1" s="1"/>
  <c r="UP374" i="1" s="1"/>
  <c r="UY374" i="1" s="1"/>
  <c r="VH374" i="1" s="1"/>
  <c r="VQ374" i="1" s="1"/>
  <c r="VZ374" i="1" s="1"/>
  <c r="WI374" i="1" s="1"/>
  <c r="WR374" i="1" s="1"/>
  <c r="XA374" i="1" s="1"/>
  <c r="XJ374" i="1" s="1"/>
  <c r="XS374" i="1" s="1"/>
  <c r="YB374" i="1" s="1"/>
  <c r="YK374" i="1" s="1"/>
  <c r="YT374" i="1" s="1"/>
  <c r="ZC374" i="1" s="1"/>
  <c r="ZL374" i="1" s="1"/>
  <c r="ZU374" i="1" s="1"/>
  <c r="AAD374" i="1" s="1"/>
  <c r="AAM374" i="1" s="1"/>
  <c r="AAV374" i="1" s="1"/>
  <c r="ABE374" i="1" s="1"/>
  <c r="NI390" i="1"/>
  <c r="NR390" i="1"/>
  <c r="OA390" i="1" s="1"/>
  <c r="OJ390" i="1" s="1"/>
  <c r="OS390" i="1" s="1"/>
  <c r="PB390" i="1" s="1"/>
  <c r="PK390" i="1" s="1"/>
  <c r="PT390" i="1" s="1"/>
  <c r="QC390" i="1" s="1"/>
  <c r="QL390" i="1" s="1"/>
  <c r="QU390" i="1" s="1"/>
  <c r="RD390" i="1" s="1"/>
  <c r="RM390" i="1" s="1"/>
  <c r="RV390" i="1" s="1"/>
  <c r="SE390" i="1" s="1"/>
  <c r="SN390" i="1" s="1"/>
  <c r="SW390" i="1" s="1"/>
  <c r="TF390" i="1" s="1"/>
  <c r="TO390" i="1" s="1"/>
  <c r="TX390" i="1" s="1"/>
  <c r="UG390" i="1" s="1"/>
  <c r="UP390" i="1" s="1"/>
  <c r="UY390" i="1" s="1"/>
  <c r="VH390" i="1" s="1"/>
  <c r="VQ390" i="1" s="1"/>
  <c r="VZ390" i="1" s="1"/>
  <c r="WI390" i="1" s="1"/>
  <c r="WR390" i="1" s="1"/>
  <c r="XA390" i="1" s="1"/>
  <c r="XJ390" i="1" s="1"/>
  <c r="XS390" i="1" s="1"/>
  <c r="YB390" i="1" s="1"/>
  <c r="YK390" i="1" s="1"/>
  <c r="YT390" i="1" s="1"/>
  <c r="ZC390" i="1" s="1"/>
  <c r="ZL390" i="1" s="1"/>
  <c r="ZU390" i="1" s="1"/>
  <c r="AAD390" i="1" s="1"/>
  <c r="AAM390" i="1" s="1"/>
  <c r="AAV390" i="1" s="1"/>
  <c r="ABE390" i="1" s="1"/>
  <c r="NI371" i="1"/>
  <c r="NR371" i="1"/>
  <c r="OA371" i="1" s="1"/>
  <c r="OJ371" i="1" s="1"/>
  <c r="OS371" i="1" s="1"/>
  <c r="PB371" i="1" s="1"/>
  <c r="PK371" i="1" s="1"/>
  <c r="PT371" i="1" s="1"/>
  <c r="QC371" i="1" s="1"/>
  <c r="QL371" i="1" s="1"/>
  <c r="QU371" i="1" s="1"/>
  <c r="RD371" i="1" s="1"/>
  <c r="RM371" i="1" s="1"/>
  <c r="RV371" i="1" s="1"/>
  <c r="SE371" i="1" s="1"/>
  <c r="SN371" i="1" s="1"/>
  <c r="SW371" i="1" s="1"/>
  <c r="TF371" i="1" s="1"/>
  <c r="TO371" i="1" s="1"/>
  <c r="TX371" i="1" s="1"/>
  <c r="UG371" i="1" s="1"/>
  <c r="UP371" i="1" s="1"/>
  <c r="UY371" i="1" s="1"/>
  <c r="VH371" i="1" s="1"/>
  <c r="VQ371" i="1" s="1"/>
  <c r="VZ371" i="1" s="1"/>
  <c r="WI371" i="1" s="1"/>
  <c r="WR371" i="1" s="1"/>
  <c r="XA371" i="1" s="1"/>
  <c r="XJ371" i="1" s="1"/>
  <c r="XS371" i="1" s="1"/>
  <c r="YB371" i="1" s="1"/>
  <c r="YK371" i="1" s="1"/>
  <c r="YT371" i="1" s="1"/>
  <c r="ZC371" i="1" s="1"/>
  <c r="ZL371" i="1" s="1"/>
  <c r="ZU371" i="1" s="1"/>
  <c r="AAD371" i="1" s="1"/>
  <c r="AAM371" i="1" s="1"/>
  <c r="AAV371" i="1" s="1"/>
  <c r="ABE371" i="1" s="1"/>
  <c r="NI372" i="1"/>
  <c r="NR372" i="1"/>
  <c r="OA372" i="1" s="1"/>
  <c r="OJ372" i="1" s="1"/>
  <c r="OS372" i="1" s="1"/>
  <c r="PB372" i="1" s="1"/>
  <c r="PK372" i="1" s="1"/>
  <c r="PT372" i="1" s="1"/>
  <c r="QC372" i="1" s="1"/>
  <c r="QL372" i="1" s="1"/>
  <c r="QU372" i="1" s="1"/>
  <c r="RD372" i="1" s="1"/>
  <c r="RM372" i="1" s="1"/>
  <c r="RV372" i="1" s="1"/>
  <c r="SE372" i="1" s="1"/>
  <c r="SN372" i="1" s="1"/>
  <c r="SW372" i="1" s="1"/>
  <c r="TF372" i="1" s="1"/>
  <c r="TO372" i="1" s="1"/>
  <c r="TX372" i="1" s="1"/>
  <c r="UG372" i="1" s="1"/>
  <c r="UP372" i="1" s="1"/>
  <c r="UY372" i="1" s="1"/>
  <c r="VH372" i="1" s="1"/>
  <c r="VQ372" i="1" s="1"/>
  <c r="VZ372" i="1" s="1"/>
  <c r="WI372" i="1" s="1"/>
  <c r="WR372" i="1" s="1"/>
  <c r="XA372" i="1" s="1"/>
  <c r="XJ372" i="1" s="1"/>
  <c r="XS372" i="1" s="1"/>
  <c r="YB372" i="1" s="1"/>
  <c r="YK372" i="1" s="1"/>
  <c r="YT372" i="1" s="1"/>
  <c r="ZC372" i="1" s="1"/>
  <c r="ZL372" i="1" s="1"/>
  <c r="ZU372" i="1" s="1"/>
  <c r="AAD372" i="1" s="1"/>
  <c r="AAM372" i="1" s="1"/>
  <c r="AAV372" i="1" s="1"/>
  <c r="ABE372" i="1" s="1"/>
  <c r="NI389" i="1"/>
  <c r="NR389" i="1"/>
  <c r="OA389" i="1" s="1"/>
  <c r="OJ389" i="1" s="1"/>
  <c r="OS389" i="1" s="1"/>
  <c r="PB389" i="1" s="1"/>
  <c r="PK389" i="1" s="1"/>
  <c r="PT389" i="1" s="1"/>
  <c r="QC389" i="1" s="1"/>
  <c r="QL389" i="1" s="1"/>
  <c r="QU389" i="1" s="1"/>
  <c r="RD389" i="1" s="1"/>
  <c r="RM389" i="1" s="1"/>
  <c r="RV389" i="1" s="1"/>
  <c r="SE389" i="1" s="1"/>
  <c r="SN389" i="1" s="1"/>
  <c r="SW389" i="1" s="1"/>
  <c r="TF389" i="1" s="1"/>
  <c r="TO389" i="1" s="1"/>
  <c r="TX389" i="1" s="1"/>
  <c r="UG389" i="1" s="1"/>
  <c r="UP389" i="1" s="1"/>
  <c r="UY389" i="1" s="1"/>
  <c r="VH389" i="1" s="1"/>
  <c r="VQ389" i="1" s="1"/>
  <c r="VZ389" i="1" s="1"/>
  <c r="WI389" i="1" s="1"/>
  <c r="WR389" i="1" s="1"/>
  <c r="XA389" i="1" s="1"/>
  <c r="XJ389" i="1" s="1"/>
  <c r="XS389" i="1" s="1"/>
  <c r="YB389" i="1" s="1"/>
  <c r="YK389" i="1" s="1"/>
  <c r="YT389" i="1" s="1"/>
  <c r="ZC389" i="1" s="1"/>
  <c r="ZL389" i="1" s="1"/>
  <c r="ZU389" i="1" s="1"/>
  <c r="AAD389" i="1" s="1"/>
  <c r="AAM389" i="1" s="1"/>
  <c r="AAV389" i="1" s="1"/>
  <c r="ABE389" i="1" s="1"/>
  <c r="NI380" i="1"/>
  <c r="NR380" i="1"/>
  <c r="OA380" i="1" s="1"/>
  <c r="OJ380" i="1" s="1"/>
  <c r="OS380" i="1" s="1"/>
  <c r="PB380" i="1" s="1"/>
  <c r="PK380" i="1" s="1"/>
  <c r="PT380" i="1" s="1"/>
  <c r="QC380" i="1" s="1"/>
  <c r="QL380" i="1" s="1"/>
  <c r="QU380" i="1" s="1"/>
  <c r="RD380" i="1" s="1"/>
  <c r="RM380" i="1" s="1"/>
  <c r="RV380" i="1" s="1"/>
  <c r="SE380" i="1" s="1"/>
  <c r="SN380" i="1" s="1"/>
  <c r="SW380" i="1" s="1"/>
  <c r="TF380" i="1" s="1"/>
  <c r="TO380" i="1" s="1"/>
  <c r="TX380" i="1" s="1"/>
  <c r="UG380" i="1" s="1"/>
  <c r="UP380" i="1" s="1"/>
  <c r="UY380" i="1" s="1"/>
  <c r="VH380" i="1" s="1"/>
  <c r="VQ380" i="1" s="1"/>
  <c r="VZ380" i="1" s="1"/>
  <c r="WI380" i="1" s="1"/>
  <c r="WR380" i="1" s="1"/>
  <c r="XA380" i="1" s="1"/>
  <c r="XJ380" i="1" s="1"/>
  <c r="XS380" i="1" s="1"/>
  <c r="YB380" i="1" s="1"/>
  <c r="YK380" i="1" s="1"/>
  <c r="YT380" i="1" s="1"/>
  <c r="ZC380" i="1" s="1"/>
  <c r="ZL380" i="1" s="1"/>
  <c r="ZU380" i="1" s="1"/>
  <c r="AAD380" i="1" s="1"/>
  <c r="AAM380" i="1" s="1"/>
  <c r="AAV380" i="1" s="1"/>
  <c r="ABE380" i="1" s="1"/>
  <c r="NI373" i="1"/>
  <c r="NR373" i="1"/>
  <c r="OA373" i="1" s="1"/>
  <c r="OJ373" i="1" s="1"/>
  <c r="OS373" i="1" s="1"/>
  <c r="PB373" i="1" s="1"/>
  <c r="PK373" i="1" s="1"/>
  <c r="PT373" i="1" s="1"/>
  <c r="QC373" i="1" s="1"/>
  <c r="QL373" i="1" s="1"/>
  <c r="QU373" i="1" s="1"/>
  <c r="RD373" i="1" s="1"/>
  <c r="RM373" i="1" s="1"/>
  <c r="RV373" i="1" s="1"/>
  <c r="SE373" i="1" s="1"/>
  <c r="SN373" i="1" s="1"/>
  <c r="SW373" i="1" s="1"/>
  <c r="TF373" i="1" s="1"/>
  <c r="TO373" i="1" s="1"/>
  <c r="TX373" i="1" s="1"/>
  <c r="UG373" i="1" s="1"/>
  <c r="UP373" i="1" s="1"/>
  <c r="UY373" i="1" s="1"/>
  <c r="VH373" i="1" s="1"/>
  <c r="VQ373" i="1" s="1"/>
  <c r="VZ373" i="1" s="1"/>
  <c r="WI373" i="1" s="1"/>
  <c r="WR373" i="1" s="1"/>
  <c r="XA373" i="1" s="1"/>
  <c r="XJ373" i="1" s="1"/>
  <c r="XS373" i="1" s="1"/>
  <c r="YB373" i="1" s="1"/>
  <c r="YK373" i="1" s="1"/>
  <c r="YT373" i="1" s="1"/>
  <c r="ZC373" i="1" s="1"/>
  <c r="ZL373" i="1" s="1"/>
  <c r="ZU373" i="1" s="1"/>
  <c r="AAD373" i="1" s="1"/>
  <c r="AAM373" i="1" s="1"/>
  <c r="AAV373" i="1" s="1"/>
  <c r="ABE373" i="1" s="1"/>
  <c r="NI370" i="1"/>
  <c r="NR370" i="1"/>
  <c r="OA370" i="1" s="1"/>
  <c r="OJ370" i="1" s="1"/>
  <c r="OS370" i="1" s="1"/>
  <c r="PB370" i="1" s="1"/>
  <c r="PK370" i="1" s="1"/>
  <c r="PT370" i="1" s="1"/>
  <c r="QC370" i="1" s="1"/>
  <c r="QL370" i="1" s="1"/>
  <c r="QU370" i="1" s="1"/>
  <c r="RD370" i="1" s="1"/>
  <c r="RM370" i="1" s="1"/>
  <c r="RV370" i="1" s="1"/>
  <c r="SE370" i="1" s="1"/>
  <c r="SN370" i="1" s="1"/>
  <c r="SW370" i="1" s="1"/>
  <c r="TF370" i="1" s="1"/>
  <c r="TO370" i="1" s="1"/>
  <c r="TX370" i="1" s="1"/>
  <c r="UG370" i="1" s="1"/>
  <c r="UP370" i="1" s="1"/>
  <c r="UY370" i="1" s="1"/>
  <c r="VH370" i="1" s="1"/>
  <c r="VQ370" i="1" s="1"/>
  <c r="VZ370" i="1" s="1"/>
  <c r="WI370" i="1" s="1"/>
  <c r="WR370" i="1" s="1"/>
  <c r="XA370" i="1" s="1"/>
  <c r="XJ370" i="1" s="1"/>
  <c r="XS370" i="1" s="1"/>
  <c r="YB370" i="1" s="1"/>
  <c r="YK370" i="1" s="1"/>
  <c r="YT370" i="1" s="1"/>
  <c r="ZC370" i="1" s="1"/>
  <c r="ZL370" i="1" s="1"/>
  <c r="ZU370" i="1" s="1"/>
  <c r="AAD370" i="1" s="1"/>
  <c r="AAM370" i="1" s="1"/>
  <c r="AAV370" i="1" s="1"/>
  <c r="ABE370" i="1" s="1"/>
  <c r="NI382" i="1"/>
  <c r="NR382" i="1"/>
  <c r="OA382" i="1" s="1"/>
  <c r="OJ382" i="1" s="1"/>
  <c r="OS382" i="1" s="1"/>
  <c r="PB382" i="1" s="1"/>
  <c r="PK382" i="1" s="1"/>
  <c r="PT382" i="1" s="1"/>
  <c r="QC382" i="1" s="1"/>
  <c r="QL382" i="1" s="1"/>
  <c r="QU382" i="1" s="1"/>
  <c r="RD382" i="1" s="1"/>
  <c r="RM382" i="1" s="1"/>
  <c r="RV382" i="1" s="1"/>
  <c r="SE382" i="1" s="1"/>
  <c r="SN382" i="1" s="1"/>
  <c r="SW382" i="1" s="1"/>
  <c r="TF382" i="1" s="1"/>
  <c r="TO382" i="1" s="1"/>
  <c r="TX382" i="1" s="1"/>
  <c r="UG382" i="1" s="1"/>
  <c r="UP382" i="1" s="1"/>
  <c r="UY382" i="1" s="1"/>
  <c r="VH382" i="1" s="1"/>
  <c r="VQ382" i="1" s="1"/>
  <c r="VZ382" i="1" s="1"/>
  <c r="WI382" i="1" s="1"/>
  <c r="WR382" i="1" s="1"/>
  <c r="XA382" i="1" s="1"/>
  <c r="XJ382" i="1" s="1"/>
  <c r="XS382" i="1" s="1"/>
  <c r="YB382" i="1" s="1"/>
  <c r="YK382" i="1" s="1"/>
  <c r="YT382" i="1" s="1"/>
  <c r="ZC382" i="1" s="1"/>
  <c r="ZL382" i="1" s="1"/>
  <c r="ZU382" i="1" s="1"/>
  <c r="AAD382" i="1" s="1"/>
  <c r="AAM382" i="1" s="1"/>
  <c r="AAV382" i="1" s="1"/>
  <c r="ABE382" i="1" s="1"/>
  <c r="NI379" i="1"/>
  <c r="NR379" i="1"/>
  <c r="OA379" i="1" s="1"/>
  <c r="OJ379" i="1" s="1"/>
  <c r="OS379" i="1" s="1"/>
  <c r="PB379" i="1" s="1"/>
  <c r="PK379" i="1" s="1"/>
  <c r="PT379" i="1" s="1"/>
  <c r="QC379" i="1" s="1"/>
  <c r="QL379" i="1" s="1"/>
  <c r="QU379" i="1" s="1"/>
  <c r="RD379" i="1" s="1"/>
  <c r="RM379" i="1" s="1"/>
  <c r="RV379" i="1" s="1"/>
  <c r="SE379" i="1" s="1"/>
  <c r="SN379" i="1" s="1"/>
  <c r="SW379" i="1" s="1"/>
  <c r="TF379" i="1" s="1"/>
  <c r="TO379" i="1" s="1"/>
  <c r="TX379" i="1" s="1"/>
  <c r="UG379" i="1" s="1"/>
  <c r="UP379" i="1" s="1"/>
  <c r="UY379" i="1" s="1"/>
  <c r="VH379" i="1" s="1"/>
  <c r="VQ379" i="1" s="1"/>
  <c r="VZ379" i="1" s="1"/>
  <c r="WI379" i="1" s="1"/>
  <c r="WR379" i="1" s="1"/>
  <c r="XA379" i="1" s="1"/>
  <c r="XJ379" i="1" s="1"/>
  <c r="XS379" i="1" s="1"/>
  <c r="YB379" i="1" s="1"/>
  <c r="YK379" i="1" s="1"/>
  <c r="YT379" i="1" s="1"/>
  <c r="ZC379" i="1" s="1"/>
  <c r="ZL379" i="1" s="1"/>
  <c r="ZU379" i="1" s="1"/>
  <c r="AAD379" i="1" s="1"/>
  <c r="AAM379" i="1" s="1"/>
  <c r="AAV379" i="1" s="1"/>
  <c r="ABE379" i="1" s="1"/>
  <c r="NI388" i="1"/>
  <c r="NR388" i="1"/>
  <c r="OA388" i="1" s="1"/>
  <c r="OJ388" i="1" s="1"/>
  <c r="OS388" i="1" s="1"/>
  <c r="PB388" i="1" s="1"/>
  <c r="PK388" i="1" s="1"/>
  <c r="PT388" i="1" s="1"/>
  <c r="QC388" i="1" s="1"/>
  <c r="QL388" i="1" s="1"/>
  <c r="QU388" i="1" s="1"/>
  <c r="RD388" i="1" s="1"/>
  <c r="RM388" i="1" s="1"/>
  <c r="RV388" i="1" s="1"/>
  <c r="SE388" i="1" s="1"/>
  <c r="SN388" i="1" s="1"/>
  <c r="SW388" i="1" s="1"/>
  <c r="TF388" i="1" s="1"/>
  <c r="TO388" i="1" s="1"/>
  <c r="TX388" i="1" s="1"/>
  <c r="UG388" i="1" s="1"/>
  <c r="UP388" i="1" s="1"/>
  <c r="UY388" i="1" s="1"/>
  <c r="VH388" i="1" s="1"/>
  <c r="VQ388" i="1" s="1"/>
  <c r="VZ388" i="1" s="1"/>
  <c r="WI388" i="1" s="1"/>
  <c r="WR388" i="1" s="1"/>
  <c r="XA388" i="1" s="1"/>
  <c r="XJ388" i="1" s="1"/>
  <c r="XS388" i="1" s="1"/>
  <c r="YB388" i="1" s="1"/>
  <c r="YK388" i="1" s="1"/>
  <c r="YT388" i="1" s="1"/>
  <c r="ZC388" i="1" s="1"/>
  <c r="ZL388" i="1" s="1"/>
  <c r="ZU388" i="1" s="1"/>
  <c r="AAD388" i="1" s="1"/>
  <c r="AAM388" i="1" s="1"/>
  <c r="AAV388" i="1" s="1"/>
  <c r="ABE388" i="1" s="1"/>
  <c r="NI369" i="1"/>
  <c r="NR369" i="1"/>
  <c r="OA369" i="1" s="1"/>
  <c r="OJ369" i="1" s="1"/>
  <c r="OS369" i="1" s="1"/>
  <c r="PB369" i="1" s="1"/>
  <c r="PK369" i="1" s="1"/>
  <c r="PT369" i="1" s="1"/>
  <c r="QC369" i="1" s="1"/>
  <c r="QL369" i="1" s="1"/>
  <c r="QU369" i="1" s="1"/>
  <c r="RD369" i="1" s="1"/>
  <c r="RM369" i="1" s="1"/>
  <c r="RV369" i="1" s="1"/>
  <c r="SE369" i="1" s="1"/>
  <c r="SN369" i="1" s="1"/>
  <c r="SW369" i="1" s="1"/>
  <c r="TF369" i="1" s="1"/>
  <c r="TO369" i="1" s="1"/>
  <c r="TX369" i="1" s="1"/>
  <c r="UG369" i="1" s="1"/>
  <c r="UP369" i="1" s="1"/>
  <c r="UY369" i="1" s="1"/>
  <c r="VH369" i="1" s="1"/>
  <c r="VQ369" i="1" s="1"/>
  <c r="VZ369" i="1" s="1"/>
  <c r="WI369" i="1" s="1"/>
  <c r="WR369" i="1" s="1"/>
  <c r="XA369" i="1" s="1"/>
  <c r="XJ369" i="1" s="1"/>
  <c r="XS369" i="1" s="1"/>
  <c r="YB369" i="1" s="1"/>
  <c r="YK369" i="1" s="1"/>
  <c r="YT369" i="1" s="1"/>
  <c r="ZC369" i="1" s="1"/>
  <c r="ZL369" i="1" s="1"/>
  <c r="ZU369" i="1" s="1"/>
  <c r="AAD369" i="1" s="1"/>
  <c r="AAM369" i="1" s="1"/>
  <c r="AAV369" i="1" s="1"/>
  <c r="ABE369" i="1" s="1"/>
  <c r="NI386" i="1"/>
  <c r="NR386" i="1"/>
  <c r="OA386" i="1" s="1"/>
  <c r="OJ386" i="1" s="1"/>
  <c r="OS386" i="1" s="1"/>
  <c r="PB386" i="1" s="1"/>
  <c r="PK386" i="1" s="1"/>
  <c r="PT386" i="1" s="1"/>
  <c r="QC386" i="1" s="1"/>
  <c r="QL386" i="1" s="1"/>
  <c r="QU386" i="1" s="1"/>
  <c r="RD386" i="1" s="1"/>
  <c r="RM386" i="1" s="1"/>
  <c r="RV386" i="1" s="1"/>
  <c r="SE386" i="1" s="1"/>
  <c r="SN386" i="1" s="1"/>
  <c r="SW386" i="1" s="1"/>
  <c r="TF386" i="1" s="1"/>
  <c r="TO386" i="1" s="1"/>
  <c r="TX386" i="1" s="1"/>
  <c r="UG386" i="1" s="1"/>
  <c r="UP386" i="1" s="1"/>
  <c r="UY386" i="1" s="1"/>
  <c r="VH386" i="1" s="1"/>
  <c r="VQ386" i="1" s="1"/>
  <c r="VZ386" i="1" s="1"/>
  <c r="WI386" i="1" s="1"/>
  <c r="WR386" i="1" s="1"/>
  <c r="XA386" i="1" s="1"/>
  <c r="XJ386" i="1" s="1"/>
  <c r="XS386" i="1" s="1"/>
  <c r="YB386" i="1" s="1"/>
  <c r="YK386" i="1" s="1"/>
  <c r="YT386" i="1" s="1"/>
  <c r="ZC386" i="1" s="1"/>
  <c r="ZL386" i="1" s="1"/>
  <c r="ZU386" i="1" s="1"/>
  <c r="AAD386" i="1" s="1"/>
  <c r="AAM386" i="1" s="1"/>
  <c r="AAV386" i="1" s="1"/>
  <c r="ABE386" i="1" s="1"/>
  <c r="NI368" i="1"/>
  <c r="NR368" i="1"/>
  <c r="OA368" i="1" s="1"/>
  <c r="OJ368" i="1" s="1"/>
  <c r="OS368" i="1" s="1"/>
  <c r="PB368" i="1" s="1"/>
  <c r="PK368" i="1" s="1"/>
  <c r="PT368" i="1" s="1"/>
  <c r="QC368" i="1" s="1"/>
  <c r="QL368" i="1" s="1"/>
  <c r="QU368" i="1" s="1"/>
  <c r="RD368" i="1" s="1"/>
  <c r="RM368" i="1" s="1"/>
  <c r="RV368" i="1" s="1"/>
  <c r="SE368" i="1" s="1"/>
  <c r="SN368" i="1" s="1"/>
  <c r="SW368" i="1" s="1"/>
  <c r="TF368" i="1" s="1"/>
  <c r="TO368" i="1" s="1"/>
  <c r="TX368" i="1" s="1"/>
  <c r="UG368" i="1" s="1"/>
  <c r="UP368" i="1" s="1"/>
  <c r="UY368" i="1" s="1"/>
  <c r="VH368" i="1" s="1"/>
  <c r="VQ368" i="1" s="1"/>
  <c r="VZ368" i="1" s="1"/>
  <c r="WI368" i="1" s="1"/>
  <c r="WR368" i="1" s="1"/>
  <c r="XA368" i="1" s="1"/>
  <c r="XJ368" i="1" s="1"/>
  <c r="XS368" i="1" s="1"/>
  <c r="YB368" i="1" s="1"/>
  <c r="YK368" i="1" s="1"/>
  <c r="YT368" i="1" s="1"/>
  <c r="ZC368" i="1" s="1"/>
  <c r="ZL368" i="1" s="1"/>
  <c r="ZU368" i="1" s="1"/>
  <c r="AAD368" i="1" s="1"/>
  <c r="AAM368" i="1" s="1"/>
  <c r="AAV368" i="1" s="1"/>
  <c r="ABE368" i="1" s="1"/>
  <c r="NI381" i="1"/>
  <c r="NR381" i="1"/>
  <c r="OA381" i="1" s="1"/>
  <c r="OJ381" i="1" s="1"/>
  <c r="OS381" i="1" s="1"/>
  <c r="PB381" i="1" s="1"/>
  <c r="PK381" i="1" s="1"/>
  <c r="PT381" i="1" s="1"/>
  <c r="QC381" i="1" s="1"/>
  <c r="QL381" i="1" s="1"/>
  <c r="QU381" i="1" s="1"/>
  <c r="RD381" i="1" s="1"/>
  <c r="RM381" i="1" s="1"/>
  <c r="RV381" i="1" s="1"/>
  <c r="SE381" i="1" s="1"/>
  <c r="SN381" i="1" s="1"/>
  <c r="SW381" i="1" s="1"/>
  <c r="TF381" i="1" s="1"/>
  <c r="TO381" i="1" s="1"/>
  <c r="TX381" i="1" s="1"/>
  <c r="UG381" i="1" s="1"/>
  <c r="UP381" i="1" s="1"/>
  <c r="UY381" i="1" s="1"/>
  <c r="VH381" i="1" s="1"/>
  <c r="VQ381" i="1" s="1"/>
  <c r="VZ381" i="1" s="1"/>
  <c r="WI381" i="1" s="1"/>
  <c r="WR381" i="1" s="1"/>
  <c r="XA381" i="1" s="1"/>
  <c r="XJ381" i="1" s="1"/>
  <c r="XS381" i="1" s="1"/>
  <c r="YB381" i="1" s="1"/>
  <c r="YK381" i="1" s="1"/>
  <c r="YT381" i="1" s="1"/>
  <c r="ZC381" i="1" s="1"/>
  <c r="ZL381" i="1" s="1"/>
  <c r="ZU381" i="1" s="1"/>
  <c r="AAD381" i="1" s="1"/>
  <c r="AAM381" i="1" s="1"/>
  <c r="AAV381" i="1" s="1"/>
  <c r="ABE381" i="1" s="1"/>
  <c r="NI385" i="1"/>
  <c r="NR385" i="1"/>
  <c r="OA385" i="1" s="1"/>
  <c r="OJ385" i="1" s="1"/>
  <c r="OS385" i="1" s="1"/>
  <c r="PB385" i="1" s="1"/>
  <c r="PK385" i="1" s="1"/>
  <c r="PT385" i="1" s="1"/>
  <c r="QC385" i="1" s="1"/>
  <c r="QL385" i="1" s="1"/>
  <c r="QU385" i="1" s="1"/>
  <c r="RD385" i="1" s="1"/>
  <c r="RM385" i="1" s="1"/>
  <c r="RV385" i="1" s="1"/>
  <c r="SE385" i="1" s="1"/>
  <c r="SN385" i="1" s="1"/>
  <c r="SW385" i="1" s="1"/>
  <c r="TF385" i="1" s="1"/>
  <c r="TO385" i="1" s="1"/>
  <c r="TX385" i="1" s="1"/>
  <c r="UG385" i="1" s="1"/>
  <c r="UP385" i="1" s="1"/>
  <c r="UY385" i="1" s="1"/>
  <c r="VH385" i="1" s="1"/>
  <c r="VQ385" i="1" s="1"/>
  <c r="VZ385" i="1" s="1"/>
  <c r="WI385" i="1" s="1"/>
  <c r="WR385" i="1" s="1"/>
  <c r="XA385" i="1" s="1"/>
  <c r="XJ385" i="1" s="1"/>
  <c r="XS385" i="1" s="1"/>
  <c r="YB385" i="1" s="1"/>
  <c r="YK385" i="1" s="1"/>
  <c r="YT385" i="1" s="1"/>
  <c r="ZC385" i="1" s="1"/>
  <c r="ZL385" i="1" s="1"/>
  <c r="ZU385" i="1" s="1"/>
  <c r="AAD385" i="1" s="1"/>
  <c r="AAM385" i="1" s="1"/>
  <c r="AAV385" i="1" s="1"/>
  <c r="ABE385" i="1" s="1"/>
  <c r="NI367" i="1"/>
  <c r="NR367" i="1"/>
  <c r="OA367" i="1" s="1"/>
  <c r="OJ367" i="1" s="1"/>
  <c r="OS367" i="1" s="1"/>
  <c r="PB367" i="1" s="1"/>
  <c r="PK367" i="1" s="1"/>
  <c r="PT367" i="1" s="1"/>
  <c r="QC367" i="1" s="1"/>
  <c r="QL367" i="1" s="1"/>
  <c r="QU367" i="1" s="1"/>
  <c r="RD367" i="1" s="1"/>
  <c r="RM367" i="1" s="1"/>
  <c r="RV367" i="1" s="1"/>
  <c r="SE367" i="1" s="1"/>
  <c r="SN367" i="1" s="1"/>
  <c r="SW367" i="1" s="1"/>
  <c r="TF367" i="1" s="1"/>
  <c r="TO367" i="1" s="1"/>
  <c r="TX367" i="1" s="1"/>
  <c r="UG367" i="1" s="1"/>
  <c r="UP367" i="1" s="1"/>
  <c r="UY367" i="1" s="1"/>
  <c r="VH367" i="1" s="1"/>
  <c r="VQ367" i="1" s="1"/>
  <c r="VZ367" i="1" s="1"/>
  <c r="WI367" i="1" s="1"/>
  <c r="WR367" i="1" s="1"/>
  <c r="XA367" i="1" s="1"/>
  <c r="XJ367" i="1" s="1"/>
  <c r="XS367" i="1" s="1"/>
  <c r="YB367" i="1" s="1"/>
  <c r="YK367" i="1" s="1"/>
  <c r="YT367" i="1" s="1"/>
  <c r="ZC367" i="1" s="1"/>
  <c r="ZL367" i="1" s="1"/>
  <c r="ZU367" i="1" s="1"/>
  <c r="AAD367" i="1" s="1"/>
  <c r="AAM367" i="1" s="1"/>
  <c r="AAV367" i="1" s="1"/>
  <c r="ABE367" i="1" s="1"/>
  <c r="NI376" i="1"/>
  <c r="NR376" i="1"/>
  <c r="OA376" i="1" s="1"/>
  <c r="OJ376" i="1" s="1"/>
  <c r="OS376" i="1" s="1"/>
  <c r="PB376" i="1" s="1"/>
  <c r="PK376" i="1" s="1"/>
  <c r="PT376" i="1" s="1"/>
  <c r="QC376" i="1" s="1"/>
  <c r="QL376" i="1" s="1"/>
  <c r="QU376" i="1" s="1"/>
  <c r="RD376" i="1" s="1"/>
  <c r="RM376" i="1" s="1"/>
  <c r="RV376" i="1" s="1"/>
  <c r="SE376" i="1" s="1"/>
  <c r="SN376" i="1" s="1"/>
  <c r="SW376" i="1" s="1"/>
  <c r="TF376" i="1" s="1"/>
  <c r="TO376" i="1" s="1"/>
  <c r="TX376" i="1" s="1"/>
  <c r="UG376" i="1" s="1"/>
  <c r="UP376" i="1" s="1"/>
  <c r="UY376" i="1" s="1"/>
  <c r="VH376" i="1" s="1"/>
  <c r="VQ376" i="1" s="1"/>
  <c r="VZ376" i="1" s="1"/>
  <c r="WI376" i="1" s="1"/>
  <c r="WR376" i="1" s="1"/>
  <c r="XA376" i="1" s="1"/>
  <c r="XJ376" i="1" s="1"/>
  <c r="XS376" i="1" s="1"/>
  <c r="YB376" i="1" s="1"/>
  <c r="YK376" i="1" s="1"/>
  <c r="YT376" i="1" s="1"/>
  <c r="ZC376" i="1" s="1"/>
  <c r="ZL376" i="1" s="1"/>
  <c r="ZU376" i="1" s="1"/>
  <c r="AAD376" i="1" s="1"/>
  <c r="AAM376" i="1" s="1"/>
  <c r="AAV376" i="1" s="1"/>
  <c r="ABE376" i="1" s="1"/>
  <c r="NI384" i="1"/>
  <c r="NR384" i="1"/>
  <c r="OA384" i="1" s="1"/>
  <c r="OJ384" i="1" s="1"/>
  <c r="OS384" i="1" s="1"/>
  <c r="PB384" i="1" s="1"/>
  <c r="PK384" i="1" s="1"/>
  <c r="PT384" i="1" s="1"/>
  <c r="QC384" i="1" s="1"/>
  <c r="QL384" i="1" s="1"/>
  <c r="QU384" i="1" s="1"/>
  <c r="RD384" i="1" s="1"/>
  <c r="RM384" i="1" s="1"/>
  <c r="RV384" i="1" s="1"/>
  <c r="SE384" i="1" s="1"/>
  <c r="SN384" i="1" s="1"/>
  <c r="SW384" i="1" s="1"/>
  <c r="TF384" i="1" s="1"/>
  <c r="TO384" i="1" s="1"/>
  <c r="TX384" i="1" s="1"/>
  <c r="UG384" i="1" s="1"/>
  <c r="UP384" i="1" s="1"/>
  <c r="UY384" i="1" s="1"/>
  <c r="VH384" i="1" s="1"/>
  <c r="VQ384" i="1" s="1"/>
  <c r="VZ384" i="1" s="1"/>
  <c r="WI384" i="1" s="1"/>
  <c r="WR384" i="1" s="1"/>
  <c r="XA384" i="1" s="1"/>
  <c r="XJ384" i="1" s="1"/>
  <c r="XS384" i="1" s="1"/>
  <c r="YB384" i="1" s="1"/>
  <c r="YK384" i="1" s="1"/>
  <c r="YT384" i="1" s="1"/>
  <c r="ZC384" i="1" s="1"/>
  <c r="ZL384" i="1" s="1"/>
  <c r="ZU384" i="1" s="1"/>
  <c r="AAD384" i="1" s="1"/>
  <c r="AAM384" i="1" s="1"/>
  <c r="AAV384" i="1" s="1"/>
  <c r="ABE384" i="1" s="1"/>
  <c r="NI363" i="1"/>
  <c r="NR363" i="1"/>
  <c r="OA363" i="1" s="1"/>
  <c r="OJ363" i="1" s="1"/>
  <c r="OS363" i="1" s="1"/>
  <c r="PB363" i="1" s="1"/>
  <c r="PK363" i="1" s="1"/>
  <c r="PT363" i="1" s="1"/>
  <c r="QC363" i="1" s="1"/>
  <c r="QL363" i="1" s="1"/>
  <c r="QU363" i="1" s="1"/>
  <c r="RD363" i="1" s="1"/>
  <c r="RM363" i="1" s="1"/>
  <c r="RV363" i="1" s="1"/>
  <c r="SE363" i="1" s="1"/>
  <c r="SN363" i="1" s="1"/>
  <c r="SW363" i="1" s="1"/>
  <c r="TF363" i="1" s="1"/>
  <c r="TO363" i="1" s="1"/>
  <c r="TX363" i="1" s="1"/>
  <c r="UG363" i="1" s="1"/>
  <c r="UP363" i="1" s="1"/>
  <c r="UY363" i="1" s="1"/>
  <c r="VH363" i="1" s="1"/>
  <c r="VQ363" i="1" s="1"/>
  <c r="VZ363" i="1" s="1"/>
  <c r="WI363" i="1" s="1"/>
  <c r="WR363" i="1" s="1"/>
  <c r="XA363" i="1" s="1"/>
  <c r="XJ363" i="1" s="1"/>
  <c r="XS363" i="1" s="1"/>
  <c r="YB363" i="1" s="1"/>
  <c r="YK363" i="1" s="1"/>
  <c r="YT363" i="1" s="1"/>
  <c r="ZC363" i="1" s="1"/>
  <c r="ZL363" i="1" s="1"/>
  <c r="ZU363" i="1" s="1"/>
  <c r="AAD363" i="1" s="1"/>
  <c r="AAM363" i="1" s="1"/>
  <c r="AAV363" i="1" s="1"/>
  <c r="ABE363" i="1" s="1"/>
  <c r="NI377" i="1"/>
  <c r="NR377" i="1"/>
  <c r="OA377" i="1" s="1"/>
  <c r="OJ377" i="1" s="1"/>
  <c r="OS377" i="1" s="1"/>
  <c r="PB377" i="1" s="1"/>
  <c r="PK377" i="1" s="1"/>
  <c r="PT377" i="1" s="1"/>
  <c r="QC377" i="1" s="1"/>
  <c r="QL377" i="1" s="1"/>
  <c r="QU377" i="1" s="1"/>
  <c r="RD377" i="1" s="1"/>
  <c r="RM377" i="1" s="1"/>
  <c r="RV377" i="1" s="1"/>
  <c r="SE377" i="1" s="1"/>
  <c r="SN377" i="1" s="1"/>
  <c r="SW377" i="1" s="1"/>
  <c r="TF377" i="1" s="1"/>
  <c r="TO377" i="1" s="1"/>
  <c r="TX377" i="1" s="1"/>
  <c r="UG377" i="1" s="1"/>
  <c r="UP377" i="1" s="1"/>
  <c r="UY377" i="1" s="1"/>
  <c r="VH377" i="1" s="1"/>
  <c r="VQ377" i="1" s="1"/>
  <c r="VZ377" i="1" s="1"/>
  <c r="WI377" i="1" s="1"/>
  <c r="WR377" i="1" s="1"/>
  <c r="XA377" i="1" s="1"/>
  <c r="XJ377" i="1" s="1"/>
  <c r="XS377" i="1" s="1"/>
  <c r="YB377" i="1" s="1"/>
  <c r="YK377" i="1" s="1"/>
  <c r="YT377" i="1" s="1"/>
  <c r="ZC377" i="1" s="1"/>
  <c r="ZL377" i="1" s="1"/>
  <c r="ZU377" i="1" s="1"/>
  <c r="AAD377" i="1" s="1"/>
  <c r="AAM377" i="1" s="1"/>
  <c r="AAV377" i="1" s="1"/>
  <c r="ABE377" i="1" s="1"/>
  <c r="NI365" i="1"/>
  <c r="NR365" i="1"/>
  <c r="OA365" i="1" s="1"/>
  <c r="OJ365" i="1" s="1"/>
  <c r="OS365" i="1" s="1"/>
  <c r="PB365" i="1" s="1"/>
  <c r="PK365" i="1" s="1"/>
  <c r="PT365" i="1" s="1"/>
  <c r="QC365" i="1" s="1"/>
  <c r="QL365" i="1" s="1"/>
  <c r="QU365" i="1" s="1"/>
  <c r="RD365" i="1" s="1"/>
  <c r="RM365" i="1" s="1"/>
  <c r="RV365" i="1" s="1"/>
  <c r="SE365" i="1" s="1"/>
  <c r="SN365" i="1" s="1"/>
  <c r="SW365" i="1" s="1"/>
  <c r="TF365" i="1" s="1"/>
  <c r="TO365" i="1" s="1"/>
  <c r="TX365" i="1" s="1"/>
  <c r="UG365" i="1" s="1"/>
  <c r="UP365" i="1" s="1"/>
  <c r="UY365" i="1" s="1"/>
  <c r="VH365" i="1" s="1"/>
  <c r="VQ365" i="1" s="1"/>
  <c r="VZ365" i="1" s="1"/>
  <c r="WI365" i="1" s="1"/>
  <c r="WR365" i="1" s="1"/>
  <c r="XA365" i="1" s="1"/>
  <c r="XJ365" i="1" s="1"/>
  <c r="XS365" i="1" s="1"/>
  <c r="YB365" i="1" s="1"/>
  <c r="YK365" i="1" s="1"/>
  <c r="YT365" i="1" s="1"/>
  <c r="ZC365" i="1" s="1"/>
  <c r="ZL365" i="1" s="1"/>
  <c r="ZU365" i="1" s="1"/>
  <c r="AAD365" i="1" s="1"/>
  <c r="AAM365" i="1" s="1"/>
  <c r="AAV365" i="1" s="1"/>
  <c r="ABE365" i="1" s="1"/>
  <c r="NI375" i="1"/>
  <c r="NR375" i="1"/>
  <c r="OA375" i="1" s="1"/>
  <c r="OJ375" i="1" s="1"/>
  <c r="OS375" i="1" s="1"/>
  <c r="PB375" i="1" s="1"/>
  <c r="PK375" i="1" s="1"/>
  <c r="PT375" i="1" s="1"/>
  <c r="QC375" i="1" s="1"/>
  <c r="QL375" i="1" s="1"/>
  <c r="QU375" i="1" s="1"/>
  <c r="RD375" i="1" s="1"/>
  <c r="RM375" i="1" s="1"/>
  <c r="RV375" i="1" s="1"/>
  <c r="SE375" i="1" s="1"/>
  <c r="SN375" i="1" s="1"/>
  <c r="SW375" i="1" s="1"/>
  <c r="TF375" i="1" s="1"/>
  <c r="TO375" i="1" s="1"/>
  <c r="TX375" i="1" s="1"/>
  <c r="UG375" i="1" s="1"/>
  <c r="UP375" i="1" s="1"/>
  <c r="UY375" i="1" s="1"/>
  <c r="VH375" i="1" s="1"/>
  <c r="VQ375" i="1" s="1"/>
  <c r="VZ375" i="1" s="1"/>
  <c r="WI375" i="1" s="1"/>
  <c r="WR375" i="1" s="1"/>
  <c r="XA375" i="1" s="1"/>
  <c r="XJ375" i="1" s="1"/>
  <c r="XS375" i="1" s="1"/>
  <c r="YB375" i="1" s="1"/>
  <c r="YK375" i="1" s="1"/>
  <c r="YT375" i="1" s="1"/>
  <c r="ZC375" i="1" s="1"/>
  <c r="ZL375" i="1" s="1"/>
  <c r="ZU375" i="1" s="1"/>
  <c r="AAD375" i="1" s="1"/>
  <c r="AAM375" i="1" s="1"/>
  <c r="AAV375" i="1" s="1"/>
  <c r="ABE375" i="1" s="1"/>
  <c r="NI337" i="1"/>
  <c r="NR337" i="1"/>
  <c r="OA337" i="1" s="1"/>
  <c r="OJ337" i="1" s="1"/>
  <c r="OS337" i="1" s="1"/>
  <c r="PB337" i="1" s="1"/>
  <c r="PK337" i="1" s="1"/>
  <c r="PT337" i="1" s="1"/>
  <c r="QC337" i="1" s="1"/>
  <c r="QL337" i="1" s="1"/>
  <c r="QU337" i="1" s="1"/>
  <c r="RD337" i="1" s="1"/>
  <c r="RM337" i="1" s="1"/>
  <c r="RV337" i="1" s="1"/>
  <c r="SE337" i="1" s="1"/>
  <c r="SN337" i="1" s="1"/>
  <c r="SW337" i="1" s="1"/>
  <c r="TF337" i="1" s="1"/>
  <c r="TO337" i="1" s="1"/>
  <c r="TX337" i="1" s="1"/>
  <c r="UG337" i="1" s="1"/>
  <c r="UP337" i="1" s="1"/>
  <c r="UY337" i="1" s="1"/>
  <c r="VH337" i="1" s="1"/>
  <c r="VQ337" i="1" s="1"/>
  <c r="VZ337" i="1" s="1"/>
  <c r="WI337" i="1" s="1"/>
  <c r="WR337" i="1" s="1"/>
  <c r="XA337" i="1" s="1"/>
  <c r="XJ337" i="1" s="1"/>
  <c r="XS337" i="1" s="1"/>
  <c r="YB337" i="1" s="1"/>
  <c r="YK337" i="1" s="1"/>
  <c r="YT337" i="1" s="1"/>
  <c r="ZC337" i="1" s="1"/>
  <c r="ZL337" i="1" s="1"/>
  <c r="ZU337" i="1" s="1"/>
  <c r="AAD337" i="1" s="1"/>
  <c r="AAM337" i="1" s="1"/>
  <c r="AAV337" i="1" s="1"/>
  <c r="ABE337" i="1" s="1"/>
  <c r="NI340" i="1"/>
  <c r="NR340" i="1"/>
  <c r="OA340" i="1" s="1"/>
  <c r="OJ340" i="1" s="1"/>
  <c r="OS340" i="1" s="1"/>
  <c r="PB340" i="1" s="1"/>
  <c r="PK340" i="1" s="1"/>
  <c r="PT340" i="1" s="1"/>
  <c r="QC340" i="1" s="1"/>
  <c r="QL340" i="1" s="1"/>
  <c r="QU340" i="1" s="1"/>
  <c r="RD340" i="1" s="1"/>
  <c r="RM340" i="1" s="1"/>
  <c r="RV340" i="1" s="1"/>
  <c r="SE340" i="1" s="1"/>
  <c r="SN340" i="1" s="1"/>
  <c r="SW340" i="1" s="1"/>
  <c r="TF340" i="1" s="1"/>
  <c r="TO340" i="1" s="1"/>
  <c r="TX340" i="1" s="1"/>
  <c r="UG340" i="1" s="1"/>
  <c r="UP340" i="1" s="1"/>
  <c r="UY340" i="1" s="1"/>
  <c r="VH340" i="1" s="1"/>
  <c r="VQ340" i="1" s="1"/>
  <c r="VZ340" i="1" s="1"/>
  <c r="WI340" i="1" s="1"/>
  <c r="WR340" i="1" s="1"/>
  <c r="XA340" i="1" s="1"/>
  <c r="XJ340" i="1" s="1"/>
  <c r="XS340" i="1" s="1"/>
  <c r="YB340" i="1" s="1"/>
  <c r="YK340" i="1" s="1"/>
  <c r="YT340" i="1" s="1"/>
  <c r="ZC340" i="1" s="1"/>
  <c r="ZL340" i="1" s="1"/>
  <c r="ZU340" i="1" s="1"/>
  <c r="AAD340" i="1" s="1"/>
  <c r="AAM340" i="1" s="1"/>
  <c r="AAV340" i="1" s="1"/>
  <c r="ABE340" i="1" s="1"/>
  <c r="NI326" i="1"/>
  <c r="NR326" i="1"/>
  <c r="OA326" i="1" s="1"/>
  <c r="OJ326" i="1" s="1"/>
  <c r="OS326" i="1" s="1"/>
  <c r="PB326" i="1" s="1"/>
  <c r="PK326" i="1" s="1"/>
  <c r="PT326" i="1" s="1"/>
  <c r="QC326" i="1" s="1"/>
  <c r="QL326" i="1" s="1"/>
  <c r="QU326" i="1" s="1"/>
  <c r="RD326" i="1" s="1"/>
  <c r="RM326" i="1" s="1"/>
  <c r="RV326" i="1" s="1"/>
  <c r="SE326" i="1" s="1"/>
  <c r="SN326" i="1" s="1"/>
  <c r="SW326" i="1" s="1"/>
  <c r="TF326" i="1" s="1"/>
  <c r="TO326" i="1" s="1"/>
  <c r="TX326" i="1" s="1"/>
  <c r="UG326" i="1" s="1"/>
  <c r="UP326" i="1" s="1"/>
  <c r="UY326" i="1" s="1"/>
  <c r="VH326" i="1" s="1"/>
  <c r="VQ326" i="1" s="1"/>
  <c r="VZ326" i="1" s="1"/>
  <c r="WI326" i="1" s="1"/>
  <c r="WR326" i="1" s="1"/>
  <c r="XA326" i="1" s="1"/>
  <c r="XJ326" i="1" s="1"/>
  <c r="XS326" i="1" s="1"/>
  <c r="YB326" i="1" s="1"/>
  <c r="YK326" i="1" s="1"/>
  <c r="YT326" i="1" s="1"/>
  <c r="ZC326" i="1" s="1"/>
  <c r="ZL326" i="1" s="1"/>
  <c r="ZU326" i="1" s="1"/>
  <c r="AAD326" i="1" s="1"/>
  <c r="AAM326" i="1" s="1"/>
  <c r="AAV326" i="1" s="1"/>
  <c r="ABE326" i="1" s="1"/>
  <c r="NI345" i="1"/>
  <c r="NR345" i="1"/>
  <c r="OA345" i="1" s="1"/>
  <c r="OJ345" i="1" s="1"/>
  <c r="OS345" i="1" s="1"/>
  <c r="PB345" i="1" s="1"/>
  <c r="PK345" i="1" s="1"/>
  <c r="PT345" i="1" s="1"/>
  <c r="QC345" i="1" s="1"/>
  <c r="QL345" i="1" s="1"/>
  <c r="QU345" i="1" s="1"/>
  <c r="RD345" i="1" s="1"/>
  <c r="RM345" i="1" s="1"/>
  <c r="RV345" i="1" s="1"/>
  <c r="SE345" i="1" s="1"/>
  <c r="SN345" i="1" s="1"/>
  <c r="SW345" i="1" s="1"/>
  <c r="TF345" i="1" s="1"/>
  <c r="TO345" i="1" s="1"/>
  <c r="TX345" i="1" s="1"/>
  <c r="UG345" i="1" s="1"/>
  <c r="UP345" i="1" s="1"/>
  <c r="UY345" i="1" s="1"/>
  <c r="VH345" i="1" s="1"/>
  <c r="VQ345" i="1" s="1"/>
  <c r="VZ345" i="1" s="1"/>
  <c r="WI345" i="1" s="1"/>
  <c r="WR345" i="1" s="1"/>
  <c r="XA345" i="1" s="1"/>
  <c r="XJ345" i="1" s="1"/>
  <c r="XS345" i="1" s="1"/>
  <c r="YB345" i="1" s="1"/>
  <c r="YK345" i="1" s="1"/>
  <c r="YT345" i="1" s="1"/>
  <c r="ZC345" i="1" s="1"/>
  <c r="ZL345" i="1" s="1"/>
  <c r="ZU345" i="1" s="1"/>
  <c r="AAD345" i="1" s="1"/>
  <c r="AAM345" i="1" s="1"/>
  <c r="AAV345" i="1" s="1"/>
  <c r="ABE345" i="1" s="1"/>
  <c r="NI353" i="1"/>
  <c r="NR353" i="1"/>
  <c r="OA353" i="1" s="1"/>
  <c r="OJ353" i="1" s="1"/>
  <c r="OS353" i="1" s="1"/>
  <c r="PB353" i="1" s="1"/>
  <c r="PK353" i="1" s="1"/>
  <c r="PT353" i="1" s="1"/>
  <c r="QC353" i="1" s="1"/>
  <c r="QL353" i="1" s="1"/>
  <c r="QU353" i="1" s="1"/>
  <c r="RD353" i="1" s="1"/>
  <c r="RM353" i="1" s="1"/>
  <c r="RV353" i="1" s="1"/>
  <c r="SE353" i="1" s="1"/>
  <c r="SN353" i="1" s="1"/>
  <c r="SW353" i="1" s="1"/>
  <c r="TF353" i="1" s="1"/>
  <c r="TO353" i="1" s="1"/>
  <c r="TX353" i="1" s="1"/>
  <c r="UG353" i="1" s="1"/>
  <c r="UP353" i="1" s="1"/>
  <c r="UY353" i="1" s="1"/>
  <c r="VH353" i="1" s="1"/>
  <c r="VQ353" i="1" s="1"/>
  <c r="VZ353" i="1" s="1"/>
  <c r="WI353" i="1" s="1"/>
  <c r="WR353" i="1" s="1"/>
  <c r="XA353" i="1" s="1"/>
  <c r="XJ353" i="1" s="1"/>
  <c r="XS353" i="1" s="1"/>
  <c r="YB353" i="1" s="1"/>
  <c r="YK353" i="1" s="1"/>
  <c r="YT353" i="1" s="1"/>
  <c r="ZC353" i="1" s="1"/>
  <c r="ZL353" i="1" s="1"/>
  <c r="ZU353" i="1" s="1"/>
  <c r="AAD353" i="1" s="1"/>
  <c r="AAM353" i="1" s="1"/>
  <c r="AAV353" i="1" s="1"/>
  <c r="ABE353" i="1" s="1"/>
  <c r="NI343" i="1"/>
  <c r="NR343" i="1"/>
  <c r="OA343" i="1" s="1"/>
  <c r="OJ343" i="1" s="1"/>
  <c r="OS343" i="1" s="1"/>
  <c r="PB343" i="1" s="1"/>
  <c r="PK343" i="1" s="1"/>
  <c r="PT343" i="1" s="1"/>
  <c r="QC343" i="1" s="1"/>
  <c r="QL343" i="1" s="1"/>
  <c r="QU343" i="1" s="1"/>
  <c r="RD343" i="1" s="1"/>
  <c r="RM343" i="1" s="1"/>
  <c r="RV343" i="1" s="1"/>
  <c r="SE343" i="1" s="1"/>
  <c r="SN343" i="1" s="1"/>
  <c r="SW343" i="1" s="1"/>
  <c r="TF343" i="1" s="1"/>
  <c r="TO343" i="1" s="1"/>
  <c r="TX343" i="1" s="1"/>
  <c r="UG343" i="1" s="1"/>
  <c r="UP343" i="1" s="1"/>
  <c r="UY343" i="1" s="1"/>
  <c r="VH343" i="1" s="1"/>
  <c r="VQ343" i="1" s="1"/>
  <c r="VZ343" i="1" s="1"/>
  <c r="WI343" i="1" s="1"/>
  <c r="WR343" i="1" s="1"/>
  <c r="XA343" i="1" s="1"/>
  <c r="XJ343" i="1" s="1"/>
  <c r="XS343" i="1" s="1"/>
  <c r="YB343" i="1" s="1"/>
  <c r="YK343" i="1" s="1"/>
  <c r="YT343" i="1" s="1"/>
  <c r="ZC343" i="1" s="1"/>
  <c r="ZL343" i="1" s="1"/>
  <c r="ZU343" i="1" s="1"/>
  <c r="AAD343" i="1" s="1"/>
  <c r="AAM343" i="1" s="1"/>
  <c r="AAV343" i="1" s="1"/>
  <c r="ABE343" i="1" s="1"/>
  <c r="NI331" i="1"/>
  <c r="NR331" i="1"/>
  <c r="OA331" i="1" s="1"/>
  <c r="OJ331" i="1" s="1"/>
  <c r="OS331" i="1" s="1"/>
  <c r="PB331" i="1" s="1"/>
  <c r="PK331" i="1" s="1"/>
  <c r="PT331" i="1" s="1"/>
  <c r="QC331" i="1" s="1"/>
  <c r="QL331" i="1" s="1"/>
  <c r="QU331" i="1" s="1"/>
  <c r="RD331" i="1" s="1"/>
  <c r="RM331" i="1" s="1"/>
  <c r="RV331" i="1" s="1"/>
  <c r="SE331" i="1" s="1"/>
  <c r="SN331" i="1" s="1"/>
  <c r="SW331" i="1" s="1"/>
  <c r="TF331" i="1" s="1"/>
  <c r="TO331" i="1" s="1"/>
  <c r="TX331" i="1" s="1"/>
  <c r="UG331" i="1" s="1"/>
  <c r="UP331" i="1" s="1"/>
  <c r="UY331" i="1" s="1"/>
  <c r="VH331" i="1" s="1"/>
  <c r="VQ331" i="1" s="1"/>
  <c r="VZ331" i="1" s="1"/>
  <c r="WI331" i="1" s="1"/>
  <c r="WR331" i="1" s="1"/>
  <c r="XA331" i="1" s="1"/>
  <c r="XJ331" i="1" s="1"/>
  <c r="XS331" i="1" s="1"/>
  <c r="YB331" i="1" s="1"/>
  <c r="YK331" i="1" s="1"/>
  <c r="YT331" i="1" s="1"/>
  <c r="ZC331" i="1" s="1"/>
  <c r="ZL331" i="1" s="1"/>
  <c r="ZU331" i="1" s="1"/>
  <c r="AAD331" i="1" s="1"/>
  <c r="AAM331" i="1" s="1"/>
  <c r="AAV331" i="1" s="1"/>
  <c r="ABE331" i="1" s="1"/>
  <c r="NI347" i="1"/>
  <c r="NR347" i="1"/>
  <c r="OA347" i="1" s="1"/>
  <c r="OJ347" i="1" s="1"/>
  <c r="OS347" i="1" s="1"/>
  <c r="PB347" i="1" s="1"/>
  <c r="PK347" i="1" s="1"/>
  <c r="PT347" i="1" s="1"/>
  <c r="QC347" i="1" s="1"/>
  <c r="QL347" i="1" s="1"/>
  <c r="QU347" i="1" s="1"/>
  <c r="RD347" i="1" s="1"/>
  <c r="RM347" i="1" s="1"/>
  <c r="RV347" i="1" s="1"/>
  <c r="SE347" i="1" s="1"/>
  <c r="SN347" i="1" s="1"/>
  <c r="SW347" i="1" s="1"/>
  <c r="TF347" i="1" s="1"/>
  <c r="TO347" i="1" s="1"/>
  <c r="TX347" i="1" s="1"/>
  <c r="UG347" i="1" s="1"/>
  <c r="UP347" i="1" s="1"/>
  <c r="UY347" i="1" s="1"/>
  <c r="VH347" i="1" s="1"/>
  <c r="VQ347" i="1" s="1"/>
  <c r="VZ347" i="1" s="1"/>
  <c r="WI347" i="1" s="1"/>
  <c r="WR347" i="1" s="1"/>
  <c r="XA347" i="1" s="1"/>
  <c r="XJ347" i="1" s="1"/>
  <c r="XS347" i="1" s="1"/>
  <c r="YB347" i="1" s="1"/>
  <c r="YK347" i="1" s="1"/>
  <c r="YT347" i="1" s="1"/>
  <c r="ZC347" i="1" s="1"/>
  <c r="ZL347" i="1" s="1"/>
  <c r="ZU347" i="1" s="1"/>
  <c r="AAD347" i="1" s="1"/>
  <c r="AAM347" i="1" s="1"/>
  <c r="AAV347" i="1" s="1"/>
  <c r="ABE347" i="1" s="1"/>
  <c r="NI339" i="1"/>
  <c r="NR339" i="1"/>
  <c r="OA339" i="1" s="1"/>
  <c r="OJ339" i="1" s="1"/>
  <c r="OS339" i="1" s="1"/>
  <c r="PB339" i="1" s="1"/>
  <c r="PK339" i="1" s="1"/>
  <c r="PT339" i="1" s="1"/>
  <c r="QC339" i="1" s="1"/>
  <c r="QL339" i="1" s="1"/>
  <c r="QU339" i="1" s="1"/>
  <c r="RD339" i="1" s="1"/>
  <c r="RM339" i="1" s="1"/>
  <c r="RV339" i="1" s="1"/>
  <c r="SE339" i="1" s="1"/>
  <c r="SN339" i="1" s="1"/>
  <c r="SW339" i="1" s="1"/>
  <c r="TF339" i="1" s="1"/>
  <c r="TO339" i="1" s="1"/>
  <c r="TX339" i="1" s="1"/>
  <c r="UG339" i="1" s="1"/>
  <c r="UP339" i="1" s="1"/>
  <c r="UY339" i="1" s="1"/>
  <c r="VH339" i="1" s="1"/>
  <c r="VQ339" i="1" s="1"/>
  <c r="VZ339" i="1" s="1"/>
  <c r="WI339" i="1" s="1"/>
  <c r="WR339" i="1" s="1"/>
  <c r="XA339" i="1" s="1"/>
  <c r="XJ339" i="1" s="1"/>
  <c r="XS339" i="1" s="1"/>
  <c r="YB339" i="1" s="1"/>
  <c r="YK339" i="1" s="1"/>
  <c r="YT339" i="1" s="1"/>
  <c r="ZC339" i="1" s="1"/>
  <c r="ZL339" i="1" s="1"/>
  <c r="ZU339" i="1" s="1"/>
  <c r="AAD339" i="1" s="1"/>
  <c r="AAM339" i="1" s="1"/>
  <c r="AAV339" i="1" s="1"/>
  <c r="ABE339" i="1" s="1"/>
  <c r="NI351" i="1"/>
  <c r="NR351" i="1"/>
  <c r="OA351" i="1" s="1"/>
  <c r="OJ351" i="1" s="1"/>
  <c r="OS351" i="1" s="1"/>
  <c r="PB351" i="1" s="1"/>
  <c r="PK351" i="1" s="1"/>
  <c r="PT351" i="1" s="1"/>
  <c r="QC351" i="1" s="1"/>
  <c r="QL351" i="1" s="1"/>
  <c r="QU351" i="1" s="1"/>
  <c r="RD351" i="1" s="1"/>
  <c r="RM351" i="1" s="1"/>
  <c r="RV351" i="1" s="1"/>
  <c r="SE351" i="1" s="1"/>
  <c r="SN351" i="1" s="1"/>
  <c r="SW351" i="1" s="1"/>
  <c r="TF351" i="1" s="1"/>
  <c r="TO351" i="1" s="1"/>
  <c r="TX351" i="1" s="1"/>
  <c r="UG351" i="1" s="1"/>
  <c r="UP351" i="1" s="1"/>
  <c r="UY351" i="1" s="1"/>
  <c r="VH351" i="1" s="1"/>
  <c r="VQ351" i="1" s="1"/>
  <c r="VZ351" i="1" s="1"/>
  <c r="WI351" i="1" s="1"/>
  <c r="WR351" i="1" s="1"/>
  <c r="XA351" i="1" s="1"/>
  <c r="XJ351" i="1" s="1"/>
  <c r="XS351" i="1" s="1"/>
  <c r="YB351" i="1" s="1"/>
  <c r="YK351" i="1" s="1"/>
  <c r="YT351" i="1" s="1"/>
  <c r="ZC351" i="1" s="1"/>
  <c r="ZL351" i="1" s="1"/>
  <c r="ZU351" i="1" s="1"/>
  <c r="AAD351" i="1" s="1"/>
  <c r="AAM351" i="1" s="1"/>
  <c r="AAV351" i="1" s="1"/>
  <c r="ABE351" i="1" s="1"/>
  <c r="NI329" i="1"/>
  <c r="NR329" i="1"/>
  <c r="OA329" i="1" s="1"/>
  <c r="OJ329" i="1" s="1"/>
  <c r="OS329" i="1" s="1"/>
  <c r="PB329" i="1" s="1"/>
  <c r="PK329" i="1" s="1"/>
  <c r="PT329" i="1" s="1"/>
  <c r="QC329" i="1" s="1"/>
  <c r="QL329" i="1" s="1"/>
  <c r="QU329" i="1" s="1"/>
  <c r="RD329" i="1" s="1"/>
  <c r="RM329" i="1" s="1"/>
  <c r="RV329" i="1" s="1"/>
  <c r="SE329" i="1" s="1"/>
  <c r="SN329" i="1" s="1"/>
  <c r="SW329" i="1" s="1"/>
  <c r="TF329" i="1" s="1"/>
  <c r="TO329" i="1" s="1"/>
  <c r="TX329" i="1" s="1"/>
  <c r="UG329" i="1" s="1"/>
  <c r="UP329" i="1" s="1"/>
  <c r="UY329" i="1" s="1"/>
  <c r="VH329" i="1" s="1"/>
  <c r="VQ329" i="1" s="1"/>
  <c r="VZ329" i="1" s="1"/>
  <c r="WI329" i="1" s="1"/>
  <c r="WR329" i="1" s="1"/>
  <c r="XA329" i="1" s="1"/>
  <c r="XJ329" i="1" s="1"/>
  <c r="XS329" i="1" s="1"/>
  <c r="YB329" i="1" s="1"/>
  <c r="YK329" i="1" s="1"/>
  <c r="YT329" i="1" s="1"/>
  <c r="ZC329" i="1" s="1"/>
  <c r="ZL329" i="1" s="1"/>
  <c r="ZU329" i="1" s="1"/>
  <c r="AAD329" i="1" s="1"/>
  <c r="AAM329" i="1" s="1"/>
  <c r="AAV329" i="1" s="1"/>
  <c r="ABE329" i="1" s="1"/>
  <c r="NI355" i="1"/>
  <c r="NR355" i="1"/>
  <c r="OA355" i="1" s="1"/>
  <c r="OJ355" i="1" s="1"/>
  <c r="OS355" i="1" s="1"/>
  <c r="PB355" i="1" s="1"/>
  <c r="PK355" i="1" s="1"/>
  <c r="PT355" i="1" s="1"/>
  <c r="QC355" i="1" s="1"/>
  <c r="QL355" i="1" s="1"/>
  <c r="QU355" i="1" s="1"/>
  <c r="RD355" i="1" s="1"/>
  <c r="RM355" i="1" s="1"/>
  <c r="RV355" i="1" s="1"/>
  <c r="SE355" i="1" s="1"/>
  <c r="SN355" i="1" s="1"/>
  <c r="SW355" i="1" s="1"/>
  <c r="TF355" i="1" s="1"/>
  <c r="TO355" i="1" s="1"/>
  <c r="TX355" i="1" s="1"/>
  <c r="UG355" i="1" s="1"/>
  <c r="UP355" i="1" s="1"/>
  <c r="UY355" i="1" s="1"/>
  <c r="VH355" i="1" s="1"/>
  <c r="VQ355" i="1" s="1"/>
  <c r="VZ355" i="1" s="1"/>
  <c r="WI355" i="1" s="1"/>
  <c r="WR355" i="1" s="1"/>
  <c r="XA355" i="1" s="1"/>
  <c r="XJ355" i="1" s="1"/>
  <c r="XS355" i="1" s="1"/>
  <c r="YB355" i="1" s="1"/>
  <c r="YK355" i="1" s="1"/>
  <c r="YT355" i="1" s="1"/>
  <c r="ZC355" i="1" s="1"/>
  <c r="ZL355" i="1" s="1"/>
  <c r="ZU355" i="1" s="1"/>
  <c r="AAD355" i="1" s="1"/>
  <c r="AAM355" i="1" s="1"/>
  <c r="AAV355" i="1" s="1"/>
  <c r="ABE355" i="1" s="1"/>
  <c r="NI338" i="1"/>
  <c r="NR338" i="1"/>
  <c r="OA338" i="1" s="1"/>
  <c r="OJ338" i="1" s="1"/>
  <c r="OS338" i="1" s="1"/>
  <c r="PB338" i="1" s="1"/>
  <c r="PK338" i="1" s="1"/>
  <c r="PT338" i="1" s="1"/>
  <c r="QC338" i="1" s="1"/>
  <c r="QL338" i="1" s="1"/>
  <c r="QU338" i="1" s="1"/>
  <c r="RD338" i="1" s="1"/>
  <c r="RM338" i="1" s="1"/>
  <c r="RV338" i="1" s="1"/>
  <c r="SE338" i="1" s="1"/>
  <c r="SN338" i="1" s="1"/>
  <c r="SW338" i="1" s="1"/>
  <c r="TF338" i="1" s="1"/>
  <c r="TO338" i="1" s="1"/>
  <c r="TX338" i="1" s="1"/>
  <c r="UG338" i="1" s="1"/>
  <c r="UP338" i="1" s="1"/>
  <c r="UY338" i="1" s="1"/>
  <c r="VH338" i="1" s="1"/>
  <c r="VQ338" i="1" s="1"/>
  <c r="VZ338" i="1" s="1"/>
  <c r="WI338" i="1" s="1"/>
  <c r="WR338" i="1" s="1"/>
  <c r="XA338" i="1" s="1"/>
  <c r="XJ338" i="1" s="1"/>
  <c r="XS338" i="1" s="1"/>
  <c r="YB338" i="1" s="1"/>
  <c r="YK338" i="1" s="1"/>
  <c r="YT338" i="1" s="1"/>
  <c r="ZC338" i="1" s="1"/>
  <c r="ZL338" i="1" s="1"/>
  <c r="ZU338" i="1" s="1"/>
  <c r="AAD338" i="1" s="1"/>
  <c r="AAM338" i="1" s="1"/>
  <c r="AAV338" i="1" s="1"/>
  <c r="ABE338" i="1" s="1"/>
  <c r="NI334" i="1"/>
  <c r="NR334" i="1"/>
  <c r="OA334" i="1" s="1"/>
  <c r="OJ334" i="1" s="1"/>
  <c r="OS334" i="1" s="1"/>
  <c r="PB334" i="1" s="1"/>
  <c r="PK334" i="1" s="1"/>
  <c r="PT334" i="1" s="1"/>
  <c r="QC334" i="1" s="1"/>
  <c r="QL334" i="1" s="1"/>
  <c r="QU334" i="1" s="1"/>
  <c r="RD334" i="1" s="1"/>
  <c r="RM334" i="1" s="1"/>
  <c r="RV334" i="1" s="1"/>
  <c r="SE334" i="1" s="1"/>
  <c r="SN334" i="1" s="1"/>
  <c r="SW334" i="1" s="1"/>
  <c r="TF334" i="1" s="1"/>
  <c r="TO334" i="1" s="1"/>
  <c r="TX334" i="1" s="1"/>
  <c r="UG334" i="1" s="1"/>
  <c r="UP334" i="1" s="1"/>
  <c r="UY334" i="1" s="1"/>
  <c r="VH334" i="1" s="1"/>
  <c r="VQ334" i="1" s="1"/>
  <c r="VZ334" i="1" s="1"/>
  <c r="WI334" i="1" s="1"/>
  <c r="WR334" i="1" s="1"/>
  <c r="XA334" i="1" s="1"/>
  <c r="XJ334" i="1" s="1"/>
  <c r="XS334" i="1" s="1"/>
  <c r="YB334" i="1" s="1"/>
  <c r="YK334" i="1" s="1"/>
  <c r="YT334" i="1" s="1"/>
  <c r="ZC334" i="1" s="1"/>
  <c r="ZL334" i="1" s="1"/>
  <c r="ZU334" i="1" s="1"/>
  <c r="AAD334" i="1" s="1"/>
  <c r="AAM334" i="1" s="1"/>
  <c r="AAV334" i="1" s="1"/>
  <c r="ABE334" i="1" s="1"/>
  <c r="NI354" i="1"/>
  <c r="NR354" i="1"/>
  <c r="OA354" i="1" s="1"/>
  <c r="OJ354" i="1" s="1"/>
  <c r="OS354" i="1" s="1"/>
  <c r="PB354" i="1" s="1"/>
  <c r="PK354" i="1" s="1"/>
  <c r="PT354" i="1" s="1"/>
  <c r="QC354" i="1" s="1"/>
  <c r="QL354" i="1" s="1"/>
  <c r="QU354" i="1" s="1"/>
  <c r="RD354" i="1" s="1"/>
  <c r="RM354" i="1" s="1"/>
  <c r="RV354" i="1" s="1"/>
  <c r="SE354" i="1" s="1"/>
  <c r="SN354" i="1" s="1"/>
  <c r="SW354" i="1" s="1"/>
  <c r="TF354" i="1" s="1"/>
  <c r="TO354" i="1" s="1"/>
  <c r="TX354" i="1" s="1"/>
  <c r="UG354" i="1" s="1"/>
  <c r="UP354" i="1" s="1"/>
  <c r="UY354" i="1" s="1"/>
  <c r="VH354" i="1" s="1"/>
  <c r="VQ354" i="1" s="1"/>
  <c r="VZ354" i="1" s="1"/>
  <c r="WI354" i="1" s="1"/>
  <c r="WR354" i="1" s="1"/>
  <c r="XA354" i="1" s="1"/>
  <c r="XJ354" i="1" s="1"/>
  <c r="XS354" i="1" s="1"/>
  <c r="YB354" i="1" s="1"/>
  <c r="YK354" i="1" s="1"/>
  <c r="YT354" i="1" s="1"/>
  <c r="ZC354" i="1" s="1"/>
  <c r="ZL354" i="1" s="1"/>
  <c r="ZU354" i="1" s="1"/>
  <c r="AAD354" i="1" s="1"/>
  <c r="AAM354" i="1" s="1"/>
  <c r="AAV354" i="1" s="1"/>
  <c r="ABE354" i="1" s="1"/>
  <c r="NI349" i="1"/>
  <c r="NR349" i="1"/>
  <c r="OA349" i="1" s="1"/>
  <c r="OJ349" i="1" s="1"/>
  <c r="OS349" i="1" s="1"/>
  <c r="PB349" i="1" s="1"/>
  <c r="PK349" i="1" s="1"/>
  <c r="PT349" i="1" s="1"/>
  <c r="QC349" i="1" s="1"/>
  <c r="QL349" i="1" s="1"/>
  <c r="QU349" i="1" s="1"/>
  <c r="RD349" i="1" s="1"/>
  <c r="RM349" i="1" s="1"/>
  <c r="RV349" i="1" s="1"/>
  <c r="SE349" i="1" s="1"/>
  <c r="SN349" i="1" s="1"/>
  <c r="SW349" i="1" s="1"/>
  <c r="TF349" i="1" s="1"/>
  <c r="TO349" i="1" s="1"/>
  <c r="TX349" i="1" s="1"/>
  <c r="UG349" i="1" s="1"/>
  <c r="UP349" i="1" s="1"/>
  <c r="UY349" i="1" s="1"/>
  <c r="VH349" i="1" s="1"/>
  <c r="VQ349" i="1" s="1"/>
  <c r="VZ349" i="1" s="1"/>
  <c r="WI349" i="1" s="1"/>
  <c r="WR349" i="1" s="1"/>
  <c r="XA349" i="1" s="1"/>
  <c r="XJ349" i="1" s="1"/>
  <c r="XS349" i="1" s="1"/>
  <c r="YB349" i="1" s="1"/>
  <c r="YK349" i="1" s="1"/>
  <c r="YT349" i="1" s="1"/>
  <c r="ZC349" i="1" s="1"/>
  <c r="ZL349" i="1" s="1"/>
  <c r="ZU349" i="1" s="1"/>
  <c r="AAD349" i="1" s="1"/>
  <c r="AAM349" i="1" s="1"/>
  <c r="AAV349" i="1" s="1"/>
  <c r="ABE349" i="1" s="1"/>
  <c r="NI332" i="1"/>
  <c r="NR332" i="1"/>
  <c r="OA332" i="1" s="1"/>
  <c r="OJ332" i="1" s="1"/>
  <c r="OS332" i="1" s="1"/>
  <c r="PB332" i="1" s="1"/>
  <c r="PK332" i="1" s="1"/>
  <c r="PT332" i="1" s="1"/>
  <c r="QC332" i="1" s="1"/>
  <c r="QL332" i="1" s="1"/>
  <c r="QU332" i="1" s="1"/>
  <c r="RD332" i="1" s="1"/>
  <c r="RM332" i="1" s="1"/>
  <c r="RV332" i="1" s="1"/>
  <c r="SE332" i="1" s="1"/>
  <c r="SN332" i="1" s="1"/>
  <c r="SW332" i="1" s="1"/>
  <c r="TF332" i="1" s="1"/>
  <c r="TO332" i="1" s="1"/>
  <c r="TX332" i="1" s="1"/>
  <c r="UG332" i="1" s="1"/>
  <c r="UP332" i="1" s="1"/>
  <c r="UY332" i="1" s="1"/>
  <c r="VH332" i="1" s="1"/>
  <c r="VQ332" i="1" s="1"/>
  <c r="VZ332" i="1" s="1"/>
  <c r="WI332" i="1" s="1"/>
  <c r="WR332" i="1" s="1"/>
  <c r="XA332" i="1" s="1"/>
  <c r="XJ332" i="1" s="1"/>
  <c r="XS332" i="1" s="1"/>
  <c r="YB332" i="1" s="1"/>
  <c r="YK332" i="1" s="1"/>
  <c r="YT332" i="1" s="1"/>
  <c r="ZC332" i="1" s="1"/>
  <c r="ZL332" i="1" s="1"/>
  <c r="ZU332" i="1" s="1"/>
  <c r="AAD332" i="1" s="1"/>
  <c r="AAM332" i="1" s="1"/>
  <c r="AAV332" i="1" s="1"/>
  <c r="ABE332" i="1" s="1"/>
  <c r="NI346" i="1"/>
  <c r="NR346" i="1"/>
  <c r="OA346" i="1" s="1"/>
  <c r="OJ346" i="1" s="1"/>
  <c r="OS346" i="1" s="1"/>
  <c r="PB346" i="1" s="1"/>
  <c r="PK346" i="1" s="1"/>
  <c r="PT346" i="1" s="1"/>
  <c r="QC346" i="1" s="1"/>
  <c r="QL346" i="1" s="1"/>
  <c r="QU346" i="1" s="1"/>
  <c r="RD346" i="1" s="1"/>
  <c r="RM346" i="1" s="1"/>
  <c r="RV346" i="1" s="1"/>
  <c r="SE346" i="1" s="1"/>
  <c r="SN346" i="1" s="1"/>
  <c r="SW346" i="1" s="1"/>
  <c r="TF346" i="1" s="1"/>
  <c r="TO346" i="1" s="1"/>
  <c r="TX346" i="1" s="1"/>
  <c r="UG346" i="1" s="1"/>
  <c r="UP346" i="1" s="1"/>
  <c r="UY346" i="1" s="1"/>
  <c r="VH346" i="1" s="1"/>
  <c r="VQ346" i="1" s="1"/>
  <c r="VZ346" i="1" s="1"/>
  <c r="WI346" i="1" s="1"/>
  <c r="WR346" i="1" s="1"/>
  <c r="XA346" i="1" s="1"/>
  <c r="XJ346" i="1" s="1"/>
  <c r="XS346" i="1" s="1"/>
  <c r="YB346" i="1" s="1"/>
  <c r="YK346" i="1" s="1"/>
  <c r="YT346" i="1" s="1"/>
  <c r="ZC346" i="1" s="1"/>
  <c r="ZL346" i="1" s="1"/>
  <c r="ZU346" i="1" s="1"/>
  <c r="AAD346" i="1" s="1"/>
  <c r="AAM346" i="1" s="1"/>
  <c r="AAV346" i="1" s="1"/>
  <c r="ABE346" i="1" s="1"/>
  <c r="NI336" i="1"/>
  <c r="NR336" i="1"/>
  <c r="OA336" i="1" s="1"/>
  <c r="OJ336" i="1" s="1"/>
  <c r="OS336" i="1" s="1"/>
  <c r="PB336" i="1" s="1"/>
  <c r="PK336" i="1" s="1"/>
  <c r="PT336" i="1" s="1"/>
  <c r="QC336" i="1" s="1"/>
  <c r="QL336" i="1" s="1"/>
  <c r="QU336" i="1" s="1"/>
  <c r="RD336" i="1" s="1"/>
  <c r="RM336" i="1" s="1"/>
  <c r="RV336" i="1" s="1"/>
  <c r="SE336" i="1" s="1"/>
  <c r="SN336" i="1" s="1"/>
  <c r="SW336" i="1" s="1"/>
  <c r="TF336" i="1" s="1"/>
  <c r="TO336" i="1" s="1"/>
  <c r="TX336" i="1" s="1"/>
  <c r="UG336" i="1" s="1"/>
  <c r="UP336" i="1" s="1"/>
  <c r="UY336" i="1" s="1"/>
  <c r="VH336" i="1" s="1"/>
  <c r="VQ336" i="1" s="1"/>
  <c r="VZ336" i="1" s="1"/>
  <c r="WI336" i="1" s="1"/>
  <c r="WR336" i="1" s="1"/>
  <c r="XA336" i="1" s="1"/>
  <c r="XJ336" i="1" s="1"/>
  <c r="XS336" i="1" s="1"/>
  <c r="YB336" i="1" s="1"/>
  <c r="YK336" i="1" s="1"/>
  <c r="YT336" i="1" s="1"/>
  <c r="ZC336" i="1" s="1"/>
  <c r="ZL336" i="1" s="1"/>
  <c r="ZU336" i="1" s="1"/>
  <c r="AAD336" i="1" s="1"/>
  <c r="AAM336" i="1" s="1"/>
  <c r="AAV336" i="1" s="1"/>
  <c r="ABE336" i="1" s="1"/>
  <c r="NI342" i="1"/>
  <c r="NR342" i="1"/>
  <c r="OA342" i="1" s="1"/>
  <c r="OJ342" i="1" s="1"/>
  <c r="OS342" i="1" s="1"/>
  <c r="PB342" i="1" s="1"/>
  <c r="PK342" i="1" s="1"/>
  <c r="PT342" i="1" s="1"/>
  <c r="QC342" i="1" s="1"/>
  <c r="QL342" i="1" s="1"/>
  <c r="QU342" i="1" s="1"/>
  <c r="RD342" i="1" s="1"/>
  <c r="RM342" i="1" s="1"/>
  <c r="RV342" i="1" s="1"/>
  <c r="SE342" i="1" s="1"/>
  <c r="SN342" i="1" s="1"/>
  <c r="SW342" i="1" s="1"/>
  <c r="TF342" i="1" s="1"/>
  <c r="TO342" i="1" s="1"/>
  <c r="TX342" i="1" s="1"/>
  <c r="UG342" i="1" s="1"/>
  <c r="UP342" i="1" s="1"/>
  <c r="UY342" i="1" s="1"/>
  <c r="VH342" i="1" s="1"/>
  <c r="VQ342" i="1" s="1"/>
  <c r="VZ342" i="1" s="1"/>
  <c r="WI342" i="1" s="1"/>
  <c r="WR342" i="1" s="1"/>
  <c r="XA342" i="1" s="1"/>
  <c r="XJ342" i="1" s="1"/>
  <c r="XS342" i="1" s="1"/>
  <c r="YB342" i="1" s="1"/>
  <c r="YK342" i="1" s="1"/>
  <c r="YT342" i="1" s="1"/>
  <c r="ZC342" i="1" s="1"/>
  <c r="ZL342" i="1" s="1"/>
  <c r="ZU342" i="1" s="1"/>
  <c r="AAD342" i="1" s="1"/>
  <c r="AAM342" i="1" s="1"/>
  <c r="AAV342" i="1" s="1"/>
  <c r="ABE342" i="1" s="1"/>
  <c r="NI335" i="1"/>
  <c r="NR335" i="1"/>
  <c r="OA335" i="1" s="1"/>
  <c r="OJ335" i="1" s="1"/>
  <c r="OS335" i="1" s="1"/>
  <c r="PB335" i="1" s="1"/>
  <c r="PK335" i="1" s="1"/>
  <c r="PT335" i="1" s="1"/>
  <c r="QC335" i="1" s="1"/>
  <c r="QL335" i="1" s="1"/>
  <c r="QU335" i="1" s="1"/>
  <c r="RD335" i="1" s="1"/>
  <c r="RM335" i="1" s="1"/>
  <c r="RV335" i="1" s="1"/>
  <c r="SE335" i="1" s="1"/>
  <c r="SN335" i="1" s="1"/>
  <c r="SW335" i="1" s="1"/>
  <c r="TF335" i="1" s="1"/>
  <c r="TO335" i="1" s="1"/>
  <c r="TX335" i="1" s="1"/>
  <c r="UG335" i="1" s="1"/>
  <c r="UP335" i="1" s="1"/>
  <c r="UY335" i="1" s="1"/>
  <c r="VH335" i="1" s="1"/>
  <c r="VQ335" i="1" s="1"/>
  <c r="VZ335" i="1" s="1"/>
  <c r="WI335" i="1" s="1"/>
  <c r="WR335" i="1" s="1"/>
  <c r="XA335" i="1" s="1"/>
  <c r="XJ335" i="1" s="1"/>
  <c r="XS335" i="1" s="1"/>
  <c r="YB335" i="1" s="1"/>
  <c r="YK335" i="1" s="1"/>
  <c r="YT335" i="1" s="1"/>
  <c r="ZC335" i="1" s="1"/>
  <c r="ZL335" i="1" s="1"/>
  <c r="ZU335" i="1" s="1"/>
  <c r="AAD335" i="1" s="1"/>
  <c r="AAM335" i="1" s="1"/>
  <c r="AAV335" i="1" s="1"/>
  <c r="ABE335" i="1" s="1"/>
  <c r="NI348" i="1"/>
  <c r="NR348" i="1"/>
  <c r="OA348" i="1" s="1"/>
  <c r="OJ348" i="1" s="1"/>
  <c r="OS348" i="1" s="1"/>
  <c r="PB348" i="1" s="1"/>
  <c r="PK348" i="1" s="1"/>
  <c r="PT348" i="1" s="1"/>
  <c r="QC348" i="1" s="1"/>
  <c r="QL348" i="1" s="1"/>
  <c r="QU348" i="1" s="1"/>
  <c r="RD348" i="1" s="1"/>
  <c r="RM348" i="1" s="1"/>
  <c r="RV348" i="1" s="1"/>
  <c r="SE348" i="1" s="1"/>
  <c r="SN348" i="1" s="1"/>
  <c r="SW348" i="1" s="1"/>
  <c r="TF348" i="1" s="1"/>
  <c r="TO348" i="1" s="1"/>
  <c r="TX348" i="1" s="1"/>
  <c r="UG348" i="1" s="1"/>
  <c r="UP348" i="1" s="1"/>
  <c r="UY348" i="1" s="1"/>
  <c r="VH348" i="1" s="1"/>
  <c r="VQ348" i="1" s="1"/>
  <c r="VZ348" i="1" s="1"/>
  <c r="WI348" i="1" s="1"/>
  <c r="WR348" i="1" s="1"/>
  <c r="XA348" i="1" s="1"/>
  <c r="XJ348" i="1" s="1"/>
  <c r="XS348" i="1" s="1"/>
  <c r="YB348" i="1" s="1"/>
  <c r="YK348" i="1" s="1"/>
  <c r="YT348" i="1" s="1"/>
  <c r="ZC348" i="1" s="1"/>
  <c r="ZL348" i="1" s="1"/>
  <c r="ZU348" i="1" s="1"/>
  <c r="AAD348" i="1" s="1"/>
  <c r="AAM348" i="1" s="1"/>
  <c r="AAV348" i="1" s="1"/>
  <c r="ABE348" i="1" s="1"/>
  <c r="NI350" i="1"/>
  <c r="NR350" i="1"/>
  <c r="OA350" i="1" s="1"/>
  <c r="OJ350" i="1" s="1"/>
  <c r="OS350" i="1" s="1"/>
  <c r="PB350" i="1" s="1"/>
  <c r="PK350" i="1" s="1"/>
  <c r="PT350" i="1" s="1"/>
  <c r="QC350" i="1" s="1"/>
  <c r="QL350" i="1" s="1"/>
  <c r="QU350" i="1" s="1"/>
  <c r="RD350" i="1" s="1"/>
  <c r="RM350" i="1" s="1"/>
  <c r="RV350" i="1" s="1"/>
  <c r="SE350" i="1" s="1"/>
  <c r="SN350" i="1" s="1"/>
  <c r="SW350" i="1" s="1"/>
  <c r="TF350" i="1" s="1"/>
  <c r="TO350" i="1" s="1"/>
  <c r="TX350" i="1" s="1"/>
  <c r="UG350" i="1" s="1"/>
  <c r="UP350" i="1" s="1"/>
  <c r="UY350" i="1" s="1"/>
  <c r="VH350" i="1" s="1"/>
  <c r="VQ350" i="1" s="1"/>
  <c r="VZ350" i="1" s="1"/>
  <c r="WI350" i="1" s="1"/>
  <c r="WR350" i="1" s="1"/>
  <c r="XA350" i="1" s="1"/>
  <c r="XJ350" i="1" s="1"/>
  <c r="XS350" i="1" s="1"/>
  <c r="YB350" i="1" s="1"/>
  <c r="YK350" i="1" s="1"/>
  <c r="YT350" i="1" s="1"/>
  <c r="ZC350" i="1" s="1"/>
  <c r="ZL350" i="1" s="1"/>
  <c r="ZU350" i="1" s="1"/>
  <c r="AAD350" i="1" s="1"/>
  <c r="AAM350" i="1" s="1"/>
  <c r="AAV350" i="1" s="1"/>
  <c r="ABE350" i="1" s="1"/>
  <c r="NI325" i="1"/>
  <c r="NR325" i="1"/>
  <c r="OA325" i="1" s="1"/>
  <c r="OJ325" i="1" s="1"/>
  <c r="OS325" i="1" s="1"/>
  <c r="PB325" i="1" s="1"/>
  <c r="PK325" i="1" s="1"/>
  <c r="PT325" i="1" s="1"/>
  <c r="QC325" i="1" s="1"/>
  <c r="QL325" i="1" s="1"/>
  <c r="QU325" i="1" s="1"/>
  <c r="RD325" i="1" s="1"/>
  <c r="RM325" i="1" s="1"/>
  <c r="RV325" i="1" s="1"/>
  <c r="SE325" i="1" s="1"/>
  <c r="SN325" i="1" s="1"/>
  <c r="SW325" i="1" s="1"/>
  <c r="TF325" i="1" s="1"/>
  <c r="TO325" i="1" s="1"/>
  <c r="TX325" i="1" s="1"/>
  <c r="UG325" i="1" s="1"/>
  <c r="UP325" i="1" s="1"/>
  <c r="UY325" i="1" s="1"/>
  <c r="VH325" i="1" s="1"/>
  <c r="VQ325" i="1" s="1"/>
  <c r="VZ325" i="1" s="1"/>
  <c r="WI325" i="1" s="1"/>
  <c r="WR325" i="1" s="1"/>
  <c r="XA325" i="1" s="1"/>
  <c r="XJ325" i="1" s="1"/>
  <c r="XS325" i="1" s="1"/>
  <c r="YB325" i="1" s="1"/>
  <c r="YK325" i="1" s="1"/>
  <c r="YT325" i="1" s="1"/>
  <c r="ZC325" i="1" s="1"/>
  <c r="ZL325" i="1" s="1"/>
  <c r="ZU325" i="1" s="1"/>
  <c r="AAD325" i="1" s="1"/>
  <c r="AAM325" i="1" s="1"/>
  <c r="AAV325" i="1" s="1"/>
  <c r="ABE325" i="1" s="1"/>
  <c r="NI305" i="1"/>
  <c r="NR305" i="1"/>
  <c r="OA305" i="1" s="1"/>
  <c r="OJ305" i="1" s="1"/>
  <c r="OS305" i="1" s="1"/>
  <c r="PB305" i="1" s="1"/>
  <c r="PK305" i="1" s="1"/>
  <c r="PT305" i="1" s="1"/>
  <c r="QC305" i="1" s="1"/>
  <c r="QL305" i="1" s="1"/>
  <c r="QU305" i="1" s="1"/>
  <c r="RD305" i="1" s="1"/>
  <c r="RM305" i="1" s="1"/>
  <c r="RV305" i="1" s="1"/>
  <c r="SE305" i="1" s="1"/>
  <c r="SN305" i="1" s="1"/>
  <c r="SW305" i="1" s="1"/>
  <c r="TF305" i="1" s="1"/>
  <c r="TO305" i="1" s="1"/>
  <c r="TX305" i="1" s="1"/>
  <c r="UG305" i="1" s="1"/>
  <c r="UP305" i="1" s="1"/>
  <c r="UY305" i="1" s="1"/>
  <c r="VH305" i="1" s="1"/>
  <c r="VQ305" i="1" s="1"/>
  <c r="VZ305" i="1" s="1"/>
  <c r="WI305" i="1" s="1"/>
  <c r="WR305" i="1" s="1"/>
  <c r="XA305" i="1" s="1"/>
  <c r="XJ305" i="1" s="1"/>
  <c r="XS305" i="1" s="1"/>
  <c r="YB305" i="1" s="1"/>
  <c r="YK305" i="1" s="1"/>
  <c r="YT305" i="1" s="1"/>
  <c r="ZC305" i="1" s="1"/>
  <c r="ZL305" i="1" s="1"/>
  <c r="ZU305" i="1" s="1"/>
  <c r="AAD305" i="1" s="1"/>
  <c r="AAM305" i="1" s="1"/>
  <c r="AAV305" i="1" s="1"/>
  <c r="ABE305" i="1" s="1"/>
  <c r="NI304" i="1"/>
  <c r="NR304" i="1"/>
  <c r="OA304" i="1" s="1"/>
  <c r="OJ304" i="1" s="1"/>
  <c r="OS304" i="1" s="1"/>
  <c r="PB304" i="1" s="1"/>
  <c r="PK304" i="1" s="1"/>
  <c r="PT304" i="1" s="1"/>
  <c r="QC304" i="1" s="1"/>
  <c r="QL304" i="1" s="1"/>
  <c r="QU304" i="1" s="1"/>
  <c r="RD304" i="1" s="1"/>
  <c r="RM304" i="1" s="1"/>
  <c r="RV304" i="1" s="1"/>
  <c r="SE304" i="1" s="1"/>
  <c r="SN304" i="1" s="1"/>
  <c r="SW304" i="1" s="1"/>
  <c r="TF304" i="1" s="1"/>
  <c r="TO304" i="1" s="1"/>
  <c r="TX304" i="1" s="1"/>
  <c r="UG304" i="1" s="1"/>
  <c r="UP304" i="1" s="1"/>
  <c r="UY304" i="1" s="1"/>
  <c r="VH304" i="1" s="1"/>
  <c r="VQ304" i="1" s="1"/>
  <c r="VZ304" i="1" s="1"/>
  <c r="WI304" i="1" s="1"/>
  <c r="WR304" i="1" s="1"/>
  <c r="XA304" i="1" s="1"/>
  <c r="XJ304" i="1" s="1"/>
  <c r="XS304" i="1" s="1"/>
  <c r="YB304" i="1" s="1"/>
  <c r="YK304" i="1" s="1"/>
  <c r="YT304" i="1" s="1"/>
  <c r="ZC304" i="1" s="1"/>
  <c r="ZL304" i="1" s="1"/>
  <c r="ZU304" i="1" s="1"/>
  <c r="AAD304" i="1" s="1"/>
  <c r="AAM304" i="1" s="1"/>
  <c r="AAV304" i="1" s="1"/>
  <c r="ABE304" i="1" s="1"/>
  <c r="NI317" i="1"/>
  <c r="NR317" i="1"/>
  <c r="OA317" i="1" s="1"/>
  <c r="OJ317" i="1" s="1"/>
  <c r="OS317" i="1" s="1"/>
  <c r="PB317" i="1" s="1"/>
  <c r="PK317" i="1" s="1"/>
  <c r="PT317" i="1" s="1"/>
  <c r="QC317" i="1" s="1"/>
  <c r="QL317" i="1" s="1"/>
  <c r="QU317" i="1" s="1"/>
  <c r="RD317" i="1" s="1"/>
  <c r="RM317" i="1" s="1"/>
  <c r="RV317" i="1" s="1"/>
  <c r="SE317" i="1" s="1"/>
  <c r="SN317" i="1" s="1"/>
  <c r="SW317" i="1" s="1"/>
  <c r="TF317" i="1" s="1"/>
  <c r="TO317" i="1" s="1"/>
  <c r="TX317" i="1" s="1"/>
  <c r="UG317" i="1" s="1"/>
  <c r="UP317" i="1" s="1"/>
  <c r="UY317" i="1" s="1"/>
  <c r="VH317" i="1" s="1"/>
  <c r="VQ317" i="1" s="1"/>
  <c r="VZ317" i="1" s="1"/>
  <c r="WI317" i="1" s="1"/>
  <c r="WR317" i="1" s="1"/>
  <c r="XA317" i="1" s="1"/>
  <c r="XJ317" i="1" s="1"/>
  <c r="XS317" i="1" s="1"/>
  <c r="YB317" i="1" s="1"/>
  <c r="YK317" i="1" s="1"/>
  <c r="YT317" i="1" s="1"/>
  <c r="ZC317" i="1" s="1"/>
  <c r="ZL317" i="1" s="1"/>
  <c r="ZU317" i="1" s="1"/>
  <c r="AAD317" i="1" s="1"/>
  <c r="AAM317" i="1" s="1"/>
  <c r="AAV317" i="1" s="1"/>
  <c r="ABE317" i="1" s="1"/>
  <c r="NI295" i="1"/>
  <c r="NR295" i="1"/>
  <c r="OA295" i="1" s="1"/>
  <c r="OJ295" i="1" s="1"/>
  <c r="OS295" i="1" s="1"/>
  <c r="PB295" i="1" s="1"/>
  <c r="PK295" i="1" s="1"/>
  <c r="PT295" i="1" s="1"/>
  <c r="QC295" i="1" s="1"/>
  <c r="QL295" i="1" s="1"/>
  <c r="QU295" i="1" s="1"/>
  <c r="RD295" i="1" s="1"/>
  <c r="RM295" i="1" s="1"/>
  <c r="RV295" i="1" s="1"/>
  <c r="SE295" i="1" s="1"/>
  <c r="SN295" i="1" s="1"/>
  <c r="SW295" i="1" s="1"/>
  <c r="TF295" i="1" s="1"/>
  <c r="TO295" i="1" s="1"/>
  <c r="TX295" i="1" s="1"/>
  <c r="UG295" i="1" s="1"/>
  <c r="UP295" i="1" s="1"/>
  <c r="UY295" i="1" s="1"/>
  <c r="VH295" i="1" s="1"/>
  <c r="VQ295" i="1" s="1"/>
  <c r="VZ295" i="1" s="1"/>
  <c r="WI295" i="1" s="1"/>
  <c r="WR295" i="1" s="1"/>
  <c r="XA295" i="1" s="1"/>
  <c r="XJ295" i="1" s="1"/>
  <c r="XS295" i="1" s="1"/>
  <c r="YB295" i="1" s="1"/>
  <c r="YK295" i="1" s="1"/>
  <c r="YT295" i="1" s="1"/>
  <c r="ZC295" i="1" s="1"/>
  <c r="ZL295" i="1" s="1"/>
  <c r="ZU295" i="1" s="1"/>
  <c r="AAD295" i="1" s="1"/>
  <c r="AAM295" i="1" s="1"/>
  <c r="AAV295" i="1" s="1"/>
  <c r="ABE295" i="1" s="1"/>
  <c r="NI311" i="1"/>
  <c r="NR311" i="1"/>
  <c r="OA311" i="1" s="1"/>
  <c r="OJ311" i="1" s="1"/>
  <c r="OS311" i="1" s="1"/>
  <c r="PB311" i="1" s="1"/>
  <c r="PK311" i="1" s="1"/>
  <c r="PT311" i="1" s="1"/>
  <c r="QC311" i="1" s="1"/>
  <c r="QL311" i="1" s="1"/>
  <c r="QU311" i="1" s="1"/>
  <c r="RD311" i="1" s="1"/>
  <c r="RM311" i="1" s="1"/>
  <c r="RV311" i="1" s="1"/>
  <c r="SE311" i="1" s="1"/>
  <c r="SN311" i="1" s="1"/>
  <c r="SW311" i="1" s="1"/>
  <c r="TF311" i="1" s="1"/>
  <c r="TO311" i="1" s="1"/>
  <c r="TX311" i="1" s="1"/>
  <c r="UG311" i="1" s="1"/>
  <c r="UP311" i="1" s="1"/>
  <c r="UY311" i="1" s="1"/>
  <c r="VH311" i="1" s="1"/>
  <c r="VQ311" i="1" s="1"/>
  <c r="VZ311" i="1" s="1"/>
  <c r="WI311" i="1" s="1"/>
  <c r="WR311" i="1" s="1"/>
  <c r="XA311" i="1" s="1"/>
  <c r="XJ311" i="1" s="1"/>
  <c r="XS311" i="1" s="1"/>
  <c r="YB311" i="1" s="1"/>
  <c r="YK311" i="1" s="1"/>
  <c r="YT311" i="1" s="1"/>
  <c r="ZC311" i="1" s="1"/>
  <c r="ZL311" i="1" s="1"/>
  <c r="ZU311" i="1" s="1"/>
  <c r="AAD311" i="1" s="1"/>
  <c r="AAM311" i="1" s="1"/>
  <c r="AAV311" i="1" s="1"/>
  <c r="ABE311" i="1" s="1"/>
  <c r="NI300" i="1"/>
  <c r="NR300" i="1"/>
  <c r="OA300" i="1" s="1"/>
  <c r="OJ300" i="1" s="1"/>
  <c r="OS300" i="1" s="1"/>
  <c r="PB300" i="1" s="1"/>
  <c r="PK300" i="1" s="1"/>
  <c r="PT300" i="1" s="1"/>
  <c r="QC300" i="1" s="1"/>
  <c r="QL300" i="1" s="1"/>
  <c r="QU300" i="1" s="1"/>
  <c r="RD300" i="1" s="1"/>
  <c r="RM300" i="1" s="1"/>
  <c r="RV300" i="1" s="1"/>
  <c r="SE300" i="1" s="1"/>
  <c r="SN300" i="1" s="1"/>
  <c r="SW300" i="1" s="1"/>
  <c r="TF300" i="1" s="1"/>
  <c r="TO300" i="1" s="1"/>
  <c r="TX300" i="1" s="1"/>
  <c r="UG300" i="1" s="1"/>
  <c r="UP300" i="1" s="1"/>
  <c r="UY300" i="1" s="1"/>
  <c r="VH300" i="1" s="1"/>
  <c r="VQ300" i="1" s="1"/>
  <c r="VZ300" i="1" s="1"/>
  <c r="WI300" i="1" s="1"/>
  <c r="WR300" i="1" s="1"/>
  <c r="XA300" i="1" s="1"/>
  <c r="XJ300" i="1" s="1"/>
  <c r="XS300" i="1" s="1"/>
  <c r="YB300" i="1" s="1"/>
  <c r="YK300" i="1" s="1"/>
  <c r="YT300" i="1" s="1"/>
  <c r="ZC300" i="1" s="1"/>
  <c r="ZL300" i="1" s="1"/>
  <c r="ZU300" i="1" s="1"/>
  <c r="AAD300" i="1" s="1"/>
  <c r="AAM300" i="1" s="1"/>
  <c r="AAV300" i="1" s="1"/>
  <c r="ABE300" i="1" s="1"/>
  <c r="NI307" i="1"/>
  <c r="NR307" i="1"/>
  <c r="OA307" i="1" s="1"/>
  <c r="OJ307" i="1" s="1"/>
  <c r="OS307" i="1" s="1"/>
  <c r="PB307" i="1" s="1"/>
  <c r="PK307" i="1" s="1"/>
  <c r="PT307" i="1" s="1"/>
  <c r="QC307" i="1" s="1"/>
  <c r="QL307" i="1" s="1"/>
  <c r="QU307" i="1" s="1"/>
  <c r="RD307" i="1" s="1"/>
  <c r="RM307" i="1" s="1"/>
  <c r="RV307" i="1" s="1"/>
  <c r="SE307" i="1" s="1"/>
  <c r="SN307" i="1" s="1"/>
  <c r="SW307" i="1" s="1"/>
  <c r="TF307" i="1" s="1"/>
  <c r="TO307" i="1" s="1"/>
  <c r="TX307" i="1" s="1"/>
  <c r="UG307" i="1" s="1"/>
  <c r="UP307" i="1" s="1"/>
  <c r="UY307" i="1" s="1"/>
  <c r="VH307" i="1" s="1"/>
  <c r="VQ307" i="1" s="1"/>
  <c r="VZ307" i="1" s="1"/>
  <c r="WI307" i="1" s="1"/>
  <c r="WR307" i="1" s="1"/>
  <c r="XA307" i="1" s="1"/>
  <c r="XJ307" i="1" s="1"/>
  <c r="XS307" i="1" s="1"/>
  <c r="YB307" i="1" s="1"/>
  <c r="YK307" i="1" s="1"/>
  <c r="YT307" i="1" s="1"/>
  <c r="ZC307" i="1" s="1"/>
  <c r="ZL307" i="1" s="1"/>
  <c r="ZU307" i="1" s="1"/>
  <c r="AAD307" i="1" s="1"/>
  <c r="AAM307" i="1" s="1"/>
  <c r="AAV307" i="1" s="1"/>
  <c r="ABE307" i="1" s="1"/>
  <c r="NI315" i="1"/>
  <c r="NR315" i="1"/>
  <c r="OA315" i="1" s="1"/>
  <c r="OJ315" i="1" s="1"/>
  <c r="OS315" i="1" s="1"/>
  <c r="PB315" i="1" s="1"/>
  <c r="PK315" i="1" s="1"/>
  <c r="PT315" i="1" s="1"/>
  <c r="QC315" i="1" s="1"/>
  <c r="QL315" i="1" s="1"/>
  <c r="QU315" i="1" s="1"/>
  <c r="RD315" i="1" s="1"/>
  <c r="RM315" i="1" s="1"/>
  <c r="RV315" i="1" s="1"/>
  <c r="SE315" i="1" s="1"/>
  <c r="SN315" i="1" s="1"/>
  <c r="SW315" i="1" s="1"/>
  <c r="TF315" i="1" s="1"/>
  <c r="TO315" i="1" s="1"/>
  <c r="TX315" i="1" s="1"/>
  <c r="UG315" i="1" s="1"/>
  <c r="UP315" i="1" s="1"/>
  <c r="UY315" i="1" s="1"/>
  <c r="VH315" i="1" s="1"/>
  <c r="VQ315" i="1" s="1"/>
  <c r="VZ315" i="1" s="1"/>
  <c r="WI315" i="1" s="1"/>
  <c r="WR315" i="1" s="1"/>
  <c r="XA315" i="1" s="1"/>
  <c r="XJ315" i="1" s="1"/>
  <c r="XS315" i="1" s="1"/>
  <c r="YB315" i="1" s="1"/>
  <c r="YK315" i="1" s="1"/>
  <c r="YT315" i="1" s="1"/>
  <c r="ZC315" i="1" s="1"/>
  <c r="ZL315" i="1" s="1"/>
  <c r="ZU315" i="1" s="1"/>
  <c r="AAD315" i="1" s="1"/>
  <c r="AAM315" i="1" s="1"/>
  <c r="AAV315" i="1" s="1"/>
  <c r="ABE315" i="1" s="1"/>
  <c r="NI319" i="1"/>
  <c r="NR319" i="1"/>
  <c r="OA319" i="1" s="1"/>
  <c r="OJ319" i="1" s="1"/>
  <c r="OS319" i="1" s="1"/>
  <c r="PB319" i="1" s="1"/>
  <c r="PK319" i="1" s="1"/>
  <c r="PT319" i="1" s="1"/>
  <c r="QC319" i="1" s="1"/>
  <c r="QL319" i="1" s="1"/>
  <c r="QU319" i="1" s="1"/>
  <c r="RD319" i="1" s="1"/>
  <c r="RM319" i="1" s="1"/>
  <c r="RV319" i="1" s="1"/>
  <c r="SE319" i="1" s="1"/>
  <c r="SN319" i="1" s="1"/>
  <c r="SW319" i="1" s="1"/>
  <c r="TF319" i="1" s="1"/>
  <c r="TO319" i="1" s="1"/>
  <c r="TX319" i="1" s="1"/>
  <c r="UG319" i="1" s="1"/>
  <c r="UP319" i="1" s="1"/>
  <c r="UY319" i="1" s="1"/>
  <c r="VH319" i="1" s="1"/>
  <c r="VQ319" i="1" s="1"/>
  <c r="VZ319" i="1" s="1"/>
  <c r="WI319" i="1" s="1"/>
  <c r="WR319" i="1" s="1"/>
  <c r="XA319" i="1" s="1"/>
  <c r="XJ319" i="1" s="1"/>
  <c r="XS319" i="1" s="1"/>
  <c r="YB319" i="1" s="1"/>
  <c r="YK319" i="1" s="1"/>
  <c r="YT319" i="1" s="1"/>
  <c r="ZC319" i="1" s="1"/>
  <c r="ZL319" i="1" s="1"/>
  <c r="ZU319" i="1" s="1"/>
  <c r="AAD319" i="1" s="1"/>
  <c r="AAM319" i="1" s="1"/>
  <c r="AAV319" i="1" s="1"/>
  <c r="ABE319" i="1" s="1"/>
  <c r="NI310" i="1"/>
  <c r="NR310" i="1"/>
  <c r="OA310" i="1" s="1"/>
  <c r="OJ310" i="1" s="1"/>
  <c r="OS310" i="1" s="1"/>
  <c r="PB310" i="1" s="1"/>
  <c r="PK310" i="1" s="1"/>
  <c r="PT310" i="1" s="1"/>
  <c r="QC310" i="1" s="1"/>
  <c r="QL310" i="1" s="1"/>
  <c r="QU310" i="1" s="1"/>
  <c r="RD310" i="1" s="1"/>
  <c r="RM310" i="1" s="1"/>
  <c r="RV310" i="1" s="1"/>
  <c r="SE310" i="1" s="1"/>
  <c r="SN310" i="1" s="1"/>
  <c r="SW310" i="1" s="1"/>
  <c r="TF310" i="1" s="1"/>
  <c r="TO310" i="1" s="1"/>
  <c r="TX310" i="1" s="1"/>
  <c r="UG310" i="1" s="1"/>
  <c r="UP310" i="1" s="1"/>
  <c r="UY310" i="1" s="1"/>
  <c r="VH310" i="1" s="1"/>
  <c r="VQ310" i="1" s="1"/>
  <c r="VZ310" i="1" s="1"/>
  <c r="WI310" i="1" s="1"/>
  <c r="WR310" i="1" s="1"/>
  <c r="XA310" i="1" s="1"/>
  <c r="XJ310" i="1" s="1"/>
  <c r="XS310" i="1" s="1"/>
  <c r="YB310" i="1" s="1"/>
  <c r="YK310" i="1" s="1"/>
  <c r="YT310" i="1" s="1"/>
  <c r="ZC310" i="1" s="1"/>
  <c r="ZL310" i="1" s="1"/>
  <c r="ZU310" i="1" s="1"/>
  <c r="AAD310" i="1" s="1"/>
  <c r="AAM310" i="1" s="1"/>
  <c r="AAV310" i="1" s="1"/>
  <c r="ABE310" i="1" s="1"/>
  <c r="NI293" i="1"/>
  <c r="NR293" i="1"/>
  <c r="OA293" i="1" s="1"/>
  <c r="OJ293" i="1" s="1"/>
  <c r="OS293" i="1" s="1"/>
  <c r="PB293" i="1" s="1"/>
  <c r="PK293" i="1" s="1"/>
  <c r="PT293" i="1" s="1"/>
  <c r="QC293" i="1" s="1"/>
  <c r="QL293" i="1" s="1"/>
  <c r="QU293" i="1" s="1"/>
  <c r="RD293" i="1" s="1"/>
  <c r="RM293" i="1" s="1"/>
  <c r="RV293" i="1" s="1"/>
  <c r="SE293" i="1" s="1"/>
  <c r="SN293" i="1" s="1"/>
  <c r="SW293" i="1" s="1"/>
  <c r="TF293" i="1" s="1"/>
  <c r="TO293" i="1" s="1"/>
  <c r="TX293" i="1" s="1"/>
  <c r="UG293" i="1" s="1"/>
  <c r="UP293" i="1" s="1"/>
  <c r="UY293" i="1" s="1"/>
  <c r="VH293" i="1" s="1"/>
  <c r="VQ293" i="1" s="1"/>
  <c r="VZ293" i="1" s="1"/>
  <c r="WI293" i="1" s="1"/>
  <c r="WR293" i="1" s="1"/>
  <c r="XA293" i="1" s="1"/>
  <c r="XJ293" i="1" s="1"/>
  <c r="XS293" i="1" s="1"/>
  <c r="YB293" i="1" s="1"/>
  <c r="YK293" i="1" s="1"/>
  <c r="YT293" i="1" s="1"/>
  <c r="ZC293" i="1" s="1"/>
  <c r="ZL293" i="1" s="1"/>
  <c r="ZU293" i="1" s="1"/>
  <c r="AAD293" i="1" s="1"/>
  <c r="AAM293" i="1" s="1"/>
  <c r="AAV293" i="1" s="1"/>
  <c r="ABE293" i="1" s="1"/>
  <c r="NI297" i="1"/>
  <c r="NR297" i="1"/>
  <c r="OA297" i="1" s="1"/>
  <c r="OJ297" i="1" s="1"/>
  <c r="OS297" i="1" s="1"/>
  <c r="PB297" i="1" s="1"/>
  <c r="PK297" i="1" s="1"/>
  <c r="PT297" i="1" s="1"/>
  <c r="QC297" i="1" s="1"/>
  <c r="QL297" i="1" s="1"/>
  <c r="QU297" i="1" s="1"/>
  <c r="RD297" i="1" s="1"/>
  <c r="RM297" i="1" s="1"/>
  <c r="RV297" i="1" s="1"/>
  <c r="SE297" i="1" s="1"/>
  <c r="SN297" i="1" s="1"/>
  <c r="SW297" i="1" s="1"/>
  <c r="TF297" i="1" s="1"/>
  <c r="TO297" i="1" s="1"/>
  <c r="TX297" i="1" s="1"/>
  <c r="UG297" i="1" s="1"/>
  <c r="UP297" i="1" s="1"/>
  <c r="UY297" i="1" s="1"/>
  <c r="VH297" i="1" s="1"/>
  <c r="VQ297" i="1" s="1"/>
  <c r="VZ297" i="1" s="1"/>
  <c r="WI297" i="1" s="1"/>
  <c r="WR297" i="1" s="1"/>
  <c r="XA297" i="1" s="1"/>
  <c r="XJ297" i="1" s="1"/>
  <c r="XS297" i="1" s="1"/>
  <c r="YB297" i="1" s="1"/>
  <c r="YK297" i="1" s="1"/>
  <c r="YT297" i="1" s="1"/>
  <c r="ZC297" i="1" s="1"/>
  <c r="ZL297" i="1" s="1"/>
  <c r="ZU297" i="1" s="1"/>
  <c r="AAD297" i="1" s="1"/>
  <c r="AAM297" i="1" s="1"/>
  <c r="AAV297" i="1" s="1"/>
  <c r="ABE297" i="1" s="1"/>
  <c r="NI301" i="1"/>
  <c r="NR301" i="1"/>
  <c r="OA301" i="1" s="1"/>
  <c r="OJ301" i="1" s="1"/>
  <c r="OS301" i="1" s="1"/>
  <c r="PB301" i="1" s="1"/>
  <c r="PK301" i="1" s="1"/>
  <c r="PT301" i="1" s="1"/>
  <c r="QC301" i="1" s="1"/>
  <c r="QL301" i="1" s="1"/>
  <c r="QU301" i="1" s="1"/>
  <c r="RD301" i="1" s="1"/>
  <c r="RM301" i="1" s="1"/>
  <c r="RV301" i="1" s="1"/>
  <c r="SE301" i="1" s="1"/>
  <c r="SN301" i="1" s="1"/>
  <c r="SW301" i="1" s="1"/>
  <c r="TF301" i="1" s="1"/>
  <c r="TO301" i="1" s="1"/>
  <c r="TX301" i="1" s="1"/>
  <c r="UG301" i="1" s="1"/>
  <c r="UP301" i="1" s="1"/>
  <c r="UY301" i="1" s="1"/>
  <c r="VH301" i="1" s="1"/>
  <c r="VQ301" i="1" s="1"/>
  <c r="VZ301" i="1" s="1"/>
  <c r="WI301" i="1" s="1"/>
  <c r="WR301" i="1" s="1"/>
  <c r="XA301" i="1" s="1"/>
  <c r="XJ301" i="1" s="1"/>
  <c r="XS301" i="1" s="1"/>
  <c r="YB301" i="1" s="1"/>
  <c r="YK301" i="1" s="1"/>
  <c r="YT301" i="1" s="1"/>
  <c r="ZC301" i="1" s="1"/>
  <c r="ZL301" i="1" s="1"/>
  <c r="ZU301" i="1" s="1"/>
  <c r="AAD301" i="1" s="1"/>
  <c r="AAM301" i="1" s="1"/>
  <c r="AAV301" i="1" s="1"/>
  <c r="ABE301" i="1" s="1"/>
  <c r="NI302" i="1"/>
  <c r="NR302" i="1"/>
  <c r="OA302" i="1" s="1"/>
  <c r="OJ302" i="1" s="1"/>
  <c r="OS302" i="1" s="1"/>
  <c r="PB302" i="1" s="1"/>
  <c r="PK302" i="1" s="1"/>
  <c r="PT302" i="1" s="1"/>
  <c r="QC302" i="1" s="1"/>
  <c r="QL302" i="1" s="1"/>
  <c r="QU302" i="1" s="1"/>
  <c r="RD302" i="1" s="1"/>
  <c r="RM302" i="1" s="1"/>
  <c r="RV302" i="1" s="1"/>
  <c r="SE302" i="1" s="1"/>
  <c r="SN302" i="1" s="1"/>
  <c r="SW302" i="1" s="1"/>
  <c r="TF302" i="1" s="1"/>
  <c r="TO302" i="1" s="1"/>
  <c r="TX302" i="1" s="1"/>
  <c r="UG302" i="1" s="1"/>
  <c r="UP302" i="1" s="1"/>
  <c r="UY302" i="1" s="1"/>
  <c r="VH302" i="1" s="1"/>
  <c r="VQ302" i="1" s="1"/>
  <c r="VZ302" i="1" s="1"/>
  <c r="WI302" i="1" s="1"/>
  <c r="WR302" i="1" s="1"/>
  <c r="XA302" i="1" s="1"/>
  <c r="XJ302" i="1" s="1"/>
  <c r="XS302" i="1" s="1"/>
  <c r="YB302" i="1" s="1"/>
  <c r="YK302" i="1" s="1"/>
  <c r="YT302" i="1" s="1"/>
  <c r="ZC302" i="1" s="1"/>
  <c r="ZL302" i="1" s="1"/>
  <c r="ZU302" i="1" s="1"/>
  <c r="AAD302" i="1" s="1"/>
  <c r="AAM302" i="1" s="1"/>
  <c r="AAV302" i="1" s="1"/>
  <c r="ABE302" i="1" s="1"/>
  <c r="NI292" i="1"/>
  <c r="NR292" i="1"/>
  <c r="OA292" i="1" s="1"/>
  <c r="OJ292" i="1" s="1"/>
  <c r="OS292" i="1" s="1"/>
  <c r="PB292" i="1" s="1"/>
  <c r="PK292" i="1" s="1"/>
  <c r="PT292" i="1" s="1"/>
  <c r="QC292" i="1" s="1"/>
  <c r="QL292" i="1" s="1"/>
  <c r="QU292" i="1" s="1"/>
  <c r="RD292" i="1" s="1"/>
  <c r="RM292" i="1" s="1"/>
  <c r="RV292" i="1" s="1"/>
  <c r="SE292" i="1" s="1"/>
  <c r="SN292" i="1" s="1"/>
  <c r="SW292" i="1" s="1"/>
  <c r="TF292" i="1" s="1"/>
  <c r="TO292" i="1" s="1"/>
  <c r="TX292" i="1" s="1"/>
  <c r="UG292" i="1" s="1"/>
  <c r="UP292" i="1" s="1"/>
  <c r="UY292" i="1" s="1"/>
  <c r="VH292" i="1" s="1"/>
  <c r="VQ292" i="1" s="1"/>
  <c r="VZ292" i="1" s="1"/>
  <c r="WI292" i="1" s="1"/>
  <c r="WR292" i="1" s="1"/>
  <c r="XA292" i="1" s="1"/>
  <c r="XJ292" i="1" s="1"/>
  <c r="XS292" i="1" s="1"/>
  <c r="YB292" i="1" s="1"/>
  <c r="YK292" i="1" s="1"/>
  <c r="YT292" i="1" s="1"/>
  <c r="ZC292" i="1" s="1"/>
  <c r="ZL292" i="1" s="1"/>
  <c r="ZU292" i="1" s="1"/>
  <c r="AAD292" i="1" s="1"/>
  <c r="AAM292" i="1" s="1"/>
  <c r="AAV292" i="1" s="1"/>
  <c r="ABE292" i="1" s="1"/>
  <c r="NI314" i="1"/>
  <c r="NR314" i="1"/>
  <c r="OA314" i="1" s="1"/>
  <c r="OJ314" i="1" s="1"/>
  <c r="OS314" i="1" s="1"/>
  <c r="PB314" i="1" s="1"/>
  <c r="PK314" i="1" s="1"/>
  <c r="PT314" i="1" s="1"/>
  <c r="QC314" i="1" s="1"/>
  <c r="QL314" i="1" s="1"/>
  <c r="QU314" i="1" s="1"/>
  <c r="RD314" i="1" s="1"/>
  <c r="RM314" i="1" s="1"/>
  <c r="RV314" i="1" s="1"/>
  <c r="SE314" i="1" s="1"/>
  <c r="SN314" i="1" s="1"/>
  <c r="SW314" i="1" s="1"/>
  <c r="TF314" i="1" s="1"/>
  <c r="TO314" i="1" s="1"/>
  <c r="TX314" i="1" s="1"/>
  <c r="UG314" i="1" s="1"/>
  <c r="UP314" i="1" s="1"/>
  <c r="UY314" i="1" s="1"/>
  <c r="VH314" i="1" s="1"/>
  <c r="VQ314" i="1" s="1"/>
  <c r="VZ314" i="1" s="1"/>
  <c r="WI314" i="1" s="1"/>
  <c r="WR314" i="1" s="1"/>
  <c r="XA314" i="1" s="1"/>
  <c r="XJ314" i="1" s="1"/>
  <c r="XS314" i="1" s="1"/>
  <c r="YB314" i="1" s="1"/>
  <c r="YK314" i="1" s="1"/>
  <c r="YT314" i="1" s="1"/>
  <c r="ZC314" i="1" s="1"/>
  <c r="ZL314" i="1" s="1"/>
  <c r="ZU314" i="1" s="1"/>
  <c r="AAD314" i="1" s="1"/>
  <c r="AAM314" i="1" s="1"/>
  <c r="AAV314" i="1" s="1"/>
  <c r="ABE314" i="1" s="1"/>
  <c r="NI291" i="1"/>
  <c r="NR291" i="1"/>
  <c r="OA291" i="1" s="1"/>
  <c r="OJ291" i="1" s="1"/>
  <c r="OS291" i="1" s="1"/>
  <c r="PB291" i="1" s="1"/>
  <c r="PK291" i="1" s="1"/>
  <c r="PT291" i="1" s="1"/>
  <c r="QC291" i="1" s="1"/>
  <c r="QL291" i="1" s="1"/>
  <c r="QU291" i="1" s="1"/>
  <c r="RD291" i="1" s="1"/>
  <c r="RM291" i="1" s="1"/>
  <c r="RV291" i="1" s="1"/>
  <c r="SE291" i="1" s="1"/>
  <c r="SN291" i="1" s="1"/>
  <c r="SW291" i="1" s="1"/>
  <c r="TF291" i="1" s="1"/>
  <c r="TO291" i="1" s="1"/>
  <c r="TX291" i="1" s="1"/>
  <c r="UG291" i="1" s="1"/>
  <c r="UP291" i="1" s="1"/>
  <c r="UY291" i="1" s="1"/>
  <c r="VH291" i="1" s="1"/>
  <c r="VQ291" i="1" s="1"/>
  <c r="VZ291" i="1" s="1"/>
  <c r="WI291" i="1" s="1"/>
  <c r="WR291" i="1" s="1"/>
  <c r="XA291" i="1" s="1"/>
  <c r="XJ291" i="1" s="1"/>
  <c r="XS291" i="1" s="1"/>
  <c r="YB291" i="1" s="1"/>
  <c r="YK291" i="1" s="1"/>
  <c r="YT291" i="1" s="1"/>
  <c r="ZC291" i="1" s="1"/>
  <c r="ZL291" i="1" s="1"/>
  <c r="ZU291" i="1" s="1"/>
  <c r="AAD291" i="1" s="1"/>
  <c r="AAM291" i="1" s="1"/>
  <c r="AAV291" i="1" s="1"/>
  <c r="ABE291" i="1" s="1"/>
  <c r="NI309" i="1"/>
  <c r="NR309" i="1"/>
  <c r="OA309" i="1" s="1"/>
  <c r="OJ309" i="1" s="1"/>
  <c r="OS309" i="1" s="1"/>
  <c r="PB309" i="1" s="1"/>
  <c r="PK309" i="1" s="1"/>
  <c r="PT309" i="1" s="1"/>
  <c r="QC309" i="1" s="1"/>
  <c r="QL309" i="1" s="1"/>
  <c r="QU309" i="1" s="1"/>
  <c r="RD309" i="1" s="1"/>
  <c r="RM309" i="1" s="1"/>
  <c r="RV309" i="1" s="1"/>
  <c r="SE309" i="1" s="1"/>
  <c r="SN309" i="1" s="1"/>
  <c r="SW309" i="1" s="1"/>
  <c r="TF309" i="1" s="1"/>
  <c r="TO309" i="1" s="1"/>
  <c r="TX309" i="1" s="1"/>
  <c r="UG309" i="1" s="1"/>
  <c r="UP309" i="1" s="1"/>
  <c r="UY309" i="1" s="1"/>
  <c r="VH309" i="1" s="1"/>
  <c r="VQ309" i="1" s="1"/>
  <c r="VZ309" i="1" s="1"/>
  <c r="WI309" i="1" s="1"/>
  <c r="WR309" i="1" s="1"/>
  <c r="XA309" i="1" s="1"/>
  <c r="XJ309" i="1" s="1"/>
  <c r="XS309" i="1" s="1"/>
  <c r="YB309" i="1" s="1"/>
  <c r="YK309" i="1" s="1"/>
  <c r="YT309" i="1" s="1"/>
  <c r="ZC309" i="1" s="1"/>
  <c r="ZL309" i="1" s="1"/>
  <c r="ZU309" i="1" s="1"/>
  <c r="AAD309" i="1" s="1"/>
  <c r="AAM309" i="1" s="1"/>
  <c r="AAV309" i="1" s="1"/>
  <c r="ABE309" i="1" s="1"/>
  <c r="NI313" i="1"/>
  <c r="NR313" i="1"/>
  <c r="OA313" i="1" s="1"/>
  <c r="OJ313" i="1" s="1"/>
  <c r="OS313" i="1" s="1"/>
  <c r="PB313" i="1" s="1"/>
  <c r="PK313" i="1" s="1"/>
  <c r="PT313" i="1" s="1"/>
  <c r="QC313" i="1" s="1"/>
  <c r="QL313" i="1" s="1"/>
  <c r="QU313" i="1" s="1"/>
  <c r="RD313" i="1" s="1"/>
  <c r="RM313" i="1" s="1"/>
  <c r="RV313" i="1" s="1"/>
  <c r="SE313" i="1" s="1"/>
  <c r="SN313" i="1" s="1"/>
  <c r="SW313" i="1" s="1"/>
  <c r="TF313" i="1" s="1"/>
  <c r="TO313" i="1" s="1"/>
  <c r="TX313" i="1" s="1"/>
  <c r="UG313" i="1" s="1"/>
  <c r="UP313" i="1" s="1"/>
  <c r="UY313" i="1" s="1"/>
  <c r="VH313" i="1" s="1"/>
  <c r="VQ313" i="1" s="1"/>
  <c r="VZ313" i="1" s="1"/>
  <c r="WI313" i="1" s="1"/>
  <c r="WR313" i="1" s="1"/>
  <c r="XA313" i="1" s="1"/>
  <c r="XJ313" i="1" s="1"/>
  <c r="XS313" i="1" s="1"/>
  <c r="YB313" i="1" s="1"/>
  <c r="YK313" i="1" s="1"/>
  <c r="YT313" i="1" s="1"/>
  <c r="ZC313" i="1" s="1"/>
  <c r="ZL313" i="1" s="1"/>
  <c r="ZU313" i="1" s="1"/>
  <c r="AAD313" i="1" s="1"/>
  <c r="AAM313" i="1" s="1"/>
  <c r="AAV313" i="1" s="1"/>
  <c r="ABE313" i="1" s="1"/>
  <c r="NI312" i="1"/>
  <c r="NR312" i="1"/>
  <c r="OA312" i="1" s="1"/>
  <c r="OJ312" i="1" s="1"/>
  <c r="OS312" i="1" s="1"/>
  <c r="PB312" i="1" s="1"/>
  <c r="PK312" i="1" s="1"/>
  <c r="PT312" i="1" s="1"/>
  <c r="QC312" i="1" s="1"/>
  <c r="QL312" i="1" s="1"/>
  <c r="QU312" i="1" s="1"/>
  <c r="RD312" i="1" s="1"/>
  <c r="RM312" i="1" s="1"/>
  <c r="RV312" i="1" s="1"/>
  <c r="SE312" i="1" s="1"/>
  <c r="SN312" i="1" s="1"/>
  <c r="SW312" i="1" s="1"/>
  <c r="TF312" i="1" s="1"/>
  <c r="TO312" i="1" s="1"/>
  <c r="TX312" i="1" s="1"/>
  <c r="UG312" i="1" s="1"/>
  <c r="UP312" i="1" s="1"/>
  <c r="UY312" i="1" s="1"/>
  <c r="VH312" i="1" s="1"/>
  <c r="VQ312" i="1" s="1"/>
  <c r="VZ312" i="1" s="1"/>
  <c r="WI312" i="1" s="1"/>
  <c r="WR312" i="1" s="1"/>
  <c r="XA312" i="1" s="1"/>
  <c r="XJ312" i="1" s="1"/>
  <c r="XS312" i="1" s="1"/>
  <c r="YB312" i="1" s="1"/>
  <c r="YK312" i="1" s="1"/>
  <c r="YT312" i="1" s="1"/>
  <c r="ZC312" i="1" s="1"/>
  <c r="ZL312" i="1" s="1"/>
  <c r="ZU312" i="1" s="1"/>
  <c r="AAD312" i="1" s="1"/>
  <c r="AAM312" i="1" s="1"/>
  <c r="AAV312" i="1" s="1"/>
  <c r="ABE312" i="1" s="1"/>
  <c r="NI306" i="1"/>
  <c r="NR306" i="1"/>
  <c r="OA306" i="1" s="1"/>
  <c r="OJ306" i="1" s="1"/>
  <c r="OS306" i="1" s="1"/>
  <c r="PB306" i="1" s="1"/>
  <c r="PK306" i="1" s="1"/>
  <c r="PT306" i="1" s="1"/>
  <c r="QC306" i="1" s="1"/>
  <c r="QL306" i="1" s="1"/>
  <c r="QU306" i="1" s="1"/>
  <c r="RD306" i="1" s="1"/>
  <c r="RM306" i="1" s="1"/>
  <c r="RV306" i="1" s="1"/>
  <c r="SE306" i="1" s="1"/>
  <c r="SN306" i="1" s="1"/>
  <c r="SW306" i="1" s="1"/>
  <c r="TF306" i="1" s="1"/>
  <c r="TO306" i="1" s="1"/>
  <c r="TX306" i="1" s="1"/>
  <c r="UG306" i="1" s="1"/>
  <c r="UP306" i="1" s="1"/>
  <c r="UY306" i="1" s="1"/>
  <c r="VH306" i="1" s="1"/>
  <c r="VQ306" i="1" s="1"/>
  <c r="VZ306" i="1" s="1"/>
  <c r="WI306" i="1" s="1"/>
  <c r="WR306" i="1" s="1"/>
  <c r="XA306" i="1" s="1"/>
  <c r="XJ306" i="1" s="1"/>
  <c r="XS306" i="1" s="1"/>
  <c r="YB306" i="1" s="1"/>
  <c r="YK306" i="1" s="1"/>
  <c r="YT306" i="1" s="1"/>
  <c r="ZC306" i="1" s="1"/>
  <c r="ZL306" i="1" s="1"/>
  <c r="ZU306" i="1" s="1"/>
  <c r="AAD306" i="1" s="1"/>
  <c r="AAM306" i="1" s="1"/>
  <c r="AAV306" i="1" s="1"/>
  <c r="ABE306" i="1" s="1"/>
  <c r="NR318" i="1"/>
  <c r="OA318" i="1" s="1"/>
  <c r="OJ318" i="1" s="1"/>
  <c r="OS318" i="1" s="1"/>
  <c r="PB318" i="1" s="1"/>
  <c r="PK318" i="1" s="1"/>
  <c r="PT318" i="1" s="1"/>
  <c r="QC318" i="1" s="1"/>
  <c r="QL318" i="1" s="1"/>
  <c r="QU318" i="1" s="1"/>
  <c r="RD318" i="1" s="1"/>
  <c r="RM318" i="1" s="1"/>
  <c r="RV318" i="1" s="1"/>
  <c r="SE318" i="1" s="1"/>
  <c r="SN318" i="1" s="1"/>
  <c r="SW318" i="1" s="1"/>
  <c r="TF318" i="1" s="1"/>
  <c r="TO318" i="1" s="1"/>
  <c r="TX318" i="1" s="1"/>
  <c r="UG318" i="1" s="1"/>
  <c r="UP318" i="1" s="1"/>
  <c r="UY318" i="1" s="1"/>
  <c r="VH318" i="1" s="1"/>
  <c r="VQ318" i="1" s="1"/>
  <c r="VZ318" i="1" s="1"/>
  <c r="WI318" i="1" s="1"/>
  <c r="WR318" i="1" s="1"/>
  <c r="XA318" i="1" s="1"/>
  <c r="XJ318" i="1" s="1"/>
  <c r="XS318" i="1" s="1"/>
  <c r="YB318" i="1" s="1"/>
  <c r="YK318" i="1" s="1"/>
  <c r="YT318" i="1" s="1"/>
  <c r="ZC318" i="1" s="1"/>
  <c r="ZL318" i="1" s="1"/>
  <c r="ZU318" i="1" s="1"/>
  <c r="AAD318" i="1" s="1"/>
  <c r="AAM318" i="1" s="1"/>
  <c r="AAV318" i="1" s="1"/>
  <c r="ABE318" i="1" s="1"/>
  <c r="NI276" i="1"/>
  <c r="NR276" i="1"/>
  <c r="OA276" i="1" s="1"/>
  <c r="OJ276" i="1" s="1"/>
  <c r="OS276" i="1" s="1"/>
  <c r="PB276" i="1" s="1"/>
  <c r="PK276" i="1" s="1"/>
  <c r="PT276" i="1" s="1"/>
  <c r="QC276" i="1" s="1"/>
  <c r="QL276" i="1" s="1"/>
  <c r="QU276" i="1" s="1"/>
  <c r="RD276" i="1" s="1"/>
  <c r="RM276" i="1" s="1"/>
  <c r="RV276" i="1" s="1"/>
  <c r="SE276" i="1" s="1"/>
  <c r="SN276" i="1" s="1"/>
  <c r="SW276" i="1" s="1"/>
  <c r="TF276" i="1" s="1"/>
  <c r="TO276" i="1" s="1"/>
  <c r="TX276" i="1" s="1"/>
  <c r="UG276" i="1" s="1"/>
  <c r="UP276" i="1" s="1"/>
  <c r="UY276" i="1" s="1"/>
  <c r="VH276" i="1" s="1"/>
  <c r="VQ276" i="1" s="1"/>
  <c r="VZ276" i="1" s="1"/>
  <c r="WI276" i="1" s="1"/>
  <c r="WR276" i="1" s="1"/>
  <c r="XA276" i="1" s="1"/>
  <c r="XJ276" i="1" s="1"/>
  <c r="XS276" i="1" s="1"/>
  <c r="YB276" i="1" s="1"/>
  <c r="YK276" i="1" s="1"/>
  <c r="YT276" i="1" s="1"/>
  <c r="ZC276" i="1" s="1"/>
  <c r="ZL276" i="1" s="1"/>
  <c r="ZU276" i="1" s="1"/>
  <c r="AAD276" i="1" s="1"/>
  <c r="AAM276" i="1" s="1"/>
  <c r="AAV276" i="1" s="1"/>
  <c r="ABE276" i="1" s="1"/>
  <c r="NI277" i="1"/>
  <c r="NR277" i="1"/>
  <c r="OA277" i="1" s="1"/>
  <c r="OJ277" i="1" s="1"/>
  <c r="OS277" i="1" s="1"/>
  <c r="PB277" i="1" s="1"/>
  <c r="PK277" i="1" s="1"/>
  <c r="PT277" i="1" s="1"/>
  <c r="QC277" i="1" s="1"/>
  <c r="QL277" i="1" s="1"/>
  <c r="QU277" i="1" s="1"/>
  <c r="RD277" i="1" s="1"/>
  <c r="RM277" i="1" s="1"/>
  <c r="RV277" i="1" s="1"/>
  <c r="SE277" i="1" s="1"/>
  <c r="SN277" i="1" s="1"/>
  <c r="SW277" i="1" s="1"/>
  <c r="TF277" i="1" s="1"/>
  <c r="TO277" i="1" s="1"/>
  <c r="TX277" i="1" s="1"/>
  <c r="UG277" i="1" s="1"/>
  <c r="UP277" i="1" s="1"/>
  <c r="UY277" i="1" s="1"/>
  <c r="VH277" i="1" s="1"/>
  <c r="VQ277" i="1" s="1"/>
  <c r="VZ277" i="1" s="1"/>
  <c r="WI277" i="1" s="1"/>
  <c r="WR277" i="1" s="1"/>
  <c r="XA277" i="1" s="1"/>
  <c r="XJ277" i="1" s="1"/>
  <c r="XS277" i="1" s="1"/>
  <c r="YB277" i="1" s="1"/>
  <c r="YK277" i="1" s="1"/>
  <c r="YT277" i="1" s="1"/>
  <c r="ZC277" i="1" s="1"/>
  <c r="ZL277" i="1" s="1"/>
  <c r="ZU277" i="1" s="1"/>
  <c r="AAD277" i="1" s="1"/>
  <c r="AAM277" i="1" s="1"/>
  <c r="AAV277" i="1" s="1"/>
  <c r="ABE277" i="1" s="1"/>
  <c r="NI272" i="1"/>
  <c r="NR272" i="1"/>
  <c r="OA272" i="1" s="1"/>
  <c r="OJ272" i="1" s="1"/>
  <c r="OS272" i="1" s="1"/>
  <c r="PB272" i="1" s="1"/>
  <c r="PK272" i="1" s="1"/>
  <c r="PT272" i="1" s="1"/>
  <c r="QC272" i="1" s="1"/>
  <c r="QL272" i="1" s="1"/>
  <c r="QU272" i="1" s="1"/>
  <c r="RD272" i="1" s="1"/>
  <c r="RM272" i="1" s="1"/>
  <c r="RV272" i="1" s="1"/>
  <c r="SE272" i="1" s="1"/>
  <c r="SN272" i="1" s="1"/>
  <c r="SW272" i="1" s="1"/>
  <c r="TF272" i="1" s="1"/>
  <c r="TO272" i="1" s="1"/>
  <c r="TX272" i="1" s="1"/>
  <c r="UG272" i="1" s="1"/>
  <c r="UP272" i="1" s="1"/>
  <c r="UY272" i="1" s="1"/>
  <c r="VH272" i="1" s="1"/>
  <c r="VQ272" i="1" s="1"/>
  <c r="VZ272" i="1" s="1"/>
  <c r="WI272" i="1" s="1"/>
  <c r="WR272" i="1" s="1"/>
  <c r="XA272" i="1" s="1"/>
  <c r="XJ272" i="1" s="1"/>
  <c r="XS272" i="1" s="1"/>
  <c r="YB272" i="1" s="1"/>
  <c r="YK272" i="1" s="1"/>
  <c r="YT272" i="1" s="1"/>
  <c r="ZC272" i="1" s="1"/>
  <c r="ZL272" i="1" s="1"/>
  <c r="ZU272" i="1" s="1"/>
  <c r="AAD272" i="1" s="1"/>
  <c r="AAM272" i="1" s="1"/>
  <c r="AAV272" i="1" s="1"/>
  <c r="ABE272" i="1" s="1"/>
  <c r="NI279" i="1"/>
  <c r="NR279" i="1"/>
  <c r="OA279" i="1" s="1"/>
  <c r="OJ279" i="1" s="1"/>
  <c r="OS279" i="1" s="1"/>
  <c r="PB279" i="1" s="1"/>
  <c r="PK279" i="1" s="1"/>
  <c r="PT279" i="1" s="1"/>
  <c r="QC279" i="1" s="1"/>
  <c r="QL279" i="1" s="1"/>
  <c r="QU279" i="1" s="1"/>
  <c r="RD279" i="1" s="1"/>
  <c r="RM279" i="1" s="1"/>
  <c r="RV279" i="1" s="1"/>
  <c r="SE279" i="1" s="1"/>
  <c r="SN279" i="1" s="1"/>
  <c r="SW279" i="1" s="1"/>
  <c r="TF279" i="1" s="1"/>
  <c r="TO279" i="1" s="1"/>
  <c r="TX279" i="1" s="1"/>
  <c r="UG279" i="1" s="1"/>
  <c r="UP279" i="1" s="1"/>
  <c r="UY279" i="1" s="1"/>
  <c r="VH279" i="1" s="1"/>
  <c r="VQ279" i="1" s="1"/>
  <c r="VZ279" i="1" s="1"/>
  <c r="WI279" i="1" s="1"/>
  <c r="WR279" i="1" s="1"/>
  <c r="XA279" i="1" s="1"/>
  <c r="XJ279" i="1" s="1"/>
  <c r="XS279" i="1" s="1"/>
  <c r="YB279" i="1" s="1"/>
  <c r="YK279" i="1" s="1"/>
  <c r="YT279" i="1" s="1"/>
  <c r="ZC279" i="1" s="1"/>
  <c r="ZL279" i="1" s="1"/>
  <c r="ZU279" i="1" s="1"/>
  <c r="AAD279" i="1" s="1"/>
  <c r="AAM279" i="1" s="1"/>
  <c r="AAV279" i="1" s="1"/>
  <c r="ABE279" i="1" s="1"/>
  <c r="NI282" i="1"/>
  <c r="NR282" i="1"/>
  <c r="OA282" i="1" s="1"/>
  <c r="OJ282" i="1" s="1"/>
  <c r="OS282" i="1" s="1"/>
  <c r="PB282" i="1" s="1"/>
  <c r="PK282" i="1" s="1"/>
  <c r="PT282" i="1" s="1"/>
  <c r="QC282" i="1" s="1"/>
  <c r="QL282" i="1" s="1"/>
  <c r="QU282" i="1" s="1"/>
  <c r="RD282" i="1" s="1"/>
  <c r="RM282" i="1" s="1"/>
  <c r="RV282" i="1" s="1"/>
  <c r="SE282" i="1" s="1"/>
  <c r="SN282" i="1" s="1"/>
  <c r="SW282" i="1" s="1"/>
  <c r="TF282" i="1" s="1"/>
  <c r="TO282" i="1" s="1"/>
  <c r="TX282" i="1" s="1"/>
  <c r="UG282" i="1" s="1"/>
  <c r="UP282" i="1" s="1"/>
  <c r="UY282" i="1" s="1"/>
  <c r="VH282" i="1" s="1"/>
  <c r="VQ282" i="1" s="1"/>
  <c r="VZ282" i="1" s="1"/>
  <c r="WI282" i="1" s="1"/>
  <c r="WR282" i="1" s="1"/>
  <c r="XA282" i="1" s="1"/>
  <c r="XJ282" i="1" s="1"/>
  <c r="XS282" i="1" s="1"/>
  <c r="YB282" i="1" s="1"/>
  <c r="YK282" i="1" s="1"/>
  <c r="YT282" i="1" s="1"/>
  <c r="ZC282" i="1" s="1"/>
  <c r="ZL282" i="1" s="1"/>
  <c r="ZU282" i="1" s="1"/>
  <c r="AAD282" i="1" s="1"/>
  <c r="AAM282" i="1" s="1"/>
  <c r="AAV282" i="1" s="1"/>
  <c r="ABE282" i="1" s="1"/>
  <c r="NI261" i="1"/>
  <c r="NR261" i="1"/>
  <c r="OA261" i="1" s="1"/>
  <c r="OJ261" i="1" s="1"/>
  <c r="OS261" i="1" s="1"/>
  <c r="PB261" i="1" s="1"/>
  <c r="PK261" i="1" s="1"/>
  <c r="PT261" i="1" s="1"/>
  <c r="QC261" i="1" s="1"/>
  <c r="QL261" i="1" s="1"/>
  <c r="QU261" i="1" s="1"/>
  <c r="RD261" i="1" s="1"/>
  <c r="RM261" i="1" s="1"/>
  <c r="RV261" i="1" s="1"/>
  <c r="SE261" i="1" s="1"/>
  <c r="SN261" i="1" s="1"/>
  <c r="SW261" i="1" s="1"/>
  <c r="TF261" i="1" s="1"/>
  <c r="TO261" i="1" s="1"/>
  <c r="TX261" i="1" s="1"/>
  <c r="UG261" i="1" s="1"/>
  <c r="UP261" i="1" s="1"/>
  <c r="UY261" i="1" s="1"/>
  <c r="VH261" i="1" s="1"/>
  <c r="VQ261" i="1" s="1"/>
  <c r="VZ261" i="1" s="1"/>
  <c r="WI261" i="1" s="1"/>
  <c r="WR261" i="1" s="1"/>
  <c r="XA261" i="1" s="1"/>
  <c r="XJ261" i="1" s="1"/>
  <c r="XS261" i="1" s="1"/>
  <c r="YB261" i="1" s="1"/>
  <c r="YK261" i="1" s="1"/>
  <c r="YT261" i="1" s="1"/>
  <c r="ZC261" i="1" s="1"/>
  <c r="ZL261" i="1" s="1"/>
  <c r="ZU261" i="1" s="1"/>
  <c r="AAD261" i="1" s="1"/>
  <c r="AAM261" i="1" s="1"/>
  <c r="AAV261" i="1" s="1"/>
  <c r="ABE261" i="1" s="1"/>
  <c r="NI263" i="1"/>
  <c r="NR263" i="1"/>
  <c r="OA263" i="1" s="1"/>
  <c r="OJ263" i="1" s="1"/>
  <c r="OS263" i="1" s="1"/>
  <c r="PB263" i="1" s="1"/>
  <c r="PK263" i="1" s="1"/>
  <c r="PT263" i="1" s="1"/>
  <c r="QC263" i="1" s="1"/>
  <c r="QL263" i="1" s="1"/>
  <c r="QU263" i="1" s="1"/>
  <c r="RD263" i="1" s="1"/>
  <c r="RM263" i="1" s="1"/>
  <c r="RV263" i="1" s="1"/>
  <c r="SE263" i="1" s="1"/>
  <c r="SN263" i="1" s="1"/>
  <c r="SW263" i="1" s="1"/>
  <c r="TF263" i="1" s="1"/>
  <c r="TO263" i="1" s="1"/>
  <c r="TX263" i="1" s="1"/>
  <c r="UG263" i="1" s="1"/>
  <c r="UP263" i="1" s="1"/>
  <c r="UY263" i="1" s="1"/>
  <c r="VH263" i="1" s="1"/>
  <c r="VQ263" i="1" s="1"/>
  <c r="VZ263" i="1" s="1"/>
  <c r="WI263" i="1" s="1"/>
  <c r="WR263" i="1" s="1"/>
  <c r="XA263" i="1" s="1"/>
  <c r="XJ263" i="1" s="1"/>
  <c r="XS263" i="1" s="1"/>
  <c r="YB263" i="1" s="1"/>
  <c r="YK263" i="1" s="1"/>
  <c r="YT263" i="1" s="1"/>
  <c r="ZC263" i="1" s="1"/>
  <c r="ZL263" i="1" s="1"/>
  <c r="ZU263" i="1" s="1"/>
  <c r="AAD263" i="1" s="1"/>
  <c r="AAM263" i="1" s="1"/>
  <c r="AAV263" i="1" s="1"/>
  <c r="ABE263" i="1" s="1"/>
  <c r="NI260" i="1"/>
  <c r="NR260" i="1"/>
  <c r="OA260" i="1" s="1"/>
  <c r="OJ260" i="1" s="1"/>
  <c r="OS260" i="1" s="1"/>
  <c r="PB260" i="1" s="1"/>
  <c r="PK260" i="1" s="1"/>
  <c r="PT260" i="1" s="1"/>
  <c r="QC260" i="1" s="1"/>
  <c r="QL260" i="1" s="1"/>
  <c r="QU260" i="1" s="1"/>
  <c r="RD260" i="1" s="1"/>
  <c r="RM260" i="1" s="1"/>
  <c r="RV260" i="1" s="1"/>
  <c r="SE260" i="1" s="1"/>
  <c r="SN260" i="1" s="1"/>
  <c r="SW260" i="1" s="1"/>
  <c r="TF260" i="1" s="1"/>
  <c r="TO260" i="1" s="1"/>
  <c r="TX260" i="1" s="1"/>
  <c r="UG260" i="1" s="1"/>
  <c r="UP260" i="1" s="1"/>
  <c r="UY260" i="1" s="1"/>
  <c r="VH260" i="1" s="1"/>
  <c r="VQ260" i="1" s="1"/>
  <c r="VZ260" i="1" s="1"/>
  <c r="WI260" i="1" s="1"/>
  <c r="WR260" i="1" s="1"/>
  <c r="XA260" i="1" s="1"/>
  <c r="XJ260" i="1" s="1"/>
  <c r="XS260" i="1" s="1"/>
  <c r="YB260" i="1" s="1"/>
  <c r="YK260" i="1" s="1"/>
  <c r="YT260" i="1" s="1"/>
  <c r="ZC260" i="1" s="1"/>
  <c r="ZL260" i="1" s="1"/>
  <c r="ZU260" i="1" s="1"/>
  <c r="AAD260" i="1" s="1"/>
  <c r="AAM260" i="1" s="1"/>
  <c r="AAV260" i="1" s="1"/>
  <c r="ABE260" i="1" s="1"/>
  <c r="NI284" i="1"/>
  <c r="NR284" i="1"/>
  <c r="OA284" i="1" s="1"/>
  <c r="OJ284" i="1" s="1"/>
  <c r="OS284" i="1" s="1"/>
  <c r="PB284" i="1" s="1"/>
  <c r="PK284" i="1" s="1"/>
  <c r="PT284" i="1" s="1"/>
  <c r="QC284" i="1" s="1"/>
  <c r="QL284" i="1" s="1"/>
  <c r="QU284" i="1" s="1"/>
  <c r="RD284" i="1" s="1"/>
  <c r="RM284" i="1" s="1"/>
  <c r="RV284" i="1" s="1"/>
  <c r="SE284" i="1" s="1"/>
  <c r="SN284" i="1" s="1"/>
  <c r="SW284" i="1" s="1"/>
  <c r="TF284" i="1" s="1"/>
  <c r="TO284" i="1" s="1"/>
  <c r="TX284" i="1" s="1"/>
  <c r="UG284" i="1" s="1"/>
  <c r="UP284" i="1" s="1"/>
  <c r="UY284" i="1" s="1"/>
  <c r="VH284" i="1" s="1"/>
  <c r="VQ284" i="1" s="1"/>
  <c r="VZ284" i="1" s="1"/>
  <c r="WI284" i="1" s="1"/>
  <c r="WR284" i="1" s="1"/>
  <c r="XA284" i="1" s="1"/>
  <c r="XJ284" i="1" s="1"/>
  <c r="XS284" i="1" s="1"/>
  <c r="YB284" i="1" s="1"/>
  <c r="YK284" i="1" s="1"/>
  <c r="YT284" i="1" s="1"/>
  <c r="ZC284" i="1" s="1"/>
  <c r="ZL284" i="1" s="1"/>
  <c r="ZU284" i="1" s="1"/>
  <c r="AAD284" i="1" s="1"/>
  <c r="AAM284" i="1" s="1"/>
  <c r="AAV284" i="1" s="1"/>
  <c r="ABE284" i="1" s="1"/>
  <c r="NI262" i="1"/>
  <c r="NR262" i="1"/>
  <c r="OA262" i="1" s="1"/>
  <c r="OJ262" i="1" s="1"/>
  <c r="OS262" i="1" s="1"/>
  <c r="PB262" i="1" s="1"/>
  <c r="PK262" i="1" s="1"/>
  <c r="PT262" i="1" s="1"/>
  <c r="QC262" i="1" s="1"/>
  <c r="QL262" i="1" s="1"/>
  <c r="QU262" i="1" s="1"/>
  <c r="RD262" i="1" s="1"/>
  <c r="RM262" i="1" s="1"/>
  <c r="RV262" i="1" s="1"/>
  <c r="SE262" i="1" s="1"/>
  <c r="SN262" i="1" s="1"/>
  <c r="SW262" i="1" s="1"/>
  <c r="TF262" i="1" s="1"/>
  <c r="TO262" i="1" s="1"/>
  <c r="TX262" i="1" s="1"/>
  <c r="UG262" i="1" s="1"/>
  <c r="UP262" i="1" s="1"/>
  <c r="UY262" i="1" s="1"/>
  <c r="VH262" i="1" s="1"/>
  <c r="VQ262" i="1" s="1"/>
  <c r="VZ262" i="1" s="1"/>
  <c r="WI262" i="1" s="1"/>
  <c r="WR262" i="1" s="1"/>
  <c r="XA262" i="1" s="1"/>
  <c r="XJ262" i="1" s="1"/>
  <c r="XS262" i="1" s="1"/>
  <c r="YB262" i="1" s="1"/>
  <c r="YK262" i="1" s="1"/>
  <c r="YT262" i="1" s="1"/>
  <c r="ZC262" i="1" s="1"/>
  <c r="ZL262" i="1" s="1"/>
  <c r="ZU262" i="1" s="1"/>
  <c r="AAD262" i="1" s="1"/>
  <c r="AAM262" i="1" s="1"/>
  <c r="AAV262" i="1" s="1"/>
  <c r="ABE262" i="1" s="1"/>
  <c r="NI255" i="1"/>
  <c r="NR255" i="1"/>
  <c r="OA255" i="1" s="1"/>
  <c r="OJ255" i="1" s="1"/>
  <c r="OS255" i="1" s="1"/>
  <c r="PB255" i="1" s="1"/>
  <c r="PK255" i="1" s="1"/>
  <c r="PT255" i="1" s="1"/>
  <c r="QC255" i="1" s="1"/>
  <c r="QL255" i="1" s="1"/>
  <c r="QU255" i="1" s="1"/>
  <c r="RD255" i="1" s="1"/>
  <c r="RM255" i="1" s="1"/>
  <c r="RV255" i="1" s="1"/>
  <c r="SE255" i="1" s="1"/>
  <c r="SN255" i="1" s="1"/>
  <c r="SW255" i="1" s="1"/>
  <c r="TF255" i="1" s="1"/>
  <c r="TO255" i="1" s="1"/>
  <c r="TX255" i="1" s="1"/>
  <c r="UG255" i="1" s="1"/>
  <c r="UP255" i="1" s="1"/>
  <c r="UY255" i="1" s="1"/>
  <c r="VH255" i="1" s="1"/>
  <c r="VQ255" i="1" s="1"/>
  <c r="VZ255" i="1" s="1"/>
  <c r="WI255" i="1" s="1"/>
  <c r="WR255" i="1" s="1"/>
  <c r="XA255" i="1" s="1"/>
  <c r="XJ255" i="1" s="1"/>
  <c r="XS255" i="1" s="1"/>
  <c r="YB255" i="1" s="1"/>
  <c r="YK255" i="1" s="1"/>
  <c r="YT255" i="1" s="1"/>
  <c r="ZC255" i="1" s="1"/>
  <c r="ZL255" i="1" s="1"/>
  <c r="ZU255" i="1" s="1"/>
  <c r="AAD255" i="1" s="1"/>
  <c r="AAM255" i="1" s="1"/>
  <c r="AAV255" i="1" s="1"/>
  <c r="ABE255" i="1" s="1"/>
  <c r="NI281" i="1"/>
  <c r="NR281" i="1"/>
  <c r="OA281" i="1" s="1"/>
  <c r="OJ281" i="1" s="1"/>
  <c r="OS281" i="1" s="1"/>
  <c r="PB281" i="1" s="1"/>
  <c r="PK281" i="1" s="1"/>
  <c r="PT281" i="1" s="1"/>
  <c r="QC281" i="1" s="1"/>
  <c r="QL281" i="1" s="1"/>
  <c r="QU281" i="1" s="1"/>
  <c r="RD281" i="1" s="1"/>
  <c r="RM281" i="1" s="1"/>
  <c r="RV281" i="1" s="1"/>
  <c r="SE281" i="1" s="1"/>
  <c r="SN281" i="1" s="1"/>
  <c r="SW281" i="1" s="1"/>
  <c r="TF281" i="1" s="1"/>
  <c r="TO281" i="1" s="1"/>
  <c r="TX281" i="1" s="1"/>
  <c r="UG281" i="1" s="1"/>
  <c r="UP281" i="1" s="1"/>
  <c r="UY281" i="1" s="1"/>
  <c r="VH281" i="1" s="1"/>
  <c r="VQ281" i="1" s="1"/>
  <c r="VZ281" i="1" s="1"/>
  <c r="WI281" i="1" s="1"/>
  <c r="WR281" i="1" s="1"/>
  <c r="XA281" i="1" s="1"/>
  <c r="XJ281" i="1" s="1"/>
  <c r="XS281" i="1" s="1"/>
  <c r="YB281" i="1" s="1"/>
  <c r="YK281" i="1" s="1"/>
  <c r="YT281" i="1" s="1"/>
  <c r="ZC281" i="1" s="1"/>
  <c r="ZL281" i="1" s="1"/>
  <c r="ZU281" i="1" s="1"/>
  <c r="AAD281" i="1" s="1"/>
  <c r="AAM281" i="1" s="1"/>
  <c r="AAV281" i="1" s="1"/>
  <c r="ABE281" i="1" s="1"/>
  <c r="NI267" i="1"/>
  <c r="NR267" i="1"/>
  <c r="OA267" i="1" s="1"/>
  <c r="OJ267" i="1" s="1"/>
  <c r="OS267" i="1" s="1"/>
  <c r="PB267" i="1" s="1"/>
  <c r="PK267" i="1" s="1"/>
  <c r="PT267" i="1" s="1"/>
  <c r="QC267" i="1" s="1"/>
  <c r="QL267" i="1" s="1"/>
  <c r="QU267" i="1" s="1"/>
  <c r="RD267" i="1" s="1"/>
  <c r="RM267" i="1" s="1"/>
  <c r="RV267" i="1" s="1"/>
  <c r="SE267" i="1" s="1"/>
  <c r="SN267" i="1" s="1"/>
  <c r="SW267" i="1" s="1"/>
  <c r="TF267" i="1" s="1"/>
  <c r="TO267" i="1" s="1"/>
  <c r="TX267" i="1" s="1"/>
  <c r="UG267" i="1" s="1"/>
  <c r="UP267" i="1" s="1"/>
  <c r="UY267" i="1" s="1"/>
  <c r="VH267" i="1" s="1"/>
  <c r="VQ267" i="1" s="1"/>
  <c r="VZ267" i="1" s="1"/>
  <c r="WI267" i="1" s="1"/>
  <c r="WR267" i="1" s="1"/>
  <c r="XA267" i="1" s="1"/>
  <c r="XJ267" i="1" s="1"/>
  <c r="XS267" i="1" s="1"/>
  <c r="YB267" i="1" s="1"/>
  <c r="YK267" i="1" s="1"/>
  <c r="YT267" i="1" s="1"/>
  <c r="ZC267" i="1" s="1"/>
  <c r="ZL267" i="1" s="1"/>
  <c r="ZU267" i="1" s="1"/>
  <c r="AAD267" i="1" s="1"/>
  <c r="AAM267" i="1" s="1"/>
  <c r="AAV267" i="1" s="1"/>
  <c r="ABE267" i="1" s="1"/>
  <c r="NI274" i="1"/>
  <c r="NR274" i="1"/>
  <c r="OA274" i="1" s="1"/>
  <c r="OJ274" i="1" s="1"/>
  <c r="OS274" i="1" s="1"/>
  <c r="PB274" i="1" s="1"/>
  <c r="PK274" i="1" s="1"/>
  <c r="PT274" i="1" s="1"/>
  <c r="QC274" i="1" s="1"/>
  <c r="QL274" i="1" s="1"/>
  <c r="QU274" i="1" s="1"/>
  <c r="RD274" i="1" s="1"/>
  <c r="RM274" i="1" s="1"/>
  <c r="RV274" i="1" s="1"/>
  <c r="SE274" i="1" s="1"/>
  <c r="SN274" i="1" s="1"/>
  <c r="SW274" i="1" s="1"/>
  <c r="TF274" i="1" s="1"/>
  <c r="TO274" i="1" s="1"/>
  <c r="TX274" i="1" s="1"/>
  <c r="UG274" i="1" s="1"/>
  <c r="UP274" i="1" s="1"/>
  <c r="UY274" i="1" s="1"/>
  <c r="VH274" i="1" s="1"/>
  <c r="VQ274" i="1" s="1"/>
  <c r="VZ274" i="1" s="1"/>
  <c r="WI274" i="1" s="1"/>
  <c r="WR274" i="1" s="1"/>
  <c r="XA274" i="1" s="1"/>
  <c r="XJ274" i="1" s="1"/>
  <c r="XS274" i="1" s="1"/>
  <c r="YB274" i="1" s="1"/>
  <c r="YK274" i="1" s="1"/>
  <c r="YT274" i="1" s="1"/>
  <c r="ZC274" i="1" s="1"/>
  <c r="ZL274" i="1" s="1"/>
  <c r="ZU274" i="1" s="1"/>
  <c r="AAD274" i="1" s="1"/>
  <c r="AAM274" i="1" s="1"/>
  <c r="AAV274" i="1" s="1"/>
  <c r="ABE274" i="1" s="1"/>
  <c r="NI278" i="1"/>
  <c r="NR278" i="1"/>
  <c r="OA278" i="1" s="1"/>
  <c r="OJ278" i="1" s="1"/>
  <c r="OS278" i="1" s="1"/>
  <c r="PB278" i="1" s="1"/>
  <c r="PK278" i="1" s="1"/>
  <c r="PT278" i="1" s="1"/>
  <c r="QC278" i="1" s="1"/>
  <c r="QL278" i="1" s="1"/>
  <c r="QU278" i="1" s="1"/>
  <c r="RD278" i="1" s="1"/>
  <c r="RM278" i="1" s="1"/>
  <c r="RV278" i="1" s="1"/>
  <c r="SE278" i="1" s="1"/>
  <c r="SN278" i="1" s="1"/>
  <c r="SW278" i="1" s="1"/>
  <c r="TF278" i="1" s="1"/>
  <c r="TO278" i="1" s="1"/>
  <c r="TX278" i="1" s="1"/>
  <c r="UG278" i="1" s="1"/>
  <c r="UP278" i="1" s="1"/>
  <c r="UY278" i="1" s="1"/>
  <c r="VH278" i="1" s="1"/>
  <c r="VQ278" i="1" s="1"/>
  <c r="VZ278" i="1" s="1"/>
  <c r="WI278" i="1" s="1"/>
  <c r="WR278" i="1" s="1"/>
  <c r="XA278" i="1" s="1"/>
  <c r="XJ278" i="1" s="1"/>
  <c r="XS278" i="1" s="1"/>
  <c r="YB278" i="1" s="1"/>
  <c r="YK278" i="1" s="1"/>
  <c r="YT278" i="1" s="1"/>
  <c r="ZC278" i="1" s="1"/>
  <c r="ZL278" i="1" s="1"/>
  <c r="ZU278" i="1" s="1"/>
  <c r="AAD278" i="1" s="1"/>
  <c r="AAM278" i="1" s="1"/>
  <c r="AAV278" i="1" s="1"/>
  <c r="ABE278" i="1" s="1"/>
  <c r="NI259" i="1"/>
  <c r="NR259" i="1"/>
  <c r="OA259" i="1" s="1"/>
  <c r="OJ259" i="1" s="1"/>
  <c r="OS259" i="1" s="1"/>
  <c r="PB259" i="1" s="1"/>
  <c r="PK259" i="1" s="1"/>
  <c r="PT259" i="1" s="1"/>
  <c r="QC259" i="1" s="1"/>
  <c r="QL259" i="1" s="1"/>
  <c r="QU259" i="1" s="1"/>
  <c r="RD259" i="1" s="1"/>
  <c r="RM259" i="1" s="1"/>
  <c r="RV259" i="1" s="1"/>
  <c r="SE259" i="1" s="1"/>
  <c r="SN259" i="1" s="1"/>
  <c r="SW259" i="1" s="1"/>
  <c r="TF259" i="1" s="1"/>
  <c r="TO259" i="1" s="1"/>
  <c r="TX259" i="1" s="1"/>
  <c r="UG259" i="1" s="1"/>
  <c r="UP259" i="1" s="1"/>
  <c r="UY259" i="1" s="1"/>
  <c r="VH259" i="1" s="1"/>
  <c r="VQ259" i="1" s="1"/>
  <c r="VZ259" i="1" s="1"/>
  <c r="WI259" i="1" s="1"/>
  <c r="WR259" i="1" s="1"/>
  <c r="XA259" i="1" s="1"/>
  <c r="XJ259" i="1" s="1"/>
  <c r="XS259" i="1" s="1"/>
  <c r="YB259" i="1" s="1"/>
  <c r="YK259" i="1" s="1"/>
  <c r="YT259" i="1" s="1"/>
  <c r="ZC259" i="1" s="1"/>
  <c r="ZL259" i="1" s="1"/>
  <c r="ZU259" i="1" s="1"/>
  <c r="AAD259" i="1" s="1"/>
  <c r="AAM259" i="1" s="1"/>
  <c r="AAV259" i="1" s="1"/>
  <c r="ABE259" i="1" s="1"/>
  <c r="NI283" i="1"/>
  <c r="NR283" i="1"/>
  <c r="OA283" i="1" s="1"/>
  <c r="OJ283" i="1" s="1"/>
  <c r="OS283" i="1" s="1"/>
  <c r="PB283" i="1" s="1"/>
  <c r="PK283" i="1" s="1"/>
  <c r="PT283" i="1" s="1"/>
  <c r="QC283" i="1" s="1"/>
  <c r="QL283" i="1" s="1"/>
  <c r="QU283" i="1" s="1"/>
  <c r="RD283" i="1" s="1"/>
  <c r="RM283" i="1" s="1"/>
  <c r="RV283" i="1" s="1"/>
  <c r="SE283" i="1" s="1"/>
  <c r="SN283" i="1" s="1"/>
  <c r="SW283" i="1" s="1"/>
  <c r="TF283" i="1" s="1"/>
  <c r="TO283" i="1" s="1"/>
  <c r="TX283" i="1" s="1"/>
  <c r="UG283" i="1" s="1"/>
  <c r="UP283" i="1" s="1"/>
  <c r="UY283" i="1" s="1"/>
  <c r="VH283" i="1" s="1"/>
  <c r="VQ283" i="1" s="1"/>
  <c r="VZ283" i="1" s="1"/>
  <c r="WI283" i="1" s="1"/>
  <c r="WR283" i="1" s="1"/>
  <c r="XA283" i="1" s="1"/>
  <c r="XJ283" i="1" s="1"/>
  <c r="XS283" i="1" s="1"/>
  <c r="YB283" i="1" s="1"/>
  <c r="YK283" i="1" s="1"/>
  <c r="YT283" i="1" s="1"/>
  <c r="ZC283" i="1" s="1"/>
  <c r="ZL283" i="1" s="1"/>
  <c r="ZU283" i="1" s="1"/>
  <c r="AAD283" i="1" s="1"/>
  <c r="AAM283" i="1" s="1"/>
  <c r="AAV283" i="1" s="1"/>
  <c r="ABE283" i="1" s="1"/>
  <c r="NI257" i="1"/>
  <c r="NR257" i="1"/>
  <c r="OA257" i="1" s="1"/>
  <c r="OJ257" i="1" s="1"/>
  <c r="OS257" i="1" s="1"/>
  <c r="PB257" i="1" s="1"/>
  <c r="PK257" i="1" s="1"/>
  <c r="PT257" i="1" s="1"/>
  <c r="QC257" i="1" s="1"/>
  <c r="QL257" i="1" s="1"/>
  <c r="QU257" i="1" s="1"/>
  <c r="RD257" i="1" s="1"/>
  <c r="RM257" i="1" s="1"/>
  <c r="RV257" i="1" s="1"/>
  <c r="SE257" i="1" s="1"/>
  <c r="SN257" i="1" s="1"/>
  <c r="SW257" i="1" s="1"/>
  <c r="TF257" i="1" s="1"/>
  <c r="TO257" i="1" s="1"/>
  <c r="TX257" i="1" s="1"/>
  <c r="UG257" i="1" s="1"/>
  <c r="UP257" i="1" s="1"/>
  <c r="UY257" i="1" s="1"/>
  <c r="VH257" i="1" s="1"/>
  <c r="VQ257" i="1" s="1"/>
  <c r="VZ257" i="1" s="1"/>
  <c r="WI257" i="1" s="1"/>
  <c r="WR257" i="1" s="1"/>
  <c r="XA257" i="1" s="1"/>
  <c r="XJ257" i="1" s="1"/>
  <c r="XS257" i="1" s="1"/>
  <c r="YB257" i="1" s="1"/>
  <c r="YK257" i="1" s="1"/>
  <c r="YT257" i="1" s="1"/>
  <c r="ZC257" i="1" s="1"/>
  <c r="ZL257" i="1" s="1"/>
  <c r="ZU257" i="1" s="1"/>
  <c r="AAD257" i="1" s="1"/>
  <c r="AAM257" i="1" s="1"/>
  <c r="AAV257" i="1" s="1"/>
  <c r="ABE257" i="1" s="1"/>
  <c r="NI266" i="1"/>
  <c r="NR266" i="1"/>
  <c r="OA266" i="1" s="1"/>
  <c r="OJ266" i="1" s="1"/>
  <c r="OS266" i="1" s="1"/>
  <c r="PB266" i="1" s="1"/>
  <c r="PK266" i="1" s="1"/>
  <c r="PT266" i="1" s="1"/>
  <c r="QC266" i="1" s="1"/>
  <c r="QL266" i="1" s="1"/>
  <c r="QU266" i="1" s="1"/>
  <c r="RD266" i="1" s="1"/>
  <c r="RM266" i="1" s="1"/>
  <c r="RV266" i="1" s="1"/>
  <c r="SE266" i="1" s="1"/>
  <c r="SN266" i="1" s="1"/>
  <c r="SW266" i="1" s="1"/>
  <c r="TF266" i="1" s="1"/>
  <c r="TO266" i="1" s="1"/>
  <c r="TX266" i="1" s="1"/>
  <c r="UG266" i="1" s="1"/>
  <c r="UP266" i="1" s="1"/>
  <c r="UY266" i="1" s="1"/>
  <c r="VH266" i="1" s="1"/>
  <c r="VQ266" i="1" s="1"/>
  <c r="VZ266" i="1" s="1"/>
  <c r="WI266" i="1" s="1"/>
  <c r="WR266" i="1" s="1"/>
  <c r="XA266" i="1" s="1"/>
  <c r="XJ266" i="1" s="1"/>
  <c r="XS266" i="1" s="1"/>
  <c r="YB266" i="1" s="1"/>
  <c r="YK266" i="1" s="1"/>
  <c r="YT266" i="1" s="1"/>
  <c r="ZC266" i="1" s="1"/>
  <c r="ZL266" i="1" s="1"/>
  <c r="ZU266" i="1" s="1"/>
  <c r="AAD266" i="1" s="1"/>
  <c r="AAM266" i="1" s="1"/>
  <c r="AAV266" i="1" s="1"/>
  <c r="ABE266" i="1" s="1"/>
  <c r="NI268" i="1"/>
  <c r="NR268" i="1"/>
  <c r="OA268" i="1" s="1"/>
  <c r="OJ268" i="1" s="1"/>
  <c r="OS268" i="1" s="1"/>
  <c r="PB268" i="1" s="1"/>
  <c r="PK268" i="1" s="1"/>
  <c r="PT268" i="1" s="1"/>
  <c r="QC268" i="1" s="1"/>
  <c r="QL268" i="1" s="1"/>
  <c r="QU268" i="1" s="1"/>
  <c r="RD268" i="1" s="1"/>
  <c r="RM268" i="1" s="1"/>
  <c r="RV268" i="1" s="1"/>
  <c r="SE268" i="1" s="1"/>
  <c r="SN268" i="1" s="1"/>
  <c r="SW268" i="1" s="1"/>
  <c r="TF268" i="1" s="1"/>
  <c r="TO268" i="1" s="1"/>
  <c r="TX268" i="1" s="1"/>
  <c r="UG268" i="1" s="1"/>
  <c r="UP268" i="1" s="1"/>
  <c r="UY268" i="1" s="1"/>
  <c r="VH268" i="1" s="1"/>
  <c r="VQ268" i="1" s="1"/>
  <c r="VZ268" i="1" s="1"/>
  <c r="WI268" i="1" s="1"/>
  <c r="WR268" i="1" s="1"/>
  <c r="XA268" i="1" s="1"/>
  <c r="XJ268" i="1" s="1"/>
  <c r="XS268" i="1" s="1"/>
  <c r="YB268" i="1" s="1"/>
  <c r="YK268" i="1" s="1"/>
  <c r="YT268" i="1" s="1"/>
  <c r="ZC268" i="1" s="1"/>
  <c r="ZL268" i="1" s="1"/>
  <c r="ZU268" i="1" s="1"/>
  <c r="AAD268" i="1" s="1"/>
  <c r="AAM268" i="1" s="1"/>
  <c r="AAV268" i="1" s="1"/>
  <c r="ABE268" i="1" s="1"/>
  <c r="NI256" i="1"/>
  <c r="NR256" i="1"/>
  <c r="OA256" i="1" s="1"/>
  <c r="OJ256" i="1" s="1"/>
  <c r="OS256" i="1" s="1"/>
  <c r="PB256" i="1" s="1"/>
  <c r="PK256" i="1" s="1"/>
  <c r="PT256" i="1" s="1"/>
  <c r="QC256" i="1" s="1"/>
  <c r="QL256" i="1" s="1"/>
  <c r="QU256" i="1" s="1"/>
  <c r="RD256" i="1" s="1"/>
  <c r="RM256" i="1" s="1"/>
  <c r="RV256" i="1" s="1"/>
  <c r="SE256" i="1" s="1"/>
  <c r="SN256" i="1" s="1"/>
  <c r="SW256" i="1" s="1"/>
  <c r="TF256" i="1" s="1"/>
  <c r="TO256" i="1" s="1"/>
  <c r="TX256" i="1" s="1"/>
  <c r="UG256" i="1" s="1"/>
  <c r="UP256" i="1" s="1"/>
  <c r="UY256" i="1" s="1"/>
  <c r="VH256" i="1" s="1"/>
  <c r="VQ256" i="1" s="1"/>
  <c r="VZ256" i="1" s="1"/>
  <c r="WI256" i="1" s="1"/>
  <c r="WR256" i="1" s="1"/>
  <c r="XA256" i="1" s="1"/>
  <c r="XJ256" i="1" s="1"/>
  <c r="XS256" i="1" s="1"/>
  <c r="YB256" i="1" s="1"/>
  <c r="YK256" i="1" s="1"/>
  <c r="YT256" i="1" s="1"/>
  <c r="ZC256" i="1" s="1"/>
  <c r="ZL256" i="1" s="1"/>
  <c r="ZU256" i="1" s="1"/>
  <c r="AAD256" i="1" s="1"/>
  <c r="AAM256" i="1" s="1"/>
  <c r="AAV256" i="1" s="1"/>
  <c r="ABE256" i="1" s="1"/>
  <c r="NI280" i="1"/>
  <c r="NR280" i="1"/>
  <c r="OA280" i="1" s="1"/>
  <c r="OJ280" i="1" s="1"/>
  <c r="OS280" i="1" s="1"/>
  <c r="PB280" i="1" s="1"/>
  <c r="PK280" i="1" s="1"/>
  <c r="PT280" i="1" s="1"/>
  <c r="QC280" i="1" s="1"/>
  <c r="QL280" i="1" s="1"/>
  <c r="QU280" i="1" s="1"/>
  <c r="RD280" i="1" s="1"/>
  <c r="RM280" i="1" s="1"/>
  <c r="RV280" i="1" s="1"/>
  <c r="SE280" i="1" s="1"/>
  <c r="SN280" i="1" s="1"/>
  <c r="SW280" i="1" s="1"/>
  <c r="TF280" i="1" s="1"/>
  <c r="TO280" i="1" s="1"/>
  <c r="TX280" i="1" s="1"/>
  <c r="UG280" i="1" s="1"/>
  <c r="UP280" i="1" s="1"/>
  <c r="UY280" i="1" s="1"/>
  <c r="VH280" i="1" s="1"/>
  <c r="VQ280" i="1" s="1"/>
  <c r="VZ280" i="1" s="1"/>
  <c r="WI280" i="1" s="1"/>
  <c r="WR280" i="1" s="1"/>
  <c r="XA280" i="1" s="1"/>
  <c r="XJ280" i="1" s="1"/>
  <c r="XS280" i="1" s="1"/>
  <c r="YB280" i="1" s="1"/>
  <c r="YK280" i="1" s="1"/>
  <c r="YT280" i="1" s="1"/>
  <c r="ZC280" i="1" s="1"/>
  <c r="ZL280" i="1" s="1"/>
  <c r="ZU280" i="1" s="1"/>
  <c r="AAD280" i="1" s="1"/>
  <c r="AAM280" i="1" s="1"/>
  <c r="AAV280" i="1" s="1"/>
  <c r="ABE280" i="1" s="1"/>
  <c r="NI271" i="1"/>
  <c r="NR271" i="1"/>
  <c r="OA271" i="1" s="1"/>
  <c r="OJ271" i="1" s="1"/>
  <c r="OS271" i="1" s="1"/>
  <c r="PB271" i="1" s="1"/>
  <c r="PK271" i="1" s="1"/>
  <c r="PT271" i="1" s="1"/>
  <c r="QC271" i="1" s="1"/>
  <c r="QL271" i="1" s="1"/>
  <c r="QU271" i="1" s="1"/>
  <c r="RD271" i="1" s="1"/>
  <c r="RM271" i="1" s="1"/>
  <c r="RV271" i="1" s="1"/>
  <c r="SE271" i="1" s="1"/>
  <c r="SN271" i="1" s="1"/>
  <c r="SW271" i="1" s="1"/>
  <c r="TF271" i="1" s="1"/>
  <c r="TO271" i="1" s="1"/>
  <c r="TX271" i="1" s="1"/>
  <c r="UG271" i="1" s="1"/>
  <c r="UP271" i="1" s="1"/>
  <c r="UY271" i="1" s="1"/>
  <c r="VH271" i="1" s="1"/>
  <c r="VQ271" i="1" s="1"/>
  <c r="VZ271" i="1" s="1"/>
  <c r="WI271" i="1" s="1"/>
  <c r="WR271" i="1" s="1"/>
  <c r="XA271" i="1" s="1"/>
  <c r="XJ271" i="1" s="1"/>
  <c r="XS271" i="1" s="1"/>
  <c r="YB271" i="1" s="1"/>
  <c r="YK271" i="1" s="1"/>
  <c r="YT271" i="1" s="1"/>
  <c r="ZC271" i="1" s="1"/>
  <c r="ZL271" i="1" s="1"/>
  <c r="ZU271" i="1" s="1"/>
  <c r="AAD271" i="1" s="1"/>
  <c r="AAM271" i="1" s="1"/>
  <c r="AAV271" i="1" s="1"/>
  <c r="ABE271" i="1" s="1"/>
  <c r="NI270" i="1"/>
  <c r="NR270" i="1"/>
  <c r="OA270" i="1" s="1"/>
  <c r="OJ270" i="1" s="1"/>
  <c r="OS270" i="1" s="1"/>
  <c r="PB270" i="1" s="1"/>
  <c r="PK270" i="1" s="1"/>
  <c r="PT270" i="1" s="1"/>
  <c r="QC270" i="1" s="1"/>
  <c r="QL270" i="1" s="1"/>
  <c r="QU270" i="1" s="1"/>
  <c r="RD270" i="1" s="1"/>
  <c r="RM270" i="1" s="1"/>
  <c r="RV270" i="1" s="1"/>
  <c r="SE270" i="1" s="1"/>
  <c r="SN270" i="1" s="1"/>
  <c r="SW270" i="1" s="1"/>
  <c r="TF270" i="1" s="1"/>
  <c r="TO270" i="1" s="1"/>
  <c r="TX270" i="1" s="1"/>
  <c r="UG270" i="1" s="1"/>
  <c r="UP270" i="1" s="1"/>
  <c r="UY270" i="1" s="1"/>
  <c r="VH270" i="1" s="1"/>
  <c r="VQ270" i="1" s="1"/>
  <c r="VZ270" i="1" s="1"/>
  <c r="WI270" i="1" s="1"/>
  <c r="WR270" i="1" s="1"/>
  <c r="XA270" i="1" s="1"/>
  <c r="XJ270" i="1" s="1"/>
  <c r="XS270" i="1" s="1"/>
  <c r="YB270" i="1" s="1"/>
  <c r="YK270" i="1" s="1"/>
  <c r="YT270" i="1" s="1"/>
  <c r="ZC270" i="1" s="1"/>
  <c r="ZL270" i="1" s="1"/>
  <c r="ZU270" i="1" s="1"/>
  <c r="AAD270" i="1" s="1"/>
  <c r="AAM270" i="1" s="1"/>
  <c r="AAV270" i="1" s="1"/>
  <c r="ABE270" i="1" s="1"/>
  <c r="NI265" i="1"/>
  <c r="NR265" i="1"/>
  <c r="OA265" i="1" s="1"/>
  <c r="OJ265" i="1" s="1"/>
  <c r="OS265" i="1" s="1"/>
  <c r="PB265" i="1" s="1"/>
  <c r="PK265" i="1" s="1"/>
  <c r="PT265" i="1" s="1"/>
  <c r="QC265" i="1" s="1"/>
  <c r="QL265" i="1" s="1"/>
  <c r="QU265" i="1" s="1"/>
  <c r="RD265" i="1" s="1"/>
  <c r="RM265" i="1" s="1"/>
  <c r="RV265" i="1" s="1"/>
  <c r="SE265" i="1" s="1"/>
  <c r="SN265" i="1" s="1"/>
  <c r="SW265" i="1" s="1"/>
  <c r="TF265" i="1" s="1"/>
  <c r="TO265" i="1" s="1"/>
  <c r="TX265" i="1" s="1"/>
  <c r="UG265" i="1" s="1"/>
  <c r="UP265" i="1" s="1"/>
  <c r="UY265" i="1" s="1"/>
  <c r="VH265" i="1" s="1"/>
  <c r="VQ265" i="1" s="1"/>
  <c r="VZ265" i="1" s="1"/>
  <c r="WI265" i="1" s="1"/>
  <c r="WR265" i="1" s="1"/>
  <c r="XA265" i="1" s="1"/>
  <c r="XJ265" i="1" s="1"/>
  <c r="XS265" i="1" s="1"/>
  <c r="YB265" i="1" s="1"/>
  <c r="YK265" i="1" s="1"/>
  <c r="YT265" i="1" s="1"/>
  <c r="ZC265" i="1" s="1"/>
  <c r="ZL265" i="1" s="1"/>
  <c r="ZU265" i="1" s="1"/>
  <c r="AAD265" i="1" s="1"/>
  <c r="AAM265" i="1" s="1"/>
  <c r="AAV265" i="1" s="1"/>
  <c r="ABE265" i="1" s="1"/>
  <c r="NI269" i="1"/>
  <c r="NR269" i="1"/>
  <c r="OA269" i="1" s="1"/>
  <c r="OJ269" i="1" s="1"/>
  <c r="OS269" i="1" s="1"/>
  <c r="PB269" i="1" s="1"/>
  <c r="PK269" i="1" s="1"/>
  <c r="PT269" i="1" s="1"/>
  <c r="QC269" i="1" s="1"/>
  <c r="QL269" i="1" s="1"/>
  <c r="QU269" i="1" s="1"/>
  <c r="RD269" i="1" s="1"/>
  <c r="RM269" i="1" s="1"/>
  <c r="RV269" i="1" s="1"/>
  <c r="SE269" i="1" s="1"/>
  <c r="SN269" i="1" s="1"/>
  <c r="SW269" i="1" s="1"/>
  <c r="TF269" i="1" s="1"/>
  <c r="TO269" i="1" s="1"/>
  <c r="TX269" i="1" s="1"/>
  <c r="UG269" i="1" s="1"/>
  <c r="UP269" i="1" s="1"/>
  <c r="UY269" i="1" s="1"/>
  <c r="VH269" i="1" s="1"/>
  <c r="VQ269" i="1" s="1"/>
  <c r="VZ269" i="1" s="1"/>
  <c r="WI269" i="1" s="1"/>
  <c r="WR269" i="1" s="1"/>
  <c r="XA269" i="1" s="1"/>
  <c r="XJ269" i="1" s="1"/>
  <c r="XS269" i="1" s="1"/>
  <c r="YB269" i="1" s="1"/>
  <c r="YK269" i="1" s="1"/>
  <c r="YT269" i="1" s="1"/>
  <c r="ZC269" i="1" s="1"/>
  <c r="ZL269" i="1" s="1"/>
  <c r="ZU269" i="1" s="1"/>
  <c r="AAD269" i="1" s="1"/>
  <c r="AAM269" i="1" s="1"/>
  <c r="AAV269" i="1" s="1"/>
  <c r="ABE269" i="1" s="1"/>
  <c r="NI264" i="1"/>
  <c r="NR264" i="1"/>
  <c r="OA264" i="1" s="1"/>
  <c r="OJ264" i="1" s="1"/>
  <c r="OS264" i="1" s="1"/>
  <c r="PB264" i="1" s="1"/>
  <c r="PK264" i="1" s="1"/>
  <c r="PT264" i="1" s="1"/>
  <c r="QC264" i="1" s="1"/>
  <c r="QL264" i="1" s="1"/>
  <c r="QU264" i="1" s="1"/>
  <c r="RD264" i="1" s="1"/>
  <c r="RM264" i="1" s="1"/>
  <c r="RV264" i="1" s="1"/>
  <c r="SE264" i="1" s="1"/>
  <c r="SN264" i="1" s="1"/>
  <c r="SW264" i="1" s="1"/>
  <c r="TF264" i="1" s="1"/>
  <c r="TO264" i="1" s="1"/>
  <c r="TX264" i="1" s="1"/>
  <c r="UG264" i="1" s="1"/>
  <c r="UP264" i="1" s="1"/>
  <c r="UY264" i="1" s="1"/>
  <c r="VH264" i="1" s="1"/>
  <c r="VQ264" i="1" s="1"/>
  <c r="VZ264" i="1" s="1"/>
  <c r="WI264" i="1" s="1"/>
  <c r="WR264" i="1" s="1"/>
  <c r="XA264" i="1" s="1"/>
  <c r="XJ264" i="1" s="1"/>
  <c r="XS264" i="1" s="1"/>
  <c r="YB264" i="1" s="1"/>
  <c r="YK264" i="1" s="1"/>
  <c r="YT264" i="1" s="1"/>
  <c r="ZC264" i="1" s="1"/>
  <c r="ZL264" i="1" s="1"/>
  <c r="ZU264" i="1" s="1"/>
  <c r="AAD264" i="1" s="1"/>
  <c r="AAM264" i="1" s="1"/>
  <c r="AAV264" i="1" s="1"/>
  <c r="ABE264" i="1" s="1"/>
  <c r="NI275" i="1"/>
  <c r="NR275" i="1"/>
  <c r="OA275" i="1" s="1"/>
  <c r="OJ275" i="1" s="1"/>
  <c r="OS275" i="1" s="1"/>
  <c r="PB275" i="1" s="1"/>
  <c r="PK275" i="1" s="1"/>
  <c r="PT275" i="1" s="1"/>
  <c r="QC275" i="1" s="1"/>
  <c r="QL275" i="1" s="1"/>
  <c r="QU275" i="1" s="1"/>
  <c r="RD275" i="1" s="1"/>
  <c r="RM275" i="1" s="1"/>
  <c r="RV275" i="1" s="1"/>
  <c r="SE275" i="1" s="1"/>
  <c r="SN275" i="1" s="1"/>
  <c r="SW275" i="1" s="1"/>
  <c r="TF275" i="1" s="1"/>
  <c r="TO275" i="1" s="1"/>
  <c r="TX275" i="1" s="1"/>
  <c r="UG275" i="1" s="1"/>
  <c r="UP275" i="1" s="1"/>
  <c r="UY275" i="1" s="1"/>
  <c r="VH275" i="1" s="1"/>
  <c r="VQ275" i="1" s="1"/>
  <c r="VZ275" i="1" s="1"/>
  <c r="WI275" i="1" s="1"/>
  <c r="WR275" i="1" s="1"/>
  <c r="XA275" i="1" s="1"/>
  <c r="XJ275" i="1" s="1"/>
  <c r="XS275" i="1" s="1"/>
  <c r="YB275" i="1" s="1"/>
  <c r="YK275" i="1" s="1"/>
  <c r="YT275" i="1" s="1"/>
  <c r="ZC275" i="1" s="1"/>
  <c r="ZL275" i="1" s="1"/>
  <c r="ZU275" i="1" s="1"/>
  <c r="AAD275" i="1" s="1"/>
  <c r="AAM275" i="1" s="1"/>
  <c r="AAV275" i="1" s="1"/>
  <c r="ABE275" i="1" s="1"/>
  <c r="NI258" i="1"/>
  <c r="NR258" i="1"/>
  <c r="OA258" i="1" s="1"/>
  <c r="OJ258" i="1" s="1"/>
  <c r="OS258" i="1" s="1"/>
  <c r="PB258" i="1" s="1"/>
  <c r="PK258" i="1" s="1"/>
  <c r="PT258" i="1" s="1"/>
  <c r="QC258" i="1" s="1"/>
  <c r="QL258" i="1" s="1"/>
  <c r="QU258" i="1" s="1"/>
  <c r="RD258" i="1" s="1"/>
  <c r="RM258" i="1" s="1"/>
  <c r="RV258" i="1" s="1"/>
  <c r="SE258" i="1" s="1"/>
  <c r="SN258" i="1" s="1"/>
  <c r="SW258" i="1" s="1"/>
  <c r="TF258" i="1" s="1"/>
  <c r="TO258" i="1" s="1"/>
  <c r="TX258" i="1" s="1"/>
  <c r="UG258" i="1" s="1"/>
  <c r="UP258" i="1" s="1"/>
  <c r="UY258" i="1" s="1"/>
  <c r="VH258" i="1" s="1"/>
  <c r="VQ258" i="1" s="1"/>
  <c r="VZ258" i="1" s="1"/>
  <c r="WI258" i="1" s="1"/>
  <c r="WR258" i="1" s="1"/>
  <c r="XA258" i="1" s="1"/>
  <c r="XJ258" i="1" s="1"/>
  <c r="XS258" i="1" s="1"/>
  <c r="YB258" i="1" s="1"/>
  <c r="YK258" i="1" s="1"/>
  <c r="YT258" i="1" s="1"/>
  <c r="ZC258" i="1" s="1"/>
  <c r="ZL258" i="1" s="1"/>
  <c r="ZU258" i="1" s="1"/>
  <c r="AAD258" i="1" s="1"/>
  <c r="AAM258" i="1" s="1"/>
  <c r="AAV258" i="1" s="1"/>
  <c r="ABE258" i="1" s="1"/>
  <c r="NI254" i="1"/>
  <c r="NR254" i="1"/>
  <c r="OA254" i="1" s="1"/>
  <c r="OJ254" i="1" s="1"/>
  <c r="OS254" i="1" s="1"/>
  <c r="PB254" i="1" s="1"/>
  <c r="PK254" i="1" s="1"/>
  <c r="PT254" i="1" s="1"/>
  <c r="QC254" i="1" s="1"/>
  <c r="QL254" i="1" s="1"/>
  <c r="QU254" i="1" s="1"/>
  <c r="RD254" i="1" s="1"/>
  <c r="RM254" i="1" s="1"/>
  <c r="RV254" i="1" s="1"/>
  <c r="SE254" i="1" s="1"/>
  <c r="SN254" i="1" s="1"/>
  <c r="SW254" i="1" s="1"/>
  <c r="TF254" i="1" s="1"/>
  <c r="TO254" i="1" s="1"/>
  <c r="TX254" i="1" s="1"/>
  <c r="UG254" i="1" s="1"/>
  <c r="UP254" i="1" s="1"/>
  <c r="UY254" i="1" s="1"/>
  <c r="VH254" i="1" s="1"/>
  <c r="VQ254" i="1" s="1"/>
  <c r="VZ254" i="1" s="1"/>
  <c r="WI254" i="1" s="1"/>
  <c r="WR254" i="1" s="1"/>
  <c r="XA254" i="1" s="1"/>
  <c r="XJ254" i="1" s="1"/>
  <c r="XS254" i="1" s="1"/>
  <c r="YB254" i="1" s="1"/>
  <c r="YK254" i="1" s="1"/>
  <c r="YT254" i="1" s="1"/>
  <c r="ZC254" i="1" s="1"/>
  <c r="ZL254" i="1" s="1"/>
  <c r="ZU254" i="1" s="1"/>
  <c r="AAD254" i="1" s="1"/>
  <c r="AAM254" i="1" s="1"/>
  <c r="AAV254" i="1" s="1"/>
  <c r="ABE254" i="1" s="1"/>
  <c r="NI176" i="1"/>
  <c r="NR176" i="1"/>
  <c r="OA176" i="1" s="1"/>
  <c r="OJ176" i="1" s="1"/>
  <c r="OS176" i="1" s="1"/>
  <c r="PB176" i="1" s="1"/>
  <c r="PK176" i="1" s="1"/>
  <c r="PT176" i="1" s="1"/>
  <c r="QC176" i="1" s="1"/>
  <c r="QL176" i="1" s="1"/>
  <c r="QU176" i="1" s="1"/>
  <c r="RD176" i="1" s="1"/>
  <c r="RM176" i="1" s="1"/>
  <c r="RV176" i="1" s="1"/>
  <c r="SE176" i="1" s="1"/>
  <c r="SN176" i="1" s="1"/>
  <c r="SW176" i="1" s="1"/>
  <c r="TF176" i="1" s="1"/>
  <c r="TO176" i="1" s="1"/>
  <c r="TX176" i="1" s="1"/>
  <c r="UG176" i="1" s="1"/>
  <c r="UP176" i="1" s="1"/>
  <c r="UY176" i="1" s="1"/>
  <c r="VH176" i="1" s="1"/>
  <c r="VQ176" i="1" s="1"/>
  <c r="VZ176" i="1" s="1"/>
  <c r="WI176" i="1" s="1"/>
  <c r="WR176" i="1" s="1"/>
  <c r="XA176" i="1" s="1"/>
  <c r="XJ176" i="1" s="1"/>
  <c r="XS176" i="1" s="1"/>
  <c r="YB176" i="1" s="1"/>
  <c r="YK176" i="1" s="1"/>
  <c r="YT176" i="1" s="1"/>
  <c r="ZC176" i="1" s="1"/>
  <c r="ZL176" i="1" s="1"/>
  <c r="ZU176" i="1" s="1"/>
  <c r="AAD176" i="1" s="1"/>
  <c r="AAM176" i="1" s="1"/>
  <c r="AAV176" i="1" s="1"/>
  <c r="ABE176" i="1" s="1"/>
  <c r="NI169" i="1"/>
  <c r="NR169" i="1"/>
  <c r="OA169" i="1" s="1"/>
  <c r="OJ169" i="1" s="1"/>
  <c r="OS169" i="1" s="1"/>
  <c r="PB169" i="1" s="1"/>
  <c r="PK169" i="1" s="1"/>
  <c r="PT169" i="1" s="1"/>
  <c r="QC169" i="1" s="1"/>
  <c r="QL169" i="1" s="1"/>
  <c r="QU169" i="1" s="1"/>
  <c r="RD169" i="1" s="1"/>
  <c r="RM169" i="1" s="1"/>
  <c r="RV169" i="1" s="1"/>
  <c r="SE169" i="1" s="1"/>
  <c r="SN169" i="1" s="1"/>
  <c r="SW169" i="1" s="1"/>
  <c r="TF169" i="1" s="1"/>
  <c r="TO169" i="1" s="1"/>
  <c r="TX169" i="1" s="1"/>
  <c r="UG169" i="1" s="1"/>
  <c r="UP169" i="1" s="1"/>
  <c r="UY169" i="1" s="1"/>
  <c r="VH169" i="1" s="1"/>
  <c r="VQ169" i="1" s="1"/>
  <c r="VZ169" i="1" s="1"/>
  <c r="WI169" i="1" s="1"/>
  <c r="WR169" i="1" s="1"/>
  <c r="XA169" i="1" s="1"/>
  <c r="XJ169" i="1" s="1"/>
  <c r="XS169" i="1" s="1"/>
  <c r="YB169" i="1" s="1"/>
  <c r="YK169" i="1" s="1"/>
  <c r="YT169" i="1" s="1"/>
  <c r="ZC169" i="1" s="1"/>
  <c r="ZL169" i="1" s="1"/>
  <c r="ZU169" i="1" s="1"/>
  <c r="AAD169" i="1" s="1"/>
  <c r="AAM169" i="1" s="1"/>
  <c r="AAV169" i="1" s="1"/>
  <c r="ABE169" i="1" s="1"/>
  <c r="NI157" i="1"/>
  <c r="NR157" i="1"/>
  <c r="OA157" i="1" s="1"/>
  <c r="OJ157" i="1" s="1"/>
  <c r="OS157" i="1" s="1"/>
  <c r="PB157" i="1" s="1"/>
  <c r="PK157" i="1" s="1"/>
  <c r="PT157" i="1" s="1"/>
  <c r="QC157" i="1" s="1"/>
  <c r="QL157" i="1" s="1"/>
  <c r="QU157" i="1" s="1"/>
  <c r="RD157" i="1" s="1"/>
  <c r="RM157" i="1" s="1"/>
  <c r="RV157" i="1" s="1"/>
  <c r="SE157" i="1" s="1"/>
  <c r="SN157" i="1" s="1"/>
  <c r="SW157" i="1" s="1"/>
  <c r="TF157" i="1" s="1"/>
  <c r="TO157" i="1" s="1"/>
  <c r="TX157" i="1" s="1"/>
  <c r="UG157" i="1" s="1"/>
  <c r="UP157" i="1" s="1"/>
  <c r="UY157" i="1" s="1"/>
  <c r="VH157" i="1" s="1"/>
  <c r="VQ157" i="1" s="1"/>
  <c r="VZ157" i="1" s="1"/>
  <c r="WI157" i="1" s="1"/>
  <c r="WR157" i="1" s="1"/>
  <c r="XA157" i="1" s="1"/>
  <c r="XJ157" i="1" s="1"/>
  <c r="XS157" i="1" s="1"/>
  <c r="YB157" i="1" s="1"/>
  <c r="YK157" i="1" s="1"/>
  <c r="YT157" i="1" s="1"/>
  <c r="ZC157" i="1" s="1"/>
  <c r="ZL157" i="1" s="1"/>
  <c r="ZU157" i="1" s="1"/>
  <c r="AAD157" i="1" s="1"/>
  <c r="AAM157" i="1" s="1"/>
  <c r="AAV157" i="1" s="1"/>
  <c r="ABE157" i="1" s="1"/>
  <c r="NI154" i="1"/>
  <c r="NR154" i="1"/>
  <c r="OA154" i="1" s="1"/>
  <c r="OJ154" i="1" s="1"/>
  <c r="OS154" i="1" s="1"/>
  <c r="PB154" i="1" s="1"/>
  <c r="PK154" i="1" s="1"/>
  <c r="PT154" i="1" s="1"/>
  <c r="QC154" i="1" s="1"/>
  <c r="QL154" i="1" s="1"/>
  <c r="QU154" i="1" s="1"/>
  <c r="RD154" i="1" s="1"/>
  <c r="RM154" i="1" s="1"/>
  <c r="RV154" i="1" s="1"/>
  <c r="SE154" i="1" s="1"/>
  <c r="SN154" i="1" s="1"/>
  <c r="SW154" i="1" s="1"/>
  <c r="TF154" i="1" s="1"/>
  <c r="TO154" i="1" s="1"/>
  <c r="TX154" i="1" s="1"/>
  <c r="UG154" i="1" s="1"/>
  <c r="UP154" i="1" s="1"/>
  <c r="UY154" i="1" s="1"/>
  <c r="VH154" i="1" s="1"/>
  <c r="VQ154" i="1" s="1"/>
  <c r="VZ154" i="1" s="1"/>
  <c r="WI154" i="1" s="1"/>
  <c r="WR154" i="1" s="1"/>
  <c r="XA154" i="1" s="1"/>
  <c r="XJ154" i="1" s="1"/>
  <c r="XS154" i="1" s="1"/>
  <c r="YB154" i="1" s="1"/>
  <c r="YK154" i="1" s="1"/>
  <c r="YT154" i="1" s="1"/>
  <c r="ZC154" i="1" s="1"/>
  <c r="ZL154" i="1" s="1"/>
  <c r="ZU154" i="1" s="1"/>
  <c r="AAD154" i="1" s="1"/>
  <c r="AAM154" i="1" s="1"/>
  <c r="AAV154" i="1" s="1"/>
  <c r="ABE154" i="1" s="1"/>
  <c r="NI166" i="1"/>
  <c r="NR166" i="1"/>
  <c r="OA166" i="1" s="1"/>
  <c r="OJ166" i="1" s="1"/>
  <c r="OS166" i="1" s="1"/>
  <c r="PB166" i="1" s="1"/>
  <c r="PK166" i="1" s="1"/>
  <c r="PT166" i="1" s="1"/>
  <c r="QC166" i="1" s="1"/>
  <c r="QL166" i="1" s="1"/>
  <c r="QU166" i="1" s="1"/>
  <c r="RD166" i="1" s="1"/>
  <c r="RM166" i="1" s="1"/>
  <c r="RV166" i="1" s="1"/>
  <c r="SE166" i="1" s="1"/>
  <c r="SN166" i="1" s="1"/>
  <c r="SW166" i="1" s="1"/>
  <c r="TF166" i="1" s="1"/>
  <c r="TO166" i="1" s="1"/>
  <c r="TX166" i="1" s="1"/>
  <c r="UG166" i="1" s="1"/>
  <c r="UP166" i="1" s="1"/>
  <c r="UY166" i="1" s="1"/>
  <c r="VH166" i="1" s="1"/>
  <c r="VQ166" i="1" s="1"/>
  <c r="VZ166" i="1" s="1"/>
  <c r="WI166" i="1" s="1"/>
  <c r="WR166" i="1" s="1"/>
  <c r="XA166" i="1" s="1"/>
  <c r="XJ166" i="1" s="1"/>
  <c r="XS166" i="1" s="1"/>
  <c r="YB166" i="1" s="1"/>
  <c r="YK166" i="1" s="1"/>
  <c r="YT166" i="1" s="1"/>
  <c r="ZC166" i="1" s="1"/>
  <c r="ZL166" i="1" s="1"/>
  <c r="ZU166" i="1" s="1"/>
  <c r="AAD166" i="1" s="1"/>
  <c r="AAM166" i="1" s="1"/>
  <c r="AAV166" i="1" s="1"/>
  <c r="ABE166" i="1" s="1"/>
  <c r="NI171" i="1"/>
  <c r="NR171" i="1"/>
  <c r="OA171" i="1" s="1"/>
  <c r="OJ171" i="1" s="1"/>
  <c r="OS171" i="1" s="1"/>
  <c r="PB171" i="1" s="1"/>
  <c r="PK171" i="1" s="1"/>
  <c r="PT171" i="1" s="1"/>
  <c r="QC171" i="1" s="1"/>
  <c r="QL171" i="1" s="1"/>
  <c r="QU171" i="1" s="1"/>
  <c r="RD171" i="1" s="1"/>
  <c r="RM171" i="1" s="1"/>
  <c r="RV171" i="1" s="1"/>
  <c r="SE171" i="1" s="1"/>
  <c r="SN171" i="1" s="1"/>
  <c r="SW171" i="1" s="1"/>
  <c r="TF171" i="1" s="1"/>
  <c r="TO171" i="1" s="1"/>
  <c r="TX171" i="1" s="1"/>
  <c r="UG171" i="1" s="1"/>
  <c r="UP171" i="1" s="1"/>
  <c r="UY171" i="1" s="1"/>
  <c r="VH171" i="1" s="1"/>
  <c r="VQ171" i="1" s="1"/>
  <c r="VZ171" i="1" s="1"/>
  <c r="WI171" i="1" s="1"/>
  <c r="WR171" i="1" s="1"/>
  <c r="XA171" i="1" s="1"/>
  <c r="XJ171" i="1" s="1"/>
  <c r="XS171" i="1" s="1"/>
  <c r="YB171" i="1" s="1"/>
  <c r="YK171" i="1" s="1"/>
  <c r="YT171" i="1" s="1"/>
  <c r="ZC171" i="1" s="1"/>
  <c r="ZL171" i="1" s="1"/>
  <c r="ZU171" i="1" s="1"/>
  <c r="AAD171" i="1" s="1"/>
  <c r="AAM171" i="1" s="1"/>
  <c r="AAV171" i="1" s="1"/>
  <c r="ABE171" i="1" s="1"/>
  <c r="NI150" i="1"/>
  <c r="NR150" i="1"/>
  <c r="OA150" i="1" s="1"/>
  <c r="OJ150" i="1" s="1"/>
  <c r="OS150" i="1" s="1"/>
  <c r="PB150" i="1" s="1"/>
  <c r="PK150" i="1" s="1"/>
  <c r="PT150" i="1" s="1"/>
  <c r="QC150" i="1" s="1"/>
  <c r="QL150" i="1" s="1"/>
  <c r="QU150" i="1" s="1"/>
  <c r="RD150" i="1" s="1"/>
  <c r="RM150" i="1" s="1"/>
  <c r="RV150" i="1" s="1"/>
  <c r="SE150" i="1" s="1"/>
  <c r="SN150" i="1" s="1"/>
  <c r="SW150" i="1" s="1"/>
  <c r="TF150" i="1" s="1"/>
  <c r="TO150" i="1" s="1"/>
  <c r="TX150" i="1" s="1"/>
  <c r="UG150" i="1" s="1"/>
  <c r="UP150" i="1" s="1"/>
  <c r="UY150" i="1" s="1"/>
  <c r="VH150" i="1" s="1"/>
  <c r="VQ150" i="1" s="1"/>
  <c r="VZ150" i="1" s="1"/>
  <c r="WI150" i="1" s="1"/>
  <c r="WR150" i="1" s="1"/>
  <c r="XA150" i="1" s="1"/>
  <c r="XJ150" i="1" s="1"/>
  <c r="XS150" i="1" s="1"/>
  <c r="YB150" i="1" s="1"/>
  <c r="YK150" i="1" s="1"/>
  <c r="YT150" i="1" s="1"/>
  <c r="ZC150" i="1" s="1"/>
  <c r="ZL150" i="1" s="1"/>
  <c r="ZU150" i="1" s="1"/>
  <c r="AAD150" i="1" s="1"/>
  <c r="AAM150" i="1" s="1"/>
  <c r="AAV150" i="1" s="1"/>
  <c r="ABE150" i="1" s="1"/>
  <c r="NI174" i="1"/>
  <c r="NR174" i="1"/>
  <c r="OA174" i="1" s="1"/>
  <c r="OJ174" i="1" s="1"/>
  <c r="OS174" i="1" s="1"/>
  <c r="PB174" i="1" s="1"/>
  <c r="PK174" i="1" s="1"/>
  <c r="PT174" i="1" s="1"/>
  <c r="QC174" i="1" s="1"/>
  <c r="QL174" i="1" s="1"/>
  <c r="QU174" i="1" s="1"/>
  <c r="RD174" i="1" s="1"/>
  <c r="RM174" i="1" s="1"/>
  <c r="RV174" i="1" s="1"/>
  <c r="SE174" i="1" s="1"/>
  <c r="SN174" i="1" s="1"/>
  <c r="SW174" i="1" s="1"/>
  <c r="TF174" i="1" s="1"/>
  <c r="TO174" i="1" s="1"/>
  <c r="TX174" i="1" s="1"/>
  <c r="UG174" i="1" s="1"/>
  <c r="UP174" i="1" s="1"/>
  <c r="UY174" i="1" s="1"/>
  <c r="VH174" i="1" s="1"/>
  <c r="VQ174" i="1" s="1"/>
  <c r="VZ174" i="1" s="1"/>
  <c r="WI174" i="1" s="1"/>
  <c r="WR174" i="1" s="1"/>
  <c r="XA174" i="1" s="1"/>
  <c r="XJ174" i="1" s="1"/>
  <c r="XS174" i="1" s="1"/>
  <c r="YB174" i="1" s="1"/>
  <c r="YK174" i="1" s="1"/>
  <c r="YT174" i="1" s="1"/>
  <c r="ZC174" i="1" s="1"/>
  <c r="ZL174" i="1" s="1"/>
  <c r="ZU174" i="1" s="1"/>
  <c r="AAD174" i="1" s="1"/>
  <c r="AAM174" i="1" s="1"/>
  <c r="AAV174" i="1" s="1"/>
  <c r="ABE174" i="1" s="1"/>
  <c r="NI163" i="1"/>
  <c r="NR163" i="1"/>
  <c r="OA163" i="1" s="1"/>
  <c r="OJ163" i="1" s="1"/>
  <c r="OS163" i="1" s="1"/>
  <c r="PB163" i="1" s="1"/>
  <c r="PK163" i="1" s="1"/>
  <c r="PT163" i="1" s="1"/>
  <c r="QC163" i="1" s="1"/>
  <c r="QL163" i="1" s="1"/>
  <c r="QU163" i="1" s="1"/>
  <c r="RD163" i="1" s="1"/>
  <c r="RM163" i="1" s="1"/>
  <c r="RV163" i="1" s="1"/>
  <c r="SE163" i="1" s="1"/>
  <c r="SN163" i="1" s="1"/>
  <c r="SW163" i="1" s="1"/>
  <c r="TF163" i="1" s="1"/>
  <c r="TO163" i="1" s="1"/>
  <c r="TX163" i="1" s="1"/>
  <c r="UG163" i="1" s="1"/>
  <c r="UP163" i="1" s="1"/>
  <c r="UY163" i="1" s="1"/>
  <c r="VH163" i="1" s="1"/>
  <c r="VQ163" i="1" s="1"/>
  <c r="VZ163" i="1" s="1"/>
  <c r="WI163" i="1" s="1"/>
  <c r="WR163" i="1" s="1"/>
  <c r="XA163" i="1" s="1"/>
  <c r="XJ163" i="1" s="1"/>
  <c r="XS163" i="1" s="1"/>
  <c r="YB163" i="1" s="1"/>
  <c r="YK163" i="1" s="1"/>
  <c r="YT163" i="1" s="1"/>
  <c r="ZC163" i="1" s="1"/>
  <c r="ZL163" i="1" s="1"/>
  <c r="ZU163" i="1" s="1"/>
  <c r="AAD163" i="1" s="1"/>
  <c r="AAM163" i="1" s="1"/>
  <c r="AAV163" i="1" s="1"/>
  <c r="ABE163" i="1" s="1"/>
  <c r="NI156" i="1"/>
  <c r="NR156" i="1"/>
  <c r="OA156" i="1" s="1"/>
  <c r="OJ156" i="1" s="1"/>
  <c r="OS156" i="1" s="1"/>
  <c r="PB156" i="1" s="1"/>
  <c r="PK156" i="1" s="1"/>
  <c r="PT156" i="1" s="1"/>
  <c r="QC156" i="1" s="1"/>
  <c r="QL156" i="1" s="1"/>
  <c r="QU156" i="1" s="1"/>
  <c r="RD156" i="1" s="1"/>
  <c r="RM156" i="1" s="1"/>
  <c r="RV156" i="1" s="1"/>
  <c r="SE156" i="1" s="1"/>
  <c r="SN156" i="1" s="1"/>
  <c r="SW156" i="1" s="1"/>
  <c r="TF156" i="1" s="1"/>
  <c r="TO156" i="1" s="1"/>
  <c r="TX156" i="1" s="1"/>
  <c r="UG156" i="1" s="1"/>
  <c r="UP156" i="1" s="1"/>
  <c r="UY156" i="1" s="1"/>
  <c r="VH156" i="1" s="1"/>
  <c r="VQ156" i="1" s="1"/>
  <c r="VZ156" i="1" s="1"/>
  <c r="WI156" i="1" s="1"/>
  <c r="WR156" i="1" s="1"/>
  <c r="XA156" i="1" s="1"/>
  <c r="XJ156" i="1" s="1"/>
  <c r="XS156" i="1" s="1"/>
  <c r="YB156" i="1" s="1"/>
  <c r="YK156" i="1" s="1"/>
  <c r="YT156" i="1" s="1"/>
  <c r="ZC156" i="1" s="1"/>
  <c r="ZL156" i="1" s="1"/>
  <c r="ZU156" i="1" s="1"/>
  <c r="AAD156" i="1" s="1"/>
  <c r="AAM156" i="1" s="1"/>
  <c r="AAV156" i="1" s="1"/>
  <c r="ABE156" i="1" s="1"/>
  <c r="NI168" i="1"/>
  <c r="NR168" i="1"/>
  <c r="OA168" i="1" s="1"/>
  <c r="OJ168" i="1" s="1"/>
  <c r="OS168" i="1" s="1"/>
  <c r="PB168" i="1" s="1"/>
  <c r="PK168" i="1" s="1"/>
  <c r="PT168" i="1" s="1"/>
  <c r="QC168" i="1" s="1"/>
  <c r="QL168" i="1" s="1"/>
  <c r="QU168" i="1" s="1"/>
  <c r="RD168" i="1" s="1"/>
  <c r="RM168" i="1" s="1"/>
  <c r="RV168" i="1" s="1"/>
  <c r="SE168" i="1" s="1"/>
  <c r="SN168" i="1" s="1"/>
  <c r="SW168" i="1" s="1"/>
  <c r="TF168" i="1" s="1"/>
  <c r="TO168" i="1" s="1"/>
  <c r="TX168" i="1" s="1"/>
  <c r="UG168" i="1" s="1"/>
  <c r="UP168" i="1" s="1"/>
  <c r="UY168" i="1" s="1"/>
  <c r="VH168" i="1" s="1"/>
  <c r="VQ168" i="1" s="1"/>
  <c r="VZ168" i="1" s="1"/>
  <c r="WI168" i="1" s="1"/>
  <c r="WR168" i="1" s="1"/>
  <c r="XA168" i="1" s="1"/>
  <c r="XJ168" i="1" s="1"/>
  <c r="XS168" i="1" s="1"/>
  <c r="YB168" i="1" s="1"/>
  <c r="YK168" i="1" s="1"/>
  <c r="YT168" i="1" s="1"/>
  <c r="ZC168" i="1" s="1"/>
  <c r="ZL168" i="1" s="1"/>
  <c r="ZU168" i="1" s="1"/>
  <c r="AAD168" i="1" s="1"/>
  <c r="AAM168" i="1" s="1"/>
  <c r="AAV168" i="1" s="1"/>
  <c r="ABE168" i="1" s="1"/>
  <c r="NI153" i="1"/>
  <c r="NR153" i="1"/>
  <c r="OA153" i="1" s="1"/>
  <c r="OJ153" i="1" s="1"/>
  <c r="OS153" i="1" s="1"/>
  <c r="PB153" i="1" s="1"/>
  <c r="PK153" i="1" s="1"/>
  <c r="PT153" i="1" s="1"/>
  <c r="QC153" i="1" s="1"/>
  <c r="QL153" i="1" s="1"/>
  <c r="QU153" i="1" s="1"/>
  <c r="RD153" i="1" s="1"/>
  <c r="RM153" i="1" s="1"/>
  <c r="RV153" i="1" s="1"/>
  <c r="SE153" i="1" s="1"/>
  <c r="SN153" i="1" s="1"/>
  <c r="SW153" i="1" s="1"/>
  <c r="TF153" i="1" s="1"/>
  <c r="TO153" i="1" s="1"/>
  <c r="TX153" i="1" s="1"/>
  <c r="UG153" i="1" s="1"/>
  <c r="UP153" i="1" s="1"/>
  <c r="UY153" i="1" s="1"/>
  <c r="VH153" i="1" s="1"/>
  <c r="VQ153" i="1" s="1"/>
  <c r="VZ153" i="1" s="1"/>
  <c r="WI153" i="1" s="1"/>
  <c r="WR153" i="1" s="1"/>
  <c r="XA153" i="1" s="1"/>
  <c r="XJ153" i="1" s="1"/>
  <c r="XS153" i="1" s="1"/>
  <c r="YB153" i="1" s="1"/>
  <c r="YK153" i="1" s="1"/>
  <c r="YT153" i="1" s="1"/>
  <c r="ZC153" i="1" s="1"/>
  <c r="ZL153" i="1" s="1"/>
  <c r="ZU153" i="1" s="1"/>
  <c r="AAD153" i="1" s="1"/>
  <c r="AAM153" i="1" s="1"/>
  <c r="AAV153" i="1" s="1"/>
  <c r="ABE153" i="1" s="1"/>
  <c r="NI149" i="1"/>
  <c r="NR149" i="1"/>
  <c r="OA149" i="1" s="1"/>
  <c r="OJ149" i="1" s="1"/>
  <c r="OS149" i="1" s="1"/>
  <c r="PB149" i="1" s="1"/>
  <c r="PK149" i="1" s="1"/>
  <c r="PT149" i="1" s="1"/>
  <c r="QC149" i="1" s="1"/>
  <c r="QL149" i="1" s="1"/>
  <c r="QU149" i="1" s="1"/>
  <c r="RD149" i="1" s="1"/>
  <c r="RM149" i="1" s="1"/>
  <c r="RV149" i="1" s="1"/>
  <c r="SE149" i="1" s="1"/>
  <c r="SN149" i="1" s="1"/>
  <c r="SW149" i="1" s="1"/>
  <c r="TF149" i="1" s="1"/>
  <c r="TO149" i="1" s="1"/>
  <c r="TX149" i="1" s="1"/>
  <c r="UG149" i="1" s="1"/>
  <c r="UP149" i="1" s="1"/>
  <c r="UY149" i="1" s="1"/>
  <c r="VH149" i="1" s="1"/>
  <c r="VQ149" i="1" s="1"/>
  <c r="VZ149" i="1" s="1"/>
  <c r="WI149" i="1" s="1"/>
  <c r="WR149" i="1" s="1"/>
  <c r="XA149" i="1" s="1"/>
  <c r="XJ149" i="1" s="1"/>
  <c r="XS149" i="1" s="1"/>
  <c r="YB149" i="1" s="1"/>
  <c r="YK149" i="1" s="1"/>
  <c r="YT149" i="1" s="1"/>
  <c r="ZC149" i="1" s="1"/>
  <c r="ZL149" i="1" s="1"/>
  <c r="ZU149" i="1" s="1"/>
  <c r="AAD149" i="1" s="1"/>
  <c r="AAM149" i="1" s="1"/>
  <c r="AAV149" i="1" s="1"/>
  <c r="ABE149" i="1" s="1"/>
  <c r="NI167" i="1"/>
  <c r="NR167" i="1"/>
  <c r="OA167" i="1" s="1"/>
  <c r="OJ167" i="1" s="1"/>
  <c r="OS167" i="1" s="1"/>
  <c r="PB167" i="1" s="1"/>
  <c r="PK167" i="1" s="1"/>
  <c r="PT167" i="1" s="1"/>
  <c r="QC167" i="1" s="1"/>
  <c r="QL167" i="1" s="1"/>
  <c r="QU167" i="1" s="1"/>
  <c r="RD167" i="1" s="1"/>
  <c r="RM167" i="1" s="1"/>
  <c r="RV167" i="1" s="1"/>
  <c r="SE167" i="1" s="1"/>
  <c r="SN167" i="1" s="1"/>
  <c r="SW167" i="1" s="1"/>
  <c r="TF167" i="1" s="1"/>
  <c r="TO167" i="1" s="1"/>
  <c r="TX167" i="1" s="1"/>
  <c r="UG167" i="1" s="1"/>
  <c r="UP167" i="1" s="1"/>
  <c r="UY167" i="1" s="1"/>
  <c r="VH167" i="1" s="1"/>
  <c r="VQ167" i="1" s="1"/>
  <c r="VZ167" i="1" s="1"/>
  <c r="WI167" i="1" s="1"/>
  <c r="WR167" i="1" s="1"/>
  <c r="XA167" i="1" s="1"/>
  <c r="XJ167" i="1" s="1"/>
  <c r="XS167" i="1" s="1"/>
  <c r="YB167" i="1" s="1"/>
  <c r="YK167" i="1" s="1"/>
  <c r="YT167" i="1" s="1"/>
  <c r="ZC167" i="1" s="1"/>
  <c r="ZL167" i="1" s="1"/>
  <c r="ZU167" i="1" s="1"/>
  <c r="AAD167" i="1" s="1"/>
  <c r="AAM167" i="1" s="1"/>
  <c r="AAV167" i="1" s="1"/>
  <c r="ABE167" i="1" s="1"/>
  <c r="NI161" i="1"/>
  <c r="NR161" i="1"/>
  <c r="OA161" i="1" s="1"/>
  <c r="OJ161" i="1" s="1"/>
  <c r="OS161" i="1" s="1"/>
  <c r="PB161" i="1" s="1"/>
  <c r="PK161" i="1" s="1"/>
  <c r="PT161" i="1" s="1"/>
  <c r="QC161" i="1" s="1"/>
  <c r="QL161" i="1" s="1"/>
  <c r="QU161" i="1" s="1"/>
  <c r="RD161" i="1" s="1"/>
  <c r="RM161" i="1" s="1"/>
  <c r="RV161" i="1" s="1"/>
  <c r="SE161" i="1" s="1"/>
  <c r="SN161" i="1" s="1"/>
  <c r="SW161" i="1" s="1"/>
  <c r="TF161" i="1" s="1"/>
  <c r="TO161" i="1" s="1"/>
  <c r="TX161" i="1" s="1"/>
  <c r="UG161" i="1" s="1"/>
  <c r="UP161" i="1" s="1"/>
  <c r="UY161" i="1" s="1"/>
  <c r="VH161" i="1" s="1"/>
  <c r="VQ161" i="1" s="1"/>
  <c r="VZ161" i="1" s="1"/>
  <c r="WI161" i="1" s="1"/>
  <c r="WR161" i="1" s="1"/>
  <c r="XA161" i="1" s="1"/>
  <c r="XJ161" i="1" s="1"/>
  <c r="XS161" i="1" s="1"/>
  <c r="YB161" i="1" s="1"/>
  <c r="YK161" i="1" s="1"/>
  <c r="YT161" i="1" s="1"/>
  <c r="ZC161" i="1" s="1"/>
  <c r="ZL161" i="1" s="1"/>
  <c r="ZU161" i="1" s="1"/>
  <c r="AAD161" i="1" s="1"/>
  <c r="AAM161" i="1" s="1"/>
  <c r="AAV161" i="1" s="1"/>
  <c r="ABE161" i="1" s="1"/>
  <c r="NI165" i="1"/>
  <c r="NR165" i="1"/>
  <c r="OA165" i="1" s="1"/>
  <c r="OJ165" i="1" s="1"/>
  <c r="OS165" i="1" s="1"/>
  <c r="PB165" i="1" s="1"/>
  <c r="PK165" i="1" s="1"/>
  <c r="PT165" i="1" s="1"/>
  <c r="QC165" i="1" s="1"/>
  <c r="QL165" i="1" s="1"/>
  <c r="QU165" i="1" s="1"/>
  <c r="RD165" i="1" s="1"/>
  <c r="RM165" i="1" s="1"/>
  <c r="RV165" i="1" s="1"/>
  <c r="SE165" i="1" s="1"/>
  <c r="SN165" i="1" s="1"/>
  <c r="SW165" i="1" s="1"/>
  <c r="TF165" i="1" s="1"/>
  <c r="TO165" i="1" s="1"/>
  <c r="TX165" i="1" s="1"/>
  <c r="UG165" i="1" s="1"/>
  <c r="UP165" i="1" s="1"/>
  <c r="UY165" i="1" s="1"/>
  <c r="VH165" i="1" s="1"/>
  <c r="VQ165" i="1" s="1"/>
  <c r="VZ165" i="1" s="1"/>
  <c r="WI165" i="1" s="1"/>
  <c r="WR165" i="1" s="1"/>
  <c r="XA165" i="1" s="1"/>
  <c r="XJ165" i="1" s="1"/>
  <c r="XS165" i="1" s="1"/>
  <c r="YB165" i="1" s="1"/>
  <c r="YK165" i="1" s="1"/>
  <c r="YT165" i="1" s="1"/>
  <c r="ZC165" i="1" s="1"/>
  <c r="ZL165" i="1" s="1"/>
  <c r="ZU165" i="1" s="1"/>
  <c r="AAD165" i="1" s="1"/>
  <c r="AAM165" i="1" s="1"/>
  <c r="AAV165" i="1" s="1"/>
  <c r="ABE165" i="1" s="1"/>
  <c r="NI160" i="1"/>
  <c r="NR160" i="1"/>
  <c r="OA160" i="1" s="1"/>
  <c r="OJ160" i="1" s="1"/>
  <c r="OS160" i="1" s="1"/>
  <c r="PB160" i="1" s="1"/>
  <c r="PK160" i="1" s="1"/>
  <c r="PT160" i="1" s="1"/>
  <c r="QC160" i="1" s="1"/>
  <c r="QL160" i="1" s="1"/>
  <c r="QU160" i="1" s="1"/>
  <c r="RD160" i="1" s="1"/>
  <c r="RM160" i="1" s="1"/>
  <c r="RV160" i="1" s="1"/>
  <c r="SE160" i="1" s="1"/>
  <c r="SN160" i="1" s="1"/>
  <c r="SW160" i="1" s="1"/>
  <c r="TF160" i="1" s="1"/>
  <c r="TO160" i="1" s="1"/>
  <c r="TX160" i="1" s="1"/>
  <c r="UG160" i="1" s="1"/>
  <c r="UP160" i="1" s="1"/>
  <c r="UY160" i="1" s="1"/>
  <c r="VH160" i="1" s="1"/>
  <c r="VQ160" i="1" s="1"/>
  <c r="VZ160" i="1" s="1"/>
  <c r="WI160" i="1" s="1"/>
  <c r="WR160" i="1" s="1"/>
  <c r="XA160" i="1" s="1"/>
  <c r="XJ160" i="1" s="1"/>
  <c r="XS160" i="1" s="1"/>
  <c r="YB160" i="1" s="1"/>
  <c r="YK160" i="1" s="1"/>
  <c r="YT160" i="1" s="1"/>
  <c r="ZC160" i="1" s="1"/>
  <c r="ZL160" i="1" s="1"/>
  <c r="ZU160" i="1" s="1"/>
  <c r="AAD160" i="1" s="1"/>
  <c r="AAM160" i="1" s="1"/>
  <c r="AAV160" i="1" s="1"/>
  <c r="ABE160" i="1" s="1"/>
  <c r="NI170" i="1"/>
  <c r="NR170" i="1"/>
  <c r="OA170" i="1" s="1"/>
  <c r="OJ170" i="1" s="1"/>
  <c r="OS170" i="1" s="1"/>
  <c r="PB170" i="1" s="1"/>
  <c r="PK170" i="1" s="1"/>
  <c r="PT170" i="1" s="1"/>
  <c r="QC170" i="1" s="1"/>
  <c r="QL170" i="1" s="1"/>
  <c r="QU170" i="1" s="1"/>
  <c r="RD170" i="1" s="1"/>
  <c r="RM170" i="1" s="1"/>
  <c r="RV170" i="1" s="1"/>
  <c r="SE170" i="1" s="1"/>
  <c r="SN170" i="1" s="1"/>
  <c r="SW170" i="1" s="1"/>
  <c r="TF170" i="1" s="1"/>
  <c r="TO170" i="1" s="1"/>
  <c r="TX170" i="1" s="1"/>
  <c r="UG170" i="1" s="1"/>
  <c r="UP170" i="1" s="1"/>
  <c r="UY170" i="1" s="1"/>
  <c r="VH170" i="1" s="1"/>
  <c r="VQ170" i="1" s="1"/>
  <c r="VZ170" i="1" s="1"/>
  <c r="WI170" i="1" s="1"/>
  <c r="WR170" i="1" s="1"/>
  <c r="XA170" i="1" s="1"/>
  <c r="XJ170" i="1" s="1"/>
  <c r="XS170" i="1" s="1"/>
  <c r="YB170" i="1" s="1"/>
  <c r="YK170" i="1" s="1"/>
  <c r="YT170" i="1" s="1"/>
  <c r="ZC170" i="1" s="1"/>
  <c r="ZL170" i="1" s="1"/>
  <c r="ZU170" i="1" s="1"/>
  <c r="AAD170" i="1" s="1"/>
  <c r="AAM170" i="1" s="1"/>
  <c r="AAV170" i="1" s="1"/>
  <c r="ABE170" i="1" s="1"/>
  <c r="NI175" i="1"/>
  <c r="NR175" i="1"/>
  <c r="OA175" i="1" s="1"/>
  <c r="OJ175" i="1" s="1"/>
  <c r="OS175" i="1" s="1"/>
  <c r="PB175" i="1" s="1"/>
  <c r="PK175" i="1" s="1"/>
  <c r="PT175" i="1" s="1"/>
  <c r="QC175" i="1" s="1"/>
  <c r="QL175" i="1" s="1"/>
  <c r="QU175" i="1" s="1"/>
  <c r="RD175" i="1" s="1"/>
  <c r="RM175" i="1" s="1"/>
  <c r="RV175" i="1" s="1"/>
  <c r="SE175" i="1" s="1"/>
  <c r="SN175" i="1" s="1"/>
  <c r="SW175" i="1" s="1"/>
  <c r="TF175" i="1" s="1"/>
  <c r="TO175" i="1" s="1"/>
  <c r="TX175" i="1" s="1"/>
  <c r="UG175" i="1" s="1"/>
  <c r="UP175" i="1" s="1"/>
  <c r="UY175" i="1" s="1"/>
  <c r="VH175" i="1" s="1"/>
  <c r="VQ175" i="1" s="1"/>
  <c r="VZ175" i="1" s="1"/>
  <c r="WI175" i="1" s="1"/>
  <c r="WR175" i="1" s="1"/>
  <c r="XA175" i="1" s="1"/>
  <c r="XJ175" i="1" s="1"/>
  <c r="XS175" i="1" s="1"/>
  <c r="YB175" i="1" s="1"/>
  <c r="YK175" i="1" s="1"/>
  <c r="YT175" i="1" s="1"/>
  <c r="ZC175" i="1" s="1"/>
  <c r="ZL175" i="1" s="1"/>
  <c r="ZU175" i="1" s="1"/>
  <c r="AAD175" i="1" s="1"/>
  <c r="AAM175" i="1" s="1"/>
  <c r="AAV175" i="1" s="1"/>
  <c r="ABE175" i="1" s="1"/>
  <c r="NI173" i="1"/>
  <c r="NR173" i="1"/>
  <c r="OA173" i="1" s="1"/>
  <c r="OJ173" i="1" s="1"/>
  <c r="OS173" i="1" s="1"/>
  <c r="PB173" i="1" s="1"/>
  <c r="PK173" i="1" s="1"/>
  <c r="PT173" i="1" s="1"/>
  <c r="QC173" i="1" s="1"/>
  <c r="QL173" i="1" s="1"/>
  <c r="QU173" i="1" s="1"/>
  <c r="RD173" i="1" s="1"/>
  <c r="RM173" i="1" s="1"/>
  <c r="RV173" i="1" s="1"/>
  <c r="SE173" i="1" s="1"/>
  <c r="SN173" i="1" s="1"/>
  <c r="SW173" i="1" s="1"/>
  <c r="TF173" i="1" s="1"/>
  <c r="TO173" i="1" s="1"/>
  <c r="TX173" i="1" s="1"/>
  <c r="UG173" i="1" s="1"/>
  <c r="UP173" i="1" s="1"/>
  <c r="UY173" i="1" s="1"/>
  <c r="VH173" i="1" s="1"/>
  <c r="VQ173" i="1" s="1"/>
  <c r="VZ173" i="1" s="1"/>
  <c r="WI173" i="1" s="1"/>
  <c r="WR173" i="1" s="1"/>
  <c r="XA173" i="1" s="1"/>
  <c r="XJ173" i="1" s="1"/>
  <c r="XS173" i="1" s="1"/>
  <c r="YB173" i="1" s="1"/>
  <c r="YK173" i="1" s="1"/>
  <c r="YT173" i="1" s="1"/>
  <c r="ZC173" i="1" s="1"/>
  <c r="ZL173" i="1" s="1"/>
  <c r="ZU173" i="1" s="1"/>
  <c r="AAD173" i="1" s="1"/>
  <c r="AAM173" i="1" s="1"/>
  <c r="AAV173" i="1" s="1"/>
  <c r="ABE173" i="1" s="1"/>
  <c r="NI155" i="1"/>
  <c r="NR155" i="1"/>
  <c r="OA155" i="1" s="1"/>
  <c r="OJ155" i="1" s="1"/>
  <c r="OS155" i="1" s="1"/>
  <c r="PB155" i="1" s="1"/>
  <c r="PK155" i="1" s="1"/>
  <c r="PT155" i="1" s="1"/>
  <c r="QC155" i="1" s="1"/>
  <c r="QL155" i="1" s="1"/>
  <c r="QU155" i="1" s="1"/>
  <c r="RD155" i="1" s="1"/>
  <c r="RM155" i="1" s="1"/>
  <c r="RV155" i="1" s="1"/>
  <c r="SE155" i="1" s="1"/>
  <c r="SN155" i="1" s="1"/>
  <c r="SW155" i="1" s="1"/>
  <c r="TF155" i="1" s="1"/>
  <c r="TO155" i="1" s="1"/>
  <c r="TX155" i="1" s="1"/>
  <c r="UG155" i="1" s="1"/>
  <c r="UP155" i="1" s="1"/>
  <c r="UY155" i="1" s="1"/>
  <c r="VH155" i="1" s="1"/>
  <c r="VQ155" i="1" s="1"/>
  <c r="VZ155" i="1" s="1"/>
  <c r="WI155" i="1" s="1"/>
  <c r="WR155" i="1" s="1"/>
  <c r="XA155" i="1" s="1"/>
  <c r="XJ155" i="1" s="1"/>
  <c r="XS155" i="1" s="1"/>
  <c r="YB155" i="1" s="1"/>
  <c r="YK155" i="1" s="1"/>
  <c r="YT155" i="1" s="1"/>
  <c r="ZC155" i="1" s="1"/>
  <c r="ZL155" i="1" s="1"/>
  <c r="ZU155" i="1" s="1"/>
  <c r="AAD155" i="1" s="1"/>
  <c r="AAM155" i="1" s="1"/>
  <c r="AAV155" i="1" s="1"/>
  <c r="ABE155" i="1" s="1"/>
  <c r="NI152" i="1"/>
  <c r="NR152" i="1"/>
  <c r="OA152" i="1" s="1"/>
  <c r="OJ152" i="1" s="1"/>
  <c r="OS152" i="1" s="1"/>
  <c r="PB152" i="1" s="1"/>
  <c r="PK152" i="1" s="1"/>
  <c r="PT152" i="1" s="1"/>
  <c r="QC152" i="1" s="1"/>
  <c r="QL152" i="1" s="1"/>
  <c r="QU152" i="1" s="1"/>
  <c r="RD152" i="1" s="1"/>
  <c r="RM152" i="1" s="1"/>
  <c r="RV152" i="1" s="1"/>
  <c r="SE152" i="1" s="1"/>
  <c r="SN152" i="1" s="1"/>
  <c r="SW152" i="1" s="1"/>
  <c r="TF152" i="1" s="1"/>
  <c r="TO152" i="1" s="1"/>
  <c r="TX152" i="1" s="1"/>
  <c r="UG152" i="1" s="1"/>
  <c r="UP152" i="1" s="1"/>
  <c r="UY152" i="1" s="1"/>
  <c r="VH152" i="1" s="1"/>
  <c r="VQ152" i="1" s="1"/>
  <c r="VZ152" i="1" s="1"/>
  <c r="WI152" i="1" s="1"/>
  <c r="WR152" i="1" s="1"/>
  <c r="XA152" i="1" s="1"/>
  <c r="XJ152" i="1" s="1"/>
  <c r="XS152" i="1" s="1"/>
  <c r="YB152" i="1" s="1"/>
  <c r="YK152" i="1" s="1"/>
  <c r="YT152" i="1" s="1"/>
  <c r="ZC152" i="1" s="1"/>
  <c r="ZL152" i="1" s="1"/>
  <c r="ZU152" i="1" s="1"/>
  <c r="AAD152" i="1" s="1"/>
  <c r="AAM152" i="1" s="1"/>
  <c r="AAV152" i="1" s="1"/>
  <c r="ABE152" i="1" s="1"/>
  <c r="NI172" i="1"/>
  <c r="NR172" i="1"/>
  <c r="OA172" i="1" s="1"/>
  <c r="OJ172" i="1" s="1"/>
  <c r="OS172" i="1" s="1"/>
  <c r="PB172" i="1" s="1"/>
  <c r="PK172" i="1" s="1"/>
  <c r="PT172" i="1" s="1"/>
  <c r="QC172" i="1" s="1"/>
  <c r="QL172" i="1" s="1"/>
  <c r="QU172" i="1" s="1"/>
  <c r="RD172" i="1" s="1"/>
  <c r="RM172" i="1" s="1"/>
  <c r="RV172" i="1" s="1"/>
  <c r="SE172" i="1" s="1"/>
  <c r="SN172" i="1" s="1"/>
  <c r="SW172" i="1" s="1"/>
  <c r="TF172" i="1" s="1"/>
  <c r="TO172" i="1" s="1"/>
  <c r="TX172" i="1" s="1"/>
  <c r="UG172" i="1" s="1"/>
  <c r="UP172" i="1" s="1"/>
  <c r="UY172" i="1" s="1"/>
  <c r="VH172" i="1" s="1"/>
  <c r="VQ172" i="1" s="1"/>
  <c r="VZ172" i="1" s="1"/>
  <c r="WI172" i="1" s="1"/>
  <c r="WR172" i="1" s="1"/>
  <c r="XA172" i="1" s="1"/>
  <c r="XJ172" i="1" s="1"/>
  <c r="XS172" i="1" s="1"/>
  <c r="YB172" i="1" s="1"/>
  <c r="YK172" i="1" s="1"/>
  <c r="YT172" i="1" s="1"/>
  <c r="ZC172" i="1" s="1"/>
  <c r="ZL172" i="1" s="1"/>
  <c r="ZU172" i="1" s="1"/>
  <c r="AAD172" i="1" s="1"/>
  <c r="AAM172" i="1" s="1"/>
  <c r="AAV172" i="1" s="1"/>
  <c r="ABE172" i="1" s="1"/>
  <c r="NI151" i="1"/>
  <c r="NR151" i="1"/>
  <c r="OA151" i="1" s="1"/>
  <c r="OJ151" i="1" s="1"/>
  <c r="OS151" i="1" s="1"/>
  <c r="PB151" i="1" s="1"/>
  <c r="PK151" i="1" s="1"/>
  <c r="PT151" i="1" s="1"/>
  <c r="QC151" i="1" s="1"/>
  <c r="QL151" i="1" s="1"/>
  <c r="QU151" i="1" s="1"/>
  <c r="RD151" i="1" s="1"/>
  <c r="RM151" i="1" s="1"/>
  <c r="RV151" i="1" s="1"/>
  <c r="SE151" i="1" s="1"/>
  <c r="SN151" i="1" s="1"/>
  <c r="SW151" i="1" s="1"/>
  <c r="TF151" i="1" s="1"/>
  <c r="TO151" i="1" s="1"/>
  <c r="TX151" i="1" s="1"/>
  <c r="UG151" i="1" s="1"/>
  <c r="UP151" i="1" s="1"/>
  <c r="UY151" i="1" s="1"/>
  <c r="VH151" i="1" s="1"/>
  <c r="VQ151" i="1" s="1"/>
  <c r="VZ151" i="1" s="1"/>
  <c r="WI151" i="1" s="1"/>
  <c r="WR151" i="1" s="1"/>
  <c r="XA151" i="1" s="1"/>
  <c r="XJ151" i="1" s="1"/>
  <c r="XS151" i="1" s="1"/>
  <c r="YB151" i="1" s="1"/>
  <c r="YK151" i="1" s="1"/>
  <c r="YT151" i="1" s="1"/>
  <c r="ZC151" i="1" s="1"/>
  <c r="ZL151" i="1" s="1"/>
  <c r="ZU151" i="1" s="1"/>
  <c r="AAD151" i="1" s="1"/>
  <c r="AAM151" i="1" s="1"/>
  <c r="AAV151" i="1" s="1"/>
  <c r="ABE151" i="1" s="1"/>
  <c r="NI164" i="1"/>
  <c r="NR164" i="1"/>
  <c r="OA164" i="1" s="1"/>
  <c r="OJ164" i="1" s="1"/>
  <c r="OS164" i="1" s="1"/>
  <c r="PB164" i="1" s="1"/>
  <c r="PK164" i="1" s="1"/>
  <c r="PT164" i="1" s="1"/>
  <c r="QC164" i="1" s="1"/>
  <c r="QL164" i="1" s="1"/>
  <c r="QU164" i="1" s="1"/>
  <c r="RD164" i="1" s="1"/>
  <c r="RM164" i="1" s="1"/>
  <c r="RV164" i="1" s="1"/>
  <c r="SE164" i="1" s="1"/>
  <c r="SN164" i="1" s="1"/>
  <c r="SW164" i="1" s="1"/>
  <c r="TF164" i="1" s="1"/>
  <c r="TO164" i="1" s="1"/>
  <c r="TX164" i="1" s="1"/>
  <c r="UG164" i="1" s="1"/>
  <c r="UP164" i="1" s="1"/>
  <c r="UY164" i="1" s="1"/>
  <c r="VH164" i="1" s="1"/>
  <c r="VQ164" i="1" s="1"/>
  <c r="VZ164" i="1" s="1"/>
  <c r="WI164" i="1" s="1"/>
  <c r="WR164" i="1" s="1"/>
  <c r="XA164" i="1" s="1"/>
  <c r="XJ164" i="1" s="1"/>
  <c r="XS164" i="1" s="1"/>
  <c r="YB164" i="1" s="1"/>
  <c r="YK164" i="1" s="1"/>
  <c r="YT164" i="1" s="1"/>
  <c r="ZC164" i="1" s="1"/>
  <c r="ZL164" i="1" s="1"/>
  <c r="ZU164" i="1" s="1"/>
  <c r="AAD164" i="1" s="1"/>
  <c r="AAM164" i="1" s="1"/>
  <c r="AAV164" i="1" s="1"/>
  <c r="ABE164" i="1" s="1"/>
  <c r="NI148" i="1"/>
  <c r="NR148" i="1"/>
  <c r="OA148" i="1" s="1"/>
  <c r="OJ148" i="1" s="1"/>
  <c r="OS148" i="1" s="1"/>
  <c r="PB148" i="1" s="1"/>
  <c r="PK148" i="1" s="1"/>
  <c r="PT148" i="1" s="1"/>
  <c r="QC148" i="1" s="1"/>
  <c r="QL148" i="1" s="1"/>
  <c r="QU148" i="1" s="1"/>
  <c r="RD148" i="1" s="1"/>
  <c r="RM148" i="1" s="1"/>
  <c r="RV148" i="1" s="1"/>
  <c r="SE148" i="1" s="1"/>
  <c r="SN148" i="1" s="1"/>
  <c r="SW148" i="1" s="1"/>
  <c r="TF148" i="1" s="1"/>
  <c r="TO148" i="1" s="1"/>
  <c r="TX148" i="1" s="1"/>
  <c r="UG148" i="1" s="1"/>
  <c r="UP148" i="1" s="1"/>
  <c r="UY148" i="1" s="1"/>
  <c r="VH148" i="1" s="1"/>
  <c r="VQ148" i="1" s="1"/>
  <c r="VZ148" i="1" s="1"/>
  <c r="WI148" i="1" s="1"/>
  <c r="WR148" i="1" s="1"/>
  <c r="XA148" i="1" s="1"/>
  <c r="XJ148" i="1" s="1"/>
  <c r="XS148" i="1" s="1"/>
  <c r="YB148" i="1" s="1"/>
  <c r="YK148" i="1" s="1"/>
  <c r="YT148" i="1" s="1"/>
  <c r="ZC148" i="1" s="1"/>
  <c r="ZL148" i="1" s="1"/>
  <c r="ZU148" i="1" s="1"/>
  <c r="AAD148" i="1" s="1"/>
  <c r="AAM148" i="1" s="1"/>
  <c r="AAV148" i="1" s="1"/>
  <c r="ABE148" i="1" s="1"/>
  <c r="NI137" i="1"/>
  <c r="NR137" i="1"/>
  <c r="OA137" i="1" s="1"/>
  <c r="OJ137" i="1" s="1"/>
  <c r="OS137" i="1" s="1"/>
  <c r="PB137" i="1" s="1"/>
  <c r="PK137" i="1" s="1"/>
  <c r="PT137" i="1" s="1"/>
  <c r="QC137" i="1" s="1"/>
  <c r="QL137" i="1" s="1"/>
  <c r="QU137" i="1" s="1"/>
  <c r="RD137" i="1" s="1"/>
  <c r="RM137" i="1" s="1"/>
  <c r="RV137" i="1" s="1"/>
  <c r="SE137" i="1" s="1"/>
  <c r="SN137" i="1" s="1"/>
  <c r="SW137" i="1" s="1"/>
  <c r="TF137" i="1" s="1"/>
  <c r="TO137" i="1" s="1"/>
  <c r="TX137" i="1" s="1"/>
  <c r="UG137" i="1" s="1"/>
  <c r="UP137" i="1" s="1"/>
  <c r="UY137" i="1" s="1"/>
  <c r="VH137" i="1" s="1"/>
  <c r="VQ137" i="1" s="1"/>
  <c r="VZ137" i="1" s="1"/>
  <c r="WI137" i="1" s="1"/>
  <c r="WR137" i="1" s="1"/>
  <c r="XA137" i="1" s="1"/>
  <c r="XJ137" i="1" s="1"/>
  <c r="XS137" i="1" s="1"/>
  <c r="YB137" i="1" s="1"/>
  <c r="YK137" i="1" s="1"/>
  <c r="YT137" i="1" s="1"/>
  <c r="ZC137" i="1" s="1"/>
  <c r="ZL137" i="1" s="1"/>
  <c r="ZU137" i="1" s="1"/>
  <c r="AAD137" i="1" s="1"/>
  <c r="AAM137" i="1" s="1"/>
  <c r="AAV137" i="1" s="1"/>
  <c r="ABE137" i="1" s="1"/>
  <c r="NI129" i="1"/>
  <c r="NR129" i="1"/>
  <c r="OA129" i="1" s="1"/>
  <c r="OJ129" i="1" s="1"/>
  <c r="OS129" i="1" s="1"/>
  <c r="PB129" i="1" s="1"/>
  <c r="PK129" i="1" s="1"/>
  <c r="PT129" i="1" s="1"/>
  <c r="QC129" i="1" s="1"/>
  <c r="QL129" i="1" s="1"/>
  <c r="QU129" i="1" s="1"/>
  <c r="RD129" i="1" s="1"/>
  <c r="RM129" i="1" s="1"/>
  <c r="RV129" i="1" s="1"/>
  <c r="SE129" i="1" s="1"/>
  <c r="SN129" i="1" s="1"/>
  <c r="SW129" i="1" s="1"/>
  <c r="TF129" i="1" s="1"/>
  <c r="TO129" i="1" s="1"/>
  <c r="TX129" i="1" s="1"/>
  <c r="UG129" i="1" s="1"/>
  <c r="UP129" i="1" s="1"/>
  <c r="UY129" i="1" s="1"/>
  <c r="VH129" i="1" s="1"/>
  <c r="VQ129" i="1" s="1"/>
  <c r="VZ129" i="1" s="1"/>
  <c r="WI129" i="1" s="1"/>
  <c r="WR129" i="1" s="1"/>
  <c r="XA129" i="1" s="1"/>
  <c r="XJ129" i="1" s="1"/>
  <c r="XS129" i="1" s="1"/>
  <c r="YB129" i="1" s="1"/>
  <c r="YK129" i="1" s="1"/>
  <c r="YT129" i="1" s="1"/>
  <c r="ZC129" i="1" s="1"/>
  <c r="ZL129" i="1" s="1"/>
  <c r="ZU129" i="1" s="1"/>
  <c r="AAD129" i="1" s="1"/>
  <c r="AAM129" i="1" s="1"/>
  <c r="AAV129" i="1" s="1"/>
  <c r="ABE129" i="1" s="1"/>
  <c r="NI140" i="1"/>
  <c r="NR140" i="1"/>
  <c r="OA140" i="1" s="1"/>
  <c r="OJ140" i="1" s="1"/>
  <c r="OS140" i="1" s="1"/>
  <c r="PB140" i="1" s="1"/>
  <c r="PK140" i="1" s="1"/>
  <c r="PT140" i="1" s="1"/>
  <c r="QC140" i="1" s="1"/>
  <c r="QL140" i="1" s="1"/>
  <c r="QU140" i="1" s="1"/>
  <c r="RD140" i="1" s="1"/>
  <c r="RM140" i="1" s="1"/>
  <c r="RV140" i="1" s="1"/>
  <c r="SE140" i="1" s="1"/>
  <c r="SN140" i="1" s="1"/>
  <c r="SW140" i="1" s="1"/>
  <c r="TF140" i="1" s="1"/>
  <c r="TO140" i="1" s="1"/>
  <c r="TX140" i="1" s="1"/>
  <c r="UG140" i="1" s="1"/>
  <c r="UP140" i="1" s="1"/>
  <c r="UY140" i="1" s="1"/>
  <c r="VH140" i="1" s="1"/>
  <c r="VQ140" i="1" s="1"/>
  <c r="VZ140" i="1" s="1"/>
  <c r="WI140" i="1" s="1"/>
  <c r="WR140" i="1" s="1"/>
  <c r="XA140" i="1" s="1"/>
  <c r="XJ140" i="1" s="1"/>
  <c r="XS140" i="1" s="1"/>
  <c r="YB140" i="1" s="1"/>
  <c r="YK140" i="1" s="1"/>
  <c r="YT140" i="1" s="1"/>
  <c r="ZC140" i="1" s="1"/>
  <c r="ZL140" i="1" s="1"/>
  <c r="ZU140" i="1" s="1"/>
  <c r="AAD140" i="1" s="1"/>
  <c r="AAM140" i="1" s="1"/>
  <c r="AAV140" i="1" s="1"/>
  <c r="ABE140" i="1" s="1"/>
  <c r="NI119" i="1"/>
  <c r="NR119" i="1"/>
  <c r="OA119" i="1" s="1"/>
  <c r="OJ119" i="1" s="1"/>
  <c r="OS119" i="1" s="1"/>
  <c r="PB119" i="1" s="1"/>
  <c r="PK119" i="1" s="1"/>
  <c r="PT119" i="1" s="1"/>
  <c r="QC119" i="1" s="1"/>
  <c r="QL119" i="1" s="1"/>
  <c r="QU119" i="1" s="1"/>
  <c r="RD119" i="1" s="1"/>
  <c r="RM119" i="1" s="1"/>
  <c r="RV119" i="1" s="1"/>
  <c r="SE119" i="1" s="1"/>
  <c r="SN119" i="1" s="1"/>
  <c r="SW119" i="1" s="1"/>
  <c r="TF119" i="1" s="1"/>
  <c r="TO119" i="1" s="1"/>
  <c r="TX119" i="1" s="1"/>
  <c r="UG119" i="1" s="1"/>
  <c r="UP119" i="1" s="1"/>
  <c r="UY119" i="1" s="1"/>
  <c r="VH119" i="1" s="1"/>
  <c r="VQ119" i="1" s="1"/>
  <c r="VZ119" i="1" s="1"/>
  <c r="WI119" i="1" s="1"/>
  <c r="WR119" i="1" s="1"/>
  <c r="XA119" i="1" s="1"/>
  <c r="XJ119" i="1" s="1"/>
  <c r="XS119" i="1" s="1"/>
  <c r="YB119" i="1" s="1"/>
  <c r="YK119" i="1" s="1"/>
  <c r="YT119" i="1" s="1"/>
  <c r="ZC119" i="1" s="1"/>
  <c r="ZL119" i="1" s="1"/>
  <c r="ZU119" i="1" s="1"/>
  <c r="AAD119" i="1" s="1"/>
  <c r="AAM119" i="1" s="1"/>
  <c r="AAV119" i="1" s="1"/>
  <c r="ABE119" i="1" s="1"/>
  <c r="NI118" i="1"/>
  <c r="NR118" i="1"/>
  <c r="OA118" i="1" s="1"/>
  <c r="OJ118" i="1" s="1"/>
  <c r="OS118" i="1" s="1"/>
  <c r="PB118" i="1" s="1"/>
  <c r="PK118" i="1" s="1"/>
  <c r="PT118" i="1" s="1"/>
  <c r="QC118" i="1" s="1"/>
  <c r="QL118" i="1" s="1"/>
  <c r="QU118" i="1" s="1"/>
  <c r="RD118" i="1" s="1"/>
  <c r="RM118" i="1" s="1"/>
  <c r="RV118" i="1" s="1"/>
  <c r="SE118" i="1" s="1"/>
  <c r="SN118" i="1" s="1"/>
  <c r="SW118" i="1" s="1"/>
  <c r="TF118" i="1" s="1"/>
  <c r="TO118" i="1" s="1"/>
  <c r="TX118" i="1" s="1"/>
  <c r="UG118" i="1" s="1"/>
  <c r="UP118" i="1" s="1"/>
  <c r="UY118" i="1" s="1"/>
  <c r="VH118" i="1" s="1"/>
  <c r="VQ118" i="1" s="1"/>
  <c r="VZ118" i="1" s="1"/>
  <c r="WI118" i="1" s="1"/>
  <c r="WR118" i="1" s="1"/>
  <c r="XA118" i="1" s="1"/>
  <c r="XJ118" i="1" s="1"/>
  <c r="XS118" i="1" s="1"/>
  <c r="YB118" i="1" s="1"/>
  <c r="YK118" i="1" s="1"/>
  <c r="YT118" i="1" s="1"/>
  <c r="ZC118" i="1" s="1"/>
  <c r="ZL118" i="1" s="1"/>
  <c r="ZU118" i="1" s="1"/>
  <c r="AAD118" i="1" s="1"/>
  <c r="AAM118" i="1" s="1"/>
  <c r="AAV118" i="1" s="1"/>
  <c r="ABE118" i="1" s="1"/>
  <c r="NI127" i="1"/>
  <c r="NR127" i="1"/>
  <c r="OA127" i="1" s="1"/>
  <c r="OJ127" i="1" s="1"/>
  <c r="OS127" i="1" s="1"/>
  <c r="PB127" i="1" s="1"/>
  <c r="PK127" i="1" s="1"/>
  <c r="PT127" i="1" s="1"/>
  <c r="QC127" i="1" s="1"/>
  <c r="QL127" i="1" s="1"/>
  <c r="QU127" i="1" s="1"/>
  <c r="RD127" i="1" s="1"/>
  <c r="RM127" i="1" s="1"/>
  <c r="RV127" i="1" s="1"/>
  <c r="SE127" i="1" s="1"/>
  <c r="SN127" i="1" s="1"/>
  <c r="SW127" i="1" s="1"/>
  <c r="TF127" i="1" s="1"/>
  <c r="TO127" i="1" s="1"/>
  <c r="TX127" i="1" s="1"/>
  <c r="UG127" i="1" s="1"/>
  <c r="UP127" i="1" s="1"/>
  <c r="UY127" i="1" s="1"/>
  <c r="VH127" i="1" s="1"/>
  <c r="VQ127" i="1" s="1"/>
  <c r="VZ127" i="1" s="1"/>
  <c r="WI127" i="1" s="1"/>
  <c r="WR127" i="1" s="1"/>
  <c r="XA127" i="1" s="1"/>
  <c r="XJ127" i="1" s="1"/>
  <c r="XS127" i="1" s="1"/>
  <c r="YB127" i="1" s="1"/>
  <c r="YK127" i="1" s="1"/>
  <c r="YT127" i="1" s="1"/>
  <c r="ZC127" i="1" s="1"/>
  <c r="ZL127" i="1" s="1"/>
  <c r="ZU127" i="1" s="1"/>
  <c r="AAD127" i="1" s="1"/>
  <c r="AAM127" i="1" s="1"/>
  <c r="AAV127" i="1" s="1"/>
  <c r="ABE127" i="1" s="1"/>
  <c r="NI132" i="1"/>
  <c r="NR132" i="1"/>
  <c r="OA132" i="1" s="1"/>
  <c r="OJ132" i="1" s="1"/>
  <c r="OS132" i="1" s="1"/>
  <c r="PB132" i="1" s="1"/>
  <c r="PK132" i="1" s="1"/>
  <c r="PT132" i="1" s="1"/>
  <c r="QC132" i="1" s="1"/>
  <c r="QL132" i="1" s="1"/>
  <c r="QU132" i="1" s="1"/>
  <c r="RD132" i="1" s="1"/>
  <c r="RM132" i="1" s="1"/>
  <c r="RV132" i="1" s="1"/>
  <c r="SE132" i="1" s="1"/>
  <c r="SN132" i="1" s="1"/>
  <c r="SW132" i="1" s="1"/>
  <c r="TF132" i="1" s="1"/>
  <c r="TO132" i="1" s="1"/>
  <c r="TX132" i="1" s="1"/>
  <c r="UG132" i="1" s="1"/>
  <c r="UP132" i="1" s="1"/>
  <c r="UY132" i="1" s="1"/>
  <c r="VH132" i="1" s="1"/>
  <c r="VQ132" i="1" s="1"/>
  <c r="VZ132" i="1" s="1"/>
  <c r="WI132" i="1" s="1"/>
  <c r="WR132" i="1" s="1"/>
  <c r="XA132" i="1" s="1"/>
  <c r="XJ132" i="1" s="1"/>
  <c r="XS132" i="1" s="1"/>
  <c r="YB132" i="1" s="1"/>
  <c r="YK132" i="1" s="1"/>
  <c r="YT132" i="1" s="1"/>
  <c r="ZC132" i="1" s="1"/>
  <c r="ZL132" i="1" s="1"/>
  <c r="ZU132" i="1" s="1"/>
  <c r="AAD132" i="1" s="1"/>
  <c r="AAM132" i="1" s="1"/>
  <c r="AAV132" i="1" s="1"/>
  <c r="ABE132" i="1" s="1"/>
  <c r="NI125" i="1"/>
  <c r="NR125" i="1"/>
  <c r="OA125" i="1" s="1"/>
  <c r="OJ125" i="1" s="1"/>
  <c r="OS125" i="1" s="1"/>
  <c r="PB125" i="1" s="1"/>
  <c r="PK125" i="1" s="1"/>
  <c r="PT125" i="1" s="1"/>
  <c r="QC125" i="1" s="1"/>
  <c r="QL125" i="1" s="1"/>
  <c r="QU125" i="1" s="1"/>
  <c r="RD125" i="1" s="1"/>
  <c r="RM125" i="1" s="1"/>
  <c r="RV125" i="1" s="1"/>
  <c r="SE125" i="1" s="1"/>
  <c r="SN125" i="1" s="1"/>
  <c r="SW125" i="1" s="1"/>
  <c r="TF125" i="1" s="1"/>
  <c r="TO125" i="1" s="1"/>
  <c r="TX125" i="1" s="1"/>
  <c r="UG125" i="1" s="1"/>
  <c r="UP125" i="1" s="1"/>
  <c r="UY125" i="1" s="1"/>
  <c r="VH125" i="1" s="1"/>
  <c r="VQ125" i="1" s="1"/>
  <c r="VZ125" i="1" s="1"/>
  <c r="WI125" i="1" s="1"/>
  <c r="WR125" i="1" s="1"/>
  <c r="XA125" i="1" s="1"/>
  <c r="XJ125" i="1" s="1"/>
  <c r="XS125" i="1" s="1"/>
  <c r="YB125" i="1" s="1"/>
  <c r="YK125" i="1" s="1"/>
  <c r="YT125" i="1" s="1"/>
  <c r="ZC125" i="1" s="1"/>
  <c r="ZL125" i="1" s="1"/>
  <c r="ZU125" i="1" s="1"/>
  <c r="AAD125" i="1" s="1"/>
  <c r="AAM125" i="1" s="1"/>
  <c r="AAV125" i="1" s="1"/>
  <c r="ABE125" i="1" s="1"/>
  <c r="NI117" i="1"/>
  <c r="NR117" i="1"/>
  <c r="OA117" i="1" s="1"/>
  <c r="OJ117" i="1" s="1"/>
  <c r="OS117" i="1" s="1"/>
  <c r="PB117" i="1" s="1"/>
  <c r="PK117" i="1" s="1"/>
  <c r="PT117" i="1" s="1"/>
  <c r="QC117" i="1" s="1"/>
  <c r="QL117" i="1" s="1"/>
  <c r="QU117" i="1" s="1"/>
  <c r="RD117" i="1" s="1"/>
  <c r="RM117" i="1" s="1"/>
  <c r="RV117" i="1" s="1"/>
  <c r="SE117" i="1" s="1"/>
  <c r="SN117" i="1" s="1"/>
  <c r="SW117" i="1" s="1"/>
  <c r="TF117" i="1" s="1"/>
  <c r="TO117" i="1" s="1"/>
  <c r="TX117" i="1" s="1"/>
  <c r="UG117" i="1" s="1"/>
  <c r="UP117" i="1" s="1"/>
  <c r="UY117" i="1" s="1"/>
  <c r="VH117" i="1" s="1"/>
  <c r="VQ117" i="1" s="1"/>
  <c r="VZ117" i="1" s="1"/>
  <c r="WI117" i="1" s="1"/>
  <c r="WR117" i="1" s="1"/>
  <c r="XA117" i="1" s="1"/>
  <c r="XJ117" i="1" s="1"/>
  <c r="XS117" i="1" s="1"/>
  <c r="YB117" i="1" s="1"/>
  <c r="YK117" i="1" s="1"/>
  <c r="YT117" i="1" s="1"/>
  <c r="ZC117" i="1" s="1"/>
  <c r="ZL117" i="1" s="1"/>
  <c r="ZU117" i="1" s="1"/>
  <c r="AAD117" i="1" s="1"/>
  <c r="AAM117" i="1" s="1"/>
  <c r="AAV117" i="1" s="1"/>
  <c r="ABE117" i="1" s="1"/>
  <c r="NI141" i="1"/>
  <c r="NR141" i="1"/>
  <c r="OA141" i="1" s="1"/>
  <c r="OJ141" i="1" s="1"/>
  <c r="OS141" i="1" s="1"/>
  <c r="PB141" i="1" s="1"/>
  <c r="PK141" i="1" s="1"/>
  <c r="PT141" i="1" s="1"/>
  <c r="QC141" i="1" s="1"/>
  <c r="QL141" i="1" s="1"/>
  <c r="QU141" i="1" s="1"/>
  <c r="RD141" i="1" s="1"/>
  <c r="RM141" i="1" s="1"/>
  <c r="RV141" i="1" s="1"/>
  <c r="SE141" i="1" s="1"/>
  <c r="SN141" i="1" s="1"/>
  <c r="SW141" i="1" s="1"/>
  <c r="TF141" i="1" s="1"/>
  <c r="TO141" i="1" s="1"/>
  <c r="TX141" i="1" s="1"/>
  <c r="UG141" i="1" s="1"/>
  <c r="UP141" i="1" s="1"/>
  <c r="UY141" i="1" s="1"/>
  <c r="VH141" i="1" s="1"/>
  <c r="VQ141" i="1" s="1"/>
  <c r="VZ141" i="1" s="1"/>
  <c r="WI141" i="1" s="1"/>
  <c r="WR141" i="1" s="1"/>
  <c r="XA141" i="1" s="1"/>
  <c r="XJ141" i="1" s="1"/>
  <c r="XS141" i="1" s="1"/>
  <c r="YB141" i="1" s="1"/>
  <c r="YK141" i="1" s="1"/>
  <c r="YT141" i="1" s="1"/>
  <c r="ZC141" i="1" s="1"/>
  <c r="ZL141" i="1" s="1"/>
  <c r="ZU141" i="1" s="1"/>
  <c r="AAD141" i="1" s="1"/>
  <c r="AAM141" i="1" s="1"/>
  <c r="AAV141" i="1" s="1"/>
  <c r="ABE141" i="1" s="1"/>
  <c r="NI123" i="1"/>
  <c r="NR123" i="1"/>
  <c r="OA123" i="1" s="1"/>
  <c r="OJ123" i="1" s="1"/>
  <c r="OS123" i="1" s="1"/>
  <c r="PB123" i="1" s="1"/>
  <c r="PK123" i="1" s="1"/>
  <c r="PT123" i="1" s="1"/>
  <c r="QC123" i="1" s="1"/>
  <c r="QL123" i="1" s="1"/>
  <c r="QU123" i="1" s="1"/>
  <c r="RD123" i="1" s="1"/>
  <c r="RM123" i="1" s="1"/>
  <c r="RV123" i="1" s="1"/>
  <c r="SE123" i="1" s="1"/>
  <c r="SN123" i="1" s="1"/>
  <c r="SW123" i="1" s="1"/>
  <c r="TF123" i="1" s="1"/>
  <c r="TO123" i="1" s="1"/>
  <c r="TX123" i="1" s="1"/>
  <c r="UG123" i="1" s="1"/>
  <c r="UP123" i="1" s="1"/>
  <c r="UY123" i="1" s="1"/>
  <c r="VH123" i="1" s="1"/>
  <c r="VQ123" i="1" s="1"/>
  <c r="VZ123" i="1" s="1"/>
  <c r="WI123" i="1" s="1"/>
  <c r="WR123" i="1" s="1"/>
  <c r="XA123" i="1" s="1"/>
  <c r="XJ123" i="1" s="1"/>
  <c r="XS123" i="1" s="1"/>
  <c r="YB123" i="1" s="1"/>
  <c r="YK123" i="1" s="1"/>
  <c r="YT123" i="1" s="1"/>
  <c r="ZC123" i="1" s="1"/>
  <c r="ZL123" i="1" s="1"/>
  <c r="ZU123" i="1" s="1"/>
  <c r="AAD123" i="1" s="1"/>
  <c r="AAM123" i="1" s="1"/>
  <c r="AAV123" i="1" s="1"/>
  <c r="ABE123" i="1" s="1"/>
  <c r="NI128" i="1"/>
  <c r="NR128" i="1"/>
  <c r="OA128" i="1" s="1"/>
  <c r="OJ128" i="1" s="1"/>
  <c r="OS128" i="1" s="1"/>
  <c r="PB128" i="1" s="1"/>
  <c r="PK128" i="1" s="1"/>
  <c r="PT128" i="1" s="1"/>
  <c r="QC128" i="1" s="1"/>
  <c r="QL128" i="1" s="1"/>
  <c r="QU128" i="1" s="1"/>
  <c r="RD128" i="1" s="1"/>
  <c r="RM128" i="1" s="1"/>
  <c r="RV128" i="1" s="1"/>
  <c r="SE128" i="1" s="1"/>
  <c r="SN128" i="1" s="1"/>
  <c r="SW128" i="1" s="1"/>
  <c r="TF128" i="1" s="1"/>
  <c r="TO128" i="1" s="1"/>
  <c r="TX128" i="1" s="1"/>
  <c r="UG128" i="1" s="1"/>
  <c r="UP128" i="1" s="1"/>
  <c r="UY128" i="1" s="1"/>
  <c r="VH128" i="1" s="1"/>
  <c r="VQ128" i="1" s="1"/>
  <c r="VZ128" i="1" s="1"/>
  <c r="WI128" i="1" s="1"/>
  <c r="WR128" i="1" s="1"/>
  <c r="XA128" i="1" s="1"/>
  <c r="XJ128" i="1" s="1"/>
  <c r="XS128" i="1" s="1"/>
  <c r="YB128" i="1" s="1"/>
  <c r="YK128" i="1" s="1"/>
  <c r="YT128" i="1" s="1"/>
  <c r="ZC128" i="1" s="1"/>
  <c r="ZL128" i="1" s="1"/>
  <c r="ZU128" i="1" s="1"/>
  <c r="AAD128" i="1" s="1"/>
  <c r="AAM128" i="1" s="1"/>
  <c r="AAV128" i="1" s="1"/>
  <c r="ABE128" i="1" s="1"/>
  <c r="NR133" i="1"/>
  <c r="OA133" i="1" s="1"/>
  <c r="OJ133" i="1" s="1"/>
  <c r="OS133" i="1" s="1"/>
  <c r="PB133" i="1" s="1"/>
  <c r="PK133" i="1" s="1"/>
  <c r="PT133" i="1" s="1"/>
  <c r="QC133" i="1" s="1"/>
  <c r="QL133" i="1" s="1"/>
  <c r="QU133" i="1" s="1"/>
  <c r="RD133" i="1" s="1"/>
  <c r="RM133" i="1" s="1"/>
  <c r="RV133" i="1" s="1"/>
  <c r="SE133" i="1" s="1"/>
  <c r="SN133" i="1" s="1"/>
  <c r="SW133" i="1" s="1"/>
  <c r="TF133" i="1" s="1"/>
  <c r="TO133" i="1" s="1"/>
  <c r="TX133" i="1" s="1"/>
  <c r="UG133" i="1" s="1"/>
  <c r="UP133" i="1" s="1"/>
  <c r="UY133" i="1" s="1"/>
  <c r="VH133" i="1" s="1"/>
  <c r="VQ133" i="1" s="1"/>
  <c r="VZ133" i="1" s="1"/>
  <c r="WI133" i="1" s="1"/>
  <c r="WR133" i="1" s="1"/>
  <c r="XA133" i="1" s="1"/>
  <c r="XJ133" i="1" s="1"/>
  <c r="XS133" i="1" s="1"/>
  <c r="YB133" i="1" s="1"/>
  <c r="YK133" i="1" s="1"/>
  <c r="YT133" i="1" s="1"/>
  <c r="ZC133" i="1" s="1"/>
  <c r="ZL133" i="1" s="1"/>
  <c r="ZU133" i="1" s="1"/>
  <c r="AAD133" i="1" s="1"/>
  <c r="AAM133" i="1" s="1"/>
  <c r="AAV133" i="1" s="1"/>
  <c r="ABE133" i="1" s="1"/>
  <c r="NI130" i="1"/>
  <c r="NR130" i="1"/>
  <c r="OA130" i="1" s="1"/>
  <c r="OJ130" i="1" s="1"/>
  <c r="OS130" i="1" s="1"/>
  <c r="PB130" i="1" s="1"/>
  <c r="PK130" i="1" s="1"/>
  <c r="PT130" i="1" s="1"/>
  <c r="QC130" i="1" s="1"/>
  <c r="QL130" i="1" s="1"/>
  <c r="QU130" i="1" s="1"/>
  <c r="RD130" i="1" s="1"/>
  <c r="RM130" i="1" s="1"/>
  <c r="RV130" i="1" s="1"/>
  <c r="SE130" i="1" s="1"/>
  <c r="SN130" i="1" s="1"/>
  <c r="SW130" i="1" s="1"/>
  <c r="TF130" i="1" s="1"/>
  <c r="TO130" i="1" s="1"/>
  <c r="TX130" i="1" s="1"/>
  <c r="UG130" i="1" s="1"/>
  <c r="UP130" i="1" s="1"/>
  <c r="UY130" i="1" s="1"/>
  <c r="VH130" i="1" s="1"/>
  <c r="VQ130" i="1" s="1"/>
  <c r="VZ130" i="1" s="1"/>
  <c r="WI130" i="1" s="1"/>
  <c r="WR130" i="1" s="1"/>
  <c r="XA130" i="1" s="1"/>
  <c r="XJ130" i="1" s="1"/>
  <c r="XS130" i="1" s="1"/>
  <c r="YB130" i="1" s="1"/>
  <c r="YK130" i="1" s="1"/>
  <c r="YT130" i="1" s="1"/>
  <c r="ZC130" i="1" s="1"/>
  <c r="ZL130" i="1" s="1"/>
  <c r="ZU130" i="1" s="1"/>
  <c r="AAD130" i="1" s="1"/>
  <c r="AAM130" i="1" s="1"/>
  <c r="AAV130" i="1" s="1"/>
  <c r="ABE130" i="1" s="1"/>
  <c r="NI139" i="1"/>
  <c r="NR139" i="1"/>
  <c r="OA139" i="1" s="1"/>
  <c r="OJ139" i="1" s="1"/>
  <c r="OS139" i="1" s="1"/>
  <c r="PB139" i="1" s="1"/>
  <c r="PK139" i="1" s="1"/>
  <c r="PT139" i="1" s="1"/>
  <c r="QC139" i="1" s="1"/>
  <c r="QL139" i="1" s="1"/>
  <c r="QU139" i="1" s="1"/>
  <c r="RD139" i="1" s="1"/>
  <c r="RM139" i="1" s="1"/>
  <c r="RV139" i="1" s="1"/>
  <c r="SE139" i="1" s="1"/>
  <c r="SN139" i="1" s="1"/>
  <c r="SW139" i="1" s="1"/>
  <c r="TF139" i="1" s="1"/>
  <c r="TO139" i="1" s="1"/>
  <c r="TX139" i="1" s="1"/>
  <c r="UG139" i="1" s="1"/>
  <c r="UP139" i="1" s="1"/>
  <c r="UY139" i="1" s="1"/>
  <c r="VH139" i="1" s="1"/>
  <c r="VQ139" i="1" s="1"/>
  <c r="VZ139" i="1" s="1"/>
  <c r="WI139" i="1" s="1"/>
  <c r="WR139" i="1" s="1"/>
  <c r="XA139" i="1" s="1"/>
  <c r="XJ139" i="1" s="1"/>
  <c r="XS139" i="1" s="1"/>
  <c r="YB139" i="1" s="1"/>
  <c r="YK139" i="1" s="1"/>
  <c r="YT139" i="1" s="1"/>
  <c r="ZC139" i="1" s="1"/>
  <c r="ZL139" i="1" s="1"/>
  <c r="ZU139" i="1" s="1"/>
  <c r="AAD139" i="1" s="1"/>
  <c r="AAM139" i="1" s="1"/>
  <c r="AAV139" i="1" s="1"/>
  <c r="ABE139" i="1" s="1"/>
  <c r="NI120" i="1"/>
  <c r="NR120" i="1"/>
  <c r="OA120" i="1" s="1"/>
  <c r="OJ120" i="1" s="1"/>
  <c r="OS120" i="1" s="1"/>
  <c r="PB120" i="1" s="1"/>
  <c r="PK120" i="1" s="1"/>
  <c r="PT120" i="1" s="1"/>
  <c r="QC120" i="1" s="1"/>
  <c r="QL120" i="1" s="1"/>
  <c r="QU120" i="1" s="1"/>
  <c r="RD120" i="1" s="1"/>
  <c r="RM120" i="1" s="1"/>
  <c r="RV120" i="1" s="1"/>
  <c r="SE120" i="1" s="1"/>
  <c r="SN120" i="1" s="1"/>
  <c r="SW120" i="1" s="1"/>
  <c r="TF120" i="1" s="1"/>
  <c r="TO120" i="1" s="1"/>
  <c r="TX120" i="1" s="1"/>
  <c r="UG120" i="1" s="1"/>
  <c r="UP120" i="1" s="1"/>
  <c r="UY120" i="1" s="1"/>
  <c r="VH120" i="1" s="1"/>
  <c r="VQ120" i="1" s="1"/>
  <c r="VZ120" i="1" s="1"/>
  <c r="WI120" i="1" s="1"/>
  <c r="WR120" i="1" s="1"/>
  <c r="XA120" i="1" s="1"/>
  <c r="XJ120" i="1" s="1"/>
  <c r="XS120" i="1" s="1"/>
  <c r="YB120" i="1" s="1"/>
  <c r="YK120" i="1" s="1"/>
  <c r="YT120" i="1" s="1"/>
  <c r="ZC120" i="1" s="1"/>
  <c r="ZL120" i="1" s="1"/>
  <c r="ZU120" i="1" s="1"/>
  <c r="AAD120" i="1" s="1"/>
  <c r="AAM120" i="1" s="1"/>
  <c r="AAV120" i="1" s="1"/>
  <c r="ABE120" i="1" s="1"/>
  <c r="NI126" i="1"/>
  <c r="NR126" i="1"/>
  <c r="OA126" i="1" s="1"/>
  <c r="OJ126" i="1" s="1"/>
  <c r="OS126" i="1" s="1"/>
  <c r="PB126" i="1" s="1"/>
  <c r="PK126" i="1" s="1"/>
  <c r="PT126" i="1" s="1"/>
  <c r="QC126" i="1" s="1"/>
  <c r="QL126" i="1" s="1"/>
  <c r="QU126" i="1" s="1"/>
  <c r="RD126" i="1" s="1"/>
  <c r="RM126" i="1" s="1"/>
  <c r="RV126" i="1" s="1"/>
  <c r="SE126" i="1" s="1"/>
  <c r="SN126" i="1" s="1"/>
  <c r="SW126" i="1" s="1"/>
  <c r="TF126" i="1" s="1"/>
  <c r="TO126" i="1" s="1"/>
  <c r="TX126" i="1" s="1"/>
  <c r="UG126" i="1" s="1"/>
  <c r="UP126" i="1" s="1"/>
  <c r="UY126" i="1" s="1"/>
  <c r="VH126" i="1" s="1"/>
  <c r="VQ126" i="1" s="1"/>
  <c r="VZ126" i="1" s="1"/>
  <c r="WI126" i="1" s="1"/>
  <c r="WR126" i="1" s="1"/>
  <c r="XA126" i="1" s="1"/>
  <c r="XJ126" i="1" s="1"/>
  <c r="XS126" i="1" s="1"/>
  <c r="YB126" i="1" s="1"/>
  <c r="YK126" i="1" s="1"/>
  <c r="YT126" i="1" s="1"/>
  <c r="ZC126" i="1" s="1"/>
  <c r="ZL126" i="1" s="1"/>
  <c r="ZU126" i="1" s="1"/>
  <c r="AAD126" i="1" s="1"/>
  <c r="AAM126" i="1" s="1"/>
  <c r="AAV126" i="1" s="1"/>
  <c r="ABE126" i="1" s="1"/>
  <c r="NI121" i="1"/>
  <c r="NR121" i="1"/>
  <c r="OA121" i="1" s="1"/>
  <c r="OJ121" i="1" s="1"/>
  <c r="OS121" i="1" s="1"/>
  <c r="PB121" i="1" s="1"/>
  <c r="PK121" i="1" s="1"/>
  <c r="PT121" i="1" s="1"/>
  <c r="QC121" i="1" s="1"/>
  <c r="QL121" i="1" s="1"/>
  <c r="QU121" i="1" s="1"/>
  <c r="RD121" i="1" s="1"/>
  <c r="RM121" i="1" s="1"/>
  <c r="RV121" i="1" s="1"/>
  <c r="SE121" i="1" s="1"/>
  <c r="SN121" i="1" s="1"/>
  <c r="SW121" i="1" s="1"/>
  <c r="TF121" i="1" s="1"/>
  <c r="TO121" i="1" s="1"/>
  <c r="TX121" i="1" s="1"/>
  <c r="UG121" i="1" s="1"/>
  <c r="UP121" i="1" s="1"/>
  <c r="UY121" i="1" s="1"/>
  <c r="VH121" i="1" s="1"/>
  <c r="VQ121" i="1" s="1"/>
  <c r="VZ121" i="1" s="1"/>
  <c r="WI121" i="1" s="1"/>
  <c r="WR121" i="1" s="1"/>
  <c r="XA121" i="1" s="1"/>
  <c r="XJ121" i="1" s="1"/>
  <c r="XS121" i="1" s="1"/>
  <c r="YB121" i="1" s="1"/>
  <c r="YK121" i="1" s="1"/>
  <c r="YT121" i="1" s="1"/>
  <c r="ZC121" i="1" s="1"/>
  <c r="ZL121" i="1" s="1"/>
  <c r="ZU121" i="1" s="1"/>
  <c r="AAD121" i="1" s="1"/>
  <c r="AAM121" i="1" s="1"/>
  <c r="AAV121" i="1" s="1"/>
  <c r="ABE121" i="1" s="1"/>
  <c r="NI116" i="1"/>
  <c r="NR116" i="1"/>
  <c r="OA116" i="1" s="1"/>
  <c r="OJ116" i="1" s="1"/>
  <c r="OS116" i="1" s="1"/>
  <c r="PB116" i="1" s="1"/>
  <c r="PK116" i="1" s="1"/>
  <c r="PT116" i="1" s="1"/>
  <c r="QC116" i="1" s="1"/>
  <c r="QL116" i="1" s="1"/>
  <c r="QU116" i="1" s="1"/>
  <c r="RD116" i="1" s="1"/>
  <c r="RM116" i="1" s="1"/>
  <c r="RV116" i="1" s="1"/>
  <c r="SE116" i="1" s="1"/>
  <c r="SN116" i="1" s="1"/>
  <c r="SW116" i="1" s="1"/>
  <c r="TF116" i="1" s="1"/>
  <c r="TO116" i="1" s="1"/>
  <c r="TX116" i="1" s="1"/>
  <c r="UG116" i="1" s="1"/>
  <c r="UP116" i="1" s="1"/>
  <c r="UY116" i="1" s="1"/>
  <c r="VH116" i="1" s="1"/>
  <c r="VQ116" i="1" s="1"/>
  <c r="VZ116" i="1" s="1"/>
  <c r="WI116" i="1" s="1"/>
  <c r="WR116" i="1" s="1"/>
  <c r="XA116" i="1" s="1"/>
  <c r="XJ116" i="1" s="1"/>
  <c r="XS116" i="1" s="1"/>
  <c r="YB116" i="1" s="1"/>
  <c r="YK116" i="1" s="1"/>
  <c r="YT116" i="1" s="1"/>
  <c r="ZC116" i="1" s="1"/>
  <c r="ZL116" i="1" s="1"/>
  <c r="ZU116" i="1" s="1"/>
  <c r="AAD116" i="1" s="1"/>
  <c r="AAM116" i="1" s="1"/>
  <c r="AAV116" i="1" s="1"/>
  <c r="ABE116" i="1" s="1"/>
  <c r="NI122" i="1"/>
  <c r="NR122" i="1"/>
  <c r="OA122" i="1" s="1"/>
  <c r="OJ122" i="1" s="1"/>
  <c r="OS122" i="1" s="1"/>
  <c r="PB122" i="1" s="1"/>
  <c r="PK122" i="1" s="1"/>
  <c r="PT122" i="1" s="1"/>
  <c r="QC122" i="1" s="1"/>
  <c r="QL122" i="1" s="1"/>
  <c r="QU122" i="1" s="1"/>
  <c r="RD122" i="1" s="1"/>
  <c r="RM122" i="1" s="1"/>
  <c r="RV122" i="1" s="1"/>
  <c r="SE122" i="1" s="1"/>
  <c r="SN122" i="1" s="1"/>
  <c r="SW122" i="1" s="1"/>
  <c r="TF122" i="1" s="1"/>
  <c r="TO122" i="1" s="1"/>
  <c r="TX122" i="1" s="1"/>
  <c r="UG122" i="1" s="1"/>
  <c r="UP122" i="1" s="1"/>
  <c r="UY122" i="1" s="1"/>
  <c r="VH122" i="1" s="1"/>
  <c r="VQ122" i="1" s="1"/>
  <c r="VZ122" i="1" s="1"/>
  <c r="WI122" i="1" s="1"/>
  <c r="WR122" i="1" s="1"/>
  <c r="XA122" i="1" s="1"/>
  <c r="XJ122" i="1" s="1"/>
  <c r="XS122" i="1" s="1"/>
  <c r="YB122" i="1" s="1"/>
  <c r="YK122" i="1" s="1"/>
  <c r="YT122" i="1" s="1"/>
  <c r="ZC122" i="1" s="1"/>
  <c r="ZL122" i="1" s="1"/>
  <c r="ZU122" i="1" s="1"/>
  <c r="AAD122" i="1" s="1"/>
  <c r="AAM122" i="1" s="1"/>
  <c r="AAV122" i="1" s="1"/>
  <c r="ABE122" i="1" s="1"/>
  <c r="NI115" i="1"/>
  <c r="NR115" i="1"/>
  <c r="OA115" i="1" s="1"/>
  <c r="OJ115" i="1" s="1"/>
  <c r="OS115" i="1" s="1"/>
  <c r="PB115" i="1" s="1"/>
  <c r="PK115" i="1" s="1"/>
  <c r="PT115" i="1" s="1"/>
  <c r="QC115" i="1" s="1"/>
  <c r="QL115" i="1" s="1"/>
  <c r="QU115" i="1" s="1"/>
  <c r="RD115" i="1" s="1"/>
  <c r="RM115" i="1" s="1"/>
  <c r="RV115" i="1" s="1"/>
  <c r="SE115" i="1" s="1"/>
  <c r="SN115" i="1" s="1"/>
  <c r="SW115" i="1" s="1"/>
  <c r="TF115" i="1" s="1"/>
  <c r="TO115" i="1" s="1"/>
  <c r="TX115" i="1" s="1"/>
  <c r="UG115" i="1" s="1"/>
  <c r="UP115" i="1" s="1"/>
  <c r="UY115" i="1" s="1"/>
  <c r="VH115" i="1" s="1"/>
  <c r="VQ115" i="1" s="1"/>
  <c r="VZ115" i="1" s="1"/>
  <c r="WI115" i="1" s="1"/>
  <c r="WR115" i="1" s="1"/>
  <c r="XA115" i="1" s="1"/>
  <c r="XJ115" i="1" s="1"/>
  <c r="XS115" i="1" s="1"/>
  <c r="YB115" i="1" s="1"/>
  <c r="YK115" i="1" s="1"/>
  <c r="YT115" i="1" s="1"/>
  <c r="ZC115" i="1" s="1"/>
  <c r="ZL115" i="1" s="1"/>
  <c r="ZU115" i="1" s="1"/>
  <c r="AAD115" i="1" s="1"/>
  <c r="AAM115" i="1" s="1"/>
  <c r="AAV115" i="1" s="1"/>
  <c r="ABE115" i="1" s="1"/>
  <c r="NI114" i="1"/>
  <c r="NR114" i="1"/>
  <c r="OA114" i="1" s="1"/>
  <c r="OJ114" i="1" s="1"/>
  <c r="OS114" i="1" s="1"/>
  <c r="PB114" i="1" s="1"/>
  <c r="PK114" i="1" s="1"/>
  <c r="PT114" i="1" s="1"/>
  <c r="QC114" i="1" s="1"/>
  <c r="QL114" i="1" s="1"/>
  <c r="QU114" i="1" s="1"/>
  <c r="RD114" i="1" s="1"/>
  <c r="RM114" i="1" s="1"/>
  <c r="RV114" i="1" s="1"/>
  <c r="SE114" i="1" s="1"/>
  <c r="SN114" i="1" s="1"/>
  <c r="SW114" i="1" s="1"/>
  <c r="TF114" i="1" s="1"/>
  <c r="TO114" i="1" s="1"/>
  <c r="TX114" i="1" s="1"/>
  <c r="UG114" i="1" s="1"/>
  <c r="UP114" i="1" s="1"/>
  <c r="UY114" i="1" s="1"/>
  <c r="VH114" i="1" s="1"/>
  <c r="VQ114" i="1" s="1"/>
  <c r="VZ114" i="1" s="1"/>
  <c r="WI114" i="1" s="1"/>
  <c r="WR114" i="1" s="1"/>
  <c r="XA114" i="1" s="1"/>
  <c r="XJ114" i="1" s="1"/>
  <c r="XS114" i="1" s="1"/>
  <c r="YB114" i="1" s="1"/>
  <c r="YK114" i="1" s="1"/>
  <c r="YT114" i="1" s="1"/>
  <c r="ZC114" i="1" s="1"/>
  <c r="ZL114" i="1" s="1"/>
  <c r="ZU114" i="1" s="1"/>
  <c r="AAD114" i="1" s="1"/>
  <c r="AAM114" i="1" s="1"/>
  <c r="AAV114" i="1" s="1"/>
  <c r="ABE114" i="1" s="1"/>
  <c r="NI136" i="1"/>
  <c r="NR136" i="1"/>
  <c r="OA136" i="1" s="1"/>
  <c r="OJ136" i="1" s="1"/>
  <c r="OS136" i="1" s="1"/>
  <c r="PB136" i="1" s="1"/>
  <c r="PK136" i="1" s="1"/>
  <c r="PT136" i="1" s="1"/>
  <c r="QC136" i="1" s="1"/>
  <c r="QL136" i="1" s="1"/>
  <c r="QU136" i="1" s="1"/>
  <c r="RD136" i="1" s="1"/>
  <c r="RM136" i="1" s="1"/>
  <c r="RV136" i="1" s="1"/>
  <c r="SE136" i="1" s="1"/>
  <c r="SN136" i="1" s="1"/>
  <c r="SW136" i="1" s="1"/>
  <c r="TF136" i="1" s="1"/>
  <c r="TO136" i="1" s="1"/>
  <c r="TX136" i="1" s="1"/>
  <c r="UG136" i="1" s="1"/>
  <c r="UP136" i="1" s="1"/>
  <c r="UY136" i="1" s="1"/>
  <c r="VH136" i="1" s="1"/>
  <c r="VQ136" i="1" s="1"/>
  <c r="VZ136" i="1" s="1"/>
  <c r="WI136" i="1" s="1"/>
  <c r="WR136" i="1" s="1"/>
  <c r="XA136" i="1" s="1"/>
  <c r="XJ136" i="1" s="1"/>
  <c r="XS136" i="1" s="1"/>
  <c r="YB136" i="1" s="1"/>
  <c r="YK136" i="1" s="1"/>
  <c r="YT136" i="1" s="1"/>
  <c r="ZC136" i="1" s="1"/>
  <c r="ZL136" i="1" s="1"/>
  <c r="ZU136" i="1" s="1"/>
  <c r="AAD136" i="1" s="1"/>
  <c r="AAM136" i="1" s="1"/>
  <c r="AAV136" i="1" s="1"/>
  <c r="ABE136" i="1" s="1"/>
  <c r="NI134" i="1"/>
  <c r="NR134" i="1"/>
  <c r="OA134" i="1" s="1"/>
  <c r="OJ134" i="1" s="1"/>
  <c r="OS134" i="1" s="1"/>
  <c r="PB134" i="1" s="1"/>
  <c r="PK134" i="1" s="1"/>
  <c r="PT134" i="1" s="1"/>
  <c r="QC134" i="1" s="1"/>
  <c r="QL134" i="1" s="1"/>
  <c r="QU134" i="1" s="1"/>
  <c r="RD134" i="1" s="1"/>
  <c r="RM134" i="1" s="1"/>
  <c r="RV134" i="1" s="1"/>
  <c r="SE134" i="1" s="1"/>
  <c r="SN134" i="1" s="1"/>
  <c r="SW134" i="1" s="1"/>
  <c r="TF134" i="1" s="1"/>
  <c r="TO134" i="1" s="1"/>
  <c r="TX134" i="1" s="1"/>
  <c r="UG134" i="1" s="1"/>
  <c r="UP134" i="1" s="1"/>
  <c r="UY134" i="1" s="1"/>
  <c r="VH134" i="1" s="1"/>
  <c r="VQ134" i="1" s="1"/>
  <c r="VZ134" i="1" s="1"/>
  <c r="WI134" i="1" s="1"/>
  <c r="WR134" i="1" s="1"/>
  <c r="XA134" i="1" s="1"/>
  <c r="XJ134" i="1" s="1"/>
  <c r="XS134" i="1" s="1"/>
  <c r="YB134" i="1" s="1"/>
  <c r="YK134" i="1" s="1"/>
  <c r="YT134" i="1" s="1"/>
  <c r="ZC134" i="1" s="1"/>
  <c r="ZL134" i="1" s="1"/>
  <c r="ZU134" i="1" s="1"/>
  <c r="AAD134" i="1" s="1"/>
  <c r="AAM134" i="1" s="1"/>
  <c r="AAV134" i="1" s="1"/>
  <c r="ABE134" i="1" s="1"/>
  <c r="NI124" i="1"/>
  <c r="NR124" i="1"/>
  <c r="OA124" i="1" s="1"/>
  <c r="OJ124" i="1" s="1"/>
  <c r="OS124" i="1" s="1"/>
  <c r="PB124" i="1" s="1"/>
  <c r="PK124" i="1" s="1"/>
  <c r="PT124" i="1" s="1"/>
  <c r="QC124" i="1" s="1"/>
  <c r="QL124" i="1" s="1"/>
  <c r="QU124" i="1" s="1"/>
  <c r="RD124" i="1" s="1"/>
  <c r="RM124" i="1" s="1"/>
  <c r="RV124" i="1" s="1"/>
  <c r="SE124" i="1" s="1"/>
  <c r="SN124" i="1" s="1"/>
  <c r="SW124" i="1" s="1"/>
  <c r="TF124" i="1" s="1"/>
  <c r="TO124" i="1" s="1"/>
  <c r="TX124" i="1" s="1"/>
  <c r="UG124" i="1" s="1"/>
  <c r="UP124" i="1" s="1"/>
  <c r="UY124" i="1" s="1"/>
  <c r="VH124" i="1" s="1"/>
  <c r="VQ124" i="1" s="1"/>
  <c r="VZ124" i="1" s="1"/>
  <c r="WI124" i="1" s="1"/>
  <c r="WR124" i="1" s="1"/>
  <c r="XA124" i="1" s="1"/>
  <c r="XJ124" i="1" s="1"/>
  <c r="XS124" i="1" s="1"/>
  <c r="YB124" i="1" s="1"/>
  <c r="YK124" i="1" s="1"/>
  <c r="YT124" i="1" s="1"/>
  <c r="ZC124" i="1" s="1"/>
  <c r="ZL124" i="1" s="1"/>
  <c r="ZU124" i="1" s="1"/>
  <c r="AAD124" i="1" s="1"/>
  <c r="AAM124" i="1" s="1"/>
  <c r="AAV124" i="1" s="1"/>
  <c r="ABE124" i="1" s="1"/>
  <c r="NI113" i="1"/>
  <c r="NR113" i="1"/>
  <c r="OA113" i="1" s="1"/>
  <c r="OJ113" i="1" s="1"/>
  <c r="OS113" i="1" s="1"/>
  <c r="PB113" i="1" s="1"/>
  <c r="PK113" i="1" s="1"/>
  <c r="PT113" i="1" s="1"/>
  <c r="QC113" i="1" s="1"/>
  <c r="QL113" i="1" s="1"/>
  <c r="QU113" i="1" s="1"/>
  <c r="RD113" i="1" s="1"/>
  <c r="RM113" i="1" s="1"/>
  <c r="RV113" i="1" s="1"/>
  <c r="SE113" i="1" s="1"/>
  <c r="SN113" i="1" s="1"/>
  <c r="SW113" i="1" s="1"/>
  <c r="TF113" i="1" s="1"/>
  <c r="TO113" i="1" s="1"/>
  <c r="TX113" i="1" s="1"/>
  <c r="UG113" i="1" s="1"/>
  <c r="UP113" i="1" s="1"/>
  <c r="UY113" i="1" s="1"/>
  <c r="VH113" i="1" s="1"/>
  <c r="VQ113" i="1" s="1"/>
  <c r="VZ113" i="1" s="1"/>
  <c r="WI113" i="1" s="1"/>
  <c r="WR113" i="1" s="1"/>
  <c r="XA113" i="1" s="1"/>
  <c r="XJ113" i="1" s="1"/>
  <c r="XS113" i="1" s="1"/>
  <c r="YB113" i="1" s="1"/>
  <c r="YK113" i="1" s="1"/>
  <c r="YT113" i="1" s="1"/>
  <c r="ZC113" i="1" s="1"/>
  <c r="ZL113" i="1" s="1"/>
  <c r="ZU113" i="1" s="1"/>
  <c r="AAD113" i="1" s="1"/>
  <c r="AAM113" i="1" s="1"/>
  <c r="AAV113" i="1" s="1"/>
  <c r="ABE113" i="1" s="1"/>
  <c r="U6" i="1"/>
  <c r="AD6" i="1" s="1"/>
  <c r="AM6" i="1" s="1"/>
  <c r="AV6" i="1" s="1"/>
  <c r="BE6" i="1" s="1"/>
  <c r="BN6" i="1" s="1"/>
  <c r="BW6" i="1" s="1"/>
  <c r="CF6" i="1" s="1"/>
  <c r="CO6" i="1" s="1"/>
  <c r="CX6" i="1" s="1"/>
  <c r="DG6" i="1" s="1"/>
  <c r="DP6" i="1" s="1"/>
  <c r="DY6" i="1" s="1"/>
  <c r="EH6" i="1" s="1"/>
  <c r="EQ6" i="1" s="1"/>
  <c r="EZ6" i="1" s="1"/>
  <c r="FI6" i="1" s="1"/>
  <c r="FR6" i="1" s="1"/>
  <c r="GA6" i="1" s="1"/>
  <c r="GJ6" i="1" s="1"/>
  <c r="GS6" i="1" s="1"/>
  <c r="HB6" i="1" s="1"/>
  <c r="HK6" i="1" s="1"/>
  <c r="HU6" i="1" s="1"/>
  <c r="ID6" i="1" s="1"/>
  <c r="IM6" i="1" s="1"/>
  <c r="IV6" i="1" s="1"/>
  <c r="JE6" i="1" s="1"/>
  <c r="JN6" i="1" s="1"/>
  <c r="JW6" i="1" s="1"/>
  <c r="KF6" i="1" s="1"/>
  <c r="KO6" i="1" s="1"/>
  <c r="KX6" i="1" s="1"/>
  <c r="LG6" i="1" s="1"/>
  <c r="LP6" i="1" s="1"/>
  <c r="LY6" i="1" s="1"/>
  <c r="MH6" i="1" s="1"/>
  <c r="MQ6" i="1" s="1"/>
  <c r="MZ6" i="1" s="1"/>
  <c r="B75" i="17"/>
  <c r="B75" i="18"/>
  <c r="B74" i="17"/>
  <c r="B74" i="18"/>
  <c r="B76" i="17"/>
  <c r="B76" i="18"/>
  <c r="BN17" i="5"/>
  <c r="BN31" i="5"/>
  <c r="BN73" i="5"/>
  <c r="BN59" i="5"/>
  <c r="BN45" i="5"/>
  <c r="BN38" i="5"/>
  <c r="BN52" i="5"/>
  <c r="BN80" i="5"/>
  <c r="BN10" i="5"/>
  <c r="BN24" i="5"/>
  <c r="BN66" i="5"/>
  <c r="BM45" i="5"/>
  <c r="BM31" i="5"/>
  <c r="BM73" i="5"/>
  <c r="BM59" i="5"/>
  <c r="BM17" i="5"/>
  <c r="BM80" i="5"/>
  <c r="BM66" i="5"/>
  <c r="BM52" i="5"/>
  <c r="BM38" i="5"/>
  <c r="BM24" i="5"/>
  <c r="BM10" i="5"/>
  <c r="BL17" i="5"/>
  <c r="BL80" i="5"/>
  <c r="BL66" i="5"/>
  <c r="BL45" i="5"/>
  <c r="BL38" i="5"/>
  <c r="BL59" i="5"/>
  <c r="BL24" i="5"/>
  <c r="BL10" i="5"/>
  <c r="BL31" i="5"/>
  <c r="BL73" i="5"/>
  <c r="BL52" i="5"/>
  <c r="BK10" i="5"/>
  <c r="BK38" i="5"/>
  <c r="BK17" i="5"/>
  <c r="BK73" i="5"/>
  <c r="BK45" i="5"/>
  <c r="BK24" i="5"/>
  <c r="BK80" i="5"/>
  <c r="BK31" i="5"/>
  <c r="BK59" i="5"/>
  <c r="BK66" i="5"/>
  <c r="BK52" i="5"/>
  <c r="BJ59" i="5"/>
  <c r="BJ24" i="5"/>
  <c r="BJ66" i="5"/>
  <c r="BJ31" i="5"/>
  <c r="BJ73" i="5"/>
  <c r="BJ80" i="5"/>
  <c r="BJ10" i="5"/>
  <c r="BJ17" i="5"/>
  <c r="BJ52" i="5"/>
  <c r="BJ38" i="5"/>
  <c r="BJ45" i="5"/>
  <c r="BI31" i="5"/>
  <c r="BI38" i="5"/>
  <c r="BI80" i="5"/>
  <c r="BI45" i="5"/>
  <c r="BI59" i="5"/>
  <c r="BI66" i="5"/>
  <c r="BI17" i="5"/>
  <c r="BI24" i="5"/>
  <c r="BI52" i="5"/>
  <c r="BI73" i="5"/>
  <c r="BI10" i="5"/>
  <c r="BG31" i="5"/>
  <c r="BG80" i="5"/>
  <c r="BG73" i="5"/>
  <c r="BG24" i="5"/>
  <c r="BG17" i="5"/>
  <c r="BG66" i="5"/>
  <c r="BG10" i="5"/>
  <c r="BG59" i="5"/>
  <c r="BG52" i="5"/>
  <c r="BG45" i="5"/>
  <c r="BG38" i="5"/>
  <c r="BH80" i="5"/>
  <c r="BH73" i="5"/>
  <c r="BH24" i="5"/>
  <c r="BH17" i="5"/>
  <c r="BH66" i="5"/>
  <c r="BH10" i="5"/>
  <c r="BH59" i="5"/>
  <c r="BH52" i="5"/>
  <c r="BH45" i="5"/>
  <c r="BH38" i="5"/>
  <c r="BH31" i="5"/>
  <c r="BF38" i="5"/>
  <c r="BF31" i="5"/>
  <c r="BF80" i="5"/>
  <c r="BF73" i="5"/>
  <c r="BF24" i="5"/>
  <c r="BF17" i="5"/>
  <c r="BF66" i="5"/>
  <c r="BF10" i="5"/>
  <c r="BF59" i="5"/>
  <c r="BF52" i="5"/>
  <c r="BF45" i="5"/>
  <c r="VG2" i="1"/>
  <c r="BN3" i="5"/>
  <c r="B69" i="18" s="1"/>
  <c r="UX2" i="1"/>
  <c r="BM3" i="5"/>
  <c r="UO2" i="1"/>
  <c r="BL3" i="5"/>
  <c r="UF2" i="1"/>
  <c r="BK3" i="5"/>
  <c r="TW2" i="1"/>
  <c r="BJ3" i="5"/>
  <c r="TN2" i="1"/>
  <c r="BI3" i="5"/>
  <c r="SM2" i="1"/>
  <c r="BF3" i="5"/>
  <c r="SV2" i="1"/>
  <c r="BG3" i="5"/>
  <c r="TE2" i="1"/>
  <c r="BH3" i="5"/>
  <c r="A240" i="6"/>
  <c r="A328" i="6" s="1"/>
  <c r="A416" i="6" s="1"/>
  <c r="A504" i="6" s="1"/>
  <c r="A592" i="6" s="1"/>
  <c r="NR425" i="1"/>
  <c r="OA425" i="1" s="1"/>
  <c r="OJ425" i="1" s="1"/>
  <c r="OS425" i="1" s="1"/>
  <c r="PB425" i="1" s="1"/>
  <c r="PK425" i="1" s="1"/>
  <c r="PT425" i="1" s="1"/>
  <c r="QC425" i="1" s="1"/>
  <c r="QL425" i="1" s="1"/>
  <c r="QU425" i="1" s="1"/>
  <c r="RD425" i="1" s="1"/>
  <c r="RM425" i="1" s="1"/>
  <c r="RV425" i="1" s="1"/>
  <c r="SE425" i="1" s="1"/>
  <c r="SN425" i="1" s="1"/>
  <c r="SW425" i="1" s="1"/>
  <c r="TF425" i="1" s="1"/>
  <c r="TO425" i="1" s="1"/>
  <c r="TX425" i="1" s="1"/>
  <c r="UG425" i="1" s="1"/>
  <c r="UP425" i="1" s="1"/>
  <c r="UY425" i="1" s="1"/>
  <c r="VH425" i="1" s="1"/>
  <c r="VQ425" i="1" s="1"/>
  <c r="VZ425" i="1" s="1"/>
  <c r="WI425" i="1" s="1"/>
  <c r="WR425" i="1" s="1"/>
  <c r="XA425" i="1" s="1"/>
  <c r="XJ425" i="1" s="1"/>
  <c r="XS425" i="1" s="1"/>
  <c r="YB425" i="1" s="1"/>
  <c r="YK425" i="1" s="1"/>
  <c r="YT425" i="1" s="1"/>
  <c r="ZC425" i="1" s="1"/>
  <c r="ZL425" i="1" s="1"/>
  <c r="ZU425" i="1" s="1"/>
  <c r="AAD425" i="1" s="1"/>
  <c r="AAM425" i="1" s="1"/>
  <c r="AAV425" i="1" s="1"/>
  <c r="ABE425" i="1" s="1"/>
  <c r="NI425" i="1"/>
  <c r="NR415" i="1"/>
  <c r="OA415" i="1" s="1"/>
  <c r="OJ415" i="1" s="1"/>
  <c r="OS415" i="1" s="1"/>
  <c r="PB415" i="1" s="1"/>
  <c r="PK415" i="1" s="1"/>
  <c r="PT415" i="1" s="1"/>
  <c r="QC415" i="1" s="1"/>
  <c r="QL415" i="1" s="1"/>
  <c r="QU415" i="1" s="1"/>
  <c r="RD415" i="1" s="1"/>
  <c r="RM415" i="1" s="1"/>
  <c r="RV415" i="1" s="1"/>
  <c r="SE415" i="1" s="1"/>
  <c r="SN415" i="1" s="1"/>
  <c r="SW415" i="1" s="1"/>
  <c r="TF415" i="1" s="1"/>
  <c r="TO415" i="1" s="1"/>
  <c r="TX415" i="1" s="1"/>
  <c r="UG415" i="1" s="1"/>
  <c r="UP415" i="1" s="1"/>
  <c r="UY415" i="1" s="1"/>
  <c r="VH415" i="1" s="1"/>
  <c r="VQ415" i="1" s="1"/>
  <c r="VZ415" i="1" s="1"/>
  <c r="WI415" i="1" s="1"/>
  <c r="WR415" i="1" s="1"/>
  <c r="XA415" i="1" s="1"/>
  <c r="XJ415" i="1" s="1"/>
  <c r="XS415" i="1" s="1"/>
  <c r="YB415" i="1" s="1"/>
  <c r="YK415" i="1" s="1"/>
  <c r="YT415" i="1" s="1"/>
  <c r="ZC415" i="1" s="1"/>
  <c r="ZL415" i="1" s="1"/>
  <c r="ZU415" i="1" s="1"/>
  <c r="AAD415" i="1" s="1"/>
  <c r="AAM415" i="1" s="1"/>
  <c r="AAV415" i="1" s="1"/>
  <c r="ABE415" i="1" s="1"/>
  <c r="NI415" i="1"/>
  <c r="NR410" i="1"/>
  <c r="OA410" i="1" s="1"/>
  <c r="OJ410" i="1" s="1"/>
  <c r="OS410" i="1" s="1"/>
  <c r="PB410" i="1" s="1"/>
  <c r="PK410" i="1" s="1"/>
  <c r="PT410" i="1" s="1"/>
  <c r="QC410" i="1" s="1"/>
  <c r="QL410" i="1" s="1"/>
  <c r="QU410" i="1" s="1"/>
  <c r="RD410" i="1" s="1"/>
  <c r="RM410" i="1" s="1"/>
  <c r="RV410" i="1" s="1"/>
  <c r="SE410" i="1" s="1"/>
  <c r="SN410" i="1" s="1"/>
  <c r="SW410" i="1" s="1"/>
  <c r="TF410" i="1" s="1"/>
  <c r="TO410" i="1" s="1"/>
  <c r="TX410" i="1" s="1"/>
  <c r="UG410" i="1" s="1"/>
  <c r="UP410" i="1" s="1"/>
  <c r="UY410" i="1" s="1"/>
  <c r="VH410" i="1" s="1"/>
  <c r="VQ410" i="1" s="1"/>
  <c r="VZ410" i="1" s="1"/>
  <c r="WI410" i="1" s="1"/>
  <c r="WR410" i="1" s="1"/>
  <c r="XA410" i="1" s="1"/>
  <c r="XJ410" i="1" s="1"/>
  <c r="XS410" i="1" s="1"/>
  <c r="YB410" i="1" s="1"/>
  <c r="YK410" i="1" s="1"/>
  <c r="YT410" i="1" s="1"/>
  <c r="ZC410" i="1" s="1"/>
  <c r="ZL410" i="1" s="1"/>
  <c r="ZU410" i="1" s="1"/>
  <c r="AAD410" i="1" s="1"/>
  <c r="AAM410" i="1" s="1"/>
  <c r="AAV410" i="1" s="1"/>
  <c r="ABE410" i="1" s="1"/>
  <c r="NI410" i="1"/>
  <c r="NR362" i="1"/>
  <c r="OA362" i="1" s="1"/>
  <c r="OJ362" i="1" s="1"/>
  <c r="OS362" i="1" s="1"/>
  <c r="PB362" i="1" s="1"/>
  <c r="PK362" i="1" s="1"/>
  <c r="PT362" i="1" s="1"/>
  <c r="QC362" i="1" s="1"/>
  <c r="QL362" i="1" s="1"/>
  <c r="QU362" i="1" s="1"/>
  <c r="RD362" i="1" s="1"/>
  <c r="RM362" i="1" s="1"/>
  <c r="RV362" i="1" s="1"/>
  <c r="SE362" i="1" s="1"/>
  <c r="SN362" i="1" s="1"/>
  <c r="SW362" i="1" s="1"/>
  <c r="TF362" i="1" s="1"/>
  <c r="TO362" i="1" s="1"/>
  <c r="TX362" i="1" s="1"/>
  <c r="UG362" i="1" s="1"/>
  <c r="UP362" i="1" s="1"/>
  <c r="UY362" i="1" s="1"/>
  <c r="VH362" i="1" s="1"/>
  <c r="VQ362" i="1" s="1"/>
  <c r="VZ362" i="1" s="1"/>
  <c r="WI362" i="1" s="1"/>
  <c r="WR362" i="1" s="1"/>
  <c r="XA362" i="1" s="1"/>
  <c r="XJ362" i="1" s="1"/>
  <c r="XS362" i="1" s="1"/>
  <c r="YB362" i="1" s="1"/>
  <c r="YK362" i="1" s="1"/>
  <c r="YT362" i="1" s="1"/>
  <c r="ZC362" i="1" s="1"/>
  <c r="ZL362" i="1" s="1"/>
  <c r="ZU362" i="1" s="1"/>
  <c r="AAD362" i="1" s="1"/>
  <c r="AAM362" i="1" s="1"/>
  <c r="AAV362" i="1" s="1"/>
  <c r="ABE362" i="1" s="1"/>
  <c r="NI362" i="1"/>
  <c r="NR387" i="1"/>
  <c r="OA387" i="1" s="1"/>
  <c r="OJ387" i="1" s="1"/>
  <c r="OS387" i="1" s="1"/>
  <c r="PB387" i="1" s="1"/>
  <c r="PK387" i="1" s="1"/>
  <c r="PT387" i="1" s="1"/>
  <c r="QC387" i="1" s="1"/>
  <c r="QL387" i="1" s="1"/>
  <c r="QU387" i="1" s="1"/>
  <c r="RD387" i="1" s="1"/>
  <c r="RM387" i="1" s="1"/>
  <c r="RV387" i="1" s="1"/>
  <c r="SE387" i="1" s="1"/>
  <c r="SN387" i="1" s="1"/>
  <c r="SW387" i="1" s="1"/>
  <c r="TF387" i="1" s="1"/>
  <c r="TO387" i="1" s="1"/>
  <c r="TX387" i="1" s="1"/>
  <c r="UG387" i="1" s="1"/>
  <c r="UP387" i="1" s="1"/>
  <c r="UY387" i="1" s="1"/>
  <c r="VH387" i="1" s="1"/>
  <c r="VQ387" i="1" s="1"/>
  <c r="VZ387" i="1" s="1"/>
  <c r="WI387" i="1" s="1"/>
  <c r="WR387" i="1" s="1"/>
  <c r="XA387" i="1" s="1"/>
  <c r="XJ387" i="1" s="1"/>
  <c r="XS387" i="1" s="1"/>
  <c r="YB387" i="1" s="1"/>
  <c r="YK387" i="1" s="1"/>
  <c r="YT387" i="1" s="1"/>
  <c r="ZC387" i="1" s="1"/>
  <c r="ZL387" i="1" s="1"/>
  <c r="ZU387" i="1" s="1"/>
  <c r="AAD387" i="1" s="1"/>
  <c r="AAM387" i="1" s="1"/>
  <c r="AAV387" i="1" s="1"/>
  <c r="ABE387" i="1" s="1"/>
  <c r="NI387" i="1"/>
  <c r="NR364" i="1"/>
  <c r="OA364" i="1" s="1"/>
  <c r="OJ364" i="1" s="1"/>
  <c r="OS364" i="1" s="1"/>
  <c r="PB364" i="1" s="1"/>
  <c r="PK364" i="1" s="1"/>
  <c r="PT364" i="1" s="1"/>
  <c r="QC364" i="1" s="1"/>
  <c r="QL364" i="1" s="1"/>
  <c r="QU364" i="1" s="1"/>
  <c r="RD364" i="1" s="1"/>
  <c r="RM364" i="1" s="1"/>
  <c r="RV364" i="1" s="1"/>
  <c r="SE364" i="1" s="1"/>
  <c r="SN364" i="1" s="1"/>
  <c r="SW364" i="1" s="1"/>
  <c r="TF364" i="1" s="1"/>
  <c r="TO364" i="1" s="1"/>
  <c r="TX364" i="1" s="1"/>
  <c r="UG364" i="1" s="1"/>
  <c r="UP364" i="1" s="1"/>
  <c r="UY364" i="1" s="1"/>
  <c r="VH364" i="1" s="1"/>
  <c r="VQ364" i="1" s="1"/>
  <c r="VZ364" i="1" s="1"/>
  <c r="WI364" i="1" s="1"/>
  <c r="WR364" i="1" s="1"/>
  <c r="XA364" i="1" s="1"/>
  <c r="XJ364" i="1" s="1"/>
  <c r="XS364" i="1" s="1"/>
  <c r="YB364" i="1" s="1"/>
  <c r="YK364" i="1" s="1"/>
  <c r="YT364" i="1" s="1"/>
  <c r="ZC364" i="1" s="1"/>
  <c r="ZL364" i="1" s="1"/>
  <c r="ZU364" i="1" s="1"/>
  <c r="AAD364" i="1" s="1"/>
  <c r="AAM364" i="1" s="1"/>
  <c r="AAV364" i="1" s="1"/>
  <c r="ABE364" i="1" s="1"/>
  <c r="NI364" i="1"/>
  <c r="NR361" i="1"/>
  <c r="OA361" i="1" s="1"/>
  <c r="OJ361" i="1" s="1"/>
  <c r="OS361" i="1" s="1"/>
  <c r="PB361" i="1" s="1"/>
  <c r="PK361" i="1" s="1"/>
  <c r="PT361" i="1" s="1"/>
  <c r="QC361" i="1" s="1"/>
  <c r="QL361" i="1" s="1"/>
  <c r="QU361" i="1" s="1"/>
  <c r="RD361" i="1" s="1"/>
  <c r="RM361" i="1" s="1"/>
  <c r="RV361" i="1" s="1"/>
  <c r="SE361" i="1" s="1"/>
  <c r="SN361" i="1" s="1"/>
  <c r="SW361" i="1" s="1"/>
  <c r="TF361" i="1" s="1"/>
  <c r="TO361" i="1" s="1"/>
  <c r="TX361" i="1" s="1"/>
  <c r="UG361" i="1" s="1"/>
  <c r="UP361" i="1" s="1"/>
  <c r="UY361" i="1" s="1"/>
  <c r="VH361" i="1" s="1"/>
  <c r="VQ361" i="1" s="1"/>
  <c r="VZ361" i="1" s="1"/>
  <c r="WI361" i="1" s="1"/>
  <c r="WR361" i="1" s="1"/>
  <c r="XA361" i="1" s="1"/>
  <c r="XJ361" i="1" s="1"/>
  <c r="XS361" i="1" s="1"/>
  <c r="YB361" i="1" s="1"/>
  <c r="YK361" i="1" s="1"/>
  <c r="YT361" i="1" s="1"/>
  <c r="ZC361" i="1" s="1"/>
  <c r="ZL361" i="1" s="1"/>
  <c r="ZU361" i="1" s="1"/>
  <c r="AAD361" i="1" s="1"/>
  <c r="AAM361" i="1" s="1"/>
  <c r="AAV361" i="1" s="1"/>
  <c r="ABE361" i="1" s="1"/>
  <c r="NI361" i="1"/>
  <c r="NR378" i="1"/>
  <c r="OA378" i="1" s="1"/>
  <c r="OJ378" i="1" s="1"/>
  <c r="OS378" i="1" s="1"/>
  <c r="PB378" i="1" s="1"/>
  <c r="PK378" i="1" s="1"/>
  <c r="PT378" i="1" s="1"/>
  <c r="QC378" i="1" s="1"/>
  <c r="QL378" i="1" s="1"/>
  <c r="QU378" i="1" s="1"/>
  <c r="RD378" i="1" s="1"/>
  <c r="RM378" i="1" s="1"/>
  <c r="RV378" i="1" s="1"/>
  <c r="SE378" i="1" s="1"/>
  <c r="SN378" i="1" s="1"/>
  <c r="SW378" i="1" s="1"/>
  <c r="TF378" i="1" s="1"/>
  <c r="TO378" i="1" s="1"/>
  <c r="TX378" i="1" s="1"/>
  <c r="UG378" i="1" s="1"/>
  <c r="UP378" i="1" s="1"/>
  <c r="UY378" i="1" s="1"/>
  <c r="VH378" i="1" s="1"/>
  <c r="VQ378" i="1" s="1"/>
  <c r="VZ378" i="1" s="1"/>
  <c r="WI378" i="1" s="1"/>
  <c r="WR378" i="1" s="1"/>
  <c r="XA378" i="1" s="1"/>
  <c r="XJ378" i="1" s="1"/>
  <c r="XS378" i="1" s="1"/>
  <c r="YB378" i="1" s="1"/>
  <c r="YK378" i="1" s="1"/>
  <c r="YT378" i="1" s="1"/>
  <c r="ZC378" i="1" s="1"/>
  <c r="ZL378" i="1" s="1"/>
  <c r="ZU378" i="1" s="1"/>
  <c r="AAD378" i="1" s="1"/>
  <c r="AAM378" i="1" s="1"/>
  <c r="AAV378" i="1" s="1"/>
  <c r="ABE378" i="1" s="1"/>
  <c r="NI378" i="1"/>
  <c r="NR366" i="1"/>
  <c r="OA366" i="1" s="1"/>
  <c r="OJ366" i="1" s="1"/>
  <c r="OS366" i="1" s="1"/>
  <c r="PB366" i="1" s="1"/>
  <c r="PK366" i="1" s="1"/>
  <c r="PT366" i="1" s="1"/>
  <c r="QC366" i="1" s="1"/>
  <c r="QL366" i="1" s="1"/>
  <c r="QU366" i="1" s="1"/>
  <c r="RD366" i="1" s="1"/>
  <c r="RM366" i="1" s="1"/>
  <c r="RV366" i="1" s="1"/>
  <c r="SE366" i="1" s="1"/>
  <c r="SN366" i="1" s="1"/>
  <c r="SW366" i="1" s="1"/>
  <c r="TF366" i="1" s="1"/>
  <c r="TO366" i="1" s="1"/>
  <c r="TX366" i="1" s="1"/>
  <c r="UG366" i="1" s="1"/>
  <c r="UP366" i="1" s="1"/>
  <c r="UY366" i="1" s="1"/>
  <c r="VH366" i="1" s="1"/>
  <c r="VQ366" i="1" s="1"/>
  <c r="VZ366" i="1" s="1"/>
  <c r="WI366" i="1" s="1"/>
  <c r="WR366" i="1" s="1"/>
  <c r="XA366" i="1" s="1"/>
  <c r="XJ366" i="1" s="1"/>
  <c r="XS366" i="1" s="1"/>
  <c r="YB366" i="1" s="1"/>
  <c r="YK366" i="1" s="1"/>
  <c r="YT366" i="1" s="1"/>
  <c r="ZC366" i="1" s="1"/>
  <c r="ZL366" i="1" s="1"/>
  <c r="ZU366" i="1" s="1"/>
  <c r="AAD366" i="1" s="1"/>
  <c r="AAM366" i="1" s="1"/>
  <c r="AAV366" i="1" s="1"/>
  <c r="ABE366" i="1" s="1"/>
  <c r="NI366" i="1"/>
  <c r="NR352" i="1"/>
  <c r="OA352" i="1" s="1"/>
  <c r="OJ352" i="1" s="1"/>
  <c r="OS352" i="1" s="1"/>
  <c r="PB352" i="1" s="1"/>
  <c r="PK352" i="1" s="1"/>
  <c r="PT352" i="1" s="1"/>
  <c r="QC352" i="1" s="1"/>
  <c r="QL352" i="1" s="1"/>
  <c r="QU352" i="1" s="1"/>
  <c r="RD352" i="1" s="1"/>
  <c r="RM352" i="1" s="1"/>
  <c r="RV352" i="1" s="1"/>
  <c r="SE352" i="1" s="1"/>
  <c r="SN352" i="1" s="1"/>
  <c r="SW352" i="1" s="1"/>
  <c r="TF352" i="1" s="1"/>
  <c r="TO352" i="1" s="1"/>
  <c r="TX352" i="1" s="1"/>
  <c r="UG352" i="1" s="1"/>
  <c r="UP352" i="1" s="1"/>
  <c r="UY352" i="1" s="1"/>
  <c r="VH352" i="1" s="1"/>
  <c r="VQ352" i="1" s="1"/>
  <c r="VZ352" i="1" s="1"/>
  <c r="WI352" i="1" s="1"/>
  <c r="WR352" i="1" s="1"/>
  <c r="XA352" i="1" s="1"/>
  <c r="XJ352" i="1" s="1"/>
  <c r="XS352" i="1" s="1"/>
  <c r="YB352" i="1" s="1"/>
  <c r="YK352" i="1" s="1"/>
  <c r="YT352" i="1" s="1"/>
  <c r="ZC352" i="1" s="1"/>
  <c r="ZL352" i="1" s="1"/>
  <c r="ZU352" i="1" s="1"/>
  <c r="AAD352" i="1" s="1"/>
  <c r="AAM352" i="1" s="1"/>
  <c r="AAV352" i="1" s="1"/>
  <c r="ABE352" i="1" s="1"/>
  <c r="NI352" i="1"/>
  <c r="NR330" i="1"/>
  <c r="OA330" i="1" s="1"/>
  <c r="OJ330" i="1" s="1"/>
  <c r="OS330" i="1" s="1"/>
  <c r="PB330" i="1" s="1"/>
  <c r="PK330" i="1" s="1"/>
  <c r="PT330" i="1" s="1"/>
  <c r="QC330" i="1" s="1"/>
  <c r="QL330" i="1" s="1"/>
  <c r="QU330" i="1" s="1"/>
  <c r="RD330" i="1" s="1"/>
  <c r="RM330" i="1" s="1"/>
  <c r="RV330" i="1" s="1"/>
  <c r="SE330" i="1" s="1"/>
  <c r="SN330" i="1" s="1"/>
  <c r="SW330" i="1" s="1"/>
  <c r="TF330" i="1" s="1"/>
  <c r="TO330" i="1" s="1"/>
  <c r="TX330" i="1" s="1"/>
  <c r="UG330" i="1" s="1"/>
  <c r="UP330" i="1" s="1"/>
  <c r="UY330" i="1" s="1"/>
  <c r="VH330" i="1" s="1"/>
  <c r="VQ330" i="1" s="1"/>
  <c r="VZ330" i="1" s="1"/>
  <c r="WI330" i="1" s="1"/>
  <c r="WR330" i="1" s="1"/>
  <c r="XA330" i="1" s="1"/>
  <c r="XJ330" i="1" s="1"/>
  <c r="XS330" i="1" s="1"/>
  <c r="YB330" i="1" s="1"/>
  <c r="YK330" i="1" s="1"/>
  <c r="YT330" i="1" s="1"/>
  <c r="ZC330" i="1" s="1"/>
  <c r="ZL330" i="1" s="1"/>
  <c r="ZU330" i="1" s="1"/>
  <c r="AAD330" i="1" s="1"/>
  <c r="AAM330" i="1" s="1"/>
  <c r="AAV330" i="1" s="1"/>
  <c r="ABE330" i="1" s="1"/>
  <c r="NI330" i="1"/>
  <c r="NR341" i="1"/>
  <c r="OA341" i="1" s="1"/>
  <c r="OJ341" i="1" s="1"/>
  <c r="OS341" i="1" s="1"/>
  <c r="PB341" i="1" s="1"/>
  <c r="PK341" i="1" s="1"/>
  <c r="PT341" i="1" s="1"/>
  <c r="QC341" i="1" s="1"/>
  <c r="QL341" i="1" s="1"/>
  <c r="QU341" i="1" s="1"/>
  <c r="RD341" i="1" s="1"/>
  <c r="RM341" i="1" s="1"/>
  <c r="RV341" i="1" s="1"/>
  <c r="SE341" i="1" s="1"/>
  <c r="SN341" i="1" s="1"/>
  <c r="SW341" i="1" s="1"/>
  <c r="TF341" i="1" s="1"/>
  <c r="TO341" i="1" s="1"/>
  <c r="TX341" i="1" s="1"/>
  <c r="UG341" i="1" s="1"/>
  <c r="UP341" i="1" s="1"/>
  <c r="UY341" i="1" s="1"/>
  <c r="VH341" i="1" s="1"/>
  <c r="VQ341" i="1" s="1"/>
  <c r="VZ341" i="1" s="1"/>
  <c r="WI341" i="1" s="1"/>
  <c r="WR341" i="1" s="1"/>
  <c r="XA341" i="1" s="1"/>
  <c r="XJ341" i="1" s="1"/>
  <c r="XS341" i="1" s="1"/>
  <c r="YB341" i="1" s="1"/>
  <c r="YK341" i="1" s="1"/>
  <c r="YT341" i="1" s="1"/>
  <c r="ZC341" i="1" s="1"/>
  <c r="ZL341" i="1" s="1"/>
  <c r="ZU341" i="1" s="1"/>
  <c r="AAD341" i="1" s="1"/>
  <c r="AAM341" i="1" s="1"/>
  <c r="AAV341" i="1" s="1"/>
  <c r="ABE341" i="1" s="1"/>
  <c r="NI341" i="1"/>
  <c r="NR333" i="1"/>
  <c r="OA333" i="1" s="1"/>
  <c r="OJ333" i="1" s="1"/>
  <c r="OS333" i="1" s="1"/>
  <c r="PB333" i="1" s="1"/>
  <c r="PK333" i="1" s="1"/>
  <c r="PT333" i="1" s="1"/>
  <c r="QC333" i="1" s="1"/>
  <c r="QL333" i="1" s="1"/>
  <c r="QU333" i="1" s="1"/>
  <c r="RD333" i="1" s="1"/>
  <c r="RM333" i="1" s="1"/>
  <c r="RV333" i="1" s="1"/>
  <c r="SE333" i="1" s="1"/>
  <c r="SN333" i="1" s="1"/>
  <c r="SW333" i="1" s="1"/>
  <c r="TF333" i="1" s="1"/>
  <c r="TO333" i="1" s="1"/>
  <c r="TX333" i="1" s="1"/>
  <c r="UG333" i="1" s="1"/>
  <c r="UP333" i="1" s="1"/>
  <c r="UY333" i="1" s="1"/>
  <c r="VH333" i="1" s="1"/>
  <c r="VQ333" i="1" s="1"/>
  <c r="VZ333" i="1" s="1"/>
  <c r="WI333" i="1" s="1"/>
  <c r="WR333" i="1" s="1"/>
  <c r="XA333" i="1" s="1"/>
  <c r="XJ333" i="1" s="1"/>
  <c r="XS333" i="1" s="1"/>
  <c r="YB333" i="1" s="1"/>
  <c r="YK333" i="1" s="1"/>
  <c r="YT333" i="1" s="1"/>
  <c r="ZC333" i="1" s="1"/>
  <c r="ZL333" i="1" s="1"/>
  <c r="ZU333" i="1" s="1"/>
  <c r="AAD333" i="1" s="1"/>
  <c r="AAM333" i="1" s="1"/>
  <c r="AAV333" i="1" s="1"/>
  <c r="ABE333" i="1" s="1"/>
  <c r="NI333" i="1"/>
  <c r="NR328" i="1"/>
  <c r="OA328" i="1" s="1"/>
  <c r="OJ328" i="1" s="1"/>
  <c r="OS328" i="1" s="1"/>
  <c r="PB328" i="1" s="1"/>
  <c r="PK328" i="1" s="1"/>
  <c r="PT328" i="1" s="1"/>
  <c r="QC328" i="1" s="1"/>
  <c r="QL328" i="1" s="1"/>
  <c r="QU328" i="1" s="1"/>
  <c r="RD328" i="1" s="1"/>
  <c r="RM328" i="1" s="1"/>
  <c r="RV328" i="1" s="1"/>
  <c r="SE328" i="1" s="1"/>
  <c r="SN328" i="1" s="1"/>
  <c r="SW328" i="1" s="1"/>
  <c r="TF328" i="1" s="1"/>
  <c r="TO328" i="1" s="1"/>
  <c r="TX328" i="1" s="1"/>
  <c r="UG328" i="1" s="1"/>
  <c r="UP328" i="1" s="1"/>
  <c r="UY328" i="1" s="1"/>
  <c r="VH328" i="1" s="1"/>
  <c r="VQ328" i="1" s="1"/>
  <c r="VZ328" i="1" s="1"/>
  <c r="WI328" i="1" s="1"/>
  <c r="WR328" i="1" s="1"/>
  <c r="XA328" i="1" s="1"/>
  <c r="XJ328" i="1" s="1"/>
  <c r="XS328" i="1" s="1"/>
  <c r="YB328" i="1" s="1"/>
  <c r="YK328" i="1" s="1"/>
  <c r="YT328" i="1" s="1"/>
  <c r="ZC328" i="1" s="1"/>
  <c r="ZL328" i="1" s="1"/>
  <c r="ZU328" i="1" s="1"/>
  <c r="AAD328" i="1" s="1"/>
  <c r="AAM328" i="1" s="1"/>
  <c r="AAV328" i="1" s="1"/>
  <c r="ABE328" i="1" s="1"/>
  <c r="NI328" i="1"/>
  <c r="NR344" i="1"/>
  <c r="OA344" i="1" s="1"/>
  <c r="OJ344" i="1" s="1"/>
  <c r="OS344" i="1" s="1"/>
  <c r="PB344" i="1" s="1"/>
  <c r="PK344" i="1" s="1"/>
  <c r="PT344" i="1" s="1"/>
  <c r="QC344" i="1" s="1"/>
  <c r="QL344" i="1" s="1"/>
  <c r="QU344" i="1" s="1"/>
  <c r="RD344" i="1" s="1"/>
  <c r="RM344" i="1" s="1"/>
  <c r="RV344" i="1" s="1"/>
  <c r="SE344" i="1" s="1"/>
  <c r="SN344" i="1" s="1"/>
  <c r="SW344" i="1" s="1"/>
  <c r="TF344" i="1" s="1"/>
  <c r="TO344" i="1" s="1"/>
  <c r="TX344" i="1" s="1"/>
  <c r="UG344" i="1" s="1"/>
  <c r="UP344" i="1" s="1"/>
  <c r="UY344" i="1" s="1"/>
  <c r="VH344" i="1" s="1"/>
  <c r="VQ344" i="1" s="1"/>
  <c r="VZ344" i="1" s="1"/>
  <c r="WI344" i="1" s="1"/>
  <c r="WR344" i="1" s="1"/>
  <c r="XA344" i="1" s="1"/>
  <c r="XJ344" i="1" s="1"/>
  <c r="XS344" i="1" s="1"/>
  <c r="YB344" i="1" s="1"/>
  <c r="YK344" i="1" s="1"/>
  <c r="YT344" i="1" s="1"/>
  <c r="ZC344" i="1" s="1"/>
  <c r="ZL344" i="1" s="1"/>
  <c r="ZU344" i="1" s="1"/>
  <c r="AAD344" i="1" s="1"/>
  <c r="AAM344" i="1" s="1"/>
  <c r="AAV344" i="1" s="1"/>
  <c r="ABE344" i="1" s="1"/>
  <c r="NI344" i="1"/>
  <c r="NR327" i="1"/>
  <c r="OA327" i="1" s="1"/>
  <c r="OJ327" i="1" s="1"/>
  <c r="OS327" i="1" s="1"/>
  <c r="PB327" i="1" s="1"/>
  <c r="PK327" i="1" s="1"/>
  <c r="PT327" i="1" s="1"/>
  <c r="QC327" i="1" s="1"/>
  <c r="QL327" i="1" s="1"/>
  <c r="QU327" i="1" s="1"/>
  <c r="RD327" i="1" s="1"/>
  <c r="RM327" i="1" s="1"/>
  <c r="RV327" i="1" s="1"/>
  <c r="SE327" i="1" s="1"/>
  <c r="SN327" i="1" s="1"/>
  <c r="SW327" i="1" s="1"/>
  <c r="TF327" i="1" s="1"/>
  <c r="TO327" i="1" s="1"/>
  <c r="TX327" i="1" s="1"/>
  <c r="UG327" i="1" s="1"/>
  <c r="UP327" i="1" s="1"/>
  <c r="UY327" i="1" s="1"/>
  <c r="VH327" i="1" s="1"/>
  <c r="VQ327" i="1" s="1"/>
  <c r="VZ327" i="1" s="1"/>
  <c r="WI327" i="1" s="1"/>
  <c r="WR327" i="1" s="1"/>
  <c r="XA327" i="1" s="1"/>
  <c r="XJ327" i="1" s="1"/>
  <c r="XS327" i="1" s="1"/>
  <c r="YB327" i="1" s="1"/>
  <c r="YK327" i="1" s="1"/>
  <c r="YT327" i="1" s="1"/>
  <c r="ZC327" i="1" s="1"/>
  <c r="ZL327" i="1" s="1"/>
  <c r="ZU327" i="1" s="1"/>
  <c r="AAD327" i="1" s="1"/>
  <c r="AAM327" i="1" s="1"/>
  <c r="AAV327" i="1" s="1"/>
  <c r="ABE327" i="1" s="1"/>
  <c r="NI327" i="1"/>
  <c r="NI294" i="1"/>
  <c r="NR294" i="1"/>
  <c r="OA294" i="1" s="1"/>
  <c r="OJ294" i="1" s="1"/>
  <c r="OS294" i="1" s="1"/>
  <c r="PB294" i="1" s="1"/>
  <c r="PK294" i="1" s="1"/>
  <c r="PT294" i="1" s="1"/>
  <c r="QC294" i="1" s="1"/>
  <c r="QL294" i="1" s="1"/>
  <c r="QU294" i="1" s="1"/>
  <c r="RD294" i="1" s="1"/>
  <c r="RM294" i="1" s="1"/>
  <c r="RV294" i="1" s="1"/>
  <c r="SE294" i="1" s="1"/>
  <c r="SN294" i="1" s="1"/>
  <c r="SW294" i="1" s="1"/>
  <c r="TF294" i="1" s="1"/>
  <c r="TO294" i="1" s="1"/>
  <c r="TX294" i="1" s="1"/>
  <c r="UG294" i="1" s="1"/>
  <c r="UP294" i="1" s="1"/>
  <c r="UY294" i="1" s="1"/>
  <c r="VH294" i="1" s="1"/>
  <c r="VQ294" i="1" s="1"/>
  <c r="VZ294" i="1" s="1"/>
  <c r="WI294" i="1" s="1"/>
  <c r="WR294" i="1" s="1"/>
  <c r="XA294" i="1" s="1"/>
  <c r="XJ294" i="1" s="1"/>
  <c r="XS294" i="1" s="1"/>
  <c r="YB294" i="1" s="1"/>
  <c r="YK294" i="1" s="1"/>
  <c r="YT294" i="1" s="1"/>
  <c r="ZC294" i="1" s="1"/>
  <c r="ZL294" i="1" s="1"/>
  <c r="ZU294" i="1" s="1"/>
  <c r="AAD294" i="1" s="1"/>
  <c r="AAM294" i="1" s="1"/>
  <c r="AAV294" i="1" s="1"/>
  <c r="ABE294" i="1" s="1"/>
  <c r="NI296" i="1"/>
  <c r="NR296" i="1"/>
  <c r="OA296" i="1" s="1"/>
  <c r="OJ296" i="1" s="1"/>
  <c r="OS296" i="1" s="1"/>
  <c r="PB296" i="1" s="1"/>
  <c r="PK296" i="1" s="1"/>
  <c r="PT296" i="1" s="1"/>
  <c r="QC296" i="1" s="1"/>
  <c r="QL296" i="1" s="1"/>
  <c r="QU296" i="1" s="1"/>
  <c r="RD296" i="1" s="1"/>
  <c r="RM296" i="1" s="1"/>
  <c r="RV296" i="1" s="1"/>
  <c r="SE296" i="1" s="1"/>
  <c r="SN296" i="1" s="1"/>
  <c r="SW296" i="1" s="1"/>
  <c r="TF296" i="1" s="1"/>
  <c r="TO296" i="1" s="1"/>
  <c r="TX296" i="1" s="1"/>
  <c r="UG296" i="1" s="1"/>
  <c r="UP296" i="1" s="1"/>
  <c r="UY296" i="1" s="1"/>
  <c r="VH296" i="1" s="1"/>
  <c r="VQ296" i="1" s="1"/>
  <c r="VZ296" i="1" s="1"/>
  <c r="WI296" i="1" s="1"/>
  <c r="WR296" i="1" s="1"/>
  <c r="XA296" i="1" s="1"/>
  <c r="XJ296" i="1" s="1"/>
  <c r="XS296" i="1" s="1"/>
  <c r="YB296" i="1" s="1"/>
  <c r="YK296" i="1" s="1"/>
  <c r="YT296" i="1" s="1"/>
  <c r="ZC296" i="1" s="1"/>
  <c r="ZL296" i="1" s="1"/>
  <c r="ZU296" i="1" s="1"/>
  <c r="AAD296" i="1" s="1"/>
  <c r="AAM296" i="1" s="1"/>
  <c r="AAV296" i="1" s="1"/>
  <c r="ABE296" i="1" s="1"/>
  <c r="NI298" i="1"/>
  <c r="NR298" i="1"/>
  <c r="OA298" i="1" s="1"/>
  <c r="OJ298" i="1" s="1"/>
  <c r="OS298" i="1" s="1"/>
  <c r="PB298" i="1" s="1"/>
  <c r="PK298" i="1" s="1"/>
  <c r="PT298" i="1" s="1"/>
  <c r="QC298" i="1" s="1"/>
  <c r="QL298" i="1" s="1"/>
  <c r="QU298" i="1" s="1"/>
  <c r="RD298" i="1" s="1"/>
  <c r="RM298" i="1" s="1"/>
  <c r="RV298" i="1" s="1"/>
  <c r="SE298" i="1" s="1"/>
  <c r="SN298" i="1" s="1"/>
  <c r="SW298" i="1" s="1"/>
  <c r="TF298" i="1" s="1"/>
  <c r="TO298" i="1" s="1"/>
  <c r="TX298" i="1" s="1"/>
  <c r="UG298" i="1" s="1"/>
  <c r="UP298" i="1" s="1"/>
  <c r="UY298" i="1" s="1"/>
  <c r="VH298" i="1" s="1"/>
  <c r="VQ298" i="1" s="1"/>
  <c r="VZ298" i="1" s="1"/>
  <c r="WI298" i="1" s="1"/>
  <c r="WR298" i="1" s="1"/>
  <c r="XA298" i="1" s="1"/>
  <c r="XJ298" i="1" s="1"/>
  <c r="XS298" i="1" s="1"/>
  <c r="YB298" i="1" s="1"/>
  <c r="YK298" i="1" s="1"/>
  <c r="YT298" i="1" s="1"/>
  <c r="ZC298" i="1" s="1"/>
  <c r="ZL298" i="1" s="1"/>
  <c r="ZU298" i="1" s="1"/>
  <c r="AAD298" i="1" s="1"/>
  <c r="AAM298" i="1" s="1"/>
  <c r="AAV298" i="1" s="1"/>
  <c r="ABE298" i="1" s="1"/>
  <c r="NI299" i="1"/>
  <c r="NR299" i="1"/>
  <c r="OA299" i="1" s="1"/>
  <c r="OJ299" i="1" s="1"/>
  <c r="OS299" i="1" s="1"/>
  <c r="PB299" i="1" s="1"/>
  <c r="PK299" i="1" s="1"/>
  <c r="PT299" i="1" s="1"/>
  <c r="QC299" i="1" s="1"/>
  <c r="QL299" i="1" s="1"/>
  <c r="QU299" i="1" s="1"/>
  <c r="RD299" i="1" s="1"/>
  <c r="RM299" i="1" s="1"/>
  <c r="RV299" i="1" s="1"/>
  <c r="SE299" i="1" s="1"/>
  <c r="SN299" i="1" s="1"/>
  <c r="SW299" i="1" s="1"/>
  <c r="TF299" i="1" s="1"/>
  <c r="TO299" i="1" s="1"/>
  <c r="TX299" i="1" s="1"/>
  <c r="UG299" i="1" s="1"/>
  <c r="UP299" i="1" s="1"/>
  <c r="UY299" i="1" s="1"/>
  <c r="VH299" i="1" s="1"/>
  <c r="VQ299" i="1" s="1"/>
  <c r="VZ299" i="1" s="1"/>
  <c r="WI299" i="1" s="1"/>
  <c r="WR299" i="1" s="1"/>
  <c r="XA299" i="1" s="1"/>
  <c r="XJ299" i="1" s="1"/>
  <c r="XS299" i="1" s="1"/>
  <c r="YB299" i="1" s="1"/>
  <c r="YK299" i="1" s="1"/>
  <c r="YT299" i="1" s="1"/>
  <c r="ZC299" i="1" s="1"/>
  <c r="ZL299" i="1" s="1"/>
  <c r="ZU299" i="1" s="1"/>
  <c r="AAD299" i="1" s="1"/>
  <c r="AAM299" i="1" s="1"/>
  <c r="AAV299" i="1" s="1"/>
  <c r="ABE299" i="1" s="1"/>
  <c r="NI308" i="1"/>
  <c r="NR308" i="1"/>
  <c r="OA308" i="1" s="1"/>
  <c r="OJ308" i="1" s="1"/>
  <c r="OS308" i="1" s="1"/>
  <c r="PB308" i="1" s="1"/>
  <c r="PK308" i="1" s="1"/>
  <c r="PT308" i="1" s="1"/>
  <c r="QC308" i="1" s="1"/>
  <c r="QL308" i="1" s="1"/>
  <c r="QU308" i="1" s="1"/>
  <c r="RD308" i="1" s="1"/>
  <c r="RM308" i="1" s="1"/>
  <c r="RV308" i="1" s="1"/>
  <c r="SE308" i="1" s="1"/>
  <c r="SN308" i="1" s="1"/>
  <c r="SW308" i="1" s="1"/>
  <c r="TF308" i="1" s="1"/>
  <c r="TO308" i="1" s="1"/>
  <c r="TX308" i="1" s="1"/>
  <c r="UG308" i="1" s="1"/>
  <c r="UP308" i="1" s="1"/>
  <c r="UY308" i="1" s="1"/>
  <c r="VH308" i="1" s="1"/>
  <c r="VQ308" i="1" s="1"/>
  <c r="VZ308" i="1" s="1"/>
  <c r="WI308" i="1" s="1"/>
  <c r="WR308" i="1" s="1"/>
  <c r="XA308" i="1" s="1"/>
  <c r="XJ308" i="1" s="1"/>
  <c r="XS308" i="1" s="1"/>
  <c r="YB308" i="1" s="1"/>
  <c r="YK308" i="1" s="1"/>
  <c r="YT308" i="1" s="1"/>
  <c r="ZC308" i="1" s="1"/>
  <c r="ZL308" i="1" s="1"/>
  <c r="ZU308" i="1" s="1"/>
  <c r="AAD308" i="1" s="1"/>
  <c r="AAM308" i="1" s="1"/>
  <c r="AAV308" i="1" s="1"/>
  <c r="ABE308" i="1" s="1"/>
  <c r="NI316" i="1"/>
  <c r="NR316" i="1"/>
  <c r="OA316" i="1" s="1"/>
  <c r="OJ316" i="1" s="1"/>
  <c r="OS316" i="1" s="1"/>
  <c r="PB316" i="1" s="1"/>
  <c r="PK316" i="1" s="1"/>
  <c r="PT316" i="1" s="1"/>
  <c r="QC316" i="1" s="1"/>
  <c r="QL316" i="1" s="1"/>
  <c r="QU316" i="1" s="1"/>
  <c r="RD316" i="1" s="1"/>
  <c r="RM316" i="1" s="1"/>
  <c r="RV316" i="1" s="1"/>
  <c r="SE316" i="1" s="1"/>
  <c r="SN316" i="1" s="1"/>
  <c r="SW316" i="1" s="1"/>
  <c r="TF316" i="1" s="1"/>
  <c r="TO316" i="1" s="1"/>
  <c r="TX316" i="1" s="1"/>
  <c r="UG316" i="1" s="1"/>
  <c r="UP316" i="1" s="1"/>
  <c r="UY316" i="1" s="1"/>
  <c r="VH316" i="1" s="1"/>
  <c r="VQ316" i="1" s="1"/>
  <c r="VZ316" i="1" s="1"/>
  <c r="WI316" i="1" s="1"/>
  <c r="WR316" i="1" s="1"/>
  <c r="XA316" i="1" s="1"/>
  <c r="XJ316" i="1" s="1"/>
  <c r="XS316" i="1" s="1"/>
  <c r="YB316" i="1" s="1"/>
  <c r="YK316" i="1" s="1"/>
  <c r="YT316" i="1" s="1"/>
  <c r="ZC316" i="1" s="1"/>
  <c r="ZL316" i="1" s="1"/>
  <c r="ZU316" i="1" s="1"/>
  <c r="AAD316" i="1" s="1"/>
  <c r="AAM316" i="1" s="1"/>
  <c r="AAV316" i="1" s="1"/>
  <c r="ABE316" i="1" s="1"/>
  <c r="NI290" i="1"/>
  <c r="NR290" i="1"/>
  <c r="OA290" i="1" s="1"/>
  <c r="OJ290" i="1" s="1"/>
  <c r="OS290" i="1" s="1"/>
  <c r="PB290" i="1" s="1"/>
  <c r="PK290" i="1" s="1"/>
  <c r="PT290" i="1" s="1"/>
  <c r="QC290" i="1" s="1"/>
  <c r="QL290" i="1" s="1"/>
  <c r="QU290" i="1" s="1"/>
  <c r="RD290" i="1" s="1"/>
  <c r="RM290" i="1" s="1"/>
  <c r="RV290" i="1" s="1"/>
  <c r="SE290" i="1" s="1"/>
  <c r="SN290" i="1" s="1"/>
  <c r="SW290" i="1" s="1"/>
  <c r="TF290" i="1" s="1"/>
  <c r="TO290" i="1" s="1"/>
  <c r="TX290" i="1" s="1"/>
  <c r="UG290" i="1" s="1"/>
  <c r="UP290" i="1" s="1"/>
  <c r="UY290" i="1" s="1"/>
  <c r="VH290" i="1" s="1"/>
  <c r="VQ290" i="1" s="1"/>
  <c r="VZ290" i="1" s="1"/>
  <c r="WI290" i="1" s="1"/>
  <c r="WR290" i="1" s="1"/>
  <c r="XA290" i="1" s="1"/>
  <c r="XJ290" i="1" s="1"/>
  <c r="XS290" i="1" s="1"/>
  <c r="YB290" i="1" s="1"/>
  <c r="YK290" i="1" s="1"/>
  <c r="YT290" i="1" s="1"/>
  <c r="ZC290" i="1" s="1"/>
  <c r="ZL290" i="1" s="1"/>
  <c r="ZU290" i="1" s="1"/>
  <c r="AAD290" i="1" s="1"/>
  <c r="AAM290" i="1" s="1"/>
  <c r="AAV290" i="1" s="1"/>
  <c r="ABE290" i="1" s="1"/>
  <c r="NR219" i="1"/>
  <c r="OA219" i="1" s="1"/>
  <c r="OJ219" i="1" s="1"/>
  <c r="OS219" i="1" s="1"/>
  <c r="PB219" i="1" s="1"/>
  <c r="PK219" i="1" s="1"/>
  <c r="PT219" i="1" s="1"/>
  <c r="QC219" i="1" s="1"/>
  <c r="QL219" i="1" s="1"/>
  <c r="QU219" i="1" s="1"/>
  <c r="RD219" i="1" s="1"/>
  <c r="RM219" i="1" s="1"/>
  <c r="RV219" i="1" s="1"/>
  <c r="SE219" i="1" s="1"/>
  <c r="SN219" i="1" s="1"/>
  <c r="SW219" i="1" s="1"/>
  <c r="TF219" i="1" s="1"/>
  <c r="TO219" i="1" s="1"/>
  <c r="TX219" i="1" s="1"/>
  <c r="UG219" i="1" s="1"/>
  <c r="UP219" i="1" s="1"/>
  <c r="UY219" i="1" s="1"/>
  <c r="VH219" i="1" s="1"/>
  <c r="VQ219" i="1" s="1"/>
  <c r="VZ219" i="1" s="1"/>
  <c r="WI219" i="1" s="1"/>
  <c r="WR219" i="1" s="1"/>
  <c r="XA219" i="1" s="1"/>
  <c r="XJ219" i="1" s="1"/>
  <c r="XS219" i="1" s="1"/>
  <c r="YB219" i="1" s="1"/>
  <c r="YK219" i="1" s="1"/>
  <c r="YT219" i="1" s="1"/>
  <c r="ZC219" i="1" s="1"/>
  <c r="ZL219" i="1" s="1"/>
  <c r="ZU219" i="1" s="1"/>
  <c r="AAD219" i="1" s="1"/>
  <c r="AAM219" i="1" s="1"/>
  <c r="AAV219" i="1" s="1"/>
  <c r="ABE219" i="1" s="1"/>
  <c r="NI219" i="1"/>
  <c r="NR220" i="1"/>
  <c r="OA220" i="1" s="1"/>
  <c r="OJ220" i="1" s="1"/>
  <c r="OS220" i="1" s="1"/>
  <c r="PB220" i="1" s="1"/>
  <c r="PK220" i="1" s="1"/>
  <c r="PT220" i="1" s="1"/>
  <c r="QC220" i="1" s="1"/>
  <c r="QL220" i="1" s="1"/>
  <c r="QU220" i="1" s="1"/>
  <c r="RD220" i="1" s="1"/>
  <c r="RM220" i="1" s="1"/>
  <c r="RV220" i="1" s="1"/>
  <c r="SE220" i="1" s="1"/>
  <c r="SN220" i="1" s="1"/>
  <c r="SW220" i="1" s="1"/>
  <c r="TF220" i="1" s="1"/>
  <c r="TO220" i="1" s="1"/>
  <c r="TX220" i="1" s="1"/>
  <c r="UG220" i="1" s="1"/>
  <c r="UP220" i="1" s="1"/>
  <c r="UY220" i="1" s="1"/>
  <c r="VH220" i="1" s="1"/>
  <c r="VQ220" i="1" s="1"/>
  <c r="VZ220" i="1" s="1"/>
  <c r="WI220" i="1" s="1"/>
  <c r="WR220" i="1" s="1"/>
  <c r="XA220" i="1" s="1"/>
  <c r="XJ220" i="1" s="1"/>
  <c r="XS220" i="1" s="1"/>
  <c r="YB220" i="1" s="1"/>
  <c r="YK220" i="1" s="1"/>
  <c r="YT220" i="1" s="1"/>
  <c r="ZC220" i="1" s="1"/>
  <c r="ZL220" i="1" s="1"/>
  <c r="ZU220" i="1" s="1"/>
  <c r="AAD220" i="1" s="1"/>
  <c r="AAM220" i="1" s="1"/>
  <c r="AAV220" i="1" s="1"/>
  <c r="ABE220" i="1" s="1"/>
  <c r="NI220" i="1"/>
  <c r="NR221" i="1"/>
  <c r="OA221" i="1" s="1"/>
  <c r="OJ221" i="1" s="1"/>
  <c r="OS221" i="1" s="1"/>
  <c r="PB221" i="1" s="1"/>
  <c r="PK221" i="1" s="1"/>
  <c r="PT221" i="1" s="1"/>
  <c r="QC221" i="1" s="1"/>
  <c r="QL221" i="1" s="1"/>
  <c r="QU221" i="1" s="1"/>
  <c r="RD221" i="1" s="1"/>
  <c r="RM221" i="1" s="1"/>
  <c r="RV221" i="1" s="1"/>
  <c r="SE221" i="1" s="1"/>
  <c r="SN221" i="1" s="1"/>
  <c r="SW221" i="1" s="1"/>
  <c r="TF221" i="1" s="1"/>
  <c r="TO221" i="1" s="1"/>
  <c r="TX221" i="1" s="1"/>
  <c r="UG221" i="1" s="1"/>
  <c r="UP221" i="1" s="1"/>
  <c r="UY221" i="1" s="1"/>
  <c r="VH221" i="1" s="1"/>
  <c r="VQ221" i="1" s="1"/>
  <c r="VZ221" i="1" s="1"/>
  <c r="WI221" i="1" s="1"/>
  <c r="WR221" i="1" s="1"/>
  <c r="XA221" i="1" s="1"/>
  <c r="XJ221" i="1" s="1"/>
  <c r="XS221" i="1" s="1"/>
  <c r="YB221" i="1" s="1"/>
  <c r="YK221" i="1" s="1"/>
  <c r="YT221" i="1" s="1"/>
  <c r="ZC221" i="1" s="1"/>
  <c r="ZL221" i="1" s="1"/>
  <c r="ZU221" i="1" s="1"/>
  <c r="AAD221" i="1" s="1"/>
  <c r="AAM221" i="1" s="1"/>
  <c r="AAV221" i="1" s="1"/>
  <c r="ABE221" i="1" s="1"/>
  <c r="NI221" i="1"/>
  <c r="NR222" i="1"/>
  <c r="OA222" i="1" s="1"/>
  <c r="OJ222" i="1" s="1"/>
  <c r="OS222" i="1" s="1"/>
  <c r="PB222" i="1" s="1"/>
  <c r="PK222" i="1" s="1"/>
  <c r="PT222" i="1" s="1"/>
  <c r="QC222" i="1" s="1"/>
  <c r="QL222" i="1" s="1"/>
  <c r="QU222" i="1" s="1"/>
  <c r="RD222" i="1" s="1"/>
  <c r="RM222" i="1" s="1"/>
  <c r="RV222" i="1" s="1"/>
  <c r="SE222" i="1" s="1"/>
  <c r="SN222" i="1" s="1"/>
  <c r="SW222" i="1" s="1"/>
  <c r="TF222" i="1" s="1"/>
  <c r="TO222" i="1" s="1"/>
  <c r="TX222" i="1" s="1"/>
  <c r="UG222" i="1" s="1"/>
  <c r="UP222" i="1" s="1"/>
  <c r="UY222" i="1" s="1"/>
  <c r="VH222" i="1" s="1"/>
  <c r="VQ222" i="1" s="1"/>
  <c r="VZ222" i="1" s="1"/>
  <c r="WI222" i="1" s="1"/>
  <c r="WR222" i="1" s="1"/>
  <c r="XA222" i="1" s="1"/>
  <c r="XJ222" i="1" s="1"/>
  <c r="XS222" i="1" s="1"/>
  <c r="YB222" i="1" s="1"/>
  <c r="YK222" i="1" s="1"/>
  <c r="YT222" i="1" s="1"/>
  <c r="ZC222" i="1" s="1"/>
  <c r="ZL222" i="1" s="1"/>
  <c r="ZU222" i="1" s="1"/>
  <c r="AAD222" i="1" s="1"/>
  <c r="AAM222" i="1" s="1"/>
  <c r="AAV222" i="1" s="1"/>
  <c r="ABE222" i="1" s="1"/>
  <c r="NI222" i="1"/>
  <c r="NR223" i="1"/>
  <c r="OA223" i="1" s="1"/>
  <c r="OJ223" i="1" s="1"/>
  <c r="OS223" i="1" s="1"/>
  <c r="PB223" i="1" s="1"/>
  <c r="PK223" i="1" s="1"/>
  <c r="PT223" i="1" s="1"/>
  <c r="QC223" i="1" s="1"/>
  <c r="QL223" i="1" s="1"/>
  <c r="QU223" i="1" s="1"/>
  <c r="RD223" i="1" s="1"/>
  <c r="RM223" i="1" s="1"/>
  <c r="RV223" i="1" s="1"/>
  <c r="SE223" i="1" s="1"/>
  <c r="SN223" i="1" s="1"/>
  <c r="SW223" i="1" s="1"/>
  <c r="TF223" i="1" s="1"/>
  <c r="TO223" i="1" s="1"/>
  <c r="TX223" i="1" s="1"/>
  <c r="UG223" i="1" s="1"/>
  <c r="UP223" i="1" s="1"/>
  <c r="UY223" i="1" s="1"/>
  <c r="VH223" i="1" s="1"/>
  <c r="VQ223" i="1" s="1"/>
  <c r="VZ223" i="1" s="1"/>
  <c r="WI223" i="1" s="1"/>
  <c r="WR223" i="1" s="1"/>
  <c r="XA223" i="1" s="1"/>
  <c r="XJ223" i="1" s="1"/>
  <c r="XS223" i="1" s="1"/>
  <c r="YB223" i="1" s="1"/>
  <c r="YK223" i="1" s="1"/>
  <c r="YT223" i="1" s="1"/>
  <c r="ZC223" i="1" s="1"/>
  <c r="ZL223" i="1" s="1"/>
  <c r="ZU223" i="1" s="1"/>
  <c r="AAD223" i="1" s="1"/>
  <c r="AAM223" i="1" s="1"/>
  <c r="AAV223" i="1" s="1"/>
  <c r="ABE223" i="1" s="1"/>
  <c r="NI223" i="1"/>
  <c r="NR224" i="1"/>
  <c r="OA224" i="1" s="1"/>
  <c r="OJ224" i="1" s="1"/>
  <c r="OS224" i="1" s="1"/>
  <c r="PB224" i="1" s="1"/>
  <c r="PK224" i="1" s="1"/>
  <c r="PT224" i="1" s="1"/>
  <c r="QC224" i="1" s="1"/>
  <c r="QL224" i="1" s="1"/>
  <c r="QU224" i="1" s="1"/>
  <c r="RD224" i="1" s="1"/>
  <c r="RM224" i="1" s="1"/>
  <c r="RV224" i="1" s="1"/>
  <c r="SE224" i="1" s="1"/>
  <c r="SN224" i="1" s="1"/>
  <c r="SW224" i="1" s="1"/>
  <c r="TF224" i="1" s="1"/>
  <c r="TO224" i="1" s="1"/>
  <c r="TX224" i="1" s="1"/>
  <c r="UG224" i="1" s="1"/>
  <c r="UP224" i="1" s="1"/>
  <c r="UY224" i="1" s="1"/>
  <c r="VH224" i="1" s="1"/>
  <c r="VQ224" i="1" s="1"/>
  <c r="VZ224" i="1" s="1"/>
  <c r="WI224" i="1" s="1"/>
  <c r="WR224" i="1" s="1"/>
  <c r="XA224" i="1" s="1"/>
  <c r="XJ224" i="1" s="1"/>
  <c r="XS224" i="1" s="1"/>
  <c r="YB224" i="1" s="1"/>
  <c r="YK224" i="1" s="1"/>
  <c r="YT224" i="1" s="1"/>
  <c r="ZC224" i="1" s="1"/>
  <c r="ZL224" i="1" s="1"/>
  <c r="ZU224" i="1" s="1"/>
  <c r="AAD224" i="1" s="1"/>
  <c r="AAM224" i="1" s="1"/>
  <c r="AAV224" i="1" s="1"/>
  <c r="ABE224" i="1" s="1"/>
  <c r="NI224" i="1"/>
  <c r="NR225" i="1"/>
  <c r="OA225" i="1" s="1"/>
  <c r="OJ225" i="1" s="1"/>
  <c r="OS225" i="1" s="1"/>
  <c r="PB225" i="1" s="1"/>
  <c r="PK225" i="1" s="1"/>
  <c r="PT225" i="1" s="1"/>
  <c r="QC225" i="1" s="1"/>
  <c r="QL225" i="1" s="1"/>
  <c r="QU225" i="1" s="1"/>
  <c r="RD225" i="1" s="1"/>
  <c r="RM225" i="1" s="1"/>
  <c r="RV225" i="1" s="1"/>
  <c r="SE225" i="1" s="1"/>
  <c r="SN225" i="1" s="1"/>
  <c r="SW225" i="1" s="1"/>
  <c r="TF225" i="1" s="1"/>
  <c r="TO225" i="1" s="1"/>
  <c r="TX225" i="1" s="1"/>
  <c r="UG225" i="1" s="1"/>
  <c r="UP225" i="1" s="1"/>
  <c r="UY225" i="1" s="1"/>
  <c r="VH225" i="1" s="1"/>
  <c r="VQ225" i="1" s="1"/>
  <c r="VZ225" i="1" s="1"/>
  <c r="WI225" i="1" s="1"/>
  <c r="WR225" i="1" s="1"/>
  <c r="XA225" i="1" s="1"/>
  <c r="XJ225" i="1" s="1"/>
  <c r="XS225" i="1" s="1"/>
  <c r="YB225" i="1" s="1"/>
  <c r="YK225" i="1" s="1"/>
  <c r="YT225" i="1" s="1"/>
  <c r="ZC225" i="1" s="1"/>
  <c r="ZL225" i="1" s="1"/>
  <c r="ZU225" i="1" s="1"/>
  <c r="AAD225" i="1" s="1"/>
  <c r="AAM225" i="1" s="1"/>
  <c r="AAV225" i="1" s="1"/>
  <c r="ABE225" i="1" s="1"/>
  <c r="NI225" i="1"/>
  <c r="NR226" i="1"/>
  <c r="OA226" i="1" s="1"/>
  <c r="OJ226" i="1" s="1"/>
  <c r="OS226" i="1" s="1"/>
  <c r="PB226" i="1" s="1"/>
  <c r="PK226" i="1" s="1"/>
  <c r="PT226" i="1" s="1"/>
  <c r="QC226" i="1" s="1"/>
  <c r="QL226" i="1" s="1"/>
  <c r="QU226" i="1" s="1"/>
  <c r="RD226" i="1" s="1"/>
  <c r="RM226" i="1" s="1"/>
  <c r="RV226" i="1" s="1"/>
  <c r="SE226" i="1" s="1"/>
  <c r="SN226" i="1" s="1"/>
  <c r="SW226" i="1" s="1"/>
  <c r="TF226" i="1" s="1"/>
  <c r="TO226" i="1" s="1"/>
  <c r="TX226" i="1" s="1"/>
  <c r="UG226" i="1" s="1"/>
  <c r="UP226" i="1" s="1"/>
  <c r="UY226" i="1" s="1"/>
  <c r="VH226" i="1" s="1"/>
  <c r="VQ226" i="1" s="1"/>
  <c r="VZ226" i="1" s="1"/>
  <c r="WI226" i="1" s="1"/>
  <c r="WR226" i="1" s="1"/>
  <c r="XA226" i="1" s="1"/>
  <c r="XJ226" i="1" s="1"/>
  <c r="XS226" i="1" s="1"/>
  <c r="YB226" i="1" s="1"/>
  <c r="YK226" i="1" s="1"/>
  <c r="YT226" i="1" s="1"/>
  <c r="ZC226" i="1" s="1"/>
  <c r="ZL226" i="1" s="1"/>
  <c r="ZU226" i="1" s="1"/>
  <c r="AAD226" i="1" s="1"/>
  <c r="AAM226" i="1" s="1"/>
  <c r="AAV226" i="1" s="1"/>
  <c r="ABE226" i="1" s="1"/>
  <c r="NI226" i="1"/>
  <c r="NR227" i="1"/>
  <c r="OA227" i="1" s="1"/>
  <c r="OJ227" i="1" s="1"/>
  <c r="OS227" i="1" s="1"/>
  <c r="PB227" i="1" s="1"/>
  <c r="PK227" i="1" s="1"/>
  <c r="PT227" i="1" s="1"/>
  <c r="QC227" i="1" s="1"/>
  <c r="QL227" i="1" s="1"/>
  <c r="QU227" i="1" s="1"/>
  <c r="RD227" i="1" s="1"/>
  <c r="RM227" i="1" s="1"/>
  <c r="RV227" i="1" s="1"/>
  <c r="SE227" i="1" s="1"/>
  <c r="SN227" i="1" s="1"/>
  <c r="SW227" i="1" s="1"/>
  <c r="TF227" i="1" s="1"/>
  <c r="TO227" i="1" s="1"/>
  <c r="TX227" i="1" s="1"/>
  <c r="UG227" i="1" s="1"/>
  <c r="UP227" i="1" s="1"/>
  <c r="UY227" i="1" s="1"/>
  <c r="VH227" i="1" s="1"/>
  <c r="VQ227" i="1" s="1"/>
  <c r="VZ227" i="1" s="1"/>
  <c r="WI227" i="1" s="1"/>
  <c r="WR227" i="1" s="1"/>
  <c r="XA227" i="1" s="1"/>
  <c r="XJ227" i="1" s="1"/>
  <c r="XS227" i="1" s="1"/>
  <c r="YB227" i="1" s="1"/>
  <c r="YK227" i="1" s="1"/>
  <c r="YT227" i="1" s="1"/>
  <c r="ZC227" i="1" s="1"/>
  <c r="ZL227" i="1" s="1"/>
  <c r="ZU227" i="1" s="1"/>
  <c r="AAD227" i="1" s="1"/>
  <c r="AAM227" i="1" s="1"/>
  <c r="AAV227" i="1" s="1"/>
  <c r="ABE227" i="1" s="1"/>
  <c r="NI227" i="1"/>
  <c r="NR228" i="1"/>
  <c r="OA228" i="1" s="1"/>
  <c r="OJ228" i="1" s="1"/>
  <c r="OS228" i="1" s="1"/>
  <c r="PB228" i="1" s="1"/>
  <c r="PK228" i="1" s="1"/>
  <c r="PT228" i="1" s="1"/>
  <c r="QC228" i="1" s="1"/>
  <c r="QL228" i="1" s="1"/>
  <c r="QU228" i="1" s="1"/>
  <c r="RD228" i="1" s="1"/>
  <c r="RM228" i="1" s="1"/>
  <c r="RV228" i="1" s="1"/>
  <c r="SE228" i="1" s="1"/>
  <c r="SN228" i="1" s="1"/>
  <c r="SW228" i="1" s="1"/>
  <c r="TF228" i="1" s="1"/>
  <c r="TO228" i="1" s="1"/>
  <c r="TX228" i="1" s="1"/>
  <c r="UG228" i="1" s="1"/>
  <c r="UP228" i="1" s="1"/>
  <c r="UY228" i="1" s="1"/>
  <c r="VH228" i="1" s="1"/>
  <c r="VQ228" i="1" s="1"/>
  <c r="VZ228" i="1" s="1"/>
  <c r="WI228" i="1" s="1"/>
  <c r="WR228" i="1" s="1"/>
  <c r="XA228" i="1" s="1"/>
  <c r="XJ228" i="1" s="1"/>
  <c r="XS228" i="1" s="1"/>
  <c r="YB228" i="1" s="1"/>
  <c r="YK228" i="1" s="1"/>
  <c r="YT228" i="1" s="1"/>
  <c r="ZC228" i="1" s="1"/>
  <c r="ZL228" i="1" s="1"/>
  <c r="ZU228" i="1" s="1"/>
  <c r="AAD228" i="1" s="1"/>
  <c r="AAM228" i="1" s="1"/>
  <c r="AAV228" i="1" s="1"/>
  <c r="ABE228" i="1" s="1"/>
  <c r="NI228" i="1"/>
  <c r="NR229" i="1"/>
  <c r="OA229" i="1" s="1"/>
  <c r="OJ229" i="1" s="1"/>
  <c r="OS229" i="1" s="1"/>
  <c r="PB229" i="1" s="1"/>
  <c r="PK229" i="1" s="1"/>
  <c r="PT229" i="1" s="1"/>
  <c r="QC229" i="1" s="1"/>
  <c r="QL229" i="1" s="1"/>
  <c r="QU229" i="1" s="1"/>
  <c r="RD229" i="1" s="1"/>
  <c r="RM229" i="1" s="1"/>
  <c r="RV229" i="1" s="1"/>
  <c r="SE229" i="1" s="1"/>
  <c r="SN229" i="1" s="1"/>
  <c r="SW229" i="1" s="1"/>
  <c r="TF229" i="1" s="1"/>
  <c r="TO229" i="1" s="1"/>
  <c r="TX229" i="1" s="1"/>
  <c r="UG229" i="1" s="1"/>
  <c r="UP229" i="1" s="1"/>
  <c r="UY229" i="1" s="1"/>
  <c r="VH229" i="1" s="1"/>
  <c r="VQ229" i="1" s="1"/>
  <c r="VZ229" i="1" s="1"/>
  <c r="WI229" i="1" s="1"/>
  <c r="WR229" i="1" s="1"/>
  <c r="XA229" i="1" s="1"/>
  <c r="XJ229" i="1" s="1"/>
  <c r="XS229" i="1" s="1"/>
  <c r="YB229" i="1" s="1"/>
  <c r="YK229" i="1" s="1"/>
  <c r="YT229" i="1" s="1"/>
  <c r="ZC229" i="1" s="1"/>
  <c r="ZL229" i="1" s="1"/>
  <c r="ZU229" i="1" s="1"/>
  <c r="AAD229" i="1" s="1"/>
  <c r="AAM229" i="1" s="1"/>
  <c r="AAV229" i="1" s="1"/>
  <c r="ABE229" i="1" s="1"/>
  <c r="NI229" i="1"/>
  <c r="NR230" i="1"/>
  <c r="OA230" i="1" s="1"/>
  <c r="OJ230" i="1" s="1"/>
  <c r="OS230" i="1" s="1"/>
  <c r="PB230" i="1" s="1"/>
  <c r="PK230" i="1" s="1"/>
  <c r="PT230" i="1" s="1"/>
  <c r="QC230" i="1" s="1"/>
  <c r="QL230" i="1" s="1"/>
  <c r="QU230" i="1" s="1"/>
  <c r="RD230" i="1" s="1"/>
  <c r="RM230" i="1" s="1"/>
  <c r="RV230" i="1" s="1"/>
  <c r="SE230" i="1" s="1"/>
  <c r="SN230" i="1" s="1"/>
  <c r="SW230" i="1" s="1"/>
  <c r="TF230" i="1" s="1"/>
  <c r="TO230" i="1" s="1"/>
  <c r="TX230" i="1" s="1"/>
  <c r="UG230" i="1" s="1"/>
  <c r="UP230" i="1" s="1"/>
  <c r="UY230" i="1" s="1"/>
  <c r="VH230" i="1" s="1"/>
  <c r="VQ230" i="1" s="1"/>
  <c r="VZ230" i="1" s="1"/>
  <c r="WI230" i="1" s="1"/>
  <c r="WR230" i="1" s="1"/>
  <c r="XA230" i="1" s="1"/>
  <c r="XJ230" i="1" s="1"/>
  <c r="XS230" i="1" s="1"/>
  <c r="YB230" i="1" s="1"/>
  <c r="YK230" i="1" s="1"/>
  <c r="YT230" i="1" s="1"/>
  <c r="ZC230" i="1" s="1"/>
  <c r="ZL230" i="1" s="1"/>
  <c r="ZU230" i="1" s="1"/>
  <c r="AAD230" i="1" s="1"/>
  <c r="AAM230" i="1" s="1"/>
  <c r="AAV230" i="1" s="1"/>
  <c r="ABE230" i="1" s="1"/>
  <c r="NI230" i="1"/>
  <c r="NR231" i="1"/>
  <c r="OA231" i="1" s="1"/>
  <c r="OJ231" i="1" s="1"/>
  <c r="OS231" i="1" s="1"/>
  <c r="PB231" i="1" s="1"/>
  <c r="PK231" i="1" s="1"/>
  <c r="PT231" i="1" s="1"/>
  <c r="QC231" i="1" s="1"/>
  <c r="QL231" i="1" s="1"/>
  <c r="QU231" i="1" s="1"/>
  <c r="RD231" i="1" s="1"/>
  <c r="RM231" i="1" s="1"/>
  <c r="RV231" i="1" s="1"/>
  <c r="SE231" i="1" s="1"/>
  <c r="SN231" i="1" s="1"/>
  <c r="SW231" i="1" s="1"/>
  <c r="TF231" i="1" s="1"/>
  <c r="TO231" i="1" s="1"/>
  <c r="TX231" i="1" s="1"/>
  <c r="UG231" i="1" s="1"/>
  <c r="UP231" i="1" s="1"/>
  <c r="UY231" i="1" s="1"/>
  <c r="VH231" i="1" s="1"/>
  <c r="VQ231" i="1" s="1"/>
  <c r="VZ231" i="1" s="1"/>
  <c r="WI231" i="1" s="1"/>
  <c r="WR231" i="1" s="1"/>
  <c r="XA231" i="1" s="1"/>
  <c r="XJ231" i="1" s="1"/>
  <c r="XS231" i="1" s="1"/>
  <c r="YB231" i="1" s="1"/>
  <c r="YK231" i="1" s="1"/>
  <c r="YT231" i="1" s="1"/>
  <c r="ZC231" i="1" s="1"/>
  <c r="ZL231" i="1" s="1"/>
  <c r="ZU231" i="1" s="1"/>
  <c r="AAD231" i="1" s="1"/>
  <c r="AAM231" i="1" s="1"/>
  <c r="AAV231" i="1" s="1"/>
  <c r="ABE231" i="1" s="1"/>
  <c r="NI231" i="1"/>
  <c r="NR232" i="1"/>
  <c r="OA232" i="1" s="1"/>
  <c r="OJ232" i="1" s="1"/>
  <c r="OS232" i="1" s="1"/>
  <c r="PB232" i="1" s="1"/>
  <c r="PK232" i="1" s="1"/>
  <c r="PT232" i="1" s="1"/>
  <c r="QC232" i="1" s="1"/>
  <c r="QL232" i="1" s="1"/>
  <c r="QU232" i="1" s="1"/>
  <c r="RD232" i="1" s="1"/>
  <c r="RM232" i="1" s="1"/>
  <c r="RV232" i="1" s="1"/>
  <c r="SE232" i="1" s="1"/>
  <c r="SN232" i="1" s="1"/>
  <c r="SW232" i="1" s="1"/>
  <c r="TF232" i="1" s="1"/>
  <c r="TO232" i="1" s="1"/>
  <c r="TX232" i="1" s="1"/>
  <c r="UG232" i="1" s="1"/>
  <c r="UP232" i="1" s="1"/>
  <c r="UY232" i="1" s="1"/>
  <c r="VH232" i="1" s="1"/>
  <c r="VQ232" i="1" s="1"/>
  <c r="VZ232" i="1" s="1"/>
  <c r="WI232" i="1" s="1"/>
  <c r="WR232" i="1" s="1"/>
  <c r="XA232" i="1" s="1"/>
  <c r="XJ232" i="1" s="1"/>
  <c r="XS232" i="1" s="1"/>
  <c r="YB232" i="1" s="1"/>
  <c r="YK232" i="1" s="1"/>
  <c r="YT232" i="1" s="1"/>
  <c r="ZC232" i="1" s="1"/>
  <c r="ZL232" i="1" s="1"/>
  <c r="ZU232" i="1" s="1"/>
  <c r="AAD232" i="1" s="1"/>
  <c r="AAM232" i="1" s="1"/>
  <c r="AAV232" i="1" s="1"/>
  <c r="ABE232" i="1" s="1"/>
  <c r="NI232" i="1"/>
  <c r="NR233" i="1"/>
  <c r="OA233" i="1" s="1"/>
  <c r="OJ233" i="1" s="1"/>
  <c r="OS233" i="1" s="1"/>
  <c r="PB233" i="1" s="1"/>
  <c r="PK233" i="1" s="1"/>
  <c r="PT233" i="1" s="1"/>
  <c r="QC233" i="1" s="1"/>
  <c r="QL233" i="1" s="1"/>
  <c r="QU233" i="1" s="1"/>
  <c r="RD233" i="1" s="1"/>
  <c r="RM233" i="1" s="1"/>
  <c r="RV233" i="1" s="1"/>
  <c r="SE233" i="1" s="1"/>
  <c r="SN233" i="1" s="1"/>
  <c r="SW233" i="1" s="1"/>
  <c r="TF233" i="1" s="1"/>
  <c r="TO233" i="1" s="1"/>
  <c r="TX233" i="1" s="1"/>
  <c r="UG233" i="1" s="1"/>
  <c r="UP233" i="1" s="1"/>
  <c r="UY233" i="1" s="1"/>
  <c r="VH233" i="1" s="1"/>
  <c r="VQ233" i="1" s="1"/>
  <c r="VZ233" i="1" s="1"/>
  <c r="WI233" i="1" s="1"/>
  <c r="WR233" i="1" s="1"/>
  <c r="XA233" i="1" s="1"/>
  <c r="XJ233" i="1" s="1"/>
  <c r="XS233" i="1" s="1"/>
  <c r="YB233" i="1" s="1"/>
  <c r="YK233" i="1" s="1"/>
  <c r="YT233" i="1" s="1"/>
  <c r="ZC233" i="1" s="1"/>
  <c r="ZL233" i="1" s="1"/>
  <c r="ZU233" i="1" s="1"/>
  <c r="AAD233" i="1" s="1"/>
  <c r="AAM233" i="1" s="1"/>
  <c r="AAV233" i="1" s="1"/>
  <c r="ABE233" i="1" s="1"/>
  <c r="NI233" i="1"/>
  <c r="NR234" i="1"/>
  <c r="OA234" i="1" s="1"/>
  <c r="OJ234" i="1" s="1"/>
  <c r="OS234" i="1" s="1"/>
  <c r="PB234" i="1" s="1"/>
  <c r="PK234" i="1" s="1"/>
  <c r="PT234" i="1" s="1"/>
  <c r="QC234" i="1" s="1"/>
  <c r="QL234" i="1" s="1"/>
  <c r="QU234" i="1" s="1"/>
  <c r="RD234" i="1" s="1"/>
  <c r="RM234" i="1" s="1"/>
  <c r="RV234" i="1" s="1"/>
  <c r="SE234" i="1" s="1"/>
  <c r="SN234" i="1" s="1"/>
  <c r="SW234" i="1" s="1"/>
  <c r="TF234" i="1" s="1"/>
  <c r="TO234" i="1" s="1"/>
  <c r="TX234" i="1" s="1"/>
  <c r="UG234" i="1" s="1"/>
  <c r="UP234" i="1" s="1"/>
  <c r="UY234" i="1" s="1"/>
  <c r="VH234" i="1" s="1"/>
  <c r="VQ234" i="1" s="1"/>
  <c r="VZ234" i="1" s="1"/>
  <c r="WI234" i="1" s="1"/>
  <c r="WR234" i="1" s="1"/>
  <c r="XA234" i="1" s="1"/>
  <c r="XJ234" i="1" s="1"/>
  <c r="XS234" i="1" s="1"/>
  <c r="YB234" i="1" s="1"/>
  <c r="YK234" i="1" s="1"/>
  <c r="YT234" i="1" s="1"/>
  <c r="ZC234" i="1" s="1"/>
  <c r="ZL234" i="1" s="1"/>
  <c r="ZU234" i="1" s="1"/>
  <c r="AAD234" i="1" s="1"/>
  <c r="AAM234" i="1" s="1"/>
  <c r="AAV234" i="1" s="1"/>
  <c r="ABE234" i="1" s="1"/>
  <c r="NI234" i="1"/>
  <c r="NR235" i="1"/>
  <c r="OA235" i="1" s="1"/>
  <c r="OJ235" i="1" s="1"/>
  <c r="OS235" i="1" s="1"/>
  <c r="PB235" i="1" s="1"/>
  <c r="PK235" i="1" s="1"/>
  <c r="PT235" i="1" s="1"/>
  <c r="QC235" i="1" s="1"/>
  <c r="QL235" i="1" s="1"/>
  <c r="QU235" i="1" s="1"/>
  <c r="RD235" i="1" s="1"/>
  <c r="RM235" i="1" s="1"/>
  <c r="RV235" i="1" s="1"/>
  <c r="SE235" i="1" s="1"/>
  <c r="SN235" i="1" s="1"/>
  <c r="SW235" i="1" s="1"/>
  <c r="TF235" i="1" s="1"/>
  <c r="TO235" i="1" s="1"/>
  <c r="TX235" i="1" s="1"/>
  <c r="UG235" i="1" s="1"/>
  <c r="UP235" i="1" s="1"/>
  <c r="UY235" i="1" s="1"/>
  <c r="VH235" i="1" s="1"/>
  <c r="VQ235" i="1" s="1"/>
  <c r="VZ235" i="1" s="1"/>
  <c r="WI235" i="1" s="1"/>
  <c r="WR235" i="1" s="1"/>
  <c r="XA235" i="1" s="1"/>
  <c r="XJ235" i="1" s="1"/>
  <c r="XS235" i="1" s="1"/>
  <c r="YB235" i="1" s="1"/>
  <c r="YK235" i="1" s="1"/>
  <c r="YT235" i="1" s="1"/>
  <c r="ZC235" i="1" s="1"/>
  <c r="ZL235" i="1" s="1"/>
  <c r="ZU235" i="1" s="1"/>
  <c r="AAD235" i="1" s="1"/>
  <c r="AAM235" i="1" s="1"/>
  <c r="AAV235" i="1" s="1"/>
  <c r="ABE235" i="1" s="1"/>
  <c r="NI235" i="1"/>
  <c r="NR236" i="1"/>
  <c r="OA236" i="1" s="1"/>
  <c r="OJ236" i="1" s="1"/>
  <c r="OS236" i="1" s="1"/>
  <c r="PB236" i="1" s="1"/>
  <c r="PK236" i="1" s="1"/>
  <c r="PT236" i="1" s="1"/>
  <c r="QC236" i="1" s="1"/>
  <c r="QL236" i="1" s="1"/>
  <c r="QU236" i="1" s="1"/>
  <c r="RD236" i="1" s="1"/>
  <c r="RM236" i="1" s="1"/>
  <c r="RV236" i="1" s="1"/>
  <c r="SE236" i="1" s="1"/>
  <c r="SN236" i="1" s="1"/>
  <c r="SW236" i="1" s="1"/>
  <c r="TF236" i="1" s="1"/>
  <c r="TO236" i="1" s="1"/>
  <c r="TX236" i="1" s="1"/>
  <c r="UG236" i="1" s="1"/>
  <c r="UP236" i="1" s="1"/>
  <c r="UY236" i="1" s="1"/>
  <c r="VH236" i="1" s="1"/>
  <c r="VQ236" i="1" s="1"/>
  <c r="VZ236" i="1" s="1"/>
  <c r="WI236" i="1" s="1"/>
  <c r="WR236" i="1" s="1"/>
  <c r="XA236" i="1" s="1"/>
  <c r="XJ236" i="1" s="1"/>
  <c r="XS236" i="1" s="1"/>
  <c r="YB236" i="1" s="1"/>
  <c r="YK236" i="1" s="1"/>
  <c r="YT236" i="1" s="1"/>
  <c r="ZC236" i="1" s="1"/>
  <c r="ZL236" i="1" s="1"/>
  <c r="ZU236" i="1" s="1"/>
  <c r="AAD236" i="1" s="1"/>
  <c r="AAM236" i="1" s="1"/>
  <c r="AAV236" i="1" s="1"/>
  <c r="ABE236" i="1" s="1"/>
  <c r="NI236" i="1"/>
  <c r="NR237" i="1"/>
  <c r="OA237" i="1" s="1"/>
  <c r="OJ237" i="1" s="1"/>
  <c r="OS237" i="1" s="1"/>
  <c r="PB237" i="1" s="1"/>
  <c r="PK237" i="1" s="1"/>
  <c r="PT237" i="1" s="1"/>
  <c r="QC237" i="1" s="1"/>
  <c r="QL237" i="1" s="1"/>
  <c r="QU237" i="1" s="1"/>
  <c r="RD237" i="1" s="1"/>
  <c r="RM237" i="1" s="1"/>
  <c r="RV237" i="1" s="1"/>
  <c r="SE237" i="1" s="1"/>
  <c r="SN237" i="1" s="1"/>
  <c r="SW237" i="1" s="1"/>
  <c r="TF237" i="1" s="1"/>
  <c r="TO237" i="1" s="1"/>
  <c r="TX237" i="1" s="1"/>
  <c r="UG237" i="1" s="1"/>
  <c r="UP237" i="1" s="1"/>
  <c r="UY237" i="1" s="1"/>
  <c r="VH237" i="1" s="1"/>
  <c r="VQ237" i="1" s="1"/>
  <c r="VZ237" i="1" s="1"/>
  <c r="WI237" i="1" s="1"/>
  <c r="WR237" i="1" s="1"/>
  <c r="XA237" i="1" s="1"/>
  <c r="XJ237" i="1" s="1"/>
  <c r="XS237" i="1" s="1"/>
  <c r="YB237" i="1" s="1"/>
  <c r="YK237" i="1" s="1"/>
  <c r="YT237" i="1" s="1"/>
  <c r="ZC237" i="1" s="1"/>
  <c r="ZL237" i="1" s="1"/>
  <c r="ZU237" i="1" s="1"/>
  <c r="AAD237" i="1" s="1"/>
  <c r="AAM237" i="1" s="1"/>
  <c r="AAV237" i="1" s="1"/>
  <c r="ABE237" i="1" s="1"/>
  <c r="NI237" i="1"/>
  <c r="NR238" i="1"/>
  <c r="OA238" i="1" s="1"/>
  <c r="OJ238" i="1" s="1"/>
  <c r="OS238" i="1" s="1"/>
  <c r="PB238" i="1" s="1"/>
  <c r="PK238" i="1" s="1"/>
  <c r="PT238" i="1" s="1"/>
  <c r="QC238" i="1" s="1"/>
  <c r="QL238" i="1" s="1"/>
  <c r="QU238" i="1" s="1"/>
  <c r="RD238" i="1" s="1"/>
  <c r="RM238" i="1" s="1"/>
  <c r="RV238" i="1" s="1"/>
  <c r="SE238" i="1" s="1"/>
  <c r="SN238" i="1" s="1"/>
  <c r="SW238" i="1" s="1"/>
  <c r="TF238" i="1" s="1"/>
  <c r="TO238" i="1" s="1"/>
  <c r="TX238" i="1" s="1"/>
  <c r="UG238" i="1" s="1"/>
  <c r="UP238" i="1" s="1"/>
  <c r="UY238" i="1" s="1"/>
  <c r="VH238" i="1" s="1"/>
  <c r="VQ238" i="1" s="1"/>
  <c r="VZ238" i="1" s="1"/>
  <c r="WI238" i="1" s="1"/>
  <c r="WR238" i="1" s="1"/>
  <c r="XA238" i="1" s="1"/>
  <c r="XJ238" i="1" s="1"/>
  <c r="XS238" i="1" s="1"/>
  <c r="YB238" i="1" s="1"/>
  <c r="YK238" i="1" s="1"/>
  <c r="YT238" i="1" s="1"/>
  <c r="ZC238" i="1" s="1"/>
  <c r="ZL238" i="1" s="1"/>
  <c r="ZU238" i="1" s="1"/>
  <c r="AAD238" i="1" s="1"/>
  <c r="AAM238" i="1" s="1"/>
  <c r="AAV238" i="1" s="1"/>
  <c r="ABE238" i="1" s="1"/>
  <c r="NI238" i="1"/>
  <c r="NR239" i="1"/>
  <c r="OA239" i="1" s="1"/>
  <c r="OJ239" i="1" s="1"/>
  <c r="OS239" i="1" s="1"/>
  <c r="PB239" i="1" s="1"/>
  <c r="PK239" i="1" s="1"/>
  <c r="PT239" i="1" s="1"/>
  <c r="QC239" i="1" s="1"/>
  <c r="QL239" i="1" s="1"/>
  <c r="QU239" i="1" s="1"/>
  <c r="RD239" i="1" s="1"/>
  <c r="RM239" i="1" s="1"/>
  <c r="RV239" i="1" s="1"/>
  <c r="SE239" i="1" s="1"/>
  <c r="SN239" i="1" s="1"/>
  <c r="SW239" i="1" s="1"/>
  <c r="TF239" i="1" s="1"/>
  <c r="TO239" i="1" s="1"/>
  <c r="TX239" i="1" s="1"/>
  <c r="UG239" i="1" s="1"/>
  <c r="UP239" i="1" s="1"/>
  <c r="UY239" i="1" s="1"/>
  <c r="VH239" i="1" s="1"/>
  <c r="VQ239" i="1" s="1"/>
  <c r="VZ239" i="1" s="1"/>
  <c r="WI239" i="1" s="1"/>
  <c r="WR239" i="1" s="1"/>
  <c r="XA239" i="1" s="1"/>
  <c r="XJ239" i="1" s="1"/>
  <c r="XS239" i="1" s="1"/>
  <c r="YB239" i="1" s="1"/>
  <c r="YK239" i="1" s="1"/>
  <c r="YT239" i="1" s="1"/>
  <c r="ZC239" i="1" s="1"/>
  <c r="ZL239" i="1" s="1"/>
  <c r="ZU239" i="1" s="1"/>
  <c r="AAD239" i="1" s="1"/>
  <c r="AAM239" i="1" s="1"/>
  <c r="AAV239" i="1" s="1"/>
  <c r="ABE239" i="1" s="1"/>
  <c r="NI239" i="1"/>
  <c r="NR240" i="1"/>
  <c r="OA240" i="1" s="1"/>
  <c r="OJ240" i="1" s="1"/>
  <c r="OS240" i="1" s="1"/>
  <c r="PB240" i="1" s="1"/>
  <c r="PK240" i="1" s="1"/>
  <c r="PT240" i="1" s="1"/>
  <c r="QC240" i="1" s="1"/>
  <c r="QL240" i="1" s="1"/>
  <c r="QU240" i="1" s="1"/>
  <c r="RD240" i="1" s="1"/>
  <c r="RM240" i="1" s="1"/>
  <c r="RV240" i="1" s="1"/>
  <c r="SE240" i="1" s="1"/>
  <c r="SN240" i="1" s="1"/>
  <c r="SW240" i="1" s="1"/>
  <c r="TF240" i="1" s="1"/>
  <c r="TO240" i="1" s="1"/>
  <c r="TX240" i="1" s="1"/>
  <c r="UG240" i="1" s="1"/>
  <c r="UP240" i="1" s="1"/>
  <c r="UY240" i="1" s="1"/>
  <c r="VH240" i="1" s="1"/>
  <c r="VQ240" i="1" s="1"/>
  <c r="VZ240" i="1" s="1"/>
  <c r="WI240" i="1" s="1"/>
  <c r="WR240" i="1" s="1"/>
  <c r="XA240" i="1" s="1"/>
  <c r="XJ240" i="1" s="1"/>
  <c r="XS240" i="1" s="1"/>
  <c r="YB240" i="1" s="1"/>
  <c r="YK240" i="1" s="1"/>
  <c r="YT240" i="1" s="1"/>
  <c r="ZC240" i="1" s="1"/>
  <c r="ZL240" i="1" s="1"/>
  <c r="ZU240" i="1" s="1"/>
  <c r="AAD240" i="1" s="1"/>
  <c r="AAM240" i="1" s="1"/>
  <c r="AAV240" i="1" s="1"/>
  <c r="ABE240" i="1" s="1"/>
  <c r="NI240" i="1"/>
  <c r="NR241" i="1"/>
  <c r="OA241" i="1" s="1"/>
  <c r="OJ241" i="1" s="1"/>
  <c r="OS241" i="1" s="1"/>
  <c r="PB241" i="1" s="1"/>
  <c r="PK241" i="1" s="1"/>
  <c r="PT241" i="1" s="1"/>
  <c r="QC241" i="1" s="1"/>
  <c r="QL241" i="1" s="1"/>
  <c r="QU241" i="1" s="1"/>
  <c r="RD241" i="1" s="1"/>
  <c r="RM241" i="1" s="1"/>
  <c r="RV241" i="1" s="1"/>
  <c r="SE241" i="1" s="1"/>
  <c r="SN241" i="1" s="1"/>
  <c r="SW241" i="1" s="1"/>
  <c r="TF241" i="1" s="1"/>
  <c r="TO241" i="1" s="1"/>
  <c r="TX241" i="1" s="1"/>
  <c r="UG241" i="1" s="1"/>
  <c r="UP241" i="1" s="1"/>
  <c r="UY241" i="1" s="1"/>
  <c r="VH241" i="1" s="1"/>
  <c r="VQ241" i="1" s="1"/>
  <c r="VZ241" i="1" s="1"/>
  <c r="WI241" i="1" s="1"/>
  <c r="WR241" i="1" s="1"/>
  <c r="XA241" i="1" s="1"/>
  <c r="XJ241" i="1" s="1"/>
  <c r="XS241" i="1" s="1"/>
  <c r="YB241" i="1" s="1"/>
  <c r="YK241" i="1" s="1"/>
  <c r="YT241" i="1" s="1"/>
  <c r="ZC241" i="1" s="1"/>
  <c r="ZL241" i="1" s="1"/>
  <c r="ZU241" i="1" s="1"/>
  <c r="AAD241" i="1" s="1"/>
  <c r="AAM241" i="1" s="1"/>
  <c r="AAV241" i="1" s="1"/>
  <c r="ABE241" i="1" s="1"/>
  <c r="NI241" i="1"/>
  <c r="NR242" i="1"/>
  <c r="OA242" i="1" s="1"/>
  <c r="OJ242" i="1" s="1"/>
  <c r="OS242" i="1" s="1"/>
  <c r="PB242" i="1" s="1"/>
  <c r="PK242" i="1" s="1"/>
  <c r="PT242" i="1" s="1"/>
  <c r="QC242" i="1" s="1"/>
  <c r="QL242" i="1" s="1"/>
  <c r="QU242" i="1" s="1"/>
  <c r="RD242" i="1" s="1"/>
  <c r="RM242" i="1" s="1"/>
  <c r="RV242" i="1" s="1"/>
  <c r="SE242" i="1" s="1"/>
  <c r="SN242" i="1" s="1"/>
  <c r="SW242" i="1" s="1"/>
  <c r="TF242" i="1" s="1"/>
  <c r="TO242" i="1" s="1"/>
  <c r="TX242" i="1" s="1"/>
  <c r="UG242" i="1" s="1"/>
  <c r="UP242" i="1" s="1"/>
  <c r="UY242" i="1" s="1"/>
  <c r="VH242" i="1" s="1"/>
  <c r="VQ242" i="1" s="1"/>
  <c r="VZ242" i="1" s="1"/>
  <c r="WI242" i="1" s="1"/>
  <c r="WR242" i="1" s="1"/>
  <c r="XA242" i="1" s="1"/>
  <c r="XJ242" i="1" s="1"/>
  <c r="XS242" i="1" s="1"/>
  <c r="YB242" i="1" s="1"/>
  <c r="YK242" i="1" s="1"/>
  <c r="YT242" i="1" s="1"/>
  <c r="ZC242" i="1" s="1"/>
  <c r="ZL242" i="1" s="1"/>
  <c r="ZU242" i="1" s="1"/>
  <c r="AAD242" i="1" s="1"/>
  <c r="AAM242" i="1" s="1"/>
  <c r="AAV242" i="1" s="1"/>
  <c r="ABE242" i="1" s="1"/>
  <c r="NI242" i="1"/>
  <c r="NR243" i="1"/>
  <c r="OA243" i="1" s="1"/>
  <c r="OJ243" i="1" s="1"/>
  <c r="OS243" i="1" s="1"/>
  <c r="PB243" i="1" s="1"/>
  <c r="PK243" i="1" s="1"/>
  <c r="PT243" i="1" s="1"/>
  <c r="QC243" i="1" s="1"/>
  <c r="QL243" i="1" s="1"/>
  <c r="QU243" i="1" s="1"/>
  <c r="RD243" i="1" s="1"/>
  <c r="RM243" i="1" s="1"/>
  <c r="RV243" i="1" s="1"/>
  <c r="SE243" i="1" s="1"/>
  <c r="SN243" i="1" s="1"/>
  <c r="SW243" i="1" s="1"/>
  <c r="TF243" i="1" s="1"/>
  <c r="TO243" i="1" s="1"/>
  <c r="TX243" i="1" s="1"/>
  <c r="UG243" i="1" s="1"/>
  <c r="UP243" i="1" s="1"/>
  <c r="UY243" i="1" s="1"/>
  <c r="VH243" i="1" s="1"/>
  <c r="VQ243" i="1" s="1"/>
  <c r="VZ243" i="1" s="1"/>
  <c r="WI243" i="1" s="1"/>
  <c r="WR243" i="1" s="1"/>
  <c r="XA243" i="1" s="1"/>
  <c r="XJ243" i="1" s="1"/>
  <c r="XS243" i="1" s="1"/>
  <c r="YB243" i="1" s="1"/>
  <c r="YK243" i="1" s="1"/>
  <c r="YT243" i="1" s="1"/>
  <c r="ZC243" i="1" s="1"/>
  <c r="ZL243" i="1" s="1"/>
  <c r="ZU243" i="1" s="1"/>
  <c r="AAD243" i="1" s="1"/>
  <c r="AAM243" i="1" s="1"/>
  <c r="AAV243" i="1" s="1"/>
  <c r="ABE243" i="1" s="1"/>
  <c r="NI243" i="1"/>
  <c r="NR244" i="1"/>
  <c r="OA244" i="1" s="1"/>
  <c r="OJ244" i="1" s="1"/>
  <c r="OS244" i="1" s="1"/>
  <c r="PB244" i="1" s="1"/>
  <c r="PK244" i="1" s="1"/>
  <c r="PT244" i="1" s="1"/>
  <c r="QC244" i="1" s="1"/>
  <c r="QL244" i="1" s="1"/>
  <c r="QU244" i="1" s="1"/>
  <c r="RD244" i="1" s="1"/>
  <c r="RM244" i="1" s="1"/>
  <c r="RV244" i="1" s="1"/>
  <c r="SE244" i="1" s="1"/>
  <c r="SN244" i="1" s="1"/>
  <c r="SW244" i="1" s="1"/>
  <c r="TF244" i="1" s="1"/>
  <c r="TO244" i="1" s="1"/>
  <c r="TX244" i="1" s="1"/>
  <c r="UG244" i="1" s="1"/>
  <c r="UP244" i="1" s="1"/>
  <c r="UY244" i="1" s="1"/>
  <c r="VH244" i="1" s="1"/>
  <c r="VQ244" i="1" s="1"/>
  <c r="VZ244" i="1" s="1"/>
  <c r="WI244" i="1" s="1"/>
  <c r="WR244" i="1" s="1"/>
  <c r="XA244" i="1" s="1"/>
  <c r="XJ244" i="1" s="1"/>
  <c r="XS244" i="1" s="1"/>
  <c r="YB244" i="1" s="1"/>
  <c r="YK244" i="1" s="1"/>
  <c r="YT244" i="1" s="1"/>
  <c r="ZC244" i="1" s="1"/>
  <c r="ZL244" i="1" s="1"/>
  <c r="ZU244" i="1" s="1"/>
  <c r="AAD244" i="1" s="1"/>
  <c r="AAM244" i="1" s="1"/>
  <c r="AAV244" i="1" s="1"/>
  <c r="ABE244" i="1" s="1"/>
  <c r="NI244" i="1"/>
  <c r="NR245" i="1"/>
  <c r="OA245" i="1" s="1"/>
  <c r="OJ245" i="1" s="1"/>
  <c r="OS245" i="1" s="1"/>
  <c r="PB245" i="1" s="1"/>
  <c r="PK245" i="1" s="1"/>
  <c r="PT245" i="1" s="1"/>
  <c r="QC245" i="1" s="1"/>
  <c r="QL245" i="1" s="1"/>
  <c r="QU245" i="1" s="1"/>
  <c r="RD245" i="1" s="1"/>
  <c r="RM245" i="1" s="1"/>
  <c r="RV245" i="1" s="1"/>
  <c r="SE245" i="1" s="1"/>
  <c r="SN245" i="1" s="1"/>
  <c r="SW245" i="1" s="1"/>
  <c r="TF245" i="1" s="1"/>
  <c r="TO245" i="1" s="1"/>
  <c r="TX245" i="1" s="1"/>
  <c r="UG245" i="1" s="1"/>
  <c r="UP245" i="1" s="1"/>
  <c r="UY245" i="1" s="1"/>
  <c r="VH245" i="1" s="1"/>
  <c r="VQ245" i="1" s="1"/>
  <c r="VZ245" i="1" s="1"/>
  <c r="WI245" i="1" s="1"/>
  <c r="WR245" i="1" s="1"/>
  <c r="XA245" i="1" s="1"/>
  <c r="XJ245" i="1" s="1"/>
  <c r="XS245" i="1" s="1"/>
  <c r="YB245" i="1" s="1"/>
  <c r="YK245" i="1" s="1"/>
  <c r="YT245" i="1" s="1"/>
  <c r="ZC245" i="1" s="1"/>
  <c r="ZL245" i="1" s="1"/>
  <c r="ZU245" i="1" s="1"/>
  <c r="AAD245" i="1" s="1"/>
  <c r="AAM245" i="1" s="1"/>
  <c r="AAV245" i="1" s="1"/>
  <c r="ABE245" i="1" s="1"/>
  <c r="NI245" i="1"/>
  <c r="NR246" i="1"/>
  <c r="OA246" i="1" s="1"/>
  <c r="OJ246" i="1" s="1"/>
  <c r="OS246" i="1" s="1"/>
  <c r="PB246" i="1" s="1"/>
  <c r="PK246" i="1" s="1"/>
  <c r="PT246" i="1" s="1"/>
  <c r="QC246" i="1" s="1"/>
  <c r="QL246" i="1" s="1"/>
  <c r="QU246" i="1" s="1"/>
  <c r="RD246" i="1" s="1"/>
  <c r="RM246" i="1" s="1"/>
  <c r="RV246" i="1" s="1"/>
  <c r="SE246" i="1" s="1"/>
  <c r="SN246" i="1" s="1"/>
  <c r="SW246" i="1" s="1"/>
  <c r="TF246" i="1" s="1"/>
  <c r="TO246" i="1" s="1"/>
  <c r="TX246" i="1" s="1"/>
  <c r="UG246" i="1" s="1"/>
  <c r="UP246" i="1" s="1"/>
  <c r="UY246" i="1" s="1"/>
  <c r="VH246" i="1" s="1"/>
  <c r="VQ246" i="1" s="1"/>
  <c r="VZ246" i="1" s="1"/>
  <c r="WI246" i="1" s="1"/>
  <c r="WR246" i="1" s="1"/>
  <c r="XA246" i="1" s="1"/>
  <c r="XJ246" i="1" s="1"/>
  <c r="XS246" i="1" s="1"/>
  <c r="YB246" i="1" s="1"/>
  <c r="YK246" i="1" s="1"/>
  <c r="YT246" i="1" s="1"/>
  <c r="ZC246" i="1" s="1"/>
  <c r="ZL246" i="1" s="1"/>
  <c r="ZU246" i="1" s="1"/>
  <c r="AAD246" i="1" s="1"/>
  <c r="AAM246" i="1" s="1"/>
  <c r="AAV246" i="1" s="1"/>
  <c r="ABE246" i="1" s="1"/>
  <c r="NI246" i="1"/>
  <c r="NR247" i="1"/>
  <c r="OA247" i="1" s="1"/>
  <c r="OJ247" i="1" s="1"/>
  <c r="OS247" i="1" s="1"/>
  <c r="PB247" i="1" s="1"/>
  <c r="PK247" i="1" s="1"/>
  <c r="PT247" i="1" s="1"/>
  <c r="QC247" i="1" s="1"/>
  <c r="QL247" i="1" s="1"/>
  <c r="QU247" i="1" s="1"/>
  <c r="RD247" i="1" s="1"/>
  <c r="RM247" i="1" s="1"/>
  <c r="RV247" i="1" s="1"/>
  <c r="SE247" i="1" s="1"/>
  <c r="SN247" i="1" s="1"/>
  <c r="SW247" i="1" s="1"/>
  <c r="TF247" i="1" s="1"/>
  <c r="TO247" i="1" s="1"/>
  <c r="TX247" i="1" s="1"/>
  <c r="UG247" i="1" s="1"/>
  <c r="UP247" i="1" s="1"/>
  <c r="UY247" i="1" s="1"/>
  <c r="VH247" i="1" s="1"/>
  <c r="VQ247" i="1" s="1"/>
  <c r="VZ247" i="1" s="1"/>
  <c r="WI247" i="1" s="1"/>
  <c r="WR247" i="1" s="1"/>
  <c r="XA247" i="1" s="1"/>
  <c r="XJ247" i="1" s="1"/>
  <c r="XS247" i="1" s="1"/>
  <c r="YB247" i="1" s="1"/>
  <c r="YK247" i="1" s="1"/>
  <c r="YT247" i="1" s="1"/>
  <c r="ZC247" i="1" s="1"/>
  <c r="ZL247" i="1" s="1"/>
  <c r="ZU247" i="1" s="1"/>
  <c r="AAD247" i="1" s="1"/>
  <c r="AAM247" i="1" s="1"/>
  <c r="AAV247" i="1" s="1"/>
  <c r="ABE247" i="1" s="1"/>
  <c r="NI247" i="1"/>
  <c r="NR248" i="1"/>
  <c r="OA248" i="1" s="1"/>
  <c r="OJ248" i="1" s="1"/>
  <c r="OS248" i="1" s="1"/>
  <c r="PB248" i="1" s="1"/>
  <c r="PK248" i="1" s="1"/>
  <c r="PT248" i="1" s="1"/>
  <c r="QC248" i="1" s="1"/>
  <c r="QL248" i="1" s="1"/>
  <c r="QU248" i="1" s="1"/>
  <c r="RD248" i="1" s="1"/>
  <c r="RM248" i="1" s="1"/>
  <c r="RV248" i="1" s="1"/>
  <c r="SE248" i="1" s="1"/>
  <c r="SN248" i="1" s="1"/>
  <c r="SW248" i="1" s="1"/>
  <c r="TF248" i="1" s="1"/>
  <c r="TO248" i="1" s="1"/>
  <c r="TX248" i="1" s="1"/>
  <c r="UG248" i="1" s="1"/>
  <c r="UP248" i="1" s="1"/>
  <c r="UY248" i="1" s="1"/>
  <c r="VH248" i="1" s="1"/>
  <c r="VQ248" i="1" s="1"/>
  <c r="VZ248" i="1" s="1"/>
  <c r="WI248" i="1" s="1"/>
  <c r="WR248" i="1" s="1"/>
  <c r="XA248" i="1" s="1"/>
  <c r="XJ248" i="1" s="1"/>
  <c r="XS248" i="1" s="1"/>
  <c r="YB248" i="1" s="1"/>
  <c r="YK248" i="1" s="1"/>
  <c r="YT248" i="1" s="1"/>
  <c r="ZC248" i="1" s="1"/>
  <c r="ZL248" i="1" s="1"/>
  <c r="ZU248" i="1" s="1"/>
  <c r="AAD248" i="1" s="1"/>
  <c r="AAM248" i="1" s="1"/>
  <c r="AAV248" i="1" s="1"/>
  <c r="ABE248" i="1" s="1"/>
  <c r="NI248" i="1"/>
  <c r="NR218" i="1"/>
  <c r="OA218" i="1" s="1"/>
  <c r="OJ218" i="1" s="1"/>
  <c r="OS218" i="1" s="1"/>
  <c r="PB218" i="1" s="1"/>
  <c r="PK218" i="1" s="1"/>
  <c r="PT218" i="1" s="1"/>
  <c r="QC218" i="1" s="1"/>
  <c r="QL218" i="1" s="1"/>
  <c r="QU218" i="1" s="1"/>
  <c r="RD218" i="1" s="1"/>
  <c r="RM218" i="1" s="1"/>
  <c r="RV218" i="1" s="1"/>
  <c r="SE218" i="1" s="1"/>
  <c r="SN218" i="1" s="1"/>
  <c r="SW218" i="1" s="1"/>
  <c r="TF218" i="1" s="1"/>
  <c r="TO218" i="1" s="1"/>
  <c r="TX218" i="1" s="1"/>
  <c r="UG218" i="1" s="1"/>
  <c r="UP218" i="1" s="1"/>
  <c r="UY218" i="1" s="1"/>
  <c r="VH218" i="1" s="1"/>
  <c r="VQ218" i="1" s="1"/>
  <c r="VZ218" i="1" s="1"/>
  <c r="WI218" i="1" s="1"/>
  <c r="WR218" i="1" s="1"/>
  <c r="XA218" i="1" s="1"/>
  <c r="XJ218" i="1" s="1"/>
  <c r="XS218" i="1" s="1"/>
  <c r="YB218" i="1" s="1"/>
  <c r="YK218" i="1" s="1"/>
  <c r="YT218" i="1" s="1"/>
  <c r="ZC218" i="1" s="1"/>
  <c r="ZL218" i="1" s="1"/>
  <c r="ZU218" i="1" s="1"/>
  <c r="AAD218" i="1" s="1"/>
  <c r="AAM218" i="1" s="1"/>
  <c r="AAV218" i="1" s="1"/>
  <c r="ABE218" i="1" s="1"/>
  <c r="NI218" i="1"/>
  <c r="NR192" i="1"/>
  <c r="OA192" i="1" s="1"/>
  <c r="OJ192" i="1" s="1"/>
  <c r="OS192" i="1" s="1"/>
  <c r="PB192" i="1" s="1"/>
  <c r="PK192" i="1" s="1"/>
  <c r="PT192" i="1" s="1"/>
  <c r="QC192" i="1" s="1"/>
  <c r="QL192" i="1" s="1"/>
  <c r="QU192" i="1" s="1"/>
  <c r="RD192" i="1" s="1"/>
  <c r="RM192" i="1" s="1"/>
  <c r="RV192" i="1" s="1"/>
  <c r="SE192" i="1" s="1"/>
  <c r="SN192" i="1" s="1"/>
  <c r="SW192" i="1" s="1"/>
  <c r="TF192" i="1" s="1"/>
  <c r="TO192" i="1" s="1"/>
  <c r="TX192" i="1" s="1"/>
  <c r="UG192" i="1" s="1"/>
  <c r="UP192" i="1" s="1"/>
  <c r="UY192" i="1" s="1"/>
  <c r="VH192" i="1" s="1"/>
  <c r="VQ192" i="1" s="1"/>
  <c r="VZ192" i="1" s="1"/>
  <c r="WI192" i="1" s="1"/>
  <c r="WR192" i="1" s="1"/>
  <c r="XA192" i="1" s="1"/>
  <c r="XJ192" i="1" s="1"/>
  <c r="XS192" i="1" s="1"/>
  <c r="YB192" i="1" s="1"/>
  <c r="YK192" i="1" s="1"/>
  <c r="YT192" i="1" s="1"/>
  <c r="ZC192" i="1" s="1"/>
  <c r="ZL192" i="1" s="1"/>
  <c r="ZU192" i="1" s="1"/>
  <c r="AAD192" i="1" s="1"/>
  <c r="AAM192" i="1" s="1"/>
  <c r="AAV192" i="1" s="1"/>
  <c r="ABE192" i="1" s="1"/>
  <c r="NI192" i="1"/>
  <c r="NR183" i="1"/>
  <c r="OA183" i="1" s="1"/>
  <c r="OJ183" i="1" s="1"/>
  <c r="OS183" i="1" s="1"/>
  <c r="PB183" i="1" s="1"/>
  <c r="PK183" i="1" s="1"/>
  <c r="PT183" i="1" s="1"/>
  <c r="QC183" i="1" s="1"/>
  <c r="QL183" i="1" s="1"/>
  <c r="QU183" i="1" s="1"/>
  <c r="RD183" i="1" s="1"/>
  <c r="RM183" i="1" s="1"/>
  <c r="RV183" i="1" s="1"/>
  <c r="SE183" i="1" s="1"/>
  <c r="SN183" i="1" s="1"/>
  <c r="SW183" i="1" s="1"/>
  <c r="TF183" i="1" s="1"/>
  <c r="TO183" i="1" s="1"/>
  <c r="TX183" i="1" s="1"/>
  <c r="UG183" i="1" s="1"/>
  <c r="UP183" i="1" s="1"/>
  <c r="UY183" i="1" s="1"/>
  <c r="VH183" i="1" s="1"/>
  <c r="VQ183" i="1" s="1"/>
  <c r="VZ183" i="1" s="1"/>
  <c r="WI183" i="1" s="1"/>
  <c r="WR183" i="1" s="1"/>
  <c r="XA183" i="1" s="1"/>
  <c r="XJ183" i="1" s="1"/>
  <c r="XS183" i="1" s="1"/>
  <c r="YB183" i="1" s="1"/>
  <c r="YK183" i="1" s="1"/>
  <c r="YT183" i="1" s="1"/>
  <c r="ZC183" i="1" s="1"/>
  <c r="ZL183" i="1" s="1"/>
  <c r="ZU183" i="1" s="1"/>
  <c r="AAD183" i="1" s="1"/>
  <c r="AAM183" i="1" s="1"/>
  <c r="AAV183" i="1" s="1"/>
  <c r="ABE183" i="1" s="1"/>
  <c r="NI183" i="1"/>
  <c r="NR191" i="1"/>
  <c r="OA191" i="1" s="1"/>
  <c r="OJ191" i="1" s="1"/>
  <c r="OS191" i="1" s="1"/>
  <c r="PB191" i="1" s="1"/>
  <c r="PK191" i="1" s="1"/>
  <c r="PT191" i="1" s="1"/>
  <c r="QC191" i="1" s="1"/>
  <c r="QL191" i="1" s="1"/>
  <c r="QU191" i="1" s="1"/>
  <c r="RD191" i="1" s="1"/>
  <c r="RM191" i="1" s="1"/>
  <c r="RV191" i="1" s="1"/>
  <c r="SE191" i="1" s="1"/>
  <c r="SN191" i="1" s="1"/>
  <c r="SW191" i="1" s="1"/>
  <c r="TF191" i="1" s="1"/>
  <c r="TO191" i="1" s="1"/>
  <c r="TX191" i="1" s="1"/>
  <c r="UG191" i="1" s="1"/>
  <c r="UP191" i="1" s="1"/>
  <c r="UY191" i="1" s="1"/>
  <c r="VH191" i="1" s="1"/>
  <c r="VQ191" i="1" s="1"/>
  <c r="VZ191" i="1" s="1"/>
  <c r="WI191" i="1" s="1"/>
  <c r="WR191" i="1" s="1"/>
  <c r="XA191" i="1" s="1"/>
  <c r="XJ191" i="1" s="1"/>
  <c r="XS191" i="1" s="1"/>
  <c r="YB191" i="1" s="1"/>
  <c r="YK191" i="1" s="1"/>
  <c r="YT191" i="1" s="1"/>
  <c r="ZC191" i="1" s="1"/>
  <c r="ZL191" i="1" s="1"/>
  <c r="ZU191" i="1" s="1"/>
  <c r="AAD191" i="1" s="1"/>
  <c r="AAM191" i="1" s="1"/>
  <c r="AAV191" i="1" s="1"/>
  <c r="ABE191" i="1" s="1"/>
  <c r="NI191" i="1"/>
  <c r="NR197" i="1"/>
  <c r="OA197" i="1" s="1"/>
  <c r="OJ197" i="1" s="1"/>
  <c r="OS197" i="1" s="1"/>
  <c r="PB197" i="1" s="1"/>
  <c r="PK197" i="1" s="1"/>
  <c r="PT197" i="1" s="1"/>
  <c r="QC197" i="1" s="1"/>
  <c r="QL197" i="1" s="1"/>
  <c r="QU197" i="1" s="1"/>
  <c r="RD197" i="1" s="1"/>
  <c r="RM197" i="1" s="1"/>
  <c r="RV197" i="1" s="1"/>
  <c r="SE197" i="1" s="1"/>
  <c r="SN197" i="1" s="1"/>
  <c r="SW197" i="1" s="1"/>
  <c r="TF197" i="1" s="1"/>
  <c r="TO197" i="1" s="1"/>
  <c r="TX197" i="1" s="1"/>
  <c r="UG197" i="1" s="1"/>
  <c r="UP197" i="1" s="1"/>
  <c r="UY197" i="1" s="1"/>
  <c r="VH197" i="1" s="1"/>
  <c r="VQ197" i="1" s="1"/>
  <c r="VZ197" i="1" s="1"/>
  <c r="WI197" i="1" s="1"/>
  <c r="WR197" i="1" s="1"/>
  <c r="XA197" i="1" s="1"/>
  <c r="XJ197" i="1" s="1"/>
  <c r="XS197" i="1" s="1"/>
  <c r="YB197" i="1" s="1"/>
  <c r="YK197" i="1" s="1"/>
  <c r="YT197" i="1" s="1"/>
  <c r="ZC197" i="1" s="1"/>
  <c r="ZL197" i="1" s="1"/>
  <c r="ZU197" i="1" s="1"/>
  <c r="AAD197" i="1" s="1"/>
  <c r="AAM197" i="1" s="1"/>
  <c r="AAV197" i="1" s="1"/>
  <c r="ABE197" i="1" s="1"/>
  <c r="NI197" i="1"/>
  <c r="NI207" i="1"/>
  <c r="NR207" i="1"/>
  <c r="OA207" i="1" s="1"/>
  <c r="OJ207" i="1" s="1"/>
  <c r="OS207" i="1" s="1"/>
  <c r="PB207" i="1" s="1"/>
  <c r="PK207" i="1" s="1"/>
  <c r="PT207" i="1" s="1"/>
  <c r="QC207" i="1" s="1"/>
  <c r="QL207" i="1" s="1"/>
  <c r="QU207" i="1" s="1"/>
  <c r="RD207" i="1" s="1"/>
  <c r="RM207" i="1" s="1"/>
  <c r="RV207" i="1" s="1"/>
  <c r="SE207" i="1" s="1"/>
  <c r="SN207" i="1" s="1"/>
  <c r="SW207" i="1" s="1"/>
  <c r="TF207" i="1" s="1"/>
  <c r="TO207" i="1" s="1"/>
  <c r="TX207" i="1" s="1"/>
  <c r="UG207" i="1" s="1"/>
  <c r="UP207" i="1" s="1"/>
  <c r="UY207" i="1" s="1"/>
  <c r="VH207" i="1" s="1"/>
  <c r="VQ207" i="1" s="1"/>
  <c r="VZ207" i="1" s="1"/>
  <c r="WI207" i="1" s="1"/>
  <c r="WR207" i="1" s="1"/>
  <c r="XA207" i="1" s="1"/>
  <c r="XJ207" i="1" s="1"/>
  <c r="XS207" i="1" s="1"/>
  <c r="YB207" i="1" s="1"/>
  <c r="YK207" i="1" s="1"/>
  <c r="YT207" i="1" s="1"/>
  <c r="ZC207" i="1" s="1"/>
  <c r="ZL207" i="1" s="1"/>
  <c r="ZU207" i="1" s="1"/>
  <c r="AAD207" i="1" s="1"/>
  <c r="AAM207" i="1" s="1"/>
  <c r="AAV207" i="1" s="1"/>
  <c r="ABE207" i="1" s="1"/>
  <c r="NI208" i="1"/>
  <c r="NR208" i="1"/>
  <c r="OA208" i="1" s="1"/>
  <c r="OJ208" i="1" s="1"/>
  <c r="OS208" i="1" s="1"/>
  <c r="PB208" i="1" s="1"/>
  <c r="PK208" i="1" s="1"/>
  <c r="PT208" i="1" s="1"/>
  <c r="QC208" i="1" s="1"/>
  <c r="QL208" i="1" s="1"/>
  <c r="QU208" i="1" s="1"/>
  <c r="RD208" i="1" s="1"/>
  <c r="RM208" i="1" s="1"/>
  <c r="RV208" i="1" s="1"/>
  <c r="SE208" i="1" s="1"/>
  <c r="SN208" i="1" s="1"/>
  <c r="SW208" i="1" s="1"/>
  <c r="TF208" i="1" s="1"/>
  <c r="TO208" i="1" s="1"/>
  <c r="TX208" i="1" s="1"/>
  <c r="UG208" i="1" s="1"/>
  <c r="UP208" i="1" s="1"/>
  <c r="UY208" i="1" s="1"/>
  <c r="VH208" i="1" s="1"/>
  <c r="VQ208" i="1" s="1"/>
  <c r="VZ208" i="1" s="1"/>
  <c r="WI208" i="1" s="1"/>
  <c r="WR208" i="1" s="1"/>
  <c r="XA208" i="1" s="1"/>
  <c r="XJ208" i="1" s="1"/>
  <c r="XS208" i="1" s="1"/>
  <c r="YB208" i="1" s="1"/>
  <c r="YK208" i="1" s="1"/>
  <c r="YT208" i="1" s="1"/>
  <c r="ZC208" i="1" s="1"/>
  <c r="ZL208" i="1" s="1"/>
  <c r="ZU208" i="1" s="1"/>
  <c r="AAD208" i="1" s="1"/>
  <c r="AAM208" i="1" s="1"/>
  <c r="AAV208" i="1" s="1"/>
  <c r="ABE208" i="1" s="1"/>
  <c r="NI209" i="1"/>
  <c r="NR209" i="1"/>
  <c r="OA209" i="1" s="1"/>
  <c r="OJ209" i="1" s="1"/>
  <c r="OS209" i="1" s="1"/>
  <c r="PB209" i="1" s="1"/>
  <c r="PK209" i="1" s="1"/>
  <c r="PT209" i="1" s="1"/>
  <c r="QC209" i="1" s="1"/>
  <c r="QL209" i="1" s="1"/>
  <c r="QU209" i="1" s="1"/>
  <c r="RD209" i="1" s="1"/>
  <c r="RM209" i="1" s="1"/>
  <c r="RV209" i="1" s="1"/>
  <c r="SE209" i="1" s="1"/>
  <c r="SN209" i="1" s="1"/>
  <c r="SW209" i="1" s="1"/>
  <c r="TF209" i="1" s="1"/>
  <c r="TO209" i="1" s="1"/>
  <c r="TX209" i="1" s="1"/>
  <c r="UG209" i="1" s="1"/>
  <c r="UP209" i="1" s="1"/>
  <c r="UY209" i="1" s="1"/>
  <c r="VH209" i="1" s="1"/>
  <c r="VQ209" i="1" s="1"/>
  <c r="VZ209" i="1" s="1"/>
  <c r="WI209" i="1" s="1"/>
  <c r="WR209" i="1" s="1"/>
  <c r="XA209" i="1" s="1"/>
  <c r="XJ209" i="1" s="1"/>
  <c r="XS209" i="1" s="1"/>
  <c r="YB209" i="1" s="1"/>
  <c r="YK209" i="1" s="1"/>
  <c r="YT209" i="1" s="1"/>
  <c r="ZC209" i="1" s="1"/>
  <c r="ZL209" i="1" s="1"/>
  <c r="ZU209" i="1" s="1"/>
  <c r="AAD209" i="1" s="1"/>
  <c r="AAM209" i="1" s="1"/>
  <c r="AAV209" i="1" s="1"/>
  <c r="ABE209" i="1" s="1"/>
  <c r="NI210" i="1"/>
  <c r="NR210" i="1"/>
  <c r="OA210" i="1" s="1"/>
  <c r="OJ210" i="1" s="1"/>
  <c r="OS210" i="1" s="1"/>
  <c r="PB210" i="1" s="1"/>
  <c r="PK210" i="1" s="1"/>
  <c r="PT210" i="1" s="1"/>
  <c r="QC210" i="1" s="1"/>
  <c r="QL210" i="1" s="1"/>
  <c r="QU210" i="1" s="1"/>
  <c r="RD210" i="1" s="1"/>
  <c r="RM210" i="1" s="1"/>
  <c r="RV210" i="1" s="1"/>
  <c r="SE210" i="1" s="1"/>
  <c r="SN210" i="1" s="1"/>
  <c r="SW210" i="1" s="1"/>
  <c r="TF210" i="1" s="1"/>
  <c r="TO210" i="1" s="1"/>
  <c r="TX210" i="1" s="1"/>
  <c r="UG210" i="1" s="1"/>
  <c r="UP210" i="1" s="1"/>
  <c r="UY210" i="1" s="1"/>
  <c r="VH210" i="1" s="1"/>
  <c r="VQ210" i="1" s="1"/>
  <c r="VZ210" i="1" s="1"/>
  <c r="WI210" i="1" s="1"/>
  <c r="WR210" i="1" s="1"/>
  <c r="XA210" i="1" s="1"/>
  <c r="XJ210" i="1" s="1"/>
  <c r="XS210" i="1" s="1"/>
  <c r="YB210" i="1" s="1"/>
  <c r="YK210" i="1" s="1"/>
  <c r="YT210" i="1" s="1"/>
  <c r="ZC210" i="1" s="1"/>
  <c r="ZL210" i="1" s="1"/>
  <c r="ZU210" i="1" s="1"/>
  <c r="AAD210" i="1" s="1"/>
  <c r="AAM210" i="1" s="1"/>
  <c r="AAV210" i="1" s="1"/>
  <c r="ABE210" i="1" s="1"/>
  <c r="NI211" i="1"/>
  <c r="NR211" i="1"/>
  <c r="OA211" i="1" s="1"/>
  <c r="OJ211" i="1" s="1"/>
  <c r="OS211" i="1" s="1"/>
  <c r="PB211" i="1" s="1"/>
  <c r="PK211" i="1" s="1"/>
  <c r="PT211" i="1" s="1"/>
  <c r="QC211" i="1" s="1"/>
  <c r="QL211" i="1" s="1"/>
  <c r="QU211" i="1" s="1"/>
  <c r="RD211" i="1" s="1"/>
  <c r="RM211" i="1" s="1"/>
  <c r="RV211" i="1" s="1"/>
  <c r="SE211" i="1" s="1"/>
  <c r="SN211" i="1" s="1"/>
  <c r="SW211" i="1" s="1"/>
  <c r="TF211" i="1" s="1"/>
  <c r="TO211" i="1" s="1"/>
  <c r="TX211" i="1" s="1"/>
  <c r="UG211" i="1" s="1"/>
  <c r="UP211" i="1" s="1"/>
  <c r="UY211" i="1" s="1"/>
  <c r="VH211" i="1" s="1"/>
  <c r="VQ211" i="1" s="1"/>
  <c r="VZ211" i="1" s="1"/>
  <c r="WI211" i="1" s="1"/>
  <c r="WR211" i="1" s="1"/>
  <c r="XA211" i="1" s="1"/>
  <c r="XJ211" i="1" s="1"/>
  <c r="XS211" i="1" s="1"/>
  <c r="YB211" i="1" s="1"/>
  <c r="YK211" i="1" s="1"/>
  <c r="YT211" i="1" s="1"/>
  <c r="ZC211" i="1" s="1"/>
  <c r="ZL211" i="1" s="1"/>
  <c r="ZU211" i="1" s="1"/>
  <c r="AAD211" i="1" s="1"/>
  <c r="AAM211" i="1" s="1"/>
  <c r="AAV211" i="1" s="1"/>
  <c r="ABE211" i="1" s="1"/>
  <c r="NI212" i="1"/>
  <c r="NR212" i="1"/>
  <c r="OA212" i="1" s="1"/>
  <c r="OJ212" i="1" s="1"/>
  <c r="OS212" i="1" s="1"/>
  <c r="PB212" i="1" s="1"/>
  <c r="PK212" i="1" s="1"/>
  <c r="PT212" i="1" s="1"/>
  <c r="QC212" i="1" s="1"/>
  <c r="QL212" i="1" s="1"/>
  <c r="QU212" i="1" s="1"/>
  <c r="RD212" i="1" s="1"/>
  <c r="RM212" i="1" s="1"/>
  <c r="RV212" i="1" s="1"/>
  <c r="SE212" i="1" s="1"/>
  <c r="SN212" i="1" s="1"/>
  <c r="SW212" i="1" s="1"/>
  <c r="TF212" i="1" s="1"/>
  <c r="TO212" i="1" s="1"/>
  <c r="TX212" i="1" s="1"/>
  <c r="UG212" i="1" s="1"/>
  <c r="UP212" i="1" s="1"/>
  <c r="UY212" i="1" s="1"/>
  <c r="VH212" i="1" s="1"/>
  <c r="VQ212" i="1" s="1"/>
  <c r="VZ212" i="1" s="1"/>
  <c r="WI212" i="1" s="1"/>
  <c r="WR212" i="1" s="1"/>
  <c r="XA212" i="1" s="1"/>
  <c r="XJ212" i="1" s="1"/>
  <c r="XS212" i="1" s="1"/>
  <c r="YB212" i="1" s="1"/>
  <c r="YK212" i="1" s="1"/>
  <c r="YT212" i="1" s="1"/>
  <c r="ZC212" i="1" s="1"/>
  <c r="ZL212" i="1" s="1"/>
  <c r="ZU212" i="1" s="1"/>
  <c r="AAD212" i="1" s="1"/>
  <c r="AAM212" i="1" s="1"/>
  <c r="AAV212" i="1" s="1"/>
  <c r="ABE212" i="1" s="1"/>
  <c r="NI184" i="1"/>
  <c r="NR184" i="1"/>
  <c r="OA184" i="1" s="1"/>
  <c r="OJ184" i="1" s="1"/>
  <c r="OS184" i="1" s="1"/>
  <c r="PB184" i="1" s="1"/>
  <c r="PK184" i="1" s="1"/>
  <c r="PT184" i="1" s="1"/>
  <c r="QC184" i="1" s="1"/>
  <c r="QL184" i="1" s="1"/>
  <c r="QU184" i="1" s="1"/>
  <c r="RD184" i="1" s="1"/>
  <c r="RM184" i="1" s="1"/>
  <c r="RV184" i="1" s="1"/>
  <c r="SE184" i="1" s="1"/>
  <c r="SN184" i="1" s="1"/>
  <c r="SW184" i="1" s="1"/>
  <c r="TF184" i="1" s="1"/>
  <c r="TO184" i="1" s="1"/>
  <c r="TX184" i="1" s="1"/>
  <c r="UG184" i="1" s="1"/>
  <c r="UP184" i="1" s="1"/>
  <c r="UY184" i="1" s="1"/>
  <c r="VH184" i="1" s="1"/>
  <c r="VQ184" i="1" s="1"/>
  <c r="VZ184" i="1" s="1"/>
  <c r="WI184" i="1" s="1"/>
  <c r="WR184" i="1" s="1"/>
  <c r="XA184" i="1" s="1"/>
  <c r="XJ184" i="1" s="1"/>
  <c r="XS184" i="1" s="1"/>
  <c r="YB184" i="1" s="1"/>
  <c r="YK184" i="1" s="1"/>
  <c r="YT184" i="1" s="1"/>
  <c r="ZC184" i="1" s="1"/>
  <c r="ZL184" i="1" s="1"/>
  <c r="ZU184" i="1" s="1"/>
  <c r="AAD184" i="1" s="1"/>
  <c r="AAM184" i="1" s="1"/>
  <c r="AAV184" i="1" s="1"/>
  <c r="ABE184" i="1" s="1"/>
  <c r="NI185" i="1"/>
  <c r="NR185" i="1"/>
  <c r="OA185" i="1" s="1"/>
  <c r="OJ185" i="1" s="1"/>
  <c r="OS185" i="1" s="1"/>
  <c r="PB185" i="1" s="1"/>
  <c r="PK185" i="1" s="1"/>
  <c r="PT185" i="1" s="1"/>
  <c r="QC185" i="1" s="1"/>
  <c r="QL185" i="1" s="1"/>
  <c r="QU185" i="1" s="1"/>
  <c r="RD185" i="1" s="1"/>
  <c r="RM185" i="1" s="1"/>
  <c r="RV185" i="1" s="1"/>
  <c r="SE185" i="1" s="1"/>
  <c r="SN185" i="1" s="1"/>
  <c r="SW185" i="1" s="1"/>
  <c r="TF185" i="1" s="1"/>
  <c r="TO185" i="1" s="1"/>
  <c r="TX185" i="1" s="1"/>
  <c r="UG185" i="1" s="1"/>
  <c r="UP185" i="1" s="1"/>
  <c r="UY185" i="1" s="1"/>
  <c r="VH185" i="1" s="1"/>
  <c r="VQ185" i="1" s="1"/>
  <c r="VZ185" i="1" s="1"/>
  <c r="WI185" i="1" s="1"/>
  <c r="WR185" i="1" s="1"/>
  <c r="XA185" i="1" s="1"/>
  <c r="XJ185" i="1" s="1"/>
  <c r="XS185" i="1" s="1"/>
  <c r="YB185" i="1" s="1"/>
  <c r="YK185" i="1" s="1"/>
  <c r="YT185" i="1" s="1"/>
  <c r="ZC185" i="1" s="1"/>
  <c r="ZL185" i="1" s="1"/>
  <c r="ZU185" i="1" s="1"/>
  <c r="AAD185" i="1" s="1"/>
  <c r="AAM185" i="1" s="1"/>
  <c r="AAV185" i="1" s="1"/>
  <c r="ABE185" i="1" s="1"/>
  <c r="NI186" i="1"/>
  <c r="NR186" i="1"/>
  <c r="OA186" i="1" s="1"/>
  <c r="OJ186" i="1" s="1"/>
  <c r="OS186" i="1" s="1"/>
  <c r="PB186" i="1" s="1"/>
  <c r="PK186" i="1" s="1"/>
  <c r="PT186" i="1" s="1"/>
  <c r="QC186" i="1" s="1"/>
  <c r="QL186" i="1" s="1"/>
  <c r="QU186" i="1" s="1"/>
  <c r="RD186" i="1" s="1"/>
  <c r="RM186" i="1" s="1"/>
  <c r="RV186" i="1" s="1"/>
  <c r="SE186" i="1" s="1"/>
  <c r="SN186" i="1" s="1"/>
  <c r="SW186" i="1" s="1"/>
  <c r="TF186" i="1" s="1"/>
  <c r="TO186" i="1" s="1"/>
  <c r="TX186" i="1" s="1"/>
  <c r="UG186" i="1" s="1"/>
  <c r="UP186" i="1" s="1"/>
  <c r="UY186" i="1" s="1"/>
  <c r="VH186" i="1" s="1"/>
  <c r="VQ186" i="1" s="1"/>
  <c r="VZ186" i="1" s="1"/>
  <c r="WI186" i="1" s="1"/>
  <c r="WR186" i="1" s="1"/>
  <c r="XA186" i="1" s="1"/>
  <c r="XJ186" i="1" s="1"/>
  <c r="XS186" i="1" s="1"/>
  <c r="YB186" i="1" s="1"/>
  <c r="YK186" i="1" s="1"/>
  <c r="YT186" i="1" s="1"/>
  <c r="ZC186" i="1" s="1"/>
  <c r="ZL186" i="1" s="1"/>
  <c r="ZU186" i="1" s="1"/>
  <c r="AAD186" i="1" s="1"/>
  <c r="AAM186" i="1" s="1"/>
  <c r="AAV186" i="1" s="1"/>
  <c r="ABE186" i="1" s="1"/>
  <c r="NI187" i="1"/>
  <c r="NR187" i="1"/>
  <c r="OA187" i="1" s="1"/>
  <c r="OJ187" i="1" s="1"/>
  <c r="OS187" i="1" s="1"/>
  <c r="PB187" i="1" s="1"/>
  <c r="PK187" i="1" s="1"/>
  <c r="PT187" i="1" s="1"/>
  <c r="QC187" i="1" s="1"/>
  <c r="QL187" i="1" s="1"/>
  <c r="QU187" i="1" s="1"/>
  <c r="RD187" i="1" s="1"/>
  <c r="RM187" i="1" s="1"/>
  <c r="RV187" i="1" s="1"/>
  <c r="SE187" i="1" s="1"/>
  <c r="SN187" i="1" s="1"/>
  <c r="SW187" i="1" s="1"/>
  <c r="TF187" i="1" s="1"/>
  <c r="TO187" i="1" s="1"/>
  <c r="TX187" i="1" s="1"/>
  <c r="UG187" i="1" s="1"/>
  <c r="UP187" i="1" s="1"/>
  <c r="UY187" i="1" s="1"/>
  <c r="VH187" i="1" s="1"/>
  <c r="VQ187" i="1" s="1"/>
  <c r="VZ187" i="1" s="1"/>
  <c r="WI187" i="1" s="1"/>
  <c r="WR187" i="1" s="1"/>
  <c r="XA187" i="1" s="1"/>
  <c r="XJ187" i="1" s="1"/>
  <c r="XS187" i="1" s="1"/>
  <c r="YB187" i="1" s="1"/>
  <c r="YK187" i="1" s="1"/>
  <c r="YT187" i="1" s="1"/>
  <c r="ZC187" i="1" s="1"/>
  <c r="ZL187" i="1" s="1"/>
  <c r="ZU187" i="1" s="1"/>
  <c r="AAD187" i="1" s="1"/>
  <c r="AAM187" i="1" s="1"/>
  <c r="AAV187" i="1" s="1"/>
  <c r="ABE187" i="1" s="1"/>
  <c r="NI188" i="1"/>
  <c r="NR188" i="1"/>
  <c r="OA188" i="1" s="1"/>
  <c r="OJ188" i="1" s="1"/>
  <c r="OS188" i="1" s="1"/>
  <c r="PB188" i="1" s="1"/>
  <c r="PK188" i="1" s="1"/>
  <c r="PT188" i="1" s="1"/>
  <c r="QC188" i="1" s="1"/>
  <c r="QL188" i="1" s="1"/>
  <c r="QU188" i="1" s="1"/>
  <c r="RD188" i="1" s="1"/>
  <c r="RM188" i="1" s="1"/>
  <c r="RV188" i="1" s="1"/>
  <c r="SE188" i="1" s="1"/>
  <c r="SN188" i="1" s="1"/>
  <c r="SW188" i="1" s="1"/>
  <c r="TF188" i="1" s="1"/>
  <c r="TO188" i="1" s="1"/>
  <c r="TX188" i="1" s="1"/>
  <c r="UG188" i="1" s="1"/>
  <c r="UP188" i="1" s="1"/>
  <c r="UY188" i="1" s="1"/>
  <c r="VH188" i="1" s="1"/>
  <c r="VQ188" i="1" s="1"/>
  <c r="VZ188" i="1" s="1"/>
  <c r="WI188" i="1" s="1"/>
  <c r="WR188" i="1" s="1"/>
  <c r="XA188" i="1" s="1"/>
  <c r="XJ188" i="1" s="1"/>
  <c r="XS188" i="1" s="1"/>
  <c r="YB188" i="1" s="1"/>
  <c r="YK188" i="1" s="1"/>
  <c r="YT188" i="1" s="1"/>
  <c r="ZC188" i="1" s="1"/>
  <c r="ZL188" i="1" s="1"/>
  <c r="ZU188" i="1" s="1"/>
  <c r="AAD188" i="1" s="1"/>
  <c r="AAM188" i="1" s="1"/>
  <c r="AAV188" i="1" s="1"/>
  <c r="ABE188" i="1" s="1"/>
  <c r="NI189" i="1"/>
  <c r="NR189" i="1"/>
  <c r="OA189" i="1" s="1"/>
  <c r="OJ189" i="1" s="1"/>
  <c r="OS189" i="1" s="1"/>
  <c r="PB189" i="1" s="1"/>
  <c r="PK189" i="1" s="1"/>
  <c r="PT189" i="1" s="1"/>
  <c r="QC189" i="1" s="1"/>
  <c r="QL189" i="1" s="1"/>
  <c r="QU189" i="1" s="1"/>
  <c r="RD189" i="1" s="1"/>
  <c r="RM189" i="1" s="1"/>
  <c r="RV189" i="1" s="1"/>
  <c r="SE189" i="1" s="1"/>
  <c r="SN189" i="1" s="1"/>
  <c r="SW189" i="1" s="1"/>
  <c r="TF189" i="1" s="1"/>
  <c r="TO189" i="1" s="1"/>
  <c r="TX189" i="1" s="1"/>
  <c r="UG189" i="1" s="1"/>
  <c r="UP189" i="1" s="1"/>
  <c r="UY189" i="1" s="1"/>
  <c r="VH189" i="1" s="1"/>
  <c r="VQ189" i="1" s="1"/>
  <c r="VZ189" i="1" s="1"/>
  <c r="WI189" i="1" s="1"/>
  <c r="WR189" i="1" s="1"/>
  <c r="XA189" i="1" s="1"/>
  <c r="XJ189" i="1" s="1"/>
  <c r="XS189" i="1" s="1"/>
  <c r="YB189" i="1" s="1"/>
  <c r="YK189" i="1" s="1"/>
  <c r="YT189" i="1" s="1"/>
  <c r="ZC189" i="1" s="1"/>
  <c r="ZL189" i="1" s="1"/>
  <c r="ZU189" i="1" s="1"/>
  <c r="AAD189" i="1" s="1"/>
  <c r="AAM189" i="1" s="1"/>
  <c r="AAV189" i="1" s="1"/>
  <c r="ABE189" i="1" s="1"/>
  <c r="NI190" i="1"/>
  <c r="NR190" i="1"/>
  <c r="OA190" i="1" s="1"/>
  <c r="OJ190" i="1" s="1"/>
  <c r="OS190" i="1" s="1"/>
  <c r="PB190" i="1" s="1"/>
  <c r="PK190" i="1" s="1"/>
  <c r="PT190" i="1" s="1"/>
  <c r="QC190" i="1" s="1"/>
  <c r="QL190" i="1" s="1"/>
  <c r="QU190" i="1" s="1"/>
  <c r="RD190" i="1" s="1"/>
  <c r="RM190" i="1" s="1"/>
  <c r="RV190" i="1" s="1"/>
  <c r="SE190" i="1" s="1"/>
  <c r="SN190" i="1" s="1"/>
  <c r="SW190" i="1" s="1"/>
  <c r="TF190" i="1" s="1"/>
  <c r="TO190" i="1" s="1"/>
  <c r="TX190" i="1" s="1"/>
  <c r="UG190" i="1" s="1"/>
  <c r="UP190" i="1" s="1"/>
  <c r="UY190" i="1" s="1"/>
  <c r="VH190" i="1" s="1"/>
  <c r="VQ190" i="1" s="1"/>
  <c r="VZ190" i="1" s="1"/>
  <c r="WI190" i="1" s="1"/>
  <c r="WR190" i="1" s="1"/>
  <c r="XA190" i="1" s="1"/>
  <c r="XJ190" i="1" s="1"/>
  <c r="XS190" i="1" s="1"/>
  <c r="YB190" i="1" s="1"/>
  <c r="YK190" i="1" s="1"/>
  <c r="YT190" i="1" s="1"/>
  <c r="ZC190" i="1" s="1"/>
  <c r="ZL190" i="1" s="1"/>
  <c r="ZU190" i="1" s="1"/>
  <c r="AAD190" i="1" s="1"/>
  <c r="AAM190" i="1" s="1"/>
  <c r="AAV190" i="1" s="1"/>
  <c r="ABE190" i="1" s="1"/>
  <c r="NI193" i="1"/>
  <c r="NR193" i="1"/>
  <c r="OA193" i="1" s="1"/>
  <c r="OJ193" i="1" s="1"/>
  <c r="OS193" i="1" s="1"/>
  <c r="PB193" i="1" s="1"/>
  <c r="PK193" i="1" s="1"/>
  <c r="PT193" i="1" s="1"/>
  <c r="QC193" i="1" s="1"/>
  <c r="QL193" i="1" s="1"/>
  <c r="QU193" i="1" s="1"/>
  <c r="RD193" i="1" s="1"/>
  <c r="RM193" i="1" s="1"/>
  <c r="RV193" i="1" s="1"/>
  <c r="SE193" i="1" s="1"/>
  <c r="SN193" i="1" s="1"/>
  <c r="SW193" i="1" s="1"/>
  <c r="TF193" i="1" s="1"/>
  <c r="TO193" i="1" s="1"/>
  <c r="TX193" i="1" s="1"/>
  <c r="UG193" i="1" s="1"/>
  <c r="UP193" i="1" s="1"/>
  <c r="UY193" i="1" s="1"/>
  <c r="VH193" i="1" s="1"/>
  <c r="VQ193" i="1" s="1"/>
  <c r="VZ193" i="1" s="1"/>
  <c r="WI193" i="1" s="1"/>
  <c r="WR193" i="1" s="1"/>
  <c r="XA193" i="1" s="1"/>
  <c r="XJ193" i="1" s="1"/>
  <c r="XS193" i="1" s="1"/>
  <c r="YB193" i="1" s="1"/>
  <c r="YK193" i="1" s="1"/>
  <c r="YT193" i="1" s="1"/>
  <c r="ZC193" i="1" s="1"/>
  <c r="ZL193" i="1" s="1"/>
  <c r="ZU193" i="1" s="1"/>
  <c r="AAD193" i="1" s="1"/>
  <c r="AAM193" i="1" s="1"/>
  <c r="AAV193" i="1" s="1"/>
  <c r="ABE193" i="1" s="1"/>
  <c r="NI194" i="1"/>
  <c r="NR194" i="1"/>
  <c r="OA194" i="1" s="1"/>
  <c r="OJ194" i="1" s="1"/>
  <c r="OS194" i="1" s="1"/>
  <c r="PB194" i="1" s="1"/>
  <c r="PK194" i="1" s="1"/>
  <c r="PT194" i="1" s="1"/>
  <c r="QC194" i="1" s="1"/>
  <c r="QL194" i="1" s="1"/>
  <c r="QU194" i="1" s="1"/>
  <c r="RD194" i="1" s="1"/>
  <c r="RM194" i="1" s="1"/>
  <c r="RV194" i="1" s="1"/>
  <c r="SE194" i="1" s="1"/>
  <c r="SN194" i="1" s="1"/>
  <c r="SW194" i="1" s="1"/>
  <c r="TF194" i="1" s="1"/>
  <c r="TO194" i="1" s="1"/>
  <c r="TX194" i="1" s="1"/>
  <c r="UG194" i="1" s="1"/>
  <c r="UP194" i="1" s="1"/>
  <c r="UY194" i="1" s="1"/>
  <c r="VH194" i="1" s="1"/>
  <c r="VQ194" i="1" s="1"/>
  <c r="VZ194" i="1" s="1"/>
  <c r="WI194" i="1" s="1"/>
  <c r="WR194" i="1" s="1"/>
  <c r="XA194" i="1" s="1"/>
  <c r="XJ194" i="1" s="1"/>
  <c r="XS194" i="1" s="1"/>
  <c r="YB194" i="1" s="1"/>
  <c r="YK194" i="1" s="1"/>
  <c r="YT194" i="1" s="1"/>
  <c r="ZC194" i="1" s="1"/>
  <c r="ZL194" i="1" s="1"/>
  <c r="ZU194" i="1" s="1"/>
  <c r="AAD194" i="1" s="1"/>
  <c r="AAM194" i="1" s="1"/>
  <c r="AAV194" i="1" s="1"/>
  <c r="ABE194" i="1" s="1"/>
  <c r="NI195" i="1"/>
  <c r="NR195" i="1"/>
  <c r="OA195" i="1" s="1"/>
  <c r="OJ195" i="1" s="1"/>
  <c r="OS195" i="1" s="1"/>
  <c r="PB195" i="1" s="1"/>
  <c r="PK195" i="1" s="1"/>
  <c r="PT195" i="1" s="1"/>
  <c r="QC195" i="1" s="1"/>
  <c r="QL195" i="1" s="1"/>
  <c r="QU195" i="1" s="1"/>
  <c r="RD195" i="1" s="1"/>
  <c r="RM195" i="1" s="1"/>
  <c r="RV195" i="1" s="1"/>
  <c r="SE195" i="1" s="1"/>
  <c r="SN195" i="1" s="1"/>
  <c r="SW195" i="1" s="1"/>
  <c r="TF195" i="1" s="1"/>
  <c r="TO195" i="1" s="1"/>
  <c r="TX195" i="1" s="1"/>
  <c r="UG195" i="1" s="1"/>
  <c r="UP195" i="1" s="1"/>
  <c r="UY195" i="1" s="1"/>
  <c r="VH195" i="1" s="1"/>
  <c r="VQ195" i="1" s="1"/>
  <c r="VZ195" i="1" s="1"/>
  <c r="WI195" i="1" s="1"/>
  <c r="WR195" i="1" s="1"/>
  <c r="XA195" i="1" s="1"/>
  <c r="XJ195" i="1" s="1"/>
  <c r="XS195" i="1" s="1"/>
  <c r="YB195" i="1" s="1"/>
  <c r="YK195" i="1" s="1"/>
  <c r="YT195" i="1" s="1"/>
  <c r="ZC195" i="1" s="1"/>
  <c r="ZL195" i="1" s="1"/>
  <c r="ZU195" i="1" s="1"/>
  <c r="AAD195" i="1" s="1"/>
  <c r="AAM195" i="1" s="1"/>
  <c r="AAV195" i="1" s="1"/>
  <c r="ABE195" i="1" s="1"/>
  <c r="NI196" i="1"/>
  <c r="NR196" i="1"/>
  <c r="OA196" i="1" s="1"/>
  <c r="OJ196" i="1" s="1"/>
  <c r="OS196" i="1" s="1"/>
  <c r="PB196" i="1" s="1"/>
  <c r="PK196" i="1" s="1"/>
  <c r="PT196" i="1" s="1"/>
  <c r="QC196" i="1" s="1"/>
  <c r="QL196" i="1" s="1"/>
  <c r="QU196" i="1" s="1"/>
  <c r="RD196" i="1" s="1"/>
  <c r="RM196" i="1" s="1"/>
  <c r="RV196" i="1" s="1"/>
  <c r="SE196" i="1" s="1"/>
  <c r="SN196" i="1" s="1"/>
  <c r="SW196" i="1" s="1"/>
  <c r="TF196" i="1" s="1"/>
  <c r="TO196" i="1" s="1"/>
  <c r="TX196" i="1" s="1"/>
  <c r="UG196" i="1" s="1"/>
  <c r="UP196" i="1" s="1"/>
  <c r="UY196" i="1" s="1"/>
  <c r="VH196" i="1" s="1"/>
  <c r="VQ196" i="1" s="1"/>
  <c r="VZ196" i="1" s="1"/>
  <c r="WI196" i="1" s="1"/>
  <c r="WR196" i="1" s="1"/>
  <c r="XA196" i="1" s="1"/>
  <c r="XJ196" i="1" s="1"/>
  <c r="XS196" i="1" s="1"/>
  <c r="YB196" i="1" s="1"/>
  <c r="YK196" i="1" s="1"/>
  <c r="YT196" i="1" s="1"/>
  <c r="ZC196" i="1" s="1"/>
  <c r="ZL196" i="1" s="1"/>
  <c r="ZU196" i="1" s="1"/>
  <c r="AAD196" i="1" s="1"/>
  <c r="AAM196" i="1" s="1"/>
  <c r="AAV196" i="1" s="1"/>
  <c r="ABE196" i="1" s="1"/>
  <c r="NI198" i="1"/>
  <c r="NR198" i="1"/>
  <c r="OA198" i="1" s="1"/>
  <c r="OJ198" i="1" s="1"/>
  <c r="OS198" i="1" s="1"/>
  <c r="PB198" i="1" s="1"/>
  <c r="PK198" i="1" s="1"/>
  <c r="PT198" i="1" s="1"/>
  <c r="QC198" i="1" s="1"/>
  <c r="QL198" i="1" s="1"/>
  <c r="QU198" i="1" s="1"/>
  <c r="RD198" i="1" s="1"/>
  <c r="RM198" i="1" s="1"/>
  <c r="RV198" i="1" s="1"/>
  <c r="SE198" i="1" s="1"/>
  <c r="SN198" i="1" s="1"/>
  <c r="SW198" i="1" s="1"/>
  <c r="TF198" i="1" s="1"/>
  <c r="TO198" i="1" s="1"/>
  <c r="TX198" i="1" s="1"/>
  <c r="UG198" i="1" s="1"/>
  <c r="UP198" i="1" s="1"/>
  <c r="UY198" i="1" s="1"/>
  <c r="VH198" i="1" s="1"/>
  <c r="VQ198" i="1" s="1"/>
  <c r="VZ198" i="1" s="1"/>
  <c r="WI198" i="1" s="1"/>
  <c r="WR198" i="1" s="1"/>
  <c r="XA198" i="1" s="1"/>
  <c r="XJ198" i="1" s="1"/>
  <c r="XS198" i="1" s="1"/>
  <c r="YB198" i="1" s="1"/>
  <c r="YK198" i="1" s="1"/>
  <c r="YT198" i="1" s="1"/>
  <c r="ZC198" i="1" s="1"/>
  <c r="ZL198" i="1" s="1"/>
  <c r="ZU198" i="1" s="1"/>
  <c r="AAD198" i="1" s="1"/>
  <c r="AAM198" i="1" s="1"/>
  <c r="AAV198" i="1" s="1"/>
  <c r="ABE198" i="1" s="1"/>
  <c r="NI199" i="1"/>
  <c r="NR199" i="1"/>
  <c r="OA199" i="1" s="1"/>
  <c r="OJ199" i="1" s="1"/>
  <c r="OS199" i="1" s="1"/>
  <c r="PB199" i="1" s="1"/>
  <c r="PK199" i="1" s="1"/>
  <c r="PT199" i="1" s="1"/>
  <c r="QC199" i="1" s="1"/>
  <c r="QL199" i="1" s="1"/>
  <c r="QU199" i="1" s="1"/>
  <c r="RD199" i="1" s="1"/>
  <c r="RM199" i="1" s="1"/>
  <c r="RV199" i="1" s="1"/>
  <c r="SE199" i="1" s="1"/>
  <c r="SN199" i="1" s="1"/>
  <c r="SW199" i="1" s="1"/>
  <c r="TF199" i="1" s="1"/>
  <c r="TO199" i="1" s="1"/>
  <c r="TX199" i="1" s="1"/>
  <c r="UG199" i="1" s="1"/>
  <c r="UP199" i="1" s="1"/>
  <c r="UY199" i="1" s="1"/>
  <c r="VH199" i="1" s="1"/>
  <c r="VQ199" i="1" s="1"/>
  <c r="VZ199" i="1" s="1"/>
  <c r="WI199" i="1" s="1"/>
  <c r="WR199" i="1" s="1"/>
  <c r="XA199" i="1" s="1"/>
  <c r="XJ199" i="1" s="1"/>
  <c r="XS199" i="1" s="1"/>
  <c r="YB199" i="1" s="1"/>
  <c r="YK199" i="1" s="1"/>
  <c r="YT199" i="1" s="1"/>
  <c r="ZC199" i="1" s="1"/>
  <c r="ZL199" i="1" s="1"/>
  <c r="ZU199" i="1" s="1"/>
  <c r="AAD199" i="1" s="1"/>
  <c r="AAM199" i="1" s="1"/>
  <c r="AAV199" i="1" s="1"/>
  <c r="ABE199" i="1" s="1"/>
  <c r="NI200" i="1"/>
  <c r="NR200" i="1"/>
  <c r="OA200" i="1" s="1"/>
  <c r="OJ200" i="1" s="1"/>
  <c r="OS200" i="1" s="1"/>
  <c r="PB200" i="1" s="1"/>
  <c r="PK200" i="1" s="1"/>
  <c r="PT200" i="1" s="1"/>
  <c r="QC200" i="1" s="1"/>
  <c r="QL200" i="1" s="1"/>
  <c r="QU200" i="1" s="1"/>
  <c r="RD200" i="1" s="1"/>
  <c r="RM200" i="1" s="1"/>
  <c r="RV200" i="1" s="1"/>
  <c r="SE200" i="1" s="1"/>
  <c r="SN200" i="1" s="1"/>
  <c r="SW200" i="1" s="1"/>
  <c r="TF200" i="1" s="1"/>
  <c r="TO200" i="1" s="1"/>
  <c r="TX200" i="1" s="1"/>
  <c r="UG200" i="1" s="1"/>
  <c r="UP200" i="1" s="1"/>
  <c r="UY200" i="1" s="1"/>
  <c r="VH200" i="1" s="1"/>
  <c r="VQ200" i="1" s="1"/>
  <c r="VZ200" i="1" s="1"/>
  <c r="WI200" i="1" s="1"/>
  <c r="WR200" i="1" s="1"/>
  <c r="XA200" i="1" s="1"/>
  <c r="XJ200" i="1" s="1"/>
  <c r="XS200" i="1" s="1"/>
  <c r="YB200" i="1" s="1"/>
  <c r="YK200" i="1" s="1"/>
  <c r="YT200" i="1" s="1"/>
  <c r="ZC200" i="1" s="1"/>
  <c r="ZL200" i="1" s="1"/>
  <c r="ZU200" i="1" s="1"/>
  <c r="AAD200" i="1" s="1"/>
  <c r="AAM200" i="1" s="1"/>
  <c r="AAV200" i="1" s="1"/>
  <c r="ABE200" i="1" s="1"/>
  <c r="NI201" i="1"/>
  <c r="NR201" i="1"/>
  <c r="OA201" i="1" s="1"/>
  <c r="OJ201" i="1" s="1"/>
  <c r="OS201" i="1" s="1"/>
  <c r="PB201" i="1" s="1"/>
  <c r="PK201" i="1" s="1"/>
  <c r="PT201" i="1" s="1"/>
  <c r="QC201" i="1" s="1"/>
  <c r="QL201" i="1" s="1"/>
  <c r="QU201" i="1" s="1"/>
  <c r="RD201" i="1" s="1"/>
  <c r="RM201" i="1" s="1"/>
  <c r="RV201" i="1" s="1"/>
  <c r="SE201" i="1" s="1"/>
  <c r="SN201" i="1" s="1"/>
  <c r="SW201" i="1" s="1"/>
  <c r="TF201" i="1" s="1"/>
  <c r="TO201" i="1" s="1"/>
  <c r="TX201" i="1" s="1"/>
  <c r="UG201" i="1" s="1"/>
  <c r="UP201" i="1" s="1"/>
  <c r="UY201" i="1" s="1"/>
  <c r="VH201" i="1" s="1"/>
  <c r="VQ201" i="1" s="1"/>
  <c r="VZ201" i="1" s="1"/>
  <c r="WI201" i="1" s="1"/>
  <c r="WR201" i="1" s="1"/>
  <c r="XA201" i="1" s="1"/>
  <c r="XJ201" i="1" s="1"/>
  <c r="XS201" i="1" s="1"/>
  <c r="YB201" i="1" s="1"/>
  <c r="YK201" i="1" s="1"/>
  <c r="YT201" i="1" s="1"/>
  <c r="ZC201" i="1" s="1"/>
  <c r="ZL201" i="1" s="1"/>
  <c r="ZU201" i="1" s="1"/>
  <c r="AAD201" i="1" s="1"/>
  <c r="AAM201" i="1" s="1"/>
  <c r="AAV201" i="1" s="1"/>
  <c r="ABE201" i="1" s="1"/>
  <c r="NI202" i="1"/>
  <c r="NR202" i="1"/>
  <c r="OA202" i="1" s="1"/>
  <c r="OJ202" i="1" s="1"/>
  <c r="OS202" i="1" s="1"/>
  <c r="PB202" i="1" s="1"/>
  <c r="PK202" i="1" s="1"/>
  <c r="PT202" i="1" s="1"/>
  <c r="QC202" i="1" s="1"/>
  <c r="QL202" i="1" s="1"/>
  <c r="QU202" i="1" s="1"/>
  <c r="RD202" i="1" s="1"/>
  <c r="RM202" i="1" s="1"/>
  <c r="RV202" i="1" s="1"/>
  <c r="SE202" i="1" s="1"/>
  <c r="SN202" i="1" s="1"/>
  <c r="SW202" i="1" s="1"/>
  <c r="TF202" i="1" s="1"/>
  <c r="TO202" i="1" s="1"/>
  <c r="TX202" i="1" s="1"/>
  <c r="UG202" i="1" s="1"/>
  <c r="UP202" i="1" s="1"/>
  <c r="UY202" i="1" s="1"/>
  <c r="VH202" i="1" s="1"/>
  <c r="VQ202" i="1" s="1"/>
  <c r="VZ202" i="1" s="1"/>
  <c r="WI202" i="1" s="1"/>
  <c r="WR202" i="1" s="1"/>
  <c r="XA202" i="1" s="1"/>
  <c r="XJ202" i="1" s="1"/>
  <c r="XS202" i="1" s="1"/>
  <c r="YB202" i="1" s="1"/>
  <c r="YK202" i="1" s="1"/>
  <c r="YT202" i="1" s="1"/>
  <c r="ZC202" i="1" s="1"/>
  <c r="ZL202" i="1" s="1"/>
  <c r="ZU202" i="1" s="1"/>
  <c r="AAD202" i="1" s="1"/>
  <c r="AAM202" i="1" s="1"/>
  <c r="AAV202" i="1" s="1"/>
  <c r="ABE202" i="1" s="1"/>
  <c r="NI203" i="1"/>
  <c r="NR203" i="1"/>
  <c r="OA203" i="1" s="1"/>
  <c r="OJ203" i="1" s="1"/>
  <c r="OS203" i="1" s="1"/>
  <c r="PB203" i="1" s="1"/>
  <c r="PK203" i="1" s="1"/>
  <c r="PT203" i="1" s="1"/>
  <c r="QC203" i="1" s="1"/>
  <c r="QL203" i="1" s="1"/>
  <c r="QU203" i="1" s="1"/>
  <c r="RD203" i="1" s="1"/>
  <c r="RM203" i="1" s="1"/>
  <c r="RV203" i="1" s="1"/>
  <c r="SE203" i="1" s="1"/>
  <c r="SN203" i="1" s="1"/>
  <c r="SW203" i="1" s="1"/>
  <c r="TF203" i="1" s="1"/>
  <c r="TO203" i="1" s="1"/>
  <c r="TX203" i="1" s="1"/>
  <c r="UG203" i="1" s="1"/>
  <c r="UP203" i="1" s="1"/>
  <c r="UY203" i="1" s="1"/>
  <c r="VH203" i="1" s="1"/>
  <c r="VQ203" i="1" s="1"/>
  <c r="VZ203" i="1" s="1"/>
  <c r="WI203" i="1" s="1"/>
  <c r="WR203" i="1" s="1"/>
  <c r="XA203" i="1" s="1"/>
  <c r="XJ203" i="1" s="1"/>
  <c r="XS203" i="1" s="1"/>
  <c r="YB203" i="1" s="1"/>
  <c r="YK203" i="1" s="1"/>
  <c r="YT203" i="1" s="1"/>
  <c r="ZC203" i="1" s="1"/>
  <c r="ZL203" i="1" s="1"/>
  <c r="ZU203" i="1" s="1"/>
  <c r="AAD203" i="1" s="1"/>
  <c r="AAM203" i="1" s="1"/>
  <c r="AAV203" i="1" s="1"/>
  <c r="ABE203" i="1" s="1"/>
  <c r="NI204" i="1"/>
  <c r="NR204" i="1"/>
  <c r="OA204" i="1" s="1"/>
  <c r="OJ204" i="1" s="1"/>
  <c r="OS204" i="1" s="1"/>
  <c r="PB204" i="1" s="1"/>
  <c r="PK204" i="1" s="1"/>
  <c r="PT204" i="1" s="1"/>
  <c r="QC204" i="1" s="1"/>
  <c r="QL204" i="1" s="1"/>
  <c r="QU204" i="1" s="1"/>
  <c r="RD204" i="1" s="1"/>
  <c r="RM204" i="1" s="1"/>
  <c r="RV204" i="1" s="1"/>
  <c r="SE204" i="1" s="1"/>
  <c r="SN204" i="1" s="1"/>
  <c r="SW204" i="1" s="1"/>
  <c r="TF204" i="1" s="1"/>
  <c r="TO204" i="1" s="1"/>
  <c r="TX204" i="1" s="1"/>
  <c r="UG204" i="1" s="1"/>
  <c r="UP204" i="1" s="1"/>
  <c r="UY204" i="1" s="1"/>
  <c r="VH204" i="1" s="1"/>
  <c r="VQ204" i="1" s="1"/>
  <c r="VZ204" i="1" s="1"/>
  <c r="WI204" i="1" s="1"/>
  <c r="WR204" i="1" s="1"/>
  <c r="XA204" i="1" s="1"/>
  <c r="XJ204" i="1" s="1"/>
  <c r="XS204" i="1" s="1"/>
  <c r="YB204" i="1" s="1"/>
  <c r="YK204" i="1" s="1"/>
  <c r="YT204" i="1" s="1"/>
  <c r="ZC204" i="1" s="1"/>
  <c r="ZL204" i="1" s="1"/>
  <c r="ZU204" i="1" s="1"/>
  <c r="AAD204" i="1" s="1"/>
  <c r="AAM204" i="1" s="1"/>
  <c r="AAV204" i="1" s="1"/>
  <c r="ABE204" i="1" s="1"/>
  <c r="NI205" i="1"/>
  <c r="NR205" i="1"/>
  <c r="OA205" i="1" s="1"/>
  <c r="OJ205" i="1" s="1"/>
  <c r="OS205" i="1" s="1"/>
  <c r="PB205" i="1" s="1"/>
  <c r="PK205" i="1" s="1"/>
  <c r="PT205" i="1" s="1"/>
  <c r="QC205" i="1" s="1"/>
  <c r="QL205" i="1" s="1"/>
  <c r="QU205" i="1" s="1"/>
  <c r="RD205" i="1" s="1"/>
  <c r="RM205" i="1" s="1"/>
  <c r="RV205" i="1" s="1"/>
  <c r="SE205" i="1" s="1"/>
  <c r="SN205" i="1" s="1"/>
  <c r="SW205" i="1" s="1"/>
  <c r="TF205" i="1" s="1"/>
  <c r="TO205" i="1" s="1"/>
  <c r="TX205" i="1" s="1"/>
  <c r="UG205" i="1" s="1"/>
  <c r="UP205" i="1" s="1"/>
  <c r="UY205" i="1" s="1"/>
  <c r="VH205" i="1" s="1"/>
  <c r="VQ205" i="1" s="1"/>
  <c r="VZ205" i="1" s="1"/>
  <c r="WI205" i="1" s="1"/>
  <c r="WR205" i="1" s="1"/>
  <c r="XA205" i="1" s="1"/>
  <c r="XJ205" i="1" s="1"/>
  <c r="XS205" i="1" s="1"/>
  <c r="YB205" i="1" s="1"/>
  <c r="YK205" i="1" s="1"/>
  <c r="YT205" i="1" s="1"/>
  <c r="ZC205" i="1" s="1"/>
  <c r="ZL205" i="1" s="1"/>
  <c r="ZU205" i="1" s="1"/>
  <c r="AAD205" i="1" s="1"/>
  <c r="AAM205" i="1" s="1"/>
  <c r="AAV205" i="1" s="1"/>
  <c r="ABE205" i="1" s="1"/>
  <c r="NI206" i="1"/>
  <c r="NR206" i="1"/>
  <c r="OA206" i="1" s="1"/>
  <c r="OJ206" i="1" s="1"/>
  <c r="OS206" i="1" s="1"/>
  <c r="PB206" i="1" s="1"/>
  <c r="PK206" i="1" s="1"/>
  <c r="PT206" i="1" s="1"/>
  <c r="QC206" i="1" s="1"/>
  <c r="QL206" i="1" s="1"/>
  <c r="QU206" i="1" s="1"/>
  <c r="RD206" i="1" s="1"/>
  <c r="RM206" i="1" s="1"/>
  <c r="RV206" i="1" s="1"/>
  <c r="SE206" i="1" s="1"/>
  <c r="SN206" i="1" s="1"/>
  <c r="SW206" i="1" s="1"/>
  <c r="TF206" i="1" s="1"/>
  <c r="TO206" i="1" s="1"/>
  <c r="TX206" i="1" s="1"/>
  <c r="UG206" i="1" s="1"/>
  <c r="UP206" i="1" s="1"/>
  <c r="UY206" i="1" s="1"/>
  <c r="VH206" i="1" s="1"/>
  <c r="VQ206" i="1" s="1"/>
  <c r="VZ206" i="1" s="1"/>
  <c r="WI206" i="1" s="1"/>
  <c r="WR206" i="1" s="1"/>
  <c r="XA206" i="1" s="1"/>
  <c r="XJ206" i="1" s="1"/>
  <c r="XS206" i="1" s="1"/>
  <c r="YB206" i="1" s="1"/>
  <c r="YK206" i="1" s="1"/>
  <c r="YT206" i="1" s="1"/>
  <c r="ZC206" i="1" s="1"/>
  <c r="ZL206" i="1" s="1"/>
  <c r="ZU206" i="1" s="1"/>
  <c r="AAD206" i="1" s="1"/>
  <c r="AAM206" i="1" s="1"/>
  <c r="AAV206" i="1" s="1"/>
  <c r="ABE206" i="1" s="1"/>
  <c r="NR158" i="1"/>
  <c r="OA158" i="1" s="1"/>
  <c r="OJ158" i="1" s="1"/>
  <c r="OS158" i="1" s="1"/>
  <c r="PB158" i="1" s="1"/>
  <c r="PK158" i="1" s="1"/>
  <c r="PT158" i="1" s="1"/>
  <c r="QC158" i="1" s="1"/>
  <c r="QL158" i="1" s="1"/>
  <c r="QU158" i="1" s="1"/>
  <c r="RD158" i="1" s="1"/>
  <c r="RM158" i="1" s="1"/>
  <c r="RV158" i="1" s="1"/>
  <c r="SE158" i="1" s="1"/>
  <c r="SN158" i="1" s="1"/>
  <c r="SW158" i="1" s="1"/>
  <c r="TF158" i="1" s="1"/>
  <c r="TO158" i="1" s="1"/>
  <c r="TX158" i="1" s="1"/>
  <c r="UG158" i="1" s="1"/>
  <c r="UP158" i="1" s="1"/>
  <c r="UY158" i="1" s="1"/>
  <c r="VH158" i="1" s="1"/>
  <c r="VQ158" i="1" s="1"/>
  <c r="VZ158" i="1" s="1"/>
  <c r="WI158" i="1" s="1"/>
  <c r="WR158" i="1" s="1"/>
  <c r="XA158" i="1" s="1"/>
  <c r="XJ158" i="1" s="1"/>
  <c r="XS158" i="1" s="1"/>
  <c r="YB158" i="1" s="1"/>
  <c r="YK158" i="1" s="1"/>
  <c r="YT158" i="1" s="1"/>
  <c r="ZC158" i="1" s="1"/>
  <c r="ZL158" i="1" s="1"/>
  <c r="ZU158" i="1" s="1"/>
  <c r="AAD158" i="1" s="1"/>
  <c r="AAM158" i="1" s="1"/>
  <c r="AAV158" i="1" s="1"/>
  <c r="ABE158" i="1" s="1"/>
  <c r="NI158" i="1"/>
  <c r="NR147" i="1"/>
  <c r="OA147" i="1" s="1"/>
  <c r="OJ147" i="1" s="1"/>
  <c r="OS147" i="1" s="1"/>
  <c r="PB147" i="1" s="1"/>
  <c r="PK147" i="1" s="1"/>
  <c r="PT147" i="1" s="1"/>
  <c r="QC147" i="1" s="1"/>
  <c r="QL147" i="1" s="1"/>
  <c r="QU147" i="1" s="1"/>
  <c r="RD147" i="1" s="1"/>
  <c r="RM147" i="1" s="1"/>
  <c r="RV147" i="1" s="1"/>
  <c r="SE147" i="1" s="1"/>
  <c r="SN147" i="1" s="1"/>
  <c r="SW147" i="1" s="1"/>
  <c r="TF147" i="1" s="1"/>
  <c r="TO147" i="1" s="1"/>
  <c r="TX147" i="1" s="1"/>
  <c r="UG147" i="1" s="1"/>
  <c r="UP147" i="1" s="1"/>
  <c r="UY147" i="1" s="1"/>
  <c r="VH147" i="1" s="1"/>
  <c r="VQ147" i="1" s="1"/>
  <c r="VZ147" i="1" s="1"/>
  <c r="WI147" i="1" s="1"/>
  <c r="WR147" i="1" s="1"/>
  <c r="XA147" i="1" s="1"/>
  <c r="XJ147" i="1" s="1"/>
  <c r="XS147" i="1" s="1"/>
  <c r="YB147" i="1" s="1"/>
  <c r="YK147" i="1" s="1"/>
  <c r="YT147" i="1" s="1"/>
  <c r="ZC147" i="1" s="1"/>
  <c r="ZL147" i="1" s="1"/>
  <c r="ZU147" i="1" s="1"/>
  <c r="AAD147" i="1" s="1"/>
  <c r="AAM147" i="1" s="1"/>
  <c r="AAV147" i="1" s="1"/>
  <c r="ABE147" i="1" s="1"/>
  <c r="NI147" i="1"/>
  <c r="NR162" i="1"/>
  <c r="OA162" i="1" s="1"/>
  <c r="OJ162" i="1" s="1"/>
  <c r="OS162" i="1" s="1"/>
  <c r="PB162" i="1" s="1"/>
  <c r="PK162" i="1" s="1"/>
  <c r="PT162" i="1" s="1"/>
  <c r="QC162" i="1" s="1"/>
  <c r="QL162" i="1" s="1"/>
  <c r="QU162" i="1" s="1"/>
  <c r="RD162" i="1" s="1"/>
  <c r="RM162" i="1" s="1"/>
  <c r="RV162" i="1" s="1"/>
  <c r="SE162" i="1" s="1"/>
  <c r="SN162" i="1" s="1"/>
  <c r="SW162" i="1" s="1"/>
  <c r="TF162" i="1" s="1"/>
  <c r="TO162" i="1" s="1"/>
  <c r="TX162" i="1" s="1"/>
  <c r="UG162" i="1" s="1"/>
  <c r="UP162" i="1" s="1"/>
  <c r="UY162" i="1" s="1"/>
  <c r="VH162" i="1" s="1"/>
  <c r="VQ162" i="1" s="1"/>
  <c r="VZ162" i="1" s="1"/>
  <c r="WI162" i="1" s="1"/>
  <c r="WR162" i="1" s="1"/>
  <c r="XA162" i="1" s="1"/>
  <c r="XJ162" i="1" s="1"/>
  <c r="XS162" i="1" s="1"/>
  <c r="YB162" i="1" s="1"/>
  <c r="YK162" i="1" s="1"/>
  <c r="YT162" i="1" s="1"/>
  <c r="ZC162" i="1" s="1"/>
  <c r="ZL162" i="1" s="1"/>
  <c r="ZU162" i="1" s="1"/>
  <c r="AAD162" i="1" s="1"/>
  <c r="AAM162" i="1" s="1"/>
  <c r="AAV162" i="1" s="1"/>
  <c r="ABE162" i="1" s="1"/>
  <c r="NI162" i="1"/>
  <c r="NR159" i="1"/>
  <c r="OA159" i="1" s="1"/>
  <c r="OJ159" i="1" s="1"/>
  <c r="OS159" i="1" s="1"/>
  <c r="PB159" i="1" s="1"/>
  <c r="PK159" i="1" s="1"/>
  <c r="PT159" i="1" s="1"/>
  <c r="QC159" i="1" s="1"/>
  <c r="QL159" i="1" s="1"/>
  <c r="QU159" i="1" s="1"/>
  <c r="RD159" i="1" s="1"/>
  <c r="RM159" i="1" s="1"/>
  <c r="RV159" i="1" s="1"/>
  <c r="SE159" i="1" s="1"/>
  <c r="SN159" i="1" s="1"/>
  <c r="SW159" i="1" s="1"/>
  <c r="TF159" i="1" s="1"/>
  <c r="TO159" i="1" s="1"/>
  <c r="TX159" i="1" s="1"/>
  <c r="UG159" i="1" s="1"/>
  <c r="UP159" i="1" s="1"/>
  <c r="UY159" i="1" s="1"/>
  <c r="VH159" i="1" s="1"/>
  <c r="VQ159" i="1" s="1"/>
  <c r="VZ159" i="1" s="1"/>
  <c r="WI159" i="1" s="1"/>
  <c r="WR159" i="1" s="1"/>
  <c r="XA159" i="1" s="1"/>
  <c r="XJ159" i="1" s="1"/>
  <c r="XS159" i="1" s="1"/>
  <c r="YB159" i="1" s="1"/>
  <c r="YK159" i="1" s="1"/>
  <c r="YT159" i="1" s="1"/>
  <c r="ZC159" i="1" s="1"/>
  <c r="ZL159" i="1" s="1"/>
  <c r="ZU159" i="1" s="1"/>
  <c r="AAD159" i="1" s="1"/>
  <c r="AAM159" i="1" s="1"/>
  <c r="AAV159" i="1" s="1"/>
  <c r="ABE159" i="1" s="1"/>
  <c r="NI159" i="1"/>
  <c r="NR177" i="1"/>
  <c r="OA177" i="1" s="1"/>
  <c r="OJ177" i="1" s="1"/>
  <c r="OS177" i="1" s="1"/>
  <c r="PB177" i="1" s="1"/>
  <c r="PK177" i="1" s="1"/>
  <c r="PT177" i="1" s="1"/>
  <c r="QC177" i="1" s="1"/>
  <c r="QL177" i="1" s="1"/>
  <c r="QU177" i="1" s="1"/>
  <c r="RD177" i="1" s="1"/>
  <c r="RM177" i="1" s="1"/>
  <c r="RV177" i="1" s="1"/>
  <c r="SE177" i="1" s="1"/>
  <c r="SN177" i="1" s="1"/>
  <c r="SW177" i="1" s="1"/>
  <c r="TF177" i="1" s="1"/>
  <c r="TO177" i="1" s="1"/>
  <c r="TX177" i="1" s="1"/>
  <c r="UG177" i="1" s="1"/>
  <c r="UP177" i="1" s="1"/>
  <c r="UY177" i="1" s="1"/>
  <c r="VH177" i="1" s="1"/>
  <c r="VQ177" i="1" s="1"/>
  <c r="VZ177" i="1" s="1"/>
  <c r="WI177" i="1" s="1"/>
  <c r="WR177" i="1" s="1"/>
  <c r="XA177" i="1" s="1"/>
  <c r="XJ177" i="1" s="1"/>
  <c r="XS177" i="1" s="1"/>
  <c r="YB177" i="1" s="1"/>
  <c r="YK177" i="1" s="1"/>
  <c r="YT177" i="1" s="1"/>
  <c r="ZC177" i="1" s="1"/>
  <c r="ZL177" i="1" s="1"/>
  <c r="ZU177" i="1" s="1"/>
  <c r="AAD177" i="1" s="1"/>
  <c r="AAM177" i="1" s="1"/>
  <c r="AAV177" i="1" s="1"/>
  <c r="ABE177" i="1" s="1"/>
  <c r="NI177" i="1"/>
  <c r="NR112" i="1"/>
  <c r="OA112" i="1" s="1"/>
  <c r="OJ112" i="1" s="1"/>
  <c r="OS112" i="1" s="1"/>
  <c r="PB112" i="1" s="1"/>
  <c r="PK112" i="1" s="1"/>
  <c r="PT112" i="1" s="1"/>
  <c r="QC112" i="1" s="1"/>
  <c r="QL112" i="1" s="1"/>
  <c r="QU112" i="1" s="1"/>
  <c r="RD112" i="1" s="1"/>
  <c r="RM112" i="1" s="1"/>
  <c r="RV112" i="1" s="1"/>
  <c r="SE112" i="1" s="1"/>
  <c r="SN112" i="1" s="1"/>
  <c r="SW112" i="1" s="1"/>
  <c r="TF112" i="1" s="1"/>
  <c r="TO112" i="1" s="1"/>
  <c r="TX112" i="1" s="1"/>
  <c r="UG112" i="1" s="1"/>
  <c r="UP112" i="1" s="1"/>
  <c r="UY112" i="1" s="1"/>
  <c r="VH112" i="1" s="1"/>
  <c r="VQ112" i="1" s="1"/>
  <c r="VZ112" i="1" s="1"/>
  <c r="WI112" i="1" s="1"/>
  <c r="WR112" i="1" s="1"/>
  <c r="XA112" i="1" s="1"/>
  <c r="XJ112" i="1" s="1"/>
  <c r="XS112" i="1" s="1"/>
  <c r="YB112" i="1" s="1"/>
  <c r="YK112" i="1" s="1"/>
  <c r="YT112" i="1" s="1"/>
  <c r="ZC112" i="1" s="1"/>
  <c r="ZL112" i="1" s="1"/>
  <c r="ZU112" i="1" s="1"/>
  <c r="AAD112" i="1" s="1"/>
  <c r="AAM112" i="1" s="1"/>
  <c r="AAV112" i="1" s="1"/>
  <c r="ABE112" i="1" s="1"/>
  <c r="NI112" i="1"/>
  <c r="NR131" i="1"/>
  <c r="OA131" i="1" s="1"/>
  <c r="OJ131" i="1" s="1"/>
  <c r="OS131" i="1" s="1"/>
  <c r="PB131" i="1" s="1"/>
  <c r="PK131" i="1" s="1"/>
  <c r="PT131" i="1" s="1"/>
  <c r="QC131" i="1" s="1"/>
  <c r="QL131" i="1" s="1"/>
  <c r="QU131" i="1" s="1"/>
  <c r="RD131" i="1" s="1"/>
  <c r="RM131" i="1" s="1"/>
  <c r="RV131" i="1" s="1"/>
  <c r="SE131" i="1" s="1"/>
  <c r="SN131" i="1" s="1"/>
  <c r="SW131" i="1" s="1"/>
  <c r="TF131" i="1" s="1"/>
  <c r="TO131" i="1" s="1"/>
  <c r="TX131" i="1" s="1"/>
  <c r="UG131" i="1" s="1"/>
  <c r="UP131" i="1" s="1"/>
  <c r="UY131" i="1" s="1"/>
  <c r="VH131" i="1" s="1"/>
  <c r="VQ131" i="1" s="1"/>
  <c r="VZ131" i="1" s="1"/>
  <c r="WI131" i="1" s="1"/>
  <c r="WR131" i="1" s="1"/>
  <c r="XA131" i="1" s="1"/>
  <c r="XJ131" i="1" s="1"/>
  <c r="XS131" i="1" s="1"/>
  <c r="YB131" i="1" s="1"/>
  <c r="YK131" i="1" s="1"/>
  <c r="YT131" i="1" s="1"/>
  <c r="ZC131" i="1" s="1"/>
  <c r="ZL131" i="1" s="1"/>
  <c r="ZU131" i="1" s="1"/>
  <c r="AAD131" i="1" s="1"/>
  <c r="AAM131" i="1" s="1"/>
  <c r="AAV131" i="1" s="1"/>
  <c r="ABE131" i="1" s="1"/>
  <c r="NI131" i="1"/>
  <c r="NR135" i="1"/>
  <c r="OA135" i="1" s="1"/>
  <c r="OJ135" i="1" s="1"/>
  <c r="OS135" i="1" s="1"/>
  <c r="PB135" i="1" s="1"/>
  <c r="PK135" i="1" s="1"/>
  <c r="PT135" i="1" s="1"/>
  <c r="QC135" i="1" s="1"/>
  <c r="QL135" i="1" s="1"/>
  <c r="QU135" i="1" s="1"/>
  <c r="RD135" i="1" s="1"/>
  <c r="RM135" i="1" s="1"/>
  <c r="RV135" i="1" s="1"/>
  <c r="SE135" i="1" s="1"/>
  <c r="SN135" i="1" s="1"/>
  <c r="SW135" i="1" s="1"/>
  <c r="TF135" i="1" s="1"/>
  <c r="TO135" i="1" s="1"/>
  <c r="TX135" i="1" s="1"/>
  <c r="UG135" i="1" s="1"/>
  <c r="UP135" i="1" s="1"/>
  <c r="UY135" i="1" s="1"/>
  <c r="VH135" i="1" s="1"/>
  <c r="VQ135" i="1" s="1"/>
  <c r="VZ135" i="1" s="1"/>
  <c r="WI135" i="1" s="1"/>
  <c r="WR135" i="1" s="1"/>
  <c r="XA135" i="1" s="1"/>
  <c r="XJ135" i="1" s="1"/>
  <c r="XS135" i="1" s="1"/>
  <c r="YB135" i="1" s="1"/>
  <c r="YK135" i="1" s="1"/>
  <c r="YT135" i="1" s="1"/>
  <c r="ZC135" i="1" s="1"/>
  <c r="ZL135" i="1" s="1"/>
  <c r="ZU135" i="1" s="1"/>
  <c r="AAD135" i="1" s="1"/>
  <c r="AAM135" i="1" s="1"/>
  <c r="AAV135" i="1" s="1"/>
  <c r="ABE135" i="1" s="1"/>
  <c r="NI135" i="1"/>
  <c r="NR138" i="1"/>
  <c r="OA138" i="1" s="1"/>
  <c r="OJ138" i="1" s="1"/>
  <c r="OS138" i="1" s="1"/>
  <c r="PB138" i="1" s="1"/>
  <c r="PK138" i="1" s="1"/>
  <c r="PT138" i="1" s="1"/>
  <c r="QC138" i="1" s="1"/>
  <c r="QL138" i="1" s="1"/>
  <c r="QU138" i="1" s="1"/>
  <c r="RD138" i="1" s="1"/>
  <c r="RM138" i="1" s="1"/>
  <c r="RV138" i="1" s="1"/>
  <c r="SE138" i="1" s="1"/>
  <c r="SN138" i="1" s="1"/>
  <c r="SW138" i="1" s="1"/>
  <c r="TF138" i="1" s="1"/>
  <c r="TO138" i="1" s="1"/>
  <c r="TX138" i="1" s="1"/>
  <c r="UG138" i="1" s="1"/>
  <c r="UP138" i="1" s="1"/>
  <c r="UY138" i="1" s="1"/>
  <c r="VH138" i="1" s="1"/>
  <c r="VQ138" i="1" s="1"/>
  <c r="VZ138" i="1" s="1"/>
  <c r="WI138" i="1" s="1"/>
  <c r="WR138" i="1" s="1"/>
  <c r="XA138" i="1" s="1"/>
  <c r="XJ138" i="1" s="1"/>
  <c r="XS138" i="1" s="1"/>
  <c r="YB138" i="1" s="1"/>
  <c r="YK138" i="1" s="1"/>
  <c r="YT138" i="1" s="1"/>
  <c r="ZC138" i="1" s="1"/>
  <c r="ZL138" i="1" s="1"/>
  <c r="ZU138" i="1" s="1"/>
  <c r="AAD138" i="1" s="1"/>
  <c r="AAM138" i="1" s="1"/>
  <c r="AAV138" i="1" s="1"/>
  <c r="ABE138" i="1" s="1"/>
  <c r="NI138" i="1"/>
  <c r="NR106" i="1"/>
  <c r="OA106" i="1" s="1"/>
  <c r="OJ106" i="1" s="1"/>
  <c r="OS106" i="1" s="1"/>
  <c r="PB106" i="1" s="1"/>
  <c r="PK106" i="1" s="1"/>
  <c r="PT106" i="1" s="1"/>
  <c r="QC106" i="1" s="1"/>
  <c r="QL106" i="1" s="1"/>
  <c r="QU106" i="1" s="1"/>
  <c r="RD106" i="1" s="1"/>
  <c r="RM106" i="1" s="1"/>
  <c r="RV106" i="1" s="1"/>
  <c r="SE106" i="1" s="1"/>
  <c r="SN106" i="1" s="1"/>
  <c r="SW106" i="1" s="1"/>
  <c r="TF106" i="1" s="1"/>
  <c r="TO106" i="1" s="1"/>
  <c r="TX106" i="1" s="1"/>
  <c r="UG106" i="1" s="1"/>
  <c r="UP106" i="1" s="1"/>
  <c r="UY106" i="1" s="1"/>
  <c r="VH106" i="1" s="1"/>
  <c r="VQ106" i="1" s="1"/>
  <c r="VZ106" i="1" s="1"/>
  <c r="WI106" i="1" s="1"/>
  <c r="WR106" i="1" s="1"/>
  <c r="XA106" i="1" s="1"/>
  <c r="XJ106" i="1" s="1"/>
  <c r="XS106" i="1" s="1"/>
  <c r="YB106" i="1" s="1"/>
  <c r="YK106" i="1" s="1"/>
  <c r="YT106" i="1" s="1"/>
  <c r="ZC106" i="1" s="1"/>
  <c r="ZL106" i="1" s="1"/>
  <c r="ZU106" i="1" s="1"/>
  <c r="AAD106" i="1" s="1"/>
  <c r="AAM106" i="1" s="1"/>
  <c r="AAV106" i="1" s="1"/>
  <c r="ABE106" i="1" s="1"/>
  <c r="NI106" i="1"/>
  <c r="NR77" i="1"/>
  <c r="OA77" i="1" s="1"/>
  <c r="OJ77" i="1" s="1"/>
  <c r="OS77" i="1" s="1"/>
  <c r="PB77" i="1" s="1"/>
  <c r="PK77" i="1" s="1"/>
  <c r="PT77" i="1" s="1"/>
  <c r="QC77" i="1" s="1"/>
  <c r="QL77" i="1" s="1"/>
  <c r="QU77" i="1" s="1"/>
  <c r="RD77" i="1" s="1"/>
  <c r="RM77" i="1" s="1"/>
  <c r="RV77" i="1" s="1"/>
  <c r="SE77" i="1" s="1"/>
  <c r="SN77" i="1" s="1"/>
  <c r="SW77" i="1" s="1"/>
  <c r="TF77" i="1" s="1"/>
  <c r="TO77" i="1" s="1"/>
  <c r="TX77" i="1" s="1"/>
  <c r="UG77" i="1" s="1"/>
  <c r="UP77" i="1" s="1"/>
  <c r="UY77" i="1" s="1"/>
  <c r="VH77" i="1" s="1"/>
  <c r="VQ77" i="1" s="1"/>
  <c r="VZ77" i="1" s="1"/>
  <c r="WI77" i="1" s="1"/>
  <c r="WR77" i="1" s="1"/>
  <c r="XA77" i="1" s="1"/>
  <c r="XJ77" i="1" s="1"/>
  <c r="XS77" i="1" s="1"/>
  <c r="YB77" i="1" s="1"/>
  <c r="YK77" i="1" s="1"/>
  <c r="YT77" i="1" s="1"/>
  <c r="ZC77" i="1" s="1"/>
  <c r="ZL77" i="1" s="1"/>
  <c r="ZU77" i="1" s="1"/>
  <c r="AAD77" i="1" s="1"/>
  <c r="AAM77" i="1" s="1"/>
  <c r="AAV77" i="1" s="1"/>
  <c r="ABE77" i="1" s="1"/>
  <c r="NI77" i="1"/>
  <c r="NR78" i="1"/>
  <c r="OA78" i="1" s="1"/>
  <c r="OJ78" i="1" s="1"/>
  <c r="OS78" i="1" s="1"/>
  <c r="PB78" i="1" s="1"/>
  <c r="PK78" i="1" s="1"/>
  <c r="PT78" i="1" s="1"/>
  <c r="QC78" i="1" s="1"/>
  <c r="QL78" i="1" s="1"/>
  <c r="QU78" i="1" s="1"/>
  <c r="RD78" i="1" s="1"/>
  <c r="RM78" i="1" s="1"/>
  <c r="RV78" i="1" s="1"/>
  <c r="SE78" i="1" s="1"/>
  <c r="SN78" i="1" s="1"/>
  <c r="SW78" i="1" s="1"/>
  <c r="TF78" i="1" s="1"/>
  <c r="TO78" i="1" s="1"/>
  <c r="TX78" i="1" s="1"/>
  <c r="UG78" i="1" s="1"/>
  <c r="UP78" i="1" s="1"/>
  <c r="UY78" i="1" s="1"/>
  <c r="VH78" i="1" s="1"/>
  <c r="VQ78" i="1" s="1"/>
  <c r="VZ78" i="1" s="1"/>
  <c r="WI78" i="1" s="1"/>
  <c r="WR78" i="1" s="1"/>
  <c r="XA78" i="1" s="1"/>
  <c r="XJ78" i="1" s="1"/>
  <c r="XS78" i="1" s="1"/>
  <c r="YB78" i="1" s="1"/>
  <c r="YK78" i="1" s="1"/>
  <c r="YT78" i="1" s="1"/>
  <c r="ZC78" i="1" s="1"/>
  <c r="ZL78" i="1" s="1"/>
  <c r="ZU78" i="1" s="1"/>
  <c r="AAD78" i="1" s="1"/>
  <c r="AAM78" i="1" s="1"/>
  <c r="AAV78" i="1" s="1"/>
  <c r="ABE78" i="1" s="1"/>
  <c r="NI78" i="1"/>
  <c r="NR79" i="1"/>
  <c r="OA79" i="1" s="1"/>
  <c r="OJ79" i="1" s="1"/>
  <c r="OS79" i="1" s="1"/>
  <c r="PB79" i="1" s="1"/>
  <c r="PK79" i="1" s="1"/>
  <c r="PT79" i="1" s="1"/>
  <c r="QC79" i="1" s="1"/>
  <c r="QL79" i="1" s="1"/>
  <c r="QU79" i="1" s="1"/>
  <c r="RD79" i="1" s="1"/>
  <c r="RM79" i="1" s="1"/>
  <c r="RV79" i="1" s="1"/>
  <c r="SE79" i="1" s="1"/>
  <c r="SN79" i="1" s="1"/>
  <c r="SW79" i="1" s="1"/>
  <c r="TF79" i="1" s="1"/>
  <c r="TO79" i="1" s="1"/>
  <c r="TX79" i="1" s="1"/>
  <c r="UG79" i="1" s="1"/>
  <c r="UP79" i="1" s="1"/>
  <c r="UY79" i="1" s="1"/>
  <c r="VH79" i="1" s="1"/>
  <c r="VQ79" i="1" s="1"/>
  <c r="VZ79" i="1" s="1"/>
  <c r="WI79" i="1" s="1"/>
  <c r="WR79" i="1" s="1"/>
  <c r="XA79" i="1" s="1"/>
  <c r="XJ79" i="1" s="1"/>
  <c r="XS79" i="1" s="1"/>
  <c r="YB79" i="1" s="1"/>
  <c r="YK79" i="1" s="1"/>
  <c r="YT79" i="1" s="1"/>
  <c r="ZC79" i="1" s="1"/>
  <c r="ZL79" i="1" s="1"/>
  <c r="ZU79" i="1" s="1"/>
  <c r="AAD79" i="1" s="1"/>
  <c r="AAM79" i="1" s="1"/>
  <c r="AAV79" i="1" s="1"/>
  <c r="ABE79" i="1" s="1"/>
  <c r="NI79" i="1"/>
  <c r="NR80" i="1"/>
  <c r="OA80" i="1" s="1"/>
  <c r="OJ80" i="1" s="1"/>
  <c r="OS80" i="1" s="1"/>
  <c r="PB80" i="1" s="1"/>
  <c r="PK80" i="1" s="1"/>
  <c r="PT80" i="1" s="1"/>
  <c r="QC80" i="1" s="1"/>
  <c r="QL80" i="1" s="1"/>
  <c r="QU80" i="1" s="1"/>
  <c r="RD80" i="1" s="1"/>
  <c r="RM80" i="1" s="1"/>
  <c r="RV80" i="1" s="1"/>
  <c r="SE80" i="1" s="1"/>
  <c r="SN80" i="1" s="1"/>
  <c r="SW80" i="1" s="1"/>
  <c r="TF80" i="1" s="1"/>
  <c r="TO80" i="1" s="1"/>
  <c r="TX80" i="1" s="1"/>
  <c r="UG80" i="1" s="1"/>
  <c r="UP80" i="1" s="1"/>
  <c r="UY80" i="1" s="1"/>
  <c r="VH80" i="1" s="1"/>
  <c r="VQ80" i="1" s="1"/>
  <c r="VZ80" i="1" s="1"/>
  <c r="WI80" i="1" s="1"/>
  <c r="WR80" i="1" s="1"/>
  <c r="XA80" i="1" s="1"/>
  <c r="XJ80" i="1" s="1"/>
  <c r="XS80" i="1" s="1"/>
  <c r="YB80" i="1" s="1"/>
  <c r="YK80" i="1" s="1"/>
  <c r="YT80" i="1" s="1"/>
  <c r="ZC80" i="1" s="1"/>
  <c r="ZL80" i="1" s="1"/>
  <c r="ZU80" i="1" s="1"/>
  <c r="AAD80" i="1" s="1"/>
  <c r="AAM80" i="1" s="1"/>
  <c r="AAV80" i="1" s="1"/>
  <c r="ABE80" i="1" s="1"/>
  <c r="NI80" i="1"/>
  <c r="NR81" i="1"/>
  <c r="OA81" i="1" s="1"/>
  <c r="OJ81" i="1" s="1"/>
  <c r="OS81" i="1" s="1"/>
  <c r="PB81" i="1" s="1"/>
  <c r="PK81" i="1" s="1"/>
  <c r="PT81" i="1" s="1"/>
  <c r="QC81" i="1" s="1"/>
  <c r="QL81" i="1" s="1"/>
  <c r="QU81" i="1" s="1"/>
  <c r="RD81" i="1" s="1"/>
  <c r="RM81" i="1" s="1"/>
  <c r="RV81" i="1" s="1"/>
  <c r="SE81" i="1" s="1"/>
  <c r="SN81" i="1" s="1"/>
  <c r="SW81" i="1" s="1"/>
  <c r="TF81" i="1" s="1"/>
  <c r="TO81" i="1" s="1"/>
  <c r="TX81" i="1" s="1"/>
  <c r="UG81" i="1" s="1"/>
  <c r="UP81" i="1" s="1"/>
  <c r="UY81" i="1" s="1"/>
  <c r="VH81" i="1" s="1"/>
  <c r="VQ81" i="1" s="1"/>
  <c r="VZ81" i="1" s="1"/>
  <c r="WI81" i="1" s="1"/>
  <c r="WR81" i="1" s="1"/>
  <c r="XA81" i="1" s="1"/>
  <c r="XJ81" i="1" s="1"/>
  <c r="XS81" i="1" s="1"/>
  <c r="YB81" i="1" s="1"/>
  <c r="YK81" i="1" s="1"/>
  <c r="YT81" i="1" s="1"/>
  <c r="ZC81" i="1" s="1"/>
  <c r="ZL81" i="1" s="1"/>
  <c r="ZU81" i="1" s="1"/>
  <c r="AAD81" i="1" s="1"/>
  <c r="AAM81" i="1" s="1"/>
  <c r="AAV81" i="1" s="1"/>
  <c r="ABE81" i="1" s="1"/>
  <c r="NI81" i="1"/>
  <c r="NR82" i="1"/>
  <c r="OA82" i="1" s="1"/>
  <c r="OJ82" i="1" s="1"/>
  <c r="OS82" i="1" s="1"/>
  <c r="PB82" i="1" s="1"/>
  <c r="PK82" i="1" s="1"/>
  <c r="PT82" i="1" s="1"/>
  <c r="QC82" i="1" s="1"/>
  <c r="QL82" i="1" s="1"/>
  <c r="QU82" i="1" s="1"/>
  <c r="RD82" i="1" s="1"/>
  <c r="RM82" i="1" s="1"/>
  <c r="RV82" i="1" s="1"/>
  <c r="SE82" i="1" s="1"/>
  <c r="SN82" i="1" s="1"/>
  <c r="SW82" i="1" s="1"/>
  <c r="TF82" i="1" s="1"/>
  <c r="TO82" i="1" s="1"/>
  <c r="TX82" i="1" s="1"/>
  <c r="UG82" i="1" s="1"/>
  <c r="UP82" i="1" s="1"/>
  <c r="UY82" i="1" s="1"/>
  <c r="VH82" i="1" s="1"/>
  <c r="VQ82" i="1" s="1"/>
  <c r="VZ82" i="1" s="1"/>
  <c r="WI82" i="1" s="1"/>
  <c r="WR82" i="1" s="1"/>
  <c r="XA82" i="1" s="1"/>
  <c r="XJ82" i="1" s="1"/>
  <c r="XS82" i="1" s="1"/>
  <c r="YB82" i="1" s="1"/>
  <c r="YK82" i="1" s="1"/>
  <c r="YT82" i="1" s="1"/>
  <c r="ZC82" i="1" s="1"/>
  <c r="ZL82" i="1" s="1"/>
  <c r="ZU82" i="1" s="1"/>
  <c r="AAD82" i="1" s="1"/>
  <c r="AAM82" i="1" s="1"/>
  <c r="AAV82" i="1" s="1"/>
  <c r="ABE82" i="1" s="1"/>
  <c r="NI82" i="1"/>
  <c r="NR83" i="1"/>
  <c r="OA83" i="1" s="1"/>
  <c r="OJ83" i="1" s="1"/>
  <c r="OS83" i="1" s="1"/>
  <c r="PB83" i="1" s="1"/>
  <c r="PK83" i="1" s="1"/>
  <c r="PT83" i="1" s="1"/>
  <c r="QC83" i="1" s="1"/>
  <c r="QL83" i="1" s="1"/>
  <c r="QU83" i="1" s="1"/>
  <c r="RD83" i="1" s="1"/>
  <c r="RM83" i="1" s="1"/>
  <c r="RV83" i="1" s="1"/>
  <c r="SE83" i="1" s="1"/>
  <c r="SN83" i="1" s="1"/>
  <c r="SW83" i="1" s="1"/>
  <c r="TF83" i="1" s="1"/>
  <c r="TO83" i="1" s="1"/>
  <c r="TX83" i="1" s="1"/>
  <c r="UG83" i="1" s="1"/>
  <c r="UP83" i="1" s="1"/>
  <c r="UY83" i="1" s="1"/>
  <c r="VH83" i="1" s="1"/>
  <c r="VQ83" i="1" s="1"/>
  <c r="VZ83" i="1" s="1"/>
  <c r="WI83" i="1" s="1"/>
  <c r="WR83" i="1" s="1"/>
  <c r="XA83" i="1" s="1"/>
  <c r="XJ83" i="1" s="1"/>
  <c r="XS83" i="1" s="1"/>
  <c r="YB83" i="1" s="1"/>
  <c r="YK83" i="1" s="1"/>
  <c r="YT83" i="1" s="1"/>
  <c r="ZC83" i="1" s="1"/>
  <c r="ZL83" i="1" s="1"/>
  <c r="ZU83" i="1" s="1"/>
  <c r="AAD83" i="1" s="1"/>
  <c r="AAM83" i="1" s="1"/>
  <c r="AAV83" i="1" s="1"/>
  <c r="ABE83" i="1" s="1"/>
  <c r="NI83" i="1"/>
  <c r="NR84" i="1"/>
  <c r="OA84" i="1" s="1"/>
  <c r="OJ84" i="1" s="1"/>
  <c r="OS84" i="1" s="1"/>
  <c r="PB84" i="1" s="1"/>
  <c r="PK84" i="1" s="1"/>
  <c r="PT84" i="1" s="1"/>
  <c r="QC84" i="1" s="1"/>
  <c r="QL84" i="1" s="1"/>
  <c r="QU84" i="1" s="1"/>
  <c r="RD84" i="1" s="1"/>
  <c r="RM84" i="1" s="1"/>
  <c r="RV84" i="1" s="1"/>
  <c r="SE84" i="1" s="1"/>
  <c r="SN84" i="1" s="1"/>
  <c r="SW84" i="1" s="1"/>
  <c r="TF84" i="1" s="1"/>
  <c r="TO84" i="1" s="1"/>
  <c r="TX84" i="1" s="1"/>
  <c r="UG84" i="1" s="1"/>
  <c r="UP84" i="1" s="1"/>
  <c r="UY84" i="1" s="1"/>
  <c r="VH84" i="1" s="1"/>
  <c r="VQ84" i="1" s="1"/>
  <c r="VZ84" i="1" s="1"/>
  <c r="WI84" i="1" s="1"/>
  <c r="WR84" i="1" s="1"/>
  <c r="XA84" i="1" s="1"/>
  <c r="XJ84" i="1" s="1"/>
  <c r="XS84" i="1" s="1"/>
  <c r="YB84" i="1" s="1"/>
  <c r="YK84" i="1" s="1"/>
  <c r="YT84" i="1" s="1"/>
  <c r="ZC84" i="1" s="1"/>
  <c r="ZL84" i="1" s="1"/>
  <c r="ZU84" i="1" s="1"/>
  <c r="AAD84" i="1" s="1"/>
  <c r="AAM84" i="1" s="1"/>
  <c r="AAV84" i="1" s="1"/>
  <c r="ABE84" i="1" s="1"/>
  <c r="NI84" i="1"/>
  <c r="NR85" i="1"/>
  <c r="OA85" i="1" s="1"/>
  <c r="OJ85" i="1" s="1"/>
  <c r="OS85" i="1" s="1"/>
  <c r="PB85" i="1" s="1"/>
  <c r="PK85" i="1" s="1"/>
  <c r="PT85" i="1" s="1"/>
  <c r="QC85" i="1" s="1"/>
  <c r="QL85" i="1" s="1"/>
  <c r="QU85" i="1" s="1"/>
  <c r="RD85" i="1" s="1"/>
  <c r="RM85" i="1" s="1"/>
  <c r="RV85" i="1" s="1"/>
  <c r="SE85" i="1" s="1"/>
  <c r="SN85" i="1" s="1"/>
  <c r="SW85" i="1" s="1"/>
  <c r="TF85" i="1" s="1"/>
  <c r="TO85" i="1" s="1"/>
  <c r="TX85" i="1" s="1"/>
  <c r="UG85" i="1" s="1"/>
  <c r="UP85" i="1" s="1"/>
  <c r="UY85" i="1" s="1"/>
  <c r="VH85" i="1" s="1"/>
  <c r="VQ85" i="1" s="1"/>
  <c r="VZ85" i="1" s="1"/>
  <c r="WI85" i="1" s="1"/>
  <c r="WR85" i="1" s="1"/>
  <c r="XA85" i="1" s="1"/>
  <c r="XJ85" i="1" s="1"/>
  <c r="XS85" i="1" s="1"/>
  <c r="YB85" i="1" s="1"/>
  <c r="YK85" i="1" s="1"/>
  <c r="YT85" i="1" s="1"/>
  <c r="ZC85" i="1" s="1"/>
  <c r="ZL85" i="1" s="1"/>
  <c r="ZU85" i="1" s="1"/>
  <c r="AAD85" i="1" s="1"/>
  <c r="AAM85" i="1" s="1"/>
  <c r="AAV85" i="1" s="1"/>
  <c r="ABE85" i="1" s="1"/>
  <c r="NI85" i="1"/>
  <c r="NR86" i="1"/>
  <c r="OA86" i="1" s="1"/>
  <c r="OJ86" i="1" s="1"/>
  <c r="OS86" i="1" s="1"/>
  <c r="PB86" i="1" s="1"/>
  <c r="PK86" i="1" s="1"/>
  <c r="PT86" i="1" s="1"/>
  <c r="QC86" i="1" s="1"/>
  <c r="QL86" i="1" s="1"/>
  <c r="QU86" i="1" s="1"/>
  <c r="RD86" i="1" s="1"/>
  <c r="RM86" i="1" s="1"/>
  <c r="RV86" i="1" s="1"/>
  <c r="SE86" i="1" s="1"/>
  <c r="SN86" i="1" s="1"/>
  <c r="SW86" i="1" s="1"/>
  <c r="TF86" i="1" s="1"/>
  <c r="TO86" i="1" s="1"/>
  <c r="TX86" i="1" s="1"/>
  <c r="UG86" i="1" s="1"/>
  <c r="UP86" i="1" s="1"/>
  <c r="UY86" i="1" s="1"/>
  <c r="VH86" i="1" s="1"/>
  <c r="VQ86" i="1" s="1"/>
  <c r="VZ86" i="1" s="1"/>
  <c r="WI86" i="1" s="1"/>
  <c r="WR86" i="1" s="1"/>
  <c r="XA86" i="1" s="1"/>
  <c r="XJ86" i="1" s="1"/>
  <c r="XS86" i="1" s="1"/>
  <c r="YB86" i="1" s="1"/>
  <c r="YK86" i="1" s="1"/>
  <c r="YT86" i="1" s="1"/>
  <c r="ZC86" i="1" s="1"/>
  <c r="ZL86" i="1" s="1"/>
  <c r="ZU86" i="1" s="1"/>
  <c r="AAD86" i="1" s="1"/>
  <c r="AAM86" i="1" s="1"/>
  <c r="AAV86" i="1" s="1"/>
  <c r="ABE86" i="1" s="1"/>
  <c r="NI86" i="1"/>
  <c r="NR87" i="1"/>
  <c r="OA87" i="1" s="1"/>
  <c r="OJ87" i="1" s="1"/>
  <c r="OS87" i="1" s="1"/>
  <c r="PB87" i="1" s="1"/>
  <c r="PK87" i="1" s="1"/>
  <c r="PT87" i="1" s="1"/>
  <c r="QC87" i="1" s="1"/>
  <c r="QL87" i="1" s="1"/>
  <c r="QU87" i="1" s="1"/>
  <c r="RD87" i="1" s="1"/>
  <c r="RM87" i="1" s="1"/>
  <c r="RV87" i="1" s="1"/>
  <c r="SE87" i="1" s="1"/>
  <c r="SN87" i="1" s="1"/>
  <c r="SW87" i="1" s="1"/>
  <c r="TF87" i="1" s="1"/>
  <c r="TO87" i="1" s="1"/>
  <c r="TX87" i="1" s="1"/>
  <c r="UG87" i="1" s="1"/>
  <c r="UP87" i="1" s="1"/>
  <c r="UY87" i="1" s="1"/>
  <c r="VH87" i="1" s="1"/>
  <c r="VQ87" i="1" s="1"/>
  <c r="VZ87" i="1" s="1"/>
  <c r="WI87" i="1" s="1"/>
  <c r="WR87" i="1" s="1"/>
  <c r="XA87" i="1" s="1"/>
  <c r="XJ87" i="1" s="1"/>
  <c r="XS87" i="1" s="1"/>
  <c r="YB87" i="1" s="1"/>
  <c r="YK87" i="1" s="1"/>
  <c r="YT87" i="1" s="1"/>
  <c r="ZC87" i="1" s="1"/>
  <c r="ZL87" i="1" s="1"/>
  <c r="ZU87" i="1" s="1"/>
  <c r="AAD87" i="1" s="1"/>
  <c r="AAM87" i="1" s="1"/>
  <c r="AAV87" i="1" s="1"/>
  <c r="ABE87" i="1" s="1"/>
  <c r="NI87" i="1"/>
  <c r="NR88" i="1"/>
  <c r="OA88" i="1" s="1"/>
  <c r="OJ88" i="1" s="1"/>
  <c r="OS88" i="1" s="1"/>
  <c r="PB88" i="1" s="1"/>
  <c r="PK88" i="1" s="1"/>
  <c r="PT88" i="1" s="1"/>
  <c r="QC88" i="1" s="1"/>
  <c r="QL88" i="1" s="1"/>
  <c r="QU88" i="1" s="1"/>
  <c r="RD88" i="1" s="1"/>
  <c r="RM88" i="1" s="1"/>
  <c r="RV88" i="1" s="1"/>
  <c r="SE88" i="1" s="1"/>
  <c r="SN88" i="1" s="1"/>
  <c r="SW88" i="1" s="1"/>
  <c r="TF88" i="1" s="1"/>
  <c r="TO88" i="1" s="1"/>
  <c r="TX88" i="1" s="1"/>
  <c r="UG88" i="1" s="1"/>
  <c r="UP88" i="1" s="1"/>
  <c r="UY88" i="1" s="1"/>
  <c r="VH88" i="1" s="1"/>
  <c r="VQ88" i="1" s="1"/>
  <c r="VZ88" i="1" s="1"/>
  <c r="WI88" i="1" s="1"/>
  <c r="WR88" i="1" s="1"/>
  <c r="XA88" i="1" s="1"/>
  <c r="XJ88" i="1" s="1"/>
  <c r="XS88" i="1" s="1"/>
  <c r="YB88" i="1" s="1"/>
  <c r="YK88" i="1" s="1"/>
  <c r="YT88" i="1" s="1"/>
  <c r="ZC88" i="1" s="1"/>
  <c r="ZL88" i="1" s="1"/>
  <c r="ZU88" i="1" s="1"/>
  <c r="AAD88" i="1" s="1"/>
  <c r="AAM88" i="1" s="1"/>
  <c r="AAV88" i="1" s="1"/>
  <c r="ABE88" i="1" s="1"/>
  <c r="NI88" i="1"/>
  <c r="NR89" i="1"/>
  <c r="OA89" i="1" s="1"/>
  <c r="OJ89" i="1" s="1"/>
  <c r="OS89" i="1" s="1"/>
  <c r="PB89" i="1" s="1"/>
  <c r="PK89" i="1" s="1"/>
  <c r="PT89" i="1" s="1"/>
  <c r="QC89" i="1" s="1"/>
  <c r="QL89" i="1" s="1"/>
  <c r="QU89" i="1" s="1"/>
  <c r="RD89" i="1" s="1"/>
  <c r="RM89" i="1" s="1"/>
  <c r="RV89" i="1" s="1"/>
  <c r="SE89" i="1" s="1"/>
  <c r="SN89" i="1" s="1"/>
  <c r="SW89" i="1" s="1"/>
  <c r="TF89" i="1" s="1"/>
  <c r="TO89" i="1" s="1"/>
  <c r="TX89" i="1" s="1"/>
  <c r="UG89" i="1" s="1"/>
  <c r="UP89" i="1" s="1"/>
  <c r="UY89" i="1" s="1"/>
  <c r="VH89" i="1" s="1"/>
  <c r="VQ89" i="1" s="1"/>
  <c r="VZ89" i="1" s="1"/>
  <c r="WI89" i="1" s="1"/>
  <c r="WR89" i="1" s="1"/>
  <c r="XA89" i="1" s="1"/>
  <c r="XJ89" i="1" s="1"/>
  <c r="XS89" i="1" s="1"/>
  <c r="YB89" i="1" s="1"/>
  <c r="YK89" i="1" s="1"/>
  <c r="YT89" i="1" s="1"/>
  <c r="ZC89" i="1" s="1"/>
  <c r="ZL89" i="1" s="1"/>
  <c r="ZU89" i="1" s="1"/>
  <c r="AAD89" i="1" s="1"/>
  <c r="AAM89" i="1" s="1"/>
  <c r="AAV89" i="1" s="1"/>
  <c r="ABE89" i="1" s="1"/>
  <c r="NI89" i="1"/>
  <c r="NR90" i="1"/>
  <c r="OA90" i="1" s="1"/>
  <c r="OJ90" i="1" s="1"/>
  <c r="OS90" i="1" s="1"/>
  <c r="PB90" i="1" s="1"/>
  <c r="PK90" i="1" s="1"/>
  <c r="PT90" i="1" s="1"/>
  <c r="QC90" i="1" s="1"/>
  <c r="QL90" i="1" s="1"/>
  <c r="QU90" i="1" s="1"/>
  <c r="RD90" i="1" s="1"/>
  <c r="RM90" i="1" s="1"/>
  <c r="RV90" i="1" s="1"/>
  <c r="SE90" i="1" s="1"/>
  <c r="SN90" i="1" s="1"/>
  <c r="SW90" i="1" s="1"/>
  <c r="TF90" i="1" s="1"/>
  <c r="TO90" i="1" s="1"/>
  <c r="TX90" i="1" s="1"/>
  <c r="UG90" i="1" s="1"/>
  <c r="UP90" i="1" s="1"/>
  <c r="UY90" i="1" s="1"/>
  <c r="VH90" i="1" s="1"/>
  <c r="VQ90" i="1" s="1"/>
  <c r="VZ90" i="1" s="1"/>
  <c r="WI90" i="1" s="1"/>
  <c r="WR90" i="1" s="1"/>
  <c r="XA90" i="1" s="1"/>
  <c r="XJ90" i="1" s="1"/>
  <c r="XS90" i="1" s="1"/>
  <c r="YB90" i="1" s="1"/>
  <c r="YK90" i="1" s="1"/>
  <c r="YT90" i="1" s="1"/>
  <c r="ZC90" i="1" s="1"/>
  <c r="ZL90" i="1" s="1"/>
  <c r="ZU90" i="1" s="1"/>
  <c r="AAD90" i="1" s="1"/>
  <c r="AAM90" i="1" s="1"/>
  <c r="AAV90" i="1" s="1"/>
  <c r="ABE90" i="1" s="1"/>
  <c r="NI90" i="1"/>
  <c r="NR91" i="1"/>
  <c r="OA91" i="1" s="1"/>
  <c r="OJ91" i="1" s="1"/>
  <c r="OS91" i="1" s="1"/>
  <c r="PB91" i="1" s="1"/>
  <c r="PK91" i="1" s="1"/>
  <c r="PT91" i="1" s="1"/>
  <c r="QC91" i="1" s="1"/>
  <c r="QL91" i="1" s="1"/>
  <c r="QU91" i="1" s="1"/>
  <c r="RD91" i="1" s="1"/>
  <c r="RM91" i="1" s="1"/>
  <c r="RV91" i="1" s="1"/>
  <c r="SE91" i="1" s="1"/>
  <c r="SN91" i="1" s="1"/>
  <c r="SW91" i="1" s="1"/>
  <c r="TF91" i="1" s="1"/>
  <c r="TO91" i="1" s="1"/>
  <c r="TX91" i="1" s="1"/>
  <c r="UG91" i="1" s="1"/>
  <c r="UP91" i="1" s="1"/>
  <c r="UY91" i="1" s="1"/>
  <c r="VH91" i="1" s="1"/>
  <c r="VQ91" i="1" s="1"/>
  <c r="VZ91" i="1" s="1"/>
  <c r="WI91" i="1" s="1"/>
  <c r="WR91" i="1" s="1"/>
  <c r="XA91" i="1" s="1"/>
  <c r="XJ91" i="1" s="1"/>
  <c r="XS91" i="1" s="1"/>
  <c r="YB91" i="1" s="1"/>
  <c r="YK91" i="1" s="1"/>
  <c r="YT91" i="1" s="1"/>
  <c r="ZC91" i="1" s="1"/>
  <c r="ZL91" i="1" s="1"/>
  <c r="ZU91" i="1" s="1"/>
  <c r="AAD91" i="1" s="1"/>
  <c r="AAM91" i="1" s="1"/>
  <c r="AAV91" i="1" s="1"/>
  <c r="ABE91" i="1" s="1"/>
  <c r="NI91" i="1"/>
  <c r="NR92" i="1"/>
  <c r="OA92" i="1" s="1"/>
  <c r="OJ92" i="1" s="1"/>
  <c r="OS92" i="1" s="1"/>
  <c r="PB92" i="1" s="1"/>
  <c r="PK92" i="1" s="1"/>
  <c r="PT92" i="1" s="1"/>
  <c r="QC92" i="1" s="1"/>
  <c r="QL92" i="1" s="1"/>
  <c r="QU92" i="1" s="1"/>
  <c r="RD92" i="1" s="1"/>
  <c r="RM92" i="1" s="1"/>
  <c r="RV92" i="1" s="1"/>
  <c r="SE92" i="1" s="1"/>
  <c r="SN92" i="1" s="1"/>
  <c r="SW92" i="1" s="1"/>
  <c r="TF92" i="1" s="1"/>
  <c r="TO92" i="1" s="1"/>
  <c r="TX92" i="1" s="1"/>
  <c r="UG92" i="1" s="1"/>
  <c r="UP92" i="1" s="1"/>
  <c r="UY92" i="1" s="1"/>
  <c r="VH92" i="1" s="1"/>
  <c r="VQ92" i="1" s="1"/>
  <c r="VZ92" i="1" s="1"/>
  <c r="WI92" i="1" s="1"/>
  <c r="WR92" i="1" s="1"/>
  <c r="XA92" i="1" s="1"/>
  <c r="XJ92" i="1" s="1"/>
  <c r="XS92" i="1" s="1"/>
  <c r="YB92" i="1" s="1"/>
  <c r="YK92" i="1" s="1"/>
  <c r="YT92" i="1" s="1"/>
  <c r="ZC92" i="1" s="1"/>
  <c r="ZL92" i="1" s="1"/>
  <c r="ZU92" i="1" s="1"/>
  <c r="AAD92" i="1" s="1"/>
  <c r="AAM92" i="1" s="1"/>
  <c r="AAV92" i="1" s="1"/>
  <c r="ABE92" i="1" s="1"/>
  <c r="NI92" i="1"/>
  <c r="NR93" i="1"/>
  <c r="OA93" i="1" s="1"/>
  <c r="OJ93" i="1" s="1"/>
  <c r="OS93" i="1" s="1"/>
  <c r="PB93" i="1" s="1"/>
  <c r="PK93" i="1" s="1"/>
  <c r="PT93" i="1" s="1"/>
  <c r="QC93" i="1" s="1"/>
  <c r="QL93" i="1" s="1"/>
  <c r="QU93" i="1" s="1"/>
  <c r="RD93" i="1" s="1"/>
  <c r="RM93" i="1" s="1"/>
  <c r="RV93" i="1" s="1"/>
  <c r="SE93" i="1" s="1"/>
  <c r="SN93" i="1" s="1"/>
  <c r="SW93" i="1" s="1"/>
  <c r="TF93" i="1" s="1"/>
  <c r="TO93" i="1" s="1"/>
  <c r="TX93" i="1" s="1"/>
  <c r="UG93" i="1" s="1"/>
  <c r="UP93" i="1" s="1"/>
  <c r="UY93" i="1" s="1"/>
  <c r="VH93" i="1" s="1"/>
  <c r="VQ93" i="1" s="1"/>
  <c r="VZ93" i="1" s="1"/>
  <c r="WI93" i="1" s="1"/>
  <c r="WR93" i="1" s="1"/>
  <c r="XA93" i="1" s="1"/>
  <c r="XJ93" i="1" s="1"/>
  <c r="XS93" i="1" s="1"/>
  <c r="YB93" i="1" s="1"/>
  <c r="YK93" i="1" s="1"/>
  <c r="YT93" i="1" s="1"/>
  <c r="ZC93" i="1" s="1"/>
  <c r="ZL93" i="1" s="1"/>
  <c r="ZU93" i="1" s="1"/>
  <c r="AAD93" i="1" s="1"/>
  <c r="AAM93" i="1" s="1"/>
  <c r="AAV93" i="1" s="1"/>
  <c r="ABE93" i="1" s="1"/>
  <c r="NI93" i="1"/>
  <c r="NR94" i="1"/>
  <c r="OA94" i="1" s="1"/>
  <c r="OJ94" i="1" s="1"/>
  <c r="OS94" i="1" s="1"/>
  <c r="PB94" i="1" s="1"/>
  <c r="PK94" i="1" s="1"/>
  <c r="PT94" i="1" s="1"/>
  <c r="QC94" i="1" s="1"/>
  <c r="QL94" i="1" s="1"/>
  <c r="QU94" i="1" s="1"/>
  <c r="RD94" i="1" s="1"/>
  <c r="RM94" i="1" s="1"/>
  <c r="RV94" i="1" s="1"/>
  <c r="SE94" i="1" s="1"/>
  <c r="SN94" i="1" s="1"/>
  <c r="SW94" i="1" s="1"/>
  <c r="TF94" i="1" s="1"/>
  <c r="TO94" i="1" s="1"/>
  <c r="TX94" i="1" s="1"/>
  <c r="UG94" i="1" s="1"/>
  <c r="UP94" i="1" s="1"/>
  <c r="UY94" i="1" s="1"/>
  <c r="VH94" i="1" s="1"/>
  <c r="VQ94" i="1" s="1"/>
  <c r="VZ94" i="1" s="1"/>
  <c r="WI94" i="1" s="1"/>
  <c r="WR94" i="1" s="1"/>
  <c r="XA94" i="1" s="1"/>
  <c r="XJ94" i="1" s="1"/>
  <c r="XS94" i="1" s="1"/>
  <c r="YB94" i="1" s="1"/>
  <c r="YK94" i="1" s="1"/>
  <c r="YT94" i="1" s="1"/>
  <c r="ZC94" i="1" s="1"/>
  <c r="ZL94" i="1" s="1"/>
  <c r="ZU94" i="1" s="1"/>
  <c r="AAD94" i="1" s="1"/>
  <c r="AAM94" i="1" s="1"/>
  <c r="AAV94" i="1" s="1"/>
  <c r="ABE94" i="1" s="1"/>
  <c r="NI94" i="1"/>
  <c r="NR95" i="1"/>
  <c r="OA95" i="1" s="1"/>
  <c r="OJ95" i="1" s="1"/>
  <c r="OS95" i="1" s="1"/>
  <c r="PB95" i="1" s="1"/>
  <c r="PK95" i="1" s="1"/>
  <c r="PT95" i="1" s="1"/>
  <c r="QC95" i="1" s="1"/>
  <c r="QL95" i="1" s="1"/>
  <c r="QU95" i="1" s="1"/>
  <c r="RD95" i="1" s="1"/>
  <c r="RM95" i="1" s="1"/>
  <c r="RV95" i="1" s="1"/>
  <c r="SE95" i="1" s="1"/>
  <c r="SN95" i="1" s="1"/>
  <c r="SW95" i="1" s="1"/>
  <c r="TF95" i="1" s="1"/>
  <c r="TO95" i="1" s="1"/>
  <c r="TX95" i="1" s="1"/>
  <c r="UG95" i="1" s="1"/>
  <c r="UP95" i="1" s="1"/>
  <c r="UY95" i="1" s="1"/>
  <c r="VH95" i="1" s="1"/>
  <c r="VQ95" i="1" s="1"/>
  <c r="VZ95" i="1" s="1"/>
  <c r="WI95" i="1" s="1"/>
  <c r="WR95" i="1" s="1"/>
  <c r="XA95" i="1" s="1"/>
  <c r="XJ95" i="1" s="1"/>
  <c r="XS95" i="1" s="1"/>
  <c r="YB95" i="1" s="1"/>
  <c r="YK95" i="1" s="1"/>
  <c r="YT95" i="1" s="1"/>
  <c r="ZC95" i="1" s="1"/>
  <c r="ZL95" i="1" s="1"/>
  <c r="ZU95" i="1" s="1"/>
  <c r="AAD95" i="1" s="1"/>
  <c r="AAM95" i="1" s="1"/>
  <c r="AAV95" i="1" s="1"/>
  <c r="ABE95" i="1" s="1"/>
  <c r="NI95" i="1"/>
  <c r="NR96" i="1"/>
  <c r="OA96" i="1" s="1"/>
  <c r="OJ96" i="1" s="1"/>
  <c r="OS96" i="1" s="1"/>
  <c r="PB96" i="1" s="1"/>
  <c r="PK96" i="1" s="1"/>
  <c r="PT96" i="1" s="1"/>
  <c r="QC96" i="1" s="1"/>
  <c r="QL96" i="1" s="1"/>
  <c r="QU96" i="1" s="1"/>
  <c r="RD96" i="1" s="1"/>
  <c r="RM96" i="1" s="1"/>
  <c r="RV96" i="1" s="1"/>
  <c r="SE96" i="1" s="1"/>
  <c r="SN96" i="1" s="1"/>
  <c r="SW96" i="1" s="1"/>
  <c r="TF96" i="1" s="1"/>
  <c r="TO96" i="1" s="1"/>
  <c r="TX96" i="1" s="1"/>
  <c r="UG96" i="1" s="1"/>
  <c r="UP96" i="1" s="1"/>
  <c r="UY96" i="1" s="1"/>
  <c r="VH96" i="1" s="1"/>
  <c r="VQ96" i="1" s="1"/>
  <c r="VZ96" i="1" s="1"/>
  <c r="WI96" i="1" s="1"/>
  <c r="WR96" i="1" s="1"/>
  <c r="XA96" i="1" s="1"/>
  <c r="XJ96" i="1" s="1"/>
  <c r="XS96" i="1" s="1"/>
  <c r="YB96" i="1" s="1"/>
  <c r="YK96" i="1" s="1"/>
  <c r="YT96" i="1" s="1"/>
  <c r="ZC96" i="1" s="1"/>
  <c r="ZL96" i="1" s="1"/>
  <c r="ZU96" i="1" s="1"/>
  <c r="AAD96" i="1" s="1"/>
  <c r="AAM96" i="1" s="1"/>
  <c r="AAV96" i="1" s="1"/>
  <c r="ABE96" i="1" s="1"/>
  <c r="NI96" i="1"/>
  <c r="NR97" i="1"/>
  <c r="OA97" i="1" s="1"/>
  <c r="OJ97" i="1" s="1"/>
  <c r="OS97" i="1" s="1"/>
  <c r="PB97" i="1" s="1"/>
  <c r="PK97" i="1" s="1"/>
  <c r="PT97" i="1" s="1"/>
  <c r="QC97" i="1" s="1"/>
  <c r="QL97" i="1" s="1"/>
  <c r="QU97" i="1" s="1"/>
  <c r="RD97" i="1" s="1"/>
  <c r="RM97" i="1" s="1"/>
  <c r="RV97" i="1" s="1"/>
  <c r="SE97" i="1" s="1"/>
  <c r="SN97" i="1" s="1"/>
  <c r="SW97" i="1" s="1"/>
  <c r="TF97" i="1" s="1"/>
  <c r="TO97" i="1" s="1"/>
  <c r="TX97" i="1" s="1"/>
  <c r="UG97" i="1" s="1"/>
  <c r="UP97" i="1" s="1"/>
  <c r="UY97" i="1" s="1"/>
  <c r="VH97" i="1" s="1"/>
  <c r="VQ97" i="1" s="1"/>
  <c r="VZ97" i="1" s="1"/>
  <c r="WI97" i="1" s="1"/>
  <c r="WR97" i="1" s="1"/>
  <c r="XA97" i="1" s="1"/>
  <c r="XJ97" i="1" s="1"/>
  <c r="XS97" i="1" s="1"/>
  <c r="YB97" i="1" s="1"/>
  <c r="YK97" i="1" s="1"/>
  <c r="YT97" i="1" s="1"/>
  <c r="ZC97" i="1" s="1"/>
  <c r="ZL97" i="1" s="1"/>
  <c r="ZU97" i="1" s="1"/>
  <c r="AAD97" i="1" s="1"/>
  <c r="AAM97" i="1" s="1"/>
  <c r="AAV97" i="1" s="1"/>
  <c r="ABE97" i="1" s="1"/>
  <c r="NI97" i="1"/>
  <c r="NR98" i="1"/>
  <c r="OA98" i="1" s="1"/>
  <c r="OJ98" i="1" s="1"/>
  <c r="OS98" i="1" s="1"/>
  <c r="PB98" i="1" s="1"/>
  <c r="PK98" i="1" s="1"/>
  <c r="PT98" i="1" s="1"/>
  <c r="QC98" i="1" s="1"/>
  <c r="QL98" i="1" s="1"/>
  <c r="QU98" i="1" s="1"/>
  <c r="RD98" i="1" s="1"/>
  <c r="RM98" i="1" s="1"/>
  <c r="RV98" i="1" s="1"/>
  <c r="SE98" i="1" s="1"/>
  <c r="SN98" i="1" s="1"/>
  <c r="SW98" i="1" s="1"/>
  <c r="TF98" i="1" s="1"/>
  <c r="TO98" i="1" s="1"/>
  <c r="TX98" i="1" s="1"/>
  <c r="UG98" i="1" s="1"/>
  <c r="UP98" i="1" s="1"/>
  <c r="UY98" i="1" s="1"/>
  <c r="VH98" i="1" s="1"/>
  <c r="VQ98" i="1" s="1"/>
  <c r="VZ98" i="1" s="1"/>
  <c r="WI98" i="1" s="1"/>
  <c r="WR98" i="1" s="1"/>
  <c r="XA98" i="1" s="1"/>
  <c r="XJ98" i="1" s="1"/>
  <c r="XS98" i="1" s="1"/>
  <c r="YB98" i="1" s="1"/>
  <c r="YK98" i="1" s="1"/>
  <c r="YT98" i="1" s="1"/>
  <c r="ZC98" i="1" s="1"/>
  <c r="ZL98" i="1" s="1"/>
  <c r="ZU98" i="1" s="1"/>
  <c r="AAD98" i="1" s="1"/>
  <c r="AAM98" i="1" s="1"/>
  <c r="AAV98" i="1" s="1"/>
  <c r="ABE98" i="1" s="1"/>
  <c r="NI98" i="1"/>
  <c r="NR99" i="1"/>
  <c r="OA99" i="1" s="1"/>
  <c r="OJ99" i="1" s="1"/>
  <c r="OS99" i="1" s="1"/>
  <c r="PB99" i="1" s="1"/>
  <c r="PK99" i="1" s="1"/>
  <c r="PT99" i="1" s="1"/>
  <c r="QC99" i="1" s="1"/>
  <c r="QL99" i="1" s="1"/>
  <c r="QU99" i="1" s="1"/>
  <c r="RD99" i="1" s="1"/>
  <c r="RM99" i="1" s="1"/>
  <c r="RV99" i="1" s="1"/>
  <c r="SE99" i="1" s="1"/>
  <c r="SN99" i="1" s="1"/>
  <c r="SW99" i="1" s="1"/>
  <c r="TF99" i="1" s="1"/>
  <c r="TO99" i="1" s="1"/>
  <c r="TX99" i="1" s="1"/>
  <c r="UG99" i="1" s="1"/>
  <c r="UP99" i="1" s="1"/>
  <c r="UY99" i="1" s="1"/>
  <c r="VH99" i="1" s="1"/>
  <c r="VQ99" i="1" s="1"/>
  <c r="VZ99" i="1" s="1"/>
  <c r="WI99" i="1" s="1"/>
  <c r="WR99" i="1" s="1"/>
  <c r="XA99" i="1" s="1"/>
  <c r="XJ99" i="1" s="1"/>
  <c r="XS99" i="1" s="1"/>
  <c r="YB99" i="1" s="1"/>
  <c r="YK99" i="1" s="1"/>
  <c r="YT99" i="1" s="1"/>
  <c r="ZC99" i="1" s="1"/>
  <c r="ZL99" i="1" s="1"/>
  <c r="ZU99" i="1" s="1"/>
  <c r="AAD99" i="1" s="1"/>
  <c r="AAM99" i="1" s="1"/>
  <c r="AAV99" i="1" s="1"/>
  <c r="ABE99" i="1" s="1"/>
  <c r="NI99" i="1"/>
  <c r="NR100" i="1"/>
  <c r="OA100" i="1" s="1"/>
  <c r="OJ100" i="1" s="1"/>
  <c r="OS100" i="1" s="1"/>
  <c r="PB100" i="1" s="1"/>
  <c r="PK100" i="1" s="1"/>
  <c r="PT100" i="1" s="1"/>
  <c r="QC100" i="1" s="1"/>
  <c r="QL100" i="1" s="1"/>
  <c r="QU100" i="1" s="1"/>
  <c r="RD100" i="1" s="1"/>
  <c r="RM100" i="1" s="1"/>
  <c r="RV100" i="1" s="1"/>
  <c r="SE100" i="1" s="1"/>
  <c r="SN100" i="1" s="1"/>
  <c r="SW100" i="1" s="1"/>
  <c r="TF100" i="1" s="1"/>
  <c r="TO100" i="1" s="1"/>
  <c r="TX100" i="1" s="1"/>
  <c r="UG100" i="1" s="1"/>
  <c r="UP100" i="1" s="1"/>
  <c r="UY100" i="1" s="1"/>
  <c r="VH100" i="1" s="1"/>
  <c r="VQ100" i="1" s="1"/>
  <c r="VZ100" i="1" s="1"/>
  <c r="WI100" i="1" s="1"/>
  <c r="WR100" i="1" s="1"/>
  <c r="XA100" i="1" s="1"/>
  <c r="XJ100" i="1" s="1"/>
  <c r="XS100" i="1" s="1"/>
  <c r="YB100" i="1" s="1"/>
  <c r="YK100" i="1" s="1"/>
  <c r="YT100" i="1" s="1"/>
  <c r="ZC100" i="1" s="1"/>
  <c r="ZL100" i="1" s="1"/>
  <c r="ZU100" i="1" s="1"/>
  <c r="AAD100" i="1" s="1"/>
  <c r="AAM100" i="1" s="1"/>
  <c r="AAV100" i="1" s="1"/>
  <c r="ABE100" i="1" s="1"/>
  <c r="NI100" i="1"/>
  <c r="NR101" i="1"/>
  <c r="OA101" i="1" s="1"/>
  <c r="OJ101" i="1" s="1"/>
  <c r="OS101" i="1" s="1"/>
  <c r="PB101" i="1" s="1"/>
  <c r="PK101" i="1" s="1"/>
  <c r="PT101" i="1" s="1"/>
  <c r="QC101" i="1" s="1"/>
  <c r="QL101" i="1" s="1"/>
  <c r="QU101" i="1" s="1"/>
  <c r="RD101" i="1" s="1"/>
  <c r="RM101" i="1" s="1"/>
  <c r="RV101" i="1" s="1"/>
  <c r="SE101" i="1" s="1"/>
  <c r="SN101" i="1" s="1"/>
  <c r="SW101" i="1" s="1"/>
  <c r="TF101" i="1" s="1"/>
  <c r="TO101" i="1" s="1"/>
  <c r="TX101" i="1" s="1"/>
  <c r="UG101" i="1" s="1"/>
  <c r="UP101" i="1" s="1"/>
  <c r="UY101" i="1" s="1"/>
  <c r="VH101" i="1" s="1"/>
  <c r="VQ101" i="1" s="1"/>
  <c r="VZ101" i="1" s="1"/>
  <c r="WI101" i="1" s="1"/>
  <c r="WR101" i="1" s="1"/>
  <c r="XA101" i="1" s="1"/>
  <c r="XJ101" i="1" s="1"/>
  <c r="XS101" i="1" s="1"/>
  <c r="YB101" i="1" s="1"/>
  <c r="YK101" i="1" s="1"/>
  <c r="YT101" i="1" s="1"/>
  <c r="ZC101" i="1" s="1"/>
  <c r="ZL101" i="1" s="1"/>
  <c r="ZU101" i="1" s="1"/>
  <c r="AAD101" i="1" s="1"/>
  <c r="AAM101" i="1" s="1"/>
  <c r="AAV101" i="1" s="1"/>
  <c r="ABE101" i="1" s="1"/>
  <c r="NI101" i="1"/>
  <c r="NR102" i="1"/>
  <c r="OA102" i="1" s="1"/>
  <c r="OJ102" i="1" s="1"/>
  <c r="OS102" i="1" s="1"/>
  <c r="PB102" i="1" s="1"/>
  <c r="PK102" i="1" s="1"/>
  <c r="PT102" i="1" s="1"/>
  <c r="QC102" i="1" s="1"/>
  <c r="QL102" i="1" s="1"/>
  <c r="QU102" i="1" s="1"/>
  <c r="RD102" i="1" s="1"/>
  <c r="RM102" i="1" s="1"/>
  <c r="RV102" i="1" s="1"/>
  <c r="SE102" i="1" s="1"/>
  <c r="SN102" i="1" s="1"/>
  <c r="SW102" i="1" s="1"/>
  <c r="TF102" i="1" s="1"/>
  <c r="TO102" i="1" s="1"/>
  <c r="TX102" i="1" s="1"/>
  <c r="UG102" i="1" s="1"/>
  <c r="UP102" i="1" s="1"/>
  <c r="UY102" i="1" s="1"/>
  <c r="VH102" i="1" s="1"/>
  <c r="VQ102" i="1" s="1"/>
  <c r="VZ102" i="1" s="1"/>
  <c r="WI102" i="1" s="1"/>
  <c r="WR102" i="1" s="1"/>
  <c r="XA102" i="1" s="1"/>
  <c r="XJ102" i="1" s="1"/>
  <c r="XS102" i="1" s="1"/>
  <c r="YB102" i="1" s="1"/>
  <c r="YK102" i="1" s="1"/>
  <c r="YT102" i="1" s="1"/>
  <c r="ZC102" i="1" s="1"/>
  <c r="ZL102" i="1" s="1"/>
  <c r="ZU102" i="1" s="1"/>
  <c r="AAD102" i="1" s="1"/>
  <c r="AAM102" i="1" s="1"/>
  <c r="AAV102" i="1" s="1"/>
  <c r="ABE102" i="1" s="1"/>
  <c r="NI102" i="1"/>
  <c r="NR103" i="1"/>
  <c r="OA103" i="1" s="1"/>
  <c r="OJ103" i="1" s="1"/>
  <c r="OS103" i="1" s="1"/>
  <c r="PB103" i="1" s="1"/>
  <c r="PK103" i="1" s="1"/>
  <c r="PT103" i="1" s="1"/>
  <c r="QC103" i="1" s="1"/>
  <c r="QL103" i="1" s="1"/>
  <c r="QU103" i="1" s="1"/>
  <c r="RD103" i="1" s="1"/>
  <c r="RM103" i="1" s="1"/>
  <c r="RV103" i="1" s="1"/>
  <c r="SE103" i="1" s="1"/>
  <c r="SN103" i="1" s="1"/>
  <c r="SW103" i="1" s="1"/>
  <c r="TF103" i="1" s="1"/>
  <c r="TO103" i="1" s="1"/>
  <c r="TX103" i="1" s="1"/>
  <c r="UG103" i="1" s="1"/>
  <c r="UP103" i="1" s="1"/>
  <c r="UY103" i="1" s="1"/>
  <c r="VH103" i="1" s="1"/>
  <c r="VQ103" i="1" s="1"/>
  <c r="VZ103" i="1" s="1"/>
  <c r="WI103" i="1" s="1"/>
  <c r="WR103" i="1" s="1"/>
  <c r="XA103" i="1" s="1"/>
  <c r="XJ103" i="1" s="1"/>
  <c r="XS103" i="1" s="1"/>
  <c r="YB103" i="1" s="1"/>
  <c r="YK103" i="1" s="1"/>
  <c r="YT103" i="1" s="1"/>
  <c r="ZC103" i="1" s="1"/>
  <c r="ZL103" i="1" s="1"/>
  <c r="ZU103" i="1" s="1"/>
  <c r="AAD103" i="1" s="1"/>
  <c r="AAM103" i="1" s="1"/>
  <c r="AAV103" i="1" s="1"/>
  <c r="ABE103" i="1" s="1"/>
  <c r="NI103" i="1"/>
  <c r="NR104" i="1"/>
  <c r="OA104" i="1" s="1"/>
  <c r="OJ104" i="1" s="1"/>
  <c r="OS104" i="1" s="1"/>
  <c r="PB104" i="1" s="1"/>
  <c r="PK104" i="1" s="1"/>
  <c r="PT104" i="1" s="1"/>
  <c r="QC104" i="1" s="1"/>
  <c r="QL104" i="1" s="1"/>
  <c r="QU104" i="1" s="1"/>
  <c r="RD104" i="1" s="1"/>
  <c r="RM104" i="1" s="1"/>
  <c r="RV104" i="1" s="1"/>
  <c r="SE104" i="1" s="1"/>
  <c r="SN104" i="1" s="1"/>
  <c r="SW104" i="1" s="1"/>
  <c r="TF104" i="1" s="1"/>
  <c r="TO104" i="1" s="1"/>
  <c r="TX104" i="1" s="1"/>
  <c r="UG104" i="1" s="1"/>
  <c r="UP104" i="1" s="1"/>
  <c r="UY104" i="1" s="1"/>
  <c r="VH104" i="1" s="1"/>
  <c r="VQ104" i="1" s="1"/>
  <c r="VZ104" i="1" s="1"/>
  <c r="WI104" i="1" s="1"/>
  <c r="WR104" i="1" s="1"/>
  <c r="XA104" i="1" s="1"/>
  <c r="XJ104" i="1" s="1"/>
  <c r="XS104" i="1" s="1"/>
  <c r="YB104" i="1" s="1"/>
  <c r="YK104" i="1" s="1"/>
  <c r="YT104" i="1" s="1"/>
  <c r="ZC104" i="1" s="1"/>
  <c r="ZL104" i="1" s="1"/>
  <c r="ZU104" i="1" s="1"/>
  <c r="AAD104" i="1" s="1"/>
  <c r="AAM104" i="1" s="1"/>
  <c r="AAV104" i="1" s="1"/>
  <c r="ABE104" i="1" s="1"/>
  <c r="NI104" i="1"/>
  <c r="NR105" i="1"/>
  <c r="OA105" i="1" s="1"/>
  <c r="OJ105" i="1" s="1"/>
  <c r="OS105" i="1" s="1"/>
  <c r="PB105" i="1" s="1"/>
  <c r="PK105" i="1" s="1"/>
  <c r="PT105" i="1" s="1"/>
  <c r="QC105" i="1" s="1"/>
  <c r="QL105" i="1" s="1"/>
  <c r="QU105" i="1" s="1"/>
  <c r="RD105" i="1" s="1"/>
  <c r="RM105" i="1" s="1"/>
  <c r="RV105" i="1" s="1"/>
  <c r="SE105" i="1" s="1"/>
  <c r="SN105" i="1" s="1"/>
  <c r="SW105" i="1" s="1"/>
  <c r="TF105" i="1" s="1"/>
  <c r="TO105" i="1" s="1"/>
  <c r="TX105" i="1" s="1"/>
  <c r="UG105" i="1" s="1"/>
  <c r="UP105" i="1" s="1"/>
  <c r="UY105" i="1" s="1"/>
  <c r="VH105" i="1" s="1"/>
  <c r="VQ105" i="1" s="1"/>
  <c r="VZ105" i="1" s="1"/>
  <c r="WI105" i="1" s="1"/>
  <c r="WR105" i="1" s="1"/>
  <c r="XA105" i="1" s="1"/>
  <c r="XJ105" i="1" s="1"/>
  <c r="XS105" i="1" s="1"/>
  <c r="YB105" i="1" s="1"/>
  <c r="YK105" i="1" s="1"/>
  <c r="YT105" i="1" s="1"/>
  <c r="ZC105" i="1" s="1"/>
  <c r="ZL105" i="1" s="1"/>
  <c r="ZU105" i="1" s="1"/>
  <c r="AAD105" i="1" s="1"/>
  <c r="AAM105" i="1" s="1"/>
  <c r="AAV105" i="1" s="1"/>
  <c r="ABE105" i="1" s="1"/>
  <c r="NI105" i="1"/>
  <c r="NR76" i="1"/>
  <c r="OA76" i="1" s="1"/>
  <c r="OJ76" i="1" s="1"/>
  <c r="OS76" i="1" s="1"/>
  <c r="PB76" i="1" s="1"/>
  <c r="PK76" i="1" s="1"/>
  <c r="PT76" i="1" s="1"/>
  <c r="QC76" i="1" s="1"/>
  <c r="QL76" i="1" s="1"/>
  <c r="QU76" i="1" s="1"/>
  <c r="RD76" i="1" s="1"/>
  <c r="RM76" i="1" s="1"/>
  <c r="RV76" i="1" s="1"/>
  <c r="SE76" i="1" s="1"/>
  <c r="SN76" i="1" s="1"/>
  <c r="SW76" i="1" s="1"/>
  <c r="TF76" i="1" s="1"/>
  <c r="TO76" i="1" s="1"/>
  <c r="TX76" i="1" s="1"/>
  <c r="UG76" i="1" s="1"/>
  <c r="UP76" i="1" s="1"/>
  <c r="UY76" i="1" s="1"/>
  <c r="VH76" i="1" s="1"/>
  <c r="VQ76" i="1" s="1"/>
  <c r="VZ76" i="1" s="1"/>
  <c r="WI76" i="1" s="1"/>
  <c r="WR76" i="1" s="1"/>
  <c r="XA76" i="1" s="1"/>
  <c r="XJ76" i="1" s="1"/>
  <c r="XS76" i="1" s="1"/>
  <c r="YB76" i="1" s="1"/>
  <c r="YK76" i="1" s="1"/>
  <c r="YT76" i="1" s="1"/>
  <c r="ZC76" i="1" s="1"/>
  <c r="ZL76" i="1" s="1"/>
  <c r="ZU76" i="1" s="1"/>
  <c r="AAD76" i="1" s="1"/>
  <c r="AAM76" i="1" s="1"/>
  <c r="AAV76" i="1" s="1"/>
  <c r="ABE76" i="1" s="1"/>
  <c r="NI76" i="1"/>
  <c r="NR43" i="1"/>
  <c r="OA43" i="1" s="1"/>
  <c r="OJ43" i="1" s="1"/>
  <c r="OS43" i="1" s="1"/>
  <c r="PB43" i="1" s="1"/>
  <c r="PK43" i="1" s="1"/>
  <c r="PT43" i="1" s="1"/>
  <c r="QC43" i="1" s="1"/>
  <c r="QL43" i="1" s="1"/>
  <c r="QU43" i="1" s="1"/>
  <c r="RD43" i="1" s="1"/>
  <c r="RM43" i="1" s="1"/>
  <c r="RV43" i="1" s="1"/>
  <c r="SE43" i="1" s="1"/>
  <c r="SN43" i="1" s="1"/>
  <c r="SW43" i="1" s="1"/>
  <c r="TF43" i="1" s="1"/>
  <c r="TO43" i="1" s="1"/>
  <c r="TX43" i="1" s="1"/>
  <c r="UG43" i="1" s="1"/>
  <c r="UP43" i="1" s="1"/>
  <c r="UY43" i="1" s="1"/>
  <c r="VH43" i="1" s="1"/>
  <c r="VQ43" i="1" s="1"/>
  <c r="VZ43" i="1" s="1"/>
  <c r="WI43" i="1" s="1"/>
  <c r="WR43" i="1" s="1"/>
  <c r="XA43" i="1" s="1"/>
  <c r="XJ43" i="1" s="1"/>
  <c r="XS43" i="1" s="1"/>
  <c r="YB43" i="1" s="1"/>
  <c r="YK43" i="1" s="1"/>
  <c r="YT43" i="1" s="1"/>
  <c r="ZC43" i="1" s="1"/>
  <c r="ZL43" i="1" s="1"/>
  <c r="ZU43" i="1" s="1"/>
  <c r="AAD43" i="1" s="1"/>
  <c r="AAM43" i="1" s="1"/>
  <c r="AAV43" i="1" s="1"/>
  <c r="ABE43" i="1" s="1"/>
  <c r="NI43" i="1"/>
  <c r="NR44" i="1"/>
  <c r="OA44" i="1" s="1"/>
  <c r="OJ44" i="1" s="1"/>
  <c r="OS44" i="1" s="1"/>
  <c r="PB44" i="1" s="1"/>
  <c r="PK44" i="1" s="1"/>
  <c r="PT44" i="1" s="1"/>
  <c r="QC44" i="1" s="1"/>
  <c r="QL44" i="1" s="1"/>
  <c r="QU44" i="1" s="1"/>
  <c r="RD44" i="1" s="1"/>
  <c r="RM44" i="1" s="1"/>
  <c r="RV44" i="1" s="1"/>
  <c r="SE44" i="1" s="1"/>
  <c r="SN44" i="1" s="1"/>
  <c r="SW44" i="1" s="1"/>
  <c r="TF44" i="1" s="1"/>
  <c r="TO44" i="1" s="1"/>
  <c r="TX44" i="1" s="1"/>
  <c r="UG44" i="1" s="1"/>
  <c r="UP44" i="1" s="1"/>
  <c r="UY44" i="1" s="1"/>
  <c r="VH44" i="1" s="1"/>
  <c r="VQ44" i="1" s="1"/>
  <c r="VZ44" i="1" s="1"/>
  <c r="WI44" i="1" s="1"/>
  <c r="WR44" i="1" s="1"/>
  <c r="XA44" i="1" s="1"/>
  <c r="XJ44" i="1" s="1"/>
  <c r="XS44" i="1" s="1"/>
  <c r="YB44" i="1" s="1"/>
  <c r="YK44" i="1" s="1"/>
  <c r="YT44" i="1" s="1"/>
  <c r="ZC44" i="1" s="1"/>
  <c r="ZL44" i="1" s="1"/>
  <c r="ZU44" i="1" s="1"/>
  <c r="AAD44" i="1" s="1"/>
  <c r="AAM44" i="1" s="1"/>
  <c r="AAV44" i="1" s="1"/>
  <c r="ABE44" i="1" s="1"/>
  <c r="NI44" i="1"/>
  <c r="NR45" i="1"/>
  <c r="OA45" i="1" s="1"/>
  <c r="OJ45" i="1" s="1"/>
  <c r="OS45" i="1" s="1"/>
  <c r="PB45" i="1" s="1"/>
  <c r="PK45" i="1" s="1"/>
  <c r="PT45" i="1" s="1"/>
  <c r="QC45" i="1" s="1"/>
  <c r="QL45" i="1" s="1"/>
  <c r="QU45" i="1" s="1"/>
  <c r="RD45" i="1" s="1"/>
  <c r="RM45" i="1" s="1"/>
  <c r="RV45" i="1" s="1"/>
  <c r="SE45" i="1" s="1"/>
  <c r="SN45" i="1" s="1"/>
  <c r="SW45" i="1" s="1"/>
  <c r="TF45" i="1" s="1"/>
  <c r="TO45" i="1" s="1"/>
  <c r="TX45" i="1" s="1"/>
  <c r="UG45" i="1" s="1"/>
  <c r="UP45" i="1" s="1"/>
  <c r="UY45" i="1" s="1"/>
  <c r="VH45" i="1" s="1"/>
  <c r="VQ45" i="1" s="1"/>
  <c r="VZ45" i="1" s="1"/>
  <c r="WI45" i="1" s="1"/>
  <c r="WR45" i="1" s="1"/>
  <c r="XA45" i="1" s="1"/>
  <c r="XJ45" i="1" s="1"/>
  <c r="XS45" i="1" s="1"/>
  <c r="YB45" i="1" s="1"/>
  <c r="YK45" i="1" s="1"/>
  <c r="YT45" i="1" s="1"/>
  <c r="ZC45" i="1" s="1"/>
  <c r="ZL45" i="1" s="1"/>
  <c r="ZU45" i="1" s="1"/>
  <c r="AAD45" i="1" s="1"/>
  <c r="AAM45" i="1" s="1"/>
  <c r="AAV45" i="1" s="1"/>
  <c r="ABE45" i="1" s="1"/>
  <c r="NI45" i="1"/>
  <c r="NR46" i="1"/>
  <c r="OA46" i="1" s="1"/>
  <c r="OJ46" i="1" s="1"/>
  <c r="OS46" i="1" s="1"/>
  <c r="PB46" i="1" s="1"/>
  <c r="PK46" i="1" s="1"/>
  <c r="PT46" i="1" s="1"/>
  <c r="QC46" i="1" s="1"/>
  <c r="QL46" i="1" s="1"/>
  <c r="QU46" i="1" s="1"/>
  <c r="RD46" i="1" s="1"/>
  <c r="RM46" i="1" s="1"/>
  <c r="RV46" i="1" s="1"/>
  <c r="SE46" i="1" s="1"/>
  <c r="SN46" i="1" s="1"/>
  <c r="SW46" i="1" s="1"/>
  <c r="TF46" i="1" s="1"/>
  <c r="TO46" i="1" s="1"/>
  <c r="TX46" i="1" s="1"/>
  <c r="UG46" i="1" s="1"/>
  <c r="UP46" i="1" s="1"/>
  <c r="UY46" i="1" s="1"/>
  <c r="VH46" i="1" s="1"/>
  <c r="VQ46" i="1" s="1"/>
  <c r="VZ46" i="1" s="1"/>
  <c r="WI46" i="1" s="1"/>
  <c r="WR46" i="1" s="1"/>
  <c r="XA46" i="1" s="1"/>
  <c r="XJ46" i="1" s="1"/>
  <c r="XS46" i="1" s="1"/>
  <c r="YB46" i="1" s="1"/>
  <c r="YK46" i="1" s="1"/>
  <c r="YT46" i="1" s="1"/>
  <c r="ZC46" i="1" s="1"/>
  <c r="ZL46" i="1" s="1"/>
  <c r="ZU46" i="1" s="1"/>
  <c r="AAD46" i="1" s="1"/>
  <c r="AAM46" i="1" s="1"/>
  <c r="AAV46" i="1" s="1"/>
  <c r="ABE46" i="1" s="1"/>
  <c r="NI46" i="1"/>
  <c r="NR47" i="1"/>
  <c r="OA47" i="1" s="1"/>
  <c r="OJ47" i="1" s="1"/>
  <c r="OS47" i="1" s="1"/>
  <c r="PB47" i="1" s="1"/>
  <c r="PK47" i="1" s="1"/>
  <c r="PT47" i="1" s="1"/>
  <c r="QC47" i="1" s="1"/>
  <c r="QL47" i="1" s="1"/>
  <c r="QU47" i="1" s="1"/>
  <c r="RD47" i="1" s="1"/>
  <c r="RM47" i="1" s="1"/>
  <c r="RV47" i="1" s="1"/>
  <c r="SE47" i="1" s="1"/>
  <c r="SN47" i="1" s="1"/>
  <c r="SW47" i="1" s="1"/>
  <c r="TF47" i="1" s="1"/>
  <c r="TO47" i="1" s="1"/>
  <c r="TX47" i="1" s="1"/>
  <c r="UG47" i="1" s="1"/>
  <c r="UP47" i="1" s="1"/>
  <c r="UY47" i="1" s="1"/>
  <c r="VH47" i="1" s="1"/>
  <c r="VQ47" i="1" s="1"/>
  <c r="VZ47" i="1" s="1"/>
  <c r="WI47" i="1" s="1"/>
  <c r="WR47" i="1" s="1"/>
  <c r="XA47" i="1" s="1"/>
  <c r="XJ47" i="1" s="1"/>
  <c r="XS47" i="1" s="1"/>
  <c r="YB47" i="1" s="1"/>
  <c r="YK47" i="1" s="1"/>
  <c r="YT47" i="1" s="1"/>
  <c r="ZC47" i="1" s="1"/>
  <c r="ZL47" i="1" s="1"/>
  <c r="ZU47" i="1" s="1"/>
  <c r="AAD47" i="1" s="1"/>
  <c r="AAM47" i="1" s="1"/>
  <c r="AAV47" i="1" s="1"/>
  <c r="ABE47" i="1" s="1"/>
  <c r="NI47" i="1"/>
  <c r="NR48" i="1"/>
  <c r="OA48" i="1" s="1"/>
  <c r="OJ48" i="1" s="1"/>
  <c r="OS48" i="1" s="1"/>
  <c r="PB48" i="1" s="1"/>
  <c r="PK48" i="1" s="1"/>
  <c r="PT48" i="1" s="1"/>
  <c r="QC48" i="1" s="1"/>
  <c r="QL48" i="1" s="1"/>
  <c r="QU48" i="1" s="1"/>
  <c r="RD48" i="1" s="1"/>
  <c r="RM48" i="1" s="1"/>
  <c r="RV48" i="1" s="1"/>
  <c r="SE48" i="1" s="1"/>
  <c r="SN48" i="1" s="1"/>
  <c r="SW48" i="1" s="1"/>
  <c r="TF48" i="1" s="1"/>
  <c r="TO48" i="1" s="1"/>
  <c r="TX48" i="1" s="1"/>
  <c r="UG48" i="1" s="1"/>
  <c r="UP48" i="1" s="1"/>
  <c r="UY48" i="1" s="1"/>
  <c r="VH48" i="1" s="1"/>
  <c r="VQ48" i="1" s="1"/>
  <c r="VZ48" i="1" s="1"/>
  <c r="WI48" i="1" s="1"/>
  <c r="WR48" i="1" s="1"/>
  <c r="XA48" i="1" s="1"/>
  <c r="XJ48" i="1" s="1"/>
  <c r="XS48" i="1" s="1"/>
  <c r="YB48" i="1" s="1"/>
  <c r="YK48" i="1" s="1"/>
  <c r="YT48" i="1" s="1"/>
  <c r="ZC48" i="1" s="1"/>
  <c r="ZL48" i="1" s="1"/>
  <c r="ZU48" i="1" s="1"/>
  <c r="AAD48" i="1" s="1"/>
  <c r="AAM48" i="1" s="1"/>
  <c r="AAV48" i="1" s="1"/>
  <c r="ABE48" i="1" s="1"/>
  <c r="NI48" i="1"/>
  <c r="NR49" i="1"/>
  <c r="OA49" i="1" s="1"/>
  <c r="OJ49" i="1" s="1"/>
  <c r="OS49" i="1" s="1"/>
  <c r="PB49" i="1" s="1"/>
  <c r="PK49" i="1" s="1"/>
  <c r="PT49" i="1" s="1"/>
  <c r="QC49" i="1" s="1"/>
  <c r="QL49" i="1" s="1"/>
  <c r="QU49" i="1" s="1"/>
  <c r="RD49" i="1" s="1"/>
  <c r="RM49" i="1" s="1"/>
  <c r="RV49" i="1" s="1"/>
  <c r="SE49" i="1" s="1"/>
  <c r="SN49" i="1" s="1"/>
  <c r="SW49" i="1" s="1"/>
  <c r="TF49" i="1" s="1"/>
  <c r="TO49" i="1" s="1"/>
  <c r="TX49" i="1" s="1"/>
  <c r="UG49" i="1" s="1"/>
  <c r="UP49" i="1" s="1"/>
  <c r="UY49" i="1" s="1"/>
  <c r="VH49" i="1" s="1"/>
  <c r="VQ49" i="1" s="1"/>
  <c r="VZ49" i="1" s="1"/>
  <c r="WI49" i="1" s="1"/>
  <c r="WR49" i="1" s="1"/>
  <c r="XA49" i="1" s="1"/>
  <c r="XJ49" i="1" s="1"/>
  <c r="XS49" i="1" s="1"/>
  <c r="YB49" i="1" s="1"/>
  <c r="YK49" i="1" s="1"/>
  <c r="YT49" i="1" s="1"/>
  <c r="ZC49" i="1" s="1"/>
  <c r="ZL49" i="1" s="1"/>
  <c r="ZU49" i="1" s="1"/>
  <c r="AAD49" i="1" s="1"/>
  <c r="AAM49" i="1" s="1"/>
  <c r="AAV49" i="1" s="1"/>
  <c r="ABE49" i="1" s="1"/>
  <c r="NI49" i="1"/>
  <c r="NR50" i="1"/>
  <c r="OA50" i="1" s="1"/>
  <c r="OJ50" i="1" s="1"/>
  <c r="OS50" i="1" s="1"/>
  <c r="PB50" i="1" s="1"/>
  <c r="PK50" i="1" s="1"/>
  <c r="PT50" i="1" s="1"/>
  <c r="QC50" i="1" s="1"/>
  <c r="QL50" i="1" s="1"/>
  <c r="QU50" i="1" s="1"/>
  <c r="RD50" i="1" s="1"/>
  <c r="RM50" i="1" s="1"/>
  <c r="RV50" i="1" s="1"/>
  <c r="SE50" i="1" s="1"/>
  <c r="SN50" i="1" s="1"/>
  <c r="SW50" i="1" s="1"/>
  <c r="TF50" i="1" s="1"/>
  <c r="TO50" i="1" s="1"/>
  <c r="TX50" i="1" s="1"/>
  <c r="UG50" i="1" s="1"/>
  <c r="UP50" i="1" s="1"/>
  <c r="UY50" i="1" s="1"/>
  <c r="VH50" i="1" s="1"/>
  <c r="VQ50" i="1" s="1"/>
  <c r="VZ50" i="1" s="1"/>
  <c r="WI50" i="1" s="1"/>
  <c r="WR50" i="1" s="1"/>
  <c r="XA50" i="1" s="1"/>
  <c r="XJ50" i="1" s="1"/>
  <c r="XS50" i="1" s="1"/>
  <c r="YB50" i="1" s="1"/>
  <c r="YK50" i="1" s="1"/>
  <c r="YT50" i="1" s="1"/>
  <c r="ZC50" i="1" s="1"/>
  <c r="ZL50" i="1" s="1"/>
  <c r="ZU50" i="1" s="1"/>
  <c r="AAD50" i="1" s="1"/>
  <c r="AAM50" i="1" s="1"/>
  <c r="AAV50" i="1" s="1"/>
  <c r="ABE50" i="1" s="1"/>
  <c r="NI50" i="1"/>
  <c r="NR51" i="1"/>
  <c r="OA51" i="1" s="1"/>
  <c r="OJ51" i="1" s="1"/>
  <c r="OS51" i="1" s="1"/>
  <c r="PB51" i="1" s="1"/>
  <c r="PK51" i="1" s="1"/>
  <c r="PT51" i="1" s="1"/>
  <c r="QC51" i="1" s="1"/>
  <c r="QL51" i="1" s="1"/>
  <c r="QU51" i="1" s="1"/>
  <c r="RD51" i="1" s="1"/>
  <c r="RM51" i="1" s="1"/>
  <c r="RV51" i="1" s="1"/>
  <c r="SE51" i="1" s="1"/>
  <c r="SN51" i="1" s="1"/>
  <c r="SW51" i="1" s="1"/>
  <c r="TF51" i="1" s="1"/>
  <c r="TO51" i="1" s="1"/>
  <c r="TX51" i="1" s="1"/>
  <c r="UG51" i="1" s="1"/>
  <c r="UP51" i="1" s="1"/>
  <c r="UY51" i="1" s="1"/>
  <c r="VH51" i="1" s="1"/>
  <c r="VQ51" i="1" s="1"/>
  <c r="VZ51" i="1" s="1"/>
  <c r="WI51" i="1" s="1"/>
  <c r="WR51" i="1" s="1"/>
  <c r="XA51" i="1" s="1"/>
  <c r="XJ51" i="1" s="1"/>
  <c r="XS51" i="1" s="1"/>
  <c r="YB51" i="1" s="1"/>
  <c r="YK51" i="1" s="1"/>
  <c r="YT51" i="1" s="1"/>
  <c r="ZC51" i="1" s="1"/>
  <c r="ZL51" i="1" s="1"/>
  <c r="ZU51" i="1" s="1"/>
  <c r="AAD51" i="1" s="1"/>
  <c r="AAM51" i="1" s="1"/>
  <c r="AAV51" i="1" s="1"/>
  <c r="ABE51" i="1" s="1"/>
  <c r="NI51" i="1"/>
  <c r="NR52" i="1"/>
  <c r="OA52" i="1" s="1"/>
  <c r="OJ52" i="1" s="1"/>
  <c r="OS52" i="1" s="1"/>
  <c r="PB52" i="1" s="1"/>
  <c r="PK52" i="1" s="1"/>
  <c r="PT52" i="1" s="1"/>
  <c r="QC52" i="1" s="1"/>
  <c r="QL52" i="1" s="1"/>
  <c r="QU52" i="1" s="1"/>
  <c r="RD52" i="1" s="1"/>
  <c r="RM52" i="1" s="1"/>
  <c r="RV52" i="1" s="1"/>
  <c r="SE52" i="1" s="1"/>
  <c r="SN52" i="1" s="1"/>
  <c r="SW52" i="1" s="1"/>
  <c r="TF52" i="1" s="1"/>
  <c r="TO52" i="1" s="1"/>
  <c r="TX52" i="1" s="1"/>
  <c r="UG52" i="1" s="1"/>
  <c r="UP52" i="1" s="1"/>
  <c r="UY52" i="1" s="1"/>
  <c r="VH52" i="1" s="1"/>
  <c r="VQ52" i="1" s="1"/>
  <c r="VZ52" i="1" s="1"/>
  <c r="WI52" i="1" s="1"/>
  <c r="WR52" i="1" s="1"/>
  <c r="XA52" i="1" s="1"/>
  <c r="XJ52" i="1" s="1"/>
  <c r="XS52" i="1" s="1"/>
  <c r="YB52" i="1" s="1"/>
  <c r="YK52" i="1" s="1"/>
  <c r="YT52" i="1" s="1"/>
  <c r="ZC52" i="1" s="1"/>
  <c r="ZL52" i="1" s="1"/>
  <c r="ZU52" i="1" s="1"/>
  <c r="AAD52" i="1" s="1"/>
  <c r="AAM52" i="1" s="1"/>
  <c r="AAV52" i="1" s="1"/>
  <c r="ABE52" i="1" s="1"/>
  <c r="NI52" i="1"/>
  <c r="NR53" i="1"/>
  <c r="OA53" i="1" s="1"/>
  <c r="OJ53" i="1" s="1"/>
  <c r="OS53" i="1" s="1"/>
  <c r="PB53" i="1" s="1"/>
  <c r="PK53" i="1" s="1"/>
  <c r="PT53" i="1" s="1"/>
  <c r="QC53" i="1" s="1"/>
  <c r="QL53" i="1" s="1"/>
  <c r="QU53" i="1" s="1"/>
  <c r="RD53" i="1" s="1"/>
  <c r="RM53" i="1" s="1"/>
  <c r="RV53" i="1" s="1"/>
  <c r="SE53" i="1" s="1"/>
  <c r="SN53" i="1" s="1"/>
  <c r="SW53" i="1" s="1"/>
  <c r="TF53" i="1" s="1"/>
  <c r="TO53" i="1" s="1"/>
  <c r="TX53" i="1" s="1"/>
  <c r="UG53" i="1" s="1"/>
  <c r="UP53" i="1" s="1"/>
  <c r="UY53" i="1" s="1"/>
  <c r="VH53" i="1" s="1"/>
  <c r="VQ53" i="1" s="1"/>
  <c r="VZ53" i="1" s="1"/>
  <c r="WI53" i="1" s="1"/>
  <c r="WR53" i="1" s="1"/>
  <c r="XA53" i="1" s="1"/>
  <c r="XJ53" i="1" s="1"/>
  <c r="XS53" i="1" s="1"/>
  <c r="YB53" i="1" s="1"/>
  <c r="YK53" i="1" s="1"/>
  <c r="YT53" i="1" s="1"/>
  <c r="ZC53" i="1" s="1"/>
  <c r="ZL53" i="1" s="1"/>
  <c r="ZU53" i="1" s="1"/>
  <c r="AAD53" i="1" s="1"/>
  <c r="AAM53" i="1" s="1"/>
  <c r="AAV53" i="1" s="1"/>
  <c r="ABE53" i="1" s="1"/>
  <c r="NI53" i="1"/>
  <c r="NR54" i="1"/>
  <c r="OA54" i="1" s="1"/>
  <c r="OJ54" i="1" s="1"/>
  <c r="OS54" i="1" s="1"/>
  <c r="PB54" i="1" s="1"/>
  <c r="PK54" i="1" s="1"/>
  <c r="PT54" i="1" s="1"/>
  <c r="QC54" i="1" s="1"/>
  <c r="QL54" i="1" s="1"/>
  <c r="QU54" i="1" s="1"/>
  <c r="RD54" i="1" s="1"/>
  <c r="RM54" i="1" s="1"/>
  <c r="RV54" i="1" s="1"/>
  <c r="SE54" i="1" s="1"/>
  <c r="SN54" i="1" s="1"/>
  <c r="SW54" i="1" s="1"/>
  <c r="TF54" i="1" s="1"/>
  <c r="TO54" i="1" s="1"/>
  <c r="TX54" i="1" s="1"/>
  <c r="UG54" i="1" s="1"/>
  <c r="UP54" i="1" s="1"/>
  <c r="UY54" i="1" s="1"/>
  <c r="VH54" i="1" s="1"/>
  <c r="VQ54" i="1" s="1"/>
  <c r="VZ54" i="1" s="1"/>
  <c r="WI54" i="1" s="1"/>
  <c r="WR54" i="1" s="1"/>
  <c r="XA54" i="1" s="1"/>
  <c r="XJ54" i="1" s="1"/>
  <c r="XS54" i="1" s="1"/>
  <c r="YB54" i="1" s="1"/>
  <c r="YK54" i="1" s="1"/>
  <c r="YT54" i="1" s="1"/>
  <c r="ZC54" i="1" s="1"/>
  <c r="ZL54" i="1" s="1"/>
  <c r="ZU54" i="1" s="1"/>
  <c r="AAD54" i="1" s="1"/>
  <c r="AAM54" i="1" s="1"/>
  <c r="AAV54" i="1" s="1"/>
  <c r="ABE54" i="1" s="1"/>
  <c r="NI54" i="1"/>
  <c r="NR55" i="1"/>
  <c r="OA55" i="1" s="1"/>
  <c r="OJ55" i="1" s="1"/>
  <c r="OS55" i="1" s="1"/>
  <c r="PB55" i="1" s="1"/>
  <c r="PK55" i="1" s="1"/>
  <c r="PT55" i="1" s="1"/>
  <c r="QC55" i="1" s="1"/>
  <c r="QL55" i="1" s="1"/>
  <c r="QU55" i="1" s="1"/>
  <c r="RD55" i="1" s="1"/>
  <c r="RM55" i="1" s="1"/>
  <c r="RV55" i="1" s="1"/>
  <c r="SE55" i="1" s="1"/>
  <c r="SN55" i="1" s="1"/>
  <c r="SW55" i="1" s="1"/>
  <c r="TF55" i="1" s="1"/>
  <c r="TO55" i="1" s="1"/>
  <c r="TX55" i="1" s="1"/>
  <c r="UG55" i="1" s="1"/>
  <c r="UP55" i="1" s="1"/>
  <c r="UY55" i="1" s="1"/>
  <c r="VH55" i="1" s="1"/>
  <c r="VQ55" i="1" s="1"/>
  <c r="VZ55" i="1" s="1"/>
  <c r="WI55" i="1" s="1"/>
  <c r="WR55" i="1" s="1"/>
  <c r="XA55" i="1" s="1"/>
  <c r="XJ55" i="1" s="1"/>
  <c r="XS55" i="1" s="1"/>
  <c r="YB55" i="1" s="1"/>
  <c r="YK55" i="1" s="1"/>
  <c r="YT55" i="1" s="1"/>
  <c r="ZC55" i="1" s="1"/>
  <c r="ZL55" i="1" s="1"/>
  <c r="ZU55" i="1" s="1"/>
  <c r="AAD55" i="1" s="1"/>
  <c r="AAM55" i="1" s="1"/>
  <c r="AAV55" i="1" s="1"/>
  <c r="ABE55" i="1" s="1"/>
  <c r="NI55" i="1"/>
  <c r="NR56" i="1"/>
  <c r="OA56" i="1" s="1"/>
  <c r="OJ56" i="1" s="1"/>
  <c r="OS56" i="1" s="1"/>
  <c r="PB56" i="1" s="1"/>
  <c r="PK56" i="1" s="1"/>
  <c r="PT56" i="1" s="1"/>
  <c r="QC56" i="1" s="1"/>
  <c r="QL56" i="1" s="1"/>
  <c r="QU56" i="1" s="1"/>
  <c r="RD56" i="1" s="1"/>
  <c r="RM56" i="1" s="1"/>
  <c r="RV56" i="1" s="1"/>
  <c r="SE56" i="1" s="1"/>
  <c r="SN56" i="1" s="1"/>
  <c r="SW56" i="1" s="1"/>
  <c r="TF56" i="1" s="1"/>
  <c r="TO56" i="1" s="1"/>
  <c r="TX56" i="1" s="1"/>
  <c r="UG56" i="1" s="1"/>
  <c r="UP56" i="1" s="1"/>
  <c r="UY56" i="1" s="1"/>
  <c r="VH56" i="1" s="1"/>
  <c r="VQ56" i="1" s="1"/>
  <c r="VZ56" i="1" s="1"/>
  <c r="WI56" i="1" s="1"/>
  <c r="WR56" i="1" s="1"/>
  <c r="XA56" i="1" s="1"/>
  <c r="XJ56" i="1" s="1"/>
  <c r="XS56" i="1" s="1"/>
  <c r="YB56" i="1" s="1"/>
  <c r="YK56" i="1" s="1"/>
  <c r="YT56" i="1" s="1"/>
  <c r="ZC56" i="1" s="1"/>
  <c r="ZL56" i="1" s="1"/>
  <c r="ZU56" i="1" s="1"/>
  <c r="AAD56" i="1" s="1"/>
  <c r="AAM56" i="1" s="1"/>
  <c r="AAV56" i="1" s="1"/>
  <c r="ABE56" i="1" s="1"/>
  <c r="NI56" i="1"/>
  <c r="NR57" i="1"/>
  <c r="OA57" i="1" s="1"/>
  <c r="OJ57" i="1" s="1"/>
  <c r="OS57" i="1" s="1"/>
  <c r="PB57" i="1" s="1"/>
  <c r="PK57" i="1" s="1"/>
  <c r="PT57" i="1" s="1"/>
  <c r="QC57" i="1" s="1"/>
  <c r="QL57" i="1" s="1"/>
  <c r="QU57" i="1" s="1"/>
  <c r="RD57" i="1" s="1"/>
  <c r="RM57" i="1" s="1"/>
  <c r="RV57" i="1" s="1"/>
  <c r="SE57" i="1" s="1"/>
  <c r="SN57" i="1" s="1"/>
  <c r="SW57" i="1" s="1"/>
  <c r="TF57" i="1" s="1"/>
  <c r="TO57" i="1" s="1"/>
  <c r="TX57" i="1" s="1"/>
  <c r="UG57" i="1" s="1"/>
  <c r="UP57" i="1" s="1"/>
  <c r="UY57" i="1" s="1"/>
  <c r="VH57" i="1" s="1"/>
  <c r="VQ57" i="1" s="1"/>
  <c r="VZ57" i="1" s="1"/>
  <c r="WI57" i="1" s="1"/>
  <c r="WR57" i="1" s="1"/>
  <c r="XA57" i="1" s="1"/>
  <c r="XJ57" i="1" s="1"/>
  <c r="XS57" i="1" s="1"/>
  <c r="YB57" i="1" s="1"/>
  <c r="YK57" i="1" s="1"/>
  <c r="YT57" i="1" s="1"/>
  <c r="ZC57" i="1" s="1"/>
  <c r="ZL57" i="1" s="1"/>
  <c r="ZU57" i="1" s="1"/>
  <c r="AAD57" i="1" s="1"/>
  <c r="AAM57" i="1" s="1"/>
  <c r="AAV57" i="1" s="1"/>
  <c r="ABE57" i="1" s="1"/>
  <c r="NI57" i="1"/>
  <c r="NR58" i="1"/>
  <c r="OA58" i="1" s="1"/>
  <c r="OJ58" i="1" s="1"/>
  <c r="OS58" i="1" s="1"/>
  <c r="PB58" i="1" s="1"/>
  <c r="PK58" i="1" s="1"/>
  <c r="PT58" i="1" s="1"/>
  <c r="QC58" i="1" s="1"/>
  <c r="QL58" i="1" s="1"/>
  <c r="QU58" i="1" s="1"/>
  <c r="RD58" i="1" s="1"/>
  <c r="RM58" i="1" s="1"/>
  <c r="RV58" i="1" s="1"/>
  <c r="SE58" i="1" s="1"/>
  <c r="SN58" i="1" s="1"/>
  <c r="SW58" i="1" s="1"/>
  <c r="TF58" i="1" s="1"/>
  <c r="TO58" i="1" s="1"/>
  <c r="TX58" i="1" s="1"/>
  <c r="UG58" i="1" s="1"/>
  <c r="UP58" i="1" s="1"/>
  <c r="UY58" i="1" s="1"/>
  <c r="VH58" i="1" s="1"/>
  <c r="VQ58" i="1" s="1"/>
  <c r="VZ58" i="1" s="1"/>
  <c r="WI58" i="1" s="1"/>
  <c r="WR58" i="1" s="1"/>
  <c r="XA58" i="1" s="1"/>
  <c r="XJ58" i="1" s="1"/>
  <c r="XS58" i="1" s="1"/>
  <c r="YB58" i="1" s="1"/>
  <c r="YK58" i="1" s="1"/>
  <c r="YT58" i="1" s="1"/>
  <c r="ZC58" i="1" s="1"/>
  <c r="ZL58" i="1" s="1"/>
  <c r="ZU58" i="1" s="1"/>
  <c r="AAD58" i="1" s="1"/>
  <c r="AAM58" i="1" s="1"/>
  <c r="AAV58" i="1" s="1"/>
  <c r="ABE58" i="1" s="1"/>
  <c r="NI58" i="1"/>
  <c r="NR59" i="1"/>
  <c r="OA59" i="1" s="1"/>
  <c r="OJ59" i="1" s="1"/>
  <c r="OS59" i="1" s="1"/>
  <c r="PB59" i="1" s="1"/>
  <c r="PK59" i="1" s="1"/>
  <c r="PT59" i="1" s="1"/>
  <c r="QC59" i="1" s="1"/>
  <c r="QL59" i="1" s="1"/>
  <c r="QU59" i="1" s="1"/>
  <c r="RD59" i="1" s="1"/>
  <c r="RM59" i="1" s="1"/>
  <c r="RV59" i="1" s="1"/>
  <c r="SE59" i="1" s="1"/>
  <c r="SN59" i="1" s="1"/>
  <c r="SW59" i="1" s="1"/>
  <c r="TF59" i="1" s="1"/>
  <c r="TO59" i="1" s="1"/>
  <c r="TX59" i="1" s="1"/>
  <c r="UG59" i="1" s="1"/>
  <c r="UP59" i="1" s="1"/>
  <c r="UY59" i="1" s="1"/>
  <c r="VH59" i="1" s="1"/>
  <c r="VQ59" i="1" s="1"/>
  <c r="VZ59" i="1" s="1"/>
  <c r="WI59" i="1" s="1"/>
  <c r="WR59" i="1" s="1"/>
  <c r="XA59" i="1" s="1"/>
  <c r="XJ59" i="1" s="1"/>
  <c r="XS59" i="1" s="1"/>
  <c r="YB59" i="1" s="1"/>
  <c r="YK59" i="1" s="1"/>
  <c r="YT59" i="1" s="1"/>
  <c r="ZC59" i="1" s="1"/>
  <c r="ZL59" i="1" s="1"/>
  <c r="ZU59" i="1" s="1"/>
  <c r="AAD59" i="1" s="1"/>
  <c r="AAM59" i="1" s="1"/>
  <c r="AAV59" i="1" s="1"/>
  <c r="ABE59" i="1" s="1"/>
  <c r="NI59" i="1"/>
  <c r="NR60" i="1"/>
  <c r="OA60" i="1" s="1"/>
  <c r="OJ60" i="1" s="1"/>
  <c r="OS60" i="1" s="1"/>
  <c r="PB60" i="1" s="1"/>
  <c r="PK60" i="1" s="1"/>
  <c r="PT60" i="1" s="1"/>
  <c r="QC60" i="1" s="1"/>
  <c r="QL60" i="1" s="1"/>
  <c r="QU60" i="1" s="1"/>
  <c r="RD60" i="1" s="1"/>
  <c r="RM60" i="1" s="1"/>
  <c r="RV60" i="1" s="1"/>
  <c r="SE60" i="1" s="1"/>
  <c r="SN60" i="1" s="1"/>
  <c r="SW60" i="1" s="1"/>
  <c r="TF60" i="1" s="1"/>
  <c r="TO60" i="1" s="1"/>
  <c r="TX60" i="1" s="1"/>
  <c r="UG60" i="1" s="1"/>
  <c r="UP60" i="1" s="1"/>
  <c r="UY60" i="1" s="1"/>
  <c r="VH60" i="1" s="1"/>
  <c r="VQ60" i="1" s="1"/>
  <c r="VZ60" i="1" s="1"/>
  <c r="WI60" i="1" s="1"/>
  <c r="WR60" i="1" s="1"/>
  <c r="XA60" i="1" s="1"/>
  <c r="XJ60" i="1" s="1"/>
  <c r="XS60" i="1" s="1"/>
  <c r="YB60" i="1" s="1"/>
  <c r="YK60" i="1" s="1"/>
  <c r="YT60" i="1" s="1"/>
  <c r="ZC60" i="1" s="1"/>
  <c r="ZL60" i="1" s="1"/>
  <c r="ZU60" i="1" s="1"/>
  <c r="AAD60" i="1" s="1"/>
  <c r="AAM60" i="1" s="1"/>
  <c r="AAV60" i="1" s="1"/>
  <c r="ABE60" i="1" s="1"/>
  <c r="NI60" i="1"/>
  <c r="NR61" i="1"/>
  <c r="OA61" i="1" s="1"/>
  <c r="OJ61" i="1" s="1"/>
  <c r="OS61" i="1" s="1"/>
  <c r="PB61" i="1" s="1"/>
  <c r="PK61" i="1" s="1"/>
  <c r="PT61" i="1" s="1"/>
  <c r="QC61" i="1" s="1"/>
  <c r="QL61" i="1" s="1"/>
  <c r="QU61" i="1" s="1"/>
  <c r="RD61" i="1" s="1"/>
  <c r="RM61" i="1" s="1"/>
  <c r="RV61" i="1" s="1"/>
  <c r="SE61" i="1" s="1"/>
  <c r="SN61" i="1" s="1"/>
  <c r="SW61" i="1" s="1"/>
  <c r="TF61" i="1" s="1"/>
  <c r="TO61" i="1" s="1"/>
  <c r="TX61" i="1" s="1"/>
  <c r="UG61" i="1" s="1"/>
  <c r="UP61" i="1" s="1"/>
  <c r="UY61" i="1" s="1"/>
  <c r="VH61" i="1" s="1"/>
  <c r="VQ61" i="1" s="1"/>
  <c r="VZ61" i="1" s="1"/>
  <c r="WI61" i="1" s="1"/>
  <c r="WR61" i="1" s="1"/>
  <c r="XA61" i="1" s="1"/>
  <c r="XJ61" i="1" s="1"/>
  <c r="XS61" i="1" s="1"/>
  <c r="YB61" i="1" s="1"/>
  <c r="YK61" i="1" s="1"/>
  <c r="YT61" i="1" s="1"/>
  <c r="ZC61" i="1" s="1"/>
  <c r="ZL61" i="1" s="1"/>
  <c r="ZU61" i="1" s="1"/>
  <c r="AAD61" i="1" s="1"/>
  <c r="AAM61" i="1" s="1"/>
  <c r="AAV61" i="1" s="1"/>
  <c r="ABE61" i="1" s="1"/>
  <c r="NI61" i="1"/>
  <c r="NR62" i="1"/>
  <c r="OA62" i="1" s="1"/>
  <c r="OJ62" i="1" s="1"/>
  <c r="OS62" i="1" s="1"/>
  <c r="PB62" i="1" s="1"/>
  <c r="PK62" i="1" s="1"/>
  <c r="PT62" i="1" s="1"/>
  <c r="QC62" i="1" s="1"/>
  <c r="QL62" i="1" s="1"/>
  <c r="QU62" i="1" s="1"/>
  <c r="RD62" i="1" s="1"/>
  <c r="RM62" i="1" s="1"/>
  <c r="RV62" i="1" s="1"/>
  <c r="SE62" i="1" s="1"/>
  <c r="SN62" i="1" s="1"/>
  <c r="SW62" i="1" s="1"/>
  <c r="TF62" i="1" s="1"/>
  <c r="TO62" i="1" s="1"/>
  <c r="TX62" i="1" s="1"/>
  <c r="UG62" i="1" s="1"/>
  <c r="UP62" i="1" s="1"/>
  <c r="UY62" i="1" s="1"/>
  <c r="VH62" i="1" s="1"/>
  <c r="VQ62" i="1" s="1"/>
  <c r="VZ62" i="1" s="1"/>
  <c r="WI62" i="1" s="1"/>
  <c r="WR62" i="1" s="1"/>
  <c r="XA62" i="1" s="1"/>
  <c r="XJ62" i="1" s="1"/>
  <c r="XS62" i="1" s="1"/>
  <c r="YB62" i="1" s="1"/>
  <c r="YK62" i="1" s="1"/>
  <c r="YT62" i="1" s="1"/>
  <c r="ZC62" i="1" s="1"/>
  <c r="ZL62" i="1" s="1"/>
  <c r="ZU62" i="1" s="1"/>
  <c r="AAD62" i="1" s="1"/>
  <c r="AAM62" i="1" s="1"/>
  <c r="AAV62" i="1" s="1"/>
  <c r="ABE62" i="1" s="1"/>
  <c r="NI62" i="1"/>
  <c r="NR63" i="1"/>
  <c r="OA63" i="1" s="1"/>
  <c r="OJ63" i="1" s="1"/>
  <c r="OS63" i="1" s="1"/>
  <c r="PB63" i="1" s="1"/>
  <c r="PK63" i="1" s="1"/>
  <c r="PT63" i="1" s="1"/>
  <c r="QC63" i="1" s="1"/>
  <c r="QL63" i="1" s="1"/>
  <c r="QU63" i="1" s="1"/>
  <c r="RD63" i="1" s="1"/>
  <c r="RM63" i="1" s="1"/>
  <c r="RV63" i="1" s="1"/>
  <c r="SE63" i="1" s="1"/>
  <c r="SN63" i="1" s="1"/>
  <c r="SW63" i="1" s="1"/>
  <c r="TF63" i="1" s="1"/>
  <c r="TO63" i="1" s="1"/>
  <c r="TX63" i="1" s="1"/>
  <c r="UG63" i="1" s="1"/>
  <c r="UP63" i="1" s="1"/>
  <c r="UY63" i="1" s="1"/>
  <c r="VH63" i="1" s="1"/>
  <c r="VQ63" i="1" s="1"/>
  <c r="VZ63" i="1" s="1"/>
  <c r="WI63" i="1" s="1"/>
  <c r="WR63" i="1" s="1"/>
  <c r="XA63" i="1" s="1"/>
  <c r="XJ63" i="1" s="1"/>
  <c r="XS63" i="1" s="1"/>
  <c r="YB63" i="1" s="1"/>
  <c r="YK63" i="1" s="1"/>
  <c r="YT63" i="1" s="1"/>
  <c r="ZC63" i="1" s="1"/>
  <c r="ZL63" i="1" s="1"/>
  <c r="ZU63" i="1" s="1"/>
  <c r="AAD63" i="1" s="1"/>
  <c r="AAM63" i="1" s="1"/>
  <c r="AAV63" i="1" s="1"/>
  <c r="ABE63" i="1" s="1"/>
  <c r="NI63" i="1"/>
  <c r="NR64" i="1"/>
  <c r="OA64" i="1" s="1"/>
  <c r="OJ64" i="1" s="1"/>
  <c r="OS64" i="1" s="1"/>
  <c r="PB64" i="1" s="1"/>
  <c r="PK64" i="1" s="1"/>
  <c r="PT64" i="1" s="1"/>
  <c r="QC64" i="1" s="1"/>
  <c r="QL64" i="1" s="1"/>
  <c r="QU64" i="1" s="1"/>
  <c r="RD64" i="1" s="1"/>
  <c r="RM64" i="1" s="1"/>
  <c r="RV64" i="1" s="1"/>
  <c r="SE64" i="1" s="1"/>
  <c r="SN64" i="1" s="1"/>
  <c r="SW64" i="1" s="1"/>
  <c r="TF64" i="1" s="1"/>
  <c r="TO64" i="1" s="1"/>
  <c r="TX64" i="1" s="1"/>
  <c r="UG64" i="1" s="1"/>
  <c r="UP64" i="1" s="1"/>
  <c r="UY64" i="1" s="1"/>
  <c r="VH64" i="1" s="1"/>
  <c r="VQ64" i="1" s="1"/>
  <c r="VZ64" i="1" s="1"/>
  <c r="WI64" i="1" s="1"/>
  <c r="WR64" i="1" s="1"/>
  <c r="XA64" i="1" s="1"/>
  <c r="XJ64" i="1" s="1"/>
  <c r="XS64" i="1" s="1"/>
  <c r="YB64" i="1" s="1"/>
  <c r="YK64" i="1" s="1"/>
  <c r="YT64" i="1" s="1"/>
  <c r="ZC64" i="1" s="1"/>
  <c r="ZL64" i="1" s="1"/>
  <c r="ZU64" i="1" s="1"/>
  <c r="AAD64" i="1" s="1"/>
  <c r="AAM64" i="1" s="1"/>
  <c r="AAV64" i="1" s="1"/>
  <c r="ABE64" i="1" s="1"/>
  <c r="NI64" i="1"/>
  <c r="NR65" i="1"/>
  <c r="OA65" i="1" s="1"/>
  <c r="OJ65" i="1" s="1"/>
  <c r="OS65" i="1" s="1"/>
  <c r="PB65" i="1" s="1"/>
  <c r="PK65" i="1" s="1"/>
  <c r="PT65" i="1" s="1"/>
  <c r="QC65" i="1" s="1"/>
  <c r="QL65" i="1" s="1"/>
  <c r="QU65" i="1" s="1"/>
  <c r="RD65" i="1" s="1"/>
  <c r="RM65" i="1" s="1"/>
  <c r="RV65" i="1" s="1"/>
  <c r="SE65" i="1" s="1"/>
  <c r="SN65" i="1" s="1"/>
  <c r="SW65" i="1" s="1"/>
  <c r="TF65" i="1" s="1"/>
  <c r="TO65" i="1" s="1"/>
  <c r="TX65" i="1" s="1"/>
  <c r="UG65" i="1" s="1"/>
  <c r="UP65" i="1" s="1"/>
  <c r="UY65" i="1" s="1"/>
  <c r="VH65" i="1" s="1"/>
  <c r="VQ65" i="1" s="1"/>
  <c r="VZ65" i="1" s="1"/>
  <c r="WI65" i="1" s="1"/>
  <c r="WR65" i="1" s="1"/>
  <c r="XA65" i="1" s="1"/>
  <c r="XJ65" i="1" s="1"/>
  <c r="XS65" i="1" s="1"/>
  <c r="YB65" i="1" s="1"/>
  <c r="YK65" i="1" s="1"/>
  <c r="YT65" i="1" s="1"/>
  <c r="ZC65" i="1" s="1"/>
  <c r="ZL65" i="1" s="1"/>
  <c r="ZU65" i="1" s="1"/>
  <c r="AAD65" i="1" s="1"/>
  <c r="AAM65" i="1" s="1"/>
  <c r="AAV65" i="1" s="1"/>
  <c r="ABE65" i="1" s="1"/>
  <c r="NI65" i="1"/>
  <c r="NR66" i="1"/>
  <c r="OA66" i="1" s="1"/>
  <c r="OJ66" i="1" s="1"/>
  <c r="OS66" i="1" s="1"/>
  <c r="PB66" i="1" s="1"/>
  <c r="PK66" i="1" s="1"/>
  <c r="PT66" i="1" s="1"/>
  <c r="QC66" i="1" s="1"/>
  <c r="QL66" i="1" s="1"/>
  <c r="QU66" i="1" s="1"/>
  <c r="RD66" i="1" s="1"/>
  <c r="RM66" i="1" s="1"/>
  <c r="RV66" i="1" s="1"/>
  <c r="SE66" i="1" s="1"/>
  <c r="SN66" i="1" s="1"/>
  <c r="SW66" i="1" s="1"/>
  <c r="TF66" i="1" s="1"/>
  <c r="TO66" i="1" s="1"/>
  <c r="TX66" i="1" s="1"/>
  <c r="UG66" i="1" s="1"/>
  <c r="UP66" i="1" s="1"/>
  <c r="UY66" i="1" s="1"/>
  <c r="VH66" i="1" s="1"/>
  <c r="VQ66" i="1" s="1"/>
  <c r="VZ66" i="1" s="1"/>
  <c r="WI66" i="1" s="1"/>
  <c r="WR66" i="1" s="1"/>
  <c r="XA66" i="1" s="1"/>
  <c r="XJ66" i="1" s="1"/>
  <c r="XS66" i="1" s="1"/>
  <c r="YB66" i="1" s="1"/>
  <c r="YK66" i="1" s="1"/>
  <c r="YT66" i="1" s="1"/>
  <c r="ZC66" i="1" s="1"/>
  <c r="ZL66" i="1" s="1"/>
  <c r="ZU66" i="1" s="1"/>
  <c r="AAD66" i="1" s="1"/>
  <c r="AAM66" i="1" s="1"/>
  <c r="AAV66" i="1" s="1"/>
  <c r="ABE66" i="1" s="1"/>
  <c r="NI66" i="1"/>
  <c r="NR67" i="1"/>
  <c r="OA67" i="1" s="1"/>
  <c r="OJ67" i="1" s="1"/>
  <c r="OS67" i="1" s="1"/>
  <c r="PB67" i="1" s="1"/>
  <c r="PK67" i="1" s="1"/>
  <c r="PT67" i="1" s="1"/>
  <c r="QC67" i="1" s="1"/>
  <c r="QL67" i="1" s="1"/>
  <c r="QU67" i="1" s="1"/>
  <c r="RD67" i="1" s="1"/>
  <c r="RM67" i="1" s="1"/>
  <c r="RV67" i="1" s="1"/>
  <c r="SE67" i="1" s="1"/>
  <c r="SN67" i="1" s="1"/>
  <c r="SW67" i="1" s="1"/>
  <c r="TF67" i="1" s="1"/>
  <c r="TO67" i="1" s="1"/>
  <c r="TX67" i="1" s="1"/>
  <c r="UG67" i="1" s="1"/>
  <c r="UP67" i="1" s="1"/>
  <c r="UY67" i="1" s="1"/>
  <c r="VH67" i="1" s="1"/>
  <c r="VQ67" i="1" s="1"/>
  <c r="VZ67" i="1" s="1"/>
  <c r="WI67" i="1" s="1"/>
  <c r="WR67" i="1" s="1"/>
  <c r="XA67" i="1" s="1"/>
  <c r="XJ67" i="1" s="1"/>
  <c r="XS67" i="1" s="1"/>
  <c r="YB67" i="1" s="1"/>
  <c r="YK67" i="1" s="1"/>
  <c r="YT67" i="1" s="1"/>
  <c r="ZC67" i="1" s="1"/>
  <c r="ZL67" i="1" s="1"/>
  <c r="ZU67" i="1" s="1"/>
  <c r="AAD67" i="1" s="1"/>
  <c r="AAM67" i="1" s="1"/>
  <c r="AAV67" i="1" s="1"/>
  <c r="ABE67" i="1" s="1"/>
  <c r="NI67" i="1"/>
  <c r="NR68" i="1"/>
  <c r="OA68" i="1" s="1"/>
  <c r="OJ68" i="1" s="1"/>
  <c r="OS68" i="1" s="1"/>
  <c r="PB68" i="1" s="1"/>
  <c r="PK68" i="1" s="1"/>
  <c r="PT68" i="1" s="1"/>
  <c r="QC68" i="1" s="1"/>
  <c r="QL68" i="1" s="1"/>
  <c r="QU68" i="1" s="1"/>
  <c r="RD68" i="1" s="1"/>
  <c r="RM68" i="1" s="1"/>
  <c r="RV68" i="1" s="1"/>
  <c r="SE68" i="1" s="1"/>
  <c r="SN68" i="1" s="1"/>
  <c r="SW68" i="1" s="1"/>
  <c r="TF68" i="1" s="1"/>
  <c r="TO68" i="1" s="1"/>
  <c r="TX68" i="1" s="1"/>
  <c r="UG68" i="1" s="1"/>
  <c r="UP68" i="1" s="1"/>
  <c r="UY68" i="1" s="1"/>
  <c r="VH68" i="1" s="1"/>
  <c r="VQ68" i="1" s="1"/>
  <c r="VZ68" i="1" s="1"/>
  <c r="WI68" i="1" s="1"/>
  <c r="WR68" i="1" s="1"/>
  <c r="XA68" i="1" s="1"/>
  <c r="XJ68" i="1" s="1"/>
  <c r="XS68" i="1" s="1"/>
  <c r="YB68" i="1" s="1"/>
  <c r="YK68" i="1" s="1"/>
  <c r="YT68" i="1" s="1"/>
  <c r="ZC68" i="1" s="1"/>
  <c r="ZL68" i="1" s="1"/>
  <c r="ZU68" i="1" s="1"/>
  <c r="AAD68" i="1" s="1"/>
  <c r="AAM68" i="1" s="1"/>
  <c r="AAV68" i="1" s="1"/>
  <c r="ABE68" i="1" s="1"/>
  <c r="NI68" i="1"/>
  <c r="NR69" i="1"/>
  <c r="OA69" i="1" s="1"/>
  <c r="OJ69" i="1" s="1"/>
  <c r="OS69" i="1" s="1"/>
  <c r="PB69" i="1" s="1"/>
  <c r="PK69" i="1" s="1"/>
  <c r="PT69" i="1" s="1"/>
  <c r="QC69" i="1" s="1"/>
  <c r="QL69" i="1" s="1"/>
  <c r="QU69" i="1" s="1"/>
  <c r="RD69" i="1" s="1"/>
  <c r="RM69" i="1" s="1"/>
  <c r="RV69" i="1" s="1"/>
  <c r="SE69" i="1" s="1"/>
  <c r="SN69" i="1" s="1"/>
  <c r="SW69" i="1" s="1"/>
  <c r="TF69" i="1" s="1"/>
  <c r="TO69" i="1" s="1"/>
  <c r="TX69" i="1" s="1"/>
  <c r="UG69" i="1" s="1"/>
  <c r="UP69" i="1" s="1"/>
  <c r="UY69" i="1" s="1"/>
  <c r="VH69" i="1" s="1"/>
  <c r="VQ69" i="1" s="1"/>
  <c r="VZ69" i="1" s="1"/>
  <c r="WI69" i="1" s="1"/>
  <c r="WR69" i="1" s="1"/>
  <c r="XA69" i="1" s="1"/>
  <c r="XJ69" i="1" s="1"/>
  <c r="XS69" i="1" s="1"/>
  <c r="YB69" i="1" s="1"/>
  <c r="YK69" i="1" s="1"/>
  <c r="YT69" i="1" s="1"/>
  <c r="ZC69" i="1" s="1"/>
  <c r="ZL69" i="1" s="1"/>
  <c r="ZU69" i="1" s="1"/>
  <c r="AAD69" i="1" s="1"/>
  <c r="AAM69" i="1" s="1"/>
  <c r="AAV69" i="1" s="1"/>
  <c r="ABE69" i="1" s="1"/>
  <c r="NI69" i="1"/>
  <c r="NR42" i="1"/>
  <c r="OA42" i="1" s="1"/>
  <c r="OJ42" i="1" s="1"/>
  <c r="OS42" i="1" s="1"/>
  <c r="PB42" i="1" s="1"/>
  <c r="PK42" i="1" s="1"/>
  <c r="PT42" i="1" s="1"/>
  <c r="QC42" i="1" s="1"/>
  <c r="QL42" i="1" s="1"/>
  <c r="QU42" i="1" s="1"/>
  <c r="RD42" i="1" s="1"/>
  <c r="RM42" i="1" s="1"/>
  <c r="RV42" i="1" s="1"/>
  <c r="SE42" i="1" s="1"/>
  <c r="SN42" i="1" s="1"/>
  <c r="SW42" i="1" s="1"/>
  <c r="TF42" i="1" s="1"/>
  <c r="TO42" i="1" s="1"/>
  <c r="TX42" i="1" s="1"/>
  <c r="UG42" i="1" s="1"/>
  <c r="UP42" i="1" s="1"/>
  <c r="UY42" i="1" s="1"/>
  <c r="VH42" i="1" s="1"/>
  <c r="VQ42" i="1" s="1"/>
  <c r="VZ42" i="1" s="1"/>
  <c r="WI42" i="1" s="1"/>
  <c r="WR42" i="1" s="1"/>
  <c r="XA42" i="1" s="1"/>
  <c r="XJ42" i="1" s="1"/>
  <c r="XS42" i="1" s="1"/>
  <c r="YB42" i="1" s="1"/>
  <c r="YK42" i="1" s="1"/>
  <c r="YT42" i="1" s="1"/>
  <c r="ZC42" i="1" s="1"/>
  <c r="ZL42" i="1" s="1"/>
  <c r="ZU42" i="1" s="1"/>
  <c r="AAD42" i="1" s="1"/>
  <c r="AAM42" i="1" s="1"/>
  <c r="AAV42" i="1" s="1"/>
  <c r="ABE42" i="1" s="1"/>
  <c r="NI42" i="1"/>
  <c r="NR7" i="1"/>
  <c r="OA7" i="1" s="1"/>
  <c r="OJ7" i="1" s="1"/>
  <c r="OS7" i="1" s="1"/>
  <c r="PB7" i="1" s="1"/>
  <c r="PK7" i="1" s="1"/>
  <c r="PT7" i="1" s="1"/>
  <c r="QC7" i="1" s="1"/>
  <c r="QL7" i="1" s="1"/>
  <c r="QU7" i="1" s="1"/>
  <c r="RD7" i="1" s="1"/>
  <c r="RM7" i="1" s="1"/>
  <c r="RV7" i="1" s="1"/>
  <c r="SE7" i="1" s="1"/>
  <c r="SN7" i="1" s="1"/>
  <c r="SW7" i="1" s="1"/>
  <c r="TF7" i="1" s="1"/>
  <c r="TO7" i="1" s="1"/>
  <c r="TX7" i="1" s="1"/>
  <c r="UG7" i="1" s="1"/>
  <c r="UP7" i="1" s="1"/>
  <c r="UY7" i="1" s="1"/>
  <c r="VH7" i="1" s="1"/>
  <c r="VQ7" i="1" s="1"/>
  <c r="VZ7" i="1" s="1"/>
  <c r="WI7" i="1" s="1"/>
  <c r="WR7" i="1" s="1"/>
  <c r="XA7" i="1" s="1"/>
  <c r="XJ7" i="1" s="1"/>
  <c r="XS7" i="1" s="1"/>
  <c r="YB7" i="1" s="1"/>
  <c r="YK7" i="1" s="1"/>
  <c r="YT7" i="1" s="1"/>
  <c r="ZC7" i="1" s="1"/>
  <c r="ZL7" i="1" s="1"/>
  <c r="ZU7" i="1" s="1"/>
  <c r="AAD7" i="1" s="1"/>
  <c r="AAM7" i="1" s="1"/>
  <c r="AAV7" i="1" s="1"/>
  <c r="ABE7" i="1" s="1"/>
  <c r="NI7" i="1"/>
  <c r="NR8" i="1"/>
  <c r="OA8" i="1" s="1"/>
  <c r="OJ8" i="1" s="1"/>
  <c r="OS8" i="1" s="1"/>
  <c r="PB8" i="1" s="1"/>
  <c r="PK8" i="1" s="1"/>
  <c r="PT8" i="1" s="1"/>
  <c r="QC8" i="1" s="1"/>
  <c r="QL8" i="1" s="1"/>
  <c r="QU8" i="1" s="1"/>
  <c r="RD8" i="1" s="1"/>
  <c r="RM8" i="1" s="1"/>
  <c r="RV8" i="1" s="1"/>
  <c r="SE8" i="1" s="1"/>
  <c r="SN8" i="1" s="1"/>
  <c r="SW8" i="1" s="1"/>
  <c r="TF8" i="1" s="1"/>
  <c r="TO8" i="1" s="1"/>
  <c r="TX8" i="1" s="1"/>
  <c r="UG8" i="1" s="1"/>
  <c r="UP8" i="1" s="1"/>
  <c r="UY8" i="1" s="1"/>
  <c r="VH8" i="1" s="1"/>
  <c r="VQ8" i="1" s="1"/>
  <c r="VZ8" i="1" s="1"/>
  <c r="WI8" i="1" s="1"/>
  <c r="WR8" i="1" s="1"/>
  <c r="XA8" i="1" s="1"/>
  <c r="XJ8" i="1" s="1"/>
  <c r="XS8" i="1" s="1"/>
  <c r="YB8" i="1" s="1"/>
  <c r="YK8" i="1" s="1"/>
  <c r="YT8" i="1" s="1"/>
  <c r="ZC8" i="1" s="1"/>
  <c r="ZL8" i="1" s="1"/>
  <c r="ZU8" i="1" s="1"/>
  <c r="AAD8" i="1" s="1"/>
  <c r="AAM8" i="1" s="1"/>
  <c r="AAV8" i="1" s="1"/>
  <c r="ABE8" i="1" s="1"/>
  <c r="NI8" i="1"/>
  <c r="NR9" i="1"/>
  <c r="OA9" i="1" s="1"/>
  <c r="OJ9" i="1" s="1"/>
  <c r="OS9" i="1" s="1"/>
  <c r="PB9" i="1" s="1"/>
  <c r="PK9" i="1" s="1"/>
  <c r="PT9" i="1" s="1"/>
  <c r="QC9" i="1" s="1"/>
  <c r="QL9" i="1" s="1"/>
  <c r="QU9" i="1" s="1"/>
  <c r="RD9" i="1" s="1"/>
  <c r="RM9" i="1" s="1"/>
  <c r="RV9" i="1" s="1"/>
  <c r="SE9" i="1" s="1"/>
  <c r="SN9" i="1" s="1"/>
  <c r="SW9" i="1" s="1"/>
  <c r="TF9" i="1" s="1"/>
  <c r="TO9" i="1" s="1"/>
  <c r="TX9" i="1" s="1"/>
  <c r="UG9" i="1" s="1"/>
  <c r="UP9" i="1" s="1"/>
  <c r="UY9" i="1" s="1"/>
  <c r="VH9" i="1" s="1"/>
  <c r="VQ9" i="1" s="1"/>
  <c r="VZ9" i="1" s="1"/>
  <c r="WI9" i="1" s="1"/>
  <c r="WR9" i="1" s="1"/>
  <c r="XA9" i="1" s="1"/>
  <c r="XJ9" i="1" s="1"/>
  <c r="XS9" i="1" s="1"/>
  <c r="YB9" i="1" s="1"/>
  <c r="YK9" i="1" s="1"/>
  <c r="YT9" i="1" s="1"/>
  <c r="ZC9" i="1" s="1"/>
  <c r="ZL9" i="1" s="1"/>
  <c r="ZU9" i="1" s="1"/>
  <c r="AAD9" i="1" s="1"/>
  <c r="AAM9" i="1" s="1"/>
  <c r="AAV9" i="1" s="1"/>
  <c r="ABE9" i="1" s="1"/>
  <c r="NI9" i="1"/>
  <c r="NR10" i="1"/>
  <c r="OA10" i="1" s="1"/>
  <c r="OJ10" i="1" s="1"/>
  <c r="OS10" i="1" s="1"/>
  <c r="PB10" i="1" s="1"/>
  <c r="PK10" i="1" s="1"/>
  <c r="PT10" i="1" s="1"/>
  <c r="QC10" i="1" s="1"/>
  <c r="QL10" i="1" s="1"/>
  <c r="QU10" i="1" s="1"/>
  <c r="RD10" i="1" s="1"/>
  <c r="RM10" i="1" s="1"/>
  <c r="RV10" i="1" s="1"/>
  <c r="SE10" i="1" s="1"/>
  <c r="SN10" i="1" s="1"/>
  <c r="SW10" i="1" s="1"/>
  <c r="TF10" i="1" s="1"/>
  <c r="TO10" i="1" s="1"/>
  <c r="TX10" i="1" s="1"/>
  <c r="UG10" i="1" s="1"/>
  <c r="UP10" i="1" s="1"/>
  <c r="UY10" i="1" s="1"/>
  <c r="VH10" i="1" s="1"/>
  <c r="VQ10" i="1" s="1"/>
  <c r="VZ10" i="1" s="1"/>
  <c r="WI10" i="1" s="1"/>
  <c r="WR10" i="1" s="1"/>
  <c r="XA10" i="1" s="1"/>
  <c r="XJ10" i="1" s="1"/>
  <c r="XS10" i="1" s="1"/>
  <c r="YB10" i="1" s="1"/>
  <c r="YK10" i="1" s="1"/>
  <c r="YT10" i="1" s="1"/>
  <c r="ZC10" i="1" s="1"/>
  <c r="ZL10" i="1" s="1"/>
  <c r="ZU10" i="1" s="1"/>
  <c r="AAD10" i="1" s="1"/>
  <c r="AAM10" i="1" s="1"/>
  <c r="AAV10" i="1" s="1"/>
  <c r="ABE10" i="1" s="1"/>
  <c r="NI10" i="1"/>
  <c r="NR11" i="1"/>
  <c r="OA11" i="1" s="1"/>
  <c r="OJ11" i="1" s="1"/>
  <c r="OS11" i="1" s="1"/>
  <c r="PB11" i="1" s="1"/>
  <c r="PK11" i="1" s="1"/>
  <c r="PT11" i="1" s="1"/>
  <c r="QC11" i="1" s="1"/>
  <c r="QL11" i="1" s="1"/>
  <c r="QU11" i="1" s="1"/>
  <c r="RD11" i="1" s="1"/>
  <c r="RM11" i="1" s="1"/>
  <c r="RV11" i="1" s="1"/>
  <c r="SE11" i="1" s="1"/>
  <c r="SN11" i="1" s="1"/>
  <c r="SW11" i="1" s="1"/>
  <c r="TF11" i="1" s="1"/>
  <c r="TO11" i="1" s="1"/>
  <c r="TX11" i="1" s="1"/>
  <c r="UG11" i="1" s="1"/>
  <c r="UP11" i="1" s="1"/>
  <c r="UY11" i="1" s="1"/>
  <c r="VH11" i="1" s="1"/>
  <c r="VQ11" i="1" s="1"/>
  <c r="VZ11" i="1" s="1"/>
  <c r="WI11" i="1" s="1"/>
  <c r="WR11" i="1" s="1"/>
  <c r="XA11" i="1" s="1"/>
  <c r="XJ11" i="1" s="1"/>
  <c r="XS11" i="1" s="1"/>
  <c r="YB11" i="1" s="1"/>
  <c r="YK11" i="1" s="1"/>
  <c r="YT11" i="1" s="1"/>
  <c r="ZC11" i="1" s="1"/>
  <c r="ZL11" i="1" s="1"/>
  <c r="ZU11" i="1" s="1"/>
  <c r="AAD11" i="1" s="1"/>
  <c r="AAM11" i="1" s="1"/>
  <c r="AAV11" i="1" s="1"/>
  <c r="ABE11" i="1" s="1"/>
  <c r="NI11" i="1"/>
  <c r="NR12" i="1"/>
  <c r="OA12" i="1" s="1"/>
  <c r="OJ12" i="1" s="1"/>
  <c r="OS12" i="1" s="1"/>
  <c r="PB12" i="1" s="1"/>
  <c r="PK12" i="1" s="1"/>
  <c r="PT12" i="1" s="1"/>
  <c r="QC12" i="1" s="1"/>
  <c r="QL12" i="1" s="1"/>
  <c r="QU12" i="1" s="1"/>
  <c r="RD12" i="1" s="1"/>
  <c r="RM12" i="1" s="1"/>
  <c r="RV12" i="1" s="1"/>
  <c r="SE12" i="1" s="1"/>
  <c r="SN12" i="1" s="1"/>
  <c r="SW12" i="1" s="1"/>
  <c r="TF12" i="1" s="1"/>
  <c r="TO12" i="1" s="1"/>
  <c r="TX12" i="1" s="1"/>
  <c r="UG12" i="1" s="1"/>
  <c r="UP12" i="1" s="1"/>
  <c r="UY12" i="1" s="1"/>
  <c r="VH12" i="1" s="1"/>
  <c r="VQ12" i="1" s="1"/>
  <c r="VZ12" i="1" s="1"/>
  <c r="WI12" i="1" s="1"/>
  <c r="WR12" i="1" s="1"/>
  <c r="XA12" i="1" s="1"/>
  <c r="XJ12" i="1" s="1"/>
  <c r="XS12" i="1" s="1"/>
  <c r="YB12" i="1" s="1"/>
  <c r="YK12" i="1" s="1"/>
  <c r="YT12" i="1" s="1"/>
  <c r="ZC12" i="1" s="1"/>
  <c r="ZL12" i="1" s="1"/>
  <c r="ZU12" i="1" s="1"/>
  <c r="AAD12" i="1" s="1"/>
  <c r="AAM12" i="1" s="1"/>
  <c r="AAV12" i="1" s="1"/>
  <c r="ABE12" i="1" s="1"/>
  <c r="NI12" i="1"/>
  <c r="NR13" i="1"/>
  <c r="OA13" i="1" s="1"/>
  <c r="OJ13" i="1" s="1"/>
  <c r="OS13" i="1" s="1"/>
  <c r="PB13" i="1" s="1"/>
  <c r="PK13" i="1" s="1"/>
  <c r="PT13" i="1" s="1"/>
  <c r="QC13" i="1" s="1"/>
  <c r="QL13" i="1" s="1"/>
  <c r="QU13" i="1" s="1"/>
  <c r="RD13" i="1" s="1"/>
  <c r="RM13" i="1" s="1"/>
  <c r="RV13" i="1" s="1"/>
  <c r="SE13" i="1" s="1"/>
  <c r="SN13" i="1" s="1"/>
  <c r="SW13" i="1" s="1"/>
  <c r="TF13" i="1" s="1"/>
  <c r="TO13" i="1" s="1"/>
  <c r="TX13" i="1" s="1"/>
  <c r="UG13" i="1" s="1"/>
  <c r="UP13" i="1" s="1"/>
  <c r="UY13" i="1" s="1"/>
  <c r="VH13" i="1" s="1"/>
  <c r="VQ13" i="1" s="1"/>
  <c r="VZ13" i="1" s="1"/>
  <c r="WI13" i="1" s="1"/>
  <c r="WR13" i="1" s="1"/>
  <c r="XA13" i="1" s="1"/>
  <c r="XJ13" i="1" s="1"/>
  <c r="XS13" i="1" s="1"/>
  <c r="YB13" i="1" s="1"/>
  <c r="YK13" i="1" s="1"/>
  <c r="YT13" i="1" s="1"/>
  <c r="ZC13" i="1" s="1"/>
  <c r="ZL13" i="1" s="1"/>
  <c r="ZU13" i="1" s="1"/>
  <c r="AAD13" i="1" s="1"/>
  <c r="AAM13" i="1" s="1"/>
  <c r="AAV13" i="1" s="1"/>
  <c r="ABE13" i="1" s="1"/>
  <c r="NI13" i="1"/>
  <c r="NR14" i="1"/>
  <c r="OA14" i="1" s="1"/>
  <c r="OJ14" i="1" s="1"/>
  <c r="OS14" i="1" s="1"/>
  <c r="PB14" i="1" s="1"/>
  <c r="PK14" i="1" s="1"/>
  <c r="PT14" i="1" s="1"/>
  <c r="QC14" i="1" s="1"/>
  <c r="QL14" i="1" s="1"/>
  <c r="QU14" i="1" s="1"/>
  <c r="RD14" i="1" s="1"/>
  <c r="RM14" i="1" s="1"/>
  <c r="RV14" i="1" s="1"/>
  <c r="SE14" i="1" s="1"/>
  <c r="SN14" i="1" s="1"/>
  <c r="SW14" i="1" s="1"/>
  <c r="TF14" i="1" s="1"/>
  <c r="TO14" i="1" s="1"/>
  <c r="TX14" i="1" s="1"/>
  <c r="UG14" i="1" s="1"/>
  <c r="UP14" i="1" s="1"/>
  <c r="UY14" i="1" s="1"/>
  <c r="VH14" i="1" s="1"/>
  <c r="VQ14" i="1" s="1"/>
  <c r="VZ14" i="1" s="1"/>
  <c r="WI14" i="1" s="1"/>
  <c r="WR14" i="1" s="1"/>
  <c r="XA14" i="1" s="1"/>
  <c r="XJ14" i="1" s="1"/>
  <c r="XS14" i="1" s="1"/>
  <c r="YB14" i="1" s="1"/>
  <c r="YK14" i="1" s="1"/>
  <c r="YT14" i="1" s="1"/>
  <c r="ZC14" i="1" s="1"/>
  <c r="ZL14" i="1" s="1"/>
  <c r="ZU14" i="1" s="1"/>
  <c r="AAD14" i="1" s="1"/>
  <c r="AAM14" i="1" s="1"/>
  <c r="AAV14" i="1" s="1"/>
  <c r="ABE14" i="1" s="1"/>
  <c r="NI14" i="1"/>
  <c r="NR15" i="1"/>
  <c r="OA15" i="1" s="1"/>
  <c r="OJ15" i="1" s="1"/>
  <c r="OS15" i="1" s="1"/>
  <c r="PB15" i="1" s="1"/>
  <c r="PK15" i="1" s="1"/>
  <c r="PT15" i="1" s="1"/>
  <c r="QC15" i="1" s="1"/>
  <c r="QL15" i="1" s="1"/>
  <c r="QU15" i="1" s="1"/>
  <c r="RD15" i="1" s="1"/>
  <c r="RM15" i="1" s="1"/>
  <c r="RV15" i="1" s="1"/>
  <c r="SE15" i="1" s="1"/>
  <c r="SN15" i="1" s="1"/>
  <c r="SW15" i="1" s="1"/>
  <c r="TF15" i="1" s="1"/>
  <c r="TO15" i="1" s="1"/>
  <c r="TX15" i="1" s="1"/>
  <c r="UG15" i="1" s="1"/>
  <c r="UP15" i="1" s="1"/>
  <c r="UY15" i="1" s="1"/>
  <c r="VH15" i="1" s="1"/>
  <c r="VQ15" i="1" s="1"/>
  <c r="VZ15" i="1" s="1"/>
  <c r="WI15" i="1" s="1"/>
  <c r="WR15" i="1" s="1"/>
  <c r="XA15" i="1" s="1"/>
  <c r="XJ15" i="1" s="1"/>
  <c r="XS15" i="1" s="1"/>
  <c r="YB15" i="1" s="1"/>
  <c r="YK15" i="1" s="1"/>
  <c r="YT15" i="1" s="1"/>
  <c r="ZC15" i="1" s="1"/>
  <c r="ZL15" i="1" s="1"/>
  <c r="ZU15" i="1" s="1"/>
  <c r="AAD15" i="1" s="1"/>
  <c r="AAM15" i="1" s="1"/>
  <c r="AAV15" i="1" s="1"/>
  <c r="ABE15" i="1" s="1"/>
  <c r="NI15" i="1"/>
  <c r="NR16" i="1"/>
  <c r="OA16" i="1" s="1"/>
  <c r="OJ16" i="1" s="1"/>
  <c r="OS16" i="1" s="1"/>
  <c r="PB16" i="1" s="1"/>
  <c r="PK16" i="1" s="1"/>
  <c r="PT16" i="1" s="1"/>
  <c r="QC16" i="1" s="1"/>
  <c r="QL16" i="1" s="1"/>
  <c r="QU16" i="1" s="1"/>
  <c r="RD16" i="1" s="1"/>
  <c r="RM16" i="1" s="1"/>
  <c r="RV16" i="1" s="1"/>
  <c r="SE16" i="1" s="1"/>
  <c r="SN16" i="1" s="1"/>
  <c r="SW16" i="1" s="1"/>
  <c r="TF16" i="1" s="1"/>
  <c r="TO16" i="1" s="1"/>
  <c r="TX16" i="1" s="1"/>
  <c r="UG16" i="1" s="1"/>
  <c r="UP16" i="1" s="1"/>
  <c r="UY16" i="1" s="1"/>
  <c r="VH16" i="1" s="1"/>
  <c r="VQ16" i="1" s="1"/>
  <c r="VZ16" i="1" s="1"/>
  <c r="WI16" i="1" s="1"/>
  <c r="WR16" i="1" s="1"/>
  <c r="XA16" i="1" s="1"/>
  <c r="XJ16" i="1" s="1"/>
  <c r="XS16" i="1" s="1"/>
  <c r="YB16" i="1" s="1"/>
  <c r="YK16" i="1" s="1"/>
  <c r="YT16" i="1" s="1"/>
  <c r="ZC16" i="1" s="1"/>
  <c r="ZL16" i="1" s="1"/>
  <c r="ZU16" i="1" s="1"/>
  <c r="AAD16" i="1" s="1"/>
  <c r="AAM16" i="1" s="1"/>
  <c r="AAV16" i="1" s="1"/>
  <c r="ABE16" i="1" s="1"/>
  <c r="NI16" i="1"/>
  <c r="NR17" i="1"/>
  <c r="OA17" i="1" s="1"/>
  <c r="OJ17" i="1" s="1"/>
  <c r="OS17" i="1" s="1"/>
  <c r="PB17" i="1" s="1"/>
  <c r="PK17" i="1" s="1"/>
  <c r="PT17" i="1" s="1"/>
  <c r="QC17" i="1" s="1"/>
  <c r="QL17" i="1" s="1"/>
  <c r="QU17" i="1" s="1"/>
  <c r="RD17" i="1" s="1"/>
  <c r="RM17" i="1" s="1"/>
  <c r="RV17" i="1" s="1"/>
  <c r="SE17" i="1" s="1"/>
  <c r="SN17" i="1" s="1"/>
  <c r="SW17" i="1" s="1"/>
  <c r="TF17" i="1" s="1"/>
  <c r="TO17" i="1" s="1"/>
  <c r="TX17" i="1" s="1"/>
  <c r="UG17" i="1" s="1"/>
  <c r="UP17" i="1" s="1"/>
  <c r="UY17" i="1" s="1"/>
  <c r="VH17" i="1" s="1"/>
  <c r="VQ17" i="1" s="1"/>
  <c r="VZ17" i="1" s="1"/>
  <c r="WI17" i="1" s="1"/>
  <c r="WR17" i="1" s="1"/>
  <c r="XA17" i="1" s="1"/>
  <c r="XJ17" i="1" s="1"/>
  <c r="XS17" i="1" s="1"/>
  <c r="YB17" i="1" s="1"/>
  <c r="YK17" i="1" s="1"/>
  <c r="YT17" i="1" s="1"/>
  <c r="ZC17" i="1" s="1"/>
  <c r="ZL17" i="1" s="1"/>
  <c r="ZU17" i="1" s="1"/>
  <c r="AAD17" i="1" s="1"/>
  <c r="AAM17" i="1" s="1"/>
  <c r="AAV17" i="1" s="1"/>
  <c r="ABE17" i="1" s="1"/>
  <c r="NI17" i="1"/>
  <c r="NR18" i="1"/>
  <c r="OA18" i="1" s="1"/>
  <c r="OJ18" i="1" s="1"/>
  <c r="OS18" i="1" s="1"/>
  <c r="PB18" i="1" s="1"/>
  <c r="PK18" i="1" s="1"/>
  <c r="PT18" i="1" s="1"/>
  <c r="QC18" i="1" s="1"/>
  <c r="QL18" i="1" s="1"/>
  <c r="QU18" i="1" s="1"/>
  <c r="RD18" i="1" s="1"/>
  <c r="RM18" i="1" s="1"/>
  <c r="RV18" i="1" s="1"/>
  <c r="SE18" i="1" s="1"/>
  <c r="SN18" i="1" s="1"/>
  <c r="SW18" i="1" s="1"/>
  <c r="TF18" i="1" s="1"/>
  <c r="TO18" i="1" s="1"/>
  <c r="TX18" i="1" s="1"/>
  <c r="UG18" i="1" s="1"/>
  <c r="UP18" i="1" s="1"/>
  <c r="UY18" i="1" s="1"/>
  <c r="VH18" i="1" s="1"/>
  <c r="VQ18" i="1" s="1"/>
  <c r="VZ18" i="1" s="1"/>
  <c r="WI18" i="1" s="1"/>
  <c r="WR18" i="1" s="1"/>
  <c r="XA18" i="1" s="1"/>
  <c r="XJ18" i="1" s="1"/>
  <c r="XS18" i="1" s="1"/>
  <c r="YB18" i="1" s="1"/>
  <c r="YK18" i="1" s="1"/>
  <c r="YT18" i="1" s="1"/>
  <c r="ZC18" i="1" s="1"/>
  <c r="ZL18" i="1" s="1"/>
  <c r="ZU18" i="1" s="1"/>
  <c r="AAD18" i="1" s="1"/>
  <c r="AAM18" i="1" s="1"/>
  <c r="AAV18" i="1" s="1"/>
  <c r="ABE18" i="1" s="1"/>
  <c r="NI18" i="1"/>
  <c r="NR19" i="1"/>
  <c r="OA19" i="1" s="1"/>
  <c r="OJ19" i="1" s="1"/>
  <c r="OS19" i="1" s="1"/>
  <c r="PB19" i="1" s="1"/>
  <c r="PK19" i="1" s="1"/>
  <c r="PT19" i="1" s="1"/>
  <c r="QC19" i="1" s="1"/>
  <c r="QL19" i="1" s="1"/>
  <c r="QU19" i="1" s="1"/>
  <c r="RD19" i="1" s="1"/>
  <c r="RM19" i="1" s="1"/>
  <c r="RV19" i="1" s="1"/>
  <c r="SE19" i="1" s="1"/>
  <c r="SN19" i="1" s="1"/>
  <c r="SW19" i="1" s="1"/>
  <c r="TF19" i="1" s="1"/>
  <c r="TO19" i="1" s="1"/>
  <c r="TX19" i="1" s="1"/>
  <c r="UG19" i="1" s="1"/>
  <c r="UP19" i="1" s="1"/>
  <c r="UY19" i="1" s="1"/>
  <c r="VH19" i="1" s="1"/>
  <c r="VQ19" i="1" s="1"/>
  <c r="VZ19" i="1" s="1"/>
  <c r="WI19" i="1" s="1"/>
  <c r="WR19" i="1" s="1"/>
  <c r="XA19" i="1" s="1"/>
  <c r="XJ19" i="1" s="1"/>
  <c r="XS19" i="1" s="1"/>
  <c r="YB19" i="1" s="1"/>
  <c r="YK19" i="1" s="1"/>
  <c r="YT19" i="1" s="1"/>
  <c r="ZC19" i="1" s="1"/>
  <c r="ZL19" i="1" s="1"/>
  <c r="ZU19" i="1" s="1"/>
  <c r="AAD19" i="1" s="1"/>
  <c r="AAM19" i="1" s="1"/>
  <c r="AAV19" i="1" s="1"/>
  <c r="ABE19" i="1" s="1"/>
  <c r="NI19" i="1"/>
  <c r="NR20" i="1"/>
  <c r="OA20" i="1" s="1"/>
  <c r="OJ20" i="1" s="1"/>
  <c r="OS20" i="1" s="1"/>
  <c r="PB20" i="1" s="1"/>
  <c r="PK20" i="1" s="1"/>
  <c r="PT20" i="1" s="1"/>
  <c r="QC20" i="1" s="1"/>
  <c r="QL20" i="1" s="1"/>
  <c r="QU20" i="1" s="1"/>
  <c r="RD20" i="1" s="1"/>
  <c r="RM20" i="1" s="1"/>
  <c r="RV20" i="1" s="1"/>
  <c r="SE20" i="1" s="1"/>
  <c r="SN20" i="1" s="1"/>
  <c r="SW20" i="1" s="1"/>
  <c r="TF20" i="1" s="1"/>
  <c r="TO20" i="1" s="1"/>
  <c r="TX20" i="1" s="1"/>
  <c r="UG20" i="1" s="1"/>
  <c r="UP20" i="1" s="1"/>
  <c r="UY20" i="1" s="1"/>
  <c r="VH20" i="1" s="1"/>
  <c r="VQ20" i="1" s="1"/>
  <c r="VZ20" i="1" s="1"/>
  <c r="WI20" i="1" s="1"/>
  <c r="WR20" i="1" s="1"/>
  <c r="XA20" i="1" s="1"/>
  <c r="XJ20" i="1" s="1"/>
  <c r="XS20" i="1" s="1"/>
  <c r="YB20" i="1" s="1"/>
  <c r="YK20" i="1" s="1"/>
  <c r="YT20" i="1" s="1"/>
  <c r="ZC20" i="1" s="1"/>
  <c r="ZL20" i="1" s="1"/>
  <c r="ZU20" i="1" s="1"/>
  <c r="AAD20" i="1" s="1"/>
  <c r="AAM20" i="1" s="1"/>
  <c r="AAV20" i="1" s="1"/>
  <c r="ABE20" i="1" s="1"/>
  <c r="NI20" i="1"/>
  <c r="NR21" i="1"/>
  <c r="OA21" i="1" s="1"/>
  <c r="OJ21" i="1" s="1"/>
  <c r="OS21" i="1" s="1"/>
  <c r="PB21" i="1" s="1"/>
  <c r="PK21" i="1" s="1"/>
  <c r="PT21" i="1" s="1"/>
  <c r="QC21" i="1" s="1"/>
  <c r="QL21" i="1" s="1"/>
  <c r="QU21" i="1" s="1"/>
  <c r="RD21" i="1" s="1"/>
  <c r="RM21" i="1" s="1"/>
  <c r="RV21" i="1" s="1"/>
  <c r="SE21" i="1" s="1"/>
  <c r="SN21" i="1" s="1"/>
  <c r="SW21" i="1" s="1"/>
  <c r="TF21" i="1" s="1"/>
  <c r="TO21" i="1" s="1"/>
  <c r="TX21" i="1" s="1"/>
  <c r="UG21" i="1" s="1"/>
  <c r="UP21" i="1" s="1"/>
  <c r="UY21" i="1" s="1"/>
  <c r="VH21" i="1" s="1"/>
  <c r="VQ21" i="1" s="1"/>
  <c r="VZ21" i="1" s="1"/>
  <c r="WI21" i="1" s="1"/>
  <c r="WR21" i="1" s="1"/>
  <c r="XA21" i="1" s="1"/>
  <c r="XJ21" i="1" s="1"/>
  <c r="XS21" i="1" s="1"/>
  <c r="YB21" i="1" s="1"/>
  <c r="YK21" i="1" s="1"/>
  <c r="YT21" i="1" s="1"/>
  <c r="ZC21" i="1" s="1"/>
  <c r="ZL21" i="1" s="1"/>
  <c r="ZU21" i="1" s="1"/>
  <c r="AAD21" i="1" s="1"/>
  <c r="AAM21" i="1" s="1"/>
  <c r="AAV21" i="1" s="1"/>
  <c r="ABE21" i="1" s="1"/>
  <c r="NI21" i="1"/>
  <c r="NR22" i="1"/>
  <c r="OA22" i="1" s="1"/>
  <c r="OJ22" i="1" s="1"/>
  <c r="OS22" i="1" s="1"/>
  <c r="PB22" i="1" s="1"/>
  <c r="PK22" i="1" s="1"/>
  <c r="PT22" i="1" s="1"/>
  <c r="QC22" i="1" s="1"/>
  <c r="QL22" i="1" s="1"/>
  <c r="QU22" i="1" s="1"/>
  <c r="RD22" i="1" s="1"/>
  <c r="RM22" i="1" s="1"/>
  <c r="RV22" i="1" s="1"/>
  <c r="SE22" i="1" s="1"/>
  <c r="SN22" i="1" s="1"/>
  <c r="SW22" i="1" s="1"/>
  <c r="TF22" i="1" s="1"/>
  <c r="TO22" i="1" s="1"/>
  <c r="TX22" i="1" s="1"/>
  <c r="UG22" i="1" s="1"/>
  <c r="UP22" i="1" s="1"/>
  <c r="UY22" i="1" s="1"/>
  <c r="VH22" i="1" s="1"/>
  <c r="VQ22" i="1" s="1"/>
  <c r="VZ22" i="1" s="1"/>
  <c r="WI22" i="1" s="1"/>
  <c r="WR22" i="1" s="1"/>
  <c r="XA22" i="1" s="1"/>
  <c r="XJ22" i="1" s="1"/>
  <c r="XS22" i="1" s="1"/>
  <c r="YB22" i="1" s="1"/>
  <c r="YK22" i="1" s="1"/>
  <c r="YT22" i="1" s="1"/>
  <c r="ZC22" i="1" s="1"/>
  <c r="ZL22" i="1" s="1"/>
  <c r="ZU22" i="1" s="1"/>
  <c r="AAD22" i="1" s="1"/>
  <c r="AAM22" i="1" s="1"/>
  <c r="AAV22" i="1" s="1"/>
  <c r="ABE22" i="1" s="1"/>
  <c r="NI22" i="1"/>
  <c r="NR23" i="1"/>
  <c r="OA23" i="1" s="1"/>
  <c r="OJ23" i="1" s="1"/>
  <c r="OS23" i="1" s="1"/>
  <c r="PB23" i="1" s="1"/>
  <c r="PK23" i="1" s="1"/>
  <c r="PT23" i="1" s="1"/>
  <c r="QC23" i="1" s="1"/>
  <c r="QL23" i="1" s="1"/>
  <c r="QU23" i="1" s="1"/>
  <c r="RD23" i="1" s="1"/>
  <c r="RM23" i="1" s="1"/>
  <c r="RV23" i="1" s="1"/>
  <c r="SE23" i="1" s="1"/>
  <c r="SN23" i="1" s="1"/>
  <c r="SW23" i="1" s="1"/>
  <c r="TF23" i="1" s="1"/>
  <c r="TO23" i="1" s="1"/>
  <c r="TX23" i="1" s="1"/>
  <c r="UG23" i="1" s="1"/>
  <c r="UP23" i="1" s="1"/>
  <c r="UY23" i="1" s="1"/>
  <c r="VH23" i="1" s="1"/>
  <c r="VQ23" i="1" s="1"/>
  <c r="VZ23" i="1" s="1"/>
  <c r="WI23" i="1" s="1"/>
  <c r="WR23" i="1" s="1"/>
  <c r="XA23" i="1" s="1"/>
  <c r="XJ23" i="1" s="1"/>
  <c r="XS23" i="1" s="1"/>
  <c r="YB23" i="1" s="1"/>
  <c r="YK23" i="1" s="1"/>
  <c r="YT23" i="1" s="1"/>
  <c r="ZC23" i="1" s="1"/>
  <c r="ZL23" i="1" s="1"/>
  <c r="ZU23" i="1" s="1"/>
  <c r="AAD23" i="1" s="1"/>
  <c r="AAM23" i="1" s="1"/>
  <c r="AAV23" i="1" s="1"/>
  <c r="ABE23" i="1" s="1"/>
  <c r="NI23" i="1"/>
  <c r="NR24" i="1"/>
  <c r="OA24" i="1" s="1"/>
  <c r="OJ24" i="1" s="1"/>
  <c r="OS24" i="1" s="1"/>
  <c r="PB24" i="1" s="1"/>
  <c r="PK24" i="1" s="1"/>
  <c r="PT24" i="1" s="1"/>
  <c r="QC24" i="1" s="1"/>
  <c r="QL24" i="1" s="1"/>
  <c r="QU24" i="1" s="1"/>
  <c r="RD24" i="1" s="1"/>
  <c r="RM24" i="1" s="1"/>
  <c r="RV24" i="1" s="1"/>
  <c r="SE24" i="1" s="1"/>
  <c r="SN24" i="1" s="1"/>
  <c r="SW24" i="1" s="1"/>
  <c r="TF24" i="1" s="1"/>
  <c r="TO24" i="1" s="1"/>
  <c r="TX24" i="1" s="1"/>
  <c r="UG24" i="1" s="1"/>
  <c r="UP24" i="1" s="1"/>
  <c r="UY24" i="1" s="1"/>
  <c r="VH24" i="1" s="1"/>
  <c r="VQ24" i="1" s="1"/>
  <c r="VZ24" i="1" s="1"/>
  <c r="WI24" i="1" s="1"/>
  <c r="WR24" i="1" s="1"/>
  <c r="XA24" i="1" s="1"/>
  <c r="XJ24" i="1" s="1"/>
  <c r="XS24" i="1" s="1"/>
  <c r="YB24" i="1" s="1"/>
  <c r="YK24" i="1" s="1"/>
  <c r="YT24" i="1" s="1"/>
  <c r="ZC24" i="1" s="1"/>
  <c r="ZL24" i="1" s="1"/>
  <c r="ZU24" i="1" s="1"/>
  <c r="AAD24" i="1" s="1"/>
  <c r="AAM24" i="1" s="1"/>
  <c r="AAV24" i="1" s="1"/>
  <c r="ABE24" i="1" s="1"/>
  <c r="NI24" i="1"/>
  <c r="NR25" i="1"/>
  <c r="OA25" i="1" s="1"/>
  <c r="OJ25" i="1" s="1"/>
  <c r="OS25" i="1" s="1"/>
  <c r="PB25" i="1" s="1"/>
  <c r="PK25" i="1" s="1"/>
  <c r="PT25" i="1" s="1"/>
  <c r="QC25" i="1" s="1"/>
  <c r="QL25" i="1" s="1"/>
  <c r="QU25" i="1" s="1"/>
  <c r="RD25" i="1" s="1"/>
  <c r="RM25" i="1" s="1"/>
  <c r="RV25" i="1" s="1"/>
  <c r="SE25" i="1" s="1"/>
  <c r="SN25" i="1" s="1"/>
  <c r="SW25" i="1" s="1"/>
  <c r="TF25" i="1" s="1"/>
  <c r="TO25" i="1" s="1"/>
  <c r="TX25" i="1" s="1"/>
  <c r="UG25" i="1" s="1"/>
  <c r="UP25" i="1" s="1"/>
  <c r="UY25" i="1" s="1"/>
  <c r="VH25" i="1" s="1"/>
  <c r="VQ25" i="1" s="1"/>
  <c r="VZ25" i="1" s="1"/>
  <c r="WI25" i="1" s="1"/>
  <c r="WR25" i="1" s="1"/>
  <c r="XA25" i="1" s="1"/>
  <c r="XJ25" i="1" s="1"/>
  <c r="XS25" i="1" s="1"/>
  <c r="YB25" i="1" s="1"/>
  <c r="YK25" i="1" s="1"/>
  <c r="YT25" i="1" s="1"/>
  <c r="ZC25" i="1" s="1"/>
  <c r="ZL25" i="1" s="1"/>
  <c r="ZU25" i="1" s="1"/>
  <c r="AAD25" i="1" s="1"/>
  <c r="AAM25" i="1" s="1"/>
  <c r="AAV25" i="1" s="1"/>
  <c r="ABE25" i="1" s="1"/>
  <c r="NI25" i="1"/>
  <c r="NR26" i="1"/>
  <c r="OA26" i="1" s="1"/>
  <c r="OJ26" i="1" s="1"/>
  <c r="OS26" i="1" s="1"/>
  <c r="PB26" i="1" s="1"/>
  <c r="PK26" i="1" s="1"/>
  <c r="PT26" i="1" s="1"/>
  <c r="QC26" i="1" s="1"/>
  <c r="QL26" i="1" s="1"/>
  <c r="QU26" i="1" s="1"/>
  <c r="RD26" i="1" s="1"/>
  <c r="RM26" i="1" s="1"/>
  <c r="RV26" i="1" s="1"/>
  <c r="SE26" i="1" s="1"/>
  <c r="SN26" i="1" s="1"/>
  <c r="SW26" i="1" s="1"/>
  <c r="TF26" i="1" s="1"/>
  <c r="TO26" i="1" s="1"/>
  <c r="TX26" i="1" s="1"/>
  <c r="UG26" i="1" s="1"/>
  <c r="UP26" i="1" s="1"/>
  <c r="UY26" i="1" s="1"/>
  <c r="VH26" i="1" s="1"/>
  <c r="VQ26" i="1" s="1"/>
  <c r="VZ26" i="1" s="1"/>
  <c r="WI26" i="1" s="1"/>
  <c r="WR26" i="1" s="1"/>
  <c r="XA26" i="1" s="1"/>
  <c r="XJ26" i="1" s="1"/>
  <c r="XS26" i="1" s="1"/>
  <c r="YB26" i="1" s="1"/>
  <c r="YK26" i="1" s="1"/>
  <c r="YT26" i="1" s="1"/>
  <c r="ZC26" i="1" s="1"/>
  <c r="ZL26" i="1" s="1"/>
  <c r="ZU26" i="1" s="1"/>
  <c r="AAD26" i="1" s="1"/>
  <c r="AAM26" i="1" s="1"/>
  <c r="AAV26" i="1" s="1"/>
  <c r="ABE26" i="1" s="1"/>
  <c r="NI26" i="1"/>
  <c r="NR27" i="1"/>
  <c r="OA27" i="1" s="1"/>
  <c r="OJ27" i="1" s="1"/>
  <c r="OS27" i="1" s="1"/>
  <c r="PB27" i="1" s="1"/>
  <c r="PK27" i="1" s="1"/>
  <c r="PT27" i="1" s="1"/>
  <c r="QC27" i="1" s="1"/>
  <c r="QL27" i="1" s="1"/>
  <c r="QU27" i="1" s="1"/>
  <c r="RD27" i="1" s="1"/>
  <c r="RM27" i="1" s="1"/>
  <c r="RV27" i="1" s="1"/>
  <c r="SE27" i="1" s="1"/>
  <c r="SN27" i="1" s="1"/>
  <c r="SW27" i="1" s="1"/>
  <c r="TF27" i="1" s="1"/>
  <c r="TO27" i="1" s="1"/>
  <c r="TX27" i="1" s="1"/>
  <c r="UG27" i="1" s="1"/>
  <c r="UP27" i="1" s="1"/>
  <c r="UY27" i="1" s="1"/>
  <c r="VH27" i="1" s="1"/>
  <c r="VQ27" i="1" s="1"/>
  <c r="VZ27" i="1" s="1"/>
  <c r="WI27" i="1" s="1"/>
  <c r="WR27" i="1" s="1"/>
  <c r="XA27" i="1" s="1"/>
  <c r="XJ27" i="1" s="1"/>
  <c r="XS27" i="1" s="1"/>
  <c r="YB27" i="1" s="1"/>
  <c r="YK27" i="1" s="1"/>
  <c r="YT27" i="1" s="1"/>
  <c r="ZC27" i="1" s="1"/>
  <c r="ZL27" i="1" s="1"/>
  <c r="ZU27" i="1" s="1"/>
  <c r="AAD27" i="1" s="1"/>
  <c r="AAM27" i="1" s="1"/>
  <c r="AAV27" i="1" s="1"/>
  <c r="ABE27" i="1" s="1"/>
  <c r="NI27" i="1"/>
  <c r="NR28" i="1"/>
  <c r="OA28" i="1" s="1"/>
  <c r="OJ28" i="1" s="1"/>
  <c r="OS28" i="1" s="1"/>
  <c r="PB28" i="1" s="1"/>
  <c r="PK28" i="1" s="1"/>
  <c r="PT28" i="1" s="1"/>
  <c r="QC28" i="1" s="1"/>
  <c r="QL28" i="1" s="1"/>
  <c r="QU28" i="1" s="1"/>
  <c r="RD28" i="1" s="1"/>
  <c r="RM28" i="1" s="1"/>
  <c r="RV28" i="1" s="1"/>
  <c r="SE28" i="1" s="1"/>
  <c r="SN28" i="1" s="1"/>
  <c r="SW28" i="1" s="1"/>
  <c r="TF28" i="1" s="1"/>
  <c r="TO28" i="1" s="1"/>
  <c r="TX28" i="1" s="1"/>
  <c r="UG28" i="1" s="1"/>
  <c r="UP28" i="1" s="1"/>
  <c r="UY28" i="1" s="1"/>
  <c r="VH28" i="1" s="1"/>
  <c r="VQ28" i="1" s="1"/>
  <c r="VZ28" i="1" s="1"/>
  <c r="WI28" i="1" s="1"/>
  <c r="WR28" i="1" s="1"/>
  <c r="XA28" i="1" s="1"/>
  <c r="XJ28" i="1" s="1"/>
  <c r="XS28" i="1" s="1"/>
  <c r="YB28" i="1" s="1"/>
  <c r="YK28" i="1" s="1"/>
  <c r="YT28" i="1" s="1"/>
  <c r="ZC28" i="1" s="1"/>
  <c r="ZL28" i="1" s="1"/>
  <c r="ZU28" i="1" s="1"/>
  <c r="AAD28" i="1" s="1"/>
  <c r="AAM28" i="1" s="1"/>
  <c r="AAV28" i="1" s="1"/>
  <c r="ABE28" i="1" s="1"/>
  <c r="NI28" i="1"/>
  <c r="NR29" i="1"/>
  <c r="OA29" i="1" s="1"/>
  <c r="OJ29" i="1" s="1"/>
  <c r="OS29" i="1" s="1"/>
  <c r="PB29" i="1" s="1"/>
  <c r="PK29" i="1" s="1"/>
  <c r="PT29" i="1" s="1"/>
  <c r="QC29" i="1" s="1"/>
  <c r="QL29" i="1" s="1"/>
  <c r="QU29" i="1" s="1"/>
  <c r="RD29" i="1" s="1"/>
  <c r="RM29" i="1" s="1"/>
  <c r="RV29" i="1" s="1"/>
  <c r="SE29" i="1" s="1"/>
  <c r="SN29" i="1" s="1"/>
  <c r="SW29" i="1" s="1"/>
  <c r="TF29" i="1" s="1"/>
  <c r="TO29" i="1" s="1"/>
  <c r="TX29" i="1" s="1"/>
  <c r="UG29" i="1" s="1"/>
  <c r="UP29" i="1" s="1"/>
  <c r="UY29" i="1" s="1"/>
  <c r="VH29" i="1" s="1"/>
  <c r="VQ29" i="1" s="1"/>
  <c r="VZ29" i="1" s="1"/>
  <c r="WI29" i="1" s="1"/>
  <c r="WR29" i="1" s="1"/>
  <c r="XA29" i="1" s="1"/>
  <c r="XJ29" i="1" s="1"/>
  <c r="XS29" i="1" s="1"/>
  <c r="YB29" i="1" s="1"/>
  <c r="YK29" i="1" s="1"/>
  <c r="YT29" i="1" s="1"/>
  <c r="ZC29" i="1" s="1"/>
  <c r="ZL29" i="1" s="1"/>
  <c r="ZU29" i="1" s="1"/>
  <c r="AAD29" i="1" s="1"/>
  <c r="AAM29" i="1" s="1"/>
  <c r="AAV29" i="1" s="1"/>
  <c r="ABE29" i="1" s="1"/>
  <c r="NI29" i="1"/>
  <c r="NR30" i="1"/>
  <c r="OA30" i="1" s="1"/>
  <c r="OJ30" i="1" s="1"/>
  <c r="OS30" i="1" s="1"/>
  <c r="PB30" i="1" s="1"/>
  <c r="PK30" i="1" s="1"/>
  <c r="PT30" i="1" s="1"/>
  <c r="QC30" i="1" s="1"/>
  <c r="QL30" i="1" s="1"/>
  <c r="QU30" i="1" s="1"/>
  <c r="RD30" i="1" s="1"/>
  <c r="RM30" i="1" s="1"/>
  <c r="RV30" i="1" s="1"/>
  <c r="SE30" i="1" s="1"/>
  <c r="SN30" i="1" s="1"/>
  <c r="SW30" i="1" s="1"/>
  <c r="TF30" i="1" s="1"/>
  <c r="TO30" i="1" s="1"/>
  <c r="TX30" i="1" s="1"/>
  <c r="UG30" i="1" s="1"/>
  <c r="UP30" i="1" s="1"/>
  <c r="UY30" i="1" s="1"/>
  <c r="VH30" i="1" s="1"/>
  <c r="VQ30" i="1" s="1"/>
  <c r="VZ30" i="1" s="1"/>
  <c r="WI30" i="1" s="1"/>
  <c r="WR30" i="1" s="1"/>
  <c r="XA30" i="1" s="1"/>
  <c r="XJ30" i="1" s="1"/>
  <c r="XS30" i="1" s="1"/>
  <c r="YB30" i="1" s="1"/>
  <c r="YK30" i="1" s="1"/>
  <c r="YT30" i="1" s="1"/>
  <c r="ZC30" i="1" s="1"/>
  <c r="ZL30" i="1" s="1"/>
  <c r="ZU30" i="1" s="1"/>
  <c r="AAD30" i="1" s="1"/>
  <c r="AAM30" i="1" s="1"/>
  <c r="AAV30" i="1" s="1"/>
  <c r="ABE30" i="1" s="1"/>
  <c r="NI30" i="1"/>
  <c r="NR31" i="1"/>
  <c r="OA31" i="1" s="1"/>
  <c r="OJ31" i="1" s="1"/>
  <c r="OS31" i="1" s="1"/>
  <c r="PB31" i="1" s="1"/>
  <c r="PK31" i="1" s="1"/>
  <c r="PT31" i="1" s="1"/>
  <c r="QC31" i="1" s="1"/>
  <c r="QL31" i="1" s="1"/>
  <c r="QU31" i="1" s="1"/>
  <c r="RD31" i="1" s="1"/>
  <c r="RM31" i="1" s="1"/>
  <c r="RV31" i="1" s="1"/>
  <c r="SE31" i="1" s="1"/>
  <c r="SN31" i="1" s="1"/>
  <c r="SW31" i="1" s="1"/>
  <c r="TF31" i="1" s="1"/>
  <c r="TO31" i="1" s="1"/>
  <c r="TX31" i="1" s="1"/>
  <c r="UG31" i="1" s="1"/>
  <c r="UP31" i="1" s="1"/>
  <c r="UY31" i="1" s="1"/>
  <c r="VH31" i="1" s="1"/>
  <c r="VQ31" i="1" s="1"/>
  <c r="VZ31" i="1" s="1"/>
  <c r="WI31" i="1" s="1"/>
  <c r="WR31" i="1" s="1"/>
  <c r="XA31" i="1" s="1"/>
  <c r="XJ31" i="1" s="1"/>
  <c r="XS31" i="1" s="1"/>
  <c r="YB31" i="1" s="1"/>
  <c r="YK31" i="1" s="1"/>
  <c r="YT31" i="1" s="1"/>
  <c r="ZC31" i="1" s="1"/>
  <c r="ZL31" i="1" s="1"/>
  <c r="ZU31" i="1" s="1"/>
  <c r="AAD31" i="1" s="1"/>
  <c r="AAM31" i="1" s="1"/>
  <c r="AAV31" i="1" s="1"/>
  <c r="ABE31" i="1" s="1"/>
  <c r="NI31" i="1"/>
  <c r="NR32" i="1"/>
  <c r="OA32" i="1" s="1"/>
  <c r="OJ32" i="1" s="1"/>
  <c r="OS32" i="1" s="1"/>
  <c r="PB32" i="1" s="1"/>
  <c r="PK32" i="1" s="1"/>
  <c r="PT32" i="1" s="1"/>
  <c r="QC32" i="1" s="1"/>
  <c r="QL32" i="1" s="1"/>
  <c r="QU32" i="1" s="1"/>
  <c r="RD32" i="1" s="1"/>
  <c r="RM32" i="1" s="1"/>
  <c r="RV32" i="1" s="1"/>
  <c r="SE32" i="1" s="1"/>
  <c r="SN32" i="1" s="1"/>
  <c r="SW32" i="1" s="1"/>
  <c r="TF32" i="1" s="1"/>
  <c r="TO32" i="1" s="1"/>
  <c r="TX32" i="1" s="1"/>
  <c r="UG32" i="1" s="1"/>
  <c r="UP32" i="1" s="1"/>
  <c r="UY32" i="1" s="1"/>
  <c r="VH32" i="1" s="1"/>
  <c r="VQ32" i="1" s="1"/>
  <c r="VZ32" i="1" s="1"/>
  <c r="WI32" i="1" s="1"/>
  <c r="WR32" i="1" s="1"/>
  <c r="XA32" i="1" s="1"/>
  <c r="XJ32" i="1" s="1"/>
  <c r="XS32" i="1" s="1"/>
  <c r="YB32" i="1" s="1"/>
  <c r="YK32" i="1" s="1"/>
  <c r="YT32" i="1" s="1"/>
  <c r="ZC32" i="1" s="1"/>
  <c r="ZL32" i="1" s="1"/>
  <c r="ZU32" i="1" s="1"/>
  <c r="AAD32" i="1" s="1"/>
  <c r="AAM32" i="1" s="1"/>
  <c r="AAV32" i="1" s="1"/>
  <c r="ABE32" i="1" s="1"/>
  <c r="NI32" i="1"/>
  <c r="NR33" i="1"/>
  <c r="OA33" i="1" s="1"/>
  <c r="OJ33" i="1" s="1"/>
  <c r="OS33" i="1" s="1"/>
  <c r="PB33" i="1" s="1"/>
  <c r="PK33" i="1" s="1"/>
  <c r="PT33" i="1" s="1"/>
  <c r="QC33" i="1" s="1"/>
  <c r="QL33" i="1" s="1"/>
  <c r="QU33" i="1" s="1"/>
  <c r="RD33" i="1" s="1"/>
  <c r="RM33" i="1" s="1"/>
  <c r="RV33" i="1" s="1"/>
  <c r="SE33" i="1" s="1"/>
  <c r="SN33" i="1" s="1"/>
  <c r="SW33" i="1" s="1"/>
  <c r="TF33" i="1" s="1"/>
  <c r="TO33" i="1" s="1"/>
  <c r="TX33" i="1" s="1"/>
  <c r="UG33" i="1" s="1"/>
  <c r="UP33" i="1" s="1"/>
  <c r="UY33" i="1" s="1"/>
  <c r="VH33" i="1" s="1"/>
  <c r="VQ33" i="1" s="1"/>
  <c r="VZ33" i="1" s="1"/>
  <c r="WI33" i="1" s="1"/>
  <c r="WR33" i="1" s="1"/>
  <c r="XA33" i="1" s="1"/>
  <c r="XJ33" i="1" s="1"/>
  <c r="XS33" i="1" s="1"/>
  <c r="YB33" i="1" s="1"/>
  <c r="YK33" i="1" s="1"/>
  <c r="YT33" i="1" s="1"/>
  <c r="ZC33" i="1" s="1"/>
  <c r="ZL33" i="1" s="1"/>
  <c r="ZU33" i="1" s="1"/>
  <c r="AAD33" i="1" s="1"/>
  <c r="AAM33" i="1" s="1"/>
  <c r="AAV33" i="1" s="1"/>
  <c r="ABE33" i="1" s="1"/>
  <c r="NI33" i="1"/>
  <c r="NR34" i="1"/>
  <c r="OA34" i="1" s="1"/>
  <c r="OJ34" i="1" s="1"/>
  <c r="OS34" i="1" s="1"/>
  <c r="PB34" i="1" s="1"/>
  <c r="PK34" i="1" s="1"/>
  <c r="PT34" i="1" s="1"/>
  <c r="QC34" i="1" s="1"/>
  <c r="QL34" i="1" s="1"/>
  <c r="QU34" i="1" s="1"/>
  <c r="RD34" i="1" s="1"/>
  <c r="RM34" i="1" s="1"/>
  <c r="RV34" i="1" s="1"/>
  <c r="SE34" i="1" s="1"/>
  <c r="SN34" i="1" s="1"/>
  <c r="SW34" i="1" s="1"/>
  <c r="TF34" i="1" s="1"/>
  <c r="TO34" i="1" s="1"/>
  <c r="TX34" i="1" s="1"/>
  <c r="UG34" i="1" s="1"/>
  <c r="UP34" i="1" s="1"/>
  <c r="UY34" i="1" s="1"/>
  <c r="VH34" i="1" s="1"/>
  <c r="VQ34" i="1" s="1"/>
  <c r="VZ34" i="1" s="1"/>
  <c r="WI34" i="1" s="1"/>
  <c r="WR34" i="1" s="1"/>
  <c r="XA34" i="1" s="1"/>
  <c r="XJ34" i="1" s="1"/>
  <c r="XS34" i="1" s="1"/>
  <c r="YB34" i="1" s="1"/>
  <c r="YK34" i="1" s="1"/>
  <c r="YT34" i="1" s="1"/>
  <c r="ZC34" i="1" s="1"/>
  <c r="ZL34" i="1" s="1"/>
  <c r="ZU34" i="1" s="1"/>
  <c r="AAD34" i="1" s="1"/>
  <c r="AAM34" i="1" s="1"/>
  <c r="AAV34" i="1" s="1"/>
  <c r="ABE34" i="1" s="1"/>
  <c r="NI34" i="1"/>
  <c r="NR35" i="1"/>
  <c r="OA35" i="1" s="1"/>
  <c r="OJ35" i="1" s="1"/>
  <c r="OS35" i="1" s="1"/>
  <c r="PB35" i="1" s="1"/>
  <c r="PK35" i="1" s="1"/>
  <c r="PT35" i="1" s="1"/>
  <c r="QC35" i="1" s="1"/>
  <c r="QL35" i="1" s="1"/>
  <c r="QU35" i="1" s="1"/>
  <c r="RD35" i="1" s="1"/>
  <c r="RM35" i="1" s="1"/>
  <c r="RV35" i="1" s="1"/>
  <c r="SE35" i="1" s="1"/>
  <c r="SN35" i="1" s="1"/>
  <c r="SW35" i="1" s="1"/>
  <c r="TF35" i="1" s="1"/>
  <c r="TO35" i="1" s="1"/>
  <c r="TX35" i="1" s="1"/>
  <c r="UG35" i="1" s="1"/>
  <c r="UP35" i="1" s="1"/>
  <c r="UY35" i="1" s="1"/>
  <c r="VH35" i="1" s="1"/>
  <c r="VQ35" i="1" s="1"/>
  <c r="VZ35" i="1" s="1"/>
  <c r="WI35" i="1" s="1"/>
  <c r="WR35" i="1" s="1"/>
  <c r="XA35" i="1" s="1"/>
  <c r="XJ35" i="1" s="1"/>
  <c r="XS35" i="1" s="1"/>
  <c r="YB35" i="1" s="1"/>
  <c r="YK35" i="1" s="1"/>
  <c r="YT35" i="1" s="1"/>
  <c r="ZC35" i="1" s="1"/>
  <c r="ZL35" i="1" s="1"/>
  <c r="ZU35" i="1" s="1"/>
  <c r="AAD35" i="1" s="1"/>
  <c r="AAM35" i="1" s="1"/>
  <c r="AAV35" i="1" s="1"/>
  <c r="ABE35" i="1" s="1"/>
  <c r="NI35" i="1"/>
  <c r="NR36" i="1"/>
  <c r="OA36" i="1" s="1"/>
  <c r="OJ36" i="1" s="1"/>
  <c r="OS36" i="1" s="1"/>
  <c r="PB36" i="1" s="1"/>
  <c r="PK36" i="1" s="1"/>
  <c r="PT36" i="1" s="1"/>
  <c r="QC36" i="1" s="1"/>
  <c r="QL36" i="1" s="1"/>
  <c r="QU36" i="1" s="1"/>
  <c r="RD36" i="1" s="1"/>
  <c r="RM36" i="1" s="1"/>
  <c r="RV36" i="1" s="1"/>
  <c r="SE36" i="1" s="1"/>
  <c r="SN36" i="1" s="1"/>
  <c r="SW36" i="1" s="1"/>
  <c r="TF36" i="1" s="1"/>
  <c r="TO36" i="1" s="1"/>
  <c r="TX36" i="1" s="1"/>
  <c r="UG36" i="1" s="1"/>
  <c r="UP36" i="1" s="1"/>
  <c r="UY36" i="1" s="1"/>
  <c r="VH36" i="1" s="1"/>
  <c r="VQ36" i="1" s="1"/>
  <c r="VZ36" i="1" s="1"/>
  <c r="WI36" i="1" s="1"/>
  <c r="WR36" i="1" s="1"/>
  <c r="XA36" i="1" s="1"/>
  <c r="XJ36" i="1" s="1"/>
  <c r="XS36" i="1" s="1"/>
  <c r="YB36" i="1" s="1"/>
  <c r="YK36" i="1" s="1"/>
  <c r="YT36" i="1" s="1"/>
  <c r="ZC36" i="1" s="1"/>
  <c r="ZL36" i="1" s="1"/>
  <c r="ZU36" i="1" s="1"/>
  <c r="AAD36" i="1" s="1"/>
  <c r="AAM36" i="1" s="1"/>
  <c r="AAV36" i="1" s="1"/>
  <c r="ABE36" i="1" s="1"/>
  <c r="NI36" i="1"/>
  <c r="G48" i="16"/>
  <c r="G48" i="15"/>
  <c r="G48" i="14"/>
  <c r="G61" i="16"/>
  <c r="G62" i="15"/>
  <c r="G61" i="14"/>
  <c r="G61" i="13"/>
  <c r="RW427" i="1"/>
  <c r="VV42" i="1" l="1"/>
  <c r="VV43" i="1" s="1"/>
  <c r="VV44" i="1" s="1"/>
  <c r="VV45" i="1" s="1"/>
  <c r="VV46" i="1" s="1"/>
  <c r="VV47" i="1" s="1"/>
  <c r="VV48" i="1" s="1"/>
  <c r="VV49" i="1" s="1"/>
  <c r="VV50" i="1" s="1"/>
  <c r="VV51" i="1" s="1"/>
  <c r="VV52" i="1" s="1"/>
  <c r="VV53" i="1" s="1"/>
  <c r="VV54" i="1" s="1"/>
  <c r="VV55" i="1" s="1"/>
  <c r="VV56" i="1" s="1"/>
  <c r="VV57" i="1" s="1"/>
  <c r="VV58" i="1" s="1"/>
  <c r="VV59" i="1" s="1"/>
  <c r="VV60" i="1" s="1"/>
  <c r="VV61" i="1" s="1"/>
  <c r="VV62" i="1" s="1"/>
  <c r="VV63" i="1" s="1"/>
  <c r="VV64" i="1" s="1"/>
  <c r="VV65" i="1" s="1"/>
  <c r="VV66" i="1" s="1"/>
  <c r="VV67" i="1" s="1"/>
  <c r="VV68" i="1" s="1"/>
  <c r="VV69" i="1" s="1"/>
  <c r="VV70" i="1" s="1"/>
  <c r="VV71" i="1" s="1"/>
  <c r="BO11" i="5"/>
  <c r="UL42" i="1"/>
  <c r="UL43" i="1" s="1"/>
  <c r="UL44" i="1" s="1"/>
  <c r="UL45" i="1" s="1"/>
  <c r="UL46" i="1" s="1"/>
  <c r="UL47" i="1" s="1"/>
  <c r="UL48" i="1" s="1"/>
  <c r="UL49" i="1" s="1"/>
  <c r="UL50" i="1" s="1"/>
  <c r="UL51" i="1" s="1"/>
  <c r="UL52" i="1" s="1"/>
  <c r="UL53" i="1" s="1"/>
  <c r="UL54" i="1" s="1"/>
  <c r="UL55" i="1" s="1"/>
  <c r="UL56" i="1" s="1"/>
  <c r="UL57" i="1" s="1"/>
  <c r="UL58" i="1" s="1"/>
  <c r="UL59" i="1" s="1"/>
  <c r="UL60" i="1" s="1"/>
  <c r="UL61" i="1" s="1"/>
  <c r="UL62" i="1" s="1"/>
  <c r="UL63" i="1" s="1"/>
  <c r="UL64" i="1" s="1"/>
  <c r="UL65" i="1" s="1"/>
  <c r="UL66" i="1" s="1"/>
  <c r="UL67" i="1" s="1"/>
  <c r="UL68" i="1" s="1"/>
  <c r="UL69" i="1" s="1"/>
  <c r="UL70" i="1" s="1"/>
  <c r="UL71" i="1" s="1"/>
  <c r="BK11" i="5"/>
  <c r="VM42" i="1"/>
  <c r="VM43" i="1" s="1"/>
  <c r="VM44" i="1" s="1"/>
  <c r="VM45" i="1" s="1"/>
  <c r="VM46" i="1" s="1"/>
  <c r="VM47" i="1" s="1"/>
  <c r="VM48" i="1" s="1"/>
  <c r="VM49" i="1" s="1"/>
  <c r="VM50" i="1" s="1"/>
  <c r="VM51" i="1" s="1"/>
  <c r="VM52" i="1" s="1"/>
  <c r="VM53" i="1" s="1"/>
  <c r="VM54" i="1" s="1"/>
  <c r="VM55" i="1" s="1"/>
  <c r="VM56" i="1" s="1"/>
  <c r="VM57" i="1" s="1"/>
  <c r="VM58" i="1" s="1"/>
  <c r="VM59" i="1" s="1"/>
  <c r="VM60" i="1" s="1"/>
  <c r="VM61" i="1" s="1"/>
  <c r="VM62" i="1" s="1"/>
  <c r="VM63" i="1" s="1"/>
  <c r="VM64" i="1" s="1"/>
  <c r="VM65" i="1" s="1"/>
  <c r="VM66" i="1" s="1"/>
  <c r="VM67" i="1" s="1"/>
  <c r="VM68" i="1" s="1"/>
  <c r="VM69" i="1" s="1"/>
  <c r="VM70" i="1" s="1"/>
  <c r="VM71" i="1" s="1"/>
  <c r="BN11" i="5"/>
  <c r="TT42" i="1"/>
  <c r="TT43" i="1" s="1"/>
  <c r="TT44" i="1" s="1"/>
  <c r="TT45" i="1" s="1"/>
  <c r="TT46" i="1" s="1"/>
  <c r="TT47" i="1" s="1"/>
  <c r="TT48" i="1" s="1"/>
  <c r="TT49" i="1" s="1"/>
  <c r="TT50" i="1" s="1"/>
  <c r="TT51" i="1" s="1"/>
  <c r="TT52" i="1" s="1"/>
  <c r="TT53" i="1" s="1"/>
  <c r="TT54" i="1" s="1"/>
  <c r="TT55" i="1" s="1"/>
  <c r="TT56" i="1" s="1"/>
  <c r="TT57" i="1" s="1"/>
  <c r="TT58" i="1" s="1"/>
  <c r="TT59" i="1" s="1"/>
  <c r="TT60" i="1" s="1"/>
  <c r="TT61" i="1" s="1"/>
  <c r="TT62" i="1" s="1"/>
  <c r="TT63" i="1" s="1"/>
  <c r="TT64" i="1" s="1"/>
  <c r="TT65" i="1" s="1"/>
  <c r="TT66" i="1" s="1"/>
  <c r="TT67" i="1" s="1"/>
  <c r="TT68" i="1" s="1"/>
  <c r="TT69" i="1" s="1"/>
  <c r="TT70" i="1" s="1"/>
  <c r="TT71" i="1" s="1"/>
  <c r="BI11" i="5"/>
  <c r="UU42" i="1"/>
  <c r="UU43" i="1" s="1"/>
  <c r="UU44" i="1" s="1"/>
  <c r="UU45" i="1" s="1"/>
  <c r="UU46" i="1" s="1"/>
  <c r="UU47" i="1" s="1"/>
  <c r="UU48" i="1" s="1"/>
  <c r="UU49" i="1" s="1"/>
  <c r="UU50" i="1" s="1"/>
  <c r="UU51" i="1" s="1"/>
  <c r="UU52" i="1" s="1"/>
  <c r="UU53" i="1" s="1"/>
  <c r="UU54" i="1" s="1"/>
  <c r="UU55" i="1" s="1"/>
  <c r="UU56" i="1" s="1"/>
  <c r="UU57" i="1" s="1"/>
  <c r="UU58" i="1" s="1"/>
  <c r="UU59" i="1" s="1"/>
  <c r="UU60" i="1" s="1"/>
  <c r="UU61" i="1" s="1"/>
  <c r="UU62" i="1" s="1"/>
  <c r="UU63" i="1" s="1"/>
  <c r="UU64" i="1" s="1"/>
  <c r="UU65" i="1" s="1"/>
  <c r="UU66" i="1" s="1"/>
  <c r="UU67" i="1" s="1"/>
  <c r="UU68" i="1" s="1"/>
  <c r="UU69" i="1" s="1"/>
  <c r="UU70" i="1" s="1"/>
  <c r="UU71" i="1" s="1"/>
  <c r="BL11" i="5"/>
  <c r="BD82" i="5"/>
  <c r="VD42" i="1"/>
  <c r="VD43" i="1" s="1"/>
  <c r="VD44" i="1" s="1"/>
  <c r="VD45" i="1" s="1"/>
  <c r="VD46" i="1" s="1"/>
  <c r="VD47" i="1" s="1"/>
  <c r="VD48" i="1" s="1"/>
  <c r="VD49" i="1" s="1"/>
  <c r="VD50" i="1" s="1"/>
  <c r="VD51" i="1" s="1"/>
  <c r="VD52" i="1" s="1"/>
  <c r="VD53" i="1" s="1"/>
  <c r="VD54" i="1" s="1"/>
  <c r="VD55" i="1" s="1"/>
  <c r="VD56" i="1" s="1"/>
  <c r="VD57" i="1" s="1"/>
  <c r="VD58" i="1" s="1"/>
  <c r="VD59" i="1" s="1"/>
  <c r="VD60" i="1" s="1"/>
  <c r="VD61" i="1" s="1"/>
  <c r="VD62" i="1" s="1"/>
  <c r="VD63" i="1" s="1"/>
  <c r="VD64" i="1" s="1"/>
  <c r="VD65" i="1" s="1"/>
  <c r="VD66" i="1" s="1"/>
  <c r="VD67" i="1" s="1"/>
  <c r="VD68" i="1" s="1"/>
  <c r="VD69" i="1" s="1"/>
  <c r="VD70" i="1" s="1"/>
  <c r="VD71" i="1" s="1"/>
  <c r="BM11" i="5"/>
  <c r="UC42" i="1"/>
  <c r="UC43" i="1" s="1"/>
  <c r="UC44" i="1" s="1"/>
  <c r="UC45" i="1" s="1"/>
  <c r="UC46" i="1" s="1"/>
  <c r="UC47" i="1" s="1"/>
  <c r="UC48" i="1" s="1"/>
  <c r="UC49" i="1" s="1"/>
  <c r="UC50" i="1" s="1"/>
  <c r="UC51" i="1" s="1"/>
  <c r="UC52" i="1" s="1"/>
  <c r="UC53" i="1" s="1"/>
  <c r="UC54" i="1" s="1"/>
  <c r="UC55" i="1" s="1"/>
  <c r="UC56" i="1" s="1"/>
  <c r="UC57" i="1" s="1"/>
  <c r="UC58" i="1" s="1"/>
  <c r="UC59" i="1" s="1"/>
  <c r="UC60" i="1" s="1"/>
  <c r="UC61" i="1" s="1"/>
  <c r="UC62" i="1" s="1"/>
  <c r="UC63" i="1" s="1"/>
  <c r="UC64" i="1" s="1"/>
  <c r="UC65" i="1" s="1"/>
  <c r="UC66" i="1" s="1"/>
  <c r="UC67" i="1" s="1"/>
  <c r="UC68" i="1" s="1"/>
  <c r="UC69" i="1" s="1"/>
  <c r="UC70" i="1" s="1"/>
  <c r="UC71" i="1" s="1"/>
  <c r="BJ11" i="5"/>
  <c r="YY111" i="1"/>
  <c r="BX22" i="5"/>
  <c r="WE42" i="1"/>
  <c r="WE43" i="1" s="1"/>
  <c r="WE44" i="1" s="1"/>
  <c r="WE45" i="1" s="1"/>
  <c r="WE46" i="1" s="1"/>
  <c r="WE47" i="1" s="1"/>
  <c r="WE48" i="1" s="1"/>
  <c r="WE49" i="1" s="1"/>
  <c r="WE50" i="1" s="1"/>
  <c r="WE51" i="1" s="1"/>
  <c r="WE52" i="1" s="1"/>
  <c r="WE53" i="1" s="1"/>
  <c r="WE54" i="1" s="1"/>
  <c r="WE55" i="1" s="1"/>
  <c r="WE56" i="1" s="1"/>
  <c r="WE57" i="1" s="1"/>
  <c r="WE58" i="1" s="1"/>
  <c r="WE59" i="1" s="1"/>
  <c r="WE60" i="1" s="1"/>
  <c r="WE61" i="1" s="1"/>
  <c r="WE62" i="1" s="1"/>
  <c r="WE63" i="1" s="1"/>
  <c r="WE64" i="1" s="1"/>
  <c r="WE65" i="1" s="1"/>
  <c r="WE66" i="1" s="1"/>
  <c r="WE67" i="1" s="1"/>
  <c r="WE68" i="1" s="1"/>
  <c r="WE69" i="1" s="1"/>
  <c r="WE70" i="1" s="1"/>
  <c r="WE71" i="1" s="1"/>
  <c r="BP11" i="5"/>
  <c r="ZH111" i="1"/>
  <c r="BY22" i="5"/>
  <c r="ZQ76" i="1"/>
  <c r="ZQ77" i="1" s="1"/>
  <c r="ZQ78" i="1" s="1"/>
  <c r="ZQ79" i="1" s="1"/>
  <c r="ZQ80" i="1" s="1"/>
  <c r="ZQ81" i="1" s="1"/>
  <c r="ZQ82" i="1" s="1"/>
  <c r="ZQ83" i="1" s="1"/>
  <c r="ZQ84" i="1" s="1"/>
  <c r="ZQ85" i="1" s="1"/>
  <c r="ZQ86" i="1" s="1"/>
  <c r="ZQ87" i="1" s="1"/>
  <c r="ZQ88" i="1" s="1"/>
  <c r="ZQ89" i="1" s="1"/>
  <c r="ZQ90" i="1" s="1"/>
  <c r="ZQ91" i="1" s="1"/>
  <c r="ZQ92" i="1" s="1"/>
  <c r="ZQ93" i="1" s="1"/>
  <c r="ZQ94" i="1" s="1"/>
  <c r="ZQ95" i="1" s="1"/>
  <c r="ZQ96" i="1" s="1"/>
  <c r="ZQ97" i="1" s="1"/>
  <c r="ZQ98" i="1" s="1"/>
  <c r="ZQ99" i="1" s="1"/>
  <c r="ZQ100" i="1" s="1"/>
  <c r="ZQ101" i="1" s="1"/>
  <c r="ZQ102" i="1" s="1"/>
  <c r="ZQ103" i="1" s="1"/>
  <c r="ZQ104" i="1" s="1"/>
  <c r="ZQ105" i="1" s="1"/>
  <c r="ZQ106" i="1" s="1"/>
  <c r="ZQ107" i="1" s="1"/>
  <c r="BZ18" i="5"/>
  <c r="YP76" i="1"/>
  <c r="YP77" i="1" s="1"/>
  <c r="YP78" i="1" s="1"/>
  <c r="YP79" i="1" s="1"/>
  <c r="YP80" i="1" s="1"/>
  <c r="YP81" i="1" s="1"/>
  <c r="YP82" i="1" s="1"/>
  <c r="YP83" i="1" s="1"/>
  <c r="YP84" i="1" s="1"/>
  <c r="YP85" i="1" s="1"/>
  <c r="YP86" i="1" s="1"/>
  <c r="YP87" i="1" s="1"/>
  <c r="YP88" i="1" s="1"/>
  <c r="YP89" i="1" s="1"/>
  <c r="YP90" i="1" s="1"/>
  <c r="YP91" i="1" s="1"/>
  <c r="YP92" i="1" s="1"/>
  <c r="YP93" i="1" s="1"/>
  <c r="YP94" i="1" s="1"/>
  <c r="YP95" i="1" s="1"/>
  <c r="YP96" i="1" s="1"/>
  <c r="YP97" i="1" s="1"/>
  <c r="YP98" i="1" s="1"/>
  <c r="YP99" i="1" s="1"/>
  <c r="YP100" i="1" s="1"/>
  <c r="YP101" i="1" s="1"/>
  <c r="YP102" i="1" s="1"/>
  <c r="YP103" i="1" s="1"/>
  <c r="YP104" i="1" s="1"/>
  <c r="YP105" i="1" s="1"/>
  <c r="YP106" i="1" s="1"/>
  <c r="YP107" i="1" s="1"/>
  <c r="BW18" i="5"/>
  <c r="YG76" i="1"/>
  <c r="YG77" i="1" s="1"/>
  <c r="YG78" i="1" s="1"/>
  <c r="YG79" i="1" s="1"/>
  <c r="YG80" i="1" s="1"/>
  <c r="YG81" i="1" s="1"/>
  <c r="YG82" i="1" s="1"/>
  <c r="YG83" i="1" s="1"/>
  <c r="YG84" i="1" s="1"/>
  <c r="YG85" i="1" s="1"/>
  <c r="YG86" i="1" s="1"/>
  <c r="YG87" i="1" s="1"/>
  <c r="YG88" i="1" s="1"/>
  <c r="YG89" i="1" s="1"/>
  <c r="YG90" i="1" s="1"/>
  <c r="YG91" i="1" s="1"/>
  <c r="YG92" i="1" s="1"/>
  <c r="YG93" i="1" s="1"/>
  <c r="YG94" i="1" s="1"/>
  <c r="YG95" i="1" s="1"/>
  <c r="YG96" i="1" s="1"/>
  <c r="YG97" i="1" s="1"/>
  <c r="YG98" i="1" s="1"/>
  <c r="YG99" i="1" s="1"/>
  <c r="YG100" i="1" s="1"/>
  <c r="YG101" i="1" s="1"/>
  <c r="YG102" i="1" s="1"/>
  <c r="YG103" i="1" s="1"/>
  <c r="YG104" i="1" s="1"/>
  <c r="YG105" i="1" s="1"/>
  <c r="YG106" i="1" s="1"/>
  <c r="YG107" i="1" s="1"/>
  <c r="BV18" i="5"/>
  <c r="XX76" i="1"/>
  <c r="XX77" i="1" s="1"/>
  <c r="XX78" i="1" s="1"/>
  <c r="XX79" i="1" s="1"/>
  <c r="XX80" i="1" s="1"/>
  <c r="XX81" i="1" s="1"/>
  <c r="XX82" i="1" s="1"/>
  <c r="XX83" i="1" s="1"/>
  <c r="XX84" i="1" s="1"/>
  <c r="XX85" i="1" s="1"/>
  <c r="XX86" i="1" s="1"/>
  <c r="XX87" i="1" s="1"/>
  <c r="XX88" i="1" s="1"/>
  <c r="XX89" i="1" s="1"/>
  <c r="XX90" i="1" s="1"/>
  <c r="XX91" i="1" s="1"/>
  <c r="XX92" i="1" s="1"/>
  <c r="XX93" i="1" s="1"/>
  <c r="XX94" i="1" s="1"/>
  <c r="XX95" i="1" s="1"/>
  <c r="XX96" i="1" s="1"/>
  <c r="XX97" i="1" s="1"/>
  <c r="XX98" i="1" s="1"/>
  <c r="XX99" i="1" s="1"/>
  <c r="XX100" i="1" s="1"/>
  <c r="XX101" i="1" s="1"/>
  <c r="XX102" i="1" s="1"/>
  <c r="XX103" i="1" s="1"/>
  <c r="XX104" i="1" s="1"/>
  <c r="XX105" i="1" s="1"/>
  <c r="XX106" i="1" s="1"/>
  <c r="XX107" i="1" s="1"/>
  <c r="BU18" i="5"/>
  <c r="XF42" i="1"/>
  <c r="XF43" i="1" s="1"/>
  <c r="XF44" i="1" s="1"/>
  <c r="XF45" i="1" s="1"/>
  <c r="XF46" i="1" s="1"/>
  <c r="XF47" i="1" s="1"/>
  <c r="XF48" i="1" s="1"/>
  <c r="XF49" i="1" s="1"/>
  <c r="XF50" i="1" s="1"/>
  <c r="XF51" i="1" s="1"/>
  <c r="XF52" i="1" s="1"/>
  <c r="XF53" i="1" s="1"/>
  <c r="XF54" i="1" s="1"/>
  <c r="XF55" i="1" s="1"/>
  <c r="XF56" i="1" s="1"/>
  <c r="XF57" i="1" s="1"/>
  <c r="XF58" i="1" s="1"/>
  <c r="XF59" i="1" s="1"/>
  <c r="XF60" i="1" s="1"/>
  <c r="XF61" i="1" s="1"/>
  <c r="XF62" i="1" s="1"/>
  <c r="XF63" i="1" s="1"/>
  <c r="XF64" i="1" s="1"/>
  <c r="XF65" i="1" s="1"/>
  <c r="XF66" i="1" s="1"/>
  <c r="XF67" i="1" s="1"/>
  <c r="XF68" i="1" s="1"/>
  <c r="XF69" i="1" s="1"/>
  <c r="XF70" i="1" s="1"/>
  <c r="XF71" i="1" s="1"/>
  <c r="BS11" i="5"/>
  <c r="WW42" i="1"/>
  <c r="WW43" i="1" s="1"/>
  <c r="WW44" i="1" s="1"/>
  <c r="WW45" i="1" s="1"/>
  <c r="WW46" i="1" s="1"/>
  <c r="WW47" i="1" s="1"/>
  <c r="WW48" i="1" s="1"/>
  <c r="WW49" i="1" s="1"/>
  <c r="WW50" i="1" s="1"/>
  <c r="WW51" i="1" s="1"/>
  <c r="WW52" i="1" s="1"/>
  <c r="WW53" i="1" s="1"/>
  <c r="WW54" i="1" s="1"/>
  <c r="WW55" i="1" s="1"/>
  <c r="WW56" i="1" s="1"/>
  <c r="WW57" i="1" s="1"/>
  <c r="WW58" i="1" s="1"/>
  <c r="WW59" i="1" s="1"/>
  <c r="WW60" i="1" s="1"/>
  <c r="WW61" i="1" s="1"/>
  <c r="WW62" i="1" s="1"/>
  <c r="WW63" i="1" s="1"/>
  <c r="WW64" i="1" s="1"/>
  <c r="WW65" i="1" s="1"/>
  <c r="WW66" i="1" s="1"/>
  <c r="WW67" i="1" s="1"/>
  <c r="WW68" i="1" s="1"/>
  <c r="WW69" i="1" s="1"/>
  <c r="WW70" i="1" s="1"/>
  <c r="WW71" i="1" s="1"/>
  <c r="BR11" i="5"/>
  <c r="WN42" i="1"/>
  <c r="WN43" i="1" s="1"/>
  <c r="WN44" i="1" s="1"/>
  <c r="WN45" i="1" s="1"/>
  <c r="WN46" i="1" s="1"/>
  <c r="WN47" i="1" s="1"/>
  <c r="WN48" i="1" s="1"/>
  <c r="WN49" i="1" s="1"/>
  <c r="WN50" i="1" s="1"/>
  <c r="WN51" i="1" s="1"/>
  <c r="WN52" i="1" s="1"/>
  <c r="WN53" i="1" s="1"/>
  <c r="WN54" i="1" s="1"/>
  <c r="WN55" i="1" s="1"/>
  <c r="WN56" i="1" s="1"/>
  <c r="WN57" i="1" s="1"/>
  <c r="WN58" i="1" s="1"/>
  <c r="WN59" i="1" s="1"/>
  <c r="WN60" i="1" s="1"/>
  <c r="WN61" i="1" s="1"/>
  <c r="WN62" i="1" s="1"/>
  <c r="WN63" i="1" s="1"/>
  <c r="WN64" i="1" s="1"/>
  <c r="WN65" i="1" s="1"/>
  <c r="WN66" i="1" s="1"/>
  <c r="WN67" i="1" s="1"/>
  <c r="WN68" i="1" s="1"/>
  <c r="WN69" i="1" s="1"/>
  <c r="WN70" i="1" s="1"/>
  <c r="WN71" i="1" s="1"/>
  <c r="BQ11" i="5"/>
  <c r="XO76" i="1"/>
  <c r="XO77" i="1" s="1"/>
  <c r="XO78" i="1" s="1"/>
  <c r="XO79" i="1" s="1"/>
  <c r="XO80" i="1" s="1"/>
  <c r="XO81" i="1" s="1"/>
  <c r="XO82" i="1" s="1"/>
  <c r="XO83" i="1" s="1"/>
  <c r="XO84" i="1" s="1"/>
  <c r="XO85" i="1" s="1"/>
  <c r="XO86" i="1" s="1"/>
  <c r="XO87" i="1" s="1"/>
  <c r="XO88" i="1" s="1"/>
  <c r="XO89" i="1" s="1"/>
  <c r="XO90" i="1" s="1"/>
  <c r="XO91" i="1" s="1"/>
  <c r="XO92" i="1" s="1"/>
  <c r="XO93" i="1" s="1"/>
  <c r="XO94" i="1" s="1"/>
  <c r="XO95" i="1" s="1"/>
  <c r="XO96" i="1" s="1"/>
  <c r="XO97" i="1" s="1"/>
  <c r="XO98" i="1" s="1"/>
  <c r="XO99" i="1" s="1"/>
  <c r="XO100" i="1" s="1"/>
  <c r="XO101" i="1" s="1"/>
  <c r="XO102" i="1" s="1"/>
  <c r="XO103" i="1" s="1"/>
  <c r="XO104" i="1" s="1"/>
  <c r="XO105" i="1" s="1"/>
  <c r="XO106" i="1" s="1"/>
  <c r="XO107" i="1" s="1"/>
  <c r="BT18" i="5"/>
  <c r="NR6" i="1"/>
  <c r="OA6" i="1" s="1"/>
  <c r="OJ6" i="1" s="1"/>
  <c r="OS6" i="1" s="1"/>
  <c r="PB6" i="1" s="1"/>
  <c r="PK6" i="1" s="1"/>
  <c r="PT6" i="1" s="1"/>
  <c r="QC6" i="1" s="1"/>
  <c r="QL6" i="1" s="1"/>
  <c r="QU6" i="1" s="1"/>
  <c r="RD6" i="1" s="1"/>
  <c r="RM6" i="1" s="1"/>
  <c r="RV6" i="1" s="1"/>
  <c r="SE6" i="1" s="1"/>
  <c r="SN6" i="1" s="1"/>
  <c r="SW6" i="1" s="1"/>
  <c r="TF6" i="1" s="1"/>
  <c r="TO6" i="1" s="1"/>
  <c r="TX6" i="1" s="1"/>
  <c r="UG6" i="1" s="1"/>
  <c r="UP6" i="1" s="1"/>
  <c r="UY6" i="1" s="1"/>
  <c r="VH6" i="1" s="1"/>
  <c r="VQ6" i="1" s="1"/>
  <c r="VZ6" i="1" s="1"/>
  <c r="WI6" i="1" s="1"/>
  <c r="WR6" i="1" s="1"/>
  <c r="XA6" i="1" s="1"/>
  <c r="XJ6" i="1" s="1"/>
  <c r="XS6" i="1" s="1"/>
  <c r="YB6" i="1" s="1"/>
  <c r="YK6" i="1" s="1"/>
  <c r="YT6" i="1" s="1"/>
  <c r="ZC6" i="1" s="1"/>
  <c r="ZL6" i="1" s="1"/>
  <c r="ZU6" i="1" s="1"/>
  <c r="AAD6" i="1" s="1"/>
  <c r="AAM6" i="1" s="1"/>
  <c r="AAV6" i="1" s="1"/>
  <c r="ABE6" i="1" s="1"/>
  <c r="NI6" i="1"/>
  <c r="B68" i="18"/>
  <c r="B68" i="17"/>
  <c r="B67" i="17"/>
  <c r="B67" i="18"/>
  <c r="B66" i="17"/>
  <c r="B66" i="18"/>
  <c r="B65" i="17"/>
  <c r="B65" i="18"/>
  <c r="B64" i="17"/>
  <c r="B64" i="18"/>
  <c r="B63" i="17"/>
  <c r="B63" i="18"/>
  <c r="B61" i="17"/>
  <c r="B61" i="18"/>
  <c r="B62" i="17"/>
  <c r="B62" i="18"/>
  <c r="B69" i="17"/>
  <c r="G48" i="13"/>
  <c r="ZQ111" i="1" l="1"/>
  <c r="BZ22" i="5"/>
  <c r="UU75" i="1"/>
  <c r="BL15" i="5"/>
  <c r="WE75" i="1"/>
  <c r="BP15" i="5"/>
  <c r="TT75" i="1"/>
  <c r="BI15" i="5"/>
  <c r="ZH112" i="1"/>
  <c r="ZH113" i="1" s="1"/>
  <c r="ZH114" i="1" s="1"/>
  <c r="ZH115" i="1" s="1"/>
  <c r="ZH116" i="1" s="1"/>
  <c r="ZH117" i="1" s="1"/>
  <c r="ZH118" i="1" s="1"/>
  <c r="ZH119" i="1" s="1"/>
  <c r="ZH120" i="1" s="1"/>
  <c r="ZH121" i="1" s="1"/>
  <c r="ZH122" i="1" s="1"/>
  <c r="ZH123" i="1" s="1"/>
  <c r="ZH124" i="1" s="1"/>
  <c r="ZH125" i="1" s="1"/>
  <c r="ZH126" i="1" s="1"/>
  <c r="ZH127" i="1" s="1"/>
  <c r="ZH128" i="1" s="1"/>
  <c r="ZH129" i="1" s="1"/>
  <c r="ZH130" i="1" s="1"/>
  <c r="ZH131" i="1" s="1"/>
  <c r="ZH132" i="1" s="1"/>
  <c r="ZH133" i="1" s="1"/>
  <c r="ZH134" i="1" s="1"/>
  <c r="ZH135" i="1" s="1"/>
  <c r="ZH136" i="1" s="1"/>
  <c r="ZH137" i="1" s="1"/>
  <c r="ZH138" i="1" s="1"/>
  <c r="ZH139" i="1" s="1"/>
  <c r="ZH140" i="1" s="1"/>
  <c r="ZH141" i="1" s="1"/>
  <c r="ZH142" i="1" s="1"/>
  <c r="BY25" i="5"/>
  <c r="YY112" i="1"/>
  <c r="YY113" i="1" s="1"/>
  <c r="YY114" i="1" s="1"/>
  <c r="YY115" i="1" s="1"/>
  <c r="YY116" i="1" s="1"/>
  <c r="YY117" i="1" s="1"/>
  <c r="YY118" i="1" s="1"/>
  <c r="YY119" i="1" s="1"/>
  <c r="YY120" i="1" s="1"/>
  <c r="YY121" i="1" s="1"/>
  <c r="YY122" i="1" s="1"/>
  <c r="YY123" i="1" s="1"/>
  <c r="YY124" i="1" s="1"/>
  <c r="YY125" i="1" s="1"/>
  <c r="YY126" i="1" s="1"/>
  <c r="YY127" i="1" s="1"/>
  <c r="YY128" i="1" s="1"/>
  <c r="YY129" i="1" s="1"/>
  <c r="YY130" i="1" s="1"/>
  <c r="YY131" i="1" s="1"/>
  <c r="YY132" i="1" s="1"/>
  <c r="YY133" i="1" s="1"/>
  <c r="YY134" i="1" s="1"/>
  <c r="YY135" i="1" s="1"/>
  <c r="YY136" i="1" s="1"/>
  <c r="YY137" i="1" s="1"/>
  <c r="YY138" i="1" s="1"/>
  <c r="YY139" i="1" s="1"/>
  <c r="YY140" i="1" s="1"/>
  <c r="YY141" i="1" s="1"/>
  <c r="YY142" i="1" s="1"/>
  <c r="BX25" i="5"/>
  <c r="VM75" i="1"/>
  <c r="BN15" i="5"/>
  <c r="UC75" i="1"/>
  <c r="BJ15" i="5"/>
  <c r="UL75" i="1"/>
  <c r="BK15" i="5"/>
  <c r="VD75" i="1"/>
  <c r="BM15" i="5"/>
  <c r="VV75" i="1"/>
  <c r="BO15" i="5"/>
  <c r="YP111" i="1"/>
  <c r="BW22" i="5"/>
  <c r="YG111" i="1"/>
  <c r="BV22" i="5"/>
  <c r="XX111" i="1"/>
  <c r="BU22" i="5"/>
  <c r="XF75" i="1"/>
  <c r="BS15" i="5"/>
  <c r="WW75" i="1"/>
  <c r="BR15" i="5"/>
  <c r="WN75" i="1"/>
  <c r="BQ15" i="5"/>
  <c r="XO111" i="1"/>
  <c r="BT22" i="5"/>
  <c r="G61" i="12"/>
  <c r="BE80" i="5"/>
  <c r="BE73" i="5"/>
  <c r="BE66" i="5"/>
  <c r="BE59" i="5"/>
  <c r="BE52" i="5"/>
  <c r="BE45" i="5"/>
  <c r="BE38" i="5"/>
  <c r="BE31" i="5"/>
  <c r="BE24" i="5"/>
  <c r="BE17" i="5"/>
  <c r="BE10" i="5"/>
  <c r="BE3" i="5"/>
  <c r="TI213" i="1"/>
  <c r="BH41" i="5" s="1"/>
  <c r="SZ213" i="1"/>
  <c r="BG41" i="5" s="1"/>
  <c r="SQ213" i="1"/>
  <c r="BF41" i="5" s="1"/>
  <c r="SH213" i="1"/>
  <c r="BE41" i="5" s="1"/>
  <c r="RY213" i="1"/>
  <c r="BD41" i="5" s="1"/>
  <c r="RP213" i="1"/>
  <c r="BC41" i="5" s="1"/>
  <c r="QX213" i="1"/>
  <c r="BA41" i="5" s="1"/>
  <c r="RG213" i="1"/>
  <c r="BB41" i="5" s="1"/>
  <c r="G47" i="19"/>
  <c r="G47" i="18"/>
  <c r="G47" i="17"/>
  <c r="AR4" i="5"/>
  <c r="D47" i="17" s="1"/>
  <c r="VV76" i="1" l="1"/>
  <c r="VV77" i="1" s="1"/>
  <c r="VV78" i="1" s="1"/>
  <c r="VV79" i="1" s="1"/>
  <c r="VV80" i="1" s="1"/>
  <c r="VV81" i="1" s="1"/>
  <c r="VV82" i="1" s="1"/>
  <c r="VV83" i="1" s="1"/>
  <c r="VV84" i="1" s="1"/>
  <c r="VV85" i="1" s="1"/>
  <c r="VV86" i="1" s="1"/>
  <c r="VV87" i="1" s="1"/>
  <c r="VV88" i="1" s="1"/>
  <c r="VV89" i="1" s="1"/>
  <c r="VV90" i="1" s="1"/>
  <c r="VV91" i="1" s="1"/>
  <c r="VV92" i="1" s="1"/>
  <c r="VV93" i="1" s="1"/>
  <c r="VV94" i="1" s="1"/>
  <c r="VV95" i="1" s="1"/>
  <c r="VV96" i="1" s="1"/>
  <c r="VV97" i="1" s="1"/>
  <c r="VV98" i="1" s="1"/>
  <c r="VV99" i="1" s="1"/>
  <c r="VV100" i="1" s="1"/>
  <c r="VV101" i="1" s="1"/>
  <c r="VV102" i="1" s="1"/>
  <c r="VV103" i="1" s="1"/>
  <c r="VV104" i="1" s="1"/>
  <c r="VV105" i="1" s="1"/>
  <c r="VV106" i="1" s="1"/>
  <c r="VV107" i="1" s="1"/>
  <c r="BO18" i="5"/>
  <c r="VD76" i="1"/>
  <c r="VD77" i="1" s="1"/>
  <c r="VD78" i="1" s="1"/>
  <c r="VD79" i="1" s="1"/>
  <c r="VD80" i="1" s="1"/>
  <c r="VD81" i="1" s="1"/>
  <c r="VD82" i="1" s="1"/>
  <c r="VD83" i="1" s="1"/>
  <c r="VD84" i="1" s="1"/>
  <c r="VD85" i="1" s="1"/>
  <c r="VD86" i="1" s="1"/>
  <c r="VD87" i="1" s="1"/>
  <c r="VD88" i="1" s="1"/>
  <c r="VD89" i="1" s="1"/>
  <c r="VD90" i="1" s="1"/>
  <c r="VD91" i="1" s="1"/>
  <c r="VD92" i="1" s="1"/>
  <c r="VD93" i="1" s="1"/>
  <c r="VD94" i="1" s="1"/>
  <c r="VD95" i="1" s="1"/>
  <c r="VD96" i="1" s="1"/>
  <c r="VD97" i="1" s="1"/>
  <c r="VD98" i="1" s="1"/>
  <c r="VD99" i="1" s="1"/>
  <c r="VD100" i="1" s="1"/>
  <c r="VD101" i="1" s="1"/>
  <c r="VD102" i="1" s="1"/>
  <c r="VD103" i="1" s="1"/>
  <c r="VD104" i="1" s="1"/>
  <c r="VD105" i="1" s="1"/>
  <c r="VD106" i="1" s="1"/>
  <c r="VD107" i="1" s="1"/>
  <c r="BM18" i="5"/>
  <c r="TT76" i="1"/>
  <c r="TT77" i="1" s="1"/>
  <c r="TT78" i="1" s="1"/>
  <c r="TT79" i="1" s="1"/>
  <c r="TT80" i="1" s="1"/>
  <c r="TT81" i="1" s="1"/>
  <c r="TT82" i="1" s="1"/>
  <c r="TT83" i="1" s="1"/>
  <c r="TT84" i="1" s="1"/>
  <c r="TT85" i="1" s="1"/>
  <c r="TT86" i="1" s="1"/>
  <c r="TT87" i="1" s="1"/>
  <c r="TT88" i="1" s="1"/>
  <c r="TT89" i="1" s="1"/>
  <c r="TT90" i="1" s="1"/>
  <c r="TT91" i="1" s="1"/>
  <c r="TT92" i="1" s="1"/>
  <c r="TT93" i="1" s="1"/>
  <c r="TT94" i="1" s="1"/>
  <c r="TT95" i="1" s="1"/>
  <c r="TT96" i="1" s="1"/>
  <c r="TT97" i="1" s="1"/>
  <c r="TT98" i="1" s="1"/>
  <c r="TT99" i="1" s="1"/>
  <c r="TT100" i="1" s="1"/>
  <c r="TT101" i="1" s="1"/>
  <c r="TT102" i="1" s="1"/>
  <c r="TT103" i="1" s="1"/>
  <c r="TT104" i="1" s="1"/>
  <c r="TT105" i="1" s="1"/>
  <c r="TT106" i="1" s="1"/>
  <c r="TT107" i="1" s="1"/>
  <c r="BI18" i="5"/>
  <c r="ZH146" i="1"/>
  <c r="BY29" i="5"/>
  <c r="WE76" i="1"/>
  <c r="WE77" i="1" s="1"/>
  <c r="WE78" i="1" s="1"/>
  <c r="WE79" i="1" s="1"/>
  <c r="WE80" i="1" s="1"/>
  <c r="WE81" i="1" s="1"/>
  <c r="WE82" i="1" s="1"/>
  <c r="WE83" i="1" s="1"/>
  <c r="WE84" i="1" s="1"/>
  <c r="WE85" i="1" s="1"/>
  <c r="WE86" i="1" s="1"/>
  <c r="WE87" i="1" s="1"/>
  <c r="WE88" i="1" s="1"/>
  <c r="WE89" i="1" s="1"/>
  <c r="WE90" i="1" s="1"/>
  <c r="WE91" i="1" s="1"/>
  <c r="WE92" i="1" s="1"/>
  <c r="WE93" i="1" s="1"/>
  <c r="WE94" i="1" s="1"/>
  <c r="WE95" i="1" s="1"/>
  <c r="WE96" i="1" s="1"/>
  <c r="WE97" i="1" s="1"/>
  <c r="WE98" i="1" s="1"/>
  <c r="WE99" i="1" s="1"/>
  <c r="WE100" i="1" s="1"/>
  <c r="WE101" i="1" s="1"/>
  <c r="WE102" i="1" s="1"/>
  <c r="WE103" i="1" s="1"/>
  <c r="WE104" i="1" s="1"/>
  <c r="WE105" i="1" s="1"/>
  <c r="WE106" i="1" s="1"/>
  <c r="WE107" i="1" s="1"/>
  <c r="BP18" i="5"/>
  <c r="YY146" i="1"/>
  <c r="BX29" i="5"/>
  <c r="UL76" i="1"/>
  <c r="UL77" i="1" s="1"/>
  <c r="UL78" i="1" s="1"/>
  <c r="UL79" i="1" s="1"/>
  <c r="UL80" i="1" s="1"/>
  <c r="UL81" i="1" s="1"/>
  <c r="UL82" i="1" s="1"/>
  <c r="UL83" i="1" s="1"/>
  <c r="UL84" i="1" s="1"/>
  <c r="UL85" i="1" s="1"/>
  <c r="UL86" i="1" s="1"/>
  <c r="UL87" i="1" s="1"/>
  <c r="UL88" i="1" s="1"/>
  <c r="UL89" i="1" s="1"/>
  <c r="UL90" i="1" s="1"/>
  <c r="UL91" i="1" s="1"/>
  <c r="UL92" i="1" s="1"/>
  <c r="UL93" i="1" s="1"/>
  <c r="UL94" i="1" s="1"/>
  <c r="UL95" i="1" s="1"/>
  <c r="UL96" i="1" s="1"/>
  <c r="UL97" i="1" s="1"/>
  <c r="UL98" i="1" s="1"/>
  <c r="UL99" i="1" s="1"/>
  <c r="UL100" i="1" s="1"/>
  <c r="UL101" i="1" s="1"/>
  <c r="UL102" i="1" s="1"/>
  <c r="UL103" i="1" s="1"/>
  <c r="UL104" i="1" s="1"/>
  <c r="UL105" i="1" s="1"/>
  <c r="UL106" i="1" s="1"/>
  <c r="UL107" i="1" s="1"/>
  <c r="BK18" i="5"/>
  <c r="UC76" i="1"/>
  <c r="UC77" i="1" s="1"/>
  <c r="UC78" i="1" s="1"/>
  <c r="UC79" i="1" s="1"/>
  <c r="UC80" i="1" s="1"/>
  <c r="UC81" i="1" s="1"/>
  <c r="UC82" i="1" s="1"/>
  <c r="UC83" i="1" s="1"/>
  <c r="UC84" i="1" s="1"/>
  <c r="UC85" i="1" s="1"/>
  <c r="UC86" i="1" s="1"/>
  <c r="UC87" i="1" s="1"/>
  <c r="UC88" i="1" s="1"/>
  <c r="UC89" i="1" s="1"/>
  <c r="UC90" i="1" s="1"/>
  <c r="UC91" i="1" s="1"/>
  <c r="UC92" i="1" s="1"/>
  <c r="UC93" i="1" s="1"/>
  <c r="UC94" i="1" s="1"/>
  <c r="UC95" i="1" s="1"/>
  <c r="UC96" i="1" s="1"/>
  <c r="UC97" i="1" s="1"/>
  <c r="UC98" i="1" s="1"/>
  <c r="UC99" i="1" s="1"/>
  <c r="UC100" i="1" s="1"/>
  <c r="UC101" i="1" s="1"/>
  <c r="UC102" i="1" s="1"/>
  <c r="UC103" i="1" s="1"/>
  <c r="UC104" i="1" s="1"/>
  <c r="UC105" i="1" s="1"/>
  <c r="UC106" i="1" s="1"/>
  <c r="UC107" i="1" s="1"/>
  <c r="BJ18" i="5"/>
  <c r="UU76" i="1"/>
  <c r="UU77" i="1" s="1"/>
  <c r="UU78" i="1" s="1"/>
  <c r="UU79" i="1" s="1"/>
  <c r="UU80" i="1" s="1"/>
  <c r="UU81" i="1" s="1"/>
  <c r="UU82" i="1" s="1"/>
  <c r="UU83" i="1" s="1"/>
  <c r="UU84" i="1" s="1"/>
  <c r="UU85" i="1" s="1"/>
  <c r="UU86" i="1" s="1"/>
  <c r="UU87" i="1" s="1"/>
  <c r="UU88" i="1" s="1"/>
  <c r="UU89" i="1" s="1"/>
  <c r="UU90" i="1" s="1"/>
  <c r="UU91" i="1" s="1"/>
  <c r="UU92" i="1" s="1"/>
  <c r="UU93" i="1" s="1"/>
  <c r="UU94" i="1" s="1"/>
  <c r="UU95" i="1" s="1"/>
  <c r="UU96" i="1" s="1"/>
  <c r="UU97" i="1" s="1"/>
  <c r="UU98" i="1" s="1"/>
  <c r="UU99" i="1" s="1"/>
  <c r="UU100" i="1" s="1"/>
  <c r="UU101" i="1" s="1"/>
  <c r="UU102" i="1" s="1"/>
  <c r="UU103" i="1" s="1"/>
  <c r="UU104" i="1" s="1"/>
  <c r="UU105" i="1" s="1"/>
  <c r="UU106" i="1" s="1"/>
  <c r="UU107" i="1" s="1"/>
  <c r="BL18" i="5"/>
  <c r="VM76" i="1"/>
  <c r="VM77" i="1" s="1"/>
  <c r="VM78" i="1" s="1"/>
  <c r="VM79" i="1" s="1"/>
  <c r="VM80" i="1" s="1"/>
  <c r="VM81" i="1" s="1"/>
  <c r="VM82" i="1" s="1"/>
  <c r="VM83" i="1" s="1"/>
  <c r="VM84" i="1" s="1"/>
  <c r="VM85" i="1" s="1"/>
  <c r="VM86" i="1" s="1"/>
  <c r="VM87" i="1" s="1"/>
  <c r="VM88" i="1" s="1"/>
  <c r="VM89" i="1" s="1"/>
  <c r="VM90" i="1" s="1"/>
  <c r="VM91" i="1" s="1"/>
  <c r="VM92" i="1" s="1"/>
  <c r="VM93" i="1" s="1"/>
  <c r="VM94" i="1" s="1"/>
  <c r="VM95" i="1" s="1"/>
  <c r="VM96" i="1" s="1"/>
  <c r="VM97" i="1" s="1"/>
  <c r="VM98" i="1" s="1"/>
  <c r="VM99" i="1" s="1"/>
  <c r="VM100" i="1" s="1"/>
  <c r="VM101" i="1" s="1"/>
  <c r="VM102" i="1" s="1"/>
  <c r="VM103" i="1" s="1"/>
  <c r="VM104" i="1" s="1"/>
  <c r="VM105" i="1" s="1"/>
  <c r="VM106" i="1" s="1"/>
  <c r="VM107" i="1" s="1"/>
  <c r="BN18" i="5"/>
  <c r="ZQ112" i="1"/>
  <c r="ZQ113" i="1" s="1"/>
  <c r="ZQ114" i="1" s="1"/>
  <c r="ZQ115" i="1" s="1"/>
  <c r="ZQ116" i="1" s="1"/>
  <c r="ZQ117" i="1" s="1"/>
  <c r="ZQ118" i="1" s="1"/>
  <c r="ZQ119" i="1" s="1"/>
  <c r="ZQ120" i="1" s="1"/>
  <c r="ZQ121" i="1" s="1"/>
  <c r="ZQ122" i="1" s="1"/>
  <c r="ZQ123" i="1" s="1"/>
  <c r="ZQ124" i="1" s="1"/>
  <c r="ZQ125" i="1" s="1"/>
  <c r="ZQ126" i="1" s="1"/>
  <c r="ZQ127" i="1" s="1"/>
  <c r="ZQ128" i="1" s="1"/>
  <c r="ZQ129" i="1" s="1"/>
  <c r="ZQ130" i="1" s="1"/>
  <c r="ZQ131" i="1" s="1"/>
  <c r="ZQ132" i="1" s="1"/>
  <c r="ZQ133" i="1" s="1"/>
  <c r="ZQ134" i="1" s="1"/>
  <c r="ZQ135" i="1" s="1"/>
  <c r="ZQ136" i="1" s="1"/>
  <c r="ZQ137" i="1" s="1"/>
  <c r="ZQ138" i="1" s="1"/>
  <c r="ZQ139" i="1" s="1"/>
  <c r="ZQ140" i="1" s="1"/>
  <c r="ZQ141" i="1" s="1"/>
  <c r="ZQ142" i="1" s="1"/>
  <c r="BZ25" i="5"/>
  <c r="YP112" i="1"/>
  <c r="YP113" i="1" s="1"/>
  <c r="YP114" i="1" s="1"/>
  <c r="YP115" i="1" s="1"/>
  <c r="YP116" i="1" s="1"/>
  <c r="YP117" i="1" s="1"/>
  <c r="YP118" i="1" s="1"/>
  <c r="YP119" i="1" s="1"/>
  <c r="YP120" i="1" s="1"/>
  <c r="YP121" i="1" s="1"/>
  <c r="YP122" i="1" s="1"/>
  <c r="YP123" i="1" s="1"/>
  <c r="YP124" i="1" s="1"/>
  <c r="YP125" i="1" s="1"/>
  <c r="YP126" i="1" s="1"/>
  <c r="YP127" i="1" s="1"/>
  <c r="YP128" i="1" s="1"/>
  <c r="YP129" i="1" s="1"/>
  <c r="YP130" i="1" s="1"/>
  <c r="YP131" i="1" s="1"/>
  <c r="YP132" i="1" s="1"/>
  <c r="YP133" i="1" s="1"/>
  <c r="YP134" i="1" s="1"/>
  <c r="YP135" i="1" s="1"/>
  <c r="YP136" i="1" s="1"/>
  <c r="YP137" i="1" s="1"/>
  <c r="YP138" i="1" s="1"/>
  <c r="YP139" i="1" s="1"/>
  <c r="YP140" i="1" s="1"/>
  <c r="YP141" i="1" s="1"/>
  <c r="YP142" i="1" s="1"/>
  <c r="BW25" i="5"/>
  <c r="YG112" i="1"/>
  <c r="YG113" i="1" s="1"/>
  <c r="YG114" i="1" s="1"/>
  <c r="YG115" i="1" s="1"/>
  <c r="YG116" i="1" s="1"/>
  <c r="YG117" i="1" s="1"/>
  <c r="YG118" i="1" s="1"/>
  <c r="YG119" i="1" s="1"/>
  <c r="YG120" i="1" s="1"/>
  <c r="YG121" i="1" s="1"/>
  <c r="YG122" i="1" s="1"/>
  <c r="YG123" i="1" s="1"/>
  <c r="YG124" i="1" s="1"/>
  <c r="YG125" i="1" s="1"/>
  <c r="YG126" i="1" s="1"/>
  <c r="YG127" i="1" s="1"/>
  <c r="YG128" i="1" s="1"/>
  <c r="YG129" i="1" s="1"/>
  <c r="YG130" i="1" s="1"/>
  <c r="YG131" i="1" s="1"/>
  <c r="YG132" i="1" s="1"/>
  <c r="YG133" i="1" s="1"/>
  <c r="YG134" i="1" s="1"/>
  <c r="YG135" i="1" s="1"/>
  <c r="YG136" i="1" s="1"/>
  <c r="YG137" i="1" s="1"/>
  <c r="YG138" i="1" s="1"/>
  <c r="YG139" i="1" s="1"/>
  <c r="YG140" i="1" s="1"/>
  <c r="YG141" i="1" s="1"/>
  <c r="YG142" i="1" s="1"/>
  <c r="BV25" i="5"/>
  <c r="XX112" i="1"/>
  <c r="XX113" i="1" s="1"/>
  <c r="XX114" i="1" s="1"/>
  <c r="XX115" i="1" s="1"/>
  <c r="XX116" i="1" s="1"/>
  <c r="XX117" i="1" s="1"/>
  <c r="XX118" i="1" s="1"/>
  <c r="XX119" i="1" s="1"/>
  <c r="XX120" i="1" s="1"/>
  <c r="XX121" i="1" s="1"/>
  <c r="XX122" i="1" s="1"/>
  <c r="XX123" i="1" s="1"/>
  <c r="XX124" i="1" s="1"/>
  <c r="XX125" i="1" s="1"/>
  <c r="XX126" i="1" s="1"/>
  <c r="XX127" i="1" s="1"/>
  <c r="XX128" i="1" s="1"/>
  <c r="XX129" i="1" s="1"/>
  <c r="XX130" i="1" s="1"/>
  <c r="XX131" i="1" s="1"/>
  <c r="XX132" i="1" s="1"/>
  <c r="XX133" i="1" s="1"/>
  <c r="XX134" i="1" s="1"/>
  <c r="XX135" i="1" s="1"/>
  <c r="XX136" i="1" s="1"/>
  <c r="XX137" i="1" s="1"/>
  <c r="XX138" i="1" s="1"/>
  <c r="XX139" i="1" s="1"/>
  <c r="XX140" i="1" s="1"/>
  <c r="XX141" i="1" s="1"/>
  <c r="XX142" i="1" s="1"/>
  <c r="BU25" i="5"/>
  <c r="XF76" i="1"/>
  <c r="XF77" i="1" s="1"/>
  <c r="XF78" i="1" s="1"/>
  <c r="XF79" i="1" s="1"/>
  <c r="XF80" i="1" s="1"/>
  <c r="XF81" i="1" s="1"/>
  <c r="XF82" i="1" s="1"/>
  <c r="XF83" i="1" s="1"/>
  <c r="XF84" i="1" s="1"/>
  <c r="XF85" i="1" s="1"/>
  <c r="XF86" i="1" s="1"/>
  <c r="XF87" i="1" s="1"/>
  <c r="XF88" i="1" s="1"/>
  <c r="XF89" i="1" s="1"/>
  <c r="XF90" i="1" s="1"/>
  <c r="XF91" i="1" s="1"/>
  <c r="XF92" i="1" s="1"/>
  <c r="XF93" i="1" s="1"/>
  <c r="XF94" i="1" s="1"/>
  <c r="XF95" i="1" s="1"/>
  <c r="XF96" i="1" s="1"/>
  <c r="XF97" i="1" s="1"/>
  <c r="XF98" i="1" s="1"/>
  <c r="XF99" i="1" s="1"/>
  <c r="XF100" i="1" s="1"/>
  <c r="XF101" i="1" s="1"/>
  <c r="XF102" i="1" s="1"/>
  <c r="XF103" i="1" s="1"/>
  <c r="XF104" i="1" s="1"/>
  <c r="XF105" i="1" s="1"/>
  <c r="XF106" i="1" s="1"/>
  <c r="XF107" i="1" s="1"/>
  <c r="BS18" i="5"/>
  <c r="WW76" i="1"/>
  <c r="WW77" i="1" s="1"/>
  <c r="WW78" i="1" s="1"/>
  <c r="WW79" i="1" s="1"/>
  <c r="WW80" i="1" s="1"/>
  <c r="WW81" i="1" s="1"/>
  <c r="WW82" i="1" s="1"/>
  <c r="WW83" i="1" s="1"/>
  <c r="WW84" i="1" s="1"/>
  <c r="WW85" i="1" s="1"/>
  <c r="WW86" i="1" s="1"/>
  <c r="WW87" i="1" s="1"/>
  <c r="WW88" i="1" s="1"/>
  <c r="WW89" i="1" s="1"/>
  <c r="WW90" i="1" s="1"/>
  <c r="WW91" i="1" s="1"/>
  <c r="WW92" i="1" s="1"/>
  <c r="WW93" i="1" s="1"/>
  <c r="WW94" i="1" s="1"/>
  <c r="WW95" i="1" s="1"/>
  <c r="WW96" i="1" s="1"/>
  <c r="WW97" i="1" s="1"/>
  <c r="WW98" i="1" s="1"/>
  <c r="WW99" i="1" s="1"/>
  <c r="WW100" i="1" s="1"/>
  <c r="WW101" i="1" s="1"/>
  <c r="WW102" i="1" s="1"/>
  <c r="WW103" i="1" s="1"/>
  <c r="WW104" i="1" s="1"/>
  <c r="WW105" i="1" s="1"/>
  <c r="WW106" i="1" s="1"/>
  <c r="WW107" i="1" s="1"/>
  <c r="BR18" i="5"/>
  <c r="WN76" i="1"/>
  <c r="WN77" i="1" s="1"/>
  <c r="WN78" i="1" s="1"/>
  <c r="WN79" i="1" s="1"/>
  <c r="WN80" i="1" s="1"/>
  <c r="WN81" i="1" s="1"/>
  <c r="WN82" i="1" s="1"/>
  <c r="WN83" i="1" s="1"/>
  <c r="WN84" i="1" s="1"/>
  <c r="WN85" i="1" s="1"/>
  <c r="WN86" i="1" s="1"/>
  <c r="WN87" i="1" s="1"/>
  <c r="WN88" i="1" s="1"/>
  <c r="WN89" i="1" s="1"/>
  <c r="WN90" i="1" s="1"/>
  <c r="WN91" i="1" s="1"/>
  <c r="WN92" i="1" s="1"/>
  <c r="WN93" i="1" s="1"/>
  <c r="WN94" i="1" s="1"/>
  <c r="WN95" i="1" s="1"/>
  <c r="WN96" i="1" s="1"/>
  <c r="WN97" i="1" s="1"/>
  <c r="WN98" i="1" s="1"/>
  <c r="WN99" i="1" s="1"/>
  <c r="WN100" i="1" s="1"/>
  <c r="WN101" i="1" s="1"/>
  <c r="WN102" i="1" s="1"/>
  <c r="WN103" i="1" s="1"/>
  <c r="WN104" i="1" s="1"/>
  <c r="WN105" i="1" s="1"/>
  <c r="WN106" i="1" s="1"/>
  <c r="WN107" i="1" s="1"/>
  <c r="BQ18" i="5"/>
  <c r="XO112" i="1"/>
  <c r="XO113" i="1" s="1"/>
  <c r="XO114" i="1" s="1"/>
  <c r="XO115" i="1" s="1"/>
  <c r="XO116" i="1" s="1"/>
  <c r="XO117" i="1" s="1"/>
  <c r="XO118" i="1" s="1"/>
  <c r="XO119" i="1" s="1"/>
  <c r="XO120" i="1" s="1"/>
  <c r="XO121" i="1" s="1"/>
  <c r="XO122" i="1" s="1"/>
  <c r="XO123" i="1" s="1"/>
  <c r="XO124" i="1" s="1"/>
  <c r="XO125" i="1" s="1"/>
  <c r="XO126" i="1" s="1"/>
  <c r="XO127" i="1" s="1"/>
  <c r="XO128" i="1" s="1"/>
  <c r="XO129" i="1" s="1"/>
  <c r="XO130" i="1" s="1"/>
  <c r="XO131" i="1" s="1"/>
  <c r="XO132" i="1" s="1"/>
  <c r="XO133" i="1" s="1"/>
  <c r="XO134" i="1" s="1"/>
  <c r="XO135" i="1" s="1"/>
  <c r="XO136" i="1" s="1"/>
  <c r="XO137" i="1" s="1"/>
  <c r="XO138" i="1" s="1"/>
  <c r="XO139" i="1" s="1"/>
  <c r="XO140" i="1" s="1"/>
  <c r="XO141" i="1" s="1"/>
  <c r="XO142" i="1" s="1"/>
  <c r="BT25" i="5"/>
  <c r="B60" i="17"/>
  <c r="B60" i="18"/>
  <c r="B61" i="12"/>
  <c r="B61" i="16"/>
  <c r="B61" i="14"/>
  <c r="B62" i="15"/>
  <c r="B61" i="13"/>
  <c r="E118" i="6"/>
  <c r="WE111" i="1" l="1"/>
  <c r="BP22" i="5"/>
  <c r="TT111" i="1"/>
  <c r="BI22" i="5"/>
  <c r="YY147" i="1"/>
  <c r="YY148" i="1" s="1"/>
  <c r="YY149" i="1" s="1"/>
  <c r="YY150" i="1" s="1"/>
  <c r="YY151" i="1" s="1"/>
  <c r="YY152" i="1" s="1"/>
  <c r="YY153" i="1" s="1"/>
  <c r="YY154" i="1" s="1"/>
  <c r="YY155" i="1" s="1"/>
  <c r="YY156" i="1" s="1"/>
  <c r="YY157" i="1" s="1"/>
  <c r="YY158" i="1" s="1"/>
  <c r="YY159" i="1" s="1"/>
  <c r="YY160" i="1" s="1"/>
  <c r="YY161" i="1" s="1"/>
  <c r="YY162" i="1" s="1"/>
  <c r="YY163" i="1" s="1"/>
  <c r="YY164" i="1" s="1"/>
  <c r="YY165" i="1" s="1"/>
  <c r="YY166" i="1" s="1"/>
  <c r="YY167" i="1" s="1"/>
  <c r="YY168" i="1" s="1"/>
  <c r="YY169" i="1" s="1"/>
  <c r="YY170" i="1" s="1"/>
  <c r="YY171" i="1" s="1"/>
  <c r="YY172" i="1" s="1"/>
  <c r="YY173" i="1" s="1"/>
  <c r="YY174" i="1" s="1"/>
  <c r="YY175" i="1" s="1"/>
  <c r="YY176" i="1" s="1"/>
  <c r="YY177" i="1" s="1"/>
  <c r="YY178" i="1" s="1"/>
  <c r="BX32" i="5"/>
  <c r="VD111" i="1"/>
  <c r="BM22" i="5"/>
  <c r="ZQ146" i="1"/>
  <c r="BZ29" i="5"/>
  <c r="VM111" i="1"/>
  <c r="BN22" i="5"/>
  <c r="ZH147" i="1"/>
  <c r="ZH148" i="1" s="1"/>
  <c r="ZH149" i="1" s="1"/>
  <c r="ZH150" i="1" s="1"/>
  <c r="ZH151" i="1" s="1"/>
  <c r="ZH152" i="1" s="1"/>
  <c r="ZH153" i="1" s="1"/>
  <c r="ZH154" i="1" s="1"/>
  <c r="ZH155" i="1" s="1"/>
  <c r="ZH156" i="1" s="1"/>
  <c r="ZH157" i="1" s="1"/>
  <c r="ZH158" i="1" s="1"/>
  <c r="ZH159" i="1" s="1"/>
  <c r="ZH160" i="1" s="1"/>
  <c r="ZH161" i="1" s="1"/>
  <c r="ZH162" i="1" s="1"/>
  <c r="ZH163" i="1" s="1"/>
  <c r="ZH164" i="1" s="1"/>
  <c r="ZH165" i="1" s="1"/>
  <c r="ZH166" i="1" s="1"/>
  <c r="ZH167" i="1" s="1"/>
  <c r="ZH168" i="1" s="1"/>
  <c r="ZH169" i="1" s="1"/>
  <c r="ZH170" i="1" s="1"/>
  <c r="ZH171" i="1" s="1"/>
  <c r="ZH172" i="1" s="1"/>
  <c r="ZH173" i="1" s="1"/>
  <c r="ZH174" i="1" s="1"/>
  <c r="ZH175" i="1" s="1"/>
  <c r="ZH176" i="1" s="1"/>
  <c r="ZH177" i="1" s="1"/>
  <c r="ZH178" i="1" s="1"/>
  <c r="BY32" i="5"/>
  <c r="UU111" i="1"/>
  <c r="BL22" i="5"/>
  <c r="UC111" i="1"/>
  <c r="BJ22" i="5"/>
  <c r="UL111" i="1"/>
  <c r="BK22" i="5"/>
  <c r="VV111" i="1"/>
  <c r="BO22" i="5"/>
  <c r="YP146" i="1"/>
  <c r="BW29" i="5"/>
  <c r="YG146" i="1"/>
  <c r="BV29" i="5"/>
  <c r="XX146" i="1"/>
  <c r="BU29" i="5"/>
  <c r="XF111" i="1"/>
  <c r="BS22" i="5"/>
  <c r="WW111" i="1"/>
  <c r="BR22" i="5"/>
  <c r="WN111" i="1"/>
  <c r="BQ22" i="5"/>
  <c r="XO146" i="1"/>
  <c r="BT29" i="5"/>
  <c r="BA27" i="5"/>
  <c r="G48" i="12"/>
  <c r="VM112" i="1" l="1"/>
  <c r="VM113" i="1" s="1"/>
  <c r="VM114" i="1" s="1"/>
  <c r="VM115" i="1" s="1"/>
  <c r="VM116" i="1" s="1"/>
  <c r="VM117" i="1" s="1"/>
  <c r="VM118" i="1" s="1"/>
  <c r="VM119" i="1" s="1"/>
  <c r="VM120" i="1" s="1"/>
  <c r="VM121" i="1" s="1"/>
  <c r="VM122" i="1" s="1"/>
  <c r="VM123" i="1" s="1"/>
  <c r="VM124" i="1" s="1"/>
  <c r="VM125" i="1" s="1"/>
  <c r="VM126" i="1" s="1"/>
  <c r="VM127" i="1" s="1"/>
  <c r="VM128" i="1" s="1"/>
  <c r="VM129" i="1" s="1"/>
  <c r="VM130" i="1" s="1"/>
  <c r="VM131" i="1" s="1"/>
  <c r="VM132" i="1" s="1"/>
  <c r="VM133" i="1" s="1"/>
  <c r="VM134" i="1" s="1"/>
  <c r="VM135" i="1" s="1"/>
  <c r="VM136" i="1" s="1"/>
  <c r="VM137" i="1" s="1"/>
  <c r="VM138" i="1" s="1"/>
  <c r="VM139" i="1" s="1"/>
  <c r="VM140" i="1" s="1"/>
  <c r="VM141" i="1" s="1"/>
  <c r="VM142" i="1" s="1"/>
  <c r="BN25" i="5"/>
  <c r="VV112" i="1"/>
  <c r="VV113" i="1" s="1"/>
  <c r="VV114" i="1" s="1"/>
  <c r="VV115" i="1" s="1"/>
  <c r="VV116" i="1" s="1"/>
  <c r="VV117" i="1" s="1"/>
  <c r="VV118" i="1" s="1"/>
  <c r="VV119" i="1" s="1"/>
  <c r="VV120" i="1" s="1"/>
  <c r="VV121" i="1" s="1"/>
  <c r="VV122" i="1" s="1"/>
  <c r="VV123" i="1" s="1"/>
  <c r="VV124" i="1" s="1"/>
  <c r="VV125" i="1" s="1"/>
  <c r="VV126" i="1" s="1"/>
  <c r="VV127" i="1" s="1"/>
  <c r="VV128" i="1" s="1"/>
  <c r="VV129" i="1" s="1"/>
  <c r="VV130" i="1" s="1"/>
  <c r="VV131" i="1" s="1"/>
  <c r="VV132" i="1" s="1"/>
  <c r="VV133" i="1" s="1"/>
  <c r="VV134" i="1" s="1"/>
  <c r="VV135" i="1" s="1"/>
  <c r="VV136" i="1" s="1"/>
  <c r="VV137" i="1" s="1"/>
  <c r="VV138" i="1" s="1"/>
  <c r="VV139" i="1" s="1"/>
  <c r="VV140" i="1" s="1"/>
  <c r="VV141" i="1" s="1"/>
  <c r="VV142" i="1" s="1"/>
  <c r="BO25" i="5"/>
  <c r="ZQ147" i="1"/>
  <c r="ZQ148" i="1" s="1"/>
  <c r="ZQ149" i="1" s="1"/>
  <c r="ZQ150" i="1" s="1"/>
  <c r="ZQ151" i="1" s="1"/>
  <c r="ZQ152" i="1" s="1"/>
  <c r="ZQ153" i="1" s="1"/>
  <c r="ZQ154" i="1" s="1"/>
  <c r="ZQ155" i="1" s="1"/>
  <c r="ZQ156" i="1" s="1"/>
  <c r="ZQ157" i="1" s="1"/>
  <c r="ZQ158" i="1" s="1"/>
  <c r="ZQ159" i="1" s="1"/>
  <c r="ZQ160" i="1" s="1"/>
  <c r="ZQ161" i="1" s="1"/>
  <c r="ZQ162" i="1" s="1"/>
  <c r="ZQ163" i="1" s="1"/>
  <c r="ZQ164" i="1" s="1"/>
  <c r="ZQ165" i="1" s="1"/>
  <c r="ZQ166" i="1" s="1"/>
  <c r="ZQ167" i="1" s="1"/>
  <c r="ZQ168" i="1" s="1"/>
  <c r="ZQ169" i="1" s="1"/>
  <c r="ZQ170" i="1" s="1"/>
  <c r="ZQ171" i="1" s="1"/>
  <c r="ZQ172" i="1" s="1"/>
  <c r="ZQ173" i="1" s="1"/>
  <c r="ZQ174" i="1" s="1"/>
  <c r="ZQ175" i="1" s="1"/>
  <c r="ZQ176" i="1" s="1"/>
  <c r="ZQ177" i="1" s="1"/>
  <c r="ZQ178" i="1" s="1"/>
  <c r="BZ32" i="5"/>
  <c r="UL112" i="1"/>
  <c r="UL113" i="1" s="1"/>
  <c r="UL114" i="1" s="1"/>
  <c r="UL115" i="1" s="1"/>
  <c r="UL116" i="1" s="1"/>
  <c r="UL117" i="1" s="1"/>
  <c r="UL118" i="1" s="1"/>
  <c r="UL119" i="1" s="1"/>
  <c r="UL120" i="1" s="1"/>
  <c r="UL121" i="1" s="1"/>
  <c r="UL122" i="1" s="1"/>
  <c r="UL123" i="1" s="1"/>
  <c r="UL124" i="1" s="1"/>
  <c r="UL125" i="1" s="1"/>
  <c r="UL126" i="1" s="1"/>
  <c r="UL127" i="1" s="1"/>
  <c r="UL128" i="1" s="1"/>
  <c r="UL129" i="1" s="1"/>
  <c r="UL130" i="1" s="1"/>
  <c r="UL131" i="1" s="1"/>
  <c r="UL132" i="1" s="1"/>
  <c r="UL133" i="1" s="1"/>
  <c r="UL134" i="1" s="1"/>
  <c r="UL135" i="1" s="1"/>
  <c r="UL136" i="1" s="1"/>
  <c r="UL137" i="1" s="1"/>
  <c r="UL138" i="1" s="1"/>
  <c r="UL139" i="1" s="1"/>
  <c r="UL140" i="1" s="1"/>
  <c r="UL141" i="1" s="1"/>
  <c r="UL142" i="1" s="1"/>
  <c r="BK25" i="5"/>
  <c r="VD112" i="1"/>
  <c r="VD113" i="1" s="1"/>
  <c r="VD114" i="1" s="1"/>
  <c r="VD115" i="1" s="1"/>
  <c r="VD116" i="1" s="1"/>
  <c r="VD117" i="1" s="1"/>
  <c r="VD118" i="1" s="1"/>
  <c r="VD119" i="1" s="1"/>
  <c r="VD120" i="1" s="1"/>
  <c r="VD121" i="1" s="1"/>
  <c r="VD122" i="1" s="1"/>
  <c r="VD123" i="1" s="1"/>
  <c r="VD124" i="1" s="1"/>
  <c r="VD125" i="1" s="1"/>
  <c r="VD126" i="1" s="1"/>
  <c r="VD127" i="1" s="1"/>
  <c r="VD128" i="1" s="1"/>
  <c r="VD129" i="1" s="1"/>
  <c r="VD130" i="1" s="1"/>
  <c r="VD131" i="1" s="1"/>
  <c r="VD132" i="1" s="1"/>
  <c r="VD133" i="1" s="1"/>
  <c r="VD134" i="1" s="1"/>
  <c r="VD135" i="1" s="1"/>
  <c r="VD136" i="1" s="1"/>
  <c r="VD137" i="1" s="1"/>
  <c r="VD138" i="1" s="1"/>
  <c r="VD139" i="1" s="1"/>
  <c r="VD140" i="1" s="1"/>
  <c r="VD141" i="1" s="1"/>
  <c r="VD142" i="1" s="1"/>
  <c r="BM25" i="5"/>
  <c r="YY182" i="1"/>
  <c r="BX36" i="5"/>
  <c r="UU112" i="1"/>
  <c r="UU113" i="1" s="1"/>
  <c r="UU114" i="1" s="1"/>
  <c r="UU115" i="1" s="1"/>
  <c r="UU116" i="1" s="1"/>
  <c r="UU117" i="1" s="1"/>
  <c r="UU118" i="1" s="1"/>
  <c r="UU119" i="1" s="1"/>
  <c r="UU120" i="1" s="1"/>
  <c r="UU121" i="1" s="1"/>
  <c r="UU122" i="1" s="1"/>
  <c r="UU123" i="1" s="1"/>
  <c r="UU124" i="1" s="1"/>
  <c r="UU125" i="1" s="1"/>
  <c r="UU126" i="1" s="1"/>
  <c r="UU127" i="1" s="1"/>
  <c r="UU128" i="1" s="1"/>
  <c r="UU129" i="1" s="1"/>
  <c r="UU130" i="1" s="1"/>
  <c r="UU131" i="1" s="1"/>
  <c r="UU132" i="1" s="1"/>
  <c r="UU133" i="1" s="1"/>
  <c r="UU134" i="1" s="1"/>
  <c r="UU135" i="1" s="1"/>
  <c r="UU136" i="1" s="1"/>
  <c r="UU137" i="1" s="1"/>
  <c r="UU138" i="1" s="1"/>
  <c r="UU139" i="1" s="1"/>
  <c r="UU140" i="1" s="1"/>
  <c r="UU141" i="1" s="1"/>
  <c r="UU142" i="1" s="1"/>
  <c r="BL25" i="5"/>
  <c r="TT112" i="1"/>
  <c r="TT113" i="1" s="1"/>
  <c r="TT114" i="1" s="1"/>
  <c r="TT115" i="1" s="1"/>
  <c r="TT116" i="1" s="1"/>
  <c r="TT117" i="1" s="1"/>
  <c r="TT118" i="1" s="1"/>
  <c r="TT119" i="1" s="1"/>
  <c r="TT120" i="1" s="1"/>
  <c r="TT121" i="1" s="1"/>
  <c r="TT122" i="1" s="1"/>
  <c r="TT123" i="1" s="1"/>
  <c r="TT124" i="1" s="1"/>
  <c r="TT125" i="1" s="1"/>
  <c r="TT126" i="1" s="1"/>
  <c r="TT127" i="1" s="1"/>
  <c r="TT128" i="1" s="1"/>
  <c r="TT129" i="1" s="1"/>
  <c r="TT130" i="1" s="1"/>
  <c r="TT131" i="1" s="1"/>
  <c r="TT132" i="1" s="1"/>
  <c r="TT133" i="1" s="1"/>
  <c r="TT134" i="1" s="1"/>
  <c r="TT135" i="1" s="1"/>
  <c r="TT136" i="1" s="1"/>
  <c r="TT137" i="1" s="1"/>
  <c r="TT138" i="1" s="1"/>
  <c r="TT139" i="1" s="1"/>
  <c r="TT140" i="1" s="1"/>
  <c r="TT141" i="1" s="1"/>
  <c r="TT142" i="1" s="1"/>
  <c r="BI25" i="5"/>
  <c r="UC112" i="1"/>
  <c r="UC113" i="1" s="1"/>
  <c r="UC114" i="1" s="1"/>
  <c r="UC115" i="1" s="1"/>
  <c r="UC116" i="1" s="1"/>
  <c r="UC117" i="1" s="1"/>
  <c r="UC118" i="1" s="1"/>
  <c r="UC119" i="1" s="1"/>
  <c r="UC120" i="1" s="1"/>
  <c r="UC121" i="1" s="1"/>
  <c r="UC122" i="1" s="1"/>
  <c r="UC123" i="1" s="1"/>
  <c r="UC124" i="1" s="1"/>
  <c r="UC125" i="1" s="1"/>
  <c r="UC126" i="1" s="1"/>
  <c r="UC127" i="1" s="1"/>
  <c r="UC128" i="1" s="1"/>
  <c r="UC129" i="1" s="1"/>
  <c r="UC130" i="1" s="1"/>
  <c r="UC131" i="1" s="1"/>
  <c r="UC132" i="1" s="1"/>
  <c r="UC133" i="1" s="1"/>
  <c r="UC134" i="1" s="1"/>
  <c r="UC135" i="1" s="1"/>
  <c r="UC136" i="1" s="1"/>
  <c r="UC137" i="1" s="1"/>
  <c r="UC138" i="1" s="1"/>
  <c r="UC139" i="1" s="1"/>
  <c r="UC140" i="1" s="1"/>
  <c r="UC141" i="1" s="1"/>
  <c r="UC142" i="1" s="1"/>
  <c r="BJ25" i="5"/>
  <c r="ZH182" i="1"/>
  <c r="BY36" i="5"/>
  <c r="WE112" i="1"/>
  <c r="WE113" i="1" s="1"/>
  <c r="WE114" i="1" s="1"/>
  <c r="WE115" i="1" s="1"/>
  <c r="WE116" i="1" s="1"/>
  <c r="WE117" i="1" s="1"/>
  <c r="WE118" i="1" s="1"/>
  <c r="WE119" i="1" s="1"/>
  <c r="WE120" i="1" s="1"/>
  <c r="WE121" i="1" s="1"/>
  <c r="WE122" i="1" s="1"/>
  <c r="WE123" i="1" s="1"/>
  <c r="WE124" i="1" s="1"/>
  <c r="WE125" i="1" s="1"/>
  <c r="WE126" i="1" s="1"/>
  <c r="WE127" i="1" s="1"/>
  <c r="WE128" i="1" s="1"/>
  <c r="WE129" i="1" s="1"/>
  <c r="WE130" i="1" s="1"/>
  <c r="WE131" i="1" s="1"/>
  <c r="WE132" i="1" s="1"/>
  <c r="WE133" i="1" s="1"/>
  <c r="WE134" i="1" s="1"/>
  <c r="WE135" i="1" s="1"/>
  <c r="WE136" i="1" s="1"/>
  <c r="WE137" i="1" s="1"/>
  <c r="WE138" i="1" s="1"/>
  <c r="WE139" i="1" s="1"/>
  <c r="WE140" i="1" s="1"/>
  <c r="WE141" i="1" s="1"/>
  <c r="WE142" i="1" s="1"/>
  <c r="BP25" i="5"/>
  <c r="YP147" i="1"/>
  <c r="YP148" i="1" s="1"/>
  <c r="YP149" i="1" s="1"/>
  <c r="YP150" i="1" s="1"/>
  <c r="YP151" i="1" s="1"/>
  <c r="YP152" i="1" s="1"/>
  <c r="YP153" i="1" s="1"/>
  <c r="YP154" i="1" s="1"/>
  <c r="YP155" i="1" s="1"/>
  <c r="YP156" i="1" s="1"/>
  <c r="YP157" i="1" s="1"/>
  <c r="YP158" i="1" s="1"/>
  <c r="YP159" i="1" s="1"/>
  <c r="YP160" i="1" s="1"/>
  <c r="YP161" i="1" s="1"/>
  <c r="YP162" i="1" s="1"/>
  <c r="YP163" i="1" s="1"/>
  <c r="YP164" i="1" s="1"/>
  <c r="YP165" i="1" s="1"/>
  <c r="YP166" i="1" s="1"/>
  <c r="YP167" i="1" s="1"/>
  <c r="YP168" i="1" s="1"/>
  <c r="YP169" i="1" s="1"/>
  <c r="YP170" i="1" s="1"/>
  <c r="YP171" i="1" s="1"/>
  <c r="YP172" i="1" s="1"/>
  <c r="YP173" i="1" s="1"/>
  <c r="YP174" i="1" s="1"/>
  <c r="YP175" i="1" s="1"/>
  <c r="YP176" i="1" s="1"/>
  <c r="YP177" i="1" s="1"/>
  <c r="YP178" i="1" s="1"/>
  <c r="BW32" i="5"/>
  <c r="YG147" i="1"/>
  <c r="YG148" i="1" s="1"/>
  <c r="YG149" i="1" s="1"/>
  <c r="YG150" i="1" s="1"/>
  <c r="YG151" i="1" s="1"/>
  <c r="YG152" i="1" s="1"/>
  <c r="YG153" i="1" s="1"/>
  <c r="YG154" i="1" s="1"/>
  <c r="YG155" i="1" s="1"/>
  <c r="YG156" i="1" s="1"/>
  <c r="YG157" i="1" s="1"/>
  <c r="YG158" i="1" s="1"/>
  <c r="YG159" i="1" s="1"/>
  <c r="YG160" i="1" s="1"/>
  <c r="YG161" i="1" s="1"/>
  <c r="YG162" i="1" s="1"/>
  <c r="YG163" i="1" s="1"/>
  <c r="YG164" i="1" s="1"/>
  <c r="YG165" i="1" s="1"/>
  <c r="YG166" i="1" s="1"/>
  <c r="YG167" i="1" s="1"/>
  <c r="YG168" i="1" s="1"/>
  <c r="YG169" i="1" s="1"/>
  <c r="YG170" i="1" s="1"/>
  <c r="YG171" i="1" s="1"/>
  <c r="YG172" i="1" s="1"/>
  <c r="YG173" i="1" s="1"/>
  <c r="YG174" i="1" s="1"/>
  <c r="YG175" i="1" s="1"/>
  <c r="YG176" i="1" s="1"/>
  <c r="YG177" i="1" s="1"/>
  <c r="YG178" i="1" s="1"/>
  <c r="BV32" i="5"/>
  <c r="XX147" i="1"/>
  <c r="XX148" i="1" s="1"/>
  <c r="XX149" i="1" s="1"/>
  <c r="XX150" i="1" s="1"/>
  <c r="XX151" i="1" s="1"/>
  <c r="XX152" i="1" s="1"/>
  <c r="XX153" i="1" s="1"/>
  <c r="XX154" i="1" s="1"/>
  <c r="XX155" i="1" s="1"/>
  <c r="XX156" i="1" s="1"/>
  <c r="XX157" i="1" s="1"/>
  <c r="XX158" i="1" s="1"/>
  <c r="XX159" i="1" s="1"/>
  <c r="XX160" i="1" s="1"/>
  <c r="XX161" i="1" s="1"/>
  <c r="XX162" i="1" s="1"/>
  <c r="XX163" i="1" s="1"/>
  <c r="XX164" i="1" s="1"/>
  <c r="XX165" i="1" s="1"/>
  <c r="XX166" i="1" s="1"/>
  <c r="XX167" i="1" s="1"/>
  <c r="XX168" i="1" s="1"/>
  <c r="XX169" i="1" s="1"/>
  <c r="XX170" i="1" s="1"/>
  <c r="XX171" i="1" s="1"/>
  <c r="XX172" i="1" s="1"/>
  <c r="XX173" i="1" s="1"/>
  <c r="XX174" i="1" s="1"/>
  <c r="XX175" i="1" s="1"/>
  <c r="XX176" i="1" s="1"/>
  <c r="XX177" i="1" s="1"/>
  <c r="XX178" i="1" s="1"/>
  <c r="BU32" i="5"/>
  <c r="XF112" i="1"/>
  <c r="XF113" i="1" s="1"/>
  <c r="XF114" i="1" s="1"/>
  <c r="XF115" i="1" s="1"/>
  <c r="XF116" i="1" s="1"/>
  <c r="XF117" i="1" s="1"/>
  <c r="XF118" i="1" s="1"/>
  <c r="XF119" i="1" s="1"/>
  <c r="XF120" i="1" s="1"/>
  <c r="XF121" i="1" s="1"/>
  <c r="XF122" i="1" s="1"/>
  <c r="XF123" i="1" s="1"/>
  <c r="XF124" i="1" s="1"/>
  <c r="XF125" i="1" s="1"/>
  <c r="XF126" i="1" s="1"/>
  <c r="XF127" i="1" s="1"/>
  <c r="XF128" i="1" s="1"/>
  <c r="XF129" i="1" s="1"/>
  <c r="XF130" i="1" s="1"/>
  <c r="XF131" i="1" s="1"/>
  <c r="XF132" i="1" s="1"/>
  <c r="XF133" i="1" s="1"/>
  <c r="XF134" i="1" s="1"/>
  <c r="XF135" i="1" s="1"/>
  <c r="XF136" i="1" s="1"/>
  <c r="XF137" i="1" s="1"/>
  <c r="XF138" i="1" s="1"/>
  <c r="XF139" i="1" s="1"/>
  <c r="XF140" i="1" s="1"/>
  <c r="XF141" i="1" s="1"/>
  <c r="XF142" i="1" s="1"/>
  <c r="BS25" i="5"/>
  <c r="WW112" i="1"/>
  <c r="WW113" i="1" s="1"/>
  <c r="WW114" i="1" s="1"/>
  <c r="WW115" i="1" s="1"/>
  <c r="WW116" i="1" s="1"/>
  <c r="WW117" i="1" s="1"/>
  <c r="WW118" i="1" s="1"/>
  <c r="WW119" i="1" s="1"/>
  <c r="WW120" i="1" s="1"/>
  <c r="WW121" i="1" s="1"/>
  <c r="WW122" i="1" s="1"/>
  <c r="WW123" i="1" s="1"/>
  <c r="WW124" i="1" s="1"/>
  <c r="WW125" i="1" s="1"/>
  <c r="WW126" i="1" s="1"/>
  <c r="WW127" i="1" s="1"/>
  <c r="WW128" i="1" s="1"/>
  <c r="WW129" i="1" s="1"/>
  <c r="WW130" i="1" s="1"/>
  <c r="WW131" i="1" s="1"/>
  <c r="WW132" i="1" s="1"/>
  <c r="WW133" i="1" s="1"/>
  <c r="WW134" i="1" s="1"/>
  <c r="WW135" i="1" s="1"/>
  <c r="WW136" i="1" s="1"/>
  <c r="WW137" i="1" s="1"/>
  <c r="WW138" i="1" s="1"/>
  <c r="WW139" i="1" s="1"/>
  <c r="WW140" i="1" s="1"/>
  <c r="WW141" i="1" s="1"/>
  <c r="WW142" i="1" s="1"/>
  <c r="BR25" i="5"/>
  <c r="WN112" i="1"/>
  <c r="WN113" i="1" s="1"/>
  <c r="WN114" i="1" s="1"/>
  <c r="WN115" i="1" s="1"/>
  <c r="WN116" i="1" s="1"/>
  <c r="WN117" i="1" s="1"/>
  <c r="WN118" i="1" s="1"/>
  <c r="WN119" i="1" s="1"/>
  <c r="WN120" i="1" s="1"/>
  <c r="WN121" i="1" s="1"/>
  <c r="WN122" i="1" s="1"/>
  <c r="WN123" i="1" s="1"/>
  <c r="WN124" i="1" s="1"/>
  <c r="WN125" i="1" s="1"/>
  <c r="WN126" i="1" s="1"/>
  <c r="WN127" i="1" s="1"/>
  <c r="WN128" i="1" s="1"/>
  <c r="WN129" i="1" s="1"/>
  <c r="WN130" i="1" s="1"/>
  <c r="WN131" i="1" s="1"/>
  <c r="WN132" i="1" s="1"/>
  <c r="WN133" i="1" s="1"/>
  <c r="WN134" i="1" s="1"/>
  <c r="WN135" i="1" s="1"/>
  <c r="WN136" i="1" s="1"/>
  <c r="WN137" i="1" s="1"/>
  <c r="WN138" i="1" s="1"/>
  <c r="WN139" i="1" s="1"/>
  <c r="WN140" i="1" s="1"/>
  <c r="WN141" i="1" s="1"/>
  <c r="WN142" i="1" s="1"/>
  <c r="BQ25" i="5"/>
  <c r="XO147" i="1"/>
  <c r="XO148" i="1" s="1"/>
  <c r="XO149" i="1" s="1"/>
  <c r="XO150" i="1" s="1"/>
  <c r="XO151" i="1" s="1"/>
  <c r="XO152" i="1" s="1"/>
  <c r="XO153" i="1" s="1"/>
  <c r="XO154" i="1" s="1"/>
  <c r="XO155" i="1" s="1"/>
  <c r="XO156" i="1" s="1"/>
  <c r="XO157" i="1" s="1"/>
  <c r="XO158" i="1" s="1"/>
  <c r="XO159" i="1" s="1"/>
  <c r="XO160" i="1" s="1"/>
  <c r="XO161" i="1" s="1"/>
  <c r="XO162" i="1" s="1"/>
  <c r="XO163" i="1" s="1"/>
  <c r="XO164" i="1" s="1"/>
  <c r="XO165" i="1" s="1"/>
  <c r="XO166" i="1" s="1"/>
  <c r="XO167" i="1" s="1"/>
  <c r="XO168" i="1" s="1"/>
  <c r="XO169" i="1" s="1"/>
  <c r="XO170" i="1" s="1"/>
  <c r="XO171" i="1" s="1"/>
  <c r="XO172" i="1" s="1"/>
  <c r="XO173" i="1" s="1"/>
  <c r="XO174" i="1" s="1"/>
  <c r="XO175" i="1" s="1"/>
  <c r="XO176" i="1" s="1"/>
  <c r="XO177" i="1" s="1"/>
  <c r="XO178" i="1" s="1"/>
  <c r="BT32" i="5"/>
  <c r="AE321" i="6"/>
  <c r="AE322" i="6"/>
  <c r="AE323" i="6"/>
  <c r="AE324" i="6"/>
  <c r="AE325" i="6"/>
  <c r="GL62" i="7" s="1"/>
  <c r="AE326" i="6"/>
  <c r="GL63" i="7" s="1"/>
  <c r="AE327" i="6"/>
  <c r="GL64" i="7" s="1"/>
  <c r="AE328" i="6"/>
  <c r="GL65" i="7" s="1"/>
  <c r="AE329" i="6"/>
  <c r="GL66" i="7" s="1"/>
  <c r="AE330" i="6"/>
  <c r="GL67" i="7" s="1"/>
  <c r="AE331" i="6"/>
  <c r="GL68" i="7" s="1"/>
  <c r="AE332" i="6"/>
  <c r="GL69" i="7" s="1"/>
  <c r="AE333" i="6"/>
  <c r="GL70" i="7" s="1"/>
  <c r="AE334" i="6"/>
  <c r="GL71" i="7" s="1"/>
  <c r="AC321" i="6"/>
  <c r="AC322" i="6"/>
  <c r="AC323" i="6"/>
  <c r="AC324" i="6"/>
  <c r="AC325" i="6"/>
  <c r="GK62" i="7" s="1"/>
  <c r="AC326" i="6"/>
  <c r="GK63" i="7" s="1"/>
  <c r="AC327" i="6"/>
  <c r="GK64" i="7" s="1"/>
  <c r="AC328" i="6"/>
  <c r="GK65" i="7" s="1"/>
  <c r="AC329" i="6"/>
  <c r="GK66" i="7" s="1"/>
  <c r="AC330" i="6"/>
  <c r="GK67" i="7" s="1"/>
  <c r="AC331" i="6"/>
  <c r="GK68" i="7" s="1"/>
  <c r="AC332" i="6"/>
  <c r="GK69" i="7" s="1"/>
  <c r="AC333" i="6"/>
  <c r="GK70" i="7" s="1"/>
  <c r="AC334" i="6"/>
  <c r="GK71" i="7" s="1"/>
  <c r="AA321" i="6"/>
  <c r="AA322" i="6"/>
  <c r="AA323" i="6"/>
  <c r="AA324" i="6"/>
  <c r="AA325" i="6"/>
  <c r="GJ62" i="7" s="1"/>
  <c r="AA326" i="6"/>
  <c r="GJ63" i="7" s="1"/>
  <c r="AA327" i="6"/>
  <c r="GJ64" i="7" s="1"/>
  <c r="AA328" i="6"/>
  <c r="GJ65" i="7" s="1"/>
  <c r="AA329" i="6"/>
  <c r="GJ66" i="7" s="1"/>
  <c r="AA330" i="6"/>
  <c r="GJ67" i="7" s="1"/>
  <c r="AA331" i="6"/>
  <c r="GJ68" i="7" s="1"/>
  <c r="AA332" i="6"/>
  <c r="GJ69" i="7" s="1"/>
  <c r="AA333" i="6"/>
  <c r="GJ70" i="7" s="1"/>
  <c r="AA334" i="6"/>
  <c r="GJ71" i="7" s="1"/>
  <c r="AA320" i="6"/>
  <c r="Y321" i="6"/>
  <c r="Y322" i="6"/>
  <c r="Y323" i="6"/>
  <c r="Y324" i="6"/>
  <c r="Y325" i="6"/>
  <c r="GI62" i="7" s="1"/>
  <c r="Y326" i="6"/>
  <c r="GI63" i="7" s="1"/>
  <c r="Y327" i="6"/>
  <c r="GI64" i="7" s="1"/>
  <c r="Y328" i="6"/>
  <c r="GI65" i="7" s="1"/>
  <c r="Y329" i="6"/>
  <c r="GI66" i="7" s="1"/>
  <c r="Y330" i="6"/>
  <c r="GI67" i="7" s="1"/>
  <c r="Y331" i="6"/>
  <c r="GI68" i="7" s="1"/>
  <c r="Y332" i="6"/>
  <c r="GI69" i="7" s="1"/>
  <c r="Y333" i="6"/>
  <c r="GI70" i="7" s="1"/>
  <c r="Y334" i="6"/>
  <c r="GI71" i="7" s="1"/>
  <c r="W321" i="6"/>
  <c r="W322" i="6"/>
  <c r="W323" i="6"/>
  <c r="W324" i="6"/>
  <c r="W325" i="6"/>
  <c r="GH62" i="7" s="1"/>
  <c r="W326" i="6"/>
  <c r="GH63" i="7" s="1"/>
  <c r="W327" i="6"/>
  <c r="GH64" i="7" s="1"/>
  <c r="W328" i="6"/>
  <c r="GH65" i="7" s="1"/>
  <c r="W329" i="6"/>
  <c r="GH66" i="7" s="1"/>
  <c r="W330" i="6"/>
  <c r="GH67" i="7" s="1"/>
  <c r="W331" i="6"/>
  <c r="GH68" i="7" s="1"/>
  <c r="W332" i="6"/>
  <c r="GH69" i="7" s="1"/>
  <c r="W333" i="6"/>
  <c r="GH70" i="7" s="1"/>
  <c r="W334" i="6"/>
  <c r="GH71" i="7" s="1"/>
  <c r="U321" i="6"/>
  <c r="U322" i="6"/>
  <c r="U323" i="6"/>
  <c r="U324" i="6"/>
  <c r="U325" i="6"/>
  <c r="GG62" i="7" s="1"/>
  <c r="U326" i="6"/>
  <c r="GG63" i="7" s="1"/>
  <c r="U327" i="6"/>
  <c r="GG64" i="7" s="1"/>
  <c r="U328" i="6"/>
  <c r="GG65" i="7" s="1"/>
  <c r="U329" i="6"/>
  <c r="GG66" i="7" s="1"/>
  <c r="U330" i="6"/>
  <c r="GG67" i="7" s="1"/>
  <c r="U331" i="6"/>
  <c r="GG68" i="7" s="1"/>
  <c r="U332" i="6"/>
  <c r="GG69" i="7" s="1"/>
  <c r="U333" i="6"/>
  <c r="GG70" i="7" s="1"/>
  <c r="U334" i="6"/>
  <c r="GG71" i="7" s="1"/>
  <c r="S321" i="6"/>
  <c r="S322" i="6"/>
  <c r="S323" i="6"/>
  <c r="S324" i="6"/>
  <c r="S325" i="6"/>
  <c r="GF62" i="7" s="1"/>
  <c r="S326" i="6"/>
  <c r="GF63" i="7" s="1"/>
  <c r="S327" i="6"/>
  <c r="GF64" i="7" s="1"/>
  <c r="S328" i="6"/>
  <c r="GF65" i="7" s="1"/>
  <c r="S329" i="6"/>
  <c r="GF66" i="7" s="1"/>
  <c r="S330" i="6"/>
  <c r="GF67" i="7" s="1"/>
  <c r="S331" i="6"/>
  <c r="GF68" i="7" s="1"/>
  <c r="S332" i="6"/>
  <c r="GF69" i="7" s="1"/>
  <c r="S333" i="6"/>
  <c r="GF70" i="7" s="1"/>
  <c r="S334" i="6"/>
  <c r="GF71" i="7" s="1"/>
  <c r="Q321" i="6"/>
  <c r="Q322" i="6"/>
  <c r="Q323" i="6"/>
  <c r="Q324" i="6"/>
  <c r="Q325" i="6"/>
  <c r="GE62" i="7" s="1"/>
  <c r="Q326" i="6"/>
  <c r="GE63" i="7" s="1"/>
  <c r="Q327" i="6"/>
  <c r="GE64" i="7" s="1"/>
  <c r="Q328" i="6"/>
  <c r="GE65" i="7" s="1"/>
  <c r="Q329" i="6"/>
  <c r="GE66" i="7" s="1"/>
  <c r="Q330" i="6"/>
  <c r="GE67" i="7" s="1"/>
  <c r="Q331" i="6"/>
  <c r="GE68" i="7" s="1"/>
  <c r="Q332" i="6"/>
  <c r="GE69" i="7" s="1"/>
  <c r="Q333" i="6"/>
  <c r="GE70" i="7" s="1"/>
  <c r="Q334" i="6"/>
  <c r="GE71" i="7" s="1"/>
  <c r="O321" i="6"/>
  <c r="O322" i="6"/>
  <c r="O323" i="6"/>
  <c r="O324" i="6"/>
  <c r="O325" i="6"/>
  <c r="GD62" i="7" s="1"/>
  <c r="O326" i="6"/>
  <c r="GD63" i="7" s="1"/>
  <c r="O327" i="6"/>
  <c r="GD64" i="7" s="1"/>
  <c r="O328" i="6"/>
  <c r="GD65" i="7" s="1"/>
  <c r="O329" i="6"/>
  <c r="GD66" i="7" s="1"/>
  <c r="O330" i="6"/>
  <c r="GD67" i="7" s="1"/>
  <c r="O331" i="6"/>
  <c r="GD68" i="7" s="1"/>
  <c r="O332" i="6"/>
  <c r="GD69" i="7" s="1"/>
  <c r="O333" i="6"/>
  <c r="GD70" i="7" s="1"/>
  <c r="O334" i="6"/>
  <c r="GD71" i="7" s="1"/>
  <c r="M321" i="6"/>
  <c r="M322" i="6"/>
  <c r="M323" i="6"/>
  <c r="M324" i="6"/>
  <c r="M325" i="6"/>
  <c r="GC62" i="7" s="1"/>
  <c r="M326" i="6"/>
  <c r="GC63" i="7" s="1"/>
  <c r="M327" i="6"/>
  <c r="GC64" i="7" s="1"/>
  <c r="M328" i="6"/>
  <c r="GC65" i="7" s="1"/>
  <c r="M329" i="6"/>
  <c r="GC66" i="7" s="1"/>
  <c r="M330" i="6"/>
  <c r="GC67" i="7" s="1"/>
  <c r="M331" i="6"/>
  <c r="GC68" i="7" s="1"/>
  <c r="M332" i="6"/>
  <c r="GC69" i="7" s="1"/>
  <c r="M333" i="6"/>
  <c r="GC70" i="7" s="1"/>
  <c r="M334" i="6"/>
  <c r="GC71" i="7" s="1"/>
  <c r="K321" i="6"/>
  <c r="K322" i="6"/>
  <c r="K323" i="6"/>
  <c r="K324" i="6"/>
  <c r="K325" i="6"/>
  <c r="GB62" i="7" s="1"/>
  <c r="K326" i="6"/>
  <c r="GB63" i="7" s="1"/>
  <c r="K327" i="6"/>
  <c r="GB64" i="7" s="1"/>
  <c r="K328" i="6"/>
  <c r="GB65" i="7" s="1"/>
  <c r="K329" i="6"/>
  <c r="GB66" i="7" s="1"/>
  <c r="K330" i="6"/>
  <c r="GB67" i="7" s="1"/>
  <c r="K331" i="6"/>
  <c r="GB68" i="7" s="1"/>
  <c r="K332" i="6"/>
  <c r="GB69" i="7" s="1"/>
  <c r="K333" i="6"/>
  <c r="GB70" i="7" s="1"/>
  <c r="K334" i="6"/>
  <c r="GB71" i="7" s="1"/>
  <c r="I321" i="6"/>
  <c r="I322" i="6"/>
  <c r="I323" i="6"/>
  <c r="I324" i="6"/>
  <c r="I325" i="6"/>
  <c r="GA62" i="7" s="1"/>
  <c r="I326" i="6"/>
  <c r="GA63" i="7" s="1"/>
  <c r="I327" i="6"/>
  <c r="GA64" i="7" s="1"/>
  <c r="I328" i="6"/>
  <c r="GA65" i="7" s="1"/>
  <c r="I329" i="6"/>
  <c r="GA66" i="7" s="1"/>
  <c r="I330" i="6"/>
  <c r="GA67" i="7" s="1"/>
  <c r="I331" i="6"/>
  <c r="GA68" i="7" s="1"/>
  <c r="I332" i="6"/>
  <c r="GA69" i="7" s="1"/>
  <c r="I333" i="6"/>
  <c r="GA70" i="7" s="1"/>
  <c r="I334" i="6"/>
  <c r="GA71" i="7" s="1"/>
  <c r="G321" i="6"/>
  <c r="G322" i="6"/>
  <c r="G323" i="6"/>
  <c r="G324" i="6"/>
  <c r="G325" i="6"/>
  <c r="FZ62" i="7" s="1"/>
  <c r="G326" i="6"/>
  <c r="FZ63" i="7" s="1"/>
  <c r="G327" i="6"/>
  <c r="FZ64" i="7" s="1"/>
  <c r="G328" i="6"/>
  <c r="FZ65" i="7" s="1"/>
  <c r="G329" i="6"/>
  <c r="FZ66" i="7" s="1"/>
  <c r="G330" i="6"/>
  <c r="FZ67" i="7" s="1"/>
  <c r="G331" i="6"/>
  <c r="FZ68" i="7" s="1"/>
  <c r="G332" i="6"/>
  <c r="FZ69" i="7" s="1"/>
  <c r="G333" i="6"/>
  <c r="FZ70" i="7" s="1"/>
  <c r="G334" i="6"/>
  <c r="FZ71" i="7" s="1"/>
  <c r="E334" i="6"/>
  <c r="FY71" i="7" s="1"/>
  <c r="E333" i="6"/>
  <c r="FY70" i="7" s="1"/>
  <c r="E332" i="6"/>
  <c r="FY69" i="7" s="1"/>
  <c r="E331" i="6"/>
  <c r="FY68" i="7" s="1"/>
  <c r="E330" i="6"/>
  <c r="FY67" i="7" s="1"/>
  <c r="E329" i="6"/>
  <c r="FY66" i="7" s="1"/>
  <c r="E328" i="6"/>
  <c r="FY65" i="7" s="1"/>
  <c r="E327" i="6"/>
  <c r="FY64" i="7" s="1"/>
  <c r="E326" i="6"/>
  <c r="FY63" i="7" s="1"/>
  <c r="C334" i="6"/>
  <c r="FX71" i="7" s="1"/>
  <c r="C333" i="6"/>
  <c r="FX70" i="7" s="1"/>
  <c r="C332" i="6"/>
  <c r="FX69" i="7" s="1"/>
  <c r="C331" i="6"/>
  <c r="FX68" i="7" s="1"/>
  <c r="C330" i="6"/>
  <c r="FX67" i="7" s="1"/>
  <c r="C329" i="6"/>
  <c r="FX66" i="7" s="1"/>
  <c r="C328" i="6"/>
  <c r="FX65" i="7" s="1"/>
  <c r="C327" i="6"/>
  <c r="FX64" i="7" s="1"/>
  <c r="C326" i="6"/>
  <c r="FX63" i="7" s="1"/>
  <c r="E320" i="6"/>
  <c r="E321" i="6"/>
  <c r="E322" i="6"/>
  <c r="E323" i="6"/>
  <c r="E324" i="6"/>
  <c r="E325" i="6"/>
  <c r="FY62" i="7" s="1"/>
  <c r="C321" i="6"/>
  <c r="C322" i="6"/>
  <c r="C323" i="6"/>
  <c r="C324" i="6"/>
  <c r="C325" i="6"/>
  <c r="FX62" i="7" s="1"/>
  <c r="AD264" i="6"/>
  <c r="AB264" i="6"/>
  <c r="Z264" i="6"/>
  <c r="X264" i="6"/>
  <c r="V264" i="6"/>
  <c r="T264" i="6"/>
  <c r="R264" i="6"/>
  <c r="P264" i="6"/>
  <c r="N264" i="6"/>
  <c r="L264" i="6"/>
  <c r="J264" i="6"/>
  <c r="H264" i="6"/>
  <c r="F264" i="6"/>
  <c r="D264" i="6"/>
  <c r="B264" i="6"/>
  <c r="O246" i="6"/>
  <c r="FN71" i="7" s="1"/>
  <c r="M246" i="6"/>
  <c r="FM71" i="7" s="1"/>
  <c r="K246" i="6"/>
  <c r="FL71" i="7" s="1"/>
  <c r="I246" i="6"/>
  <c r="FK71" i="7" s="1"/>
  <c r="G246" i="6"/>
  <c r="FJ71" i="7" s="1"/>
  <c r="E246" i="6"/>
  <c r="FI71" i="7" s="1"/>
  <c r="O245" i="6"/>
  <c r="FN70" i="7" s="1"/>
  <c r="M245" i="6"/>
  <c r="FM70" i="7" s="1"/>
  <c r="K245" i="6"/>
  <c r="FL70" i="7" s="1"/>
  <c r="I245" i="6"/>
  <c r="FK70" i="7" s="1"/>
  <c r="G245" i="6"/>
  <c r="FJ70" i="7" s="1"/>
  <c r="E245" i="6"/>
  <c r="FI70" i="7" s="1"/>
  <c r="O244" i="6"/>
  <c r="FN69" i="7" s="1"/>
  <c r="M244" i="6"/>
  <c r="FM69" i="7" s="1"/>
  <c r="K244" i="6"/>
  <c r="FL69" i="7" s="1"/>
  <c r="I244" i="6"/>
  <c r="FK69" i="7" s="1"/>
  <c r="G244" i="6"/>
  <c r="FJ69" i="7" s="1"/>
  <c r="E244" i="6"/>
  <c r="FI69" i="7" s="1"/>
  <c r="O243" i="6"/>
  <c r="FN68" i="7" s="1"/>
  <c r="M243" i="6"/>
  <c r="FM68" i="7" s="1"/>
  <c r="K243" i="6"/>
  <c r="FL68" i="7" s="1"/>
  <c r="I243" i="6"/>
  <c r="FK68" i="7" s="1"/>
  <c r="G243" i="6"/>
  <c r="FJ68" i="7" s="1"/>
  <c r="E243" i="6"/>
  <c r="FI68" i="7" s="1"/>
  <c r="O242" i="6"/>
  <c r="FN67" i="7" s="1"/>
  <c r="M242" i="6"/>
  <c r="FM67" i="7" s="1"/>
  <c r="K242" i="6"/>
  <c r="FL67" i="7" s="1"/>
  <c r="I242" i="6"/>
  <c r="FK67" i="7" s="1"/>
  <c r="G242" i="6"/>
  <c r="FJ67" i="7" s="1"/>
  <c r="E242" i="6"/>
  <c r="FI67" i="7" s="1"/>
  <c r="O241" i="6"/>
  <c r="FN66" i="7" s="1"/>
  <c r="M241" i="6"/>
  <c r="FM66" i="7" s="1"/>
  <c r="K241" i="6"/>
  <c r="FL66" i="7" s="1"/>
  <c r="I241" i="6"/>
  <c r="FK66" i="7" s="1"/>
  <c r="G241" i="6"/>
  <c r="FJ66" i="7" s="1"/>
  <c r="E241" i="6"/>
  <c r="FI66" i="7" s="1"/>
  <c r="O240" i="6"/>
  <c r="FN65" i="7" s="1"/>
  <c r="M240" i="6"/>
  <c r="FM65" i="7" s="1"/>
  <c r="K240" i="6"/>
  <c r="FL65" i="7" s="1"/>
  <c r="I240" i="6"/>
  <c r="FK65" i="7" s="1"/>
  <c r="G240" i="6"/>
  <c r="FJ65" i="7" s="1"/>
  <c r="E240" i="6"/>
  <c r="FI65" i="7" s="1"/>
  <c r="O239" i="6"/>
  <c r="FN64" i="7" s="1"/>
  <c r="M239" i="6"/>
  <c r="FM64" i="7" s="1"/>
  <c r="K239" i="6"/>
  <c r="FL64" i="7" s="1"/>
  <c r="I239" i="6"/>
  <c r="FK64" i="7" s="1"/>
  <c r="G239" i="6"/>
  <c r="FJ64" i="7" s="1"/>
  <c r="E239" i="6"/>
  <c r="FI64" i="7" s="1"/>
  <c r="O238" i="6"/>
  <c r="FN63" i="7" s="1"/>
  <c r="M238" i="6"/>
  <c r="FM63" i="7" s="1"/>
  <c r="K238" i="6"/>
  <c r="FL63" i="7" s="1"/>
  <c r="I238" i="6"/>
  <c r="FK63" i="7" s="1"/>
  <c r="G238" i="6"/>
  <c r="FJ63" i="7" s="1"/>
  <c r="E238" i="6"/>
  <c r="FI63" i="7" s="1"/>
  <c r="O237" i="6"/>
  <c r="FN62" i="7" s="1"/>
  <c r="M237" i="6"/>
  <c r="FM62" i="7" s="1"/>
  <c r="K237" i="6"/>
  <c r="FL62" i="7" s="1"/>
  <c r="I237" i="6"/>
  <c r="FK62" i="7" s="1"/>
  <c r="G237" i="6"/>
  <c r="FJ62" i="7" s="1"/>
  <c r="E237" i="6"/>
  <c r="FI62" i="7" s="1"/>
  <c r="O236" i="6"/>
  <c r="M236" i="6"/>
  <c r="K236" i="6"/>
  <c r="I236" i="6"/>
  <c r="G236" i="6"/>
  <c r="E236" i="6"/>
  <c r="O235" i="6"/>
  <c r="M235" i="6"/>
  <c r="K235" i="6"/>
  <c r="I235" i="6"/>
  <c r="G235" i="6"/>
  <c r="E235" i="6"/>
  <c r="O234" i="6"/>
  <c r="M234" i="6"/>
  <c r="K234" i="6"/>
  <c r="I234" i="6"/>
  <c r="G234" i="6"/>
  <c r="E234" i="6"/>
  <c r="O233" i="6"/>
  <c r="M233" i="6"/>
  <c r="K233" i="6"/>
  <c r="I233" i="6"/>
  <c r="G233" i="6"/>
  <c r="E233" i="6"/>
  <c r="O232" i="6"/>
  <c r="M232" i="6"/>
  <c r="K232" i="6"/>
  <c r="I232" i="6"/>
  <c r="G232" i="6"/>
  <c r="E232" i="6"/>
  <c r="O231" i="6"/>
  <c r="M231" i="6"/>
  <c r="K231" i="6"/>
  <c r="I231" i="6"/>
  <c r="G231" i="6"/>
  <c r="E231" i="6"/>
  <c r="O230" i="6"/>
  <c r="M230" i="6"/>
  <c r="K230" i="6"/>
  <c r="I230" i="6"/>
  <c r="G230" i="6"/>
  <c r="E230" i="6"/>
  <c r="O229" i="6"/>
  <c r="M229" i="6"/>
  <c r="K229" i="6"/>
  <c r="I229" i="6"/>
  <c r="G229" i="6"/>
  <c r="E229" i="6"/>
  <c r="O228" i="6"/>
  <c r="M228" i="6"/>
  <c r="K228" i="6"/>
  <c r="I228" i="6"/>
  <c r="G228" i="6"/>
  <c r="E228" i="6"/>
  <c r="O227" i="6"/>
  <c r="M227" i="6"/>
  <c r="K227" i="6"/>
  <c r="I227" i="6"/>
  <c r="G227" i="6"/>
  <c r="E227" i="6"/>
  <c r="O226" i="6"/>
  <c r="M226" i="6"/>
  <c r="K226" i="6"/>
  <c r="I226" i="6"/>
  <c r="G226" i="6"/>
  <c r="E226" i="6"/>
  <c r="O225" i="6"/>
  <c r="M225" i="6"/>
  <c r="K225" i="6"/>
  <c r="I225" i="6"/>
  <c r="G225" i="6"/>
  <c r="E225" i="6"/>
  <c r="O224" i="6"/>
  <c r="FN49" i="7" s="1"/>
  <c r="M224" i="6"/>
  <c r="FM49" i="7" s="1"/>
  <c r="K224" i="6"/>
  <c r="FL49" i="7" s="1"/>
  <c r="I224" i="6"/>
  <c r="FK49" i="7" s="1"/>
  <c r="G224" i="6"/>
  <c r="FJ49" i="7" s="1"/>
  <c r="E224" i="6"/>
  <c r="FI49" i="7" s="1"/>
  <c r="O223" i="6"/>
  <c r="M223" i="6"/>
  <c r="K223" i="6"/>
  <c r="I223" i="6"/>
  <c r="G223" i="6"/>
  <c r="E223" i="6"/>
  <c r="O222" i="6"/>
  <c r="M222" i="6"/>
  <c r="K222" i="6"/>
  <c r="I222" i="6"/>
  <c r="G222" i="6"/>
  <c r="E222" i="6"/>
  <c r="O221" i="6"/>
  <c r="M221" i="6"/>
  <c r="K221" i="6"/>
  <c r="I221" i="6"/>
  <c r="G221" i="6"/>
  <c r="E221" i="6"/>
  <c r="O220" i="6"/>
  <c r="M220" i="6"/>
  <c r="K220" i="6"/>
  <c r="I220" i="6"/>
  <c r="G220" i="6"/>
  <c r="E220" i="6"/>
  <c r="O219" i="6"/>
  <c r="M219" i="6"/>
  <c r="K219" i="6"/>
  <c r="I219" i="6"/>
  <c r="G219" i="6"/>
  <c r="E219" i="6"/>
  <c r="O218" i="6"/>
  <c r="M218" i="6"/>
  <c r="K218" i="6"/>
  <c r="I218" i="6"/>
  <c r="G218" i="6"/>
  <c r="E218" i="6"/>
  <c r="O217" i="6"/>
  <c r="M217" i="6"/>
  <c r="K217" i="6"/>
  <c r="I217" i="6"/>
  <c r="G217" i="6"/>
  <c r="E217" i="6"/>
  <c r="O216" i="6"/>
  <c r="M216" i="6"/>
  <c r="K216" i="6"/>
  <c r="I216" i="6"/>
  <c r="G216" i="6"/>
  <c r="E216" i="6"/>
  <c r="O215" i="6"/>
  <c r="M215" i="6"/>
  <c r="K215" i="6"/>
  <c r="I215" i="6"/>
  <c r="G215" i="6"/>
  <c r="E215" i="6"/>
  <c r="O214" i="6"/>
  <c r="M214" i="6"/>
  <c r="K214" i="6"/>
  <c r="I214" i="6"/>
  <c r="G214" i="6"/>
  <c r="E214" i="6"/>
  <c r="O213" i="6"/>
  <c r="M213" i="6"/>
  <c r="K213" i="6"/>
  <c r="I213" i="6"/>
  <c r="G213" i="6"/>
  <c r="E213" i="6"/>
  <c r="O212" i="6"/>
  <c r="M212" i="6"/>
  <c r="K212" i="6"/>
  <c r="I212" i="6"/>
  <c r="G212" i="6"/>
  <c r="E212" i="6"/>
  <c r="O211" i="6"/>
  <c r="M211" i="6"/>
  <c r="K211" i="6"/>
  <c r="I211" i="6"/>
  <c r="G211" i="6"/>
  <c r="E211" i="6"/>
  <c r="O210" i="6"/>
  <c r="M210" i="6"/>
  <c r="K210" i="6"/>
  <c r="I210" i="6"/>
  <c r="G210" i="6"/>
  <c r="E210" i="6"/>
  <c r="O209" i="6"/>
  <c r="M209" i="6"/>
  <c r="K209" i="6"/>
  <c r="I209" i="6"/>
  <c r="G209" i="6"/>
  <c r="E209" i="6"/>
  <c r="O208" i="6"/>
  <c r="M208" i="6"/>
  <c r="K208" i="6"/>
  <c r="I208" i="6"/>
  <c r="G208" i="6"/>
  <c r="E208" i="6"/>
  <c r="O207" i="6"/>
  <c r="M207" i="6"/>
  <c r="K207" i="6"/>
  <c r="I207" i="6"/>
  <c r="G207" i="6"/>
  <c r="E207" i="6"/>
  <c r="O206" i="6"/>
  <c r="M206" i="6"/>
  <c r="K206" i="6"/>
  <c r="I206" i="6"/>
  <c r="G206" i="6"/>
  <c r="E206" i="6"/>
  <c r="O205" i="6"/>
  <c r="M205" i="6"/>
  <c r="K205" i="6"/>
  <c r="I205" i="6"/>
  <c r="G205" i="6"/>
  <c r="E205" i="6"/>
  <c r="O204" i="6"/>
  <c r="M204" i="6"/>
  <c r="K204" i="6"/>
  <c r="I204" i="6"/>
  <c r="G204" i="6"/>
  <c r="E204" i="6"/>
  <c r="O203" i="6"/>
  <c r="M203" i="6"/>
  <c r="K203" i="6"/>
  <c r="I203" i="6"/>
  <c r="G203" i="6"/>
  <c r="E203" i="6"/>
  <c r="O202" i="6"/>
  <c r="M202" i="6"/>
  <c r="K202" i="6"/>
  <c r="I202" i="6"/>
  <c r="G202" i="6"/>
  <c r="E202" i="6"/>
  <c r="O201" i="6"/>
  <c r="M201" i="6"/>
  <c r="K201" i="6"/>
  <c r="I201" i="6"/>
  <c r="G201" i="6"/>
  <c r="E201" i="6"/>
  <c r="O200" i="6"/>
  <c r="M200" i="6"/>
  <c r="K200" i="6"/>
  <c r="I200" i="6"/>
  <c r="G200" i="6"/>
  <c r="E200" i="6"/>
  <c r="O199" i="6"/>
  <c r="M199" i="6"/>
  <c r="K199" i="6"/>
  <c r="I199" i="6"/>
  <c r="G199" i="6"/>
  <c r="E199" i="6"/>
  <c r="O198" i="6"/>
  <c r="M198" i="6"/>
  <c r="K198" i="6"/>
  <c r="I198" i="6"/>
  <c r="G198" i="6"/>
  <c r="E198" i="6"/>
  <c r="O197" i="6"/>
  <c r="M197" i="6"/>
  <c r="K197" i="6"/>
  <c r="I197" i="6"/>
  <c r="G197" i="6"/>
  <c r="E197" i="6"/>
  <c r="O196" i="6"/>
  <c r="M196" i="6"/>
  <c r="K196" i="6"/>
  <c r="I196" i="6"/>
  <c r="G196" i="6"/>
  <c r="E196" i="6"/>
  <c r="O195" i="6"/>
  <c r="M195" i="6"/>
  <c r="K195" i="6"/>
  <c r="I195" i="6"/>
  <c r="G195" i="6"/>
  <c r="E195" i="6"/>
  <c r="O194" i="6"/>
  <c r="M194" i="6"/>
  <c r="K194" i="6"/>
  <c r="I194" i="6"/>
  <c r="G194" i="6"/>
  <c r="E194" i="6"/>
  <c r="O193" i="6"/>
  <c r="M193" i="6"/>
  <c r="K193" i="6"/>
  <c r="I193" i="6"/>
  <c r="G193" i="6"/>
  <c r="E193" i="6"/>
  <c r="O192" i="6"/>
  <c r="M192" i="6"/>
  <c r="K192" i="6"/>
  <c r="I192" i="6"/>
  <c r="G192" i="6"/>
  <c r="E192" i="6"/>
  <c r="O191" i="6"/>
  <c r="M191" i="6"/>
  <c r="K191" i="6"/>
  <c r="I191" i="6"/>
  <c r="G191" i="6"/>
  <c r="E191" i="6"/>
  <c r="O190" i="6"/>
  <c r="M190" i="6"/>
  <c r="K190" i="6"/>
  <c r="I190" i="6"/>
  <c r="G190" i="6"/>
  <c r="E190" i="6"/>
  <c r="O189" i="6"/>
  <c r="M189" i="6"/>
  <c r="K189" i="6"/>
  <c r="I189" i="6"/>
  <c r="G189" i="6"/>
  <c r="E189" i="6"/>
  <c r="O188" i="6"/>
  <c r="M188" i="6"/>
  <c r="K188" i="6"/>
  <c r="I188" i="6"/>
  <c r="G188" i="6"/>
  <c r="E188" i="6"/>
  <c r="O187" i="6"/>
  <c r="M187" i="6"/>
  <c r="K187" i="6"/>
  <c r="I187" i="6"/>
  <c r="G187" i="6"/>
  <c r="E187" i="6"/>
  <c r="O186" i="6"/>
  <c r="M186" i="6"/>
  <c r="K186" i="6"/>
  <c r="I186" i="6"/>
  <c r="G186" i="6"/>
  <c r="E186" i="6"/>
  <c r="O185" i="6"/>
  <c r="M185" i="6"/>
  <c r="K185" i="6"/>
  <c r="I185" i="6"/>
  <c r="G185" i="6"/>
  <c r="E185" i="6"/>
  <c r="O184" i="6"/>
  <c r="M184" i="6"/>
  <c r="K184" i="6"/>
  <c r="I184" i="6"/>
  <c r="G184" i="6"/>
  <c r="E184" i="6"/>
  <c r="O183" i="6"/>
  <c r="M183" i="6"/>
  <c r="K183" i="6"/>
  <c r="I183" i="6"/>
  <c r="G183" i="6"/>
  <c r="E183" i="6"/>
  <c r="O182" i="6"/>
  <c r="M182" i="6"/>
  <c r="K182" i="6"/>
  <c r="I182" i="6"/>
  <c r="G182" i="6"/>
  <c r="E182" i="6"/>
  <c r="AE233" i="6"/>
  <c r="AE234" i="6"/>
  <c r="AE235" i="6"/>
  <c r="AE236" i="6"/>
  <c r="AE237" i="6"/>
  <c r="FV62" i="7" s="1"/>
  <c r="AE238" i="6"/>
  <c r="FV63" i="7" s="1"/>
  <c r="AE239" i="6"/>
  <c r="FV64" i="7" s="1"/>
  <c r="AE240" i="6"/>
  <c r="FV65" i="7" s="1"/>
  <c r="AE241" i="6"/>
  <c r="FV66" i="7" s="1"/>
  <c r="AE242" i="6"/>
  <c r="FV67" i="7" s="1"/>
  <c r="AE243" i="6"/>
  <c r="FV68" i="7" s="1"/>
  <c r="AE244" i="6"/>
  <c r="FV69" i="7" s="1"/>
  <c r="AE245" i="6"/>
  <c r="FV70" i="7" s="1"/>
  <c r="AE246" i="6"/>
  <c r="FV71" i="7" s="1"/>
  <c r="AC233" i="6"/>
  <c r="AC234" i="6"/>
  <c r="AC235" i="6"/>
  <c r="AC236" i="6"/>
  <c r="AC237" i="6"/>
  <c r="FU62" i="7" s="1"/>
  <c r="AC238" i="6"/>
  <c r="FU63" i="7" s="1"/>
  <c r="AC239" i="6"/>
  <c r="FU64" i="7" s="1"/>
  <c r="AC240" i="6"/>
  <c r="FU65" i="7" s="1"/>
  <c r="AC241" i="6"/>
  <c r="FU66" i="7" s="1"/>
  <c r="AC242" i="6"/>
  <c r="FU67" i="7" s="1"/>
  <c r="AC243" i="6"/>
  <c r="FU68" i="7" s="1"/>
  <c r="AC244" i="6"/>
  <c r="FU69" i="7" s="1"/>
  <c r="AC245" i="6"/>
  <c r="FU70" i="7" s="1"/>
  <c r="AC246" i="6"/>
  <c r="FU71" i="7" s="1"/>
  <c r="AA233" i="6"/>
  <c r="AA234" i="6"/>
  <c r="AA235" i="6"/>
  <c r="AA236" i="6"/>
  <c r="AA237" i="6"/>
  <c r="FT62" i="7" s="1"/>
  <c r="AA238" i="6"/>
  <c r="FT63" i="7" s="1"/>
  <c r="AA239" i="6"/>
  <c r="FT64" i="7" s="1"/>
  <c r="AA240" i="6"/>
  <c r="FT65" i="7" s="1"/>
  <c r="AA241" i="6"/>
  <c r="FT66" i="7" s="1"/>
  <c r="AA242" i="6"/>
  <c r="FT67" i="7" s="1"/>
  <c r="AA243" i="6"/>
  <c r="FT68" i="7" s="1"/>
  <c r="AA244" i="6"/>
  <c r="FT69" i="7" s="1"/>
  <c r="AA245" i="6"/>
  <c r="FT70" i="7" s="1"/>
  <c r="AA246" i="6"/>
  <c r="FT71" i="7" s="1"/>
  <c r="Y233" i="6"/>
  <c r="Y234" i="6"/>
  <c r="Y235" i="6"/>
  <c r="Y236" i="6"/>
  <c r="Y237" i="6"/>
  <c r="FS62" i="7" s="1"/>
  <c r="Y238" i="6"/>
  <c r="FS63" i="7" s="1"/>
  <c r="Y239" i="6"/>
  <c r="FS64" i="7" s="1"/>
  <c r="Y240" i="6"/>
  <c r="FS65" i="7" s="1"/>
  <c r="Y241" i="6"/>
  <c r="FS66" i="7" s="1"/>
  <c r="Y242" i="6"/>
  <c r="FS67" i="7" s="1"/>
  <c r="Y243" i="6"/>
  <c r="FS68" i="7" s="1"/>
  <c r="Y244" i="6"/>
  <c r="FS69" i="7" s="1"/>
  <c r="Y245" i="6"/>
  <c r="FS70" i="7" s="1"/>
  <c r="Y246" i="6"/>
  <c r="FS71" i="7" s="1"/>
  <c r="W233" i="6"/>
  <c r="W234" i="6"/>
  <c r="W235" i="6"/>
  <c r="W236" i="6"/>
  <c r="W237" i="6"/>
  <c r="FR62" i="7" s="1"/>
  <c r="W238" i="6"/>
  <c r="FR63" i="7" s="1"/>
  <c r="W239" i="6"/>
  <c r="FR64" i="7" s="1"/>
  <c r="W240" i="6"/>
  <c r="FR65" i="7" s="1"/>
  <c r="W241" i="6"/>
  <c r="FR66" i="7" s="1"/>
  <c r="W242" i="6"/>
  <c r="FR67" i="7" s="1"/>
  <c r="W243" i="6"/>
  <c r="FR68" i="7" s="1"/>
  <c r="W244" i="6"/>
  <c r="FR69" i="7" s="1"/>
  <c r="W245" i="6"/>
  <c r="FR70" i="7" s="1"/>
  <c r="W246" i="6"/>
  <c r="FR71" i="7" s="1"/>
  <c r="U233" i="6"/>
  <c r="U234" i="6"/>
  <c r="U235" i="6"/>
  <c r="U236" i="6"/>
  <c r="U237" i="6"/>
  <c r="FQ62" i="7" s="1"/>
  <c r="U238" i="6"/>
  <c r="FQ63" i="7" s="1"/>
  <c r="U239" i="6"/>
  <c r="FQ64" i="7" s="1"/>
  <c r="U240" i="6"/>
  <c r="FQ65" i="7" s="1"/>
  <c r="U241" i="6"/>
  <c r="FQ66" i="7" s="1"/>
  <c r="U242" i="6"/>
  <c r="FQ67" i="7" s="1"/>
  <c r="U243" i="6"/>
  <c r="FQ68" i="7" s="1"/>
  <c r="U244" i="6"/>
  <c r="FQ69" i="7" s="1"/>
  <c r="U245" i="6"/>
  <c r="FQ70" i="7" s="1"/>
  <c r="U246" i="6"/>
  <c r="FQ71" i="7" s="1"/>
  <c r="S233" i="6"/>
  <c r="S234" i="6"/>
  <c r="S235" i="6"/>
  <c r="S236" i="6"/>
  <c r="S237" i="6"/>
  <c r="FP62" i="7" s="1"/>
  <c r="S238" i="6"/>
  <c r="FP63" i="7" s="1"/>
  <c r="S239" i="6"/>
  <c r="FP64" i="7" s="1"/>
  <c r="S240" i="6"/>
  <c r="FP65" i="7" s="1"/>
  <c r="S241" i="6"/>
  <c r="FP66" i="7" s="1"/>
  <c r="S242" i="6"/>
  <c r="FP67" i="7" s="1"/>
  <c r="S243" i="6"/>
  <c r="FP68" i="7" s="1"/>
  <c r="S244" i="6"/>
  <c r="FP69" i="7" s="1"/>
  <c r="S245" i="6"/>
  <c r="FP70" i="7" s="1"/>
  <c r="S246" i="6"/>
  <c r="FP71" i="7" s="1"/>
  <c r="Q233" i="6"/>
  <c r="Q234" i="6"/>
  <c r="Q235" i="6"/>
  <c r="Q236" i="6"/>
  <c r="Q237" i="6"/>
  <c r="FO62" i="7" s="1"/>
  <c r="Q238" i="6"/>
  <c r="FO63" i="7" s="1"/>
  <c r="Q239" i="6"/>
  <c r="FO64" i="7" s="1"/>
  <c r="Q240" i="6"/>
  <c r="FO65" i="7" s="1"/>
  <c r="Q241" i="6"/>
  <c r="FO66" i="7" s="1"/>
  <c r="Q242" i="6"/>
  <c r="FO67" i="7" s="1"/>
  <c r="Q243" i="6"/>
  <c r="FO68" i="7" s="1"/>
  <c r="Q244" i="6"/>
  <c r="FO69" i="7" s="1"/>
  <c r="Q245" i="6"/>
  <c r="FO70" i="7" s="1"/>
  <c r="Q246" i="6"/>
  <c r="FO71" i="7" s="1"/>
  <c r="C246" i="6"/>
  <c r="FH71" i="7" s="1"/>
  <c r="C245" i="6"/>
  <c r="FH70" i="7" s="1"/>
  <c r="C244" i="6"/>
  <c r="FH69" i="7" s="1"/>
  <c r="C243" i="6"/>
  <c r="FH68" i="7" s="1"/>
  <c r="C242" i="6"/>
  <c r="FH67" i="7" s="1"/>
  <c r="C241" i="6"/>
  <c r="FH66" i="7" s="1"/>
  <c r="C240" i="6"/>
  <c r="FH65" i="7" s="1"/>
  <c r="C239" i="6"/>
  <c r="FH64" i="7" s="1"/>
  <c r="C238" i="6"/>
  <c r="FH63" i="7" s="1"/>
  <c r="C233" i="6"/>
  <c r="C234" i="6"/>
  <c r="C235" i="6"/>
  <c r="C236" i="6"/>
  <c r="C237" i="6"/>
  <c r="FH62" i="7" s="1"/>
  <c r="AD88" i="6"/>
  <c r="AB88" i="6"/>
  <c r="Z88" i="6"/>
  <c r="X88" i="6"/>
  <c r="V88" i="6"/>
  <c r="T88" i="6"/>
  <c r="R88" i="6"/>
  <c r="P88" i="6"/>
  <c r="N88" i="6"/>
  <c r="L88" i="6"/>
  <c r="J88" i="6"/>
  <c r="H88" i="6"/>
  <c r="F88" i="6"/>
  <c r="D88" i="6"/>
  <c r="B88" i="6"/>
  <c r="AE60" i="6"/>
  <c r="AE61" i="6"/>
  <c r="EP62" i="7" s="1"/>
  <c r="AE62" i="6"/>
  <c r="EP63" i="7" s="1"/>
  <c r="AE63" i="6"/>
  <c r="EP64" i="7" s="1"/>
  <c r="AE64" i="6"/>
  <c r="EP65" i="7" s="1"/>
  <c r="AE65" i="6"/>
  <c r="EP66" i="7" s="1"/>
  <c r="AE66" i="6"/>
  <c r="EP67" i="7" s="1"/>
  <c r="AE67" i="6"/>
  <c r="EP68" i="7" s="1"/>
  <c r="AE68" i="6"/>
  <c r="EP69" i="7" s="1"/>
  <c r="AE69" i="6"/>
  <c r="EP70" i="7" s="1"/>
  <c r="AE70" i="6"/>
  <c r="EP71" i="7" s="1"/>
  <c r="AC60" i="6"/>
  <c r="AC61" i="6"/>
  <c r="EO62" i="7" s="1"/>
  <c r="AC62" i="6"/>
  <c r="EO63" i="7" s="1"/>
  <c r="AC63" i="6"/>
  <c r="EO64" i="7" s="1"/>
  <c r="AC64" i="6"/>
  <c r="EO65" i="7" s="1"/>
  <c r="AC65" i="6"/>
  <c r="EO66" i="7" s="1"/>
  <c r="AC66" i="6"/>
  <c r="EO67" i="7" s="1"/>
  <c r="AC67" i="6"/>
  <c r="EO68" i="7" s="1"/>
  <c r="AC68" i="6"/>
  <c r="EO69" i="7" s="1"/>
  <c r="AC69" i="6"/>
  <c r="EO70" i="7" s="1"/>
  <c r="AC70" i="6"/>
  <c r="EO71" i="7" s="1"/>
  <c r="AA60" i="6"/>
  <c r="AA61" i="6"/>
  <c r="EN62" i="7" s="1"/>
  <c r="AA62" i="6"/>
  <c r="EN63" i="7" s="1"/>
  <c r="AA63" i="6"/>
  <c r="EN64" i="7" s="1"/>
  <c r="AA64" i="6"/>
  <c r="EN65" i="7" s="1"/>
  <c r="AA65" i="6"/>
  <c r="EN66" i="7" s="1"/>
  <c r="AA66" i="6"/>
  <c r="EN67" i="7" s="1"/>
  <c r="AA67" i="6"/>
  <c r="EN68" i="7" s="1"/>
  <c r="AA68" i="6"/>
  <c r="EN69" i="7" s="1"/>
  <c r="AA69" i="6"/>
  <c r="EN70" i="7" s="1"/>
  <c r="AA70" i="6"/>
  <c r="EN71" i="7" s="1"/>
  <c r="Y60" i="6"/>
  <c r="Y61" i="6"/>
  <c r="EM62" i="7" s="1"/>
  <c r="Y62" i="6"/>
  <c r="EM63" i="7" s="1"/>
  <c r="Y63" i="6"/>
  <c r="EM64" i="7" s="1"/>
  <c r="Y64" i="6"/>
  <c r="EM65" i="7" s="1"/>
  <c r="Y65" i="6"/>
  <c r="EM66" i="7" s="1"/>
  <c r="Y66" i="6"/>
  <c r="EM67" i="7" s="1"/>
  <c r="Y67" i="6"/>
  <c r="EM68" i="7" s="1"/>
  <c r="Y68" i="6"/>
  <c r="EM69" i="7" s="1"/>
  <c r="Y69" i="6"/>
  <c r="EM70" i="7" s="1"/>
  <c r="Y70" i="6"/>
  <c r="EM71" i="7" s="1"/>
  <c r="W60" i="6"/>
  <c r="W61" i="6"/>
  <c r="EL62" i="7" s="1"/>
  <c r="W62" i="6"/>
  <c r="EL63" i="7" s="1"/>
  <c r="W63" i="6"/>
  <c r="EL64" i="7" s="1"/>
  <c r="W64" i="6"/>
  <c r="EL65" i="7" s="1"/>
  <c r="W65" i="6"/>
  <c r="EL66" i="7" s="1"/>
  <c r="W66" i="6"/>
  <c r="EL67" i="7" s="1"/>
  <c r="W67" i="6"/>
  <c r="EL68" i="7" s="1"/>
  <c r="W68" i="6"/>
  <c r="EL69" i="7" s="1"/>
  <c r="W69" i="6"/>
  <c r="EL70" i="7" s="1"/>
  <c r="W70" i="6"/>
  <c r="EL71" i="7" s="1"/>
  <c r="W59" i="6"/>
  <c r="U60" i="6"/>
  <c r="U61" i="6"/>
  <c r="EK62" i="7" s="1"/>
  <c r="U62" i="6"/>
  <c r="EK63" i="7" s="1"/>
  <c r="U63" i="6"/>
  <c r="EK64" i="7" s="1"/>
  <c r="U64" i="6"/>
  <c r="EK65" i="7" s="1"/>
  <c r="U65" i="6"/>
  <c r="EK66" i="7" s="1"/>
  <c r="U66" i="6"/>
  <c r="EK67" i="7" s="1"/>
  <c r="U67" i="6"/>
  <c r="EK68" i="7" s="1"/>
  <c r="U68" i="6"/>
  <c r="EK69" i="7" s="1"/>
  <c r="U69" i="6"/>
  <c r="EK70" i="7" s="1"/>
  <c r="U70" i="6"/>
  <c r="EK71" i="7" s="1"/>
  <c r="S60" i="6"/>
  <c r="S61" i="6"/>
  <c r="EJ62" i="7" s="1"/>
  <c r="S62" i="6"/>
  <c r="EJ63" i="7" s="1"/>
  <c r="S63" i="6"/>
  <c r="EJ64" i="7" s="1"/>
  <c r="S64" i="6"/>
  <c r="EJ65" i="7" s="1"/>
  <c r="S65" i="6"/>
  <c r="EJ66" i="7" s="1"/>
  <c r="S66" i="6"/>
  <c r="EJ67" i="7" s="1"/>
  <c r="S67" i="6"/>
  <c r="EJ68" i="7" s="1"/>
  <c r="S68" i="6"/>
  <c r="EJ69" i="7" s="1"/>
  <c r="S69" i="6"/>
  <c r="EJ70" i="7" s="1"/>
  <c r="S70" i="6"/>
  <c r="EJ71" i="7" s="1"/>
  <c r="Q60" i="6"/>
  <c r="Q61" i="6"/>
  <c r="EI62" i="7" s="1"/>
  <c r="Q62" i="6"/>
  <c r="EI63" i="7" s="1"/>
  <c r="Q63" i="6"/>
  <c r="EI64" i="7" s="1"/>
  <c r="Q64" i="6"/>
  <c r="EI65" i="7" s="1"/>
  <c r="Q65" i="6"/>
  <c r="EI66" i="7" s="1"/>
  <c r="Q66" i="6"/>
  <c r="EI67" i="7" s="1"/>
  <c r="Q67" i="6"/>
  <c r="EI68" i="7" s="1"/>
  <c r="Q68" i="6"/>
  <c r="EI69" i="7" s="1"/>
  <c r="Q69" i="6"/>
  <c r="EI70" i="7" s="1"/>
  <c r="Q70" i="6"/>
  <c r="EI71" i="7" s="1"/>
  <c r="O60" i="6"/>
  <c r="O61" i="6"/>
  <c r="EH62" i="7" s="1"/>
  <c r="O62" i="6"/>
  <c r="EH63" i="7" s="1"/>
  <c r="O63" i="6"/>
  <c r="EH64" i="7" s="1"/>
  <c r="O64" i="6"/>
  <c r="EH65" i="7" s="1"/>
  <c r="O65" i="6"/>
  <c r="EH66" i="7" s="1"/>
  <c r="O66" i="6"/>
  <c r="EH67" i="7" s="1"/>
  <c r="O67" i="6"/>
  <c r="EH68" i="7" s="1"/>
  <c r="O68" i="6"/>
  <c r="EH69" i="7" s="1"/>
  <c r="O69" i="6"/>
  <c r="EH70" i="7" s="1"/>
  <c r="O70" i="6"/>
  <c r="EH71" i="7" s="1"/>
  <c r="M60" i="6"/>
  <c r="M61" i="6"/>
  <c r="EG62" i="7" s="1"/>
  <c r="M62" i="6"/>
  <c r="EG63" i="7" s="1"/>
  <c r="M63" i="6"/>
  <c r="EG64" i="7" s="1"/>
  <c r="M64" i="6"/>
  <c r="EG65" i="7" s="1"/>
  <c r="M65" i="6"/>
  <c r="EG66" i="7" s="1"/>
  <c r="M66" i="6"/>
  <c r="EG67" i="7" s="1"/>
  <c r="M67" i="6"/>
  <c r="EG68" i="7" s="1"/>
  <c r="M68" i="6"/>
  <c r="EG69" i="7" s="1"/>
  <c r="M69" i="6"/>
  <c r="EG70" i="7" s="1"/>
  <c r="M70" i="6"/>
  <c r="EG71" i="7" s="1"/>
  <c r="K60" i="6"/>
  <c r="K61" i="6"/>
  <c r="EF62" i="7" s="1"/>
  <c r="K62" i="6"/>
  <c r="EF63" i="7" s="1"/>
  <c r="K63" i="6"/>
  <c r="EF64" i="7" s="1"/>
  <c r="K64" i="6"/>
  <c r="EF65" i="7" s="1"/>
  <c r="K65" i="6"/>
  <c r="EF66" i="7" s="1"/>
  <c r="K66" i="6"/>
  <c r="EF67" i="7" s="1"/>
  <c r="K67" i="6"/>
  <c r="EF68" i="7" s="1"/>
  <c r="K68" i="6"/>
  <c r="EF69" i="7" s="1"/>
  <c r="K69" i="6"/>
  <c r="EF70" i="7" s="1"/>
  <c r="K70" i="6"/>
  <c r="EF71" i="7" s="1"/>
  <c r="AD176" i="6"/>
  <c r="AB176" i="6"/>
  <c r="Z176" i="6"/>
  <c r="X176" i="6"/>
  <c r="V176" i="6"/>
  <c r="T176" i="6"/>
  <c r="R176" i="6"/>
  <c r="P176" i="6"/>
  <c r="N176" i="6"/>
  <c r="L176" i="6"/>
  <c r="J176" i="6"/>
  <c r="H176" i="6"/>
  <c r="F176" i="6"/>
  <c r="D176" i="6"/>
  <c r="B176" i="6"/>
  <c r="AE145" i="6"/>
  <c r="AE146" i="6"/>
  <c r="AE147" i="6"/>
  <c r="AE148" i="6"/>
  <c r="AE149" i="6"/>
  <c r="FF62" i="7" s="1"/>
  <c r="AE150" i="6"/>
  <c r="FF63" i="7" s="1"/>
  <c r="AE151" i="6"/>
  <c r="FF64" i="7" s="1"/>
  <c r="AE152" i="6"/>
  <c r="FF65" i="7" s="1"/>
  <c r="AE153" i="6"/>
  <c r="FF66" i="7" s="1"/>
  <c r="AE154" i="6"/>
  <c r="FF67" i="7" s="1"/>
  <c r="AE155" i="6"/>
  <c r="FF68" i="7" s="1"/>
  <c r="AE156" i="6"/>
  <c r="FF69" i="7" s="1"/>
  <c r="AE157" i="6"/>
  <c r="FF70" i="7" s="1"/>
  <c r="AE158" i="6"/>
  <c r="FF71" i="7" s="1"/>
  <c r="AC145" i="6"/>
  <c r="AC146" i="6"/>
  <c r="AC147" i="6"/>
  <c r="AC148" i="6"/>
  <c r="AC149" i="6"/>
  <c r="FE62" i="7" s="1"/>
  <c r="AC150" i="6"/>
  <c r="FE63" i="7" s="1"/>
  <c r="AC151" i="6"/>
  <c r="FE64" i="7" s="1"/>
  <c r="AC152" i="6"/>
  <c r="FE65" i="7" s="1"/>
  <c r="AC153" i="6"/>
  <c r="FE66" i="7" s="1"/>
  <c r="AC154" i="6"/>
  <c r="FE67" i="7" s="1"/>
  <c r="AC155" i="6"/>
  <c r="FE68" i="7" s="1"/>
  <c r="AC156" i="6"/>
  <c r="FE69" i="7" s="1"/>
  <c r="AC157" i="6"/>
  <c r="FE70" i="7" s="1"/>
  <c r="AC158" i="6"/>
  <c r="FE71" i="7" s="1"/>
  <c r="AA145" i="6"/>
  <c r="AA146" i="6"/>
  <c r="AA147" i="6"/>
  <c r="AA148" i="6"/>
  <c r="AA149" i="6"/>
  <c r="FD62" i="7" s="1"/>
  <c r="AA150" i="6"/>
  <c r="FD63" i="7" s="1"/>
  <c r="AA151" i="6"/>
  <c r="FD64" i="7" s="1"/>
  <c r="AA152" i="6"/>
  <c r="FD65" i="7" s="1"/>
  <c r="AA153" i="6"/>
  <c r="FD66" i="7" s="1"/>
  <c r="AA154" i="6"/>
  <c r="FD67" i="7" s="1"/>
  <c r="AA155" i="6"/>
  <c r="FD68" i="7" s="1"/>
  <c r="AA156" i="6"/>
  <c r="FD69" i="7" s="1"/>
  <c r="AA157" i="6"/>
  <c r="FD70" i="7" s="1"/>
  <c r="AA158" i="6"/>
  <c r="FD71" i="7" s="1"/>
  <c r="Y145" i="6"/>
  <c r="Y146" i="6"/>
  <c r="Y147" i="6"/>
  <c r="Y148" i="6"/>
  <c r="Y149" i="6"/>
  <c r="FC62" i="7" s="1"/>
  <c r="Y150" i="6"/>
  <c r="FC63" i="7" s="1"/>
  <c r="Y151" i="6"/>
  <c r="FC64" i="7" s="1"/>
  <c r="Y152" i="6"/>
  <c r="FC65" i="7" s="1"/>
  <c r="Y153" i="6"/>
  <c r="FC66" i="7" s="1"/>
  <c r="Y154" i="6"/>
  <c r="FC67" i="7" s="1"/>
  <c r="Y155" i="6"/>
  <c r="FC68" i="7" s="1"/>
  <c r="Y156" i="6"/>
  <c r="FC69" i="7" s="1"/>
  <c r="Y157" i="6"/>
  <c r="FC70" i="7" s="1"/>
  <c r="Y158" i="6"/>
  <c r="FC71" i="7" s="1"/>
  <c r="W145" i="6"/>
  <c r="W146" i="6"/>
  <c r="W147" i="6"/>
  <c r="W148" i="6"/>
  <c r="W149" i="6"/>
  <c r="FB62" i="7" s="1"/>
  <c r="W150" i="6"/>
  <c r="FB63" i="7" s="1"/>
  <c r="W151" i="6"/>
  <c r="FB64" i="7" s="1"/>
  <c r="W152" i="6"/>
  <c r="FB65" i="7" s="1"/>
  <c r="W153" i="6"/>
  <c r="FB66" i="7" s="1"/>
  <c r="W154" i="6"/>
  <c r="FB67" i="7" s="1"/>
  <c r="W155" i="6"/>
  <c r="FB68" i="7" s="1"/>
  <c r="W156" i="6"/>
  <c r="FB69" i="7" s="1"/>
  <c r="W157" i="6"/>
  <c r="FB70" i="7" s="1"/>
  <c r="W158" i="6"/>
  <c r="FB71" i="7" s="1"/>
  <c r="U145" i="6"/>
  <c r="U146" i="6"/>
  <c r="U147" i="6"/>
  <c r="U148" i="6"/>
  <c r="U149" i="6"/>
  <c r="FA62" i="7" s="1"/>
  <c r="U150" i="6"/>
  <c r="FA63" i="7" s="1"/>
  <c r="U151" i="6"/>
  <c r="FA64" i="7" s="1"/>
  <c r="U152" i="6"/>
  <c r="FA65" i="7" s="1"/>
  <c r="U153" i="6"/>
  <c r="FA66" i="7" s="1"/>
  <c r="U154" i="6"/>
  <c r="FA67" i="7" s="1"/>
  <c r="U155" i="6"/>
  <c r="FA68" i="7" s="1"/>
  <c r="U156" i="6"/>
  <c r="FA69" i="7" s="1"/>
  <c r="U157" i="6"/>
  <c r="FA70" i="7" s="1"/>
  <c r="U158" i="6"/>
  <c r="FA71" i="7" s="1"/>
  <c r="S145" i="6"/>
  <c r="S146" i="6"/>
  <c r="S147" i="6"/>
  <c r="S148" i="6"/>
  <c r="S149" i="6"/>
  <c r="EZ62" i="7" s="1"/>
  <c r="S150" i="6"/>
  <c r="EZ63" i="7" s="1"/>
  <c r="S151" i="6"/>
  <c r="EZ64" i="7" s="1"/>
  <c r="S152" i="6"/>
  <c r="EZ65" i="7" s="1"/>
  <c r="S153" i="6"/>
  <c r="EZ66" i="7" s="1"/>
  <c r="S154" i="6"/>
  <c r="EZ67" i="7" s="1"/>
  <c r="S155" i="6"/>
  <c r="EZ68" i="7" s="1"/>
  <c r="S156" i="6"/>
  <c r="EZ69" i="7" s="1"/>
  <c r="S157" i="6"/>
  <c r="EZ70" i="7" s="1"/>
  <c r="S158" i="6"/>
  <c r="EZ71" i="7" s="1"/>
  <c r="Q145" i="6"/>
  <c r="Q146" i="6"/>
  <c r="Q147" i="6"/>
  <c r="Q148" i="6"/>
  <c r="Q149" i="6"/>
  <c r="EY62" i="7" s="1"/>
  <c r="Q150" i="6"/>
  <c r="EY63" i="7" s="1"/>
  <c r="Q151" i="6"/>
  <c r="EY64" i="7" s="1"/>
  <c r="Q152" i="6"/>
  <c r="EY65" i="7" s="1"/>
  <c r="Q153" i="6"/>
  <c r="EY66" i="7" s="1"/>
  <c r="Q154" i="6"/>
  <c r="EY67" i="7" s="1"/>
  <c r="Q155" i="6"/>
  <c r="EY68" i="7" s="1"/>
  <c r="Q156" i="6"/>
  <c r="EY69" i="7" s="1"/>
  <c r="Q157" i="6"/>
  <c r="EY70" i="7" s="1"/>
  <c r="Q158" i="6"/>
  <c r="EY71" i="7" s="1"/>
  <c r="AC119" i="7"/>
  <c r="O144" i="6"/>
  <c r="M144" i="6"/>
  <c r="K144" i="6"/>
  <c r="I144" i="6"/>
  <c r="G144" i="6"/>
  <c r="O143" i="6"/>
  <c r="M143" i="6"/>
  <c r="K143" i="6"/>
  <c r="I143" i="6"/>
  <c r="G143" i="6"/>
  <c r="O142" i="6"/>
  <c r="M142" i="6"/>
  <c r="K142" i="6"/>
  <c r="I142" i="6"/>
  <c r="G142" i="6"/>
  <c r="O141" i="6"/>
  <c r="M141" i="6"/>
  <c r="K141" i="6"/>
  <c r="I141" i="6"/>
  <c r="G141" i="6"/>
  <c r="O140" i="6"/>
  <c r="M140" i="6"/>
  <c r="K140" i="6"/>
  <c r="I140" i="6"/>
  <c r="G140" i="6"/>
  <c r="O139" i="6"/>
  <c r="M139" i="6"/>
  <c r="K139" i="6"/>
  <c r="I139" i="6"/>
  <c r="G139" i="6"/>
  <c r="O138" i="6"/>
  <c r="M138" i="6"/>
  <c r="K138" i="6"/>
  <c r="I138" i="6"/>
  <c r="G138" i="6"/>
  <c r="O137" i="6"/>
  <c r="M137" i="6"/>
  <c r="K137" i="6"/>
  <c r="I137" i="6"/>
  <c r="G137" i="6"/>
  <c r="O136" i="6"/>
  <c r="EX49" i="7" s="1"/>
  <c r="M136" i="6"/>
  <c r="EW49" i="7" s="1"/>
  <c r="K136" i="6"/>
  <c r="EV49" i="7" s="1"/>
  <c r="I136" i="6"/>
  <c r="EU49" i="7" s="1"/>
  <c r="G136" i="6"/>
  <c r="ET49" i="7" s="1"/>
  <c r="O135" i="6"/>
  <c r="M135" i="6"/>
  <c r="K135" i="6"/>
  <c r="I135" i="6"/>
  <c r="G135" i="6"/>
  <c r="O134" i="6"/>
  <c r="M134" i="6"/>
  <c r="K134" i="6"/>
  <c r="I134" i="6"/>
  <c r="G134" i="6"/>
  <c r="O133" i="6"/>
  <c r="M133" i="6"/>
  <c r="K133" i="6"/>
  <c r="I133" i="6"/>
  <c r="G133" i="6"/>
  <c r="O132" i="6"/>
  <c r="M132" i="6"/>
  <c r="K132" i="6"/>
  <c r="I132" i="6"/>
  <c r="G132" i="6"/>
  <c r="O131" i="6"/>
  <c r="M131" i="6"/>
  <c r="K131" i="6"/>
  <c r="I131" i="6"/>
  <c r="G131" i="6"/>
  <c r="O130" i="6"/>
  <c r="M130" i="6"/>
  <c r="K130" i="6"/>
  <c r="I130" i="6"/>
  <c r="G130" i="6"/>
  <c r="O129" i="6"/>
  <c r="M129" i="6"/>
  <c r="K129" i="6"/>
  <c r="I129" i="6"/>
  <c r="G129" i="6"/>
  <c r="O128" i="6"/>
  <c r="M128" i="6"/>
  <c r="K128" i="6"/>
  <c r="I128" i="6"/>
  <c r="G128" i="6"/>
  <c r="O127" i="6"/>
  <c r="M127" i="6"/>
  <c r="K127" i="6"/>
  <c r="I127" i="6"/>
  <c r="G127" i="6"/>
  <c r="O126" i="6"/>
  <c r="M126" i="6"/>
  <c r="K126" i="6"/>
  <c r="I126" i="6"/>
  <c r="G126" i="6"/>
  <c r="O125" i="6"/>
  <c r="M125" i="6"/>
  <c r="K125" i="6"/>
  <c r="I125" i="6"/>
  <c r="G125" i="6"/>
  <c r="O124" i="6"/>
  <c r="M124" i="6"/>
  <c r="K124" i="6"/>
  <c r="I124" i="6"/>
  <c r="G124" i="6"/>
  <c r="O123" i="6"/>
  <c r="M123" i="6"/>
  <c r="K123" i="6"/>
  <c r="I123" i="6"/>
  <c r="G123" i="6"/>
  <c r="O122" i="6"/>
  <c r="M122" i="6"/>
  <c r="K122" i="6"/>
  <c r="I122" i="6"/>
  <c r="G122" i="6"/>
  <c r="O121" i="6"/>
  <c r="M121" i="6"/>
  <c r="K121" i="6"/>
  <c r="I121" i="6"/>
  <c r="G121" i="6"/>
  <c r="O120" i="6"/>
  <c r="M120" i="6"/>
  <c r="K120" i="6"/>
  <c r="I120" i="6"/>
  <c r="G120" i="6"/>
  <c r="O119" i="6"/>
  <c r="M119" i="6"/>
  <c r="K119" i="6"/>
  <c r="I119" i="6"/>
  <c r="G119" i="6"/>
  <c r="O118" i="6"/>
  <c r="M118" i="6"/>
  <c r="K118" i="6"/>
  <c r="I118" i="6"/>
  <c r="G118" i="6"/>
  <c r="O117" i="6"/>
  <c r="M117" i="6"/>
  <c r="K117" i="6"/>
  <c r="I117" i="6"/>
  <c r="G117" i="6"/>
  <c r="O116" i="6"/>
  <c r="M116" i="6"/>
  <c r="K116" i="6"/>
  <c r="I116" i="6"/>
  <c r="G116" i="6"/>
  <c r="O115" i="6"/>
  <c r="M115" i="6"/>
  <c r="K115" i="6"/>
  <c r="I115" i="6"/>
  <c r="G115" i="6"/>
  <c r="O114" i="6"/>
  <c r="M114" i="6"/>
  <c r="K114" i="6"/>
  <c r="I114" i="6"/>
  <c r="G114" i="6"/>
  <c r="O113" i="6"/>
  <c r="M113" i="6"/>
  <c r="K113" i="6"/>
  <c r="I113" i="6"/>
  <c r="G113" i="6"/>
  <c r="O112" i="6"/>
  <c r="M112" i="6"/>
  <c r="K112" i="6"/>
  <c r="I112" i="6"/>
  <c r="G112" i="6"/>
  <c r="O111" i="6"/>
  <c r="M111" i="6"/>
  <c r="K111" i="6"/>
  <c r="I111" i="6"/>
  <c r="G111" i="6"/>
  <c r="O110" i="6"/>
  <c r="M110" i="6"/>
  <c r="K110" i="6"/>
  <c r="I110" i="6"/>
  <c r="G110" i="6"/>
  <c r="O109" i="6"/>
  <c r="M109" i="6"/>
  <c r="K109" i="6"/>
  <c r="I109" i="6"/>
  <c r="G109" i="6"/>
  <c r="O108" i="6"/>
  <c r="M108" i="6"/>
  <c r="K108" i="6"/>
  <c r="I108" i="6"/>
  <c r="G108" i="6"/>
  <c r="O107" i="6"/>
  <c r="M107" i="6"/>
  <c r="K107" i="6"/>
  <c r="I107" i="6"/>
  <c r="G107" i="6"/>
  <c r="O106" i="6"/>
  <c r="M106" i="6"/>
  <c r="K106" i="6"/>
  <c r="I106" i="6"/>
  <c r="G106" i="6"/>
  <c r="O105" i="6"/>
  <c r="M105" i="6"/>
  <c r="K105" i="6"/>
  <c r="I105" i="6"/>
  <c r="G105" i="6"/>
  <c r="O104" i="6"/>
  <c r="M104" i="6"/>
  <c r="K104" i="6"/>
  <c r="I104" i="6"/>
  <c r="G104" i="6"/>
  <c r="O103" i="6"/>
  <c r="M103" i="6"/>
  <c r="K103" i="6"/>
  <c r="I103" i="6"/>
  <c r="G103" i="6"/>
  <c r="O102" i="6"/>
  <c r="M102" i="6"/>
  <c r="K102" i="6"/>
  <c r="I102" i="6"/>
  <c r="G102" i="6"/>
  <c r="O101" i="6"/>
  <c r="M101" i="6"/>
  <c r="K101" i="6"/>
  <c r="I101" i="6"/>
  <c r="G101" i="6"/>
  <c r="O100" i="6"/>
  <c r="M100" i="6"/>
  <c r="K100" i="6"/>
  <c r="I100" i="6"/>
  <c r="G100" i="6"/>
  <c r="O99" i="6"/>
  <c r="M99" i="6"/>
  <c r="K99" i="6"/>
  <c r="I99" i="6"/>
  <c r="G99" i="6"/>
  <c r="O98" i="6"/>
  <c r="M98" i="6"/>
  <c r="K98" i="6"/>
  <c r="I98" i="6"/>
  <c r="G98" i="6"/>
  <c r="O97" i="6"/>
  <c r="M97" i="6"/>
  <c r="K97" i="6"/>
  <c r="I97" i="6"/>
  <c r="G97" i="6"/>
  <c r="O96" i="6"/>
  <c r="M96" i="6"/>
  <c r="K96" i="6"/>
  <c r="I96" i="6"/>
  <c r="G96" i="6"/>
  <c r="O95" i="6"/>
  <c r="M95" i="6"/>
  <c r="K95" i="6"/>
  <c r="I95" i="6"/>
  <c r="G95" i="6"/>
  <c r="O94" i="6"/>
  <c r="M94" i="6"/>
  <c r="K94" i="6"/>
  <c r="I94" i="6"/>
  <c r="G94" i="6"/>
  <c r="O145" i="6"/>
  <c r="O146" i="6"/>
  <c r="O147" i="6"/>
  <c r="O148" i="6"/>
  <c r="O149" i="6"/>
  <c r="EX62" i="7" s="1"/>
  <c r="O150" i="6"/>
  <c r="EX63" i="7" s="1"/>
  <c r="O151" i="6"/>
  <c r="EX64" i="7" s="1"/>
  <c r="O152" i="6"/>
  <c r="EX65" i="7" s="1"/>
  <c r="O153" i="6"/>
  <c r="EX66" i="7" s="1"/>
  <c r="O154" i="6"/>
  <c r="EX67" i="7" s="1"/>
  <c r="O155" i="6"/>
  <c r="EX68" i="7" s="1"/>
  <c r="O156" i="6"/>
  <c r="EX69" i="7" s="1"/>
  <c r="O157" i="6"/>
  <c r="EX70" i="7" s="1"/>
  <c r="O158" i="6"/>
  <c r="EX71" i="7" s="1"/>
  <c r="M145" i="6"/>
  <c r="M146" i="6"/>
  <c r="M147" i="6"/>
  <c r="M148" i="6"/>
  <c r="M149" i="6"/>
  <c r="EW62" i="7" s="1"/>
  <c r="M150" i="6"/>
  <c r="EW63" i="7" s="1"/>
  <c r="M151" i="6"/>
  <c r="EW64" i="7" s="1"/>
  <c r="M152" i="6"/>
  <c r="EW65" i="7" s="1"/>
  <c r="M153" i="6"/>
  <c r="EW66" i="7" s="1"/>
  <c r="M154" i="6"/>
  <c r="EW67" i="7" s="1"/>
  <c r="M155" i="6"/>
  <c r="EW68" i="7" s="1"/>
  <c r="M156" i="6"/>
  <c r="EW69" i="7" s="1"/>
  <c r="M157" i="6"/>
  <c r="EW70" i="7" s="1"/>
  <c r="M158" i="6"/>
  <c r="EW71" i="7" s="1"/>
  <c r="K145" i="6"/>
  <c r="K146" i="6"/>
  <c r="K147" i="6"/>
  <c r="K148" i="6"/>
  <c r="K149" i="6"/>
  <c r="EV62" i="7" s="1"/>
  <c r="K150" i="6"/>
  <c r="EV63" i="7" s="1"/>
  <c r="K151" i="6"/>
  <c r="EV64" i="7" s="1"/>
  <c r="K152" i="6"/>
  <c r="EV65" i="7" s="1"/>
  <c r="K153" i="6"/>
  <c r="EV66" i="7" s="1"/>
  <c r="K154" i="6"/>
  <c r="EV67" i="7" s="1"/>
  <c r="K155" i="6"/>
  <c r="EV68" i="7" s="1"/>
  <c r="K156" i="6"/>
  <c r="EV69" i="7" s="1"/>
  <c r="K157" i="6"/>
  <c r="EV70" i="7" s="1"/>
  <c r="K158" i="6"/>
  <c r="EV71" i="7" s="1"/>
  <c r="I158" i="6"/>
  <c r="EU71" i="7" s="1"/>
  <c r="I157" i="6"/>
  <c r="EU70" i="7" s="1"/>
  <c r="I156" i="6"/>
  <c r="EU69" i="7" s="1"/>
  <c r="I155" i="6"/>
  <c r="EU68" i="7" s="1"/>
  <c r="I154" i="6"/>
  <c r="EU67" i="7" s="1"/>
  <c r="I153" i="6"/>
  <c r="EU66" i="7" s="1"/>
  <c r="I152" i="6"/>
  <c r="EU65" i="7" s="1"/>
  <c r="I151" i="6"/>
  <c r="EU64" i="7" s="1"/>
  <c r="I150" i="6"/>
  <c r="EU63" i="7" s="1"/>
  <c r="I149" i="6"/>
  <c r="EU62" i="7" s="1"/>
  <c r="I148" i="6"/>
  <c r="I147" i="6"/>
  <c r="I146" i="6"/>
  <c r="I145" i="6"/>
  <c r="G158" i="6"/>
  <c r="ET71" i="7" s="1"/>
  <c r="G157" i="6"/>
  <c r="ET70" i="7" s="1"/>
  <c r="G156" i="6"/>
  <c r="ET69" i="7" s="1"/>
  <c r="G155" i="6"/>
  <c r="ET68" i="7" s="1"/>
  <c r="G154" i="6"/>
  <c r="ET67" i="7" s="1"/>
  <c r="G153" i="6"/>
  <c r="ET66" i="7" s="1"/>
  <c r="G152" i="6"/>
  <c r="ET65" i="7" s="1"/>
  <c r="G151" i="6"/>
  <c r="ET64" i="7" s="1"/>
  <c r="G150" i="6"/>
  <c r="ET63" i="7" s="1"/>
  <c r="G149" i="6"/>
  <c r="ET62" i="7" s="1"/>
  <c r="G148" i="6"/>
  <c r="G147" i="6"/>
  <c r="G146" i="6"/>
  <c r="G145" i="6"/>
  <c r="E158" i="6"/>
  <c r="ES71" i="7" s="1"/>
  <c r="E157" i="6"/>
  <c r="ES70" i="7" s="1"/>
  <c r="E156" i="6"/>
  <c r="ES69" i="7" s="1"/>
  <c r="E155" i="6"/>
  <c r="ES68" i="7" s="1"/>
  <c r="E154" i="6"/>
  <c r="ES67" i="7" s="1"/>
  <c r="E153" i="6"/>
  <c r="ES66" i="7" s="1"/>
  <c r="E152" i="6"/>
  <c r="ES65" i="7" s="1"/>
  <c r="E151" i="6"/>
  <c r="ES64" i="7" s="1"/>
  <c r="E150" i="6"/>
  <c r="ES63" i="7" s="1"/>
  <c r="E149" i="6"/>
  <c r="ES62" i="7" s="1"/>
  <c r="E148" i="6"/>
  <c r="E147" i="6"/>
  <c r="E146" i="6"/>
  <c r="E145" i="6"/>
  <c r="C158" i="6"/>
  <c r="ER71" i="7" s="1"/>
  <c r="C157" i="6"/>
  <c r="ER70" i="7" s="1"/>
  <c r="C156" i="6"/>
  <c r="ER69" i="7" s="1"/>
  <c r="C155" i="6"/>
  <c r="ER68" i="7" s="1"/>
  <c r="C154" i="6"/>
  <c r="ER67" i="7" s="1"/>
  <c r="C153" i="6"/>
  <c r="ER66" i="7" s="1"/>
  <c r="C152" i="6"/>
  <c r="ER65" i="7" s="1"/>
  <c r="C151" i="6"/>
  <c r="ER64" i="7" s="1"/>
  <c r="C150" i="6"/>
  <c r="ER63" i="7" s="1"/>
  <c r="C149" i="6"/>
  <c r="ER62" i="7" s="1"/>
  <c r="C148" i="6"/>
  <c r="C147" i="6"/>
  <c r="C146" i="6"/>
  <c r="C145" i="6"/>
  <c r="I70" i="6"/>
  <c r="EE71" i="7" s="1"/>
  <c r="I69" i="6"/>
  <c r="EE70" i="7" s="1"/>
  <c r="I68" i="6"/>
  <c r="EE69" i="7" s="1"/>
  <c r="I67" i="6"/>
  <c r="EE68" i="7" s="1"/>
  <c r="I66" i="6"/>
  <c r="EE67" i="7" s="1"/>
  <c r="I65" i="6"/>
  <c r="EE66" i="7" s="1"/>
  <c r="I64" i="6"/>
  <c r="EE65" i="7" s="1"/>
  <c r="I63" i="6"/>
  <c r="EE64" i="7" s="1"/>
  <c r="I62" i="6"/>
  <c r="EE63" i="7" s="1"/>
  <c r="I61" i="6"/>
  <c r="EE62" i="7" s="1"/>
  <c r="I60" i="6"/>
  <c r="G70" i="6"/>
  <c r="ED71" i="7" s="1"/>
  <c r="G69" i="6"/>
  <c r="ED70" i="7" s="1"/>
  <c r="G68" i="6"/>
  <c r="ED69" i="7" s="1"/>
  <c r="G67" i="6"/>
  <c r="ED68" i="7" s="1"/>
  <c r="G66" i="6"/>
  <c r="ED67" i="7" s="1"/>
  <c r="G65" i="6"/>
  <c r="ED66" i="7" s="1"/>
  <c r="G64" i="6"/>
  <c r="ED65" i="7" s="1"/>
  <c r="G63" i="6"/>
  <c r="ED64" i="7" s="1"/>
  <c r="G62" i="6"/>
  <c r="ED63" i="7" s="1"/>
  <c r="G61" i="6"/>
  <c r="ED62" i="7" s="1"/>
  <c r="G60" i="6"/>
  <c r="G59" i="6"/>
  <c r="E70" i="6"/>
  <c r="EC71" i="7" s="1"/>
  <c r="E69" i="6"/>
  <c r="EC70" i="7" s="1"/>
  <c r="E68" i="6"/>
  <c r="EC69" i="7" s="1"/>
  <c r="E67" i="6"/>
  <c r="EC68" i="7" s="1"/>
  <c r="E66" i="6"/>
  <c r="EC67" i="7" s="1"/>
  <c r="E65" i="6"/>
  <c r="EC66" i="7" s="1"/>
  <c r="E64" i="6"/>
  <c r="EC65" i="7" s="1"/>
  <c r="E63" i="6"/>
  <c r="EC64" i="7" s="1"/>
  <c r="E62" i="6"/>
  <c r="EC63" i="7" s="1"/>
  <c r="E61" i="6"/>
  <c r="EC62" i="7" s="1"/>
  <c r="E60" i="6"/>
  <c r="EB71" i="7"/>
  <c r="C69" i="6"/>
  <c r="EB70" i="7" s="1"/>
  <c r="C68" i="6"/>
  <c r="EB69" i="7" s="1"/>
  <c r="C67" i="6"/>
  <c r="EB68" i="7" s="1"/>
  <c r="C66" i="6"/>
  <c r="EB67" i="7" s="1"/>
  <c r="C65" i="6"/>
  <c r="EB66" i="7" s="1"/>
  <c r="C64" i="6"/>
  <c r="EB65" i="7" s="1"/>
  <c r="C63" i="6"/>
  <c r="EB64" i="7" s="1"/>
  <c r="C62" i="6"/>
  <c r="EB63" i="7" s="1"/>
  <c r="C61" i="6"/>
  <c r="EB62" i="7" s="1"/>
  <c r="C60" i="6"/>
  <c r="SP219" i="1" l="1"/>
  <c r="SP220" i="1"/>
  <c r="SP221" i="1"/>
  <c r="SP222" i="1"/>
  <c r="SP223" i="1"/>
  <c r="SP224" i="1"/>
  <c r="SP225" i="1"/>
  <c r="SP226" i="1"/>
  <c r="SP227" i="1"/>
  <c r="SP228" i="1"/>
  <c r="SP229" i="1"/>
  <c r="SP230" i="1"/>
  <c r="SP231" i="1"/>
  <c r="SP232" i="1"/>
  <c r="SP233" i="1"/>
  <c r="SP234" i="1"/>
  <c r="SP235" i="1"/>
  <c r="SP236" i="1"/>
  <c r="SP237" i="1"/>
  <c r="SP238" i="1"/>
  <c r="SP239" i="1"/>
  <c r="SP240" i="1"/>
  <c r="SP241" i="1"/>
  <c r="SP242" i="1"/>
  <c r="SP243" i="1"/>
  <c r="SP244" i="1"/>
  <c r="SP245" i="1"/>
  <c r="SP246" i="1"/>
  <c r="SP247" i="1"/>
  <c r="SP248" i="1"/>
  <c r="SP184" i="1"/>
  <c r="SP185" i="1"/>
  <c r="SP186" i="1"/>
  <c r="SP187" i="1"/>
  <c r="SP188" i="1"/>
  <c r="SP189" i="1"/>
  <c r="SP190" i="1"/>
  <c r="SP191" i="1"/>
  <c r="SP192" i="1"/>
  <c r="SP193" i="1"/>
  <c r="SP194" i="1"/>
  <c r="SP195" i="1"/>
  <c r="SP196" i="1"/>
  <c r="SP197" i="1"/>
  <c r="SP198" i="1"/>
  <c r="SP199" i="1"/>
  <c r="SP200" i="1"/>
  <c r="SP201" i="1"/>
  <c r="SP202" i="1"/>
  <c r="SP203" i="1"/>
  <c r="SP204" i="1"/>
  <c r="SP205" i="1"/>
  <c r="SP206" i="1"/>
  <c r="SP207" i="1"/>
  <c r="SP208" i="1"/>
  <c r="SP209" i="1"/>
  <c r="SP210" i="1"/>
  <c r="SP211" i="1"/>
  <c r="SP212" i="1"/>
  <c r="SP218" i="1"/>
  <c r="SP183" i="1"/>
  <c r="SP148" i="1"/>
  <c r="SP149" i="1"/>
  <c r="SP150" i="1"/>
  <c r="SP151" i="1"/>
  <c r="SP152" i="1"/>
  <c r="SP153" i="1"/>
  <c r="SP155" i="1"/>
  <c r="SP156" i="1"/>
  <c r="SP157" i="1"/>
  <c r="SP158" i="1"/>
  <c r="SP159" i="1"/>
  <c r="SP160" i="1"/>
  <c r="SP161" i="1"/>
  <c r="SP162" i="1"/>
  <c r="SP163" i="1"/>
  <c r="SP164" i="1"/>
  <c r="SP165" i="1"/>
  <c r="SP166" i="1"/>
  <c r="SP167" i="1"/>
  <c r="SP168" i="1"/>
  <c r="SP169" i="1"/>
  <c r="SP170" i="1"/>
  <c r="SP171" i="1"/>
  <c r="SP172" i="1"/>
  <c r="SP173" i="1"/>
  <c r="SP174" i="1"/>
  <c r="SP175" i="1"/>
  <c r="SP176" i="1"/>
  <c r="SP177" i="1"/>
  <c r="SP147" i="1"/>
  <c r="SP154" i="1"/>
  <c r="SY219" i="1"/>
  <c r="SY220" i="1"/>
  <c r="SY221" i="1"/>
  <c r="SY222" i="1"/>
  <c r="SY223" i="1"/>
  <c r="SY224" i="1"/>
  <c r="SY225" i="1"/>
  <c r="SY226" i="1"/>
  <c r="SY227" i="1"/>
  <c r="SY228" i="1"/>
  <c r="SY229" i="1"/>
  <c r="SY230" i="1"/>
  <c r="SY231" i="1"/>
  <c r="SY232" i="1"/>
  <c r="SY233" i="1"/>
  <c r="SY234" i="1"/>
  <c r="SY235" i="1"/>
  <c r="SY236" i="1"/>
  <c r="SY237" i="1"/>
  <c r="SY238" i="1"/>
  <c r="SY239" i="1"/>
  <c r="SY240" i="1"/>
  <c r="SY241" i="1"/>
  <c r="SY242" i="1"/>
  <c r="SY243" i="1"/>
  <c r="SY244" i="1"/>
  <c r="SY245" i="1"/>
  <c r="SY246" i="1"/>
  <c r="SY247" i="1"/>
  <c r="SY248" i="1"/>
  <c r="SY218" i="1"/>
  <c r="SY184" i="1"/>
  <c r="SY185" i="1"/>
  <c r="SY186" i="1"/>
  <c r="SY187" i="1"/>
  <c r="SY188" i="1"/>
  <c r="SY189" i="1"/>
  <c r="SY190" i="1"/>
  <c r="SY191" i="1"/>
  <c r="SY192" i="1"/>
  <c r="SY193" i="1"/>
  <c r="SY194" i="1"/>
  <c r="SY195" i="1"/>
  <c r="SY196" i="1"/>
  <c r="SY197" i="1"/>
  <c r="SY198" i="1"/>
  <c r="SY199" i="1"/>
  <c r="SY200" i="1"/>
  <c r="SY201" i="1"/>
  <c r="SY202" i="1"/>
  <c r="SY203" i="1"/>
  <c r="SY204" i="1"/>
  <c r="SY205" i="1"/>
  <c r="SY206" i="1"/>
  <c r="SY207" i="1"/>
  <c r="SY208" i="1"/>
  <c r="SY209" i="1"/>
  <c r="SY210" i="1"/>
  <c r="SY211" i="1"/>
  <c r="SY212" i="1"/>
  <c r="SY183" i="1"/>
  <c r="SY148" i="1"/>
  <c r="SY149" i="1"/>
  <c r="SY150" i="1"/>
  <c r="SY151" i="1"/>
  <c r="SY152" i="1"/>
  <c r="SY153" i="1"/>
  <c r="SY155" i="1"/>
  <c r="SY156" i="1"/>
  <c r="SY157" i="1"/>
  <c r="SY158" i="1"/>
  <c r="SY159" i="1"/>
  <c r="SY160" i="1"/>
  <c r="SY161" i="1"/>
  <c r="SY162" i="1"/>
  <c r="SY163" i="1"/>
  <c r="SY164" i="1"/>
  <c r="SY165" i="1"/>
  <c r="SY166" i="1"/>
  <c r="SY167" i="1"/>
  <c r="SY168" i="1"/>
  <c r="SY169" i="1"/>
  <c r="SY170" i="1"/>
  <c r="SY171" i="1"/>
  <c r="SY172" i="1"/>
  <c r="SY173" i="1"/>
  <c r="SY174" i="1"/>
  <c r="SY175" i="1"/>
  <c r="SY176" i="1"/>
  <c r="SY177" i="1"/>
  <c r="SY147" i="1"/>
  <c r="SY154" i="1"/>
  <c r="TH184" i="1"/>
  <c r="TH185" i="1"/>
  <c r="TH186" i="1"/>
  <c r="TH187" i="1"/>
  <c r="TH188" i="1"/>
  <c r="TH189" i="1"/>
  <c r="TH190" i="1"/>
  <c r="TH191" i="1"/>
  <c r="TH192" i="1"/>
  <c r="TH193" i="1"/>
  <c r="TH194" i="1"/>
  <c r="TH195" i="1"/>
  <c r="TH196" i="1"/>
  <c r="TH197" i="1"/>
  <c r="TH198" i="1"/>
  <c r="TH199" i="1"/>
  <c r="TH200" i="1"/>
  <c r="TH201" i="1"/>
  <c r="TH202" i="1"/>
  <c r="TH203" i="1"/>
  <c r="TH204" i="1"/>
  <c r="TH205" i="1"/>
  <c r="TH206" i="1"/>
  <c r="TH207" i="1"/>
  <c r="TH208" i="1"/>
  <c r="TH209" i="1"/>
  <c r="TH210" i="1"/>
  <c r="TH211" i="1"/>
  <c r="TH212" i="1"/>
  <c r="TH183" i="1"/>
  <c r="TH148" i="1"/>
  <c r="TH149" i="1"/>
  <c r="TH150" i="1"/>
  <c r="TH151" i="1"/>
  <c r="TH152" i="1"/>
  <c r="TH153" i="1"/>
  <c r="TH155" i="1"/>
  <c r="TH156" i="1"/>
  <c r="TH157" i="1"/>
  <c r="TH158" i="1"/>
  <c r="TH159" i="1"/>
  <c r="TH160" i="1"/>
  <c r="TH161" i="1"/>
  <c r="TH162" i="1"/>
  <c r="TH163" i="1"/>
  <c r="TH164" i="1"/>
  <c r="TH165" i="1"/>
  <c r="TH166" i="1"/>
  <c r="TH167" i="1"/>
  <c r="TH168" i="1"/>
  <c r="TH169" i="1"/>
  <c r="TH170" i="1"/>
  <c r="TH171" i="1"/>
  <c r="TH172" i="1"/>
  <c r="TH173" i="1"/>
  <c r="TH174" i="1"/>
  <c r="TH175" i="1"/>
  <c r="TH176" i="1"/>
  <c r="TH177" i="1"/>
  <c r="TH147" i="1"/>
  <c r="TH154" i="1"/>
  <c r="TQ184" i="1"/>
  <c r="TQ185" i="1"/>
  <c r="TQ186" i="1"/>
  <c r="TQ187" i="1"/>
  <c r="TQ188" i="1"/>
  <c r="TQ189" i="1"/>
  <c r="TQ190" i="1"/>
  <c r="TQ191" i="1"/>
  <c r="TQ192" i="1"/>
  <c r="TQ193" i="1"/>
  <c r="TQ194" i="1"/>
  <c r="TQ195" i="1"/>
  <c r="TQ196" i="1"/>
  <c r="TQ197" i="1"/>
  <c r="TQ198" i="1"/>
  <c r="TQ199" i="1"/>
  <c r="TQ200" i="1"/>
  <c r="TQ201" i="1"/>
  <c r="TQ202" i="1"/>
  <c r="TQ203" i="1"/>
  <c r="TQ204" i="1"/>
  <c r="TQ205" i="1"/>
  <c r="TQ206" i="1"/>
  <c r="TQ207" i="1"/>
  <c r="TQ208" i="1"/>
  <c r="TQ209" i="1"/>
  <c r="TQ210" i="1"/>
  <c r="TQ211" i="1"/>
  <c r="TQ212" i="1"/>
  <c r="TQ183" i="1"/>
  <c r="TQ148" i="1"/>
  <c r="TQ149" i="1"/>
  <c r="TQ150" i="1"/>
  <c r="TQ151" i="1"/>
  <c r="TQ152" i="1"/>
  <c r="TQ153" i="1"/>
  <c r="TQ155" i="1"/>
  <c r="TQ156" i="1"/>
  <c r="TQ157" i="1"/>
  <c r="TQ158" i="1"/>
  <c r="TQ159" i="1"/>
  <c r="TQ160" i="1"/>
  <c r="TQ161" i="1"/>
  <c r="TQ162" i="1"/>
  <c r="TQ163" i="1"/>
  <c r="TQ164" i="1"/>
  <c r="TQ165" i="1"/>
  <c r="TQ166" i="1"/>
  <c r="TQ167" i="1"/>
  <c r="TQ168" i="1"/>
  <c r="TQ169" i="1"/>
  <c r="TQ170" i="1"/>
  <c r="TQ171" i="1"/>
  <c r="TQ172" i="1"/>
  <c r="TQ173" i="1"/>
  <c r="TQ174" i="1"/>
  <c r="TQ175" i="1"/>
  <c r="TQ176" i="1"/>
  <c r="TQ177" i="1"/>
  <c r="TQ147" i="1"/>
  <c r="TQ154" i="1"/>
  <c r="TZ184" i="1"/>
  <c r="TZ185" i="1"/>
  <c r="TZ186" i="1"/>
  <c r="TZ187" i="1"/>
  <c r="TZ188" i="1"/>
  <c r="TZ189" i="1"/>
  <c r="TZ190" i="1"/>
  <c r="TZ191" i="1"/>
  <c r="TZ192" i="1"/>
  <c r="TZ193" i="1"/>
  <c r="TZ194" i="1"/>
  <c r="TZ195" i="1"/>
  <c r="TZ196" i="1"/>
  <c r="TZ197" i="1"/>
  <c r="TZ198" i="1"/>
  <c r="TZ199" i="1"/>
  <c r="TZ200" i="1"/>
  <c r="TZ201" i="1"/>
  <c r="TZ202" i="1"/>
  <c r="TZ203" i="1"/>
  <c r="TZ204" i="1"/>
  <c r="TZ205" i="1"/>
  <c r="TZ206" i="1"/>
  <c r="TZ207" i="1"/>
  <c r="TZ208" i="1"/>
  <c r="TZ209" i="1"/>
  <c r="TZ210" i="1"/>
  <c r="TZ211" i="1"/>
  <c r="TZ212" i="1"/>
  <c r="TZ183" i="1"/>
  <c r="TZ148" i="1"/>
  <c r="TZ149" i="1"/>
  <c r="TZ150" i="1"/>
  <c r="TZ151" i="1"/>
  <c r="TZ152" i="1"/>
  <c r="TZ153" i="1"/>
  <c r="TZ155" i="1"/>
  <c r="TZ156" i="1"/>
  <c r="TZ157" i="1"/>
  <c r="TZ158" i="1"/>
  <c r="TZ159" i="1"/>
  <c r="TZ160" i="1"/>
  <c r="TZ161" i="1"/>
  <c r="TZ162" i="1"/>
  <c r="TZ163" i="1"/>
  <c r="TZ164" i="1"/>
  <c r="TZ165" i="1"/>
  <c r="TZ166" i="1"/>
  <c r="TZ167" i="1"/>
  <c r="TZ168" i="1"/>
  <c r="TZ169" i="1"/>
  <c r="TZ170" i="1"/>
  <c r="TZ171" i="1"/>
  <c r="TZ172" i="1"/>
  <c r="TZ173" i="1"/>
  <c r="TZ174" i="1"/>
  <c r="TZ175" i="1"/>
  <c r="TZ176" i="1"/>
  <c r="TZ177" i="1"/>
  <c r="TZ147" i="1"/>
  <c r="TZ154" i="1"/>
  <c r="UI184" i="1"/>
  <c r="UI185" i="1"/>
  <c r="UI186" i="1"/>
  <c r="UI187" i="1"/>
  <c r="UI188" i="1"/>
  <c r="UI189" i="1"/>
  <c r="UI190" i="1"/>
  <c r="UI191" i="1"/>
  <c r="UI192" i="1"/>
  <c r="UI193" i="1"/>
  <c r="UI194" i="1"/>
  <c r="UI195" i="1"/>
  <c r="UI196" i="1"/>
  <c r="UI197" i="1"/>
  <c r="UI198" i="1"/>
  <c r="UI199" i="1"/>
  <c r="UI200" i="1"/>
  <c r="UI201" i="1"/>
  <c r="UI202" i="1"/>
  <c r="UI203" i="1"/>
  <c r="UI204" i="1"/>
  <c r="UI205" i="1"/>
  <c r="UI206" i="1"/>
  <c r="UI207" i="1"/>
  <c r="UI208" i="1"/>
  <c r="UI209" i="1"/>
  <c r="UI210" i="1"/>
  <c r="UI211" i="1"/>
  <c r="UI212" i="1"/>
  <c r="UI183" i="1"/>
  <c r="UI148" i="1"/>
  <c r="UI149" i="1"/>
  <c r="UI150" i="1"/>
  <c r="UI151" i="1"/>
  <c r="UI152" i="1"/>
  <c r="UI153" i="1"/>
  <c r="UI155" i="1"/>
  <c r="UI156" i="1"/>
  <c r="UI157" i="1"/>
  <c r="UI158" i="1"/>
  <c r="UI159" i="1"/>
  <c r="UI160" i="1"/>
  <c r="UI161" i="1"/>
  <c r="UI162" i="1"/>
  <c r="UI163" i="1"/>
  <c r="UI164" i="1"/>
  <c r="UI165" i="1"/>
  <c r="UI166" i="1"/>
  <c r="UI167" i="1"/>
  <c r="UI168" i="1"/>
  <c r="UI169" i="1"/>
  <c r="UI170" i="1"/>
  <c r="UI171" i="1"/>
  <c r="UI172" i="1"/>
  <c r="UI173" i="1"/>
  <c r="UI174" i="1"/>
  <c r="UI175" i="1"/>
  <c r="UI176" i="1"/>
  <c r="UI177" i="1"/>
  <c r="UI147" i="1"/>
  <c r="UI154" i="1"/>
  <c r="UR184" i="1"/>
  <c r="UR185" i="1"/>
  <c r="UR186" i="1"/>
  <c r="UR187" i="1"/>
  <c r="UR188" i="1"/>
  <c r="UR189" i="1"/>
  <c r="UR190" i="1"/>
  <c r="UR191" i="1"/>
  <c r="UR192" i="1"/>
  <c r="UR193" i="1"/>
  <c r="UR194" i="1"/>
  <c r="UR195" i="1"/>
  <c r="UR196" i="1"/>
  <c r="UR197" i="1"/>
  <c r="UR198" i="1"/>
  <c r="UR199" i="1"/>
  <c r="UR200" i="1"/>
  <c r="UR201" i="1"/>
  <c r="UR202" i="1"/>
  <c r="UR203" i="1"/>
  <c r="UR204" i="1"/>
  <c r="UR205" i="1"/>
  <c r="UR206" i="1"/>
  <c r="UR207" i="1"/>
  <c r="UR208" i="1"/>
  <c r="UR209" i="1"/>
  <c r="UR210" i="1"/>
  <c r="UR211" i="1"/>
  <c r="UR212" i="1"/>
  <c r="UR183" i="1"/>
  <c r="UR219" i="1"/>
  <c r="UR220" i="1"/>
  <c r="UR221" i="1"/>
  <c r="UR222" i="1"/>
  <c r="UR223" i="1"/>
  <c r="UR224" i="1"/>
  <c r="UR225" i="1"/>
  <c r="UR226" i="1"/>
  <c r="UR227" i="1"/>
  <c r="UR228" i="1"/>
  <c r="UR229" i="1"/>
  <c r="UR230" i="1"/>
  <c r="UR231" i="1"/>
  <c r="UR232" i="1"/>
  <c r="UR233" i="1"/>
  <c r="UR234" i="1"/>
  <c r="UR235" i="1"/>
  <c r="UR236" i="1"/>
  <c r="UR237" i="1"/>
  <c r="UR238" i="1"/>
  <c r="UR239" i="1"/>
  <c r="UR240" i="1"/>
  <c r="UR241" i="1"/>
  <c r="UR242" i="1"/>
  <c r="UR243" i="1"/>
  <c r="UR244" i="1"/>
  <c r="UR245" i="1"/>
  <c r="UR246" i="1"/>
  <c r="UR247" i="1"/>
  <c r="UR248" i="1"/>
  <c r="UR218" i="1"/>
  <c r="UR148" i="1"/>
  <c r="UR149" i="1"/>
  <c r="UR150" i="1"/>
  <c r="UR151" i="1"/>
  <c r="UR152" i="1"/>
  <c r="UR153" i="1"/>
  <c r="UR155" i="1"/>
  <c r="UR156" i="1"/>
  <c r="UR157" i="1"/>
  <c r="UR158" i="1"/>
  <c r="UR159" i="1"/>
  <c r="UR160" i="1"/>
  <c r="UR161" i="1"/>
  <c r="UR162" i="1"/>
  <c r="UR163" i="1"/>
  <c r="UR164" i="1"/>
  <c r="UR165" i="1"/>
  <c r="UR166" i="1"/>
  <c r="UR167" i="1"/>
  <c r="UR168" i="1"/>
  <c r="UR169" i="1"/>
  <c r="UR170" i="1"/>
  <c r="UR171" i="1"/>
  <c r="UR172" i="1"/>
  <c r="UR173" i="1"/>
  <c r="UR174" i="1"/>
  <c r="UR175" i="1"/>
  <c r="UR176" i="1"/>
  <c r="UR177" i="1"/>
  <c r="UR147" i="1"/>
  <c r="UR154" i="1"/>
  <c r="YY183" i="1"/>
  <c r="YY184" i="1" s="1"/>
  <c r="YY185" i="1" s="1"/>
  <c r="YY186" i="1" s="1"/>
  <c r="YY187" i="1" s="1"/>
  <c r="YY188" i="1" s="1"/>
  <c r="YY189" i="1" s="1"/>
  <c r="YY190" i="1" s="1"/>
  <c r="YY191" i="1" s="1"/>
  <c r="YY192" i="1" s="1"/>
  <c r="YY193" i="1" s="1"/>
  <c r="YY194" i="1" s="1"/>
  <c r="YY195" i="1" s="1"/>
  <c r="YY196" i="1" s="1"/>
  <c r="YY197" i="1" s="1"/>
  <c r="YY198" i="1" s="1"/>
  <c r="YY199" i="1" s="1"/>
  <c r="YY200" i="1" s="1"/>
  <c r="YY201" i="1" s="1"/>
  <c r="YY202" i="1" s="1"/>
  <c r="YY203" i="1" s="1"/>
  <c r="YY204" i="1" s="1"/>
  <c r="YY205" i="1" s="1"/>
  <c r="YY206" i="1" s="1"/>
  <c r="YY207" i="1" s="1"/>
  <c r="YY208" i="1" s="1"/>
  <c r="YY209" i="1" s="1"/>
  <c r="YY210" i="1" s="1"/>
  <c r="YY211" i="1" s="1"/>
  <c r="YY212" i="1" s="1"/>
  <c r="YY213" i="1" s="1"/>
  <c r="BX39" i="5"/>
  <c r="VD146" i="1"/>
  <c r="BM29" i="5"/>
  <c r="ZH183" i="1"/>
  <c r="ZH184" i="1" s="1"/>
  <c r="ZH185" i="1" s="1"/>
  <c r="ZH186" i="1" s="1"/>
  <c r="ZH187" i="1" s="1"/>
  <c r="ZH188" i="1" s="1"/>
  <c r="ZH189" i="1" s="1"/>
  <c r="ZH190" i="1" s="1"/>
  <c r="ZH191" i="1" s="1"/>
  <c r="ZH192" i="1" s="1"/>
  <c r="ZH193" i="1" s="1"/>
  <c r="ZH194" i="1" s="1"/>
  <c r="ZH195" i="1" s="1"/>
  <c r="ZH196" i="1" s="1"/>
  <c r="ZH197" i="1" s="1"/>
  <c r="ZH198" i="1" s="1"/>
  <c r="ZH199" i="1" s="1"/>
  <c r="ZH200" i="1" s="1"/>
  <c r="ZH201" i="1" s="1"/>
  <c r="ZH202" i="1" s="1"/>
  <c r="ZH203" i="1" s="1"/>
  <c r="ZH204" i="1" s="1"/>
  <c r="ZH205" i="1" s="1"/>
  <c r="ZH206" i="1" s="1"/>
  <c r="ZH207" i="1" s="1"/>
  <c r="ZH208" i="1" s="1"/>
  <c r="ZH209" i="1" s="1"/>
  <c r="ZH210" i="1" s="1"/>
  <c r="ZH211" i="1" s="1"/>
  <c r="ZH212" i="1" s="1"/>
  <c r="ZH213" i="1" s="1"/>
  <c r="BY39" i="5"/>
  <c r="UL146" i="1"/>
  <c r="BK29" i="5"/>
  <c r="ZQ182" i="1"/>
  <c r="BZ36" i="5"/>
  <c r="VV146" i="1"/>
  <c r="BO29" i="5"/>
  <c r="WE146" i="1"/>
  <c r="BP29" i="5"/>
  <c r="UC146" i="1"/>
  <c r="BJ29" i="5"/>
  <c r="TT146" i="1"/>
  <c r="BI29" i="5"/>
  <c r="UU146" i="1"/>
  <c r="BL29" i="5"/>
  <c r="VM146" i="1"/>
  <c r="BN29" i="5"/>
  <c r="YP182" i="1"/>
  <c r="BW36" i="5"/>
  <c r="YG182" i="1"/>
  <c r="BV36" i="5"/>
  <c r="XX182" i="1"/>
  <c r="BU36" i="5"/>
  <c r="XF146" i="1"/>
  <c r="BS29" i="5"/>
  <c r="WW146" i="1"/>
  <c r="BR29" i="5"/>
  <c r="WN146" i="1"/>
  <c r="BQ29" i="5"/>
  <c r="XO182" i="1"/>
  <c r="BT36" i="5"/>
  <c r="E264" i="6"/>
  <c r="O264" i="6"/>
  <c r="M264" i="6"/>
  <c r="K264" i="6"/>
  <c r="I264" i="6"/>
  <c r="G264" i="6"/>
  <c r="M176" i="6"/>
  <c r="O176" i="6"/>
  <c r="K176" i="6"/>
  <c r="I176" i="6"/>
  <c r="G176" i="6"/>
  <c r="A275" i="6"/>
  <c r="G48" i="11"/>
  <c r="VV147" i="1" l="1"/>
  <c r="VV148" i="1" s="1"/>
  <c r="VV149" i="1" s="1"/>
  <c r="VV150" i="1" s="1"/>
  <c r="VV151" i="1" s="1"/>
  <c r="VV152" i="1" s="1"/>
  <c r="VV153" i="1" s="1"/>
  <c r="VV154" i="1" s="1"/>
  <c r="VV155" i="1" s="1"/>
  <c r="VV156" i="1" s="1"/>
  <c r="VV157" i="1" s="1"/>
  <c r="VV158" i="1" s="1"/>
  <c r="VV159" i="1" s="1"/>
  <c r="VV160" i="1" s="1"/>
  <c r="VV161" i="1" s="1"/>
  <c r="VV162" i="1" s="1"/>
  <c r="VV163" i="1" s="1"/>
  <c r="VV164" i="1" s="1"/>
  <c r="VV165" i="1" s="1"/>
  <c r="VV166" i="1" s="1"/>
  <c r="VV167" i="1" s="1"/>
  <c r="VV168" i="1" s="1"/>
  <c r="VV169" i="1" s="1"/>
  <c r="VV170" i="1" s="1"/>
  <c r="VV171" i="1" s="1"/>
  <c r="VV172" i="1" s="1"/>
  <c r="VV173" i="1" s="1"/>
  <c r="VV174" i="1" s="1"/>
  <c r="VV175" i="1" s="1"/>
  <c r="VV176" i="1" s="1"/>
  <c r="VV177" i="1" s="1"/>
  <c r="VV178" i="1" s="1"/>
  <c r="BO32" i="5"/>
  <c r="VM147" i="1"/>
  <c r="VM148" i="1" s="1"/>
  <c r="VM149" i="1" s="1"/>
  <c r="VM150" i="1" s="1"/>
  <c r="VM151" i="1" s="1"/>
  <c r="VM152" i="1" s="1"/>
  <c r="VM153" i="1" s="1"/>
  <c r="VM154" i="1" s="1"/>
  <c r="VM155" i="1" s="1"/>
  <c r="VM156" i="1" s="1"/>
  <c r="VM157" i="1" s="1"/>
  <c r="VM158" i="1" s="1"/>
  <c r="VM159" i="1" s="1"/>
  <c r="VM160" i="1" s="1"/>
  <c r="VM161" i="1" s="1"/>
  <c r="VM162" i="1" s="1"/>
  <c r="VM163" i="1" s="1"/>
  <c r="VM164" i="1" s="1"/>
  <c r="VM165" i="1" s="1"/>
  <c r="VM166" i="1" s="1"/>
  <c r="VM167" i="1" s="1"/>
  <c r="VM168" i="1" s="1"/>
  <c r="VM169" i="1" s="1"/>
  <c r="VM170" i="1" s="1"/>
  <c r="VM171" i="1" s="1"/>
  <c r="VM172" i="1" s="1"/>
  <c r="VM173" i="1" s="1"/>
  <c r="VM174" i="1" s="1"/>
  <c r="VM175" i="1" s="1"/>
  <c r="VM176" i="1" s="1"/>
  <c r="VM177" i="1" s="1"/>
  <c r="VM178" i="1" s="1"/>
  <c r="BN32" i="5"/>
  <c r="ZQ183" i="1"/>
  <c r="ZQ184" i="1" s="1"/>
  <c r="ZQ185" i="1" s="1"/>
  <c r="ZQ186" i="1" s="1"/>
  <c r="ZQ187" i="1" s="1"/>
  <c r="ZQ188" i="1" s="1"/>
  <c r="ZQ189" i="1" s="1"/>
  <c r="ZQ190" i="1" s="1"/>
  <c r="ZQ191" i="1" s="1"/>
  <c r="ZQ192" i="1" s="1"/>
  <c r="ZQ193" i="1" s="1"/>
  <c r="ZQ194" i="1" s="1"/>
  <c r="ZQ195" i="1" s="1"/>
  <c r="ZQ196" i="1" s="1"/>
  <c r="ZQ197" i="1" s="1"/>
  <c r="ZQ198" i="1" s="1"/>
  <c r="ZQ199" i="1" s="1"/>
  <c r="ZQ200" i="1" s="1"/>
  <c r="ZQ201" i="1" s="1"/>
  <c r="ZQ202" i="1" s="1"/>
  <c r="ZQ203" i="1" s="1"/>
  <c r="ZQ204" i="1" s="1"/>
  <c r="ZQ205" i="1" s="1"/>
  <c r="ZQ206" i="1" s="1"/>
  <c r="ZQ207" i="1" s="1"/>
  <c r="ZQ208" i="1" s="1"/>
  <c r="ZQ209" i="1" s="1"/>
  <c r="ZQ210" i="1" s="1"/>
  <c r="ZQ211" i="1" s="1"/>
  <c r="ZQ212" i="1" s="1"/>
  <c r="ZQ213" i="1" s="1"/>
  <c r="BZ39" i="5"/>
  <c r="UU147" i="1"/>
  <c r="UU148" i="1" s="1"/>
  <c r="UU149" i="1" s="1"/>
  <c r="UU150" i="1" s="1"/>
  <c r="UU151" i="1" s="1"/>
  <c r="UU152" i="1" s="1"/>
  <c r="UU153" i="1" s="1"/>
  <c r="UU154" i="1" s="1"/>
  <c r="UU155" i="1" s="1"/>
  <c r="UU156" i="1" s="1"/>
  <c r="UU157" i="1" s="1"/>
  <c r="UU158" i="1" s="1"/>
  <c r="UU159" i="1" s="1"/>
  <c r="UU160" i="1" s="1"/>
  <c r="UU161" i="1" s="1"/>
  <c r="UU162" i="1" s="1"/>
  <c r="UU163" i="1" s="1"/>
  <c r="UU164" i="1" s="1"/>
  <c r="UU165" i="1" s="1"/>
  <c r="UU166" i="1" s="1"/>
  <c r="UU167" i="1" s="1"/>
  <c r="UU168" i="1" s="1"/>
  <c r="UU169" i="1" s="1"/>
  <c r="UU170" i="1" s="1"/>
  <c r="UU171" i="1" s="1"/>
  <c r="UU172" i="1" s="1"/>
  <c r="UU173" i="1" s="1"/>
  <c r="UU174" i="1" s="1"/>
  <c r="UU175" i="1" s="1"/>
  <c r="UU176" i="1" s="1"/>
  <c r="UU177" i="1" s="1"/>
  <c r="UU178" i="1" s="1"/>
  <c r="BL32" i="5"/>
  <c r="UL147" i="1"/>
  <c r="UL148" i="1" s="1"/>
  <c r="UL149" i="1" s="1"/>
  <c r="UL150" i="1" s="1"/>
  <c r="UL151" i="1" s="1"/>
  <c r="UL152" i="1" s="1"/>
  <c r="UL153" i="1" s="1"/>
  <c r="UL154" i="1" s="1"/>
  <c r="UL155" i="1" s="1"/>
  <c r="UL156" i="1" s="1"/>
  <c r="UL157" i="1" s="1"/>
  <c r="UL158" i="1" s="1"/>
  <c r="UL159" i="1" s="1"/>
  <c r="UL160" i="1" s="1"/>
  <c r="UL161" i="1" s="1"/>
  <c r="UL162" i="1" s="1"/>
  <c r="UL163" i="1" s="1"/>
  <c r="UL164" i="1" s="1"/>
  <c r="UL165" i="1" s="1"/>
  <c r="UL166" i="1" s="1"/>
  <c r="UL167" i="1" s="1"/>
  <c r="UL168" i="1" s="1"/>
  <c r="UL169" i="1" s="1"/>
  <c r="UL170" i="1" s="1"/>
  <c r="UL171" i="1" s="1"/>
  <c r="UL172" i="1" s="1"/>
  <c r="UL173" i="1" s="1"/>
  <c r="UL174" i="1" s="1"/>
  <c r="UL175" i="1" s="1"/>
  <c r="UL176" i="1" s="1"/>
  <c r="UL177" i="1" s="1"/>
  <c r="UL178" i="1" s="1"/>
  <c r="BK32" i="5"/>
  <c r="ZH217" i="1"/>
  <c r="BY43" i="5"/>
  <c r="UC147" i="1"/>
  <c r="UC148" i="1" s="1"/>
  <c r="UC149" i="1" s="1"/>
  <c r="UC150" i="1" s="1"/>
  <c r="UC151" i="1" s="1"/>
  <c r="UC152" i="1" s="1"/>
  <c r="UC153" i="1" s="1"/>
  <c r="UC154" i="1" s="1"/>
  <c r="UC155" i="1" s="1"/>
  <c r="UC156" i="1" s="1"/>
  <c r="UC157" i="1" s="1"/>
  <c r="UC158" i="1" s="1"/>
  <c r="UC159" i="1" s="1"/>
  <c r="UC160" i="1" s="1"/>
  <c r="UC161" i="1" s="1"/>
  <c r="UC162" i="1" s="1"/>
  <c r="UC163" i="1" s="1"/>
  <c r="UC164" i="1" s="1"/>
  <c r="UC165" i="1" s="1"/>
  <c r="UC166" i="1" s="1"/>
  <c r="UC167" i="1" s="1"/>
  <c r="UC168" i="1" s="1"/>
  <c r="UC169" i="1" s="1"/>
  <c r="UC170" i="1" s="1"/>
  <c r="UC171" i="1" s="1"/>
  <c r="UC172" i="1" s="1"/>
  <c r="UC173" i="1" s="1"/>
  <c r="UC174" i="1" s="1"/>
  <c r="UC175" i="1" s="1"/>
  <c r="UC176" i="1" s="1"/>
  <c r="UC177" i="1" s="1"/>
  <c r="UC178" i="1" s="1"/>
  <c r="BJ32" i="5"/>
  <c r="VD147" i="1"/>
  <c r="VD148" i="1" s="1"/>
  <c r="VD149" i="1" s="1"/>
  <c r="VD150" i="1" s="1"/>
  <c r="VD151" i="1" s="1"/>
  <c r="VD152" i="1" s="1"/>
  <c r="VD153" i="1" s="1"/>
  <c r="VD154" i="1" s="1"/>
  <c r="VD155" i="1" s="1"/>
  <c r="VD156" i="1" s="1"/>
  <c r="VD157" i="1" s="1"/>
  <c r="VD158" i="1" s="1"/>
  <c r="VD159" i="1" s="1"/>
  <c r="VD160" i="1" s="1"/>
  <c r="VD161" i="1" s="1"/>
  <c r="VD162" i="1" s="1"/>
  <c r="VD163" i="1" s="1"/>
  <c r="VD164" i="1" s="1"/>
  <c r="VD165" i="1" s="1"/>
  <c r="VD166" i="1" s="1"/>
  <c r="VD167" i="1" s="1"/>
  <c r="VD168" i="1" s="1"/>
  <c r="VD169" i="1" s="1"/>
  <c r="VD170" i="1" s="1"/>
  <c r="VD171" i="1" s="1"/>
  <c r="VD172" i="1" s="1"/>
  <c r="VD173" i="1" s="1"/>
  <c r="VD174" i="1" s="1"/>
  <c r="VD175" i="1" s="1"/>
  <c r="VD176" i="1" s="1"/>
  <c r="VD177" i="1" s="1"/>
  <c r="VD178" i="1" s="1"/>
  <c r="BM32" i="5"/>
  <c r="TT147" i="1"/>
  <c r="TT148" i="1" s="1"/>
  <c r="TT149" i="1" s="1"/>
  <c r="TT150" i="1" s="1"/>
  <c r="TT151" i="1" s="1"/>
  <c r="TT152" i="1" s="1"/>
  <c r="TT153" i="1" s="1"/>
  <c r="TT154" i="1" s="1"/>
  <c r="TT155" i="1" s="1"/>
  <c r="TT156" i="1" s="1"/>
  <c r="TT157" i="1" s="1"/>
  <c r="TT158" i="1" s="1"/>
  <c r="TT159" i="1" s="1"/>
  <c r="TT160" i="1" s="1"/>
  <c r="TT161" i="1" s="1"/>
  <c r="TT162" i="1" s="1"/>
  <c r="TT163" i="1" s="1"/>
  <c r="TT164" i="1" s="1"/>
  <c r="TT165" i="1" s="1"/>
  <c r="TT166" i="1" s="1"/>
  <c r="TT167" i="1" s="1"/>
  <c r="TT168" i="1" s="1"/>
  <c r="TT169" i="1" s="1"/>
  <c r="TT170" i="1" s="1"/>
  <c r="TT171" i="1" s="1"/>
  <c r="TT172" i="1" s="1"/>
  <c r="TT173" i="1" s="1"/>
  <c r="TT174" i="1" s="1"/>
  <c r="TT175" i="1" s="1"/>
  <c r="TT176" i="1" s="1"/>
  <c r="TT177" i="1" s="1"/>
  <c r="TT178" i="1" s="1"/>
  <c r="BI32" i="5"/>
  <c r="WE147" i="1"/>
  <c r="WE148" i="1" s="1"/>
  <c r="WE149" i="1" s="1"/>
  <c r="WE150" i="1" s="1"/>
  <c r="WE151" i="1" s="1"/>
  <c r="WE152" i="1" s="1"/>
  <c r="WE153" i="1" s="1"/>
  <c r="WE154" i="1" s="1"/>
  <c r="WE155" i="1" s="1"/>
  <c r="WE156" i="1" s="1"/>
  <c r="WE157" i="1" s="1"/>
  <c r="WE158" i="1" s="1"/>
  <c r="WE159" i="1" s="1"/>
  <c r="WE160" i="1" s="1"/>
  <c r="WE161" i="1" s="1"/>
  <c r="WE162" i="1" s="1"/>
  <c r="WE163" i="1" s="1"/>
  <c r="WE164" i="1" s="1"/>
  <c r="WE165" i="1" s="1"/>
  <c r="WE166" i="1" s="1"/>
  <c r="WE167" i="1" s="1"/>
  <c r="WE168" i="1" s="1"/>
  <c r="WE169" i="1" s="1"/>
  <c r="WE170" i="1" s="1"/>
  <c r="WE171" i="1" s="1"/>
  <c r="WE172" i="1" s="1"/>
  <c r="WE173" i="1" s="1"/>
  <c r="WE174" i="1" s="1"/>
  <c r="WE175" i="1" s="1"/>
  <c r="WE176" i="1" s="1"/>
  <c r="WE177" i="1" s="1"/>
  <c r="WE178" i="1" s="1"/>
  <c r="BP32" i="5"/>
  <c r="YY217" i="1"/>
  <c r="BX43" i="5"/>
  <c r="YP183" i="1"/>
  <c r="YP184" i="1" s="1"/>
  <c r="YP185" i="1" s="1"/>
  <c r="YP186" i="1" s="1"/>
  <c r="YP187" i="1" s="1"/>
  <c r="YP188" i="1" s="1"/>
  <c r="YP189" i="1" s="1"/>
  <c r="YP190" i="1" s="1"/>
  <c r="YP191" i="1" s="1"/>
  <c r="YP192" i="1" s="1"/>
  <c r="YP193" i="1" s="1"/>
  <c r="YP194" i="1" s="1"/>
  <c r="YP195" i="1" s="1"/>
  <c r="YP196" i="1" s="1"/>
  <c r="YP197" i="1" s="1"/>
  <c r="YP198" i="1" s="1"/>
  <c r="YP199" i="1" s="1"/>
  <c r="YP200" i="1" s="1"/>
  <c r="YP201" i="1" s="1"/>
  <c r="YP202" i="1" s="1"/>
  <c r="YP203" i="1" s="1"/>
  <c r="YP204" i="1" s="1"/>
  <c r="YP205" i="1" s="1"/>
  <c r="YP206" i="1" s="1"/>
  <c r="YP207" i="1" s="1"/>
  <c r="YP208" i="1" s="1"/>
  <c r="YP209" i="1" s="1"/>
  <c r="YP210" i="1" s="1"/>
  <c r="YP211" i="1" s="1"/>
  <c r="YP212" i="1" s="1"/>
  <c r="YP213" i="1" s="1"/>
  <c r="BW39" i="5"/>
  <c r="YG183" i="1"/>
  <c r="YG184" i="1" s="1"/>
  <c r="YG185" i="1" s="1"/>
  <c r="YG186" i="1" s="1"/>
  <c r="YG187" i="1" s="1"/>
  <c r="YG188" i="1" s="1"/>
  <c r="YG189" i="1" s="1"/>
  <c r="YG190" i="1" s="1"/>
  <c r="YG191" i="1" s="1"/>
  <c r="YG192" i="1" s="1"/>
  <c r="YG193" i="1" s="1"/>
  <c r="YG194" i="1" s="1"/>
  <c r="YG195" i="1" s="1"/>
  <c r="YG196" i="1" s="1"/>
  <c r="YG197" i="1" s="1"/>
  <c r="YG198" i="1" s="1"/>
  <c r="YG199" i="1" s="1"/>
  <c r="YG200" i="1" s="1"/>
  <c r="YG201" i="1" s="1"/>
  <c r="YG202" i="1" s="1"/>
  <c r="YG203" i="1" s="1"/>
  <c r="YG204" i="1" s="1"/>
  <c r="YG205" i="1" s="1"/>
  <c r="YG206" i="1" s="1"/>
  <c r="YG207" i="1" s="1"/>
  <c r="YG208" i="1" s="1"/>
  <c r="YG209" i="1" s="1"/>
  <c r="YG210" i="1" s="1"/>
  <c r="YG211" i="1" s="1"/>
  <c r="YG212" i="1" s="1"/>
  <c r="YG213" i="1" s="1"/>
  <c r="BV39" i="5"/>
  <c r="XX183" i="1"/>
  <c r="XX184" i="1" s="1"/>
  <c r="XX185" i="1" s="1"/>
  <c r="XX186" i="1" s="1"/>
  <c r="XX187" i="1" s="1"/>
  <c r="XX188" i="1" s="1"/>
  <c r="XX189" i="1" s="1"/>
  <c r="XX190" i="1" s="1"/>
  <c r="XX191" i="1" s="1"/>
  <c r="XX192" i="1" s="1"/>
  <c r="XX193" i="1" s="1"/>
  <c r="XX194" i="1" s="1"/>
  <c r="XX195" i="1" s="1"/>
  <c r="XX196" i="1" s="1"/>
  <c r="XX197" i="1" s="1"/>
  <c r="XX198" i="1" s="1"/>
  <c r="XX199" i="1" s="1"/>
  <c r="XX200" i="1" s="1"/>
  <c r="XX201" i="1" s="1"/>
  <c r="XX202" i="1" s="1"/>
  <c r="XX203" i="1" s="1"/>
  <c r="XX204" i="1" s="1"/>
  <c r="XX205" i="1" s="1"/>
  <c r="XX206" i="1" s="1"/>
  <c r="XX207" i="1" s="1"/>
  <c r="XX208" i="1" s="1"/>
  <c r="XX209" i="1" s="1"/>
  <c r="XX210" i="1" s="1"/>
  <c r="XX211" i="1" s="1"/>
  <c r="XX212" i="1" s="1"/>
  <c r="XX213" i="1" s="1"/>
  <c r="BU39" i="5"/>
  <c r="XF147" i="1"/>
  <c r="XF148" i="1" s="1"/>
  <c r="XF149" i="1" s="1"/>
  <c r="XF150" i="1" s="1"/>
  <c r="XF151" i="1" s="1"/>
  <c r="XF152" i="1" s="1"/>
  <c r="XF153" i="1" s="1"/>
  <c r="XF154" i="1" s="1"/>
  <c r="XF155" i="1" s="1"/>
  <c r="XF156" i="1" s="1"/>
  <c r="XF157" i="1" s="1"/>
  <c r="XF158" i="1" s="1"/>
  <c r="XF159" i="1" s="1"/>
  <c r="XF160" i="1" s="1"/>
  <c r="XF161" i="1" s="1"/>
  <c r="XF162" i="1" s="1"/>
  <c r="XF163" i="1" s="1"/>
  <c r="XF164" i="1" s="1"/>
  <c r="XF165" i="1" s="1"/>
  <c r="XF166" i="1" s="1"/>
  <c r="XF167" i="1" s="1"/>
  <c r="XF168" i="1" s="1"/>
  <c r="XF169" i="1" s="1"/>
  <c r="XF170" i="1" s="1"/>
  <c r="XF171" i="1" s="1"/>
  <c r="XF172" i="1" s="1"/>
  <c r="XF173" i="1" s="1"/>
  <c r="XF174" i="1" s="1"/>
  <c r="XF175" i="1" s="1"/>
  <c r="XF176" i="1" s="1"/>
  <c r="XF177" i="1" s="1"/>
  <c r="XF178" i="1" s="1"/>
  <c r="BS32" i="5"/>
  <c r="WW147" i="1"/>
  <c r="WW148" i="1" s="1"/>
  <c r="WW149" i="1" s="1"/>
  <c r="WW150" i="1" s="1"/>
  <c r="WW151" i="1" s="1"/>
  <c r="WW152" i="1" s="1"/>
  <c r="WW153" i="1" s="1"/>
  <c r="WW154" i="1" s="1"/>
  <c r="WW155" i="1" s="1"/>
  <c r="WW156" i="1" s="1"/>
  <c r="WW157" i="1" s="1"/>
  <c r="WW158" i="1" s="1"/>
  <c r="WW159" i="1" s="1"/>
  <c r="WW160" i="1" s="1"/>
  <c r="WW161" i="1" s="1"/>
  <c r="WW162" i="1" s="1"/>
  <c r="WW163" i="1" s="1"/>
  <c r="WW164" i="1" s="1"/>
  <c r="WW165" i="1" s="1"/>
  <c r="WW166" i="1" s="1"/>
  <c r="WW167" i="1" s="1"/>
  <c r="WW168" i="1" s="1"/>
  <c r="WW169" i="1" s="1"/>
  <c r="WW170" i="1" s="1"/>
  <c r="WW171" i="1" s="1"/>
  <c r="WW172" i="1" s="1"/>
  <c r="WW173" i="1" s="1"/>
  <c r="WW174" i="1" s="1"/>
  <c r="WW175" i="1" s="1"/>
  <c r="WW176" i="1" s="1"/>
  <c r="WW177" i="1" s="1"/>
  <c r="WW178" i="1" s="1"/>
  <c r="BR32" i="5"/>
  <c r="WN147" i="1"/>
  <c r="WN148" i="1" s="1"/>
  <c r="WN149" i="1" s="1"/>
  <c r="WN150" i="1" s="1"/>
  <c r="WN151" i="1" s="1"/>
  <c r="WN152" i="1" s="1"/>
  <c r="WN153" i="1" s="1"/>
  <c r="WN154" i="1" s="1"/>
  <c r="WN155" i="1" s="1"/>
  <c r="WN156" i="1" s="1"/>
  <c r="WN157" i="1" s="1"/>
  <c r="WN158" i="1" s="1"/>
  <c r="WN159" i="1" s="1"/>
  <c r="WN160" i="1" s="1"/>
  <c r="WN161" i="1" s="1"/>
  <c r="WN162" i="1" s="1"/>
  <c r="WN163" i="1" s="1"/>
  <c r="WN164" i="1" s="1"/>
  <c r="WN165" i="1" s="1"/>
  <c r="WN166" i="1" s="1"/>
  <c r="WN167" i="1" s="1"/>
  <c r="WN168" i="1" s="1"/>
  <c r="WN169" i="1" s="1"/>
  <c r="WN170" i="1" s="1"/>
  <c r="WN171" i="1" s="1"/>
  <c r="WN172" i="1" s="1"/>
  <c r="WN173" i="1" s="1"/>
  <c r="WN174" i="1" s="1"/>
  <c r="WN175" i="1" s="1"/>
  <c r="WN176" i="1" s="1"/>
  <c r="WN177" i="1" s="1"/>
  <c r="WN178" i="1" s="1"/>
  <c r="BQ32" i="5"/>
  <c r="XO183" i="1"/>
  <c r="XO184" i="1" s="1"/>
  <c r="XO185" i="1" s="1"/>
  <c r="XO186" i="1" s="1"/>
  <c r="XO187" i="1" s="1"/>
  <c r="XO188" i="1" s="1"/>
  <c r="XO189" i="1" s="1"/>
  <c r="XO190" i="1" s="1"/>
  <c r="XO191" i="1" s="1"/>
  <c r="XO192" i="1" s="1"/>
  <c r="XO193" i="1" s="1"/>
  <c r="XO194" i="1" s="1"/>
  <c r="XO195" i="1" s="1"/>
  <c r="XO196" i="1" s="1"/>
  <c r="XO197" i="1" s="1"/>
  <c r="XO198" i="1" s="1"/>
  <c r="XO199" i="1" s="1"/>
  <c r="XO200" i="1" s="1"/>
  <c r="XO201" i="1" s="1"/>
  <c r="XO202" i="1" s="1"/>
  <c r="XO203" i="1" s="1"/>
  <c r="XO204" i="1" s="1"/>
  <c r="XO205" i="1" s="1"/>
  <c r="XO206" i="1" s="1"/>
  <c r="XO207" i="1" s="1"/>
  <c r="XO208" i="1" s="1"/>
  <c r="XO209" i="1" s="1"/>
  <c r="XO210" i="1" s="1"/>
  <c r="XO211" i="1" s="1"/>
  <c r="XO212" i="1" s="1"/>
  <c r="XO213" i="1" s="1"/>
  <c r="BT39" i="5"/>
  <c r="A237" i="6"/>
  <c r="A325" i="6" s="1"/>
  <c r="A413" i="6" s="1"/>
  <c r="A501" i="6" s="1"/>
  <c r="A589" i="6" s="1"/>
  <c r="A677" i="6" s="1"/>
  <c r="UL182" i="1" l="1"/>
  <c r="BK36" i="5"/>
  <c r="WE182" i="1"/>
  <c r="BP36" i="5"/>
  <c r="UU182" i="1"/>
  <c r="BL36" i="5"/>
  <c r="TT182" i="1"/>
  <c r="BI36" i="5"/>
  <c r="ZQ217" i="1"/>
  <c r="BZ43" i="5"/>
  <c r="VD182" i="1"/>
  <c r="BM36" i="5"/>
  <c r="VM182" i="1"/>
  <c r="BN36" i="5"/>
  <c r="ZH218" i="1"/>
  <c r="ZH219" i="1" s="1"/>
  <c r="ZH220" i="1" s="1"/>
  <c r="ZH221" i="1" s="1"/>
  <c r="ZH222" i="1" s="1"/>
  <c r="ZH223" i="1" s="1"/>
  <c r="ZH224" i="1" s="1"/>
  <c r="ZH225" i="1" s="1"/>
  <c r="ZH226" i="1" s="1"/>
  <c r="ZH227" i="1" s="1"/>
  <c r="ZH228" i="1" s="1"/>
  <c r="ZH229" i="1" s="1"/>
  <c r="ZH230" i="1" s="1"/>
  <c r="ZH231" i="1" s="1"/>
  <c r="ZH232" i="1" s="1"/>
  <c r="ZH233" i="1" s="1"/>
  <c r="ZH234" i="1" s="1"/>
  <c r="ZH235" i="1" s="1"/>
  <c r="ZH236" i="1" s="1"/>
  <c r="ZH237" i="1" s="1"/>
  <c r="ZH238" i="1" s="1"/>
  <c r="ZH239" i="1" s="1"/>
  <c r="ZH240" i="1" s="1"/>
  <c r="ZH241" i="1" s="1"/>
  <c r="ZH242" i="1" s="1"/>
  <c r="ZH243" i="1" s="1"/>
  <c r="ZH244" i="1" s="1"/>
  <c r="ZH245" i="1" s="1"/>
  <c r="ZH246" i="1" s="1"/>
  <c r="ZH247" i="1" s="1"/>
  <c r="ZH248" i="1" s="1"/>
  <c r="ZH249" i="1" s="1"/>
  <c r="BY46" i="5"/>
  <c r="YY218" i="1"/>
  <c r="YY219" i="1" s="1"/>
  <c r="YY220" i="1" s="1"/>
  <c r="YY221" i="1" s="1"/>
  <c r="YY222" i="1" s="1"/>
  <c r="YY223" i="1" s="1"/>
  <c r="YY224" i="1" s="1"/>
  <c r="YY225" i="1" s="1"/>
  <c r="YY226" i="1" s="1"/>
  <c r="YY227" i="1" s="1"/>
  <c r="YY228" i="1" s="1"/>
  <c r="YY229" i="1" s="1"/>
  <c r="YY230" i="1" s="1"/>
  <c r="YY231" i="1" s="1"/>
  <c r="YY232" i="1" s="1"/>
  <c r="YY233" i="1" s="1"/>
  <c r="YY234" i="1" s="1"/>
  <c r="YY235" i="1" s="1"/>
  <c r="YY236" i="1" s="1"/>
  <c r="YY237" i="1" s="1"/>
  <c r="YY238" i="1" s="1"/>
  <c r="YY239" i="1" s="1"/>
  <c r="YY240" i="1" s="1"/>
  <c r="YY241" i="1" s="1"/>
  <c r="YY242" i="1" s="1"/>
  <c r="YY243" i="1" s="1"/>
  <c r="YY244" i="1" s="1"/>
  <c r="YY245" i="1" s="1"/>
  <c r="YY246" i="1" s="1"/>
  <c r="YY247" i="1" s="1"/>
  <c r="YY248" i="1" s="1"/>
  <c r="YY249" i="1" s="1"/>
  <c r="BX46" i="5"/>
  <c r="UC182" i="1"/>
  <c r="BJ36" i="5"/>
  <c r="VV182" i="1"/>
  <c r="BO36" i="5"/>
  <c r="YP217" i="1"/>
  <c r="BW43" i="5"/>
  <c r="YG217" i="1"/>
  <c r="BV43" i="5"/>
  <c r="XX217" i="1"/>
  <c r="BU43" i="5"/>
  <c r="XF182" i="1"/>
  <c r="BS36" i="5"/>
  <c r="WW182" i="1"/>
  <c r="BR36" i="5"/>
  <c r="WN182" i="1"/>
  <c r="BQ36" i="5"/>
  <c r="XO217" i="1"/>
  <c r="BT43" i="5"/>
  <c r="F249" i="1"/>
  <c r="IK71" i="7"/>
  <c r="IK70" i="7"/>
  <c r="IK62" i="7"/>
  <c r="D704" i="6"/>
  <c r="IJ71" i="7"/>
  <c r="IJ70" i="7"/>
  <c r="IJ62" i="7"/>
  <c r="B704" i="6"/>
  <c r="AD616" i="6"/>
  <c r="AB616" i="6"/>
  <c r="Z616" i="6"/>
  <c r="X616" i="6"/>
  <c r="V616" i="6"/>
  <c r="T616" i="6"/>
  <c r="R616" i="6"/>
  <c r="P616" i="6"/>
  <c r="N616" i="6"/>
  <c r="L616" i="6"/>
  <c r="J616" i="6"/>
  <c r="H616" i="6"/>
  <c r="F616" i="6"/>
  <c r="D616" i="6"/>
  <c r="B616" i="6"/>
  <c r="HU71" i="7"/>
  <c r="HU70" i="7"/>
  <c r="HU62" i="7"/>
  <c r="HT71" i="7"/>
  <c r="HT70" i="7"/>
  <c r="HT62" i="7"/>
  <c r="HE71" i="7"/>
  <c r="HE70" i="7"/>
  <c r="HE62" i="7"/>
  <c r="HD71" i="7"/>
  <c r="HD70" i="7"/>
  <c r="HD62" i="7"/>
  <c r="AD440" i="6"/>
  <c r="AB440" i="6"/>
  <c r="Z440" i="6"/>
  <c r="X440" i="6"/>
  <c r="V440" i="6"/>
  <c r="T440" i="6"/>
  <c r="R440" i="6"/>
  <c r="P440" i="6"/>
  <c r="N440" i="6"/>
  <c r="L440" i="6"/>
  <c r="J440" i="6"/>
  <c r="H440" i="6"/>
  <c r="F440" i="6"/>
  <c r="D440" i="6"/>
  <c r="B440" i="6"/>
  <c r="VD183" i="1" l="1"/>
  <c r="VD184" i="1" s="1"/>
  <c r="VD185" i="1" s="1"/>
  <c r="VD186" i="1" s="1"/>
  <c r="VD187" i="1" s="1"/>
  <c r="VD188" i="1" s="1"/>
  <c r="VD189" i="1" s="1"/>
  <c r="VD190" i="1" s="1"/>
  <c r="VD191" i="1" s="1"/>
  <c r="VD192" i="1" s="1"/>
  <c r="VD193" i="1" s="1"/>
  <c r="VD194" i="1" s="1"/>
  <c r="VD195" i="1" s="1"/>
  <c r="VD196" i="1" s="1"/>
  <c r="VD197" i="1" s="1"/>
  <c r="VD198" i="1" s="1"/>
  <c r="VD199" i="1" s="1"/>
  <c r="VD200" i="1" s="1"/>
  <c r="VD201" i="1" s="1"/>
  <c r="VD202" i="1" s="1"/>
  <c r="VD203" i="1" s="1"/>
  <c r="VD204" i="1" s="1"/>
  <c r="VD205" i="1" s="1"/>
  <c r="VD206" i="1" s="1"/>
  <c r="VD207" i="1" s="1"/>
  <c r="VD208" i="1" s="1"/>
  <c r="VD209" i="1" s="1"/>
  <c r="VD210" i="1" s="1"/>
  <c r="VD211" i="1" s="1"/>
  <c r="VD212" i="1" s="1"/>
  <c r="VD213" i="1" s="1"/>
  <c r="BM39" i="5"/>
  <c r="VV183" i="1"/>
  <c r="VV184" i="1" s="1"/>
  <c r="VV185" i="1" s="1"/>
  <c r="VV186" i="1" s="1"/>
  <c r="VV187" i="1" s="1"/>
  <c r="VV188" i="1" s="1"/>
  <c r="VV189" i="1" s="1"/>
  <c r="VV190" i="1" s="1"/>
  <c r="VV191" i="1" s="1"/>
  <c r="VV192" i="1" s="1"/>
  <c r="VV193" i="1" s="1"/>
  <c r="VV194" i="1" s="1"/>
  <c r="VV195" i="1" s="1"/>
  <c r="VV196" i="1" s="1"/>
  <c r="VV197" i="1" s="1"/>
  <c r="VV198" i="1" s="1"/>
  <c r="VV199" i="1" s="1"/>
  <c r="VV200" i="1" s="1"/>
  <c r="VV201" i="1" s="1"/>
  <c r="VV202" i="1" s="1"/>
  <c r="VV203" i="1" s="1"/>
  <c r="VV204" i="1" s="1"/>
  <c r="VV205" i="1" s="1"/>
  <c r="VV206" i="1" s="1"/>
  <c r="VV207" i="1" s="1"/>
  <c r="VV208" i="1" s="1"/>
  <c r="VV209" i="1" s="1"/>
  <c r="VV210" i="1" s="1"/>
  <c r="VV211" i="1" s="1"/>
  <c r="VV212" i="1" s="1"/>
  <c r="VV213" i="1" s="1"/>
  <c r="BO39" i="5"/>
  <c r="UC183" i="1"/>
  <c r="UC184" i="1" s="1"/>
  <c r="UC185" i="1" s="1"/>
  <c r="UC186" i="1" s="1"/>
  <c r="UC187" i="1" s="1"/>
  <c r="UC188" i="1" s="1"/>
  <c r="UC189" i="1" s="1"/>
  <c r="UC190" i="1" s="1"/>
  <c r="UC191" i="1" s="1"/>
  <c r="UC192" i="1" s="1"/>
  <c r="UC193" i="1" s="1"/>
  <c r="UC194" i="1" s="1"/>
  <c r="UC195" i="1" s="1"/>
  <c r="UC196" i="1" s="1"/>
  <c r="UC197" i="1" s="1"/>
  <c r="UC198" i="1" s="1"/>
  <c r="UC199" i="1" s="1"/>
  <c r="UC200" i="1" s="1"/>
  <c r="UC201" i="1" s="1"/>
  <c r="UC202" i="1" s="1"/>
  <c r="UC203" i="1" s="1"/>
  <c r="UC204" i="1" s="1"/>
  <c r="UC205" i="1" s="1"/>
  <c r="UC206" i="1" s="1"/>
  <c r="UC207" i="1" s="1"/>
  <c r="UC208" i="1" s="1"/>
  <c r="UC209" i="1" s="1"/>
  <c r="UC210" i="1" s="1"/>
  <c r="UC211" i="1" s="1"/>
  <c r="UC212" i="1" s="1"/>
  <c r="UC213" i="1" s="1"/>
  <c r="BJ39" i="5"/>
  <c r="TT183" i="1"/>
  <c r="TT184" i="1" s="1"/>
  <c r="TT185" i="1" s="1"/>
  <c r="TT186" i="1" s="1"/>
  <c r="TT187" i="1" s="1"/>
  <c r="TT188" i="1" s="1"/>
  <c r="TT189" i="1" s="1"/>
  <c r="TT190" i="1" s="1"/>
  <c r="TT191" i="1" s="1"/>
  <c r="TT192" i="1" s="1"/>
  <c r="TT193" i="1" s="1"/>
  <c r="TT194" i="1" s="1"/>
  <c r="TT195" i="1" s="1"/>
  <c r="TT196" i="1" s="1"/>
  <c r="TT197" i="1" s="1"/>
  <c r="TT198" i="1" s="1"/>
  <c r="TT199" i="1" s="1"/>
  <c r="TT200" i="1" s="1"/>
  <c r="TT201" i="1" s="1"/>
  <c r="TT202" i="1" s="1"/>
  <c r="TT203" i="1" s="1"/>
  <c r="TT204" i="1" s="1"/>
  <c r="TT205" i="1" s="1"/>
  <c r="TT206" i="1" s="1"/>
  <c r="TT207" i="1" s="1"/>
  <c r="TT208" i="1" s="1"/>
  <c r="TT209" i="1" s="1"/>
  <c r="TT210" i="1" s="1"/>
  <c r="TT211" i="1" s="1"/>
  <c r="TT212" i="1" s="1"/>
  <c r="TT213" i="1" s="1"/>
  <c r="BI39" i="5"/>
  <c r="ZH253" i="1"/>
  <c r="BY50" i="5"/>
  <c r="WE183" i="1"/>
  <c r="WE184" i="1" s="1"/>
  <c r="WE185" i="1" s="1"/>
  <c r="WE186" i="1" s="1"/>
  <c r="WE187" i="1" s="1"/>
  <c r="WE188" i="1" s="1"/>
  <c r="WE189" i="1" s="1"/>
  <c r="WE190" i="1" s="1"/>
  <c r="WE191" i="1" s="1"/>
  <c r="WE192" i="1" s="1"/>
  <c r="WE193" i="1" s="1"/>
  <c r="WE194" i="1" s="1"/>
  <c r="WE195" i="1" s="1"/>
  <c r="WE196" i="1" s="1"/>
  <c r="WE197" i="1" s="1"/>
  <c r="WE198" i="1" s="1"/>
  <c r="WE199" i="1" s="1"/>
  <c r="WE200" i="1" s="1"/>
  <c r="WE201" i="1" s="1"/>
  <c r="WE202" i="1" s="1"/>
  <c r="WE203" i="1" s="1"/>
  <c r="WE204" i="1" s="1"/>
  <c r="WE205" i="1" s="1"/>
  <c r="WE206" i="1" s="1"/>
  <c r="WE207" i="1" s="1"/>
  <c r="WE208" i="1" s="1"/>
  <c r="WE209" i="1" s="1"/>
  <c r="WE210" i="1" s="1"/>
  <c r="WE211" i="1" s="1"/>
  <c r="WE212" i="1" s="1"/>
  <c r="WE213" i="1" s="1"/>
  <c r="BP39" i="5"/>
  <c r="YY253" i="1"/>
  <c r="BX50" i="5"/>
  <c r="ZQ218" i="1"/>
  <c r="ZQ219" i="1" s="1"/>
  <c r="ZQ220" i="1" s="1"/>
  <c r="ZQ221" i="1" s="1"/>
  <c r="ZQ222" i="1" s="1"/>
  <c r="ZQ223" i="1" s="1"/>
  <c r="ZQ224" i="1" s="1"/>
  <c r="ZQ225" i="1" s="1"/>
  <c r="ZQ226" i="1" s="1"/>
  <c r="ZQ227" i="1" s="1"/>
  <c r="ZQ228" i="1" s="1"/>
  <c r="ZQ229" i="1" s="1"/>
  <c r="ZQ230" i="1" s="1"/>
  <c r="ZQ231" i="1" s="1"/>
  <c r="ZQ232" i="1" s="1"/>
  <c r="ZQ233" i="1" s="1"/>
  <c r="ZQ234" i="1" s="1"/>
  <c r="ZQ235" i="1" s="1"/>
  <c r="ZQ236" i="1" s="1"/>
  <c r="ZQ237" i="1" s="1"/>
  <c r="ZQ238" i="1" s="1"/>
  <c r="ZQ239" i="1" s="1"/>
  <c r="ZQ240" i="1" s="1"/>
  <c r="ZQ241" i="1" s="1"/>
  <c r="ZQ242" i="1" s="1"/>
  <c r="ZQ243" i="1" s="1"/>
  <c r="ZQ244" i="1" s="1"/>
  <c r="ZQ245" i="1" s="1"/>
  <c r="ZQ246" i="1" s="1"/>
  <c r="ZQ247" i="1" s="1"/>
  <c r="ZQ248" i="1" s="1"/>
  <c r="ZQ249" i="1" s="1"/>
  <c r="BZ46" i="5"/>
  <c r="UU183" i="1"/>
  <c r="UU184" i="1" s="1"/>
  <c r="UU185" i="1" s="1"/>
  <c r="UU186" i="1" s="1"/>
  <c r="UU187" i="1" s="1"/>
  <c r="UU188" i="1" s="1"/>
  <c r="UU189" i="1" s="1"/>
  <c r="UU190" i="1" s="1"/>
  <c r="UU191" i="1" s="1"/>
  <c r="UU192" i="1" s="1"/>
  <c r="UU193" i="1" s="1"/>
  <c r="UU194" i="1" s="1"/>
  <c r="UU195" i="1" s="1"/>
  <c r="UU196" i="1" s="1"/>
  <c r="UU197" i="1" s="1"/>
  <c r="UU198" i="1" s="1"/>
  <c r="UU199" i="1" s="1"/>
  <c r="UU200" i="1" s="1"/>
  <c r="UU201" i="1" s="1"/>
  <c r="UU202" i="1" s="1"/>
  <c r="UU203" i="1" s="1"/>
  <c r="UU204" i="1" s="1"/>
  <c r="UU205" i="1" s="1"/>
  <c r="UU206" i="1" s="1"/>
  <c r="UU207" i="1" s="1"/>
  <c r="UU208" i="1" s="1"/>
  <c r="UU209" i="1" s="1"/>
  <c r="UU210" i="1" s="1"/>
  <c r="UU211" i="1" s="1"/>
  <c r="UU212" i="1" s="1"/>
  <c r="UU213" i="1" s="1"/>
  <c r="BL39" i="5"/>
  <c r="VM183" i="1"/>
  <c r="VM184" i="1" s="1"/>
  <c r="VM185" i="1" s="1"/>
  <c r="VM186" i="1" s="1"/>
  <c r="VM187" i="1" s="1"/>
  <c r="VM188" i="1" s="1"/>
  <c r="VM189" i="1" s="1"/>
  <c r="VM190" i="1" s="1"/>
  <c r="VM191" i="1" s="1"/>
  <c r="VM192" i="1" s="1"/>
  <c r="VM193" i="1" s="1"/>
  <c r="VM194" i="1" s="1"/>
  <c r="VM195" i="1" s="1"/>
  <c r="VM196" i="1" s="1"/>
  <c r="VM197" i="1" s="1"/>
  <c r="VM198" i="1" s="1"/>
  <c r="VM199" i="1" s="1"/>
  <c r="VM200" i="1" s="1"/>
  <c r="VM201" i="1" s="1"/>
  <c r="VM202" i="1" s="1"/>
  <c r="VM203" i="1" s="1"/>
  <c r="VM204" i="1" s="1"/>
  <c r="VM205" i="1" s="1"/>
  <c r="VM206" i="1" s="1"/>
  <c r="VM207" i="1" s="1"/>
  <c r="VM208" i="1" s="1"/>
  <c r="VM209" i="1" s="1"/>
  <c r="VM210" i="1" s="1"/>
  <c r="VM211" i="1" s="1"/>
  <c r="VM212" i="1" s="1"/>
  <c r="VM213" i="1" s="1"/>
  <c r="BN39" i="5"/>
  <c r="UL183" i="1"/>
  <c r="UL184" i="1" s="1"/>
  <c r="UL185" i="1" s="1"/>
  <c r="UL186" i="1" s="1"/>
  <c r="UL187" i="1" s="1"/>
  <c r="UL188" i="1" s="1"/>
  <c r="UL189" i="1" s="1"/>
  <c r="UL190" i="1" s="1"/>
  <c r="UL191" i="1" s="1"/>
  <c r="UL192" i="1" s="1"/>
  <c r="UL193" i="1" s="1"/>
  <c r="UL194" i="1" s="1"/>
  <c r="UL195" i="1" s="1"/>
  <c r="UL196" i="1" s="1"/>
  <c r="UL197" i="1" s="1"/>
  <c r="UL198" i="1" s="1"/>
  <c r="UL199" i="1" s="1"/>
  <c r="UL200" i="1" s="1"/>
  <c r="UL201" i="1" s="1"/>
  <c r="UL202" i="1" s="1"/>
  <c r="UL203" i="1" s="1"/>
  <c r="UL204" i="1" s="1"/>
  <c r="UL205" i="1" s="1"/>
  <c r="UL206" i="1" s="1"/>
  <c r="UL207" i="1" s="1"/>
  <c r="UL208" i="1" s="1"/>
  <c r="UL209" i="1" s="1"/>
  <c r="UL210" i="1" s="1"/>
  <c r="UL211" i="1" s="1"/>
  <c r="UL212" i="1" s="1"/>
  <c r="UL213" i="1" s="1"/>
  <c r="BK39" i="5"/>
  <c r="YP218" i="1"/>
  <c r="YP219" i="1" s="1"/>
  <c r="YP220" i="1" s="1"/>
  <c r="YP221" i="1" s="1"/>
  <c r="YP222" i="1" s="1"/>
  <c r="YP223" i="1" s="1"/>
  <c r="YP224" i="1" s="1"/>
  <c r="YP225" i="1" s="1"/>
  <c r="YP226" i="1" s="1"/>
  <c r="YP227" i="1" s="1"/>
  <c r="YP228" i="1" s="1"/>
  <c r="YP229" i="1" s="1"/>
  <c r="YP230" i="1" s="1"/>
  <c r="YP231" i="1" s="1"/>
  <c r="YP232" i="1" s="1"/>
  <c r="YP233" i="1" s="1"/>
  <c r="YP234" i="1" s="1"/>
  <c r="YP235" i="1" s="1"/>
  <c r="YP236" i="1" s="1"/>
  <c r="YP237" i="1" s="1"/>
  <c r="YP238" i="1" s="1"/>
  <c r="YP239" i="1" s="1"/>
  <c r="YP240" i="1" s="1"/>
  <c r="YP241" i="1" s="1"/>
  <c r="YP242" i="1" s="1"/>
  <c r="YP243" i="1" s="1"/>
  <c r="YP244" i="1" s="1"/>
  <c r="YP245" i="1" s="1"/>
  <c r="YP246" i="1" s="1"/>
  <c r="YP247" i="1" s="1"/>
  <c r="YP248" i="1" s="1"/>
  <c r="YP249" i="1" s="1"/>
  <c r="BW46" i="5"/>
  <c r="YG218" i="1"/>
  <c r="YG219" i="1" s="1"/>
  <c r="YG220" i="1" s="1"/>
  <c r="YG221" i="1" s="1"/>
  <c r="YG222" i="1" s="1"/>
  <c r="YG223" i="1" s="1"/>
  <c r="YG224" i="1" s="1"/>
  <c r="YG225" i="1" s="1"/>
  <c r="YG226" i="1" s="1"/>
  <c r="YG227" i="1" s="1"/>
  <c r="YG228" i="1" s="1"/>
  <c r="YG229" i="1" s="1"/>
  <c r="YG230" i="1" s="1"/>
  <c r="YG231" i="1" s="1"/>
  <c r="YG232" i="1" s="1"/>
  <c r="YG233" i="1" s="1"/>
  <c r="YG234" i="1" s="1"/>
  <c r="YG235" i="1" s="1"/>
  <c r="YG236" i="1" s="1"/>
  <c r="YG237" i="1" s="1"/>
  <c r="YG238" i="1" s="1"/>
  <c r="YG239" i="1" s="1"/>
  <c r="YG240" i="1" s="1"/>
  <c r="YG241" i="1" s="1"/>
  <c r="YG242" i="1" s="1"/>
  <c r="YG243" i="1" s="1"/>
  <c r="YG244" i="1" s="1"/>
  <c r="YG245" i="1" s="1"/>
  <c r="YG246" i="1" s="1"/>
  <c r="YG247" i="1" s="1"/>
  <c r="YG248" i="1" s="1"/>
  <c r="YG249" i="1" s="1"/>
  <c r="BV46" i="5"/>
  <c r="XX218" i="1"/>
  <c r="XX219" i="1" s="1"/>
  <c r="XX220" i="1" s="1"/>
  <c r="XX221" i="1" s="1"/>
  <c r="XX222" i="1" s="1"/>
  <c r="XX223" i="1" s="1"/>
  <c r="XX224" i="1" s="1"/>
  <c r="XX225" i="1" s="1"/>
  <c r="XX226" i="1" s="1"/>
  <c r="XX227" i="1" s="1"/>
  <c r="XX228" i="1" s="1"/>
  <c r="XX229" i="1" s="1"/>
  <c r="XX230" i="1" s="1"/>
  <c r="XX231" i="1" s="1"/>
  <c r="XX232" i="1" s="1"/>
  <c r="XX233" i="1" s="1"/>
  <c r="XX234" i="1" s="1"/>
  <c r="XX235" i="1" s="1"/>
  <c r="XX236" i="1" s="1"/>
  <c r="XX237" i="1" s="1"/>
  <c r="XX238" i="1" s="1"/>
  <c r="XX239" i="1" s="1"/>
  <c r="XX240" i="1" s="1"/>
  <c r="XX241" i="1" s="1"/>
  <c r="XX242" i="1" s="1"/>
  <c r="XX243" i="1" s="1"/>
  <c r="XX244" i="1" s="1"/>
  <c r="XX245" i="1" s="1"/>
  <c r="XX246" i="1" s="1"/>
  <c r="XX247" i="1" s="1"/>
  <c r="XX248" i="1" s="1"/>
  <c r="XX249" i="1" s="1"/>
  <c r="BU46" i="5"/>
  <c r="XF183" i="1"/>
  <c r="XF184" i="1" s="1"/>
  <c r="XF185" i="1" s="1"/>
  <c r="XF186" i="1" s="1"/>
  <c r="XF187" i="1" s="1"/>
  <c r="XF188" i="1" s="1"/>
  <c r="XF189" i="1" s="1"/>
  <c r="XF190" i="1" s="1"/>
  <c r="XF191" i="1" s="1"/>
  <c r="XF192" i="1" s="1"/>
  <c r="XF193" i="1" s="1"/>
  <c r="XF194" i="1" s="1"/>
  <c r="XF195" i="1" s="1"/>
  <c r="XF196" i="1" s="1"/>
  <c r="XF197" i="1" s="1"/>
  <c r="XF198" i="1" s="1"/>
  <c r="XF199" i="1" s="1"/>
  <c r="XF200" i="1" s="1"/>
  <c r="XF201" i="1" s="1"/>
  <c r="XF202" i="1" s="1"/>
  <c r="XF203" i="1" s="1"/>
  <c r="XF204" i="1" s="1"/>
  <c r="XF205" i="1" s="1"/>
  <c r="XF206" i="1" s="1"/>
  <c r="XF207" i="1" s="1"/>
  <c r="XF208" i="1" s="1"/>
  <c r="XF209" i="1" s="1"/>
  <c r="XF210" i="1" s="1"/>
  <c r="XF211" i="1" s="1"/>
  <c r="XF212" i="1" s="1"/>
  <c r="XF213" i="1" s="1"/>
  <c r="BS39" i="5"/>
  <c r="WW183" i="1"/>
  <c r="WW184" i="1" s="1"/>
  <c r="WW185" i="1" s="1"/>
  <c r="WW186" i="1" s="1"/>
  <c r="WW187" i="1" s="1"/>
  <c r="WW188" i="1" s="1"/>
  <c r="WW189" i="1" s="1"/>
  <c r="WW190" i="1" s="1"/>
  <c r="WW191" i="1" s="1"/>
  <c r="WW192" i="1" s="1"/>
  <c r="WW193" i="1" s="1"/>
  <c r="WW194" i="1" s="1"/>
  <c r="WW195" i="1" s="1"/>
  <c r="WW196" i="1" s="1"/>
  <c r="WW197" i="1" s="1"/>
  <c r="WW198" i="1" s="1"/>
  <c r="WW199" i="1" s="1"/>
  <c r="WW200" i="1" s="1"/>
  <c r="WW201" i="1" s="1"/>
  <c r="WW202" i="1" s="1"/>
  <c r="WW203" i="1" s="1"/>
  <c r="WW204" i="1" s="1"/>
  <c r="WW205" i="1" s="1"/>
  <c r="WW206" i="1" s="1"/>
  <c r="WW207" i="1" s="1"/>
  <c r="WW208" i="1" s="1"/>
  <c r="WW209" i="1" s="1"/>
  <c r="WW210" i="1" s="1"/>
  <c r="WW211" i="1" s="1"/>
  <c r="WW212" i="1" s="1"/>
  <c r="WW213" i="1" s="1"/>
  <c r="BR39" i="5"/>
  <c r="WN183" i="1"/>
  <c r="WN184" i="1" s="1"/>
  <c r="WN185" i="1" s="1"/>
  <c r="WN186" i="1" s="1"/>
  <c r="WN187" i="1" s="1"/>
  <c r="WN188" i="1" s="1"/>
  <c r="WN189" i="1" s="1"/>
  <c r="WN190" i="1" s="1"/>
  <c r="WN191" i="1" s="1"/>
  <c r="WN192" i="1" s="1"/>
  <c r="WN193" i="1" s="1"/>
  <c r="WN194" i="1" s="1"/>
  <c r="WN195" i="1" s="1"/>
  <c r="WN196" i="1" s="1"/>
  <c r="WN197" i="1" s="1"/>
  <c r="WN198" i="1" s="1"/>
  <c r="WN199" i="1" s="1"/>
  <c r="WN200" i="1" s="1"/>
  <c r="WN201" i="1" s="1"/>
  <c r="WN202" i="1" s="1"/>
  <c r="WN203" i="1" s="1"/>
  <c r="WN204" i="1" s="1"/>
  <c r="WN205" i="1" s="1"/>
  <c r="WN206" i="1" s="1"/>
  <c r="WN207" i="1" s="1"/>
  <c r="WN208" i="1" s="1"/>
  <c r="WN209" i="1" s="1"/>
  <c r="WN210" i="1" s="1"/>
  <c r="WN211" i="1" s="1"/>
  <c r="WN212" i="1" s="1"/>
  <c r="WN213" i="1" s="1"/>
  <c r="BQ39" i="5"/>
  <c r="XO218" i="1"/>
  <c r="XO219" i="1" s="1"/>
  <c r="XO220" i="1" s="1"/>
  <c r="XO221" i="1" s="1"/>
  <c r="XO222" i="1" s="1"/>
  <c r="XO223" i="1" s="1"/>
  <c r="XO224" i="1" s="1"/>
  <c r="XO225" i="1" s="1"/>
  <c r="XO226" i="1" s="1"/>
  <c r="XO227" i="1" s="1"/>
  <c r="XO228" i="1" s="1"/>
  <c r="XO229" i="1" s="1"/>
  <c r="XO230" i="1" s="1"/>
  <c r="XO231" i="1" s="1"/>
  <c r="XO232" i="1" s="1"/>
  <c r="XO233" i="1" s="1"/>
  <c r="XO234" i="1" s="1"/>
  <c r="XO235" i="1" s="1"/>
  <c r="XO236" i="1" s="1"/>
  <c r="XO237" i="1" s="1"/>
  <c r="XO238" i="1" s="1"/>
  <c r="XO239" i="1" s="1"/>
  <c r="XO240" i="1" s="1"/>
  <c r="XO241" i="1" s="1"/>
  <c r="XO242" i="1" s="1"/>
  <c r="XO243" i="1" s="1"/>
  <c r="XO244" i="1" s="1"/>
  <c r="XO245" i="1" s="1"/>
  <c r="XO246" i="1" s="1"/>
  <c r="XO247" i="1" s="1"/>
  <c r="XO248" i="1" s="1"/>
  <c r="XO249" i="1" s="1"/>
  <c r="BT46" i="5"/>
  <c r="GN71" i="7"/>
  <c r="GN70" i="7"/>
  <c r="C413" i="6"/>
  <c r="GN62" i="7" s="1"/>
  <c r="C412" i="6"/>
  <c r="GO71" i="7"/>
  <c r="GO70" i="7"/>
  <c r="E413" i="6"/>
  <c r="GO62" i="7" s="1"/>
  <c r="E412" i="6"/>
  <c r="HB71" i="7"/>
  <c r="HB70" i="7"/>
  <c r="AE413" i="6"/>
  <c r="HB62" i="7" s="1"/>
  <c r="AE412" i="6"/>
  <c r="AE411" i="6"/>
  <c r="AE410" i="6"/>
  <c r="AE409" i="6"/>
  <c r="AE408" i="6"/>
  <c r="HA71" i="7"/>
  <c r="HA70" i="7"/>
  <c r="AC413" i="6"/>
  <c r="HA62" i="7" s="1"/>
  <c r="AC412" i="6"/>
  <c r="AC411" i="6"/>
  <c r="AC410" i="6"/>
  <c r="AC409" i="6"/>
  <c r="AC408" i="6"/>
  <c r="GZ71" i="7"/>
  <c r="GZ70" i="7"/>
  <c r="AA413" i="6"/>
  <c r="GZ62" i="7" s="1"/>
  <c r="AA412" i="6"/>
  <c r="AA411" i="6"/>
  <c r="AA410" i="6"/>
  <c r="AA409" i="6"/>
  <c r="AA408" i="6"/>
  <c r="GY71" i="7"/>
  <c r="GY70" i="7"/>
  <c r="Y413" i="6"/>
  <c r="GY62" i="7" s="1"/>
  <c r="Y412" i="6"/>
  <c r="Y411" i="6"/>
  <c r="Y410" i="6"/>
  <c r="Y409" i="6"/>
  <c r="Y408" i="6"/>
  <c r="GX71" i="7"/>
  <c r="GX70" i="7"/>
  <c r="W413" i="6"/>
  <c r="GX62" i="7" s="1"/>
  <c r="W412" i="6"/>
  <c r="W411" i="6"/>
  <c r="W410" i="6"/>
  <c r="W409" i="6"/>
  <c r="W408" i="6"/>
  <c r="GW71" i="7"/>
  <c r="GW70" i="7"/>
  <c r="U413" i="6"/>
  <c r="GW62" i="7" s="1"/>
  <c r="U412" i="6"/>
  <c r="U411" i="6"/>
  <c r="U410" i="6"/>
  <c r="U409" i="6"/>
  <c r="U408" i="6"/>
  <c r="GV71" i="7"/>
  <c r="GV70" i="7"/>
  <c r="S413" i="6"/>
  <c r="GV62" i="7" s="1"/>
  <c r="S412" i="6"/>
  <c r="S411" i="6"/>
  <c r="S410" i="6"/>
  <c r="S409" i="6"/>
  <c r="S408" i="6"/>
  <c r="GU71" i="7"/>
  <c r="GU70" i="7"/>
  <c r="Q413" i="6"/>
  <c r="GU62" i="7" s="1"/>
  <c r="Q412" i="6"/>
  <c r="Q411" i="6"/>
  <c r="Q410" i="6"/>
  <c r="Q409" i="6"/>
  <c r="Q408" i="6"/>
  <c r="GT71" i="7"/>
  <c r="GT70" i="7"/>
  <c r="O413" i="6"/>
  <c r="GT62" i="7" s="1"/>
  <c r="O412" i="6"/>
  <c r="O411" i="6"/>
  <c r="O410" i="6"/>
  <c r="O409" i="6"/>
  <c r="O408" i="6"/>
  <c r="GS71" i="7"/>
  <c r="GS70" i="7"/>
  <c r="M413" i="6"/>
  <c r="GS62" i="7" s="1"/>
  <c r="M412" i="6"/>
  <c r="M411" i="6"/>
  <c r="M410" i="6"/>
  <c r="M409" i="6"/>
  <c r="M408" i="6"/>
  <c r="GR71" i="7"/>
  <c r="GR70" i="7"/>
  <c r="K413" i="6"/>
  <c r="GR62" i="7" s="1"/>
  <c r="K412" i="6"/>
  <c r="K411" i="6"/>
  <c r="K410" i="6"/>
  <c r="K409" i="6"/>
  <c r="K408" i="6"/>
  <c r="GQ71" i="7"/>
  <c r="GQ70" i="7"/>
  <c r="I413" i="6"/>
  <c r="GQ62" i="7" s="1"/>
  <c r="I412" i="6"/>
  <c r="I411" i="6"/>
  <c r="I410" i="6"/>
  <c r="I409" i="6"/>
  <c r="I408" i="6"/>
  <c r="GP71" i="7"/>
  <c r="GP70" i="7"/>
  <c r="G413" i="6"/>
  <c r="GP62" i="7" s="1"/>
  <c r="G412" i="6"/>
  <c r="G411" i="6"/>
  <c r="G410" i="6"/>
  <c r="G409" i="6"/>
  <c r="G408" i="6"/>
  <c r="BD80" i="5"/>
  <c r="BC80" i="5"/>
  <c r="BB80" i="5"/>
  <c r="BA80" i="5"/>
  <c r="BD73" i="5"/>
  <c r="BC73" i="5"/>
  <c r="BB73" i="5"/>
  <c r="BA73" i="5"/>
  <c r="BD66" i="5"/>
  <c r="BC66" i="5"/>
  <c r="BB66" i="5"/>
  <c r="BA66" i="5"/>
  <c r="BD59" i="5"/>
  <c r="BC59" i="5"/>
  <c r="BB59" i="5"/>
  <c r="BA59" i="5"/>
  <c r="BD52" i="5"/>
  <c r="BC52" i="5"/>
  <c r="BB52" i="5"/>
  <c r="BA52" i="5"/>
  <c r="BD45" i="5"/>
  <c r="BC45" i="5"/>
  <c r="BB45" i="5"/>
  <c r="BA45" i="5"/>
  <c r="BD38" i="5"/>
  <c r="BC38" i="5"/>
  <c r="BB38" i="5"/>
  <c r="BA38" i="5"/>
  <c r="BD31" i="5"/>
  <c r="BC31" i="5"/>
  <c r="BB31" i="5"/>
  <c r="BA31" i="5"/>
  <c r="BD24" i="5"/>
  <c r="BC24" i="5"/>
  <c r="BB24" i="5"/>
  <c r="BA24" i="5"/>
  <c r="BD17" i="5"/>
  <c r="BC17" i="5"/>
  <c r="BB17" i="5"/>
  <c r="BA17" i="5"/>
  <c r="BD10" i="5"/>
  <c r="BD3" i="5"/>
  <c r="IX61" i="7"/>
  <c r="IW61" i="7"/>
  <c r="IV61" i="7"/>
  <c r="IU61" i="7"/>
  <c r="IT61" i="7"/>
  <c r="IS61" i="7"/>
  <c r="IR61" i="7"/>
  <c r="IQ61" i="7"/>
  <c r="IP61" i="7"/>
  <c r="IO61" i="7"/>
  <c r="IN61" i="7"/>
  <c r="IM61" i="7"/>
  <c r="IL61" i="7"/>
  <c r="IK61" i="7"/>
  <c r="IJ61" i="7"/>
  <c r="IH61" i="7"/>
  <c r="IG61" i="7"/>
  <c r="IF61" i="7"/>
  <c r="IE61" i="7"/>
  <c r="ID61" i="7"/>
  <c r="IC61" i="7"/>
  <c r="IB61" i="7"/>
  <c r="IA61" i="7"/>
  <c r="HZ61" i="7"/>
  <c r="HY61" i="7"/>
  <c r="HX61" i="7"/>
  <c r="HW61" i="7"/>
  <c r="HV61" i="7"/>
  <c r="HU61" i="7"/>
  <c r="HT61" i="7"/>
  <c r="HR61" i="7"/>
  <c r="HQ61" i="7"/>
  <c r="HP61" i="7"/>
  <c r="HO61" i="7"/>
  <c r="HN61" i="7"/>
  <c r="HM61" i="7"/>
  <c r="HL61" i="7"/>
  <c r="HK61" i="7"/>
  <c r="HJ61" i="7"/>
  <c r="HI61" i="7"/>
  <c r="HH61" i="7"/>
  <c r="HG61" i="7"/>
  <c r="HF61" i="7"/>
  <c r="HE61" i="7"/>
  <c r="HD61" i="7"/>
  <c r="GL61" i="7"/>
  <c r="GK61" i="7"/>
  <c r="GJ61" i="7"/>
  <c r="GI61" i="7"/>
  <c r="GH61" i="7"/>
  <c r="GG61" i="7"/>
  <c r="GF61" i="7"/>
  <c r="GE61" i="7"/>
  <c r="GD61" i="7"/>
  <c r="GC61" i="7"/>
  <c r="GB61" i="7"/>
  <c r="GA61" i="7"/>
  <c r="FZ61" i="7"/>
  <c r="FY61" i="7"/>
  <c r="FX61" i="7"/>
  <c r="FV61" i="7"/>
  <c r="FU61" i="7"/>
  <c r="FT61" i="7"/>
  <c r="FS61" i="7"/>
  <c r="FR61" i="7"/>
  <c r="FQ61" i="7"/>
  <c r="FP61" i="7"/>
  <c r="FO61" i="7"/>
  <c r="FN61" i="7"/>
  <c r="FM61" i="7"/>
  <c r="FL61" i="7"/>
  <c r="FK61" i="7"/>
  <c r="FJ61" i="7"/>
  <c r="FI61" i="7"/>
  <c r="FH61" i="7"/>
  <c r="FF61" i="7"/>
  <c r="FE61" i="7"/>
  <c r="FD61" i="7"/>
  <c r="FC61" i="7"/>
  <c r="FB61" i="7"/>
  <c r="FA61" i="7"/>
  <c r="EZ61" i="7"/>
  <c r="EY61" i="7"/>
  <c r="EX61" i="7"/>
  <c r="EW61" i="7"/>
  <c r="EV61" i="7"/>
  <c r="EU61" i="7"/>
  <c r="ET61" i="7"/>
  <c r="ES61" i="7"/>
  <c r="ER61" i="7"/>
  <c r="EP61" i="7"/>
  <c r="EO61" i="7"/>
  <c r="EN61" i="7"/>
  <c r="EM61" i="7"/>
  <c r="EL61" i="7"/>
  <c r="EK61" i="7"/>
  <c r="EJ61" i="7"/>
  <c r="EI61" i="7"/>
  <c r="EH61" i="7"/>
  <c r="EG61" i="7"/>
  <c r="EF61" i="7"/>
  <c r="EE61" i="7"/>
  <c r="ED61" i="7"/>
  <c r="EC61" i="7"/>
  <c r="EB61" i="7"/>
  <c r="A236" i="6"/>
  <c r="A324" i="6" s="1"/>
  <c r="A412" i="6" s="1"/>
  <c r="A500" i="6" s="1"/>
  <c r="A588" i="6" s="1"/>
  <c r="A676" i="6" s="1"/>
  <c r="SG219" i="1" l="1"/>
  <c r="SG220" i="1"/>
  <c r="SG221" i="1"/>
  <c r="SG222" i="1"/>
  <c r="SG223" i="1"/>
  <c r="SG224" i="1"/>
  <c r="SG225" i="1"/>
  <c r="SG226" i="1"/>
  <c r="SG227" i="1"/>
  <c r="SG228" i="1"/>
  <c r="SG229" i="1"/>
  <c r="SG230" i="1"/>
  <c r="SG231" i="1"/>
  <c r="SG232" i="1"/>
  <c r="SG233" i="1"/>
  <c r="SG234" i="1"/>
  <c r="SG235" i="1"/>
  <c r="SG236" i="1"/>
  <c r="SG237" i="1"/>
  <c r="SG238" i="1"/>
  <c r="SG239" i="1"/>
  <c r="SG240" i="1"/>
  <c r="SG241" i="1"/>
  <c r="SG242" i="1"/>
  <c r="SG243" i="1"/>
  <c r="SG244" i="1"/>
  <c r="SG245" i="1"/>
  <c r="SG246" i="1"/>
  <c r="SG247" i="1"/>
  <c r="SG248" i="1"/>
  <c r="SG218" i="1"/>
  <c r="SG184" i="1"/>
  <c r="SG185" i="1"/>
  <c r="SG186" i="1"/>
  <c r="SG187" i="1"/>
  <c r="SG188" i="1"/>
  <c r="SG189" i="1"/>
  <c r="SG190" i="1"/>
  <c r="SG191" i="1"/>
  <c r="SG192" i="1"/>
  <c r="SG193" i="1"/>
  <c r="SG194" i="1"/>
  <c r="SG195" i="1"/>
  <c r="SG196" i="1"/>
  <c r="SG197" i="1"/>
  <c r="SG198" i="1"/>
  <c r="SG199" i="1"/>
  <c r="SG200" i="1"/>
  <c r="SG201" i="1"/>
  <c r="SG202" i="1"/>
  <c r="SG203" i="1"/>
  <c r="SG204" i="1"/>
  <c r="SG205" i="1"/>
  <c r="SG206" i="1"/>
  <c r="SG207" i="1"/>
  <c r="SG208" i="1"/>
  <c r="SG209" i="1"/>
  <c r="SG210" i="1"/>
  <c r="SG211" i="1"/>
  <c r="SG212" i="1"/>
  <c r="SG183" i="1"/>
  <c r="SG148" i="1"/>
  <c r="SG149" i="1"/>
  <c r="SG150" i="1"/>
  <c r="SG151" i="1"/>
  <c r="SG152" i="1"/>
  <c r="SG153" i="1"/>
  <c r="SG155" i="1"/>
  <c r="SG156" i="1"/>
  <c r="SG157" i="1"/>
  <c r="SG158" i="1"/>
  <c r="SG159" i="1"/>
  <c r="SG160" i="1"/>
  <c r="SG161" i="1"/>
  <c r="SG162" i="1"/>
  <c r="SG163" i="1"/>
  <c r="SG164" i="1"/>
  <c r="SG165" i="1"/>
  <c r="SG166" i="1"/>
  <c r="SG167" i="1"/>
  <c r="SG168" i="1"/>
  <c r="SG169" i="1"/>
  <c r="SG170" i="1"/>
  <c r="SG171" i="1"/>
  <c r="SG172" i="1"/>
  <c r="SG173" i="1"/>
  <c r="SG174" i="1"/>
  <c r="SG175" i="1"/>
  <c r="SG176" i="1"/>
  <c r="SG177" i="1"/>
  <c r="SG147" i="1"/>
  <c r="SG154" i="1"/>
  <c r="VA148" i="1"/>
  <c r="VA149" i="1"/>
  <c r="VA150" i="1"/>
  <c r="VA151" i="1"/>
  <c r="VA152" i="1"/>
  <c r="VA153" i="1"/>
  <c r="VA155" i="1"/>
  <c r="VA156" i="1"/>
  <c r="VA157" i="1"/>
  <c r="VA158" i="1"/>
  <c r="VA159" i="1"/>
  <c r="VA160" i="1"/>
  <c r="VA161" i="1"/>
  <c r="VA162" i="1"/>
  <c r="VA163" i="1"/>
  <c r="VA164" i="1"/>
  <c r="VA165" i="1"/>
  <c r="VA166" i="1"/>
  <c r="VA167" i="1"/>
  <c r="VA168" i="1"/>
  <c r="VA169" i="1"/>
  <c r="VA170" i="1"/>
  <c r="VA171" i="1"/>
  <c r="VA172" i="1"/>
  <c r="VA173" i="1"/>
  <c r="VA174" i="1"/>
  <c r="VA175" i="1"/>
  <c r="VA176" i="1"/>
  <c r="VA177" i="1"/>
  <c r="VA147" i="1"/>
  <c r="VA219" i="1"/>
  <c r="VA220" i="1"/>
  <c r="VA221" i="1"/>
  <c r="VA222" i="1"/>
  <c r="VA223" i="1"/>
  <c r="VA224" i="1"/>
  <c r="VA225" i="1"/>
  <c r="VA226" i="1"/>
  <c r="VA227" i="1"/>
  <c r="VA228" i="1"/>
  <c r="VA229" i="1"/>
  <c r="VA230" i="1"/>
  <c r="VA231" i="1"/>
  <c r="VA232" i="1"/>
  <c r="VA233" i="1"/>
  <c r="VA234" i="1"/>
  <c r="VA235" i="1"/>
  <c r="VA236" i="1"/>
  <c r="VA237" i="1"/>
  <c r="VA238" i="1"/>
  <c r="VA239" i="1"/>
  <c r="VA240" i="1"/>
  <c r="VA241" i="1"/>
  <c r="VA242" i="1"/>
  <c r="VA243" i="1"/>
  <c r="VA244" i="1"/>
  <c r="VA245" i="1"/>
  <c r="VA246" i="1"/>
  <c r="VA247" i="1"/>
  <c r="VA248" i="1"/>
  <c r="VA218" i="1"/>
  <c r="VA184" i="1"/>
  <c r="VA185" i="1"/>
  <c r="VA186" i="1"/>
  <c r="VA187" i="1"/>
  <c r="VA188" i="1"/>
  <c r="VA189" i="1"/>
  <c r="VA190" i="1"/>
  <c r="VA191" i="1"/>
  <c r="VA192" i="1"/>
  <c r="VA193" i="1"/>
  <c r="VA194" i="1"/>
  <c r="VA195" i="1"/>
  <c r="VA196" i="1"/>
  <c r="VA197" i="1"/>
  <c r="VA198" i="1"/>
  <c r="VA199" i="1"/>
  <c r="VA200" i="1"/>
  <c r="VA201" i="1"/>
  <c r="VA202" i="1"/>
  <c r="VA203" i="1"/>
  <c r="VA204" i="1"/>
  <c r="VA205" i="1"/>
  <c r="VA206" i="1"/>
  <c r="VA207" i="1"/>
  <c r="VA208" i="1"/>
  <c r="VA209" i="1"/>
  <c r="VA210" i="1"/>
  <c r="VA211" i="1"/>
  <c r="VA212" i="1"/>
  <c r="VA183" i="1"/>
  <c r="VA154" i="1"/>
  <c r="VJ148" i="1"/>
  <c r="VJ149" i="1"/>
  <c r="VJ150" i="1"/>
  <c r="VJ151" i="1"/>
  <c r="VJ152" i="1"/>
  <c r="VJ153" i="1"/>
  <c r="VJ155" i="1"/>
  <c r="VJ156" i="1"/>
  <c r="VJ157" i="1"/>
  <c r="VJ158" i="1"/>
  <c r="VJ159" i="1"/>
  <c r="VJ160" i="1"/>
  <c r="VJ161" i="1"/>
  <c r="VJ162" i="1"/>
  <c r="VJ163" i="1"/>
  <c r="VJ164" i="1"/>
  <c r="VJ165" i="1"/>
  <c r="VJ166" i="1"/>
  <c r="VJ167" i="1"/>
  <c r="VJ168" i="1"/>
  <c r="VJ169" i="1"/>
  <c r="VJ170" i="1"/>
  <c r="VJ171" i="1"/>
  <c r="VJ172" i="1"/>
  <c r="VJ173" i="1"/>
  <c r="VJ174" i="1"/>
  <c r="VJ175" i="1"/>
  <c r="VJ176" i="1"/>
  <c r="VJ177" i="1"/>
  <c r="VJ147" i="1"/>
  <c r="VJ184" i="1"/>
  <c r="VJ185" i="1"/>
  <c r="VJ186" i="1"/>
  <c r="VJ187" i="1"/>
  <c r="VJ188" i="1"/>
  <c r="VJ189" i="1"/>
  <c r="VJ190" i="1"/>
  <c r="VJ191" i="1"/>
  <c r="VJ192" i="1"/>
  <c r="VJ193" i="1"/>
  <c r="VJ194" i="1"/>
  <c r="VJ195" i="1"/>
  <c r="VJ196" i="1"/>
  <c r="VJ197" i="1"/>
  <c r="VJ198" i="1"/>
  <c r="VJ199" i="1"/>
  <c r="VJ200" i="1"/>
  <c r="VJ201" i="1"/>
  <c r="VJ202" i="1"/>
  <c r="VJ203" i="1"/>
  <c r="VJ204" i="1"/>
  <c r="VJ205" i="1"/>
  <c r="VJ206" i="1"/>
  <c r="VJ207" i="1"/>
  <c r="VJ208" i="1"/>
  <c r="VJ209" i="1"/>
  <c r="VJ210" i="1"/>
  <c r="VJ211" i="1"/>
  <c r="VJ212" i="1"/>
  <c r="VJ183" i="1"/>
  <c r="VJ219" i="1"/>
  <c r="VJ220" i="1"/>
  <c r="VJ221" i="1"/>
  <c r="VJ222" i="1"/>
  <c r="VJ223" i="1"/>
  <c r="VJ224" i="1"/>
  <c r="VJ225" i="1"/>
  <c r="VJ226" i="1"/>
  <c r="VJ227" i="1"/>
  <c r="VJ228" i="1"/>
  <c r="VJ229" i="1"/>
  <c r="VJ230" i="1"/>
  <c r="VJ231" i="1"/>
  <c r="VJ232" i="1"/>
  <c r="VJ233" i="1"/>
  <c r="VJ234" i="1"/>
  <c r="VJ235" i="1"/>
  <c r="VJ236" i="1"/>
  <c r="VJ237" i="1"/>
  <c r="VJ238" i="1"/>
  <c r="VJ239" i="1"/>
  <c r="VJ240" i="1"/>
  <c r="VJ241" i="1"/>
  <c r="VJ242" i="1"/>
  <c r="VJ243" i="1"/>
  <c r="VJ244" i="1"/>
  <c r="VJ245" i="1"/>
  <c r="VJ246" i="1"/>
  <c r="VJ247" i="1"/>
  <c r="VJ248" i="1"/>
  <c r="VJ218" i="1"/>
  <c r="VJ154" i="1"/>
  <c r="VM217" i="1"/>
  <c r="BN43" i="5"/>
  <c r="TT217" i="1"/>
  <c r="BI43" i="5"/>
  <c r="UU217" i="1"/>
  <c r="BL43" i="5"/>
  <c r="UC217" i="1"/>
  <c r="BJ43" i="5"/>
  <c r="WE217" i="1"/>
  <c r="BP43" i="5"/>
  <c r="ZH254" i="1"/>
  <c r="ZH255" i="1" s="1"/>
  <c r="ZH256" i="1" s="1"/>
  <c r="ZH257" i="1" s="1"/>
  <c r="ZH258" i="1" s="1"/>
  <c r="ZH259" i="1" s="1"/>
  <c r="ZH260" i="1" s="1"/>
  <c r="ZH261" i="1" s="1"/>
  <c r="ZH262" i="1" s="1"/>
  <c r="ZH263" i="1" s="1"/>
  <c r="ZH264" i="1" s="1"/>
  <c r="ZH265" i="1" s="1"/>
  <c r="ZH266" i="1" s="1"/>
  <c r="ZH267" i="1" s="1"/>
  <c r="ZH268" i="1" s="1"/>
  <c r="ZH269" i="1" s="1"/>
  <c r="ZH270" i="1" s="1"/>
  <c r="ZH271" i="1" s="1"/>
  <c r="ZH272" i="1" s="1"/>
  <c r="ZH273" i="1" s="1"/>
  <c r="ZH274" i="1" s="1"/>
  <c r="ZH275" i="1" s="1"/>
  <c r="ZH276" i="1" s="1"/>
  <c r="ZH277" i="1" s="1"/>
  <c r="ZH278" i="1" s="1"/>
  <c r="ZH279" i="1" s="1"/>
  <c r="ZH280" i="1" s="1"/>
  <c r="ZH281" i="1" s="1"/>
  <c r="ZH282" i="1" s="1"/>
  <c r="ZH283" i="1" s="1"/>
  <c r="ZH284" i="1" s="1"/>
  <c r="ZH285" i="1" s="1"/>
  <c r="BY53" i="5"/>
  <c r="ZQ253" i="1"/>
  <c r="BZ50" i="5"/>
  <c r="VV217" i="1"/>
  <c r="BO43" i="5"/>
  <c r="UL217" i="1"/>
  <c r="BK43" i="5"/>
  <c r="YY254" i="1"/>
  <c r="YY255" i="1" s="1"/>
  <c r="YY256" i="1" s="1"/>
  <c r="YY257" i="1" s="1"/>
  <c r="YY258" i="1" s="1"/>
  <c r="YY259" i="1" s="1"/>
  <c r="YY260" i="1" s="1"/>
  <c r="YY261" i="1" s="1"/>
  <c r="YY262" i="1" s="1"/>
  <c r="YY263" i="1" s="1"/>
  <c r="YY264" i="1" s="1"/>
  <c r="YY265" i="1" s="1"/>
  <c r="YY266" i="1" s="1"/>
  <c r="YY267" i="1" s="1"/>
  <c r="YY268" i="1" s="1"/>
  <c r="YY269" i="1" s="1"/>
  <c r="YY270" i="1" s="1"/>
  <c r="YY271" i="1" s="1"/>
  <c r="YY272" i="1" s="1"/>
  <c r="YY273" i="1" s="1"/>
  <c r="YY274" i="1" s="1"/>
  <c r="YY275" i="1" s="1"/>
  <c r="YY276" i="1" s="1"/>
  <c r="YY277" i="1" s="1"/>
  <c r="YY278" i="1" s="1"/>
  <c r="YY279" i="1" s="1"/>
  <c r="YY280" i="1" s="1"/>
  <c r="YY281" i="1" s="1"/>
  <c r="YY282" i="1" s="1"/>
  <c r="YY283" i="1" s="1"/>
  <c r="YY284" i="1" s="1"/>
  <c r="YY285" i="1" s="1"/>
  <c r="BX53" i="5"/>
  <c r="VD217" i="1"/>
  <c r="BM43" i="5"/>
  <c r="YP253" i="1"/>
  <c r="BW50" i="5"/>
  <c r="YG253" i="1"/>
  <c r="BV50" i="5"/>
  <c r="XX253" i="1"/>
  <c r="BU50" i="5"/>
  <c r="XF217" i="1"/>
  <c r="BS43" i="5"/>
  <c r="WW217" i="1"/>
  <c r="BR43" i="5"/>
  <c r="WN217" i="1"/>
  <c r="BQ43" i="5"/>
  <c r="XO253" i="1"/>
  <c r="BT50" i="5"/>
  <c r="B59" i="17"/>
  <c r="B59" i="18"/>
  <c r="GN61" i="7"/>
  <c r="GO61" i="7"/>
  <c r="HB61" i="7"/>
  <c r="HA61" i="7"/>
  <c r="GZ61" i="7"/>
  <c r="GY61" i="7"/>
  <c r="GX61" i="7"/>
  <c r="GW61" i="7"/>
  <c r="GV61" i="7"/>
  <c r="GU61" i="7"/>
  <c r="GT61" i="7"/>
  <c r="GS61" i="7"/>
  <c r="GR61" i="7"/>
  <c r="GQ61" i="7"/>
  <c r="GP61" i="7"/>
  <c r="B60" i="8"/>
  <c r="B63" i="21"/>
  <c r="B62" i="20"/>
  <c r="B62" i="19"/>
  <c r="B60" i="16"/>
  <c r="B61" i="15"/>
  <c r="B60" i="14"/>
  <c r="B60" i="13"/>
  <c r="B60" i="12"/>
  <c r="ER58" i="7"/>
  <c r="ES58" i="7"/>
  <c r="ET58" i="7"/>
  <c r="EU58" i="7"/>
  <c r="EV58" i="7"/>
  <c r="EW58" i="7"/>
  <c r="EX58" i="7"/>
  <c r="EY58" i="7"/>
  <c r="EZ58" i="7"/>
  <c r="FA58" i="7"/>
  <c r="FB58" i="7"/>
  <c r="FC58" i="7"/>
  <c r="FD58" i="7"/>
  <c r="FE58" i="7"/>
  <c r="FF58" i="7"/>
  <c r="FH58" i="7"/>
  <c r="FI58" i="7"/>
  <c r="FJ58" i="7"/>
  <c r="FK58" i="7"/>
  <c r="FL58" i="7"/>
  <c r="FM58" i="7"/>
  <c r="FN58" i="7"/>
  <c r="FO58" i="7"/>
  <c r="FP58" i="7"/>
  <c r="FQ58" i="7"/>
  <c r="FR58" i="7"/>
  <c r="FS58" i="7"/>
  <c r="FT58" i="7"/>
  <c r="FU58" i="7"/>
  <c r="FV58" i="7"/>
  <c r="FX58" i="7"/>
  <c r="FY58" i="7"/>
  <c r="FZ58" i="7"/>
  <c r="GA58" i="7"/>
  <c r="GB58" i="7"/>
  <c r="GC58" i="7"/>
  <c r="GD58" i="7"/>
  <c r="GE58" i="7"/>
  <c r="GF58" i="7"/>
  <c r="GG58" i="7"/>
  <c r="GH58" i="7"/>
  <c r="GI58" i="7"/>
  <c r="GJ58" i="7"/>
  <c r="GK58" i="7"/>
  <c r="GL58" i="7"/>
  <c r="GP58" i="7"/>
  <c r="GQ58" i="7"/>
  <c r="GR58" i="7"/>
  <c r="GS58" i="7"/>
  <c r="GT58" i="7"/>
  <c r="GU58" i="7"/>
  <c r="GV58" i="7"/>
  <c r="GW58" i="7"/>
  <c r="GX58" i="7"/>
  <c r="GY58" i="7"/>
  <c r="GZ58" i="7"/>
  <c r="HA58" i="7"/>
  <c r="HB58" i="7"/>
  <c r="HD58" i="7"/>
  <c r="HE58" i="7"/>
  <c r="HF58" i="7"/>
  <c r="HG58" i="7"/>
  <c r="HH58" i="7"/>
  <c r="HI58" i="7"/>
  <c r="HJ58" i="7"/>
  <c r="HK58" i="7"/>
  <c r="HL58" i="7"/>
  <c r="HM58" i="7"/>
  <c r="HN58" i="7"/>
  <c r="HO58" i="7"/>
  <c r="HP58" i="7"/>
  <c r="HQ58" i="7"/>
  <c r="HR58" i="7"/>
  <c r="HT58" i="7"/>
  <c r="HU58" i="7"/>
  <c r="HV58" i="7"/>
  <c r="HW58" i="7"/>
  <c r="HX58" i="7"/>
  <c r="HY58" i="7"/>
  <c r="HZ58" i="7"/>
  <c r="IA58" i="7"/>
  <c r="IB58" i="7"/>
  <c r="IC58" i="7"/>
  <c r="ID58" i="7"/>
  <c r="IE58" i="7"/>
  <c r="IF58" i="7"/>
  <c r="IG58" i="7"/>
  <c r="IH58" i="7"/>
  <c r="IJ58" i="7"/>
  <c r="IK58" i="7"/>
  <c r="IL58" i="7"/>
  <c r="IM58" i="7"/>
  <c r="IN58" i="7"/>
  <c r="IO58" i="7"/>
  <c r="IP58" i="7"/>
  <c r="IQ58" i="7"/>
  <c r="IR58" i="7"/>
  <c r="IS58" i="7"/>
  <c r="IT58" i="7"/>
  <c r="IU58" i="7"/>
  <c r="IV58" i="7"/>
  <c r="IW58" i="7"/>
  <c r="IX58" i="7"/>
  <c r="E411" i="6"/>
  <c r="E410" i="6"/>
  <c r="E409" i="6"/>
  <c r="C411" i="6"/>
  <c r="C410" i="6"/>
  <c r="C409" i="6"/>
  <c r="RX219" i="1" l="1"/>
  <c r="RX220" i="1"/>
  <c r="RX221" i="1"/>
  <c r="RX222" i="1"/>
  <c r="RX223" i="1"/>
  <c r="RX224" i="1"/>
  <c r="RX225" i="1"/>
  <c r="RX226" i="1"/>
  <c r="RX227" i="1"/>
  <c r="RX228" i="1"/>
  <c r="RX229" i="1"/>
  <c r="RX230" i="1"/>
  <c r="RX231" i="1"/>
  <c r="RX232" i="1"/>
  <c r="RX233" i="1"/>
  <c r="RX234" i="1"/>
  <c r="RX235" i="1"/>
  <c r="RX236" i="1"/>
  <c r="RX237" i="1"/>
  <c r="RX238" i="1"/>
  <c r="RX239" i="1"/>
  <c r="RX240" i="1"/>
  <c r="RX241" i="1"/>
  <c r="RX242" i="1"/>
  <c r="RX243" i="1"/>
  <c r="RX244" i="1"/>
  <c r="RX245" i="1"/>
  <c r="RX246" i="1"/>
  <c r="RX247" i="1"/>
  <c r="RX248" i="1"/>
  <c r="RX218" i="1"/>
  <c r="RX184" i="1"/>
  <c r="RX185" i="1"/>
  <c r="RX186" i="1"/>
  <c r="RX187" i="1"/>
  <c r="RX188" i="1"/>
  <c r="RX189" i="1"/>
  <c r="RX190" i="1"/>
  <c r="RX191" i="1"/>
  <c r="RX192" i="1"/>
  <c r="RX193" i="1"/>
  <c r="RX194" i="1"/>
  <c r="RX195" i="1"/>
  <c r="RX196" i="1"/>
  <c r="RX197" i="1"/>
  <c r="RX198" i="1"/>
  <c r="RX199" i="1"/>
  <c r="RX200" i="1"/>
  <c r="RX201" i="1"/>
  <c r="RX202" i="1"/>
  <c r="RX203" i="1"/>
  <c r="RX204" i="1"/>
  <c r="RX205" i="1"/>
  <c r="RX206" i="1"/>
  <c r="RX207" i="1"/>
  <c r="RX208" i="1"/>
  <c r="RX209" i="1"/>
  <c r="RX210" i="1"/>
  <c r="RX211" i="1"/>
  <c r="RX212" i="1"/>
  <c r="RX183" i="1"/>
  <c r="RX148" i="1"/>
  <c r="RX149" i="1"/>
  <c r="RX150" i="1"/>
  <c r="RX151" i="1"/>
  <c r="RX152" i="1"/>
  <c r="RX153" i="1"/>
  <c r="RX155" i="1"/>
  <c r="RX156" i="1"/>
  <c r="RX157" i="1"/>
  <c r="RX158" i="1"/>
  <c r="RX159" i="1"/>
  <c r="RX160" i="1"/>
  <c r="RX161" i="1"/>
  <c r="RX162" i="1"/>
  <c r="RX163" i="1"/>
  <c r="RX164" i="1"/>
  <c r="RX165" i="1"/>
  <c r="RX166" i="1"/>
  <c r="RX167" i="1"/>
  <c r="RX168" i="1"/>
  <c r="RX169" i="1"/>
  <c r="RX170" i="1"/>
  <c r="RX171" i="1"/>
  <c r="RX172" i="1"/>
  <c r="RX173" i="1"/>
  <c r="RX174" i="1"/>
  <c r="RX175" i="1"/>
  <c r="RX176" i="1"/>
  <c r="RX177" i="1"/>
  <c r="RX147" i="1"/>
  <c r="RX154" i="1"/>
  <c r="YY289" i="1"/>
  <c r="BX57" i="5"/>
  <c r="UC218" i="1"/>
  <c r="UC219" i="1" s="1"/>
  <c r="UC220" i="1" s="1"/>
  <c r="UC221" i="1" s="1"/>
  <c r="UC222" i="1" s="1"/>
  <c r="UC223" i="1" s="1"/>
  <c r="UC224" i="1" s="1"/>
  <c r="UC225" i="1" s="1"/>
  <c r="UC226" i="1" s="1"/>
  <c r="UC227" i="1" s="1"/>
  <c r="UC228" i="1" s="1"/>
  <c r="UC229" i="1" s="1"/>
  <c r="UC230" i="1" s="1"/>
  <c r="UC231" i="1" s="1"/>
  <c r="UC232" i="1" s="1"/>
  <c r="UC233" i="1" s="1"/>
  <c r="UC234" i="1" s="1"/>
  <c r="UC235" i="1" s="1"/>
  <c r="UC236" i="1" s="1"/>
  <c r="UC237" i="1" s="1"/>
  <c r="UC238" i="1" s="1"/>
  <c r="UC239" i="1" s="1"/>
  <c r="UC240" i="1" s="1"/>
  <c r="UC241" i="1" s="1"/>
  <c r="UC242" i="1" s="1"/>
  <c r="UC243" i="1" s="1"/>
  <c r="UC244" i="1" s="1"/>
  <c r="UC245" i="1" s="1"/>
  <c r="UC246" i="1" s="1"/>
  <c r="UC247" i="1" s="1"/>
  <c r="UC248" i="1" s="1"/>
  <c r="UC249" i="1" s="1"/>
  <c r="BJ46" i="5"/>
  <c r="ZH289" i="1"/>
  <c r="BY57" i="5"/>
  <c r="VD218" i="1"/>
  <c r="VD219" i="1" s="1"/>
  <c r="VD220" i="1" s="1"/>
  <c r="VD221" i="1" s="1"/>
  <c r="VD222" i="1" s="1"/>
  <c r="VD223" i="1" s="1"/>
  <c r="VD224" i="1" s="1"/>
  <c r="VD225" i="1" s="1"/>
  <c r="VD226" i="1" s="1"/>
  <c r="VD227" i="1" s="1"/>
  <c r="VD228" i="1" s="1"/>
  <c r="VD229" i="1" s="1"/>
  <c r="VD230" i="1" s="1"/>
  <c r="VD231" i="1" s="1"/>
  <c r="VD232" i="1" s="1"/>
  <c r="VD233" i="1" s="1"/>
  <c r="VD234" i="1" s="1"/>
  <c r="VD235" i="1" s="1"/>
  <c r="VD236" i="1" s="1"/>
  <c r="VD237" i="1" s="1"/>
  <c r="VD238" i="1" s="1"/>
  <c r="VD239" i="1" s="1"/>
  <c r="VD240" i="1" s="1"/>
  <c r="VD241" i="1" s="1"/>
  <c r="VD242" i="1" s="1"/>
  <c r="VD243" i="1" s="1"/>
  <c r="VD244" i="1" s="1"/>
  <c r="VD245" i="1" s="1"/>
  <c r="VD246" i="1" s="1"/>
  <c r="VD247" i="1" s="1"/>
  <c r="VD248" i="1" s="1"/>
  <c r="VD249" i="1" s="1"/>
  <c r="BM46" i="5"/>
  <c r="WE218" i="1"/>
  <c r="WE219" i="1" s="1"/>
  <c r="WE220" i="1" s="1"/>
  <c r="WE221" i="1" s="1"/>
  <c r="WE222" i="1" s="1"/>
  <c r="WE223" i="1" s="1"/>
  <c r="WE224" i="1" s="1"/>
  <c r="WE225" i="1" s="1"/>
  <c r="WE226" i="1" s="1"/>
  <c r="WE227" i="1" s="1"/>
  <c r="WE228" i="1" s="1"/>
  <c r="WE229" i="1" s="1"/>
  <c r="WE230" i="1" s="1"/>
  <c r="WE231" i="1" s="1"/>
  <c r="WE232" i="1" s="1"/>
  <c r="WE233" i="1" s="1"/>
  <c r="WE234" i="1" s="1"/>
  <c r="WE235" i="1" s="1"/>
  <c r="WE236" i="1" s="1"/>
  <c r="WE237" i="1" s="1"/>
  <c r="WE238" i="1" s="1"/>
  <c r="WE239" i="1" s="1"/>
  <c r="WE240" i="1" s="1"/>
  <c r="WE241" i="1" s="1"/>
  <c r="WE242" i="1" s="1"/>
  <c r="WE243" i="1" s="1"/>
  <c r="WE244" i="1" s="1"/>
  <c r="WE245" i="1" s="1"/>
  <c r="WE246" i="1" s="1"/>
  <c r="WE247" i="1" s="1"/>
  <c r="WE248" i="1" s="1"/>
  <c r="WE249" i="1" s="1"/>
  <c r="BP46" i="5"/>
  <c r="UL218" i="1"/>
  <c r="UL219" i="1" s="1"/>
  <c r="UL220" i="1" s="1"/>
  <c r="UL221" i="1" s="1"/>
  <c r="UL222" i="1" s="1"/>
  <c r="UL223" i="1" s="1"/>
  <c r="UL224" i="1" s="1"/>
  <c r="UL225" i="1" s="1"/>
  <c r="UL226" i="1" s="1"/>
  <c r="UL227" i="1" s="1"/>
  <c r="UL228" i="1" s="1"/>
  <c r="UL229" i="1" s="1"/>
  <c r="UL230" i="1" s="1"/>
  <c r="UL231" i="1" s="1"/>
  <c r="UL232" i="1" s="1"/>
  <c r="UL233" i="1" s="1"/>
  <c r="UL234" i="1" s="1"/>
  <c r="UL235" i="1" s="1"/>
  <c r="UL236" i="1" s="1"/>
  <c r="UL237" i="1" s="1"/>
  <c r="UL238" i="1" s="1"/>
  <c r="UL239" i="1" s="1"/>
  <c r="UL240" i="1" s="1"/>
  <c r="UL241" i="1" s="1"/>
  <c r="UL242" i="1" s="1"/>
  <c r="UL243" i="1" s="1"/>
  <c r="UL244" i="1" s="1"/>
  <c r="UL245" i="1" s="1"/>
  <c r="UL246" i="1" s="1"/>
  <c r="UL247" i="1" s="1"/>
  <c r="UL248" i="1" s="1"/>
  <c r="UL249" i="1" s="1"/>
  <c r="BK46" i="5"/>
  <c r="TT218" i="1"/>
  <c r="TT219" i="1" s="1"/>
  <c r="TT220" i="1" s="1"/>
  <c r="TT221" i="1" s="1"/>
  <c r="TT222" i="1" s="1"/>
  <c r="TT223" i="1" s="1"/>
  <c r="TT224" i="1" s="1"/>
  <c r="TT225" i="1" s="1"/>
  <c r="TT226" i="1" s="1"/>
  <c r="TT227" i="1" s="1"/>
  <c r="TT228" i="1" s="1"/>
  <c r="TT229" i="1" s="1"/>
  <c r="TT230" i="1" s="1"/>
  <c r="TT231" i="1" s="1"/>
  <c r="TT232" i="1" s="1"/>
  <c r="TT233" i="1" s="1"/>
  <c r="TT234" i="1" s="1"/>
  <c r="TT235" i="1" s="1"/>
  <c r="TT236" i="1" s="1"/>
  <c r="TT237" i="1" s="1"/>
  <c r="TT238" i="1" s="1"/>
  <c r="TT239" i="1" s="1"/>
  <c r="TT240" i="1" s="1"/>
  <c r="TT241" i="1" s="1"/>
  <c r="TT242" i="1" s="1"/>
  <c r="TT243" i="1" s="1"/>
  <c r="TT244" i="1" s="1"/>
  <c r="TT245" i="1" s="1"/>
  <c r="TT246" i="1" s="1"/>
  <c r="TT247" i="1" s="1"/>
  <c r="TT248" i="1" s="1"/>
  <c r="TT249" i="1" s="1"/>
  <c r="TU249" i="1" s="1"/>
  <c r="BI46" i="5"/>
  <c r="UU218" i="1"/>
  <c r="UU219" i="1" s="1"/>
  <c r="UU220" i="1" s="1"/>
  <c r="UU221" i="1" s="1"/>
  <c r="UU222" i="1" s="1"/>
  <c r="UU223" i="1" s="1"/>
  <c r="UU224" i="1" s="1"/>
  <c r="UU225" i="1" s="1"/>
  <c r="UU226" i="1" s="1"/>
  <c r="UU227" i="1" s="1"/>
  <c r="UU228" i="1" s="1"/>
  <c r="UU229" i="1" s="1"/>
  <c r="UU230" i="1" s="1"/>
  <c r="UU231" i="1" s="1"/>
  <c r="UU232" i="1" s="1"/>
  <c r="UU233" i="1" s="1"/>
  <c r="UU234" i="1" s="1"/>
  <c r="UU235" i="1" s="1"/>
  <c r="UU236" i="1" s="1"/>
  <c r="UU237" i="1" s="1"/>
  <c r="UU238" i="1" s="1"/>
  <c r="UU239" i="1" s="1"/>
  <c r="UU240" i="1" s="1"/>
  <c r="UU241" i="1" s="1"/>
  <c r="UU242" i="1" s="1"/>
  <c r="UU243" i="1" s="1"/>
  <c r="UU244" i="1" s="1"/>
  <c r="UU245" i="1" s="1"/>
  <c r="UU246" i="1" s="1"/>
  <c r="UU247" i="1" s="1"/>
  <c r="UU248" i="1" s="1"/>
  <c r="UU249" i="1" s="1"/>
  <c r="BL46" i="5"/>
  <c r="VV218" i="1"/>
  <c r="VV219" i="1" s="1"/>
  <c r="VV220" i="1" s="1"/>
  <c r="VV221" i="1" s="1"/>
  <c r="VV222" i="1" s="1"/>
  <c r="VV223" i="1" s="1"/>
  <c r="VV224" i="1" s="1"/>
  <c r="VV225" i="1" s="1"/>
  <c r="VV226" i="1" s="1"/>
  <c r="VV227" i="1" s="1"/>
  <c r="VV228" i="1" s="1"/>
  <c r="VV229" i="1" s="1"/>
  <c r="VV230" i="1" s="1"/>
  <c r="VV231" i="1" s="1"/>
  <c r="VV232" i="1" s="1"/>
  <c r="VV233" i="1" s="1"/>
  <c r="VV234" i="1" s="1"/>
  <c r="VV235" i="1" s="1"/>
  <c r="VV236" i="1" s="1"/>
  <c r="VV237" i="1" s="1"/>
  <c r="VV238" i="1" s="1"/>
  <c r="VV239" i="1" s="1"/>
  <c r="VV240" i="1" s="1"/>
  <c r="VV241" i="1" s="1"/>
  <c r="VV242" i="1" s="1"/>
  <c r="VV243" i="1" s="1"/>
  <c r="VV244" i="1" s="1"/>
  <c r="VV245" i="1" s="1"/>
  <c r="VV246" i="1" s="1"/>
  <c r="VV247" i="1" s="1"/>
  <c r="VV248" i="1" s="1"/>
  <c r="VV249" i="1" s="1"/>
  <c r="BO46" i="5"/>
  <c r="ZQ254" i="1"/>
  <c r="ZQ255" i="1" s="1"/>
  <c r="ZQ256" i="1" s="1"/>
  <c r="ZQ257" i="1" s="1"/>
  <c r="ZQ258" i="1" s="1"/>
  <c r="ZQ259" i="1" s="1"/>
  <c r="ZQ260" i="1" s="1"/>
  <c r="ZQ261" i="1" s="1"/>
  <c r="ZQ262" i="1" s="1"/>
  <c r="ZQ263" i="1" s="1"/>
  <c r="ZQ264" i="1" s="1"/>
  <c r="ZQ265" i="1" s="1"/>
  <c r="ZQ266" i="1" s="1"/>
  <c r="ZQ267" i="1" s="1"/>
  <c r="ZQ268" i="1" s="1"/>
  <c r="ZQ269" i="1" s="1"/>
  <c r="ZQ270" i="1" s="1"/>
  <c r="ZQ271" i="1" s="1"/>
  <c r="ZQ272" i="1" s="1"/>
  <c r="ZQ273" i="1" s="1"/>
  <c r="ZQ274" i="1" s="1"/>
  <c r="ZQ275" i="1" s="1"/>
  <c r="ZQ276" i="1" s="1"/>
  <c r="ZQ277" i="1" s="1"/>
  <c r="ZQ278" i="1" s="1"/>
  <c r="ZQ279" i="1" s="1"/>
  <c r="ZQ280" i="1" s="1"/>
  <c r="ZQ281" i="1" s="1"/>
  <c r="ZQ282" i="1" s="1"/>
  <c r="ZQ283" i="1" s="1"/>
  <c r="ZQ284" i="1" s="1"/>
  <c r="ZQ285" i="1" s="1"/>
  <c r="BZ53" i="5"/>
  <c r="VM218" i="1"/>
  <c r="VM219" i="1" s="1"/>
  <c r="VM220" i="1" s="1"/>
  <c r="VM221" i="1" s="1"/>
  <c r="VM222" i="1" s="1"/>
  <c r="VM223" i="1" s="1"/>
  <c r="VM224" i="1" s="1"/>
  <c r="VM225" i="1" s="1"/>
  <c r="VM226" i="1" s="1"/>
  <c r="VM227" i="1" s="1"/>
  <c r="VM228" i="1" s="1"/>
  <c r="VM229" i="1" s="1"/>
  <c r="VM230" i="1" s="1"/>
  <c r="VM231" i="1" s="1"/>
  <c r="VM232" i="1" s="1"/>
  <c r="VM233" i="1" s="1"/>
  <c r="VM234" i="1" s="1"/>
  <c r="VM235" i="1" s="1"/>
  <c r="VM236" i="1" s="1"/>
  <c r="VM237" i="1" s="1"/>
  <c r="VM238" i="1" s="1"/>
  <c r="VM239" i="1" s="1"/>
  <c r="VM240" i="1" s="1"/>
  <c r="VM241" i="1" s="1"/>
  <c r="VM242" i="1" s="1"/>
  <c r="VM243" i="1" s="1"/>
  <c r="VM244" i="1" s="1"/>
  <c r="VM245" i="1" s="1"/>
  <c r="VM246" i="1" s="1"/>
  <c r="VM247" i="1" s="1"/>
  <c r="VM248" i="1" s="1"/>
  <c r="VM249" i="1" s="1"/>
  <c r="BN46" i="5"/>
  <c r="YP254" i="1"/>
  <c r="YP255" i="1" s="1"/>
  <c r="YP256" i="1" s="1"/>
  <c r="YP257" i="1" s="1"/>
  <c r="YP258" i="1" s="1"/>
  <c r="YP259" i="1" s="1"/>
  <c r="YP260" i="1" s="1"/>
  <c r="YP261" i="1" s="1"/>
  <c r="YP262" i="1" s="1"/>
  <c r="YP263" i="1" s="1"/>
  <c r="YP264" i="1" s="1"/>
  <c r="YP265" i="1" s="1"/>
  <c r="YP266" i="1" s="1"/>
  <c r="YP267" i="1" s="1"/>
  <c r="YP268" i="1" s="1"/>
  <c r="YP269" i="1" s="1"/>
  <c r="YP270" i="1" s="1"/>
  <c r="YP271" i="1" s="1"/>
  <c r="YP272" i="1" s="1"/>
  <c r="YP273" i="1" s="1"/>
  <c r="YP274" i="1" s="1"/>
  <c r="YP275" i="1" s="1"/>
  <c r="YP276" i="1" s="1"/>
  <c r="YP277" i="1" s="1"/>
  <c r="YP278" i="1" s="1"/>
  <c r="YP279" i="1" s="1"/>
  <c r="YP280" i="1" s="1"/>
  <c r="YP281" i="1" s="1"/>
  <c r="YP282" i="1" s="1"/>
  <c r="YP283" i="1" s="1"/>
  <c r="YP284" i="1" s="1"/>
  <c r="YP285" i="1" s="1"/>
  <c r="BW53" i="5"/>
  <c r="YG254" i="1"/>
  <c r="YG255" i="1" s="1"/>
  <c r="YG256" i="1" s="1"/>
  <c r="YG257" i="1" s="1"/>
  <c r="YG258" i="1" s="1"/>
  <c r="YG259" i="1" s="1"/>
  <c r="YG260" i="1" s="1"/>
  <c r="YG261" i="1" s="1"/>
  <c r="YG262" i="1" s="1"/>
  <c r="YG263" i="1" s="1"/>
  <c r="YG264" i="1" s="1"/>
  <c r="YG265" i="1" s="1"/>
  <c r="YG266" i="1" s="1"/>
  <c r="YG267" i="1" s="1"/>
  <c r="YG268" i="1" s="1"/>
  <c r="YG269" i="1" s="1"/>
  <c r="YG270" i="1" s="1"/>
  <c r="YG271" i="1" s="1"/>
  <c r="YG272" i="1" s="1"/>
  <c r="YG273" i="1" s="1"/>
  <c r="YG274" i="1" s="1"/>
  <c r="YG275" i="1" s="1"/>
  <c r="YG276" i="1" s="1"/>
  <c r="YG277" i="1" s="1"/>
  <c r="YG278" i="1" s="1"/>
  <c r="YG279" i="1" s="1"/>
  <c r="YG280" i="1" s="1"/>
  <c r="YG281" i="1" s="1"/>
  <c r="YG282" i="1" s="1"/>
  <c r="YG283" i="1" s="1"/>
  <c r="YG284" i="1" s="1"/>
  <c r="YG285" i="1" s="1"/>
  <c r="BV53" i="5"/>
  <c r="XX254" i="1"/>
  <c r="XX255" i="1" s="1"/>
  <c r="XX256" i="1" s="1"/>
  <c r="XX257" i="1" s="1"/>
  <c r="XX258" i="1" s="1"/>
  <c r="XX259" i="1" s="1"/>
  <c r="XX260" i="1" s="1"/>
  <c r="XX261" i="1" s="1"/>
  <c r="XX262" i="1" s="1"/>
  <c r="XX263" i="1" s="1"/>
  <c r="XX264" i="1" s="1"/>
  <c r="XX265" i="1" s="1"/>
  <c r="XX266" i="1" s="1"/>
  <c r="XX267" i="1" s="1"/>
  <c r="XX268" i="1" s="1"/>
  <c r="XX269" i="1" s="1"/>
  <c r="XX270" i="1" s="1"/>
  <c r="XX271" i="1" s="1"/>
  <c r="XX272" i="1" s="1"/>
  <c r="XX273" i="1" s="1"/>
  <c r="XX274" i="1" s="1"/>
  <c r="XX275" i="1" s="1"/>
  <c r="XX276" i="1" s="1"/>
  <c r="XX277" i="1" s="1"/>
  <c r="XX278" i="1" s="1"/>
  <c r="XX279" i="1" s="1"/>
  <c r="XX280" i="1" s="1"/>
  <c r="XX281" i="1" s="1"/>
  <c r="XX282" i="1" s="1"/>
  <c r="XX283" i="1" s="1"/>
  <c r="XX284" i="1" s="1"/>
  <c r="XX285" i="1" s="1"/>
  <c r="BU53" i="5"/>
  <c r="XF218" i="1"/>
  <c r="XF219" i="1" s="1"/>
  <c r="XF220" i="1" s="1"/>
  <c r="XF221" i="1" s="1"/>
  <c r="XF222" i="1" s="1"/>
  <c r="XF223" i="1" s="1"/>
  <c r="XF224" i="1" s="1"/>
  <c r="XF225" i="1" s="1"/>
  <c r="XF226" i="1" s="1"/>
  <c r="XF227" i="1" s="1"/>
  <c r="XF228" i="1" s="1"/>
  <c r="XF229" i="1" s="1"/>
  <c r="XF230" i="1" s="1"/>
  <c r="XF231" i="1" s="1"/>
  <c r="XF232" i="1" s="1"/>
  <c r="XF233" i="1" s="1"/>
  <c r="XF234" i="1" s="1"/>
  <c r="XF235" i="1" s="1"/>
  <c r="XF236" i="1" s="1"/>
  <c r="XF237" i="1" s="1"/>
  <c r="XF238" i="1" s="1"/>
  <c r="XF239" i="1" s="1"/>
  <c r="XF240" i="1" s="1"/>
  <c r="XF241" i="1" s="1"/>
  <c r="XF242" i="1" s="1"/>
  <c r="XF243" i="1" s="1"/>
  <c r="XF244" i="1" s="1"/>
  <c r="XF245" i="1" s="1"/>
  <c r="XF246" i="1" s="1"/>
  <c r="XF247" i="1" s="1"/>
  <c r="XF248" i="1" s="1"/>
  <c r="XF249" i="1" s="1"/>
  <c r="BS46" i="5"/>
  <c r="WW218" i="1"/>
  <c r="WW219" i="1" s="1"/>
  <c r="WW220" i="1" s="1"/>
  <c r="WW221" i="1" s="1"/>
  <c r="WW222" i="1" s="1"/>
  <c r="WW223" i="1" s="1"/>
  <c r="WW224" i="1" s="1"/>
  <c r="WW225" i="1" s="1"/>
  <c r="WW226" i="1" s="1"/>
  <c r="WW227" i="1" s="1"/>
  <c r="WW228" i="1" s="1"/>
  <c r="WW229" i="1" s="1"/>
  <c r="WW230" i="1" s="1"/>
  <c r="WW231" i="1" s="1"/>
  <c r="WW232" i="1" s="1"/>
  <c r="WW233" i="1" s="1"/>
  <c r="WW234" i="1" s="1"/>
  <c r="WW235" i="1" s="1"/>
  <c r="WW236" i="1" s="1"/>
  <c r="WW237" i="1" s="1"/>
  <c r="WW238" i="1" s="1"/>
  <c r="WW239" i="1" s="1"/>
  <c r="WW240" i="1" s="1"/>
  <c r="WW241" i="1" s="1"/>
  <c r="WW242" i="1" s="1"/>
  <c r="WW243" i="1" s="1"/>
  <c r="WW244" i="1" s="1"/>
  <c r="WW245" i="1" s="1"/>
  <c r="WW246" i="1" s="1"/>
  <c r="WW247" i="1" s="1"/>
  <c r="WW248" i="1" s="1"/>
  <c r="WW249" i="1" s="1"/>
  <c r="BR46" i="5"/>
  <c r="WN218" i="1"/>
  <c r="WN219" i="1" s="1"/>
  <c r="WN220" i="1" s="1"/>
  <c r="WN221" i="1" s="1"/>
  <c r="WN222" i="1" s="1"/>
  <c r="WN223" i="1" s="1"/>
  <c r="WN224" i="1" s="1"/>
  <c r="WN225" i="1" s="1"/>
  <c r="WN226" i="1" s="1"/>
  <c r="WN227" i="1" s="1"/>
  <c r="WN228" i="1" s="1"/>
  <c r="WN229" i="1" s="1"/>
  <c r="WN230" i="1" s="1"/>
  <c r="WN231" i="1" s="1"/>
  <c r="WN232" i="1" s="1"/>
  <c r="WN233" i="1" s="1"/>
  <c r="WN234" i="1" s="1"/>
  <c r="WN235" i="1" s="1"/>
  <c r="WN236" i="1" s="1"/>
  <c r="WN237" i="1" s="1"/>
  <c r="WN238" i="1" s="1"/>
  <c r="WN239" i="1" s="1"/>
  <c r="WN240" i="1" s="1"/>
  <c r="WN241" i="1" s="1"/>
  <c r="WN242" i="1" s="1"/>
  <c r="WN243" i="1" s="1"/>
  <c r="WN244" i="1" s="1"/>
  <c r="WN245" i="1" s="1"/>
  <c r="WN246" i="1" s="1"/>
  <c r="WN247" i="1" s="1"/>
  <c r="WN248" i="1" s="1"/>
  <c r="WN249" i="1" s="1"/>
  <c r="BQ46" i="5"/>
  <c r="XO254" i="1"/>
  <c r="XO255" i="1" s="1"/>
  <c r="XO256" i="1" s="1"/>
  <c r="XO257" i="1" s="1"/>
  <c r="XO258" i="1" s="1"/>
  <c r="XO259" i="1" s="1"/>
  <c r="XO260" i="1" s="1"/>
  <c r="XO261" i="1" s="1"/>
  <c r="XO262" i="1" s="1"/>
  <c r="XO263" i="1" s="1"/>
  <c r="XO264" i="1" s="1"/>
  <c r="XO265" i="1" s="1"/>
  <c r="XO266" i="1" s="1"/>
  <c r="XO267" i="1" s="1"/>
  <c r="XO268" i="1" s="1"/>
  <c r="XO269" i="1" s="1"/>
  <c r="XO270" i="1" s="1"/>
  <c r="XO271" i="1" s="1"/>
  <c r="XO272" i="1" s="1"/>
  <c r="XO273" i="1" s="1"/>
  <c r="XO274" i="1" s="1"/>
  <c r="XO275" i="1" s="1"/>
  <c r="XO276" i="1" s="1"/>
  <c r="XO277" i="1" s="1"/>
  <c r="XO278" i="1" s="1"/>
  <c r="XO279" i="1" s="1"/>
  <c r="XO280" i="1" s="1"/>
  <c r="XO281" i="1" s="1"/>
  <c r="XO282" i="1" s="1"/>
  <c r="XO283" i="1" s="1"/>
  <c r="XO284" i="1" s="1"/>
  <c r="XO285" i="1" s="1"/>
  <c r="BT53" i="5"/>
  <c r="SP255" i="1"/>
  <c r="SP256" i="1"/>
  <c r="SP257" i="1"/>
  <c r="SP258" i="1"/>
  <c r="SP259" i="1"/>
  <c r="SP260" i="1"/>
  <c r="SP261" i="1"/>
  <c r="SP262" i="1"/>
  <c r="SP274" i="1"/>
  <c r="SP279" i="1"/>
  <c r="SP281" i="1"/>
  <c r="SP283" i="1"/>
  <c r="SP273" i="1"/>
  <c r="SP263" i="1"/>
  <c r="SP275" i="1"/>
  <c r="SP276" i="1"/>
  <c r="SP268" i="1"/>
  <c r="SP269" i="1"/>
  <c r="SP282" i="1"/>
  <c r="SP272" i="1"/>
  <c r="SP254" i="1"/>
  <c r="SP264" i="1"/>
  <c r="SP265" i="1"/>
  <c r="SP277" i="1"/>
  <c r="SP267" i="1"/>
  <c r="SP280" i="1"/>
  <c r="SP271" i="1"/>
  <c r="SP284" i="1"/>
  <c r="SP266" i="1"/>
  <c r="SP278" i="1"/>
  <c r="SP270" i="1"/>
  <c r="SG337" i="1"/>
  <c r="SG349" i="1"/>
  <c r="SG295" i="1"/>
  <c r="SG307" i="1"/>
  <c r="SG319" i="1"/>
  <c r="SG265" i="1"/>
  <c r="SG277" i="1"/>
  <c r="SG410" i="1"/>
  <c r="SG422" i="1"/>
  <c r="SG380" i="1"/>
  <c r="SG350" i="1"/>
  <c r="SG308" i="1"/>
  <c r="SG266" i="1"/>
  <c r="SG399" i="1"/>
  <c r="SG369" i="1"/>
  <c r="SG327" i="1"/>
  <c r="SG351" i="1"/>
  <c r="SG309" i="1"/>
  <c r="SG267" i="1"/>
  <c r="SG414" i="1"/>
  <c r="SG384" i="1"/>
  <c r="SG354" i="1"/>
  <c r="SG258" i="1"/>
  <c r="SG403" i="1"/>
  <c r="SG373" i="1"/>
  <c r="SG343" i="1"/>
  <c r="SG313" i="1"/>
  <c r="SG31" i="1"/>
  <c r="SG7" i="1"/>
  <c r="SG18" i="1"/>
  <c r="SG29" i="1"/>
  <c r="SG15" i="1"/>
  <c r="SG26" i="1"/>
  <c r="SG14" i="1"/>
  <c r="SG25" i="1"/>
  <c r="SG405" i="1"/>
  <c r="SG375" i="1"/>
  <c r="SG355" i="1"/>
  <c r="SG259" i="1"/>
  <c r="SG404" i="1"/>
  <c r="SG374" i="1"/>
  <c r="SG344" i="1"/>
  <c r="SG314" i="1"/>
  <c r="SG284" i="1"/>
  <c r="SG417" i="1"/>
  <c r="SG387" i="1"/>
  <c r="SG291" i="1"/>
  <c r="SG315" i="1"/>
  <c r="SG273" i="1"/>
  <c r="SG364" i="1"/>
  <c r="SG334" i="1"/>
  <c r="SG304" i="1"/>
  <c r="SG274" i="1"/>
  <c r="SG365" i="1"/>
  <c r="SG335" i="1"/>
  <c r="SG305" i="1"/>
  <c r="SG275" i="1"/>
  <c r="SG401" i="1"/>
  <c r="SG413" i="1"/>
  <c r="SG425" i="1"/>
  <c r="SG371" i="1"/>
  <c r="SG383" i="1"/>
  <c r="SG329" i="1"/>
  <c r="SG341" i="1"/>
  <c r="SG353" i="1"/>
  <c r="SG299" i="1"/>
  <c r="SG311" i="1"/>
  <c r="SG257" i="1"/>
  <c r="SG269" i="1"/>
  <c r="SG281" i="1"/>
  <c r="SG279" i="1"/>
  <c r="SG402" i="1"/>
  <c r="SG372" i="1"/>
  <c r="SG342" i="1"/>
  <c r="SG312" i="1"/>
  <c r="SG282" i="1"/>
  <c r="SG396" i="1"/>
  <c r="SG331" i="1"/>
  <c r="SG301" i="1"/>
  <c r="SG271" i="1"/>
  <c r="SG416" i="1"/>
  <c r="SG332" i="1"/>
  <c r="SG302" i="1"/>
  <c r="SG272" i="1"/>
  <c r="SG363" i="1"/>
  <c r="SG333" i="1"/>
  <c r="SG254" i="1"/>
  <c r="SG418" i="1"/>
  <c r="SG388" i="1"/>
  <c r="SG292" i="1"/>
  <c r="SG262" i="1"/>
  <c r="SG407" i="1"/>
  <c r="SG377" i="1"/>
  <c r="SG347" i="1"/>
  <c r="SG317" i="1"/>
  <c r="SG397" i="1"/>
  <c r="SG409" i="1"/>
  <c r="SG421" i="1"/>
  <c r="SG367" i="1"/>
  <c r="SG379" i="1"/>
  <c r="SG361" i="1"/>
  <c r="SG32" i="1"/>
  <c r="SG20" i="1"/>
  <c r="SG8" i="1"/>
  <c r="SG19" i="1"/>
  <c r="SG30" i="1"/>
  <c r="SG17" i="1"/>
  <c r="SG28" i="1"/>
  <c r="SG16" i="1"/>
  <c r="SG27" i="1"/>
  <c r="SG283" i="1"/>
  <c r="SG255" i="1"/>
  <c r="SG386" i="1"/>
  <c r="SG297" i="1"/>
  <c r="SG325" i="1"/>
  <c r="SG260" i="1"/>
  <c r="SG339" i="1"/>
  <c r="SG362" i="1"/>
  <c r="SG408" i="1"/>
  <c r="SG420" i="1"/>
  <c r="SG366" i="1"/>
  <c r="SG378" i="1"/>
  <c r="SG390" i="1"/>
  <c r="SG336" i="1"/>
  <c r="SG348" i="1"/>
  <c r="SG294" i="1"/>
  <c r="SG306" i="1"/>
  <c r="SG318" i="1"/>
  <c r="SG264" i="1"/>
  <c r="SG276" i="1"/>
  <c r="SG398" i="1"/>
  <c r="SG368" i="1"/>
  <c r="SG326" i="1"/>
  <c r="SG338" i="1"/>
  <c r="SG10" i="1"/>
  <c r="SG33" i="1"/>
  <c r="SG21" i="1"/>
  <c r="SG370" i="1"/>
  <c r="SG345" i="1"/>
  <c r="SG303" i="1"/>
  <c r="SG261" i="1"/>
  <c r="SG406" i="1"/>
  <c r="SG389" i="1"/>
  <c r="SG310" i="1"/>
  <c r="SG382" i="1"/>
  <c r="SG328" i="1"/>
  <c r="SG340" i="1"/>
  <c r="SG352" i="1"/>
  <c r="SG298" i="1"/>
  <c r="SG256" i="1"/>
  <c r="SG268" i="1"/>
  <c r="SG280" i="1"/>
  <c r="SG426" i="1"/>
  <c r="SG22" i="1"/>
  <c r="SG13" i="1"/>
  <c r="SG34" i="1"/>
  <c r="SG9" i="1"/>
  <c r="SG296" i="1"/>
  <c r="SG330" i="1"/>
  <c r="SG290" i="1"/>
  <c r="SG278" i="1"/>
  <c r="SG411" i="1"/>
  <c r="SG423" i="1"/>
  <c r="SG300" i="1"/>
  <c r="SG270" i="1"/>
  <c r="SG415" i="1"/>
  <c r="SG381" i="1"/>
  <c r="SG385" i="1"/>
  <c r="SG376" i="1"/>
  <c r="SG346" i="1"/>
  <c r="SG316" i="1"/>
  <c r="SG419" i="1"/>
  <c r="SG36" i="1"/>
  <c r="SG23" i="1"/>
  <c r="SG11" i="1"/>
  <c r="SG293" i="1"/>
  <c r="SG263" i="1"/>
  <c r="SG400" i="1"/>
  <c r="SG412" i="1"/>
  <c r="SG424" i="1"/>
  <c r="SG24" i="1"/>
  <c r="SG12" i="1"/>
  <c r="SG35" i="1"/>
  <c r="GO58" i="7"/>
  <c r="GN58" i="7"/>
  <c r="A235" i="6"/>
  <c r="A323" i="6" s="1"/>
  <c r="A411" i="6" s="1"/>
  <c r="A499" i="6" s="1"/>
  <c r="A587" i="6" s="1"/>
  <c r="A675" i="6" s="1"/>
  <c r="A234" i="6"/>
  <c r="A322" i="6" s="1"/>
  <c r="A410" i="6" s="1"/>
  <c r="A498" i="6" s="1"/>
  <c r="A586" i="6" s="1"/>
  <c r="A674" i="6" s="1"/>
  <c r="A233" i="6"/>
  <c r="A321" i="6" s="1"/>
  <c r="A409" i="6" s="1"/>
  <c r="A497" i="6" s="1"/>
  <c r="A585" i="6" s="1"/>
  <c r="A673" i="6" s="1"/>
  <c r="AE59" i="6"/>
  <c r="AE58" i="6"/>
  <c r="AE57" i="6"/>
  <c r="AC59" i="6"/>
  <c r="AC58" i="6"/>
  <c r="AC57" i="6"/>
  <c r="AA59" i="6"/>
  <c r="AA58" i="6"/>
  <c r="AA57" i="6"/>
  <c r="Y59" i="6"/>
  <c r="Y58" i="6"/>
  <c r="Y57" i="6"/>
  <c r="EL60" i="7"/>
  <c r="W58" i="6"/>
  <c r="W57" i="6"/>
  <c r="U59" i="6"/>
  <c r="U58" i="6"/>
  <c r="U57" i="6"/>
  <c r="S59" i="6"/>
  <c r="S58" i="6"/>
  <c r="S57" i="6"/>
  <c r="Q59" i="6"/>
  <c r="Q58" i="6"/>
  <c r="Q57" i="6"/>
  <c r="O59" i="6"/>
  <c r="O58" i="6"/>
  <c r="O57" i="6"/>
  <c r="M59" i="6"/>
  <c r="M58" i="6"/>
  <c r="M57" i="6"/>
  <c r="K59" i="6"/>
  <c r="K58" i="6"/>
  <c r="K57" i="6"/>
  <c r="I59" i="6"/>
  <c r="I58" i="6"/>
  <c r="I57" i="6"/>
  <c r="ED60" i="7"/>
  <c r="G58" i="6"/>
  <c r="G57" i="6"/>
  <c r="E59" i="6"/>
  <c r="E58" i="6"/>
  <c r="E57" i="6"/>
  <c r="C59" i="6"/>
  <c r="C58" i="6"/>
  <c r="C57" i="6"/>
  <c r="BD27" i="5"/>
  <c r="BC27" i="5"/>
  <c r="BB27" i="5"/>
  <c r="BB10" i="5"/>
  <c r="BC10" i="5"/>
  <c r="BA10" i="5"/>
  <c r="BC3" i="5"/>
  <c r="BB3" i="5"/>
  <c r="BA3" i="5"/>
  <c r="IX60" i="7"/>
  <c r="IW60" i="7"/>
  <c r="IV60" i="7"/>
  <c r="IU60" i="7"/>
  <c r="IT60" i="7"/>
  <c r="IS60" i="7"/>
  <c r="IR60" i="7"/>
  <c r="IQ60" i="7"/>
  <c r="IP60" i="7"/>
  <c r="IO60" i="7"/>
  <c r="IN60" i="7"/>
  <c r="IM60" i="7"/>
  <c r="IL60" i="7"/>
  <c r="IK60" i="7"/>
  <c r="IJ60" i="7"/>
  <c r="IH60" i="7"/>
  <c r="IG60" i="7"/>
  <c r="IF60" i="7"/>
  <c r="IE60" i="7"/>
  <c r="ID60" i="7"/>
  <c r="IC60" i="7"/>
  <c r="IB60" i="7"/>
  <c r="IA60" i="7"/>
  <c r="HZ60" i="7"/>
  <c r="HY60" i="7"/>
  <c r="HX60" i="7"/>
  <c r="HW60" i="7"/>
  <c r="HV60" i="7"/>
  <c r="HU60" i="7"/>
  <c r="HT60" i="7"/>
  <c r="HR60" i="7"/>
  <c r="HQ60" i="7"/>
  <c r="HP60" i="7"/>
  <c r="HO60" i="7"/>
  <c r="HN60" i="7"/>
  <c r="HM60" i="7"/>
  <c r="HL60" i="7"/>
  <c r="HK60" i="7"/>
  <c r="HJ60" i="7"/>
  <c r="HI60" i="7"/>
  <c r="HH60" i="7"/>
  <c r="HG60" i="7"/>
  <c r="HF60" i="7"/>
  <c r="HE60" i="7"/>
  <c r="HD60" i="7"/>
  <c r="HB60" i="7"/>
  <c r="HA60" i="7"/>
  <c r="GZ60" i="7"/>
  <c r="GY60" i="7"/>
  <c r="GX60" i="7"/>
  <c r="GW60" i="7"/>
  <c r="GV60" i="7"/>
  <c r="GU60" i="7"/>
  <c r="GT60" i="7"/>
  <c r="GS60" i="7"/>
  <c r="GR60" i="7"/>
  <c r="GQ60" i="7"/>
  <c r="GP60" i="7"/>
  <c r="GO60" i="7"/>
  <c r="GN60" i="7"/>
  <c r="GL60" i="7"/>
  <c r="GK60" i="7"/>
  <c r="GJ60" i="7"/>
  <c r="GI60" i="7"/>
  <c r="GH60" i="7"/>
  <c r="GG60" i="7"/>
  <c r="GF60" i="7"/>
  <c r="GE60" i="7"/>
  <c r="GD60" i="7"/>
  <c r="GC60" i="7"/>
  <c r="GB60" i="7"/>
  <c r="GA60" i="7"/>
  <c r="FZ60" i="7"/>
  <c r="FY60" i="7"/>
  <c r="FX60" i="7"/>
  <c r="FV60" i="7"/>
  <c r="FU60" i="7"/>
  <c r="FT60" i="7"/>
  <c r="FS60" i="7"/>
  <c r="FR60" i="7"/>
  <c r="FQ60" i="7"/>
  <c r="FP60" i="7"/>
  <c r="FO60" i="7"/>
  <c r="FN60" i="7"/>
  <c r="FM60" i="7"/>
  <c r="FL60" i="7"/>
  <c r="FK60" i="7"/>
  <c r="FJ60" i="7"/>
  <c r="FI60" i="7"/>
  <c r="FH60" i="7"/>
  <c r="FF60" i="7"/>
  <c r="FE60" i="7"/>
  <c r="FD60" i="7"/>
  <c r="FC60" i="7"/>
  <c r="FB60" i="7"/>
  <c r="FA60" i="7"/>
  <c r="EZ60" i="7"/>
  <c r="EY60" i="7"/>
  <c r="EX60" i="7"/>
  <c r="EW60" i="7"/>
  <c r="EV60" i="7"/>
  <c r="EU60" i="7"/>
  <c r="ET60" i="7"/>
  <c r="ES60" i="7"/>
  <c r="ER60" i="7"/>
  <c r="IX59" i="7"/>
  <c r="IW59" i="7"/>
  <c r="IV59" i="7"/>
  <c r="IU59" i="7"/>
  <c r="IT59" i="7"/>
  <c r="IS59" i="7"/>
  <c r="IR59" i="7"/>
  <c r="IQ59" i="7"/>
  <c r="IP59" i="7"/>
  <c r="IO59" i="7"/>
  <c r="IN59" i="7"/>
  <c r="IM59" i="7"/>
  <c r="IL59" i="7"/>
  <c r="IK59" i="7"/>
  <c r="IJ59" i="7"/>
  <c r="IH59" i="7"/>
  <c r="IG59" i="7"/>
  <c r="IF59" i="7"/>
  <c r="IE59" i="7"/>
  <c r="ID59" i="7"/>
  <c r="IC59" i="7"/>
  <c r="IB59" i="7"/>
  <c r="IA59" i="7"/>
  <c r="HZ59" i="7"/>
  <c r="HY59" i="7"/>
  <c r="HX59" i="7"/>
  <c r="HW59" i="7"/>
  <c r="HV59" i="7"/>
  <c r="HU59" i="7"/>
  <c r="HT59" i="7"/>
  <c r="HR59" i="7"/>
  <c r="HQ59" i="7"/>
  <c r="HP59" i="7"/>
  <c r="HO59" i="7"/>
  <c r="HN59" i="7"/>
  <c r="HM59" i="7"/>
  <c r="HL59" i="7"/>
  <c r="HK59" i="7"/>
  <c r="HJ59" i="7"/>
  <c r="HI59" i="7"/>
  <c r="HH59" i="7"/>
  <c r="HG59" i="7"/>
  <c r="HF59" i="7"/>
  <c r="HE59" i="7"/>
  <c r="HD59" i="7"/>
  <c r="HB59" i="7"/>
  <c r="HA59" i="7"/>
  <c r="GZ59" i="7"/>
  <c r="GY59" i="7"/>
  <c r="GX59" i="7"/>
  <c r="GW59" i="7"/>
  <c r="GV59" i="7"/>
  <c r="GU59" i="7"/>
  <c r="GT59" i="7"/>
  <c r="GS59" i="7"/>
  <c r="GR59" i="7"/>
  <c r="GQ59" i="7"/>
  <c r="GP59" i="7"/>
  <c r="GO59" i="7"/>
  <c r="GN59" i="7"/>
  <c r="GL59" i="7"/>
  <c r="GK59" i="7"/>
  <c r="GJ59" i="7"/>
  <c r="GI59" i="7"/>
  <c r="GH59" i="7"/>
  <c r="GG59" i="7"/>
  <c r="GF59" i="7"/>
  <c r="GE59" i="7"/>
  <c r="GD59" i="7"/>
  <c r="GC59" i="7"/>
  <c r="GB59" i="7"/>
  <c r="GA59" i="7"/>
  <c r="FZ59" i="7"/>
  <c r="FY59" i="7"/>
  <c r="FX59" i="7"/>
  <c r="FV59" i="7"/>
  <c r="FU59" i="7"/>
  <c r="FT59" i="7"/>
  <c r="FS59" i="7"/>
  <c r="FR59" i="7"/>
  <c r="FQ59" i="7"/>
  <c r="FP59" i="7"/>
  <c r="FO59" i="7"/>
  <c r="FN59" i="7"/>
  <c r="FM59" i="7"/>
  <c r="FL59" i="7"/>
  <c r="FK59" i="7"/>
  <c r="FJ59" i="7"/>
  <c r="FI59" i="7"/>
  <c r="FH59" i="7"/>
  <c r="FF59" i="7"/>
  <c r="FE59" i="7"/>
  <c r="FD59" i="7"/>
  <c r="FC59" i="7"/>
  <c r="FB59" i="7"/>
  <c r="FA59" i="7"/>
  <c r="EZ59" i="7"/>
  <c r="EY59" i="7"/>
  <c r="EX59" i="7"/>
  <c r="EW59" i="7"/>
  <c r="EV59" i="7"/>
  <c r="EU59" i="7"/>
  <c r="ET59" i="7"/>
  <c r="ES59" i="7"/>
  <c r="ER59" i="7"/>
  <c r="WE253" i="1" l="1"/>
  <c r="BP50" i="5"/>
  <c r="ZQ289" i="1"/>
  <c r="BZ57" i="5"/>
  <c r="VD253" i="1"/>
  <c r="BM50" i="5"/>
  <c r="UU253" i="1"/>
  <c r="BL50" i="5"/>
  <c r="UC253" i="1"/>
  <c r="BJ50" i="5"/>
  <c r="UL253" i="1"/>
  <c r="BK50" i="5"/>
  <c r="ZH290" i="1"/>
  <c r="ZH291" i="1" s="1"/>
  <c r="ZH292" i="1" s="1"/>
  <c r="ZH293" i="1" s="1"/>
  <c r="ZH294" i="1" s="1"/>
  <c r="ZH295" i="1" s="1"/>
  <c r="ZH296" i="1" s="1"/>
  <c r="ZH297" i="1" s="1"/>
  <c r="ZH298" i="1" s="1"/>
  <c r="ZH299" i="1" s="1"/>
  <c r="ZH300" i="1" s="1"/>
  <c r="ZH301" i="1" s="1"/>
  <c r="ZH302" i="1" s="1"/>
  <c r="ZH303" i="1" s="1"/>
  <c r="ZH304" i="1" s="1"/>
  <c r="ZH305" i="1" s="1"/>
  <c r="ZH306" i="1" s="1"/>
  <c r="ZH307" i="1" s="1"/>
  <c r="ZH308" i="1" s="1"/>
  <c r="ZH309" i="1" s="1"/>
  <c r="ZH310" i="1" s="1"/>
  <c r="ZH311" i="1" s="1"/>
  <c r="ZH312" i="1" s="1"/>
  <c r="ZH313" i="1" s="1"/>
  <c r="ZH314" i="1" s="1"/>
  <c r="ZH315" i="1" s="1"/>
  <c r="ZH316" i="1" s="1"/>
  <c r="ZH317" i="1" s="1"/>
  <c r="ZH318" i="1" s="1"/>
  <c r="ZH319" i="1" s="1"/>
  <c r="ZH320" i="1" s="1"/>
  <c r="BY60" i="5"/>
  <c r="VM253" i="1"/>
  <c r="BN50" i="5"/>
  <c r="VV253" i="1"/>
  <c r="BO50" i="5"/>
  <c r="TT253" i="1"/>
  <c r="BI50" i="5"/>
  <c r="YY290" i="1"/>
  <c r="YY291" i="1" s="1"/>
  <c r="YY292" i="1" s="1"/>
  <c r="YY293" i="1" s="1"/>
  <c r="YY294" i="1" s="1"/>
  <c r="YY295" i="1" s="1"/>
  <c r="YY296" i="1" s="1"/>
  <c r="YY297" i="1" s="1"/>
  <c r="YY298" i="1" s="1"/>
  <c r="YY299" i="1" s="1"/>
  <c r="YY300" i="1" s="1"/>
  <c r="YY301" i="1" s="1"/>
  <c r="YY302" i="1" s="1"/>
  <c r="YY303" i="1" s="1"/>
  <c r="YY304" i="1" s="1"/>
  <c r="YY305" i="1" s="1"/>
  <c r="YY306" i="1" s="1"/>
  <c r="YY307" i="1" s="1"/>
  <c r="YY308" i="1" s="1"/>
  <c r="YY309" i="1" s="1"/>
  <c r="YY310" i="1" s="1"/>
  <c r="YY311" i="1" s="1"/>
  <c r="YY312" i="1" s="1"/>
  <c r="YY313" i="1" s="1"/>
  <c r="YY314" i="1" s="1"/>
  <c r="YY315" i="1" s="1"/>
  <c r="YY316" i="1" s="1"/>
  <c r="YY317" i="1" s="1"/>
  <c r="YY318" i="1" s="1"/>
  <c r="YY319" i="1" s="1"/>
  <c r="YY320" i="1" s="1"/>
  <c r="BX60" i="5"/>
  <c r="YP289" i="1"/>
  <c r="BW57" i="5"/>
  <c r="YG289" i="1"/>
  <c r="BV57" i="5"/>
  <c r="XX289" i="1"/>
  <c r="BU57" i="5"/>
  <c r="XF253" i="1"/>
  <c r="BS50" i="5"/>
  <c r="WW253" i="1"/>
  <c r="BR50" i="5"/>
  <c r="WN253" i="1"/>
  <c r="BQ50" i="5"/>
  <c r="XO289" i="1"/>
  <c r="BT57" i="5"/>
  <c r="B56" i="17"/>
  <c r="B56" i="18"/>
  <c r="B57" i="17"/>
  <c r="B57" i="18"/>
  <c r="B58" i="17"/>
  <c r="B58" i="18"/>
  <c r="EP60" i="7"/>
  <c r="EP59" i="7"/>
  <c r="EP58" i="7"/>
  <c r="EO60" i="7"/>
  <c r="EO59" i="7"/>
  <c r="EO58" i="7"/>
  <c r="EN60" i="7"/>
  <c r="EN59" i="7"/>
  <c r="EN58" i="7"/>
  <c r="EM60" i="7"/>
  <c r="EM59" i="7"/>
  <c r="EM58" i="7"/>
  <c r="EL59" i="7"/>
  <c r="EL58" i="7"/>
  <c r="EK60" i="7"/>
  <c r="EK59" i="7"/>
  <c r="EK58" i="7"/>
  <c r="EJ60" i="7"/>
  <c r="EJ59" i="7"/>
  <c r="EJ58" i="7"/>
  <c r="EI60" i="7"/>
  <c r="EI59" i="7"/>
  <c r="EI58" i="7"/>
  <c r="EH60" i="7"/>
  <c r="EH59" i="7"/>
  <c r="EH58" i="7"/>
  <c r="EG60" i="7"/>
  <c r="EG59" i="7"/>
  <c r="EG58" i="7"/>
  <c r="EF60" i="7"/>
  <c r="EF59" i="7"/>
  <c r="EF58" i="7"/>
  <c r="EE60" i="7"/>
  <c r="EE59" i="7"/>
  <c r="EE58" i="7"/>
  <c r="ED59" i="7"/>
  <c r="ED58" i="7"/>
  <c r="EC60" i="7"/>
  <c r="EC59" i="7"/>
  <c r="EC58" i="7"/>
  <c r="EB60" i="7"/>
  <c r="RO218" i="1" s="1"/>
  <c r="EB59" i="7"/>
  <c r="EB58" i="7"/>
  <c r="B59" i="16"/>
  <c r="B59" i="12"/>
  <c r="B61" i="20"/>
  <c r="B60" i="15"/>
  <c r="B61" i="19"/>
  <c r="B59" i="14"/>
  <c r="B59" i="13"/>
  <c r="B59" i="8"/>
  <c r="B62" i="21"/>
  <c r="B58" i="16"/>
  <c r="B59" i="15"/>
  <c r="B58" i="14"/>
  <c r="B58" i="13"/>
  <c r="B58" i="12"/>
  <c r="B60" i="20"/>
  <c r="B58" i="8"/>
  <c r="B60" i="19"/>
  <c r="B61" i="21"/>
  <c r="B57" i="16"/>
  <c r="B58" i="15"/>
  <c r="B57" i="14"/>
  <c r="B57" i="13"/>
  <c r="B57" i="12"/>
  <c r="B57" i="8"/>
  <c r="B59" i="20"/>
  <c r="B59" i="19"/>
  <c r="B60" i="21"/>
  <c r="QW219" i="1" l="1"/>
  <c r="QW220" i="1"/>
  <c r="QW221" i="1"/>
  <c r="QW222" i="1"/>
  <c r="QW223" i="1"/>
  <c r="QW224" i="1"/>
  <c r="QW225" i="1"/>
  <c r="QW226" i="1"/>
  <c r="QW227" i="1"/>
  <c r="QW228" i="1"/>
  <c r="QW229" i="1"/>
  <c r="QW230" i="1"/>
  <c r="QW231" i="1"/>
  <c r="QW232" i="1"/>
  <c r="QW233" i="1"/>
  <c r="QW234" i="1"/>
  <c r="QW235" i="1"/>
  <c r="QW236" i="1"/>
  <c r="QW237" i="1"/>
  <c r="QW238" i="1"/>
  <c r="QW239" i="1"/>
  <c r="QW240" i="1"/>
  <c r="QW241" i="1"/>
  <c r="QW242" i="1"/>
  <c r="QW243" i="1"/>
  <c r="QW244" i="1"/>
  <c r="QW245" i="1"/>
  <c r="QW246" i="1"/>
  <c r="QW247" i="1"/>
  <c r="QW248" i="1"/>
  <c r="QW218" i="1"/>
  <c r="QW184" i="1"/>
  <c r="QW185" i="1"/>
  <c r="QW186" i="1"/>
  <c r="QW187" i="1"/>
  <c r="QW188" i="1"/>
  <c r="QW189" i="1"/>
  <c r="QW190" i="1"/>
  <c r="QW191" i="1"/>
  <c r="QW192" i="1"/>
  <c r="QW193" i="1"/>
  <c r="QW194" i="1"/>
  <c r="QW195" i="1"/>
  <c r="QW196" i="1"/>
  <c r="QW197" i="1"/>
  <c r="QW198" i="1"/>
  <c r="QW199" i="1"/>
  <c r="QW200" i="1"/>
  <c r="QW201" i="1"/>
  <c r="QW202" i="1"/>
  <c r="QW203" i="1"/>
  <c r="QW204" i="1"/>
  <c r="QW205" i="1"/>
  <c r="QW206" i="1"/>
  <c r="QW207" i="1"/>
  <c r="QW208" i="1"/>
  <c r="QW209" i="1"/>
  <c r="QW210" i="1"/>
  <c r="QW211" i="1"/>
  <c r="QW212" i="1"/>
  <c r="QW183" i="1"/>
  <c r="QW148" i="1"/>
  <c r="QW149" i="1"/>
  <c r="QW150" i="1"/>
  <c r="QW151" i="1"/>
  <c r="QW152" i="1"/>
  <c r="QW153" i="1"/>
  <c r="QW155" i="1"/>
  <c r="QW156" i="1"/>
  <c r="QW157" i="1"/>
  <c r="QW158" i="1"/>
  <c r="QW159" i="1"/>
  <c r="QW160" i="1"/>
  <c r="QW161" i="1"/>
  <c r="QW162" i="1"/>
  <c r="QW163" i="1"/>
  <c r="QW164" i="1"/>
  <c r="QW165" i="1"/>
  <c r="QW166" i="1"/>
  <c r="QW167" i="1"/>
  <c r="QW168" i="1"/>
  <c r="QW169" i="1"/>
  <c r="QW170" i="1"/>
  <c r="QW171" i="1"/>
  <c r="QW172" i="1"/>
  <c r="QW173" i="1"/>
  <c r="QW174" i="1"/>
  <c r="QW175" i="1"/>
  <c r="QW176" i="1"/>
  <c r="QW177" i="1"/>
  <c r="QW147" i="1"/>
  <c r="QW154" i="1"/>
  <c r="RF219" i="1"/>
  <c r="RF220" i="1"/>
  <c r="RF221" i="1"/>
  <c r="RF222" i="1"/>
  <c r="RF223" i="1"/>
  <c r="RF224" i="1"/>
  <c r="RF225" i="1"/>
  <c r="RF226" i="1"/>
  <c r="RF227" i="1"/>
  <c r="RF228" i="1"/>
  <c r="RF229" i="1"/>
  <c r="RF230" i="1"/>
  <c r="RF231" i="1"/>
  <c r="RF232" i="1"/>
  <c r="RF233" i="1"/>
  <c r="RF234" i="1"/>
  <c r="RF235" i="1"/>
  <c r="RF236" i="1"/>
  <c r="RF237" i="1"/>
  <c r="RF238" i="1"/>
  <c r="RF239" i="1"/>
  <c r="RF240" i="1"/>
  <c r="RF241" i="1"/>
  <c r="RF242" i="1"/>
  <c r="RF243" i="1"/>
  <c r="RF244" i="1"/>
  <c r="RF245" i="1"/>
  <c r="RF246" i="1"/>
  <c r="RF247" i="1"/>
  <c r="RF248" i="1"/>
  <c r="RF218" i="1"/>
  <c r="RF212" i="1"/>
  <c r="RF184" i="1"/>
  <c r="RF185" i="1"/>
  <c r="RF186" i="1"/>
  <c r="RF187" i="1"/>
  <c r="RF188" i="1"/>
  <c r="RF189" i="1"/>
  <c r="RF190" i="1"/>
  <c r="RF191" i="1"/>
  <c r="RF192" i="1"/>
  <c r="RF193" i="1"/>
  <c r="RF194" i="1"/>
  <c r="RF195" i="1"/>
  <c r="RF196" i="1"/>
  <c r="RF197" i="1"/>
  <c r="RF198" i="1"/>
  <c r="RF199" i="1"/>
  <c r="RF200" i="1"/>
  <c r="RF201" i="1"/>
  <c r="RF202" i="1"/>
  <c r="RF203" i="1"/>
  <c r="RF204" i="1"/>
  <c r="RF205" i="1"/>
  <c r="RF206" i="1"/>
  <c r="RF207" i="1"/>
  <c r="RF208" i="1"/>
  <c r="RF209" i="1"/>
  <c r="RF210" i="1"/>
  <c r="RF211" i="1"/>
  <c r="RF183" i="1"/>
  <c r="RF148" i="1"/>
  <c r="RF149" i="1"/>
  <c r="RF150" i="1"/>
  <c r="RF151" i="1"/>
  <c r="RF152" i="1"/>
  <c r="RF153" i="1"/>
  <c r="RF155" i="1"/>
  <c r="RF156" i="1"/>
  <c r="RF157" i="1"/>
  <c r="RF158" i="1"/>
  <c r="RF159" i="1"/>
  <c r="RF160" i="1"/>
  <c r="RF161" i="1"/>
  <c r="RF162" i="1"/>
  <c r="RF163" i="1"/>
  <c r="RF164" i="1"/>
  <c r="RF165" i="1"/>
  <c r="RF166" i="1"/>
  <c r="RF167" i="1"/>
  <c r="RF168" i="1"/>
  <c r="RF169" i="1"/>
  <c r="RF170" i="1"/>
  <c r="RF171" i="1"/>
  <c r="RF172" i="1"/>
  <c r="RF173" i="1"/>
  <c r="RF174" i="1"/>
  <c r="RF175" i="1"/>
  <c r="RF176" i="1"/>
  <c r="RF177" i="1"/>
  <c r="RF147" i="1"/>
  <c r="RF154" i="1"/>
  <c r="RO219" i="1"/>
  <c r="RO220" i="1"/>
  <c r="RO221" i="1"/>
  <c r="RO222" i="1"/>
  <c r="RO223" i="1"/>
  <c r="RO224" i="1"/>
  <c r="RO225" i="1"/>
  <c r="RO226" i="1"/>
  <c r="RO227" i="1"/>
  <c r="RO228" i="1"/>
  <c r="RO229" i="1"/>
  <c r="RO230" i="1"/>
  <c r="RO231" i="1"/>
  <c r="RO232" i="1"/>
  <c r="RO233" i="1"/>
  <c r="RO234" i="1"/>
  <c r="RO235" i="1"/>
  <c r="RO236" i="1"/>
  <c r="RO237" i="1"/>
  <c r="RO238" i="1"/>
  <c r="RO239" i="1"/>
  <c r="RO240" i="1"/>
  <c r="RO241" i="1"/>
  <c r="RO242" i="1"/>
  <c r="RO243" i="1"/>
  <c r="RO244" i="1"/>
  <c r="RO245" i="1"/>
  <c r="RO246" i="1"/>
  <c r="RO247" i="1"/>
  <c r="RO248" i="1"/>
  <c r="RO184" i="1"/>
  <c r="RO185" i="1"/>
  <c r="RO186" i="1"/>
  <c r="RO187" i="1"/>
  <c r="RO188" i="1"/>
  <c r="RO189" i="1"/>
  <c r="RO190" i="1"/>
  <c r="RO191" i="1"/>
  <c r="RO192" i="1"/>
  <c r="RO193" i="1"/>
  <c r="RO194" i="1"/>
  <c r="RO195" i="1"/>
  <c r="RO196" i="1"/>
  <c r="RO197" i="1"/>
  <c r="RO198" i="1"/>
  <c r="RO199" i="1"/>
  <c r="RO200" i="1"/>
  <c r="RO201" i="1"/>
  <c r="RO202" i="1"/>
  <c r="RO203" i="1"/>
  <c r="RO204" i="1"/>
  <c r="RO205" i="1"/>
  <c r="RO206" i="1"/>
  <c r="RO207" i="1"/>
  <c r="RO208" i="1"/>
  <c r="RO209" i="1"/>
  <c r="RO210" i="1"/>
  <c r="RO211" i="1"/>
  <c r="RO212" i="1"/>
  <c r="RO183" i="1"/>
  <c r="RO148" i="1"/>
  <c r="RO149" i="1"/>
  <c r="RO150" i="1"/>
  <c r="RO151" i="1"/>
  <c r="RO152" i="1"/>
  <c r="RO153" i="1"/>
  <c r="RO155" i="1"/>
  <c r="RO156" i="1"/>
  <c r="RO157" i="1"/>
  <c r="RO158" i="1"/>
  <c r="RO159" i="1"/>
  <c r="RO160" i="1"/>
  <c r="RO161" i="1"/>
  <c r="RO162" i="1"/>
  <c r="RO163" i="1"/>
  <c r="RO164" i="1"/>
  <c r="RO165" i="1"/>
  <c r="RO166" i="1"/>
  <c r="RO167" i="1"/>
  <c r="RO168" i="1"/>
  <c r="RO169" i="1"/>
  <c r="RO170" i="1"/>
  <c r="RO171" i="1"/>
  <c r="RO172" i="1"/>
  <c r="RO173" i="1"/>
  <c r="RO174" i="1"/>
  <c r="RO175" i="1"/>
  <c r="RO176" i="1"/>
  <c r="RO177" i="1"/>
  <c r="RO147" i="1"/>
  <c r="RO154" i="1"/>
  <c r="YY324" i="1"/>
  <c r="BX64" i="5"/>
  <c r="UC254" i="1"/>
  <c r="UC255" i="1" s="1"/>
  <c r="UC256" i="1" s="1"/>
  <c r="UC257" i="1" s="1"/>
  <c r="UC258" i="1" s="1"/>
  <c r="UC259" i="1" s="1"/>
  <c r="UC260" i="1" s="1"/>
  <c r="UC261" i="1" s="1"/>
  <c r="UC262" i="1" s="1"/>
  <c r="UC263" i="1" s="1"/>
  <c r="UC264" i="1" s="1"/>
  <c r="UC265" i="1" s="1"/>
  <c r="UC266" i="1" s="1"/>
  <c r="UC267" i="1" s="1"/>
  <c r="UC268" i="1" s="1"/>
  <c r="UC269" i="1" s="1"/>
  <c r="UC270" i="1" s="1"/>
  <c r="UC271" i="1" s="1"/>
  <c r="UC272" i="1" s="1"/>
  <c r="UC273" i="1" s="1"/>
  <c r="UC274" i="1" s="1"/>
  <c r="UC275" i="1" s="1"/>
  <c r="UC276" i="1" s="1"/>
  <c r="UC277" i="1" s="1"/>
  <c r="UC278" i="1" s="1"/>
  <c r="UC279" i="1" s="1"/>
  <c r="UC280" i="1" s="1"/>
  <c r="UC281" i="1" s="1"/>
  <c r="UC282" i="1" s="1"/>
  <c r="UC283" i="1" s="1"/>
  <c r="UC284" i="1" s="1"/>
  <c r="UC285" i="1" s="1"/>
  <c r="BJ53" i="5"/>
  <c r="TT254" i="1"/>
  <c r="TT255" i="1" s="1"/>
  <c r="TT256" i="1" s="1"/>
  <c r="TT257" i="1" s="1"/>
  <c r="TT258" i="1" s="1"/>
  <c r="TT259" i="1" s="1"/>
  <c r="TT260" i="1" s="1"/>
  <c r="TT261" i="1" s="1"/>
  <c r="TT262" i="1" s="1"/>
  <c r="TT263" i="1" s="1"/>
  <c r="TT264" i="1" s="1"/>
  <c r="TT265" i="1" s="1"/>
  <c r="TT266" i="1" s="1"/>
  <c r="TT267" i="1" s="1"/>
  <c r="TT268" i="1" s="1"/>
  <c r="TT269" i="1" s="1"/>
  <c r="TT270" i="1" s="1"/>
  <c r="TT271" i="1" s="1"/>
  <c r="TT272" i="1" s="1"/>
  <c r="TT273" i="1" s="1"/>
  <c r="TT274" i="1" s="1"/>
  <c r="TT275" i="1" s="1"/>
  <c r="TT276" i="1" s="1"/>
  <c r="TT277" i="1" s="1"/>
  <c r="TT278" i="1" s="1"/>
  <c r="TT279" i="1" s="1"/>
  <c r="TT280" i="1" s="1"/>
  <c r="TT281" i="1" s="1"/>
  <c r="TT282" i="1" s="1"/>
  <c r="TT283" i="1" s="1"/>
  <c r="TT284" i="1" s="1"/>
  <c r="TT285" i="1" s="1"/>
  <c r="BI53" i="5"/>
  <c r="UU254" i="1"/>
  <c r="UU255" i="1" s="1"/>
  <c r="UU256" i="1" s="1"/>
  <c r="UU257" i="1" s="1"/>
  <c r="UU258" i="1" s="1"/>
  <c r="UU259" i="1" s="1"/>
  <c r="UU260" i="1" s="1"/>
  <c r="UU261" i="1" s="1"/>
  <c r="UU262" i="1" s="1"/>
  <c r="UU263" i="1" s="1"/>
  <c r="UU264" i="1" s="1"/>
  <c r="UU265" i="1" s="1"/>
  <c r="UU266" i="1" s="1"/>
  <c r="UU267" i="1" s="1"/>
  <c r="UU268" i="1" s="1"/>
  <c r="UU269" i="1" s="1"/>
  <c r="UU270" i="1" s="1"/>
  <c r="UU271" i="1" s="1"/>
  <c r="UU272" i="1" s="1"/>
  <c r="UU273" i="1" s="1"/>
  <c r="UU274" i="1" s="1"/>
  <c r="UU275" i="1" s="1"/>
  <c r="UU276" i="1" s="1"/>
  <c r="UU277" i="1" s="1"/>
  <c r="UU278" i="1" s="1"/>
  <c r="UU279" i="1" s="1"/>
  <c r="UU280" i="1" s="1"/>
  <c r="UU281" i="1" s="1"/>
  <c r="UU282" i="1" s="1"/>
  <c r="UU283" i="1" s="1"/>
  <c r="UU284" i="1" s="1"/>
  <c r="UU285" i="1" s="1"/>
  <c r="BL53" i="5"/>
  <c r="UL254" i="1"/>
  <c r="UL255" i="1" s="1"/>
  <c r="UL256" i="1" s="1"/>
  <c r="UL257" i="1" s="1"/>
  <c r="UL258" i="1" s="1"/>
  <c r="UL259" i="1" s="1"/>
  <c r="UL260" i="1" s="1"/>
  <c r="UL261" i="1" s="1"/>
  <c r="UL262" i="1" s="1"/>
  <c r="UL263" i="1" s="1"/>
  <c r="UL264" i="1" s="1"/>
  <c r="UL265" i="1" s="1"/>
  <c r="UL266" i="1" s="1"/>
  <c r="UL267" i="1" s="1"/>
  <c r="UL268" i="1" s="1"/>
  <c r="UL269" i="1" s="1"/>
  <c r="UL270" i="1" s="1"/>
  <c r="UL271" i="1" s="1"/>
  <c r="UL272" i="1" s="1"/>
  <c r="UL273" i="1" s="1"/>
  <c r="UL274" i="1" s="1"/>
  <c r="UL275" i="1" s="1"/>
  <c r="UL276" i="1" s="1"/>
  <c r="UL277" i="1" s="1"/>
  <c r="UL278" i="1" s="1"/>
  <c r="UL279" i="1" s="1"/>
  <c r="UL280" i="1" s="1"/>
  <c r="UL281" i="1" s="1"/>
  <c r="UL282" i="1" s="1"/>
  <c r="UL283" i="1" s="1"/>
  <c r="UL284" i="1" s="1"/>
  <c r="UL285" i="1" s="1"/>
  <c r="BK53" i="5"/>
  <c r="VV254" i="1"/>
  <c r="VV255" i="1" s="1"/>
  <c r="VV256" i="1" s="1"/>
  <c r="VV257" i="1" s="1"/>
  <c r="VV258" i="1" s="1"/>
  <c r="VV259" i="1" s="1"/>
  <c r="VV260" i="1" s="1"/>
  <c r="VV261" i="1" s="1"/>
  <c r="VV262" i="1" s="1"/>
  <c r="VV263" i="1" s="1"/>
  <c r="VV264" i="1" s="1"/>
  <c r="VV265" i="1" s="1"/>
  <c r="VV266" i="1" s="1"/>
  <c r="VV267" i="1" s="1"/>
  <c r="VV268" i="1" s="1"/>
  <c r="VV269" i="1" s="1"/>
  <c r="VV270" i="1" s="1"/>
  <c r="VV271" i="1" s="1"/>
  <c r="VV272" i="1" s="1"/>
  <c r="VV273" i="1" s="1"/>
  <c r="VV274" i="1" s="1"/>
  <c r="VV275" i="1" s="1"/>
  <c r="VV276" i="1" s="1"/>
  <c r="VV277" i="1" s="1"/>
  <c r="VV278" i="1" s="1"/>
  <c r="VV279" i="1" s="1"/>
  <c r="VV280" i="1" s="1"/>
  <c r="VV281" i="1" s="1"/>
  <c r="VV282" i="1" s="1"/>
  <c r="VV283" i="1" s="1"/>
  <c r="VV284" i="1" s="1"/>
  <c r="VV285" i="1" s="1"/>
  <c r="BO53" i="5"/>
  <c r="VD254" i="1"/>
  <c r="VD255" i="1" s="1"/>
  <c r="VD256" i="1" s="1"/>
  <c r="VD257" i="1" s="1"/>
  <c r="VD258" i="1" s="1"/>
  <c r="VD259" i="1" s="1"/>
  <c r="VD260" i="1" s="1"/>
  <c r="VD261" i="1" s="1"/>
  <c r="VD262" i="1" s="1"/>
  <c r="VD263" i="1" s="1"/>
  <c r="VD264" i="1" s="1"/>
  <c r="VD265" i="1" s="1"/>
  <c r="VD266" i="1" s="1"/>
  <c r="VD267" i="1" s="1"/>
  <c r="VD268" i="1" s="1"/>
  <c r="VD269" i="1" s="1"/>
  <c r="VD270" i="1" s="1"/>
  <c r="VD271" i="1" s="1"/>
  <c r="VD272" i="1" s="1"/>
  <c r="VD273" i="1" s="1"/>
  <c r="VD274" i="1" s="1"/>
  <c r="VD275" i="1" s="1"/>
  <c r="VD276" i="1" s="1"/>
  <c r="VD277" i="1" s="1"/>
  <c r="VD278" i="1" s="1"/>
  <c r="VD279" i="1" s="1"/>
  <c r="VD280" i="1" s="1"/>
  <c r="VD281" i="1" s="1"/>
  <c r="VD282" i="1" s="1"/>
  <c r="VD283" i="1" s="1"/>
  <c r="VD284" i="1" s="1"/>
  <c r="VD285" i="1" s="1"/>
  <c r="BM53" i="5"/>
  <c r="VM254" i="1"/>
  <c r="VM255" i="1" s="1"/>
  <c r="VM256" i="1" s="1"/>
  <c r="VM257" i="1" s="1"/>
  <c r="VM258" i="1" s="1"/>
  <c r="VM259" i="1" s="1"/>
  <c r="VM260" i="1" s="1"/>
  <c r="VM261" i="1" s="1"/>
  <c r="VM262" i="1" s="1"/>
  <c r="VM263" i="1" s="1"/>
  <c r="VM264" i="1" s="1"/>
  <c r="VM265" i="1" s="1"/>
  <c r="VM266" i="1" s="1"/>
  <c r="VM267" i="1" s="1"/>
  <c r="VM268" i="1" s="1"/>
  <c r="VM269" i="1" s="1"/>
  <c r="VM270" i="1" s="1"/>
  <c r="VM271" i="1" s="1"/>
  <c r="VM272" i="1" s="1"/>
  <c r="VM273" i="1" s="1"/>
  <c r="VM274" i="1" s="1"/>
  <c r="VM275" i="1" s="1"/>
  <c r="VM276" i="1" s="1"/>
  <c r="VM277" i="1" s="1"/>
  <c r="VM278" i="1" s="1"/>
  <c r="VM279" i="1" s="1"/>
  <c r="VM280" i="1" s="1"/>
  <c r="VM281" i="1" s="1"/>
  <c r="VM282" i="1" s="1"/>
  <c r="VM283" i="1" s="1"/>
  <c r="VM284" i="1" s="1"/>
  <c r="VM285" i="1" s="1"/>
  <c r="BN53" i="5"/>
  <c r="ZQ290" i="1"/>
  <c r="ZQ291" i="1" s="1"/>
  <c r="ZQ292" i="1" s="1"/>
  <c r="ZQ293" i="1" s="1"/>
  <c r="ZQ294" i="1" s="1"/>
  <c r="ZQ295" i="1" s="1"/>
  <c r="ZQ296" i="1" s="1"/>
  <c r="ZQ297" i="1" s="1"/>
  <c r="ZQ298" i="1" s="1"/>
  <c r="ZQ299" i="1" s="1"/>
  <c r="ZQ300" i="1" s="1"/>
  <c r="ZQ301" i="1" s="1"/>
  <c r="ZQ302" i="1" s="1"/>
  <c r="ZQ303" i="1" s="1"/>
  <c r="ZQ304" i="1" s="1"/>
  <c r="ZQ305" i="1" s="1"/>
  <c r="ZQ306" i="1" s="1"/>
  <c r="ZQ307" i="1" s="1"/>
  <c r="ZQ308" i="1" s="1"/>
  <c r="ZQ309" i="1" s="1"/>
  <c r="ZQ310" i="1" s="1"/>
  <c r="ZQ311" i="1" s="1"/>
  <c r="ZQ312" i="1" s="1"/>
  <c r="ZQ313" i="1" s="1"/>
  <c r="ZQ314" i="1" s="1"/>
  <c r="ZQ315" i="1" s="1"/>
  <c r="ZQ316" i="1" s="1"/>
  <c r="ZQ317" i="1" s="1"/>
  <c r="ZQ318" i="1" s="1"/>
  <c r="ZQ319" i="1" s="1"/>
  <c r="ZQ320" i="1" s="1"/>
  <c r="BZ60" i="5"/>
  <c r="ZH324" i="1"/>
  <c r="BY64" i="5"/>
  <c r="WE254" i="1"/>
  <c r="WE255" i="1" s="1"/>
  <c r="WE256" i="1" s="1"/>
  <c r="WE257" i="1" s="1"/>
  <c r="WE258" i="1" s="1"/>
  <c r="WE259" i="1" s="1"/>
  <c r="WE260" i="1" s="1"/>
  <c r="WE261" i="1" s="1"/>
  <c r="WE262" i="1" s="1"/>
  <c r="WE263" i="1" s="1"/>
  <c r="WE264" i="1" s="1"/>
  <c r="WE265" i="1" s="1"/>
  <c r="WE266" i="1" s="1"/>
  <c r="WE267" i="1" s="1"/>
  <c r="WE268" i="1" s="1"/>
  <c r="WE269" i="1" s="1"/>
  <c r="WE270" i="1" s="1"/>
  <c r="WE271" i="1" s="1"/>
  <c r="WE272" i="1" s="1"/>
  <c r="WE273" i="1" s="1"/>
  <c r="WE274" i="1" s="1"/>
  <c r="WE275" i="1" s="1"/>
  <c r="WE276" i="1" s="1"/>
  <c r="WE277" i="1" s="1"/>
  <c r="WE278" i="1" s="1"/>
  <c r="WE279" i="1" s="1"/>
  <c r="WE280" i="1" s="1"/>
  <c r="WE281" i="1" s="1"/>
  <c r="WE282" i="1" s="1"/>
  <c r="WE283" i="1" s="1"/>
  <c r="WE284" i="1" s="1"/>
  <c r="WE285" i="1" s="1"/>
  <c r="BP53" i="5"/>
  <c r="YP290" i="1"/>
  <c r="YP291" i="1" s="1"/>
  <c r="YP292" i="1" s="1"/>
  <c r="YP293" i="1" s="1"/>
  <c r="YP294" i="1" s="1"/>
  <c r="YP295" i="1" s="1"/>
  <c r="YP296" i="1" s="1"/>
  <c r="YP297" i="1" s="1"/>
  <c r="YP298" i="1" s="1"/>
  <c r="YP299" i="1" s="1"/>
  <c r="YP300" i="1" s="1"/>
  <c r="YP301" i="1" s="1"/>
  <c r="YP302" i="1" s="1"/>
  <c r="YP303" i="1" s="1"/>
  <c r="YP304" i="1" s="1"/>
  <c r="YP305" i="1" s="1"/>
  <c r="YP306" i="1" s="1"/>
  <c r="YP307" i="1" s="1"/>
  <c r="YP308" i="1" s="1"/>
  <c r="YP309" i="1" s="1"/>
  <c r="YP310" i="1" s="1"/>
  <c r="YP311" i="1" s="1"/>
  <c r="YP312" i="1" s="1"/>
  <c r="YP313" i="1" s="1"/>
  <c r="YP314" i="1" s="1"/>
  <c r="YP315" i="1" s="1"/>
  <c r="YP316" i="1" s="1"/>
  <c r="YP317" i="1" s="1"/>
  <c r="YP318" i="1" s="1"/>
  <c r="YP319" i="1" s="1"/>
  <c r="YP320" i="1" s="1"/>
  <c r="BW60" i="5"/>
  <c r="YG290" i="1"/>
  <c r="YG291" i="1" s="1"/>
  <c r="YG292" i="1" s="1"/>
  <c r="YG293" i="1" s="1"/>
  <c r="YG294" i="1" s="1"/>
  <c r="YG295" i="1" s="1"/>
  <c r="YG296" i="1" s="1"/>
  <c r="YG297" i="1" s="1"/>
  <c r="YG298" i="1" s="1"/>
  <c r="YG299" i="1" s="1"/>
  <c r="YG300" i="1" s="1"/>
  <c r="YG301" i="1" s="1"/>
  <c r="YG302" i="1" s="1"/>
  <c r="YG303" i="1" s="1"/>
  <c r="YG304" i="1" s="1"/>
  <c r="YG305" i="1" s="1"/>
  <c r="YG306" i="1" s="1"/>
  <c r="YG307" i="1" s="1"/>
  <c r="YG308" i="1" s="1"/>
  <c r="YG309" i="1" s="1"/>
  <c r="YG310" i="1" s="1"/>
  <c r="YG311" i="1" s="1"/>
  <c r="YG312" i="1" s="1"/>
  <c r="YG313" i="1" s="1"/>
  <c r="YG314" i="1" s="1"/>
  <c r="YG315" i="1" s="1"/>
  <c r="YG316" i="1" s="1"/>
  <c r="YG317" i="1" s="1"/>
  <c r="YG318" i="1" s="1"/>
  <c r="YG319" i="1" s="1"/>
  <c r="YG320" i="1" s="1"/>
  <c r="BV60" i="5"/>
  <c r="XX290" i="1"/>
  <c r="XX291" i="1" s="1"/>
  <c r="XX292" i="1" s="1"/>
  <c r="XX293" i="1" s="1"/>
  <c r="XX294" i="1" s="1"/>
  <c r="XX295" i="1" s="1"/>
  <c r="XX296" i="1" s="1"/>
  <c r="XX297" i="1" s="1"/>
  <c r="XX298" i="1" s="1"/>
  <c r="XX299" i="1" s="1"/>
  <c r="XX300" i="1" s="1"/>
  <c r="XX301" i="1" s="1"/>
  <c r="XX302" i="1" s="1"/>
  <c r="XX303" i="1" s="1"/>
  <c r="XX304" i="1" s="1"/>
  <c r="XX305" i="1" s="1"/>
  <c r="XX306" i="1" s="1"/>
  <c r="XX307" i="1" s="1"/>
  <c r="XX308" i="1" s="1"/>
  <c r="XX309" i="1" s="1"/>
  <c r="XX310" i="1" s="1"/>
  <c r="XX311" i="1" s="1"/>
  <c r="XX312" i="1" s="1"/>
  <c r="XX313" i="1" s="1"/>
  <c r="XX314" i="1" s="1"/>
  <c r="XX315" i="1" s="1"/>
  <c r="XX316" i="1" s="1"/>
  <c r="XX317" i="1" s="1"/>
  <c r="XX318" i="1" s="1"/>
  <c r="XX319" i="1" s="1"/>
  <c r="XX320" i="1" s="1"/>
  <c r="BU60" i="5"/>
  <c r="XF254" i="1"/>
  <c r="XF255" i="1" s="1"/>
  <c r="XF256" i="1" s="1"/>
  <c r="XF257" i="1" s="1"/>
  <c r="XF258" i="1" s="1"/>
  <c r="XF259" i="1" s="1"/>
  <c r="XF260" i="1" s="1"/>
  <c r="XF261" i="1" s="1"/>
  <c r="XF262" i="1" s="1"/>
  <c r="XF263" i="1" s="1"/>
  <c r="XF264" i="1" s="1"/>
  <c r="XF265" i="1" s="1"/>
  <c r="XF266" i="1" s="1"/>
  <c r="XF267" i="1" s="1"/>
  <c r="XF268" i="1" s="1"/>
  <c r="XF269" i="1" s="1"/>
  <c r="XF270" i="1" s="1"/>
  <c r="XF271" i="1" s="1"/>
  <c r="XF272" i="1" s="1"/>
  <c r="XF273" i="1" s="1"/>
  <c r="XF274" i="1" s="1"/>
  <c r="XF275" i="1" s="1"/>
  <c r="XF276" i="1" s="1"/>
  <c r="XF277" i="1" s="1"/>
  <c r="XF278" i="1" s="1"/>
  <c r="XF279" i="1" s="1"/>
  <c r="XF280" i="1" s="1"/>
  <c r="XF281" i="1" s="1"/>
  <c r="XF282" i="1" s="1"/>
  <c r="XF283" i="1" s="1"/>
  <c r="XF284" i="1" s="1"/>
  <c r="XF285" i="1" s="1"/>
  <c r="BS53" i="5"/>
  <c r="WW254" i="1"/>
  <c r="WW255" i="1" s="1"/>
  <c r="WW256" i="1" s="1"/>
  <c r="WW257" i="1" s="1"/>
  <c r="WW258" i="1" s="1"/>
  <c r="WW259" i="1" s="1"/>
  <c r="WW260" i="1" s="1"/>
  <c r="WW261" i="1" s="1"/>
  <c r="WW262" i="1" s="1"/>
  <c r="WW263" i="1" s="1"/>
  <c r="WW264" i="1" s="1"/>
  <c r="WW265" i="1" s="1"/>
  <c r="WW266" i="1" s="1"/>
  <c r="WW267" i="1" s="1"/>
  <c r="WW268" i="1" s="1"/>
  <c r="WW269" i="1" s="1"/>
  <c r="WW270" i="1" s="1"/>
  <c r="WW271" i="1" s="1"/>
  <c r="WW272" i="1" s="1"/>
  <c r="WW273" i="1" s="1"/>
  <c r="WW274" i="1" s="1"/>
  <c r="WW275" i="1" s="1"/>
  <c r="WW276" i="1" s="1"/>
  <c r="WW277" i="1" s="1"/>
  <c r="WW278" i="1" s="1"/>
  <c r="WW279" i="1" s="1"/>
  <c r="WW280" i="1" s="1"/>
  <c r="WW281" i="1" s="1"/>
  <c r="WW282" i="1" s="1"/>
  <c r="WW283" i="1" s="1"/>
  <c r="WW284" i="1" s="1"/>
  <c r="WW285" i="1" s="1"/>
  <c r="BR53" i="5"/>
  <c r="WN254" i="1"/>
  <c r="WN255" i="1" s="1"/>
  <c r="WN256" i="1" s="1"/>
  <c r="WN257" i="1" s="1"/>
  <c r="WN258" i="1" s="1"/>
  <c r="WN259" i="1" s="1"/>
  <c r="WN260" i="1" s="1"/>
  <c r="WN261" i="1" s="1"/>
  <c r="WN262" i="1" s="1"/>
  <c r="WN263" i="1" s="1"/>
  <c r="WN264" i="1" s="1"/>
  <c r="WN265" i="1" s="1"/>
  <c r="WN266" i="1" s="1"/>
  <c r="WN267" i="1" s="1"/>
  <c r="WN268" i="1" s="1"/>
  <c r="WN269" i="1" s="1"/>
  <c r="WN270" i="1" s="1"/>
  <c r="WN271" i="1" s="1"/>
  <c r="WN272" i="1" s="1"/>
  <c r="WN273" i="1" s="1"/>
  <c r="WN274" i="1" s="1"/>
  <c r="WN275" i="1" s="1"/>
  <c r="WN276" i="1" s="1"/>
  <c r="WN277" i="1" s="1"/>
  <c r="WN278" i="1" s="1"/>
  <c r="WN279" i="1" s="1"/>
  <c r="WN280" i="1" s="1"/>
  <c r="WN281" i="1" s="1"/>
  <c r="WN282" i="1" s="1"/>
  <c r="WN283" i="1" s="1"/>
  <c r="WN284" i="1" s="1"/>
  <c r="WN285" i="1" s="1"/>
  <c r="BQ53" i="5"/>
  <c r="XO290" i="1"/>
  <c r="XO291" i="1" s="1"/>
  <c r="XO292" i="1" s="1"/>
  <c r="XO293" i="1" s="1"/>
  <c r="XO294" i="1" s="1"/>
  <c r="XO295" i="1" s="1"/>
  <c r="XO296" i="1" s="1"/>
  <c r="XO297" i="1" s="1"/>
  <c r="XO298" i="1" s="1"/>
  <c r="XO299" i="1" s="1"/>
  <c r="XO300" i="1" s="1"/>
  <c r="XO301" i="1" s="1"/>
  <c r="XO302" i="1" s="1"/>
  <c r="XO303" i="1" s="1"/>
  <c r="XO304" i="1" s="1"/>
  <c r="XO305" i="1" s="1"/>
  <c r="XO306" i="1" s="1"/>
  <c r="XO307" i="1" s="1"/>
  <c r="XO308" i="1" s="1"/>
  <c r="XO309" i="1" s="1"/>
  <c r="XO310" i="1" s="1"/>
  <c r="XO311" i="1" s="1"/>
  <c r="XO312" i="1" s="1"/>
  <c r="XO313" i="1" s="1"/>
  <c r="XO314" i="1" s="1"/>
  <c r="XO315" i="1" s="1"/>
  <c r="XO316" i="1" s="1"/>
  <c r="XO317" i="1" s="1"/>
  <c r="XO318" i="1" s="1"/>
  <c r="XO319" i="1" s="1"/>
  <c r="XO320" i="1" s="1"/>
  <c r="BT60" i="5"/>
  <c r="RO7" i="1"/>
  <c r="RO283" i="1"/>
  <c r="RO297" i="1"/>
  <c r="RO298" i="1"/>
  <c r="RO299" i="1"/>
  <c r="RO260" i="1"/>
  <c r="RO262" i="1"/>
  <c r="RO264" i="1"/>
  <c r="RO266" i="1"/>
  <c r="RO271" i="1"/>
  <c r="RO303" i="1"/>
  <c r="RO258" i="1"/>
  <c r="RO259" i="1"/>
  <c r="RO261" i="1"/>
  <c r="RO263" i="1"/>
  <c r="RO265" i="1"/>
  <c r="RO268" i="1"/>
  <c r="RO273" i="1"/>
  <c r="RO280" i="1"/>
  <c r="RO300" i="1"/>
  <c r="RO296" i="1"/>
  <c r="RO301" i="1"/>
  <c r="RO274" i="1"/>
  <c r="RO302" i="1"/>
  <c r="RO277" i="1"/>
  <c r="RO315" i="1"/>
  <c r="RO270" i="1"/>
  <c r="RO293" i="1"/>
  <c r="RO294" i="1"/>
  <c r="RO295" i="1"/>
  <c r="RO317" i="1"/>
  <c r="RO267" i="1"/>
  <c r="RO311" i="1"/>
  <c r="RO312" i="1"/>
  <c r="RO278" i="1"/>
  <c r="RO281" i="1"/>
  <c r="RO284" i="1"/>
  <c r="RO319" i="1"/>
  <c r="RO290" i="1"/>
  <c r="RO255" i="1"/>
  <c r="RO256" i="1"/>
  <c r="RO257" i="1"/>
  <c r="RF259" i="1"/>
  <c r="RF93" i="1"/>
  <c r="RF35" i="1"/>
  <c r="RF398" i="1"/>
  <c r="RF328" i="1"/>
  <c r="RF413" i="1"/>
  <c r="RF290" i="1"/>
  <c r="RO305" i="1"/>
  <c r="RO304" i="1"/>
  <c r="RO306" i="1"/>
  <c r="RO310" i="1"/>
  <c r="RO292" i="1"/>
  <c r="RO308" i="1"/>
  <c r="RO307" i="1"/>
  <c r="RO309" i="1"/>
  <c r="RO291" i="1"/>
  <c r="RO313" i="1"/>
  <c r="RO314" i="1"/>
  <c r="RO316" i="1"/>
  <c r="RO318" i="1"/>
  <c r="RO269" i="1"/>
  <c r="RO272" i="1"/>
  <c r="RO275" i="1"/>
  <c r="RF135" i="1"/>
  <c r="RF53" i="1"/>
  <c r="RF411" i="1"/>
  <c r="RF329" i="1"/>
  <c r="RO25" i="1"/>
  <c r="RO13" i="1"/>
  <c r="RO27" i="1"/>
  <c r="RO14" i="1"/>
  <c r="RO36" i="1"/>
  <c r="RO24" i="1"/>
  <c r="RO12" i="1"/>
  <c r="RO19" i="1"/>
  <c r="RO28" i="1"/>
  <c r="RO15" i="1"/>
  <c r="RO35" i="1"/>
  <c r="RO23" i="1"/>
  <c r="RO11" i="1"/>
  <c r="RO34" i="1"/>
  <c r="RO22" i="1"/>
  <c r="RO10" i="1"/>
  <c r="RO30" i="1"/>
  <c r="RO17" i="1"/>
  <c r="RO33" i="1"/>
  <c r="RO21" i="1"/>
  <c r="RO9" i="1"/>
  <c r="RO32" i="1"/>
  <c r="RO20" i="1"/>
  <c r="RO8" i="1"/>
  <c r="RO31" i="1"/>
  <c r="RO18" i="1"/>
  <c r="RO29" i="1"/>
  <c r="RO16" i="1"/>
  <c r="RO26" i="1"/>
  <c r="RF396" i="1"/>
  <c r="RF20" i="1"/>
  <c r="RF297" i="1"/>
  <c r="RF132" i="1"/>
  <c r="RF298" i="1"/>
  <c r="RF380" i="1"/>
  <c r="RF22" i="1"/>
  <c r="RF80" i="1"/>
  <c r="RF133" i="1"/>
  <c r="RF309" i="1"/>
  <c r="RF372" i="1"/>
  <c r="RF95" i="1"/>
  <c r="RF13" i="1"/>
  <c r="RF371" i="1"/>
  <c r="RF284" i="1"/>
  <c r="RF124" i="1"/>
  <c r="RF54" i="1"/>
  <c r="RF424" i="1"/>
  <c r="RF313" i="1"/>
  <c r="RF94" i="1"/>
  <c r="RF24" i="1"/>
  <c r="RF382" i="1"/>
  <c r="RF300" i="1"/>
  <c r="RF64" i="1"/>
  <c r="RF11" i="1"/>
  <c r="RF369" i="1"/>
  <c r="RF282" i="1"/>
  <c r="RF384" i="1"/>
  <c r="RF355" i="1"/>
  <c r="RF343" i="1"/>
  <c r="RF273" i="1"/>
  <c r="RF261" i="1"/>
  <c r="RF66" i="1"/>
  <c r="RF42" i="1"/>
  <c r="RF412" i="1"/>
  <c r="RF354" i="1"/>
  <c r="RF330" i="1"/>
  <c r="RF272" i="1"/>
  <c r="RF123" i="1"/>
  <c r="RF82" i="1"/>
  <c r="RF36" i="1"/>
  <c r="RF423" i="1"/>
  <c r="RF353" i="1"/>
  <c r="RF341" i="1"/>
  <c r="RF283" i="1"/>
  <c r="RF105" i="1"/>
  <c r="RF81" i="1"/>
  <c r="RF23" i="1"/>
  <c r="RF422" i="1"/>
  <c r="RF352" i="1"/>
  <c r="RF340" i="1"/>
  <c r="RF10" i="1"/>
  <c r="RF121" i="1"/>
  <c r="RF368" i="1"/>
  <c r="RF131" i="1"/>
  <c r="RF379" i="1"/>
  <c r="RF79" i="1"/>
  <c r="RF90" i="1"/>
  <c r="RF397" i="1"/>
  <c r="RF91" i="1"/>
  <c r="RF256" i="1"/>
  <c r="RF408" i="1"/>
  <c r="RF34" i="1"/>
  <c r="RF92" i="1"/>
  <c r="RF327" i="1"/>
  <c r="RF409" i="1"/>
  <c r="RF420" i="1"/>
  <c r="RF50" i="1"/>
  <c r="RF268" i="1"/>
  <c r="RF339" i="1"/>
  <c r="RF421" i="1"/>
  <c r="RF51" i="1"/>
  <c r="RF104" i="1"/>
  <c r="RF269" i="1"/>
  <c r="RF350" i="1"/>
  <c r="RF78" i="1"/>
  <c r="RF33" i="1"/>
  <c r="RF326" i="1"/>
  <c r="RF49" i="1"/>
  <c r="RF258" i="1"/>
  <c r="RF103" i="1"/>
  <c r="RF8" i="1"/>
  <c r="RF61" i="1"/>
  <c r="RF119" i="1"/>
  <c r="RF270" i="1"/>
  <c r="RF351" i="1"/>
  <c r="RF63" i="1"/>
  <c r="RF281" i="1"/>
  <c r="RF21" i="1"/>
  <c r="RF32" i="1"/>
  <c r="RF310" i="1"/>
  <c r="RF419" i="1"/>
  <c r="RF257" i="1"/>
  <c r="RF102" i="1"/>
  <c r="RF338" i="1"/>
  <c r="RF9" i="1"/>
  <c r="RF62" i="1"/>
  <c r="RF120" i="1"/>
  <c r="RF280" i="1"/>
  <c r="RF367" i="1"/>
  <c r="RF14" i="1"/>
  <c r="RF55" i="1"/>
  <c r="RF84" i="1"/>
  <c r="RF96" i="1"/>
  <c r="RF138" i="1"/>
  <c r="RF263" i="1"/>
  <c r="RF275" i="1"/>
  <c r="RF292" i="1"/>
  <c r="RF304" i="1"/>
  <c r="RF316" i="1"/>
  <c r="RF333" i="1"/>
  <c r="RF345" i="1"/>
  <c r="RF362" i="1"/>
  <c r="RF374" i="1"/>
  <c r="RF386" i="1"/>
  <c r="RF403" i="1"/>
  <c r="RF415" i="1"/>
  <c r="RF26" i="1"/>
  <c r="RF113" i="1"/>
  <c r="RF16" i="1"/>
  <c r="RF28" i="1"/>
  <c r="RF45" i="1"/>
  <c r="RF57" i="1"/>
  <c r="RF69" i="1"/>
  <c r="RF86" i="1"/>
  <c r="RF98" i="1"/>
  <c r="RF115" i="1"/>
  <c r="RF127" i="1"/>
  <c r="RF139" i="1"/>
  <c r="RF264" i="1"/>
  <c r="RF276" i="1"/>
  <c r="RF293" i="1"/>
  <c r="RF305" i="1"/>
  <c r="RF317" i="1"/>
  <c r="RF334" i="1"/>
  <c r="RF346" i="1"/>
  <c r="RF363" i="1"/>
  <c r="RF375" i="1"/>
  <c r="RF387" i="1"/>
  <c r="RF404" i="1"/>
  <c r="RF416" i="1"/>
  <c r="RF137" i="1"/>
  <c r="RF46" i="1"/>
  <c r="RF58" i="1"/>
  <c r="RF70" i="1"/>
  <c r="RF87" i="1"/>
  <c r="RF99" i="1"/>
  <c r="RF116" i="1"/>
  <c r="RF128" i="1"/>
  <c r="RF140" i="1"/>
  <c r="RF265" i="1"/>
  <c r="RF277" i="1"/>
  <c r="RF294" i="1"/>
  <c r="RF306" i="1"/>
  <c r="RF318" i="1"/>
  <c r="RF335" i="1"/>
  <c r="RF347" i="1"/>
  <c r="RF364" i="1"/>
  <c r="RF376" i="1"/>
  <c r="RF388" i="1"/>
  <c r="RF405" i="1"/>
  <c r="RF417" i="1"/>
  <c r="RF67" i="1"/>
  <c r="RF125" i="1"/>
  <c r="RF17" i="1"/>
  <c r="RF18" i="1"/>
  <c r="RF30" i="1"/>
  <c r="RF47" i="1"/>
  <c r="RF59" i="1"/>
  <c r="RF76" i="1"/>
  <c r="RF88" i="1"/>
  <c r="RF100" i="1"/>
  <c r="RF117" i="1"/>
  <c r="RF129" i="1"/>
  <c r="RF141" i="1"/>
  <c r="RF254" i="1"/>
  <c r="RF266" i="1"/>
  <c r="RF278" i="1"/>
  <c r="RF295" i="1"/>
  <c r="RF307" i="1"/>
  <c r="RF319" i="1"/>
  <c r="RF336" i="1"/>
  <c r="RF348" i="1"/>
  <c r="RF365" i="1"/>
  <c r="RF377" i="1"/>
  <c r="RF389" i="1"/>
  <c r="RF406" i="1"/>
  <c r="RF418" i="1"/>
  <c r="RF43" i="1"/>
  <c r="RF29" i="1"/>
  <c r="RF7" i="1"/>
  <c r="RF19" i="1"/>
  <c r="RF31" i="1"/>
  <c r="RF48" i="1"/>
  <c r="RF60" i="1"/>
  <c r="RF77" i="1"/>
  <c r="RF89" i="1"/>
  <c r="RF101" i="1"/>
  <c r="RF118" i="1"/>
  <c r="RF130" i="1"/>
  <c r="RF255" i="1"/>
  <c r="RF267" i="1"/>
  <c r="RF279" i="1"/>
  <c r="RF296" i="1"/>
  <c r="RF308" i="1"/>
  <c r="RF325" i="1"/>
  <c r="RF337" i="1"/>
  <c r="RF349" i="1"/>
  <c r="RF366" i="1"/>
  <c r="RF378" i="1"/>
  <c r="RF390" i="1"/>
  <c r="RF407" i="1"/>
  <c r="RO254" i="1"/>
  <c r="RO276" i="1"/>
  <c r="RO279" i="1"/>
  <c r="RO282" i="1"/>
  <c r="RF311" i="1"/>
  <c r="RF401" i="1"/>
  <c r="RF302" i="1"/>
  <c r="RF136" i="1"/>
  <c r="RF314" i="1"/>
  <c r="RF134" i="1"/>
  <c r="RF52" i="1"/>
  <c r="RF410" i="1"/>
  <c r="RF83" i="1"/>
  <c r="RF399" i="1"/>
  <c r="RF312" i="1"/>
  <c r="RF85" i="1"/>
  <c r="RF97" i="1"/>
  <c r="RF114" i="1"/>
  <c r="RF126" i="1"/>
  <c r="RF400" i="1"/>
  <c r="RF301" i="1"/>
  <c r="RF12" i="1"/>
  <c r="RF385" i="1"/>
  <c r="RF44" i="1"/>
  <c r="RF56" i="1"/>
  <c r="RF68" i="1"/>
  <c r="RF342" i="1"/>
  <c r="RF260" i="1"/>
  <c r="RF106" i="1"/>
  <c r="RF402" i="1"/>
  <c r="RF414" i="1"/>
  <c r="RF426" i="1"/>
  <c r="RF15" i="1"/>
  <c r="RF27" i="1"/>
  <c r="RF65" i="1"/>
  <c r="RF370" i="1"/>
  <c r="RF112" i="1"/>
  <c r="RF25" i="1"/>
  <c r="RF383" i="1"/>
  <c r="RF271" i="1"/>
  <c r="RF122" i="1"/>
  <c r="RF381" i="1"/>
  <c r="RF262" i="1"/>
  <c r="RF344" i="1"/>
  <c r="RF361" i="1"/>
  <c r="RF373" i="1"/>
  <c r="RF299" i="1"/>
  <c r="RF425" i="1"/>
  <c r="RF331" i="1"/>
  <c r="RF274" i="1"/>
  <c r="RF291" i="1"/>
  <c r="RF303" i="1"/>
  <c r="RF315" i="1"/>
  <c r="RF332" i="1"/>
  <c r="UL289" i="1" l="1"/>
  <c r="BK57" i="5"/>
  <c r="ZH325" i="1"/>
  <c r="ZH326" i="1" s="1"/>
  <c r="ZH327" i="1" s="1"/>
  <c r="ZH328" i="1" s="1"/>
  <c r="ZH329" i="1" s="1"/>
  <c r="ZH330" i="1" s="1"/>
  <c r="ZH331" i="1" s="1"/>
  <c r="ZH332" i="1" s="1"/>
  <c r="ZH333" i="1" s="1"/>
  <c r="ZH334" i="1" s="1"/>
  <c r="ZH335" i="1" s="1"/>
  <c r="ZH336" i="1" s="1"/>
  <c r="ZH337" i="1" s="1"/>
  <c r="ZH338" i="1" s="1"/>
  <c r="ZH339" i="1" s="1"/>
  <c r="ZH340" i="1" s="1"/>
  <c r="ZH341" i="1" s="1"/>
  <c r="ZH342" i="1" s="1"/>
  <c r="ZH343" i="1" s="1"/>
  <c r="ZH344" i="1" s="1"/>
  <c r="ZH345" i="1" s="1"/>
  <c r="ZH346" i="1" s="1"/>
  <c r="ZH347" i="1" s="1"/>
  <c r="ZH348" i="1" s="1"/>
  <c r="ZH349" i="1" s="1"/>
  <c r="ZH350" i="1" s="1"/>
  <c r="ZH351" i="1" s="1"/>
  <c r="ZH352" i="1" s="1"/>
  <c r="ZH353" i="1" s="1"/>
  <c r="ZH354" i="1" s="1"/>
  <c r="ZH355" i="1" s="1"/>
  <c r="ZH356" i="1" s="1"/>
  <c r="BY67" i="5"/>
  <c r="UU289" i="1"/>
  <c r="BL57" i="5"/>
  <c r="TT289" i="1"/>
  <c r="BI57" i="5"/>
  <c r="VM289" i="1"/>
  <c r="BN57" i="5"/>
  <c r="UC289" i="1"/>
  <c r="BJ57" i="5"/>
  <c r="VV289" i="1"/>
  <c r="BO57" i="5"/>
  <c r="ZQ324" i="1"/>
  <c r="BZ64" i="5"/>
  <c r="WE289" i="1"/>
  <c r="BP57" i="5"/>
  <c r="VD289" i="1"/>
  <c r="BM57" i="5"/>
  <c r="YY325" i="1"/>
  <c r="YY326" i="1" s="1"/>
  <c r="YY327" i="1" s="1"/>
  <c r="YY328" i="1" s="1"/>
  <c r="YY329" i="1" s="1"/>
  <c r="YY330" i="1" s="1"/>
  <c r="YY331" i="1" s="1"/>
  <c r="YY332" i="1" s="1"/>
  <c r="YY333" i="1" s="1"/>
  <c r="YY334" i="1" s="1"/>
  <c r="YY335" i="1" s="1"/>
  <c r="YY336" i="1" s="1"/>
  <c r="YY337" i="1" s="1"/>
  <c r="YY338" i="1" s="1"/>
  <c r="YY339" i="1" s="1"/>
  <c r="YY340" i="1" s="1"/>
  <c r="YY341" i="1" s="1"/>
  <c r="YY342" i="1" s="1"/>
  <c r="YY343" i="1" s="1"/>
  <c r="YY344" i="1" s="1"/>
  <c r="YY345" i="1" s="1"/>
  <c r="YY346" i="1" s="1"/>
  <c r="YY347" i="1" s="1"/>
  <c r="YY348" i="1" s="1"/>
  <c r="YY349" i="1" s="1"/>
  <c r="YY350" i="1" s="1"/>
  <c r="YY351" i="1" s="1"/>
  <c r="YY352" i="1" s="1"/>
  <c r="YY353" i="1" s="1"/>
  <c r="YY354" i="1" s="1"/>
  <c r="YY355" i="1" s="1"/>
  <c r="YY356" i="1" s="1"/>
  <c r="BX67" i="5"/>
  <c r="YP324" i="1"/>
  <c r="BW64" i="5"/>
  <c r="YG324" i="1"/>
  <c r="BV64" i="5"/>
  <c r="XX324" i="1"/>
  <c r="BU64" i="5"/>
  <c r="XF289" i="1"/>
  <c r="BS57" i="5"/>
  <c r="WW289" i="1"/>
  <c r="BR57" i="5"/>
  <c r="WN289" i="1"/>
  <c r="BQ57" i="5"/>
  <c r="XO324" i="1"/>
  <c r="BT64" i="5"/>
  <c r="G48" i="8"/>
  <c r="VM290" i="1" l="1"/>
  <c r="VM291" i="1" s="1"/>
  <c r="VM292" i="1" s="1"/>
  <c r="VM293" i="1" s="1"/>
  <c r="VM294" i="1" s="1"/>
  <c r="VM295" i="1" s="1"/>
  <c r="VM296" i="1" s="1"/>
  <c r="VM297" i="1" s="1"/>
  <c r="VM298" i="1" s="1"/>
  <c r="VM299" i="1" s="1"/>
  <c r="VM300" i="1" s="1"/>
  <c r="VM301" i="1" s="1"/>
  <c r="VM302" i="1" s="1"/>
  <c r="VM303" i="1" s="1"/>
  <c r="VM304" i="1" s="1"/>
  <c r="VM305" i="1" s="1"/>
  <c r="VM306" i="1" s="1"/>
  <c r="VM307" i="1" s="1"/>
  <c r="VM308" i="1" s="1"/>
  <c r="VM309" i="1" s="1"/>
  <c r="VM310" i="1" s="1"/>
  <c r="VM311" i="1" s="1"/>
  <c r="VM312" i="1" s="1"/>
  <c r="VM313" i="1" s="1"/>
  <c r="VM314" i="1" s="1"/>
  <c r="VM315" i="1" s="1"/>
  <c r="VM316" i="1" s="1"/>
  <c r="VM317" i="1" s="1"/>
  <c r="VM318" i="1" s="1"/>
  <c r="VM319" i="1" s="1"/>
  <c r="VM320" i="1" s="1"/>
  <c r="BN60" i="5"/>
  <c r="VD290" i="1"/>
  <c r="VD291" i="1" s="1"/>
  <c r="VD292" i="1" s="1"/>
  <c r="VD293" i="1" s="1"/>
  <c r="VD294" i="1" s="1"/>
  <c r="VD295" i="1" s="1"/>
  <c r="VD296" i="1" s="1"/>
  <c r="VD297" i="1" s="1"/>
  <c r="VD298" i="1" s="1"/>
  <c r="VD299" i="1" s="1"/>
  <c r="VD300" i="1" s="1"/>
  <c r="VD301" i="1" s="1"/>
  <c r="VD302" i="1" s="1"/>
  <c r="VD303" i="1" s="1"/>
  <c r="VD304" i="1" s="1"/>
  <c r="VD305" i="1" s="1"/>
  <c r="VD306" i="1" s="1"/>
  <c r="VD307" i="1" s="1"/>
  <c r="VD308" i="1" s="1"/>
  <c r="VD309" i="1" s="1"/>
  <c r="VD310" i="1" s="1"/>
  <c r="VD311" i="1" s="1"/>
  <c r="VD312" i="1" s="1"/>
  <c r="VD313" i="1" s="1"/>
  <c r="VD314" i="1" s="1"/>
  <c r="VD315" i="1" s="1"/>
  <c r="VD316" i="1" s="1"/>
  <c r="VD317" i="1" s="1"/>
  <c r="VD318" i="1" s="1"/>
  <c r="VD319" i="1" s="1"/>
  <c r="VD320" i="1" s="1"/>
  <c r="BM60" i="5"/>
  <c r="UC290" i="1"/>
  <c r="UC291" i="1" s="1"/>
  <c r="UC292" i="1" s="1"/>
  <c r="UC293" i="1" s="1"/>
  <c r="UC294" i="1" s="1"/>
  <c r="UC295" i="1" s="1"/>
  <c r="UC296" i="1" s="1"/>
  <c r="UC297" i="1" s="1"/>
  <c r="UC298" i="1" s="1"/>
  <c r="UC299" i="1" s="1"/>
  <c r="UC300" i="1" s="1"/>
  <c r="UC301" i="1" s="1"/>
  <c r="UC302" i="1" s="1"/>
  <c r="UC303" i="1" s="1"/>
  <c r="UC304" i="1" s="1"/>
  <c r="UC305" i="1" s="1"/>
  <c r="UC306" i="1" s="1"/>
  <c r="UC307" i="1" s="1"/>
  <c r="UC308" i="1" s="1"/>
  <c r="UC309" i="1" s="1"/>
  <c r="UC310" i="1" s="1"/>
  <c r="UC311" i="1" s="1"/>
  <c r="UC312" i="1" s="1"/>
  <c r="UC313" i="1" s="1"/>
  <c r="UC314" i="1" s="1"/>
  <c r="UC315" i="1" s="1"/>
  <c r="UC316" i="1" s="1"/>
  <c r="UC317" i="1" s="1"/>
  <c r="UC318" i="1" s="1"/>
  <c r="UC319" i="1" s="1"/>
  <c r="UC320" i="1" s="1"/>
  <c r="BJ60" i="5"/>
  <c r="YY360" i="1"/>
  <c r="BX71" i="5"/>
  <c r="TT290" i="1"/>
  <c r="TT291" i="1" s="1"/>
  <c r="TT292" i="1" s="1"/>
  <c r="TT293" i="1" s="1"/>
  <c r="TT294" i="1" s="1"/>
  <c r="TT295" i="1" s="1"/>
  <c r="TT296" i="1" s="1"/>
  <c r="TT297" i="1" s="1"/>
  <c r="TT298" i="1" s="1"/>
  <c r="TT299" i="1" s="1"/>
  <c r="TT300" i="1" s="1"/>
  <c r="TT301" i="1" s="1"/>
  <c r="TT302" i="1" s="1"/>
  <c r="TT303" i="1" s="1"/>
  <c r="TT304" i="1" s="1"/>
  <c r="TT305" i="1" s="1"/>
  <c r="TT306" i="1" s="1"/>
  <c r="TT307" i="1" s="1"/>
  <c r="TT308" i="1" s="1"/>
  <c r="TT309" i="1" s="1"/>
  <c r="TT310" i="1" s="1"/>
  <c r="TT311" i="1" s="1"/>
  <c r="TT312" i="1" s="1"/>
  <c r="TT313" i="1" s="1"/>
  <c r="TT314" i="1" s="1"/>
  <c r="TT315" i="1" s="1"/>
  <c r="TT316" i="1" s="1"/>
  <c r="TT317" i="1" s="1"/>
  <c r="TT318" i="1" s="1"/>
  <c r="TT319" i="1" s="1"/>
  <c r="TT320" i="1" s="1"/>
  <c r="BI60" i="5"/>
  <c r="WE290" i="1"/>
  <c r="WE291" i="1" s="1"/>
  <c r="WE292" i="1" s="1"/>
  <c r="WE293" i="1" s="1"/>
  <c r="WE294" i="1" s="1"/>
  <c r="WE295" i="1" s="1"/>
  <c r="WE296" i="1" s="1"/>
  <c r="WE297" i="1" s="1"/>
  <c r="WE298" i="1" s="1"/>
  <c r="WE299" i="1" s="1"/>
  <c r="WE300" i="1" s="1"/>
  <c r="WE301" i="1" s="1"/>
  <c r="WE302" i="1" s="1"/>
  <c r="WE303" i="1" s="1"/>
  <c r="WE304" i="1" s="1"/>
  <c r="WE305" i="1" s="1"/>
  <c r="WE306" i="1" s="1"/>
  <c r="WE307" i="1" s="1"/>
  <c r="WE308" i="1" s="1"/>
  <c r="WE309" i="1" s="1"/>
  <c r="WE310" i="1" s="1"/>
  <c r="WE311" i="1" s="1"/>
  <c r="WE312" i="1" s="1"/>
  <c r="WE313" i="1" s="1"/>
  <c r="WE314" i="1" s="1"/>
  <c r="WE315" i="1" s="1"/>
  <c r="WE316" i="1" s="1"/>
  <c r="WE317" i="1" s="1"/>
  <c r="WE318" i="1" s="1"/>
  <c r="WE319" i="1" s="1"/>
  <c r="WE320" i="1" s="1"/>
  <c r="BP60" i="5"/>
  <c r="UU290" i="1"/>
  <c r="UU291" i="1" s="1"/>
  <c r="UU292" i="1" s="1"/>
  <c r="UU293" i="1" s="1"/>
  <c r="UU294" i="1" s="1"/>
  <c r="UU295" i="1" s="1"/>
  <c r="UU296" i="1" s="1"/>
  <c r="UU297" i="1" s="1"/>
  <c r="UU298" i="1" s="1"/>
  <c r="UU299" i="1" s="1"/>
  <c r="UU300" i="1" s="1"/>
  <c r="UU301" i="1" s="1"/>
  <c r="UU302" i="1" s="1"/>
  <c r="UU303" i="1" s="1"/>
  <c r="UU304" i="1" s="1"/>
  <c r="UU305" i="1" s="1"/>
  <c r="UU306" i="1" s="1"/>
  <c r="UU307" i="1" s="1"/>
  <c r="UU308" i="1" s="1"/>
  <c r="UU309" i="1" s="1"/>
  <c r="UU310" i="1" s="1"/>
  <c r="UU311" i="1" s="1"/>
  <c r="UU312" i="1" s="1"/>
  <c r="UU313" i="1" s="1"/>
  <c r="UU314" i="1" s="1"/>
  <c r="UU315" i="1" s="1"/>
  <c r="UU316" i="1" s="1"/>
  <c r="UU317" i="1" s="1"/>
  <c r="UU318" i="1" s="1"/>
  <c r="UU319" i="1" s="1"/>
  <c r="UU320" i="1" s="1"/>
  <c r="BL60" i="5"/>
  <c r="ZQ325" i="1"/>
  <c r="ZQ326" i="1" s="1"/>
  <c r="ZQ327" i="1" s="1"/>
  <c r="ZQ328" i="1" s="1"/>
  <c r="ZQ329" i="1" s="1"/>
  <c r="ZQ330" i="1" s="1"/>
  <c r="ZQ331" i="1" s="1"/>
  <c r="ZQ332" i="1" s="1"/>
  <c r="ZQ333" i="1" s="1"/>
  <c r="ZQ334" i="1" s="1"/>
  <c r="ZQ335" i="1" s="1"/>
  <c r="ZQ336" i="1" s="1"/>
  <c r="ZQ337" i="1" s="1"/>
  <c r="ZQ338" i="1" s="1"/>
  <c r="ZQ339" i="1" s="1"/>
  <c r="ZQ340" i="1" s="1"/>
  <c r="ZQ341" i="1" s="1"/>
  <c r="ZQ342" i="1" s="1"/>
  <c r="ZQ343" i="1" s="1"/>
  <c r="ZQ344" i="1" s="1"/>
  <c r="ZQ345" i="1" s="1"/>
  <c r="ZQ346" i="1" s="1"/>
  <c r="ZQ347" i="1" s="1"/>
  <c r="ZQ348" i="1" s="1"/>
  <c r="ZQ349" i="1" s="1"/>
  <c r="ZQ350" i="1" s="1"/>
  <c r="ZQ351" i="1" s="1"/>
  <c r="ZQ352" i="1" s="1"/>
  <c r="ZQ353" i="1" s="1"/>
  <c r="ZQ354" i="1" s="1"/>
  <c r="ZQ355" i="1" s="1"/>
  <c r="ZQ356" i="1" s="1"/>
  <c r="BZ67" i="5"/>
  <c r="ZH360" i="1"/>
  <c r="BY71" i="5"/>
  <c r="VV290" i="1"/>
  <c r="VV291" i="1" s="1"/>
  <c r="VV292" i="1" s="1"/>
  <c r="VV293" i="1" s="1"/>
  <c r="VV294" i="1" s="1"/>
  <c r="VV295" i="1" s="1"/>
  <c r="VV296" i="1" s="1"/>
  <c r="VV297" i="1" s="1"/>
  <c r="VV298" i="1" s="1"/>
  <c r="VV299" i="1" s="1"/>
  <c r="VV300" i="1" s="1"/>
  <c r="VV301" i="1" s="1"/>
  <c r="VV302" i="1" s="1"/>
  <c r="VV303" i="1" s="1"/>
  <c r="VV304" i="1" s="1"/>
  <c r="VV305" i="1" s="1"/>
  <c r="VV306" i="1" s="1"/>
  <c r="VV307" i="1" s="1"/>
  <c r="VV308" i="1" s="1"/>
  <c r="VV309" i="1" s="1"/>
  <c r="VV310" i="1" s="1"/>
  <c r="VV311" i="1" s="1"/>
  <c r="VV312" i="1" s="1"/>
  <c r="VV313" i="1" s="1"/>
  <c r="VV314" i="1" s="1"/>
  <c r="VV315" i="1" s="1"/>
  <c r="VV316" i="1" s="1"/>
  <c r="VV317" i="1" s="1"/>
  <c r="VV318" i="1" s="1"/>
  <c r="VV319" i="1" s="1"/>
  <c r="VV320" i="1" s="1"/>
  <c r="BO60" i="5"/>
  <c r="UL290" i="1"/>
  <c r="UL291" i="1" s="1"/>
  <c r="UL292" i="1" s="1"/>
  <c r="UL293" i="1" s="1"/>
  <c r="UL294" i="1" s="1"/>
  <c r="UL295" i="1" s="1"/>
  <c r="UL296" i="1" s="1"/>
  <c r="UL297" i="1" s="1"/>
  <c r="UL298" i="1" s="1"/>
  <c r="UL299" i="1" s="1"/>
  <c r="UL300" i="1" s="1"/>
  <c r="UL301" i="1" s="1"/>
  <c r="UL302" i="1" s="1"/>
  <c r="UL303" i="1" s="1"/>
  <c r="UL304" i="1" s="1"/>
  <c r="UL305" i="1" s="1"/>
  <c r="UL306" i="1" s="1"/>
  <c r="UL307" i="1" s="1"/>
  <c r="UL308" i="1" s="1"/>
  <c r="UL309" i="1" s="1"/>
  <c r="UL310" i="1" s="1"/>
  <c r="UL311" i="1" s="1"/>
  <c r="UL312" i="1" s="1"/>
  <c r="UL313" i="1" s="1"/>
  <c r="UL314" i="1" s="1"/>
  <c r="UL315" i="1" s="1"/>
  <c r="UL316" i="1" s="1"/>
  <c r="UL317" i="1" s="1"/>
  <c r="UL318" i="1" s="1"/>
  <c r="UL319" i="1" s="1"/>
  <c r="UL320" i="1" s="1"/>
  <c r="BK60" i="5"/>
  <c r="YP325" i="1"/>
  <c r="YP326" i="1" s="1"/>
  <c r="YP327" i="1" s="1"/>
  <c r="YP328" i="1" s="1"/>
  <c r="YP329" i="1" s="1"/>
  <c r="YP330" i="1" s="1"/>
  <c r="YP331" i="1" s="1"/>
  <c r="YP332" i="1" s="1"/>
  <c r="YP333" i="1" s="1"/>
  <c r="YP334" i="1" s="1"/>
  <c r="YP335" i="1" s="1"/>
  <c r="YP336" i="1" s="1"/>
  <c r="YP337" i="1" s="1"/>
  <c r="YP338" i="1" s="1"/>
  <c r="YP339" i="1" s="1"/>
  <c r="YP340" i="1" s="1"/>
  <c r="YP341" i="1" s="1"/>
  <c r="YP342" i="1" s="1"/>
  <c r="YP343" i="1" s="1"/>
  <c r="YP344" i="1" s="1"/>
  <c r="YP345" i="1" s="1"/>
  <c r="YP346" i="1" s="1"/>
  <c r="YP347" i="1" s="1"/>
  <c r="YP348" i="1" s="1"/>
  <c r="YP349" i="1" s="1"/>
  <c r="YP350" i="1" s="1"/>
  <c r="YP351" i="1" s="1"/>
  <c r="YP352" i="1" s="1"/>
  <c r="YP353" i="1" s="1"/>
  <c r="YP354" i="1" s="1"/>
  <c r="YP355" i="1" s="1"/>
  <c r="YP356" i="1" s="1"/>
  <c r="BW67" i="5"/>
  <c r="YG325" i="1"/>
  <c r="YG326" i="1" s="1"/>
  <c r="YG327" i="1" s="1"/>
  <c r="YG328" i="1" s="1"/>
  <c r="YG329" i="1" s="1"/>
  <c r="YG330" i="1" s="1"/>
  <c r="YG331" i="1" s="1"/>
  <c r="YG332" i="1" s="1"/>
  <c r="YG333" i="1" s="1"/>
  <c r="YG334" i="1" s="1"/>
  <c r="YG335" i="1" s="1"/>
  <c r="YG336" i="1" s="1"/>
  <c r="YG337" i="1" s="1"/>
  <c r="YG338" i="1" s="1"/>
  <c r="YG339" i="1" s="1"/>
  <c r="YG340" i="1" s="1"/>
  <c r="YG341" i="1" s="1"/>
  <c r="YG342" i="1" s="1"/>
  <c r="YG343" i="1" s="1"/>
  <c r="YG344" i="1" s="1"/>
  <c r="YG345" i="1" s="1"/>
  <c r="YG346" i="1" s="1"/>
  <c r="YG347" i="1" s="1"/>
  <c r="YG348" i="1" s="1"/>
  <c r="YG349" i="1" s="1"/>
  <c r="YG350" i="1" s="1"/>
  <c r="YG351" i="1" s="1"/>
  <c r="YG352" i="1" s="1"/>
  <c r="YG353" i="1" s="1"/>
  <c r="YG354" i="1" s="1"/>
  <c r="YG355" i="1" s="1"/>
  <c r="YG356" i="1" s="1"/>
  <c r="BV67" i="5"/>
  <c r="XX325" i="1"/>
  <c r="XX326" i="1" s="1"/>
  <c r="XX327" i="1" s="1"/>
  <c r="XX328" i="1" s="1"/>
  <c r="XX329" i="1" s="1"/>
  <c r="XX330" i="1" s="1"/>
  <c r="XX331" i="1" s="1"/>
  <c r="XX332" i="1" s="1"/>
  <c r="XX333" i="1" s="1"/>
  <c r="XX334" i="1" s="1"/>
  <c r="XX335" i="1" s="1"/>
  <c r="XX336" i="1" s="1"/>
  <c r="XX337" i="1" s="1"/>
  <c r="XX338" i="1" s="1"/>
  <c r="XX339" i="1" s="1"/>
  <c r="XX340" i="1" s="1"/>
  <c r="XX341" i="1" s="1"/>
  <c r="XX342" i="1" s="1"/>
  <c r="XX343" i="1" s="1"/>
  <c r="XX344" i="1" s="1"/>
  <c r="XX345" i="1" s="1"/>
  <c r="XX346" i="1" s="1"/>
  <c r="XX347" i="1" s="1"/>
  <c r="XX348" i="1" s="1"/>
  <c r="XX349" i="1" s="1"/>
  <c r="XX350" i="1" s="1"/>
  <c r="XX351" i="1" s="1"/>
  <c r="XX352" i="1" s="1"/>
  <c r="XX353" i="1" s="1"/>
  <c r="XX354" i="1" s="1"/>
  <c r="XX355" i="1" s="1"/>
  <c r="XX356" i="1" s="1"/>
  <c r="BU67" i="5"/>
  <c r="XF290" i="1"/>
  <c r="XF291" i="1" s="1"/>
  <c r="XF292" i="1" s="1"/>
  <c r="XF293" i="1" s="1"/>
  <c r="XF294" i="1" s="1"/>
  <c r="XF295" i="1" s="1"/>
  <c r="XF296" i="1" s="1"/>
  <c r="XF297" i="1" s="1"/>
  <c r="XF298" i="1" s="1"/>
  <c r="XF299" i="1" s="1"/>
  <c r="XF300" i="1" s="1"/>
  <c r="XF301" i="1" s="1"/>
  <c r="XF302" i="1" s="1"/>
  <c r="XF303" i="1" s="1"/>
  <c r="XF304" i="1" s="1"/>
  <c r="XF305" i="1" s="1"/>
  <c r="XF306" i="1" s="1"/>
  <c r="XF307" i="1" s="1"/>
  <c r="XF308" i="1" s="1"/>
  <c r="XF309" i="1" s="1"/>
  <c r="XF310" i="1" s="1"/>
  <c r="XF311" i="1" s="1"/>
  <c r="XF312" i="1" s="1"/>
  <c r="XF313" i="1" s="1"/>
  <c r="XF314" i="1" s="1"/>
  <c r="XF315" i="1" s="1"/>
  <c r="XF316" i="1" s="1"/>
  <c r="XF317" i="1" s="1"/>
  <c r="XF318" i="1" s="1"/>
  <c r="XF319" i="1" s="1"/>
  <c r="XF320" i="1" s="1"/>
  <c r="BS60" i="5"/>
  <c r="WW290" i="1"/>
  <c r="WW291" i="1" s="1"/>
  <c r="WW292" i="1" s="1"/>
  <c r="WW293" i="1" s="1"/>
  <c r="WW294" i="1" s="1"/>
  <c r="WW295" i="1" s="1"/>
  <c r="WW296" i="1" s="1"/>
  <c r="WW297" i="1" s="1"/>
  <c r="WW298" i="1" s="1"/>
  <c r="WW299" i="1" s="1"/>
  <c r="WW300" i="1" s="1"/>
  <c r="WW301" i="1" s="1"/>
  <c r="WW302" i="1" s="1"/>
  <c r="WW303" i="1" s="1"/>
  <c r="WW304" i="1" s="1"/>
  <c r="WW305" i="1" s="1"/>
  <c r="WW306" i="1" s="1"/>
  <c r="WW307" i="1" s="1"/>
  <c r="WW308" i="1" s="1"/>
  <c r="WW309" i="1" s="1"/>
  <c r="WW310" i="1" s="1"/>
  <c r="WW311" i="1" s="1"/>
  <c r="WW312" i="1" s="1"/>
  <c r="WW313" i="1" s="1"/>
  <c r="WW314" i="1" s="1"/>
  <c r="WW315" i="1" s="1"/>
  <c r="WW316" i="1" s="1"/>
  <c r="WW317" i="1" s="1"/>
  <c r="WW318" i="1" s="1"/>
  <c r="WW319" i="1" s="1"/>
  <c r="WW320" i="1" s="1"/>
  <c r="BR60" i="5"/>
  <c r="WN290" i="1"/>
  <c r="WN291" i="1" s="1"/>
  <c r="WN292" i="1" s="1"/>
  <c r="WN293" i="1" s="1"/>
  <c r="WN294" i="1" s="1"/>
  <c r="WN295" i="1" s="1"/>
  <c r="WN296" i="1" s="1"/>
  <c r="WN297" i="1" s="1"/>
  <c r="WN298" i="1" s="1"/>
  <c r="WN299" i="1" s="1"/>
  <c r="WN300" i="1" s="1"/>
  <c r="WN301" i="1" s="1"/>
  <c r="WN302" i="1" s="1"/>
  <c r="WN303" i="1" s="1"/>
  <c r="WN304" i="1" s="1"/>
  <c r="WN305" i="1" s="1"/>
  <c r="WN306" i="1" s="1"/>
  <c r="WN307" i="1" s="1"/>
  <c r="WN308" i="1" s="1"/>
  <c r="WN309" i="1" s="1"/>
  <c r="WN310" i="1" s="1"/>
  <c r="WN311" i="1" s="1"/>
  <c r="WN312" i="1" s="1"/>
  <c r="WN313" i="1" s="1"/>
  <c r="WN314" i="1" s="1"/>
  <c r="WN315" i="1" s="1"/>
  <c r="WN316" i="1" s="1"/>
  <c r="WN317" i="1" s="1"/>
  <c r="WN318" i="1" s="1"/>
  <c r="WN319" i="1" s="1"/>
  <c r="WN320" i="1" s="1"/>
  <c r="BQ60" i="5"/>
  <c r="XO325" i="1"/>
  <c r="XO326" i="1" s="1"/>
  <c r="XO327" i="1" s="1"/>
  <c r="XO328" i="1" s="1"/>
  <c r="XO329" i="1" s="1"/>
  <c r="XO330" i="1" s="1"/>
  <c r="XO331" i="1" s="1"/>
  <c r="XO332" i="1" s="1"/>
  <c r="XO333" i="1" s="1"/>
  <c r="XO334" i="1" s="1"/>
  <c r="XO335" i="1" s="1"/>
  <c r="XO336" i="1" s="1"/>
  <c r="XO337" i="1" s="1"/>
  <c r="XO338" i="1" s="1"/>
  <c r="XO339" i="1" s="1"/>
  <c r="XO340" i="1" s="1"/>
  <c r="XO341" i="1" s="1"/>
  <c r="XO342" i="1" s="1"/>
  <c r="XO343" i="1" s="1"/>
  <c r="XO344" i="1" s="1"/>
  <c r="XO345" i="1" s="1"/>
  <c r="XO346" i="1" s="1"/>
  <c r="XO347" i="1" s="1"/>
  <c r="XO348" i="1" s="1"/>
  <c r="XO349" i="1" s="1"/>
  <c r="XO350" i="1" s="1"/>
  <c r="XO351" i="1" s="1"/>
  <c r="XO352" i="1" s="1"/>
  <c r="XO353" i="1" s="1"/>
  <c r="XO354" i="1" s="1"/>
  <c r="XO355" i="1" s="1"/>
  <c r="XO356" i="1" s="1"/>
  <c r="BT67" i="5"/>
  <c r="NU178" i="1"/>
  <c r="TT324" i="1" l="1"/>
  <c r="BI64" i="5"/>
  <c r="VV324" i="1"/>
  <c r="BO64" i="5"/>
  <c r="YY361" i="1"/>
  <c r="YY362" i="1" s="1"/>
  <c r="YY363" i="1" s="1"/>
  <c r="YY364" i="1" s="1"/>
  <c r="YY365" i="1" s="1"/>
  <c r="YY366" i="1" s="1"/>
  <c r="YY367" i="1" s="1"/>
  <c r="YY368" i="1" s="1"/>
  <c r="YY369" i="1" s="1"/>
  <c r="YY370" i="1" s="1"/>
  <c r="YY371" i="1" s="1"/>
  <c r="YY372" i="1" s="1"/>
  <c r="YY373" i="1" s="1"/>
  <c r="YY374" i="1" s="1"/>
  <c r="YY375" i="1" s="1"/>
  <c r="YY376" i="1" s="1"/>
  <c r="YY377" i="1" s="1"/>
  <c r="YY378" i="1" s="1"/>
  <c r="YY379" i="1" s="1"/>
  <c r="YY380" i="1" s="1"/>
  <c r="YY381" i="1" s="1"/>
  <c r="YY382" i="1" s="1"/>
  <c r="YY383" i="1" s="1"/>
  <c r="YY384" i="1" s="1"/>
  <c r="YY385" i="1" s="1"/>
  <c r="YY386" i="1" s="1"/>
  <c r="YY387" i="1" s="1"/>
  <c r="YY388" i="1" s="1"/>
  <c r="YY389" i="1" s="1"/>
  <c r="YY390" i="1" s="1"/>
  <c r="YY391" i="1" s="1"/>
  <c r="BX74" i="5"/>
  <c r="WE324" i="1"/>
  <c r="BP64" i="5"/>
  <c r="UC324" i="1"/>
  <c r="BJ64" i="5"/>
  <c r="ZQ360" i="1"/>
  <c r="BZ71" i="5"/>
  <c r="ZH361" i="1"/>
  <c r="ZH362" i="1" s="1"/>
  <c r="ZH363" i="1" s="1"/>
  <c r="ZH364" i="1" s="1"/>
  <c r="ZH365" i="1" s="1"/>
  <c r="ZH366" i="1" s="1"/>
  <c r="ZH367" i="1" s="1"/>
  <c r="ZH368" i="1" s="1"/>
  <c r="ZH369" i="1" s="1"/>
  <c r="ZH370" i="1" s="1"/>
  <c r="ZH371" i="1" s="1"/>
  <c r="ZH372" i="1" s="1"/>
  <c r="ZH373" i="1" s="1"/>
  <c r="ZH374" i="1" s="1"/>
  <c r="ZH375" i="1" s="1"/>
  <c r="ZH376" i="1" s="1"/>
  <c r="ZH377" i="1" s="1"/>
  <c r="ZH378" i="1" s="1"/>
  <c r="ZH379" i="1" s="1"/>
  <c r="ZH380" i="1" s="1"/>
  <c r="ZH381" i="1" s="1"/>
  <c r="ZH382" i="1" s="1"/>
  <c r="ZH383" i="1" s="1"/>
  <c r="ZH384" i="1" s="1"/>
  <c r="ZH385" i="1" s="1"/>
  <c r="ZH386" i="1" s="1"/>
  <c r="ZH387" i="1" s="1"/>
  <c r="ZH388" i="1" s="1"/>
  <c r="ZH389" i="1" s="1"/>
  <c r="ZH390" i="1" s="1"/>
  <c r="ZH391" i="1" s="1"/>
  <c r="BY74" i="5"/>
  <c r="VD324" i="1"/>
  <c r="BM64" i="5"/>
  <c r="UL324" i="1"/>
  <c r="BK64" i="5"/>
  <c r="UU324" i="1"/>
  <c r="BL64" i="5"/>
  <c r="VM324" i="1"/>
  <c r="BN64" i="5"/>
  <c r="YP360" i="1"/>
  <c r="BW71" i="5"/>
  <c r="YG360" i="1"/>
  <c r="BV71" i="5"/>
  <c r="XX360" i="1"/>
  <c r="BU71" i="5"/>
  <c r="XF324" i="1"/>
  <c r="BS64" i="5"/>
  <c r="WW324" i="1"/>
  <c r="BR64" i="5"/>
  <c r="WN324" i="1"/>
  <c r="BQ64" i="5"/>
  <c r="XO360" i="1"/>
  <c r="BT71" i="5"/>
  <c r="G48" i="21"/>
  <c r="G47" i="20"/>
  <c r="ZQ361" i="1" l="1"/>
  <c r="ZQ362" i="1" s="1"/>
  <c r="ZQ363" i="1" s="1"/>
  <c r="ZQ364" i="1" s="1"/>
  <c r="ZQ365" i="1" s="1"/>
  <c r="ZQ366" i="1" s="1"/>
  <c r="ZQ367" i="1" s="1"/>
  <c r="ZQ368" i="1" s="1"/>
  <c r="ZQ369" i="1" s="1"/>
  <c r="ZQ370" i="1" s="1"/>
  <c r="ZQ371" i="1" s="1"/>
  <c r="ZQ372" i="1" s="1"/>
  <c r="ZQ373" i="1" s="1"/>
  <c r="ZQ374" i="1" s="1"/>
  <c r="ZQ375" i="1" s="1"/>
  <c r="ZQ376" i="1" s="1"/>
  <c r="ZQ377" i="1" s="1"/>
  <c r="ZQ378" i="1" s="1"/>
  <c r="ZQ379" i="1" s="1"/>
  <c r="ZQ380" i="1" s="1"/>
  <c r="ZQ381" i="1" s="1"/>
  <c r="ZQ382" i="1" s="1"/>
  <c r="ZQ383" i="1" s="1"/>
  <c r="ZQ384" i="1" s="1"/>
  <c r="ZQ385" i="1" s="1"/>
  <c r="ZQ386" i="1" s="1"/>
  <c r="ZQ387" i="1" s="1"/>
  <c r="ZQ388" i="1" s="1"/>
  <c r="ZQ389" i="1" s="1"/>
  <c r="ZQ390" i="1" s="1"/>
  <c r="ZQ391" i="1" s="1"/>
  <c r="BZ74" i="5"/>
  <c r="VM325" i="1"/>
  <c r="VM326" i="1" s="1"/>
  <c r="VM327" i="1" s="1"/>
  <c r="VM328" i="1" s="1"/>
  <c r="VM329" i="1" s="1"/>
  <c r="VM330" i="1" s="1"/>
  <c r="VM331" i="1" s="1"/>
  <c r="VM332" i="1" s="1"/>
  <c r="VM333" i="1" s="1"/>
  <c r="VM334" i="1" s="1"/>
  <c r="VM335" i="1" s="1"/>
  <c r="VM336" i="1" s="1"/>
  <c r="VM337" i="1" s="1"/>
  <c r="VM338" i="1" s="1"/>
  <c r="VM339" i="1" s="1"/>
  <c r="VM340" i="1" s="1"/>
  <c r="VM341" i="1" s="1"/>
  <c r="VM342" i="1" s="1"/>
  <c r="VM343" i="1" s="1"/>
  <c r="VM344" i="1" s="1"/>
  <c r="VM345" i="1" s="1"/>
  <c r="VM346" i="1" s="1"/>
  <c r="VM347" i="1" s="1"/>
  <c r="VM348" i="1" s="1"/>
  <c r="VM349" i="1" s="1"/>
  <c r="VM350" i="1" s="1"/>
  <c r="VM351" i="1" s="1"/>
  <c r="VM352" i="1" s="1"/>
  <c r="VM353" i="1" s="1"/>
  <c r="VM354" i="1" s="1"/>
  <c r="VM355" i="1" s="1"/>
  <c r="VM356" i="1" s="1"/>
  <c r="BN67" i="5"/>
  <c r="UC325" i="1"/>
  <c r="UC326" i="1" s="1"/>
  <c r="UC327" i="1" s="1"/>
  <c r="UC328" i="1" s="1"/>
  <c r="UC329" i="1" s="1"/>
  <c r="UC330" i="1" s="1"/>
  <c r="UC331" i="1" s="1"/>
  <c r="UC332" i="1" s="1"/>
  <c r="UC333" i="1" s="1"/>
  <c r="UC334" i="1" s="1"/>
  <c r="UC335" i="1" s="1"/>
  <c r="UC336" i="1" s="1"/>
  <c r="UC337" i="1" s="1"/>
  <c r="UC338" i="1" s="1"/>
  <c r="UC339" i="1" s="1"/>
  <c r="UC340" i="1" s="1"/>
  <c r="UC341" i="1" s="1"/>
  <c r="UC342" i="1" s="1"/>
  <c r="UC343" i="1" s="1"/>
  <c r="UC344" i="1" s="1"/>
  <c r="UC345" i="1" s="1"/>
  <c r="UC346" i="1" s="1"/>
  <c r="UC347" i="1" s="1"/>
  <c r="UC348" i="1" s="1"/>
  <c r="UC349" i="1" s="1"/>
  <c r="UC350" i="1" s="1"/>
  <c r="UC351" i="1" s="1"/>
  <c r="UC352" i="1" s="1"/>
  <c r="UC353" i="1" s="1"/>
  <c r="UC354" i="1" s="1"/>
  <c r="UC355" i="1" s="1"/>
  <c r="UC356" i="1" s="1"/>
  <c r="BJ67" i="5"/>
  <c r="UU325" i="1"/>
  <c r="UU326" i="1" s="1"/>
  <c r="UU327" i="1" s="1"/>
  <c r="UU328" i="1" s="1"/>
  <c r="UU329" i="1" s="1"/>
  <c r="UU330" i="1" s="1"/>
  <c r="UU331" i="1" s="1"/>
  <c r="UU332" i="1" s="1"/>
  <c r="UU333" i="1" s="1"/>
  <c r="UU334" i="1" s="1"/>
  <c r="UU335" i="1" s="1"/>
  <c r="UU336" i="1" s="1"/>
  <c r="UU337" i="1" s="1"/>
  <c r="UU338" i="1" s="1"/>
  <c r="UU339" i="1" s="1"/>
  <c r="UU340" i="1" s="1"/>
  <c r="UU341" i="1" s="1"/>
  <c r="UU342" i="1" s="1"/>
  <c r="UU343" i="1" s="1"/>
  <c r="UU344" i="1" s="1"/>
  <c r="UU345" i="1" s="1"/>
  <c r="UU346" i="1" s="1"/>
  <c r="UU347" i="1" s="1"/>
  <c r="UU348" i="1" s="1"/>
  <c r="UU349" i="1" s="1"/>
  <c r="UU350" i="1" s="1"/>
  <c r="UU351" i="1" s="1"/>
  <c r="UU352" i="1" s="1"/>
  <c r="UU353" i="1" s="1"/>
  <c r="UU354" i="1" s="1"/>
  <c r="UU355" i="1" s="1"/>
  <c r="UU356" i="1" s="1"/>
  <c r="BL67" i="5"/>
  <c r="WE325" i="1"/>
  <c r="WE326" i="1" s="1"/>
  <c r="WE327" i="1" s="1"/>
  <c r="WE328" i="1" s="1"/>
  <c r="WE329" i="1" s="1"/>
  <c r="WE330" i="1" s="1"/>
  <c r="WE331" i="1" s="1"/>
  <c r="WE332" i="1" s="1"/>
  <c r="WE333" i="1" s="1"/>
  <c r="WE334" i="1" s="1"/>
  <c r="WE335" i="1" s="1"/>
  <c r="WE336" i="1" s="1"/>
  <c r="WE337" i="1" s="1"/>
  <c r="WE338" i="1" s="1"/>
  <c r="WE339" i="1" s="1"/>
  <c r="WE340" i="1" s="1"/>
  <c r="WE341" i="1" s="1"/>
  <c r="WE342" i="1" s="1"/>
  <c r="WE343" i="1" s="1"/>
  <c r="WE344" i="1" s="1"/>
  <c r="WE345" i="1" s="1"/>
  <c r="WE346" i="1" s="1"/>
  <c r="WE347" i="1" s="1"/>
  <c r="WE348" i="1" s="1"/>
  <c r="WE349" i="1" s="1"/>
  <c r="WE350" i="1" s="1"/>
  <c r="WE351" i="1" s="1"/>
  <c r="WE352" i="1" s="1"/>
  <c r="WE353" i="1" s="1"/>
  <c r="WE354" i="1" s="1"/>
  <c r="WE355" i="1" s="1"/>
  <c r="WE356" i="1" s="1"/>
  <c r="BP67" i="5"/>
  <c r="UL325" i="1"/>
  <c r="UL326" i="1" s="1"/>
  <c r="UL327" i="1" s="1"/>
  <c r="UL328" i="1" s="1"/>
  <c r="UL329" i="1" s="1"/>
  <c r="UL330" i="1" s="1"/>
  <c r="UL331" i="1" s="1"/>
  <c r="UL332" i="1" s="1"/>
  <c r="UL333" i="1" s="1"/>
  <c r="UL334" i="1" s="1"/>
  <c r="UL335" i="1" s="1"/>
  <c r="UL336" i="1" s="1"/>
  <c r="UL337" i="1" s="1"/>
  <c r="UL338" i="1" s="1"/>
  <c r="UL339" i="1" s="1"/>
  <c r="UL340" i="1" s="1"/>
  <c r="UL341" i="1" s="1"/>
  <c r="UL342" i="1" s="1"/>
  <c r="UL343" i="1" s="1"/>
  <c r="UL344" i="1" s="1"/>
  <c r="UL345" i="1" s="1"/>
  <c r="UL346" i="1" s="1"/>
  <c r="UL347" i="1" s="1"/>
  <c r="UL348" i="1" s="1"/>
  <c r="UL349" i="1" s="1"/>
  <c r="UL350" i="1" s="1"/>
  <c r="UL351" i="1" s="1"/>
  <c r="UL352" i="1" s="1"/>
  <c r="UL353" i="1" s="1"/>
  <c r="UL354" i="1" s="1"/>
  <c r="UL355" i="1" s="1"/>
  <c r="UL356" i="1" s="1"/>
  <c r="BK67" i="5"/>
  <c r="YY395" i="1"/>
  <c r="BX78" i="5"/>
  <c r="VD325" i="1"/>
  <c r="VD326" i="1" s="1"/>
  <c r="VD327" i="1" s="1"/>
  <c r="VD328" i="1" s="1"/>
  <c r="VD329" i="1" s="1"/>
  <c r="VD330" i="1" s="1"/>
  <c r="VD331" i="1" s="1"/>
  <c r="VD332" i="1" s="1"/>
  <c r="VD333" i="1" s="1"/>
  <c r="VD334" i="1" s="1"/>
  <c r="VD335" i="1" s="1"/>
  <c r="VD336" i="1" s="1"/>
  <c r="VD337" i="1" s="1"/>
  <c r="VD338" i="1" s="1"/>
  <c r="VD339" i="1" s="1"/>
  <c r="VD340" i="1" s="1"/>
  <c r="VD341" i="1" s="1"/>
  <c r="VD342" i="1" s="1"/>
  <c r="VD343" i="1" s="1"/>
  <c r="VD344" i="1" s="1"/>
  <c r="VD345" i="1" s="1"/>
  <c r="VD346" i="1" s="1"/>
  <c r="VD347" i="1" s="1"/>
  <c r="VD348" i="1" s="1"/>
  <c r="VD349" i="1" s="1"/>
  <c r="VD350" i="1" s="1"/>
  <c r="VD351" i="1" s="1"/>
  <c r="VD352" i="1" s="1"/>
  <c r="VD353" i="1" s="1"/>
  <c r="VD354" i="1" s="1"/>
  <c r="VD355" i="1" s="1"/>
  <c r="VD356" i="1" s="1"/>
  <c r="BM67" i="5"/>
  <c r="VV325" i="1"/>
  <c r="VV326" i="1" s="1"/>
  <c r="VV327" i="1" s="1"/>
  <c r="VV328" i="1" s="1"/>
  <c r="VV329" i="1" s="1"/>
  <c r="VV330" i="1" s="1"/>
  <c r="VV331" i="1" s="1"/>
  <c r="VV332" i="1" s="1"/>
  <c r="VV333" i="1" s="1"/>
  <c r="VV334" i="1" s="1"/>
  <c r="VV335" i="1" s="1"/>
  <c r="VV336" i="1" s="1"/>
  <c r="VV337" i="1" s="1"/>
  <c r="VV338" i="1" s="1"/>
  <c r="VV339" i="1" s="1"/>
  <c r="VV340" i="1" s="1"/>
  <c r="VV341" i="1" s="1"/>
  <c r="VV342" i="1" s="1"/>
  <c r="VV343" i="1" s="1"/>
  <c r="VV344" i="1" s="1"/>
  <c r="VV345" i="1" s="1"/>
  <c r="VV346" i="1" s="1"/>
  <c r="VV347" i="1" s="1"/>
  <c r="VV348" i="1" s="1"/>
  <c r="VV349" i="1" s="1"/>
  <c r="VV350" i="1" s="1"/>
  <c r="VV351" i="1" s="1"/>
  <c r="VV352" i="1" s="1"/>
  <c r="VV353" i="1" s="1"/>
  <c r="VV354" i="1" s="1"/>
  <c r="VV355" i="1" s="1"/>
  <c r="VV356" i="1" s="1"/>
  <c r="BO67" i="5"/>
  <c r="ZH395" i="1"/>
  <c r="BY78" i="5"/>
  <c r="TT325" i="1"/>
  <c r="TT326" i="1" s="1"/>
  <c r="TT327" i="1" s="1"/>
  <c r="TT328" i="1" s="1"/>
  <c r="TT329" i="1" s="1"/>
  <c r="TT330" i="1" s="1"/>
  <c r="TT331" i="1" s="1"/>
  <c r="TT332" i="1" s="1"/>
  <c r="TT333" i="1" s="1"/>
  <c r="TT334" i="1" s="1"/>
  <c r="TT335" i="1" s="1"/>
  <c r="TT336" i="1" s="1"/>
  <c r="TT337" i="1" s="1"/>
  <c r="TT338" i="1" s="1"/>
  <c r="TT339" i="1" s="1"/>
  <c r="TT340" i="1" s="1"/>
  <c r="TT341" i="1" s="1"/>
  <c r="TT342" i="1" s="1"/>
  <c r="TT343" i="1" s="1"/>
  <c r="TT344" i="1" s="1"/>
  <c r="TT345" i="1" s="1"/>
  <c r="TT346" i="1" s="1"/>
  <c r="TT347" i="1" s="1"/>
  <c r="TT348" i="1" s="1"/>
  <c r="TT349" i="1" s="1"/>
  <c r="TT350" i="1" s="1"/>
  <c r="TT351" i="1" s="1"/>
  <c r="TT352" i="1" s="1"/>
  <c r="TT353" i="1" s="1"/>
  <c r="TT354" i="1" s="1"/>
  <c r="TT355" i="1" s="1"/>
  <c r="TT356" i="1" s="1"/>
  <c r="BI67" i="5"/>
  <c r="YP361" i="1"/>
  <c r="YP362" i="1" s="1"/>
  <c r="YP363" i="1" s="1"/>
  <c r="YP364" i="1" s="1"/>
  <c r="YP365" i="1" s="1"/>
  <c r="YP366" i="1" s="1"/>
  <c r="YP367" i="1" s="1"/>
  <c r="YP368" i="1" s="1"/>
  <c r="YP369" i="1" s="1"/>
  <c r="YP370" i="1" s="1"/>
  <c r="YP371" i="1" s="1"/>
  <c r="YP372" i="1" s="1"/>
  <c r="YP373" i="1" s="1"/>
  <c r="YP374" i="1" s="1"/>
  <c r="YP375" i="1" s="1"/>
  <c r="YP376" i="1" s="1"/>
  <c r="YP377" i="1" s="1"/>
  <c r="YP378" i="1" s="1"/>
  <c r="YP379" i="1" s="1"/>
  <c r="YP380" i="1" s="1"/>
  <c r="YP381" i="1" s="1"/>
  <c r="YP382" i="1" s="1"/>
  <c r="YP383" i="1" s="1"/>
  <c r="YP384" i="1" s="1"/>
  <c r="YP385" i="1" s="1"/>
  <c r="YP386" i="1" s="1"/>
  <c r="YP387" i="1" s="1"/>
  <c r="YP388" i="1" s="1"/>
  <c r="YP389" i="1" s="1"/>
  <c r="YP390" i="1" s="1"/>
  <c r="YP391" i="1" s="1"/>
  <c r="BW74" i="5"/>
  <c r="YG361" i="1"/>
  <c r="YG362" i="1" s="1"/>
  <c r="YG363" i="1" s="1"/>
  <c r="YG364" i="1" s="1"/>
  <c r="YG365" i="1" s="1"/>
  <c r="YG366" i="1" s="1"/>
  <c r="YG367" i="1" s="1"/>
  <c r="YG368" i="1" s="1"/>
  <c r="YG369" i="1" s="1"/>
  <c r="YG370" i="1" s="1"/>
  <c r="YG371" i="1" s="1"/>
  <c r="YG372" i="1" s="1"/>
  <c r="YG373" i="1" s="1"/>
  <c r="YG374" i="1" s="1"/>
  <c r="YG375" i="1" s="1"/>
  <c r="YG376" i="1" s="1"/>
  <c r="YG377" i="1" s="1"/>
  <c r="YG378" i="1" s="1"/>
  <c r="YG379" i="1" s="1"/>
  <c r="YG380" i="1" s="1"/>
  <c r="YG381" i="1" s="1"/>
  <c r="YG382" i="1" s="1"/>
  <c r="YG383" i="1" s="1"/>
  <c r="YG384" i="1" s="1"/>
  <c r="YG385" i="1" s="1"/>
  <c r="YG386" i="1" s="1"/>
  <c r="YG387" i="1" s="1"/>
  <c r="YG388" i="1" s="1"/>
  <c r="YG389" i="1" s="1"/>
  <c r="YG390" i="1" s="1"/>
  <c r="YG391" i="1" s="1"/>
  <c r="BV74" i="5"/>
  <c r="XX361" i="1"/>
  <c r="XX362" i="1" s="1"/>
  <c r="XX363" i="1" s="1"/>
  <c r="XX364" i="1" s="1"/>
  <c r="XX365" i="1" s="1"/>
  <c r="XX366" i="1" s="1"/>
  <c r="XX367" i="1" s="1"/>
  <c r="XX368" i="1" s="1"/>
  <c r="XX369" i="1" s="1"/>
  <c r="XX370" i="1" s="1"/>
  <c r="XX371" i="1" s="1"/>
  <c r="XX372" i="1" s="1"/>
  <c r="XX373" i="1" s="1"/>
  <c r="XX374" i="1" s="1"/>
  <c r="XX375" i="1" s="1"/>
  <c r="XX376" i="1" s="1"/>
  <c r="XX377" i="1" s="1"/>
  <c r="XX378" i="1" s="1"/>
  <c r="XX379" i="1" s="1"/>
  <c r="XX380" i="1" s="1"/>
  <c r="XX381" i="1" s="1"/>
  <c r="XX382" i="1" s="1"/>
  <c r="XX383" i="1" s="1"/>
  <c r="XX384" i="1" s="1"/>
  <c r="XX385" i="1" s="1"/>
  <c r="XX386" i="1" s="1"/>
  <c r="XX387" i="1" s="1"/>
  <c r="XX388" i="1" s="1"/>
  <c r="XX389" i="1" s="1"/>
  <c r="XX390" i="1" s="1"/>
  <c r="XX391" i="1" s="1"/>
  <c r="BU74" i="5"/>
  <c r="XF325" i="1"/>
  <c r="XF326" i="1" s="1"/>
  <c r="XF327" i="1" s="1"/>
  <c r="XF328" i="1" s="1"/>
  <c r="XF329" i="1" s="1"/>
  <c r="XF330" i="1" s="1"/>
  <c r="XF331" i="1" s="1"/>
  <c r="XF332" i="1" s="1"/>
  <c r="XF333" i="1" s="1"/>
  <c r="XF334" i="1" s="1"/>
  <c r="XF335" i="1" s="1"/>
  <c r="XF336" i="1" s="1"/>
  <c r="XF337" i="1" s="1"/>
  <c r="XF338" i="1" s="1"/>
  <c r="XF339" i="1" s="1"/>
  <c r="XF340" i="1" s="1"/>
  <c r="XF341" i="1" s="1"/>
  <c r="XF342" i="1" s="1"/>
  <c r="XF343" i="1" s="1"/>
  <c r="XF344" i="1" s="1"/>
  <c r="XF345" i="1" s="1"/>
  <c r="XF346" i="1" s="1"/>
  <c r="XF347" i="1" s="1"/>
  <c r="XF348" i="1" s="1"/>
  <c r="XF349" i="1" s="1"/>
  <c r="XF350" i="1" s="1"/>
  <c r="XF351" i="1" s="1"/>
  <c r="XF352" i="1" s="1"/>
  <c r="XF353" i="1" s="1"/>
  <c r="XF354" i="1" s="1"/>
  <c r="XF355" i="1" s="1"/>
  <c r="XF356" i="1" s="1"/>
  <c r="BS67" i="5"/>
  <c r="WW325" i="1"/>
  <c r="WW326" i="1" s="1"/>
  <c r="WW327" i="1" s="1"/>
  <c r="WW328" i="1" s="1"/>
  <c r="WW329" i="1" s="1"/>
  <c r="WW330" i="1" s="1"/>
  <c r="WW331" i="1" s="1"/>
  <c r="WW332" i="1" s="1"/>
  <c r="WW333" i="1" s="1"/>
  <c r="WW334" i="1" s="1"/>
  <c r="WW335" i="1" s="1"/>
  <c r="WW336" i="1" s="1"/>
  <c r="WW337" i="1" s="1"/>
  <c r="WW338" i="1" s="1"/>
  <c r="WW339" i="1" s="1"/>
  <c r="WW340" i="1" s="1"/>
  <c r="WW341" i="1" s="1"/>
  <c r="WW342" i="1" s="1"/>
  <c r="WW343" i="1" s="1"/>
  <c r="WW344" i="1" s="1"/>
  <c r="WW345" i="1" s="1"/>
  <c r="WW346" i="1" s="1"/>
  <c r="WW347" i="1" s="1"/>
  <c r="WW348" i="1" s="1"/>
  <c r="WW349" i="1" s="1"/>
  <c r="WW350" i="1" s="1"/>
  <c r="WW351" i="1" s="1"/>
  <c r="WW352" i="1" s="1"/>
  <c r="WW353" i="1" s="1"/>
  <c r="WW354" i="1" s="1"/>
  <c r="WW355" i="1" s="1"/>
  <c r="WW356" i="1" s="1"/>
  <c r="BR67" i="5"/>
  <c r="WN325" i="1"/>
  <c r="WN326" i="1" s="1"/>
  <c r="WN327" i="1" s="1"/>
  <c r="WN328" i="1" s="1"/>
  <c r="WN329" i="1" s="1"/>
  <c r="WN330" i="1" s="1"/>
  <c r="WN331" i="1" s="1"/>
  <c r="WN332" i="1" s="1"/>
  <c r="WN333" i="1" s="1"/>
  <c r="WN334" i="1" s="1"/>
  <c r="WN335" i="1" s="1"/>
  <c r="WN336" i="1" s="1"/>
  <c r="WN337" i="1" s="1"/>
  <c r="WN338" i="1" s="1"/>
  <c r="WN339" i="1" s="1"/>
  <c r="WN340" i="1" s="1"/>
  <c r="WN341" i="1" s="1"/>
  <c r="WN342" i="1" s="1"/>
  <c r="WN343" i="1" s="1"/>
  <c r="WN344" i="1" s="1"/>
  <c r="WN345" i="1" s="1"/>
  <c r="WN346" i="1" s="1"/>
  <c r="WN347" i="1" s="1"/>
  <c r="WN348" i="1" s="1"/>
  <c r="WN349" i="1" s="1"/>
  <c r="WN350" i="1" s="1"/>
  <c r="WN351" i="1" s="1"/>
  <c r="WN352" i="1" s="1"/>
  <c r="WN353" i="1" s="1"/>
  <c r="WN354" i="1" s="1"/>
  <c r="WN355" i="1" s="1"/>
  <c r="WN356" i="1" s="1"/>
  <c r="BQ67" i="5"/>
  <c r="XO361" i="1"/>
  <c r="XO362" i="1" s="1"/>
  <c r="XO363" i="1" s="1"/>
  <c r="XO364" i="1" s="1"/>
  <c r="XO365" i="1" s="1"/>
  <c r="XO366" i="1" s="1"/>
  <c r="XO367" i="1" s="1"/>
  <c r="XO368" i="1" s="1"/>
  <c r="XO369" i="1" s="1"/>
  <c r="XO370" i="1" s="1"/>
  <c r="XO371" i="1" s="1"/>
  <c r="XO372" i="1" s="1"/>
  <c r="XO373" i="1" s="1"/>
  <c r="XO374" i="1" s="1"/>
  <c r="XO375" i="1" s="1"/>
  <c r="XO376" i="1" s="1"/>
  <c r="XO377" i="1" s="1"/>
  <c r="XO378" i="1" s="1"/>
  <c r="XO379" i="1" s="1"/>
  <c r="XO380" i="1" s="1"/>
  <c r="XO381" i="1" s="1"/>
  <c r="XO382" i="1" s="1"/>
  <c r="XO383" i="1" s="1"/>
  <c r="XO384" i="1" s="1"/>
  <c r="XO385" i="1" s="1"/>
  <c r="XO386" i="1" s="1"/>
  <c r="XO387" i="1" s="1"/>
  <c r="XO388" i="1" s="1"/>
  <c r="XO389" i="1" s="1"/>
  <c r="XO390" i="1" s="1"/>
  <c r="XO391" i="1" s="1"/>
  <c r="BT74" i="5"/>
  <c r="AE664" i="6"/>
  <c r="IX49" i="7" s="1"/>
  <c r="AC664" i="6"/>
  <c r="IW49" i="7" s="1"/>
  <c r="AA664" i="6"/>
  <c r="IV49" i="7" s="1"/>
  <c r="Y664" i="6"/>
  <c r="IU49" i="7" s="1"/>
  <c r="W664" i="6"/>
  <c r="IT49" i="7" s="1"/>
  <c r="U664" i="6"/>
  <c r="IS49" i="7" s="1"/>
  <c r="S664" i="6"/>
  <c r="IR49" i="7" s="1"/>
  <c r="Q664" i="6"/>
  <c r="IQ49" i="7" s="1"/>
  <c r="O664" i="6"/>
  <c r="IP49" i="7" s="1"/>
  <c r="M664" i="6"/>
  <c r="IO49" i="7" s="1"/>
  <c r="K664" i="6"/>
  <c r="IN49" i="7" s="1"/>
  <c r="I664" i="6"/>
  <c r="IM49" i="7" s="1"/>
  <c r="G664" i="6"/>
  <c r="IL49" i="7" s="1"/>
  <c r="E664" i="6"/>
  <c r="IK49" i="7" s="1"/>
  <c r="C664" i="6"/>
  <c r="IJ49" i="7" s="1"/>
  <c r="AE576" i="6"/>
  <c r="IH49" i="7" s="1"/>
  <c r="AC576" i="6"/>
  <c r="IG49" i="7" s="1"/>
  <c r="AA576" i="6"/>
  <c r="IF49" i="7" s="1"/>
  <c r="Y576" i="6"/>
  <c r="IE49" i="7" s="1"/>
  <c r="W576" i="6"/>
  <c r="ID49" i="7" s="1"/>
  <c r="U576" i="6"/>
  <c r="IC49" i="7" s="1"/>
  <c r="S576" i="6"/>
  <c r="IB49" i="7" s="1"/>
  <c r="Q576" i="6"/>
  <c r="IA49" i="7" s="1"/>
  <c r="O576" i="6"/>
  <c r="HZ49" i="7" s="1"/>
  <c r="M576" i="6"/>
  <c r="HY49" i="7" s="1"/>
  <c r="K576" i="6"/>
  <c r="HX49" i="7" s="1"/>
  <c r="I576" i="6"/>
  <c r="HW49" i="7" s="1"/>
  <c r="G576" i="6"/>
  <c r="HV49" i="7" s="1"/>
  <c r="E576" i="6"/>
  <c r="HU49" i="7" s="1"/>
  <c r="C576" i="6"/>
  <c r="HT49" i="7" s="1"/>
  <c r="AE488" i="6"/>
  <c r="HR49" i="7" s="1"/>
  <c r="AC488" i="6"/>
  <c r="HQ49" i="7" s="1"/>
  <c r="AA488" i="6"/>
  <c r="HP49" i="7" s="1"/>
  <c r="Y488" i="6"/>
  <c r="HO49" i="7" s="1"/>
  <c r="W488" i="6"/>
  <c r="HN49" i="7" s="1"/>
  <c r="U488" i="6"/>
  <c r="HM49" i="7" s="1"/>
  <c r="S488" i="6"/>
  <c r="HL49" i="7" s="1"/>
  <c r="Q488" i="6"/>
  <c r="HK49" i="7" s="1"/>
  <c r="O488" i="6"/>
  <c r="HJ49" i="7" s="1"/>
  <c r="M488" i="6"/>
  <c r="HI49" i="7" s="1"/>
  <c r="K488" i="6"/>
  <c r="HH49" i="7" s="1"/>
  <c r="I488" i="6"/>
  <c r="HG49" i="7" s="1"/>
  <c r="G488" i="6"/>
  <c r="HF49" i="7" s="1"/>
  <c r="E488" i="6"/>
  <c r="HE49" i="7" s="1"/>
  <c r="C488" i="6"/>
  <c r="HD49" i="7" s="1"/>
  <c r="AE400" i="6"/>
  <c r="HB49" i="7" s="1"/>
  <c r="AC400" i="6"/>
  <c r="HA49" i="7" s="1"/>
  <c r="AA400" i="6"/>
  <c r="GZ49" i="7" s="1"/>
  <c r="Y400" i="6"/>
  <c r="GY49" i="7" s="1"/>
  <c r="W400" i="6"/>
  <c r="GX49" i="7" s="1"/>
  <c r="U400" i="6"/>
  <c r="GW49" i="7" s="1"/>
  <c r="S400" i="6"/>
  <c r="GV49" i="7" s="1"/>
  <c r="Q400" i="6"/>
  <c r="GU49" i="7" s="1"/>
  <c r="O400" i="6"/>
  <c r="GT49" i="7" s="1"/>
  <c r="M400" i="6"/>
  <c r="GS49" i="7" s="1"/>
  <c r="K400" i="6"/>
  <c r="GR49" i="7" s="1"/>
  <c r="I400" i="6"/>
  <c r="GQ49" i="7" s="1"/>
  <c r="G400" i="6"/>
  <c r="GP49" i="7" s="1"/>
  <c r="E400" i="6"/>
  <c r="GO49" i="7" s="1"/>
  <c r="C400" i="6"/>
  <c r="GN49" i="7" s="1"/>
  <c r="AE312" i="6"/>
  <c r="GL49" i="7" s="1"/>
  <c r="AC312" i="6"/>
  <c r="GK49" i="7" s="1"/>
  <c r="AA312" i="6"/>
  <c r="GJ49" i="7" s="1"/>
  <c r="Y312" i="6"/>
  <c r="GI49" i="7" s="1"/>
  <c r="W312" i="6"/>
  <c r="GH49" i="7" s="1"/>
  <c r="U312" i="6"/>
  <c r="GG49" i="7" s="1"/>
  <c r="S312" i="6"/>
  <c r="GF49" i="7" s="1"/>
  <c r="Q312" i="6"/>
  <c r="GE49" i="7" s="1"/>
  <c r="O312" i="6"/>
  <c r="GD49" i="7" s="1"/>
  <c r="M312" i="6"/>
  <c r="GC49" i="7" s="1"/>
  <c r="K312" i="6"/>
  <c r="GB49" i="7" s="1"/>
  <c r="I312" i="6"/>
  <c r="GA49" i="7" s="1"/>
  <c r="G312" i="6"/>
  <c r="FZ49" i="7" s="1"/>
  <c r="E312" i="6"/>
  <c r="FY49" i="7" s="1"/>
  <c r="C312" i="6"/>
  <c r="FX49" i="7" s="1"/>
  <c r="AE224" i="6"/>
  <c r="FV49" i="7" s="1"/>
  <c r="AC224" i="6"/>
  <c r="FU49" i="7" s="1"/>
  <c r="AA224" i="6"/>
  <c r="FT49" i="7" s="1"/>
  <c r="Y224" i="6"/>
  <c r="FS49" i="7" s="1"/>
  <c r="W224" i="6"/>
  <c r="FR49" i="7" s="1"/>
  <c r="U224" i="6"/>
  <c r="FQ49" i="7" s="1"/>
  <c r="S224" i="6"/>
  <c r="FP49" i="7" s="1"/>
  <c r="Q224" i="6"/>
  <c r="FO49" i="7" s="1"/>
  <c r="C224" i="6"/>
  <c r="FH49" i="7" s="1"/>
  <c r="NQ2" i="1"/>
  <c r="AR24" i="5"/>
  <c r="AR45" i="5"/>
  <c r="AR80" i="5"/>
  <c r="AR73" i="5"/>
  <c r="AR66" i="5"/>
  <c r="AR59" i="5"/>
  <c r="AR52" i="5"/>
  <c r="AR38" i="5"/>
  <c r="AR31" i="5"/>
  <c r="AR17" i="5"/>
  <c r="AR10" i="5"/>
  <c r="AR3" i="5"/>
  <c r="A664" i="6"/>
  <c r="A576" i="6"/>
  <c r="A488" i="6"/>
  <c r="A400" i="6"/>
  <c r="A312" i="6"/>
  <c r="AE136" i="6"/>
  <c r="FF49" i="7" s="1"/>
  <c r="AC136" i="6"/>
  <c r="FE49" i="7" s="1"/>
  <c r="AA136" i="6"/>
  <c r="FD49" i="7" s="1"/>
  <c r="Y136" i="6"/>
  <c r="FC49" i="7" s="1"/>
  <c r="W136" i="6"/>
  <c r="FB49" i="7" s="1"/>
  <c r="U136" i="6"/>
  <c r="FA49" i="7" s="1"/>
  <c r="S136" i="6"/>
  <c r="EZ49" i="7" s="1"/>
  <c r="Q136" i="6"/>
  <c r="EY49" i="7" s="1"/>
  <c r="E136" i="6"/>
  <c r="ES49" i="7" s="1"/>
  <c r="C136" i="6"/>
  <c r="ER49" i="7" s="1"/>
  <c r="AE48" i="6"/>
  <c r="EP49" i="7" s="1"/>
  <c r="AC48" i="6"/>
  <c r="EO49" i="7" s="1"/>
  <c r="AA48" i="6"/>
  <c r="EN49" i="7" s="1"/>
  <c r="Y48" i="6"/>
  <c r="EM49" i="7" s="1"/>
  <c r="W48" i="6"/>
  <c r="EL49" i="7" s="1"/>
  <c r="U48" i="6"/>
  <c r="EK49" i="7" s="1"/>
  <c r="S48" i="6"/>
  <c r="EJ49" i="7" s="1"/>
  <c r="Q48" i="6"/>
  <c r="EI49" i="7" s="1"/>
  <c r="O48" i="6"/>
  <c r="EH49" i="7" s="1"/>
  <c r="M48" i="6"/>
  <c r="EG49" i="7" s="1"/>
  <c r="K48" i="6"/>
  <c r="EF49" i="7" s="1"/>
  <c r="I48" i="6"/>
  <c r="EE49" i="7" s="1"/>
  <c r="G48" i="6"/>
  <c r="ED49" i="7" s="1"/>
  <c r="E48" i="6"/>
  <c r="EC49" i="7" s="1"/>
  <c r="C48" i="6"/>
  <c r="EB49" i="7" s="1"/>
  <c r="NU427" i="1"/>
  <c r="AR83" i="5" s="1"/>
  <c r="F48" i="16" s="1"/>
  <c r="NS427" i="1"/>
  <c r="AR82" i="5" s="1"/>
  <c r="E48" i="16" s="1"/>
  <c r="NU391" i="1"/>
  <c r="AR76" i="5" s="1"/>
  <c r="F48" i="15" s="1"/>
  <c r="NS391" i="1"/>
  <c r="AR75" i="5" s="1"/>
  <c r="E48" i="15" s="1"/>
  <c r="NU356" i="1"/>
  <c r="AR69" i="5" s="1"/>
  <c r="F48" i="14" s="1"/>
  <c r="NS356" i="1"/>
  <c r="AR68" i="5" s="1"/>
  <c r="E48" i="14" s="1"/>
  <c r="NU320" i="1"/>
  <c r="AR62" i="5" s="1"/>
  <c r="F48" i="13" s="1"/>
  <c r="NS320" i="1"/>
  <c r="AR61" i="5" s="1"/>
  <c r="E48" i="13" s="1"/>
  <c r="NU285" i="1"/>
  <c r="AR55" i="5" s="1"/>
  <c r="F48" i="12" s="1"/>
  <c r="NS285" i="1"/>
  <c r="AR54" i="5" s="1"/>
  <c r="E48" i="12" s="1"/>
  <c r="NU249" i="1"/>
  <c r="AR48" i="5" s="1"/>
  <c r="F48" i="11" s="1"/>
  <c r="NS249" i="1"/>
  <c r="AR47" i="5" s="1"/>
  <c r="E48" i="11" s="1"/>
  <c r="NU213" i="1"/>
  <c r="AR41" i="5" s="1"/>
  <c r="F48" i="8" s="1"/>
  <c r="NS213" i="1"/>
  <c r="AR40" i="5" s="1"/>
  <c r="E48" i="8" s="1"/>
  <c r="AR34" i="5"/>
  <c r="F48" i="21" s="1"/>
  <c r="NS178" i="1"/>
  <c r="AR33" i="5" s="1"/>
  <c r="E48" i="21" s="1"/>
  <c r="NU142" i="1"/>
  <c r="AR27" i="5" s="1"/>
  <c r="F47" i="20" s="1"/>
  <c r="NS142" i="1"/>
  <c r="AR26" i="5" s="1"/>
  <c r="E47" i="20" s="1"/>
  <c r="NU107" i="1"/>
  <c r="AR20" i="5" s="1"/>
  <c r="F47" i="19" s="1"/>
  <c r="NS107" i="1"/>
  <c r="AR19" i="5" s="1"/>
  <c r="E47" i="19" s="1"/>
  <c r="NU71" i="1"/>
  <c r="AR13" i="5" s="1"/>
  <c r="F47" i="18" s="1"/>
  <c r="NS71" i="1"/>
  <c r="AR12" i="5" s="1"/>
  <c r="E47" i="18" s="1"/>
  <c r="NU37" i="1"/>
  <c r="AR6" i="5" s="1"/>
  <c r="F47" i="17" s="1"/>
  <c r="NS37" i="1"/>
  <c r="AR5" i="5" s="1"/>
  <c r="E47" i="17" s="1"/>
  <c r="NW6" i="1"/>
  <c r="NW7" i="1" s="1"/>
  <c r="NW8" i="1" s="1"/>
  <c r="NW9" i="1" s="1"/>
  <c r="NW10" i="1" s="1"/>
  <c r="NW11" i="1" s="1"/>
  <c r="NW12" i="1" s="1"/>
  <c r="NW13" i="1" s="1"/>
  <c r="NW14" i="1" s="1"/>
  <c r="NW15" i="1" s="1"/>
  <c r="NW16" i="1" s="1"/>
  <c r="NW17" i="1" s="1"/>
  <c r="NW18" i="1" s="1"/>
  <c r="NW19" i="1" s="1"/>
  <c r="NW20" i="1" s="1"/>
  <c r="NW21" i="1" s="1"/>
  <c r="NW22" i="1" s="1"/>
  <c r="NW23" i="1" s="1"/>
  <c r="NW24" i="1" s="1"/>
  <c r="NW25" i="1" s="1"/>
  <c r="NW26" i="1" s="1"/>
  <c r="NW27" i="1" s="1"/>
  <c r="NW28" i="1" s="1"/>
  <c r="NW29" i="1" s="1"/>
  <c r="NW30" i="1" s="1"/>
  <c r="NW31" i="1" s="1"/>
  <c r="NW32" i="1" s="1"/>
  <c r="NW33" i="1" s="1"/>
  <c r="NW34" i="1" s="1"/>
  <c r="NW35" i="1" s="1"/>
  <c r="NW36" i="1" s="1"/>
  <c r="NW37" i="1" s="1"/>
  <c r="AR8" i="5" s="1"/>
  <c r="H47" i="17" s="1"/>
  <c r="ZH396" i="1" l="1"/>
  <c r="ZH397" i="1" s="1"/>
  <c r="ZH398" i="1" s="1"/>
  <c r="ZH399" i="1" s="1"/>
  <c r="ZH400" i="1" s="1"/>
  <c r="ZH401" i="1" s="1"/>
  <c r="ZH402" i="1" s="1"/>
  <c r="ZH403" i="1" s="1"/>
  <c r="ZH404" i="1" s="1"/>
  <c r="ZH405" i="1" s="1"/>
  <c r="ZH406" i="1" s="1"/>
  <c r="ZH407" i="1" s="1"/>
  <c r="ZH408" i="1" s="1"/>
  <c r="ZH409" i="1" s="1"/>
  <c r="ZH410" i="1" s="1"/>
  <c r="ZH411" i="1" s="1"/>
  <c r="ZH412" i="1" s="1"/>
  <c r="ZH413" i="1" s="1"/>
  <c r="ZH414" i="1" s="1"/>
  <c r="ZH415" i="1" s="1"/>
  <c r="ZH416" i="1" s="1"/>
  <c r="ZH417" i="1" s="1"/>
  <c r="ZH418" i="1" s="1"/>
  <c r="ZH419" i="1" s="1"/>
  <c r="ZH420" i="1" s="1"/>
  <c r="ZH421" i="1" s="1"/>
  <c r="ZH422" i="1" s="1"/>
  <c r="ZH423" i="1" s="1"/>
  <c r="ZH424" i="1" s="1"/>
  <c r="ZH425" i="1" s="1"/>
  <c r="ZH426" i="1" s="1"/>
  <c r="ZH427" i="1" s="1"/>
  <c r="BY85" i="5" s="1"/>
  <c r="BY81" i="5"/>
  <c r="UU360" i="1"/>
  <c r="BL71" i="5"/>
  <c r="TT360" i="1"/>
  <c r="BI71" i="5"/>
  <c r="UC360" i="1"/>
  <c r="BJ71" i="5"/>
  <c r="VD360" i="1"/>
  <c r="BM71" i="5"/>
  <c r="VM360" i="1"/>
  <c r="BN71" i="5"/>
  <c r="UL360" i="1"/>
  <c r="BK71" i="5"/>
  <c r="WE360" i="1"/>
  <c r="BP71" i="5"/>
  <c r="VV360" i="1"/>
  <c r="BO71" i="5"/>
  <c r="YY396" i="1"/>
  <c r="YY397" i="1" s="1"/>
  <c r="YY398" i="1" s="1"/>
  <c r="YY399" i="1" s="1"/>
  <c r="YY400" i="1" s="1"/>
  <c r="YY401" i="1" s="1"/>
  <c r="YY402" i="1" s="1"/>
  <c r="YY403" i="1" s="1"/>
  <c r="YY404" i="1" s="1"/>
  <c r="YY405" i="1" s="1"/>
  <c r="YY406" i="1" s="1"/>
  <c r="YY407" i="1" s="1"/>
  <c r="YY408" i="1" s="1"/>
  <c r="YY409" i="1" s="1"/>
  <c r="YY410" i="1" s="1"/>
  <c r="YY411" i="1" s="1"/>
  <c r="YY412" i="1" s="1"/>
  <c r="YY413" i="1" s="1"/>
  <c r="YY414" i="1" s="1"/>
  <c r="YY415" i="1" s="1"/>
  <c r="YY416" i="1" s="1"/>
  <c r="YY417" i="1" s="1"/>
  <c r="YY418" i="1" s="1"/>
  <c r="YY419" i="1" s="1"/>
  <c r="YY420" i="1" s="1"/>
  <c r="YY421" i="1" s="1"/>
  <c r="YY422" i="1" s="1"/>
  <c r="YY423" i="1" s="1"/>
  <c r="YY424" i="1" s="1"/>
  <c r="YY425" i="1" s="1"/>
  <c r="YY426" i="1" s="1"/>
  <c r="YY427" i="1" s="1"/>
  <c r="BX85" i="5" s="1"/>
  <c r="BX81" i="5"/>
  <c r="ZQ395" i="1"/>
  <c r="BZ78" i="5"/>
  <c r="YP395" i="1"/>
  <c r="BW78" i="5"/>
  <c r="YG395" i="1"/>
  <c r="BV78" i="5"/>
  <c r="XX395" i="1"/>
  <c r="BU78" i="5"/>
  <c r="XF360" i="1"/>
  <c r="BS71" i="5"/>
  <c r="WW360" i="1"/>
  <c r="BR71" i="5"/>
  <c r="WN360" i="1"/>
  <c r="BQ71" i="5"/>
  <c r="XO395" i="1"/>
  <c r="BT78" i="5"/>
  <c r="B47" i="19"/>
  <c r="B47" i="18"/>
  <c r="B47" i="17"/>
  <c r="NT36" i="1"/>
  <c r="NT24" i="1"/>
  <c r="NT12" i="1"/>
  <c r="NT65" i="1"/>
  <c r="NT53" i="1"/>
  <c r="NT106" i="1"/>
  <c r="NT94" i="1"/>
  <c r="NT82" i="1"/>
  <c r="NT136" i="1"/>
  <c r="NT124" i="1"/>
  <c r="NT112" i="1"/>
  <c r="NT166" i="1"/>
  <c r="NT154" i="1"/>
  <c r="NT208" i="1"/>
  <c r="NT196" i="1"/>
  <c r="NT184" i="1"/>
  <c r="NT415" i="1"/>
  <c r="NT403" i="1"/>
  <c r="NT386" i="1"/>
  <c r="NT374" i="1"/>
  <c r="NT362" i="1"/>
  <c r="NT345" i="1"/>
  <c r="NT333" i="1"/>
  <c r="NT316" i="1"/>
  <c r="NT304" i="1"/>
  <c r="NT292" i="1"/>
  <c r="NT275" i="1"/>
  <c r="NT263" i="1"/>
  <c r="NT246" i="1"/>
  <c r="NT234" i="1"/>
  <c r="NT222" i="1"/>
  <c r="NT9" i="1"/>
  <c r="NT62" i="1"/>
  <c r="NT91" i="1"/>
  <c r="NT121" i="1"/>
  <c r="NT151" i="1"/>
  <c r="NT424" i="1"/>
  <c r="NT383" i="1"/>
  <c r="NT342" i="1"/>
  <c r="NT301" i="1"/>
  <c r="NT260" i="1"/>
  <c r="NT219" i="1"/>
  <c r="NT203" i="1"/>
  <c r="NT398" i="1"/>
  <c r="NT340" i="1"/>
  <c r="NT258" i="1"/>
  <c r="NT18" i="1"/>
  <c r="NT100" i="1"/>
  <c r="NT118" i="1"/>
  <c r="NT202" i="1"/>
  <c r="NT397" i="1"/>
  <c r="NT339" i="1"/>
  <c r="NT281" i="1"/>
  <c r="NT228" i="1"/>
  <c r="NT70" i="1"/>
  <c r="NT141" i="1"/>
  <c r="NT159" i="1"/>
  <c r="NT189" i="1"/>
  <c r="NT379" i="1"/>
  <c r="NT326" i="1"/>
  <c r="NT268" i="1"/>
  <c r="NT28" i="1"/>
  <c r="NT98" i="1"/>
  <c r="NT116" i="1"/>
  <c r="NT200" i="1"/>
  <c r="NT390" i="1"/>
  <c r="NT337" i="1"/>
  <c r="NT296" i="1"/>
  <c r="NT238" i="1"/>
  <c r="NT68" i="1"/>
  <c r="NT85" i="1"/>
  <c r="NT157" i="1"/>
  <c r="NT418" i="1"/>
  <c r="NT365" i="1"/>
  <c r="NT307" i="1"/>
  <c r="NT254" i="1"/>
  <c r="NT14" i="1"/>
  <c r="NT96" i="1"/>
  <c r="NT114" i="1"/>
  <c r="NT186" i="1"/>
  <c r="NT376" i="1"/>
  <c r="NT306" i="1"/>
  <c r="NT248" i="1"/>
  <c r="NT13" i="1"/>
  <c r="NT35" i="1"/>
  <c r="NT23" i="1"/>
  <c r="NT11" i="1"/>
  <c r="NT64" i="1"/>
  <c r="NT84" i="1"/>
  <c r="NT168" i="1"/>
  <c r="NT417" i="1"/>
  <c r="NT364" i="1"/>
  <c r="NT294" i="1"/>
  <c r="NT236" i="1"/>
  <c r="NT34" i="1"/>
  <c r="NT22" i="1"/>
  <c r="NT10" i="1"/>
  <c r="NT63" i="1"/>
  <c r="NT51" i="1"/>
  <c r="NT104" i="1"/>
  <c r="NT92" i="1"/>
  <c r="NT80" i="1"/>
  <c r="NT134" i="1"/>
  <c r="NT122" i="1"/>
  <c r="NT176" i="1"/>
  <c r="NT164" i="1"/>
  <c r="NT152" i="1"/>
  <c r="NT206" i="1"/>
  <c r="NT194" i="1"/>
  <c r="NT425" i="1"/>
  <c r="NT413" i="1"/>
  <c r="NT401" i="1"/>
  <c r="NT384" i="1"/>
  <c r="NT372" i="1"/>
  <c r="NT355" i="1"/>
  <c r="NT204" i="1"/>
  <c r="NT192" i="1"/>
  <c r="NT423" i="1"/>
  <c r="NT411" i="1"/>
  <c r="NT399" i="1"/>
  <c r="NT382" i="1"/>
  <c r="NT370" i="1"/>
  <c r="NT353" i="1"/>
  <c r="NT341" i="1"/>
  <c r="NT329" i="1"/>
  <c r="NT312" i="1"/>
  <c r="NT300" i="1"/>
  <c r="NT283" i="1"/>
  <c r="NT271" i="1"/>
  <c r="NT259" i="1"/>
  <c r="NT242" i="1"/>
  <c r="NT230" i="1"/>
  <c r="NT218" i="1"/>
  <c r="NT31" i="1"/>
  <c r="NT19" i="1"/>
  <c r="NT7" i="1"/>
  <c r="NT60" i="1"/>
  <c r="NT48" i="1"/>
  <c r="NT101" i="1"/>
  <c r="NW41" i="1"/>
  <c r="AR11" i="5" s="1"/>
  <c r="D47" i="18" s="1"/>
  <c r="B48" i="11"/>
  <c r="B48" i="21"/>
  <c r="B47" i="20"/>
  <c r="B48" i="16"/>
  <c r="B48" i="13"/>
  <c r="B48" i="8"/>
  <c r="B48" i="14"/>
  <c r="B48" i="15"/>
  <c r="B48" i="12"/>
  <c r="UC361" i="1" l="1"/>
  <c r="UC362" i="1" s="1"/>
  <c r="UC363" i="1" s="1"/>
  <c r="UC364" i="1" s="1"/>
  <c r="UC365" i="1" s="1"/>
  <c r="UC366" i="1" s="1"/>
  <c r="UC367" i="1" s="1"/>
  <c r="UC368" i="1" s="1"/>
  <c r="UC369" i="1" s="1"/>
  <c r="UC370" i="1" s="1"/>
  <c r="UC371" i="1" s="1"/>
  <c r="UC372" i="1" s="1"/>
  <c r="UC373" i="1" s="1"/>
  <c r="UC374" i="1" s="1"/>
  <c r="UC375" i="1" s="1"/>
  <c r="UC376" i="1" s="1"/>
  <c r="UC377" i="1" s="1"/>
  <c r="UC378" i="1" s="1"/>
  <c r="UC379" i="1" s="1"/>
  <c r="UC380" i="1" s="1"/>
  <c r="UC381" i="1" s="1"/>
  <c r="UC382" i="1" s="1"/>
  <c r="UC383" i="1" s="1"/>
  <c r="UC384" i="1" s="1"/>
  <c r="UC385" i="1" s="1"/>
  <c r="UC386" i="1" s="1"/>
  <c r="UC387" i="1" s="1"/>
  <c r="UC388" i="1" s="1"/>
  <c r="UC389" i="1" s="1"/>
  <c r="UC390" i="1" s="1"/>
  <c r="UC391" i="1" s="1"/>
  <c r="BJ74" i="5"/>
  <c r="ZQ396" i="1"/>
  <c r="ZQ397" i="1" s="1"/>
  <c r="ZQ398" i="1" s="1"/>
  <c r="ZQ399" i="1" s="1"/>
  <c r="ZQ400" i="1" s="1"/>
  <c r="ZQ401" i="1" s="1"/>
  <c r="ZQ402" i="1" s="1"/>
  <c r="ZQ403" i="1" s="1"/>
  <c r="ZQ404" i="1" s="1"/>
  <c r="ZQ405" i="1" s="1"/>
  <c r="ZQ406" i="1" s="1"/>
  <c r="ZQ407" i="1" s="1"/>
  <c r="ZQ408" i="1" s="1"/>
  <c r="ZQ409" i="1" s="1"/>
  <c r="ZQ410" i="1" s="1"/>
  <c r="ZQ411" i="1" s="1"/>
  <c r="ZQ412" i="1" s="1"/>
  <c r="ZQ413" i="1" s="1"/>
  <c r="ZQ414" i="1" s="1"/>
  <c r="ZQ415" i="1" s="1"/>
  <c r="ZQ416" i="1" s="1"/>
  <c r="ZQ417" i="1" s="1"/>
  <c r="ZQ418" i="1" s="1"/>
  <c r="ZQ419" i="1" s="1"/>
  <c r="ZQ420" i="1" s="1"/>
  <c r="ZQ421" i="1" s="1"/>
  <c r="ZQ422" i="1" s="1"/>
  <c r="ZQ423" i="1" s="1"/>
  <c r="ZQ424" i="1" s="1"/>
  <c r="ZQ425" i="1" s="1"/>
  <c r="ZQ426" i="1" s="1"/>
  <c r="ZQ427" i="1" s="1"/>
  <c r="BZ85" i="5" s="1"/>
  <c r="BZ81" i="5"/>
  <c r="VV361" i="1"/>
  <c r="VV362" i="1" s="1"/>
  <c r="VV363" i="1" s="1"/>
  <c r="VV364" i="1" s="1"/>
  <c r="VV365" i="1" s="1"/>
  <c r="VV366" i="1" s="1"/>
  <c r="VV367" i="1" s="1"/>
  <c r="VV368" i="1" s="1"/>
  <c r="VV369" i="1" s="1"/>
  <c r="VV370" i="1" s="1"/>
  <c r="VV371" i="1" s="1"/>
  <c r="VV372" i="1" s="1"/>
  <c r="VV373" i="1" s="1"/>
  <c r="VV374" i="1" s="1"/>
  <c r="VV375" i="1" s="1"/>
  <c r="VV376" i="1" s="1"/>
  <c r="VV377" i="1" s="1"/>
  <c r="VV378" i="1" s="1"/>
  <c r="VV379" i="1" s="1"/>
  <c r="VV380" i="1" s="1"/>
  <c r="VV381" i="1" s="1"/>
  <c r="VV382" i="1" s="1"/>
  <c r="VV383" i="1" s="1"/>
  <c r="VV384" i="1" s="1"/>
  <c r="VV385" i="1" s="1"/>
  <c r="VV386" i="1" s="1"/>
  <c r="VV387" i="1" s="1"/>
  <c r="VV388" i="1" s="1"/>
  <c r="VV389" i="1" s="1"/>
  <c r="VV390" i="1" s="1"/>
  <c r="VV391" i="1" s="1"/>
  <c r="BO74" i="5"/>
  <c r="TT361" i="1"/>
  <c r="TT362" i="1" s="1"/>
  <c r="TT363" i="1" s="1"/>
  <c r="TT364" i="1" s="1"/>
  <c r="TT365" i="1" s="1"/>
  <c r="TT366" i="1" s="1"/>
  <c r="TT367" i="1" s="1"/>
  <c r="TT368" i="1" s="1"/>
  <c r="TT369" i="1" s="1"/>
  <c r="TT370" i="1" s="1"/>
  <c r="TT371" i="1" s="1"/>
  <c r="TT372" i="1" s="1"/>
  <c r="TT373" i="1" s="1"/>
  <c r="TT374" i="1" s="1"/>
  <c r="TT375" i="1" s="1"/>
  <c r="TT376" i="1" s="1"/>
  <c r="TT377" i="1" s="1"/>
  <c r="TT378" i="1" s="1"/>
  <c r="TT379" i="1" s="1"/>
  <c r="TT380" i="1" s="1"/>
  <c r="TT381" i="1" s="1"/>
  <c r="TT382" i="1" s="1"/>
  <c r="TT383" i="1" s="1"/>
  <c r="TT384" i="1" s="1"/>
  <c r="TT385" i="1" s="1"/>
  <c r="TT386" i="1" s="1"/>
  <c r="TT387" i="1" s="1"/>
  <c r="TT388" i="1" s="1"/>
  <c r="TT389" i="1" s="1"/>
  <c r="TT390" i="1" s="1"/>
  <c r="TT391" i="1" s="1"/>
  <c r="BI74" i="5"/>
  <c r="WE361" i="1"/>
  <c r="WE362" i="1" s="1"/>
  <c r="WE363" i="1" s="1"/>
  <c r="WE364" i="1" s="1"/>
  <c r="WE365" i="1" s="1"/>
  <c r="WE366" i="1" s="1"/>
  <c r="WE367" i="1" s="1"/>
  <c r="WE368" i="1" s="1"/>
  <c r="WE369" i="1" s="1"/>
  <c r="WE370" i="1" s="1"/>
  <c r="WE371" i="1" s="1"/>
  <c r="WE372" i="1" s="1"/>
  <c r="WE373" i="1" s="1"/>
  <c r="WE374" i="1" s="1"/>
  <c r="WE375" i="1" s="1"/>
  <c r="WE376" i="1" s="1"/>
  <c r="WE377" i="1" s="1"/>
  <c r="WE378" i="1" s="1"/>
  <c r="WE379" i="1" s="1"/>
  <c r="WE380" i="1" s="1"/>
  <c r="WE381" i="1" s="1"/>
  <c r="WE382" i="1" s="1"/>
  <c r="WE383" i="1" s="1"/>
  <c r="WE384" i="1" s="1"/>
  <c r="WE385" i="1" s="1"/>
  <c r="WE386" i="1" s="1"/>
  <c r="WE387" i="1" s="1"/>
  <c r="WE388" i="1" s="1"/>
  <c r="WE389" i="1" s="1"/>
  <c r="WE390" i="1" s="1"/>
  <c r="WE391" i="1" s="1"/>
  <c r="BP74" i="5"/>
  <c r="UU361" i="1"/>
  <c r="UU362" i="1" s="1"/>
  <c r="UU363" i="1" s="1"/>
  <c r="UU364" i="1" s="1"/>
  <c r="UU365" i="1" s="1"/>
  <c r="UU366" i="1" s="1"/>
  <c r="UU367" i="1" s="1"/>
  <c r="UU368" i="1" s="1"/>
  <c r="UU369" i="1" s="1"/>
  <c r="UU370" i="1" s="1"/>
  <c r="UU371" i="1" s="1"/>
  <c r="UU372" i="1" s="1"/>
  <c r="UU373" i="1" s="1"/>
  <c r="UU374" i="1" s="1"/>
  <c r="UU375" i="1" s="1"/>
  <c r="UU376" i="1" s="1"/>
  <c r="UU377" i="1" s="1"/>
  <c r="UU378" i="1" s="1"/>
  <c r="UU379" i="1" s="1"/>
  <c r="UU380" i="1" s="1"/>
  <c r="UU381" i="1" s="1"/>
  <c r="UU382" i="1" s="1"/>
  <c r="UU383" i="1" s="1"/>
  <c r="UU384" i="1" s="1"/>
  <c r="UU385" i="1" s="1"/>
  <c r="UU386" i="1" s="1"/>
  <c r="UU387" i="1" s="1"/>
  <c r="UU388" i="1" s="1"/>
  <c r="UU389" i="1" s="1"/>
  <c r="UU390" i="1" s="1"/>
  <c r="UU391" i="1" s="1"/>
  <c r="BL74" i="5"/>
  <c r="VM361" i="1"/>
  <c r="VM362" i="1" s="1"/>
  <c r="VM363" i="1" s="1"/>
  <c r="VM364" i="1" s="1"/>
  <c r="VM365" i="1" s="1"/>
  <c r="VM366" i="1" s="1"/>
  <c r="VM367" i="1" s="1"/>
  <c r="VM368" i="1" s="1"/>
  <c r="VM369" i="1" s="1"/>
  <c r="VM370" i="1" s="1"/>
  <c r="VM371" i="1" s="1"/>
  <c r="VM372" i="1" s="1"/>
  <c r="VM373" i="1" s="1"/>
  <c r="VM374" i="1" s="1"/>
  <c r="VM375" i="1" s="1"/>
  <c r="VM376" i="1" s="1"/>
  <c r="VM377" i="1" s="1"/>
  <c r="VM378" i="1" s="1"/>
  <c r="VM379" i="1" s="1"/>
  <c r="VM380" i="1" s="1"/>
  <c r="VM381" i="1" s="1"/>
  <c r="VM382" i="1" s="1"/>
  <c r="VM383" i="1" s="1"/>
  <c r="VM384" i="1" s="1"/>
  <c r="VM385" i="1" s="1"/>
  <c r="VM386" i="1" s="1"/>
  <c r="VM387" i="1" s="1"/>
  <c r="VM388" i="1" s="1"/>
  <c r="VM389" i="1" s="1"/>
  <c r="VM390" i="1" s="1"/>
  <c r="VM391" i="1" s="1"/>
  <c r="BN74" i="5"/>
  <c r="VD361" i="1"/>
  <c r="VD362" i="1" s="1"/>
  <c r="VD363" i="1" s="1"/>
  <c r="VD364" i="1" s="1"/>
  <c r="VD365" i="1" s="1"/>
  <c r="VD366" i="1" s="1"/>
  <c r="VD367" i="1" s="1"/>
  <c r="VD368" i="1" s="1"/>
  <c r="VD369" i="1" s="1"/>
  <c r="VD370" i="1" s="1"/>
  <c r="VD371" i="1" s="1"/>
  <c r="VD372" i="1" s="1"/>
  <c r="VD373" i="1" s="1"/>
  <c r="VD374" i="1" s="1"/>
  <c r="VD375" i="1" s="1"/>
  <c r="VD376" i="1" s="1"/>
  <c r="VD377" i="1" s="1"/>
  <c r="VD378" i="1" s="1"/>
  <c r="VD379" i="1" s="1"/>
  <c r="VD380" i="1" s="1"/>
  <c r="VD381" i="1" s="1"/>
  <c r="VD382" i="1" s="1"/>
  <c r="VD383" i="1" s="1"/>
  <c r="VD384" i="1" s="1"/>
  <c r="VD385" i="1" s="1"/>
  <c r="VD386" i="1" s="1"/>
  <c r="VD387" i="1" s="1"/>
  <c r="VD388" i="1" s="1"/>
  <c r="VD389" i="1" s="1"/>
  <c r="VD390" i="1" s="1"/>
  <c r="VD391" i="1" s="1"/>
  <c r="BM74" i="5"/>
  <c r="UL361" i="1"/>
  <c r="UL362" i="1" s="1"/>
  <c r="UL363" i="1" s="1"/>
  <c r="UL364" i="1" s="1"/>
  <c r="UL365" i="1" s="1"/>
  <c r="UL366" i="1" s="1"/>
  <c r="UL367" i="1" s="1"/>
  <c r="UL368" i="1" s="1"/>
  <c r="UL369" i="1" s="1"/>
  <c r="UL370" i="1" s="1"/>
  <c r="UL371" i="1" s="1"/>
  <c r="UL372" i="1" s="1"/>
  <c r="UL373" i="1" s="1"/>
  <c r="UL374" i="1" s="1"/>
  <c r="UL375" i="1" s="1"/>
  <c r="UL376" i="1" s="1"/>
  <c r="UL377" i="1" s="1"/>
  <c r="UL378" i="1" s="1"/>
  <c r="UL379" i="1" s="1"/>
  <c r="UL380" i="1" s="1"/>
  <c r="UL381" i="1" s="1"/>
  <c r="UL382" i="1" s="1"/>
  <c r="UL383" i="1" s="1"/>
  <c r="UL384" i="1" s="1"/>
  <c r="UL385" i="1" s="1"/>
  <c r="UL386" i="1" s="1"/>
  <c r="UL387" i="1" s="1"/>
  <c r="UL388" i="1" s="1"/>
  <c r="UL389" i="1" s="1"/>
  <c r="UL390" i="1" s="1"/>
  <c r="UL391" i="1" s="1"/>
  <c r="BK74" i="5"/>
  <c r="YP396" i="1"/>
  <c r="YP397" i="1" s="1"/>
  <c r="YP398" i="1" s="1"/>
  <c r="YP399" i="1" s="1"/>
  <c r="YP400" i="1" s="1"/>
  <c r="YP401" i="1" s="1"/>
  <c r="YP402" i="1" s="1"/>
  <c r="YP403" i="1" s="1"/>
  <c r="YP404" i="1" s="1"/>
  <c r="YP405" i="1" s="1"/>
  <c r="YP406" i="1" s="1"/>
  <c r="YP407" i="1" s="1"/>
  <c r="YP408" i="1" s="1"/>
  <c r="YP409" i="1" s="1"/>
  <c r="YP410" i="1" s="1"/>
  <c r="YP411" i="1" s="1"/>
  <c r="YP412" i="1" s="1"/>
  <c r="YP413" i="1" s="1"/>
  <c r="YP414" i="1" s="1"/>
  <c r="YP415" i="1" s="1"/>
  <c r="YP416" i="1" s="1"/>
  <c r="YP417" i="1" s="1"/>
  <c r="YP418" i="1" s="1"/>
  <c r="YP419" i="1" s="1"/>
  <c r="YP420" i="1" s="1"/>
  <c r="YP421" i="1" s="1"/>
  <c r="YP422" i="1" s="1"/>
  <c r="YP423" i="1" s="1"/>
  <c r="YP424" i="1" s="1"/>
  <c r="YP425" i="1" s="1"/>
  <c r="YP426" i="1" s="1"/>
  <c r="YP427" i="1" s="1"/>
  <c r="BW85" i="5" s="1"/>
  <c r="BW81" i="5"/>
  <c r="YG396" i="1"/>
  <c r="YG397" i="1" s="1"/>
  <c r="YG398" i="1" s="1"/>
  <c r="YG399" i="1" s="1"/>
  <c r="YG400" i="1" s="1"/>
  <c r="YG401" i="1" s="1"/>
  <c r="YG402" i="1" s="1"/>
  <c r="YG403" i="1" s="1"/>
  <c r="YG404" i="1" s="1"/>
  <c r="YG405" i="1" s="1"/>
  <c r="YG406" i="1" s="1"/>
  <c r="YG407" i="1" s="1"/>
  <c r="YG408" i="1" s="1"/>
  <c r="YG409" i="1" s="1"/>
  <c r="YG410" i="1" s="1"/>
  <c r="YG411" i="1" s="1"/>
  <c r="YG412" i="1" s="1"/>
  <c r="YG413" i="1" s="1"/>
  <c r="YG414" i="1" s="1"/>
  <c r="YG415" i="1" s="1"/>
  <c r="YG416" i="1" s="1"/>
  <c r="YG417" i="1" s="1"/>
  <c r="YG418" i="1" s="1"/>
  <c r="YG419" i="1" s="1"/>
  <c r="YG420" i="1" s="1"/>
  <c r="YG421" i="1" s="1"/>
  <c r="YG422" i="1" s="1"/>
  <c r="YG423" i="1" s="1"/>
  <c r="YG424" i="1" s="1"/>
  <c r="YG425" i="1" s="1"/>
  <c r="YG426" i="1" s="1"/>
  <c r="YG427" i="1" s="1"/>
  <c r="BV85" i="5" s="1"/>
  <c r="BV81" i="5"/>
  <c r="XX396" i="1"/>
  <c r="XX397" i="1" s="1"/>
  <c r="XX398" i="1" s="1"/>
  <c r="XX399" i="1" s="1"/>
  <c r="XX400" i="1" s="1"/>
  <c r="XX401" i="1" s="1"/>
  <c r="XX402" i="1" s="1"/>
  <c r="XX403" i="1" s="1"/>
  <c r="XX404" i="1" s="1"/>
  <c r="XX405" i="1" s="1"/>
  <c r="XX406" i="1" s="1"/>
  <c r="XX407" i="1" s="1"/>
  <c r="XX408" i="1" s="1"/>
  <c r="XX409" i="1" s="1"/>
  <c r="XX410" i="1" s="1"/>
  <c r="XX411" i="1" s="1"/>
  <c r="XX412" i="1" s="1"/>
  <c r="XX413" i="1" s="1"/>
  <c r="XX414" i="1" s="1"/>
  <c r="XX415" i="1" s="1"/>
  <c r="XX416" i="1" s="1"/>
  <c r="XX417" i="1" s="1"/>
  <c r="XX418" i="1" s="1"/>
  <c r="XX419" i="1" s="1"/>
  <c r="XX420" i="1" s="1"/>
  <c r="XX421" i="1" s="1"/>
  <c r="XX422" i="1" s="1"/>
  <c r="XX423" i="1" s="1"/>
  <c r="XX424" i="1" s="1"/>
  <c r="XX425" i="1" s="1"/>
  <c r="XX426" i="1" s="1"/>
  <c r="XX427" i="1" s="1"/>
  <c r="BU85" i="5" s="1"/>
  <c r="BU81" i="5"/>
  <c r="XF361" i="1"/>
  <c r="XF362" i="1" s="1"/>
  <c r="XF363" i="1" s="1"/>
  <c r="XF364" i="1" s="1"/>
  <c r="XF365" i="1" s="1"/>
  <c r="XF366" i="1" s="1"/>
  <c r="XF367" i="1" s="1"/>
  <c r="XF368" i="1" s="1"/>
  <c r="XF369" i="1" s="1"/>
  <c r="XF370" i="1" s="1"/>
  <c r="XF371" i="1" s="1"/>
  <c r="XF372" i="1" s="1"/>
  <c r="XF373" i="1" s="1"/>
  <c r="XF374" i="1" s="1"/>
  <c r="XF375" i="1" s="1"/>
  <c r="XF376" i="1" s="1"/>
  <c r="XF377" i="1" s="1"/>
  <c r="XF378" i="1" s="1"/>
  <c r="XF379" i="1" s="1"/>
  <c r="XF380" i="1" s="1"/>
  <c r="XF381" i="1" s="1"/>
  <c r="XF382" i="1" s="1"/>
  <c r="XF383" i="1" s="1"/>
  <c r="XF384" i="1" s="1"/>
  <c r="XF385" i="1" s="1"/>
  <c r="XF386" i="1" s="1"/>
  <c r="XF387" i="1" s="1"/>
  <c r="XF388" i="1" s="1"/>
  <c r="XF389" i="1" s="1"/>
  <c r="XF390" i="1" s="1"/>
  <c r="XF391" i="1" s="1"/>
  <c r="BS74" i="5"/>
  <c r="WW361" i="1"/>
  <c r="WW362" i="1" s="1"/>
  <c r="WW363" i="1" s="1"/>
  <c r="WW364" i="1" s="1"/>
  <c r="WW365" i="1" s="1"/>
  <c r="WW366" i="1" s="1"/>
  <c r="WW367" i="1" s="1"/>
  <c r="WW368" i="1" s="1"/>
  <c r="WW369" i="1" s="1"/>
  <c r="WW370" i="1" s="1"/>
  <c r="WW371" i="1" s="1"/>
  <c r="WW372" i="1" s="1"/>
  <c r="WW373" i="1" s="1"/>
  <c r="WW374" i="1" s="1"/>
  <c r="WW375" i="1" s="1"/>
  <c r="WW376" i="1" s="1"/>
  <c r="WW377" i="1" s="1"/>
  <c r="WW378" i="1" s="1"/>
  <c r="WW379" i="1" s="1"/>
  <c r="WW380" i="1" s="1"/>
  <c r="WW381" i="1" s="1"/>
  <c r="WW382" i="1" s="1"/>
  <c r="WW383" i="1" s="1"/>
  <c r="WW384" i="1" s="1"/>
  <c r="WW385" i="1" s="1"/>
  <c r="WW386" i="1" s="1"/>
  <c r="WW387" i="1" s="1"/>
  <c r="WW388" i="1" s="1"/>
  <c r="WW389" i="1" s="1"/>
  <c r="WW390" i="1" s="1"/>
  <c r="WW391" i="1" s="1"/>
  <c r="BR74" i="5"/>
  <c r="WN361" i="1"/>
  <c r="WN362" i="1" s="1"/>
  <c r="WN363" i="1" s="1"/>
  <c r="WN364" i="1" s="1"/>
  <c r="WN365" i="1" s="1"/>
  <c r="WN366" i="1" s="1"/>
  <c r="WN367" i="1" s="1"/>
  <c r="WN368" i="1" s="1"/>
  <c r="WN369" i="1" s="1"/>
  <c r="WN370" i="1" s="1"/>
  <c r="WN371" i="1" s="1"/>
  <c r="WN372" i="1" s="1"/>
  <c r="WN373" i="1" s="1"/>
  <c r="WN374" i="1" s="1"/>
  <c r="WN375" i="1" s="1"/>
  <c r="WN376" i="1" s="1"/>
  <c r="WN377" i="1" s="1"/>
  <c r="WN378" i="1" s="1"/>
  <c r="WN379" i="1" s="1"/>
  <c r="WN380" i="1" s="1"/>
  <c r="WN381" i="1" s="1"/>
  <c r="WN382" i="1" s="1"/>
  <c r="WN383" i="1" s="1"/>
  <c r="WN384" i="1" s="1"/>
  <c r="WN385" i="1" s="1"/>
  <c r="WN386" i="1" s="1"/>
  <c r="WN387" i="1" s="1"/>
  <c r="WN388" i="1" s="1"/>
  <c r="WN389" i="1" s="1"/>
  <c r="WN390" i="1" s="1"/>
  <c r="WN391" i="1" s="1"/>
  <c r="BQ74" i="5"/>
  <c r="XO396" i="1"/>
  <c r="XO397" i="1" s="1"/>
  <c r="XO398" i="1" s="1"/>
  <c r="XO399" i="1" s="1"/>
  <c r="XO400" i="1" s="1"/>
  <c r="XO401" i="1" s="1"/>
  <c r="XO402" i="1" s="1"/>
  <c r="XO403" i="1" s="1"/>
  <c r="XO404" i="1" s="1"/>
  <c r="XO405" i="1" s="1"/>
  <c r="XO406" i="1" s="1"/>
  <c r="XO407" i="1" s="1"/>
  <c r="XO408" i="1" s="1"/>
  <c r="XO409" i="1" s="1"/>
  <c r="XO410" i="1" s="1"/>
  <c r="XO411" i="1" s="1"/>
  <c r="XO412" i="1" s="1"/>
  <c r="XO413" i="1" s="1"/>
  <c r="XO414" i="1" s="1"/>
  <c r="XO415" i="1" s="1"/>
  <c r="XO416" i="1" s="1"/>
  <c r="XO417" i="1" s="1"/>
  <c r="XO418" i="1" s="1"/>
  <c r="XO419" i="1" s="1"/>
  <c r="XO420" i="1" s="1"/>
  <c r="XO421" i="1" s="1"/>
  <c r="XO422" i="1" s="1"/>
  <c r="XO423" i="1" s="1"/>
  <c r="XO424" i="1" s="1"/>
  <c r="XO425" i="1" s="1"/>
  <c r="XO426" i="1" s="1"/>
  <c r="XO427" i="1" s="1"/>
  <c r="BT85" i="5" s="1"/>
  <c r="BT81" i="5"/>
  <c r="NT93" i="1"/>
  <c r="NT81" i="1"/>
  <c r="NT135" i="1"/>
  <c r="NT123" i="1"/>
  <c r="NT177" i="1"/>
  <c r="NT165" i="1"/>
  <c r="NT153" i="1"/>
  <c r="NT207" i="1"/>
  <c r="NT195" i="1"/>
  <c r="NT426" i="1"/>
  <c r="NT414" i="1"/>
  <c r="NT402" i="1"/>
  <c r="NT385" i="1"/>
  <c r="NT373" i="1"/>
  <c r="NT361" i="1"/>
  <c r="NT344" i="1"/>
  <c r="NT332" i="1"/>
  <c r="NT315" i="1"/>
  <c r="NT303" i="1"/>
  <c r="NT291" i="1"/>
  <c r="NT274" i="1"/>
  <c r="NT262" i="1"/>
  <c r="NT245" i="1"/>
  <c r="NT233" i="1"/>
  <c r="NT221" i="1"/>
  <c r="NT21" i="1"/>
  <c r="NT50" i="1"/>
  <c r="NT79" i="1"/>
  <c r="NT175" i="1"/>
  <c r="NT205" i="1"/>
  <c r="NT412" i="1"/>
  <c r="NT371" i="1"/>
  <c r="NT330" i="1"/>
  <c r="NT284" i="1"/>
  <c r="NT243" i="1"/>
  <c r="NT173" i="1"/>
  <c r="NT422" i="1"/>
  <c r="NT369" i="1"/>
  <c r="NT311" i="1"/>
  <c r="NT270" i="1"/>
  <c r="NT229" i="1"/>
  <c r="NT88" i="1"/>
  <c r="NT172" i="1"/>
  <c r="NT190" i="1"/>
  <c r="NT380" i="1"/>
  <c r="NT327" i="1"/>
  <c r="NT269" i="1"/>
  <c r="NT29" i="1"/>
  <c r="NT46" i="1"/>
  <c r="NT129" i="1"/>
  <c r="NT408" i="1"/>
  <c r="NT367" i="1"/>
  <c r="NT309" i="1"/>
  <c r="NT256" i="1"/>
  <c r="NT16" i="1"/>
  <c r="NT45" i="1"/>
  <c r="NT140" i="1"/>
  <c r="NT158" i="1"/>
  <c r="NT419" i="1"/>
  <c r="NT366" i="1"/>
  <c r="NT308" i="1"/>
  <c r="NT255" i="1"/>
  <c r="NT15" i="1"/>
  <c r="NT97" i="1"/>
  <c r="NT169" i="1"/>
  <c r="NT187" i="1"/>
  <c r="NT377" i="1"/>
  <c r="NT319" i="1"/>
  <c r="NT278" i="1"/>
  <c r="NT225" i="1"/>
  <c r="NT55" i="1"/>
  <c r="NT302" i="1"/>
  <c r="NT290" i="1"/>
  <c r="NT273" i="1"/>
  <c r="NT261" i="1"/>
  <c r="NT244" i="1"/>
  <c r="NT232" i="1"/>
  <c r="NT220" i="1"/>
  <c r="NT33" i="1"/>
  <c r="NT103" i="1"/>
  <c r="NT133" i="1"/>
  <c r="NT163" i="1"/>
  <c r="NT193" i="1"/>
  <c r="NT400" i="1"/>
  <c r="NT354" i="1"/>
  <c r="NT313" i="1"/>
  <c r="NT272" i="1"/>
  <c r="NT231" i="1"/>
  <c r="NT149" i="1"/>
  <c r="NT410" i="1"/>
  <c r="NT352" i="1"/>
  <c r="NT299" i="1"/>
  <c r="NT30" i="1"/>
  <c r="NT47" i="1"/>
  <c r="NT130" i="1"/>
  <c r="NT148" i="1"/>
  <c r="NT409" i="1"/>
  <c r="NT351" i="1"/>
  <c r="NT298" i="1"/>
  <c r="NT240" i="1"/>
  <c r="NT58" i="1"/>
  <c r="NT87" i="1"/>
  <c r="NT171" i="1"/>
  <c r="NT420" i="1"/>
  <c r="NT350" i="1"/>
  <c r="NT297" i="1"/>
  <c r="NT239" i="1"/>
  <c r="NT69" i="1"/>
  <c r="NT86" i="1"/>
  <c r="NT170" i="1"/>
  <c r="NT188" i="1"/>
  <c r="NT378" i="1"/>
  <c r="NT325" i="1"/>
  <c r="NT267" i="1"/>
  <c r="NT27" i="1"/>
  <c r="NT44" i="1"/>
  <c r="NT139" i="1"/>
  <c r="NT211" i="1"/>
  <c r="NT406" i="1"/>
  <c r="NT348" i="1"/>
  <c r="NT295" i="1"/>
  <c r="NT237" i="1"/>
  <c r="NT67" i="1"/>
  <c r="NT138" i="1"/>
  <c r="NT156" i="1"/>
  <c r="NT405" i="1"/>
  <c r="NT347" i="1"/>
  <c r="NT277" i="1"/>
  <c r="NT224" i="1"/>
  <c r="NT127" i="1"/>
  <c r="NT210" i="1"/>
  <c r="NT318" i="1"/>
  <c r="NT32" i="1"/>
  <c r="NT20" i="1"/>
  <c r="NT8" i="1"/>
  <c r="NT61" i="1"/>
  <c r="NT49" i="1"/>
  <c r="NT102" i="1"/>
  <c r="NT90" i="1"/>
  <c r="NT78" i="1"/>
  <c r="NT132" i="1"/>
  <c r="NT120" i="1"/>
  <c r="NT174" i="1"/>
  <c r="NT162" i="1"/>
  <c r="NT150" i="1"/>
  <c r="NT77" i="1"/>
  <c r="NT131" i="1"/>
  <c r="NT119" i="1"/>
  <c r="NT161" i="1"/>
  <c r="NT191" i="1"/>
  <c r="NT381" i="1"/>
  <c r="NT328" i="1"/>
  <c r="NT282" i="1"/>
  <c r="NT241" i="1"/>
  <c r="NT59" i="1"/>
  <c r="NT76" i="1"/>
  <c r="NT160" i="1"/>
  <c r="NT421" i="1"/>
  <c r="NT368" i="1"/>
  <c r="NT310" i="1"/>
  <c r="NT257" i="1"/>
  <c r="NT17" i="1"/>
  <c r="NT99" i="1"/>
  <c r="NT117" i="1"/>
  <c r="NT201" i="1"/>
  <c r="NT396" i="1"/>
  <c r="NT338" i="1"/>
  <c r="NT280" i="1"/>
  <c r="NT227" i="1"/>
  <c r="NT57" i="1"/>
  <c r="NT128" i="1"/>
  <c r="NT212" i="1"/>
  <c r="NT407" i="1"/>
  <c r="NT349" i="1"/>
  <c r="NT279" i="1"/>
  <c r="NT226" i="1"/>
  <c r="NT56" i="1"/>
  <c r="NT115" i="1"/>
  <c r="NT199" i="1"/>
  <c r="NT389" i="1"/>
  <c r="NT336" i="1"/>
  <c r="NT266" i="1"/>
  <c r="NT26" i="1"/>
  <c r="NT43" i="1"/>
  <c r="NT126" i="1"/>
  <c r="NT198" i="1"/>
  <c r="NT388" i="1"/>
  <c r="NT335" i="1"/>
  <c r="NT265" i="1"/>
  <c r="NT25" i="1"/>
  <c r="NT66" i="1"/>
  <c r="NT185" i="1"/>
  <c r="NT264" i="1"/>
  <c r="NT387" i="1"/>
  <c r="NT167" i="1"/>
  <c r="NT209" i="1"/>
  <c r="NT54" i="1"/>
  <c r="NT416" i="1"/>
  <c r="NT247" i="1"/>
  <c r="NT223" i="1"/>
  <c r="NT334" i="1"/>
  <c r="NT305" i="1"/>
  <c r="NT276" i="1"/>
  <c r="NT42" i="1"/>
  <c r="NT404" i="1"/>
  <c r="NT235" i="1"/>
  <c r="NT95" i="1"/>
  <c r="NT113" i="1"/>
  <c r="NT155" i="1"/>
  <c r="NT197" i="1"/>
  <c r="NT83" i="1"/>
  <c r="NT375" i="1"/>
  <c r="NT363" i="1"/>
  <c r="NT125" i="1"/>
  <c r="NT346" i="1"/>
  <c r="NT317" i="1"/>
  <c r="NT293" i="1"/>
  <c r="NT137" i="1"/>
  <c r="NT183" i="1"/>
  <c r="NT314" i="1"/>
  <c r="NT52" i="1"/>
  <c r="NT343" i="1"/>
  <c r="NT105" i="1"/>
  <c r="NT331" i="1"/>
  <c r="NT89" i="1"/>
  <c r="NW42" i="1"/>
  <c r="NW43" i="1" s="1"/>
  <c r="NW44" i="1" s="1"/>
  <c r="NW45" i="1" s="1"/>
  <c r="NW46" i="1" s="1"/>
  <c r="NW47" i="1" s="1"/>
  <c r="NW48" i="1" s="1"/>
  <c r="NW49" i="1" s="1"/>
  <c r="NW50" i="1" s="1"/>
  <c r="NW51" i="1" s="1"/>
  <c r="NW52" i="1" s="1"/>
  <c r="NW53" i="1" s="1"/>
  <c r="NW54" i="1" s="1"/>
  <c r="NW55" i="1" s="1"/>
  <c r="NW56" i="1" s="1"/>
  <c r="NW57" i="1" s="1"/>
  <c r="NW58" i="1" s="1"/>
  <c r="NW59" i="1" s="1"/>
  <c r="NW60" i="1" s="1"/>
  <c r="NW61" i="1" s="1"/>
  <c r="NW62" i="1" s="1"/>
  <c r="NW63" i="1" s="1"/>
  <c r="NW64" i="1" s="1"/>
  <c r="NW65" i="1" s="1"/>
  <c r="NW66" i="1" s="1"/>
  <c r="NW67" i="1" s="1"/>
  <c r="NW68" i="1" s="1"/>
  <c r="NW69" i="1" s="1"/>
  <c r="NW70" i="1" s="1"/>
  <c r="NW71" i="1" s="1"/>
  <c r="UU395" i="1" l="1"/>
  <c r="BL78" i="5"/>
  <c r="UL395" i="1"/>
  <c r="BK78" i="5"/>
  <c r="VV395" i="1"/>
  <c r="BO78" i="5"/>
  <c r="VD395" i="1"/>
  <c r="BM78" i="5"/>
  <c r="WE395" i="1"/>
  <c r="BP78" i="5"/>
  <c r="TT395" i="1"/>
  <c r="BI78" i="5"/>
  <c r="VM395" i="1"/>
  <c r="BN78" i="5"/>
  <c r="UC395" i="1"/>
  <c r="BJ78" i="5"/>
  <c r="XF395" i="1"/>
  <c r="BS78" i="5"/>
  <c r="WW395" i="1"/>
  <c r="BR78" i="5"/>
  <c r="WN395" i="1"/>
  <c r="BQ78" i="5"/>
  <c r="NW75" i="1"/>
  <c r="AR15" i="5"/>
  <c r="H47" i="18" s="1"/>
  <c r="WE396" i="1" l="1"/>
  <c r="WE397" i="1" s="1"/>
  <c r="WE398" i="1" s="1"/>
  <c r="WE399" i="1" s="1"/>
  <c r="WE400" i="1" s="1"/>
  <c r="WE401" i="1" s="1"/>
  <c r="WE402" i="1" s="1"/>
  <c r="WE403" i="1" s="1"/>
  <c r="WE404" i="1" s="1"/>
  <c r="WE405" i="1" s="1"/>
  <c r="WE406" i="1" s="1"/>
  <c r="WE407" i="1" s="1"/>
  <c r="WE408" i="1" s="1"/>
  <c r="WE409" i="1" s="1"/>
  <c r="WE410" i="1" s="1"/>
  <c r="WE411" i="1" s="1"/>
  <c r="WE412" i="1" s="1"/>
  <c r="WE413" i="1" s="1"/>
  <c r="WE414" i="1" s="1"/>
  <c r="WE415" i="1" s="1"/>
  <c r="WE416" i="1" s="1"/>
  <c r="WE417" i="1" s="1"/>
  <c r="WE418" i="1" s="1"/>
  <c r="WE419" i="1" s="1"/>
  <c r="WE420" i="1" s="1"/>
  <c r="WE421" i="1" s="1"/>
  <c r="WE422" i="1" s="1"/>
  <c r="WE423" i="1" s="1"/>
  <c r="WE424" i="1" s="1"/>
  <c r="WE425" i="1" s="1"/>
  <c r="WE426" i="1" s="1"/>
  <c r="WE427" i="1" s="1"/>
  <c r="BP85" i="5" s="1"/>
  <c r="BP81" i="5"/>
  <c r="TT396" i="1"/>
  <c r="TT397" i="1" s="1"/>
  <c r="TT398" i="1" s="1"/>
  <c r="TT399" i="1" s="1"/>
  <c r="TT400" i="1" s="1"/>
  <c r="TT401" i="1" s="1"/>
  <c r="TT402" i="1" s="1"/>
  <c r="TT403" i="1" s="1"/>
  <c r="TT404" i="1" s="1"/>
  <c r="TT405" i="1" s="1"/>
  <c r="TT406" i="1" s="1"/>
  <c r="TT407" i="1" s="1"/>
  <c r="TT408" i="1" s="1"/>
  <c r="TT409" i="1" s="1"/>
  <c r="TT410" i="1" s="1"/>
  <c r="TT411" i="1" s="1"/>
  <c r="TT412" i="1" s="1"/>
  <c r="TT413" i="1" s="1"/>
  <c r="TT414" i="1" s="1"/>
  <c r="TT415" i="1" s="1"/>
  <c r="TT416" i="1" s="1"/>
  <c r="TT417" i="1" s="1"/>
  <c r="TT418" i="1" s="1"/>
  <c r="TT419" i="1" s="1"/>
  <c r="TT420" i="1" s="1"/>
  <c r="TT421" i="1" s="1"/>
  <c r="TT422" i="1" s="1"/>
  <c r="TT423" i="1" s="1"/>
  <c r="TT424" i="1" s="1"/>
  <c r="TT425" i="1" s="1"/>
  <c r="TT426" i="1" s="1"/>
  <c r="TT427" i="1" s="1"/>
  <c r="BI85" i="5" s="1"/>
  <c r="BI81" i="5"/>
  <c r="VD396" i="1"/>
  <c r="VD397" i="1" s="1"/>
  <c r="VD398" i="1" s="1"/>
  <c r="VD399" i="1" s="1"/>
  <c r="VD400" i="1" s="1"/>
  <c r="VD401" i="1" s="1"/>
  <c r="VD402" i="1" s="1"/>
  <c r="VD403" i="1" s="1"/>
  <c r="VD404" i="1" s="1"/>
  <c r="VD405" i="1" s="1"/>
  <c r="VD406" i="1" s="1"/>
  <c r="VD407" i="1" s="1"/>
  <c r="VD408" i="1" s="1"/>
  <c r="VD409" i="1" s="1"/>
  <c r="VD410" i="1" s="1"/>
  <c r="VD411" i="1" s="1"/>
  <c r="VD412" i="1" s="1"/>
  <c r="VD413" i="1" s="1"/>
  <c r="VD414" i="1" s="1"/>
  <c r="VD415" i="1" s="1"/>
  <c r="VD416" i="1" s="1"/>
  <c r="VD417" i="1" s="1"/>
  <c r="VD418" i="1" s="1"/>
  <c r="VD419" i="1" s="1"/>
  <c r="VD420" i="1" s="1"/>
  <c r="VD421" i="1" s="1"/>
  <c r="VD422" i="1" s="1"/>
  <c r="VD423" i="1" s="1"/>
  <c r="VD424" i="1" s="1"/>
  <c r="VD425" i="1" s="1"/>
  <c r="VD426" i="1" s="1"/>
  <c r="VD427" i="1" s="1"/>
  <c r="BM85" i="5" s="1"/>
  <c r="BM81" i="5"/>
  <c r="VV396" i="1"/>
  <c r="VV397" i="1" s="1"/>
  <c r="VV398" i="1" s="1"/>
  <c r="VV399" i="1" s="1"/>
  <c r="VV400" i="1" s="1"/>
  <c r="VV401" i="1" s="1"/>
  <c r="VV402" i="1" s="1"/>
  <c r="VV403" i="1" s="1"/>
  <c r="VV404" i="1" s="1"/>
  <c r="VV405" i="1" s="1"/>
  <c r="VV406" i="1" s="1"/>
  <c r="VV407" i="1" s="1"/>
  <c r="VV408" i="1" s="1"/>
  <c r="VV409" i="1" s="1"/>
  <c r="VV410" i="1" s="1"/>
  <c r="VV411" i="1" s="1"/>
  <c r="VV412" i="1" s="1"/>
  <c r="VV413" i="1" s="1"/>
  <c r="VV414" i="1" s="1"/>
  <c r="VV415" i="1" s="1"/>
  <c r="VV416" i="1" s="1"/>
  <c r="VV417" i="1" s="1"/>
  <c r="VV418" i="1" s="1"/>
  <c r="VV419" i="1" s="1"/>
  <c r="VV420" i="1" s="1"/>
  <c r="VV421" i="1" s="1"/>
  <c r="VV422" i="1" s="1"/>
  <c r="VV423" i="1" s="1"/>
  <c r="VV424" i="1" s="1"/>
  <c r="VV425" i="1" s="1"/>
  <c r="VV426" i="1" s="1"/>
  <c r="VV427" i="1" s="1"/>
  <c r="BO85" i="5" s="1"/>
  <c r="BO81" i="5"/>
  <c r="UC396" i="1"/>
  <c r="UC397" i="1" s="1"/>
  <c r="UC398" i="1" s="1"/>
  <c r="UC399" i="1" s="1"/>
  <c r="UC400" i="1" s="1"/>
  <c r="UC401" i="1" s="1"/>
  <c r="UC402" i="1" s="1"/>
  <c r="UC403" i="1" s="1"/>
  <c r="UC404" i="1" s="1"/>
  <c r="UC405" i="1" s="1"/>
  <c r="UC406" i="1" s="1"/>
  <c r="UC407" i="1" s="1"/>
  <c r="UC408" i="1" s="1"/>
  <c r="UC409" i="1" s="1"/>
  <c r="UC410" i="1" s="1"/>
  <c r="UC411" i="1" s="1"/>
  <c r="UC412" i="1" s="1"/>
  <c r="UC413" i="1" s="1"/>
  <c r="UC414" i="1" s="1"/>
  <c r="UC415" i="1" s="1"/>
  <c r="UC416" i="1" s="1"/>
  <c r="UC417" i="1" s="1"/>
  <c r="UC418" i="1" s="1"/>
  <c r="UC419" i="1" s="1"/>
  <c r="UC420" i="1" s="1"/>
  <c r="UC421" i="1" s="1"/>
  <c r="UC422" i="1" s="1"/>
  <c r="UC423" i="1" s="1"/>
  <c r="UC424" i="1" s="1"/>
  <c r="UC425" i="1" s="1"/>
  <c r="UC426" i="1" s="1"/>
  <c r="UC427" i="1" s="1"/>
  <c r="BJ85" i="5" s="1"/>
  <c r="BJ81" i="5"/>
  <c r="UL396" i="1"/>
  <c r="UL397" i="1" s="1"/>
  <c r="UL398" i="1" s="1"/>
  <c r="UL399" i="1" s="1"/>
  <c r="UL400" i="1" s="1"/>
  <c r="UL401" i="1" s="1"/>
  <c r="UL402" i="1" s="1"/>
  <c r="UL403" i="1" s="1"/>
  <c r="UL404" i="1" s="1"/>
  <c r="UL405" i="1" s="1"/>
  <c r="UL406" i="1" s="1"/>
  <c r="UL407" i="1" s="1"/>
  <c r="UL408" i="1" s="1"/>
  <c r="UL409" i="1" s="1"/>
  <c r="UL410" i="1" s="1"/>
  <c r="UL411" i="1" s="1"/>
  <c r="UL412" i="1" s="1"/>
  <c r="UL413" i="1" s="1"/>
  <c r="UL414" i="1" s="1"/>
  <c r="UL415" i="1" s="1"/>
  <c r="UL416" i="1" s="1"/>
  <c r="UL417" i="1" s="1"/>
  <c r="UL418" i="1" s="1"/>
  <c r="UL419" i="1" s="1"/>
  <c r="UL420" i="1" s="1"/>
  <c r="UL421" i="1" s="1"/>
  <c r="UL422" i="1" s="1"/>
  <c r="UL423" i="1" s="1"/>
  <c r="UL424" i="1" s="1"/>
  <c r="UL425" i="1" s="1"/>
  <c r="UL426" i="1" s="1"/>
  <c r="UL427" i="1" s="1"/>
  <c r="BK85" i="5" s="1"/>
  <c r="BK81" i="5"/>
  <c r="VM396" i="1"/>
  <c r="VM397" i="1" s="1"/>
  <c r="VM398" i="1" s="1"/>
  <c r="VM399" i="1" s="1"/>
  <c r="VM400" i="1" s="1"/>
  <c r="VM401" i="1" s="1"/>
  <c r="VM402" i="1" s="1"/>
  <c r="VM403" i="1" s="1"/>
  <c r="VM404" i="1" s="1"/>
  <c r="VM405" i="1" s="1"/>
  <c r="VM406" i="1" s="1"/>
  <c r="VM407" i="1" s="1"/>
  <c r="VM408" i="1" s="1"/>
  <c r="VM409" i="1" s="1"/>
  <c r="VM410" i="1" s="1"/>
  <c r="VM411" i="1" s="1"/>
  <c r="VM412" i="1" s="1"/>
  <c r="VM413" i="1" s="1"/>
  <c r="VM414" i="1" s="1"/>
  <c r="VM415" i="1" s="1"/>
  <c r="VM416" i="1" s="1"/>
  <c r="VM417" i="1" s="1"/>
  <c r="VM418" i="1" s="1"/>
  <c r="VM419" i="1" s="1"/>
  <c r="VM420" i="1" s="1"/>
  <c r="VM421" i="1" s="1"/>
  <c r="VM422" i="1" s="1"/>
  <c r="VM423" i="1" s="1"/>
  <c r="VM424" i="1" s="1"/>
  <c r="VM425" i="1" s="1"/>
  <c r="VM426" i="1" s="1"/>
  <c r="VM427" i="1" s="1"/>
  <c r="BN85" i="5" s="1"/>
  <c r="BN81" i="5"/>
  <c r="UU396" i="1"/>
  <c r="UU397" i="1" s="1"/>
  <c r="UU398" i="1" s="1"/>
  <c r="UU399" i="1" s="1"/>
  <c r="UU400" i="1" s="1"/>
  <c r="UU401" i="1" s="1"/>
  <c r="UU402" i="1" s="1"/>
  <c r="UU403" i="1" s="1"/>
  <c r="UU404" i="1" s="1"/>
  <c r="UU405" i="1" s="1"/>
  <c r="UU406" i="1" s="1"/>
  <c r="UU407" i="1" s="1"/>
  <c r="UU408" i="1" s="1"/>
  <c r="UU409" i="1" s="1"/>
  <c r="UU410" i="1" s="1"/>
  <c r="UU411" i="1" s="1"/>
  <c r="UU412" i="1" s="1"/>
  <c r="UU413" i="1" s="1"/>
  <c r="UU414" i="1" s="1"/>
  <c r="UU415" i="1" s="1"/>
  <c r="UU416" i="1" s="1"/>
  <c r="UU417" i="1" s="1"/>
  <c r="UU418" i="1" s="1"/>
  <c r="UU419" i="1" s="1"/>
  <c r="UU420" i="1" s="1"/>
  <c r="UU421" i="1" s="1"/>
  <c r="UU422" i="1" s="1"/>
  <c r="UU423" i="1" s="1"/>
  <c r="UU424" i="1" s="1"/>
  <c r="UU425" i="1" s="1"/>
  <c r="UU426" i="1" s="1"/>
  <c r="UU427" i="1" s="1"/>
  <c r="BL85" i="5" s="1"/>
  <c r="BL81" i="5"/>
  <c r="XF396" i="1"/>
  <c r="XF397" i="1" s="1"/>
  <c r="XF398" i="1" s="1"/>
  <c r="XF399" i="1" s="1"/>
  <c r="XF400" i="1" s="1"/>
  <c r="XF401" i="1" s="1"/>
  <c r="XF402" i="1" s="1"/>
  <c r="XF403" i="1" s="1"/>
  <c r="XF404" i="1" s="1"/>
  <c r="XF405" i="1" s="1"/>
  <c r="XF406" i="1" s="1"/>
  <c r="XF407" i="1" s="1"/>
  <c r="XF408" i="1" s="1"/>
  <c r="XF409" i="1" s="1"/>
  <c r="XF410" i="1" s="1"/>
  <c r="XF411" i="1" s="1"/>
  <c r="XF412" i="1" s="1"/>
  <c r="XF413" i="1" s="1"/>
  <c r="XF414" i="1" s="1"/>
  <c r="XF415" i="1" s="1"/>
  <c r="XF416" i="1" s="1"/>
  <c r="XF417" i="1" s="1"/>
  <c r="XF418" i="1" s="1"/>
  <c r="XF419" i="1" s="1"/>
  <c r="XF420" i="1" s="1"/>
  <c r="XF421" i="1" s="1"/>
  <c r="XF422" i="1" s="1"/>
  <c r="XF423" i="1" s="1"/>
  <c r="XF424" i="1" s="1"/>
  <c r="XF425" i="1" s="1"/>
  <c r="XF426" i="1" s="1"/>
  <c r="XF427" i="1" s="1"/>
  <c r="BS85" i="5" s="1"/>
  <c r="BS81" i="5"/>
  <c r="WW396" i="1"/>
  <c r="WW397" i="1" s="1"/>
  <c r="WW398" i="1" s="1"/>
  <c r="WW399" i="1" s="1"/>
  <c r="WW400" i="1" s="1"/>
  <c r="WW401" i="1" s="1"/>
  <c r="WW402" i="1" s="1"/>
  <c r="WW403" i="1" s="1"/>
  <c r="WW404" i="1" s="1"/>
  <c r="WW405" i="1" s="1"/>
  <c r="WW406" i="1" s="1"/>
  <c r="WW407" i="1" s="1"/>
  <c r="WW408" i="1" s="1"/>
  <c r="WW409" i="1" s="1"/>
  <c r="WW410" i="1" s="1"/>
  <c r="WW411" i="1" s="1"/>
  <c r="WW412" i="1" s="1"/>
  <c r="WW413" i="1" s="1"/>
  <c r="WW414" i="1" s="1"/>
  <c r="WW415" i="1" s="1"/>
  <c r="WW416" i="1" s="1"/>
  <c r="WW417" i="1" s="1"/>
  <c r="WW418" i="1" s="1"/>
  <c r="WW419" i="1" s="1"/>
  <c r="WW420" i="1" s="1"/>
  <c r="WW421" i="1" s="1"/>
  <c r="WW422" i="1" s="1"/>
  <c r="WW423" i="1" s="1"/>
  <c r="WW424" i="1" s="1"/>
  <c r="WW425" i="1" s="1"/>
  <c r="WW426" i="1" s="1"/>
  <c r="WW427" i="1" s="1"/>
  <c r="BR85" i="5" s="1"/>
  <c r="BR81" i="5"/>
  <c r="WN396" i="1"/>
  <c r="WN397" i="1" s="1"/>
  <c r="WN398" i="1" s="1"/>
  <c r="WN399" i="1" s="1"/>
  <c r="WN400" i="1" s="1"/>
  <c r="WN401" i="1" s="1"/>
  <c r="WN402" i="1" s="1"/>
  <c r="WN403" i="1" s="1"/>
  <c r="WN404" i="1" s="1"/>
  <c r="WN405" i="1" s="1"/>
  <c r="WN406" i="1" s="1"/>
  <c r="WN407" i="1" s="1"/>
  <c r="WN408" i="1" s="1"/>
  <c r="WN409" i="1" s="1"/>
  <c r="WN410" i="1" s="1"/>
  <c r="WN411" i="1" s="1"/>
  <c r="WN412" i="1" s="1"/>
  <c r="WN413" i="1" s="1"/>
  <c r="WN414" i="1" s="1"/>
  <c r="WN415" i="1" s="1"/>
  <c r="WN416" i="1" s="1"/>
  <c r="WN417" i="1" s="1"/>
  <c r="WN418" i="1" s="1"/>
  <c r="WN419" i="1" s="1"/>
  <c r="WN420" i="1" s="1"/>
  <c r="WN421" i="1" s="1"/>
  <c r="WN422" i="1" s="1"/>
  <c r="WN423" i="1" s="1"/>
  <c r="WN424" i="1" s="1"/>
  <c r="WN425" i="1" s="1"/>
  <c r="WN426" i="1" s="1"/>
  <c r="WN427" i="1" s="1"/>
  <c r="BQ85" i="5" s="1"/>
  <c r="BQ81" i="5"/>
  <c r="NW76" i="1"/>
  <c r="NW77" i="1" s="1"/>
  <c r="NW78" i="1" s="1"/>
  <c r="NW79" i="1" s="1"/>
  <c r="NW80" i="1" s="1"/>
  <c r="NW81" i="1" s="1"/>
  <c r="NW82" i="1" s="1"/>
  <c r="NW83" i="1" s="1"/>
  <c r="NW84" i="1" s="1"/>
  <c r="NW85" i="1" s="1"/>
  <c r="NW86" i="1" s="1"/>
  <c r="NW87" i="1" s="1"/>
  <c r="NW88" i="1" s="1"/>
  <c r="NW89" i="1" s="1"/>
  <c r="NW90" i="1" s="1"/>
  <c r="NW91" i="1" s="1"/>
  <c r="NW92" i="1" s="1"/>
  <c r="NW93" i="1" s="1"/>
  <c r="NW94" i="1" s="1"/>
  <c r="NW95" i="1" s="1"/>
  <c r="NW96" i="1" s="1"/>
  <c r="NW97" i="1" s="1"/>
  <c r="NW98" i="1" s="1"/>
  <c r="NW99" i="1" s="1"/>
  <c r="NW100" i="1" s="1"/>
  <c r="NW101" i="1" s="1"/>
  <c r="NW102" i="1" s="1"/>
  <c r="NW103" i="1" s="1"/>
  <c r="NW104" i="1" s="1"/>
  <c r="NW105" i="1" s="1"/>
  <c r="NW106" i="1" s="1"/>
  <c r="NW107" i="1" s="1"/>
  <c r="AR18" i="5"/>
  <c r="D47" i="19" s="1"/>
  <c r="AR22" i="5" l="1"/>
  <c r="H47" i="19" s="1"/>
  <c r="NW111" i="1"/>
  <c r="O71" i="1"/>
  <c r="TI71" i="1"/>
  <c r="BH13" i="5" s="1"/>
  <c r="SZ71" i="1"/>
  <c r="BG13" i="5" s="1"/>
  <c r="SQ71" i="1"/>
  <c r="BF13" i="5" s="1"/>
  <c r="SH71" i="1"/>
  <c r="BE13" i="5" s="1"/>
  <c r="RY71" i="1"/>
  <c r="BD13" i="5" s="1"/>
  <c r="RP71" i="1"/>
  <c r="BC13" i="5" s="1"/>
  <c r="RG71" i="1"/>
  <c r="BB13" i="5" s="1"/>
  <c r="QX71" i="1"/>
  <c r="BA13" i="5" s="1"/>
  <c r="QO71" i="1"/>
  <c r="QM71" i="1"/>
  <c r="MK71" i="1"/>
  <c r="MI71" i="1"/>
  <c r="JH71" i="1"/>
  <c r="AR25" i="5" l="1"/>
  <c r="D47" i="20" s="1"/>
  <c r="NW112" i="1"/>
  <c r="NW113" i="1" s="1"/>
  <c r="NW114" i="1" s="1"/>
  <c r="NW115" i="1" s="1"/>
  <c r="NW116" i="1" s="1"/>
  <c r="NW117" i="1" s="1"/>
  <c r="NW118" i="1" s="1"/>
  <c r="NW119" i="1" s="1"/>
  <c r="NW120" i="1" s="1"/>
  <c r="NW121" i="1" s="1"/>
  <c r="NW122" i="1" s="1"/>
  <c r="NW123" i="1" s="1"/>
  <c r="NW124" i="1" s="1"/>
  <c r="NW125" i="1" s="1"/>
  <c r="NW126" i="1" s="1"/>
  <c r="NW127" i="1" s="1"/>
  <c r="NW128" i="1" s="1"/>
  <c r="NW129" i="1" s="1"/>
  <c r="NW130" i="1" s="1"/>
  <c r="NW131" i="1" s="1"/>
  <c r="NW132" i="1" s="1"/>
  <c r="NW133" i="1" s="1"/>
  <c r="NW134" i="1" s="1"/>
  <c r="NW135" i="1" s="1"/>
  <c r="NW136" i="1" s="1"/>
  <c r="NW137" i="1" s="1"/>
  <c r="NW138" i="1" s="1"/>
  <c r="NW139" i="1" s="1"/>
  <c r="NW140" i="1" s="1"/>
  <c r="NW141" i="1" s="1"/>
  <c r="NW142" i="1" s="1"/>
  <c r="NW146" i="1" l="1"/>
  <c r="AR29" i="5"/>
  <c r="H47" i="20" s="1"/>
  <c r="NW147" i="1" l="1"/>
  <c r="NW148" i="1" s="1"/>
  <c r="NW149" i="1" s="1"/>
  <c r="NW150" i="1" s="1"/>
  <c r="NW151" i="1" s="1"/>
  <c r="NW152" i="1" s="1"/>
  <c r="NW153" i="1" s="1"/>
  <c r="NW154" i="1" s="1"/>
  <c r="NW155" i="1" s="1"/>
  <c r="NW156" i="1" s="1"/>
  <c r="NW157" i="1" s="1"/>
  <c r="NW158" i="1" s="1"/>
  <c r="NW159" i="1" s="1"/>
  <c r="NW160" i="1" s="1"/>
  <c r="NW161" i="1" s="1"/>
  <c r="NW162" i="1" s="1"/>
  <c r="NW163" i="1" s="1"/>
  <c r="NW164" i="1" s="1"/>
  <c r="NW165" i="1" s="1"/>
  <c r="NW166" i="1" s="1"/>
  <c r="NW167" i="1" s="1"/>
  <c r="NW168" i="1" s="1"/>
  <c r="NW169" i="1" s="1"/>
  <c r="NW170" i="1" s="1"/>
  <c r="NW171" i="1" s="1"/>
  <c r="NW172" i="1" s="1"/>
  <c r="NW173" i="1" s="1"/>
  <c r="NW174" i="1" s="1"/>
  <c r="NW175" i="1" s="1"/>
  <c r="NW176" i="1" s="1"/>
  <c r="NW177" i="1" s="1"/>
  <c r="NW178" i="1" s="1"/>
  <c r="AR32" i="5"/>
  <c r="D48" i="21" s="1"/>
  <c r="NW182" i="1" l="1"/>
  <c r="AR36" i="5"/>
  <c r="H48" i="21" s="1"/>
  <c r="LA427" i="1"/>
  <c r="LA391" i="1"/>
  <c r="LA356" i="1"/>
  <c r="LA320" i="1"/>
  <c r="LA285" i="1"/>
  <c r="LA249" i="1"/>
  <c r="LA213" i="1"/>
  <c r="LA178" i="1"/>
  <c r="LA142" i="1"/>
  <c r="LA107" i="1"/>
  <c r="LA71" i="1"/>
  <c r="LA37" i="1"/>
  <c r="LS427" i="1"/>
  <c r="LS391" i="1"/>
  <c r="LS356" i="1"/>
  <c r="LS320" i="1"/>
  <c r="LS285" i="1"/>
  <c r="LS249" i="1"/>
  <c r="LS213" i="1"/>
  <c r="LS178" i="1"/>
  <c r="LS142" i="1"/>
  <c r="LS107" i="1"/>
  <c r="LS71" i="1"/>
  <c r="LS37" i="1"/>
  <c r="PU427" i="1"/>
  <c r="PU391" i="1"/>
  <c r="PU356" i="1"/>
  <c r="PU320" i="1"/>
  <c r="PU285" i="1"/>
  <c r="PU249" i="1"/>
  <c r="PU213" i="1"/>
  <c r="PU178" i="1"/>
  <c r="PU142" i="1"/>
  <c r="PU107" i="1"/>
  <c r="PU71" i="1"/>
  <c r="PU37" i="1"/>
  <c r="PL427" i="1"/>
  <c r="PL391" i="1"/>
  <c r="PL356" i="1"/>
  <c r="PL320" i="1"/>
  <c r="PL285" i="1"/>
  <c r="PL249" i="1"/>
  <c r="PL213" i="1"/>
  <c r="PL178" i="1"/>
  <c r="PL142" i="1"/>
  <c r="PL107" i="1"/>
  <c r="PL71" i="1"/>
  <c r="PL37" i="1"/>
  <c r="PC427" i="1"/>
  <c r="PC391" i="1"/>
  <c r="PC356" i="1"/>
  <c r="PC320" i="1"/>
  <c r="PC285" i="1"/>
  <c r="PC249" i="1"/>
  <c r="PC213" i="1"/>
  <c r="PC178" i="1"/>
  <c r="PC142" i="1"/>
  <c r="PC107" i="1"/>
  <c r="PC71" i="1"/>
  <c r="PC37" i="1"/>
  <c r="OT427" i="1"/>
  <c r="OT391" i="1"/>
  <c r="OT356" i="1"/>
  <c r="OT320" i="1"/>
  <c r="OT285" i="1"/>
  <c r="OT249" i="1"/>
  <c r="OT213" i="1"/>
  <c r="OT178" i="1"/>
  <c r="OT142" i="1"/>
  <c r="OT107" i="1"/>
  <c r="OT71" i="1"/>
  <c r="OT37" i="1"/>
  <c r="OK427" i="1"/>
  <c r="OK391" i="1"/>
  <c r="OK356" i="1"/>
  <c r="OK320" i="1"/>
  <c r="OK285" i="1"/>
  <c r="OK249" i="1"/>
  <c r="OK213" i="1"/>
  <c r="OK178" i="1"/>
  <c r="OK142" i="1"/>
  <c r="OK107" i="1"/>
  <c r="OK71" i="1"/>
  <c r="OK37" i="1"/>
  <c r="OB427" i="1"/>
  <c r="OB391" i="1"/>
  <c r="OB356" i="1"/>
  <c r="OB320" i="1"/>
  <c r="OB285" i="1"/>
  <c r="OB249" i="1"/>
  <c r="OB213" i="1"/>
  <c r="OB178" i="1"/>
  <c r="OB142" i="1"/>
  <c r="OB107" i="1"/>
  <c r="OB71" i="1"/>
  <c r="OB37" i="1"/>
  <c r="NA427" i="1"/>
  <c r="NA391" i="1"/>
  <c r="NA356" i="1"/>
  <c r="AP68" i="5" s="1"/>
  <c r="NA320" i="1"/>
  <c r="NA285" i="1"/>
  <c r="NA249" i="1"/>
  <c r="NA213" i="1"/>
  <c r="NA178" i="1"/>
  <c r="NA142" i="1"/>
  <c r="NA107" i="1"/>
  <c r="NA71" i="1"/>
  <c r="NA37" i="1"/>
  <c r="MR427" i="1"/>
  <c r="MR391" i="1"/>
  <c r="MR356" i="1"/>
  <c r="AO68" i="5" s="1"/>
  <c r="MR320" i="1"/>
  <c r="MR285" i="1"/>
  <c r="MR249" i="1"/>
  <c r="MR213" i="1"/>
  <c r="MR178" i="1"/>
  <c r="MR142" i="1"/>
  <c r="MR107" i="1"/>
  <c r="MR71" i="1"/>
  <c r="MR37" i="1"/>
  <c r="KY427" i="1"/>
  <c r="KY391" i="1"/>
  <c r="KY356" i="1"/>
  <c r="KY320" i="1"/>
  <c r="KY285" i="1"/>
  <c r="KY249" i="1"/>
  <c r="KY213" i="1"/>
  <c r="KY178" i="1"/>
  <c r="KY142" i="1"/>
  <c r="KY107" i="1"/>
  <c r="KY71" i="1"/>
  <c r="KY37" i="1"/>
  <c r="KW37" i="1" s="1"/>
  <c r="KG427" i="1"/>
  <c r="KG391" i="1"/>
  <c r="KG356" i="1"/>
  <c r="KG320" i="1"/>
  <c r="KG285" i="1"/>
  <c r="KG249" i="1"/>
  <c r="KG213" i="1"/>
  <c r="KG178" i="1"/>
  <c r="KG142" i="1"/>
  <c r="KG107" i="1"/>
  <c r="KG71" i="1"/>
  <c r="KG37" i="1"/>
  <c r="KE37" i="1" s="1"/>
  <c r="IN427" i="1"/>
  <c r="IN391" i="1"/>
  <c r="IN356" i="1"/>
  <c r="IN320" i="1"/>
  <c r="IN285" i="1"/>
  <c r="IN249" i="1"/>
  <c r="IN213" i="1"/>
  <c r="IN178" i="1"/>
  <c r="IN142" i="1"/>
  <c r="IN107" i="1"/>
  <c r="IN71" i="1"/>
  <c r="IN37" i="1"/>
  <c r="IL37" i="1" s="1"/>
  <c r="IE427" i="1"/>
  <c r="IE391" i="1"/>
  <c r="IE356" i="1"/>
  <c r="IE320" i="1"/>
  <c r="IE285" i="1"/>
  <c r="IE249" i="1"/>
  <c r="IE213" i="1"/>
  <c r="IE178" i="1"/>
  <c r="IE142" i="1"/>
  <c r="IE107" i="1"/>
  <c r="IE71" i="1"/>
  <c r="IE37" i="1"/>
  <c r="IC37" i="1" s="1"/>
  <c r="HL427" i="1"/>
  <c r="HL391" i="1"/>
  <c r="HL356" i="1"/>
  <c r="HL320" i="1"/>
  <c r="HL285" i="1"/>
  <c r="HL249" i="1"/>
  <c r="HL213" i="1"/>
  <c r="HL178" i="1"/>
  <c r="HL142" i="1"/>
  <c r="HL107" i="1"/>
  <c r="HL71" i="1"/>
  <c r="HL37" i="1"/>
  <c r="HC427" i="1"/>
  <c r="HC391" i="1"/>
  <c r="HC356" i="1"/>
  <c r="HC320" i="1"/>
  <c r="HC285" i="1"/>
  <c r="HC249" i="1"/>
  <c r="HC213" i="1"/>
  <c r="HC178" i="1"/>
  <c r="HC142" i="1"/>
  <c r="HC107" i="1"/>
  <c r="HC71" i="1"/>
  <c r="HC37" i="1"/>
  <c r="GT427" i="1"/>
  <c r="GT391" i="1"/>
  <c r="GT356" i="1"/>
  <c r="GT320" i="1"/>
  <c r="GT285" i="1"/>
  <c r="GT249" i="1"/>
  <c r="GT213" i="1"/>
  <c r="GT178" i="1"/>
  <c r="GT142" i="1"/>
  <c r="GT107" i="1"/>
  <c r="GT71" i="1"/>
  <c r="GT37" i="1"/>
  <c r="GK427" i="1"/>
  <c r="GK391" i="1"/>
  <c r="GK356" i="1"/>
  <c r="GK320" i="1"/>
  <c r="GK285" i="1"/>
  <c r="GK249" i="1"/>
  <c r="GK213" i="1"/>
  <c r="GK178" i="1"/>
  <c r="GK142" i="1"/>
  <c r="GK107" i="1"/>
  <c r="GK71" i="1"/>
  <c r="GK37" i="1"/>
  <c r="GI37" i="1" s="1"/>
  <c r="GB427" i="1"/>
  <c r="GB391" i="1"/>
  <c r="GB356" i="1"/>
  <c r="GB320" i="1"/>
  <c r="GB285" i="1"/>
  <c r="GB249" i="1"/>
  <c r="GB213" i="1"/>
  <c r="GB178" i="1"/>
  <c r="GB142" i="1"/>
  <c r="GB107" i="1"/>
  <c r="GB71" i="1"/>
  <c r="GB37" i="1"/>
  <c r="FZ37" i="1" s="1"/>
  <c r="FS427" i="1"/>
  <c r="FS391" i="1"/>
  <c r="FS356" i="1"/>
  <c r="FS320" i="1"/>
  <c r="FS285" i="1"/>
  <c r="FS249" i="1"/>
  <c r="FS213" i="1"/>
  <c r="FS178" i="1"/>
  <c r="FS142" i="1"/>
  <c r="FS107" i="1"/>
  <c r="FS71" i="1"/>
  <c r="FS37" i="1"/>
  <c r="FQ37" i="1" s="1"/>
  <c r="FJ427" i="1"/>
  <c r="FJ391" i="1"/>
  <c r="FJ356" i="1"/>
  <c r="FJ320" i="1"/>
  <c r="FJ285" i="1"/>
  <c r="FJ249" i="1"/>
  <c r="FJ213" i="1"/>
  <c r="FJ178" i="1"/>
  <c r="FJ142" i="1"/>
  <c r="FJ107" i="1"/>
  <c r="FJ71" i="1"/>
  <c r="FJ37" i="1"/>
  <c r="FA427" i="1"/>
  <c r="FA391" i="1"/>
  <c r="FA356" i="1"/>
  <c r="FA320" i="1"/>
  <c r="FA285" i="1"/>
  <c r="FA249" i="1"/>
  <c r="FA213" i="1"/>
  <c r="FA178" i="1"/>
  <c r="FA142" i="1"/>
  <c r="FA107" i="1"/>
  <c r="FA71" i="1"/>
  <c r="FA37" i="1"/>
  <c r="ER427" i="1"/>
  <c r="ER391" i="1"/>
  <c r="ER356" i="1"/>
  <c r="ER320" i="1"/>
  <c r="ER285" i="1"/>
  <c r="ER249" i="1"/>
  <c r="ER213" i="1"/>
  <c r="ER178" i="1"/>
  <c r="ER142" i="1"/>
  <c r="ER107" i="1"/>
  <c r="ER71" i="1"/>
  <c r="ER37" i="1"/>
  <c r="EI427" i="1"/>
  <c r="EI391" i="1"/>
  <c r="EI356" i="1"/>
  <c r="EI320" i="1"/>
  <c r="EI285" i="1"/>
  <c r="EI249" i="1"/>
  <c r="EI213" i="1"/>
  <c r="EI178" i="1"/>
  <c r="EI142" i="1"/>
  <c r="EI107" i="1"/>
  <c r="EI71" i="1"/>
  <c r="EI37" i="1"/>
  <c r="PN427" i="1"/>
  <c r="PN391" i="1"/>
  <c r="PN356" i="1"/>
  <c r="PN320" i="1"/>
  <c r="PN285" i="1"/>
  <c r="PN249" i="1"/>
  <c r="PN213" i="1"/>
  <c r="PN178" i="1"/>
  <c r="PN142" i="1"/>
  <c r="PN107" i="1"/>
  <c r="PN71" i="1"/>
  <c r="PN37" i="1"/>
  <c r="AW6" i="5" s="1"/>
  <c r="PE427" i="1"/>
  <c r="PE391" i="1"/>
  <c r="PE356" i="1"/>
  <c r="PE320" i="1"/>
  <c r="PE285" i="1"/>
  <c r="PE249" i="1"/>
  <c r="PE213" i="1"/>
  <c r="PE178" i="1"/>
  <c r="PE142" i="1"/>
  <c r="PE107" i="1"/>
  <c r="PE71" i="1"/>
  <c r="PE37" i="1"/>
  <c r="AV6" i="5" s="1"/>
  <c r="OV427" i="1"/>
  <c r="OV391" i="1"/>
  <c r="OV356" i="1"/>
  <c r="OV320" i="1"/>
  <c r="OV285" i="1"/>
  <c r="OV249" i="1"/>
  <c r="OV213" i="1"/>
  <c r="OV178" i="1"/>
  <c r="OV142" i="1"/>
  <c r="OV107" i="1"/>
  <c r="OV71" i="1"/>
  <c r="AU13" i="5" s="1"/>
  <c r="OV37" i="1"/>
  <c r="AU6" i="5" s="1"/>
  <c r="OM427" i="1"/>
  <c r="OM391" i="1"/>
  <c r="OM356" i="1"/>
  <c r="OM320" i="1"/>
  <c r="OM285" i="1"/>
  <c r="OM249" i="1"/>
  <c r="OM213" i="1"/>
  <c r="OM178" i="1"/>
  <c r="OM142" i="1"/>
  <c r="OM107" i="1"/>
  <c r="OM71" i="1"/>
  <c r="OM37" i="1"/>
  <c r="AT6" i="5" s="1"/>
  <c r="NL427" i="1"/>
  <c r="NL391" i="1"/>
  <c r="NL356" i="1"/>
  <c r="NL320" i="1"/>
  <c r="NL285" i="1"/>
  <c r="NL249" i="1"/>
  <c r="NL213" i="1"/>
  <c r="NL178" i="1"/>
  <c r="NL142" i="1"/>
  <c r="NL107" i="1"/>
  <c r="NL71" i="1"/>
  <c r="NL37" i="1"/>
  <c r="KR427" i="1"/>
  <c r="AI83" i="5" s="1"/>
  <c r="KR391" i="1"/>
  <c r="AI76" i="5" s="1"/>
  <c r="KR356" i="1"/>
  <c r="AI69" i="5" s="1"/>
  <c r="KR320" i="1"/>
  <c r="AI62" i="5" s="1"/>
  <c r="KR285" i="1"/>
  <c r="AI55" i="5" s="1"/>
  <c r="KR249" i="1"/>
  <c r="AI48" i="5" s="1"/>
  <c r="KR213" i="1"/>
  <c r="KR178" i="1"/>
  <c r="KR142" i="1"/>
  <c r="KR107" i="1"/>
  <c r="KR71" i="1"/>
  <c r="KR37" i="1"/>
  <c r="KI427" i="1"/>
  <c r="KI391" i="1"/>
  <c r="KI356" i="1"/>
  <c r="KI320" i="1"/>
  <c r="KI285" i="1"/>
  <c r="KI249" i="1"/>
  <c r="KI213" i="1"/>
  <c r="KI178" i="1"/>
  <c r="KI142" i="1"/>
  <c r="KI107" i="1"/>
  <c r="KI71" i="1"/>
  <c r="KI37" i="1"/>
  <c r="IP427" i="1"/>
  <c r="IP391" i="1"/>
  <c r="IP356" i="1"/>
  <c r="IP320" i="1"/>
  <c r="IP285" i="1"/>
  <c r="IP249" i="1"/>
  <c r="IP213" i="1"/>
  <c r="IP178" i="1"/>
  <c r="IP142" i="1"/>
  <c r="IP107" i="1"/>
  <c r="IP71" i="1"/>
  <c r="IP37" i="1"/>
  <c r="IG427" i="1"/>
  <c r="IG391" i="1"/>
  <c r="IG356" i="1"/>
  <c r="IG320" i="1"/>
  <c r="IG285" i="1"/>
  <c r="IG249" i="1"/>
  <c r="IG213" i="1"/>
  <c r="IG178" i="1"/>
  <c r="IG142" i="1"/>
  <c r="IG107" i="1"/>
  <c r="IG71" i="1"/>
  <c r="IG37" i="1"/>
  <c r="HX427" i="1"/>
  <c r="HX391" i="1"/>
  <c r="HX356" i="1"/>
  <c r="HX320" i="1"/>
  <c r="HX285" i="1"/>
  <c r="HX249" i="1"/>
  <c r="HX213" i="1"/>
  <c r="HX178" i="1"/>
  <c r="HX142" i="1"/>
  <c r="HX107" i="1"/>
  <c r="HX71" i="1"/>
  <c r="HX37" i="1"/>
  <c r="HN427" i="1"/>
  <c r="HN391" i="1"/>
  <c r="HN356" i="1"/>
  <c r="HN320" i="1"/>
  <c r="HN285" i="1"/>
  <c r="Z55" i="5" s="1"/>
  <c r="HN249" i="1"/>
  <c r="HN213" i="1"/>
  <c r="HN178" i="1"/>
  <c r="HN142" i="1"/>
  <c r="HN107" i="1"/>
  <c r="HN71" i="1"/>
  <c r="HN37" i="1"/>
  <c r="HE427" i="1"/>
  <c r="HE391" i="1"/>
  <c r="HE356" i="1"/>
  <c r="HE320" i="1"/>
  <c r="HE285" i="1"/>
  <c r="HE249" i="1"/>
  <c r="HE213" i="1"/>
  <c r="HE178" i="1"/>
  <c r="HE142" i="1"/>
  <c r="HE107" i="1"/>
  <c r="HE71" i="1"/>
  <c r="HE37" i="1"/>
  <c r="GV427" i="1"/>
  <c r="GV391" i="1"/>
  <c r="GV356" i="1"/>
  <c r="GV320" i="1"/>
  <c r="GV285" i="1"/>
  <c r="GV249" i="1"/>
  <c r="GV213" i="1"/>
  <c r="GV178" i="1"/>
  <c r="GV142" i="1"/>
  <c r="GV107" i="1"/>
  <c r="GV71" i="1"/>
  <c r="GV37" i="1"/>
  <c r="GM427" i="1"/>
  <c r="GM391" i="1"/>
  <c r="GM356" i="1"/>
  <c r="GM320" i="1"/>
  <c r="GM285" i="1"/>
  <c r="GM249" i="1"/>
  <c r="GM213" i="1"/>
  <c r="GM178" i="1"/>
  <c r="GM142" i="1"/>
  <c r="GM107" i="1"/>
  <c r="GM71" i="1"/>
  <c r="GM37" i="1"/>
  <c r="GD427" i="1"/>
  <c r="GD391" i="1"/>
  <c r="GD356" i="1"/>
  <c r="GD320" i="1"/>
  <c r="GD285" i="1"/>
  <c r="GD249" i="1"/>
  <c r="GD213" i="1"/>
  <c r="GD178" i="1"/>
  <c r="GD142" i="1"/>
  <c r="GD107" i="1"/>
  <c r="GD71" i="1"/>
  <c r="GD37" i="1"/>
  <c r="FU427" i="1"/>
  <c r="FU391" i="1"/>
  <c r="FU356" i="1"/>
  <c r="FU320" i="1"/>
  <c r="FU285" i="1"/>
  <c r="FU249" i="1"/>
  <c r="FU213" i="1"/>
  <c r="FU178" i="1"/>
  <c r="FU142" i="1"/>
  <c r="FU107" i="1"/>
  <c r="FU71" i="1"/>
  <c r="FU37" i="1"/>
  <c r="FL427" i="1"/>
  <c r="FL391" i="1"/>
  <c r="FL356" i="1"/>
  <c r="FL320" i="1"/>
  <c r="FL285" i="1"/>
  <c r="FL249" i="1"/>
  <c r="FL213" i="1"/>
  <c r="FL178" i="1"/>
  <c r="FL142" i="1"/>
  <c r="FL107" i="1"/>
  <c r="FL71" i="1"/>
  <c r="FL37" i="1"/>
  <c r="FC427" i="1"/>
  <c r="FC391" i="1"/>
  <c r="FC356" i="1"/>
  <c r="FC320" i="1"/>
  <c r="FC285" i="1"/>
  <c r="FC249" i="1"/>
  <c r="FC213" i="1"/>
  <c r="FC178" i="1"/>
  <c r="FC142" i="1"/>
  <c r="FC107" i="1"/>
  <c r="FC71" i="1"/>
  <c r="FC37" i="1"/>
  <c r="ET427" i="1"/>
  <c r="ET391" i="1"/>
  <c r="ET356" i="1"/>
  <c r="ET320" i="1"/>
  <c r="ET285" i="1"/>
  <c r="ET249" i="1"/>
  <c r="ET213" i="1"/>
  <c r="ET178" i="1"/>
  <c r="ET142" i="1"/>
  <c r="ET107" i="1"/>
  <c r="ET71" i="1"/>
  <c r="ET37" i="1"/>
  <c r="EB427" i="1"/>
  <c r="P83" i="5" s="1"/>
  <c r="EB391" i="1"/>
  <c r="P76" i="5" s="1"/>
  <c r="EB356" i="1"/>
  <c r="P69" i="5" s="1"/>
  <c r="EB320" i="1"/>
  <c r="P62" i="5" s="1"/>
  <c r="EB285" i="1"/>
  <c r="P55" i="5" s="1"/>
  <c r="EB249" i="1"/>
  <c r="P48" i="5" s="1"/>
  <c r="EB213" i="1"/>
  <c r="P41" i="5" s="1"/>
  <c r="EB178" i="1"/>
  <c r="P34" i="5" s="1"/>
  <c r="EB142" i="1"/>
  <c r="P27" i="5" s="1"/>
  <c r="EB107" i="1"/>
  <c r="P20" i="5" s="1"/>
  <c r="EB71" i="1"/>
  <c r="EB37" i="1"/>
  <c r="DS427" i="1"/>
  <c r="DS391" i="1"/>
  <c r="DS356" i="1"/>
  <c r="DS320" i="1"/>
  <c r="DS285" i="1"/>
  <c r="DS249" i="1"/>
  <c r="DS213" i="1"/>
  <c r="DS178" i="1"/>
  <c r="DS142" i="1"/>
  <c r="DS107" i="1"/>
  <c r="DS71" i="1"/>
  <c r="DS37" i="1"/>
  <c r="DJ427" i="1"/>
  <c r="DJ391" i="1"/>
  <c r="DJ356" i="1"/>
  <c r="DJ320" i="1"/>
  <c r="DJ285" i="1"/>
  <c r="DJ249" i="1"/>
  <c r="DJ213" i="1"/>
  <c r="DJ178" i="1"/>
  <c r="DJ142" i="1"/>
  <c r="DJ107" i="1"/>
  <c r="DJ71" i="1"/>
  <c r="DJ37" i="1"/>
  <c r="CR37" i="1"/>
  <c r="CI37" i="1"/>
  <c r="BZ37" i="1"/>
  <c r="BQ37" i="1"/>
  <c r="BH37" i="1"/>
  <c r="AG37" i="1"/>
  <c r="O37" i="1"/>
  <c r="CR427" i="1"/>
  <c r="CR391" i="1"/>
  <c r="CR356" i="1"/>
  <c r="CR320" i="1"/>
  <c r="CR285" i="1"/>
  <c r="CR249" i="1"/>
  <c r="CR213" i="1"/>
  <c r="CR178" i="1"/>
  <c r="CR142" i="1"/>
  <c r="CR107" i="1"/>
  <c r="CR71" i="1"/>
  <c r="CI427" i="1"/>
  <c r="CI391" i="1"/>
  <c r="CI356" i="1"/>
  <c r="CI320" i="1"/>
  <c r="CI285" i="1"/>
  <c r="CI249" i="1"/>
  <c r="CI213" i="1"/>
  <c r="CI178" i="1"/>
  <c r="CI142" i="1"/>
  <c r="CI107" i="1"/>
  <c r="CI71" i="1"/>
  <c r="BZ427" i="1"/>
  <c r="BZ391" i="1"/>
  <c r="BZ356" i="1"/>
  <c r="BZ320" i="1"/>
  <c r="BZ285" i="1"/>
  <c r="BZ249" i="1"/>
  <c r="BZ213" i="1"/>
  <c r="BZ178" i="1"/>
  <c r="BZ142" i="1"/>
  <c r="BZ107" i="1"/>
  <c r="BZ71" i="1"/>
  <c r="BQ427" i="1"/>
  <c r="BQ391" i="1"/>
  <c r="BQ356" i="1"/>
  <c r="BQ320" i="1"/>
  <c r="BQ285" i="1"/>
  <c r="BQ249" i="1"/>
  <c r="BQ213" i="1"/>
  <c r="BQ178" i="1"/>
  <c r="BQ142" i="1"/>
  <c r="BQ107" i="1"/>
  <c r="BQ71" i="1"/>
  <c r="BH427" i="1"/>
  <c r="BH391" i="1"/>
  <c r="BH356" i="1"/>
  <c r="BH320" i="1"/>
  <c r="BH285" i="1"/>
  <c r="BH249" i="1"/>
  <c r="BH213" i="1"/>
  <c r="BH178" i="1"/>
  <c r="BH142" i="1"/>
  <c r="BH107" i="1"/>
  <c r="BH71" i="1"/>
  <c r="AG427" i="1"/>
  <c r="AG391" i="1"/>
  <c r="AG356" i="1"/>
  <c r="AG320" i="1"/>
  <c r="AG285" i="1"/>
  <c r="AG249" i="1"/>
  <c r="AG213" i="1"/>
  <c r="AG178" i="1"/>
  <c r="AG142" i="1"/>
  <c r="AG107" i="1"/>
  <c r="AG71" i="1"/>
  <c r="O427" i="1"/>
  <c r="O391" i="1"/>
  <c r="O356" i="1"/>
  <c r="O320" i="1"/>
  <c r="O285" i="1"/>
  <c r="O249" i="1"/>
  <c r="O213" i="1"/>
  <c r="O178" i="1"/>
  <c r="O142" i="1"/>
  <c r="O107" i="1"/>
  <c r="CP427" i="1"/>
  <c r="CP391" i="1"/>
  <c r="CP356" i="1"/>
  <c r="CP320" i="1"/>
  <c r="CP285" i="1"/>
  <c r="CP249" i="1"/>
  <c r="CP213" i="1"/>
  <c r="CP178" i="1"/>
  <c r="CP142" i="1"/>
  <c r="CP107" i="1"/>
  <c r="CP71" i="1"/>
  <c r="CP37" i="1"/>
  <c r="CG427" i="1"/>
  <c r="CG391" i="1"/>
  <c r="CG356" i="1"/>
  <c r="CG320" i="1"/>
  <c r="CG285" i="1"/>
  <c r="CG249" i="1"/>
  <c r="CG213" i="1"/>
  <c r="CG178" i="1"/>
  <c r="CG142" i="1"/>
  <c r="CG107" i="1"/>
  <c r="CG71" i="1"/>
  <c r="CG37" i="1"/>
  <c r="BX427" i="1"/>
  <c r="BX391" i="1"/>
  <c r="BX356" i="1"/>
  <c r="BX320" i="1"/>
  <c r="BX285" i="1"/>
  <c r="BX249" i="1"/>
  <c r="BX213" i="1"/>
  <c r="BX178" i="1"/>
  <c r="BX142" i="1"/>
  <c r="BX107" i="1"/>
  <c r="BX71" i="1"/>
  <c r="BX37" i="1"/>
  <c r="BO427" i="1"/>
  <c r="BO391" i="1"/>
  <c r="BO356" i="1"/>
  <c r="BO320" i="1"/>
  <c r="BO285" i="1"/>
  <c r="BO249" i="1"/>
  <c r="BO213" i="1"/>
  <c r="BO178" i="1"/>
  <c r="BO142" i="1"/>
  <c r="BO107" i="1"/>
  <c r="BO71" i="1"/>
  <c r="BO37" i="1"/>
  <c r="BF427" i="1"/>
  <c r="BF391" i="1"/>
  <c r="BF356" i="1"/>
  <c r="BF320" i="1"/>
  <c r="BF285" i="1"/>
  <c r="BF249" i="1"/>
  <c r="BF213" i="1"/>
  <c r="BF178" i="1"/>
  <c r="BF142" i="1"/>
  <c r="BF107" i="1"/>
  <c r="BF71" i="1"/>
  <c r="BF37" i="1"/>
  <c r="AE427" i="1"/>
  <c r="AE391" i="1"/>
  <c r="AE356" i="1"/>
  <c r="AE320" i="1"/>
  <c r="AE285" i="1"/>
  <c r="AE249" i="1"/>
  <c r="AE213" i="1"/>
  <c r="AE178" i="1"/>
  <c r="AE142" i="1"/>
  <c r="AE107" i="1"/>
  <c r="AE71" i="1"/>
  <c r="AE37" i="1"/>
  <c r="M427" i="1"/>
  <c r="M391" i="1"/>
  <c r="M356" i="1"/>
  <c r="M320" i="1"/>
  <c r="M285" i="1"/>
  <c r="M249" i="1"/>
  <c r="M213" i="1"/>
  <c r="M178" i="1"/>
  <c r="M142" i="1"/>
  <c r="M107" i="1"/>
  <c r="M71" i="1"/>
  <c r="M37" i="1"/>
  <c r="NW183" i="1" l="1"/>
  <c r="NW184" i="1" s="1"/>
  <c r="NW185" i="1" s="1"/>
  <c r="NW186" i="1" s="1"/>
  <c r="NW187" i="1" s="1"/>
  <c r="NW188" i="1" s="1"/>
  <c r="NW189" i="1" s="1"/>
  <c r="NW190" i="1" s="1"/>
  <c r="NW191" i="1" s="1"/>
  <c r="NW192" i="1" s="1"/>
  <c r="NW193" i="1" s="1"/>
  <c r="NW194" i="1" s="1"/>
  <c r="NW195" i="1" s="1"/>
  <c r="NW196" i="1" s="1"/>
  <c r="NW197" i="1" s="1"/>
  <c r="NW198" i="1" s="1"/>
  <c r="NW199" i="1" s="1"/>
  <c r="NW200" i="1" s="1"/>
  <c r="NW201" i="1" s="1"/>
  <c r="NW202" i="1" s="1"/>
  <c r="NW203" i="1" s="1"/>
  <c r="NW204" i="1" s="1"/>
  <c r="NW205" i="1" s="1"/>
  <c r="NW206" i="1" s="1"/>
  <c r="NW207" i="1" s="1"/>
  <c r="NW208" i="1" s="1"/>
  <c r="NW209" i="1" s="1"/>
  <c r="NW210" i="1" s="1"/>
  <c r="NW211" i="1" s="1"/>
  <c r="NW212" i="1" s="1"/>
  <c r="NW213" i="1" s="1"/>
  <c r="AR39" i="5"/>
  <c r="D48" i="8" s="1"/>
  <c r="G56" i="14"/>
  <c r="G55" i="14"/>
  <c r="G54" i="14"/>
  <c r="G53" i="14"/>
  <c r="G52" i="14"/>
  <c r="G51" i="14"/>
  <c r="G50" i="14"/>
  <c r="G49" i="14"/>
  <c r="G56" i="13"/>
  <c r="G55" i="13"/>
  <c r="G54" i="13"/>
  <c r="G53" i="13"/>
  <c r="G52" i="13"/>
  <c r="G51" i="13"/>
  <c r="G50" i="13"/>
  <c r="G49" i="13"/>
  <c r="G56" i="12"/>
  <c r="G55" i="12"/>
  <c r="G54" i="12"/>
  <c r="G53" i="12"/>
  <c r="G52" i="12"/>
  <c r="G51" i="12"/>
  <c r="G50" i="12"/>
  <c r="G49" i="12"/>
  <c r="G56" i="8"/>
  <c r="G55" i="8"/>
  <c r="G54" i="8"/>
  <c r="G53" i="8"/>
  <c r="G52" i="8"/>
  <c r="G51" i="8"/>
  <c r="G50" i="8"/>
  <c r="G49" i="8"/>
  <c r="NW217" i="1" l="1"/>
  <c r="AR43" i="5"/>
  <c r="H48" i="8" s="1"/>
  <c r="NJ71" i="1"/>
  <c r="NW218" i="1" l="1"/>
  <c r="NW219" i="1" s="1"/>
  <c r="NW220" i="1" s="1"/>
  <c r="NW221" i="1" s="1"/>
  <c r="NW222" i="1" s="1"/>
  <c r="NW223" i="1" s="1"/>
  <c r="NW224" i="1" s="1"/>
  <c r="NW225" i="1" s="1"/>
  <c r="NW226" i="1" s="1"/>
  <c r="NW227" i="1" s="1"/>
  <c r="NW228" i="1" s="1"/>
  <c r="NW229" i="1" s="1"/>
  <c r="NW230" i="1" s="1"/>
  <c r="NW231" i="1" s="1"/>
  <c r="NW232" i="1" s="1"/>
  <c r="NW233" i="1" s="1"/>
  <c r="NW234" i="1" s="1"/>
  <c r="NW235" i="1" s="1"/>
  <c r="NW236" i="1" s="1"/>
  <c r="NW237" i="1" s="1"/>
  <c r="NW238" i="1" s="1"/>
  <c r="NW239" i="1" s="1"/>
  <c r="NW240" i="1" s="1"/>
  <c r="NW241" i="1" s="1"/>
  <c r="NW242" i="1" s="1"/>
  <c r="NW243" i="1" s="1"/>
  <c r="NW244" i="1" s="1"/>
  <c r="NW245" i="1" s="1"/>
  <c r="NW246" i="1" s="1"/>
  <c r="NW247" i="1" s="1"/>
  <c r="NW248" i="1" s="1"/>
  <c r="NW249" i="1" s="1"/>
  <c r="AR46" i="5"/>
  <c r="D48" i="11" s="1"/>
  <c r="DA71" i="1"/>
  <c r="NW253" i="1" l="1"/>
  <c r="AR50" i="5"/>
  <c r="H48" i="11" s="1"/>
  <c r="G58" i="18"/>
  <c r="G57" i="18"/>
  <c r="G56" i="18"/>
  <c r="G55" i="18"/>
  <c r="G54" i="18"/>
  <c r="G53" i="18"/>
  <c r="G52" i="18"/>
  <c r="G51" i="18"/>
  <c r="NW254" i="1" l="1"/>
  <c r="NW255" i="1" s="1"/>
  <c r="NW256" i="1" s="1"/>
  <c r="NW257" i="1" s="1"/>
  <c r="NW258" i="1" s="1"/>
  <c r="NW259" i="1" s="1"/>
  <c r="NW260" i="1" s="1"/>
  <c r="NW261" i="1" s="1"/>
  <c r="NW262" i="1" s="1"/>
  <c r="NW263" i="1" s="1"/>
  <c r="NW264" i="1" s="1"/>
  <c r="NW265" i="1" s="1"/>
  <c r="NW266" i="1" s="1"/>
  <c r="NW267" i="1" s="1"/>
  <c r="NW268" i="1" s="1"/>
  <c r="NW269" i="1" s="1"/>
  <c r="NW270" i="1" s="1"/>
  <c r="NW271" i="1" s="1"/>
  <c r="NW272" i="1" s="1"/>
  <c r="NW273" i="1" s="1"/>
  <c r="NW274" i="1" s="1"/>
  <c r="NW275" i="1" s="1"/>
  <c r="NW276" i="1" s="1"/>
  <c r="NW277" i="1" s="1"/>
  <c r="NW278" i="1" s="1"/>
  <c r="NW279" i="1" s="1"/>
  <c r="NW280" i="1" s="1"/>
  <c r="NW281" i="1" s="1"/>
  <c r="NW282" i="1" s="1"/>
  <c r="NW283" i="1" s="1"/>
  <c r="NW284" i="1" s="1"/>
  <c r="NW285" i="1" s="1"/>
  <c r="AR53" i="5"/>
  <c r="D48" i="12" s="1"/>
  <c r="AN12" i="5"/>
  <c r="E44" i="18" s="1"/>
  <c r="AZ13" i="5"/>
  <c r="F58" i="18" s="1"/>
  <c r="AZ4" i="5"/>
  <c r="AY4" i="5"/>
  <c r="AX4" i="5"/>
  <c r="AW4" i="5"/>
  <c r="AV4" i="5"/>
  <c r="AU4" i="5"/>
  <c r="AT4" i="5"/>
  <c r="AR57" i="5" l="1"/>
  <c r="H48" i="12" s="1"/>
  <c r="NW289" i="1"/>
  <c r="C496" i="6"/>
  <c r="C495" i="6"/>
  <c r="C494" i="6"/>
  <c r="C493" i="6"/>
  <c r="C492" i="6"/>
  <c r="C491" i="6"/>
  <c r="C490" i="6"/>
  <c r="C489" i="6"/>
  <c r="C487" i="6"/>
  <c r="C486" i="6"/>
  <c r="C485" i="6"/>
  <c r="C484" i="6"/>
  <c r="C483" i="6"/>
  <c r="C482" i="6"/>
  <c r="C481" i="6"/>
  <c r="C480" i="6"/>
  <c r="C479" i="6"/>
  <c r="C478" i="6"/>
  <c r="C477" i="6"/>
  <c r="C476" i="6"/>
  <c r="C475" i="6"/>
  <c r="C474" i="6"/>
  <c r="C473" i="6"/>
  <c r="C472" i="6"/>
  <c r="C471" i="6"/>
  <c r="C470" i="6"/>
  <c r="C469" i="6"/>
  <c r="C468" i="6"/>
  <c r="C467" i="6"/>
  <c r="C466" i="6"/>
  <c r="C465" i="6"/>
  <c r="C464" i="6"/>
  <c r="C463" i="6"/>
  <c r="C462" i="6"/>
  <c r="C461" i="6"/>
  <c r="C460" i="6"/>
  <c r="C459" i="6"/>
  <c r="C458" i="6"/>
  <c r="C457" i="6"/>
  <c r="C456" i="6"/>
  <c r="C455" i="6"/>
  <c r="C454" i="6"/>
  <c r="C453" i="6"/>
  <c r="C452" i="6"/>
  <c r="C451" i="6"/>
  <c r="C450" i="6"/>
  <c r="C449" i="6"/>
  <c r="C448" i="6"/>
  <c r="C447" i="6"/>
  <c r="C446" i="6"/>
  <c r="NW290" i="1" l="1"/>
  <c r="NW291" i="1" s="1"/>
  <c r="NW292" i="1" s="1"/>
  <c r="NW293" i="1" s="1"/>
  <c r="NW294" i="1" s="1"/>
  <c r="NW295" i="1" s="1"/>
  <c r="NW296" i="1" s="1"/>
  <c r="NW297" i="1" s="1"/>
  <c r="NW298" i="1" s="1"/>
  <c r="NW299" i="1" s="1"/>
  <c r="NW300" i="1" s="1"/>
  <c r="NW301" i="1" s="1"/>
  <c r="NW302" i="1" s="1"/>
  <c r="NW303" i="1" s="1"/>
  <c r="NW304" i="1" s="1"/>
  <c r="NW305" i="1" s="1"/>
  <c r="NW306" i="1" s="1"/>
  <c r="NW307" i="1" s="1"/>
  <c r="NW308" i="1" s="1"/>
  <c r="NW309" i="1" s="1"/>
  <c r="NW310" i="1" s="1"/>
  <c r="NW311" i="1" s="1"/>
  <c r="NW312" i="1" s="1"/>
  <c r="NW313" i="1" s="1"/>
  <c r="NW314" i="1" s="1"/>
  <c r="NW315" i="1" s="1"/>
  <c r="NW316" i="1" s="1"/>
  <c r="NW317" i="1" s="1"/>
  <c r="NW318" i="1" s="1"/>
  <c r="NW319" i="1" s="1"/>
  <c r="NW320" i="1" s="1"/>
  <c r="AR60" i="5"/>
  <c r="D48" i="13" s="1"/>
  <c r="C528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K68" i="16"/>
  <c r="K69" i="15"/>
  <c r="K68" i="14"/>
  <c r="K69" i="13"/>
  <c r="K70" i="12"/>
  <c r="K78" i="11"/>
  <c r="K69" i="8"/>
  <c r="K69" i="21"/>
  <c r="K65" i="20"/>
  <c r="K88" i="19"/>
  <c r="K90" i="18"/>
  <c r="KP71" i="1"/>
  <c r="F53" i="18"/>
  <c r="F71" i="1"/>
  <c r="D71" i="1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O85" i="7"/>
  <c r="P85" i="7"/>
  <c r="R85" i="7"/>
  <c r="S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H85" i="7"/>
  <c r="AI85" i="7"/>
  <c r="AJ85" i="7"/>
  <c r="AK85" i="7"/>
  <c r="AL85" i="7"/>
  <c r="AM85" i="7"/>
  <c r="AN85" i="7"/>
  <c r="AO85" i="7"/>
  <c r="AP85" i="7"/>
  <c r="AQ85" i="7"/>
  <c r="AR85" i="7"/>
  <c r="AS85" i="7"/>
  <c r="AT85" i="7"/>
  <c r="AU85" i="7"/>
  <c r="AV85" i="7"/>
  <c r="AX85" i="7"/>
  <c r="AY85" i="7"/>
  <c r="AZ85" i="7"/>
  <c r="BA85" i="7"/>
  <c r="BB85" i="7"/>
  <c r="BC85" i="7"/>
  <c r="BD85" i="7"/>
  <c r="BE85" i="7"/>
  <c r="BF85" i="7"/>
  <c r="BG85" i="7"/>
  <c r="BH85" i="7"/>
  <c r="BI85" i="7"/>
  <c r="BJ85" i="7"/>
  <c r="BK85" i="7"/>
  <c r="BL85" i="7"/>
  <c r="BN85" i="7"/>
  <c r="BO85" i="7"/>
  <c r="BP85" i="7"/>
  <c r="BQ85" i="7"/>
  <c r="BR85" i="7"/>
  <c r="BS85" i="7"/>
  <c r="BT85" i="7"/>
  <c r="BU85" i="7"/>
  <c r="BV85" i="7"/>
  <c r="BW85" i="7"/>
  <c r="BX85" i="7"/>
  <c r="BY85" i="7"/>
  <c r="BZ85" i="7"/>
  <c r="CA85" i="7"/>
  <c r="CB85" i="7"/>
  <c r="CD85" i="7"/>
  <c r="CE85" i="7"/>
  <c r="CF85" i="7"/>
  <c r="CG85" i="7"/>
  <c r="CH85" i="7"/>
  <c r="CI85" i="7"/>
  <c r="CJ85" i="7"/>
  <c r="CK85" i="7"/>
  <c r="CL85" i="7"/>
  <c r="CM85" i="7"/>
  <c r="CN85" i="7"/>
  <c r="CO85" i="7"/>
  <c r="CP85" i="7"/>
  <c r="CQ85" i="7"/>
  <c r="CR85" i="7"/>
  <c r="CT85" i="7"/>
  <c r="CU85" i="7"/>
  <c r="CV85" i="7"/>
  <c r="CW85" i="7"/>
  <c r="CX85" i="7"/>
  <c r="CY85" i="7"/>
  <c r="CZ85" i="7"/>
  <c r="DA85" i="7"/>
  <c r="DB85" i="7"/>
  <c r="DC85" i="7"/>
  <c r="DD85" i="7"/>
  <c r="DE85" i="7"/>
  <c r="DF85" i="7"/>
  <c r="DG85" i="7"/>
  <c r="DH85" i="7"/>
  <c r="DJ85" i="7"/>
  <c r="DK85" i="7"/>
  <c r="DL85" i="7"/>
  <c r="DM85" i="7"/>
  <c r="DN85" i="7"/>
  <c r="DO85" i="7"/>
  <c r="DP85" i="7"/>
  <c r="DQ85" i="7"/>
  <c r="DR85" i="7"/>
  <c r="DS85" i="7"/>
  <c r="DT85" i="7"/>
  <c r="DU85" i="7"/>
  <c r="DV85" i="7"/>
  <c r="DW85" i="7"/>
  <c r="DX85" i="7"/>
  <c r="AR64" i="5" l="1"/>
  <c r="H48" i="13" s="1"/>
  <c r="NW324" i="1"/>
  <c r="A223" i="6"/>
  <c r="NW325" i="1" l="1"/>
  <c r="NW326" i="1" s="1"/>
  <c r="NW327" i="1" s="1"/>
  <c r="NW328" i="1" s="1"/>
  <c r="NW329" i="1" s="1"/>
  <c r="NW330" i="1" s="1"/>
  <c r="NW331" i="1" s="1"/>
  <c r="NW332" i="1" s="1"/>
  <c r="NW333" i="1" s="1"/>
  <c r="NW334" i="1" s="1"/>
  <c r="NW335" i="1" s="1"/>
  <c r="NW336" i="1" s="1"/>
  <c r="NW337" i="1" s="1"/>
  <c r="NW338" i="1" s="1"/>
  <c r="NW339" i="1" s="1"/>
  <c r="NW340" i="1" s="1"/>
  <c r="NW341" i="1" s="1"/>
  <c r="NW342" i="1" s="1"/>
  <c r="NW343" i="1" s="1"/>
  <c r="NW344" i="1" s="1"/>
  <c r="NW345" i="1" s="1"/>
  <c r="NW346" i="1" s="1"/>
  <c r="NW347" i="1" s="1"/>
  <c r="NW348" i="1" s="1"/>
  <c r="NW349" i="1" s="1"/>
  <c r="NW350" i="1" s="1"/>
  <c r="NW351" i="1" s="1"/>
  <c r="NW352" i="1" s="1"/>
  <c r="NW353" i="1" s="1"/>
  <c r="NW354" i="1" s="1"/>
  <c r="NW355" i="1" s="1"/>
  <c r="NW356" i="1" s="1"/>
  <c r="AR67" i="5"/>
  <c r="D48" i="14" s="1"/>
  <c r="E56" i="6"/>
  <c r="C56" i="6"/>
  <c r="E55" i="6"/>
  <c r="C55" i="6"/>
  <c r="E54" i="6"/>
  <c r="C54" i="6"/>
  <c r="E53" i="6"/>
  <c r="C53" i="6"/>
  <c r="E52" i="6"/>
  <c r="C52" i="6"/>
  <c r="E51" i="6"/>
  <c r="C51" i="6"/>
  <c r="E50" i="6"/>
  <c r="C50" i="6"/>
  <c r="E49" i="6"/>
  <c r="C49" i="6"/>
  <c r="E47" i="6"/>
  <c r="C47" i="6"/>
  <c r="E46" i="6"/>
  <c r="C46" i="6"/>
  <c r="E45" i="6"/>
  <c r="C45" i="6"/>
  <c r="E44" i="6"/>
  <c r="C44" i="6"/>
  <c r="E43" i="6"/>
  <c r="C43" i="6"/>
  <c r="E42" i="6"/>
  <c r="C42" i="6"/>
  <c r="E41" i="6"/>
  <c r="C41" i="6"/>
  <c r="E40" i="6"/>
  <c r="C40" i="6"/>
  <c r="E39" i="6"/>
  <c r="C39" i="6"/>
  <c r="E38" i="6"/>
  <c r="C38" i="6"/>
  <c r="E37" i="6"/>
  <c r="C37" i="6"/>
  <c r="E36" i="6"/>
  <c r="C36" i="6"/>
  <c r="E35" i="6"/>
  <c r="C35" i="6"/>
  <c r="E34" i="6"/>
  <c r="C34" i="6"/>
  <c r="E33" i="6"/>
  <c r="C33" i="6"/>
  <c r="E32" i="6"/>
  <c r="C32" i="6"/>
  <c r="E31" i="6"/>
  <c r="C31" i="6"/>
  <c r="E30" i="6"/>
  <c r="C30" i="6"/>
  <c r="E29" i="6"/>
  <c r="C29" i="6"/>
  <c r="E28" i="6"/>
  <c r="C28" i="6"/>
  <c r="E27" i="6"/>
  <c r="C27" i="6"/>
  <c r="E26" i="6"/>
  <c r="C26" i="6"/>
  <c r="E25" i="6"/>
  <c r="C25" i="6"/>
  <c r="E24" i="6"/>
  <c r="C24" i="6"/>
  <c r="E23" i="6"/>
  <c r="C23" i="6"/>
  <c r="E22" i="6"/>
  <c r="C22" i="6"/>
  <c r="E21" i="6"/>
  <c r="C21" i="6"/>
  <c r="E20" i="6"/>
  <c r="C20" i="6"/>
  <c r="E18" i="6"/>
  <c r="C18" i="6"/>
  <c r="E17" i="6"/>
  <c r="C17" i="6"/>
  <c r="E16" i="6"/>
  <c r="C16" i="6"/>
  <c r="E15" i="6"/>
  <c r="C15" i="6"/>
  <c r="E14" i="6"/>
  <c r="C14" i="6"/>
  <c r="E13" i="6"/>
  <c r="C13" i="6"/>
  <c r="E12" i="6"/>
  <c r="C12" i="6"/>
  <c r="E11" i="6"/>
  <c r="C11" i="6"/>
  <c r="E10" i="6"/>
  <c r="C10" i="6"/>
  <c r="E9" i="6"/>
  <c r="C9" i="6"/>
  <c r="E8" i="6"/>
  <c r="C8" i="6"/>
  <c r="E7" i="6"/>
  <c r="C7" i="6"/>
  <c r="E6" i="6"/>
  <c r="C6" i="6"/>
  <c r="AR71" i="5" l="1"/>
  <c r="H48" i="14" s="1"/>
  <c r="NW360" i="1"/>
  <c r="C88" i="6"/>
  <c r="EC19" i="7"/>
  <c r="EB19" i="7"/>
  <c r="E88" i="6"/>
  <c r="TI427" i="1"/>
  <c r="BH83" i="5" s="1"/>
  <c r="TG427" i="1"/>
  <c r="BH82" i="5" s="1"/>
  <c r="TI391" i="1"/>
  <c r="BH76" i="5" s="1"/>
  <c r="TG391" i="1"/>
  <c r="BH75" i="5" s="1"/>
  <c r="TI356" i="1"/>
  <c r="BH69" i="5" s="1"/>
  <c r="TG356" i="1"/>
  <c r="BH68" i="5" s="1"/>
  <c r="TI320" i="1"/>
  <c r="BH62" i="5" s="1"/>
  <c r="TG320" i="1"/>
  <c r="BH61" i="5" s="1"/>
  <c r="TI285" i="1"/>
  <c r="BH55" i="5" s="1"/>
  <c r="TG285" i="1"/>
  <c r="BH54" i="5" s="1"/>
  <c r="TI249" i="1"/>
  <c r="BH48" i="5" s="1"/>
  <c r="TG249" i="1"/>
  <c r="BH47" i="5" s="1"/>
  <c r="TG213" i="1"/>
  <c r="BH40" i="5" s="1"/>
  <c r="TI178" i="1"/>
  <c r="BH34" i="5" s="1"/>
  <c r="TG178" i="1"/>
  <c r="BH33" i="5" s="1"/>
  <c r="TG142" i="1"/>
  <c r="BH26" i="5" s="1"/>
  <c r="TI107" i="1"/>
  <c r="BH20" i="5" s="1"/>
  <c r="TG107" i="1"/>
  <c r="BH19" i="5" s="1"/>
  <c r="TG71" i="1"/>
  <c r="BH12" i="5" s="1"/>
  <c r="TI37" i="1"/>
  <c r="BH6" i="5" s="1"/>
  <c r="TG37" i="1"/>
  <c r="BH5" i="5" s="1"/>
  <c r="TK6" i="1"/>
  <c r="TK7" i="1" s="1"/>
  <c r="TK8" i="1" s="1"/>
  <c r="TK9" i="1" s="1"/>
  <c r="TK10" i="1" s="1"/>
  <c r="TK11" i="1" s="1"/>
  <c r="TK12" i="1" s="1"/>
  <c r="TK13" i="1" s="1"/>
  <c r="TK14" i="1" s="1"/>
  <c r="TK15" i="1" s="1"/>
  <c r="TK16" i="1" s="1"/>
  <c r="TK17" i="1" s="1"/>
  <c r="TK18" i="1" s="1"/>
  <c r="TK19" i="1" s="1"/>
  <c r="TK20" i="1" s="1"/>
  <c r="TK21" i="1" s="1"/>
  <c r="TK22" i="1" s="1"/>
  <c r="TK23" i="1" s="1"/>
  <c r="TK24" i="1" s="1"/>
  <c r="TK25" i="1" s="1"/>
  <c r="TK26" i="1" s="1"/>
  <c r="TK27" i="1" s="1"/>
  <c r="TK28" i="1" s="1"/>
  <c r="TK29" i="1" s="1"/>
  <c r="TK30" i="1" s="1"/>
  <c r="TK31" i="1" s="1"/>
  <c r="TK32" i="1" s="1"/>
  <c r="TK33" i="1" s="1"/>
  <c r="TK34" i="1" s="1"/>
  <c r="TK35" i="1" s="1"/>
  <c r="TK36" i="1" s="1"/>
  <c r="TK37" i="1" s="1"/>
  <c r="SZ427" i="1"/>
  <c r="BG83" i="5" s="1"/>
  <c r="SX427" i="1"/>
  <c r="BG82" i="5" s="1"/>
  <c r="SZ391" i="1"/>
  <c r="BG76" i="5" s="1"/>
  <c r="SX391" i="1"/>
  <c r="BG75" i="5" s="1"/>
  <c r="SZ356" i="1"/>
  <c r="BG69" i="5" s="1"/>
  <c r="SX356" i="1"/>
  <c r="BG68" i="5" s="1"/>
  <c r="SZ320" i="1"/>
  <c r="BG62" i="5" s="1"/>
  <c r="SX320" i="1"/>
  <c r="BG61" i="5" s="1"/>
  <c r="SZ285" i="1"/>
  <c r="BG55" i="5" s="1"/>
  <c r="SX285" i="1"/>
  <c r="BG54" i="5" s="1"/>
  <c r="SZ249" i="1"/>
  <c r="BG48" i="5" s="1"/>
  <c r="SX249" i="1"/>
  <c r="BG47" i="5" s="1"/>
  <c r="SX213" i="1"/>
  <c r="BG40" i="5" s="1"/>
  <c r="SZ178" i="1"/>
  <c r="BG34" i="5" s="1"/>
  <c r="SX178" i="1"/>
  <c r="BG33" i="5" s="1"/>
  <c r="SX142" i="1"/>
  <c r="BG26" i="5" s="1"/>
  <c r="SZ107" i="1"/>
  <c r="BG20" i="5" s="1"/>
  <c r="SX107" i="1"/>
  <c r="BG19" i="5" s="1"/>
  <c r="SX71" i="1"/>
  <c r="BG12" i="5" s="1"/>
  <c r="SZ37" i="1"/>
  <c r="BG6" i="5" s="1"/>
  <c r="SX37" i="1"/>
  <c r="BG5" i="5" s="1"/>
  <c r="TB6" i="1"/>
  <c r="TB7" i="1" s="1"/>
  <c r="TB8" i="1" s="1"/>
  <c r="TB9" i="1" s="1"/>
  <c r="TB10" i="1" s="1"/>
  <c r="TB11" i="1" s="1"/>
  <c r="TB12" i="1" s="1"/>
  <c r="TB13" i="1" s="1"/>
  <c r="TB14" i="1" s="1"/>
  <c r="TB15" i="1" s="1"/>
  <c r="TB16" i="1" s="1"/>
  <c r="TB17" i="1" s="1"/>
  <c r="TB18" i="1" s="1"/>
  <c r="TB19" i="1" s="1"/>
  <c r="TB20" i="1" s="1"/>
  <c r="TB21" i="1" s="1"/>
  <c r="TB22" i="1" s="1"/>
  <c r="TB23" i="1" s="1"/>
  <c r="TB24" i="1" s="1"/>
  <c r="TB25" i="1" s="1"/>
  <c r="TB26" i="1" s="1"/>
  <c r="TB27" i="1" s="1"/>
  <c r="TB28" i="1" s="1"/>
  <c r="TB29" i="1" s="1"/>
  <c r="TB30" i="1" s="1"/>
  <c r="TB31" i="1" s="1"/>
  <c r="TB32" i="1" s="1"/>
  <c r="TB33" i="1" s="1"/>
  <c r="TB34" i="1" s="1"/>
  <c r="TB35" i="1" s="1"/>
  <c r="TB36" i="1" s="1"/>
  <c r="TB37" i="1" s="1"/>
  <c r="SQ427" i="1"/>
  <c r="SO427" i="1"/>
  <c r="SQ391" i="1"/>
  <c r="SO391" i="1"/>
  <c r="SQ356" i="1"/>
  <c r="SO356" i="1"/>
  <c r="SQ320" i="1"/>
  <c r="SO320" i="1"/>
  <c r="SQ285" i="1"/>
  <c r="SO285" i="1"/>
  <c r="SQ249" i="1"/>
  <c r="BF48" i="5" s="1"/>
  <c r="SO249" i="1"/>
  <c r="BF47" i="5" s="1"/>
  <c r="SO213" i="1"/>
  <c r="BF40" i="5" s="1"/>
  <c r="SQ178" i="1"/>
  <c r="BF34" i="5" s="1"/>
  <c r="SO178" i="1"/>
  <c r="BF33" i="5" s="1"/>
  <c r="SO142" i="1"/>
  <c r="BF26" i="5" s="1"/>
  <c r="SQ107" i="1"/>
  <c r="BF20" i="5" s="1"/>
  <c r="SO107" i="1"/>
  <c r="BF19" i="5" s="1"/>
  <c r="SO71" i="1"/>
  <c r="BF12" i="5" s="1"/>
  <c r="SQ37" i="1"/>
  <c r="BF6" i="5" s="1"/>
  <c r="SO37" i="1"/>
  <c r="BF5" i="5" s="1"/>
  <c r="SS6" i="1"/>
  <c r="SS7" i="1" s="1"/>
  <c r="SS8" i="1" s="1"/>
  <c r="SS9" i="1" s="1"/>
  <c r="SS10" i="1" s="1"/>
  <c r="SS11" i="1" s="1"/>
  <c r="SS12" i="1" s="1"/>
  <c r="SS13" i="1" s="1"/>
  <c r="SS14" i="1" s="1"/>
  <c r="SS15" i="1" s="1"/>
  <c r="SS16" i="1" s="1"/>
  <c r="SS17" i="1" s="1"/>
  <c r="SS18" i="1" s="1"/>
  <c r="SS19" i="1" s="1"/>
  <c r="SS20" i="1" s="1"/>
  <c r="SS21" i="1" s="1"/>
  <c r="SS22" i="1" s="1"/>
  <c r="SS23" i="1" s="1"/>
  <c r="SS24" i="1" s="1"/>
  <c r="SS25" i="1" s="1"/>
  <c r="SS26" i="1" s="1"/>
  <c r="SS27" i="1" s="1"/>
  <c r="SS28" i="1" s="1"/>
  <c r="SS29" i="1" s="1"/>
  <c r="SS30" i="1" s="1"/>
  <c r="SS31" i="1" s="1"/>
  <c r="SS32" i="1" s="1"/>
  <c r="SS33" i="1" s="1"/>
  <c r="SS34" i="1" s="1"/>
  <c r="SS35" i="1" s="1"/>
  <c r="SS36" i="1" s="1"/>
  <c r="SS37" i="1" s="1"/>
  <c r="SH427" i="1"/>
  <c r="BE83" i="5" s="1"/>
  <c r="SF427" i="1"/>
  <c r="SH391" i="1"/>
  <c r="BE76" i="5" s="1"/>
  <c r="SF391" i="1"/>
  <c r="SH356" i="1"/>
  <c r="BE69" i="5" s="1"/>
  <c r="SF356" i="1"/>
  <c r="SH320" i="1"/>
  <c r="SF320" i="1"/>
  <c r="SH285" i="1"/>
  <c r="BE55" i="5" s="1"/>
  <c r="SF285" i="1"/>
  <c r="SH249" i="1"/>
  <c r="BE48" i="5" s="1"/>
  <c r="SF249" i="1"/>
  <c r="SF213" i="1"/>
  <c r="BE40" i="5" s="1"/>
  <c r="SH178" i="1"/>
  <c r="BE34" i="5" s="1"/>
  <c r="SF178" i="1"/>
  <c r="BE33" i="5" s="1"/>
  <c r="SF142" i="1"/>
  <c r="BE26" i="5" s="1"/>
  <c r="SH107" i="1"/>
  <c r="BE20" i="5" s="1"/>
  <c r="SF107" i="1"/>
  <c r="BE19" i="5" s="1"/>
  <c r="SF71" i="1"/>
  <c r="BE12" i="5" s="1"/>
  <c r="SH37" i="1"/>
  <c r="BE6" i="5" s="1"/>
  <c r="SF37" i="1"/>
  <c r="BE5" i="5" s="1"/>
  <c r="SJ6" i="1"/>
  <c r="SJ7" i="1" s="1"/>
  <c r="SJ8" i="1" s="1"/>
  <c r="SJ9" i="1" s="1"/>
  <c r="SJ10" i="1" s="1"/>
  <c r="SJ11" i="1" s="1"/>
  <c r="SJ12" i="1" s="1"/>
  <c r="SJ13" i="1" s="1"/>
  <c r="SJ14" i="1" s="1"/>
  <c r="SJ15" i="1" s="1"/>
  <c r="SJ16" i="1" s="1"/>
  <c r="SJ17" i="1" s="1"/>
  <c r="SJ18" i="1" s="1"/>
  <c r="SJ19" i="1" s="1"/>
  <c r="SJ20" i="1" s="1"/>
  <c r="SJ21" i="1" s="1"/>
  <c r="SJ22" i="1" s="1"/>
  <c r="SJ23" i="1" s="1"/>
  <c r="SJ24" i="1" s="1"/>
  <c r="SJ25" i="1" s="1"/>
  <c r="SJ26" i="1" s="1"/>
  <c r="SJ27" i="1" s="1"/>
  <c r="SJ28" i="1" s="1"/>
  <c r="SJ29" i="1" s="1"/>
  <c r="SJ30" i="1" s="1"/>
  <c r="SJ31" i="1" s="1"/>
  <c r="SJ32" i="1" s="1"/>
  <c r="SJ33" i="1" s="1"/>
  <c r="SJ34" i="1" s="1"/>
  <c r="SJ35" i="1" s="1"/>
  <c r="SJ36" i="1" s="1"/>
  <c r="SJ37" i="1" s="1"/>
  <c r="BE8" i="5" s="1"/>
  <c r="RY427" i="1"/>
  <c r="RY391" i="1"/>
  <c r="BD76" i="5" s="1"/>
  <c r="RW391" i="1"/>
  <c r="RY356" i="1"/>
  <c r="BD69" i="5" s="1"/>
  <c r="RW356" i="1"/>
  <c r="RY320" i="1"/>
  <c r="BD62" i="5" s="1"/>
  <c r="RW320" i="1"/>
  <c r="RY285" i="1"/>
  <c r="BD55" i="5" s="1"/>
  <c r="RW285" i="1"/>
  <c r="RY249" i="1"/>
  <c r="BD48" i="5" s="1"/>
  <c r="RW249" i="1"/>
  <c r="BD47" i="5" s="1"/>
  <c r="RW213" i="1"/>
  <c r="BD40" i="5" s="1"/>
  <c r="RY178" i="1"/>
  <c r="BD34" i="5" s="1"/>
  <c r="RW178" i="1"/>
  <c r="BD33" i="5" s="1"/>
  <c r="RW142" i="1"/>
  <c r="BD26" i="5" s="1"/>
  <c r="RY107" i="1"/>
  <c r="BD20" i="5" s="1"/>
  <c r="RW107" i="1"/>
  <c r="BD19" i="5" s="1"/>
  <c r="RW71" i="1"/>
  <c r="BD12" i="5" s="1"/>
  <c r="RY37" i="1"/>
  <c r="BD6" i="5" s="1"/>
  <c r="RW37" i="1"/>
  <c r="BD5" i="5" s="1"/>
  <c r="SA6" i="1"/>
  <c r="SA7" i="1" s="1"/>
  <c r="SA8" i="1" s="1"/>
  <c r="SA9" i="1" s="1"/>
  <c r="SA10" i="1" s="1"/>
  <c r="SA11" i="1" s="1"/>
  <c r="SA12" i="1" s="1"/>
  <c r="SA13" i="1" s="1"/>
  <c r="SA14" i="1" s="1"/>
  <c r="SA15" i="1" s="1"/>
  <c r="SA16" i="1" s="1"/>
  <c r="SA17" i="1" s="1"/>
  <c r="SA18" i="1" s="1"/>
  <c r="SA19" i="1" s="1"/>
  <c r="SA20" i="1" s="1"/>
  <c r="SA21" i="1" s="1"/>
  <c r="SA22" i="1" s="1"/>
  <c r="SA23" i="1" s="1"/>
  <c r="SA24" i="1" s="1"/>
  <c r="SA25" i="1" s="1"/>
  <c r="SA26" i="1" s="1"/>
  <c r="SA27" i="1" s="1"/>
  <c r="SA28" i="1" s="1"/>
  <c r="SA29" i="1" s="1"/>
  <c r="SA30" i="1" s="1"/>
  <c r="SA31" i="1" s="1"/>
  <c r="SA32" i="1" s="1"/>
  <c r="SA33" i="1" s="1"/>
  <c r="SA34" i="1" s="1"/>
  <c r="SA35" i="1" s="1"/>
  <c r="SA36" i="1" s="1"/>
  <c r="SA37" i="1" s="1"/>
  <c r="BD8" i="5" s="1"/>
  <c r="RP427" i="1"/>
  <c r="BC83" i="5" s="1"/>
  <c r="RN427" i="1"/>
  <c r="RP391" i="1"/>
  <c r="RN391" i="1"/>
  <c r="RP356" i="1"/>
  <c r="RN356" i="1"/>
  <c r="RP320" i="1"/>
  <c r="BC62" i="5" s="1"/>
  <c r="RN320" i="1"/>
  <c r="RP285" i="1"/>
  <c r="BC55" i="5" s="1"/>
  <c r="RN285" i="1"/>
  <c r="RP249" i="1"/>
  <c r="BC48" i="5" s="1"/>
  <c r="RN249" i="1"/>
  <c r="RN213" i="1"/>
  <c r="BC40" i="5" s="1"/>
  <c r="RP178" i="1"/>
  <c r="BC34" i="5" s="1"/>
  <c r="RN178" i="1"/>
  <c r="BC33" i="5" s="1"/>
  <c r="RN142" i="1"/>
  <c r="BC26" i="5" s="1"/>
  <c r="RP107" i="1"/>
  <c r="BC20" i="5" s="1"/>
  <c r="RN107" i="1"/>
  <c r="BC19" i="5" s="1"/>
  <c r="RN71" i="1"/>
  <c r="BC12" i="5" s="1"/>
  <c r="RP37" i="1"/>
  <c r="BC6" i="5" s="1"/>
  <c r="RN37" i="1"/>
  <c r="BC5" i="5" s="1"/>
  <c r="RR6" i="1"/>
  <c r="RR7" i="1" s="1"/>
  <c r="RR8" i="1" s="1"/>
  <c r="RR9" i="1" s="1"/>
  <c r="RR10" i="1" s="1"/>
  <c r="RR11" i="1" s="1"/>
  <c r="RR12" i="1" s="1"/>
  <c r="RR13" i="1" s="1"/>
  <c r="RR14" i="1" s="1"/>
  <c r="RR15" i="1" s="1"/>
  <c r="RR16" i="1" s="1"/>
  <c r="RR17" i="1" s="1"/>
  <c r="RR18" i="1" s="1"/>
  <c r="RR19" i="1" s="1"/>
  <c r="RR20" i="1" s="1"/>
  <c r="RR21" i="1" s="1"/>
  <c r="RR22" i="1" s="1"/>
  <c r="RR23" i="1" s="1"/>
  <c r="RR24" i="1" s="1"/>
  <c r="RR25" i="1" s="1"/>
  <c r="RR26" i="1" s="1"/>
  <c r="RR27" i="1" s="1"/>
  <c r="RR28" i="1" s="1"/>
  <c r="RR29" i="1" s="1"/>
  <c r="RR30" i="1" s="1"/>
  <c r="RR31" i="1" s="1"/>
  <c r="RR32" i="1" s="1"/>
  <c r="RR33" i="1" s="1"/>
  <c r="RR34" i="1" s="1"/>
  <c r="RR35" i="1" s="1"/>
  <c r="RR36" i="1" s="1"/>
  <c r="RR37" i="1" s="1"/>
  <c r="BC8" i="5" s="1"/>
  <c r="RG427" i="1"/>
  <c r="BB83" i="5" s="1"/>
  <c r="RE427" i="1"/>
  <c r="RG391" i="1"/>
  <c r="BB76" i="5" s="1"/>
  <c r="RE391" i="1"/>
  <c r="RG356" i="1"/>
  <c r="BB69" i="5" s="1"/>
  <c r="RE356" i="1"/>
  <c r="RG320" i="1"/>
  <c r="BB62" i="5" s="1"/>
  <c r="RE320" i="1"/>
  <c r="RG285" i="1"/>
  <c r="BB55" i="5" s="1"/>
  <c r="RE285" i="1"/>
  <c r="RG249" i="1"/>
  <c r="BB48" i="5" s="1"/>
  <c r="RE249" i="1"/>
  <c r="BB47" i="5" s="1"/>
  <c r="RE213" i="1"/>
  <c r="BB40" i="5" s="1"/>
  <c r="RG178" i="1"/>
  <c r="BB34" i="5" s="1"/>
  <c r="RE178" i="1"/>
  <c r="BB33" i="5" s="1"/>
  <c r="RE142" i="1"/>
  <c r="BB26" i="5" s="1"/>
  <c r="RG107" i="1"/>
  <c r="BB20" i="5" s="1"/>
  <c r="RE107" i="1"/>
  <c r="BB19" i="5" s="1"/>
  <c r="RE71" i="1"/>
  <c r="BB12" i="5" s="1"/>
  <c r="RG37" i="1"/>
  <c r="BB6" i="5" s="1"/>
  <c r="RE37" i="1"/>
  <c r="BB5" i="5" s="1"/>
  <c r="RI6" i="1"/>
  <c r="RI7" i="1" s="1"/>
  <c r="RI8" i="1" s="1"/>
  <c r="RI9" i="1" s="1"/>
  <c r="RI10" i="1" s="1"/>
  <c r="RI11" i="1" s="1"/>
  <c r="RI12" i="1" s="1"/>
  <c r="RI13" i="1" s="1"/>
  <c r="RI14" i="1" s="1"/>
  <c r="RI15" i="1" s="1"/>
  <c r="RI16" i="1" s="1"/>
  <c r="RI17" i="1" s="1"/>
  <c r="RI18" i="1" s="1"/>
  <c r="RI19" i="1" s="1"/>
  <c r="RI20" i="1" s="1"/>
  <c r="RI21" i="1" s="1"/>
  <c r="RI22" i="1" s="1"/>
  <c r="RI23" i="1" s="1"/>
  <c r="RI24" i="1" s="1"/>
  <c r="RI25" i="1" s="1"/>
  <c r="RI26" i="1" s="1"/>
  <c r="RI27" i="1" s="1"/>
  <c r="RI28" i="1" s="1"/>
  <c r="RI29" i="1" s="1"/>
  <c r="RI30" i="1" s="1"/>
  <c r="RI31" i="1" s="1"/>
  <c r="RI32" i="1" s="1"/>
  <c r="RI33" i="1" s="1"/>
  <c r="RI34" i="1" s="1"/>
  <c r="RI35" i="1" s="1"/>
  <c r="RI36" i="1" s="1"/>
  <c r="RI37" i="1" s="1"/>
  <c r="BB8" i="5" s="1"/>
  <c r="QX427" i="1"/>
  <c r="BA83" i="5" s="1"/>
  <c r="QV427" i="1"/>
  <c r="BA82" i="5" s="1"/>
  <c r="QX391" i="1"/>
  <c r="BA76" i="5" s="1"/>
  <c r="QV391" i="1"/>
  <c r="BA75" i="5" s="1"/>
  <c r="QX356" i="1"/>
  <c r="BA69" i="5" s="1"/>
  <c r="QV356" i="1"/>
  <c r="BA68" i="5" s="1"/>
  <c r="QX320" i="1"/>
  <c r="BA62" i="5" s="1"/>
  <c r="QV320" i="1"/>
  <c r="BA61" i="5" s="1"/>
  <c r="QX285" i="1"/>
  <c r="BA55" i="5" s="1"/>
  <c r="QV285" i="1"/>
  <c r="BA54" i="5" s="1"/>
  <c r="QX249" i="1"/>
  <c r="QV249" i="1"/>
  <c r="QV213" i="1"/>
  <c r="BA40" i="5" s="1"/>
  <c r="QX178" i="1"/>
  <c r="BA34" i="5" s="1"/>
  <c r="QV178" i="1"/>
  <c r="BA33" i="5" s="1"/>
  <c r="QV142" i="1"/>
  <c r="BA26" i="5" s="1"/>
  <c r="QX107" i="1"/>
  <c r="BA20" i="5" s="1"/>
  <c r="QV107" i="1"/>
  <c r="BA19" i="5" s="1"/>
  <c r="QV71" i="1"/>
  <c r="BA12" i="5" s="1"/>
  <c r="QX37" i="1"/>
  <c r="BA6" i="5" s="1"/>
  <c r="QV37" i="1"/>
  <c r="BA5" i="5" s="1"/>
  <c r="QZ6" i="1"/>
  <c r="QZ7" i="1" s="1"/>
  <c r="QZ8" i="1" s="1"/>
  <c r="QZ9" i="1" s="1"/>
  <c r="QZ10" i="1" s="1"/>
  <c r="QZ11" i="1" s="1"/>
  <c r="QZ12" i="1" s="1"/>
  <c r="QZ13" i="1" s="1"/>
  <c r="QZ14" i="1" s="1"/>
  <c r="QZ15" i="1" s="1"/>
  <c r="QZ16" i="1" s="1"/>
  <c r="QZ17" i="1" s="1"/>
  <c r="QZ18" i="1" s="1"/>
  <c r="QZ19" i="1" s="1"/>
  <c r="QZ20" i="1" s="1"/>
  <c r="QZ21" i="1" s="1"/>
  <c r="QZ22" i="1" s="1"/>
  <c r="QZ23" i="1" s="1"/>
  <c r="QZ24" i="1" s="1"/>
  <c r="QZ25" i="1" s="1"/>
  <c r="QZ26" i="1" s="1"/>
  <c r="QZ27" i="1" s="1"/>
  <c r="QZ28" i="1" s="1"/>
  <c r="QZ29" i="1" s="1"/>
  <c r="QZ30" i="1" s="1"/>
  <c r="QZ31" i="1" s="1"/>
  <c r="QZ32" i="1" s="1"/>
  <c r="QZ33" i="1" s="1"/>
  <c r="QZ34" i="1" s="1"/>
  <c r="QZ35" i="1" s="1"/>
  <c r="QZ36" i="1" s="1"/>
  <c r="QZ37" i="1" s="1"/>
  <c r="IK89" i="7" l="1"/>
  <c r="HU89" i="7"/>
  <c r="HE89" i="7"/>
  <c r="GO89" i="7"/>
  <c r="FY89" i="7"/>
  <c r="FI89" i="7"/>
  <c r="EC89" i="7"/>
  <c r="AR74" i="5"/>
  <c r="D48" i="15" s="1"/>
  <c r="NW361" i="1"/>
  <c r="NW362" i="1" s="1"/>
  <c r="NW363" i="1" s="1"/>
  <c r="NW364" i="1" s="1"/>
  <c r="NW365" i="1" s="1"/>
  <c r="NW366" i="1" s="1"/>
  <c r="NW367" i="1" s="1"/>
  <c r="NW368" i="1" s="1"/>
  <c r="NW369" i="1" s="1"/>
  <c r="NW370" i="1" s="1"/>
  <c r="NW371" i="1" s="1"/>
  <c r="NW372" i="1" s="1"/>
  <c r="NW373" i="1" s="1"/>
  <c r="NW374" i="1" s="1"/>
  <c r="NW375" i="1" s="1"/>
  <c r="NW376" i="1" s="1"/>
  <c r="NW377" i="1" s="1"/>
  <c r="NW378" i="1" s="1"/>
  <c r="NW379" i="1" s="1"/>
  <c r="NW380" i="1" s="1"/>
  <c r="NW381" i="1" s="1"/>
  <c r="NW382" i="1" s="1"/>
  <c r="NW383" i="1" s="1"/>
  <c r="NW384" i="1" s="1"/>
  <c r="NW385" i="1" s="1"/>
  <c r="NW386" i="1" s="1"/>
  <c r="NW387" i="1" s="1"/>
  <c r="NW388" i="1" s="1"/>
  <c r="NW389" i="1" s="1"/>
  <c r="NW390" i="1" s="1"/>
  <c r="NW391" i="1" s="1"/>
  <c r="BF54" i="5"/>
  <c r="BC75" i="5"/>
  <c r="F59" i="16"/>
  <c r="BD83" i="5"/>
  <c r="BE54" i="5"/>
  <c r="E61" i="12" s="1"/>
  <c r="BC47" i="5"/>
  <c r="F60" i="13"/>
  <c r="BE62" i="5"/>
  <c r="F61" i="13" s="1"/>
  <c r="F61" i="14"/>
  <c r="BF69" i="5"/>
  <c r="BE68" i="5"/>
  <c r="E61" i="14" s="1"/>
  <c r="BF75" i="5"/>
  <c r="BA48" i="5"/>
  <c r="E60" i="16"/>
  <c r="BE82" i="5"/>
  <c r="E61" i="16" s="1"/>
  <c r="BC68" i="5"/>
  <c r="E59" i="14" s="1"/>
  <c r="E60" i="15"/>
  <c r="BD75" i="5"/>
  <c r="E61" i="15" s="1"/>
  <c r="F58" i="14"/>
  <c r="BC69" i="5"/>
  <c r="E57" i="14"/>
  <c r="BB68" i="5"/>
  <c r="E58" i="14" s="1"/>
  <c r="F61" i="12"/>
  <c r="BF55" i="5"/>
  <c r="BE61" i="5"/>
  <c r="E61" i="13" s="1"/>
  <c r="BC54" i="5"/>
  <c r="E59" i="12" s="1"/>
  <c r="BD61" i="5"/>
  <c r="E60" i="13" s="1"/>
  <c r="F62" i="15"/>
  <c r="BF76" i="5"/>
  <c r="TB41" i="1"/>
  <c r="BG8" i="5"/>
  <c r="SS41" i="1"/>
  <c r="BF8" i="5"/>
  <c r="F59" i="15"/>
  <c r="BC76" i="5"/>
  <c r="E58" i="15"/>
  <c r="BB75" i="5"/>
  <c r="E59" i="15" s="1"/>
  <c r="BC82" i="5"/>
  <c r="E59" i="16" s="1"/>
  <c r="BD54" i="5"/>
  <c r="E60" i="12" s="1"/>
  <c r="BE75" i="5"/>
  <c r="E62" i="15" s="1"/>
  <c r="BF82" i="5"/>
  <c r="TK41" i="1"/>
  <c r="BH8" i="5"/>
  <c r="E57" i="13"/>
  <c r="BB61" i="5"/>
  <c r="E58" i="13" s="1"/>
  <c r="BE47" i="5"/>
  <c r="BF61" i="5"/>
  <c r="BF62" i="5"/>
  <c r="BF68" i="5"/>
  <c r="E57" i="16"/>
  <c r="BB82" i="5"/>
  <c r="E58" i="16" s="1"/>
  <c r="BA47" i="5"/>
  <c r="E57" i="12"/>
  <c r="BB54" i="5"/>
  <c r="E58" i="12" s="1"/>
  <c r="BC61" i="5"/>
  <c r="E59" i="13" s="1"/>
  <c r="BD68" i="5"/>
  <c r="E60" i="14" s="1"/>
  <c r="F61" i="16"/>
  <c r="BF83" i="5"/>
  <c r="QZ41" i="1"/>
  <c r="BA8" i="5"/>
  <c r="EB89" i="7"/>
  <c r="HD89" i="7"/>
  <c r="FX89" i="7"/>
  <c r="IJ89" i="7"/>
  <c r="FH89" i="7"/>
  <c r="HT89" i="7"/>
  <c r="GN89" i="7"/>
  <c r="SJ41" i="1"/>
  <c r="SA41" i="1"/>
  <c r="RR41" i="1"/>
  <c r="RI41" i="1"/>
  <c r="BB11" i="5" s="1"/>
  <c r="K90" i="17"/>
  <c r="NW395" i="1" l="1"/>
  <c r="AR78" i="5"/>
  <c r="H48" i="15" s="1"/>
  <c r="SA42" i="1"/>
  <c r="SA43" i="1" s="1"/>
  <c r="SA44" i="1" s="1"/>
  <c r="SA45" i="1" s="1"/>
  <c r="SA46" i="1" s="1"/>
  <c r="SA47" i="1" s="1"/>
  <c r="SA48" i="1" s="1"/>
  <c r="SA49" i="1" s="1"/>
  <c r="SA50" i="1" s="1"/>
  <c r="SA51" i="1" s="1"/>
  <c r="SA52" i="1" s="1"/>
  <c r="SA53" i="1" s="1"/>
  <c r="SA54" i="1" s="1"/>
  <c r="SA55" i="1" s="1"/>
  <c r="SA56" i="1" s="1"/>
  <c r="SA57" i="1" s="1"/>
  <c r="SA58" i="1" s="1"/>
  <c r="SA59" i="1" s="1"/>
  <c r="SA60" i="1" s="1"/>
  <c r="SA61" i="1" s="1"/>
  <c r="SA62" i="1" s="1"/>
  <c r="SA63" i="1" s="1"/>
  <c r="SA64" i="1" s="1"/>
  <c r="SA65" i="1" s="1"/>
  <c r="SA66" i="1" s="1"/>
  <c r="SA67" i="1" s="1"/>
  <c r="SA68" i="1" s="1"/>
  <c r="SA69" i="1" s="1"/>
  <c r="SA70" i="1" s="1"/>
  <c r="SA71" i="1" s="1"/>
  <c r="BD11" i="5"/>
  <c r="SJ42" i="1"/>
  <c r="SJ43" i="1" s="1"/>
  <c r="SJ44" i="1" s="1"/>
  <c r="SJ45" i="1" s="1"/>
  <c r="SJ46" i="1" s="1"/>
  <c r="SJ47" i="1" s="1"/>
  <c r="SJ48" i="1" s="1"/>
  <c r="SJ49" i="1" s="1"/>
  <c r="SJ50" i="1" s="1"/>
  <c r="SJ51" i="1" s="1"/>
  <c r="SJ52" i="1" s="1"/>
  <c r="SJ53" i="1" s="1"/>
  <c r="SJ54" i="1" s="1"/>
  <c r="SJ55" i="1" s="1"/>
  <c r="SJ56" i="1" s="1"/>
  <c r="SJ57" i="1" s="1"/>
  <c r="SJ58" i="1" s="1"/>
  <c r="SJ59" i="1" s="1"/>
  <c r="SJ60" i="1" s="1"/>
  <c r="SJ61" i="1" s="1"/>
  <c r="SJ62" i="1" s="1"/>
  <c r="SJ63" i="1" s="1"/>
  <c r="SJ64" i="1" s="1"/>
  <c r="SJ65" i="1" s="1"/>
  <c r="SJ66" i="1" s="1"/>
  <c r="SJ67" i="1" s="1"/>
  <c r="SJ68" i="1" s="1"/>
  <c r="SJ69" i="1" s="1"/>
  <c r="SJ70" i="1" s="1"/>
  <c r="SJ71" i="1" s="1"/>
  <c r="BE11" i="5"/>
  <c r="TK42" i="1"/>
  <c r="TK43" i="1" s="1"/>
  <c r="TK44" i="1" s="1"/>
  <c r="TK45" i="1" s="1"/>
  <c r="TK46" i="1" s="1"/>
  <c r="TK47" i="1" s="1"/>
  <c r="TK48" i="1" s="1"/>
  <c r="TK49" i="1" s="1"/>
  <c r="TK50" i="1" s="1"/>
  <c r="TK51" i="1" s="1"/>
  <c r="TK52" i="1" s="1"/>
  <c r="TK53" i="1" s="1"/>
  <c r="TK54" i="1" s="1"/>
  <c r="TK55" i="1" s="1"/>
  <c r="TK56" i="1" s="1"/>
  <c r="TK57" i="1" s="1"/>
  <c r="TK58" i="1" s="1"/>
  <c r="TK59" i="1" s="1"/>
  <c r="TK60" i="1" s="1"/>
  <c r="TK61" i="1" s="1"/>
  <c r="TK62" i="1" s="1"/>
  <c r="TK63" i="1" s="1"/>
  <c r="TK64" i="1" s="1"/>
  <c r="TK65" i="1" s="1"/>
  <c r="TK66" i="1" s="1"/>
  <c r="TK67" i="1" s="1"/>
  <c r="TK68" i="1" s="1"/>
  <c r="TK69" i="1" s="1"/>
  <c r="TK70" i="1" s="1"/>
  <c r="TK71" i="1" s="1"/>
  <c r="BH11" i="5"/>
  <c r="SS42" i="1"/>
  <c r="SS43" i="1" s="1"/>
  <c r="SS44" i="1" s="1"/>
  <c r="SS45" i="1" s="1"/>
  <c r="SS46" i="1" s="1"/>
  <c r="SS47" i="1" s="1"/>
  <c r="SS48" i="1" s="1"/>
  <c r="SS49" i="1" s="1"/>
  <c r="SS50" i="1" s="1"/>
  <c r="SS51" i="1" s="1"/>
  <c r="SS52" i="1" s="1"/>
  <c r="SS53" i="1" s="1"/>
  <c r="SS54" i="1" s="1"/>
  <c r="SS55" i="1" s="1"/>
  <c r="SS56" i="1" s="1"/>
  <c r="SS57" i="1" s="1"/>
  <c r="SS58" i="1" s="1"/>
  <c r="SS59" i="1" s="1"/>
  <c r="SS60" i="1" s="1"/>
  <c r="SS61" i="1" s="1"/>
  <c r="SS62" i="1" s="1"/>
  <c r="SS63" i="1" s="1"/>
  <c r="SS64" i="1" s="1"/>
  <c r="SS65" i="1" s="1"/>
  <c r="SS66" i="1" s="1"/>
  <c r="SS67" i="1" s="1"/>
  <c r="SS68" i="1" s="1"/>
  <c r="SS69" i="1" s="1"/>
  <c r="SS70" i="1" s="1"/>
  <c r="SS71" i="1" s="1"/>
  <c r="BF11" i="5"/>
  <c r="TB42" i="1"/>
  <c r="TB43" i="1" s="1"/>
  <c r="TB44" i="1" s="1"/>
  <c r="TB45" i="1" s="1"/>
  <c r="TB46" i="1" s="1"/>
  <c r="TB47" i="1" s="1"/>
  <c r="TB48" i="1" s="1"/>
  <c r="TB49" i="1" s="1"/>
  <c r="TB50" i="1" s="1"/>
  <c r="TB51" i="1" s="1"/>
  <c r="TB52" i="1" s="1"/>
  <c r="TB53" i="1" s="1"/>
  <c r="TB54" i="1" s="1"/>
  <c r="TB55" i="1" s="1"/>
  <c r="TB56" i="1" s="1"/>
  <c r="TB57" i="1" s="1"/>
  <c r="TB58" i="1" s="1"/>
  <c r="TB59" i="1" s="1"/>
  <c r="TB60" i="1" s="1"/>
  <c r="TB61" i="1" s="1"/>
  <c r="TB62" i="1" s="1"/>
  <c r="TB63" i="1" s="1"/>
  <c r="TB64" i="1" s="1"/>
  <c r="TB65" i="1" s="1"/>
  <c r="TB66" i="1" s="1"/>
  <c r="TB67" i="1" s="1"/>
  <c r="TB68" i="1" s="1"/>
  <c r="TB69" i="1" s="1"/>
  <c r="TB70" i="1" s="1"/>
  <c r="TB71" i="1" s="1"/>
  <c r="BG11" i="5"/>
  <c r="RR42" i="1"/>
  <c r="RR43" i="1" s="1"/>
  <c r="RR44" i="1" s="1"/>
  <c r="RR45" i="1" s="1"/>
  <c r="RR46" i="1" s="1"/>
  <c r="RR47" i="1" s="1"/>
  <c r="RR48" i="1" s="1"/>
  <c r="RR49" i="1" s="1"/>
  <c r="RR50" i="1" s="1"/>
  <c r="RR51" i="1" s="1"/>
  <c r="RR52" i="1" s="1"/>
  <c r="RR53" i="1" s="1"/>
  <c r="RR54" i="1" s="1"/>
  <c r="RR55" i="1" s="1"/>
  <c r="RR56" i="1" s="1"/>
  <c r="RR57" i="1" s="1"/>
  <c r="RR58" i="1" s="1"/>
  <c r="RR59" i="1" s="1"/>
  <c r="RR60" i="1" s="1"/>
  <c r="RR61" i="1" s="1"/>
  <c r="RR62" i="1" s="1"/>
  <c r="RR63" i="1" s="1"/>
  <c r="RR64" i="1" s="1"/>
  <c r="RR65" i="1" s="1"/>
  <c r="RR66" i="1" s="1"/>
  <c r="RR67" i="1" s="1"/>
  <c r="RR68" i="1" s="1"/>
  <c r="RR69" i="1" s="1"/>
  <c r="RR70" i="1" s="1"/>
  <c r="RR71" i="1" s="1"/>
  <c r="BC11" i="5"/>
  <c r="QZ42" i="1"/>
  <c r="QZ43" i="1" s="1"/>
  <c r="QZ44" i="1" s="1"/>
  <c r="QZ45" i="1" s="1"/>
  <c r="QZ46" i="1" s="1"/>
  <c r="QZ47" i="1" s="1"/>
  <c r="QZ48" i="1" s="1"/>
  <c r="QZ49" i="1" s="1"/>
  <c r="QZ50" i="1" s="1"/>
  <c r="QZ51" i="1" s="1"/>
  <c r="QZ52" i="1" s="1"/>
  <c r="QZ53" i="1" s="1"/>
  <c r="QZ54" i="1" s="1"/>
  <c r="QZ55" i="1" s="1"/>
  <c r="QZ56" i="1" s="1"/>
  <c r="QZ57" i="1" s="1"/>
  <c r="QZ58" i="1" s="1"/>
  <c r="QZ59" i="1" s="1"/>
  <c r="QZ60" i="1" s="1"/>
  <c r="QZ61" i="1" s="1"/>
  <c r="QZ62" i="1" s="1"/>
  <c r="QZ63" i="1" s="1"/>
  <c r="QZ64" i="1" s="1"/>
  <c r="QZ65" i="1" s="1"/>
  <c r="QZ66" i="1" s="1"/>
  <c r="QZ67" i="1" s="1"/>
  <c r="QZ68" i="1" s="1"/>
  <c r="QZ69" i="1" s="1"/>
  <c r="QZ70" i="1" s="1"/>
  <c r="QZ71" i="1" s="1"/>
  <c r="BA11" i="5"/>
  <c r="RI42" i="1"/>
  <c r="RI43" i="1" s="1"/>
  <c r="RI44" i="1" s="1"/>
  <c r="RI45" i="1" s="1"/>
  <c r="RI46" i="1" s="1"/>
  <c r="RI47" i="1" s="1"/>
  <c r="RI48" i="1" s="1"/>
  <c r="RI49" i="1" s="1"/>
  <c r="RI50" i="1" s="1"/>
  <c r="RI51" i="1" s="1"/>
  <c r="RI52" i="1" s="1"/>
  <c r="RI53" i="1" s="1"/>
  <c r="RI54" i="1" s="1"/>
  <c r="RI55" i="1" s="1"/>
  <c r="RI56" i="1" s="1"/>
  <c r="RI57" i="1" s="1"/>
  <c r="RI58" i="1" s="1"/>
  <c r="RI59" i="1" s="1"/>
  <c r="RI60" i="1" s="1"/>
  <c r="RI61" i="1" s="1"/>
  <c r="RI62" i="1" s="1"/>
  <c r="RI63" i="1" s="1"/>
  <c r="RI64" i="1" s="1"/>
  <c r="RI65" i="1" s="1"/>
  <c r="RI66" i="1" s="1"/>
  <c r="RI67" i="1" s="1"/>
  <c r="RI68" i="1" s="1"/>
  <c r="RI69" i="1" s="1"/>
  <c r="RI70" i="1" s="1"/>
  <c r="RI71" i="1" s="1"/>
  <c r="BB15" i="5" s="1"/>
  <c r="AP4" i="5"/>
  <c r="AO4" i="5"/>
  <c r="AN4" i="5"/>
  <c r="AM4" i="5"/>
  <c r="AL4" i="5"/>
  <c r="AR81" i="5" l="1"/>
  <c r="D48" i="16" s="1"/>
  <c r="NW396" i="1"/>
  <c r="NW397" i="1" s="1"/>
  <c r="NW398" i="1" s="1"/>
  <c r="NW399" i="1" s="1"/>
  <c r="NW400" i="1" s="1"/>
  <c r="NW401" i="1" s="1"/>
  <c r="NW402" i="1" s="1"/>
  <c r="NW403" i="1" s="1"/>
  <c r="NW404" i="1" s="1"/>
  <c r="NW405" i="1" s="1"/>
  <c r="NW406" i="1" s="1"/>
  <c r="NW407" i="1" s="1"/>
  <c r="NW408" i="1" s="1"/>
  <c r="NW409" i="1" s="1"/>
  <c r="NW410" i="1" s="1"/>
  <c r="NW411" i="1" s="1"/>
  <c r="NW412" i="1" s="1"/>
  <c r="NW413" i="1" s="1"/>
  <c r="NW414" i="1" s="1"/>
  <c r="NW415" i="1" s="1"/>
  <c r="NW416" i="1" s="1"/>
  <c r="NW417" i="1" s="1"/>
  <c r="NW418" i="1" s="1"/>
  <c r="NW419" i="1" s="1"/>
  <c r="NW420" i="1" s="1"/>
  <c r="NW421" i="1" s="1"/>
  <c r="NW422" i="1" s="1"/>
  <c r="NW423" i="1" s="1"/>
  <c r="NW424" i="1" s="1"/>
  <c r="NW425" i="1" s="1"/>
  <c r="NW426" i="1" s="1"/>
  <c r="NW427" i="1" s="1"/>
  <c r="AR85" i="5" s="1"/>
  <c r="H48" i="16" s="1"/>
  <c r="TK75" i="1"/>
  <c r="BH15" i="5"/>
  <c r="TB75" i="1"/>
  <c r="BG15" i="5"/>
  <c r="SJ75" i="1"/>
  <c r="BE15" i="5"/>
  <c r="SS75" i="1"/>
  <c r="BF15" i="5"/>
  <c r="SA75" i="1"/>
  <c r="BD15" i="5"/>
  <c r="RR75" i="1"/>
  <c r="BC15" i="5"/>
  <c r="QZ75" i="1"/>
  <c r="BA15" i="5"/>
  <c r="RI75" i="1"/>
  <c r="BB18" i="5" s="1"/>
  <c r="D44" i="17"/>
  <c r="D45" i="17"/>
  <c r="D46" i="17"/>
  <c r="D42" i="17"/>
  <c r="D43" i="17"/>
  <c r="MB427" i="1"/>
  <c r="LZ427" i="1"/>
  <c r="AM82" i="5" s="1"/>
  <c r="E43" i="16" s="1"/>
  <c r="MB391" i="1"/>
  <c r="LZ391" i="1"/>
  <c r="AM75" i="5" s="1"/>
  <c r="E43" i="15" s="1"/>
  <c r="MB356" i="1"/>
  <c r="LZ356" i="1"/>
  <c r="MB320" i="1"/>
  <c r="LZ320" i="1"/>
  <c r="AM61" i="5" s="1"/>
  <c r="E43" i="13" s="1"/>
  <c r="MB285" i="1"/>
  <c r="LZ285" i="1"/>
  <c r="AM54" i="5" s="1"/>
  <c r="E43" i="12" s="1"/>
  <c r="MB249" i="1"/>
  <c r="LZ249" i="1"/>
  <c r="AM47" i="5" s="1"/>
  <c r="E43" i="11" s="1"/>
  <c r="MB213" i="1"/>
  <c r="LZ213" i="1"/>
  <c r="AM40" i="5" s="1"/>
  <c r="E43" i="8" s="1"/>
  <c r="MB178" i="1"/>
  <c r="LZ178" i="1"/>
  <c r="AM33" i="5" s="1"/>
  <c r="E43" i="21" s="1"/>
  <c r="MB142" i="1"/>
  <c r="LZ142" i="1"/>
  <c r="AM26" i="5" s="1"/>
  <c r="E43" i="20" s="1"/>
  <c r="MB107" i="1"/>
  <c r="LZ107" i="1"/>
  <c r="AM19" i="5" s="1"/>
  <c r="E43" i="19" s="1"/>
  <c r="MB71" i="1"/>
  <c r="LZ71" i="1"/>
  <c r="AM12" i="5" s="1"/>
  <c r="E43" i="18" s="1"/>
  <c r="MB37" i="1"/>
  <c r="LZ37" i="1"/>
  <c r="AM5" i="5" s="1"/>
  <c r="MD6" i="1"/>
  <c r="MD7" i="1" s="1"/>
  <c r="MD8" i="1" s="1"/>
  <c r="MD9" i="1" s="1"/>
  <c r="MD10" i="1" s="1"/>
  <c r="MD11" i="1" s="1"/>
  <c r="MD12" i="1" s="1"/>
  <c r="MD13" i="1" s="1"/>
  <c r="MD14" i="1" s="1"/>
  <c r="MD15" i="1" s="1"/>
  <c r="MD16" i="1" s="1"/>
  <c r="MD17" i="1" s="1"/>
  <c r="MD18" i="1" s="1"/>
  <c r="MD19" i="1" s="1"/>
  <c r="MD20" i="1" s="1"/>
  <c r="MD21" i="1" s="1"/>
  <c r="MD22" i="1" s="1"/>
  <c r="MD23" i="1" s="1"/>
  <c r="MD24" i="1" s="1"/>
  <c r="MD25" i="1" s="1"/>
  <c r="MD26" i="1" s="1"/>
  <c r="MD27" i="1" s="1"/>
  <c r="MD28" i="1" s="1"/>
  <c r="MD29" i="1" s="1"/>
  <c r="MD30" i="1" s="1"/>
  <c r="MD31" i="1" s="1"/>
  <c r="MD32" i="1" s="1"/>
  <c r="MD33" i="1" s="1"/>
  <c r="MD34" i="1" s="1"/>
  <c r="MD35" i="1" s="1"/>
  <c r="MD36" i="1" s="1"/>
  <c r="MD37" i="1" s="1"/>
  <c r="NC427" i="1"/>
  <c r="AP82" i="5"/>
  <c r="E46" i="16" s="1"/>
  <c r="NC391" i="1"/>
  <c r="AP75" i="5"/>
  <c r="E46" i="15" s="1"/>
  <c r="NC356" i="1"/>
  <c r="E46" i="14"/>
  <c r="NC320" i="1"/>
  <c r="AP61" i="5"/>
  <c r="E46" i="13" s="1"/>
  <c r="NC285" i="1"/>
  <c r="AP54" i="5"/>
  <c r="E46" i="12" s="1"/>
  <c r="NC249" i="1"/>
  <c r="AP47" i="5"/>
  <c r="E46" i="11" s="1"/>
  <c r="NC213" i="1"/>
  <c r="AP40" i="5"/>
  <c r="E46" i="8" s="1"/>
  <c r="NC178" i="1"/>
  <c r="AP33" i="5"/>
  <c r="E46" i="21" s="1"/>
  <c r="NC142" i="1"/>
  <c r="AP26" i="5"/>
  <c r="E46" i="20" s="1"/>
  <c r="NC107" i="1"/>
  <c r="AP19" i="5"/>
  <c r="E46" i="19" s="1"/>
  <c r="NC71" i="1"/>
  <c r="AP12" i="5"/>
  <c r="E46" i="18" s="1"/>
  <c r="NC37" i="1"/>
  <c r="AP5" i="5"/>
  <c r="NE6" i="1"/>
  <c r="NE7" i="1" s="1"/>
  <c r="NE8" i="1" s="1"/>
  <c r="NE9" i="1" s="1"/>
  <c r="NE10" i="1" s="1"/>
  <c r="NE11" i="1" s="1"/>
  <c r="NE12" i="1" s="1"/>
  <c r="NE13" i="1" s="1"/>
  <c r="NE14" i="1" s="1"/>
  <c r="NE15" i="1" s="1"/>
  <c r="NE16" i="1" s="1"/>
  <c r="NE17" i="1" s="1"/>
  <c r="NE18" i="1" s="1"/>
  <c r="NE19" i="1" s="1"/>
  <c r="NE20" i="1" s="1"/>
  <c r="NE21" i="1" s="1"/>
  <c r="NE22" i="1" s="1"/>
  <c r="NE23" i="1" s="1"/>
  <c r="NE24" i="1" s="1"/>
  <c r="NE25" i="1" s="1"/>
  <c r="NE26" i="1" s="1"/>
  <c r="NE27" i="1" s="1"/>
  <c r="NE28" i="1" s="1"/>
  <c r="NE29" i="1" s="1"/>
  <c r="NE30" i="1" s="1"/>
  <c r="NE31" i="1" s="1"/>
  <c r="NE32" i="1" s="1"/>
  <c r="NE33" i="1" s="1"/>
  <c r="NE34" i="1" s="1"/>
  <c r="NE35" i="1" s="1"/>
  <c r="NE36" i="1" s="1"/>
  <c r="NE37" i="1" s="1"/>
  <c r="MT427" i="1"/>
  <c r="AO82" i="5"/>
  <c r="E45" i="16" s="1"/>
  <c r="MT391" i="1"/>
  <c r="AO75" i="5"/>
  <c r="E45" i="15" s="1"/>
  <c r="MT356" i="1"/>
  <c r="E45" i="14"/>
  <c r="MT320" i="1"/>
  <c r="AO61" i="5"/>
  <c r="E45" i="13" s="1"/>
  <c r="MT285" i="1"/>
  <c r="AO54" i="5"/>
  <c r="E45" i="12" s="1"/>
  <c r="MT249" i="1"/>
  <c r="AO47" i="5"/>
  <c r="E45" i="11" s="1"/>
  <c r="MT213" i="1"/>
  <c r="AO40" i="5"/>
  <c r="E45" i="8" s="1"/>
  <c r="MT178" i="1"/>
  <c r="AO33" i="5"/>
  <c r="E45" i="21" s="1"/>
  <c r="MT142" i="1"/>
  <c r="AO26" i="5"/>
  <c r="E45" i="20" s="1"/>
  <c r="MT107" i="1"/>
  <c r="AO19" i="5"/>
  <c r="E45" i="19" s="1"/>
  <c r="MT71" i="1"/>
  <c r="AO12" i="5"/>
  <c r="E45" i="18" s="1"/>
  <c r="MT37" i="1"/>
  <c r="AO5" i="5"/>
  <c r="MV6" i="1"/>
  <c r="MV7" i="1" s="1"/>
  <c r="MV8" i="1" s="1"/>
  <c r="MV9" i="1" s="1"/>
  <c r="MV10" i="1" s="1"/>
  <c r="MV11" i="1" s="1"/>
  <c r="MV12" i="1" s="1"/>
  <c r="MV13" i="1" s="1"/>
  <c r="MV14" i="1" s="1"/>
  <c r="MV15" i="1" s="1"/>
  <c r="MV16" i="1" s="1"/>
  <c r="MV17" i="1" s="1"/>
  <c r="MV18" i="1" s="1"/>
  <c r="MV19" i="1" s="1"/>
  <c r="MV20" i="1" s="1"/>
  <c r="MV21" i="1" s="1"/>
  <c r="MV22" i="1" s="1"/>
  <c r="MV23" i="1" s="1"/>
  <c r="MV24" i="1" s="1"/>
  <c r="MV25" i="1" s="1"/>
  <c r="MV26" i="1" s="1"/>
  <c r="MV27" i="1" s="1"/>
  <c r="MV28" i="1" s="1"/>
  <c r="MV29" i="1" s="1"/>
  <c r="MV30" i="1" s="1"/>
  <c r="MV31" i="1" s="1"/>
  <c r="MV32" i="1" s="1"/>
  <c r="MV33" i="1" s="1"/>
  <c r="MV34" i="1" s="1"/>
  <c r="MV35" i="1" s="1"/>
  <c r="MV36" i="1" s="1"/>
  <c r="MV37" i="1" s="1"/>
  <c r="MK427" i="1"/>
  <c r="MI427" i="1"/>
  <c r="AN82" i="5" s="1"/>
  <c r="E44" i="16" s="1"/>
  <c r="MK391" i="1"/>
  <c r="MI391" i="1"/>
  <c r="AN75" i="5" s="1"/>
  <c r="E44" i="15" s="1"/>
  <c r="MK356" i="1"/>
  <c r="MI356" i="1"/>
  <c r="MK320" i="1"/>
  <c r="MI320" i="1"/>
  <c r="AN61" i="5" s="1"/>
  <c r="E44" i="13" s="1"/>
  <c r="MK285" i="1"/>
  <c r="MI285" i="1"/>
  <c r="AN54" i="5" s="1"/>
  <c r="E44" i="12" s="1"/>
  <c r="MK249" i="1"/>
  <c r="MI249" i="1"/>
  <c r="AN47" i="5" s="1"/>
  <c r="E44" i="11" s="1"/>
  <c r="MK213" i="1"/>
  <c r="MI213" i="1"/>
  <c r="AN40" i="5" s="1"/>
  <c r="E44" i="8" s="1"/>
  <c r="MK178" i="1"/>
  <c r="MI178" i="1"/>
  <c r="AN33" i="5" s="1"/>
  <c r="E44" i="21" s="1"/>
  <c r="MK142" i="1"/>
  <c r="MI142" i="1"/>
  <c r="AN26" i="5" s="1"/>
  <c r="E44" i="20" s="1"/>
  <c r="MK107" i="1"/>
  <c r="MI107" i="1"/>
  <c r="AN19" i="5" s="1"/>
  <c r="E44" i="19" s="1"/>
  <c r="MK37" i="1"/>
  <c r="MI37" i="1"/>
  <c r="AN5" i="5" s="1"/>
  <c r="MM6" i="1"/>
  <c r="MM7" i="1" s="1"/>
  <c r="MM8" i="1" s="1"/>
  <c r="MM9" i="1" s="1"/>
  <c r="MM10" i="1" s="1"/>
  <c r="MM11" i="1" s="1"/>
  <c r="MM12" i="1" s="1"/>
  <c r="MM13" i="1" s="1"/>
  <c r="MM14" i="1" s="1"/>
  <c r="MM15" i="1" s="1"/>
  <c r="MM16" i="1" s="1"/>
  <c r="MM17" i="1" s="1"/>
  <c r="MM18" i="1" s="1"/>
  <c r="MM19" i="1" s="1"/>
  <c r="MM20" i="1" s="1"/>
  <c r="MM21" i="1" s="1"/>
  <c r="MM22" i="1" s="1"/>
  <c r="MM23" i="1" s="1"/>
  <c r="MM24" i="1" s="1"/>
  <c r="MM25" i="1" s="1"/>
  <c r="MM26" i="1" s="1"/>
  <c r="MM27" i="1" s="1"/>
  <c r="MM28" i="1" s="1"/>
  <c r="MM29" i="1" s="1"/>
  <c r="MM30" i="1" s="1"/>
  <c r="MM31" i="1" s="1"/>
  <c r="MM32" i="1" s="1"/>
  <c r="MM33" i="1" s="1"/>
  <c r="MM34" i="1" s="1"/>
  <c r="MM35" i="1" s="1"/>
  <c r="MM36" i="1" s="1"/>
  <c r="MM37" i="1" s="1"/>
  <c r="LQ427" i="1"/>
  <c r="AL82" i="5" s="1"/>
  <c r="E42" i="16" s="1"/>
  <c r="LQ391" i="1"/>
  <c r="AL75" i="5" s="1"/>
  <c r="E42" i="15" s="1"/>
  <c r="LQ356" i="1"/>
  <c r="LQ320" i="1"/>
  <c r="AL61" i="5" s="1"/>
  <c r="E42" i="13" s="1"/>
  <c r="LQ285" i="1"/>
  <c r="AL54" i="5" s="1"/>
  <c r="E42" i="12" s="1"/>
  <c r="LQ249" i="1"/>
  <c r="AL47" i="5" s="1"/>
  <c r="E42" i="11" s="1"/>
  <c r="LQ213" i="1"/>
  <c r="AL40" i="5" s="1"/>
  <c r="E42" i="8" s="1"/>
  <c r="LQ178" i="1"/>
  <c r="AL33" i="5" s="1"/>
  <c r="E42" i="21" s="1"/>
  <c r="LQ142" i="1"/>
  <c r="AL26" i="5" s="1"/>
  <c r="E42" i="20" s="1"/>
  <c r="LQ107" i="1"/>
  <c r="AL19" i="5" s="1"/>
  <c r="E42" i="19" s="1"/>
  <c r="LQ71" i="1"/>
  <c r="AL12" i="5" s="1"/>
  <c r="E42" i="18" s="1"/>
  <c r="LQ37" i="1"/>
  <c r="AL5" i="5" s="1"/>
  <c r="LU6" i="1"/>
  <c r="LU7" i="1" s="1"/>
  <c r="LU8" i="1" s="1"/>
  <c r="LU9" i="1" s="1"/>
  <c r="LU10" i="1" s="1"/>
  <c r="LU11" i="1" s="1"/>
  <c r="LU12" i="1" s="1"/>
  <c r="LU13" i="1" s="1"/>
  <c r="LU14" i="1" s="1"/>
  <c r="LU15" i="1" s="1"/>
  <c r="LU16" i="1" s="1"/>
  <c r="LU17" i="1" s="1"/>
  <c r="LU18" i="1" s="1"/>
  <c r="LU19" i="1" s="1"/>
  <c r="LU20" i="1" s="1"/>
  <c r="LU21" i="1" s="1"/>
  <c r="LU22" i="1" s="1"/>
  <c r="LU23" i="1" s="1"/>
  <c r="LU24" i="1" s="1"/>
  <c r="LU25" i="1" s="1"/>
  <c r="LU26" i="1" s="1"/>
  <c r="LU27" i="1" s="1"/>
  <c r="LU28" i="1" s="1"/>
  <c r="LU29" i="1" s="1"/>
  <c r="LU30" i="1" s="1"/>
  <c r="LU31" i="1" s="1"/>
  <c r="LU32" i="1" s="1"/>
  <c r="LU33" i="1" s="1"/>
  <c r="LU34" i="1" s="1"/>
  <c r="LU35" i="1" s="1"/>
  <c r="LU36" i="1" s="1"/>
  <c r="LU37" i="1" s="1"/>
  <c r="OF6" i="1"/>
  <c r="OF7" i="1" s="1"/>
  <c r="OF8" i="1" s="1"/>
  <c r="OF9" i="1" s="1"/>
  <c r="OF10" i="1" s="1"/>
  <c r="OF11" i="1" s="1"/>
  <c r="OF12" i="1" s="1"/>
  <c r="OF13" i="1" s="1"/>
  <c r="OF14" i="1" s="1"/>
  <c r="OF15" i="1" s="1"/>
  <c r="OF16" i="1" s="1"/>
  <c r="OF17" i="1" s="1"/>
  <c r="OF18" i="1" s="1"/>
  <c r="OF19" i="1" s="1"/>
  <c r="OF20" i="1" s="1"/>
  <c r="OF21" i="1" s="1"/>
  <c r="OF22" i="1" s="1"/>
  <c r="OF23" i="1" s="1"/>
  <c r="OF24" i="1" s="1"/>
  <c r="OF25" i="1" s="1"/>
  <c r="OF26" i="1" s="1"/>
  <c r="OF27" i="1" s="1"/>
  <c r="OF28" i="1" s="1"/>
  <c r="OF29" i="1" s="1"/>
  <c r="OF30" i="1" s="1"/>
  <c r="OF31" i="1" s="1"/>
  <c r="OF32" i="1" s="1"/>
  <c r="OF33" i="1" s="1"/>
  <c r="OF34" i="1" s="1"/>
  <c r="OF35" i="1" s="1"/>
  <c r="OF36" i="1" s="1"/>
  <c r="OF37" i="1" s="1"/>
  <c r="AS5" i="5"/>
  <c r="OD37" i="1"/>
  <c r="AS6" i="5" s="1"/>
  <c r="OD71" i="1"/>
  <c r="AS13" i="5" s="1"/>
  <c r="F51" i="18" s="1"/>
  <c r="OD107" i="1"/>
  <c r="AS20" i="5" s="1"/>
  <c r="OD142" i="1"/>
  <c r="AS27" i="5" s="1"/>
  <c r="OD178" i="1"/>
  <c r="AS34" i="5" s="1"/>
  <c r="OD213" i="1"/>
  <c r="AS41" i="5" s="1"/>
  <c r="F49" i="8" s="1"/>
  <c r="OD249" i="1"/>
  <c r="OD285" i="1"/>
  <c r="OD320" i="1"/>
  <c r="AS68" i="5"/>
  <c r="OD356" i="1"/>
  <c r="AS69" i="5" s="1"/>
  <c r="F49" i="14" s="1"/>
  <c r="OD391" i="1"/>
  <c r="AS76" i="5" s="1"/>
  <c r="OD427" i="1"/>
  <c r="AS83" i="5" s="1"/>
  <c r="OO6" i="1"/>
  <c r="OO7" i="1" s="1"/>
  <c r="OO8" i="1" s="1"/>
  <c r="OO9" i="1" s="1"/>
  <c r="OO10" i="1" s="1"/>
  <c r="OO11" i="1" s="1"/>
  <c r="OO12" i="1" s="1"/>
  <c r="OO13" i="1" s="1"/>
  <c r="OO14" i="1" s="1"/>
  <c r="OO15" i="1" s="1"/>
  <c r="OO16" i="1" s="1"/>
  <c r="OO17" i="1" s="1"/>
  <c r="OO18" i="1" s="1"/>
  <c r="OO19" i="1" s="1"/>
  <c r="OO20" i="1" s="1"/>
  <c r="OO21" i="1" s="1"/>
  <c r="OO22" i="1" s="1"/>
  <c r="OO23" i="1" s="1"/>
  <c r="OO24" i="1" s="1"/>
  <c r="OO25" i="1" s="1"/>
  <c r="OO26" i="1" s="1"/>
  <c r="OO27" i="1" s="1"/>
  <c r="OO28" i="1" s="1"/>
  <c r="OO29" i="1" s="1"/>
  <c r="OO30" i="1" s="1"/>
  <c r="OO31" i="1" s="1"/>
  <c r="OO32" i="1" s="1"/>
  <c r="OO33" i="1" s="1"/>
  <c r="OO34" i="1" s="1"/>
  <c r="OO35" i="1" s="1"/>
  <c r="OO36" i="1" s="1"/>
  <c r="OO37" i="1" s="1"/>
  <c r="OO42" i="1" s="1"/>
  <c r="OO43" i="1" s="1"/>
  <c r="OO44" i="1" s="1"/>
  <c r="OO45" i="1" s="1"/>
  <c r="OO46" i="1" s="1"/>
  <c r="OO47" i="1" s="1"/>
  <c r="OO48" i="1" s="1"/>
  <c r="OO49" i="1" s="1"/>
  <c r="OO50" i="1" s="1"/>
  <c r="OO51" i="1" s="1"/>
  <c r="OO52" i="1" s="1"/>
  <c r="OO53" i="1" s="1"/>
  <c r="OO54" i="1" s="1"/>
  <c r="OO55" i="1" s="1"/>
  <c r="OO56" i="1" s="1"/>
  <c r="OO57" i="1" s="1"/>
  <c r="OO58" i="1" s="1"/>
  <c r="OO59" i="1" s="1"/>
  <c r="OO60" i="1" s="1"/>
  <c r="OO61" i="1" s="1"/>
  <c r="OO62" i="1" s="1"/>
  <c r="OO63" i="1" s="1"/>
  <c r="OO64" i="1" s="1"/>
  <c r="OO65" i="1" s="1"/>
  <c r="OO66" i="1" s="1"/>
  <c r="OO67" i="1" s="1"/>
  <c r="OO68" i="1" s="1"/>
  <c r="OO69" i="1" s="1"/>
  <c r="OO70" i="1" s="1"/>
  <c r="OO71" i="1" s="1"/>
  <c r="OO76" i="1" s="1"/>
  <c r="OO77" i="1" s="1"/>
  <c r="OO78" i="1" s="1"/>
  <c r="OO79" i="1" s="1"/>
  <c r="OO80" i="1" s="1"/>
  <c r="OO81" i="1" s="1"/>
  <c r="OO82" i="1" s="1"/>
  <c r="OO83" i="1" s="1"/>
  <c r="OO84" i="1" s="1"/>
  <c r="OO85" i="1" s="1"/>
  <c r="OO86" i="1" s="1"/>
  <c r="OO87" i="1" s="1"/>
  <c r="OO88" i="1" s="1"/>
  <c r="OO89" i="1" s="1"/>
  <c r="OO90" i="1" s="1"/>
  <c r="OO91" i="1" s="1"/>
  <c r="OO92" i="1" s="1"/>
  <c r="OO93" i="1" s="1"/>
  <c r="OO94" i="1" s="1"/>
  <c r="OO95" i="1" s="1"/>
  <c r="OO96" i="1" s="1"/>
  <c r="OO97" i="1" s="1"/>
  <c r="OO98" i="1" s="1"/>
  <c r="OO99" i="1" s="1"/>
  <c r="OO100" i="1" s="1"/>
  <c r="OO101" i="1" s="1"/>
  <c r="OO102" i="1" s="1"/>
  <c r="OO103" i="1" s="1"/>
  <c r="OO104" i="1" s="1"/>
  <c r="OO105" i="1" s="1"/>
  <c r="OO106" i="1" s="1"/>
  <c r="OO107" i="1" s="1"/>
  <c r="OO112" i="1" s="1"/>
  <c r="OO113" i="1" s="1"/>
  <c r="OO114" i="1" s="1"/>
  <c r="OO115" i="1" s="1"/>
  <c r="OO116" i="1" s="1"/>
  <c r="OO117" i="1" s="1"/>
  <c r="OO118" i="1" s="1"/>
  <c r="OO119" i="1" s="1"/>
  <c r="OO120" i="1" s="1"/>
  <c r="OO121" i="1" s="1"/>
  <c r="OO122" i="1" s="1"/>
  <c r="OO123" i="1" s="1"/>
  <c r="OO124" i="1" s="1"/>
  <c r="OO125" i="1" s="1"/>
  <c r="OO126" i="1" s="1"/>
  <c r="OO127" i="1" s="1"/>
  <c r="OO128" i="1" s="1"/>
  <c r="OO129" i="1" s="1"/>
  <c r="OO130" i="1" s="1"/>
  <c r="OO131" i="1" s="1"/>
  <c r="OO132" i="1" s="1"/>
  <c r="OO133" i="1" s="1"/>
  <c r="OO134" i="1" s="1"/>
  <c r="OO135" i="1" s="1"/>
  <c r="OO136" i="1" s="1"/>
  <c r="OO137" i="1" s="1"/>
  <c r="OO138" i="1" s="1"/>
  <c r="OO139" i="1" s="1"/>
  <c r="OO140" i="1" s="1"/>
  <c r="OO141" i="1" s="1"/>
  <c r="OO142" i="1" s="1"/>
  <c r="OO147" i="1" s="1"/>
  <c r="OO148" i="1" s="1"/>
  <c r="OO149" i="1" s="1"/>
  <c r="OO150" i="1" s="1"/>
  <c r="OO151" i="1" s="1"/>
  <c r="OO152" i="1" s="1"/>
  <c r="OO153" i="1" s="1"/>
  <c r="OO154" i="1" s="1"/>
  <c r="OO155" i="1" s="1"/>
  <c r="OO156" i="1" s="1"/>
  <c r="OO157" i="1" s="1"/>
  <c r="OO158" i="1" s="1"/>
  <c r="OO159" i="1" s="1"/>
  <c r="OO160" i="1" s="1"/>
  <c r="OO161" i="1" s="1"/>
  <c r="OO162" i="1" s="1"/>
  <c r="OO163" i="1" s="1"/>
  <c r="OO164" i="1" s="1"/>
  <c r="OO165" i="1" s="1"/>
  <c r="OO166" i="1" s="1"/>
  <c r="OO167" i="1" s="1"/>
  <c r="OO168" i="1" s="1"/>
  <c r="OO169" i="1" s="1"/>
  <c r="OO170" i="1" s="1"/>
  <c r="OO171" i="1" s="1"/>
  <c r="OO172" i="1" s="1"/>
  <c r="OO173" i="1" s="1"/>
  <c r="OO174" i="1" s="1"/>
  <c r="OO175" i="1" s="1"/>
  <c r="OO176" i="1" s="1"/>
  <c r="OO177" i="1" s="1"/>
  <c r="OO178" i="1" s="1"/>
  <c r="OO182" i="1" s="1"/>
  <c r="OO183" i="1" s="1"/>
  <c r="OO184" i="1" s="1"/>
  <c r="OO185" i="1" s="1"/>
  <c r="OO186" i="1" s="1"/>
  <c r="OO187" i="1" s="1"/>
  <c r="OO188" i="1" s="1"/>
  <c r="OO189" i="1" s="1"/>
  <c r="OO190" i="1" s="1"/>
  <c r="OO191" i="1" s="1"/>
  <c r="OO192" i="1" s="1"/>
  <c r="OO193" i="1" s="1"/>
  <c r="OO194" i="1" s="1"/>
  <c r="OO195" i="1" s="1"/>
  <c r="OO196" i="1" s="1"/>
  <c r="OO197" i="1" s="1"/>
  <c r="OO198" i="1" s="1"/>
  <c r="OO199" i="1" s="1"/>
  <c r="OO200" i="1" s="1"/>
  <c r="OO201" i="1" s="1"/>
  <c r="OO202" i="1" s="1"/>
  <c r="OO203" i="1" s="1"/>
  <c r="OO204" i="1" s="1"/>
  <c r="OO205" i="1" s="1"/>
  <c r="OO206" i="1" s="1"/>
  <c r="OO207" i="1" s="1"/>
  <c r="OO208" i="1" s="1"/>
  <c r="OO209" i="1" s="1"/>
  <c r="OO210" i="1" s="1"/>
  <c r="OO211" i="1" s="1"/>
  <c r="OO212" i="1" s="1"/>
  <c r="OO213" i="1" s="1"/>
  <c r="OO217" i="1" s="1"/>
  <c r="OO218" i="1" s="1"/>
  <c r="OO219" i="1" s="1"/>
  <c r="OO220" i="1" s="1"/>
  <c r="OO221" i="1" s="1"/>
  <c r="OO222" i="1" s="1"/>
  <c r="OO223" i="1" s="1"/>
  <c r="OO224" i="1" s="1"/>
  <c r="OO225" i="1" s="1"/>
  <c r="OO226" i="1" s="1"/>
  <c r="OO227" i="1" s="1"/>
  <c r="OO228" i="1" s="1"/>
  <c r="OO229" i="1" s="1"/>
  <c r="OO230" i="1" s="1"/>
  <c r="OO231" i="1" s="1"/>
  <c r="OO232" i="1" s="1"/>
  <c r="OO233" i="1" s="1"/>
  <c r="OO234" i="1" s="1"/>
  <c r="OO235" i="1" s="1"/>
  <c r="OO236" i="1" s="1"/>
  <c r="OO237" i="1" s="1"/>
  <c r="OO238" i="1" s="1"/>
  <c r="OO239" i="1" s="1"/>
  <c r="OO240" i="1" s="1"/>
  <c r="OO241" i="1" s="1"/>
  <c r="OO242" i="1" s="1"/>
  <c r="OO243" i="1" s="1"/>
  <c r="OO244" i="1" s="1"/>
  <c r="OO245" i="1" s="1"/>
  <c r="OO246" i="1" s="1"/>
  <c r="OO247" i="1" s="1"/>
  <c r="OO248" i="1" s="1"/>
  <c r="OO249" i="1" s="1"/>
  <c r="OO253" i="1" s="1"/>
  <c r="OO254" i="1" s="1"/>
  <c r="OO255" i="1" s="1"/>
  <c r="OO256" i="1" s="1"/>
  <c r="OO257" i="1" s="1"/>
  <c r="OO258" i="1" s="1"/>
  <c r="OO259" i="1" s="1"/>
  <c r="OO260" i="1" s="1"/>
  <c r="OO261" i="1" s="1"/>
  <c r="OO262" i="1" s="1"/>
  <c r="OO263" i="1" s="1"/>
  <c r="OO264" i="1" s="1"/>
  <c r="OO265" i="1" s="1"/>
  <c r="OO266" i="1" s="1"/>
  <c r="OO267" i="1" s="1"/>
  <c r="OO268" i="1" s="1"/>
  <c r="OO269" i="1" s="1"/>
  <c r="OO270" i="1" s="1"/>
  <c r="OO271" i="1" s="1"/>
  <c r="OO272" i="1" s="1"/>
  <c r="OO273" i="1" s="1"/>
  <c r="OO274" i="1" s="1"/>
  <c r="OO275" i="1" s="1"/>
  <c r="OO276" i="1" s="1"/>
  <c r="OO277" i="1" s="1"/>
  <c r="OO278" i="1" s="1"/>
  <c r="OO279" i="1" s="1"/>
  <c r="OO280" i="1" s="1"/>
  <c r="OO281" i="1" s="1"/>
  <c r="OO282" i="1" s="1"/>
  <c r="OO283" i="1" s="1"/>
  <c r="OO284" i="1" s="1"/>
  <c r="OO285" i="1" s="1"/>
  <c r="OO289" i="1" s="1"/>
  <c r="OO290" i="1" s="1"/>
  <c r="OO291" i="1" s="1"/>
  <c r="OO292" i="1" s="1"/>
  <c r="OO293" i="1" s="1"/>
  <c r="OO294" i="1" s="1"/>
  <c r="OO295" i="1" s="1"/>
  <c r="OO296" i="1" s="1"/>
  <c r="OO297" i="1" s="1"/>
  <c r="OO298" i="1" s="1"/>
  <c r="OO299" i="1" s="1"/>
  <c r="OO300" i="1" s="1"/>
  <c r="OO301" i="1" s="1"/>
  <c r="OO302" i="1" s="1"/>
  <c r="OO303" i="1" s="1"/>
  <c r="OO304" i="1" s="1"/>
  <c r="OO305" i="1" s="1"/>
  <c r="OO306" i="1" s="1"/>
  <c r="OO307" i="1" s="1"/>
  <c r="OO308" i="1" s="1"/>
  <c r="OO309" i="1" s="1"/>
  <c r="OO310" i="1" s="1"/>
  <c r="OO311" i="1" s="1"/>
  <c r="OO312" i="1" s="1"/>
  <c r="OO313" i="1" s="1"/>
  <c r="OO314" i="1" s="1"/>
  <c r="OO315" i="1" s="1"/>
  <c r="OO316" i="1" s="1"/>
  <c r="OO317" i="1" s="1"/>
  <c r="OO318" i="1" s="1"/>
  <c r="OO319" i="1" s="1"/>
  <c r="OO320" i="1" s="1"/>
  <c r="OO324" i="1" s="1"/>
  <c r="OO325" i="1" s="1"/>
  <c r="OO326" i="1" s="1"/>
  <c r="OO327" i="1" s="1"/>
  <c r="OO328" i="1" s="1"/>
  <c r="OO329" i="1" s="1"/>
  <c r="OO330" i="1" s="1"/>
  <c r="OO331" i="1" s="1"/>
  <c r="OO332" i="1" s="1"/>
  <c r="OO333" i="1" s="1"/>
  <c r="OO334" i="1" s="1"/>
  <c r="OO335" i="1" s="1"/>
  <c r="OO336" i="1" s="1"/>
  <c r="OO337" i="1" s="1"/>
  <c r="OO338" i="1" s="1"/>
  <c r="OO339" i="1" s="1"/>
  <c r="OO340" i="1" s="1"/>
  <c r="OO341" i="1" s="1"/>
  <c r="OO342" i="1" s="1"/>
  <c r="OO343" i="1" s="1"/>
  <c r="OO344" i="1" s="1"/>
  <c r="OO345" i="1" s="1"/>
  <c r="OO346" i="1" s="1"/>
  <c r="OO347" i="1" s="1"/>
  <c r="OO348" i="1" s="1"/>
  <c r="OO349" i="1" s="1"/>
  <c r="OO350" i="1" s="1"/>
  <c r="OO351" i="1" s="1"/>
  <c r="OO352" i="1" s="1"/>
  <c r="OO353" i="1" s="1"/>
  <c r="OO354" i="1" s="1"/>
  <c r="OO355" i="1" s="1"/>
  <c r="OO356" i="1" s="1"/>
  <c r="OO360" i="1" s="1"/>
  <c r="OO361" i="1" s="1"/>
  <c r="OO362" i="1" s="1"/>
  <c r="OO363" i="1" s="1"/>
  <c r="OO364" i="1" s="1"/>
  <c r="OO365" i="1" s="1"/>
  <c r="OO366" i="1" s="1"/>
  <c r="OO367" i="1" s="1"/>
  <c r="OO368" i="1" s="1"/>
  <c r="OO369" i="1" s="1"/>
  <c r="OO370" i="1" s="1"/>
  <c r="OO371" i="1" s="1"/>
  <c r="OO372" i="1" s="1"/>
  <c r="OO373" i="1" s="1"/>
  <c r="OO374" i="1" s="1"/>
  <c r="OO375" i="1" s="1"/>
  <c r="OO376" i="1" s="1"/>
  <c r="OO377" i="1" s="1"/>
  <c r="OO378" i="1" s="1"/>
  <c r="OO379" i="1" s="1"/>
  <c r="OO380" i="1" s="1"/>
  <c r="OO381" i="1" s="1"/>
  <c r="OO382" i="1" s="1"/>
  <c r="OO383" i="1" s="1"/>
  <c r="OO384" i="1" s="1"/>
  <c r="OO385" i="1" s="1"/>
  <c r="OO386" i="1" s="1"/>
  <c r="OO387" i="1" s="1"/>
  <c r="OO388" i="1" s="1"/>
  <c r="OO389" i="1" s="1"/>
  <c r="OO390" i="1" s="1"/>
  <c r="OO391" i="1" s="1"/>
  <c r="OO395" i="1" s="1"/>
  <c r="OO396" i="1" s="1"/>
  <c r="OO397" i="1" s="1"/>
  <c r="OO398" i="1" s="1"/>
  <c r="OO399" i="1" s="1"/>
  <c r="OO400" i="1" s="1"/>
  <c r="OO401" i="1" s="1"/>
  <c r="OO402" i="1" s="1"/>
  <c r="OO403" i="1" s="1"/>
  <c r="OO404" i="1" s="1"/>
  <c r="OO405" i="1" s="1"/>
  <c r="OO406" i="1" s="1"/>
  <c r="OO407" i="1" s="1"/>
  <c r="OO408" i="1" s="1"/>
  <c r="OO409" i="1" s="1"/>
  <c r="OO410" i="1" s="1"/>
  <c r="OO411" i="1" s="1"/>
  <c r="OO412" i="1" s="1"/>
  <c r="OO413" i="1" s="1"/>
  <c r="OO414" i="1" s="1"/>
  <c r="OO415" i="1" s="1"/>
  <c r="OO416" i="1" s="1"/>
  <c r="OO417" i="1" s="1"/>
  <c r="OO418" i="1" s="1"/>
  <c r="OO419" i="1" s="1"/>
  <c r="OO420" i="1" s="1"/>
  <c r="OO421" i="1" s="1"/>
  <c r="OO422" i="1" s="1"/>
  <c r="OO423" i="1" s="1"/>
  <c r="OO424" i="1" s="1"/>
  <c r="OO425" i="1" s="1"/>
  <c r="OO426" i="1" s="1"/>
  <c r="OO427" i="1" s="1"/>
  <c r="AT5" i="5"/>
  <c r="AT13" i="5"/>
  <c r="F52" i="18" s="1"/>
  <c r="AT20" i="5"/>
  <c r="AT27" i="5"/>
  <c r="AT34" i="5"/>
  <c r="AT41" i="5"/>
  <c r="F50" i="8" s="1"/>
  <c r="AT48" i="5"/>
  <c r="AT55" i="5"/>
  <c r="F50" i="12" s="1"/>
  <c r="AT62" i="5"/>
  <c r="F50" i="13" s="1"/>
  <c r="AT69" i="5"/>
  <c r="F50" i="14" s="1"/>
  <c r="AT76" i="5"/>
  <c r="AT83" i="5"/>
  <c r="OX6" i="1"/>
  <c r="OX7" i="1" s="1"/>
  <c r="OX8" i="1" s="1"/>
  <c r="OX9" i="1" s="1"/>
  <c r="OX10" i="1" s="1"/>
  <c r="OX11" i="1" s="1"/>
  <c r="OX12" i="1" s="1"/>
  <c r="OX13" i="1" s="1"/>
  <c r="OX14" i="1" s="1"/>
  <c r="OX15" i="1" s="1"/>
  <c r="OX16" i="1" s="1"/>
  <c r="OX17" i="1" s="1"/>
  <c r="OX18" i="1" s="1"/>
  <c r="OX19" i="1" s="1"/>
  <c r="OX20" i="1" s="1"/>
  <c r="OX21" i="1" s="1"/>
  <c r="OX22" i="1" s="1"/>
  <c r="OX23" i="1" s="1"/>
  <c r="OX24" i="1" s="1"/>
  <c r="OX25" i="1" s="1"/>
  <c r="OX26" i="1" s="1"/>
  <c r="OX27" i="1" s="1"/>
  <c r="OX28" i="1" s="1"/>
  <c r="OX29" i="1" s="1"/>
  <c r="OX30" i="1" s="1"/>
  <c r="OX31" i="1" s="1"/>
  <c r="OX32" i="1" s="1"/>
  <c r="OX33" i="1" s="1"/>
  <c r="OX34" i="1" s="1"/>
  <c r="OX35" i="1" s="1"/>
  <c r="OX36" i="1" s="1"/>
  <c r="OX37" i="1" s="1"/>
  <c r="OX41" i="1" s="1"/>
  <c r="OX42" i="1" s="1"/>
  <c r="OX43" i="1" s="1"/>
  <c r="OX44" i="1" s="1"/>
  <c r="OX45" i="1" s="1"/>
  <c r="OX46" i="1" s="1"/>
  <c r="OX47" i="1" s="1"/>
  <c r="OX48" i="1" s="1"/>
  <c r="OX49" i="1" s="1"/>
  <c r="OX50" i="1" s="1"/>
  <c r="OX51" i="1" s="1"/>
  <c r="OX52" i="1" s="1"/>
  <c r="OX53" i="1" s="1"/>
  <c r="OX54" i="1" s="1"/>
  <c r="OX55" i="1" s="1"/>
  <c r="OX56" i="1" s="1"/>
  <c r="OX57" i="1" s="1"/>
  <c r="OX58" i="1" s="1"/>
  <c r="OX59" i="1" s="1"/>
  <c r="OX60" i="1" s="1"/>
  <c r="OX61" i="1" s="1"/>
  <c r="OX62" i="1" s="1"/>
  <c r="OX63" i="1" s="1"/>
  <c r="OX64" i="1" s="1"/>
  <c r="OX65" i="1" s="1"/>
  <c r="OX66" i="1" s="1"/>
  <c r="OX67" i="1" s="1"/>
  <c r="OX68" i="1" s="1"/>
  <c r="OX69" i="1" s="1"/>
  <c r="OX70" i="1" s="1"/>
  <c r="OX71" i="1" s="1"/>
  <c r="OX75" i="1" s="1"/>
  <c r="OX76" i="1" s="1"/>
  <c r="OX77" i="1" s="1"/>
  <c r="OX78" i="1" s="1"/>
  <c r="OX79" i="1" s="1"/>
  <c r="OX80" i="1" s="1"/>
  <c r="OX81" i="1" s="1"/>
  <c r="OX82" i="1" s="1"/>
  <c r="OX83" i="1" s="1"/>
  <c r="OX84" i="1" s="1"/>
  <c r="OX85" i="1" s="1"/>
  <c r="OX86" i="1" s="1"/>
  <c r="OX87" i="1" s="1"/>
  <c r="OX88" i="1" s="1"/>
  <c r="OX89" i="1" s="1"/>
  <c r="OX90" i="1" s="1"/>
  <c r="OX91" i="1" s="1"/>
  <c r="OX92" i="1" s="1"/>
  <c r="OX93" i="1" s="1"/>
  <c r="OX94" i="1" s="1"/>
  <c r="OX95" i="1" s="1"/>
  <c r="OX96" i="1" s="1"/>
  <c r="OX97" i="1" s="1"/>
  <c r="OX98" i="1" s="1"/>
  <c r="OX99" i="1" s="1"/>
  <c r="OX100" i="1" s="1"/>
  <c r="OX101" i="1" s="1"/>
  <c r="OX102" i="1" s="1"/>
  <c r="OX103" i="1" s="1"/>
  <c r="OX104" i="1" s="1"/>
  <c r="OX105" i="1" s="1"/>
  <c r="OX106" i="1" s="1"/>
  <c r="OX107" i="1" s="1"/>
  <c r="OX111" i="1" s="1"/>
  <c r="OX112" i="1" s="1"/>
  <c r="OX113" i="1" s="1"/>
  <c r="OX114" i="1" s="1"/>
  <c r="OX115" i="1" s="1"/>
  <c r="OX116" i="1" s="1"/>
  <c r="OX117" i="1" s="1"/>
  <c r="OX118" i="1" s="1"/>
  <c r="OX119" i="1" s="1"/>
  <c r="OX120" i="1" s="1"/>
  <c r="OX121" i="1" s="1"/>
  <c r="OX122" i="1" s="1"/>
  <c r="OX123" i="1" s="1"/>
  <c r="OX124" i="1" s="1"/>
  <c r="OX125" i="1" s="1"/>
  <c r="OX126" i="1" s="1"/>
  <c r="OX127" i="1" s="1"/>
  <c r="OX128" i="1" s="1"/>
  <c r="OX129" i="1" s="1"/>
  <c r="OX130" i="1" s="1"/>
  <c r="OX131" i="1" s="1"/>
  <c r="OX132" i="1" s="1"/>
  <c r="OX133" i="1" s="1"/>
  <c r="OX134" i="1" s="1"/>
  <c r="OX135" i="1" s="1"/>
  <c r="OX136" i="1" s="1"/>
  <c r="OX137" i="1" s="1"/>
  <c r="OX138" i="1" s="1"/>
  <c r="OX139" i="1" s="1"/>
  <c r="OX140" i="1" s="1"/>
  <c r="OX141" i="1" s="1"/>
  <c r="OX142" i="1" s="1"/>
  <c r="OX146" i="1" s="1"/>
  <c r="OX147" i="1" s="1"/>
  <c r="OX148" i="1" s="1"/>
  <c r="OX149" i="1" s="1"/>
  <c r="OX150" i="1" s="1"/>
  <c r="OX151" i="1" s="1"/>
  <c r="OX152" i="1" s="1"/>
  <c r="OX153" i="1" s="1"/>
  <c r="OX154" i="1" s="1"/>
  <c r="OX155" i="1" s="1"/>
  <c r="OX156" i="1" s="1"/>
  <c r="OX157" i="1" s="1"/>
  <c r="OX158" i="1" s="1"/>
  <c r="OX159" i="1" s="1"/>
  <c r="OX160" i="1" s="1"/>
  <c r="OX161" i="1" s="1"/>
  <c r="OX162" i="1" s="1"/>
  <c r="OX163" i="1" s="1"/>
  <c r="OX164" i="1" s="1"/>
  <c r="OX165" i="1" s="1"/>
  <c r="OX166" i="1" s="1"/>
  <c r="OX167" i="1" s="1"/>
  <c r="OX168" i="1" s="1"/>
  <c r="OX169" i="1" s="1"/>
  <c r="OX170" i="1" s="1"/>
  <c r="OX171" i="1" s="1"/>
  <c r="OX172" i="1" s="1"/>
  <c r="OX173" i="1" s="1"/>
  <c r="OX174" i="1" s="1"/>
  <c r="OX175" i="1" s="1"/>
  <c r="OX176" i="1" s="1"/>
  <c r="OX177" i="1" s="1"/>
  <c r="OX178" i="1" s="1"/>
  <c r="OX182" i="1" s="1"/>
  <c r="OX183" i="1" s="1"/>
  <c r="OX184" i="1" s="1"/>
  <c r="OX185" i="1" s="1"/>
  <c r="OX186" i="1" s="1"/>
  <c r="OX187" i="1" s="1"/>
  <c r="OX188" i="1" s="1"/>
  <c r="OX189" i="1" s="1"/>
  <c r="OX190" i="1" s="1"/>
  <c r="OX191" i="1" s="1"/>
  <c r="OX192" i="1" s="1"/>
  <c r="OX193" i="1" s="1"/>
  <c r="OX194" i="1" s="1"/>
  <c r="OX195" i="1" s="1"/>
  <c r="OX196" i="1" s="1"/>
  <c r="OX197" i="1" s="1"/>
  <c r="OX198" i="1" s="1"/>
  <c r="OX199" i="1" s="1"/>
  <c r="OX200" i="1" s="1"/>
  <c r="OX201" i="1" s="1"/>
  <c r="OX202" i="1" s="1"/>
  <c r="OX203" i="1" s="1"/>
  <c r="OX204" i="1" s="1"/>
  <c r="OX205" i="1" s="1"/>
  <c r="OX206" i="1" s="1"/>
  <c r="OX207" i="1" s="1"/>
  <c r="OX208" i="1" s="1"/>
  <c r="OX209" i="1" s="1"/>
  <c r="OX210" i="1" s="1"/>
  <c r="OX211" i="1" s="1"/>
  <c r="OX212" i="1" s="1"/>
  <c r="OX213" i="1" s="1"/>
  <c r="OX217" i="1" s="1"/>
  <c r="OX218" i="1" s="1"/>
  <c r="OX219" i="1" s="1"/>
  <c r="OX220" i="1" s="1"/>
  <c r="OX221" i="1" s="1"/>
  <c r="OX222" i="1" s="1"/>
  <c r="OX223" i="1" s="1"/>
  <c r="OX224" i="1" s="1"/>
  <c r="OX225" i="1" s="1"/>
  <c r="OX226" i="1" s="1"/>
  <c r="OX227" i="1" s="1"/>
  <c r="OX228" i="1" s="1"/>
  <c r="OX229" i="1" s="1"/>
  <c r="OX230" i="1" s="1"/>
  <c r="OX231" i="1" s="1"/>
  <c r="OX232" i="1" s="1"/>
  <c r="OX233" i="1" s="1"/>
  <c r="OX234" i="1" s="1"/>
  <c r="OX235" i="1" s="1"/>
  <c r="OX236" i="1" s="1"/>
  <c r="OX237" i="1" s="1"/>
  <c r="OX238" i="1" s="1"/>
  <c r="OX239" i="1" s="1"/>
  <c r="OX240" i="1" s="1"/>
  <c r="OX241" i="1" s="1"/>
  <c r="OX242" i="1" s="1"/>
  <c r="OX243" i="1" s="1"/>
  <c r="OX244" i="1" s="1"/>
  <c r="OX245" i="1" s="1"/>
  <c r="OX246" i="1" s="1"/>
  <c r="OX247" i="1" s="1"/>
  <c r="OX248" i="1" s="1"/>
  <c r="OX249" i="1" s="1"/>
  <c r="OX253" i="1" s="1"/>
  <c r="OX254" i="1" s="1"/>
  <c r="OX255" i="1" s="1"/>
  <c r="OX256" i="1" s="1"/>
  <c r="OX257" i="1" s="1"/>
  <c r="OX258" i="1" s="1"/>
  <c r="OX259" i="1" s="1"/>
  <c r="OX260" i="1" s="1"/>
  <c r="OX261" i="1" s="1"/>
  <c r="OX262" i="1" s="1"/>
  <c r="OX263" i="1" s="1"/>
  <c r="OX264" i="1" s="1"/>
  <c r="OX265" i="1" s="1"/>
  <c r="OX266" i="1" s="1"/>
  <c r="OX267" i="1" s="1"/>
  <c r="OX268" i="1" s="1"/>
  <c r="OX269" i="1" s="1"/>
  <c r="OX270" i="1" s="1"/>
  <c r="OX271" i="1" s="1"/>
  <c r="OX272" i="1" s="1"/>
  <c r="OX273" i="1" s="1"/>
  <c r="OX274" i="1" s="1"/>
  <c r="OX275" i="1" s="1"/>
  <c r="OX276" i="1" s="1"/>
  <c r="OX277" i="1" s="1"/>
  <c r="OX278" i="1" s="1"/>
  <c r="OX279" i="1" s="1"/>
  <c r="OX280" i="1" s="1"/>
  <c r="OX281" i="1" s="1"/>
  <c r="OX282" i="1" s="1"/>
  <c r="OX283" i="1" s="1"/>
  <c r="OX284" i="1" s="1"/>
  <c r="OX285" i="1" s="1"/>
  <c r="OX289" i="1" s="1"/>
  <c r="OX290" i="1" s="1"/>
  <c r="OX291" i="1" s="1"/>
  <c r="OX292" i="1" s="1"/>
  <c r="OX293" i="1" s="1"/>
  <c r="OX294" i="1" s="1"/>
  <c r="OX295" i="1" s="1"/>
  <c r="OX296" i="1" s="1"/>
  <c r="OX297" i="1" s="1"/>
  <c r="OX298" i="1" s="1"/>
  <c r="OX299" i="1" s="1"/>
  <c r="OX300" i="1" s="1"/>
  <c r="OX301" i="1" s="1"/>
  <c r="OX302" i="1" s="1"/>
  <c r="OX303" i="1" s="1"/>
  <c r="OX304" i="1" s="1"/>
  <c r="OX305" i="1" s="1"/>
  <c r="OX306" i="1" s="1"/>
  <c r="OX307" i="1" s="1"/>
  <c r="OX308" i="1" s="1"/>
  <c r="OX309" i="1" s="1"/>
  <c r="OX310" i="1" s="1"/>
  <c r="OX311" i="1" s="1"/>
  <c r="OX312" i="1" s="1"/>
  <c r="OX313" i="1" s="1"/>
  <c r="OX314" i="1" s="1"/>
  <c r="OX315" i="1" s="1"/>
  <c r="OX316" i="1" s="1"/>
  <c r="OX317" i="1" s="1"/>
  <c r="OX318" i="1" s="1"/>
  <c r="OX319" i="1" s="1"/>
  <c r="OX320" i="1" s="1"/>
  <c r="OX324" i="1" s="1"/>
  <c r="OX325" i="1" s="1"/>
  <c r="OX326" i="1" s="1"/>
  <c r="OX327" i="1" s="1"/>
  <c r="OX328" i="1" s="1"/>
  <c r="OX329" i="1" s="1"/>
  <c r="OX330" i="1" s="1"/>
  <c r="OX331" i="1" s="1"/>
  <c r="OX332" i="1" s="1"/>
  <c r="OX333" i="1" s="1"/>
  <c r="OX334" i="1" s="1"/>
  <c r="OX335" i="1" s="1"/>
  <c r="OX336" i="1" s="1"/>
  <c r="OX337" i="1" s="1"/>
  <c r="OX338" i="1" s="1"/>
  <c r="OX339" i="1" s="1"/>
  <c r="OX340" i="1" s="1"/>
  <c r="OX341" i="1" s="1"/>
  <c r="OX342" i="1" s="1"/>
  <c r="OX343" i="1" s="1"/>
  <c r="OX344" i="1" s="1"/>
  <c r="OX345" i="1" s="1"/>
  <c r="OX346" i="1" s="1"/>
  <c r="OX347" i="1" s="1"/>
  <c r="OX348" i="1" s="1"/>
  <c r="OX349" i="1" s="1"/>
  <c r="OX350" i="1" s="1"/>
  <c r="OX351" i="1" s="1"/>
  <c r="OX352" i="1" s="1"/>
  <c r="OX353" i="1" s="1"/>
  <c r="OX354" i="1" s="1"/>
  <c r="OX355" i="1" s="1"/>
  <c r="OX356" i="1" s="1"/>
  <c r="OX360" i="1" s="1"/>
  <c r="OX361" i="1" s="1"/>
  <c r="OX362" i="1" s="1"/>
  <c r="OX363" i="1" s="1"/>
  <c r="OX364" i="1" s="1"/>
  <c r="OX365" i="1" s="1"/>
  <c r="OX366" i="1" s="1"/>
  <c r="OX367" i="1" s="1"/>
  <c r="OX368" i="1" s="1"/>
  <c r="OX369" i="1" s="1"/>
  <c r="OX370" i="1" s="1"/>
  <c r="OX371" i="1" s="1"/>
  <c r="OX372" i="1" s="1"/>
  <c r="OX373" i="1" s="1"/>
  <c r="OX374" i="1" s="1"/>
  <c r="OX375" i="1" s="1"/>
  <c r="OX376" i="1" s="1"/>
  <c r="OX377" i="1" s="1"/>
  <c r="OX378" i="1" s="1"/>
  <c r="OX379" i="1" s="1"/>
  <c r="OX380" i="1" s="1"/>
  <c r="OX381" i="1" s="1"/>
  <c r="OX382" i="1" s="1"/>
  <c r="OX383" i="1" s="1"/>
  <c r="OX384" i="1" s="1"/>
  <c r="OX385" i="1" s="1"/>
  <c r="OX386" i="1" s="1"/>
  <c r="OX387" i="1" s="1"/>
  <c r="OX388" i="1" s="1"/>
  <c r="OX389" i="1" s="1"/>
  <c r="OX390" i="1" s="1"/>
  <c r="OX391" i="1" s="1"/>
  <c r="OX395" i="1" s="1"/>
  <c r="OX396" i="1" s="1"/>
  <c r="OX397" i="1" s="1"/>
  <c r="OX398" i="1" s="1"/>
  <c r="OX399" i="1" s="1"/>
  <c r="OX400" i="1" s="1"/>
  <c r="OX401" i="1" s="1"/>
  <c r="OX402" i="1" s="1"/>
  <c r="OX403" i="1" s="1"/>
  <c r="OX404" i="1" s="1"/>
  <c r="OX405" i="1" s="1"/>
  <c r="OX406" i="1" s="1"/>
  <c r="OX407" i="1" s="1"/>
  <c r="OX408" i="1" s="1"/>
  <c r="OX409" i="1" s="1"/>
  <c r="OX410" i="1" s="1"/>
  <c r="OX411" i="1" s="1"/>
  <c r="OX412" i="1" s="1"/>
  <c r="OX413" i="1" s="1"/>
  <c r="OX414" i="1" s="1"/>
  <c r="OX415" i="1" s="1"/>
  <c r="OX416" i="1" s="1"/>
  <c r="OX417" i="1" s="1"/>
  <c r="OX418" i="1" s="1"/>
  <c r="OX419" i="1" s="1"/>
  <c r="OX420" i="1" s="1"/>
  <c r="OX421" i="1" s="1"/>
  <c r="OX422" i="1" s="1"/>
  <c r="OX423" i="1" s="1"/>
  <c r="OX424" i="1" s="1"/>
  <c r="OX425" i="1" s="1"/>
  <c r="OX426" i="1" s="1"/>
  <c r="OX427" i="1" s="1"/>
  <c r="AU5" i="5"/>
  <c r="AU20" i="5"/>
  <c r="AU27" i="5"/>
  <c r="AU34" i="5"/>
  <c r="AU41" i="5"/>
  <c r="F51" i="8" s="1"/>
  <c r="AU48" i="5"/>
  <c r="AU55" i="5"/>
  <c r="F51" i="12" s="1"/>
  <c r="AU62" i="5"/>
  <c r="F51" i="13" s="1"/>
  <c r="AU69" i="5"/>
  <c r="F51" i="14" s="1"/>
  <c r="AU76" i="5"/>
  <c r="AU83" i="5"/>
  <c r="AE662" i="6"/>
  <c r="AE661" i="6"/>
  <c r="AE660" i="6"/>
  <c r="AE659" i="6"/>
  <c r="AE658" i="6"/>
  <c r="AE657" i="6"/>
  <c r="AC662" i="6"/>
  <c r="AC661" i="6"/>
  <c r="AC660" i="6"/>
  <c r="AC659" i="6"/>
  <c r="AC658" i="6"/>
  <c r="AC657" i="6"/>
  <c r="AA662" i="6"/>
  <c r="AA661" i="6"/>
  <c r="AA660" i="6"/>
  <c r="AA659" i="6"/>
  <c r="AA658" i="6"/>
  <c r="AA657" i="6"/>
  <c r="Y662" i="6"/>
  <c r="Y661" i="6"/>
  <c r="Y660" i="6"/>
  <c r="Y659" i="6"/>
  <c r="Y658" i="6"/>
  <c r="Y657" i="6"/>
  <c r="W662" i="6"/>
  <c r="W661" i="6"/>
  <c r="W660" i="6"/>
  <c r="W659" i="6"/>
  <c r="W658" i="6"/>
  <c r="W657" i="6"/>
  <c r="U662" i="6"/>
  <c r="U661" i="6"/>
  <c r="U660" i="6"/>
  <c r="U659" i="6"/>
  <c r="U658" i="6"/>
  <c r="U657" i="6"/>
  <c r="S662" i="6"/>
  <c r="S661" i="6"/>
  <c r="S660" i="6"/>
  <c r="S659" i="6"/>
  <c r="S658" i="6"/>
  <c r="S657" i="6"/>
  <c r="Q662" i="6"/>
  <c r="Q661" i="6"/>
  <c r="Q660" i="6"/>
  <c r="Q659" i="6"/>
  <c r="Q658" i="6"/>
  <c r="Q657" i="6"/>
  <c r="O662" i="6"/>
  <c r="O661" i="6"/>
  <c r="O660" i="6"/>
  <c r="O659" i="6"/>
  <c r="O658" i="6"/>
  <c r="O657" i="6"/>
  <c r="M662" i="6"/>
  <c r="M661" i="6"/>
  <c r="M660" i="6"/>
  <c r="M659" i="6"/>
  <c r="M658" i="6"/>
  <c r="M657" i="6"/>
  <c r="K662" i="6"/>
  <c r="K661" i="6"/>
  <c r="K660" i="6"/>
  <c r="K659" i="6"/>
  <c r="K658" i="6"/>
  <c r="K657" i="6"/>
  <c r="I662" i="6"/>
  <c r="I661" i="6"/>
  <c r="I660" i="6"/>
  <c r="I659" i="6"/>
  <c r="I658" i="6"/>
  <c r="I657" i="6"/>
  <c r="G662" i="6"/>
  <c r="G661" i="6"/>
  <c r="G660" i="6"/>
  <c r="G659" i="6"/>
  <c r="G658" i="6"/>
  <c r="G657" i="6"/>
  <c r="E662" i="6"/>
  <c r="E661" i="6"/>
  <c r="E660" i="6"/>
  <c r="E659" i="6"/>
  <c r="E658" i="6"/>
  <c r="E657" i="6"/>
  <c r="C658" i="6"/>
  <c r="C659" i="6"/>
  <c r="C660" i="6"/>
  <c r="C661" i="6"/>
  <c r="C662" i="6"/>
  <c r="A658" i="6"/>
  <c r="A659" i="6"/>
  <c r="A660" i="6"/>
  <c r="A661" i="6"/>
  <c r="A662" i="6"/>
  <c r="A663" i="6"/>
  <c r="A657" i="6"/>
  <c r="AE577" i="6"/>
  <c r="AE575" i="6"/>
  <c r="AE574" i="6"/>
  <c r="AE573" i="6"/>
  <c r="AE572" i="6"/>
  <c r="AE571" i="6"/>
  <c r="AE570" i="6"/>
  <c r="AC577" i="6"/>
  <c r="AC575" i="6"/>
  <c r="AC574" i="6"/>
  <c r="AC573" i="6"/>
  <c r="AC572" i="6"/>
  <c r="AC571" i="6"/>
  <c r="AC570" i="6"/>
  <c r="AA577" i="6"/>
  <c r="AA575" i="6"/>
  <c r="AA574" i="6"/>
  <c r="AA573" i="6"/>
  <c r="AA572" i="6"/>
  <c r="AA571" i="6"/>
  <c r="AA570" i="6"/>
  <c r="Y577" i="6"/>
  <c r="Y575" i="6"/>
  <c r="Y574" i="6"/>
  <c r="Y573" i="6"/>
  <c r="Y572" i="6"/>
  <c r="Y571" i="6"/>
  <c r="Y570" i="6"/>
  <c r="W577" i="6"/>
  <c r="W575" i="6"/>
  <c r="W574" i="6"/>
  <c r="W573" i="6"/>
  <c r="W572" i="6"/>
  <c r="W571" i="6"/>
  <c r="W570" i="6"/>
  <c r="U577" i="6"/>
  <c r="U575" i="6"/>
  <c r="U574" i="6"/>
  <c r="U573" i="6"/>
  <c r="U572" i="6"/>
  <c r="U571" i="6"/>
  <c r="U570" i="6"/>
  <c r="S577" i="6"/>
  <c r="S575" i="6"/>
  <c r="S574" i="6"/>
  <c r="S573" i="6"/>
  <c r="S572" i="6"/>
  <c r="S571" i="6"/>
  <c r="S570" i="6"/>
  <c r="Q577" i="6"/>
  <c r="Q575" i="6"/>
  <c r="Q574" i="6"/>
  <c r="Q573" i="6"/>
  <c r="Q572" i="6"/>
  <c r="Q571" i="6"/>
  <c r="Q570" i="6"/>
  <c r="O577" i="6"/>
  <c r="O575" i="6"/>
  <c r="O574" i="6"/>
  <c r="O573" i="6"/>
  <c r="O572" i="6"/>
  <c r="O571" i="6"/>
  <c r="O570" i="6"/>
  <c r="M577" i="6"/>
  <c r="M575" i="6"/>
  <c r="M574" i="6"/>
  <c r="M573" i="6"/>
  <c r="M572" i="6"/>
  <c r="M571" i="6"/>
  <c r="M570" i="6"/>
  <c r="K575" i="6"/>
  <c r="K574" i="6"/>
  <c r="K573" i="6"/>
  <c r="K572" i="6"/>
  <c r="K571" i="6"/>
  <c r="K570" i="6"/>
  <c r="K569" i="6"/>
  <c r="I575" i="6"/>
  <c r="I574" i="6"/>
  <c r="I573" i="6"/>
  <c r="I572" i="6"/>
  <c r="I571" i="6"/>
  <c r="I570" i="6"/>
  <c r="I569" i="6"/>
  <c r="G575" i="6"/>
  <c r="G574" i="6"/>
  <c r="G573" i="6"/>
  <c r="G572" i="6"/>
  <c r="G571" i="6"/>
  <c r="G570" i="6"/>
  <c r="G569" i="6"/>
  <c r="E575" i="6"/>
  <c r="E574" i="6"/>
  <c r="E573" i="6"/>
  <c r="E572" i="6"/>
  <c r="E571" i="6"/>
  <c r="E570" i="6"/>
  <c r="E569" i="6"/>
  <c r="C570" i="6"/>
  <c r="C571" i="6"/>
  <c r="C572" i="6"/>
  <c r="C573" i="6"/>
  <c r="C574" i="6"/>
  <c r="C575" i="6"/>
  <c r="A570" i="6"/>
  <c r="A571" i="6"/>
  <c r="A572" i="6"/>
  <c r="A573" i="6"/>
  <c r="A574" i="6"/>
  <c r="A575" i="6"/>
  <c r="A569" i="6"/>
  <c r="AE487" i="6"/>
  <c r="AE486" i="6"/>
  <c r="AE485" i="6"/>
  <c r="AE484" i="6"/>
  <c r="AE483" i="6"/>
  <c r="AE482" i="6"/>
  <c r="AE481" i="6"/>
  <c r="AC487" i="6"/>
  <c r="AC486" i="6"/>
  <c r="AC485" i="6"/>
  <c r="AC484" i="6"/>
  <c r="AC483" i="6"/>
  <c r="AC482" i="6"/>
  <c r="AC481" i="6"/>
  <c r="AA487" i="6"/>
  <c r="AA486" i="6"/>
  <c r="AA485" i="6"/>
  <c r="AA484" i="6"/>
  <c r="AA483" i="6"/>
  <c r="AA482" i="6"/>
  <c r="AA481" i="6"/>
  <c r="Y487" i="6"/>
  <c r="Y486" i="6"/>
  <c r="Y485" i="6"/>
  <c r="Y484" i="6"/>
  <c r="Y483" i="6"/>
  <c r="Y482" i="6"/>
  <c r="Y481" i="6"/>
  <c r="W487" i="6"/>
  <c r="W486" i="6"/>
  <c r="W485" i="6"/>
  <c r="W484" i="6"/>
  <c r="W483" i="6"/>
  <c r="W482" i="6"/>
  <c r="W481" i="6"/>
  <c r="U487" i="6"/>
  <c r="U486" i="6"/>
  <c r="U485" i="6"/>
  <c r="U484" i="6"/>
  <c r="U483" i="6"/>
  <c r="U482" i="6"/>
  <c r="U481" i="6"/>
  <c r="S487" i="6"/>
  <c r="S486" i="6"/>
  <c r="S485" i="6"/>
  <c r="S484" i="6"/>
  <c r="S483" i="6"/>
  <c r="S482" i="6"/>
  <c r="S481" i="6"/>
  <c r="Q487" i="6"/>
  <c r="Q486" i="6"/>
  <c r="Q485" i="6"/>
  <c r="Q484" i="6"/>
  <c r="Q483" i="6"/>
  <c r="Q482" i="6"/>
  <c r="Q481" i="6"/>
  <c r="O487" i="6"/>
  <c r="O486" i="6"/>
  <c r="O485" i="6"/>
  <c r="O484" i="6"/>
  <c r="O483" i="6"/>
  <c r="O482" i="6"/>
  <c r="O481" i="6"/>
  <c r="M487" i="6"/>
  <c r="M486" i="6"/>
  <c r="M485" i="6"/>
  <c r="M484" i="6"/>
  <c r="M483" i="6"/>
  <c r="M482" i="6"/>
  <c r="M481" i="6"/>
  <c r="K487" i="6"/>
  <c r="K486" i="6"/>
  <c r="K485" i="6"/>
  <c r="K484" i="6"/>
  <c r="K483" i="6"/>
  <c r="K482" i="6"/>
  <c r="K481" i="6"/>
  <c r="I487" i="6"/>
  <c r="I486" i="6"/>
  <c r="I485" i="6"/>
  <c r="I484" i="6"/>
  <c r="I483" i="6"/>
  <c r="I482" i="6"/>
  <c r="I481" i="6"/>
  <c r="G487" i="6"/>
  <c r="G486" i="6"/>
  <c r="G485" i="6"/>
  <c r="G484" i="6"/>
  <c r="G483" i="6"/>
  <c r="G482" i="6"/>
  <c r="G481" i="6"/>
  <c r="E487" i="6"/>
  <c r="E486" i="6"/>
  <c r="E485" i="6"/>
  <c r="E484" i="6"/>
  <c r="E483" i="6"/>
  <c r="E482" i="6"/>
  <c r="E481" i="6"/>
  <c r="HD43" i="7"/>
  <c r="HD44" i="7"/>
  <c r="HD45" i="7"/>
  <c r="HD46" i="7"/>
  <c r="HD47" i="7"/>
  <c r="HD48" i="7"/>
  <c r="A482" i="6"/>
  <c r="A483" i="6"/>
  <c r="A484" i="6"/>
  <c r="A485" i="6"/>
  <c r="A486" i="6"/>
  <c r="A487" i="6"/>
  <c r="A481" i="6"/>
  <c r="AE401" i="6"/>
  <c r="AE399" i="6"/>
  <c r="AE398" i="6"/>
  <c r="AE397" i="6"/>
  <c r="AE396" i="6"/>
  <c r="AE395" i="6"/>
  <c r="AE394" i="6"/>
  <c r="AE393" i="6"/>
  <c r="AC401" i="6"/>
  <c r="AC399" i="6"/>
  <c r="AC398" i="6"/>
  <c r="AC397" i="6"/>
  <c r="AC396" i="6"/>
  <c r="AC395" i="6"/>
  <c r="AC394" i="6"/>
  <c r="AC393" i="6"/>
  <c r="AA401" i="6"/>
  <c r="AA399" i="6"/>
  <c r="AA398" i="6"/>
  <c r="AA397" i="6"/>
  <c r="AA396" i="6"/>
  <c r="AA395" i="6"/>
  <c r="AA394" i="6"/>
  <c r="AA393" i="6"/>
  <c r="Y401" i="6"/>
  <c r="Y399" i="6"/>
  <c r="Y398" i="6"/>
  <c r="Y397" i="6"/>
  <c r="Y396" i="6"/>
  <c r="Y395" i="6"/>
  <c r="Y394" i="6"/>
  <c r="Y393" i="6"/>
  <c r="W401" i="6"/>
  <c r="W399" i="6"/>
  <c r="W398" i="6"/>
  <c r="W397" i="6"/>
  <c r="W396" i="6"/>
  <c r="W395" i="6"/>
  <c r="W394" i="6"/>
  <c r="W393" i="6"/>
  <c r="U401" i="6"/>
  <c r="U399" i="6"/>
  <c r="U398" i="6"/>
  <c r="U397" i="6"/>
  <c r="U396" i="6"/>
  <c r="U395" i="6"/>
  <c r="U394" i="6"/>
  <c r="U393" i="6"/>
  <c r="S401" i="6"/>
  <c r="S399" i="6"/>
  <c r="S398" i="6"/>
  <c r="S397" i="6"/>
  <c r="S396" i="6"/>
  <c r="S395" i="6"/>
  <c r="S394" i="6"/>
  <c r="S393" i="6"/>
  <c r="Q401" i="6"/>
  <c r="Q399" i="6"/>
  <c r="Q398" i="6"/>
  <c r="Q397" i="6"/>
  <c r="Q396" i="6"/>
  <c r="Q395" i="6"/>
  <c r="Q394" i="6"/>
  <c r="Q393" i="6"/>
  <c r="O401" i="6"/>
  <c r="O399" i="6"/>
  <c r="O398" i="6"/>
  <c r="O397" i="6"/>
  <c r="O396" i="6"/>
  <c r="O395" i="6"/>
  <c r="O394" i="6"/>
  <c r="O393" i="6"/>
  <c r="M401" i="6"/>
  <c r="M399" i="6"/>
  <c r="M398" i="6"/>
  <c r="M397" i="6"/>
  <c r="M396" i="6"/>
  <c r="M395" i="6"/>
  <c r="M394" i="6"/>
  <c r="M393" i="6"/>
  <c r="K401" i="6"/>
  <c r="K399" i="6"/>
  <c r="K398" i="6"/>
  <c r="K397" i="6"/>
  <c r="K396" i="6"/>
  <c r="K395" i="6"/>
  <c r="K394" i="6"/>
  <c r="K393" i="6"/>
  <c r="I401" i="6"/>
  <c r="I399" i="6"/>
  <c r="I398" i="6"/>
  <c r="I397" i="6"/>
  <c r="I396" i="6"/>
  <c r="I395" i="6"/>
  <c r="I394" i="6"/>
  <c r="I393" i="6"/>
  <c r="G401" i="6"/>
  <c r="G399" i="6"/>
  <c r="G398" i="6"/>
  <c r="G397" i="6"/>
  <c r="G396" i="6"/>
  <c r="G395" i="6"/>
  <c r="G394" i="6"/>
  <c r="G393" i="6"/>
  <c r="E401" i="6"/>
  <c r="E399" i="6"/>
  <c r="E398" i="6"/>
  <c r="E397" i="6"/>
  <c r="E396" i="6"/>
  <c r="E395" i="6"/>
  <c r="E394" i="6"/>
  <c r="E393" i="6"/>
  <c r="C394" i="6"/>
  <c r="C395" i="6"/>
  <c r="C396" i="6"/>
  <c r="C397" i="6"/>
  <c r="C398" i="6"/>
  <c r="C399" i="6"/>
  <c r="C401" i="6"/>
  <c r="A394" i="6"/>
  <c r="A395" i="6"/>
  <c r="A396" i="6"/>
  <c r="A397" i="6"/>
  <c r="A398" i="6"/>
  <c r="A399" i="6"/>
  <c r="A393" i="6"/>
  <c r="AE310" i="6"/>
  <c r="AE309" i="6"/>
  <c r="AE308" i="6"/>
  <c r="AE307" i="6"/>
  <c r="AE306" i="6"/>
  <c r="AE305" i="6"/>
  <c r="AC310" i="6"/>
  <c r="AC309" i="6"/>
  <c r="AC308" i="6"/>
  <c r="AC307" i="6"/>
  <c r="AC306" i="6"/>
  <c r="AC305" i="6"/>
  <c r="AA310" i="6"/>
  <c r="AA309" i="6"/>
  <c r="AA308" i="6"/>
  <c r="AA307" i="6"/>
  <c r="AA306" i="6"/>
  <c r="AA305" i="6"/>
  <c r="Y310" i="6"/>
  <c r="Y309" i="6"/>
  <c r="Y308" i="6"/>
  <c r="Y307" i="6"/>
  <c r="Y306" i="6"/>
  <c r="Y305" i="6"/>
  <c r="W310" i="6"/>
  <c r="W309" i="6"/>
  <c r="W308" i="6"/>
  <c r="W307" i="6"/>
  <c r="W306" i="6"/>
  <c r="W305" i="6"/>
  <c r="U310" i="6"/>
  <c r="U309" i="6"/>
  <c r="U308" i="6"/>
  <c r="U307" i="6"/>
  <c r="U306" i="6"/>
  <c r="U305" i="6"/>
  <c r="S310" i="6"/>
  <c r="S309" i="6"/>
  <c r="S308" i="6"/>
  <c r="S307" i="6"/>
  <c r="S306" i="6"/>
  <c r="S305" i="6"/>
  <c r="Q310" i="6"/>
  <c r="Q309" i="6"/>
  <c r="Q308" i="6"/>
  <c r="Q307" i="6"/>
  <c r="Q306" i="6"/>
  <c r="Q305" i="6"/>
  <c r="O310" i="6"/>
  <c r="O309" i="6"/>
  <c r="O308" i="6"/>
  <c r="O307" i="6"/>
  <c r="O306" i="6"/>
  <c r="O305" i="6"/>
  <c r="M310" i="6"/>
  <c r="M309" i="6"/>
  <c r="M308" i="6"/>
  <c r="M307" i="6"/>
  <c r="M306" i="6"/>
  <c r="M305" i="6"/>
  <c r="K310" i="6"/>
  <c r="K309" i="6"/>
  <c r="K308" i="6"/>
  <c r="K307" i="6"/>
  <c r="K306" i="6"/>
  <c r="K305" i="6"/>
  <c r="I310" i="6"/>
  <c r="I309" i="6"/>
  <c r="I308" i="6"/>
  <c r="I307" i="6"/>
  <c r="I306" i="6"/>
  <c r="I305" i="6"/>
  <c r="G310" i="6"/>
  <c r="G309" i="6"/>
  <c r="G308" i="6"/>
  <c r="G307" i="6"/>
  <c r="G306" i="6"/>
  <c r="G305" i="6"/>
  <c r="E310" i="6"/>
  <c r="E309" i="6"/>
  <c r="E308" i="6"/>
  <c r="E307" i="6"/>
  <c r="E306" i="6"/>
  <c r="E305" i="6"/>
  <c r="C306" i="6"/>
  <c r="C307" i="6"/>
  <c r="C308" i="6"/>
  <c r="C309" i="6"/>
  <c r="C310" i="6"/>
  <c r="A306" i="6"/>
  <c r="A307" i="6"/>
  <c r="A308" i="6"/>
  <c r="A309" i="6"/>
  <c r="A310" i="6"/>
  <c r="A311" i="6"/>
  <c r="A305" i="6"/>
  <c r="AE222" i="6"/>
  <c r="AE221" i="6"/>
  <c r="AE220" i="6"/>
  <c r="AE219" i="6"/>
  <c r="AE218" i="6"/>
  <c r="AC222" i="6"/>
  <c r="AC221" i="6"/>
  <c r="AC220" i="6"/>
  <c r="AC219" i="6"/>
  <c r="AC218" i="6"/>
  <c r="AA222" i="6"/>
  <c r="AA221" i="6"/>
  <c r="AA220" i="6"/>
  <c r="AA219" i="6"/>
  <c r="AA218" i="6"/>
  <c r="Y222" i="6"/>
  <c r="Y221" i="6"/>
  <c r="Y220" i="6"/>
  <c r="Y219" i="6"/>
  <c r="Y218" i="6"/>
  <c r="W222" i="6"/>
  <c r="W221" i="6"/>
  <c r="W220" i="6"/>
  <c r="W219" i="6"/>
  <c r="W218" i="6"/>
  <c r="U222" i="6"/>
  <c r="U221" i="6"/>
  <c r="U220" i="6"/>
  <c r="U219" i="6"/>
  <c r="U218" i="6"/>
  <c r="S222" i="6"/>
  <c r="S221" i="6"/>
  <c r="S220" i="6"/>
  <c r="S219" i="6"/>
  <c r="S218" i="6"/>
  <c r="Q222" i="6"/>
  <c r="Q221" i="6"/>
  <c r="Q220" i="6"/>
  <c r="Q219" i="6"/>
  <c r="Q218" i="6"/>
  <c r="FN47" i="7"/>
  <c r="FN46" i="7"/>
  <c r="FN45" i="7"/>
  <c r="FN44" i="7"/>
  <c r="FN43" i="7"/>
  <c r="FM47" i="7"/>
  <c r="FM46" i="7"/>
  <c r="FM45" i="7"/>
  <c r="FM44" i="7"/>
  <c r="FM43" i="7"/>
  <c r="FL47" i="7"/>
  <c r="FL46" i="7"/>
  <c r="FL45" i="7"/>
  <c r="FL44" i="7"/>
  <c r="FL43" i="7"/>
  <c r="FK47" i="7"/>
  <c r="FK46" i="7"/>
  <c r="FK45" i="7"/>
  <c r="FK44" i="7"/>
  <c r="FK43" i="7"/>
  <c r="FJ47" i="7"/>
  <c r="FJ46" i="7"/>
  <c r="FJ45" i="7"/>
  <c r="FJ44" i="7"/>
  <c r="FJ43" i="7"/>
  <c r="FI47" i="7"/>
  <c r="FI46" i="7"/>
  <c r="FI45" i="7"/>
  <c r="FI44" i="7"/>
  <c r="FI43" i="7"/>
  <c r="C218" i="6"/>
  <c r="C219" i="6"/>
  <c r="C220" i="6"/>
  <c r="C221" i="6"/>
  <c r="C222" i="6"/>
  <c r="C223" i="6"/>
  <c r="A218" i="6"/>
  <c r="A219" i="6"/>
  <c r="A220" i="6"/>
  <c r="A221" i="6"/>
  <c r="A222" i="6"/>
  <c r="A217" i="6"/>
  <c r="AE135" i="6"/>
  <c r="AE134" i="6"/>
  <c r="AE133" i="6"/>
  <c r="AE132" i="6"/>
  <c r="AE131" i="6"/>
  <c r="AE130" i="6"/>
  <c r="AC135" i="6"/>
  <c r="AC134" i="6"/>
  <c r="AC133" i="6"/>
  <c r="AC132" i="6"/>
  <c r="AC131" i="6"/>
  <c r="AC130" i="6"/>
  <c r="AA135" i="6"/>
  <c r="AA134" i="6"/>
  <c r="AA133" i="6"/>
  <c r="AA132" i="6"/>
  <c r="AA131" i="6"/>
  <c r="AA130" i="6"/>
  <c r="Y135" i="6"/>
  <c r="Y134" i="6"/>
  <c r="Y133" i="6"/>
  <c r="Y132" i="6"/>
  <c r="Y131" i="6"/>
  <c r="Y130" i="6"/>
  <c r="W135" i="6"/>
  <c r="W134" i="6"/>
  <c r="W133" i="6"/>
  <c r="W132" i="6"/>
  <c r="W131" i="6"/>
  <c r="W130" i="6"/>
  <c r="U135" i="6"/>
  <c r="U134" i="6"/>
  <c r="U133" i="6"/>
  <c r="U132" i="6"/>
  <c r="U131" i="6"/>
  <c r="U130" i="6"/>
  <c r="S135" i="6"/>
  <c r="S134" i="6"/>
  <c r="S133" i="6"/>
  <c r="S132" i="6"/>
  <c r="S131" i="6"/>
  <c r="S130" i="6"/>
  <c r="Q135" i="6"/>
  <c r="Q134" i="6"/>
  <c r="Q133" i="6"/>
  <c r="Q132" i="6"/>
  <c r="Q131" i="6"/>
  <c r="Q130" i="6"/>
  <c r="EX48" i="7"/>
  <c r="EX47" i="7"/>
  <c r="EX46" i="7"/>
  <c r="EX45" i="7"/>
  <c r="EX44" i="7"/>
  <c r="EX43" i="7"/>
  <c r="EW48" i="7"/>
  <c r="EW47" i="7"/>
  <c r="EW46" i="7"/>
  <c r="EW45" i="7"/>
  <c r="EW44" i="7"/>
  <c r="EW43" i="7"/>
  <c r="EV48" i="7"/>
  <c r="EV47" i="7"/>
  <c r="EV46" i="7"/>
  <c r="EV45" i="7"/>
  <c r="EV44" i="7"/>
  <c r="EV43" i="7"/>
  <c r="EU48" i="7"/>
  <c r="EU47" i="7"/>
  <c r="EU46" i="7"/>
  <c r="EU45" i="7"/>
  <c r="EU44" i="7"/>
  <c r="EU43" i="7"/>
  <c r="ET48" i="7"/>
  <c r="ET47" i="7"/>
  <c r="ET46" i="7"/>
  <c r="ET45" i="7"/>
  <c r="ET44" i="7"/>
  <c r="ET43" i="7"/>
  <c r="E135" i="6"/>
  <c r="E134" i="6"/>
  <c r="E133" i="6"/>
  <c r="E132" i="6"/>
  <c r="E131" i="6"/>
  <c r="E130" i="6"/>
  <c r="C130" i="6"/>
  <c r="C131" i="6"/>
  <c r="C132" i="6"/>
  <c r="C133" i="6"/>
  <c r="C134" i="6"/>
  <c r="C135" i="6"/>
  <c r="AE45" i="6"/>
  <c r="AE44" i="6"/>
  <c r="AE43" i="6"/>
  <c r="AE42" i="6"/>
  <c r="AE41" i="6"/>
  <c r="AC45" i="6"/>
  <c r="AC44" i="6"/>
  <c r="AC43" i="6"/>
  <c r="AC42" i="6"/>
  <c r="AC41" i="6"/>
  <c r="AA45" i="6"/>
  <c r="AA44" i="6"/>
  <c r="AA43" i="6"/>
  <c r="AA42" i="6"/>
  <c r="AA41" i="6"/>
  <c r="Y45" i="6"/>
  <c r="Y44" i="6"/>
  <c r="Y43" i="6"/>
  <c r="Y42" i="6"/>
  <c r="Y41" i="6"/>
  <c r="W45" i="6"/>
  <c r="W44" i="6"/>
  <c r="W43" i="6"/>
  <c r="W42" i="6"/>
  <c r="W41" i="6"/>
  <c r="U45" i="6"/>
  <c r="U44" i="6"/>
  <c r="U43" i="6"/>
  <c r="U42" i="6"/>
  <c r="U41" i="6"/>
  <c r="S45" i="6"/>
  <c r="S44" i="6"/>
  <c r="S43" i="6"/>
  <c r="S42" i="6"/>
  <c r="S41" i="6"/>
  <c r="EC42" i="7"/>
  <c r="Q46" i="6"/>
  <c r="Q45" i="6"/>
  <c r="Q44" i="6"/>
  <c r="Q43" i="6"/>
  <c r="Q42" i="6"/>
  <c r="Q41" i="6"/>
  <c r="O46" i="6"/>
  <c r="O45" i="6"/>
  <c r="O44" i="6"/>
  <c r="O43" i="6"/>
  <c r="O42" i="6"/>
  <c r="O41" i="6"/>
  <c r="M46" i="6"/>
  <c r="M45" i="6"/>
  <c r="M44" i="6"/>
  <c r="M43" i="6"/>
  <c r="M42" i="6"/>
  <c r="M41" i="6"/>
  <c r="K46" i="6"/>
  <c r="K45" i="6"/>
  <c r="K44" i="6"/>
  <c r="K43" i="6"/>
  <c r="K42" i="6"/>
  <c r="K41" i="6"/>
  <c r="I46" i="6"/>
  <c r="I45" i="6"/>
  <c r="I44" i="6"/>
  <c r="I43" i="6"/>
  <c r="I42" i="6"/>
  <c r="I41" i="6"/>
  <c r="G46" i="6"/>
  <c r="G45" i="6"/>
  <c r="G44" i="6"/>
  <c r="G43" i="6"/>
  <c r="G42" i="6"/>
  <c r="G41" i="6"/>
  <c r="EC43" i="7"/>
  <c r="EC44" i="7"/>
  <c r="EC45" i="7"/>
  <c r="EC46" i="7"/>
  <c r="EC47" i="7"/>
  <c r="EB42" i="7"/>
  <c r="EB43" i="7"/>
  <c r="EB44" i="7"/>
  <c r="EB45" i="7"/>
  <c r="EB46" i="7"/>
  <c r="EB47" i="7"/>
  <c r="EB48" i="7"/>
  <c r="C545" i="6"/>
  <c r="C544" i="6"/>
  <c r="C540" i="6"/>
  <c r="C539" i="6"/>
  <c r="C538" i="6"/>
  <c r="C537" i="6"/>
  <c r="C536" i="6"/>
  <c r="C535" i="6"/>
  <c r="C541" i="6"/>
  <c r="C542" i="6"/>
  <c r="C543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AN68" i="5" l="1"/>
  <c r="E44" i="14" s="1"/>
  <c r="SA76" i="1"/>
  <c r="SA77" i="1" s="1"/>
  <c r="SA78" i="1" s="1"/>
  <c r="SA79" i="1" s="1"/>
  <c r="SA80" i="1" s="1"/>
  <c r="SA81" i="1" s="1"/>
  <c r="SA82" i="1" s="1"/>
  <c r="SA83" i="1" s="1"/>
  <c r="SA84" i="1" s="1"/>
  <c r="SA85" i="1" s="1"/>
  <c r="SA86" i="1" s="1"/>
  <c r="SA87" i="1" s="1"/>
  <c r="SA88" i="1" s="1"/>
  <c r="SA89" i="1" s="1"/>
  <c r="SA90" i="1" s="1"/>
  <c r="SA91" i="1" s="1"/>
  <c r="SA92" i="1" s="1"/>
  <c r="SA93" i="1" s="1"/>
  <c r="SA94" i="1" s="1"/>
  <c r="SA95" i="1" s="1"/>
  <c r="SA96" i="1" s="1"/>
  <c r="SA97" i="1" s="1"/>
  <c r="SA98" i="1" s="1"/>
  <c r="SA99" i="1" s="1"/>
  <c r="SA100" i="1" s="1"/>
  <c r="SA101" i="1" s="1"/>
  <c r="SA102" i="1" s="1"/>
  <c r="SA103" i="1" s="1"/>
  <c r="SA104" i="1" s="1"/>
  <c r="SA105" i="1" s="1"/>
  <c r="SA106" i="1" s="1"/>
  <c r="SA107" i="1" s="1"/>
  <c r="BD18" i="5"/>
  <c r="SS76" i="1"/>
  <c r="SS77" i="1" s="1"/>
  <c r="SS78" i="1" s="1"/>
  <c r="SS79" i="1" s="1"/>
  <c r="SS80" i="1" s="1"/>
  <c r="SS81" i="1" s="1"/>
  <c r="SS82" i="1" s="1"/>
  <c r="SS83" i="1" s="1"/>
  <c r="SS84" i="1" s="1"/>
  <c r="SS85" i="1" s="1"/>
  <c r="SS86" i="1" s="1"/>
  <c r="SS87" i="1" s="1"/>
  <c r="SS88" i="1" s="1"/>
  <c r="SS89" i="1" s="1"/>
  <c r="SS90" i="1" s="1"/>
  <c r="SS91" i="1" s="1"/>
  <c r="SS92" i="1" s="1"/>
  <c r="SS93" i="1" s="1"/>
  <c r="SS94" i="1" s="1"/>
  <c r="SS95" i="1" s="1"/>
  <c r="SS96" i="1" s="1"/>
  <c r="SS97" i="1" s="1"/>
  <c r="SS98" i="1" s="1"/>
  <c r="SS99" i="1" s="1"/>
  <c r="SS100" i="1" s="1"/>
  <c r="SS101" i="1" s="1"/>
  <c r="SS102" i="1" s="1"/>
  <c r="SS103" i="1" s="1"/>
  <c r="SS104" i="1" s="1"/>
  <c r="SS105" i="1" s="1"/>
  <c r="SS106" i="1" s="1"/>
  <c r="SS107" i="1" s="1"/>
  <c r="BF18" i="5"/>
  <c r="SJ76" i="1"/>
  <c r="SJ77" i="1" s="1"/>
  <c r="SJ78" i="1" s="1"/>
  <c r="SJ79" i="1" s="1"/>
  <c r="SJ80" i="1" s="1"/>
  <c r="SJ81" i="1" s="1"/>
  <c r="SJ82" i="1" s="1"/>
  <c r="SJ83" i="1" s="1"/>
  <c r="SJ84" i="1" s="1"/>
  <c r="SJ85" i="1" s="1"/>
  <c r="SJ86" i="1" s="1"/>
  <c r="SJ87" i="1" s="1"/>
  <c r="SJ88" i="1" s="1"/>
  <c r="SJ89" i="1" s="1"/>
  <c r="SJ90" i="1" s="1"/>
  <c r="SJ91" i="1" s="1"/>
  <c r="SJ92" i="1" s="1"/>
  <c r="SJ93" i="1" s="1"/>
  <c r="SJ94" i="1" s="1"/>
  <c r="SJ95" i="1" s="1"/>
  <c r="SJ96" i="1" s="1"/>
  <c r="SJ97" i="1" s="1"/>
  <c r="SJ98" i="1" s="1"/>
  <c r="SJ99" i="1" s="1"/>
  <c r="SJ100" i="1" s="1"/>
  <c r="SJ101" i="1" s="1"/>
  <c r="SJ102" i="1" s="1"/>
  <c r="SJ103" i="1" s="1"/>
  <c r="SJ104" i="1" s="1"/>
  <c r="SJ105" i="1" s="1"/>
  <c r="SJ106" i="1" s="1"/>
  <c r="SJ107" i="1" s="1"/>
  <c r="BE18" i="5"/>
  <c r="AM68" i="5"/>
  <c r="E43" i="14" s="1"/>
  <c r="AL68" i="5"/>
  <c r="E42" i="14" s="1"/>
  <c r="TB76" i="1"/>
  <c r="TB77" i="1" s="1"/>
  <c r="TB78" i="1" s="1"/>
  <c r="TB79" i="1" s="1"/>
  <c r="TB80" i="1" s="1"/>
  <c r="TB81" i="1" s="1"/>
  <c r="TB82" i="1" s="1"/>
  <c r="TB83" i="1" s="1"/>
  <c r="TB84" i="1" s="1"/>
  <c r="TB85" i="1" s="1"/>
  <c r="TB86" i="1" s="1"/>
  <c r="TB87" i="1" s="1"/>
  <c r="TB88" i="1" s="1"/>
  <c r="TB89" i="1" s="1"/>
  <c r="TB90" i="1" s="1"/>
  <c r="TB91" i="1" s="1"/>
  <c r="TB92" i="1" s="1"/>
  <c r="TB93" i="1" s="1"/>
  <c r="TB94" i="1" s="1"/>
  <c r="TB95" i="1" s="1"/>
  <c r="TB96" i="1" s="1"/>
  <c r="TB97" i="1" s="1"/>
  <c r="TB98" i="1" s="1"/>
  <c r="TB99" i="1" s="1"/>
  <c r="TB100" i="1" s="1"/>
  <c r="TB101" i="1" s="1"/>
  <c r="TB102" i="1" s="1"/>
  <c r="TB103" i="1" s="1"/>
  <c r="TB104" i="1" s="1"/>
  <c r="TB105" i="1" s="1"/>
  <c r="TB106" i="1" s="1"/>
  <c r="TB107" i="1" s="1"/>
  <c r="BG18" i="5"/>
  <c r="TK76" i="1"/>
  <c r="TK77" i="1" s="1"/>
  <c r="TK78" i="1" s="1"/>
  <c r="TK79" i="1" s="1"/>
  <c r="TK80" i="1" s="1"/>
  <c r="TK81" i="1" s="1"/>
  <c r="TK82" i="1" s="1"/>
  <c r="TK83" i="1" s="1"/>
  <c r="TK84" i="1" s="1"/>
  <c r="TK85" i="1" s="1"/>
  <c r="TK86" i="1" s="1"/>
  <c r="TK87" i="1" s="1"/>
  <c r="TK88" i="1" s="1"/>
  <c r="TK89" i="1" s="1"/>
  <c r="TK90" i="1" s="1"/>
  <c r="TK91" i="1" s="1"/>
  <c r="TK92" i="1" s="1"/>
  <c r="TK93" i="1" s="1"/>
  <c r="TK94" i="1" s="1"/>
  <c r="TK95" i="1" s="1"/>
  <c r="TK96" i="1" s="1"/>
  <c r="TK97" i="1" s="1"/>
  <c r="TK98" i="1" s="1"/>
  <c r="TK99" i="1" s="1"/>
  <c r="TK100" i="1" s="1"/>
  <c r="TK101" i="1" s="1"/>
  <c r="TK102" i="1" s="1"/>
  <c r="TK103" i="1" s="1"/>
  <c r="TK104" i="1" s="1"/>
  <c r="TK105" i="1" s="1"/>
  <c r="TK106" i="1" s="1"/>
  <c r="TK107" i="1" s="1"/>
  <c r="BH18" i="5"/>
  <c r="RR76" i="1"/>
  <c r="RR77" i="1" s="1"/>
  <c r="RR78" i="1" s="1"/>
  <c r="RR79" i="1" s="1"/>
  <c r="RR80" i="1" s="1"/>
  <c r="RR81" i="1" s="1"/>
  <c r="RR82" i="1" s="1"/>
  <c r="RR83" i="1" s="1"/>
  <c r="RR84" i="1" s="1"/>
  <c r="RR85" i="1" s="1"/>
  <c r="RR86" i="1" s="1"/>
  <c r="RR87" i="1" s="1"/>
  <c r="RR88" i="1" s="1"/>
  <c r="RR89" i="1" s="1"/>
  <c r="RR90" i="1" s="1"/>
  <c r="RR91" i="1" s="1"/>
  <c r="RR92" i="1" s="1"/>
  <c r="RR93" i="1" s="1"/>
  <c r="RR94" i="1" s="1"/>
  <c r="RR95" i="1" s="1"/>
  <c r="RR96" i="1" s="1"/>
  <c r="RR97" i="1" s="1"/>
  <c r="RR98" i="1" s="1"/>
  <c r="RR99" i="1" s="1"/>
  <c r="RR100" i="1" s="1"/>
  <c r="RR101" i="1" s="1"/>
  <c r="RR102" i="1" s="1"/>
  <c r="RR103" i="1" s="1"/>
  <c r="RR104" i="1" s="1"/>
  <c r="RR105" i="1" s="1"/>
  <c r="RR106" i="1" s="1"/>
  <c r="RR107" i="1" s="1"/>
  <c r="BC18" i="5"/>
  <c r="QZ76" i="1"/>
  <c r="QZ77" i="1" s="1"/>
  <c r="QZ78" i="1" s="1"/>
  <c r="QZ79" i="1" s="1"/>
  <c r="QZ80" i="1" s="1"/>
  <c r="QZ81" i="1" s="1"/>
  <c r="QZ82" i="1" s="1"/>
  <c r="QZ83" i="1" s="1"/>
  <c r="QZ84" i="1" s="1"/>
  <c r="QZ85" i="1" s="1"/>
  <c r="QZ86" i="1" s="1"/>
  <c r="QZ87" i="1" s="1"/>
  <c r="QZ88" i="1" s="1"/>
  <c r="QZ89" i="1" s="1"/>
  <c r="QZ90" i="1" s="1"/>
  <c r="QZ91" i="1" s="1"/>
  <c r="QZ92" i="1" s="1"/>
  <c r="QZ93" i="1" s="1"/>
  <c r="QZ94" i="1" s="1"/>
  <c r="QZ95" i="1" s="1"/>
  <c r="QZ96" i="1" s="1"/>
  <c r="QZ97" i="1" s="1"/>
  <c r="QZ98" i="1" s="1"/>
  <c r="QZ99" i="1" s="1"/>
  <c r="QZ100" i="1" s="1"/>
  <c r="QZ101" i="1" s="1"/>
  <c r="QZ102" i="1" s="1"/>
  <c r="QZ103" i="1" s="1"/>
  <c r="QZ104" i="1" s="1"/>
  <c r="QZ105" i="1" s="1"/>
  <c r="QZ106" i="1" s="1"/>
  <c r="QZ107" i="1" s="1"/>
  <c r="BA18" i="5"/>
  <c r="IX47" i="7"/>
  <c r="IX46" i="7"/>
  <c r="IX45" i="7"/>
  <c r="IX44" i="7"/>
  <c r="IX43" i="7"/>
  <c r="IW47" i="7"/>
  <c r="IW46" i="7"/>
  <c r="IW45" i="7"/>
  <c r="IW44" i="7"/>
  <c r="IW43" i="7"/>
  <c r="IV47" i="7"/>
  <c r="IV46" i="7"/>
  <c r="IV45" i="7"/>
  <c r="IV44" i="7"/>
  <c r="IV43" i="7"/>
  <c r="IU47" i="7"/>
  <c r="IU46" i="7"/>
  <c r="IU45" i="7"/>
  <c r="IU44" i="7"/>
  <c r="IU43" i="7"/>
  <c r="IT47" i="7"/>
  <c r="IT46" i="7"/>
  <c r="IT45" i="7"/>
  <c r="IT44" i="7"/>
  <c r="IT43" i="7"/>
  <c r="IS47" i="7"/>
  <c r="IS46" i="7"/>
  <c r="IS45" i="7"/>
  <c r="IS44" i="7"/>
  <c r="IS43" i="7"/>
  <c r="IR47" i="7"/>
  <c r="IR46" i="7"/>
  <c r="IR45" i="7"/>
  <c r="IR44" i="7"/>
  <c r="IR43" i="7"/>
  <c r="IQ47" i="7"/>
  <c r="IQ46" i="7"/>
  <c r="IQ45" i="7"/>
  <c r="IQ44" i="7"/>
  <c r="IQ43" i="7"/>
  <c r="IP47" i="7"/>
  <c r="IP46" i="7"/>
  <c r="IP45" i="7"/>
  <c r="IP44" i="7"/>
  <c r="IP43" i="7"/>
  <c r="IO47" i="7"/>
  <c r="IO46" i="7"/>
  <c r="IO45" i="7"/>
  <c r="IO44" i="7"/>
  <c r="IO43" i="7"/>
  <c r="IN47" i="7"/>
  <c r="IN46" i="7"/>
  <c r="IN45" i="7"/>
  <c r="IN44" i="7"/>
  <c r="IN43" i="7"/>
  <c r="IN42" i="7"/>
  <c r="IM47" i="7"/>
  <c r="IM46" i="7"/>
  <c r="IM45" i="7"/>
  <c r="IM44" i="7"/>
  <c r="IM43" i="7"/>
  <c r="IM42" i="7"/>
  <c r="IL47" i="7"/>
  <c r="IL46" i="7"/>
  <c r="IL45" i="7"/>
  <c r="IL44" i="7"/>
  <c r="IL43" i="7"/>
  <c r="IL42" i="7"/>
  <c r="IK47" i="7"/>
  <c r="IK46" i="7"/>
  <c r="IK45" i="7"/>
  <c r="IK44" i="7"/>
  <c r="IK43" i="7"/>
  <c r="IK42" i="7"/>
  <c r="IJ43" i="7"/>
  <c r="IJ44" i="7"/>
  <c r="IJ45" i="7"/>
  <c r="IJ46" i="7"/>
  <c r="IJ47" i="7"/>
  <c r="IH50" i="7"/>
  <c r="IH48" i="7"/>
  <c r="IH47" i="7"/>
  <c r="IH46" i="7"/>
  <c r="IH45" i="7"/>
  <c r="IH44" i="7"/>
  <c r="IH43" i="7"/>
  <c r="IG48" i="7"/>
  <c r="IG47" i="7"/>
  <c r="IG46" i="7"/>
  <c r="IG45" i="7"/>
  <c r="IG44" i="7"/>
  <c r="IG43" i="7"/>
  <c r="IF50" i="7"/>
  <c r="IF48" i="7"/>
  <c r="IF47" i="7"/>
  <c r="IF46" i="7"/>
  <c r="IF45" i="7"/>
  <c r="IF44" i="7"/>
  <c r="IF43" i="7"/>
  <c r="IE50" i="7"/>
  <c r="IE48" i="7"/>
  <c r="IE47" i="7"/>
  <c r="IE46" i="7"/>
  <c r="IE45" i="7"/>
  <c r="IE44" i="7"/>
  <c r="IE43" i="7"/>
  <c r="ID48" i="7"/>
  <c r="ID47" i="7"/>
  <c r="ID46" i="7"/>
  <c r="ID45" i="7"/>
  <c r="ID44" i="7"/>
  <c r="ID43" i="7"/>
  <c r="IC50" i="7"/>
  <c r="IC48" i="7"/>
  <c r="IC47" i="7"/>
  <c r="IC46" i="7"/>
  <c r="IC45" i="7"/>
  <c r="IC44" i="7"/>
  <c r="IC43" i="7"/>
  <c r="IB48" i="7"/>
  <c r="IB47" i="7"/>
  <c r="IB46" i="7"/>
  <c r="IB45" i="7"/>
  <c r="IB44" i="7"/>
  <c r="IB43" i="7"/>
  <c r="IA50" i="7"/>
  <c r="IA48" i="7"/>
  <c r="IA47" i="7"/>
  <c r="IA46" i="7"/>
  <c r="IA45" i="7"/>
  <c r="IA44" i="7"/>
  <c r="IA43" i="7"/>
  <c r="HZ50" i="7"/>
  <c r="HZ48" i="7"/>
  <c r="HZ47" i="7"/>
  <c r="HZ46" i="7"/>
  <c r="HZ45" i="7"/>
  <c r="HZ44" i="7"/>
  <c r="HZ43" i="7"/>
  <c r="HY50" i="7"/>
  <c r="HY48" i="7"/>
  <c r="HY47" i="7"/>
  <c r="HY46" i="7"/>
  <c r="HY45" i="7"/>
  <c r="HY44" i="7"/>
  <c r="HY43" i="7"/>
  <c r="HX48" i="7"/>
  <c r="HX47" i="7"/>
  <c r="HX46" i="7"/>
  <c r="HX45" i="7"/>
  <c r="HX44" i="7"/>
  <c r="HX43" i="7"/>
  <c r="HX42" i="7"/>
  <c r="HW48" i="7"/>
  <c r="HW47" i="7"/>
  <c r="HW46" i="7"/>
  <c r="HW45" i="7"/>
  <c r="HW44" i="7"/>
  <c r="HW43" i="7"/>
  <c r="HW42" i="7"/>
  <c r="HV48" i="7"/>
  <c r="HV47" i="7"/>
  <c r="HV46" i="7"/>
  <c r="HV45" i="7"/>
  <c r="HV44" i="7"/>
  <c r="HV43" i="7"/>
  <c r="HV42" i="7"/>
  <c r="HU48" i="7"/>
  <c r="HU47" i="7"/>
  <c r="HU46" i="7"/>
  <c r="HU45" i="7"/>
  <c r="HU44" i="7"/>
  <c r="HU43" i="7"/>
  <c r="HU42" i="7"/>
  <c r="HT43" i="7"/>
  <c r="HT44" i="7"/>
  <c r="HT45" i="7"/>
  <c r="HT46" i="7"/>
  <c r="HT47" i="7"/>
  <c r="HT48" i="7"/>
  <c r="HR48" i="7"/>
  <c r="HR47" i="7"/>
  <c r="HR46" i="7"/>
  <c r="HR45" i="7"/>
  <c r="HR44" i="7"/>
  <c r="HR43" i="7"/>
  <c r="HR42" i="7"/>
  <c r="HQ48" i="7"/>
  <c r="HQ47" i="7"/>
  <c r="HQ46" i="7"/>
  <c r="HQ45" i="7"/>
  <c r="HQ44" i="7"/>
  <c r="HQ43" i="7"/>
  <c r="HQ42" i="7"/>
  <c r="HP48" i="7"/>
  <c r="HP47" i="7"/>
  <c r="HP46" i="7"/>
  <c r="HP45" i="7"/>
  <c r="HP44" i="7"/>
  <c r="HP43" i="7"/>
  <c r="HP42" i="7"/>
  <c r="HO48" i="7"/>
  <c r="HO47" i="7"/>
  <c r="HO46" i="7"/>
  <c r="HO45" i="7"/>
  <c r="HO44" i="7"/>
  <c r="HO43" i="7"/>
  <c r="HO42" i="7"/>
  <c r="HN48" i="7"/>
  <c r="HN47" i="7"/>
  <c r="HN46" i="7"/>
  <c r="HN45" i="7"/>
  <c r="HN44" i="7"/>
  <c r="HN43" i="7"/>
  <c r="HN42" i="7"/>
  <c r="HM48" i="7"/>
  <c r="HM47" i="7"/>
  <c r="HM46" i="7"/>
  <c r="HM45" i="7"/>
  <c r="HM44" i="7"/>
  <c r="HM43" i="7"/>
  <c r="HM42" i="7"/>
  <c r="HL48" i="7"/>
  <c r="HL47" i="7"/>
  <c r="HL46" i="7"/>
  <c r="HL45" i="7"/>
  <c r="HL44" i="7"/>
  <c r="HL43" i="7"/>
  <c r="HL42" i="7"/>
  <c r="HK48" i="7"/>
  <c r="HK47" i="7"/>
  <c r="HK46" i="7"/>
  <c r="HK45" i="7"/>
  <c r="HK44" i="7"/>
  <c r="HK43" i="7"/>
  <c r="HK42" i="7"/>
  <c r="HJ48" i="7"/>
  <c r="HJ47" i="7"/>
  <c r="HJ46" i="7"/>
  <c r="HJ45" i="7"/>
  <c r="HJ44" i="7"/>
  <c r="HJ43" i="7"/>
  <c r="HJ42" i="7"/>
  <c r="HI48" i="7"/>
  <c r="HI47" i="7"/>
  <c r="HI46" i="7"/>
  <c r="HI45" i="7"/>
  <c r="HI44" i="7"/>
  <c r="HI43" i="7"/>
  <c r="HI42" i="7"/>
  <c r="HH48" i="7"/>
  <c r="HH47" i="7"/>
  <c r="HH46" i="7"/>
  <c r="HH45" i="7"/>
  <c r="HH44" i="7"/>
  <c r="HH43" i="7"/>
  <c r="HH42" i="7"/>
  <c r="HG48" i="7"/>
  <c r="HG47" i="7"/>
  <c r="HG46" i="7"/>
  <c r="HG45" i="7"/>
  <c r="HG44" i="7"/>
  <c r="HG43" i="7"/>
  <c r="HG42" i="7"/>
  <c r="HF48" i="7"/>
  <c r="HF47" i="7"/>
  <c r="HF46" i="7"/>
  <c r="HF45" i="7"/>
  <c r="HF44" i="7"/>
  <c r="HF43" i="7"/>
  <c r="HF42" i="7"/>
  <c r="HE48" i="7"/>
  <c r="HE47" i="7"/>
  <c r="HE46" i="7"/>
  <c r="HE45" i="7"/>
  <c r="HE44" i="7"/>
  <c r="HE43" i="7"/>
  <c r="HE42" i="7"/>
  <c r="HB50" i="7"/>
  <c r="HB48" i="7"/>
  <c r="HB47" i="7"/>
  <c r="HB46" i="7"/>
  <c r="HB45" i="7"/>
  <c r="HB44" i="7"/>
  <c r="HB43" i="7"/>
  <c r="HB42" i="7"/>
  <c r="HA48" i="7"/>
  <c r="HA47" i="7"/>
  <c r="HA46" i="7"/>
  <c r="HA45" i="7"/>
  <c r="HA44" i="7"/>
  <c r="HA43" i="7"/>
  <c r="GZ50" i="7"/>
  <c r="GZ48" i="7"/>
  <c r="GZ47" i="7"/>
  <c r="GZ46" i="7"/>
  <c r="GZ45" i="7"/>
  <c r="GZ44" i="7"/>
  <c r="GZ43" i="7"/>
  <c r="GY48" i="7"/>
  <c r="GY47" i="7"/>
  <c r="GY46" i="7"/>
  <c r="GY45" i="7"/>
  <c r="GY44" i="7"/>
  <c r="GY43" i="7"/>
  <c r="GX48" i="7"/>
  <c r="GX47" i="7"/>
  <c r="GX46" i="7"/>
  <c r="GX45" i="7"/>
  <c r="GX44" i="7"/>
  <c r="GX43" i="7"/>
  <c r="GW50" i="7"/>
  <c r="GW48" i="7"/>
  <c r="GW47" i="7"/>
  <c r="GW46" i="7"/>
  <c r="GW45" i="7"/>
  <c r="GW44" i="7"/>
  <c r="GW43" i="7"/>
  <c r="GV50" i="7"/>
  <c r="GV48" i="7"/>
  <c r="GV47" i="7"/>
  <c r="GV46" i="7"/>
  <c r="GV45" i="7"/>
  <c r="GV44" i="7"/>
  <c r="GV43" i="7"/>
  <c r="GU50" i="7"/>
  <c r="GU48" i="7"/>
  <c r="GU47" i="7"/>
  <c r="GU46" i="7"/>
  <c r="GU45" i="7"/>
  <c r="GU44" i="7"/>
  <c r="GU43" i="7"/>
  <c r="GT50" i="7"/>
  <c r="GT48" i="7"/>
  <c r="GT47" i="7"/>
  <c r="GT46" i="7"/>
  <c r="GT45" i="7"/>
  <c r="GT44" i="7"/>
  <c r="GT43" i="7"/>
  <c r="GS47" i="7"/>
  <c r="GS46" i="7"/>
  <c r="GS45" i="7"/>
  <c r="GS44" i="7"/>
  <c r="GS43" i="7"/>
  <c r="GR48" i="7"/>
  <c r="GR47" i="7"/>
  <c r="GR46" i="7"/>
  <c r="GR45" i="7"/>
  <c r="GR44" i="7"/>
  <c r="GR43" i="7"/>
  <c r="GQ48" i="7"/>
  <c r="GQ47" i="7"/>
  <c r="GQ46" i="7"/>
  <c r="GQ45" i="7"/>
  <c r="GQ44" i="7"/>
  <c r="GQ43" i="7"/>
  <c r="GP48" i="7"/>
  <c r="GP47" i="7"/>
  <c r="GP46" i="7"/>
  <c r="GP45" i="7"/>
  <c r="GP44" i="7"/>
  <c r="GP43" i="7"/>
  <c r="GO50" i="7"/>
  <c r="GO48" i="7"/>
  <c r="GO47" i="7"/>
  <c r="GO46" i="7"/>
  <c r="GO45" i="7"/>
  <c r="GO44" i="7"/>
  <c r="GO43" i="7"/>
  <c r="GN43" i="7"/>
  <c r="GN44" i="7"/>
  <c r="GN45" i="7"/>
  <c r="GN46" i="7"/>
  <c r="GN47" i="7"/>
  <c r="GL47" i="7"/>
  <c r="GL46" i="7"/>
  <c r="GL45" i="7"/>
  <c r="GL44" i="7"/>
  <c r="GL43" i="7"/>
  <c r="GK47" i="7"/>
  <c r="GK46" i="7"/>
  <c r="GK45" i="7"/>
  <c r="GK44" i="7"/>
  <c r="GK43" i="7"/>
  <c r="GK42" i="7"/>
  <c r="GJ47" i="7"/>
  <c r="GJ46" i="7"/>
  <c r="GJ45" i="7"/>
  <c r="GJ44" i="7"/>
  <c r="GJ43" i="7"/>
  <c r="GJ42" i="7"/>
  <c r="GI47" i="7"/>
  <c r="GI46" i="7"/>
  <c r="GI45" i="7"/>
  <c r="GI44" i="7"/>
  <c r="GI43" i="7"/>
  <c r="GI42" i="7"/>
  <c r="GH47" i="7"/>
  <c r="GH46" i="7"/>
  <c r="GH45" i="7"/>
  <c r="GH44" i="7"/>
  <c r="GH43" i="7"/>
  <c r="GH42" i="7"/>
  <c r="GG47" i="7"/>
  <c r="GG46" i="7"/>
  <c r="GG45" i="7"/>
  <c r="GG44" i="7"/>
  <c r="GG43" i="7"/>
  <c r="GG42" i="7"/>
  <c r="GF47" i="7"/>
  <c r="GF46" i="7"/>
  <c r="GF45" i="7"/>
  <c r="GF44" i="7"/>
  <c r="GF43" i="7"/>
  <c r="GF42" i="7"/>
  <c r="GE47" i="7"/>
  <c r="GE46" i="7"/>
  <c r="GE45" i="7"/>
  <c r="GE44" i="7"/>
  <c r="GE43" i="7"/>
  <c r="GE42" i="7"/>
  <c r="GD47" i="7"/>
  <c r="GD46" i="7"/>
  <c r="GD45" i="7"/>
  <c r="GD44" i="7"/>
  <c r="GD43" i="7"/>
  <c r="GC47" i="7"/>
  <c r="GC46" i="7"/>
  <c r="GC45" i="7"/>
  <c r="GC44" i="7"/>
  <c r="GC43" i="7"/>
  <c r="GB47" i="7"/>
  <c r="GB46" i="7"/>
  <c r="GB45" i="7"/>
  <c r="GB44" i="7"/>
  <c r="GB43" i="7"/>
  <c r="GA47" i="7"/>
  <c r="GA46" i="7"/>
  <c r="GA45" i="7"/>
  <c r="GA44" i="7"/>
  <c r="GA43" i="7"/>
  <c r="FZ47" i="7"/>
  <c r="FZ46" i="7"/>
  <c r="FZ45" i="7"/>
  <c r="FZ44" i="7"/>
  <c r="FZ43" i="7"/>
  <c r="FY47" i="7"/>
  <c r="FY46" i="7"/>
  <c r="FY45" i="7"/>
  <c r="FY44" i="7"/>
  <c r="FY43" i="7"/>
  <c r="FX43" i="7"/>
  <c r="FX44" i="7"/>
  <c r="FX45" i="7"/>
  <c r="FX46" i="7"/>
  <c r="FX47" i="7"/>
  <c r="FV47" i="7"/>
  <c r="FV46" i="7"/>
  <c r="FV45" i="7"/>
  <c r="FV44" i="7"/>
  <c r="FV43" i="7"/>
  <c r="FU47" i="7"/>
  <c r="FU46" i="7"/>
  <c r="FU45" i="7"/>
  <c r="FU44" i="7"/>
  <c r="FU43" i="7"/>
  <c r="FT47" i="7"/>
  <c r="FT46" i="7"/>
  <c r="FT45" i="7"/>
  <c r="FT44" i="7"/>
  <c r="FT43" i="7"/>
  <c r="FS47" i="7"/>
  <c r="FS46" i="7"/>
  <c r="FS45" i="7"/>
  <c r="FS44" i="7"/>
  <c r="FS43" i="7"/>
  <c r="FR47" i="7"/>
  <c r="FR46" i="7"/>
  <c r="FR45" i="7"/>
  <c r="FR44" i="7"/>
  <c r="FR43" i="7"/>
  <c r="FQ47" i="7"/>
  <c r="FQ46" i="7"/>
  <c r="FQ45" i="7"/>
  <c r="FQ44" i="7"/>
  <c r="FQ43" i="7"/>
  <c r="FP47" i="7"/>
  <c r="FP46" i="7"/>
  <c r="FP45" i="7"/>
  <c r="FP44" i="7"/>
  <c r="FP43" i="7"/>
  <c r="FO47" i="7"/>
  <c r="FO46" i="7"/>
  <c r="FO45" i="7"/>
  <c r="FO44" i="7"/>
  <c r="FO43" i="7"/>
  <c r="FH43" i="7"/>
  <c r="FH44" i="7"/>
  <c r="FH45" i="7"/>
  <c r="FH46" i="7"/>
  <c r="FH47" i="7"/>
  <c r="FH48" i="7"/>
  <c r="FF48" i="7"/>
  <c r="FF47" i="7"/>
  <c r="FF46" i="7"/>
  <c r="FF45" i="7"/>
  <c r="FF44" i="7"/>
  <c r="FF43" i="7"/>
  <c r="FE48" i="7"/>
  <c r="FE47" i="7"/>
  <c r="FE46" i="7"/>
  <c r="FE45" i="7"/>
  <c r="FE44" i="7"/>
  <c r="FE43" i="7"/>
  <c r="FD48" i="7"/>
  <c r="FD47" i="7"/>
  <c r="FD46" i="7"/>
  <c r="FD45" i="7"/>
  <c r="FD44" i="7"/>
  <c r="FD43" i="7"/>
  <c r="FC48" i="7"/>
  <c r="FC47" i="7"/>
  <c r="FC46" i="7"/>
  <c r="FC45" i="7"/>
  <c r="FC44" i="7"/>
  <c r="FC43" i="7"/>
  <c r="FB48" i="7"/>
  <c r="FB47" i="7"/>
  <c r="FB46" i="7"/>
  <c r="FB45" i="7"/>
  <c r="FB44" i="7"/>
  <c r="FB43" i="7"/>
  <c r="FA48" i="7"/>
  <c r="FA47" i="7"/>
  <c r="FA46" i="7"/>
  <c r="FA45" i="7"/>
  <c r="FA44" i="7"/>
  <c r="FA43" i="7"/>
  <c r="EZ48" i="7"/>
  <c r="EZ47" i="7"/>
  <c r="EZ46" i="7"/>
  <c r="EZ45" i="7"/>
  <c r="EZ44" i="7"/>
  <c r="EZ43" i="7"/>
  <c r="EY48" i="7"/>
  <c r="EY47" i="7"/>
  <c r="EY46" i="7"/>
  <c r="EY45" i="7"/>
  <c r="EY44" i="7"/>
  <c r="EY43" i="7"/>
  <c r="ES48" i="7"/>
  <c r="ES47" i="7"/>
  <c r="ES46" i="7"/>
  <c r="ES45" i="7"/>
  <c r="ES44" i="7"/>
  <c r="ES43" i="7"/>
  <c r="ER43" i="7"/>
  <c r="ER44" i="7"/>
  <c r="ER45" i="7"/>
  <c r="ER46" i="7"/>
  <c r="ER47" i="7"/>
  <c r="ER48" i="7"/>
  <c r="EP46" i="7"/>
  <c r="EP45" i="7"/>
  <c r="EP44" i="7"/>
  <c r="EP43" i="7"/>
  <c r="EP42" i="7"/>
  <c r="EO46" i="7"/>
  <c r="EO45" i="7"/>
  <c r="EO44" i="7"/>
  <c r="EO43" i="7"/>
  <c r="EO42" i="7"/>
  <c r="EN46" i="7"/>
  <c r="EN45" i="7"/>
  <c r="EN44" i="7"/>
  <c r="EN43" i="7"/>
  <c r="EN42" i="7"/>
  <c r="EM46" i="7"/>
  <c r="EM45" i="7"/>
  <c r="EM44" i="7"/>
  <c r="EM43" i="7"/>
  <c r="EM42" i="7"/>
  <c r="EL46" i="7"/>
  <c r="EL45" i="7"/>
  <c r="EL44" i="7"/>
  <c r="EL43" i="7"/>
  <c r="EL42" i="7"/>
  <c r="EK46" i="7"/>
  <c r="EK45" i="7"/>
  <c r="EK44" i="7"/>
  <c r="EK43" i="7"/>
  <c r="EK42" i="7"/>
  <c r="EJ46" i="7"/>
  <c r="EJ45" i="7"/>
  <c r="EJ44" i="7"/>
  <c r="EJ43" i="7"/>
  <c r="EJ42" i="7"/>
  <c r="EI47" i="7"/>
  <c r="EI46" i="7"/>
  <c r="EI45" i="7"/>
  <c r="EI44" i="7"/>
  <c r="EI43" i="7"/>
  <c r="EI42" i="7"/>
  <c r="EH47" i="7"/>
  <c r="EH46" i="7"/>
  <c r="EH45" i="7"/>
  <c r="EH44" i="7"/>
  <c r="EH43" i="7"/>
  <c r="EH42" i="7"/>
  <c r="EG47" i="7"/>
  <c r="EG46" i="7"/>
  <c r="EG45" i="7"/>
  <c r="EG44" i="7"/>
  <c r="EG43" i="7"/>
  <c r="EG42" i="7"/>
  <c r="EF47" i="7"/>
  <c r="EF46" i="7"/>
  <c r="EF45" i="7"/>
  <c r="EF44" i="7"/>
  <c r="EF43" i="7"/>
  <c r="EF42" i="7"/>
  <c r="EE47" i="7"/>
  <c r="EE46" i="7"/>
  <c r="EE45" i="7"/>
  <c r="EE44" i="7"/>
  <c r="EE43" i="7"/>
  <c r="EE42" i="7"/>
  <c r="ED47" i="7"/>
  <c r="ED46" i="7"/>
  <c r="ED45" i="7"/>
  <c r="ED44" i="7"/>
  <c r="ED43" i="7"/>
  <c r="ED42" i="7"/>
  <c r="RI76" i="1"/>
  <c r="RI77" i="1" s="1"/>
  <c r="RI78" i="1" s="1"/>
  <c r="RI79" i="1" s="1"/>
  <c r="RI80" i="1" s="1"/>
  <c r="RI81" i="1" s="1"/>
  <c r="RI82" i="1" s="1"/>
  <c r="RI83" i="1" s="1"/>
  <c r="RI84" i="1" s="1"/>
  <c r="RI85" i="1" s="1"/>
  <c r="RI86" i="1" s="1"/>
  <c r="RI87" i="1" s="1"/>
  <c r="RI88" i="1" s="1"/>
  <c r="RI89" i="1" s="1"/>
  <c r="RI90" i="1" s="1"/>
  <c r="RI91" i="1" s="1"/>
  <c r="RI92" i="1" s="1"/>
  <c r="RI93" i="1" s="1"/>
  <c r="RI94" i="1" s="1"/>
  <c r="RI95" i="1" s="1"/>
  <c r="RI96" i="1" s="1"/>
  <c r="RI97" i="1" s="1"/>
  <c r="RI98" i="1" s="1"/>
  <c r="RI99" i="1" s="1"/>
  <c r="RI100" i="1" s="1"/>
  <c r="RI101" i="1" s="1"/>
  <c r="RI102" i="1" s="1"/>
  <c r="RI103" i="1" s="1"/>
  <c r="RI104" i="1" s="1"/>
  <c r="RI105" i="1" s="1"/>
  <c r="RI106" i="1" s="1"/>
  <c r="RI107" i="1" s="1"/>
  <c r="BB22" i="5" s="1"/>
  <c r="NH2" i="1"/>
  <c r="AL8" i="5"/>
  <c r="H42" i="17" s="1"/>
  <c r="O42" i="17" s="1"/>
  <c r="LU41" i="1"/>
  <c r="AN8" i="5"/>
  <c r="H44" i="17" s="1"/>
  <c r="O44" i="17" s="1"/>
  <c r="MM41" i="1"/>
  <c r="AO8" i="5"/>
  <c r="MV41" i="1"/>
  <c r="AP8" i="5"/>
  <c r="NE41" i="1"/>
  <c r="OF41" i="1"/>
  <c r="OF42" i="1" s="1"/>
  <c r="OF43" i="1" s="1"/>
  <c r="OF44" i="1" s="1"/>
  <c r="OF45" i="1" s="1"/>
  <c r="OF46" i="1" s="1"/>
  <c r="OF47" i="1" s="1"/>
  <c r="OF48" i="1" s="1"/>
  <c r="OF49" i="1" s="1"/>
  <c r="OF50" i="1" s="1"/>
  <c r="OF51" i="1" s="1"/>
  <c r="OF52" i="1" s="1"/>
  <c r="OF53" i="1" s="1"/>
  <c r="OF54" i="1" s="1"/>
  <c r="OF55" i="1" s="1"/>
  <c r="OF56" i="1" s="1"/>
  <c r="OF57" i="1" s="1"/>
  <c r="OF58" i="1" s="1"/>
  <c r="OF59" i="1" s="1"/>
  <c r="OF60" i="1" s="1"/>
  <c r="OF61" i="1" s="1"/>
  <c r="OF62" i="1" s="1"/>
  <c r="OF63" i="1" s="1"/>
  <c r="OF64" i="1" s="1"/>
  <c r="OF65" i="1" s="1"/>
  <c r="OF66" i="1" s="1"/>
  <c r="OF67" i="1" s="1"/>
  <c r="OF68" i="1" s="1"/>
  <c r="OF69" i="1" s="1"/>
  <c r="OF70" i="1" s="1"/>
  <c r="OF71" i="1" s="1"/>
  <c r="OF75" i="1" s="1"/>
  <c r="OF76" i="1" s="1"/>
  <c r="OF77" i="1" s="1"/>
  <c r="OF78" i="1" s="1"/>
  <c r="OF79" i="1" s="1"/>
  <c r="OF80" i="1" s="1"/>
  <c r="OF81" i="1" s="1"/>
  <c r="OF82" i="1" s="1"/>
  <c r="OF83" i="1" s="1"/>
  <c r="OF84" i="1" s="1"/>
  <c r="OF85" i="1" s="1"/>
  <c r="OF86" i="1" s="1"/>
  <c r="OF87" i="1" s="1"/>
  <c r="OF88" i="1" s="1"/>
  <c r="OF89" i="1" s="1"/>
  <c r="OF90" i="1" s="1"/>
  <c r="OF91" i="1" s="1"/>
  <c r="OF92" i="1" s="1"/>
  <c r="OF93" i="1" s="1"/>
  <c r="OF94" i="1" s="1"/>
  <c r="OF95" i="1" s="1"/>
  <c r="OF96" i="1" s="1"/>
  <c r="OF97" i="1" s="1"/>
  <c r="OF98" i="1" s="1"/>
  <c r="OF99" i="1" s="1"/>
  <c r="OF100" i="1" s="1"/>
  <c r="OF101" i="1" s="1"/>
  <c r="OF102" i="1" s="1"/>
  <c r="OF103" i="1" s="1"/>
  <c r="OF104" i="1" s="1"/>
  <c r="OF105" i="1" s="1"/>
  <c r="OF106" i="1" s="1"/>
  <c r="OF107" i="1" s="1"/>
  <c r="OF111" i="1" s="1"/>
  <c r="OF112" i="1" s="1"/>
  <c r="OF113" i="1" s="1"/>
  <c r="OF114" i="1" s="1"/>
  <c r="OF115" i="1" s="1"/>
  <c r="OF116" i="1" s="1"/>
  <c r="OF117" i="1" s="1"/>
  <c r="OF118" i="1" s="1"/>
  <c r="OF119" i="1" s="1"/>
  <c r="OF120" i="1" s="1"/>
  <c r="OF121" i="1" s="1"/>
  <c r="OF122" i="1" s="1"/>
  <c r="OF123" i="1" s="1"/>
  <c r="OF124" i="1" s="1"/>
  <c r="OF125" i="1" s="1"/>
  <c r="OF126" i="1" s="1"/>
  <c r="OF127" i="1" s="1"/>
  <c r="OF128" i="1" s="1"/>
  <c r="OF129" i="1" s="1"/>
  <c r="OF130" i="1" s="1"/>
  <c r="OF131" i="1" s="1"/>
  <c r="OF132" i="1" s="1"/>
  <c r="OF133" i="1" s="1"/>
  <c r="OF134" i="1" s="1"/>
  <c r="OF135" i="1" s="1"/>
  <c r="OF136" i="1" s="1"/>
  <c r="OF137" i="1" s="1"/>
  <c r="OF138" i="1" s="1"/>
  <c r="OF139" i="1" s="1"/>
  <c r="OF140" i="1" s="1"/>
  <c r="OF141" i="1" s="1"/>
  <c r="OF142" i="1" s="1"/>
  <c r="OF146" i="1" s="1"/>
  <c r="OF147" i="1" s="1"/>
  <c r="OF148" i="1" s="1"/>
  <c r="OF149" i="1" s="1"/>
  <c r="OF150" i="1" s="1"/>
  <c r="OF151" i="1" s="1"/>
  <c r="OF152" i="1" s="1"/>
  <c r="OF153" i="1" s="1"/>
  <c r="OF154" i="1" s="1"/>
  <c r="OF155" i="1" s="1"/>
  <c r="OF156" i="1" s="1"/>
  <c r="OF157" i="1" s="1"/>
  <c r="OF158" i="1" s="1"/>
  <c r="OF159" i="1" s="1"/>
  <c r="OF160" i="1" s="1"/>
  <c r="OF161" i="1" s="1"/>
  <c r="OF162" i="1" s="1"/>
  <c r="OF163" i="1" s="1"/>
  <c r="OF164" i="1" s="1"/>
  <c r="OF165" i="1" s="1"/>
  <c r="OF166" i="1" s="1"/>
  <c r="OF167" i="1" s="1"/>
  <c r="OF168" i="1" s="1"/>
  <c r="OF169" i="1" s="1"/>
  <c r="OF170" i="1" s="1"/>
  <c r="OF171" i="1" s="1"/>
  <c r="OF172" i="1" s="1"/>
  <c r="OF173" i="1" s="1"/>
  <c r="OF174" i="1" s="1"/>
  <c r="OF175" i="1" s="1"/>
  <c r="OF176" i="1" s="1"/>
  <c r="OF177" i="1" s="1"/>
  <c r="OF178" i="1" s="1"/>
  <c r="OF182" i="1" s="1"/>
  <c r="OF183" i="1" s="1"/>
  <c r="OF184" i="1" s="1"/>
  <c r="OF185" i="1" s="1"/>
  <c r="OF186" i="1" s="1"/>
  <c r="OF187" i="1" s="1"/>
  <c r="OF188" i="1" s="1"/>
  <c r="OF189" i="1" s="1"/>
  <c r="OF190" i="1" s="1"/>
  <c r="OF191" i="1" s="1"/>
  <c r="OF192" i="1" s="1"/>
  <c r="OF193" i="1" s="1"/>
  <c r="OF194" i="1" s="1"/>
  <c r="OF195" i="1" s="1"/>
  <c r="OF196" i="1" s="1"/>
  <c r="OF197" i="1" s="1"/>
  <c r="OF198" i="1" s="1"/>
  <c r="OF199" i="1" s="1"/>
  <c r="OF200" i="1" s="1"/>
  <c r="OF201" i="1" s="1"/>
  <c r="OF202" i="1" s="1"/>
  <c r="OF203" i="1" s="1"/>
  <c r="OF204" i="1" s="1"/>
  <c r="OF205" i="1" s="1"/>
  <c r="OF206" i="1" s="1"/>
  <c r="OF207" i="1" s="1"/>
  <c r="OF208" i="1" s="1"/>
  <c r="OF209" i="1" s="1"/>
  <c r="OF210" i="1" s="1"/>
  <c r="OF211" i="1" s="1"/>
  <c r="OF212" i="1" s="1"/>
  <c r="OF213" i="1" s="1"/>
  <c r="OF217" i="1" s="1"/>
  <c r="OF218" i="1" s="1"/>
  <c r="OF219" i="1" s="1"/>
  <c r="OF220" i="1" s="1"/>
  <c r="OF221" i="1" s="1"/>
  <c r="OF222" i="1" s="1"/>
  <c r="OF223" i="1" s="1"/>
  <c r="OF224" i="1" s="1"/>
  <c r="OF225" i="1" s="1"/>
  <c r="OF226" i="1" s="1"/>
  <c r="OF227" i="1" s="1"/>
  <c r="OF228" i="1" s="1"/>
  <c r="OF229" i="1" s="1"/>
  <c r="OF230" i="1" s="1"/>
  <c r="OF231" i="1" s="1"/>
  <c r="OF232" i="1" s="1"/>
  <c r="OF233" i="1" s="1"/>
  <c r="OF234" i="1" s="1"/>
  <c r="OF235" i="1" s="1"/>
  <c r="OF236" i="1" s="1"/>
  <c r="OF237" i="1" s="1"/>
  <c r="OF238" i="1" s="1"/>
  <c r="OF239" i="1" s="1"/>
  <c r="OF240" i="1" s="1"/>
  <c r="OF241" i="1" s="1"/>
  <c r="OF242" i="1" s="1"/>
  <c r="OF243" i="1" s="1"/>
  <c r="OF244" i="1" s="1"/>
  <c r="OF245" i="1" s="1"/>
  <c r="OF246" i="1" s="1"/>
  <c r="OF247" i="1" s="1"/>
  <c r="OF248" i="1" s="1"/>
  <c r="OF249" i="1" s="1"/>
  <c r="OF253" i="1" s="1"/>
  <c r="OF254" i="1" s="1"/>
  <c r="OF255" i="1" s="1"/>
  <c r="OF256" i="1" s="1"/>
  <c r="OF257" i="1" s="1"/>
  <c r="OF258" i="1" s="1"/>
  <c r="OF259" i="1" s="1"/>
  <c r="OF260" i="1" s="1"/>
  <c r="OF261" i="1" s="1"/>
  <c r="OF262" i="1" s="1"/>
  <c r="OF263" i="1" s="1"/>
  <c r="OF264" i="1" s="1"/>
  <c r="OF265" i="1" s="1"/>
  <c r="OF266" i="1" s="1"/>
  <c r="OF267" i="1" s="1"/>
  <c r="OF268" i="1" s="1"/>
  <c r="OF269" i="1" s="1"/>
  <c r="OF270" i="1" s="1"/>
  <c r="OF271" i="1" s="1"/>
  <c r="OF272" i="1" s="1"/>
  <c r="OF273" i="1" s="1"/>
  <c r="OF274" i="1" s="1"/>
  <c r="OF275" i="1" s="1"/>
  <c r="OF276" i="1" s="1"/>
  <c r="OF277" i="1" s="1"/>
  <c r="OF278" i="1" s="1"/>
  <c r="OF279" i="1" s="1"/>
  <c r="OF280" i="1" s="1"/>
  <c r="OF281" i="1" s="1"/>
  <c r="OF282" i="1" s="1"/>
  <c r="OF283" i="1" s="1"/>
  <c r="OF284" i="1" s="1"/>
  <c r="OF285" i="1" s="1"/>
  <c r="OF289" i="1" s="1"/>
  <c r="AS8" i="5"/>
  <c r="E45" i="17"/>
  <c r="E43" i="17"/>
  <c r="AM8" i="5"/>
  <c r="MD41" i="1"/>
  <c r="AM11" i="5" s="1"/>
  <c r="D43" i="18" s="1"/>
  <c r="E42" i="17"/>
  <c r="E46" i="17"/>
  <c r="E44" i="17"/>
  <c r="LX2" i="1"/>
  <c r="AM80" i="5"/>
  <c r="AM52" i="5"/>
  <c r="AM24" i="5"/>
  <c r="AM3" i="5"/>
  <c r="AM73" i="5"/>
  <c r="AM45" i="5"/>
  <c r="AM17" i="5"/>
  <c r="AM66" i="5"/>
  <c r="AM38" i="5"/>
  <c r="AM10" i="5"/>
  <c r="AM59" i="5"/>
  <c r="AM31" i="5"/>
  <c r="MG2" i="1"/>
  <c r="AN73" i="5"/>
  <c r="AN45" i="5"/>
  <c r="AN17" i="5"/>
  <c r="AN66" i="5"/>
  <c r="AN38" i="5"/>
  <c r="AN10" i="5"/>
  <c r="AN59" i="5"/>
  <c r="AN31" i="5"/>
  <c r="AN80" i="5"/>
  <c r="AN24" i="5"/>
  <c r="AN3" i="5"/>
  <c r="AN52" i="5"/>
  <c r="LO2" i="1"/>
  <c r="AL59" i="5"/>
  <c r="AL31" i="5"/>
  <c r="AL80" i="5"/>
  <c r="AL52" i="5"/>
  <c r="AL24" i="5"/>
  <c r="AL3" i="5"/>
  <c r="AL73" i="5"/>
  <c r="AL45" i="5"/>
  <c r="AL17" i="5"/>
  <c r="AL38" i="5"/>
  <c r="AL66" i="5"/>
  <c r="AL10" i="5"/>
  <c r="MY2" i="1"/>
  <c r="AP59" i="5"/>
  <c r="AP31" i="5"/>
  <c r="AP80" i="5"/>
  <c r="AP52" i="5"/>
  <c r="AP24" i="5"/>
  <c r="AP3" i="5"/>
  <c r="AP73" i="5"/>
  <c r="AP45" i="5"/>
  <c r="AP17" i="5"/>
  <c r="AP10" i="5"/>
  <c r="AP66" i="5"/>
  <c r="AP38" i="5"/>
  <c r="MP2" i="1"/>
  <c r="AO66" i="5"/>
  <c r="AO38" i="5"/>
  <c r="AO10" i="5"/>
  <c r="AO59" i="5"/>
  <c r="AO31" i="5"/>
  <c r="AO80" i="5"/>
  <c r="AO52" i="5"/>
  <c r="AO24" i="5"/>
  <c r="AO3" i="5"/>
  <c r="AO73" i="5"/>
  <c r="AO45" i="5"/>
  <c r="AO17" i="5"/>
  <c r="AU81" i="5"/>
  <c r="D51" i="16" s="1"/>
  <c r="AT81" i="5"/>
  <c r="D50" i="16" s="1"/>
  <c r="AU74" i="5"/>
  <c r="D52" i="15" s="1"/>
  <c r="AT74" i="5"/>
  <c r="D51" i="15" s="1"/>
  <c r="AU67" i="5"/>
  <c r="D51" i="14" s="1"/>
  <c r="AT67" i="5"/>
  <c r="D50" i="14" s="1"/>
  <c r="AU60" i="5"/>
  <c r="D51" i="13" s="1"/>
  <c r="AT60" i="5"/>
  <c r="D50" i="13" s="1"/>
  <c r="AU53" i="5"/>
  <c r="D51" i="12" s="1"/>
  <c r="AT53" i="5"/>
  <c r="D50" i="12" s="1"/>
  <c r="SJ111" i="1" l="1"/>
  <c r="BE22" i="5"/>
  <c r="SS111" i="1"/>
  <c r="BF22" i="5"/>
  <c r="TK111" i="1"/>
  <c r="BH22" i="5"/>
  <c r="SA111" i="1"/>
  <c r="BD22" i="5"/>
  <c r="TB111" i="1"/>
  <c r="BG22" i="5"/>
  <c r="RR111" i="1"/>
  <c r="BC22" i="5"/>
  <c r="QZ111" i="1"/>
  <c r="BA22" i="5"/>
  <c r="MA67" i="1"/>
  <c r="MC67" i="1" s="1"/>
  <c r="MA63" i="1"/>
  <c r="MC63" i="1" s="1"/>
  <c r="MA54" i="1"/>
  <c r="MC54" i="1" s="1"/>
  <c r="MA62" i="1"/>
  <c r="MC62" i="1" s="1"/>
  <c r="MA66" i="1"/>
  <c r="MC66" i="1" s="1"/>
  <c r="MA47" i="1"/>
  <c r="MC47" i="1" s="1"/>
  <c r="MA55" i="1"/>
  <c r="MC55" i="1" s="1"/>
  <c r="MA50" i="1"/>
  <c r="MC50" i="1" s="1"/>
  <c r="MA58" i="1"/>
  <c r="MC58" i="1" s="1"/>
  <c r="MA43" i="1"/>
  <c r="MC43" i="1" s="1"/>
  <c r="MA51" i="1"/>
  <c r="MC51" i="1" s="1"/>
  <c r="MA59" i="1"/>
  <c r="MC59" i="1" s="1"/>
  <c r="MA69" i="1"/>
  <c r="MC69" i="1" s="1"/>
  <c r="MA46" i="1"/>
  <c r="MC46" i="1" s="1"/>
  <c r="MA65" i="1"/>
  <c r="MC65" i="1" s="1"/>
  <c r="MA61" i="1"/>
  <c r="MC61" i="1" s="1"/>
  <c r="MJ383" i="1"/>
  <c r="ML383" i="1" s="1"/>
  <c r="MJ361" i="1"/>
  <c r="ML361" i="1" s="1"/>
  <c r="MJ372" i="1"/>
  <c r="MJ380" i="1"/>
  <c r="ML380" i="1" s="1"/>
  <c r="MJ365" i="1"/>
  <c r="ML365" i="1" s="1"/>
  <c r="MJ385" i="1"/>
  <c r="ML385" i="1" s="1"/>
  <c r="MJ400" i="1"/>
  <c r="ML400" i="1" s="1"/>
  <c r="MJ404" i="1"/>
  <c r="ML404" i="1" s="1"/>
  <c r="MJ408" i="1"/>
  <c r="ML408" i="1" s="1"/>
  <c r="MJ412" i="1"/>
  <c r="ML412" i="1" s="1"/>
  <c r="MJ416" i="1"/>
  <c r="ML416" i="1" s="1"/>
  <c r="MJ422" i="1"/>
  <c r="ML422" i="1" s="1"/>
  <c r="MJ426" i="1"/>
  <c r="ML426" i="1" s="1"/>
  <c r="MJ399" i="1"/>
  <c r="ML399" i="1" s="1"/>
  <c r="MJ403" i="1"/>
  <c r="ML403" i="1" s="1"/>
  <c r="MJ407" i="1"/>
  <c r="ML407" i="1" s="1"/>
  <c r="MJ411" i="1"/>
  <c r="ML411" i="1" s="1"/>
  <c r="MJ364" i="1"/>
  <c r="ML364" i="1" s="1"/>
  <c r="MJ420" i="1"/>
  <c r="ML420" i="1" s="1"/>
  <c r="MJ418" i="1"/>
  <c r="ML418" i="1" s="1"/>
  <c r="MJ414" i="1"/>
  <c r="ML414" i="1" s="1"/>
  <c r="MJ410" i="1"/>
  <c r="ML410" i="1" s="1"/>
  <c r="MJ406" i="1"/>
  <c r="ML406" i="1" s="1"/>
  <c r="MJ402" i="1"/>
  <c r="ML402" i="1" s="1"/>
  <c r="MJ398" i="1"/>
  <c r="ML398" i="1" s="1"/>
  <c r="MJ373" i="1"/>
  <c r="MJ384" i="1"/>
  <c r="ML384" i="1" s="1"/>
  <c r="MJ387" i="1"/>
  <c r="ML387" i="1" s="1"/>
  <c r="MJ379" i="1"/>
  <c r="ML379" i="1" s="1"/>
  <c r="MJ415" i="1"/>
  <c r="ML415" i="1" s="1"/>
  <c r="MJ413" i="1"/>
  <c r="ML413" i="1" s="1"/>
  <c r="MJ409" i="1"/>
  <c r="ML409" i="1" s="1"/>
  <c r="MJ405" i="1"/>
  <c r="ML405" i="1" s="1"/>
  <c r="MJ401" i="1"/>
  <c r="ML401" i="1" s="1"/>
  <c r="MJ397" i="1"/>
  <c r="ML397" i="1" s="1"/>
  <c r="MJ424" i="1"/>
  <c r="ML424" i="1" s="1"/>
  <c r="MA49" i="1"/>
  <c r="MC49" i="1" s="1"/>
  <c r="MA57" i="1"/>
  <c r="MC57" i="1" s="1"/>
  <c r="MA44" i="1"/>
  <c r="MC44" i="1" s="1"/>
  <c r="MA48" i="1"/>
  <c r="MC48" i="1" s="1"/>
  <c r="MA52" i="1"/>
  <c r="MC52" i="1" s="1"/>
  <c r="MA56" i="1"/>
  <c r="MC56" i="1" s="1"/>
  <c r="MA60" i="1"/>
  <c r="MC60" i="1" s="1"/>
  <c r="MA64" i="1"/>
  <c r="MC64" i="1" s="1"/>
  <c r="MA45" i="1"/>
  <c r="MC45" i="1" s="1"/>
  <c r="MA53" i="1"/>
  <c r="MC53" i="1" s="1"/>
  <c r="MA68" i="1"/>
  <c r="MC68" i="1" s="1"/>
  <c r="LR284" i="1"/>
  <c r="LT284" i="1" s="1"/>
  <c r="LR155" i="1"/>
  <c r="LT155" i="1" s="1"/>
  <c r="LR163" i="1"/>
  <c r="LT163" i="1" s="1"/>
  <c r="LR176" i="1"/>
  <c r="LT176" i="1" s="1"/>
  <c r="LR118" i="1"/>
  <c r="LT118" i="1" s="1"/>
  <c r="LR126" i="1"/>
  <c r="LT126" i="1" s="1"/>
  <c r="LR134" i="1"/>
  <c r="LT134" i="1" s="1"/>
  <c r="LR81" i="1"/>
  <c r="LT81" i="1" s="1"/>
  <c r="LR89" i="1"/>
  <c r="LT89" i="1" s="1"/>
  <c r="LR97" i="1"/>
  <c r="LT97" i="1" s="1"/>
  <c r="LR106" i="1"/>
  <c r="LT106" i="1" s="1"/>
  <c r="LR49" i="1"/>
  <c r="LT49" i="1" s="1"/>
  <c r="LR30" i="1"/>
  <c r="LT30" i="1" s="1"/>
  <c r="LR23" i="1"/>
  <c r="LT23" i="1" s="1"/>
  <c r="LR26" i="1"/>
  <c r="LT26" i="1" s="1"/>
  <c r="LR22" i="1"/>
  <c r="LT22" i="1" s="1"/>
  <c r="LR35" i="1"/>
  <c r="LT35" i="1" s="1"/>
  <c r="LR19" i="1"/>
  <c r="LT19" i="1" s="1"/>
  <c r="LR33" i="1"/>
  <c r="LT33" i="1" s="1"/>
  <c r="LR29" i="1"/>
  <c r="LT29" i="1" s="1"/>
  <c r="LR25" i="1"/>
  <c r="LT25" i="1" s="1"/>
  <c r="LR21" i="1"/>
  <c r="LT21" i="1" s="1"/>
  <c r="LR27" i="1"/>
  <c r="LT27" i="1" s="1"/>
  <c r="LR32" i="1"/>
  <c r="LT32" i="1" s="1"/>
  <c r="LR28" i="1"/>
  <c r="LT28" i="1" s="1"/>
  <c r="LR20" i="1"/>
  <c r="LT20" i="1" s="1"/>
  <c r="LR18" i="1"/>
  <c r="LT18" i="1" s="1"/>
  <c r="LR10" i="1"/>
  <c r="LT10" i="1" s="1"/>
  <c r="LR65" i="1"/>
  <c r="LT65" i="1" s="1"/>
  <c r="LR57" i="1"/>
  <c r="LT57" i="1" s="1"/>
  <c r="LR151" i="1"/>
  <c r="LT151" i="1" s="1"/>
  <c r="LR159" i="1"/>
  <c r="LT159" i="1" s="1"/>
  <c r="LR167" i="1"/>
  <c r="LT167" i="1" s="1"/>
  <c r="LR114" i="1"/>
  <c r="LT114" i="1" s="1"/>
  <c r="LR122" i="1"/>
  <c r="LT122" i="1" s="1"/>
  <c r="LR130" i="1"/>
  <c r="LT130" i="1" s="1"/>
  <c r="LR36" i="1"/>
  <c r="LT36" i="1" s="1"/>
  <c r="LR85" i="1"/>
  <c r="LT85" i="1" s="1"/>
  <c r="LR93" i="1"/>
  <c r="LT93" i="1" s="1"/>
  <c r="LR101" i="1"/>
  <c r="LT101" i="1" s="1"/>
  <c r="LR45" i="1"/>
  <c r="LT45" i="1" s="1"/>
  <c r="LR53" i="1"/>
  <c r="LT53" i="1" s="1"/>
  <c r="LR61" i="1"/>
  <c r="LT61" i="1" s="1"/>
  <c r="LR69" i="1"/>
  <c r="LT69" i="1" s="1"/>
  <c r="LR14" i="1"/>
  <c r="LT14" i="1" s="1"/>
  <c r="LR24" i="1"/>
  <c r="LT24" i="1" s="1"/>
  <c r="LR31" i="1"/>
  <c r="LT31" i="1" s="1"/>
  <c r="LR34" i="1"/>
  <c r="LT34" i="1" s="1"/>
  <c r="LR77" i="1"/>
  <c r="LT77" i="1" s="1"/>
  <c r="LR153" i="1"/>
  <c r="LT153" i="1" s="1"/>
  <c r="LR157" i="1"/>
  <c r="LT157" i="1" s="1"/>
  <c r="LR161" i="1"/>
  <c r="LT161" i="1" s="1"/>
  <c r="LR165" i="1"/>
  <c r="LT165" i="1" s="1"/>
  <c r="LR169" i="1"/>
  <c r="LT169" i="1" s="1"/>
  <c r="LR174" i="1"/>
  <c r="LT174" i="1" s="1"/>
  <c r="LR147" i="1"/>
  <c r="LT147" i="1" s="1"/>
  <c r="LR116" i="1"/>
  <c r="LT116" i="1" s="1"/>
  <c r="LR120" i="1"/>
  <c r="LT120" i="1" s="1"/>
  <c r="LR124" i="1"/>
  <c r="LT124" i="1" s="1"/>
  <c r="LR128" i="1"/>
  <c r="LT128" i="1" s="1"/>
  <c r="LR132" i="1"/>
  <c r="LT132" i="1" s="1"/>
  <c r="LR136" i="1"/>
  <c r="LT136" i="1" s="1"/>
  <c r="LR141" i="1"/>
  <c r="LT141" i="1" s="1"/>
  <c r="LR79" i="1"/>
  <c r="LT79" i="1" s="1"/>
  <c r="LR83" i="1"/>
  <c r="LT83" i="1" s="1"/>
  <c r="LR87" i="1"/>
  <c r="LT87" i="1" s="1"/>
  <c r="LR91" i="1"/>
  <c r="LT91" i="1" s="1"/>
  <c r="LR95" i="1"/>
  <c r="LT95" i="1" s="1"/>
  <c r="LR99" i="1"/>
  <c r="LT99" i="1" s="1"/>
  <c r="LR103" i="1"/>
  <c r="LT103" i="1" s="1"/>
  <c r="LR43" i="1"/>
  <c r="LT43" i="1" s="1"/>
  <c r="LR47" i="1"/>
  <c r="LT47" i="1" s="1"/>
  <c r="LR51" i="1"/>
  <c r="LT51" i="1" s="1"/>
  <c r="LR55" i="1"/>
  <c r="LT55" i="1" s="1"/>
  <c r="LR59" i="1"/>
  <c r="LT59" i="1" s="1"/>
  <c r="LR63" i="1"/>
  <c r="LT63" i="1" s="1"/>
  <c r="LR67" i="1"/>
  <c r="LT67" i="1" s="1"/>
  <c r="LR8" i="1"/>
  <c r="LT8" i="1" s="1"/>
  <c r="LR12" i="1"/>
  <c r="LT12" i="1" s="1"/>
  <c r="LR16" i="1"/>
  <c r="LT16" i="1" s="1"/>
  <c r="LR399" i="1"/>
  <c r="LT399" i="1" s="1"/>
  <c r="LR403" i="1"/>
  <c r="LT403" i="1" s="1"/>
  <c r="LR407" i="1"/>
  <c r="LT407" i="1" s="1"/>
  <c r="LR411" i="1"/>
  <c r="LT411" i="1" s="1"/>
  <c r="LR415" i="1"/>
  <c r="LT415" i="1" s="1"/>
  <c r="LR419" i="1"/>
  <c r="LT419" i="1" s="1"/>
  <c r="LR423" i="1"/>
  <c r="LT423" i="1" s="1"/>
  <c r="LR396" i="1"/>
  <c r="LT396" i="1" s="1"/>
  <c r="LR365" i="1"/>
  <c r="LT365" i="1" s="1"/>
  <c r="LR102" i="1"/>
  <c r="LT102" i="1" s="1"/>
  <c r="LR369" i="1"/>
  <c r="LT369" i="1" s="1"/>
  <c r="LR374" i="1"/>
  <c r="LT374" i="1" s="1"/>
  <c r="LR378" i="1"/>
  <c r="LT378" i="1" s="1"/>
  <c r="LR382" i="1"/>
  <c r="LT382" i="1" s="1"/>
  <c r="LR386" i="1"/>
  <c r="LT386" i="1" s="1"/>
  <c r="LR390" i="1"/>
  <c r="LT390" i="1" s="1"/>
  <c r="LR291" i="1"/>
  <c r="LT291" i="1" s="1"/>
  <c r="LR295" i="1"/>
  <c r="LT295" i="1" s="1"/>
  <c r="LR299" i="1"/>
  <c r="LT299" i="1" s="1"/>
  <c r="LR303" i="1"/>
  <c r="LT303" i="1" s="1"/>
  <c r="LR308" i="1"/>
  <c r="LT308" i="1" s="1"/>
  <c r="LR312" i="1"/>
  <c r="LT312" i="1" s="1"/>
  <c r="LR316" i="1"/>
  <c r="LT316" i="1" s="1"/>
  <c r="LR290" i="1"/>
  <c r="LT290" i="1" s="1"/>
  <c r="LR258" i="1"/>
  <c r="LT258" i="1" s="1"/>
  <c r="LR262" i="1"/>
  <c r="LT262" i="1" s="1"/>
  <c r="LR266" i="1"/>
  <c r="LT266" i="1" s="1"/>
  <c r="LR270" i="1"/>
  <c r="LT270" i="1" s="1"/>
  <c r="LR275" i="1"/>
  <c r="LT275" i="1" s="1"/>
  <c r="LR279" i="1"/>
  <c r="LT279" i="1" s="1"/>
  <c r="LR283" i="1"/>
  <c r="LT283" i="1" s="1"/>
  <c r="LR150" i="1"/>
  <c r="LT150" i="1" s="1"/>
  <c r="LR154" i="1"/>
  <c r="LT154" i="1" s="1"/>
  <c r="LR158" i="1"/>
  <c r="LT158" i="1" s="1"/>
  <c r="LR162" i="1"/>
  <c r="LT162" i="1" s="1"/>
  <c r="LR166" i="1"/>
  <c r="LT166" i="1" s="1"/>
  <c r="LR170" i="1"/>
  <c r="LT170" i="1" s="1"/>
  <c r="LR175" i="1"/>
  <c r="LT175" i="1" s="1"/>
  <c r="LR113" i="1"/>
  <c r="LT113" i="1" s="1"/>
  <c r="LR117" i="1"/>
  <c r="LT117" i="1" s="1"/>
  <c r="LR121" i="1"/>
  <c r="LT121" i="1" s="1"/>
  <c r="LR125" i="1"/>
  <c r="LT125" i="1" s="1"/>
  <c r="LR129" i="1"/>
  <c r="LT129" i="1" s="1"/>
  <c r="LR133" i="1"/>
  <c r="LT133" i="1" s="1"/>
  <c r="LR112" i="1"/>
  <c r="LT112" i="1" s="1"/>
  <c r="LR80" i="1"/>
  <c r="LT80" i="1" s="1"/>
  <c r="LR84" i="1"/>
  <c r="LT84" i="1" s="1"/>
  <c r="LR88" i="1"/>
  <c r="LT88" i="1" s="1"/>
  <c r="LR92" i="1"/>
  <c r="LT92" i="1" s="1"/>
  <c r="LR100" i="1"/>
  <c r="LT100" i="1" s="1"/>
  <c r="LR44" i="1"/>
  <c r="LT44" i="1" s="1"/>
  <c r="LR48" i="1"/>
  <c r="LT48" i="1" s="1"/>
  <c r="LR52" i="1"/>
  <c r="LT52" i="1" s="1"/>
  <c r="LR56" i="1"/>
  <c r="LT56" i="1" s="1"/>
  <c r="LR60" i="1"/>
  <c r="LT60" i="1" s="1"/>
  <c r="LR64" i="1"/>
  <c r="LT64" i="1" s="1"/>
  <c r="LR68" i="1"/>
  <c r="LT68" i="1" s="1"/>
  <c r="LR9" i="1"/>
  <c r="LT9" i="1" s="1"/>
  <c r="LR13" i="1"/>
  <c r="LT13" i="1" s="1"/>
  <c r="LR17" i="1"/>
  <c r="LT17" i="1" s="1"/>
  <c r="LR400" i="1"/>
  <c r="LT400" i="1" s="1"/>
  <c r="LR404" i="1"/>
  <c r="LT404" i="1" s="1"/>
  <c r="LR408" i="1"/>
  <c r="LT408" i="1" s="1"/>
  <c r="LR412" i="1"/>
  <c r="LT412" i="1" s="1"/>
  <c r="LR416" i="1"/>
  <c r="LT416" i="1" s="1"/>
  <c r="LR420" i="1"/>
  <c r="LT420" i="1" s="1"/>
  <c r="LR424" i="1"/>
  <c r="LT424" i="1" s="1"/>
  <c r="LR362" i="1"/>
  <c r="LT362" i="1" s="1"/>
  <c r="LR366" i="1"/>
  <c r="LT366" i="1" s="1"/>
  <c r="LR370" i="1"/>
  <c r="LT370" i="1" s="1"/>
  <c r="LR375" i="1"/>
  <c r="LT375" i="1" s="1"/>
  <c r="LR379" i="1"/>
  <c r="LT379" i="1" s="1"/>
  <c r="LR383" i="1"/>
  <c r="LT383" i="1" s="1"/>
  <c r="LR387" i="1"/>
  <c r="LT387" i="1" s="1"/>
  <c r="LR361" i="1"/>
  <c r="LT361" i="1" s="1"/>
  <c r="LR292" i="1"/>
  <c r="LT292" i="1" s="1"/>
  <c r="LR296" i="1"/>
  <c r="LT296" i="1" s="1"/>
  <c r="LR300" i="1"/>
  <c r="LT300" i="1" s="1"/>
  <c r="LR304" i="1"/>
  <c r="LT304" i="1" s="1"/>
  <c r="LR309" i="1"/>
  <c r="LT309" i="1" s="1"/>
  <c r="LR313" i="1"/>
  <c r="LT313" i="1" s="1"/>
  <c r="LR317" i="1"/>
  <c r="LT317" i="1" s="1"/>
  <c r="LR255" i="1"/>
  <c r="LT255" i="1" s="1"/>
  <c r="LR259" i="1"/>
  <c r="LT259" i="1" s="1"/>
  <c r="LR263" i="1"/>
  <c r="LT263" i="1" s="1"/>
  <c r="LR267" i="1"/>
  <c r="LT267" i="1" s="1"/>
  <c r="LR271" i="1"/>
  <c r="LT271" i="1" s="1"/>
  <c r="LR276" i="1"/>
  <c r="LT276" i="1" s="1"/>
  <c r="LR280" i="1"/>
  <c r="LT280" i="1" s="1"/>
  <c r="LR326" i="1"/>
  <c r="LT326" i="1" s="1"/>
  <c r="LR328" i="1"/>
  <c r="LT328" i="1" s="1"/>
  <c r="LR330" i="1"/>
  <c r="LT330" i="1" s="1"/>
  <c r="LR332" i="1"/>
  <c r="LT332" i="1" s="1"/>
  <c r="LR334" i="1"/>
  <c r="LT334" i="1" s="1"/>
  <c r="LR336" i="1"/>
  <c r="LT336" i="1" s="1"/>
  <c r="LR293" i="1"/>
  <c r="LT293" i="1" s="1"/>
  <c r="LR297" i="1"/>
  <c r="LT297" i="1" s="1"/>
  <c r="LR301" i="1"/>
  <c r="LT301" i="1" s="1"/>
  <c r="LR310" i="1"/>
  <c r="LT310" i="1" s="1"/>
  <c r="LR314" i="1"/>
  <c r="LT314" i="1" s="1"/>
  <c r="LR318" i="1"/>
  <c r="LT318" i="1" s="1"/>
  <c r="LR256" i="1"/>
  <c r="LT256" i="1" s="1"/>
  <c r="LR260" i="1"/>
  <c r="LT260" i="1" s="1"/>
  <c r="LR264" i="1"/>
  <c r="LT264" i="1" s="1"/>
  <c r="LR268" i="1"/>
  <c r="LT268" i="1" s="1"/>
  <c r="LR277" i="1"/>
  <c r="LT277" i="1" s="1"/>
  <c r="LR281" i="1"/>
  <c r="LT281" i="1" s="1"/>
  <c r="LR254" i="1"/>
  <c r="LT254" i="1" s="1"/>
  <c r="LR148" i="1"/>
  <c r="LT148" i="1" s="1"/>
  <c r="LR152" i="1"/>
  <c r="LT152" i="1" s="1"/>
  <c r="LR156" i="1"/>
  <c r="LT156" i="1" s="1"/>
  <c r="LR160" i="1"/>
  <c r="LT160" i="1" s="1"/>
  <c r="LR164" i="1"/>
  <c r="LT164" i="1" s="1"/>
  <c r="LR168" i="1"/>
  <c r="LT168" i="1" s="1"/>
  <c r="LR173" i="1"/>
  <c r="LT173" i="1" s="1"/>
  <c r="LR177" i="1"/>
  <c r="LT177" i="1" s="1"/>
  <c r="LR115" i="1"/>
  <c r="LT115" i="1" s="1"/>
  <c r="LR119" i="1"/>
  <c r="LT119" i="1" s="1"/>
  <c r="LR123" i="1"/>
  <c r="LT123" i="1" s="1"/>
  <c r="LR127" i="1"/>
  <c r="LT127" i="1" s="1"/>
  <c r="LR131" i="1"/>
  <c r="LT131" i="1" s="1"/>
  <c r="LR135" i="1"/>
  <c r="LT135" i="1" s="1"/>
  <c r="LR140" i="1"/>
  <c r="LT140" i="1" s="1"/>
  <c r="LR78" i="1"/>
  <c r="LT78" i="1" s="1"/>
  <c r="LR82" i="1"/>
  <c r="LT82" i="1" s="1"/>
  <c r="LR86" i="1"/>
  <c r="LT86" i="1" s="1"/>
  <c r="LR90" i="1"/>
  <c r="LT90" i="1" s="1"/>
  <c r="LR94" i="1"/>
  <c r="LT94" i="1" s="1"/>
  <c r="LR98" i="1"/>
  <c r="LT98" i="1" s="1"/>
  <c r="LR96" i="1"/>
  <c r="LT96" i="1" s="1"/>
  <c r="LR76" i="1"/>
  <c r="LT76" i="1" s="1"/>
  <c r="LR46" i="1"/>
  <c r="LT46" i="1" s="1"/>
  <c r="LR50" i="1"/>
  <c r="LT50" i="1" s="1"/>
  <c r="LR54" i="1"/>
  <c r="LT54" i="1" s="1"/>
  <c r="LR58" i="1"/>
  <c r="LT58" i="1" s="1"/>
  <c r="LR62" i="1"/>
  <c r="LT62" i="1" s="1"/>
  <c r="LR66" i="1"/>
  <c r="LT66" i="1" s="1"/>
  <c r="LR42" i="1"/>
  <c r="LT42" i="1" s="1"/>
  <c r="LR7" i="1"/>
  <c r="LT7" i="1" s="1"/>
  <c r="LR11" i="1"/>
  <c r="LT11" i="1" s="1"/>
  <c r="LR15" i="1"/>
  <c r="LT15" i="1" s="1"/>
  <c r="LR398" i="1"/>
  <c r="LT398" i="1" s="1"/>
  <c r="LR402" i="1"/>
  <c r="LT402" i="1" s="1"/>
  <c r="LR406" i="1"/>
  <c r="LT406" i="1" s="1"/>
  <c r="LR410" i="1"/>
  <c r="LT410" i="1" s="1"/>
  <c r="LR414" i="1"/>
  <c r="LT414" i="1" s="1"/>
  <c r="LR418" i="1"/>
  <c r="LT418" i="1" s="1"/>
  <c r="LR422" i="1"/>
  <c r="LT422" i="1" s="1"/>
  <c r="LR426" i="1"/>
  <c r="LT426" i="1" s="1"/>
  <c r="LR364" i="1"/>
  <c r="LT364" i="1" s="1"/>
  <c r="LR368" i="1"/>
  <c r="LT368" i="1" s="1"/>
  <c r="LR377" i="1"/>
  <c r="LT377" i="1" s="1"/>
  <c r="LR381" i="1"/>
  <c r="LT381" i="1" s="1"/>
  <c r="LR385" i="1"/>
  <c r="LT385" i="1" s="1"/>
  <c r="LR389" i="1"/>
  <c r="LT389" i="1" s="1"/>
  <c r="LR294" i="1"/>
  <c r="LT294" i="1" s="1"/>
  <c r="LR298" i="1"/>
  <c r="LT298" i="1" s="1"/>
  <c r="LR302" i="1"/>
  <c r="LT302" i="1" s="1"/>
  <c r="LR307" i="1"/>
  <c r="LT307" i="1" s="1"/>
  <c r="LR311" i="1"/>
  <c r="LT311" i="1" s="1"/>
  <c r="LR315" i="1"/>
  <c r="LT315" i="1" s="1"/>
  <c r="LR319" i="1"/>
  <c r="LT319" i="1" s="1"/>
  <c r="LR257" i="1"/>
  <c r="LT257" i="1" s="1"/>
  <c r="LR261" i="1"/>
  <c r="LT261" i="1" s="1"/>
  <c r="LR265" i="1"/>
  <c r="LT265" i="1" s="1"/>
  <c r="LR269" i="1"/>
  <c r="LT269" i="1" s="1"/>
  <c r="LR274" i="1"/>
  <c r="LT274" i="1" s="1"/>
  <c r="LR278" i="1"/>
  <c r="LT278" i="1" s="1"/>
  <c r="LR282" i="1"/>
  <c r="LT282" i="1" s="1"/>
  <c r="LR149" i="1"/>
  <c r="LT149" i="1" s="1"/>
  <c r="MJ112" i="1"/>
  <c r="ML112" i="1" s="1"/>
  <c r="MJ128" i="1"/>
  <c r="ML128" i="1" s="1"/>
  <c r="MJ173" i="1"/>
  <c r="ML173" i="1" s="1"/>
  <c r="MJ119" i="1"/>
  <c r="ML119" i="1" s="1"/>
  <c r="MJ127" i="1"/>
  <c r="ML127" i="1" s="1"/>
  <c r="MJ135" i="1"/>
  <c r="ML135" i="1" s="1"/>
  <c r="MJ80" i="1"/>
  <c r="ML80" i="1" s="1"/>
  <c r="MJ88" i="1"/>
  <c r="ML88" i="1" s="1"/>
  <c r="MJ96" i="1"/>
  <c r="ML96" i="1" s="1"/>
  <c r="MJ104" i="1"/>
  <c r="MJ81" i="1"/>
  <c r="ML81" i="1" s="1"/>
  <c r="MJ89" i="1"/>
  <c r="ML89" i="1" s="1"/>
  <c r="MJ97" i="1"/>
  <c r="ML97" i="1" s="1"/>
  <c r="MJ105" i="1"/>
  <c r="MJ82" i="1"/>
  <c r="ML82" i="1" s="1"/>
  <c r="MJ90" i="1"/>
  <c r="ML90" i="1" s="1"/>
  <c r="MJ98" i="1"/>
  <c r="ML98" i="1" s="1"/>
  <c r="MJ106" i="1"/>
  <c r="ML106" i="1" s="1"/>
  <c r="MJ83" i="1"/>
  <c r="ML83" i="1" s="1"/>
  <c r="MJ91" i="1"/>
  <c r="ML91" i="1" s="1"/>
  <c r="MJ99" i="1"/>
  <c r="ML99" i="1" s="1"/>
  <c r="MJ76" i="1"/>
  <c r="ML76" i="1" s="1"/>
  <c r="MJ84" i="1"/>
  <c r="ML84" i="1" s="1"/>
  <c r="MJ92" i="1"/>
  <c r="ML92" i="1" s="1"/>
  <c r="MJ100" i="1"/>
  <c r="ML100" i="1" s="1"/>
  <c r="MJ77" i="1"/>
  <c r="ML77" i="1" s="1"/>
  <c r="MJ85" i="1"/>
  <c r="ML85" i="1" s="1"/>
  <c r="MJ93" i="1"/>
  <c r="ML93" i="1" s="1"/>
  <c r="MJ101" i="1"/>
  <c r="ML101" i="1" s="1"/>
  <c r="MJ78" i="1"/>
  <c r="ML78" i="1" s="1"/>
  <c r="MJ86" i="1"/>
  <c r="ML86" i="1" s="1"/>
  <c r="MJ94" i="1"/>
  <c r="ML94" i="1" s="1"/>
  <c r="MJ102" i="1"/>
  <c r="ML102" i="1" s="1"/>
  <c r="MJ79" i="1"/>
  <c r="ML79" i="1" s="1"/>
  <c r="MJ87" i="1"/>
  <c r="ML87" i="1" s="1"/>
  <c r="MJ95" i="1"/>
  <c r="ML95" i="1" s="1"/>
  <c r="MJ103" i="1"/>
  <c r="ML103" i="1" s="1"/>
  <c r="MJ374" i="1"/>
  <c r="ML374" i="1" s="1"/>
  <c r="MJ378" i="1"/>
  <c r="ML378" i="1" s="1"/>
  <c r="MJ382" i="1"/>
  <c r="ML382" i="1" s="1"/>
  <c r="MJ386" i="1"/>
  <c r="ML386" i="1" s="1"/>
  <c r="MJ390" i="1"/>
  <c r="ML390" i="1" s="1"/>
  <c r="MJ368" i="1"/>
  <c r="ML368" i="1" s="1"/>
  <c r="MJ376" i="1"/>
  <c r="ML376" i="1" s="1"/>
  <c r="MJ369" i="1"/>
  <c r="ML369" i="1" s="1"/>
  <c r="MJ58" i="1"/>
  <c r="ML58" i="1" s="1"/>
  <c r="MJ377" i="1"/>
  <c r="ML377" i="1" s="1"/>
  <c r="MJ381" i="1"/>
  <c r="ML381" i="1" s="1"/>
  <c r="MJ389" i="1"/>
  <c r="ML389" i="1" s="1"/>
  <c r="MJ363" i="1"/>
  <c r="ML363" i="1" s="1"/>
  <c r="MJ367" i="1"/>
  <c r="ML367" i="1" s="1"/>
  <c r="MJ371" i="1"/>
  <c r="ML371" i="1" s="1"/>
  <c r="MJ375" i="1"/>
  <c r="ML375" i="1" s="1"/>
  <c r="MJ417" i="1"/>
  <c r="ML417" i="1" s="1"/>
  <c r="MJ419" i="1"/>
  <c r="ML419" i="1" s="1"/>
  <c r="MJ421" i="1"/>
  <c r="ML421" i="1" s="1"/>
  <c r="MJ423" i="1"/>
  <c r="ML423" i="1" s="1"/>
  <c r="MJ425" i="1"/>
  <c r="ML425" i="1" s="1"/>
  <c r="MJ396" i="1"/>
  <c r="MJ43" i="1"/>
  <c r="ML43" i="1" s="1"/>
  <c r="MJ388" i="1"/>
  <c r="ML388" i="1" s="1"/>
  <c r="MJ45" i="1"/>
  <c r="ML45" i="1" s="1"/>
  <c r="MJ49" i="1"/>
  <c r="ML49" i="1" s="1"/>
  <c r="MJ53" i="1"/>
  <c r="ML53" i="1" s="1"/>
  <c r="MJ57" i="1"/>
  <c r="ML57" i="1" s="1"/>
  <c r="MJ61" i="1"/>
  <c r="ML61" i="1" s="1"/>
  <c r="MJ65" i="1"/>
  <c r="ML65" i="1" s="1"/>
  <c r="MJ69" i="1"/>
  <c r="ML69" i="1" s="1"/>
  <c r="MJ46" i="1"/>
  <c r="ML46" i="1" s="1"/>
  <c r="MJ50" i="1"/>
  <c r="ML50" i="1" s="1"/>
  <c r="MJ54" i="1"/>
  <c r="ML54" i="1" s="1"/>
  <c r="MJ62" i="1"/>
  <c r="ML62" i="1" s="1"/>
  <c r="MJ66" i="1"/>
  <c r="ML66" i="1" s="1"/>
  <c r="MJ70" i="1"/>
  <c r="MJ47" i="1"/>
  <c r="ML47" i="1" s="1"/>
  <c r="MJ51" i="1"/>
  <c r="ML51" i="1" s="1"/>
  <c r="MJ55" i="1"/>
  <c r="ML55" i="1" s="1"/>
  <c r="MJ59" i="1"/>
  <c r="ML59" i="1" s="1"/>
  <c r="MJ63" i="1"/>
  <c r="ML63" i="1" s="1"/>
  <c r="MJ67" i="1"/>
  <c r="ML67" i="1" s="1"/>
  <c r="MJ42" i="1"/>
  <c r="ML42" i="1" s="1"/>
  <c r="MJ44" i="1"/>
  <c r="ML44" i="1" s="1"/>
  <c r="MJ48" i="1"/>
  <c r="ML48" i="1" s="1"/>
  <c r="MJ52" i="1"/>
  <c r="ML52" i="1" s="1"/>
  <c r="MJ56" i="1"/>
  <c r="ML56" i="1" s="1"/>
  <c r="MJ60" i="1"/>
  <c r="ML60" i="1" s="1"/>
  <c r="MJ64" i="1"/>
  <c r="ML64" i="1" s="1"/>
  <c r="MJ68" i="1"/>
  <c r="ML68" i="1" s="1"/>
  <c r="MJ362" i="1"/>
  <c r="ML362" i="1" s="1"/>
  <c r="MJ366" i="1"/>
  <c r="ML366" i="1" s="1"/>
  <c r="MJ370" i="1"/>
  <c r="ML370" i="1" s="1"/>
  <c r="MS46" i="1"/>
  <c r="MU46" i="1" s="1"/>
  <c r="MS50" i="1"/>
  <c r="MU50" i="1" s="1"/>
  <c r="MS54" i="1"/>
  <c r="MU54" i="1" s="1"/>
  <c r="MS62" i="1"/>
  <c r="MU62" i="1" s="1"/>
  <c r="MS66" i="1"/>
  <c r="MU66" i="1" s="1"/>
  <c r="MS70" i="1"/>
  <c r="MS43" i="1"/>
  <c r="MU43" i="1" s="1"/>
  <c r="MS47" i="1"/>
  <c r="MU47" i="1" s="1"/>
  <c r="MS55" i="1"/>
  <c r="MU55" i="1" s="1"/>
  <c r="MS59" i="1"/>
  <c r="MU59" i="1" s="1"/>
  <c r="MS63" i="1"/>
  <c r="MU63" i="1" s="1"/>
  <c r="MS67" i="1"/>
  <c r="MU67" i="1" s="1"/>
  <c r="MS42" i="1"/>
  <c r="MU42" i="1" s="1"/>
  <c r="MS44" i="1"/>
  <c r="MU44" i="1" s="1"/>
  <c r="MS48" i="1"/>
  <c r="MU48" i="1" s="1"/>
  <c r="MS52" i="1"/>
  <c r="MU52" i="1" s="1"/>
  <c r="MS56" i="1"/>
  <c r="MU56" i="1" s="1"/>
  <c r="MS60" i="1"/>
  <c r="MU60" i="1" s="1"/>
  <c r="MS64" i="1"/>
  <c r="MU64" i="1" s="1"/>
  <c r="MS68" i="1"/>
  <c r="MU68" i="1" s="1"/>
  <c r="MS45" i="1"/>
  <c r="MU45" i="1" s="1"/>
  <c r="MS49" i="1"/>
  <c r="MU49" i="1" s="1"/>
  <c r="MS53" i="1"/>
  <c r="MU53" i="1" s="1"/>
  <c r="MS65" i="1"/>
  <c r="MU65" i="1" s="1"/>
  <c r="MS69" i="1"/>
  <c r="MU69" i="1" s="1"/>
  <c r="MS57" i="1"/>
  <c r="MU57" i="1" s="1"/>
  <c r="MS58" i="1"/>
  <c r="MU58" i="1" s="1"/>
  <c r="MS51" i="1"/>
  <c r="MU51" i="1" s="1"/>
  <c r="MS61" i="1"/>
  <c r="MU61" i="1" s="1"/>
  <c r="MJ141" i="1"/>
  <c r="ML141" i="1" s="1"/>
  <c r="MJ118" i="1"/>
  <c r="ML118" i="1" s="1"/>
  <c r="MJ134" i="1"/>
  <c r="ML134" i="1" s="1"/>
  <c r="MJ133" i="1"/>
  <c r="ML133" i="1" s="1"/>
  <c r="MJ120" i="1"/>
  <c r="ML120" i="1" s="1"/>
  <c r="MJ165" i="1"/>
  <c r="ML165" i="1" s="1"/>
  <c r="MJ126" i="1"/>
  <c r="ML126" i="1" s="1"/>
  <c r="LR388" i="1"/>
  <c r="LT388" i="1" s="1"/>
  <c r="LR380" i="1"/>
  <c r="LT380" i="1" s="1"/>
  <c r="LR384" i="1"/>
  <c r="LT384" i="1" s="1"/>
  <c r="MJ172" i="1"/>
  <c r="MJ113" i="1"/>
  <c r="ML113" i="1" s="1"/>
  <c r="MJ121" i="1"/>
  <c r="ML121" i="1" s="1"/>
  <c r="MJ129" i="1"/>
  <c r="ML129" i="1" s="1"/>
  <c r="MJ137" i="1"/>
  <c r="MJ114" i="1"/>
  <c r="ML114" i="1" s="1"/>
  <c r="MJ122" i="1"/>
  <c r="ML122" i="1" s="1"/>
  <c r="MJ130" i="1"/>
  <c r="ML130" i="1" s="1"/>
  <c r="MJ138" i="1"/>
  <c r="MJ115" i="1"/>
  <c r="ML115" i="1" s="1"/>
  <c r="MJ123" i="1"/>
  <c r="ML123" i="1" s="1"/>
  <c r="MJ131" i="1"/>
  <c r="ML131" i="1" s="1"/>
  <c r="MJ139" i="1"/>
  <c r="ML139" i="1" s="1"/>
  <c r="MJ149" i="1"/>
  <c r="ML149" i="1" s="1"/>
  <c r="MJ116" i="1"/>
  <c r="ML116" i="1" s="1"/>
  <c r="MJ124" i="1"/>
  <c r="ML124" i="1" s="1"/>
  <c r="MJ132" i="1"/>
  <c r="ML132" i="1" s="1"/>
  <c r="MJ140" i="1"/>
  <c r="ML140" i="1" s="1"/>
  <c r="MJ136" i="1"/>
  <c r="ML136" i="1" s="1"/>
  <c r="MJ157" i="1"/>
  <c r="ML157" i="1" s="1"/>
  <c r="MJ117" i="1"/>
  <c r="ML117" i="1" s="1"/>
  <c r="MJ125" i="1"/>
  <c r="ML125" i="1" s="1"/>
  <c r="MJ170" i="1"/>
  <c r="ML170" i="1" s="1"/>
  <c r="MJ155" i="1"/>
  <c r="ML155" i="1" s="1"/>
  <c r="MJ163" i="1"/>
  <c r="ML163" i="1" s="1"/>
  <c r="MJ171" i="1"/>
  <c r="MJ33" i="1"/>
  <c r="ML33" i="1" s="1"/>
  <c r="MJ26" i="1"/>
  <c r="ML26" i="1" s="1"/>
  <c r="MJ34" i="1"/>
  <c r="ML34" i="1" s="1"/>
  <c r="MJ148" i="1"/>
  <c r="ML148" i="1" s="1"/>
  <c r="MJ156" i="1"/>
  <c r="ML156" i="1" s="1"/>
  <c r="MJ164" i="1"/>
  <c r="ML164" i="1" s="1"/>
  <c r="LR350" i="1"/>
  <c r="LT350" i="1" s="1"/>
  <c r="LR352" i="1"/>
  <c r="LT352" i="1" s="1"/>
  <c r="LR354" i="1"/>
  <c r="LT354" i="1" s="1"/>
  <c r="LR338" i="1"/>
  <c r="LT338" i="1" s="1"/>
  <c r="LR340" i="1"/>
  <c r="LR342" i="1"/>
  <c r="LT342" i="1" s="1"/>
  <c r="LR344" i="1"/>
  <c r="LT344" i="1" s="1"/>
  <c r="LR401" i="1"/>
  <c r="LR405" i="1"/>
  <c r="LT405" i="1" s="1"/>
  <c r="LR409" i="1"/>
  <c r="LT409" i="1" s="1"/>
  <c r="LR413" i="1"/>
  <c r="LT413" i="1" s="1"/>
  <c r="LR417" i="1"/>
  <c r="LT417" i="1" s="1"/>
  <c r="LR421" i="1"/>
  <c r="LT421" i="1" s="1"/>
  <c r="LR397" i="1"/>
  <c r="LT397" i="1" s="1"/>
  <c r="LR363" i="1"/>
  <c r="LT363" i="1" s="1"/>
  <c r="LR367" i="1"/>
  <c r="LT367" i="1" s="1"/>
  <c r="LR371" i="1"/>
  <c r="LT371" i="1" s="1"/>
  <c r="LR376" i="1"/>
  <c r="LT376" i="1" s="1"/>
  <c r="LR346" i="1"/>
  <c r="LT346" i="1" s="1"/>
  <c r="LR348" i="1"/>
  <c r="LT348" i="1" s="1"/>
  <c r="LR425" i="1"/>
  <c r="LT425" i="1" s="1"/>
  <c r="MJ283" i="1"/>
  <c r="ML283" i="1" s="1"/>
  <c r="MJ275" i="1"/>
  <c r="ML275" i="1" s="1"/>
  <c r="MJ152" i="1"/>
  <c r="ML152" i="1" s="1"/>
  <c r="MJ168" i="1"/>
  <c r="ML168" i="1" s="1"/>
  <c r="MJ153" i="1"/>
  <c r="ML153" i="1" s="1"/>
  <c r="MJ169" i="1"/>
  <c r="ML169" i="1" s="1"/>
  <c r="MJ154" i="1"/>
  <c r="ML154" i="1" s="1"/>
  <c r="MJ175" i="1"/>
  <c r="ML175" i="1" s="1"/>
  <c r="MJ160" i="1"/>
  <c r="ML160" i="1" s="1"/>
  <c r="MJ176" i="1"/>
  <c r="ML176" i="1" s="1"/>
  <c r="MJ161" i="1"/>
  <c r="ML161" i="1" s="1"/>
  <c r="MJ177" i="1"/>
  <c r="ML177" i="1" s="1"/>
  <c r="MJ162" i="1"/>
  <c r="ML162" i="1" s="1"/>
  <c r="MJ29" i="1"/>
  <c r="ML29" i="1" s="1"/>
  <c r="MJ28" i="1"/>
  <c r="ML28" i="1" s="1"/>
  <c r="MJ32" i="1"/>
  <c r="ML32" i="1" s="1"/>
  <c r="MJ36" i="1"/>
  <c r="ML36" i="1" s="1"/>
  <c r="MJ21" i="1"/>
  <c r="ML21" i="1" s="1"/>
  <c r="MJ25" i="1"/>
  <c r="ML25" i="1" s="1"/>
  <c r="MJ263" i="1"/>
  <c r="ML263" i="1" s="1"/>
  <c r="MJ271" i="1"/>
  <c r="ML271" i="1" s="1"/>
  <c r="MJ279" i="1"/>
  <c r="ML279" i="1" s="1"/>
  <c r="MJ256" i="1"/>
  <c r="ML256" i="1" s="1"/>
  <c r="MJ264" i="1"/>
  <c r="ML264" i="1" s="1"/>
  <c r="MJ272" i="1"/>
  <c r="MJ280" i="1"/>
  <c r="ML280" i="1" s="1"/>
  <c r="MJ257" i="1"/>
  <c r="ML257" i="1" s="1"/>
  <c r="MJ265" i="1"/>
  <c r="ML265" i="1" s="1"/>
  <c r="MJ273" i="1"/>
  <c r="MJ281" i="1"/>
  <c r="ML281" i="1" s="1"/>
  <c r="MJ150" i="1"/>
  <c r="ML150" i="1" s="1"/>
  <c r="MJ158" i="1"/>
  <c r="ML158" i="1" s="1"/>
  <c r="MJ166" i="1"/>
  <c r="ML166" i="1" s="1"/>
  <c r="MJ174" i="1"/>
  <c r="ML174" i="1" s="1"/>
  <c r="MJ151" i="1"/>
  <c r="ML151" i="1" s="1"/>
  <c r="MJ159" i="1"/>
  <c r="ML159" i="1" s="1"/>
  <c r="MJ167" i="1"/>
  <c r="ML167" i="1" s="1"/>
  <c r="MJ260" i="1"/>
  <c r="ML260" i="1" s="1"/>
  <c r="MJ268" i="1"/>
  <c r="ML268" i="1" s="1"/>
  <c r="MJ276" i="1"/>
  <c r="ML276" i="1" s="1"/>
  <c r="MJ284" i="1"/>
  <c r="ML284" i="1" s="1"/>
  <c r="MJ261" i="1"/>
  <c r="ML261" i="1" s="1"/>
  <c r="MJ269" i="1"/>
  <c r="ML269" i="1" s="1"/>
  <c r="MJ277" i="1"/>
  <c r="ML277" i="1" s="1"/>
  <c r="MJ27" i="1"/>
  <c r="ML27" i="1" s="1"/>
  <c r="MJ31" i="1"/>
  <c r="ML31" i="1" s="1"/>
  <c r="MJ35" i="1"/>
  <c r="ML35" i="1" s="1"/>
  <c r="MJ30" i="1"/>
  <c r="ML30" i="1" s="1"/>
  <c r="MJ24" i="1"/>
  <c r="ML24" i="1" s="1"/>
  <c r="MJ254" i="1"/>
  <c r="ML254" i="1" s="1"/>
  <c r="MJ262" i="1"/>
  <c r="ML262" i="1" s="1"/>
  <c r="MJ270" i="1"/>
  <c r="ML270" i="1" s="1"/>
  <c r="MJ278" i="1"/>
  <c r="ML278" i="1" s="1"/>
  <c r="MJ255" i="1"/>
  <c r="ML255" i="1" s="1"/>
  <c r="LR347" i="1"/>
  <c r="LT347" i="1" s="1"/>
  <c r="LR349" i="1"/>
  <c r="LT349" i="1" s="1"/>
  <c r="LR351" i="1"/>
  <c r="LT351" i="1" s="1"/>
  <c r="LR353" i="1"/>
  <c r="LT353" i="1" s="1"/>
  <c r="LR355" i="1"/>
  <c r="LT355" i="1" s="1"/>
  <c r="LR327" i="1"/>
  <c r="LT327" i="1" s="1"/>
  <c r="LR329" i="1"/>
  <c r="LT329" i="1" s="1"/>
  <c r="LR331" i="1"/>
  <c r="LT331" i="1" s="1"/>
  <c r="LR333" i="1"/>
  <c r="LT333" i="1" s="1"/>
  <c r="LR335" i="1"/>
  <c r="LT335" i="1" s="1"/>
  <c r="LR337" i="1"/>
  <c r="LT337" i="1" s="1"/>
  <c r="LR339" i="1"/>
  <c r="LR341" i="1"/>
  <c r="LT341" i="1" s="1"/>
  <c r="LR343" i="1"/>
  <c r="LT343" i="1" s="1"/>
  <c r="LR325" i="1"/>
  <c r="LT325" i="1" s="1"/>
  <c r="LR345" i="1"/>
  <c r="LT345" i="1" s="1"/>
  <c r="MS100" i="1"/>
  <c r="MU100" i="1" s="1"/>
  <c r="MS77" i="1"/>
  <c r="MU77" i="1" s="1"/>
  <c r="MS85" i="1"/>
  <c r="MU85" i="1" s="1"/>
  <c r="MS93" i="1"/>
  <c r="MU93" i="1" s="1"/>
  <c r="MS101" i="1"/>
  <c r="MU101" i="1" s="1"/>
  <c r="MS78" i="1"/>
  <c r="MU78" i="1" s="1"/>
  <c r="MS86" i="1"/>
  <c r="MU86" i="1" s="1"/>
  <c r="MS94" i="1"/>
  <c r="MU94" i="1" s="1"/>
  <c r="MS102" i="1"/>
  <c r="MU102" i="1" s="1"/>
  <c r="MS21" i="1"/>
  <c r="MU21" i="1" s="1"/>
  <c r="MS203" i="1"/>
  <c r="MU203" i="1" s="1"/>
  <c r="MS221" i="1"/>
  <c r="MU221" i="1" s="1"/>
  <c r="MS233" i="1"/>
  <c r="MU233" i="1" s="1"/>
  <c r="MS36" i="1"/>
  <c r="MU36" i="1" s="1"/>
  <c r="MS32" i="1"/>
  <c r="MU32" i="1" s="1"/>
  <c r="MS28" i="1"/>
  <c r="MU28" i="1" s="1"/>
  <c r="MS7" i="1"/>
  <c r="MU7" i="1" s="1"/>
  <c r="MS11" i="1"/>
  <c r="MU11" i="1" s="1"/>
  <c r="MS15" i="1"/>
  <c r="MU15" i="1" s="1"/>
  <c r="MS19" i="1"/>
  <c r="MU19" i="1" s="1"/>
  <c r="MS8" i="1"/>
  <c r="MU8" i="1" s="1"/>
  <c r="MS12" i="1"/>
  <c r="MU12" i="1" s="1"/>
  <c r="MS16" i="1"/>
  <c r="MU16" i="1" s="1"/>
  <c r="MS9" i="1"/>
  <c r="MU9" i="1" s="1"/>
  <c r="MS13" i="1"/>
  <c r="MU13" i="1" s="1"/>
  <c r="MS17" i="1"/>
  <c r="MU17" i="1" s="1"/>
  <c r="MS10" i="1"/>
  <c r="MU10" i="1" s="1"/>
  <c r="MS14" i="1"/>
  <c r="MU14" i="1" s="1"/>
  <c r="MS18" i="1"/>
  <c r="MU18" i="1" s="1"/>
  <c r="MS22" i="1"/>
  <c r="MU22" i="1" s="1"/>
  <c r="MS35" i="1"/>
  <c r="MU35" i="1" s="1"/>
  <c r="MS31" i="1"/>
  <c r="MU31" i="1" s="1"/>
  <c r="MS27" i="1"/>
  <c r="MU27" i="1" s="1"/>
  <c r="MS23" i="1"/>
  <c r="MU23" i="1" s="1"/>
  <c r="MJ344" i="1"/>
  <c r="ML344" i="1" s="1"/>
  <c r="MJ352" i="1"/>
  <c r="ML352" i="1" s="1"/>
  <c r="MJ291" i="1"/>
  <c r="ML291" i="1" s="1"/>
  <c r="MJ299" i="1"/>
  <c r="ML299" i="1" s="1"/>
  <c r="MJ307" i="1"/>
  <c r="ML307" i="1" s="1"/>
  <c r="MJ315" i="1"/>
  <c r="ML315" i="1" s="1"/>
  <c r="MJ329" i="1"/>
  <c r="ML329" i="1" s="1"/>
  <c r="MJ292" i="1"/>
  <c r="ML292" i="1" s="1"/>
  <c r="MJ300" i="1"/>
  <c r="ML300" i="1" s="1"/>
  <c r="MJ308" i="1"/>
  <c r="ML308" i="1" s="1"/>
  <c r="MJ316" i="1"/>
  <c r="ML316" i="1" s="1"/>
  <c r="MJ337" i="1"/>
  <c r="ML337" i="1" s="1"/>
  <c r="MJ293" i="1"/>
  <c r="ML293" i="1" s="1"/>
  <c r="MJ301" i="1"/>
  <c r="ML301" i="1" s="1"/>
  <c r="MJ309" i="1"/>
  <c r="ML309" i="1" s="1"/>
  <c r="MJ317" i="1"/>
  <c r="ML317" i="1" s="1"/>
  <c r="MJ345" i="1"/>
  <c r="ML345" i="1" s="1"/>
  <c r="MJ294" i="1"/>
  <c r="ML294" i="1" s="1"/>
  <c r="MJ302" i="1"/>
  <c r="ML302" i="1" s="1"/>
  <c r="MJ310" i="1"/>
  <c r="ML310" i="1" s="1"/>
  <c r="MJ318" i="1"/>
  <c r="ML318" i="1" s="1"/>
  <c r="MJ353" i="1"/>
  <c r="ML353" i="1" s="1"/>
  <c r="MJ303" i="1"/>
  <c r="ML303" i="1" s="1"/>
  <c r="MJ311" i="1"/>
  <c r="ML311" i="1" s="1"/>
  <c r="MJ319" i="1"/>
  <c r="ML319" i="1" s="1"/>
  <c r="MJ296" i="1"/>
  <c r="ML296" i="1" s="1"/>
  <c r="MJ304" i="1"/>
  <c r="ML304" i="1" s="1"/>
  <c r="MJ312" i="1"/>
  <c r="ML312" i="1" s="1"/>
  <c r="MJ290" i="1"/>
  <c r="ML290" i="1" s="1"/>
  <c r="MJ297" i="1"/>
  <c r="ML297" i="1" s="1"/>
  <c r="MJ298" i="1"/>
  <c r="ML298" i="1" s="1"/>
  <c r="MJ305" i="1"/>
  <c r="MJ306" i="1"/>
  <c r="MJ313" i="1"/>
  <c r="ML313" i="1" s="1"/>
  <c r="MJ314" i="1"/>
  <c r="ML314" i="1" s="1"/>
  <c r="MJ258" i="1"/>
  <c r="ML258" i="1" s="1"/>
  <c r="MJ266" i="1"/>
  <c r="ML266" i="1" s="1"/>
  <c r="MJ274" i="1"/>
  <c r="ML274" i="1" s="1"/>
  <c r="MJ282" i="1"/>
  <c r="ML282" i="1" s="1"/>
  <c r="MJ295" i="1"/>
  <c r="ML295" i="1" s="1"/>
  <c r="MJ267" i="1"/>
  <c r="ML267" i="1" s="1"/>
  <c r="MJ330" i="1"/>
  <c r="ML330" i="1" s="1"/>
  <c r="MJ338" i="1"/>
  <c r="ML338" i="1" s="1"/>
  <c r="MJ346" i="1"/>
  <c r="ML346" i="1" s="1"/>
  <c r="MJ354" i="1"/>
  <c r="ML354" i="1" s="1"/>
  <c r="MJ331" i="1"/>
  <c r="ML331" i="1" s="1"/>
  <c r="MJ339" i="1"/>
  <c r="MJ347" i="1"/>
  <c r="ML347" i="1" s="1"/>
  <c r="MJ355" i="1"/>
  <c r="ML355" i="1" s="1"/>
  <c r="MJ332" i="1"/>
  <c r="ML332" i="1" s="1"/>
  <c r="MJ340" i="1"/>
  <c r="MJ348" i="1"/>
  <c r="ML348" i="1" s="1"/>
  <c r="MJ325" i="1"/>
  <c r="ML325" i="1" s="1"/>
  <c r="MJ333" i="1"/>
  <c r="ML333" i="1" s="1"/>
  <c r="MJ341" i="1"/>
  <c r="ML341" i="1" s="1"/>
  <c r="MJ349" i="1"/>
  <c r="ML349" i="1" s="1"/>
  <c r="MJ326" i="1"/>
  <c r="ML326" i="1" s="1"/>
  <c r="MJ259" i="1"/>
  <c r="ML259" i="1" s="1"/>
  <c r="MJ334" i="1"/>
  <c r="ML334" i="1" s="1"/>
  <c r="MJ342" i="1"/>
  <c r="ML342" i="1" s="1"/>
  <c r="MJ350" i="1"/>
  <c r="ML350" i="1" s="1"/>
  <c r="MJ327" i="1"/>
  <c r="ML327" i="1" s="1"/>
  <c r="MJ335" i="1"/>
  <c r="ML335" i="1" s="1"/>
  <c r="MJ343" i="1"/>
  <c r="ML343" i="1" s="1"/>
  <c r="MJ328" i="1"/>
  <c r="ML328" i="1" s="1"/>
  <c r="MJ336" i="1"/>
  <c r="ML336" i="1" s="1"/>
  <c r="MJ23" i="1"/>
  <c r="ML23" i="1" s="1"/>
  <c r="MJ7" i="1"/>
  <c r="ML7" i="1" s="1"/>
  <c r="MJ11" i="1"/>
  <c r="ML11" i="1" s="1"/>
  <c r="MJ15" i="1"/>
  <c r="ML15" i="1" s="1"/>
  <c r="MJ19" i="1"/>
  <c r="ML19" i="1" s="1"/>
  <c r="MJ8" i="1"/>
  <c r="ML8" i="1" s="1"/>
  <c r="MJ12" i="1"/>
  <c r="ML12" i="1" s="1"/>
  <c r="MJ16" i="1"/>
  <c r="ML16" i="1" s="1"/>
  <c r="MJ20" i="1"/>
  <c r="ML20" i="1" s="1"/>
  <c r="MJ9" i="1"/>
  <c r="ML9" i="1" s="1"/>
  <c r="MJ13" i="1"/>
  <c r="ML13" i="1" s="1"/>
  <c r="MJ17" i="1"/>
  <c r="ML17" i="1" s="1"/>
  <c r="MJ10" i="1"/>
  <c r="ML10" i="1" s="1"/>
  <c r="MJ14" i="1"/>
  <c r="ML14" i="1" s="1"/>
  <c r="MJ18" i="1"/>
  <c r="ML18" i="1" s="1"/>
  <c r="MJ22" i="1"/>
  <c r="ML22" i="1" s="1"/>
  <c r="MA9" i="1"/>
  <c r="MC9" i="1" s="1"/>
  <c r="MA13" i="1"/>
  <c r="MC13" i="1" s="1"/>
  <c r="MA17" i="1"/>
  <c r="MC17" i="1" s="1"/>
  <c r="MA21" i="1"/>
  <c r="MC21" i="1" s="1"/>
  <c r="MA25" i="1"/>
  <c r="MC25" i="1" s="1"/>
  <c r="MA29" i="1"/>
  <c r="MC29" i="1" s="1"/>
  <c r="MA33" i="1"/>
  <c r="MC33" i="1" s="1"/>
  <c r="MA10" i="1"/>
  <c r="MC10" i="1" s="1"/>
  <c r="MA14" i="1"/>
  <c r="MC14" i="1" s="1"/>
  <c r="MA18" i="1"/>
  <c r="MC18" i="1" s="1"/>
  <c r="MA22" i="1"/>
  <c r="MC22" i="1" s="1"/>
  <c r="MA12" i="1"/>
  <c r="MC12" i="1" s="1"/>
  <c r="MA30" i="1"/>
  <c r="MC30" i="1" s="1"/>
  <c r="MA34" i="1"/>
  <c r="MC34" i="1" s="1"/>
  <c r="MA11" i="1"/>
  <c r="MC11" i="1" s="1"/>
  <c r="MA15" i="1"/>
  <c r="MC15" i="1" s="1"/>
  <c r="MA19" i="1"/>
  <c r="MC19" i="1" s="1"/>
  <c r="MA23" i="1"/>
  <c r="MC23" i="1" s="1"/>
  <c r="MA27" i="1"/>
  <c r="MC27" i="1" s="1"/>
  <c r="MA31" i="1"/>
  <c r="MC31" i="1" s="1"/>
  <c r="MA35" i="1"/>
  <c r="MC35" i="1" s="1"/>
  <c r="MA8" i="1"/>
  <c r="MC8" i="1" s="1"/>
  <c r="MA7" i="1"/>
  <c r="MC7" i="1" s="1"/>
  <c r="MA16" i="1"/>
  <c r="MC16" i="1" s="1"/>
  <c r="MA20" i="1"/>
  <c r="MC20" i="1" s="1"/>
  <c r="MA24" i="1"/>
  <c r="MC24" i="1" s="1"/>
  <c r="MA28" i="1"/>
  <c r="MC28" i="1" s="1"/>
  <c r="MA32" i="1"/>
  <c r="MC32" i="1" s="1"/>
  <c r="MA36" i="1"/>
  <c r="MC36" i="1" s="1"/>
  <c r="MA26" i="1"/>
  <c r="MC26" i="1" s="1"/>
  <c r="MJ228" i="1"/>
  <c r="ML228" i="1" s="1"/>
  <c r="MJ244" i="1"/>
  <c r="ML244" i="1" s="1"/>
  <c r="MJ194" i="1"/>
  <c r="ML194" i="1" s="1"/>
  <c r="MJ210" i="1"/>
  <c r="ML210" i="1" s="1"/>
  <c r="MA172" i="1"/>
  <c r="MA149" i="1"/>
  <c r="MC149" i="1" s="1"/>
  <c r="MA157" i="1"/>
  <c r="MC157" i="1" s="1"/>
  <c r="MA165" i="1"/>
  <c r="MC165" i="1" s="1"/>
  <c r="MA173" i="1"/>
  <c r="MC173" i="1" s="1"/>
  <c r="MA158" i="1"/>
  <c r="MC158" i="1" s="1"/>
  <c r="MA231" i="1"/>
  <c r="MC231" i="1" s="1"/>
  <c r="MA247" i="1"/>
  <c r="MC247" i="1" s="1"/>
  <c r="MA197" i="1"/>
  <c r="MC197" i="1" s="1"/>
  <c r="MS141" i="1"/>
  <c r="MU141" i="1" s="1"/>
  <c r="MS79" i="1"/>
  <c r="MU79" i="1" s="1"/>
  <c r="MS95" i="1"/>
  <c r="MU95" i="1" s="1"/>
  <c r="MS80" i="1"/>
  <c r="MU80" i="1" s="1"/>
  <c r="MS96" i="1"/>
  <c r="MU96" i="1" s="1"/>
  <c r="MS81" i="1"/>
  <c r="MU81" i="1" s="1"/>
  <c r="MS97" i="1"/>
  <c r="MU97" i="1" s="1"/>
  <c r="MS82" i="1"/>
  <c r="MU82" i="1" s="1"/>
  <c r="MS98" i="1"/>
  <c r="MU98" i="1" s="1"/>
  <c r="MS83" i="1"/>
  <c r="MU83" i="1" s="1"/>
  <c r="MS99" i="1"/>
  <c r="MU99" i="1" s="1"/>
  <c r="MS84" i="1"/>
  <c r="MU84" i="1" s="1"/>
  <c r="MS76" i="1"/>
  <c r="MU76" i="1" s="1"/>
  <c r="MS92" i="1"/>
  <c r="MU92" i="1" s="1"/>
  <c r="MS207" i="1"/>
  <c r="MU207" i="1" s="1"/>
  <c r="MS191" i="1"/>
  <c r="MU191" i="1" s="1"/>
  <c r="MS241" i="1"/>
  <c r="MU241" i="1" s="1"/>
  <c r="MS225" i="1"/>
  <c r="MU225" i="1" s="1"/>
  <c r="MS24" i="1"/>
  <c r="MU24" i="1" s="1"/>
  <c r="MS34" i="1"/>
  <c r="MU34" i="1" s="1"/>
  <c r="MS30" i="1"/>
  <c r="MU30" i="1" s="1"/>
  <c r="MS26" i="1"/>
  <c r="MU26" i="1" s="1"/>
  <c r="MS20" i="1"/>
  <c r="MU20" i="1" s="1"/>
  <c r="MS33" i="1"/>
  <c r="MU33" i="1" s="1"/>
  <c r="MS29" i="1"/>
  <c r="MU29" i="1" s="1"/>
  <c r="MS88" i="1"/>
  <c r="MU88" i="1" s="1"/>
  <c r="MS116" i="1"/>
  <c r="MU116" i="1" s="1"/>
  <c r="MS124" i="1"/>
  <c r="MU124" i="1" s="1"/>
  <c r="MS132" i="1"/>
  <c r="MU132" i="1" s="1"/>
  <c r="MS140" i="1"/>
  <c r="MU140" i="1" s="1"/>
  <c r="MS117" i="1"/>
  <c r="MU117" i="1" s="1"/>
  <c r="MS125" i="1"/>
  <c r="MU125" i="1" s="1"/>
  <c r="MS133" i="1"/>
  <c r="MU133" i="1" s="1"/>
  <c r="MS112" i="1"/>
  <c r="MU112" i="1" s="1"/>
  <c r="MS87" i="1"/>
  <c r="MU87" i="1" s="1"/>
  <c r="MS103" i="1"/>
  <c r="MU103" i="1" s="1"/>
  <c r="MS25" i="1"/>
  <c r="MU25" i="1" s="1"/>
  <c r="MS104" i="1"/>
  <c r="MS89" i="1"/>
  <c r="MU89" i="1" s="1"/>
  <c r="MS105" i="1"/>
  <c r="MS90" i="1"/>
  <c r="MU90" i="1" s="1"/>
  <c r="MS106" i="1"/>
  <c r="MU106" i="1" s="1"/>
  <c r="MS91" i="1"/>
  <c r="MU91" i="1" s="1"/>
  <c r="MS137" i="1"/>
  <c r="MS126" i="1"/>
  <c r="MU126" i="1" s="1"/>
  <c r="MS139" i="1"/>
  <c r="MU139" i="1" s="1"/>
  <c r="MS130" i="1"/>
  <c r="MU130" i="1" s="1"/>
  <c r="MS123" i="1"/>
  <c r="MU123" i="1" s="1"/>
  <c r="MS115" i="1"/>
  <c r="MU115" i="1" s="1"/>
  <c r="MS138" i="1"/>
  <c r="MS122" i="1"/>
  <c r="MU122" i="1" s="1"/>
  <c r="MS114" i="1"/>
  <c r="MU114" i="1" s="1"/>
  <c r="MS131" i="1"/>
  <c r="MU131" i="1" s="1"/>
  <c r="MS237" i="1"/>
  <c r="MU237" i="1" s="1"/>
  <c r="MA115" i="1"/>
  <c r="MC115" i="1" s="1"/>
  <c r="MA123" i="1"/>
  <c r="MC123" i="1" s="1"/>
  <c r="MA131" i="1"/>
  <c r="MC131" i="1" s="1"/>
  <c r="MA139" i="1"/>
  <c r="MC139" i="1" s="1"/>
  <c r="MA122" i="1"/>
  <c r="MC122" i="1" s="1"/>
  <c r="MA166" i="1"/>
  <c r="MC166" i="1" s="1"/>
  <c r="MA116" i="1"/>
  <c r="MC116" i="1" s="1"/>
  <c r="MA124" i="1"/>
  <c r="MC124" i="1" s="1"/>
  <c r="MA132" i="1"/>
  <c r="MC132" i="1" s="1"/>
  <c r="MA140" i="1"/>
  <c r="MC140" i="1" s="1"/>
  <c r="MA130" i="1"/>
  <c r="MC130" i="1" s="1"/>
  <c r="MA183" i="1"/>
  <c r="MC183" i="1" s="1"/>
  <c r="LR208" i="1"/>
  <c r="LT208" i="1" s="1"/>
  <c r="LR204" i="1"/>
  <c r="LR192" i="1"/>
  <c r="LT192" i="1" s="1"/>
  <c r="LR234" i="1"/>
  <c r="LT234" i="1" s="1"/>
  <c r="LR188" i="1"/>
  <c r="LT188" i="1" s="1"/>
  <c r="LR184" i="1"/>
  <c r="LT184" i="1" s="1"/>
  <c r="LR200" i="1"/>
  <c r="LT200" i="1" s="1"/>
  <c r="LR212" i="1"/>
  <c r="LT212" i="1" s="1"/>
  <c r="LR244" i="1"/>
  <c r="LT244" i="1" s="1"/>
  <c r="LR248" i="1"/>
  <c r="LT248" i="1" s="1"/>
  <c r="LR221" i="1"/>
  <c r="LT221" i="1" s="1"/>
  <c r="LR225" i="1"/>
  <c r="LT225" i="1" s="1"/>
  <c r="LR229" i="1"/>
  <c r="LT229" i="1" s="1"/>
  <c r="LR233" i="1"/>
  <c r="LT233" i="1" s="1"/>
  <c r="LR237" i="1"/>
  <c r="LT237" i="1" s="1"/>
  <c r="LR241" i="1"/>
  <c r="LT241" i="1" s="1"/>
  <c r="LR245" i="1"/>
  <c r="LT245" i="1" s="1"/>
  <c r="LR218" i="1"/>
  <c r="LT218" i="1" s="1"/>
  <c r="LR196" i="1"/>
  <c r="LT196" i="1" s="1"/>
  <c r="MA274" i="1"/>
  <c r="MC274" i="1" s="1"/>
  <c r="MA282" i="1"/>
  <c r="MC282" i="1" s="1"/>
  <c r="MA151" i="1"/>
  <c r="MC151" i="1" s="1"/>
  <c r="MA159" i="1"/>
  <c r="MC159" i="1" s="1"/>
  <c r="MA167" i="1"/>
  <c r="MC167" i="1" s="1"/>
  <c r="MA175" i="1"/>
  <c r="MC175" i="1" s="1"/>
  <c r="MA152" i="1"/>
  <c r="MC152" i="1" s="1"/>
  <c r="MA160" i="1"/>
  <c r="MC160" i="1" s="1"/>
  <c r="MA168" i="1"/>
  <c r="MC168" i="1" s="1"/>
  <c r="MA176" i="1"/>
  <c r="MC176" i="1" s="1"/>
  <c r="MA153" i="1"/>
  <c r="MC153" i="1" s="1"/>
  <c r="MA161" i="1"/>
  <c r="MC161" i="1" s="1"/>
  <c r="MA169" i="1"/>
  <c r="MC169" i="1" s="1"/>
  <c r="MA177" i="1"/>
  <c r="MC177" i="1" s="1"/>
  <c r="MA154" i="1"/>
  <c r="MC154" i="1" s="1"/>
  <c r="MA162" i="1"/>
  <c r="MC162" i="1" s="1"/>
  <c r="MA170" i="1"/>
  <c r="MC170" i="1" s="1"/>
  <c r="MA155" i="1"/>
  <c r="MC155" i="1" s="1"/>
  <c r="MA163" i="1"/>
  <c r="MC163" i="1" s="1"/>
  <c r="MA171" i="1"/>
  <c r="MA148" i="1"/>
  <c r="MC148" i="1" s="1"/>
  <c r="MA156" i="1"/>
  <c r="MC156" i="1" s="1"/>
  <c r="MA164" i="1"/>
  <c r="MC164" i="1" s="1"/>
  <c r="MA99" i="1"/>
  <c r="MC99" i="1" s="1"/>
  <c r="MA91" i="1"/>
  <c r="MC91" i="1" s="1"/>
  <c r="MA83" i="1"/>
  <c r="MC83" i="1" s="1"/>
  <c r="MA106" i="1"/>
  <c r="MC106" i="1" s="1"/>
  <c r="MA98" i="1"/>
  <c r="MC98" i="1" s="1"/>
  <c r="MA90" i="1"/>
  <c r="MC90" i="1" s="1"/>
  <c r="MA82" i="1"/>
  <c r="MC82" i="1" s="1"/>
  <c r="MA105" i="1"/>
  <c r="MA97" i="1"/>
  <c r="MC97" i="1" s="1"/>
  <c r="MA89" i="1"/>
  <c r="MC89" i="1" s="1"/>
  <c r="MA81" i="1"/>
  <c r="MC81" i="1" s="1"/>
  <c r="MA137" i="1"/>
  <c r="MA76" i="1"/>
  <c r="MC76" i="1" s="1"/>
  <c r="MA84" i="1"/>
  <c r="MC84" i="1" s="1"/>
  <c r="MS118" i="1"/>
  <c r="MU118" i="1" s="1"/>
  <c r="MS119" i="1"/>
  <c r="MU119" i="1" s="1"/>
  <c r="MS127" i="1"/>
  <c r="MU127" i="1" s="1"/>
  <c r="MS135" i="1"/>
  <c r="MU135" i="1" s="1"/>
  <c r="MS120" i="1"/>
  <c r="MU120" i="1" s="1"/>
  <c r="MS128" i="1"/>
  <c r="MU128" i="1" s="1"/>
  <c r="MS136" i="1"/>
  <c r="MU136" i="1" s="1"/>
  <c r="MS134" i="1"/>
  <c r="MU134" i="1" s="1"/>
  <c r="MS170" i="1"/>
  <c r="MU170" i="1" s="1"/>
  <c r="MS113" i="1"/>
  <c r="MU113" i="1" s="1"/>
  <c r="MS121" i="1"/>
  <c r="MU121" i="1" s="1"/>
  <c r="MS129" i="1"/>
  <c r="MU129" i="1" s="1"/>
  <c r="MA118" i="1"/>
  <c r="MC118" i="1" s="1"/>
  <c r="MA114" i="1"/>
  <c r="MC114" i="1" s="1"/>
  <c r="MA141" i="1"/>
  <c r="MC141" i="1" s="1"/>
  <c r="MA133" i="1"/>
  <c r="MC133" i="1" s="1"/>
  <c r="MA125" i="1"/>
  <c r="MC125" i="1" s="1"/>
  <c r="MA117" i="1"/>
  <c r="MC117" i="1" s="1"/>
  <c r="MA174" i="1"/>
  <c r="MC174" i="1" s="1"/>
  <c r="MA150" i="1"/>
  <c r="MC150" i="1" s="1"/>
  <c r="MA138" i="1"/>
  <c r="MA120" i="1"/>
  <c r="MC120" i="1" s="1"/>
  <c r="MA128" i="1"/>
  <c r="MC128" i="1" s="1"/>
  <c r="MA136" i="1"/>
  <c r="MC136" i="1" s="1"/>
  <c r="MA135" i="1"/>
  <c r="MC135" i="1" s="1"/>
  <c r="MA113" i="1"/>
  <c r="MC113" i="1" s="1"/>
  <c r="MA121" i="1"/>
  <c r="MC121" i="1" s="1"/>
  <c r="MA129" i="1"/>
  <c r="MC129" i="1" s="1"/>
  <c r="MA127" i="1"/>
  <c r="MC127" i="1" s="1"/>
  <c r="MA119" i="1"/>
  <c r="MC119" i="1" s="1"/>
  <c r="MA112" i="1"/>
  <c r="MC112" i="1" s="1"/>
  <c r="MA134" i="1"/>
  <c r="MC134" i="1" s="1"/>
  <c r="MA126" i="1"/>
  <c r="MC126" i="1" s="1"/>
  <c r="MJ232" i="1"/>
  <c r="ML232" i="1" s="1"/>
  <c r="MS162" i="1"/>
  <c r="MU162" i="1" s="1"/>
  <c r="MS176" i="1"/>
  <c r="MU176" i="1" s="1"/>
  <c r="MS157" i="1"/>
  <c r="MU157" i="1" s="1"/>
  <c r="MS175" i="1"/>
  <c r="MU175" i="1" s="1"/>
  <c r="MS154" i="1"/>
  <c r="MU154" i="1" s="1"/>
  <c r="MS174" i="1"/>
  <c r="MU174" i="1" s="1"/>
  <c r="MS149" i="1"/>
  <c r="MU149" i="1" s="1"/>
  <c r="MS173" i="1"/>
  <c r="MU173" i="1" s="1"/>
  <c r="MS171" i="1"/>
  <c r="MS172" i="1"/>
  <c r="MS164" i="1"/>
  <c r="MU164" i="1" s="1"/>
  <c r="MS156" i="1"/>
  <c r="MU156" i="1" s="1"/>
  <c r="MS148" i="1"/>
  <c r="MU148" i="1" s="1"/>
  <c r="MS163" i="1"/>
  <c r="MU163" i="1" s="1"/>
  <c r="MS399" i="1"/>
  <c r="MU399" i="1" s="1"/>
  <c r="MS407" i="1"/>
  <c r="MU407" i="1" s="1"/>
  <c r="MS202" i="1"/>
  <c r="MU202" i="1" s="1"/>
  <c r="MS415" i="1"/>
  <c r="MU415" i="1" s="1"/>
  <c r="MS423" i="1"/>
  <c r="MU423" i="1" s="1"/>
  <c r="MS400" i="1"/>
  <c r="MU400" i="1" s="1"/>
  <c r="MS408" i="1"/>
  <c r="MU408" i="1" s="1"/>
  <c r="MS416" i="1"/>
  <c r="MU416" i="1" s="1"/>
  <c r="MS424" i="1"/>
  <c r="MU424" i="1" s="1"/>
  <c r="MS401" i="1"/>
  <c r="MU401" i="1" s="1"/>
  <c r="MS409" i="1"/>
  <c r="MU409" i="1" s="1"/>
  <c r="MS417" i="1"/>
  <c r="MU417" i="1" s="1"/>
  <c r="MS161" i="1"/>
  <c r="MU161" i="1" s="1"/>
  <c r="MS169" i="1"/>
  <c r="MU169" i="1" s="1"/>
  <c r="MS177" i="1"/>
  <c r="MU177" i="1" s="1"/>
  <c r="MS155" i="1"/>
  <c r="MU155" i="1" s="1"/>
  <c r="MS183" i="1"/>
  <c r="MU183" i="1" s="1"/>
  <c r="MS209" i="1"/>
  <c r="MU209" i="1" s="1"/>
  <c r="MS205" i="1"/>
  <c r="MU205" i="1" s="1"/>
  <c r="MS201" i="1"/>
  <c r="MU201" i="1" s="1"/>
  <c r="MS165" i="1"/>
  <c r="MU165" i="1" s="1"/>
  <c r="MS220" i="1"/>
  <c r="MU220" i="1" s="1"/>
  <c r="MS224" i="1"/>
  <c r="MU224" i="1" s="1"/>
  <c r="MS228" i="1"/>
  <c r="MU228" i="1" s="1"/>
  <c r="MS232" i="1"/>
  <c r="MU232" i="1" s="1"/>
  <c r="MS236" i="1"/>
  <c r="MU236" i="1" s="1"/>
  <c r="MS240" i="1"/>
  <c r="MU240" i="1" s="1"/>
  <c r="MS244" i="1"/>
  <c r="MU244" i="1" s="1"/>
  <c r="MS248" i="1"/>
  <c r="MU248" i="1" s="1"/>
  <c r="MS186" i="1"/>
  <c r="MU186" i="1" s="1"/>
  <c r="MS190" i="1"/>
  <c r="MU190" i="1" s="1"/>
  <c r="MS194" i="1"/>
  <c r="MU194" i="1" s="1"/>
  <c r="MS198" i="1"/>
  <c r="MU198" i="1" s="1"/>
  <c r="MS206" i="1"/>
  <c r="MU206" i="1" s="1"/>
  <c r="MS210" i="1"/>
  <c r="MU210" i="1" s="1"/>
  <c r="MA270" i="1"/>
  <c r="MC270" i="1" s="1"/>
  <c r="MA278" i="1"/>
  <c r="MC278" i="1" s="1"/>
  <c r="MA263" i="1"/>
  <c r="MC263" i="1" s="1"/>
  <c r="MA271" i="1"/>
  <c r="MC271" i="1" s="1"/>
  <c r="MA279" i="1"/>
  <c r="MC279" i="1" s="1"/>
  <c r="MA256" i="1"/>
  <c r="MC256" i="1" s="1"/>
  <c r="MA264" i="1"/>
  <c r="MC264" i="1" s="1"/>
  <c r="MA272" i="1"/>
  <c r="MA280" i="1"/>
  <c r="MC280" i="1" s="1"/>
  <c r="MA257" i="1"/>
  <c r="MC257" i="1" s="1"/>
  <c r="MA265" i="1"/>
  <c r="MC265" i="1" s="1"/>
  <c r="MA273" i="1"/>
  <c r="MA281" i="1"/>
  <c r="MC281" i="1" s="1"/>
  <c r="MA258" i="1"/>
  <c r="MC258" i="1" s="1"/>
  <c r="MA266" i="1"/>
  <c r="MC266" i="1" s="1"/>
  <c r="MA255" i="1"/>
  <c r="MC255" i="1" s="1"/>
  <c r="MA291" i="1"/>
  <c r="MC291" i="1" s="1"/>
  <c r="MA259" i="1"/>
  <c r="MC259" i="1" s="1"/>
  <c r="MA267" i="1"/>
  <c r="MC267" i="1" s="1"/>
  <c r="MA275" i="1"/>
  <c r="MC275" i="1" s="1"/>
  <c r="MA283" i="1"/>
  <c r="MC283" i="1" s="1"/>
  <c r="MA260" i="1"/>
  <c r="MC260" i="1" s="1"/>
  <c r="MA268" i="1"/>
  <c r="MC268" i="1" s="1"/>
  <c r="MA276" i="1"/>
  <c r="MC276" i="1" s="1"/>
  <c r="MA284" i="1"/>
  <c r="MC284" i="1" s="1"/>
  <c r="MA261" i="1"/>
  <c r="MC261" i="1" s="1"/>
  <c r="MA269" i="1"/>
  <c r="MC269" i="1" s="1"/>
  <c r="MA277" i="1"/>
  <c r="MC277" i="1" s="1"/>
  <c r="MA42" i="1"/>
  <c r="MC42" i="1" s="1"/>
  <c r="MA254" i="1"/>
  <c r="MC254" i="1" s="1"/>
  <c r="MA262" i="1"/>
  <c r="MC262" i="1" s="1"/>
  <c r="LR247" i="1"/>
  <c r="LT247" i="1" s="1"/>
  <c r="LR239" i="1"/>
  <c r="LT239" i="1" s="1"/>
  <c r="LR235" i="1"/>
  <c r="LT235" i="1" s="1"/>
  <c r="LR231" i="1"/>
  <c r="LT231" i="1" s="1"/>
  <c r="LR227" i="1"/>
  <c r="LT227" i="1" s="1"/>
  <c r="LR223" i="1"/>
  <c r="LT223" i="1" s="1"/>
  <c r="LR219" i="1"/>
  <c r="LT219" i="1" s="1"/>
  <c r="LR243" i="1"/>
  <c r="LT243" i="1" s="1"/>
  <c r="LR220" i="1"/>
  <c r="LT220" i="1" s="1"/>
  <c r="LR224" i="1"/>
  <c r="LT224" i="1" s="1"/>
  <c r="LR228" i="1"/>
  <c r="LT228" i="1" s="1"/>
  <c r="LR232" i="1"/>
  <c r="LT232" i="1" s="1"/>
  <c r="LR236" i="1"/>
  <c r="LT236" i="1" s="1"/>
  <c r="LR240" i="1"/>
  <c r="LT240" i="1" s="1"/>
  <c r="MS187" i="1"/>
  <c r="MU187" i="1" s="1"/>
  <c r="MS199" i="1"/>
  <c r="MU199" i="1" s="1"/>
  <c r="MS218" i="1"/>
  <c r="MU218" i="1" s="1"/>
  <c r="MS197" i="1"/>
  <c r="MU197" i="1" s="1"/>
  <c r="MJ224" i="1"/>
  <c r="ML224" i="1" s="1"/>
  <c r="MJ240" i="1"/>
  <c r="ML240" i="1" s="1"/>
  <c r="MJ190" i="1"/>
  <c r="ML190" i="1" s="1"/>
  <c r="MJ206" i="1"/>
  <c r="ML206" i="1" s="1"/>
  <c r="MA80" i="1"/>
  <c r="MC80" i="1" s="1"/>
  <c r="MA103" i="1"/>
  <c r="MC103" i="1" s="1"/>
  <c r="MA95" i="1"/>
  <c r="MC95" i="1" s="1"/>
  <c r="MA87" i="1"/>
  <c r="MC87" i="1" s="1"/>
  <c r="MA79" i="1"/>
  <c r="MC79" i="1" s="1"/>
  <c r="MA102" i="1"/>
  <c r="MC102" i="1" s="1"/>
  <c r="MA94" i="1"/>
  <c r="MC94" i="1" s="1"/>
  <c r="MA86" i="1"/>
  <c r="MC86" i="1" s="1"/>
  <c r="MA78" i="1"/>
  <c r="MC78" i="1" s="1"/>
  <c r="MA101" i="1"/>
  <c r="MC101" i="1" s="1"/>
  <c r="MA93" i="1"/>
  <c r="MC93" i="1" s="1"/>
  <c r="MA85" i="1"/>
  <c r="MC85" i="1" s="1"/>
  <c r="MA77" i="1"/>
  <c r="MC77" i="1" s="1"/>
  <c r="MA100" i="1"/>
  <c r="MC100" i="1" s="1"/>
  <c r="MA92" i="1"/>
  <c r="MC92" i="1" s="1"/>
  <c r="MA104" i="1"/>
  <c r="MA96" i="1"/>
  <c r="MC96" i="1" s="1"/>
  <c r="MA88" i="1"/>
  <c r="MC88" i="1" s="1"/>
  <c r="LR206" i="1"/>
  <c r="LT206" i="1" s="1"/>
  <c r="LR246" i="1"/>
  <c r="LT246" i="1" s="1"/>
  <c r="LR190" i="1"/>
  <c r="LT190" i="1" s="1"/>
  <c r="LR203" i="1"/>
  <c r="LT203" i="1" s="1"/>
  <c r="LR187" i="1"/>
  <c r="LT187" i="1" s="1"/>
  <c r="LR202" i="1"/>
  <c r="LT202" i="1" s="1"/>
  <c r="LR186" i="1"/>
  <c r="LT186" i="1" s="1"/>
  <c r="LR199" i="1"/>
  <c r="LT199" i="1" s="1"/>
  <c r="MS389" i="1"/>
  <c r="MU389" i="1" s="1"/>
  <c r="MS366" i="1"/>
  <c r="MU366" i="1" s="1"/>
  <c r="MS374" i="1"/>
  <c r="MU374" i="1" s="1"/>
  <c r="MS193" i="1"/>
  <c r="MU193" i="1" s="1"/>
  <c r="MS390" i="1"/>
  <c r="MU390" i="1" s="1"/>
  <c r="MS367" i="1"/>
  <c r="MU367" i="1" s="1"/>
  <c r="MS375" i="1"/>
  <c r="MU375" i="1" s="1"/>
  <c r="MS272" i="1"/>
  <c r="MS280" i="1"/>
  <c r="MU280" i="1" s="1"/>
  <c r="MS150" i="1"/>
  <c r="MU150" i="1" s="1"/>
  <c r="MS158" i="1"/>
  <c r="MU158" i="1" s="1"/>
  <c r="MS166" i="1"/>
  <c r="MU166" i="1" s="1"/>
  <c r="MS151" i="1"/>
  <c r="MU151" i="1" s="1"/>
  <c r="MS159" i="1"/>
  <c r="MU159" i="1" s="1"/>
  <c r="MS167" i="1"/>
  <c r="MU167" i="1" s="1"/>
  <c r="MS382" i="1"/>
  <c r="MU382" i="1" s="1"/>
  <c r="MS152" i="1"/>
  <c r="MU152" i="1" s="1"/>
  <c r="MS160" i="1"/>
  <c r="MU160" i="1" s="1"/>
  <c r="MS168" i="1"/>
  <c r="MU168" i="1" s="1"/>
  <c r="MS153" i="1"/>
  <c r="MU153" i="1" s="1"/>
  <c r="MS196" i="1"/>
  <c r="MU196" i="1" s="1"/>
  <c r="MS222" i="1"/>
  <c r="MU222" i="1" s="1"/>
  <c r="MS226" i="1"/>
  <c r="MU226" i="1" s="1"/>
  <c r="MS230" i="1"/>
  <c r="MU230" i="1" s="1"/>
  <c r="MS234" i="1"/>
  <c r="MU234" i="1" s="1"/>
  <c r="MS238" i="1"/>
  <c r="MS242" i="1"/>
  <c r="MU242" i="1" s="1"/>
  <c r="MS246" i="1"/>
  <c r="MU246" i="1" s="1"/>
  <c r="MS184" i="1"/>
  <c r="MU184" i="1" s="1"/>
  <c r="MS188" i="1"/>
  <c r="MU188" i="1" s="1"/>
  <c r="MS192" i="1"/>
  <c r="MU192" i="1" s="1"/>
  <c r="MS200" i="1"/>
  <c r="MU200" i="1" s="1"/>
  <c r="MS204" i="1"/>
  <c r="MS208" i="1"/>
  <c r="MU208" i="1" s="1"/>
  <c r="MS212" i="1"/>
  <c r="MU212" i="1" s="1"/>
  <c r="MS219" i="1"/>
  <c r="MU219" i="1" s="1"/>
  <c r="MS223" i="1"/>
  <c r="MU223" i="1" s="1"/>
  <c r="MS227" i="1"/>
  <c r="MU227" i="1" s="1"/>
  <c r="MS231" i="1"/>
  <c r="MU231" i="1" s="1"/>
  <c r="MS235" i="1"/>
  <c r="MU235" i="1" s="1"/>
  <c r="MS239" i="1"/>
  <c r="MU239" i="1" s="1"/>
  <c r="MS243" i="1"/>
  <c r="MU243" i="1" s="1"/>
  <c r="MS247" i="1"/>
  <c r="MU247" i="1" s="1"/>
  <c r="MS185" i="1"/>
  <c r="MU185" i="1" s="1"/>
  <c r="MS189" i="1"/>
  <c r="MU189" i="1" s="1"/>
  <c r="MS405" i="1"/>
  <c r="MU405" i="1" s="1"/>
  <c r="MS413" i="1"/>
  <c r="MU413" i="1" s="1"/>
  <c r="MS421" i="1"/>
  <c r="MU421" i="1" s="1"/>
  <c r="MS398" i="1"/>
  <c r="MU398" i="1" s="1"/>
  <c r="MS406" i="1"/>
  <c r="MU406" i="1" s="1"/>
  <c r="MS414" i="1"/>
  <c r="MU414" i="1" s="1"/>
  <c r="MS422" i="1"/>
  <c r="MU422" i="1" s="1"/>
  <c r="MS364" i="1"/>
  <c r="MU364" i="1" s="1"/>
  <c r="MS372" i="1"/>
  <c r="MS380" i="1"/>
  <c r="MU380" i="1" s="1"/>
  <c r="MS388" i="1"/>
  <c r="MU388" i="1" s="1"/>
  <c r="MS365" i="1"/>
  <c r="MU365" i="1" s="1"/>
  <c r="MS373" i="1"/>
  <c r="MS381" i="1"/>
  <c r="MU381" i="1" s="1"/>
  <c r="MJ236" i="1"/>
  <c r="ML236" i="1" s="1"/>
  <c r="MJ220" i="1"/>
  <c r="ML220" i="1" s="1"/>
  <c r="MA301" i="1"/>
  <c r="MC301" i="1" s="1"/>
  <c r="MA309" i="1"/>
  <c r="MC309" i="1" s="1"/>
  <c r="MA317" i="1"/>
  <c r="MC317" i="1" s="1"/>
  <c r="MA294" i="1"/>
  <c r="MC294" i="1" s="1"/>
  <c r="MA302" i="1"/>
  <c r="MC302" i="1" s="1"/>
  <c r="MA310" i="1"/>
  <c r="MC310" i="1" s="1"/>
  <c r="MA318" i="1"/>
  <c r="MC318" i="1" s="1"/>
  <c r="MA295" i="1"/>
  <c r="MC295" i="1" s="1"/>
  <c r="MA303" i="1"/>
  <c r="MC303" i="1" s="1"/>
  <c r="MA311" i="1"/>
  <c r="MC311" i="1" s="1"/>
  <c r="MA319" i="1"/>
  <c r="MC319" i="1" s="1"/>
  <c r="MA296" i="1"/>
  <c r="MC296" i="1" s="1"/>
  <c r="MA304" i="1"/>
  <c r="MC304" i="1" s="1"/>
  <c r="MA312" i="1"/>
  <c r="MC312" i="1" s="1"/>
  <c r="MA297" i="1"/>
  <c r="MC297" i="1" s="1"/>
  <c r="MA305" i="1"/>
  <c r="MA313" i="1"/>
  <c r="MC313" i="1" s="1"/>
  <c r="MA330" i="1"/>
  <c r="MC330" i="1" s="1"/>
  <c r="MA298" i="1"/>
  <c r="MC298" i="1" s="1"/>
  <c r="MA306" i="1"/>
  <c r="MA314" i="1"/>
  <c r="MC314" i="1" s="1"/>
  <c r="MA299" i="1"/>
  <c r="MC299" i="1" s="1"/>
  <c r="MA300" i="1"/>
  <c r="MC300" i="1" s="1"/>
  <c r="MA292" i="1"/>
  <c r="MC292" i="1" s="1"/>
  <c r="MA307" i="1"/>
  <c r="MC307" i="1" s="1"/>
  <c r="MA308" i="1"/>
  <c r="MC308" i="1" s="1"/>
  <c r="MA338" i="1"/>
  <c r="MC338" i="1" s="1"/>
  <c r="MA315" i="1"/>
  <c r="MC315" i="1" s="1"/>
  <c r="MA346" i="1"/>
  <c r="MC346" i="1" s="1"/>
  <c r="MA316" i="1"/>
  <c r="MC316" i="1" s="1"/>
  <c r="MA228" i="1"/>
  <c r="MC228" i="1" s="1"/>
  <c r="MA236" i="1"/>
  <c r="MC236" i="1" s="1"/>
  <c r="MA290" i="1"/>
  <c r="MC290" i="1" s="1"/>
  <c r="MA220" i="1"/>
  <c r="MC220" i="1" s="1"/>
  <c r="MA224" i="1"/>
  <c r="MC224" i="1" s="1"/>
  <c r="MA232" i="1"/>
  <c r="MC232" i="1" s="1"/>
  <c r="MA293" i="1"/>
  <c r="MC293" i="1" s="1"/>
  <c r="MS396" i="1"/>
  <c r="MS404" i="1"/>
  <c r="MU404" i="1" s="1"/>
  <c r="MS412" i="1"/>
  <c r="MU412" i="1" s="1"/>
  <c r="MS420" i="1"/>
  <c r="MU420" i="1" s="1"/>
  <c r="MS397" i="1"/>
  <c r="MU397" i="1" s="1"/>
  <c r="MS410" i="1"/>
  <c r="MU410" i="1" s="1"/>
  <c r="MS418" i="1"/>
  <c r="MU418" i="1" s="1"/>
  <c r="MS229" i="1"/>
  <c r="MU229" i="1" s="1"/>
  <c r="MS426" i="1"/>
  <c r="MU426" i="1" s="1"/>
  <c r="MS403" i="1"/>
  <c r="MU403" i="1" s="1"/>
  <c r="MS411" i="1"/>
  <c r="MU411" i="1" s="1"/>
  <c r="MS402" i="1"/>
  <c r="MU402" i="1" s="1"/>
  <c r="MS425" i="1"/>
  <c r="MU425" i="1" s="1"/>
  <c r="MS419" i="1"/>
  <c r="MU419" i="1" s="1"/>
  <c r="LR242" i="1"/>
  <c r="LT242" i="1" s="1"/>
  <c r="LR198" i="1"/>
  <c r="LT198" i="1" s="1"/>
  <c r="LR194" i="1"/>
  <c r="LT194" i="1" s="1"/>
  <c r="LR210" i="1"/>
  <c r="LT210" i="1" s="1"/>
  <c r="LR222" i="1"/>
  <c r="LT222" i="1" s="1"/>
  <c r="LR191" i="1"/>
  <c r="LT191" i="1" s="1"/>
  <c r="LR207" i="1"/>
  <c r="LT207" i="1" s="1"/>
  <c r="LR226" i="1"/>
  <c r="LT226" i="1" s="1"/>
  <c r="LR230" i="1"/>
  <c r="LT230" i="1" s="1"/>
  <c r="LR195" i="1"/>
  <c r="LT195" i="1" s="1"/>
  <c r="LR211" i="1"/>
  <c r="LT211" i="1" s="1"/>
  <c r="MS270" i="1"/>
  <c r="MU270" i="1" s="1"/>
  <c r="MS262" i="1"/>
  <c r="MU262" i="1" s="1"/>
  <c r="MS254" i="1"/>
  <c r="MU254" i="1" s="1"/>
  <c r="MS277" i="1"/>
  <c r="MU277" i="1" s="1"/>
  <c r="MS269" i="1"/>
  <c r="MU269" i="1" s="1"/>
  <c r="MS261" i="1"/>
  <c r="MU261" i="1" s="1"/>
  <c r="MS284" i="1"/>
  <c r="MU284" i="1" s="1"/>
  <c r="MS276" i="1"/>
  <c r="MU276" i="1" s="1"/>
  <c r="MS268" i="1"/>
  <c r="MU268" i="1" s="1"/>
  <c r="MS260" i="1"/>
  <c r="MU260" i="1" s="1"/>
  <c r="MS283" i="1"/>
  <c r="MU283" i="1" s="1"/>
  <c r="MS339" i="1"/>
  <c r="MS347" i="1"/>
  <c r="MU347" i="1" s="1"/>
  <c r="MS355" i="1"/>
  <c r="MU355" i="1" s="1"/>
  <c r="MS332" i="1"/>
  <c r="MU332" i="1" s="1"/>
  <c r="MS340" i="1"/>
  <c r="MS348" i="1"/>
  <c r="MU348" i="1" s="1"/>
  <c r="MS325" i="1"/>
  <c r="MU325" i="1" s="1"/>
  <c r="MS275" i="1"/>
  <c r="MU275" i="1" s="1"/>
  <c r="MS333" i="1"/>
  <c r="MU333" i="1" s="1"/>
  <c r="MS290" i="1"/>
  <c r="MU290" i="1" s="1"/>
  <c r="MS311" i="1"/>
  <c r="MU311" i="1" s="1"/>
  <c r="MS312" i="1"/>
  <c r="MU312" i="1" s="1"/>
  <c r="MS319" i="1"/>
  <c r="MU319" i="1" s="1"/>
  <c r="MS257" i="1"/>
  <c r="MU257" i="1" s="1"/>
  <c r="MS265" i="1"/>
  <c r="MU265" i="1" s="1"/>
  <c r="MS273" i="1"/>
  <c r="MS281" i="1"/>
  <c r="MU281" i="1" s="1"/>
  <c r="MS258" i="1"/>
  <c r="MU258" i="1" s="1"/>
  <c r="MS266" i="1"/>
  <c r="MU266" i="1" s="1"/>
  <c r="MS274" i="1"/>
  <c r="MU274" i="1" s="1"/>
  <c r="MS282" i="1"/>
  <c r="MU282" i="1" s="1"/>
  <c r="MS259" i="1"/>
  <c r="MU259" i="1" s="1"/>
  <c r="MS267" i="1"/>
  <c r="MU267" i="1" s="1"/>
  <c r="MS264" i="1"/>
  <c r="MU264" i="1" s="1"/>
  <c r="MS256" i="1"/>
  <c r="MU256" i="1" s="1"/>
  <c r="MS279" i="1"/>
  <c r="MU279" i="1" s="1"/>
  <c r="MS271" i="1"/>
  <c r="MU271" i="1" s="1"/>
  <c r="MS263" i="1"/>
  <c r="MU263" i="1" s="1"/>
  <c r="MS255" i="1"/>
  <c r="MU255" i="1" s="1"/>
  <c r="MS278" i="1"/>
  <c r="MU278" i="1" s="1"/>
  <c r="MJ211" i="1"/>
  <c r="ML211" i="1" s="1"/>
  <c r="MJ222" i="1"/>
  <c r="ML222" i="1" s="1"/>
  <c r="MJ226" i="1"/>
  <c r="ML226" i="1" s="1"/>
  <c r="MJ230" i="1"/>
  <c r="ML230" i="1" s="1"/>
  <c r="MJ234" i="1"/>
  <c r="ML234" i="1" s="1"/>
  <c r="MJ238" i="1"/>
  <c r="MJ242" i="1"/>
  <c r="ML242" i="1" s="1"/>
  <c r="MJ246" i="1"/>
  <c r="ML246" i="1" s="1"/>
  <c r="MJ184" i="1"/>
  <c r="ML184" i="1" s="1"/>
  <c r="MJ188" i="1"/>
  <c r="ML188" i="1" s="1"/>
  <c r="MJ192" i="1"/>
  <c r="ML192" i="1" s="1"/>
  <c r="MJ196" i="1"/>
  <c r="ML196" i="1" s="1"/>
  <c r="MJ200" i="1"/>
  <c r="ML200" i="1" s="1"/>
  <c r="MJ204" i="1"/>
  <c r="MJ208" i="1"/>
  <c r="ML208" i="1" s="1"/>
  <c r="MJ212" i="1"/>
  <c r="ML212" i="1" s="1"/>
  <c r="MJ219" i="1"/>
  <c r="ML219" i="1" s="1"/>
  <c r="MJ223" i="1"/>
  <c r="ML223" i="1" s="1"/>
  <c r="MJ231" i="1"/>
  <c r="ML231" i="1" s="1"/>
  <c r="MJ235" i="1"/>
  <c r="ML235" i="1" s="1"/>
  <c r="MJ239" i="1"/>
  <c r="ML239" i="1" s="1"/>
  <c r="MJ243" i="1"/>
  <c r="ML243" i="1" s="1"/>
  <c r="MJ247" i="1"/>
  <c r="ML247" i="1" s="1"/>
  <c r="MJ185" i="1"/>
  <c r="ML185" i="1" s="1"/>
  <c r="MJ189" i="1"/>
  <c r="ML189" i="1" s="1"/>
  <c r="MJ193" i="1"/>
  <c r="ML193" i="1" s="1"/>
  <c r="MJ197" i="1"/>
  <c r="ML197" i="1" s="1"/>
  <c r="MJ201" i="1"/>
  <c r="ML201" i="1" s="1"/>
  <c r="MJ205" i="1"/>
  <c r="ML205" i="1" s="1"/>
  <c r="MJ209" i="1"/>
  <c r="ML209" i="1" s="1"/>
  <c r="MJ183" i="1"/>
  <c r="ML183" i="1" s="1"/>
  <c r="MJ202" i="1"/>
  <c r="ML202" i="1" s="1"/>
  <c r="MJ186" i="1"/>
  <c r="ML186" i="1" s="1"/>
  <c r="MJ227" i="1"/>
  <c r="ML227" i="1" s="1"/>
  <c r="MJ218" i="1"/>
  <c r="ML218" i="1" s="1"/>
  <c r="MJ187" i="1"/>
  <c r="ML187" i="1" s="1"/>
  <c r="MJ191" i="1"/>
  <c r="ML191" i="1" s="1"/>
  <c r="MJ195" i="1"/>
  <c r="ML195" i="1" s="1"/>
  <c r="MJ199" i="1"/>
  <c r="ML199" i="1" s="1"/>
  <c r="MJ203" i="1"/>
  <c r="ML203" i="1" s="1"/>
  <c r="MJ207" i="1"/>
  <c r="ML207" i="1" s="1"/>
  <c r="MA386" i="1"/>
  <c r="MC386" i="1" s="1"/>
  <c r="MA363" i="1"/>
  <c r="MC363" i="1" s="1"/>
  <c r="MA371" i="1"/>
  <c r="MC371" i="1" s="1"/>
  <c r="MA379" i="1"/>
  <c r="MC379" i="1" s="1"/>
  <c r="MA387" i="1"/>
  <c r="MC387" i="1" s="1"/>
  <c r="MA364" i="1"/>
  <c r="MC364" i="1" s="1"/>
  <c r="MA372" i="1"/>
  <c r="MA380" i="1"/>
  <c r="MC380" i="1" s="1"/>
  <c r="MA388" i="1"/>
  <c r="MC388" i="1" s="1"/>
  <c r="MA331" i="1"/>
  <c r="MC331" i="1" s="1"/>
  <c r="MA339" i="1"/>
  <c r="MA347" i="1"/>
  <c r="MC347" i="1" s="1"/>
  <c r="MA355" i="1"/>
  <c r="MC355" i="1" s="1"/>
  <c r="MA332" i="1"/>
  <c r="MC332" i="1" s="1"/>
  <c r="MA340" i="1"/>
  <c r="MA348" i="1"/>
  <c r="MC348" i="1" s="1"/>
  <c r="MA325" i="1"/>
  <c r="MC325" i="1" s="1"/>
  <c r="MA333" i="1"/>
  <c r="MC333" i="1" s="1"/>
  <c r="MA349" i="1"/>
  <c r="MC349" i="1" s="1"/>
  <c r="MA365" i="1"/>
  <c r="MC365" i="1" s="1"/>
  <c r="MA326" i="1"/>
  <c r="MC326" i="1" s="1"/>
  <c r="MA334" i="1"/>
  <c r="MC334" i="1" s="1"/>
  <c r="MA342" i="1"/>
  <c r="MC342" i="1" s="1"/>
  <c r="MA350" i="1"/>
  <c r="MC350" i="1" s="1"/>
  <c r="MA373" i="1"/>
  <c r="MA327" i="1"/>
  <c r="MC327" i="1" s="1"/>
  <c r="MA335" i="1"/>
  <c r="MC335" i="1" s="1"/>
  <c r="MA343" i="1"/>
  <c r="MC343" i="1" s="1"/>
  <c r="MA351" i="1"/>
  <c r="MC351" i="1" s="1"/>
  <c r="MA381" i="1"/>
  <c r="MC381" i="1" s="1"/>
  <c r="MA328" i="1"/>
  <c r="MC328" i="1" s="1"/>
  <c r="MA336" i="1"/>
  <c r="MC336" i="1" s="1"/>
  <c r="MA344" i="1"/>
  <c r="MC344" i="1" s="1"/>
  <c r="MA354" i="1"/>
  <c r="MC354" i="1" s="1"/>
  <c r="MA353" i="1"/>
  <c r="MC353" i="1" s="1"/>
  <c r="MA345" i="1"/>
  <c r="MC345" i="1" s="1"/>
  <c r="MA337" i="1"/>
  <c r="MC337" i="1" s="1"/>
  <c r="MA329" i="1"/>
  <c r="MC329" i="1" s="1"/>
  <c r="MA389" i="1"/>
  <c r="MC389" i="1" s="1"/>
  <c r="MA352" i="1"/>
  <c r="MC352" i="1" s="1"/>
  <c r="MA341" i="1"/>
  <c r="MC341" i="1" s="1"/>
  <c r="MA205" i="1"/>
  <c r="MC205" i="1" s="1"/>
  <c r="MA189" i="1"/>
  <c r="MC189" i="1" s="1"/>
  <c r="MA239" i="1"/>
  <c r="MC239" i="1" s="1"/>
  <c r="MS369" i="1"/>
  <c r="MU369" i="1" s="1"/>
  <c r="MS331" i="1"/>
  <c r="MU331" i="1" s="1"/>
  <c r="MS387" i="1"/>
  <c r="MU387" i="1" s="1"/>
  <c r="MS354" i="1"/>
  <c r="MU354" i="1" s="1"/>
  <c r="MS385" i="1"/>
  <c r="MU385" i="1" s="1"/>
  <c r="MS377" i="1"/>
  <c r="MU377" i="1" s="1"/>
  <c r="MS383" i="1"/>
  <c r="MU383" i="1" s="1"/>
  <c r="MS384" i="1"/>
  <c r="MU384" i="1" s="1"/>
  <c r="MS376" i="1"/>
  <c r="MU376" i="1" s="1"/>
  <c r="MS368" i="1"/>
  <c r="MU368" i="1" s="1"/>
  <c r="MS361" i="1"/>
  <c r="MU361" i="1" s="1"/>
  <c r="MJ233" i="1"/>
  <c r="ML233" i="1" s="1"/>
  <c r="MJ241" i="1"/>
  <c r="ML241" i="1" s="1"/>
  <c r="MJ245" i="1"/>
  <c r="ML245" i="1" s="1"/>
  <c r="MJ237" i="1"/>
  <c r="ML237" i="1" s="1"/>
  <c r="MA190" i="1"/>
  <c r="MC190" i="1" s="1"/>
  <c r="MA194" i="1"/>
  <c r="MC194" i="1" s="1"/>
  <c r="MA198" i="1"/>
  <c r="MC198" i="1" s="1"/>
  <c r="MA240" i="1"/>
  <c r="MC240" i="1" s="1"/>
  <c r="MA244" i="1"/>
  <c r="MC244" i="1" s="1"/>
  <c r="MA248" i="1"/>
  <c r="MC248" i="1" s="1"/>
  <c r="MA186" i="1"/>
  <c r="MC186" i="1" s="1"/>
  <c r="MS352" i="1"/>
  <c r="MU352" i="1" s="1"/>
  <c r="MS291" i="1"/>
  <c r="MU291" i="1" s="1"/>
  <c r="MS299" i="1"/>
  <c r="MU299" i="1" s="1"/>
  <c r="MS307" i="1"/>
  <c r="MU307" i="1" s="1"/>
  <c r="MS315" i="1"/>
  <c r="MU315" i="1" s="1"/>
  <c r="MS292" i="1"/>
  <c r="MU292" i="1" s="1"/>
  <c r="MS300" i="1"/>
  <c r="MU300" i="1" s="1"/>
  <c r="MS308" i="1"/>
  <c r="MU308" i="1" s="1"/>
  <c r="MS328" i="1"/>
  <c r="MU328" i="1" s="1"/>
  <c r="MS317" i="1"/>
  <c r="MU317" i="1" s="1"/>
  <c r="MS309" i="1"/>
  <c r="MU309" i="1" s="1"/>
  <c r="MS301" i="1"/>
  <c r="MU301" i="1" s="1"/>
  <c r="MS293" i="1"/>
  <c r="MU293" i="1" s="1"/>
  <c r="MS363" i="1"/>
  <c r="MU363" i="1" s="1"/>
  <c r="MS316" i="1"/>
  <c r="MU316" i="1" s="1"/>
  <c r="MS327" i="1"/>
  <c r="MU327" i="1" s="1"/>
  <c r="MS335" i="1"/>
  <c r="MU335" i="1" s="1"/>
  <c r="MS343" i="1"/>
  <c r="MU343" i="1" s="1"/>
  <c r="MS351" i="1"/>
  <c r="MU351" i="1" s="1"/>
  <c r="MS297" i="1"/>
  <c r="MU297" i="1" s="1"/>
  <c r="MS305" i="1"/>
  <c r="MS313" i="1"/>
  <c r="MU313" i="1" s="1"/>
  <c r="MS298" i="1"/>
  <c r="MU298" i="1" s="1"/>
  <c r="MS306" i="1"/>
  <c r="MS314" i="1"/>
  <c r="MU314" i="1" s="1"/>
  <c r="MS294" i="1"/>
  <c r="MU294" i="1" s="1"/>
  <c r="MS302" i="1"/>
  <c r="MU302" i="1" s="1"/>
  <c r="MS310" i="1"/>
  <c r="MU310" i="1" s="1"/>
  <c r="MS318" i="1"/>
  <c r="MU318" i="1" s="1"/>
  <c r="MS295" i="1"/>
  <c r="MU295" i="1" s="1"/>
  <c r="MS296" i="1"/>
  <c r="MU296" i="1" s="1"/>
  <c r="MS336" i="1"/>
  <c r="MU336" i="1" s="1"/>
  <c r="MS303" i="1"/>
  <c r="MU303" i="1" s="1"/>
  <c r="MS344" i="1"/>
  <c r="MU344" i="1" s="1"/>
  <c r="MS304" i="1"/>
  <c r="MU304" i="1" s="1"/>
  <c r="MJ351" i="1"/>
  <c r="ML351" i="1" s="1"/>
  <c r="MJ248" i="1"/>
  <c r="ML248" i="1" s="1"/>
  <c r="MJ198" i="1"/>
  <c r="ML198" i="1" s="1"/>
  <c r="MA403" i="1"/>
  <c r="MC403" i="1" s="1"/>
  <c r="MA419" i="1"/>
  <c r="MC419" i="1" s="1"/>
  <c r="MA396" i="1"/>
  <c r="MA404" i="1"/>
  <c r="MC404" i="1" s="1"/>
  <c r="MA412" i="1"/>
  <c r="MC412" i="1" s="1"/>
  <c r="MA420" i="1"/>
  <c r="MC420" i="1" s="1"/>
  <c r="MA397" i="1"/>
  <c r="MC397" i="1" s="1"/>
  <c r="MA405" i="1"/>
  <c r="MC405" i="1" s="1"/>
  <c r="MA413" i="1"/>
  <c r="MC413" i="1" s="1"/>
  <c r="MA421" i="1"/>
  <c r="MC421" i="1" s="1"/>
  <c r="MA398" i="1"/>
  <c r="MC398" i="1" s="1"/>
  <c r="MA406" i="1"/>
  <c r="MC406" i="1" s="1"/>
  <c r="MA414" i="1"/>
  <c r="MC414" i="1" s="1"/>
  <c r="MA422" i="1"/>
  <c r="MC422" i="1" s="1"/>
  <c r="MA399" i="1"/>
  <c r="MC399" i="1" s="1"/>
  <c r="MA407" i="1"/>
  <c r="MC407" i="1" s="1"/>
  <c r="MA415" i="1"/>
  <c r="MC415" i="1" s="1"/>
  <c r="MA423" i="1"/>
  <c r="MC423" i="1" s="1"/>
  <c r="MA366" i="1"/>
  <c r="MC366" i="1" s="1"/>
  <c r="MA411" i="1"/>
  <c r="MC411" i="1" s="1"/>
  <c r="MA400" i="1"/>
  <c r="MC400" i="1" s="1"/>
  <c r="MA408" i="1"/>
  <c r="MC408" i="1" s="1"/>
  <c r="MA416" i="1"/>
  <c r="MC416" i="1" s="1"/>
  <c r="MA424" i="1"/>
  <c r="MC424" i="1" s="1"/>
  <c r="MA401" i="1"/>
  <c r="MC401" i="1" s="1"/>
  <c r="MA409" i="1"/>
  <c r="MC409" i="1" s="1"/>
  <c r="MA417" i="1"/>
  <c r="MC417" i="1" s="1"/>
  <c r="MA425" i="1"/>
  <c r="MC425" i="1" s="1"/>
  <c r="MA402" i="1"/>
  <c r="MC402" i="1" s="1"/>
  <c r="MA410" i="1"/>
  <c r="MC410" i="1" s="1"/>
  <c r="MA211" i="1"/>
  <c r="MC211" i="1" s="1"/>
  <c r="MA222" i="1"/>
  <c r="MC222" i="1" s="1"/>
  <c r="MA226" i="1"/>
  <c r="MC226" i="1" s="1"/>
  <c r="MA230" i="1"/>
  <c r="MC230" i="1" s="1"/>
  <c r="MA234" i="1"/>
  <c r="MC234" i="1" s="1"/>
  <c r="MA418" i="1"/>
  <c r="MC418" i="1" s="1"/>
  <c r="MA242" i="1"/>
  <c r="MC242" i="1" s="1"/>
  <c r="MA246" i="1"/>
  <c r="MC246" i="1" s="1"/>
  <c r="MA184" i="1"/>
  <c r="MC184" i="1" s="1"/>
  <c r="MA188" i="1"/>
  <c r="MC188" i="1" s="1"/>
  <c r="MA192" i="1"/>
  <c r="MC192" i="1" s="1"/>
  <c r="MA196" i="1"/>
  <c r="MC196" i="1" s="1"/>
  <c r="MA200" i="1"/>
  <c r="MC200" i="1" s="1"/>
  <c r="MA204" i="1"/>
  <c r="MA208" i="1"/>
  <c r="MC208" i="1" s="1"/>
  <c r="MA212" i="1"/>
  <c r="MC212" i="1" s="1"/>
  <c r="MA193" i="1"/>
  <c r="MC193" i="1" s="1"/>
  <c r="MA223" i="1"/>
  <c r="MC223" i="1" s="1"/>
  <c r="MA243" i="1"/>
  <c r="MC243" i="1" s="1"/>
  <c r="MA238" i="1"/>
  <c r="MA201" i="1"/>
  <c r="MC201" i="1" s="1"/>
  <c r="MA185" i="1"/>
  <c r="MC185" i="1" s="1"/>
  <c r="MA235" i="1"/>
  <c r="MC235" i="1" s="1"/>
  <c r="MA219" i="1"/>
  <c r="MC219" i="1" s="1"/>
  <c r="MA426" i="1"/>
  <c r="MC426" i="1" s="1"/>
  <c r="LR209" i="1"/>
  <c r="LT209" i="1" s="1"/>
  <c r="LR205" i="1"/>
  <c r="LT205" i="1" s="1"/>
  <c r="LR201" i="1"/>
  <c r="LT201" i="1" s="1"/>
  <c r="LR197" i="1"/>
  <c r="LT197" i="1" s="1"/>
  <c r="LR193" i="1"/>
  <c r="LT193" i="1" s="1"/>
  <c r="LR189" i="1"/>
  <c r="LT189" i="1" s="1"/>
  <c r="LR185" i="1"/>
  <c r="LT185" i="1" s="1"/>
  <c r="LR238" i="1"/>
  <c r="LR183" i="1"/>
  <c r="LT183" i="1" s="1"/>
  <c r="MS341" i="1"/>
  <c r="MU341" i="1" s="1"/>
  <c r="MS350" i="1"/>
  <c r="MU350" i="1" s="1"/>
  <c r="MS342" i="1"/>
  <c r="MU342" i="1" s="1"/>
  <c r="MS334" i="1"/>
  <c r="MU334" i="1" s="1"/>
  <c r="MS326" i="1"/>
  <c r="MU326" i="1" s="1"/>
  <c r="MS349" i="1"/>
  <c r="MU349" i="1" s="1"/>
  <c r="MA187" i="1"/>
  <c r="MC187" i="1" s="1"/>
  <c r="MA191" i="1"/>
  <c r="MC191" i="1" s="1"/>
  <c r="MA195" i="1"/>
  <c r="MC195" i="1" s="1"/>
  <c r="MA199" i="1"/>
  <c r="MC199" i="1" s="1"/>
  <c r="MA203" i="1"/>
  <c r="MC203" i="1" s="1"/>
  <c r="MA207" i="1"/>
  <c r="MC207" i="1" s="1"/>
  <c r="MS362" i="1"/>
  <c r="MU362" i="1" s="1"/>
  <c r="MS370" i="1"/>
  <c r="MU370" i="1" s="1"/>
  <c r="MS378" i="1"/>
  <c r="MU378" i="1" s="1"/>
  <c r="MS386" i="1"/>
  <c r="MU386" i="1" s="1"/>
  <c r="MS371" i="1"/>
  <c r="MU371" i="1" s="1"/>
  <c r="MS329" i="1"/>
  <c r="MU329" i="1" s="1"/>
  <c r="MS353" i="1"/>
  <c r="MU353" i="1" s="1"/>
  <c r="MS337" i="1"/>
  <c r="MU337" i="1" s="1"/>
  <c r="MS345" i="1"/>
  <c r="MU345" i="1" s="1"/>
  <c r="MS245" i="1"/>
  <c r="MU245" i="1" s="1"/>
  <c r="MS211" i="1"/>
  <c r="MU211" i="1" s="1"/>
  <c r="MS195" i="1"/>
  <c r="MU195" i="1" s="1"/>
  <c r="MS346" i="1"/>
  <c r="MU346" i="1" s="1"/>
  <c r="MS338" i="1"/>
  <c r="MU338" i="1" s="1"/>
  <c r="MS330" i="1"/>
  <c r="MU330" i="1" s="1"/>
  <c r="MS379" i="1"/>
  <c r="MU379" i="1" s="1"/>
  <c r="MJ221" i="1"/>
  <c r="ML221" i="1" s="1"/>
  <c r="MJ225" i="1"/>
  <c r="ML225" i="1" s="1"/>
  <c r="MJ229" i="1"/>
  <c r="ML229" i="1" s="1"/>
  <c r="MA374" i="1"/>
  <c r="MC374" i="1" s="1"/>
  <c r="MA382" i="1"/>
  <c r="MC382" i="1" s="1"/>
  <c r="MA390" i="1"/>
  <c r="MC390" i="1" s="1"/>
  <c r="MA367" i="1"/>
  <c r="MC367" i="1" s="1"/>
  <c r="MA375" i="1"/>
  <c r="MC375" i="1" s="1"/>
  <c r="MA383" i="1"/>
  <c r="MC383" i="1" s="1"/>
  <c r="MA368" i="1"/>
  <c r="MC368" i="1" s="1"/>
  <c r="MA376" i="1"/>
  <c r="MC376" i="1" s="1"/>
  <c r="MA362" i="1"/>
  <c r="MC362" i="1" s="1"/>
  <c r="MA385" i="1"/>
  <c r="MC385" i="1" s="1"/>
  <c r="MA210" i="1"/>
  <c r="MC210" i="1" s="1"/>
  <c r="MA221" i="1"/>
  <c r="MC221" i="1" s="1"/>
  <c r="MA225" i="1"/>
  <c r="MC225" i="1" s="1"/>
  <c r="MA229" i="1"/>
  <c r="MC229" i="1" s="1"/>
  <c r="MA377" i="1"/>
  <c r="MC377" i="1" s="1"/>
  <c r="MA237" i="1"/>
  <c r="MC237" i="1" s="1"/>
  <c r="MA241" i="1"/>
  <c r="MC241" i="1" s="1"/>
  <c r="MA245" i="1"/>
  <c r="MC245" i="1" s="1"/>
  <c r="MA218" i="1"/>
  <c r="MC218" i="1" s="1"/>
  <c r="MA369" i="1"/>
  <c r="MC369" i="1" s="1"/>
  <c r="MA361" i="1"/>
  <c r="MC361" i="1" s="1"/>
  <c r="MA384" i="1"/>
  <c r="MC384" i="1" s="1"/>
  <c r="MA209" i="1"/>
  <c r="MC209" i="1" s="1"/>
  <c r="MA227" i="1"/>
  <c r="MC227" i="1" s="1"/>
  <c r="MA378" i="1"/>
  <c r="MC378" i="1" s="1"/>
  <c r="MA370" i="1"/>
  <c r="MC370" i="1" s="1"/>
  <c r="MA233" i="1"/>
  <c r="MC233" i="1" s="1"/>
  <c r="MA202" i="1"/>
  <c r="MC202" i="1" s="1"/>
  <c r="MA206" i="1"/>
  <c r="MC206" i="1" s="1"/>
  <c r="B43" i="18"/>
  <c r="B44" i="18"/>
  <c r="B42" i="18"/>
  <c r="B45" i="18"/>
  <c r="RI111" i="1"/>
  <c r="BB25" i="5" s="1"/>
  <c r="B46" i="18"/>
  <c r="B46" i="14"/>
  <c r="B46" i="11"/>
  <c r="B46" i="16"/>
  <c r="B46" i="15"/>
  <c r="B46" i="13"/>
  <c r="B46" i="12"/>
  <c r="B46" i="8"/>
  <c r="B46" i="21"/>
  <c r="H45" i="17"/>
  <c r="O45" i="17" s="1"/>
  <c r="H46" i="17"/>
  <c r="O46" i="17" s="1"/>
  <c r="AP11" i="5"/>
  <c r="D46" i="18" s="1"/>
  <c r="NE42" i="1"/>
  <c r="NE43" i="1" s="1"/>
  <c r="NE44" i="1" s="1"/>
  <c r="NE45" i="1" s="1"/>
  <c r="NE46" i="1" s="1"/>
  <c r="NE47" i="1" s="1"/>
  <c r="NE48" i="1" s="1"/>
  <c r="NE49" i="1" s="1"/>
  <c r="NE50" i="1" s="1"/>
  <c r="NE51" i="1" s="1"/>
  <c r="NE52" i="1" s="1"/>
  <c r="NE53" i="1" s="1"/>
  <c r="NE54" i="1" s="1"/>
  <c r="NE55" i="1" s="1"/>
  <c r="NE56" i="1" s="1"/>
  <c r="NE57" i="1" s="1"/>
  <c r="NE58" i="1" s="1"/>
  <c r="NE59" i="1" s="1"/>
  <c r="NE60" i="1" s="1"/>
  <c r="NE61" i="1" s="1"/>
  <c r="NE62" i="1" s="1"/>
  <c r="NE63" i="1" s="1"/>
  <c r="NE64" i="1" s="1"/>
  <c r="NE65" i="1" s="1"/>
  <c r="NE66" i="1" s="1"/>
  <c r="NE67" i="1" s="1"/>
  <c r="NE68" i="1" s="1"/>
  <c r="NE69" i="1" s="1"/>
  <c r="NE70" i="1" s="1"/>
  <c r="NE71" i="1" s="1"/>
  <c r="AO11" i="5"/>
  <c r="D45" i="18" s="1"/>
  <c r="MV42" i="1"/>
  <c r="MV43" i="1" s="1"/>
  <c r="MV44" i="1" s="1"/>
  <c r="MV45" i="1" s="1"/>
  <c r="MV46" i="1" s="1"/>
  <c r="MV47" i="1" s="1"/>
  <c r="MV48" i="1" s="1"/>
  <c r="MV49" i="1" s="1"/>
  <c r="MV50" i="1" s="1"/>
  <c r="MV51" i="1" s="1"/>
  <c r="MV52" i="1" s="1"/>
  <c r="MV53" i="1" s="1"/>
  <c r="MV54" i="1" s="1"/>
  <c r="MV55" i="1" s="1"/>
  <c r="MV56" i="1" s="1"/>
  <c r="MV57" i="1" s="1"/>
  <c r="MV58" i="1" s="1"/>
  <c r="MV59" i="1" s="1"/>
  <c r="MV60" i="1" s="1"/>
  <c r="MV61" i="1" s="1"/>
  <c r="MV62" i="1" s="1"/>
  <c r="MV63" i="1" s="1"/>
  <c r="MV64" i="1" s="1"/>
  <c r="MV65" i="1" s="1"/>
  <c r="MV66" i="1" s="1"/>
  <c r="MV67" i="1" s="1"/>
  <c r="MV68" i="1" s="1"/>
  <c r="MV69" i="1" s="1"/>
  <c r="MV70" i="1" s="1"/>
  <c r="MV71" i="1" s="1"/>
  <c r="AN11" i="5"/>
  <c r="D44" i="18" s="1"/>
  <c r="MM42" i="1"/>
  <c r="MM43" i="1" s="1"/>
  <c r="MM44" i="1" s="1"/>
  <c r="MM45" i="1" s="1"/>
  <c r="MM46" i="1" s="1"/>
  <c r="MM47" i="1" s="1"/>
  <c r="MM48" i="1" s="1"/>
  <c r="MM49" i="1" s="1"/>
  <c r="MM50" i="1" s="1"/>
  <c r="MM51" i="1" s="1"/>
  <c r="MM52" i="1" s="1"/>
  <c r="MM53" i="1" s="1"/>
  <c r="MM54" i="1" s="1"/>
  <c r="MM55" i="1" s="1"/>
  <c r="MM56" i="1" s="1"/>
  <c r="MM57" i="1" s="1"/>
  <c r="MM58" i="1" s="1"/>
  <c r="MM59" i="1" s="1"/>
  <c r="MM60" i="1" s="1"/>
  <c r="MM61" i="1" s="1"/>
  <c r="MM62" i="1" s="1"/>
  <c r="MM63" i="1" s="1"/>
  <c r="MM64" i="1" s="1"/>
  <c r="MM65" i="1" s="1"/>
  <c r="MM66" i="1" s="1"/>
  <c r="MM67" i="1" s="1"/>
  <c r="MM68" i="1" s="1"/>
  <c r="MM69" i="1" s="1"/>
  <c r="MM70" i="1" s="1"/>
  <c r="MM71" i="1" s="1"/>
  <c r="AL11" i="5"/>
  <c r="D42" i="18" s="1"/>
  <c r="LU42" i="1"/>
  <c r="LU43" i="1" s="1"/>
  <c r="LU44" i="1" s="1"/>
  <c r="LU45" i="1" s="1"/>
  <c r="LU46" i="1" s="1"/>
  <c r="LU47" i="1" s="1"/>
  <c r="LU48" i="1" s="1"/>
  <c r="LU49" i="1" s="1"/>
  <c r="LU50" i="1" s="1"/>
  <c r="LU51" i="1" s="1"/>
  <c r="LU52" i="1" s="1"/>
  <c r="LU53" i="1" s="1"/>
  <c r="LU54" i="1" s="1"/>
  <c r="LU55" i="1" s="1"/>
  <c r="LU56" i="1" s="1"/>
  <c r="LU57" i="1" s="1"/>
  <c r="LU58" i="1" s="1"/>
  <c r="LU59" i="1" s="1"/>
  <c r="LU60" i="1" s="1"/>
  <c r="LU61" i="1" s="1"/>
  <c r="LU62" i="1" s="1"/>
  <c r="LU63" i="1" s="1"/>
  <c r="LU64" i="1" s="1"/>
  <c r="LU65" i="1" s="1"/>
  <c r="LU66" i="1" s="1"/>
  <c r="LU67" i="1" s="1"/>
  <c r="LU68" i="1" s="1"/>
  <c r="LU69" i="1" s="1"/>
  <c r="LU70" i="1" s="1"/>
  <c r="LU71" i="1" s="1"/>
  <c r="AS53" i="5"/>
  <c r="D49" i="12" s="1"/>
  <c r="MD42" i="1"/>
  <c r="MD43" i="1" s="1"/>
  <c r="MD44" i="1" s="1"/>
  <c r="MD45" i="1" s="1"/>
  <c r="MD46" i="1" s="1"/>
  <c r="MD47" i="1" s="1"/>
  <c r="MD48" i="1" s="1"/>
  <c r="MD49" i="1" s="1"/>
  <c r="MD50" i="1" s="1"/>
  <c r="MD51" i="1" s="1"/>
  <c r="MD52" i="1" s="1"/>
  <c r="MD53" i="1" s="1"/>
  <c r="MD54" i="1" s="1"/>
  <c r="MD55" i="1" s="1"/>
  <c r="MD56" i="1" s="1"/>
  <c r="MD57" i="1" s="1"/>
  <c r="MD58" i="1" s="1"/>
  <c r="MD59" i="1" s="1"/>
  <c r="MD60" i="1" s="1"/>
  <c r="MD61" i="1" s="1"/>
  <c r="MD62" i="1" s="1"/>
  <c r="MD63" i="1" s="1"/>
  <c r="MD64" i="1" s="1"/>
  <c r="MD65" i="1" s="1"/>
  <c r="MD66" i="1" s="1"/>
  <c r="MD67" i="1" s="1"/>
  <c r="MD68" i="1" s="1"/>
  <c r="MD69" i="1" s="1"/>
  <c r="MD70" i="1" s="1"/>
  <c r="MD71" i="1" s="1"/>
  <c r="AM15" i="5" s="1"/>
  <c r="H43" i="18" s="1"/>
  <c r="O43" i="18" s="1"/>
  <c r="H43" i="17"/>
  <c r="O43" i="17" s="1"/>
  <c r="B45" i="17"/>
  <c r="B45" i="12"/>
  <c r="B45" i="11"/>
  <c r="B45" i="21"/>
  <c r="B45" i="16"/>
  <c r="B45" i="15"/>
  <c r="B45" i="14"/>
  <c r="B45" i="13"/>
  <c r="B45" i="8"/>
  <c r="B45" i="20"/>
  <c r="B45" i="19"/>
  <c r="B46" i="17"/>
  <c r="B46" i="20"/>
  <c r="B46" i="19"/>
  <c r="B42" i="17"/>
  <c r="B42" i="16"/>
  <c r="B42" i="15"/>
  <c r="B42" i="13"/>
  <c r="B42" i="20"/>
  <c r="B42" i="14"/>
  <c r="B42" i="12"/>
  <c r="B42" i="11"/>
  <c r="B42" i="8"/>
  <c r="B42" i="21"/>
  <c r="B42" i="19"/>
  <c r="B44" i="17"/>
  <c r="B44" i="12"/>
  <c r="B44" i="11"/>
  <c r="B44" i="8"/>
  <c r="B44" i="21"/>
  <c r="B44" i="16"/>
  <c r="B44" i="15"/>
  <c r="B44" i="14"/>
  <c r="B44" i="13"/>
  <c r="B44" i="20"/>
  <c r="B44" i="19"/>
  <c r="B43" i="17"/>
  <c r="B43" i="16"/>
  <c r="B43" i="15"/>
  <c r="B43" i="13"/>
  <c r="B43" i="8"/>
  <c r="B43" i="20"/>
  <c r="B43" i="14"/>
  <c r="B43" i="12"/>
  <c r="B43" i="11"/>
  <c r="B43" i="21"/>
  <c r="B43" i="19"/>
  <c r="OF290" i="1"/>
  <c r="OF291" i="1" s="1"/>
  <c r="OF292" i="1" s="1"/>
  <c r="OF293" i="1" s="1"/>
  <c r="OF294" i="1" s="1"/>
  <c r="OF295" i="1" s="1"/>
  <c r="OF296" i="1" s="1"/>
  <c r="OF297" i="1" s="1"/>
  <c r="OF298" i="1" s="1"/>
  <c r="OF299" i="1" s="1"/>
  <c r="OF300" i="1" s="1"/>
  <c r="OF301" i="1" s="1"/>
  <c r="OF302" i="1" s="1"/>
  <c r="OF303" i="1" s="1"/>
  <c r="OF304" i="1" s="1"/>
  <c r="OF305" i="1" s="1"/>
  <c r="OF306" i="1" s="1"/>
  <c r="OF307" i="1" s="1"/>
  <c r="OF308" i="1" s="1"/>
  <c r="OF309" i="1" s="1"/>
  <c r="OF310" i="1" s="1"/>
  <c r="OF311" i="1" s="1"/>
  <c r="OF312" i="1" s="1"/>
  <c r="OF313" i="1" s="1"/>
  <c r="OF314" i="1" s="1"/>
  <c r="OF315" i="1" s="1"/>
  <c r="OF316" i="1" s="1"/>
  <c r="OF317" i="1" s="1"/>
  <c r="OF318" i="1" s="1"/>
  <c r="OF319" i="1" s="1"/>
  <c r="OF320" i="1" s="1"/>
  <c r="OF324" i="1" s="1"/>
  <c r="AS60" i="5"/>
  <c r="D49" i="13" s="1"/>
  <c r="TB112" i="1" l="1"/>
  <c r="TB113" i="1" s="1"/>
  <c r="TB114" i="1" s="1"/>
  <c r="TB115" i="1" s="1"/>
  <c r="TB116" i="1" s="1"/>
  <c r="TB117" i="1" s="1"/>
  <c r="TB118" i="1" s="1"/>
  <c r="TB119" i="1" s="1"/>
  <c r="TB120" i="1" s="1"/>
  <c r="TB121" i="1" s="1"/>
  <c r="TB122" i="1" s="1"/>
  <c r="TB123" i="1" s="1"/>
  <c r="TB124" i="1" s="1"/>
  <c r="TB125" i="1" s="1"/>
  <c r="TB126" i="1" s="1"/>
  <c r="TB127" i="1" s="1"/>
  <c r="TB128" i="1" s="1"/>
  <c r="TB129" i="1" s="1"/>
  <c r="TB130" i="1" s="1"/>
  <c r="TB131" i="1" s="1"/>
  <c r="TB132" i="1" s="1"/>
  <c r="TB133" i="1" s="1"/>
  <c r="TB134" i="1" s="1"/>
  <c r="TB135" i="1" s="1"/>
  <c r="TB136" i="1" s="1"/>
  <c r="TB137" i="1" s="1"/>
  <c r="TB138" i="1" s="1"/>
  <c r="TB139" i="1" s="1"/>
  <c r="TB140" i="1" s="1"/>
  <c r="TB141" i="1" s="1"/>
  <c r="TB142" i="1" s="1"/>
  <c r="BG25" i="5"/>
  <c r="TK112" i="1"/>
  <c r="TK113" i="1" s="1"/>
  <c r="TK114" i="1" s="1"/>
  <c r="TK115" i="1" s="1"/>
  <c r="TK116" i="1" s="1"/>
  <c r="TK117" i="1" s="1"/>
  <c r="TK118" i="1" s="1"/>
  <c r="TK119" i="1" s="1"/>
  <c r="TK120" i="1" s="1"/>
  <c r="TK121" i="1" s="1"/>
  <c r="TK122" i="1" s="1"/>
  <c r="TK123" i="1" s="1"/>
  <c r="TK124" i="1" s="1"/>
  <c r="TK125" i="1" s="1"/>
  <c r="TK126" i="1" s="1"/>
  <c r="TK127" i="1" s="1"/>
  <c r="TK128" i="1" s="1"/>
  <c r="TK129" i="1" s="1"/>
  <c r="TK130" i="1" s="1"/>
  <c r="TK131" i="1" s="1"/>
  <c r="TK132" i="1" s="1"/>
  <c r="TK133" i="1" s="1"/>
  <c r="TK134" i="1" s="1"/>
  <c r="TK135" i="1" s="1"/>
  <c r="TK136" i="1" s="1"/>
  <c r="TK137" i="1" s="1"/>
  <c r="TK138" i="1" s="1"/>
  <c r="TK139" i="1" s="1"/>
  <c r="TK140" i="1" s="1"/>
  <c r="TK141" i="1" s="1"/>
  <c r="TK142" i="1" s="1"/>
  <c r="BH25" i="5"/>
  <c r="SS112" i="1"/>
  <c r="SS113" i="1" s="1"/>
  <c r="SS114" i="1" s="1"/>
  <c r="SS115" i="1" s="1"/>
  <c r="SS116" i="1" s="1"/>
  <c r="SS117" i="1" s="1"/>
  <c r="SS118" i="1" s="1"/>
  <c r="SS119" i="1" s="1"/>
  <c r="SS120" i="1" s="1"/>
  <c r="SS121" i="1" s="1"/>
  <c r="SS122" i="1" s="1"/>
  <c r="SS123" i="1" s="1"/>
  <c r="SS124" i="1" s="1"/>
  <c r="SS125" i="1" s="1"/>
  <c r="SS126" i="1" s="1"/>
  <c r="SS127" i="1" s="1"/>
  <c r="SS128" i="1" s="1"/>
  <c r="SS129" i="1" s="1"/>
  <c r="SS130" i="1" s="1"/>
  <c r="SS131" i="1" s="1"/>
  <c r="SS132" i="1" s="1"/>
  <c r="SS133" i="1" s="1"/>
  <c r="SS134" i="1" s="1"/>
  <c r="SS135" i="1" s="1"/>
  <c r="SS136" i="1" s="1"/>
  <c r="SS137" i="1" s="1"/>
  <c r="SS138" i="1" s="1"/>
  <c r="SS139" i="1" s="1"/>
  <c r="SS140" i="1" s="1"/>
  <c r="SS141" i="1" s="1"/>
  <c r="SS142" i="1" s="1"/>
  <c r="BF25" i="5"/>
  <c r="SA112" i="1"/>
  <c r="SA113" i="1" s="1"/>
  <c r="SA114" i="1" s="1"/>
  <c r="SA115" i="1" s="1"/>
  <c r="SA116" i="1" s="1"/>
  <c r="SA117" i="1" s="1"/>
  <c r="SA118" i="1" s="1"/>
  <c r="SA119" i="1" s="1"/>
  <c r="SA120" i="1" s="1"/>
  <c r="SA121" i="1" s="1"/>
  <c r="SA122" i="1" s="1"/>
  <c r="SA123" i="1" s="1"/>
  <c r="SA124" i="1" s="1"/>
  <c r="SA125" i="1" s="1"/>
  <c r="SA126" i="1" s="1"/>
  <c r="SA127" i="1" s="1"/>
  <c r="SA128" i="1" s="1"/>
  <c r="SA129" i="1" s="1"/>
  <c r="SA130" i="1" s="1"/>
  <c r="SA131" i="1" s="1"/>
  <c r="SA132" i="1" s="1"/>
  <c r="SA133" i="1" s="1"/>
  <c r="SA134" i="1" s="1"/>
  <c r="SA135" i="1" s="1"/>
  <c r="SA136" i="1" s="1"/>
  <c r="SA137" i="1" s="1"/>
  <c r="SA138" i="1" s="1"/>
  <c r="SA139" i="1" s="1"/>
  <c r="SA140" i="1" s="1"/>
  <c r="SA141" i="1" s="1"/>
  <c r="SA142" i="1" s="1"/>
  <c r="BD25" i="5"/>
  <c r="SJ112" i="1"/>
  <c r="SJ113" i="1" s="1"/>
  <c r="SJ114" i="1" s="1"/>
  <c r="SJ115" i="1" s="1"/>
  <c r="SJ116" i="1" s="1"/>
  <c r="SJ117" i="1" s="1"/>
  <c r="SJ118" i="1" s="1"/>
  <c r="SJ119" i="1" s="1"/>
  <c r="SJ120" i="1" s="1"/>
  <c r="SJ121" i="1" s="1"/>
  <c r="SJ122" i="1" s="1"/>
  <c r="SJ123" i="1" s="1"/>
  <c r="SJ124" i="1" s="1"/>
  <c r="SJ125" i="1" s="1"/>
  <c r="SJ126" i="1" s="1"/>
  <c r="SJ127" i="1" s="1"/>
  <c r="SJ128" i="1" s="1"/>
  <c r="SJ129" i="1" s="1"/>
  <c r="SJ130" i="1" s="1"/>
  <c r="SJ131" i="1" s="1"/>
  <c r="SJ132" i="1" s="1"/>
  <c r="SJ133" i="1" s="1"/>
  <c r="SJ134" i="1" s="1"/>
  <c r="SJ135" i="1" s="1"/>
  <c r="SJ136" i="1" s="1"/>
  <c r="SJ137" i="1" s="1"/>
  <c r="SJ138" i="1" s="1"/>
  <c r="SJ139" i="1" s="1"/>
  <c r="SJ140" i="1" s="1"/>
  <c r="SJ141" i="1" s="1"/>
  <c r="SJ142" i="1" s="1"/>
  <c r="BE25" i="5"/>
  <c r="RR112" i="1"/>
  <c r="RR113" i="1" s="1"/>
  <c r="RR114" i="1" s="1"/>
  <c r="RR115" i="1" s="1"/>
  <c r="RR116" i="1" s="1"/>
  <c r="RR117" i="1" s="1"/>
  <c r="RR118" i="1" s="1"/>
  <c r="RR119" i="1" s="1"/>
  <c r="RR120" i="1" s="1"/>
  <c r="RR121" i="1" s="1"/>
  <c r="RR122" i="1" s="1"/>
  <c r="RR123" i="1" s="1"/>
  <c r="RR124" i="1" s="1"/>
  <c r="RR125" i="1" s="1"/>
  <c r="RR126" i="1" s="1"/>
  <c r="RR127" i="1" s="1"/>
  <c r="RR128" i="1" s="1"/>
  <c r="RR129" i="1" s="1"/>
  <c r="RR130" i="1" s="1"/>
  <c r="RR131" i="1" s="1"/>
  <c r="RR132" i="1" s="1"/>
  <c r="RR133" i="1" s="1"/>
  <c r="RR134" i="1" s="1"/>
  <c r="RR135" i="1" s="1"/>
  <c r="RR136" i="1" s="1"/>
  <c r="RR137" i="1" s="1"/>
  <c r="RR138" i="1" s="1"/>
  <c r="RR139" i="1" s="1"/>
  <c r="RR140" i="1" s="1"/>
  <c r="RR141" i="1" s="1"/>
  <c r="RR142" i="1" s="1"/>
  <c r="BC25" i="5"/>
  <c r="QZ112" i="1"/>
  <c r="QZ113" i="1" s="1"/>
  <c r="QZ114" i="1" s="1"/>
  <c r="QZ115" i="1" s="1"/>
  <c r="QZ116" i="1" s="1"/>
  <c r="QZ117" i="1" s="1"/>
  <c r="QZ118" i="1" s="1"/>
  <c r="QZ119" i="1" s="1"/>
  <c r="QZ120" i="1" s="1"/>
  <c r="QZ121" i="1" s="1"/>
  <c r="QZ122" i="1" s="1"/>
  <c r="QZ123" i="1" s="1"/>
  <c r="QZ124" i="1" s="1"/>
  <c r="QZ125" i="1" s="1"/>
  <c r="QZ126" i="1" s="1"/>
  <c r="QZ127" i="1" s="1"/>
  <c r="QZ128" i="1" s="1"/>
  <c r="QZ129" i="1" s="1"/>
  <c r="QZ130" i="1" s="1"/>
  <c r="QZ131" i="1" s="1"/>
  <c r="QZ132" i="1" s="1"/>
  <c r="QZ133" i="1" s="1"/>
  <c r="QZ134" i="1" s="1"/>
  <c r="QZ135" i="1" s="1"/>
  <c r="QZ136" i="1" s="1"/>
  <c r="QZ137" i="1" s="1"/>
  <c r="QZ138" i="1" s="1"/>
  <c r="QZ139" i="1" s="1"/>
  <c r="QZ140" i="1" s="1"/>
  <c r="QZ141" i="1" s="1"/>
  <c r="QZ142" i="1" s="1"/>
  <c r="BA25" i="5"/>
  <c r="ML396" i="1"/>
  <c r="ML427" i="1" s="1"/>
  <c r="G44" i="16" s="1"/>
  <c r="MJ427" i="1"/>
  <c r="AN83" i="5" s="1"/>
  <c r="F44" i="16" s="1"/>
  <c r="LT401" i="1"/>
  <c r="LT427" i="1" s="1"/>
  <c r="AL84" i="5" s="1"/>
  <c r="G42" i="16" s="1"/>
  <c r="LR427" i="1"/>
  <c r="AL83" i="5" s="1"/>
  <c r="F42" i="16" s="1"/>
  <c r="MU396" i="1"/>
  <c r="MU427" i="1" s="1"/>
  <c r="G45" i="16" s="1"/>
  <c r="MS427" i="1"/>
  <c r="AO83" i="5" s="1"/>
  <c r="F45" i="16" s="1"/>
  <c r="MC396" i="1"/>
  <c r="MC427" i="1" s="1"/>
  <c r="G43" i="16" s="1"/>
  <c r="MA427" i="1"/>
  <c r="AM83" i="5" s="1"/>
  <c r="F43" i="16" s="1"/>
  <c r="RI112" i="1"/>
  <c r="RI113" i="1" s="1"/>
  <c r="RI114" i="1" s="1"/>
  <c r="RI115" i="1" s="1"/>
  <c r="RI116" i="1" s="1"/>
  <c r="RI117" i="1" s="1"/>
  <c r="RI118" i="1" s="1"/>
  <c r="RI119" i="1" s="1"/>
  <c r="RI120" i="1" s="1"/>
  <c r="RI121" i="1" s="1"/>
  <c r="RI122" i="1" s="1"/>
  <c r="RI123" i="1" s="1"/>
  <c r="RI124" i="1" s="1"/>
  <c r="RI125" i="1" s="1"/>
  <c r="RI126" i="1" s="1"/>
  <c r="RI127" i="1" s="1"/>
  <c r="RI128" i="1" s="1"/>
  <c r="RI129" i="1" s="1"/>
  <c r="RI130" i="1" s="1"/>
  <c r="RI131" i="1" s="1"/>
  <c r="RI132" i="1" s="1"/>
  <c r="RI133" i="1" s="1"/>
  <c r="RI134" i="1" s="1"/>
  <c r="RI135" i="1" s="1"/>
  <c r="RI136" i="1" s="1"/>
  <c r="RI137" i="1" s="1"/>
  <c r="RI138" i="1" s="1"/>
  <c r="RI139" i="1" s="1"/>
  <c r="RI140" i="1" s="1"/>
  <c r="RI141" i="1" s="1"/>
  <c r="RI142" i="1" s="1"/>
  <c r="BB29" i="5" s="1"/>
  <c r="AP15" i="5"/>
  <c r="H46" i="18" s="1"/>
  <c r="O46" i="18" s="1"/>
  <c r="NE75" i="1"/>
  <c r="AL15" i="5"/>
  <c r="H42" i="18" s="1"/>
  <c r="O42" i="18" s="1"/>
  <c r="LU75" i="1"/>
  <c r="AO15" i="5"/>
  <c r="H45" i="18" s="1"/>
  <c r="O45" i="18" s="1"/>
  <c r="MV75" i="1"/>
  <c r="AN15" i="5"/>
  <c r="H44" i="18" s="1"/>
  <c r="O44" i="18" s="1"/>
  <c r="MM75" i="1"/>
  <c r="MD75" i="1"/>
  <c r="AM18" i="5" s="1"/>
  <c r="D43" i="19" s="1"/>
  <c r="OF325" i="1"/>
  <c r="OF326" i="1" s="1"/>
  <c r="OF327" i="1" s="1"/>
  <c r="OF328" i="1" s="1"/>
  <c r="OF329" i="1" s="1"/>
  <c r="OF330" i="1" s="1"/>
  <c r="OF331" i="1" s="1"/>
  <c r="OF332" i="1" s="1"/>
  <c r="OF333" i="1" s="1"/>
  <c r="OF334" i="1" s="1"/>
  <c r="OF335" i="1" s="1"/>
  <c r="OF336" i="1" s="1"/>
  <c r="OF337" i="1" s="1"/>
  <c r="OF338" i="1" s="1"/>
  <c r="OF339" i="1" s="1"/>
  <c r="OF340" i="1" s="1"/>
  <c r="OF341" i="1" s="1"/>
  <c r="OF342" i="1" s="1"/>
  <c r="OF343" i="1" s="1"/>
  <c r="OF344" i="1" s="1"/>
  <c r="OF345" i="1" s="1"/>
  <c r="OF346" i="1" s="1"/>
  <c r="OF347" i="1" s="1"/>
  <c r="OF348" i="1" s="1"/>
  <c r="OF349" i="1" s="1"/>
  <c r="OF350" i="1" s="1"/>
  <c r="OF351" i="1" s="1"/>
  <c r="OF352" i="1" s="1"/>
  <c r="OF353" i="1" s="1"/>
  <c r="OF354" i="1" s="1"/>
  <c r="OF355" i="1" s="1"/>
  <c r="OF356" i="1" s="1"/>
  <c r="OF360" i="1" s="1"/>
  <c r="AS67" i="5"/>
  <c r="D49" i="14" s="1"/>
  <c r="SA146" i="1" l="1"/>
  <c r="BD29" i="5"/>
  <c r="SS146" i="1"/>
  <c r="BF29" i="5"/>
  <c r="TK146" i="1"/>
  <c r="BH29" i="5"/>
  <c r="SJ146" i="1"/>
  <c r="BE29" i="5"/>
  <c r="TB146" i="1"/>
  <c r="BG29" i="5"/>
  <c r="RR146" i="1"/>
  <c r="BC29" i="5"/>
  <c r="QZ146" i="1"/>
  <c r="BA29" i="5"/>
  <c r="RI146" i="1"/>
  <c r="BB32" i="5" s="1"/>
  <c r="AO18" i="5"/>
  <c r="D45" i="19" s="1"/>
  <c r="MV76" i="1"/>
  <c r="MV77" i="1" s="1"/>
  <c r="MV78" i="1" s="1"/>
  <c r="MV79" i="1" s="1"/>
  <c r="MV80" i="1" s="1"/>
  <c r="MV81" i="1" s="1"/>
  <c r="MV82" i="1" s="1"/>
  <c r="MV83" i="1" s="1"/>
  <c r="MV84" i="1" s="1"/>
  <c r="MV85" i="1" s="1"/>
  <c r="MV86" i="1" s="1"/>
  <c r="MV87" i="1" s="1"/>
  <c r="MV88" i="1" s="1"/>
  <c r="MV89" i="1" s="1"/>
  <c r="MV90" i="1" s="1"/>
  <c r="MV91" i="1" s="1"/>
  <c r="MV92" i="1" s="1"/>
  <c r="MV93" i="1" s="1"/>
  <c r="MV94" i="1" s="1"/>
  <c r="MV95" i="1" s="1"/>
  <c r="MV96" i="1" s="1"/>
  <c r="MV97" i="1" s="1"/>
  <c r="MV98" i="1" s="1"/>
  <c r="MV99" i="1" s="1"/>
  <c r="MV100" i="1" s="1"/>
  <c r="MV101" i="1" s="1"/>
  <c r="MV102" i="1" s="1"/>
  <c r="MV103" i="1" s="1"/>
  <c r="MV104" i="1" s="1"/>
  <c r="MV105" i="1" s="1"/>
  <c r="MV106" i="1" s="1"/>
  <c r="MV107" i="1" s="1"/>
  <c r="AL18" i="5"/>
  <c r="D42" i="19" s="1"/>
  <c r="LU76" i="1"/>
  <c r="LU77" i="1" s="1"/>
  <c r="LU78" i="1" s="1"/>
  <c r="LU79" i="1" s="1"/>
  <c r="LU80" i="1" s="1"/>
  <c r="LU81" i="1" s="1"/>
  <c r="LU82" i="1" s="1"/>
  <c r="LU83" i="1" s="1"/>
  <c r="LU84" i="1" s="1"/>
  <c r="LU85" i="1" s="1"/>
  <c r="LU86" i="1" s="1"/>
  <c r="LU87" i="1" s="1"/>
  <c r="LU88" i="1" s="1"/>
  <c r="LU89" i="1" s="1"/>
  <c r="LU90" i="1" s="1"/>
  <c r="LU91" i="1" s="1"/>
  <c r="LU92" i="1" s="1"/>
  <c r="LU93" i="1" s="1"/>
  <c r="LU94" i="1" s="1"/>
  <c r="LU95" i="1" s="1"/>
  <c r="LU96" i="1" s="1"/>
  <c r="LU97" i="1" s="1"/>
  <c r="LU98" i="1" s="1"/>
  <c r="LU99" i="1" s="1"/>
  <c r="LU100" i="1" s="1"/>
  <c r="LU101" i="1" s="1"/>
  <c r="LU102" i="1" s="1"/>
  <c r="LU103" i="1" s="1"/>
  <c r="LU104" i="1" s="1"/>
  <c r="LU105" i="1" s="1"/>
  <c r="LU106" i="1" s="1"/>
  <c r="LU107" i="1" s="1"/>
  <c r="AP18" i="5"/>
  <c r="D46" i="19" s="1"/>
  <c r="NE76" i="1"/>
  <c r="NE77" i="1" s="1"/>
  <c r="NE78" i="1" s="1"/>
  <c r="NE79" i="1" s="1"/>
  <c r="NE80" i="1" s="1"/>
  <c r="NE81" i="1" s="1"/>
  <c r="NE82" i="1" s="1"/>
  <c r="NE83" i="1" s="1"/>
  <c r="NE84" i="1" s="1"/>
  <c r="NE85" i="1" s="1"/>
  <c r="NE86" i="1" s="1"/>
  <c r="NE87" i="1" s="1"/>
  <c r="NE88" i="1" s="1"/>
  <c r="NE89" i="1" s="1"/>
  <c r="NE90" i="1" s="1"/>
  <c r="NE91" i="1" s="1"/>
  <c r="NE92" i="1" s="1"/>
  <c r="NE93" i="1" s="1"/>
  <c r="NE94" i="1" s="1"/>
  <c r="NE95" i="1" s="1"/>
  <c r="NE96" i="1" s="1"/>
  <c r="NE97" i="1" s="1"/>
  <c r="NE98" i="1" s="1"/>
  <c r="NE99" i="1" s="1"/>
  <c r="NE100" i="1" s="1"/>
  <c r="NE101" i="1" s="1"/>
  <c r="NE102" i="1" s="1"/>
  <c r="NE103" i="1" s="1"/>
  <c r="NE104" i="1" s="1"/>
  <c r="NE105" i="1" s="1"/>
  <c r="NE106" i="1" s="1"/>
  <c r="NE107" i="1" s="1"/>
  <c r="AN18" i="5"/>
  <c r="D44" i="19" s="1"/>
  <c r="MM76" i="1"/>
  <c r="MM77" i="1" s="1"/>
  <c r="MM78" i="1" s="1"/>
  <c r="MM79" i="1" s="1"/>
  <c r="MM80" i="1" s="1"/>
  <c r="MM81" i="1" s="1"/>
  <c r="MM82" i="1" s="1"/>
  <c r="MM83" i="1" s="1"/>
  <c r="MM84" i="1" s="1"/>
  <c r="MM85" i="1" s="1"/>
  <c r="MM86" i="1" s="1"/>
  <c r="MM87" i="1" s="1"/>
  <c r="MM88" i="1" s="1"/>
  <c r="MM89" i="1" s="1"/>
  <c r="MM90" i="1" s="1"/>
  <c r="MM91" i="1" s="1"/>
  <c r="MM92" i="1" s="1"/>
  <c r="MM93" i="1" s="1"/>
  <c r="MM94" i="1" s="1"/>
  <c r="MM95" i="1" s="1"/>
  <c r="MM96" i="1" s="1"/>
  <c r="MM97" i="1" s="1"/>
  <c r="MM98" i="1" s="1"/>
  <c r="MM99" i="1" s="1"/>
  <c r="MM100" i="1" s="1"/>
  <c r="MM101" i="1" s="1"/>
  <c r="MM102" i="1" s="1"/>
  <c r="MM103" i="1" s="1"/>
  <c r="MM104" i="1" s="1"/>
  <c r="MM105" i="1" s="1"/>
  <c r="MM106" i="1" s="1"/>
  <c r="MM107" i="1" s="1"/>
  <c r="MD76" i="1"/>
  <c r="MD77" i="1" s="1"/>
  <c r="MD78" i="1" s="1"/>
  <c r="MD79" i="1" s="1"/>
  <c r="MD80" i="1" s="1"/>
  <c r="MD81" i="1" s="1"/>
  <c r="MD82" i="1" s="1"/>
  <c r="MD83" i="1" s="1"/>
  <c r="MD84" i="1" s="1"/>
  <c r="MD85" i="1" s="1"/>
  <c r="MD86" i="1" s="1"/>
  <c r="MD87" i="1" s="1"/>
  <c r="MD88" i="1" s="1"/>
  <c r="MD89" i="1" s="1"/>
  <c r="MD90" i="1" s="1"/>
  <c r="MD91" i="1" s="1"/>
  <c r="MD92" i="1" s="1"/>
  <c r="MD93" i="1" s="1"/>
  <c r="MD94" i="1" s="1"/>
  <c r="MD95" i="1" s="1"/>
  <c r="MD96" i="1" s="1"/>
  <c r="MD97" i="1" s="1"/>
  <c r="MD98" i="1" s="1"/>
  <c r="MD99" i="1" s="1"/>
  <c r="MD100" i="1" s="1"/>
  <c r="MD101" i="1" s="1"/>
  <c r="MD102" i="1" s="1"/>
  <c r="MD103" i="1" s="1"/>
  <c r="MD104" i="1" s="1"/>
  <c r="MD105" i="1" s="1"/>
  <c r="MD106" i="1" s="1"/>
  <c r="MD107" i="1" s="1"/>
  <c r="AM22" i="5" s="1"/>
  <c r="H43" i="19" s="1"/>
  <c r="O43" i="19" s="1"/>
  <c r="OF361" i="1"/>
  <c r="OF362" i="1" s="1"/>
  <c r="OF363" i="1" s="1"/>
  <c r="OF364" i="1" s="1"/>
  <c r="OF365" i="1" s="1"/>
  <c r="OF366" i="1" s="1"/>
  <c r="OF367" i="1" s="1"/>
  <c r="OF368" i="1" s="1"/>
  <c r="OF369" i="1" s="1"/>
  <c r="OF370" i="1" s="1"/>
  <c r="OF371" i="1" s="1"/>
  <c r="OF372" i="1" s="1"/>
  <c r="OF373" i="1" s="1"/>
  <c r="OF374" i="1" s="1"/>
  <c r="OF375" i="1" s="1"/>
  <c r="OF376" i="1" s="1"/>
  <c r="OF377" i="1" s="1"/>
  <c r="OF378" i="1" s="1"/>
  <c r="OF379" i="1" s="1"/>
  <c r="OF380" i="1" s="1"/>
  <c r="OF381" i="1" s="1"/>
  <c r="OF382" i="1" s="1"/>
  <c r="OF383" i="1" s="1"/>
  <c r="OF384" i="1" s="1"/>
  <c r="OF385" i="1" s="1"/>
  <c r="OF386" i="1" s="1"/>
  <c r="OF387" i="1" s="1"/>
  <c r="OF388" i="1" s="1"/>
  <c r="OF389" i="1" s="1"/>
  <c r="OF390" i="1" s="1"/>
  <c r="OF391" i="1" s="1"/>
  <c r="OF395" i="1" s="1"/>
  <c r="AS74" i="5"/>
  <c r="D50" i="15" s="1"/>
  <c r="TK147" i="1" l="1"/>
  <c r="TK148" i="1" s="1"/>
  <c r="TK149" i="1" s="1"/>
  <c r="TK150" i="1" s="1"/>
  <c r="TK151" i="1" s="1"/>
  <c r="TK152" i="1" s="1"/>
  <c r="TK153" i="1" s="1"/>
  <c r="TK154" i="1" s="1"/>
  <c r="TK155" i="1" s="1"/>
  <c r="TK156" i="1" s="1"/>
  <c r="TK157" i="1" s="1"/>
  <c r="TK158" i="1" s="1"/>
  <c r="TK159" i="1" s="1"/>
  <c r="TK160" i="1" s="1"/>
  <c r="TK161" i="1" s="1"/>
  <c r="TK162" i="1" s="1"/>
  <c r="TK163" i="1" s="1"/>
  <c r="TK164" i="1" s="1"/>
  <c r="TK165" i="1" s="1"/>
  <c r="TK166" i="1" s="1"/>
  <c r="TK167" i="1" s="1"/>
  <c r="TK168" i="1" s="1"/>
  <c r="TK169" i="1" s="1"/>
  <c r="TK170" i="1" s="1"/>
  <c r="TK171" i="1" s="1"/>
  <c r="TK172" i="1" s="1"/>
  <c r="TK173" i="1" s="1"/>
  <c r="TK174" i="1" s="1"/>
  <c r="TK175" i="1" s="1"/>
  <c r="TK176" i="1" s="1"/>
  <c r="TK177" i="1" s="1"/>
  <c r="TK178" i="1" s="1"/>
  <c r="BH32" i="5"/>
  <c r="SS147" i="1"/>
  <c r="SS148" i="1" s="1"/>
  <c r="SS149" i="1" s="1"/>
  <c r="SS150" i="1" s="1"/>
  <c r="SS151" i="1" s="1"/>
  <c r="SS152" i="1" s="1"/>
  <c r="SS153" i="1" s="1"/>
  <c r="SS154" i="1" s="1"/>
  <c r="SS155" i="1" s="1"/>
  <c r="SS156" i="1" s="1"/>
  <c r="SS157" i="1" s="1"/>
  <c r="SS158" i="1" s="1"/>
  <c r="SS159" i="1" s="1"/>
  <c r="SS160" i="1" s="1"/>
  <c r="SS161" i="1" s="1"/>
  <c r="SS162" i="1" s="1"/>
  <c r="SS163" i="1" s="1"/>
  <c r="SS164" i="1" s="1"/>
  <c r="SS165" i="1" s="1"/>
  <c r="SS166" i="1" s="1"/>
  <c r="SS167" i="1" s="1"/>
  <c r="SS168" i="1" s="1"/>
  <c r="SS169" i="1" s="1"/>
  <c r="SS170" i="1" s="1"/>
  <c r="SS171" i="1" s="1"/>
  <c r="SS172" i="1" s="1"/>
  <c r="SS173" i="1" s="1"/>
  <c r="SS174" i="1" s="1"/>
  <c r="SS175" i="1" s="1"/>
  <c r="SS176" i="1" s="1"/>
  <c r="SS177" i="1" s="1"/>
  <c r="SS178" i="1" s="1"/>
  <c r="BF32" i="5"/>
  <c r="TB147" i="1"/>
  <c r="TB148" i="1" s="1"/>
  <c r="TB149" i="1" s="1"/>
  <c r="TB150" i="1" s="1"/>
  <c r="TB151" i="1" s="1"/>
  <c r="TB152" i="1" s="1"/>
  <c r="TB153" i="1" s="1"/>
  <c r="TB154" i="1" s="1"/>
  <c r="TB155" i="1" s="1"/>
  <c r="TB156" i="1" s="1"/>
  <c r="TB157" i="1" s="1"/>
  <c r="TB158" i="1" s="1"/>
  <c r="TB159" i="1" s="1"/>
  <c r="TB160" i="1" s="1"/>
  <c r="TB161" i="1" s="1"/>
  <c r="TB162" i="1" s="1"/>
  <c r="TB163" i="1" s="1"/>
  <c r="TB164" i="1" s="1"/>
  <c r="TB165" i="1" s="1"/>
  <c r="TB166" i="1" s="1"/>
  <c r="TB167" i="1" s="1"/>
  <c r="TB168" i="1" s="1"/>
  <c r="TB169" i="1" s="1"/>
  <c r="TB170" i="1" s="1"/>
  <c r="TB171" i="1" s="1"/>
  <c r="TB172" i="1" s="1"/>
  <c r="TB173" i="1" s="1"/>
  <c r="TB174" i="1" s="1"/>
  <c r="TB175" i="1" s="1"/>
  <c r="TB176" i="1" s="1"/>
  <c r="TB177" i="1" s="1"/>
  <c r="TB178" i="1" s="1"/>
  <c r="BG32" i="5"/>
  <c r="SJ147" i="1"/>
  <c r="SJ148" i="1" s="1"/>
  <c r="SJ149" i="1" s="1"/>
  <c r="SJ150" i="1" s="1"/>
  <c r="SJ151" i="1" s="1"/>
  <c r="SJ152" i="1" s="1"/>
  <c r="SJ153" i="1" s="1"/>
  <c r="SJ154" i="1" s="1"/>
  <c r="SJ155" i="1" s="1"/>
  <c r="SJ156" i="1" s="1"/>
  <c r="SJ157" i="1" s="1"/>
  <c r="SJ158" i="1" s="1"/>
  <c r="SJ159" i="1" s="1"/>
  <c r="SJ160" i="1" s="1"/>
  <c r="SJ161" i="1" s="1"/>
  <c r="SJ162" i="1" s="1"/>
  <c r="SJ163" i="1" s="1"/>
  <c r="SJ164" i="1" s="1"/>
  <c r="SJ165" i="1" s="1"/>
  <c r="SJ166" i="1" s="1"/>
  <c r="SJ167" i="1" s="1"/>
  <c r="SJ168" i="1" s="1"/>
  <c r="SJ169" i="1" s="1"/>
  <c r="SJ170" i="1" s="1"/>
  <c r="SJ171" i="1" s="1"/>
  <c r="SJ172" i="1" s="1"/>
  <c r="SJ173" i="1" s="1"/>
  <c r="SJ174" i="1" s="1"/>
  <c r="SJ175" i="1" s="1"/>
  <c r="SJ176" i="1" s="1"/>
  <c r="SJ177" i="1" s="1"/>
  <c r="SJ178" i="1" s="1"/>
  <c r="BE32" i="5"/>
  <c r="SA147" i="1"/>
  <c r="SA148" i="1" s="1"/>
  <c r="SA149" i="1" s="1"/>
  <c r="SA150" i="1" s="1"/>
  <c r="SA151" i="1" s="1"/>
  <c r="SA152" i="1" s="1"/>
  <c r="SA153" i="1" s="1"/>
  <c r="SA154" i="1" s="1"/>
  <c r="SA155" i="1" s="1"/>
  <c r="SA156" i="1" s="1"/>
  <c r="SA157" i="1" s="1"/>
  <c r="SA158" i="1" s="1"/>
  <c r="SA159" i="1" s="1"/>
  <c r="SA160" i="1" s="1"/>
  <c r="SA161" i="1" s="1"/>
  <c r="SA162" i="1" s="1"/>
  <c r="SA163" i="1" s="1"/>
  <c r="SA164" i="1" s="1"/>
  <c r="SA165" i="1" s="1"/>
  <c r="SA166" i="1" s="1"/>
  <c r="SA167" i="1" s="1"/>
  <c r="SA168" i="1" s="1"/>
  <c r="SA169" i="1" s="1"/>
  <c r="SA170" i="1" s="1"/>
  <c r="SA171" i="1" s="1"/>
  <c r="SA172" i="1" s="1"/>
  <c r="SA173" i="1" s="1"/>
  <c r="SA174" i="1" s="1"/>
  <c r="SA175" i="1" s="1"/>
  <c r="SA176" i="1" s="1"/>
  <c r="SA177" i="1" s="1"/>
  <c r="SA178" i="1" s="1"/>
  <c r="BD32" i="5"/>
  <c r="RR147" i="1"/>
  <c r="RR148" i="1" s="1"/>
  <c r="RR149" i="1" s="1"/>
  <c r="RR150" i="1" s="1"/>
  <c r="RR151" i="1" s="1"/>
  <c r="RR152" i="1" s="1"/>
  <c r="RR153" i="1" s="1"/>
  <c r="RR154" i="1" s="1"/>
  <c r="RR155" i="1" s="1"/>
  <c r="RR156" i="1" s="1"/>
  <c r="RR157" i="1" s="1"/>
  <c r="RR158" i="1" s="1"/>
  <c r="RR159" i="1" s="1"/>
  <c r="RR160" i="1" s="1"/>
  <c r="RR161" i="1" s="1"/>
  <c r="RR162" i="1" s="1"/>
  <c r="RR163" i="1" s="1"/>
  <c r="RR164" i="1" s="1"/>
  <c r="RR165" i="1" s="1"/>
  <c r="RR166" i="1" s="1"/>
  <c r="RR167" i="1" s="1"/>
  <c r="RR168" i="1" s="1"/>
  <c r="RR169" i="1" s="1"/>
  <c r="RR170" i="1" s="1"/>
  <c r="RR171" i="1" s="1"/>
  <c r="RR172" i="1" s="1"/>
  <c r="RR173" i="1" s="1"/>
  <c r="RR174" i="1" s="1"/>
  <c r="RR175" i="1" s="1"/>
  <c r="RR176" i="1" s="1"/>
  <c r="RR177" i="1" s="1"/>
  <c r="RR178" i="1" s="1"/>
  <c r="BC32" i="5"/>
  <c r="QZ147" i="1"/>
  <c r="QZ148" i="1" s="1"/>
  <c r="QZ149" i="1" s="1"/>
  <c r="QZ150" i="1" s="1"/>
  <c r="QZ151" i="1" s="1"/>
  <c r="QZ152" i="1" s="1"/>
  <c r="QZ153" i="1" s="1"/>
  <c r="QZ154" i="1" s="1"/>
  <c r="QZ155" i="1" s="1"/>
  <c r="QZ156" i="1" s="1"/>
  <c r="QZ157" i="1" s="1"/>
  <c r="QZ158" i="1" s="1"/>
  <c r="QZ159" i="1" s="1"/>
  <c r="QZ160" i="1" s="1"/>
  <c r="QZ161" i="1" s="1"/>
  <c r="QZ162" i="1" s="1"/>
  <c r="QZ163" i="1" s="1"/>
  <c r="QZ164" i="1" s="1"/>
  <c r="QZ165" i="1" s="1"/>
  <c r="QZ166" i="1" s="1"/>
  <c r="QZ167" i="1" s="1"/>
  <c r="QZ168" i="1" s="1"/>
  <c r="QZ169" i="1" s="1"/>
  <c r="QZ170" i="1" s="1"/>
  <c r="QZ171" i="1" s="1"/>
  <c r="QZ172" i="1" s="1"/>
  <c r="QZ173" i="1" s="1"/>
  <c r="QZ174" i="1" s="1"/>
  <c r="QZ175" i="1" s="1"/>
  <c r="QZ176" i="1" s="1"/>
  <c r="QZ177" i="1" s="1"/>
  <c r="QZ178" i="1" s="1"/>
  <c r="BA32" i="5"/>
  <c r="RI147" i="1"/>
  <c r="RI148" i="1" s="1"/>
  <c r="RI149" i="1" s="1"/>
  <c r="RI150" i="1" s="1"/>
  <c r="RI151" i="1" s="1"/>
  <c r="RI152" i="1" s="1"/>
  <c r="RI153" i="1" s="1"/>
  <c r="RI154" i="1" s="1"/>
  <c r="RI155" i="1" s="1"/>
  <c r="RI156" i="1" s="1"/>
  <c r="RI157" i="1" s="1"/>
  <c r="RI158" i="1" s="1"/>
  <c r="RI159" i="1" s="1"/>
  <c r="RI160" i="1" s="1"/>
  <c r="RI161" i="1" s="1"/>
  <c r="RI162" i="1" s="1"/>
  <c r="RI163" i="1" s="1"/>
  <c r="RI164" i="1" s="1"/>
  <c r="RI165" i="1" s="1"/>
  <c r="RI166" i="1" s="1"/>
  <c r="RI167" i="1" s="1"/>
  <c r="RI168" i="1" s="1"/>
  <c r="RI169" i="1" s="1"/>
  <c r="RI170" i="1" s="1"/>
  <c r="RI171" i="1" s="1"/>
  <c r="RI172" i="1" s="1"/>
  <c r="RI173" i="1" s="1"/>
  <c r="RI174" i="1" s="1"/>
  <c r="RI175" i="1" s="1"/>
  <c r="RI176" i="1" s="1"/>
  <c r="RI177" i="1" s="1"/>
  <c r="RI178" i="1" s="1"/>
  <c r="BB36" i="5" s="1"/>
  <c r="AP22" i="5"/>
  <c r="H46" i="19" s="1"/>
  <c r="O46" i="19" s="1"/>
  <c r="NE111" i="1"/>
  <c r="AL22" i="5"/>
  <c r="H42" i="19" s="1"/>
  <c r="O42" i="19" s="1"/>
  <c r="LU111" i="1"/>
  <c r="AO22" i="5"/>
  <c r="H45" i="19" s="1"/>
  <c r="O45" i="19" s="1"/>
  <c r="MV111" i="1"/>
  <c r="AN22" i="5"/>
  <c r="H44" i="19" s="1"/>
  <c r="O44" i="19" s="1"/>
  <c r="MM111" i="1"/>
  <c r="MD111" i="1"/>
  <c r="OF396" i="1"/>
  <c r="OF397" i="1" s="1"/>
  <c r="OF398" i="1" s="1"/>
  <c r="OF399" i="1" s="1"/>
  <c r="OF400" i="1" s="1"/>
  <c r="OF401" i="1" s="1"/>
  <c r="OF402" i="1" s="1"/>
  <c r="OF403" i="1" s="1"/>
  <c r="OF404" i="1" s="1"/>
  <c r="OF405" i="1" s="1"/>
  <c r="OF406" i="1" s="1"/>
  <c r="OF407" i="1" s="1"/>
  <c r="OF408" i="1" s="1"/>
  <c r="OF409" i="1" s="1"/>
  <c r="OF410" i="1" s="1"/>
  <c r="OF411" i="1" s="1"/>
  <c r="OF412" i="1" s="1"/>
  <c r="OF413" i="1" s="1"/>
  <c r="OF414" i="1" s="1"/>
  <c r="OF415" i="1" s="1"/>
  <c r="OF416" i="1" s="1"/>
  <c r="OF417" i="1" s="1"/>
  <c r="OF418" i="1" s="1"/>
  <c r="OF419" i="1" s="1"/>
  <c r="OF420" i="1" s="1"/>
  <c r="OF421" i="1" s="1"/>
  <c r="OF422" i="1" s="1"/>
  <c r="OF423" i="1" s="1"/>
  <c r="OF424" i="1" s="1"/>
  <c r="OF425" i="1" s="1"/>
  <c r="OF426" i="1" s="1"/>
  <c r="OF427" i="1" s="1"/>
  <c r="AS85" i="5" s="1"/>
  <c r="H49" i="16" s="1"/>
  <c r="AS81" i="5"/>
  <c r="D49" i="16" s="1"/>
  <c r="AS4" i="5"/>
  <c r="AQ4" i="5"/>
  <c r="AK4" i="5"/>
  <c r="QO427" i="1"/>
  <c r="QM427" i="1"/>
  <c r="AZ82" i="5" s="1"/>
  <c r="E56" i="16" s="1"/>
  <c r="QO391" i="1"/>
  <c r="QM391" i="1"/>
  <c r="AZ75" i="5" s="1"/>
  <c r="E57" i="15" s="1"/>
  <c r="QO356" i="1"/>
  <c r="AZ69" i="5" s="1"/>
  <c r="F56" i="14" s="1"/>
  <c r="QM356" i="1"/>
  <c r="AZ68" i="5" s="1"/>
  <c r="E56" i="14" s="1"/>
  <c r="QO320" i="1"/>
  <c r="AZ62" i="5" s="1"/>
  <c r="F56" i="13" s="1"/>
  <c r="QM320" i="1"/>
  <c r="AZ61" i="5" s="1"/>
  <c r="E56" i="13" s="1"/>
  <c r="QO285" i="1"/>
  <c r="AZ55" i="5" s="1"/>
  <c r="F56" i="12" s="1"/>
  <c r="QM285" i="1"/>
  <c r="AZ54" i="5" s="1"/>
  <c r="E56" i="12" s="1"/>
  <c r="QO249" i="1"/>
  <c r="AZ48" i="5" s="1"/>
  <c r="QM249" i="1"/>
  <c r="AZ47" i="5" s="1"/>
  <c r="E56" i="11" s="1"/>
  <c r="QO213" i="1"/>
  <c r="AZ41" i="5" s="1"/>
  <c r="F56" i="8" s="1"/>
  <c r="QM213" i="1"/>
  <c r="AZ40" i="5" s="1"/>
  <c r="E56" i="8" s="1"/>
  <c r="QO178" i="1"/>
  <c r="AZ34" i="5" s="1"/>
  <c r="QM178" i="1"/>
  <c r="AZ33" i="5" s="1"/>
  <c r="E59" i="21" s="1"/>
  <c r="QO142" i="1"/>
  <c r="AZ27" i="5" s="1"/>
  <c r="QM142" i="1"/>
  <c r="AZ26" i="5" s="1"/>
  <c r="E58" i="20" s="1"/>
  <c r="QO107" i="1"/>
  <c r="AZ20" i="5" s="1"/>
  <c r="QM107" i="1"/>
  <c r="AZ19" i="5" s="1"/>
  <c r="E58" i="19" s="1"/>
  <c r="AZ12" i="5"/>
  <c r="E58" i="18" s="1"/>
  <c r="QO37" i="1"/>
  <c r="AZ6" i="5" s="1"/>
  <c r="QM37" i="1"/>
  <c r="AZ5" i="5" s="1"/>
  <c r="QQ6" i="1"/>
  <c r="QQ7" i="1" s="1"/>
  <c r="QQ8" i="1" s="1"/>
  <c r="QQ9" i="1" s="1"/>
  <c r="QQ10" i="1" s="1"/>
  <c r="QQ11" i="1" s="1"/>
  <c r="QQ12" i="1" s="1"/>
  <c r="QQ13" i="1" s="1"/>
  <c r="QQ14" i="1" s="1"/>
  <c r="QQ15" i="1" s="1"/>
  <c r="QQ16" i="1" s="1"/>
  <c r="QQ17" i="1" s="1"/>
  <c r="QQ18" i="1" s="1"/>
  <c r="QQ19" i="1" s="1"/>
  <c r="QQ20" i="1" s="1"/>
  <c r="QQ21" i="1" s="1"/>
  <c r="QQ22" i="1" s="1"/>
  <c r="QQ23" i="1" s="1"/>
  <c r="QQ24" i="1" s="1"/>
  <c r="QQ25" i="1" s="1"/>
  <c r="QQ26" i="1" s="1"/>
  <c r="QQ27" i="1" s="1"/>
  <c r="QQ28" i="1" s="1"/>
  <c r="QQ29" i="1" s="1"/>
  <c r="QQ30" i="1" s="1"/>
  <c r="QQ31" i="1" s="1"/>
  <c r="QQ32" i="1" s="1"/>
  <c r="QQ33" i="1" s="1"/>
  <c r="QQ34" i="1" s="1"/>
  <c r="QQ35" i="1" s="1"/>
  <c r="QQ36" i="1" s="1"/>
  <c r="QQ37" i="1" s="1"/>
  <c r="QF427" i="1"/>
  <c r="QD427" i="1"/>
  <c r="AY82" i="5" s="1"/>
  <c r="E55" i="16" s="1"/>
  <c r="QF391" i="1"/>
  <c r="QD391" i="1"/>
  <c r="AY75" i="5" s="1"/>
  <c r="E56" i="15" s="1"/>
  <c r="QF356" i="1"/>
  <c r="AY69" i="5" s="1"/>
  <c r="F55" i="14" s="1"/>
  <c r="QD356" i="1"/>
  <c r="AY68" i="5" s="1"/>
  <c r="E55" i="14" s="1"/>
  <c r="QF320" i="1"/>
  <c r="AY62" i="5" s="1"/>
  <c r="F55" i="13" s="1"/>
  <c r="QD320" i="1"/>
  <c r="AY61" i="5" s="1"/>
  <c r="E55" i="13" s="1"/>
  <c r="QF285" i="1"/>
  <c r="AY55" i="5" s="1"/>
  <c r="F55" i="12" s="1"/>
  <c r="QD285" i="1"/>
  <c r="AY54" i="5" s="1"/>
  <c r="E55" i="12" s="1"/>
  <c r="QF249" i="1"/>
  <c r="AY48" i="5" s="1"/>
  <c r="QD249" i="1"/>
  <c r="AY47" i="5" s="1"/>
  <c r="E55" i="11" s="1"/>
  <c r="QF213" i="1"/>
  <c r="AY41" i="5" s="1"/>
  <c r="F55" i="8" s="1"/>
  <c r="QD213" i="1"/>
  <c r="AY40" i="5" s="1"/>
  <c r="E55" i="8" s="1"/>
  <c r="QF178" i="1"/>
  <c r="AY34" i="5" s="1"/>
  <c r="QD178" i="1"/>
  <c r="AY33" i="5" s="1"/>
  <c r="E58" i="21" s="1"/>
  <c r="QF142" i="1"/>
  <c r="AY27" i="5" s="1"/>
  <c r="QD142" i="1"/>
  <c r="AY26" i="5" s="1"/>
  <c r="E57" i="20" s="1"/>
  <c r="QF107" i="1"/>
  <c r="AY20" i="5" s="1"/>
  <c r="QD107" i="1"/>
  <c r="AY19" i="5" s="1"/>
  <c r="E57" i="19" s="1"/>
  <c r="QF71" i="1"/>
  <c r="AY13" i="5" s="1"/>
  <c r="F57" i="18" s="1"/>
  <c r="QD71" i="1"/>
  <c r="AY12" i="5" s="1"/>
  <c r="E57" i="18" s="1"/>
  <c r="QF37" i="1"/>
  <c r="AY6" i="5" s="1"/>
  <c r="QD37" i="1"/>
  <c r="AY5" i="5" s="1"/>
  <c r="QH6" i="1"/>
  <c r="QH7" i="1" s="1"/>
  <c r="QH8" i="1" s="1"/>
  <c r="QH9" i="1" s="1"/>
  <c r="QH10" i="1" s="1"/>
  <c r="QH11" i="1" s="1"/>
  <c r="QH12" i="1" s="1"/>
  <c r="QH13" i="1" s="1"/>
  <c r="QH14" i="1" s="1"/>
  <c r="QH15" i="1" s="1"/>
  <c r="QH16" i="1" s="1"/>
  <c r="QH17" i="1" s="1"/>
  <c r="QH18" i="1" s="1"/>
  <c r="QH19" i="1" s="1"/>
  <c r="QH20" i="1" s="1"/>
  <c r="QH21" i="1" s="1"/>
  <c r="QH22" i="1" s="1"/>
  <c r="QH23" i="1" s="1"/>
  <c r="QH24" i="1" s="1"/>
  <c r="QH25" i="1" s="1"/>
  <c r="QH26" i="1" s="1"/>
  <c r="QH27" i="1" s="1"/>
  <c r="QH28" i="1" s="1"/>
  <c r="QH29" i="1" s="1"/>
  <c r="QH30" i="1" s="1"/>
  <c r="QH31" i="1" s="1"/>
  <c r="QH32" i="1" s="1"/>
  <c r="QH33" i="1" s="1"/>
  <c r="QH34" i="1" s="1"/>
  <c r="QH35" i="1" s="1"/>
  <c r="QH36" i="1" s="1"/>
  <c r="QH37" i="1" s="1"/>
  <c r="PW427" i="1"/>
  <c r="AX82" i="5"/>
  <c r="E54" i="16" s="1"/>
  <c r="PW391" i="1"/>
  <c r="AX76" i="5" s="1"/>
  <c r="AX75" i="5"/>
  <c r="E55" i="15" s="1"/>
  <c r="PW356" i="1"/>
  <c r="AX69" i="5" s="1"/>
  <c r="F54" i="14" s="1"/>
  <c r="AX68" i="5"/>
  <c r="E54" i="14" s="1"/>
  <c r="PW320" i="1"/>
  <c r="AX62" i="5" s="1"/>
  <c r="F54" i="13" s="1"/>
  <c r="AX61" i="5"/>
  <c r="E54" i="13" s="1"/>
  <c r="PW285" i="1"/>
  <c r="AX55" i="5" s="1"/>
  <c r="F54" i="12" s="1"/>
  <c r="AX54" i="5"/>
  <c r="E54" i="12" s="1"/>
  <c r="PW249" i="1"/>
  <c r="AX48" i="5" s="1"/>
  <c r="AX47" i="5"/>
  <c r="E54" i="11" s="1"/>
  <c r="PW213" i="1"/>
  <c r="AX41" i="5" s="1"/>
  <c r="F54" i="8" s="1"/>
  <c r="AX40" i="5"/>
  <c r="E54" i="8" s="1"/>
  <c r="PW178" i="1"/>
  <c r="AX34" i="5" s="1"/>
  <c r="AX33" i="5"/>
  <c r="E57" i="21" s="1"/>
  <c r="PW142" i="1"/>
  <c r="AX27" i="5" s="1"/>
  <c r="AX26" i="5"/>
  <c r="E56" i="20" s="1"/>
  <c r="PW107" i="1"/>
  <c r="AX20" i="5" s="1"/>
  <c r="AX19" i="5"/>
  <c r="E56" i="19" s="1"/>
  <c r="PW71" i="1"/>
  <c r="AX13" i="5" s="1"/>
  <c r="F56" i="18" s="1"/>
  <c r="AX12" i="5"/>
  <c r="E56" i="18" s="1"/>
  <c r="PW37" i="1"/>
  <c r="AX6" i="5" s="1"/>
  <c r="AX5" i="5"/>
  <c r="PY6" i="1"/>
  <c r="PY7" i="1" s="1"/>
  <c r="PY8" i="1" s="1"/>
  <c r="PY9" i="1" s="1"/>
  <c r="PY10" i="1" s="1"/>
  <c r="PY11" i="1" s="1"/>
  <c r="PY12" i="1" s="1"/>
  <c r="PY13" i="1" s="1"/>
  <c r="PY14" i="1" s="1"/>
  <c r="PY15" i="1" s="1"/>
  <c r="PY16" i="1" s="1"/>
  <c r="PY17" i="1" s="1"/>
  <c r="PY18" i="1" s="1"/>
  <c r="PY19" i="1" s="1"/>
  <c r="PY20" i="1" s="1"/>
  <c r="PY21" i="1" s="1"/>
  <c r="PY22" i="1" s="1"/>
  <c r="PY23" i="1" s="1"/>
  <c r="PY24" i="1" s="1"/>
  <c r="PY25" i="1" s="1"/>
  <c r="PY26" i="1" s="1"/>
  <c r="PY27" i="1" s="1"/>
  <c r="PY28" i="1" s="1"/>
  <c r="PY29" i="1" s="1"/>
  <c r="PY30" i="1" s="1"/>
  <c r="PY31" i="1" s="1"/>
  <c r="PY32" i="1" s="1"/>
  <c r="PY33" i="1" s="1"/>
  <c r="PY34" i="1" s="1"/>
  <c r="PY35" i="1" s="1"/>
  <c r="PY36" i="1" s="1"/>
  <c r="PY37" i="1" s="1"/>
  <c r="AW82" i="5"/>
  <c r="E53" i="16" s="1"/>
  <c r="AW75" i="5"/>
  <c r="E54" i="15" s="1"/>
  <c r="AW69" i="5"/>
  <c r="F53" i="14" s="1"/>
  <c r="AW68" i="5"/>
  <c r="E53" i="14" s="1"/>
  <c r="AW62" i="5"/>
  <c r="F53" i="13" s="1"/>
  <c r="AW61" i="5"/>
  <c r="E53" i="13" s="1"/>
  <c r="AW55" i="5"/>
  <c r="F53" i="12" s="1"/>
  <c r="AW54" i="5"/>
  <c r="E53" i="12" s="1"/>
  <c r="AW47" i="5"/>
  <c r="E53" i="11" s="1"/>
  <c r="AW41" i="5"/>
  <c r="F53" i="8" s="1"/>
  <c r="AW40" i="5"/>
  <c r="E53" i="8" s="1"/>
  <c r="AW33" i="5"/>
  <c r="E56" i="21" s="1"/>
  <c r="AW26" i="5"/>
  <c r="E55" i="20" s="1"/>
  <c r="AW19" i="5"/>
  <c r="E55" i="19" s="1"/>
  <c r="AW13" i="5"/>
  <c r="F55" i="18" s="1"/>
  <c r="AW12" i="5"/>
  <c r="E55" i="18" s="1"/>
  <c r="AW5" i="5"/>
  <c r="PP6" i="1"/>
  <c r="PP7" i="1" s="1"/>
  <c r="PP8" i="1" s="1"/>
  <c r="PP9" i="1" s="1"/>
  <c r="PP10" i="1" s="1"/>
  <c r="PP11" i="1" s="1"/>
  <c r="PP12" i="1" s="1"/>
  <c r="PP13" i="1" s="1"/>
  <c r="PP14" i="1" s="1"/>
  <c r="PP15" i="1" s="1"/>
  <c r="PP16" i="1" s="1"/>
  <c r="PP17" i="1" s="1"/>
  <c r="PP18" i="1" s="1"/>
  <c r="PP19" i="1" s="1"/>
  <c r="PP20" i="1" s="1"/>
  <c r="PP21" i="1" s="1"/>
  <c r="PP22" i="1" s="1"/>
  <c r="PP23" i="1" s="1"/>
  <c r="PP24" i="1" s="1"/>
  <c r="PP25" i="1" s="1"/>
  <c r="PP26" i="1" s="1"/>
  <c r="PP27" i="1" s="1"/>
  <c r="PP28" i="1" s="1"/>
  <c r="PP29" i="1" s="1"/>
  <c r="PP30" i="1" s="1"/>
  <c r="PP31" i="1" s="1"/>
  <c r="PP32" i="1" s="1"/>
  <c r="PP33" i="1" s="1"/>
  <c r="PP34" i="1" s="1"/>
  <c r="PP35" i="1" s="1"/>
  <c r="PP36" i="1" s="1"/>
  <c r="PP37" i="1" s="1"/>
  <c r="AV83" i="5"/>
  <c r="AV82" i="5"/>
  <c r="E52" i="16" s="1"/>
  <c r="AV76" i="5"/>
  <c r="AV75" i="5"/>
  <c r="E53" i="15" s="1"/>
  <c r="AV69" i="5"/>
  <c r="F52" i="14" s="1"/>
  <c r="AV68" i="5"/>
  <c r="E52" i="14" s="1"/>
  <c r="AV62" i="5"/>
  <c r="F52" i="13" s="1"/>
  <c r="AV61" i="5"/>
  <c r="E52" i="13" s="1"/>
  <c r="AV55" i="5"/>
  <c r="F52" i="12" s="1"/>
  <c r="AV54" i="5"/>
  <c r="E52" i="12" s="1"/>
  <c r="AV48" i="5"/>
  <c r="AV47" i="5"/>
  <c r="E52" i="11" s="1"/>
  <c r="AV41" i="5"/>
  <c r="F52" i="8" s="1"/>
  <c r="AV40" i="5"/>
  <c r="E52" i="8" s="1"/>
  <c r="AV34" i="5"/>
  <c r="AV33" i="5"/>
  <c r="E55" i="21" s="1"/>
  <c r="AV27" i="5"/>
  <c r="AV26" i="5"/>
  <c r="E54" i="20" s="1"/>
  <c r="AV20" i="5"/>
  <c r="AV19" i="5"/>
  <c r="E54" i="19" s="1"/>
  <c r="AV13" i="5"/>
  <c r="F54" i="18" s="1"/>
  <c r="AV12" i="5"/>
  <c r="E54" i="18" s="1"/>
  <c r="AV5" i="5"/>
  <c r="PG6" i="1"/>
  <c r="PG7" i="1" s="1"/>
  <c r="PG8" i="1" s="1"/>
  <c r="PG9" i="1" s="1"/>
  <c r="PG10" i="1" s="1"/>
  <c r="PG11" i="1" s="1"/>
  <c r="PG12" i="1" s="1"/>
  <c r="PG13" i="1" s="1"/>
  <c r="PG14" i="1" s="1"/>
  <c r="PG15" i="1" s="1"/>
  <c r="PG16" i="1" s="1"/>
  <c r="PG17" i="1" s="1"/>
  <c r="PG18" i="1" s="1"/>
  <c r="PG19" i="1" s="1"/>
  <c r="PG20" i="1" s="1"/>
  <c r="PG21" i="1" s="1"/>
  <c r="PG22" i="1" s="1"/>
  <c r="PG23" i="1" s="1"/>
  <c r="PG24" i="1" s="1"/>
  <c r="PG25" i="1" s="1"/>
  <c r="PG26" i="1" s="1"/>
  <c r="PG27" i="1" s="1"/>
  <c r="PG28" i="1" s="1"/>
  <c r="PG29" i="1" s="1"/>
  <c r="PG30" i="1" s="1"/>
  <c r="PG31" i="1" s="1"/>
  <c r="PG32" i="1" s="1"/>
  <c r="PG33" i="1" s="1"/>
  <c r="PG34" i="1" s="1"/>
  <c r="PG35" i="1" s="1"/>
  <c r="PG36" i="1" s="1"/>
  <c r="PG37" i="1" s="1"/>
  <c r="AU82" i="5"/>
  <c r="E51" i="16" s="1"/>
  <c r="AU85" i="5"/>
  <c r="H51" i="16" s="1"/>
  <c r="AU75" i="5"/>
  <c r="E52" i="15" s="1"/>
  <c r="AU78" i="5"/>
  <c r="H52" i="15" s="1"/>
  <c r="AU68" i="5"/>
  <c r="E51" i="14" s="1"/>
  <c r="AU71" i="5"/>
  <c r="H51" i="14" s="1"/>
  <c r="AU61" i="5"/>
  <c r="E51" i="13" s="1"/>
  <c r="AU64" i="5"/>
  <c r="H51" i="13" s="1"/>
  <c r="AU54" i="5"/>
  <c r="E51" i="12" s="1"/>
  <c r="AU57" i="5"/>
  <c r="H51" i="12" s="1"/>
  <c r="AU47" i="5"/>
  <c r="E51" i="11" s="1"/>
  <c r="AU40" i="5"/>
  <c r="E51" i="8" s="1"/>
  <c r="AU33" i="5"/>
  <c r="E54" i="21" s="1"/>
  <c r="AU26" i="5"/>
  <c r="E53" i="20" s="1"/>
  <c r="AU19" i="5"/>
  <c r="E53" i="19" s="1"/>
  <c r="AU12" i="5"/>
  <c r="E53" i="18" s="1"/>
  <c r="AT82" i="5"/>
  <c r="E50" i="16" s="1"/>
  <c r="AT85" i="5"/>
  <c r="H50" i="16" s="1"/>
  <c r="AT75" i="5"/>
  <c r="E51" i="15" s="1"/>
  <c r="AT78" i="5"/>
  <c r="H51" i="15" s="1"/>
  <c r="AT68" i="5"/>
  <c r="E50" i="14" s="1"/>
  <c r="AT71" i="5"/>
  <c r="H50" i="14" s="1"/>
  <c r="AT61" i="5"/>
  <c r="E50" i="13" s="1"/>
  <c r="AT64" i="5"/>
  <c r="H50" i="13" s="1"/>
  <c r="AT54" i="5"/>
  <c r="E50" i="12" s="1"/>
  <c r="AT57" i="5"/>
  <c r="H50" i="12" s="1"/>
  <c r="AT47" i="5"/>
  <c r="E50" i="11" s="1"/>
  <c r="AT40" i="5"/>
  <c r="E50" i="8" s="1"/>
  <c r="AT33" i="5"/>
  <c r="E53" i="21" s="1"/>
  <c r="AT26" i="5"/>
  <c r="E52" i="20" s="1"/>
  <c r="AT19" i="5"/>
  <c r="E52" i="19" s="1"/>
  <c r="AT12" i="5"/>
  <c r="E52" i="18" s="1"/>
  <c r="AS82" i="5"/>
  <c r="E49" i="16" s="1"/>
  <c r="AS75" i="5"/>
  <c r="E50" i="15" s="1"/>
  <c r="AS78" i="5"/>
  <c r="H50" i="15" s="1"/>
  <c r="E49" i="14"/>
  <c r="AS71" i="5"/>
  <c r="H49" i="14" s="1"/>
  <c r="AS61" i="5"/>
  <c r="E49" i="13" s="1"/>
  <c r="AS64" i="5"/>
  <c r="H49" i="13" s="1"/>
  <c r="AS54" i="5"/>
  <c r="E49" i="12" s="1"/>
  <c r="AS57" i="5"/>
  <c r="H49" i="12" s="1"/>
  <c r="AS47" i="5"/>
  <c r="E49" i="11" s="1"/>
  <c r="AS40" i="5"/>
  <c r="E49" i="8" s="1"/>
  <c r="AS33" i="5"/>
  <c r="E52" i="21" s="1"/>
  <c r="AS26" i="5"/>
  <c r="E51" i="20" s="1"/>
  <c r="AS19" i="5"/>
  <c r="E51" i="19" s="1"/>
  <c r="AS12" i="5"/>
  <c r="E51" i="18" s="1"/>
  <c r="NJ427" i="1"/>
  <c r="AQ82" i="5" s="1"/>
  <c r="NJ391" i="1"/>
  <c r="AQ75" i="5" s="1"/>
  <c r="E49" i="15" s="1"/>
  <c r="NJ356" i="1"/>
  <c r="AQ68" i="5" s="1"/>
  <c r="NJ320" i="1"/>
  <c r="AQ61" i="5" s="1"/>
  <c r="NJ285" i="1"/>
  <c r="AQ54" i="5" s="1"/>
  <c r="NJ249" i="1"/>
  <c r="AQ47" i="5" s="1"/>
  <c r="NJ213" i="1"/>
  <c r="AQ40" i="5" s="1"/>
  <c r="NJ178" i="1"/>
  <c r="AQ33" i="5" s="1"/>
  <c r="E51" i="21" s="1"/>
  <c r="NJ142" i="1"/>
  <c r="AQ26" i="5" s="1"/>
  <c r="E50" i="20" s="1"/>
  <c r="NJ107" i="1"/>
  <c r="AQ19" i="5" s="1"/>
  <c r="E50" i="19" s="1"/>
  <c r="AQ12" i="5"/>
  <c r="E50" i="18" s="1"/>
  <c r="NJ37" i="1"/>
  <c r="AQ5" i="5" s="1"/>
  <c r="NN6" i="1"/>
  <c r="NN7" i="1" s="1"/>
  <c r="NN8" i="1" s="1"/>
  <c r="NN9" i="1" s="1"/>
  <c r="NN10" i="1" s="1"/>
  <c r="NN11" i="1" s="1"/>
  <c r="NN12" i="1" s="1"/>
  <c r="NN13" i="1" s="1"/>
  <c r="NN14" i="1" s="1"/>
  <c r="NN15" i="1" s="1"/>
  <c r="NN16" i="1" s="1"/>
  <c r="NN17" i="1" s="1"/>
  <c r="NN18" i="1" s="1"/>
  <c r="NN19" i="1" s="1"/>
  <c r="NN20" i="1" s="1"/>
  <c r="NN21" i="1" s="1"/>
  <c r="NN22" i="1" s="1"/>
  <c r="NN23" i="1" s="1"/>
  <c r="NN24" i="1" s="1"/>
  <c r="NN25" i="1" s="1"/>
  <c r="NN26" i="1" s="1"/>
  <c r="NN27" i="1" s="1"/>
  <c r="NN28" i="1" s="1"/>
  <c r="NN29" i="1" s="1"/>
  <c r="NN30" i="1" s="1"/>
  <c r="NN31" i="1" s="1"/>
  <c r="NN32" i="1" s="1"/>
  <c r="NN33" i="1" s="1"/>
  <c r="NN34" i="1" s="1"/>
  <c r="NN35" i="1" s="1"/>
  <c r="NN36" i="1" s="1"/>
  <c r="NN37" i="1" s="1"/>
  <c r="SJ182" i="1" l="1"/>
  <c r="BE36" i="5"/>
  <c r="TB182" i="1"/>
  <c r="BG36" i="5"/>
  <c r="SS182" i="1"/>
  <c r="BF36" i="5"/>
  <c r="SA182" i="1"/>
  <c r="BD36" i="5"/>
  <c r="TK182" i="1"/>
  <c r="BH36" i="5"/>
  <c r="RR182" i="1"/>
  <c r="BC36" i="5"/>
  <c r="QZ182" i="1"/>
  <c r="BA36" i="5"/>
  <c r="RI182" i="1"/>
  <c r="BB39" i="5" s="1"/>
  <c r="F55" i="15"/>
  <c r="AW76" i="5"/>
  <c r="AW83" i="5"/>
  <c r="AX83" i="5"/>
  <c r="F54" i="16" s="1"/>
  <c r="F54" i="11"/>
  <c r="AW48" i="5"/>
  <c r="F56" i="19"/>
  <c r="AW20" i="5"/>
  <c r="F57" i="21"/>
  <c r="AW34" i="5"/>
  <c r="F56" i="20"/>
  <c r="AW27" i="5"/>
  <c r="AO25" i="5"/>
  <c r="D45" i="20" s="1"/>
  <c r="MV112" i="1"/>
  <c r="MV113" i="1" s="1"/>
  <c r="MV114" i="1" s="1"/>
  <c r="MV115" i="1" s="1"/>
  <c r="MV116" i="1" s="1"/>
  <c r="MV117" i="1" s="1"/>
  <c r="MV118" i="1" s="1"/>
  <c r="MV119" i="1" s="1"/>
  <c r="MV120" i="1" s="1"/>
  <c r="MV121" i="1" s="1"/>
  <c r="MV122" i="1" s="1"/>
  <c r="MV123" i="1" s="1"/>
  <c r="MV124" i="1" s="1"/>
  <c r="MV125" i="1" s="1"/>
  <c r="MV126" i="1" s="1"/>
  <c r="MV127" i="1" s="1"/>
  <c r="MV128" i="1" s="1"/>
  <c r="MV129" i="1" s="1"/>
  <c r="MV130" i="1" s="1"/>
  <c r="MV131" i="1" s="1"/>
  <c r="MV132" i="1" s="1"/>
  <c r="MV133" i="1" s="1"/>
  <c r="MV134" i="1" s="1"/>
  <c r="MV135" i="1" s="1"/>
  <c r="MV136" i="1" s="1"/>
  <c r="MV137" i="1" s="1"/>
  <c r="MV138" i="1" s="1"/>
  <c r="MV139" i="1" s="1"/>
  <c r="MV140" i="1" s="1"/>
  <c r="MV141" i="1" s="1"/>
  <c r="MV142" i="1" s="1"/>
  <c r="AL25" i="5"/>
  <c r="D42" i="20" s="1"/>
  <c r="LU112" i="1"/>
  <c r="LU113" i="1" s="1"/>
  <c r="LU114" i="1" s="1"/>
  <c r="LU115" i="1" s="1"/>
  <c r="LU116" i="1" s="1"/>
  <c r="LU117" i="1" s="1"/>
  <c r="LU118" i="1" s="1"/>
  <c r="LU119" i="1" s="1"/>
  <c r="LU120" i="1" s="1"/>
  <c r="LU121" i="1" s="1"/>
  <c r="LU122" i="1" s="1"/>
  <c r="LU123" i="1" s="1"/>
  <c r="LU124" i="1" s="1"/>
  <c r="LU125" i="1" s="1"/>
  <c r="LU126" i="1" s="1"/>
  <c r="LU127" i="1" s="1"/>
  <c r="LU128" i="1" s="1"/>
  <c r="LU129" i="1" s="1"/>
  <c r="LU130" i="1" s="1"/>
  <c r="LU131" i="1" s="1"/>
  <c r="LU132" i="1" s="1"/>
  <c r="LU133" i="1" s="1"/>
  <c r="LU134" i="1" s="1"/>
  <c r="LU135" i="1" s="1"/>
  <c r="LU136" i="1" s="1"/>
  <c r="LU137" i="1" s="1"/>
  <c r="LU138" i="1" s="1"/>
  <c r="LU139" i="1" s="1"/>
  <c r="LU140" i="1" s="1"/>
  <c r="LU141" i="1" s="1"/>
  <c r="LU142" i="1" s="1"/>
  <c r="AP25" i="5"/>
  <c r="D46" i="20" s="1"/>
  <c r="NE112" i="1"/>
  <c r="NE113" i="1" s="1"/>
  <c r="NE114" i="1" s="1"/>
  <c r="NE115" i="1" s="1"/>
  <c r="NE116" i="1" s="1"/>
  <c r="NE117" i="1" s="1"/>
  <c r="NE118" i="1" s="1"/>
  <c r="NE119" i="1" s="1"/>
  <c r="NE120" i="1" s="1"/>
  <c r="NE121" i="1" s="1"/>
  <c r="NE122" i="1" s="1"/>
  <c r="NE123" i="1" s="1"/>
  <c r="NE124" i="1" s="1"/>
  <c r="NE125" i="1" s="1"/>
  <c r="NE126" i="1" s="1"/>
  <c r="NE127" i="1" s="1"/>
  <c r="NE128" i="1" s="1"/>
  <c r="NE129" i="1" s="1"/>
  <c r="NE130" i="1" s="1"/>
  <c r="NE131" i="1" s="1"/>
  <c r="NE132" i="1" s="1"/>
  <c r="NE133" i="1" s="1"/>
  <c r="NE134" i="1" s="1"/>
  <c r="NE135" i="1" s="1"/>
  <c r="NE136" i="1" s="1"/>
  <c r="NE137" i="1" s="1"/>
  <c r="NE138" i="1" s="1"/>
  <c r="NE139" i="1" s="1"/>
  <c r="NE140" i="1" s="1"/>
  <c r="NE141" i="1" s="1"/>
  <c r="NE142" i="1" s="1"/>
  <c r="AN25" i="5"/>
  <c r="D44" i="20" s="1"/>
  <c r="MM112" i="1"/>
  <c r="MM113" i="1" s="1"/>
  <c r="MM114" i="1" s="1"/>
  <c r="MM115" i="1" s="1"/>
  <c r="MM116" i="1" s="1"/>
  <c r="MM117" i="1" s="1"/>
  <c r="MM118" i="1" s="1"/>
  <c r="MM119" i="1" s="1"/>
  <c r="MM120" i="1" s="1"/>
  <c r="MM121" i="1" s="1"/>
  <c r="MM122" i="1" s="1"/>
  <c r="MM123" i="1" s="1"/>
  <c r="MM124" i="1" s="1"/>
  <c r="MM125" i="1" s="1"/>
  <c r="MM126" i="1" s="1"/>
  <c r="MM127" i="1" s="1"/>
  <c r="MM128" i="1" s="1"/>
  <c r="MM129" i="1" s="1"/>
  <c r="MM130" i="1" s="1"/>
  <c r="MM131" i="1" s="1"/>
  <c r="MM132" i="1" s="1"/>
  <c r="MM133" i="1" s="1"/>
  <c r="MM134" i="1" s="1"/>
  <c r="MM135" i="1" s="1"/>
  <c r="MM136" i="1" s="1"/>
  <c r="MM137" i="1" s="1"/>
  <c r="MM138" i="1" s="1"/>
  <c r="MM139" i="1" s="1"/>
  <c r="MM140" i="1" s="1"/>
  <c r="MM141" i="1" s="1"/>
  <c r="MM142" i="1" s="1"/>
  <c r="D41" i="17"/>
  <c r="AM25" i="5"/>
  <c r="D43" i="20" s="1"/>
  <c r="MD112" i="1"/>
  <c r="MD113" i="1" s="1"/>
  <c r="MD114" i="1" s="1"/>
  <c r="MD115" i="1" s="1"/>
  <c r="MD116" i="1" s="1"/>
  <c r="MD117" i="1" s="1"/>
  <c r="MD118" i="1" s="1"/>
  <c r="MD119" i="1" s="1"/>
  <c r="MD120" i="1" s="1"/>
  <c r="MD121" i="1" s="1"/>
  <c r="MD122" i="1" s="1"/>
  <c r="MD123" i="1" s="1"/>
  <c r="MD124" i="1" s="1"/>
  <c r="MD125" i="1" s="1"/>
  <c r="MD126" i="1" s="1"/>
  <c r="MD127" i="1" s="1"/>
  <c r="MD128" i="1" s="1"/>
  <c r="MD129" i="1" s="1"/>
  <c r="MD130" i="1" s="1"/>
  <c r="MD131" i="1" s="1"/>
  <c r="MD132" i="1" s="1"/>
  <c r="MD133" i="1" s="1"/>
  <c r="MD134" i="1" s="1"/>
  <c r="MD135" i="1" s="1"/>
  <c r="MD136" i="1" s="1"/>
  <c r="MD137" i="1" s="1"/>
  <c r="MD138" i="1" s="1"/>
  <c r="MD139" i="1" s="1"/>
  <c r="MD140" i="1" s="1"/>
  <c r="MD141" i="1" s="1"/>
  <c r="MD142" i="1" s="1"/>
  <c r="AQ8" i="5"/>
  <c r="NN41" i="1"/>
  <c r="AW8" i="5"/>
  <c r="PP41" i="1"/>
  <c r="AX8" i="5"/>
  <c r="PY41" i="1"/>
  <c r="AY8" i="5"/>
  <c r="QH41" i="1"/>
  <c r="AZ8" i="5"/>
  <c r="QQ41" i="1"/>
  <c r="AT8" i="5"/>
  <c r="AU8" i="5"/>
  <c r="AV8" i="5"/>
  <c r="PG41" i="1"/>
  <c r="OR2" i="1"/>
  <c r="OI2" i="1"/>
  <c r="NZ2" i="1"/>
  <c r="AE672" i="6"/>
  <c r="AE671" i="6"/>
  <c r="AE670" i="6"/>
  <c r="AE669" i="6"/>
  <c r="AE668" i="6"/>
  <c r="AE667" i="6"/>
  <c r="AE666" i="6"/>
  <c r="AE665" i="6"/>
  <c r="AE663" i="6"/>
  <c r="IX42" i="7"/>
  <c r="AE656" i="6"/>
  <c r="AE655" i="6"/>
  <c r="AE654" i="6"/>
  <c r="AE653" i="6"/>
  <c r="AE652" i="6"/>
  <c r="AE651" i="6"/>
  <c r="AE650" i="6"/>
  <c r="AE649" i="6"/>
  <c r="AE648" i="6"/>
  <c r="AE647" i="6"/>
  <c r="AE646" i="6"/>
  <c r="AE645" i="6"/>
  <c r="AE644" i="6"/>
  <c r="AE643" i="6"/>
  <c r="AE642" i="6"/>
  <c r="AE641" i="6"/>
  <c r="AE640" i="6"/>
  <c r="AE639" i="6"/>
  <c r="AE638" i="6"/>
  <c r="AE637" i="6"/>
  <c r="AE636" i="6"/>
  <c r="AE635" i="6"/>
  <c r="AE634" i="6"/>
  <c r="AE633" i="6"/>
  <c r="AE632" i="6"/>
  <c r="AE631" i="6"/>
  <c r="AE630" i="6"/>
  <c r="AE629" i="6"/>
  <c r="AE628" i="6"/>
  <c r="AE627" i="6"/>
  <c r="AE626" i="6"/>
  <c r="AE625" i="6"/>
  <c r="AE624" i="6"/>
  <c r="AE623" i="6"/>
  <c r="AE622" i="6"/>
  <c r="AC672" i="6"/>
  <c r="AC671" i="6"/>
  <c r="AC670" i="6"/>
  <c r="AC669" i="6"/>
  <c r="AC668" i="6"/>
  <c r="AC667" i="6"/>
  <c r="AC666" i="6"/>
  <c r="AC665" i="6"/>
  <c r="AC663" i="6"/>
  <c r="IW42" i="7"/>
  <c r="AC656" i="6"/>
  <c r="AC655" i="6"/>
  <c r="AC654" i="6"/>
  <c r="AC653" i="6"/>
  <c r="AC652" i="6"/>
  <c r="AC651" i="6"/>
  <c r="AC650" i="6"/>
  <c r="AC649" i="6"/>
  <c r="AC648" i="6"/>
  <c r="AC647" i="6"/>
  <c r="AC646" i="6"/>
  <c r="AC645" i="6"/>
  <c r="AC644" i="6"/>
  <c r="AC643" i="6"/>
  <c r="AC642" i="6"/>
  <c r="AC641" i="6"/>
  <c r="AC640" i="6"/>
  <c r="AC639" i="6"/>
  <c r="AC638" i="6"/>
  <c r="AC637" i="6"/>
  <c r="AC636" i="6"/>
  <c r="AC635" i="6"/>
  <c r="AC634" i="6"/>
  <c r="AC633" i="6"/>
  <c r="AC632" i="6"/>
  <c r="AC631" i="6"/>
  <c r="AC630" i="6"/>
  <c r="AC629" i="6"/>
  <c r="AC628" i="6"/>
  <c r="AC627" i="6"/>
  <c r="AC626" i="6"/>
  <c r="AC625" i="6"/>
  <c r="AC624" i="6"/>
  <c r="AC623" i="6"/>
  <c r="AC622" i="6"/>
  <c r="AA672" i="6"/>
  <c r="AA671" i="6"/>
  <c r="AA670" i="6"/>
  <c r="AA669" i="6"/>
  <c r="AA668" i="6"/>
  <c r="AA667" i="6"/>
  <c r="AA666" i="6"/>
  <c r="AA665" i="6"/>
  <c r="AA663" i="6"/>
  <c r="IV42" i="7"/>
  <c r="AA656" i="6"/>
  <c r="AA655" i="6"/>
  <c r="AA654" i="6"/>
  <c r="AA653" i="6"/>
  <c r="AA652" i="6"/>
  <c r="AA651" i="6"/>
  <c r="AA650" i="6"/>
  <c r="AA649" i="6"/>
  <c r="AA648" i="6"/>
  <c r="AA647" i="6"/>
  <c r="AA646" i="6"/>
  <c r="AA645" i="6"/>
  <c r="AA644" i="6"/>
  <c r="AA643" i="6"/>
  <c r="AA642" i="6"/>
  <c r="AA641" i="6"/>
  <c r="AA640" i="6"/>
  <c r="AA639" i="6"/>
  <c r="AA638" i="6"/>
  <c r="AA637" i="6"/>
  <c r="AA636" i="6"/>
  <c r="AA635" i="6"/>
  <c r="AA634" i="6"/>
  <c r="AA633" i="6"/>
  <c r="AA632" i="6"/>
  <c r="AA631" i="6"/>
  <c r="AA630" i="6"/>
  <c r="AA629" i="6"/>
  <c r="AA628" i="6"/>
  <c r="AA627" i="6"/>
  <c r="AA626" i="6"/>
  <c r="AA625" i="6"/>
  <c r="AA624" i="6"/>
  <c r="AA623" i="6"/>
  <c r="AA622" i="6"/>
  <c r="Y672" i="6"/>
  <c r="Y671" i="6"/>
  <c r="Y670" i="6"/>
  <c r="Y669" i="6"/>
  <c r="Y668" i="6"/>
  <c r="Y667" i="6"/>
  <c r="Y666" i="6"/>
  <c r="Y665" i="6"/>
  <c r="Y663" i="6"/>
  <c r="IU42" i="7"/>
  <c r="Y656" i="6"/>
  <c r="Y655" i="6"/>
  <c r="Y654" i="6"/>
  <c r="Y653" i="6"/>
  <c r="Y652" i="6"/>
  <c r="Y651" i="6"/>
  <c r="Y650" i="6"/>
  <c r="Y649" i="6"/>
  <c r="Y648" i="6"/>
  <c r="Y647" i="6"/>
  <c r="Y646" i="6"/>
  <c r="Y645" i="6"/>
  <c r="Y644" i="6"/>
  <c r="Y643" i="6"/>
  <c r="Y642" i="6"/>
  <c r="Y641" i="6"/>
  <c r="Y640" i="6"/>
  <c r="Y639" i="6"/>
  <c r="Y638" i="6"/>
  <c r="Y637" i="6"/>
  <c r="Y636" i="6"/>
  <c r="Y635" i="6"/>
  <c r="Y634" i="6"/>
  <c r="Y633" i="6"/>
  <c r="Y632" i="6"/>
  <c r="Y631" i="6"/>
  <c r="Y630" i="6"/>
  <c r="Y629" i="6"/>
  <c r="Y628" i="6"/>
  <c r="Y627" i="6"/>
  <c r="Y626" i="6"/>
  <c r="Y625" i="6"/>
  <c r="Y624" i="6"/>
  <c r="Y623" i="6"/>
  <c r="Y622" i="6"/>
  <c r="W672" i="6"/>
  <c r="W671" i="6"/>
  <c r="W670" i="6"/>
  <c r="W669" i="6"/>
  <c r="W668" i="6"/>
  <c r="W667" i="6"/>
  <c r="W666" i="6"/>
  <c r="W665" i="6"/>
  <c r="W663" i="6"/>
  <c r="IT42" i="7"/>
  <c r="W656" i="6"/>
  <c r="W655" i="6"/>
  <c r="W654" i="6"/>
  <c r="W653" i="6"/>
  <c r="W652" i="6"/>
  <c r="W651" i="6"/>
  <c r="W650" i="6"/>
  <c r="W649" i="6"/>
  <c r="W648" i="6"/>
  <c r="W647" i="6"/>
  <c r="W646" i="6"/>
  <c r="W645" i="6"/>
  <c r="W644" i="6"/>
  <c r="W643" i="6"/>
  <c r="W642" i="6"/>
  <c r="W641" i="6"/>
  <c r="W640" i="6"/>
  <c r="W639" i="6"/>
  <c r="W638" i="6"/>
  <c r="W637" i="6"/>
  <c r="W636" i="6"/>
  <c r="W635" i="6"/>
  <c r="W634" i="6"/>
  <c r="W633" i="6"/>
  <c r="W632" i="6"/>
  <c r="W631" i="6"/>
  <c r="W630" i="6"/>
  <c r="W629" i="6"/>
  <c r="W628" i="6"/>
  <c r="W627" i="6"/>
  <c r="W626" i="6"/>
  <c r="W625" i="6"/>
  <c r="W624" i="6"/>
  <c r="W623" i="6"/>
  <c r="W622" i="6"/>
  <c r="U672" i="6"/>
  <c r="U671" i="6"/>
  <c r="U670" i="6"/>
  <c r="U669" i="6"/>
  <c r="U668" i="6"/>
  <c r="U667" i="6"/>
  <c r="U666" i="6"/>
  <c r="U665" i="6"/>
  <c r="U663" i="6"/>
  <c r="IS42" i="7"/>
  <c r="U656" i="6"/>
  <c r="U655" i="6"/>
  <c r="U654" i="6"/>
  <c r="U653" i="6"/>
  <c r="U652" i="6"/>
  <c r="U651" i="6"/>
  <c r="U650" i="6"/>
  <c r="U649" i="6"/>
  <c r="U648" i="6"/>
  <c r="U647" i="6"/>
  <c r="U646" i="6"/>
  <c r="U645" i="6"/>
  <c r="U644" i="6"/>
  <c r="U643" i="6"/>
  <c r="U642" i="6"/>
  <c r="U641" i="6"/>
  <c r="U640" i="6"/>
  <c r="U639" i="6"/>
  <c r="U638" i="6"/>
  <c r="U637" i="6"/>
  <c r="U636" i="6"/>
  <c r="U635" i="6"/>
  <c r="U634" i="6"/>
  <c r="U633" i="6"/>
  <c r="U632" i="6"/>
  <c r="U631" i="6"/>
  <c r="U630" i="6"/>
  <c r="U629" i="6"/>
  <c r="U628" i="6"/>
  <c r="U627" i="6"/>
  <c r="U626" i="6"/>
  <c r="U625" i="6"/>
  <c r="U624" i="6"/>
  <c r="U623" i="6"/>
  <c r="U622" i="6"/>
  <c r="S672" i="6"/>
  <c r="S671" i="6"/>
  <c r="S670" i="6"/>
  <c r="S669" i="6"/>
  <c r="S668" i="6"/>
  <c r="S667" i="6"/>
  <c r="S666" i="6"/>
  <c r="S665" i="6"/>
  <c r="S663" i="6"/>
  <c r="IR42" i="7"/>
  <c r="S656" i="6"/>
  <c r="S655" i="6"/>
  <c r="S654" i="6"/>
  <c r="S653" i="6"/>
  <c r="S652" i="6"/>
  <c r="S651" i="6"/>
  <c r="S650" i="6"/>
  <c r="S649" i="6"/>
  <c r="S648" i="6"/>
  <c r="S647" i="6"/>
  <c r="S646" i="6"/>
  <c r="S645" i="6"/>
  <c r="S644" i="6"/>
  <c r="S643" i="6"/>
  <c r="S642" i="6"/>
  <c r="S641" i="6"/>
  <c r="S640" i="6"/>
  <c r="S639" i="6"/>
  <c r="S638" i="6"/>
  <c r="S637" i="6"/>
  <c r="S636" i="6"/>
  <c r="S635" i="6"/>
  <c r="S634" i="6"/>
  <c r="S633" i="6"/>
  <c r="S632" i="6"/>
  <c r="S631" i="6"/>
  <c r="S630" i="6"/>
  <c r="S629" i="6"/>
  <c r="S628" i="6"/>
  <c r="S627" i="6"/>
  <c r="S626" i="6"/>
  <c r="S625" i="6"/>
  <c r="S624" i="6"/>
  <c r="S623" i="6"/>
  <c r="S622" i="6"/>
  <c r="Q672" i="6"/>
  <c r="Q671" i="6"/>
  <c r="Q670" i="6"/>
  <c r="Q669" i="6"/>
  <c r="Q668" i="6"/>
  <c r="Q667" i="6"/>
  <c r="Q666" i="6"/>
  <c r="Q665" i="6"/>
  <c r="Q663" i="6"/>
  <c r="IQ42" i="7"/>
  <c r="Q656" i="6"/>
  <c r="Q655" i="6"/>
  <c r="Q654" i="6"/>
  <c r="Q653" i="6"/>
  <c r="Q652" i="6"/>
  <c r="Q651" i="6"/>
  <c r="Q650" i="6"/>
  <c r="Q649" i="6"/>
  <c r="Q648" i="6"/>
  <c r="Q647" i="6"/>
  <c r="Q646" i="6"/>
  <c r="Q645" i="6"/>
  <c r="Q644" i="6"/>
  <c r="Q643" i="6"/>
  <c r="Q642" i="6"/>
  <c r="Q641" i="6"/>
  <c r="Q640" i="6"/>
  <c r="Q639" i="6"/>
  <c r="Q638" i="6"/>
  <c r="Q637" i="6"/>
  <c r="Q636" i="6"/>
  <c r="Q635" i="6"/>
  <c r="Q634" i="6"/>
  <c r="Q633" i="6"/>
  <c r="Q632" i="6"/>
  <c r="Q631" i="6"/>
  <c r="Q630" i="6"/>
  <c r="Q629" i="6"/>
  <c r="Q628" i="6"/>
  <c r="Q627" i="6"/>
  <c r="Q626" i="6"/>
  <c r="Q625" i="6"/>
  <c r="Q624" i="6"/>
  <c r="Q623" i="6"/>
  <c r="Q622" i="6"/>
  <c r="O672" i="6"/>
  <c r="O671" i="6"/>
  <c r="O670" i="6"/>
  <c r="O669" i="6"/>
  <c r="O668" i="6"/>
  <c r="O667" i="6"/>
  <c r="O666" i="6"/>
  <c r="O665" i="6"/>
  <c r="O663" i="6"/>
  <c r="IP42" i="7"/>
  <c r="O656" i="6"/>
  <c r="O655" i="6"/>
  <c r="O654" i="6"/>
  <c r="O653" i="6"/>
  <c r="O652" i="6"/>
  <c r="O651" i="6"/>
  <c r="O650" i="6"/>
  <c r="O649" i="6"/>
  <c r="O648" i="6"/>
  <c r="O647" i="6"/>
  <c r="O646" i="6"/>
  <c r="O645" i="6"/>
  <c r="O644" i="6"/>
  <c r="O643" i="6"/>
  <c r="O642" i="6"/>
  <c r="O641" i="6"/>
  <c r="O640" i="6"/>
  <c r="O639" i="6"/>
  <c r="O638" i="6"/>
  <c r="O637" i="6"/>
  <c r="O636" i="6"/>
  <c r="O635" i="6"/>
  <c r="O634" i="6"/>
  <c r="O633" i="6"/>
  <c r="O632" i="6"/>
  <c r="O631" i="6"/>
  <c r="O630" i="6"/>
  <c r="O629" i="6"/>
  <c r="O628" i="6"/>
  <c r="O627" i="6"/>
  <c r="O626" i="6"/>
  <c r="O625" i="6"/>
  <c r="O624" i="6"/>
  <c r="O623" i="6"/>
  <c r="O622" i="6"/>
  <c r="M672" i="6"/>
  <c r="M671" i="6"/>
  <c r="M670" i="6"/>
  <c r="M669" i="6"/>
  <c r="M668" i="6"/>
  <c r="M667" i="6"/>
  <c r="M666" i="6"/>
  <c r="M665" i="6"/>
  <c r="M663" i="6"/>
  <c r="IO42" i="7"/>
  <c r="M656" i="6"/>
  <c r="M655" i="6"/>
  <c r="M654" i="6"/>
  <c r="M653" i="6"/>
  <c r="M652" i="6"/>
  <c r="M651" i="6"/>
  <c r="M650" i="6"/>
  <c r="M649" i="6"/>
  <c r="M648" i="6"/>
  <c r="M647" i="6"/>
  <c r="M646" i="6"/>
  <c r="M645" i="6"/>
  <c r="M644" i="6"/>
  <c r="M643" i="6"/>
  <c r="M642" i="6"/>
  <c r="M641" i="6"/>
  <c r="M640" i="6"/>
  <c r="M639" i="6"/>
  <c r="M638" i="6"/>
  <c r="M637" i="6"/>
  <c r="M636" i="6"/>
  <c r="M635" i="6"/>
  <c r="M634" i="6"/>
  <c r="M633" i="6"/>
  <c r="M632" i="6"/>
  <c r="M631" i="6"/>
  <c r="M630" i="6"/>
  <c r="M629" i="6"/>
  <c r="M628" i="6"/>
  <c r="M627" i="6"/>
  <c r="M626" i="6"/>
  <c r="M625" i="6"/>
  <c r="M624" i="6"/>
  <c r="M623" i="6"/>
  <c r="M622" i="6"/>
  <c r="K672" i="6"/>
  <c r="K671" i="6"/>
  <c r="K670" i="6"/>
  <c r="K669" i="6"/>
  <c r="K668" i="6"/>
  <c r="K667" i="6"/>
  <c r="K666" i="6"/>
  <c r="K665" i="6"/>
  <c r="K663" i="6"/>
  <c r="K656" i="6"/>
  <c r="K655" i="6"/>
  <c r="K654" i="6"/>
  <c r="K653" i="6"/>
  <c r="K652" i="6"/>
  <c r="K651" i="6"/>
  <c r="K650" i="6"/>
  <c r="K649" i="6"/>
  <c r="K648" i="6"/>
  <c r="K647" i="6"/>
  <c r="K646" i="6"/>
  <c r="K645" i="6"/>
  <c r="K644" i="6"/>
  <c r="K643" i="6"/>
  <c r="K642" i="6"/>
  <c r="K641" i="6"/>
  <c r="K640" i="6"/>
  <c r="K639" i="6"/>
  <c r="K638" i="6"/>
  <c r="K637" i="6"/>
  <c r="K636" i="6"/>
  <c r="K635" i="6"/>
  <c r="K634" i="6"/>
  <c r="K633" i="6"/>
  <c r="K632" i="6"/>
  <c r="K631" i="6"/>
  <c r="K630" i="6"/>
  <c r="K629" i="6"/>
  <c r="K628" i="6"/>
  <c r="K627" i="6"/>
  <c r="K626" i="6"/>
  <c r="K625" i="6"/>
  <c r="K624" i="6"/>
  <c r="K623" i="6"/>
  <c r="K622" i="6"/>
  <c r="I672" i="6"/>
  <c r="I671" i="6"/>
  <c r="I670" i="6"/>
  <c r="I669" i="6"/>
  <c r="I668" i="6"/>
  <c r="I667" i="6"/>
  <c r="I666" i="6"/>
  <c r="I665" i="6"/>
  <c r="I663" i="6"/>
  <c r="I656" i="6"/>
  <c r="I655" i="6"/>
  <c r="I654" i="6"/>
  <c r="I653" i="6"/>
  <c r="I652" i="6"/>
  <c r="I651" i="6"/>
  <c r="I650" i="6"/>
  <c r="I649" i="6"/>
  <c r="I648" i="6"/>
  <c r="I647" i="6"/>
  <c r="I646" i="6"/>
  <c r="I645" i="6"/>
  <c r="I644" i="6"/>
  <c r="I643" i="6"/>
  <c r="I642" i="6"/>
  <c r="I641" i="6"/>
  <c r="I640" i="6"/>
  <c r="I639" i="6"/>
  <c r="I638" i="6"/>
  <c r="I637" i="6"/>
  <c r="I636" i="6"/>
  <c r="I635" i="6"/>
  <c r="I634" i="6"/>
  <c r="I633" i="6"/>
  <c r="I632" i="6"/>
  <c r="I631" i="6"/>
  <c r="I630" i="6"/>
  <c r="I629" i="6"/>
  <c r="I628" i="6"/>
  <c r="I627" i="6"/>
  <c r="I626" i="6"/>
  <c r="I625" i="6"/>
  <c r="I624" i="6"/>
  <c r="I623" i="6"/>
  <c r="I622" i="6"/>
  <c r="G672" i="6"/>
  <c r="G671" i="6"/>
  <c r="G670" i="6"/>
  <c r="G669" i="6"/>
  <c r="G668" i="6"/>
  <c r="G667" i="6"/>
  <c r="G666" i="6"/>
  <c r="G665" i="6"/>
  <c r="G663" i="6"/>
  <c r="G656" i="6"/>
  <c r="G655" i="6"/>
  <c r="G654" i="6"/>
  <c r="G653" i="6"/>
  <c r="G652" i="6"/>
  <c r="G651" i="6"/>
  <c r="G650" i="6"/>
  <c r="G649" i="6"/>
  <c r="G648" i="6"/>
  <c r="G647" i="6"/>
  <c r="G646" i="6"/>
  <c r="G645" i="6"/>
  <c r="G644" i="6"/>
  <c r="G643" i="6"/>
  <c r="G642" i="6"/>
  <c r="G641" i="6"/>
  <c r="G640" i="6"/>
  <c r="G639" i="6"/>
  <c r="G638" i="6"/>
  <c r="G637" i="6"/>
  <c r="G636" i="6"/>
  <c r="G635" i="6"/>
  <c r="G634" i="6"/>
  <c r="G633" i="6"/>
  <c r="G632" i="6"/>
  <c r="G631" i="6"/>
  <c r="G630" i="6"/>
  <c r="G629" i="6"/>
  <c r="G628" i="6"/>
  <c r="G627" i="6"/>
  <c r="G626" i="6"/>
  <c r="G625" i="6"/>
  <c r="G624" i="6"/>
  <c r="G623" i="6"/>
  <c r="G622" i="6"/>
  <c r="E672" i="6"/>
  <c r="E671" i="6"/>
  <c r="E670" i="6"/>
  <c r="E669" i="6"/>
  <c r="E668" i="6"/>
  <c r="E667" i="6"/>
  <c r="E666" i="6"/>
  <c r="E665" i="6"/>
  <c r="E663" i="6"/>
  <c r="E656" i="6"/>
  <c r="E655" i="6"/>
  <c r="E654" i="6"/>
  <c r="E653" i="6"/>
  <c r="E652" i="6"/>
  <c r="E651" i="6"/>
  <c r="E650" i="6"/>
  <c r="E649" i="6"/>
  <c r="E648" i="6"/>
  <c r="E647" i="6"/>
  <c r="E646" i="6"/>
  <c r="E645" i="6"/>
  <c r="E644" i="6"/>
  <c r="E643" i="6"/>
  <c r="E642" i="6"/>
  <c r="E641" i="6"/>
  <c r="E640" i="6"/>
  <c r="E639" i="6"/>
  <c r="E638" i="6"/>
  <c r="E637" i="6"/>
  <c r="E636" i="6"/>
  <c r="E635" i="6"/>
  <c r="E634" i="6"/>
  <c r="E633" i="6"/>
  <c r="E632" i="6"/>
  <c r="E631" i="6"/>
  <c r="E630" i="6"/>
  <c r="E629" i="6"/>
  <c r="E628" i="6"/>
  <c r="E627" i="6"/>
  <c r="E626" i="6"/>
  <c r="E625" i="6"/>
  <c r="E624" i="6"/>
  <c r="E623" i="6"/>
  <c r="E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63" i="6"/>
  <c r="C665" i="6"/>
  <c r="C666" i="6"/>
  <c r="C667" i="6"/>
  <c r="C668" i="6"/>
  <c r="C669" i="6"/>
  <c r="C670" i="6"/>
  <c r="C671" i="6"/>
  <c r="C672" i="6"/>
  <c r="C622" i="6"/>
  <c r="A653" i="6"/>
  <c r="A654" i="6"/>
  <c r="A655" i="6"/>
  <c r="A656" i="6"/>
  <c r="A665" i="6"/>
  <c r="A666" i="6"/>
  <c r="A667" i="6"/>
  <c r="A668" i="6"/>
  <c r="A669" i="6"/>
  <c r="A670" i="6"/>
  <c r="A671" i="6"/>
  <c r="A672" i="6"/>
  <c r="AE584" i="6"/>
  <c r="AE583" i="6"/>
  <c r="AE582" i="6"/>
  <c r="AE581" i="6"/>
  <c r="AE580" i="6"/>
  <c r="AE579" i="6"/>
  <c r="AE578" i="6"/>
  <c r="AE569" i="6"/>
  <c r="AE568" i="6"/>
  <c r="AE567" i="6"/>
  <c r="AE566" i="6"/>
  <c r="AE565" i="6"/>
  <c r="AE564" i="6"/>
  <c r="AE563" i="6"/>
  <c r="AE562" i="6"/>
  <c r="AE561" i="6"/>
  <c r="AE560" i="6"/>
  <c r="AE559" i="6"/>
  <c r="AE558" i="6"/>
  <c r="AE557" i="6"/>
  <c r="AE556" i="6"/>
  <c r="AE555" i="6"/>
  <c r="AE554" i="6"/>
  <c r="AE553" i="6"/>
  <c r="AE552" i="6"/>
  <c r="AE551" i="6"/>
  <c r="AE550" i="6"/>
  <c r="AE549" i="6"/>
  <c r="AE548" i="6"/>
  <c r="AE547" i="6"/>
  <c r="AE546" i="6"/>
  <c r="AE545" i="6"/>
  <c r="AE544" i="6"/>
  <c r="AE543" i="6"/>
  <c r="AE542" i="6"/>
  <c r="AE541" i="6"/>
  <c r="AE540" i="6"/>
  <c r="AE539" i="6"/>
  <c r="AE538" i="6"/>
  <c r="AE537" i="6"/>
  <c r="AE536" i="6"/>
  <c r="AE535" i="6"/>
  <c r="AC584" i="6"/>
  <c r="AC583" i="6"/>
  <c r="AC582" i="6"/>
  <c r="AC581" i="6"/>
  <c r="AC580" i="6"/>
  <c r="AC579" i="6"/>
  <c r="AC578" i="6"/>
  <c r="IG50" i="7"/>
  <c r="AC569" i="6"/>
  <c r="AC568" i="6"/>
  <c r="AC567" i="6"/>
  <c r="AC566" i="6"/>
  <c r="AC565" i="6"/>
  <c r="AC564" i="6"/>
  <c r="AC563" i="6"/>
  <c r="AC562" i="6"/>
  <c r="AC561" i="6"/>
  <c r="AC560" i="6"/>
  <c r="AC559" i="6"/>
  <c r="AC558" i="6"/>
  <c r="AC557" i="6"/>
  <c r="AC556" i="6"/>
  <c r="AC555" i="6"/>
  <c r="AC554" i="6"/>
  <c r="AC553" i="6"/>
  <c r="AC552" i="6"/>
  <c r="AC551" i="6"/>
  <c r="AC550" i="6"/>
  <c r="AC549" i="6"/>
  <c r="AC548" i="6"/>
  <c r="AC547" i="6"/>
  <c r="AC546" i="6"/>
  <c r="AC545" i="6"/>
  <c r="AC544" i="6"/>
  <c r="AC543" i="6"/>
  <c r="AC542" i="6"/>
  <c r="AC541" i="6"/>
  <c r="AC540" i="6"/>
  <c r="AC539" i="6"/>
  <c r="AC538" i="6"/>
  <c r="AC537" i="6"/>
  <c r="AC536" i="6"/>
  <c r="AC535" i="6"/>
  <c r="AA584" i="6"/>
  <c r="AA583" i="6"/>
  <c r="AA582" i="6"/>
  <c r="AA581" i="6"/>
  <c r="AA580" i="6"/>
  <c r="AA579" i="6"/>
  <c r="AA578" i="6"/>
  <c r="AA569" i="6"/>
  <c r="AA568" i="6"/>
  <c r="AA567" i="6"/>
  <c r="AA566" i="6"/>
  <c r="AA565" i="6"/>
  <c r="AA564" i="6"/>
  <c r="AA563" i="6"/>
  <c r="AA562" i="6"/>
  <c r="AA561" i="6"/>
  <c r="AA560" i="6"/>
  <c r="AA559" i="6"/>
  <c r="AA558" i="6"/>
  <c r="AA557" i="6"/>
  <c r="AA556" i="6"/>
  <c r="AA555" i="6"/>
  <c r="AA554" i="6"/>
  <c r="AA553" i="6"/>
  <c r="AA552" i="6"/>
  <c r="AA551" i="6"/>
  <c r="AA550" i="6"/>
  <c r="AA549" i="6"/>
  <c r="AA548" i="6"/>
  <c r="AA547" i="6"/>
  <c r="AA546" i="6"/>
  <c r="AA545" i="6"/>
  <c r="AA544" i="6"/>
  <c r="AA543" i="6"/>
  <c r="AA542" i="6"/>
  <c r="AA541" i="6"/>
  <c r="AA540" i="6"/>
  <c r="AA539" i="6"/>
  <c r="AA538" i="6"/>
  <c r="AA537" i="6"/>
  <c r="AA536" i="6"/>
  <c r="AA535" i="6"/>
  <c r="Y584" i="6"/>
  <c r="Y583" i="6"/>
  <c r="Y582" i="6"/>
  <c r="Y581" i="6"/>
  <c r="Y580" i="6"/>
  <c r="Y579" i="6"/>
  <c r="Y578" i="6"/>
  <c r="Y569" i="6"/>
  <c r="Y568" i="6"/>
  <c r="Y567" i="6"/>
  <c r="Y566" i="6"/>
  <c r="Y565" i="6"/>
  <c r="Y564" i="6"/>
  <c r="Y563" i="6"/>
  <c r="Y562" i="6"/>
  <c r="Y561" i="6"/>
  <c r="Y560" i="6"/>
  <c r="Y559" i="6"/>
  <c r="Y558" i="6"/>
  <c r="Y557" i="6"/>
  <c r="Y556" i="6"/>
  <c r="Y555" i="6"/>
  <c r="Y554" i="6"/>
  <c r="Y553" i="6"/>
  <c r="Y552" i="6"/>
  <c r="Y551" i="6"/>
  <c r="Y550" i="6"/>
  <c r="Y549" i="6"/>
  <c r="Y548" i="6"/>
  <c r="Y547" i="6"/>
  <c r="Y546" i="6"/>
  <c r="Y545" i="6"/>
  <c r="Y544" i="6"/>
  <c r="Y543" i="6"/>
  <c r="Y542" i="6"/>
  <c r="Y541" i="6"/>
  <c r="Y540" i="6"/>
  <c r="Y539" i="6"/>
  <c r="Y538" i="6"/>
  <c r="Y537" i="6"/>
  <c r="Y536" i="6"/>
  <c r="Y535" i="6"/>
  <c r="W584" i="6"/>
  <c r="W583" i="6"/>
  <c r="W582" i="6"/>
  <c r="W581" i="6"/>
  <c r="W580" i="6"/>
  <c r="W579" i="6"/>
  <c r="W578" i="6"/>
  <c r="ID50" i="7"/>
  <c r="W569" i="6"/>
  <c r="W568" i="6"/>
  <c r="W567" i="6"/>
  <c r="W566" i="6"/>
  <c r="W565" i="6"/>
  <c r="W564" i="6"/>
  <c r="W563" i="6"/>
  <c r="W562" i="6"/>
  <c r="W561" i="6"/>
  <c r="W560" i="6"/>
  <c r="W559" i="6"/>
  <c r="W558" i="6"/>
  <c r="W557" i="6"/>
  <c r="W556" i="6"/>
  <c r="W555" i="6"/>
  <c r="W554" i="6"/>
  <c r="W553" i="6"/>
  <c r="W552" i="6"/>
  <c r="W551" i="6"/>
  <c r="W550" i="6"/>
  <c r="W549" i="6"/>
  <c r="W548" i="6"/>
  <c r="W547" i="6"/>
  <c r="W546" i="6"/>
  <c r="W545" i="6"/>
  <c r="W544" i="6"/>
  <c r="W543" i="6"/>
  <c r="W542" i="6"/>
  <c r="W541" i="6"/>
  <c r="W540" i="6"/>
  <c r="W539" i="6"/>
  <c r="W538" i="6"/>
  <c r="W537" i="6"/>
  <c r="W536" i="6"/>
  <c r="W535" i="6"/>
  <c r="U584" i="6"/>
  <c r="U583" i="6"/>
  <c r="U582" i="6"/>
  <c r="U581" i="6"/>
  <c r="U580" i="6"/>
  <c r="U579" i="6"/>
  <c r="U578" i="6"/>
  <c r="U569" i="6"/>
  <c r="U568" i="6"/>
  <c r="U567" i="6"/>
  <c r="U566" i="6"/>
  <c r="U565" i="6"/>
  <c r="U564" i="6"/>
  <c r="U563" i="6"/>
  <c r="U562" i="6"/>
  <c r="U561" i="6"/>
  <c r="U560" i="6"/>
  <c r="U559" i="6"/>
  <c r="U558" i="6"/>
  <c r="U557" i="6"/>
  <c r="U556" i="6"/>
  <c r="U555" i="6"/>
  <c r="U554" i="6"/>
  <c r="U553" i="6"/>
  <c r="U552" i="6"/>
  <c r="U551" i="6"/>
  <c r="U550" i="6"/>
  <c r="U549" i="6"/>
  <c r="U548" i="6"/>
  <c r="U547" i="6"/>
  <c r="U546" i="6"/>
  <c r="U545" i="6"/>
  <c r="U544" i="6"/>
  <c r="U543" i="6"/>
  <c r="U542" i="6"/>
  <c r="U541" i="6"/>
  <c r="U540" i="6"/>
  <c r="U539" i="6"/>
  <c r="U538" i="6"/>
  <c r="U537" i="6"/>
  <c r="U536" i="6"/>
  <c r="U535" i="6"/>
  <c r="S584" i="6"/>
  <c r="S583" i="6"/>
  <c r="S582" i="6"/>
  <c r="S581" i="6"/>
  <c r="S580" i="6"/>
  <c r="S579" i="6"/>
  <c r="S578" i="6"/>
  <c r="IB50" i="7"/>
  <c r="S569" i="6"/>
  <c r="S568" i="6"/>
  <c r="S567" i="6"/>
  <c r="S566" i="6"/>
  <c r="S565" i="6"/>
  <c r="S564" i="6"/>
  <c r="S563" i="6"/>
  <c r="S562" i="6"/>
  <c r="S561" i="6"/>
  <c r="S560" i="6"/>
  <c r="S559" i="6"/>
  <c r="S558" i="6"/>
  <c r="S557" i="6"/>
  <c r="S556" i="6"/>
  <c r="S555" i="6"/>
  <c r="S554" i="6"/>
  <c r="S553" i="6"/>
  <c r="S552" i="6"/>
  <c r="S551" i="6"/>
  <c r="S550" i="6"/>
  <c r="S549" i="6"/>
  <c r="S548" i="6"/>
  <c r="S547" i="6"/>
  <c r="S546" i="6"/>
  <c r="S545" i="6"/>
  <c r="S544" i="6"/>
  <c r="S543" i="6"/>
  <c r="S542" i="6"/>
  <c r="S541" i="6"/>
  <c r="S540" i="6"/>
  <c r="S539" i="6"/>
  <c r="S538" i="6"/>
  <c r="S537" i="6"/>
  <c r="S536" i="6"/>
  <c r="S535" i="6"/>
  <c r="Q584" i="6"/>
  <c r="Q583" i="6"/>
  <c r="Q582" i="6"/>
  <c r="Q581" i="6"/>
  <c r="Q580" i="6"/>
  <c r="Q579" i="6"/>
  <c r="Q578" i="6"/>
  <c r="Q569" i="6"/>
  <c r="Q568" i="6"/>
  <c r="Q567" i="6"/>
  <c r="Q566" i="6"/>
  <c r="Q565" i="6"/>
  <c r="Q564" i="6"/>
  <c r="Q563" i="6"/>
  <c r="Q562" i="6"/>
  <c r="Q561" i="6"/>
  <c r="Q560" i="6"/>
  <c r="Q559" i="6"/>
  <c r="Q558" i="6"/>
  <c r="Q557" i="6"/>
  <c r="Q556" i="6"/>
  <c r="Q555" i="6"/>
  <c r="Q554" i="6"/>
  <c r="Q553" i="6"/>
  <c r="Q552" i="6"/>
  <c r="Q551" i="6"/>
  <c r="Q550" i="6"/>
  <c r="Q549" i="6"/>
  <c r="Q548" i="6"/>
  <c r="Q547" i="6"/>
  <c r="Q546" i="6"/>
  <c r="Q545" i="6"/>
  <c r="Q544" i="6"/>
  <c r="Q543" i="6"/>
  <c r="Q542" i="6"/>
  <c r="Q541" i="6"/>
  <c r="Q540" i="6"/>
  <c r="Q539" i="6"/>
  <c r="Q538" i="6"/>
  <c r="Q537" i="6"/>
  <c r="Q536" i="6"/>
  <c r="Q535" i="6"/>
  <c r="O584" i="6"/>
  <c r="O583" i="6"/>
  <c r="O582" i="6"/>
  <c r="O581" i="6"/>
  <c r="O580" i="6"/>
  <c r="O579" i="6"/>
  <c r="O578" i="6"/>
  <c r="O569" i="6"/>
  <c r="O568" i="6"/>
  <c r="O567" i="6"/>
  <c r="O566" i="6"/>
  <c r="O565" i="6"/>
  <c r="O564" i="6"/>
  <c r="O563" i="6"/>
  <c r="O562" i="6"/>
  <c r="O561" i="6"/>
  <c r="O560" i="6"/>
  <c r="O559" i="6"/>
  <c r="O558" i="6"/>
  <c r="O557" i="6"/>
  <c r="O556" i="6"/>
  <c r="O555" i="6"/>
  <c r="O554" i="6"/>
  <c r="O553" i="6"/>
  <c r="O552" i="6"/>
  <c r="O551" i="6"/>
  <c r="O550" i="6"/>
  <c r="O549" i="6"/>
  <c r="O548" i="6"/>
  <c r="O547" i="6"/>
  <c r="O546" i="6"/>
  <c r="O545" i="6"/>
  <c r="O544" i="6"/>
  <c r="O543" i="6"/>
  <c r="O542" i="6"/>
  <c r="O541" i="6"/>
  <c r="O540" i="6"/>
  <c r="O539" i="6"/>
  <c r="O538" i="6"/>
  <c r="O537" i="6"/>
  <c r="O536" i="6"/>
  <c r="O535" i="6"/>
  <c r="M584" i="6"/>
  <c r="M583" i="6"/>
  <c r="M582" i="6"/>
  <c r="M581" i="6"/>
  <c r="M580" i="6"/>
  <c r="M579" i="6"/>
  <c r="M578" i="6"/>
  <c r="M569" i="6"/>
  <c r="M568" i="6"/>
  <c r="M567" i="6"/>
  <c r="M566" i="6"/>
  <c r="M565" i="6"/>
  <c r="M564" i="6"/>
  <c r="M563" i="6"/>
  <c r="M562" i="6"/>
  <c r="M561" i="6"/>
  <c r="M560" i="6"/>
  <c r="M559" i="6"/>
  <c r="M558" i="6"/>
  <c r="M557" i="6"/>
  <c r="M556" i="6"/>
  <c r="M555" i="6"/>
  <c r="M554" i="6"/>
  <c r="M553" i="6"/>
  <c r="M552" i="6"/>
  <c r="M551" i="6"/>
  <c r="M550" i="6"/>
  <c r="M549" i="6"/>
  <c r="M548" i="6"/>
  <c r="M547" i="6"/>
  <c r="M546" i="6"/>
  <c r="M545" i="6"/>
  <c r="M544" i="6"/>
  <c r="M543" i="6"/>
  <c r="M542" i="6"/>
  <c r="M541" i="6"/>
  <c r="M540" i="6"/>
  <c r="M539" i="6"/>
  <c r="M538" i="6"/>
  <c r="M537" i="6"/>
  <c r="M536" i="6"/>
  <c r="M535" i="6"/>
  <c r="K584" i="6"/>
  <c r="K583" i="6"/>
  <c r="K582" i="6"/>
  <c r="K581" i="6"/>
  <c r="K580" i="6"/>
  <c r="K579" i="6"/>
  <c r="K578" i="6"/>
  <c r="K577" i="6"/>
  <c r="K568" i="6"/>
  <c r="K567" i="6"/>
  <c r="K566" i="6"/>
  <c r="K565" i="6"/>
  <c r="K564" i="6"/>
  <c r="K563" i="6"/>
  <c r="K562" i="6"/>
  <c r="K561" i="6"/>
  <c r="K560" i="6"/>
  <c r="K559" i="6"/>
  <c r="K558" i="6"/>
  <c r="K557" i="6"/>
  <c r="K556" i="6"/>
  <c r="K555" i="6"/>
  <c r="K554" i="6"/>
  <c r="K553" i="6"/>
  <c r="K552" i="6"/>
  <c r="K551" i="6"/>
  <c r="K550" i="6"/>
  <c r="K549" i="6"/>
  <c r="K548" i="6"/>
  <c r="K547" i="6"/>
  <c r="K546" i="6"/>
  <c r="K545" i="6"/>
  <c r="K544" i="6"/>
  <c r="K543" i="6"/>
  <c r="K542" i="6"/>
  <c r="K541" i="6"/>
  <c r="K540" i="6"/>
  <c r="K539" i="6"/>
  <c r="K538" i="6"/>
  <c r="K537" i="6"/>
  <c r="K536" i="6"/>
  <c r="K535" i="6"/>
  <c r="I584" i="6"/>
  <c r="I583" i="6"/>
  <c r="I582" i="6"/>
  <c r="I581" i="6"/>
  <c r="I580" i="6"/>
  <c r="I579" i="6"/>
  <c r="I578" i="6"/>
  <c r="I577" i="6"/>
  <c r="I568" i="6"/>
  <c r="I567" i="6"/>
  <c r="I566" i="6"/>
  <c r="I565" i="6"/>
  <c r="I564" i="6"/>
  <c r="I563" i="6"/>
  <c r="I562" i="6"/>
  <c r="I561" i="6"/>
  <c r="I560" i="6"/>
  <c r="I559" i="6"/>
  <c r="I558" i="6"/>
  <c r="I557" i="6"/>
  <c r="I556" i="6"/>
  <c r="I555" i="6"/>
  <c r="I554" i="6"/>
  <c r="I553" i="6"/>
  <c r="I552" i="6"/>
  <c r="I551" i="6"/>
  <c r="I550" i="6"/>
  <c r="I549" i="6"/>
  <c r="I548" i="6"/>
  <c r="I547" i="6"/>
  <c r="I546" i="6"/>
  <c r="I545" i="6"/>
  <c r="I544" i="6"/>
  <c r="I543" i="6"/>
  <c r="I542" i="6"/>
  <c r="I541" i="6"/>
  <c r="I540" i="6"/>
  <c r="I539" i="6"/>
  <c r="I538" i="6"/>
  <c r="I537" i="6"/>
  <c r="I536" i="6"/>
  <c r="I535" i="6"/>
  <c r="G584" i="6"/>
  <c r="G583" i="6"/>
  <c r="G582" i="6"/>
  <c r="G581" i="6"/>
  <c r="G580" i="6"/>
  <c r="G579" i="6"/>
  <c r="G578" i="6"/>
  <c r="G577" i="6"/>
  <c r="G568" i="6"/>
  <c r="G567" i="6"/>
  <c r="G566" i="6"/>
  <c r="G565" i="6"/>
  <c r="G564" i="6"/>
  <c r="G563" i="6"/>
  <c r="G562" i="6"/>
  <c r="G561" i="6"/>
  <c r="G560" i="6"/>
  <c r="G559" i="6"/>
  <c r="G558" i="6"/>
  <c r="G557" i="6"/>
  <c r="G556" i="6"/>
  <c r="G555" i="6"/>
  <c r="G554" i="6"/>
  <c r="G553" i="6"/>
  <c r="G552" i="6"/>
  <c r="G551" i="6"/>
  <c r="G550" i="6"/>
  <c r="G549" i="6"/>
  <c r="G548" i="6"/>
  <c r="G547" i="6"/>
  <c r="G546" i="6"/>
  <c r="G545" i="6"/>
  <c r="G544" i="6"/>
  <c r="G543" i="6"/>
  <c r="G542" i="6"/>
  <c r="G541" i="6"/>
  <c r="G540" i="6"/>
  <c r="G539" i="6"/>
  <c r="G538" i="6"/>
  <c r="G537" i="6"/>
  <c r="G536" i="6"/>
  <c r="G535" i="6"/>
  <c r="E584" i="6"/>
  <c r="E583" i="6"/>
  <c r="E582" i="6"/>
  <c r="E581" i="6"/>
  <c r="E580" i="6"/>
  <c r="E579" i="6"/>
  <c r="E578" i="6"/>
  <c r="E577" i="6"/>
  <c r="E568" i="6"/>
  <c r="E567" i="6"/>
  <c r="E566" i="6"/>
  <c r="E565" i="6"/>
  <c r="E564" i="6"/>
  <c r="E563" i="6"/>
  <c r="E562" i="6"/>
  <c r="E561" i="6"/>
  <c r="E560" i="6"/>
  <c r="E559" i="6"/>
  <c r="E558" i="6"/>
  <c r="E557" i="6"/>
  <c r="E556" i="6"/>
  <c r="E555" i="6"/>
  <c r="E554" i="6"/>
  <c r="E553" i="6"/>
  <c r="HU25" i="7"/>
  <c r="HU24" i="7"/>
  <c r="HU23" i="7"/>
  <c r="HU22" i="7"/>
  <c r="HU21" i="7"/>
  <c r="HU20" i="7"/>
  <c r="HU19" i="7"/>
  <c r="HU18" i="7"/>
  <c r="HU17" i="7"/>
  <c r="HU16" i="7"/>
  <c r="HU15" i="7"/>
  <c r="HU14" i="7"/>
  <c r="HU13" i="7"/>
  <c r="HU12" i="7"/>
  <c r="HU11" i="7"/>
  <c r="HU10" i="7"/>
  <c r="HU9" i="7"/>
  <c r="HU8" i="7"/>
  <c r="HT8" i="7"/>
  <c r="HT9" i="7"/>
  <c r="HT10" i="7"/>
  <c r="HT11" i="7"/>
  <c r="HT12" i="7"/>
  <c r="HT13" i="7"/>
  <c r="HT14" i="7"/>
  <c r="HT15" i="7"/>
  <c r="HT16" i="7"/>
  <c r="HT17" i="7"/>
  <c r="HT18" i="7"/>
  <c r="HT19" i="7"/>
  <c r="HT20" i="7"/>
  <c r="HT21" i="7"/>
  <c r="HT22" i="7"/>
  <c r="HT23" i="7"/>
  <c r="HT24" i="7"/>
  <c r="HT25" i="7"/>
  <c r="HT26" i="7"/>
  <c r="HT27" i="7"/>
  <c r="HT28" i="7"/>
  <c r="HT29" i="7"/>
  <c r="HT30" i="7"/>
  <c r="HT31" i="7"/>
  <c r="HT32" i="7"/>
  <c r="HT33" i="7"/>
  <c r="HT34" i="7"/>
  <c r="HT35" i="7"/>
  <c r="HT36" i="7"/>
  <c r="C564" i="6"/>
  <c r="C565" i="6"/>
  <c r="C566" i="6"/>
  <c r="C567" i="6"/>
  <c r="C568" i="6"/>
  <c r="C569" i="6"/>
  <c r="C577" i="6"/>
  <c r="C578" i="6"/>
  <c r="C579" i="6"/>
  <c r="C580" i="6"/>
  <c r="C581" i="6"/>
  <c r="C582" i="6"/>
  <c r="C583" i="6"/>
  <c r="C584" i="6"/>
  <c r="A565" i="6"/>
  <c r="A566" i="6"/>
  <c r="A567" i="6"/>
  <c r="A568" i="6"/>
  <c r="A577" i="6"/>
  <c r="A578" i="6"/>
  <c r="A579" i="6"/>
  <c r="A580" i="6"/>
  <c r="A581" i="6"/>
  <c r="A582" i="6"/>
  <c r="A583" i="6"/>
  <c r="A584" i="6"/>
  <c r="AE496" i="6"/>
  <c r="AE495" i="6"/>
  <c r="AE494" i="6"/>
  <c r="AE493" i="6"/>
  <c r="AE492" i="6"/>
  <c r="AE491" i="6"/>
  <c r="AE490" i="6"/>
  <c r="AE489" i="6"/>
  <c r="AE480" i="6"/>
  <c r="AE479" i="6"/>
  <c r="AE478" i="6"/>
  <c r="AE477" i="6"/>
  <c r="AE476" i="6"/>
  <c r="AE475" i="6"/>
  <c r="AE474" i="6"/>
  <c r="AE473" i="6"/>
  <c r="AE472" i="6"/>
  <c r="AE471" i="6"/>
  <c r="AE470" i="6"/>
  <c r="AE469" i="6"/>
  <c r="AE468" i="6"/>
  <c r="AE467" i="6"/>
  <c r="AE466" i="6"/>
  <c r="AE465" i="6"/>
  <c r="AE464" i="6"/>
  <c r="AE463" i="6"/>
  <c r="AE462" i="6"/>
  <c r="AE461" i="6"/>
  <c r="AE460" i="6"/>
  <c r="AE459" i="6"/>
  <c r="AE458" i="6"/>
  <c r="AE457" i="6"/>
  <c r="AE456" i="6"/>
  <c r="AE455" i="6"/>
  <c r="AE454" i="6"/>
  <c r="AE453" i="6"/>
  <c r="AE452" i="6"/>
  <c r="AE451" i="6"/>
  <c r="AE450" i="6"/>
  <c r="AE449" i="6"/>
  <c r="AE448" i="6"/>
  <c r="AE447" i="6"/>
  <c r="AE446" i="6"/>
  <c r="AC496" i="6"/>
  <c r="AC495" i="6"/>
  <c r="AC494" i="6"/>
  <c r="AC493" i="6"/>
  <c r="AC492" i="6"/>
  <c r="AC491" i="6"/>
  <c r="AC490" i="6"/>
  <c r="AC489" i="6"/>
  <c r="AC480" i="6"/>
  <c r="AC479" i="6"/>
  <c r="AC478" i="6"/>
  <c r="AC477" i="6"/>
  <c r="AC476" i="6"/>
  <c r="AC475" i="6"/>
  <c r="AC474" i="6"/>
  <c r="AC473" i="6"/>
  <c r="AC472" i="6"/>
  <c r="AC471" i="6"/>
  <c r="AC470" i="6"/>
  <c r="AC469" i="6"/>
  <c r="AC468" i="6"/>
  <c r="AC467" i="6"/>
  <c r="AC466" i="6"/>
  <c r="AC465" i="6"/>
  <c r="AC464" i="6"/>
  <c r="AC463" i="6"/>
  <c r="AC462" i="6"/>
  <c r="AC461" i="6"/>
  <c r="AC460" i="6"/>
  <c r="AC459" i="6"/>
  <c r="AC458" i="6"/>
  <c r="AC457" i="6"/>
  <c r="AC456" i="6"/>
  <c r="AC455" i="6"/>
  <c r="AC454" i="6"/>
  <c r="AC453" i="6"/>
  <c r="AC452" i="6"/>
  <c r="AC451" i="6"/>
  <c r="AC450" i="6"/>
  <c r="AC449" i="6"/>
  <c r="AC448" i="6"/>
  <c r="AC447" i="6"/>
  <c r="AC446" i="6"/>
  <c r="AA496" i="6"/>
  <c r="AA495" i="6"/>
  <c r="AA494" i="6"/>
  <c r="AA493" i="6"/>
  <c r="AA492" i="6"/>
  <c r="AA491" i="6"/>
  <c r="AA490" i="6"/>
  <c r="AA489" i="6"/>
  <c r="AA480" i="6"/>
  <c r="AA479" i="6"/>
  <c r="AA478" i="6"/>
  <c r="AA477" i="6"/>
  <c r="AA476" i="6"/>
  <c r="AA475" i="6"/>
  <c r="AA474" i="6"/>
  <c r="AA473" i="6"/>
  <c r="AA472" i="6"/>
  <c r="AA471" i="6"/>
  <c r="AA470" i="6"/>
  <c r="AA469" i="6"/>
  <c r="AA468" i="6"/>
  <c r="AA467" i="6"/>
  <c r="AA466" i="6"/>
  <c r="AA465" i="6"/>
  <c r="AA464" i="6"/>
  <c r="AA463" i="6"/>
  <c r="AA462" i="6"/>
  <c r="AA461" i="6"/>
  <c r="AA460" i="6"/>
  <c r="AA459" i="6"/>
  <c r="AA458" i="6"/>
  <c r="AA457" i="6"/>
  <c r="AA456" i="6"/>
  <c r="AA455" i="6"/>
  <c r="AA454" i="6"/>
  <c r="AA453" i="6"/>
  <c r="AA452" i="6"/>
  <c r="AA451" i="6"/>
  <c r="AA450" i="6"/>
  <c r="AA449" i="6"/>
  <c r="AA448" i="6"/>
  <c r="AA447" i="6"/>
  <c r="AA446" i="6"/>
  <c r="Y496" i="6"/>
  <c r="Y495" i="6"/>
  <c r="Y494" i="6"/>
  <c r="Y493" i="6"/>
  <c r="Y492" i="6"/>
  <c r="Y491" i="6"/>
  <c r="Y490" i="6"/>
  <c r="Y489" i="6"/>
  <c r="Y480" i="6"/>
  <c r="Y479" i="6"/>
  <c r="Y478" i="6"/>
  <c r="Y477" i="6"/>
  <c r="Y476" i="6"/>
  <c r="Y475" i="6"/>
  <c r="Y474" i="6"/>
  <c r="Y473" i="6"/>
  <c r="Y472" i="6"/>
  <c r="Y471" i="6"/>
  <c r="Y470" i="6"/>
  <c r="Y469" i="6"/>
  <c r="Y468" i="6"/>
  <c r="Y467" i="6"/>
  <c r="Y466" i="6"/>
  <c r="Y465" i="6"/>
  <c r="Y464" i="6"/>
  <c r="Y463" i="6"/>
  <c r="Y462" i="6"/>
  <c r="Y461" i="6"/>
  <c r="Y460" i="6"/>
  <c r="Y459" i="6"/>
  <c r="Y458" i="6"/>
  <c r="Y457" i="6"/>
  <c r="Y456" i="6"/>
  <c r="Y455" i="6"/>
  <c r="Y454" i="6"/>
  <c r="Y453" i="6"/>
  <c r="Y452" i="6"/>
  <c r="Y451" i="6"/>
  <c r="Y450" i="6"/>
  <c r="Y449" i="6"/>
  <c r="Y448" i="6"/>
  <c r="Y447" i="6"/>
  <c r="Y446" i="6"/>
  <c r="W496" i="6"/>
  <c r="W495" i="6"/>
  <c r="W494" i="6"/>
  <c r="W493" i="6"/>
  <c r="W492" i="6"/>
  <c r="W491" i="6"/>
  <c r="W490" i="6"/>
  <c r="W489" i="6"/>
  <c r="W480" i="6"/>
  <c r="W479" i="6"/>
  <c r="W478" i="6"/>
  <c r="W477" i="6"/>
  <c r="W476" i="6"/>
  <c r="W475" i="6"/>
  <c r="W474" i="6"/>
  <c r="W473" i="6"/>
  <c r="W472" i="6"/>
  <c r="W471" i="6"/>
  <c r="W470" i="6"/>
  <c r="W469" i="6"/>
  <c r="W468" i="6"/>
  <c r="W467" i="6"/>
  <c r="W466" i="6"/>
  <c r="W465" i="6"/>
  <c r="W464" i="6"/>
  <c r="W463" i="6"/>
  <c r="W462" i="6"/>
  <c r="W461" i="6"/>
  <c r="W460" i="6"/>
  <c r="W459" i="6"/>
  <c r="W458" i="6"/>
  <c r="W457" i="6"/>
  <c r="W456" i="6"/>
  <c r="W455" i="6"/>
  <c r="W454" i="6"/>
  <c r="W453" i="6"/>
  <c r="W452" i="6"/>
  <c r="W451" i="6"/>
  <c r="W450" i="6"/>
  <c r="W449" i="6"/>
  <c r="W448" i="6"/>
  <c r="W447" i="6"/>
  <c r="W446" i="6"/>
  <c r="U496" i="6"/>
  <c r="U495" i="6"/>
  <c r="U494" i="6"/>
  <c r="U493" i="6"/>
  <c r="U492" i="6"/>
  <c r="U491" i="6"/>
  <c r="U490" i="6"/>
  <c r="U489" i="6"/>
  <c r="U480" i="6"/>
  <c r="U479" i="6"/>
  <c r="U478" i="6"/>
  <c r="U477" i="6"/>
  <c r="U476" i="6"/>
  <c r="U475" i="6"/>
  <c r="U474" i="6"/>
  <c r="U473" i="6"/>
  <c r="U472" i="6"/>
  <c r="U471" i="6"/>
  <c r="U470" i="6"/>
  <c r="U469" i="6"/>
  <c r="U468" i="6"/>
  <c r="U467" i="6"/>
  <c r="U466" i="6"/>
  <c r="U465" i="6"/>
  <c r="U464" i="6"/>
  <c r="U463" i="6"/>
  <c r="U462" i="6"/>
  <c r="U461" i="6"/>
  <c r="U460" i="6"/>
  <c r="U459" i="6"/>
  <c r="U458" i="6"/>
  <c r="U457" i="6"/>
  <c r="U456" i="6"/>
  <c r="U455" i="6"/>
  <c r="U454" i="6"/>
  <c r="U453" i="6"/>
  <c r="U452" i="6"/>
  <c r="U451" i="6"/>
  <c r="U450" i="6"/>
  <c r="U449" i="6"/>
  <c r="U448" i="6"/>
  <c r="U447" i="6"/>
  <c r="U446" i="6"/>
  <c r="S496" i="6"/>
  <c r="S495" i="6"/>
  <c r="S494" i="6"/>
  <c r="S493" i="6"/>
  <c r="S492" i="6"/>
  <c r="S491" i="6"/>
  <c r="S490" i="6"/>
  <c r="S489" i="6"/>
  <c r="S480" i="6"/>
  <c r="S479" i="6"/>
  <c r="S478" i="6"/>
  <c r="S477" i="6"/>
  <c r="S476" i="6"/>
  <c r="S475" i="6"/>
  <c r="S474" i="6"/>
  <c r="S473" i="6"/>
  <c r="S472" i="6"/>
  <c r="S471" i="6"/>
  <c r="S470" i="6"/>
  <c r="S469" i="6"/>
  <c r="S468" i="6"/>
  <c r="S467" i="6"/>
  <c r="S466" i="6"/>
  <c r="S465" i="6"/>
  <c r="S464" i="6"/>
  <c r="S463" i="6"/>
  <c r="S462" i="6"/>
  <c r="S461" i="6"/>
  <c r="S460" i="6"/>
  <c r="S459" i="6"/>
  <c r="S458" i="6"/>
  <c r="S457" i="6"/>
  <c r="S456" i="6"/>
  <c r="S455" i="6"/>
  <c r="S454" i="6"/>
  <c r="S453" i="6"/>
  <c r="S452" i="6"/>
  <c r="S451" i="6"/>
  <c r="S450" i="6"/>
  <c r="S449" i="6"/>
  <c r="S448" i="6"/>
  <c r="S447" i="6"/>
  <c r="S446" i="6"/>
  <c r="Q496" i="6"/>
  <c r="Q495" i="6"/>
  <c r="Q494" i="6"/>
  <c r="Q493" i="6"/>
  <c r="Q492" i="6"/>
  <c r="Q491" i="6"/>
  <c r="Q490" i="6"/>
  <c r="Q489" i="6"/>
  <c r="Q480" i="6"/>
  <c r="Q479" i="6"/>
  <c r="Q478" i="6"/>
  <c r="Q477" i="6"/>
  <c r="Q476" i="6"/>
  <c r="Q475" i="6"/>
  <c r="Q474" i="6"/>
  <c r="Q473" i="6"/>
  <c r="Q472" i="6"/>
  <c r="Q471" i="6"/>
  <c r="Q470" i="6"/>
  <c r="Q469" i="6"/>
  <c r="Q468" i="6"/>
  <c r="Q467" i="6"/>
  <c r="Q466" i="6"/>
  <c r="Q465" i="6"/>
  <c r="Q464" i="6"/>
  <c r="Q463" i="6"/>
  <c r="Q462" i="6"/>
  <c r="Q461" i="6"/>
  <c r="Q460" i="6"/>
  <c r="Q459" i="6"/>
  <c r="Q458" i="6"/>
  <c r="Q457" i="6"/>
  <c r="Q456" i="6"/>
  <c r="Q455" i="6"/>
  <c r="Q454" i="6"/>
  <c r="Q453" i="6"/>
  <c r="Q452" i="6"/>
  <c r="Q451" i="6"/>
  <c r="Q450" i="6"/>
  <c r="Q449" i="6"/>
  <c r="Q448" i="6"/>
  <c r="Q447" i="6"/>
  <c r="Q446" i="6"/>
  <c r="O496" i="6"/>
  <c r="O495" i="6"/>
  <c r="O494" i="6"/>
  <c r="O493" i="6"/>
  <c r="O492" i="6"/>
  <c r="O491" i="6"/>
  <c r="O490" i="6"/>
  <c r="O489" i="6"/>
  <c r="O480" i="6"/>
  <c r="O479" i="6"/>
  <c r="O478" i="6"/>
  <c r="O477" i="6"/>
  <c r="O476" i="6"/>
  <c r="O475" i="6"/>
  <c r="O474" i="6"/>
  <c r="O473" i="6"/>
  <c r="O472" i="6"/>
  <c r="O471" i="6"/>
  <c r="O470" i="6"/>
  <c r="O469" i="6"/>
  <c r="O468" i="6"/>
  <c r="O467" i="6"/>
  <c r="O466" i="6"/>
  <c r="O465" i="6"/>
  <c r="O464" i="6"/>
  <c r="O463" i="6"/>
  <c r="O462" i="6"/>
  <c r="O461" i="6"/>
  <c r="O460" i="6"/>
  <c r="O459" i="6"/>
  <c r="O458" i="6"/>
  <c r="O457" i="6"/>
  <c r="O456" i="6"/>
  <c r="O455" i="6"/>
  <c r="O454" i="6"/>
  <c r="O453" i="6"/>
  <c r="O452" i="6"/>
  <c r="O451" i="6"/>
  <c r="O450" i="6"/>
  <c r="O449" i="6"/>
  <c r="O448" i="6"/>
  <c r="O447" i="6"/>
  <c r="O446" i="6"/>
  <c r="M496" i="6"/>
  <c r="M495" i="6"/>
  <c r="M494" i="6"/>
  <c r="M493" i="6"/>
  <c r="M492" i="6"/>
  <c r="M491" i="6"/>
  <c r="M490" i="6"/>
  <c r="M489" i="6"/>
  <c r="M480" i="6"/>
  <c r="M479" i="6"/>
  <c r="M478" i="6"/>
  <c r="M477" i="6"/>
  <c r="M476" i="6"/>
  <c r="M475" i="6"/>
  <c r="M474" i="6"/>
  <c r="M473" i="6"/>
  <c r="M472" i="6"/>
  <c r="M471" i="6"/>
  <c r="M470" i="6"/>
  <c r="M469" i="6"/>
  <c r="M468" i="6"/>
  <c r="M467" i="6"/>
  <c r="M466" i="6"/>
  <c r="M465" i="6"/>
  <c r="M464" i="6"/>
  <c r="M463" i="6"/>
  <c r="M462" i="6"/>
  <c r="M461" i="6"/>
  <c r="M460" i="6"/>
  <c r="M459" i="6"/>
  <c r="M458" i="6"/>
  <c r="M457" i="6"/>
  <c r="M456" i="6"/>
  <c r="M455" i="6"/>
  <c r="M454" i="6"/>
  <c r="M453" i="6"/>
  <c r="M452" i="6"/>
  <c r="M451" i="6"/>
  <c r="M450" i="6"/>
  <c r="M449" i="6"/>
  <c r="M448" i="6"/>
  <c r="M447" i="6"/>
  <c r="M446" i="6"/>
  <c r="K496" i="6"/>
  <c r="K495" i="6"/>
  <c r="K494" i="6"/>
  <c r="K493" i="6"/>
  <c r="K492" i="6"/>
  <c r="K491" i="6"/>
  <c r="K490" i="6"/>
  <c r="K489" i="6"/>
  <c r="K480" i="6"/>
  <c r="K479" i="6"/>
  <c r="K478" i="6"/>
  <c r="K477" i="6"/>
  <c r="K476" i="6"/>
  <c r="K475" i="6"/>
  <c r="K474" i="6"/>
  <c r="K473" i="6"/>
  <c r="K472" i="6"/>
  <c r="K471" i="6"/>
  <c r="K470" i="6"/>
  <c r="K469" i="6"/>
  <c r="K468" i="6"/>
  <c r="K467" i="6"/>
  <c r="K466" i="6"/>
  <c r="K465" i="6"/>
  <c r="K464" i="6"/>
  <c r="K463" i="6"/>
  <c r="K462" i="6"/>
  <c r="K461" i="6"/>
  <c r="K460" i="6"/>
  <c r="K459" i="6"/>
  <c r="K458" i="6"/>
  <c r="K457" i="6"/>
  <c r="K456" i="6"/>
  <c r="K455" i="6"/>
  <c r="K454" i="6"/>
  <c r="K453" i="6"/>
  <c r="K452" i="6"/>
  <c r="K451" i="6"/>
  <c r="K450" i="6"/>
  <c r="K449" i="6"/>
  <c r="K448" i="6"/>
  <c r="K447" i="6"/>
  <c r="K446" i="6"/>
  <c r="I496" i="6"/>
  <c r="I495" i="6"/>
  <c r="I494" i="6"/>
  <c r="I493" i="6"/>
  <c r="I492" i="6"/>
  <c r="I491" i="6"/>
  <c r="I490" i="6"/>
  <c r="I489" i="6"/>
  <c r="I480" i="6"/>
  <c r="I479" i="6"/>
  <c r="I478" i="6"/>
  <c r="I477" i="6"/>
  <c r="I476" i="6"/>
  <c r="I475" i="6"/>
  <c r="I474" i="6"/>
  <c r="I473" i="6"/>
  <c r="I472" i="6"/>
  <c r="I471" i="6"/>
  <c r="I470" i="6"/>
  <c r="I469" i="6"/>
  <c r="I468" i="6"/>
  <c r="I467" i="6"/>
  <c r="I466" i="6"/>
  <c r="I465" i="6"/>
  <c r="I464" i="6"/>
  <c r="I463" i="6"/>
  <c r="I462" i="6"/>
  <c r="I461" i="6"/>
  <c r="I460" i="6"/>
  <c r="I459" i="6"/>
  <c r="I458" i="6"/>
  <c r="I457" i="6"/>
  <c r="I456" i="6"/>
  <c r="I455" i="6"/>
  <c r="I454" i="6"/>
  <c r="I453" i="6"/>
  <c r="I452" i="6"/>
  <c r="I451" i="6"/>
  <c r="I450" i="6"/>
  <c r="I449" i="6"/>
  <c r="I448" i="6"/>
  <c r="I447" i="6"/>
  <c r="I446" i="6"/>
  <c r="G496" i="6"/>
  <c r="G495" i="6"/>
  <c r="G494" i="6"/>
  <c r="G493" i="6"/>
  <c r="G492" i="6"/>
  <c r="G491" i="6"/>
  <c r="G490" i="6"/>
  <c r="G489" i="6"/>
  <c r="G480" i="6"/>
  <c r="G479" i="6"/>
  <c r="G478" i="6"/>
  <c r="G477" i="6"/>
  <c r="G476" i="6"/>
  <c r="G475" i="6"/>
  <c r="G474" i="6"/>
  <c r="G473" i="6"/>
  <c r="G472" i="6"/>
  <c r="G471" i="6"/>
  <c r="G470" i="6"/>
  <c r="G469" i="6"/>
  <c r="G468" i="6"/>
  <c r="G467" i="6"/>
  <c r="G466" i="6"/>
  <c r="G465" i="6"/>
  <c r="G464" i="6"/>
  <c r="G463" i="6"/>
  <c r="G462" i="6"/>
  <c r="G461" i="6"/>
  <c r="G460" i="6"/>
  <c r="G459" i="6"/>
  <c r="G458" i="6"/>
  <c r="G457" i="6"/>
  <c r="G456" i="6"/>
  <c r="G455" i="6"/>
  <c r="G454" i="6"/>
  <c r="G453" i="6"/>
  <c r="G452" i="6"/>
  <c r="G451" i="6"/>
  <c r="G450" i="6"/>
  <c r="G449" i="6"/>
  <c r="G448" i="6"/>
  <c r="G447" i="6"/>
  <c r="G446" i="6"/>
  <c r="E496" i="6"/>
  <c r="E495" i="6"/>
  <c r="E494" i="6"/>
  <c r="E493" i="6"/>
  <c r="E492" i="6"/>
  <c r="E491" i="6"/>
  <c r="E490" i="6"/>
  <c r="E489" i="6"/>
  <c r="E480" i="6"/>
  <c r="E479" i="6"/>
  <c r="E478" i="6"/>
  <c r="E477" i="6"/>
  <c r="E476" i="6"/>
  <c r="E475" i="6"/>
  <c r="E474" i="6"/>
  <c r="E473" i="6"/>
  <c r="E472" i="6"/>
  <c r="E471" i="6"/>
  <c r="E470" i="6"/>
  <c r="E469" i="6"/>
  <c r="E468" i="6"/>
  <c r="E467" i="6"/>
  <c r="E466" i="6"/>
  <c r="E465" i="6"/>
  <c r="E464" i="6"/>
  <c r="E463" i="6"/>
  <c r="E462" i="6"/>
  <c r="E461" i="6"/>
  <c r="E460" i="6"/>
  <c r="E459" i="6"/>
  <c r="E458" i="6"/>
  <c r="E457" i="6"/>
  <c r="E456" i="6"/>
  <c r="E455" i="6"/>
  <c r="E454" i="6"/>
  <c r="E453" i="6"/>
  <c r="E452" i="6"/>
  <c r="E451" i="6"/>
  <c r="E450" i="6"/>
  <c r="E449" i="6"/>
  <c r="E448" i="6"/>
  <c r="E447" i="6"/>
  <c r="E446" i="6"/>
  <c r="HD8" i="7"/>
  <c r="HD9" i="7"/>
  <c r="HD10" i="7"/>
  <c r="HD11" i="7"/>
  <c r="HD12" i="7"/>
  <c r="HD13" i="7"/>
  <c r="HD14" i="7"/>
  <c r="HD15" i="7"/>
  <c r="HD16" i="7"/>
  <c r="HD17" i="7"/>
  <c r="HD18" i="7"/>
  <c r="HD19" i="7"/>
  <c r="HD20" i="7"/>
  <c r="HD21" i="7"/>
  <c r="HD22" i="7"/>
  <c r="HD23" i="7"/>
  <c r="HD24" i="7"/>
  <c r="HD25" i="7"/>
  <c r="HD26" i="7"/>
  <c r="HD27" i="7"/>
  <c r="HD28" i="7"/>
  <c r="HD29" i="7"/>
  <c r="HD30" i="7"/>
  <c r="HD31" i="7"/>
  <c r="HD32" i="7"/>
  <c r="HD33" i="7"/>
  <c r="HD34" i="7"/>
  <c r="HD35" i="7"/>
  <c r="HD36" i="7"/>
  <c r="HD37" i="7"/>
  <c r="HD38" i="7"/>
  <c r="HD39" i="7"/>
  <c r="HD40" i="7"/>
  <c r="HD41" i="7"/>
  <c r="HD42" i="7"/>
  <c r="HD50" i="7"/>
  <c r="HD51" i="7"/>
  <c r="HD52" i="7"/>
  <c r="HD53" i="7"/>
  <c r="HD54" i="7"/>
  <c r="HD55" i="7"/>
  <c r="HD56" i="7"/>
  <c r="HD57" i="7"/>
  <c r="A477" i="6"/>
  <c r="A478" i="6"/>
  <c r="A479" i="6"/>
  <c r="A480" i="6"/>
  <c r="A489" i="6"/>
  <c r="A490" i="6"/>
  <c r="A491" i="6"/>
  <c r="A492" i="6"/>
  <c r="A493" i="6"/>
  <c r="A494" i="6"/>
  <c r="A495" i="6"/>
  <c r="A496" i="6"/>
  <c r="HB57" i="7"/>
  <c r="AE407" i="6"/>
  <c r="AE406" i="6"/>
  <c r="AE405" i="6"/>
  <c r="AE404" i="6"/>
  <c r="AE403" i="6"/>
  <c r="AE402" i="6"/>
  <c r="AE392" i="6"/>
  <c r="AE391" i="6"/>
  <c r="AE390" i="6"/>
  <c r="AE389" i="6"/>
  <c r="AE388" i="6"/>
  <c r="AE387" i="6"/>
  <c r="AE386" i="6"/>
  <c r="AE385" i="6"/>
  <c r="AE384" i="6"/>
  <c r="AE383" i="6"/>
  <c r="AE382" i="6"/>
  <c r="AE381" i="6"/>
  <c r="AE380" i="6"/>
  <c r="AE379" i="6"/>
  <c r="AE378" i="6"/>
  <c r="AE377" i="6"/>
  <c r="AE376" i="6"/>
  <c r="AE375" i="6"/>
  <c r="AE374" i="6"/>
  <c r="AE373" i="6"/>
  <c r="AE372" i="6"/>
  <c r="AE371" i="6"/>
  <c r="AE370" i="6"/>
  <c r="AE369" i="6"/>
  <c r="AE368" i="6"/>
  <c r="AE367" i="6"/>
  <c r="AE366" i="6"/>
  <c r="AE365" i="6"/>
  <c r="AE364" i="6"/>
  <c r="AE363" i="6"/>
  <c r="AE362" i="6"/>
  <c r="AE361" i="6"/>
  <c r="AE360" i="6"/>
  <c r="AE359" i="6"/>
  <c r="AE358" i="6"/>
  <c r="HA57" i="7"/>
  <c r="AC407" i="6"/>
  <c r="AC406" i="6"/>
  <c r="AC405" i="6"/>
  <c r="AC404" i="6"/>
  <c r="AC403" i="6"/>
  <c r="AC402" i="6"/>
  <c r="HA50" i="7"/>
  <c r="HA42" i="7"/>
  <c r="AC392" i="6"/>
  <c r="AC391" i="6"/>
  <c r="AC390" i="6"/>
  <c r="AC389" i="6"/>
  <c r="AC388" i="6"/>
  <c r="AC387" i="6"/>
  <c r="AC386" i="6"/>
  <c r="AC385" i="6"/>
  <c r="AC384" i="6"/>
  <c r="AC383" i="6"/>
  <c r="AC382" i="6"/>
  <c r="AC381" i="6"/>
  <c r="AC380" i="6"/>
  <c r="AC379" i="6"/>
  <c r="AC378" i="6"/>
  <c r="AC377" i="6"/>
  <c r="AC376" i="6"/>
  <c r="AC375" i="6"/>
  <c r="AC374" i="6"/>
  <c r="AC373" i="6"/>
  <c r="AC372" i="6"/>
  <c r="AC371" i="6"/>
  <c r="AC370" i="6"/>
  <c r="AC369" i="6"/>
  <c r="AC368" i="6"/>
  <c r="AC367" i="6"/>
  <c r="AC366" i="6"/>
  <c r="AC365" i="6"/>
  <c r="AC364" i="6"/>
  <c r="AC363" i="6"/>
  <c r="AC362" i="6"/>
  <c r="AC361" i="6"/>
  <c r="AC360" i="6"/>
  <c r="AC359" i="6"/>
  <c r="AC358" i="6"/>
  <c r="GZ57" i="7"/>
  <c r="AA407" i="6"/>
  <c r="AA406" i="6"/>
  <c r="AA405" i="6"/>
  <c r="AA404" i="6"/>
  <c r="AA403" i="6"/>
  <c r="AA402" i="6"/>
  <c r="GZ42" i="7"/>
  <c r="AA392" i="6"/>
  <c r="AA391" i="6"/>
  <c r="AA390" i="6"/>
  <c r="AA389" i="6"/>
  <c r="AA388" i="6"/>
  <c r="AA387" i="6"/>
  <c r="AA386" i="6"/>
  <c r="AA385" i="6"/>
  <c r="AA384" i="6"/>
  <c r="AA383" i="6"/>
  <c r="AA382" i="6"/>
  <c r="AA381" i="6"/>
  <c r="AA380" i="6"/>
  <c r="AA379" i="6"/>
  <c r="AA378" i="6"/>
  <c r="AA377" i="6"/>
  <c r="AA376" i="6"/>
  <c r="AA375" i="6"/>
  <c r="AA374" i="6"/>
  <c r="AA373" i="6"/>
  <c r="AA372" i="6"/>
  <c r="AA371" i="6"/>
  <c r="AA370" i="6"/>
  <c r="AA369" i="6"/>
  <c r="AA368" i="6"/>
  <c r="AA367" i="6"/>
  <c r="AA366" i="6"/>
  <c r="AA365" i="6"/>
  <c r="AA364" i="6"/>
  <c r="AA363" i="6"/>
  <c r="AA362" i="6"/>
  <c r="AA361" i="6"/>
  <c r="AA360" i="6"/>
  <c r="AA359" i="6"/>
  <c r="AA358" i="6"/>
  <c r="GY57" i="7"/>
  <c r="Y407" i="6"/>
  <c r="Y406" i="6"/>
  <c r="Y405" i="6"/>
  <c r="Y404" i="6"/>
  <c r="Y403" i="6"/>
  <c r="Y402" i="6"/>
  <c r="GY50" i="7"/>
  <c r="GY42" i="7"/>
  <c r="Y392" i="6"/>
  <c r="Y391" i="6"/>
  <c r="Y390" i="6"/>
  <c r="Y389" i="6"/>
  <c r="Y388" i="6"/>
  <c r="Y387" i="6"/>
  <c r="Y386" i="6"/>
  <c r="Y385" i="6"/>
  <c r="Y384" i="6"/>
  <c r="Y383" i="6"/>
  <c r="Y382" i="6"/>
  <c r="Y381" i="6"/>
  <c r="Y380" i="6"/>
  <c r="Y379" i="6"/>
  <c r="Y378" i="6"/>
  <c r="Y377" i="6"/>
  <c r="Y376" i="6"/>
  <c r="Y375" i="6"/>
  <c r="Y374" i="6"/>
  <c r="Y373" i="6"/>
  <c r="Y372" i="6"/>
  <c r="Y371" i="6"/>
  <c r="Y370" i="6"/>
  <c r="Y369" i="6"/>
  <c r="Y368" i="6"/>
  <c r="Y367" i="6"/>
  <c r="Y366" i="6"/>
  <c r="Y365" i="6"/>
  <c r="Y364" i="6"/>
  <c r="Y363" i="6"/>
  <c r="Y362" i="6"/>
  <c r="Y361" i="6"/>
  <c r="Y360" i="6"/>
  <c r="Y359" i="6"/>
  <c r="Y358" i="6"/>
  <c r="GX57" i="7"/>
  <c r="W407" i="6"/>
  <c r="W406" i="6"/>
  <c r="W405" i="6"/>
  <c r="W404" i="6"/>
  <c r="W403" i="6"/>
  <c r="W402" i="6"/>
  <c r="GX50" i="7"/>
  <c r="GX42" i="7"/>
  <c r="W392" i="6"/>
  <c r="W391" i="6"/>
  <c r="W390" i="6"/>
  <c r="W389" i="6"/>
  <c r="W388" i="6"/>
  <c r="W387" i="6"/>
  <c r="W386" i="6"/>
  <c r="W385" i="6"/>
  <c r="W384" i="6"/>
  <c r="W383" i="6"/>
  <c r="W382" i="6"/>
  <c r="W381" i="6"/>
  <c r="W380" i="6"/>
  <c r="W379" i="6"/>
  <c r="W378" i="6"/>
  <c r="W377" i="6"/>
  <c r="W376" i="6"/>
  <c r="W375" i="6"/>
  <c r="W374" i="6"/>
  <c r="W373" i="6"/>
  <c r="W372" i="6"/>
  <c r="W371" i="6"/>
  <c r="W370" i="6"/>
  <c r="W369" i="6"/>
  <c r="GW57" i="7"/>
  <c r="U407" i="6"/>
  <c r="U406" i="6"/>
  <c r="U405" i="6"/>
  <c r="U404" i="6"/>
  <c r="U403" i="6"/>
  <c r="U402" i="6"/>
  <c r="GW42" i="7"/>
  <c r="U392" i="6"/>
  <c r="U391" i="6"/>
  <c r="U390" i="6"/>
  <c r="U389" i="6"/>
  <c r="U388" i="6"/>
  <c r="U387" i="6"/>
  <c r="U386" i="6"/>
  <c r="U385" i="6"/>
  <c r="U384" i="6"/>
  <c r="U383" i="6"/>
  <c r="U382" i="6"/>
  <c r="U381" i="6"/>
  <c r="U380" i="6"/>
  <c r="U379" i="6"/>
  <c r="U378" i="6"/>
  <c r="U377" i="6"/>
  <c r="U376" i="6"/>
  <c r="U375" i="6"/>
  <c r="U374" i="6"/>
  <c r="U373" i="6"/>
  <c r="U372" i="6"/>
  <c r="U371" i="6"/>
  <c r="U370" i="6"/>
  <c r="U369" i="6"/>
  <c r="U368" i="6"/>
  <c r="U367" i="6"/>
  <c r="U366" i="6"/>
  <c r="U365" i="6"/>
  <c r="U364" i="6"/>
  <c r="U363" i="6"/>
  <c r="U362" i="6"/>
  <c r="U361" i="6"/>
  <c r="U360" i="6"/>
  <c r="U359" i="6"/>
  <c r="U358" i="6"/>
  <c r="GV57" i="7"/>
  <c r="S407" i="6"/>
  <c r="S406" i="6"/>
  <c r="S405" i="6"/>
  <c r="S404" i="6"/>
  <c r="S403" i="6"/>
  <c r="S402" i="6"/>
  <c r="GV42" i="7"/>
  <c r="S392" i="6"/>
  <c r="S391" i="6"/>
  <c r="S390" i="6"/>
  <c r="S389" i="6"/>
  <c r="S388" i="6"/>
  <c r="S387" i="6"/>
  <c r="S386" i="6"/>
  <c r="S385" i="6"/>
  <c r="S384" i="6"/>
  <c r="S383" i="6"/>
  <c r="S382" i="6"/>
  <c r="S381" i="6"/>
  <c r="S380" i="6"/>
  <c r="S379" i="6"/>
  <c r="S378" i="6"/>
  <c r="S377" i="6"/>
  <c r="S376" i="6"/>
  <c r="S375" i="6"/>
  <c r="S374" i="6"/>
  <c r="S373" i="6"/>
  <c r="S372" i="6"/>
  <c r="S371" i="6"/>
  <c r="S370" i="6"/>
  <c r="S369" i="6"/>
  <c r="S368" i="6"/>
  <c r="S367" i="6"/>
  <c r="S366" i="6"/>
  <c r="S365" i="6"/>
  <c r="S364" i="6"/>
  <c r="S363" i="6"/>
  <c r="S362" i="6"/>
  <c r="S361" i="6"/>
  <c r="S360" i="6"/>
  <c r="S359" i="6"/>
  <c r="S358" i="6"/>
  <c r="GU57" i="7"/>
  <c r="Q407" i="6"/>
  <c r="Q406" i="6"/>
  <c r="Q405" i="6"/>
  <c r="Q404" i="6"/>
  <c r="Q403" i="6"/>
  <c r="Q402" i="6"/>
  <c r="GU42" i="7"/>
  <c r="Q392" i="6"/>
  <c r="Q391" i="6"/>
  <c r="Q390" i="6"/>
  <c r="Q389" i="6"/>
  <c r="Q388" i="6"/>
  <c r="Q386" i="6"/>
  <c r="Q385" i="6"/>
  <c r="Q384" i="6"/>
  <c r="Q383" i="6"/>
  <c r="Q382" i="6"/>
  <c r="Q381" i="6"/>
  <c r="Q380" i="6"/>
  <c r="Q379" i="6"/>
  <c r="Q378" i="6"/>
  <c r="Q377" i="6"/>
  <c r="Q376" i="6"/>
  <c r="Q375" i="6"/>
  <c r="Q374" i="6"/>
  <c r="Q373" i="6"/>
  <c r="Q372" i="6"/>
  <c r="Q371" i="6"/>
  <c r="Q370" i="6"/>
  <c r="Q369" i="6"/>
  <c r="Q368" i="6"/>
  <c r="Q367" i="6"/>
  <c r="Q366" i="6"/>
  <c r="Q365" i="6"/>
  <c r="Q364" i="6"/>
  <c r="Q363" i="6"/>
  <c r="Q362" i="6"/>
  <c r="Q361" i="6"/>
  <c r="Q360" i="6"/>
  <c r="Q359" i="6"/>
  <c r="Q358" i="6"/>
  <c r="GT57" i="7"/>
  <c r="O407" i="6"/>
  <c r="O406" i="6"/>
  <c r="O405" i="6"/>
  <c r="O404" i="6"/>
  <c r="O403" i="6"/>
  <c r="O402" i="6"/>
  <c r="GT42" i="7"/>
  <c r="O392" i="6"/>
  <c r="O391" i="6"/>
  <c r="O390" i="6"/>
  <c r="O389" i="6"/>
  <c r="O388" i="6"/>
  <c r="O387" i="6"/>
  <c r="O386" i="6"/>
  <c r="O385" i="6"/>
  <c r="O384" i="6"/>
  <c r="O383" i="6"/>
  <c r="O382" i="6"/>
  <c r="O381" i="6"/>
  <c r="O380" i="6"/>
  <c r="O379" i="6"/>
  <c r="O378" i="6"/>
  <c r="O377" i="6"/>
  <c r="O376" i="6"/>
  <c r="O375" i="6"/>
  <c r="O374" i="6"/>
  <c r="O373" i="6"/>
  <c r="O372" i="6"/>
  <c r="O371" i="6"/>
  <c r="O370" i="6"/>
  <c r="O369" i="6"/>
  <c r="O368" i="6"/>
  <c r="O367" i="6"/>
  <c r="O366" i="6"/>
  <c r="O365" i="6"/>
  <c r="O364" i="6"/>
  <c r="O363" i="6"/>
  <c r="O362" i="6"/>
  <c r="O361" i="6"/>
  <c r="O360" i="6"/>
  <c r="O359" i="6"/>
  <c r="O358" i="6"/>
  <c r="GS57" i="7"/>
  <c r="M407" i="6"/>
  <c r="M406" i="6"/>
  <c r="M405" i="6"/>
  <c r="M404" i="6"/>
  <c r="M403" i="6"/>
  <c r="M402" i="6"/>
  <c r="GS50" i="7"/>
  <c r="GS48" i="7"/>
  <c r="GS42" i="7"/>
  <c r="M392" i="6"/>
  <c r="M391" i="6"/>
  <c r="M390" i="6"/>
  <c r="M389" i="6"/>
  <c r="M388" i="6"/>
  <c r="M387" i="6"/>
  <c r="M386" i="6"/>
  <c r="M385" i="6"/>
  <c r="M384" i="6"/>
  <c r="M383" i="6"/>
  <c r="M382" i="6"/>
  <c r="M381" i="6"/>
  <c r="M380" i="6"/>
  <c r="M379" i="6"/>
  <c r="M378" i="6"/>
  <c r="M377" i="6"/>
  <c r="M376" i="6"/>
  <c r="M375" i="6"/>
  <c r="M374" i="6"/>
  <c r="M373" i="6"/>
  <c r="M372" i="6"/>
  <c r="M371" i="6"/>
  <c r="M370" i="6"/>
  <c r="M369" i="6"/>
  <c r="M368" i="6"/>
  <c r="M367" i="6"/>
  <c r="M366" i="6"/>
  <c r="M365" i="6"/>
  <c r="M364" i="6"/>
  <c r="M363" i="6"/>
  <c r="M362" i="6"/>
  <c r="M361" i="6"/>
  <c r="M360" i="6"/>
  <c r="M359" i="6"/>
  <c r="M358" i="6"/>
  <c r="GR57" i="7"/>
  <c r="K407" i="6"/>
  <c r="K406" i="6"/>
  <c r="K405" i="6"/>
  <c r="K404" i="6"/>
  <c r="K403" i="6"/>
  <c r="K402" i="6"/>
  <c r="GR50" i="7"/>
  <c r="GR42" i="7"/>
  <c r="K392" i="6"/>
  <c r="K391" i="6"/>
  <c r="K390" i="6"/>
  <c r="K389" i="6"/>
  <c r="K388" i="6"/>
  <c r="K387" i="6"/>
  <c r="K386" i="6"/>
  <c r="K385" i="6"/>
  <c r="K384" i="6"/>
  <c r="K383" i="6"/>
  <c r="K382" i="6"/>
  <c r="K381" i="6"/>
  <c r="K380" i="6"/>
  <c r="K379" i="6"/>
  <c r="K378" i="6"/>
  <c r="K377" i="6"/>
  <c r="K376" i="6"/>
  <c r="K375" i="6"/>
  <c r="K374" i="6"/>
  <c r="K373" i="6"/>
  <c r="K372" i="6"/>
  <c r="K371" i="6"/>
  <c r="K370" i="6"/>
  <c r="K369" i="6"/>
  <c r="K368" i="6"/>
  <c r="K367" i="6"/>
  <c r="K366" i="6"/>
  <c r="K365" i="6"/>
  <c r="K364" i="6"/>
  <c r="K363" i="6"/>
  <c r="K362" i="6"/>
  <c r="K361" i="6"/>
  <c r="K360" i="6"/>
  <c r="K359" i="6"/>
  <c r="K358" i="6"/>
  <c r="GQ57" i="7"/>
  <c r="I407" i="6"/>
  <c r="I406" i="6"/>
  <c r="I405" i="6"/>
  <c r="I404" i="6"/>
  <c r="I403" i="6"/>
  <c r="I402" i="6"/>
  <c r="GQ50" i="7"/>
  <c r="GQ42" i="7"/>
  <c r="I392" i="6"/>
  <c r="I391" i="6"/>
  <c r="I390" i="6"/>
  <c r="I389" i="6"/>
  <c r="I388" i="6"/>
  <c r="I387" i="6"/>
  <c r="I386" i="6"/>
  <c r="I385" i="6"/>
  <c r="I384" i="6"/>
  <c r="I383" i="6"/>
  <c r="I382" i="6"/>
  <c r="I381" i="6"/>
  <c r="I380" i="6"/>
  <c r="I379" i="6"/>
  <c r="I378" i="6"/>
  <c r="I377" i="6"/>
  <c r="I376" i="6"/>
  <c r="I375" i="6"/>
  <c r="I374" i="6"/>
  <c r="I373" i="6"/>
  <c r="I372" i="6"/>
  <c r="I371" i="6"/>
  <c r="I370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GP57" i="7"/>
  <c r="G407" i="6"/>
  <c r="G406" i="6"/>
  <c r="G405" i="6"/>
  <c r="G404" i="6"/>
  <c r="G403" i="6"/>
  <c r="G402" i="6"/>
  <c r="GP50" i="7"/>
  <c r="GP42" i="7"/>
  <c r="G392" i="6"/>
  <c r="G391" i="6"/>
  <c r="G390" i="6"/>
  <c r="G389" i="6"/>
  <c r="G388" i="6"/>
  <c r="G387" i="6"/>
  <c r="G386" i="6"/>
  <c r="G385" i="6"/>
  <c r="G384" i="6"/>
  <c r="G383" i="6"/>
  <c r="G382" i="6"/>
  <c r="G381" i="6"/>
  <c r="G380" i="6"/>
  <c r="G379" i="6"/>
  <c r="G378" i="6"/>
  <c r="G377" i="6"/>
  <c r="G376" i="6"/>
  <c r="G375" i="6"/>
  <c r="G374" i="6"/>
  <c r="G373" i="6"/>
  <c r="G372" i="6"/>
  <c r="G371" i="6"/>
  <c r="G370" i="6"/>
  <c r="G369" i="6"/>
  <c r="G368" i="6"/>
  <c r="G367" i="6"/>
  <c r="G366" i="6"/>
  <c r="G365" i="6"/>
  <c r="G364" i="6"/>
  <c r="G363" i="6"/>
  <c r="G362" i="6"/>
  <c r="G361" i="6"/>
  <c r="G360" i="6"/>
  <c r="G359" i="6"/>
  <c r="G358" i="6"/>
  <c r="E408" i="6"/>
  <c r="E407" i="6"/>
  <c r="E406" i="6"/>
  <c r="E405" i="6"/>
  <c r="E404" i="6"/>
  <c r="E403" i="6"/>
  <c r="E402" i="6"/>
  <c r="GO42" i="7"/>
  <c r="E392" i="6"/>
  <c r="E391" i="6"/>
  <c r="E390" i="6"/>
  <c r="E389" i="6"/>
  <c r="E388" i="6"/>
  <c r="E387" i="6"/>
  <c r="E386" i="6"/>
  <c r="E385" i="6"/>
  <c r="E384" i="6"/>
  <c r="E383" i="6"/>
  <c r="E382" i="6"/>
  <c r="E381" i="6"/>
  <c r="E380" i="6"/>
  <c r="E379" i="6"/>
  <c r="E378" i="6"/>
  <c r="E377" i="6"/>
  <c r="E376" i="6"/>
  <c r="E375" i="6"/>
  <c r="E374" i="6"/>
  <c r="E373" i="6"/>
  <c r="E372" i="6"/>
  <c r="E371" i="6"/>
  <c r="E370" i="6"/>
  <c r="E369" i="6"/>
  <c r="E368" i="6"/>
  <c r="E367" i="6"/>
  <c r="E366" i="6"/>
  <c r="E365" i="6"/>
  <c r="E364" i="6"/>
  <c r="E363" i="6"/>
  <c r="E362" i="6"/>
  <c r="E361" i="6"/>
  <c r="E360" i="6"/>
  <c r="E359" i="6"/>
  <c r="E358" i="6"/>
  <c r="C407" i="6"/>
  <c r="C40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GN48" i="7"/>
  <c r="GN50" i="7"/>
  <c r="C402" i="6"/>
  <c r="C403" i="6"/>
  <c r="C404" i="6"/>
  <c r="C405" i="6"/>
  <c r="C406" i="6"/>
  <c r="A392" i="6"/>
  <c r="A401" i="6"/>
  <c r="A402" i="6"/>
  <c r="A403" i="6"/>
  <c r="A404" i="6"/>
  <c r="A405" i="6"/>
  <c r="A406" i="6"/>
  <c r="A407" i="6"/>
  <c r="A408" i="6"/>
  <c r="C358" i="6"/>
  <c r="AE320" i="6"/>
  <c r="AE319" i="6"/>
  <c r="AE318" i="6"/>
  <c r="AE317" i="6"/>
  <c r="AE316" i="6"/>
  <c r="AE315" i="6"/>
  <c r="AE314" i="6"/>
  <c r="AE313" i="6"/>
  <c r="AE311" i="6"/>
  <c r="GL42" i="7"/>
  <c r="AE304" i="6"/>
  <c r="AE303" i="6"/>
  <c r="AE302" i="6"/>
  <c r="AE301" i="6"/>
  <c r="AE300" i="6"/>
  <c r="AE299" i="6"/>
  <c r="AE298" i="6"/>
  <c r="AE297" i="6"/>
  <c r="AE296" i="6"/>
  <c r="AE295" i="6"/>
  <c r="AE294" i="6"/>
  <c r="AE293" i="6"/>
  <c r="AE292" i="6"/>
  <c r="AE291" i="6"/>
  <c r="AE290" i="6"/>
  <c r="AE289" i="6"/>
  <c r="AE288" i="6"/>
  <c r="AE287" i="6"/>
  <c r="AE286" i="6"/>
  <c r="AE285" i="6"/>
  <c r="AE284" i="6"/>
  <c r="AE283" i="6"/>
  <c r="AE282" i="6"/>
  <c r="AE281" i="6"/>
  <c r="AE280" i="6"/>
  <c r="AE279" i="6"/>
  <c r="AE278" i="6"/>
  <c r="AE277" i="6"/>
  <c r="AE276" i="6"/>
  <c r="AE275" i="6"/>
  <c r="AE274" i="6"/>
  <c r="AE273" i="6"/>
  <c r="AE272" i="6"/>
  <c r="AE271" i="6"/>
  <c r="AE270" i="6"/>
  <c r="AC320" i="6"/>
  <c r="AC319" i="6"/>
  <c r="AC318" i="6"/>
  <c r="AC317" i="6"/>
  <c r="AC316" i="6"/>
  <c r="AC315" i="6"/>
  <c r="AC314" i="6"/>
  <c r="AC313" i="6"/>
  <c r="AC311" i="6"/>
  <c r="AC304" i="6"/>
  <c r="AC303" i="6"/>
  <c r="AC302" i="6"/>
  <c r="AC301" i="6"/>
  <c r="AC300" i="6"/>
  <c r="AC299" i="6"/>
  <c r="AC298" i="6"/>
  <c r="AC297" i="6"/>
  <c r="AC296" i="6"/>
  <c r="AC295" i="6"/>
  <c r="AC294" i="6"/>
  <c r="AC293" i="6"/>
  <c r="AC292" i="6"/>
  <c r="AC291" i="6"/>
  <c r="AC290" i="6"/>
  <c r="AC289" i="6"/>
  <c r="AC288" i="6"/>
  <c r="AC287" i="6"/>
  <c r="AC286" i="6"/>
  <c r="AC285" i="6"/>
  <c r="AC284" i="6"/>
  <c r="AC283" i="6"/>
  <c r="AC282" i="6"/>
  <c r="AC281" i="6"/>
  <c r="AC280" i="6"/>
  <c r="AC279" i="6"/>
  <c r="AC278" i="6"/>
  <c r="AC277" i="6"/>
  <c r="AC276" i="6"/>
  <c r="AC275" i="6"/>
  <c r="AC274" i="6"/>
  <c r="AC273" i="6"/>
  <c r="AC272" i="6"/>
  <c r="AC271" i="6"/>
  <c r="AC270" i="6"/>
  <c r="GJ57" i="7"/>
  <c r="AA319" i="6"/>
  <c r="AA318" i="6"/>
  <c r="AA317" i="6"/>
  <c r="AA316" i="6"/>
  <c r="AA315" i="6"/>
  <c r="AA314" i="6"/>
  <c r="AA313" i="6"/>
  <c r="AA311" i="6"/>
  <c r="AA304" i="6"/>
  <c r="AA303" i="6"/>
  <c r="AA302" i="6"/>
  <c r="AA301" i="6"/>
  <c r="AA300" i="6"/>
  <c r="AA299" i="6"/>
  <c r="AA298" i="6"/>
  <c r="AA297" i="6"/>
  <c r="AA296" i="6"/>
  <c r="AA295" i="6"/>
  <c r="AA294" i="6"/>
  <c r="AA293" i="6"/>
  <c r="AA292" i="6"/>
  <c r="AA291" i="6"/>
  <c r="AA290" i="6"/>
  <c r="AA289" i="6"/>
  <c r="AA288" i="6"/>
  <c r="AA287" i="6"/>
  <c r="AA286" i="6"/>
  <c r="AA285" i="6"/>
  <c r="AA284" i="6"/>
  <c r="AA283" i="6"/>
  <c r="AA282" i="6"/>
  <c r="AA281" i="6"/>
  <c r="AA280" i="6"/>
  <c r="AA279" i="6"/>
  <c r="AA278" i="6"/>
  <c r="AA277" i="6"/>
  <c r="AA276" i="6"/>
  <c r="AA275" i="6"/>
  <c r="AA274" i="6"/>
  <c r="AA273" i="6"/>
  <c r="AA272" i="6"/>
  <c r="AA271" i="6"/>
  <c r="AA270" i="6"/>
  <c r="Y320" i="6"/>
  <c r="Y319" i="6"/>
  <c r="Y318" i="6"/>
  <c r="Y317" i="6"/>
  <c r="Y316" i="6"/>
  <c r="Y315" i="6"/>
  <c r="Y314" i="6"/>
  <c r="Y313" i="6"/>
  <c r="Y311" i="6"/>
  <c r="Y304" i="6"/>
  <c r="Y303" i="6"/>
  <c r="Y302" i="6"/>
  <c r="Y301" i="6"/>
  <c r="Y300" i="6"/>
  <c r="Y299" i="6"/>
  <c r="Y298" i="6"/>
  <c r="Y297" i="6"/>
  <c r="Y296" i="6"/>
  <c r="Y295" i="6"/>
  <c r="Y294" i="6"/>
  <c r="Y293" i="6"/>
  <c r="Y292" i="6"/>
  <c r="Y291" i="6"/>
  <c r="Y290" i="6"/>
  <c r="Y289" i="6"/>
  <c r="Y288" i="6"/>
  <c r="Y287" i="6"/>
  <c r="Y286" i="6"/>
  <c r="Y285" i="6"/>
  <c r="Y284" i="6"/>
  <c r="Y283" i="6"/>
  <c r="Y282" i="6"/>
  <c r="Y281" i="6"/>
  <c r="Y280" i="6"/>
  <c r="Y279" i="6"/>
  <c r="Y278" i="6"/>
  <c r="Y277" i="6"/>
  <c r="Y276" i="6"/>
  <c r="Y275" i="6"/>
  <c r="Y274" i="6"/>
  <c r="Y273" i="6"/>
  <c r="Y272" i="6"/>
  <c r="Y271" i="6"/>
  <c r="Y270" i="6"/>
  <c r="W320" i="6"/>
  <c r="W319" i="6"/>
  <c r="W318" i="6"/>
  <c r="W317" i="6"/>
  <c r="W316" i="6"/>
  <c r="W315" i="6"/>
  <c r="W314" i="6"/>
  <c r="W313" i="6"/>
  <c r="W311" i="6"/>
  <c r="W304" i="6"/>
  <c r="W303" i="6"/>
  <c r="W302" i="6"/>
  <c r="W301" i="6"/>
  <c r="W300" i="6"/>
  <c r="W299" i="6"/>
  <c r="W298" i="6"/>
  <c r="W297" i="6"/>
  <c r="W296" i="6"/>
  <c r="W295" i="6"/>
  <c r="W294" i="6"/>
  <c r="W293" i="6"/>
  <c r="W292" i="6"/>
  <c r="W291" i="6"/>
  <c r="W290" i="6"/>
  <c r="W289" i="6"/>
  <c r="W288" i="6"/>
  <c r="W287" i="6"/>
  <c r="W286" i="6"/>
  <c r="W285" i="6"/>
  <c r="W284" i="6"/>
  <c r="W283" i="6"/>
  <c r="W282" i="6"/>
  <c r="W281" i="6"/>
  <c r="W280" i="6"/>
  <c r="W279" i="6"/>
  <c r="W278" i="6"/>
  <c r="W277" i="6"/>
  <c r="W276" i="6"/>
  <c r="W275" i="6"/>
  <c r="W274" i="6"/>
  <c r="W273" i="6"/>
  <c r="W272" i="6"/>
  <c r="W271" i="6"/>
  <c r="W270" i="6"/>
  <c r="U320" i="6"/>
  <c r="U319" i="6"/>
  <c r="U318" i="6"/>
  <c r="U317" i="6"/>
  <c r="U316" i="6"/>
  <c r="U315" i="6"/>
  <c r="U314" i="6"/>
  <c r="U313" i="6"/>
  <c r="U311" i="6"/>
  <c r="U304" i="6"/>
  <c r="U303" i="6"/>
  <c r="U302" i="6"/>
  <c r="U301" i="6"/>
  <c r="U300" i="6"/>
  <c r="U299" i="6"/>
  <c r="U298" i="6"/>
  <c r="U297" i="6"/>
  <c r="U296" i="6"/>
  <c r="U295" i="6"/>
  <c r="U294" i="6"/>
  <c r="U293" i="6"/>
  <c r="U292" i="6"/>
  <c r="U291" i="6"/>
  <c r="U290" i="6"/>
  <c r="U289" i="6"/>
  <c r="U288" i="6"/>
  <c r="U287" i="6"/>
  <c r="U286" i="6"/>
  <c r="U285" i="6"/>
  <c r="U284" i="6"/>
  <c r="U283" i="6"/>
  <c r="U282" i="6"/>
  <c r="U281" i="6"/>
  <c r="U280" i="6"/>
  <c r="U279" i="6"/>
  <c r="U278" i="6"/>
  <c r="U277" i="6"/>
  <c r="U276" i="6"/>
  <c r="U275" i="6"/>
  <c r="U274" i="6"/>
  <c r="U273" i="6"/>
  <c r="U272" i="6"/>
  <c r="U271" i="6"/>
  <c r="U270" i="6"/>
  <c r="S320" i="6"/>
  <c r="S319" i="6"/>
  <c r="S318" i="6"/>
  <c r="S317" i="6"/>
  <c r="S316" i="6"/>
  <c r="S315" i="6"/>
  <c r="S314" i="6"/>
  <c r="S313" i="6"/>
  <c r="S311" i="6"/>
  <c r="S304" i="6"/>
  <c r="S303" i="6"/>
  <c r="S302" i="6"/>
  <c r="S301" i="6"/>
  <c r="S300" i="6"/>
  <c r="S299" i="6"/>
  <c r="S298" i="6"/>
  <c r="S297" i="6"/>
  <c r="S296" i="6"/>
  <c r="S295" i="6"/>
  <c r="S294" i="6"/>
  <c r="S293" i="6"/>
  <c r="S292" i="6"/>
  <c r="S291" i="6"/>
  <c r="S290" i="6"/>
  <c r="S289" i="6"/>
  <c r="S288" i="6"/>
  <c r="S287" i="6"/>
  <c r="S286" i="6"/>
  <c r="S285" i="6"/>
  <c r="S284" i="6"/>
  <c r="S283" i="6"/>
  <c r="S282" i="6"/>
  <c r="S281" i="6"/>
  <c r="S280" i="6"/>
  <c r="S279" i="6"/>
  <c r="S278" i="6"/>
  <c r="S277" i="6"/>
  <c r="S276" i="6"/>
  <c r="S275" i="6"/>
  <c r="S274" i="6"/>
  <c r="S273" i="6"/>
  <c r="S272" i="6"/>
  <c r="S271" i="6"/>
  <c r="S270" i="6"/>
  <c r="Q320" i="6"/>
  <c r="Q319" i="6"/>
  <c r="Q318" i="6"/>
  <c r="Q317" i="6"/>
  <c r="Q316" i="6"/>
  <c r="Q315" i="6"/>
  <c r="Q314" i="6"/>
  <c r="Q313" i="6"/>
  <c r="Q311" i="6"/>
  <c r="Q304" i="6"/>
  <c r="Q303" i="6"/>
  <c r="Q302" i="6"/>
  <c r="Q301" i="6"/>
  <c r="Q300" i="6"/>
  <c r="Q299" i="6"/>
  <c r="Q298" i="6"/>
  <c r="Q297" i="6"/>
  <c r="Q296" i="6"/>
  <c r="Q295" i="6"/>
  <c r="Q294" i="6"/>
  <c r="Q293" i="6"/>
  <c r="Q292" i="6"/>
  <c r="Q291" i="6"/>
  <c r="Q290" i="6"/>
  <c r="Q289" i="6"/>
  <c r="Q288" i="6"/>
  <c r="Q287" i="6"/>
  <c r="Q286" i="6"/>
  <c r="Q285" i="6"/>
  <c r="Q284" i="6"/>
  <c r="Q283" i="6"/>
  <c r="Q282" i="6"/>
  <c r="Q281" i="6"/>
  <c r="Q280" i="6"/>
  <c r="Q279" i="6"/>
  <c r="Q278" i="6"/>
  <c r="Q277" i="6"/>
  <c r="Q276" i="6"/>
  <c r="Q275" i="6"/>
  <c r="Q274" i="6"/>
  <c r="Q273" i="6"/>
  <c r="Q272" i="6"/>
  <c r="Q271" i="6"/>
  <c r="Q270" i="6"/>
  <c r="O320" i="6"/>
  <c r="O319" i="6"/>
  <c r="O318" i="6"/>
  <c r="O317" i="6"/>
  <c r="O316" i="6"/>
  <c r="O315" i="6"/>
  <c r="O314" i="6"/>
  <c r="O313" i="6"/>
  <c r="O311" i="6"/>
  <c r="GD42" i="7"/>
  <c r="O304" i="6"/>
  <c r="O303" i="6"/>
  <c r="O302" i="6"/>
  <c r="O301" i="6"/>
  <c r="O300" i="6"/>
  <c r="O299" i="6"/>
  <c r="O298" i="6"/>
  <c r="O297" i="6"/>
  <c r="O296" i="6"/>
  <c r="O295" i="6"/>
  <c r="O294" i="6"/>
  <c r="O293" i="6"/>
  <c r="O292" i="6"/>
  <c r="O291" i="6"/>
  <c r="O290" i="6"/>
  <c r="O289" i="6"/>
  <c r="O288" i="6"/>
  <c r="O287" i="6"/>
  <c r="O286" i="6"/>
  <c r="O285" i="6"/>
  <c r="O284" i="6"/>
  <c r="O283" i="6"/>
  <c r="O282" i="6"/>
  <c r="O281" i="6"/>
  <c r="O280" i="6"/>
  <c r="O279" i="6"/>
  <c r="O278" i="6"/>
  <c r="O277" i="6"/>
  <c r="O276" i="6"/>
  <c r="O275" i="6"/>
  <c r="O274" i="6"/>
  <c r="O273" i="6"/>
  <c r="O272" i="6"/>
  <c r="O271" i="6"/>
  <c r="O270" i="6"/>
  <c r="M320" i="6"/>
  <c r="M319" i="6"/>
  <c r="M318" i="6"/>
  <c r="M317" i="6"/>
  <c r="M316" i="6"/>
  <c r="M315" i="6"/>
  <c r="M314" i="6"/>
  <c r="M313" i="6"/>
  <c r="M311" i="6"/>
  <c r="GC42" i="7"/>
  <c r="M304" i="6"/>
  <c r="M303" i="6"/>
  <c r="M302" i="6"/>
  <c r="M301" i="6"/>
  <c r="M300" i="6"/>
  <c r="M299" i="6"/>
  <c r="M298" i="6"/>
  <c r="M297" i="6"/>
  <c r="M296" i="6"/>
  <c r="M295" i="6"/>
  <c r="M294" i="6"/>
  <c r="M293" i="6"/>
  <c r="M292" i="6"/>
  <c r="M291" i="6"/>
  <c r="M290" i="6"/>
  <c r="M289" i="6"/>
  <c r="M288" i="6"/>
  <c r="M287" i="6"/>
  <c r="M286" i="6"/>
  <c r="M285" i="6"/>
  <c r="M284" i="6"/>
  <c r="M283" i="6"/>
  <c r="M282" i="6"/>
  <c r="M281" i="6"/>
  <c r="M280" i="6"/>
  <c r="M279" i="6"/>
  <c r="M278" i="6"/>
  <c r="M277" i="6"/>
  <c r="M276" i="6"/>
  <c r="M275" i="6"/>
  <c r="M274" i="6"/>
  <c r="M273" i="6"/>
  <c r="M272" i="6"/>
  <c r="M271" i="6"/>
  <c r="M270" i="6"/>
  <c r="K320" i="6"/>
  <c r="K319" i="6"/>
  <c r="K318" i="6"/>
  <c r="K317" i="6"/>
  <c r="K316" i="6"/>
  <c r="K315" i="6"/>
  <c r="K314" i="6"/>
  <c r="K313" i="6"/>
  <c r="K311" i="6"/>
  <c r="GB42" i="7"/>
  <c r="K304" i="6"/>
  <c r="K303" i="6"/>
  <c r="K302" i="6"/>
  <c r="K301" i="6"/>
  <c r="K300" i="6"/>
  <c r="K299" i="6"/>
  <c r="K298" i="6"/>
  <c r="K297" i="6"/>
  <c r="K296" i="6"/>
  <c r="K295" i="6"/>
  <c r="K294" i="6"/>
  <c r="K293" i="6"/>
  <c r="K292" i="6"/>
  <c r="K291" i="6"/>
  <c r="K290" i="6"/>
  <c r="K289" i="6"/>
  <c r="K288" i="6"/>
  <c r="K287" i="6"/>
  <c r="K286" i="6"/>
  <c r="K285" i="6"/>
  <c r="K284" i="6"/>
  <c r="K283" i="6"/>
  <c r="K282" i="6"/>
  <c r="K281" i="6"/>
  <c r="K280" i="6"/>
  <c r="K279" i="6"/>
  <c r="K278" i="6"/>
  <c r="K277" i="6"/>
  <c r="K276" i="6"/>
  <c r="K275" i="6"/>
  <c r="K274" i="6"/>
  <c r="K273" i="6"/>
  <c r="K272" i="6"/>
  <c r="K271" i="6"/>
  <c r="K270" i="6"/>
  <c r="I320" i="6"/>
  <c r="I319" i="6"/>
  <c r="I318" i="6"/>
  <c r="I317" i="6"/>
  <c r="I316" i="6"/>
  <c r="I315" i="6"/>
  <c r="I314" i="6"/>
  <c r="I313" i="6"/>
  <c r="I311" i="6"/>
  <c r="GA42" i="7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G320" i="6"/>
  <c r="G319" i="6"/>
  <c r="G318" i="6"/>
  <c r="G317" i="6"/>
  <c r="G316" i="6"/>
  <c r="G315" i="6"/>
  <c r="G314" i="6"/>
  <c r="G313" i="6"/>
  <c r="G311" i="6"/>
  <c r="FZ42" i="7"/>
  <c r="G304" i="6"/>
  <c r="G303" i="6"/>
  <c r="G302" i="6"/>
  <c r="G301" i="6"/>
  <c r="G300" i="6"/>
  <c r="G299" i="6"/>
  <c r="G298" i="6"/>
  <c r="G297" i="6"/>
  <c r="G296" i="6"/>
  <c r="G295" i="6"/>
  <c r="G294" i="6"/>
  <c r="G293" i="6"/>
  <c r="G292" i="6"/>
  <c r="G291" i="6"/>
  <c r="G290" i="6"/>
  <c r="G289" i="6"/>
  <c r="G288" i="6"/>
  <c r="G287" i="6"/>
  <c r="G286" i="6"/>
  <c r="G285" i="6"/>
  <c r="G284" i="6"/>
  <c r="G283" i="6"/>
  <c r="G282" i="6"/>
  <c r="G281" i="6"/>
  <c r="G280" i="6"/>
  <c r="G279" i="6"/>
  <c r="G278" i="6"/>
  <c r="G277" i="6"/>
  <c r="G276" i="6"/>
  <c r="G275" i="6"/>
  <c r="G274" i="6"/>
  <c r="G273" i="6"/>
  <c r="G272" i="6"/>
  <c r="G271" i="6"/>
  <c r="G270" i="6"/>
  <c r="FY57" i="7"/>
  <c r="E319" i="6"/>
  <c r="E318" i="6"/>
  <c r="E317" i="6"/>
  <c r="E316" i="6"/>
  <c r="E315" i="6"/>
  <c r="E314" i="6"/>
  <c r="E313" i="6"/>
  <c r="E311" i="6"/>
  <c r="FY42" i="7"/>
  <c r="E304" i="6"/>
  <c r="E303" i="6"/>
  <c r="E302" i="6"/>
  <c r="E301" i="6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11" i="6"/>
  <c r="C313" i="6"/>
  <c r="C314" i="6"/>
  <c r="C315" i="6"/>
  <c r="C316" i="6"/>
  <c r="C317" i="6"/>
  <c r="C318" i="6"/>
  <c r="C319" i="6"/>
  <c r="C320" i="6"/>
  <c r="C270" i="6"/>
  <c r="A304" i="6"/>
  <c r="A313" i="6"/>
  <c r="A314" i="6"/>
  <c r="A315" i="6"/>
  <c r="A316" i="6"/>
  <c r="A317" i="6"/>
  <c r="A318" i="6"/>
  <c r="A319" i="6"/>
  <c r="A320" i="6"/>
  <c r="FI7" i="7"/>
  <c r="AE232" i="6"/>
  <c r="AE231" i="6"/>
  <c r="AE230" i="6"/>
  <c r="AE229" i="6"/>
  <c r="AE228" i="6"/>
  <c r="AE227" i="6"/>
  <c r="AE226" i="6"/>
  <c r="AE225" i="6"/>
  <c r="AE223" i="6"/>
  <c r="AE217" i="6"/>
  <c r="AE216" i="6"/>
  <c r="AE215" i="6"/>
  <c r="AE214" i="6"/>
  <c r="AE213" i="6"/>
  <c r="AE212" i="6"/>
  <c r="AE211" i="6"/>
  <c r="AE210" i="6"/>
  <c r="AE209" i="6"/>
  <c r="AE208" i="6"/>
  <c r="AE207" i="6"/>
  <c r="AE206" i="6"/>
  <c r="AE205" i="6"/>
  <c r="AE204" i="6"/>
  <c r="AE203" i="6"/>
  <c r="AE202" i="6"/>
  <c r="AE201" i="6"/>
  <c r="AE200" i="6"/>
  <c r="AE199" i="6"/>
  <c r="AE198" i="6"/>
  <c r="AE197" i="6"/>
  <c r="AE196" i="6"/>
  <c r="AE195" i="6"/>
  <c r="AE194" i="6"/>
  <c r="AE193" i="6"/>
  <c r="AE192" i="6"/>
  <c r="AE191" i="6"/>
  <c r="AE190" i="6"/>
  <c r="AE189" i="6"/>
  <c r="AE188" i="6"/>
  <c r="AE187" i="6"/>
  <c r="AE186" i="6"/>
  <c r="AE185" i="6"/>
  <c r="AE184" i="6"/>
  <c r="AE183" i="6"/>
  <c r="AE182" i="6"/>
  <c r="AC232" i="6"/>
  <c r="AC231" i="6"/>
  <c r="AC230" i="6"/>
  <c r="AC229" i="6"/>
  <c r="AC228" i="6"/>
  <c r="AC227" i="6"/>
  <c r="AC226" i="6"/>
  <c r="AC225" i="6"/>
  <c r="AC223" i="6"/>
  <c r="AC217" i="6"/>
  <c r="AC216" i="6"/>
  <c r="AC215" i="6"/>
  <c r="AC214" i="6"/>
  <c r="AC213" i="6"/>
  <c r="AC212" i="6"/>
  <c r="AC211" i="6"/>
  <c r="AC210" i="6"/>
  <c r="AC209" i="6"/>
  <c r="AC208" i="6"/>
  <c r="AC207" i="6"/>
  <c r="AC206" i="6"/>
  <c r="AC205" i="6"/>
  <c r="AC204" i="6"/>
  <c r="AC203" i="6"/>
  <c r="AC202" i="6"/>
  <c r="AC201" i="6"/>
  <c r="AC200" i="6"/>
  <c r="AC199" i="6"/>
  <c r="AC198" i="6"/>
  <c r="AC197" i="6"/>
  <c r="AC196" i="6"/>
  <c r="AC195" i="6"/>
  <c r="AC194" i="6"/>
  <c r="AC193" i="6"/>
  <c r="AC192" i="6"/>
  <c r="AC191" i="6"/>
  <c r="AC190" i="6"/>
  <c r="AC189" i="6"/>
  <c r="AC188" i="6"/>
  <c r="AC187" i="6"/>
  <c r="AC186" i="6"/>
  <c r="AC185" i="6"/>
  <c r="AC184" i="6"/>
  <c r="AC183" i="6"/>
  <c r="AC182" i="6"/>
  <c r="AA232" i="6"/>
  <c r="AA231" i="6"/>
  <c r="AA230" i="6"/>
  <c r="AA229" i="6"/>
  <c r="AA228" i="6"/>
  <c r="AA227" i="6"/>
  <c r="AA226" i="6"/>
  <c r="AA225" i="6"/>
  <c r="AA223" i="6"/>
  <c r="AA217" i="6"/>
  <c r="AA216" i="6"/>
  <c r="AA215" i="6"/>
  <c r="AA214" i="6"/>
  <c r="AA213" i="6"/>
  <c r="AA212" i="6"/>
  <c r="AA211" i="6"/>
  <c r="AA210" i="6"/>
  <c r="AA209" i="6"/>
  <c r="AA208" i="6"/>
  <c r="AA207" i="6"/>
  <c r="AA206" i="6"/>
  <c r="AA205" i="6"/>
  <c r="AA204" i="6"/>
  <c r="AA203" i="6"/>
  <c r="AA202" i="6"/>
  <c r="AA201" i="6"/>
  <c r="AA200" i="6"/>
  <c r="AA199" i="6"/>
  <c r="AA198" i="6"/>
  <c r="AA197" i="6"/>
  <c r="AA196" i="6"/>
  <c r="AA195" i="6"/>
  <c r="AA194" i="6"/>
  <c r="AA193" i="6"/>
  <c r="AA192" i="6"/>
  <c r="AA191" i="6"/>
  <c r="AA190" i="6"/>
  <c r="AA189" i="6"/>
  <c r="AA188" i="6"/>
  <c r="AA187" i="6"/>
  <c r="AA186" i="6"/>
  <c r="AA185" i="6"/>
  <c r="AA184" i="6"/>
  <c r="AA183" i="6"/>
  <c r="AA182" i="6"/>
  <c r="Y232" i="6"/>
  <c r="Y231" i="6"/>
  <c r="Y230" i="6"/>
  <c r="Y229" i="6"/>
  <c r="Y228" i="6"/>
  <c r="Y227" i="6"/>
  <c r="Y226" i="6"/>
  <c r="Y225" i="6"/>
  <c r="Y223" i="6"/>
  <c r="Y217" i="6"/>
  <c r="Y216" i="6"/>
  <c r="Y215" i="6"/>
  <c r="Y214" i="6"/>
  <c r="Y213" i="6"/>
  <c r="Y212" i="6"/>
  <c r="Y211" i="6"/>
  <c r="Y210" i="6"/>
  <c r="Y209" i="6"/>
  <c r="Y208" i="6"/>
  <c r="Y207" i="6"/>
  <c r="Y206" i="6"/>
  <c r="Y205" i="6"/>
  <c r="Y204" i="6"/>
  <c r="Y203" i="6"/>
  <c r="Y202" i="6"/>
  <c r="Y201" i="6"/>
  <c r="Y200" i="6"/>
  <c r="Y199" i="6"/>
  <c r="Y198" i="6"/>
  <c r="Y197" i="6"/>
  <c r="Y196" i="6"/>
  <c r="Y195" i="6"/>
  <c r="Y194" i="6"/>
  <c r="Y193" i="6"/>
  <c r="Y192" i="6"/>
  <c r="Y191" i="6"/>
  <c r="Y190" i="6"/>
  <c r="Y189" i="6"/>
  <c r="Y188" i="6"/>
  <c r="Y187" i="6"/>
  <c r="Y186" i="6"/>
  <c r="Y185" i="6"/>
  <c r="Y184" i="6"/>
  <c r="Y183" i="6"/>
  <c r="Y182" i="6"/>
  <c r="W232" i="6"/>
  <c r="W231" i="6"/>
  <c r="W230" i="6"/>
  <c r="W229" i="6"/>
  <c r="W228" i="6"/>
  <c r="W227" i="6"/>
  <c r="W226" i="6"/>
  <c r="W225" i="6"/>
  <c r="W223" i="6"/>
  <c r="W217" i="6"/>
  <c r="W216" i="6"/>
  <c r="W215" i="6"/>
  <c r="W214" i="6"/>
  <c r="W213" i="6"/>
  <c r="W212" i="6"/>
  <c r="W211" i="6"/>
  <c r="W210" i="6"/>
  <c r="W209" i="6"/>
  <c r="W208" i="6"/>
  <c r="W207" i="6"/>
  <c r="W206" i="6"/>
  <c r="W205" i="6"/>
  <c r="W204" i="6"/>
  <c r="W203" i="6"/>
  <c r="W202" i="6"/>
  <c r="W201" i="6"/>
  <c r="W200" i="6"/>
  <c r="W199" i="6"/>
  <c r="W198" i="6"/>
  <c r="W197" i="6"/>
  <c r="W196" i="6"/>
  <c r="W195" i="6"/>
  <c r="W194" i="6"/>
  <c r="W193" i="6"/>
  <c r="W192" i="6"/>
  <c r="W191" i="6"/>
  <c r="W190" i="6"/>
  <c r="W189" i="6"/>
  <c r="W188" i="6"/>
  <c r="W187" i="6"/>
  <c r="W186" i="6"/>
  <c r="W185" i="6"/>
  <c r="W184" i="6"/>
  <c r="W183" i="6"/>
  <c r="W182" i="6"/>
  <c r="U232" i="6"/>
  <c r="U231" i="6"/>
  <c r="U230" i="6"/>
  <c r="U229" i="6"/>
  <c r="U228" i="6"/>
  <c r="U227" i="6"/>
  <c r="U226" i="6"/>
  <c r="U225" i="6"/>
  <c r="U223" i="6"/>
  <c r="U217" i="6"/>
  <c r="U216" i="6"/>
  <c r="U215" i="6"/>
  <c r="U214" i="6"/>
  <c r="U213" i="6"/>
  <c r="U212" i="6"/>
  <c r="U211" i="6"/>
  <c r="U210" i="6"/>
  <c r="U209" i="6"/>
  <c r="U208" i="6"/>
  <c r="U207" i="6"/>
  <c r="U206" i="6"/>
  <c r="U205" i="6"/>
  <c r="U204" i="6"/>
  <c r="U203" i="6"/>
  <c r="U202" i="6"/>
  <c r="U201" i="6"/>
  <c r="U200" i="6"/>
  <c r="U199" i="6"/>
  <c r="U198" i="6"/>
  <c r="U197" i="6"/>
  <c r="U196" i="6"/>
  <c r="U195" i="6"/>
  <c r="U194" i="6"/>
  <c r="U193" i="6"/>
  <c r="U192" i="6"/>
  <c r="U191" i="6"/>
  <c r="U190" i="6"/>
  <c r="U189" i="6"/>
  <c r="U188" i="6"/>
  <c r="U187" i="6"/>
  <c r="U186" i="6"/>
  <c r="U185" i="6"/>
  <c r="U184" i="6"/>
  <c r="U183" i="6"/>
  <c r="U182" i="6"/>
  <c r="S232" i="6"/>
  <c r="S231" i="6"/>
  <c r="S230" i="6"/>
  <c r="S229" i="6"/>
  <c r="S228" i="6"/>
  <c r="S227" i="6"/>
  <c r="S226" i="6"/>
  <c r="S225" i="6"/>
  <c r="S223" i="6"/>
  <c r="S217" i="6"/>
  <c r="S216" i="6"/>
  <c r="S215" i="6"/>
  <c r="S214" i="6"/>
  <c r="S213" i="6"/>
  <c r="S212" i="6"/>
  <c r="S211" i="6"/>
  <c r="S210" i="6"/>
  <c r="S209" i="6"/>
  <c r="S208" i="6"/>
  <c r="S207" i="6"/>
  <c r="S206" i="6"/>
  <c r="S205" i="6"/>
  <c r="S204" i="6"/>
  <c r="S203" i="6"/>
  <c r="S202" i="6"/>
  <c r="S201" i="6"/>
  <c r="S200" i="6"/>
  <c r="S199" i="6"/>
  <c r="S198" i="6"/>
  <c r="S197" i="6"/>
  <c r="S196" i="6"/>
  <c r="S195" i="6"/>
  <c r="S194" i="6"/>
  <c r="S193" i="6"/>
  <c r="S192" i="6"/>
  <c r="S191" i="6"/>
  <c r="S190" i="6"/>
  <c r="S189" i="6"/>
  <c r="S188" i="6"/>
  <c r="S187" i="6"/>
  <c r="S186" i="6"/>
  <c r="S185" i="6"/>
  <c r="S184" i="6"/>
  <c r="S183" i="6"/>
  <c r="S182" i="6"/>
  <c r="Q232" i="6"/>
  <c r="Q231" i="6"/>
  <c r="Q230" i="6"/>
  <c r="Q229" i="6"/>
  <c r="Q228" i="6"/>
  <c r="Q227" i="6"/>
  <c r="Q226" i="6"/>
  <c r="Q225" i="6"/>
  <c r="Q223" i="6"/>
  <c r="Q217" i="6"/>
  <c r="Q216" i="6"/>
  <c r="Q215" i="6"/>
  <c r="Q214" i="6"/>
  <c r="Q213" i="6"/>
  <c r="Q212" i="6"/>
  <c r="Q211" i="6"/>
  <c r="Q210" i="6"/>
  <c r="Q209" i="6"/>
  <c r="Q208" i="6"/>
  <c r="Q207" i="6"/>
  <c r="Q206" i="6"/>
  <c r="Q205" i="6"/>
  <c r="Q204" i="6"/>
  <c r="Q203" i="6"/>
  <c r="Q202" i="6"/>
  <c r="Q201" i="6"/>
  <c r="Q200" i="6"/>
  <c r="Q199" i="6"/>
  <c r="Q198" i="6"/>
  <c r="Q197" i="6"/>
  <c r="Q196" i="6"/>
  <c r="Q195" i="6"/>
  <c r="Q194" i="6"/>
  <c r="Q193" i="6"/>
  <c r="Q192" i="6"/>
  <c r="Q191" i="6"/>
  <c r="Q190" i="6"/>
  <c r="Q189" i="6"/>
  <c r="Q188" i="6"/>
  <c r="Q187" i="6"/>
  <c r="Q186" i="6"/>
  <c r="Q185" i="6"/>
  <c r="Q184" i="6"/>
  <c r="Q183" i="6"/>
  <c r="Q182" i="6"/>
  <c r="FN57" i="7"/>
  <c r="FN56" i="7"/>
  <c r="FN55" i="7"/>
  <c r="FN54" i="7"/>
  <c r="FN53" i="7"/>
  <c r="FN52" i="7"/>
  <c r="FN51" i="7"/>
  <c r="FN50" i="7"/>
  <c r="FN48" i="7"/>
  <c r="FN42" i="7"/>
  <c r="FN41" i="7"/>
  <c r="FN40" i="7"/>
  <c r="FN39" i="7"/>
  <c r="FN38" i="7"/>
  <c r="FN37" i="7"/>
  <c r="FN36" i="7"/>
  <c r="FN35" i="7"/>
  <c r="FN34" i="7"/>
  <c r="FN33" i="7"/>
  <c r="FN32" i="7"/>
  <c r="FN31" i="7"/>
  <c r="FN30" i="7"/>
  <c r="FN29" i="7"/>
  <c r="FN28" i="7"/>
  <c r="FN27" i="7"/>
  <c r="FN26" i="7"/>
  <c r="FN25" i="7"/>
  <c r="FN24" i="7"/>
  <c r="FN23" i="7"/>
  <c r="FN22" i="7"/>
  <c r="FN21" i="7"/>
  <c r="FN20" i="7"/>
  <c r="FN19" i="7"/>
  <c r="FN18" i="7"/>
  <c r="FN17" i="7"/>
  <c r="FN15" i="7"/>
  <c r="FN14" i="7"/>
  <c r="FN13" i="7"/>
  <c r="FN12" i="7"/>
  <c r="FN11" i="7"/>
  <c r="FN10" i="7"/>
  <c r="FN9" i="7"/>
  <c r="FN8" i="7"/>
  <c r="FN7" i="7"/>
  <c r="FM57" i="7"/>
  <c r="FM56" i="7"/>
  <c r="FM55" i="7"/>
  <c r="FM54" i="7"/>
  <c r="FM53" i="7"/>
  <c r="FM52" i="7"/>
  <c r="FM51" i="7"/>
  <c r="FM50" i="7"/>
  <c r="FM48" i="7"/>
  <c r="FM42" i="7"/>
  <c r="FM41" i="7"/>
  <c r="FM40" i="7"/>
  <c r="FM39" i="7"/>
  <c r="FM38" i="7"/>
  <c r="FM37" i="7"/>
  <c r="FM36" i="7"/>
  <c r="FM35" i="7"/>
  <c r="FM34" i="7"/>
  <c r="FM33" i="7"/>
  <c r="FM32" i="7"/>
  <c r="FM31" i="7"/>
  <c r="FM30" i="7"/>
  <c r="FM29" i="7"/>
  <c r="FM28" i="7"/>
  <c r="FM27" i="7"/>
  <c r="FM26" i="7"/>
  <c r="FM25" i="7"/>
  <c r="FM24" i="7"/>
  <c r="FM23" i="7"/>
  <c r="FM22" i="7"/>
  <c r="FM21" i="7"/>
  <c r="FM20" i="7"/>
  <c r="FM19" i="7"/>
  <c r="FM18" i="7"/>
  <c r="FM17" i="7"/>
  <c r="FM15" i="7"/>
  <c r="FM14" i="7"/>
  <c r="FM13" i="7"/>
  <c r="FM12" i="7"/>
  <c r="FM11" i="7"/>
  <c r="FM10" i="7"/>
  <c r="FM9" i="7"/>
  <c r="FM8" i="7"/>
  <c r="FM7" i="7"/>
  <c r="FL57" i="7"/>
  <c r="FL56" i="7"/>
  <c r="FL55" i="7"/>
  <c r="FL54" i="7"/>
  <c r="FL53" i="7"/>
  <c r="FL52" i="7"/>
  <c r="FL51" i="7"/>
  <c r="FL50" i="7"/>
  <c r="FL48" i="7"/>
  <c r="FL42" i="7"/>
  <c r="FL41" i="7"/>
  <c r="FL40" i="7"/>
  <c r="FL39" i="7"/>
  <c r="FL38" i="7"/>
  <c r="FL37" i="7"/>
  <c r="FL36" i="7"/>
  <c r="FL35" i="7"/>
  <c r="FL34" i="7"/>
  <c r="FL33" i="7"/>
  <c r="FL32" i="7"/>
  <c r="FL31" i="7"/>
  <c r="FL30" i="7"/>
  <c r="FL29" i="7"/>
  <c r="FL28" i="7"/>
  <c r="FL27" i="7"/>
  <c r="FL26" i="7"/>
  <c r="FL25" i="7"/>
  <c r="FL24" i="7"/>
  <c r="FL23" i="7"/>
  <c r="FL22" i="7"/>
  <c r="FL21" i="7"/>
  <c r="FL20" i="7"/>
  <c r="FL19" i="7"/>
  <c r="FL18" i="7"/>
  <c r="FL17" i="7"/>
  <c r="FL15" i="7"/>
  <c r="FL14" i="7"/>
  <c r="FL13" i="7"/>
  <c r="FL12" i="7"/>
  <c r="FL11" i="7"/>
  <c r="FL10" i="7"/>
  <c r="FL9" i="7"/>
  <c r="FL8" i="7"/>
  <c r="FL7" i="7"/>
  <c r="FK57" i="7"/>
  <c r="FK56" i="7"/>
  <c r="FK55" i="7"/>
  <c r="FK54" i="7"/>
  <c r="FK53" i="7"/>
  <c r="FK52" i="7"/>
  <c r="FK51" i="7"/>
  <c r="FK50" i="7"/>
  <c r="FK48" i="7"/>
  <c r="FK42" i="7"/>
  <c r="FK41" i="7"/>
  <c r="FK40" i="7"/>
  <c r="FK39" i="7"/>
  <c r="FK38" i="7"/>
  <c r="FK37" i="7"/>
  <c r="FK36" i="7"/>
  <c r="FK35" i="7"/>
  <c r="FK34" i="7"/>
  <c r="FK33" i="7"/>
  <c r="FK32" i="7"/>
  <c r="FK31" i="7"/>
  <c r="FK30" i="7"/>
  <c r="FK29" i="7"/>
  <c r="FK28" i="7"/>
  <c r="FK27" i="7"/>
  <c r="FK26" i="7"/>
  <c r="FK25" i="7"/>
  <c r="FK24" i="7"/>
  <c r="FK23" i="7"/>
  <c r="FK22" i="7"/>
  <c r="FK21" i="7"/>
  <c r="FK20" i="7"/>
  <c r="FK19" i="7"/>
  <c r="FK18" i="7"/>
  <c r="FK17" i="7"/>
  <c r="FK15" i="7"/>
  <c r="FK14" i="7"/>
  <c r="FK13" i="7"/>
  <c r="FK12" i="7"/>
  <c r="FK11" i="7"/>
  <c r="FK10" i="7"/>
  <c r="FK9" i="7"/>
  <c r="FK8" i="7"/>
  <c r="FK7" i="7"/>
  <c r="FJ57" i="7"/>
  <c r="FJ56" i="7"/>
  <c r="FJ55" i="7"/>
  <c r="FJ54" i="7"/>
  <c r="FJ53" i="7"/>
  <c r="FJ52" i="7"/>
  <c r="FJ51" i="7"/>
  <c r="FJ50" i="7"/>
  <c r="FJ48" i="7"/>
  <c r="FJ42" i="7"/>
  <c r="FJ41" i="7"/>
  <c r="FJ40" i="7"/>
  <c r="FJ39" i="7"/>
  <c r="FJ38" i="7"/>
  <c r="FJ37" i="7"/>
  <c r="FJ36" i="7"/>
  <c r="FJ35" i="7"/>
  <c r="FJ34" i="7"/>
  <c r="FJ33" i="7"/>
  <c r="FJ32" i="7"/>
  <c r="FJ31" i="7"/>
  <c r="FJ30" i="7"/>
  <c r="FJ29" i="7"/>
  <c r="FJ28" i="7"/>
  <c r="FJ27" i="7"/>
  <c r="FJ26" i="7"/>
  <c r="FJ25" i="7"/>
  <c r="FJ24" i="7"/>
  <c r="FJ23" i="7"/>
  <c r="FJ22" i="7"/>
  <c r="FJ21" i="7"/>
  <c r="FJ20" i="7"/>
  <c r="FJ19" i="7"/>
  <c r="FJ18" i="7"/>
  <c r="FJ17" i="7"/>
  <c r="FJ16" i="7"/>
  <c r="FJ15" i="7"/>
  <c r="FJ14" i="7"/>
  <c r="FJ13" i="7"/>
  <c r="FJ12" i="7"/>
  <c r="FJ11" i="7"/>
  <c r="FJ10" i="7"/>
  <c r="FJ9" i="7"/>
  <c r="FJ8" i="7"/>
  <c r="FJ7" i="7"/>
  <c r="FI57" i="7"/>
  <c r="FI56" i="7"/>
  <c r="FI55" i="7"/>
  <c r="FI54" i="7"/>
  <c r="FI53" i="7"/>
  <c r="FI52" i="7"/>
  <c r="FI51" i="7"/>
  <c r="FI50" i="7"/>
  <c r="FI48" i="7"/>
  <c r="FI42" i="7"/>
  <c r="FI41" i="7"/>
  <c r="FI40" i="7"/>
  <c r="FI39" i="7"/>
  <c r="FI38" i="7"/>
  <c r="FI37" i="7"/>
  <c r="FI36" i="7"/>
  <c r="FI35" i="7"/>
  <c r="FI34" i="7"/>
  <c r="FI33" i="7"/>
  <c r="FI32" i="7"/>
  <c r="FI31" i="7"/>
  <c r="FI30" i="7"/>
  <c r="FI29" i="7"/>
  <c r="FI28" i="7"/>
  <c r="FI27" i="7"/>
  <c r="FI26" i="7"/>
  <c r="FI25" i="7"/>
  <c r="FI24" i="7"/>
  <c r="FI23" i="7"/>
  <c r="FI22" i="7"/>
  <c r="FI21" i="7"/>
  <c r="FI20" i="7"/>
  <c r="FI19" i="7"/>
  <c r="FI18" i="7"/>
  <c r="FI17" i="7"/>
  <c r="FI16" i="7"/>
  <c r="FI15" i="7"/>
  <c r="FI14" i="7"/>
  <c r="FI13" i="7"/>
  <c r="FI12" i="7"/>
  <c r="FI11" i="7"/>
  <c r="FI10" i="7"/>
  <c r="FI9" i="7"/>
  <c r="FI8" i="7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25" i="6"/>
  <c r="C226" i="6"/>
  <c r="C227" i="6"/>
  <c r="C228" i="6"/>
  <c r="C229" i="6"/>
  <c r="C230" i="6"/>
  <c r="C231" i="6"/>
  <c r="C232" i="6"/>
  <c r="C182" i="6"/>
  <c r="A213" i="6"/>
  <c r="A214" i="6"/>
  <c r="A215" i="6"/>
  <c r="A216" i="6"/>
  <c r="A225" i="6"/>
  <c r="A226" i="6"/>
  <c r="A227" i="6"/>
  <c r="A228" i="6"/>
  <c r="A229" i="6"/>
  <c r="A230" i="6"/>
  <c r="A231" i="6"/>
  <c r="A232" i="6"/>
  <c r="AE144" i="6"/>
  <c r="AE143" i="6"/>
  <c r="AE142" i="6"/>
  <c r="AE141" i="6"/>
  <c r="AE140" i="6"/>
  <c r="AE139" i="6"/>
  <c r="AE138" i="6"/>
  <c r="AE137" i="6"/>
  <c r="AE129" i="6"/>
  <c r="AE128" i="6"/>
  <c r="AE127" i="6"/>
  <c r="AE126" i="6"/>
  <c r="AE125" i="6"/>
  <c r="AE124" i="6"/>
  <c r="AE123" i="6"/>
  <c r="AE122" i="6"/>
  <c r="AE121" i="6"/>
  <c r="AE120" i="6"/>
  <c r="AE119" i="6"/>
  <c r="AE118" i="6"/>
  <c r="AE117" i="6"/>
  <c r="AE116" i="6"/>
  <c r="AE115" i="6"/>
  <c r="AE114" i="6"/>
  <c r="AE113" i="6"/>
  <c r="AE112" i="6"/>
  <c r="AE111" i="6"/>
  <c r="AE110" i="6"/>
  <c r="AE109" i="6"/>
  <c r="AE108" i="6"/>
  <c r="AE107" i="6"/>
  <c r="AE106" i="6"/>
  <c r="AE105" i="6"/>
  <c r="AE104" i="6"/>
  <c r="AE103" i="6"/>
  <c r="AE102" i="6"/>
  <c r="AE101" i="6"/>
  <c r="AE100" i="6"/>
  <c r="AE99" i="6"/>
  <c r="AE98" i="6"/>
  <c r="AE97" i="6"/>
  <c r="AE96" i="6"/>
  <c r="AE95" i="6"/>
  <c r="AE94" i="6"/>
  <c r="AC144" i="6"/>
  <c r="AC143" i="6"/>
  <c r="AC142" i="6"/>
  <c r="AC141" i="6"/>
  <c r="AC140" i="6"/>
  <c r="AC139" i="6"/>
  <c r="AC138" i="6"/>
  <c r="AC137" i="6"/>
  <c r="AC129" i="6"/>
  <c r="AC128" i="6"/>
  <c r="AC127" i="6"/>
  <c r="AC126" i="6"/>
  <c r="AC125" i="6"/>
  <c r="AC124" i="6"/>
  <c r="AC123" i="6"/>
  <c r="AC122" i="6"/>
  <c r="AC121" i="6"/>
  <c r="AC120" i="6"/>
  <c r="AC119" i="6"/>
  <c r="AC118" i="6"/>
  <c r="AC117" i="6"/>
  <c r="AC116" i="6"/>
  <c r="AC115" i="6"/>
  <c r="AC114" i="6"/>
  <c r="AC113" i="6"/>
  <c r="AC112" i="6"/>
  <c r="AC111" i="6"/>
  <c r="AC110" i="6"/>
  <c r="AC109" i="6"/>
  <c r="AC108" i="6"/>
  <c r="AC107" i="6"/>
  <c r="AC106" i="6"/>
  <c r="AC105" i="6"/>
  <c r="AC104" i="6"/>
  <c r="AC103" i="6"/>
  <c r="AC102" i="6"/>
  <c r="AC101" i="6"/>
  <c r="AC100" i="6"/>
  <c r="AC99" i="6"/>
  <c r="AC98" i="6"/>
  <c r="AC97" i="6"/>
  <c r="AC96" i="6"/>
  <c r="AC95" i="6"/>
  <c r="AC94" i="6"/>
  <c r="AA144" i="6"/>
  <c r="AA143" i="6"/>
  <c r="AA142" i="6"/>
  <c r="AA141" i="6"/>
  <c r="AA140" i="6"/>
  <c r="AA139" i="6"/>
  <c r="AA138" i="6"/>
  <c r="AA137" i="6"/>
  <c r="AA129" i="6"/>
  <c r="AA128" i="6"/>
  <c r="AA127" i="6"/>
  <c r="AA126" i="6"/>
  <c r="AA125" i="6"/>
  <c r="AA124" i="6"/>
  <c r="AA123" i="6"/>
  <c r="AA122" i="6"/>
  <c r="AA121" i="6"/>
  <c r="AA120" i="6"/>
  <c r="AA119" i="6"/>
  <c r="AA118" i="6"/>
  <c r="AA117" i="6"/>
  <c r="AA116" i="6"/>
  <c r="AA115" i="6"/>
  <c r="AA114" i="6"/>
  <c r="AA113" i="6"/>
  <c r="AA112" i="6"/>
  <c r="AA111" i="6"/>
  <c r="AA110" i="6"/>
  <c r="AA109" i="6"/>
  <c r="AA108" i="6"/>
  <c r="AA107" i="6"/>
  <c r="AA106" i="6"/>
  <c r="AA105" i="6"/>
  <c r="AA104" i="6"/>
  <c r="AA103" i="6"/>
  <c r="AA102" i="6"/>
  <c r="AA101" i="6"/>
  <c r="AA100" i="6"/>
  <c r="AA99" i="6"/>
  <c r="AA98" i="6"/>
  <c r="AA97" i="6"/>
  <c r="AA96" i="6"/>
  <c r="AA95" i="6"/>
  <c r="AA94" i="6"/>
  <c r="Y144" i="6"/>
  <c r="Y143" i="6"/>
  <c r="Y142" i="6"/>
  <c r="Y141" i="6"/>
  <c r="Y140" i="6"/>
  <c r="Y139" i="6"/>
  <c r="Y138" i="6"/>
  <c r="Y137" i="6"/>
  <c r="Y129" i="6"/>
  <c r="Y128" i="6"/>
  <c r="Y127" i="6"/>
  <c r="Y126" i="6"/>
  <c r="Y125" i="6"/>
  <c r="Y124" i="6"/>
  <c r="Y123" i="6"/>
  <c r="Y122" i="6"/>
  <c r="Y121" i="6"/>
  <c r="Y120" i="6"/>
  <c r="Y119" i="6"/>
  <c r="Y118" i="6"/>
  <c r="Y117" i="6"/>
  <c r="Y116" i="6"/>
  <c r="Y115" i="6"/>
  <c r="Y114" i="6"/>
  <c r="Y113" i="6"/>
  <c r="Y112" i="6"/>
  <c r="Y111" i="6"/>
  <c r="Y110" i="6"/>
  <c r="Y109" i="6"/>
  <c r="Y108" i="6"/>
  <c r="Y107" i="6"/>
  <c r="Y106" i="6"/>
  <c r="Y105" i="6"/>
  <c r="Y104" i="6"/>
  <c r="Y103" i="6"/>
  <c r="Y102" i="6"/>
  <c r="Y101" i="6"/>
  <c r="Y100" i="6"/>
  <c r="Y99" i="6"/>
  <c r="Y98" i="6"/>
  <c r="Y97" i="6"/>
  <c r="Y96" i="6"/>
  <c r="Y95" i="6"/>
  <c r="Y94" i="6"/>
  <c r="W144" i="6"/>
  <c r="W143" i="6"/>
  <c r="W142" i="6"/>
  <c r="W141" i="6"/>
  <c r="W140" i="6"/>
  <c r="W139" i="6"/>
  <c r="W138" i="6"/>
  <c r="W137" i="6"/>
  <c r="W129" i="6"/>
  <c r="W128" i="6"/>
  <c r="W127" i="6"/>
  <c r="W126" i="6"/>
  <c r="W125" i="6"/>
  <c r="W124" i="6"/>
  <c r="W123" i="6"/>
  <c r="W122" i="6"/>
  <c r="W121" i="6"/>
  <c r="W120" i="6"/>
  <c r="W119" i="6"/>
  <c r="W118" i="6"/>
  <c r="W117" i="6"/>
  <c r="W116" i="6"/>
  <c r="W115" i="6"/>
  <c r="W114" i="6"/>
  <c r="W113" i="6"/>
  <c r="W112" i="6"/>
  <c r="W111" i="6"/>
  <c r="W110" i="6"/>
  <c r="W109" i="6"/>
  <c r="W108" i="6"/>
  <c r="W107" i="6"/>
  <c r="W106" i="6"/>
  <c r="W105" i="6"/>
  <c r="W104" i="6"/>
  <c r="W103" i="6"/>
  <c r="W102" i="6"/>
  <c r="W101" i="6"/>
  <c r="W100" i="6"/>
  <c r="W99" i="6"/>
  <c r="W98" i="6"/>
  <c r="W97" i="6"/>
  <c r="W96" i="6"/>
  <c r="W95" i="6"/>
  <c r="W94" i="6"/>
  <c r="U144" i="6"/>
  <c r="U143" i="6"/>
  <c r="U142" i="6"/>
  <c r="U141" i="6"/>
  <c r="U140" i="6"/>
  <c r="U139" i="6"/>
  <c r="U138" i="6"/>
  <c r="U137" i="6"/>
  <c r="U129" i="6"/>
  <c r="U128" i="6"/>
  <c r="U127" i="6"/>
  <c r="U126" i="6"/>
  <c r="U125" i="6"/>
  <c r="U124" i="6"/>
  <c r="U123" i="6"/>
  <c r="U122" i="6"/>
  <c r="U121" i="6"/>
  <c r="U120" i="6"/>
  <c r="U119" i="6"/>
  <c r="U118" i="6"/>
  <c r="U117" i="6"/>
  <c r="U116" i="6"/>
  <c r="U115" i="6"/>
  <c r="U114" i="6"/>
  <c r="U113" i="6"/>
  <c r="U112" i="6"/>
  <c r="U111" i="6"/>
  <c r="U110" i="6"/>
  <c r="U109" i="6"/>
  <c r="U108" i="6"/>
  <c r="U107" i="6"/>
  <c r="U106" i="6"/>
  <c r="U105" i="6"/>
  <c r="U104" i="6"/>
  <c r="U103" i="6"/>
  <c r="U102" i="6"/>
  <c r="U101" i="6"/>
  <c r="U100" i="6"/>
  <c r="U99" i="6"/>
  <c r="U98" i="6"/>
  <c r="U97" i="6"/>
  <c r="U96" i="6"/>
  <c r="U95" i="6"/>
  <c r="U94" i="6"/>
  <c r="S144" i="6"/>
  <c r="S143" i="6"/>
  <c r="S142" i="6"/>
  <c r="S141" i="6"/>
  <c r="S140" i="6"/>
  <c r="S139" i="6"/>
  <c r="S138" i="6"/>
  <c r="S137" i="6"/>
  <c r="S129" i="6"/>
  <c r="S128" i="6"/>
  <c r="S127" i="6"/>
  <c r="S126" i="6"/>
  <c r="S125" i="6"/>
  <c r="S124" i="6"/>
  <c r="S123" i="6"/>
  <c r="S122" i="6"/>
  <c r="S121" i="6"/>
  <c r="S120" i="6"/>
  <c r="S119" i="6"/>
  <c r="S118" i="6"/>
  <c r="S117" i="6"/>
  <c r="S116" i="6"/>
  <c r="S115" i="6"/>
  <c r="S114" i="6"/>
  <c r="S113" i="6"/>
  <c r="S112" i="6"/>
  <c r="S111" i="6"/>
  <c r="S110" i="6"/>
  <c r="S109" i="6"/>
  <c r="S108" i="6"/>
  <c r="S107" i="6"/>
  <c r="S106" i="6"/>
  <c r="S105" i="6"/>
  <c r="S104" i="6"/>
  <c r="S103" i="6"/>
  <c r="S102" i="6"/>
  <c r="S101" i="6"/>
  <c r="S100" i="6"/>
  <c r="S99" i="6"/>
  <c r="S98" i="6"/>
  <c r="S97" i="6"/>
  <c r="S96" i="6"/>
  <c r="S95" i="6"/>
  <c r="S94" i="6"/>
  <c r="Q144" i="6"/>
  <c r="Q143" i="6"/>
  <c r="Q142" i="6"/>
  <c r="Q141" i="6"/>
  <c r="Q140" i="6"/>
  <c r="Q139" i="6"/>
  <c r="Q138" i="6"/>
  <c r="Q137" i="6"/>
  <c r="Q129" i="6"/>
  <c r="Q128" i="6"/>
  <c r="Q127" i="6"/>
  <c r="Q126" i="6"/>
  <c r="Q125" i="6"/>
  <c r="Q124" i="6"/>
  <c r="Q123" i="6"/>
  <c r="Q122" i="6"/>
  <c r="Q121" i="6"/>
  <c r="Q120" i="6"/>
  <c r="Q119" i="6"/>
  <c r="Q118" i="6"/>
  <c r="Q117" i="6"/>
  <c r="Q116" i="6"/>
  <c r="Q115" i="6"/>
  <c r="Q114" i="6"/>
  <c r="Q113" i="6"/>
  <c r="Q112" i="6"/>
  <c r="Q111" i="6"/>
  <c r="Q110" i="6"/>
  <c r="Q109" i="6"/>
  <c r="Q108" i="6"/>
  <c r="Q107" i="6"/>
  <c r="Q106" i="6"/>
  <c r="Q105" i="6"/>
  <c r="Q104" i="6"/>
  <c r="Q103" i="6"/>
  <c r="Q102" i="6"/>
  <c r="Q101" i="6"/>
  <c r="Q100" i="6"/>
  <c r="Q99" i="6"/>
  <c r="Q98" i="6"/>
  <c r="Q97" i="6"/>
  <c r="Q96" i="6"/>
  <c r="Q95" i="6"/>
  <c r="Q94" i="6"/>
  <c r="EX57" i="7"/>
  <c r="EX56" i="7"/>
  <c r="EX55" i="7"/>
  <c r="EX54" i="7"/>
  <c r="EX53" i="7"/>
  <c r="EX52" i="7"/>
  <c r="EX51" i="7"/>
  <c r="EX50" i="7"/>
  <c r="EX42" i="7"/>
  <c r="EX41" i="7"/>
  <c r="EX40" i="7"/>
  <c r="EX39" i="7"/>
  <c r="EX38" i="7"/>
  <c r="EX37" i="7"/>
  <c r="EX36" i="7"/>
  <c r="EX35" i="7"/>
  <c r="EX34" i="7"/>
  <c r="EX33" i="7"/>
  <c r="EX32" i="7"/>
  <c r="EX31" i="7"/>
  <c r="EX30" i="7"/>
  <c r="EX29" i="7"/>
  <c r="EX28" i="7"/>
  <c r="EX27" i="7"/>
  <c r="EX26" i="7"/>
  <c r="EX25" i="7"/>
  <c r="EX24" i="7"/>
  <c r="EX23" i="7"/>
  <c r="EX22" i="7"/>
  <c r="EX21" i="7"/>
  <c r="EX20" i="7"/>
  <c r="EX19" i="7"/>
  <c r="EX18" i="7"/>
  <c r="EX17" i="7"/>
  <c r="EX16" i="7"/>
  <c r="EX15" i="7"/>
  <c r="EX14" i="7"/>
  <c r="EX13" i="7"/>
  <c r="EX12" i="7"/>
  <c r="EX11" i="7"/>
  <c r="EX10" i="7"/>
  <c r="EX9" i="7"/>
  <c r="EX8" i="7"/>
  <c r="EX7" i="7"/>
  <c r="EW57" i="7"/>
  <c r="EW56" i="7"/>
  <c r="EW55" i="7"/>
  <c r="EW54" i="7"/>
  <c r="EW53" i="7"/>
  <c r="EW52" i="7"/>
  <c r="EW51" i="7"/>
  <c r="EW50" i="7"/>
  <c r="EW42" i="7"/>
  <c r="EW41" i="7"/>
  <c r="EW40" i="7"/>
  <c r="EW39" i="7"/>
  <c r="EW38" i="7"/>
  <c r="EW37" i="7"/>
  <c r="EW36" i="7"/>
  <c r="EW35" i="7"/>
  <c r="EW34" i="7"/>
  <c r="EW33" i="7"/>
  <c r="EW32" i="7"/>
  <c r="EW31" i="7"/>
  <c r="EW30" i="7"/>
  <c r="EW29" i="7"/>
  <c r="EW28" i="7"/>
  <c r="EW27" i="7"/>
  <c r="EW26" i="7"/>
  <c r="EW25" i="7"/>
  <c r="EW24" i="7"/>
  <c r="EW23" i="7"/>
  <c r="EW22" i="7"/>
  <c r="EW21" i="7"/>
  <c r="EW20" i="7"/>
  <c r="EW19" i="7"/>
  <c r="EW18" i="7"/>
  <c r="EW17" i="7"/>
  <c r="EW16" i="7"/>
  <c r="EW15" i="7"/>
  <c r="EW14" i="7"/>
  <c r="EW13" i="7"/>
  <c r="EW12" i="7"/>
  <c r="EW11" i="7"/>
  <c r="EW10" i="7"/>
  <c r="EW9" i="7"/>
  <c r="EW8" i="7"/>
  <c r="EW7" i="7"/>
  <c r="EV57" i="7"/>
  <c r="EV56" i="7"/>
  <c r="EV55" i="7"/>
  <c r="EV54" i="7"/>
  <c r="EV53" i="7"/>
  <c r="EV52" i="7"/>
  <c r="EV51" i="7"/>
  <c r="EV50" i="7"/>
  <c r="EV42" i="7"/>
  <c r="EV41" i="7"/>
  <c r="EV40" i="7"/>
  <c r="EV39" i="7"/>
  <c r="EV38" i="7"/>
  <c r="EV37" i="7"/>
  <c r="EV36" i="7"/>
  <c r="EV35" i="7"/>
  <c r="EV34" i="7"/>
  <c r="EV33" i="7"/>
  <c r="EV32" i="7"/>
  <c r="EV31" i="7"/>
  <c r="EV30" i="7"/>
  <c r="EV29" i="7"/>
  <c r="EV28" i="7"/>
  <c r="EV27" i="7"/>
  <c r="EV26" i="7"/>
  <c r="EV25" i="7"/>
  <c r="EV24" i="7"/>
  <c r="EV23" i="7"/>
  <c r="EV22" i="7"/>
  <c r="EV21" i="7"/>
  <c r="EV20" i="7"/>
  <c r="EV19" i="7"/>
  <c r="EV18" i="7"/>
  <c r="EV17" i="7"/>
  <c r="EV16" i="7"/>
  <c r="EV15" i="7"/>
  <c r="EV14" i="7"/>
  <c r="EV13" i="7"/>
  <c r="EV12" i="7"/>
  <c r="EV11" i="7"/>
  <c r="EV10" i="7"/>
  <c r="EV9" i="7"/>
  <c r="EV8" i="7"/>
  <c r="EV7" i="7"/>
  <c r="EU57" i="7"/>
  <c r="EU56" i="7"/>
  <c r="EU55" i="7"/>
  <c r="EU54" i="7"/>
  <c r="EU53" i="7"/>
  <c r="EU52" i="7"/>
  <c r="EU51" i="7"/>
  <c r="EU50" i="7"/>
  <c r="EU42" i="7"/>
  <c r="EU41" i="7"/>
  <c r="EU40" i="7"/>
  <c r="EU39" i="7"/>
  <c r="EU38" i="7"/>
  <c r="EU37" i="7"/>
  <c r="EU36" i="7"/>
  <c r="EU35" i="7"/>
  <c r="EU34" i="7"/>
  <c r="EU33" i="7"/>
  <c r="EU32" i="7"/>
  <c r="EU31" i="7"/>
  <c r="EU30" i="7"/>
  <c r="EU29" i="7"/>
  <c r="EU28" i="7"/>
  <c r="EU27" i="7"/>
  <c r="EU26" i="7"/>
  <c r="EU25" i="7"/>
  <c r="EU24" i="7"/>
  <c r="EU23" i="7"/>
  <c r="EU22" i="7"/>
  <c r="EU21" i="7"/>
  <c r="EU20" i="7"/>
  <c r="EU19" i="7"/>
  <c r="EU18" i="7"/>
  <c r="EU17" i="7"/>
  <c r="EU16" i="7"/>
  <c r="EU15" i="7"/>
  <c r="EU14" i="7"/>
  <c r="EU13" i="7"/>
  <c r="EU12" i="7"/>
  <c r="EU11" i="7"/>
  <c r="EU10" i="7"/>
  <c r="EU9" i="7"/>
  <c r="EU8" i="7"/>
  <c r="EU7" i="7"/>
  <c r="ET57" i="7"/>
  <c r="ET56" i="7"/>
  <c r="ET55" i="7"/>
  <c r="ET54" i="7"/>
  <c r="ET53" i="7"/>
  <c r="ET52" i="7"/>
  <c r="ET51" i="7"/>
  <c r="ET50" i="7"/>
  <c r="ET42" i="7"/>
  <c r="ET41" i="7"/>
  <c r="ET40" i="7"/>
  <c r="ET39" i="7"/>
  <c r="ET38" i="7"/>
  <c r="ET37" i="7"/>
  <c r="ET36" i="7"/>
  <c r="ET35" i="7"/>
  <c r="ET34" i="7"/>
  <c r="ET33" i="7"/>
  <c r="ET32" i="7"/>
  <c r="ET31" i="7"/>
  <c r="ET30" i="7"/>
  <c r="ET29" i="7"/>
  <c r="ET28" i="7"/>
  <c r="ET27" i="7"/>
  <c r="ET26" i="7"/>
  <c r="ET25" i="7"/>
  <c r="ET24" i="7"/>
  <c r="ET23" i="7"/>
  <c r="ET22" i="7"/>
  <c r="ET21" i="7"/>
  <c r="ET20" i="7"/>
  <c r="ET19" i="7"/>
  <c r="ET18" i="7"/>
  <c r="ET17" i="7"/>
  <c r="ET16" i="7"/>
  <c r="ET15" i="7"/>
  <c r="ET14" i="7"/>
  <c r="ET13" i="7"/>
  <c r="ET12" i="7"/>
  <c r="ET11" i="7"/>
  <c r="ET10" i="7"/>
  <c r="ET9" i="7"/>
  <c r="ET8" i="7"/>
  <c r="ET7" i="7"/>
  <c r="E144" i="6"/>
  <c r="E143" i="6"/>
  <c r="E142" i="6"/>
  <c r="E141" i="6"/>
  <c r="E140" i="6"/>
  <c r="E139" i="6"/>
  <c r="E138" i="6"/>
  <c r="E137" i="6"/>
  <c r="E129" i="6"/>
  <c r="E128" i="6"/>
  <c r="E127" i="6"/>
  <c r="E126" i="6"/>
  <c r="E125" i="6"/>
  <c r="E124" i="6"/>
  <c r="E123" i="6"/>
  <c r="E122" i="6"/>
  <c r="E121" i="6"/>
  <c r="E120" i="6"/>
  <c r="E119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7" i="6"/>
  <c r="C138" i="6"/>
  <c r="C139" i="6"/>
  <c r="C140" i="6"/>
  <c r="C141" i="6"/>
  <c r="C142" i="6"/>
  <c r="C143" i="6"/>
  <c r="C144" i="6"/>
  <c r="C94" i="6"/>
  <c r="AE6" i="6"/>
  <c r="AE56" i="6"/>
  <c r="AE55" i="6"/>
  <c r="AE54" i="6"/>
  <c r="AE53" i="6"/>
  <c r="AE52" i="6"/>
  <c r="AE51" i="6"/>
  <c r="AE50" i="6"/>
  <c r="AE49" i="6"/>
  <c r="AE47" i="6"/>
  <c r="AE46" i="6"/>
  <c r="AE40" i="6"/>
  <c r="AE39" i="6"/>
  <c r="AE38" i="6"/>
  <c r="AE37" i="6"/>
  <c r="AE36" i="6"/>
  <c r="AE35" i="6"/>
  <c r="AE34" i="6"/>
  <c r="AE33" i="6"/>
  <c r="AE32" i="6"/>
  <c r="AE31" i="6"/>
  <c r="AE30" i="6"/>
  <c r="AE29" i="6"/>
  <c r="AE28" i="6"/>
  <c r="AE27" i="6"/>
  <c r="AE26" i="6"/>
  <c r="AE25" i="6"/>
  <c r="AE24" i="6"/>
  <c r="AE23" i="6"/>
  <c r="AE22" i="6"/>
  <c r="AE21" i="6"/>
  <c r="AE20" i="6"/>
  <c r="AE18" i="6"/>
  <c r="AE17" i="6"/>
  <c r="AE16" i="6"/>
  <c r="AE15" i="6"/>
  <c r="AE14" i="6"/>
  <c r="AE13" i="6"/>
  <c r="AE12" i="6"/>
  <c r="AE11" i="6"/>
  <c r="AE10" i="6"/>
  <c r="AE9" i="6"/>
  <c r="AE8" i="6"/>
  <c r="AE7" i="6"/>
  <c r="AC56" i="6"/>
  <c r="AC55" i="6"/>
  <c r="AC54" i="6"/>
  <c r="AC53" i="6"/>
  <c r="AC52" i="6"/>
  <c r="AC51" i="6"/>
  <c r="AC50" i="6"/>
  <c r="AC49" i="6"/>
  <c r="AC47" i="6"/>
  <c r="AC46" i="6"/>
  <c r="AC40" i="6"/>
  <c r="AC39" i="6"/>
  <c r="AC38" i="6"/>
  <c r="AC37" i="6"/>
  <c r="AC36" i="6"/>
  <c r="AC35" i="6"/>
  <c r="AC34" i="6"/>
  <c r="AC33" i="6"/>
  <c r="AC32" i="6"/>
  <c r="AC31" i="6"/>
  <c r="AC30" i="6"/>
  <c r="AC29" i="6"/>
  <c r="AC28" i="6"/>
  <c r="AC27" i="6"/>
  <c r="AC26" i="6"/>
  <c r="AC25" i="6"/>
  <c r="AC24" i="6"/>
  <c r="AC23" i="6"/>
  <c r="AC22" i="6"/>
  <c r="AC21" i="6"/>
  <c r="AC20" i="6"/>
  <c r="AC18" i="6"/>
  <c r="AC17" i="6"/>
  <c r="AC16" i="6"/>
  <c r="AC15" i="6"/>
  <c r="AC14" i="6"/>
  <c r="AC13" i="6"/>
  <c r="AC12" i="6"/>
  <c r="AC11" i="6"/>
  <c r="AC10" i="6"/>
  <c r="AC9" i="6"/>
  <c r="AC8" i="6"/>
  <c r="AC7" i="6"/>
  <c r="AC6" i="6"/>
  <c r="AA56" i="6"/>
  <c r="AA55" i="6"/>
  <c r="AA54" i="6"/>
  <c r="AA53" i="6"/>
  <c r="AA52" i="6"/>
  <c r="AA51" i="6"/>
  <c r="AA50" i="6"/>
  <c r="AA49" i="6"/>
  <c r="AA47" i="6"/>
  <c r="AA46" i="6"/>
  <c r="AA40" i="6"/>
  <c r="AA39" i="6"/>
  <c r="AA38" i="6"/>
  <c r="AA37" i="6"/>
  <c r="AA36" i="6"/>
  <c r="AA35" i="6"/>
  <c r="AA34" i="6"/>
  <c r="AA33" i="6"/>
  <c r="AA32" i="6"/>
  <c r="AA31" i="6"/>
  <c r="AA30" i="6"/>
  <c r="AA29" i="6"/>
  <c r="AA28" i="6"/>
  <c r="AA27" i="6"/>
  <c r="AA26" i="6"/>
  <c r="AA25" i="6"/>
  <c r="AA24" i="6"/>
  <c r="AA23" i="6"/>
  <c r="AA22" i="6"/>
  <c r="AA21" i="6"/>
  <c r="AA20" i="6"/>
  <c r="AA18" i="6"/>
  <c r="AA17" i="6"/>
  <c r="AA16" i="6"/>
  <c r="AA15" i="6"/>
  <c r="AA14" i="6"/>
  <c r="AA13" i="6"/>
  <c r="AA12" i="6"/>
  <c r="AA11" i="6"/>
  <c r="AA10" i="6"/>
  <c r="AA9" i="6"/>
  <c r="AA8" i="6"/>
  <c r="AA7" i="6"/>
  <c r="AA6" i="6"/>
  <c r="Y56" i="6"/>
  <c r="Y55" i="6"/>
  <c r="Y54" i="6"/>
  <c r="Y53" i="6"/>
  <c r="Y52" i="6"/>
  <c r="Y51" i="6"/>
  <c r="Y50" i="6"/>
  <c r="Y49" i="6"/>
  <c r="Y47" i="6"/>
  <c r="Y46" i="6"/>
  <c r="Y40" i="6"/>
  <c r="Y39" i="6"/>
  <c r="Y38" i="6"/>
  <c r="Y37" i="6"/>
  <c r="Y36" i="6"/>
  <c r="Y35" i="6"/>
  <c r="Y34" i="6"/>
  <c r="Y33" i="6"/>
  <c r="Y32" i="6"/>
  <c r="Y31" i="6"/>
  <c r="Y30" i="6"/>
  <c r="Y29" i="6"/>
  <c r="Y28" i="6"/>
  <c r="Y27" i="6"/>
  <c r="Y26" i="6"/>
  <c r="Y25" i="6"/>
  <c r="Y24" i="6"/>
  <c r="Y23" i="6"/>
  <c r="Y22" i="6"/>
  <c r="Y21" i="6"/>
  <c r="Y20" i="6"/>
  <c r="Y18" i="6"/>
  <c r="Y17" i="6"/>
  <c r="Y16" i="6"/>
  <c r="Y15" i="6"/>
  <c r="Y14" i="6"/>
  <c r="Y13" i="6"/>
  <c r="Y12" i="6"/>
  <c r="Y11" i="6"/>
  <c r="Y10" i="6"/>
  <c r="Y9" i="6"/>
  <c r="Y8" i="6"/>
  <c r="Y7" i="6"/>
  <c r="Y6" i="6"/>
  <c r="W56" i="6"/>
  <c r="W55" i="6"/>
  <c r="W54" i="6"/>
  <c r="W53" i="6"/>
  <c r="W52" i="6"/>
  <c r="W51" i="6"/>
  <c r="W50" i="6"/>
  <c r="W49" i="6"/>
  <c r="W47" i="6"/>
  <c r="W46" i="6"/>
  <c r="W40" i="6"/>
  <c r="W39" i="6"/>
  <c r="W38" i="6"/>
  <c r="W37" i="6"/>
  <c r="W36" i="6"/>
  <c r="W35" i="6"/>
  <c r="W34" i="6"/>
  <c r="W33" i="6"/>
  <c r="W32" i="6"/>
  <c r="W31" i="6"/>
  <c r="W30" i="6"/>
  <c r="W29" i="6"/>
  <c r="W28" i="6"/>
  <c r="W27" i="6"/>
  <c r="W26" i="6"/>
  <c r="W25" i="6"/>
  <c r="W24" i="6"/>
  <c r="W23" i="6"/>
  <c r="W22" i="6"/>
  <c r="W21" i="6"/>
  <c r="W20" i="6"/>
  <c r="W18" i="6"/>
  <c r="W17" i="6"/>
  <c r="W16" i="6"/>
  <c r="W15" i="6"/>
  <c r="W14" i="6"/>
  <c r="W13" i="6"/>
  <c r="W12" i="6"/>
  <c r="W11" i="6"/>
  <c r="W10" i="6"/>
  <c r="W9" i="6"/>
  <c r="W8" i="6"/>
  <c r="W7" i="6"/>
  <c r="W6" i="6"/>
  <c r="U56" i="6"/>
  <c r="U55" i="6"/>
  <c r="U54" i="6"/>
  <c r="U53" i="6"/>
  <c r="U52" i="6"/>
  <c r="U51" i="6"/>
  <c r="U50" i="6"/>
  <c r="U49" i="6"/>
  <c r="U47" i="6"/>
  <c r="U46" i="6"/>
  <c r="U40" i="6"/>
  <c r="U39" i="6"/>
  <c r="U38" i="6"/>
  <c r="U37" i="6"/>
  <c r="U36" i="6"/>
  <c r="U35" i="6"/>
  <c r="U34" i="6"/>
  <c r="U33" i="6"/>
  <c r="U32" i="6"/>
  <c r="U31" i="6"/>
  <c r="U30" i="6"/>
  <c r="U29" i="6"/>
  <c r="U28" i="6"/>
  <c r="U27" i="6"/>
  <c r="U26" i="6"/>
  <c r="U25" i="6"/>
  <c r="U24" i="6"/>
  <c r="U23" i="6"/>
  <c r="U22" i="6"/>
  <c r="U21" i="6"/>
  <c r="U20" i="6"/>
  <c r="U18" i="6"/>
  <c r="U17" i="6"/>
  <c r="U16" i="6"/>
  <c r="U15" i="6"/>
  <c r="U14" i="6"/>
  <c r="U13" i="6"/>
  <c r="U12" i="6"/>
  <c r="U11" i="6"/>
  <c r="U10" i="6"/>
  <c r="U9" i="6"/>
  <c r="U8" i="6"/>
  <c r="U7" i="6"/>
  <c r="U6" i="6"/>
  <c r="S56" i="6"/>
  <c r="S55" i="6"/>
  <c r="S54" i="6"/>
  <c r="S53" i="6"/>
  <c r="S52" i="6"/>
  <c r="S51" i="6"/>
  <c r="S50" i="6"/>
  <c r="S49" i="6"/>
  <c r="S47" i="6"/>
  <c r="S46" i="6"/>
  <c r="S40" i="6"/>
  <c r="S39" i="6"/>
  <c r="S38" i="6"/>
  <c r="S37" i="6"/>
  <c r="S36" i="6"/>
  <c r="S35" i="6"/>
  <c r="S34" i="6"/>
  <c r="S33" i="6"/>
  <c r="S32" i="6"/>
  <c r="S31" i="6"/>
  <c r="S30" i="6"/>
  <c r="S29" i="6"/>
  <c r="S28" i="6"/>
  <c r="S27" i="6"/>
  <c r="S26" i="6"/>
  <c r="S25" i="6"/>
  <c r="S24" i="6"/>
  <c r="S23" i="6"/>
  <c r="S22" i="6"/>
  <c r="S21" i="6"/>
  <c r="S20" i="6"/>
  <c r="S18" i="6"/>
  <c r="S17" i="6"/>
  <c r="S16" i="6"/>
  <c r="S15" i="6"/>
  <c r="S14" i="6"/>
  <c r="S13" i="6"/>
  <c r="S12" i="6"/>
  <c r="S11" i="6"/>
  <c r="S10" i="6"/>
  <c r="S9" i="6"/>
  <c r="S8" i="6"/>
  <c r="S7" i="6"/>
  <c r="S6" i="6"/>
  <c r="Q56" i="6"/>
  <c r="Q55" i="6"/>
  <c r="Q54" i="6"/>
  <c r="Q53" i="6"/>
  <c r="Q52" i="6"/>
  <c r="Q51" i="6"/>
  <c r="Q50" i="6"/>
  <c r="Q49" i="6"/>
  <c r="Q47" i="6"/>
  <c r="Q40" i="6"/>
  <c r="Q39" i="6"/>
  <c r="Q38" i="6"/>
  <c r="Q37" i="6"/>
  <c r="Q36" i="6"/>
  <c r="Q35" i="6"/>
  <c r="Q34" i="6"/>
  <c r="Q33" i="6"/>
  <c r="Q32" i="6"/>
  <c r="Q31" i="6"/>
  <c r="Q30" i="6"/>
  <c r="Q29" i="6"/>
  <c r="Q28" i="6"/>
  <c r="Q27" i="6"/>
  <c r="Q26" i="6"/>
  <c r="Q25" i="6"/>
  <c r="Q24" i="6"/>
  <c r="Q23" i="6"/>
  <c r="Q22" i="6"/>
  <c r="Q21" i="6"/>
  <c r="Q20" i="6"/>
  <c r="Q18" i="6"/>
  <c r="Q17" i="6"/>
  <c r="Q16" i="6"/>
  <c r="Q15" i="6"/>
  <c r="Q14" i="6"/>
  <c r="Q13" i="6"/>
  <c r="Q12" i="6"/>
  <c r="Q11" i="6"/>
  <c r="Q10" i="6"/>
  <c r="Q9" i="6"/>
  <c r="Q8" i="6"/>
  <c r="Q7" i="6"/>
  <c r="Q6" i="6"/>
  <c r="O56" i="6"/>
  <c r="O55" i="6"/>
  <c r="O54" i="6"/>
  <c r="O53" i="6"/>
  <c r="O52" i="6"/>
  <c r="O51" i="6"/>
  <c r="O50" i="6"/>
  <c r="O49" i="6"/>
  <c r="O47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M56" i="6"/>
  <c r="M55" i="6"/>
  <c r="M54" i="6"/>
  <c r="M53" i="6"/>
  <c r="M52" i="6"/>
  <c r="M51" i="6"/>
  <c r="M50" i="6"/>
  <c r="M49" i="6"/>
  <c r="M47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K56" i="6"/>
  <c r="K55" i="6"/>
  <c r="K54" i="6"/>
  <c r="K53" i="6"/>
  <c r="K52" i="6"/>
  <c r="K51" i="6"/>
  <c r="K50" i="6"/>
  <c r="K49" i="6"/>
  <c r="K47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I56" i="6"/>
  <c r="I55" i="6"/>
  <c r="I54" i="6"/>
  <c r="I53" i="6"/>
  <c r="I52" i="6"/>
  <c r="I51" i="6"/>
  <c r="I50" i="6"/>
  <c r="I49" i="6"/>
  <c r="I47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G56" i="6"/>
  <c r="G55" i="6"/>
  <c r="G54" i="6"/>
  <c r="G53" i="6"/>
  <c r="G52" i="6"/>
  <c r="G51" i="6"/>
  <c r="G50" i="6"/>
  <c r="G49" i="6"/>
  <c r="G47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EC37" i="7"/>
  <c r="EC38" i="7"/>
  <c r="EC39" i="7"/>
  <c r="EC40" i="7"/>
  <c r="EC41" i="7"/>
  <c r="EC48" i="7"/>
  <c r="EC50" i="7"/>
  <c r="EC51" i="7"/>
  <c r="EC52" i="7"/>
  <c r="EC53" i="7"/>
  <c r="EC54" i="7"/>
  <c r="EC55" i="7"/>
  <c r="EC56" i="7"/>
  <c r="EC57" i="7"/>
  <c r="EC7" i="7"/>
  <c r="W528" i="6" l="1"/>
  <c r="SA183" i="1"/>
  <c r="SA184" i="1" s="1"/>
  <c r="SA185" i="1" s="1"/>
  <c r="SA186" i="1" s="1"/>
  <c r="SA187" i="1" s="1"/>
  <c r="SA188" i="1" s="1"/>
  <c r="SA189" i="1" s="1"/>
  <c r="SA190" i="1" s="1"/>
  <c r="SA191" i="1" s="1"/>
  <c r="SA192" i="1" s="1"/>
  <c r="SA193" i="1" s="1"/>
  <c r="SA194" i="1" s="1"/>
  <c r="SA195" i="1" s="1"/>
  <c r="SA196" i="1" s="1"/>
  <c r="SA197" i="1" s="1"/>
  <c r="SA198" i="1" s="1"/>
  <c r="SA199" i="1" s="1"/>
  <c r="SA200" i="1" s="1"/>
  <c r="SA201" i="1" s="1"/>
  <c r="SA202" i="1" s="1"/>
  <c r="SA203" i="1" s="1"/>
  <c r="SA204" i="1" s="1"/>
  <c r="SA205" i="1" s="1"/>
  <c r="SA206" i="1" s="1"/>
  <c r="SA207" i="1" s="1"/>
  <c r="SA208" i="1" s="1"/>
  <c r="SA209" i="1" s="1"/>
  <c r="SA210" i="1" s="1"/>
  <c r="SA211" i="1" s="1"/>
  <c r="SA212" i="1" s="1"/>
  <c r="SA213" i="1" s="1"/>
  <c r="BD39" i="5"/>
  <c r="SS183" i="1"/>
  <c r="SS184" i="1" s="1"/>
  <c r="SS185" i="1" s="1"/>
  <c r="SS186" i="1" s="1"/>
  <c r="SS187" i="1" s="1"/>
  <c r="SS188" i="1" s="1"/>
  <c r="SS189" i="1" s="1"/>
  <c r="SS190" i="1" s="1"/>
  <c r="SS191" i="1" s="1"/>
  <c r="SS192" i="1" s="1"/>
  <c r="SS193" i="1" s="1"/>
  <c r="SS194" i="1" s="1"/>
  <c r="SS195" i="1" s="1"/>
  <c r="SS196" i="1" s="1"/>
  <c r="SS197" i="1" s="1"/>
  <c r="SS198" i="1" s="1"/>
  <c r="SS199" i="1" s="1"/>
  <c r="SS200" i="1" s="1"/>
  <c r="SS201" i="1" s="1"/>
  <c r="SS202" i="1" s="1"/>
  <c r="SS203" i="1" s="1"/>
  <c r="SS204" i="1" s="1"/>
  <c r="SS205" i="1" s="1"/>
  <c r="SS206" i="1" s="1"/>
  <c r="SS207" i="1" s="1"/>
  <c r="SS208" i="1" s="1"/>
  <c r="SS209" i="1" s="1"/>
  <c r="SS210" i="1" s="1"/>
  <c r="SS211" i="1" s="1"/>
  <c r="SS212" i="1" s="1"/>
  <c r="SS213" i="1" s="1"/>
  <c r="BF39" i="5"/>
  <c r="TB183" i="1"/>
  <c r="TB184" i="1" s="1"/>
  <c r="TB185" i="1" s="1"/>
  <c r="TB186" i="1" s="1"/>
  <c r="TB187" i="1" s="1"/>
  <c r="TB188" i="1" s="1"/>
  <c r="TB189" i="1" s="1"/>
  <c r="TB190" i="1" s="1"/>
  <c r="TB191" i="1" s="1"/>
  <c r="TB192" i="1" s="1"/>
  <c r="TB193" i="1" s="1"/>
  <c r="TB194" i="1" s="1"/>
  <c r="TB195" i="1" s="1"/>
  <c r="TB196" i="1" s="1"/>
  <c r="TB197" i="1" s="1"/>
  <c r="TB198" i="1" s="1"/>
  <c r="TB199" i="1" s="1"/>
  <c r="TB200" i="1" s="1"/>
  <c r="TB201" i="1" s="1"/>
  <c r="TB202" i="1" s="1"/>
  <c r="TB203" i="1" s="1"/>
  <c r="TB204" i="1" s="1"/>
  <c r="TB205" i="1" s="1"/>
  <c r="TB206" i="1" s="1"/>
  <c r="TB207" i="1" s="1"/>
  <c r="TB208" i="1" s="1"/>
  <c r="TB209" i="1" s="1"/>
  <c r="TB210" i="1" s="1"/>
  <c r="TB211" i="1" s="1"/>
  <c r="TB212" i="1" s="1"/>
  <c r="TB213" i="1" s="1"/>
  <c r="BG39" i="5"/>
  <c r="TK183" i="1"/>
  <c r="TK184" i="1" s="1"/>
  <c r="TK185" i="1" s="1"/>
  <c r="TK186" i="1" s="1"/>
  <c r="TK187" i="1" s="1"/>
  <c r="TK188" i="1" s="1"/>
  <c r="TK189" i="1" s="1"/>
  <c r="TK190" i="1" s="1"/>
  <c r="TK191" i="1" s="1"/>
  <c r="TK192" i="1" s="1"/>
  <c r="TK193" i="1" s="1"/>
  <c r="TK194" i="1" s="1"/>
  <c r="TK195" i="1" s="1"/>
  <c r="TK196" i="1" s="1"/>
  <c r="TK197" i="1" s="1"/>
  <c r="TK198" i="1" s="1"/>
  <c r="TK199" i="1" s="1"/>
  <c r="TK200" i="1" s="1"/>
  <c r="TK201" i="1" s="1"/>
  <c r="TK202" i="1" s="1"/>
  <c r="TK203" i="1" s="1"/>
  <c r="TK204" i="1" s="1"/>
  <c r="TK205" i="1" s="1"/>
  <c r="TK206" i="1" s="1"/>
  <c r="TK207" i="1" s="1"/>
  <c r="TK208" i="1" s="1"/>
  <c r="TK209" i="1" s="1"/>
  <c r="TK210" i="1" s="1"/>
  <c r="TK211" i="1" s="1"/>
  <c r="TK212" i="1" s="1"/>
  <c r="TK213" i="1" s="1"/>
  <c r="BH39" i="5"/>
  <c r="SJ183" i="1"/>
  <c r="SJ184" i="1" s="1"/>
  <c r="SJ185" i="1" s="1"/>
  <c r="SJ186" i="1" s="1"/>
  <c r="SJ187" i="1" s="1"/>
  <c r="SJ188" i="1" s="1"/>
  <c r="SJ189" i="1" s="1"/>
  <c r="SJ190" i="1" s="1"/>
  <c r="SJ191" i="1" s="1"/>
  <c r="SJ192" i="1" s="1"/>
  <c r="SJ193" i="1" s="1"/>
  <c r="SJ194" i="1" s="1"/>
  <c r="SJ195" i="1" s="1"/>
  <c r="SJ196" i="1" s="1"/>
  <c r="SJ197" i="1" s="1"/>
  <c r="SJ198" i="1" s="1"/>
  <c r="SJ199" i="1" s="1"/>
  <c r="SJ200" i="1" s="1"/>
  <c r="SJ201" i="1" s="1"/>
  <c r="SJ202" i="1" s="1"/>
  <c r="SJ203" i="1" s="1"/>
  <c r="SJ204" i="1" s="1"/>
  <c r="SJ205" i="1" s="1"/>
  <c r="SJ206" i="1" s="1"/>
  <c r="SJ207" i="1" s="1"/>
  <c r="SJ208" i="1" s="1"/>
  <c r="SJ209" i="1" s="1"/>
  <c r="SJ210" i="1" s="1"/>
  <c r="SJ211" i="1" s="1"/>
  <c r="SJ212" i="1" s="1"/>
  <c r="SJ213" i="1" s="1"/>
  <c r="BE39" i="5"/>
  <c r="RR183" i="1"/>
  <c r="RR184" i="1" s="1"/>
  <c r="RR185" i="1" s="1"/>
  <c r="RR186" i="1" s="1"/>
  <c r="RR187" i="1" s="1"/>
  <c r="RR188" i="1" s="1"/>
  <c r="RR189" i="1" s="1"/>
  <c r="RR190" i="1" s="1"/>
  <c r="RR191" i="1" s="1"/>
  <c r="RR192" i="1" s="1"/>
  <c r="RR193" i="1" s="1"/>
  <c r="RR194" i="1" s="1"/>
  <c r="RR195" i="1" s="1"/>
  <c r="RR196" i="1" s="1"/>
  <c r="RR197" i="1" s="1"/>
  <c r="RR198" i="1" s="1"/>
  <c r="RR199" i="1" s="1"/>
  <c r="RR200" i="1" s="1"/>
  <c r="RR201" i="1" s="1"/>
  <c r="RR202" i="1" s="1"/>
  <c r="RR203" i="1" s="1"/>
  <c r="RR204" i="1" s="1"/>
  <c r="RR205" i="1" s="1"/>
  <c r="RR206" i="1" s="1"/>
  <c r="RR207" i="1" s="1"/>
  <c r="RR208" i="1" s="1"/>
  <c r="RR209" i="1" s="1"/>
  <c r="RR210" i="1" s="1"/>
  <c r="RR211" i="1" s="1"/>
  <c r="RR212" i="1" s="1"/>
  <c r="RR213" i="1" s="1"/>
  <c r="BC39" i="5"/>
  <c r="QZ183" i="1"/>
  <c r="QZ184" i="1" s="1"/>
  <c r="QZ185" i="1" s="1"/>
  <c r="QZ186" i="1" s="1"/>
  <c r="QZ187" i="1" s="1"/>
  <c r="QZ188" i="1" s="1"/>
  <c r="QZ189" i="1" s="1"/>
  <c r="QZ190" i="1" s="1"/>
  <c r="QZ191" i="1" s="1"/>
  <c r="QZ192" i="1" s="1"/>
  <c r="QZ193" i="1" s="1"/>
  <c r="QZ194" i="1" s="1"/>
  <c r="QZ195" i="1" s="1"/>
  <c r="QZ196" i="1" s="1"/>
  <c r="QZ197" i="1" s="1"/>
  <c r="QZ198" i="1" s="1"/>
  <c r="QZ199" i="1" s="1"/>
  <c r="QZ200" i="1" s="1"/>
  <c r="QZ201" i="1" s="1"/>
  <c r="QZ202" i="1" s="1"/>
  <c r="QZ203" i="1" s="1"/>
  <c r="QZ204" i="1" s="1"/>
  <c r="QZ205" i="1" s="1"/>
  <c r="QZ206" i="1" s="1"/>
  <c r="QZ207" i="1" s="1"/>
  <c r="QZ208" i="1" s="1"/>
  <c r="QZ209" i="1" s="1"/>
  <c r="QZ210" i="1" s="1"/>
  <c r="QZ211" i="1" s="1"/>
  <c r="QZ212" i="1" s="1"/>
  <c r="QZ213" i="1" s="1"/>
  <c r="BA39" i="5"/>
  <c r="IX57" i="7"/>
  <c r="IX56" i="7"/>
  <c r="IX55" i="7"/>
  <c r="IX54" i="7"/>
  <c r="IX53" i="7"/>
  <c r="IX52" i="7"/>
  <c r="IX51" i="7"/>
  <c r="IX50" i="7"/>
  <c r="IX48" i="7"/>
  <c r="IX41" i="7"/>
  <c r="IX40" i="7"/>
  <c r="IX39" i="7"/>
  <c r="IX38" i="7"/>
  <c r="IX37" i="7"/>
  <c r="IX36" i="7"/>
  <c r="IX35" i="7"/>
  <c r="IX34" i="7"/>
  <c r="IX33" i="7"/>
  <c r="IX32" i="7"/>
  <c r="IX31" i="7"/>
  <c r="IX30" i="7"/>
  <c r="IX29" i="7"/>
  <c r="IX28" i="7"/>
  <c r="IX27" i="7"/>
  <c r="IX26" i="7"/>
  <c r="IX25" i="7"/>
  <c r="IX24" i="7"/>
  <c r="IX23" i="7"/>
  <c r="IX22" i="7"/>
  <c r="IX21" i="7"/>
  <c r="IX20" i="7"/>
  <c r="IX19" i="7"/>
  <c r="IX18" i="7"/>
  <c r="IX17" i="7"/>
  <c r="IX15" i="7"/>
  <c r="IX14" i="7"/>
  <c r="IX13" i="7"/>
  <c r="IX12" i="7"/>
  <c r="IX11" i="7"/>
  <c r="IX10" i="7"/>
  <c r="IX9" i="7"/>
  <c r="IX8" i="7"/>
  <c r="IW57" i="7"/>
  <c r="IW56" i="7"/>
  <c r="IW55" i="7"/>
  <c r="IW54" i="7"/>
  <c r="IW53" i="7"/>
  <c r="IW52" i="7"/>
  <c r="IW51" i="7"/>
  <c r="IW50" i="7"/>
  <c r="IW48" i="7"/>
  <c r="IW41" i="7"/>
  <c r="IW40" i="7"/>
  <c r="IW39" i="7"/>
  <c r="IW38" i="7"/>
  <c r="IW37" i="7"/>
  <c r="IW36" i="7"/>
  <c r="IW35" i="7"/>
  <c r="IW34" i="7"/>
  <c r="IW33" i="7"/>
  <c r="IW32" i="7"/>
  <c r="IW31" i="7"/>
  <c r="IW30" i="7"/>
  <c r="IW29" i="7"/>
  <c r="IW28" i="7"/>
  <c r="IW27" i="7"/>
  <c r="IW26" i="7"/>
  <c r="IW25" i="7"/>
  <c r="IW24" i="7"/>
  <c r="IW23" i="7"/>
  <c r="IW22" i="7"/>
  <c r="IW21" i="7"/>
  <c r="IW20" i="7"/>
  <c r="IW19" i="7"/>
  <c r="IW18" i="7"/>
  <c r="IW17" i="7"/>
  <c r="IW15" i="7"/>
  <c r="IW14" i="7"/>
  <c r="IW13" i="7"/>
  <c r="IW12" i="7"/>
  <c r="IW11" i="7"/>
  <c r="IW10" i="7"/>
  <c r="IW9" i="7"/>
  <c r="IW8" i="7"/>
  <c r="IV57" i="7"/>
  <c r="IV56" i="7"/>
  <c r="IV55" i="7"/>
  <c r="IV54" i="7"/>
  <c r="IV53" i="7"/>
  <c r="IV52" i="7"/>
  <c r="IV51" i="7"/>
  <c r="IV50" i="7"/>
  <c r="IV48" i="7"/>
  <c r="IV41" i="7"/>
  <c r="IV40" i="7"/>
  <c r="IV39" i="7"/>
  <c r="IV38" i="7"/>
  <c r="IV37" i="7"/>
  <c r="IV36" i="7"/>
  <c r="IV35" i="7"/>
  <c r="IV34" i="7"/>
  <c r="IV33" i="7"/>
  <c r="IV32" i="7"/>
  <c r="IV31" i="7"/>
  <c r="IV30" i="7"/>
  <c r="IV29" i="7"/>
  <c r="IV28" i="7"/>
  <c r="IV27" i="7"/>
  <c r="IV26" i="7"/>
  <c r="IV25" i="7"/>
  <c r="IV24" i="7"/>
  <c r="IV23" i="7"/>
  <c r="IV22" i="7"/>
  <c r="IV21" i="7"/>
  <c r="IV20" i="7"/>
  <c r="IV19" i="7"/>
  <c r="IV18" i="7"/>
  <c r="IV17" i="7"/>
  <c r="IV15" i="7"/>
  <c r="IV14" i="7"/>
  <c r="IV13" i="7"/>
  <c r="IV12" i="7"/>
  <c r="IV11" i="7"/>
  <c r="IV10" i="7"/>
  <c r="IV9" i="7"/>
  <c r="IV8" i="7"/>
  <c r="IU57" i="7"/>
  <c r="IU56" i="7"/>
  <c r="IU55" i="7"/>
  <c r="IU54" i="7"/>
  <c r="IU53" i="7"/>
  <c r="IU52" i="7"/>
  <c r="IU51" i="7"/>
  <c r="IU50" i="7"/>
  <c r="IU48" i="7"/>
  <c r="IU41" i="7"/>
  <c r="IU40" i="7"/>
  <c r="IU39" i="7"/>
  <c r="IU38" i="7"/>
  <c r="IU37" i="7"/>
  <c r="IU36" i="7"/>
  <c r="IU35" i="7"/>
  <c r="IU34" i="7"/>
  <c r="IU33" i="7"/>
  <c r="IU32" i="7"/>
  <c r="IU31" i="7"/>
  <c r="IU30" i="7"/>
  <c r="IU29" i="7"/>
  <c r="IU28" i="7"/>
  <c r="IU27" i="7"/>
  <c r="IU26" i="7"/>
  <c r="IU25" i="7"/>
  <c r="IU24" i="7"/>
  <c r="IU23" i="7"/>
  <c r="IU22" i="7"/>
  <c r="IU21" i="7"/>
  <c r="IU20" i="7"/>
  <c r="IU19" i="7"/>
  <c r="IU18" i="7"/>
  <c r="IU17" i="7"/>
  <c r="IU15" i="7"/>
  <c r="IU14" i="7"/>
  <c r="IU13" i="7"/>
  <c r="IU12" i="7"/>
  <c r="IU11" i="7"/>
  <c r="IU10" i="7"/>
  <c r="IU9" i="7"/>
  <c r="IU8" i="7"/>
  <c r="IT57" i="7"/>
  <c r="IT56" i="7"/>
  <c r="IT55" i="7"/>
  <c r="IT54" i="7"/>
  <c r="IT53" i="7"/>
  <c r="IT52" i="7"/>
  <c r="IT51" i="7"/>
  <c r="IT50" i="7"/>
  <c r="IT48" i="7"/>
  <c r="IT41" i="7"/>
  <c r="IT40" i="7"/>
  <c r="IT39" i="7"/>
  <c r="IT38" i="7"/>
  <c r="IT37" i="7"/>
  <c r="IT36" i="7"/>
  <c r="IT35" i="7"/>
  <c r="IT34" i="7"/>
  <c r="IT33" i="7"/>
  <c r="IT32" i="7"/>
  <c r="IT31" i="7"/>
  <c r="IT30" i="7"/>
  <c r="IT29" i="7"/>
  <c r="IT28" i="7"/>
  <c r="IT27" i="7"/>
  <c r="IT26" i="7"/>
  <c r="IT25" i="7"/>
  <c r="IT24" i="7"/>
  <c r="IT23" i="7"/>
  <c r="IT22" i="7"/>
  <c r="IT21" i="7"/>
  <c r="IT20" i="7"/>
  <c r="IT19" i="7"/>
  <c r="IT18" i="7"/>
  <c r="IT17" i="7"/>
  <c r="IT15" i="7"/>
  <c r="IT14" i="7"/>
  <c r="IT13" i="7"/>
  <c r="IT12" i="7"/>
  <c r="IT11" i="7"/>
  <c r="IT10" i="7"/>
  <c r="IT9" i="7"/>
  <c r="IT8" i="7"/>
  <c r="IS57" i="7"/>
  <c r="IS56" i="7"/>
  <c r="IS55" i="7"/>
  <c r="IS54" i="7"/>
  <c r="IS53" i="7"/>
  <c r="IS52" i="7"/>
  <c r="IS51" i="7"/>
  <c r="IS50" i="7"/>
  <c r="IS48" i="7"/>
  <c r="IS41" i="7"/>
  <c r="IS40" i="7"/>
  <c r="IS39" i="7"/>
  <c r="IS38" i="7"/>
  <c r="IS37" i="7"/>
  <c r="IS36" i="7"/>
  <c r="IS35" i="7"/>
  <c r="IS34" i="7"/>
  <c r="IS33" i="7"/>
  <c r="IS32" i="7"/>
  <c r="IS31" i="7"/>
  <c r="IS30" i="7"/>
  <c r="IS29" i="7"/>
  <c r="IS28" i="7"/>
  <c r="IS27" i="7"/>
  <c r="IS26" i="7"/>
  <c r="IS25" i="7"/>
  <c r="IS24" i="7"/>
  <c r="IS23" i="7"/>
  <c r="IS22" i="7"/>
  <c r="IS21" i="7"/>
  <c r="IS20" i="7"/>
  <c r="IS19" i="7"/>
  <c r="IS18" i="7"/>
  <c r="IS17" i="7"/>
  <c r="IS15" i="7"/>
  <c r="IS14" i="7"/>
  <c r="IS13" i="7"/>
  <c r="IS12" i="7"/>
  <c r="IS11" i="7"/>
  <c r="IS10" i="7"/>
  <c r="IS9" i="7"/>
  <c r="IS8" i="7"/>
  <c r="IR57" i="7"/>
  <c r="IR56" i="7"/>
  <c r="IR55" i="7"/>
  <c r="IR54" i="7"/>
  <c r="IR53" i="7"/>
  <c r="IR52" i="7"/>
  <c r="IR51" i="7"/>
  <c r="IR50" i="7"/>
  <c r="IR48" i="7"/>
  <c r="IR41" i="7"/>
  <c r="IR40" i="7"/>
  <c r="IR39" i="7"/>
  <c r="IR38" i="7"/>
  <c r="IR37" i="7"/>
  <c r="IR36" i="7"/>
  <c r="IR35" i="7"/>
  <c r="IR34" i="7"/>
  <c r="IR33" i="7"/>
  <c r="IR32" i="7"/>
  <c r="IR31" i="7"/>
  <c r="IR30" i="7"/>
  <c r="IR29" i="7"/>
  <c r="IR28" i="7"/>
  <c r="IR27" i="7"/>
  <c r="IR26" i="7"/>
  <c r="IR25" i="7"/>
  <c r="IR24" i="7"/>
  <c r="IR23" i="7"/>
  <c r="IR22" i="7"/>
  <c r="IR21" i="7"/>
  <c r="IR20" i="7"/>
  <c r="IR19" i="7"/>
  <c r="IR18" i="7"/>
  <c r="IR17" i="7"/>
  <c r="IR15" i="7"/>
  <c r="IR14" i="7"/>
  <c r="IR13" i="7"/>
  <c r="IR12" i="7"/>
  <c r="IR11" i="7"/>
  <c r="IR10" i="7"/>
  <c r="IR9" i="7"/>
  <c r="IR8" i="7"/>
  <c r="IQ57" i="7"/>
  <c r="IQ56" i="7"/>
  <c r="IQ55" i="7"/>
  <c r="IQ54" i="7"/>
  <c r="IQ53" i="7"/>
  <c r="IQ52" i="7"/>
  <c r="IQ51" i="7"/>
  <c r="IQ50" i="7"/>
  <c r="IQ48" i="7"/>
  <c r="IQ41" i="7"/>
  <c r="IQ40" i="7"/>
  <c r="IQ39" i="7"/>
  <c r="IQ38" i="7"/>
  <c r="IQ37" i="7"/>
  <c r="IQ36" i="7"/>
  <c r="IQ35" i="7"/>
  <c r="IQ34" i="7"/>
  <c r="IQ33" i="7"/>
  <c r="IQ32" i="7"/>
  <c r="IQ31" i="7"/>
  <c r="IQ30" i="7"/>
  <c r="IQ29" i="7"/>
  <c r="IQ28" i="7"/>
  <c r="IQ27" i="7"/>
  <c r="IQ26" i="7"/>
  <c r="IQ25" i="7"/>
  <c r="IQ24" i="7"/>
  <c r="IQ23" i="7"/>
  <c r="IQ22" i="7"/>
  <c r="IQ21" i="7"/>
  <c r="IQ20" i="7"/>
  <c r="IQ19" i="7"/>
  <c r="IQ18" i="7"/>
  <c r="IQ17" i="7"/>
  <c r="IQ15" i="7"/>
  <c r="IQ14" i="7"/>
  <c r="IQ13" i="7"/>
  <c r="IQ12" i="7"/>
  <c r="IQ11" i="7"/>
  <c r="IQ10" i="7"/>
  <c r="IQ9" i="7"/>
  <c r="IQ8" i="7"/>
  <c r="IP57" i="7"/>
  <c r="IP56" i="7"/>
  <c r="IP55" i="7"/>
  <c r="IP54" i="7"/>
  <c r="IP53" i="7"/>
  <c r="IP52" i="7"/>
  <c r="IP51" i="7"/>
  <c r="IP50" i="7"/>
  <c r="IP48" i="7"/>
  <c r="IP41" i="7"/>
  <c r="IP40" i="7"/>
  <c r="IP39" i="7"/>
  <c r="IP38" i="7"/>
  <c r="IP37" i="7"/>
  <c r="IP36" i="7"/>
  <c r="IP35" i="7"/>
  <c r="IP34" i="7"/>
  <c r="IP33" i="7"/>
  <c r="IP32" i="7"/>
  <c r="IP31" i="7"/>
  <c r="IP30" i="7"/>
  <c r="IP29" i="7"/>
  <c r="IP28" i="7"/>
  <c r="IP27" i="7"/>
  <c r="IP26" i="7"/>
  <c r="IP25" i="7"/>
  <c r="IP24" i="7"/>
  <c r="IP23" i="7"/>
  <c r="IP22" i="7"/>
  <c r="IP21" i="7"/>
  <c r="IP20" i="7"/>
  <c r="IP19" i="7"/>
  <c r="IP18" i="7"/>
  <c r="IP17" i="7"/>
  <c r="IP15" i="7"/>
  <c r="IP14" i="7"/>
  <c r="IP13" i="7"/>
  <c r="IP12" i="7"/>
  <c r="IP11" i="7"/>
  <c r="IP10" i="7"/>
  <c r="IP9" i="7"/>
  <c r="IP8" i="7"/>
  <c r="IO57" i="7"/>
  <c r="IO56" i="7"/>
  <c r="IO55" i="7"/>
  <c r="IO54" i="7"/>
  <c r="IO53" i="7"/>
  <c r="IO52" i="7"/>
  <c r="IO51" i="7"/>
  <c r="IO50" i="7"/>
  <c r="IO48" i="7"/>
  <c r="IO41" i="7"/>
  <c r="IO40" i="7"/>
  <c r="IO39" i="7"/>
  <c r="IO38" i="7"/>
  <c r="IO37" i="7"/>
  <c r="IO36" i="7"/>
  <c r="IO35" i="7"/>
  <c r="IO34" i="7"/>
  <c r="IO33" i="7"/>
  <c r="IO32" i="7"/>
  <c r="IO31" i="7"/>
  <c r="IO30" i="7"/>
  <c r="IO29" i="7"/>
  <c r="IO28" i="7"/>
  <c r="IO27" i="7"/>
  <c r="IO26" i="7"/>
  <c r="IO25" i="7"/>
  <c r="IO24" i="7"/>
  <c r="IO23" i="7"/>
  <c r="IO22" i="7"/>
  <c r="IO21" i="7"/>
  <c r="IO20" i="7"/>
  <c r="IO19" i="7"/>
  <c r="IO18" i="7"/>
  <c r="IO17" i="7"/>
  <c r="IO15" i="7"/>
  <c r="IO14" i="7"/>
  <c r="IO13" i="7"/>
  <c r="IO12" i="7"/>
  <c r="IO11" i="7"/>
  <c r="IO10" i="7"/>
  <c r="IO9" i="7"/>
  <c r="IO8" i="7"/>
  <c r="IN57" i="7"/>
  <c r="IN56" i="7"/>
  <c r="IN55" i="7"/>
  <c r="IN54" i="7"/>
  <c r="IN53" i="7"/>
  <c r="IN52" i="7"/>
  <c r="IN51" i="7"/>
  <c r="IN50" i="7"/>
  <c r="IN48" i="7"/>
  <c r="IN41" i="7"/>
  <c r="IN40" i="7"/>
  <c r="IN39" i="7"/>
  <c r="IN38" i="7"/>
  <c r="IN37" i="7"/>
  <c r="IN36" i="7"/>
  <c r="IN35" i="7"/>
  <c r="IN34" i="7"/>
  <c r="IN33" i="7"/>
  <c r="IN32" i="7"/>
  <c r="IN31" i="7"/>
  <c r="IN30" i="7"/>
  <c r="IN29" i="7"/>
  <c r="IN28" i="7"/>
  <c r="IN27" i="7"/>
  <c r="IN26" i="7"/>
  <c r="IN25" i="7"/>
  <c r="IN24" i="7"/>
  <c r="IN23" i="7"/>
  <c r="IN22" i="7"/>
  <c r="IN21" i="7"/>
  <c r="IN20" i="7"/>
  <c r="IN19" i="7"/>
  <c r="IN18" i="7"/>
  <c r="IN17" i="7"/>
  <c r="IN15" i="7"/>
  <c r="IN14" i="7"/>
  <c r="IN13" i="7"/>
  <c r="IN12" i="7"/>
  <c r="IN11" i="7"/>
  <c r="IN10" i="7"/>
  <c r="IN9" i="7"/>
  <c r="IN8" i="7"/>
  <c r="IM57" i="7"/>
  <c r="IM56" i="7"/>
  <c r="IM55" i="7"/>
  <c r="IM54" i="7"/>
  <c r="IM53" i="7"/>
  <c r="IM52" i="7"/>
  <c r="IM51" i="7"/>
  <c r="IM50" i="7"/>
  <c r="IM48" i="7"/>
  <c r="IM41" i="7"/>
  <c r="IM40" i="7"/>
  <c r="IM39" i="7"/>
  <c r="IM38" i="7"/>
  <c r="IM37" i="7"/>
  <c r="IM36" i="7"/>
  <c r="IM35" i="7"/>
  <c r="IM34" i="7"/>
  <c r="IM33" i="7"/>
  <c r="IM32" i="7"/>
  <c r="IM31" i="7"/>
  <c r="IM30" i="7"/>
  <c r="IM29" i="7"/>
  <c r="IM28" i="7"/>
  <c r="IM27" i="7"/>
  <c r="IM26" i="7"/>
  <c r="IM25" i="7"/>
  <c r="IM24" i="7"/>
  <c r="IM23" i="7"/>
  <c r="IM22" i="7"/>
  <c r="IM21" i="7"/>
  <c r="IM20" i="7"/>
  <c r="IM19" i="7"/>
  <c r="IM18" i="7"/>
  <c r="IM17" i="7"/>
  <c r="IM15" i="7"/>
  <c r="IM14" i="7"/>
  <c r="IM13" i="7"/>
  <c r="IM12" i="7"/>
  <c r="IM11" i="7"/>
  <c r="IM10" i="7"/>
  <c r="IM9" i="7"/>
  <c r="IM8" i="7"/>
  <c r="IL57" i="7"/>
  <c r="IL56" i="7"/>
  <c r="IL55" i="7"/>
  <c r="IL54" i="7"/>
  <c r="IL53" i="7"/>
  <c r="IL52" i="7"/>
  <c r="IL51" i="7"/>
  <c r="IL50" i="7"/>
  <c r="IL48" i="7"/>
  <c r="IL41" i="7"/>
  <c r="IL40" i="7"/>
  <c r="IL39" i="7"/>
  <c r="IL38" i="7"/>
  <c r="IL37" i="7"/>
  <c r="IL36" i="7"/>
  <c r="IL35" i="7"/>
  <c r="IL34" i="7"/>
  <c r="IL33" i="7"/>
  <c r="IL32" i="7"/>
  <c r="IL31" i="7"/>
  <c r="IL30" i="7"/>
  <c r="IL29" i="7"/>
  <c r="IL28" i="7"/>
  <c r="IL27" i="7"/>
  <c r="IL26" i="7"/>
  <c r="IL25" i="7"/>
  <c r="IL24" i="7"/>
  <c r="IL23" i="7"/>
  <c r="IL22" i="7"/>
  <c r="IL21" i="7"/>
  <c r="IL20" i="7"/>
  <c r="IL19" i="7"/>
  <c r="IL18" i="7"/>
  <c r="IL17" i="7"/>
  <c r="IL16" i="7"/>
  <c r="IL15" i="7"/>
  <c r="IL14" i="7"/>
  <c r="IL13" i="7"/>
  <c r="IL12" i="7"/>
  <c r="IL11" i="7"/>
  <c r="IL10" i="7"/>
  <c r="IL9" i="7"/>
  <c r="IL8" i="7"/>
  <c r="IK57" i="7"/>
  <c r="IK56" i="7"/>
  <c r="IK55" i="7"/>
  <c r="IK54" i="7"/>
  <c r="IK53" i="7"/>
  <c r="IK52" i="7"/>
  <c r="IK51" i="7"/>
  <c r="IK50" i="7"/>
  <c r="IK48" i="7"/>
  <c r="IK41" i="7"/>
  <c r="IK40" i="7"/>
  <c r="IK39" i="7"/>
  <c r="IK38" i="7"/>
  <c r="IK37" i="7"/>
  <c r="IK36" i="7"/>
  <c r="IK35" i="7"/>
  <c r="IK34" i="7"/>
  <c r="IK33" i="7"/>
  <c r="IK32" i="7"/>
  <c r="IK31" i="7"/>
  <c r="IK30" i="7"/>
  <c r="IK29" i="7"/>
  <c r="IK28" i="7"/>
  <c r="IK27" i="7"/>
  <c r="IK26" i="7"/>
  <c r="IK25" i="7"/>
  <c r="IK24" i="7"/>
  <c r="IK23" i="7"/>
  <c r="IK22" i="7"/>
  <c r="IK21" i="7"/>
  <c r="IK20" i="7"/>
  <c r="IK19" i="7"/>
  <c r="IK18" i="7"/>
  <c r="IK17" i="7"/>
  <c r="IK16" i="7"/>
  <c r="IK15" i="7"/>
  <c r="IK14" i="7"/>
  <c r="IK13" i="7"/>
  <c r="IK12" i="7"/>
  <c r="IK11" i="7"/>
  <c r="IK10" i="7"/>
  <c r="IK9" i="7"/>
  <c r="IK8" i="7"/>
  <c r="IJ8" i="7"/>
  <c r="IJ9" i="7"/>
  <c r="IJ10" i="7"/>
  <c r="IJ11" i="7"/>
  <c r="IJ12" i="7"/>
  <c r="IJ13" i="7"/>
  <c r="IJ14" i="7"/>
  <c r="IJ15" i="7"/>
  <c r="IJ16" i="7"/>
  <c r="IJ17" i="7"/>
  <c r="IJ18" i="7"/>
  <c r="IJ19" i="7"/>
  <c r="IJ20" i="7"/>
  <c r="IJ21" i="7"/>
  <c r="IJ22" i="7"/>
  <c r="IJ23" i="7"/>
  <c r="IJ24" i="7"/>
  <c r="IJ25" i="7"/>
  <c r="IJ26" i="7"/>
  <c r="IJ27" i="7"/>
  <c r="IJ28" i="7"/>
  <c r="IJ29" i="7"/>
  <c r="IJ30" i="7"/>
  <c r="IJ31" i="7"/>
  <c r="IJ32" i="7"/>
  <c r="IJ33" i="7"/>
  <c r="IJ34" i="7"/>
  <c r="IJ35" i="7"/>
  <c r="IJ36" i="7"/>
  <c r="IJ37" i="7"/>
  <c r="IJ38" i="7"/>
  <c r="IJ39" i="7"/>
  <c r="IJ40" i="7"/>
  <c r="IJ41" i="7"/>
  <c r="IJ42" i="7"/>
  <c r="IJ48" i="7"/>
  <c r="IJ50" i="7"/>
  <c r="IJ51" i="7"/>
  <c r="IJ52" i="7"/>
  <c r="IJ53" i="7"/>
  <c r="IJ54" i="7"/>
  <c r="IJ55" i="7"/>
  <c r="IJ56" i="7"/>
  <c r="IJ57" i="7"/>
  <c r="IH57" i="7"/>
  <c r="IH56" i="7"/>
  <c r="IH55" i="7"/>
  <c r="IH54" i="7"/>
  <c r="IH53" i="7"/>
  <c r="IH52" i="7"/>
  <c r="IH51" i="7"/>
  <c r="IH42" i="7"/>
  <c r="IH41" i="7"/>
  <c r="IH40" i="7"/>
  <c r="IH39" i="7"/>
  <c r="IH38" i="7"/>
  <c r="IH37" i="7"/>
  <c r="IH36" i="7"/>
  <c r="IH35" i="7"/>
  <c r="IH34" i="7"/>
  <c r="IH33" i="7"/>
  <c r="IH32" i="7"/>
  <c r="IH31" i="7"/>
  <c r="IH30" i="7"/>
  <c r="IH29" i="7"/>
  <c r="IH28" i="7"/>
  <c r="IH27" i="7"/>
  <c r="IH26" i="7"/>
  <c r="IH25" i="7"/>
  <c r="IH24" i="7"/>
  <c r="IH23" i="7"/>
  <c r="IH22" i="7"/>
  <c r="IH21" i="7"/>
  <c r="IH20" i="7"/>
  <c r="IH19" i="7"/>
  <c r="IH18" i="7"/>
  <c r="IH17" i="7"/>
  <c r="IH15" i="7"/>
  <c r="IH14" i="7"/>
  <c r="IH13" i="7"/>
  <c r="IH12" i="7"/>
  <c r="IH11" i="7"/>
  <c r="IH10" i="7"/>
  <c r="IH9" i="7"/>
  <c r="IH8" i="7"/>
  <c r="IG57" i="7"/>
  <c r="IG56" i="7"/>
  <c r="IG55" i="7"/>
  <c r="IG54" i="7"/>
  <c r="IG53" i="7"/>
  <c r="IG52" i="7"/>
  <c r="IG51" i="7"/>
  <c r="IG42" i="7"/>
  <c r="IG41" i="7"/>
  <c r="IG40" i="7"/>
  <c r="IG39" i="7"/>
  <c r="IG38" i="7"/>
  <c r="IG37" i="7"/>
  <c r="IG36" i="7"/>
  <c r="IG35" i="7"/>
  <c r="IG34" i="7"/>
  <c r="IG33" i="7"/>
  <c r="IG32" i="7"/>
  <c r="IG31" i="7"/>
  <c r="IG30" i="7"/>
  <c r="IG29" i="7"/>
  <c r="IG28" i="7"/>
  <c r="IG27" i="7"/>
  <c r="IG26" i="7"/>
  <c r="IG25" i="7"/>
  <c r="IG24" i="7"/>
  <c r="IG23" i="7"/>
  <c r="IG22" i="7"/>
  <c r="IG21" i="7"/>
  <c r="IG20" i="7"/>
  <c r="IG19" i="7"/>
  <c r="IG18" i="7"/>
  <c r="IG17" i="7"/>
  <c r="IG15" i="7"/>
  <c r="IG14" i="7"/>
  <c r="IG13" i="7"/>
  <c r="IG12" i="7"/>
  <c r="IG11" i="7"/>
  <c r="IG10" i="7"/>
  <c r="IG9" i="7"/>
  <c r="IG8" i="7"/>
  <c r="IF57" i="7"/>
  <c r="IF56" i="7"/>
  <c r="IF55" i="7"/>
  <c r="IF54" i="7"/>
  <c r="IF53" i="7"/>
  <c r="IF52" i="7"/>
  <c r="IF51" i="7"/>
  <c r="IF42" i="7"/>
  <c r="IF41" i="7"/>
  <c r="IF40" i="7"/>
  <c r="IF39" i="7"/>
  <c r="IF38" i="7"/>
  <c r="IF37" i="7"/>
  <c r="IF36" i="7"/>
  <c r="IF35" i="7"/>
  <c r="IF34" i="7"/>
  <c r="IF33" i="7"/>
  <c r="IF32" i="7"/>
  <c r="IF31" i="7"/>
  <c r="IF30" i="7"/>
  <c r="IF29" i="7"/>
  <c r="IF28" i="7"/>
  <c r="IF27" i="7"/>
  <c r="IF26" i="7"/>
  <c r="IF25" i="7"/>
  <c r="IF24" i="7"/>
  <c r="IF23" i="7"/>
  <c r="IF22" i="7"/>
  <c r="IF21" i="7"/>
  <c r="IF20" i="7"/>
  <c r="IF19" i="7"/>
  <c r="IF18" i="7"/>
  <c r="IF17" i="7"/>
  <c r="IF15" i="7"/>
  <c r="IF14" i="7"/>
  <c r="IF13" i="7"/>
  <c r="IF12" i="7"/>
  <c r="IF11" i="7"/>
  <c r="IF10" i="7"/>
  <c r="IF9" i="7"/>
  <c r="IF8" i="7"/>
  <c r="IE57" i="7"/>
  <c r="IE56" i="7"/>
  <c r="IE55" i="7"/>
  <c r="IE54" i="7"/>
  <c r="IE53" i="7"/>
  <c r="IE52" i="7"/>
  <c r="IE51" i="7"/>
  <c r="IE42" i="7"/>
  <c r="IE41" i="7"/>
  <c r="IE40" i="7"/>
  <c r="IE39" i="7"/>
  <c r="IE38" i="7"/>
  <c r="IE37" i="7"/>
  <c r="IE36" i="7"/>
  <c r="IE35" i="7"/>
  <c r="IE34" i="7"/>
  <c r="IE33" i="7"/>
  <c r="IE32" i="7"/>
  <c r="IE31" i="7"/>
  <c r="IE30" i="7"/>
  <c r="IE29" i="7"/>
  <c r="IE28" i="7"/>
  <c r="IE27" i="7"/>
  <c r="IE26" i="7"/>
  <c r="IE25" i="7"/>
  <c r="IE24" i="7"/>
  <c r="IE23" i="7"/>
  <c r="IE22" i="7"/>
  <c r="IE21" i="7"/>
  <c r="IE20" i="7"/>
  <c r="IE19" i="7"/>
  <c r="IE18" i="7"/>
  <c r="IE17" i="7"/>
  <c r="IE15" i="7"/>
  <c r="IE14" i="7"/>
  <c r="IE13" i="7"/>
  <c r="IE12" i="7"/>
  <c r="IE11" i="7"/>
  <c r="IE10" i="7"/>
  <c r="IE9" i="7"/>
  <c r="IE8" i="7"/>
  <c r="ID57" i="7"/>
  <c r="ID56" i="7"/>
  <c r="ID55" i="7"/>
  <c r="ID54" i="7"/>
  <c r="ID53" i="7"/>
  <c r="ID52" i="7"/>
  <c r="ID51" i="7"/>
  <c r="ID42" i="7"/>
  <c r="ID41" i="7"/>
  <c r="ID40" i="7"/>
  <c r="ID39" i="7"/>
  <c r="ID38" i="7"/>
  <c r="ID37" i="7"/>
  <c r="ID36" i="7"/>
  <c r="ID35" i="7"/>
  <c r="ID34" i="7"/>
  <c r="ID33" i="7"/>
  <c r="ID32" i="7"/>
  <c r="ID31" i="7"/>
  <c r="ID30" i="7"/>
  <c r="ID29" i="7"/>
  <c r="ID28" i="7"/>
  <c r="ID27" i="7"/>
  <c r="ID26" i="7"/>
  <c r="ID25" i="7"/>
  <c r="ID24" i="7"/>
  <c r="ID23" i="7"/>
  <c r="ID22" i="7"/>
  <c r="ID21" i="7"/>
  <c r="ID20" i="7"/>
  <c r="ID19" i="7"/>
  <c r="ID18" i="7"/>
  <c r="ID17" i="7"/>
  <c r="ID15" i="7"/>
  <c r="ID14" i="7"/>
  <c r="ID13" i="7"/>
  <c r="ID12" i="7"/>
  <c r="ID11" i="7"/>
  <c r="ID10" i="7"/>
  <c r="ID9" i="7"/>
  <c r="ID8" i="7"/>
  <c r="IC57" i="7"/>
  <c r="IC56" i="7"/>
  <c r="IC55" i="7"/>
  <c r="IC54" i="7"/>
  <c r="IC53" i="7"/>
  <c r="IC52" i="7"/>
  <c r="IC51" i="7"/>
  <c r="IC42" i="7"/>
  <c r="IC41" i="7"/>
  <c r="IC40" i="7"/>
  <c r="IC39" i="7"/>
  <c r="IC38" i="7"/>
  <c r="IC37" i="7"/>
  <c r="IC36" i="7"/>
  <c r="IC35" i="7"/>
  <c r="IC34" i="7"/>
  <c r="IC33" i="7"/>
  <c r="IC32" i="7"/>
  <c r="IC31" i="7"/>
  <c r="IC30" i="7"/>
  <c r="IC29" i="7"/>
  <c r="IC28" i="7"/>
  <c r="IC27" i="7"/>
  <c r="IC26" i="7"/>
  <c r="IC25" i="7"/>
  <c r="IC24" i="7"/>
  <c r="IC23" i="7"/>
  <c r="IC22" i="7"/>
  <c r="IC21" i="7"/>
  <c r="IC20" i="7"/>
  <c r="IC19" i="7"/>
  <c r="IC18" i="7"/>
  <c r="IC17" i="7"/>
  <c r="IC15" i="7"/>
  <c r="IC14" i="7"/>
  <c r="IC13" i="7"/>
  <c r="IC12" i="7"/>
  <c r="IC11" i="7"/>
  <c r="IC10" i="7"/>
  <c r="IC9" i="7"/>
  <c r="IC8" i="7"/>
  <c r="IB57" i="7"/>
  <c r="IB56" i="7"/>
  <c r="IB55" i="7"/>
  <c r="IB54" i="7"/>
  <c r="IB53" i="7"/>
  <c r="IB52" i="7"/>
  <c r="IB51" i="7"/>
  <c r="IB42" i="7"/>
  <c r="IB41" i="7"/>
  <c r="IB40" i="7"/>
  <c r="IB39" i="7"/>
  <c r="IB38" i="7"/>
  <c r="IB37" i="7"/>
  <c r="IB36" i="7"/>
  <c r="IB35" i="7"/>
  <c r="IB34" i="7"/>
  <c r="IB33" i="7"/>
  <c r="IB32" i="7"/>
  <c r="IB31" i="7"/>
  <c r="IB30" i="7"/>
  <c r="IB29" i="7"/>
  <c r="IB28" i="7"/>
  <c r="IB27" i="7"/>
  <c r="IB26" i="7"/>
  <c r="IB25" i="7"/>
  <c r="IB24" i="7"/>
  <c r="IB23" i="7"/>
  <c r="IB22" i="7"/>
  <c r="IB21" i="7"/>
  <c r="IB20" i="7"/>
  <c r="IB19" i="7"/>
  <c r="IB18" i="7"/>
  <c r="IB17" i="7"/>
  <c r="IB15" i="7"/>
  <c r="IB14" i="7"/>
  <c r="IB13" i="7"/>
  <c r="IB12" i="7"/>
  <c r="IB11" i="7"/>
  <c r="IB10" i="7"/>
  <c r="IB9" i="7"/>
  <c r="IB8" i="7"/>
  <c r="IA57" i="7"/>
  <c r="IA56" i="7"/>
  <c r="IA55" i="7"/>
  <c r="IA54" i="7"/>
  <c r="IA53" i="7"/>
  <c r="IA52" i="7"/>
  <c r="IA51" i="7"/>
  <c r="IA42" i="7"/>
  <c r="IA41" i="7"/>
  <c r="IA40" i="7"/>
  <c r="IA39" i="7"/>
  <c r="IA38" i="7"/>
  <c r="IA37" i="7"/>
  <c r="IA36" i="7"/>
  <c r="IA35" i="7"/>
  <c r="IA34" i="7"/>
  <c r="IA33" i="7"/>
  <c r="IA32" i="7"/>
  <c r="IA31" i="7"/>
  <c r="IA30" i="7"/>
  <c r="IA29" i="7"/>
  <c r="IA28" i="7"/>
  <c r="IA27" i="7"/>
  <c r="IA26" i="7"/>
  <c r="IA25" i="7"/>
  <c r="IA24" i="7"/>
  <c r="IA23" i="7"/>
  <c r="IA22" i="7"/>
  <c r="IA21" i="7"/>
  <c r="IA20" i="7"/>
  <c r="IA19" i="7"/>
  <c r="IA18" i="7"/>
  <c r="IA17" i="7"/>
  <c r="IA15" i="7"/>
  <c r="IA14" i="7"/>
  <c r="IA13" i="7"/>
  <c r="IA12" i="7"/>
  <c r="IA11" i="7"/>
  <c r="IA10" i="7"/>
  <c r="IA9" i="7"/>
  <c r="IA8" i="7"/>
  <c r="HZ57" i="7"/>
  <c r="HZ56" i="7"/>
  <c r="HZ55" i="7"/>
  <c r="HZ54" i="7"/>
  <c r="HZ53" i="7"/>
  <c r="HZ52" i="7"/>
  <c r="HZ51" i="7"/>
  <c r="HZ42" i="7"/>
  <c r="HZ41" i="7"/>
  <c r="HZ40" i="7"/>
  <c r="HZ39" i="7"/>
  <c r="HZ38" i="7"/>
  <c r="HZ37" i="7"/>
  <c r="HZ36" i="7"/>
  <c r="HZ35" i="7"/>
  <c r="HZ34" i="7"/>
  <c r="HZ33" i="7"/>
  <c r="HZ32" i="7"/>
  <c r="HZ31" i="7"/>
  <c r="HZ30" i="7"/>
  <c r="HZ29" i="7"/>
  <c r="HZ28" i="7"/>
  <c r="HZ27" i="7"/>
  <c r="HZ26" i="7"/>
  <c r="HZ25" i="7"/>
  <c r="HZ24" i="7"/>
  <c r="HZ23" i="7"/>
  <c r="HZ22" i="7"/>
  <c r="HZ21" i="7"/>
  <c r="HZ20" i="7"/>
  <c r="HZ19" i="7"/>
  <c r="HZ18" i="7"/>
  <c r="HZ17" i="7"/>
  <c r="HZ15" i="7"/>
  <c r="HZ14" i="7"/>
  <c r="HZ13" i="7"/>
  <c r="HZ12" i="7"/>
  <c r="HZ11" i="7"/>
  <c r="HZ10" i="7"/>
  <c r="HZ9" i="7"/>
  <c r="HZ8" i="7"/>
  <c r="HY57" i="7"/>
  <c r="HY56" i="7"/>
  <c r="HY55" i="7"/>
  <c r="HY54" i="7"/>
  <c r="HY53" i="7"/>
  <c r="HY52" i="7"/>
  <c r="HY51" i="7"/>
  <c r="HY42" i="7"/>
  <c r="HY41" i="7"/>
  <c r="HY40" i="7"/>
  <c r="HY39" i="7"/>
  <c r="HY38" i="7"/>
  <c r="HY37" i="7"/>
  <c r="HY36" i="7"/>
  <c r="HY35" i="7"/>
  <c r="HY34" i="7"/>
  <c r="HY33" i="7"/>
  <c r="HY32" i="7"/>
  <c r="HY31" i="7"/>
  <c r="HY30" i="7"/>
  <c r="HY29" i="7"/>
  <c r="HY28" i="7"/>
  <c r="HY27" i="7"/>
  <c r="HY26" i="7"/>
  <c r="HY25" i="7"/>
  <c r="HY24" i="7"/>
  <c r="HY23" i="7"/>
  <c r="HY22" i="7"/>
  <c r="HY21" i="7"/>
  <c r="HY20" i="7"/>
  <c r="HY19" i="7"/>
  <c r="HY18" i="7"/>
  <c r="HY17" i="7"/>
  <c r="HY15" i="7"/>
  <c r="HY14" i="7"/>
  <c r="HY13" i="7"/>
  <c r="HY12" i="7"/>
  <c r="HY11" i="7"/>
  <c r="HY10" i="7"/>
  <c r="HY9" i="7"/>
  <c r="HY8" i="7"/>
  <c r="HX57" i="7"/>
  <c r="HX56" i="7"/>
  <c r="HX55" i="7"/>
  <c r="HX54" i="7"/>
  <c r="HX53" i="7"/>
  <c r="HX52" i="7"/>
  <c r="HX51" i="7"/>
  <c r="HX50" i="7"/>
  <c r="HX41" i="7"/>
  <c r="HX40" i="7"/>
  <c r="HX39" i="7"/>
  <c r="HX38" i="7"/>
  <c r="HX37" i="7"/>
  <c r="HX36" i="7"/>
  <c r="HX35" i="7"/>
  <c r="HX34" i="7"/>
  <c r="HX33" i="7"/>
  <c r="HX32" i="7"/>
  <c r="HX31" i="7"/>
  <c r="HX30" i="7"/>
  <c r="HX29" i="7"/>
  <c r="HX28" i="7"/>
  <c r="HX27" i="7"/>
  <c r="HX26" i="7"/>
  <c r="HX25" i="7"/>
  <c r="HX24" i="7"/>
  <c r="HX23" i="7"/>
  <c r="HX22" i="7"/>
  <c r="HX21" i="7"/>
  <c r="HX20" i="7"/>
  <c r="HX19" i="7"/>
  <c r="HX18" i="7"/>
  <c r="HX17" i="7"/>
  <c r="HX15" i="7"/>
  <c r="HX14" i="7"/>
  <c r="HX13" i="7"/>
  <c r="HX12" i="7"/>
  <c r="HX11" i="7"/>
  <c r="HX10" i="7"/>
  <c r="HX9" i="7"/>
  <c r="HX8" i="7"/>
  <c r="HW57" i="7"/>
  <c r="HW56" i="7"/>
  <c r="HW55" i="7"/>
  <c r="HW54" i="7"/>
  <c r="HW53" i="7"/>
  <c r="HW52" i="7"/>
  <c r="HW51" i="7"/>
  <c r="HW50" i="7"/>
  <c r="HW41" i="7"/>
  <c r="HW40" i="7"/>
  <c r="HW39" i="7"/>
  <c r="HW38" i="7"/>
  <c r="HW37" i="7"/>
  <c r="HW36" i="7"/>
  <c r="HW35" i="7"/>
  <c r="HW34" i="7"/>
  <c r="HW33" i="7"/>
  <c r="HW32" i="7"/>
  <c r="HW31" i="7"/>
  <c r="HW30" i="7"/>
  <c r="HW29" i="7"/>
  <c r="HW28" i="7"/>
  <c r="HW27" i="7"/>
  <c r="HW26" i="7"/>
  <c r="HW25" i="7"/>
  <c r="HW24" i="7"/>
  <c r="HW23" i="7"/>
  <c r="HW22" i="7"/>
  <c r="HW21" i="7"/>
  <c r="HW20" i="7"/>
  <c r="HW19" i="7"/>
  <c r="HW18" i="7"/>
  <c r="HW17" i="7"/>
  <c r="HW15" i="7"/>
  <c r="HW14" i="7"/>
  <c r="HW13" i="7"/>
  <c r="HW12" i="7"/>
  <c r="HW11" i="7"/>
  <c r="HW10" i="7"/>
  <c r="HW9" i="7"/>
  <c r="HW8" i="7"/>
  <c r="HV57" i="7"/>
  <c r="HV56" i="7"/>
  <c r="HV55" i="7"/>
  <c r="HV54" i="7"/>
  <c r="HV53" i="7"/>
  <c r="HV52" i="7"/>
  <c r="HV51" i="7"/>
  <c r="HV50" i="7"/>
  <c r="HV41" i="7"/>
  <c r="HV40" i="7"/>
  <c r="HV39" i="7"/>
  <c r="HV38" i="7"/>
  <c r="HV37" i="7"/>
  <c r="HV36" i="7"/>
  <c r="HV35" i="7"/>
  <c r="HV34" i="7"/>
  <c r="HV33" i="7"/>
  <c r="HV32" i="7"/>
  <c r="HV31" i="7"/>
  <c r="HV30" i="7"/>
  <c r="HV29" i="7"/>
  <c r="HV28" i="7"/>
  <c r="HV27" i="7"/>
  <c r="HV26" i="7"/>
  <c r="HV25" i="7"/>
  <c r="HV24" i="7"/>
  <c r="HV23" i="7"/>
  <c r="HV22" i="7"/>
  <c r="HV21" i="7"/>
  <c r="HV20" i="7"/>
  <c r="HV19" i="7"/>
  <c r="HV18" i="7"/>
  <c r="HV17" i="7"/>
  <c r="HV15" i="7"/>
  <c r="HV14" i="7"/>
  <c r="HV13" i="7"/>
  <c r="HV12" i="7"/>
  <c r="HV11" i="7"/>
  <c r="HV10" i="7"/>
  <c r="HV9" i="7"/>
  <c r="HV8" i="7"/>
  <c r="HU57" i="7"/>
  <c r="HU56" i="7"/>
  <c r="HU55" i="7"/>
  <c r="HU54" i="7"/>
  <c r="HU53" i="7"/>
  <c r="HU52" i="7"/>
  <c r="HU51" i="7"/>
  <c r="HU50" i="7"/>
  <c r="HU41" i="7"/>
  <c r="HU40" i="7"/>
  <c r="HU39" i="7"/>
  <c r="HU38" i="7"/>
  <c r="HU37" i="7"/>
  <c r="HU36" i="7"/>
  <c r="HU35" i="7"/>
  <c r="HU34" i="7"/>
  <c r="HU33" i="7"/>
  <c r="HU32" i="7"/>
  <c r="HU31" i="7"/>
  <c r="HU30" i="7"/>
  <c r="HU29" i="7"/>
  <c r="HU28" i="7"/>
  <c r="HU27" i="7"/>
  <c r="HT38" i="7"/>
  <c r="HT39" i="7"/>
  <c r="HT40" i="7"/>
  <c r="HT41" i="7"/>
  <c r="HT42" i="7"/>
  <c r="HT50" i="7"/>
  <c r="HT51" i="7"/>
  <c r="HT52" i="7"/>
  <c r="HT53" i="7"/>
  <c r="HT54" i="7"/>
  <c r="HT55" i="7"/>
  <c r="HT56" i="7"/>
  <c r="HT57" i="7"/>
  <c r="HR57" i="7"/>
  <c r="HR56" i="7"/>
  <c r="HR55" i="7"/>
  <c r="HR54" i="7"/>
  <c r="HR53" i="7"/>
  <c r="HR52" i="7"/>
  <c r="HR51" i="7"/>
  <c r="HR50" i="7"/>
  <c r="HR41" i="7"/>
  <c r="HR40" i="7"/>
  <c r="HR39" i="7"/>
  <c r="HR38" i="7"/>
  <c r="HR37" i="7"/>
  <c r="HR36" i="7"/>
  <c r="HR35" i="7"/>
  <c r="HR34" i="7"/>
  <c r="HR33" i="7"/>
  <c r="HR32" i="7"/>
  <c r="HR31" i="7"/>
  <c r="HR30" i="7"/>
  <c r="HR29" i="7"/>
  <c r="HR28" i="7"/>
  <c r="HR27" i="7"/>
  <c r="HR26" i="7"/>
  <c r="HR25" i="7"/>
  <c r="HR24" i="7"/>
  <c r="HR23" i="7"/>
  <c r="HR22" i="7"/>
  <c r="HR21" i="7"/>
  <c r="HR20" i="7"/>
  <c r="HR19" i="7"/>
  <c r="HR18" i="7"/>
  <c r="HR17" i="7"/>
  <c r="HR15" i="7"/>
  <c r="HR14" i="7"/>
  <c r="HR13" i="7"/>
  <c r="HR12" i="7"/>
  <c r="HR11" i="7"/>
  <c r="HR10" i="7"/>
  <c r="HR9" i="7"/>
  <c r="HR8" i="7"/>
  <c r="HQ57" i="7"/>
  <c r="HQ56" i="7"/>
  <c r="HQ55" i="7"/>
  <c r="HQ54" i="7"/>
  <c r="HQ53" i="7"/>
  <c r="HQ52" i="7"/>
  <c r="HQ51" i="7"/>
  <c r="HQ50" i="7"/>
  <c r="HQ41" i="7"/>
  <c r="HQ40" i="7"/>
  <c r="HQ39" i="7"/>
  <c r="HQ38" i="7"/>
  <c r="HQ37" i="7"/>
  <c r="HQ36" i="7"/>
  <c r="HQ35" i="7"/>
  <c r="HQ34" i="7"/>
  <c r="HQ33" i="7"/>
  <c r="HQ32" i="7"/>
  <c r="HQ31" i="7"/>
  <c r="HQ30" i="7"/>
  <c r="HQ29" i="7"/>
  <c r="HQ28" i="7"/>
  <c r="HQ27" i="7"/>
  <c r="HQ26" i="7"/>
  <c r="HQ25" i="7"/>
  <c r="HQ24" i="7"/>
  <c r="HQ23" i="7"/>
  <c r="HQ22" i="7"/>
  <c r="HQ21" i="7"/>
  <c r="HQ20" i="7"/>
  <c r="HQ19" i="7"/>
  <c r="HQ18" i="7"/>
  <c r="HQ17" i="7"/>
  <c r="HQ15" i="7"/>
  <c r="HQ14" i="7"/>
  <c r="HQ13" i="7"/>
  <c r="HQ12" i="7"/>
  <c r="HQ11" i="7"/>
  <c r="HQ10" i="7"/>
  <c r="HQ9" i="7"/>
  <c r="HQ8" i="7"/>
  <c r="HP57" i="7"/>
  <c r="HP56" i="7"/>
  <c r="HP55" i="7"/>
  <c r="HP54" i="7"/>
  <c r="HP53" i="7"/>
  <c r="HP52" i="7"/>
  <c r="HP51" i="7"/>
  <c r="HP50" i="7"/>
  <c r="HP41" i="7"/>
  <c r="HP40" i="7"/>
  <c r="HP39" i="7"/>
  <c r="HP38" i="7"/>
  <c r="HP37" i="7"/>
  <c r="HP36" i="7"/>
  <c r="HP35" i="7"/>
  <c r="HP34" i="7"/>
  <c r="HP33" i="7"/>
  <c r="HP32" i="7"/>
  <c r="HP31" i="7"/>
  <c r="HP30" i="7"/>
  <c r="HP29" i="7"/>
  <c r="HP28" i="7"/>
  <c r="HP27" i="7"/>
  <c r="HP26" i="7"/>
  <c r="HP25" i="7"/>
  <c r="HP24" i="7"/>
  <c r="HP23" i="7"/>
  <c r="HP22" i="7"/>
  <c r="HP21" i="7"/>
  <c r="HP20" i="7"/>
  <c r="HP19" i="7"/>
  <c r="HP18" i="7"/>
  <c r="HP17" i="7"/>
  <c r="HP15" i="7"/>
  <c r="HP14" i="7"/>
  <c r="HP13" i="7"/>
  <c r="HP12" i="7"/>
  <c r="HP11" i="7"/>
  <c r="HP10" i="7"/>
  <c r="HP9" i="7"/>
  <c r="HP8" i="7"/>
  <c r="HO57" i="7"/>
  <c r="HO56" i="7"/>
  <c r="HO55" i="7"/>
  <c r="HO54" i="7"/>
  <c r="HO53" i="7"/>
  <c r="HO52" i="7"/>
  <c r="HO51" i="7"/>
  <c r="HO50" i="7"/>
  <c r="HO41" i="7"/>
  <c r="HO40" i="7"/>
  <c r="HO39" i="7"/>
  <c r="HO38" i="7"/>
  <c r="HO37" i="7"/>
  <c r="HO36" i="7"/>
  <c r="HO35" i="7"/>
  <c r="HO34" i="7"/>
  <c r="HO33" i="7"/>
  <c r="HO32" i="7"/>
  <c r="HO31" i="7"/>
  <c r="HO30" i="7"/>
  <c r="HO29" i="7"/>
  <c r="HO28" i="7"/>
  <c r="HO27" i="7"/>
  <c r="HO26" i="7"/>
  <c r="HO25" i="7"/>
  <c r="HO24" i="7"/>
  <c r="HO23" i="7"/>
  <c r="HO22" i="7"/>
  <c r="HO21" i="7"/>
  <c r="HO20" i="7"/>
  <c r="HO19" i="7"/>
  <c r="HO18" i="7"/>
  <c r="HO17" i="7"/>
  <c r="HO15" i="7"/>
  <c r="HO14" i="7"/>
  <c r="HO13" i="7"/>
  <c r="HO12" i="7"/>
  <c r="HO11" i="7"/>
  <c r="HO10" i="7"/>
  <c r="HO9" i="7"/>
  <c r="HO8" i="7"/>
  <c r="HN57" i="7"/>
  <c r="HN56" i="7"/>
  <c r="HN55" i="7"/>
  <c r="HN54" i="7"/>
  <c r="HN53" i="7"/>
  <c r="HN52" i="7"/>
  <c r="HN51" i="7"/>
  <c r="HN50" i="7"/>
  <c r="HN41" i="7"/>
  <c r="HN40" i="7"/>
  <c r="HN39" i="7"/>
  <c r="HN38" i="7"/>
  <c r="HN37" i="7"/>
  <c r="HN36" i="7"/>
  <c r="HN35" i="7"/>
  <c r="HN34" i="7"/>
  <c r="HN33" i="7"/>
  <c r="HN32" i="7"/>
  <c r="HN31" i="7"/>
  <c r="HN30" i="7"/>
  <c r="HN29" i="7"/>
  <c r="HN28" i="7"/>
  <c r="HN27" i="7"/>
  <c r="HN26" i="7"/>
  <c r="HN25" i="7"/>
  <c r="HN24" i="7"/>
  <c r="HN23" i="7"/>
  <c r="HN22" i="7"/>
  <c r="HN21" i="7"/>
  <c r="HN20" i="7"/>
  <c r="HN19" i="7"/>
  <c r="HN18" i="7"/>
  <c r="HN17" i="7"/>
  <c r="HN15" i="7"/>
  <c r="HN14" i="7"/>
  <c r="HN13" i="7"/>
  <c r="HN12" i="7"/>
  <c r="HN11" i="7"/>
  <c r="HN10" i="7"/>
  <c r="HN9" i="7"/>
  <c r="HN8" i="7"/>
  <c r="HM57" i="7"/>
  <c r="HM56" i="7"/>
  <c r="HM55" i="7"/>
  <c r="HM54" i="7"/>
  <c r="HM53" i="7"/>
  <c r="HM52" i="7"/>
  <c r="HM51" i="7"/>
  <c r="HM50" i="7"/>
  <c r="HM41" i="7"/>
  <c r="HM40" i="7"/>
  <c r="HM39" i="7"/>
  <c r="HM38" i="7"/>
  <c r="HM37" i="7"/>
  <c r="HM36" i="7"/>
  <c r="HM35" i="7"/>
  <c r="HM34" i="7"/>
  <c r="HM33" i="7"/>
  <c r="HM32" i="7"/>
  <c r="HM31" i="7"/>
  <c r="HM30" i="7"/>
  <c r="HM29" i="7"/>
  <c r="HM28" i="7"/>
  <c r="HM27" i="7"/>
  <c r="HM26" i="7"/>
  <c r="HM25" i="7"/>
  <c r="HM24" i="7"/>
  <c r="HM23" i="7"/>
  <c r="HM22" i="7"/>
  <c r="HM21" i="7"/>
  <c r="HM20" i="7"/>
  <c r="HM19" i="7"/>
  <c r="HM18" i="7"/>
  <c r="HM17" i="7"/>
  <c r="HM15" i="7"/>
  <c r="HM14" i="7"/>
  <c r="HM13" i="7"/>
  <c r="HM12" i="7"/>
  <c r="HM11" i="7"/>
  <c r="HM10" i="7"/>
  <c r="HM9" i="7"/>
  <c r="HM8" i="7"/>
  <c r="HL57" i="7"/>
  <c r="HL56" i="7"/>
  <c r="HL55" i="7"/>
  <c r="HL54" i="7"/>
  <c r="HL53" i="7"/>
  <c r="HL52" i="7"/>
  <c r="HL51" i="7"/>
  <c r="HL50" i="7"/>
  <c r="HL41" i="7"/>
  <c r="HL40" i="7"/>
  <c r="HL39" i="7"/>
  <c r="HL38" i="7"/>
  <c r="HL37" i="7"/>
  <c r="HL36" i="7"/>
  <c r="HL35" i="7"/>
  <c r="HL34" i="7"/>
  <c r="HL33" i="7"/>
  <c r="HL32" i="7"/>
  <c r="HL31" i="7"/>
  <c r="HL30" i="7"/>
  <c r="HL29" i="7"/>
  <c r="HL28" i="7"/>
  <c r="HL27" i="7"/>
  <c r="HL26" i="7"/>
  <c r="HL25" i="7"/>
  <c r="HL24" i="7"/>
  <c r="HL23" i="7"/>
  <c r="HL22" i="7"/>
  <c r="HL21" i="7"/>
  <c r="HL20" i="7"/>
  <c r="HL19" i="7"/>
  <c r="HL18" i="7"/>
  <c r="HL17" i="7"/>
  <c r="HL15" i="7"/>
  <c r="HL14" i="7"/>
  <c r="HL13" i="7"/>
  <c r="HL12" i="7"/>
  <c r="HL11" i="7"/>
  <c r="HL10" i="7"/>
  <c r="HL9" i="7"/>
  <c r="HL8" i="7"/>
  <c r="HK57" i="7"/>
  <c r="HK56" i="7"/>
  <c r="HK55" i="7"/>
  <c r="HK54" i="7"/>
  <c r="HK53" i="7"/>
  <c r="HK52" i="7"/>
  <c r="HK51" i="7"/>
  <c r="HK50" i="7"/>
  <c r="HK41" i="7"/>
  <c r="HK40" i="7"/>
  <c r="HK39" i="7"/>
  <c r="HK38" i="7"/>
  <c r="HK37" i="7"/>
  <c r="HK36" i="7"/>
  <c r="HK35" i="7"/>
  <c r="HK34" i="7"/>
  <c r="HK33" i="7"/>
  <c r="HK32" i="7"/>
  <c r="HK31" i="7"/>
  <c r="HK30" i="7"/>
  <c r="HK29" i="7"/>
  <c r="HK28" i="7"/>
  <c r="HK27" i="7"/>
  <c r="HK26" i="7"/>
  <c r="HK25" i="7"/>
  <c r="HK24" i="7"/>
  <c r="HK23" i="7"/>
  <c r="HK22" i="7"/>
  <c r="HK21" i="7"/>
  <c r="HK20" i="7"/>
  <c r="HK19" i="7"/>
  <c r="HK18" i="7"/>
  <c r="HK17" i="7"/>
  <c r="HK15" i="7"/>
  <c r="HK14" i="7"/>
  <c r="HK13" i="7"/>
  <c r="HK12" i="7"/>
  <c r="HK11" i="7"/>
  <c r="HK10" i="7"/>
  <c r="HK9" i="7"/>
  <c r="HK8" i="7"/>
  <c r="HJ57" i="7"/>
  <c r="HJ56" i="7"/>
  <c r="HJ55" i="7"/>
  <c r="HJ54" i="7"/>
  <c r="HJ53" i="7"/>
  <c r="HJ52" i="7"/>
  <c r="HJ51" i="7"/>
  <c r="HJ50" i="7"/>
  <c r="HJ41" i="7"/>
  <c r="HJ40" i="7"/>
  <c r="HJ39" i="7"/>
  <c r="HJ38" i="7"/>
  <c r="HJ37" i="7"/>
  <c r="HJ36" i="7"/>
  <c r="HJ35" i="7"/>
  <c r="HJ34" i="7"/>
  <c r="HJ33" i="7"/>
  <c r="HJ32" i="7"/>
  <c r="HJ31" i="7"/>
  <c r="HJ30" i="7"/>
  <c r="HJ29" i="7"/>
  <c r="HJ28" i="7"/>
  <c r="HJ27" i="7"/>
  <c r="HJ26" i="7"/>
  <c r="HJ25" i="7"/>
  <c r="HJ24" i="7"/>
  <c r="HJ23" i="7"/>
  <c r="HJ22" i="7"/>
  <c r="HJ21" i="7"/>
  <c r="HJ20" i="7"/>
  <c r="HJ19" i="7"/>
  <c r="HJ18" i="7"/>
  <c r="HJ17" i="7"/>
  <c r="HJ15" i="7"/>
  <c r="HJ14" i="7"/>
  <c r="HJ13" i="7"/>
  <c r="HJ12" i="7"/>
  <c r="HJ11" i="7"/>
  <c r="HJ10" i="7"/>
  <c r="HJ9" i="7"/>
  <c r="HJ8" i="7"/>
  <c r="HI57" i="7"/>
  <c r="HI56" i="7"/>
  <c r="HI55" i="7"/>
  <c r="HI54" i="7"/>
  <c r="HI53" i="7"/>
  <c r="HI52" i="7"/>
  <c r="HI51" i="7"/>
  <c r="HI50" i="7"/>
  <c r="HI41" i="7"/>
  <c r="HI40" i="7"/>
  <c r="HI39" i="7"/>
  <c r="HI38" i="7"/>
  <c r="HI37" i="7"/>
  <c r="HI36" i="7"/>
  <c r="HI35" i="7"/>
  <c r="HI34" i="7"/>
  <c r="HI33" i="7"/>
  <c r="HI32" i="7"/>
  <c r="HI31" i="7"/>
  <c r="HI30" i="7"/>
  <c r="HI29" i="7"/>
  <c r="HI28" i="7"/>
  <c r="HI27" i="7"/>
  <c r="HI26" i="7"/>
  <c r="HI25" i="7"/>
  <c r="HI24" i="7"/>
  <c r="HI23" i="7"/>
  <c r="HI22" i="7"/>
  <c r="HI21" i="7"/>
  <c r="HI20" i="7"/>
  <c r="HI19" i="7"/>
  <c r="HI18" i="7"/>
  <c r="HI17" i="7"/>
  <c r="HI15" i="7"/>
  <c r="HI14" i="7"/>
  <c r="HI13" i="7"/>
  <c r="HI12" i="7"/>
  <c r="HI11" i="7"/>
  <c r="HI10" i="7"/>
  <c r="HI9" i="7"/>
  <c r="HI8" i="7"/>
  <c r="HH57" i="7"/>
  <c r="HH56" i="7"/>
  <c r="HH55" i="7"/>
  <c r="HH54" i="7"/>
  <c r="HH53" i="7"/>
  <c r="HH52" i="7"/>
  <c r="HH51" i="7"/>
  <c r="HH50" i="7"/>
  <c r="HH41" i="7"/>
  <c r="HH40" i="7"/>
  <c r="HH39" i="7"/>
  <c r="HH38" i="7"/>
  <c r="HH37" i="7"/>
  <c r="HH36" i="7"/>
  <c r="HH35" i="7"/>
  <c r="HH34" i="7"/>
  <c r="HH33" i="7"/>
  <c r="HH32" i="7"/>
  <c r="HH31" i="7"/>
  <c r="HH30" i="7"/>
  <c r="HH29" i="7"/>
  <c r="HH28" i="7"/>
  <c r="HH27" i="7"/>
  <c r="HH26" i="7"/>
  <c r="HH25" i="7"/>
  <c r="HH24" i="7"/>
  <c r="HH23" i="7"/>
  <c r="HH22" i="7"/>
  <c r="HH21" i="7"/>
  <c r="HH20" i="7"/>
  <c r="HH19" i="7"/>
  <c r="HH18" i="7"/>
  <c r="HH17" i="7"/>
  <c r="HH15" i="7"/>
  <c r="HH14" i="7"/>
  <c r="HH13" i="7"/>
  <c r="HH12" i="7"/>
  <c r="HH11" i="7"/>
  <c r="HH10" i="7"/>
  <c r="HH9" i="7"/>
  <c r="HH8" i="7"/>
  <c r="HG57" i="7"/>
  <c r="HG56" i="7"/>
  <c r="HG55" i="7"/>
  <c r="HG54" i="7"/>
  <c r="HG53" i="7"/>
  <c r="HG52" i="7"/>
  <c r="HG51" i="7"/>
  <c r="HG50" i="7"/>
  <c r="HG41" i="7"/>
  <c r="HG40" i="7"/>
  <c r="HG39" i="7"/>
  <c r="HG38" i="7"/>
  <c r="HG37" i="7"/>
  <c r="HG36" i="7"/>
  <c r="HG35" i="7"/>
  <c r="HG34" i="7"/>
  <c r="HG33" i="7"/>
  <c r="HG32" i="7"/>
  <c r="HG31" i="7"/>
  <c r="HG30" i="7"/>
  <c r="HG29" i="7"/>
  <c r="HG28" i="7"/>
  <c r="HG27" i="7"/>
  <c r="HG26" i="7"/>
  <c r="HG25" i="7"/>
  <c r="HG24" i="7"/>
  <c r="HG23" i="7"/>
  <c r="HG22" i="7"/>
  <c r="HG21" i="7"/>
  <c r="HG20" i="7"/>
  <c r="HG19" i="7"/>
  <c r="HG18" i="7"/>
  <c r="HG17" i="7"/>
  <c r="HG15" i="7"/>
  <c r="HG14" i="7"/>
  <c r="HG13" i="7"/>
  <c r="HG12" i="7"/>
  <c r="HG11" i="7"/>
  <c r="HG10" i="7"/>
  <c r="HG9" i="7"/>
  <c r="HG8" i="7"/>
  <c r="HF57" i="7"/>
  <c r="HF56" i="7"/>
  <c r="HF55" i="7"/>
  <c r="HF54" i="7"/>
  <c r="HF53" i="7"/>
  <c r="HF52" i="7"/>
  <c r="HF51" i="7"/>
  <c r="HF50" i="7"/>
  <c r="HF41" i="7"/>
  <c r="HF40" i="7"/>
  <c r="HF39" i="7"/>
  <c r="HF38" i="7"/>
  <c r="HF37" i="7"/>
  <c r="HF36" i="7"/>
  <c r="HF35" i="7"/>
  <c r="HF34" i="7"/>
  <c r="HF33" i="7"/>
  <c r="HF32" i="7"/>
  <c r="HF31" i="7"/>
  <c r="HF30" i="7"/>
  <c r="HF29" i="7"/>
  <c r="HF28" i="7"/>
  <c r="HF27" i="7"/>
  <c r="HF26" i="7"/>
  <c r="HF25" i="7"/>
  <c r="HF24" i="7"/>
  <c r="HF23" i="7"/>
  <c r="HF22" i="7"/>
  <c r="HF21" i="7"/>
  <c r="HF20" i="7"/>
  <c r="HF19" i="7"/>
  <c r="HF18" i="7"/>
  <c r="HF17" i="7"/>
  <c r="HF15" i="7"/>
  <c r="HF14" i="7"/>
  <c r="HF13" i="7"/>
  <c r="HF12" i="7"/>
  <c r="HF11" i="7"/>
  <c r="HF10" i="7"/>
  <c r="HF9" i="7"/>
  <c r="HF8" i="7"/>
  <c r="HE57" i="7"/>
  <c r="HE56" i="7"/>
  <c r="HE55" i="7"/>
  <c r="HE54" i="7"/>
  <c r="HE53" i="7"/>
  <c r="HE52" i="7"/>
  <c r="HE51" i="7"/>
  <c r="HE50" i="7"/>
  <c r="HE41" i="7"/>
  <c r="HE40" i="7"/>
  <c r="HE39" i="7"/>
  <c r="HE38" i="7"/>
  <c r="HE37" i="7"/>
  <c r="HE36" i="7"/>
  <c r="HE35" i="7"/>
  <c r="HE34" i="7"/>
  <c r="HE33" i="7"/>
  <c r="HE32" i="7"/>
  <c r="HE31" i="7"/>
  <c r="HE30" i="7"/>
  <c r="HE29" i="7"/>
  <c r="HE28" i="7"/>
  <c r="HE27" i="7"/>
  <c r="HE26" i="7"/>
  <c r="HE25" i="7"/>
  <c r="HE24" i="7"/>
  <c r="HE23" i="7"/>
  <c r="HE22" i="7"/>
  <c r="HE21" i="7"/>
  <c r="HE20" i="7"/>
  <c r="HE19" i="7"/>
  <c r="HE18" i="7"/>
  <c r="HE17" i="7"/>
  <c r="HE16" i="7"/>
  <c r="HE15" i="7"/>
  <c r="HE14" i="7"/>
  <c r="HE13" i="7"/>
  <c r="HE12" i="7"/>
  <c r="HE11" i="7"/>
  <c r="HE10" i="7"/>
  <c r="HE9" i="7"/>
  <c r="HE8" i="7"/>
  <c r="HB56" i="7"/>
  <c r="HB55" i="7"/>
  <c r="HB54" i="7"/>
  <c r="HB53" i="7"/>
  <c r="HB52" i="7"/>
  <c r="HB51" i="7"/>
  <c r="HB41" i="7"/>
  <c r="HB40" i="7"/>
  <c r="HB39" i="7"/>
  <c r="HB38" i="7"/>
  <c r="HB37" i="7"/>
  <c r="HB36" i="7"/>
  <c r="HB35" i="7"/>
  <c r="HB34" i="7"/>
  <c r="HB33" i="7"/>
  <c r="HB32" i="7"/>
  <c r="HB31" i="7"/>
  <c r="HB30" i="7"/>
  <c r="HB29" i="7"/>
  <c r="HB28" i="7"/>
  <c r="HB27" i="7"/>
  <c r="HB26" i="7"/>
  <c r="HB25" i="7"/>
  <c r="HB24" i="7"/>
  <c r="HB23" i="7"/>
  <c r="HB22" i="7"/>
  <c r="HB21" i="7"/>
  <c r="HB20" i="7"/>
  <c r="HB19" i="7"/>
  <c r="HB18" i="7"/>
  <c r="HB17" i="7"/>
  <c r="HB15" i="7"/>
  <c r="HB14" i="7"/>
  <c r="HB13" i="7"/>
  <c r="HB12" i="7"/>
  <c r="HB11" i="7"/>
  <c r="HB10" i="7"/>
  <c r="HB9" i="7"/>
  <c r="HB8" i="7"/>
  <c r="HA56" i="7"/>
  <c r="HA55" i="7"/>
  <c r="HA54" i="7"/>
  <c r="HA53" i="7"/>
  <c r="HA52" i="7"/>
  <c r="HA51" i="7"/>
  <c r="HA41" i="7"/>
  <c r="HA40" i="7"/>
  <c r="HA39" i="7"/>
  <c r="HA38" i="7"/>
  <c r="HA37" i="7"/>
  <c r="HA36" i="7"/>
  <c r="HA35" i="7"/>
  <c r="HA34" i="7"/>
  <c r="HA33" i="7"/>
  <c r="HA32" i="7"/>
  <c r="HA31" i="7"/>
  <c r="HA30" i="7"/>
  <c r="HA29" i="7"/>
  <c r="HA28" i="7"/>
  <c r="HA27" i="7"/>
  <c r="HA26" i="7"/>
  <c r="HA25" i="7"/>
  <c r="HA24" i="7"/>
  <c r="HA23" i="7"/>
  <c r="HA22" i="7"/>
  <c r="HA21" i="7"/>
  <c r="HA20" i="7"/>
  <c r="HA19" i="7"/>
  <c r="HA18" i="7"/>
  <c r="HA17" i="7"/>
  <c r="HA15" i="7"/>
  <c r="HA14" i="7"/>
  <c r="HA13" i="7"/>
  <c r="HA12" i="7"/>
  <c r="HA11" i="7"/>
  <c r="HA10" i="7"/>
  <c r="HA9" i="7"/>
  <c r="HA8" i="7"/>
  <c r="GZ56" i="7"/>
  <c r="GZ55" i="7"/>
  <c r="GZ54" i="7"/>
  <c r="GZ53" i="7"/>
  <c r="GZ52" i="7"/>
  <c r="GZ51" i="7"/>
  <c r="GZ41" i="7"/>
  <c r="GZ40" i="7"/>
  <c r="GZ39" i="7"/>
  <c r="GZ38" i="7"/>
  <c r="GZ37" i="7"/>
  <c r="GZ36" i="7"/>
  <c r="GZ35" i="7"/>
  <c r="GZ34" i="7"/>
  <c r="GZ33" i="7"/>
  <c r="GZ32" i="7"/>
  <c r="GZ31" i="7"/>
  <c r="GZ30" i="7"/>
  <c r="GZ29" i="7"/>
  <c r="GZ28" i="7"/>
  <c r="GZ27" i="7"/>
  <c r="GZ26" i="7"/>
  <c r="GZ25" i="7"/>
  <c r="GZ24" i="7"/>
  <c r="GZ23" i="7"/>
  <c r="GZ22" i="7"/>
  <c r="GZ21" i="7"/>
  <c r="GZ20" i="7"/>
  <c r="GZ19" i="7"/>
  <c r="GZ18" i="7"/>
  <c r="GZ17" i="7"/>
  <c r="GZ15" i="7"/>
  <c r="GZ14" i="7"/>
  <c r="GZ13" i="7"/>
  <c r="GZ12" i="7"/>
  <c r="GZ11" i="7"/>
  <c r="GZ10" i="7"/>
  <c r="GZ9" i="7"/>
  <c r="GZ8" i="7"/>
  <c r="GY56" i="7"/>
  <c r="GY55" i="7"/>
  <c r="GY54" i="7"/>
  <c r="GY53" i="7"/>
  <c r="GY52" i="7"/>
  <c r="GY51" i="7"/>
  <c r="GY41" i="7"/>
  <c r="GY40" i="7"/>
  <c r="GY39" i="7"/>
  <c r="GY38" i="7"/>
  <c r="GY37" i="7"/>
  <c r="GY36" i="7"/>
  <c r="GY35" i="7"/>
  <c r="GY34" i="7"/>
  <c r="GY33" i="7"/>
  <c r="GY32" i="7"/>
  <c r="GY31" i="7"/>
  <c r="GY30" i="7"/>
  <c r="GY29" i="7"/>
  <c r="GY28" i="7"/>
  <c r="GY27" i="7"/>
  <c r="GY26" i="7"/>
  <c r="GY25" i="7"/>
  <c r="GY24" i="7"/>
  <c r="GY23" i="7"/>
  <c r="GY22" i="7"/>
  <c r="GY21" i="7"/>
  <c r="GY20" i="7"/>
  <c r="GY19" i="7"/>
  <c r="GY18" i="7"/>
  <c r="GY17" i="7"/>
  <c r="GY15" i="7"/>
  <c r="GY14" i="7"/>
  <c r="GY13" i="7"/>
  <c r="GY12" i="7"/>
  <c r="GY11" i="7"/>
  <c r="GY10" i="7"/>
  <c r="GY9" i="7"/>
  <c r="GY8" i="7"/>
  <c r="GX56" i="7"/>
  <c r="GX55" i="7"/>
  <c r="GX54" i="7"/>
  <c r="GX53" i="7"/>
  <c r="GX52" i="7"/>
  <c r="GX51" i="7"/>
  <c r="GX41" i="7"/>
  <c r="GX40" i="7"/>
  <c r="GX39" i="7"/>
  <c r="GX38" i="7"/>
  <c r="GX37" i="7"/>
  <c r="GX36" i="7"/>
  <c r="GX35" i="7"/>
  <c r="GX34" i="7"/>
  <c r="GX33" i="7"/>
  <c r="GX32" i="7"/>
  <c r="GX31" i="7"/>
  <c r="GX30" i="7"/>
  <c r="GX29" i="7"/>
  <c r="GX28" i="7"/>
  <c r="GX27" i="7"/>
  <c r="GX26" i="7"/>
  <c r="GX25" i="7"/>
  <c r="GX24" i="7"/>
  <c r="GX23" i="7"/>
  <c r="GX22" i="7"/>
  <c r="GX21" i="7"/>
  <c r="GX20" i="7"/>
  <c r="GX19" i="7"/>
  <c r="GX18" i="7"/>
  <c r="GX17" i="7"/>
  <c r="GX15" i="7"/>
  <c r="GX14" i="7"/>
  <c r="GX13" i="7"/>
  <c r="GX12" i="7"/>
  <c r="GX11" i="7"/>
  <c r="GX10" i="7"/>
  <c r="GX9" i="7"/>
  <c r="GX8" i="7"/>
  <c r="GW56" i="7"/>
  <c r="GW55" i="7"/>
  <c r="GW54" i="7"/>
  <c r="GW53" i="7"/>
  <c r="GW52" i="7"/>
  <c r="GW51" i="7"/>
  <c r="GW41" i="7"/>
  <c r="GW40" i="7"/>
  <c r="GW39" i="7"/>
  <c r="GW38" i="7"/>
  <c r="GW37" i="7"/>
  <c r="GW36" i="7"/>
  <c r="GW35" i="7"/>
  <c r="GW34" i="7"/>
  <c r="GW33" i="7"/>
  <c r="GW32" i="7"/>
  <c r="GW31" i="7"/>
  <c r="GW30" i="7"/>
  <c r="GW29" i="7"/>
  <c r="GW28" i="7"/>
  <c r="GW27" i="7"/>
  <c r="GW26" i="7"/>
  <c r="GW25" i="7"/>
  <c r="GW24" i="7"/>
  <c r="GW23" i="7"/>
  <c r="GW22" i="7"/>
  <c r="GW21" i="7"/>
  <c r="GW20" i="7"/>
  <c r="GW19" i="7"/>
  <c r="GW18" i="7"/>
  <c r="GW17" i="7"/>
  <c r="GW15" i="7"/>
  <c r="GW14" i="7"/>
  <c r="GW13" i="7"/>
  <c r="GW12" i="7"/>
  <c r="GW11" i="7"/>
  <c r="GW10" i="7"/>
  <c r="GW9" i="7"/>
  <c r="GW8" i="7"/>
  <c r="GV56" i="7"/>
  <c r="GV55" i="7"/>
  <c r="GV54" i="7"/>
  <c r="GV53" i="7"/>
  <c r="GV52" i="7"/>
  <c r="GV51" i="7"/>
  <c r="GV41" i="7"/>
  <c r="GV40" i="7"/>
  <c r="GV39" i="7"/>
  <c r="GV38" i="7"/>
  <c r="GV37" i="7"/>
  <c r="GV36" i="7"/>
  <c r="GV35" i="7"/>
  <c r="GV34" i="7"/>
  <c r="GV33" i="7"/>
  <c r="GV32" i="7"/>
  <c r="GV31" i="7"/>
  <c r="GV30" i="7"/>
  <c r="GV29" i="7"/>
  <c r="GV28" i="7"/>
  <c r="GV27" i="7"/>
  <c r="GV26" i="7"/>
  <c r="GV25" i="7"/>
  <c r="GV24" i="7"/>
  <c r="GV23" i="7"/>
  <c r="GV22" i="7"/>
  <c r="GV21" i="7"/>
  <c r="GV20" i="7"/>
  <c r="GV19" i="7"/>
  <c r="GV18" i="7"/>
  <c r="GV17" i="7"/>
  <c r="GV15" i="7"/>
  <c r="GV14" i="7"/>
  <c r="GV13" i="7"/>
  <c r="GV12" i="7"/>
  <c r="GV11" i="7"/>
  <c r="GV10" i="7"/>
  <c r="GV9" i="7"/>
  <c r="GV8" i="7"/>
  <c r="GU56" i="7"/>
  <c r="GU55" i="7"/>
  <c r="GU54" i="7"/>
  <c r="GU53" i="7"/>
  <c r="GU52" i="7"/>
  <c r="GU51" i="7"/>
  <c r="GU41" i="7"/>
  <c r="GU40" i="7"/>
  <c r="GU39" i="7"/>
  <c r="GU38" i="7"/>
  <c r="GU37" i="7"/>
  <c r="GU36" i="7"/>
  <c r="GU35" i="7"/>
  <c r="GU34" i="7"/>
  <c r="GU33" i="7"/>
  <c r="GU32" i="7"/>
  <c r="GU31" i="7"/>
  <c r="GU30" i="7"/>
  <c r="GU29" i="7"/>
  <c r="GU28" i="7"/>
  <c r="GU27" i="7"/>
  <c r="GU26" i="7"/>
  <c r="GU25" i="7"/>
  <c r="GU24" i="7"/>
  <c r="GU23" i="7"/>
  <c r="GU22" i="7"/>
  <c r="GU21" i="7"/>
  <c r="GU20" i="7"/>
  <c r="GU19" i="7"/>
  <c r="GU18" i="7"/>
  <c r="GU17" i="7"/>
  <c r="GU15" i="7"/>
  <c r="GU14" i="7"/>
  <c r="GU13" i="7"/>
  <c r="GU12" i="7"/>
  <c r="GU11" i="7"/>
  <c r="GU10" i="7"/>
  <c r="GU9" i="7"/>
  <c r="GU8" i="7"/>
  <c r="GT56" i="7"/>
  <c r="GT55" i="7"/>
  <c r="GT54" i="7"/>
  <c r="GT53" i="7"/>
  <c r="GT52" i="7"/>
  <c r="GT51" i="7"/>
  <c r="GT41" i="7"/>
  <c r="GT40" i="7"/>
  <c r="GT39" i="7"/>
  <c r="GT38" i="7"/>
  <c r="GT37" i="7"/>
  <c r="GT36" i="7"/>
  <c r="GT35" i="7"/>
  <c r="GT34" i="7"/>
  <c r="GT33" i="7"/>
  <c r="GT32" i="7"/>
  <c r="GT31" i="7"/>
  <c r="GT30" i="7"/>
  <c r="GT29" i="7"/>
  <c r="GT28" i="7"/>
  <c r="GT27" i="7"/>
  <c r="GT26" i="7"/>
  <c r="GT25" i="7"/>
  <c r="GT24" i="7"/>
  <c r="GT23" i="7"/>
  <c r="GT22" i="7"/>
  <c r="GT21" i="7"/>
  <c r="GT20" i="7"/>
  <c r="GT19" i="7"/>
  <c r="GT18" i="7"/>
  <c r="GT17" i="7"/>
  <c r="GT15" i="7"/>
  <c r="GT14" i="7"/>
  <c r="GT13" i="7"/>
  <c r="GT12" i="7"/>
  <c r="GT11" i="7"/>
  <c r="GT10" i="7"/>
  <c r="GT9" i="7"/>
  <c r="GT8" i="7"/>
  <c r="GS56" i="7"/>
  <c r="GS55" i="7"/>
  <c r="GS54" i="7"/>
  <c r="GS53" i="7"/>
  <c r="GS52" i="7"/>
  <c r="GS51" i="7"/>
  <c r="GS41" i="7"/>
  <c r="GS40" i="7"/>
  <c r="GS39" i="7"/>
  <c r="GS38" i="7"/>
  <c r="GS37" i="7"/>
  <c r="GS36" i="7"/>
  <c r="GS35" i="7"/>
  <c r="GS34" i="7"/>
  <c r="GS33" i="7"/>
  <c r="GS32" i="7"/>
  <c r="GS31" i="7"/>
  <c r="GS30" i="7"/>
  <c r="GS29" i="7"/>
  <c r="GS28" i="7"/>
  <c r="GS27" i="7"/>
  <c r="GS26" i="7"/>
  <c r="GS25" i="7"/>
  <c r="GS24" i="7"/>
  <c r="GS23" i="7"/>
  <c r="GS22" i="7"/>
  <c r="GS21" i="7"/>
  <c r="GS20" i="7"/>
  <c r="GS19" i="7"/>
  <c r="GS18" i="7"/>
  <c r="GS17" i="7"/>
  <c r="GS15" i="7"/>
  <c r="GS14" i="7"/>
  <c r="GS13" i="7"/>
  <c r="GS12" i="7"/>
  <c r="GS11" i="7"/>
  <c r="GS10" i="7"/>
  <c r="GS9" i="7"/>
  <c r="GS8" i="7"/>
  <c r="GR56" i="7"/>
  <c r="GR55" i="7"/>
  <c r="GR54" i="7"/>
  <c r="GR53" i="7"/>
  <c r="GR52" i="7"/>
  <c r="GR51" i="7"/>
  <c r="GR41" i="7"/>
  <c r="GR40" i="7"/>
  <c r="GR39" i="7"/>
  <c r="GR38" i="7"/>
  <c r="GR37" i="7"/>
  <c r="GR36" i="7"/>
  <c r="GR35" i="7"/>
  <c r="GR34" i="7"/>
  <c r="GR33" i="7"/>
  <c r="GR32" i="7"/>
  <c r="GR31" i="7"/>
  <c r="GR30" i="7"/>
  <c r="GR29" i="7"/>
  <c r="GR28" i="7"/>
  <c r="GR27" i="7"/>
  <c r="GR26" i="7"/>
  <c r="GR25" i="7"/>
  <c r="GR24" i="7"/>
  <c r="GR23" i="7"/>
  <c r="GR22" i="7"/>
  <c r="GR21" i="7"/>
  <c r="GR20" i="7"/>
  <c r="GR19" i="7"/>
  <c r="GR18" i="7"/>
  <c r="GR17" i="7"/>
  <c r="GR15" i="7"/>
  <c r="GR14" i="7"/>
  <c r="GR13" i="7"/>
  <c r="GR12" i="7"/>
  <c r="GR11" i="7"/>
  <c r="GR10" i="7"/>
  <c r="GR9" i="7"/>
  <c r="GR8" i="7"/>
  <c r="GQ56" i="7"/>
  <c r="GQ55" i="7"/>
  <c r="GQ54" i="7"/>
  <c r="GQ53" i="7"/>
  <c r="GQ52" i="7"/>
  <c r="GQ51" i="7"/>
  <c r="GQ41" i="7"/>
  <c r="GQ40" i="7"/>
  <c r="GQ39" i="7"/>
  <c r="GQ38" i="7"/>
  <c r="GQ37" i="7"/>
  <c r="GQ36" i="7"/>
  <c r="GQ35" i="7"/>
  <c r="GQ34" i="7"/>
  <c r="GQ33" i="7"/>
  <c r="GQ32" i="7"/>
  <c r="GQ31" i="7"/>
  <c r="GQ30" i="7"/>
  <c r="GQ29" i="7"/>
  <c r="GQ28" i="7"/>
  <c r="GQ27" i="7"/>
  <c r="GQ26" i="7"/>
  <c r="GQ25" i="7"/>
  <c r="GQ24" i="7"/>
  <c r="GQ23" i="7"/>
  <c r="GQ22" i="7"/>
  <c r="GQ21" i="7"/>
  <c r="GQ20" i="7"/>
  <c r="GQ19" i="7"/>
  <c r="GQ18" i="7"/>
  <c r="GQ17" i="7"/>
  <c r="GQ15" i="7"/>
  <c r="GQ14" i="7"/>
  <c r="GQ13" i="7"/>
  <c r="GQ12" i="7"/>
  <c r="GQ11" i="7"/>
  <c r="GQ10" i="7"/>
  <c r="GQ9" i="7"/>
  <c r="GQ8" i="7"/>
  <c r="GP56" i="7"/>
  <c r="GP55" i="7"/>
  <c r="GP54" i="7"/>
  <c r="GP53" i="7"/>
  <c r="GP52" i="7"/>
  <c r="GP51" i="7"/>
  <c r="GP41" i="7"/>
  <c r="GP40" i="7"/>
  <c r="GP39" i="7"/>
  <c r="GP38" i="7"/>
  <c r="GP37" i="7"/>
  <c r="GP36" i="7"/>
  <c r="GP35" i="7"/>
  <c r="GP34" i="7"/>
  <c r="GP33" i="7"/>
  <c r="GP32" i="7"/>
  <c r="GP31" i="7"/>
  <c r="GP30" i="7"/>
  <c r="GP29" i="7"/>
  <c r="GP28" i="7"/>
  <c r="GP27" i="7"/>
  <c r="GP26" i="7"/>
  <c r="GP25" i="7"/>
  <c r="GP24" i="7"/>
  <c r="GP23" i="7"/>
  <c r="GP22" i="7"/>
  <c r="GP21" i="7"/>
  <c r="GP20" i="7"/>
  <c r="GP19" i="7"/>
  <c r="GP18" i="7"/>
  <c r="GP17" i="7"/>
  <c r="GP15" i="7"/>
  <c r="GP14" i="7"/>
  <c r="GP13" i="7"/>
  <c r="GP12" i="7"/>
  <c r="GP11" i="7"/>
  <c r="GP10" i="7"/>
  <c r="GP9" i="7"/>
  <c r="GP8" i="7"/>
  <c r="GO57" i="7"/>
  <c r="GO56" i="7"/>
  <c r="GO55" i="7"/>
  <c r="GO54" i="7"/>
  <c r="GO53" i="7"/>
  <c r="GO52" i="7"/>
  <c r="GO51" i="7"/>
  <c r="GO41" i="7"/>
  <c r="GO40" i="7"/>
  <c r="GO39" i="7"/>
  <c r="GO38" i="7"/>
  <c r="GO37" i="7"/>
  <c r="GO36" i="7"/>
  <c r="GO35" i="7"/>
  <c r="GO34" i="7"/>
  <c r="GO33" i="7"/>
  <c r="GO32" i="7"/>
  <c r="GO31" i="7"/>
  <c r="GO30" i="7"/>
  <c r="GO29" i="7"/>
  <c r="GO28" i="7"/>
  <c r="GO27" i="7"/>
  <c r="GO26" i="7"/>
  <c r="GO25" i="7"/>
  <c r="GO24" i="7"/>
  <c r="GO23" i="7"/>
  <c r="GO22" i="7"/>
  <c r="GO21" i="7"/>
  <c r="GO20" i="7"/>
  <c r="GO19" i="7"/>
  <c r="GO18" i="7"/>
  <c r="GO17" i="7"/>
  <c r="GO16" i="7"/>
  <c r="GO15" i="7"/>
  <c r="GO14" i="7"/>
  <c r="GO13" i="7"/>
  <c r="GO12" i="7"/>
  <c r="GO11" i="7"/>
  <c r="GO10" i="7"/>
  <c r="GO9" i="7"/>
  <c r="GO8" i="7"/>
  <c r="GN56" i="7"/>
  <c r="GN57" i="7"/>
  <c r="GN8" i="7"/>
  <c r="GN9" i="7"/>
  <c r="GN10" i="7"/>
  <c r="GN11" i="7"/>
  <c r="GN12" i="7"/>
  <c r="GN13" i="7"/>
  <c r="GN14" i="7"/>
  <c r="GN15" i="7"/>
  <c r="GN16" i="7"/>
  <c r="GN17" i="7"/>
  <c r="GN18" i="7"/>
  <c r="GN19" i="7"/>
  <c r="GN20" i="7"/>
  <c r="GN21" i="7"/>
  <c r="GN22" i="7"/>
  <c r="GN23" i="7"/>
  <c r="GN24" i="7"/>
  <c r="GN25" i="7"/>
  <c r="GN26" i="7"/>
  <c r="GN27" i="7"/>
  <c r="GN28" i="7"/>
  <c r="GN29" i="7"/>
  <c r="GN30" i="7"/>
  <c r="GN31" i="7"/>
  <c r="GN32" i="7"/>
  <c r="GN33" i="7"/>
  <c r="GN34" i="7"/>
  <c r="GN35" i="7"/>
  <c r="GN36" i="7"/>
  <c r="GN37" i="7"/>
  <c r="GN38" i="7"/>
  <c r="GN39" i="7"/>
  <c r="GN40" i="7"/>
  <c r="GN41" i="7"/>
  <c r="GN42" i="7"/>
  <c r="GN51" i="7"/>
  <c r="GN52" i="7"/>
  <c r="GN53" i="7"/>
  <c r="GN54" i="7"/>
  <c r="GN55" i="7"/>
  <c r="GL57" i="7"/>
  <c r="GL56" i="7"/>
  <c r="GL55" i="7"/>
  <c r="GL54" i="7"/>
  <c r="GL53" i="7"/>
  <c r="GL52" i="7"/>
  <c r="GL51" i="7"/>
  <c r="GL50" i="7"/>
  <c r="GL48" i="7"/>
  <c r="GL41" i="7"/>
  <c r="GL40" i="7"/>
  <c r="GL39" i="7"/>
  <c r="GL38" i="7"/>
  <c r="GL37" i="7"/>
  <c r="GL36" i="7"/>
  <c r="GL35" i="7"/>
  <c r="GL34" i="7"/>
  <c r="GL33" i="7"/>
  <c r="GL32" i="7"/>
  <c r="GL31" i="7"/>
  <c r="GL30" i="7"/>
  <c r="GL29" i="7"/>
  <c r="GL28" i="7"/>
  <c r="GL27" i="7"/>
  <c r="GL26" i="7"/>
  <c r="GL25" i="7"/>
  <c r="GL24" i="7"/>
  <c r="GL23" i="7"/>
  <c r="GL22" i="7"/>
  <c r="GL21" i="7"/>
  <c r="GL20" i="7"/>
  <c r="GL19" i="7"/>
  <c r="GL18" i="7"/>
  <c r="GL17" i="7"/>
  <c r="GL15" i="7"/>
  <c r="GL14" i="7"/>
  <c r="GL13" i="7"/>
  <c r="GL12" i="7"/>
  <c r="GL11" i="7"/>
  <c r="GL10" i="7"/>
  <c r="GL9" i="7"/>
  <c r="GL8" i="7"/>
  <c r="GK57" i="7"/>
  <c r="GK56" i="7"/>
  <c r="GK55" i="7"/>
  <c r="GK54" i="7"/>
  <c r="GK53" i="7"/>
  <c r="GK52" i="7"/>
  <c r="GK51" i="7"/>
  <c r="GK50" i="7"/>
  <c r="GK48" i="7"/>
  <c r="GK41" i="7"/>
  <c r="GK40" i="7"/>
  <c r="GK39" i="7"/>
  <c r="GK38" i="7"/>
  <c r="GK37" i="7"/>
  <c r="GK36" i="7"/>
  <c r="GK35" i="7"/>
  <c r="GK34" i="7"/>
  <c r="GK33" i="7"/>
  <c r="GK32" i="7"/>
  <c r="GK31" i="7"/>
  <c r="GK30" i="7"/>
  <c r="GK29" i="7"/>
  <c r="GK28" i="7"/>
  <c r="GK27" i="7"/>
  <c r="GK26" i="7"/>
  <c r="GK25" i="7"/>
  <c r="GK24" i="7"/>
  <c r="GK23" i="7"/>
  <c r="GK22" i="7"/>
  <c r="GK21" i="7"/>
  <c r="GK20" i="7"/>
  <c r="GK19" i="7"/>
  <c r="GK18" i="7"/>
  <c r="GK17" i="7"/>
  <c r="GK15" i="7"/>
  <c r="GK14" i="7"/>
  <c r="GK13" i="7"/>
  <c r="GK12" i="7"/>
  <c r="GK11" i="7"/>
  <c r="GK10" i="7"/>
  <c r="GK9" i="7"/>
  <c r="GK8" i="7"/>
  <c r="GJ56" i="7"/>
  <c r="GJ55" i="7"/>
  <c r="GJ54" i="7"/>
  <c r="GJ53" i="7"/>
  <c r="GJ52" i="7"/>
  <c r="GJ51" i="7"/>
  <c r="GJ50" i="7"/>
  <c r="GJ48" i="7"/>
  <c r="GJ41" i="7"/>
  <c r="GJ40" i="7"/>
  <c r="GJ39" i="7"/>
  <c r="GJ38" i="7"/>
  <c r="GJ37" i="7"/>
  <c r="GJ36" i="7"/>
  <c r="GJ35" i="7"/>
  <c r="GJ34" i="7"/>
  <c r="GJ33" i="7"/>
  <c r="GJ32" i="7"/>
  <c r="GJ31" i="7"/>
  <c r="GJ30" i="7"/>
  <c r="GJ29" i="7"/>
  <c r="GJ28" i="7"/>
  <c r="GJ27" i="7"/>
  <c r="GJ26" i="7"/>
  <c r="GJ25" i="7"/>
  <c r="GJ24" i="7"/>
  <c r="GJ23" i="7"/>
  <c r="GJ22" i="7"/>
  <c r="GJ21" i="7"/>
  <c r="GJ20" i="7"/>
  <c r="GJ19" i="7"/>
  <c r="GJ18" i="7"/>
  <c r="GJ17" i="7"/>
  <c r="GJ15" i="7"/>
  <c r="GJ14" i="7"/>
  <c r="GJ13" i="7"/>
  <c r="GJ12" i="7"/>
  <c r="GJ11" i="7"/>
  <c r="GJ10" i="7"/>
  <c r="GJ9" i="7"/>
  <c r="GJ8" i="7"/>
  <c r="GI57" i="7"/>
  <c r="GI56" i="7"/>
  <c r="GI55" i="7"/>
  <c r="GI54" i="7"/>
  <c r="GI53" i="7"/>
  <c r="GI52" i="7"/>
  <c r="GI51" i="7"/>
  <c r="GI50" i="7"/>
  <c r="GI48" i="7"/>
  <c r="GI41" i="7"/>
  <c r="GI40" i="7"/>
  <c r="GI39" i="7"/>
  <c r="GI38" i="7"/>
  <c r="GI37" i="7"/>
  <c r="GI36" i="7"/>
  <c r="GI35" i="7"/>
  <c r="GI34" i="7"/>
  <c r="GI33" i="7"/>
  <c r="GI32" i="7"/>
  <c r="GI31" i="7"/>
  <c r="GI30" i="7"/>
  <c r="GI29" i="7"/>
  <c r="GI28" i="7"/>
  <c r="GI27" i="7"/>
  <c r="GI26" i="7"/>
  <c r="GI25" i="7"/>
  <c r="GI24" i="7"/>
  <c r="GI23" i="7"/>
  <c r="GI22" i="7"/>
  <c r="GI21" i="7"/>
  <c r="GI20" i="7"/>
  <c r="GI19" i="7"/>
  <c r="GI18" i="7"/>
  <c r="GI17" i="7"/>
  <c r="GI15" i="7"/>
  <c r="GI14" i="7"/>
  <c r="GI13" i="7"/>
  <c r="GI12" i="7"/>
  <c r="GI11" i="7"/>
  <c r="GI10" i="7"/>
  <c r="GI9" i="7"/>
  <c r="GI8" i="7"/>
  <c r="GH57" i="7"/>
  <c r="GH56" i="7"/>
  <c r="GH55" i="7"/>
  <c r="GH54" i="7"/>
  <c r="GH53" i="7"/>
  <c r="GH52" i="7"/>
  <c r="GH51" i="7"/>
  <c r="GH50" i="7"/>
  <c r="GH48" i="7"/>
  <c r="GH41" i="7"/>
  <c r="GH40" i="7"/>
  <c r="GH39" i="7"/>
  <c r="GH38" i="7"/>
  <c r="GH37" i="7"/>
  <c r="GH36" i="7"/>
  <c r="GH35" i="7"/>
  <c r="GH34" i="7"/>
  <c r="GH33" i="7"/>
  <c r="GH32" i="7"/>
  <c r="GH31" i="7"/>
  <c r="GH30" i="7"/>
  <c r="GH29" i="7"/>
  <c r="GH28" i="7"/>
  <c r="GH27" i="7"/>
  <c r="GH26" i="7"/>
  <c r="GH25" i="7"/>
  <c r="GH24" i="7"/>
  <c r="GH23" i="7"/>
  <c r="GH22" i="7"/>
  <c r="GH21" i="7"/>
  <c r="GH20" i="7"/>
  <c r="GH19" i="7"/>
  <c r="GH18" i="7"/>
  <c r="GH17" i="7"/>
  <c r="GH15" i="7"/>
  <c r="GH14" i="7"/>
  <c r="GH13" i="7"/>
  <c r="GH12" i="7"/>
  <c r="GH11" i="7"/>
  <c r="GH10" i="7"/>
  <c r="GH9" i="7"/>
  <c r="GH8" i="7"/>
  <c r="GG57" i="7"/>
  <c r="GG56" i="7"/>
  <c r="GG55" i="7"/>
  <c r="GG54" i="7"/>
  <c r="GG53" i="7"/>
  <c r="GG52" i="7"/>
  <c r="GG51" i="7"/>
  <c r="GG50" i="7"/>
  <c r="GG48" i="7"/>
  <c r="GG41" i="7"/>
  <c r="GG40" i="7"/>
  <c r="GG39" i="7"/>
  <c r="GG38" i="7"/>
  <c r="GG37" i="7"/>
  <c r="GG36" i="7"/>
  <c r="GG35" i="7"/>
  <c r="GG34" i="7"/>
  <c r="GG33" i="7"/>
  <c r="GG32" i="7"/>
  <c r="GG31" i="7"/>
  <c r="GG30" i="7"/>
  <c r="GG29" i="7"/>
  <c r="GG28" i="7"/>
  <c r="GG27" i="7"/>
  <c r="GG26" i="7"/>
  <c r="GG25" i="7"/>
  <c r="GG24" i="7"/>
  <c r="GG23" i="7"/>
  <c r="GG22" i="7"/>
  <c r="GG21" i="7"/>
  <c r="GG20" i="7"/>
  <c r="GG19" i="7"/>
  <c r="GG18" i="7"/>
  <c r="GG17" i="7"/>
  <c r="GG15" i="7"/>
  <c r="GG14" i="7"/>
  <c r="GG13" i="7"/>
  <c r="GG12" i="7"/>
  <c r="GG11" i="7"/>
  <c r="GG10" i="7"/>
  <c r="GG9" i="7"/>
  <c r="GG8" i="7"/>
  <c r="GG7" i="7"/>
  <c r="GF57" i="7"/>
  <c r="GF56" i="7"/>
  <c r="GF55" i="7"/>
  <c r="GF54" i="7"/>
  <c r="GF53" i="7"/>
  <c r="GF52" i="7"/>
  <c r="GF51" i="7"/>
  <c r="GF50" i="7"/>
  <c r="GF48" i="7"/>
  <c r="GF41" i="7"/>
  <c r="GF40" i="7"/>
  <c r="GF39" i="7"/>
  <c r="GF38" i="7"/>
  <c r="GF37" i="7"/>
  <c r="GF36" i="7"/>
  <c r="GF35" i="7"/>
  <c r="GF34" i="7"/>
  <c r="GF33" i="7"/>
  <c r="GF32" i="7"/>
  <c r="GF31" i="7"/>
  <c r="GF30" i="7"/>
  <c r="GF29" i="7"/>
  <c r="GF28" i="7"/>
  <c r="GF27" i="7"/>
  <c r="GF26" i="7"/>
  <c r="GF25" i="7"/>
  <c r="GF24" i="7"/>
  <c r="GF23" i="7"/>
  <c r="GF22" i="7"/>
  <c r="GF21" i="7"/>
  <c r="GF20" i="7"/>
  <c r="GF19" i="7"/>
  <c r="GF18" i="7"/>
  <c r="GF17" i="7"/>
  <c r="GF15" i="7"/>
  <c r="GF14" i="7"/>
  <c r="GF13" i="7"/>
  <c r="GF12" i="7"/>
  <c r="GF11" i="7"/>
  <c r="GF10" i="7"/>
  <c r="GF9" i="7"/>
  <c r="GF8" i="7"/>
  <c r="GF7" i="7"/>
  <c r="GE57" i="7"/>
  <c r="GE56" i="7"/>
  <c r="GE55" i="7"/>
  <c r="GE54" i="7"/>
  <c r="GE53" i="7"/>
  <c r="GE52" i="7"/>
  <c r="GE51" i="7"/>
  <c r="GE50" i="7"/>
  <c r="GE48" i="7"/>
  <c r="GE41" i="7"/>
  <c r="GE40" i="7"/>
  <c r="GE39" i="7"/>
  <c r="GE38" i="7"/>
  <c r="GE37" i="7"/>
  <c r="GE36" i="7"/>
  <c r="GE35" i="7"/>
  <c r="GE34" i="7"/>
  <c r="GE33" i="7"/>
  <c r="GE32" i="7"/>
  <c r="GE31" i="7"/>
  <c r="GE30" i="7"/>
  <c r="GE29" i="7"/>
  <c r="GE28" i="7"/>
  <c r="GE27" i="7"/>
  <c r="GE26" i="7"/>
  <c r="GE25" i="7"/>
  <c r="GE24" i="7"/>
  <c r="GE23" i="7"/>
  <c r="GE22" i="7"/>
  <c r="GE21" i="7"/>
  <c r="GE20" i="7"/>
  <c r="GE19" i="7"/>
  <c r="GE18" i="7"/>
  <c r="GE17" i="7"/>
  <c r="GE15" i="7"/>
  <c r="GE14" i="7"/>
  <c r="GE13" i="7"/>
  <c r="GE12" i="7"/>
  <c r="GE11" i="7"/>
  <c r="GE10" i="7"/>
  <c r="GE9" i="7"/>
  <c r="GE8" i="7"/>
  <c r="GE7" i="7"/>
  <c r="GD57" i="7"/>
  <c r="GD56" i="7"/>
  <c r="GD55" i="7"/>
  <c r="GD54" i="7"/>
  <c r="GD53" i="7"/>
  <c r="GD52" i="7"/>
  <c r="GD51" i="7"/>
  <c r="GD50" i="7"/>
  <c r="GD48" i="7"/>
  <c r="GD41" i="7"/>
  <c r="GD40" i="7"/>
  <c r="GD39" i="7"/>
  <c r="GD38" i="7"/>
  <c r="GD37" i="7"/>
  <c r="GD36" i="7"/>
  <c r="GD35" i="7"/>
  <c r="GD34" i="7"/>
  <c r="GD33" i="7"/>
  <c r="GD32" i="7"/>
  <c r="GD31" i="7"/>
  <c r="GD30" i="7"/>
  <c r="GD29" i="7"/>
  <c r="GD28" i="7"/>
  <c r="GD27" i="7"/>
  <c r="GD26" i="7"/>
  <c r="GD25" i="7"/>
  <c r="GD24" i="7"/>
  <c r="GD23" i="7"/>
  <c r="GD22" i="7"/>
  <c r="GD21" i="7"/>
  <c r="GD20" i="7"/>
  <c r="GD19" i="7"/>
  <c r="GD18" i="7"/>
  <c r="GD17" i="7"/>
  <c r="GD15" i="7"/>
  <c r="GD14" i="7"/>
  <c r="GD13" i="7"/>
  <c r="GD12" i="7"/>
  <c r="GD11" i="7"/>
  <c r="GD10" i="7"/>
  <c r="GD9" i="7"/>
  <c r="GD8" i="7"/>
  <c r="GD7" i="7"/>
  <c r="GC57" i="7"/>
  <c r="GC56" i="7"/>
  <c r="GC55" i="7"/>
  <c r="GC54" i="7"/>
  <c r="GC53" i="7"/>
  <c r="GC52" i="7"/>
  <c r="GC51" i="7"/>
  <c r="GC50" i="7"/>
  <c r="GC48" i="7"/>
  <c r="GC41" i="7"/>
  <c r="GC40" i="7"/>
  <c r="GC39" i="7"/>
  <c r="GC38" i="7"/>
  <c r="GC37" i="7"/>
  <c r="GC36" i="7"/>
  <c r="GC35" i="7"/>
  <c r="GC34" i="7"/>
  <c r="GC33" i="7"/>
  <c r="GC32" i="7"/>
  <c r="GC31" i="7"/>
  <c r="GC30" i="7"/>
  <c r="GC29" i="7"/>
  <c r="GC28" i="7"/>
  <c r="GC27" i="7"/>
  <c r="GC26" i="7"/>
  <c r="GC25" i="7"/>
  <c r="GC24" i="7"/>
  <c r="GC23" i="7"/>
  <c r="GC22" i="7"/>
  <c r="GC21" i="7"/>
  <c r="GC20" i="7"/>
  <c r="GC19" i="7"/>
  <c r="GC18" i="7"/>
  <c r="GC17" i="7"/>
  <c r="GC15" i="7"/>
  <c r="GC14" i="7"/>
  <c r="GC13" i="7"/>
  <c r="GC12" i="7"/>
  <c r="GC11" i="7"/>
  <c r="GC10" i="7"/>
  <c r="GC9" i="7"/>
  <c r="GC8" i="7"/>
  <c r="GC7" i="7"/>
  <c r="GB57" i="7"/>
  <c r="GB56" i="7"/>
  <c r="GB55" i="7"/>
  <c r="GB54" i="7"/>
  <c r="GB53" i="7"/>
  <c r="GB52" i="7"/>
  <c r="GB51" i="7"/>
  <c r="GB50" i="7"/>
  <c r="GB48" i="7"/>
  <c r="GB41" i="7"/>
  <c r="GB40" i="7"/>
  <c r="GB39" i="7"/>
  <c r="GB38" i="7"/>
  <c r="GB37" i="7"/>
  <c r="GB36" i="7"/>
  <c r="GB35" i="7"/>
  <c r="GB34" i="7"/>
  <c r="GB33" i="7"/>
  <c r="GB32" i="7"/>
  <c r="GB31" i="7"/>
  <c r="GB30" i="7"/>
  <c r="GB29" i="7"/>
  <c r="GB28" i="7"/>
  <c r="GB27" i="7"/>
  <c r="GB26" i="7"/>
  <c r="GB25" i="7"/>
  <c r="GB24" i="7"/>
  <c r="GB23" i="7"/>
  <c r="GB22" i="7"/>
  <c r="GB21" i="7"/>
  <c r="GB20" i="7"/>
  <c r="GB19" i="7"/>
  <c r="GB18" i="7"/>
  <c r="GB17" i="7"/>
  <c r="GB15" i="7"/>
  <c r="GB14" i="7"/>
  <c r="GB13" i="7"/>
  <c r="GB12" i="7"/>
  <c r="GB11" i="7"/>
  <c r="GB10" i="7"/>
  <c r="GB9" i="7"/>
  <c r="GB8" i="7"/>
  <c r="GB7" i="7"/>
  <c r="GA57" i="7"/>
  <c r="GA56" i="7"/>
  <c r="GA55" i="7"/>
  <c r="GA54" i="7"/>
  <c r="GA53" i="7"/>
  <c r="GA52" i="7"/>
  <c r="GA51" i="7"/>
  <c r="GA50" i="7"/>
  <c r="GA48" i="7"/>
  <c r="GA41" i="7"/>
  <c r="GA40" i="7"/>
  <c r="GA39" i="7"/>
  <c r="GA38" i="7"/>
  <c r="GA37" i="7"/>
  <c r="GA36" i="7"/>
  <c r="GA35" i="7"/>
  <c r="GA34" i="7"/>
  <c r="GA33" i="7"/>
  <c r="GA32" i="7"/>
  <c r="GA31" i="7"/>
  <c r="GA30" i="7"/>
  <c r="GA29" i="7"/>
  <c r="GA28" i="7"/>
  <c r="GA27" i="7"/>
  <c r="GA26" i="7"/>
  <c r="GA25" i="7"/>
  <c r="GA24" i="7"/>
  <c r="GA23" i="7"/>
  <c r="GA22" i="7"/>
  <c r="GA21" i="7"/>
  <c r="GA20" i="7"/>
  <c r="GA19" i="7"/>
  <c r="GA18" i="7"/>
  <c r="GA17" i="7"/>
  <c r="GA15" i="7"/>
  <c r="GA14" i="7"/>
  <c r="GA13" i="7"/>
  <c r="GA12" i="7"/>
  <c r="GA11" i="7"/>
  <c r="GA10" i="7"/>
  <c r="GA9" i="7"/>
  <c r="GA8" i="7"/>
  <c r="GA7" i="7"/>
  <c r="FZ57" i="7"/>
  <c r="FZ56" i="7"/>
  <c r="FZ55" i="7"/>
  <c r="FZ54" i="7"/>
  <c r="FZ53" i="7"/>
  <c r="FZ52" i="7"/>
  <c r="FZ51" i="7"/>
  <c r="FZ50" i="7"/>
  <c r="FZ48" i="7"/>
  <c r="FZ41" i="7"/>
  <c r="FZ40" i="7"/>
  <c r="FZ39" i="7"/>
  <c r="FZ38" i="7"/>
  <c r="FZ37" i="7"/>
  <c r="FZ36" i="7"/>
  <c r="FZ35" i="7"/>
  <c r="FZ34" i="7"/>
  <c r="FZ33" i="7"/>
  <c r="FZ32" i="7"/>
  <c r="FZ31" i="7"/>
  <c r="FZ30" i="7"/>
  <c r="FZ29" i="7"/>
  <c r="FZ28" i="7"/>
  <c r="FZ27" i="7"/>
  <c r="FZ26" i="7"/>
  <c r="FZ25" i="7"/>
  <c r="FZ24" i="7"/>
  <c r="FZ23" i="7"/>
  <c r="FZ22" i="7"/>
  <c r="FZ21" i="7"/>
  <c r="FZ20" i="7"/>
  <c r="FZ19" i="7"/>
  <c r="FZ18" i="7"/>
  <c r="FZ17" i="7"/>
  <c r="FZ15" i="7"/>
  <c r="FZ14" i="7"/>
  <c r="FZ13" i="7"/>
  <c r="FZ12" i="7"/>
  <c r="FZ11" i="7"/>
  <c r="FZ10" i="7"/>
  <c r="FZ9" i="7"/>
  <c r="FZ8" i="7"/>
  <c r="FZ7" i="7"/>
  <c r="FY56" i="7"/>
  <c r="FY55" i="7"/>
  <c r="FY54" i="7"/>
  <c r="FY53" i="7"/>
  <c r="FY52" i="7"/>
  <c r="FY51" i="7"/>
  <c r="FY50" i="7"/>
  <c r="FY48" i="7"/>
  <c r="FY41" i="7"/>
  <c r="FY40" i="7"/>
  <c r="FY39" i="7"/>
  <c r="FY38" i="7"/>
  <c r="FY37" i="7"/>
  <c r="FY36" i="7"/>
  <c r="FY35" i="7"/>
  <c r="FY34" i="7"/>
  <c r="FY33" i="7"/>
  <c r="FY32" i="7"/>
  <c r="FY31" i="7"/>
  <c r="FY30" i="7"/>
  <c r="FY29" i="7"/>
  <c r="FY28" i="7"/>
  <c r="FY27" i="7"/>
  <c r="FY26" i="7"/>
  <c r="FY25" i="7"/>
  <c r="FY24" i="7"/>
  <c r="FY23" i="7"/>
  <c r="FY22" i="7"/>
  <c r="FY21" i="7"/>
  <c r="FY20" i="7"/>
  <c r="FY19" i="7"/>
  <c r="FY18" i="7"/>
  <c r="FY17" i="7"/>
  <c r="FY16" i="7"/>
  <c r="FY15" i="7"/>
  <c r="FY14" i="7"/>
  <c r="FY13" i="7"/>
  <c r="FY12" i="7"/>
  <c r="FY11" i="7"/>
  <c r="FY10" i="7"/>
  <c r="FY9" i="7"/>
  <c r="FY8" i="7"/>
  <c r="FY7" i="7"/>
  <c r="FX8" i="7"/>
  <c r="FX9" i="7"/>
  <c r="FX10" i="7"/>
  <c r="FX11" i="7"/>
  <c r="FX12" i="7"/>
  <c r="FX13" i="7"/>
  <c r="FX14" i="7"/>
  <c r="FX15" i="7"/>
  <c r="FX16" i="7"/>
  <c r="FX17" i="7"/>
  <c r="FX18" i="7"/>
  <c r="FX19" i="7"/>
  <c r="FX20" i="7"/>
  <c r="FX21" i="7"/>
  <c r="FX22" i="7"/>
  <c r="FX23" i="7"/>
  <c r="FX24" i="7"/>
  <c r="FX25" i="7"/>
  <c r="FX26" i="7"/>
  <c r="FX27" i="7"/>
  <c r="FX28" i="7"/>
  <c r="FX29" i="7"/>
  <c r="FX30" i="7"/>
  <c r="FX31" i="7"/>
  <c r="FX32" i="7"/>
  <c r="FX33" i="7"/>
  <c r="FX34" i="7"/>
  <c r="FX35" i="7"/>
  <c r="FX36" i="7"/>
  <c r="FX37" i="7"/>
  <c r="FX38" i="7"/>
  <c r="FX39" i="7"/>
  <c r="FX40" i="7"/>
  <c r="FX41" i="7"/>
  <c r="FX42" i="7"/>
  <c r="FX48" i="7"/>
  <c r="FX50" i="7"/>
  <c r="FX51" i="7"/>
  <c r="FX52" i="7"/>
  <c r="FX53" i="7"/>
  <c r="FX54" i="7"/>
  <c r="FX55" i="7"/>
  <c r="FX56" i="7"/>
  <c r="FX57" i="7"/>
  <c r="FX7" i="7"/>
  <c r="FV57" i="7"/>
  <c r="FV56" i="7"/>
  <c r="FV55" i="7"/>
  <c r="FV54" i="7"/>
  <c r="FV53" i="7"/>
  <c r="FV52" i="7"/>
  <c r="FV51" i="7"/>
  <c r="FV50" i="7"/>
  <c r="FV48" i="7"/>
  <c r="FV42" i="7"/>
  <c r="FV41" i="7"/>
  <c r="FV40" i="7"/>
  <c r="FV39" i="7"/>
  <c r="FV38" i="7"/>
  <c r="FV37" i="7"/>
  <c r="FV36" i="7"/>
  <c r="FV35" i="7"/>
  <c r="FV34" i="7"/>
  <c r="FV33" i="7"/>
  <c r="FV32" i="7"/>
  <c r="FV31" i="7"/>
  <c r="FV30" i="7"/>
  <c r="FV29" i="7"/>
  <c r="FV28" i="7"/>
  <c r="FV27" i="7"/>
  <c r="FV26" i="7"/>
  <c r="FV25" i="7"/>
  <c r="FV24" i="7"/>
  <c r="FV23" i="7"/>
  <c r="FV22" i="7"/>
  <c r="FV21" i="7"/>
  <c r="FV20" i="7"/>
  <c r="FV19" i="7"/>
  <c r="FV18" i="7"/>
  <c r="FV17" i="7"/>
  <c r="FV15" i="7"/>
  <c r="FV14" i="7"/>
  <c r="FV13" i="7"/>
  <c r="FV12" i="7"/>
  <c r="FV11" i="7"/>
  <c r="FV10" i="7"/>
  <c r="FV9" i="7"/>
  <c r="FV8" i="7"/>
  <c r="FU57" i="7"/>
  <c r="FU56" i="7"/>
  <c r="FU55" i="7"/>
  <c r="FU54" i="7"/>
  <c r="FU53" i="7"/>
  <c r="FU52" i="7"/>
  <c r="FU51" i="7"/>
  <c r="FU50" i="7"/>
  <c r="FU48" i="7"/>
  <c r="FU42" i="7"/>
  <c r="FU41" i="7"/>
  <c r="FU40" i="7"/>
  <c r="FU39" i="7"/>
  <c r="FU38" i="7"/>
  <c r="FU37" i="7"/>
  <c r="FU36" i="7"/>
  <c r="FU35" i="7"/>
  <c r="FU34" i="7"/>
  <c r="FU33" i="7"/>
  <c r="FU32" i="7"/>
  <c r="FU31" i="7"/>
  <c r="FU30" i="7"/>
  <c r="FU29" i="7"/>
  <c r="FU28" i="7"/>
  <c r="FU27" i="7"/>
  <c r="FU26" i="7"/>
  <c r="FU25" i="7"/>
  <c r="FU24" i="7"/>
  <c r="FU23" i="7"/>
  <c r="FU22" i="7"/>
  <c r="FU21" i="7"/>
  <c r="FU20" i="7"/>
  <c r="FU19" i="7"/>
  <c r="FU18" i="7"/>
  <c r="FU17" i="7"/>
  <c r="FU15" i="7"/>
  <c r="FU14" i="7"/>
  <c r="FU13" i="7"/>
  <c r="FU12" i="7"/>
  <c r="FU11" i="7"/>
  <c r="FU10" i="7"/>
  <c r="FU9" i="7"/>
  <c r="FU8" i="7"/>
  <c r="FT57" i="7"/>
  <c r="FT56" i="7"/>
  <c r="FT55" i="7"/>
  <c r="FT54" i="7"/>
  <c r="FT53" i="7"/>
  <c r="FT52" i="7"/>
  <c r="FT51" i="7"/>
  <c r="FT50" i="7"/>
  <c r="FT48" i="7"/>
  <c r="FT42" i="7"/>
  <c r="FT41" i="7"/>
  <c r="FT40" i="7"/>
  <c r="FT39" i="7"/>
  <c r="FT38" i="7"/>
  <c r="FT37" i="7"/>
  <c r="FT36" i="7"/>
  <c r="FT35" i="7"/>
  <c r="FT34" i="7"/>
  <c r="FT33" i="7"/>
  <c r="FT32" i="7"/>
  <c r="FT31" i="7"/>
  <c r="FT30" i="7"/>
  <c r="FT29" i="7"/>
  <c r="FT28" i="7"/>
  <c r="FT27" i="7"/>
  <c r="FT26" i="7"/>
  <c r="FT25" i="7"/>
  <c r="FT24" i="7"/>
  <c r="FT23" i="7"/>
  <c r="FT22" i="7"/>
  <c r="FT21" i="7"/>
  <c r="FT20" i="7"/>
  <c r="FT19" i="7"/>
  <c r="FT18" i="7"/>
  <c r="FT17" i="7"/>
  <c r="FT15" i="7"/>
  <c r="FT14" i="7"/>
  <c r="FT13" i="7"/>
  <c r="FT12" i="7"/>
  <c r="FT11" i="7"/>
  <c r="FT10" i="7"/>
  <c r="FT9" i="7"/>
  <c r="FT8" i="7"/>
  <c r="FS57" i="7"/>
  <c r="FS56" i="7"/>
  <c r="FS55" i="7"/>
  <c r="FS54" i="7"/>
  <c r="FS53" i="7"/>
  <c r="FS52" i="7"/>
  <c r="FS51" i="7"/>
  <c r="FS50" i="7"/>
  <c r="FS48" i="7"/>
  <c r="FS42" i="7"/>
  <c r="FS41" i="7"/>
  <c r="FS40" i="7"/>
  <c r="FS39" i="7"/>
  <c r="FS38" i="7"/>
  <c r="FS37" i="7"/>
  <c r="FS36" i="7"/>
  <c r="FS35" i="7"/>
  <c r="FS34" i="7"/>
  <c r="FS33" i="7"/>
  <c r="FS32" i="7"/>
  <c r="FS31" i="7"/>
  <c r="FS30" i="7"/>
  <c r="FS29" i="7"/>
  <c r="FS28" i="7"/>
  <c r="FS27" i="7"/>
  <c r="FS26" i="7"/>
  <c r="FS25" i="7"/>
  <c r="FS24" i="7"/>
  <c r="FS23" i="7"/>
  <c r="FS22" i="7"/>
  <c r="FS21" i="7"/>
  <c r="FS20" i="7"/>
  <c r="FS19" i="7"/>
  <c r="FS18" i="7"/>
  <c r="FS17" i="7"/>
  <c r="FS15" i="7"/>
  <c r="FS14" i="7"/>
  <c r="FS13" i="7"/>
  <c r="FS12" i="7"/>
  <c r="FS11" i="7"/>
  <c r="FS10" i="7"/>
  <c r="FS9" i="7"/>
  <c r="FS8" i="7"/>
  <c r="FR57" i="7"/>
  <c r="FR56" i="7"/>
  <c r="FR55" i="7"/>
  <c r="FR54" i="7"/>
  <c r="FR53" i="7"/>
  <c r="FR52" i="7"/>
  <c r="FR51" i="7"/>
  <c r="FR50" i="7"/>
  <c r="FR48" i="7"/>
  <c r="FR42" i="7"/>
  <c r="FR41" i="7"/>
  <c r="FR40" i="7"/>
  <c r="FR39" i="7"/>
  <c r="FR38" i="7"/>
  <c r="FR37" i="7"/>
  <c r="FR36" i="7"/>
  <c r="FR35" i="7"/>
  <c r="FR34" i="7"/>
  <c r="FR33" i="7"/>
  <c r="FR32" i="7"/>
  <c r="FR31" i="7"/>
  <c r="FR30" i="7"/>
  <c r="FR29" i="7"/>
  <c r="FR28" i="7"/>
  <c r="FR27" i="7"/>
  <c r="FR26" i="7"/>
  <c r="FR25" i="7"/>
  <c r="FR24" i="7"/>
  <c r="FR23" i="7"/>
  <c r="FR22" i="7"/>
  <c r="FR21" i="7"/>
  <c r="FR20" i="7"/>
  <c r="FR19" i="7"/>
  <c r="FR18" i="7"/>
  <c r="FR17" i="7"/>
  <c r="FR15" i="7"/>
  <c r="FR14" i="7"/>
  <c r="FR13" i="7"/>
  <c r="FR12" i="7"/>
  <c r="FR11" i="7"/>
  <c r="FR10" i="7"/>
  <c r="FR9" i="7"/>
  <c r="FR8" i="7"/>
  <c r="FQ57" i="7"/>
  <c r="FQ56" i="7"/>
  <c r="FQ55" i="7"/>
  <c r="FQ54" i="7"/>
  <c r="FQ53" i="7"/>
  <c r="FQ52" i="7"/>
  <c r="FQ51" i="7"/>
  <c r="FQ50" i="7"/>
  <c r="FQ48" i="7"/>
  <c r="FQ42" i="7"/>
  <c r="FQ41" i="7"/>
  <c r="FQ40" i="7"/>
  <c r="FQ39" i="7"/>
  <c r="FQ38" i="7"/>
  <c r="FQ37" i="7"/>
  <c r="FQ36" i="7"/>
  <c r="FQ35" i="7"/>
  <c r="FQ34" i="7"/>
  <c r="FQ33" i="7"/>
  <c r="FQ32" i="7"/>
  <c r="FQ31" i="7"/>
  <c r="FQ30" i="7"/>
  <c r="FQ29" i="7"/>
  <c r="FQ28" i="7"/>
  <c r="FQ27" i="7"/>
  <c r="FQ26" i="7"/>
  <c r="FQ25" i="7"/>
  <c r="FQ24" i="7"/>
  <c r="FQ23" i="7"/>
  <c r="FQ22" i="7"/>
  <c r="FQ21" i="7"/>
  <c r="FQ20" i="7"/>
  <c r="FQ19" i="7"/>
  <c r="FQ18" i="7"/>
  <c r="FQ17" i="7"/>
  <c r="FQ15" i="7"/>
  <c r="FQ14" i="7"/>
  <c r="FQ13" i="7"/>
  <c r="FQ12" i="7"/>
  <c r="FQ11" i="7"/>
  <c r="FQ10" i="7"/>
  <c r="FQ9" i="7"/>
  <c r="FQ8" i="7"/>
  <c r="FP57" i="7"/>
  <c r="FP56" i="7"/>
  <c r="FP55" i="7"/>
  <c r="FP54" i="7"/>
  <c r="FP53" i="7"/>
  <c r="FP52" i="7"/>
  <c r="FP51" i="7"/>
  <c r="FP50" i="7"/>
  <c r="FP48" i="7"/>
  <c r="FP42" i="7"/>
  <c r="FP41" i="7"/>
  <c r="FP40" i="7"/>
  <c r="FP39" i="7"/>
  <c r="FP38" i="7"/>
  <c r="FP37" i="7"/>
  <c r="FP36" i="7"/>
  <c r="FP35" i="7"/>
  <c r="FP34" i="7"/>
  <c r="FP33" i="7"/>
  <c r="FP32" i="7"/>
  <c r="FP31" i="7"/>
  <c r="FP30" i="7"/>
  <c r="FP29" i="7"/>
  <c r="FP28" i="7"/>
  <c r="FP27" i="7"/>
  <c r="FP26" i="7"/>
  <c r="FP25" i="7"/>
  <c r="FP24" i="7"/>
  <c r="FP23" i="7"/>
  <c r="FP22" i="7"/>
  <c r="FP21" i="7"/>
  <c r="FP20" i="7"/>
  <c r="FP19" i="7"/>
  <c r="FP18" i="7"/>
  <c r="FP17" i="7"/>
  <c r="FP15" i="7"/>
  <c r="FP14" i="7"/>
  <c r="FP13" i="7"/>
  <c r="FP12" i="7"/>
  <c r="FP11" i="7"/>
  <c r="FP10" i="7"/>
  <c r="FP9" i="7"/>
  <c r="FP8" i="7"/>
  <c r="FO57" i="7"/>
  <c r="FO56" i="7"/>
  <c r="FO55" i="7"/>
  <c r="FO54" i="7"/>
  <c r="FO53" i="7"/>
  <c r="FO52" i="7"/>
  <c r="FO51" i="7"/>
  <c r="FO50" i="7"/>
  <c r="FO48" i="7"/>
  <c r="FO42" i="7"/>
  <c r="FO41" i="7"/>
  <c r="FO40" i="7"/>
  <c r="FO39" i="7"/>
  <c r="FO38" i="7"/>
  <c r="FO37" i="7"/>
  <c r="FO36" i="7"/>
  <c r="FO35" i="7"/>
  <c r="FO34" i="7"/>
  <c r="FO33" i="7"/>
  <c r="FO32" i="7"/>
  <c r="FO31" i="7"/>
  <c r="FO30" i="7"/>
  <c r="FO29" i="7"/>
  <c r="FO28" i="7"/>
  <c r="FO27" i="7"/>
  <c r="FO26" i="7"/>
  <c r="FO25" i="7"/>
  <c r="FO24" i="7"/>
  <c r="FO23" i="7"/>
  <c r="FO22" i="7"/>
  <c r="FO21" i="7"/>
  <c r="FO20" i="7"/>
  <c r="FO19" i="7"/>
  <c r="FO18" i="7"/>
  <c r="FO17" i="7"/>
  <c r="FO15" i="7"/>
  <c r="FO14" i="7"/>
  <c r="FO13" i="7"/>
  <c r="FO12" i="7"/>
  <c r="FO11" i="7"/>
  <c r="FO10" i="7"/>
  <c r="FO9" i="7"/>
  <c r="FO8" i="7"/>
  <c r="FH8" i="7"/>
  <c r="FH9" i="7"/>
  <c r="FH10" i="7"/>
  <c r="FH11" i="7"/>
  <c r="FH12" i="7"/>
  <c r="FH13" i="7"/>
  <c r="FH14" i="7"/>
  <c r="FH15" i="7"/>
  <c r="FH16" i="7"/>
  <c r="FH17" i="7"/>
  <c r="FH18" i="7"/>
  <c r="FH19" i="7"/>
  <c r="FH20" i="7"/>
  <c r="FH21" i="7"/>
  <c r="FH22" i="7"/>
  <c r="FH23" i="7"/>
  <c r="FH24" i="7"/>
  <c r="FH25" i="7"/>
  <c r="FH26" i="7"/>
  <c r="FH27" i="7"/>
  <c r="FH28" i="7"/>
  <c r="FH29" i="7"/>
  <c r="FH30" i="7"/>
  <c r="FH31" i="7"/>
  <c r="FH32" i="7"/>
  <c r="FH33" i="7"/>
  <c r="FH34" i="7"/>
  <c r="FH35" i="7"/>
  <c r="FH36" i="7"/>
  <c r="FH37" i="7"/>
  <c r="FH38" i="7"/>
  <c r="FH39" i="7"/>
  <c r="FH40" i="7"/>
  <c r="FH41" i="7"/>
  <c r="FH42" i="7"/>
  <c r="FH50" i="7"/>
  <c r="FH51" i="7"/>
  <c r="FH52" i="7"/>
  <c r="FH53" i="7"/>
  <c r="FH54" i="7"/>
  <c r="FH55" i="7"/>
  <c r="FH56" i="7"/>
  <c r="FH57" i="7"/>
  <c r="FF57" i="7"/>
  <c r="FF56" i="7"/>
  <c r="FF55" i="7"/>
  <c r="FF54" i="7"/>
  <c r="FF53" i="7"/>
  <c r="FF52" i="7"/>
  <c r="FF51" i="7"/>
  <c r="FF50" i="7"/>
  <c r="FF42" i="7"/>
  <c r="FF41" i="7"/>
  <c r="FF40" i="7"/>
  <c r="FF39" i="7"/>
  <c r="FF38" i="7"/>
  <c r="FF37" i="7"/>
  <c r="FF36" i="7"/>
  <c r="FF35" i="7"/>
  <c r="FF34" i="7"/>
  <c r="FF33" i="7"/>
  <c r="FF32" i="7"/>
  <c r="FF31" i="7"/>
  <c r="FF30" i="7"/>
  <c r="FF29" i="7"/>
  <c r="FF28" i="7"/>
  <c r="FF27" i="7"/>
  <c r="FF26" i="7"/>
  <c r="FF25" i="7"/>
  <c r="FF24" i="7"/>
  <c r="FF23" i="7"/>
  <c r="FF22" i="7"/>
  <c r="FF21" i="7"/>
  <c r="FF20" i="7"/>
  <c r="FF19" i="7"/>
  <c r="FF18" i="7"/>
  <c r="FF17" i="7"/>
  <c r="FF16" i="7"/>
  <c r="FF15" i="7"/>
  <c r="FF14" i="7"/>
  <c r="FF13" i="7"/>
  <c r="FF12" i="7"/>
  <c r="FF11" i="7"/>
  <c r="FF10" i="7"/>
  <c r="FF9" i="7"/>
  <c r="FF8" i="7"/>
  <c r="AE176" i="6"/>
  <c r="FF89" i="7" s="1"/>
  <c r="FE57" i="7"/>
  <c r="FE56" i="7"/>
  <c r="FE55" i="7"/>
  <c r="FE54" i="7"/>
  <c r="FE53" i="7"/>
  <c r="FE52" i="7"/>
  <c r="FE51" i="7"/>
  <c r="FE50" i="7"/>
  <c r="FE42" i="7"/>
  <c r="FE41" i="7"/>
  <c r="FE40" i="7"/>
  <c r="FE39" i="7"/>
  <c r="FE38" i="7"/>
  <c r="FE37" i="7"/>
  <c r="FE36" i="7"/>
  <c r="FE35" i="7"/>
  <c r="FE34" i="7"/>
  <c r="FE33" i="7"/>
  <c r="FE32" i="7"/>
  <c r="FE31" i="7"/>
  <c r="FE30" i="7"/>
  <c r="FE29" i="7"/>
  <c r="FE28" i="7"/>
  <c r="FE27" i="7"/>
  <c r="FE26" i="7"/>
  <c r="FE25" i="7"/>
  <c r="FE24" i="7"/>
  <c r="FE23" i="7"/>
  <c r="FE22" i="7"/>
  <c r="FE21" i="7"/>
  <c r="FE20" i="7"/>
  <c r="FE19" i="7"/>
  <c r="FE18" i="7"/>
  <c r="FE17" i="7"/>
  <c r="FE16" i="7"/>
  <c r="FE15" i="7"/>
  <c r="FE14" i="7"/>
  <c r="FE13" i="7"/>
  <c r="FE12" i="7"/>
  <c r="FE11" i="7"/>
  <c r="FE10" i="7"/>
  <c r="FE9" i="7"/>
  <c r="FE8" i="7"/>
  <c r="AC176" i="6"/>
  <c r="FD57" i="7"/>
  <c r="FD56" i="7"/>
  <c r="FD55" i="7"/>
  <c r="FD54" i="7"/>
  <c r="FD53" i="7"/>
  <c r="FD52" i="7"/>
  <c r="FD51" i="7"/>
  <c r="FD50" i="7"/>
  <c r="FD42" i="7"/>
  <c r="FD41" i="7"/>
  <c r="FD40" i="7"/>
  <c r="FD39" i="7"/>
  <c r="FD38" i="7"/>
  <c r="FD37" i="7"/>
  <c r="FD36" i="7"/>
  <c r="FD35" i="7"/>
  <c r="FD34" i="7"/>
  <c r="FD33" i="7"/>
  <c r="FD32" i="7"/>
  <c r="FD31" i="7"/>
  <c r="FD30" i="7"/>
  <c r="FD29" i="7"/>
  <c r="FD28" i="7"/>
  <c r="FD27" i="7"/>
  <c r="FD26" i="7"/>
  <c r="FD25" i="7"/>
  <c r="FD24" i="7"/>
  <c r="FD23" i="7"/>
  <c r="FD22" i="7"/>
  <c r="FD21" i="7"/>
  <c r="FD20" i="7"/>
  <c r="FD19" i="7"/>
  <c r="FD18" i="7"/>
  <c r="FD17" i="7"/>
  <c r="FD16" i="7"/>
  <c r="FD15" i="7"/>
  <c r="FD14" i="7"/>
  <c r="FD13" i="7"/>
  <c r="FD12" i="7"/>
  <c r="FD11" i="7"/>
  <c r="FD10" i="7"/>
  <c r="FD9" i="7"/>
  <c r="FD8" i="7"/>
  <c r="AA176" i="6"/>
  <c r="FC57" i="7"/>
  <c r="FC56" i="7"/>
  <c r="FC55" i="7"/>
  <c r="FC54" i="7"/>
  <c r="FC53" i="7"/>
  <c r="FC52" i="7"/>
  <c r="FC51" i="7"/>
  <c r="FC50" i="7"/>
  <c r="FC42" i="7"/>
  <c r="FC41" i="7"/>
  <c r="FC40" i="7"/>
  <c r="FC39" i="7"/>
  <c r="FC38" i="7"/>
  <c r="FC37" i="7"/>
  <c r="FC36" i="7"/>
  <c r="FC35" i="7"/>
  <c r="FC34" i="7"/>
  <c r="FC33" i="7"/>
  <c r="FC32" i="7"/>
  <c r="FC31" i="7"/>
  <c r="FC30" i="7"/>
  <c r="FC29" i="7"/>
  <c r="FC28" i="7"/>
  <c r="FC27" i="7"/>
  <c r="FC26" i="7"/>
  <c r="FC25" i="7"/>
  <c r="FC24" i="7"/>
  <c r="FC23" i="7"/>
  <c r="FC22" i="7"/>
  <c r="FC21" i="7"/>
  <c r="FC20" i="7"/>
  <c r="FC19" i="7"/>
  <c r="FC18" i="7"/>
  <c r="FC17" i="7"/>
  <c r="FC16" i="7"/>
  <c r="FC15" i="7"/>
  <c r="FC14" i="7"/>
  <c r="FC13" i="7"/>
  <c r="FC12" i="7"/>
  <c r="FC11" i="7"/>
  <c r="FC10" i="7"/>
  <c r="FC9" i="7"/>
  <c r="FC8" i="7"/>
  <c r="FB57" i="7"/>
  <c r="FB56" i="7"/>
  <c r="FB55" i="7"/>
  <c r="FB54" i="7"/>
  <c r="FB53" i="7"/>
  <c r="FB52" i="7"/>
  <c r="FB51" i="7"/>
  <c r="FB50" i="7"/>
  <c r="FB42" i="7"/>
  <c r="FB41" i="7"/>
  <c r="FB40" i="7"/>
  <c r="FB39" i="7"/>
  <c r="FB38" i="7"/>
  <c r="FB37" i="7"/>
  <c r="FB36" i="7"/>
  <c r="FB35" i="7"/>
  <c r="FB34" i="7"/>
  <c r="FB33" i="7"/>
  <c r="FB32" i="7"/>
  <c r="FB31" i="7"/>
  <c r="FB30" i="7"/>
  <c r="FB29" i="7"/>
  <c r="FB28" i="7"/>
  <c r="FB27" i="7"/>
  <c r="FB26" i="7"/>
  <c r="FB25" i="7"/>
  <c r="FB24" i="7"/>
  <c r="FB23" i="7"/>
  <c r="FB22" i="7"/>
  <c r="FB21" i="7"/>
  <c r="FB20" i="7"/>
  <c r="FB19" i="7"/>
  <c r="FB18" i="7"/>
  <c r="FB17" i="7"/>
  <c r="FB16" i="7"/>
  <c r="FB15" i="7"/>
  <c r="FB14" i="7"/>
  <c r="FB13" i="7"/>
  <c r="FB12" i="7"/>
  <c r="FB11" i="7"/>
  <c r="FB10" i="7"/>
  <c r="FB9" i="7"/>
  <c r="FB8" i="7"/>
  <c r="W176" i="6"/>
  <c r="FA57" i="7"/>
  <c r="FA56" i="7"/>
  <c r="FA55" i="7"/>
  <c r="FA54" i="7"/>
  <c r="FA53" i="7"/>
  <c r="FA52" i="7"/>
  <c r="FA51" i="7"/>
  <c r="FA50" i="7"/>
  <c r="FA42" i="7"/>
  <c r="FA41" i="7"/>
  <c r="FA40" i="7"/>
  <c r="FA39" i="7"/>
  <c r="FA38" i="7"/>
  <c r="FA37" i="7"/>
  <c r="FA36" i="7"/>
  <c r="FA35" i="7"/>
  <c r="FA34" i="7"/>
  <c r="FA33" i="7"/>
  <c r="FA32" i="7"/>
  <c r="FA31" i="7"/>
  <c r="FA30" i="7"/>
  <c r="FA29" i="7"/>
  <c r="FA28" i="7"/>
  <c r="FA27" i="7"/>
  <c r="FA26" i="7"/>
  <c r="FA25" i="7"/>
  <c r="FA24" i="7"/>
  <c r="FA23" i="7"/>
  <c r="FA22" i="7"/>
  <c r="FA21" i="7"/>
  <c r="FA20" i="7"/>
  <c r="FA19" i="7"/>
  <c r="FA18" i="7"/>
  <c r="FA17" i="7"/>
  <c r="FA16" i="7"/>
  <c r="FA15" i="7"/>
  <c r="FA14" i="7"/>
  <c r="FA13" i="7"/>
  <c r="FA12" i="7"/>
  <c r="FA11" i="7"/>
  <c r="FA10" i="7"/>
  <c r="FA9" i="7"/>
  <c r="FA8" i="7"/>
  <c r="U176" i="6"/>
  <c r="EZ57" i="7"/>
  <c r="EZ56" i="7"/>
  <c r="EZ55" i="7"/>
  <c r="EZ54" i="7"/>
  <c r="EZ53" i="7"/>
  <c r="EZ52" i="7"/>
  <c r="EZ51" i="7"/>
  <c r="EZ50" i="7"/>
  <c r="EZ42" i="7"/>
  <c r="EZ41" i="7"/>
  <c r="EZ40" i="7"/>
  <c r="EZ39" i="7"/>
  <c r="EZ38" i="7"/>
  <c r="EZ37" i="7"/>
  <c r="EZ36" i="7"/>
  <c r="EZ35" i="7"/>
  <c r="EZ34" i="7"/>
  <c r="EZ33" i="7"/>
  <c r="EZ32" i="7"/>
  <c r="EZ31" i="7"/>
  <c r="EZ30" i="7"/>
  <c r="EZ29" i="7"/>
  <c r="EZ28" i="7"/>
  <c r="EZ27" i="7"/>
  <c r="EZ26" i="7"/>
  <c r="EZ25" i="7"/>
  <c r="EZ24" i="7"/>
  <c r="EZ23" i="7"/>
  <c r="EZ22" i="7"/>
  <c r="EZ21" i="7"/>
  <c r="EZ20" i="7"/>
  <c r="EZ19" i="7"/>
  <c r="EZ18" i="7"/>
  <c r="EZ17" i="7"/>
  <c r="EZ16" i="7"/>
  <c r="EZ15" i="7"/>
  <c r="EZ14" i="7"/>
  <c r="EZ13" i="7"/>
  <c r="EZ12" i="7"/>
  <c r="EZ11" i="7"/>
  <c r="EZ10" i="7"/>
  <c r="EZ9" i="7"/>
  <c r="EZ8" i="7"/>
  <c r="EY57" i="7"/>
  <c r="EY56" i="7"/>
  <c r="EY55" i="7"/>
  <c r="EY54" i="7"/>
  <c r="EY53" i="7"/>
  <c r="EY52" i="7"/>
  <c r="EY51" i="7"/>
  <c r="EY50" i="7"/>
  <c r="EY42" i="7"/>
  <c r="EY41" i="7"/>
  <c r="EY40" i="7"/>
  <c r="EY39" i="7"/>
  <c r="EY38" i="7"/>
  <c r="EY37" i="7"/>
  <c r="EY36" i="7"/>
  <c r="EY35" i="7"/>
  <c r="EY34" i="7"/>
  <c r="EY33" i="7"/>
  <c r="EY32" i="7"/>
  <c r="EY31" i="7"/>
  <c r="EY30" i="7"/>
  <c r="EY29" i="7"/>
  <c r="EY28" i="7"/>
  <c r="EY27" i="7"/>
  <c r="EY26" i="7"/>
  <c r="EY25" i="7"/>
  <c r="EY24" i="7"/>
  <c r="EY23" i="7"/>
  <c r="EY22" i="7"/>
  <c r="EY21" i="7"/>
  <c r="EY20" i="7"/>
  <c r="EY19" i="7"/>
  <c r="EY18" i="7"/>
  <c r="EY17" i="7"/>
  <c r="EY16" i="7"/>
  <c r="EY15" i="7"/>
  <c r="EY14" i="7"/>
  <c r="EY13" i="7"/>
  <c r="EY12" i="7"/>
  <c r="EY11" i="7"/>
  <c r="EY10" i="7"/>
  <c r="EY9" i="7"/>
  <c r="EY8" i="7"/>
  <c r="ES57" i="7"/>
  <c r="ES56" i="7"/>
  <c r="ES55" i="7"/>
  <c r="ES54" i="7"/>
  <c r="ES53" i="7"/>
  <c r="ES52" i="7"/>
  <c r="ES51" i="7"/>
  <c r="ES50" i="7"/>
  <c r="ES42" i="7"/>
  <c r="ES41" i="7"/>
  <c r="ES40" i="7"/>
  <c r="ES39" i="7"/>
  <c r="ES38" i="7"/>
  <c r="ES37" i="7"/>
  <c r="ES36" i="7"/>
  <c r="ES35" i="7"/>
  <c r="ES34" i="7"/>
  <c r="ES33" i="7"/>
  <c r="ES32" i="7"/>
  <c r="ES30" i="7"/>
  <c r="ES29" i="7"/>
  <c r="ES28" i="7"/>
  <c r="ES27" i="7"/>
  <c r="ES26" i="7"/>
  <c r="ES25" i="7"/>
  <c r="ES24" i="7"/>
  <c r="ES23" i="7"/>
  <c r="ES22" i="7"/>
  <c r="ES21" i="7"/>
  <c r="ES20" i="7"/>
  <c r="ES19" i="7"/>
  <c r="ES18" i="7"/>
  <c r="ES17" i="7"/>
  <c r="ES16" i="7"/>
  <c r="ES15" i="7"/>
  <c r="ES14" i="7"/>
  <c r="ES13" i="7"/>
  <c r="ES12" i="7"/>
  <c r="ES11" i="7"/>
  <c r="ES10" i="7"/>
  <c r="ES9" i="7"/>
  <c r="ES8" i="7"/>
  <c r="ES7" i="7"/>
  <c r="ER37" i="7"/>
  <c r="ER38" i="7"/>
  <c r="ER39" i="7"/>
  <c r="ER40" i="7"/>
  <c r="ER41" i="7"/>
  <c r="ER42" i="7"/>
  <c r="ER50" i="7"/>
  <c r="ER51" i="7"/>
  <c r="ER52" i="7"/>
  <c r="ER53" i="7"/>
  <c r="ER54" i="7"/>
  <c r="ER55" i="7"/>
  <c r="ER56" i="7"/>
  <c r="ER57" i="7"/>
  <c r="EP57" i="7"/>
  <c r="EP56" i="7"/>
  <c r="EP55" i="7"/>
  <c r="EP54" i="7"/>
  <c r="EP53" i="7"/>
  <c r="EP52" i="7"/>
  <c r="EP51" i="7"/>
  <c r="EP50" i="7"/>
  <c r="EP48" i="7"/>
  <c r="EP47" i="7"/>
  <c r="EP41" i="7"/>
  <c r="EP40" i="7"/>
  <c r="EP39" i="7"/>
  <c r="EP38" i="7"/>
  <c r="EP37" i="7"/>
  <c r="EO57" i="7"/>
  <c r="EO56" i="7"/>
  <c r="EO55" i="7"/>
  <c r="EO54" i="7"/>
  <c r="EO53" i="7"/>
  <c r="EO52" i="7"/>
  <c r="EO51" i="7"/>
  <c r="EO50" i="7"/>
  <c r="EO48" i="7"/>
  <c r="EO47" i="7"/>
  <c r="EO41" i="7"/>
  <c r="EO40" i="7"/>
  <c r="EO39" i="7"/>
  <c r="EO38" i="7"/>
  <c r="EO37" i="7"/>
  <c r="AC88" i="6"/>
  <c r="EN57" i="7"/>
  <c r="EN56" i="7"/>
  <c r="EN55" i="7"/>
  <c r="EN54" i="7"/>
  <c r="EN53" i="7"/>
  <c r="EN52" i="7"/>
  <c r="EN51" i="7"/>
  <c r="EN50" i="7"/>
  <c r="EN48" i="7"/>
  <c r="EN47" i="7"/>
  <c r="EN41" i="7"/>
  <c r="EN40" i="7"/>
  <c r="EN39" i="7"/>
  <c r="EN38" i="7"/>
  <c r="EN37" i="7"/>
  <c r="AA88" i="6"/>
  <c r="EM57" i="7"/>
  <c r="EM56" i="7"/>
  <c r="EM55" i="7"/>
  <c r="EM54" i="7"/>
  <c r="EM53" i="7"/>
  <c r="EM52" i="7"/>
  <c r="EM51" i="7"/>
  <c r="EM50" i="7"/>
  <c r="EM48" i="7"/>
  <c r="EM47" i="7"/>
  <c r="EM41" i="7"/>
  <c r="EM40" i="7"/>
  <c r="EM39" i="7"/>
  <c r="EM38" i="7"/>
  <c r="EM37" i="7"/>
  <c r="Y88" i="6"/>
  <c r="EL57" i="7"/>
  <c r="EL56" i="7"/>
  <c r="EL55" i="7"/>
  <c r="EL54" i="7"/>
  <c r="EL53" i="7"/>
  <c r="EL52" i="7"/>
  <c r="EL51" i="7"/>
  <c r="EL50" i="7"/>
  <c r="EL48" i="7"/>
  <c r="EL47" i="7"/>
  <c r="EL41" i="7"/>
  <c r="EL40" i="7"/>
  <c r="EL39" i="7"/>
  <c r="EL38" i="7"/>
  <c r="EL37" i="7"/>
  <c r="W88" i="6"/>
  <c r="EK57" i="7"/>
  <c r="EK56" i="7"/>
  <c r="EK55" i="7"/>
  <c r="EK54" i="7"/>
  <c r="EK53" i="7"/>
  <c r="EK52" i="7"/>
  <c r="EK51" i="7"/>
  <c r="EK50" i="7"/>
  <c r="EK48" i="7"/>
  <c r="EK47" i="7"/>
  <c r="EK41" i="7"/>
  <c r="EK40" i="7"/>
  <c r="EK39" i="7"/>
  <c r="EK38" i="7"/>
  <c r="EK37" i="7"/>
  <c r="U88" i="6"/>
  <c r="EJ57" i="7"/>
  <c r="EJ56" i="7"/>
  <c r="EJ55" i="7"/>
  <c r="EJ54" i="7"/>
  <c r="EJ53" i="7"/>
  <c r="EJ52" i="7"/>
  <c r="EJ51" i="7"/>
  <c r="EJ50" i="7"/>
  <c r="EJ48" i="7"/>
  <c r="EJ47" i="7"/>
  <c r="EJ41" i="7"/>
  <c r="EJ40" i="7"/>
  <c r="EJ39" i="7"/>
  <c r="EJ38" i="7"/>
  <c r="EJ37" i="7"/>
  <c r="S88" i="6"/>
  <c r="EI57" i="7"/>
  <c r="EI56" i="7"/>
  <c r="EI55" i="7"/>
  <c r="EI54" i="7"/>
  <c r="EI53" i="7"/>
  <c r="EI52" i="7"/>
  <c r="EI51" i="7"/>
  <c r="EI50" i="7"/>
  <c r="EI48" i="7"/>
  <c r="EI41" i="7"/>
  <c r="EI40" i="7"/>
  <c r="EI39" i="7"/>
  <c r="EI38" i="7"/>
  <c r="EI37" i="7"/>
  <c r="Q88" i="6"/>
  <c r="EH57" i="7"/>
  <c r="EH56" i="7"/>
  <c r="EH55" i="7"/>
  <c r="EH54" i="7"/>
  <c r="EH53" i="7"/>
  <c r="EH52" i="7"/>
  <c r="EH51" i="7"/>
  <c r="EH50" i="7"/>
  <c r="EH48" i="7"/>
  <c r="EH41" i="7"/>
  <c r="EH40" i="7"/>
  <c r="EH39" i="7"/>
  <c r="EH38" i="7"/>
  <c r="EH37" i="7"/>
  <c r="O88" i="6"/>
  <c r="EG57" i="7"/>
  <c r="EG56" i="7"/>
  <c r="EG55" i="7"/>
  <c r="EG54" i="7"/>
  <c r="EG53" i="7"/>
  <c r="EG52" i="7"/>
  <c r="EG51" i="7"/>
  <c r="EG50" i="7"/>
  <c r="EG48" i="7"/>
  <c r="EG41" i="7"/>
  <c r="EG40" i="7"/>
  <c r="EG39" i="7"/>
  <c r="EG38" i="7"/>
  <c r="EG37" i="7"/>
  <c r="M88" i="6"/>
  <c r="EF57" i="7"/>
  <c r="EF56" i="7"/>
  <c r="EF55" i="7"/>
  <c r="EF54" i="7"/>
  <c r="EF53" i="7"/>
  <c r="EF52" i="7"/>
  <c r="EF51" i="7"/>
  <c r="EF50" i="7"/>
  <c r="EF48" i="7"/>
  <c r="EF41" i="7"/>
  <c r="EF40" i="7"/>
  <c r="EF39" i="7"/>
  <c r="EF38" i="7"/>
  <c r="EF37" i="7"/>
  <c r="EE57" i="7"/>
  <c r="EE56" i="7"/>
  <c r="EE55" i="7"/>
  <c r="EE54" i="7"/>
  <c r="EE53" i="7"/>
  <c r="EE52" i="7"/>
  <c r="EE51" i="7"/>
  <c r="EE50" i="7"/>
  <c r="EE48" i="7"/>
  <c r="EE41" i="7"/>
  <c r="EE40" i="7"/>
  <c r="EE39" i="7"/>
  <c r="EE38" i="7"/>
  <c r="EE37" i="7"/>
  <c r="ED57" i="7"/>
  <c r="ED56" i="7"/>
  <c r="ED55" i="7"/>
  <c r="ED54" i="7"/>
  <c r="ED53" i="7"/>
  <c r="ED52" i="7"/>
  <c r="ED51" i="7"/>
  <c r="ED50" i="7"/>
  <c r="ED48" i="7"/>
  <c r="ED41" i="7"/>
  <c r="ED40" i="7"/>
  <c r="ED39" i="7"/>
  <c r="ED38" i="7"/>
  <c r="ED37" i="7"/>
  <c r="ED19" i="7"/>
  <c r="G88" i="6"/>
  <c r="Y176" i="6"/>
  <c r="FV7" i="7"/>
  <c r="AE264" i="6"/>
  <c r="FU7" i="7"/>
  <c r="AC264" i="6"/>
  <c r="FT7" i="7"/>
  <c r="AA264" i="6"/>
  <c r="FS7" i="7"/>
  <c r="Y264" i="6"/>
  <c r="FR7" i="7"/>
  <c r="W264" i="6"/>
  <c r="FQ7" i="7"/>
  <c r="U264" i="6"/>
  <c r="FP7" i="7"/>
  <c r="S264" i="6"/>
  <c r="FH7" i="7"/>
  <c r="C264" i="6"/>
  <c r="EZ7" i="7"/>
  <c r="S176" i="6"/>
  <c r="EY7" i="7"/>
  <c r="Q176" i="6"/>
  <c r="AE88" i="6"/>
  <c r="EP89" i="7" s="1"/>
  <c r="RI183" i="1"/>
  <c r="RI184" i="1" s="1"/>
  <c r="RI185" i="1" s="1"/>
  <c r="RI186" i="1" s="1"/>
  <c r="RI187" i="1" s="1"/>
  <c r="RI188" i="1" s="1"/>
  <c r="RI189" i="1" s="1"/>
  <c r="RI190" i="1" s="1"/>
  <c r="RI191" i="1" s="1"/>
  <c r="RI192" i="1" s="1"/>
  <c r="RI193" i="1" s="1"/>
  <c r="RI194" i="1" s="1"/>
  <c r="RI195" i="1" s="1"/>
  <c r="RI196" i="1" s="1"/>
  <c r="RI197" i="1" s="1"/>
  <c r="RI198" i="1" s="1"/>
  <c r="RI199" i="1" s="1"/>
  <c r="RI200" i="1" s="1"/>
  <c r="RI201" i="1" s="1"/>
  <c r="RI202" i="1" s="1"/>
  <c r="RI203" i="1" s="1"/>
  <c r="RI204" i="1" s="1"/>
  <c r="RI205" i="1" s="1"/>
  <c r="RI206" i="1" s="1"/>
  <c r="RI207" i="1" s="1"/>
  <c r="RI208" i="1" s="1"/>
  <c r="RI209" i="1" s="1"/>
  <c r="RI210" i="1" s="1"/>
  <c r="RI211" i="1" s="1"/>
  <c r="RI212" i="1" s="1"/>
  <c r="RI213" i="1" s="1"/>
  <c r="BB43" i="5" s="1"/>
  <c r="K88" i="6"/>
  <c r="I88" i="6"/>
  <c r="ES31" i="7"/>
  <c r="E176" i="6"/>
  <c r="C176" i="6"/>
  <c r="ER89" i="7" s="1"/>
  <c r="FO7" i="7"/>
  <c r="Q264" i="6"/>
  <c r="E440" i="6"/>
  <c r="AA440" i="6"/>
  <c r="GX16" i="7"/>
  <c r="GY16" i="7"/>
  <c r="ID16" i="7"/>
  <c r="IQ16" i="7"/>
  <c r="I616" i="6"/>
  <c r="FM16" i="7"/>
  <c r="IA16" i="7"/>
  <c r="HA16" i="7"/>
  <c r="M616" i="6"/>
  <c r="W616" i="6"/>
  <c r="IF16" i="7"/>
  <c r="IP16" i="7"/>
  <c r="FV16" i="7"/>
  <c r="HB16" i="7"/>
  <c r="AE440" i="6"/>
  <c r="O440" i="6"/>
  <c r="Y440" i="6"/>
  <c r="HN16" i="7"/>
  <c r="IT16" i="7"/>
  <c r="IX16" i="7"/>
  <c r="HI16" i="7"/>
  <c r="FL16" i="7"/>
  <c r="FP16" i="7"/>
  <c r="FT16" i="7"/>
  <c r="C440" i="6"/>
  <c r="S440" i="6"/>
  <c r="HP16" i="7"/>
  <c r="HX16" i="7"/>
  <c r="Q616" i="6"/>
  <c r="IC16" i="7"/>
  <c r="M440" i="6"/>
  <c r="AC440" i="6"/>
  <c r="HK16" i="7"/>
  <c r="HT37" i="7"/>
  <c r="C616" i="6"/>
  <c r="HU26" i="7"/>
  <c r="E616" i="6"/>
  <c r="G616" i="6"/>
  <c r="AA616" i="6"/>
  <c r="IH16" i="7"/>
  <c r="IO16" i="7"/>
  <c r="IS16" i="7"/>
  <c r="IW16" i="7"/>
  <c r="FR16" i="7"/>
  <c r="Y616" i="6"/>
  <c r="GQ16" i="7"/>
  <c r="HJ16" i="7"/>
  <c r="GT16" i="7"/>
  <c r="IU16" i="7"/>
  <c r="FQ16" i="7"/>
  <c r="I440" i="6"/>
  <c r="FN16" i="7"/>
  <c r="GV16" i="7"/>
  <c r="HG16" i="7"/>
  <c r="HV16" i="7"/>
  <c r="GR16" i="7"/>
  <c r="GU16" i="7"/>
  <c r="W440" i="6"/>
  <c r="FO16" i="7"/>
  <c r="GZ16" i="7"/>
  <c r="U616" i="6"/>
  <c r="GW16" i="7"/>
  <c r="HH16" i="7"/>
  <c r="IB16" i="7"/>
  <c r="AE616" i="6"/>
  <c r="IR16" i="7"/>
  <c r="IV16" i="7"/>
  <c r="U440" i="6"/>
  <c r="HQ16" i="7"/>
  <c r="HY16" i="7"/>
  <c r="S616" i="6"/>
  <c r="HL16" i="7"/>
  <c r="AC616" i="6"/>
  <c r="E704" i="6"/>
  <c r="IM16" i="7"/>
  <c r="GS16" i="7"/>
  <c r="HF16" i="7"/>
  <c r="HR16" i="7"/>
  <c r="HZ16" i="7"/>
  <c r="FK16" i="7"/>
  <c r="FS16" i="7"/>
  <c r="HM16" i="7"/>
  <c r="K616" i="6"/>
  <c r="IE16" i="7"/>
  <c r="K440" i="6"/>
  <c r="Q440" i="6"/>
  <c r="HO16" i="7"/>
  <c r="HW16" i="7"/>
  <c r="O616" i="6"/>
  <c r="IG16" i="7"/>
  <c r="IN16" i="7"/>
  <c r="FU16" i="7"/>
  <c r="G440" i="6"/>
  <c r="C704" i="6"/>
  <c r="GF16" i="7"/>
  <c r="GI16" i="7"/>
  <c r="GB16" i="7"/>
  <c r="FZ16" i="7"/>
  <c r="GG16" i="7"/>
  <c r="GJ16" i="7"/>
  <c r="GC16" i="7"/>
  <c r="GL16" i="7"/>
  <c r="GD16" i="7"/>
  <c r="GH16" i="7"/>
  <c r="GK16" i="7"/>
  <c r="GA16" i="7"/>
  <c r="GE16" i="7"/>
  <c r="GP16" i="7"/>
  <c r="NV204" i="1"/>
  <c r="NV221" i="1"/>
  <c r="NV234" i="1"/>
  <c r="NV246" i="1"/>
  <c r="NV263" i="1"/>
  <c r="NV275" i="1"/>
  <c r="NV292" i="1"/>
  <c r="NV304" i="1"/>
  <c r="NV316" i="1"/>
  <c r="NV333" i="1"/>
  <c r="NV345" i="1"/>
  <c r="NV362" i="1"/>
  <c r="NV374" i="1"/>
  <c r="NV386" i="1"/>
  <c r="NV403" i="1"/>
  <c r="NV415" i="1"/>
  <c r="NV205" i="1"/>
  <c r="NV222" i="1"/>
  <c r="NV235" i="1"/>
  <c r="NV247" i="1"/>
  <c r="NV264" i="1"/>
  <c r="NV276" i="1"/>
  <c r="NV293" i="1"/>
  <c r="NV305" i="1"/>
  <c r="NV317" i="1"/>
  <c r="NV334" i="1"/>
  <c r="NV346" i="1"/>
  <c r="NV363" i="1"/>
  <c r="NV375" i="1"/>
  <c r="NV387" i="1"/>
  <c r="NV404" i="1"/>
  <c r="NV416" i="1"/>
  <c r="NV283" i="1"/>
  <c r="NV201" i="1"/>
  <c r="NV272" i="1"/>
  <c r="NV400" i="1"/>
  <c r="NV219" i="1"/>
  <c r="NV273" i="1"/>
  <c r="NV314" i="1"/>
  <c r="NV355" i="1"/>
  <c r="NV401" i="1"/>
  <c r="NV190" i="1"/>
  <c r="NV262" i="1"/>
  <c r="NV303" i="1"/>
  <c r="NV344" i="1"/>
  <c r="NV385" i="1"/>
  <c r="NV192" i="1"/>
  <c r="NV193" i="1"/>
  <c r="NV206" i="1"/>
  <c r="NV224" i="1"/>
  <c r="NV236" i="1"/>
  <c r="NV248" i="1"/>
  <c r="NV265" i="1"/>
  <c r="NV277" i="1"/>
  <c r="NV294" i="1"/>
  <c r="NV306" i="1"/>
  <c r="NV318" i="1"/>
  <c r="NV335" i="1"/>
  <c r="NV347" i="1"/>
  <c r="NV364" i="1"/>
  <c r="NV376" i="1"/>
  <c r="NV388" i="1"/>
  <c r="NV405" i="1"/>
  <c r="NV417" i="1"/>
  <c r="NV194" i="1"/>
  <c r="NV207" i="1"/>
  <c r="NV225" i="1"/>
  <c r="NV237" i="1"/>
  <c r="NV266" i="1"/>
  <c r="NV278" i="1"/>
  <c r="NV295" i="1"/>
  <c r="NV307" i="1"/>
  <c r="NV319" i="1"/>
  <c r="NV336" i="1"/>
  <c r="NV348" i="1"/>
  <c r="NV365" i="1"/>
  <c r="NV377" i="1"/>
  <c r="NV389" i="1"/>
  <c r="NV406" i="1"/>
  <c r="NV418" i="1"/>
  <c r="NV259" i="1"/>
  <c r="NV329" i="1"/>
  <c r="NV382" i="1"/>
  <c r="NV231" i="1"/>
  <c r="NV284" i="1"/>
  <c r="NV195" i="1"/>
  <c r="NV208" i="1"/>
  <c r="NV226" i="1"/>
  <c r="NV238" i="1"/>
  <c r="NV255" i="1"/>
  <c r="NV267" i="1"/>
  <c r="NV279" i="1"/>
  <c r="NV296" i="1"/>
  <c r="NV308" i="1"/>
  <c r="NV337" i="1"/>
  <c r="NV349" i="1"/>
  <c r="NV366" i="1"/>
  <c r="NV378" i="1"/>
  <c r="NV390" i="1"/>
  <c r="NV407" i="1"/>
  <c r="NV419" i="1"/>
  <c r="NV196" i="1"/>
  <c r="NV209" i="1"/>
  <c r="NV227" i="1"/>
  <c r="NV239" i="1"/>
  <c r="NV256" i="1"/>
  <c r="NV268" i="1"/>
  <c r="NV280" i="1"/>
  <c r="NV297" i="1"/>
  <c r="NV309" i="1"/>
  <c r="NV326" i="1"/>
  <c r="NV338" i="1"/>
  <c r="NV350" i="1"/>
  <c r="NV367" i="1"/>
  <c r="NV379" i="1"/>
  <c r="NV408" i="1"/>
  <c r="NV420" i="1"/>
  <c r="NV328" i="1"/>
  <c r="NV340" i="1"/>
  <c r="NV369" i="1"/>
  <c r="NV398" i="1"/>
  <c r="NV410" i="1"/>
  <c r="NV200" i="1"/>
  <c r="NV212" i="1"/>
  <c r="NV271" i="1"/>
  <c r="NV300" i="1"/>
  <c r="NV341" i="1"/>
  <c r="NV370" i="1"/>
  <c r="NV399" i="1"/>
  <c r="NV423" i="1"/>
  <c r="NV243" i="1"/>
  <c r="NV301" i="1"/>
  <c r="NV313" i="1"/>
  <c r="NV330" i="1"/>
  <c r="NV383" i="1"/>
  <c r="NV424" i="1"/>
  <c r="NV202" i="1"/>
  <c r="NV244" i="1"/>
  <c r="NV331" i="1"/>
  <c r="NV372" i="1"/>
  <c r="NV413" i="1"/>
  <c r="NV203" i="1"/>
  <c r="NV245" i="1"/>
  <c r="NV274" i="1"/>
  <c r="NV315" i="1"/>
  <c r="NV402" i="1"/>
  <c r="NV184" i="1"/>
  <c r="NV185" i="1"/>
  <c r="NV197" i="1"/>
  <c r="NV210" i="1"/>
  <c r="NV228" i="1"/>
  <c r="NV240" i="1"/>
  <c r="NV257" i="1"/>
  <c r="NV269" i="1"/>
  <c r="NV281" i="1"/>
  <c r="NV298" i="1"/>
  <c r="NV310" i="1"/>
  <c r="NV327" i="1"/>
  <c r="NV339" i="1"/>
  <c r="NV351" i="1"/>
  <c r="NV368" i="1"/>
  <c r="NV380" i="1"/>
  <c r="NV397" i="1"/>
  <c r="NV409" i="1"/>
  <c r="NV421" i="1"/>
  <c r="NV186" i="1"/>
  <c r="NV198" i="1"/>
  <c r="NV211" i="1"/>
  <c r="NV229" i="1"/>
  <c r="NV241" i="1"/>
  <c r="NV258" i="1"/>
  <c r="NV270" i="1"/>
  <c r="NV282" i="1"/>
  <c r="NV299" i="1"/>
  <c r="NV311" i="1"/>
  <c r="NV352" i="1"/>
  <c r="NV381" i="1"/>
  <c r="NV422" i="1"/>
  <c r="NV187" i="1"/>
  <c r="NV230" i="1"/>
  <c r="NV242" i="1"/>
  <c r="NV312" i="1"/>
  <c r="NV353" i="1"/>
  <c r="NV411" i="1"/>
  <c r="NV188" i="1"/>
  <c r="NV260" i="1"/>
  <c r="NV342" i="1"/>
  <c r="NV371" i="1"/>
  <c r="NV189" i="1"/>
  <c r="NV232" i="1"/>
  <c r="NV261" i="1"/>
  <c r="NV302" i="1"/>
  <c r="NV343" i="1"/>
  <c r="NV384" i="1"/>
  <c r="NV425" i="1"/>
  <c r="NV233" i="1"/>
  <c r="NV291" i="1"/>
  <c r="NV332" i="1"/>
  <c r="NV373" i="1"/>
  <c r="NV414" i="1"/>
  <c r="NV412" i="1"/>
  <c r="NV220" i="1"/>
  <c r="NV426" i="1"/>
  <c r="NV90" i="1"/>
  <c r="NV96" i="1"/>
  <c r="NV89" i="1"/>
  <c r="NV122" i="1"/>
  <c r="NV68" i="1"/>
  <c r="NV354" i="1"/>
  <c r="NV130" i="1"/>
  <c r="NV52" i="1"/>
  <c r="NV162" i="1"/>
  <c r="NV78" i="1"/>
  <c r="NV84" i="1"/>
  <c r="NV99" i="1"/>
  <c r="NV118" i="1"/>
  <c r="NV137" i="1"/>
  <c r="NV94" i="1"/>
  <c r="NV82" i="1"/>
  <c r="NV50" i="1"/>
  <c r="NV191" i="1"/>
  <c r="NV81" i="1"/>
  <c r="NV69" i="1"/>
  <c r="NV28" i="1"/>
  <c r="NV116" i="1"/>
  <c r="NV35" i="1"/>
  <c r="NV128" i="1"/>
  <c r="NV48" i="1"/>
  <c r="NV171" i="1"/>
  <c r="NV46" i="1"/>
  <c r="NV27" i="1"/>
  <c r="NV61" i="1"/>
  <c r="NV155" i="1"/>
  <c r="NV70" i="1"/>
  <c r="NV29" i="1"/>
  <c r="NV104" i="1"/>
  <c r="NV22" i="1"/>
  <c r="NV114" i="1"/>
  <c r="NV33" i="1"/>
  <c r="NV139" i="1"/>
  <c r="NV14" i="1"/>
  <c r="NV12" i="1"/>
  <c r="NV87" i="1"/>
  <c r="NV51" i="1"/>
  <c r="NV19" i="1"/>
  <c r="NV121" i="1"/>
  <c r="NV30" i="1"/>
  <c r="NV199" i="1"/>
  <c r="NV93" i="1"/>
  <c r="NV7" i="1"/>
  <c r="NV173" i="1"/>
  <c r="NV101" i="1"/>
  <c r="NV174" i="1"/>
  <c r="NV159" i="1"/>
  <c r="NV55" i="1"/>
  <c r="NV58" i="1"/>
  <c r="NV165" i="1"/>
  <c r="NV26" i="1"/>
  <c r="NV136" i="1"/>
  <c r="NV44" i="1"/>
  <c r="NV88" i="1"/>
  <c r="NV10" i="1"/>
  <c r="NV83" i="1"/>
  <c r="NV141" i="1"/>
  <c r="NV92" i="1"/>
  <c r="NV160" i="1"/>
  <c r="NV15" i="1"/>
  <c r="NV153" i="1"/>
  <c r="NV45" i="1"/>
  <c r="NV119" i="1"/>
  <c r="NV105" i="1"/>
  <c r="NV21" i="1"/>
  <c r="NV80" i="1"/>
  <c r="NV151" i="1"/>
  <c r="NV65" i="1"/>
  <c r="NV126" i="1"/>
  <c r="NV62" i="1"/>
  <c r="NV79" i="1"/>
  <c r="NV100" i="1"/>
  <c r="NV32" i="1"/>
  <c r="NV86" i="1"/>
  <c r="NV13" i="1"/>
  <c r="NV11" i="1"/>
  <c r="NV59" i="1"/>
  <c r="NV168" i="1"/>
  <c r="NV131" i="1"/>
  <c r="NV53" i="1"/>
  <c r="NV91" i="1"/>
  <c r="NV16" i="1"/>
  <c r="NV64" i="1"/>
  <c r="NV77" i="1"/>
  <c r="NV57" i="1"/>
  <c r="NV25" i="1"/>
  <c r="NV169" i="1"/>
  <c r="NV60" i="1"/>
  <c r="NV177" i="1"/>
  <c r="NV18" i="1"/>
  <c r="NV157" i="1"/>
  <c r="NV117" i="1"/>
  <c r="NV36" i="1"/>
  <c r="NV63" i="1"/>
  <c r="NV49" i="1"/>
  <c r="NV47" i="1"/>
  <c r="NV158" i="1"/>
  <c r="NV43" i="1"/>
  <c r="NV167" i="1"/>
  <c r="NV9" i="1"/>
  <c r="NV148" i="1"/>
  <c r="NV66" i="1"/>
  <c r="NV23" i="1"/>
  <c r="NV163" i="1"/>
  <c r="NV17" i="1"/>
  <c r="NV175" i="1"/>
  <c r="NV31" i="1"/>
  <c r="NV164" i="1"/>
  <c r="NV161" i="1"/>
  <c r="NV156" i="1"/>
  <c r="NV127" i="1"/>
  <c r="NV103" i="1"/>
  <c r="NV150" i="1"/>
  <c r="NV152" i="1"/>
  <c r="NV135" i="1"/>
  <c r="NV166" i="1"/>
  <c r="NV172" i="1"/>
  <c r="NV140" i="1"/>
  <c r="NV133" i="1"/>
  <c r="NV8" i="1"/>
  <c r="NV124" i="1"/>
  <c r="NV132" i="1"/>
  <c r="NV170" i="1"/>
  <c r="NV85" i="1"/>
  <c r="NV56" i="1"/>
  <c r="NV97" i="1"/>
  <c r="NV102" i="1"/>
  <c r="NV138" i="1"/>
  <c r="NV24" i="1"/>
  <c r="NV20" i="1"/>
  <c r="NV149" i="1"/>
  <c r="NV176" i="1"/>
  <c r="NV106" i="1"/>
  <c r="NV129" i="1"/>
  <c r="NV34" i="1"/>
  <c r="NV223" i="1"/>
  <c r="NV115" i="1"/>
  <c r="NV134" i="1"/>
  <c r="NV54" i="1"/>
  <c r="NV154" i="1"/>
  <c r="NV120" i="1"/>
  <c r="NV123" i="1"/>
  <c r="NV125" i="1"/>
  <c r="NV98" i="1"/>
  <c r="NV113" i="1"/>
  <c r="NV95" i="1"/>
  <c r="NV67" i="1"/>
  <c r="AL29" i="5"/>
  <c r="H42" i="20" s="1"/>
  <c r="O42" i="20" s="1"/>
  <c r="LU146" i="1"/>
  <c r="AO29" i="5"/>
  <c r="H45" i="20" s="1"/>
  <c r="O45" i="20" s="1"/>
  <c r="MV146" i="1"/>
  <c r="AP29" i="5"/>
  <c r="H46" i="20" s="1"/>
  <c r="O46" i="20" s="1"/>
  <c r="NE146" i="1"/>
  <c r="MM146" i="1"/>
  <c r="AN29" i="5"/>
  <c r="H44" i="20" s="1"/>
  <c r="O44" i="20" s="1"/>
  <c r="O78" i="17"/>
  <c r="O77" i="17"/>
  <c r="O74" i="17"/>
  <c r="O51" i="13"/>
  <c r="O51" i="14"/>
  <c r="O51" i="12"/>
  <c r="O52" i="15"/>
  <c r="O51" i="16"/>
  <c r="O76" i="17"/>
  <c r="AM29" i="5"/>
  <c r="H43" i="20" s="1"/>
  <c r="O43" i="20" s="1"/>
  <c r="MD146" i="1"/>
  <c r="O50" i="13"/>
  <c r="O50" i="14"/>
  <c r="O51" i="15"/>
  <c r="O50" i="12"/>
  <c r="O50" i="16"/>
  <c r="O49" i="13"/>
  <c r="O49" i="16"/>
  <c r="O49" i="14"/>
  <c r="O50" i="15"/>
  <c r="O49" i="12"/>
  <c r="O75" i="17"/>
  <c r="AQ11" i="5"/>
  <c r="D50" i="18" s="1"/>
  <c r="NN42" i="1"/>
  <c r="NN43" i="1" s="1"/>
  <c r="NN44" i="1" s="1"/>
  <c r="NN45" i="1" s="1"/>
  <c r="NN46" i="1" s="1"/>
  <c r="NN47" i="1" s="1"/>
  <c r="NN48" i="1" s="1"/>
  <c r="NN49" i="1" s="1"/>
  <c r="NN50" i="1" s="1"/>
  <c r="NN51" i="1" s="1"/>
  <c r="NN52" i="1" s="1"/>
  <c r="NN53" i="1" s="1"/>
  <c r="NN54" i="1" s="1"/>
  <c r="NN55" i="1" s="1"/>
  <c r="NN56" i="1" s="1"/>
  <c r="NN57" i="1" s="1"/>
  <c r="NN58" i="1" s="1"/>
  <c r="NN59" i="1" s="1"/>
  <c r="NN60" i="1" s="1"/>
  <c r="NN61" i="1" s="1"/>
  <c r="NN62" i="1" s="1"/>
  <c r="NN63" i="1" s="1"/>
  <c r="NN64" i="1" s="1"/>
  <c r="NN65" i="1" s="1"/>
  <c r="NN66" i="1" s="1"/>
  <c r="NN67" i="1" s="1"/>
  <c r="NN68" i="1" s="1"/>
  <c r="NN69" i="1" s="1"/>
  <c r="NN70" i="1" s="1"/>
  <c r="NN71" i="1" s="1"/>
  <c r="AX11" i="5"/>
  <c r="D56" i="18" s="1"/>
  <c r="PY42" i="1"/>
  <c r="PY43" i="1" s="1"/>
  <c r="PY44" i="1" s="1"/>
  <c r="PY45" i="1" s="1"/>
  <c r="PY46" i="1" s="1"/>
  <c r="PY47" i="1" s="1"/>
  <c r="PY48" i="1" s="1"/>
  <c r="PY49" i="1" s="1"/>
  <c r="PY50" i="1" s="1"/>
  <c r="PY51" i="1" s="1"/>
  <c r="PY52" i="1" s="1"/>
  <c r="PY53" i="1" s="1"/>
  <c r="PY54" i="1" s="1"/>
  <c r="PY55" i="1" s="1"/>
  <c r="PY56" i="1" s="1"/>
  <c r="PY57" i="1" s="1"/>
  <c r="PY58" i="1" s="1"/>
  <c r="PY59" i="1" s="1"/>
  <c r="PY60" i="1" s="1"/>
  <c r="PY61" i="1" s="1"/>
  <c r="PY62" i="1" s="1"/>
  <c r="PY63" i="1" s="1"/>
  <c r="PY64" i="1" s="1"/>
  <c r="PY65" i="1" s="1"/>
  <c r="PY66" i="1" s="1"/>
  <c r="PY67" i="1" s="1"/>
  <c r="PY68" i="1" s="1"/>
  <c r="PY69" i="1" s="1"/>
  <c r="PY70" i="1" s="1"/>
  <c r="PY71" i="1" s="1"/>
  <c r="AY11" i="5"/>
  <c r="D57" i="18" s="1"/>
  <c r="QH42" i="1"/>
  <c r="QH43" i="1" s="1"/>
  <c r="QH44" i="1" s="1"/>
  <c r="QH45" i="1" s="1"/>
  <c r="QH46" i="1" s="1"/>
  <c r="QH47" i="1" s="1"/>
  <c r="QH48" i="1" s="1"/>
  <c r="QH49" i="1" s="1"/>
  <c r="QH50" i="1" s="1"/>
  <c r="QH51" i="1" s="1"/>
  <c r="QH52" i="1" s="1"/>
  <c r="QH53" i="1" s="1"/>
  <c r="QH54" i="1" s="1"/>
  <c r="QH55" i="1" s="1"/>
  <c r="QH56" i="1" s="1"/>
  <c r="QH57" i="1" s="1"/>
  <c r="QH58" i="1" s="1"/>
  <c r="QH59" i="1" s="1"/>
  <c r="QH60" i="1" s="1"/>
  <c r="QH61" i="1" s="1"/>
  <c r="QH62" i="1" s="1"/>
  <c r="QH63" i="1" s="1"/>
  <c r="QH64" i="1" s="1"/>
  <c r="QH65" i="1" s="1"/>
  <c r="QH66" i="1" s="1"/>
  <c r="QH67" i="1" s="1"/>
  <c r="QH68" i="1" s="1"/>
  <c r="QH69" i="1" s="1"/>
  <c r="QH70" i="1" s="1"/>
  <c r="QH71" i="1" s="1"/>
  <c r="AW11" i="5"/>
  <c r="PP42" i="1"/>
  <c r="PP43" i="1" s="1"/>
  <c r="PP44" i="1" s="1"/>
  <c r="PP45" i="1" s="1"/>
  <c r="PP46" i="1" s="1"/>
  <c r="PP47" i="1" s="1"/>
  <c r="PP48" i="1" s="1"/>
  <c r="PP49" i="1" s="1"/>
  <c r="PP50" i="1" s="1"/>
  <c r="PP51" i="1" s="1"/>
  <c r="PP52" i="1" s="1"/>
  <c r="PP53" i="1" s="1"/>
  <c r="PP54" i="1" s="1"/>
  <c r="PP55" i="1" s="1"/>
  <c r="PP56" i="1" s="1"/>
  <c r="PP57" i="1" s="1"/>
  <c r="PP58" i="1" s="1"/>
  <c r="PP59" i="1" s="1"/>
  <c r="PP60" i="1" s="1"/>
  <c r="PP61" i="1" s="1"/>
  <c r="PP62" i="1" s="1"/>
  <c r="PP63" i="1" s="1"/>
  <c r="PP64" i="1" s="1"/>
  <c r="PP65" i="1" s="1"/>
  <c r="PP66" i="1" s="1"/>
  <c r="PP67" i="1" s="1"/>
  <c r="PP68" i="1" s="1"/>
  <c r="PP69" i="1" s="1"/>
  <c r="PP70" i="1" s="1"/>
  <c r="PP71" i="1" s="1"/>
  <c r="PP75" i="1" s="1"/>
  <c r="AZ11" i="5"/>
  <c r="QQ42" i="1"/>
  <c r="QQ43" i="1" s="1"/>
  <c r="QQ44" i="1" s="1"/>
  <c r="QQ45" i="1" s="1"/>
  <c r="QQ46" i="1" s="1"/>
  <c r="QQ47" i="1" s="1"/>
  <c r="QQ48" i="1" s="1"/>
  <c r="QQ49" i="1" s="1"/>
  <c r="QQ50" i="1" s="1"/>
  <c r="QQ51" i="1" s="1"/>
  <c r="QQ52" i="1" s="1"/>
  <c r="QQ53" i="1" s="1"/>
  <c r="QQ54" i="1" s="1"/>
  <c r="QQ55" i="1" s="1"/>
  <c r="QQ56" i="1" s="1"/>
  <c r="QQ57" i="1" s="1"/>
  <c r="QQ58" i="1" s="1"/>
  <c r="QQ59" i="1" s="1"/>
  <c r="QQ60" i="1" s="1"/>
  <c r="QQ61" i="1" s="1"/>
  <c r="QQ62" i="1" s="1"/>
  <c r="QQ63" i="1" s="1"/>
  <c r="QQ64" i="1" s="1"/>
  <c r="QQ65" i="1" s="1"/>
  <c r="QQ66" i="1" s="1"/>
  <c r="QQ67" i="1" s="1"/>
  <c r="QQ68" i="1" s="1"/>
  <c r="QQ69" i="1" s="1"/>
  <c r="QQ70" i="1" s="1"/>
  <c r="QQ71" i="1" s="1"/>
  <c r="AT11" i="5"/>
  <c r="D52" i="18" s="1"/>
  <c r="AU11" i="5"/>
  <c r="D53" i="18" s="1"/>
  <c r="AS11" i="5"/>
  <c r="D51" i="18" s="1"/>
  <c r="AV11" i="5"/>
  <c r="D54" i="18" s="1"/>
  <c r="PG42" i="1"/>
  <c r="PG43" i="1" s="1"/>
  <c r="PG44" i="1" s="1"/>
  <c r="PG45" i="1" s="1"/>
  <c r="PG46" i="1" s="1"/>
  <c r="PG47" i="1" s="1"/>
  <c r="PG48" i="1" s="1"/>
  <c r="PG49" i="1" s="1"/>
  <c r="PG50" i="1" s="1"/>
  <c r="PG51" i="1" s="1"/>
  <c r="PG52" i="1" s="1"/>
  <c r="PG53" i="1" s="1"/>
  <c r="PG54" i="1" s="1"/>
  <c r="PG55" i="1" s="1"/>
  <c r="PG56" i="1" s="1"/>
  <c r="PG57" i="1" s="1"/>
  <c r="PG58" i="1" s="1"/>
  <c r="PG59" i="1" s="1"/>
  <c r="PG60" i="1" s="1"/>
  <c r="PG61" i="1" s="1"/>
  <c r="PG62" i="1" s="1"/>
  <c r="PG63" i="1" s="1"/>
  <c r="PG64" i="1" s="1"/>
  <c r="PG65" i="1" s="1"/>
  <c r="PG66" i="1" s="1"/>
  <c r="PG67" i="1" s="1"/>
  <c r="PG68" i="1" s="1"/>
  <c r="PG69" i="1" s="1"/>
  <c r="PG70" i="1" s="1"/>
  <c r="PG71" i="1" s="1"/>
  <c r="AF66" i="5"/>
  <c r="AF38" i="5"/>
  <c r="AF10" i="5"/>
  <c r="AF80" i="5"/>
  <c r="AF52" i="5"/>
  <c r="AF59" i="5"/>
  <c r="AF73" i="5"/>
  <c r="AF45" i="5"/>
  <c r="AF17" i="5"/>
  <c r="AF24" i="5"/>
  <c r="AF31" i="5"/>
  <c r="JM2" i="1"/>
  <c r="AF3" i="5"/>
  <c r="AX66" i="5"/>
  <c r="AX38" i="5"/>
  <c r="AX10" i="5"/>
  <c r="AX24" i="5"/>
  <c r="AX73" i="5"/>
  <c r="AX45" i="5"/>
  <c r="AX17" i="5"/>
  <c r="AX80" i="5"/>
  <c r="AX52" i="5"/>
  <c r="AX59" i="5"/>
  <c r="AX31" i="5"/>
  <c r="AX3" i="5"/>
  <c r="PS2" i="1"/>
  <c r="AG73" i="5"/>
  <c r="AG45" i="5"/>
  <c r="AG17" i="5"/>
  <c r="AG59" i="5"/>
  <c r="AG66" i="5"/>
  <c r="AG80" i="5"/>
  <c r="AG52" i="5"/>
  <c r="AG24" i="5"/>
  <c r="AG31" i="5"/>
  <c r="AG38" i="5"/>
  <c r="AG10" i="5"/>
  <c r="AG3" i="5"/>
  <c r="JV2" i="1"/>
  <c r="AK73" i="5"/>
  <c r="AK45" i="5"/>
  <c r="AK17" i="5"/>
  <c r="AK59" i="5"/>
  <c r="AK31" i="5"/>
  <c r="AK80" i="5"/>
  <c r="AK52" i="5"/>
  <c r="AK24" i="5"/>
  <c r="AK66" i="5"/>
  <c r="AK38" i="5"/>
  <c r="AK10" i="5"/>
  <c r="AK3" i="5"/>
  <c r="LF2" i="1"/>
  <c r="AU73" i="5"/>
  <c r="AU45" i="5"/>
  <c r="AU17" i="5"/>
  <c r="AU66" i="5"/>
  <c r="AU80" i="5"/>
  <c r="AU52" i="5"/>
  <c r="AU24" i="5"/>
  <c r="AU59" i="5"/>
  <c r="AU31" i="5"/>
  <c r="AU38" i="5"/>
  <c r="AU10" i="5"/>
  <c r="AU3" i="5"/>
  <c r="AY73" i="5"/>
  <c r="AY45" i="5"/>
  <c r="AY17" i="5"/>
  <c r="AY59" i="5"/>
  <c r="AY31" i="5"/>
  <c r="AY80" i="5"/>
  <c r="AY52" i="5"/>
  <c r="AY24" i="5"/>
  <c r="AY66" i="5"/>
  <c r="AY38" i="5"/>
  <c r="AY10" i="5"/>
  <c r="AY3" i="5"/>
  <c r="QB2" i="1"/>
  <c r="AH80" i="5"/>
  <c r="AH52" i="5"/>
  <c r="AH24" i="5"/>
  <c r="AH66" i="5"/>
  <c r="AH73" i="5"/>
  <c r="AH45" i="5"/>
  <c r="AH59" i="5"/>
  <c r="AH31" i="5"/>
  <c r="AH38" i="5"/>
  <c r="AH10" i="5"/>
  <c r="AH17" i="5"/>
  <c r="AH3" i="5"/>
  <c r="KE2" i="1"/>
  <c r="AQ80" i="5"/>
  <c r="AQ52" i="5"/>
  <c r="AQ24" i="5"/>
  <c r="AQ38" i="5"/>
  <c r="AQ10" i="5"/>
  <c r="AQ73" i="5"/>
  <c r="AQ59" i="5"/>
  <c r="AQ31" i="5"/>
  <c r="AQ66" i="5"/>
  <c r="AQ45" i="5"/>
  <c r="AQ17" i="5"/>
  <c r="AQ3" i="5"/>
  <c r="AV80" i="5"/>
  <c r="AV52" i="5"/>
  <c r="AV24" i="5"/>
  <c r="AV66" i="5"/>
  <c r="AV10" i="5"/>
  <c r="AV45" i="5"/>
  <c r="AV59" i="5"/>
  <c r="AV31" i="5"/>
  <c r="AV38" i="5"/>
  <c r="AV73" i="5"/>
  <c r="AV17" i="5"/>
  <c r="PA2" i="1"/>
  <c r="AV3" i="5"/>
  <c r="AZ80" i="5"/>
  <c r="AZ52" i="5"/>
  <c r="AZ24" i="5"/>
  <c r="AZ66" i="5"/>
  <c r="AZ38" i="5"/>
  <c r="AZ59" i="5"/>
  <c r="AZ31" i="5"/>
  <c r="AZ10" i="5"/>
  <c r="AZ73" i="5"/>
  <c r="AZ45" i="5"/>
  <c r="AZ17" i="5"/>
  <c r="QK2" i="1"/>
  <c r="AZ3" i="5"/>
  <c r="AJ66" i="5"/>
  <c r="AJ38" i="5"/>
  <c r="AJ10" i="5"/>
  <c r="AJ24" i="5"/>
  <c r="AJ73" i="5"/>
  <c r="AJ45" i="5"/>
  <c r="AJ17" i="5"/>
  <c r="AJ80" i="5"/>
  <c r="AJ52" i="5"/>
  <c r="AJ59" i="5"/>
  <c r="AJ31" i="5"/>
  <c r="KW2" i="1"/>
  <c r="AJ3" i="5"/>
  <c r="AT66" i="5"/>
  <c r="AT38" i="5"/>
  <c r="AT10" i="5"/>
  <c r="AT80" i="5"/>
  <c r="AT52" i="5"/>
  <c r="AT59" i="5"/>
  <c r="AT73" i="5"/>
  <c r="AT45" i="5"/>
  <c r="AT17" i="5"/>
  <c r="AT24" i="5"/>
  <c r="AT31" i="5"/>
  <c r="AT3" i="5"/>
  <c r="AI59" i="5"/>
  <c r="AI31" i="5"/>
  <c r="AI73" i="5"/>
  <c r="AI45" i="5"/>
  <c r="AI17" i="5"/>
  <c r="AI80" i="5"/>
  <c r="AI52" i="5"/>
  <c r="AI66" i="5"/>
  <c r="AI38" i="5"/>
  <c r="AI10" i="5"/>
  <c r="AI24" i="5"/>
  <c r="KN2" i="1"/>
  <c r="AI3" i="5"/>
  <c r="AS59" i="5"/>
  <c r="AS31" i="5"/>
  <c r="AS73" i="5"/>
  <c r="AS66" i="5"/>
  <c r="AS38" i="5"/>
  <c r="AS10" i="5"/>
  <c r="AS45" i="5"/>
  <c r="AS17" i="5"/>
  <c r="AS80" i="5"/>
  <c r="AS52" i="5"/>
  <c r="AS24" i="5"/>
  <c r="AS3" i="5"/>
  <c r="AW59" i="5"/>
  <c r="AW31" i="5"/>
  <c r="AW45" i="5"/>
  <c r="AW17" i="5"/>
  <c r="AW80" i="5"/>
  <c r="AW52" i="5"/>
  <c r="AW66" i="5"/>
  <c r="AW38" i="5"/>
  <c r="AW10" i="5"/>
  <c r="AW73" i="5"/>
  <c r="AW24" i="5"/>
  <c r="AW3" i="5"/>
  <c r="PJ2" i="1"/>
  <c r="EB41" i="7"/>
  <c r="EB50" i="7"/>
  <c r="EB51" i="7"/>
  <c r="EB52" i="7"/>
  <c r="EB53" i="7"/>
  <c r="EB54" i="7"/>
  <c r="EB55" i="7"/>
  <c r="EB56" i="7"/>
  <c r="EB57" i="7"/>
  <c r="SJ217" i="1" l="1"/>
  <c r="BE43" i="5"/>
  <c r="TK217" i="1"/>
  <c r="BH43" i="5"/>
  <c r="TB217" i="1"/>
  <c r="BG43" i="5"/>
  <c r="SS217" i="1"/>
  <c r="BF43" i="5"/>
  <c r="SA217" i="1"/>
  <c r="BD43" i="5"/>
  <c r="RR217" i="1"/>
  <c r="BC43" i="5"/>
  <c r="D58" i="18"/>
  <c r="D55" i="18"/>
  <c r="QZ217" i="1"/>
  <c r="BA43" i="5"/>
  <c r="B52" i="17"/>
  <c r="B52" i="18"/>
  <c r="B48" i="17"/>
  <c r="B48" i="18"/>
  <c r="B49" i="17"/>
  <c r="B49" i="18"/>
  <c r="B55" i="17"/>
  <c r="B55" i="18"/>
  <c r="B51" i="17"/>
  <c r="B51" i="18"/>
  <c r="B54" i="17"/>
  <c r="B54" i="18"/>
  <c r="B50" i="17"/>
  <c r="B50" i="18"/>
  <c r="B53" i="17"/>
  <c r="B53" i="18"/>
  <c r="ABG425" i="1"/>
  <c r="ABI425" i="1" s="1"/>
  <c r="ABG422" i="1"/>
  <c r="ABI422" i="1" s="1"/>
  <c r="ABG419" i="1"/>
  <c r="ABI419" i="1" s="1"/>
  <c r="ABG416" i="1"/>
  <c r="ABI416" i="1" s="1"/>
  <c r="ABG412" i="1"/>
  <c r="ABI412" i="1" s="1"/>
  <c r="ABG409" i="1"/>
  <c r="ABI409" i="1" s="1"/>
  <c r="ABG407" i="1"/>
  <c r="ABI407" i="1" s="1"/>
  <c r="ABG405" i="1"/>
  <c r="ABI405" i="1" s="1"/>
  <c r="ABG401" i="1"/>
  <c r="ABI401" i="1" s="1"/>
  <c r="ABG399" i="1"/>
  <c r="ABI399" i="1" s="1"/>
  <c r="ABG396" i="1"/>
  <c r="ABG388" i="1"/>
  <c r="ABI388" i="1" s="1"/>
  <c r="ABG385" i="1"/>
  <c r="ABI385" i="1" s="1"/>
  <c r="ABG382" i="1"/>
  <c r="ABI382" i="1" s="1"/>
  <c r="ABG379" i="1"/>
  <c r="ABI379" i="1" s="1"/>
  <c r="ABG376" i="1"/>
  <c r="ABI376" i="1" s="1"/>
  <c r="ABG372" i="1"/>
  <c r="ABI372" i="1" s="1"/>
  <c r="ABG369" i="1"/>
  <c r="ABI369" i="1" s="1"/>
  <c r="ABG366" i="1"/>
  <c r="ABI366" i="1" s="1"/>
  <c r="ABG364" i="1"/>
  <c r="ABI364" i="1" s="1"/>
  <c r="ABG355" i="1"/>
  <c r="ABI355" i="1" s="1"/>
  <c r="ABG351" i="1"/>
  <c r="ABI351" i="1" s="1"/>
  <c r="ABG348" i="1"/>
  <c r="ABI348" i="1" s="1"/>
  <c r="ABG345" i="1"/>
  <c r="ABI345" i="1" s="1"/>
  <c r="ABG342" i="1"/>
  <c r="ABI342" i="1" s="1"/>
  <c r="ABG340" i="1"/>
  <c r="ABI340" i="1" s="1"/>
  <c r="ABG337" i="1"/>
  <c r="ABI337" i="1" s="1"/>
  <c r="ABG334" i="1"/>
  <c r="ABI334" i="1" s="1"/>
  <c r="ABG331" i="1"/>
  <c r="ABI331" i="1" s="1"/>
  <c r="ABG328" i="1"/>
  <c r="ABI328" i="1" s="1"/>
  <c r="ABG325" i="1"/>
  <c r="ABG317" i="1"/>
  <c r="ABI317" i="1" s="1"/>
  <c r="ABG314" i="1"/>
  <c r="ABI314" i="1" s="1"/>
  <c r="ABG311" i="1"/>
  <c r="ABI311" i="1" s="1"/>
  <c r="ABG308" i="1"/>
  <c r="ABI308" i="1" s="1"/>
  <c r="ABG305" i="1"/>
  <c r="ABI305" i="1" s="1"/>
  <c r="ABG302" i="1"/>
  <c r="ABI302" i="1" s="1"/>
  <c r="ABG299" i="1"/>
  <c r="ABI299" i="1" s="1"/>
  <c r="ABG296" i="1"/>
  <c r="ABI296" i="1" s="1"/>
  <c r="ABG293" i="1"/>
  <c r="ABI293" i="1" s="1"/>
  <c r="ABG290" i="1"/>
  <c r="ABG282" i="1"/>
  <c r="ABI282" i="1" s="1"/>
  <c r="ABG280" i="1"/>
  <c r="ABI280" i="1" s="1"/>
  <c r="ABG276" i="1"/>
  <c r="ABI276" i="1" s="1"/>
  <c r="ABG273" i="1"/>
  <c r="ABI273" i="1" s="1"/>
  <c r="ABG270" i="1"/>
  <c r="ABI270" i="1" s="1"/>
  <c r="ABG267" i="1"/>
  <c r="ABI267" i="1" s="1"/>
  <c r="ABG264" i="1"/>
  <c r="ABI264" i="1" s="1"/>
  <c r="ABG262" i="1"/>
  <c r="ABI262" i="1" s="1"/>
  <c r="ABG259" i="1"/>
  <c r="ABI259" i="1" s="1"/>
  <c r="ABG256" i="1"/>
  <c r="ABI256" i="1" s="1"/>
  <c r="ABG248" i="1"/>
  <c r="ABI248" i="1" s="1"/>
  <c r="ABG245" i="1"/>
  <c r="ABI245" i="1" s="1"/>
  <c r="ABG242" i="1"/>
  <c r="ABI242" i="1" s="1"/>
  <c r="ABG239" i="1"/>
  <c r="ABI239" i="1" s="1"/>
  <c r="ABG236" i="1"/>
  <c r="ABI236" i="1" s="1"/>
  <c r="ABG233" i="1"/>
  <c r="ABI233" i="1" s="1"/>
  <c r="ABG230" i="1"/>
  <c r="ABI230" i="1" s="1"/>
  <c r="ABG227" i="1"/>
  <c r="ABI227" i="1" s="1"/>
  <c r="ABG224" i="1"/>
  <c r="ABI224" i="1" s="1"/>
  <c r="ABG222" i="1"/>
  <c r="ABI222" i="1" s="1"/>
  <c r="ABG219" i="1"/>
  <c r="ABI219" i="1" s="1"/>
  <c r="ABG211" i="1"/>
  <c r="ABI211" i="1" s="1"/>
  <c r="ABG208" i="1"/>
  <c r="ABI208" i="1" s="1"/>
  <c r="ABG205" i="1"/>
  <c r="ABI205" i="1" s="1"/>
  <c r="ABG202" i="1"/>
  <c r="ABI202" i="1" s="1"/>
  <c r="ABG199" i="1"/>
  <c r="ABI199" i="1" s="1"/>
  <c r="ABG196" i="1"/>
  <c r="ABI196" i="1" s="1"/>
  <c r="ABG193" i="1"/>
  <c r="ABI193" i="1" s="1"/>
  <c r="ABG190" i="1"/>
  <c r="ABI190" i="1" s="1"/>
  <c r="ABG187" i="1"/>
  <c r="ABI187" i="1" s="1"/>
  <c r="ABG184" i="1"/>
  <c r="ABI184" i="1" s="1"/>
  <c r="ABG176" i="1"/>
  <c r="ABI176" i="1" s="1"/>
  <c r="ABG173" i="1"/>
  <c r="ABI173" i="1" s="1"/>
  <c r="ABG170" i="1"/>
  <c r="ABI170" i="1" s="1"/>
  <c r="ABG167" i="1"/>
  <c r="ABI167" i="1" s="1"/>
  <c r="ABG164" i="1"/>
  <c r="ABI164" i="1" s="1"/>
  <c r="ABG161" i="1"/>
  <c r="ABI161" i="1" s="1"/>
  <c r="ABG158" i="1"/>
  <c r="ABI158" i="1" s="1"/>
  <c r="ABG155" i="1"/>
  <c r="ABI155" i="1" s="1"/>
  <c r="ABG152" i="1"/>
  <c r="ABI152" i="1" s="1"/>
  <c r="ABG149" i="1"/>
  <c r="ABI149" i="1" s="1"/>
  <c r="ABG141" i="1"/>
  <c r="ABI141" i="1" s="1"/>
  <c r="ABG138" i="1"/>
  <c r="ABI138" i="1" s="1"/>
  <c r="ABG135" i="1"/>
  <c r="ABI135" i="1" s="1"/>
  <c r="ABG132" i="1"/>
  <c r="ABI132" i="1" s="1"/>
  <c r="ABG129" i="1"/>
  <c r="ABI129" i="1" s="1"/>
  <c r="ABG127" i="1"/>
  <c r="ABI127" i="1" s="1"/>
  <c r="ABG124" i="1"/>
  <c r="ABI124" i="1" s="1"/>
  <c r="ABG121" i="1"/>
  <c r="ABI121" i="1" s="1"/>
  <c r="ABG118" i="1"/>
  <c r="ABI118" i="1" s="1"/>
  <c r="ABG115" i="1"/>
  <c r="ABI115" i="1" s="1"/>
  <c r="ABG112" i="1"/>
  <c r="ABG104" i="1"/>
  <c r="ABI104" i="1" s="1"/>
  <c r="ABG101" i="1"/>
  <c r="ABI101" i="1" s="1"/>
  <c r="ABG98" i="1"/>
  <c r="ABI98" i="1" s="1"/>
  <c r="ABG95" i="1"/>
  <c r="ABI95" i="1" s="1"/>
  <c r="ABG92" i="1"/>
  <c r="ABI92" i="1" s="1"/>
  <c r="ABG89" i="1"/>
  <c r="ABI89" i="1" s="1"/>
  <c r="ABG86" i="1"/>
  <c r="ABI86" i="1" s="1"/>
  <c r="ABG83" i="1"/>
  <c r="ABI83" i="1" s="1"/>
  <c r="ABG80" i="1"/>
  <c r="ABI80" i="1" s="1"/>
  <c r="ABG77" i="1"/>
  <c r="ABI77" i="1" s="1"/>
  <c r="ABG69" i="1"/>
  <c r="ABI69" i="1" s="1"/>
  <c r="ABG66" i="1"/>
  <c r="ABI66" i="1" s="1"/>
  <c r="ABG63" i="1"/>
  <c r="ABI63" i="1" s="1"/>
  <c r="ABG60" i="1"/>
  <c r="ABI60" i="1" s="1"/>
  <c r="ABG57" i="1"/>
  <c r="ABI57" i="1" s="1"/>
  <c r="ABG54" i="1"/>
  <c r="ABI54" i="1" s="1"/>
  <c r="ABG51" i="1"/>
  <c r="ABI51" i="1" s="1"/>
  <c r="ABG48" i="1"/>
  <c r="ABI48" i="1" s="1"/>
  <c r="ABG45" i="1"/>
  <c r="ABI45" i="1" s="1"/>
  <c r="ABG42" i="1"/>
  <c r="ABG34" i="1"/>
  <c r="ABI34" i="1" s="1"/>
  <c r="ABG31" i="1"/>
  <c r="ABI31" i="1" s="1"/>
  <c r="ABG28" i="1"/>
  <c r="ABI28" i="1" s="1"/>
  <c r="ABG25" i="1"/>
  <c r="ABI25" i="1" s="1"/>
  <c r="ABG22" i="1"/>
  <c r="ABI22" i="1" s="1"/>
  <c r="ABG19" i="1"/>
  <c r="ABI19" i="1" s="1"/>
  <c r="ABG16" i="1"/>
  <c r="ABI16" i="1" s="1"/>
  <c r="ABG13" i="1"/>
  <c r="ABI13" i="1" s="1"/>
  <c r="ABG10" i="1"/>
  <c r="ABI10" i="1" s="1"/>
  <c r="ABG8" i="1"/>
  <c r="ABI8" i="1" s="1"/>
  <c r="AAX425" i="1"/>
  <c r="AAZ425" i="1" s="1"/>
  <c r="AAX422" i="1"/>
  <c r="AAZ422" i="1" s="1"/>
  <c r="AAX419" i="1"/>
  <c r="AAZ419" i="1" s="1"/>
  <c r="AAX416" i="1"/>
  <c r="AAZ416" i="1" s="1"/>
  <c r="AAX414" i="1"/>
  <c r="AAZ414" i="1" s="1"/>
  <c r="AAX411" i="1"/>
  <c r="AAZ411" i="1" s="1"/>
  <c r="AAX408" i="1"/>
  <c r="AAZ408" i="1" s="1"/>
  <c r="AAX405" i="1"/>
  <c r="AAZ405" i="1" s="1"/>
  <c r="AAX402" i="1"/>
  <c r="AAZ402" i="1" s="1"/>
  <c r="AAX399" i="1"/>
  <c r="AAZ399" i="1" s="1"/>
  <c r="AAX396" i="1"/>
  <c r="AAX387" i="1"/>
  <c r="AAZ387" i="1" s="1"/>
  <c r="AAX384" i="1"/>
  <c r="AAZ384" i="1" s="1"/>
  <c r="AAX381" i="1"/>
  <c r="AAZ381" i="1" s="1"/>
  <c r="AAX378" i="1"/>
  <c r="AAZ378" i="1" s="1"/>
  <c r="AAX375" i="1"/>
  <c r="AAZ375" i="1" s="1"/>
  <c r="AAX372" i="1"/>
  <c r="AAZ372" i="1" s="1"/>
  <c r="AAX369" i="1"/>
  <c r="AAZ369" i="1" s="1"/>
  <c r="AAX366" i="1"/>
  <c r="AAZ366" i="1" s="1"/>
  <c r="AAX364" i="1"/>
  <c r="AAZ364" i="1" s="1"/>
  <c r="AAX361" i="1"/>
  <c r="AAX353" i="1"/>
  <c r="AAZ353" i="1" s="1"/>
  <c r="AAX350" i="1"/>
  <c r="AAZ350" i="1" s="1"/>
  <c r="AAX347" i="1"/>
  <c r="AAZ347" i="1" s="1"/>
  <c r="AAX344" i="1"/>
  <c r="AAZ344" i="1" s="1"/>
  <c r="AAX340" i="1"/>
  <c r="AAZ340" i="1" s="1"/>
  <c r="AAX337" i="1"/>
  <c r="AAZ337" i="1" s="1"/>
  <c r="AAX334" i="1"/>
  <c r="AAZ334" i="1" s="1"/>
  <c r="AAX331" i="1"/>
  <c r="AAZ331" i="1" s="1"/>
  <c r="AAX328" i="1"/>
  <c r="AAZ328" i="1" s="1"/>
  <c r="AAX325" i="1"/>
  <c r="AAX317" i="1"/>
  <c r="AAZ317" i="1" s="1"/>
  <c r="AAX314" i="1"/>
  <c r="AAZ314" i="1" s="1"/>
  <c r="AAX311" i="1"/>
  <c r="AAZ311" i="1" s="1"/>
  <c r="AAX309" i="1"/>
  <c r="AAZ309" i="1" s="1"/>
  <c r="AAX306" i="1"/>
  <c r="AAZ306" i="1" s="1"/>
  <c r="AAX303" i="1"/>
  <c r="AAZ303" i="1" s="1"/>
  <c r="AAX300" i="1"/>
  <c r="AAZ300" i="1" s="1"/>
  <c r="AAX297" i="1"/>
  <c r="AAZ297" i="1" s="1"/>
  <c r="AAX294" i="1"/>
  <c r="AAZ294" i="1" s="1"/>
  <c r="AAX291" i="1"/>
  <c r="AAZ291" i="1" s="1"/>
  <c r="AAX283" i="1"/>
  <c r="AAZ283" i="1" s="1"/>
  <c r="AAX279" i="1"/>
  <c r="AAZ279" i="1" s="1"/>
  <c r="AAX276" i="1"/>
  <c r="AAZ276" i="1" s="1"/>
  <c r="AAX274" i="1"/>
  <c r="AAZ274" i="1" s="1"/>
  <c r="AAX271" i="1"/>
  <c r="AAZ271" i="1" s="1"/>
  <c r="AAX268" i="1"/>
  <c r="AAZ268" i="1" s="1"/>
  <c r="AAX265" i="1"/>
  <c r="AAZ265" i="1" s="1"/>
  <c r="AAX262" i="1"/>
  <c r="AAZ262" i="1" s="1"/>
  <c r="AAX259" i="1"/>
  <c r="AAZ259" i="1" s="1"/>
  <c r="AAX256" i="1"/>
  <c r="AAZ256" i="1" s="1"/>
  <c r="AAX248" i="1"/>
  <c r="AAZ248" i="1" s="1"/>
  <c r="AAX245" i="1"/>
  <c r="AAZ245" i="1" s="1"/>
  <c r="AAX242" i="1"/>
  <c r="AAZ242" i="1" s="1"/>
  <c r="AAX239" i="1"/>
  <c r="AAZ239" i="1" s="1"/>
  <c r="AAX236" i="1"/>
  <c r="AAZ236" i="1" s="1"/>
  <c r="AAX232" i="1"/>
  <c r="AAZ232" i="1" s="1"/>
  <c r="AAX229" i="1"/>
  <c r="AAZ229" i="1" s="1"/>
  <c r="AAX226" i="1"/>
  <c r="AAZ226" i="1" s="1"/>
  <c r="AAX223" i="1"/>
  <c r="AAZ223" i="1" s="1"/>
  <c r="AAX220" i="1"/>
  <c r="AAZ220" i="1" s="1"/>
  <c r="AAX212" i="1"/>
  <c r="AAZ212" i="1" s="1"/>
  <c r="AAX209" i="1"/>
  <c r="AAZ209" i="1" s="1"/>
  <c r="AAX206" i="1"/>
  <c r="AAZ206" i="1" s="1"/>
  <c r="AAX203" i="1"/>
  <c r="AAZ203" i="1" s="1"/>
  <c r="AAX200" i="1"/>
  <c r="AAZ200" i="1" s="1"/>
  <c r="AAX197" i="1"/>
  <c r="AAZ197" i="1" s="1"/>
  <c r="AAX194" i="1"/>
  <c r="AAZ194" i="1" s="1"/>
  <c r="AAX191" i="1"/>
  <c r="AAZ191" i="1" s="1"/>
  <c r="AAX188" i="1"/>
  <c r="AAZ188" i="1" s="1"/>
  <c r="AAX185" i="1"/>
  <c r="AAZ185" i="1" s="1"/>
  <c r="AAX177" i="1"/>
  <c r="AAZ177" i="1" s="1"/>
  <c r="AAX174" i="1"/>
  <c r="AAZ174" i="1" s="1"/>
  <c r="AAX171" i="1"/>
  <c r="AAZ171" i="1" s="1"/>
  <c r="AAX168" i="1"/>
  <c r="AAZ168" i="1" s="1"/>
  <c r="AAX165" i="1"/>
  <c r="AAZ165" i="1" s="1"/>
  <c r="AAX162" i="1"/>
  <c r="AAZ162" i="1" s="1"/>
  <c r="AAX159" i="1"/>
  <c r="AAZ159" i="1" s="1"/>
  <c r="AAX156" i="1"/>
  <c r="AAZ156" i="1" s="1"/>
  <c r="AAX153" i="1"/>
  <c r="AAZ153" i="1" s="1"/>
  <c r="AAX150" i="1"/>
  <c r="AAZ150" i="1" s="1"/>
  <c r="AAX147" i="1"/>
  <c r="AAX139" i="1"/>
  <c r="AAZ139" i="1" s="1"/>
  <c r="AAX136" i="1"/>
  <c r="AAZ136" i="1" s="1"/>
  <c r="AAX133" i="1"/>
  <c r="AAZ133" i="1" s="1"/>
  <c r="AAX130" i="1"/>
  <c r="AAZ130" i="1" s="1"/>
  <c r="AAX127" i="1"/>
  <c r="AAZ127" i="1" s="1"/>
  <c r="AAX124" i="1"/>
  <c r="AAZ124" i="1" s="1"/>
  <c r="AAX122" i="1"/>
  <c r="AAZ122" i="1" s="1"/>
  <c r="AAX120" i="1"/>
  <c r="AAZ120" i="1" s="1"/>
  <c r="AAX118" i="1"/>
  <c r="AAZ118" i="1" s="1"/>
  <c r="AAX116" i="1"/>
  <c r="AAZ116" i="1" s="1"/>
  <c r="AAX114" i="1"/>
  <c r="AAZ114" i="1" s="1"/>
  <c r="AAX112" i="1"/>
  <c r="AAX105" i="1"/>
  <c r="AAZ105" i="1" s="1"/>
  <c r="AAX103" i="1"/>
  <c r="AAZ103" i="1" s="1"/>
  <c r="AAX101" i="1"/>
  <c r="AAZ101" i="1" s="1"/>
  <c r="AAX99" i="1"/>
  <c r="AAZ99" i="1" s="1"/>
  <c r="AAX97" i="1"/>
  <c r="AAZ97" i="1" s="1"/>
  <c r="AAX95" i="1"/>
  <c r="AAZ95" i="1" s="1"/>
  <c r="AAX93" i="1"/>
  <c r="AAZ93" i="1" s="1"/>
  <c r="AAX91" i="1"/>
  <c r="AAZ91" i="1" s="1"/>
  <c r="AAX89" i="1"/>
  <c r="AAZ89" i="1" s="1"/>
  <c r="AAX87" i="1"/>
  <c r="AAZ87" i="1" s="1"/>
  <c r="AAX85" i="1"/>
  <c r="AAZ85" i="1" s="1"/>
  <c r="AAX83" i="1"/>
  <c r="AAZ83" i="1" s="1"/>
  <c r="AAX81" i="1"/>
  <c r="AAZ81" i="1" s="1"/>
  <c r="AAX79" i="1"/>
  <c r="AAZ79" i="1" s="1"/>
  <c r="AAX77" i="1"/>
  <c r="AAZ77" i="1" s="1"/>
  <c r="AAX70" i="1"/>
  <c r="AAZ70" i="1" s="1"/>
  <c r="AAX68" i="1"/>
  <c r="AAZ68" i="1" s="1"/>
  <c r="AAX66" i="1"/>
  <c r="AAZ66" i="1" s="1"/>
  <c r="AAX64" i="1"/>
  <c r="AAZ64" i="1" s="1"/>
  <c r="AAX62" i="1"/>
  <c r="AAZ62" i="1" s="1"/>
  <c r="AAX60" i="1"/>
  <c r="AAZ60" i="1" s="1"/>
  <c r="AAX58" i="1"/>
  <c r="AAZ58" i="1" s="1"/>
  <c r="AAX56" i="1"/>
  <c r="AAZ56" i="1" s="1"/>
  <c r="AAX55" i="1"/>
  <c r="AAZ55" i="1" s="1"/>
  <c r="AAX54" i="1"/>
  <c r="AAZ54" i="1" s="1"/>
  <c r="AAX52" i="1"/>
  <c r="AAZ52" i="1" s="1"/>
  <c r="AAX49" i="1"/>
  <c r="AAZ49" i="1" s="1"/>
  <c r="AAX47" i="1"/>
  <c r="AAZ47" i="1" s="1"/>
  <c r="AAX44" i="1"/>
  <c r="AAZ44" i="1" s="1"/>
  <c r="AAX36" i="1"/>
  <c r="AAZ36" i="1" s="1"/>
  <c r="AAX32" i="1"/>
  <c r="AAZ32" i="1" s="1"/>
  <c r="AAX29" i="1"/>
  <c r="AAZ29" i="1" s="1"/>
  <c r="AAX26" i="1"/>
  <c r="AAZ26" i="1" s="1"/>
  <c r="AAX24" i="1"/>
  <c r="AAZ24" i="1" s="1"/>
  <c r="AAX20" i="1"/>
  <c r="AAZ20" i="1" s="1"/>
  <c r="AAX17" i="1"/>
  <c r="AAZ17" i="1" s="1"/>
  <c r="AAX14" i="1"/>
  <c r="AAZ14" i="1" s="1"/>
  <c r="AAX11" i="1"/>
  <c r="AAZ11" i="1" s="1"/>
  <c r="AAX8" i="1"/>
  <c r="AAZ8" i="1" s="1"/>
  <c r="AAX6" i="1"/>
  <c r="AAO424" i="1"/>
  <c r="AAQ424" i="1" s="1"/>
  <c r="AAO420" i="1"/>
  <c r="AAQ420" i="1" s="1"/>
  <c r="AAO417" i="1"/>
  <c r="AAQ417" i="1" s="1"/>
  <c r="AAO414" i="1"/>
  <c r="AAQ414" i="1" s="1"/>
  <c r="AAO411" i="1"/>
  <c r="AAQ411" i="1" s="1"/>
  <c r="AAO408" i="1"/>
  <c r="AAQ408" i="1" s="1"/>
  <c r="AAO405" i="1"/>
  <c r="AAQ405" i="1" s="1"/>
  <c r="AAO98" i="1"/>
  <c r="AAQ98" i="1" s="1"/>
  <c r="AAO94" i="1"/>
  <c r="AAQ94" i="1" s="1"/>
  <c r="AAO90" i="1"/>
  <c r="AAQ90" i="1" s="1"/>
  <c r="AAO86" i="1"/>
  <c r="AAQ86" i="1" s="1"/>
  <c r="AAO82" i="1"/>
  <c r="AAQ82" i="1" s="1"/>
  <c r="AAO78" i="1"/>
  <c r="AAQ78" i="1" s="1"/>
  <c r="AAO69" i="1"/>
  <c r="AAQ69" i="1" s="1"/>
  <c r="AAO65" i="1"/>
  <c r="AAQ65" i="1" s="1"/>
  <c r="AAO61" i="1"/>
  <c r="AAQ61" i="1" s="1"/>
  <c r="AAO57" i="1"/>
  <c r="AAQ57" i="1" s="1"/>
  <c r="AAO53" i="1"/>
  <c r="AAQ53" i="1" s="1"/>
  <c r="AAO49" i="1"/>
  <c r="AAQ49" i="1" s="1"/>
  <c r="AAO45" i="1"/>
  <c r="AAQ45" i="1" s="1"/>
  <c r="AAO36" i="1"/>
  <c r="AAQ36" i="1" s="1"/>
  <c r="AAO32" i="1"/>
  <c r="AAQ32" i="1" s="1"/>
  <c r="AAO28" i="1"/>
  <c r="AAQ28" i="1" s="1"/>
  <c r="AAO24" i="1"/>
  <c r="AAQ24" i="1" s="1"/>
  <c r="AAO20" i="1"/>
  <c r="AAQ20" i="1" s="1"/>
  <c r="AAO16" i="1"/>
  <c r="AAQ16" i="1" s="1"/>
  <c r="AAO12" i="1"/>
  <c r="AAQ12" i="1" s="1"/>
  <c r="AAO8" i="1"/>
  <c r="AAQ8" i="1" s="1"/>
  <c r="AAF425" i="1"/>
  <c r="AAH425" i="1" s="1"/>
  <c r="AAF421" i="1"/>
  <c r="AAH421" i="1" s="1"/>
  <c r="AAF417" i="1"/>
  <c r="AAH417" i="1" s="1"/>
  <c r="AAF413" i="1"/>
  <c r="AAH413" i="1" s="1"/>
  <c r="AAF409" i="1"/>
  <c r="AAH409" i="1" s="1"/>
  <c r="AAF405" i="1"/>
  <c r="AAH405" i="1" s="1"/>
  <c r="AAF401" i="1"/>
  <c r="AAH401" i="1" s="1"/>
  <c r="AAF397" i="1"/>
  <c r="AAH397" i="1" s="1"/>
  <c r="AAF388" i="1"/>
  <c r="AAH388" i="1" s="1"/>
  <c r="AAF384" i="1"/>
  <c r="AAH384" i="1" s="1"/>
  <c r="AAF380" i="1"/>
  <c r="AAH380" i="1" s="1"/>
  <c r="AAF376" i="1"/>
  <c r="AAH376" i="1" s="1"/>
  <c r="AAF372" i="1"/>
  <c r="AAH372" i="1" s="1"/>
  <c r="AAF368" i="1"/>
  <c r="AAH368" i="1" s="1"/>
  <c r="AAF364" i="1"/>
  <c r="AAH364" i="1" s="1"/>
  <c r="AAF354" i="1"/>
  <c r="AAH354" i="1" s="1"/>
  <c r="AAF351" i="1"/>
  <c r="AAH351" i="1" s="1"/>
  <c r="AAF346" i="1"/>
  <c r="AAH346" i="1" s="1"/>
  <c r="AAF342" i="1"/>
  <c r="AAH342" i="1" s="1"/>
  <c r="AAF339" i="1"/>
  <c r="AAH339" i="1" s="1"/>
  <c r="AAF335" i="1"/>
  <c r="AAH335" i="1" s="1"/>
  <c r="AAF331" i="1"/>
  <c r="AAH331" i="1" s="1"/>
  <c r="AAF327" i="1"/>
  <c r="AAH327" i="1" s="1"/>
  <c r="AAF318" i="1"/>
  <c r="AAH318" i="1" s="1"/>
  <c r="AAF313" i="1"/>
  <c r="AAH313" i="1" s="1"/>
  <c r="AAF309" i="1"/>
  <c r="AAH309" i="1" s="1"/>
  <c r="AAF305" i="1"/>
  <c r="AAH305" i="1" s="1"/>
  <c r="AAF302" i="1"/>
  <c r="AAH302" i="1" s="1"/>
  <c r="AAF298" i="1"/>
  <c r="AAH298" i="1" s="1"/>
  <c r="AAF294" i="1"/>
  <c r="AAH294" i="1" s="1"/>
  <c r="AAF290" i="1"/>
  <c r="AAF281" i="1"/>
  <c r="AAH281" i="1" s="1"/>
  <c r="AAF277" i="1"/>
  <c r="AAH277" i="1" s="1"/>
  <c r="AAF273" i="1"/>
  <c r="AAH273" i="1" s="1"/>
  <c r="AAF269" i="1"/>
  <c r="AAH269" i="1" s="1"/>
  <c r="AAF265" i="1"/>
  <c r="AAH265" i="1" s="1"/>
  <c r="AAF261" i="1"/>
  <c r="AAH261" i="1" s="1"/>
  <c r="AAF257" i="1"/>
  <c r="AAH257" i="1" s="1"/>
  <c r="AAF248" i="1"/>
  <c r="AAH248" i="1" s="1"/>
  <c r="AAF244" i="1"/>
  <c r="AAH244" i="1" s="1"/>
  <c r="AAF240" i="1"/>
  <c r="AAH240" i="1" s="1"/>
  <c r="AAF236" i="1"/>
  <c r="AAH236" i="1" s="1"/>
  <c r="AAF232" i="1"/>
  <c r="AAH232" i="1" s="1"/>
  <c r="AAF228" i="1"/>
  <c r="AAH228" i="1" s="1"/>
  <c r="AAF224" i="1"/>
  <c r="AAH224" i="1" s="1"/>
  <c r="AAF220" i="1"/>
  <c r="AAH220" i="1" s="1"/>
  <c r="AAF211" i="1"/>
  <c r="AAH211" i="1" s="1"/>
  <c r="AAF207" i="1"/>
  <c r="AAH207" i="1" s="1"/>
  <c r="AAF203" i="1"/>
  <c r="AAH203" i="1" s="1"/>
  <c r="AAF199" i="1"/>
  <c r="AAH199" i="1" s="1"/>
  <c r="AAF195" i="1"/>
  <c r="AAH195" i="1" s="1"/>
  <c r="AAF191" i="1"/>
  <c r="AAH191" i="1" s="1"/>
  <c r="AAF187" i="1"/>
  <c r="AAH187" i="1" s="1"/>
  <c r="AAF183" i="1"/>
  <c r="AAF174" i="1"/>
  <c r="AAH174" i="1" s="1"/>
  <c r="AAF170" i="1"/>
  <c r="AAH170" i="1" s="1"/>
  <c r="AAF166" i="1"/>
  <c r="AAH166" i="1" s="1"/>
  <c r="AAF162" i="1"/>
  <c r="AAH162" i="1" s="1"/>
  <c r="AAF158" i="1"/>
  <c r="AAH158" i="1" s="1"/>
  <c r="AAF154" i="1"/>
  <c r="AAH154" i="1" s="1"/>
  <c r="AAF150" i="1"/>
  <c r="AAH150" i="1" s="1"/>
  <c r="AAF141" i="1"/>
  <c r="AAH141" i="1" s="1"/>
  <c r="AAF138" i="1"/>
  <c r="AAH138" i="1" s="1"/>
  <c r="AAF134" i="1"/>
  <c r="AAH134" i="1" s="1"/>
  <c r="AAF131" i="1"/>
  <c r="AAH131" i="1" s="1"/>
  <c r="AAF127" i="1"/>
  <c r="AAH127" i="1" s="1"/>
  <c r="AAF123" i="1"/>
  <c r="AAH123" i="1" s="1"/>
  <c r="AAF119" i="1"/>
  <c r="AAH119" i="1" s="1"/>
  <c r="AAF115" i="1"/>
  <c r="AAH115" i="1" s="1"/>
  <c r="AAF106" i="1"/>
  <c r="AAH106" i="1" s="1"/>
  <c r="AAF102" i="1"/>
  <c r="AAH102" i="1" s="1"/>
  <c r="AAF98" i="1"/>
  <c r="AAH98" i="1" s="1"/>
  <c r="AAF94" i="1"/>
  <c r="AAH94" i="1" s="1"/>
  <c r="AAF90" i="1"/>
  <c r="AAH90" i="1" s="1"/>
  <c r="AAF86" i="1"/>
  <c r="AAH86" i="1" s="1"/>
  <c r="AAF82" i="1"/>
  <c r="AAH82" i="1" s="1"/>
  <c r="AAF78" i="1"/>
  <c r="AAH78" i="1" s="1"/>
  <c r="AAF69" i="1"/>
  <c r="AAH69" i="1" s="1"/>
  <c r="AAF65" i="1"/>
  <c r="AAH65" i="1" s="1"/>
  <c r="AAF61" i="1"/>
  <c r="AAH61" i="1" s="1"/>
  <c r="AAF57" i="1"/>
  <c r="AAH57" i="1" s="1"/>
  <c r="AAF53" i="1"/>
  <c r="AAH53" i="1" s="1"/>
  <c r="AAF49" i="1"/>
  <c r="AAH49" i="1" s="1"/>
  <c r="AAF45" i="1"/>
  <c r="AAH45" i="1" s="1"/>
  <c r="AAF36" i="1"/>
  <c r="AAH36" i="1" s="1"/>
  <c r="AAF32" i="1"/>
  <c r="AAH32" i="1" s="1"/>
  <c r="AAF28" i="1"/>
  <c r="AAH28" i="1" s="1"/>
  <c r="AAF24" i="1"/>
  <c r="AAH24" i="1" s="1"/>
  <c r="AAF20" i="1"/>
  <c r="AAH20" i="1" s="1"/>
  <c r="AAF16" i="1"/>
  <c r="AAH16" i="1" s="1"/>
  <c r="AAF12" i="1"/>
  <c r="AAH12" i="1" s="1"/>
  <c r="AAF8" i="1"/>
  <c r="AAH8" i="1" s="1"/>
  <c r="AAO403" i="1"/>
  <c r="AAQ403" i="1" s="1"/>
  <c r="AAO402" i="1"/>
  <c r="AAQ402" i="1" s="1"/>
  <c r="AAO401" i="1"/>
  <c r="AAQ401" i="1" s="1"/>
  <c r="AAO400" i="1"/>
  <c r="AAQ400" i="1" s="1"/>
  <c r="AAO399" i="1"/>
  <c r="AAQ399" i="1" s="1"/>
  <c r="AAO398" i="1"/>
  <c r="AAQ398" i="1" s="1"/>
  <c r="AAO397" i="1"/>
  <c r="AAQ397" i="1" s="1"/>
  <c r="AAO396" i="1"/>
  <c r="AAO390" i="1"/>
  <c r="AAQ390" i="1" s="1"/>
  <c r="AAO389" i="1"/>
  <c r="AAQ389" i="1" s="1"/>
  <c r="AAO388" i="1"/>
  <c r="AAQ388" i="1" s="1"/>
  <c r="AAO387" i="1"/>
  <c r="AAQ387" i="1" s="1"/>
  <c r="AAO386" i="1"/>
  <c r="AAQ386" i="1" s="1"/>
  <c r="AAO385" i="1"/>
  <c r="AAQ385" i="1" s="1"/>
  <c r="AAO384" i="1"/>
  <c r="AAQ384" i="1" s="1"/>
  <c r="AAO383" i="1"/>
  <c r="AAQ383" i="1" s="1"/>
  <c r="AAO382" i="1"/>
  <c r="AAQ382" i="1" s="1"/>
  <c r="AAO381" i="1"/>
  <c r="AAQ381" i="1" s="1"/>
  <c r="AAO380" i="1"/>
  <c r="AAQ380" i="1" s="1"/>
  <c r="AAO379" i="1"/>
  <c r="AAQ379" i="1" s="1"/>
  <c r="AAO378" i="1"/>
  <c r="AAQ378" i="1" s="1"/>
  <c r="AAO377" i="1"/>
  <c r="AAQ377" i="1" s="1"/>
  <c r="AAO376" i="1"/>
  <c r="AAQ376" i="1" s="1"/>
  <c r="AAO375" i="1"/>
  <c r="AAQ375" i="1" s="1"/>
  <c r="AAO374" i="1"/>
  <c r="AAQ374" i="1" s="1"/>
  <c r="AAO373" i="1"/>
  <c r="AAQ373" i="1" s="1"/>
  <c r="AAO372" i="1"/>
  <c r="AAQ372" i="1" s="1"/>
  <c r="AAO371" i="1"/>
  <c r="AAQ371" i="1" s="1"/>
  <c r="AAO370" i="1"/>
  <c r="AAQ370" i="1" s="1"/>
  <c r="AAO369" i="1"/>
  <c r="AAQ369" i="1" s="1"/>
  <c r="AAO368" i="1"/>
  <c r="AAQ368" i="1" s="1"/>
  <c r="AAO367" i="1"/>
  <c r="AAQ367" i="1" s="1"/>
  <c r="AAO366" i="1"/>
  <c r="AAQ366" i="1" s="1"/>
  <c r="AAO365" i="1"/>
  <c r="AAQ365" i="1" s="1"/>
  <c r="AAO364" i="1"/>
  <c r="AAQ364" i="1" s="1"/>
  <c r="AAO363" i="1"/>
  <c r="AAQ363" i="1" s="1"/>
  <c r="AAO362" i="1"/>
  <c r="AAQ362" i="1" s="1"/>
  <c r="AAO361" i="1"/>
  <c r="AAO355" i="1"/>
  <c r="AAQ355" i="1" s="1"/>
  <c r="AAO354" i="1"/>
  <c r="AAQ354" i="1" s="1"/>
  <c r="AAO353" i="1"/>
  <c r="AAQ353" i="1" s="1"/>
  <c r="AAO352" i="1"/>
  <c r="AAQ352" i="1" s="1"/>
  <c r="AAO351" i="1"/>
  <c r="AAQ351" i="1" s="1"/>
  <c r="AAO350" i="1"/>
  <c r="AAQ350" i="1" s="1"/>
  <c r="AAO349" i="1"/>
  <c r="AAQ349" i="1" s="1"/>
  <c r="AAO348" i="1"/>
  <c r="AAQ348" i="1" s="1"/>
  <c r="AAO347" i="1"/>
  <c r="AAQ347" i="1" s="1"/>
  <c r="AAO346" i="1"/>
  <c r="AAQ346" i="1" s="1"/>
  <c r="AAO345" i="1"/>
  <c r="AAQ345" i="1" s="1"/>
  <c r="AAO344" i="1"/>
  <c r="AAQ344" i="1" s="1"/>
  <c r="AAO343" i="1"/>
  <c r="AAQ343" i="1" s="1"/>
  <c r="AAO342" i="1"/>
  <c r="AAQ342" i="1" s="1"/>
  <c r="AAO341" i="1"/>
  <c r="AAQ341" i="1" s="1"/>
  <c r="AAO340" i="1"/>
  <c r="AAO339" i="1"/>
  <c r="AAQ339" i="1" s="1"/>
  <c r="AAO338" i="1"/>
  <c r="AAQ338" i="1" s="1"/>
  <c r="AAO337" i="1"/>
  <c r="AAQ337" i="1" s="1"/>
  <c r="AAO336" i="1"/>
  <c r="AAQ336" i="1" s="1"/>
  <c r="AAO335" i="1"/>
  <c r="AAQ335" i="1" s="1"/>
  <c r="AAO334" i="1"/>
  <c r="AAQ334" i="1" s="1"/>
  <c r="AAO333" i="1"/>
  <c r="AAQ333" i="1" s="1"/>
  <c r="AAO332" i="1"/>
  <c r="AAQ332" i="1" s="1"/>
  <c r="AAO331" i="1"/>
  <c r="AAQ331" i="1" s="1"/>
  <c r="AAO330" i="1"/>
  <c r="AAQ330" i="1" s="1"/>
  <c r="AAO329" i="1"/>
  <c r="AAQ329" i="1" s="1"/>
  <c r="AAO328" i="1"/>
  <c r="AAQ328" i="1" s="1"/>
  <c r="AAO327" i="1"/>
  <c r="AAQ327" i="1" s="1"/>
  <c r="AAO326" i="1"/>
  <c r="AAQ326" i="1" s="1"/>
  <c r="AAO325" i="1"/>
  <c r="AAQ325" i="1" s="1"/>
  <c r="AAO319" i="1"/>
  <c r="AAQ319" i="1" s="1"/>
  <c r="AAO318" i="1"/>
  <c r="AAQ318" i="1" s="1"/>
  <c r="AAO317" i="1"/>
  <c r="AAQ317" i="1" s="1"/>
  <c r="AAO316" i="1"/>
  <c r="AAQ316" i="1" s="1"/>
  <c r="AAO315" i="1"/>
  <c r="AAQ315" i="1" s="1"/>
  <c r="AAO314" i="1"/>
  <c r="AAQ314" i="1" s="1"/>
  <c r="AAO313" i="1"/>
  <c r="AAQ313" i="1" s="1"/>
  <c r="AAO312" i="1"/>
  <c r="AAQ312" i="1" s="1"/>
  <c r="AAO311" i="1"/>
  <c r="AAQ311" i="1" s="1"/>
  <c r="AAO310" i="1"/>
  <c r="AAQ310" i="1" s="1"/>
  <c r="AAO309" i="1"/>
  <c r="AAQ309" i="1" s="1"/>
  <c r="AAO308" i="1"/>
  <c r="AAQ308" i="1" s="1"/>
  <c r="AAO307" i="1"/>
  <c r="AAQ307" i="1" s="1"/>
  <c r="AAO306" i="1"/>
  <c r="AAQ306" i="1" s="1"/>
  <c r="AAO305" i="1"/>
  <c r="AAQ305" i="1" s="1"/>
  <c r="AAO304" i="1"/>
  <c r="AAQ304" i="1" s="1"/>
  <c r="AAO303" i="1"/>
  <c r="AAQ303" i="1" s="1"/>
  <c r="AAO302" i="1"/>
  <c r="AAQ302" i="1" s="1"/>
  <c r="AAO301" i="1"/>
  <c r="AAQ301" i="1" s="1"/>
  <c r="AAO300" i="1"/>
  <c r="AAQ300" i="1" s="1"/>
  <c r="AAO299" i="1"/>
  <c r="AAQ299" i="1" s="1"/>
  <c r="AAO298" i="1"/>
  <c r="AAQ298" i="1" s="1"/>
  <c r="AAO297" i="1"/>
  <c r="AAQ297" i="1" s="1"/>
  <c r="AAO296" i="1"/>
  <c r="AAQ296" i="1" s="1"/>
  <c r="AAO295" i="1"/>
  <c r="AAQ295" i="1" s="1"/>
  <c r="AAO294" i="1"/>
  <c r="AAQ294" i="1" s="1"/>
  <c r="AAO293" i="1"/>
  <c r="AAQ293" i="1" s="1"/>
  <c r="AAO292" i="1"/>
  <c r="AAQ292" i="1" s="1"/>
  <c r="AAO291" i="1"/>
  <c r="AAQ291" i="1" s="1"/>
  <c r="AAO290" i="1"/>
  <c r="AAO284" i="1"/>
  <c r="AAQ284" i="1" s="1"/>
  <c r="AAO283" i="1"/>
  <c r="AAQ283" i="1" s="1"/>
  <c r="AAO282" i="1"/>
  <c r="AAQ282" i="1" s="1"/>
  <c r="AAO281" i="1"/>
  <c r="AAQ281" i="1" s="1"/>
  <c r="AAO280" i="1"/>
  <c r="AAQ280" i="1" s="1"/>
  <c r="AAO279" i="1"/>
  <c r="AAQ279" i="1" s="1"/>
  <c r="AAO278" i="1"/>
  <c r="AAQ278" i="1" s="1"/>
  <c r="AAO277" i="1"/>
  <c r="AAQ277" i="1" s="1"/>
  <c r="AAO276" i="1"/>
  <c r="AAQ276" i="1" s="1"/>
  <c r="AAO275" i="1"/>
  <c r="AAQ275" i="1" s="1"/>
  <c r="AAO274" i="1"/>
  <c r="AAQ274" i="1" s="1"/>
  <c r="AAO273" i="1"/>
  <c r="AAQ273" i="1" s="1"/>
  <c r="AAO272" i="1"/>
  <c r="AAQ272" i="1" s="1"/>
  <c r="AAO271" i="1"/>
  <c r="AAQ271" i="1" s="1"/>
  <c r="AAO270" i="1"/>
  <c r="AAQ270" i="1" s="1"/>
  <c r="AAO269" i="1"/>
  <c r="AAQ269" i="1" s="1"/>
  <c r="AAO268" i="1"/>
  <c r="AAQ268" i="1" s="1"/>
  <c r="AAO267" i="1"/>
  <c r="AAQ267" i="1" s="1"/>
  <c r="AAO266" i="1"/>
  <c r="AAQ266" i="1" s="1"/>
  <c r="AAO265" i="1"/>
  <c r="AAQ265" i="1" s="1"/>
  <c r="AAO264" i="1"/>
  <c r="AAQ264" i="1" s="1"/>
  <c r="AAO263" i="1"/>
  <c r="AAQ263" i="1" s="1"/>
  <c r="AAO262" i="1"/>
  <c r="AAQ262" i="1" s="1"/>
  <c r="AAO261" i="1"/>
  <c r="AAQ261" i="1" s="1"/>
  <c r="AAO260" i="1"/>
  <c r="AAQ260" i="1" s="1"/>
  <c r="AAO259" i="1"/>
  <c r="AAQ259" i="1" s="1"/>
  <c r="AAO258" i="1"/>
  <c r="AAQ258" i="1" s="1"/>
  <c r="AAO257" i="1"/>
  <c r="AAQ257" i="1" s="1"/>
  <c r="AAO256" i="1"/>
  <c r="AAQ256" i="1" s="1"/>
  <c r="AAO255" i="1"/>
  <c r="AAQ255" i="1" s="1"/>
  <c r="AAO254" i="1"/>
  <c r="AAO248" i="1"/>
  <c r="AAQ248" i="1" s="1"/>
  <c r="AAO247" i="1"/>
  <c r="AAQ247" i="1" s="1"/>
  <c r="AAO246" i="1"/>
  <c r="AAQ246" i="1" s="1"/>
  <c r="AAO245" i="1"/>
  <c r="AAQ245" i="1" s="1"/>
  <c r="AAO244" i="1"/>
  <c r="AAQ244" i="1" s="1"/>
  <c r="AAO243" i="1"/>
  <c r="AAQ243" i="1" s="1"/>
  <c r="AAO242" i="1"/>
  <c r="AAQ242" i="1" s="1"/>
  <c r="AAO241" i="1"/>
  <c r="AAQ241" i="1" s="1"/>
  <c r="AAO240" i="1"/>
  <c r="AAQ240" i="1" s="1"/>
  <c r="AAO239" i="1"/>
  <c r="AAQ239" i="1" s="1"/>
  <c r="AAO238" i="1"/>
  <c r="AAQ238" i="1" s="1"/>
  <c r="AAO237" i="1"/>
  <c r="AAQ237" i="1" s="1"/>
  <c r="AAO236" i="1"/>
  <c r="AAQ236" i="1" s="1"/>
  <c r="AAO235" i="1"/>
  <c r="AAQ235" i="1" s="1"/>
  <c r="AAO234" i="1"/>
  <c r="AAQ234" i="1" s="1"/>
  <c r="AAO233" i="1"/>
  <c r="AAQ233" i="1" s="1"/>
  <c r="AAO232" i="1"/>
  <c r="AAQ232" i="1" s="1"/>
  <c r="AAO231" i="1"/>
  <c r="AAQ231" i="1" s="1"/>
  <c r="AAO230" i="1"/>
  <c r="AAQ230" i="1" s="1"/>
  <c r="AAO229" i="1"/>
  <c r="AAQ229" i="1" s="1"/>
  <c r="AAO228" i="1"/>
  <c r="AAQ228" i="1" s="1"/>
  <c r="AAO227" i="1"/>
  <c r="AAQ227" i="1" s="1"/>
  <c r="AAO226" i="1"/>
  <c r="AAQ226" i="1" s="1"/>
  <c r="AAO225" i="1"/>
  <c r="AAQ225" i="1" s="1"/>
  <c r="AAO224" i="1"/>
  <c r="AAQ224" i="1" s="1"/>
  <c r="AAO223" i="1"/>
  <c r="AAQ223" i="1" s="1"/>
  <c r="AAO222" i="1"/>
  <c r="AAQ222" i="1" s="1"/>
  <c r="AAO221" i="1"/>
  <c r="AAQ221" i="1" s="1"/>
  <c r="AAO220" i="1"/>
  <c r="AAQ220" i="1" s="1"/>
  <c r="AAO219" i="1"/>
  <c r="AAQ219" i="1" s="1"/>
  <c r="AAO218" i="1"/>
  <c r="AAO212" i="1"/>
  <c r="AAQ212" i="1" s="1"/>
  <c r="AAO211" i="1"/>
  <c r="AAQ211" i="1" s="1"/>
  <c r="AAO210" i="1"/>
  <c r="AAQ210" i="1" s="1"/>
  <c r="AAO209" i="1"/>
  <c r="AAQ209" i="1" s="1"/>
  <c r="AAO208" i="1"/>
  <c r="AAQ208" i="1" s="1"/>
  <c r="AAO207" i="1"/>
  <c r="AAQ207" i="1" s="1"/>
  <c r="AAO206" i="1"/>
  <c r="AAQ206" i="1" s="1"/>
  <c r="AAO205" i="1"/>
  <c r="AAQ205" i="1" s="1"/>
  <c r="AAO204" i="1"/>
  <c r="AAQ204" i="1" s="1"/>
  <c r="AAO203" i="1"/>
  <c r="AAQ203" i="1" s="1"/>
  <c r="AAO202" i="1"/>
  <c r="AAQ202" i="1" s="1"/>
  <c r="AAO201" i="1"/>
  <c r="AAQ201" i="1" s="1"/>
  <c r="AAO200" i="1"/>
  <c r="AAQ200" i="1" s="1"/>
  <c r="AAO199" i="1"/>
  <c r="AAQ199" i="1" s="1"/>
  <c r="AAO198" i="1"/>
  <c r="AAQ198" i="1" s="1"/>
  <c r="AAO197" i="1"/>
  <c r="AAQ197" i="1" s="1"/>
  <c r="AAO196" i="1"/>
  <c r="AAQ196" i="1" s="1"/>
  <c r="AAO195" i="1"/>
  <c r="AAQ195" i="1" s="1"/>
  <c r="AAO194" i="1"/>
  <c r="AAQ194" i="1" s="1"/>
  <c r="AAO193" i="1"/>
  <c r="AAQ193" i="1" s="1"/>
  <c r="AAO192" i="1"/>
  <c r="AAQ192" i="1" s="1"/>
  <c r="AAO191" i="1"/>
  <c r="AAQ191" i="1" s="1"/>
  <c r="AAO190" i="1"/>
  <c r="AAQ190" i="1" s="1"/>
  <c r="AAO189" i="1"/>
  <c r="AAQ189" i="1" s="1"/>
  <c r="AAO188" i="1"/>
  <c r="AAQ188" i="1" s="1"/>
  <c r="AAO187" i="1"/>
  <c r="AAQ187" i="1" s="1"/>
  <c r="AAO186" i="1"/>
  <c r="AAQ186" i="1" s="1"/>
  <c r="AAO185" i="1"/>
  <c r="AAQ185" i="1" s="1"/>
  <c r="AAO184" i="1"/>
  <c r="AAQ184" i="1" s="1"/>
  <c r="AAO183" i="1"/>
  <c r="AAO177" i="1"/>
  <c r="AAQ177" i="1" s="1"/>
  <c r="AAO176" i="1"/>
  <c r="AAQ176" i="1" s="1"/>
  <c r="AAO175" i="1"/>
  <c r="AAQ175" i="1" s="1"/>
  <c r="AAO174" i="1"/>
  <c r="AAQ174" i="1" s="1"/>
  <c r="AAO173" i="1"/>
  <c r="AAQ173" i="1" s="1"/>
  <c r="AAO172" i="1"/>
  <c r="AAQ172" i="1" s="1"/>
  <c r="AAO171" i="1"/>
  <c r="AAQ171" i="1" s="1"/>
  <c r="AAO170" i="1"/>
  <c r="AAQ170" i="1" s="1"/>
  <c r="AAO169" i="1"/>
  <c r="AAQ169" i="1" s="1"/>
  <c r="AAO168" i="1"/>
  <c r="AAQ168" i="1" s="1"/>
  <c r="AAO167" i="1"/>
  <c r="AAQ167" i="1" s="1"/>
  <c r="AAO166" i="1"/>
  <c r="AAQ166" i="1" s="1"/>
  <c r="AAO165" i="1"/>
  <c r="AAQ165" i="1" s="1"/>
  <c r="AAO164" i="1"/>
  <c r="AAQ164" i="1" s="1"/>
  <c r="AAO163" i="1"/>
  <c r="AAQ163" i="1" s="1"/>
  <c r="AAO162" i="1"/>
  <c r="AAQ162" i="1" s="1"/>
  <c r="AAO161" i="1"/>
  <c r="AAQ161" i="1" s="1"/>
  <c r="AAO160" i="1"/>
  <c r="AAQ160" i="1" s="1"/>
  <c r="AAO159" i="1"/>
  <c r="AAQ159" i="1" s="1"/>
  <c r="AAO158" i="1"/>
  <c r="AAQ158" i="1" s="1"/>
  <c r="AAO157" i="1"/>
  <c r="AAQ157" i="1" s="1"/>
  <c r="AAO156" i="1"/>
  <c r="AAQ156" i="1" s="1"/>
  <c r="AAO155" i="1"/>
  <c r="AAQ155" i="1" s="1"/>
  <c r="AAO154" i="1"/>
  <c r="AAQ154" i="1" s="1"/>
  <c r="AAO153" i="1"/>
  <c r="AAQ153" i="1" s="1"/>
  <c r="AAO152" i="1"/>
  <c r="AAQ152" i="1" s="1"/>
  <c r="AAO151" i="1"/>
  <c r="AAQ151" i="1" s="1"/>
  <c r="AAO150" i="1"/>
  <c r="AAQ150" i="1" s="1"/>
  <c r="AAO149" i="1"/>
  <c r="AAQ149" i="1" s="1"/>
  <c r="AAO148" i="1"/>
  <c r="AAQ148" i="1" s="1"/>
  <c r="AAO147" i="1"/>
  <c r="AAO141" i="1"/>
  <c r="AAQ141" i="1" s="1"/>
  <c r="AAO140" i="1"/>
  <c r="AAQ140" i="1" s="1"/>
  <c r="AAO139" i="1"/>
  <c r="AAQ139" i="1" s="1"/>
  <c r="AAO138" i="1"/>
  <c r="AAQ138" i="1" s="1"/>
  <c r="AAO137" i="1"/>
  <c r="AAQ137" i="1" s="1"/>
  <c r="AAO136" i="1"/>
  <c r="AAQ136" i="1" s="1"/>
  <c r="AAO135" i="1"/>
  <c r="AAQ135" i="1" s="1"/>
  <c r="AAO134" i="1"/>
  <c r="AAQ134" i="1" s="1"/>
  <c r="AAO133" i="1"/>
  <c r="AAQ133" i="1" s="1"/>
  <c r="AAO132" i="1"/>
  <c r="AAQ132" i="1" s="1"/>
  <c r="AAO131" i="1"/>
  <c r="AAQ131" i="1" s="1"/>
  <c r="AAO130" i="1"/>
  <c r="AAQ130" i="1" s="1"/>
  <c r="AAO129" i="1"/>
  <c r="AAQ129" i="1" s="1"/>
  <c r="AAO128" i="1"/>
  <c r="AAQ128" i="1" s="1"/>
  <c r="AAO127" i="1"/>
  <c r="AAQ127" i="1" s="1"/>
  <c r="AAO126" i="1"/>
  <c r="AAQ126" i="1" s="1"/>
  <c r="AAO125" i="1"/>
  <c r="AAQ125" i="1" s="1"/>
  <c r="AAO124" i="1"/>
  <c r="AAQ124" i="1" s="1"/>
  <c r="AAO123" i="1"/>
  <c r="AAQ123" i="1" s="1"/>
  <c r="AAO122" i="1"/>
  <c r="AAQ122" i="1" s="1"/>
  <c r="AAO121" i="1"/>
  <c r="AAQ121" i="1" s="1"/>
  <c r="AAO120" i="1"/>
  <c r="AAQ120" i="1" s="1"/>
  <c r="AAO119" i="1"/>
  <c r="AAQ119" i="1" s="1"/>
  <c r="AAO118" i="1"/>
  <c r="AAQ118" i="1" s="1"/>
  <c r="AAO117" i="1"/>
  <c r="AAQ117" i="1" s="1"/>
  <c r="AAO116" i="1"/>
  <c r="AAQ116" i="1" s="1"/>
  <c r="AAO115" i="1"/>
  <c r="AAQ115" i="1" s="1"/>
  <c r="AAO114" i="1"/>
  <c r="AAQ114" i="1" s="1"/>
  <c r="AAO113" i="1"/>
  <c r="AAQ113" i="1" s="1"/>
  <c r="AAO112" i="1"/>
  <c r="AAO106" i="1"/>
  <c r="AAQ106" i="1" s="1"/>
  <c r="AAO105" i="1"/>
  <c r="AAQ105" i="1" s="1"/>
  <c r="AAO104" i="1"/>
  <c r="AAQ104" i="1" s="1"/>
  <c r="AAO103" i="1"/>
  <c r="AAQ103" i="1" s="1"/>
  <c r="AAO102" i="1"/>
  <c r="AAQ102" i="1" s="1"/>
  <c r="AAO101" i="1"/>
  <c r="AAQ101" i="1" s="1"/>
  <c r="AAO100" i="1"/>
  <c r="AAQ100" i="1" s="1"/>
  <c r="AAO96" i="1"/>
  <c r="AAQ96" i="1" s="1"/>
  <c r="AAO92" i="1"/>
  <c r="AAQ92" i="1" s="1"/>
  <c r="AAO88" i="1"/>
  <c r="AAQ88" i="1" s="1"/>
  <c r="AAO84" i="1"/>
  <c r="AAQ84" i="1" s="1"/>
  <c r="AAO80" i="1"/>
  <c r="AAQ80" i="1" s="1"/>
  <c r="AAO76" i="1"/>
  <c r="AAO66" i="1"/>
  <c r="AAQ66" i="1" s="1"/>
  <c r="AAO62" i="1"/>
  <c r="AAQ62" i="1" s="1"/>
  <c r="AAO58" i="1"/>
  <c r="AAQ58" i="1" s="1"/>
  <c r="AAO54" i="1"/>
  <c r="AAQ54" i="1" s="1"/>
  <c r="AAO50" i="1"/>
  <c r="AAQ50" i="1" s="1"/>
  <c r="AAO46" i="1"/>
  <c r="AAQ46" i="1" s="1"/>
  <c r="AAO42" i="1"/>
  <c r="AAO33" i="1"/>
  <c r="AAQ33" i="1" s="1"/>
  <c r="AAO29" i="1"/>
  <c r="AAQ29" i="1" s="1"/>
  <c r="AAO25" i="1"/>
  <c r="AAQ25" i="1" s="1"/>
  <c r="AAO21" i="1"/>
  <c r="AAQ21" i="1" s="1"/>
  <c r="AAO18" i="1"/>
  <c r="AAQ18" i="1" s="1"/>
  <c r="AAO14" i="1"/>
  <c r="AAQ14" i="1" s="1"/>
  <c r="AAO9" i="1"/>
  <c r="AAQ9" i="1" s="1"/>
  <c r="AAF426" i="1"/>
  <c r="AAH426" i="1" s="1"/>
  <c r="AAF422" i="1"/>
  <c r="AAH422" i="1" s="1"/>
  <c r="AAF418" i="1"/>
  <c r="AAH418" i="1" s="1"/>
  <c r="AAF414" i="1"/>
  <c r="AAH414" i="1" s="1"/>
  <c r="AAF410" i="1"/>
  <c r="AAH410" i="1" s="1"/>
  <c r="AAF406" i="1"/>
  <c r="AAH406" i="1" s="1"/>
  <c r="AAF402" i="1"/>
  <c r="AAH402" i="1" s="1"/>
  <c r="AAF398" i="1"/>
  <c r="AAH398" i="1" s="1"/>
  <c r="AAF389" i="1"/>
  <c r="AAH389" i="1" s="1"/>
  <c r="AAF385" i="1"/>
  <c r="AAH385" i="1" s="1"/>
  <c r="AAF381" i="1"/>
  <c r="AAH381" i="1" s="1"/>
  <c r="AAF377" i="1"/>
  <c r="AAH377" i="1" s="1"/>
  <c r="AAF373" i="1"/>
  <c r="AAH373" i="1" s="1"/>
  <c r="AAF369" i="1"/>
  <c r="AAH369" i="1" s="1"/>
  <c r="AAF365" i="1"/>
  <c r="AAH365" i="1" s="1"/>
  <c r="AAF361" i="1"/>
  <c r="AAF352" i="1"/>
  <c r="AAH352" i="1" s="1"/>
  <c r="AAF348" i="1"/>
  <c r="AAH348" i="1" s="1"/>
  <c r="AAF344" i="1"/>
  <c r="AAH344" i="1" s="1"/>
  <c r="AAF340" i="1"/>
  <c r="AAH340" i="1" s="1"/>
  <c r="AAF336" i="1"/>
  <c r="AAH336" i="1" s="1"/>
  <c r="AAF332" i="1"/>
  <c r="AAH332" i="1" s="1"/>
  <c r="AAF328" i="1"/>
  <c r="AAH328" i="1" s="1"/>
  <c r="AAF319" i="1"/>
  <c r="AAH319" i="1" s="1"/>
  <c r="AAF315" i="1"/>
  <c r="AAH315" i="1" s="1"/>
  <c r="AAF311" i="1"/>
  <c r="AAH311" i="1" s="1"/>
  <c r="AAF307" i="1"/>
  <c r="AAH307" i="1" s="1"/>
  <c r="AAF303" i="1"/>
  <c r="AAH303" i="1" s="1"/>
  <c r="AAF299" i="1"/>
  <c r="AAH299" i="1" s="1"/>
  <c r="AAF295" i="1"/>
  <c r="AAH295" i="1" s="1"/>
  <c r="AAF291" i="1"/>
  <c r="AAH291" i="1" s="1"/>
  <c r="AAF282" i="1"/>
  <c r="AAH282" i="1" s="1"/>
  <c r="AAF278" i="1"/>
  <c r="AAH278" i="1" s="1"/>
  <c r="AAF274" i="1"/>
  <c r="AAH274" i="1" s="1"/>
  <c r="AAF270" i="1"/>
  <c r="AAH270" i="1" s="1"/>
  <c r="AAF266" i="1"/>
  <c r="AAH266" i="1" s="1"/>
  <c r="AAF262" i="1"/>
  <c r="AAH262" i="1" s="1"/>
  <c r="AAF258" i="1"/>
  <c r="AAH258" i="1" s="1"/>
  <c r="AAF254" i="1"/>
  <c r="AAH254" i="1" s="1"/>
  <c r="AAF245" i="1"/>
  <c r="AAH245" i="1" s="1"/>
  <c r="AAF241" i="1"/>
  <c r="AAH241" i="1" s="1"/>
  <c r="AAF237" i="1"/>
  <c r="AAH237" i="1" s="1"/>
  <c r="AAF233" i="1"/>
  <c r="AAH233" i="1" s="1"/>
  <c r="AAF229" i="1"/>
  <c r="AAH229" i="1" s="1"/>
  <c r="AAF225" i="1"/>
  <c r="AAH225" i="1" s="1"/>
  <c r="AAF221" i="1"/>
  <c r="AAH221" i="1" s="1"/>
  <c r="AAF212" i="1"/>
  <c r="AAH212" i="1" s="1"/>
  <c r="AAF208" i="1"/>
  <c r="AAH208" i="1" s="1"/>
  <c r="AAF204" i="1"/>
  <c r="AAH204" i="1" s="1"/>
  <c r="AAF200" i="1"/>
  <c r="AAH200" i="1" s="1"/>
  <c r="AAF196" i="1"/>
  <c r="AAH196" i="1" s="1"/>
  <c r="AAF192" i="1"/>
  <c r="AAH192" i="1" s="1"/>
  <c r="AAF188" i="1"/>
  <c r="AAH188" i="1" s="1"/>
  <c r="AAF184" i="1"/>
  <c r="AAH184" i="1" s="1"/>
  <c r="AAF175" i="1"/>
  <c r="AAH175" i="1" s="1"/>
  <c r="AAF171" i="1"/>
  <c r="AAH171" i="1" s="1"/>
  <c r="AAF168" i="1"/>
  <c r="AAH168" i="1" s="1"/>
  <c r="AAF164" i="1"/>
  <c r="AAH164" i="1" s="1"/>
  <c r="AAF160" i="1"/>
  <c r="AAH160" i="1" s="1"/>
  <c r="AAF156" i="1"/>
  <c r="AAH156" i="1" s="1"/>
  <c r="AAF151" i="1"/>
  <c r="AAH151" i="1" s="1"/>
  <c r="AAF147" i="1"/>
  <c r="AAF137" i="1"/>
  <c r="AAH137" i="1" s="1"/>
  <c r="AAF133" i="1"/>
  <c r="AAH133" i="1" s="1"/>
  <c r="AAF129" i="1"/>
  <c r="AAH129" i="1" s="1"/>
  <c r="AAF125" i="1"/>
  <c r="AAH125" i="1" s="1"/>
  <c r="AAF121" i="1"/>
  <c r="AAH121" i="1" s="1"/>
  <c r="AAF117" i="1"/>
  <c r="AAH117" i="1" s="1"/>
  <c r="AAF113" i="1"/>
  <c r="AAH113" i="1" s="1"/>
  <c r="AAF104" i="1"/>
  <c r="AAH104" i="1" s="1"/>
  <c r="AAF100" i="1"/>
  <c r="AAH100" i="1" s="1"/>
  <c r="AAF96" i="1"/>
  <c r="AAH96" i="1" s="1"/>
  <c r="AAF92" i="1"/>
  <c r="AAH92" i="1" s="1"/>
  <c r="AAF88" i="1"/>
  <c r="AAH88" i="1" s="1"/>
  <c r="AAF84" i="1"/>
  <c r="AAH84" i="1" s="1"/>
  <c r="AAF80" i="1"/>
  <c r="AAH80" i="1" s="1"/>
  <c r="AAF76" i="1"/>
  <c r="AAF67" i="1"/>
  <c r="AAH67" i="1" s="1"/>
  <c r="AAF63" i="1"/>
  <c r="AAH63" i="1" s="1"/>
  <c r="AAF59" i="1"/>
  <c r="AAH59" i="1" s="1"/>
  <c r="AAF55" i="1"/>
  <c r="AAH55" i="1" s="1"/>
  <c r="AAF51" i="1"/>
  <c r="AAH51" i="1" s="1"/>
  <c r="AAF47" i="1"/>
  <c r="AAH47" i="1" s="1"/>
  <c r="AAF43" i="1"/>
  <c r="AAH43" i="1" s="1"/>
  <c r="AAF34" i="1"/>
  <c r="AAH34" i="1" s="1"/>
  <c r="AAF30" i="1"/>
  <c r="AAH30" i="1" s="1"/>
  <c r="AAF26" i="1"/>
  <c r="AAH26" i="1" s="1"/>
  <c r="AAF22" i="1"/>
  <c r="AAH22" i="1" s="1"/>
  <c r="AAF18" i="1"/>
  <c r="AAH18" i="1" s="1"/>
  <c r="AAF14" i="1"/>
  <c r="AAH14" i="1" s="1"/>
  <c r="AAF10" i="1"/>
  <c r="AAH10" i="1" s="1"/>
  <c r="AAF6" i="1"/>
  <c r="ABG424" i="1"/>
  <c r="ABI424" i="1" s="1"/>
  <c r="ABG421" i="1"/>
  <c r="ABI421" i="1" s="1"/>
  <c r="ABG418" i="1"/>
  <c r="ABI418" i="1" s="1"/>
  <c r="ABG415" i="1"/>
  <c r="ABI415" i="1" s="1"/>
  <c r="ABG413" i="1"/>
  <c r="ABI413" i="1" s="1"/>
  <c r="ABG410" i="1"/>
  <c r="ABI410" i="1" s="1"/>
  <c r="ABG408" i="1"/>
  <c r="ABI408" i="1" s="1"/>
  <c r="ABG404" i="1"/>
  <c r="ABI404" i="1" s="1"/>
  <c r="ABG402" i="1"/>
  <c r="ABI402" i="1" s="1"/>
  <c r="ABG398" i="1"/>
  <c r="ABI398" i="1" s="1"/>
  <c r="ABG390" i="1"/>
  <c r="ABI390" i="1" s="1"/>
  <c r="ABG387" i="1"/>
  <c r="ABI387" i="1" s="1"/>
  <c r="ABG384" i="1"/>
  <c r="ABI384" i="1" s="1"/>
  <c r="ABG381" i="1"/>
  <c r="ABI381" i="1" s="1"/>
  <c r="ABG378" i="1"/>
  <c r="ABI378" i="1" s="1"/>
  <c r="ABG375" i="1"/>
  <c r="ABI375" i="1" s="1"/>
  <c r="ABG373" i="1"/>
  <c r="ABI373" i="1" s="1"/>
  <c r="ABG370" i="1"/>
  <c r="ABI370" i="1" s="1"/>
  <c r="ABG367" i="1"/>
  <c r="ABI367" i="1" s="1"/>
  <c r="ABG363" i="1"/>
  <c r="ABI363" i="1" s="1"/>
  <c r="ABG361" i="1"/>
  <c r="ABG353" i="1"/>
  <c r="ABI353" i="1" s="1"/>
  <c r="ABG350" i="1"/>
  <c r="ABI350" i="1" s="1"/>
  <c r="ABG347" i="1"/>
  <c r="ABI347" i="1" s="1"/>
  <c r="ABG344" i="1"/>
  <c r="ABI344" i="1" s="1"/>
  <c r="ABG341" i="1"/>
  <c r="ABI341" i="1" s="1"/>
  <c r="ABG338" i="1"/>
  <c r="ABI338" i="1" s="1"/>
  <c r="ABG335" i="1"/>
  <c r="ABI335" i="1" s="1"/>
  <c r="ABG332" i="1"/>
  <c r="ABI332" i="1" s="1"/>
  <c r="ABG329" i="1"/>
  <c r="ABI329" i="1" s="1"/>
  <c r="ABG326" i="1"/>
  <c r="ABI326" i="1" s="1"/>
  <c r="ABG318" i="1"/>
  <c r="ABI318" i="1" s="1"/>
  <c r="ABG315" i="1"/>
  <c r="ABI315" i="1" s="1"/>
  <c r="ABG312" i="1"/>
  <c r="ABI312" i="1" s="1"/>
  <c r="ABG309" i="1"/>
  <c r="ABI309" i="1" s="1"/>
  <c r="ABG306" i="1"/>
  <c r="ABI306" i="1" s="1"/>
  <c r="ABG303" i="1"/>
  <c r="ABI303" i="1" s="1"/>
  <c r="ABG300" i="1"/>
  <c r="ABI300" i="1" s="1"/>
  <c r="ABG297" i="1"/>
  <c r="ABI297" i="1" s="1"/>
  <c r="ABG294" i="1"/>
  <c r="ABI294" i="1" s="1"/>
  <c r="ABG291" i="1"/>
  <c r="ABI291" i="1" s="1"/>
  <c r="ABG283" i="1"/>
  <c r="ABI283" i="1" s="1"/>
  <c r="ABG279" i="1"/>
  <c r="ABI279" i="1" s="1"/>
  <c r="ABG277" i="1"/>
  <c r="ABI277" i="1" s="1"/>
  <c r="ABG274" i="1"/>
  <c r="ABI274" i="1" s="1"/>
  <c r="ABG271" i="1"/>
  <c r="ABI271" i="1" s="1"/>
  <c r="ABG268" i="1"/>
  <c r="ABI268" i="1" s="1"/>
  <c r="ABG265" i="1"/>
  <c r="ABI265" i="1" s="1"/>
  <c r="ABG261" i="1"/>
  <c r="ABI261" i="1" s="1"/>
  <c r="ABG258" i="1"/>
  <c r="ABI258" i="1" s="1"/>
  <c r="ABG255" i="1"/>
  <c r="ABI255" i="1" s="1"/>
  <c r="ABG247" i="1"/>
  <c r="ABI247" i="1" s="1"/>
  <c r="ABG244" i="1"/>
  <c r="ABI244" i="1" s="1"/>
  <c r="ABG241" i="1"/>
  <c r="ABI241" i="1" s="1"/>
  <c r="ABG238" i="1"/>
  <c r="ABI238" i="1" s="1"/>
  <c r="ABG235" i="1"/>
  <c r="ABI235" i="1" s="1"/>
  <c r="ABG232" i="1"/>
  <c r="ABI232" i="1" s="1"/>
  <c r="ABG229" i="1"/>
  <c r="ABI229" i="1" s="1"/>
  <c r="ABG226" i="1"/>
  <c r="ABI226" i="1" s="1"/>
  <c r="ABG223" i="1"/>
  <c r="ABI223" i="1" s="1"/>
  <c r="ABG220" i="1"/>
  <c r="ABI220" i="1" s="1"/>
  <c r="ABG212" i="1"/>
  <c r="ABI212" i="1" s="1"/>
  <c r="ABG209" i="1"/>
  <c r="ABI209" i="1" s="1"/>
  <c r="ABG206" i="1"/>
  <c r="ABI206" i="1" s="1"/>
  <c r="ABG203" i="1"/>
  <c r="ABI203" i="1" s="1"/>
  <c r="ABG200" i="1"/>
  <c r="ABI200" i="1" s="1"/>
  <c r="ABG197" i="1"/>
  <c r="ABI197" i="1" s="1"/>
  <c r="ABG194" i="1"/>
  <c r="ABI194" i="1" s="1"/>
  <c r="ABG191" i="1"/>
  <c r="ABI191" i="1" s="1"/>
  <c r="ABG188" i="1"/>
  <c r="ABI188" i="1" s="1"/>
  <c r="ABG186" i="1"/>
  <c r="ABI186" i="1" s="1"/>
  <c r="ABG177" i="1"/>
  <c r="ABI177" i="1" s="1"/>
  <c r="ABG174" i="1"/>
  <c r="ABI174" i="1" s="1"/>
  <c r="ABG171" i="1"/>
  <c r="ABI171" i="1" s="1"/>
  <c r="ABG168" i="1"/>
  <c r="ABI168" i="1" s="1"/>
  <c r="ABG165" i="1"/>
  <c r="ABI165" i="1" s="1"/>
  <c r="ABG162" i="1"/>
  <c r="ABI162" i="1" s="1"/>
  <c r="ABG159" i="1"/>
  <c r="ABI159" i="1" s="1"/>
  <c r="ABG157" i="1"/>
  <c r="ABI157" i="1" s="1"/>
  <c r="ABG154" i="1"/>
  <c r="ABI154" i="1" s="1"/>
  <c r="ABG151" i="1"/>
  <c r="ABI151" i="1" s="1"/>
  <c r="ABG148" i="1"/>
  <c r="ABI148" i="1" s="1"/>
  <c r="ABG140" i="1"/>
  <c r="ABI140" i="1" s="1"/>
  <c r="ABG137" i="1"/>
  <c r="ABI137" i="1" s="1"/>
  <c r="ABG134" i="1"/>
  <c r="ABI134" i="1" s="1"/>
  <c r="ABG131" i="1"/>
  <c r="ABI131" i="1" s="1"/>
  <c r="ABG128" i="1"/>
  <c r="ABI128" i="1" s="1"/>
  <c r="ABG125" i="1"/>
  <c r="ABI125" i="1" s="1"/>
  <c r="ABG122" i="1"/>
  <c r="ABI122" i="1" s="1"/>
  <c r="ABG119" i="1"/>
  <c r="ABI119" i="1" s="1"/>
  <c r="ABG116" i="1"/>
  <c r="ABI116" i="1" s="1"/>
  <c r="ABG113" i="1"/>
  <c r="ABI113" i="1" s="1"/>
  <c r="ABG105" i="1"/>
  <c r="ABI105" i="1" s="1"/>
  <c r="ABG102" i="1"/>
  <c r="ABI102" i="1" s="1"/>
  <c r="ABG99" i="1"/>
  <c r="ABI99" i="1" s="1"/>
  <c r="ABG96" i="1"/>
  <c r="ABI96" i="1" s="1"/>
  <c r="ABG93" i="1"/>
  <c r="ABI93" i="1" s="1"/>
  <c r="ABG90" i="1"/>
  <c r="ABI90" i="1" s="1"/>
  <c r="ABG87" i="1"/>
  <c r="ABI87" i="1" s="1"/>
  <c r="ABG84" i="1"/>
  <c r="ABI84" i="1" s="1"/>
  <c r="ABG81" i="1"/>
  <c r="ABI81" i="1" s="1"/>
  <c r="ABG78" i="1"/>
  <c r="ABI78" i="1" s="1"/>
  <c r="ABG70" i="1"/>
  <c r="ABI70" i="1" s="1"/>
  <c r="ABG68" i="1"/>
  <c r="ABI68" i="1" s="1"/>
  <c r="ABG65" i="1"/>
  <c r="ABI65" i="1" s="1"/>
  <c r="ABG62" i="1"/>
  <c r="ABI62" i="1" s="1"/>
  <c r="ABG59" i="1"/>
  <c r="ABI59" i="1" s="1"/>
  <c r="ABG56" i="1"/>
  <c r="ABI56" i="1" s="1"/>
  <c r="ABG53" i="1"/>
  <c r="ABI53" i="1" s="1"/>
  <c r="ABG50" i="1"/>
  <c r="ABI50" i="1" s="1"/>
  <c r="ABG47" i="1"/>
  <c r="ABI47" i="1" s="1"/>
  <c r="ABG44" i="1"/>
  <c r="ABI44" i="1" s="1"/>
  <c r="ABG36" i="1"/>
  <c r="ABI36" i="1" s="1"/>
  <c r="ABG33" i="1"/>
  <c r="ABI33" i="1" s="1"/>
  <c r="ABG30" i="1"/>
  <c r="ABI30" i="1" s="1"/>
  <c r="ABG27" i="1"/>
  <c r="ABI27" i="1" s="1"/>
  <c r="ABG24" i="1"/>
  <c r="ABI24" i="1" s="1"/>
  <c r="ABG21" i="1"/>
  <c r="ABI21" i="1" s="1"/>
  <c r="ABG18" i="1"/>
  <c r="ABI18" i="1" s="1"/>
  <c r="ABG15" i="1"/>
  <c r="ABI15" i="1" s="1"/>
  <c r="ABG12" i="1"/>
  <c r="ABI12" i="1" s="1"/>
  <c r="ABG9" i="1"/>
  <c r="ABI9" i="1" s="1"/>
  <c r="ABG6" i="1"/>
  <c r="AAX424" i="1"/>
  <c r="AAZ424" i="1" s="1"/>
  <c r="AAX421" i="1"/>
  <c r="AAZ421" i="1" s="1"/>
  <c r="AAX418" i="1"/>
  <c r="AAZ418" i="1" s="1"/>
  <c r="AAX415" i="1"/>
  <c r="AAZ415" i="1" s="1"/>
  <c r="AAX412" i="1"/>
  <c r="AAZ412" i="1" s="1"/>
  <c r="AAX409" i="1"/>
  <c r="AAZ409" i="1" s="1"/>
  <c r="AAX406" i="1"/>
  <c r="AAZ406" i="1" s="1"/>
  <c r="AAX403" i="1"/>
  <c r="AAZ403" i="1" s="1"/>
  <c r="AAX400" i="1"/>
  <c r="AAZ400" i="1" s="1"/>
  <c r="AAX397" i="1"/>
  <c r="AAZ397" i="1" s="1"/>
  <c r="AAX389" i="1"/>
  <c r="AAZ389" i="1" s="1"/>
  <c r="AAX386" i="1"/>
  <c r="AAZ386" i="1" s="1"/>
  <c r="AAX383" i="1"/>
  <c r="AAZ383" i="1" s="1"/>
  <c r="AAX380" i="1"/>
  <c r="AAZ380" i="1" s="1"/>
  <c r="AAX377" i="1"/>
  <c r="AAZ377" i="1" s="1"/>
  <c r="AAX374" i="1"/>
  <c r="AAZ374" i="1" s="1"/>
  <c r="AAX371" i="1"/>
  <c r="AAZ371" i="1" s="1"/>
  <c r="AAX368" i="1"/>
  <c r="AAZ368" i="1" s="1"/>
  <c r="AAX365" i="1"/>
  <c r="AAZ365" i="1" s="1"/>
  <c r="AAX363" i="1"/>
  <c r="AAZ363" i="1" s="1"/>
  <c r="AAX355" i="1"/>
  <c r="AAZ355" i="1" s="1"/>
  <c r="AAX352" i="1"/>
  <c r="AAZ352" i="1" s="1"/>
  <c r="AAX348" i="1"/>
  <c r="AAZ348" i="1" s="1"/>
  <c r="AAX345" i="1"/>
  <c r="AAZ345" i="1" s="1"/>
  <c r="AAX342" i="1"/>
  <c r="AAZ342" i="1" s="1"/>
  <c r="AAX339" i="1"/>
  <c r="AAZ339" i="1" s="1"/>
  <c r="AAX336" i="1"/>
  <c r="AAZ336" i="1" s="1"/>
  <c r="AAX333" i="1"/>
  <c r="AAZ333" i="1" s="1"/>
  <c r="AAX330" i="1"/>
  <c r="AAZ330" i="1" s="1"/>
  <c r="AAX327" i="1"/>
  <c r="AAZ327" i="1" s="1"/>
  <c r="AAX319" i="1"/>
  <c r="AAZ319" i="1" s="1"/>
  <c r="AAX316" i="1"/>
  <c r="AAZ316" i="1" s="1"/>
  <c r="AAX313" i="1"/>
  <c r="AAZ313" i="1" s="1"/>
  <c r="AAX310" i="1"/>
  <c r="AAZ310" i="1" s="1"/>
  <c r="AAX307" i="1"/>
  <c r="AAZ307" i="1" s="1"/>
  <c r="AAX304" i="1"/>
  <c r="AAZ304" i="1" s="1"/>
  <c r="AAX301" i="1"/>
  <c r="AAZ301" i="1" s="1"/>
  <c r="AAX298" i="1"/>
  <c r="AAZ298" i="1" s="1"/>
  <c r="AAX295" i="1"/>
  <c r="AAZ295" i="1" s="1"/>
  <c r="AAX292" i="1"/>
  <c r="AAZ292" i="1" s="1"/>
  <c r="AAX284" i="1"/>
  <c r="AAZ284" i="1" s="1"/>
  <c r="AAX281" i="1"/>
  <c r="AAZ281" i="1" s="1"/>
  <c r="AAX278" i="1"/>
  <c r="AAZ278" i="1" s="1"/>
  <c r="AAX275" i="1"/>
  <c r="AAZ275" i="1" s="1"/>
  <c r="AAX272" i="1"/>
  <c r="AAZ272" i="1" s="1"/>
  <c r="AAX269" i="1"/>
  <c r="AAZ269" i="1" s="1"/>
  <c r="AAX266" i="1"/>
  <c r="AAZ266" i="1" s="1"/>
  <c r="AAX263" i="1"/>
  <c r="AAZ263" i="1" s="1"/>
  <c r="AAX260" i="1"/>
  <c r="AAZ260" i="1" s="1"/>
  <c r="AAX257" i="1"/>
  <c r="AAZ257" i="1" s="1"/>
  <c r="AAX254" i="1"/>
  <c r="AAX246" i="1"/>
  <c r="AAZ246" i="1" s="1"/>
  <c r="AAX243" i="1"/>
  <c r="AAZ243" i="1" s="1"/>
  <c r="AAX240" i="1"/>
  <c r="AAZ240" i="1" s="1"/>
  <c r="AAX237" i="1"/>
  <c r="AAZ237" i="1" s="1"/>
  <c r="AAX234" i="1"/>
  <c r="AAZ234" i="1" s="1"/>
  <c r="AAX231" i="1"/>
  <c r="AAZ231" i="1" s="1"/>
  <c r="AAX228" i="1"/>
  <c r="AAZ228" i="1" s="1"/>
  <c r="AAX225" i="1"/>
  <c r="AAZ225" i="1" s="1"/>
  <c r="AAX222" i="1"/>
  <c r="AAZ222" i="1" s="1"/>
  <c r="AAX219" i="1"/>
  <c r="AAZ219" i="1" s="1"/>
  <c r="AAX211" i="1"/>
  <c r="AAZ211" i="1" s="1"/>
  <c r="AAX208" i="1"/>
  <c r="AAZ208" i="1" s="1"/>
  <c r="AAX205" i="1"/>
  <c r="AAZ205" i="1" s="1"/>
  <c r="AAX202" i="1"/>
  <c r="AAZ202" i="1" s="1"/>
  <c r="AAX199" i="1"/>
  <c r="AAZ199" i="1" s="1"/>
  <c r="AAX196" i="1"/>
  <c r="AAZ196" i="1" s="1"/>
  <c r="AAX193" i="1"/>
  <c r="AAZ193" i="1" s="1"/>
  <c r="AAX190" i="1"/>
  <c r="AAZ190" i="1" s="1"/>
  <c r="AAX187" i="1"/>
  <c r="AAZ187" i="1" s="1"/>
  <c r="AAX184" i="1"/>
  <c r="AAZ184" i="1" s="1"/>
  <c r="AAX176" i="1"/>
  <c r="AAZ176" i="1" s="1"/>
  <c r="AAX173" i="1"/>
  <c r="AAZ173" i="1" s="1"/>
  <c r="AAX170" i="1"/>
  <c r="AAZ170" i="1" s="1"/>
  <c r="AAX167" i="1"/>
  <c r="AAZ167" i="1" s="1"/>
  <c r="AAX164" i="1"/>
  <c r="AAZ164" i="1" s="1"/>
  <c r="AAX161" i="1"/>
  <c r="AAZ161" i="1" s="1"/>
  <c r="AAX158" i="1"/>
  <c r="AAZ158" i="1" s="1"/>
  <c r="AAX155" i="1"/>
  <c r="AAZ155" i="1" s="1"/>
  <c r="AAX152" i="1"/>
  <c r="AAZ152" i="1" s="1"/>
  <c r="AAX149" i="1"/>
  <c r="AAZ149" i="1" s="1"/>
  <c r="AAX141" i="1"/>
  <c r="AAZ141" i="1" s="1"/>
  <c r="AAX138" i="1"/>
  <c r="AAZ138" i="1" s="1"/>
  <c r="AAX135" i="1"/>
  <c r="AAZ135" i="1" s="1"/>
  <c r="AAX132" i="1"/>
  <c r="AAZ132" i="1" s="1"/>
  <c r="AAX129" i="1"/>
  <c r="AAZ129" i="1" s="1"/>
  <c r="AAX126" i="1"/>
  <c r="AAZ126" i="1" s="1"/>
  <c r="AAX123" i="1"/>
  <c r="AAZ123" i="1" s="1"/>
  <c r="AAX121" i="1"/>
  <c r="AAZ121" i="1" s="1"/>
  <c r="AAX119" i="1"/>
  <c r="AAZ119" i="1" s="1"/>
  <c r="AAX117" i="1"/>
  <c r="AAZ117" i="1" s="1"/>
  <c r="AAX115" i="1"/>
  <c r="AAZ115" i="1" s="1"/>
  <c r="AAX113" i="1"/>
  <c r="AAZ113" i="1" s="1"/>
  <c r="AAX106" i="1"/>
  <c r="AAZ106" i="1" s="1"/>
  <c r="AAX104" i="1"/>
  <c r="AAZ104" i="1" s="1"/>
  <c r="AAX102" i="1"/>
  <c r="AAZ102" i="1" s="1"/>
  <c r="AAX100" i="1"/>
  <c r="AAZ100" i="1" s="1"/>
  <c r="AAX98" i="1"/>
  <c r="AAZ98" i="1" s="1"/>
  <c r="AAX96" i="1"/>
  <c r="AAZ96" i="1" s="1"/>
  <c r="AAX94" i="1"/>
  <c r="AAZ94" i="1" s="1"/>
  <c r="AAX92" i="1"/>
  <c r="AAZ92" i="1" s="1"/>
  <c r="AAX90" i="1"/>
  <c r="AAZ90" i="1" s="1"/>
  <c r="AAX88" i="1"/>
  <c r="AAZ88" i="1" s="1"/>
  <c r="AAX86" i="1"/>
  <c r="AAZ86" i="1" s="1"/>
  <c r="AAX84" i="1"/>
  <c r="AAZ84" i="1" s="1"/>
  <c r="AAX82" i="1"/>
  <c r="AAZ82" i="1" s="1"/>
  <c r="AAX80" i="1"/>
  <c r="AAZ80" i="1" s="1"/>
  <c r="AAX78" i="1"/>
  <c r="AAZ78" i="1" s="1"/>
  <c r="AAX76" i="1"/>
  <c r="AAX69" i="1"/>
  <c r="AAZ69" i="1" s="1"/>
  <c r="AAX67" i="1"/>
  <c r="AAZ67" i="1" s="1"/>
  <c r="AAX65" i="1"/>
  <c r="AAZ65" i="1" s="1"/>
  <c r="AAX63" i="1"/>
  <c r="AAZ63" i="1" s="1"/>
  <c r="AAX61" i="1"/>
  <c r="AAZ61" i="1" s="1"/>
  <c r="AAX59" i="1"/>
  <c r="AAZ59" i="1" s="1"/>
  <c r="AAX57" i="1"/>
  <c r="AAZ57" i="1" s="1"/>
  <c r="AAX51" i="1"/>
  <c r="AAZ51" i="1" s="1"/>
  <c r="AAX48" i="1"/>
  <c r="AAZ48" i="1" s="1"/>
  <c r="AAX45" i="1"/>
  <c r="AAZ45" i="1" s="1"/>
  <c r="AAX42" i="1"/>
  <c r="AAX34" i="1"/>
  <c r="AAZ34" i="1" s="1"/>
  <c r="AAX31" i="1"/>
  <c r="AAZ31" i="1" s="1"/>
  <c r="AAX28" i="1"/>
  <c r="AAZ28" i="1" s="1"/>
  <c r="AAX25" i="1"/>
  <c r="AAZ25" i="1" s="1"/>
  <c r="AAX22" i="1"/>
  <c r="AAZ22" i="1" s="1"/>
  <c r="AAX19" i="1"/>
  <c r="AAZ19" i="1" s="1"/>
  <c r="AAX16" i="1"/>
  <c r="AAZ16" i="1" s="1"/>
  <c r="AAX13" i="1"/>
  <c r="AAZ13" i="1" s="1"/>
  <c r="AAX10" i="1"/>
  <c r="AAZ10" i="1" s="1"/>
  <c r="AAX7" i="1"/>
  <c r="AAZ7" i="1" s="1"/>
  <c r="AAO426" i="1"/>
  <c r="AAQ426" i="1" s="1"/>
  <c r="AAO422" i="1"/>
  <c r="AAQ422" i="1" s="1"/>
  <c r="AAO419" i="1"/>
  <c r="AAQ419" i="1" s="1"/>
  <c r="AAO416" i="1"/>
  <c r="AAQ416" i="1" s="1"/>
  <c r="AAO413" i="1"/>
  <c r="AAQ413" i="1" s="1"/>
  <c r="AAO410" i="1"/>
  <c r="AAQ410" i="1" s="1"/>
  <c r="AAO407" i="1"/>
  <c r="AAQ407" i="1" s="1"/>
  <c r="AAO404" i="1"/>
  <c r="AAQ404" i="1" s="1"/>
  <c r="AAO97" i="1"/>
  <c r="AAQ97" i="1" s="1"/>
  <c r="AAO93" i="1"/>
  <c r="AAQ93" i="1" s="1"/>
  <c r="AAO89" i="1"/>
  <c r="AAQ89" i="1" s="1"/>
  <c r="AAO85" i="1"/>
  <c r="AAQ85" i="1" s="1"/>
  <c r="AAO81" i="1"/>
  <c r="AAQ81" i="1" s="1"/>
  <c r="AAO77" i="1"/>
  <c r="AAQ77" i="1" s="1"/>
  <c r="AAO68" i="1"/>
  <c r="AAQ68" i="1" s="1"/>
  <c r="AAO64" i="1"/>
  <c r="AAQ64" i="1" s="1"/>
  <c r="AAO60" i="1"/>
  <c r="AAQ60" i="1" s="1"/>
  <c r="AAO56" i="1"/>
  <c r="AAQ56" i="1" s="1"/>
  <c r="AAO52" i="1"/>
  <c r="AAQ52" i="1" s="1"/>
  <c r="AAO48" i="1"/>
  <c r="AAQ48" i="1" s="1"/>
  <c r="AAO44" i="1"/>
  <c r="AAQ44" i="1" s="1"/>
  <c r="AAO35" i="1"/>
  <c r="AAQ35" i="1" s="1"/>
  <c r="AAO31" i="1"/>
  <c r="AAQ31" i="1" s="1"/>
  <c r="AAO27" i="1"/>
  <c r="AAQ27" i="1" s="1"/>
  <c r="AAO22" i="1"/>
  <c r="AAQ22" i="1" s="1"/>
  <c r="AAO17" i="1"/>
  <c r="AAQ17" i="1" s="1"/>
  <c r="AAO13" i="1"/>
  <c r="AAQ13" i="1" s="1"/>
  <c r="AAO10" i="1"/>
  <c r="AAQ10" i="1" s="1"/>
  <c r="AAO6" i="1"/>
  <c r="AAF423" i="1"/>
  <c r="AAH423" i="1" s="1"/>
  <c r="AAF419" i="1"/>
  <c r="AAH419" i="1" s="1"/>
  <c r="AAF415" i="1"/>
  <c r="AAH415" i="1" s="1"/>
  <c r="AAF411" i="1"/>
  <c r="AAH411" i="1" s="1"/>
  <c r="AAF407" i="1"/>
  <c r="AAH407" i="1" s="1"/>
  <c r="AAF403" i="1"/>
  <c r="AAH403" i="1" s="1"/>
  <c r="AAF399" i="1"/>
  <c r="AAH399" i="1" s="1"/>
  <c r="AAF390" i="1"/>
  <c r="AAH390" i="1" s="1"/>
  <c r="AAF386" i="1"/>
  <c r="AAH386" i="1" s="1"/>
  <c r="AAF382" i="1"/>
  <c r="AAH382" i="1" s="1"/>
  <c r="AAF378" i="1"/>
  <c r="AAH378" i="1" s="1"/>
  <c r="AAF374" i="1"/>
  <c r="AAH374" i="1" s="1"/>
  <c r="AAF370" i="1"/>
  <c r="AAH370" i="1" s="1"/>
  <c r="AAF366" i="1"/>
  <c r="AAH366" i="1" s="1"/>
  <c r="AAF362" i="1"/>
  <c r="AAH362" i="1" s="1"/>
  <c r="AAF353" i="1"/>
  <c r="AAH353" i="1" s="1"/>
  <c r="AAF349" i="1"/>
  <c r="AAH349" i="1" s="1"/>
  <c r="AAF345" i="1"/>
  <c r="AAH345" i="1" s="1"/>
  <c r="AAF341" i="1"/>
  <c r="AAH341" i="1" s="1"/>
  <c r="AAF337" i="1"/>
  <c r="AAH337" i="1" s="1"/>
  <c r="AAF333" i="1"/>
  <c r="AAH333" i="1" s="1"/>
  <c r="AAF329" i="1"/>
  <c r="AAH329" i="1" s="1"/>
  <c r="AAF325" i="1"/>
  <c r="AAF316" i="1"/>
  <c r="AAH316" i="1" s="1"/>
  <c r="AAF312" i="1"/>
  <c r="AAH312" i="1" s="1"/>
  <c r="AAF308" i="1"/>
  <c r="AAH308" i="1" s="1"/>
  <c r="AAF304" i="1"/>
  <c r="AAH304" i="1" s="1"/>
  <c r="AAF300" i="1"/>
  <c r="AAH300" i="1" s="1"/>
  <c r="AAF296" i="1"/>
  <c r="AAH296" i="1" s="1"/>
  <c r="AAF292" i="1"/>
  <c r="AAH292" i="1" s="1"/>
  <c r="AAF283" i="1"/>
  <c r="AAH283" i="1" s="1"/>
  <c r="AAF279" i="1"/>
  <c r="AAH279" i="1" s="1"/>
  <c r="AAF275" i="1"/>
  <c r="AAH275" i="1" s="1"/>
  <c r="AAF272" i="1"/>
  <c r="AAH272" i="1" s="1"/>
  <c r="AAF268" i="1"/>
  <c r="AAH268" i="1" s="1"/>
  <c r="AAF263" i="1"/>
  <c r="AAH263" i="1" s="1"/>
  <c r="AAF259" i="1"/>
  <c r="AAH259" i="1" s="1"/>
  <c r="AAF255" i="1"/>
  <c r="AAF247" i="1"/>
  <c r="AAH247" i="1" s="1"/>
  <c r="AAF242" i="1"/>
  <c r="AAH242" i="1" s="1"/>
  <c r="AAF238" i="1"/>
  <c r="AAH238" i="1" s="1"/>
  <c r="AAF234" i="1"/>
  <c r="AAH234" i="1" s="1"/>
  <c r="AAF230" i="1"/>
  <c r="AAH230" i="1" s="1"/>
  <c r="AAF226" i="1"/>
  <c r="AAH226" i="1" s="1"/>
  <c r="AAF222" i="1"/>
  <c r="AAH222" i="1" s="1"/>
  <c r="AAF218" i="1"/>
  <c r="AAH218" i="1" s="1"/>
  <c r="AAF209" i="1"/>
  <c r="AAH209" i="1" s="1"/>
  <c r="AAF205" i="1"/>
  <c r="AAH205" i="1" s="1"/>
  <c r="AAF201" i="1"/>
  <c r="AAH201" i="1" s="1"/>
  <c r="AAF197" i="1"/>
  <c r="AAH197" i="1" s="1"/>
  <c r="AAF193" i="1"/>
  <c r="AAH193" i="1" s="1"/>
  <c r="AAF189" i="1"/>
  <c r="AAH189" i="1" s="1"/>
  <c r="AAF185" i="1"/>
  <c r="AAH185" i="1" s="1"/>
  <c r="AAF176" i="1"/>
  <c r="AAH176" i="1" s="1"/>
  <c r="AAF172" i="1"/>
  <c r="AAH172" i="1" s="1"/>
  <c r="AAF167" i="1"/>
  <c r="AAH167" i="1" s="1"/>
  <c r="AAF163" i="1"/>
  <c r="AAH163" i="1" s="1"/>
  <c r="AAF159" i="1"/>
  <c r="AAH159" i="1" s="1"/>
  <c r="AAF155" i="1"/>
  <c r="AAH155" i="1" s="1"/>
  <c r="AAF152" i="1"/>
  <c r="AAH152" i="1" s="1"/>
  <c r="AAF148" i="1"/>
  <c r="AAH148" i="1" s="1"/>
  <c r="AAF139" i="1"/>
  <c r="AAH139" i="1" s="1"/>
  <c r="AAF135" i="1"/>
  <c r="AAH135" i="1" s="1"/>
  <c r="AAF130" i="1"/>
  <c r="AAH130" i="1" s="1"/>
  <c r="AAF126" i="1"/>
  <c r="AAH126" i="1" s="1"/>
  <c r="AAF122" i="1"/>
  <c r="AAH122" i="1" s="1"/>
  <c r="AAF118" i="1"/>
  <c r="AAH118" i="1" s="1"/>
  <c r="AAF114" i="1"/>
  <c r="AAH114" i="1" s="1"/>
  <c r="AAF105" i="1"/>
  <c r="AAH105" i="1" s="1"/>
  <c r="AAF101" i="1"/>
  <c r="AAH101" i="1" s="1"/>
  <c r="AAF97" i="1"/>
  <c r="AAH97" i="1" s="1"/>
  <c r="AAF93" i="1"/>
  <c r="AAH93" i="1" s="1"/>
  <c r="AAF89" i="1"/>
  <c r="AAH89" i="1" s="1"/>
  <c r="AAF85" i="1"/>
  <c r="AAH85" i="1" s="1"/>
  <c r="AAF81" i="1"/>
  <c r="AAH81" i="1" s="1"/>
  <c r="AAF77" i="1"/>
  <c r="AAH77" i="1" s="1"/>
  <c r="AAF68" i="1"/>
  <c r="AAH68" i="1" s="1"/>
  <c r="AAF64" i="1"/>
  <c r="AAH64" i="1" s="1"/>
  <c r="AAF60" i="1"/>
  <c r="AAH60" i="1" s="1"/>
  <c r="AAF56" i="1"/>
  <c r="AAH56" i="1" s="1"/>
  <c r="AAF52" i="1"/>
  <c r="AAH52" i="1" s="1"/>
  <c r="AAF48" i="1"/>
  <c r="AAH48" i="1" s="1"/>
  <c r="AAF44" i="1"/>
  <c r="AAH44" i="1" s="1"/>
  <c r="AAF35" i="1"/>
  <c r="AAH35" i="1" s="1"/>
  <c r="AAF31" i="1"/>
  <c r="AAH31" i="1" s="1"/>
  <c r="AAF27" i="1"/>
  <c r="AAH27" i="1" s="1"/>
  <c r="AAF23" i="1"/>
  <c r="AAH23" i="1" s="1"/>
  <c r="AAF19" i="1"/>
  <c r="AAH19" i="1" s="1"/>
  <c r="AAF15" i="1"/>
  <c r="AAH15" i="1" s="1"/>
  <c r="AAF11" i="1"/>
  <c r="AAH11" i="1" s="1"/>
  <c r="AAF7" i="1"/>
  <c r="AAH7" i="1" s="1"/>
  <c r="ABG426" i="1"/>
  <c r="ABI426" i="1" s="1"/>
  <c r="ABG423" i="1"/>
  <c r="ABI423" i="1" s="1"/>
  <c r="ABG420" i="1"/>
  <c r="ABI420" i="1" s="1"/>
  <c r="ABG417" i="1"/>
  <c r="ABI417" i="1" s="1"/>
  <c r="ABG414" i="1"/>
  <c r="ABI414" i="1" s="1"/>
  <c r="ABG411" i="1"/>
  <c r="ABI411" i="1" s="1"/>
  <c r="ABG406" i="1"/>
  <c r="ABI406" i="1" s="1"/>
  <c r="ABG403" i="1"/>
  <c r="ABI403" i="1" s="1"/>
  <c r="ABG400" i="1"/>
  <c r="ABI400" i="1" s="1"/>
  <c r="ABG397" i="1"/>
  <c r="ABI397" i="1" s="1"/>
  <c r="ABG389" i="1"/>
  <c r="ABI389" i="1" s="1"/>
  <c r="ABG386" i="1"/>
  <c r="ABI386" i="1" s="1"/>
  <c r="ABG383" i="1"/>
  <c r="ABI383" i="1" s="1"/>
  <c r="ABG380" i="1"/>
  <c r="ABI380" i="1" s="1"/>
  <c r="ABG377" i="1"/>
  <c r="ABI377" i="1" s="1"/>
  <c r="ABG374" i="1"/>
  <c r="ABI374" i="1" s="1"/>
  <c r="ABG371" i="1"/>
  <c r="ABI371" i="1" s="1"/>
  <c r="ABG368" i="1"/>
  <c r="ABI368" i="1" s="1"/>
  <c r="ABG365" i="1"/>
  <c r="ABI365" i="1" s="1"/>
  <c r="ABG362" i="1"/>
  <c r="ABI362" i="1" s="1"/>
  <c r="ABG354" i="1"/>
  <c r="ABI354" i="1" s="1"/>
  <c r="ABG352" i="1"/>
  <c r="ABI352" i="1" s="1"/>
  <c r="ABG349" i="1"/>
  <c r="ABI349" i="1" s="1"/>
  <c r="ABG346" i="1"/>
  <c r="ABI346" i="1" s="1"/>
  <c r="ABG343" i="1"/>
  <c r="ABI343" i="1" s="1"/>
  <c r="ABG339" i="1"/>
  <c r="ABI339" i="1" s="1"/>
  <c r="ABG336" i="1"/>
  <c r="ABI336" i="1" s="1"/>
  <c r="ABG333" i="1"/>
  <c r="ABI333" i="1" s="1"/>
  <c r="ABG330" i="1"/>
  <c r="ABI330" i="1" s="1"/>
  <c r="ABG327" i="1"/>
  <c r="ABI327" i="1" s="1"/>
  <c r="ABG319" i="1"/>
  <c r="ABI319" i="1" s="1"/>
  <c r="ABG316" i="1"/>
  <c r="ABI316" i="1" s="1"/>
  <c r="ABG313" i="1"/>
  <c r="ABI313" i="1" s="1"/>
  <c r="ABG310" i="1"/>
  <c r="ABI310" i="1" s="1"/>
  <c r="ABG307" i="1"/>
  <c r="ABI307" i="1" s="1"/>
  <c r="ABG304" i="1"/>
  <c r="ABI304" i="1" s="1"/>
  <c r="ABG301" i="1"/>
  <c r="ABI301" i="1" s="1"/>
  <c r="ABG298" i="1"/>
  <c r="ABI298" i="1" s="1"/>
  <c r="ABG295" i="1"/>
  <c r="ABI295" i="1" s="1"/>
  <c r="ABG292" i="1"/>
  <c r="ABI292" i="1" s="1"/>
  <c r="ABG284" i="1"/>
  <c r="ABI284" i="1" s="1"/>
  <c r="ABG281" i="1"/>
  <c r="ABI281" i="1" s="1"/>
  <c r="ABG278" i="1"/>
  <c r="ABI278" i="1" s="1"/>
  <c r="ABG275" i="1"/>
  <c r="ABI275" i="1" s="1"/>
  <c r="ABG272" i="1"/>
  <c r="ABI272" i="1" s="1"/>
  <c r="ABG269" i="1"/>
  <c r="ABI269" i="1" s="1"/>
  <c r="ABG266" i="1"/>
  <c r="ABI266" i="1" s="1"/>
  <c r="ABG263" i="1"/>
  <c r="ABI263" i="1" s="1"/>
  <c r="ABG260" i="1"/>
  <c r="ABI260" i="1" s="1"/>
  <c r="ABG257" i="1"/>
  <c r="ABI257" i="1" s="1"/>
  <c r="ABG254" i="1"/>
  <c r="ABG246" i="1"/>
  <c r="ABI246" i="1" s="1"/>
  <c r="ABG243" i="1"/>
  <c r="ABI243" i="1" s="1"/>
  <c r="ABG240" i="1"/>
  <c r="ABI240" i="1" s="1"/>
  <c r="ABG237" i="1"/>
  <c r="ABI237" i="1" s="1"/>
  <c r="ABG234" i="1"/>
  <c r="ABI234" i="1" s="1"/>
  <c r="ABG231" i="1"/>
  <c r="ABI231" i="1" s="1"/>
  <c r="ABG228" i="1"/>
  <c r="ABI228" i="1" s="1"/>
  <c r="ABG225" i="1"/>
  <c r="ABI225" i="1" s="1"/>
  <c r="ABG221" i="1"/>
  <c r="ABI221" i="1" s="1"/>
  <c r="ABG218" i="1"/>
  <c r="ABG210" i="1"/>
  <c r="ABI210" i="1" s="1"/>
  <c r="ABG207" i="1"/>
  <c r="ABI207" i="1" s="1"/>
  <c r="ABG204" i="1"/>
  <c r="ABI204" i="1" s="1"/>
  <c r="ABG201" i="1"/>
  <c r="ABI201" i="1" s="1"/>
  <c r="ABG198" i="1"/>
  <c r="ABI198" i="1" s="1"/>
  <c r="ABG195" i="1"/>
  <c r="ABI195" i="1" s="1"/>
  <c r="ABG192" i="1"/>
  <c r="ABI192" i="1" s="1"/>
  <c r="ABG189" i="1"/>
  <c r="ABI189" i="1" s="1"/>
  <c r="ABG185" i="1"/>
  <c r="ABI185" i="1" s="1"/>
  <c r="ABG183" i="1"/>
  <c r="ABG175" i="1"/>
  <c r="ABI175" i="1" s="1"/>
  <c r="ABG172" i="1"/>
  <c r="ABI172" i="1" s="1"/>
  <c r="ABG169" i="1"/>
  <c r="ABI169" i="1" s="1"/>
  <c r="ABG166" i="1"/>
  <c r="ABI166" i="1" s="1"/>
  <c r="ABG163" i="1"/>
  <c r="ABI163" i="1" s="1"/>
  <c r="ABG160" i="1"/>
  <c r="ABI160" i="1" s="1"/>
  <c r="ABG156" i="1"/>
  <c r="ABI156" i="1" s="1"/>
  <c r="ABG153" i="1"/>
  <c r="ABI153" i="1" s="1"/>
  <c r="ABG150" i="1"/>
  <c r="ABI150" i="1" s="1"/>
  <c r="ABG147" i="1"/>
  <c r="ABG139" i="1"/>
  <c r="ABI139" i="1" s="1"/>
  <c r="ABG136" i="1"/>
  <c r="ABI136" i="1" s="1"/>
  <c r="ABG133" i="1"/>
  <c r="ABI133" i="1" s="1"/>
  <c r="ABG130" i="1"/>
  <c r="ABI130" i="1" s="1"/>
  <c r="ABG126" i="1"/>
  <c r="ABI126" i="1" s="1"/>
  <c r="ABG123" i="1"/>
  <c r="ABI123" i="1" s="1"/>
  <c r="ABG120" i="1"/>
  <c r="ABI120" i="1" s="1"/>
  <c r="ABG117" i="1"/>
  <c r="ABI117" i="1" s="1"/>
  <c r="ABG114" i="1"/>
  <c r="ABI114" i="1" s="1"/>
  <c r="ABG106" i="1"/>
  <c r="ABI106" i="1" s="1"/>
  <c r="ABG103" i="1"/>
  <c r="ABI103" i="1" s="1"/>
  <c r="ABG100" i="1"/>
  <c r="ABI100" i="1" s="1"/>
  <c r="ABG97" i="1"/>
  <c r="ABI97" i="1" s="1"/>
  <c r="ABG94" i="1"/>
  <c r="ABI94" i="1" s="1"/>
  <c r="ABG91" i="1"/>
  <c r="ABI91" i="1" s="1"/>
  <c r="ABG88" i="1"/>
  <c r="ABI88" i="1" s="1"/>
  <c r="ABG85" i="1"/>
  <c r="ABI85" i="1" s="1"/>
  <c r="ABG82" i="1"/>
  <c r="ABI82" i="1" s="1"/>
  <c r="ABG79" i="1"/>
  <c r="ABI79" i="1" s="1"/>
  <c r="ABG76" i="1"/>
  <c r="ABG67" i="1"/>
  <c r="ABI67" i="1" s="1"/>
  <c r="ABG64" i="1"/>
  <c r="ABI64" i="1" s="1"/>
  <c r="ABG61" i="1"/>
  <c r="ABI61" i="1" s="1"/>
  <c r="ABG58" i="1"/>
  <c r="ABI58" i="1" s="1"/>
  <c r="ABG55" i="1"/>
  <c r="ABI55" i="1" s="1"/>
  <c r="ABG52" i="1"/>
  <c r="ABI52" i="1" s="1"/>
  <c r="ABG49" i="1"/>
  <c r="ABI49" i="1" s="1"/>
  <c r="ABG46" i="1"/>
  <c r="ABI46" i="1" s="1"/>
  <c r="ABG43" i="1"/>
  <c r="ABI43" i="1" s="1"/>
  <c r="ABG35" i="1"/>
  <c r="ABI35" i="1" s="1"/>
  <c r="ABG32" i="1"/>
  <c r="ABI32" i="1" s="1"/>
  <c r="ABG29" i="1"/>
  <c r="ABI29" i="1" s="1"/>
  <c r="ABG26" i="1"/>
  <c r="ABI26" i="1" s="1"/>
  <c r="ABG23" i="1"/>
  <c r="ABI23" i="1" s="1"/>
  <c r="ABG20" i="1"/>
  <c r="ABI20" i="1" s="1"/>
  <c r="ABG17" i="1"/>
  <c r="ABI17" i="1" s="1"/>
  <c r="ABG14" i="1"/>
  <c r="ABI14" i="1" s="1"/>
  <c r="ABG11" i="1"/>
  <c r="ABI11" i="1" s="1"/>
  <c r="ABG7" i="1"/>
  <c r="ABI7" i="1" s="1"/>
  <c r="AAX426" i="1"/>
  <c r="AAZ426" i="1" s="1"/>
  <c r="AAX423" i="1"/>
  <c r="AAZ423" i="1" s="1"/>
  <c r="AAX420" i="1"/>
  <c r="AAZ420" i="1" s="1"/>
  <c r="AAX417" i="1"/>
  <c r="AAZ417" i="1" s="1"/>
  <c r="AAX413" i="1"/>
  <c r="AAZ413" i="1" s="1"/>
  <c r="AAX410" i="1"/>
  <c r="AAZ410" i="1" s="1"/>
  <c r="AAX407" i="1"/>
  <c r="AAZ407" i="1" s="1"/>
  <c r="AAX404" i="1"/>
  <c r="AAZ404" i="1" s="1"/>
  <c r="AAX401" i="1"/>
  <c r="AAZ401" i="1" s="1"/>
  <c r="AAX398" i="1"/>
  <c r="AAZ398" i="1" s="1"/>
  <c r="AAX390" i="1"/>
  <c r="AAZ390" i="1" s="1"/>
  <c r="AAX388" i="1"/>
  <c r="AAZ388" i="1" s="1"/>
  <c r="AAX385" i="1"/>
  <c r="AAZ385" i="1" s="1"/>
  <c r="AAX382" i="1"/>
  <c r="AAZ382" i="1" s="1"/>
  <c r="AAX379" i="1"/>
  <c r="AAZ379" i="1" s="1"/>
  <c r="AAX376" i="1"/>
  <c r="AAZ376" i="1" s="1"/>
  <c r="AAX373" i="1"/>
  <c r="AAZ373" i="1" s="1"/>
  <c r="AAX370" i="1"/>
  <c r="AAZ370" i="1" s="1"/>
  <c r="AAX367" i="1"/>
  <c r="AAZ367" i="1" s="1"/>
  <c r="AAX362" i="1"/>
  <c r="AAZ362" i="1" s="1"/>
  <c r="AAX354" i="1"/>
  <c r="AAZ354" i="1" s="1"/>
  <c r="AAX351" i="1"/>
  <c r="AAZ351" i="1" s="1"/>
  <c r="AAX349" i="1"/>
  <c r="AAZ349" i="1" s="1"/>
  <c r="AAX346" i="1"/>
  <c r="AAZ346" i="1" s="1"/>
  <c r="AAX343" i="1"/>
  <c r="AAZ343" i="1" s="1"/>
  <c r="AAX341" i="1"/>
  <c r="AAZ341" i="1" s="1"/>
  <c r="AAX338" i="1"/>
  <c r="AAZ338" i="1" s="1"/>
  <c r="AAX335" i="1"/>
  <c r="AAZ335" i="1" s="1"/>
  <c r="AAX332" i="1"/>
  <c r="AAZ332" i="1" s="1"/>
  <c r="AAX329" i="1"/>
  <c r="AAZ329" i="1" s="1"/>
  <c r="AAX326" i="1"/>
  <c r="AAZ326" i="1" s="1"/>
  <c r="AAX318" i="1"/>
  <c r="AAZ318" i="1" s="1"/>
  <c r="AAX315" i="1"/>
  <c r="AAZ315" i="1" s="1"/>
  <c r="AAX312" i="1"/>
  <c r="AAZ312" i="1" s="1"/>
  <c r="AAX308" i="1"/>
  <c r="AAZ308" i="1" s="1"/>
  <c r="AAX305" i="1"/>
  <c r="AAZ305" i="1" s="1"/>
  <c r="AAX302" i="1"/>
  <c r="AAZ302" i="1" s="1"/>
  <c r="AAX299" i="1"/>
  <c r="AAZ299" i="1" s="1"/>
  <c r="AAX296" i="1"/>
  <c r="AAZ296" i="1" s="1"/>
  <c r="AAX293" i="1"/>
  <c r="AAZ293" i="1" s="1"/>
  <c r="AAX290" i="1"/>
  <c r="AAX282" i="1"/>
  <c r="AAZ282" i="1" s="1"/>
  <c r="AAX280" i="1"/>
  <c r="AAZ280" i="1" s="1"/>
  <c r="AAX277" i="1"/>
  <c r="AAZ277" i="1" s="1"/>
  <c r="AAX273" i="1"/>
  <c r="AAZ273" i="1" s="1"/>
  <c r="AAX270" i="1"/>
  <c r="AAZ270" i="1" s="1"/>
  <c r="AAX267" i="1"/>
  <c r="AAZ267" i="1" s="1"/>
  <c r="AAX264" i="1"/>
  <c r="AAZ264" i="1" s="1"/>
  <c r="AAX261" i="1"/>
  <c r="AAZ261" i="1" s="1"/>
  <c r="AAX258" i="1"/>
  <c r="AAZ258" i="1" s="1"/>
  <c r="AAX255" i="1"/>
  <c r="AAZ255" i="1" s="1"/>
  <c r="AAX247" i="1"/>
  <c r="AAZ247" i="1" s="1"/>
  <c r="AAX244" i="1"/>
  <c r="AAZ244" i="1" s="1"/>
  <c r="AAX241" i="1"/>
  <c r="AAZ241" i="1" s="1"/>
  <c r="AAX238" i="1"/>
  <c r="AAZ238" i="1" s="1"/>
  <c r="AAX235" i="1"/>
  <c r="AAZ235" i="1" s="1"/>
  <c r="AAX233" i="1"/>
  <c r="AAZ233" i="1" s="1"/>
  <c r="AAX230" i="1"/>
  <c r="AAZ230" i="1" s="1"/>
  <c r="AAX227" i="1"/>
  <c r="AAZ227" i="1" s="1"/>
  <c r="AAX224" i="1"/>
  <c r="AAZ224" i="1" s="1"/>
  <c r="AAX221" i="1"/>
  <c r="AAZ221" i="1" s="1"/>
  <c r="AAX218" i="1"/>
  <c r="AAX210" i="1"/>
  <c r="AAZ210" i="1" s="1"/>
  <c r="AAX207" i="1"/>
  <c r="AAZ207" i="1" s="1"/>
  <c r="AAX204" i="1"/>
  <c r="AAZ204" i="1" s="1"/>
  <c r="AAX201" i="1"/>
  <c r="AAZ201" i="1" s="1"/>
  <c r="AAX198" i="1"/>
  <c r="AAZ198" i="1" s="1"/>
  <c r="AAX195" i="1"/>
  <c r="AAZ195" i="1" s="1"/>
  <c r="AAX192" i="1"/>
  <c r="AAZ192" i="1" s="1"/>
  <c r="AAX189" i="1"/>
  <c r="AAZ189" i="1" s="1"/>
  <c r="AAX186" i="1"/>
  <c r="AAZ186" i="1" s="1"/>
  <c r="AAX183" i="1"/>
  <c r="AAX175" i="1"/>
  <c r="AAZ175" i="1" s="1"/>
  <c r="AAX172" i="1"/>
  <c r="AAZ172" i="1" s="1"/>
  <c r="AAX169" i="1"/>
  <c r="AAZ169" i="1" s="1"/>
  <c r="AAX166" i="1"/>
  <c r="AAZ166" i="1" s="1"/>
  <c r="AAX163" i="1"/>
  <c r="AAZ163" i="1" s="1"/>
  <c r="AAX160" i="1"/>
  <c r="AAZ160" i="1" s="1"/>
  <c r="AAX157" i="1"/>
  <c r="AAZ157" i="1" s="1"/>
  <c r="AAX154" i="1"/>
  <c r="AAZ154" i="1" s="1"/>
  <c r="AAX151" i="1"/>
  <c r="AAZ151" i="1" s="1"/>
  <c r="AAX148" i="1"/>
  <c r="AAZ148" i="1" s="1"/>
  <c r="AAX140" i="1"/>
  <c r="AAZ140" i="1" s="1"/>
  <c r="AAX137" i="1"/>
  <c r="AAZ137" i="1" s="1"/>
  <c r="AAX134" i="1"/>
  <c r="AAZ134" i="1" s="1"/>
  <c r="AAX131" i="1"/>
  <c r="AAZ131" i="1" s="1"/>
  <c r="AAX128" i="1"/>
  <c r="AAZ128" i="1" s="1"/>
  <c r="AAX125" i="1"/>
  <c r="AAZ125" i="1" s="1"/>
  <c r="AAX53" i="1"/>
  <c r="AAZ53" i="1" s="1"/>
  <c r="AAX50" i="1"/>
  <c r="AAZ50" i="1" s="1"/>
  <c r="AAX46" i="1"/>
  <c r="AAZ46" i="1" s="1"/>
  <c r="AAX43" i="1"/>
  <c r="AAZ43" i="1" s="1"/>
  <c r="AAX35" i="1"/>
  <c r="AAZ35" i="1" s="1"/>
  <c r="AAX33" i="1"/>
  <c r="AAZ33" i="1" s="1"/>
  <c r="AAX30" i="1"/>
  <c r="AAZ30" i="1" s="1"/>
  <c r="AAX27" i="1"/>
  <c r="AAZ27" i="1" s="1"/>
  <c r="AAX23" i="1"/>
  <c r="AAZ23" i="1" s="1"/>
  <c r="AAX21" i="1"/>
  <c r="AAZ21" i="1" s="1"/>
  <c r="AAX18" i="1"/>
  <c r="AAZ18" i="1" s="1"/>
  <c r="AAX15" i="1"/>
  <c r="AAZ15" i="1" s="1"/>
  <c r="AAX12" i="1"/>
  <c r="AAZ12" i="1" s="1"/>
  <c r="AAX9" i="1"/>
  <c r="AAZ9" i="1" s="1"/>
  <c r="AAO425" i="1"/>
  <c r="AAQ425" i="1" s="1"/>
  <c r="AAO423" i="1"/>
  <c r="AAQ423" i="1" s="1"/>
  <c r="AAO421" i="1"/>
  <c r="AAQ421" i="1" s="1"/>
  <c r="AAO418" i="1"/>
  <c r="AAQ418" i="1" s="1"/>
  <c r="AAO415" i="1"/>
  <c r="AAQ415" i="1" s="1"/>
  <c r="AAO412" i="1"/>
  <c r="AAQ412" i="1" s="1"/>
  <c r="AAO409" i="1"/>
  <c r="AAQ409" i="1" s="1"/>
  <c r="AAO406" i="1"/>
  <c r="AAQ406" i="1" s="1"/>
  <c r="AAO99" i="1"/>
  <c r="AAQ99" i="1" s="1"/>
  <c r="AAO95" i="1"/>
  <c r="AAQ95" i="1" s="1"/>
  <c r="AAO91" i="1"/>
  <c r="AAQ91" i="1" s="1"/>
  <c r="AAO87" i="1"/>
  <c r="AAQ87" i="1" s="1"/>
  <c r="AAO83" i="1"/>
  <c r="AAQ83" i="1" s="1"/>
  <c r="AAO79" i="1"/>
  <c r="AAQ79" i="1" s="1"/>
  <c r="AAO70" i="1"/>
  <c r="AAQ70" i="1" s="1"/>
  <c r="AAO67" i="1"/>
  <c r="AAQ67" i="1" s="1"/>
  <c r="AAO63" i="1"/>
  <c r="AAQ63" i="1" s="1"/>
  <c r="AAO59" i="1"/>
  <c r="AAQ59" i="1" s="1"/>
  <c r="AAO55" i="1"/>
  <c r="AAQ55" i="1" s="1"/>
  <c r="AAO51" i="1"/>
  <c r="AAQ51" i="1" s="1"/>
  <c r="AAO47" i="1"/>
  <c r="AAQ47" i="1" s="1"/>
  <c r="AAO43" i="1"/>
  <c r="AAQ43" i="1" s="1"/>
  <c r="AAO34" i="1"/>
  <c r="AAQ34" i="1" s="1"/>
  <c r="AAO30" i="1"/>
  <c r="AAQ30" i="1" s="1"/>
  <c r="AAO26" i="1"/>
  <c r="AAQ26" i="1" s="1"/>
  <c r="AAO23" i="1"/>
  <c r="AAQ23" i="1" s="1"/>
  <c r="AAO19" i="1"/>
  <c r="AAQ19" i="1" s="1"/>
  <c r="AAO15" i="1"/>
  <c r="AAQ15" i="1" s="1"/>
  <c r="AAO11" i="1"/>
  <c r="AAQ11" i="1" s="1"/>
  <c r="AAO7" i="1"/>
  <c r="AAQ7" i="1" s="1"/>
  <c r="AAF424" i="1"/>
  <c r="AAH424" i="1" s="1"/>
  <c r="AAF420" i="1"/>
  <c r="AAH420" i="1" s="1"/>
  <c r="AAF416" i="1"/>
  <c r="AAH416" i="1" s="1"/>
  <c r="AAF412" i="1"/>
  <c r="AAH412" i="1" s="1"/>
  <c r="AAF408" i="1"/>
  <c r="AAH408" i="1" s="1"/>
  <c r="AAF404" i="1"/>
  <c r="AAH404" i="1" s="1"/>
  <c r="AAF400" i="1"/>
  <c r="AAH400" i="1" s="1"/>
  <c r="AAF396" i="1"/>
  <c r="AAF387" i="1"/>
  <c r="AAH387" i="1" s="1"/>
  <c r="AAF383" i="1"/>
  <c r="AAH383" i="1" s="1"/>
  <c r="AAF379" i="1"/>
  <c r="AAH379" i="1" s="1"/>
  <c r="AAF375" i="1"/>
  <c r="AAH375" i="1" s="1"/>
  <c r="AAF371" i="1"/>
  <c r="AAH371" i="1" s="1"/>
  <c r="AAF367" i="1"/>
  <c r="AAH367" i="1" s="1"/>
  <c r="AAF363" i="1"/>
  <c r="AAH363" i="1" s="1"/>
  <c r="AAF355" i="1"/>
  <c r="AAH355" i="1" s="1"/>
  <c r="AAF350" i="1"/>
  <c r="AAH350" i="1" s="1"/>
  <c r="AAF347" i="1"/>
  <c r="AAH347" i="1" s="1"/>
  <c r="AAF343" i="1"/>
  <c r="AAH343" i="1" s="1"/>
  <c r="AAF338" i="1"/>
  <c r="AAH338" i="1" s="1"/>
  <c r="AAF334" i="1"/>
  <c r="AAH334" i="1" s="1"/>
  <c r="AAF330" i="1"/>
  <c r="AAH330" i="1" s="1"/>
  <c r="AAF326" i="1"/>
  <c r="AAH326" i="1" s="1"/>
  <c r="AAF317" i="1"/>
  <c r="AAH317" i="1" s="1"/>
  <c r="AAF314" i="1"/>
  <c r="AAH314" i="1" s="1"/>
  <c r="AAF310" i="1"/>
  <c r="AAH310" i="1" s="1"/>
  <c r="AAF306" i="1"/>
  <c r="AAH306" i="1" s="1"/>
  <c r="AAF301" i="1"/>
  <c r="AAH301" i="1" s="1"/>
  <c r="AAF297" i="1"/>
  <c r="AAH297" i="1" s="1"/>
  <c r="AAF293" i="1"/>
  <c r="AAH293" i="1" s="1"/>
  <c r="AAF284" i="1"/>
  <c r="AAH284" i="1" s="1"/>
  <c r="AAF280" i="1"/>
  <c r="AAH280" i="1" s="1"/>
  <c r="AAF276" i="1"/>
  <c r="AAH276" i="1" s="1"/>
  <c r="AAF271" i="1"/>
  <c r="AAH271" i="1" s="1"/>
  <c r="AAF267" i="1"/>
  <c r="AAH267" i="1" s="1"/>
  <c r="AAF264" i="1"/>
  <c r="AAH264" i="1" s="1"/>
  <c r="AAF260" i="1"/>
  <c r="AAH260" i="1" s="1"/>
  <c r="AAF256" i="1"/>
  <c r="AAH256" i="1" s="1"/>
  <c r="AAF246" i="1"/>
  <c r="AAH246" i="1" s="1"/>
  <c r="AAF243" i="1"/>
  <c r="AAH243" i="1" s="1"/>
  <c r="AAF239" i="1"/>
  <c r="AAH239" i="1" s="1"/>
  <c r="AAF235" i="1"/>
  <c r="AAH235" i="1" s="1"/>
  <c r="AAF231" i="1"/>
  <c r="AAH231" i="1" s="1"/>
  <c r="AAF227" i="1"/>
  <c r="AAH227" i="1" s="1"/>
  <c r="AAF223" i="1"/>
  <c r="AAH223" i="1" s="1"/>
  <c r="AAF219" i="1"/>
  <c r="AAF210" i="1"/>
  <c r="AAH210" i="1" s="1"/>
  <c r="AAF206" i="1"/>
  <c r="AAH206" i="1" s="1"/>
  <c r="AAF202" i="1"/>
  <c r="AAH202" i="1" s="1"/>
  <c r="AAF198" i="1"/>
  <c r="AAH198" i="1" s="1"/>
  <c r="AAF194" i="1"/>
  <c r="AAH194" i="1" s="1"/>
  <c r="AAF190" i="1"/>
  <c r="AAH190" i="1" s="1"/>
  <c r="AAF186" i="1"/>
  <c r="AAH186" i="1" s="1"/>
  <c r="AAF177" i="1"/>
  <c r="AAH177" i="1" s="1"/>
  <c r="AAF173" i="1"/>
  <c r="AAH173" i="1" s="1"/>
  <c r="AAF169" i="1"/>
  <c r="AAH169" i="1" s="1"/>
  <c r="AAF165" i="1"/>
  <c r="AAH165" i="1" s="1"/>
  <c r="AAF161" i="1"/>
  <c r="AAH161" i="1" s="1"/>
  <c r="AAF157" i="1"/>
  <c r="AAH157" i="1" s="1"/>
  <c r="AAF153" i="1"/>
  <c r="AAH153" i="1" s="1"/>
  <c r="AAF149" i="1"/>
  <c r="AAH149" i="1" s="1"/>
  <c r="AAF140" i="1"/>
  <c r="AAH140" i="1" s="1"/>
  <c r="AAF136" i="1"/>
  <c r="AAH136" i="1" s="1"/>
  <c r="AAF132" i="1"/>
  <c r="AAH132" i="1" s="1"/>
  <c r="AAF128" i="1"/>
  <c r="AAH128" i="1" s="1"/>
  <c r="AAF124" i="1"/>
  <c r="AAH124" i="1" s="1"/>
  <c r="AAF120" i="1"/>
  <c r="AAH120" i="1" s="1"/>
  <c r="AAF116" i="1"/>
  <c r="AAH116" i="1" s="1"/>
  <c r="AAF112" i="1"/>
  <c r="AAF103" i="1"/>
  <c r="AAH103" i="1" s="1"/>
  <c r="AAF99" i="1"/>
  <c r="AAH99" i="1" s="1"/>
  <c r="AAF95" i="1"/>
  <c r="AAH95" i="1" s="1"/>
  <c r="AAF91" i="1"/>
  <c r="AAH91" i="1" s="1"/>
  <c r="AAF87" i="1"/>
  <c r="AAH87" i="1" s="1"/>
  <c r="AAF83" i="1"/>
  <c r="AAH83" i="1" s="1"/>
  <c r="AAF79" i="1"/>
  <c r="AAH79" i="1" s="1"/>
  <c r="AAF70" i="1"/>
  <c r="AAH70" i="1" s="1"/>
  <c r="AAF66" i="1"/>
  <c r="AAH66" i="1" s="1"/>
  <c r="AAF62" i="1"/>
  <c r="AAH62" i="1" s="1"/>
  <c r="AAF58" i="1"/>
  <c r="AAH58" i="1" s="1"/>
  <c r="AAF54" i="1"/>
  <c r="AAH54" i="1" s="1"/>
  <c r="AAF50" i="1"/>
  <c r="AAH50" i="1" s="1"/>
  <c r="AAF46" i="1"/>
  <c r="AAH46" i="1" s="1"/>
  <c r="AAF42" i="1"/>
  <c r="AAF33" i="1"/>
  <c r="AAH33" i="1" s="1"/>
  <c r="AAF29" i="1"/>
  <c r="AAH29" i="1" s="1"/>
  <c r="AAF25" i="1"/>
  <c r="AAH25" i="1" s="1"/>
  <c r="AAF21" i="1"/>
  <c r="AAH21" i="1" s="1"/>
  <c r="AAF17" i="1"/>
  <c r="AAH17" i="1" s="1"/>
  <c r="AAF13" i="1"/>
  <c r="AAH13" i="1" s="1"/>
  <c r="AAF9" i="1"/>
  <c r="AAH9" i="1" s="1"/>
  <c r="ZW416" i="1"/>
  <c r="ZY416" i="1" s="1"/>
  <c r="ZW399" i="1"/>
  <c r="ZY399" i="1" s="1"/>
  <c r="ZW384" i="1"/>
  <c r="ZY384" i="1" s="1"/>
  <c r="ZW368" i="1"/>
  <c r="ZY368" i="1" s="1"/>
  <c r="ZW347" i="1"/>
  <c r="ZY347" i="1" s="1"/>
  <c r="ZW330" i="1"/>
  <c r="ZY330" i="1" s="1"/>
  <c r="ZW315" i="1"/>
  <c r="ZY315" i="1" s="1"/>
  <c r="ZW310" i="1"/>
  <c r="ZY310" i="1" s="1"/>
  <c r="ZW294" i="1"/>
  <c r="ZY294" i="1" s="1"/>
  <c r="ZW254" i="1"/>
  <c r="ZW218" i="1"/>
  <c r="ZY218" i="1" s="1"/>
  <c r="ZW197" i="1"/>
  <c r="ZY197" i="1" s="1"/>
  <c r="ZW176" i="1"/>
  <c r="ZY176" i="1" s="1"/>
  <c r="ZW160" i="1"/>
  <c r="ZY160" i="1" s="1"/>
  <c r="ZW154" i="1"/>
  <c r="ZY154" i="1" s="1"/>
  <c r="ZW134" i="1"/>
  <c r="ZY134" i="1" s="1"/>
  <c r="ZW129" i="1"/>
  <c r="ZY129" i="1" s="1"/>
  <c r="ZW119" i="1"/>
  <c r="ZY119" i="1" s="1"/>
  <c r="ZW114" i="1"/>
  <c r="ZY114" i="1" s="1"/>
  <c r="ZW105" i="1"/>
  <c r="ZY105" i="1" s="1"/>
  <c r="ZW84" i="1"/>
  <c r="ZY84" i="1" s="1"/>
  <c r="ZW78" i="1"/>
  <c r="ZY78" i="1" s="1"/>
  <c r="ZW68" i="1"/>
  <c r="ZY68" i="1" s="1"/>
  <c r="ZW59" i="1"/>
  <c r="ZY59" i="1" s="1"/>
  <c r="ZW50" i="1"/>
  <c r="ZY50" i="1" s="1"/>
  <c r="ZW32" i="1"/>
  <c r="ZY32" i="1" s="1"/>
  <c r="ZW23" i="1"/>
  <c r="ZY23" i="1" s="1"/>
  <c r="ZN426" i="1"/>
  <c r="ZP426" i="1" s="1"/>
  <c r="ZN409" i="1"/>
  <c r="ZP409" i="1" s="1"/>
  <c r="ZN403" i="1"/>
  <c r="ZP403" i="1" s="1"/>
  <c r="ZN382" i="1"/>
  <c r="ZP382" i="1" s="1"/>
  <c r="ZN377" i="1"/>
  <c r="ZP377" i="1" s="1"/>
  <c r="ZN366" i="1"/>
  <c r="ZP366" i="1" s="1"/>
  <c r="ZN339" i="1"/>
  <c r="ZP339" i="1" s="1"/>
  <c r="ZN318" i="1"/>
  <c r="ZP318" i="1" s="1"/>
  <c r="ZN313" i="1"/>
  <c r="ZP313" i="1" s="1"/>
  <c r="ZN296" i="1"/>
  <c r="ZP296" i="1" s="1"/>
  <c r="ZN281" i="1"/>
  <c r="ZP281" i="1" s="1"/>
  <c r="ZN264" i="1"/>
  <c r="ZP264" i="1" s="1"/>
  <c r="ZN231" i="1"/>
  <c r="ZP231" i="1" s="1"/>
  <c r="ZN225" i="1"/>
  <c r="ZP225" i="1" s="1"/>
  <c r="ZN219" i="1"/>
  <c r="ZN209" i="1"/>
  <c r="ZP209" i="1" s="1"/>
  <c r="ZN203" i="1"/>
  <c r="ZP203" i="1" s="1"/>
  <c r="ZN197" i="1"/>
  <c r="ZP197" i="1" s="1"/>
  <c r="ZN191" i="1"/>
  <c r="ZP191" i="1" s="1"/>
  <c r="ZN185" i="1"/>
  <c r="ZP185" i="1" s="1"/>
  <c r="ZW421" i="1"/>
  <c r="ZY421" i="1" s="1"/>
  <c r="ZW410" i="1"/>
  <c r="ZY410" i="1" s="1"/>
  <c r="ZW404" i="1"/>
  <c r="ZY404" i="1" s="1"/>
  <c r="ZW389" i="1"/>
  <c r="ZY389" i="1" s="1"/>
  <c r="ZW378" i="1"/>
  <c r="ZY378" i="1" s="1"/>
  <c r="ZW373" i="1"/>
  <c r="ZY373" i="1" s="1"/>
  <c r="ZW362" i="1"/>
  <c r="ZY362" i="1" s="1"/>
  <c r="ZW341" i="1"/>
  <c r="ZY341" i="1" s="1"/>
  <c r="ZW335" i="1"/>
  <c r="ZY335" i="1" s="1"/>
  <c r="ZW299" i="1"/>
  <c r="ZY299" i="1" s="1"/>
  <c r="ZW280" i="1"/>
  <c r="ZY280" i="1" s="1"/>
  <c r="ZW275" i="1"/>
  <c r="ZY275" i="1" s="1"/>
  <c r="ZW269" i="1"/>
  <c r="ZY269" i="1" s="1"/>
  <c r="ZW264" i="1"/>
  <c r="ZY264" i="1" s="1"/>
  <c r="ZW259" i="1"/>
  <c r="ZY259" i="1" s="1"/>
  <c r="ZW244" i="1"/>
  <c r="ZY244" i="1" s="1"/>
  <c r="ZW239" i="1"/>
  <c r="ZY239" i="1" s="1"/>
  <c r="ZW233" i="1"/>
  <c r="ZY233" i="1" s="1"/>
  <c r="ZW228" i="1"/>
  <c r="ZY228" i="1" s="1"/>
  <c r="ZW223" i="1"/>
  <c r="ZY223" i="1" s="1"/>
  <c r="ZW208" i="1"/>
  <c r="ZY208" i="1" s="1"/>
  <c r="ZW202" i="1"/>
  <c r="ZY202" i="1" s="1"/>
  <c r="ZW191" i="1"/>
  <c r="ZY191" i="1" s="1"/>
  <c r="ZW185" i="1"/>
  <c r="ZY185" i="1" s="1"/>
  <c r="ZW170" i="1"/>
  <c r="ZY170" i="1" s="1"/>
  <c r="ZW165" i="1"/>
  <c r="ZY165" i="1" s="1"/>
  <c r="ZW148" i="1"/>
  <c r="ZY148" i="1" s="1"/>
  <c r="ZW139" i="1"/>
  <c r="ZY139" i="1" s="1"/>
  <c r="ZW124" i="1"/>
  <c r="ZY124" i="1" s="1"/>
  <c r="ZW99" i="1"/>
  <c r="ZY99" i="1" s="1"/>
  <c r="ZW94" i="1"/>
  <c r="ZY94" i="1" s="1"/>
  <c r="ZW63" i="1"/>
  <c r="ZY63" i="1" s="1"/>
  <c r="ZW54" i="1"/>
  <c r="ZY54" i="1" s="1"/>
  <c r="ZW45" i="1"/>
  <c r="ZY45" i="1" s="1"/>
  <c r="ZW36" i="1"/>
  <c r="ZY36" i="1" s="1"/>
  <c r="ZW18" i="1"/>
  <c r="ZY18" i="1" s="1"/>
  <c r="ZN420" i="1"/>
  <c r="ZP420" i="1" s="1"/>
  <c r="ZN414" i="1"/>
  <c r="ZP414" i="1" s="1"/>
  <c r="ZN397" i="1"/>
  <c r="ZP397" i="1" s="1"/>
  <c r="ZN387" i="1"/>
  <c r="ZP387" i="1" s="1"/>
  <c r="ZN371" i="1"/>
  <c r="ZP371" i="1" s="1"/>
  <c r="ZN350" i="1"/>
  <c r="ZP350" i="1" s="1"/>
  <c r="ZN344" i="1"/>
  <c r="ZP344" i="1" s="1"/>
  <c r="ZN333" i="1"/>
  <c r="ZP333" i="1" s="1"/>
  <c r="ZN327" i="1"/>
  <c r="ZP327" i="1" s="1"/>
  <c r="ZN307" i="1"/>
  <c r="ZP307" i="1" s="1"/>
  <c r="ZN290" i="1"/>
  <c r="ZN275" i="1"/>
  <c r="ZP275" i="1" s="1"/>
  <c r="ZN269" i="1"/>
  <c r="ZP269" i="1" s="1"/>
  <c r="ZN258" i="1"/>
  <c r="ZP258" i="1" s="1"/>
  <c r="ZN248" i="1"/>
  <c r="ZP248" i="1" s="1"/>
  <c r="ZN242" i="1"/>
  <c r="ZP242" i="1" s="1"/>
  <c r="ZN236" i="1"/>
  <c r="ZP236" i="1" s="1"/>
  <c r="ZN169" i="1"/>
  <c r="ZP169" i="1" s="1"/>
  <c r="ZN158" i="1"/>
  <c r="ZP158" i="1" s="1"/>
  <c r="ZN147" i="1"/>
  <c r="ZN106" i="1"/>
  <c r="ZP106" i="1" s="1"/>
  <c r="ZN95" i="1"/>
  <c r="ZP95" i="1" s="1"/>
  <c r="ZN89" i="1"/>
  <c r="ZP89" i="1" s="1"/>
  <c r="ZN84" i="1"/>
  <c r="ZP84" i="1" s="1"/>
  <c r="ZN78" i="1"/>
  <c r="ZP78" i="1" s="1"/>
  <c r="ZN64" i="1"/>
  <c r="ZP64" i="1" s="1"/>
  <c r="ZN55" i="1"/>
  <c r="ZP55" i="1" s="1"/>
  <c r="ZN50" i="1"/>
  <c r="ZP50" i="1" s="1"/>
  <c r="ZN31" i="1"/>
  <c r="ZP31" i="1" s="1"/>
  <c r="ZN22" i="1"/>
  <c r="ZP22" i="1" s="1"/>
  <c r="ZN17" i="1"/>
  <c r="ZP17" i="1" s="1"/>
  <c r="ZW415" i="1"/>
  <c r="ZY415" i="1" s="1"/>
  <c r="ZW398" i="1"/>
  <c r="ZY398" i="1" s="1"/>
  <c r="ZW383" i="1"/>
  <c r="ZY383" i="1" s="1"/>
  <c r="ZW367" i="1"/>
  <c r="ZY367" i="1" s="1"/>
  <c r="ZW352" i="1"/>
  <c r="ZY352" i="1" s="1"/>
  <c r="ZW346" i="1"/>
  <c r="ZY346" i="1" s="1"/>
  <c r="ZW329" i="1"/>
  <c r="ZY329" i="1" s="1"/>
  <c r="ZW314" i="1"/>
  <c r="ZY314" i="1" s="1"/>
  <c r="ZW309" i="1"/>
  <c r="ZY309" i="1" s="1"/>
  <c r="ZW304" i="1"/>
  <c r="ZY304" i="1" s="1"/>
  <c r="ZW196" i="1"/>
  <c r="ZY196" i="1" s="1"/>
  <c r="ZW175" i="1"/>
  <c r="ZY175" i="1" s="1"/>
  <c r="ZW159" i="1"/>
  <c r="ZY159" i="1" s="1"/>
  <c r="ZW128" i="1"/>
  <c r="ZY128" i="1" s="1"/>
  <c r="ZW113" i="1"/>
  <c r="ZW104" i="1"/>
  <c r="ZY104" i="1" s="1"/>
  <c r="ZW88" i="1"/>
  <c r="ZY88" i="1" s="1"/>
  <c r="ZW83" i="1"/>
  <c r="ZY83" i="1" s="1"/>
  <c r="ZW77" i="1"/>
  <c r="ZY77" i="1" s="1"/>
  <c r="ZW49" i="1"/>
  <c r="ZY49" i="1" s="1"/>
  <c r="ZW27" i="1"/>
  <c r="ZY27" i="1" s="1"/>
  <c r="ZW22" i="1"/>
  <c r="ZY22" i="1" s="1"/>
  <c r="ZW13" i="1"/>
  <c r="ZY13" i="1" s="1"/>
  <c r="ZW8" i="1"/>
  <c r="ZY8" i="1" s="1"/>
  <c r="ZN425" i="1"/>
  <c r="ZP425" i="1" s="1"/>
  <c r="ZN408" i="1"/>
  <c r="ZP408" i="1" s="1"/>
  <c r="ZN381" i="1"/>
  <c r="ZP381" i="1" s="1"/>
  <c r="ZN376" i="1"/>
  <c r="ZP376" i="1" s="1"/>
  <c r="ZN365" i="1"/>
  <c r="ZP365" i="1" s="1"/>
  <c r="ZN355" i="1"/>
  <c r="ZP355" i="1" s="1"/>
  <c r="ZN338" i="1"/>
  <c r="ZP338" i="1" s="1"/>
  <c r="ZN312" i="1"/>
  <c r="ZP312" i="1" s="1"/>
  <c r="ZN301" i="1"/>
  <c r="ZP301" i="1" s="1"/>
  <c r="ZN295" i="1"/>
  <c r="ZP295" i="1" s="1"/>
  <c r="ZN280" i="1"/>
  <c r="ZP280" i="1" s="1"/>
  <c r="ZN263" i="1"/>
  <c r="ZP263" i="1" s="1"/>
  <c r="ZN230" i="1"/>
  <c r="ZP230" i="1" s="1"/>
  <c r="ZN224" i="1"/>
  <c r="ZP224" i="1" s="1"/>
  <c r="ZN218" i="1"/>
  <c r="ZP218" i="1" s="1"/>
  <c r="ZN208" i="1"/>
  <c r="ZP208" i="1" s="1"/>
  <c r="ZN202" i="1"/>
  <c r="ZP202" i="1" s="1"/>
  <c r="ZN196" i="1"/>
  <c r="ZP196" i="1" s="1"/>
  <c r="ZN190" i="1"/>
  <c r="ZP190" i="1" s="1"/>
  <c r="ZN184" i="1"/>
  <c r="ZP184" i="1" s="1"/>
  <c r="ZN174" i="1"/>
  <c r="ZP174" i="1" s="1"/>
  <c r="ZN163" i="1"/>
  <c r="ZP163" i="1" s="1"/>
  <c r="ZN137" i="1"/>
  <c r="ZP137" i="1" s="1"/>
  <c r="ZN126" i="1"/>
  <c r="ZP126" i="1" s="1"/>
  <c r="ZN121" i="1"/>
  <c r="ZP121" i="1" s="1"/>
  <c r="ZN115" i="1"/>
  <c r="ZP115" i="1" s="1"/>
  <c r="ZN35" i="1"/>
  <c r="ZP35" i="1" s="1"/>
  <c r="ZN8" i="1"/>
  <c r="ZP8" i="1" s="1"/>
  <c r="ZE419" i="1"/>
  <c r="ZG419" i="1" s="1"/>
  <c r="ZE413" i="1"/>
  <c r="ZG413" i="1" s="1"/>
  <c r="ZE396" i="1"/>
  <c r="ZE381" i="1"/>
  <c r="ZG381" i="1" s="1"/>
  <c r="ZE375" i="1"/>
  <c r="ZG375" i="1" s="1"/>
  <c r="ZE364" i="1"/>
  <c r="ZG364" i="1" s="1"/>
  <c r="ZE354" i="1"/>
  <c r="ZG354" i="1" s="1"/>
  <c r="ZE343" i="1"/>
  <c r="ZG343" i="1" s="1"/>
  <c r="ZE337" i="1"/>
  <c r="ZG337" i="1" s="1"/>
  <c r="ZE276" i="1"/>
  <c r="ZG276" i="1" s="1"/>
  <c r="ZE270" i="1"/>
  <c r="ZG270" i="1" s="1"/>
  <c r="ZE243" i="1"/>
  <c r="ZG243" i="1" s="1"/>
  <c r="ZE237" i="1"/>
  <c r="ZG237" i="1" s="1"/>
  <c r="ZE231" i="1"/>
  <c r="ZG231" i="1" s="1"/>
  <c r="ZW420" i="1"/>
  <c r="ZY420" i="1" s="1"/>
  <c r="ZW414" i="1"/>
  <c r="ZY414" i="1" s="1"/>
  <c r="ZW397" i="1"/>
  <c r="ZY397" i="1" s="1"/>
  <c r="ZW382" i="1"/>
  <c r="ZY382" i="1" s="1"/>
  <c r="ZW377" i="1"/>
  <c r="ZY377" i="1" s="1"/>
  <c r="ZW351" i="1"/>
  <c r="ZY351" i="1" s="1"/>
  <c r="ZW345" i="1"/>
  <c r="ZY345" i="1" s="1"/>
  <c r="ZW334" i="1"/>
  <c r="ZY334" i="1" s="1"/>
  <c r="ZW328" i="1"/>
  <c r="ZY328" i="1" s="1"/>
  <c r="ZW303" i="1"/>
  <c r="ZY303" i="1" s="1"/>
  <c r="ZW298" i="1"/>
  <c r="ZY298" i="1" s="1"/>
  <c r="ZW279" i="1"/>
  <c r="ZY279" i="1" s="1"/>
  <c r="ZW268" i="1"/>
  <c r="ZY268" i="1" s="1"/>
  <c r="ZW258" i="1"/>
  <c r="ZY258" i="1" s="1"/>
  <c r="ZW248" i="1"/>
  <c r="ZY248" i="1" s="1"/>
  <c r="ZW243" i="1"/>
  <c r="ZY243" i="1" s="1"/>
  <c r="ZW232" i="1"/>
  <c r="ZY232" i="1" s="1"/>
  <c r="ZW212" i="1"/>
  <c r="ZY212" i="1" s="1"/>
  <c r="ZW195" i="1"/>
  <c r="ZW174" i="1"/>
  <c r="ZY174" i="1" s="1"/>
  <c r="ZW164" i="1"/>
  <c r="ZY164" i="1" s="1"/>
  <c r="ZW158" i="1"/>
  <c r="ZY158" i="1" s="1"/>
  <c r="ZW147" i="1"/>
  <c r="ZW103" i="1"/>
  <c r="ZY103" i="1" s="1"/>
  <c r="ZW98" i="1"/>
  <c r="ZY98" i="1" s="1"/>
  <c r="ZW87" i="1"/>
  <c r="ZY87" i="1" s="1"/>
  <c r="ZW82" i="1"/>
  <c r="ZY82" i="1" s="1"/>
  <c r="ZW76" i="1"/>
  <c r="ZW62" i="1"/>
  <c r="ZY62" i="1" s="1"/>
  <c r="ZW53" i="1"/>
  <c r="ZY53" i="1" s="1"/>
  <c r="ZW44" i="1"/>
  <c r="ZY44" i="1" s="1"/>
  <c r="ZW35" i="1"/>
  <c r="ZY35" i="1" s="1"/>
  <c r="ZW17" i="1"/>
  <c r="ZY17" i="1" s="1"/>
  <c r="ZW12" i="1"/>
  <c r="ZY12" i="1" s="1"/>
  <c r="ZW7" i="1"/>
  <c r="ZY7" i="1" s="1"/>
  <c r="ZN424" i="1"/>
  <c r="ZP424" i="1" s="1"/>
  <c r="ZN413" i="1"/>
  <c r="ZP413" i="1" s="1"/>
  <c r="ZN407" i="1"/>
  <c r="ZP407" i="1" s="1"/>
  <c r="ZN380" i="1"/>
  <c r="ZP380" i="1" s="1"/>
  <c r="ZN375" i="1"/>
  <c r="ZP375" i="1" s="1"/>
  <c r="ZN364" i="1"/>
  <c r="ZP364" i="1" s="1"/>
  <c r="ZN354" i="1"/>
  <c r="ZP354" i="1" s="1"/>
  <c r="ZN337" i="1"/>
  <c r="ZP337" i="1" s="1"/>
  <c r="ZN311" i="1"/>
  <c r="ZP311" i="1" s="1"/>
  <c r="ZN300" i="1"/>
  <c r="ZP300" i="1" s="1"/>
  <c r="ZN294" i="1"/>
  <c r="ZP294" i="1" s="1"/>
  <c r="ZN279" i="1"/>
  <c r="ZP279" i="1" s="1"/>
  <c r="ZN262" i="1"/>
  <c r="ZP262" i="1" s="1"/>
  <c r="ZN229" i="1"/>
  <c r="ZP229" i="1" s="1"/>
  <c r="ZN223" i="1"/>
  <c r="ZP223" i="1" s="1"/>
  <c r="ZN207" i="1"/>
  <c r="ZP207" i="1" s="1"/>
  <c r="ZN201" i="1"/>
  <c r="ZP201" i="1" s="1"/>
  <c r="ZN195" i="1"/>
  <c r="ZP195" i="1" s="1"/>
  <c r="ZN189" i="1"/>
  <c r="ZP189" i="1" s="1"/>
  <c r="ZN183" i="1"/>
  <c r="ZN173" i="1"/>
  <c r="ZP173" i="1" s="1"/>
  <c r="ZN162" i="1"/>
  <c r="ZP162" i="1" s="1"/>
  <c r="ZN136" i="1"/>
  <c r="ZP136" i="1" s="1"/>
  <c r="ZN120" i="1"/>
  <c r="ZP120" i="1" s="1"/>
  <c r="ZN114" i="1"/>
  <c r="ZP114" i="1" s="1"/>
  <c r="ZN88" i="1"/>
  <c r="ZP88" i="1" s="1"/>
  <c r="ZN77" i="1"/>
  <c r="ZP77" i="1" s="1"/>
  <c r="ZE418" i="1"/>
  <c r="ZG418" i="1" s="1"/>
  <c r="ZE412" i="1"/>
  <c r="ZG412" i="1" s="1"/>
  <c r="ZE380" i="1"/>
  <c r="ZG380" i="1" s="1"/>
  <c r="ZE374" i="1"/>
  <c r="ZG374" i="1" s="1"/>
  <c r="ZE363" i="1"/>
  <c r="ZG363" i="1" s="1"/>
  <c r="ZE353" i="1"/>
  <c r="ZG353" i="1" s="1"/>
  <c r="ZE342" i="1"/>
  <c r="ZG342" i="1" s="1"/>
  <c r="ZE336" i="1"/>
  <c r="ZG336" i="1" s="1"/>
  <c r="ZE275" i="1"/>
  <c r="ZG275" i="1" s="1"/>
  <c r="ZW407" i="1"/>
  <c r="ZY407" i="1" s="1"/>
  <c r="ZW401" i="1"/>
  <c r="ZY401" i="1" s="1"/>
  <c r="ZW370" i="1"/>
  <c r="ZY370" i="1" s="1"/>
  <c r="ZW363" i="1"/>
  <c r="ZY363" i="1" s="1"/>
  <c r="ZW344" i="1"/>
  <c r="ZY344" i="1" s="1"/>
  <c r="ZW331" i="1"/>
  <c r="ZY331" i="1" s="1"/>
  <c r="ZW313" i="1"/>
  <c r="ZY313" i="1" s="1"/>
  <c r="ZW300" i="1"/>
  <c r="ZY300" i="1" s="1"/>
  <c r="ZW293" i="1"/>
  <c r="ZY293" i="1" s="1"/>
  <c r="ZW284" i="1"/>
  <c r="ZY284" i="1" s="1"/>
  <c r="ZW278" i="1"/>
  <c r="ZY278" i="1" s="1"/>
  <c r="ZW272" i="1"/>
  <c r="ZY272" i="1" s="1"/>
  <c r="ZW260" i="1"/>
  <c r="ZY260" i="1" s="1"/>
  <c r="ZW230" i="1"/>
  <c r="ZY230" i="1" s="1"/>
  <c r="ZW225" i="1"/>
  <c r="ZY225" i="1" s="1"/>
  <c r="ZW219" i="1"/>
  <c r="ZY219" i="1" s="1"/>
  <c r="ZW188" i="1"/>
  <c r="ZY188" i="1" s="1"/>
  <c r="ZW157" i="1"/>
  <c r="ZY157" i="1" s="1"/>
  <c r="ZW122" i="1"/>
  <c r="ZY122" i="1" s="1"/>
  <c r="ZW61" i="1"/>
  <c r="ZY61" i="1" s="1"/>
  <c r="ZW43" i="1"/>
  <c r="ZY43" i="1" s="1"/>
  <c r="ZW33" i="1"/>
  <c r="ZY33" i="1" s="1"/>
  <c r="ZW28" i="1"/>
  <c r="ZY28" i="1" s="1"/>
  <c r="ZW21" i="1"/>
  <c r="ZY21" i="1" s="1"/>
  <c r="ZW15" i="1"/>
  <c r="ZY15" i="1" s="1"/>
  <c r="ZW9" i="1"/>
  <c r="ZY9" i="1" s="1"/>
  <c r="ZN417" i="1"/>
  <c r="ZP417" i="1" s="1"/>
  <c r="ZN396" i="1"/>
  <c r="ZN348" i="1"/>
  <c r="ZP348" i="1" s="1"/>
  <c r="ZN305" i="1"/>
  <c r="ZP305" i="1" s="1"/>
  <c r="ZN298" i="1"/>
  <c r="ZP298" i="1" s="1"/>
  <c r="ZN273" i="1"/>
  <c r="ZP273" i="1" s="1"/>
  <c r="ZN221" i="1"/>
  <c r="ZP221" i="1" s="1"/>
  <c r="ZN210" i="1"/>
  <c r="ZP210" i="1" s="1"/>
  <c r="ZN186" i="1"/>
  <c r="ZP186" i="1" s="1"/>
  <c r="ZN161" i="1"/>
  <c r="ZP161" i="1" s="1"/>
  <c r="ZN155" i="1"/>
  <c r="ZP155" i="1" s="1"/>
  <c r="ZN127" i="1"/>
  <c r="ZP127" i="1" s="1"/>
  <c r="ZW413" i="1"/>
  <c r="ZY413" i="1" s="1"/>
  <c r="ZW375" i="1"/>
  <c r="ZY375" i="1" s="1"/>
  <c r="ZW337" i="1"/>
  <c r="ZY337" i="1" s="1"/>
  <c r="ZW319" i="1"/>
  <c r="ZY319" i="1" s="1"/>
  <c r="ZW306" i="1"/>
  <c r="ZY306" i="1" s="1"/>
  <c r="ZW242" i="1"/>
  <c r="ZY242" i="1" s="1"/>
  <c r="ZW236" i="1"/>
  <c r="ZY236" i="1" s="1"/>
  <c r="ZW201" i="1"/>
  <c r="ZY201" i="1" s="1"/>
  <c r="ZW194" i="1"/>
  <c r="ZY194" i="1" s="1"/>
  <c r="ZW177" i="1"/>
  <c r="ZY177" i="1" s="1"/>
  <c r="ZW150" i="1"/>
  <c r="ZY150" i="1" s="1"/>
  <c r="ZW140" i="1"/>
  <c r="ZY140" i="1" s="1"/>
  <c r="ZW127" i="1"/>
  <c r="ZY127" i="1" s="1"/>
  <c r="ZW91" i="1"/>
  <c r="ZY91" i="1" s="1"/>
  <c r="ZW85" i="1"/>
  <c r="ZY85" i="1" s="1"/>
  <c r="ZW66" i="1"/>
  <c r="ZY66" i="1" s="1"/>
  <c r="ZW55" i="1"/>
  <c r="ZY55" i="1" s="1"/>
  <c r="ZN423" i="1"/>
  <c r="ZP423" i="1" s="1"/>
  <c r="ZN410" i="1"/>
  <c r="ZP410" i="1" s="1"/>
  <c r="ZN402" i="1"/>
  <c r="ZP402" i="1" s="1"/>
  <c r="ZN385" i="1"/>
  <c r="ZP385" i="1" s="1"/>
  <c r="ZN372" i="1"/>
  <c r="ZP372" i="1" s="1"/>
  <c r="ZN328" i="1"/>
  <c r="ZP328" i="1" s="1"/>
  <c r="ZN266" i="1"/>
  <c r="ZP266" i="1" s="1"/>
  <c r="ZN259" i="1"/>
  <c r="ZP259" i="1" s="1"/>
  <c r="ZN235" i="1"/>
  <c r="ZP235" i="1" s="1"/>
  <c r="ZN228" i="1"/>
  <c r="ZP228" i="1" s="1"/>
  <c r="ZN193" i="1"/>
  <c r="ZP193" i="1" s="1"/>
  <c r="ZN167" i="1"/>
  <c r="ZP167" i="1" s="1"/>
  <c r="ZN149" i="1"/>
  <c r="ZP149" i="1" s="1"/>
  <c r="ZN139" i="1"/>
  <c r="ZP139" i="1" s="1"/>
  <c r="ZN132" i="1"/>
  <c r="ZP132" i="1" s="1"/>
  <c r="ZN119" i="1"/>
  <c r="ZP119" i="1" s="1"/>
  <c r="ZN90" i="1"/>
  <c r="ZP90" i="1" s="1"/>
  <c r="ZN67" i="1"/>
  <c r="ZP67" i="1" s="1"/>
  <c r="ZN62" i="1"/>
  <c r="ZP62" i="1" s="1"/>
  <c r="ZN52" i="1"/>
  <c r="ZP52" i="1" s="1"/>
  <c r="ZN15" i="1"/>
  <c r="ZP15" i="1" s="1"/>
  <c r="ZE421" i="1"/>
  <c r="ZG421" i="1" s="1"/>
  <c r="ZE408" i="1"/>
  <c r="ZG408" i="1" s="1"/>
  <c r="ZE402" i="1"/>
  <c r="ZG402" i="1" s="1"/>
  <c r="ZE373" i="1"/>
  <c r="ZG373" i="1" s="1"/>
  <c r="ZE361" i="1"/>
  <c r="ZE345" i="1"/>
  <c r="ZG345" i="1" s="1"/>
  <c r="ZE338" i="1"/>
  <c r="ZG338" i="1" s="1"/>
  <c r="ZE263" i="1"/>
  <c r="ZG263" i="1" s="1"/>
  <c r="ZE257" i="1"/>
  <c r="ZG257" i="1" s="1"/>
  <c r="ZE241" i="1"/>
  <c r="ZG241" i="1" s="1"/>
  <c r="ZE228" i="1"/>
  <c r="ZG228" i="1" s="1"/>
  <c r="ZE222" i="1"/>
  <c r="ZG222" i="1" s="1"/>
  <c r="ZE212" i="1"/>
  <c r="ZG212" i="1" s="1"/>
  <c r="ZE206" i="1"/>
  <c r="ZG206" i="1" s="1"/>
  <c r="ZE189" i="1"/>
  <c r="ZG189" i="1" s="1"/>
  <c r="ZE183" i="1"/>
  <c r="ZE155" i="1"/>
  <c r="ZG155" i="1" s="1"/>
  <c r="ZE135" i="1"/>
  <c r="ZG135" i="1" s="1"/>
  <c r="ZE124" i="1"/>
  <c r="ZG124" i="1" s="1"/>
  <c r="ZE113" i="1"/>
  <c r="ZG113" i="1" s="1"/>
  <c r="ZE103" i="1"/>
  <c r="ZG103" i="1" s="1"/>
  <c r="ZE97" i="1"/>
  <c r="ZG97" i="1" s="1"/>
  <c r="ZE91" i="1"/>
  <c r="ZG91" i="1" s="1"/>
  <c r="ZE85" i="1"/>
  <c r="ZG85" i="1" s="1"/>
  <c r="ZE79" i="1"/>
  <c r="ZG79" i="1" s="1"/>
  <c r="ZE65" i="1"/>
  <c r="ZG65" i="1" s="1"/>
  <c r="ZE56" i="1"/>
  <c r="ZG56" i="1" s="1"/>
  <c r="ZE34" i="1"/>
  <c r="ZG34" i="1" s="1"/>
  <c r="ZW425" i="1"/>
  <c r="ZY425" i="1" s="1"/>
  <c r="ZW405" i="1"/>
  <c r="ZY405" i="1" s="1"/>
  <c r="ZW387" i="1"/>
  <c r="ZY387" i="1" s="1"/>
  <c r="ZW380" i="1"/>
  <c r="ZY380" i="1" s="1"/>
  <c r="ZW374" i="1"/>
  <c r="ZY374" i="1" s="1"/>
  <c r="ZW342" i="1"/>
  <c r="ZY342" i="1" s="1"/>
  <c r="ZW270" i="1"/>
  <c r="ZY270" i="1" s="1"/>
  <c r="ZW247" i="1"/>
  <c r="ZY247" i="1" s="1"/>
  <c r="ZW206" i="1"/>
  <c r="ZY206" i="1" s="1"/>
  <c r="ZW186" i="1"/>
  <c r="ZY186" i="1" s="1"/>
  <c r="ZW155" i="1"/>
  <c r="ZY155" i="1" s="1"/>
  <c r="ZW138" i="1"/>
  <c r="ZY138" i="1" s="1"/>
  <c r="ZW132" i="1"/>
  <c r="ZY132" i="1" s="1"/>
  <c r="ZW120" i="1"/>
  <c r="ZY120" i="1" s="1"/>
  <c r="ZW102" i="1"/>
  <c r="ZY102" i="1" s="1"/>
  <c r="ZW96" i="1"/>
  <c r="ZY96" i="1" s="1"/>
  <c r="ZW65" i="1"/>
  <c r="ZY65" i="1" s="1"/>
  <c r="ZW31" i="1"/>
  <c r="ZY31" i="1" s="1"/>
  <c r="ZN415" i="1"/>
  <c r="ZP415" i="1" s="1"/>
  <c r="ZN390" i="1"/>
  <c r="ZP390" i="1" s="1"/>
  <c r="ZN384" i="1"/>
  <c r="ZP384" i="1" s="1"/>
  <c r="ZN370" i="1"/>
  <c r="ZP370" i="1" s="1"/>
  <c r="ZN363" i="1"/>
  <c r="ZP363" i="1" s="1"/>
  <c r="ZN346" i="1"/>
  <c r="ZP346" i="1" s="1"/>
  <c r="ZN340" i="1"/>
  <c r="ZP340" i="1" s="1"/>
  <c r="ZN326" i="1"/>
  <c r="ZP326" i="1" s="1"/>
  <c r="ZN316" i="1"/>
  <c r="ZP316" i="1" s="1"/>
  <c r="ZN309" i="1"/>
  <c r="ZP309" i="1" s="1"/>
  <c r="ZN303" i="1"/>
  <c r="ZP303" i="1" s="1"/>
  <c r="ZN284" i="1"/>
  <c r="ZP284" i="1" s="1"/>
  <c r="ZN277" i="1"/>
  <c r="ZP277" i="1" s="1"/>
  <c r="ZN271" i="1"/>
  <c r="ZP271" i="1" s="1"/>
  <c r="ZN265" i="1"/>
  <c r="ZP265" i="1" s="1"/>
  <c r="ZN257" i="1"/>
  <c r="ZP257" i="1" s="1"/>
  <c r="ZN240" i="1"/>
  <c r="ZP240" i="1" s="1"/>
  <c r="ZN199" i="1"/>
  <c r="ZP199" i="1" s="1"/>
  <c r="ZN101" i="1"/>
  <c r="ZP101" i="1" s="1"/>
  <c r="ZN82" i="1"/>
  <c r="ZP82" i="1" s="1"/>
  <c r="ZN61" i="1"/>
  <c r="ZP61" i="1" s="1"/>
  <c r="ZN45" i="1"/>
  <c r="ZP45" i="1" s="1"/>
  <c r="ZN24" i="1"/>
  <c r="ZP24" i="1" s="1"/>
  <c r="ZN19" i="1"/>
  <c r="ZP19" i="1" s="1"/>
  <c r="ZN14" i="1"/>
  <c r="ZP14" i="1" s="1"/>
  <c r="ZN9" i="1"/>
  <c r="ZP9" i="1" s="1"/>
  <c r="ZE420" i="1"/>
  <c r="ZG420" i="1" s="1"/>
  <c r="ZE385" i="1"/>
  <c r="ZG385" i="1" s="1"/>
  <c r="ZE372" i="1"/>
  <c r="ZG372" i="1" s="1"/>
  <c r="ZE366" i="1"/>
  <c r="ZG366" i="1" s="1"/>
  <c r="ZE349" i="1"/>
  <c r="ZG349" i="1" s="1"/>
  <c r="ZE330" i="1"/>
  <c r="ZG330" i="1" s="1"/>
  <c r="ZE314" i="1"/>
  <c r="ZG314" i="1" s="1"/>
  <c r="ZE308" i="1"/>
  <c r="ZG308" i="1" s="1"/>
  <c r="ZE302" i="1"/>
  <c r="ZG302" i="1" s="1"/>
  <c r="ZE296" i="1"/>
  <c r="ZG296" i="1" s="1"/>
  <c r="ZE290" i="1"/>
  <c r="ZE256" i="1"/>
  <c r="ZG256" i="1" s="1"/>
  <c r="ZE246" i="1"/>
  <c r="ZG246" i="1" s="1"/>
  <c r="ZE233" i="1"/>
  <c r="ZG233" i="1" s="1"/>
  <c r="ZE199" i="1"/>
  <c r="ZG199" i="1" s="1"/>
  <c r="ZE193" i="1"/>
  <c r="ZG193" i="1" s="1"/>
  <c r="ZE168" i="1"/>
  <c r="ZG168" i="1" s="1"/>
  <c r="ZE163" i="1"/>
  <c r="ZG163" i="1" s="1"/>
  <c r="ZE134" i="1"/>
  <c r="ZG134" i="1" s="1"/>
  <c r="ZE117" i="1"/>
  <c r="ZG117" i="1" s="1"/>
  <c r="ZE55" i="1"/>
  <c r="ZG55" i="1" s="1"/>
  <c r="ZE46" i="1"/>
  <c r="ZG46" i="1" s="1"/>
  <c r="ZE28" i="1"/>
  <c r="ZG28" i="1" s="1"/>
  <c r="YV417" i="1"/>
  <c r="YX417" i="1" s="1"/>
  <c r="YV400" i="1"/>
  <c r="YX400" i="1" s="1"/>
  <c r="ZW419" i="1"/>
  <c r="ZY419" i="1" s="1"/>
  <c r="ZW411" i="1"/>
  <c r="ZY411" i="1" s="1"/>
  <c r="ZW403" i="1"/>
  <c r="ZY403" i="1" s="1"/>
  <c r="ZW308" i="1"/>
  <c r="ZY308" i="1" s="1"/>
  <c r="ZW301" i="1"/>
  <c r="ZY301" i="1" s="1"/>
  <c r="ZW277" i="1"/>
  <c r="ZY277" i="1" s="1"/>
  <c r="ZW256" i="1"/>
  <c r="ZY256" i="1" s="1"/>
  <c r="ZW245" i="1"/>
  <c r="ZY245" i="1" s="1"/>
  <c r="ZW238" i="1"/>
  <c r="ZY238" i="1" s="1"/>
  <c r="ZW426" i="1"/>
  <c r="ZY426" i="1" s="1"/>
  <c r="ZW376" i="1"/>
  <c r="ZY376" i="1" s="1"/>
  <c r="ZW369" i="1"/>
  <c r="ZY369" i="1" s="1"/>
  <c r="ZW361" i="1"/>
  <c r="ZW350" i="1"/>
  <c r="ZY350" i="1" s="1"/>
  <c r="ZW326" i="1"/>
  <c r="ZY326" i="1" s="1"/>
  <c r="ZW316" i="1"/>
  <c r="ZY316" i="1" s="1"/>
  <c r="ZW262" i="1"/>
  <c r="ZY262" i="1" s="1"/>
  <c r="ZW207" i="1"/>
  <c r="ZY207" i="1" s="1"/>
  <c r="ZW192" i="1"/>
  <c r="ZY192" i="1" s="1"/>
  <c r="ZW184" i="1"/>
  <c r="ZY184" i="1" s="1"/>
  <c r="ZW125" i="1"/>
  <c r="ZY125" i="1" s="1"/>
  <c r="ZW64" i="1"/>
  <c r="ZY64" i="1" s="1"/>
  <c r="ZW57" i="1"/>
  <c r="ZY57" i="1" s="1"/>
  <c r="ZW26" i="1"/>
  <c r="ZY26" i="1" s="1"/>
  <c r="ZW6" i="1"/>
  <c r="ZN412" i="1"/>
  <c r="ZP412" i="1" s="1"/>
  <c r="ZN404" i="1"/>
  <c r="ZP404" i="1" s="1"/>
  <c r="ZN349" i="1"/>
  <c r="ZP349" i="1" s="1"/>
  <c r="ZN315" i="1"/>
  <c r="ZP315" i="1" s="1"/>
  <c r="ZN308" i="1"/>
  <c r="ZP308" i="1" s="1"/>
  <c r="ZN256" i="1"/>
  <c r="ZP256" i="1" s="1"/>
  <c r="ZN211" i="1"/>
  <c r="ZP211" i="1" s="1"/>
  <c r="ZN166" i="1"/>
  <c r="ZP166" i="1" s="1"/>
  <c r="ZN159" i="1"/>
  <c r="ZP159" i="1" s="1"/>
  <c r="ZN152" i="1"/>
  <c r="ZP152" i="1" s="1"/>
  <c r="ZN141" i="1"/>
  <c r="ZP141" i="1" s="1"/>
  <c r="ZN112" i="1"/>
  <c r="ZN102" i="1"/>
  <c r="ZP102" i="1" s="1"/>
  <c r="ZN81" i="1"/>
  <c r="ZP81" i="1" s="1"/>
  <c r="ZN36" i="1"/>
  <c r="ZP36" i="1" s="1"/>
  <c r="ZN25" i="1"/>
  <c r="ZP25" i="1" s="1"/>
  <c r="ZN7" i="1"/>
  <c r="ZP7" i="1" s="1"/>
  <c r="ZE423" i="1"/>
  <c r="ZG423" i="1" s="1"/>
  <c r="ZE386" i="1"/>
  <c r="ZG386" i="1" s="1"/>
  <c r="ZE379" i="1"/>
  <c r="ZG379" i="1" s="1"/>
  <c r="ZE347" i="1"/>
  <c r="ZG347" i="1" s="1"/>
  <c r="ZE326" i="1"/>
  <c r="ZG326" i="1" s="1"/>
  <c r="ZE316" i="1"/>
  <c r="ZG316" i="1" s="1"/>
  <c r="ZE303" i="1"/>
  <c r="ZG303" i="1" s="1"/>
  <c r="ZE260" i="1"/>
  <c r="ZG260" i="1" s="1"/>
  <c r="ZE211" i="1"/>
  <c r="ZG211" i="1" s="1"/>
  <c r="ZE186" i="1"/>
  <c r="ZG186" i="1" s="1"/>
  <c r="ZE154" i="1"/>
  <c r="ZG154" i="1" s="1"/>
  <c r="ZE149" i="1"/>
  <c r="ZG149" i="1" s="1"/>
  <c r="ZE140" i="1"/>
  <c r="ZG140" i="1" s="1"/>
  <c r="ZE105" i="1"/>
  <c r="ZG105" i="1" s="1"/>
  <c r="ZE92" i="1"/>
  <c r="ZG92" i="1" s="1"/>
  <c r="ZE58" i="1"/>
  <c r="ZG58" i="1" s="1"/>
  <c r="ZE49" i="1"/>
  <c r="ZG49" i="1" s="1"/>
  <c r="ZE35" i="1"/>
  <c r="ZG35" i="1" s="1"/>
  <c r="YV423" i="1"/>
  <c r="YX423" i="1" s="1"/>
  <c r="YV384" i="1"/>
  <c r="YX384" i="1" s="1"/>
  <c r="YV378" i="1"/>
  <c r="YX378" i="1" s="1"/>
  <c r="YV361" i="1"/>
  <c r="YV340" i="1"/>
  <c r="YX340" i="1" s="1"/>
  <c r="YV319" i="1"/>
  <c r="YX319" i="1" s="1"/>
  <c r="YV313" i="1"/>
  <c r="YX313" i="1" s="1"/>
  <c r="YV296" i="1"/>
  <c r="YX296" i="1" s="1"/>
  <c r="YV281" i="1"/>
  <c r="YX281" i="1" s="1"/>
  <c r="YV264" i="1"/>
  <c r="YX264" i="1" s="1"/>
  <c r="YV243" i="1"/>
  <c r="YX243" i="1" s="1"/>
  <c r="YV220" i="1"/>
  <c r="YX220" i="1" s="1"/>
  <c r="YV210" i="1"/>
  <c r="YX210" i="1" s="1"/>
  <c r="YV204" i="1"/>
  <c r="YX204" i="1" s="1"/>
  <c r="YV198" i="1"/>
  <c r="YX198" i="1" s="1"/>
  <c r="YV192" i="1"/>
  <c r="YX192" i="1" s="1"/>
  <c r="YV171" i="1"/>
  <c r="YX171" i="1" s="1"/>
  <c r="YV148" i="1"/>
  <c r="YX148" i="1" s="1"/>
  <c r="YV138" i="1"/>
  <c r="YX138" i="1" s="1"/>
  <c r="YV127" i="1"/>
  <c r="YX127" i="1" s="1"/>
  <c r="YV116" i="1"/>
  <c r="YX116" i="1" s="1"/>
  <c r="YV101" i="1"/>
  <c r="YX101" i="1" s="1"/>
  <c r="YV90" i="1"/>
  <c r="YX90" i="1" s="1"/>
  <c r="YV84" i="1"/>
  <c r="YX84" i="1" s="1"/>
  <c r="YV50" i="1"/>
  <c r="YX50" i="1" s="1"/>
  <c r="YV26" i="1"/>
  <c r="YX26" i="1" s="1"/>
  <c r="YV11" i="1"/>
  <c r="YX11" i="1" s="1"/>
  <c r="YM423" i="1"/>
  <c r="YO423" i="1" s="1"/>
  <c r="YM401" i="1"/>
  <c r="YO401" i="1" s="1"/>
  <c r="YM385" i="1"/>
  <c r="YO385" i="1" s="1"/>
  <c r="YM369" i="1"/>
  <c r="YO369" i="1" s="1"/>
  <c r="YM364" i="1"/>
  <c r="YO364" i="1" s="1"/>
  <c r="YM355" i="1"/>
  <c r="YO355" i="1" s="1"/>
  <c r="YM333" i="1"/>
  <c r="YO333" i="1" s="1"/>
  <c r="YM327" i="1"/>
  <c r="YO327" i="1" s="1"/>
  <c r="YM317" i="1"/>
  <c r="YO317" i="1" s="1"/>
  <c r="YM306" i="1"/>
  <c r="YO306" i="1" s="1"/>
  <c r="YM300" i="1"/>
  <c r="YO300" i="1" s="1"/>
  <c r="YM295" i="1"/>
  <c r="YO295" i="1" s="1"/>
  <c r="YM280" i="1"/>
  <c r="YO280" i="1" s="1"/>
  <c r="YM274" i="1"/>
  <c r="YO274" i="1" s="1"/>
  <c r="YM268" i="1"/>
  <c r="YO268" i="1" s="1"/>
  <c r="YM247" i="1"/>
  <c r="YO247" i="1" s="1"/>
  <c r="YM241" i="1"/>
  <c r="YO241" i="1" s="1"/>
  <c r="YM236" i="1"/>
  <c r="YO236" i="1" s="1"/>
  <c r="YM225" i="1"/>
  <c r="YO225" i="1" s="1"/>
  <c r="YM219" i="1"/>
  <c r="YO219" i="1" s="1"/>
  <c r="YO204" i="1"/>
  <c r="YO199" i="1"/>
  <c r="ZW424" i="1"/>
  <c r="ZY424" i="1" s="1"/>
  <c r="ZW417" i="1"/>
  <c r="ZY417" i="1" s="1"/>
  <c r="ZW282" i="1"/>
  <c r="ZY282" i="1" s="1"/>
  <c r="ZW267" i="1"/>
  <c r="ZY267" i="1" s="1"/>
  <c r="ZW261" i="1"/>
  <c r="ZY261" i="1" s="1"/>
  <c r="ZW229" i="1"/>
  <c r="ZY229" i="1" s="1"/>
  <c r="ZW205" i="1"/>
  <c r="ZY205" i="1" s="1"/>
  <c r="ZW190" i="1"/>
  <c r="ZY190" i="1" s="1"/>
  <c r="ZW171" i="1"/>
  <c r="ZY171" i="1" s="1"/>
  <c r="ZW156" i="1"/>
  <c r="ZY156" i="1" s="1"/>
  <c r="ZW123" i="1"/>
  <c r="ZY123" i="1" s="1"/>
  <c r="ZW116" i="1"/>
  <c r="ZY116" i="1" s="1"/>
  <c r="ZW97" i="1"/>
  <c r="ZY97" i="1" s="1"/>
  <c r="ZW81" i="1"/>
  <c r="ZY81" i="1" s="1"/>
  <c r="ZW69" i="1"/>
  <c r="ZY69" i="1" s="1"/>
  <c r="ZW56" i="1"/>
  <c r="ZY56" i="1" s="1"/>
  <c r="ZW11" i="1"/>
  <c r="ZY11" i="1" s="1"/>
  <c r="ZN418" i="1"/>
  <c r="ZP418" i="1" s="1"/>
  <c r="ZN383" i="1"/>
  <c r="ZP383" i="1" s="1"/>
  <c r="ZN367" i="1"/>
  <c r="ZP367" i="1" s="1"/>
  <c r="ZN347" i="1"/>
  <c r="ZP347" i="1" s="1"/>
  <c r="ZN306" i="1"/>
  <c r="ZP306" i="1" s="1"/>
  <c r="ZN278" i="1"/>
  <c r="ZP278" i="1" s="1"/>
  <c r="ZN244" i="1"/>
  <c r="ZP244" i="1" s="1"/>
  <c r="ZN237" i="1"/>
  <c r="ZP237" i="1" s="1"/>
  <c r="ZN200" i="1"/>
  <c r="ZP200" i="1" s="1"/>
  <c r="ZN171" i="1"/>
  <c r="ZP171" i="1" s="1"/>
  <c r="ZN165" i="1"/>
  <c r="ZP165" i="1" s="1"/>
  <c r="ZN157" i="1"/>
  <c r="ZP157" i="1" s="1"/>
  <c r="ZN125" i="1"/>
  <c r="ZP125" i="1" s="1"/>
  <c r="ZN100" i="1"/>
  <c r="ZP100" i="1" s="1"/>
  <c r="ZN86" i="1"/>
  <c r="ZP86" i="1" s="1"/>
  <c r="ZN57" i="1"/>
  <c r="ZP57" i="1" s="1"/>
  <c r="ZN34" i="1"/>
  <c r="ZP34" i="1" s="1"/>
  <c r="ZN6" i="1"/>
  <c r="ZE414" i="1"/>
  <c r="ZG414" i="1" s="1"/>
  <c r="ZE407" i="1"/>
  <c r="ZG407" i="1" s="1"/>
  <c r="ZE384" i="1"/>
  <c r="ZG384" i="1" s="1"/>
  <c r="ZE370" i="1"/>
  <c r="ZG370" i="1" s="1"/>
  <c r="ZE331" i="1"/>
  <c r="ZG331" i="1" s="1"/>
  <c r="ZE301" i="1"/>
  <c r="ZG301" i="1" s="1"/>
  <c r="ZE284" i="1"/>
  <c r="ZG284" i="1" s="1"/>
  <c r="ZE278" i="1"/>
  <c r="ZG278" i="1" s="1"/>
  <c r="ZE271" i="1"/>
  <c r="ZG271" i="1" s="1"/>
  <c r="ZE265" i="1"/>
  <c r="ZG265" i="1" s="1"/>
  <c r="ZE248" i="1"/>
  <c r="ZG248" i="1" s="1"/>
  <c r="ZE234" i="1"/>
  <c r="ZG234" i="1" s="1"/>
  <c r="ZE220" i="1"/>
  <c r="ZG220" i="1" s="1"/>
  <c r="ZE197" i="1"/>
  <c r="ZG197" i="1" s="1"/>
  <c r="ZE191" i="1"/>
  <c r="ZG191" i="1" s="1"/>
  <c r="ZE175" i="1"/>
  <c r="ZG175" i="1" s="1"/>
  <c r="ZE164" i="1"/>
  <c r="ZG164" i="1" s="1"/>
  <c r="ZE158" i="1"/>
  <c r="ZG158" i="1" s="1"/>
  <c r="ZE132" i="1"/>
  <c r="ZG132" i="1" s="1"/>
  <c r="ZE126" i="1"/>
  <c r="ZG126" i="1" s="1"/>
  <c r="ZE120" i="1"/>
  <c r="ZG120" i="1" s="1"/>
  <c r="ZE114" i="1"/>
  <c r="ZG114" i="1" s="1"/>
  <c r="ZE90" i="1"/>
  <c r="ZG90" i="1" s="1"/>
  <c r="ZE77" i="1"/>
  <c r="ZE67" i="1"/>
  <c r="ZG67" i="1" s="1"/>
  <c r="ZE57" i="1"/>
  <c r="ZG57" i="1" s="1"/>
  <c r="ZE52" i="1"/>
  <c r="ZG52" i="1" s="1"/>
  <c r="ZE33" i="1"/>
  <c r="ZG33" i="1" s="1"/>
  <c r="ZE23" i="1"/>
  <c r="ZG23" i="1" s="1"/>
  <c r="ZE18" i="1"/>
  <c r="ZG18" i="1" s="1"/>
  <c r="YV410" i="1"/>
  <c r="YX410" i="1" s="1"/>
  <c r="YV404" i="1"/>
  <c r="YX404" i="1" s="1"/>
  <c r="YV398" i="1"/>
  <c r="YX398" i="1" s="1"/>
  <c r="YV388" i="1"/>
  <c r="YX388" i="1" s="1"/>
  <c r="YV377" i="1"/>
  <c r="YX377" i="1" s="1"/>
  <c r="YV371" i="1"/>
  <c r="YX371" i="1" s="1"/>
  <c r="YV350" i="1"/>
  <c r="YX350" i="1" s="1"/>
  <c r="YV344" i="1"/>
  <c r="YX344" i="1" s="1"/>
  <c r="YV333" i="1"/>
  <c r="YX333" i="1" s="1"/>
  <c r="YV327" i="1"/>
  <c r="YX327" i="1" s="1"/>
  <c r="YV306" i="1"/>
  <c r="YX306" i="1" s="1"/>
  <c r="YV274" i="1"/>
  <c r="YX274" i="1" s="1"/>
  <c r="YV268" i="1"/>
  <c r="YX268" i="1" s="1"/>
  <c r="YV257" i="1"/>
  <c r="YX257" i="1" s="1"/>
  <c r="YV236" i="1"/>
  <c r="YX236" i="1" s="1"/>
  <c r="YV230" i="1"/>
  <c r="YX230" i="1" s="1"/>
  <c r="YV224" i="1"/>
  <c r="YX224" i="1" s="1"/>
  <c r="YV191" i="1"/>
  <c r="YX191" i="1" s="1"/>
  <c r="YV185" i="1"/>
  <c r="YX185" i="1" s="1"/>
  <c r="YV170" i="1"/>
  <c r="YX170" i="1" s="1"/>
  <c r="YV164" i="1"/>
  <c r="YX164" i="1" s="1"/>
  <c r="YV158" i="1"/>
  <c r="YX158" i="1" s="1"/>
  <c r="YV131" i="1"/>
  <c r="YX131" i="1" s="1"/>
  <c r="YV120" i="1"/>
  <c r="YX120" i="1" s="1"/>
  <c r="YV105" i="1"/>
  <c r="YX105" i="1" s="1"/>
  <c r="YV77" i="1"/>
  <c r="YX77" i="1" s="1"/>
  <c r="YV34" i="1"/>
  <c r="YX34" i="1" s="1"/>
  <c r="YM411" i="1"/>
  <c r="YO411" i="1" s="1"/>
  <c r="YM405" i="1"/>
  <c r="YO405" i="1" s="1"/>
  <c r="YM384" i="1"/>
  <c r="YO384" i="1" s="1"/>
  <c r="YM373" i="1"/>
  <c r="YO373" i="1" s="1"/>
  <c r="YM348" i="1"/>
  <c r="YO348" i="1" s="1"/>
  <c r="YM343" i="1"/>
  <c r="YO343" i="1" s="1"/>
  <c r="YM337" i="1"/>
  <c r="YO337" i="1" s="1"/>
  <c r="YM316" i="1"/>
  <c r="YO316" i="1" s="1"/>
  <c r="YM310" i="1"/>
  <c r="YO310" i="1" s="1"/>
  <c r="YM299" i="1"/>
  <c r="YO299" i="1" s="1"/>
  <c r="YM284" i="1"/>
  <c r="YO284" i="1" s="1"/>
  <c r="YM261" i="1"/>
  <c r="YO261" i="1" s="1"/>
  <c r="ZW408" i="1"/>
  <c r="ZY408" i="1" s="1"/>
  <c r="ZW381" i="1"/>
  <c r="ZY381" i="1" s="1"/>
  <c r="ZW366" i="1"/>
  <c r="ZY366" i="1" s="1"/>
  <c r="ZW355" i="1"/>
  <c r="ZY355" i="1" s="1"/>
  <c r="ZW348" i="1"/>
  <c r="ZY348" i="1" s="1"/>
  <c r="ZW339" i="1"/>
  <c r="ZY339" i="1" s="1"/>
  <c r="ZW332" i="1"/>
  <c r="ZY332" i="1" s="1"/>
  <c r="ZW305" i="1"/>
  <c r="ZY305" i="1" s="1"/>
  <c r="ZW291" i="1"/>
  <c r="ZY291" i="1" s="1"/>
  <c r="ZW274" i="1"/>
  <c r="ZY274" i="1" s="1"/>
  <c r="ZW235" i="1"/>
  <c r="ZY235" i="1" s="1"/>
  <c r="ZW222" i="1"/>
  <c r="ZY222" i="1" s="1"/>
  <c r="ZW211" i="1"/>
  <c r="ZY211" i="1" s="1"/>
  <c r="ZW198" i="1"/>
  <c r="ZY198" i="1" s="1"/>
  <c r="ZW130" i="1"/>
  <c r="ZY130" i="1" s="1"/>
  <c r="ZW89" i="1"/>
  <c r="ZY89" i="1" s="1"/>
  <c r="ZW48" i="1"/>
  <c r="ZY48" i="1" s="1"/>
  <c r="ZW30" i="1"/>
  <c r="ZY30" i="1" s="1"/>
  <c r="ZW24" i="1"/>
  <c r="ZY24" i="1" s="1"/>
  <c r="ZN401" i="1"/>
  <c r="ZP401" i="1" s="1"/>
  <c r="ZN374" i="1"/>
  <c r="ZP374" i="1" s="1"/>
  <c r="ZN331" i="1"/>
  <c r="ZP331" i="1" s="1"/>
  <c r="ZN297" i="1"/>
  <c r="ZP297" i="1" s="1"/>
  <c r="ZN270" i="1"/>
  <c r="ZP270" i="1" s="1"/>
  <c r="ZN254" i="1"/>
  <c r="ZN220" i="1"/>
  <c r="ZP220" i="1" s="1"/>
  <c r="ZN150" i="1"/>
  <c r="ZP150" i="1" s="1"/>
  <c r="ZN131" i="1"/>
  <c r="ZP131" i="1" s="1"/>
  <c r="ZN117" i="1"/>
  <c r="ZP117" i="1" s="1"/>
  <c r="ZN93" i="1"/>
  <c r="ZP93" i="1" s="1"/>
  <c r="ZN79" i="1"/>
  <c r="ZP79" i="1" s="1"/>
  <c r="ZN68" i="1"/>
  <c r="ZP68" i="1" s="1"/>
  <c r="ZN44" i="1"/>
  <c r="ZP44" i="1" s="1"/>
  <c r="ZN29" i="1"/>
  <c r="ZP29" i="1" s="1"/>
  <c r="ZN11" i="1"/>
  <c r="ZP11" i="1" s="1"/>
  <c r="ZE400" i="1"/>
  <c r="ZG400" i="1" s="1"/>
  <c r="ZE390" i="1"/>
  <c r="ZG390" i="1" s="1"/>
  <c r="ZE377" i="1"/>
  <c r="ZG377" i="1" s="1"/>
  <c r="ZE351" i="1"/>
  <c r="ZG351" i="1" s="1"/>
  <c r="ZE307" i="1"/>
  <c r="ZG307" i="1" s="1"/>
  <c r="ZE294" i="1"/>
  <c r="ZG294" i="1" s="1"/>
  <c r="ZE258" i="1"/>
  <c r="ZG258" i="1" s="1"/>
  <c r="ZE240" i="1"/>
  <c r="ZG240" i="1" s="1"/>
  <c r="ZE226" i="1"/>
  <c r="ZG226" i="1" s="1"/>
  <c r="ZE209" i="1"/>
  <c r="ZG209" i="1" s="1"/>
  <c r="ZE203" i="1"/>
  <c r="ZG203" i="1" s="1"/>
  <c r="ZE184" i="1"/>
  <c r="ZG184" i="1" s="1"/>
  <c r="ZE169" i="1"/>
  <c r="ZG169" i="1" s="1"/>
  <c r="ZE138" i="1"/>
  <c r="ZG138" i="1" s="1"/>
  <c r="ZE96" i="1"/>
  <c r="ZG96" i="1" s="1"/>
  <c r="ZE83" i="1"/>
  <c r="ZG83" i="1" s="1"/>
  <c r="ZE62" i="1"/>
  <c r="ZG62" i="1" s="1"/>
  <c r="ZE47" i="1"/>
  <c r="ZG47" i="1" s="1"/>
  <c r="ZE42" i="1"/>
  <c r="ZE13" i="1"/>
  <c r="ZG13" i="1" s="1"/>
  <c r="ZE9" i="1"/>
  <c r="ZG9" i="1" s="1"/>
  <c r="YV421" i="1"/>
  <c r="YX421" i="1" s="1"/>
  <c r="YV415" i="1"/>
  <c r="YX415" i="1" s="1"/>
  <c r="YV382" i="1"/>
  <c r="YX382" i="1" s="1"/>
  <c r="YV365" i="1"/>
  <c r="YX365" i="1" s="1"/>
  <c r="YV355" i="1"/>
  <c r="YX355" i="1" s="1"/>
  <c r="YV338" i="1"/>
  <c r="YX338" i="1" s="1"/>
  <c r="YV317" i="1"/>
  <c r="YX317" i="1" s="1"/>
  <c r="YV311" i="1"/>
  <c r="YX311" i="1" s="1"/>
  <c r="YV300" i="1"/>
  <c r="YX300" i="1" s="1"/>
  <c r="YV294" i="1"/>
  <c r="YX294" i="1" s="1"/>
  <c r="YV279" i="1"/>
  <c r="YX279" i="1" s="1"/>
  <c r="YV262" i="1"/>
  <c r="YX262" i="1" s="1"/>
  <c r="YV247" i="1"/>
  <c r="YX247" i="1" s="1"/>
  <c r="YV241" i="1"/>
  <c r="YX241" i="1" s="1"/>
  <c r="YV218" i="1"/>
  <c r="YV208" i="1"/>
  <c r="YX208" i="1" s="1"/>
  <c r="YV202" i="1"/>
  <c r="YX202" i="1" s="1"/>
  <c r="YV196" i="1"/>
  <c r="YX196" i="1" s="1"/>
  <c r="YV175" i="1"/>
  <c r="YX175" i="1" s="1"/>
  <c r="YV152" i="1"/>
  <c r="YX152" i="1" s="1"/>
  <c r="ZW406" i="1"/>
  <c r="ZY406" i="1" s="1"/>
  <c r="ZW386" i="1"/>
  <c r="ZY386" i="1" s="1"/>
  <c r="ZW317" i="1"/>
  <c r="ZY317" i="1" s="1"/>
  <c r="ZW210" i="1"/>
  <c r="ZY210" i="1" s="1"/>
  <c r="ZW193" i="1"/>
  <c r="ZY193" i="1" s="1"/>
  <c r="ZW172" i="1"/>
  <c r="ZY172" i="1" s="1"/>
  <c r="ZW121" i="1"/>
  <c r="ZY121" i="1" s="1"/>
  <c r="ZW93" i="1"/>
  <c r="ZY93" i="1" s="1"/>
  <c r="ZN373" i="1"/>
  <c r="ZP373" i="1" s="1"/>
  <c r="ZN352" i="1"/>
  <c r="ZP352" i="1" s="1"/>
  <c r="ZN343" i="1"/>
  <c r="ZP343" i="1" s="1"/>
  <c r="ZN335" i="1"/>
  <c r="ZP335" i="1" s="1"/>
  <c r="ZN172" i="1"/>
  <c r="ZP172" i="1" s="1"/>
  <c r="ZN135" i="1"/>
  <c r="ZP135" i="1" s="1"/>
  <c r="ZN59" i="1"/>
  <c r="ZP59" i="1" s="1"/>
  <c r="ZN46" i="1"/>
  <c r="ZP46" i="1" s="1"/>
  <c r="ZN28" i="1"/>
  <c r="ZP28" i="1" s="1"/>
  <c r="ZN21" i="1"/>
  <c r="ZP21" i="1" s="1"/>
  <c r="ZE415" i="1"/>
  <c r="ZG415" i="1" s="1"/>
  <c r="ZE389" i="1"/>
  <c r="ZG389" i="1" s="1"/>
  <c r="ZE382" i="1"/>
  <c r="ZG382" i="1" s="1"/>
  <c r="ZE346" i="1"/>
  <c r="ZG346" i="1" s="1"/>
  <c r="ZE313" i="1"/>
  <c r="ZG313" i="1" s="1"/>
  <c r="ZE306" i="1"/>
  <c r="ZG306" i="1" s="1"/>
  <c r="ZE273" i="1"/>
  <c r="ZG273" i="1" s="1"/>
  <c r="ZE259" i="1"/>
  <c r="ZG259" i="1" s="1"/>
  <c r="ZE232" i="1"/>
  <c r="ZG232" i="1" s="1"/>
  <c r="ZE192" i="1"/>
  <c r="ZG192" i="1" s="1"/>
  <c r="ZE161" i="1"/>
  <c r="ZG161" i="1" s="1"/>
  <c r="ZE131" i="1"/>
  <c r="ZG131" i="1" s="1"/>
  <c r="ZE118" i="1"/>
  <c r="ZG118" i="1" s="1"/>
  <c r="ZE100" i="1"/>
  <c r="ZG100" i="1" s="1"/>
  <c r="ZE93" i="1"/>
  <c r="ZG93" i="1" s="1"/>
  <c r="ZE78" i="1"/>
  <c r="ZG78" i="1" s="1"/>
  <c r="ZE61" i="1"/>
  <c r="ZG61" i="1" s="1"/>
  <c r="ZE43" i="1"/>
  <c r="ZG43" i="1" s="1"/>
  <c r="ZE27" i="1"/>
  <c r="ZG27" i="1" s="1"/>
  <c r="ZE16" i="1"/>
  <c r="ZG16" i="1" s="1"/>
  <c r="ZE11" i="1"/>
  <c r="ZG11" i="1" s="1"/>
  <c r="YV416" i="1"/>
  <c r="YX416" i="1" s="1"/>
  <c r="YV403" i="1"/>
  <c r="YX403" i="1" s="1"/>
  <c r="YV386" i="1"/>
  <c r="YX386" i="1" s="1"/>
  <c r="YV373" i="1"/>
  <c r="YX373" i="1" s="1"/>
  <c r="YV343" i="1"/>
  <c r="YX343" i="1" s="1"/>
  <c r="YV330" i="1"/>
  <c r="YX330" i="1" s="1"/>
  <c r="YV293" i="1"/>
  <c r="YX293" i="1" s="1"/>
  <c r="YV240" i="1"/>
  <c r="YX240" i="1" s="1"/>
  <c r="YV227" i="1"/>
  <c r="YX227" i="1" s="1"/>
  <c r="YV221" i="1"/>
  <c r="YX221" i="1" s="1"/>
  <c r="YV195" i="1"/>
  <c r="YX195" i="1" s="1"/>
  <c r="YV172" i="1"/>
  <c r="YX172" i="1" s="1"/>
  <c r="YV159" i="1"/>
  <c r="YX159" i="1" s="1"/>
  <c r="YV153" i="1"/>
  <c r="YX153" i="1" s="1"/>
  <c r="YV136" i="1"/>
  <c r="YX136" i="1" s="1"/>
  <c r="YV130" i="1"/>
  <c r="YX130" i="1" s="1"/>
  <c r="YV124" i="1"/>
  <c r="YX124" i="1" s="1"/>
  <c r="YV118" i="1"/>
  <c r="YX118" i="1" s="1"/>
  <c r="YV112" i="1"/>
  <c r="YV102" i="1"/>
  <c r="YX102" i="1" s="1"/>
  <c r="YV96" i="1"/>
  <c r="YX96" i="1" s="1"/>
  <c r="YV83" i="1"/>
  <c r="YX83" i="1" s="1"/>
  <c r="YV61" i="1"/>
  <c r="YX61" i="1" s="1"/>
  <c r="YV46" i="1"/>
  <c r="YX46" i="1" s="1"/>
  <c r="YV25" i="1"/>
  <c r="YX25" i="1" s="1"/>
  <c r="YV20" i="1"/>
  <c r="YX20" i="1" s="1"/>
  <c r="YV9" i="1"/>
  <c r="YX9" i="1" s="1"/>
  <c r="YM403" i="1"/>
  <c r="YO403" i="1" s="1"/>
  <c r="YM397" i="1"/>
  <c r="YO397" i="1" s="1"/>
  <c r="YM387" i="1"/>
  <c r="YO387" i="1" s="1"/>
  <c r="YM375" i="1"/>
  <c r="YO375" i="1" s="1"/>
  <c r="YM363" i="1"/>
  <c r="YO363" i="1" s="1"/>
  <c r="ZW327" i="1"/>
  <c r="ZY327" i="1" s="1"/>
  <c r="ZW307" i="1"/>
  <c r="ZY307" i="1" s="1"/>
  <c r="ZW271" i="1"/>
  <c r="ZY271" i="1" s="1"/>
  <c r="ZW263" i="1"/>
  <c r="ZY263" i="1" s="1"/>
  <c r="ZW255" i="1"/>
  <c r="ZY255" i="1" s="1"/>
  <c r="ZW221" i="1"/>
  <c r="ZY221" i="1" s="1"/>
  <c r="ZW183" i="1"/>
  <c r="ZY183" i="1" s="1"/>
  <c r="ZW136" i="1"/>
  <c r="ZY136" i="1" s="1"/>
  <c r="ZW112" i="1"/>
  <c r="ZY112" i="1" s="1"/>
  <c r="ZW101" i="1"/>
  <c r="ZY101" i="1" s="1"/>
  <c r="ZW47" i="1"/>
  <c r="ZY47" i="1" s="1"/>
  <c r="ZW29" i="1"/>
  <c r="ZY29" i="1" s="1"/>
  <c r="ZW14" i="1"/>
  <c r="ZY14" i="1" s="1"/>
  <c r="ZN411" i="1"/>
  <c r="ZP411" i="1" s="1"/>
  <c r="ZN260" i="1"/>
  <c r="ZP260" i="1" s="1"/>
  <c r="ZN247" i="1"/>
  <c r="ZP247" i="1" s="1"/>
  <c r="ZN232" i="1"/>
  <c r="ZP232" i="1" s="1"/>
  <c r="ZN192" i="1"/>
  <c r="ZP192" i="1" s="1"/>
  <c r="ZN164" i="1"/>
  <c r="ZP164" i="1" s="1"/>
  <c r="ZN128" i="1"/>
  <c r="ZP128" i="1" s="1"/>
  <c r="ZN85" i="1"/>
  <c r="ZP85" i="1" s="1"/>
  <c r="ZN76" i="1"/>
  <c r="ZW423" i="1"/>
  <c r="ZY423" i="1" s="1"/>
  <c r="ZW396" i="1"/>
  <c r="ZW385" i="1"/>
  <c r="ZY385" i="1" s="1"/>
  <c r="ZW354" i="1"/>
  <c r="ZY354" i="1" s="1"/>
  <c r="ZW336" i="1"/>
  <c r="ZY336" i="1" s="1"/>
  <c r="ZW297" i="1"/>
  <c r="ZY297" i="1" s="1"/>
  <c r="ZW227" i="1"/>
  <c r="ZY227" i="1" s="1"/>
  <c r="ZW92" i="1"/>
  <c r="ZY92" i="1" s="1"/>
  <c r="ZN419" i="1"/>
  <c r="ZP419" i="1" s="1"/>
  <c r="ZN389" i="1"/>
  <c r="ZP389" i="1" s="1"/>
  <c r="ZN362" i="1"/>
  <c r="ZP362" i="1" s="1"/>
  <c r="ZN351" i="1"/>
  <c r="ZP351" i="1" s="1"/>
  <c r="ZN342" i="1"/>
  <c r="ZP342" i="1" s="1"/>
  <c r="ZN334" i="1"/>
  <c r="ZP334" i="1" s="1"/>
  <c r="ZN268" i="1"/>
  <c r="ZP268" i="1" s="1"/>
  <c r="ZN239" i="1"/>
  <c r="ZP239" i="1" s="1"/>
  <c r="ZN154" i="1"/>
  <c r="ZP154" i="1" s="1"/>
  <c r="ZW422" i="1"/>
  <c r="ZY422" i="1" s="1"/>
  <c r="ZW412" i="1"/>
  <c r="ZY412" i="1" s="1"/>
  <c r="ZW365" i="1"/>
  <c r="ZY365" i="1" s="1"/>
  <c r="ZW353" i="1"/>
  <c r="ZY353" i="1" s="1"/>
  <c r="ZW343" i="1"/>
  <c r="ZY343" i="1" s="1"/>
  <c r="ZW325" i="1"/>
  <c r="ZW296" i="1"/>
  <c r="ZY296" i="1" s="1"/>
  <c r="ZW241" i="1"/>
  <c r="ZY241" i="1" s="1"/>
  <c r="ZW169" i="1"/>
  <c r="ZY169" i="1" s="1"/>
  <c r="ZW153" i="1"/>
  <c r="ZY153" i="1" s="1"/>
  <c r="ZW126" i="1"/>
  <c r="ZY126" i="1" s="1"/>
  <c r="ZW118" i="1"/>
  <c r="ZY118" i="1" s="1"/>
  <c r="ZN388" i="1"/>
  <c r="ZP388" i="1" s="1"/>
  <c r="ZN379" i="1"/>
  <c r="ZP379" i="1" s="1"/>
  <c r="ZN361" i="1"/>
  <c r="ZN341" i="1"/>
  <c r="ZP341" i="1" s="1"/>
  <c r="ZN304" i="1"/>
  <c r="ZP304" i="1" s="1"/>
  <c r="ZN267" i="1"/>
  <c r="ZP267" i="1" s="1"/>
  <c r="ZN238" i="1"/>
  <c r="ZP238" i="1" s="1"/>
  <c r="ZN177" i="1"/>
  <c r="ZP177" i="1" s="1"/>
  <c r="ZN170" i="1"/>
  <c r="ZP170" i="1" s="1"/>
  <c r="ZN153" i="1"/>
  <c r="ZP153" i="1" s="1"/>
  <c r="ZN133" i="1"/>
  <c r="ZP133" i="1" s="1"/>
  <c r="ZN105" i="1"/>
  <c r="ZP105" i="1" s="1"/>
  <c r="ZN98" i="1"/>
  <c r="ZP98" i="1" s="1"/>
  <c r="ZN91" i="1"/>
  <c r="ZP91" i="1" s="1"/>
  <c r="ZN83" i="1"/>
  <c r="ZP83" i="1" s="1"/>
  <c r="ZN63" i="1"/>
  <c r="ZP63" i="1" s="1"/>
  <c r="ZN43" i="1"/>
  <c r="ZP43" i="1" s="1"/>
  <c r="ZN26" i="1"/>
  <c r="ZP26" i="1" s="1"/>
  <c r="ZN12" i="1"/>
  <c r="ZP12" i="1" s="1"/>
  <c r="ZE405" i="1"/>
  <c r="ZG405" i="1" s="1"/>
  <c r="ZE398" i="1"/>
  <c r="ZG398" i="1" s="1"/>
  <c r="ZE387" i="1"/>
  <c r="ZG387" i="1" s="1"/>
  <c r="ZE318" i="1"/>
  <c r="ZG318" i="1" s="1"/>
  <c r="ZE311" i="1"/>
  <c r="ZG311" i="1" s="1"/>
  <c r="ZE304" i="1"/>
  <c r="ZG304" i="1" s="1"/>
  <c r="ZE264" i="1"/>
  <c r="ZG264" i="1" s="1"/>
  <c r="ZE245" i="1"/>
  <c r="ZG245" i="1" s="1"/>
  <c r="ZE204" i="1"/>
  <c r="ZG204" i="1" s="1"/>
  <c r="ZE159" i="1"/>
  <c r="ZG159" i="1" s="1"/>
  <c r="ZE136" i="1"/>
  <c r="ZG136" i="1" s="1"/>
  <c r="ZE129" i="1"/>
  <c r="ZG129" i="1" s="1"/>
  <c r="ZE116" i="1"/>
  <c r="ZG116" i="1" s="1"/>
  <c r="ZE98" i="1"/>
  <c r="ZG98" i="1" s="1"/>
  <c r="ZE59" i="1"/>
  <c r="ZG59" i="1" s="1"/>
  <c r="ZE53" i="1"/>
  <c r="ZG53" i="1" s="1"/>
  <c r="ZE20" i="1"/>
  <c r="ZG20" i="1" s="1"/>
  <c r="ZE14" i="1"/>
  <c r="ZG14" i="1" s="1"/>
  <c r="YV328" i="1"/>
  <c r="YV310" i="1"/>
  <c r="YX310" i="1" s="1"/>
  <c r="YV304" i="1"/>
  <c r="YX304" i="1" s="1"/>
  <c r="YV298" i="1"/>
  <c r="YX298" i="1" s="1"/>
  <c r="YV291" i="1"/>
  <c r="YX291" i="1" s="1"/>
  <c r="YV275" i="1"/>
  <c r="YX275" i="1" s="1"/>
  <c r="YV255" i="1"/>
  <c r="YX255" i="1" s="1"/>
  <c r="YV238" i="1"/>
  <c r="YX238" i="1" s="1"/>
  <c r="YV225" i="1"/>
  <c r="YX225" i="1" s="1"/>
  <c r="YV207" i="1"/>
  <c r="YX207" i="1" s="1"/>
  <c r="YV200" i="1"/>
  <c r="YX200" i="1" s="1"/>
  <c r="YV193" i="1"/>
  <c r="YX193" i="1" s="1"/>
  <c r="ZW226" i="1"/>
  <c r="ZY226" i="1" s="1"/>
  <c r="ZW199" i="1"/>
  <c r="ZY199" i="1" s="1"/>
  <c r="ZW189" i="1"/>
  <c r="ZY189" i="1" s="1"/>
  <c r="ZW162" i="1"/>
  <c r="ZY162" i="1" s="1"/>
  <c r="ZW90" i="1"/>
  <c r="ZY90" i="1" s="1"/>
  <c r="ZW60" i="1"/>
  <c r="ZY60" i="1" s="1"/>
  <c r="ZW52" i="1"/>
  <c r="ZY52" i="1" s="1"/>
  <c r="ZW34" i="1"/>
  <c r="ZY34" i="1" s="1"/>
  <c r="ZW19" i="1"/>
  <c r="ZY19" i="1" s="1"/>
  <c r="ZN399" i="1"/>
  <c r="ZP399" i="1" s="1"/>
  <c r="ZN369" i="1"/>
  <c r="ZP369" i="1" s="1"/>
  <c r="ZN332" i="1"/>
  <c r="ZP332" i="1" s="1"/>
  <c r="ZN283" i="1"/>
  <c r="ZP283" i="1" s="1"/>
  <c r="ZN245" i="1"/>
  <c r="ZP245" i="1" s="1"/>
  <c r="ZN198" i="1"/>
  <c r="ZP198" i="1" s="1"/>
  <c r="ZN140" i="1"/>
  <c r="ZP140" i="1" s="1"/>
  <c r="ZN70" i="1"/>
  <c r="ZP70" i="1" s="1"/>
  <c r="ZN56" i="1"/>
  <c r="ZP56" i="1" s="1"/>
  <c r="ZN49" i="1"/>
  <c r="ZP49" i="1" s="1"/>
  <c r="ZN32" i="1"/>
  <c r="ZP32" i="1" s="1"/>
  <c r="ZN18" i="1"/>
  <c r="ZP18" i="1" s="1"/>
  <c r="ZE411" i="1"/>
  <c r="ZG411" i="1" s="1"/>
  <c r="ZE378" i="1"/>
  <c r="ZG378" i="1" s="1"/>
  <c r="ZE362" i="1"/>
  <c r="ZG362" i="1" s="1"/>
  <c r="ZE350" i="1"/>
  <c r="ZG350" i="1" s="1"/>
  <c r="ZE335" i="1"/>
  <c r="ZG335" i="1" s="1"/>
  <c r="ZE328" i="1"/>
  <c r="ZG328" i="1" s="1"/>
  <c r="ZE229" i="1"/>
  <c r="ZG229" i="1" s="1"/>
  <c r="ZE210" i="1"/>
  <c r="ZG210" i="1" s="1"/>
  <c r="ZE196" i="1"/>
  <c r="ZG196" i="1" s="1"/>
  <c r="ZE171" i="1"/>
  <c r="ZG171" i="1" s="1"/>
  <c r="ZE165" i="1"/>
  <c r="ZG165" i="1" s="1"/>
  <c r="ZE152" i="1"/>
  <c r="ZG152" i="1" s="1"/>
  <c r="ZE122" i="1"/>
  <c r="ZG122" i="1" s="1"/>
  <c r="ZE104" i="1"/>
  <c r="ZG104" i="1" s="1"/>
  <c r="ZE89" i="1"/>
  <c r="ZG89" i="1" s="1"/>
  <c r="ZE82" i="1"/>
  <c r="ZG82" i="1" s="1"/>
  <c r="YV420" i="1"/>
  <c r="YX420" i="1" s="1"/>
  <c r="YV407" i="1"/>
  <c r="YX407" i="1" s="1"/>
  <c r="YV401" i="1"/>
  <c r="YX401" i="1" s="1"/>
  <c r="YV390" i="1"/>
  <c r="YX390" i="1" s="1"/>
  <c r="YV370" i="1"/>
  <c r="YX370" i="1" s="1"/>
  <c r="YV364" i="1"/>
  <c r="YX364" i="1" s="1"/>
  <c r="YV353" i="1"/>
  <c r="YX353" i="1" s="1"/>
  <c r="YV347" i="1"/>
  <c r="YX347" i="1" s="1"/>
  <c r="YV341" i="1"/>
  <c r="YX341" i="1" s="1"/>
  <c r="YV334" i="1"/>
  <c r="YX334" i="1" s="1"/>
  <c r="YV261" i="1"/>
  <c r="YX261" i="1" s="1"/>
  <c r="YV244" i="1"/>
  <c r="YX244" i="1" s="1"/>
  <c r="YV231" i="1"/>
  <c r="YX231" i="1" s="1"/>
  <c r="YV186" i="1"/>
  <c r="YX186" i="1" s="1"/>
  <c r="YV176" i="1"/>
  <c r="YX176" i="1" s="1"/>
  <c r="YV169" i="1"/>
  <c r="YX169" i="1" s="1"/>
  <c r="YV156" i="1"/>
  <c r="YX156" i="1" s="1"/>
  <c r="YV150" i="1"/>
  <c r="YX150" i="1" s="1"/>
  <c r="YV115" i="1"/>
  <c r="YX115" i="1" s="1"/>
  <c r="YV99" i="1"/>
  <c r="YX99" i="1" s="1"/>
  <c r="YV87" i="1"/>
  <c r="YX87" i="1" s="1"/>
  <c r="YV59" i="1"/>
  <c r="YX59" i="1" s="1"/>
  <c r="YV49" i="1"/>
  <c r="YX49" i="1" s="1"/>
  <c r="YV44" i="1"/>
  <c r="YX44" i="1" s="1"/>
  <c r="YV28" i="1"/>
  <c r="YX28" i="1" s="1"/>
  <c r="YV23" i="1"/>
  <c r="YX23" i="1" s="1"/>
  <c r="YM407" i="1"/>
  <c r="YO407" i="1" s="1"/>
  <c r="YM378" i="1"/>
  <c r="YO378" i="1" s="1"/>
  <c r="YM372" i="1"/>
  <c r="YO372" i="1" s="1"/>
  <c r="YM361" i="1"/>
  <c r="YM351" i="1"/>
  <c r="YO351" i="1" s="1"/>
  <c r="YM345" i="1"/>
  <c r="YO345" i="1" s="1"/>
  <c r="YM332" i="1"/>
  <c r="YO332" i="1" s="1"/>
  <c r="ZW281" i="1"/>
  <c r="ZY281" i="1" s="1"/>
  <c r="ZW240" i="1"/>
  <c r="ZY240" i="1" s="1"/>
  <c r="ZW137" i="1"/>
  <c r="ZY137" i="1" s="1"/>
  <c r="ZW46" i="1"/>
  <c r="ZY46" i="1" s="1"/>
  <c r="ZN386" i="1"/>
  <c r="ZP386" i="1" s="1"/>
  <c r="ZN330" i="1"/>
  <c r="ZP330" i="1" s="1"/>
  <c r="ZN319" i="1"/>
  <c r="ZP319" i="1" s="1"/>
  <c r="ZN310" i="1"/>
  <c r="ZP310" i="1" s="1"/>
  <c r="ZN227" i="1"/>
  <c r="ZP227" i="1" s="1"/>
  <c r="ZN205" i="1"/>
  <c r="ZP205" i="1" s="1"/>
  <c r="ZN94" i="1"/>
  <c r="ZP94" i="1" s="1"/>
  <c r="ZN47" i="1"/>
  <c r="ZP47" i="1" s="1"/>
  <c r="ZN10" i="1"/>
  <c r="ZP10" i="1" s="1"/>
  <c r="ZE416" i="1"/>
  <c r="ZG416" i="1" s="1"/>
  <c r="ZE369" i="1"/>
  <c r="ZG369" i="1" s="1"/>
  <c r="ZE348" i="1"/>
  <c r="ZG348" i="1" s="1"/>
  <c r="ZE340" i="1"/>
  <c r="ZG340" i="1" s="1"/>
  <c r="ZE332" i="1"/>
  <c r="ZG332" i="1" s="1"/>
  <c r="ZE312" i="1"/>
  <c r="ZG312" i="1" s="1"/>
  <c r="ZE269" i="1"/>
  <c r="ZG269" i="1" s="1"/>
  <c r="ZE262" i="1"/>
  <c r="ZG262" i="1" s="1"/>
  <c r="ZE205" i="1"/>
  <c r="ZG205" i="1" s="1"/>
  <c r="ZE198" i="1"/>
  <c r="ZG198" i="1" s="1"/>
  <c r="ZE156" i="1"/>
  <c r="ZG156" i="1" s="1"/>
  <c r="ZE130" i="1"/>
  <c r="ZG130" i="1" s="1"/>
  <c r="ZE102" i="1"/>
  <c r="ZG102" i="1" s="1"/>
  <c r="ZE94" i="1"/>
  <c r="ZG94" i="1" s="1"/>
  <c r="ZE15" i="1"/>
  <c r="ZG15" i="1" s="1"/>
  <c r="YV412" i="1"/>
  <c r="YX412" i="1" s="1"/>
  <c r="YV405" i="1"/>
  <c r="YX405" i="1" s="1"/>
  <c r="YV397" i="1"/>
  <c r="YX397" i="1" s="1"/>
  <c r="YV337" i="1"/>
  <c r="YX337" i="1" s="1"/>
  <c r="YV272" i="1"/>
  <c r="YX272" i="1" s="1"/>
  <c r="YV157" i="1"/>
  <c r="YX157" i="1" s="1"/>
  <c r="YV139" i="1"/>
  <c r="YX139" i="1" s="1"/>
  <c r="YV119" i="1"/>
  <c r="YX119" i="1" s="1"/>
  <c r="YV88" i="1"/>
  <c r="YX88" i="1" s="1"/>
  <c r="YV31" i="1"/>
  <c r="YX31" i="1" s="1"/>
  <c r="YV13" i="1"/>
  <c r="YX13" i="1" s="1"/>
  <c r="YM413" i="1"/>
  <c r="YO413" i="1" s="1"/>
  <c r="YM406" i="1"/>
  <c r="YO406" i="1" s="1"/>
  <c r="YM399" i="1"/>
  <c r="YO399" i="1" s="1"/>
  <c r="YM381" i="1"/>
  <c r="YO381" i="1" s="1"/>
  <c r="YM344" i="1"/>
  <c r="YO344" i="1" s="1"/>
  <c r="YM301" i="1"/>
  <c r="YO301" i="1" s="1"/>
  <c r="YM272" i="1"/>
  <c r="YO272" i="1" s="1"/>
  <c r="YM238" i="1"/>
  <c r="YO238" i="1" s="1"/>
  <c r="YM232" i="1"/>
  <c r="YO232" i="1" s="1"/>
  <c r="YM220" i="1"/>
  <c r="YO220" i="1" s="1"/>
  <c r="YO210" i="1"/>
  <c r="YO172" i="1"/>
  <c r="YO161" i="1"/>
  <c r="YM140" i="1"/>
  <c r="YO140" i="1" s="1"/>
  <c r="YM134" i="1"/>
  <c r="YO134" i="1" s="1"/>
  <c r="YM117" i="1"/>
  <c r="YO117" i="1" s="1"/>
  <c r="YM84" i="1"/>
  <c r="YO84" i="1" s="1"/>
  <c r="YM64" i="1"/>
  <c r="YO64" i="1" s="1"/>
  <c r="YM54" i="1"/>
  <c r="YO54" i="1" s="1"/>
  <c r="YM49" i="1"/>
  <c r="YO49" i="1" s="1"/>
  <c r="YM44" i="1"/>
  <c r="YO44" i="1" s="1"/>
  <c r="YM16" i="1"/>
  <c r="YO16" i="1" s="1"/>
  <c r="YD385" i="1"/>
  <c r="YF385" i="1" s="1"/>
  <c r="YD312" i="1"/>
  <c r="YF312" i="1" s="1"/>
  <c r="YD306" i="1"/>
  <c r="YF306" i="1" s="1"/>
  <c r="YD300" i="1"/>
  <c r="YF300" i="1" s="1"/>
  <c r="YD233" i="1"/>
  <c r="YF233" i="1" s="1"/>
  <c r="YD227" i="1"/>
  <c r="YF227" i="1" s="1"/>
  <c r="YD221" i="1"/>
  <c r="YF221" i="1" s="1"/>
  <c r="YF211" i="1"/>
  <c r="YF205" i="1"/>
  <c r="YF172" i="1"/>
  <c r="YF166" i="1"/>
  <c r="YF160" i="1"/>
  <c r="YD139" i="1"/>
  <c r="YF139" i="1" s="1"/>
  <c r="YD128" i="1"/>
  <c r="YF128" i="1" s="1"/>
  <c r="YD51" i="1"/>
  <c r="YF51" i="1" s="1"/>
  <c r="YD42" i="1"/>
  <c r="YD33" i="1"/>
  <c r="YF33" i="1" s="1"/>
  <c r="YD24" i="1"/>
  <c r="YF24" i="1" s="1"/>
  <c r="XU424" i="1"/>
  <c r="XW424" i="1" s="1"/>
  <c r="XU419" i="1"/>
  <c r="XW419" i="1" s="1"/>
  <c r="XU408" i="1"/>
  <c r="XW408" i="1" s="1"/>
  <c r="XU378" i="1"/>
  <c r="XW378" i="1" s="1"/>
  <c r="XU373" i="1"/>
  <c r="XW373" i="1" s="1"/>
  <c r="XU363" i="1"/>
  <c r="XW363" i="1" s="1"/>
  <c r="XU353" i="1"/>
  <c r="XW353" i="1" s="1"/>
  <c r="XU331" i="1"/>
  <c r="XW331" i="1" s="1"/>
  <c r="XU305" i="1"/>
  <c r="XW305" i="1" s="1"/>
  <c r="XU299" i="1"/>
  <c r="XW299" i="1" s="1"/>
  <c r="XU294" i="1"/>
  <c r="XW294" i="1" s="1"/>
  <c r="XU284" i="1"/>
  <c r="XW284" i="1" s="1"/>
  <c r="XU273" i="1"/>
  <c r="XW273" i="1" s="1"/>
  <c r="XU268" i="1"/>
  <c r="XW268" i="1" s="1"/>
  <c r="XU231" i="1"/>
  <c r="XW231" i="1" s="1"/>
  <c r="XU226" i="1"/>
  <c r="XW226" i="1" s="1"/>
  <c r="XW205" i="1"/>
  <c r="XW200" i="1"/>
  <c r="XW189" i="1"/>
  <c r="XW169" i="1"/>
  <c r="XW158" i="1"/>
  <c r="XW153" i="1"/>
  <c r="XU132" i="1"/>
  <c r="XW132" i="1" s="1"/>
  <c r="XU126" i="1"/>
  <c r="XW126" i="1" s="1"/>
  <c r="XU121" i="1"/>
  <c r="XW121" i="1" s="1"/>
  <c r="XU115" i="1"/>
  <c r="XW115" i="1" s="1"/>
  <c r="XU94" i="1"/>
  <c r="XW94" i="1" s="1"/>
  <c r="XU89" i="1"/>
  <c r="XW89" i="1" s="1"/>
  <c r="XU83" i="1"/>
  <c r="XW83" i="1" s="1"/>
  <c r="XU64" i="1"/>
  <c r="XW64" i="1" s="1"/>
  <c r="XU59" i="1"/>
  <c r="XW59" i="1" s="1"/>
  <c r="XU49" i="1"/>
  <c r="XW49" i="1" s="1"/>
  <c r="XU35" i="1"/>
  <c r="XW35" i="1" s="1"/>
  <c r="XU20" i="1"/>
  <c r="XW20" i="1" s="1"/>
  <c r="XL423" i="1"/>
  <c r="XN423" i="1" s="1"/>
  <c r="XL406" i="1"/>
  <c r="XN406" i="1" s="1"/>
  <c r="XL400" i="1"/>
  <c r="XN400" i="1" s="1"/>
  <c r="XL379" i="1"/>
  <c r="XN379" i="1" s="1"/>
  <c r="XL374" i="1"/>
  <c r="XN374" i="1" s="1"/>
  <c r="XL368" i="1"/>
  <c r="XN368" i="1" s="1"/>
  <c r="XL363" i="1"/>
  <c r="XN363" i="1" s="1"/>
  <c r="XL342" i="1"/>
  <c r="XN342" i="1" s="1"/>
  <c r="XL331" i="1"/>
  <c r="XN331" i="1" s="1"/>
  <c r="XL325" i="1"/>
  <c r="XN325" i="1" s="1"/>
  <c r="XL316" i="1"/>
  <c r="XN316" i="1" s="1"/>
  <c r="XL310" i="1"/>
  <c r="XN310" i="1" s="1"/>
  <c r="XL299" i="1"/>
  <c r="XN299" i="1" s="1"/>
  <c r="ZW388" i="1"/>
  <c r="ZY388" i="1" s="1"/>
  <c r="ZW311" i="1"/>
  <c r="ZY311" i="1" s="1"/>
  <c r="ZW292" i="1"/>
  <c r="ZY292" i="1" s="1"/>
  <c r="ZW231" i="1"/>
  <c r="ZW209" i="1"/>
  <c r="ZY209" i="1" s="1"/>
  <c r="ZW200" i="1"/>
  <c r="ZY200" i="1" s="1"/>
  <c r="ZW167" i="1"/>
  <c r="ZY167" i="1" s="1"/>
  <c r="ZW149" i="1"/>
  <c r="ZY149" i="1" s="1"/>
  <c r="ZW106" i="1"/>
  <c r="ZY106" i="1" s="1"/>
  <c r="ZW86" i="1"/>
  <c r="ZY86" i="1" s="1"/>
  <c r="ZN291" i="1"/>
  <c r="ZP291" i="1" s="1"/>
  <c r="ZN194" i="1"/>
  <c r="ZP194" i="1" s="1"/>
  <c r="ZN130" i="1"/>
  <c r="ZP130" i="1" s="1"/>
  <c r="ZN122" i="1"/>
  <c r="ZP122" i="1" s="1"/>
  <c r="ZN113" i="1"/>
  <c r="ZP113" i="1" s="1"/>
  <c r="ZN69" i="1"/>
  <c r="ZP69" i="1" s="1"/>
  <c r="ZE424" i="1"/>
  <c r="ZG424" i="1" s="1"/>
  <c r="ZE399" i="1"/>
  <c r="ZG399" i="1" s="1"/>
  <c r="ZE295" i="1"/>
  <c r="ZG295" i="1" s="1"/>
  <c r="ZE277" i="1"/>
  <c r="ZG277" i="1" s="1"/>
  <c r="ZE224" i="1"/>
  <c r="ZG224" i="1" s="1"/>
  <c r="ZE177" i="1"/>
  <c r="ZG177" i="1" s="1"/>
  <c r="ZE148" i="1"/>
  <c r="ZG148" i="1" s="1"/>
  <c r="ZE76" i="1"/>
  <c r="ZG76" i="1" s="1"/>
  <c r="ZE66" i="1"/>
  <c r="ZG66" i="1" s="1"/>
  <c r="ZE45" i="1"/>
  <c r="ZG45" i="1" s="1"/>
  <c r="ZE21" i="1"/>
  <c r="ZG21" i="1" s="1"/>
  <c r="YV419" i="1"/>
  <c r="YX419" i="1" s="1"/>
  <c r="YV385" i="1"/>
  <c r="YX385" i="1" s="1"/>
  <c r="YV363" i="1"/>
  <c r="YX363" i="1" s="1"/>
  <c r="YV352" i="1"/>
  <c r="YX352" i="1" s="1"/>
  <c r="YV345" i="1"/>
  <c r="YX345" i="1" s="1"/>
  <c r="YV329" i="1"/>
  <c r="YX329" i="1" s="1"/>
  <c r="YV318" i="1"/>
  <c r="YX318" i="1" s="1"/>
  <c r="YV297" i="1"/>
  <c r="YX297" i="1" s="1"/>
  <c r="YV278" i="1"/>
  <c r="YX278" i="1" s="1"/>
  <c r="YV258" i="1"/>
  <c r="YX258" i="1" s="1"/>
  <c r="YV239" i="1"/>
  <c r="YX239" i="1" s="1"/>
  <c r="YV232" i="1"/>
  <c r="YX232" i="1" s="1"/>
  <c r="YV205" i="1"/>
  <c r="YX205" i="1" s="1"/>
  <c r="YV197" i="1"/>
  <c r="YX197" i="1" s="1"/>
  <c r="YV189" i="1"/>
  <c r="YX189" i="1" s="1"/>
  <c r="YV149" i="1"/>
  <c r="YX149" i="1" s="1"/>
  <c r="YV132" i="1"/>
  <c r="YX132" i="1" s="1"/>
  <c r="YV94" i="1"/>
  <c r="YX94" i="1" s="1"/>
  <c r="YV80" i="1"/>
  <c r="YX80" i="1" s="1"/>
  <c r="YV70" i="1"/>
  <c r="YX70" i="1" s="1"/>
  <c r="YV64" i="1"/>
  <c r="YX64" i="1" s="1"/>
  <c r="YV58" i="1"/>
  <c r="YX58" i="1" s="1"/>
  <c r="YV53" i="1"/>
  <c r="YX53" i="1" s="1"/>
  <c r="YV47" i="1"/>
  <c r="YX47" i="1" s="1"/>
  <c r="YV24" i="1"/>
  <c r="YX24" i="1" s="1"/>
  <c r="YV18" i="1"/>
  <c r="YX18" i="1" s="1"/>
  <c r="YM424" i="1"/>
  <c r="YO424" i="1" s="1"/>
  <c r="YM418" i="1"/>
  <c r="YO418" i="1" s="1"/>
  <c r="YM388" i="1"/>
  <c r="YO388" i="1" s="1"/>
  <c r="YM374" i="1"/>
  <c r="YO374" i="1" s="1"/>
  <c r="YM367" i="1"/>
  <c r="YO367" i="1" s="1"/>
  <c r="YM350" i="1"/>
  <c r="YO350" i="1" s="1"/>
  <c r="YM330" i="1"/>
  <c r="YO330" i="1" s="1"/>
  <c r="YM313" i="1"/>
  <c r="YO313" i="1" s="1"/>
  <c r="YM307" i="1"/>
  <c r="YO307" i="1" s="1"/>
  <c r="YM294" i="1"/>
  <c r="YO294" i="1" s="1"/>
  <c r="YM278" i="1"/>
  <c r="YO278" i="1" s="1"/>
  <c r="YM259" i="1"/>
  <c r="YO259" i="1" s="1"/>
  <c r="YM243" i="1"/>
  <c r="YO243" i="1" s="1"/>
  <c r="YM226" i="1"/>
  <c r="YO226" i="1" s="1"/>
  <c r="YO198" i="1"/>
  <c r="YO187" i="1"/>
  <c r="YO166" i="1"/>
  <c r="YO155" i="1"/>
  <c r="YM128" i="1"/>
  <c r="YO128" i="1" s="1"/>
  <c r="YM122" i="1"/>
  <c r="YO122" i="1" s="1"/>
  <c r="YM101" i="1"/>
  <c r="YO101" i="1" s="1"/>
  <c r="YM95" i="1"/>
  <c r="YO95" i="1" s="1"/>
  <c r="YM89" i="1"/>
  <c r="YO89" i="1" s="1"/>
  <c r="YM78" i="1"/>
  <c r="YO78" i="1" s="1"/>
  <c r="YM59" i="1"/>
  <c r="YO59" i="1" s="1"/>
  <c r="YM35" i="1"/>
  <c r="YO35" i="1" s="1"/>
  <c r="YM30" i="1"/>
  <c r="YO30" i="1" s="1"/>
  <c r="YM25" i="1"/>
  <c r="YO25" i="1" s="1"/>
  <c r="YD424" i="1"/>
  <c r="YF424" i="1" s="1"/>
  <c r="YD418" i="1"/>
  <c r="YF418" i="1" s="1"/>
  <c r="YD412" i="1"/>
  <c r="YF412" i="1" s="1"/>
  <c r="YD406" i="1"/>
  <c r="YF406" i="1" s="1"/>
  <c r="YD400" i="1"/>
  <c r="YF400" i="1" s="1"/>
  <c r="YD390" i="1"/>
  <c r="YF390" i="1" s="1"/>
  <c r="YD379" i="1"/>
  <c r="YF379" i="1" s="1"/>
  <c r="YD373" i="1"/>
  <c r="YF373" i="1" s="1"/>
  <c r="YD367" i="1"/>
  <c r="YF367" i="1" s="1"/>
  <c r="YD361" i="1"/>
  <c r="YD351" i="1"/>
  <c r="YF351" i="1" s="1"/>
  <c r="YD345" i="1"/>
  <c r="YF345" i="1" s="1"/>
  <c r="YD339" i="1"/>
  <c r="YF339" i="1" s="1"/>
  <c r="YD333" i="1"/>
  <c r="YF333" i="1" s="1"/>
  <c r="YD327" i="1"/>
  <c r="YF327" i="1" s="1"/>
  <c r="YD317" i="1"/>
  <c r="YF317" i="1" s="1"/>
  <c r="YD294" i="1"/>
  <c r="YF294" i="1" s="1"/>
  <c r="YD284" i="1"/>
  <c r="YF284" i="1" s="1"/>
  <c r="YD278" i="1"/>
  <c r="YF278" i="1" s="1"/>
  <c r="YD272" i="1"/>
  <c r="YF272" i="1" s="1"/>
  <c r="YD266" i="1"/>
  <c r="YF266" i="1" s="1"/>
  <c r="YD260" i="1"/>
  <c r="YF260" i="1" s="1"/>
  <c r="YD254" i="1"/>
  <c r="YD244" i="1"/>
  <c r="YF244" i="1" s="1"/>
  <c r="YD238" i="1"/>
  <c r="YF238" i="1" s="1"/>
  <c r="YF199" i="1"/>
  <c r="YF193" i="1"/>
  <c r="YF187" i="1"/>
  <c r="YF177" i="1"/>
  <c r="YF154" i="1"/>
  <c r="YF148" i="1"/>
  <c r="YD133" i="1"/>
  <c r="YF133" i="1" s="1"/>
  <c r="YD122" i="1"/>
  <c r="YF122" i="1" s="1"/>
  <c r="YD101" i="1"/>
  <c r="YF101" i="1" s="1"/>
  <c r="YD95" i="1"/>
  <c r="YF95" i="1" s="1"/>
  <c r="YD89" i="1"/>
  <c r="YF89" i="1" s="1"/>
  <c r="YD83" i="1"/>
  <c r="YF83" i="1" s="1"/>
  <c r="YD77" i="1"/>
  <c r="YF77" i="1" s="1"/>
  <c r="YD68" i="1"/>
  <c r="YF68" i="1" s="1"/>
  <c r="YD59" i="1"/>
  <c r="YF59" i="1" s="1"/>
  <c r="YD55" i="1"/>
  <c r="YF55" i="1" s="1"/>
  <c r="YD46" i="1"/>
  <c r="YF46" i="1" s="1"/>
  <c r="YD15" i="1"/>
  <c r="YF15" i="1" s="1"/>
  <c r="YD11" i="1"/>
  <c r="YF11" i="1" s="1"/>
  <c r="YD7" i="1"/>
  <c r="YF7" i="1" s="1"/>
  <c r="XU413" i="1"/>
  <c r="XW413" i="1" s="1"/>
  <c r="XU402" i="1"/>
  <c r="XW402" i="1" s="1"/>
  <c r="XU387" i="1"/>
  <c r="XW387" i="1" s="1"/>
  <c r="XU382" i="1"/>
  <c r="XW382" i="1" s="1"/>
  <c r="XU368" i="1"/>
  <c r="XW368" i="1" s="1"/>
  <c r="XU347" i="1"/>
  <c r="XW347" i="1" s="1"/>
  <c r="XU342" i="1"/>
  <c r="XW342" i="1" s="1"/>
  <c r="XU336" i="1"/>
  <c r="XW336" i="1" s="1"/>
  <c r="XU325" i="1"/>
  <c r="XW325" i="1" s="1"/>
  <c r="XU315" i="1"/>
  <c r="XW315" i="1" s="1"/>
  <c r="XU310" i="1"/>
  <c r="XW310" i="1" s="1"/>
  <c r="XU278" i="1"/>
  <c r="XW278" i="1" s="1"/>
  <c r="XU262" i="1"/>
  <c r="XW262" i="1" s="1"/>
  <c r="XU256" i="1"/>
  <c r="XW256" i="1" s="1"/>
  <c r="XU247" i="1"/>
  <c r="XW247" i="1" s="1"/>
  <c r="XU242" i="1"/>
  <c r="XW242" i="1" s="1"/>
  <c r="ZW400" i="1"/>
  <c r="ZY400" i="1" s="1"/>
  <c r="ZW333" i="1"/>
  <c r="ZY333" i="1" s="1"/>
  <c r="ZW95" i="1"/>
  <c r="ZY95" i="1" s="1"/>
  <c r="ZN398" i="1"/>
  <c r="ZP398" i="1" s="1"/>
  <c r="ZN329" i="1"/>
  <c r="ZP329" i="1" s="1"/>
  <c r="ZN299" i="1"/>
  <c r="ZP299" i="1" s="1"/>
  <c r="ZN234" i="1"/>
  <c r="ZP234" i="1" s="1"/>
  <c r="ZN226" i="1"/>
  <c r="ZP226" i="1" s="1"/>
  <c r="ZN204" i="1"/>
  <c r="ZP204" i="1" s="1"/>
  <c r="ZN53" i="1"/>
  <c r="ZP53" i="1" s="1"/>
  <c r="ZN33" i="1"/>
  <c r="ZP33" i="1" s="1"/>
  <c r="ZN16" i="1"/>
  <c r="ZP16" i="1" s="1"/>
  <c r="ZE406" i="1"/>
  <c r="ZG406" i="1" s="1"/>
  <c r="ZE376" i="1"/>
  <c r="ZG376" i="1" s="1"/>
  <c r="ZE368" i="1"/>
  <c r="ZG368" i="1" s="1"/>
  <c r="ZE339" i="1"/>
  <c r="ZG339" i="1" s="1"/>
  <c r="ZE319" i="1"/>
  <c r="ZG319" i="1" s="1"/>
  <c r="ZE283" i="1"/>
  <c r="ZG283" i="1" s="1"/>
  <c r="ZE261" i="1"/>
  <c r="ZG261" i="1" s="1"/>
  <c r="ZE188" i="1"/>
  <c r="ZG188" i="1" s="1"/>
  <c r="ZE170" i="1"/>
  <c r="ZG170" i="1" s="1"/>
  <c r="ZE162" i="1"/>
  <c r="ZG162" i="1" s="1"/>
  <c r="ZE137" i="1"/>
  <c r="ZG137" i="1" s="1"/>
  <c r="ZE121" i="1"/>
  <c r="ZG121" i="1" s="1"/>
  <c r="ZE101" i="1"/>
  <c r="ZG101" i="1" s="1"/>
  <c r="ZE84" i="1"/>
  <c r="ZG84" i="1" s="1"/>
  <c r="ZE51" i="1"/>
  <c r="ZG51" i="1" s="1"/>
  <c r="YV426" i="1"/>
  <c r="YX426" i="1" s="1"/>
  <c r="YV411" i="1"/>
  <c r="YX411" i="1" s="1"/>
  <c r="YV396" i="1"/>
  <c r="YV369" i="1"/>
  <c r="YX369" i="1" s="1"/>
  <c r="YV336" i="1"/>
  <c r="YX336" i="1" s="1"/>
  <c r="YV303" i="1"/>
  <c r="YX303" i="1" s="1"/>
  <c r="YV271" i="1"/>
  <c r="YX271" i="1" s="1"/>
  <c r="YV265" i="1"/>
  <c r="YX265" i="1" s="1"/>
  <c r="YV246" i="1"/>
  <c r="YX246" i="1" s="1"/>
  <c r="YV212" i="1"/>
  <c r="YX212" i="1" s="1"/>
  <c r="YV163" i="1"/>
  <c r="YX163" i="1" s="1"/>
  <c r="YV125" i="1"/>
  <c r="YX125" i="1" s="1"/>
  <c r="YV100" i="1"/>
  <c r="YX100" i="1" s="1"/>
  <c r="YV69" i="1"/>
  <c r="YX69" i="1" s="1"/>
  <c r="YV36" i="1"/>
  <c r="YX36" i="1" s="1"/>
  <c r="YV30" i="1"/>
  <c r="YX30" i="1" s="1"/>
  <c r="YV12" i="1"/>
  <c r="YX12" i="1" s="1"/>
  <c r="YV7" i="1"/>
  <c r="YX7" i="1" s="1"/>
  <c r="YM412" i="1"/>
  <c r="YO412" i="1" s="1"/>
  <c r="YM398" i="1"/>
  <c r="YO398" i="1" s="1"/>
  <c r="YM380" i="1"/>
  <c r="YO380" i="1" s="1"/>
  <c r="YM336" i="1"/>
  <c r="YO336" i="1" s="1"/>
  <c r="YM319" i="1"/>
  <c r="YO319" i="1" s="1"/>
  <c r="YM271" i="1"/>
  <c r="YO271" i="1" s="1"/>
  <c r="YM265" i="1"/>
  <c r="YO265" i="1" s="1"/>
  <c r="YM237" i="1"/>
  <c r="YO237" i="1" s="1"/>
  <c r="ZW409" i="1"/>
  <c r="ZY409" i="1" s="1"/>
  <c r="ZW318" i="1"/>
  <c r="ZY318" i="1" s="1"/>
  <c r="ZW187" i="1"/>
  <c r="ZY187" i="1" s="1"/>
  <c r="ZW166" i="1"/>
  <c r="ZY166" i="1" s="1"/>
  <c r="ZW135" i="1"/>
  <c r="ZY135" i="1" s="1"/>
  <c r="ZW117" i="1"/>
  <c r="ZY117" i="1" s="1"/>
  <c r="ZN416" i="1"/>
  <c r="ZP416" i="1" s="1"/>
  <c r="ZN406" i="1"/>
  <c r="ZP406" i="1" s="1"/>
  <c r="ZN317" i="1"/>
  <c r="ZP317" i="1" s="1"/>
  <c r="ZN276" i="1"/>
  <c r="ZP276" i="1" s="1"/>
  <c r="ZN243" i="1"/>
  <c r="ZP243" i="1" s="1"/>
  <c r="ZN212" i="1"/>
  <c r="ZP212" i="1" s="1"/>
  <c r="ZN151" i="1"/>
  <c r="ZP151" i="1" s="1"/>
  <c r="ZN138" i="1"/>
  <c r="ZP138" i="1" s="1"/>
  <c r="ZN129" i="1"/>
  <c r="ZP129" i="1" s="1"/>
  <c r="ZN92" i="1"/>
  <c r="ZP92" i="1" s="1"/>
  <c r="ZN60" i="1"/>
  <c r="ZP60" i="1" s="1"/>
  <c r="ZE355" i="1"/>
  <c r="ZG355" i="1" s="1"/>
  <c r="ZE310" i="1"/>
  <c r="ZG310" i="1" s="1"/>
  <c r="ZE268" i="1"/>
  <c r="ZG268" i="1" s="1"/>
  <c r="ZE239" i="1"/>
  <c r="ZG239" i="1" s="1"/>
  <c r="ZE223" i="1"/>
  <c r="ZG223" i="1" s="1"/>
  <c r="ZE176" i="1"/>
  <c r="ZG176" i="1" s="1"/>
  <c r="ZE147" i="1"/>
  <c r="ZE128" i="1"/>
  <c r="ZG128" i="1" s="1"/>
  <c r="ZE112" i="1"/>
  <c r="YV418" i="1"/>
  <c r="YX418" i="1" s="1"/>
  <c r="YV376" i="1"/>
  <c r="YX376" i="1" s="1"/>
  <c r="YV362" i="1"/>
  <c r="YX362" i="1" s="1"/>
  <c r="YV351" i="1"/>
  <c r="YX351" i="1" s="1"/>
  <c r="YV309" i="1"/>
  <c r="YX309" i="1" s="1"/>
  <c r="YV284" i="1"/>
  <c r="YX284" i="1" s="1"/>
  <c r="YV277" i="1"/>
  <c r="YX277" i="1" s="1"/>
  <c r="YV223" i="1"/>
  <c r="YX223" i="1" s="1"/>
  <c r="YV188" i="1"/>
  <c r="YX188" i="1" s="1"/>
  <c r="YV177" i="1"/>
  <c r="YX177" i="1" s="1"/>
  <c r="YV155" i="1"/>
  <c r="YX155" i="1" s="1"/>
  <c r="YV137" i="1"/>
  <c r="YX137" i="1" s="1"/>
  <c r="YV93" i="1"/>
  <c r="YX93" i="1" s="1"/>
  <c r="YV86" i="1"/>
  <c r="YX86" i="1" s="1"/>
  <c r="YV63" i="1"/>
  <c r="YX63" i="1" s="1"/>
  <c r="YV52" i="1"/>
  <c r="YX52" i="1" s="1"/>
  <c r="YM404" i="1"/>
  <c r="YO404" i="1" s="1"/>
  <c r="YM366" i="1"/>
  <c r="YO366" i="1" s="1"/>
  <c r="YM349" i="1"/>
  <c r="YO349" i="1" s="1"/>
  <c r="YM342" i="1"/>
  <c r="YO342" i="1" s="1"/>
  <c r="YM329" i="1"/>
  <c r="YO329" i="1" s="1"/>
  <c r="YM312" i="1"/>
  <c r="YO312" i="1" s="1"/>
  <c r="YM283" i="1"/>
  <c r="YO283" i="1" s="1"/>
  <c r="YM277" i="1"/>
  <c r="YO277" i="1" s="1"/>
  <c r="YM258" i="1"/>
  <c r="YO258" i="1" s="1"/>
  <c r="YM248" i="1"/>
  <c r="YO248" i="1" s="1"/>
  <c r="YM242" i="1"/>
  <c r="YO242" i="1" s="1"/>
  <c r="YM218" i="1"/>
  <c r="YO203" i="1"/>
  <c r="ZW290" i="1"/>
  <c r="ZY290" i="1" s="1"/>
  <c r="ZW246" i="1"/>
  <c r="ZY246" i="1" s="1"/>
  <c r="ZW237" i="1"/>
  <c r="ZY237" i="1" s="1"/>
  <c r="ZW220" i="1"/>
  <c r="ZY220" i="1" s="1"/>
  <c r="ZW173" i="1"/>
  <c r="ZY173" i="1" s="1"/>
  <c r="ZN255" i="1"/>
  <c r="ZP255" i="1" s="1"/>
  <c r="ZN233" i="1"/>
  <c r="ZP233" i="1" s="1"/>
  <c r="ZN160" i="1"/>
  <c r="ZP160" i="1" s="1"/>
  <c r="ZN99" i="1"/>
  <c r="ZP99" i="1" s="1"/>
  <c r="ZE422" i="1"/>
  <c r="ZG422" i="1" s="1"/>
  <c r="ZE397" i="1"/>
  <c r="ZG397" i="1" s="1"/>
  <c r="ZE367" i="1"/>
  <c r="ZG367" i="1" s="1"/>
  <c r="ZE329" i="1"/>
  <c r="ZG329" i="1" s="1"/>
  <c r="ZE300" i="1"/>
  <c r="ZG300" i="1" s="1"/>
  <c r="ZE293" i="1"/>
  <c r="ZG293" i="1" s="1"/>
  <c r="ZE282" i="1"/>
  <c r="ZG282" i="1" s="1"/>
  <c r="ZE247" i="1"/>
  <c r="ZG247" i="1" s="1"/>
  <c r="ZE230" i="1"/>
  <c r="ZG230" i="1" s="1"/>
  <c r="ZE195" i="1"/>
  <c r="ZG195" i="1" s="1"/>
  <c r="ZE187" i="1"/>
  <c r="ZG187" i="1" s="1"/>
  <c r="ZE153" i="1"/>
  <c r="ZG153" i="1" s="1"/>
  <c r="ZE64" i="1"/>
  <c r="ZG64" i="1" s="1"/>
  <c r="ZE44" i="1"/>
  <c r="ZG44" i="1" s="1"/>
  <c r="ZE32" i="1"/>
  <c r="ZG32" i="1" s="1"/>
  <c r="ZE26" i="1"/>
  <c r="ZG26" i="1" s="1"/>
  <c r="ZE8" i="1"/>
  <c r="ZG8" i="1" s="1"/>
  <c r="YV425" i="1"/>
  <c r="YX425" i="1" s="1"/>
  <c r="YV383" i="1"/>
  <c r="YX383" i="1" s="1"/>
  <c r="YV368" i="1"/>
  <c r="YX368" i="1" s="1"/>
  <c r="YV335" i="1"/>
  <c r="YX335" i="1" s="1"/>
  <c r="YV316" i="1"/>
  <c r="YX316" i="1" s="1"/>
  <c r="YV302" i="1"/>
  <c r="YX302" i="1" s="1"/>
  <c r="YV295" i="1"/>
  <c r="YX295" i="1" s="1"/>
  <c r="YV270" i="1"/>
  <c r="YX270" i="1" s="1"/>
  <c r="YV256" i="1"/>
  <c r="YX256" i="1" s="1"/>
  <c r="YV245" i="1"/>
  <c r="YX245" i="1" s="1"/>
  <c r="YV237" i="1"/>
  <c r="YX237" i="1" s="1"/>
  <c r="YV211" i="1"/>
  <c r="YX211" i="1" s="1"/>
  <c r="YV203" i="1"/>
  <c r="YX203" i="1" s="1"/>
  <c r="YV162" i="1"/>
  <c r="YX162" i="1" s="1"/>
  <c r="YV147" i="1"/>
  <c r="YV117" i="1"/>
  <c r="YX117" i="1" s="1"/>
  <c r="YV106" i="1"/>
  <c r="YX106" i="1" s="1"/>
  <c r="YV79" i="1"/>
  <c r="YX79" i="1" s="1"/>
  <c r="YV68" i="1"/>
  <c r="YX68" i="1" s="1"/>
  <c r="YV57" i="1"/>
  <c r="YX57" i="1" s="1"/>
  <c r="YV45" i="1"/>
  <c r="YX45" i="1" s="1"/>
  <c r="YV35" i="1"/>
  <c r="YX35" i="1" s="1"/>
  <c r="YV29" i="1"/>
  <c r="YX29" i="1" s="1"/>
  <c r="YV17" i="1"/>
  <c r="YX17" i="1" s="1"/>
  <c r="YM422" i="1"/>
  <c r="YO422" i="1" s="1"/>
  <c r="YM417" i="1"/>
  <c r="YO417" i="1" s="1"/>
  <c r="YM386" i="1"/>
  <c r="YO386" i="1" s="1"/>
  <c r="YM379" i="1"/>
  <c r="YO379" i="1" s="1"/>
  <c r="YM335" i="1"/>
  <c r="YO335" i="1" s="1"/>
  <c r="YM318" i="1"/>
  <c r="YO318" i="1" s="1"/>
  <c r="YM305" i="1"/>
  <c r="YO305" i="1" s="1"/>
  <c r="YM293" i="1"/>
  <c r="YO293" i="1" s="1"/>
  <c r="YM270" i="1"/>
  <c r="YO270" i="1" s="1"/>
  <c r="YM264" i="1"/>
  <c r="YO264" i="1" s="1"/>
  <c r="YM230" i="1"/>
  <c r="YO230" i="1" s="1"/>
  <c r="YM224" i="1"/>
  <c r="YO224" i="1" s="1"/>
  <c r="YO208" i="1"/>
  <c r="YO191" i="1"/>
  <c r="YO176" i="1"/>
  <c r="YO170" i="1"/>
  <c r="YO159" i="1"/>
  <c r="YO148" i="1"/>
  <c r="YM138" i="1"/>
  <c r="YO138" i="1" s="1"/>
  <c r="YM132" i="1"/>
  <c r="YO132" i="1" s="1"/>
  <c r="YM115" i="1"/>
  <c r="YO115" i="1" s="1"/>
  <c r="YM105" i="1"/>
  <c r="YO105" i="1" s="1"/>
  <c r="YM82" i="1"/>
  <c r="YO82" i="1" s="1"/>
  <c r="YM67" i="1"/>
  <c r="YO67" i="1" s="1"/>
  <c r="YM29" i="1"/>
  <c r="YO29" i="1" s="1"/>
  <c r="YM19" i="1"/>
  <c r="YO19" i="1" s="1"/>
  <c r="YD316" i="1"/>
  <c r="YF316" i="1" s="1"/>
  <c r="YD310" i="1"/>
  <c r="YF310" i="1" s="1"/>
  <c r="YD304" i="1"/>
  <c r="YF304" i="1" s="1"/>
  <c r="YD231" i="1"/>
  <c r="YF231" i="1" s="1"/>
  <c r="YD225" i="1"/>
  <c r="YF225" i="1" s="1"/>
  <c r="YD219" i="1"/>
  <c r="YF219" i="1" s="1"/>
  <c r="YF209" i="1"/>
  <c r="YF176" i="1"/>
  <c r="YF170" i="1"/>
  <c r="YF164" i="1"/>
  <c r="YD126" i="1"/>
  <c r="YF126" i="1" s="1"/>
  <c r="YD115" i="1"/>
  <c r="YF115" i="1" s="1"/>
  <c r="YD58" i="1"/>
  <c r="YF58" i="1" s="1"/>
  <c r="YD54" i="1"/>
  <c r="YF54" i="1" s="1"/>
  <c r="YD45" i="1"/>
  <c r="YF45" i="1" s="1"/>
  <c r="YD36" i="1"/>
  <c r="YF36" i="1" s="1"/>
  <c r="YD27" i="1"/>
  <c r="YF27" i="1" s="1"/>
  <c r="YD18" i="1"/>
  <c r="YF18" i="1" s="1"/>
  <c r="YD14" i="1"/>
  <c r="YF14" i="1" s="1"/>
  <c r="YD10" i="1"/>
  <c r="YF10" i="1" s="1"/>
  <c r="YD6" i="1"/>
  <c r="XU417" i="1"/>
  <c r="XW417" i="1" s="1"/>
  <c r="XU406" i="1"/>
  <c r="XW406" i="1" s="1"/>
  <c r="XU381" i="1"/>
  <c r="XW381" i="1" s="1"/>
  <c r="XU371" i="1"/>
  <c r="XW371" i="1" s="1"/>
  <c r="XU361" i="1"/>
  <c r="XU351" i="1"/>
  <c r="XW351" i="1" s="1"/>
  <c r="XU329" i="1"/>
  <c r="XW329" i="1" s="1"/>
  <c r="XU314" i="1"/>
  <c r="XW314" i="1" s="1"/>
  <c r="XU303" i="1"/>
  <c r="XW303" i="1" s="1"/>
  <c r="XU292" i="1"/>
  <c r="XW292" i="1" s="1"/>
  <c r="XU266" i="1"/>
  <c r="XW266" i="1" s="1"/>
  <c r="XU255" i="1"/>
  <c r="XW255" i="1" s="1"/>
  <c r="XU246" i="1"/>
  <c r="XW246" i="1" s="1"/>
  <c r="XU235" i="1"/>
  <c r="XW235" i="1" s="1"/>
  <c r="XU229" i="1"/>
  <c r="XW229" i="1" s="1"/>
  <c r="XU224" i="1"/>
  <c r="XW224" i="1" s="1"/>
  <c r="XW209" i="1"/>
  <c r="XW198" i="1"/>
  <c r="XW187" i="1"/>
  <c r="XW151" i="1"/>
  <c r="XU130" i="1"/>
  <c r="XW130" i="1" s="1"/>
  <c r="XU119" i="1"/>
  <c r="XW119" i="1" s="1"/>
  <c r="XU113" i="1"/>
  <c r="XW113" i="1" s="1"/>
  <c r="XU87" i="1"/>
  <c r="XW87" i="1" s="1"/>
  <c r="XU81" i="1"/>
  <c r="XW81" i="1" s="1"/>
  <c r="XU67" i="1"/>
  <c r="XW67" i="1" s="1"/>
  <c r="XU57" i="1"/>
  <c r="XW57" i="1" s="1"/>
  <c r="XU52" i="1"/>
  <c r="XW52" i="1" s="1"/>
  <c r="XU33" i="1"/>
  <c r="XW33" i="1" s="1"/>
  <c r="XU28" i="1"/>
  <c r="XW28" i="1" s="1"/>
  <c r="XU14" i="1"/>
  <c r="XW14" i="1" s="1"/>
  <c r="XL421" i="1"/>
  <c r="XN421" i="1" s="1"/>
  <c r="XL410" i="1"/>
  <c r="XN410" i="1" s="1"/>
  <c r="XL404" i="1"/>
  <c r="XN404" i="1" s="1"/>
  <c r="XL383" i="1"/>
  <c r="XN383" i="1" s="1"/>
  <c r="XL372" i="1"/>
  <c r="XN372" i="1" s="1"/>
  <c r="XL366" i="1"/>
  <c r="XN366" i="1" s="1"/>
  <c r="XL361" i="1"/>
  <c r="XL329" i="1"/>
  <c r="XL314" i="1"/>
  <c r="XN314" i="1" s="1"/>
  <c r="XL308" i="1"/>
  <c r="XN308" i="1" s="1"/>
  <c r="ZW295" i="1"/>
  <c r="ZW203" i="1"/>
  <c r="ZY203" i="1" s="1"/>
  <c r="ZN378" i="1"/>
  <c r="ZP378" i="1" s="1"/>
  <c r="ZN353" i="1"/>
  <c r="ZP353" i="1" s="1"/>
  <c r="ZN168" i="1"/>
  <c r="ZP168" i="1" s="1"/>
  <c r="ZN123" i="1"/>
  <c r="ZP123" i="1" s="1"/>
  <c r="ZN66" i="1"/>
  <c r="ZP66" i="1" s="1"/>
  <c r="ZE410" i="1"/>
  <c r="ZG410" i="1" s="1"/>
  <c r="ZE254" i="1"/>
  <c r="ZE123" i="1"/>
  <c r="ZG123" i="1" s="1"/>
  <c r="ZE70" i="1"/>
  <c r="ZG70" i="1" s="1"/>
  <c r="YV367" i="1"/>
  <c r="YX367" i="1" s="1"/>
  <c r="YV346" i="1"/>
  <c r="YX346" i="1" s="1"/>
  <c r="YV315" i="1"/>
  <c r="YX315" i="1" s="1"/>
  <c r="YV290" i="1"/>
  <c r="YV183" i="1"/>
  <c r="YV154" i="1"/>
  <c r="YX154" i="1" s="1"/>
  <c r="YV134" i="1"/>
  <c r="YX134" i="1" s="1"/>
  <c r="YV126" i="1"/>
  <c r="YX126" i="1" s="1"/>
  <c r="YV81" i="1"/>
  <c r="YX81" i="1" s="1"/>
  <c r="YV54" i="1"/>
  <c r="YX54" i="1" s="1"/>
  <c r="YV19" i="1"/>
  <c r="YX19" i="1" s="1"/>
  <c r="YM420" i="1"/>
  <c r="YO420" i="1" s="1"/>
  <c r="YM383" i="1"/>
  <c r="YO383" i="1" s="1"/>
  <c r="YM340" i="1"/>
  <c r="YO340" i="1" s="1"/>
  <c r="YM304" i="1"/>
  <c r="YO304" i="1" s="1"/>
  <c r="YM262" i="1"/>
  <c r="YO262" i="1" s="1"/>
  <c r="YM244" i="1"/>
  <c r="YO244" i="1" s="1"/>
  <c r="YO211" i="1"/>
  <c r="YO205" i="1"/>
  <c r="YO192" i="1"/>
  <c r="YO156" i="1"/>
  <c r="ZW340" i="1"/>
  <c r="ZY340" i="1" s="1"/>
  <c r="ZW20" i="1"/>
  <c r="ZY20" i="1" s="1"/>
  <c r="ZW10" i="1"/>
  <c r="ZY10" i="1" s="1"/>
  <c r="ZN80" i="1"/>
  <c r="ZP80" i="1" s="1"/>
  <c r="ZE388" i="1"/>
  <c r="ZG388" i="1" s="1"/>
  <c r="ZE344" i="1"/>
  <c r="ZG344" i="1" s="1"/>
  <c r="ZE334" i="1"/>
  <c r="ZG334" i="1" s="1"/>
  <c r="ZE325" i="1"/>
  <c r="ZE281" i="1"/>
  <c r="ZG281" i="1" s="1"/>
  <c r="ZE201" i="1"/>
  <c r="ZG201" i="1" s="1"/>
  <c r="ZE160" i="1"/>
  <c r="ZG160" i="1" s="1"/>
  <c r="ZE151" i="1"/>
  <c r="ZG151" i="1" s="1"/>
  <c r="ZE81" i="1"/>
  <c r="ZG81" i="1" s="1"/>
  <c r="ZE69" i="1"/>
  <c r="ZG69" i="1" s="1"/>
  <c r="ZE60" i="1"/>
  <c r="ZG60" i="1" s="1"/>
  <c r="ZE30" i="1"/>
  <c r="ZG30" i="1" s="1"/>
  <c r="YV424" i="1"/>
  <c r="YX424" i="1" s="1"/>
  <c r="YV414" i="1"/>
  <c r="YX414" i="1" s="1"/>
  <c r="YV406" i="1"/>
  <c r="YX406" i="1" s="1"/>
  <c r="YV375" i="1"/>
  <c r="YX375" i="1" s="1"/>
  <c r="YV354" i="1"/>
  <c r="YX354" i="1" s="1"/>
  <c r="YV326" i="1"/>
  <c r="YX326" i="1" s="1"/>
  <c r="YV307" i="1"/>
  <c r="YX307" i="1" s="1"/>
  <c r="YV299" i="1"/>
  <c r="YX299" i="1" s="1"/>
  <c r="YV269" i="1"/>
  <c r="YX269" i="1" s="1"/>
  <c r="YV222" i="1"/>
  <c r="YX222" i="1" s="1"/>
  <c r="YV209" i="1"/>
  <c r="YX209" i="1" s="1"/>
  <c r="YV141" i="1"/>
  <c r="YX141" i="1" s="1"/>
  <c r="YV97" i="1"/>
  <c r="YX97" i="1" s="1"/>
  <c r="YV89" i="1"/>
  <c r="YX89" i="1" s="1"/>
  <c r="YV67" i="1"/>
  <c r="YX67" i="1" s="1"/>
  <c r="YV60" i="1"/>
  <c r="YX60" i="1" s="1"/>
  <c r="YV33" i="1"/>
  <c r="YX33" i="1" s="1"/>
  <c r="YV10" i="1"/>
  <c r="YX10" i="1" s="1"/>
  <c r="YM269" i="1"/>
  <c r="YO269" i="1" s="1"/>
  <c r="YM254" i="1"/>
  <c r="ZW364" i="1"/>
  <c r="ZY364" i="1" s="1"/>
  <c r="ZW141" i="1"/>
  <c r="ZY141" i="1" s="1"/>
  <c r="ZN422" i="1"/>
  <c r="ZP422" i="1" s="1"/>
  <c r="ZN282" i="1"/>
  <c r="ZP282" i="1" s="1"/>
  <c r="ZN272" i="1"/>
  <c r="ZP272" i="1" s="1"/>
  <c r="ZN261" i="1"/>
  <c r="ZP261" i="1" s="1"/>
  <c r="ZN176" i="1"/>
  <c r="ZP176" i="1" s="1"/>
  <c r="ZN156" i="1"/>
  <c r="ZP156" i="1" s="1"/>
  <c r="ZN65" i="1"/>
  <c r="ZP65" i="1" s="1"/>
  <c r="ZE409" i="1"/>
  <c r="ZG409" i="1" s="1"/>
  <c r="ZE401" i="1"/>
  <c r="ZG401" i="1" s="1"/>
  <c r="ZE272" i="1"/>
  <c r="ZG272" i="1" s="1"/>
  <c r="ZE221" i="1"/>
  <c r="ZG221" i="1" s="1"/>
  <c r="ZE99" i="1"/>
  <c r="ZG99" i="1" s="1"/>
  <c r="ZE22" i="1"/>
  <c r="ZG22" i="1" s="1"/>
  <c r="YV314" i="1"/>
  <c r="YX314" i="1" s="1"/>
  <c r="YV260" i="1"/>
  <c r="YX260" i="1" s="1"/>
  <c r="YV248" i="1"/>
  <c r="YX248" i="1" s="1"/>
  <c r="YV199" i="1"/>
  <c r="YX199" i="1" s="1"/>
  <c r="YV190" i="1"/>
  <c r="YX190" i="1" s="1"/>
  <c r="YV133" i="1"/>
  <c r="YX133" i="1" s="1"/>
  <c r="YV104" i="1"/>
  <c r="YX104" i="1" s="1"/>
  <c r="YM426" i="1"/>
  <c r="YO426" i="1" s="1"/>
  <c r="YM419" i="1"/>
  <c r="YO419" i="1" s="1"/>
  <c r="YM382" i="1"/>
  <c r="YO382" i="1" s="1"/>
  <c r="YM347" i="1"/>
  <c r="YO347" i="1" s="1"/>
  <c r="YM339" i="1"/>
  <c r="YO339" i="1" s="1"/>
  <c r="YM331" i="1"/>
  <c r="YO331" i="1" s="1"/>
  <c r="YM311" i="1"/>
  <c r="YO311" i="1" s="1"/>
  <c r="YM303" i="1"/>
  <c r="YO303" i="1" s="1"/>
  <c r="YM296" i="1"/>
  <c r="YO296" i="1" s="1"/>
  <c r="YM235" i="1"/>
  <c r="YO235" i="1" s="1"/>
  <c r="YO197" i="1"/>
  <c r="ZW372" i="1"/>
  <c r="ZY372" i="1" s="1"/>
  <c r="ZW349" i="1"/>
  <c r="ZY349" i="1" s="1"/>
  <c r="ZW234" i="1"/>
  <c r="ZY234" i="1" s="1"/>
  <c r="ZW163" i="1"/>
  <c r="ZY163" i="1" s="1"/>
  <c r="ZW131" i="1"/>
  <c r="ZY131" i="1" s="1"/>
  <c r="ZW42" i="1"/>
  <c r="ZN246" i="1"/>
  <c r="ZP246" i="1" s="1"/>
  <c r="ZN188" i="1"/>
  <c r="ZP188" i="1" s="1"/>
  <c r="ZN54" i="1"/>
  <c r="ZP54" i="1" s="1"/>
  <c r="ZE333" i="1"/>
  <c r="ZG333" i="1" s="1"/>
  <c r="ZE292" i="1"/>
  <c r="ZG292" i="1" s="1"/>
  <c r="ZE280" i="1"/>
  <c r="ZG280" i="1" s="1"/>
  <c r="ZE208" i="1"/>
  <c r="ZG208" i="1" s="1"/>
  <c r="ZE200" i="1"/>
  <c r="ZG200" i="1" s="1"/>
  <c r="ZE190" i="1"/>
  <c r="ZG190" i="1" s="1"/>
  <c r="ZE150" i="1"/>
  <c r="ZG150" i="1" s="1"/>
  <c r="ZE139" i="1"/>
  <c r="ZG139" i="1" s="1"/>
  <c r="ZE88" i="1"/>
  <c r="ZG88" i="1" s="1"/>
  <c r="ZE80" i="1"/>
  <c r="ZG80" i="1" s="1"/>
  <c r="ZE68" i="1"/>
  <c r="ZG68" i="1" s="1"/>
  <c r="ZE50" i="1"/>
  <c r="ZG50" i="1" s="1"/>
  <c r="YV413" i="1"/>
  <c r="YX413" i="1" s="1"/>
  <c r="YV374" i="1"/>
  <c r="YX374" i="1" s="1"/>
  <c r="YV366" i="1"/>
  <c r="YX366" i="1" s="1"/>
  <c r="YV325" i="1"/>
  <c r="YX325" i="1" s="1"/>
  <c r="YV229" i="1"/>
  <c r="YX229" i="1" s="1"/>
  <c r="YV161" i="1"/>
  <c r="YX161" i="1" s="1"/>
  <c r="YV140" i="1"/>
  <c r="YX140" i="1" s="1"/>
  <c r="YV66" i="1"/>
  <c r="YX66" i="1" s="1"/>
  <c r="YM410" i="1"/>
  <c r="YO410" i="1" s="1"/>
  <c r="YM402" i="1"/>
  <c r="YO402" i="1" s="1"/>
  <c r="YM390" i="1"/>
  <c r="YO390" i="1" s="1"/>
  <c r="YM354" i="1"/>
  <c r="YO354" i="1" s="1"/>
  <c r="YM276" i="1"/>
  <c r="YO276" i="1" s="1"/>
  <c r="YM260" i="1"/>
  <c r="YO260" i="1" s="1"/>
  <c r="YM221" i="1"/>
  <c r="YO221" i="1" s="1"/>
  <c r="YO190" i="1"/>
  <c r="YO174" i="1"/>
  <c r="YO154" i="1"/>
  <c r="YM123" i="1"/>
  <c r="YO123" i="1" s="1"/>
  <c r="YM106" i="1"/>
  <c r="YO106" i="1" s="1"/>
  <c r="YM93" i="1"/>
  <c r="YO93" i="1" s="1"/>
  <c r="YM58" i="1"/>
  <c r="YO58" i="1" s="1"/>
  <c r="YM20" i="1"/>
  <c r="YO20" i="1" s="1"/>
  <c r="YM6" i="1"/>
  <c r="YD415" i="1"/>
  <c r="YF415" i="1" s="1"/>
  <c r="YD402" i="1"/>
  <c r="YF402" i="1" s="1"/>
  <c r="YD372" i="1"/>
  <c r="YF372" i="1" s="1"/>
  <c r="YD355" i="1"/>
  <c r="YF355" i="1" s="1"/>
  <c r="YD342" i="1"/>
  <c r="YF342" i="1" s="1"/>
  <c r="YD329" i="1"/>
  <c r="YF329" i="1" s="1"/>
  <c r="YD291" i="1"/>
  <c r="YF291" i="1" s="1"/>
  <c r="YD274" i="1"/>
  <c r="YF274" i="1" s="1"/>
  <c r="YD261" i="1"/>
  <c r="YF261" i="1" s="1"/>
  <c r="YD237" i="1"/>
  <c r="YF237" i="1" s="1"/>
  <c r="YF186" i="1"/>
  <c r="YF155" i="1"/>
  <c r="YD138" i="1"/>
  <c r="YF138" i="1" s="1"/>
  <c r="YD119" i="1"/>
  <c r="YF119" i="1" s="1"/>
  <c r="YD113" i="1"/>
  <c r="YF113" i="1" s="1"/>
  <c r="YD103" i="1"/>
  <c r="YF103" i="1" s="1"/>
  <c r="YD90" i="1"/>
  <c r="YF90" i="1" s="1"/>
  <c r="YD31" i="1"/>
  <c r="YF31" i="1" s="1"/>
  <c r="XU407" i="1"/>
  <c r="XW407" i="1" s="1"/>
  <c r="XU400" i="1"/>
  <c r="XW400" i="1" s="1"/>
  <c r="XU390" i="1"/>
  <c r="XW390" i="1" s="1"/>
  <c r="XU301" i="1"/>
  <c r="XW301" i="1" s="1"/>
  <c r="XU265" i="1"/>
  <c r="XW265" i="1" s="1"/>
  <c r="XU259" i="1"/>
  <c r="XW259" i="1" s="1"/>
  <c r="XU236" i="1"/>
  <c r="XW236" i="1" s="1"/>
  <c r="ZW418" i="1"/>
  <c r="ZY418" i="1" s="1"/>
  <c r="ZW338" i="1"/>
  <c r="ZY338" i="1" s="1"/>
  <c r="ZW302" i="1"/>
  <c r="ZY302" i="1" s="1"/>
  <c r="ZW224" i="1"/>
  <c r="ZY224" i="1" s="1"/>
  <c r="ZW152" i="1"/>
  <c r="ZY152" i="1" s="1"/>
  <c r="ZW51" i="1"/>
  <c r="ZY51" i="1" s="1"/>
  <c r="ZN421" i="1"/>
  <c r="ZP421" i="1" s="1"/>
  <c r="ZN400" i="1"/>
  <c r="ZP400" i="1" s="1"/>
  <c r="ZN293" i="1"/>
  <c r="ZP293" i="1" s="1"/>
  <c r="ZN175" i="1"/>
  <c r="ZP175" i="1" s="1"/>
  <c r="ZN23" i="1"/>
  <c r="ZP23" i="1" s="1"/>
  <c r="ZN13" i="1"/>
  <c r="ZP13" i="1" s="1"/>
  <c r="ZE417" i="1"/>
  <c r="ZG417" i="1" s="1"/>
  <c r="ZE352" i="1"/>
  <c r="ZG352" i="1" s="1"/>
  <c r="ZE238" i="1"/>
  <c r="ZG238" i="1" s="1"/>
  <c r="ZE167" i="1"/>
  <c r="ZG167" i="1" s="1"/>
  <c r="ZE29" i="1"/>
  <c r="ZG29" i="1" s="1"/>
  <c r="ZE12" i="1"/>
  <c r="ZG12" i="1" s="1"/>
  <c r="ZE7" i="1"/>
  <c r="ZG7" i="1" s="1"/>
  <c r="YV422" i="1"/>
  <c r="YX422" i="1" s="1"/>
  <c r="YV381" i="1"/>
  <c r="YX381" i="1" s="1"/>
  <c r="YV305" i="1"/>
  <c r="YX305" i="1" s="1"/>
  <c r="YV276" i="1"/>
  <c r="YX276" i="1" s="1"/>
  <c r="YV267" i="1"/>
  <c r="YX267" i="1" s="1"/>
  <c r="YV259" i="1"/>
  <c r="YX259" i="1" s="1"/>
  <c r="YV168" i="1"/>
  <c r="YX168" i="1" s="1"/>
  <c r="YV123" i="1"/>
  <c r="YX123" i="1" s="1"/>
  <c r="YV114" i="1"/>
  <c r="YX114" i="1" s="1"/>
  <c r="YV103" i="1"/>
  <c r="YX103" i="1" s="1"/>
  <c r="YV95" i="1"/>
  <c r="YX95" i="1" s="1"/>
  <c r="YV78" i="1"/>
  <c r="YX78" i="1" s="1"/>
  <c r="YV51" i="1"/>
  <c r="YX51" i="1" s="1"/>
  <c r="YV43" i="1"/>
  <c r="YX43" i="1" s="1"/>
  <c r="YV32" i="1"/>
  <c r="YX32" i="1" s="1"/>
  <c r="YV16" i="1"/>
  <c r="YX16" i="1" s="1"/>
  <c r="YM425" i="1"/>
  <c r="YO425" i="1" s="1"/>
  <c r="YM365" i="1"/>
  <c r="YO365" i="1" s="1"/>
  <c r="YM346" i="1"/>
  <c r="YO346" i="1" s="1"/>
  <c r="YM338" i="1"/>
  <c r="YO338" i="1" s="1"/>
  <c r="YM302" i="1"/>
  <c r="YO302" i="1" s="1"/>
  <c r="YM267" i="1"/>
  <c r="YO267" i="1" s="1"/>
  <c r="YM228" i="1"/>
  <c r="YO228" i="1" s="1"/>
  <c r="YO209" i="1"/>
  <c r="YO196" i="1"/>
  <c r="YO184" i="1"/>
  <c r="YO167" i="1"/>
  <c r="YM136" i="1"/>
  <c r="YO136" i="1" s="1"/>
  <c r="YM129" i="1"/>
  <c r="YO129" i="1" s="1"/>
  <c r="YM116" i="1"/>
  <c r="YO116" i="1" s="1"/>
  <c r="YM99" i="1"/>
  <c r="YO99" i="1" s="1"/>
  <c r="YM80" i="1"/>
  <c r="YO80" i="1" s="1"/>
  <c r="YM70" i="1"/>
  <c r="YO70" i="1" s="1"/>
  <c r="YM52" i="1"/>
  <c r="YO52" i="1" s="1"/>
  <c r="YM46" i="1"/>
  <c r="YO46" i="1" s="1"/>
  <c r="YM31" i="1"/>
  <c r="YO31" i="1" s="1"/>
  <c r="YM10" i="1"/>
  <c r="YO10" i="1" s="1"/>
  <c r="YD421" i="1"/>
  <c r="YF421" i="1" s="1"/>
  <c r="YD408" i="1"/>
  <c r="YF408" i="1" s="1"/>
  <c r="YD378" i="1"/>
  <c r="YF378" i="1" s="1"/>
  <c r="YD365" i="1"/>
  <c r="YF365" i="1" s="1"/>
  <c r="YD348" i="1"/>
  <c r="YF348" i="1" s="1"/>
  <c r="YD335" i="1"/>
  <c r="YF335" i="1" s="1"/>
  <c r="YD318" i="1"/>
  <c r="YF318" i="1" s="1"/>
  <c r="YD311" i="1"/>
  <c r="YF311" i="1" s="1"/>
  <c r="YD297" i="1"/>
  <c r="YF297" i="1" s="1"/>
  <c r="YD280" i="1"/>
  <c r="YF280" i="1" s="1"/>
  <c r="YD267" i="1"/>
  <c r="YF267" i="1" s="1"/>
  <c r="YD243" i="1"/>
  <c r="YF243" i="1" s="1"/>
  <c r="YD230" i="1"/>
  <c r="YF230" i="1" s="1"/>
  <c r="YD223" i="1"/>
  <c r="YF223" i="1" s="1"/>
  <c r="YF212" i="1"/>
  <c r="ZW312" i="1"/>
  <c r="ZY312" i="1" s="1"/>
  <c r="ZW257" i="1"/>
  <c r="ZY257" i="1" s="1"/>
  <c r="ZW70" i="1"/>
  <c r="ZY70" i="1" s="1"/>
  <c r="ZN314" i="1"/>
  <c r="ZP314" i="1" s="1"/>
  <c r="ZN187" i="1"/>
  <c r="ZP187" i="1" s="1"/>
  <c r="ZN97" i="1"/>
  <c r="ZP97" i="1" s="1"/>
  <c r="ZN87" i="1"/>
  <c r="ZP87" i="1" s="1"/>
  <c r="ZE426" i="1"/>
  <c r="ZG426" i="1" s="1"/>
  <c r="ZE365" i="1"/>
  <c r="ZG365" i="1" s="1"/>
  <c r="ZE341" i="1"/>
  <c r="ZG341" i="1" s="1"/>
  <c r="ZE309" i="1"/>
  <c r="ZG309" i="1" s="1"/>
  <c r="ZE299" i="1"/>
  <c r="ZG299" i="1" s="1"/>
  <c r="ZE291" i="1"/>
  <c r="ZG291" i="1" s="1"/>
  <c r="ZE279" i="1"/>
  <c r="ZG279" i="1" s="1"/>
  <c r="ZE219" i="1"/>
  <c r="ZG219" i="1" s="1"/>
  <c r="ZE207" i="1"/>
  <c r="ZG207" i="1" s="1"/>
  <c r="ZE157" i="1"/>
  <c r="ZG157" i="1" s="1"/>
  <c r="ZE119" i="1"/>
  <c r="ZG119" i="1" s="1"/>
  <c r="ZE87" i="1"/>
  <c r="ZG87" i="1" s="1"/>
  <c r="ZE36" i="1"/>
  <c r="ZG36" i="1" s="1"/>
  <c r="YV342" i="1"/>
  <c r="YX342" i="1" s="1"/>
  <c r="YV332" i="1"/>
  <c r="YX332" i="1" s="1"/>
  <c r="YV312" i="1"/>
  <c r="YX312" i="1" s="1"/>
  <c r="YV283" i="1"/>
  <c r="YX283" i="1" s="1"/>
  <c r="YV228" i="1"/>
  <c r="YX228" i="1" s="1"/>
  <c r="YV219" i="1"/>
  <c r="YX219" i="1" s="1"/>
  <c r="YV206" i="1"/>
  <c r="YX206" i="1" s="1"/>
  <c r="YV160" i="1"/>
  <c r="YX160" i="1" s="1"/>
  <c r="YV151" i="1"/>
  <c r="YX151" i="1" s="1"/>
  <c r="YM409" i="1"/>
  <c r="YO409" i="1" s="1"/>
  <c r="YM389" i="1"/>
  <c r="YO389" i="1" s="1"/>
  <c r="YM353" i="1"/>
  <c r="YO353" i="1" s="1"/>
  <c r="YM309" i="1"/>
  <c r="YO309" i="1" s="1"/>
  <c r="YM282" i="1"/>
  <c r="YO282" i="1" s="1"/>
  <c r="YM275" i="1"/>
  <c r="YO275" i="1" s="1"/>
  <c r="YM234" i="1"/>
  <c r="YO234" i="1" s="1"/>
  <c r="YO202" i="1"/>
  <c r="YO173" i="1"/>
  <c r="YO160" i="1"/>
  <c r="YO153" i="1"/>
  <c r="YM92" i="1"/>
  <c r="YO92" i="1" s="1"/>
  <c r="YM86" i="1"/>
  <c r="YO86" i="1" s="1"/>
  <c r="YM69" i="1"/>
  <c r="YO69" i="1" s="1"/>
  <c r="YM63" i="1"/>
  <c r="YO63" i="1" s="1"/>
  <c r="YM57" i="1"/>
  <c r="YO57" i="1" s="1"/>
  <c r="YM24" i="1"/>
  <c r="YO24" i="1" s="1"/>
  <c r="YM14" i="1"/>
  <c r="YO14" i="1" s="1"/>
  <c r="YD414" i="1"/>
  <c r="YF414" i="1" s="1"/>
  <c r="YD401" i="1"/>
  <c r="YF401" i="1" s="1"/>
  <c r="YD384" i="1"/>
  <c r="YF384" i="1" s="1"/>
  <c r="YD371" i="1"/>
  <c r="YF371" i="1" s="1"/>
  <c r="YD354" i="1"/>
  <c r="YF354" i="1" s="1"/>
  <c r="YD341" i="1"/>
  <c r="YF341" i="1" s="1"/>
  <c r="YD328" i="1"/>
  <c r="YF328" i="1" s="1"/>
  <c r="YD303" i="1"/>
  <c r="YF303" i="1" s="1"/>
  <c r="YD290" i="1"/>
  <c r="YD273" i="1"/>
  <c r="YF273" i="1" s="1"/>
  <c r="YD236" i="1"/>
  <c r="YF236" i="1" s="1"/>
  <c r="YF198" i="1"/>
  <c r="YF185" i="1"/>
  <c r="YD137" i="1"/>
  <c r="YF137" i="1" s="1"/>
  <c r="YD118" i="1"/>
  <c r="YF118" i="1" s="1"/>
  <c r="YD112" i="1"/>
  <c r="YD102" i="1"/>
  <c r="YF102" i="1" s="1"/>
  <c r="YD82" i="1"/>
  <c r="YF82" i="1" s="1"/>
  <c r="YD66" i="1"/>
  <c r="YF66" i="1" s="1"/>
  <c r="YD50" i="1"/>
  <c r="YF50" i="1" s="1"/>
  <c r="YD35" i="1"/>
  <c r="YF35" i="1" s="1"/>
  <c r="YD30" i="1"/>
  <c r="YF30" i="1" s="1"/>
  <c r="YD25" i="1"/>
  <c r="YF25" i="1" s="1"/>
  <c r="YD20" i="1"/>
  <c r="YF20" i="1" s="1"/>
  <c r="XU412" i="1"/>
  <c r="XW412" i="1" s="1"/>
  <c r="XU399" i="1"/>
  <c r="XW399" i="1" s="1"/>
  <c r="XU389" i="1"/>
  <c r="XW389" i="1" s="1"/>
  <c r="XU355" i="1"/>
  <c r="XW355" i="1" s="1"/>
  <c r="XU343" i="1"/>
  <c r="XW343" i="1" s="1"/>
  <c r="XU330" i="1"/>
  <c r="XW330" i="1" s="1"/>
  <c r="XU319" i="1"/>
  <c r="XW319" i="1" s="1"/>
  <c r="XU307" i="1"/>
  <c r="XW307" i="1" s="1"/>
  <c r="ZW371" i="1"/>
  <c r="ZY371" i="1" s="1"/>
  <c r="ZW276" i="1"/>
  <c r="ZY276" i="1" s="1"/>
  <c r="ZW266" i="1"/>
  <c r="ZY266" i="1" s="1"/>
  <c r="ZW161" i="1"/>
  <c r="ZY161" i="1" s="1"/>
  <c r="ZW151" i="1"/>
  <c r="ZY151" i="1" s="1"/>
  <c r="ZW16" i="1"/>
  <c r="ZY16" i="1" s="1"/>
  <c r="ZN302" i="1"/>
  <c r="ZP302" i="1" s="1"/>
  <c r="ZN292" i="1"/>
  <c r="ZP292" i="1" s="1"/>
  <c r="ZN222" i="1"/>
  <c r="ZP222" i="1" s="1"/>
  <c r="ZN118" i="1"/>
  <c r="ZP118" i="1" s="1"/>
  <c r="ZN30" i="1"/>
  <c r="ZP30" i="1" s="1"/>
  <c r="ZE227" i="1"/>
  <c r="ZG227" i="1" s="1"/>
  <c r="ZE174" i="1"/>
  <c r="ZG174" i="1" s="1"/>
  <c r="ZE166" i="1"/>
  <c r="ZG166" i="1" s="1"/>
  <c r="ZE127" i="1"/>
  <c r="ZG127" i="1" s="1"/>
  <c r="ZE106" i="1"/>
  <c r="ZG106" i="1" s="1"/>
  <c r="ZE19" i="1"/>
  <c r="ZG19" i="1" s="1"/>
  <c r="YV402" i="1"/>
  <c r="YX402" i="1" s="1"/>
  <c r="YV389" i="1"/>
  <c r="YX389" i="1" s="1"/>
  <c r="YV380" i="1"/>
  <c r="YX380" i="1" s="1"/>
  <c r="YV372" i="1"/>
  <c r="YX372" i="1" s="1"/>
  <c r="YV266" i="1"/>
  <c r="YX266" i="1" s="1"/>
  <c r="YV235" i="1"/>
  <c r="YX235" i="1" s="1"/>
  <c r="YV187" i="1"/>
  <c r="YX187" i="1" s="1"/>
  <c r="YV167" i="1"/>
  <c r="YX167" i="1" s="1"/>
  <c r="YV122" i="1"/>
  <c r="YX122" i="1" s="1"/>
  <c r="YV113" i="1"/>
  <c r="YX113" i="1" s="1"/>
  <c r="YV85" i="1"/>
  <c r="YX85" i="1" s="1"/>
  <c r="YV65" i="1"/>
  <c r="YX65" i="1" s="1"/>
  <c r="YV42" i="1"/>
  <c r="YV22" i="1"/>
  <c r="YX22" i="1" s="1"/>
  <c r="YV15" i="1"/>
  <c r="YX15" i="1" s="1"/>
  <c r="YV8" i="1"/>
  <c r="YX8" i="1" s="1"/>
  <c r="YM416" i="1"/>
  <c r="YO416" i="1" s="1"/>
  <c r="YM400" i="1"/>
  <c r="YO400" i="1" s="1"/>
  <c r="YM371" i="1"/>
  <c r="YO371" i="1" s="1"/>
  <c r="YM328" i="1"/>
  <c r="YO328" i="1" s="1"/>
  <c r="YM266" i="1"/>
  <c r="YO266" i="1" s="1"/>
  <c r="YM240" i="1"/>
  <c r="YO240" i="1" s="1"/>
  <c r="YM227" i="1"/>
  <c r="YO227" i="1" s="1"/>
  <c r="YO195" i="1"/>
  <c r="YO189" i="1"/>
  <c r="YM135" i="1"/>
  <c r="YO135" i="1" s="1"/>
  <c r="YM121" i="1"/>
  <c r="YO121" i="1" s="1"/>
  <c r="YM104" i="1"/>
  <c r="YO104" i="1" s="1"/>
  <c r="YM98" i="1"/>
  <c r="YO98" i="1" s="1"/>
  <c r="YM79" i="1"/>
  <c r="YO79" i="1" s="1"/>
  <c r="YM51" i="1"/>
  <c r="YM45" i="1"/>
  <c r="YO45" i="1" s="1"/>
  <c r="YM36" i="1"/>
  <c r="YO36" i="1" s="1"/>
  <c r="YM9" i="1"/>
  <c r="YO9" i="1" s="1"/>
  <c r="YD420" i="1"/>
  <c r="YF420" i="1" s="1"/>
  <c r="YD407" i="1"/>
  <c r="YF407" i="1" s="1"/>
  <c r="YD377" i="1"/>
  <c r="YF377" i="1" s="1"/>
  <c r="YD364" i="1"/>
  <c r="YF364" i="1" s="1"/>
  <c r="YD347" i="1"/>
  <c r="YF347" i="1" s="1"/>
  <c r="YD334" i="1"/>
  <c r="YF334" i="1" s="1"/>
  <c r="YD296" i="1"/>
  <c r="YF296" i="1" s="1"/>
  <c r="YD279" i="1"/>
  <c r="YF279" i="1" s="1"/>
  <c r="YD259" i="1"/>
  <c r="YF259" i="1" s="1"/>
  <c r="YD242" i="1"/>
  <c r="YF242" i="1" s="1"/>
  <c r="YD229" i="1"/>
  <c r="YF229" i="1" s="1"/>
  <c r="YD222" i="1"/>
  <c r="YF222" i="1" s="1"/>
  <c r="YF204" i="1"/>
  <c r="YF191" i="1"/>
  <c r="YF174" i="1"/>
  <c r="YF167" i="1"/>
  <c r="YF153" i="1"/>
  <c r="YD130" i="1"/>
  <c r="YF130" i="1" s="1"/>
  <c r="YD124" i="1"/>
  <c r="YF124" i="1" s="1"/>
  <c r="YD88" i="1"/>
  <c r="YF88" i="1" s="1"/>
  <c r="YD9" i="1"/>
  <c r="YF9" i="1" s="1"/>
  <c r="XU425" i="1"/>
  <c r="XW425" i="1" s="1"/>
  <c r="XU405" i="1"/>
  <c r="XW405" i="1" s="1"/>
  <c r="ZN274" i="1"/>
  <c r="ZP274" i="1" s="1"/>
  <c r="ZN124" i="1"/>
  <c r="ZP124" i="1" s="1"/>
  <c r="ZN42" i="1"/>
  <c r="ZE267" i="1"/>
  <c r="ZG267" i="1" s="1"/>
  <c r="ZE48" i="1"/>
  <c r="ZG48" i="1" s="1"/>
  <c r="ZE24" i="1"/>
  <c r="ZG24" i="1" s="1"/>
  <c r="YV409" i="1"/>
  <c r="YX409" i="1" s="1"/>
  <c r="YV399" i="1"/>
  <c r="YX399" i="1" s="1"/>
  <c r="YM376" i="1"/>
  <c r="YO376" i="1" s="1"/>
  <c r="YM291" i="1"/>
  <c r="YO291" i="1" s="1"/>
  <c r="YM229" i="1"/>
  <c r="YO229" i="1" s="1"/>
  <c r="YO207" i="1"/>
  <c r="YO163" i="1"/>
  <c r="YM127" i="1"/>
  <c r="YO127" i="1" s="1"/>
  <c r="YM77" i="1"/>
  <c r="YO77" i="1" s="1"/>
  <c r="YM34" i="1"/>
  <c r="YO34" i="1" s="1"/>
  <c r="YM15" i="1"/>
  <c r="YO15" i="1" s="1"/>
  <c r="YD419" i="1"/>
  <c r="YF419" i="1" s="1"/>
  <c r="YD411" i="1"/>
  <c r="YF411" i="1" s="1"/>
  <c r="YD396" i="1"/>
  <c r="YD386" i="1"/>
  <c r="YF386" i="1" s="1"/>
  <c r="YD370" i="1"/>
  <c r="YF370" i="1" s="1"/>
  <c r="YD343" i="1"/>
  <c r="YF343" i="1" s="1"/>
  <c r="YD308" i="1"/>
  <c r="YF308" i="1" s="1"/>
  <c r="YD281" i="1"/>
  <c r="YF281" i="1" s="1"/>
  <c r="YD265" i="1"/>
  <c r="YF265" i="1" s="1"/>
  <c r="YD247" i="1"/>
  <c r="YF247" i="1" s="1"/>
  <c r="YD232" i="1"/>
  <c r="YF232" i="1" s="1"/>
  <c r="YF203" i="1"/>
  <c r="YF196" i="1"/>
  <c r="YF189" i="1"/>
  <c r="YF162" i="1"/>
  <c r="YD136" i="1"/>
  <c r="YF136" i="1" s="1"/>
  <c r="YD129" i="1"/>
  <c r="YF129" i="1" s="1"/>
  <c r="YD114" i="1"/>
  <c r="YF114" i="1" s="1"/>
  <c r="YD96" i="1"/>
  <c r="YF96" i="1" s="1"/>
  <c r="YD81" i="1"/>
  <c r="YF81" i="1" s="1"/>
  <c r="YD65" i="1"/>
  <c r="YF65" i="1" s="1"/>
  <c r="YD53" i="1"/>
  <c r="YF53" i="1" s="1"/>
  <c r="XU423" i="1"/>
  <c r="XW423" i="1" s="1"/>
  <c r="XU416" i="1"/>
  <c r="XW416" i="1" s="1"/>
  <c r="XU401" i="1"/>
  <c r="XW401" i="1" s="1"/>
  <c r="XU348" i="1"/>
  <c r="XW348" i="1" s="1"/>
  <c r="XU335" i="1"/>
  <c r="XW335" i="1" s="1"/>
  <c r="XU328" i="1"/>
  <c r="XW328" i="1" s="1"/>
  <c r="XU317" i="1"/>
  <c r="XW317" i="1" s="1"/>
  <c r="XU311" i="1"/>
  <c r="XW311" i="1" s="1"/>
  <c r="XU304" i="1"/>
  <c r="XW304" i="1" s="1"/>
  <c r="XU297" i="1"/>
  <c r="XW297" i="1" s="1"/>
  <c r="XU280" i="1"/>
  <c r="XW280" i="1" s="1"/>
  <c r="XU237" i="1"/>
  <c r="XW237" i="1" s="1"/>
  <c r="XU230" i="1"/>
  <c r="XW230" i="1" s="1"/>
  <c r="XU218" i="1"/>
  <c r="XW208" i="1"/>
  <c r="XW190" i="1"/>
  <c r="XW163" i="1"/>
  <c r="XW157" i="1"/>
  <c r="XU141" i="1"/>
  <c r="XW141" i="1" s="1"/>
  <c r="XU135" i="1"/>
  <c r="XW135" i="1" s="1"/>
  <c r="XU116" i="1"/>
  <c r="XW116" i="1" s="1"/>
  <c r="XU80" i="1"/>
  <c r="XW80" i="1" s="1"/>
  <c r="XU48" i="1"/>
  <c r="XW48" i="1" s="1"/>
  <c r="XL417" i="1"/>
  <c r="XN417" i="1" s="1"/>
  <c r="XL369" i="1"/>
  <c r="XN369" i="1" s="1"/>
  <c r="XL328" i="1"/>
  <c r="XN328" i="1" s="1"/>
  <c r="XL318" i="1"/>
  <c r="XN318" i="1" s="1"/>
  <c r="XL277" i="1"/>
  <c r="XN277" i="1" s="1"/>
  <c r="XL266" i="1"/>
  <c r="XN266" i="1" s="1"/>
  <c r="XL255" i="1"/>
  <c r="XN255" i="1" s="1"/>
  <c r="XL245" i="1"/>
  <c r="XN245" i="1" s="1"/>
  <c r="XN212" i="1"/>
  <c r="XN201" i="1"/>
  <c r="XN184" i="1"/>
  <c r="XN169" i="1"/>
  <c r="XN158" i="1"/>
  <c r="XL137" i="1"/>
  <c r="XN137" i="1" s="1"/>
  <c r="XL132" i="1"/>
  <c r="XN132" i="1" s="1"/>
  <c r="XL115" i="1"/>
  <c r="XN115" i="1" s="1"/>
  <c r="XL106" i="1"/>
  <c r="XN106" i="1" s="1"/>
  <c r="XL100" i="1"/>
  <c r="XN100" i="1" s="1"/>
  <c r="XL83" i="1"/>
  <c r="XN83" i="1" s="1"/>
  <c r="XL77" i="1"/>
  <c r="XN77" i="1" s="1"/>
  <c r="XL67" i="1"/>
  <c r="XN67" i="1" s="1"/>
  <c r="XL56" i="1"/>
  <c r="XN56" i="1" s="1"/>
  <c r="XL45" i="1"/>
  <c r="XN45" i="1" s="1"/>
  <c r="XL15" i="1"/>
  <c r="XN15" i="1" s="1"/>
  <c r="XL11" i="1"/>
  <c r="XN11" i="1" s="1"/>
  <c r="YD87" i="1"/>
  <c r="YF87" i="1" s="1"/>
  <c r="YD70" i="1"/>
  <c r="YF70" i="1" s="1"/>
  <c r="YD52" i="1"/>
  <c r="YF52" i="1" s="1"/>
  <c r="YD19" i="1"/>
  <c r="YF19" i="1" s="1"/>
  <c r="XU415" i="1"/>
  <c r="XW415" i="1" s="1"/>
  <c r="XU334" i="1"/>
  <c r="XW334" i="1" s="1"/>
  <c r="XU316" i="1"/>
  <c r="XW316" i="1" s="1"/>
  <c r="XW207" i="1"/>
  <c r="XW156" i="1"/>
  <c r="XU134" i="1"/>
  <c r="XW134" i="1" s="1"/>
  <c r="XU86" i="1"/>
  <c r="XW86" i="1" s="1"/>
  <c r="XU53" i="1"/>
  <c r="XW53" i="1" s="1"/>
  <c r="XU26" i="1"/>
  <c r="XW26" i="1" s="1"/>
  <c r="XL422" i="1"/>
  <c r="XN422" i="1" s="1"/>
  <c r="XL403" i="1"/>
  <c r="XN403" i="1" s="1"/>
  <c r="XL317" i="1"/>
  <c r="XN317" i="1" s="1"/>
  <c r="XL254" i="1"/>
  <c r="XN200" i="1"/>
  <c r="XN174" i="1"/>
  <c r="XN157" i="1"/>
  <c r="XL99" i="1"/>
  <c r="XN99" i="1" s="1"/>
  <c r="XL76" i="1"/>
  <c r="XN76" i="1" s="1"/>
  <c r="XL35" i="1"/>
  <c r="XN35" i="1" s="1"/>
  <c r="XL6" i="1"/>
  <c r="XN6" i="1" s="1"/>
  <c r="XL333" i="1"/>
  <c r="XN333" i="1" s="1"/>
  <c r="XL281" i="1"/>
  <c r="XN281" i="1" s="1"/>
  <c r="XL259" i="1"/>
  <c r="XN259" i="1" s="1"/>
  <c r="XL226" i="1"/>
  <c r="XN226" i="1" s="1"/>
  <c r="XN194" i="1"/>
  <c r="XN151" i="1"/>
  <c r="XL131" i="1"/>
  <c r="XN131" i="1" s="1"/>
  <c r="XL93" i="1"/>
  <c r="XN93" i="1" s="1"/>
  <c r="XL49" i="1"/>
  <c r="XN49" i="1" s="1"/>
  <c r="XL19" i="1"/>
  <c r="YO151" i="1"/>
  <c r="YM62" i="1"/>
  <c r="YO62" i="1" s="1"/>
  <c r="YD399" i="1"/>
  <c r="YF399" i="1" s="1"/>
  <c r="YF207" i="1"/>
  <c r="YD78" i="1"/>
  <c r="YF78" i="1" s="1"/>
  <c r="YD17" i="1"/>
  <c r="YF17" i="1" s="1"/>
  <c r="XU369" i="1"/>
  <c r="XW369" i="1" s="1"/>
  <c r="XU240" i="1"/>
  <c r="XW240" i="1" s="1"/>
  <c r="XW186" i="1"/>
  <c r="XU138" i="1"/>
  <c r="XW138" i="1" s="1"/>
  <c r="ZW168" i="1"/>
  <c r="ZY168" i="1" s="1"/>
  <c r="ZN336" i="1"/>
  <c r="ZP336" i="1" s="1"/>
  <c r="ZN325" i="1"/>
  <c r="ZN148" i="1"/>
  <c r="ZP148" i="1" s="1"/>
  <c r="ZN134" i="1"/>
  <c r="ZP134" i="1" s="1"/>
  <c r="ZN51" i="1"/>
  <c r="ZP51" i="1" s="1"/>
  <c r="ZE173" i="1"/>
  <c r="ZG173" i="1" s="1"/>
  <c r="YV348" i="1"/>
  <c r="YX348" i="1" s="1"/>
  <c r="YV280" i="1"/>
  <c r="YX280" i="1" s="1"/>
  <c r="YV234" i="1"/>
  <c r="YX234" i="1" s="1"/>
  <c r="YV174" i="1"/>
  <c r="YX174" i="1" s="1"/>
  <c r="YV165" i="1"/>
  <c r="YX165" i="1" s="1"/>
  <c r="YV129" i="1"/>
  <c r="YX129" i="1" s="1"/>
  <c r="YM279" i="1"/>
  <c r="YO279" i="1" s="1"/>
  <c r="YM246" i="1"/>
  <c r="YO246" i="1" s="1"/>
  <c r="YO169" i="1"/>
  <c r="YM119" i="1"/>
  <c r="YO119" i="1" s="1"/>
  <c r="YM112" i="1"/>
  <c r="YM85" i="1"/>
  <c r="YO85" i="1" s="1"/>
  <c r="YM27" i="1"/>
  <c r="YO27" i="1" s="1"/>
  <c r="YD426" i="1"/>
  <c r="YF426" i="1" s="1"/>
  <c r="YD403" i="1"/>
  <c r="YF403" i="1" s="1"/>
  <c r="YD362" i="1"/>
  <c r="YF362" i="1" s="1"/>
  <c r="YD350" i="1"/>
  <c r="YF350" i="1" s="1"/>
  <c r="YD326" i="1"/>
  <c r="YF326" i="1" s="1"/>
  <c r="YD315" i="1"/>
  <c r="YF315" i="1" s="1"/>
  <c r="YD292" i="1"/>
  <c r="YF292" i="1" s="1"/>
  <c r="YD257" i="1"/>
  <c r="YF257" i="1" s="1"/>
  <c r="YD239" i="1"/>
  <c r="YF239" i="1" s="1"/>
  <c r="YF210" i="1"/>
  <c r="YF169" i="1"/>
  <c r="YD121" i="1"/>
  <c r="YF121" i="1" s="1"/>
  <c r="YD8" i="1"/>
  <c r="YF8" i="1" s="1"/>
  <c r="XU409" i="1"/>
  <c r="XW409" i="1" s="1"/>
  <c r="XU383" i="1"/>
  <c r="XW383" i="1" s="1"/>
  <c r="XU377" i="1"/>
  <c r="XW377" i="1" s="1"/>
  <c r="XU354" i="1"/>
  <c r="XW354" i="1" s="1"/>
  <c r="XU341" i="1"/>
  <c r="XW341" i="1" s="1"/>
  <c r="XU290" i="1"/>
  <c r="XU267" i="1"/>
  <c r="XW267" i="1" s="1"/>
  <c r="XU260" i="1"/>
  <c r="XW260" i="1" s="1"/>
  <c r="XU243" i="1"/>
  <c r="XW243" i="1" s="1"/>
  <c r="XU223" i="1"/>
  <c r="XW223" i="1" s="1"/>
  <c r="XW195" i="1"/>
  <c r="XW174" i="1"/>
  <c r="XW150" i="1"/>
  <c r="XU128" i="1"/>
  <c r="XW128" i="1" s="1"/>
  <c r="XU105" i="1"/>
  <c r="XW105" i="1" s="1"/>
  <c r="XU99" i="1"/>
  <c r="XW99" i="1" s="1"/>
  <c r="XU93" i="1"/>
  <c r="XW93" i="1" s="1"/>
  <c r="XU42" i="1"/>
  <c r="XW42" i="1" s="1"/>
  <c r="XU32" i="1"/>
  <c r="XW32" i="1" s="1"/>
  <c r="XU21" i="1"/>
  <c r="XW21" i="1" s="1"/>
  <c r="XU11" i="1"/>
  <c r="XW11" i="1" s="1"/>
  <c r="XL411" i="1"/>
  <c r="XN411" i="1" s="1"/>
  <c r="XL397" i="1"/>
  <c r="XN397" i="1" s="1"/>
  <c r="XL387" i="1"/>
  <c r="XN387" i="1" s="1"/>
  <c r="XL381" i="1"/>
  <c r="XN381" i="1" s="1"/>
  <c r="XL362" i="1"/>
  <c r="XN362" i="1" s="1"/>
  <c r="XL352" i="1"/>
  <c r="XN352" i="1" s="1"/>
  <c r="XL346" i="1"/>
  <c r="XN346" i="1" s="1"/>
  <c r="XL340" i="1"/>
  <c r="XN340" i="1" s="1"/>
  <c r="XL334" i="1"/>
  <c r="XN334" i="1" s="1"/>
  <c r="XL311" i="1"/>
  <c r="XN311" i="1" s="1"/>
  <c r="XL304" i="1"/>
  <c r="XN304" i="1" s="1"/>
  <c r="XL298" i="1"/>
  <c r="XN298" i="1" s="1"/>
  <c r="XL292" i="1"/>
  <c r="XN292" i="1" s="1"/>
  <c r="XL282" i="1"/>
  <c r="XN282" i="1" s="1"/>
  <c r="XL271" i="1"/>
  <c r="XN271" i="1" s="1"/>
  <c r="XL260" i="1"/>
  <c r="XN260" i="1" s="1"/>
  <c r="XL239" i="1"/>
  <c r="XN239" i="1" s="1"/>
  <c r="XL233" i="1"/>
  <c r="XN233" i="1" s="1"/>
  <c r="XL227" i="1"/>
  <c r="XN227" i="1" s="1"/>
  <c r="XL221" i="1"/>
  <c r="XN221" i="1" s="1"/>
  <c r="XN206" i="1"/>
  <c r="XN195" i="1"/>
  <c r="XN189" i="1"/>
  <c r="XN163" i="1"/>
  <c r="XN152" i="1"/>
  <c r="XL126" i="1"/>
  <c r="XN126" i="1" s="1"/>
  <c r="XL120" i="1"/>
  <c r="XN120" i="1" s="1"/>
  <c r="XL94" i="1"/>
  <c r="XN94" i="1" s="1"/>
  <c r="XL88" i="1"/>
  <c r="XN88" i="1" s="1"/>
  <c r="XL61" i="1"/>
  <c r="XN61" i="1" s="1"/>
  <c r="XL50" i="1"/>
  <c r="XN50" i="1" s="1"/>
  <c r="XL30" i="1"/>
  <c r="XN30" i="1" s="1"/>
  <c r="XL25" i="1"/>
  <c r="XN25" i="1" s="1"/>
  <c r="XL20" i="1"/>
  <c r="XN20" i="1" s="1"/>
  <c r="YF202" i="1"/>
  <c r="YF195" i="1"/>
  <c r="YF188" i="1"/>
  <c r="YF161" i="1"/>
  <c r="YD135" i="1"/>
  <c r="YF135" i="1" s="1"/>
  <c r="YD80" i="1"/>
  <c r="YF80" i="1" s="1"/>
  <c r="YD64" i="1"/>
  <c r="YF64" i="1" s="1"/>
  <c r="YD47" i="1"/>
  <c r="YF47" i="1" s="1"/>
  <c r="XU422" i="1"/>
  <c r="XW422" i="1" s="1"/>
  <c r="XU365" i="1"/>
  <c r="XW365" i="1" s="1"/>
  <c r="XU327" i="1"/>
  <c r="XW327" i="1" s="1"/>
  <c r="XW201" i="1"/>
  <c r="XW168" i="1"/>
  <c r="XU140" i="1"/>
  <c r="XW140" i="1" s="1"/>
  <c r="XU122" i="1"/>
  <c r="XW122" i="1" s="1"/>
  <c r="XU65" i="1"/>
  <c r="XW65" i="1" s="1"/>
  <c r="XU47" i="1"/>
  <c r="XW47" i="1" s="1"/>
  <c r="XU16" i="1"/>
  <c r="XW16" i="1" s="1"/>
  <c r="XL416" i="1"/>
  <c r="XN416" i="1" s="1"/>
  <c r="XL375" i="1"/>
  <c r="XN375" i="1" s="1"/>
  <c r="XL265" i="1"/>
  <c r="XN265" i="1" s="1"/>
  <c r="XL244" i="1"/>
  <c r="XN244" i="1" s="1"/>
  <c r="XN168" i="1"/>
  <c r="XL105" i="1"/>
  <c r="XN105" i="1" s="1"/>
  <c r="XL82" i="1"/>
  <c r="XN82" i="1" s="1"/>
  <c r="XL55" i="1"/>
  <c r="XN55" i="1" s="1"/>
  <c r="XL10" i="1"/>
  <c r="XN10" i="1" s="1"/>
  <c r="XL303" i="1"/>
  <c r="XN303" i="1" s="1"/>
  <c r="XL291" i="1"/>
  <c r="XN291" i="1" s="1"/>
  <c r="XL270" i="1"/>
  <c r="XN270" i="1" s="1"/>
  <c r="XL232" i="1"/>
  <c r="XN232" i="1" s="1"/>
  <c r="XN205" i="1"/>
  <c r="XL141" i="1"/>
  <c r="XN141" i="1" s="1"/>
  <c r="XL136" i="1"/>
  <c r="XN136" i="1" s="1"/>
  <c r="XL87" i="1"/>
  <c r="XN87" i="1" s="1"/>
  <c r="XL60" i="1"/>
  <c r="XN60" i="1" s="1"/>
  <c r="XL24" i="1"/>
  <c r="XN24" i="1" s="1"/>
  <c r="YM131" i="1"/>
  <c r="YO131" i="1" s="1"/>
  <c r="YM42" i="1"/>
  <c r="YO42" i="1" s="1"/>
  <c r="YD382" i="1"/>
  <c r="YF382" i="1" s="1"/>
  <c r="YF200" i="1"/>
  <c r="YD85" i="1"/>
  <c r="YF85" i="1" s="1"/>
  <c r="XU386" i="1"/>
  <c r="XW386" i="1" s="1"/>
  <c r="XU264" i="1"/>
  <c r="XW264" i="1" s="1"/>
  <c r="XW211" i="1"/>
  <c r="XW148" i="1"/>
  <c r="ZW58" i="1"/>
  <c r="ZY58" i="1" s="1"/>
  <c r="ZN27" i="1"/>
  <c r="ZP27" i="1" s="1"/>
  <c r="ZE266" i="1"/>
  <c r="ZG266" i="1" s="1"/>
  <c r="ZE255" i="1"/>
  <c r="ZG255" i="1" s="1"/>
  <c r="ZE242" i="1"/>
  <c r="ZG242" i="1" s="1"/>
  <c r="YV408" i="1"/>
  <c r="YX408" i="1" s="1"/>
  <c r="YV292" i="1"/>
  <c r="YX292" i="1" s="1"/>
  <c r="YV6" i="1"/>
  <c r="YM352" i="1"/>
  <c r="YO352" i="1" s="1"/>
  <c r="YM341" i="1"/>
  <c r="YO341" i="1" s="1"/>
  <c r="YM298" i="1"/>
  <c r="YO298" i="1" s="1"/>
  <c r="YM290" i="1"/>
  <c r="YM257" i="1"/>
  <c r="YO257" i="1" s="1"/>
  <c r="YO206" i="1"/>
  <c r="YO188" i="1"/>
  <c r="YO177" i="1"/>
  <c r="YM126" i="1"/>
  <c r="YO126" i="1" s="1"/>
  <c r="YM100" i="1"/>
  <c r="YO100" i="1" s="1"/>
  <c r="YM76" i="1"/>
  <c r="YM65" i="1"/>
  <c r="YO65" i="1" s="1"/>
  <c r="YM33" i="1"/>
  <c r="YO33" i="1" s="1"/>
  <c r="YM21" i="1"/>
  <c r="YO21" i="1" s="1"/>
  <c r="YD410" i="1"/>
  <c r="YF410" i="1" s="1"/>
  <c r="YD369" i="1"/>
  <c r="YF369" i="1" s="1"/>
  <c r="YD307" i="1"/>
  <c r="YF307" i="1" s="1"/>
  <c r="YD299" i="1"/>
  <c r="YF299" i="1" s="1"/>
  <c r="YD271" i="1"/>
  <c r="YF271" i="1" s="1"/>
  <c r="YD264" i="1"/>
  <c r="YF264" i="1" s="1"/>
  <c r="YD246" i="1"/>
  <c r="YF246" i="1" s="1"/>
  <c r="XU279" i="1"/>
  <c r="XW279" i="1" s="1"/>
  <c r="XW162" i="1"/>
  <c r="XU70" i="1"/>
  <c r="XW70" i="1" s="1"/>
  <c r="XU6" i="1"/>
  <c r="XL327" i="1"/>
  <c r="XN327" i="1" s="1"/>
  <c r="XN211" i="1"/>
  <c r="XL114" i="1"/>
  <c r="XN114" i="1" s="1"/>
  <c r="XL66" i="1"/>
  <c r="XN66" i="1" s="1"/>
  <c r="XL339" i="1"/>
  <c r="XN339" i="1" s="1"/>
  <c r="XL276" i="1"/>
  <c r="XN276" i="1" s="1"/>
  <c r="XN188" i="1"/>
  <c r="XL125" i="1"/>
  <c r="XN125" i="1" s="1"/>
  <c r="XL44" i="1"/>
  <c r="XN44" i="1" s="1"/>
  <c r="YD262" i="1"/>
  <c r="YF262" i="1" s="1"/>
  <c r="XU380" i="1"/>
  <c r="XW380" i="1" s="1"/>
  <c r="XW160" i="1"/>
  <c r="ZW204" i="1"/>
  <c r="ZY204" i="1" s="1"/>
  <c r="ZW67" i="1"/>
  <c r="ZY67" i="1" s="1"/>
  <c r="ZN345" i="1"/>
  <c r="ZP345" i="1" s="1"/>
  <c r="ZE383" i="1"/>
  <c r="ZG383" i="1" s="1"/>
  <c r="ZE185" i="1"/>
  <c r="ZG185" i="1" s="1"/>
  <c r="ZE172" i="1"/>
  <c r="ZG172" i="1" s="1"/>
  <c r="ZE31" i="1"/>
  <c r="ZG31" i="1" s="1"/>
  <c r="ZE6" i="1"/>
  <c r="ZG6" i="1" s="1"/>
  <c r="YV233" i="1"/>
  <c r="YX233" i="1" s="1"/>
  <c r="YV173" i="1"/>
  <c r="YX173" i="1" s="1"/>
  <c r="YV128" i="1"/>
  <c r="YX128" i="1" s="1"/>
  <c r="YV92" i="1"/>
  <c r="YX92" i="1" s="1"/>
  <c r="YV82" i="1"/>
  <c r="YX82" i="1" s="1"/>
  <c r="YV48" i="1"/>
  <c r="YX48" i="1" s="1"/>
  <c r="YV14" i="1"/>
  <c r="YX14" i="1" s="1"/>
  <c r="YM308" i="1"/>
  <c r="YO308" i="1" s="1"/>
  <c r="YM245" i="1"/>
  <c r="YO245" i="1" s="1"/>
  <c r="YO162" i="1"/>
  <c r="YM133" i="1"/>
  <c r="YO133" i="1" s="1"/>
  <c r="YM91" i="1"/>
  <c r="YO91" i="1" s="1"/>
  <c r="YD425" i="1"/>
  <c r="YF425" i="1" s="1"/>
  <c r="YD417" i="1"/>
  <c r="YF417" i="1" s="1"/>
  <c r="YD376" i="1"/>
  <c r="YF376" i="1" s="1"/>
  <c r="YD349" i="1"/>
  <c r="YF349" i="1" s="1"/>
  <c r="YD325" i="1"/>
  <c r="YD314" i="1"/>
  <c r="YF314" i="1" s="1"/>
  <c r="YD256" i="1"/>
  <c r="YF256" i="1" s="1"/>
  <c r="YF168" i="1"/>
  <c r="YD120" i="1"/>
  <c r="YF120" i="1" s="1"/>
  <c r="YD94" i="1"/>
  <c r="YF94" i="1" s="1"/>
  <c r="YD13" i="1"/>
  <c r="YF13" i="1" s="1"/>
  <c r="XU388" i="1"/>
  <c r="XW388" i="1" s="1"/>
  <c r="XU376" i="1"/>
  <c r="XW376" i="1" s="1"/>
  <c r="XU370" i="1"/>
  <c r="XW370" i="1" s="1"/>
  <c r="XU346" i="1"/>
  <c r="XW346" i="1" s="1"/>
  <c r="XU340" i="1"/>
  <c r="XW340" i="1" s="1"/>
  <c r="XU309" i="1"/>
  <c r="XW309" i="1" s="1"/>
  <c r="XU302" i="1"/>
  <c r="XW302" i="1" s="1"/>
  <c r="XU296" i="1"/>
  <c r="XW296" i="1" s="1"/>
  <c r="XU272" i="1"/>
  <c r="XW272" i="1" s="1"/>
  <c r="XU248" i="1"/>
  <c r="XW248" i="1" s="1"/>
  <c r="XW194" i="1"/>
  <c r="XW188" i="1"/>
  <c r="XW173" i="1"/>
  <c r="XU127" i="1"/>
  <c r="XW127" i="1" s="1"/>
  <c r="XU114" i="1"/>
  <c r="XW114" i="1" s="1"/>
  <c r="XU104" i="1"/>
  <c r="XW104" i="1" s="1"/>
  <c r="XU98" i="1"/>
  <c r="XW98" i="1" s="1"/>
  <c r="XU92" i="1"/>
  <c r="XW92" i="1" s="1"/>
  <c r="XU79" i="1"/>
  <c r="XW79" i="1" s="1"/>
  <c r="XU58" i="1"/>
  <c r="XW58" i="1" s="1"/>
  <c r="XU31" i="1"/>
  <c r="XW31" i="1" s="1"/>
  <c r="XU10" i="1"/>
  <c r="XW10" i="1" s="1"/>
  <c r="XL396" i="1"/>
  <c r="XL386" i="1"/>
  <c r="XN386" i="1" s="1"/>
  <c r="XL380" i="1"/>
  <c r="XN380" i="1" s="1"/>
  <c r="XL367" i="1"/>
  <c r="XN367" i="1" s="1"/>
  <c r="XL351" i="1"/>
  <c r="XN351" i="1" s="1"/>
  <c r="XL297" i="1"/>
  <c r="XN297" i="1" s="1"/>
  <c r="XL238" i="1"/>
  <c r="XN238" i="1" s="1"/>
  <c r="XN162" i="1"/>
  <c r="XL119" i="1"/>
  <c r="XN119" i="1" s="1"/>
  <c r="XL14" i="1"/>
  <c r="XN14" i="1" s="1"/>
  <c r="YD235" i="1"/>
  <c r="YF235" i="1" s="1"/>
  <c r="YD12" i="1"/>
  <c r="YF12" i="1" s="1"/>
  <c r="XU257" i="1"/>
  <c r="XW257" i="1" s="1"/>
  <c r="XU19" i="1"/>
  <c r="XW19" i="1" s="1"/>
  <c r="ZW80" i="1"/>
  <c r="ZY80" i="1" s="1"/>
  <c r="ZE274" i="1"/>
  <c r="ZG274" i="1" s="1"/>
  <c r="ZE125" i="1"/>
  <c r="ZG125" i="1" s="1"/>
  <c r="ZE115" i="1"/>
  <c r="ZG115" i="1" s="1"/>
  <c r="YV301" i="1"/>
  <c r="YX301" i="1" s="1"/>
  <c r="YV242" i="1"/>
  <c r="YX242" i="1" s="1"/>
  <c r="YM408" i="1"/>
  <c r="YO408" i="1" s="1"/>
  <c r="YM297" i="1"/>
  <c r="YO297" i="1" s="1"/>
  <c r="YM256" i="1"/>
  <c r="YO256" i="1" s="1"/>
  <c r="YO168" i="1"/>
  <c r="YO152" i="1"/>
  <c r="YM141" i="1"/>
  <c r="YO141" i="1" s="1"/>
  <c r="YM125" i="1"/>
  <c r="YO125" i="1" s="1"/>
  <c r="YM118" i="1"/>
  <c r="YO118" i="1" s="1"/>
  <c r="YM83" i="1"/>
  <c r="YO83" i="1" s="1"/>
  <c r="YM50" i="1"/>
  <c r="YO50" i="1" s="1"/>
  <c r="YM43" i="1"/>
  <c r="YO43" i="1" s="1"/>
  <c r="YM26" i="1"/>
  <c r="YO26" i="1" s="1"/>
  <c r="YD409" i="1"/>
  <c r="YF409" i="1" s="1"/>
  <c r="YD383" i="1"/>
  <c r="YF383" i="1" s="1"/>
  <c r="YD368" i="1"/>
  <c r="YF368" i="1" s="1"/>
  <c r="YD340" i="1"/>
  <c r="YF340" i="1" s="1"/>
  <c r="YD332" i="1"/>
  <c r="YF332" i="1" s="1"/>
  <c r="YD298" i="1"/>
  <c r="YF298" i="1" s="1"/>
  <c r="YD270" i="1"/>
  <c r="YF270" i="1" s="1"/>
  <c r="YD263" i="1"/>
  <c r="YF263" i="1" s="1"/>
  <c r="YD245" i="1"/>
  <c r="YF245" i="1" s="1"/>
  <c r="YD220" i="1"/>
  <c r="YF220" i="1" s="1"/>
  <c r="YF208" i="1"/>
  <c r="YF201" i="1"/>
  <c r="YF194" i="1"/>
  <c r="YF175" i="1"/>
  <c r="YF152" i="1"/>
  <c r="YD141" i="1"/>
  <c r="YF141" i="1" s="1"/>
  <c r="YD134" i="1"/>
  <c r="YF134" i="1" s="1"/>
  <c r="YD127" i="1"/>
  <c r="YF127" i="1" s="1"/>
  <c r="YD100" i="1"/>
  <c r="YF100" i="1" s="1"/>
  <c r="YD86" i="1"/>
  <c r="YF86" i="1" s="1"/>
  <c r="YD79" i="1"/>
  <c r="YF79" i="1" s="1"/>
  <c r="YD69" i="1"/>
  <c r="YF69" i="1" s="1"/>
  <c r="YD63" i="1"/>
  <c r="YF63" i="1" s="1"/>
  <c r="YD57" i="1"/>
  <c r="YF57" i="1" s="1"/>
  <c r="XU421" i="1"/>
  <c r="XW421" i="1" s="1"/>
  <c r="XU414" i="1"/>
  <c r="XW414" i="1" s="1"/>
  <c r="XU398" i="1"/>
  <c r="XW398" i="1" s="1"/>
  <c r="XU364" i="1"/>
  <c r="XW364" i="1" s="1"/>
  <c r="XU352" i="1"/>
  <c r="XW352" i="1" s="1"/>
  <c r="XU333" i="1"/>
  <c r="XW333" i="1" s="1"/>
  <c r="XU326" i="1"/>
  <c r="XU258" i="1"/>
  <c r="XW258" i="1" s="1"/>
  <c r="XU241" i="1"/>
  <c r="XW241" i="1" s="1"/>
  <c r="XU228" i="1"/>
  <c r="XW228" i="1" s="1"/>
  <c r="XU222" i="1"/>
  <c r="XW222" i="1" s="1"/>
  <c r="XW212" i="1"/>
  <c r="XW206" i="1"/>
  <c r="XW167" i="1"/>
  <c r="XW161" i="1"/>
  <c r="XW149" i="1"/>
  <c r="XU139" i="1"/>
  <c r="XW139" i="1" s="1"/>
  <c r="XU85" i="1"/>
  <c r="XW85" i="1" s="1"/>
  <c r="XU69" i="1"/>
  <c r="XW69" i="1" s="1"/>
  <c r="XU25" i="1"/>
  <c r="XW25" i="1" s="1"/>
  <c r="XU15" i="1"/>
  <c r="XW15" i="1" s="1"/>
  <c r="XL415" i="1"/>
  <c r="XN415" i="1" s="1"/>
  <c r="XL409" i="1"/>
  <c r="XN409" i="1" s="1"/>
  <c r="XL402" i="1"/>
  <c r="XN402" i="1" s="1"/>
  <c r="XL345" i="1"/>
  <c r="XN345" i="1" s="1"/>
  <c r="XL326" i="1"/>
  <c r="XN326" i="1" s="1"/>
  <c r="XL309" i="1"/>
  <c r="XN309" i="1" s="1"/>
  <c r="XL264" i="1"/>
  <c r="XN264" i="1" s="1"/>
  <c r="XL220" i="1"/>
  <c r="XN220" i="1" s="1"/>
  <c r="XN199" i="1"/>
  <c r="XN173" i="1"/>
  <c r="XN167" i="1"/>
  <c r="XN156" i="1"/>
  <c r="XL104" i="1"/>
  <c r="XN104" i="1" s="1"/>
  <c r="XL81" i="1"/>
  <c r="XN81" i="1" s="1"/>
  <c r="XL65" i="1"/>
  <c r="XN65" i="1" s="1"/>
  <c r="XL54" i="1"/>
  <c r="XN54" i="1" s="1"/>
  <c r="XL34" i="1"/>
  <c r="XN34" i="1" s="1"/>
  <c r="XL29" i="1"/>
  <c r="XN29" i="1" s="1"/>
  <c r="XL9" i="1"/>
  <c r="XN9" i="1" s="1"/>
  <c r="YM396" i="1"/>
  <c r="YO186" i="1"/>
  <c r="YM90" i="1"/>
  <c r="YO90" i="1" s="1"/>
  <c r="YM32" i="1"/>
  <c r="YO32" i="1" s="1"/>
  <c r="YM8" i="1"/>
  <c r="YO8" i="1" s="1"/>
  <c r="YD389" i="1"/>
  <c r="YF389" i="1" s="1"/>
  <c r="YD313" i="1"/>
  <c r="YF313" i="1" s="1"/>
  <c r="YD277" i="1"/>
  <c r="YF277" i="1" s="1"/>
  <c r="YD228" i="1"/>
  <c r="YF228" i="1" s="1"/>
  <c r="YD93" i="1"/>
  <c r="YF93" i="1" s="1"/>
  <c r="YD23" i="1"/>
  <c r="YF23" i="1" s="1"/>
  <c r="XU345" i="1"/>
  <c r="XW345" i="1" s="1"/>
  <c r="XU308" i="1"/>
  <c r="XW308" i="1" s="1"/>
  <c r="XU277" i="1"/>
  <c r="XW277" i="1" s="1"/>
  <c r="XU234" i="1"/>
  <c r="XW234" i="1" s="1"/>
  <c r="XW193" i="1"/>
  <c r="XW155" i="1"/>
  <c r="XU120" i="1"/>
  <c r="XW120" i="1" s="1"/>
  <c r="XU91" i="1"/>
  <c r="XW91" i="1" s="1"/>
  <c r="XU63" i="1"/>
  <c r="XW63" i="1" s="1"/>
  <c r="XU46" i="1"/>
  <c r="XW46" i="1" s="1"/>
  <c r="XU30" i="1"/>
  <c r="XW30" i="1" s="1"/>
  <c r="XL420" i="1"/>
  <c r="XN420" i="1" s="1"/>
  <c r="XL373" i="1"/>
  <c r="XN373" i="1" s="1"/>
  <c r="XL338" i="1"/>
  <c r="XN338" i="1" s="1"/>
  <c r="XL296" i="1"/>
  <c r="XN296" i="1" s="1"/>
  <c r="XL275" i="1"/>
  <c r="XN275" i="1" s="1"/>
  <c r="XL258" i="1"/>
  <c r="XN258" i="1" s="1"/>
  <c r="XL237" i="1"/>
  <c r="XN237" i="1" s="1"/>
  <c r="XL225" i="1"/>
  <c r="XN225" i="1" s="1"/>
  <c r="XN204" i="1"/>
  <c r="XN161" i="1"/>
  <c r="XL140" i="1"/>
  <c r="XN140" i="1" s="1"/>
  <c r="XL124" i="1"/>
  <c r="XN124" i="1" s="1"/>
  <c r="XL113" i="1"/>
  <c r="XN113" i="1" s="1"/>
  <c r="XL92" i="1"/>
  <c r="XN92" i="1" s="1"/>
  <c r="XL59" i="1"/>
  <c r="XN59" i="1" s="1"/>
  <c r="ZW265" i="1"/>
  <c r="ZY265" i="1" s="1"/>
  <c r="ZW79" i="1"/>
  <c r="ZY79" i="1" s="1"/>
  <c r="ZN96" i="1"/>
  <c r="ZP96" i="1" s="1"/>
  <c r="ZE218" i="1"/>
  <c r="YV194" i="1"/>
  <c r="YX194" i="1" s="1"/>
  <c r="YV21" i="1"/>
  <c r="YX21" i="1" s="1"/>
  <c r="YM315" i="1"/>
  <c r="YO315" i="1" s="1"/>
  <c r="YM233" i="1"/>
  <c r="YO233" i="1" s="1"/>
  <c r="YM124" i="1"/>
  <c r="YO124" i="1" s="1"/>
  <c r="YM18" i="1"/>
  <c r="YO18" i="1" s="1"/>
  <c r="YD269" i="1"/>
  <c r="YF269" i="1" s="1"/>
  <c r="YF151" i="1"/>
  <c r="YD56" i="1"/>
  <c r="YF56" i="1" s="1"/>
  <c r="XU420" i="1"/>
  <c r="XW420" i="1" s="1"/>
  <c r="XU283" i="1"/>
  <c r="XW283" i="1" s="1"/>
  <c r="XU227" i="1"/>
  <c r="XW227" i="1" s="1"/>
  <c r="XW177" i="1"/>
  <c r="XU97" i="1"/>
  <c r="XW97" i="1" s="1"/>
  <c r="ZW390" i="1"/>
  <c r="ZY390" i="1" s="1"/>
  <c r="ZW379" i="1"/>
  <c r="ZY379" i="1" s="1"/>
  <c r="ZN206" i="1"/>
  <c r="ZP206" i="1" s="1"/>
  <c r="ZN58" i="1"/>
  <c r="ZP58" i="1" s="1"/>
  <c r="ZN48" i="1"/>
  <c r="ZP48" i="1" s="1"/>
  <c r="ZE371" i="1"/>
  <c r="ZG371" i="1" s="1"/>
  <c r="ZE298" i="1"/>
  <c r="ZG298" i="1" s="1"/>
  <c r="ZE194" i="1"/>
  <c r="ZG194" i="1" s="1"/>
  <c r="ZE63" i="1"/>
  <c r="ZG63" i="1" s="1"/>
  <c r="ZE54" i="1"/>
  <c r="ZG54" i="1" s="1"/>
  <c r="YV184" i="1"/>
  <c r="YX184" i="1" s="1"/>
  <c r="YV91" i="1"/>
  <c r="YX91" i="1" s="1"/>
  <c r="YV56" i="1"/>
  <c r="YX56" i="1" s="1"/>
  <c r="YO212" i="1"/>
  <c r="YO175" i="1"/>
  <c r="YM56" i="1"/>
  <c r="YO56" i="1" s="1"/>
  <c r="YM13" i="1"/>
  <c r="YO13" i="1" s="1"/>
  <c r="YD416" i="1"/>
  <c r="YF416" i="1" s="1"/>
  <c r="YD375" i="1"/>
  <c r="YF375" i="1" s="1"/>
  <c r="YD305" i="1"/>
  <c r="YF305" i="1" s="1"/>
  <c r="YD255" i="1"/>
  <c r="YF255" i="1" s="1"/>
  <c r="YF159" i="1"/>
  <c r="YD29" i="1"/>
  <c r="YF29" i="1" s="1"/>
  <c r="XU375" i="1"/>
  <c r="XW375" i="1" s="1"/>
  <c r="XU339" i="1"/>
  <c r="XW339" i="1" s="1"/>
  <c r="XU295" i="1"/>
  <c r="XW295" i="1" s="1"/>
  <c r="XU271" i="1"/>
  <c r="XW271" i="1" s="1"/>
  <c r="XW199" i="1"/>
  <c r="XW172" i="1"/>
  <c r="XU133" i="1"/>
  <c r="XW133" i="1" s="1"/>
  <c r="XU103" i="1"/>
  <c r="XW103" i="1" s="1"/>
  <c r="XU78" i="1"/>
  <c r="XW78" i="1" s="1"/>
  <c r="XU51" i="1"/>
  <c r="XW51" i="1" s="1"/>
  <c r="XU36" i="1"/>
  <c r="XW36" i="1" s="1"/>
  <c r="XU9" i="1"/>
  <c r="XW9" i="1" s="1"/>
  <c r="XL385" i="1"/>
  <c r="XN385" i="1" s="1"/>
  <c r="XL350" i="1"/>
  <c r="XN350" i="1" s="1"/>
  <c r="XL302" i="1"/>
  <c r="XN302" i="1" s="1"/>
  <c r="XL290" i="1"/>
  <c r="XL269" i="1"/>
  <c r="XN269" i="1" s="1"/>
  <c r="XL243" i="1"/>
  <c r="XN243" i="1" s="1"/>
  <c r="XL231" i="1"/>
  <c r="XN231" i="1" s="1"/>
  <c r="XN210" i="1"/>
  <c r="XN193" i="1"/>
  <c r="XN150" i="1"/>
  <c r="XL130" i="1"/>
  <c r="XN130" i="1" s="1"/>
  <c r="XL118" i="1"/>
  <c r="XN118" i="1" s="1"/>
  <c r="XL98" i="1"/>
  <c r="XN98" i="1" s="1"/>
  <c r="XL86" i="1"/>
  <c r="XN86" i="1" s="1"/>
  <c r="XL43" i="1"/>
  <c r="XN43" i="1" s="1"/>
  <c r="XL18" i="1"/>
  <c r="XN18" i="1" s="1"/>
  <c r="ZW115" i="1"/>
  <c r="ZY115" i="1" s="1"/>
  <c r="ZN368" i="1"/>
  <c r="ZP368" i="1" s="1"/>
  <c r="ZE404" i="1"/>
  <c r="ZG404" i="1" s="1"/>
  <c r="YV254" i="1"/>
  <c r="YV135" i="1"/>
  <c r="YX135" i="1" s="1"/>
  <c r="YM362" i="1"/>
  <c r="YO362" i="1" s="1"/>
  <c r="YM255" i="1"/>
  <c r="YO255" i="1" s="1"/>
  <c r="YO194" i="1"/>
  <c r="YM97" i="1"/>
  <c r="YO97" i="1" s="1"/>
  <c r="YD423" i="1"/>
  <c r="YF423" i="1" s="1"/>
  <c r="YD331" i="1"/>
  <c r="YF331" i="1" s="1"/>
  <c r="YD99" i="1"/>
  <c r="YF99" i="1" s="1"/>
  <c r="YD62" i="1"/>
  <c r="YF62" i="1" s="1"/>
  <c r="XU397" i="1"/>
  <c r="XW397" i="1" s="1"/>
  <c r="XU300" i="1"/>
  <c r="XW300" i="1" s="1"/>
  <c r="XU221" i="1"/>
  <c r="XW221" i="1" s="1"/>
  <c r="XW166" i="1"/>
  <c r="XU84" i="1"/>
  <c r="XW84" i="1" s="1"/>
  <c r="ZN104" i="1"/>
  <c r="ZP104" i="1" s="1"/>
  <c r="ZE425" i="1"/>
  <c r="ZG425" i="1" s="1"/>
  <c r="ZE403" i="1"/>
  <c r="ZG403" i="1" s="1"/>
  <c r="ZE202" i="1"/>
  <c r="ZG202" i="1" s="1"/>
  <c r="ZE86" i="1"/>
  <c r="ZG86" i="1" s="1"/>
  <c r="YV331" i="1"/>
  <c r="YX331" i="1" s="1"/>
  <c r="YV263" i="1"/>
  <c r="YX263" i="1" s="1"/>
  <c r="YV98" i="1"/>
  <c r="YX98" i="1" s="1"/>
  <c r="YM326" i="1"/>
  <c r="YO326" i="1" s="1"/>
  <c r="YM314" i="1"/>
  <c r="YO314" i="1" s="1"/>
  <c r="YM273" i="1"/>
  <c r="YO273" i="1" s="1"/>
  <c r="YO201" i="1"/>
  <c r="YO193" i="1"/>
  <c r="YO185" i="1"/>
  <c r="YO165" i="1"/>
  <c r="YO158" i="1"/>
  <c r="YO150" i="1"/>
  <c r="YM130" i="1"/>
  <c r="YO130" i="1" s="1"/>
  <c r="YM96" i="1"/>
  <c r="YO96" i="1" s="1"/>
  <c r="YM88" i="1"/>
  <c r="YO88" i="1" s="1"/>
  <c r="YM61" i="1"/>
  <c r="YO61" i="1" s="1"/>
  <c r="YD422" i="1"/>
  <c r="YF422" i="1" s="1"/>
  <c r="YD398" i="1"/>
  <c r="YF398" i="1" s="1"/>
  <c r="YD381" i="1"/>
  <c r="YF381" i="1" s="1"/>
  <c r="YD353" i="1"/>
  <c r="YF353" i="1" s="1"/>
  <c r="YD330" i="1"/>
  <c r="YF330" i="1" s="1"/>
  <c r="YD295" i="1"/>
  <c r="YF295" i="1" s="1"/>
  <c r="YD283" i="1"/>
  <c r="YF283" i="1" s="1"/>
  <c r="YD268" i="1"/>
  <c r="YF268" i="1" s="1"/>
  <c r="YD226" i="1"/>
  <c r="YF226" i="1" s="1"/>
  <c r="YF206" i="1"/>
  <c r="YF150" i="1"/>
  <c r="YD98" i="1"/>
  <c r="YF98" i="1" s="1"/>
  <c r="YD84" i="1"/>
  <c r="YF84" i="1" s="1"/>
  <c r="YD61" i="1"/>
  <c r="YF61" i="1" s="1"/>
  <c r="YD49" i="1"/>
  <c r="YF49" i="1" s="1"/>
  <c r="YD22" i="1"/>
  <c r="YF22" i="1" s="1"/>
  <c r="XU426" i="1"/>
  <c r="XW426" i="1" s="1"/>
  <c r="XU411" i="1"/>
  <c r="XW411" i="1" s="1"/>
  <c r="XU396" i="1"/>
  <c r="XU350" i="1"/>
  <c r="XW350" i="1" s="1"/>
  <c r="XU344" i="1"/>
  <c r="XW344" i="1" s="1"/>
  <c r="XU293" i="1"/>
  <c r="XW293" i="1" s="1"/>
  <c r="XU282" i="1"/>
  <c r="XW282" i="1" s="1"/>
  <c r="XU263" i="1"/>
  <c r="XW263" i="1" s="1"/>
  <c r="XU245" i="1"/>
  <c r="XW245" i="1" s="1"/>
  <c r="XU239" i="1"/>
  <c r="XW239" i="1" s="1"/>
  <c r="XU220" i="1"/>
  <c r="XW220" i="1" s="1"/>
  <c r="XW192" i="1"/>
  <c r="XW171" i="1"/>
  <c r="XW165" i="1"/>
  <c r="XW159" i="1"/>
  <c r="XU137" i="1"/>
  <c r="XW137" i="1" s="1"/>
  <c r="XU131" i="1"/>
  <c r="XW131" i="1" s="1"/>
  <c r="ZW273" i="1"/>
  <c r="ZY273" i="1" s="1"/>
  <c r="ZN116" i="1"/>
  <c r="ZP116" i="1" s="1"/>
  <c r="ZE305" i="1"/>
  <c r="ZG305" i="1" s="1"/>
  <c r="ZE236" i="1"/>
  <c r="ZG236" i="1" s="1"/>
  <c r="ZE141" i="1"/>
  <c r="ZG141" i="1" s="1"/>
  <c r="ZE17" i="1"/>
  <c r="ZG17" i="1" s="1"/>
  <c r="YV273" i="1"/>
  <c r="YX273" i="1" s="1"/>
  <c r="YV62" i="1"/>
  <c r="YX62" i="1" s="1"/>
  <c r="YM414" i="1"/>
  <c r="YO414" i="1" s="1"/>
  <c r="YM281" i="1"/>
  <c r="YO281" i="1" s="1"/>
  <c r="YM231" i="1"/>
  <c r="YO231" i="1" s="1"/>
  <c r="YM222" i="1"/>
  <c r="YO222" i="1" s="1"/>
  <c r="YM114" i="1"/>
  <c r="YO114" i="1" s="1"/>
  <c r="YM103" i="1"/>
  <c r="YO103" i="1" s="1"/>
  <c r="YM47" i="1"/>
  <c r="YO47" i="1" s="1"/>
  <c r="YM23" i="1"/>
  <c r="YO23" i="1" s="1"/>
  <c r="YM17" i="1"/>
  <c r="YO17" i="1" s="1"/>
  <c r="YD413" i="1"/>
  <c r="YF413" i="1" s="1"/>
  <c r="YD405" i="1"/>
  <c r="YF405" i="1" s="1"/>
  <c r="YD387" i="1"/>
  <c r="YF387" i="1" s="1"/>
  <c r="YD337" i="1"/>
  <c r="YF337" i="1" s="1"/>
  <c r="YD302" i="1"/>
  <c r="YF302" i="1" s="1"/>
  <c r="YD275" i="1"/>
  <c r="YF275" i="1" s="1"/>
  <c r="ZE297" i="1"/>
  <c r="ZG297" i="1" s="1"/>
  <c r="ZE244" i="1"/>
  <c r="ZG244" i="1" s="1"/>
  <c r="YV27" i="1"/>
  <c r="YX27" i="1" s="1"/>
  <c r="YD352" i="1"/>
  <c r="YF352" i="1" s="1"/>
  <c r="YD248" i="1"/>
  <c r="YF248" i="1" s="1"/>
  <c r="YF192" i="1"/>
  <c r="YD106" i="1"/>
  <c r="YF106" i="1" s="1"/>
  <c r="YD97" i="1"/>
  <c r="YF97" i="1" s="1"/>
  <c r="YD76" i="1"/>
  <c r="YD26" i="1"/>
  <c r="YF26" i="1" s="1"/>
  <c r="XU338" i="1"/>
  <c r="XW338" i="1" s="1"/>
  <c r="XU233" i="1"/>
  <c r="XW233" i="1" s="1"/>
  <c r="XW210" i="1"/>
  <c r="XW152" i="1"/>
  <c r="XU68" i="1"/>
  <c r="XW68" i="1" s="1"/>
  <c r="XL426" i="1"/>
  <c r="XN426" i="1" s="1"/>
  <c r="XL419" i="1"/>
  <c r="XN419" i="1" s="1"/>
  <c r="XL376" i="1"/>
  <c r="XN376" i="1" s="1"/>
  <c r="XL341" i="1"/>
  <c r="XN341" i="1" s="1"/>
  <c r="XL312" i="1"/>
  <c r="XN312" i="1" s="1"/>
  <c r="XL295" i="1"/>
  <c r="XN295" i="1" s="1"/>
  <c r="XL261" i="1"/>
  <c r="XN261" i="1" s="1"/>
  <c r="XL234" i="1"/>
  <c r="XN234" i="1" s="1"/>
  <c r="XL218" i="1"/>
  <c r="XN198" i="1"/>
  <c r="XN191" i="1"/>
  <c r="XN165" i="1"/>
  <c r="XL89" i="1"/>
  <c r="XN89" i="1" s="1"/>
  <c r="XL69" i="1"/>
  <c r="XN69" i="1" s="1"/>
  <c r="XL36" i="1"/>
  <c r="XN36" i="1" s="1"/>
  <c r="XL22" i="1"/>
  <c r="XN22" i="1" s="1"/>
  <c r="XL8" i="1"/>
  <c r="XN8" i="1" s="1"/>
  <c r="XL68" i="1"/>
  <c r="XN68" i="1" s="1"/>
  <c r="XU125" i="1"/>
  <c r="XW125" i="1" s="1"/>
  <c r="XU88" i="1"/>
  <c r="XW88" i="1" s="1"/>
  <c r="XL365" i="1"/>
  <c r="XN365" i="1" s="1"/>
  <c r="XL240" i="1"/>
  <c r="XN240" i="1" s="1"/>
  <c r="XL138" i="1"/>
  <c r="XN138" i="1" s="1"/>
  <c r="XL79" i="1"/>
  <c r="XN79" i="1" s="1"/>
  <c r="XU312" i="1"/>
  <c r="XW312" i="1" s="1"/>
  <c r="XL408" i="1"/>
  <c r="XN408" i="1" s="1"/>
  <c r="XL247" i="1"/>
  <c r="XN247" i="1" s="1"/>
  <c r="XL102" i="1"/>
  <c r="XN102" i="1" s="1"/>
  <c r="YM55" i="1"/>
  <c r="YO55" i="1" s="1"/>
  <c r="YF157" i="1"/>
  <c r="XU219" i="1"/>
  <c r="XW219" i="1" s="1"/>
  <c r="XU95" i="1"/>
  <c r="XW95" i="1" s="1"/>
  <c r="XL388" i="1"/>
  <c r="XN388" i="1" s="1"/>
  <c r="XL230" i="1"/>
  <c r="XN230" i="1" s="1"/>
  <c r="XN155" i="1"/>
  <c r="XL52" i="1"/>
  <c r="XN52" i="1" s="1"/>
  <c r="YV339" i="1"/>
  <c r="YX339" i="1" s="1"/>
  <c r="YD404" i="1"/>
  <c r="YF404" i="1" s="1"/>
  <c r="XU270" i="1"/>
  <c r="XW270" i="1" s="1"/>
  <c r="XU29" i="1"/>
  <c r="XW29" i="1" s="1"/>
  <c r="XL353" i="1"/>
  <c r="XN353" i="1" s="1"/>
  <c r="XL222" i="1"/>
  <c r="XN222" i="1" s="1"/>
  <c r="XL128" i="1"/>
  <c r="XN128" i="1" s="1"/>
  <c r="XL26" i="1"/>
  <c r="XN26" i="1" s="1"/>
  <c r="ZE10" i="1"/>
  <c r="YF156" i="1"/>
  <c r="XU291" i="1"/>
  <c r="XW291" i="1" s="1"/>
  <c r="XU76" i="1"/>
  <c r="XL336" i="1"/>
  <c r="XN336" i="1" s="1"/>
  <c r="XL263" i="1"/>
  <c r="XN263" i="1" s="1"/>
  <c r="XL135" i="1"/>
  <c r="XN135" i="1" s="1"/>
  <c r="XU276" i="1"/>
  <c r="XW276" i="1" s="1"/>
  <c r="XU62" i="1"/>
  <c r="XW62" i="1" s="1"/>
  <c r="XL335" i="1"/>
  <c r="XN335" i="1" s="1"/>
  <c r="XN208" i="1"/>
  <c r="XL57" i="1"/>
  <c r="XN57" i="1" s="1"/>
  <c r="ZE235" i="1"/>
  <c r="ZG235" i="1" s="1"/>
  <c r="ZN20" i="1"/>
  <c r="ZP20" i="1" s="1"/>
  <c r="YV166" i="1"/>
  <c r="YX166" i="1" s="1"/>
  <c r="YM102" i="1"/>
  <c r="YO102" i="1" s="1"/>
  <c r="YM81" i="1"/>
  <c r="YO81" i="1" s="1"/>
  <c r="YD44" i="1"/>
  <c r="YF44" i="1" s="1"/>
  <c r="YD16" i="1"/>
  <c r="YF16" i="1" s="1"/>
  <c r="XU410" i="1"/>
  <c r="XW410" i="1" s="1"/>
  <c r="XU306" i="1"/>
  <c r="XW306" i="1" s="1"/>
  <c r="XU274" i="1"/>
  <c r="XW274" i="1" s="1"/>
  <c r="XU118" i="1"/>
  <c r="XW118" i="1" s="1"/>
  <c r="XU106" i="1"/>
  <c r="XW106" i="1" s="1"/>
  <c r="XU60" i="1"/>
  <c r="XW60" i="1" s="1"/>
  <c r="XU44" i="1"/>
  <c r="XW44" i="1" s="1"/>
  <c r="XU24" i="1"/>
  <c r="XW24" i="1" s="1"/>
  <c r="XU17" i="1"/>
  <c r="XW17" i="1" s="1"/>
  <c r="XL390" i="1"/>
  <c r="XN390" i="1" s="1"/>
  <c r="XL348" i="1"/>
  <c r="XN348" i="1" s="1"/>
  <c r="XL332" i="1"/>
  <c r="XN332" i="1" s="1"/>
  <c r="XL283" i="1"/>
  <c r="XN283" i="1" s="1"/>
  <c r="XL267" i="1"/>
  <c r="XN267" i="1" s="1"/>
  <c r="XL241" i="1"/>
  <c r="XN241" i="1" s="1"/>
  <c r="XN172" i="1"/>
  <c r="XL139" i="1"/>
  <c r="XN139" i="1" s="1"/>
  <c r="XL123" i="1"/>
  <c r="XN123" i="1" s="1"/>
  <c r="XL116" i="1"/>
  <c r="XN116" i="1" s="1"/>
  <c r="XL96" i="1"/>
  <c r="XN96" i="1" s="1"/>
  <c r="XL80" i="1"/>
  <c r="XL62" i="1"/>
  <c r="XN62" i="1" s="1"/>
  <c r="XL47" i="1"/>
  <c r="XN47" i="1" s="1"/>
  <c r="XL28" i="1"/>
  <c r="XN28" i="1" s="1"/>
  <c r="XL103" i="1"/>
  <c r="XN103" i="1" s="1"/>
  <c r="XL13" i="1"/>
  <c r="XN13" i="1" s="1"/>
  <c r="XU117" i="1"/>
  <c r="XW117" i="1" s="1"/>
  <c r="XU23" i="1"/>
  <c r="XW23" i="1" s="1"/>
  <c r="XL301" i="1"/>
  <c r="XN301" i="1" s="1"/>
  <c r="XN171" i="1"/>
  <c r="XL95" i="1"/>
  <c r="XN95" i="1" s="1"/>
  <c r="XL27" i="1"/>
  <c r="XN27" i="1" s="1"/>
  <c r="XU50" i="1"/>
  <c r="XW50" i="1" s="1"/>
  <c r="XL293" i="1"/>
  <c r="XN293" i="1" s="1"/>
  <c r="XN203" i="1"/>
  <c r="XL33" i="1"/>
  <c r="XN33" i="1" s="1"/>
  <c r="YV226" i="1"/>
  <c r="YX226" i="1" s="1"/>
  <c r="YD234" i="1"/>
  <c r="YF234" i="1" s="1"/>
  <c r="XW197" i="1"/>
  <c r="XU77" i="1"/>
  <c r="XW77" i="1" s="1"/>
  <c r="XL399" i="1"/>
  <c r="XN399" i="1" s="1"/>
  <c r="XL280" i="1"/>
  <c r="XN280" i="1" s="1"/>
  <c r="XN170" i="1"/>
  <c r="YV387" i="1"/>
  <c r="YX387" i="1" s="1"/>
  <c r="YM87" i="1"/>
  <c r="YO87" i="1" s="1"/>
  <c r="YD92" i="1"/>
  <c r="YF92" i="1" s="1"/>
  <c r="XU238" i="1"/>
  <c r="XW238" i="1" s="1"/>
  <c r="XU7" i="1"/>
  <c r="XW7" i="1" s="1"/>
  <c r="XL307" i="1"/>
  <c r="XN307" i="1" s="1"/>
  <c r="XN202" i="1"/>
  <c r="XL112" i="1"/>
  <c r="ZW25" i="1"/>
  <c r="ZY25" i="1" s="1"/>
  <c r="YD346" i="1"/>
  <c r="YF346" i="1" s="1"/>
  <c r="YD21" i="1"/>
  <c r="YF21" i="1" s="1"/>
  <c r="XU123" i="1"/>
  <c r="XW123" i="1" s="1"/>
  <c r="XL344" i="1"/>
  <c r="XN344" i="1" s="1"/>
  <c r="XL229" i="1"/>
  <c r="XN229" i="1" s="1"/>
  <c r="XN154" i="1"/>
  <c r="XW185" i="1"/>
  <c r="XU112" i="1"/>
  <c r="XL343" i="1"/>
  <c r="XN343" i="1" s="1"/>
  <c r="XL228" i="1"/>
  <c r="XN228" i="1" s="1"/>
  <c r="XL31" i="1"/>
  <c r="XN31" i="1" s="1"/>
  <c r="YO200" i="1"/>
  <c r="ZW133" i="1"/>
  <c r="ZY133" i="1" s="1"/>
  <c r="ZE317" i="1"/>
  <c r="ZG317" i="1" s="1"/>
  <c r="ZE25" i="1"/>
  <c r="ZG25" i="1" s="1"/>
  <c r="YM368" i="1"/>
  <c r="YO368" i="1" s="1"/>
  <c r="YO171" i="1"/>
  <c r="YM137" i="1"/>
  <c r="YO137" i="1" s="1"/>
  <c r="YM7" i="1"/>
  <c r="YO7" i="1" s="1"/>
  <c r="YD397" i="1"/>
  <c r="YF397" i="1" s="1"/>
  <c r="YD374" i="1"/>
  <c r="YF374" i="1" s="1"/>
  <c r="YD282" i="1"/>
  <c r="YF282" i="1" s="1"/>
  <c r="YD117" i="1"/>
  <c r="YF117" i="1" s="1"/>
  <c r="YD105" i="1"/>
  <c r="YF105" i="1" s="1"/>
  <c r="XU385" i="1"/>
  <c r="XW385" i="1" s="1"/>
  <c r="XU337" i="1"/>
  <c r="XW337" i="1" s="1"/>
  <c r="XU313" i="1"/>
  <c r="XW313" i="1" s="1"/>
  <c r="XU232" i="1"/>
  <c r="XW232" i="1" s="1"/>
  <c r="XW191" i="1"/>
  <c r="XW170" i="1"/>
  <c r="XU136" i="1"/>
  <c r="XW136" i="1" s="1"/>
  <c r="XL425" i="1"/>
  <c r="XN425" i="1" s="1"/>
  <c r="XL418" i="1"/>
  <c r="XN418" i="1" s="1"/>
  <c r="XL401" i="1"/>
  <c r="XN401" i="1" s="1"/>
  <c r="XL382" i="1"/>
  <c r="XN382" i="1" s="1"/>
  <c r="XL355" i="1"/>
  <c r="XN355" i="1" s="1"/>
  <c r="XL319" i="1"/>
  <c r="XN319" i="1" s="1"/>
  <c r="XL294" i="1"/>
  <c r="XN294" i="1" s="1"/>
  <c r="XL274" i="1"/>
  <c r="XN274" i="1" s="1"/>
  <c r="XL248" i="1"/>
  <c r="XN248" i="1" s="1"/>
  <c r="XL224" i="1"/>
  <c r="XN224" i="1" s="1"/>
  <c r="XN190" i="1"/>
  <c r="XN149" i="1"/>
  <c r="XL21" i="1"/>
  <c r="XN21" i="1" s="1"/>
  <c r="XU96" i="1"/>
  <c r="XW96" i="1" s="1"/>
  <c r="XU43" i="1"/>
  <c r="XL347" i="1"/>
  <c r="XN347" i="1" s="1"/>
  <c r="XN197" i="1"/>
  <c r="XL122" i="1"/>
  <c r="XN122" i="1" s="1"/>
  <c r="XL53" i="1"/>
  <c r="XN53" i="1" s="1"/>
  <c r="XU384" i="1"/>
  <c r="XW384" i="1" s="1"/>
  <c r="XU8" i="1"/>
  <c r="XW8" i="1" s="1"/>
  <c r="XL273" i="1"/>
  <c r="XN273" i="1" s="1"/>
  <c r="XN148" i="1"/>
  <c r="XL7" i="1"/>
  <c r="XN7" i="1" s="1"/>
  <c r="YD338" i="1"/>
  <c r="YF338" i="1" s="1"/>
  <c r="XU366" i="1"/>
  <c r="XW366" i="1" s="1"/>
  <c r="XW176" i="1"/>
  <c r="XU22" i="1"/>
  <c r="XW22" i="1" s="1"/>
  <c r="XL364" i="1"/>
  <c r="XN364" i="1" s="1"/>
  <c r="XN177" i="1"/>
  <c r="XL85" i="1"/>
  <c r="XN85" i="1" s="1"/>
  <c r="ZE327" i="1"/>
  <c r="ZG327" i="1" s="1"/>
  <c r="YO157" i="1"/>
  <c r="YF197" i="1"/>
  <c r="YD67" i="1"/>
  <c r="YF67" i="1" s="1"/>
  <c r="XU102" i="1"/>
  <c r="XW102" i="1" s="1"/>
  <c r="XL407" i="1"/>
  <c r="XN407" i="1" s="1"/>
  <c r="XL257" i="1"/>
  <c r="XN257" i="1" s="1"/>
  <c r="XN187" i="1"/>
  <c r="XL101" i="1"/>
  <c r="XN101" i="1" s="1"/>
  <c r="ZW283" i="1"/>
  <c r="ZY283" i="1" s="1"/>
  <c r="YV349" i="1"/>
  <c r="YX349" i="1" s="1"/>
  <c r="YD123" i="1"/>
  <c r="YF123" i="1" s="1"/>
  <c r="XW175" i="1"/>
  <c r="XL414" i="1"/>
  <c r="XN414" i="1" s="1"/>
  <c r="XL315" i="1"/>
  <c r="XN315" i="1" s="1"/>
  <c r="XN176" i="1"/>
  <c r="XL51" i="1"/>
  <c r="XN51" i="1" s="1"/>
  <c r="XW154" i="1"/>
  <c r="XL413" i="1"/>
  <c r="XN413" i="1" s="1"/>
  <c r="XL278" i="1"/>
  <c r="XN278" i="1" s="1"/>
  <c r="XL134" i="1"/>
  <c r="XN134" i="1" s="1"/>
  <c r="ZN241" i="1"/>
  <c r="ZP241" i="1" s="1"/>
  <c r="YV379" i="1"/>
  <c r="YX379" i="1" s="1"/>
  <c r="YV76" i="1"/>
  <c r="YM415" i="1"/>
  <c r="YO415" i="1" s="1"/>
  <c r="YM377" i="1"/>
  <c r="YO377" i="1" s="1"/>
  <c r="YO149" i="1"/>
  <c r="YM66" i="1"/>
  <c r="YO66" i="1" s="1"/>
  <c r="YM48" i="1"/>
  <c r="YO48" i="1" s="1"/>
  <c r="YD363" i="1"/>
  <c r="YF363" i="1" s="1"/>
  <c r="YF190" i="1"/>
  <c r="YF158" i="1"/>
  <c r="YF149" i="1"/>
  <c r="YD43" i="1"/>
  <c r="YF43" i="1" s="1"/>
  <c r="YD32" i="1"/>
  <c r="YF32" i="1" s="1"/>
  <c r="XU418" i="1"/>
  <c r="XW418" i="1" s="1"/>
  <c r="XU367" i="1"/>
  <c r="XW367" i="1" s="1"/>
  <c r="XU281" i="1"/>
  <c r="XW281" i="1" s="1"/>
  <c r="XU254" i="1"/>
  <c r="XL389" i="1"/>
  <c r="XN389" i="1" s="1"/>
  <c r="XN164" i="1"/>
  <c r="XL46" i="1"/>
  <c r="XN46" i="1" s="1"/>
  <c r="XL354" i="1"/>
  <c r="XN354" i="1" s="1"/>
  <c r="XL12" i="1"/>
  <c r="XN12" i="1" s="1"/>
  <c r="XL300" i="1"/>
  <c r="XN300" i="1" s="1"/>
  <c r="XL78" i="1"/>
  <c r="XN78" i="1" s="1"/>
  <c r="XL246" i="1"/>
  <c r="XN246" i="1" s="1"/>
  <c r="XW204" i="1"/>
  <c r="XL398" i="1"/>
  <c r="XN398" i="1" s="1"/>
  <c r="XL84" i="1"/>
  <c r="XN84" i="1" s="1"/>
  <c r="XU12" i="1"/>
  <c r="XW12" i="1" s="1"/>
  <c r="XN153" i="1"/>
  <c r="ZN405" i="1"/>
  <c r="ZP405" i="1" s="1"/>
  <c r="YV201" i="1"/>
  <c r="YX201" i="1" s="1"/>
  <c r="YM292" i="1"/>
  <c r="YO292" i="1" s="1"/>
  <c r="YM113" i="1"/>
  <c r="YO113" i="1" s="1"/>
  <c r="YM22" i="1"/>
  <c r="YO22" i="1" s="1"/>
  <c r="YM12" i="1"/>
  <c r="YO12" i="1" s="1"/>
  <c r="YD258" i="1"/>
  <c r="YF258" i="1" s="1"/>
  <c r="YD224" i="1"/>
  <c r="YF224" i="1" s="1"/>
  <c r="YD125" i="1"/>
  <c r="YF125" i="1" s="1"/>
  <c r="YD116" i="1"/>
  <c r="YF116" i="1" s="1"/>
  <c r="YD104" i="1"/>
  <c r="YF104" i="1" s="1"/>
  <c r="YD60" i="1"/>
  <c r="YF60" i="1" s="1"/>
  <c r="XU66" i="1"/>
  <c r="XW66" i="1" s="1"/>
  <c r="XL330" i="1"/>
  <c r="XN330" i="1" s="1"/>
  <c r="XL223" i="1"/>
  <c r="XN223" i="1" s="1"/>
  <c r="XL129" i="1"/>
  <c r="XN129" i="1" s="1"/>
  <c r="ZE315" i="1"/>
  <c r="ZG315" i="1" s="1"/>
  <c r="YD293" i="1"/>
  <c r="YF293" i="1" s="1"/>
  <c r="XU374" i="1"/>
  <c r="XW374" i="1" s="1"/>
  <c r="XU124" i="1"/>
  <c r="XW124" i="1" s="1"/>
  <c r="XL424" i="1"/>
  <c r="XN424" i="1" s="1"/>
  <c r="XL337" i="1"/>
  <c r="XN337" i="1" s="1"/>
  <c r="XN196" i="1"/>
  <c r="XL121" i="1"/>
  <c r="XN121" i="1" s="1"/>
  <c r="ZN103" i="1"/>
  <c r="ZP103" i="1" s="1"/>
  <c r="YM239" i="1"/>
  <c r="YO239" i="1" s="1"/>
  <c r="YF165" i="1"/>
  <c r="XU261" i="1"/>
  <c r="XW261" i="1" s="1"/>
  <c r="XU56" i="1"/>
  <c r="XW56" i="1" s="1"/>
  <c r="XL371" i="1"/>
  <c r="XN371" i="1" s="1"/>
  <c r="XL272" i="1"/>
  <c r="XN272" i="1" s="1"/>
  <c r="XL58" i="1"/>
  <c r="XN58" i="1" s="1"/>
  <c r="ZW402" i="1"/>
  <c r="ZY402" i="1" s="1"/>
  <c r="YD380" i="1"/>
  <c r="YF380" i="1" s="1"/>
  <c r="YD132" i="1"/>
  <c r="YF132" i="1" s="1"/>
  <c r="XW196" i="1"/>
  <c r="XU13" i="1"/>
  <c r="XW13" i="1" s="1"/>
  <c r="XL279" i="1"/>
  <c r="XN279" i="1" s="1"/>
  <c r="XN209" i="1"/>
  <c r="XL32" i="1"/>
  <c r="XN32" i="1" s="1"/>
  <c r="XW164" i="1"/>
  <c r="XU27" i="1"/>
  <c r="XW27" i="1" s="1"/>
  <c r="XL262" i="1"/>
  <c r="XN262" i="1" s="1"/>
  <c r="XN175" i="1"/>
  <c r="ZW100" i="1"/>
  <c r="ZY100" i="1" s="1"/>
  <c r="YO164" i="1"/>
  <c r="YV121" i="1"/>
  <c r="YX121" i="1" s="1"/>
  <c r="YM421" i="1"/>
  <c r="YO421" i="1" s="1"/>
  <c r="YM263" i="1"/>
  <c r="YO263" i="1" s="1"/>
  <c r="YM120" i="1"/>
  <c r="YO120" i="1" s="1"/>
  <c r="YM11" i="1"/>
  <c r="YO11" i="1" s="1"/>
  <c r="YD336" i="1"/>
  <c r="YF336" i="1" s="1"/>
  <c r="YD301" i="1"/>
  <c r="YF301" i="1" s="1"/>
  <c r="YD241" i="1"/>
  <c r="YF241" i="1" s="1"/>
  <c r="YF173" i="1"/>
  <c r="YD91" i="1"/>
  <c r="YF91" i="1" s="1"/>
  <c r="YD48" i="1"/>
  <c r="YF48" i="1" s="1"/>
  <c r="YD28" i="1"/>
  <c r="YF28" i="1" s="1"/>
  <c r="XU404" i="1"/>
  <c r="XW404" i="1" s="1"/>
  <c r="XU332" i="1"/>
  <c r="XW332" i="1" s="1"/>
  <c r="XU318" i="1"/>
  <c r="XW318" i="1" s="1"/>
  <c r="XU269" i="1"/>
  <c r="XW269" i="1" s="1"/>
  <c r="XU101" i="1"/>
  <c r="XW101" i="1" s="1"/>
  <c r="XU55" i="1"/>
  <c r="XW55" i="1" s="1"/>
  <c r="XL378" i="1"/>
  <c r="XN378" i="1" s="1"/>
  <c r="XL370" i="1"/>
  <c r="XN370" i="1" s="1"/>
  <c r="XL306" i="1"/>
  <c r="XN306" i="1" s="1"/>
  <c r="XL256" i="1"/>
  <c r="XN256" i="1" s="1"/>
  <c r="XL236" i="1"/>
  <c r="XN236" i="1" s="1"/>
  <c r="XN186" i="1"/>
  <c r="XN160" i="1"/>
  <c r="XL127" i="1"/>
  <c r="XN127" i="1" s="1"/>
  <c r="XL91" i="1"/>
  <c r="XN91" i="1" s="1"/>
  <c r="XL64" i="1"/>
  <c r="XN64" i="1" s="1"/>
  <c r="XL42" i="1"/>
  <c r="XL17" i="1"/>
  <c r="XN17" i="1" s="1"/>
  <c r="ZE225" i="1"/>
  <c r="ZG225" i="1" s="1"/>
  <c r="ZE133" i="1"/>
  <c r="ZG133" i="1" s="1"/>
  <c r="ZE95" i="1"/>
  <c r="ZG95" i="1" s="1"/>
  <c r="YV55" i="1"/>
  <c r="YX55" i="1" s="1"/>
  <c r="YM325" i="1"/>
  <c r="YM53" i="1"/>
  <c r="YO53" i="1" s="1"/>
  <c r="YM28" i="1"/>
  <c r="YO28" i="1" s="1"/>
  <c r="YD388" i="1"/>
  <c r="YF388" i="1" s="1"/>
  <c r="YD276" i="1"/>
  <c r="YF276" i="1" s="1"/>
  <c r="YF163" i="1"/>
  <c r="YD131" i="1"/>
  <c r="YF131" i="1" s="1"/>
  <c r="XU372" i="1"/>
  <c r="XW372" i="1" s="1"/>
  <c r="XW203" i="1"/>
  <c r="XL405" i="1"/>
  <c r="XN405" i="1" s="1"/>
  <c r="YM60" i="1"/>
  <c r="YO60" i="1" s="1"/>
  <c r="YF171" i="1"/>
  <c r="XU362" i="1"/>
  <c r="XW362" i="1" s="1"/>
  <c r="XU61" i="1"/>
  <c r="XW61" i="1" s="1"/>
  <c r="XL305" i="1"/>
  <c r="XN305" i="1" s="1"/>
  <c r="XL268" i="1"/>
  <c r="XN268" i="1" s="1"/>
  <c r="XN207" i="1"/>
  <c r="XN185" i="1"/>
  <c r="XL16" i="1"/>
  <c r="XN16" i="1" s="1"/>
  <c r="XL242" i="1"/>
  <c r="XN242" i="1" s="1"/>
  <c r="XL63" i="1"/>
  <c r="XN63" i="1" s="1"/>
  <c r="XU45" i="1"/>
  <c r="XW45" i="1" s="1"/>
  <c r="XL284" i="1"/>
  <c r="XN284" i="1" s="1"/>
  <c r="YD34" i="1"/>
  <c r="YF34" i="1" s="1"/>
  <c r="XU18" i="1"/>
  <c r="XW18" i="1" s="1"/>
  <c r="XL90" i="1"/>
  <c r="XN90" i="1" s="1"/>
  <c r="YF184" i="1"/>
  <c r="XU225" i="1"/>
  <c r="XW225" i="1" s="1"/>
  <c r="YM68" i="1"/>
  <c r="YO68" i="1" s="1"/>
  <c r="YD309" i="1"/>
  <c r="YF309" i="1" s="1"/>
  <c r="XU298" i="1"/>
  <c r="XW298" i="1" s="1"/>
  <c r="XL219" i="1"/>
  <c r="XN219" i="1" s="1"/>
  <c r="XN159" i="1"/>
  <c r="XL133" i="1"/>
  <c r="XN133" i="1" s="1"/>
  <c r="XU244" i="1"/>
  <c r="XW244" i="1" s="1"/>
  <c r="XN166" i="1"/>
  <c r="YD240" i="1"/>
  <c r="YF240" i="1" s="1"/>
  <c r="XU129" i="1"/>
  <c r="XW129" i="1" s="1"/>
  <c r="YM139" i="1"/>
  <c r="YO139" i="1" s="1"/>
  <c r="XU54" i="1"/>
  <c r="XW54" i="1" s="1"/>
  <c r="XU349" i="1"/>
  <c r="XW349" i="1" s="1"/>
  <c r="YM94" i="1"/>
  <c r="YO94" i="1" s="1"/>
  <c r="YD319" i="1"/>
  <c r="YF319" i="1" s="1"/>
  <c r="XU34" i="1"/>
  <c r="XW34" i="1" s="1"/>
  <c r="XL377" i="1"/>
  <c r="XN377" i="1" s="1"/>
  <c r="XL313" i="1"/>
  <c r="XN313" i="1" s="1"/>
  <c r="XL97" i="1"/>
  <c r="XN97" i="1" s="1"/>
  <c r="XW184" i="1"/>
  <c r="XL349" i="1"/>
  <c r="XN349" i="1" s="1"/>
  <c r="XL48" i="1"/>
  <c r="XN48" i="1" s="1"/>
  <c r="XU82" i="1"/>
  <c r="XW82" i="1" s="1"/>
  <c r="YD366" i="1"/>
  <c r="YF366" i="1" s="1"/>
  <c r="XL117" i="1"/>
  <c r="XN117" i="1" s="1"/>
  <c r="YM370" i="1"/>
  <c r="YO370" i="1" s="1"/>
  <c r="YM223" i="1"/>
  <c r="YO223" i="1" s="1"/>
  <c r="YD344" i="1"/>
  <c r="YF344" i="1" s="1"/>
  <c r="XN192" i="1"/>
  <c r="XL23" i="1"/>
  <c r="XN23" i="1" s="1"/>
  <c r="YD140" i="1"/>
  <c r="YF140" i="1" s="1"/>
  <c r="XL412" i="1"/>
  <c r="XN412" i="1" s="1"/>
  <c r="XL70" i="1"/>
  <c r="XN70" i="1" s="1"/>
  <c r="XU379" i="1"/>
  <c r="XW379" i="1" s="1"/>
  <c r="XL384" i="1"/>
  <c r="XN384" i="1" s="1"/>
  <c r="XU403" i="1"/>
  <c r="XW403" i="1" s="1"/>
  <c r="XU275" i="1"/>
  <c r="XW275" i="1" s="1"/>
  <c r="YD218" i="1"/>
  <c r="YV308" i="1"/>
  <c r="YX308" i="1" s="1"/>
  <c r="YV282" i="1"/>
  <c r="YX282" i="1" s="1"/>
  <c r="YM334" i="1"/>
  <c r="YO334" i="1" s="1"/>
  <c r="XU90" i="1"/>
  <c r="XW90" i="1" s="1"/>
  <c r="XL235" i="1"/>
  <c r="XN235" i="1" s="1"/>
  <c r="XW202" i="1"/>
  <c r="XU100" i="1"/>
  <c r="XW100" i="1" s="1"/>
  <c r="NB13" i="1"/>
  <c r="ND13" i="1" s="1"/>
  <c r="NB7" i="1"/>
  <c r="ND7" i="1" s="1"/>
  <c r="NB226" i="1"/>
  <c r="ND226" i="1" s="1"/>
  <c r="NB235" i="1"/>
  <c r="ND235" i="1" s="1"/>
  <c r="NB206" i="1"/>
  <c r="ND206" i="1" s="1"/>
  <c r="NB24" i="1"/>
  <c r="ND24" i="1" s="1"/>
  <c r="NB33" i="1"/>
  <c r="ND33" i="1" s="1"/>
  <c r="NB233" i="1"/>
  <c r="ND233" i="1" s="1"/>
  <c r="NB194" i="1"/>
  <c r="ND194" i="1" s="1"/>
  <c r="NB246" i="1"/>
  <c r="ND246" i="1" s="1"/>
  <c r="NB21" i="1"/>
  <c r="ND21" i="1" s="1"/>
  <c r="NB240" i="1"/>
  <c r="ND240" i="1" s="1"/>
  <c r="NB32" i="1"/>
  <c r="ND32" i="1" s="1"/>
  <c r="NB227" i="1"/>
  <c r="ND227" i="1" s="1"/>
  <c r="NB31" i="1"/>
  <c r="ND31" i="1" s="1"/>
  <c r="NB14" i="1"/>
  <c r="ND14" i="1" s="1"/>
  <c r="NB204" i="1"/>
  <c r="NB242" i="1"/>
  <c r="ND242" i="1" s="1"/>
  <c r="NB184" i="1"/>
  <c r="ND184" i="1" s="1"/>
  <c r="NB19" i="1"/>
  <c r="ND19" i="1" s="1"/>
  <c r="NB27" i="1"/>
  <c r="ND27" i="1" s="1"/>
  <c r="NB22" i="1"/>
  <c r="ND22" i="1" s="1"/>
  <c r="NB225" i="1"/>
  <c r="ND225" i="1" s="1"/>
  <c r="NB10" i="1"/>
  <c r="ND10" i="1" s="1"/>
  <c r="NB231" i="1"/>
  <c r="ND231" i="1" s="1"/>
  <c r="NB11" i="1"/>
  <c r="ND11" i="1" s="1"/>
  <c r="NB185" i="1"/>
  <c r="ND185" i="1" s="1"/>
  <c r="NB203" i="1"/>
  <c r="ND203" i="1" s="1"/>
  <c r="NB232" i="1"/>
  <c r="ND232" i="1" s="1"/>
  <c r="NB197" i="1"/>
  <c r="ND197" i="1" s="1"/>
  <c r="NB239" i="1"/>
  <c r="ND239" i="1" s="1"/>
  <c r="NB241" i="1"/>
  <c r="ND241" i="1" s="1"/>
  <c r="NB196" i="1"/>
  <c r="ND196" i="1" s="1"/>
  <c r="NB229" i="1"/>
  <c r="ND229" i="1" s="1"/>
  <c r="NB208" i="1"/>
  <c r="ND208" i="1" s="1"/>
  <c r="NB23" i="1"/>
  <c r="ND23" i="1" s="1"/>
  <c r="NB190" i="1"/>
  <c r="ND190" i="1" s="1"/>
  <c r="NB234" i="1"/>
  <c r="ND234" i="1" s="1"/>
  <c r="NB8" i="1"/>
  <c r="ND8" i="1" s="1"/>
  <c r="NB224" i="1"/>
  <c r="ND224" i="1" s="1"/>
  <c r="NB205" i="1"/>
  <c r="ND205" i="1" s="1"/>
  <c r="NB17" i="1"/>
  <c r="ND17" i="1" s="1"/>
  <c r="NB28" i="1"/>
  <c r="ND28" i="1" s="1"/>
  <c r="NB25" i="1"/>
  <c r="ND25" i="1" s="1"/>
  <c r="NB202" i="1"/>
  <c r="ND202" i="1" s="1"/>
  <c r="NB211" i="1"/>
  <c r="ND211" i="1" s="1"/>
  <c r="NB236" i="1"/>
  <c r="ND236" i="1" s="1"/>
  <c r="NB36" i="1"/>
  <c r="ND36" i="1" s="1"/>
  <c r="NB26" i="1"/>
  <c r="ND26" i="1" s="1"/>
  <c r="NB238" i="1"/>
  <c r="NB201" i="1"/>
  <c r="ND201" i="1" s="1"/>
  <c r="NB199" i="1"/>
  <c r="ND199" i="1" s="1"/>
  <c r="NB192" i="1"/>
  <c r="ND192" i="1" s="1"/>
  <c r="NB35" i="1"/>
  <c r="ND35" i="1" s="1"/>
  <c r="NB191" i="1"/>
  <c r="ND191" i="1" s="1"/>
  <c r="XC424" i="1"/>
  <c r="XE424" i="1" s="1"/>
  <c r="XC412" i="1"/>
  <c r="XE412" i="1" s="1"/>
  <c r="XC400" i="1"/>
  <c r="XE400" i="1" s="1"/>
  <c r="XC385" i="1"/>
  <c r="XE385" i="1" s="1"/>
  <c r="XC373" i="1"/>
  <c r="XE373" i="1" s="1"/>
  <c r="XC361" i="1"/>
  <c r="XC346" i="1"/>
  <c r="XE346" i="1" s="1"/>
  <c r="XC334" i="1"/>
  <c r="XE334" i="1" s="1"/>
  <c r="XC319" i="1"/>
  <c r="XE319" i="1" s="1"/>
  <c r="XC307" i="1"/>
  <c r="XE307" i="1" s="1"/>
  <c r="XC295" i="1"/>
  <c r="XE295" i="1" s="1"/>
  <c r="XC280" i="1"/>
  <c r="XE280" i="1" s="1"/>
  <c r="XC268" i="1"/>
  <c r="XE268" i="1" s="1"/>
  <c r="XC256" i="1"/>
  <c r="XE256" i="1" s="1"/>
  <c r="XC241" i="1"/>
  <c r="XE241" i="1" s="1"/>
  <c r="XC229" i="1"/>
  <c r="XE229" i="1" s="1"/>
  <c r="XE202" i="1"/>
  <c r="XE190" i="1"/>
  <c r="XE175" i="1"/>
  <c r="XE163" i="1"/>
  <c r="XE151" i="1"/>
  <c r="XC136" i="1"/>
  <c r="XE136" i="1" s="1"/>
  <c r="XC124" i="1"/>
  <c r="XE124" i="1" s="1"/>
  <c r="XC112" i="1"/>
  <c r="XC97" i="1"/>
  <c r="XE97" i="1" s="1"/>
  <c r="XC85" i="1"/>
  <c r="XE85" i="1" s="1"/>
  <c r="XC70" i="1"/>
  <c r="XE70" i="1" s="1"/>
  <c r="XC58" i="1"/>
  <c r="XE58" i="1" s="1"/>
  <c r="XC46" i="1"/>
  <c r="XE46" i="1" s="1"/>
  <c r="XC31" i="1"/>
  <c r="XE31" i="1" s="1"/>
  <c r="XC19" i="1"/>
  <c r="XE19" i="1" s="1"/>
  <c r="XC7" i="1"/>
  <c r="XE7" i="1" s="1"/>
  <c r="WT419" i="1"/>
  <c r="WV419" i="1" s="1"/>
  <c r="WT407" i="1"/>
  <c r="WV407" i="1" s="1"/>
  <c r="WT380" i="1"/>
  <c r="WV380" i="1" s="1"/>
  <c r="WT368" i="1"/>
  <c r="WV368" i="1" s="1"/>
  <c r="WT353" i="1"/>
  <c r="WV353" i="1" s="1"/>
  <c r="WT341" i="1"/>
  <c r="WV341" i="1" s="1"/>
  <c r="WT329" i="1"/>
  <c r="WV329" i="1" s="1"/>
  <c r="WT314" i="1"/>
  <c r="WV314" i="1" s="1"/>
  <c r="WT302" i="1"/>
  <c r="WV302" i="1" s="1"/>
  <c r="WT290" i="1"/>
  <c r="WT275" i="1"/>
  <c r="WV275" i="1" s="1"/>
  <c r="WT263" i="1"/>
  <c r="WV263" i="1" s="1"/>
  <c r="WT248" i="1"/>
  <c r="WV248" i="1" s="1"/>
  <c r="WT236" i="1"/>
  <c r="WV236" i="1" s="1"/>
  <c r="WT224" i="1"/>
  <c r="WV224" i="1" s="1"/>
  <c r="WV209" i="1"/>
  <c r="WV197" i="1"/>
  <c r="WV185" i="1"/>
  <c r="WV170" i="1"/>
  <c r="WV158" i="1"/>
  <c r="WT131" i="1"/>
  <c r="WV131" i="1" s="1"/>
  <c r="WT119" i="1"/>
  <c r="WV119" i="1" s="1"/>
  <c r="WT104" i="1"/>
  <c r="WV104" i="1" s="1"/>
  <c r="WT92" i="1"/>
  <c r="WV92" i="1" s="1"/>
  <c r="WT80" i="1"/>
  <c r="WV80" i="1" s="1"/>
  <c r="WT65" i="1"/>
  <c r="WV65" i="1" s="1"/>
  <c r="WT53" i="1"/>
  <c r="WV53" i="1" s="1"/>
  <c r="WT26" i="1"/>
  <c r="WV26" i="1" s="1"/>
  <c r="WT14" i="1"/>
  <c r="WV14" i="1" s="1"/>
  <c r="WK426" i="1"/>
  <c r="WM426" i="1" s="1"/>
  <c r="WK414" i="1"/>
  <c r="WM414" i="1" s="1"/>
  <c r="WK402" i="1"/>
  <c r="WM402" i="1" s="1"/>
  <c r="XC423" i="1"/>
  <c r="XE423" i="1" s="1"/>
  <c r="XC411" i="1"/>
  <c r="XE411" i="1" s="1"/>
  <c r="XC399" i="1"/>
  <c r="XE399" i="1" s="1"/>
  <c r="XC384" i="1"/>
  <c r="XE384" i="1" s="1"/>
  <c r="XC372" i="1"/>
  <c r="XE372" i="1" s="1"/>
  <c r="XC345" i="1"/>
  <c r="XE345" i="1" s="1"/>
  <c r="XC333" i="1"/>
  <c r="XE333" i="1" s="1"/>
  <c r="XC318" i="1"/>
  <c r="XE318" i="1" s="1"/>
  <c r="XC306" i="1"/>
  <c r="XE306" i="1" s="1"/>
  <c r="XC294" i="1"/>
  <c r="XE294" i="1" s="1"/>
  <c r="XC279" i="1"/>
  <c r="XE279" i="1" s="1"/>
  <c r="XC267" i="1"/>
  <c r="XE267" i="1" s="1"/>
  <c r="XC255" i="1"/>
  <c r="XE255" i="1" s="1"/>
  <c r="XC240" i="1"/>
  <c r="XE240" i="1" s="1"/>
  <c r="XC228" i="1"/>
  <c r="XE228" i="1" s="1"/>
  <c r="XE201" i="1"/>
  <c r="XE189" i="1"/>
  <c r="XE174" i="1"/>
  <c r="XE162" i="1"/>
  <c r="XE150" i="1"/>
  <c r="XC135" i="1"/>
  <c r="XE135" i="1" s="1"/>
  <c r="XC123" i="1"/>
  <c r="XE123" i="1" s="1"/>
  <c r="XC96" i="1"/>
  <c r="XE96" i="1" s="1"/>
  <c r="XC84" i="1"/>
  <c r="XE84" i="1" s="1"/>
  <c r="XC69" i="1"/>
  <c r="XE69" i="1" s="1"/>
  <c r="XC57" i="1"/>
  <c r="XE57" i="1" s="1"/>
  <c r="XC45" i="1"/>
  <c r="XE45" i="1" s="1"/>
  <c r="XC30" i="1"/>
  <c r="XE30" i="1" s="1"/>
  <c r="XC18" i="1"/>
  <c r="XE18" i="1" s="1"/>
  <c r="WT418" i="1"/>
  <c r="WV418" i="1" s="1"/>
  <c r="WT406" i="1"/>
  <c r="WV406" i="1" s="1"/>
  <c r="WT379" i="1"/>
  <c r="WV379" i="1" s="1"/>
  <c r="WT367" i="1"/>
  <c r="WV367" i="1" s="1"/>
  <c r="WT352" i="1"/>
  <c r="WV352" i="1" s="1"/>
  <c r="WT340" i="1"/>
  <c r="WV340" i="1" s="1"/>
  <c r="WT328" i="1"/>
  <c r="WV328" i="1" s="1"/>
  <c r="WT313" i="1"/>
  <c r="WV313" i="1" s="1"/>
  <c r="WT301" i="1"/>
  <c r="WV301" i="1" s="1"/>
  <c r="WT274" i="1"/>
  <c r="WV274" i="1" s="1"/>
  <c r="WT262" i="1"/>
  <c r="WV262" i="1" s="1"/>
  <c r="WT247" i="1"/>
  <c r="WV247" i="1" s="1"/>
  <c r="WT235" i="1"/>
  <c r="WV235" i="1" s="1"/>
  <c r="WT223" i="1"/>
  <c r="WV223" i="1" s="1"/>
  <c r="WV208" i="1"/>
  <c r="WV196" i="1"/>
  <c r="WV184" i="1"/>
  <c r="WV169" i="1"/>
  <c r="WV157" i="1"/>
  <c r="WT130" i="1"/>
  <c r="WV130" i="1" s="1"/>
  <c r="WT118" i="1"/>
  <c r="WV118" i="1" s="1"/>
  <c r="WT103" i="1"/>
  <c r="WV103" i="1" s="1"/>
  <c r="WT91" i="1"/>
  <c r="WV91" i="1" s="1"/>
  <c r="WT79" i="1"/>
  <c r="WV79" i="1" s="1"/>
  <c r="WT64" i="1"/>
  <c r="WV64" i="1" s="1"/>
  <c r="WT52" i="1"/>
  <c r="WV52" i="1" s="1"/>
  <c r="WT25" i="1"/>
  <c r="WV25" i="1" s="1"/>
  <c r="WT13" i="1"/>
  <c r="WV13" i="1" s="1"/>
  <c r="WK425" i="1"/>
  <c r="WM425" i="1" s="1"/>
  <c r="WK413" i="1"/>
  <c r="WM413" i="1" s="1"/>
  <c r="WK401" i="1"/>
  <c r="WM401" i="1" s="1"/>
  <c r="WK386" i="1"/>
  <c r="WM386" i="1" s="1"/>
  <c r="WK374" i="1"/>
  <c r="WM374" i="1" s="1"/>
  <c r="WK362" i="1"/>
  <c r="WM362" i="1" s="1"/>
  <c r="WK347" i="1"/>
  <c r="WM347" i="1" s="1"/>
  <c r="WK335" i="1"/>
  <c r="WM335" i="1" s="1"/>
  <c r="WK308" i="1"/>
  <c r="WM308" i="1" s="1"/>
  <c r="WK296" i="1"/>
  <c r="WM296" i="1" s="1"/>
  <c r="WK281" i="1"/>
  <c r="WM281" i="1" s="1"/>
  <c r="WK269" i="1"/>
  <c r="WM269" i="1" s="1"/>
  <c r="WK257" i="1"/>
  <c r="WM257" i="1" s="1"/>
  <c r="WK242" i="1"/>
  <c r="WM242" i="1" s="1"/>
  <c r="WK230" i="1"/>
  <c r="WM230" i="1" s="1"/>
  <c r="WK218" i="1"/>
  <c r="WM203" i="1"/>
  <c r="WM191" i="1"/>
  <c r="WM176" i="1"/>
  <c r="WM164" i="1"/>
  <c r="WM152" i="1"/>
  <c r="WK137" i="1"/>
  <c r="WM137" i="1" s="1"/>
  <c r="WK125" i="1"/>
  <c r="WM125" i="1" s="1"/>
  <c r="WK113" i="1"/>
  <c r="WM113" i="1" s="1"/>
  <c r="WK98" i="1"/>
  <c r="WM98" i="1" s="1"/>
  <c r="WK86" i="1"/>
  <c r="WM86" i="1" s="1"/>
  <c r="WK59" i="1"/>
  <c r="WM59" i="1" s="1"/>
  <c r="XC422" i="1"/>
  <c r="XE422" i="1" s="1"/>
  <c r="XC410" i="1"/>
  <c r="XE410" i="1" s="1"/>
  <c r="XC398" i="1"/>
  <c r="XE398" i="1" s="1"/>
  <c r="XC383" i="1"/>
  <c r="XE383" i="1" s="1"/>
  <c r="XC371" i="1"/>
  <c r="XE371" i="1" s="1"/>
  <c r="XC421" i="1"/>
  <c r="XE421" i="1" s="1"/>
  <c r="XC409" i="1"/>
  <c r="XE409" i="1" s="1"/>
  <c r="XC397" i="1"/>
  <c r="XE397" i="1" s="1"/>
  <c r="XC382" i="1"/>
  <c r="XE382" i="1" s="1"/>
  <c r="XC370" i="1"/>
  <c r="XE370" i="1" s="1"/>
  <c r="XC355" i="1"/>
  <c r="XE355" i="1" s="1"/>
  <c r="XC343" i="1"/>
  <c r="XE343" i="1" s="1"/>
  <c r="XC331" i="1"/>
  <c r="XE331" i="1" s="1"/>
  <c r="XC316" i="1"/>
  <c r="XE316" i="1" s="1"/>
  <c r="XC304" i="1"/>
  <c r="XE304" i="1" s="1"/>
  <c r="XC292" i="1"/>
  <c r="XE292" i="1" s="1"/>
  <c r="XC277" i="1"/>
  <c r="XE277" i="1" s="1"/>
  <c r="XC265" i="1"/>
  <c r="XE265" i="1" s="1"/>
  <c r="XC238" i="1"/>
  <c r="XE238" i="1" s="1"/>
  <c r="XC226" i="1"/>
  <c r="XE226" i="1" s="1"/>
  <c r="XE211" i="1"/>
  <c r="XE199" i="1"/>
  <c r="XE187" i="1"/>
  <c r="XE172" i="1"/>
  <c r="XE160" i="1"/>
  <c r="XE148" i="1"/>
  <c r="XC133" i="1"/>
  <c r="XE133" i="1" s="1"/>
  <c r="XC121" i="1"/>
  <c r="XE121" i="1" s="1"/>
  <c r="XC106" i="1"/>
  <c r="XE106" i="1" s="1"/>
  <c r="XC94" i="1"/>
  <c r="XE94" i="1" s="1"/>
  <c r="XC82" i="1"/>
  <c r="XE82" i="1" s="1"/>
  <c r="XC67" i="1"/>
  <c r="XE67" i="1" s="1"/>
  <c r="XC55" i="1"/>
  <c r="XE55" i="1" s="1"/>
  <c r="XC43" i="1"/>
  <c r="XE43" i="1" s="1"/>
  <c r="XC28" i="1"/>
  <c r="XE28" i="1" s="1"/>
  <c r="XC16" i="1"/>
  <c r="XE16" i="1" s="1"/>
  <c r="WT416" i="1"/>
  <c r="WV416" i="1" s="1"/>
  <c r="WT404" i="1"/>
  <c r="WV404" i="1" s="1"/>
  <c r="WT389" i="1"/>
  <c r="WV389" i="1" s="1"/>
  <c r="WT377" i="1"/>
  <c r="WV377" i="1" s="1"/>
  <c r="WT365" i="1"/>
  <c r="WV365" i="1" s="1"/>
  <c r="WT350" i="1"/>
  <c r="WV350" i="1" s="1"/>
  <c r="WT338" i="1"/>
  <c r="WV338" i="1" s="1"/>
  <c r="WT326" i="1"/>
  <c r="WV326" i="1" s="1"/>
  <c r="WT311" i="1"/>
  <c r="WV311" i="1" s="1"/>
  <c r="WT299" i="1"/>
  <c r="WV299" i="1" s="1"/>
  <c r="WT284" i="1"/>
  <c r="WV284" i="1" s="1"/>
  <c r="WT272" i="1"/>
  <c r="WV272" i="1" s="1"/>
  <c r="WT260" i="1"/>
  <c r="WV260" i="1" s="1"/>
  <c r="WT245" i="1"/>
  <c r="WV245" i="1" s="1"/>
  <c r="WT233" i="1"/>
  <c r="WV233" i="1" s="1"/>
  <c r="WT221" i="1"/>
  <c r="WV221" i="1" s="1"/>
  <c r="WV206" i="1"/>
  <c r="WV194" i="1"/>
  <c r="WV167" i="1"/>
  <c r="WV155" i="1"/>
  <c r="WT140" i="1"/>
  <c r="WV140" i="1" s="1"/>
  <c r="WT128" i="1"/>
  <c r="WV128" i="1" s="1"/>
  <c r="WT116" i="1"/>
  <c r="WV116" i="1" s="1"/>
  <c r="WT101" i="1"/>
  <c r="WV101" i="1" s="1"/>
  <c r="WT89" i="1"/>
  <c r="WV89" i="1" s="1"/>
  <c r="WT77" i="1"/>
  <c r="WV77" i="1" s="1"/>
  <c r="WT62" i="1"/>
  <c r="WV62" i="1" s="1"/>
  <c r="WT50" i="1"/>
  <c r="WV50" i="1" s="1"/>
  <c r="WT35" i="1"/>
  <c r="WV35" i="1" s="1"/>
  <c r="WT23" i="1"/>
  <c r="WV23" i="1" s="1"/>
  <c r="WT11" i="1"/>
  <c r="WV11" i="1" s="1"/>
  <c r="WK423" i="1"/>
  <c r="WM423" i="1" s="1"/>
  <c r="WK411" i="1"/>
  <c r="WM411" i="1" s="1"/>
  <c r="WK399" i="1"/>
  <c r="WM399" i="1" s="1"/>
  <c r="WK384" i="1"/>
  <c r="WM384" i="1" s="1"/>
  <c r="WK372" i="1"/>
  <c r="WM372" i="1" s="1"/>
  <c r="WK345" i="1"/>
  <c r="WM345" i="1" s="1"/>
  <c r="WK333" i="1"/>
  <c r="WM333" i="1" s="1"/>
  <c r="WK318" i="1"/>
  <c r="WM318" i="1" s="1"/>
  <c r="WK306" i="1"/>
  <c r="WM306" i="1" s="1"/>
  <c r="WK294" i="1"/>
  <c r="WM294" i="1" s="1"/>
  <c r="WK279" i="1"/>
  <c r="WM279" i="1" s="1"/>
  <c r="WK267" i="1"/>
  <c r="WM267" i="1" s="1"/>
  <c r="WK255" i="1"/>
  <c r="WM255" i="1" s="1"/>
  <c r="WK240" i="1"/>
  <c r="WM240" i="1" s="1"/>
  <c r="WK228" i="1"/>
  <c r="WM228" i="1" s="1"/>
  <c r="WM201" i="1"/>
  <c r="WM189" i="1"/>
  <c r="WM174" i="1"/>
  <c r="WM162" i="1"/>
  <c r="WM150" i="1"/>
  <c r="WK135" i="1"/>
  <c r="WM135" i="1" s="1"/>
  <c r="WK123" i="1"/>
  <c r="WM123" i="1" s="1"/>
  <c r="WK96" i="1"/>
  <c r="WM96" i="1" s="1"/>
  <c r="XC420" i="1"/>
  <c r="XE420" i="1" s="1"/>
  <c r="XC404" i="1"/>
  <c r="XE404" i="1" s="1"/>
  <c r="XC381" i="1"/>
  <c r="XE381" i="1" s="1"/>
  <c r="XC365" i="1"/>
  <c r="XE365" i="1" s="1"/>
  <c r="XC348" i="1"/>
  <c r="XE348" i="1" s="1"/>
  <c r="XC330" i="1"/>
  <c r="XE330" i="1" s="1"/>
  <c r="XC312" i="1"/>
  <c r="XE312" i="1" s="1"/>
  <c r="XC297" i="1"/>
  <c r="XE297" i="1" s="1"/>
  <c r="XC276" i="1"/>
  <c r="XE276" i="1" s="1"/>
  <c r="XC261" i="1"/>
  <c r="XE261" i="1" s="1"/>
  <c r="XC244" i="1"/>
  <c r="XE244" i="1" s="1"/>
  <c r="XC227" i="1"/>
  <c r="XE227" i="1" s="1"/>
  <c r="XE210" i="1"/>
  <c r="XE195" i="1"/>
  <c r="XE177" i="1"/>
  <c r="XE159" i="1"/>
  <c r="XC141" i="1"/>
  <c r="XE141" i="1" s="1"/>
  <c r="XC126" i="1"/>
  <c r="XE126" i="1" s="1"/>
  <c r="XC91" i="1"/>
  <c r="XE91" i="1" s="1"/>
  <c r="XC76" i="1"/>
  <c r="XC56" i="1"/>
  <c r="XE56" i="1" s="1"/>
  <c r="XC22" i="1"/>
  <c r="XE22" i="1" s="1"/>
  <c r="WT415" i="1"/>
  <c r="WV415" i="1" s="1"/>
  <c r="WT400" i="1"/>
  <c r="WV400" i="1" s="1"/>
  <c r="WT384" i="1"/>
  <c r="WV384" i="1" s="1"/>
  <c r="WT369" i="1"/>
  <c r="WV369" i="1" s="1"/>
  <c r="WT348" i="1"/>
  <c r="WV348" i="1" s="1"/>
  <c r="WT333" i="1"/>
  <c r="WV333" i="1" s="1"/>
  <c r="WT315" i="1"/>
  <c r="WV315" i="1" s="1"/>
  <c r="WT297" i="1"/>
  <c r="WV297" i="1" s="1"/>
  <c r="WT280" i="1"/>
  <c r="WV280" i="1" s="1"/>
  <c r="WT265" i="1"/>
  <c r="WV265" i="1" s="1"/>
  <c r="WT244" i="1"/>
  <c r="WV244" i="1" s="1"/>
  <c r="WT229" i="1"/>
  <c r="WV229" i="1" s="1"/>
  <c r="WV211" i="1"/>
  <c r="WV193" i="1"/>
  <c r="WV176" i="1"/>
  <c r="WV161" i="1"/>
  <c r="WT127" i="1"/>
  <c r="WV127" i="1" s="1"/>
  <c r="WT112" i="1"/>
  <c r="WT94" i="1"/>
  <c r="WV94" i="1" s="1"/>
  <c r="WT76" i="1"/>
  <c r="WT58" i="1"/>
  <c r="WV58" i="1" s="1"/>
  <c r="WT43" i="1"/>
  <c r="WV43" i="1" s="1"/>
  <c r="WT27" i="1"/>
  <c r="WV27" i="1" s="1"/>
  <c r="WT9" i="1"/>
  <c r="WV9" i="1" s="1"/>
  <c r="WK418" i="1"/>
  <c r="WM418" i="1" s="1"/>
  <c r="WK403" i="1"/>
  <c r="WM403" i="1" s="1"/>
  <c r="WK383" i="1"/>
  <c r="WM383" i="1" s="1"/>
  <c r="XC419" i="1"/>
  <c r="XE419" i="1" s="1"/>
  <c r="XC403" i="1"/>
  <c r="XE403" i="1" s="1"/>
  <c r="XC380" i="1"/>
  <c r="XE380" i="1" s="1"/>
  <c r="XC364" i="1"/>
  <c r="XE364" i="1" s="1"/>
  <c r="XC347" i="1"/>
  <c r="XE347" i="1" s="1"/>
  <c r="XC329" i="1"/>
  <c r="XE329" i="1" s="1"/>
  <c r="XC311" i="1"/>
  <c r="XE311" i="1" s="1"/>
  <c r="XC296" i="1"/>
  <c r="XE296" i="1" s="1"/>
  <c r="XC275" i="1"/>
  <c r="XE275" i="1" s="1"/>
  <c r="XC260" i="1"/>
  <c r="XE260" i="1" s="1"/>
  <c r="XC243" i="1"/>
  <c r="XE243" i="1" s="1"/>
  <c r="XC225" i="1"/>
  <c r="XE225" i="1" s="1"/>
  <c r="XE209" i="1"/>
  <c r="XE194" i="1"/>
  <c r="XE176" i="1"/>
  <c r="XE158" i="1"/>
  <c r="XC140" i="1"/>
  <c r="XE140" i="1" s="1"/>
  <c r="XC125" i="1"/>
  <c r="XE125" i="1" s="1"/>
  <c r="XC105" i="1"/>
  <c r="XE105" i="1" s="1"/>
  <c r="XC90" i="1"/>
  <c r="XE90" i="1" s="1"/>
  <c r="XC54" i="1"/>
  <c r="XE54" i="1" s="1"/>
  <c r="XC36" i="1"/>
  <c r="XE36" i="1" s="1"/>
  <c r="XC21" i="1"/>
  <c r="XE21" i="1" s="1"/>
  <c r="XC6" i="1"/>
  <c r="WT414" i="1"/>
  <c r="WV414" i="1" s="1"/>
  <c r="WT399" i="1"/>
  <c r="WV399" i="1" s="1"/>
  <c r="WT383" i="1"/>
  <c r="WV383" i="1" s="1"/>
  <c r="WT366" i="1"/>
  <c r="WV366" i="1" s="1"/>
  <c r="WT347" i="1"/>
  <c r="WV347" i="1" s="1"/>
  <c r="WT332" i="1"/>
  <c r="WV332" i="1" s="1"/>
  <c r="WT312" i="1"/>
  <c r="WV312" i="1" s="1"/>
  <c r="WT296" i="1"/>
  <c r="WV296" i="1" s="1"/>
  <c r="WT279" i="1"/>
  <c r="WV279" i="1" s="1"/>
  <c r="WT264" i="1"/>
  <c r="WV264" i="1" s="1"/>
  <c r="WT243" i="1"/>
  <c r="WV243" i="1" s="1"/>
  <c r="WT228" i="1"/>
  <c r="WV228" i="1" s="1"/>
  <c r="WV210" i="1"/>
  <c r="WV192" i="1"/>
  <c r="WV175" i="1"/>
  <c r="WV160" i="1"/>
  <c r="WT126" i="1"/>
  <c r="WV126" i="1" s="1"/>
  <c r="WT93" i="1"/>
  <c r="WV93" i="1" s="1"/>
  <c r="WT57" i="1"/>
  <c r="WV57" i="1" s="1"/>
  <c r="WT42" i="1"/>
  <c r="WT24" i="1"/>
  <c r="WV24" i="1" s="1"/>
  <c r="WT8" i="1"/>
  <c r="WV8" i="1" s="1"/>
  <c r="WK417" i="1"/>
  <c r="WM417" i="1" s="1"/>
  <c r="WK400" i="1"/>
  <c r="WM400" i="1" s="1"/>
  <c r="WK382" i="1"/>
  <c r="WM382" i="1" s="1"/>
  <c r="WK368" i="1"/>
  <c r="WM368" i="1" s="1"/>
  <c r="WK352" i="1"/>
  <c r="WM352" i="1" s="1"/>
  <c r="WK338" i="1"/>
  <c r="WM338" i="1" s="1"/>
  <c r="WK307" i="1"/>
  <c r="WM307" i="1" s="1"/>
  <c r="WK292" i="1"/>
  <c r="WM292" i="1" s="1"/>
  <c r="WK275" i="1"/>
  <c r="WM275" i="1" s="1"/>
  <c r="WK261" i="1"/>
  <c r="WM261" i="1" s="1"/>
  <c r="WK244" i="1"/>
  <c r="WM244" i="1" s="1"/>
  <c r="WK229" i="1"/>
  <c r="WM229" i="1" s="1"/>
  <c r="WM212" i="1"/>
  <c r="WM198" i="1"/>
  <c r="WM184" i="1"/>
  <c r="WM167" i="1"/>
  <c r="WM153" i="1"/>
  <c r="WK134" i="1"/>
  <c r="WM134" i="1" s="1"/>
  <c r="WK120" i="1"/>
  <c r="WM120" i="1" s="1"/>
  <c r="WK104" i="1"/>
  <c r="WM104" i="1" s="1"/>
  <c r="WK90" i="1"/>
  <c r="WM90" i="1" s="1"/>
  <c r="WK77" i="1"/>
  <c r="WM77" i="1" s="1"/>
  <c r="WK62" i="1"/>
  <c r="WM62" i="1" s="1"/>
  <c r="WK49" i="1"/>
  <c r="WM49" i="1" s="1"/>
  <c r="WK34" i="1"/>
  <c r="WM34" i="1" s="1"/>
  <c r="WK22" i="1"/>
  <c r="WM22" i="1" s="1"/>
  <c r="WK10" i="1"/>
  <c r="WM10" i="1" s="1"/>
  <c r="WB422" i="1"/>
  <c r="WD422" i="1" s="1"/>
  <c r="WB410" i="1"/>
  <c r="WD410" i="1" s="1"/>
  <c r="WB398" i="1"/>
  <c r="WD398" i="1" s="1"/>
  <c r="WB383" i="1"/>
  <c r="WD383" i="1" s="1"/>
  <c r="WB371" i="1"/>
  <c r="WD371" i="1" s="1"/>
  <c r="WB344" i="1"/>
  <c r="WD344" i="1" s="1"/>
  <c r="WB332" i="1"/>
  <c r="WD332" i="1" s="1"/>
  <c r="WB317" i="1"/>
  <c r="WD317" i="1" s="1"/>
  <c r="WB305" i="1"/>
  <c r="WD305" i="1" s="1"/>
  <c r="WB293" i="1"/>
  <c r="WD293" i="1" s="1"/>
  <c r="WB278" i="1"/>
  <c r="WD278" i="1" s="1"/>
  <c r="WB266" i="1"/>
  <c r="WD266" i="1" s="1"/>
  <c r="XC416" i="1"/>
  <c r="XE416" i="1" s="1"/>
  <c r="XC396" i="1"/>
  <c r="XC377" i="1"/>
  <c r="XE377" i="1" s="1"/>
  <c r="XC341" i="1"/>
  <c r="XE341" i="1" s="1"/>
  <c r="XC326" i="1"/>
  <c r="XE326" i="1" s="1"/>
  <c r="XC308" i="1"/>
  <c r="XE308" i="1" s="1"/>
  <c r="XC290" i="1"/>
  <c r="XC272" i="1"/>
  <c r="XE272" i="1" s="1"/>
  <c r="XC257" i="1"/>
  <c r="XE257" i="1" s="1"/>
  <c r="XC237" i="1"/>
  <c r="XE237" i="1" s="1"/>
  <c r="XC222" i="1"/>
  <c r="XE222" i="1" s="1"/>
  <c r="XE206" i="1"/>
  <c r="XE191" i="1"/>
  <c r="XE170" i="1"/>
  <c r="XE155" i="1"/>
  <c r="XC137" i="1"/>
  <c r="XE137" i="1" s="1"/>
  <c r="XC119" i="1"/>
  <c r="XE119" i="1" s="1"/>
  <c r="XC102" i="1"/>
  <c r="XE102" i="1" s="1"/>
  <c r="XC87" i="1"/>
  <c r="XE87" i="1" s="1"/>
  <c r="XC66" i="1"/>
  <c r="XE66" i="1" s="1"/>
  <c r="XC51" i="1"/>
  <c r="XE51" i="1" s="1"/>
  <c r="XC33" i="1"/>
  <c r="XE33" i="1" s="1"/>
  <c r="XC15" i="1"/>
  <c r="XE15" i="1" s="1"/>
  <c r="WT426" i="1"/>
  <c r="WV426" i="1" s="1"/>
  <c r="WT411" i="1"/>
  <c r="WV411" i="1" s="1"/>
  <c r="WT396" i="1"/>
  <c r="WT378" i="1"/>
  <c r="WV378" i="1" s="1"/>
  <c r="WT362" i="1"/>
  <c r="WV362" i="1" s="1"/>
  <c r="WT344" i="1"/>
  <c r="WV344" i="1" s="1"/>
  <c r="WT327" i="1"/>
  <c r="WV327" i="1" s="1"/>
  <c r="WT308" i="1"/>
  <c r="WV308" i="1" s="1"/>
  <c r="WT293" i="1"/>
  <c r="WV293" i="1" s="1"/>
  <c r="WT276" i="1"/>
  <c r="WV276" i="1" s="1"/>
  <c r="WT258" i="1"/>
  <c r="WV258" i="1" s="1"/>
  <c r="WT240" i="1"/>
  <c r="WV240" i="1" s="1"/>
  <c r="WT225" i="1"/>
  <c r="WV225" i="1" s="1"/>
  <c r="WV204" i="1"/>
  <c r="WV189" i="1"/>
  <c r="WV172" i="1"/>
  <c r="WV154" i="1"/>
  <c r="WT138" i="1"/>
  <c r="WV138" i="1" s="1"/>
  <c r="WT123" i="1"/>
  <c r="WV123" i="1" s="1"/>
  <c r="WT105" i="1"/>
  <c r="WV105" i="1" s="1"/>
  <c r="WT87" i="1"/>
  <c r="WV87" i="1" s="1"/>
  <c r="WT69" i="1"/>
  <c r="WV69" i="1" s="1"/>
  <c r="WT54" i="1"/>
  <c r="WV54" i="1" s="1"/>
  <c r="WT36" i="1"/>
  <c r="WV36" i="1" s="1"/>
  <c r="WT20" i="1"/>
  <c r="WV20" i="1" s="1"/>
  <c r="WT6" i="1"/>
  <c r="WK412" i="1"/>
  <c r="WM412" i="1" s="1"/>
  <c r="WK396" i="1"/>
  <c r="WK379" i="1"/>
  <c r="WM379" i="1" s="1"/>
  <c r="WK365" i="1"/>
  <c r="WM365" i="1" s="1"/>
  <c r="WK349" i="1"/>
  <c r="WM349" i="1" s="1"/>
  <c r="WK334" i="1"/>
  <c r="WM334" i="1" s="1"/>
  <c r="WK317" i="1"/>
  <c r="WM317" i="1" s="1"/>
  <c r="WK303" i="1"/>
  <c r="WM303" i="1" s="1"/>
  <c r="WK272" i="1"/>
  <c r="WM272" i="1" s="1"/>
  <c r="WK258" i="1"/>
  <c r="WM258" i="1" s="1"/>
  <c r="WK239" i="1"/>
  <c r="WM239" i="1" s="1"/>
  <c r="WK225" i="1"/>
  <c r="WM225" i="1" s="1"/>
  <c r="WM209" i="1"/>
  <c r="WM195" i="1"/>
  <c r="WM163" i="1"/>
  <c r="WM148" i="1"/>
  <c r="WK131" i="1"/>
  <c r="WM131" i="1" s="1"/>
  <c r="WK117" i="1"/>
  <c r="WM117" i="1" s="1"/>
  <c r="WK101" i="1"/>
  <c r="WM101" i="1" s="1"/>
  <c r="WK87" i="1"/>
  <c r="WM87" i="1" s="1"/>
  <c r="WK58" i="1"/>
  <c r="WM58" i="1" s="1"/>
  <c r="WK46" i="1"/>
  <c r="WM46" i="1" s="1"/>
  <c r="WK31" i="1"/>
  <c r="WM31" i="1" s="1"/>
  <c r="WK19" i="1"/>
  <c r="WM19" i="1" s="1"/>
  <c r="XC426" i="1"/>
  <c r="XE426" i="1" s="1"/>
  <c r="XC406" i="1"/>
  <c r="XE406" i="1" s="1"/>
  <c r="XC387" i="1"/>
  <c r="XE387" i="1" s="1"/>
  <c r="XC367" i="1"/>
  <c r="XE367" i="1" s="1"/>
  <c r="XC350" i="1"/>
  <c r="XE350" i="1" s="1"/>
  <c r="XC335" i="1"/>
  <c r="XE335" i="1" s="1"/>
  <c r="XC314" i="1"/>
  <c r="XE314" i="1" s="1"/>
  <c r="XC299" i="1"/>
  <c r="XE299" i="1" s="1"/>
  <c r="XC281" i="1"/>
  <c r="XE281" i="1" s="1"/>
  <c r="XC263" i="1"/>
  <c r="XE263" i="1" s="1"/>
  <c r="XC246" i="1"/>
  <c r="XE246" i="1" s="1"/>
  <c r="XC231" i="1"/>
  <c r="XE231" i="1" s="1"/>
  <c r="XE197" i="1"/>
  <c r="XE164" i="1"/>
  <c r="XC128" i="1"/>
  <c r="XE128" i="1" s="1"/>
  <c r="XC113" i="1"/>
  <c r="XE113" i="1" s="1"/>
  <c r="XC93" i="1"/>
  <c r="XE93" i="1" s="1"/>
  <c r="XC78" i="1"/>
  <c r="XE78" i="1" s="1"/>
  <c r="XC60" i="1"/>
  <c r="XE60" i="1" s="1"/>
  <c r="XC42" i="1"/>
  <c r="XC24" i="1"/>
  <c r="XE24" i="1" s="1"/>
  <c r="XC9" i="1"/>
  <c r="XE9" i="1" s="1"/>
  <c r="WT420" i="1"/>
  <c r="WV420" i="1" s="1"/>
  <c r="WT402" i="1"/>
  <c r="WV402" i="1" s="1"/>
  <c r="WT386" i="1"/>
  <c r="WV386" i="1" s="1"/>
  <c r="WT371" i="1"/>
  <c r="WV371" i="1" s="1"/>
  <c r="WT351" i="1"/>
  <c r="WV351" i="1" s="1"/>
  <c r="WT335" i="1"/>
  <c r="WV335" i="1" s="1"/>
  <c r="WT317" i="1"/>
  <c r="WV317" i="1" s="1"/>
  <c r="WT300" i="1"/>
  <c r="WV300" i="1" s="1"/>
  <c r="WT282" i="1"/>
  <c r="WV282" i="1" s="1"/>
  <c r="WT267" i="1"/>
  <c r="WV267" i="1" s="1"/>
  <c r="WT231" i="1"/>
  <c r="WV231" i="1" s="1"/>
  <c r="WV198" i="1"/>
  <c r="WV163" i="1"/>
  <c r="WV148" i="1"/>
  <c r="WT132" i="1"/>
  <c r="WV132" i="1" s="1"/>
  <c r="WT114" i="1"/>
  <c r="WV114" i="1" s="1"/>
  <c r="WT96" i="1"/>
  <c r="WV96" i="1" s="1"/>
  <c r="WT81" i="1"/>
  <c r="WV81" i="1" s="1"/>
  <c r="WT60" i="1"/>
  <c r="WV60" i="1" s="1"/>
  <c r="WT45" i="1"/>
  <c r="WV45" i="1" s="1"/>
  <c r="WT29" i="1"/>
  <c r="WV29" i="1" s="1"/>
  <c r="WT12" i="1"/>
  <c r="WV12" i="1" s="1"/>
  <c r="XC415" i="1"/>
  <c r="XE415" i="1" s="1"/>
  <c r="XC388" i="1"/>
  <c r="XE388" i="1" s="1"/>
  <c r="XC337" i="1"/>
  <c r="XE337" i="1" s="1"/>
  <c r="XC309" i="1"/>
  <c r="XE309" i="1" s="1"/>
  <c r="XC283" i="1"/>
  <c r="XE283" i="1" s="1"/>
  <c r="XC258" i="1"/>
  <c r="XE258" i="1" s="1"/>
  <c r="XC233" i="1"/>
  <c r="XE233" i="1" s="1"/>
  <c r="XE208" i="1"/>
  <c r="XE185" i="1"/>
  <c r="XE161" i="1"/>
  <c r="XC134" i="1"/>
  <c r="XE134" i="1" s="1"/>
  <c r="XC114" i="1"/>
  <c r="XE114" i="1" s="1"/>
  <c r="XC88" i="1"/>
  <c r="XE88" i="1" s="1"/>
  <c r="XC63" i="1"/>
  <c r="XE63" i="1" s="1"/>
  <c r="XC13" i="1"/>
  <c r="XE13" i="1" s="1"/>
  <c r="WT421" i="1"/>
  <c r="WV421" i="1" s="1"/>
  <c r="WT372" i="1"/>
  <c r="WV372" i="1" s="1"/>
  <c r="WT343" i="1"/>
  <c r="WV343" i="1" s="1"/>
  <c r="WT318" i="1"/>
  <c r="WV318" i="1" s="1"/>
  <c r="WT292" i="1"/>
  <c r="WV292" i="1" s="1"/>
  <c r="WT268" i="1"/>
  <c r="WV268" i="1" s="1"/>
  <c r="WT241" i="1"/>
  <c r="WV241" i="1" s="1"/>
  <c r="WT218" i="1"/>
  <c r="WV191" i="1"/>
  <c r="WV168" i="1"/>
  <c r="WT124" i="1"/>
  <c r="WV124" i="1" s="1"/>
  <c r="WT99" i="1"/>
  <c r="WV99" i="1" s="1"/>
  <c r="WT49" i="1"/>
  <c r="WV49" i="1" s="1"/>
  <c r="WT28" i="1"/>
  <c r="WV28" i="1" s="1"/>
  <c r="WK406" i="1"/>
  <c r="WM406" i="1" s="1"/>
  <c r="WK381" i="1"/>
  <c r="WM381" i="1" s="1"/>
  <c r="WK364" i="1"/>
  <c r="WM364" i="1" s="1"/>
  <c r="WK344" i="1"/>
  <c r="WM344" i="1" s="1"/>
  <c r="WK328" i="1"/>
  <c r="WM328" i="1" s="1"/>
  <c r="WK311" i="1"/>
  <c r="WM311" i="1" s="1"/>
  <c r="WK293" i="1"/>
  <c r="WM293" i="1" s="1"/>
  <c r="WK274" i="1"/>
  <c r="WM274" i="1" s="1"/>
  <c r="WK256" i="1"/>
  <c r="WM256" i="1" s="1"/>
  <c r="WK236" i="1"/>
  <c r="WM236" i="1" s="1"/>
  <c r="WK220" i="1"/>
  <c r="WM220" i="1" s="1"/>
  <c r="WM200" i="1"/>
  <c r="WM165" i="1"/>
  <c r="WK127" i="1"/>
  <c r="WM127" i="1" s="1"/>
  <c r="WK91" i="1"/>
  <c r="WM91" i="1" s="1"/>
  <c r="WK57" i="1"/>
  <c r="WM57" i="1" s="1"/>
  <c r="WK43" i="1"/>
  <c r="WM43" i="1" s="1"/>
  <c r="WK26" i="1"/>
  <c r="WM26" i="1" s="1"/>
  <c r="WK12" i="1"/>
  <c r="WM12" i="1" s="1"/>
  <c r="WB423" i="1"/>
  <c r="WD423" i="1" s="1"/>
  <c r="WB409" i="1"/>
  <c r="WD409" i="1" s="1"/>
  <c r="WB396" i="1"/>
  <c r="WB380" i="1"/>
  <c r="WD380" i="1" s="1"/>
  <c r="WB367" i="1"/>
  <c r="WD367" i="1" s="1"/>
  <c r="WB352" i="1"/>
  <c r="WD352" i="1" s="1"/>
  <c r="WB339" i="1"/>
  <c r="WD339" i="1" s="1"/>
  <c r="WB326" i="1"/>
  <c r="WD326" i="1" s="1"/>
  <c r="WB310" i="1"/>
  <c r="WD310" i="1" s="1"/>
  <c r="WB297" i="1"/>
  <c r="WD297" i="1" s="1"/>
  <c r="WB281" i="1"/>
  <c r="WD281" i="1" s="1"/>
  <c r="WB268" i="1"/>
  <c r="WD268" i="1" s="1"/>
  <c r="WB255" i="1"/>
  <c r="WD255" i="1" s="1"/>
  <c r="WB240" i="1"/>
  <c r="WD240" i="1" s="1"/>
  <c r="WB228" i="1"/>
  <c r="WD228" i="1" s="1"/>
  <c r="WB201" i="1"/>
  <c r="WD201" i="1" s="1"/>
  <c r="WB189" i="1"/>
  <c r="WD189" i="1" s="1"/>
  <c r="WB174" i="1"/>
  <c r="WD174" i="1" s="1"/>
  <c r="WB162" i="1"/>
  <c r="WD162" i="1" s="1"/>
  <c r="WB150" i="1"/>
  <c r="WD150" i="1" s="1"/>
  <c r="WB135" i="1"/>
  <c r="WD135" i="1" s="1"/>
  <c r="WB123" i="1"/>
  <c r="WD123" i="1" s="1"/>
  <c r="WB96" i="1"/>
  <c r="WD96" i="1" s="1"/>
  <c r="WB84" i="1"/>
  <c r="WD84" i="1" s="1"/>
  <c r="WB69" i="1"/>
  <c r="WD69" i="1" s="1"/>
  <c r="WB57" i="1"/>
  <c r="WD57" i="1" s="1"/>
  <c r="WB45" i="1"/>
  <c r="WD45" i="1" s="1"/>
  <c r="WB30" i="1"/>
  <c r="WD30" i="1" s="1"/>
  <c r="WB18" i="1"/>
  <c r="WD18" i="1" s="1"/>
  <c r="XC414" i="1"/>
  <c r="XE414" i="1" s="1"/>
  <c r="XC386" i="1"/>
  <c r="XE386" i="1" s="1"/>
  <c r="XC336" i="1"/>
  <c r="XE336" i="1" s="1"/>
  <c r="XC305" i="1"/>
  <c r="XE305" i="1" s="1"/>
  <c r="XC282" i="1"/>
  <c r="XE282" i="1" s="1"/>
  <c r="XC254" i="1"/>
  <c r="XC232" i="1"/>
  <c r="XE232" i="1" s="1"/>
  <c r="XE207" i="1"/>
  <c r="XE184" i="1"/>
  <c r="XE157" i="1"/>
  <c r="XC132" i="1"/>
  <c r="XE132" i="1" s="1"/>
  <c r="XC86" i="1"/>
  <c r="XE86" i="1" s="1"/>
  <c r="XC62" i="1"/>
  <c r="XE62" i="1" s="1"/>
  <c r="XC35" i="1"/>
  <c r="XE35" i="1" s="1"/>
  <c r="XC12" i="1"/>
  <c r="XE12" i="1" s="1"/>
  <c r="WT417" i="1"/>
  <c r="WV417" i="1" s="1"/>
  <c r="WT370" i="1"/>
  <c r="WV370" i="1" s="1"/>
  <c r="WT342" i="1"/>
  <c r="WV342" i="1" s="1"/>
  <c r="WT316" i="1"/>
  <c r="WV316" i="1" s="1"/>
  <c r="WT291" i="1"/>
  <c r="WV291" i="1" s="1"/>
  <c r="WT266" i="1"/>
  <c r="WV266" i="1" s="1"/>
  <c r="WT239" i="1"/>
  <c r="WV239" i="1" s="1"/>
  <c r="WV190" i="1"/>
  <c r="WV166" i="1"/>
  <c r="WT122" i="1"/>
  <c r="WV122" i="1" s="1"/>
  <c r="WT98" i="1"/>
  <c r="WV98" i="1" s="1"/>
  <c r="WT48" i="1"/>
  <c r="WV48" i="1" s="1"/>
  <c r="WT22" i="1"/>
  <c r="WV22" i="1" s="1"/>
  <c r="WK424" i="1"/>
  <c r="WM424" i="1" s="1"/>
  <c r="WK405" i="1"/>
  <c r="WM405" i="1" s="1"/>
  <c r="WK380" i="1"/>
  <c r="WM380" i="1" s="1"/>
  <c r="WK363" i="1"/>
  <c r="WM363" i="1" s="1"/>
  <c r="WK343" i="1"/>
  <c r="WM343" i="1" s="1"/>
  <c r="WK327" i="1"/>
  <c r="WM327" i="1" s="1"/>
  <c r="WK310" i="1"/>
  <c r="WM310" i="1" s="1"/>
  <c r="WK291" i="1"/>
  <c r="WM291" i="1" s="1"/>
  <c r="WK273" i="1"/>
  <c r="WM273" i="1" s="1"/>
  <c r="WK254" i="1"/>
  <c r="WK235" i="1"/>
  <c r="WM235" i="1" s="1"/>
  <c r="WK219" i="1"/>
  <c r="WM219" i="1" s="1"/>
  <c r="WM199" i="1"/>
  <c r="WM161" i="1"/>
  <c r="WK126" i="1"/>
  <c r="WM126" i="1" s="1"/>
  <c r="WK106" i="1"/>
  <c r="WM106" i="1" s="1"/>
  <c r="WK89" i="1"/>
  <c r="WM89" i="1" s="1"/>
  <c r="WK56" i="1"/>
  <c r="WM56" i="1" s="1"/>
  <c r="WK42" i="1"/>
  <c r="WK25" i="1"/>
  <c r="WM25" i="1" s="1"/>
  <c r="WK11" i="1"/>
  <c r="WM11" i="1" s="1"/>
  <c r="WB421" i="1"/>
  <c r="WD421" i="1" s="1"/>
  <c r="WB408" i="1"/>
  <c r="WD408" i="1" s="1"/>
  <c r="WB379" i="1"/>
  <c r="WD379" i="1" s="1"/>
  <c r="WB366" i="1"/>
  <c r="WD366" i="1" s="1"/>
  <c r="WB351" i="1"/>
  <c r="WD351" i="1" s="1"/>
  <c r="WB338" i="1"/>
  <c r="WD338" i="1" s="1"/>
  <c r="WB325" i="1"/>
  <c r="WB309" i="1"/>
  <c r="WD309" i="1" s="1"/>
  <c r="WB296" i="1"/>
  <c r="WD296" i="1" s="1"/>
  <c r="WB280" i="1"/>
  <c r="WD280" i="1" s="1"/>
  <c r="WB267" i="1"/>
  <c r="WD267" i="1" s="1"/>
  <c r="WB254" i="1"/>
  <c r="WB239" i="1"/>
  <c r="WD239" i="1" s="1"/>
  <c r="WB227" i="1"/>
  <c r="WD227" i="1" s="1"/>
  <c r="WB212" i="1"/>
  <c r="WD212" i="1" s="1"/>
  <c r="WB200" i="1"/>
  <c r="WD200" i="1" s="1"/>
  <c r="WB188" i="1"/>
  <c r="WD188" i="1" s="1"/>
  <c r="WB173" i="1"/>
  <c r="WD173" i="1" s="1"/>
  <c r="WB161" i="1"/>
  <c r="WD161" i="1" s="1"/>
  <c r="WB149" i="1"/>
  <c r="WD149" i="1" s="1"/>
  <c r="WB134" i="1"/>
  <c r="WD134" i="1" s="1"/>
  <c r="WB122" i="1"/>
  <c r="WD122" i="1" s="1"/>
  <c r="WB95" i="1"/>
  <c r="WD95" i="1" s="1"/>
  <c r="XC413" i="1"/>
  <c r="XE413" i="1" s="1"/>
  <c r="XC379" i="1"/>
  <c r="XE379" i="1" s="1"/>
  <c r="XC354" i="1"/>
  <c r="XE354" i="1" s="1"/>
  <c r="XC332" i="1"/>
  <c r="XE332" i="1" s="1"/>
  <c r="XC303" i="1"/>
  <c r="XE303" i="1" s="1"/>
  <c r="XC278" i="1"/>
  <c r="XE278" i="1" s="1"/>
  <c r="XC230" i="1"/>
  <c r="XE230" i="1" s="1"/>
  <c r="XE205" i="1"/>
  <c r="XE156" i="1"/>
  <c r="XC131" i="1"/>
  <c r="XE131" i="1" s="1"/>
  <c r="XC83" i="1"/>
  <c r="XE83" i="1" s="1"/>
  <c r="XC61" i="1"/>
  <c r="XE61" i="1" s="1"/>
  <c r="XC34" i="1"/>
  <c r="XE34" i="1" s="1"/>
  <c r="XC11" i="1"/>
  <c r="XE11" i="1" s="1"/>
  <c r="WT413" i="1"/>
  <c r="WV413" i="1" s="1"/>
  <c r="WT390" i="1"/>
  <c r="WV390" i="1" s="1"/>
  <c r="WT364" i="1"/>
  <c r="WV364" i="1" s="1"/>
  <c r="WT339" i="1"/>
  <c r="WV339" i="1" s="1"/>
  <c r="WT310" i="1"/>
  <c r="WV310" i="1" s="1"/>
  <c r="WT261" i="1"/>
  <c r="WV261" i="1" s="1"/>
  <c r="WT238" i="1"/>
  <c r="WV238" i="1" s="1"/>
  <c r="WV188" i="1"/>
  <c r="WV165" i="1"/>
  <c r="WT121" i="1"/>
  <c r="WV121" i="1" s="1"/>
  <c r="WT97" i="1"/>
  <c r="WV97" i="1" s="1"/>
  <c r="WT70" i="1"/>
  <c r="WV70" i="1" s="1"/>
  <c r="WT47" i="1"/>
  <c r="WV47" i="1" s="1"/>
  <c r="WT21" i="1"/>
  <c r="WV21" i="1" s="1"/>
  <c r="WK422" i="1"/>
  <c r="WM422" i="1" s="1"/>
  <c r="WK404" i="1"/>
  <c r="WM404" i="1" s="1"/>
  <c r="WK378" i="1"/>
  <c r="WM378" i="1" s="1"/>
  <c r="WK361" i="1"/>
  <c r="WK342" i="1"/>
  <c r="WM342" i="1" s="1"/>
  <c r="WK326" i="1"/>
  <c r="WM326" i="1" s="1"/>
  <c r="WK309" i="1"/>
  <c r="WM309" i="1" s="1"/>
  <c r="WK290" i="1"/>
  <c r="WK271" i="1"/>
  <c r="WM271" i="1" s="1"/>
  <c r="WK234" i="1"/>
  <c r="WM234" i="1" s="1"/>
  <c r="WM197" i="1"/>
  <c r="WM160" i="1"/>
  <c r="WK141" i="1"/>
  <c r="WM141" i="1" s="1"/>
  <c r="WK124" i="1"/>
  <c r="WM124" i="1" s="1"/>
  <c r="WK105" i="1"/>
  <c r="WM105" i="1" s="1"/>
  <c r="WK88" i="1"/>
  <c r="WM88" i="1" s="1"/>
  <c r="WK70" i="1"/>
  <c r="WM70" i="1" s="1"/>
  <c r="WK55" i="1"/>
  <c r="WM55" i="1" s="1"/>
  <c r="WK24" i="1"/>
  <c r="WM24" i="1" s="1"/>
  <c r="WK9" i="1"/>
  <c r="WM9" i="1" s="1"/>
  <c r="WB420" i="1"/>
  <c r="WD420" i="1" s="1"/>
  <c r="WB407" i="1"/>
  <c r="WD407" i="1" s="1"/>
  <c r="WB378" i="1"/>
  <c r="WD378" i="1" s="1"/>
  <c r="WB365" i="1"/>
  <c r="WD365" i="1" s="1"/>
  <c r="WB350" i="1"/>
  <c r="WD350" i="1" s="1"/>
  <c r="WB337" i="1"/>
  <c r="WD337" i="1" s="1"/>
  <c r="WB308" i="1"/>
  <c r="WD308" i="1" s="1"/>
  <c r="WB295" i="1"/>
  <c r="WD295" i="1" s="1"/>
  <c r="WB279" i="1"/>
  <c r="WD279" i="1" s="1"/>
  <c r="WB265" i="1"/>
  <c r="WD265" i="1" s="1"/>
  <c r="WB238" i="1"/>
  <c r="WD238" i="1" s="1"/>
  <c r="WB226" i="1"/>
  <c r="WD226" i="1" s="1"/>
  <c r="WB211" i="1"/>
  <c r="WD211" i="1" s="1"/>
  <c r="WB199" i="1"/>
  <c r="WD199" i="1" s="1"/>
  <c r="WB187" i="1"/>
  <c r="WD187" i="1" s="1"/>
  <c r="WB172" i="1"/>
  <c r="WD172" i="1" s="1"/>
  <c r="WB160" i="1"/>
  <c r="WD160" i="1" s="1"/>
  <c r="WB148" i="1"/>
  <c r="WD148" i="1" s="1"/>
  <c r="WB133" i="1"/>
  <c r="WD133" i="1" s="1"/>
  <c r="WB121" i="1"/>
  <c r="WD121" i="1" s="1"/>
  <c r="WB106" i="1"/>
  <c r="WD106" i="1" s="1"/>
  <c r="WB94" i="1"/>
  <c r="WD94" i="1" s="1"/>
  <c r="WB82" i="1"/>
  <c r="WD82" i="1" s="1"/>
  <c r="WB67" i="1"/>
  <c r="WD67" i="1" s="1"/>
  <c r="WB55" i="1"/>
  <c r="WD55" i="1" s="1"/>
  <c r="WB43" i="1"/>
  <c r="WD43" i="1" s="1"/>
  <c r="WB28" i="1"/>
  <c r="WD28" i="1" s="1"/>
  <c r="WB16" i="1"/>
  <c r="WD16" i="1" s="1"/>
  <c r="XC407" i="1"/>
  <c r="XE407" i="1" s="1"/>
  <c r="XC352" i="1"/>
  <c r="XE352" i="1" s="1"/>
  <c r="XC408" i="1"/>
  <c r="XE408" i="1" s="1"/>
  <c r="XC378" i="1"/>
  <c r="XE378" i="1" s="1"/>
  <c r="XC353" i="1"/>
  <c r="XE353" i="1" s="1"/>
  <c r="XC328" i="1"/>
  <c r="XE328" i="1" s="1"/>
  <c r="XC302" i="1"/>
  <c r="XE302" i="1" s="1"/>
  <c r="XC274" i="1"/>
  <c r="XE274" i="1" s="1"/>
  <c r="XC224" i="1"/>
  <c r="XE224" i="1" s="1"/>
  <c r="XE204" i="1"/>
  <c r="XE154" i="1"/>
  <c r="XC130" i="1"/>
  <c r="XE130" i="1" s="1"/>
  <c r="XC104" i="1"/>
  <c r="XE104" i="1" s="1"/>
  <c r="XC81" i="1"/>
  <c r="XE81" i="1" s="1"/>
  <c r="XC59" i="1"/>
  <c r="XE59" i="1" s="1"/>
  <c r="XC32" i="1"/>
  <c r="XE32" i="1" s="1"/>
  <c r="XC10" i="1"/>
  <c r="XE10" i="1" s="1"/>
  <c r="WT412" i="1"/>
  <c r="WV412" i="1" s="1"/>
  <c r="WT388" i="1"/>
  <c r="WV388" i="1" s="1"/>
  <c r="WT363" i="1"/>
  <c r="WV363" i="1" s="1"/>
  <c r="WT337" i="1"/>
  <c r="WV337" i="1" s="1"/>
  <c r="WT309" i="1"/>
  <c r="WV309" i="1" s="1"/>
  <c r="WT259" i="1"/>
  <c r="WV259" i="1" s="1"/>
  <c r="WT237" i="1"/>
  <c r="WV237" i="1" s="1"/>
  <c r="WV212" i="1"/>
  <c r="WV187" i="1"/>
  <c r="WV164" i="1"/>
  <c r="WT141" i="1"/>
  <c r="WV141" i="1" s="1"/>
  <c r="WT120" i="1"/>
  <c r="WV120" i="1" s="1"/>
  <c r="WT95" i="1"/>
  <c r="WV95" i="1" s="1"/>
  <c r="WT68" i="1"/>
  <c r="WV68" i="1" s="1"/>
  <c r="WT46" i="1"/>
  <c r="WV46" i="1" s="1"/>
  <c r="WT19" i="1"/>
  <c r="WV19" i="1" s="1"/>
  <c r="WK421" i="1"/>
  <c r="WM421" i="1" s="1"/>
  <c r="WK398" i="1"/>
  <c r="WM398" i="1" s="1"/>
  <c r="WK377" i="1"/>
  <c r="WM377" i="1" s="1"/>
  <c r="WK341" i="1"/>
  <c r="WM341" i="1" s="1"/>
  <c r="WK325" i="1"/>
  <c r="WK305" i="1"/>
  <c r="WM305" i="1" s="1"/>
  <c r="WK270" i="1"/>
  <c r="WM270" i="1" s="1"/>
  <c r="WK233" i="1"/>
  <c r="WM233" i="1" s="1"/>
  <c r="WM196" i="1"/>
  <c r="WM177" i="1"/>
  <c r="WM159" i="1"/>
  <c r="WK140" i="1"/>
  <c r="WM140" i="1" s="1"/>
  <c r="WK122" i="1"/>
  <c r="WM122" i="1" s="1"/>
  <c r="WK103" i="1"/>
  <c r="WM103" i="1" s="1"/>
  <c r="WK85" i="1"/>
  <c r="WM85" i="1" s="1"/>
  <c r="WK69" i="1"/>
  <c r="WM69" i="1" s="1"/>
  <c r="WK54" i="1"/>
  <c r="WM54" i="1" s="1"/>
  <c r="WK23" i="1"/>
  <c r="WM23" i="1" s="1"/>
  <c r="WK8" i="1"/>
  <c r="WM8" i="1" s="1"/>
  <c r="WB419" i="1"/>
  <c r="WD419" i="1" s="1"/>
  <c r="WB406" i="1"/>
  <c r="WD406" i="1" s="1"/>
  <c r="WB390" i="1"/>
  <c r="WD390" i="1" s="1"/>
  <c r="WB377" i="1"/>
  <c r="WD377" i="1" s="1"/>
  <c r="WB364" i="1"/>
  <c r="WD364" i="1" s="1"/>
  <c r="WB349" i="1"/>
  <c r="WD349" i="1" s="1"/>
  <c r="WB336" i="1"/>
  <c r="WD336" i="1" s="1"/>
  <c r="WB307" i="1"/>
  <c r="WD307" i="1" s="1"/>
  <c r="WB294" i="1"/>
  <c r="WD294" i="1" s="1"/>
  <c r="WB277" i="1"/>
  <c r="WD277" i="1" s="1"/>
  <c r="WB264" i="1"/>
  <c r="WD264" i="1" s="1"/>
  <c r="WB237" i="1"/>
  <c r="WD237" i="1" s="1"/>
  <c r="WB225" i="1"/>
  <c r="WD225" i="1" s="1"/>
  <c r="WB210" i="1"/>
  <c r="WD210" i="1" s="1"/>
  <c r="WB198" i="1"/>
  <c r="WD198" i="1" s="1"/>
  <c r="WB186" i="1"/>
  <c r="WD186" i="1" s="1"/>
  <c r="WB171" i="1"/>
  <c r="WD171" i="1" s="1"/>
  <c r="WB159" i="1"/>
  <c r="WD159" i="1" s="1"/>
  <c r="WB147" i="1"/>
  <c r="WB132" i="1"/>
  <c r="WD132" i="1" s="1"/>
  <c r="WB120" i="1"/>
  <c r="WD120" i="1" s="1"/>
  <c r="WB105" i="1"/>
  <c r="WD105" i="1" s="1"/>
  <c r="WB93" i="1"/>
  <c r="WD93" i="1" s="1"/>
  <c r="WB81" i="1"/>
  <c r="WD81" i="1" s="1"/>
  <c r="WB66" i="1"/>
  <c r="WD66" i="1" s="1"/>
  <c r="WB54" i="1"/>
  <c r="WD54" i="1" s="1"/>
  <c r="WB42" i="1"/>
  <c r="WB27" i="1"/>
  <c r="WD27" i="1" s="1"/>
  <c r="WB15" i="1"/>
  <c r="WD15" i="1" s="1"/>
  <c r="XC376" i="1"/>
  <c r="XE376" i="1" s="1"/>
  <c r="XC327" i="1"/>
  <c r="XE327" i="1" s="1"/>
  <c r="XC418" i="1"/>
  <c r="XE418" i="1" s="1"/>
  <c r="XC390" i="1"/>
  <c r="XE390" i="1" s="1"/>
  <c r="XC363" i="1"/>
  <c r="XE363" i="1" s="1"/>
  <c r="XC339" i="1"/>
  <c r="XE339" i="1" s="1"/>
  <c r="XC313" i="1"/>
  <c r="XE313" i="1" s="1"/>
  <c r="XC262" i="1"/>
  <c r="XE262" i="1" s="1"/>
  <c r="XC235" i="1"/>
  <c r="XE235" i="1" s="1"/>
  <c r="XE188" i="1"/>
  <c r="XE166" i="1"/>
  <c r="XC139" i="1"/>
  <c r="XE139" i="1" s="1"/>
  <c r="XC116" i="1"/>
  <c r="XE116" i="1" s="1"/>
  <c r="XC92" i="1"/>
  <c r="XE92" i="1" s="1"/>
  <c r="XC65" i="1"/>
  <c r="XE65" i="1" s="1"/>
  <c r="XC44" i="1"/>
  <c r="XE44" i="1" s="1"/>
  <c r="XC17" i="1"/>
  <c r="XE17" i="1" s="1"/>
  <c r="WT423" i="1"/>
  <c r="WV423" i="1" s="1"/>
  <c r="WT398" i="1"/>
  <c r="WV398" i="1" s="1"/>
  <c r="WT374" i="1"/>
  <c r="WV374" i="1" s="1"/>
  <c r="WT346" i="1"/>
  <c r="WV346" i="1" s="1"/>
  <c r="WT295" i="1"/>
  <c r="WV295" i="1" s="1"/>
  <c r="WT270" i="1"/>
  <c r="WV270" i="1" s="1"/>
  <c r="WT246" i="1"/>
  <c r="WV246" i="1" s="1"/>
  <c r="WT220" i="1"/>
  <c r="WV220" i="1" s="1"/>
  <c r="WV199" i="1"/>
  <c r="WV173" i="1"/>
  <c r="WV150" i="1"/>
  <c r="WT129" i="1"/>
  <c r="WV129" i="1" s="1"/>
  <c r="WT102" i="1"/>
  <c r="WV102" i="1" s="1"/>
  <c r="WT82" i="1"/>
  <c r="WV82" i="1" s="1"/>
  <c r="WT55" i="1"/>
  <c r="WV55" i="1" s="1"/>
  <c r="WT31" i="1"/>
  <c r="WV31" i="1" s="1"/>
  <c r="WK408" i="1"/>
  <c r="WM408" i="1" s="1"/>
  <c r="WK387" i="1"/>
  <c r="WM387" i="1" s="1"/>
  <c r="WK367" i="1"/>
  <c r="WM367" i="1" s="1"/>
  <c r="WK348" i="1"/>
  <c r="WM348" i="1" s="1"/>
  <c r="WK330" i="1"/>
  <c r="WM330" i="1" s="1"/>
  <c r="WK313" i="1"/>
  <c r="WM313" i="1" s="1"/>
  <c r="WK297" i="1"/>
  <c r="WM297" i="1" s="1"/>
  <c r="WK277" i="1"/>
  <c r="WM277" i="1" s="1"/>
  <c r="WK260" i="1"/>
  <c r="WM260" i="1" s="1"/>
  <c r="WK238" i="1"/>
  <c r="WM238" i="1" s="1"/>
  <c r="WK222" i="1"/>
  <c r="WM222" i="1" s="1"/>
  <c r="WM204" i="1"/>
  <c r="WM186" i="1"/>
  <c r="WM168" i="1"/>
  <c r="WM149" i="1"/>
  <c r="WK129" i="1"/>
  <c r="WM129" i="1" s="1"/>
  <c r="WK112" i="1"/>
  <c r="WK93" i="1"/>
  <c r="WM93" i="1" s="1"/>
  <c r="WK78" i="1"/>
  <c r="WM78" i="1" s="1"/>
  <c r="WK61" i="1"/>
  <c r="WM61" i="1" s="1"/>
  <c r="WK45" i="1"/>
  <c r="WM45" i="1" s="1"/>
  <c r="WK28" i="1"/>
  <c r="WM28" i="1" s="1"/>
  <c r="WK14" i="1"/>
  <c r="WM14" i="1" s="1"/>
  <c r="WB425" i="1"/>
  <c r="WD425" i="1" s="1"/>
  <c r="WB412" i="1"/>
  <c r="WD412" i="1" s="1"/>
  <c r="WB399" i="1"/>
  <c r="WD399" i="1" s="1"/>
  <c r="WB382" i="1"/>
  <c r="WD382" i="1" s="1"/>
  <c r="WB369" i="1"/>
  <c r="WD369" i="1" s="1"/>
  <c r="WB354" i="1"/>
  <c r="WD354" i="1" s="1"/>
  <c r="WB341" i="1"/>
  <c r="WD341" i="1" s="1"/>
  <c r="WB328" i="1"/>
  <c r="WD328" i="1" s="1"/>
  <c r="WB312" i="1"/>
  <c r="WD312" i="1" s="1"/>
  <c r="WB299" i="1"/>
  <c r="WD299" i="1" s="1"/>
  <c r="WB283" i="1"/>
  <c r="WD283" i="1" s="1"/>
  <c r="WB270" i="1"/>
  <c r="WD270" i="1" s="1"/>
  <c r="WB257" i="1"/>
  <c r="WD257" i="1" s="1"/>
  <c r="WB242" i="1"/>
  <c r="WD242" i="1" s="1"/>
  <c r="WB230" i="1"/>
  <c r="WD230" i="1" s="1"/>
  <c r="WB218" i="1"/>
  <c r="WB203" i="1"/>
  <c r="WD203" i="1" s="1"/>
  <c r="WB191" i="1"/>
  <c r="WD191" i="1" s="1"/>
  <c r="WB176" i="1"/>
  <c r="WD176" i="1" s="1"/>
  <c r="WB164" i="1"/>
  <c r="WD164" i="1" s="1"/>
  <c r="WB152" i="1"/>
  <c r="WD152" i="1" s="1"/>
  <c r="WB137" i="1"/>
  <c r="WD137" i="1" s="1"/>
  <c r="WB125" i="1"/>
  <c r="WD125" i="1" s="1"/>
  <c r="WB113" i="1"/>
  <c r="WD113" i="1" s="1"/>
  <c r="WB98" i="1"/>
  <c r="WD98" i="1" s="1"/>
  <c r="WB86" i="1"/>
  <c r="WD86" i="1" s="1"/>
  <c r="WB59" i="1"/>
  <c r="WD59" i="1" s="1"/>
  <c r="WB47" i="1"/>
  <c r="WD47" i="1" s="1"/>
  <c r="WB32" i="1"/>
  <c r="WD32" i="1" s="1"/>
  <c r="WB20" i="1"/>
  <c r="WD20" i="1" s="1"/>
  <c r="XC401" i="1"/>
  <c r="XE401" i="1" s="1"/>
  <c r="XC351" i="1"/>
  <c r="XE351" i="1" s="1"/>
  <c r="XC301" i="1"/>
  <c r="XE301" i="1" s="1"/>
  <c r="XC266" i="1"/>
  <c r="XE266" i="1" s="1"/>
  <c r="XC223" i="1"/>
  <c r="XE223" i="1" s="1"/>
  <c r="XE193" i="1"/>
  <c r="XE152" i="1"/>
  <c r="XC115" i="1"/>
  <c r="XE115" i="1" s="1"/>
  <c r="XC77" i="1"/>
  <c r="XE77" i="1" s="1"/>
  <c r="WT425" i="1"/>
  <c r="WV425" i="1" s="1"/>
  <c r="WT387" i="1"/>
  <c r="WV387" i="1" s="1"/>
  <c r="WT349" i="1"/>
  <c r="WV349" i="1" s="1"/>
  <c r="WT305" i="1"/>
  <c r="WV305" i="1" s="1"/>
  <c r="WT271" i="1"/>
  <c r="WV271" i="1" s="1"/>
  <c r="WT227" i="1"/>
  <c r="WV227" i="1" s="1"/>
  <c r="WV195" i="1"/>
  <c r="WV152" i="1"/>
  <c r="WT117" i="1"/>
  <c r="WV117" i="1" s="1"/>
  <c r="WT83" i="1"/>
  <c r="WV83" i="1" s="1"/>
  <c r="WK332" i="1"/>
  <c r="WM332" i="1" s="1"/>
  <c r="WK301" i="1"/>
  <c r="WM301" i="1" s="1"/>
  <c r="WK276" i="1"/>
  <c r="WM276" i="1" s="1"/>
  <c r="WK246" i="1"/>
  <c r="WM246" i="1" s="1"/>
  <c r="WM190" i="1"/>
  <c r="WM166" i="1"/>
  <c r="WK136" i="1"/>
  <c r="WM136" i="1" s="1"/>
  <c r="WK80" i="1"/>
  <c r="WM80" i="1" s="1"/>
  <c r="WK53" i="1"/>
  <c r="WM53" i="1" s="1"/>
  <c r="WK32" i="1"/>
  <c r="WM32" i="1" s="1"/>
  <c r="WB411" i="1"/>
  <c r="WD411" i="1" s="1"/>
  <c r="WB387" i="1"/>
  <c r="WD387" i="1" s="1"/>
  <c r="WB363" i="1"/>
  <c r="WD363" i="1" s="1"/>
  <c r="WB342" i="1"/>
  <c r="WD342" i="1" s="1"/>
  <c r="WB318" i="1"/>
  <c r="WD318" i="1" s="1"/>
  <c r="WB298" i="1"/>
  <c r="WD298" i="1" s="1"/>
  <c r="WB272" i="1"/>
  <c r="WD272" i="1" s="1"/>
  <c r="WB248" i="1"/>
  <c r="WD248" i="1" s="1"/>
  <c r="WB231" i="1"/>
  <c r="WD231" i="1" s="1"/>
  <c r="WB207" i="1"/>
  <c r="WD207" i="1" s="1"/>
  <c r="WB185" i="1"/>
  <c r="WD185" i="1" s="1"/>
  <c r="WB165" i="1"/>
  <c r="WD165" i="1" s="1"/>
  <c r="WB140" i="1"/>
  <c r="WD140" i="1" s="1"/>
  <c r="WB118" i="1"/>
  <c r="WD118" i="1" s="1"/>
  <c r="WB100" i="1"/>
  <c r="WD100" i="1" s="1"/>
  <c r="WB79" i="1"/>
  <c r="WD79" i="1" s="1"/>
  <c r="WB61" i="1"/>
  <c r="WD61" i="1" s="1"/>
  <c r="WB22" i="1"/>
  <c r="WD22" i="1" s="1"/>
  <c r="WK415" i="1"/>
  <c r="WM415" i="1" s="1"/>
  <c r="WB154" i="1"/>
  <c r="WD154" i="1" s="1"/>
  <c r="WB12" i="1"/>
  <c r="WD12" i="1" s="1"/>
  <c r="WV171" i="1"/>
  <c r="XC349" i="1"/>
  <c r="XE349" i="1" s="1"/>
  <c r="XC300" i="1"/>
  <c r="XE300" i="1" s="1"/>
  <c r="XC264" i="1"/>
  <c r="XE264" i="1" s="1"/>
  <c r="XC221" i="1"/>
  <c r="XE221" i="1" s="1"/>
  <c r="XE192" i="1"/>
  <c r="XE149" i="1"/>
  <c r="XC29" i="1"/>
  <c r="XE29" i="1" s="1"/>
  <c r="WT424" i="1"/>
  <c r="WV424" i="1" s="1"/>
  <c r="WT385" i="1"/>
  <c r="WV385" i="1" s="1"/>
  <c r="WT345" i="1"/>
  <c r="WV345" i="1" s="1"/>
  <c r="WT304" i="1"/>
  <c r="WV304" i="1" s="1"/>
  <c r="WT269" i="1"/>
  <c r="WV269" i="1" s="1"/>
  <c r="WT226" i="1"/>
  <c r="WV226" i="1" s="1"/>
  <c r="WV186" i="1"/>
  <c r="WV151" i="1"/>
  <c r="WT115" i="1"/>
  <c r="WV115" i="1" s="1"/>
  <c r="WT78" i="1"/>
  <c r="WV78" i="1" s="1"/>
  <c r="WK390" i="1"/>
  <c r="WM390" i="1" s="1"/>
  <c r="WK331" i="1"/>
  <c r="WM331" i="1" s="1"/>
  <c r="WK300" i="1"/>
  <c r="WM300" i="1" s="1"/>
  <c r="WK268" i="1"/>
  <c r="WM268" i="1" s="1"/>
  <c r="WK245" i="1"/>
  <c r="WM245" i="1" s="1"/>
  <c r="WM188" i="1"/>
  <c r="WM158" i="1"/>
  <c r="WK133" i="1"/>
  <c r="WM133" i="1" s="1"/>
  <c r="WK102" i="1"/>
  <c r="WM102" i="1" s="1"/>
  <c r="WK79" i="1"/>
  <c r="WM79" i="1" s="1"/>
  <c r="WK52" i="1"/>
  <c r="WM52" i="1" s="1"/>
  <c r="WK30" i="1"/>
  <c r="WM30" i="1" s="1"/>
  <c r="WK6" i="1"/>
  <c r="WB405" i="1"/>
  <c r="WD405" i="1" s="1"/>
  <c r="WB386" i="1"/>
  <c r="WD386" i="1" s="1"/>
  <c r="WB362" i="1"/>
  <c r="WD362" i="1" s="1"/>
  <c r="WB340" i="1"/>
  <c r="WD340" i="1" s="1"/>
  <c r="WB316" i="1"/>
  <c r="WD316" i="1" s="1"/>
  <c r="WB292" i="1"/>
  <c r="WD292" i="1" s="1"/>
  <c r="WB271" i="1"/>
  <c r="WD271" i="1" s="1"/>
  <c r="WB247" i="1"/>
  <c r="WD247" i="1" s="1"/>
  <c r="WB229" i="1"/>
  <c r="WD229" i="1" s="1"/>
  <c r="WB206" i="1"/>
  <c r="WD206" i="1" s="1"/>
  <c r="WB184" i="1"/>
  <c r="WD184" i="1" s="1"/>
  <c r="WB163" i="1"/>
  <c r="WD163" i="1" s="1"/>
  <c r="WB139" i="1"/>
  <c r="WD139" i="1" s="1"/>
  <c r="WB117" i="1"/>
  <c r="WD117" i="1" s="1"/>
  <c r="WB99" i="1"/>
  <c r="WD99" i="1" s="1"/>
  <c r="WB78" i="1"/>
  <c r="WD78" i="1" s="1"/>
  <c r="WB60" i="1"/>
  <c r="WD60" i="1" s="1"/>
  <c r="WB21" i="1"/>
  <c r="WD21" i="1" s="1"/>
  <c r="WB6" i="1"/>
  <c r="WT100" i="1"/>
  <c r="WV100" i="1" s="1"/>
  <c r="WB196" i="1"/>
  <c r="WD196" i="1" s="1"/>
  <c r="XC344" i="1"/>
  <c r="XE344" i="1" s="1"/>
  <c r="XC298" i="1"/>
  <c r="XE298" i="1" s="1"/>
  <c r="XC259" i="1"/>
  <c r="XE259" i="1" s="1"/>
  <c r="XC220" i="1"/>
  <c r="XE220" i="1" s="1"/>
  <c r="XE186" i="1"/>
  <c r="XC27" i="1"/>
  <c r="XE27" i="1" s="1"/>
  <c r="WT422" i="1"/>
  <c r="WV422" i="1" s="1"/>
  <c r="WT382" i="1"/>
  <c r="WV382" i="1" s="1"/>
  <c r="WT336" i="1"/>
  <c r="WV336" i="1" s="1"/>
  <c r="WT303" i="1"/>
  <c r="WV303" i="1" s="1"/>
  <c r="WT257" i="1"/>
  <c r="WV257" i="1" s="1"/>
  <c r="WT222" i="1"/>
  <c r="WV222" i="1" s="1"/>
  <c r="WV149" i="1"/>
  <c r="WT113" i="1"/>
  <c r="WV113" i="1" s="1"/>
  <c r="WT34" i="1"/>
  <c r="WV34" i="1" s="1"/>
  <c r="WK389" i="1"/>
  <c r="WM389" i="1" s="1"/>
  <c r="WK355" i="1"/>
  <c r="WM355" i="1" s="1"/>
  <c r="WK329" i="1"/>
  <c r="WM329" i="1" s="1"/>
  <c r="WK299" i="1"/>
  <c r="WM299" i="1" s="1"/>
  <c r="WK266" i="1"/>
  <c r="WM266" i="1" s="1"/>
  <c r="WK243" i="1"/>
  <c r="WM243" i="1" s="1"/>
  <c r="WM211" i="1"/>
  <c r="WM187" i="1"/>
  <c r="WM157" i="1"/>
  <c r="WK132" i="1"/>
  <c r="WM132" i="1" s="1"/>
  <c r="WK100" i="1"/>
  <c r="WM100" i="1" s="1"/>
  <c r="WK76" i="1"/>
  <c r="WK51" i="1"/>
  <c r="WM51" i="1" s="1"/>
  <c r="WK29" i="1"/>
  <c r="WM29" i="1" s="1"/>
  <c r="WB404" i="1"/>
  <c r="WD404" i="1" s="1"/>
  <c r="WB385" i="1"/>
  <c r="WD385" i="1" s="1"/>
  <c r="WB361" i="1"/>
  <c r="WB335" i="1"/>
  <c r="WD335" i="1" s="1"/>
  <c r="WB315" i="1"/>
  <c r="WD315" i="1" s="1"/>
  <c r="WB291" i="1"/>
  <c r="WD291" i="1" s="1"/>
  <c r="WB269" i="1"/>
  <c r="WD269" i="1" s="1"/>
  <c r="WB246" i="1"/>
  <c r="WD246" i="1" s="1"/>
  <c r="WB224" i="1"/>
  <c r="WD224" i="1" s="1"/>
  <c r="WB205" i="1"/>
  <c r="WD205" i="1" s="1"/>
  <c r="WB183" i="1"/>
  <c r="WB158" i="1"/>
  <c r="WD158" i="1" s="1"/>
  <c r="WB138" i="1"/>
  <c r="WD138" i="1" s="1"/>
  <c r="WB116" i="1"/>
  <c r="WD116" i="1" s="1"/>
  <c r="WB97" i="1"/>
  <c r="WD97" i="1" s="1"/>
  <c r="WB77" i="1"/>
  <c r="WD77" i="1" s="1"/>
  <c r="WB58" i="1"/>
  <c r="WD58" i="1" s="1"/>
  <c r="WB36" i="1"/>
  <c r="WD36" i="1" s="1"/>
  <c r="WB19" i="1"/>
  <c r="WD19" i="1" s="1"/>
  <c r="XC129" i="1"/>
  <c r="XE129" i="1" s="1"/>
  <c r="WB353" i="1"/>
  <c r="WD353" i="1" s="1"/>
  <c r="WB220" i="1"/>
  <c r="WD220" i="1" s="1"/>
  <c r="WB89" i="1"/>
  <c r="WD89" i="1" s="1"/>
  <c r="XC389" i="1"/>
  <c r="XE389" i="1" s="1"/>
  <c r="XC342" i="1"/>
  <c r="XE342" i="1" s="1"/>
  <c r="XC293" i="1"/>
  <c r="XE293" i="1" s="1"/>
  <c r="XC219" i="1"/>
  <c r="XE219" i="1" s="1"/>
  <c r="XC103" i="1"/>
  <c r="XE103" i="1" s="1"/>
  <c r="XC68" i="1"/>
  <c r="XE68" i="1" s="1"/>
  <c r="XC26" i="1"/>
  <c r="XE26" i="1" s="1"/>
  <c r="WT410" i="1"/>
  <c r="WV410" i="1" s="1"/>
  <c r="WT381" i="1"/>
  <c r="WV381" i="1" s="1"/>
  <c r="WT334" i="1"/>
  <c r="WV334" i="1" s="1"/>
  <c r="WT298" i="1"/>
  <c r="WV298" i="1" s="1"/>
  <c r="WT256" i="1"/>
  <c r="WV256" i="1" s="1"/>
  <c r="WT219" i="1"/>
  <c r="WV219" i="1" s="1"/>
  <c r="WT33" i="1"/>
  <c r="WV33" i="1" s="1"/>
  <c r="WK420" i="1"/>
  <c r="WM420" i="1" s="1"/>
  <c r="WK388" i="1"/>
  <c r="WM388" i="1" s="1"/>
  <c r="WK354" i="1"/>
  <c r="WM354" i="1" s="1"/>
  <c r="WK298" i="1"/>
  <c r="WM298" i="1" s="1"/>
  <c r="WK265" i="1"/>
  <c r="WM265" i="1" s="1"/>
  <c r="WK241" i="1"/>
  <c r="WM241" i="1" s="1"/>
  <c r="WM210" i="1"/>
  <c r="WM185" i="1"/>
  <c r="WM156" i="1"/>
  <c r="WK130" i="1"/>
  <c r="WM130" i="1" s="1"/>
  <c r="WK99" i="1"/>
  <c r="WM99" i="1" s="1"/>
  <c r="WK50" i="1"/>
  <c r="WM50" i="1" s="1"/>
  <c r="WK27" i="1"/>
  <c r="WM27" i="1" s="1"/>
  <c r="WB403" i="1"/>
  <c r="WD403" i="1" s="1"/>
  <c r="WB384" i="1"/>
  <c r="WD384" i="1" s="1"/>
  <c r="WB334" i="1"/>
  <c r="WD334" i="1" s="1"/>
  <c r="WB314" i="1"/>
  <c r="WD314" i="1" s="1"/>
  <c r="WB290" i="1"/>
  <c r="WB263" i="1"/>
  <c r="WD263" i="1" s="1"/>
  <c r="WB245" i="1"/>
  <c r="WD245" i="1" s="1"/>
  <c r="WB223" i="1"/>
  <c r="WD223" i="1" s="1"/>
  <c r="WB204" i="1"/>
  <c r="WD204" i="1" s="1"/>
  <c r="WB157" i="1"/>
  <c r="WD157" i="1" s="1"/>
  <c r="WB136" i="1"/>
  <c r="WD136" i="1" s="1"/>
  <c r="WB115" i="1"/>
  <c r="WD115" i="1" s="1"/>
  <c r="WB92" i="1"/>
  <c r="WD92" i="1" s="1"/>
  <c r="WB76" i="1"/>
  <c r="WB56" i="1"/>
  <c r="WD56" i="1" s="1"/>
  <c r="WB35" i="1"/>
  <c r="WD35" i="1" s="1"/>
  <c r="WB17" i="1"/>
  <c r="WD17" i="1" s="1"/>
  <c r="XC374" i="1"/>
  <c r="XE374" i="1" s="1"/>
  <c r="XC338" i="1"/>
  <c r="XE338" i="1" s="1"/>
  <c r="XC248" i="1"/>
  <c r="XE248" i="1" s="1"/>
  <c r="XE173" i="1"/>
  <c r="XC100" i="1"/>
  <c r="XE100" i="1" s="1"/>
  <c r="XC23" i="1"/>
  <c r="XE23" i="1" s="1"/>
  <c r="WT408" i="1"/>
  <c r="WV408" i="1" s="1"/>
  <c r="WT330" i="1"/>
  <c r="WV330" i="1" s="1"/>
  <c r="WV177" i="1"/>
  <c r="WT106" i="1"/>
  <c r="WV106" i="1" s="1"/>
  <c r="WT30" i="1"/>
  <c r="WV30" i="1" s="1"/>
  <c r="WK416" i="1"/>
  <c r="WM416" i="1" s="1"/>
  <c r="WK351" i="1"/>
  <c r="WM351" i="1" s="1"/>
  <c r="WK263" i="1"/>
  <c r="WM263" i="1" s="1"/>
  <c r="WM207" i="1"/>
  <c r="WK121" i="1"/>
  <c r="WM121" i="1" s="1"/>
  <c r="WK95" i="1"/>
  <c r="WM95" i="1" s="1"/>
  <c r="WK47" i="1"/>
  <c r="WM47" i="1" s="1"/>
  <c r="WB424" i="1"/>
  <c r="WD424" i="1" s="1"/>
  <c r="WB376" i="1"/>
  <c r="WD376" i="1" s="1"/>
  <c r="WB355" i="1"/>
  <c r="WD355" i="1" s="1"/>
  <c r="WB311" i="1"/>
  <c r="WD311" i="1" s="1"/>
  <c r="WB243" i="1"/>
  <c r="WD243" i="1" s="1"/>
  <c r="WB197" i="1"/>
  <c r="WD197" i="1" s="1"/>
  <c r="WB155" i="1"/>
  <c r="WD155" i="1" s="1"/>
  <c r="WB130" i="1"/>
  <c r="WD130" i="1" s="1"/>
  <c r="WB90" i="1"/>
  <c r="WD90" i="1" s="1"/>
  <c r="WB33" i="1"/>
  <c r="WD33" i="1" s="1"/>
  <c r="XC369" i="1"/>
  <c r="XE369" i="1" s="1"/>
  <c r="XC325" i="1"/>
  <c r="XC247" i="1"/>
  <c r="XE247" i="1" s="1"/>
  <c r="XE171" i="1"/>
  <c r="XC99" i="1"/>
  <c r="XE99" i="1" s="1"/>
  <c r="XC20" i="1"/>
  <c r="XE20" i="1" s="1"/>
  <c r="WT373" i="1"/>
  <c r="WV373" i="1" s="1"/>
  <c r="WV207" i="1"/>
  <c r="WT137" i="1"/>
  <c r="WV137" i="1" s="1"/>
  <c r="WT63" i="1"/>
  <c r="WV63" i="1" s="1"/>
  <c r="WK375" i="1"/>
  <c r="WM375" i="1" s="1"/>
  <c r="WK316" i="1"/>
  <c r="WM316" i="1" s="1"/>
  <c r="WK231" i="1"/>
  <c r="WM231" i="1" s="1"/>
  <c r="WM175" i="1"/>
  <c r="WK119" i="1"/>
  <c r="WM119" i="1" s="1"/>
  <c r="WK94" i="1"/>
  <c r="WM94" i="1" s="1"/>
  <c r="WK44" i="1"/>
  <c r="WM44" i="1" s="1"/>
  <c r="WK18" i="1"/>
  <c r="WM18" i="1" s="1"/>
  <c r="WB418" i="1"/>
  <c r="WD418" i="1" s="1"/>
  <c r="WB400" i="1"/>
  <c r="WD400" i="1" s="1"/>
  <c r="WB375" i="1"/>
  <c r="WD375" i="1" s="1"/>
  <c r="WB330" i="1"/>
  <c r="WD330" i="1" s="1"/>
  <c r="WB284" i="1"/>
  <c r="WD284" i="1" s="1"/>
  <c r="WB241" i="1"/>
  <c r="WD241" i="1" s="1"/>
  <c r="WB175" i="1"/>
  <c r="WD175" i="1" s="1"/>
  <c r="WB70" i="1"/>
  <c r="WD70" i="1" s="1"/>
  <c r="WB51" i="1"/>
  <c r="WD51" i="1" s="1"/>
  <c r="XC368" i="1"/>
  <c r="XE368" i="1" s="1"/>
  <c r="XC284" i="1"/>
  <c r="XE284" i="1" s="1"/>
  <c r="XC245" i="1"/>
  <c r="XE245" i="1" s="1"/>
  <c r="XE169" i="1"/>
  <c r="XC127" i="1"/>
  <c r="XE127" i="1" s="1"/>
  <c r="XC98" i="1"/>
  <c r="XE98" i="1" s="1"/>
  <c r="XC50" i="1"/>
  <c r="XE50" i="1" s="1"/>
  <c r="WT403" i="1"/>
  <c r="WV403" i="1" s="1"/>
  <c r="WV205" i="1"/>
  <c r="WT61" i="1"/>
  <c r="WV61" i="1" s="1"/>
  <c r="WK410" i="1"/>
  <c r="WM410" i="1" s="1"/>
  <c r="XC375" i="1"/>
  <c r="XE375" i="1" s="1"/>
  <c r="XC340" i="1"/>
  <c r="XE340" i="1" s="1"/>
  <c r="XC291" i="1"/>
  <c r="XE291" i="1" s="1"/>
  <c r="XC218" i="1"/>
  <c r="XC101" i="1"/>
  <c r="XE101" i="1" s="1"/>
  <c r="XC64" i="1"/>
  <c r="XE64" i="1" s="1"/>
  <c r="XC25" i="1"/>
  <c r="XE25" i="1" s="1"/>
  <c r="WT409" i="1"/>
  <c r="WV409" i="1" s="1"/>
  <c r="WT376" i="1"/>
  <c r="WV376" i="1" s="1"/>
  <c r="WT331" i="1"/>
  <c r="WV331" i="1" s="1"/>
  <c r="WT294" i="1"/>
  <c r="WV294" i="1" s="1"/>
  <c r="WT255" i="1"/>
  <c r="WV255" i="1" s="1"/>
  <c r="WT67" i="1"/>
  <c r="WV67" i="1" s="1"/>
  <c r="WT32" i="1"/>
  <c r="WV32" i="1" s="1"/>
  <c r="WK419" i="1"/>
  <c r="WM419" i="1" s="1"/>
  <c r="WK385" i="1"/>
  <c r="WM385" i="1" s="1"/>
  <c r="WK353" i="1"/>
  <c r="WM353" i="1" s="1"/>
  <c r="WK295" i="1"/>
  <c r="WM295" i="1" s="1"/>
  <c r="WK264" i="1"/>
  <c r="WM264" i="1" s="1"/>
  <c r="WK237" i="1"/>
  <c r="WM237" i="1" s="1"/>
  <c r="WM208" i="1"/>
  <c r="WM155" i="1"/>
  <c r="WK128" i="1"/>
  <c r="WM128" i="1" s="1"/>
  <c r="WK97" i="1"/>
  <c r="WM97" i="1" s="1"/>
  <c r="WK48" i="1"/>
  <c r="WM48" i="1" s="1"/>
  <c r="WK21" i="1"/>
  <c r="WM21" i="1" s="1"/>
  <c r="WB426" i="1"/>
  <c r="WD426" i="1" s="1"/>
  <c r="WB402" i="1"/>
  <c r="WD402" i="1" s="1"/>
  <c r="WB381" i="1"/>
  <c r="WD381" i="1" s="1"/>
  <c r="WB333" i="1"/>
  <c r="WD333" i="1" s="1"/>
  <c r="WB313" i="1"/>
  <c r="WD313" i="1" s="1"/>
  <c r="WB262" i="1"/>
  <c r="WD262" i="1" s="1"/>
  <c r="WB244" i="1"/>
  <c r="WD244" i="1" s="1"/>
  <c r="WB222" i="1"/>
  <c r="WD222" i="1" s="1"/>
  <c r="WB202" i="1"/>
  <c r="WD202" i="1" s="1"/>
  <c r="WB156" i="1"/>
  <c r="WD156" i="1" s="1"/>
  <c r="WB131" i="1"/>
  <c r="WD131" i="1" s="1"/>
  <c r="WB114" i="1"/>
  <c r="WD114" i="1" s="1"/>
  <c r="WB91" i="1"/>
  <c r="WD91" i="1" s="1"/>
  <c r="WB53" i="1"/>
  <c r="WD53" i="1" s="1"/>
  <c r="WB34" i="1"/>
  <c r="WD34" i="1" s="1"/>
  <c r="WB14" i="1"/>
  <c r="WD14" i="1" s="1"/>
  <c r="XC138" i="1"/>
  <c r="XE138" i="1" s="1"/>
  <c r="XC53" i="1"/>
  <c r="XE53" i="1" s="1"/>
  <c r="WT375" i="1"/>
  <c r="WV375" i="1" s="1"/>
  <c r="WT254" i="1"/>
  <c r="WT139" i="1"/>
  <c r="WV139" i="1" s="1"/>
  <c r="WT66" i="1"/>
  <c r="WV66" i="1" s="1"/>
  <c r="WK376" i="1"/>
  <c r="WM376" i="1" s="1"/>
  <c r="WK319" i="1"/>
  <c r="WM319" i="1" s="1"/>
  <c r="WK232" i="1"/>
  <c r="WM232" i="1" s="1"/>
  <c r="WM154" i="1"/>
  <c r="WK68" i="1"/>
  <c r="WM68" i="1" s="1"/>
  <c r="WK20" i="1"/>
  <c r="WM20" i="1" s="1"/>
  <c r="WB401" i="1"/>
  <c r="WD401" i="1" s="1"/>
  <c r="WB331" i="1"/>
  <c r="WD331" i="1" s="1"/>
  <c r="WB261" i="1"/>
  <c r="WD261" i="1" s="1"/>
  <c r="WB221" i="1"/>
  <c r="WD221" i="1" s="1"/>
  <c r="WB177" i="1"/>
  <c r="WD177" i="1" s="1"/>
  <c r="WB112" i="1"/>
  <c r="WB52" i="1"/>
  <c r="WD52" i="1" s="1"/>
  <c r="WB13" i="1"/>
  <c r="WD13" i="1" s="1"/>
  <c r="XC52" i="1"/>
  <c r="XE52" i="1" s="1"/>
  <c r="WT405" i="1"/>
  <c r="WV405" i="1" s="1"/>
  <c r="WT325" i="1"/>
  <c r="WV174" i="1"/>
  <c r="WT18" i="1"/>
  <c r="WV18" i="1" s="1"/>
  <c r="WK350" i="1"/>
  <c r="WM350" i="1" s="1"/>
  <c r="WK262" i="1"/>
  <c r="WM262" i="1" s="1"/>
  <c r="WM206" i="1"/>
  <c r="WM151" i="1"/>
  <c r="WK67" i="1"/>
  <c r="WM67" i="1" s="1"/>
  <c r="WB306" i="1"/>
  <c r="WD306" i="1" s="1"/>
  <c r="WB260" i="1"/>
  <c r="WD260" i="1" s="1"/>
  <c r="WB129" i="1"/>
  <c r="WD129" i="1" s="1"/>
  <c r="WB31" i="1"/>
  <c r="WD31" i="1" s="1"/>
  <c r="XE212" i="1"/>
  <c r="XC14" i="1"/>
  <c r="XE14" i="1" s="1"/>
  <c r="WT283" i="1"/>
  <c r="WV283" i="1" s="1"/>
  <c r="WT17" i="1"/>
  <c r="WV17" i="1" s="1"/>
  <c r="WT361" i="1"/>
  <c r="XC405" i="1"/>
  <c r="XE405" i="1" s="1"/>
  <c r="XC315" i="1"/>
  <c r="XE315" i="1" s="1"/>
  <c r="XC270" i="1"/>
  <c r="XE270" i="1" s="1"/>
  <c r="XC236" i="1"/>
  <c r="XE236" i="1" s="1"/>
  <c r="XE198" i="1"/>
  <c r="XE165" i="1"/>
  <c r="XC118" i="1"/>
  <c r="XE118" i="1" s="1"/>
  <c r="XC80" i="1"/>
  <c r="XE80" i="1" s="1"/>
  <c r="XC47" i="1"/>
  <c r="XE47" i="1" s="1"/>
  <c r="WT355" i="1"/>
  <c r="WV355" i="1" s="1"/>
  <c r="WT307" i="1"/>
  <c r="WV307" i="1" s="1"/>
  <c r="WT277" i="1"/>
  <c r="WV277" i="1" s="1"/>
  <c r="WT232" i="1"/>
  <c r="WV232" i="1" s="1"/>
  <c r="WV201" i="1"/>
  <c r="WV156" i="1"/>
  <c r="WT133" i="1"/>
  <c r="WV133" i="1" s="1"/>
  <c r="WT85" i="1"/>
  <c r="WV85" i="1" s="1"/>
  <c r="WT51" i="1"/>
  <c r="WV51" i="1" s="1"/>
  <c r="WT10" i="1"/>
  <c r="WV10" i="1" s="1"/>
  <c r="WK397" i="1"/>
  <c r="WM397" i="1" s="1"/>
  <c r="WK369" i="1"/>
  <c r="WM369" i="1" s="1"/>
  <c r="WK337" i="1"/>
  <c r="WM337" i="1" s="1"/>
  <c r="WK304" i="1"/>
  <c r="WM304" i="1" s="1"/>
  <c r="WK280" i="1"/>
  <c r="WM280" i="1" s="1"/>
  <c r="WK248" i="1"/>
  <c r="WM248" i="1" s="1"/>
  <c r="WK223" i="1"/>
  <c r="WM223" i="1" s="1"/>
  <c r="WM193" i="1"/>
  <c r="WM170" i="1"/>
  <c r="WK139" i="1"/>
  <c r="WM139" i="1" s="1"/>
  <c r="WK114" i="1"/>
  <c r="WM114" i="1" s="1"/>
  <c r="WK82" i="1"/>
  <c r="WM82" i="1" s="1"/>
  <c r="WK63" i="1"/>
  <c r="WM63" i="1" s="1"/>
  <c r="WK35" i="1"/>
  <c r="WM35" i="1" s="1"/>
  <c r="WK13" i="1"/>
  <c r="WM13" i="1" s="1"/>
  <c r="WB414" i="1"/>
  <c r="WD414" i="1" s="1"/>
  <c r="WB389" i="1"/>
  <c r="WD389" i="1" s="1"/>
  <c r="WB370" i="1"/>
  <c r="WD370" i="1" s="1"/>
  <c r="WB345" i="1"/>
  <c r="WD345" i="1" s="1"/>
  <c r="WB301" i="1"/>
  <c r="WD301" i="1" s="1"/>
  <c r="WB274" i="1"/>
  <c r="WD274" i="1" s="1"/>
  <c r="WB233" i="1"/>
  <c r="WD233" i="1" s="1"/>
  <c r="WB209" i="1"/>
  <c r="WD209" i="1" s="1"/>
  <c r="WB192" i="1"/>
  <c r="WD192" i="1" s="1"/>
  <c r="WB167" i="1"/>
  <c r="WD167" i="1" s="1"/>
  <c r="WB124" i="1"/>
  <c r="WD124" i="1" s="1"/>
  <c r="WB102" i="1"/>
  <c r="WD102" i="1" s="1"/>
  <c r="WB83" i="1"/>
  <c r="WD83" i="1" s="1"/>
  <c r="WB63" i="1"/>
  <c r="WD63" i="1" s="1"/>
  <c r="WB46" i="1"/>
  <c r="WD46" i="1" s="1"/>
  <c r="WB24" i="1"/>
  <c r="WD24" i="1" s="1"/>
  <c r="WB8" i="1"/>
  <c r="WD8" i="1" s="1"/>
  <c r="XC402" i="1"/>
  <c r="XE402" i="1" s="1"/>
  <c r="XC310" i="1"/>
  <c r="XE310" i="1" s="1"/>
  <c r="XC269" i="1"/>
  <c r="XE269" i="1" s="1"/>
  <c r="XC234" i="1"/>
  <c r="XE234" i="1" s="1"/>
  <c r="XE196" i="1"/>
  <c r="XE153" i="1"/>
  <c r="XC117" i="1"/>
  <c r="XE117" i="1" s="1"/>
  <c r="XC79" i="1"/>
  <c r="XE79" i="1" s="1"/>
  <c r="WT354" i="1"/>
  <c r="WV354" i="1" s="1"/>
  <c r="WT306" i="1"/>
  <c r="WV306" i="1" s="1"/>
  <c r="WT273" i="1"/>
  <c r="WV273" i="1" s="1"/>
  <c r="WT230" i="1"/>
  <c r="WV230" i="1" s="1"/>
  <c r="WV200" i="1"/>
  <c r="WV153" i="1"/>
  <c r="WT125" i="1"/>
  <c r="WV125" i="1" s="1"/>
  <c r="WT84" i="1"/>
  <c r="WV84" i="1" s="1"/>
  <c r="WT44" i="1"/>
  <c r="WV44" i="1" s="1"/>
  <c r="WT7" i="1"/>
  <c r="WV7" i="1" s="1"/>
  <c r="WK366" i="1"/>
  <c r="WM366" i="1" s="1"/>
  <c r="WK336" i="1"/>
  <c r="WM336" i="1" s="1"/>
  <c r="WK302" i="1"/>
  <c r="WM302" i="1" s="1"/>
  <c r="WK278" i="1"/>
  <c r="WM278" i="1" s="1"/>
  <c r="WK247" i="1"/>
  <c r="WM247" i="1" s="1"/>
  <c r="WK221" i="1"/>
  <c r="WM221" i="1" s="1"/>
  <c r="WM192" i="1"/>
  <c r="WM169" i="1"/>
  <c r="WK138" i="1"/>
  <c r="WM138" i="1" s="1"/>
  <c r="WK81" i="1"/>
  <c r="WM81" i="1" s="1"/>
  <c r="WK60" i="1"/>
  <c r="WM60" i="1" s="1"/>
  <c r="WK33" i="1"/>
  <c r="WM33" i="1" s="1"/>
  <c r="WK7" i="1"/>
  <c r="WM7" i="1" s="1"/>
  <c r="XC362" i="1"/>
  <c r="XE362" i="1" s="1"/>
  <c r="XC242" i="1"/>
  <c r="XE242" i="1" s="1"/>
  <c r="XC122" i="1"/>
  <c r="XE122" i="1" s="1"/>
  <c r="XC8" i="1"/>
  <c r="XE8" i="1" s="1"/>
  <c r="WT319" i="1"/>
  <c r="WV319" i="1" s="1"/>
  <c r="WV202" i="1"/>
  <c r="WT90" i="1"/>
  <c r="WV90" i="1" s="1"/>
  <c r="WK340" i="1"/>
  <c r="WM340" i="1" s="1"/>
  <c r="WK259" i="1"/>
  <c r="WM259" i="1" s="1"/>
  <c r="WK92" i="1"/>
  <c r="WM92" i="1" s="1"/>
  <c r="WK16" i="1"/>
  <c r="WM16" i="1" s="1"/>
  <c r="WB388" i="1"/>
  <c r="WD388" i="1" s="1"/>
  <c r="WB327" i="1"/>
  <c r="WD327" i="1" s="1"/>
  <c r="WB275" i="1"/>
  <c r="WD275" i="1" s="1"/>
  <c r="WB166" i="1"/>
  <c r="WD166" i="1" s="1"/>
  <c r="WB104" i="1"/>
  <c r="WD104" i="1" s="1"/>
  <c r="WB62" i="1"/>
  <c r="WD62" i="1" s="1"/>
  <c r="WB10" i="1"/>
  <c r="WD10" i="1" s="1"/>
  <c r="XC239" i="1"/>
  <c r="XE239" i="1" s="1"/>
  <c r="XC120" i="1"/>
  <c r="XE120" i="1" s="1"/>
  <c r="WT88" i="1"/>
  <c r="WV88" i="1" s="1"/>
  <c r="WK339" i="1"/>
  <c r="WM339" i="1" s="1"/>
  <c r="WM173" i="1"/>
  <c r="WK84" i="1"/>
  <c r="WM84" i="1" s="1"/>
  <c r="WK15" i="1"/>
  <c r="WM15" i="1" s="1"/>
  <c r="WB374" i="1"/>
  <c r="WD374" i="1" s="1"/>
  <c r="WB273" i="1"/>
  <c r="WD273" i="1" s="1"/>
  <c r="WB153" i="1"/>
  <c r="WD153" i="1" s="1"/>
  <c r="WB103" i="1"/>
  <c r="WD103" i="1" s="1"/>
  <c r="WB50" i="1"/>
  <c r="WD50" i="1" s="1"/>
  <c r="WB9" i="1"/>
  <c r="WD9" i="1" s="1"/>
  <c r="WT86" i="1"/>
  <c r="WV86" i="1" s="1"/>
  <c r="WK409" i="1"/>
  <c r="WM409" i="1" s="1"/>
  <c r="WM172" i="1"/>
  <c r="WK83" i="1"/>
  <c r="WM83" i="1" s="1"/>
  <c r="WB373" i="1"/>
  <c r="WD373" i="1" s="1"/>
  <c r="WB259" i="1"/>
  <c r="WD259" i="1" s="1"/>
  <c r="WB208" i="1"/>
  <c r="WD208" i="1" s="1"/>
  <c r="WB151" i="1"/>
  <c r="WD151" i="1" s="1"/>
  <c r="WB101" i="1"/>
  <c r="WD101" i="1" s="1"/>
  <c r="WB49" i="1"/>
  <c r="WD49" i="1" s="1"/>
  <c r="WB7" i="1"/>
  <c r="WD7" i="1" s="1"/>
  <c r="WB29" i="1"/>
  <c r="WD29" i="1" s="1"/>
  <c r="WT281" i="1"/>
  <c r="WV281" i="1" s="1"/>
  <c r="WV162" i="1"/>
  <c r="WK407" i="1"/>
  <c r="WM407" i="1" s="1"/>
  <c r="WK227" i="1"/>
  <c r="WM227" i="1" s="1"/>
  <c r="WM171" i="1"/>
  <c r="WB372" i="1"/>
  <c r="WD372" i="1" s="1"/>
  <c r="WB319" i="1"/>
  <c r="WD319" i="1" s="1"/>
  <c r="WB258" i="1"/>
  <c r="WD258" i="1" s="1"/>
  <c r="WB195" i="1"/>
  <c r="WD195" i="1" s="1"/>
  <c r="WB88" i="1"/>
  <c r="WD88" i="1" s="1"/>
  <c r="WB48" i="1"/>
  <c r="WD48" i="1" s="1"/>
  <c r="XE203" i="1"/>
  <c r="XC95" i="1"/>
  <c r="XE95" i="1" s="1"/>
  <c r="WT401" i="1"/>
  <c r="WV401" i="1" s="1"/>
  <c r="WT278" i="1"/>
  <c r="WV278" i="1" s="1"/>
  <c r="WV159" i="1"/>
  <c r="WK315" i="1"/>
  <c r="WM315" i="1" s="1"/>
  <c r="WK226" i="1"/>
  <c r="WM226" i="1" s="1"/>
  <c r="WB368" i="1"/>
  <c r="WD368" i="1" s="1"/>
  <c r="WB304" i="1"/>
  <c r="WD304" i="1" s="1"/>
  <c r="WB256" i="1"/>
  <c r="WD256" i="1" s="1"/>
  <c r="WB194" i="1"/>
  <c r="WD194" i="1" s="1"/>
  <c r="WB87" i="1"/>
  <c r="WD87" i="1" s="1"/>
  <c r="WB44" i="1"/>
  <c r="WD44" i="1" s="1"/>
  <c r="WB219" i="1"/>
  <c r="WD219" i="1" s="1"/>
  <c r="XC317" i="1"/>
  <c r="XE317" i="1" s="1"/>
  <c r="XE200" i="1"/>
  <c r="XC89" i="1"/>
  <c r="XE89" i="1" s="1"/>
  <c r="WT397" i="1"/>
  <c r="WV397" i="1" s="1"/>
  <c r="WT59" i="1"/>
  <c r="WV59" i="1" s="1"/>
  <c r="WK314" i="1"/>
  <c r="WM314" i="1" s="1"/>
  <c r="WK224" i="1"/>
  <c r="WM224" i="1" s="1"/>
  <c r="WK66" i="1"/>
  <c r="WM66" i="1" s="1"/>
  <c r="WB417" i="1"/>
  <c r="WD417" i="1" s="1"/>
  <c r="WB303" i="1"/>
  <c r="WD303" i="1" s="1"/>
  <c r="WB193" i="1"/>
  <c r="WD193" i="1" s="1"/>
  <c r="WB141" i="1"/>
  <c r="WD141" i="1" s="1"/>
  <c r="WB85" i="1"/>
  <c r="WD85" i="1" s="1"/>
  <c r="WB64" i="1"/>
  <c r="WD64" i="1" s="1"/>
  <c r="WT56" i="1"/>
  <c r="WV56" i="1" s="1"/>
  <c r="WK373" i="1"/>
  <c r="WM373" i="1" s="1"/>
  <c r="WK312" i="1"/>
  <c r="WM312" i="1" s="1"/>
  <c r="WK65" i="1"/>
  <c r="WM65" i="1" s="1"/>
  <c r="WB416" i="1"/>
  <c r="WD416" i="1" s="1"/>
  <c r="WB302" i="1"/>
  <c r="WD302" i="1" s="1"/>
  <c r="WB190" i="1"/>
  <c r="WD190" i="1" s="1"/>
  <c r="WB128" i="1"/>
  <c r="WD128" i="1" s="1"/>
  <c r="WB80" i="1"/>
  <c r="WD80" i="1" s="1"/>
  <c r="XC425" i="1"/>
  <c r="XE425" i="1" s="1"/>
  <c r="WT242" i="1"/>
  <c r="WV242" i="1" s="1"/>
  <c r="WT136" i="1"/>
  <c r="WV136" i="1" s="1"/>
  <c r="WK371" i="1"/>
  <c r="WM371" i="1" s="1"/>
  <c r="WK118" i="1"/>
  <c r="WM118" i="1" s="1"/>
  <c r="WK64" i="1"/>
  <c r="WM64" i="1" s="1"/>
  <c r="WB415" i="1"/>
  <c r="WD415" i="1" s="1"/>
  <c r="WB348" i="1"/>
  <c r="WD348" i="1" s="1"/>
  <c r="WB300" i="1"/>
  <c r="WD300" i="1" s="1"/>
  <c r="WB236" i="1"/>
  <c r="WD236" i="1" s="1"/>
  <c r="WB127" i="1"/>
  <c r="WD127" i="1" s="1"/>
  <c r="WK282" i="1"/>
  <c r="WM282" i="1" s="1"/>
  <c r="XC417" i="1"/>
  <c r="XE417" i="1" s="1"/>
  <c r="XC273" i="1"/>
  <c r="XE273" i="1" s="1"/>
  <c r="XE168" i="1"/>
  <c r="XC49" i="1"/>
  <c r="XE49" i="1" s="1"/>
  <c r="WT234" i="1"/>
  <c r="WV234" i="1" s="1"/>
  <c r="WT135" i="1"/>
  <c r="WV135" i="1" s="1"/>
  <c r="WK370" i="1"/>
  <c r="WM370" i="1" s="1"/>
  <c r="WM205" i="1"/>
  <c r="WK116" i="1"/>
  <c r="WM116" i="1" s="1"/>
  <c r="WB413" i="1"/>
  <c r="WD413" i="1" s="1"/>
  <c r="WB347" i="1"/>
  <c r="WD347" i="1" s="1"/>
  <c r="WB235" i="1"/>
  <c r="WD235" i="1" s="1"/>
  <c r="WB126" i="1"/>
  <c r="WD126" i="1" s="1"/>
  <c r="WB26" i="1"/>
  <c r="WD26" i="1" s="1"/>
  <c r="XC271" i="1"/>
  <c r="XE271" i="1" s="1"/>
  <c r="XE167" i="1"/>
  <c r="XC48" i="1"/>
  <c r="XE48" i="1" s="1"/>
  <c r="WT134" i="1"/>
  <c r="WV134" i="1" s="1"/>
  <c r="WT16" i="1"/>
  <c r="WV16" i="1" s="1"/>
  <c r="WK284" i="1"/>
  <c r="WM284" i="1" s="1"/>
  <c r="WM202" i="1"/>
  <c r="WK115" i="1"/>
  <c r="WM115" i="1" s="1"/>
  <c r="WB397" i="1"/>
  <c r="WD397" i="1" s="1"/>
  <c r="WB346" i="1"/>
  <c r="WD346" i="1" s="1"/>
  <c r="WB234" i="1"/>
  <c r="WD234" i="1" s="1"/>
  <c r="WB170" i="1"/>
  <c r="WD170" i="1" s="1"/>
  <c r="WB119" i="1"/>
  <c r="WD119" i="1" s="1"/>
  <c r="WB68" i="1"/>
  <c r="WD68" i="1" s="1"/>
  <c r="WB25" i="1"/>
  <c r="WD25" i="1" s="1"/>
  <c r="WK346" i="1"/>
  <c r="WM346" i="1" s="1"/>
  <c r="WB168" i="1"/>
  <c r="WD168" i="1" s="1"/>
  <c r="WB11" i="1"/>
  <c r="WD11" i="1" s="1"/>
  <c r="WT15" i="1"/>
  <c r="WV15" i="1" s="1"/>
  <c r="WK283" i="1"/>
  <c r="WM283" i="1" s="1"/>
  <c r="WM194" i="1"/>
  <c r="WK36" i="1"/>
  <c r="WM36" i="1" s="1"/>
  <c r="WB343" i="1"/>
  <c r="WD343" i="1" s="1"/>
  <c r="WB282" i="1"/>
  <c r="WD282" i="1" s="1"/>
  <c r="WB232" i="1"/>
  <c r="WD232" i="1" s="1"/>
  <c r="WB169" i="1"/>
  <c r="WD169" i="1" s="1"/>
  <c r="WB65" i="1"/>
  <c r="WD65" i="1" s="1"/>
  <c r="WB23" i="1"/>
  <c r="WD23" i="1" s="1"/>
  <c r="XC366" i="1"/>
  <c r="XE366" i="1" s="1"/>
  <c r="WV203" i="1"/>
  <c r="WK17" i="1"/>
  <c r="WM17" i="1" s="1"/>
  <c r="WB329" i="1"/>
  <c r="WD329" i="1" s="1"/>
  <c r="WB276" i="1"/>
  <c r="WD276" i="1" s="1"/>
  <c r="NB245" i="1"/>
  <c r="ND245" i="1" s="1"/>
  <c r="NB188" i="1"/>
  <c r="ND188" i="1" s="1"/>
  <c r="NB237" i="1"/>
  <c r="ND237" i="1" s="1"/>
  <c r="NB228" i="1"/>
  <c r="ND228" i="1" s="1"/>
  <c r="NB189" i="1"/>
  <c r="ND189" i="1" s="1"/>
  <c r="NB186" i="1"/>
  <c r="ND186" i="1" s="1"/>
  <c r="NB34" i="1"/>
  <c r="ND34" i="1" s="1"/>
  <c r="NB207" i="1"/>
  <c r="ND207" i="1" s="1"/>
  <c r="NB198" i="1"/>
  <c r="ND198" i="1" s="1"/>
  <c r="NB193" i="1"/>
  <c r="ND193" i="1" s="1"/>
  <c r="NB223" i="1"/>
  <c r="ND223" i="1" s="1"/>
  <c r="NB220" i="1"/>
  <c r="ND220" i="1" s="1"/>
  <c r="NB219" i="1"/>
  <c r="ND219" i="1" s="1"/>
  <c r="NB200" i="1"/>
  <c r="ND200" i="1" s="1"/>
  <c r="NB29" i="1"/>
  <c r="ND29" i="1" s="1"/>
  <c r="NB15" i="1"/>
  <c r="ND15" i="1" s="1"/>
  <c r="NB195" i="1"/>
  <c r="ND195" i="1" s="1"/>
  <c r="NB20" i="1"/>
  <c r="ND20" i="1" s="1"/>
  <c r="NB187" i="1"/>
  <c r="ND187" i="1" s="1"/>
  <c r="NB16" i="1"/>
  <c r="ND16" i="1" s="1"/>
  <c r="NB183" i="1"/>
  <c r="ND183" i="1" s="1"/>
  <c r="NB248" i="1"/>
  <c r="ND248" i="1" s="1"/>
  <c r="NB221" i="1"/>
  <c r="ND221" i="1" s="1"/>
  <c r="NB30" i="1"/>
  <c r="ND30" i="1" s="1"/>
  <c r="NB230" i="1"/>
  <c r="ND230" i="1" s="1"/>
  <c r="NB247" i="1"/>
  <c r="ND247" i="1" s="1"/>
  <c r="NB9" i="1"/>
  <c r="ND9" i="1" s="1"/>
  <c r="NB18" i="1"/>
  <c r="ND18" i="1" s="1"/>
  <c r="NB295" i="1"/>
  <c r="ND295" i="1" s="1"/>
  <c r="NB370" i="1"/>
  <c r="ND370" i="1" s="1"/>
  <c r="NB174" i="1"/>
  <c r="ND174" i="1" s="1"/>
  <c r="NB290" i="1"/>
  <c r="ND290" i="1" s="1"/>
  <c r="NB55" i="1"/>
  <c r="ND55" i="1" s="1"/>
  <c r="NB42" i="1"/>
  <c r="ND42" i="1" s="1"/>
  <c r="NB56" i="1"/>
  <c r="ND56" i="1" s="1"/>
  <c r="NB45" i="1"/>
  <c r="ND45" i="1" s="1"/>
  <c r="NB61" i="1"/>
  <c r="ND61" i="1" s="1"/>
  <c r="NB50" i="1"/>
  <c r="ND50" i="1" s="1"/>
  <c r="NB66" i="1"/>
  <c r="ND66" i="1" s="1"/>
  <c r="NB43" i="1"/>
  <c r="ND43" i="1" s="1"/>
  <c r="NB59" i="1"/>
  <c r="ND59" i="1" s="1"/>
  <c r="NB44" i="1"/>
  <c r="ND44" i="1" s="1"/>
  <c r="NB60" i="1"/>
  <c r="ND60" i="1" s="1"/>
  <c r="NB49" i="1"/>
  <c r="ND49" i="1" s="1"/>
  <c r="NB65" i="1"/>
  <c r="ND65" i="1" s="1"/>
  <c r="NB54" i="1"/>
  <c r="ND54" i="1" s="1"/>
  <c r="NB70" i="1"/>
  <c r="NB47" i="1"/>
  <c r="ND47" i="1" s="1"/>
  <c r="NB63" i="1"/>
  <c r="ND63" i="1" s="1"/>
  <c r="NB48" i="1"/>
  <c r="ND48" i="1" s="1"/>
  <c r="NB64" i="1"/>
  <c r="ND64" i="1" s="1"/>
  <c r="NB53" i="1"/>
  <c r="ND53" i="1" s="1"/>
  <c r="NB69" i="1"/>
  <c r="ND69" i="1" s="1"/>
  <c r="NB58" i="1"/>
  <c r="ND58" i="1" s="1"/>
  <c r="NB51" i="1"/>
  <c r="ND51" i="1" s="1"/>
  <c r="NB67" i="1"/>
  <c r="ND67" i="1" s="1"/>
  <c r="NB52" i="1"/>
  <c r="ND52" i="1" s="1"/>
  <c r="NB68" i="1"/>
  <c r="ND68" i="1" s="1"/>
  <c r="NB57" i="1"/>
  <c r="ND57" i="1" s="1"/>
  <c r="NB46" i="1"/>
  <c r="ND46" i="1" s="1"/>
  <c r="NB62" i="1"/>
  <c r="ND62" i="1" s="1"/>
  <c r="NB212" i="1"/>
  <c r="ND212" i="1" s="1"/>
  <c r="NB243" i="1"/>
  <c r="ND243" i="1" s="1"/>
  <c r="NB209" i="1"/>
  <c r="ND209" i="1" s="1"/>
  <c r="NB244" i="1"/>
  <c r="ND244" i="1" s="1"/>
  <c r="NB210" i="1"/>
  <c r="ND210" i="1" s="1"/>
  <c r="NB218" i="1"/>
  <c r="ND218" i="1" s="1"/>
  <c r="NB222" i="1"/>
  <c r="ND222" i="1" s="1"/>
  <c r="NB12" i="1"/>
  <c r="ND12" i="1" s="1"/>
  <c r="NB98" i="1"/>
  <c r="ND98" i="1" s="1"/>
  <c r="NB374" i="1"/>
  <c r="ND374" i="1" s="1"/>
  <c r="NB308" i="1"/>
  <c r="ND308" i="1" s="1"/>
  <c r="NB155" i="1"/>
  <c r="ND155" i="1" s="1"/>
  <c r="NB100" i="1"/>
  <c r="ND100" i="1" s="1"/>
  <c r="NB404" i="1"/>
  <c r="ND404" i="1" s="1"/>
  <c r="NB376" i="1"/>
  <c r="ND376" i="1" s="1"/>
  <c r="NB310" i="1"/>
  <c r="ND310" i="1" s="1"/>
  <c r="NB125" i="1"/>
  <c r="ND125" i="1" s="1"/>
  <c r="NB279" i="1"/>
  <c r="ND279" i="1" s="1"/>
  <c r="NB398" i="1"/>
  <c r="ND398" i="1" s="1"/>
  <c r="NB345" i="1"/>
  <c r="ND345" i="1" s="1"/>
  <c r="NB273" i="1"/>
  <c r="NB119" i="1"/>
  <c r="ND119" i="1" s="1"/>
  <c r="NB94" i="1"/>
  <c r="ND94" i="1" s="1"/>
  <c r="NB96" i="1"/>
  <c r="ND96" i="1" s="1"/>
  <c r="NB400" i="1"/>
  <c r="ND400" i="1" s="1"/>
  <c r="NB347" i="1"/>
  <c r="ND347" i="1" s="1"/>
  <c r="NB275" i="1"/>
  <c r="ND275" i="1" s="1"/>
  <c r="NB121" i="1"/>
  <c r="ND121" i="1" s="1"/>
  <c r="NB402" i="1"/>
  <c r="ND402" i="1" s="1"/>
  <c r="NB333" i="1"/>
  <c r="ND333" i="1" s="1"/>
  <c r="NB277" i="1"/>
  <c r="ND277" i="1" s="1"/>
  <c r="NB132" i="1"/>
  <c r="ND132" i="1" s="1"/>
  <c r="NB363" i="1"/>
  <c r="ND363" i="1" s="1"/>
  <c r="NB365" i="1"/>
  <c r="ND365" i="1" s="1"/>
  <c r="NB367" i="1"/>
  <c r="ND367" i="1" s="1"/>
  <c r="NB336" i="1"/>
  <c r="ND336" i="1" s="1"/>
  <c r="NB338" i="1"/>
  <c r="ND338" i="1" s="1"/>
  <c r="NB332" i="1"/>
  <c r="ND332" i="1" s="1"/>
  <c r="NB385" i="1"/>
  <c r="ND385" i="1" s="1"/>
  <c r="NB319" i="1"/>
  <c r="ND319" i="1" s="1"/>
  <c r="NB305" i="1"/>
  <c r="NB299" i="1"/>
  <c r="ND299" i="1" s="1"/>
  <c r="NB294" i="1"/>
  <c r="ND294" i="1" s="1"/>
  <c r="NB264" i="1"/>
  <c r="ND264" i="1" s="1"/>
  <c r="NB266" i="1"/>
  <c r="ND266" i="1" s="1"/>
  <c r="NB268" i="1"/>
  <c r="ND268" i="1" s="1"/>
  <c r="NB270" i="1"/>
  <c r="ND270" i="1" s="1"/>
  <c r="NB165" i="1"/>
  <c r="ND165" i="1" s="1"/>
  <c r="NB167" i="1"/>
  <c r="ND167" i="1" s="1"/>
  <c r="NB169" i="1"/>
  <c r="ND169" i="1" s="1"/>
  <c r="NB172" i="1"/>
  <c r="NB164" i="1"/>
  <c r="ND164" i="1" s="1"/>
  <c r="NB120" i="1"/>
  <c r="ND120" i="1" s="1"/>
  <c r="NB124" i="1"/>
  <c r="ND124" i="1" s="1"/>
  <c r="NB131" i="1"/>
  <c r="ND131" i="1" s="1"/>
  <c r="NB87" i="1"/>
  <c r="ND87" i="1" s="1"/>
  <c r="NB89" i="1"/>
  <c r="ND89" i="1" s="1"/>
  <c r="NB91" i="1"/>
  <c r="ND91" i="1" s="1"/>
  <c r="NB93" i="1"/>
  <c r="ND93" i="1" s="1"/>
  <c r="NB372" i="1"/>
  <c r="NB314" i="1"/>
  <c r="ND314" i="1" s="1"/>
  <c r="NB176" i="1"/>
  <c r="ND176" i="1" s="1"/>
  <c r="NB81" i="1"/>
  <c r="ND81" i="1" s="1"/>
  <c r="NB83" i="1"/>
  <c r="ND83" i="1" s="1"/>
  <c r="NB85" i="1"/>
  <c r="ND85" i="1" s="1"/>
  <c r="NB422" i="1"/>
  <c r="ND422" i="1" s="1"/>
  <c r="NB424" i="1"/>
  <c r="ND424" i="1" s="1"/>
  <c r="NB426" i="1"/>
  <c r="ND426" i="1" s="1"/>
  <c r="NB397" i="1"/>
  <c r="ND397" i="1" s="1"/>
  <c r="NB161" i="1"/>
  <c r="ND161" i="1" s="1"/>
  <c r="NB171" i="1"/>
  <c r="NB141" i="1"/>
  <c r="ND141" i="1" s="1"/>
  <c r="NB135" i="1"/>
  <c r="ND135" i="1" s="1"/>
  <c r="NB137" i="1"/>
  <c r="NB123" i="1"/>
  <c r="ND123" i="1" s="1"/>
  <c r="NB79" i="1"/>
  <c r="ND79" i="1" s="1"/>
  <c r="NB258" i="1"/>
  <c r="ND258" i="1" s="1"/>
  <c r="NB260" i="1"/>
  <c r="ND260" i="1" s="1"/>
  <c r="NB262" i="1"/>
  <c r="ND262" i="1" s="1"/>
  <c r="NB157" i="1"/>
  <c r="ND157" i="1" s="1"/>
  <c r="NB159" i="1"/>
  <c r="ND159" i="1" s="1"/>
  <c r="NB349" i="1"/>
  <c r="ND349" i="1" s="1"/>
  <c r="NB311" i="1"/>
  <c r="ND311" i="1" s="1"/>
  <c r="NB297" i="1"/>
  <c r="ND297" i="1" s="1"/>
  <c r="NB291" i="1"/>
  <c r="ND291" i="1" s="1"/>
  <c r="NB293" i="1"/>
  <c r="ND293" i="1" s="1"/>
  <c r="NB256" i="1"/>
  <c r="ND256" i="1" s="1"/>
  <c r="NB163" i="1"/>
  <c r="ND163" i="1" s="1"/>
  <c r="NB133" i="1"/>
  <c r="ND133" i="1" s="1"/>
  <c r="NB127" i="1"/>
  <c r="ND127" i="1" s="1"/>
  <c r="NB129" i="1"/>
  <c r="ND129" i="1" s="1"/>
  <c r="NB115" i="1"/>
  <c r="ND115" i="1" s="1"/>
  <c r="NB102" i="1"/>
  <c r="ND102" i="1" s="1"/>
  <c r="NB104" i="1"/>
  <c r="NB106" i="1"/>
  <c r="ND106" i="1" s="1"/>
  <c r="NB77" i="1"/>
  <c r="ND77" i="1" s="1"/>
  <c r="NB414" i="1"/>
  <c r="ND414" i="1" s="1"/>
  <c r="NB416" i="1"/>
  <c r="ND416" i="1" s="1"/>
  <c r="NB418" i="1"/>
  <c r="ND418" i="1" s="1"/>
  <c r="NB420" i="1"/>
  <c r="ND420" i="1" s="1"/>
  <c r="NB386" i="1"/>
  <c r="ND386" i="1" s="1"/>
  <c r="NB388" i="1"/>
  <c r="ND388" i="1" s="1"/>
  <c r="NB390" i="1"/>
  <c r="ND390" i="1" s="1"/>
  <c r="NB328" i="1"/>
  <c r="ND328" i="1" s="1"/>
  <c r="NB330" i="1"/>
  <c r="ND330" i="1" s="1"/>
  <c r="NB369" i="1"/>
  <c r="ND369" i="1" s="1"/>
  <c r="NK196" i="1"/>
  <c r="NM196" i="1" s="1"/>
  <c r="NK204" i="1"/>
  <c r="NK235" i="1"/>
  <c r="NM235" i="1" s="1"/>
  <c r="NK227" i="1"/>
  <c r="NM227" i="1" s="1"/>
  <c r="NK193" i="1"/>
  <c r="NM193" i="1" s="1"/>
  <c r="NK223" i="1"/>
  <c r="NM223" i="1" s="1"/>
  <c r="NK205" i="1"/>
  <c r="NK10" i="1"/>
  <c r="NM10" i="1" s="1"/>
  <c r="NK22" i="1"/>
  <c r="NM22" i="1" s="1"/>
  <c r="NK30" i="1"/>
  <c r="NM30" i="1" s="1"/>
  <c r="NK11" i="1"/>
  <c r="NM11" i="1" s="1"/>
  <c r="NK23" i="1"/>
  <c r="NM23" i="1" s="1"/>
  <c r="NK35" i="1"/>
  <c r="NM35" i="1" s="1"/>
  <c r="NK16" i="1"/>
  <c r="NM16" i="1" s="1"/>
  <c r="NK24" i="1"/>
  <c r="NM24" i="1" s="1"/>
  <c r="NK36" i="1"/>
  <c r="NM36" i="1" s="1"/>
  <c r="NK17" i="1"/>
  <c r="NM17" i="1" s="1"/>
  <c r="NK29" i="1"/>
  <c r="NM29" i="1" s="1"/>
  <c r="NK192" i="1"/>
  <c r="NM192" i="1" s="1"/>
  <c r="NK208" i="1"/>
  <c r="NM208" i="1" s="1"/>
  <c r="NK219" i="1"/>
  <c r="NM219" i="1" s="1"/>
  <c r="NK201" i="1"/>
  <c r="NM201" i="1" s="1"/>
  <c r="NK209" i="1"/>
  <c r="NM209" i="1" s="1"/>
  <c r="NK239" i="1"/>
  <c r="NK231" i="1"/>
  <c r="NM231" i="1" s="1"/>
  <c r="NK183" i="1"/>
  <c r="NM183" i="1" s="1"/>
  <c r="NK18" i="1"/>
  <c r="NM18" i="1" s="1"/>
  <c r="NK34" i="1"/>
  <c r="NM34" i="1" s="1"/>
  <c r="NK15" i="1"/>
  <c r="NM15" i="1" s="1"/>
  <c r="NK27" i="1"/>
  <c r="NM27" i="1" s="1"/>
  <c r="NK8" i="1"/>
  <c r="NM8" i="1" s="1"/>
  <c r="NK12" i="1"/>
  <c r="NM12" i="1" s="1"/>
  <c r="NK28" i="1"/>
  <c r="NM28" i="1" s="1"/>
  <c r="NK9" i="1"/>
  <c r="NM9" i="1" s="1"/>
  <c r="NK21" i="1"/>
  <c r="NM21" i="1" s="1"/>
  <c r="NK33" i="1"/>
  <c r="NM33" i="1" s="1"/>
  <c r="NK7" i="1"/>
  <c r="NM7" i="1" s="1"/>
  <c r="NK19" i="1"/>
  <c r="NM19" i="1" s="1"/>
  <c r="NK31" i="1"/>
  <c r="NM31" i="1" s="1"/>
  <c r="NK20" i="1"/>
  <c r="NM20" i="1" s="1"/>
  <c r="NK32" i="1"/>
  <c r="NM32" i="1" s="1"/>
  <c r="NK13" i="1"/>
  <c r="NM13" i="1" s="1"/>
  <c r="NK25" i="1"/>
  <c r="NM25" i="1" s="1"/>
  <c r="NK189" i="1"/>
  <c r="NM189" i="1" s="1"/>
  <c r="NK188" i="1"/>
  <c r="NM188" i="1" s="1"/>
  <c r="NK200" i="1"/>
  <c r="NM200" i="1" s="1"/>
  <c r="NK212" i="1"/>
  <c r="NM212" i="1" s="1"/>
  <c r="NK185" i="1"/>
  <c r="NM185" i="1" s="1"/>
  <c r="NK243" i="1"/>
  <c r="NM243" i="1" s="1"/>
  <c r="NK197" i="1"/>
  <c r="NM197" i="1" s="1"/>
  <c r="NK247" i="1"/>
  <c r="NM247" i="1" s="1"/>
  <c r="NK14" i="1"/>
  <c r="NM14" i="1" s="1"/>
  <c r="NK26" i="1"/>
  <c r="NM26" i="1" s="1"/>
  <c r="NB168" i="1"/>
  <c r="ND168" i="1" s="1"/>
  <c r="NB117" i="1"/>
  <c r="ND117" i="1" s="1"/>
  <c r="NB112" i="1"/>
  <c r="ND112" i="1" s="1"/>
  <c r="NB113" i="1"/>
  <c r="ND113" i="1" s="1"/>
  <c r="NB138" i="1"/>
  <c r="NB86" i="1"/>
  <c r="ND86" i="1" s="1"/>
  <c r="NB316" i="1"/>
  <c r="ND316" i="1" s="1"/>
  <c r="NB317" i="1"/>
  <c r="ND317" i="1" s="1"/>
  <c r="NB281" i="1"/>
  <c r="ND281" i="1" s="1"/>
  <c r="NB283" i="1"/>
  <c r="ND283" i="1" s="1"/>
  <c r="NB90" i="1"/>
  <c r="ND90" i="1" s="1"/>
  <c r="NB149" i="1"/>
  <c r="ND149" i="1" s="1"/>
  <c r="NB151" i="1"/>
  <c r="ND151" i="1" s="1"/>
  <c r="NB153" i="1"/>
  <c r="ND153" i="1" s="1"/>
  <c r="NB92" i="1"/>
  <c r="ND92" i="1" s="1"/>
  <c r="NB406" i="1"/>
  <c r="ND406" i="1" s="1"/>
  <c r="NB408" i="1"/>
  <c r="ND408" i="1" s="1"/>
  <c r="NB410" i="1"/>
  <c r="ND410" i="1" s="1"/>
  <c r="NB412" i="1"/>
  <c r="ND412" i="1" s="1"/>
  <c r="NB378" i="1"/>
  <c r="ND378" i="1" s="1"/>
  <c r="NB88" i="1"/>
  <c r="ND88" i="1" s="1"/>
  <c r="NB380" i="1"/>
  <c r="ND380" i="1" s="1"/>
  <c r="NB382" i="1"/>
  <c r="ND382" i="1" s="1"/>
  <c r="NB384" i="1"/>
  <c r="ND384" i="1" s="1"/>
  <c r="NB353" i="1"/>
  <c r="ND353" i="1" s="1"/>
  <c r="NB355" i="1"/>
  <c r="ND355" i="1" s="1"/>
  <c r="NB341" i="1"/>
  <c r="ND341" i="1" s="1"/>
  <c r="NB303" i="1"/>
  <c r="ND303" i="1" s="1"/>
  <c r="NB335" i="1"/>
  <c r="ND335" i="1" s="1"/>
  <c r="NB351" i="1"/>
  <c r="ND351" i="1" s="1"/>
  <c r="NB254" i="1"/>
  <c r="ND254" i="1" s="1"/>
  <c r="LI45" i="1"/>
  <c r="LI55" i="1"/>
  <c r="LI49" i="1"/>
  <c r="LI54" i="1"/>
  <c r="LI48" i="1"/>
  <c r="LI53" i="1"/>
  <c r="LI70" i="1"/>
  <c r="LI232" i="1"/>
  <c r="LI240" i="1"/>
  <c r="LI244" i="1"/>
  <c r="LI186" i="1"/>
  <c r="LI190" i="1"/>
  <c r="LI198" i="1"/>
  <c r="LI206" i="1"/>
  <c r="LI210" i="1"/>
  <c r="LI204" i="1"/>
  <c r="LI196" i="1"/>
  <c r="LI400" i="1"/>
  <c r="LI406" i="1"/>
  <c r="LI412" i="1"/>
  <c r="LI418" i="1"/>
  <c r="LI422" i="1"/>
  <c r="LI397" i="1"/>
  <c r="LI403" i="1"/>
  <c r="LI407" i="1"/>
  <c r="LI413" i="1"/>
  <c r="LI419" i="1"/>
  <c r="LI425" i="1"/>
  <c r="LI342" i="1"/>
  <c r="LI343" i="1"/>
  <c r="LI329" i="1"/>
  <c r="LI346" i="1"/>
  <c r="LI332" i="1"/>
  <c r="LI333" i="1"/>
  <c r="LI350" i="1"/>
  <c r="LI336" i="1"/>
  <c r="LI353" i="1"/>
  <c r="LI354" i="1"/>
  <c r="LI340" i="1"/>
  <c r="LI223" i="1"/>
  <c r="LI235" i="1"/>
  <c r="LI247" i="1"/>
  <c r="LI189" i="1"/>
  <c r="LI197" i="1"/>
  <c r="LI209" i="1"/>
  <c r="LI224" i="1"/>
  <c r="LI236" i="1"/>
  <c r="LI248" i="1"/>
  <c r="LI194" i="1"/>
  <c r="LI202" i="1"/>
  <c r="LI212" i="1"/>
  <c r="LI188" i="1"/>
  <c r="LI230" i="1"/>
  <c r="LI199" i="1"/>
  <c r="LI241" i="1"/>
  <c r="LI30" i="1"/>
  <c r="LI33" i="1"/>
  <c r="LI9" i="1"/>
  <c r="LI24" i="1"/>
  <c r="LI31" i="1"/>
  <c r="LI11" i="1"/>
  <c r="LI200" i="1"/>
  <c r="LI242" i="1"/>
  <c r="LI226" i="1"/>
  <c r="LI195" i="1"/>
  <c r="LI237" i="1"/>
  <c r="LI7" i="1"/>
  <c r="LI18" i="1"/>
  <c r="LI21" i="1"/>
  <c r="LI36" i="1"/>
  <c r="LI12" i="1"/>
  <c r="LI19" i="1"/>
  <c r="LI246" i="1"/>
  <c r="LI238" i="1"/>
  <c r="LI207" i="1"/>
  <c r="LI191" i="1"/>
  <c r="LI218" i="1"/>
  <c r="LI233" i="1"/>
  <c r="LI225" i="1"/>
  <c r="LI22" i="1"/>
  <c r="LI14" i="1"/>
  <c r="LI25" i="1"/>
  <c r="LI17" i="1"/>
  <c r="LI32" i="1"/>
  <c r="LI16" i="1"/>
  <c r="LI8" i="1"/>
  <c r="LI23" i="1"/>
  <c r="LI15" i="1"/>
  <c r="LI222" i="1"/>
  <c r="LI208" i="1"/>
  <c r="LI192" i="1"/>
  <c r="LI50" i="1"/>
  <c r="LI51" i="1"/>
  <c r="LI67" i="1"/>
  <c r="LI56" i="1"/>
  <c r="LI61" i="1"/>
  <c r="LI42" i="1"/>
  <c r="LI66" i="1"/>
  <c r="LI44" i="1"/>
  <c r="LI60" i="1"/>
  <c r="LI65" i="1"/>
  <c r="LI46" i="1"/>
  <c r="LI43" i="1"/>
  <c r="LI59" i="1"/>
  <c r="LI64" i="1"/>
  <c r="LI69" i="1"/>
  <c r="LI62" i="1"/>
  <c r="LI184" i="1"/>
  <c r="LI234" i="1"/>
  <c r="LI211" i="1"/>
  <c r="LI203" i="1"/>
  <c r="LI187" i="1"/>
  <c r="LI245" i="1"/>
  <c r="LI229" i="1"/>
  <c r="LI221" i="1"/>
  <c r="LI34" i="1"/>
  <c r="LI26" i="1"/>
  <c r="LI10" i="1"/>
  <c r="LI29" i="1"/>
  <c r="LI13" i="1"/>
  <c r="LI28" i="1"/>
  <c r="LI20" i="1"/>
  <c r="LI35" i="1"/>
  <c r="LI27" i="1"/>
  <c r="LI349" i="1"/>
  <c r="LI398" i="1"/>
  <c r="LI402" i="1"/>
  <c r="LI404" i="1"/>
  <c r="LI408" i="1"/>
  <c r="LI410" i="1"/>
  <c r="LI414" i="1"/>
  <c r="LI416" i="1"/>
  <c r="LI420" i="1"/>
  <c r="LI424" i="1"/>
  <c r="LI426" i="1"/>
  <c r="LI399" i="1"/>
  <c r="LI401" i="1"/>
  <c r="LI405" i="1"/>
  <c r="LI409" i="1"/>
  <c r="LI411" i="1"/>
  <c r="LI415" i="1"/>
  <c r="LI417" i="1"/>
  <c r="LI421" i="1"/>
  <c r="LI423" i="1"/>
  <c r="LI396" i="1"/>
  <c r="LI326" i="1"/>
  <c r="LI327" i="1"/>
  <c r="LI328" i="1"/>
  <c r="LI344" i="1"/>
  <c r="LI345" i="1"/>
  <c r="LI330" i="1"/>
  <c r="LI331" i="1"/>
  <c r="LI347" i="1"/>
  <c r="LI348" i="1"/>
  <c r="LI334" i="1"/>
  <c r="LI335" i="1"/>
  <c r="LI351" i="1"/>
  <c r="LI352" i="1"/>
  <c r="LI337" i="1"/>
  <c r="LI338" i="1"/>
  <c r="LI339" i="1"/>
  <c r="LI355" i="1"/>
  <c r="LI325" i="1"/>
  <c r="LI341" i="1"/>
  <c r="LI219" i="1"/>
  <c r="LI227" i="1"/>
  <c r="LI231" i="1"/>
  <c r="LI239" i="1"/>
  <c r="LI243" i="1"/>
  <c r="LI185" i="1"/>
  <c r="LI193" i="1"/>
  <c r="LI201" i="1"/>
  <c r="LI205" i="1"/>
  <c r="LI183" i="1"/>
  <c r="LI220" i="1"/>
  <c r="LI228" i="1"/>
  <c r="NK49" i="1"/>
  <c r="NM49" i="1" s="1"/>
  <c r="NK70" i="1"/>
  <c r="NK42" i="1"/>
  <c r="NK53" i="1"/>
  <c r="NM53" i="1" s="1"/>
  <c r="NK43" i="1"/>
  <c r="NM43" i="1" s="1"/>
  <c r="NK68" i="1"/>
  <c r="NM68" i="1" s="1"/>
  <c r="NK62" i="1"/>
  <c r="NM62" i="1" s="1"/>
  <c r="NK56" i="1"/>
  <c r="NM56" i="1" s="1"/>
  <c r="NK61" i="1"/>
  <c r="NM61" i="1" s="1"/>
  <c r="NK51" i="1"/>
  <c r="NM51" i="1" s="1"/>
  <c r="NK228" i="1"/>
  <c r="NM228" i="1" s="1"/>
  <c r="NK240" i="1"/>
  <c r="NM240" i="1" s="1"/>
  <c r="NK186" i="1"/>
  <c r="NM186" i="1" s="1"/>
  <c r="NK198" i="1"/>
  <c r="NM198" i="1" s="1"/>
  <c r="NK206" i="1"/>
  <c r="NM206" i="1" s="1"/>
  <c r="NK225" i="1"/>
  <c r="NM225" i="1" s="1"/>
  <c r="NK237" i="1"/>
  <c r="NM237" i="1" s="1"/>
  <c r="NK218" i="1"/>
  <c r="NM218" i="1" s="1"/>
  <c r="NK191" i="1"/>
  <c r="NM191" i="1" s="1"/>
  <c r="NK203" i="1"/>
  <c r="NM203" i="1" s="1"/>
  <c r="NK222" i="1"/>
  <c r="NK234" i="1"/>
  <c r="NM234" i="1" s="1"/>
  <c r="NK246" i="1"/>
  <c r="NM246" i="1" s="1"/>
  <c r="NK226" i="1"/>
  <c r="NM226" i="1" s="1"/>
  <c r="NK230" i="1"/>
  <c r="NM230" i="1" s="1"/>
  <c r="NK238" i="1"/>
  <c r="NK242" i="1"/>
  <c r="NM242" i="1" s="1"/>
  <c r="NK69" i="1"/>
  <c r="NM69" i="1" s="1"/>
  <c r="NK184" i="1"/>
  <c r="NM184" i="1" s="1"/>
  <c r="NK44" i="1"/>
  <c r="NM44" i="1" s="1"/>
  <c r="NK60" i="1"/>
  <c r="NM60" i="1" s="1"/>
  <c r="NK65" i="1"/>
  <c r="NM65" i="1" s="1"/>
  <c r="NK54" i="1"/>
  <c r="NM54" i="1" s="1"/>
  <c r="NK55" i="1"/>
  <c r="NM55" i="1" s="1"/>
  <c r="NK48" i="1"/>
  <c r="NM48" i="1" s="1"/>
  <c r="NK64" i="1"/>
  <c r="NM64" i="1" s="1"/>
  <c r="NK50" i="1"/>
  <c r="NM50" i="1" s="1"/>
  <c r="NK58" i="1"/>
  <c r="NM58" i="1" s="1"/>
  <c r="NK59" i="1"/>
  <c r="NM59" i="1" s="1"/>
  <c r="NK52" i="1"/>
  <c r="NM52" i="1" s="1"/>
  <c r="NK57" i="1"/>
  <c r="NM57" i="1" s="1"/>
  <c r="NK46" i="1"/>
  <c r="NM46" i="1" s="1"/>
  <c r="NK47" i="1"/>
  <c r="NM47" i="1" s="1"/>
  <c r="NK63" i="1"/>
  <c r="NM63" i="1" s="1"/>
  <c r="NK45" i="1"/>
  <c r="NM45" i="1" s="1"/>
  <c r="NK67" i="1"/>
  <c r="NM67" i="1" s="1"/>
  <c r="NK66" i="1"/>
  <c r="NM66" i="1" s="1"/>
  <c r="NK220" i="1"/>
  <c r="NM220" i="1" s="1"/>
  <c r="NK224" i="1"/>
  <c r="NM224" i="1" s="1"/>
  <c r="NK232" i="1"/>
  <c r="NM232" i="1" s="1"/>
  <c r="NK236" i="1"/>
  <c r="NM236" i="1" s="1"/>
  <c r="NK244" i="1"/>
  <c r="NM244" i="1" s="1"/>
  <c r="NK248" i="1"/>
  <c r="NM248" i="1" s="1"/>
  <c r="NK190" i="1"/>
  <c r="NM190" i="1" s="1"/>
  <c r="NK194" i="1"/>
  <c r="NM194" i="1" s="1"/>
  <c r="NK202" i="1"/>
  <c r="NM202" i="1" s="1"/>
  <c r="NK210" i="1"/>
  <c r="NM210" i="1" s="1"/>
  <c r="NK221" i="1"/>
  <c r="NM221" i="1" s="1"/>
  <c r="NK229" i="1"/>
  <c r="NM229" i="1" s="1"/>
  <c r="NK233" i="1"/>
  <c r="NM233" i="1" s="1"/>
  <c r="NK241" i="1"/>
  <c r="NM241" i="1" s="1"/>
  <c r="NK245" i="1"/>
  <c r="NM245" i="1" s="1"/>
  <c r="NK187" i="1"/>
  <c r="NK195" i="1"/>
  <c r="NM195" i="1" s="1"/>
  <c r="NK199" i="1"/>
  <c r="NM199" i="1" s="1"/>
  <c r="NK207" i="1"/>
  <c r="NM207" i="1" s="1"/>
  <c r="NK211" i="1"/>
  <c r="NM211" i="1" s="1"/>
  <c r="LI47" i="1"/>
  <c r="LI63" i="1"/>
  <c r="LI52" i="1"/>
  <c r="LI68" i="1"/>
  <c r="LI58" i="1"/>
  <c r="LI57" i="1"/>
  <c r="NK275" i="1"/>
  <c r="NM275" i="1" s="1"/>
  <c r="NK317" i="1"/>
  <c r="NM317" i="1" s="1"/>
  <c r="NK172" i="1"/>
  <c r="NK94" i="1"/>
  <c r="NM94" i="1" s="1"/>
  <c r="NK273" i="1"/>
  <c r="NK319" i="1"/>
  <c r="NM319" i="1" s="1"/>
  <c r="NK174" i="1"/>
  <c r="NM174" i="1" s="1"/>
  <c r="NK96" i="1"/>
  <c r="NM96" i="1" s="1"/>
  <c r="NK326" i="1"/>
  <c r="NM326" i="1" s="1"/>
  <c r="NK176" i="1"/>
  <c r="NM176" i="1" s="1"/>
  <c r="NK98" i="1"/>
  <c r="NM98" i="1" s="1"/>
  <c r="NK119" i="1"/>
  <c r="NM119" i="1" s="1"/>
  <c r="NK299" i="1"/>
  <c r="NM299" i="1" s="1"/>
  <c r="NK100" i="1"/>
  <c r="NM100" i="1" s="1"/>
  <c r="NK271" i="1"/>
  <c r="NM271" i="1" s="1"/>
  <c r="NK122" i="1"/>
  <c r="NM122" i="1" s="1"/>
  <c r="NK133" i="1"/>
  <c r="NM133" i="1" s="1"/>
  <c r="NB399" i="1"/>
  <c r="ND399" i="1" s="1"/>
  <c r="NB401" i="1"/>
  <c r="ND401" i="1" s="1"/>
  <c r="NB403" i="1"/>
  <c r="ND403" i="1" s="1"/>
  <c r="NB405" i="1"/>
  <c r="ND405" i="1" s="1"/>
  <c r="NB371" i="1"/>
  <c r="ND371" i="1" s="1"/>
  <c r="NB373" i="1"/>
  <c r="NB375" i="1"/>
  <c r="ND375" i="1" s="1"/>
  <c r="NB344" i="1"/>
  <c r="ND344" i="1" s="1"/>
  <c r="NB346" i="1"/>
  <c r="ND346" i="1" s="1"/>
  <c r="NB340" i="1"/>
  <c r="NB326" i="1"/>
  <c r="ND326" i="1" s="1"/>
  <c r="NB327" i="1"/>
  <c r="ND327" i="1" s="1"/>
  <c r="NB313" i="1"/>
  <c r="ND313" i="1" s="1"/>
  <c r="NB307" i="1"/>
  <c r="ND307" i="1" s="1"/>
  <c r="NB301" i="1"/>
  <c r="ND301" i="1" s="1"/>
  <c r="NB272" i="1"/>
  <c r="NB274" i="1"/>
  <c r="ND274" i="1" s="1"/>
  <c r="NB276" i="1"/>
  <c r="ND276" i="1" s="1"/>
  <c r="NB278" i="1"/>
  <c r="ND278" i="1" s="1"/>
  <c r="NB173" i="1"/>
  <c r="ND173" i="1" s="1"/>
  <c r="NB175" i="1"/>
  <c r="ND175" i="1" s="1"/>
  <c r="NB154" i="1"/>
  <c r="ND154" i="1" s="1"/>
  <c r="NB177" i="1"/>
  <c r="ND177" i="1" s="1"/>
  <c r="NB118" i="1"/>
  <c r="ND118" i="1" s="1"/>
  <c r="NB128" i="1"/>
  <c r="ND128" i="1" s="1"/>
  <c r="NB114" i="1"/>
  <c r="ND114" i="1" s="1"/>
  <c r="NB139" i="1"/>
  <c r="ND139" i="1" s="1"/>
  <c r="NB95" i="1"/>
  <c r="ND95" i="1" s="1"/>
  <c r="NB97" i="1"/>
  <c r="ND97" i="1" s="1"/>
  <c r="NB99" i="1"/>
  <c r="ND99" i="1" s="1"/>
  <c r="NB101" i="1"/>
  <c r="ND101" i="1" s="1"/>
  <c r="NB407" i="1"/>
  <c r="ND407" i="1" s="1"/>
  <c r="NB409" i="1"/>
  <c r="ND409" i="1" s="1"/>
  <c r="NB411" i="1"/>
  <c r="ND411" i="1" s="1"/>
  <c r="NB413" i="1"/>
  <c r="ND413" i="1" s="1"/>
  <c r="NB379" i="1"/>
  <c r="ND379" i="1" s="1"/>
  <c r="NB381" i="1"/>
  <c r="ND381" i="1" s="1"/>
  <c r="NB383" i="1"/>
  <c r="ND383" i="1" s="1"/>
  <c r="NB352" i="1"/>
  <c r="ND352" i="1" s="1"/>
  <c r="NB354" i="1"/>
  <c r="ND354" i="1" s="1"/>
  <c r="NB348" i="1"/>
  <c r="ND348" i="1" s="1"/>
  <c r="NB334" i="1"/>
  <c r="ND334" i="1" s="1"/>
  <c r="NB296" i="1"/>
  <c r="ND296" i="1" s="1"/>
  <c r="NB343" i="1"/>
  <c r="ND343" i="1" s="1"/>
  <c r="NB315" i="1"/>
  <c r="ND315" i="1" s="1"/>
  <c r="NB302" i="1"/>
  <c r="ND302" i="1" s="1"/>
  <c r="NB280" i="1"/>
  <c r="ND280" i="1" s="1"/>
  <c r="NB282" i="1"/>
  <c r="ND282" i="1" s="1"/>
  <c r="NB284" i="1"/>
  <c r="ND284" i="1" s="1"/>
  <c r="NB255" i="1"/>
  <c r="ND255" i="1" s="1"/>
  <c r="NB150" i="1"/>
  <c r="ND150" i="1" s="1"/>
  <c r="NB152" i="1"/>
  <c r="ND152" i="1" s="1"/>
  <c r="NB162" i="1"/>
  <c r="ND162" i="1" s="1"/>
  <c r="NB148" i="1"/>
  <c r="ND148" i="1" s="1"/>
  <c r="NB126" i="1"/>
  <c r="ND126" i="1" s="1"/>
  <c r="NB136" i="1"/>
  <c r="ND136" i="1" s="1"/>
  <c r="NB122" i="1"/>
  <c r="ND122" i="1" s="1"/>
  <c r="NB116" i="1"/>
  <c r="ND116" i="1" s="1"/>
  <c r="NB103" i="1"/>
  <c r="ND103" i="1" s="1"/>
  <c r="NB105" i="1"/>
  <c r="NB76" i="1"/>
  <c r="ND76" i="1" s="1"/>
  <c r="NB415" i="1"/>
  <c r="ND415" i="1" s="1"/>
  <c r="NB417" i="1"/>
  <c r="ND417" i="1" s="1"/>
  <c r="NB419" i="1"/>
  <c r="ND419" i="1" s="1"/>
  <c r="NB421" i="1"/>
  <c r="ND421" i="1" s="1"/>
  <c r="NB387" i="1"/>
  <c r="ND387" i="1" s="1"/>
  <c r="NB389" i="1"/>
  <c r="ND389" i="1" s="1"/>
  <c r="NB361" i="1"/>
  <c r="ND361" i="1" s="1"/>
  <c r="NB329" i="1"/>
  <c r="ND329" i="1" s="1"/>
  <c r="NB331" i="1"/>
  <c r="ND331" i="1" s="1"/>
  <c r="NB325" i="1"/>
  <c r="ND325" i="1" s="1"/>
  <c r="NB342" i="1"/>
  <c r="ND342" i="1" s="1"/>
  <c r="NB304" i="1"/>
  <c r="ND304" i="1" s="1"/>
  <c r="NB298" i="1"/>
  <c r="ND298" i="1" s="1"/>
  <c r="NB292" i="1"/>
  <c r="ND292" i="1" s="1"/>
  <c r="NB309" i="1"/>
  <c r="ND309" i="1" s="1"/>
  <c r="NB257" i="1"/>
  <c r="ND257" i="1" s="1"/>
  <c r="NB259" i="1"/>
  <c r="ND259" i="1" s="1"/>
  <c r="NB261" i="1"/>
  <c r="ND261" i="1" s="1"/>
  <c r="NB263" i="1"/>
  <c r="ND263" i="1" s="1"/>
  <c r="NB158" i="1"/>
  <c r="ND158" i="1" s="1"/>
  <c r="NB160" i="1"/>
  <c r="ND160" i="1" s="1"/>
  <c r="NB170" i="1"/>
  <c r="ND170" i="1" s="1"/>
  <c r="NB156" i="1"/>
  <c r="ND156" i="1" s="1"/>
  <c r="NB134" i="1"/>
  <c r="ND134" i="1" s="1"/>
  <c r="NB140" i="1"/>
  <c r="ND140" i="1" s="1"/>
  <c r="NB130" i="1"/>
  <c r="ND130" i="1" s="1"/>
  <c r="NB78" i="1"/>
  <c r="ND78" i="1" s="1"/>
  <c r="NB80" i="1"/>
  <c r="ND80" i="1" s="1"/>
  <c r="NB82" i="1"/>
  <c r="ND82" i="1" s="1"/>
  <c r="NB84" i="1"/>
  <c r="ND84" i="1" s="1"/>
  <c r="NB423" i="1"/>
  <c r="ND423" i="1" s="1"/>
  <c r="NB425" i="1"/>
  <c r="ND425" i="1" s="1"/>
  <c r="NB396" i="1"/>
  <c r="NB362" i="1"/>
  <c r="ND362" i="1" s="1"/>
  <c r="NB364" i="1"/>
  <c r="ND364" i="1" s="1"/>
  <c r="NB366" i="1"/>
  <c r="ND366" i="1" s="1"/>
  <c r="NB368" i="1"/>
  <c r="ND368" i="1" s="1"/>
  <c r="NB337" i="1"/>
  <c r="ND337" i="1" s="1"/>
  <c r="NB339" i="1"/>
  <c r="NB377" i="1"/>
  <c r="ND377" i="1" s="1"/>
  <c r="NB350" i="1"/>
  <c r="ND350" i="1" s="1"/>
  <c r="NB312" i="1"/>
  <c r="ND312" i="1" s="1"/>
  <c r="NB306" i="1"/>
  <c r="NB300" i="1"/>
  <c r="ND300" i="1" s="1"/>
  <c r="NB318" i="1"/>
  <c r="ND318" i="1" s="1"/>
  <c r="NB265" i="1"/>
  <c r="ND265" i="1" s="1"/>
  <c r="NB267" i="1"/>
  <c r="ND267" i="1" s="1"/>
  <c r="NB269" i="1"/>
  <c r="ND269" i="1" s="1"/>
  <c r="NB271" i="1"/>
  <c r="ND271" i="1" s="1"/>
  <c r="NB166" i="1"/>
  <c r="ND166" i="1" s="1"/>
  <c r="NK337" i="1"/>
  <c r="NM337" i="1" s="1"/>
  <c r="NK331" i="1"/>
  <c r="NM331" i="1" s="1"/>
  <c r="NK333" i="1"/>
  <c r="NM333" i="1" s="1"/>
  <c r="NK294" i="1"/>
  <c r="NM294" i="1" s="1"/>
  <c r="NK296" i="1"/>
  <c r="NM296" i="1" s="1"/>
  <c r="NK298" i="1"/>
  <c r="NM298" i="1" s="1"/>
  <c r="NK316" i="1"/>
  <c r="NM316" i="1" s="1"/>
  <c r="NK279" i="1"/>
  <c r="NM279" i="1" s="1"/>
  <c r="NK281" i="1"/>
  <c r="NM281" i="1" s="1"/>
  <c r="NK283" i="1"/>
  <c r="NM283" i="1" s="1"/>
  <c r="NK254" i="1"/>
  <c r="NK149" i="1"/>
  <c r="NM149" i="1" s="1"/>
  <c r="NK151" i="1"/>
  <c r="NM151" i="1" s="1"/>
  <c r="NK153" i="1"/>
  <c r="NM153" i="1" s="1"/>
  <c r="NK155" i="1"/>
  <c r="NM155" i="1" s="1"/>
  <c r="NK116" i="1"/>
  <c r="NM116" i="1" s="1"/>
  <c r="NK141" i="1"/>
  <c r="NM141" i="1" s="1"/>
  <c r="NK127" i="1"/>
  <c r="NM127" i="1" s="1"/>
  <c r="NK137" i="1"/>
  <c r="NK102" i="1"/>
  <c r="NM102" i="1" s="1"/>
  <c r="NK104" i="1"/>
  <c r="NK106" i="1"/>
  <c r="NM106" i="1" s="1"/>
  <c r="NK414" i="1"/>
  <c r="NM414" i="1" s="1"/>
  <c r="NK416" i="1"/>
  <c r="NM416" i="1" s="1"/>
  <c r="NK418" i="1"/>
  <c r="NM418" i="1" s="1"/>
  <c r="NK420" i="1"/>
  <c r="NM420" i="1" s="1"/>
  <c r="NK370" i="1"/>
  <c r="NM370" i="1" s="1"/>
  <c r="NK372" i="1"/>
  <c r="NK374" i="1"/>
  <c r="NM374" i="1" s="1"/>
  <c r="NK375" i="1"/>
  <c r="NM375" i="1" s="1"/>
  <c r="NK345" i="1"/>
  <c r="NM345" i="1" s="1"/>
  <c r="NK339" i="1"/>
  <c r="NK341" i="1"/>
  <c r="NM341" i="1" s="1"/>
  <c r="NK302" i="1"/>
  <c r="NM302" i="1" s="1"/>
  <c r="NK304" i="1"/>
  <c r="NM304" i="1" s="1"/>
  <c r="NK306" i="1"/>
  <c r="NK300" i="1"/>
  <c r="NM300" i="1" s="1"/>
  <c r="NK256" i="1"/>
  <c r="NM256" i="1" s="1"/>
  <c r="NK258" i="1"/>
  <c r="NM258" i="1" s="1"/>
  <c r="NK260" i="1"/>
  <c r="NM260" i="1" s="1"/>
  <c r="NK262" i="1"/>
  <c r="NM262" i="1" s="1"/>
  <c r="NK157" i="1"/>
  <c r="NM157" i="1" s="1"/>
  <c r="NK159" i="1"/>
  <c r="NM159" i="1" s="1"/>
  <c r="NK161" i="1"/>
  <c r="NM161" i="1" s="1"/>
  <c r="NK163" i="1"/>
  <c r="NM163" i="1" s="1"/>
  <c r="NK124" i="1"/>
  <c r="NM124" i="1" s="1"/>
  <c r="NK130" i="1"/>
  <c r="NM130" i="1" s="1"/>
  <c r="NK135" i="1"/>
  <c r="NM135" i="1" s="1"/>
  <c r="NK77" i="1"/>
  <c r="NM77" i="1" s="1"/>
  <c r="NK79" i="1"/>
  <c r="NM79" i="1" s="1"/>
  <c r="NK81" i="1"/>
  <c r="NM81" i="1" s="1"/>
  <c r="NK83" i="1"/>
  <c r="NM83" i="1" s="1"/>
  <c r="NK422" i="1"/>
  <c r="NM422" i="1" s="1"/>
  <c r="NK424" i="1"/>
  <c r="NM424" i="1" s="1"/>
  <c r="NK426" i="1"/>
  <c r="NM426" i="1" s="1"/>
  <c r="NK368" i="1"/>
  <c r="NM368" i="1" s="1"/>
  <c r="NK378" i="1"/>
  <c r="NM378" i="1" s="1"/>
  <c r="NK380" i="1"/>
  <c r="NM380" i="1" s="1"/>
  <c r="NK382" i="1"/>
  <c r="NM382" i="1" s="1"/>
  <c r="NK328" i="1"/>
  <c r="NM328" i="1" s="1"/>
  <c r="NK353" i="1"/>
  <c r="NM353" i="1" s="1"/>
  <c r="NK347" i="1"/>
  <c r="NM347" i="1" s="1"/>
  <c r="NK349" i="1"/>
  <c r="NM349" i="1" s="1"/>
  <c r="NK310" i="1"/>
  <c r="NM310" i="1" s="1"/>
  <c r="NK312" i="1"/>
  <c r="NM312" i="1" s="1"/>
  <c r="NK314" i="1"/>
  <c r="NM314" i="1" s="1"/>
  <c r="NK307" i="1"/>
  <c r="NM307" i="1" s="1"/>
  <c r="NK264" i="1"/>
  <c r="NM264" i="1" s="1"/>
  <c r="NK266" i="1"/>
  <c r="NM266" i="1" s="1"/>
  <c r="NK268" i="1"/>
  <c r="NM268" i="1" s="1"/>
  <c r="NK270" i="1"/>
  <c r="NM270" i="1" s="1"/>
  <c r="NK165" i="1"/>
  <c r="NM165" i="1" s="1"/>
  <c r="NK167" i="1"/>
  <c r="NM167" i="1" s="1"/>
  <c r="NK169" i="1"/>
  <c r="NM169" i="1" s="1"/>
  <c r="NK171" i="1"/>
  <c r="NK132" i="1"/>
  <c r="NM132" i="1" s="1"/>
  <c r="NK118" i="1"/>
  <c r="NM118" i="1" s="1"/>
  <c r="NK120" i="1"/>
  <c r="NM120" i="1" s="1"/>
  <c r="NK85" i="1"/>
  <c r="NM85" i="1" s="1"/>
  <c r="NK87" i="1"/>
  <c r="NM87" i="1" s="1"/>
  <c r="NK89" i="1"/>
  <c r="NM89" i="1" s="1"/>
  <c r="NK91" i="1"/>
  <c r="NM91" i="1" s="1"/>
  <c r="NK325" i="1"/>
  <c r="NK277" i="1"/>
  <c r="NM277" i="1" s="1"/>
  <c r="NK129" i="1"/>
  <c r="NM129" i="1" s="1"/>
  <c r="NK114" i="1"/>
  <c r="NM114" i="1" s="1"/>
  <c r="NK86" i="1"/>
  <c r="NM86" i="1" s="1"/>
  <c r="NK90" i="1"/>
  <c r="NM90" i="1" s="1"/>
  <c r="NK398" i="1"/>
  <c r="NM398" i="1" s="1"/>
  <c r="NK402" i="1"/>
  <c r="NM402" i="1" s="1"/>
  <c r="NK385" i="1"/>
  <c r="NM385" i="1" s="1"/>
  <c r="NK389" i="1"/>
  <c r="NM389" i="1" s="1"/>
  <c r="NK329" i="1"/>
  <c r="NM329" i="1" s="1"/>
  <c r="NK406" i="1"/>
  <c r="NM406" i="1" s="1"/>
  <c r="NK410" i="1"/>
  <c r="NM410" i="1" s="1"/>
  <c r="NK362" i="1"/>
  <c r="NM362" i="1" s="1"/>
  <c r="NK366" i="1"/>
  <c r="NM366" i="1" s="1"/>
  <c r="NK351" i="1"/>
  <c r="NM351" i="1" s="1"/>
  <c r="NK121" i="1"/>
  <c r="NM121" i="1" s="1"/>
  <c r="NK88" i="1"/>
  <c r="NM88" i="1" s="1"/>
  <c r="NK92" i="1"/>
  <c r="NM92" i="1" s="1"/>
  <c r="NK400" i="1"/>
  <c r="NM400" i="1" s="1"/>
  <c r="NK404" i="1"/>
  <c r="NM404" i="1" s="1"/>
  <c r="NK387" i="1"/>
  <c r="NM387" i="1" s="1"/>
  <c r="NK343" i="1"/>
  <c r="NM343" i="1" s="1"/>
  <c r="NK354" i="1"/>
  <c r="NM354" i="1" s="1"/>
  <c r="NK408" i="1"/>
  <c r="NM408" i="1" s="1"/>
  <c r="NK412" i="1"/>
  <c r="NM412" i="1" s="1"/>
  <c r="NK364" i="1"/>
  <c r="NM364" i="1" s="1"/>
  <c r="NK173" i="1"/>
  <c r="NM173" i="1" s="1"/>
  <c r="NK175" i="1"/>
  <c r="NM175" i="1" s="1"/>
  <c r="NK177" i="1"/>
  <c r="NM177" i="1" s="1"/>
  <c r="NK115" i="1"/>
  <c r="NM115" i="1" s="1"/>
  <c r="NK140" i="1"/>
  <c r="NM140" i="1" s="1"/>
  <c r="NK126" i="1"/>
  <c r="NM126" i="1" s="1"/>
  <c r="NK128" i="1"/>
  <c r="NM128" i="1" s="1"/>
  <c r="NK93" i="1"/>
  <c r="NM93" i="1" s="1"/>
  <c r="NK95" i="1"/>
  <c r="NM95" i="1" s="1"/>
  <c r="NK97" i="1"/>
  <c r="NM97" i="1" s="1"/>
  <c r="NK99" i="1"/>
  <c r="NM99" i="1" s="1"/>
  <c r="NK405" i="1"/>
  <c r="NM405" i="1" s="1"/>
  <c r="NK407" i="1"/>
  <c r="NM407" i="1" s="1"/>
  <c r="NK409" i="1"/>
  <c r="NM409" i="1" s="1"/>
  <c r="NK411" i="1"/>
  <c r="NM411" i="1" s="1"/>
  <c r="NK384" i="1"/>
  <c r="NM384" i="1" s="1"/>
  <c r="NK363" i="1"/>
  <c r="NM363" i="1" s="1"/>
  <c r="NK365" i="1"/>
  <c r="NM365" i="1" s="1"/>
  <c r="NK367" i="1"/>
  <c r="NM367" i="1" s="1"/>
  <c r="NK344" i="1"/>
  <c r="NM344" i="1" s="1"/>
  <c r="NK330" i="1"/>
  <c r="NM330" i="1" s="1"/>
  <c r="NK332" i="1"/>
  <c r="NM332" i="1" s="1"/>
  <c r="NK293" i="1"/>
  <c r="NM293" i="1" s="1"/>
  <c r="NK295" i="1"/>
  <c r="NM295" i="1" s="1"/>
  <c r="NK297" i="1"/>
  <c r="NM297" i="1" s="1"/>
  <c r="NK291" i="1"/>
  <c r="NM291" i="1" s="1"/>
  <c r="NK315" i="1"/>
  <c r="NM315" i="1" s="1"/>
  <c r="NK280" i="1"/>
  <c r="NM280" i="1" s="1"/>
  <c r="NK282" i="1"/>
  <c r="NM282" i="1" s="1"/>
  <c r="NK284" i="1"/>
  <c r="NM284" i="1" s="1"/>
  <c r="NK148" i="1"/>
  <c r="NM148" i="1" s="1"/>
  <c r="NK150" i="1"/>
  <c r="NM150" i="1" s="1"/>
  <c r="NK152" i="1"/>
  <c r="NM152" i="1" s="1"/>
  <c r="NK154" i="1"/>
  <c r="NM154" i="1" s="1"/>
  <c r="NK123" i="1"/>
  <c r="NM123" i="1" s="1"/>
  <c r="NK138" i="1"/>
  <c r="NK134" i="1"/>
  <c r="NM134" i="1" s="1"/>
  <c r="NK136" i="1"/>
  <c r="NM136" i="1" s="1"/>
  <c r="NK101" i="1"/>
  <c r="NM101" i="1" s="1"/>
  <c r="NK103" i="1"/>
  <c r="NM103" i="1" s="1"/>
  <c r="NK105" i="1"/>
  <c r="NK76" i="1"/>
  <c r="NK413" i="1"/>
  <c r="NM413" i="1" s="1"/>
  <c r="NK415" i="1"/>
  <c r="NM415" i="1" s="1"/>
  <c r="NK417" i="1"/>
  <c r="NM417" i="1" s="1"/>
  <c r="NK419" i="1"/>
  <c r="NM419" i="1" s="1"/>
  <c r="NK369" i="1"/>
  <c r="NM369" i="1" s="1"/>
  <c r="NK371" i="1"/>
  <c r="NM371" i="1" s="1"/>
  <c r="NK373" i="1"/>
  <c r="NK327" i="1"/>
  <c r="NM327" i="1" s="1"/>
  <c r="NK352" i="1"/>
  <c r="NM352" i="1" s="1"/>
  <c r="NK338" i="1"/>
  <c r="NM338" i="1" s="1"/>
  <c r="NK340" i="1"/>
  <c r="NK301" i="1"/>
  <c r="NM301" i="1" s="1"/>
  <c r="NK303" i="1"/>
  <c r="NM303" i="1" s="1"/>
  <c r="NK305" i="1"/>
  <c r="NK342" i="1"/>
  <c r="NM342" i="1" s="1"/>
  <c r="NK255" i="1"/>
  <c r="NM255" i="1" s="1"/>
  <c r="NK257" i="1"/>
  <c r="NM257" i="1" s="1"/>
  <c r="NK259" i="1"/>
  <c r="NM259" i="1" s="1"/>
  <c r="NK261" i="1"/>
  <c r="NM261" i="1" s="1"/>
  <c r="NK156" i="1"/>
  <c r="NM156" i="1" s="1"/>
  <c r="NK158" i="1"/>
  <c r="NM158" i="1" s="1"/>
  <c r="NK160" i="1"/>
  <c r="NM160" i="1" s="1"/>
  <c r="NK162" i="1"/>
  <c r="NM162" i="1" s="1"/>
  <c r="NK131" i="1"/>
  <c r="NM131" i="1" s="1"/>
  <c r="NK117" i="1"/>
  <c r="NM117" i="1" s="1"/>
  <c r="NK112" i="1"/>
  <c r="NK113" i="1"/>
  <c r="NM113" i="1" s="1"/>
  <c r="NK78" i="1"/>
  <c r="NM78" i="1" s="1"/>
  <c r="NK80" i="1"/>
  <c r="NM80" i="1" s="1"/>
  <c r="NK82" i="1"/>
  <c r="NM82" i="1" s="1"/>
  <c r="NK84" i="1"/>
  <c r="NM84" i="1" s="1"/>
  <c r="NK421" i="1"/>
  <c r="NM421" i="1" s="1"/>
  <c r="NK423" i="1"/>
  <c r="NM423" i="1" s="1"/>
  <c r="NK425" i="1"/>
  <c r="NM425" i="1" s="1"/>
  <c r="NK396" i="1"/>
  <c r="NK336" i="1"/>
  <c r="NM336" i="1" s="1"/>
  <c r="NK379" i="1"/>
  <c r="NM379" i="1" s="1"/>
  <c r="NK381" i="1"/>
  <c r="NM381" i="1" s="1"/>
  <c r="NK335" i="1"/>
  <c r="NM335" i="1" s="1"/>
  <c r="NK383" i="1"/>
  <c r="NM383" i="1" s="1"/>
  <c r="NK346" i="1"/>
  <c r="NM346" i="1" s="1"/>
  <c r="NK348" i="1"/>
  <c r="NM348" i="1" s="1"/>
  <c r="NK309" i="1"/>
  <c r="NM309" i="1" s="1"/>
  <c r="NK311" i="1"/>
  <c r="NM311" i="1" s="1"/>
  <c r="NK313" i="1"/>
  <c r="NM313" i="1" s="1"/>
  <c r="NK292" i="1"/>
  <c r="NM292" i="1" s="1"/>
  <c r="NK263" i="1"/>
  <c r="NM263" i="1" s="1"/>
  <c r="NK265" i="1"/>
  <c r="NM265" i="1" s="1"/>
  <c r="NK267" i="1"/>
  <c r="NM267" i="1" s="1"/>
  <c r="NK269" i="1"/>
  <c r="NM269" i="1" s="1"/>
  <c r="NK164" i="1"/>
  <c r="NM164" i="1" s="1"/>
  <c r="NK377" i="1"/>
  <c r="NM377" i="1" s="1"/>
  <c r="NK168" i="1"/>
  <c r="NM168" i="1" s="1"/>
  <c r="NK170" i="1"/>
  <c r="NM170" i="1" s="1"/>
  <c r="NK139" i="1"/>
  <c r="NM139" i="1" s="1"/>
  <c r="NK125" i="1"/>
  <c r="NM125" i="1" s="1"/>
  <c r="NK361" i="1"/>
  <c r="NK355" i="1"/>
  <c r="NM355" i="1" s="1"/>
  <c r="NK350" i="1"/>
  <c r="NM350" i="1" s="1"/>
  <c r="NK318" i="1"/>
  <c r="NM318" i="1" s="1"/>
  <c r="NK290" i="1"/>
  <c r="NK334" i="1"/>
  <c r="NM334" i="1" s="1"/>
  <c r="NK308" i="1"/>
  <c r="NM308" i="1" s="1"/>
  <c r="NK272" i="1"/>
  <c r="NK274" i="1"/>
  <c r="NM274" i="1" s="1"/>
  <c r="NK276" i="1"/>
  <c r="NM276" i="1" s="1"/>
  <c r="NK278" i="1"/>
  <c r="NM278" i="1" s="1"/>
  <c r="NK166" i="1"/>
  <c r="NM166" i="1" s="1"/>
  <c r="LI99" i="1"/>
  <c r="LI101" i="1"/>
  <c r="LI103" i="1"/>
  <c r="LI105" i="1"/>
  <c r="LI368" i="1"/>
  <c r="LI378" i="1"/>
  <c r="LI380" i="1"/>
  <c r="LI382" i="1"/>
  <c r="LI319" i="1"/>
  <c r="LI298" i="1"/>
  <c r="LI292" i="1"/>
  <c r="LI317" i="1"/>
  <c r="LI261" i="1"/>
  <c r="LI263" i="1"/>
  <c r="LI265" i="1"/>
  <c r="LI267" i="1"/>
  <c r="LI161" i="1"/>
  <c r="LI163" i="1"/>
  <c r="LI165" i="1"/>
  <c r="LI133" i="1"/>
  <c r="LI127" i="1"/>
  <c r="LI113" i="1"/>
  <c r="LI138" i="1"/>
  <c r="LI82" i="1"/>
  <c r="LI84" i="1"/>
  <c r="LI86" i="1"/>
  <c r="LI88" i="1"/>
  <c r="LI376" i="1"/>
  <c r="LI386" i="1"/>
  <c r="LI388" i="1"/>
  <c r="LI390" i="1"/>
  <c r="LI296" i="1"/>
  <c r="LI306" i="1"/>
  <c r="LI300" i="1"/>
  <c r="LI318" i="1"/>
  <c r="LI269" i="1"/>
  <c r="LI271" i="1"/>
  <c r="LI273" i="1"/>
  <c r="LI275" i="1"/>
  <c r="LI169" i="1"/>
  <c r="LI171" i="1"/>
  <c r="LI173" i="1"/>
  <c r="LI141" i="1"/>
  <c r="LI135" i="1"/>
  <c r="LI121" i="1"/>
  <c r="LI132" i="1"/>
  <c r="LI90" i="1"/>
  <c r="LI92" i="1"/>
  <c r="LI94" i="1"/>
  <c r="LI96" i="1"/>
  <c r="LI384" i="1"/>
  <c r="LI363" i="1"/>
  <c r="LI365" i="1"/>
  <c r="LI375" i="1"/>
  <c r="LI304" i="1"/>
  <c r="LI314" i="1"/>
  <c r="LI308" i="1"/>
  <c r="LI294" i="1"/>
  <c r="LI277" i="1"/>
  <c r="LI279" i="1"/>
  <c r="LI281" i="1"/>
  <c r="LI283" i="1"/>
  <c r="LI177" i="1"/>
  <c r="LI148" i="1"/>
  <c r="LI150" i="1"/>
  <c r="LI140" i="1"/>
  <c r="LI151" i="1"/>
  <c r="LI129" i="1"/>
  <c r="LI175" i="1"/>
  <c r="LI98" i="1"/>
  <c r="LI100" i="1"/>
  <c r="LI102" i="1"/>
  <c r="LI104" i="1"/>
  <c r="LI311" i="1"/>
  <c r="LI153" i="1"/>
  <c r="LI76" i="1"/>
  <c r="LI313" i="1"/>
  <c r="LI155" i="1"/>
  <c r="LI78" i="1"/>
  <c r="LI116" i="1"/>
  <c r="LI367" i="1"/>
  <c r="LI157" i="1"/>
  <c r="LI80" i="1"/>
  <c r="LI257" i="1"/>
  <c r="LI374" i="1"/>
  <c r="LI310" i="1"/>
  <c r="LI125" i="1"/>
  <c r="LI372" i="1"/>
  <c r="LI284" i="1"/>
  <c r="LI119" i="1"/>
  <c r="LI130" i="1"/>
  <c r="LI259" i="1"/>
  <c r="LI370" i="1"/>
  <c r="LI255" i="1"/>
  <c r="LI159" i="1"/>
  <c r="NK397" i="1"/>
  <c r="NM397" i="1" s="1"/>
  <c r="NK399" i="1"/>
  <c r="NM399" i="1" s="1"/>
  <c r="NK401" i="1"/>
  <c r="NM401" i="1" s="1"/>
  <c r="NK403" i="1"/>
  <c r="NM403" i="1" s="1"/>
  <c r="NK376" i="1"/>
  <c r="NM376" i="1" s="1"/>
  <c r="NK386" i="1"/>
  <c r="NM386" i="1" s="1"/>
  <c r="NK388" i="1"/>
  <c r="NM388" i="1" s="1"/>
  <c r="NK390" i="1"/>
  <c r="NM390" i="1" s="1"/>
  <c r="B36" i="18"/>
  <c r="B37" i="18"/>
  <c r="B41" i="18"/>
  <c r="B38" i="18"/>
  <c r="B40" i="18"/>
  <c r="B39" i="18"/>
  <c r="LI369" i="1"/>
  <c r="LI371" i="1"/>
  <c r="LI373" i="1"/>
  <c r="LI383" i="1"/>
  <c r="LI312" i="1"/>
  <c r="LI291" i="1"/>
  <c r="LI316" i="1"/>
  <c r="LI293" i="1"/>
  <c r="LI254" i="1"/>
  <c r="LI256" i="1"/>
  <c r="LI258" i="1"/>
  <c r="LI152" i="1"/>
  <c r="LI154" i="1"/>
  <c r="LI156" i="1"/>
  <c r="LI158" i="1"/>
  <c r="LI118" i="1"/>
  <c r="LI120" i="1"/>
  <c r="LI137" i="1"/>
  <c r="LI115" i="1"/>
  <c r="LI106" i="1"/>
  <c r="LI77" i="1"/>
  <c r="LI79" i="1"/>
  <c r="LI81" i="1"/>
  <c r="LI377" i="1"/>
  <c r="LI379" i="1"/>
  <c r="LI381" i="1"/>
  <c r="LI361" i="1"/>
  <c r="LI290" i="1"/>
  <c r="LI299" i="1"/>
  <c r="LI301" i="1"/>
  <c r="LI260" i="1"/>
  <c r="LI262" i="1"/>
  <c r="LI264" i="1"/>
  <c r="LI266" i="1"/>
  <c r="LI160" i="1"/>
  <c r="LI162" i="1"/>
  <c r="LI164" i="1"/>
  <c r="LI166" i="1"/>
  <c r="LI126" i="1"/>
  <c r="LI128" i="1"/>
  <c r="LI167" i="1"/>
  <c r="LI123" i="1"/>
  <c r="LI83" i="1"/>
  <c r="LI85" i="1"/>
  <c r="LI87" i="1"/>
  <c r="LI89" i="1"/>
  <c r="LI385" i="1"/>
  <c r="LI387" i="1"/>
  <c r="LI389" i="1"/>
  <c r="LI295" i="1"/>
  <c r="LI297" i="1"/>
  <c r="LI307" i="1"/>
  <c r="LI302" i="1"/>
  <c r="LI268" i="1"/>
  <c r="LI270" i="1"/>
  <c r="LI272" i="1"/>
  <c r="LI274" i="1"/>
  <c r="LI168" i="1"/>
  <c r="LI170" i="1"/>
  <c r="LI172" i="1"/>
  <c r="LI174" i="1"/>
  <c r="LI134" i="1"/>
  <c r="LI136" i="1"/>
  <c r="LI114" i="1"/>
  <c r="LI131" i="1"/>
  <c r="LI91" i="1"/>
  <c r="LI93" i="1"/>
  <c r="LI95" i="1"/>
  <c r="LI97" i="1"/>
  <c r="LI362" i="1"/>
  <c r="LI364" i="1"/>
  <c r="LI366" i="1"/>
  <c r="LI303" i="1"/>
  <c r="LI305" i="1"/>
  <c r="LI315" i="1"/>
  <c r="LI309" i="1"/>
  <c r="LI276" i="1"/>
  <c r="LI278" i="1"/>
  <c r="LI280" i="1"/>
  <c r="LI282" i="1"/>
  <c r="LI176" i="1"/>
  <c r="LI149" i="1"/>
  <c r="LI117" i="1"/>
  <c r="LI112" i="1"/>
  <c r="LI124" i="1"/>
  <c r="LI122" i="1"/>
  <c r="LI139" i="1"/>
  <c r="VS425" i="1"/>
  <c r="VU425" i="1" s="1"/>
  <c r="VS422" i="1"/>
  <c r="VU422" i="1" s="1"/>
  <c r="VS419" i="1"/>
  <c r="VU419" i="1" s="1"/>
  <c r="VS416" i="1"/>
  <c r="VU416" i="1" s="1"/>
  <c r="VS413" i="1"/>
  <c r="VU413" i="1" s="1"/>
  <c r="VS410" i="1"/>
  <c r="VU410" i="1" s="1"/>
  <c r="VS407" i="1"/>
  <c r="VU407" i="1" s="1"/>
  <c r="VS404" i="1"/>
  <c r="VU404" i="1" s="1"/>
  <c r="VS401" i="1"/>
  <c r="VU401" i="1" s="1"/>
  <c r="VS398" i="1"/>
  <c r="VU398" i="1" s="1"/>
  <c r="VS396" i="1"/>
  <c r="VS388" i="1"/>
  <c r="VU388" i="1" s="1"/>
  <c r="VS385" i="1"/>
  <c r="VU385" i="1" s="1"/>
  <c r="VS382" i="1"/>
  <c r="VU382" i="1" s="1"/>
  <c r="VS379" i="1"/>
  <c r="VU379" i="1" s="1"/>
  <c r="VS376" i="1"/>
  <c r="VU376" i="1" s="1"/>
  <c r="VS373" i="1"/>
  <c r="VU373" i="1" s="1"/>
  <c r="VS370" i="1"/>
  <c r="VU370" i="1" s="1"/>
  <c r="VS365" i="1"/>
  <c r="VU365" i="1" s="1"/>
  <c r="VS363" i="1"/>
  <c r="VU363" i="1" s="1"/>
  <c r="VS355" i="1"/>
  <c r="VU355" i="1" s="1"/>
  <c r="VS351" i="1"/>
  <c r="VU351" i="1" s="1"/>
  <c r="VS348" i="1"/>
  <c r="VU348" i="1" s="1"/>
  <c r="VS345" i="1"/>
  <c r="VU345" i="1" s="1"/>
  <c r="VS342" i="1"/>
  <c r="VU342" i="1" s="1"/>
  <c r="VS339" i="1"/>
  <c r="VU339" i="1" s="1"/>
  <c r="VS336" i="1"/>
  <c r="VU336" i="1" s="1"/>
  <c r="VS333" i="1"/>
  <c r="VU333" i="1" s="1"/>
  <c r="VS330" i="1"/>
  <c r="VU330" i="1" s="1"/>
  <c r="VS327" i="1"/>
  <c r="VU327" i="1" s="1"/>
  <c r="VS319" i="1"/>
  <c r="VU319" i="1" s="1"/>
  <c r="VS316" i="1"/>
  <c r="VU316" i="1" s="1"/>
  <c r="VS313" i="1"/>
  <c r="VU313" i="1" s="1"/>
  <c r="VS310" i="1"/>
  <c r="VU310" i="1" s="1"/>
  <c r="VS309" i="1"/>
  <c r="VU309" i="1" s="1"/>
  <c r="VS306" i="1"/>
  <c r="VU306" i="1" s="1"/>
  <c r="VS305" i="1"/>
  <c r="VU305" i="1" s="1"/>
  <c r="VS303" i="1"/>
  <c r="VU303" i="1" s="1"/>
  <c r="VS299" i="1"/>
  <c r="VU299" i="1" s="1"/>
  <c r="VS297" i="1"/>
  <c r="VU297" i="1" s="1"/>
  <c r="VS294" i="1"/>
  <c r="VU294" i="1" s="1"/>
  <c r="VS291" i="1"/>
  <c r="VU291" i="1" s="1"/>
  <c r="VS283" i="1"/>
  <c r="VU283" i="1" s="1"/>
  <c r="VS279" i="1"/>
  <c r="VU279" i="1" s="1"/>
  <c r="VS276" i="1"/>
  <c r="VU276" i="1" s="1"/>
  <c r="VS272" i="1"/>
  <c r="VU272" i="1" s="1"/>
  <c r="VS269" i="1"/>
  <c r="VU269" i="1" s="1"/>
  <c r="VS266" i="1"/>
  <c r="VU266" i="1" s="1"/>
  <c r="VS263" i="1"/>
  <c r="VU263" i="1" s="1"/>
  <c r="VS260" i="1"/>
  <c r="VU260" i="1" s="1"/>
  <c r="VS258" i="1"/>
  <c r="VU258" i="1" s="1"/>
  <c r="VS254" i="1"/>
  <c r="VS246" i="1"/>
  <c r="VU246" i="1" s="1"/>
  <c r="VS243" i="1"/>
  <c r="VU243" i="1" s="1"/>
  <c r="VS240" i="1"/>
  <c r="VU240" i="1" s="1"/>
  <c r="VS237" i="1"/>
  <c r="VU237" i="1" s="1"/>
  <c r="VS235" i="1"/>
  <c r="VU235" i="1" s="1"/>
  <c r="VS231" i="1"/>
  <c r="VU231" i="1" s="1"/>
  <c r="VS227" i="1"/>
  <c r="VU227" i="1" s="1"/>
  <c r="VS224" i="1"/>
  <c r="VU224" i="1" s="1"/>
  <c r="VS221" i="1"/>
  <c r="VU221" i="1" s="1"/>
  <c r="VS218" i="1"/>
  <c r="VS211" i="1"/>
  <c r="VU211" i="1" s="1"/>
  <c r="VS208" i="1"/>
  <c r="VU208" i="1" s="1"/>
  <c r="VS205" i="1"/>
  <c r="VU205" i="1" s="1"/>
  <c r="VS202" i="1"/>
  <c r="VU202" i="1" s="1"/>
  <c r="VS199" i="1"/>
  <c r="VU199" i="1" s="1"/>
  <c r="VS196" i="1"/>
  <c r="VU196" i="1" s="1"/>
  <c r="VS193" i="1"/>
  <c r="VU193" i="1" s="1"/>
  <c r="VS190" i="1"/>
  <c r="VU190" i="1" s="1"/>
  <c r="VS187" i="1"/>
  <c r="VU187" i="1" s="1"/>
  <c r="VS184" i="1"/>
  <c r="VU184" i="1" s="1"/>
  <c r="VS176" i="1"/>
  <c r="VU176" i="1" s="1"/>
  <c r="VS173" i="1"/>
  <c r="VU173" i="1" s="1"/>
  <c r="VS170" i="1"/>
  <c r="VU170" i="1" s="1"/>
  <c r="VS167" i="1"/>
  <c r="VU167" i="1" s="1"/>
  <c r="VS164" i="1"/>
  <c r="VU164" i="1" s="1"/>
  <c r="VS161" i="1"/>
  <c r="VU161" i="1" s="1"/>
  <c r="VS158" i="1"/>
  <c r="VU158" i="1" s="1"/>
  <c r="VS155" i="1"/>
  <c r="VU155" i="1" s="1"/>
  <c r="VS152" i="1"/>
  <c r="VU152" i="1" s="1"/>
  <c r="VS149" i="1"/>
  <c r="VU149" i="1" s="1"/>
  <c r="VS141" i="1"/>
  <c r="VU141" i="1" s="1"/>
  <c r="VS138" i="1"/>
  <c r="VU138" i="1" s="1"/>
  <c r="VS135" i="1"/>
  <c r="VU135" i="1" s="1"/>
  <c r="VS132" i="1"/>
  <c r="VU132" i="1" s="1"/>
  <c r="VS129" i="1"/>
  <c r="VU129" i="1" s="1"/>
  <c r="VS126" i="1"/>
  <c r="VU126" i="1" s="1"/>
  <c r="VS122" i="1"/>
  <c r="VU122" i="1" s="1"/>
  <c r="VS119" i="1"/>
  <c r="VU119" i="1" s="1"/>
  <c r="VS116" i="1"/>
  <c r="VU116" i="1" s="1"/>
  <c r="VS113" i="1"/>
  <c r="VU113" i="1" s="1"/>
  <c r="VS105" i="1"/>
  <c r="VU105" i="1" s="1"/>
  <c r="VS102" i="1"/>
  <c r="VU102" i="1" s="1"/>
  <c r="VS100" i="1"/>
  <c r="VU100" i="1" s="1"/>
  <c r="VS98" i="1"/>
  <c r="VU98" i="1" s="1"/>
  <c r="VS96" i="1"/>
  <c r="VU96" i="1" s="1"/>
  <c r="VS93" i="1"/>
  <c r="VU93" i="1" s="1"/>
  <c r="VS90" i="1"/>
  <c r="VU90" i="1" s="1"/>
  <c r="VS87" i="1"/>
  <c r="VU87" i="1" s="1"/>
  <c r="VS84" i="1"/>
  <c r="VU84" i="1" s="1"/>
  <c r="VS81" i="1"/>
  <c r="VU81" i="1" s="1"/>
  <c r="VS78" i="1"/>
  <c r="VU78" i="1" s="1"/>
  <c r="VS70" i="1"/>
  <c r="VU70" i="1" s="1"/>
  <c r="VS67" i="1"/>
  <c r="VU67" i="1" s="1"/>
  <c r="VS64" i="1"/>
  <c r="VU64" i="1" s="1"/>
  <c r="VS61" i="1"/>
  <c r="VU61" i="1" s="1"/>
  <c r="VS58" i="1"/>
  <c r="VU58" i="1" s="1"/>
  <c r="VS55" i="1"/>
  <c r="VU55" i="1" s="1"/>
  <c r="VS52" i="1"/>
  <c r="VU52" i="1" s="1"/>
  <c r="VS48" i="1"/>
  <c r="VU48" i="1" s="1"/>
  <c r="VS45" i="1"/>
  <c r="VU45" i="1" s="1"/>
  <c r="VS42" i="1"/>
  <c r="VS34" i="1"/>
  <c r="VU34" i="1" s="1"/>
  <c r="VS31" i="1"/>
  <c r="VU31" i="1" s="1"/>
  <c r="VS28" i="1"/>
  <c r="VU28" i="1" s="1"/>
  <c r="VS25" i="1"/>
  <c r="VU25" i="1" s="1"/>
  <c r="VS22" i="1"/>
  <c r="VU22" i="1" s="1"/>
  <c r="VS19" i="1"/>
  <c r="VU19" i="1" s="1"/>
  <c r="VS16" i="1"/>
  <c r="VU16" i="1" s="1"/>
  <c r="VS13" i="1"/>
  <c r="VU13" i="1" s="1"/>
  <c r="VS10" i="1"/>
  <c r="VU10" i="1" s="1"/>
  <c r="VS7" i="1"/>
  <c r="VU7" i="1" s="1"/>
  <c r="VJ425" i="1"/>
  <c r="VL425" i="1" s="1"/>
  <c r="VJ422" i="1"/>
  <c r="VL422" i="1" s="1"/>
  <c r="VJ419" i="1"/>
  <c r="VL419" i="1" s="1"/>
  <c r="VJ416" i="1"/>
  <c r="VL416" i="1" s="1"/>
  <c r="VJ413" i="1"/>
  <c r="VL413" i="1" s="1"/>
  <c r="VJ410" i="1"/>
  <c r="VL410" i="1" s="1"/>
  <c r="VJ407" i="1"/>
  <c r="VL407" i="1" s="1"/>
  <c r="VJ404" i="1"/>
  <c r="VL404" i="1" s="1"/>
  <c r="VJ401" i="1"/>
  <c r="VL401" i="1" s="1"/>
  <c r="VJ398" i="1"/>
  <c r="VL398" i="1" s="1"/>
  <c r="VJ390" i="1"/>
  <c r="VL390" i="1" s="1"/>
  <c r="VJ387" i="1"/>
  <c r="VL387" i="1" s="1"/>
  <c r="VJ384" i="1"/>
  <c r="VL384" i="1" s="1"/>
  <c r="VJ381" i="1"/>
  <c r="VL381" i="1" s="1"/>
  <c r="VJ378" i="1"/>
  <c r="VL378" i="1" s="1"/>
  <c r="VJ375" i="1"/>
  <c r="VL375" i="1" s="1"/>
  <c r="VJ371" i="1"/>
  <c r="VL371" i="1" s="1"/>
  <c r="VJ368" i="1"/>
  <c r="VL368" i="1" s="1"/>
  <c r="VJ365" i="1"/>
  <c r="VL365" i="1" s="1"/>
  <c r="VJ362" i="1"/>
  <c r="VL362" i="1" s="1"/>
  <c r="VJ354" i="1"/>
  <c r="VL354" i="1" s="1"/>
  <c r="VJ351" i="1"/>
  <c r="VL351" i="1" s="1"/>
  <c r="VJ348" i="1"/>
  <c r="VL348" i="1" s="1"/>
  <c r="VJ345" i="1"/>
  <c r="VL345" i="1" s="1"/>
  <c r="VJ342" i="1"/>
  <c r="VL342" i="1" s="1"/>
  <c r="VJ339" i="1"/>
  <c r="VL339" i="1" s="1"/>
  <c r="VJ336" i="1"/>
  <c r="VL336" i="1" s="1"/>
  <c r="VJ333" i="1"/>
  <c r="VL333" i="1" s="1"/>
  <c r="VJ330" i="1"/>
  <c r="VL330" i="1" s="1"/>
  <c r="VJ327" i="1"/>
  <c r="VL327" i="1" s="1"/>
  <c r="VJ319" i="1"/>
  <c r="VL319" i="1" s="1"/>
  <c r="VJ316" i="1"/>
  <c r="VL316" i="1" s="1"/>
  <c r="VJ313" i="1"/>
  <c r="VL313" i="1" s="1"/>
  <c r="VJ310" i="1"/>
  <c r="VL310" i="1" s="1"/>
  <c r="VJ307" i="1"/>
  <c r="VL307" i="1" s="1"/>
  <c r="VJ304" i="1"/>
  <c r="VL304" i="1" s="1"/>
  <c r="VJ301" i="1"/>
  <c r="VL301" i="1" s="1"/>
  <c r="VJ298" i="1"/>
  <c r="VL298" i="1" s="1"/>
  <c r="VJ295" i="1"/>
  <c r="VL295" i="1" s="1"/>
  <c r="VJ292" i="1"/>
  <c r="VL292" i="1" s="1"/>
  <c r="VJ284" i="1"/>
  <c r="VL284" i="1" s="1"/>
  <c r="VJ281" i="1"/>
  <c r="VL281" i="1" s="1"/>
  <c r="VJ278" i="1"/>
  <c r="VL278" i="1" s="1"/>
  <c r="VJ275" i="1"/>
  <c r="VL275" i="1" s="1"/>
  <c r="VJ272" i="1"/>
  <c r="VL272" i="1" s="1"/>
  <c r="VJ269" i="1"/>
  <c r="VL269" i="1" s="1"/>
  <c r="VJ266" i="1"/>
  <c r="VL266" i="1" s="1"/>
  <c r="VJ263" i="1"/>
  <c r="VL263" i="1" s="1"/>
  <c r="VJ260" i="1"/>
  <c r="VL260" i="1" s="1"/>
  <c r="VJ257" i="1"/>
  <c r="VL257" i="1" s="1"/>
  <c r="VJ254" i="1"/>
  <c r="VL246" i="1"/>
  <c r="VL243" i="1"/>
  <c r="VL240" i="1"/>
  <c r="VL237" i="1"/>
  <c r="VL234" i="1"/>
  <c r="VL230" i="1"/>
  <c r="VL228" i="1"/>
  <c r="VL225" i="1"/>
  <c r="VL222" i="1"/>
  <c r="VL219" i="1"/>
  <c r="VL211" i="1"/>
  <c r="VL208" i="1"/>
  <c r="VL205" i="1"/>
  <c r="VL202" i="1"/>
  <c r="VL199" i="1"/>
  <c r="VL196" i="1"/>
  <c r="VL193" i="1"/>
  <c r="VL191" i="1"/>
  <c r="VL188" i="1"/>
  <c r="VL185" i="1"/>
  <c r="VL177" i="1"/>
  <c r="VL174" i="1"/>
  <c r="VL171" i="1"/>
  <c r="VL168" i="1"/>
  <c r="VL165" i="1"/>
  <c r="VL162" i="1"/>
  <c r="VL158" i="1"/>
  <c r="VL156" i="1"/>
  <c r="VL155" i="1"/>
  <c r="VL152" i="1"/>
  <c r="VL150" i="1"/>
  <c r="VL148" i="1"/>
  <c r="VJ141" i="1"/>
  <c r="VL141" i="1" s="1"/>
  <c r="VJ138" i="1"/>
  <c r="VL138" i="1" s="1"/>
  <c r="VJ136" i="1"/>
  <c r="VL136" i="1" s="1"/>
  <c r="VJ132" i="1"/>
  <c r="VL132" i="1" s="1"/>
  <c r="VJ129" i="1"/>
  <c r="VL129" i="1" s="1"/>
  <c r="VJ125" i="1"/>
  <c r="VL125" i="1" s="1"/>
  <c r="VJ122" i="1"/>
  <c r="VL122" i="1" s="1"/>
  <c r="VJ120" i="1"/>
  <c r="VL120" i="1" s="1"/>
  <c r="VJ117" i="1"/>
  <c r="VL117" i="1" s="1"/>
  <c r="VJ114" i="1"/>
  <c r="VL114" i="1" s="1"/>
  <c r="VJ105" i="1"/>
  <c r="VL105" i="1" s="1"/>
  <c r="VJ102" i="1"/>
  <c r="VL102" i="1" s="1"/>
  <c r="VJ99" i="1"/>
  <c r="VL99" i="1" s="1"/>
  <c r="VJ97" i="1"/>
  <c r="VL97" i="1" s="1"/>
  <c r="VJ94" i="1"/>
  <c r="VL94" i="1" s="1"/>
  <c r="VJ90" i="1"/>
  <c r="VL90" i="1" s="1"/>
  <c r="VJ87" i="1"/>
  <c r="VL87" i="1" s="1"/>
  <c r="VJ84" i="1"/>
  <c r="VL84" i="1" s="1"/>
  <c r="VJ81" i="1"/>
  <c r="VL81" i="1" s="1"/>
  <c r="VJ78" i="1"/>
  <c r="VL78" i="1" s="1"/>
  <c r="VJ70" i="1"/>
  <c r="VL70" i="1" s="1"/>
  <c r="VJ67" i="1"/>
  <c r="VL67" i="1" s="1"/>
  <c r="VJ64" i="1"/>
  <c r="VL64" i="1" s="1"/>
  <c r="VJ61" i="1"/>
  <c r="VL61" i="1" s="1"/>
  <c r="VJ58" i="1"/>
  <c r="VL58" i="1" s="1"/>
  <c r="VJ55" i="1"/>
  <c r="VL55" i="1" s="1"/>
  <c r="VJ52" i="1"/>
  <c r="VL52" i="1" s="1"/>
  <c r="VJ48" i="1"/>
  <c r="VL48" i="1" s="1"/>
  <c r="VJ46" i="1"/>
  <c r="VL46" i="1" s="1"/>
  <c r="VJ36" i="1"/>
  <c r="VL36" i="1" s="1"/>
  <c r="VJ34" i="1"/>
  <c r="VL34" i="1" s="1"/>
  <c r="VJ31" i="1"/>
  <c r="VL31" i="1" s="1"/>
  <c r="VJ27" i="1"/>
  <c r="VL27" i="1" s="1"/>
  <c r="VJ24" i="1"/>
  <c r="VL24" i="1" s="1"/>
  <c r="VJ21" i="1"/>
  <c r="VL21" i="1" s="1"/>
  <c r="VJ18" i="1"/>
  <c r="VL18" i="1" s="1"/>
  <c r="VJ16" i="1"/>
  <c r="VL16" i="1" s="1"/>
  <c r="VJ13" i="1"/>
  <c r="VL13" i="1" s="1"/>
  <c r="VJ9" i="1"/>
  <c r="VL9" i="1" s="1"/>
  <c r="VA426" i="1"/>
  <c r="VC426" i="1" s="1"/>
  <c r="VA423" i="1"/>
  <c r="VC423" i="1" s="1"/>
  <c r="VA420" i="1"/>
  <c r="VC420" i="1" s="1"/>
  <c r="VA418" i="1"/>
  <c r="VC418" i="1" s="1"/>
  <c r="VA415" i="1"/>
  <c r="VC415" i="1" s="1"/>
  <c r="VA412" i="1"/>
  <c r="VC412" i="1" s="1"/>
  <c r="VA408" i="1"/>
  <c r="VC408" i="1" s="1"/>
  <c r="VA405" i="1"/>
  <c r="VC405" i="1" s="1"/>
  <c r="VA402" i="1"/>
  <c r="VC402" i="1" s="1"/>
  <c r="VA400" i="1"/>
  <c r="VC400" i="1" s="1"/>
  <c r="VA396" i="1"/>
  <c r="VA388" i="1"/>
  <c r="VC388" i="1" s="1"/>
  <c r="VA385" i="1"/>
  <c r="VC385" i="1" s="1"/>
  <c r="VA383" i="1"/>
  <c r="VC383" i="1" s="1"/>
  <c r="VA380" i="1"/>
  <c r="VC380" i="1" s="1"/>
  <c r="VA377" i="1"/>
  <c r="VC377" i="1" s="1"/>
  <c r="VA375" i="1"/>
  <c r="VC375" i="1" s="1"/>
  <c r="VA372" i="1"/>
  <c r="VC372" i="1" s="1"/>
  <c r="VA369" i="1"/>
  <c r="VC369" i="1" s="1"/>
  <c r="VA366" i="1"/>
  <c r="VC366" i="1" s="1"/>
  <c r="VA363" i="1"/>
  <c r="VC363" i="1" s="1"/>
  <c r="VA355" i="1"/>
  <c r="VC355" i="1" s="1"/>
  <c r="VA352" i="1"/>
  <c r="VC352" i="1" s="1"/>
  <c r="VA349" i="1"/>
  <c r="VC349" i="1" s="1"/>
  <c r="VA346" i="1"/>
  <c r="VC346" i="1" s="1"/>
  <c r="VA343" i="1"/>
  <c r="VC343" i="1" s="1"/>
  <c r="VA340" i="1"/>
  <c r="VC340" i="1" s="1"/>
  <c r="VA337" i="1"/>
  <c r="VC337" i="1" s="1"/>
  <c r="VA334" i="1"/>
  <c r="VC334" i="1" s="1"/>
  <c r="VA331" i="1"/>
  <c r="VC331" i="1" s="1"/>
  <c r="VA328" i="1"/>
  <c r="VC328" i="1" s="1"/>
  <c r="VA325" i="1"/>
  <c r="VA317" i="1"/>
  <c r="VC317" i="1" s="1"/>
  <c r="VA314" i="1"/>
  <c r="VC314" i="1" s="1"/>
  <c r="VA311" i="1"/>
  <c r="VC311" i="1" s="1"/>
  <c r="VA307" i="1"/>
  <c r="VC307" i="1" s="1"/>
  <c r="VA305" i="1"/>
  <c r="VC305" i="1" s="1"/>
  <c r="VA302" i="1"/>
  <c r="VC302" i="1" s="1"/>
  <c r="VA299" i="1"/>
  <c r="VC299" i="1" s="1"/>
  <c r="VA297" i="1"/>
  <c r="VC297" i="1" s="1"/>
  <c r="VA294" i="1"/>
  <c r="VC294" i="1" s="1"/>
  <c r="VA291" i="1"/>
  <c r="VC291" i="1" s="1"/>
  <c r="VA283" i="1"/>
  <c r="VC283" i="1" s="1"/>
  <c r="VA280" i="1"/>
  <c r="VC280" i="1" s="1"/>
  <c r="VA277" i="1"/>
  <c r="VC277" i="1" s="1"/>
  <c r="VA274" i="1"/>
  <c r="VC274" i="1" s="1"/>
  <c r="VA271" i="1"/>
  <c r="VC271" i="1" s="1"/>
  <c r="VA268" i="1"/>
  <c r="VC268" i="1" s="1"/>
  <c r="VA265" i="1"/>
  <c r="VC265" i="1" s="1"/>
  <c r="VA262" i="1"/>
  <c r="VC262" i="1" s="1"/>
  <c r="VA259" i="1"/>
  <c r="VC259" i="1" s="1"/>
  <c r="VA255" i="1"/>
  <c r="VC255" i="1" s="1"/>
  <c r="VC247" i="1"/>
  <c r="VC244" i="1"/>
  <c r="VC241" i="1"/>
  <c r="VC238" i="1"/>
  <c r="VC235" i="1"/>
  <c r="VC232" i="1"/>
  <c r="VC229" i="1"/>
  <c r="VC226" i="1"/>
  <c r="VC223" i="1"/>
  <c r="VC220" i="1"/>
  <c r="VC212" i="1"/>
  <c r="VC209" i="1"/>
  <c r="VC206" i="1"/>
  <c r="VC203" i="1"/>
  <c r="VC200" i="1"/>
  <c r="VC196" i="1"/>
  <c r="VC193" i="1"/>
  <c r="VC188" i="1"/>
  <c r="VC185" i="1"/>
  <c r="VC177" i="1"/>
  <c r="VC174" i="1"/>
  <c r="VC171" i="1"/>
  <c r="VC168" i="1"/>
  <c r="VC165" i="1"/>
  <c r="VC162" i="1"/>
  <c r="VC159" i="1"/>
  <c r="VC156" i="1"/>
  <c r="VC153" i="1"/>
  <c r="VC150" i="1"/>
  <c r="VA141" i="1"/>
  <c r="VC141" i="1" s="1"/>
  <c r="VA138" i="1"/>
  <c r="VC138" i="1" s="1"/>
  <c r="VA134" i="1"/>
  <c r="VC134" i="1" s="1"/>
  <c r="VA132" i="1"/>
  <c r="VC132" i="1" s="1"/>
  <c r="VA128" i="1"/>
  <c r="VC128" i="1" s="1"/>
  <c r="VA125" i="1"/>
  <c r="VC125" i="1" s="1"/>
  <c r="VA122" i="1"/>
  <c r="VC122" i="1" s="1"/>
  <c r="VA119" i="1"/>
  <c r="VC119" i="1" s="1"/>
  <c r="VA116" i="1"/>
  <c r="VC116" i="1" s="1"/>
  <c r="VA113" i="1"/>
  <c r="VC113" i="1" s="1"/>
  <c r="VA105" i="1"/>
  <c r="VC105" i="1" s="1"/>
  <c r="VA101" i="1"/>
  <c r="VC101" i="1" s="1"/>
  <c r="VA98" i="1"/>
  <c r="VC98" i="1" s="1"/>
  <c r="VA95" i="1"/>
  <c r="VC95" i="1" s="1"/>
  <c r="VA92" i="1"/>
  <c r="VC92" i="1" s="1"/>
  <c r="VA89" i="1"/>
  <c r="VC89" i="1" s="1"/>
  <c r="VA86" i="1"/>
  <c r="VC86" i="1" s="1"/>
  <c r="VA83" i="1"/>
  <c r="VC83" i="1" s="1"/>
  <c r="VA80" i="1"/>
  <c r="VC80" i="1" s="1"/>
  <c r="VA77" i="1"/>
  <c r="VC77" i="1" s="1"/>
  <c r="VA68" i="1"/>
  <c r="VC68" i="1" s="1"/>
  <c r="VA65" i="1"/>
  <c r="VC65" i="1" s="1"/>
  <c r="VA62" i="1"/>
  <c r="VC62" i="1" s="1"/>
  <c r="VA59" i="1"/>
  <c r="VC59" i="1" s="1"/>
  <c r="VA56" i="1"/>
  <c r="VC56" i="1" s="1"/>
  <c r="VA53" i="1"/>
  <c r="VC53" i="1" s="1"/>
  <c r="VA50" i="1"/>
  <c r="VC50" i="1" s="1"/>
  <c r="VA47" i="1"/>
  <c r="VC47" i="1" s="1"/>
  <c r="VA44" i="1"/>
  <c r="VC44" i="1" s="1"/>
  <c r="VA42" i="1"/>
  <c r="VA35" i="1"/>
  <c r="VC35" i="1" s="1"/>
  <c r="VA33" i="1"/>
  <c r="VC33" i="1" s="1"/>
  <c r="VA31" i="1"/>
  <c r="VC31" i="1" s="1"/>
  <c r="VA29" i="1"/>
  <c r="VC29" i="1" s="1"/>
  <c r="VA27" i="1"/>
  <c r="VC27" i="1" s="1"/>
  <c r="VA23" i="1"/>
  <c r="VC23" i="1" s="1"/>
  <c r="VA20" i="1"/>
  <c r="VC20" i="1" s="1"/>
  <c r="VA17" i="1"/>
  <c r="VC17" i="1" s="1"/>
  <c r="VA14" i="1"/>
  <c r="VC14" i="1" s="1"/>
  <c r="VA11" i="1"/>
  <c r="VC11" i="1" s="1"/>
  <c r="VA8" i="1"/>
  <c r="VC8" i="1" s="1"/>
  <c r="UR426" i="1"/>
  <c r="UT426" i="1" s="1"/>
  <c r="UR423" i="1"/>
  <c r="UT423" i="1" s="1"/>
  <c r="UR420" i="1"/>
  <c r="UT420" i="1" s="1"/>
  <c r="UR417" i="1"/>
  <c r="UT417" i="1" s="1"/>
  <c r="UR414" i="1"/>
  <c r="UT414" i="1" s="1"/>
  <c r="UR411" i="1"/>
  <c r="UT411" i="1" s="1"/>
  <c r="UR407" i="1"/>
  <c r="UT407" i="1" s="1"/>
  <c r="UR404" i="1"/>
  <c r="UT404" i="1" s="1"/>
  <c r="UR401" i="1"/>
  <c r="UT401" i="1" s="1"/>
  <c r="UR398" i="1"/>
  <c r="UT398" i="1" s="1"/>
  <c r="UR390" i="1"/>
  <c r="UT390" i="1" s="1"/>
  <c r="UR387" i="1"/>
  <c r="UT387" i="1" s="1"/>
  <c r="UR384" i="1"/>
  <c r="UT384" i="1" s="1"/>
  <c r="UR381" i="1"/>
  <c r="UT381" i="1" s="1"/>
  <c r="UR378" i="1"/>
  <c r="UT378" i="1" s="1"/>
  <c r="UR375" i="1"/>
  <c r="UT375" i="1" s="1"/>
  <c r="UR372" i="1"/>
  <c r="UT372" i="1" s="1"/>
  <c r="UR369" i="1"/>
  <c r="UT369" i="1" s="1"/>
  <c r="UR366" i="1"/>
  <c r="UT366" i="1" s="1"/>
  <c r="UR364" i="1"/>
  <c r="UT364" i="1" s="1"/>
  <c r="UR361" i="1"/>
  <c r="UR354" i="1"/>
  <c r="UT354" i="1" s="1"/>
  <c r="UR351" i="1"/>
  <c r="UT351" i="1" s="1"/>
  <c r="UR348" i="1"/>
  <c r="UT348" i="1" s="1"/>
  <c r="UR344" i="1"/>
  <c r="UT344" i="1" s="1"/>
  <c r="UR341" i="1"/>
  <c r="UT341" i="1" s="1"/>
  <c r="UR338" i="1"/>
  <c r="UT338" i="1" s="1"/>
  <c r="UR335" i="1"/>
  <c r="UT335" i="1" s="1"/>
  <c r="UR332" i="1"/>
  <c r="UT332" i="1" s="1"/>
  <c r="UR329" i="1"/>
  <c r="UT329" i="1" s="1"/>
  <c r="UR326" i="1"/>
  <c r="UT326" i="1" s="1"/>
  <c r="UR318" i="1"/>
  <c r="UT318" i="1" s="1"/>
  <c r="UR315" i="1"/>
  <c r="UT315" i="1" s="1"/>
  <c r="UR312" i="1"/>
  <c r="UT312" i="1" s="1"/>
  <c r="UR309" i="1"/>
  <c r="UT309" i="1" s="1"/>
  <c r="UR306" i="1"/>
  <c r="UT306" i="1" s="1"/>
  <c r="UR303" i="1"/>
  <c r="UT303" i="1" s="1"/>
  <c r="UR300" i="1"/>
  <c r="UT300" i="1" s="1"/>
  <c r="UR297" i="1"/>
  <c r="UT297" i="1" s="1"/>
  <c r="UR294" i="1"/>
  <c r="UT294" i="1" s="1"/>
  <c r="UR291" i="1"/>
  <c r="UT291" i="1" s="1"/>
  <c r="UR283" i="1"/>
  <c r="UT283" i="1" s="1"/>
  <c r="UR279" i="1"/>
  <c r="UT279" i="1" s="1"/>
  <c r="UR276" i="1"/>
  <c r="UT276" i="1" s="1"/>
  <c r="UR273" i="1"/>
  <c r="UT273" i="1" s="1"/>
  <c r="UR270" i="1"/>
  <c r="UT270" i="1" s="1"/>
  <c r="UR267" i="1"/>
  <c r="UT267" i="1" s="1"/>
  <c r="UR264" i="1"/>
  <c r="UT264" i="1" s="1"/>
  <c r="UR261" i="1"/>
  <c r="UT261" i="1" s="1"/>
  <c r="UR258" i="1"/>
  <c r="UT258" i="1" s="1"/>
  <c r="UR256" i="1"/>
  <c r="UT256" i="1" s="1"/>
  <c r="UR254" i="1"/>
  <c r="UT247" i="1"/>
  <c r="UT243" i="1"/>
  <c r="UT240" i="1"/>
  <c r="UT237" i="1"/>
  <c r="UT234" i="1"/>
  <c r="UT231" i="1"/>
  <c r="UT229" i="1"/>
  <c r="UT225" i="1"/>
  <c r="UT222" i="1"/>
  <c r="UT219" i="1"/>
  <c r="UT211" i="1"/>
  <c r="UT208" i="1"/>
  <c r="UT205" i="1"/>
  <c r="UT202" i="1"/>
  <c r="UT199" i="1"/>
  <c r="UT196" i="1"/>
  <c r="UT193" i="1"/>
  <c r="UT190" i="1"/>
  <c r="UT187" i="1"/>
  <c r="UT184" i="1"/>
  <c r="UT177" i="1"/>
  <c r="UT174" i="1"/>
  <c r="UT171" i="1"/>
  <c r="UT168" i="1"/>
  <c r="UT165" i="1"/>
  <c r="UT162" i="1"/>
  <c r="UT159" i="1"/>
  <c r="UT156" i="1"/>
  <c r="UT153" i="1"/>
  <c r="UT150" i="1"/>
  <c r="UR139" i="1"/>
  <c r="UT139" i="1" s="1"/>
  <c r="UR136" i="1"/>
  <c r="UT136" i="1" s="1"/>
  <c r="UR133" i="1"/>
  <c r="UT133" i="1" s="1"/>
  <c r="UR130" i="1"/>
  <c r="UT130" i="1" s="1"/>
  <c r="UR127" i="1"/>
  <c r="UT127" i="1" s="1"/>
  <c r="UR124" i="1"/>
  <c r="UT124" i="1" s="1"/>
  <c r="UR121" i="1"/>
  <c r="UT121" i="1" s="1"/>
  <c r="UR117" i="1"/>
  <c r="UT117" i="1" s="1"/>
  <c r="UR114" i="1"/>
  <c r="UT114" i="1" s="1"/>
  <c r="UR106" i="1"/>
  <c r="UT106" i="1" s="1"/>
  <c r="UR103" i="1"/>
  <c r="UT103" i="1" s="1"/>
  <c r="UR100" i="1"/>
  <c r="UT100" i="1" s="1"/>
  <c r="UR97" i="1"/>
  <c r="UT97" i="1" s="1"/>
  <c r="UR94" i="1"/>
  <c r="UT94" i="1" s="1"/>
  <c r="UR91" i="1"/>
  <c r="UT91" i="1" s="1"/>
  <c r="UR88" i="1"/>
  <c r="UT88" i="1" s="1"/>
  <c r="UR84" i="1"/>
  <c r="UT84" i="1" s="1"/>
  <c r="UR81" i="1"/>
  <c r="UT81" i="1" s="1"/>
  <c r="UR79" i="1"/>
  <c r="UT79" i="1" s="1"/>
  <c r="UR76" i="1"/>
  <c r="UR66" i="1"/>
  <c r="UT66" i="1" s="1"/>
  <c r="UR64" i="1"/>
  <c r="UT64" i="1" s="1"/>
  <c r="UR61" i="1"/>
  <c r="UT61" i="1" s="1"/>
  <c r="UR57" i="1"/>
  <c r="UT57" i="1" s="1"/>
  <c r="UR55" i="1"/>
  <c r="UT55" i="1" s="1"/>
  <c r="UR51" i="1"/>
  <c r="UT51" i="1" s="1"/>
  <c r="UR48" i="1"/>
  <c r="UT48" i="1" s="1"/>
  <c r="UR45" i="1"/>
  <c r="UT45" i="1" s="1"/>
  <c r="UR43" i="1"/>
  <c r="UT43" i="1" s="1"/>
  <c r="UR35" i="1"/>
  <c r="UT35" i="1" s="1"/>
  <c r="UR32" i="1"/>
  <c r="UT32" i="1" s="1"/>
  <c r="UR29" i="1"/>
  <c r="UT29" i="1" s="1"/>
  <c r="UR25" i="1"/>
  <c r="UT25" i="1" s="1"/>
  <c r="UR22" i="1"/>
  <c r="UT22" i="1" s="1"/>
  <c r="UR20" i="1"/>
  <c r="UT20" i="1" s="1"/>
  <c r="UR15" i="1"/>
  <c r="UT15" i="1" s="1"/>
  <c r="UR13" i="1"/>
  <c r="UT13" i="1" s="1"/>
  <c r="UR10" i="1"/>
  <c r="UT10" i="1" s="1"/>
  <c r="UR6" i="1"/>
  <c r="UI425" i="1"/>
  <c r="UK425" i="1" s="1"/>
  <c r="UI421" i="1"/>
  <c r="UK421" i="1" s="1"/>
  <c r="UI419" i="1"/>
  <c r="UK419" i="1" s="1"/>
  <c r="UI416" i="1"/>
  <c r="UK416" i="1" s="1"/>
  <c r="UI413" i="1"/>
  <c r="UK413" i="1" s="1"/>
  <c r="UI409" i="1"/>
  <c r="UK409" i="1" s="1"/>
  <c r="UI406" i="1"/>
  <c r="UK406" i="1" s="1"/>
  <c r="UI403" i="1"/>
  <c r="UK403" i="1" s="1"/>
  <c r="UI400" i="1"/>
  <c r="UK400" i="1" s="1"/>
  <c r="UI397" i="1"/>
  <c r="UK397" i="1" s="1"/>
  <c r="UI389" i="1"/>
  <c r="UK389" i="1" s="1"/>
  <c r="UI386" i="1"/>
  <c r="UK386" i="1" s="1"/>
  <c r="UI383" i="1"/>
  <c r="UK383" i="1" s="1"/>
  <c r="UI380" i="1"/>
  <c r="UK380" i="1" s="1"/>
  <c r="UI377" i="1"/>
  <c r="UK377" i="1" s="1"/>
  <c r="UI373" i="1"/>
  <c r="UK373" i="1" s="1"/>
  <c r="UI371" i="1"/>
  <c r="UK371" i="1" s="1"/>
  <c r="UI367" i="1"/>
  <c r="UK367" i="1" s="1"/>
  <c r="UI364" i="1"/>
  <c r="UK364" i="1" s="1"/>
  <c r="UI361" i="1"/>
  <c r="UI353" i="1"/>
  <c r="UK353" i="1" s="1"/>
  <c r="UI350" i="1"/>
  <c r="UK350" i="1" s="1"/>
  <c r="UI347" i="1"/>
  <c r="UK347" i="1" s="1"/>
  <c r="UI344" i="1"/>
  <c r="UK344" i="1" s="1"/>
  <c r="UI340" i="1"/>
  <c r="UK340" i="1" s="1"/>
  <c r="UI337" i="1"/>
  <c r="UK337" i="1" s="1"/>
  <c r="UI334" i="1"/>
  <c r="UK334" i="1" s="1"/>
  <c r="UI331" i="1"/>
  <c r="UK331" i="1" s="1"/>
  <c r="UI328" i="1"/>
  <c r="UK328" i="1" s="1"/>
  <c r="UI325" i="1"/>
  <c r="UI317" i="1"/>
  <c r="UK317" i="1" s="1"/>
  <c r="UI314" i="1"/>
  <c r="UK314" i="1" s="1"/>
  <c r="UI311" i="1"/>
  <c r="UK311" i="1" s="1"/>
  <c r="UI309" i="1"/>
  <c r="UK309" i="1" s="1"/>
  <c r="UI307" i="1"/>
  <c r="UK307" i="1" s="1"/>
  <c r="UI305" i="1"/>
  <c r="UK305" i="1" s="1"/>
  <c r="UI303" i="1"/>
  <c r="UK303" i="1" s="1"/>
  <c r="UI300" i="1"/>
  <c r="UK300" i="1" s="1"/>
  <c r="UI298" i="1"/>
  <c r="UK298" i="1" s="1"/>
  <c r="UI295" i="1"/>
  <c r="UK295" i="1" s="1"/>
  <c r="UI292" i="1"/>
  <c r="UK292" i="1" s="1"/>
  <c r="UI284" i="1"/>
  <c r="UK284" i="1" s="1"/>
  <c r="UI281" i="1"/>
  <c r="UK281" i="1" s="1"/>
  <c r="UI277" i="1"/>
  <c r="UK277" i="1" s="1"/>
  <c r="UI273" i="1"/>
  <c r="UK273" i="1" s="1"/>
  <c r="UI270" i="1"/>
  <c r="UK270" i="1" s="1"/>
  <c r="UI268" i="1"/>
  <c r="UK268" i="1" s="1"/>
  <c r="UI264" i="1"/>
  <c r="UK264" i="1" s="1"/>
  <c r="UI262" i="1"/>
  <c r="UK262" i="1" s="1"/>
  <c r="UI258" i="1"/>
  <c r="UK258" i="1" s="1"/>
  <c r="UI255" i="1"/>
  <c r="UK255" i="1" s="1"/>
  <c r="UI248" i="1"/>
  <c r="UK248" i="1" s="1"/>
  <c r="UI244" i="1"/>
  <c r="UK244" i="1" s="1"/>
  <c r="UI241" i="1"/>
  <c r="UK241" i="1" s="1"/>
  <c r="UI237" i="1"/>
  <c r="UK237" i="1" s="1"/>
  <c r="UI234" i="1"/>
  <c r="UK234" i="1" s="1"/>
  <c r="UI231" i="1"/>
  <c r="UK231" i="1" s="1"/>
  <c r="UI229" i="1"/>
  <c r="UK229" i="1" s="1"/>
  <c r="UI226" i="1"/>
  <c r="UK226" i="1" s="1"/>
  <c r="UI223" i="1"/>
  <c r="UK223" i="1" s="1"/>
  <c r="UI219" i="1"/>
  <c r="UK219" i="1" s="1"/>
  <c r="UK211" i="1"/>
  <c r="UK208" i="1"/>
  <c r="UK204" i="1"/>
  <c r="UK201" i="1"/>
  <c r="UK198" i="1"/>
  <c r="UK195" i="1"/>
  <c r="UK192" i="1"/>
  <c r="UK189" i="1"/>
  <c r="UK186" i="1"/>
  <c r="UK175" i="1"/>
  <c r="UK172" i="1"/>
  <c r="UK169" i="1"/>
  <c r="UK166" i="1"/>
  <c r="UK163" i="1"/>
  <c r="UK159" i="1"/>
  <c r="UK156" i="1"/>
  <c r="UK154" i="1"/>
  <c r="UK151" i="1"/>
  <c r="UK148" i="1"/>
  <c r="UI140" i="1"/>
  <c r="UK140" i="1" s="1"/>
  <c r="UI137" i="1"/>
  <c r="UK137" i="1" s="1"/>
  <c r="UI134" i="1"/>
  <c r="UK134" i="1" s="1"/>
  <c r="UI131" i="1"/>
  <c r="UK131" i="1" s="1"/>
  <c r="UI128" i="1"/>
  <c r="UK128" i="1" s="1"/>
  <c r="UI125" i="1"/>
  <c r="UK125" i="1" s="1"/>
  <c r="UI121" i="1"/>
  <c r="UK121" i="1" s="1"/>
  <c r="UI118" i="1"/>
  <c r="UK118" i="1" s="1"/>
  <c r="UI115" i="1"/>
  <c r="UK115" i="1" s="1"/>
  <c r="UI112" i="1"/>
  <c r="UI104" i="1"/>
  <c r="UK104" i="1" s="1"/>
  <c r="UI101" i="1"/>
  <c r="UK101" i="1" s="1"/>
  <c r="UI97" i="1"/>
  <c r="UK97" i="1" s="1"/>
  <c r="UI95" i="1"/>
  <c r="UK95" i="1" s="1"/>
  <c r="UI93" i="1"/>
  <c r="UK93" i="1" s="1"/>
  <c r="UI91" i="1"/>
  <c r="UK91" i="1" s="1"/>
  <c r="UI88" i="1"/>
  <c r="UK88" i="1" s="1"/>
  <c r="UI85" i="1"/>
  <c r="UK85" i="1" s="1"/>
  <c r="UI82" i="1"/>
  <c r="UK82" i="1" s="1"/>
  <c r="UI79" i="1"/>
  <c r="UK79" i="1" s="1"/>
  <c r="UI76" i="1"/>
  <c r="UI68" i="1"/>
  <c r="UK68" i="1" s="1"/>
  <c r="UI64" i="1"/>
  <c r="UK64" i="1" s="1"/>
  <c r="UI61" i="1"/>
  <c r="UK61" i="1" s="1"/>
  <c r="UI58" i="1"/>
  <c r="UK58" i="1" s="1"/>
  <c r="UI55" i="1"/>
  <c r="UK55" i="1" s="1"/>
  <c r="UI52" i="1"/>
  <c r="UK52" i="1" s="1"/>
  <c r="UI49" i="1"/>
  <c r="UK49" i="1" s="1"/>
  <c r="UI46" i="1"/>
  <c r="UK46" i="1" s="1"/>
  <c r="UI43" i="1"/>
  <c r="UK43" i="1" s="1"/>
  <c r="UI35" i="1"/>
  <c r="UK35" i="1" s="1"/>
  <c r="UI32" i="1"/>
  <c r="UK32" i="1" s="1"/>
  <c r="UI29" i="1"/>
  <c r="UK29" i="1" s="1"/>
  <c r="UI25" i="1"/>
  <c r="UK25" i="1" s="1"/>
  <c r="UI22" i="1"/>
  <c r="UK22" i="1" s="1"/>
  <c r="UI19" i="1"/>
  <c r="UK19" i="1" s="1"/>
  <c r="UI16" i="1"/>
  <c r="UK16" i="1" s="1"/>
  <c r="UI13" i="1"/>
  <c r="UK13" i="1" s="1"/>
  <c r="UI10" i="1"/>
  <c r="UK10" i="1" s="1"/>
  <c r="UI7" i="1"/>
  <c r="UK7" i="1" s="1"/>
  <c r="TZ425" i="1"/>
  <c r="UB425" i="1" s="1"/>
  <c r="TZ422" i="1"/>
  <c r="UB422" i="1" s="1"/>
  <c r="TZ419" i="1"/>
  <c r="UB419" i="1" s="1"/>
  <c r="TZ416" i="1"/>
  <c r="UB416" i="1" s="1"/>
  <c r="TZ413" i="1"/>
  <c r="UB413" i="1" s="1"/>
  <c r="TZ409" i="1"/>
  <c r="UB409" i="1" s="1"/>
  <c r="TZ406" i="1"/>
  <c r="UB406" i="1" s="1"/>
  <c r="TZ402" i="1"/>
  <c r="UB402" i="1" s="1"/>
  <c r="TZ400" i="1"/>
  <c r="UB400" i="1" s="1"/>
  <c r="TZ396" i="1"/>
  <c r="TZ388" i="1"/>
  <c r="UB388" i="1" s="1"/>
  <c r="TZ386" i="1"/>
  <c r="UB386" i="1" s="1"/>
  <c r="TZ382" i="1"/>
  <c r="UB382" i="1" s="1"/>
  <c r="TZ379" i="1"/>
  <c r="UB379" i="1" s="1"/>
  <c r="TZ376" i="1"/>
  <c r="UB376" i="1" s="1"/>
  <c r="TZ374" i="1"/>
  <c r="UB374" i="1" s="1"/>
  <c r="TZ370" i="1"/>
  <c r="UB370" i="1" s="1"/>
  <c r="TZ367" i="1"/>
  <c r="UB367" i="1" s="1"/>
  <c r="TZ364" i="1"/>
  <c r="UB364" i="1" s="1"/>
  <c r="TZ361" i="1"/>
  <c r="TZ352" i="1"/>
  <c r="UB352" i="1" s="1"/>
  <c r="TZ349" i="1"/>
  <c r="UB349" i="1" s="1"/>
  <c r="TZ346" i="1"/>
  <c r="UB346" i="1" s="1"/>
  <c r="TZ343" i="1"/>
  <c r="UB343" i="1" s="1"/>
  <c r="TZ340" i="1"/>
  <c r="UB340" i="1" s="1"/>
  <c r="TZ338" i="1"/>
  <c r="UB338" i="1" s="1"/>
  <c r="TZ334" i="1"/>
  <c r="UB334" i="1" s="1"/>
  <c r="TZ332" i="1"/>
  <c r="UB332" i="1" s="1"/>
  <c r="TZ328" i="1"/>
  <c r="UB328" i="1" s="1"/>
  <c r="TZ325" i="1"/>
  <c r="TZ317" i="1"/>
  <c r="UB317" i="1" s="1"/>
  <c r="TZ314" i="1"/>
  <c r="UB314" i="1" s="1"/>
  <c r="TZ310" i="1"/>
  <c r="UB310" i="1" s="1"/>
  <c r="TZ307" i="1"/>
  <c r="UB307" i="1" s="1"/>
  <c r="TZ304" i="1"/>
  <c r="UB304" i="1" s="1"/>
  <c r="TZ301" i="1"/>
  <c r="UB301" i="1" s="1"/>
  <c r="TZ298" i="1"/>
  <c r="UB298" i="1" s="1"/>
  <c r="TZ295" i="1"/>
  <c r="UB295" i="1" s="1"/>
  <c r="TZ292" i="1"/>
  <c r="UB292" i="1" s="1"/>
  <c r="TZ284" i="1"/>
  <c r="UB284" i="1" s="1"/>
  <c r="TZ281" i="1"/>
  <c r="UB281" i="1" s="1"/>
  <c r="TZ277" i="1"/>
  <c r="UB277" i="1" s="1"/>
  <c r="TZ274" i="1"/>
  <c r="UB274" i="1" s="1"/>
  <c r="TZ271" i="1"/>
  <c r="UB271" i="1" s="1"/>
  <c r="TZ268" i="1"/>
  <c r="UB268" i="1" s="1"/>
  <c r="TZ265" i="1"/>
  <c r="UB265" i="1" s="1"/>
  <c r="TZ262" i="1"/>
  <c r="UB262" i="1" s="1"/>
  <c r="TZ259" i="1"/>
  <c r="UB259" i="1" s="1"/>
  <c r="TZ256" i="1"/>
  <c r="UB256" i="1" s="1"/>
  <c r="TZ248" i="1"/>
  <c r="UB248" i="1" s="1"/>
  <c r="TZ245" i="1"/>
  <c r="UB245" i="1" s="1"/>
  <c r="TZ242" i="1"/>
  <c r="UB242" i="1" s="1"/>
  <c r="TZ239" i="1"/>
  <c r="UB239" i="1" s="1"/>
  <c r="TZ236" i="1"/>
  <c r="UB236" i="1" s="1"/>
  <c r="TZ233" i="1"/>
  <c r="UB233" i="1" s="1"/>
  <c r="TZ230" i="1"/>
  <c r="UB230" i="1" s="1"/>
  <c r="TZ227" i="1"/>
  <c r="UB227" i="1" s="1"/>
  <c r="TZ224" i="1"/>
  <c r="UB224" i="1" s="1"/>
  <c r="TZ220" i="1"/>
  <c r="UB220" i="1" s="1"/>
  <c r="UB212" i="1"/>
  <c r="UB209" i="1"/>
  <c r="UB206" i="1"/>
  <c r="UB203" i="1"/>
  <c r="UB200" i="1"/>
  <c r="UB197" i="1"/>
  <c r="UB194" i="1"/>
  <c r="UB191" i="1"/>
  <c r="UB188" i="1"/>
  <c r="UB186" i="1"/>
  <c r="UB184" i="1"/>
  <c r="UB177" i="1"/>
  <c r="UB175" i="1"/>
  <c r="UB172" i="1"/>
  <c r="UB169" i="1"/>
  <c r="UB166" i="1"/>
  <c r="UB163" i="1"/>
  <c r="UB160" i="1"/>
  <c r="UB157" i="1"/>
  <c r="UB154" i="1"/>
  <c r="UB150" i="1"/>
  <c r="TZ140" i="1"/>
  <c r="UB140" i="1" s="1"/>
  <c r="TZ137" i="1"/>
  <c r="UB137" i="1" s="1"/>
  <c r="TZ134" i="1"/>
  <c r="UB134" i="1" s="1"/>
  <c r="TZ131" i="1"/>
  <c r="UB131" i="1" s="1"/>
  <c r="TZ128" i="1"/>
  <c r="UB128" i="1" s="1"/>
  <c r="TZ126" i="1"/>
  <c r="UB126" i="1" s="1"/>
  <c r="TZ123" i="1"/>
  <c r="UB123" i="1" s="1"/>
  <c r="TZ120" i="1"/>
  <c r="UB120" i="1" s="1"/>
  <c r="TZ117" i="1"/>
  <c r="UB117" i="1" s="1"/>
  <c r="TZ114" i="1"/>
  <c r="UB114" i="1" s="1"/>
  <c r="TZ106" i="1"/>
  <c r="UB106" i="1" s="1"/>
  <c r="TZ103" i="1"/>
  <c r="UB103" i="1" s="1"/>
  <c r="TZ100" i="1"/>
  <c r="UB100" i="1" s="1"/>
  <c r="TZ97" i="1"/>
  <c r="UB97" i="1" s="1"/>
  <c r="TZ94" i="1"/>
  <c r="UB94" i="1" s="1"/>
  <c r="TZ91" i="1"/>
  <c r="UB91" i="1" s="1"/>
  <c r="TZ89" i="1"/>
  <c r="UB89" i="1" s="1"/>
  <c r="TZ86" i="1"/>
  <c r="UB86" i="1" s="1"/>
  <c r="TZ83" i="1"/>
  <c r="UB83" i="1" s="1"/>
  <c r="TZ79" i="1"/>
  <c r="UB79" i="1" s="1"/>
  <c r="TZ76" i="1"/>
  <c r="TZ68" i="1"/>
  <c r="UB68" i="1" s="1"/>
  <c r="TZ65" i="1"/>
  <c r="UB65" i="1" s="1"/>
  <c r="TZ62" i="1"/>
  <c r="UB62" i="1" s="1"/>
  <c r="TZ59" i="1"/>
  <c r="UB59" i="1" s="1"/>
  <c r="TZ56" i="1"/>
  <c r="UB56" i="1" s="1"/>
  <c r="TZ53" i="1"/>
  <c r="UB53" i="1" s="1"/>
  <c r="TZ50" i="1"/>
  <c r="UB50" i="1" s="1"/>
  <c r="TZ47" i="1"/>
  <c r="UB47" i="1" s="1"/>
  <c r="TZ44" i="1"/>
  <c r="UB44" i="1" s="1"/>
  <c r="TZ36" i="1"/>
  <c r="UB36" i="1" s="1"/>
  <c r="TZ32" i="1"/>
  <c r="UB32" i="1" s="1"/>
  <c r="TZ29" i="1"/>
  <c r="UB29" i="1" s="1"/>
  <c r="TZ26" i="1"/>
  <c r="UB26" i="1" s="1"/>
  <c r="TZ23" i="1"/>
  <c r="UB23" i="1" s="1"/>
  <c r="TZ20" i="1"/>
  <c r="UB20" i="1" s="1"/>
  <c r="TZ17" i="1"/>
  <c r="UB17" i="1" s="1"/>
  <c r="TZ14" i="1"/>
  <c r="UB14" i="1" s="1"/>
  <c r="TZ11" i="1"/>
  <c r="UB11" i="1" s="1"/>
  <c r="TZ8" i="1"/>
  <c r="UB8" i="1" s="1"/>
  <c r="TQ426" i="1"/>
  <c r="TS426" i="1" s="1"/>
  <c r="TQ423" i="1"/>
  <c r="TS423" i="1" s="1"/>
  <c r="TQ420" i="1"/>
  <c r="TS420" i="1" s="1"/>
  <c r="TQ417" i="1"/>
  <c r="TS417" i="1" s="1"/>
  <c r="TQ414" i="1"/>
  <c r="TS414" i="1" s="1"/>
  <c r="TQ410" i="1"/>
  <c r="TS410" i="1" s="1"/>
  <c r="TQ407" i="1"/>
  <c r="TS407" i="1" s="1"/>
  <c r="TQ404" i="1"/>
  <c r="TS404" i="1" s="1"/>
  <c r="TQ402" i="1"/>
  <c r="TS402" i="1" s="1"/>
  <c r="TQ400" i="1"/>
  <c r="TS400" i="1" s="1"/>
  <c r="TQ398" i="1"/>
  <c r="TS398" i="1" s="1"/>
  <c r="TQ390" i="1"/>
  <c r="TS390" i="1" s="1"/>
  <c r="TQ387" i="1"/>
  <c r="TS387" i="1" s="1"/>
  <c r="TQ385" i="1"/>
  <c r="TS385" i="1" s="1"/>
  <c r="TQ382" i="1"/>
  <c r="TS382" i="1" s="1"/>
  <c r="TQ380" i="1"/>
  <c r="TS380" i="1" s="1"/>
  <c r="TQ378" i="1"/>
  <c r="TS378" i="1" s="1"/>
  <c r="TQ376" i="1"/>
  <c r="TS376" i="1" s="1"/>
  <c r="TQ374" i="1"/>
  <c r="TS374" i="1" s="1"/>
  <c r="TQ372" i="1"/>
  <c r="TS372" i="1" s="1"/>
  <c r="TQ370" i="1"/>
  <c r="TS370" i="1" s="1"/>
  <c r="TQ367" i="1"/>
  <c r="TS367" i="1" s="1"/>
  <c r="TQ364" i="1"/>
  <c r="TS364" i="1" s="1"/>
  <c r="TQ361" i="1"/>
  <c r="TQ353" i="1"/>
  <c r="TS353" i="1" s="1"/>
  <c r="TQ350" i="1"/>
  <c r="TS350" i="1" s="1"/>
  <c r="TQ347" i="1"/>
  <c r="TS347" i="1" s="1"/>
  <c r="TQ344" i="1"/>
  <c r="TS344" i="1" s="1"/>
  <c r="TQ341" i="1"/>
  <c r="TS341" i="1" s="1"/>
  <c r="TQ337" i="1"/>
  <c r="TS337" i="1" s="1"/>
  <c r="TQ334" i="1"/>
  <c r="TS334" i="1" s="1"/>
  <c r="TQ331" i="1"/>
  <c r="TS331" i="1" s="1"/>
  <c r="TQ328" i="1"/>
  <c r="TS328" i="1" s="1"/>
  <c r="TQ325" i="1"/>
  <c r="TQ317" i="1"/>
  <c r="TS317" i="1" s="1"/>
  <c r="TQ314" i="1"/>
  <c r="TS314" i="1" s="1"/>
  <c r="TQ311" i="1"/>
  <c r="TS311" i="1" s="1"/>
  <c r="TQ308" i="1"/>
  <c r="TS308" i="1" s="1"/>
  <c r="TQ305" i="1"/>
  <c r="TS305" i="1" s="1"/>
  <c r="TQ302" i="1"/>
  <c r="TS302" i="1" s="1"/>
  <c r="TQ299" i="1"/>
  <c r="TS299" i="1" s="1"/>
  <c r="TQ296" i="1"/>
  <c r="TS296" i="1" s="1"/>
  <c r="TQ293" i="1"/>
  <c r="TS293" i="1" s="1"/>
  <c r="TQ291" i="1"/>
  <c r="TS291" i="1" s="1"/>
  <c r="TQ283" i="1"/>
  <c r="TS283" i="1" s="1"/>
  <c r="TQ280" i="1"/>
  <c r="TS280" i="1" s="1"/>
  <c r="TQ277" i="1"/>
  <c r="TS277" i="1" s="1"/>
  <c r="TQ274" i="1"/>
  <c r="TS274" i="1" s="1"/>
  <c r="TQ271" i="1"/>
  <c r="TS271" i="1" s="1"/>
  <c r="TQ268" i="1"/>
  <c r="TS268" i="1" s="1"/>
  <c r="TQ266" i="1"/>
  <c r="TS266" i="1" s="1"/>
  <c r="TQ263" i="1"/>
  <c r="TS263" i="1" s="1"/>
  <c r="TQ260" i="1"/>
  <c r="TS260" i="1" s="1"/>
  <c r="TQ257" i="1"/>
  <c r="TS257" i="1" s="1"/>
  <c r="TQ254" i="1"/>
  <c r="TQ246" i="1"/>
  <c r="TS246" i="1" s="1"/>
  <c r="TQ243" i="1"/>
  <c r="TS243" i="1" s="1"/>
  <c r="TQ240" i="1"/>
  <c r="TS240" i="1" s="1"/>
  <c r="TQ237" i="1"/>
  <c r="TS237" i="1" s="1"/>
  <c r="TQ234" i="1"/>
  <c r="TS234" i="1" s="1"/>
  <c r="TQ231" i="1"/>
  <c r="TS231" i="1" s="1"/>
  <c r="TQ228" i="1"/>
  <c r="TS228" i="1" s="1"/>
  <c r="TQ225" i="1"/>
  <c r="TS225" i="1" s="1"/>
  <c r="TQ222" i="1"/>
  <c r="TS222" i="1" s="1"/>
  <c r="TQ219" i="1"/>
  <c r="TS219" i="1" s="1"/>
  <c r="TS211" i="1"/>
  <c r="TS208" i="1"/>
  <c r="TS205" i="1"/>
  <c r="TS202" i="1"/>
  <c r="TS200" i="1"/>
  <c r="TS197" i="1"/>
  <c r="TS194" i="1"/>
  <c r="TS192" i="1"/>
  <c r="TS189" i="1"/>
  <c r="TS186" i="1"/>
  <c r="TS175" i="1"/>
  <c r="TS172" i="1"/>
  <c r="TS169" i="1"/>
  <c r="TS166" i="1"/>
  <c r="TS163" i="1"/>
  <c r="TS160" i="1"/>
  <c r="TS157" i="1"/>
  <c r="TS154" i="1"/>
  <c r="TS151" i="1"/>
  <c r="TS148" i="1"/>
  <c r="TQ140" i="1"/>
  <c r="TS140" i="1" s="1"/>
  <c r="TQ137" i="1"/>
  <c r="TS137" i="1" s="1"/>
  <c r="TQ134" i="1"/>
  <c r="TS134" i="1" s="1"/>
  <c r="TQ131" i="1"/>
  <c r="TS131" i="1" s="1"/>
  <c r="TQ128" i="1"/>
  <c r="TS128" i="1" s="1"/>
  <c r="TQ125" i="1"/>
  <c r="TS125" i="1" s="1"/>
  <c r="TQ122" i="1"/>
  <c r="TS122" i="1" s="1"/>
  <c r="TQ119" i="1"/>
  <c r="TS119" i="1" s="1"/>
  <c r="TQ116" i="1"/>
  <c r="TS116" i="1" s="1"/>
  <c r="TQ113" i="1"/>
  <c r="TS113" i="1" s="1"/>
  <c r="TQ105" i="1"/>
  <c r="TS105" i="1" s="1"/>
  <c r="TQ102" i="1"/>
  <c r="TS102" i="1" s="1"/>
  <c r="TQ99" i="1"/>
  <c r="TS99" i="1" s="1"/>
  <c r="TQ96" i="1"/>
  <c r="TS96" i="1" s="1"/>
  <c r="TQ93" i="1"/>
  <c r="TS93" i="1" s="1"/>
  <c r="TQ90" i="1"/>
  <c r="TS90" i="1" s="1"/>
  <c r="TQ87" i="1"/>
  <c r="TS87" i="1" s="1"/>
  <c r="TQ84" i="1"/>
  <c r="TS84" i="1" s="1"/>
  <c r="TQ82" i="1"/>
  <c r="TS82" i="1" s="1"/>
  <c r="TQ79" i="1"/>
  <c r="TS79" i="1" s="1"/>
  <c r="TQ76" i="1"/>
  <c r="TQ68" i="1"/>
  <c r="TS68" i="1" s="1"/>
  <c r="TQ65" i="1"/>
  <c r="TS65" i="1" s="1"/>
  <c r="TQ63" i="1"/>
  <c r="TS63" i="1" s="1"/>
  <c r="TQ60" i="1"/>
  <c r="TS60" i="1" s="1"/>
  <c r="TQ57" i="1"/>
  <c r="TS57" i="1" s="1"/>
  <c r="TQ53" i="1"/>
  <c r="TS53" i="1" s="1"/>
  <c r="TQ50" i="1"/>
  <c r="TS50" i="1" s="1"/>
  <c r="TQ47" i="1"/>
  <c r="TS47" i="1" s="1"/>
  <c r="TQ44" i="1"/>
  <c r="TS44" i="1" s="1"/>
  <c r="TQ36" i="1"/>
  <c r="TS36" i="1" s="1"/>
  <c r="TQ33" i="1"/>
  <c r="TS33" i="1" s="1"/>
  <c r="TQ30" i="1"/>
  <c r="TS30" i="1" s="1"/>
  <c r="TQ27" i="1"/>
  <c r="TS27" i="1" s="1"/>
  <c r="TQ24" i="1"/>
  <c r="TS24" i="1" s="1"/>
  <c r="TQ21" i="1"/>
  <c r="TS21" i="1" s="1"/>
  <c r="TQ19" i="1"/>
  <c r="TS19" i="1" s="1"/>
  <c r="TQ16" i="1"/>
  <c r="TS16" i="1" s="1"/>
  <c r="TQ13" i="1"/>
  <c r="TS13" i="1" s="1"/>
  <c r="TQ10" i="1"/>
  <c r="TS10" i="1" s="1"/>
  <c r="TQ7" i="1"/>
  <c r="TS7" i="1" s="1"/>
  <c r="VS426" i="1"/>
  <c r="VU426" i="1" s="1"/>
  <c r="VS423" i="1"/>
  <c r="VU423" i="1" s="1"/>
  <c r="VS420" i="1"/>
  <c r="VU420" i="1" s="1"/>
  <c r="VS418" i="1"/>
  <c r="VU418" i="1" s="1"/>
  <c r="VS415" i="1"/>
  <c r="VU415" i="1" s="1"/>
  <c r="VS412" i="1"/>
  <c r="VU412" i="1" s="1"/>
  <c r="VS409" i="1"/>
  <c r="VU409" i="1" s="1"/>
  <c r="VS406" i="1"/>
  <c r="VU406" i="1" s="1"/>
  <c r="VS403" i="1"/>
  <c r="VU403" i="1" s="1"/>
  <c r="VS400" i="1"/>
  <c r="VU400" i="1" s="1"/>
  <c r="VS397" i="1"/>
  <c r="VU397" i="1" s="1"/>
  <c r="VS389" i="1"/>
  <c r="VU389" i="1" s="1"/>
  <c r="VS386" i="1"/>
  <c r="VU386" i="1" s="1"/>
  <c r="VS383" i="1"/>
  <c r="VU383" i="1" s="1"/>
  <c r="VS380" i="1"/>
  <c r="VU380" i="1" s="1"/>
  <c r="VS377" i="1"/>
  <c r="VU377" i="1" s="1"/>
  <c r="VS374" i="1"/>
  <c r="VU374" i="1" s="1"/>
  <c r="VS371" i="1"/>
  <c r="VU371" i="1" s="1"/>
  <c r="VS368" i="1"/>
  <c r="VU368" i="1" s="1"/>
  <c r="VS367" i="1"/>
  <c r="VU367" i="1" s="1"/>
  <c r="VS362" i="1"/>
  <c r="VU362" i="1" s="1"/>
  <c r="VS354" i="1"/>
  <c r="VU354" i="1" s="1"/>
  <c r="VS352" i="1"/>
  <c r="VU352" i="1" s="1"/>
  <c r="VS349" i="1"/>
  <c r="VU349" i="1" s="1"/>
  <c r="VS347" i="1"/>
  <c r="VU347" i="1" s="1"/>
  <c r="VS344" i="1"/>
  <c r="VU344" i="1" s="1"/>
  <c r="VS341" i="1"/>
  <c r="VU341" i="1" s="1"/>
  <c r="VS338" i="1"/>
  <c r="VU338" i="1" s="1"/>
  <c r="VS335" i="1"/>
  <c r="VU335" i="1" s="1"/>
  <c r="VS332" i="1"/>
  <c r="VU332" i="1" s="1"/>
  <c r="VS329" i="1"/>
  <c r="VU329" i="1" s="1"/>
  <c r="VS326" i="1"/>
  <c r="VU326" i="1" s="1"/>
  <c r="VS318" i="1"/>
  <c r="VU318" i="1" s="1"/>
  <c r="VS315" i="1"/>
  <c r="VU315" i="1" s="1"/>
  <c r="VS312" i="1"/>
  <c r="VU312" i="1" s="1"/>
  <c r="VS311" i="1"/>
  <c r="VU311" i="1" s="1"/>
  <c r="VS308" i="1"/>
  <c r="VU308" i="1" s="1"/>
  <c r="VS307" i="1"/>
  <c r="VU307" i="1" s="1"/>
  <c r="VS304" i="1"/>
  <c r="VU304" i="1" s="1"/>
  <c r="VS302" i="1"/>
  <c r="VU302" i="1" s="1"/>
  <c r="VS301" i="1"/>
  <c r="VU301" i="1" s="1"/>
  <c r="VS298" i="1"/>
  <c r="VU298" i="1" s="1"/>
  <c r="VS295" i="1"/>
  <c r="VU295" i="1" s="1"/>
  <c r="VS292" i="1"/>
  <c r="VU292" i="1" s="1"/>
  <c r="VS284" i="1"/>
  <c r="VU284" i="1" s="1"/>
  <c r="VS281" i="1"/>
  <c r="VU281" i="1" s="1"/>
  <c r="VS278" i="1"/>
  <c r="VU278" i="1" s="1"/>
  <c r="VS277" i="1"/>
  <c r="VU277" i="1" s="1"/>
  <c r="VS274" i="1"/>
  <c r="VU274" i="1" s="1"/>
  <c r="VS271" i="1"/>
  <c r="VU271" i="1" s="1"/>
  <c r="VS268" i="1"/>
  <c r="VU268" i="1" s="1"/>
  <c r="VS265" i="1"/>
  <c r="VU265" i="1" s="1"/>
  <c r="VS262" i="1"/>
  <c r="VU262" i="1" s="1"/>
  <c r="VS259" i="1"/>
  <c r="VU259" i="1" s="1"/>
  <c r="VS256" i="1"/>
  <c r="VU256" i="1" s="1"/>
  <c r="VS248" i="1"/>
  <c r="VU248" i="1" s="1"/>
  <c r="VS245" i="1"/>
  <c r="VU245" i="1" s="1"/>
  <c r="VS242" i="1"/>
  <c r="VU242" i="1" s="1"/>
  <c r="VS239" i="1"/>
  <c r="VU239" i="1" s="1"/>
  <c r="VS236" i="1"/>
  <c r="VU236" i="1" s="1"/>
  <c r="VS233" i="1"/>
  <c r="VU233" i="1" s="1"/>
  <c r="VS232" i="1"/>
  <c r="VU232" i="1" s="1"/>
  <c r="VS229" i="1"/>
  <c r="VU229" i="1" s="1"/>
  <c r="VS226" i="1"/>
  <c r="VU226" i="1" s="1"/>
  <c r="VS223" i="1"/>
  <c r="VU223" i="1" s="1"/>
  <c r="VS220" i="1"/>
  <c r="VU220" i="1" s="1"/>
  <c r="VS212" i="1"/>
  <c r="VU212" i="1" s="1"/>
  <c r="VS209" i="1"/>
  <c r="VU209" i="1" s="1"/>
  <c r="VS206" i="1"/>
  <c r="VU206" i="1" s="1"/>
  <c r="VS203" i="1"/>
  <c r="VU203" i="1" s="1"/>
  <c r="VS200" i="1"/>
  <c r="VU200" i="1" s="1"/>
  <c r="VS197" i="1"/>
  <c r="VU197" i="1" s="1"/>
  <c r="VS194" i="1"/>
  <c r="VU194" i="1" s="1"/>
  <c r="VS191" i="1"/>
  <c r="VU191" i="1" s="1"/>
  <c r="VS188" i="1"/>
  <c r="VU188" i="1" s="1"/>
  <c r="VS185" i="1"/>
  <c r="VU185" i="1" s="1"/>
  <c r="VS177" i="1"/>
  <c r="VU177" i="1" s="1"/>
  <c r="VS174" i="1"/>
  <c r="VU174" i="1" s="1"/>
  <c r="VS171" i="1"/>
  <c r="VU171" i="1" s="1"/>
  <c r="VS168" i="1"/>
  <c r="VU168" i="1" s="1"/>
  <c r="VS165" i="1"/>
  <c r="VU165" i="1" s="1"/>
  <c r="VS162" i="1"/>
  <c r="VU162" i="1" s="1"/>
  <c r="VS159" i="1"/>
  <c r="VU159" i="1" s="1"/>
  <c r="VS156" i="1"/>
  <c r="VU156" i="1" s="1"/>
  <c r="VS154" i="1"/>
  <c r="VU154" i="1" s="1"/>
  <c r="VS151" i="1"/>
  <c r="VU151" i="1" s="1"/>
  <c r="VS148" i="1"/>
  <c r="VU148" i="1" s="1"/>
  <c r="VS140" i="1"/>
  <c r="VU140" i="1" s="1"/>
  <c r="VS137" i="1"/>
  <c r="VU137" i="1" s="1"/>
  <c r="VS134" i="1"/>
  <c r="VU134" i="1" s="1"/>
  <c r="VS131" i="1"/>
  <c r="VU131" i="1" s="1"/>
  <c r="VS128" i="1"/>
  <c r="VU128" i="1" s="1"/>
  <c r="VS125" i="1"/>
  <c r="VU125" i="1" s="1"/>
  <c r="VS123" i="1"/>
  <c r="VU123" i="1" s="1"/>
  <c r="VS120" i="1"/>
  <c r="VU120" i="1" s="1"/>
  <c r="VS117" i="1"/>
  <c r="VU117" i="1" s="1"/>
  <c r="VS114" i="1"/>
  <c r="VU114" i="1" s="1"/>
  <c r="VS106" i="1"/>
  <c r="VU106" i="1" s="1"/>
  <c r="VS103" i="1"/>
  <c r="VU103" i="1" s="1"/>
  <c r="VS101" i="1"/>
  <c r="VU101" i="1" s="1"/>
  <c r="VS99" i="1"/>
  <c r="VU99" i="1" s="1"/>
  <c r="VS97" i="1"/>
  <c r="VU97" i="1" s="1"/>
  <c r="VS95" i="1"/>
  <c r="VU95" i="1" s="1"/>
  <c r="VS92" i="1"/>
  <c r="VU92" i="1" s="1"/>
  <c r="VS89" i="1"/>
  <c r="VU89" i="1" s="1"/>
  <c r="VS86" i="1"/>
  <c r="VU86" i="1" s="1"/>
  <c r="VS83" i="1"/>
  <c r="VU83" i="1" s="1"/>
  <c r="VS80" i="1"/>
  <c r="VU80" i="1" s="1"/>
  <c r="VS77" i="1"/>
  <c r="VU77" i="1" s="1"/>
  <c r="VS69" i="1"/>
  <c r="VU69" i="1" s="1"/>
  <c r="VS66" i="1"/>
  <c r="VU66" i="1" s="1"/>
  <c r="VS63" i="1"/>
  <c r="VU63" i="1" s="1"/>
  <c r="VS60" i="1"/>
  <c r="VU60" i="1" s="1"/>
  <c r="VS57" i="1"/>
  <c r="VU57" i="1" s="1"/>
  <c r="VS54" i="1"/>
  <c r="VU54" i="1" s="1"/>
  <c r="VS51" i="1"/>
  <c r="VU51" i="1" s="1"/>
  <c r="VS49" i="1"/>
  <c r="VU49" i="1" s="1"/>
  <c r="VS46" i="1"/>
  <c r="VU46" i="1" s="1"/>
  <c r="VS43" i="1"/>
  <c r="VU43" i="1" s="1"/>
  <c r="VS35" i="1"/>
  <c r="VU35" i="1" s="1"/>
  <c r="VS32" i="1"/>
  <c r="VU32" i="1" s="1"/>
  <c r="VS29" i="1"/>
  <c r="VU29" i="1" s="1"/>
  <c r="VS26" i="1"/>
  <c r="VU26" i="1" s="1"/>
  <c r="VS23" i="1"/>
  <c r="VU23" i="1" s="1"/>
  <c r="VS20" i="1"/>
  <c r="VU20" i="1" s="1"/>
  <c r="VS17" i="1"/>
  <c r="VU17" i="1" s="1"/>
  <c r="VS14" i="1"/>
  <c r="VU14" i="1" s="1"/>
  <c r="VS11" i="1"/>
  <c r="VU11" i="1" s="1"/>
  <c r="VS8" i="1"/>
  <c r="VU8" i="1" s="1"/>
  <c r="VS6" i="1"/>
  <c r="VJ423" i="1"/>
  <c r="VL423" i="1" s="1"/>
  <c r="VJ420" i="1"/>
  <c r="VL420" i="1" s="1"/>
  <c r="VJ418" i="1"/>
  <c r="VL418" i="1" s="1"/>
  <c r="VJ415" i="1"/>
  <c r="VL415" i="1" s="1"/>
  <c r="VJ412" i="1"/>
  <c r="VL412" i="1" s="1"/>
  <c r="VJ409" i="1"/>
  <c r="VL409" i="1" s="1"/>
  <c r="VJ406" i="1"/>
  <c r="VL406" i="1" s="1"/>
  <c r="VJ403" i="1"/>
  <c r="VL403" i="1" s="1"/>
  <c r="VJ400" i="1"/>
  <c r="VL400" i="1" s="1"/>
  <c r="VJ397" i="1"/>
  <c r="VL397" i="1" s="1"/>
  <c r="VJ389" i="1"/>
  <c r="VL389" i="1" s="1"/>
  <c r="VJ386" i="1"/>
  <c r="VL386" i="1" s="1"/>
  <c r="VJ383" i="1"/>
  <c r="VL383" i="1" s="1"/>
  <c r="VJ380" i="1"/>
  <c r="VL380" i="1" s="1"/>
  <c r="VJ377" i="1"/>
  <c r="VL377" i="1" s="1"/>
  <c r="VJ374" i="1"/>
  <c r="VL374" i="1" s="1"/>
  <c r="VJ372" i="1"/>
  <c r="VL372" i="1" s="1"/>
  <c r="VJ369" i="1"/>
  <c r="VL369" i="1" s="1"/>
  <c r="VJ366" i="1"/>
  <c r="VL366" i="1" s="1"/>
  <c r="VJ363" i="1"/>
  <c r="VL363" i="1" s="1"/>
  <c r="VJ355" i="1"/>
  <c r="VL355" i="1" s="1"/>
  <c r="VJ352" i="1"/>
  <c r="VL352" i="1" s="1"/>
  <c r="VJ349" i="1"/>
  <c r="VL349" i="1" s="1"/>
  <c r="VJ346" i="1"/>
  <c r="VL346" i="1" s="1"/>
  <c r="VJ343" i="1"/>
  <c r="VL343" i="1" s="1"/>
  <c r="VJ340" i="1"/>
  <c r="VL340" i="1" s="1"/>
  <c r="VJ337" i="1"/>
  <c r="VL337" i="1" s="1"/>
  <c r="VJ334" i="1"/>
  <c r="VL334" i="1" s="1"/>
  <c r="VJ331" i="1"/>
  <c r="VL331" i="1" s="1"/>
  <c r="VJ328" i="1"/>
  <c r="VL328" i="1" s="1"/>
  <c r="VJ325" i="1"/>
  <c r="VJ317" i="1"/>
  <c r="VL317" i="1" s="1"/>
  <c r="VJ314" i="1"/>
  <c r="VL314" i="1" s="1"/>
  <c r="VJ311" i="1"/>
  <c r="VL311" i="1" s="1"/>
  <c r="VJ308" i="1"/>
  <c r="VL308" i="1" s="1"/>
  <c r="VJ305" i="1"/>
  <c r="VL305" i="1" s="1"/>
  <c r="VJ302" i="1"/>
  <c r="VL302" i="1" s="1"/>
  <c r="VJ299" i="1"/>
  <c r="VL299" i="1" s="1"/>
  <c r="VJ297" i="1"/>
  <c r="VL297" i="1" s="1"/>
  <c r="VJ294" i="1"/>
  <c r="VL294" i="1" s="1"/>
  <c r="VJ291" i="1"/>
  <c r="VL291" i="1" s="1"/>
  <c r="VJ283" i="1"/>
  <c r="VL283" i="1" s="1"/>
  <c r="VJ280" i="1"/>
  <c r="VL280" i="1" s="1"/>
  <c r="VJ277" i="1"/>
  <c r="VL277" i="1" s="1"/>
  <c r="VJ274" i="1"/>
  <c r="VL274" i="1" s="1"/>
  <c r="VJ271" i="1"/>
  <c r="VL271" i="1" s="1"/>
  <c r="VJ268" i="1"/>
  <c r="VL268" i="1" s="1"/>
  <c r="VJ265" i="1"/>
  <c r="VL265" i="1" s="1"/>
  <c r="VJ262" i="1"/>
  <c r="VL262" i="1" s="1"/>
  <c r="VJ259" i="1"/>
  <c r="VL259" i="1" s="1"/>
  <c r="VJ256" i="1"/>
  <c r="VL256" i="1" s="1"/>
  <c r="VL248" i="1"/>
  <c r="VL245" i="1"/>
  <c r="VL242" i="1"/>
  <c r="VL239" i="1"/>
  <c r="VL236" i="1"/>
  <c r="VL233" i="1"/>
  <c r="VL231" i="1"/>
  <c r="VL227" i="1"/>
  <c r="VL224" i="1"/>
  <c r="VL221" i="1"/>
  <c r="VL210" i="1"/>
  <c r="VL207" i="1"/>
  <c r="VL204" i="1"/>
  <c r="VL201" i="1"/>
  <c r="VL198" i="1"/>
  <c r="VL195" i="1"/>
  <c r="VL192" i="1"/>
  <c r="VL189" i="1"/>
  <c r="VL186" i="1"/>
  <c r="VL175" i="1"/>
  <c r="VL172" i="1"/>
  <c r="VL169" i="1"/>
  <c r="VL166" i="1"/>
  <c r="VL163" i="1"/>
  <c r="VL161" i="1"/>
  <c r="VL159" i="1"/>
  <c r="VL157" i="1"/>
  <c r="VL154" i="1"/>
  <c r="VL153" i="1"/>
  <c r="VL151" i="1"/>
  <c r="VL149" i="1"/>
  <c r="VJ140" i="1"/>
  <c r="VL140" i="1" s="1"/>
  <c r="VJ137" i="1"/>
  <c r="VL137" i="1" s="1"/>
  <c r="VJ134" i="1"/>
  <c r="VL134" i="1" s="1"/>
  <c r="VJ131" i="1"/>
  <c r="VL131" i="1" s="1"/>
  <c r="VJ128" i="1"/>
  <c r="VL128" i="1" s="1"/>
  <c r="VJ127" i="1"/>
  <c r="VL127" i="1" s="1"/>
  <c r="VJ124" i="1"/>
  <c r="VL124" i="1" s="1"/>
  <c r="VJ121" i="1"/>
  <c r="VL121" i="1" s="1"/>
  <c r="VJ118" i="1"/>
  <c r="VL118" i="1" s="1"/>
  <c r="VJ115" i="1"/>
  <c r="VL115" i="1" s="1"/>
  <c r="VJ112" i="1"/>
  <c r="VJ104" i="1"/>
  <c r="VL104" i="1" s="1"/>
  <c r="VJ101" i="1"/>
  <c r="VL101" i="1" s="1"/>
  <c r="VJ98" i="1"/>
  <c r="VL98" i="1" s="1"/>
  <c r="VJ95" i="1"/>
  <c r="VL95" i="1" s="1"/>
  <c r="VJ92" i="1"/>
  <c r="VL92" i="1" s="1"/>
  <c r="VJ89" i="1"/>
  <c r="VL89" i="1" s="1"/>
  <c r="VJ88" i="1"/>
  <c r="VL88" i="1" s="1"/>
  <c r="VJ85" i="1"/>
  <c r="VL85" i="1" s="1"/>
  <c r="VJ82" i="1"/>
  <c r="VL82" i="1" s="1"/>
  <c r="VJ79" i="1"/>
  <c r="VL79" i="1" s="1"/>
  <c r="VJ76" i="1"/>
  <c r="VJ68" i="1"/>
  <c r="VL68" i="1" s="1"/>
  <c r="VJ65" i="1"/>
  <c r="VL65" i="1" s="1"/>
  <c r="VJ62" i="1"/>
  <c r="VL62" i="1" s="1"/>
  <c r="VJ59" i="1"/>
  <c r="VL59" i="1" s="1"/>
  <c r="VJ56" i="1"/>
  <c r="VL56" i="1" s="1"/>
  <c r="VJ53" i="1"/>
  <c r="VL53" i="1" s="1"/>
  <c r="VJ50" i="1"/>
  <c r="VL50" i="1" s="1"/>
  <c r="VJ47" i="1"/>
  <c r="VL47" i="1" s="1"/>
  <c r="VJ44" i="1"/>
  <c r="VL44" i="1" s="1"/>
  <c r="VJ43" i="1"/>
  <c r="VL43" i="1" s="1"/>
  <c r="VJ35" i="1"/>
  <c r="VL35" i="1" s="1"/>
  <c r="VJ32" i="1"/>
  <c r="VL32" i="1" s="1"/>
  <c r="VJ29" i="1"/>
  <c r="VL29" i="1" s="1"/>
  <c r="VJ26" i="1"/>
  <c r="VL26" i="1" s="1"/>
  <c r="VJ23" i="1"/>
  <c r="VL23" i="1" s="1"/>
  <c r="VJ20" i="1"/>
  <c r="VL20" i="1" s="1"/>
  <c r="VJ17" i="1"/>
  <c r="VL17" i="1" s="1"/>
  <c r="VJ14" i="1"/>
  <c r="VL14" i="1" s="1"/>
  <c r="VJ11" i="1"/>
  <c r="VL11" i="1" s="1"/>
  <c r="VJ8" i="1"/>
  <c r="VL8" i="1" s="1"/>
  <c r="VJ6" i="1"/>
  <c r="VA425" i="1"/>
  <c r="VC425" i="1" s="1"/>
  <c r="VA422" i="1"/>
  <c r="VC422" i="1" s="1"/>
  <c r="VA419" i="1"/>
  <c r="VC419" i="1" s="1"/>
  <c r="VA416" i="1"/>
  <c r="VC416" i="1" s="1"/>
  <c r="VA413" i="1"/>
  <c r="VC413" i="1" s="1"/>
  <c r="VA410" i="1"/>
  <c r="VC410" i="1" s="1"/>
  <c r="VA407" i="1"/>
  <c r="VC407" i="1" s="1"/>
  <c r="VA404" i="1"/>
  <c r="VC404" i="1" s="1"/>
  <c r="VA401" i="1"/>
  <c r="VC401" i="1" s="1"/>
  <c r="VA398" i="1"/>
  <c r="VC398" i="1" s="1"/>
  <c r="VA390" i="1"/>
  <c r="VC390" i="1" s="1"/>
  <c r="VA387" i="1"/>
  <c r="VC387" i="1" s="1"/>
  <c r="VA384" i="1"/>
  <c r="VC384" i="1" s="1"/>
  <c r="VA381" i="1"/>
  <c r="VC381" i="1" s="1"/>
  <c r="VA379" i="1"/>
  <c r="VC379" i="1" s="1"/>
  <c r="VA378" i="1"/>
  <c r="VC378" i="1" s="1"/>
  <c r="VA376" i="1"/>
  <c r="VC376" i="1" s="1"/>
  <c r="VA374" i="1"/>
  <c r="VC374" i="1" s="1"/>
  <c r="VA371" i="1"/>
  <c r="VC371" i="1" s="1"/>
  <c r="VA368" i="1"/>
  <c r="VC368" i="1" s="1"/>
  <c r="VA365" i="1"/>
  <c r="VC365" i="1" s="1"/>
  <c r="VA362" i="1"/>
  <c r="VC362" i="1" s="1"/>
  <c r="VA354" i="1"/>
  <c r="VC354" i="1" s="1"/>
  <c r="VA351" i="1"/>
  <c r="VC351" i="1" s="1"/>
  <c r="VA348" i="1"/>
  <c r="VC348" i="1" s="1"/>
  <c r="VA345" i="1"/>
  <c r="VC345" i="1" s="1"/>
  <c r="VA342" i="1"/>
  <c r="VC342" i="1" s="1"/>
  <c r="VA339" i="1"/>
  <c r="VC339" i="1" s="1"/>
  <c r="VA336" i="1"/>
  <c r="VC336" i="1" s="1"/>
  <c r="VA333" i="1"/>
  <c r="VC333" i="1" s="1"/>
  <c r="VA330" i="1"/>
  <c r="VC330" i="1" s="1"/>
  <c r="VA327" i="1"/>
  <c r="VC327" i="1" s="1"/>
  <c r="VA319" i="1"/>
  <c r="VC319" i="1" s="1"/>
  <c r="VA316" i="1"/>
  <c r="VC316" i="1" s="1"/>
  <c r="VA313" i="1"/>
  <c r="VC313" i="1" s="1"/>
  <c r="VA310" i="1"/>
  <c r="VC310" i="1" s="1"/>
  <c r="VA308" i="1"/>
  <c r="VC308" i="1" s="1"/>
  <c r="VA304" i="1"/>
  <c r="VC304" i="1" s="1"/>
  <c r="VA301" i="1"/>
  <c r="VC301" i="1" s="1"/>
  <c r="VA296" i="1"/>
  <c r="VC296" i="1" s="1"/>
  <c r="VA293" i="1"/>
  <c r="VC293" i="1" s="1"/>
  <c r="VA290" i="1"/>
  <c r="VA282" i="1"/>
  <c r="VC282" i="1" s="1"/>
  <c r="VA279" i="1"/>
  <c r="VC279" i="1" s="1"/>
  <c r="VA276" i="1"/>
  <c r="VC276" i="1" s="1"/>
  <c r="VA273" i="1"/>
  <c r="VC273" i="1" s="1"/>
  <c r="VA270" i="1"/>
  <c r="VC270" i="1" s="1"/>
  <c r="VA267" i="1"/>
  <c r="VC267" i="1" s="1"/>
  <c r="VA264" i="1"/>
  <c r="VC264" i="1" s="1"/>
  <c r="VA261" i="1"/>
  <c r="VC261" i="1" s="1"/>
  <c r="VA258" i="1"/>
  <c r="VC258" i="1" s="1"/>
  <c r="VA256" i="1"/>
  <c r="VC256" i="1" s="1"/>
  <c r="VC248" i="1"/>
  <c r="VC245" i="1"/>
  <c r="VC242" i="1"/>
  <c r="VC239" i="1"/>
  <c r="VC236" i="1"/>
  <c r="VC233" i="1"/>
  <c r="VC230" i="1"/>
  <c r="VC228" i="1"/>
  <c r="VC225" i="1"/>
  <c r="VC222" i="1"/>
  <c r="VC219" i="1"/>
  <c r="VC211" i="1"/>
  <c r="VC208" i="1"/>
  <c r="VC205" i="1"/>
  <c r="VC202" i="1"/>
  <c r="VC199" i="1"/>
  <c r="VC197" i="1"/>
  <c r="VC194" i="1"/>
  <c r="VC191" i="1"/>
  <c r="VC189" i="1"/>
  <c r="VC186" i="1"/>
  <c r="VC175" i="1"/>
  <c r="VC172" i="1"/>
  <c r="VC169" i="1"/>
  <c r="VC166" i="1"/>
  <c r="VC163" i="1"/>
  <c r="VC160" i="1"/>
  <c r="VC157" i="1"/>
  <c r="VC154" i="1"/>
  <c r="VC151" i="1"/>
  <c r="VC149" i="1"/>
  <c r="VA139" i="1"/>
  <c r="VC139" i="1" s="1"/>
  <c r="VA136" i="1"/>
  <c r="VC136" i="1" s="1"/>
  <c r="VA133" i="1"/>
  <c r="VC133" i="1" s="1"/>
  <c r="VA130" i="1"/>
  <c r="VC130" i="1" s="1"/>
  <c r="VA127" i="1"/>
  <c r="VC127" i="1" s="1"/>
  <c r="VA124" i="1"/>
  <c r="VC124" i="1" s="1"/>
  <c r="VA121" i="1"/>
  <c r="VC121" i="1" s="1"/>
  <c r="VA118" i="1"/>
  <c r="VC118" i="1" s="1"/>
  <c r="VA115" i="1"/>
  <c r="VC115" i="1" s="1"/>
  <c r="VA112" i="1"/>
  <c r="VA104" i="1"/>
  <c r="VC104" i="1" s="1"/>
  <c r="VA103" i="1"/>
  <c r="VC103" i="1" s="1"/>
  <c r="VA100" i="1"/>
  <c r="VC100" i="1" s="1"/>
  <c r="VA97" i="1"/>
  <c r="VC97" i="1" s="1"/>
  <c r="VA94" i="1"/>
  <c r="VC94" i="1" s="1"/>
  <c r="VA91" i="1"/>
  <c r="VC91" i="1" s="1"/>
  <c r="VA88" i="1"/>
  <c r="VC88" i="1" s="1"/>
  <c r="VA85" i="1"/>
  <c r="VC85" i="1" s="1"/>
  <c r="VA82" i="1"/>
  <c r="VC82" i="1" s="1"/>
  <c r="VA79" i="1"/>
  <c r="VC79" i="1" s="1"/>
  <c r="VA76" i="1"/>
  <c r="VA69" i="1"/>
  <c r="VC69" i="1" s="1"/>
  <c r="VA66" i="1"/>
  <c r="VC66" i="1" s="1"/>
  <c r="VA63" i="1"/>
  <c r="VC63" i="1" s="1"/>
  <c r="VA60" i="1"/>
  <c r="VC60" i="1" s="1"/>
  <c r="VA57" i="1"/>
  <c r="VC57" i="1" s="1"/>
  <c r="VA54" i="1"/>
  <c r="VC54" i="1" s="1"/>
  <c r="VA51" i="1"/>
  <c r="VC51" i="1" s="1"/>
  <c r="VA48" i="1"/>
  <c r="VC48" i="1" s="1"/>
  <c r="VA45" i="1"/>
  <c r="VC45" i="1" s="1"/>
  <c r="VA43" i="1"/>
  <c r="VC43" i="1" s="1"/>
  <c r="VA36" i="1"/>
  <c r="VC36" i="1" s="1"/>
  <c r="VA34" i="1"/>
  <c r="VC34" i="1" s="1"/>
  <c r="VA32" i="1"/>
  <c r="VC32" i="1" s="1"/>
  <c r="VA30" i="1"/>
  <c r="VC30" i="1" s="1"/>
  <c r="VA28" i="1"/>
  <c r="VC28" i="1" s="1"/>
  <c r="VA26" i="1"/>
  <c r="VC26" i="1" s="1"/>
  <c r="VA24" i="1"/>
  <c r="VC24" i="1" s="1"/>
  <c r="VA21" i="1"/>
  <c r="VC21" i="1" s="1"/>
  <c r="VA18" i="1"/>
  <c r="VC18" i="1" s="1"/>
  <c r="VA15" i="1"/>
  <c r="VC15" i="1" s="1"/>
  <c r="VA13" i="1"/>
  <c r="VC13" i="1" s="1"/>
  <c r="VA10" i="1"/>
  <c r="VC10" i="1" s="1"/>
  <c r="VA7" i="1"/>
  <c r="VC7" i="1" s="1"/>
  <c r="UR425" i="1"/>
  <c r="UT425" i="1" s="1"/>
  <c r="UR422" i="1"/>
  <c r="UT422" i="1" s="1"/>
  <c r="UR419" i="1"/>
  <c r="UT419" i="1" s="1"/>
  <c r="UR416" i="1"/>
  <c r="UT416" i="1" s="1"/>
  <c r="UR413" i="1"/>
  <c r="UT413" i="1" s="1"/>
  <c r="UR410" i="1"/>
  <c r="UT410" i="1" s="1"/>
  <c r="UR408" i="1"/>
  <c r="UT408" i="1" s="1"/>
  <c r="UR405" i="1"/>
  <c r="UT405" i="1" s="1"/>
  <c r="UR402" i="1"/>
  <c r="UT402" i="1" s="1"/>
  <c r="UR399" i="1"/>
  <c r="UT399" i="1" s="1"/>
  <c r="UR396" i="1"/>
  <c r="UR388" i="1"/>
  <c r="UT388" i="1" s="1"/>
  <c r="UR385" i="1"/>
  <c r="UT385" i="1" s="1"/>
  <c r="UR383" i="1"/>
  <c r="UT383" i="1" s="1"/>
  <c r="UR380" i="1"/>
  <c r="UT380" i="1" s="1"/>
  <c r="UR377" i="1"/>
  <c r="UT377" i="1" s="1"/>
  <c r="UR374" i="1"/>
  <c r="UT374" i="1" s="1"/>
  <c r="UR371" i="1"/>
  <c r="UT371" i="1" s="1"/>
  <c r="UR368" i="1"/>
  <c r="UT368" i="1" s="1"/>
  <c r="UR365" i="1"/>
  <c r="UT365" i="1" s="1"/>
  <c r="UR362" i="1"/>
  <c r="UT362" i="1" s="1"/>
  <c r="UR353" i="1"/>
  <c r="UT353" i="1" s="1"/>
  <c r="UR350" i="1"/>
  <c r="UT350" i="1" s="1"/>
  <c r="UR347" i="1"/>
  <c r="UT347" i="1" s="1"/>
  <c r="UR345" i="1"/>
  <c r="UT345" i="1" s="1"/>
  <c r="UR342" i="1"/>
  <c r="UT342" i="1" s="1"/>
  <c r="UR339" i="1"/>
  <c r="UT339" i="1" s="1"/>
  <c r="UR336" i="1"/>
  <c r="UT336" i="1" s="1"/>
  <c r="UR333" i="1"/>
  <c r="UT333" i="1" s="1"/>
  <c r="UR330" i="1"/>
  <c r="UT330" i="1" s="1"/>
  <c r="UR327" i="1"/>
  <c r="UT327" i="1" s="1"/>
  <c r="UR319" i="1"/>
  <c r="UT319" i="1" s="1"/>
  <c r="UR316" i="1"/>
  <c r="UT316" i="1" s="1"/>
  <c r="UR314" i="1"/>
  <c r="UT314" i="1" s="1"/>
  <c r="UR311" i="1"/>
  <c r="UT311" i="1" s="1"/>
  <c r="UR308" i="1"/>
  <c r="UT308" i="1" s="1"/>
  <c r="UR305" i="1"/>
  <c r="UT305" i="1" s="1"/>
  <c r="UR302" i="1"/>
  <c r="UT302" i="1" s="1"/>
  <c r="UR299" i="1"/>
  <c r="UT299" i="1" s="1"/>
  <c r="UR296" i="1"/>
  <c r="UT296" i="1" s="1"/>
  <c r="UR293" i="1"/>
  <c r="UT293" i="1" s="1"/>
  <c r="UR290" i="1"/>
  <c r="UR282" i="1"/>
  <c r="UT282" i="1" s="1"/>
  <c r="UR280" i="1"/>
  <c r="UT280" i="1" s="1"/>
  <c r="UR277" i="1"/>
  <c r="UT277" i="1" s="1"/>
  <c r="UR274" i="1"/>
  <c r="UT274" i="1" s="1"/>
  <c r="UR271" i="1"/>
  <c r="UT271" i="1" s="1"/>
  <c r="UR268" i="1"/>
  <c r="UT268" i="1" s="1"/>
  <c r="UR265" i="1"/>
  <c r="UT265" i="1" s="1"/>
  <c r="UR262" i="1"/>
  <c r="UT262" i="1" s="1"/>
  <c r="UR259" i="1"/>
  <c r="UT259" i="1" s="1"/>
  <c r="UR257" i="1"/>
  <c r="UT257" i="1" s="1"/>
  <c r="UR255" i="1"/>
  <c r="UT255" i="1" s="1"/>
  <c r="UT248" i="1"/>
  <c r="UT246" i="1"/>
  <c r="UT244" i="1"/>
  <c r="UT241" i="1"/>
  <c r="UT238" i="1"/>
  <c r="UT235" i="1"/>
  <c r="UT232" i="1"/>
  <c r="UT228" i="1"/>
  <c r="UT226" i="1"/>
  <c r="UT223" i="1"/>
  <c r="UT220" i="1"/>
  <c r="UT212" i="1"/>
  <c r="UT209" i="1"/>
  <c r="UT206" i="1"/>
  <c r="UT204" i="1"/>
  <c r="UT201" i="1"/>
  <c r="UT198" i="1"/>
  <c r="UT195" i="1"/>
  <c r="UT191" i="1"/>
  <c r="UT188" i="1"/>
  <c r="UT185" i="1"/>
  <c r="UT176" i="1"/>
  <c r="UT172" i="1"/>
  <c r="UT169" i="1"/>
  <c r="UT166" i="1"/>
  <c r="UT163" i="1"/>
  <c r="UT160" i="1"/>
  <c r="UT157" i="1"/>
  <c r="UT154" i="1"/>
  <c r="UT151" i="1"/>
  <c r="UT149" i="1"/>
  <c r="UR140" i="1"/>
  <c r="UT140" i="1" s="1"/>
  <c r="UR137" i="1"/>
  <c r="UT137" i="1" s="1"/>
  <c r="UR134" i="1"/>
  <c r="UT134" i="1" s="1"/>
  <c r="UR132" i="1"/>
  <c r="UT132" i="1" s="1"/>
  <c r="UR129" i="1"/>
  <c r="UT129" i="1" s="1"/>
  <c r="UR126" i="1"/>
  <c r="UT126" i="1" s="1"/>
  <c r="UR123" i="1"/>
  <c r="UT123" i="1" s="1"/>
  <c r="UR120" i="1"/>
  <c r="UT120" i="1" s="1"/>
  <c r="UR118" i="1"/>
  <c r="UT118" i="1" s="1"/>
  <c r="UR115" i="1"/>
  <c r="UT115" i="1" s="1"/>
  <c r="UR112" i="1"/>
  <c r="UR104" i="1"/>
  <c r="UT104" i="1" s="1"/>
  <c r="UR101" i="1"/>
  <c r="UT101" i="1" s="1"/>
  <c r="UR98" i="1"/>
  <c r="UT98" i="1" s="1"/>
  <c r="UR95" i="1"/>
  <c r="UT95" i="1" s="1"/>
  <c r="UR92" i="1"/>
  <c r="UT92" i="1" s="1"/>
  <c r="UR89" i="1"/>
  <c r="UT89" i="1" s="1"/>
  <c r="UR86" i="1"/>
  <c r="UT86" i="1" s="1"/>
  <c r="UR83" i="1"/>
  <c r="UT83" i="1" s="1"/>
  <c r="UR80" i="1"/>
  <c r="UT80" i="1" s="1"/>
  <c r="UR77" i="1"/>
  <c r="UT77" i="1" s="1"/>
  <c r="UR69" i="1"/>
  <c r="UT69" i="1" s="1"/>
  <c r="UR68" i="1"/>
  <c r="UT68" i="1" s="1"/>
  <c r="UR65" i="1"/>
  <c r="UT65" i="1" s="1"/>
  <c r="UR62" i="1"/>
  <c r="UT62" i="1" s="1"/>
  <c r="UR59" i="1"/>
  <c r="UT59" i="1" s="1"/>
  <c r="UR56" i="1"/>
  <c r="UT56" i="1" s="1"/>
  <c r="UR53" i="1"/>
  <c r="UT53" i="1" s="1"/>
  <c r="UR50" i="1"/>
  <c r="UT50" i="1" s="1"/>
  <c r="UR47" i="1"/>
  <c r="UT47" i="1" s="1"/>
  <c r="UR44" i="1"/>
  <c r="UT44" i="1" s="1"/>
  <c r="UR36" i="1"/>
  <c r="UT36" i="1" s="1"/>
  <c r="UR33" i="1"/>
  <c r="UT33" i="1" s="1"/>
  <c r="UR30" i="1"/>
  <c r="UT30" i="1" s="1"/>
  <c r="UR27" i="1"/>
  <c r="UT27" i="1" s="1"/>
  <c r="UR26" i="1"/>
  <c r="UT26" i="1" s="1"/>
  <c r="UR23" i="1"/>
  <c r="UT23" i="1" s="1"/>
  <c r="UR18" i="1"/>
  <c r="UT18" i="1" s="1"/>
  <c r="UR17" i="1"/>
  <c r="UT17" i="1" s="1"/>
  <c r="UR14" i="1"/>
  <c r="UT14" i="1" s="1"/>
  <c r="UR11" i="1"/>
  <c r="UT11" i="1" s="1"/>
  <c r="UR8" i="1"/>
  <c r="UT8" i="1" s="1"/>
  <c r="UI426" i="1"/>
  <c r="UK426" i="1" s="1"/>
  <c r="UI423" i="1"/>
  <c r="UK423" i="1" s="1"/>
  <c r="UI420" i="1"/>
  <c r="UK420" i="1" s="1"/>
  <c r="UI417" i="1"/>
  <c r="UK417" i="1" s="1"/>
  <c r="UI414" i="1"/>
  <c r="UK414" i="1" s="1"/>
  <c r="UI411" i="1"/>
  <c r="UK411" i="1" s="1"/>
  <c r="UI408" i="1"/>
  <c r="UK408" i="1" s="1"/>
  <c r="UI405" i="1"/>
  <c r="UK405" i="1" s="1"/>
  <c r="UI404" i="1"/>
  <c r="UK404" i="1" s="1"/>
  <c r="UI401" i="1"/>
  <c r="UK401" i="1" s="1"/>
  <c r="UI398" i="1"/>
  <c r="UK398" i="1" s="1"/>
  <c r="UI390" i="1"/>
  <c r="UK390" i="1" s="1"/>
  <c r="UI387" i="1"/>
  <c r="UK387" i="1" s="1"/>
  <c r="UI384" i="1"/>
  <c r="UK384" i="1" s="1"/>
  <c r="UI381" i="1"/>
  <c r="UK381" i="1" s="1"/>
  <c r="UI378" i="1"/>
  <c r="UK378" i="1" s="1"/>
  <c r="UI375" i="1"/>
  <c r="UK375" i="1" s="1"/>
  <c r="UI372" i="1"/>
  <c r="UK372" i="1" s="1"/>
  <c r="UI369" i="1"/>
  <c r="UK369" i="1" s="1"/>
  <c r="UI366" i="1"/>
  <c r="UK366" i="1" s="1"/>
  <c r="UI363" i="1"/>
  <c r="UK363" i="1" s="1"/>
  <c r="UI355" i="1"/>
  <c r="UK355" i="1" s="1"/>
  <c r="UI352" i="1"/>
  <c r="UK352" i="1" s="1"/>
  <c r="UI351" i="1"/>
  <c r="UK351" i="1" s="1"/>
  <c r="UI348" i="1"/>
  <c r="UK348" i="1" s="1"/>
  <c r="UI345" i="1"/>
  <c r="UK345" i="1" s="1"/>
  <c r="UI342" i="1"/>
  <c r="UK342" i="1" s="1"/>
  <c r="UI339" i="1"/>
  <c r="UK339" i="1" s="1"/>
  <c r="UI336" i="1"/>
  <c r="UK336" i="1" s="1"/>
  <c r="UI333" i="1"/>
  <c r="UK333" i="1" s="1"/>
  <c r="UI330" i="1"/>
  <c r="UK330" i="1" s="1"/>
  <c r="UI327" i="1"/>
  <c r="UK327" i="1" s="1"/>
  <c r="UI319" i="1"/>
  <c r="UK319" i="1" s="1"/>
  <c r="UI316" i="1"/>
  <c r="UK316" i="1" s="1"/>
  <c r="UI313" i="1"/>
  <c r="UK313" i="1" s="1"/>
  <c r="UI310" i="1"/>
  <c r="UK310" i="1" s="1"/>
  <c r="UI308" i="1"/>
  <c r="UK308" i="1" s="1"/>
  <c r="UI306" i="1"/>
  <c r="UK306" i="1" s="1"/>
  <c r="UI304" i="1"/>
  <c r="UK304" i="1" s="1"/>
  <c r="UI302" i="1"/>
  <c r="UK302" i="1" s="1"/>
  <c r="UI301" i="1"/>
  <c r="UK301" i="1" s="1"/>
  <c r="UI299" i="1"/>
  <c r="UK299" i="1" s="1"/>
  <c r="UI296" i="1"/>
  <c r="UK296" i="1" s="1"/>
  <c r="UI293" i="1"/>
  <c r="UK293" i="1" s="1"/>
  <c r="UI290" i="1"/>
  <c r="UI282" i="1"/>
  <c r="UK282" i="1" s="1"/>
  <c r="UI279" i="1"/>
  <c r="UK279" i="1" s="1"/>
  <c r="UI278" i="1"/>
  <c r="UK278" i="1" s="1"/>
  <c r="UI275" i="1"/>
  <c r="UK275" i="1" s="1"/>
  <c r="UI272" i="1"/>
  <c r="UK272" i="1" s="1"/>
  <c r="UI269" i="1"/>
  <c r="UK269" i="1" s="1"/>
  <c r="UI266" i="1"/>
  <c r="UK266" i="1" s="1"/>
  <c r="UI263" i="1"/>
  <c r="UK263" i="1" s="1"/>
  <c r="UI260" i="1"/>
  <c r="UK260" i="1" s="1"/>
  <c r="UI257" i="1"/>
  <c r="UK257" i="1" s="1"/>
  <c r="UI254" i="1"/>
  <c r="UI246" i="1"/>
  <c r="UK246" i="1" s="1"/>
  <c r="UI243" i="1"/>
  <c r="UK243" i="1" s="1"/>
  <c r="UI240" i="1"/>
  <c r="UK240" i="1" s="1"/>
  <c r="UI239" i="1"/>
  <c r="UK239" i="1" s="1"/>
  <c r="UI236" i="1"/>
  <c r="UK236" i="1" s="1"/>
  <c r="UI233" i="1"/>
  <c r="UK233" i="1" s="1"/>
  <c r="UI230" i="1"/>
  <c r="UK230" i="1" s="1"/>
  <c r="UI227" i="1"/>
  <c r="UK227" i="1" s="1"/>
  <c r="UI224" i="1"/>
  <c r="UK224" i="1" s="1"/>
  <c r="UI221" i="1"/>
  <c r="UK221" i="1" s="1"/>
  <c r="UI218" i="1"/>
  <c r="UK210" i="1"/>
  <c r="UK207" i="1"/>
  <c r="UK206" i="1"/>
  <c r="UK203" i="1"/>
  <c r="UK200" i="1"/>
  <c r="UK197" i="1"/>
  <c r="UK194" i="1"/>
  <c r="UK191" i="1"/>
  <c r="UK188" i="1"/>
  <c r="UK185" i="1"/>
  <c r="UK177" i="1"/>
  <c r="UK174" i="1"/>
  <c r="UK171" i="1"/>
  <c r="UK168" i="1"/>
  <c r="UK165" i="1"/>
  <c r="UK162" i="1"/>
  <c r="UK161" i="1"/>
  <c r="UK158" i="1"/>
  <c r="UK155" i="1"/>
  <c r="UK152" i="1"/>
  <c r="UK149" i="1"/>
  <c r="UI141" i="1"/>
  <c r="UK141" i="1" s="1"/>
  <c r="UI138" i="1"/>
  <c r="UK138" i="1" s="1"/>
  <c r="UI135" i="1"/>
  <c r="UK135" i="1" s="1"/>
  <c r="UI132" i="1"/>
  <c r="UK132" i="1" s="1"/>
  <c r="UI129" i="1"/>
  <c r="UK129" i="1" s="1"/>
  <c r="UI126" i="1"/>
  <c r="UK126" i="1" s="1"/>
  <c r="UI123" i="1"/>
  <c r="UK123" i="1" s="1"/>
  <c r="UI120" i="1"/>
  <c r="UK120" i="1" s="1"/>
  <c r="UI117" i="1"/>
  <c r="UK117" i="1" s="1"/>
  <c r="UI114" i="1"/>
  <c r="UK114" i="1" s="1"/>
  <c r="UI106" i="1"/>
  <c r="UK106" i="1" s="1"/>
  <c r="UI103" i="1"/>
  <c r="UK103" i="1" s="1"/>
  <c r="UI100" i="1"/>
  <c r="UK100" i="1" s="1"/>
  <c r="UI99" i="1"/>
  <c r="UK99" i="1" s="1"/>
  <c r="UI96" i="1"/>
  <c r="UK96" i="1" s="1"/>
  <c r="UI94" i="1"/>
  <c r="UK94" i="1" s="1"/>
  <c r="UI92" i="1"/>
  <c r="UK92" i="1" s="1"/>
  <c r="UI90" i="1"/>
  <c r="UK90" i="1" s="1"/>
  <c r="UI87" i="1"/>
  <c r="UK87" i="1" s="1"/>
  <c r="UI84" i="1"/>
  <c r="UK84" i="1" s="1"/>
  <c r="UI81" i="1"/>
  <c r="UK81" i="1" s="1"/>
  <c r="UI78" i="1"/>
  <c r="UK78" i="1" s="1"/>
  <c r="UI70" i="1"/>
  <c r="UK70" i="1" s="1"/>
  <c r="UI67" i="1"/>
  <c r="UK67" i="1" s="1"/>
  <c r="UI65" i="1"/>
  <c r="UK65" i="1" s="1"/>
  <c r="UI62" i="1"/>
  <c r="UK62" i="1" s="1"/>
  <c r="UI59" i="1"/>
  <c r="UK59" i="1" s="1"/>
  <c r="UI56" i="1"/>
  <c r="UK56" i="1" s="1"/>
  <c r="UI54" i="1"/>
  <c r="UK54" i="1" s="1"/>
  <c r="UI51" i="1"/>
  <c r="UK51" i="1" s="1"/>
  <c r="UI48" i="1"/>
  <c r="UK48" i="1" s="1"/>
  <c r="UI45" i="1"/>
  <c r="UK45" i="1" s="1"/>
  <c r="UI42" i="1"/>
  <c r="UI34" i="1"/>
  <c r="UK34" i="1" s="1"/>
  <c r="UI31" i="1"/>
  <c r="UK31" i="1" s="1"/>
  <c r="UI28" i="1"/>
  <c r="UK28" i="1" s="1"/>
  <c r="UI26" i="1"/>
  <c r="UK26" i="1" s="1"/>
  <c r="UI23" i="1"/>
  <c r="UK23" i="1" s="1"/>
  <c r="UI20" i="1"/>
  <c r="UK20" i="1" s="1"/>
  <c r="UI17" i="1"/>
  <c r="UK17" i="1" s="1"/>
  <c r="UI14" i="1"/>
  <c r="UK14" i="1" s="1"/>
  <c r="UI11" i="1"/>
  <c r="UK11" i="1" s="1"/>
  <c r="UI8" i="1"/>
  <c r="UK8" i="1" s="1"/>
  <c r="TZ426" i="1"/>
  <c r="UB426" i="1" s="1"/>
  <c r="TZ423" i="1"/>
  <c r="UB423" i="1" s="1"/>
  <c r="TZ420" i="1"/>
  <c r="UB420" i="1" s="1"/>
  <c r="TZ417" i="1"/>
  <c r="UB417" i="1" s="1"/>
  <c r="TZ414" i="1"/>
  <c r="UB414" i="1" s="1"/>
  <c r="TZ411" i="1"/>
  <c r="UB411" i="1" s="1"/>
  <c r="TZ408" i="1"/>
  <c r="UB408" i="1" s="1"/>
  <c r="TZ405" i="1"/>
  <c r="UB405" i="1" s="1"/>
  <c r="TZ404" i="1"/>
  <c r="UB404" i="1" s="1"/>
  <c r="TZ401" i="1"/>
  <c r="UB401" i="1" s="1"/>
  <c r="TZ398" i="1"/>
  <c r="UB398" i="1" s="1"/>
  <c r="TZ390" i="1"/>
  <c r="UB390" i="1" s="1"/>
  <c r="TZ387" i="1"/>
  <c r="UB387" i="1" s="1"/>
  <c r="TZ384" i="1"/>
  <c r="UB384" i="1" s="1"/>
  <c r="TZ381" i="1"/>
  <c r="UB381" i="1" s="1"/>
  <c r="TZ378" i="1"/>
  <c r="UB378" i="1" s="1"/>
  <c r="TZ375" i="1"/>
  <c r="UB375" i="1" s="1"/>
  <c r="TZ372" i="1"/>
  <c r="UB372" i="1" s="1"/>
  <c r="TZ369" i="1"/>
  <c r="UB369" i="1" s="1"/>
  <c r="TZ366" i="1"/>
  <c r="UB366" i="1" s="1"/>
  <c r="TZ363" i="1"/>
  <c r="UB363" i="1" s="1"/>
  <c r="TZ355" i="1"/>
  <c r="UB355" i="1" s="1"/>
  <c r="TZ353" i="1"/>
  <c r="UB353" i="1" s="1"/>
  <c r="TZ351" i="1"/>
  <c r="UB351" i="1" s="1"/>
  <c r="TZ348" i="1"/>
  <c r="UB348" i="1" s="1"/>
  <c r="TZ345" i="1"/>
  <c r="UB345" i="1" s="1"/>
  <c r="TZ342" i="1"/>
  <c r="UB342" i="1" s="1"/>
  <c r="TZ339" i="1"/>
  <c r="UB339" i="1" s="1"/>
  <c r="TZ336" i="1"/>
  <c r="UB336" i="1" s="1"/>
  <c r="TZ333" i="1"/>
  <c r="UB333" i="1" s="1"/>
  <c r="TZ330" i="1"/>
  <c r="UB330" i="1" s="1"/>
  <c r="TZ327" i="1"/>
  <c r="UB327" i="1" s="1"/>
  <c r="TZ319" i="1"/>
  <c r="UB319" i="1" s="1"/>
  <c r="TZ316" i="1"/>
  <c r="UB316" i="1" s="1"/>
  <c r="TZ313" i="1"/>
  <c r="UB313" i="1" s="1"/>
  <c r="TZ312" i="1"/>
  <c r="UB312" i="1" s="1"/>
  <c r="TZ309" i="1"/>
  <c r="UB309" i="1" s="1"/>
  <c r="TZ306" i="1"/>
  <c r="UB306" i="1" s="1"/>
  <c r="TZ303" i="1"/>
  <c r="UB303" i="1" s="1"/>
  <c r="TZ300" i="1"/>
  <c r="UB300" i="1" s="1"/>
  <c r="TZ297" i="1"/>
  <c r="UB297" i="1" s="1"/>
  <c r="TZ294" i="1"/>
  <c r="UB294" i="1" s="1"/>
  <c r="TZ291" i="1"/>
  <c r="UB291" i="1" s="1"/>
  <c r="TZ283" i="1"/>
  <c r="UB283" i="1" s="1"/>
  <c r="TZ280" i="1"/>
  <c r="UB280" i="1" s="1"/>
  <c r="TZ279" i="1"/>
  <c r="UB279" i="1" s="1"/>
  <c r="TZ276" i="1"/>
  <c r="UB276" i="1" s="1"/>
  <c r="TZ273" i="1"/>
  <c r="UB273" i="1" s="1"/>
  <c r="TZ270" i="1"/>
  <c r="UB270" i="1" s="1"/>
  <c r="TZ267" i="1"/>
  <c r="UB267" i="1" s="1"/>
  <c r="TZ264" i="1"/>
  <c r="UB264" i="1" s="1"/>
  <c r="TZ260" i="1"/>
  <c r="UB260" i="1" s="1"/>
  <c r="TZ258" i="1"/>
  <c r="UB258" i="1" s="1"/>
  <c r="TZ255" i="1"/>
  <c r="UB255" i="1" s="1"/>
  <c r="TZ247" i="1"/>
  <c r="UB247" i="1" s="1"/>
  <c r="TZ244" i="1"/>
  <c r="UB244" i="1" s="1"/>
  <c r="TZ241" i="1"/>
  <c r="UB241" i="1" s="1"/>
  <c r="TZ238" i="1"/>
  <c r="UB238" i="1" s="1"/>
  <c r="TZ235" i="1"/>
  <c r="UB235" i="1" s="1"/>
  <c r="TZ232" i="1"/>
  <c r="UB232" i="1" s="1"/>
  <c r="TZ229" i="1"/>
  <c r="UB229" i="1" s="1"/>
  <c r="TZ226" i="1"/>
  <c r="UB226" i="1" s="1"/>
  <c r="TZ223" i="1"/>
  <c r="UB223" i="1" s="1"/>
  <c r="TZ221" i="1"/>
  <c r="UB221" i="1" s="1"/>
  <c r="TZ218" i="1"/>
  <c r="UB210" i="1"/>
  <c r="UB207" i="1"/>
  <c r="UB204" i="1"/>
  <c r="UB201" i="1"/>
  <c r="UB198" i="1"/>
  <c r="UB195" i="1"/>
  <c r="UB192" i="1"/>
  <c r="UB189" i="1"/>
  <c r="UB187" i="1"/>
  <c r="UB185" i="1"/>
  <c r="UB176" i="1"/>
  <c r="UB174" i="1"/>
  <c r="UB173" i="1"/>
  <c r="UB170" i="1"/>
  <c r="UB167" i="1"/>
  <c r="UB164" i="1"/>
  <c r="UB162" i="1"/>
  <c r="UB159" i="1"/>
  <c r="UB156" i="1"/>
  <c r="UB153" i="1"/>
  <c r="UB151" i="1"/>
  <c r="UB148" i="1"/>
  <c r="TZ139" i="1"/>
  <c r="UB139" i="1" s="1"/>
  <c r="TZ136" i="1"/>
  <c r="UB136" i="1" s="1"/>
  <c r="TZ132" i="1"/>
  <c r="UB132" i="1" s="1"/>
  <c r="TZ129" i="1"/>
  <c r="UB129" i="1" s="1"/>
  <c r="TZ125" i="1"/>
  <c r="UB125" i="1" s="1"/>
  <c r="TZ122" i="1"/>
  <c r="UB122" i="1" s="1"/>
  <c r="TZ119" i="1"/>
  <c r="UB119" i="1" s="1"/>
  <c r="TZ116" i="1"/>
  <c r="UB116" i="1" s="1"/>
  <c r="TZ113" i="1"/>
  <c r="UB113" i="1" s="1"/>
  <c r="TZ105" i="1"/>
  <c r="UB105" i="1" s="1"/>
  <c r="TZ102" i="1"/>
  <c r="UB102" i="1" s="1"/>
  <c r="TZ99" i="1"/>
  <c r="UB99" i="1" s="1"/>
  <c r="TZ96" i="1"/>
  <c r="UB96" i="1" s="1"/>
  <c r="TZ93" i="1"/>
  <c r="UB93" i="1" s="1"/>
  <c r="TZ90" i="1"/>
  <c r="UB90" i="1" s="1"/>
  <c r="TZ87" i="1"/>
  <c r="UB87" i="1" s="1"/>
  <c r="TZ84" i="1"/>
  <c r="UB84" i="1" s="1"/>
  <c r="TZ82" i="1"/>
  <c r="UB82" i="1" s="1"/>
  <c r="TZ80" i="1"/>
  <c r="UB80" i="1" s="1"/>
  <c r="TZ77" i="1"/>
  <c r="UB77" i="1" s="1"/>
  <c r="TZ69" i="1"/>
  <c r="UB69" i="1" s="1"/>
  <c r="TZ66" i="1"/>
  <c r="UB66" i="1" s="1"/>
  <c r="TZ63" i="1"/>
  <c r="UB63" i="1" s="1"/>
  <c r="TZ60" i="1"/>
  <c r="UB60" i="1" s="1"/>
  <c r="TZ57" i="1"/>
  <c r="UB57" i="1" s="1"/>
  <c r="TZ54" i="1"/>
  <c r="UB54" i="1" s="1"/>
  <c r="TZ51" i="1"/>
  <c r="UB51" i="1" s="1"/>
  <c r="TZ48" i="1"/>
  <c r="UB48" i="1" s="1"/>
  <c r="TZ46" i="1"/>
  <c r="UB46" i="1" s="1"/>
  <c r="TZ43" i="1"/>
  <c r="UB43" i="1" s="1"/>
  <c r="TZ35" i="1"/>
  <c r="UB35" i="1" s="1"/>
  <c r="TZ33" i="1"/>
  <c r="UB33" i="1" s="1"/>
  <c r="TZ30" i="1"/>
  <c r="UB30" i="1" s="1"/>
  <c r="TZ27" i="1"/>
  <c r="UB27" i="1" s="1"/>
  <c r="TZ24" i="1"/>
  <c r="UB24" i="1" s="1"/>
  <c r="TZ21" i="1"/>
  <c r="UB21" i="1" s="1"/>
  <c r="TZ18" i="1"/>
  <c r="UB18" i="1" s="1"/>
  <c r="TZ15" i="1"/>
  <c r="UB15" i="1" s="1"/>
  <c r="TZ12" i="1"/>
  <c r="UB12" i="1" s="1"/>
  <c r="TZ9" i="1"/>
  <c r="UB9" i="1" s="1"/>
  <c r="TZ7" i="1"/>
  <c r="UB7" i="1" s="1"/>
  <c r="TQ425" i="1"/>
  <c r="TS425" i="1" s="1"/>
  <c r="TQ422" i="1"/>
  <c r="TS422" i="1" s="1"/>
  <c r="TQ419" i="1"/>
  <c r="TS419" i="1" s="1"/>
  <c r="TQ416" i="1"/>
  <c r="TS416" i="1" s="1"/>
  <c r="TQ413" i="1"/>
  <c r="TS413" i="1" s="1"/>
  <c r="TQ411" i="1"/>
  <c r="TS411" i="1" s="1"/>
  <c r="TQ408" i="1"/>
  <c r="TS408" i="1" s="1"/>
  <c r="TQ405" i="1"/>
  <c r="TS405" i="1" s="1"/>
  <c r="TQ403" i="1"/>
  <c r="TS403" i="1" s="1"/>
  <c r="TQ401" i="1"/>
  <c r="TS401" i="1" s="1"/>
  <c r="TQ399" i="1"/>
  <c r="TS399" i="1" s="1"/>
  <c r="TQ397" i="1"/>
  <c r="TS397" i="1" s="1"/>
  <c r="TQ389" i="1"/>
  <c r="TS389" i="1" s="1"/>
  <c r="TQ386" i="1"/>
  <c r="TS386" i="1" s="1"/>
  <c r="TQ384" i="1"/>
  <c r="TS384" i="1" s="1"/>
  <c r="TQ383" i="1"/>
  <c r="TS383" i="1" s="1"/>
  <c r="TQ381" i="1"/>
  <c r="TS381" i="1" s="1"/>
  <c r="TQ379" i="1"/>
  <c r="TS379" i="1" s="1"/>
  <c r="TQ377" i="1"/>
  <c r="TS377" i="1" s="1"/>
  <c r="TQ375" i="1"/>
  <c r="TS375" i="1" s="1"/>
  <c r="TQ373" i="1"/>
  <c r="TS373" i="1" s="1"/>
  <c r="TQ371" i="1"/>
  <c r="TS371" i="1" s="1"/>
  <c r="TQ368" i="1"/>
  <c r="TS368" i="1" s="1"/>
  <c r="TQ365" i="1"/>
  <c r="TS365" i="1" s="1"/>
  <c r="TQ362" i="1"/>
  <c r="TS362" i="1" s="1"/>
  <c r="TQ354" i="1"/>
  <c r="TS354" i="1" s="1"/>
  <c r="TQ352" i="1"/>
  <c r="TS352" i="1" s="1"/>
  <c r="TQ349" i="1"/>
  <c r="TS349" i="1" s="1"/>
  <c r="TQ346" i="1"/>
  <c r="TS346" i="1" s="1"/>
  <c r="TQ343" i="1"/>
  <c r="TS343" i="1" s="1"/>
  <c r="TQ340" i="1"/>
  <c r="TS340" i="1" s="1"/>
  <c r="TQ338" i="1"/>
  <c r="TS338" i="1" s="1"/>
  <c r="TQ335" i="1"/>
  <c r="TS335" i="1" s="1"/>
  <c r="TQ332" i="1"/>
  <c r="TS332" i="1" s="1"/>
  <c r="TQ329" i="1"/>
  <c r="TS329" i="1" s="1"/>
  <c r="TQ326" i="1"/>
  <c r="TS326" i="1" s="1"/>
  <c r="TQ319" i="1"/>
  <c r="TS319" i="1" s="1"/>
  <c r="TQ316" i="1"/>
  <c r="TS316" i="1" s="1"/>
  <c r="TQ313" i="1"/>
  <c r="TS313" i="1" s="1"/>
  <c r="TQ310" i="1"/>
  <c r="TS310" i="1" s="1"/>
  <c r="TQ307" i="1"/>
  <c r="TS307" i="1" s="1"/>
  <c r="TQ304" i="1"/>
  <c r="TS304" i="1" s="1"/>
  <c r="TQ301" i="1"/>
  <c r="TS301" i="1" s="1"/>
  <c r="TQ298" i="1"/>
  <c r="TS298" i="1" s="1"/>
  <c r="TQ295" i="1"/>
  <c r="TS295" i="1" s="1"/>
  <c r="TQ292" i="1"/>
  <c r="TS292" i="1" s="1"/>
  <c r="TQ284" i="1"/>
  <c r="TS284" i="1" s="1"/>
  <c r="TQ281" i="1"/>
  <c r="TS281" i="1" s="1"/>
  <c r="TQ278" i="1"/>
  <c r="TS278" i="1" s="1"/>
  <c r="TQ275" i="1"/>
  <c r="TS275" i="1" s="1"/>
  <c r="TQ273" i="1"/>
  <c r="TS273" i="1" s="1"/>
  <c r="TQ270" i="1"/>
  <c r="TS270" i="1" s="1"/>
  <c r="TQ267" i="1"/>
  <c r="TS267" i="1" s="1"/>
  <c r="TQ264" i="1"/>
  <c r="TS264" i="1" s="1"/>
  <c r="TQ261" i="1"/>
  <c r="TS261" i="1" s="1"/>
  <c r="TQ258" i="1"/>
  <c r="TS258" i="1" s="1"/>
  <c r="TQ255" i="1"/>
  <c r="TS255" i="1" s="1"/>
  <c r="TQ247" i="1"/>
  <c r="TS247" i="1" s="1"/>
  <c r="TQ244" i="1"/>
  <c r="TS244" i="1" s="1"/>
  <c r="TQ241" i="1"/>
  <c r="TS241" i="1" s="1"/>
  <c r="TQ238" i="1"/>
  <c r="TS238" i="1" s="1"/>
  <c r="TQ235" i="1"/>
  <c r="TS235" i="1" s="1"/>
  <c r="TQ232" i="1"/>
  <c r="TS232" i="1" s="1"/>
  <c r="TQ229" i="1"/>
  <c r="TS229" i="1" s="1"/>
  <c r="TQ226" i="1"/>
  <c r="TS226" i="1" s="1"/>
  <c r="TQ223" i="1"/>
  <c r="TS223" i="1" s="1"/>
  <c r="TQ220" i="1"/>
  <c r="TS220" i="1" s="1"/>
  <c r="TS212" i="1"/>
  <c r="TS209" i="1"/>
  <c r="TS206" i="1"/>
  <c r="TS203" i="1"/>
  <c r="TS199" i="1"/>
  <c r="TS196" i="1"/>
  <c r="TS193" i="1"/>
  <c r="TS190" i="1"/>
  <c r="TS187" i="1"/>
  <c r="TS184" i="1"/>
  <c r="TS176" i="1"/>
  <c r="TS173" i="1"/>
  <c r="TS170" i="1"/>
  <c r="TS167" i="1"/>
  <c r="TS164" i="1"/>
  <c r="TS161" i="1"/>
  <c r="TS159" i="1"/>
  <c r="TS156" i="1"/>
  <c r="TS153" i="1"/>
  <c r="TS150" i="1"/>
  <c r="TQ139" i="1"/>
  <c r="TS139" i="1" s="1"/>
  <c r="TQ135" i="1"/>
  <c r="TS135" i="1" s="1"/>
  <c r="TQ132" i="1"/>
  <c r="TS132" i="1" s="1"/>
  <c r="TQ129" i="1"/>
  <c r="TS129" i="1" s="1"/>
  <c r="TQ126" i="1"/>
  <c r="TS126" i="1" s="1"/>
  <c r="TQ123" i="1"/>
  <c r="TS123" i="1" s="1"/>
  <c r="TQ120" i="1"/>
  <c r="TS120" i="1" s="1"/>
  <c r="TQ117" i="1"/>
  <c r="TS117" i="1" s="1"/>
  <c r="TQ114" i="1"/>
  <c r="TS114" i="1" s="1"/>
  <c r="TQ106" i="1"/>
  <c r="TS106" i="1" s="1"/>
  <c r="TQ103" i="1"/>
  <c r="TS103" i="1" s="1"/>
  <c r="TQ100" i="1"/>
  <c r="TS100" i="1" s="1"/>
  <c r="TQ98" i="1"/>
  <c r="TS98" i="1" s="1"/>
  <c r="TQ95" i="1"/>
  <c r="TS95" i="1" s="1"/>
  <c r="TQ92" i="1"/>
  <c r="TS92" i="1" s="1"/>
  <c r="TQ89" i="1"/>
  <c r="TS89" i="1" s="1"/>
  <c r="TQ85" i="1"/>
  <c r="TS85" i="1" s="1"/>
  <c r="TQ81" i="1"/>
  <c r="TS81" i="1" s="1"/>
  <c r="TQ78" i="1"/>
  <c r="TS78" i="1" s="1"/>
  <c r="TQ70" i="1"/>
  <c r="TS70" i="1" s="1"/>
  <c r="TQ67" i="1"/>
  <c r="TS67" i="1" s="1"/>
  <c r="TQ64" i="1"/>
  <c r="TS64" i="1" s="1"/>
  <c r="TQ61" i="1"/>
  <c r="TS61" i="1" s="1"/>
  <c r="TQ58" i="1"/>
  <c r="TS58" i="1" s="1"/>
  <c r="TQ55" i="1"/>
  <c r="TS55" i="1" s="1"/>
  <c r="TQ54" i="1"/>
  <c r="TS54" i="1" s="1"/>
  <c r="TQ51" i="1"/>
  <c r="TS51" i="1" s="1"/>
  <c r="TQ48" i="1"/>
  <c r="TS48" i="1" s="1"/>
  <c r="TQ45" i="1"/>
  <c r="TS45" i="1" s="1"/>
  <c r="TQ42" i="1"/>
  <c r="TQ34" i="1"/>
  <c r="TS34" i="1" s="1"/>
  <c r="TQ31" i="1"/>
  <c r="TS31" i="1" s="1"/>
  <c r="TQ28" i="1"/>
  <c r="TS28" i="1" s="1"/>
  <c r="TQ25" i="1"/>
  <c r="TS25" i="1" s="1"/>
  <c r="TQ22" i="1"/>
  <c r="TS22" i="1" s="1"/>
  <c r="TQ18" i="1"/>
  <c r="TS18" i="1" s="1"/>
  <c r="TQ15" i="1"/>
  <c r="TS15" i="1" s="1"/>
  <c r="TQ11" i="1"/>
  <c r="TS11" i="1" s="1"/>
  <c r="TQ8" i="1"/>
  <c r="TS8" i="1" s="1"/>
  <c r="VS424" i="1"/>
  <c r="VU424" i="1" s="1"/>
  <c r="VS421" i="1"/>
  <c r="VU421" i="1" s="1"/>
  <c r="VS417" i="1"/>
  <c r="VU417" i="1" s="1"/>
  <c r="VS414" i="1"/>
  <c r="VU414" i="1" s="1"/>
  <c r="VS411" i="1"/>
  <c r="VU411" i="1" s="1"/>
  <c r="VS408" i="1"/>
  <c r="VU408" i="1" s="1"/>
  <c r="VS405" i="1"/>
  <c r="VU405" i="1" s="1"/>
  <c r="VS402" i="1"/>
  <c r="VU402" i="1" s="1"/>
  <c r="VS399" i="1"/>
  <c r="VU399" i="1" s="1"/>
  <c r="VS390" i="1"/>
  <c r="VU390" i="1" s="1"/>
  <c r="VS387" i="1"/>
  <c r="VU387" i="1" s="1"/>
  <c r="VS384" i="1"/>
  <c r="VU384" i="1" s="1"/>
  <c r="VS381" i="1"/>
  <c r="VU381" i="1" s="1"/>
  <c r="VS378" i="1"/>
  <c r="VU378" i="1" s="1"/>
  <c r="VS375" i="1"/>
  <c r="VU375" i="1" s="1"/>
  <c r="VS372" i="1"/>
  <c r="VU372" i="1" s="1"/>
  <c r="VS369" i="1"/>
  <c r="VU369" i="1" s="1"/>
  <c r="VS366" i="1"/>
  <c r="VU366" i="1" s="1"/>
  <c r="VS364" i="1"/>
  <c r="VU364" i="1" s="1"/>
  <c r="VS361" i="1"/>
  <c r="VS353" i="1"/>
  <c r="VU353" i="1" s="1"/>
  <c r="VS350" i="1"/>
  <c r="VU350" i="1" s="1"/>
  <c r="VS346" i="1"/>
  <c r="VU346" i="1" s="1"/>
  <c r="VS343" i="1"/>
  <c r="VU343" i="1" s="1"/>
  <c r="VS340" i="1"/>
  <c r="VU340" i="1" s="1"/>
  <c r="VS337" i="1"/>
  <c r="VU337" i="1" s="1"/>
  <c r="VS334" i="1"/>
  <c r="VU334" i="1" s="1"/>
  <c r="VS331" i="1"/>
  <c r="VU331" i="1" s="1"/>
  <c r="VS328" i="1"/>
  <c r="VU328" i="1" s="1"/>
  <c r="VS325" i="1"/>
  <c r="VS317" i="1"/>
  <c r="VU317" i="1" s="1"/>
  <c r="VS314" i="1"/>
  <c r="VU314" i="1" s="1"/>
  <c r="VS300" i="1"/>
  <c r="VU300" i="1" s="1"/>
  <c r="VS296" i="1"/>
  <c r="VU296" i="1" s="1"/>
  <c r="VS293" i="1"/>
  <c r="VU293" i="1" s="1"/>
  <c r="VS290" i="1"/>
  <c r="VS282" i="1"/>
  <c r="VU282" i="1" s="1"/>
  <c r="VS280" i="1"/>
  <c r="VU280" i="1" s="1"/>
  <c r="VS275" i="1"/>
  <c r="VU275" i="1" s="1"/>
  <c r="VS273" i="1"/>
  <c r="VU273" i="1" s="1"/>
  <c r="VS270" i="1"/>
  <c r="VU270" i="1" s="1"/>
  <c r="VS267" i="1"/>
  <c r="VU267" i="1" s="1"/>
  <c r="VS264" i="1"/>
  <c r="VU264" i="1" s="1"/>
  <c r="VS261" i="1"/>
  <c r="VU261" i="1" s="1"/>
  <c r="VS257" i="1"/>
  <c r="VU257" i="1" s="1"/>
  <c r="VS255" i="1"/>
  <c r="VU255" i="1" s="1"/>
  <c r="VS247" i="1"/>
  <c r="VU247" i="1" s="1"/>
  <c r="VS244" i="1"/>
  <c r="VU244" i="1" s="1"/>
  <c r="VS241" i="1"/>
  <c r="VU241" i="1" s="1"/>
  <c r="VS238" i="1"/>
  <c r="VU238" i="1" s="1"/>
  <c r="VS234" i="1"/>
  <c r="VU234" i="1" s="1"/>
  <c r="VS230" i="1"/>
  <c r="VU230" i="1" s="1"/>
  <c r="VS228" i="1"/>
  <c r="VU228" i="1" s="1"/>
  <c r="VS225" i="1"/>
  <c r="VU225" i="1" s="1"/>
  <c r="VS222" i="1"/>
  <c r="VU222" i="1" s="1"/>
  <c r="VS219" i="1"/>
  <c r="VU219" i="1" s="1"/>
  <c r="VS210" i="1"/>
  <c r="VU210" i="1" s="1"/>
  <c r="VS207" i="1"/>
  <c r="VU207" i="1" s="1"/>
  <c r="VS204" i="1"/>
  <c r="VU204" i="1" s="1"/>
  <c r="VS201" i="1"/>
  <c r="VU201" i="1" s="1"/>
  <c r="VS198" i="1"/>
  <c r="VU198" i="1" s="1"/>
  <c r="VS195" i="1"/>
  <c r="VU195" i="1" s="1"/>
  <c r="VS192" i="1"/>
  <c r="VU192" i="1" s="1"/>
  <c r="VS189" i="1"/>
  <c r="VU189" i="1" s="1"/>
  <c r="VS186" i="1"/>
  <c r="VU186" i="1" s="1"/>
  <c r="VS183" i="1"/>
  <c r="VS175" i="1"/>
  <c r="VU175" i="1" s="1"/>
  <c r="VS172" i="1"/>
  <c r="VU172" i="1" s="1"/>
  <c r="VS169" i="1"/>
  <c r="VU169" i="1" s="1"/>
  <c r="VS166" i="1"/>
  <c r="VU166" i="1" s="1"/>
  <c r="VS163" i="1"/>
  <c r="VU163" i="1" s="1"/>
  <c r="VS160" i="1"/>
  <c r="VU160" i="1" s="1"/>
  <c r="VS157" i="1"/>
  <c r="VU157" i="1" s="1"/>
  <c r="VS153" i="1"/>
  <c r="VU153" i="1" s="1"/>
  <c r="VS150" i="1"/>
  <c r="VU150" i="1" s="1"/>
  <c r="VS147" i="1"/>
  <c r="VS139" i="1"/>
  <c r="VU139" i="1" s="1"/>
  <c r="VS136" i="1"/>
  <c r="VU136" i="1" s="1"/>
  <c r="VS133" i="1"/>
  <c r="VU133" i="1" s="1"/>
  <c r="VS130" i="1"/>
  <c r="VU130" i="1" s="1"/>
  <c r="VS127" i="1"/>
  <c r="VU127" i="1" s="1"/>
  <c r="VS124" i="1"/>
  <c r="VU124" i="1" s="1"/>
  <c r="VS121" i="1"/>
  <c r="VU121" i="1" s="1"/>
  <c r="VS118" i="1"/>
  <c r="VU118" i="1" s="1"/>
  <c r="VS115" i="1"/>
  <c r="VU115" i="1" s="1"/>
  <c r="VS112" i="1"/>
  <c r="VS104" i="1"/>
  <c r="VU104" i="1" s="1"/>
  <c r="VS94" i="1"/>
  <c r="VU94" i="1" s="1"/>
  <c r="VS91" i="1"/>
  <c r="VU91" i="1" s="1"/>
  <c r="VS88" i="1"/>
  <c r="VU88" i="1" s="1"/>
  <c r="VS85" i="1"/>
  <c r="VU85" i="1" s="1"/>
  <c r="VS82" i="1"/>
  <c r="VU82" i="1" s="1"/>
  <c r="VS79" i="1"/>
  <c r="VU79" i="1" s="1"/>
  <c r="VS76" i="1"/>
  <c r="VS68" i="1"/>
  <c r="VU68" i="1" s="1"/>
  <c r="VS65" i="1"/>
  <c r="VU65" i="1" s="1"/>
  <c r="VS62" i="1"/>
  <c r="VU62" i="1" s="1"/>
  <c r="VS59" i="1"/>
  <c r="VU59" i="1" s="1"/>
  <c r="VS56" i="1"/>
  <c r="VU56" i="1" s="1"/>
  <c r="VS53" i="1"/>
  <c r="VU53" i="1" s="1"/>
  <c r="VS50" i="1"/>
  <c r="VU50" i="1" s="1"/>
  <c r="VS47" i="1"/>
  <c r="VU47" i="1" s="1"/>
  <c r="VS44" i="1"/>
  <c r="VU44" i="1" s="1"/>
  <c r="VS36" i="1"/>
  <c r="VU36" i="1" s="1"/>
  <c r="VS33" i="1"/>
  <c r="VU33" i="1" s="1"/>
  <c r="VS30" i="1"/>
  <c r="VU30" i="1" s="1"/>
  <c r="VS27" i="1"/>
  <c r="VU27" i="1" s="1"/>
  <c r="VS24" i="1"/>
  <c r="VU24" i="1" s="1"/>
  <c r="VS21" i="1"/>
  <c r="VU21" i="1" s="1"/>
  <c r="VS18" i="1"/>
  <c r="VU18" i="1" s="1"/>
  <c r="VS15" i="1"/>
  <c r="VU15" i="1" s="1"/>
  <c r="VS12" i="1"/>
  <c r="VU12" i="1" s="1"/>
  <c r="VS9" i="1"/>
  <c r="VU9" i="1" s="1"/>
  <c r="VJ426" i="1"/>
  <c r="VL426" i="1" s="1"/>
  <c r="VJ424" i="1"/>
  <c r="VL424" i="1" s="1"/>
  <c r="VJ421" i="1"/>
  <c r="VL421" i="1" s="1"/>
  <c r="VJ417" i="1"/>
  <c r="VL417" i="1" s="1"/>
  <c r="VJ414" i="1"/>
  <c r="VL414" i="1" s="1"/>
  <c r="VJ411" i="1"/>
  <c r="VL411" i="1" s="1"/>
  <c r="VJ408" i="1"/>
  <c r="VL408" i="1" s="1"/>
  <c r="VJ405" i="1"/>
  <c r="VL405" i="1" s="1"/>
  <c r="VJ402" i="1"/>
  <c r="VL402" i="1" s="1"/>
  <c r="VJ399" i="1"/>
  <c r="VL399" i="1" s="1"/>
  <c r="VJ396" i="1"/>
  <c r="VJ388" i="1"/>
  <c r="VL388" i="1" s="1"/>
  <c r="VJ385" i="1"/>
  <c r="VL385" i="1" s="1"/>
  <c r="VJ382" i="1"/>
  <c r="VL382" i="1" s="1"/>
  <c r="VJ379" i="1"/>
  <c r="VL379" i="1" s="1"/>
  <c r="VJ376" i="1"/>
  <c r="VL376" i="1" s="1"/>
  <c r="VJ373" i="1"/>
  <c r="VL373" i="1" s="1"/>
  <c r="VJ370" i="1"/>
  <c r="VL370" i="1" s="1"/>
  <c r="VJ367" i="1"/>
  <c r="VL367" i="1" s="1"/>
  <c r="VJ364" i="1"/>
  <c r="VL364" i="1" s="1"/>
  <c r="VJ361" i="1"/>
  <c r="VJ353" i="1"/>
  <c r="VL353" i="1" s="1"/>
  <c r="VJ350" i="1"/>
  <c r="VL350" i="1" s="1"/>
  <c r="VJ347" i="1"/>
  <c r="VL347" i="1" s="1"/>
  <c r="VJ344" i="1"/>
  <c r="VL344" i="1" s="1"/>
  <c r="VJ341" i="1"/>
  <c r="VL341" i="1" s="1"/>
  <c r="VJ338" i="1"/>
  <c r="VL338" i="1" s="1"/>
  <c r="VJ335" i="1"/>
  <c r="VL335" i="1" s="1"/>
  <c r="VJ332" i="1"/>
  <c r="VL332" i="1" s="1"/>
  <c r="VJ329" i="1"/>
  <c r="VL329" i="1" s="1"/>
  <c r="VJ326" i="1"/>
  <c r="VL326" i="1" s="1"/>
  <c r="VJ318" i="1"/>
  <c r="VL318" i="1" s="1"/>
  <c r="VJ315" i="1"/>
  <c r="VL315" i="1" s="1"/>
  <c r="VJ312" i="1"/>
  <c r="VL312" i="1" s="1"/>
  <c r="VJ309" i="1"/>
  <c r="VL309" i="1" s="1"/>
  <c r="VJ306" i="1"/>
  <c r="VL306" i="1" s="1"/>
  <c r="VJ303" i="1"/>
  <c r="VL303" i="1" s="1"/>
  <c r="VJ300" i="1"/>
  <c r="VL300" i="1" s="1"/>
  <c r="VJ296" i="1"/>
  <c r="VL296" i="1" s="1"/>
  <c r="VJ293" i="1"/>
  <c r="VL293" i="1" s="1"/>
  <c r="VJ290" i="1"/>
  <c r="VJ282" i="1"/>
  <c r="VL282" i="1" s="1"/>
  <c r="VJ279" i="1"/>
  <c r="VL279" i="1" s="1"/>
  <c r="VJ276" i="1"/>
  <c r="VL276" i="1" s="1"/>
  <c r="VJ273" i="1"/>
  <c r="VL273" i="1" s="1"/>
  <c r="VJ270" i="1"/>
  <c r="VL270" i="1" s="1"/>
  <c r="VJ267" i="1"/>
  <c r="VL267" i="1" s="1"/>
  <c r="VJ264" i="1"/>
  <c r="VL264" i="1" s="1"/>
  <c r="VJ261" i="1"/>
  <c r="VL261" i="1" s="1"/>
  <c r="VJ258" i="1"/>
  <c r="VL258" i="1" s="1"/>
  <c r="VJ255" i="1"/>
  <c r="VL255" i="1" s="1"/>
  <c r="VL247" i="1"/>
  <c r="VL244" i="1"/>
  <c r="VL241" i="1"/>
  <c r="VL238" i="1"/>
  <c r="VL235" i="1"/>
  <c r="VL232" i="1"/>
  <c r="VL229" i="1"/>
  <c r="VL226" i="1"/>
  <c r="VL223" i="1"/>
  <c r="VL220" i="1"/>
  <c r="VL212" i="1"/>
  <c r="VL209" i="1"/>
  <c r="VL206" i="1"/>
  <c r="VL203" i="1"/>
  <c r="VL200" i="1"/>
  <c r="VL197" i="1"/>
  <c r="VL194" i="1"/>
  <c r="VL190" i="1"/>
  <c r="VL187" i="1"/>
  <c r="VL184" i="1"/>
  <c r="VL176" i="1"/>
  <c r="VL173" i="1"/>
  <c r="VL170" i="1"/>
  <c r="VL167" i="1"/>
  <c r="VL164" i="1"/>
  <c r="VL160" i="1"/>
  <c r="VJ139" i="1"/>
  <c r="VL139" i="1" s="1"/>
  <c r="VJ135" i="1"/>
  <c r="VL135" i="1" s="1"/>
  <c r="VJ133" i="1"/>
  <c r="VL133" i="1" s="1"/>
  <c r="VJ130" i="1"/>
  <c r="VL130" i="1" s="1"/>
  <c r="VJ126" i="1"/>
  <c r="VL126" i="1" s="1"/>
  <c r="VJ123" i="1"/>
  <c r="VL123" i="1" s="1"/>
  <c r="VJ119" i="1"/>
  <c r="VL119" i="1" s="1"/>
  <c r="VJ116" i="1"/>
  <c r="VL116" i="1" s="1"/>
  <c r="VJ113" i="1"/>
  <c r="VL113" i="1" s="1"/>
  <c r="VJ106" i="1"/>
  <c r="VL106" i="1" s="1"/>
  <c r="VJ103" i="1"/>
  <c r="VL103" i="1" s="1"/>
  <c r="VJ100" i="1"/>
  <c r="VL100" i="1" s="1"/>
  <c r="VJ96" i="1"/>
  <c r="VL96" i="1" s="1"/>
  <c r="VJ93" i="1"/>
  <c r="VL93" i="1" s="1"/>
  <c r="VJ91" i="1"/>
  <c r="VL91" i="1" s="1"/>
  <c r="VJ86" i="1"/>
  <c r="VL86" i="1" s="1"/>
  <c r="VJ83" i="1"/>
  <c r="VL83" i="1" s="1"/>
  <c r="VJ80" i="1"/>
  <c r="VL80" i="1" s="1"/>
  <c r="VJ77" i="1"/>
  <c r="VL77" i="1" s="1"/>
  <c r="VJ69" i="1"/>
  <c r="VL69" i="1" s="1"/>
  <c r="VJ66" i="1"/>
  <c r="VL66" i="1" s="1"/>
  <c r="VJ63" i="1"/>
  <c r="VL63" i="1" s="1"/>
  <c r="VJ60" i="1"/>
  <c r="VL60" i="1" s="1"/>
  <c r="VJ57" i="1"/>
  <c r="VL57" i="1" s="1"/>
  <c r="VJ54" i="1"/>
  <c r="VL54" i="1" s="1"/>
  <c r="VJ51" i="1"/>
  <c r="VL51" i="1" s="1"/>
  <c r="VJ49" i="1"/>
  <c r="VL49" i="1" s="1"/>
  <c r="VJ45" i="1"/>
  <c r="VL45" i="1" s="1"/>
  <c r="VJ42" i="1"/>
  <c r="VJ33" i="1"/>
  <c r="VL33" i="1" s="1"/>
  <c r="VJ30" i="1"/>
  <c r="VL30" i="1" s="1"/>
  <c r="VJ28" i="1"/>
  <c r="VL28" i="1" s="1"/>
  <c r="VJ25" i="1"/>
  <c r="VL25" i="1" s="1"/>
  <c r="VJ22" i="1"/>
  <c r="VL22" i="1" s="1"/>
  <c r="VJ19" i="1"/>
  <c r="VL19" i="1" s="1"/>
  <c r="VJ15" i="1"/>
  <c r="VL15" i="1" s="1"/>
  <c r="VJ12" i="1"/>
  <c r="VL12" i="1" s="1"/>
  <c r="VJ10" i="1"/>
  <c r="VL10" i="1" s="1"/>
  <c r="VJ7" i="1"/>
  <c r="VL7" i="1" s="1"/>
  <c r="VA424" i="1"/>
  <c r="VC424" i="1" s="1"/>
  <c r="VA421" i="1"/>
  <c r="VC421" i="1" s="1"/>
  <c r="VA417" i="1"/>
  <c r="VC417" i="1" s="1"/>
  <c r="VA414" i="1"/>
  <c r="VC414" i="1" s="1"/>
  <c r="VA411" i="1"/>
  <c r="VC411" i="1" s="1"/>
  <c r="VA409" i="1"/>
  <c r="VC409" i="1" s="1"/>
  <c r="VA406" i="1"/>
  <c r="VC406" i="1" s="1"/>
  <c r="VA403" i="1"/>
  <c r="VC403" i="1" s="1"/>
  <c r="VA399" i="1"/>
  <c r="VC399" i="1" s="1"/>
  <c r="VA397" i="1"/>
  <c r="VC397" i="1" s="1"/>
  <c r="VA389" i="1"/>
  <c r="VC389" i="1" s="1"/>
  <c r="VA386" i="1"/>
  <c r="VC386" i="1" s="1"/>
  <c r="VA382" i="1"/>
  <c r="VC382" i="1" s="1"/>
  <c r="VA373" i="1"/>
  <c r="VC373" i="1" s="1"/>
  <c r="VA370" i="1"/>
  <c r="VC370" i="1" s="1"/>
  <c r="VA367" i="1"/>
  <c r="VC367" i="1" s="1"/>
  <c r="VA364" i="1"/>
  <c r="VC364" i="1" s="1"/>
  <c r="VA361" i="1"/>
  <c r="VA353" i="1"/>
  <c r="VC353" i="1" s="1"/>
  <c r="VA350" i="1"/>
  <c r="VC350" i="1" s="1"/>
  <c r="VA347" i="1"/>
  <c r="VC347" i="1" s="1"/>
  <c r="VA344" i="1"/>
  <c r="VC344" i="1" s="1"/>
  <c r="VA341" i="1"/>
  <c r="VC341" i="1" s="1"/>
  <c r="VA338" i="1"/>
  <c r="VC338" i="1" s="1"/>
  <c r="VA335" i="1"/>
  <c r="VC335" i="1" s="1"/>
  <c r="VA332" i="1"/>
  <c r="VC332" i="1" s="1"/>
  <c r="VA329" i="1"/>
  <c r="VC329" i="1" s="1"/>
  <c r="VA326" i="1"/>
  <c r="VC326" i="1" s="1"/>
  <c r="VA318" i="1"/>
  <c r="VC318" i="1" s="1"/>
  <c r="VA315" i="1"/>
  <c r="VC315" i="1" s="1"/>
  <c r="VA312" i="1"/>
  <c r="VC312" i="1" s="1"/>
  <c r="VA309" i="1"/>
  <c r="VC309" i="1" s="1"/>
  <c r="VA306" i="1"/>
  <c r="VC306" i="1" s="1"/>
  <c r="VA303" i="1"/>
  <c r="VC303" i="1" s="1"/>
  <c r="VA300" i="1"/>
  <c r="VC300" i="1" s="1"/>
  <c r="VA298" i="1"/>
  <c r="VC298" i="1" s="1"/>
  <c r="VA295" i="1"/>
  <c r="VC295" i="1" s="1"/>
  <c r="VA292" i="1"/>
  <c r="VC292" i="1" s="1"/>
  <c r="VA284" i="1"/>
  <c r="VC284" i="1" s="1"/>
  <c r="VA281" i="1"/>
  <c r="VC281" i="1" s="1"/>
  <c r="VA278" i="1"/>
  <c r="VC278" i="1" s="1"/>
  <c r="VA275" i="1"/>
  <c r="VC275" i="1" s="1"/>
  <c r="VA272" i="1"/>
  <c r="VC272" i="1" s="1"/>
  <c r="VA269" i="1"/>
  <c r="VC269" i="1" s="1"/>
  <c r="VA266" i="1"/>
  <c r="VC266" i="1" s="1"/>
  <c r="VA263" i="1"/>
  <c r="VC263" i="1" s="1"/>
  <c r="VA260" i="1"/>
  <c r="VC260" i="1" s="1"/>
  <c r="VA257" i="1"/>
  <c r="VC257" i="1" s="1"/>
  <c r="VA254" i="1"/>
  <c r="VC246" i="1"/>
  <c r="VC243" i="1"/>
  <c r="VC240" i="1"/>
  <c r="VC237" i="1"/>
  <c r="VC234" i="1"/>
  <c r="VC231" i="1"/>
  <c r="VC227" i="1"/>
  <c r="VC224" i="1"/>
  <c r="VC221" i="1"/>
  <c r="VC210" i="1"/>
  <c r="VC207" i="1"/>
  <c r="VC204" i="1"/>
  <c r="VC201" i="1"/>
  <c r="VC198" i="1"/>
  <c r="VC195" i="1"/>
  <c r="VC192" i="1"/>
  <c r="VC190" i="1"/>
  <c r="VC187" i="1"/>
  <c r="VC184" i="1"/>
  <c r="VC176" i="1"/>
  <c r="VC173" i="1"/>
  <c r="VC170" i="1"/>
  <c r="VC167" i="1"/>
  <c r="VC164" i="1"/>
  <c r="VC161" i="1"/>
  <c r="VC158" i="1"/>
  <c r="VC155" i="1"/>
  <c r="VC152" i="1"/>
  <c r="VC148" i="1"/>
  <c r="VA140" i="1"/>
  <c r="VC140" i="1" s="1"/>
  <c r="VA137" i="1"/>
  <c r="VC137" i="1" s="1"/>
  <c r="VA135" i="1"/>
  <c r="VC135" i="1" s="1"/>
  <c r="VA131" i="1"/>
  <c r="VC131" i="1" s="1"/>
  <c r="VA129" i="1"/>
  <c r="VC129" i="1" s="1"/>
  <c r="VA126" i="1"/>
  <c r="VC126" i="1" s="1"/>
  <c r="VA123" i="1"/>
  <c r="VC123" i="1" s="1"/>
  <c r="VA120" i="1"/>
  <c r="VC120" i="1" s="1"/>
  <c r="VA117" i="1"/>
  <c r="VC117" i="1" s="1"/>
  <c r="VA114" i="1"/>
  <c r="VC114" i="1" s="1"/>
  <c r="VA106" i="1"/>
  <c r="VC106" i="1" s="1"/>
  <c r="VA102" i="1"/>
  <c r="VC102" i="1" s="1"/>
  <c r="VA99" i="1"/>
  <c r="VC99" i="1" s="1"/>
  <c r="VA96" i="1"/>
  <c r="VC96" i="1" s="1"/>
  <c r="VA93" i="1"/>
  <c r="VC93" i="1" s="1"/>
  <c r="VA90" i="1"/>
  <c r="VC90" i="1" s="1"/>
  <c r="VA87" i="1"/>
  <c r="VC87" i="1" s="1"/>
  <c r="VA84" i="1"/>
  <c r="VC84" i="1" s="1"/>
  <c r="VA81" i="1"/>
  <c r="VC81" i="1" s="1"/>
  <c r="VA78" i="1"/>
  <c r="VC78" i="1" s="1"/>
  <c r="VA70" i="1"/>
  <c r="VC70" i="1" s="1"/>
  <c r="VA67" i="1"/>
  <c r="VC67" i="1" s="1"/>
  <c r="VA64" i="1"/>
  <c r="VC64" i="1" s="1"/>
  <c r="VA61" i="1"/>
  <c r="VC61" i="1" s="1"/>
  <c r="VA58" i="1"/>
  <c r="VC58" i="1" s="1"/>
  <c r="VA55" i="1"/>
  <c r="VC55" i="1" s="1"/>
  <c r="VA52" i="1"/>
  <c r="VC52" i="1" s="1"/>
  <c r="VA49" i="1"/>
  <c r="VC49" i="1" s="1"/>
  <c r="VA46" i="1"/>
  <c r="VC46" i="1" s="1"/>
  <c r="VA25" i="1"/>
  <c r="VC25" i="1" s="1"/>
  <c r="VA22" i="1"/>
  <c r="VC22" i="1" s="1"/>
  <c r="VA19" i="1"/>
  <c r="VC19" i="1" s="1"/>
  <c r="VA16" i="1"/>
  <c r="VC16" i="1" s="1"/>
  <c r="VA12" i="1"/>
  <c r="VC12" i="1" s="1"/>
  <c r="VA9" i="1"/>
  <c r="VC9" i="1" s="1"/>
  <c r="VA6" i="1"/>
  <c r="UR424" i="1"/>
  <c r="UT424" i="1" s="1"/>
  <c r="UR421" i="1"/>
  <c r="UT421" i="1" s="1"/>
  <c r="UR418" i="1"/>
  <c r="UT418" i="1" s="1"/>
  <c r="UR415" i="1"/>
  <c r="UT415" i="1" s="1"/>
  <c r="UR412" i="1"/>
  <c r="UT412" i="1" s="1"/>
  <c r="UR409" i="1"/>
  <c r="UT409" i="1" s="1"/>
  <c r="UR406" i="1"/>
  <c r="UT406" i="1" s="1"/>
  <c r="UR403" i="1"/>
  <c r="UT403" i="1" s="1"/>
  <c r="UR400" i="1"/>
  <c r="UT400" i="1" s="1"/>
  <c r="UR397" i="1"/>
  <c r="UT397" i="1" s="1"/>
  <c r="UR389" i="1"/>
  <c r="UT389" i="1" s="1"/>
  <c r="UR386" i="1"/>
  <c r="UT386" i="1" s="1"/>
  <c r="UR382" i="1"/>
  <c r="UT382" i="1" s="1"/>
  <c r="UR379" i="1"/>
  <c r="UT379" i="1" s="1"/>
  <c r="UR376" i="1"/>
  <c r="UT376" i="1" s="1"/>
  <c r="UR373" i="1"/>
  <c r="UT373" i="1" s="1"/>
  <c r="UR370" i="1"/>
  <c r="UT370" i="1" s="1"/>
  <c r="UR367" i="1"/>
  <c r="UT367" i="1" s="1"/>
  <c r="UR363" i="1"/>
  <c r="UT363" i="1" s="1"/>
  <c r="UR355" i="1"/>
  <c r="UT355" i="1" s="1"/>
  <c r="UR352" i="1"/>
  <c r="UT352" i="1" s="1"/>
  <c r="UR349" i="1"/>
  <c r="UT349" i="1" s="1"/>
  <c r="UR346" i="1"/>
  <c r="UT346" i="1" s="1"/>
  <c r="UR343" i="1"/>
  <c r="UT343" i="1" s="1"/>
  <c r="UR340" i="1"/>
  <c r="UT340" i="1" s="1"/>
  <c r="UR337" i="1"/>
  <c r="UT337" i="1" s="1"/>
  <c r="UR334" i="1"/>
  <c r="UT334" i="1" s="1"/>
  <c r="UR331" i="1"/>
  <c r="UT331" i="1" s="1"/>
  <c r="UR328" i="1"/>
  <c r="UT328" i="1" s="1"/>
  <c r="UR325" i="1"/>
  <c r="UR317" i="1"/>
  <c r="UT317" i="1" s="1"/>
  <c r="UR313" i="1"/>
  <c r="UT313" i="1" s="1"/>
  <c r="UR310" i="1"/>
  <c r="UT310" i="1" s="1"/>
  <c r="UR307" i="1"/>
  <c r="UT307" i="1" s="1"/>
  <c r="UR304" i="1"/>
  <c r="UT304" i="1" s="1"/>
  <c r="UR301" i="1"/>
  <c r="UT301" i="1" s="1"/>
  <c r="UR298" i="1"/>
  <c r="UT298" i="1" s="1"/>
  <c r="UR295" i="1"/>
  <c r="UT295" i="1" s="1"/>
  <c r="UR292" i="1"/>
  <c r="UT292" i="1" s="1"/>
  <c r="UR284" i="1"/>
  <c r="UT284" i="1" s="1"/>
  <c r="UR281" i="1"/>
  <c r="UT281" i="1" s="1"/>
  <c r="UR278" i="1"/>
  <c r="UT278" i="1" s="1"/>
  <c r="UR275" i="1"/>
  <c r="UT275" i="1" s="1"/>
  <c r="UR272" i="1"/>
  <c r="UT272" i="1" s="1"/>
  <c r="UR269" i="1"/>
  <c r="UT269" i="1" s="1"/>
  <c r="UR266" i="1"/>
  <c r="UT266" i="1" s="1"/>
  <c r="UR263" i="1"/>
  <c r="UT263" i="1" s="1"/>
  <c r="UR260" i="1"/>
  <c r="UT260" i="1" s="1"/>
  <c r="UT245" i="1"/>
  <c r="UT242" i="1"/>
  <c r="UT239" i="1"/>
  <c r="UT236" i="1"/>
  <c r="UT233" i="1"/>
  <c r="UT230" i="1"/>
  <c r="UT227" i="1"/>
  <c r="UT224" i="1"/>
  <c r="UT221" i="1"/>
  <c r="UT210" i="1"/>
  <c r="UT207" i="1"/>
  <c r="UT203" i="1"/>
  <c r="UT200" i="1"/>
  <c r="UT197" i="1"/>
  <c r="UT194" i="1"/>
  <c r="UT192" i="1"/>
  <c r="UT189" i="1"/>
  <c r="UT186" i="1"/>
  <c r="UT175" i="1"/>
  <c r="UT173" i="1"/>
  <c r="UT170" i="1"/>
  <c r="UT167" i="1"/>
  <c r="UT164" i="1"/>
  <c r="UT161" i="1"/>
  <c r="UT158" i="1"/>
  <c r="UT155" i="1"/>
  <c r="UT152" i="1"/>
  <c r="UT148" i="1"/>
  <c r="UR141" i="1"/>
  <c r="UT141" i="1" s="1"/>
  <c r="UR138" i="1"/>
  <c r="UT138" i="1" s="1"/>
  <c r="UR135" i="1"/>
  <c r="UT135" i="1" s="1"/>
  <c r="UR131" i="1"/>
  <c r="UT131" i="1" s="1"/>
  <c r="UR128" i="1"/>
  <c r="UT128" i="1" s="1"/>
  <c r="UR125" i="1"/>
  <c r="UT125" i="1" s="1"/>
  <c r="UR122" i="1"/>
  <c r="UT122" i="1" s="1"/>
  <c r="UR119" i="1"/>
  <c r="UT119" i="1" s="1"/>
  <c r="UR116" i="1"/>
  <c r="UT116" i="1" s="1"/>
  <c r="UR113" i="1"/>
  <c r="UT113" i="1" s="1"/>
  <c r="UR105" i="1"/>
  <c r="UT105" i="1" s="1"/>
  <c r="UR102" i="1"/>
  <c r="UT102" i="1" s="1"/>
  <c r="UR99" i="1"/>
  <c r="UT99" i="1" s="1"/>
  <c r="UR96" i="1"/>
  <c r="UT96" i="1" s="1"/>
  <c r="UR93" i="1"/>
  <c r="UT93" i="1" s="1"/>
  <c r="UR90" i="1"/>
  <c r="UT90" i="1" s="1"/>
  <c r="UR87" i="1"/>
  <c r="UT87" i="1" s="1"/>
  <c r="UR85" i="1"/>
  <c r="UT85" i="1" s="1"/>
  <c r="UR82" i="1"/>
  <c r="UT82" i="1" s="1"/>
  <c r="UR78" i="1"/>
  <c r="UT78" i="1" s="1"/>
  <c r="UR70" i="1"/>
  <c r="UT70" i="1" s="1"/>
  <c r="UR67" i="1"/>
  <c r="UT67" i="1" s="1"/>
  <c r="UR63" i="1"/>
  <c r="UT63" i="1" s="1"/>
  <c r="UR60" i="1"/>
  <c r="UT60" i="1" s="1"/>
  <c r="UR58" i="1"/>
  <c r="UT58" i="1" s="1"/>
  <c r="UR54" i="1"/>
  <c r="UT54" i="1" s="1"/>
  <c r="UR52" i="1"/>
  <c r="UT52" i="1" s="1"/>
  <c r="UR49" i="1"/>
  <c r="UT49" i="1" s="1"/>
  <c r="UR46" i="1"/>
  <c r="UT46" i="1" s="1"/>
  <c r="UR42" i="1"/>
  <c r="UR34" i="1"/>
  <c r="UT34" i="1" s="1"/>
  <c r="UR31" i="1"/>
  <c r="UT31" i="1" s="1"/>
  <c r="UR28" i="1"/>
  <c r="UT28" i="1" s="1"/>
  <c r="UR24" i="1"/>
  <c r="UT24" i="1" s="1"/>
  <c r="UR21" i="1"/>
  <c r="UT21" i="1" s="1"/>
  <c r="UR19" i="1"/>
  <c r="UT19" i="1" s="1"/>
  <c r="UR16" i="1"/>
  <c r="UT16" i="1" s="1"/>
  <c r="UR12" i="1"/>
  <c r="UT12" i="1" s="1"/>
  <c r="UR9" i="1"/>
  <c r="UT9" i="1" s="1"/>
  <c r="UR7" i="1"/>
  <c r="UT7" i="1" s="1"/>
  <c r="UI424" i="1"/>
  <c r="UK424" i="1" s="1"/>
  <c r="UI422" i="1"/>
  <c r="UK422" i="1" s="1"/>
  <c r="UI418" i="1"/>
  <c r="UK418" i="1" s="1"/>
  <c r="UI415" i="1"/>
  <c r="UK415" i="1" s="1"/>
  <c r="UI412" i="1"/>
  <c r="UK412" i="1" s="1"/>
  <c r="UI410" i="1"/>
  <c r="UK410" i="1" s="1"/>
  <c r="UI407" i="1"/>
  <c r="UK407" i="1" s="1"/>
  <c r="UI402" i="1"/>
  <c r="UK402" i="1" s="1"/>
  <c r="UI399" i="1"/>
  <c r="UK399" i="1" s="1"/>
  <c r="UI396" i="1"/>
  <c r="UI388" i="1"/>
  <c r="UK388" i="1" s="1"/>
  <c r="UI385" i="1"/>
  <c r="UK385" i="1" s="1"/>
  <c r="UI382" i="1"/>
  <c r="UK382" i="1" s="1"/>
  <c r="UI379" i="1"/>
  <c r="UK379" i="1" s="1"/>
  <c r="UI376" i="1"/>
  <c r="UK376" i="1" s="1"/>
  <c r="UI374" i="1"/>
  <c r="UK374" i="1" s="1"/>
  <c r="UI370" i="1"/>
  <c r="UK370" i="1" s="1"/>
  <c r="UI368" i="1"/>
  <c r="UK368" i="1" s="1"/>
  <c r="UI365" i="1"/>
  <c r="UK365" i="1" s="1"/>
  <c r="UI362" i="1"/>
  <c r="UK362" i="1" s="1"/>
  <c r="UI354" i="1"/>
  <c r="UK354" i="1" s="1"/>
  <c r="UI349" i="1"/>
  <c r="UK349" i="1" s="1"/>
  <c r="UI346" i="1"/>
  <c r="UK346" i="1" s="1"/>
  <c r="UI343" i="1"/>
  <c r="UK343" i="1" s="1"/>
  <c r="UI341" i="1"/>
  <c r="UK341" i="1" s="1"/>
  <c r="UI338" i="1"/>
  <c r="UK338" i="1" s="1"/>
  <c r="UI335" i="1"/>
  <c r="UK335" i="1" s="1"/>
  <c r="UI332" i="1"/>
  <c r="UK332" i="1" s="1"/>
  <c r="UI329" i="1"/>
  <c r="UK329" i="1" s="1"/>
  <c r="UI326" i="1"/>
  <c r="UK326" i="1" s="1"/>
  <c r="UI318" i="1"/>
  <c r="UK318" i="1" s="1"/>
  <c r="UI315" i="1"/>
  <c r="UK315" i="1" s="1"/>
  <c r="UI312" i="1"/>
  <c r="UK312" i="1" s="1"/>
  <c r="UI297" i="1"/>
  <c r="UK297" i="1" s="1"/>
  <c r="UI294" i="1"/>
  <c r="UK294" i="1" s="1"/>
  <c r="UI291" i="1"/>
  <c r="UK291" i="1" s="1"/>
  <c r="UI283" i="1"/>
  <c r="UK283" i="1" s="1"/>
  <c r="UI280" i="1"/>
  <c r="UK280" i="1" s="1"/>
  <c r="UI276" i="1"/>
  <c r="UK276" i="1" s="1"/>
  <c r="UI274" i="1"/>
  <c r="UK274" i="1" s="1"/>
  <c r="UI271" i="1"/>
  <c r="UK271" i="1" s="1"/>
  <c r="UI267" i="1"/>
  <c r="UK267" i="1" s="1"/>
  <c r="UI265" i="1"/>
  <c r="UK265" i="1" s="1"/>
  <c r="UI261" i="1"/>
  <c r="UK261" i="1" s="1"/>
  <c r="UI259" i="1"/>
  <c r="UK259" i="1" s="1"/>
  <c r="UI256" i="1"/>
  <c r="UK256" i="1" s="1"/>
  <c r="UI247" i="1"/>
  <c r="UK247" i="1" s="1"/>
  <c r="UI245" i="1"/>
  <c r="UK245" i="1" s="1"/>
  <c r="UI242" i="1"/>
  <c r="UK242" i="1" s="1"/>
  <c r="UI238" i="1"/>
  <c r="UK238" i="1" s="1"/>
  <c r="UI235" i="1"/>
  <c r="UK235" i="1" s="1"/>
  <c r="UI232" i="1"/>
  <c r="UK232" i="1" s="1"/>
  <c r="UI228" i="1"/>
  <c r="UK228" i="1" s="1"/>
  <c r="UI225" i="1"/>
  <c r="UK225" i="1" s="1"/>
  <c r="UI222" i="1"/>
  <c r="UK222" i="1" s="1"/>
  <c r="UI220" i="1"/>
  <c r="UK220" i="1" s="1"/>
  <c r="UK212" i="1"/>
  <c r="UK209" i="1"/>
  <c r="UK205" i="1"/>
  <c r="UK202" i="1"/>
  <c r="UK199" i="1"/>
  <c r="UK196" i="1"/>
  <c r="UK193" i="1"/>
  <c r="UK190" i="1"/>
  <c r="UK187" i="1"/>
  <c r="UK184" i="1"/>
  <c r="UK176" i="1"/>
  <c r="UK173" i="1"/>
  <c r="UK170" i="1"/>
  <c r="UK167" i="1"/>
  <c r="UK164" i="1"/>
  <c r="UK160" i="1"/>
  <c r="UK157" i="1"/>
  <c r="UK153" i="1"/>
  <c r="UK150" i="1"/>
  <c r="UI139" i="1"/>
  <c r="UK139" i="1" s="1"/>
  <c r="UI136" i="1"/>
  <c r="UK136" i="1" s="1"/>
  <c r="UI133" i="1"/>
  <c r="UK133" i="1" s="1"/>
  <c r="UI130" i="1"/>
  <c r="UK130" i="1" s="1"/>
  <c r="UI127" i="1"/>
  <c r="UK127" i="1" s="1"/>
  <c r="UI124" i="1"/>
  <c r="UK124" i="1" s="1"/>
  <c r="UI122" i="1"/>
  <c r="UK122" i="1" s="1"/>
  <c r="UI119" i="1"/>
  <c r="UK119" i="1" s="1"/>
  <c r="UI116" i="1"/>
  <c r="UK116" i="1" s="1"/>
  <c r="UI113" i="1"/>
  <c r="UK113" i="1" s="1"/>
  <c r="UI105" i="1"/>
  <c r="UK105" i="1" s="1"/>
  <c r="UI102" i="1"/>
  <c r="UK102" i="1" s="1"/>
  <c r="UI98" i="1"/>
  <c r="UK98" i="1" s="1"/>
  <c r="UI89" i="1"/>
  <c r="UK89" i="1" s="1"/>
  <c r="UI86" i="1"/>
  <c r="UK86" i="1" s="1"/>
  <c r="UI83" i="1"/>
  <c r="UK83" i="1" s="1"/>
  <c r="UI80" i="1"/>
  <c r="UK80" i="1" s="1"/>
  <c r="UI77" i="1"/>
  <c r="UK77" i="1" s="1"/>
  <c r="UI69" i="1"/>
  <c r="UK69" i="1" s="1"/>
  <c r="UI66" i="1"/>
  <c r="UK66" i="1" s="1"/>
  <c r="UI63" i="1"/>
  <c r="UK63" i="1" s="1"/>
  <c r="UI60" i="1"/>
  <c r="UK60" i="1" s="1"/>
  <c r="UI57" i="1"/>
  <c r="UK57" i="1" s="1"/>
  <c r="UI53" i="1"/>
  <c r="UK53" i="1" s="1"/>
  <c r="UI50" i="1"/>
  <c r="UK50" i="1" s="1"/>
  <c r="UI47" i="1"/>
  <c r="UK47" i="1" s="1"/>
  <c r="UI44" i="1"/>
  <c r="UK44" i="1" s="1"/>
  <c r="UI36" i="1"/>
  <c r="UK36" i="1" s="1"/>
  <c r="UI33" i="1"/>
  <c r="UK33" i="1" s="1"/>
  <c r="UI30" i="1"/>
  <c r="UK30" i="1" s="1"/>
  <c r="UI27" i="1"/>
  <c r="UK27" i="1" s="1"/>
  <c r="UI24" i="1"/>
  <c r="UK24" i="1" s="1"/>
  <c r="UI21" i="1"/>
  <c r="UK21" i="1" s="1"/>
  <c r="UI18" i="1"/>
  <c r="UK18" i="1" s="1"/>
  <c r="UI15" i="1"/>
  <c r="UK15" i="1" s="1"/>
  <c r="UI12" i="1"/>
  <c r="UK12" i="1" s="1"/>
  <c r="UI9" i="1"/>
  <c r="UK9" i="1" s="1"/>
  <c r="UI6" i="1"/>
  <c r="TZ424" i="1"/>
  <c r="UB424" i="1" s="1"/>
  <c r="TZ421" i="1"/>
  <c r="UB421" i="1" s="1"/>
  <c r="TZ418" i="1"/>
  <c r="UB418" i="1" s="1"/>
  <c r="TZ415" i="1"/>
  <c r="UB415" i="1" s="1"/>
  <c r="TZ412" i="1"/>
  <c r="UB412" i="1" s="1"/>
  <c r="TZ410" i="1"/>
  <c r="UB410" i="1" s="1"/>
  <c r="TZ407" i="1"/>
  <c r="UB407" i="1" s="1"/>
  <c r="TZ403" i="1"/>
  <c r="UB403" i="1" s="1"/>
  <c r="TZ399" i="1"/>
  <c r="UB399" i="1" s="1"/>
  <c r="TZ397" i="1"/>
  <c r="UB397" i="1" s="1"/>
  <c r="TZ389" i="1"/>
  <c r="UB389" i="1" s="1"/>
  <c r="TZ385" i="1"/>
  <c r="UB385" i="1" s="1"/>
  <c r="TZ383" i="1"/>
  <c r="UB383" i="1" s="1"/>
  <c r="TZ380" i="1"/>
  <c r="UB380" i="1" s="1"/>
  <c r="TZ377" i="1"/>
  <c r="UB377" i="1" s="1"/>
  <c r="TZ373" i="1"/>
  <c r="UB373" i="1" s="1"/>
  <c r="TZ371" i="1"/>
  <c r="UB371" i="1" s="1"/>
  <c r="TZ368" i="1"/>
  <c r="UB368" i="1" s="1"/>
  <c r="TZ365" i="1"/>
  <c r="UB365" i="1" s="1"/>
  <c r="TZ362" i="1"/>
  <c r="UB362" i="1" s="1"/>
  <c r="TZ354" i="1"/>
  <c r="UB354" i="1" s="1"/>
  <c r="TZ350" i="1"/>
  <c r="UB350" i="1" s="1"/>
  <c r="TZ347" i="1"/>
  <c r="UB347" i="1" s="1"/>
  <c r="TZ344" i="1"/>
  <c r="UB344" i="1" s="1"/>
  <c r="TZ341" i="1"/>
  <c r="UB341" i="1" s="1"/>
  <c r="TZ337" i="1"/>
  <c r="UB337" i="1" s="1"/>
  <c r="TZ335" i="1"/>
  <c r="UB335" i="1" s="1"/>
  <c r="TZ331" i="1"/>
  <c r="UB331" i="1" s="1"/>
  <c r="TZ329" i="1"/>
  <c r="UB329" i="1" s="1"/>
  <c r="TZ326" i="1"/>
  <c r="UB326" i="1" s="1"/>
  <c r="TZ318" i="1"/>
  <c r="UB318" i="1" s="1"/>
  <c r="TZ315" i="1"/>
  <c r="UB315" i="1" s="1"/>
  <c r="TZ311" i="1"/>
  <c r="UB311" i="1" s="1"/>
  <c r="TZ308" i="1"/>
  <c r="UB308" i="1" s="1"/>
  <c r="TZ305" i="1"/>
  <c r="UB305" i="1" s="1"/>
  <c r="TZ302" i="1"/>
  <c r="UB302" i="1" s="1"/>
  <c r="TZ299" i="1"/>
  <c r="UB299" i="1" s="1"/>
  <c r="TZ296" i="1"/>
  <c r="UB296" i="1" s="1"/>
  <c r="TZ293" i="1"/>
  <c r="UB293" i="1" s="1"/>
  <c r="TZ290" i="1"/>
  <c r="TZ282" i="1"/>
  <c r="UB282" i="1" s="1"/>
  <c r="TZ278" i="1"/>
  <c r="UB278" i="1" s="1"/>
  <c r="TZ275" i="1"/>
  <c r="UB275" i="1" s="1"/>
  <c r="TZ272" i="1"/>
  <c r="UB272" i="1" s="1"/>
  <c r="TZ269" i="1"/>
  <c r="UB269" i="1" s="1"/>
  <c r="TZ266" i="1"/>
  <c r="UB266" i="1" s="1"/>
  <c r="TZ263" i="1"/>
  <c r="UB263" i="1" s="1"/>
  <c r="TZ261" i="1"/>
  <c r="UB261" i="1" s="1"/>
  <c r="TZ257" i="1"/>
  <c r="UB257" i="1" s="1"/>
  <c r="TZ254" i="1"/>
  <c r="TZ246" i="1"/>
  <c r="UB246" i="1" s="1"/>
  <c r="TZ243" i="1"/>
  <c r="UB243" i="1" s="1"/>
  <c r="TZ240" i="1"/>
  <c r="UB240" i="1" s="1"/>
  <c r="TZ237" i="1"/>
  <c r="UB237" i="1" s="1"/>
  <c r="TZ234" i="1"/>
  <c r="UB234" i="1" s="1"/>
  <c r="TZ231" i="1"/>
  <c r="UB231" i="1" s="1"/>
  <c r="TZ228" i="1"/>
  <c r="UB228" i="1" s="1"/>
  <c r="TZ225" i="1"/>
  <c r="UB225" i="1" s="1"/>
  <c r="TZ222" i="1"/>
  <c r="UB222" i="1" s="1"/>
  <c r="TZ219" i="1"/>
  <c r="UB219" i="1" s="1"/>
  <c r="UB211" i="1"/>
  <c r="UB208" i="1"/>
  <c r="UB205" i="1"/>
  <c r="UB202" i="1"/>
  <c r="UB199" i="1"/>
  <c r="UB196" i="1"/>
  <c r="UB193" i="1"/>
  <c r="UB190" i="1"/>
  <c r="UB171" i="1"/>
  <c r="UB168" i="1"/>
  <c r="UB165" i="1"/>
  <c r="UB161" i="1"/>
  <c r="UB158" i="1"/>
  <c r="UB155" i="1"/>
  <c r="UB152" i="1"/>
  <c r="UB149" i="1"/>
  <c r="TZ141" i="1"/>
  <c r="UB141" i="1" s="1"/>
  <c r="TZ138" i="1"/>
  <c r="UB138" i="1" s="1"/>
  <c r="TZ135" i="1"/>
  <c r="UB135" i="1" s="1"/>
  <c r="TZ133" i="1"/>
  <c r="UB133" i="1" s="1"/>
  <c r="TZ130" i="1"/>
  <c r="UB130" i="1" s="1"/>
  <c r="TZ127" i="1"/>
  <c r="UB127" i="1" s="1"/>
  <c r="TZ124" i="1"/>
  <c r="UB124" i="1" s="1"/>
  <c r="TZ121" i="1"/>
  <c r="UB121" i="1" s="1"/>
  <c r="TZ118" i="1"/>
  <c r="UB118" i="1" s="1"/>
  <c r="TZ115" i="1"/>
  <c r="UB115" i="1" s="1"/>
  <c r="TZ112" i="1"/>
  <c r="TZ104" i="1"/>
  <c r="UB104" i="1" s="1"/>
  <c r="TZ101" i="1"/>
  <c r="UB101" i="1" s="1"/>
  <c r="TZ98" i="1"/>
  <c r="UB98" i="1" s="1"/>
  <c r="TZ95" i="1"/>
  <c r="UB95" i="1" s="1"/>
  <c r="TZ92" i="1"/>
  <c r="UB92" i="1" s="1"/>
  <c r="TZ88" i="1"/>
  <c r="UB88" i="1" s="1"/>
  <c r="TZ85" i="1"/>
  <c r="UB85" i="1" s="1"/>
  <c r="TZ81" i="1"/>
  <c r="UB81" i="1" s="1"/>
  <c r="TZ78" i="1"/>
  <c r="UB78" i="1" s="1"/>
  <c r="TZ70" i="1"/>
  <c r="UB70" i="1" s="1"/>
  <c r="TZ67" i="1"/>
  <c r="UB67" i="1" s="1"/>
  <c r="TZ64" i="1"/>
  <c r="UB64" i="1" s="1"/>
  <c r="TZ61" i="1"/>
  <c r="UB61" i="1" s="1"/>
  <c r="TZ58" i="1"/>
  <c r="UB58" i="1" s="1"/>
  <c r="TZ55" i="1"/>
  <c r="UB55" i="1" s="1"/>
  <c r="TZ52" i="1"/>
  <c r="UB52" i="1" s="1"/>
  <c r="TZ49" i="1"/>
  <c r="UB49" i="1" s="1"/>
  <c r="TZ45" i="1"/>
  <c r="UB45" i="1" s="1"/>
  <c r="TZ42" i="1"/>
  <c r="TZ34" i="1"/>
  <c r="UB34" i="1" s="1"/>
  <c r="TZ31" i="1"/>
  <c r="UB31" i="1" s="1"/>
  <c r="TZ28" i="1"/>
  <c r="UB28" i="1" s="1"/>
  <c r="TZ25" i="1"/>
  <c r="UB25" i="1" s="1"/>
  <c r="TZ22" i="1"/>
  <c r="UB22" i="1" s="1"/>
  <c r="TZ19" i="1"/>
  <c r="UB19" i="1" s="1"/>
  <c r="TZ16" i="1"/>
  <c r="UB16" i="1" s="1"/>
  <c r="TZ13" i="1"/>
  <c r="UB13" i="1" s="1"/>
  <c r="TZ10" i="1"/>
  <c r="UB10" i="1" s="1"/>
  <c r="TZ6" i="1"/>
  <c r="TQ424" i="1"/>
  <c r="TS424" i="1" s="1"/>
  <c r="TQ421" i="1"/>
  <c r="TS421" i="1" s="1"/>
  <c r="TQ418" i="1"/>
  <c r="TS418" i="1" s="1"/>
  <c r="TQ415" i="1"/>
  <c r="TS415" i="1" s="1"/>
  <c r="TQ412" i="1"/>
  <c r="TS412" i="1" s="1"/>
  <c r="TQ409" i="1"/>
  <c r="TS409" i="1" s="1"/>
  <c r="TQ406" i="1"/>
  <c r="TS406" i="1" s="1"/>
  <c r="TQ396" i="1"/>
  <c r="TQ388" i="1"/>
  <c r="TS388" i="1" s="1"/>
  <c r="TQ369" i="1"/>
  <c r="TS369" i="1" s="1"/>
  <c r="TQ366" i="1"/>
  <c r="TS366" i="1" s="1"/>
  <c r="TQ363" i="1"/>
  <c r="TS363" i="1" s="1"/>
  <c r="TQ355" i="1"/>
  <c r="TS355" i="1" s="1"/>
  <c r="TQ351" i="1"/>
  <c r="TS351" i="1" s="1"/>
  <c r="TQ348" i="1"/>
  <c r="TS348" i="1" s="1"/>
  <c r="TQ345" i="1"/>
  <c r="TS345" i="1" s="1"/>
  <c r="TQ342" i="1"/>
  <c r="TS342" i="1" s="1"/>
  <c r="TQ339" i="1"/>
  <c r="TS339" i="1" s="1"/>
  <c r="TQ336" i="1"/>
  <c r="TS336" i="1" s="1"/>
  <c r="TQ333" i="1"/>
  <c r="TS333" i="1" s="1"/>
  <c r="TQ330" i="1"/>
  <c r="TS330" i="1" s="1"/>
  <c r="TQ327" i="1"/>
  <c r="TS327" i="1" s="1"/>
  <c r="TQ318" i="1"/>
  <c r="TS318" i="1" s="1"/>
  <c r="TQ315" i="1"/>
  <c r="TS315" i="1" s="1"/>
  <c r="TQ312" i="1"/>
  <c r="TS312" i="1" s="1"/>
  <c r="TQ309" i="1"/>
  <c r="TS309" i="1" s="1"/>
  <c r="TQ306" i="1"/>
  <c r="TS306" i="1" s="1"/>
  <c r="TQ303" i="1"/>
  <c r="TS303" i="1" s="1"/>
  <c r="TQ300" i="1"/>
  <c r="TS300" i="1" s="1"/>
  <c r="TQ297" i="1"/>
  <c r="TS297" i="1" s="1"/>
  <c r="TQ294" i="1"/>
  <c r="TS294" i="1" s="1"/>
  <c r="TQ290" i="1"/>
  <c r="TQ282" i="1"/>
  <c r="TS282" i="1" s="1"/>
  <c r="TQ279" i="1"/>
  <c r="TS279" i="1" s="1"/>
  <c r="TQ276" i="1"/>
  <c r="TS276" i="1" s="1"/>
  <c r="TQ272" i="1"/>
  <c r="TS272" i="1" s="1"/>
  <c r="TQ269" i="1"/>
  <c r="TS269" i="1" s="1"/>
  <c r="TQ265" i="1"/>
  <c r="TS265" i="1" s="1"/>
  <c r="TQ262" i="1"/>
  <c r="TS262" i="1" s="1"/>
  <c r="TQ259" i="1"/>
  <c r="TS259" i="1" s="1"/>
  <c r="TQ256" i="1"/>
  <c r="TS256" i="1" s="1"/>
  <c r="TQ248" i="1"/>
  <c r="TS248" i="1" s="1"/>
  <c r="TQ245" i="1"/>
  <c r="TS245" i="1" s="1"/>
  <c r="TQ242" i="1"/>
  <c r="TS242" i="1" s="1"/>
  <c r="TQ239" i="1"/>
  <c r="TS239" i="1" s="1"/>
  <c r="TQ236" i="1"/>
  <c r="TS236" i="1" s="1"/>
  <c r="TQ233" i="1"/>
  <c r="TS233" i="1" s="1"/>
  <c r="TQ230" i="1"/>
  <c r="TS230" i="1" s="1"/>
  <c r="TQ227" i="1"/>
  <c r="TS227" i="1" s="1"/>
  <c r="TQ224" i="1"/>
  <c r="TS224" i="1" s="1"/>
  <c r="TQ221" i="1"/>
  <c r="TS221" i="1" s="1"/>
  <c r="TQ218" i="1"/>
  <c r="TS210" i="1"/>
  <c r="TS207" i="1"/>
  <c r="TS204" i="1"/>
  <c r="TS201" i="1"/>
  <c r="TS198" i="1"/>
  <c r="TS195" i="1"/>
  <c r="TS191" i="1"/>
  <c r="TS188" i="1"/>
  <c r="TS185" i="1"/>
  <c r="TS177" i="1"/>
  <c r="TS174" i="1"/>
  <c r="TS171" i="1"/>
  <c r="TS168" i="1"/>
  <c r="TS165" i="1"/>
  <c r="TS162" i="1"/>
  <c r="TS158" i="1"/>
  <c r="TS155" i="1"/>
  <c r="TS152" i="1"/>
  <c r="TS149" i="1"/>
  <c r="TQ141" i="1"/>
  <c r="TS141" i="1" s="1"/>
  <c r="TQ138" i="1"/>
  <c r="TS138" i="1" s="1"/>
  <c r="TQ136" i="1"/>
  <c r="TS136" i="1" s="1"/>
  <c r="TQ133" i="1"/>
  <c r="TS133" i="1" s="1"/>
  <c r="TQ130" i="1"/>
  <c r="TS130" i="1" s="1"/>
  <c r="TQ127" i="1"/>
  <c r="TS127" i="1" s="1"/>
  <c r="TQ124" i="1"/>
  <c r="TS124" i="1" s="1"/>
  <c r="TQ121" i="1"/>
  <c r="TS121" i="1" s="1"/>
  <c r="TQ118" i="1"/>
  <c r="TS118" i="1" s="1"/>
  <c r="TQ115" i="1"/>
  <c r="TS115" i="1" s="1"/>
  <c r="TQ112" i="1"/>
  <c r="TQ104" i="1"/>
  <c r="TS104" i="1" s="1"/>
  <c r="TQ101" i="1"/>
  <c r="TS101" i="1" s="1"/>
  <c r="TQ97" i="1"/>
  <c r="TS97" i="1" s="1"/>
  <c r="TQ94" i="1"/>
  <c r="TS94" i="1" s="1"/>
  <c r="TQ91" i="1"/>
  <c r="TS91" i="1" s="1"/>
  <c r="TQ88" i="1"/>
  <c r="TS88" i="1" s="1"/>
  <c r="TQ86" i="1"/>
  <c r="TS86" i="1" s="1"/>
  <c r="TQ83" i="1"/>
  <c r="TS83" i="1" s="1"/>
  <c r="TQ80" i="1"/>
  <c r="TS80" i="1" s="1"/>
  <c r="TQ77" i="1"/>
  <c r="TS77" i="1" s="1"/>
  <c r="TQ69" i="1"/>
  <c r="TS69" i="1" s="1"/>
  <c r="TQ66" i="1"/>
  <c r="TS66" i="1" s="1"/>
  <c r="TQ62" i="1"/>
  <c r="TS62" i="1" s="1"/>
  <c r="TQ59" i="1"/>
  <c r="TS59" i="1" s="1"/>
  <c r="TQ56" i="1"/>
  <c r="TS56" i="1" s="1"/>
  <c r="TQ52" i="1"/>
  <c r="TS52" i="1" s="1"/>
  <c r="TQ49" i="1"/>
  <c r="TS49" i="1" s="1"/>
  <c r="TQ46" i="1"/>
  <c r="TS46" i="1" s="1"/>
  <c r="TQ43" i="1"/>
  <c r="TS43" i="1" s="1"/>
  <c r="TQ35" i="1"/>
  <c r="TS35" i="1" s="1"/>
  <c r="TQ32" i="1"/>
  <c r="TS32" i="1" s="1"/>
  <c r="TQ29" i="1"/>
  <c r="TS29" i="1" s="1"/>
  <c r="TQ26" i="1"/>
  <c r="TS26" i="1" s="1"/>
  <c r="TQ23" i="1"/>
  <c r="TS23" i="1" s="1"/>
  <c r="TQ20" i="1"/>
  <c r="TS20" i="1" s="1"/>
  <c r="TQ17" i="1"/>
  <c r="TS17" i="1" s="1"/>
  <c r="TQ14" i="1"/>
  <c r="TS14" i="1" s="1"/>
  <c r="TQ12" i="1"/>
  <c r="TS12" i="1" s="1"/>
  <c r="TQ9" i="1"/>
  <c r="TS9" i="1" s="1"/>
  <c r="TQ6" i="1"/>
  <c r="RI217" i="1"/>
  <c r="BB46" i="5" s="1"/>
  <c r="NV76" i="1"/>
  <c r="NV107" i="1" s="1"/>
  <c r="NT107" i="1"/>
  <c r="NT249" i="1"/>
  <c r="NV218" i="1"/>
  <c r="NV249" i="1" s="1"/>
  <c r="NV396" i="1"/>
  <c r="NV427" i="1" s="1"/>
  <c r="NT427" i="1"/>
  <c r="NT71" i="1"/>
  <c r="NV42" i="1"/>
  <c r="NV71" i="1" s="1"/>
  <c r="NV361" i="1"/>
  <c r="NV391" i="1" s="1"/>
  <c r="NT391" i="1"/>
  <c r="NV290" i="1"/>
  <c r="NV320" i="1" s="1"/>
  <c r="NT320" i="1"/>
  <c r="NT285" i="1"/>
  <c r="NV254" i="1"/>
  <c r="NV285" i="1" s="1"/>
  <c r="NV112" i="1"/>
  <c r="NV142" i="1" s="1"/>
  <c r="NT142" i="1"/>
  <c r="NV325" i="1"/>
  <c r="NV356" i="1" s="1"/>
  <c r="NT356" i="1"/>
  <c r="NT213" i="1"/>
  <c r="NV183" i="1"/>
  <c r="NV213" i="1" s="1"/>
  <c r="AP32" i="5"/>
  <c r="D46" i="21" s="1"/>
  <c r="NE147" i="1"/>
  <c r="NE148" i="1" s="1"/>
  <c r="NE149" i="1" s="1"/>
  <c r="NE150" i="1" s="1"/>
  <c r="NE151" i="1" s="1"/>
  <c r="NE152" i="1" s="1"/>
  <c r="NE153" i="1" s="1"/>
  <c r="NE154" i="1" s="1"/>
  <c r="NE155" i="1" s="1"/>
  <c r="NE156" i="1" s="1"/>
  <c r="NE157" i="1" s="1"/>
  <c r="NE158" i="1" s="1"/>
  <c r="NE159" i="1" s="1"/>
  <c r="NE160" i="1" s="1"/>
  <c r="NE161" i="1" s="1"/>
  <c r="NE162" i="1" s="1"/>
  <c r="NE163" i="1" s="1"/>
  <c r="NE164" i="1" s="1"/>
  <c r="NE165" i="1" s="1"/>
  <c r="NE166" i="1" s="1"/>
  <c r="NE167" i="1" s="1"/>
  <c r="NE168" i="1" s="1"/>
  <c r="NE169" i="1" s="1"/>
  <c r="NE170" i="1" s="1"/>
  <c r="NE171" i="1" s="1"/>
  <c r="NE172" i="1" s="1"/>
  <c r="NE173" i="1" s="1"/>
  <c r="NE174" i="1" s="1"/>
  <c r="NE175" i="1" s="1"/>
  <c r="NE176" i="1" s="1"/>
  <c r="NE177" i="1" s="1"/>
  <c r="NE178" i="1" s="1"/>
  <c r="AO32" i="5"/>
  <c r="D45" i="21" s="1"/>
  <c r="MV147" i="1"/>
  <c r="MV148" i="1" s="1"/>
  <c r="MV149" i="1" s="1"/>
  <c r="MV150" i="1" s="1"/>
  <c r="MV151" i="1" s="1"/>
  <c r="MV152" i="1" s="1"/>
  <c r="MV153" i="1" s="1"/>
  <c r="MV154" i="1" s="1"/>
  <c r="MV155" i="1" s="1"/>
  <c r="MV156" i="1" s="1"/>
  <c r="MV157" i="1" s="1"/>
  <c r="MV158" i="1" s="1"/>
  <c r="MV159" i="1" s="1"/>
  <c r="MV160" i="1" s="1"/>
  <c r="MV161" i="1" s="1"/>
  <c r="MV162" i="1" s="1"/>
  <c r="MV163" i="1" s="1"/>
  <c r="MV164" i="1" s="1"/>
  <c r="MV165" i="1" s="1"/>
  <c r="MV166" i="1" s="1"/>
  <c r="MV167" i="1" s="1"/>
  <c r="MV168" i="1" s="1"/>
  <c r="MV169" i="1" s="1"/>
  <c r="MV170" i="1" s="1"/>
  <c r="MV171" i="1" s="1"/>
  <c r="MV172" i="1" s="1"/>
  <c r="MV173" i="1" s="1"/>
  <c r="MV174" i="1" s="1"/>
  <c r="MV175" i="1" s="1"/>
  <c r="MV176" i="1" s="1"/>
  <c r="MV177" i="1" s="1"/>
  <c r="MV178" i="1" s="1"/>
  <c r="AL32" i="5"/>
  <c r="D42" i="21" s="1"/>
  <c r="LU147" i="1"/>
  <c r="LU148" i="1" s="1"/>
  <c r="LU149" i="1" s="1"/>
  <c r="LU150" i="1" s="1"/>
  <c r="LU151" i="1" s="1"/>
  <c r="LU152" i="1" s="1"/>
  <c r="LU153" i="1" s="1"/>
  <c r="LU154" i="1" s="1"/>
  <c r="LU155" i="1" s="1"/>
  <c r="LU156" i="1" s="1"/>
  <c r="LU157" i="1" s="1"/>
  <c r="LU158" i="1" s="1"/>
  <c r="LU159" i="1" s="1"/>
  <c r="LU160" i="1" s="1"/>
  <c r="LU161" i="1" s="1"/>
  <c r="LU162" i="1" s="1"/>
  <c r="LU163" i="1" s="1"/>
  <c r="LU164" i="1" s="1"/>
  <c r="LU165" i="1" s="1"/>
  <c r="LU166" i="1" s="1"/>
  <c r="LU167" i="1" s="1"/>
  <c r="LU168" i="1" s="1"/>
  <c r="LU169" i="1" s="1"/>
  <c r="LU170" i="1" s="1"/>
  <c r="LU171" i="1" s="1"/>
  <c r="LU172" i="1" s="1"/>
  <c r="LU173" i="1" s="1"/>
  <c r="LU174" i="1" s="1"/>
  <c r="LU175" i="1" s="1"/>
  <c r="LU176" i="1" s="1"/>
  <c r="LU177" i="1" s="1"/>
  <c r="LU178" i="1" s="1"/>
  <c r="AN32" i="5"/>
  <c r="D44" i="21" s="1"/>
  <c r="MM147" i="1"/>
  <c r="MM148" i="1" s="1"/>
  <c r="MM149" i="1" s="1"/>
  <c r="MM150" i="1" s="1"/>
  <c r="MM151" i="1" s="1"/>
  <c r="MM152" i="1" s="1"/>
  <c r="MM153" i="1" s="1"/>
  <c r="MM154" i="1" s="1"/>
  <c r="MM155" i="1" s="1"/>
  <c r="MM156" i="1" s="1"/>
  <c r="MM157" i="1" s="1"/>
  <c r="MM158" i="1" s="1"/>
  <c r="MM159" i="1" s="1"/>
  <c r="MM160" i="1" s="1"/>
  <c r="MM161" i="1" s="1"/>
  <c r="MM162" i="1" s="1"/>
  <c r="MM163" i="1" s="1"/>
  <c r="MM164" i="1" s="1"/>
  <c r="MM165" i="1" s="1"/>
  <c r="MM166" i="1" s="1"/>
  <c r="MM167" i="1" s="1"/>
  <c r="MM168" i="1" s="1"/>
  <c r="MM169" i="1" s="1"/>
  <c r="MM170" i="1" s="1"/>
  <c r="MM171" i="1" s="1"/>
  <c r="MM172" i="1" s="1"/>
  <c r="MM173" i="1" s="1"/>
  <c r="MM174" i="1" s="1"/>
  <c r="MM175" i="1" s="1"/>
  <c r="MM176" i="1" s="1"/>
  <c r="MM177" i="1" s="1"/>
  <c r="MM178" i="1" s="1"/>
  <c r="AM32" i="5"/>
  <c r="D43" i="21" s="1"/>
  <c r="MD147" i="1"/>
  <c r="MD148" i="1" s="1"/>
  <c r="MD149" i="1" s="1"/>
  <c r="MD150" i="1" s="1"/>
  <c r="MD151" i="1" s="1"/>
  <c r="MD152" i="1" s="1"/>
  <c r="MD153" i="1" s="1"/>
  <c r="MD154" i="1" s="1"/>
  <c r="MD155" i="1" s="1"/>
  <c r="MD156" i="1" s="1"/>
  <c r="MD157" i="1" s="1"/>
  <c r="MD158" i="1" s="1"/>
  <c r="MD159" i="1" s="1"/>
  <c r="MD160" i="1" s="1"/>
  <c r="MD161" i="1" s="1"/>
  <c r="MD162" i="1" s="1"/>
  <c r="MD163" i="1" s="1"/>
  <c r="MD164" i="1" s="1"/>
  <c r="MD165" i="1" s="1"/>
  <c r="MD166" i="1" s="1"/>
  <c r="MD167" i="1" s="1"/>
  <c r="MD168" i="1" s="1"/>
  <c r="MD169" i="1" s="1"/>
  <c r="MD170" i="1" s="1"/>
  <c r="MD171" i="1" s="1"/>
  <c r="MD172" i="1" s="1"/>
  <c r="MD173" i="1" s="1"/>
  <c r="MD174" i="1" s="1"/>
  <c r="MD175" i="1" s="1"/>
  <c r="MD176" i="1" s="1"/>
  <c r="MD177" i="1" s="1"/>
  <c r="MD178" i="1" s="1"/>
  <c r="B50" i="12"/>
  <c r="B50" i="11"/>
  <c r="B53" i="21"/>
  <c r="B50" i="16"/>
  <c r="B51" i="15"/>
  <c r="B50" i="14"/>
  <c r="B50" i="13"/>
  <c r="B50" i="8"/>
  <c r="B52" i="20"/>
  <c r="B52" i="19"/>
  <c r="B40" i="17"/>
  <c r="B40" i="12"/>
  <c r="B40" i="11"/>
  <c r="B40" i="8"/>
  <c r="B40" i="21"/>
  <c r="B40" i="16"/>
  <c r="B40" i="15"/>
  <c r="B40" i="14"/>
  <c r="B40" i="13"/>
  <c r="B40" i="20"/>
  <c r="B40" i="19"/>
  <c r="B52" i="16"/>
  <c r="B53" i="15"/>
  <c r="B52" i="14"/>
  <c r="B52" i="13"/>
  <c r="B52" i="8"/>
  <c r="B54" i="20"/>
  <c r="B52" i="12"/>
  <c r="B52" i="11"/>
  <c r="B55" i="21"/>
  <c r="B54" i="19"/>
  <c r="B38" i="17"/>
  <c r="B38" i="16"/>
  <c r="B38" i="15"/>
  <c r="B38" i="11"/>
  <c r="B38" i="21"/>
  <c r="B38" i="14"/>
  <c r="B38" i="13"/>
  <c r="B38" i="12"/>
  <c r="B38" i="8"/>
  <c r="B38" i="20"/>
  <c r="B38" i="19"/>
  <c r="B41" i="17"/>
  <c r="B41" i="12"/>
  <c r="B41" i="11"/>
  <c r="B41" i="21"/>
  <c r="B41" i="16"/>
  <c r="B41" i="15"/>
  <c r="B41" i="14"/>
  <c r="B41" i="13"/>
  <c r="B41" i="8"/>
  <c r="B41" i="20"/>
  <c r="B41" i="19"/>
  <c r="B54" i="12"/>
  <c r="B54" i="11"/>
  <c r="B54" i="16"/>
  <c r="B55" i="15"/>
  <c r="B54" i="14"/>
  <c r="B54" i="13"/>
  <c r="B54" i="8"/>
  <c r="B57" i="21"/>
  <c r="B56" i="20"/>
  <c r="B56" i="19"/>
  <c r="B36" i="17"/>
  <c r="B36" i="16"/>
  <c r="B36" i="15"/>
  <c r="B36" i="11"/>
  <c r="B36" i="8"/>
  <c r="B36" i="14"/>
  <c r="B36" i="13"/>
  <c r="B36" i="12"/>
  <c r="B36" i="21"/>
  <c r="B36" i="20"/>
  <c r="B36" i="19"/>
  <c r="B53" i="12"/>
  <c r="B53" i="11"/>
  <c r="B53" i="8"/>
  <c r="B53" i="16"/>
  <c r="B54" i="15"/>
  <c r="B53" i="14"/>
  <c r="B53" i="13"/>
  <c r="B56" i="21"/>
  <c r="B55" i="20"/>
  <c r="B55" i="19"/>
  <c r="B49" i="12"/>
  <c r="B49" i="11"/>
  <c r="B49" i="8"/>
  <c r="B52" i="21"/>
  <c r="B49" i="16"/>
  <c r="B50" i="15"/>
  <c r="B49" i="14"/>
  <c r="B49" i="13"/>
  <c r="B51" i="20"/>
  <c r="B51" i="19"/>
  <c r="B39" i="17"/>
  <c r="B39" i="16"/>
  <c r="B39" i="15"/>
  <c r="B39" i="11"/>
  <c r="B39" i="8"/>
  <c r="B39" i="21"/>
  <c r="B39" i="14"/>
  <c r="B39" i="13"/>
  <c r="B39" i="12"/>
  <c r="B39" i="20"/>
  <c r="B39" i="19"/>
  <c r="B56" i="12"/>
  <c r="B56" i="11"/>
  <c r="B56" i="16"/>
  <c r="B57" i="15"/>
  <c r="B56" i="14"/>
  <c r="B56" i="13"/>
  <c r="B56" i="8"/>
  <c r="B59" i="21"/>
  <c r="B58" i="20"/>
  <c r="B58" i="19"/>
  <c r="B49" i="15"/>
  <c r="B50" i="20"/>
  <c r="B51" i="21"/>
  <c r="B50" i="19"/>
  <c r="B55" i="12"/>
  <c r="B55" i="11"/>
  <c r="B55" i="8"/>
  <c r="B55" i="16"/>
  <c r="B56" i="15"/>
  <c r="B55" i="14"/>
  <c r="B55" i="13"/>
  <c r="B58" i="21"/>
  <c r="B57" i="20"/>
  <c r="B57" i="19"/>
  <c r="B51" i="16"/>
  <c r="B52" i="15"/>
  <c r="B51" i="14"/>
  <c r="B51" i="13"/>
  <c r="B53" i="20"/>
  <c r="B51" i="12"/>
  <c r="B51" i="11"/>
  <c r="B51" i="8"/>
  <c r="B54" i="21"/>
  <c r="B53" i="19"/>
  <c r="B37" i="17"/>
  <c r="B37" i="16"/>
  <c r="B37" i="15"/>
  <c r="B37" i="11"/>
  <c r="B37" i="21"/>
  <c r="B37" i="14"/>
  <c r="B37" i="13"/>
  <c r="B37" i="12"/>
  <c r="B37" i="8"/>
  <c r="B37" i="20"/>
  <c r="B37" i="19"/>
  <c r="TH424" i="1"/>
  <c r="TJ424" i="1" s="1"/>
  <c r="TH421" i="1"/>
  <c r="TJ421" i="1" s="1"/>
  <c r="TH418" i="1"/>
  <c r="TJ418" i="1" s="1"/>
  <c r="TH415" i="1"/>
  <c r="TJ415" i="1" s="1"/>
  <c r="TH408" i="1"/>
  <c r="TJ408" i="1" s="1"/>
  <c r="TH405" i="1"/>
  <c r="TJ405" i="1" s="1"/>
  <c r="TH402" i="1"/>
  <c r="TJ402" i="1" s="1"/>
  <c r="TH399" i="1"/>
  <c r="TJ399" i="1" s="1"/>
  <c r="TH385" i="1"/>
  <c r="TJ385" i="1" s="1"/>
  <c r="TH382" i="1"/>
  <c r="TJ382" i="1" s="1"/>
  <c r="TH379" i="1"/>
  <c r="TJ379" i="1" s="1"/>
  <c r="TH376" i="1"/>
  <c r="TJ376" i="1" s="1"/>
  <c r="TH369" i="1"/>
  <c r="TJ369" i="1" s="1"/>
  <c r="TH366" i="1"/>
  <c r="TJ366" i="1" s="1"/>
  <c r="TH363" i="1"/>
  <c r="TJ363" i="1" s="1"/>
  <c r="TH353" i="1"/>
  <c r="TJ353" i="1" s="1"/>
  <c r="TH346" i="1"/>
  <c r="TJ346" i="1" s="1"/>
  <c r="TH343" i="1"/>
  <c r="TJ343" i="1" s="1"/>
  <c r="TH340" i="1"/>
  <c r="TJ340" i="1" s="1"/>
  <c r="TH337" i="1"/>
  <c r="TJ337" i="1" s="1"/>
  <c r="TH330" i="1"/>
  <c r="TJ330" i="1" s="1"/>
  <c r="TH327" i="1"/>
  <c r="TJ327" i="1" s="1"/>
  <c r="TH318" i="1"/>
  <c r="TJ318" i="1" s="1"/>
  <c r="TH315" i="1"/>
  <c r="TJ315" i="1" s="1"/>
  <c r="TH310" i="1"/>
  <c r="TJ310" i="1" s="1"/>
  <c r="TH307" i="1"/>
  <c r="TJ307" i="1" s="1"/>
  <c r="TH302" i="1"/>
  <c r="TJ302" i="1" s="1"/>
  <c r="TH296" i="1"/>
  <c r="TJ296" i="1" s="1"/>
  <c r="TH293" i="1"/>
  <c r="TJ293" i="1" s="1"/>
  <c r="TH282" i="1"/>
  <c r="TJ282" i="1" s="1"/>
  <c r="TH277" i="1"/>
  <c r="TJ277" i="1" s="1"/>
  <c r="TH274" i="1"/>
  <c r="TJ274" i="1" s="1"/>
  <c r="TH269" i="1"/>
  <c r="TJ269" i="1" s="1"/>
  <c r="TH266" i="1"/>
  <c r="TJ266" i="1" s="1"/>
  <c r="TH261" i="1"/>
  <c r="TJ261" i="1" s="1"/>
  <c r="TH258" i="1"/>
  <c r="TJ258" i="1" s="1"/>
  <c r="TH242" i="1"/>
  <c r="TJ242" i="1" s="1"/>
  <c r="TH240" i="1"/>
  <c r="TJ240" i="1" s="1"/>
  <c r="TH235" i="1"/>
  <c r="TJ235" i="1" s="1"/>
  <c r="TH233" i="1"/>
  <c r="TJ233" i="1" s="1"/>
  <c r="TH226" i="1"/>
  <c r="TJ226" i="1" s="1"/>
  <c r="TH224" i="1"/>
  <c r="TJ224" i="1" s="1"/>
  <c r="TH219" i="1"/>
  <c r="TJ219" i="1" s="1"/>
  <c r="TJ208" i="1"/>
  <c r="TJ206" i="1"/>
  <c r="TJ201" i="1"/>
  <c r="TJ199" i="1"/>
  <c r="TJ192" i="1"/>
  <c r="TJ190" i="1"/>
  <c r="TJ185" i="1"/>
  <c r="TJ177" i="1"/>
  <c r="TJ175" i="1"/>
  <c r="TJ170" i="1"/>
  <c r="TJ165" i="1"/>
  <c r="TH420" i="1"/>
  <c r="TJ420" i="1" s="1"/>
  <c r="TH417" i="1"/>
  <c r="TJ417" i="1" s="1"/>
  <c r="TH414" i="1"/>
  <c r="TJ414" i="1" s="1"/>
  <c r="TH411" i="1"/>
  <c r="TJ411" i="1" s="1"/>
  <c r="TH404" i="1"/>
  <c r="TJ404" i="1" s="1"/>
  <c r="TH401" i="1"/>
  <c r="TJ401" i="1" s="1"/>
  <c r="TH398" i="1"/>
  <c r="TJ398" i="1" s="1"/>
  <c r="TH388" i="1"/>
  <c r="TJ388" i="1" s="1"/>
  <c r="TH381" i="1"/>
  <c r="TJ381" i="1" s="1"/>
  <c r="TH378" i="1"/>
  <c r="TJ378" i="1" s="1"/>
  <c r="TH375" i="1"/>
  <c r="TJ375" i="1" s="1"/>
  <c r="TH372" i="1"/>
  <c r="TJ372" i="1" s="1"/>
  <c r="TH365" i="1"/>
  <c r="TJ365" i="1" s="1"/>
  <c r="TH362" i="1"/>
  <c r="TJ362" i="1" s="1"/>
  <c r="TH355" i="1"/>
  <c r="TJ355" i="1" s="1"/>
  <c r="TH352" i="1"/>
  <c r="TJ352" i="1" s="1"/>
  <c r="TH349" i="1"/>
  <c r="TJ349" i="1" s="1"/>
  <c r="TH342" i="1"/>
  <c r="TJ342" i="1" s="1"/>
  <c r="TH339" i="1"/>
  <c r="TJ339" i="1" s="1"/>
  <c r="TH336" i="1"/>
  <c r="TJ336" i="1" s="1"/>
  <c r="TH333" i="1"/>
  <c r="TJ333" i="1" s="1"/>
  <c r="TH326" i="1"/>
  <c r="TJ326" i="1" s="1"/>
  <c r="TH317" i="1"/>
  <c r="TJ317" i="1" s="1"/>
  <c r="TH312" i="1"/>
  <c r="TJ312" i="1" s="1"/>
  <c r="TH309" i="1"/>
  <c r="TJ309" i="1" s="1"/>
  <c r="TH304" i="1"/>
  <c r="TJ304" i="1" s="1"/>
  <c r="TH301" i="1"/>
  <c r="TJ301" i="1" s="1"/>
  <c r="TH298" i="1"/>
  <c r="TJ298" i="1" s="1"/>
  <c r="TH295" i="1"/>
  <c r="TJ295" i="1" s="1"/>
  <c r="TH290" i="1"/>
  <c r="TH284" i="1"/>
  <c r="TJ284" i="1" s="1"/>
  <c r="TH279" i="1"/>
  <c r="TJ279" i="1" s="1"/>
  <c r="TH276" i="1"/>
  <c r="TJ276" i="1" s="1"/>
  <c r="TH271" i="1"/>
  <c r="TJ271" i="1" s="1"/>
  <c r="TH268" i="1"/>
  <c r="TJ268" i="1" s="1"/>
  <c r="TH263" i="1"/>
  <c r="TJ263" i="1" s="1"/>
  <c r="TH260" i="1"/>
  <c r="TJ260" i="1" s="1"/>
  <c r="TH255" i="1"/>
  <c r="TJ255" i="1" s="1"/>
  <c r="TH246" i="1"/>
  <c r="TJ246" i="1" s="1"/>
  <c r="TH244" i="1"/>
  <c r="TJ244" i="1" s="1"/>
  <c r="TH239" i="1"/>
  <c r="TJ239" i="1" s="1"/>
  <c r="TH237" i="1"/>
  <c r="TJ237" i="1" s="1"/>
  <c r="TH230" i="1"/>
  <c r="TJ230" i="1" s="1"/>
  <c r="TH228" i="1"/>
  <c r="TJ228" i="1" s="1"/>
  <c r="TH223" i="1"/>
  <c r="TJ223" i="1" s="1"/>
  <c r="TH221" i="1"/>
  <c r="TJ221" i="1" s="1"/>
  <c r="TJ212" i="1"/>
  <c r="TJ210" i="1"/>
  <c r="TJ205" i="1"/>
  <c r="TJ203" i="1"/>
  <c r="TJ196" i="1"/>
  <c r="TJ194" i="1"/>
  <c r="TJ189" i="1"/>
  <c r="TJ187" i="1"/>
  <c r="TJ174" i="1"/>
  <c r="TJ172" i="1"/>
  <c r="TJ167" i="1"/>
  <c r="TH426" i="1"/>
  <c r="TJ426" i="1" s="1"/>
  <c r="TH423" i="1"/>
  <c r="TJ423" i="1" s="1"/>
  <c r="TH416" i="1"/>
  <c r="TJ416" i="1" s="1"/>
  <c r="TH413" i="1"/>
  <c r="TJ413" i="1" s="1"/>
  <c r="TH410" i="1"/>
  <c r="TJ410" i="1" s="1"/>
  <c r="TH407" i="1"/>
  <c r="TJ407" i="1" s="1"/>
  <c r="TH400" i="1"/>
  <c r="TJ400" i="1" s="1"/>
  <c r="TH397" i="1"/>
  <c r="TJ397" i="1" s="1"/>
  <c r="TH390" i="1"/>
  <c r="TJ390" i="1" s="1"/>
  <c r="TH387" i="1"/>
  <c r="TJ387" i="1" s="1"/>
  <c r="TH384" i="1"/>
  <c r="TJ384" i="1" s="1"/>
  <c r="TH377" i="1"/>
  <c r="TJ377" i="1" s="1"/>
  <c r="TH374" i="1"/>
  <c r="TJ374" i="1" s="1"/>
  <c r="TH371" i="1"/>
  <c r="TJ371" i="1" s="1"/>
  <c r="TH368" i="1"/>
  <c r="TJ368" i="1" s="1"/>
  <c r="TH361" i="1"/>
  <c r="TH354" i="1"/>
  <c r="TJ354" i="1" s="1"/>
  <c r="TH351" i="1"/>
  <c r="TJ351" i="1" s="1"/>
  <c r="TH348" i="1"/>
  <c r="TJ348" i="1" s="1"/>
  <c r="TH345" i="1"/>
  <c r="TJ345" i="1" s="1"/>
  <c r="TH338" i="1"/>
  <c r="TJ338" i="1" s="1"/>
  <c r="TH335" i="1"/>
  <c r="TJ335" i="1" s="1"/>
  <c r="TH332" i="1"/>
  <c r="TJ332" i="1" s="1"/>
  <c r="TH329" i="1"/>
  <c r="TJ329" i="1" s="1"/>
  <c r="TH319" i="1"/>
  <c r="TJ319" i="1" s="1"/>
  <c r="TH314" i="1"/>
  <c r="TJ314" i="1" s="1"/>
  <c r="TH311" i="1"/>
  <c r="TJ311" i="1" s="1"/>
  <c r="TH306" i="1"/>
  <c r="TJ306" i="1" s="1"/>
  <c r="TH303" i="1"/>
  <c r="TJ303" i="1" s="1"/>
  <c r="TH300" i="1"/>
  <c r="TJ300" i="1" s="1"/>
  <c r="TH297" i="1"/>
  <c r="TJ297" i="1" s="1"/>
  <c r="TH292" i="1"/>
  <c r="TJ292" i="1" s="1"/>
  <c r="TH281" i="1"/>
  <c r="TJ281" i="1" s="1"/>
  <c r="TH278" i="1"/>
  <c r="TJ278" i="1" s="1"/>
  <c r="TH273" i="1"/>
  <c r="TJ273" i="1" s="1"/>
  <c r="TH270" i="1"/>
  <c r="TJ270" i="1" s="1"/>
  <c r="TH265" i="1"/>
  <c r="TJ265" i="1" s="1"/>
  <c r="TH262" i="1"/>
  <c r="TJ262" i="1" s="1"/>
  <c r="TH257" i="1"/>
  <c r="TJ257" i="1" s="1"/>
  <c r="TH254" i="1"/>
  <c r="TH248" i="1"/>
  <c r="TJ248" i="1" s="1"/>
  <c r="TH243" i="1"/>
  <c r="TJ243" i="1" s="1"/>
  <c r="TH241" i="1"/>
  <c r="TJ241" i="1" s="1"/>
  <c r="TH234" i="1"/>
  <c r="TJ234" i="1" s="1"/>
  <c r="TH232" i="1"/>
  <c r="TJ232" i="1" s="1"/>
  <c r="TH227" i="1"/>
  <c r="TJ227" i="1" s="1"/>
  <c r="TH225" i="1"/>
  <c r="TJ225" i="1" s="1"/>
  <c r="TH218" i="1"/>
  <c r="TJ209" i="1"/>
  <c r="TJ207" i="1"/>
  <c r="TJ200" i="1"/>
  <c r="TJ198" i="1"/>
  <c r="TJ193" i="1"/>
  <c r="TJ191" i="1"/>
  <c r="TJ184" i="1"/>
  <c r="TJ176" i="1"/>
  <c r="TJ169" i="1"/>
  <c r="TH419" i="1"/>
  <c r="TJ419" i="1" s="1"/>
  <c r="TH406" i="1"/>
  <c r="TJ406" i="1" s="1"/>
  <c r="TH383" i="1"/>
  <c r="TJ383" i="1" s="1"/>
  <c r="TH370" i="1"/>
  <c r="TJ370" i="1" s="1"/>
  <c r="TH344" i="1"/>
  <c r="TJ344" i="1" s="1"/>
  <c r="TH331" i="1"/>
  <c r="TJ331" i="1" s="1"/>
  <c r="TH299" i="1"/>
  <c r="TJ299" i="1" s="1"/>
  <c r="TH267" i="1"/>
  <c r="TJ267" i="1" s="1"/>
  <c r="TH256" i="1"/>
  <c r="TJ256" i="1" s="1"/>
  <c r="TH245" i="1"/>
  <c r="TJ245" i="1" s="1"/>
  <c r="TH236" i="1"/>
  <c r="TJ236" i="1" s="1"/>
  <c r="TJ204" i="1"/>
  <c r="TJ195" i="1"/>
  <c r="TJ186" i="1"/>
  <c r="TJ168" i="1"/>
  <c r="TJ161" i="1"/>
  <c r="TJ158" i="1"/>
  <c r="TJ153" i="1"/>
  <c r="TJ150" i="1"/>
  <c r="TH141" i="1"/>
  <c r="TJ141" i="1" s="1"/>
  <c r="TH136" i="1"/>
  <c r="TJ136" i="1" s="1"/>
  <c r="TH134" i="1"/>
  <c r="TJ134" i="1" s="1"/>
  <c r="TH127" i="1"/>
  <c r="TJ127" i="1" s="1"/>
  <c r="TH125" i="1"/>
  <c r="TJ125" i="1" s="1"/>
  <c r="TH115" i="1"/>
  <c r="TJ115" i="1" s="1"/>
  <c r="TH112" i="1"/>
  <c r="TH105" i="1"/>
  <c r="TJ105" i="1" s="1"/>
  <c r="TH102" i="1"/>
  <c r="TJ102" i="1" s="1"/>
  <c r="TH99" i="1"/>
  <c r="TJ99" i="1" s="1"/>
  <c r="TH92" i="1"/>
  <c r="TJ92" i="1" s="1"/>
  <c r="TH89" i="1"/>
  <c r="TJ89" i="1" s="1"/>
  <c r="TH86" i="1"/>
  <c r="TJ86" i="1" s="1"/>
  <c r="TH83" i="1"/>
  <c r="TJ83" i="1" s="1"/>
  <c r="TH76" i="1"/>
  <c r="TH69" i="1"/>
  <c r="TJ69" i="1" s="1"/>
  <c r="TH66" i="1"/>
  <c r="TJ66" i="1" s="1"/>
  <c r="TH64" i="1"/>
  <c r="TJ64" i="1" s="1"/>
  <c r="TH61" i="1"/>
  <c r="TJ61" i="1" s="1"/>
  <c r="TH58" i="1"/>
  <c r="TJ58" i="1" s="1"/>
  <c r="TH56" i="1"/>
  <c r="TJ56" i="1" s="1"/>
  <c r="TH53" i="1"/>
  <c r="TJ53" i="1" s="1"/>
  <c r="TH50" i="1"/>
  <c r="TJ50" i="1" s="1"/>
  <c r="TH48" i="1"/>
  <c r="TJ48" i="1" s="1"/>
  <c r="TH45" i="1"/>
  <c r="TJ45" i="1" s="1"/>
  <c r="TH42" i="1"/>
  <c r="TH36" i="1"/>
  <c r="TJ36" i="1" s="1"/>
  <c r="TH28" i="1"/>
  <c r="TJ28" i="1" s="1"/>
  <c r="TH20" i="1"/>
  <c r="TJ20" i="1" s="1"/>
  <c r="TH12" i="1"/>
  <c r="TJ12" i="1" s="1"/>
  <c r="TH7" i="1"/>
  <c r="TJ7" i="1" s="1"/>
  <c r="SY424" i="1"/>
  <c r="TA424" i="1" s="1"/>
  <c r="SY421" i="1"/>
  <c r="TA421" i="1" s="1"/>
  <c r="SY418" i="1"/>
  <c r="TA418" i="1" s="1"/>
  <c r="SY415" i="1"/>
  <c r="TA415" i="1" s="1"/>
  <c r="SY408" i="1"/>
  <c r="TA408" i="1" s="1"/>
  <c r="SY405" i="1"/>
  <c r="TA405" i="1" s="1"/>
  <c r="SY402" i="1"/>
  <c r="TA402" i="1" s="1"/>
  <c r="SY399" i="1"/>
  <c r="TA399" i="1" s="1"/>
  <c r="SY385" i="1"/>
  <c r="TA385" i="1" s="1"/>
  <c r="TH403" i="1"/>
  <c r="TJ403" i="1" s="1"/>
  <c r="TH380" i="1"/>
  <c r="TJ380" i="1" s="1"/>
  <c r="TH367" i="1"/>
  <c r="TJ367" i="1" s="1"/>
  <c r="TH341" i="1"/>
  <c r="TJ341" i="1" s="1"/>
  <c r="TH328" i="1"/>
  <c r="TJ328" i="1" s="1"/>
  <c r="TH308" i="1"/>
  <c r="TJ308" i="1" s="1"/>
  <c r="TH275" i="1"/>
  <c r="TJ275" i="1" s="1"/>
  <c r="TH264" i="1"/>
  <c r="TJ264" i="1" s="1"/>
  <c r="TJ211" i="1"/>
  <c r="TJ202" i="1"/>
  <c r="TJ166" i="1"/>
  <c r="TJ163" i="1"/>
  <c r="TJ160" i="1"/>
  <c r="TJ155" i="1"/>
  <c r="TJ152" i="1"/>
  <c r="TH140" i="1"/>
  <c r="TJ140" i="1" s="1"/>
  <c r="TH138" i="1"/>
  <c r="TJ138" i="1" s="1"/>
  <c r="TH131" i="1"/>
  <c r="TJ131" i="1" s="1"/>
  <c r="TH129" i="1"/>
  <c r="TJ129" i="1" s="1"/>
  <c r="TH124" i="1"/>
  <c r="TJ124" i="1" s="1"/>
  <c r="TH122" i="1"/>
  <c r="TJ122" i="1" s="1"/>
  <c r="TH119" i="1"/>
  <c r="TJ119" i="1" s="1"/>
  <c r="TH117" i="1"/>
  <c r="TJ117" i="1" s="1"/>
  <c r="TH104" i="1"/>
  <c r="TJ104" i="1" s="1"/>
  <c r="TH101" i="1"/>
  <c r="TJ101" i="1" s="1"/>
  <c r="TH98" i="1"/>
  <c r="TJ98" i="1" s="1"/>
  <c r="TH95" i="1"/>
  <c r="TJ95" i="1" s="1"/>
  <c r="TH88" i="1"/>
  <c r="TJ88" i="1" s="1"/>
  <c r="TH85" i="1"/>
  <c r="TJ85" i="1" s="1"/>
  <c r="TH82" i="1"/>
  <c r="TJ82" i="1" s="1"/>
  <c r="TH79" i="1"/>
  <c r="TJ79" i="1" s="1"/>
  <c r="TH63" i="1"/>
  <c r="TJ63" i="1" s="1"/>
  <c r="TH55" i="1"/>
  <c r="TJ55" i="1" s="1"/>
  <c r="TH47" i="1"/>
  <c r="TJ47" i="1" s="1"/>
  <c r="TH35" i="1"/>
  <c r="TJ35" i="1" s="1"/>
  <c r="TH33" i="1"/>
  <c r="TJ33" i="1" s="1"/>
  <c r="TH30" i="1"/>
  <c r="TJ30" i="1" s="1"/>
  <c r="TH27" i="1"/>
  <c r="TJ27" i="1" s="1"/>
  <c r="TH25" i="1"/>
  <c r="TJ25" i="1" s="1"/>
  <c r="TH22" i="1"/>
  <c r="TJ22" i="1" s="1"/>
  <c r="TH19" i="1"/>
  <c r="TJ19" i="1" s="1"/>
  <c r="TH17" i="1"/>
  <c r="TJ17" i="1" s="1"/>
  <c r="TH14" i="1"/>
  <c r="TJ14" i="1" s="1"/>
  <c r="TH11" i="1"/>
  <c r="TJ11" i="1" s="1"/>
  <c r="TH9" i="1"/>
  <c r="TJ9" i="1" s="1"/>
  <c r="SY420" i="1"/>
  <c r="TA420" i="1" s="1"/>
  <c r="SY417" i="1"/>
  <c r="TA417" i="1" s="1"/>
  <c r="SY414" i="1"/>
  <c r="TA414" i="1" s="1"/>
  <c r="SY411" i="1"/>
  <c r="TA411" i="1" s="1"/>
  <c r="SY404" i="1"/>
  <c r="TA404" i="1" s="1"/>
  <c r="SY401" i="1"/>
  <c r="TA401" i="1" s="1"/>
  <c r="SY398" i="1"/>
  <c r="TA398" i="1" s="1"/>
  <c r="SY388" i="1"/>
  <c r="TA388" i="1" s="1"/>
  <c r="SY381" i="1"/>
  <c r="TA381" i="1" s="1"/>
  <c r="SY378" i="1"/>
  <c r="TA378" i="1" s="1"/>
  <c r="SY375" i="1"/>
  <c r="TA375" i="1" s="1"/>
  <c r="SY372" i="1"/>
  <c r="TA372" i="1" s="1"/>
  <c r="TH425" i="1"/>
  <c r="TJ425" i="1" s="1"/>
  <c r="TH412" i="1"/>
  <c r="TJ412" i="1" s="1"/>
  <c r="TH389" i="1"/>
  <c r="TJ389" i="1" s="1"/>
  <c r="TH364" i="1"/>
  <c r="TJ364" i="1" s="1"/>
  <c r="TH350" i="1"/>
  <c r="TJ350" i="1" s="1"/>
  <c r="TH325" i="1"/>
  <c r="TH316" i="1"/>
  <c r="TJ316" i="1" s="1"/>
  <c r="TH305" i="1"/>
  <c r="TJ305" i="1" s="1"/>
  <c r="TH294" i="1"/>
  <c r="TJ294" i="1" s="1"/>
  <c r="TH283" i="1"/>
  <c r="TJ283" i="1" s="1"/>
  <c r="TH272" i="1"/>
  <c r="TJ272" i="1" s="1"/>
  <c r="TH231" i="1"/>
  <c r="TJ231" i="1" s="1"/>
  <c r="TH222" i="1"/>
  <c r="TJ222" i="1" s="1"/>
  <c r="TJ173" i="1"/>
  <c r="TJ162" i="1"/>
  <c r="TJ157" i="1"/>
  <c r="TJ154" i="1"/>
  <c r="TJ149" i="1"/>
  <c r="TH135" i="1"/>
  <c r="TJ135" i="1" s="1"/>
  <c r="TH133" i="1"/>
  <c r="TJ133" i="1" s="1"/>
  <c r="TH128" i="1"/>
  <c r="TJ128" i="1" s="1"/>
  <c r="TH126" i="1"/>
  <c r="TJ126" i="1" s="1"/>
  <c r="TH121" i="1"/>
  <c r="TJ121" i="1" s="1"/>
  <c r="TH116" i="1"/>
  <c r="TJ116" i="1" s="1"/>
  <c r="TH114" i="1"/>
  <c r="TJ114" i="1" s="1"/>
  <c r="TH100" i="1"/>
  <c r="TJ100" i="1" s="1"/>
  <c r="TH97" i="1"/>
  <c r="TJ97" i="1" s="1"/>
  <c r="TH94" i="1"/>
  <c r="TJ94" i="1" s="1"/>
  <c r="TH91" i="1"/>
  <c r="TJ91" i="1" s="1"/>
  <c r="TH84" i="1"/>
  <c r="TJ84" i="1" s="1"/>
  <c r="TH81" i="1"/>
  <c r="TJ81" i="1" s="1"/>
  <c r="TH78" i="1"/>
  <c r="TJ78" i="1" s="1"/>
  <c r="TH70" i="1"/>
  <c r="TJ70" i="1" s="1"/>
  <c r="TH68" i="1"/>
  <c r="TJ68" i="1" s="1"/>
  <c r="TH65" i="1"/>
  <c r="TJ65" i="1" s="1"/>
  <c r="TH62" i="1"/>
  <c r="TJ62" i="1" s="1"/>
  <c r="TH60" i="1"/>
  <c r="TJ60" i="1" s="1"/>
  <c r="TH57" i="1"/>
  <c r="TJ57" i="1" s="1"/>
  <c r="TH54" i="1"/>
  <c r="TJ54" i="1" s="1"/>
  <c r="TH52" i="1"/>
  <c r="TJ52" i="1" s="1"/>
  <c r="TH49" i="1"/>
  <c r="TJ49" i="1" s="1"/>
  <c r="TH46" i="1"/>
  <c r="TJ46" i="1" s="1"/>
  <c r="TH44" i="1"/>
  <c r="TJ44" i="1" s="1"/>
  <c r="TH32" i="1"/>
  <c r="TJ32" i="1" s="1"/>
  <c r="TH24" i="1"/>
  <c r="TJ24" i="1" s="1"/>
  <c r="TH16" i="1"/>
  <c r="TJ16" i="1" s="1"/>
  <c r="TH8" i="1"/>
  <c r="TJ8" i="1" s="1"/>
  <c r="SY426" i="1"/>
  <c r="TA426" i="1" s="1"/>
  <c r="SY423" i="1"/>
  <c r="TA423" i="1" s="1"/>
  <c r="SY416" i="1"/>
  <c r="TA416" i="1" s="1"/>
  <c r="SY413" i="1"/>
  <c r="TA413" i="1" s="1"/>
  <c r="SY410" i="1"/>
  <c r="TA410" i="1" s="1"/>
  <c r="SY407" i="1"/>
  <c r="TA407" i="1" s="1"/>
  <c r="SY400" i="1"/>
  <c r="TA400" i="1" s="1"/>
  <c r="SY397" i="1"/>
  <c r="TA397" i="1" s="1"/>
  <c r="SY390" i="1"/>
  <c r="TA390" i="1" s="1"/>
  <c r="SY387" i="1"/>
  <c r="TA387" i="1" s="1"/>
  <c r="SY384" i="1"/>
  <c r="TA384" i="1" s="1"/>
  <c r="SY377" i="1"/>
  <c r="TA377" i="1" s="1"/>
  <c r="TH422" i="1"/>
  <c r="TJ422" i="1" s="1"/>
  <c r="TH409" i="1"/>
  <c r="TJ409" i="1" s="1"/>
  <c r="TH396" i="1"/>
  <c r="TH386" i="1"/>
  <c r="TJ386" i="1" s="1"/>
  <c r="TH373" i="1"/>
  <c r="TJ373" i="1" s="1"/>
  <c r="TH347" i="1"/>
  <c r="TJ347" i="1" s="1"/>
  <c r="TH334" i="1"/>
  <c r="TJ334" i="1" s="1"/>
  <c r="TH313" i="1"/>
  <c r="TJ313" i="1" s="1"/>
  <c r="TH291" i="1"/>
  <c r="TJ291" i="1" s="1"/>
  <c r="TH280" i="1"/>
  <c r="TJ280" i="1" s="1"/>
  <c r="TH259" i="1"/>
  <c r="TJ259" i="1" s="1"/>
  <c r="TH247" i="1"/>
  <c r="TJ247" i="1" s="1"/>
  <c r="TH238" i="1"/>
  <c r="TJ238" i="1" s="1"/>
  <c r="TH229" i="1"/>
  <c r="TJ229" i="1" s="1"/>
  <c r="TH220" i="1"/>
  <c r="TJ220" i="1" s="1"/>
  <c r="TJ197" i="1"/>
  <c r="TJ188" i="1"/>
  <c r="TJ171" i="1"/>
  <c r="TJ164" i="1"/>
  <c r="TJ159" i="1"/>
  <c r="TJ156" i="1"/>
  <c r="TJ151" i="1"/>
  <c r="TJ148" i="1"/>
  <c r="TH139" i="1"/>
  <c r="TJ139" i="1" s="1"/>
  <c r="TH137" i="1"/>
  <c r="TJ137" i="1" s="1"/>
  <c r="TH132" i="1"/>
  <c r="TJ132" i="1" s="1"/>
  <c r="TH130" i="1"/>
  <c r="TJ130" i="1" s="1"/>
  <c r="TH123" i="1"/>
  <c r="TJ123" i="1" s="1"/>
  <c r="TH120" i="1"/>
  <c r="TJ120" i="1" s="1"/>
  <c r="TH118" i="1"/>
  <c r="TJ118" i="1" s="1"/>
  <c r="TH113" i="1"/>
  <c r="TJ113" i="1" s="1"/>
  <c r="TH106" i="1"/>
  <c r="TJ106" i="1" s="1"/>
  <c r="TH103" i="1"/>
  <c r="TJ103" i="1" s="1"/>
  <c r="TH96" i="1"/>
  <c r="TJ96" i="1" s="1"/>
  <c r="TH93" i="1"/>
  <c r="TJ93" i="1" s="1"/>
  <c r="TH90" i="1"/>
  <c r="TJ90" i="1" s="1"/>
  <c r="TH87" i="1"/>
  <c r="TJ87" i="1" s="1"/>
  <c r="TH80" i="1"/>
  <c r="TJ80" i="1" s="1"/>
  <c r="TH77" i="1"/>
  <c r="TJ77" i="1" s="1"/>
  <c r="TH67" i="1"/>
  <c r="TJ67" i="1" s="1"/>
  <c r="TH59" i="1"/>
  <c r="TJ59" i="1" s="1"/>
  <c r="TH51" i="1"/>
  <c r="TJ51" i="1" s="1"/>
  <c r="TH43" i="1"/>
  <c r="TJ43" i="1" s="1"/>
  <c r="TH34" i="1"/>
  <c r="TJ34" i="1" s="1"/>
  <c r="TH31" i="1"/>
  <c r="TJ31" i="1" s="1"/>
  <c r="TH29" i="1"/>
  <c r="TJ29" i="1" s="1"/>
  <c r="TH26" i="1"/>
  <c r="TJ26" i="1" s="1"/>
  <c r="TH23" i="1"/>
  <c r="TJ23" i="1" s="1"/>
  <c r="TH21" i="1"/>
  <c r="TJ21" i="1" s="1"/>
  <c r="TH18" i="1"/>
  <c r="TJ18" i="1" s="1"/>
  <c r="TH15" i="1"/>
  <c r="TJ15" i="1" s="1"/>
  <c r="TH13" i="1"/>
  <c r="TJ13" i="1" s="1"/>
  <c r="TH10" i="1"/>
  <c r="TJ10" i="1" s="1"/>
  <c r="SY419" i="1"/>
  <c r="TA419" i="1" s="1"/>
  <c r="SY406" i="1"/>
  <c r="TA406" i="1" s="1"/>
  <c r="SY383" i="1"/>
  <c r="TA383" i="1" s="1"/>
  <c r="SY365" i="1"/>
  <c r="TA365" i="1" s="1"/>
  <c r="SY362" i="1"/>
  <c r="TA362" i="1" s="1"/>
  <c r="SY355" i="1"/>
  <c r="TA355" i="1" s="1"/>
  <c r="SY352" i="1"/>
  <c r="TA352" i="1" s="1"/>
  <c r="SY349" i="1"/>
  <c r="TA349" i="1" s="1"/>
  <c r="SY342" i="1"/>
  <c r="TA342" i="1" s="1"/>
  <c r="SY339" i="1"/>
  <c r="TA339" i="1" s="1"/>
  <c r="SY336" i="1"/>
  <c r="TA336" i="1" s="1"/>
  <c r="SY333" i="1"/>
  <c r="TA333" i="1" s="1"/>
  <c r="SY326" i="1"/>
  <c r="TA326" i="1" s="1"/>
  <c r="SY317" i="1"/>
  <c r="TA317" i="1" s="1"/>
  <c r="SY314" i="1"/>
  <c r="TA314" i="1" s="1"/>
  <c r="SY311" i="1"/>
  <c r="TA311" i="1" s="1"/>
  <c r="SY304" i="1"/>
  <c r="TA304" i="1" s="1"/>
  <c r="SY301" i="1"/>
  <c r="TA301" i="1" s="1"/>
  <c r="SY297" i="1"/>
  <c r="TA297" i="1" s="1"/>
  <c r="SY294" i="1"/>
  <c r="TA294" i="1" s="1"/>
  <c r="SY291" i="1"/>
  <c r="TA291" i="1" s="1"/>
  <c r="SY283" i="1"/>
  <c r="TA283" i="1" s="1"/>
  <c r="SY276" i="1"/>
  <c r="TA276" i="1" s="1"/>
  <c r="SY274" i="1"/>
  <c r="TA274" i="1" s="1"/>
  <c r="SY269" i="1"/>
  <c r="TA269" i="1" s="1"/>
  <c r="SY267" i="1"/>
  <c r="TA267" i="1" s="1"/>
  <c r="SY260" i="1"/>
  <c r="TA260" i="1" s="1"/>
  <c r="SY257" i="1"/>
  <c r="TA257" i="1" s="1"/>
  <c r="TA243" i="1"/>
  <c r="TA240" i="1"/>
  <c r="TA233" i="1"/>
  <c r="TA230" i="1"/>
  <c r="TA227" i="1"/>
  <c r="TA224" i="1"/>
  <c r="TA210" i="1"/>
  <c r="TA203" i="1"/>
  <c r="TA200" i="1"/>
  <c r="TA197" i="1"/>
  <c r="TA194" i="1"/>
  <c r="TA187" i="1"/>
  <c r="TA184" i="1"/>
  <c r="TA177" i="1"/>
  <c r="TA174" i="1"/>
  <c r="TA171" i="1"/>
  <c r="TA164" i="1"/>
  <c r="TA161" i="1"/>
  <c r="TA158" i="1"/>
  <c r="TA155" i="1"/>
  <c r="TA148" i="1"/>
  <c r="SY138" i="1"/>
  <c r="TA138" i="1" s="1"/>
  <c r="SY135" i="1"/>
  <c r="TA135" i="1" s="1"/>
  <c r="SY132" i="1"/>
  <c r="TA132" i="1" s="1"/>
  <c r="SY129" i="1"/>
  <c r="TA129" i="1" s="1"/>
  <c r="SY122" i="1"/>
  <c r="TA122" i="1" s="1"/>
  <c r="SY119" i="1"/>
  <c r="TA119" i="1" s="1"/>
  <c r="SY116" i="1"/>
  <c r="TA116" i="1" s="1"/>
  <c r="SY113" i="1"/>
  <c r="TA113" i="1" s="1"/>
  <c r="SY103" i="1"/>
  <c r="TA103" i="1" s="1"/>
  <c r="SY100" i="1"/>
  <c r="TA100" i="1" s="1"/>
  <c r="SY97" i="1"/>
  <c r="TA97" i="1" s="1"/>
  <c r="SY92" i="1"/>
  <c r="TA92" i="1" s="1"/>
  <c r="SY403" i="1"/>
  <c r="TA403" i="1" s="1"/>
  <c r="SY382" i="1"/>
  <c r="TA382" i="1" s="1"/>
  <c r="SY376" i="1"/>
  <c r="TA376" i="1" s="1"/>
  <c r="SY371" i="1"/>
  <c r="TA371" i="1" s="1"/>
  <c r="SY368" i="1"/>
  <c r="TA368" i="1" s="1"/>
  <c r="SY361" i="1"/>
  <c r="SY354" i="1"/>
  <c r="TA354" i="1" s="1"/>
  <c r="SY351" i="1"/>
  <c r="TA351" i="1" s="1"/>
  <c r="SY348" i="1"/>
  <c r="TA348" i="1" s="1"/>
  <c r="SY345" i="1"/>
  <c r="TA345" i="1" s="1"/>
  <c r="SY338" i="1"/>
  <c r="TA338" i="1" s="1"/>
  <c r="SY335" i="1"/>
  <c r="TA335" i="1" s="1"/>
  <c r="SY332" i="1"/>
  <c r="TA332" i="1" s="1"/>
  <c r="SY329" i="1"/>
  <c r="TA329" i="1" s="1"/>
  <c r="SY319" i="1"/>
  <c r="TA319" i="1" s="1"/>
  <c r="SY316" i="1"/>
  <c r="TA316" i="1" s="1"/>
  <c r="SY313" i="1"/>
  <c r="TA313" i="1" s="1"/>
  <c r="SY310" i="1"/>
  <c r="TA310" i="1" s="1"/>
  <c r="SY307" i="1"/>
  <c r="TA307" i="1" s="1"/>
  <c r="SY300" i="1"/>
  <c r="TA300" i="1" s="1"/>
  <c r="SY296" i="1"/>
  <c r="TA296" i="1" s="1"/>
  <c r="SY293" i="1"/>
  <c r="TA293" i="1" s="1"/>
  <c r="SY280" i="1"/>
  <c r="TA280" i="1" s="1"/>
  <c r="SY278" i="1"/>
  <c r="TA278" i="1" s="1"/>
  <c r="SY273" i="1"/>
  <c r="TA273" i="1" s="1"/>
  <c r="SY271" i="1"/>
  <c r="TA271" i="1" s="1"/>
  <c r="SY264" i="1"/>
  <c r="TA264" i="1" s="1"/>
  <c r="SY262" i="1"/>
  <c r="TA262" i="1" s="1"/>
  <c r="SY254" i="1"/>
  <c r="TA248" i="1"/>
  <c r="TA245" i="1"/>
  <c r="TA242" i="1"/>
  <c r="TA239" i="1"/>
  <c r="TA236" i="1"/>
  <c r="TA229" i="1"/>
  <c r="TA226" i="1"/>
  <c r="TA223" i="1"/>
  <c r="TA220" i="1"/>
  <c r="TA212" i="1"/>
  <c r="TA209" i="1"/>
  <c r="TA206" i="1"/>
  <c r="TA199" i="1"/>
  <c r="TA196" i="1"/>
  <c r="TA193" i="1"/>
  <c r="TA190" i="1"/>
  <c r="TA176" i="1"/>
  <c r="TA173" i="1"/>
  <c r="TA170" i="1"/>
  <c r="TA167" i="1"/>
  <c r="TA160" i="1"/>
  <c r="TA157" i="1"/>
  <c r="TA154" i="1"/>
  <c r="TA151" i="1"/>
  <c r="SY141" i="1"/>
  <c r="TA141" i="1" s="1"/>
  <c r="SY134" i="1"/>
  <c r="TA134" i="1" s="1"/>
  <c r="SY131" i="1"/>
  <c r="TA131" i="1" s="1"/>
  <c r="SY128" i="1"/>
  <c r="TA128" i="1" s="1"/>
  <c r="SY125" i="1"/>
  <c r="TA125" i="1" s="1"/>
  <c r="SY118" i="1"/>
  <c r="TA118" i="1" s="1"/>
  <c r="SY425" i="1"/>
  <c r="TA425" i="1" s="1"/>
  <c r="SY412" i="1"/>
  <c r="TA412" i="1" s="1"/>
  <c r="SY389" i="1"/>
  <c r="TA389" i="1" s="1"/>
  <c r="SY380" i="1"/>
  <c r="TA380" i="1" s="1"/>
  <c r="SY374" i="1"/>
  <c r="TA374" i="1" s="1"/>
  <c r="SY370" i="1"/>
  <c r="TA370" i="1" s="1"/>
  <c r="SY367" i="1"/>
  <c r="TA367" i="1" s="1"/>
  <c r="SY364" i="1"/>
  <c r="TA364" i="1" s="1"/>
  <c r="SY350" i="1"/>
  <c r="TA350" i="1" s="1"/>
  <c r="SY347" i="1"/>
  <c r="TA347" i="1" s="1"/>
  <c r="SY344" i="1"/>
  <c r="TA344" i="1" s="1"/>
  <c r="SY341" i="1"/>
  <c r="TA341" i="1" s="1"/>
  <c r="SY334" i="1"/>
  <c r="TA334" i="1" s="1"/>
  <c r="SY331" i="1"/>
  <c r="TA331" i="1" s="1"/>
  <c r="SY328" i="1"/>
  <c r="TA328" i="1" s="1"/>
  <c r="SY325" i="1"/>
  <c r="SY312" i="1"/>
  <c r="TA312" i="1" s="1"/>
  <c r="SY309" i="1"/>
  <c r="TA309" i="1" s="1"/>
  <c r="SY306" i="1"/>
  <c r="TA306" i="1" s="1"/>
  <c r="SY303" i="1"/>
  <c r="TA303" i="1" s="1"/>
  <c r="SY299" i="1"/>
  <c r="TA299" i="1" s="1"/>
  <c r="SY292" i="1"/>
  <c r="TA292" i="1" s="1"/>
  <c r="SY290" i="1"/>
  <c r="SY284" i="1"/>
  <c r="TA284" i="1" s="1"/>
  <c r="SY282" i="1"/>
  <c r="TA282" i="1" s="1"/>
  <c r="SY277" i="1"/>
  <c r="TA277" i="1" s="1"/>
  <c r="SY275" i="1"/>
  <c r="TA275" i="1" s="1"/>
  <c r="SY268" i="1"/>
  <c r="TA268" i="1" s="1"/>
  <c r="SY266" i="1"/>
  <c r="TA266" i="1" s="1"/>
  <c r="SY261" i="1"/>
  <c r="TA261" i="1" s="1"/>
  <c r="SY259" i="1"/>
  <c r="TA259" i="1" s="1"/>
  <c r="SY256" i="1"/>
  <c r="TA256" i="1" s="1"/>
  <c r="TA247" i="1"/>
  <c r="TA244" i="1"/>
  <c r="TA241" i="1"/>
  <c r="TA238" i="1"/>
  <c r="TA235" i="1"/>
  <c r="TA232" i="1"/>
  <c r="TA225" i="1"/>
  <c r="TA222" i="1"/>
  <c r="TA219" i="1"/>
  <c r="TA211" i="1"/>
  <c r="TA208" i="1"/>
  <c r="TA205" i="1"/>
  <c r="TA202" i="1"/>
  <c r="TA195" i="1"/>
  <c r="TA192" i="1"/>
  <c r="TA189" i="1"/>
  <c r="TA186" i="1"/>
  <c r="TA172" i="1"/>
  <c r="TA169" i="1"/>
  <c r="TA166" i="1"/>
  <c r="TA163" i="1"/>
  <c r="TA156" i="1"/>
  <c r="TA153" i="1"/>
  <c r="TA150" i="1"/>
  <c r="SY140" i="1"/>
  <c r="TA140" i="1" s="1"/>
  <c r="SY137" i="1"/>
  <c r="TA137" i="1" s="1"/>
  <c r="SY130" i="1"/>
  <c r="TA130" i="1" s="1"/>
  <c r="SY127" i="1"/>
  <c r="TA127" i="1" s="1"/>
  <c r="SY124" i="1"/>
  <c r="TA124" i="1" s="1"/>
  <c r="SY121" i="1"/>
  <c r="TA121" i="1" s="1"/>
  <c r="SY114" i="1"/>
  <c r="TA114" i="1" s="1"/>
  <c r="SY422" i="1"/>
  <c r="TA422" i="1" s="1"/>
  <c r="SY409" i="1"/>
  <c r="TA409" i="1" s="1"/>
  <c r="SY396" i="1"/>
  <c r="SY386" i="1"/>
  <c r="TA386" i="1" s="1"/>
  <c r="SY379" i="1"/>
  <c r="TA379" i="1" s="1"/>
  <c r="SY373" i="1"/>
  <c r="TA373" i="1" s="1"/>
  <c r="SY369" i="1"/>
  <c r="TA369" i="1" s="1"/>
  <c r="SY366" i="1"/>
  <c r="TA366" i="1" s="1"/>
  <c r="SY363" i="1"/>
  <c r="TA363" i="1" s="1"/>
  <c r="SY353" i="1"/>
  <c r="TA353" i="1" s="1"/>
  <c r="SY346" i="1"/>
  <c r="TA346" i="1" s="1"/>
  <c r="SY343" i="1"/>
  <c r="TA343" i="1" s="1"/>
  <c r="SY340" i="1"/>
  <c r="TA340" i="1" s="1"/>
  <c r="SY337" i="1"/>
  <c r="TA337" i="1" s="1"/>
  <c r="SY330" i="1"/>
  <c r="TA330" i="1" s="1"/>
  <c r="SY327" i="1"/>
  <c r="TA327" i="1" s="1"/>
  <c r="SY318" i="1"/>
  <c r="TA318" i="1" s="1"/>
  <c r="SY315" i="1"/>
  <c r="TA315" i="1" s="1"/>
  <c r="SY308" i="1"/>
  <c r="TA308" i="1" s="1"/>
  <c r="SY305" i="1"/>
  <c r="TA305" i="1" s="1"/>
  <c r="SY302" i="1"/>
  <c r="TA302" i="1" s="1"/>
  <c r="SY298" i="1"/>
  <c r="TA298" i="1" s="1"/>
  <c r="SY295" i="1"/>
  <c r="TA295" i="1" s="1"/>
  <c r="SY281" i="1"/>
  <c r="TA281" i="1" s="1"/>
  <c r="SY279" i="1"/>
  <c r="TA279" i="1" s="1"/>
  <c r="SY272" i="1"/>
  <c r="TA272" i="1" s="1"/>
  <c r="SY270" i="1"/>
  <c r="TA270" i="1" s="1"/>
  <c r="SY265" i="1"/>
  <c r="TA265" i="1" s="1"/>
  <c r="SY263" i="1"/>
  <c r="TA263" i="1" s="1"/>
  <c r="SY258" i="1"/>
  <c r="TA258" i="1" s="1"/>
  <c r="SY255" i="1"/>
  <c r="TA255" i="1" s="1"/>
  <c r="TA246" i="1"/>
  <c r="TA237" i="1"/>
  <c r="TA234" i="1"/>
  <c r="TA231" i="1"/>
  <c r="TA228" i="1"/>
  <c r="TA221" i="1"/>
  <c r="TA207" i="1"/>
  <c r="TA204" i="1"/>
  <c r="TA201" i="1"/>
  <c r="TA198" i="1"/>
  <c r="TA191" i="1"/>
  <c r="TA188" i="1"/>
  <c r="TA185" i="1"/>
  <c r="TA175" i="1"/>
  <c r="TA168" i="1"/>
  <c r="TA165" i="1"/>
  <c r="TA162" i="1"/>
  <c r="TA159" i="1"/>
  <c r="TA152" i="1"/>
  <c r="TA149" i="1"/>
  <c r="SY139" i="1"/>
  <c r="TA139" i="1" s="1"/>
  <c r="SY136" i="1"/>
  <c r="TA136" i="1" s="1"/>
  <c r="SY133" i="1"/>
  <c r="TA133" i="1" s="1"/>
  <c r="SY126" i="1"/>
  <c r="TA126" i="1" s="1"/>
  <c r="SY123" i="1"/>
  <c r="TA123" i="1" s="1"/>
  <c r="SY120" i="1"/>
  <c r="TA120" i="1" s="1"/>
  <c r="SY117" i="1"/>
  <c r="TA117" i="1" s="1"/>
  <c r="SY104" i="1"/>
  <c r="TA104" i="1" s="1"/>
  <c r="SY101" i="1"/>
  <c r="TA101" i="1" s="1"/>
  <c r="SY98" i="1"/>
  <c r="TA98" i="1" s="1"/>
  <c r="SY95" i="1"/>
  <c r="TA95" i="1" s="1"/>
  <c r="SY90" i="1"/>
  <c r="TA90" i="1" s="1"/>
  <c r="SY112" i="1"/>
  <c r="SY105" i="1"/>
  <c r="TA105" i="1" s="1"/>
  <c r="SY93" i="1"/>
  <c r="TA93" i="1" s="1"/>
  <c r="SY86" i="1"/>
  <c r="TA86" i="1" s="1"/>
  <c r="SY83" i="1"/>
  <c r="TA83" i="1" s="1"/>
  <c r="SY78" i="1"/>
  <c r="TA78" i="1" s="1"/>
  <c r="SY66" i="1"/>
  <c r="TA66" i="1" s="1"/>
  <c r="SY63" i="1"/>
  <c r="TA63" i="1" s="1"/>
  <c r="SY58" i="1"/>
  <c r="TA58" i="1" s="1"/>
  <c r="SY55" i="1"/>
  <c r="TA55" i="1" s="1"/>
  <c r="SY50" i="1"/>
  <c r="TA50" i="1" s="1"/>
  <c r="SY47" i="1"/>
  <c r="TA47" i="1" s="1"/>
  <c r="SY42" i="1"/>
  <c r="SY33" i="1"/>
  <c r="TA33" i="1" s="1"/>
  <c r="SY30" i="1"/>
  <c r="TA30" i="1" s="1"/>
  <c r="SY25" i="1"/>
  <c r="TA25" i="1" s="1"/>
  <c r="SY22" i="1"/>
  <c r="TA22" i="1" s="1"/>
  <c r="SY17" i="1"/>
  <c r="TA17" i="1" s="1"/>
  <c r="SY14" i="1"/>
  <c r="TA14" i="1" s="1"/>
  <c r="SY9" i="1"/>
  <c r="TA9" i="1" s="1"/>
  <c r="SP426" i="1"/>
  <c r="SR426" i="1" s="1"/>
  <c r="SP423" i="1"/>
  <c r="SR423" i="1" s="1"/>
  <c r="SP416" i="1"/>
  <c r="SR416" i="1" s="1"/>
  <c r="SP413" i="1"/>
  <c r="SR413" i="1" s="1"/>
  <c r="SP410" i="1"/>
  <c r="SR410" i="1" s="1"/>
  <c r="SP407" i="1"/>
  <c r="SR407" i="1" s="1"/>
  <c r="SP400" i="1"/>
  <c r="SR400" i="1" s="1"/>
  <c r="SP397" i="1"/>
  <c r="SR397" i="1" s="1"/>
  <c r="SP390" i="1"/>
  <c r="SR390" i="1" s="1"/>
  <c r="SP387" i="1"/>
  <c r="SR387" i="1" s="1"/>
  <c r="SP384" i="1"/>
  <c r="SR384" i="1" s="1"/>
  <c r="SP377" i="1"/>
  <c r="SR377" i="1" s="1"/>
  <c r="SP374" i="1"/>
  <c r="SR374" i="1" s="1"/>
  <c r="SP371" i="1"/>
  <c r="SR371" i="1" s="1"/>
  <c r="SP368" i="1"/>
  <c r="SR368" i="1" s="1"/>
  <c r="SP361" i="1"/>
  <c r="SP354" i="1"/>
  <c r="SR354" i="1" s="1"/>
  <c r="SP351" i="1"/>
  <c r="SR351" i="1" s="1"/>
  <c r="SP348" i="1"/>
  <c r="SR348" i="1" s="1"/>
  <c r="SP345" i="1"/>
  <c r="SR345" i="1" s="1"/>
  <c r="SP338" i="1"/>
  <c r="SR338" i="1" s="1"/>
  <c r="SP335" i="1"/>
  <c r="SR335" i="1" s="1"/>
  <c r="SP332" i="1"/>
  <c r="SR332" i="1" s="1"/>
  <c r="SP327" i="1"/>
  <c r="SR327" i="1" s="1"/>
  <c r="SP318" i="1"/>
  <c r="SR318" i="1" s="1"/>
  <c r="SP315" i="1"/>
  <c r="SR315" i="1" s="1"/>
  <c r="SP312" i="1"/>
  <c r="SR312" i="1" s="1"/>
  <c r="SP309" i="1"/>
  <c r="SR309" i="1" s="1"/>
  <c r="SP306" i="1"/>
  <c r="SR306" i="1" s="1"/>
  <c r="SP299" i="1"/>
  <c r="SR299" i="1" s="1"/>
  <c r="SP296" i="1"/>
  <c r="SR296" i="1" s="1"/>
  <c r="SY96" i="1"/>
  <c r="TA96" i="1" s="1"/>
  <c r="SY91" i="1"/>
  <c r="TA91" i="1" s="1"/>
  <c r="SY88" i="1"/>
  <c r="TA88" i="1" s="1"/>
  <c r="SY85" i="1"/>
  <c r="TA85" i="1" s="1"/>
  <c r="SY80" i="1"/>
  <c r="TA80" i="1" s="1"/>
  <c r="SY77" i="1"/>
  <c r="TA77" i="1" s="1"/>
  <c r="SY68" i="1"/>
  <c r="TA68" i="1" s="1"/>
  <c r="SY65" i="1"/>
  <c r="TA65" i="1" s="1"/>
  <c r="SY60" i="1"/>
  <c r="TA60" i="1" s="1"/>
  <c r="SY57" i="1"/>
  <c r="TA57" i="1" s="1"/>
  <c r="SY52" i="1"/>
  <c r="TA52" i="1" s="1"/>
  <c r="SY49" i="1"/>
  <c r="TA49" i="1" s="1"/>
  <c r="SY44" i="1"/>
  <c r="TA44" i="1" s="1"/>
  <c r="SY35" i="1"/>
  <c r="TA35" i="1" s="1"/>
  <c r="SY32" i="1"/>
  <c r="TA32" i="1" s="1"/>
  <c r="SY27" i="1"/>
  <c r="TA27" i="1" s="1"/>
  <c r="SY24" i="1"/>
  <c r="TA24" i="1" s="1"/>
  <c r="SY19" i="1"/>
  <c r="TA19" i="1" s="1"/>
  <c r="SY16" i="1"/>
  <c r="TA16" i="1" s="1"/>
  <c r="SY11" i="1"/>
  <c r="TA11" i="1" s="1"/>
  <c r="SY8" i="1"/>
  <c r="SP425" i="1"/>
  <c r="SR425" i="1" s="1"/>
  <c r="SP422" i="1"/>
  <c r="SR422" i="1" s="1"/>
  <c r="SP419" i="1"/>
  <c r="SR419" i="1" s="1"/>
  <c r="SP412" i="1"/>
  <c r="SR412" i="1" s="1"/>
  <c r="SP409" i="1"/>
  <c r="SR409" i="1" s="1"/>
  <c r="SP406" i="1"/>
  <c r="SR406" i="1" s="1"/>
  <c r="SP403" i="1"/>
  <c r="SR403" i="1" s="1"/>
  <c r="SP396" i="1"/>
  <c r="SP389" i="1"/>
  <c r="SR389" i="1" s="1"/>
  <c r="SP386" i="1"/>
  <c r="SR386" i="1" s="1"/>
  <c r="SP383" i="1"/>
  <c r="SR383" i="1" s="1"/>
  <c r="SP380" i="1"/>
  <c r="SR380" i="1" s="1"/>
  <c r="SP373" i="1"/>
  <c r="SR373" i="1" s="1"/>
  <c r="SP370" i="1"/>
  <c r="SR370" i="1" s="1"/>
  <c r="SP367" i="1"/>
  <c r="SR367" i="1" s="1"/>
  <c r="SP364" i="1"/>
  <c r="SR364" i="1" s="1"/>
  <c r="SP350" i="1"/>
  <c r="SR350" i="1" s="1"/>
  <c r="SP347" i="1"/>
  <c r="SR347" i="1" s="1"/>
  <c r="SP344" i="1"/>
  <c r="SR344" i="1" s="1"/>
  <c r="SP341" i="1"/>
  <c r="SR341" i="1" s="1"/>
  <c r="SP334" i="1"/>
  <c r="SR334" i="1" s="1"/>
  <c r="SP329" i="1"/>
  <c r="SR329" i="1" s="1"/>
  <c r="SP326" i="1"/>
  <c r="SR326" i="1" s="1"/>
  <c r="SP317" i="1"/>
  <c r="SR317" i="1" s="1"/>
  <c r="SP311" i="1"/>
  <c r="SR311" i="1" s="1"/>
  <c r="SP308" i="1"/>
  <c r="SR308" i="1" s="1"/>
  <c r="SP305" i="1"/>
  <c r="SR305" i="1" s="1"/>
  <c r="SP302" i="1"/>
  <c r="SR302" i="1" s="1"/>
  <c r="SP295" i="1"/>
  <c r="SR295" i="1" s="1"/>
  <c r="SP292" i="1"/>
  <c r="SR292" i="1" s="1"/>
  <c r="SR283" i="1"/>
  <c r="SR280" i="1"/>
  <c r="SR278" i="1"/>
  <c r="SR275" i="1"/>
  <c r="SR272" i="1"/>
  <c r="SR269" i="1"/>
  <c r="SR266" i="1"/>
  <c r="SR263" i="1"/>
  <c r="SR256" i="1"/>
  <c r="SR247" i="1"/>
  <c r="SR244" i="1"/>
  <c r="SR241" i="1"/>
  <c r="SY102" i="1"/>
  <c r="TA102" i="1" s="1"/>
  <c r="SY87" i="1"/>
  <c r="TA87" i="1" s="1"/>
  <c r="SY82" i="1"/>
  <c r="TA82" i="1" s="1"/>
  <c r="SY79" i="1"/>
  <c r="TA79" i="1" s="1"/>
  <c r="SY70" i="1"/>
  <c r="TA70" i="1" s="1"/>
  <c r="SY67" i="1"/>
  <c r="TA67" i="1" s="1"/>
  <c r="SY62" i="1"/>
  <c r="TA62" i="1" s="1"/>
  <c r="SY59" i="1"/>
  <c r="TA59" i="1" s="1"/>
  <c r="SY54" i="1"/>
  <c r="TA54" i="1" s="1"/>
  <c r="SY51" i="1"/>
  <c r="TA51" i="1" s="1"/>
  <c r="SY46" i="1"/>
  <c r="TA46" i="1" s="1"/>
  <c r="SY43" i="1"/>
  <c r="TA43" i="1" s="1"/>
  <c r="SY34" i="1"/>
  <c r="TA34" i="1" s="1"/>
  <c r="SY29" i="1"/>
  <c r="TA29" i="1" s="1"/>
  <c r="SY26" i="1"/>
  <c r="TA26" i="1" s="1"/>
  <c r="SY21" i="1"/>
  <c r="TA21" i="1" s="1"/>
  <c r="SY18" i="1"/>
  <c r="TA18" i="1" s="1"/>
  <c r="SY13" i="1"/>
  <c r="TA13" i="1" s="1"/>
  <c r="SY10" i="1"/>
  <c r="TA10" i="1" s="1"/>
  <c r="SP424" i="1"/>
  <c r="SR424" i="1" s="1"/>
  <c r="SP421" i="1"/>
  <c r="SR421" i="1" s="1"/>
  <c r="SP418" i="1"/>
  <c r="SR418" i="1" s="1"/>
  <c r="SP415" i="1"/>
  <c r="SR415" i="1" s="1"/>
  <c r="SP408" i="1"/>
  <c r="SR408" i="1" s="1"/>
  <c r="SP405" i="1"/>
  <c r="SR405" i="1" s="1"/>
  <c r="SP402" i="1"/>
  <c r="SR402" i="1" s="1"/>
  <c r="SP399" i="1"/>
  <c r="SR399" i="1" s="1"/>
  <c r="SP385" i="1"/>
  <c r="SR385" i="1" s="1"/>
  <c r="SP382" i="1"/>
  <c r="SR382" i="1" s="1"/>
  <c r="SP379" i="1"/>
  <c r="SR379" i="1" s="1"/>
  <c r="SP376" i="1"/>
  <c r="SR376" i="1" s="1"/>
  <c r="SP369" i="1"/>
  <c r="SR369" i="1" s="1"/>
  <c r="SP366" i="1"/>
  <c r="SR366" i="1" s="1"/>
  <c r="SP363" i="1"/>
  <c r="SR363" i="1" s="1"/>
  <c r="SP353" i="1"/>
  <c r="SR353" i="1" s="1"/>
  <c r="SP346" i="1"/>
  <c r="SR346" i="1" s="1"/>
  <c r="SP343" i="1"/>
  <c r="SR343" i="1" s="1"/>
  <c r="SP340" i="1"/>
  <c r="SR340" i="1" s="1"/>
  <c r="SP337" i="1"/>
  <c r="SR337" i="1" s="1"/>
  <c r="SP331" i="1"/>
  <c r="SR331" i="1" s="1"/>
  <c r="SP328" i="1"/>
  <c r="SR328" i="1" s="1"/>
  <c r="SP319" i="1"/>
  <c r="SR319" i="1" s="1"/>
  <c r="SP314" i="1"/>
  <c r="SR314" i="1" s="1"/>
  <c r="SP307" i="1"/>
  <c r="SR307" i="1" s="1"/>
  <c r="SP304" i="1"/>
  <c r="SR304" i="1" s="1"/>
  <c r="SP301" i="1"/>
  <c r="SR301" i="1" s="1"/>
  <c r="SP298" i="1"/>
  <c r="SR298" i="1" s="1"/>
  <c r="SP291" i="1"/>
  <c r="SR291" i="1" s="1"/>
  <c r="SR277" i="1"/>
  <c r="SR268" i="1"/>
  <c r="SR265" i="1"/>
  <c r="SR262" i="1"/>
  <c r="SR259" i="1"/>
  <c r="SR246" i="1"/>
  <c r="SR243" i="1"/>
  <c r="SR238" i="1"/>
  <c r="SR235" i="1"/>
  <c r="SR230" i="1"/>
  <c r="SR227" i="1"/>
  <c r="SR222" i="1"/>
  <c r="SR219" i="1"/>
  <c r="SR210" i="1"/>
  <c r="SR207" i="1"/>
  <c r="SY115" i="1"/>
  <c r="TA115" i="1" s="1"/>
  <c r="SY106" i="1"/>
  <c r="TA106" i="1" s="1"/>
  <c r="SY99" i="1"/>
  <c r="TA99" i="1" s="1"/>
  <c r="SY94" i="1"/>
  <c r="TA94" i="1" s="1"/>
  <c r="SY89" i="1"/>
  <c r="TA89" i="1" s="1"/>
  <c r="SY84" i="1"/>
  <c r="TA84" i="1" s="1"/>
  <c r="SY81" i="1"/>
  <c r="TA81" i="1" s="1"/>
  <c r="SY76" i="1"/>
  <c r="SY69" i="1"/>
  <c r="TA69" i="1" s="1"/>
  <c r="SY64" i="1"/>
  <c r="TA64" i="1" s="1"/>
  <c r="SY61" i="1"/>
  <c r="TA61" i="1" s="1"/>
  <c r="SY56" i="1"/>
  <c r="TA56" i="1" s="1"/>
  <c r="SY53" i="1"/>
  <c r="TA53" i="1" s="1"/>
  <c r="SY48" i="1"/>
  <c r="TA48" i="1" s="1"/>
  <c r="SY45" i="1"/>
  <c r="TA45" i="1" s="1"/>
  <c r="SY36" i="1"/>
  <c r="TA36" i="1" s="1"/>
  <c r="SY31" i="1"/>
  <c r="TA31" i="1" s="1"/>
  <c r="SY28" i="1"/>
  <c r="TA28" i="1" s="1"/>
  <c r="SY23" i="1"/>
  <c r="TA23" i="1" s="1"/>
  <c r="SY20" i="1"/>
  <c r="TA20" i="1" s="1"/>
  <c r="SY15" i="1"/>
  <c r="TA15" i="1" s="1"/>
  <c r="SY12" i="1"/>
  <c r="TA12" i="1" s="1"/>
  <c r="SY7" i="1"/>
  <c r="TA7" i="1" s="1"/>
  <c r="SP420" i="1"/>
  <c r="SR420" i="1" s="1"/>
  <c r="SP417" i="1"/>
  <c r="SR417" i="1" s="1"/>
  <c r="SP414" i="1"/>
  <c r="SR414" i="1" s="1"/>
  <c r="SP411" i="1"/>
  <c r="SR411" i="1" s="1"/>
  <c r="SP404" i="1"/>
  <c r="SR404" i="1" s="1"/>
  <c r="SP401" i="1"/>
  <c r="SR401" i="1" s="1"/>
  <c r="SP398" i="1"/>
  <c r="SR398" i="1" s="1"/>
  <c r="SP388" i="1"/>
  <c r="SR388" i="1" s="1"/>
  <c r="SP381" i="1"/>
  <c r="SR381" i="1" s="1"/>
  <c r="SP378" i="1"/>
  <c r="SR378" i="1" s="1"/>
  <c r="SP375" i="1"/>
  <c r="SR375" i="1" s="1"/>
  <c r="SP372" i="1"/>
  <c r="SR372" i="1" s="1"/>
  <c r="SP365" i="1"/>
  <c r="SR365" i="1" s="1"/>
  <c r="SP362" i="1"/>
  <c r="SR362" i="1" s="1"/>
  <c r="SP355" i="1"/>
  <c r="SR355" i="1" s="1"/>
  <c r="SP352" i="1"/>
  <c r="SR352" i="1" s="1"/>
  <c r="SP349" i="1"/>
  <c r="SR349" i="1" s="1"/>
  <c r="SP342" i="1"/>
  <c r="SR342" i="1" s="1"/>
  <c r="SP339" i="1"/>
  <c r="SR339" i="1" s="1"/>
  <c r="SP336" i="1"/>
  <c r="SR336" i="1" s="1"/>
  <c r="SP333" i="1"/>
  <c r="SR333" i="1" s="1"/>
  <c r="SP330" i="1"/>
  <c r="SR330" i="1" s="1"/>
  <c r="SP325" i="1"/>
  <c r="SP316" i="1"/>
  <c r="SR316" i="1" s="1"/>
  <c r="SP313" i="1"/>
  <c r="SR313" i="1" s="1"/>
  <c r="SP310" i="1"/>
  <c r="SR310" i="1" s="1"/>
  <c r="SP303" i="1"/>
  <c r="SR303" i="1" s="1"/>
  <c r="SP300" i="1"/>
  <c r="SR300" i="1" s="1"/>
  <c r="SP297" i="1"/>
  <c r="SR297" i="1" s="1"/>
  <c r="SP294" i="1"/>
  <c r="SR294" i="1" s="1"/>
  <c r="SR284" i="1"/>
  <c r="SR282" i="1"/>
  <c r="SR279" i="1"/>
  <c r="SR276" i="1"/>
  <c r="SR274" i="1"/>
  <c r="SR271" i="1"/>
  <c r="SR264" i="1"/>
  <c r="SR261" i="1"/>
  <c r="SR258" i="1"/>
  <c r="SR255" i="1"/>
  <c r="SR245" i="1"/>
  <c r="SR231" i="1"/>
  <c r="SR228" i="1"/>
  <c r="SR224" i="1"/>
  <c r="SR209" i="1"/>
  <c r="SR206" i="1"/>
  <c r="SR203" i="1"/>
  <c r="SR198" i="1"/>
  <c r="SR195" i="1"/>
  <c r="SR190" i="1"/>
  <c r="SR187" i="1"/>
  <c r="SR173" i="1"/>
  <c r="SR170" i="1"/>
  <c r="SR165" i="1"/>
  <c r="SR162" i="1"/>
  <c r="SR157" i="1"/>
  <c r="SR154" i="1"/>
  <c r="SR149" i="1"/>
  <c r="SP137" i="1"/>
  <c r="SR137" i="1" s="1"/>
  <c r="SP134" i="1"/>
  <c r="SR134" i="1" s="1"/>
  <c r="SP129" i="1"/>
  <c r="SR129" i="1" s="1"/>
  <c r="SP126" i="1"/>
  <c r="SR126" i="1" s="1"/>
  <c r="SP121" i="1"/>
  <c r="SR121" i="1" s="1"/>
  <c r="SP118" i="1"/>
  <c r="SR118" i="1" s="1"/>
  <c r="SP113" i="1"/>
  <c r="SR113" i="1" s="1"/>
  <c r="SP104" i="1"/>
  <c r="SR104" i="1" s="1"/>
  <c r="SP101" i="1"/>
  <c r="SR101" i="1" s="1"/>
  <c r="SP96" i="1"/>
  <c r="SR96" i="1" s="1"/>
  <c r="SP88" i="1"/>
  <c r="SR88" i="1" s="1"/>
  <c r="SP82" i="1"/>
  <c r="SR82" i="1" s="1"/>
  <c r="SP79" i="1"/>
  <c r="SR79" i="1" s="1"/>
  <c r="SP76" i="1"/>
  <c r="SP68" i="1"/>
  <c r="SR68" i="1" s="1"/>
  <c r="SP65" i="1"/>
  <c r="SR65" i="1" s="1"/>
  <c r="SP62" i="1"/>
  <c r="SR62" i="1" s="1"/>
  <c r="SP59" i="1"/>
  <c r="SR59" i="1" s="1"/>
  <c r="SP52" i="1"/>
  <c r="SR52" i="1" s="1"/>
  <c r="SP49" i="1"/>
  <c r="SR49" i="1" s="1"/>
  <c r="SP46" i="1"/>
  <c r="SR46" i="1" s="1"/>
  <c r="SP43" i="1"/>
  <c r="SR43" i="1" s="1"/>
  <c r="SP33" i="1"/>
  <c r="SR33" i="1" s="1"/>
  <c r="SP30" i="1"/>
  <c r="SR30" i="1" s="1"/>
  <c r="SP27" i="1"/>
  <c r="SR27" i="1" s="1"/>
  <c r="SP24" i="1"/>
  <c r="SR24" i="1" s="1"/>
  <c r="SP17" i="1"/>
  <c r="SR17" i="1" s="1"/>
  <c r="SP14" i="1"/>
  <c r="SR14" i="1" s="1"/>
  <c r="SP11" i="1"/>
  <c r="SR11" i="1" s="1"/>
  <c r="SP7" i="1"/>
  <c r="SR7" i="1" s="1"/>
  <c r="SI420" i="1"/>
  <c r="SI417" i="1"/>
  <c r="SI414" i="1"/>
  <c r="SI411" i="1"/>
  <c r="SI404" i="1"/>
  <c r="SI401" i="1"/>
  <c r="SI398" i="1"/>
  <c r="SI388" i="1"/>
  <c r="SI381" i="1"/>
  <c r="SI378" i="1"/>
  <c r="SI375" i="1"/>
  <c r="SI372" i="1"/>
  <c r="SI365" i="1"/>
  <c r="SI362" i="1"/>
  <c r="SI355" i="1"/>
  <c r="SI352" i="1"/>
  <c r="SI349" i="1"/>
  <c r="SI342" i="1"/>
  <c r="SI339" i="1"/>
  <c r="SI336" i="1"/>
  <c r="SI333" i="1"/>
  <c r="SI326" i="1"/>
  <c r="SI317" i="1"/>
  <c r="SI314" i="1"/>
  <c r="SI307" i="1"/>
  <c r="SI304" i="1"/>
  <c r="SI302" i="1"/>
  <c r="SI293" i="1"/>
  <c r="SI282" i="1"/>
  <c r="SI279" i="1"/>
  <c r="SI276" i="1"/>
  <c r="SI269" i="1"/>
  <c r="SI266" i="1"/>
  <c r="SI263" i="1"/>
  <c r="SI260" i="1"/>
  <c r="SI247" i="1"/>
  <c r="SI242" i="1"/>
  <c r="SI239" i="1"/>
  <c r="SI234" i="1"/>
  <c r="SI231" i="1"/>
  <c r="SI226" i="1"/>
  <c r="SI223" i="1"/>
  <c r="SI211" i="1"/>
  <c r="SI206" i="1"/>
  <c r="SI203" i="1"/>
  <c r="SI198" i="1"/>
  <c r="SI195" i="1"/>
  <c r="SI190" i="1"/>
  <c r="SI187" i="1"/>
  <c r="SI173" i="1"/>
  <c r="SI170" i="1"/>
  <c r="SI165" i="1"/>
  <c r="SI162" i="1"/>
  <c r="SI157" i="1"/>
  <c r="SI154" i="1"/>
  <c r="SI149" i="1"/>
  <c r="SG137" i="1"/>
  <c r="SI137" i="1" s="1"/>
  <c r="SG134" i="1"/>
  <c r="SI134" i="1" s="1"/>
  <c r="SG129" i="1"/>
  <c r="SI129" i="1" s="1"/>
  <c r="SG126" i="1"/>
  <c r="SI126" i="1" s="1"/>
  <c r="SG121" i="1"/>
  <c r="SI121" i="1" s="1"/>
  <c r="SG118" i="1"/>
  <c r="SI118" i="1" s="1"/>
  <c r="SP293" i="1"/>
  <c r="SR293" i="1" s="1"/>
  <c r="SR273" i="1"/>
  <c r="SR260" i="1"/>
  <c r="SR242" i="1"/>
  <c r="SR237" i="1"/>
  <c r="SR234" i="1"/>
  <c r="SR223" i="1"/>
  <c r="SR220" i="1"/>
  <c r="SR212" i="1"/>
  <c r="SR205" i="1"/>
  <c r="SR200" i="1"/>
  <c r="SR197" i="1"/>
  <c r="SR192" i="1"/>
  <c r="SR189" i="1"/>
  <c r="SR184" i="1"/>
  <c r="SR175" i="1"/>
  <c r="SR172" i="1"/>
  <c r="SR167" i="1"/>
  <c r="SR164" i="1"/>
  <c r="SR159" i="1"/>
  <c r="SR156" i="1"/>
  <c r="SR151" i="1"/>
  <c r="SR148" i="1"/>
  <c r="SP139" i="1"/>
  <c r="SR139" i="1" s="1"/>
  <c r="SP136" i="1"/>
  <c r="SR136" i="1" s="1"/>
  <c r="SP131" i="1"/>
  <c r="SR131" i="1" s="1"/>
  <c r="SP128" i="1"/>
  <c r="SR128" i="1" s="1"/>
  <c r="SP123" i="1"/>
  <c r="SR123" i="1" s="1"/>
  <c r="SP120" i="1"/>
  <c r="SR120" i="1" s="1"/>
  <c r="SP115" i="1"/>
  <c r="SR115" i="1" s="1"/>
  <c r="SP112" i="1"/>
  <c r="SP106" i="1"/>
  <c r="SR106" i="1" s="1"/>
  <c r="SP103" i="1"/>
  <c r="SR103" i="1" s="1"/>
  <c r="SP98" i="1"/>
  <c r="SR98" i="1" s="1"/>
  <c r="SP95" i="1"/>
  <c r="SR95" i="1" s="1"/>
  <c r="SP93" i="1"/>
  <c r="SR93" i="1" s="1"/>
  <c r="SP90" i="1"/>
  <c r="SR90" i="1" s="1"/>
  <c r="SP87" i="1"/>
  <c r="SR87" i="1" s="1"/>
  <c r="SP85" i="1"/>
  <c r="SR85" i="1" s="1"/>
  <c r="SP78" i="1"/>
  <c r="SR78" i="1" s="1"/>
  <c r="SP64" i="1"/>
  <c r="SR64" i="1" s="1"/>
  <c r="SP61" i="1"/>
  <c r="SR61" i="1" s="1"/>
  <c r="SP58" i="1"/>
  <c r="SR58" i="1" s="1"/>
  <c r="SP55" i="1"/>
  <c r="SR55" i="1" s="1"/>
  <c r="SP48" i="1"/>
  <c r="SR48" i="1" s="1"/>
  <c r="SP45" i="1"/>
  <c r="SR45" i="1" s="1"/>
  <c r="SP42" i="1"/>
  <c r="SP36" i="1"/>
  <c r="SR36" i="1" s="1"/>
  <c r="SP29" i="1"/>
  <c r="SR29" i="1" s="1"/>
  <c r="SP26" i="1"/>
  <c r="SR26" i="1" s="1"/>
  <c r="SP23" i="1"/>
  <c r="SR23" i="1" s="1"/>
  <c r="SP20" i="1"/>
  <c r="SR20" i="1" s="1"/>
  <c r="SP13" i="1"/>
  <c r="SR13" i="1" s="1"/>
  <c r="SP10" i="1"/>
  <c r="SR10" i="1" s="1"/>
  <c r="SI426" i="1"/>
  <c r="SI423" i="1"/>
  <c r="SI416" i="1"/>
  <c r="SI413" i="1"/>
  <c r="SI410" i="1"/>
  <c r="SI407" i="1"/>
  <c r="SI400" i="1"/>
  <c r="SI397" i="1"/>
  <c r="SI390" i="1"/>
  <c r="SI387" i="1"/>
  <c r="SI384" i="1"/>
  <c r="SI377" i="1"/>
  <c r="SI374" i="1"/>
  <c r="SI371" i="1"/>
  <c r="SI368" i="1"/>
  <c r="SI354" i="1"/>
  <c r="SI351" i="1"/>
  <c r="SI348" i="1"/>
  <c r="SI345" i="1"/>
  <c r="SI338" i="1"/>
  <c r="SI335" i="1"/>
  <c r="SI332" i="1"/>
  <c r="SI329" i="1"/>
  <c r="SI319" i="1"/>
  <c r="SI316" i="1"/>
  <c r="SI313" i="1"/>
  <c r="SI310" i="1"/>
  <c r="SI301" i="1"/>
  <c r="SI298" i="1"/>
  <c r="SI295" i="1"/>
  <c r="SI292" i="1"/>
  <c r="SI284" i="1"/>
  <c r="SI281" i="1"/>
  <c r="SI278" i="1"/>
  <c r="SI275" i="1"/>
  <c r="SI272" i="1"/>
  <c r="SI265" i="1"/>
  <c r="SI262" i="1"/>
  <c r="SI259" i="1"/>
  <c r="SI256" i="1"/>
  <c r="SI246" i="1"/>
  <c r="SI244" i="1"/>
  <c r="SI241" i="1"/>
  <c r="SI236" i="1"/>
  <c r="SI233" i="1"/>
  <c r="SP290" i="1"/>
  <c r="SR281" i="1"/>
  <c r="SR270" i="1"/>
  <c r="SR257" i="1"/>
  <c r="SR248" i="1"/>
  <c r="SR240" i="1"/>
  <c r="SR233" i="1"/>
  <c r="SR229" i="1"/>
  <c r="SR226" i="1"/>
  <c r="SR211" i="1"/>
  <c r="SR208" i="1"/>
  <c r="SR202" i="1"/>
  <c r="SR199" i="1"/>
  <c r="SR194" i="1"/>
  <c r="SR191" i="1"/>
  <c r="SR186" i="1"/>
  <c r="SR177" i="1"/>
  <c r="SR174" i="1"/>
  <c r="SR169" i="1"/>
  <c r="SR166" i="1"/>
  <c r="SR161" i="1"/>
  <c r="SR158" i="1"/>
  <c r="SR153" i="1"/>
  <c r="SR150" i="1"/>
  <c r="SP141" i="1"/>
  <c r="SR141" i="1" s="1"/>
  <c r="SP138" i="1"/>
  <c r="SR138" i="1" s="1"/>
  <c r="SP133" i="1"/>
  <c r="SR133" i="1" s="1"/>
  <c r="SP130" i="1"/>
  <c r="SR130" i="1" s="1"/>
  <c r="SP125" i="1"/>
  <c r="SR125" i="1" s="1"/>
  <c r="SP122" i="1"/>
  <c r="SR122" i="1" s="1"/>
  <c r="SP117" i="1"/>
  <c r="SR117" i="1" s="1"/>
  <c r="SP114" i="1"/>
  <c r="SR114" i="1" s="1"/>
  <c r="SP105" i="1"/>
  <c r="SR105" i="1" s="1"/>
  <c r="SP100" i="1"/>
  <c r="SR100" i="1" s="1"/>
  <c r="SP97" i="1"/>
  <c r="SR97" i="1" s="1"/>
  <c r="SP92" i="1"/>
  <c r="SR92" i="1" s="1"/>
  <c r="SP89" i="1"/>
  <c r="SR89" i="1" s="1"/>
  <c r="SP84" i="1"/>
  <c r="SR84" i="1" s="1"/>
  <c r="SP81" i="1"/>
  <c r="SR81" i="1" s="1"/>
  <c r="SP70" i="1"/>
  <c r="SR70" i="1" s="1"/>
  <c r="SP67" i="1"/>
  <c r="SR67" i="1" s="1"/>
  <c r="SP60" i="1"/>
  <c r="SR60" i="1" s="1"/>
  <c r="SP57" i="1"/>
  <c r="SR57" i="1" s="1"/>
  <c r="SP54" i="1"/>
  <c r="SR54" i="1" s="1"/>
  <c r="SP51" i="1"/>
  <c r="SR51" i="1" s="1"/>
  <c r="SP44" i="1"/>
  <c r="SR44" i="1" s="1"/>
  <c r="SP35" i="1"/>
  <c r="SR35" i="1" s="1"/>
  <c r="SP32" i="1"/>
  <c r="SR32" i="1" s="1"/>
  <c r="SP25" i="1"/>
  <c r="SR25" i="1" s="1"/>
  <c r="SP22" i="1"/>
  <c r="SR22" i="1" s="1"/>
  <c r="SP19" i="1"/>
  <c r="SR19" i="1" s="1"/>
  <c r="SP16" i="1"/>
  <c r="SR16" i="1" s="1"/>
  <c r="SP8" i="1"/>
  <c r="SR8" i="1" s="1"/>
  <c r="SI425" i="1"/>
  <c r="SI422" i="1"/>
  <c r="SI419" i="1"/>
  <c r="SI412" i="1"/>
  <c r="SI409" i="1"/>
  <c r="SI406" i="1"/>
  <c r="SI403" i="1"/>
  <c r="SI389" i="1"/>
  <c r="SI386" i="1"/>
  <c r="SI383" i="1"/>
  <c r="SI380" i="1"/>
  <c r="SI373" i="1"/>
  <c r="SI370" i="1"/>
  <c r="SI367" i="1"/>
  <c r="SI364" i="1"/>
  <c r="SI350" i="1"/>
  <c r="SI347" i="1"/>
  <c r="SI344" i="1"/>
  <c r="SI341" i="1"/>
  <c r="SI334" i="1"/>
  <c r="SI331" i="1"/>
  <c r="SI328" i="1"/>
  <c r="SI315" i="1"/>
  <c r="SI312" i="1"/>
  <c r="SI309" i="1"/>
  <c r="SI306" i="1"/>
  <c r="SI303" i="1"/>
  <c r="SI300" i="1"/>
  <c r="SI297" i="1"/>
  <c r="SI277" i="1"/>
  <c r="SI274" i="1"/>
  <c r="SI271" i="1"/>
  <c r="SI268" i="1"/>
  <c r="SI261" i="1"/>
  <c r="SI258" i="1"/>
  <c r="SI255" i="1"/>
  <c r="SI243" i="1"/>
  <c r="SI238" i="1"/>
  <c r="SI235" i="1"/>
  <c r="SI230" i="1"/>
  <c r="SI227" i="1"/>
  <c r="SI222" i="1"/>
  <c r="SI219" i="1"/>
  <c r="SI210" i="1"/>
  <c r="SI207" i="1"/>
  <c r="SI202" i="1"/>
  <c r="SI199" i="1"/>
  <c r="SI194" i="1"/>
  <c r="SI191" i="1"/>
  <c r="SI186" i="1"/>
  <c r="SI177" i="1"/>
  <c r="SI174" i="1"/>
  <c r="SI169" i="1"/>
  <c r="SI166" i="1"/>
  <c r="SI161" i="1"/>
  <c r="SI158" i="1"/>
  <c r="SI153" i="1"/>
  <c r="SI150" i="1"/>
  <c r="SG141" i="1"/>
  <c r="SI141" i="1" s="1"/>
  <c r="SG138" i="1"/>
  <c r="SI138" i="1" s="1"/>
  <c r="SG133" i="1"/>
  <c r="SI133" i="1" s="1"/>
  <c r="SG130" i="1"/>
  <c r="SI130" i="1" s="1"/>
  <c r="SG125" i="1"/>
  <c r="SI125" i="1" s="1"/>
  <c r="SG122" i="1"/>
  <c r="SI122" i="1" s="1"/>
  <c r="SR267" i="1"/>
  <c r="SR201" i="1"/>
  <c r="SR168" i="1"/>
  <c r="SP135" i="1"/>
  <c r="SR135" i="1" s="1"/>
  <c r="SP124" i="1"/>
  <c r="SR124" i="1" s="1"/>
  <c r="SP102" i="1"/>
  <c r="SR102" i="1" s="1"/>
  <c r="SP91" i="1"/>
  <c r="SR91" i="1" s="1"/>
  <c r="SP80" i="1"/>
  <c r="SR80" i="1" s="1"/>
  <c r="SP66" i="1"/>
  <c r="SR66" i="1" s="1"/>
  <c r="SP53" i="1"/>
  <c r="SR53" i="1" s="1"/>
  <c r="SP28" i="1"/>
  <c r="SR28" i="1" s="1"/>
  <c r="SP15" i="1"/>
  <c r="SR15" i="1" s="1"/>
  <c r="SI421" i="1"/>
  <c r="SI408" i="1"/>
  <c r="SI382" i="1"/>
  <c r="SI369" i="1"/>
  <c r="SI343" i="1"/>
  <c r="SI330" i="1"/>
  <c r="SI318" i="1"/>
  <c r="SI305" i="1"/>
  <c r="SI294" i="1"/>
  <c r="SI283" i="1"/>
  <c r="SI270" i="1"/>
  <c r="SI257" i="1"/>
  <c r="SI248" i="1"/>
  <c r="SI237" i="1"/>
  <c r="SI229" i="1"/>
  <c r="SI224" i="1"/>
  <c r="SI209" i="1"/>
  <c r="SI204" i="1"/>
  <c r="SI193" i="1"/>
  <c r="SI188" i="1"/>
  <c r="SI175" i="1"/>
  <c r="SI164" i="1"/>
  <c r="SI159" i="1"/>
  <c r="SI148" i="1"/>
  <c r="SG140" i="1"/>
  <c r="SI140" i="1" s="1"/>
  <c r="SG135" i="1"/>
  <c r="SI135" i="1" s="1"/>
  <c r="SG124" i="1"/>
  <c r="SI124" i="1" s="1"/>
  <c r="SG116" i="1"/>
  <c r="SI116" i="1" s="1"/>
  <c r="SG102" i="1"/>
  <c r="SI102" i="1" s="1"/>
  <c r="SG99" i="1"/>
  <c r="SI99" i="1" s="1"/>
  <c r="SG94" i="1"/>
  <c r="SI94" i="1" s="1"/>
  <c r="SG91" i="1"/>
  <c r="SI91" i="1" s="1"/>
  <c r="SG86" i="1"/>
  <c r="SI86" i="1" s="1"/>
  <c r="SG83" i="1"/>
  <c r="SI83" i="1" s="1"/>
  <c r="SG78" i="1"/>
  <c r="SI78" i="1" s="1"/>
  <c r="SG66" i="1"/>
  <c r="SI66" i="1" s="1"/>
  <c r="SG63" i="1"/>
  <c r="SI63" i="1" s="1"/>
  <c r="SG56" i="1"/>
  <c r="SI56" i="1" s="1"/>
  <c r="SG54" i="1"/>
  <c r="SI54" i="1" s="1"/>
  <c r="SG49" i="1"/>
  <c r="SI49" i="1" s="1"/>
  <c r="SG47" i="1"/>
  <c r="SI47" i="1" s="1"/>
  <c r="SI34" i="1"/>
  <c r="SI32" i="1"/>
  <c r="SI25" i="1"/>
  <c r="SI23" i="1"/>
  <c r="SI18" i="1"/>
  <c r="SI16" i="1"/>
  <c r="SI9" i="1"/>
  <c r="SI7" i="1"/>
  <c r="RX420" i="1"/>
  <c r="RZ420" i="1" s="1"/>
  <c r="RX417" i="1"/>
  <c r="RZ417" i="1" s="1"/>
  <c r="RX414" i="1"/>
  <c r="RZ414" i="1" s="1"/>
  <c r="RX411" i="1"/>
  <c r="RZ411" i="1" s="1"/>
  <c r="RX404" i="1"/>
  <c r="RZ404" i="1" s="1"/>
  <c r="RX401" i="1"/>
  <c r="RZ401" i="1" s="1"/>
  <c r="RX398" i="1"/>
  <c r="RZ398" i="1" s="1"/>
  <c r="RX388" i="1"/>
  <c r="RZ388" i="1" s="1"/>
  <c r="RX381" i="1"/>
  <c r="RZ381" i="1" s="1"/>
  <c r="RX378" i="1"/>
  <c r="RZ378" i="1" s="1"/>
  <c r="RX375" i="1"/>
  <c r="RZ375" i="1" s="1"/>
  <c r="RX372" i="1"/>
  <c r="RZ372" i="1" s="1"/>
  <c r="RX365" i="1"/>
  <c r="RZ365" i="1" s="1"/>
  <c r="RX362" i="1"/>
  <c r="RZ362" i="1" s="1"/>
  <c r="RX355" i="1"/>
  <c r="RZ355" i="1" s="1"/>
  <c r="RX352" i="1"/>
  <c r="RZ352" i="1" s="1"/>
  <c r="RX349" i="1"/>
  <c r="RZ349" i="1" s="1"/>
  <c r="RX342" i="1"/>
  <c r="RZ342" i="1" s="1"/>
  <c r="RX339" i="1"/>
  <c r="RZ339" i="1" s="1"/>
  <c r="RX336" i="1"/>
  <c r="RZ336" i="1" s="1"/>
  <c r="RX333" i="1"/>
  <c r="RZ333" i="1" s="1"/>
  <c r="RX326" i="1"/>
  <c r="RZ326" i="1" s="1"/>
  <c r="RX317" i="1"/>
  <c r="RZ317" i="1" s="1"/>
  <c r="RX312" i="1"/>
  <c r="RZ312" i="1" s="1"/>
  <c r="RX309" i="1"/>
  <c r="RZ309" i="1" s="1"/>
  <c r="RX304" i="1"/>
  <c r="RZ304" i="1" s="1"/>
  <c r="RX301" i="1"/>
  <c r="RZ301" i="1" s="1"/>
  <c r="RX298" i="1"/>
  <c r="RZ298" i="1" s="1"/>
  <c r="RX295" i="1"/>
  <c r="RZ295" i="1" s="1"/>
  <c r="RX290" i="1"/>
  <c r="RX281" i="1"/>
  <c r="RZ281" i="1" s="1"/>
  <c r="RX278" i="1"/>
  <c r="RZ278" i="1" s="1"/>
  <c r="RX273" i="1"/>
  <c r="RZ273" i="1" s="1"/>
  <c r="RX270" i="1"/>
  <c r="RZ270" i="1" s="1"/>
  <c r="RX265" i="1"/>
  <c r="RZ265" i="1" s="1"/>
  <c r="RX262" i="1"/>
  <c r="RZ262" i="1" s="1"/>
  <c r="RX257" i="1"/>
  <c r="RZ257" i="1" s="1"/>
  <c r="RX254" i="1"/>
  <c r="RZ248" i="1"/>
  <c r="RZ243" i="1"/>
  <c r="RZ238" i="1"/>
  <c r="RZ235" i="1"/>
  <c r="RZ230" i="1"/>
  <c r="RZ227" i="1"/>
  <c r="RZ222" i="1"/>
  <c r="RZ219" i="1"/>
  <c r="RZ210" i="1"/>
  <c r="RZ207" i="1"/>
  <c r="RZ202" i="1"/>
  <c r="RZ199" i="1"/>
  <c r="RZ194" i="1"/>
  <c r="RZ191" i="1"/>
  <c r="RZ186" i="1"/>
  <c r="RZ177" i="1"/>
  <c r="RZ174" i="1"/>
  <c r="RZ169" i="1"/>
  <c r="RZ166" i="1"/>
  <c r="SR239" i="1"/>
  <c r="SR225" i="1"/>
  <c r="SR188" i="1"/>
  <c r="SR176" i="1"/>
  <c r="SR155" i="1"/>
  <c r="SP132" i="1"/>
  <c r="SR132" i="1" s="1"/>
  <c r="SP99" i="1"/>
  <c r="SR99" i="1" s="1"/>
  <c r="SP77" i="1"/>
  <c r="SR77" i="1" s="1"/>
  <c r="SP63" i="1"/>
  <c r="SR63" i="1" s="1"/>
  <c r="SP50" i="1"/>
  <c r="SR50" i="1" s="1"/>
  <c r="SP12" i="1"/>
  <c r="SR12" i="1" s="1"/>
  <c r="SI418" i="1"/>
  <c r="SI405" i="1"/>
  <c r="SI379" i="1"/>
  <c r="SI366" i="1"/>
  <c r="SI353" i="1"/>
  <c r="SI340" i="1"/>
  <c r="SI327" i="1"/>
  <c r="SI291" i="1"/>
  <c r="SI280" i="1"/>
  <c r="SI267" i="1"/>
  <c r="SI245" i="1"/>
  <c r="SI228" i="1"/>
  <c r="SI208" i="1"/>
  <c r="SI197" i="1"/>
  <c r="SI192" i="1"/>
  <c r="SI168" i="1"/>
  <c r="SI163" i="1"/>
  <c r="SI152" i="1"/>
  <c r="SG139" i="1"/>
  <c r="SI139" i="1" s="1"/>
  <c r="SG128" i="1"/>
  <c r="SI128" i="1" s="1"/>
  <c r="SG123" i="1"/>
  <c r="SI123" i="1" s="1"/>
  <c r="SG119" i="1"/>
  <c r="SI119" i="1" s="1"/>
  <c r="SG113" i="1"/>
  <c r="SI113" i="1" s="1"/>
  <c r="SG104" i="1"/>
  <c r="SI104" i="1" s="1"/>
  <c r="SG101" i="1"/>
  <c r="SI101" i="1" s="1"/>
  <c r="SG96" i="1"/>
  <c r="SI96" i="1" s="1"/>
  <c r="SG93" i="1"/>
  <c r="SI93" i="1" s="1"/>
  <c r="SG88" i="1"/>
  <c r="SI88" i="1" s="1"/>
  <c r="SG85" i="1"/>
  <c r="SI85" i="1" s="1"/>
  <c r="SG80" i="1"/>
  <c r="SI80" i="1" s="1"/>
  <c r="SG68" i="1"/>
  <c r="SI68" i="1" s="1"/>
  <c r="SG65" i="1"/>
  <c r="SI65" i="1" s="1"/>
  <c r="SG60" i="1"/>
  <c r="SI60" i="1" s="1"/>
  <c r="SG58" i="1"/>
  <c r="SI58" i="1" s="1"/>
  <c r="SG53" i="1"/>
  <c r="SI53" i="1" s="1"/>
  <c r="SG51" i="1"/>
  <c r="SI51" i="1" s="1"/>
  <c r="SG44" i="1"/>
  <c r="SI44" i="1" s="1"/>
  <c r="SG42" i="1"/>
  <c r="SI36" i="1"/>
  <c r="SI29" i="1"/>
  <c r="SI27" i="1"/>
  <c r="SI22" i="1"/>
  <c r="SI20" i="1"/>
  <c r="SI13" i="1"/>
  <c r="SI11" i="1"/>
  <c r="RX426" i="1"/>
  <c r="RZ426" i="1" s="1"/>
  <c r="RX423" i="1"/>
  <c r="RZ423" i="1" s="1"/>
  <c r="RX416" i="1"/>
  <c r="RZ416" i="1" s="1"/>
  <c r="RX413" i="1"/>
  <c r="RZ413" i="1" s="1"/>
  <c r="RX410" i="1"/>
  <c r="RZ410" i="1" s="1"/>
  <c r="RX407" i="1"/>
  <c r="RZ407" i="1" s="1"/>
  <c r="RX400" i="1"/>
  <c r="RZ400" i="1" s="1"/>
  <c r="RX397" i="1"/>
  <c r="RZ397" i="1" s="1"/>
  <c r="RX390" i="1"/>
  <c r="RZ390" i="1" s="1"/>
  <c r="RX387" i="1"/>
  <c r="RZ387" i="1" s="1"/>
  <c r="RX384" i="1"/>
  <c r="RZ384" i="1" s="1"/>
  <c r="RX377" i="1"/>
  <c r="RZ377" i="1" s="1"/>
  <c r="RX374" i="1"/>
  <c r="RZ374" i="1" s="1"/>
  <c r="RX371" i="1"/>
  <c r="RZ371" i="1" s="1"/>
  <c r="RX368" i="1"/>
  <c r="RZ368" i="1" s="1"/>
  <c r="RX361" i="1"/>
  <c r="RX354" i="1"/>
  <c r="RZ354" i="1" s="1"/>
  <c r="RX351" i="1"/>
  <c r="RZ351" i="1" s="1"/>
  <c r="RX348" i="1"/>
  <c r="RZ348" i="1" s="1"/>
  <c r="RX345" i="1"/>
  <c r="RZ345" i="1" s="1"/>
  <c r="RX338" i="1"/>
  <c r="RZ338" i="1" s="1"/>
  <c r="RX335" i="1"/>
  <c r="RZ335" i="1" s="1"/>
  <c r="RX332" i="1"/>
  <c r="RZ332" i="1" s="1"/>
  <c r="RX329" i="1"/>
  <c r="RZ329" i="1" s="1"/>
  <c r="RX319" i="1"/>
  <c r="RZ319" i="1" s="1"/>
  <c r="RX314" i="1"/>
  <c r="RZ314" i="1" s="1"/>
  <c r="RX311" i="1"/>
  <c r="RZ311" i="1" s="1"/>
  <c r="RX306" i="1"/>
  <c r="RZ306" i="1" s="1"/>
  <c r="RX303" i="1"/>
  <c r="RZ303" i="1" s="1"/>
  <c r="RX300" i="1"/>
  <c r="RZ300" i="1" s="1"/>
  <c r="RX297" i="1"/>
  <c r="RZ297" i="1" s="1"/>
  <c r="RX292" i="1"/>
  <c r="RZ292" i="1" s="1"/>
  <c r="RX283" i="1"/>
  <c r="RZ283" i="1" s="1"/>
  <c r="RX280" i="1"/>
  <c r="RZ280" i="1" s="1"/>
  <c r="RX275" i="1"/>
  <c r="RZ275" i="1" s="1"/>
  <c r="RX272" i="1"/>
  <c r="RZ272" i="1" s="1"/>
  <c r="RX267" i="1"/>
  <c r="RZ267" i="1" s="1"/>
  <c r="RX264" i="1"/>
  <c r="RZ264" i="1" s="1"/>
  <c r="RX259" i="1"/>
  <c r="RZ259" i="1" s="1"/>
  <c r="RX256" i="1"/>
  <c r="RZ256" i="1" s="1"/>
  <c r="RZ247" i="1"/>
  <c r="RZ245" i="1"/>
  <c r="RZ240" i="1"/>
  <c r="RZ237" i="1"/>
  <c r="RZ232" i="1"/>
  <c r="RZ229" i="1"/>
  <c r="RZ224" i="1"/>
  <c r="RZ221" i="1"/>
  <c r="RZ212" i="1"/>
  <c r="RZ209" i="1"/>
  <c r="RZ204" i="1"/>
  <c r="RZ201" i="1"/>
  <c r="RZ196" i="1"/>
  <c r="RZ193" i="1"/>
  <c r="RZ188" i="1"/>
  <c r="RZ185" i="1"/>
  <c r="RZ176" i="1"/>
  <c r="SR236" i="1"/>
  <c r="SR221" i="1"/>
  <c r="SR196" i="1"/>
  <c r="SR185" i="1"/>
  <c r="SR163" i="1"/>
  <c r="SR152" i="1"/>
  <c r="SP140" i="1"/>
  <c r="SR140" i="1" s="1"/>
  <c r="SP119" i="1"/>
  <c r="SR119" i="1" s="1"/>
  <c r="SP86" i="1"/>
  <c r="SR86" i="1" s="1"/>
  <c r="SP47" i="1"/>
  <c r="SR47" i="1" s="1"/>
  <c r="SP34" i="1"/>
  <c r="SR34" i="1" s="1"/>
  <c r="SP21" i="1"/>
  <c r="SR21" i="1" s="1"/>
  <c r="SP9" i="1"/>
  <c r="SR9" i="1" s="1"/>
  <c r="SI415" i="1"/>
  <c r="SI402" i="1"/>
  <c r="SI376" i="1"/>
  <c r="SI363" i="1"/>
  <c r="SI337" i="1"/>
  <c r="SI311" i="1"/>
  <c r="SI299" i="1"/>
  <c r="SI264" i="1"/>
  <c r="SI232" i="1"/>
  <c r="SI221" i="1"/>
  <c r="SI212" i="1"/>
  <c r="SI201" i="1"/>
  <c r="SI196" i="1"/>
  <c r="SI185" i="1"/>
  <c r="SI172" i="1"/>
  <c r="SI167" i="1"/>
  <c r="SI156" i="1"/>
  <c r="SI151" i="1"/>
  <c r="SG132" i="1"/>
  <c r="SI132" i="1" s="1"/>
  <c r="SG127" i="1"/>
  <c r="SI127" i="1" s="1"/>
  <c r="SG115" i="1"/>
  <c r="SI115" i="1" s="1"/>
  <c r="SG112" i="1"/>
  <c r="SG106" i="1"/>
  <c r="SI106" i="1" s="1"/>
  <c r="SG103" i="1"/>
  <c r="SI103" i="1" s="1"/>
  <c r="SG98" i="1"/>
  <c r="SI98" i="1" s="1"/>
  <c r="SG95" i="1"/>
  <c r="SI95" i="1" s="1"/>
  <c r="SG90" i="1"/>
  <c r="SI90" i="1" s="1"/>
  <c r="SG87" i="1"/>
  <c r="SI87" i="1" s="1"/>
  <c r="SG82" i="1"/>
  <c r="SI82" i="1" s="1"/>
  <c r="SG79" i="1"/>
  <c r="SI79" i="1" s="1"/>
  <c r="SG77" i="1"/>
  <c r="SI77" i="1" s="1"/>
  <c r="SG70" i="1"/>
  <c r="SI70" i="1" s="1"/>
  <c r="SG62" i="1"/>
  <c r="SI62" i="1" s="1"/>
  <c r="SG57" i="1"/>
  <c r="SI57" i="1" s="1"/>
  <c r="SG55" i="1"/>
  <c r="SI55" i="1" s="1"/>
  <c r="SG48" i="1"/>
  <c r="SI48" i="1" s="1"/>
  <c r="SG46" i="1"/>
  <c r="SI46" i="1" s="1"/>
  <c r="SI33" i="1"/>
  <c r="SI31" i="1"/>
  <c r="SI26" i="1"/>
  <c r="SI24" i="1"/>
  <c r="SI17" i="1"/>
  <c r="SI15" i="1"/>
  <c r="SI10" i="1"/>
  <c r="SI8" i="1"/>
  <c r="RX425" i="1"/>
  <c r="RZ425" i="1" s="1"/>
  <c r="RX422" i="1"/>
  <c r="RZ422" i="1" s="1"/>
  <c r="RX419" i="1"/>
  <c r="RZ419" i="1" s="1"/>
  <c r="RX412" i="1"/>
  <c r="RZ412" i="1" s="1"/>
  <c r="RX409" i="1"/>
  <c r="RZ409" i="1" s="1"/>
  <c r="RX406" i="1"/>
  <c r="RZ406" i="1" s="1"/>
  <c r="RX403" i="1"/>
  <c r="RZ403" i="1" s="1"/>
  <c r="RX396" i="1"/>
  <c r="RX389" i="1"/>
  <c r="RZ389" i="1" s="1"/>
  <c r="RX386" i="1"/>
  <c r="RZ386" i="1" s="1"/>
  <c r="RX383" i="1"/>
  <c r="RZ383" i="1" s="1"/>
  <c r="RX380" i="1"/>
  <c r="RZ380" i="1" s="1"/>
  <c r="RX373" i="1"/>
  <c r="RZ373" i="1" s="1"/>
  <c r="RX370" i="1"/>
  <c r="RZ370" i="1" s="1"/>
  <c r="RX367" i="1"/>
  <c r="RZ367" i="1" s="1"/>
  <c r="RX364" i="1"/>
  <c r="RZ364" i="1" s="1"/>
  <c r="RX350" i="1"/>
  <c r="RZ350" i="1" s="1"/>
  <c r="RX347" i="1"/>
  <c r="RZ347" i="1" s="1"/>
  <c r="RX344" i="1"/>
  <c r="RZ344" i="1" s="1"/>
  <c r="RX341" i="1"/>
  <c r="RZ341" i="1" s="1"/>
  <c r="RX334" i="1"/>
  <c r="RZ334" i="1" s="1"/>
  <c r="RX331" i="1"/>
  <c r="RZ331" i="1" s="1"/>
  <c r="RX328" i="1"/>
  <c r="RZ328" i="1" s="1"/>
  <c r="RX325" i="1"/>
  <c r="RX316" i="1"/>
  <c r="RZ316" i="1" s="1"/>
  <c r="RX313" i="1"/>
  <c r="RZ313" i="1" s="1"/>
  <c r="RX308" i="1"/>
  <c r="RZ308" i="1" s="1"/>
  <c r="RX305" i="1"/>
  <c r="RZ305" i="1" s="1"/>
  <c r="RX299" i="1"/>
  <c r="RZ299" i="1" s="1"/>
  <c r="RX294" i="1"/>
  <c r="RZ294" i="1" s="1"/>
  <c r="RX291" i="1"/>
  <c r="RZ291" i="1" s="1"/>
  <c r="RX282" i="1"/>
  <c r="RZ282" i="1" s="1"/>
  <c r="RX277" i="1"/>
  <c r="RZ277" i="1" s="1"/>
  <c r="RX274" i="1"/>
  <c r="RZ274" i="1" s="1"/>
  <c r="RX269" i="1"/>
  <c r="RZ269" i="1" s="1"/>
  <c r="RX266" i="1"/>
  <c r="RZ266" i="1" s="1"/>
  <c r="RX261" i="1"/>
  <c r="RZ261" i="1" s="1"/>
  <c r="RX258" i="1"/>
  <c r="RZ258" i="1" s="1"/>
  <c r="RZ242" i="1"/>
  <c r="RZ239" i="1"/>
  <c r="RZ234" i="1"/>
  <c r="RZ231" i="1"/>
  <c r="RZ226" i="1"/>
  <c r="RZ223" i="1"/>
  <c r="RZ211" i="1"/>
  <c r="RZ206" i="1"/>
  <c r="SR232" i="1"/>
  <c r="SR204" i="1"/>
  <c r="SR193" i="1"/>
  <c r="SR171" i="1"/>
  <c r="SR160" i="1"/>
  <c r="SP127" i="1"/>
  <c r="SR127" i="1" s="1"/>
  <c r="SP116" i="1"/>
  <c r="SR116" i="1" s="1"/>
  <c r="SP94" i="1"/>
  <c r="SR94" i="1" s="1"/>
  <c r="SP83" i="1"/>
  <c r="SR83" i="1" s="1"/>
  <c r="SP69" i="1"/>
  <c r="SR69" i="1" s="1"/>
  <c r="SP56" i="1"/>
  <c r="SR56" i="1" s="1"/>
  <c r="SP31" i="1"/>
  <c r="SR31" i="1" s="1"/>
  <c r="SP18" i="1"/>
  <c r="SR18" i="1" s="1"/>
  <c r="SI424" i="1"/>
  <c r="SI399" i="1"/>
  <c r="SI385" i="1"/>
  <c r="SI346" i="1"/>
  <c r="SI308" i="1"/>
  <c r="SI296" i="1"/>
  <c r="SI273" i="1"/>
  <c r="SI240" i="1"/>
  <c r="SI225" i="1"/>
  <c r="SI220" i="1"/>
  <c r="SI205" i="1"/>
  <c r="SI200" i="1"/>
  <c r="SI189" i="1"/>
  <c r="SI184" i="1"/>
  <c r="SI176" i="1"/>
  <c r="SI171" i="1"/>
  <c r="SI160" i="1"/>
  <c r="SI155" i="1"/>
  <c r="SG136" i="1"/>
  <c r="SI136" i="1" s="1"/>
  <c r="SG131" i="1"/>
  <c r="SI131" i="1" s="1"/>
  <c r="SG120" i="1"/>
  <c r="SI120" i="1" s="1"/>
  <c r="SG117" i="1"/>
  <c r="SI117" i="1" s="1"/>
  <c r="SG114" i="1"/>
  <c r="SI114" i="1" s="1"/>
  <c r="SG105" i="1"/>
  <c r="SI105" i="1" s="1"/>
  <c r="SG100" i="1"/>
  <c r="SI100" i="1" s="1"/>
  <c r="SG97" i="1"/>
  <c r="SI97" i="1" s="1"/>
  <c r="SG92" i="1"/>
  <c r="SI92" i="1" s="1"/>
  <c r="SG89" i="1"/>
  <c r="SI89" i="1" s="1"/>
  <c r="SG84" i="1"/>
  <c r="SI84" i="1" s="1"/>
  <c r="SG81" i="1"/>
  <c r="SI81" i="1" s="1"/>
  <c r="SG76" i="1"/>
  <c r="SG69" i="1"/>
  <c r="SI69" i="1" s="1"/>
  <c r="SG67" i="1"/>
  <c r="SI67" i="1" s="1"/>
  <c r="SG64" i="1"/>
  <c r="SI64" i="1" s="1"/>
  <c r="SG61" i="1"/>
  <c r="SI61" i="1" s="1"/>
  <c r="SG59" i="1"/>
  <c r="SI59" i="1" s="1"/>
  <c r="SG52" i="1"/>
  <c r="SI52" i="1" s="1"/>
  <c r="SG50" i="1"/>
  <c r="SI50" i="1" s="1"/>
  <c r="SG45" i="1"/>
  <c r="SI45" i="1" s="1"/>
  <c r="SG43" i="1"/>
  <c r="SI43" i="1" s="1"/>
  <c r="SI35" i="1"/>
  <c r="SI30" i="1"/>
  <c r="SI28" i="1"/>
  <c r="SI21" i="1"/>
  <c r="SI19" i="1"/>
  <c r="SI14" i="1"/>
  <c r="SI12" i="1"/>
  <c r="RX424" i="1"/>
  <c r="RZ424" i="1" s="1"/>
  <c r="RX421" i="1"/>
  <c r="RZ421" i="1" s="1"/>
  <c r="RX418" i="1"/>
  <c r="RZ418" i="1" s="1"/>
  <c r="RX415" i="1"/>
  <c r="RZ415" i="1" s="1"/>
  <c r="RX399" i="1"/>
  <c r="RZ399" i="1" s="1"/>
  <c r="RX385" i="1"/>
  <c r="RZ385" i="1" s="1"/>
  <c r="RX346" i="1"/>
  <c r="RZ346" i="1" s="1"/>
  <c r="RX310" i="1"/>
  <c r="RZ310" i="1" s="1"/>
  <c r="RX279" i="1"/>
  <c r="RZ279" i="1" s="1"/>
  <c r="RX268" i="1"/>
  <c r="RZ268" i="1" s="1"/>
  <c r="RZ228" i="1"/>
  <c r="RZ203" i="1"/>
  <c r="RZ198" i="1"/>
  <c r="RZ187" i="1"/>
  <c r="RZ175" i="1"/>
  <c r="RZ171" i="1"/>
  <c r="RZ164" i="1"/>
  <c r="RZ159" i="1"/>
  <c r="RZ156" i="1"/>
  <c r="RZ151" i="1"/>
  <c r="RZ148" i="1"/>
  <c r="RX139" i="1"/>
  <c r="RZ139" i="1" s="1"/>
  <c r="RX136" i="1"/>
  <c r="RZ136" i="1" s="1"/>
  <c r="RX131" i="1"/>
  <c r="RZ131" i="1" s="1"/>
  <c r="RX128" i="1"/>
  <c r="RZ128" i="1" s="1"/>
  <c r="RX123" i="1"/>
  <c r="RZ123" i="1" s="1"/>
  <c r="RX120" i="1"/>
  <c r="RZ120" i="1" s="1"/>
  <c r="RX115" i="1"/>
  <c r="RZ115" i="1" s="1"/>
  <c r="RX112" i="1"/>
  <c r="RX106" i="1"/>
  <c r="RZ106" i="1" s="1"/>
  <c r="RX103" i="1"/>
  <c r="RZ103" i="1" s="1"/>
  <c r="RX98" i="1"/>
  <c r="RZ98" i="1" s="1"/>
  <c r="RX89" i="1"/>
  <c r="RZ89" i="1" s="1"/>
  <c r="RX86" i="1"/>
  <c r="RZ86" i="1" s="1"/>
  <c r="RX83" i="1"/>
  <c r="RZ83" i="1" s="1"/>
  <c r="RX80" i="1"/>
  <c r="RZ80" i="1" s="1"/>
  <c r="RX77" i="1"/>
  <c r="RZ77" i="1" s="1"/>
  <c r="RX67" i="1"/>
  <c r="RZ67" i="1" s="1"/>
  <c r="RX64" i="1"/>
  <c r="RZ64" i="1" s="1"/>
  <c r="RX59" i="1"/>
  <c r="RZ59" i="1" s="1"/>
  <c r="RX56" i="1"/>
  <c r="RZ56" i="1" s="1"/>
  <c r="RX51" i="1"/>
  <c r="RZ51" i="1" s="1"/>
  <c r="RX48" i="1"/>
  <c r="RZ48" i="1" s="1"/>
  <c r="RX43" i="1"/>
  <c r="RZ43" i="1" s="1"/>
  <c r="RX34" i="1"/>
  <c r="RZ34" i="1" s="1"/>
  <c r="RX31" i="1"/>
  <c r="RZ31" i="1" s="1"/>
  <c r="RX26" i="1"/>
  <c r="RZ26" i="1" s="1"/>
  <c r="RX23" i="1"/>
  <c r="RZ23" i="1" s="1"/>
  <c r="RX18" i="1"/>
  <c r="RZ18" i="1" s="1"/>
  <c r="RX15" i="1"/>
  <c r="RZ15" i="1" s="1"/>
  <c r="RX10" i="1"/>
  <c r="RZ10" i="1" s="1"/>
  <c r="RO425" i="1"/>
  <c r="RQ425" i="1" s="1"/>
  <c r="RO422" i="1"/>
  <c r="RQ422" i="1" s="1"/>
  <c r="RO419" i="1"/>
  <c r="RQ419" i="1" s="1"/>
  <c r="RO412" i="1"/>
  <c r="RQ412" i="1" s="1"/>
  <c r="RO409" i="1"/>
  <c r="RQ409" i="1" s="1"/>
  <c r="RO406" i="1"/>
  <c r="RQ406" i="1" s="1"/>
  <c r="RO403" i="1"/>
  <c r="RQ403" i="1" s="1"/>
  <c r="RO396" i="1"/>
  <c r="RO389" i="1"/>
  <c r="RQ389" i="1" s="1"/>
  <c r="RO386" i="1"/>
  <c r="RQ386" i="1" s="1"/>
  <c r="RO383" i="1"/>
  <c r="RQ383" i="1" s="1"/>
  <c r="RO380" i="1"/>
  <c r="RQ380" i="1" s="1"/>
  <c r="RO373" i="1"/>
  <c r="RQ373" i="1" s="1"/>
  <c r="RO370" i="1"/>
  <c r="RQ370" i="1" s="1"/>
  <c r="RO367" i="1"/>
  <c r="RQ367" i="1" s="1"/>
  <c r="RO364" i="1"/>
  <c r="RQ364" i="1" s="1"/>
  <c r="RO350" i="1"/>
  <c r="RQ350" i="1" s="1"/>
  <c r="RO347" i="1"/>
  <c r="RQ347" i="1" s="1"/>
  <c r="RO344" i="1"/>
  <c r="RQ344" i="1" s="1"/>
  <c r="RO341" i="1"/>
  <c r="RQ341" i="1" s="1"/>
  <c r="RO334" i="1"/>
  <c r="RQ334" i="1" s="1"/>
  <c r="RO331" i="1"/>
  <c r="RQ331" i="1" s="1"/>
  <c r="RO328" i="1"/>
  <c r="RQ328" i="1" s="1"/>
  <c r="RO325" i="1"/>
  <c r="RQ316" i="1"/>
  <c r="RQ308" i="1"/>
  <c r="RQ303" i="1"/>
  <c r="RQ300" i="1"/>
  <c r="RQ295" i="1"/>
  <c r="RQ292" i="1"/>
  <c r="RQ284" i="1"/>
  <c r="RQ282" i="1"/>
  <c r="RQ277" i="1"/>
  <c r="RQ275" i="1"/>
  <c r="RQ268" i="1"/>
  <c r="RQ266" i="1"/>
  <c r="RQ261" i="1"/>
  <c r="RX408" i="1"/>
  <c r="RZ408" i="1" s="1"/>
  <c r="RX382" i="1"/>
  <c r="RZ382" i="1" s="1"/>
  <c r="RX369" i="1"/>
  <c r="RZ369" i="1" s="1"/>
  <c r="RX343" i="1"/>
  <c r="RZ343" i="1" s="1"/>
  <c r="RX330" i="1"/>
  <c r="RZ330" i="1" s="1"/>
  <c r="RX318" i="1"/>
  <c r="RZ318" i="1" s="1"/>
  <c r="RX307" i="1"/>
  <c r="RZ307" i="1" s="1"/>
  <c r="RX296" i="1"/>
  <c r="RZ296" i="1" s="1"/>
  <c r="RX276" i="1"/>
  <c r="RZ276" i="1" s="1"/>
  <c r="RX255" i="1"/>
  <c r="RZ255" i="1" s="1"/>
  <c r="RZ246" i="1"/>
  <c r="RZ236" i="1"/>
  <c r="RZ225" i="1"/>
  <c r="RZ197" i="1"/>
  <c r="RZ192" i="1"/>
  <c r="RZ170" i="1"/>
  <c r="RZ167" i="1"/>
  <c r="RZ161" i="1"/>
  <c r="RZ158" i="1"/>
  <c r="RZ153" i="1"/>
  <c r="RZ150" i="1"/>
  <c r="RX141" i="1"/>
  <c r="RZ141" i="1" s="1"/>
  <c r="RX138" i="1"/>
  <c r="RZ138" i="1" s="1"/>
  <c r="RX133" i="1"/>
  <c r="RZ133" i="1" s="1"/>
  <c r="RX130" i="1"/>
  <c r="RZ130" i="1" s="1"/>
  <c r="RX125" i="1"/>
  <c r="RZ125" i="1" s="1"/>
  <c r="RX122" i="1"/>
  <c r="RZ122" i="1" s="1"/>
  <c r="RX117" i="1"/>
  <c r="RZ117" i="1" s="1"/>
  <c r="RX114" i="1"/>
  <c r="RZ114" i="1" s="1"/>
  <c r="RX105" i="1"/>
  <c r="RZ105" i="1" s="1"/>
  <c r="RX100" i="1"/>
  <c r="RZ100" i="1" s="1"/>
  <c r="RX97" i="1"/>
  <c r="RZ97" i="1" s="1"/>
  <c r="RX95" i="1"/>
  <c r="RZ95" i="1" s="1"/>
  <c r="RX92" i="1"/>
  <c r="RZ92" i="1" s="1"/>
  <c r="RX85" i="1"/>
  <c r="RZ85" i="1" s="1"/>
  <c r="RX82" i="1"/>
  <c r="RZ82" i="1" s="1"/>
  <c r="RX79" i="1"/>
  <c r="RZ79" i="1" s="1"/>
  <c r="RX76" i="1"/>
  <c r="RX69" i="1"/>
  <c r="RZ69" i="1" s="1"/>
  <c r="RX66" i="1"/>
  <c r="RZ66" i="1" s="1"/>
  <c r="RX61" i="1"/>
  <c r="RZ61" i="1" s="1"/>
  <c r="RX58" i="1"/>
  <c r="RZ58" i="1" s="1"/>
  <c r="RX53" i="1"/>
  <c r="RZ53" i="1" s="1"/>
  <c r="RX50" i="1"/>
  <c r="RZ50" i="1" s="1"/>
  <c r="RX45" i="1"/>
  <c r="RZ45" i="1" s="1"/>
  <c r="RX42" i="1"/>
  <c r="RX36" i="1"/>
  <c r="RZ36" i="1" s="1"/>
  <c r="RX33" i="1"/>
  <c r="RZ33" i="1" s="1"/>
  <c r="RX28" i="1"/>
  <c r="RZ28" i="1" s="1"/>
  <c r="RX25" i="1"/>
  <c r="RZ25" i="1" s="1"/>
  <c r="RX20" i="1"/>
  <c r="RZ20" i="1" s="1"/>
  <c r="RX17" i="1"/>
  <c r="RZ17" i="1" s="1"/>
  <c r="RX12" i="1"/>
  <c r="RZ12" i="1" s="1"/>
  <c r="RX9" i="1"/>
  <c r="RZ9" i="1" s="1"/>
  <c r="RX7" i="1"/>
  <c r="RZ7" i="1" s="1"/>
  <c r="RO424" i="1"/>
  <c r="RQ424" i="1" s="1"/>
  <c r="RO421" i="1"/>
  <c r="RQ421" i="1" s="1"/>
  <c r="RO418" i="1"/>
  <c r="RQ418" i="1" s="1"/>
  <c r="RO415" i="1"/>
  <c r="RQ415" i="1" s="1"/>
  <c r="RO408" i="1"/>
  <c r="RQ408" i="1" s="1"/>
  <c r="RO405" i="1"/>
  <c r="RQ405" i="1" s="1"/>
  <c r="RO402" i="1"/>
  <c r="RQ402" i="1" s="1"/>
  <c r="RO399" i="1"/>
  <c r="RQ399" i="1" s="1"/>
  <c r="RO385" i="1"/>
  <c r="RQ385" i="1" s="1"/>
  <c r="RO382" i="1"/>
  <c r="RQ382" i="1" s="1"/>
  <c r="RO379" i="1"/>
  <c r="RQ379" i="1" s="1"/>
  <c r="RO376" i="1"/>
  <c r="RQ376" i="1" s="1"/>
  <c r="RO369" i="1"/>
  <c r="RQ369" i="1" s="1"/>
  <c r="RO366" i="1"/>
  <c r="RQ366" i="1" s="1"/>
  <c r="RO363" i="1"/>
  <c r="RQ363" i="1" s="1"/>
  <c r="RO353" i="1"/>
  <c r="RQ353" i="1" s="1"/>
  <c r="RO346" i="1"/>
  <c r="RQ346" i="1" s="1"/>
  <c r="RO343" i="1"/>
  <c r="RQ343" i="1" s="1"/>
  <c r="RO340" i="1"/>
  <c r="RQ340" i="1" s="1"/>
  <c r="RO337" i="1"/>
  <c r="RQ337" i="1" s="1"/>
  <c r="RO330" i="1"/>
  <c r="RQ330" i="1" s="1"/>
  <c r="RO327" i="1"/>
  <c r="RQ327" i="1" s="1"/>
  <c r="RQ318" i="1"/>
  <c r="RQ315" i="1"/>
  <c r="RQ313" i="1"/>
  <c r="RQ310" i="1"/>
  <c r="RQ307" i="1"/>
  <c r="RQ305" i="1"/>
  <c r="RQ299" i="1"/>
  <c r="RQ297" i="1"/>
  <c r="RQ281" i="1"/>
  <c r="RQ279" i="1"/>
  <c r="RQ272" i="1"/>
  <c r="RQ270" i="1"/>
  <c r="RQ265" i="1"/>
  <c r="RQ263" i="1"/>
  <c r="RQ256" i="1"/>
  <c r="RQ248" i="1"/>
  <c r="RQ241" i="1"/>
  <c r="RQ234" i="1"/>
  <c r="RQ232" i="1"/>
  <c r="RQ227" i="1"/>
  <c r="RQ225" i="1"/>
  <c r="RQ211" i="1"/>
  <c r="RQ208" i="1"/>
  <c r="RQ206" i="1"/>
  <c r="RQ203" i="1"/>
  <c r="RQ200" i="1"/>
  <c r="RQ198" i="1"/>
  <c r="RQ195" i="1"/>
  <c r="RQ192" i="1"/>
  <c r="RQ190" i="1"/>
  <c r="RQ187" i="1"/>
  <c r="RQ184" i="1"/>
  <c r="RQ170" i="1"/>
  <c r="RQ162" i="1"/>
  <c r="RQ154" i="1"/>
  <c r="RO139" i="1"/>
  <c r="RQ139" i="1" s="1"/>
  <c r="RO137" i="1"/>
  <c r="RQ137" i="1" s="1"/>
  <c r="RO134" i="1"/>
  <c r="RQ134" i="1" s="1"/>
  <c r="RO131" i="1"/>
  <c r="RQ131" i="1" s="1"/>
  <c r="RO129" i="1"/>
  <c r="RQ129" i="1" s="1"/>
  <c r="RO126" i="1"/>
  <c r="RQ126" i="1" s="1"/>
  <c r="RO123" i="1"/>
  <c r="RQ123" i="1" s="1"/>
  <c r="RO121" i="1"/>
  <c r="RQ121" i="1" s="1"/>
  <c r="RX405" i="1"/>
  <c r="RZ405" i="1" s="1"/>
  <c r="RX379" i="1"/>
  <c r="RZ379" i="1" s="1"/>
  <c r="RX366" i="1"/>
  <c r="RZ366" i="1" s="1"/>
  <c r="RX353" i="1"/>
  <c r="RZ353" i="1" s="1"/>
  <c r="RX340" i="1"/>
  <c r="RZ340" i="1" s="1"/>
  <c r="RX327" i="1"/>
  <c r="RZ327" i="1" s="1"/>
  <c r="RX315" i="1"/>
  <c r="RZ315" i="1" s="1"/>
  <c r="RX293" i="1"/>
  <c r="RZ293" i="1" s="1"/>
  <c r="RX284" i="1"/>
  <c r="RZ284" i="1" s="1"/>
  <c r="RX263" i="1"/>
  <c r="RZ263" i="1" s="1"/>
  <c r="RZ244" i="1"/>
  <c r="RZ233" i="1"/>
  <c r="RZ208" i="1"/>
  <c r="RZ195" i="1"/>
  <c r="RZ190" i="1"/>
  <c r="RZ173" i="1"/>
  <c r="RZ163" i="1"/>
  <c r="RZ160" i="1"/>
  <c r="RZ155" i="1"/>
  <c r="RZ152" i="1"/>
  <c r="RX140" i="1"/>
  <c r="RZ140" i="1" s="1"/>
  <c r="RX135" i="1"/>
  <c r="RZ135" i="1" s="1"/>
  <c r="RX132" i="1"/>
  <c r="RZ132" i="1" s="1"/>
  <c r="RX127" i="1"/>
  <c r="RZ127" i="1" s="1"/>
  <c r="RX124" i="1"/>
  <c r="RZ124" i="1" s="1"/>
  <c r="RX119" i="1"/>
  <c r="RZ119" i="1" s="1"/>
  <c r="RX116" i="1"/>
  <c r="RZ116" i="1" s="1"/>
  <c r="RX102" i="1"/>
  <c r="RZ102" i="1" s="1"/>
  <c r="RX99" i="1"/>
  <c r="RZ99" i="1" s="1"/>
  <c r="RX94" i="1"/>
  <c r="RZ94" i="1" s="1"/>
  <c r="RX91" i="1"/>
  <c r="RZ91" i="1" s="1"/>
  <c r="RX88" i="1"/>
  <c r="RZ88" i="1" s="1"/>
  <c r="RX81" i="1"/>
  <c r="RZ81" i="1" s="1"/>
  <c r="RX78" i="1"/>
  <c r="RZ78" i="1" s="1"/>
  <c r="RX68" i="1"/>
  <c r="RZ68" i="1" s="1"/>
  <c r="RX63" i="1"/>
  <c r="RZ63" i="1" s="1"/>
  <c r="RX60" i="1"/>
  <c r="RZ60" i="1" s="1"/>
  <c r="RX55" i="1"/>
  <c r="RZ55" i="1" s="1"/>
  <c r="RX52" i="1"/>
  <c r="RZ52" i="1" s="1"/>
  <c r="RX47" i="1"/>
  <c r="RZ47" i="1" s="1"/>
  <c r="RX44" i="1"/>
  <c r="RZ44" i="1" s="1"/>
  <c r="RX35" i="1"/>
  <c r="RZ35" i="1" s="1"/>
  <c r="RX30" i="1"/>
  <c r="RZ30" i="1" s="1"/>
  <c r="RX27" i="1"/>
  <c r="RZ27" i="1" s="1"/>
  <c r="RX22" i="1"/>
  <c r="RZ22" i="1" s="1"/>
  <c r="RX19" i="1"/>
  <c r="RZ19" i="1" s="1"/>
  <c r="RX14" i="1"/>
  <c r="RZ14" i="1" s="1"/>
  <c r="RX11" i="1"/>
  <c r="RZ11" i="1" s="1"/>
  <c r="RO420" i="1"/>
  <c r="RQ420" i="1" s="1"/>
  <c r="RO417" i="1"/>
  <c r="RQ417" i="1" s="1"/>
  <c r="RO414" i="1"/>
  <c r="RQ414" i="1" s="1"/>
  <c r="RO411" i="1"/>
  <c r="RQ411" i="1" s="1"/>
  <c r="RO404" i="1"/>
  <c r="RQ404" i="1" s="1"/>
  <c r="RO401" i="1"/>
  <c r="RQ401" i="1" s="1"/>
  <c r="RO398" i="1"/>
  <c r="RQ398" i="1" s="1"/>
  <c r="RO388" i="1"/>
  <c r="RQ388" i="1" s="1"/>
  <c r="RO381" i="1"/>
  <c r="RQ381" i="1" s="1"/>
  <c r="RO378" i="1"/>
  <c r="RQ378" i="1" s="1"/>
  <c r="RO375" i="1"/>
  <c r="RQ375" i="1" s="1"/>
  <c r="RO372" i="1"/>
  <c r="RQ372" i="1" s="1"/>
  <c r="RO365" i="1"/>
  <c r="RQ365" i="1" s="1"/>
  <c r="RO362" i="1"/>
  <c r="RQ362" i="1" s="1"/>
  <c r="RO355" i="1"/>
  <c r="RQ355" i="1" s="1"/>
  <c r="RO352" i="1"/>
  <c r="RQ352" i="1" s="1"/>
  <c r="RO349" i="1"/>
  <c r="RQ349" i="1" s="1"/>
  <c r="RO342" i="1"/>
  <c r="RQ342" i="1" s="1"/>
  <c r="RO339" i="1"/>
  <c r="RQ339" i="1" s="1"/>
  <c r="RO336" i="1"/>
  <c r="RQ336" i="1" s="1"/>
  <c r="RO333" i="1"/>
  <c r="RQ333" i="1" s="1"/>
  <c r="RO326" i="1"/>
  <c r="RQ326" i="1" s="1"/>
  <c r="RQ312" i="1"/>
  <c r="RQ304" i="1"/>
  <c r="RQ302" i="1"/>
  <c r="RQ296" i="1"/>
  <c r="RQ294" i="1"/>
  <c r="RQ291" i="1"/>
  <c r="RQ283" i="1"/>
  <c r="RQ276" i="1"/>
  <c r="RQ274" i="1"/>
  <c r="RQ269" i="1"/>
  <c r="RQ267" i="1"/>
  <c r="RQ260" i="1"/>
  <c r="RQ258" i="1"/>
  <c r="RQ245" i="1"/>
  <c r="RQ243" i="1"/>
  <c r="RQ238" i="1"/>
  <c r="RQ236" i="1"/>
  <c r="RQ231" i="1"/>
  <c r="RQ229" i="1"/>
  <c r="RQ222" i="1"/>
  <c r="RQ220" i="1"/>
  <c r="RQ205" i="1"/>
  <c r="RQ197" i="1"/>
  <c r="RQ189" i="1"/>
  <c r="RQ177" i="1"/>
  <c r="RQ175" i="1"/>
  <c r="RQ172" i="1"/>
  <c r="RQ169" i="1"/>
  <c r="RQ167" i="1"/>
  <c r="RQ164" i="1"/>
  <c r="RQ161" i="1"/>
  <c r="RQ159" i="1"/>
  <c r="RQ156" i="1"/>
  <c r="RQ153" i="1"/>
  <c r="RQ151" i="1"/>
  <c r="RQ148" i="1"/>
  <c r="RO136" i="1"/>
  <c r="RQ136" i="1" s="1"/>
  <c r="RO128" i="1"/>
  <c r="RQ128" i="1" s="1"/>
  <c r="RO120" i="1"/>
  <c r="RQ120" i="1" s="1"/>
  <c r="RO104" i="1"/>
  <c r="RQ104" i="1" s="1"/>
  <c r="RO101" i="1"/>
  <c r="RQ101" i="1" s="1"/>
  <c r="RO98" i="1"/>
  <c r="RQ98" i="1" s="1"/>
  <c r="RO95" i="1"/>
  <c r="RQ95" i="1" s="1"/>
  <c r="RO92" i="1"/>
  <c r="RQ92" i="1" s="1"/>
  <c r="RO85" i="1"/>
  <c r="RQ85" i="1" s="1"/>
  <c r="RO82" i="1"/>
  <c r="RQ82" i="1" s="1"/>
  <c r="RO79" i="1"/>
  <c r="RQ79" i="1" s="1"/>
  <c r="RO76" i="1"/>
  <c r="RX402" i="1"/>
  <c r="RZ402" i="1" s="1"/>
  <c r="RX376" i="1"/>
  <c r="RZ376" i="1" s="1"/>
  <c r="RX363" i="1"/>
  <c r="RZ363" i="1" s="1"/>
  <c r="RX337" i="1"/>
  <c r="RZ337" i="1" s="1"/>
  <c r="RX302" i="1"/>
  <c r="RZ302" i="1" s="1"/>
  <c r="RX271" i="1"/>
  <c r="RZ271" i="1" s="1"/>
  <c r="RX260" i="1"/>
  <c r="RZ260" i="1" s="1"/>
  <c r="RZ241" i="1"/>
  <c r="RZ220" i="1"/>
  <c r="RZ205" i="1"/>
  <c r="RZ200" i="1"/>
  <c r="RZ189" i="1"/>
  <c r="RZ184" i="1"/>
  <c r="RZ172" i="1"/>
  <c r="RZ168" i="1"/>
  <c r="RZ165" i="1"/>
  <c r="RZ162" i="1"/>
  <c r="RZ157" i="1"/>
  <c r="RZ154" i="1"/>
  <c r="RZ149" i="1"/>
  <c r="RX137" i="1"/>
  <c r="RZ137" i="1" s="1"/>
  <c r="RX134" i="1"/>
  <c r="RZ134" i="1" s="1"/>
  <c r="RX129" i="1"/>
  <c r="RZ129" i="1" s="1"/>
  <c r="RX126" i="1"/>
  <c r="RZ126" i="1" s="1"/>
  <c r="RX121" i="1"/>
  <c r="RZ121" i="1" s="1"/>
  <c r="RX118" i="1"/>
  <c r="RZ118" i="1" s="1"/>
  <c r="RX113" i="1"/>
  <c r="RZ113" i="1" s="1"/>
  <c r="RX104" i="1"/>
  <c r="RZ104" i="1" s="1"/>
  <c r="RX101" i="1"/>
  <c r="RZ101" i="1" s="1"/>
  <c r="RX96" i="1"/>
  <c r="RZ96" i="1" s="1"/>
  <c r="RX93" i="1"/>
  <c r="RZ93" i="1" s="1"/>
  <c r="RX90" i="1"/>
  <c r="RZ90" i="1" s="1"/>
  <c r="RX87" i="1"/>
  <c r="RZ87" i="1" s="1"/>
  <c r="RX84" i="1"/>
  <c r="RZ84" i="1" s="1"/>
  <c r="RX70" i="1"/>
  <c r="RZ70" i="1" s="1"/>
  <c r="RX65" i="1"/>
  <c r="RZ65" i="1" s="1"/>
  <c r="RX62" i="1"/>
  <c r="RZ62" i="1" s="1"/>
  <c r="RX57" i="1"/>
  <c r="RZ57" i="1" s="1"/>
  <c r="RX54" i="1"/>
  <c r="RZ54" i="1" s="1"/>
  <c r="RX49" i="1"/>
  <c r="RZ49" i="1" s="1"/>
  <c r="RX46" i="1"/>
  <c r="RZ46" i="1" s="1"/>
  <c r="RX32" i="1"/>
  <c r="RZ32" i="1" s="1"/>
  <c r="RX29" i="1"/>
  <c r="RZ29" i="1" s="1"/>
  <c r="RX24" i="1"/>
  <c r="RZ24" i="1" s="1"/>
  <c r="RX21" i="1"/>
  <c r="RZ21" i="1" s="1"/>
  <c r="RX16" i="1"/>
  <c r="RZ16" i="1" s="1"/>
  <c r="RX13" i="1"/>
  <c r="RZ13" i="1" s="1"/>
  <c r="RX8" i="1"/>
  <c r="RZ8" i="1" s="1"/>
  <c r="RO426" i="1"/>
  <c r="RQ426" i="1" s="1"/>
  <c r="RO423" i="1"/>
  <c r="RQ423" i="1" s="1"/>
  <c r="RO416" i="1"/>
  <c r="RQ416" i="1" s="1"/>
  <c r="RO413" i="1"/>
  <c r="RQ413" i="1" s="1"/>
  <c r="RO410" i="1"/>
  <c r="RQ410" i="1" s="1"/>
  <c r="RO407" i="1"/>
  <c r="RQ407" i="1" s="1"/>
  <c r="RO400" i="1"/>
  <c r="RQ400" i="1" s="1"/>
  <c r="RO397" i="1"/>
  <c r="RQ397" i="1" s="1"/>
  <c r="RO390" i="1"/>
  <c r="RQ390" i="1" s="1"/>
  <c r="RO387" i="1"/>
  <c r="RQ387" i="1" s="1"/>
  <c r="RO384" i="1"/>
  <c r="RQ384" i="1" s="1"/>
  <c r="RO377" i="1"/>
  <c r="RQ377" i="1" s="1"/>
  <c r="RO374" i="1"/>
  <c r="RQ374" i="1" s="1"/>
  <c r="RO371" i="1"/>
  <c r="RQ371" i="1" s="1"/>
  <c r="RO368" i="1"/>
  <c r="RQ368" i="1" s="1"/>
  <c r="RO361" i="1"/>
  <c r="RO354" i="1"/>
  <c r="RQ354" i="1" s="1"/>
  <c r="RO351" i="1"/>
  <c r="RQ351" i="1" s="1"/>
  <c r="RO348" i="1"/>
  <c r="RQ348" i="1" s="1"/>
  <c r="RO345" i="1"/>
  <c r="RQ345" i="1" s="1"/>
  <c r="RO338" i="1"/>
  <c r="RQ338" i="1" s="1"/>
  <c r="RO335" i="1"/>
  <c r="RQ335" i="1" s="1"/>
  <c r="RO332" i="1"/>
  <c r="RQ332" i="1" s="1"/>
  <c r="RO329" i="1"/>
  <c r="RQ329" i="1" s="1"/>
  <c r="RQ319" i="1"/>
  <c r="RQ317" i="1"/>
  <c r="RQ314" i="1"/>
  <c r="RQ311" i="1"/>
  <c r="RQ309" i="1"/>
  <c r="RQ306" i="1"/>
  <c r="RQ301" i="1"/>
  <c r="RQ298" i="1"/>
  <c r="RQ293" i="1"/>
  <c r="RQ280" i="1"/>
  <c r="RQ278" i="1"/>
  <c r="RQ273" i="1"/>
  <c r="RQ271" i="1"/>
  <c r="RQ264" i="1"/>
  <c r="RQ262" i="1"/>
  <c r="RQ257" i="1"/>
  <c r="RQ255" i="1"/>
  <c r="RQ247" i="1"/>
  <c r="RQ242" i="1"/>
  <c r="RQ240" i="1"/>
  <c r="RQ235" i="1"/>
  <c r="RQ233" i="1"/>
  <c r="RQ226" i="1"/>
  <c r="RQ224" i="1"/>
  <c r="RQ219" i="1"/>
  <c r="RQ212" i="1"/>
  <c r="RQ210" i="1"/>
  <c r="RQ207" i="1"/>
  <c r="RQ204" i="1"/>
  <c r="RQ202" i="1"/>
  <c r="RQ199" i="1"/>
  <c r="RQ239" i="1"/>
  <c r="RQ230" i="1"/>
  <c r="RQ221" i="1"/>
  <c r="RQ209" i="1"/>
  <c r="RQ193" i="1"/>
  <c r="RQ174" i="1"/>
  <c r="RQ158" i="1"/>
  <c r="RO140" i="1"/>
  <c r="RQ140" i="1" s="1"/>
  <c r="RO124" i="1"/>
  <c r="RQ124" i="1" s="1"/>
  <c r="RO115" i="1"/>
  <c r="RQ115" i="1" s="1"/>
  <c r="RO91" i="1"/>
  <c r="RQ91" i="1" s="1"/>
  <c r="RO87" i="1"/>
  <c r="RQ87" i="1" s="1"/>
  <c r="RO83" i="1"/>
  <c r="RQ83" i="1" s="1"/>
  <c r="RO78" i="1"/>
  <c r="RQ78" i="1" s="1"/>
  <c r="RO67" i="1"/>
  <c r="RQ67" i="1" s="1"/>
  <c r="RO64" i="1"/>
  <c r="RQ64" i="1" s="1"/>
  <c r="RO61" i="1"/>
  <c r="RQ61" i="1" s="1"/>
  <c r="RO58" i="1"/>
  <c r="RQ58" i="1" s="1"/>
  <c r="RO51" i="1"/>
  <c r="RQ51" i="1" s="1"/>
  <c r="RO48" i="1"/>
  <c r="RQ48" i="1" s="1"/>
  <c r="RO45" i="1"/>
  <c r="RQ45" i="1" s="1"/>
  <c r="RO42" i="1"/>
  <c r="RQ32" i="1"/>
  <c r="RQ29" i="1"/>
  <c r="RQ26" i="1"/>
  <c r="RQ23" i="1"/>
  <c r="RQ16" i="1"/>
  <c r="RQ13" i="1"/>
  <c r="RQ10" i="1"/>
  <c r="RH425" i="1"/>
  <c r="RH422" i="1"/>
  <c r="RH419" i="1"/>
  <c r="RH412" i="1"/>
  <c r="RH409" i="1"/>
  <c r="RH406" i="1"/>
  <c r="RH403" i="1"/>
  <c r="RH389" i="1"/>
  <c r="RH386" i="1"/>
  <c r="RH383" i="1"/>
  <c r="RH380" i="1"/>
  <c r="RH373" i="1"/>
  <c r="RH370" i="1"/>
  <c r="RH367" i="1"/>
  <c r="RH364" i="1"/>
  <c r="RH350" i="1"/>
  <c r="RH347" i="1"/>
  <c r="RH344" i="1"/>
  <c r="RH341" i="1"/>
  <c r="RH334" i="1"/>
  <c r="RH331" i="1"/>
  <c r="RH328" i="1"/>
  <c r="RH319" i="1"/>
  <c r="RH314" i="1"/>
  <c r="RH311" i="1"/>
  <c r="RH306" i="1"/>
  <c r="RH303" i="1"/>
  <c r="RH300" i="1"/>
  <c r="RH297" i="1"/>
  <c r="RH292" i="1"/>
  <c r="RH278" i="1"/>
  <c r="RH275" i="1"/>
  <c r="RH272" i="1"/>
  <c r="RH269" i="1"/>
  <c r="RH262" i="1"/>
  <c r="RH259" i="1"/>
  <c r="RH256" i="1"/>
  <c r="RH244" i="1"/>
  <c r="RH241" i="1"/>
  <c r="RH238" i="1"/>
  <c r="RH231" i="1"/>
  <c r="RH228" i="1"/>
  <c r="RH225" i="1"/>
  <c r="RH222" i="1"/>
  <c r="RH219" i="1"/>
  <c r="RH210" i="1"/>
  <c r="RH207" i="1"/>
  <c r="RH204" i="1"/>
  <c r="RH201" i="1"/>
  <c r="RH198" i="1"/>
  <c r="RH196" i="1"/>
  <c r="RH189" i="1"/>
  <c r="RH186" i="1"/>
  <c r="RH184" i="1"/>
  <c r="RH170" i="1"/>
  <c r="RH168" i="1"/>
  <c r="RH160" i="1"/>
  <c r="RH152" i="1"/>
  <c r="RH134" i="1"/>
  <c r="RH126" i="1"/>
  <c r="RH118" i="1"/>
  <c r="RH106" i="1"/>
  <c r="RH104" i="1"/>
  <c r="RH101" i="1"/>
  <c r="RH98" i="1"/>
  <c r="RH96" i="1"/>
  <c r="RH93" i="1"/>
  <c r="RH90" i="1"/>
  <c r="RH88" i="1"/>
  <c r="RH85" i="1"/>
  <c r="RH82" i="1"/>
  <c r="RH80" i="1"/>
  <c r="RH77" i="1"/>
  <c r="RH65" i="1"/>
  <c r="RH57" i="1"/>
  <c r="RH49" i="1"/>
  <c r="RH30" i="1"/>
  <c r="RH22" i="1"/>
  <c r="RH14" i="1"/>
  <c r="QW424" i="1"/>
  <c r="QY424" i="1" s="1"/>
  <c r="QW421" i="1"/>
  <c r="QY421" i="1" s="1"/>
  <c r="QW418" i="1"/>
  <c r="QY418" i="1" s="1"/>
  <c r="QW415" i="1"/>
  <c r="QY415" i="1" s="1"/>
  <c r="QW408" i="1"/>
  <c r="QY408" i="1" s="1"/>
  <c r="QW405" i="1"/>
  <c r="QY405" i="1" s="1"/>
  <c r="QW402" i="1"/>
  <c r="QY402" i="1" s="1"/>
  <c r="QW399" i="1"/>
  <c r="QY399" i="1" s="1"/>
  <c r="QW385" i="1"/>
  <c r="QY385" i="1" s="1"/>
  <c r="QW382" i="1"/>
  <c r="QY382" i="1" s="1"/>
  <c r="QW379" i="1"/>
  <c r="QY379" i="1" s="1"/>
  <c r="QW376" i="1"/>
  <c r="QY376" i="1" s="1"/>
  <c r="QW369" i="1"/>
  <c r="QY369" i="1" s="1"/>
  <c r="QW366" i="1"/>
  <c r="QY366" i="1" s="1"/>
  <c r="QW363" i="1"/>
  <c r="QY363" i="1" s="1"/>
  <c r="QW353" i="1"/>
  <c r="QY353" i="1" s="1"/>
  <c r="QW346" i="1"/>
  <c r="QY346" i="1" s="1"/>
  <c r="QW343" i="1"/>
  <c r="QY343" i="1" s="1"/>
  <c r="QW340" i="1"/>
  <c r="QY340" i="1" s="1"/>
  <c r="QW337" i="1"/>
  <c r="QY337" i="1" s="1"/>
  <c r="QW330" i="1"/>
  <c r="QY330" i="1" s="1"/>
  <c r="QW327" i="1"/>
  <c r="QY327" i="1" s="1"/>
  <c r="QW318" i="1"/>
  <c r="QY318" i="1" s="1"/>
  <c r="QW315" i="1"/>
  <c r="QY315" i="1" s="1"/>
  <c r="QW313" i="1"/>
  <c r="QY313" i="1" s="1"/>
  <c r="QW310" i="1"/>
  <c r="QY310" i="1" s="1"/>
  <c r="QW307" i="1"/>
  <c r="QY307" i="1" s="1"/>
  <c r="QW305" i="1"/>
  <c r="QY305" i="1" s="1"/>
  <c r="QW302" i="1"/>
  <c r="QY302" i="1" s="1"/>
  <c r="QW295" i="1"/>
  <c r="QY295" i="1" s="1"/>
  <c r="QW292" i="1"/>
  <c r="QY292" i="1" s="1"/>
  <c r="QW283" i="1"/>
  <c r="QY283" i="1" s="1"/>
  <c r="QW281" i="1"/>
  <c r="QY281" i="1" s="1"/>
  <c r="QW276" i="1"/>
  <c r="QY276" i="1" s="1"/>
  <c r="QW274" i="1"/>
  <c r="QY274" i="1" s="1"/>
  <c r="QW267" i="1"/>
  <c r="QY267" i="1" s="1"/>
  <c r="QW265" i="1"/>
  <c r="QY265" i="1" s="1"/>
  <c r="QW260" i="1"/>
  <c r="QY260" i="1" s="1"/>
  <c r="QW258" i="1"/>
  <c r="QY258" i="1" s="1"/>
  <c r="QW255" i="1"/>
  <c r="QY255" i="1" s="1"/>
  <c r="QY246" i="1"/>
  <c r="QY243" i="1"/>
  <c r="QY235" i="1"/>
  <c r="QY227" i="1"/>
  <c r="QY219" i="1"/>
  <c r="QY211" i="1"/>
  <c r="QY209" i="1"/>
  <c r="QY206" i="1"/>
  <c r="QY203" i="1"/>
  <c r="QY201" i="1"/>
  <c r="QY198" i="1"/>
  <c r="QY195" i="1"/>
  <c r="QY193" i="1"/>
  <c r="QY190" i="1"/>
  <c r="QY187" i="1"/>
  <c r="QY185" i="1"/>
  <c r="QY175" i="1"/>
  <c r="QY172" i="1"/>
  <c r="QY170" i="1"/>
  <c r="RQ246" i="1"/>
  <c r="RQ237" i="1"/>
  <c r="RQ228" i="1"/>
  <c r="RQ196" i="1"/>
  <c r="RQ191" i="1"/>
  <c r="RQ186" i="1"/>
  <c r="RQ173" i="1"/>
  <c r="RQ168" i="1"/>
  <c r="RQ163" i="1"/>
  <c r="RQ157" i="1"/>
  <c r="RQ152" i="1"/>
  <c r="RO138" i="1"/>
  <c r="RQ138" i="1" s="1"/>
  <c r="RO133" i="1"/>
  <c r="RQ133" i="1" s="1"/>
  <c r="RO127" i="1"/>
  <c r="RQ127" i="1" s="1"/>
  <c r="RO122" i="1"/>
  <c r="RQ122" i="1" s="1"/>
  <c r="RO118" i="1"/>
  <c r="RQ118" i="1" s="1"/>
  <c r="RO114" i="1"/>
  <c r="RQ114" i="1" s="1"/>
  <c r="RO103" i="1"/>
  <c r="RQ103" i="1" s="1"/>
  <c r="RO99" i="1"/>
  <c r="RQ99" i="1" s="1"/>
  <c r="RO94" i="1"/>
  <c r="RQ94" i="1" s="1"/>
  <c r="RO90" i="1"/>
  <c r="RQ90" i="1" s="1"/>
  <c r="RO86" i="1"/>
  <c r="RQ86" i="1" s="1"/>
  <c r="RO81" i="1"/>
  <c r="RQ81" i="1" s="1"/>
  <c r="RO77" i="1"/>
  <c r="RQ77" i="1" s="1"/>
  <c r="RO70" i="1"/>
  <c r="RQ70" i="1" s="1"/>
  <c r="RO63" i="1"/>
  <c r="RQ63" i="1" s="1"/>
  <c r="RO60" i="1"/>
  <c r="RQ60" i="1" s="1"/>
  <c r="RO57" i="1"/>
  <c r="RQ57" i="1" s="1"/>
  <c r="RO54" i="1"/>
  <c r="RQ54" i="1" s="1"/>
  <c r="RO47" i="1"/>
  <c r="RQ47" i="1" s="1"/>
  <c r="RO44" i="1"/>
  <c r="RQ44" i="1" s="1"/>
  <c r="RQ35" i="1"/>
  <c r="RQ28" i="1"/>
  <c r="RQ25" i="1"/>
  <c r="RQ22" i="1"/>
  <c r="RQ19" i="1"/>
  <c r="RQ12" i="1"/>
  <c r="RQ9" i="1"/>
  <c r="RH424" i="1"/>
  <c r="RH421" i="1"/>
  <c r="RH418" i="1"/>
  <c r="RH415" i="1"/>
  <c r="RH408" i="1"/>
  <c r="RH405" i="1"/>
  <c r="RH402" i="1"/>
  <c r="RH399" i="1"/>
  <c r="RH385" i="1"/>
  <c r="RH382" i="1"/>
  <c r="RH379" i="1"/>
  <c r="RH376" i="1"/>
  <c r="RH369" i="1"/>
  <c r="RH366" i="1"/>
  <c r="RH363" i="1"/>
  <c r="RH353" i="1"/>
  <c r="RH346" i="1"/>
  <c r="RH343" i="1"/>
  <c r="RH340" i="1"/>
  <c r="RH337" i="1"/>
  <c r="RH330" i="1"/>
  <c r="RH316" i="1"/>
  <c r="RH313" i="1"/>
  <c r="RH308" i="1"/>
  <c r="RH305" i="1"/>
  <c r="RH299" i="1"/>
  <c r="RH294" i="1"/>
  <c r="RH291" i="1"/>
  <c r="RH284" i="1"/>
  <c r="RH281" i="1"/>
  <c r="RH274" i="1"/>
  <c r="RH271" i="1"/>
  <c r="RH268" i="1"/>
  <c r="RH265" i="1"/>
  <c r="RH258" i="1"/>
  <c r="RH255" i="1"/>
  <c r="RH246" i="1"/>
  <c r="RH243" i="1"/>
  <c r="RH240" i="1"/>
  <c r="RH237" i="1"/>
  <c r="RH234" i="1"/>
  <c r="RH227" i="1"/>
  <c r="RH224" i="1"/>
  <c r="RH212" i="1"/>
  <c r="RH209" i="1"/>
  <c r="RH206" i="1"/>
  <c r="RH203" i="1"/>
  <c r="RH193" i="1"/>
  <c r="RH191" i="1"/>
  <c r="RH177" i="1"/>
  <c r="RH174" i="1"/>
  <c r="RH172" i="1"/>
  <c r="RH167" i="1"/>
  <c r="RH165" i="1"/>
  <c r="RH162" i="1"/>
  <c r="RH159" i="1"/>
  <c r="RH157" i="1"/>
  <c r="RH154" i="1"/>
  <c r="RH151" i="1"/>
  <c r="RH149" i="1"/>
  <c r="RH141" i="1"/>
  <c r="RH139" i="1"/>
  <c r="RH136" i="1"/>
  <c r="RH133" i="1"/>
  <c r="RH131" i="1"/>
  <c r="RH128" i="1"/>
  <c r="RH125" i="1"/>
  <c r="RH123" i="1"/>
  <c r="RH120" i="1"/>
  <c r="RH117" i="1"/>
  <c r="RH115" i="1"/>
  <c r="RH112" i="1"/>
  <c r="RH103" i="1"/>
  <c r="RH95" i="1"/>
  <c r="RH87" i="1"/>
  <c r="RH79" i="1"/>
  <c r="RH70" i="1"/>
  <c r="RH67" i="1"/>
  <c r="RH64" i="1"/>
  <c r="RH62" i="1"/>
  <c r="RH59" i="1"/>
  <c r="RH56" i="1"/>
  <c r="RH54" i="1"/>
  <c r="RH51" i="1"/>
  <c r="RH48" i="1"/>
  <c r="RH46" i="1"/>
  <c r="RH43" i="1"/>
  <c r="RH35" i="1"/>
  <c r="RH32" i="1"/>
  <c r="RH29" i="1"/>
  <c r="RH27" i="1"/>
  <c r="RH24" i="1"/>
  <c r="RH21" i="1"/>
  <c r="RH19" i="1"/>
  <c r="RH16" i="1"/>
  <c r="RH13" i="1"/>
  <c r="RH11" i="1"/>
  <c r="RH7" i="1"/>
  <c r="QW420" i="1"/>
  <c r="QY420" i="1" s="1"/>
  <c r="QW417" i="1"/>
  <c r="QY417" i="1" s="1"/>
  <c r="QW414" i="1"/>
  <c r="QY414" i="1" s="1"/>
  <c r="QW411" i="1"/>
  <c r="QY411" i="1" s="1"/>
  <c r="QW404" i="1"/>
  <c r="QY404" i="1" s="1"/>
  <c r="QW401" i="1"/>
  <c r="QY401" i="1" s="1"/>
  <c r="QW398" i="1"/>
  <c r="QY398" i="1" s="1"/>
  <c r="QW388" i="1"/>
  <c r="QY388" i="1" s="1"/>
  <c r="QW381" i="1"/>
  <c r="QY381" i="1" s="1"/>
  <c r="QW378" i="1"/>
  <c r="QY378" i="1" s="1"/>
  <c r="QW375" i="1"/>
  <c r="QY375" i="1" s="1"/>
  <c r="QW372" i="1"/>
  <c r="QY372" i="1" s="1"/>
  <c r="QW365" i="1"/>
  <c r="QY365" i="1" s="1"/>
  <c r="QW362" i="1"/>
  <c r="QY362" i="1" s="1"/>
  <c r="QW355" i="1"/>
  <c r="QY355" i="1" s="1"/>
  <c r="QW352" i="1"/>
  <c r="QY352" i="1" s="1"/>
  <c r="QW349" i="1"/>
  <c r="QY349" i="1" s="1"/>
  <c r="QW342" i="1"/>
  <c r="QY342" i="1" s="1"/>
  <c r="QW339" i="1"/>
  <c r="QY339" i="1" s="1"/>
  <c r="QW336" i="1"/>
  <c r="QY336" i="1" s="1"/>
  <c r="QW333" i="1"/>
  <c r="QY333" i="1" s="1"/>
  <c r="QW326" i="1"/>
  <c r="QY326" i="1" s="1"/>
  <c r="QW312" i="1"/>
  <c r="QY312" i="1" s="1"/>
  <c r="QW304" i="1"/>
  <c r="QY304" i="1" s="1"/>
  <c r="QW301" i="1"/>
  <c r="QY301" i="1" s="1"/>
  <c r="QW298" i="1"/>
  <c r="QY298" i="1" s="1"/>
  <c r="QW291" i="1"/>
  <c r="QY291" i="1" s="1"/>
  <c r="QW280" i="1"/>
  <c r="QY280" i="1" s="1"/>
  <c r="QW278" i="1"/>
  <c r="QY278" i="1" s="1"/>
  <c r="QW271" i="1"/>
  <c r="QY271" i="1" s="1"/>
  <c r="QW269" i="1"/>
  <c r="QY269" i="1" s="1"/>
  <c r="QW264" i="1"/>
  <c r="QY264" i="1" s="1"/>
  <c r="QW262" i="1"/>
  <c r="QY262" i="1" s="1"/>
  <c r="RQ244" i="1"/>
  <c r="RQ185" i="1"/>
  <c r="RQ166" i="1"/>
  <c r="RQ150" i="1"/>
  <c r="RO132" i="1"/>
  <c r="RQ132" i="1" s="1"/>
  <c r="RO117" i="1"/>
  <c r="RQ117" i="1" s="1"/>
  <c r="RO113" i="1"/>
  <c r="RQ113" i="1" s="1"/>
  <c r="RO106" i="1"/>
  <c r="RQ106" i="1" s="1"/>
  <c r="RO102" i="1"/>
  <c r="RQ102" i="1" s="1"/>
  <c r="RO97" i="1"/>
  <c r="RQ97" i="1" s="1"/>
  <c r="RO93" i="1"/>
  <c r="RQ93" i="1" s="1"/>
  <c r="RO89" i="1"/>
  <c r="RQ89" i="1" s="1"/>
  <c r="RO69" i="1"/>
  <c r="RQ69" i="1" s="1"/>
  <c r="RO66" i="1"/>
  <c r="RQ66" i="1" s="1"/>
  <c r="RO59" i="1"/>
  <c r="RQ59" i="1" s="1"/>
  <c r="RO56" i="1"/>
  <c r="RQ56" i="1" s="1"/>
  <c r="RO53" i="1"/>
  <c r="RQ53" i="1" s="1"/>
  <c r="RO50" i="1"/>
  <c r="RQ50" i="1" s="1"/>
  <c r="RO43" i="1"/>
  <c r="RQ43" i="1" s="1"/>
  <c r="RQ34" i="1"/>
  <c r="RQ31" i="1"/>
  <c r="RQ24" i="1"/>
  <c r="RQ21" i="1"/>
  <c r="RQ18" i="1"/>
  <c r="RQ15" i="1"/>
  <c r="RQ7" i="1"/>
  <c r="RH420" i="1"/>
  <c r="RH417" i="1"/>
  <c r="RH414" i="1"/>
  <c r="RH411" i="1"/>
  <c r="RH404" i="1"/>
  <c r="RH401" i="1"/>
  <c r="RH398" i="1"/>
  <c r="RH388" i="1"/>
  <c r="RH381" i="1"/>
  <c r="RH378" i="1"/>
  <c r="RH375" i="1"/>
  <c r="RH372" i="1"/>
  <c r="RH365" i="1"/>
  <c r="RH362" i="1"/>
  <c r="RH355" i="1"/>
  <c r="RH352" i="1"/>
  <c r="RH349" i="1"/>
  <c r="RH342" i="1"/>
  <c r="RH339" i="1"/>
  <c r="RH336" i="1"/>
  <c r="RH333" i="1"/>
  <c r="RH327" i="1"/>
  <c r="RH318" i="1"/>
  <c r="RH315" i="1"/>
  <c r="RH310" i="1"/>
  <c r="RH307" i="1"/>
  <c r="RH302" i="1"/>
  <c r="RH296" i="1"/>
  <c r="RH293" i="1"/>
  <c r="RH283" i="1"/>
  <c r="RH280" i="1"/>
  <c r="RH277" i="1"/>
  <c r="RH270" i="1"/>
  <c r="RH267" i="1"/>
  <c r="RH264" i="1"/>
  <c r="RH261" i="1"/>
  <c r="RH248" i="1"/>
  <c r="RH239" i="1"/>
  <c r="RH236" i="1"/>
  <c r="RH233" i="1"/>
  <c r="RH230" i="1"/>
  <c r="RH223" i="1"/>
  <c r="RH221" i="1"/>
  <c r="RH205" i="1"/>
  <c r="RH202" i="1"/>
  <c r="RH200" i="1"/>
  <c r="RH197" i="1"/>
  <c r="RH195" i="1"/>
  <c r="RH190" i="1"/>
  <c r="RH188" i="1"/>
  <c r="RH185" i="1"/>
  <c r="RH176" i="1"/>
  <c r="RH171" i="1"/>
  <c r="RH169" i="1"/>
  <c r="RH164" i="1"/>
  <c r="RH161" i="1"/>
  <c r="RH156" i="1"/>
  <c r="RH153" i="1"/>
  <c r="RH148" i="1"/>
  <c r="RH138" i="1"/>
  <c r="RH135" i="1"/>
  <c r="RH130" i="1"/>
  <c r="RH127" i="1"/>
  <c r="RH122" i="1"/>
  <c r="RH119" i="1"/>
  <c r="RH105" i="1"/>
  <c r="RH102" i="1"/>
  <c r="RH100" i="1"/>
  <c r="RH97" i="1"/>
  <c r="RH94" i="1"/>
  <c r="RH92" i="1"/>
  <c r="RH89" i="1"/>
  <c r="RH86" i="1"/>
  <c r="RH84" i="1"/>
  <c r="RH81" i="1"/>
  <c r="RH78" i="1"/>
  <c r="RH69" i="1"/>
  <c r="RH61" i="1"/>
  <c r="RH53" i="1"/>
  <c r="RH45" i="1"/>
  <c r="RH34" i="1"/>
  <c r="RH26" i="1"/>
  <c r="RH18" i="1"/>
  <c r="RH10" i="1"/>
  <c r="RH8" i="1"/>
  <c r="QW426" i="1"/>
  <c r="QY426" i="1" s="1"/>
  <c r="QW423" i="1"/>
  <c r="QY423" i="1" s="1"/>
  <c r="RQ259" i="1"/>
  <c r="RQ223" i="1"/>
  <c r="RQ201" i="1"/>
  <c r="RQ194" i="1"/>
  <c r="RQ188" i="1"/>
  <c r="RQ176" i="1"/>
  <c r="RQ171" i="1"/>
  <c r="RQ165" i="1"/>
  <c r="RQ160" i="1"/>
  <c r="RQ155" i="1"/>
  <c r="RQ149" i="1"/>
  <c r="RO141" i="1"/>
  <c r="RQ141" i="1" s="1"/>
  <c r="RO135" i="1"/>
  <c r="RQ135" i="1" s="1"/>
  <c r="RO130" i="1"/>
  <c r="RQ130" i="1" s="1"/>
  <c r="RO125" i="1"/>
  <c r="RQ125" i="1" s="1"/>
  <c r="RO119" i="1"/>
  <c r="RQ119" i="1" s="1"/>
  <c r="RO116" i="1"/>
  <c r="RQ116" i="1" s="1"/>
  <c r="RO112" i="1"/>
  <c r="RO105" i="1"/>
  <c r="RQ105" i="1" s="1"/>
  <c r="RO100" i="1"/>
  <c r="RQ100" i="1" s="1"/>
  <c r="RO96" i="1"/>
  <c r="RQ96" i="1" s="1"/>
  <c r="RO88" i="1"/>
  <c r="RQ88" i="1" s="1"/>
  <c r="RO84" i="1"/>
  <c r="RQ84" i="1" s="1"/>
  <c r="RO80" i="1"/>
  <c r="RQ80" i="1" s="1"/>
  <c r="RO68" i="1"/>
  <c r="RQ68" i="1" s="1"/>
  <c r="RO65" i="1"/>
  <c r="RQ65" i="1" s="1"/>
  <c r="RO62" i="1"/>
  <c r="RQ62" i="1" s="1"/>
  <c r="RO55" i="1"/>
  <c r="RQ55" i="1" s="1"/>
  <c r="RO52" i="1"/>
  <c r="RQ52" i="1" s="1"/>
  <c r="RO49" i="1"/>
  <c r="RQ49" i="1" s="1"/>
  <c r="RO46" i="1"/>
  <c r="RQ46" i="1" s="1"/>
  <c r="RQ36" i="1"/>
  <c r="RQ33" i="1"/>
  <c r="RQ30" i="1"/>
  <c r="RQ27" i="1"/>
  <c r="RQ20" i="1"/>
  <c r="RQ17" i="1"/>
  <c r="RQ14" i="1"/>
  <c r="RQ11" i="1"/>
  <c r="RQ8" i="1"/>
  <c r="RH426" i="1"/>
  <c r="RH423" i="1"/>
  <c r="RH416" i="1"/>
  <c r="RH413" i="1"/>
  <c r="RH410" i="1"/>
  <c r="RH407" i="1"/>
  <c r="RH400" i="1"/>
  <c r="RH397" i="1"/>
  <c r="RH390" i="1"/>
  <c r="RH387" i="1"/>
  <c r="RH384" i="1"/>
  <c r="RH377" i="1"/>
  <c r="RH374" i="1"/>
  <c r="RH371" i="1"/>
  <c r="RH368" i="1"/>
  <c r="RH354" i="1"/>
  <c r="RH351" i="1"/>
  <c r="RH348" i="1"/>
  <c r="RH345" i="1"/>
  <c r="RH338" i="1"/>
  <c r="RH335" i="1"/>
  <c r="RH332" i="1"/>
  <c r="RH329" i="1"/>
  <c r="RH326" i="1"/>
  <c r="RH317" i="1"/>
  <c r="RH312" i="1"/>
  <c r="RH309" i="1"/>
  <c r="RH304" i="1"/>
  <c r="RH301" i="1"/>
  <c r="RH298" i="1"/>
  <c r="RH295" i="1"/>
  <c r="RH282" i="1"/>
  <c r="RH279" i="1"/>
  <c r="RH276" i="1"/>
  <c r="RH273" i="1"/>
  <c r="RH266" i="1"/>
  <c r="RH263" i="1"/>
  <c r="RH260" i="1"/>
  <c r="RH257" i="1"/>
  <c r="RH247" i="1"/>
  <c r="RH245" i="1"/>
  <c r="RH242" i="1"/>
  <c r="RH235" i="1"/>
  <c r="RH232" i="1"/>
  <c r="RH229" i="1"/>
  <c r="RH226" i="1"/>
  <c r="RH220" i="1"/>
  <c r="RH211" i="1"/>
  <c r="RH208" i="1"/>
  <c r="RH199" i="1"/>
  <c r="RH194" i="1"/>
  <c r="RH192" i="1"/>
  <c r="RH187" i="1"/>
  <c r="RH175" i="1"/>
  <c r="RH173" i="1"/>
  <c r="RH166" i="1"/>
  <c r="RH163" i="1"/>
  <c r="RH158" i="1"/>
  <c r="RH155" i="1"/>
  <c r="RH150" i="1"/>
  <c r="RH140" i="1"/>
  <c r="RH137" i="1"/>
  <c r="RH132" i="1"/>
  <c r="RH129" i="1"/>
  <c r="RH124" i="1"/>
  <c r="RH121" i="1"/>
  <c r="RH116" i="1"/>
  <c r="RH113" i="1"/>
  <c r="RH99" i="1"/>
  <c r="RH91" i="1"/>
  <c r="RH83" i="1"/>
  <c r="RH68" i="1"/>
  <c r="RH66" i="1"/>
  <c r="RH63" i="1"/>
  <c r="RH60" i="1"/>
  <c r="RH58" i="1"/>
  <c r="RH55" i="1"/>
  <c r="RH52" i="1"/>
  <c r="RH50" i="1"/>
  <c r="RH47" i="1"/>
  <c r="RH44" i="1"/>
  <c r="RH36" i="1"/>
  <c r="RH33" i="1"/>
  <c r="RH31" i="1"/>
  <c r="RH28" i="1"/>
  <c r="RH25" i="1"/>
  <c r="RH23" i="1"/>
  <c r="RH20" i="1"/>
  <c r="RH17" i="1"/>
  <c r="QW419" i="1"/>
  <c r="QY419" i="1" s="1"/>
  <c r="QW412" i="1"/>
  <c r="QY412" i="1" s="1"/>
  <c r="QW406" i="1"/>
  <c r="QY406" i="1" s="1"/>
  <c r="QW386" i="1"/>
  <c r="QY386" i="1" s="1"/>
  <c r="QW380" i="1"/>
  <c r="QY380" i="1" s="1"/>
  <c r="QW373" i="1"/>
  <c r="QY373" i="1" s="1"/>
  <c r="QW367" i="1"/>
  <c r="QY367" i="1" s="1"/>
  <c r="QW351" i="1"/>
  <c r="QY351" i="1" s="1"/>
  <c r="QW345" i="1"/>
  <c r="QY345" i="1" s="1"/>
  <c r="QW338" i="1"/>
  <c r="QY338" i="1" s="1"/>
  <c r="QW332" i="1"/>
  <c r="QY332" i="1" s="1"/>
  <c r="QW319" i="1"/>
  <c r="QY319" i="1" s="1"/>
  <c r="QW314" i="1"/>
  <c r="QY314" i="1" s="1"/>
  <c r="QW309" i="1"/>
  <c r="QY309" i="1" s="1"/>
  <c r="QW303" i="1"/>
  <c r="QY303" i="1" s="1"/>
  <c r="QW297" i="1"/>
  <c r="QY297" i="1" s="1"/>
  <c r="QW284" i="1"/>
  <c r="QY284" i="1" s="1"/>
  <c r="QW275" i="1"/>
  <c r="QY275" i="1" s="1"/>
  <c r="QW266" i="1"/>
  <c r="QY266" i="1" s="1"/>
  <c r="QW254" i="1"/>
  <c r="QY244" i="1"/>
  <c r="QY240" i="1"/>
  <c r="QY233" i="1"/>
  <c r="QY229" i="1"/>
  <c r="QY222" i="1"/>
  <c r="QY210" i="1"/>
  <c r="QY199" i="1"/>
  <c r="QY196" i="1"/>
  <c r="QY192" i="1"/>
  <c r="QY189" i="1"/>
  <c r="QY171" i="1"/>
  <c r="QY165" i="1"/>
  <c r="QY157" i="1"/>
  <c r="QY149" i="1"/>
  <c r="QW134" i="1"/>
  <c r="QY134" i="1" s="1"/>
  <c r="QW126" i="1"/>
  <c r="QY126" i="1" s="1"/>
  <c r="QW121" i="1"/>
  <c r="QY121" i="1" s="1"/>
  <c r="QW119" i="1"/>
  <c r="QY119" i="1" s="1"/>
  <c r="QW116" i="1"/>
  <c r="QY116" i="1" s="1"/>
  <c r="QW106" i="1"/>
  <c r="QY106" i="1" s="1"/>
  <c r="QW104" i="1"/>
  <c r="QY104" i="1" s="1"/>
  <c r="QW101" i="1"/>
  <c r="QY101" i="1" s="1"/>
  <c r="QW96" i="1"/>
  <c r="QY96" i="1" s="1"/>
  <c r="QW93" i="1"/>
  <c r="QY93" i="1" s="1"/>
  <c r="QW88" i="1"/>
  <c r="QY88" i="1" s="1"/>
  <c r="QW85" i="1"/>
  <c r="QY85" i="1" s="1"/>
  <c r="QW80" i="1"/>
  <c r="QY80" i="1" s="1"/>
  <c r="QW77" i="1"/>
  <c r="QY77" i="1" s="1"/>
  <c r="QW70" i="1"/>
  <c r="QY70" i="1" s="1"/>
  <c r="QW65" i="1"/>
  <c r="QY65" i="1" s="1"/>
  <c r="QW62" i="1"/>
  <c r="QY62" i="1" s="1"/>
  <c r="QW57" i="1"/>
  <c r="QY57" i="1" s="1"/>
  <c r="QW54" i="1"/>
  <c r="QY54" i="1" s="1"/>
  <c r="QW49" i="1"/>
  <c r="QY49" i="1" s="1"/>
  <c r="QW46" i="1"/>
  <c r="QY46" i="1" s="1"/>
  <c r="QW32" i="1"/>
  <c r="QY32" i="1" s="1"/>
  <c r="QW29" i="1"/>
  <c r="QY29" i="1" s="1"/>
  <c r="QW24" i="1"/>
  <c r="QY24" i="1" s="1"/>
  <c r="QW21" i="1"/>
  <c r="QY21" i="1" s="1"/>
  <c r="QW16" i="1"/>
  <c r="QY16" i="1" s="1"/>
  <c r="QW13" i="1"/>
  <c r="QY13" i="1" s="1"/>
  <c r="QW8" i="1"/>
  <c r="QY8" i="1" s="1"/>
  <c r="QW43" i="1"/>
  <c r="QY43" i="1" s="1"/>
  <c r="QW34" i="1"/>
  <c r="QY34" i="1" s="1"/>
  <c r="QW31" i="1"/>
  <c r="QY31" i="1" s="1"/>
  <c r="QW26" i="1"/>
  <c r="QY26" i="1" s="1"/>
  <c r="QW23" i="1"/>
  <c r="QY23" i="1" s="1"/>
  <c r="QW18" i="1"/>
  <c r="QY18" i="1" s="1"/>
  <c r="QW15" i="1"/>
  <c r="QY15" i="1" s="1"/>
  <c r="QW10" i="1"/>
  <c r="QY10" i="1" s="1"/>
  <c r="QW7" i="1"/>
  <c r="QY7" i="1" s="1"/>
  <c r="QW124" i="1"/>
  <c r="QY124" i="1" s="1"/>
  <c r="QW122" i="1"/>
  <c r="QY122" i="1" s="1"/>
  <c r="QW113" i="1"/>
  <c r="QY113" i="1" s="1"/>
  <c r="QW102" i="1"/>
  <c r="QY102" i="1" s="1"/>
  <c r="QW99" i="1"/>
  <c r="QY99" i="1" s="1"/>
  <c r="QW94" i="1"/>
  <c r="QY94" i="1" s="1"/>
  <c r="QW91" i="1"/>
  <c r="QY91" i="1" s="1"/>
  <c r="QW86" i="1"/>
  <c r="QY86" i="1" s="1"/>
  <c r="QW83" i="1"/>
  <c r="QY83" i="1" s="1"/>
  <c r="QW78" i="1"/>
  <c r="QY78" i="1" s="1"/>
  <c r="QW68" i="1"/>
  <c r="QY68" i="1" s="1"/>
  <c r="QW63" i="1"/>
  <c r="QY63" i="1" s="1"/>
  <c r="QW60" i="1"/>
  <c r="QY60" i="1" s="1"/>
  <c r="QW55" i="1"/>
  <c r="QY55" i="1" s="1"/>
  <c r="QW52" i="1"/>
  <c r="QY52" i="1" s="1"/>
  <c r="QW44" i="1"/>
  <c r="QY44" i="1" s="1"/>
  <c r="QW30" i="1"/>
  <c r="QY30" i="1" s="1"/>
  <c r="QW22" i="1"/>
  <c r="QY22" i="1" s="1"/>
  <c r="QW14" i="1"/>
  <c r="QY14" i="1" s="1"/>
  <c r="RH15" i="1"/>
  <c r="QW425" i="1"/>
  <c r="QY425" i="1" s="1"/>
  <c r="QW416" i="1"/>
  <c r="QY416" i="1" s="1"/>
  <c r="QW410" i="1"/>
  <c r="QY410" i="1" s="1"/>
  <c r="QW397" i="1"/>
  <c r="QY397" i="1" s="1"/>
  <c r="QW390" i="1"/>
  <c r="QY390" i="1" s="1"/>
  <c r="QW384" i="1"/>
  <c r="QY384" i="1" s="1"/>
  <c r="QW377" i="1"/>
  <c r="QY377" i="1" s="1"/>
  <c r="QW371" i="1"/>
  <c r="QY371" i="1" s="1"/>
  <c r="QW350" i="1"/>
  <c r="QY350" i="1" s="1"/>
  <c r="QW344" i="1"/>
  <c r="QY344" i="1" s="1"/>
  <c r="QW331" i="1"/>
  <c r="QY331" i="1" s="1"/>
  <c r="QW325" i="1"/>
  <c r="QW308" i="1"/>
  <c r="QY308" i="1" s="1"/>
  <c r="QW296" i="1"/>
  <c r="QY296" i="1" s="1"/>
  <c r="QW290" i="1"/>
  <c r="QW279" i="1"/>
  <c r="QY279" i="1" s="1"/>
  <c r="QW270" i="1"/>
  <c r="QY270" i="1" s="1"/>
  <c r="QW261" i="1"/>
  <c r="QY261" i="1" s="1"/>
  <c r="QW257" i="1"/>
  <c r="QY257" i="1" s="1"/>
  <c r="QY247" i="1"/>
  <c r="QY242" i="1"/>
  <c r="QY239" i="1"/>
  <c r="QY236" i="1"/>
  <c r="QY232" i="1"/>
  <c r="QY225" i="1"/>
  <c r="QY221" i="1"/>
  <c r="QY202" i="1"/>
  <c r="QY191" i="1"/>
  <c r="QY188" i="1"/>
  <c r="QY184" i="1"/>
  <c r="QY177" i="1"/>
  <c r="QY174" i="1"/>
  <c r="QY167" i="1"/>
  <c r="QY164" i="1"/>
  <c r="QY162" i="1"/>
  <c r="QY159" i="1"/>
  <c r="QY156" i="1"/>
  <c r="QY154" i="1"/>
  <c r="QY151" i="1"/>
  <c r="QY148" i="1"/>
  <c r="QW141" i="1"/>
  <c r="QY141" i="1" s="1"/>
  <c r="QW139" i="1"/>
  <c r="QY139" i="1" s="1"/>
  <c r="QW136" i="1"/>
  <c r="QY136" i="1" s="1"/>
  <c r="QW133" i="1"/>
  <c r="QY133" i="1" s="1"/>
  <c r="QW131" i="1"/>
  <c r="QY131" i="1" s="1"/>
  <c r="QW128" i="1"/>
  <c r="QY128" i="1" s="1"/>
  <c r="QW125" i="1"/>
  <c r="QY125" i="1" s="1"/>
  <c r="QW123" i="1"/>
  <c r="QY123" i="1" s="1"/>
  <c r="QW118" i="1"/>
  <c r="QY118" i="1" s="1"/>
  <c r="QW115" i="1"/>
  <c r="QY115" i="1" s="1"/>
  <c r="QW112" i="1"/>
  <c r="QW103" i="1"/>
  <c r="QY103" i="1" s="1"/>
  <c r="QW98" i="1"/>
  <c r="QY98" i="1" s="1"/>
  <c r="QW95" i="1"/>
  <c r="QY95" i="1" s="1"/>
  <c r="QW90" i="1"/>
  <c r="QY90" i="1" s="1"/>
  <c r="QW87" i="1"/>
  <c r="QY87" i="1" s="1"/>
  <c r="QW82" i="1"/>
  <c r="QY82" i="1" s="1"/>
  <c r="QW79" i="1"/>
  <c r="QY79" i="1" s="1"/>
  <c r="QW67" i="1"/>
  <c r="QY67" i="1" s="1"/>
  <c r="QW64" i="1"/>
  <c r="QY64" i="1" s="1"/>
  <c r="QW59" i="1"/>
  <c r="QY59" i="1" s="1"/>
  <c r="QW56" i="1"/>
  <c r="QY56" i="1" s="1"/>
  <c r="QW51" i="1"/>
  <c r="QY51" i="1" s="1"/>
  <c r="QW48" i="1"/>
  <c r="QY48" i="1" s="1"/>
  <c r="QW47" i="1"/>
  <c r="QY47" i="1" s="1"/>
  <c r="QW35" i="1"/>
  <c r="QY35" i="1" s="1"/>
  <c r="QW27" i="1"/>
  <c r="QY27" i="1" s="1"/>
  <c r="QW19" i="1"/>
  <c r="QY19" i="1" s="1"/>
  <c r="QW11" i="1"/>
  <c r="QY11" i="1" s="1"/>
  <c r="RH12" i="1"/>
  <c r="QW422" i="1"/>
  <c r="QY422" i="1" s="1"/>
  <c r="QW409" i="1"/>
  <c r="QY409" i="1" s="1"/>
  <c r="QW403" i="1"/>
  <c r="QY403" i="1" s="1"/>
  <c r="QW396" i="1"/>
  <c r="QW389" i="1"/>
  <c r="QY389" i="1" s="1"/>
  <c r="QW383" i="1"/>
  <c r="QY383" i="1" s="1"/>
  <c r="QW370" i="1"/>
  <c r="QY370" i="1" s="1"/>
  <c r="QW364" i="1"/>
  <c r="QY364" i="1" s="1"/>
  <c r="QW354" i="1"/>
  <c r="QY354" i="1" s="1"/>
  <c r="QW348" i="1"/>
  <c r="QY348" i="1" s="1"/>
  <c r="QW335" i="1"/>
  <c r="QY335" i="1" s="1"/>
  <c r="QW329" i="1"/>
  <c r="QY329" i="1" s="1"/>
  <c r="QW317" i="1"/>
  <c r="QY317" i="1" s="1"/>
  <c r="QW311" i="1"/>
  <c r="QY311" i="1" s="1"/>
  <c r="QW306" i="1"/>
  <c r="QY306" i="1" s="1"/>
  <c r="QW300" i="1"/>
  <c r="QY300" i="1" s="1"/>
  <c r="QW294" i="1"/>
  <c r="QY294" i="1" s="1"/>
  <c r="QW282" i="1"/>
  <c r="QY282" i="1" s="1"/>
  <c r="QW273" i="1"/>
  <c r="QY273" i="1" s="1"/>
  <c r="QW268" i="1"/>
  <c r="QY268" i="1" s="1"/>
  <c r="QW256" i="1"/>
  <c r="QY256" i="1" s="1"/>
  <c r="QY245" i="1"/>
  <c r="QY238" i="1"/>
  <c r="QY234" i="1"/>
  <c r="QY231" i="1"/>
  <c r="QY228" i="1"/>
  <c r="QY224" i="1"/>
  <c r="QY212" i="1"/>
  <c r="QY208" i="1"/>
  <c r="QY205" i="1"/>
  <c r="QY194" i="1"/>
  <c r="QY176" i="1"/>
  <c r="QY173" i="1"/>
  <c r="QY169" i="1"/>
  <c r="QY161" i="1"/>
  <c r="QY153" i="1"/>
  <c r="QW138" i="1"/>
  <c r="QY138" i="1" s="1"/>
  <c r="QW130" i="1"/>
  <c r="QY130" i="1" s="1"/>
  <c r="QW120" i="1"/>
  <c r="QY120" i="1" s="1"/>
  <c r="QW117" i="1"/>
  <c r="QY117" i="1" s="1"/>
  <c r="QW114" i="1"/>
  <c r="QY114" i="1" s="1"/>
  <c r="QW105" i="1"/>
  <c r="QY105" i="1" s="1"/>
  <c r="QW100" i="1"/>
  <c r="QY100" i="1" s="1"/>
  <c r="QW97" i="1"/>
  <c r="QY97" i="1" s="1"/>
  <c r="QW92" i="1"/>
  <c r="QY92" i="1" s="1"/>
  <c r="QW89" i="1"/>
  <c r="QY89" i="1" s="1"/>
  <c r="QW84" i="1"/>
  <c r="QY84" i="1" s="1"/>
  <c r="QW81" i="1"/>
  <c r="QY81" i="1" s="1"/>
  <c r="QW76" i="1"/>
  <c r="QW69" i="1"/>
  <c r="QY69" i="1" s="1"/>
  <c r="QW66" i="1"/>
  <c r="QY66" i="1" s="1"/>
  <c r="QW61" i="1"/>
  <c r="QY61" i="1" s="1"/>
  <c r="QW58" i="1"/>
  <c r="QY58" i="1" s="1"/>
  <c r="QW53" i="1"/>
  <c r="QY53" i="1" s="1"/>
  <c r="QW50" i="1"/>
  <c r="QY50" i="1" s="1"/>
  <c r="QW45" i="1"/>
  <c r="QY45" i="1" s="1"/>
  <c r="QW42" i="1"/>
  <c r="QW36" i="1"/>
  <c r="QY36" i="1" s="1"/>
  <c r="QW33" i="1"/>
  <c r="QY33" i="1" s="1"/>
  <c r="QW28" i="1"/>
  <c r="QY28" i="1" s="1"/>
  <c r="QW25" i="1"/>
  <c r="QY25" i="1" s="1"/>
  <c r="QW20" i="1"/>
  <c r="QY20" i="1" s="1"/>
  <c r="QW17" i="1"/>
  <c r="QY17" i="1" s="1"/>
  <c r="QW12" i="1"/>
  <c r="QY12" i="1" s="1"/>
  <c r="QW9" i="1"/>
  <c r="QY9" i="1" s="1"/>
  <c r="RH9" i="1"/>
  <c r="QW413" i="1"/>
  <c r="QY413" i="1" s="1"/>
  <c r="QW407" i="1"/>
  <c r="QY407" i="1" s="1"/>
  <c r="QW400" i="1"/>
  <c r="QY400" i="1" s="1"/>
  <c r="QW387" i="1"/>
  <c r="QY387" i="1" s="1"/>
  <c r="QW374" i="1"/>
  <c r="QY374" i="1" s="1"/>
  <c r="QW368" i="1"/>
  <c r="QY368" i="1" s="1"/>
  <c r="QW361" i="1"/>
  <c r="QW347" i="1"/>
  <c r="QY347" i="1" s="1"/>
  <c r="QW341" i="1"/>
  <c r="QY341" i="1" s="1"/>
  <c r="QW334" i="1"/>
  <c r="QY334" i="1" s="1"/>
  <c r="QW328" i="1"/>
  <c r="QY328" i="1" s="1"/>
  <c r="QW316" i="1"/>
  <c r="QY316" i="1" s="1"/>
  <c r="QW299" i="1"/>
  <c r="QY299" i="1" s="1"/>
  <c r="QW293" i="1"/>
  <c r="QY293" i="1" s="1"/>
  <c r="QW277" i="1"/>
  <c r="QY277" i="1" s="1"/>
  <c r="QW272" i="1"/>
  <c r="QY272" i="1" s="1"/>
  <c r="QW263" i="1"/>
  <c r="QY263" i="1" s="1"/>
  <c r="QW259" i="1"/>
  <c r="QY259" i="1" s="1"/>
  <c r="QY248" i="1"/>
  <c r="QY241" i="1"/>
  <c r="QY237" i="1"/>
  <c r="QY230" i="1"/>
  <c r="QY226" i="1"/>
  <c r="QY223" i="1"/>
  <c r="QY220" i="1"/>
  <c r="QY207" i="1"/>
  <c r="QY204" i="1"/>
  <c r="QY200" i="1"/>
  <c r="QY197" i="1"/>
  <c r="QY186" i="1"/>
  <c r="QY168" i="1"/>
  <c r="QY166" i="1"/>
  <c r="QY163" i="1"/>
  <c r="QY160" i="1"/>
  <c r="QY158" i="1"/>
  <c r="QY155" i="1"/>
  <c r="QY152" i="1"/>
  <c r="QY150" i="1"/>
  <c r="QW140" i="1"/>
  <c r="QY140" i="1" s="1"/>
  <c r="QW137" i="1"/>
  <c r="QY137" i="1" s="1"/>
  <c r="QW135" i="1"/>
  <c r="QY135" i="1" s="1"/>
  <c r="QW132" i="1"/>
  <c r="QY132" i="1" s="1"/>
  <c r="QW129" i="1"/>
  <c r="QY129" i="1" s="1"/>
  <c r="QW127" i="1"/>
  <c r="QY127" i="1" s="1"/>
  <c r="AQ15" i="5"/>
  <c r="H50" i="18" s="1"/>
  <c r="O50" i="18" s="1"/>
  <c r="OL403" i="1"/>
  <c r="ON403" i="1" s="1"/>
  <c r="OL411" i="1"/>
  <c r="ON411" i="1" s="1"/>
  <c r="OL419" i="1"/>
  <c r="ON419" i="1" s="1"/>
  <c r="OL396" i="1"/>
  <c r="ON396" i="1" s="1"/>
  <c r="OL404" i="1"/>
  <c r="ON404" i="1" s="1"/>
  <c r="OL412" i="1"/>
  <c r="ON412" i="1" s="1"/>
  <c r="OL420" i="1"/>
  <c r="ON420" i="1" s="1"/>
  <c r="OL397" i="1"/>
  <c r="ON397" i="1" s="1"/>
  <c r="OL405" i="1"/>
  <c r="ON405" i="1" s="1"/>
  <c r="OL413" i="1"/>
  <c r="ON413" i="1" s="1"/>
  <c r="OL421" i="1"/>
  <c r="ON421" i="1" s="1"/>
  <c r="OL398" i="1"/>
  <c r="ON398" i="1" s="1"/>
  <c r="OL406" i="1"/>
  <c r="ON406" i="1" s="1"/>
  <c r="OL414" i="1"/>
  <c r="ON414" i="1" s="1"/>
  <c r="OL422" i="1"/>
  <c r="ON422" i="1" s="1"/>
  <c r="OL399" i="1"/>
  <c r="ON399" i="1" s="1"/>
  <c r="OL407" i="1"/>
  <c r="ON407" i="1" s="1"/>
  <c r="OL415" i="1"/>
  <c r="ON415" i="1" s="1"/>
  <c r="OL423" i="1"/>
  <c r="ON423" i="1" s="1"/>
  <c r="OL400" i="1"/>
  <c r="ON400" i="1" s="1"/>
  <c r="OL408" i="1"/>
  <c r="ON408" i="1" s="1"/>
  <c r="OL416" i="1"/>
  <c r="ON416" i="1" s="1"/>
  <c r="OL424" i="1"/>
  <c r="ON424" i="1" s="1"/>
  <c r="OL401" i="1"/>
  <c r="ON401" i="1" s="1"/>
  <c r="OL409" i="1"/>
  <c r="ON409" i="1" s="1"/>
  <c r="OL417" i="1"/>
  <c r="ON417" i="1" s="1"/>
  <c r="OL425" i="1"/>
  <c r="ON425" i="1" s="1"/>
  <c r="OL402" i="1"/>
  <c r="ON402" i="1" s="1"/>
  <c r="OL410" i="1"/>
  <c r="ON410" i="1" s="1"/>
  <c r="OL418" i="1"/>
  <c r="ON418" i="1" s="1"/>
  <c r="OL426" i="1"/>
  <c r="ON426" i="1" s="1"/>
  <c r="OL364" i="1"/>
  <c r="ON364" i="1" s="1"/>
  <c r="OL372" i="1"/>
  <c r="OL380" i="1"/>
  <c r="ON380" i="1" s="1"/>
  <c r="OL388" i="1"/>
  <c r="ON388" i="1" s="1"/>
  <c r="OL365" i="1"/>
  <c r="ON365" i="1" s="1"/>
  <c r="OL373" i="1"/>
  <c r="OL381" i="1"/>
  <c r="ON381" i="1" s="1"/>
  <c r="OL389" i="1"/>
  <c r="ON389" i="1" s="1"/>
  <c r="OL366" i="1"/>
  <c r="ON366" i="1" s="1"/>
  <c r="OL374" i="1"/>
  <c r="ON374" i="1" s="1"/>
  <c r="OL382" i="1"/>
  <c r="ON382" i="1" s="1"/>
  <c r="OL390" i="1"/>
  <c r="ON390" i="1" s="1"/>
  <c r="OL367" i="1"/>
  <c r="ON367" i="1" s="1"/>
  <c r="OL375" i="1"/>
  <c r="ON375" i="1" s="1"/>
  <c r="OL383" i="1"/>
  <c r="ON383" i="1" s="1"/>
  <c r="OL361" i="1"/>
  <c r="ON361" i="1" s="1"/>
  <c r="OL368" i="1"/>
  <c r="ON368" i="1" s="1"/>
  <c r="OL376" i="1"/>
  <c r="ON376" i="1" s="1"/>
  <c r="OL384" i="1"/>
  <c r="ON384" i="1" s="1"/>
  <c r="OL369" i="1"/>
  <c r="ON369" i="1" s="1"/>
  <c r="OL377" i="1"/>
  <c r="ON377" i="1" s="1"/>
  <c r="OL385" i="1"/>
  <c r="ON385" i="1" s="1"/>
  <c r="OL362" i="1"/>
  <c r="ON362" i="1" s="1"/>
  <c r="OL370" i="1"/>
  <c r="ON370" i="1" s="1"/>
  <c r="OL378" i="1"/>
  <c r="ON378" i="1" s="1"/>
  <c r="OL386" i="1"/>
  <c r="ON386" i="1" s="1"/>
  <c r="OL363" i="1"/>
  <c r="ON363" i="1" s="1"/>
  <c r="OL333" i="1"/>
  <c r="ON333" i="1" s="1"/>
  <c r="OL341" i="1"/>
  <c r="ON341" i="1" s="1"/>
  <c r="OL349" i="1"/>
  <c r="ON349" i="1" s="1"/>
  <c r="OL371" i="1"/>
  <c r="ON371" i="1" s="1"/>
  <c r="OL326" i="1"/>
  <c r="ON326" i="1" s="1"/>
  <c r="OL334" i="1"/>
  <c r="ON334" i="1" s="1"/>
  <c r="OL342" i="1"/>
  <c r="ON342" i="1" s="1"/>
  <c r="OL350" i="1"/>
  <c r="ON350" i="1" s="1"/>
  <c r="OL379" i="1"/>
  <c r="ON379" i="1" s="1"/>
  <c r="OL327" i="1"/>
  <c r="ON327" i="1" s="1"/>
  <c r="OL335" i="1"/>
  <c r="ON335" i="1" s="1"/>
  <c r="OL343" i="1"/>
  <c r="ON343" i="1" s="1"/>
  <c r="OL351" i="1"/>
  <c r="ON351" i="1" s="1"/>
  <c r="OL387" i="1"/>
  <c r="ON387" i="1" s="1"/>
  <c r="OL328" i="1"/>
  <c r="ON328" i="1" s="1"/>
  <c r="OL336" i="1"/>
  <c r="ON336" i="1" s="1"/>
  <c r="OL344" i="1"/>
  <c r="ON344" i="1" s="1"/>
  <c r="OL352" i="1"/>
  <c r="ON352" i="1" s="1"/>
  <c r="OL329" i="1"/>
  <c r="ON329" i="1" s="1"/>
  <c r="OL337" i="1"/>
  <c r="ON337" i="1" s="1"/>
  <c r="OL345" i="1"/>
  <c r="ON345" i="1" s="1"/>
  <c r="OL353" i="1"/>
  <c r="ON353" i="1" s="1"/>
  <c r="OL330" i="1"/>
  <c r="ON330" i="1" s="1"/>
  <c r="OL338" i="1"/>
  <c r="ON338" i="1" s="1"/>
  <c r="OL346" i="1"/>
  <c r="ON346" i="1" s="1"/>
  <c r="OL354" i="1"/>
  <c r="ON354" i="1" s="1"/>
  <c r="OL331" i="1"/>
  <c r="ON331" i="1" s="1"/>
  <c r="OL339" i="1"/>
  <c r="OL347" i="1"/>
  <c r="ON347" i="1" s="1"/>
  <c r="OL355" i="1"/>
  <c r="ON355" i="1" s="1"/>
  <c r="OL348" i="1"/>
  <c r="ON348" i="1" s="1"/>
  <c r="OL297" i="1"/>
  <c r="ON297" i="1" s="1"/>
  <c r="OL305" i="1"/>
  <c r="OL313" i="1"/>
  <c r="ON313" i="1" s="1"/>
  <c r="OL325" i="1"/>
  <c r="ON325" i="1" s="1"/>
  <c r="OL298" i="1"/>
  <c r="ON298" i="1" s="1"/>
  <c r="OL306" i="1"/>
  <c r="OL314" i="1"/>
  <c r="ON314" i="1" s="1"/>
  <c r="OL291" i="1"/>
  <c r="ON291" i="1" s="1"/>
  <c r="OL299" i="1"/>
  <c r="ON299" i="1" s="1"/>
  <c r="OL307" i="1"/>
  <c r="ON307" i="1" s="1"/>
  <c r="OL315" i="1"/>
  <c r="ON315" i="1" s="1"/>
  <c r="OL292" i="1"/>
  <c r="ON292" i="1" s="1"/>
  <c r="OL300" i="1"/>
  <c r="ON300" i="1" s="1"/>
  <c r="OL308" i="1"/>
  <c r="ON308" i="1" s="1"/>
  <c r="OL316" i="1"/>
  <c r="ON316" i="1" s="1"/>
  <c r="OL293" i="1"/>
  <c r="ON293" i="1" s="1"/>
  <c r="OL301" i="1"/>
  <c r="ON301" i="1" s="1"/>
  <c r="OL309" i="1"/>
  <c r="ON309" i="1" s="1"/>
  <c r="OL317" i="1"/>
  <c r="ON317" i="1" s="1"/>
  <c r="OL294" i="1"/>
  <c r="ON294" i="1" s="1"/>
  <c r="OL302" i="1"/>
  <c r="ON302" i="1" s="1"/>
  <c r="OL310" i="1"/>
  <c r="ON310" i="1" s="1"/>
  <c r="OL318" i="1"/>
  <c r="ON318" i="1" s="1"/>
  <c r="OL319" i="1"/>
  <c r="ON319" i="1" s="1"/>
  <c r="OL290" i="1"/>
  <c r="ON290" i="1" s="1"/>
  <c r="OL295" i="1"/>
  <c r="ON295" i="1" s="1"/>
  <c r="OL296" i="1"/>
  <c r="ON296" i="1" s="1"/>
  <c r="OL303" i="1"/>
  <c r="ON303" i="1" s="1"/>
  <c r="OL304" i="1"/>
  <c r="ON304" i="1" s="1"/>
  <c r="OL312" i="1"/>
  <c r="ON312" i="1" s="1"/>
  <c r="OL332" i="1"/>
  <c r="ON332" i="1" s="1"/>
  <c r="OL311" i="1"/>
  <c r="ON311" i="1" s="1"/>
  <c r="OL340" i="1"/>
  <c r="OL261" i="1"/>
  <c r="ON261" i="1" s="1"/>
  <c r="OL269" i="1"/>
  <c r="ON269" i="1" s="1"/>
  <c r="OL277" i="1"/>
  <c r="ON277" i="1" s="1"/>
  <c r="OL254" i="1"/>
  <c r="ON254" i="1" s="1"/>
  <c r="OL262" i="1"/>
  <c r="ON262" i="1" s="1"/>
  <c r="OL270" i="1"/>
  <c r="ON270" i="1" s="1"/>
  <c r="OL278" i="1"/>
  <c r="ON278" i="1" s="1"/>
  <c r="OL255" i="1"/>
  <c r="ON255" i="1" s="1"/>
  <c r="OL263" i="1"/>
  <c r="ON263" i="1" s="1"/>
  <c r="OL271" i="1"/>
  <c r="ON271" i="1" s="1"/>
  <c r="OL279" i="1"/>
  <c r="ON279" i="1" s="1"/>
  <c r="OL256" i="1"/>
  <c r="ON256" i="1" s="1"/>
  <c r="OL264" i="1"/>
  <c r="ON264" i="1" s="1"/>
  <c r="OL272" i="1"/>
  <c r="OL280" i="1"/>
  <c r="ON280" i="1" s="1"/>
  <c r="OL257" i="1"/>
  <c r="ON257" i="1" s="1"/>
  <c r="OL265" i="1"/>
  <c r="ON265" i="1" s="1"/>
  <c r="OL273" i="1"/>
  <c r="OL281" i="1"/>
  <c r="ON281" i="1" s="1"/>
  <c r="OL258" i="1"/>
  <c r="ON258" i="1" s="1"/>
  <c r="OL266" i="1"/>
  <c r="ON266" i="1" s="1"/>
  <c r="OL274" i="1"/>
  <c r="ON274" i="1" s="1"/>
  <c r="OL282" i="1"/>
  <c r="ON282" i="1" s="1"/>
  <c r="OL259" i="1"/>
  <c r="ON259" i="1" s="1"/>
  <c r="OL267" i="1"/>
  <c r="ON267" i="1" s="1"/>
  <c r="OL275" i="1"/>
  <c r="ON275" i="1" s="1"/>
  <c r="OL283" i="1"/>
  <c r="ON283" i="1" s="1"/>
  <c r="OL260" i="1"/>
  <c r="ON260" i="1" s="1"/>
  <c r="OL268" i="1"/>
  <c r="ON268" i="1" s="1"/>
  <c r="OL276" i="1"/>
  <c r="ON276" i="1" s="1"/>
  <c r="OL284" i="1"/>
  <c r="ON284" i="1" s="1"/>
  <c r="OL154" i="1"/>
  <c r="ON154" i="1" s="1"/>
  <c r="OL162" i="1"/>
  <c r="ON162" i="1" s="1"/>
  <c r="OL170" i="1"/>
  <c r="ON170" i="1" s="1"/>
  <c r="OL155" i="1"/>
  <c r="ON155" i="1" s="1"/>
  <c r="OL163" i="1"/>
  <c r="ON163" i="1" s="1"/>
  <c r="OL171" i="1"/>
  <c r="OL148" i="1"/>
  <c r="ON148" i="1" s="1"/>
  <c r="OL156" i="1"/>
  <c r="ON156" i="1" s="1"/>
  <c r="OL164" i="1"/>
  <c r="ON164" i="1" s="1"/>
  <c r="OL172" i="1"/>
  <c r="OL149" i="1"/>
  <c r="ON149" i="1" s="1"/>
  <c r="OL157" i="1"/>
  <c r="ON157" i="1" s="1"/>
  <c r="OL165" i="1"/>
  <c r="ON165" i="1" s="1"/>
  <c r="OL173" i="1"/>
  <c r="ON173" i="1" s="1"/>
  <c r="OL150" i="1"/>
  <c r="ON150" i="1" s="1"/>
  <c r="OL158" i="1"/>
  <c r="ON158" i="1" s="1"/>
  <c r="OL166" i="1"/>
  <c r="ON166" i="1" s="1"/>
  <c r="OL174" i="1"/>
  <c r="ON174" i="1" s="1"/>
  <c r="OL151" i="1"/>
  <c r="ON151" i="1" s="1"/>
  <c r="OL159" i="1"/>
  <c r="ON159" i="1" s="1"/>
  <c r="OL167" i="1"/>
  <c r="ON167" i="1" s="1"/>
  <c r="OL175" i="1"/>
  <c r="ON175" i="1" s="1"/>
  <c r="OL152" i="1"/>
  <c r="ON152" i="1" s="1"/>
  <c r="OL160" i="1"/>
  <c r="ON160" i="1" s="1"/>
  <c r="OL168" i="1"/>
  <c r="ON168" i="1" s="1"/>
  <c r="OL176" i="1"/>
  <c r="ON176" i="1" s="1"/>
  <c r="OL116" i="1"/>
  <c r="ON116" i="1" s="1"/>
  <c r="OL117" i="1"/>
  <c r="ON117" i="1" s="1"/>
  <c r="OL153" i="1"/>
  <c r="ON153" i="1" s="1"/>
  <c r="OL118" i="1"/>
  <c r="ON118" i="1" s="1"/>
  <c r="OL161" i="1"/>
  <c r="ON161" i="1" s="1"/>
  <c r="OL119" i="1"/>
  <c r="ON119" i="1" s="1"/>
  <c r="OL169" i="1"/>
  <c r="ON169" i="1" s="1"/>
  <c r="OL177" i="1"/>
  <c r="ON177" i="1" s="1"/>
  <c r="OL113" i="1"/>
  <c r="ON113" i="1" s="1"/>
  <c r="OL114" i="1"/>
  <c r="ON114" i="1" s="1"/>
  <c r="OL115" i="1"/>
  <c r="ON115" i="1" s="1"/>
  <c r="OL127" i="1"/>
  <c r="ON127" i="1" s="1"/>
  <c r="OL135" i="1"/>
  <c r="ON135" i="1" s="1"/>
  <c r="OL126" i="1"/>
  <c r="ON126" i="1" s="1"/>
  <c r="OL120" i="1"/>
  <c r="ON120" i="1" s="1"/>
  <c r="OL128" i="1"/>
  <c r="ON128" i="1" s="1"/>
  <c r="OL136" i="1"/>
  <c r="ON136" i="1" s="1"/>
  <c r="OL112" i="1"/>
  <c r="ON112" i="1" s="1"/>
  <c r="OL121" i="1"/>
  <c r="ON121" i="1" s="1"/>
  <c r="OL129" i="1"/>
  <c r="ON129" i="1" s="1"/>
  <c r="OL137" i="1"/>
  <c r="OL134" i="1"/>
  <c r="ON134" i="1" s="1"/>
  <c r="OL122" i="1"/>
  <c r="ON122" i="1" s="1"/>
  <c r="OL130" i="1"/>
  <c r="ON130" i="1" s="1"/>
  <c r="OL138" i="1"/>
  <c r="OL123" i="1"/>
  <c r="ON123" i="1" s="1"/>
  <c r="OL131" i="1"/>
  <c r="ON131" i="1" s="1"/>
  <c r="OL139" i="1"/>
  <c r="ON139" i="1" s="1"/>
  <c r="OL124" i="1"/>
  <c r="ON124" i="1" s="1"/>
  <c r="OL132" i="1"/>
  <c r="ON132" i="1" s="1"/>
  <c r="OL140" i="1"/>
  <c r="ON140" i="1" s="1"/>
  <c r="OL125" i="1"/>
  <c r="ON125" i="1" s="1"/>
  <c r="OL133" i="1"/>
  <c r="ON133" i="1" s="1"/>
  <c r="OL141" i="1"/>
  <c r="ON141" i="1" s="1"/>
  <c r="OL83" i="1"/>
  <c r="ON83" i="1" s="1"/>
  <c r="OL91" i="1"/>
  <c r="ON91" i="1" s="1"/>
  <c r="OL99" i="1"/>
  <c r="ON99" i="1" s="1"/>
  <c r="OL76" i="1"/>
  <c r="ON76" i="1" s="1"/>
  <c r="OL84" i="1"/>
  <c r="ON84" i="1" s="1"/>
  <c r="OL92" i="1"/>
  <c r="ON92" i="1" s="1"/>
  <c r="OL100" i="1"/>
  <c r="ON100" i="1" s="1"/>
  <c r="OL77" i="1"/>
  <c r="ON77" i="1" s="1"/>
  <c r="OL85" i="1"/>
  <c r="ON85" i="1" s="1"/>
  <c r="OL93" i="1"/>
  <c r="ON93" i="1" s="1"/>
  <c r="OL101" i="1"/>
  <c r="ON101" i="1" s="1"/>
  <c r="OL78" i="1"/>
  <c r="ON78" i="1" s="1"/>
  <c r="OL86" i="1"/>
  <c r="ON86" i="1" s="1"/>
  <c r="OL94" i="1"/>
  <c r="ON94" i="1" s="1"/>
  <c r="OL102" i="1"/>
  <c r="ON102" i="1" s="1"/>
  <c r="OL79" i="1"/>
  <c r="ON79" i="1" s="1"/>
  <c r="OL87" i="1"/>
  <c r="ON87" i="1" s="1"/>
  <c r="OL95" i="1"/>
  <c r="ON95" i="1" s="1"/>
  <c r="OL103" i="1"/>
  <c r="ON103" i="1" s="1"/>
  <c r="OL80" i="1"/>
  <c r="ON80" i="1" s="1"/>
  <c r="OL88" i="1"/>
  <c r="ON88" i="1" s="1"/>
  <c r="OL96" i="1"/>
  <c r="ON96" i="1" s="1"/>
  <c r="OL104" i="1"/>
  <c r="OL81" i="1"/>
  <c r="ON81" i="1" s="1"/>
  <c r="OL89" i="1"/>
  <c r="ON89" i="1" s="1"/>
  <c r="OL97" i="1"/>
  <c r="ON97" i="1" s="1"/>
  <c r="OL105" i="1"/>
  <c r="OL82" i="1"/>
  <c r="ON82" i="1" s="1"/>
  <c r="OL90" i="1"/>
  <c r="ON90" i="1" s="1"/>
  <c r="OL98" i="1"/>
  <c r="ON98" i="1" s="1"/>
  <c r="OL106" i="1"/>
  <c r="ON106" i="1" s="1"/>
  <c r="OC404" i="1"/>
  <c r="OE404" i="1" s="1"/>
  <c r="OC412" i="1"/>
  <c r="OE412" i="1" s="1"/>
  <c r="OC420" i="1"/>
  <c r="OE420" i="1" s="1"/>
  <c r="OC397" i="1"/>
  <c r="OE397" i="1" s="1"/>
  <c r="OC405" i="1"/>
  <c r="OE405" i="1" s="1"/>
  <c r="OC413" i="1"/>
  <c r="OE413" i="1" s="1"/>
  <c r="OC421" i="1"/>
  <c r="OE421" i="1" s="1"/>
  <c r="OC398" i="1"/>
  <c r="OE398" i="1" s="1"/>
  <c r="OC406" i="1"/>
  <c r="OE406" i="1" s="1"/>
  <c r="OC414" i="1"/>
  <c r="OE414" i="1" s="1"/>
  <c r="OC422" i="1"/>
  <c r="OE422" i="1" s="1"/>
  <c r="OC399" i="1"/>
  <c r="OE399" i="1" s="1"/>
  <c r="OC407" i="1"/>
  <c r="OE407" i="1" s="1"/>
  <c r="OC415" i="1"/>
  <c r="OE415" i="1" s="1"/>
  <c r="OC423" i="1"/>
  <c r="OE423" i="1" s="1"/>
  <c r="OC400" i="1"/>
  <c r="OE400" i="1" s="1"/>
  <c r="OC408" i="1"/>
  <c r="OE408" i="1" s="1"/>
  <c r="OC416" i="1"/>
  <c r="OE416" i="1" s="1"/>
  <c r="OC424" i="1"/>
  <c r="OE424" i="1" s="1"/>
  <c r="OC401" i="1"/>
  <c r="OE401" i="1" s="1"/>
  <c r="OC409" i="1"/>
  <c r="OE409" i="1" s="1"/>
  <c r="OC417" i="1"/>
  <c r="OE417" i="1" s="1"/>
  <c r="OC425" i="1"/>
  <c r="OE425" i="1" s="1"/>
  <c r="OC402" i="1"/>
  <c r="OE402" i="1" s="1"/>
  <c r="OC410" i="1"/>
  <c r="OE410" i="1" s="1"/>
  <c r="OC418" i="1"/>
  <c r="OE418" i="1" s="1"/>
  <c r="OC426" i="1"/>
  <c r="OE426" i="1" s="1"/>
  <c r="OC403" i="1"/>
  <c r="OE403" i="1" s="1"/>
  <c r="OC411" i="1"/>
  <c r="OE411" i="1" s="1"/>
  <c r="OC419" i="1"/>
  <c r="OE419" i="1" s="1"/>
  <c r="OC396" i="1"/>
  <c r="OC366" i="1"/>
  <c r="OE366" i="1" s="1"/>
  <c r="OC374" i="1"/>
  <c r="OE374" i="1" s="1"/>
  <c r="OC382" i="1"/>
  <c r="OE382" i="1" s="1"/>
  <c r="OC390" i="1"/>
  <c r="OE390" i="1" s="1"/>
  <c r="OC367" i="1"/>
  <c r="OE367" i="1" s="1"/>
  <c r="OC375" i="1"/>
  <c r="OE375" i="1" s="1"/>
  <c r="OC383" i="1"/>
  <c r="OE383" i="1" s="1"/>
  <c r="OC361" i="1"/>
  <c r="OE361" i="1" s="1"/>
  <c r="OC368" i="1"/>
  <c r="OE368" i="1" s="1"/>
  <c r="OC376" i="1"/>
  <c r="OE376" i="1" s="1"/>
  <c r="OC384" i="1"/>
  <c r="OE384" i="1" s="1"/>
  <c r="OC369" i="1"/>
  <c r="OE369" i="1" s="1"/>
  <c r="OC377" i="1"/>
  <c r="OE377" i="1" s="1"/>
  <c r="OC385" i="1"/>
  <c r="OE385" i="1" s="1"/>
  <c r="OC362" i="1"/>
  <c r="OE362" i="1" s="1"/>
  <c r="OC370" i="1"/>
  <c r="OE370" i="1" s="1"/>
  <c r="OC378" i="1"/>
  <c r="OE378" i="1" s="1"/>
  <c r="OC386" i="1"/>
  <c r="OE386" i="1" s="1"/>
  <c r="OC363" i="1"/>
  <c r="OE363" i="1" s="1"/>
  <c r="OC371" i="1"/>
  <c r="OE371" i="1" s="1"/>
  <c r="OC379" i="1"/>
  <c r="OE379" i="1" s="1"/>
  <c r="OC387" i="1"/>
  <c r="OE387" i="1" s="1"/>
  <c r="OC364" i="1"/>
  <c r="OE364" i="1" s="1"/>
  <c r="OC372" i="1"/>
  <c r="OC380" i="1"/>
  <c r="OE380" i="1" s="1"/>
  <c r="OC388" i="1"/>
  <c r="OE388" i="1" s="1"/>
  <c r="OC326" i="1"/>
  <c r="OE326" i="1" s="1"/>
  <c r="OC334" i="1"/>
  <c r="OE334" i="1" s="1"/>
  <c r="OC342" i="1"/>
  <c r="OE342" i="1" s="1"/>
  <c r="OC350" i="1"/>
  <c r="OE350" i="1" s="1"/>
  <c r="OC327" i="1"/>
  <c r="OE327" i="1" s="1"/>
  <c r="OC335" i="1"/>
  <c r="OE335" i="1" s="1"/>
  <c r="OC343" i="1"/>
  <c r="OE343" i="1" s="1"/>
  <c r="OC351" i="1"/>
  <c r="OE351" i="1" s="1"/>
  <c r="OC328" i="1"/>
  <c r="OE328" i="1" s="1"/>
  <c r="OC336" i="1"/>
  <c r="OE336" i="1" s="1"/>
  <c r="OC344" i="1"/>
  <c r="OE344" i="1" s="1"/>
  <c r="OC352" i="1"/>
  <c r="OE352" i="1" s="1"/>
  <c r="OC329" i="1"/>
  <c r="OE329" i="1" s="1"/>
  <c r="OC337" i="1"/>
  <c r="OE337" i="1" s="1"/>
  <c r="OC345" i="1"/>
  <c r="OE345" i="1" s="1"/>
  <c r="OC353" i="1"/>
  <c r="OE353" i="1" s="1"/>
  <c r="OC365" i="1"/>
  <c r="OE365" i="1" s="1"/>
  <c r="OC330" i="1"/>
  <c r="OE330" i="1" s="1"/>
  <c r="OC338" i="1"/>
  <c r="OE338" i="1" s="1"/>
  <c r="OC346" i="1"/>
  <c r="OE346" i="1" s="1"/>
  <c r="OC354" i="1"/>
  <c r="OE354" i="1" s="1"/>
  <c r="OC373" i="1"/>
  <c r="OC331" i="1"/>
  <c r="OE331" i="1" s="1"/>
  <c r="OC339" i="1"/>
  <c r="OC347" i="1"/>
  <c r="OE347" i="1" s="1"/>
  <c r="OC355" i="1"/>
  <c r="OE355" i="1" s="1"/>
  <c r="OC381" i="1"/>
  <c r="OE381" i="1" s="1"/>
  <c r="OC332" i="1"/>
  <c r="OE332" i="1" s="1"/>
  <c r="OC340" i="1"/>
  <c r="OC348" i="1"/>
  <c r="OE348" i="1" s="1"/>
  <c r="OC325" i="1"/>
  <c r="OE325" i="1" s="1"/>
  <c r="OC291" i="1"/>
  <c r="OE291" i="1" s="1"/>
  <c r="OC299" i="1"/>
  <c r="OE299" i="1" s="1"/>
  <c r="OC307" i="1"/>
  <c r="OE307" i="1" s="1"/>
  <c r="OC315" i="1"/>
  <c r="OE315" i="1" s="1"/>
  <c r="OC292" i="1"/>
  <c r="OE292" i="1" s="1"/>
  <c r="OC300" i="1"/>
  <c r="OE300" i="1" s="1"/>
  <c r="OC308" i="1"/>
  <c r="OE308" i="1" s="1"/>
  <c r="OC316" i="1"/>
  <c r="OE316" i="1" s="1"/>
  <c r="OC333" i="1"/>
  <c r="OE333" i="1" s="1"/>
  <c r="OC293" i="1"/>
  <c r="OE293" i="1" s="1"/>
  <c r="OC301" i="1"/>
  <c r="OE301" i="1" s="1"/>
  <c r="OC309" i="1"/>
  <c r="OE309" i="1" s="1"/>
  <c r="OC317" i="1"/>
  <c r="OE317" i="1" s="1"/>
  <c r="OC389" i="1"/>
  <c r="OE389" i="1" s="1"/>
  <c r="OC341" i="1"/>
  <c r="OE341" i="1" s="1"/>
  <c r="OC294" i="1"/>
  <c r="OE294" i="1" s="1"/>
  <c r="OC302" i="1"/>
  <c r="OE302" i="1" s="1"/>
  <c r="OC310" i="1"/>
  <c r="OE310" i="1" s="1"/>
  <c r="OC318" i="1"/>
  <c r="OE318" i="1" s="1"/>
  <c r="OC349" i="1"/>
  <c r="OE349" i="1" s="1"/>
  <c r="OC295" i="1"/>
  <c r="OE295" i="1" s="1"/>
  <c r="OC303" i="1"/>
  <c r="OE303" i="1" s="1"/>
  <c r="OC311" i="1"/>
  <c r="OE311" i="1" s="1"/>
  <c r="OC319" i="1"/>
  <c r="OE319" i="1" s="1"/>
  <c r="OC296" i="1"/>
  <c r="OE296" i="1" s="1"/>
  <c r="OC304" i="1"/>
  <c r="OE304" i="1" s="1"/>
  <c r="OC312" i="1"/>
  <c r="OE312" i="1" s="1"/>
  <c r="OC290" i="1"/>
  <c r="OE290" i="1" s="1"/>
  <c r="OC297" i="1"/>
  <c r="OE297" i="1" s="1"/>
  <c r="OC298" i="1"/>
  <c r="OE298" i="1" s="1"/>
  <c r="OC305" i="1"/>
  <c r="OC306" i="1"/>
  <c r="OC313" i="1"/>
  <c r="OE313" i="1" s="1"/>
  <c r="OC314" i="1"/>
  <c r="OE314" i="1" s="1"/>
  <c r="OC262" i="1"/>
  <c r="OE262" i="1" s="1"/>
  <c r="OC270" i="1"/>
  <c r="OE270" i="1" s="1"/>
  <c r="OC278" i="1"/>
  <c r="OE278" i="1" s="1"/>
  <c r="OC255" i="1"/>
  <c r="OE255" i="1" s="1"/>
  <c r="OC263" i="1"/>
  <c r="OE263" i="1" s="1"/>
  <c r="OC271" i="1"/>
  <c r="OE271" i="1" s="1"/>
  <c r="OC279" i="1"/>
  <c r="OE279" i="1" s="1"/>
  <c r="OC256" i="1"/>
  <c r="OE256" i="1" s="1"/>
  <c r="OC264" i="1"/>
  <c r="OE264" i="1" s="1"/>
  <c r="OC272" i="1"/>
  <c r="OC280" i="1"/>
  <c r="OE280" i="1" s="1"/>
  <c r="OC257" i="1"/>
  <c r="OE257" i="1" s="1"/>
  <c r="OC265" i="1"/>
  <c r="OE265" i="1" s="1"/>
  <c r="OC273" i="1"/>
  <c r="OC281" i="1"/>
  <c r="OE281" i="1" s="1"/>
  <c r="OC258" i="1"/>
  <c r="OE258" i="1" s="1"/>
  <c r="OC266" i="1"/>
  <c r="OE266" i="1" s="1"/>
  <c r="OC274" i="1"/>
  <c r="OE274" i="1" s="1"/>
  <c r="OC282" i="1"/>
  <c r="OE282" i="1" s="1"/>
  <c r="OC259" i="1"/>
  <c r="OE259" i="1" s="1"/>
  <c r="OC267" i="1"/>
  <c r="OE267" i="1" s="1"/>
  <c r="OC275" i="1"/>
  <c r="OE275" i="1" s="1"/>
  <c r="OC283" i="1"/>
  <c r="OE283" i="1" s="1"/>
  <c r="OC260" i="1"/>
  <c r="OE260" i="1" s="1"/>
  <c r="OC268" i="1"/>
  <c r="OE268" i="1" s="1"/>
  <c r="OC276" i="1"/>
  <c r="OE276" i="1" s="1"/>
  <c r="OC284" i="1"/>
  <c r="OE284" i="1" s="1"/>
  <c r="OC261" i="1"/>
  <c r="OE261" i="1" s="1"/>
  <c r="OC269" i="1"/>
  <c r="OE269" i="1" s="1"/>
  <c r="OC277" i="1"/>
  <c r="OE277" i="1" s="1"/>
  <c r="OC254" i="1"/>
  <c r="OE254" i="1" s="1"/>
  <c r="OC155" i="1"/>
  <c r="OE155" i="1" s="1"/>
  <c r="OC163" i="1"/>
  <c r="OE163" i="1" s="1"/>
  <c r="OC171" i="1"/>
  <c r="OC148" i="1"/>
  <c r="OE148" i="1" s="1"/>
  <c r="OC156" i="1"/>
  <c r="OE156" i="1" s="1"/>
  <c r="OC164" i="1"/>
  <c r="OE164" i="1" s="1"/>
  <c r="OC172" i="1"/>
  <c r="OC149" i="1"/>
  <c r="OE149" i="1" s="1"/>
  <c r="OC157" i="1"/>
  <c r="OE157" i="1" s="1"/>
  <c r="OC165" i="1"/>
  <c r="OE165" i="1" s="1"/>
  <c r="OC173" i="1"/>
  <c r="OE173" i="1" s="1"/>
  <c r="OC150" i="1"/>
  <c r="OE150" i="1" s="1"/>
  <c r="OC158" i="1"/>
  <c r="OE158" i="1" s="1"/>
  <c r="OC166" i="1"/>
  <c r="OE166" i="1" s="1"/>
  <c r="OC174" i="1"/>
  <c r="OE174" i="1" s="1"/>
  <c r="OC151" i="1"/>
  <c r="OE151" i="1" s="1"/>
  <c r="OC159" i="1"/>
  <c r="OE159" i="1" s="1"/>
  <c r="OC167" i="1"/>
  <c r="OE167" i="1" s="1"/>
  <c r="OC175" i="1"/>
  <c r="OE175" i="1" s="1"/>
  <c r="OC152" i="1"/>
  <c r="OE152" i="1" s="1"/>
  <c r="OC160" i="1"/>
  <c r="OE160" i="1" s="1"/>
  <c r="OC168" i="1"/>
  <c r="OE168" i="1" s="1"/>
  <c r="OC176" i="1"/>
  <c r="OE176" i="1" s="1"/>
  <c r="OC153" i="1"/>
  <c r="OE153" i="1" s="1"/>
  <c r="OC161" i="1"/>
  <c r="OE161" i="1" s="1"/>
  <c r="OC169" i="1"/>
  <c r="OE169" i="1" s="1"/>
  <c r="OC177" i="1"/>
  <c r="OE177" i="1" s="1"/>
  <c r="OC170" i="1"/>
  <c r="OE170" i="1" s="1"/>
  <c r="OC154" i="1"/>
  <c r="OE154" i="1" s="1"/>
  <c r="OC162" i="1"/>
  <c r="OE162" i="1" s="1"/>
  <c r="OC113" i="1"/>
  <c r="OE113" i="1" s="1"/>
  <c r="OC121" i="1"/>
  <c r="OE121" i="1" s="1"/>
  <c r="OC129" i="1"/>
  <c r="OE129" i="1" s="1"/>
  <c r="OC137" i="1"/>
  <c r="OC114" i="1"/>
  <c r="OE114" i="1" s="1"/>
  <c r="OC122" i="1"/>
  <c r="OE122" i="1" s="1"/>
  <c r="OC130" i="1"/>
  <c r="OE130" i="1" s="1"/>
  <c r="OC138" i="1"/>
  <c r="OC115" i="1"/>
  <c r="OE115" i="1" s="1"/>
  <c r="OC123" i="1"/>
  <c r="OE123" i="1" s="1"/>
  <c r="OC131" i="1"/>
  <c r="OE131" i="1" s="1"/>
  <c r="OC139" i="1"/>
  <c r="OE139" i="1" s="1"/>
  <c r="OC116" i="1"/>
  <c r="OE116" i="1" s="1"/>
  <c r="OC124" i="1"/>
  <c r="OE124" i="1" s="1"/>
  <c r="OC132" i="1"/>
  <c r="OE132" i="1" s="1"/>
  <c r="OC140" i="1"/>
  <c r="OE140" i="1" s="1"/>
  <c r="OC117" i="1"/>
  <c r="OE117" i="1" s="1"/>
  <c r="OC125" i="1"/>
  <c r="OE125" i="1" s="1"/>
  <c r="OC133" i="1"/>
  <c r="OE133" i="1" s="1"/>
  <c r="OC141" i="1"/>
  <c r="OE141" i="1" s="1"/>
  <c r="OC128" i="1"/>
  <c r="OE128" i="1" s="1"/>
  <c r="OC118" i="1"/>
  <c r="OE118" i="1" s="1"/>
  <c r="OC126" i="1"/>
  <c r="OE126" i="1" s="1"/>
  <c r="OC134" i="1"/>
  <c r="OE134" i="1" s="1"/>
  <c r="OC112" i="1"/>
  <c r="OE112" i="1" s="1"/>
  <c r="OC136" i="1"/>
  <c r="OE136" i="1" s="1"/>
  <c r="OC119" i="1"/>
  <c r="OE119" i="1" s="1"/>
  <c r="OC127" i="1"/>
  <c r="OE127" i="1" s="1"/>
  <c r="OC135" i="1"/>
  <c r="OE135" i="1" s="1"/>
  <c r="OC120" i="1"/>
  <c r="OE120" i="1" s="1"/>
  <c r="OC84" i="1"/>
  <c r="OE84" i="1" s="1"/>
  <c r="OC92" i="1"/>
  <c r="OE92" i="1" s="1"/>
  <c r="OC100" i="1"/>
  <c r="OE100" i="1" s="1"/>
  <c r="OC77" i="1"/>
  <c r="OE77" i="1" s="1"/>
  <c r="OC85" i="1"/>
  <c r="OE85" i="1" s="1"/>
  <c r="OC93" i="1"/>
  <c r="OE93" i="1" s="1"/>
  <c r="OC101" i="1"/>
  <c r="OE101" i="1" s="1"/>
  <c r="OC78" i="1"/>
  <c r="OE78" i="1" s="1"/>
  <c r="OC86" i="1"/>
  <c r="OE86" i="1" s="1"/>
  <c r="OC94" i="1"/>
  <c r="OE94" i="1" s="1"/>
  <c r="OC102" i="1"/>
  <c r="OE102" i="1" s="1"/>
  <c r="OC79" i="1"/>
  <c r="OE79" i="1" s="1"/>
  <c r="OC87" i="1"/>
  <c r="OE87" i="1" s="1"/>
  <c r="OC95" i="1"/>
  <c r="OE95" i="1" s="1"/>
  <c r="OC103" i="1"/>
  <c r="OE103" i="1" s="1"/>
  <c r="OC80" i="1"/>
  <c r="OE80" i="1" s="1"/>
  <c r="OC88" i="1"/>
  <c r="OE88" i="1" s="1"/>
  <c r="OC96" i="1"/>
  <c r="OE96" i="1" s="1"/>
  <c r="OC104" i="1"/>
  <c r="OC81" i="1"/>
  <c r="OE81" i="1" s="1"/>
  <c r="OC89" i="1"/>
  <c r="OE89" i="1" s="1"/>
  <c r="OC97" i="1"/>
  <c r="OE97" i="1" s="1"/>
  <c r="OC105" i="1"/>
  <c r="OC82" i="1"/>
  <c r="OE82" i="1" s="1"/>
  <c r="OC90" i="1"/>
  <c r="OE90" i="1" s="1"/>
  <c r="OC98" i="1"/>
  <c r="OE98" i="1" s="1"/>
  <c r="OC106" i="1"/>
  <c r="OE106" i="1" s="1"/>
  <c r="OC83" i="1"/>
  <c r="OE83" i="1" s="1"/>
  <c r="OC91" i="1"/>
  <c r="OE91" i="1" s="1"/>
  <c r="OC99" i="1"/>
  <c r="OE99" i="1" s="1"/>
  <c r="OC76" i="1"/>
  <c r="OE76" i="1" s="1"/>
  <c r="QN397" i="1"/>
  <c r="QP397" i="1" s="1"/>
  <c r="QN405" i="1"/>
  <c r="QP405" i="1" s="1"/>
  <c r="QN413" i="1"/>
  <c r="QP413" i="1" s="1"/>
  <c r="QN421" i="1"/>
  <c r="QP421" i="1" s="1"/>
  <c r="QN366" i="1"/>
  <c r="QP366" i="1" s="1"/>
  <c r="QN374" i="1"/>
  <c r="QP374" i="1" s="1"/>
  <c r="QN382" i="1"/>
  <c r="QP382" i="1" s="1"/>
  <c r="QN390" i="1"/>
  <c r="QP390" i="1" s="1"/>
  <c r="QN398" i="1"/>
  <c r="QP398" i="1" s="1"/>
  <c r="QN406" i="1"/>
  <c r="QP406" i="1" s="1"/>
  <c r="QN414" i="1"/>
  <c r="QP414" i="1" s="1"/>
  <c r="QN422" i="1"/>
  <c r="QP422" i="1" s="1"/>
  <c r="QN367" i="1"/>
  <c r="QP367" i="1" s="1"/>
  <c r="QN375" i="1"/>
  <c r="QP375" i="1" s="1"/>
  <c r="QN383" i="1"/>
  <c r="QP383" i="1" s="1"/>
  <c r="QN361" i="1"/>
  <c r="QN399" i="1"/>
  <c r="QP399" i="1" s="1"/>
  <c r="QN407" i="1"/>
  <c r="QP407" i="1" s="1"/>
  <c r="QN415" i="1"/>
  <c r="QP415" i="1" s="1"/>
  <c r="QN423" i="1"/>
  <c r="QP423" i="1" s="1"/>
  <c r="QN400" i="1"/>
  <c r="QP400" i="1" s="1"/>
  <c r="QN408" i="1"/>
  <c r="QP408" i="1" s="1"/>
  <c r="QN416" i="1"/>
  <c r="QP416" i="1" s="1"/>
  <c r="QN424" i="1"/>
  <c r="QP424" i="1" s="1"/>
  <c r="QN369" i="1"/>
  <c r="QP369" i="1" s="1"/>
  <c r="QN377" i="1"/>
  <c r="QP377" i="1" s="1"/>
  <c r="QN385" i="1"/>
  <c r="QP385" i="1" s="1"/>
  <c r="QN401" i="1"/>
  <c r="QP401" i="1" s="1"/>
  <c r="QN409" i="1"/>
  <c r="QP409" i="1" s="1"/>
  <c r="QN417" i="1"/>
  <c r="QP417" i="1" s="1"/>
  <c r="QN425" i="1"/>
  <c r="QP425" i="1" s="1"/>
  <c r="QN362" i="1"/>
  <c r="QP362" i="1" s="1"/>
  <c r="QN370" i="1"/>
  <c r="QP370" i="1" s="1"/>
  <c r="QN378" i="1"/>
  <c r="QP378" i="1" s="1"/>
  <c r="QN386" i="1"/>
  <c r="QP386" i="1" s="1"/>
  <c r="QN402" i="1"/>
  <c r="QP402" i="1" s="1"/>
  <c r="QN410" i="1"/>
  <c r="QP410" i="1" s="1"/>
  <c r="QN418" i="1"/>
  <c r="QP418" i="1" s="1"/>
  <c r="QN426" i="1"/>
  <c r="QP426" i="1" s="1"/>
  <c r="QN403" i="1"/>
  <c r="QP403" i="1" s="1"/>
  <c r="QN411" i="1"/>
  <c r="QP411" i="1" s="1"/>
  <c r="QN419" i="1"/>
  <c r="QP419" i="1" s="1"/>
  <c r="QN396" i="1"/>
  <c r="QN364" i="1"/>
  <c r="QP364" i="1" s="1"/>
  <c r="QN372" i="1"/>
  <c r="QN380" i="1"/>
  <c r="QP380" i="1" s="1"/>
  <c r="QN388" i="1"/>
  <c r="QP388" i="1" s="1"/>
  <c r="QN404" i="1"/>
  <c r="QP404" i="1" s="1"/>
  <c r="QN412" i="1"/>
  <c r="QP412" i="1" s="1"/>
  <c r="QN420" i="1"/>
  <c r="QP420" i="1" s="1"/>
  <c r="QN365" i="1"/>
  <c r="QP365" i="1" s="1"/>
  <c r="QN387" i="1"/>
  <c r="QP387" i="1" s="1"/>
  <c r="QN326" i="1"/>
  <c r="QP326" i="1" s="1"/>
  <c r="QN334" i="1"/>
  <c r="QP334" i="1" s="1"/>
  <c r="QN342" i="1"/>
  <c r="QP342" i="1" s="1"/>
  <c r="QN350" i="1"/>
  <c r="QP350" i="1" s="1"/>
  <c r="QN368" i="1"/>
  <c r="QP368" i="1" s="1"/>
  <c r="QN389" i="1"/>
  <c r="QP389" i="1" s="1"/>
  <c r="QN327" i="1"/>
  <c r="QP327" i="1" s="1"/>
  <c r="QN371" i="1"/>
  <c r="QP371" i="1" s="1"/>
  <c r="QN328" i="1"/>
  <c r="QP328" i="1" s="1"/>
  <c r="QN336" i="1"/>
  <c r="QP336" i="1" s="1"/>
  <c r="QN344" i="1"/>
  <c r="QP344" i="1" s="1"/>
  <c r="QN352" i="1"/>
  <c r="QP352" i="1" s="1"/>
  <c r="QN373" i="1"/>
  <c r="QN329" i="1"/>
  <c r="QP329" i="1" s="1"/>
  <c r="QN337" i="1"/>
  <c r="QP337" i="1" s="1"/>
  <c r="QN345" i="1"/>
  <c r="QP345" i="1" s="1"/>
  <c r="QN353" i="1"/>
  <c r="QP353" i="1" s="1"/>
  <c r="QN376" i="1"/>
  <c r="QP376" i="1" s="1"/>
  <c r="QN330" i="1"/>
  <c r="QP330" i="1" s="1"/>
  <c r="QN338" i="1"/>
  <c r="QP338" i="1" s="1"/>
  <c r="QN346" i="1"/>
  <c r="QP346" i="1" s="1"/>
  <c r="QN354" i="1"/>
  <c r="QP354" i="1" s="1"/>
  <c r="QN379" i="1"/>
  <c r="QP379" i="1" s="1"/>
  <c r="QN331" i="1"/>
  <c r="QP331" i="1" s="1"/>
  <c r="QN339" i="1"/>
  <c r="QN347" i="1"/>
  <c r="QP347" i="1" s="1"/>
  <c r="QN355" i="1"/>
  <c r="QP355" i="1" s="1"/>
  <c r="QN381" i="1"/>
  <c r="QP381" i="1" s="1"/>
  <c r="QN332" i="1"/>
  <c r="QP332" i="1" s="1"/>
  <c r="QN340" i="1"/>
  <c r="QN348" i="1"/>
  <c r="QP348" i="1" s="1"/>
  <c r="QN325" i="1"/>
  <c r="QN294" i="1"/>
  <c r="QP294" i="1" s="1"/>
  <c r="QN302" i="1"/>
  <c r="QP302" i="1" s="1"/>
  <c r="QN310" i="1"/>
  <c r="QP310" i="1" s="1"/>
  <c r="QN318" i="1"/>
  <c r="QP318" i="1" s="1"/>
  <c r="QN333" i="1"/>
  <c r="QP333" i="1" s="1"/>
  <c r="QN295" i="1"/>
  <c r="QP295" i="1" s="1"/>
  <c r="QN303" i="1"/>
  <c r="QP303" i="1" s="1"/>
  <c r="QN311" i="1"/>
  <c r="QP311" i="1" s="1"/>
  <c r="QN319" i="1"/>
  <c r="QP319" i="1" s="1"/>
  <c r="QN335" i="1"/>
  <c r="QP335" i="1" s="1"/>
  <c r="QN296" i="1"/>
  <c r="QP296" i="1" s="1"/>
  <c r="QN304" i="1"/>
  <c r="QP304" i="1" s="1"/>
  <c r="QN312" i="1"/>
  <c r="QP312" i="1" s="1"/>
  <c r="QN290" i="1"/>
  <c r="QN341" i="1"/>
  <c r="QP341" i="1" s="1"/>
  <c r="QN297" i="1"/>
  <c r="QP297" i="1" s="1"/>
  <c r="QN305" i="1"/>
  <c r="QN313" i="1"/>
  <c r="QP313" i="1" s="1"/>
  <c r="QN343" i="1"/>
  <c r="QP343" i="1" s="1"/>
  <c r="QN298" i="1"/>
  <c r="QP298" i="1" s="1"/>
  <c r="QN306" i="1"/>
  <c r="QN314" i="1"/>
  <c r="QP314" i="1" s="1"/>
  <c r="QN363" i="1"/>
  <c r="QP363" i="1" s="1"/>
  <c r="QN349" i="1"/>
  <c r="QP349" i="1" s="1"/>
  <c r="QN291" i="1"/>
  <c r="QP291" i="1" s="1"/>
  <c r="QN299" i="1"/>
  <c r="QP299" i="1" s="1"/>
  <c r="QN307" i="1"/>
  <c r="QP307" i="1" s="1"/>
  <c r="QN315" i="1"/>
  <c r="QP315" i="1" s="1"/>
  <c r="QN384" i="1"/>
  <c r="QP384" i="1" s="1"/>
  <c r="QN351" i="1"/>
  <c r="QP351" i="1" s="1"/>
  <c r="QN292" i="1"/>
  <c r="QP292" i="1" s="1"/>
  <c r="QN300" i="1"/>
  <c r="QP300" i="1" s="1"/>
  <c r="QN308" i="1"/>
  <c r="QP308" i="1" s="1"/>
  <c r="QN316" i="1"/>
  <c r="QP316" i="1" s="1"/>
  <c r="QN293" i="1"/>
  <c r="QP293" i="1" s="1"/>
  <c r="QN301" i="1"/>
  <c r="QP301" i="1" s="1"/>
  <c r="QN309" i="1"/>
  <c r="QP309" i="1" s="1"/>
  <c r="QN317" i="1"/>
  <c r="QP317" i="1" s="1"/>
  <c r="QN255" i="1"/>
  <c r="QP255" i="1" s="1"/>
  <c r="QN263" i="1"/>
  <c r="QP263" i="1" s="1"/>
  <c r="QN271" i="1"/>
  <c r="QP271" i="1" s="1"/>
  <c r="QN279" i="1"/>
  <c r="QP279" i="1" s="1"/>
  <c r="QN256" i="1"/>
  <c r="QP256" i="1" s="1"/>
  <c r="QN264" i="1"/>
  <c r="QP264" i="1" s="1"/>
  <c r="QN272" i="1"/>
  <c r="QN280" i="1"/>
  <c r="QP280" i="1" s="1"/>
  <c r="QN257" i="1"/>
  <c r="QP257" i="1" s="1"/>
  <c r="QN265" i="1"/>
  <c r="QP265" i="1" s="1"/>
  <c r="QN273" i="1"/>
  <c r="QN281" i="1"/>
  <c r="QP281" i="1" s="1"/>
  <c r="QN258" i="1"/>
  <c r="QP258" i="1" s="1"/>
  <c r="QN266" i="1"/>
  <c r="QP266" i="1" s="1"/>
  <c r="QN274" i="1"/>
  <c r="QP274" i="1" s="1"/>
  <c r="QN282" i="1"/>
  <c r="QP282" i="1" s="1"/>
  <c r="QN259" i="1"/>
  <c r="QP259" i="1" s="1"/>
  <c r="QN267" i="1"/>
  <c r="QP267" i="1" s="1"/>
  <c r="QN275" i="1"/>
  <c r="QP275" i="1" s="1"/>
  <c r="QN283" i="1"/>
  <c r="QP283" i="1" s="1"/>
  <c r="QN260" i="1"/>
  <c r="QP260" i="1" s="1"/>
  <c r="QN268" i="1"/>
  <c r="QP268" i="1" s="1"/>
  <c r="QN276" i="1"/>
  <c r="QP276" i="1" s="1"/>
  <c r="QN284" i="1"/>
  <c r="QP284" i="1" s="1"/>
  <c r="QN261" i="1"/>
  <c r="QP261" i="1" s="1"/>
  <c r="QN269" i="1"/>
  <c r="QP269" i="1" s="1"/>
  <c r="QN277" i="1"/>
  <c r="QP277" i="1" s="1"/>
  <c r="QN254" i="1"/>
  <c r="QN262" i="1"/>
  <c r="QP262" i="1" s="1"/>
  <c r="QN270" i="1"/>
  <c r="QP270" i="1" s="1"/>
  <c r="QN278" i="1"/>
  <c r="QP278" i="1" s="1"/>
  <c r="QN148" i="1"/>
  <c r="QP148" i="1" s="1"/>
  <c r="QN156" i="1"/>
  <c r="QP156" i="1" s="1"/>
  <c r="QN164" i="1"/>
  <c r="QP164" i="1" s="1"/>
  <c r="QN172" i="1"/>
  <c r="QN149" i="1"/>
  <c r="QP149" i="1" s="1"/>
  <c r="QN157" i="1"/>
  <c r="QP157" i="1" s="1"/>
  <c r="QN165" i="1"/>
  <c r="QP165" i="1" s="1"/>
  <c r="QN173" i="1"/>
  <c r="QP173" i="1" s="1"/>
  <c r="QN150" i="1"/>
  <c r="QP150" i="1" s="1"/>
  <c r="QN158" i="1"/>
  <c r="QP158" i="1" s="1"/>
  <c r="QN166" i="1"/>
  <c r="QP166" i="1" s="1"/>
  <c r="QN174" i="1"/>
  <c r="QP174" i="1" s="1"/>
  <c r="QN151" i="1"/>
  <c r="QP151" i="1" s="1"/>
  <c r="QN159" i="1"/>
  <c r="QP159" i="1" s="1"/>
  <c r="QN167" i="1"/>
  <c r="QP167" i="1" s="1"/>
  <c r="QN175" i="1"/>
  <c r="QP175" i="1" s="1"/>
  <c r="QN152" i="1"/>
  <c r="QP152" i="1" s="1"/>
  <c r="QN160" i="1"/>
  <c r="QP160" i="1" s="1"/>
  <c r="QN168" i="1"/>
  <c r="QP168" i="1" s="1"/>
  <c r="QN176" i="1"/>
  <c r="QP176" i="1" s="1"/>
  <c r="QN153" i="1"/>
  <c r="QP153" i="1" s="1"/>
  <c r="QN161" i="1"/>
  <c r="QP161" i="1" s="1"/>
  <c r="QN169" i="1"/>
  <c r="QP169" i="1" s="1"/>
  <c r="QN177" i="1"/>
  <c r="QP177" i="1" s="1"/>
  <c r="QN154" i="1"/>
  <c r="QP154" i="1" s="1"/>
  <c r="QN162" i="1"/>
  <c r="QP162" i="1" s="1"/>
  <c r="QN170" i="1"/>
  <c r="QP170" i="1" s="1"/>
  <c r="QN120" i="1"/>
  <c r="QP120" i="1" s="1"/>
  <c r="QN128" i="1"/>
  <c r="QP128" i="1" s="1"/>
  <c r="QN136" i="1"/>
  <c r="QP136" i="1" s="1"/>
  <c r="QN113" i="1"/>
  <c r="QP113" i="1" s="1"/>
  <c r="QN121" i="1"/>
  <c r="QP121" i="1" s="1"/>
  <c r="QN129" i="1"/>
  <c r="QP129" i="1" s="1"/>
  <c r="QN137" i="1"/>
  <c r="QN114" i="1"/>
  <c r="QP114" i="1" s="1"/>
  <c r="QN122" i="1"/>
  <c r="QP122" i="1" s="1"/>
  <c r="QN130" i="1"/>
  <c r="QP130" i="1" s="1"/>
  <c r="QN138" i="1"/>
  <c r="QN155" i="1"/>
  <c r="QP155" i="1" s="1"/>
  <c r="QN115" i="1"/>
  <c r="QP115" i="1" s="1"/>
  <c r="QN123" i="1"/>
  <c r="QP123" i="1" s="1"/>
  <c r="QN131" i="1"/>
  <c r="QP131" i="1" s="1"/>
  <c r="QN139" i="1"/>
  <c r="QP139" i="1" s="1"/>
  <c r="QN163" i="1"/>
  <c r="QP163" i="1" s="1"/>
  <c r="QN116" i="1"/>
  <c r="QP116" i="1" s="1"/>
  <c r="QN124" i="1"/>
  <c r="QP124" i="1" s="1"/>
  <c r="QN132" i="1"/>
  <c r="QP132" i="1" s="1"/>
  <c r="QN140" i="1"/>
  <c r="QP140" i="1" s="1"/>
  <c r="QN171" i="1"/>
  <c r="QN117" i="1"/>
  <c r="QP117" i="1" s="1"/>
  <c r="QN125" i="1"/>
  <c r="QP125" i="1" s="1"/>
  <c r="QN133" i="1"/>
  <c r="QP133" i="1" s="1"/>
  <c r="QN141" i="1"/>
  <c r="QP141" i="1" s="1"/>
  <c r="QN118" i="1"/>
  <c r="QP118" i="1" s="1"/>
  <c r="QN126" i="1"/>
  <c r="QP126" i="1" s="1"/>
  <c r="QN134" i="1"/>
  <c r="QP134" i="1" s="1"/>
  <c r="QN112" i="1"/>
  <c r="QN135" i="1"/>
  <c r="QP135" i="1" s="1"/>
  <c r="QN119" i="1"/>
  <c r="QP119" i="1" s="1"/>
  <c r="QN127" i="1"/>
  <c r="QP127" i="1" s="1"/>
  <c r="QN77" i="1"/>
  <c r="QP77" i="1" s="1"/>
  <c r="QN85" i="1"/>
  <c r="QP85" i="1" s="1"/>
  <c r="QN93" i="1"/>
  <c r="QP93" i="1" s="1"/>
  <c r="QN101" i="1"/>
  <c r="QP101" i="1" s="1"/>
  <c r="QN78" i="1"/>
  <c r="QP78" i="1" s="1"/>
  <c r="QN86" i="1"/>
  <c r="QP86" i="1" s="1"/>
  <c r="QN94" i="1"/>
  <c r="QP94" i="1" s="1"/>
  <c r="QN102" i="1"/>
  <c r="QP102" i="1" s="1"/>
  <c r="QN79" i="1"/>
  <c r="QP79" i="1" s="1"/>
  <c r="QN87" i="1"/>
  <c r="QP87" i="1" s="1"/>
  <c r="QN95" i="1"/>
  <c r="QP95" i="1" s="1"/>
  <c r="QN103" i="1"/>
  <c r="QP103" i="1" s="1"/>
  <c r="QN80" i="1"/>
  <c r="QN88" i="1"/>
  <c r="QP88" i="1" s="1"/>
  <c r="QN96" i="1"/>
  <c r="QP96" i="1" s="1"/>
  <c r="QN104" i="1"/>
  <c r="QN81" i="1"/>
  <c r="QP81" i="1" s="1"/>
  <c r="QN89" i="1"/>
  <c r="QP89" i="1" s="1"/>
  <c r="QN97" i="1"/>
  <c r="QP97" i="1" s="1"/>
  <c r="QN105" i="1"/>
  <c r="QN82" i="1"/>
  <c r="QP82" i="1" s="1"/>
  <c r="QN90" i="1"/>
  <c r="QP90" i="1" s="1"/>
  <c r="QN98" i="1"/>
  <c r="QP98" i="1" s="1"/>
  <c r="QN106" i="1"/>
  <c r="QP106" i="1" s="1"/>
  <c r="QN83" i="1"/>
  <c r="QP83" i="1" s="1"/>
  <c r="QN91" i="1"/>
  <c r="QP91" i="1" s="1"/>
  <c r="QN99" i="1"/>
  <c r="QP99" i="1" s="1"/>
  <c r="QN76" i="1"/>
  <c r="QP76" i="1" s="1"/>
  <c r="QN84" i="1"/>
  <c r="QP84" i="1" s="1"/>
  <c r="QN92" i="1"/>
  <c r="QP92" i="1" s="1"/>
  <c r="QN100" i="1"/>
  <c r="QP100" i="1" s="1"/>
  <c r="KZ401" i="1"/>
  <c r="KZ409" i="1"/>
  <c r="KZ417" i="1"/>
  <c r="KZ425" i="1"/>
  <c r="KZ402" i="1"/>
  <c r="KZ410" i="1"/>
  <c r="KZ418" i="1"/>
  <c r="KZ426" i="1"/>
  <c r="KZ403" i="1"/>
  <c r="KZ411" i="1"/>
  <c r="KZ419" i="1"/>
  <c r="KZ396" i="1"/>
  <c r="KZ404" i="1"/>
  <c r="KZ412" i="1"/>
  <c r="KZ420" i="1"/>
  <c r="KZ397" i="1"/>
  <c r="KZ405" i="1"/>
  <c r="KZ413" i="1"/>
  <c r="KZ421" i="1"/>
  <c r="KZ398" i="1"/>
  <c r="KZ406" i="1"/>
  <c r="KZ414" i="1"/>
  <c r="KZ422" i="1"/>
  <c r="KZ399" i="1"/>
  <c r="KZ407" i="1"/>
  <c r="KZ415" i="1"/>
  <c r="KZ423" i="1"/>
  <c r="KZ400" i="1"/>
  <c r="KZ408" i="1"/>
  <c r="KZ416" i="1"/>
  <c r="KZ424" i="1"/>
  <c r="KZ362" i="1"/>
  <c r="KZ370" i="1"/>
  <c r="KZ378" i="1"/>
  <c r="KZ386" i="1"/>
  <c r="KZ363" i="1"/>
  <c r="KZ371" i="1"/>
  <c r="KZ379" i="1"/>
  <c r="KZ387" i="1"/>
  <c r="KZ364" i="1"/>
  <c r="KZ372" i="1"/>
  <c r="KZ380" i="1"/>
  <c r="KZ388" i="1"/>
  <c r="KZ365" i="1"/>
  <c r="KZ373" i="1"/>
  <c r="KZ381" i="1"/>
  <c r="KZ389" i="1"/>
  <c r="KZ366" i="1"/>
  <c r="KZ374" i="1"/>
  <c r="KZ382" i="1"/>
  <c r="KZ390" i="1"/>
  <c r="KZ367" i="1"/>
  <c r="KZ375" i="1"/>
  <c r="KZ383" i="1"/>
  <c r="KZ361" i="1"/>
  <c r="KZ368" i="1"/>
  <c r="KZ376" i="1"/>
  <c r="KZ384" i="1"/>
  <c r="KZ332" i="1"/>
  <c r="KZ340" i="1"/>
  <c r="KZ348" i="1"/>
  <c r="KZ325" i="1"/>
  <c r="KZ333" i="1"/>
  <c r="KZ341" i="1"/>
  <c r="KZ349" i="1"/>
  <c r="KZ326" i="1"/>
  <c r="KZ334" i="1"/>
  <c r="KZ342" i="1"/>
  <c r="KZ350" i="1"/>
  <c r="KZ369" i="1"/>
  <c r="KZ327" i="1"/>
  <c r="KZ335" i="1"/>
  <c r="KZ343" i="1"/>
  <c r="KZ351" i="1"/>
  <c r="KZ377" i="1"/>
  <c r="KZ328" i="1"/>
  <c r="KZ336" i="1"/>
  <c r="KZ344" i="1"/>
  <c r="KZ352" i="1"/>
  <c r="KZ385" i="1"/>
  <c r="KZ329" i="1"/>
  <c r="KZ337" i="1"/>
  <c r="KZ345" i="1"/>
  <c r="KZ353" i="1"/>
  <c r="KZ330" i="1"/>
  <c r="KZ338" i="1"/>
  <c r="KZ346" i="1"/>
  <c r="KZ354" i="1"/>
  <c r="KZ297" i="1"/>
  <c r="KZ305" i="1"/>
  <c r="KZ313" i="1"/>
  <c r="KZ331" i="1"/>
  <c r="KZ298" i="1"/>
  <c r="KZ306" i="1"/>
  <c r="KZ314" i="1"/>
  <c r="KZ339" i="1"/>
  <c r="KZ291" i="1"/>
  <c r="KZ299" i="1"/>
  <c r="KZ307" i="1"/>
  <c r="KZ315" i="1"/>
  <c r="KZ347" i="1"/>
  <c r="KZ292" i="1"/>
  <c r="KZ300" i="1"/>
  <c r="KZ308" i="1"/>
  <c r="KZ316" i="1"/>
  <c r="KZ355" i="1"/>
  <c r="KZ293" i="1"/>
  <c r="KZ301" i="1"/>
  <c r="KZ309" i="1"/>
  <c r="KZ317" i="1"/>
  <c r="KZ294" i="1"/>
  <c r="KZ302" i="1"/>
  <c r="KZ310" i="1"/>
  <c r="KZ318" i="1"/>
  <c r="KZ303" i="1"/>
  <c r="KZ304" i="1"/>
  <c r="KZ311" i="1"/>
  <c r="KZ312" i="1"/>
  <c r="KZ319" i="1"/>
  <c r="KZ290" i="1"/>
  <c r="KZ295" i="1"/>
  <c r="KZ296" i="1"/>
  <c r="KZ261" i="1"/>
  <c r="KZ269" i="1"/>
  <c r="KZ277" i="1"/>
  <c r="KZ254" i="1"/>
  <c r="KZ262" i="1"/>
  <c r="KZ270" i="1"/>
  <c r="KZ278" i="1"/>
  <c r="KZ255" i="1"/>
  <c r="KZ263" i="1"/>
  <c r="KZ271" i="1"/>
  <c r="KZ279" i="1"/>
  <c r="KZ256" i="1"/>
  <c r="KZ264" i="1"/>
  <c r="KZ272" i="1"/>
  <c r="KZ280" i="1"/>
  <c r="KZ257" i="1"/>
  <c r="KZ265" i="1"/>
  <c r="KZ273" i="1"/>
  <c r="KZ281" i="1"/>
  <c r="KZ258" i="1"/>
  <c r="KZ266" i="1"/>
  <c r="KZ274" i="1"/>
  <c r="KZ282" i="1"/>
  <c r="KZ259" i="1"/>
  <c r="KZ267" i="1"/>
  <c r="KZ275" i="1"/>
  <c r="KZ283" i="1"/>
  <c r="KZ260" i="1"/>
  <c r="KZ268" i="1"/>
  <c r="KZ276" i="1"/>
  <c r="KZ284" i="1"/>
  <c r="KZ153" i="1"/>
  <c r="KZ161" i="1"/>
  <c r="KZ169" i="1"/>
  <c r="KZ177" i="1"/>
  <c r="KZ154" i="1"/>
  <c r="KZ162" i="1"/>
  <c r="KZ170" i="1"/>
  <c r="KZ155" i="1"/>
  <c r="KZ163" i="1"/>
  <c r="KZ171" i="1"/>
  <c r="KZ148" i="1"/>
  <c r="KZ156" i="1"/>
  <c r="KZ164" i="1"/>
  <c r="KZ172" i="1"/>
  <c r="KZ149" i="1"/>
  <c r="KZ157" i="1"/>
  <c r="KZ165" i="1"/>
  <c r="KZ173" i="1"/>
  <c r="KZ150" i="1"/>
  <c r="KZ158" i="1"/>
  <c r="KZ166" i="1"/>
  <c r="KZ174" i="1"/>
  <c r="KZ151" i="1"/>
  <c r="KZ159" i="1"/>
  <c r="KZ167" i="1"/>
  <c r="KZ175" i="1"/>
  <c r="KZ160" i="1"/>
  <c r="KZ119" i="1"/>
  <c r="KZ127" i="1"/>
  <c r="KZ135" i="1"/>
  <c r="KZ152" i="1"/>
  <c r="KZ168" i="1"/>
  <c r="KZ120" i="1"/>
  <c r="KZ128" i="1"/>
  <c r="KZ136" i="1"/>
  <c r="KZ126" i="1"/>
  <c r="KZ176" i="1"/>
  <c r="KZ113" i="1"/>
  <c r="KZ121" i="1"/>
  <c r="KZ129" i="1"/>
  <c r="KZ137" i="1"/>
  <c r="KZ118" i="1"/>
  <c r="KZ114" i="1"/>
  <c r="KZ122" i="1"/>
  <c r="KZ130" i="1"/>
  <c r="KZ138" i="1"/>
  <c r="KZ115" i="1"/>
  <c r="KZ123" i="1"/>
  <c r="KZ131" i="1"/>
  <c r="KZ139" i="1"/>
  <c r="KZ134" i="1"/>
  <c r="KZ116" i="1"/>
  <c r="KZ124" i="1"/>
  <c r="KZ132" i="1"/>
  <c r="KZ140" i="1"/>
  <c r="KZ117" i="1"/>
  <c r="KZ125" i="1"/>
  <c r="KZ133" i="1"/>
  <c r="KZ141" i="1"/>
  <c r="KZ112" i="1"/>
  <c r="KZ80" i="1"/>
  <c r="KZ88" i="1"/>
  <c r="KZ96" i="1"/>
  <c r="KZ104" i="1"/>
  <c r="KZ81" i="1"/>
  <c r="KZ89" i="1"/>
  <c r="KZ97" i="1"/>
  <c r="KZ105" i="1"/>
  <c r="KZ82" i="1"/>
  <c r="KZ90" i="1"/>
  <c r="KZ98" i="1"/>
  <c r="KZ106" i="1"/>
  <c r="KZ83" i="1"/>
  <c r="KZ91" i="1"/>
  <c r="KZ99" i="1"/>
  <c r="KZ77" i="1"/>
  <c r="KZ84" i="1"/>
  <c r="KZ92" i="1"/>
  <c r="KZ100" i="1"/>
  <c r="KZ76" i="1"/>
  <c r="KZ85" i="1"/>
  <c r="KZ93" i="1"/>
  <c r="KZ101" i="1"/>
  <c r="KZ78" i="1"/>
  <c r="KZ86" i="1"/>
  <c r="KZ94" i="1"/>
  <c r="KZ102" i="1"/>
  <c r="KZ79" i="1"/>
  <c r="KZ87" i="1"/>
  <c r="KZ95" i="1"/>
  <c r="KZ103" i="1"/>
  <c r="QE398" i="1"/>
  <c r="QG398" i="1" s="1"/>
  <c r="QE406" i="1"/>
  <c r="QG406" i="1" s="1"/>
  <c r="QE414" i="1"/>
  <c r="QG414" i="1" s="1"/>
  <c r="QE422" i="1"/>
  <c r="QG422" i="1" s="1"/>
  <c r="QE368" i="1"/>
  <c r="QG368" i="1" s="1"/>
  <c r="QE376" i="1"/>
  <c r="QG376" i="1" s="1"/>
  <c r="QE384" i="1"/>
  <c r="QG384" i="1" s="1"/>
  <c r="QE399" i="1"/>
  <c r="QG399" i="1" s="1"/>
  <c r="QE407" i="1"/>
  <c r="QG407" i="1" s="1"/>
  <c r="QE415" i="1"/>
  <c r="QG415" i="1" s="1"/>
  <c r="QE423" i="1"/>
  <c r="QG423" i="1" s="1"/>
  <c r="QE369" i="1"/>
  <c r="QG369" i="1" s="1"/>
  <c r="QE377" i="1"/>
  <c r="QG377" i="1" s="1"/>
  <c r="QE385" i="1"/>
  <c r="QG385" i="1" s="1"/>
  <c r="QE400" i="1"/>
  <c r="QG400" i="1" s="1"/>
  <c r="QE408" i="1"/>
  <c r="QG408" i="1" s="1"/>
  <c r="QE416" i="1"/>
  <c r="QG416" i="1" s="1"/>
  <c r="QE424" i="1"/>
  <c r="QG424" i="1" s="1"/>
  <c r="QE401" i="1"/>
  <c r="QG401" i="1" s="1"/>
  <c r="QE409" i="1"/>
  <c r="QG409" i="1" s="1"/>
  <c r="QE417" i="1"/>
  <c r="QG417" i="1" s="1"/>
  <c r="QE425" i="1"/>
  <c r="QG425" i="1" s="1"/>
  <c r="QE402" i="1"/>
  <c r="QG402" i="1" s="1"/>
  <c r="QE410" i="1"/>
  <c r="QG410" i="1" s="1"/>
  <c r="QE418" i="1"/>
  <c r="QG418" i="1" s="1"/>
  <c r="QE426" i="1"/>
  <c r="QG426" i="1" s="1"/>
  <c r="QE364" i="1"/>
  <c r="QG364" i="1" s="1"/>
  <c r="QE372" i="1"/>
  <c r="QE380" i="1"/>
  <c r="QG380" i="1" s="1"/>
  <c r="QE388" i="1"/>
  <c r="QG388" i="1" s="1"/>
  <c r="QE403" i="1"/>
  <c r="QG403" i="1" s="1"/>
  <c r="QE411" i="1"/>
  <c r="QG411" i="1" s="1"/>
  <c r="QE419" i="1"/>
  <c r="QG419" i="1" s="1"/>
  <c r="QE396" i="1"/>
  <c r="QE404" i="1"/>
  <c r="QG404" i="1" s="1"/>
  <c r="QE412" i="1"/>
  <c r="QG412" i="1" s="1"/>
  <c r="QE420" i="1"/>
  <c r="QG420" i="1" s="1"/>
  <c r="QE397" i="1"/>
  <c r="QG397" i="1" s="1"/>
  <c r="QE405" i="1"/>
  <c r="QG405" i="1" s="1"/>
  <c r="QE413" i="1"/>
  <c r="QG413" i="1" s="1"/>
  <c r="QE421" i="1"/>
  <c r="QG421" i="1" s="1"/>
  <c r="QE371" i="1"/>
  <c r="QG371" i="1" s="1"/>
  <c r="QE383" i="1"/>
  <c r="QG383" i="1" s="1"/>
  <c r="QE327" i="1"/>
  <c r="QG327" i="1" s="1"/>
  <c r="QE373" i="1"/>
  <c r="QE386" i="1"/>
  <c r="QG386" i="1" s="1"/>
  <c r="QE362" i="1"/>
  <c r="QG362" i="1" s="1"/>
  <c r="QE374" i="1"/>
  <c r="QG374" i="1" s="1"/>
  <c r="QE387" i="1"/>
  <c r="QG387" i="1" s="1"/>
  <c r="QE363" i="1"/>
  <c r="QG363" i="1" s="1"/>
  <c r="QE375" i="1"/>
  <c r="QG375" i="1" s="1"/>
  <c r="QE389" i="1"/>
  <c r="QG389" i="1" s="1"/>
  <c r="QE365" i="1"/>
  <c r="QG365" i="1" s="1"/>
  <c r="QE378" i="1"/>
  <c r="QG378" i="1" s="1"/>
  <c r="QE390" i="1"/>
  <c r="QG390" i="1" s="1"/>
  <c r="QE366" i="1"/>
  <c r="QG366" i="1" s="1"/>
  <c r="QE379" i="1"/>
  <c r="QG379" i="1" s="1"/>
  <c r="QE361" i="1"/>
  <c r="QE367" i="1"/>
  <c r="QG367" i="1" s="1"/>
  <c r="QE381" i="1"/>
  <c r="QG381" i="1" s="1"/>
  <c r="QE382" i="1"/>
  <c r="QG382" i="1" s="1"/>
  <c r="QE328" i="1"/>
  <c r="QG328" i="1" s="1"/>
  <c r="QE336" i="1"/>
  <c r="QG336" i="1" s="1"/>
  <c r="QE344" i="1"/>
  <c r="QG344" i="1" s="1"/>
  <c r="QE352" i="1"/>
  <c r="QG352" i="1" s="1"/>
  <c r="QE296" i="1"/>
  <c r="QG296" i="1" s="1"/>
  <c r="QE304" i="1"/>
  <c r="QG304" i="1" s="1"/>
  <c r="QE312" i="1"/>
  <c r="QG312" i="1" s="1"/>
  <c r="QE290" i="1"/>
  <c r="QE329" i="1"/>
  <c r="QG329" i="1" s="1"/>
  <c r="QE337" i="1"/>
  <c r="QG337" i="1" s="1"/>
  <c r="QE345" i="1"/>
  <c r="QG345" i="1" s="1"/>
  <c r="QE353" i="1"/>
  <c r="QG353" i="1" s="1"/>
  <c r="QE297" i="1"/>
  <c r="QG297" i="1" s="1"/>
  <c r="QE305" i="1"/>
  <c r="QE313" i="1"/>
  <c r="QG313" i="1" s="1"/>
  <c r="QE330" i="1"/>
  <c r="QG330" i="1" s="1"/>
  <c r="QE338" i="1"/>
  <c r="QG338" i="1" s="1"/>
  <c r="QE346" i="1"/>
  <c r="QG346" i="1" s="1"/>
  <c r="QE354" i="1"/>
  <c r="QG354" i="1" s="1"/>
  <c r="QE298" i="1"/>
  <c r="QG298" i="1" s="1"/>
  <c r="QE306" i="1"/>
  <c r="QE314" i="1"/>
  <c r="QG314" i="1" s="1"/>
  <c r="QE331" i="1"/>
  <c r="QG331" i="1" s="1"/>
  <c r="QE339" i="1"/>
  <c r="QE347" i="1"/>
  <c r="QG347" i="1" s="1"/>
  <c r="QE355" i="1"/>
  <c r="QG355" i="1" s="1"/>
  <c r="QE291" i="1"/>
  <c r="QG291" i="1" s="1"/>
  <c r="QE299" i="1"/>
  <c r="QG299" i="1" s="1"/>
  <c r="QE307" i="1"/>
  <c r="QG307" i="1" s="1"/>
  <c r="QE315" i="1"/>
  <c r="QG315" i="1" s="1"/>
  <c r="QE332" i="1"/>
  <c r="QG332" i="1" s="1"/>
  <c r="QE340" i="1"/>
  <c r="QE348" i="1"/>
  <c r="QG348" i="1" s="1"/>
  <c r="QE325" i="1"/>
  <c r="QE292" i="1"/>
  <c r="QG292" i="1" s="1"/>
  <c r="QE300" i="1"/>
  <c r="QG300" i="1" s="1"/>
  <c r="QE308" i="1"/>
  <c r="QG308" i="1" s="1"/>
  <c r="QE316" i="1"/>
  <c r="QG316" i="1" s="1"/>
  <c r="QE333" i="1"/>
  <c r="QG333" i="1" s="1"/>
  <c r="QE341" i="1"/>
  <c r="QG341" i="1" s="1"/>
  <c r="QE349" i="1"/>
  <c r="QG349" i="1" s="1"/>
  <c r="QE293" i="1"/>
  <c r="QG293" i="1" s="1"/>
  <c r="QE334" i="1"/>
  <c r="QG334" i="1" s="1"/>
  <c r="QE342" i="1"/>
  <c r="QG342" i="1" s="1"/>
  <c r="QE350" i="1"/>
  <c r="QG350" i="1" s="1"/>
  <c r="QE294" i="1"/>
  <c r="QG294" i="1" s="1"/>
  <c r="QE302" i="1"/>
  <c r="QG302" i="1" s="1"/>
  <c r="QE310" i="1"/>
  <c r="QG310" i="1" s="1"/>
  <c r="QE318" i="1"/>
  <c r="QG318" i="1" s="1"/>
  <c r="QE370" i="1"/>
  <c r="QG370" i="1" s="1"/>
  <c r="QE295" i="1"/>
  <c r="QG295" i="1" s="1"/>
  <c r="QE301" i="1"/>
  <c r="QG301" i="1" s="1"/>
  <c r="QE326" i="1"/>
  <c r="QG326" i="1" s="1"/>
  <c r="QE303" i="1"/>
  <c r="QG303" i="1" s="1"/>
  <c r="QE335" i="1"/>
  <c r="QG335" i="1" s="1"/>
  <c r="QE309" i="1"/>
  <c r="QG309" i="1" s="1"/>
  <c r="QE343" i="1"/>
  <c r="QG343" i="1" s="1"/>
  <c r="QE311" i="1"/>
  <c r="QG311" i="1" s="1"/>
  <c r="QE351" i="1"/>
  <c r="QG351" i="1" s="1"/>
  <c r="QE317" i="1"/>
  <c r="QG317" i="1" s="1"/>
  <c r="QE319" i="1"/>
  <c r="QG319" i="1" s="1"/>
  <c r="QE256" i="1"/>
  <c r="QG256" i="1" s="1"/>
  <c r="QE264" i="1"/>
  <c r="QG264" i="1" s="1"/>
  <c r="QE272" i="1"/>
  <c r="QE280" i="1"/>
  <c r="QG280" i="1" s="1"/>
  <c r="QE257" i="1"/>
  <c r="QG257" i="1" s="1"/>
  <c r="QE265" i="1"/>
  <c r="QG265" i="1" s="1"/>
  <c r="QE273" i="1"/>
  <c r="QE281" i="1"/>
  <c r="QG281" i="1" s="1"/>
  <c r="QE258" i="1"/>
  <c r="QE266" i="1"/>
  <c r="QG266" i="1" s="1"/>
  <c r="QE274" i="1"/>
  <c r="QG274" i="1" s="1"/>
  <c r="QE282" i="1"/>
  <c r="QG282" i="1" s="1"/>
  <c r="QE259" i="1"/>
  <c r="QG259" i="1" s="1"/>
  <c r="QE267" i="1"/>
  <c r="QG267" i="1" s="1"/>
  <c r="QE275" i="1"/>
  <c r="QG275" i="1" s="1"/>
  <c r="QE283" i="1"/>
  <c r="QG283" i="1" s="1"/>
  <c r="QE260" i="1"/>
  <c r="QG260" i="1" s="1"/>
  <c r="QE268" i="1"/>
  <c r="QG268" i="1" s="1"/>
  <c r="QE276" i="1"/>
  <c r="QG276" i="1" s="1"/>
  <c r="QE284" i="1"/>
  <c r="QG284" i="1" s="1"/>
  <c r="QE261" i="1"/>
  <c r="QG261" i="1" s="1"/>
  <c r="QE269" i="1"/>
  <c r="QG269" i="1" s="1"/>
  <c r="QE277" i="1"/>
  <c r="QG277" i="1" s="1"/>
  <c r="QE254" i="1"/>
  <c r="QG254" i="1" s="1"/>
  <c r="QE262" i="1"/>
  <c r="QG262" i="1" s="1"/>
  <c r="QE270" i="1"/>
  <c r="QG270" i="1" s="1"/>
  <c r="QE278" i="1"/>
  <c r="QG278" i="1" s="1"/>
  <c r="QE255" i="1"/>
  <c r="QG255" i="1" s="1"/>
  <c r="QE263" i="1"/>
  <c r="QG263" i="1" s="1"/>
  <c r="QE271" i="1"/>
  <c r="QG271" i="1" s="1"/>
  <c r="QE279" i="1"/>
  <c r="QG279" i="1" s="1"/>
  <c r="QE149" i="1"/>
  <c r="QG149" i="1" s="1"/>
  <c r="QE157" i="1"/>
  <c r="QG157" i="1" s="1"/>
  <c r="QE165" i="1"/>
  <c r="QG165" i="1" s="1"/>
  <c r="QE173" i="1"/>
  <c r="QG173" i="1" s="1"/>
  <c r="QE150" i="1"/>
  <c r="QG150" i="1" s="1"/>
  <c r="QE158" i="1"/>
  <c r="QG158" i="1" s="1"/>
  <c r="QE166" i="1"/>
  <c r="QG166" i="1" s="1"/>
  <c r="QE174" i="1"/>
  <c r="QG174" i="1" s="1"/>
  <c r="QE151" i="1"/>
  <c r="QE159" i="1"/>
  <c r="QG159" i="1" s="1"/>
  <c r="QE167" i="1"/>
  <c r="QG167" i="1" s="1"/>
  <c r="QE175" i="1"/>
  <c r="QG175" i="1" s="1"/>
  <c r="QE152" i="1"/>
  <c r="QG152" i="1" s="1"/>
  <c r="QE160" i="1"/>
  <c r="QG160" i="1" s="1"/>
  <c r="QE168" i="1"/>
  <c r="QG168" i="1" s="1"/>
  <c r="QE176" i="1"/>
  <c r="QG176" i="1" s="1"/>
  <c r="QE153" i="1"/>
  <c r="QG153" i="1" s="1"/>
  <c r="QE161" i="1"/>
  <c r="QG161" i="1" s="1"/>
  <c r="QE169" i="1"/>
  <c r="QG169" i="1" s="1"/>
  <c r="QE177" i="1"/>
  <c r="QG177" i="1" s="1"/>
  <c r="QE154" i="1"/>
  <c r="QG154" i="1" s="1"/>
  <c r="QE162" i="1"/>
  <c r="QG162" i="1" s="1"/>
  <c r="QE170" i="1"/>
  <c r="QG170" i="1" s="1"/>
  <c r="QE155" i="1"/>
  <c r="QG155" i="1" s="1"/>
  <c r="QE163" i="1"/>
  <c r="QG163" i="1" s="1"/>
  <c r="QE171" i="1"/>
  <c r="QE164" i="1"/>
  <c r="QG164" i="1" s="1"/>
  <c r="QE114" i="1"/>
  <c r="QG114" i="1" s="1"/>
  <c r="QE122" i="1"/>
  <c r="QG122" i="1" s="1"/>
  <c r="QE130" i="1"/>
  <c r="QG130" i="1" s="1"/>
  <c r="QE138" i="1"/>
  <c r="QE172" i="1"/>
  <c r="QE115" i="1"/>
  <c r="QG115" i="1" s="1"/>
  <c r="QE123" i="1"/>
  <c r="QG123" i="1" s="1"/>
  <c r="QE131" i="1"/>
  <c r="QG131" i="1" s="1"/>
  <c r="QE139" i="1"/>
  <c r="QG139" i="1" s="1"/>
  <c r="QE116" i="1"/>
  <c r="QG116" i="1" s="1"/>
  <c r="QE124" i="1"/>
  <c r="QG124" i="1" s="1"/>
  <c r="QE132" i="1"/>
  <c r="QG132" i="1" s="1"/>
  <c r="QE140" i="1"/>
  <c r="QG140" i="1" s="1"/>
  <c r="QE117" i="1"/>
  <c r="QG117" i="1" s="1"/>
  <c r="QE125" i="1"/>
  <c r="QG125" i="1" s="1"/>
  <c r="QE133" i="1"/>
  <c r="QG133" i="1" s="1"/>
  <c r="QE141" i="1"/>
  <c r="QG141" i="1" s="1"/>
  <c r="QE118" i="1"/>
  <c r="QG118" i="1" s="1"/>
  <c r="QE126" i="1"/>
  <c r="QG126" i="1" s="1"/>
  <c r="QE134" i="1"/>
  <c r="QG134" i="1" s="1"/>
  <c r="QE112" i="1"/>
  <c r="QE119" i="1"/>
  <c r="QG119" i="1" s="1"/>
  <c r="QE127" i="1"/>
  <c r="QG127" i="1" s="1"/>
  <c r="QE135" i="1"/>
  <c r="QG135" i="1" s="1"/>
  <c r="QE148" i="1"/>
  <c r="QG148" i="1" s="1"/>
  <c r="QE120" i="1"/>
  <c r="QG120" i="1" s="1"/>
  <c r="QE128" i="1"/>
  <c r="QG128" i="1" s="1"/>
  <c r="QE136" i="1"/>
  <c r="QG136" i="1" s="1"/>
  <c r="QE113" i="1"/>
  <c r="QG113" i="1" s="1"/>
  <c r="QE121" i="1"/>
  <c r="QG121" i="1" s="1"/>
  <c r="QE129" i="1"/>
  <c r="QG129" i="1" s="1"/>
  <c r="QE137" i="1"/>
  <c r="QE156" i="1"/>
  <c r="QG156" i="1" s="1"/>
  <c r="QE78" i="1"/>
  <c r="QG78" i="1" s="1"/>
  <c r="QE86" i="1"/>
  <c r="QG86" i="1" s="1"/>
  <c r="QE94" i="1"/>
  <c r="QG94" i="1" s="1"/>
  <c r="QE102" i="1"/>
  <c r="QG102" i="1" s="1"/>
  <c r="QE79" i="1"/>
  <c r="QG79" i="1" s="1"/>
  <c r="QE87" i="1"/>
  <c r="QG87" i="1" s="1"/>
  <c r="QE95" i="1"/>
  <c r="QG95" i="1" s="1"/>
  <c r="QE103" i="1"/>
  <c r="QG103" i="1" s="1"/>
  <c r="QE80" i="1"/>
  <c r="QG80" i="1" s="1"/>
  <c r="QE88" i="1"/>
  <c r="QG88" i="1" s="1"/>
  <c r="QE96" i="1"/>
  <c r="QG96" i="1" s="1"/>
  <c r="QE104" i="1"/>
  <c r="QE81" i="1"/>
  <c r="QG81" i="1" s="1"/>
  <c r="QE89" i="1"/>
  <c r="QG89" i="1" s="1"/>
  <c r="QE97" i="1"/>
  <c r="QG97" i="1" s="1"/>
  <c r="QE105" i="1"/>
  <c r="QE82" i="1"/>
  <c r="QG82" i="1" s="1"/>
  <c r="QE90" i="1"/>
  <c r="QG90" i="1" s="1"/>
  <c r="QE98" i="1"/>
  <c r="QG98" i="1" s="1"/>
  <c r="QE106" i="1"/>
  <c r="QG106" i="1" s="1"/>
  <c r="QE83" i="1"/>
  <c r="QG83" i="1" s="1"/>
  <c r="QE91" i="1"/>
  <c r="QG91" i="1" s="1"/>
  <c r="QE99" i="1"/>
  <c r="QG99" i="1" s="1"/>
  <c r="QE76" i="1"/>
  <c r="QE84" i="1"/>
  <c r="QG84" i="1" s="1"/>
  <c r="QE92" i="1"/>
  <c r="QG92" i="1" s="1"/>
  <c r="QE100" i="1"/>
  <c r="QG100" i="1" s="1"/>
  <c r="QE77" i="1"/>
  <c r="QG77" i="1" s="1"/>
  <c r="QE85" i="1"/>
  <c r="QG85" i="1" s="1"/>
  <c r="QE93" i="1"/>
  <c r="QG93" i="1" s="1"/>
  <c r="QE101" i="1"/>
  <c r="QG101" i="1" s="1"/>
  <c r="PV399" i="1"/>
  <c r="PX399" i="1" s="1"/>
  <c r="PV407" i="1"/>
  <c r="PX407" i="1" s="1"/>
  <c r="PV415" i="1"/>
  <c r="PX415" i="1" s="1"/>
  <c r="PV423" i="1"/>
  <c r="PX423" i="1" s="1"/>
  <c r="PV400" i="1"/>
  <c r="PX400" i="1" s="1"/>
  <c r="PV408" i="1"/>
  <c r="PX408" i="1" s="1"/>
  <c r="PV416" i="1"/>
  <c r="PX416" i="1" s="1"/>
  <c r="PV424" i="1"/>
  <c r="PX424" i="1" s="1"/>
  <c r="PV401" i="1"/>
  <c r="PX401" i="1" s="1"/>
  <c r="PV409" i="1"/>
  <c r="PX409" i="1" s="1"/>
  <c r="PV417" i="1"/>
  <c r="PX417" i="1" s="1"/>
  <c r="PV425" i="1"/>
  <c r="PX425" i="1" s="1"/>
  <c r="PV402" i="1"/>
  <c r="PX402" i="1" s="1"/>
  <c r="PV410" i="1"/>
  <c r="PX410" i="1" s="1"/>
  <c r="PV418" i="1"/>
  <c r="PX418" i="1" s="1"/>
  <c r="PV426" i="1"/>
  <c r="PX426" i="1" s="1"/>
  <c r="PV403" i="1"/>
  <c r="PX403" i="1" s="1"/>
  <c r="PV411" i="1"/>
  <c r="PX411" i="1" s="1"/>
  <c r="PV419" i="1"/>
  <c r="PX419" i="1" s="1"/>
  <c r="PV396" i="1"/>
  <c r="PV404" i="1"/>
  <c r="PX404" i="1" s="1"/>
  <c r="PV412" i="1"/>
  <c r="PX412" i="1" s="1"/>
  <c r="PV420" i="1"/>
  <c r="PX420" i="1" s="1"/>
  <c r="PV397" i="1"/>
  <c r="PX397" i="1" s="1"/>
  <c r="PV405" i="1"/>
  <c r="PX405" i="1" s="1"/>
  <c r="PV413" i="1"/>
  <c r="PX413" i="1" s="1"/>
  <c r="PV421" i="1"/>
  <c r="PX421" i="1" s="1"/>
  <c r="PV398" i="1"/>
  <c r="PX398" i="1" s="1"/>
  <c r="PV406" i="1"/>
  <c r="PX406" i="1" s="1"/>
  <c r="PV414" i="1"/>
  <c r="PX414" i="1" s="1"/>
  <c r="PV422" i="1"/>
  <c r="PX422" i="1" s="1"/>
  <c r="PV364" i="1"/>
  <c r="PX364" i="1" s="1"/>
  <c r="PV372" i="1"/>
  <c r="PV380" i="1"/>
  <c r="PX380" i="1" s="1"/>
  <c r="PV388" i="1"/>
  <c r="PX388" i="1" s="1"/>
  <c r="PV365" i="1"/>
  <c r="PX365" i="1" s="1"/>
  <c r="PV373" i="1"/>
  <c r="PV381" i="1"/>
  <c r="PX381" i="1" s="1"/>
  <c r="PV389" i="1"/>
  <c r="PX389" i="1" s="1"/>
  <c r="PV366" i="1"/>
  <c r="PX366" i="1" s="1"/>
  <c r="PV374" i="1"/>
  <c r="PX374" i="1" s="1"/>
  <c r="PV382" i="1"/>
  <c r="PX382" i="1" s="1"/>
  <c r="PV390" i="1"/>
  <c r="PX390" i="1" s="1"/>
  <c r="PV367" i="1"/>
  <c r="PX367" i="1" s="1"/>
  <c r="PV375" i="1"/>
  <c r="PX375" i="1" s="1"/>
  <c r="PV383" i="1"/>
  <c r="PX383" i="1" s="1"/>
  <c r="PV361" i="1"/>
  <c r="PV368" i="1"/>
  <c r="PX368" i="1" s="1"/>
  <c r="PV376" i="1"/>
  <c r="PX376" i="1" s="1"/>
  <c r="PV384" i="1"/>
  <c r="PX384" i="1" s="1"/>
  <c r="PV369" i="1"/>
  <c r="PX369" i="1" s="1"/>
  <c r="PV377" i="1"/>
  <c r="PX377" i="1" s="1"/>
  <c r="PV385" i="1"/>
  <c r="PX385" i="1" s="1"/>
  <c r="PV362" i="1"/>
  <c r="PX362" i="1" s="1"/>
  <c r="PV370" i="1"/>
  <c r="PX370" i="1" s="1"/>
  <c r="PV378" i="1"/>
  <c r="PX378" i="1" s="1"/>
  <c r="PV386" i="1"/>
  <c r="PX386" i="1" s="1"/>
  <c r="PV329" i="1"/>
  <c r="PX329" i="1" s="1"/>
  <c r="PV337" i="1"/>
  <c r="PX337" i="1" s="1"/>
  <c r="PV345" i="1"/>
  <c r="PX345" i="1" s="1"/>
  <c r="PV353" i="1"/>
  <c r="PX353" i="1" s="1"/>
  <c r="PV363" i="1"/>
  <c r="PX363" i="1" s="1"/>
  <c r="PV330" i="1"/>
  <c r="PX330" i="1" s="1"/>
  <c r="PV338" i="1"/>
  <c r="PX338" i="1" s="1"/>
  <c r="PV346" i="1"/>
  <c r="PX346" i="1" s="1"/>
  <c r="PV354" i="1"/>
  <c r="PX354" i="1" s="1"/>
  <c r="PV291" i="1"/>
  <c r="PX291" i="1" s="1"/>
  <c r="PV371" i="1"/>
  <c r="PX371" i="1" s="1"/>
  <c r="PV331" i="1"/>
  <c r="PX331" i="1" s="1"/>
  <c r="PV339" i="1"/>
  <c r="PV347" i="1"/>
  <c r="PX347" i="1" s="1"/>
  <c r="PV355" i="1"/>
  <c r="PX355" i="1" s="1"/>
  <c r="PV292" i="1"/>
  <c r="PX292" i="1" s="1"/>
  <c r="PV379" i="1"/>
  <c r="PX379" i="1" s="1"/>
  <c r="PV332" i="1"/>
  <c r="PX332" i="1" s="1"/>
  <c r="PV340" i="1"/>
  <c r="PV348" i="1"/>
  <c r="PX348" i="1" s="1"/>
  <c r="PV325" i="1"/>
  <c r="PV293" i="1"/>
  <c r="PX293" i="1" s="1"/>
  <c r="PV387" i="1"/>
  <c r="PX387" i="1" s="1"/>
  <c r="PV333" i="1"/>
  <c r="PX333" i="1" s="1"/>
  <c r="PV341" i="1"/>
  <c r="PX341" i="1" s="1"/>
  <c r="PV349" i="1"/>
  <c r="PX349" i="1" s="1"/>
  <c r="PV294" i="1"/>
  <c r="PX294" i="1" s="1"/>
  <c r="PV326" i="1"/>
  <c r="PX326" i="1" s="1"/>
  <c r="PV334" i="1"/>
  <c r="PX334" i="1" s="1"/>
  <c r="PV342" i="1"/>
  <c r="PX342" i="1" s="1"/>
  <c r="PV350" i="1"/>
  <c r="PX350" i="1" s="1"/>
  <c r="PV327" i="1"/>
  <c r="PX327" i="1" s="1"/>
  <c r="PV335" i="1"/>
  <c r="PX335" i="1" s="1"/>
  <c r="PV343" i="1"/>
  <c r="PX343" i="1" s="1"/>
  <c r="PV351" i="1"/>
  <c r="PX351" i="1" s="1"/>
  <c r="PV296" i="1"/>
  <c r="PX296" i="1" s="1"/>
  <c r="PV344" i="1"/>
  <c r="PX344" i="1" s="1"/>
  <c r="PV297" i="1"/>
  <c r="PX297" i="1" s="1"/>
  <c r="PV305" i="1"/>
  <c r="PV313" i="1"/>
  <c r="PX313" i="1" s="1"/>
  <c r="PV352" i="1"/>
  <c r="PX352" i="1" s="1"/>
  <c r="PV298" i="1"/>
  <c r="PX298" i="1" s="1"/>
  <c r="PV306" i="1"/>
  <c r="PV314" i="1"/>
  <c r="PX314" i="1" s="1"/>
  <c r="PV299" i="1"/>
  <c r="PX299" i="1" s="1"/>
  <c r="PV307" i="1"/>
  <c r="PX307" i="1" s="1"/>
  <c r="PV315" i="1"/>
  <c r="PX315" i="1" s="1"/>
  <c r="PV300" i="1"/>
  <c r="PX300" i="1" s="1"/>
  <c r="PV308" i="1"/>
  <c r="PX308" i="1" s="1"/>
  <c r="PV316" i="1"/>
  <c r="PX316" i="1" s="1"/>
  <c r="PV301" i="1"/>
  <c r="PX301" i="1" s="1"/>
  <c r="PV309" i="1"/>
  <c r="PX309" i="1" s="1"/>
  <c r="PV317" i="1"/>
  <c r="PX317" i="1" s="1"/>
  <c r="PV302" i="1"/>
  <c r="PX302" i="1" s="1"/>
  <c r="PV310" i="1"/>
  <c r="PX310" i="1" s="1"/>
  <c r="PV318" i="1"/>
  <c r="PX318" i="1" s="1"/>
  <c r="PV311" i="1"/>
  <c r="PX311" i="1" s="1"/>
  <c r="PV312" i="1"/>
  <c r="PX312" i="1" s="1"/>
  <c r="PV328" i="1"/>
  <c r="PX328" i="1" s="1"/>
  <c r="PV319" i="1"/>
  <c r="PX319" i="1" s="1"/>
  <c r="PV304" i="1"/>
  <c r="PX304" i="1" s="1"/>
  <c r="PV336" i="1"/>
  <c r="PX336" i="1" s="1"/>
  <c r="PV290" i="1"/>
  <c r="PV295" i="1"/>
  <c r="PX295" i="1" s="1"/>
  <c r="PV303" i="1"/>
  <c r="PX303" i="1" s="1"/>
  <c r="PV257" i="1"/>
  <c r="PX257" i="1" s="1"/>
  <c r="PV265" i="1"/>
  <c r="PX265" i="1" s="1"/>
  <c r="PV273" i="1"/>
  <c r="PV281" i="1"/>
  <c r="PX281" i="1" s="1"/>
  <c r="PV254" i="1"/>
  <c r="PV258" i="1"/>
  <c r="PX258" i="1" s="1"/>
  <c r="PV266" i="1"/>
  <c r="PX266" i="1" s="1"/>
  <c r="PV274" i="1"/>
  <c r="PX274" i="1" s="1"/>
  <c r="PV282" i="1"/>
  <c r="PX282" i="1" s="1"/>
  <c r="PV259" i="1"/>
  <c r="PX259" i="1" s="1"/>
  <c r="PV267" i="1"/>
  <c r="PX267" i="1" s="1"/>
  <c r="PV275" i="1"/>
  <c r="PX275" i="1" s="1"/>
  <c r="PV283" i="1"/>
  <c r="PX283" i="1" s="1"/>
  <c r="PV260" i="1"/>
  <c r="PX260" i="1" s="1"/>
  <c r="PV268" i="1"/>
  <c r="PX268" i="1" s="1"/>
  <c r="PV276" i="1"/>
  <c r="PX276" i="1" s="1"/>
  <c r="PV284" i="1"/>
  <c r="PX284" i="1" s="1"/>
  <c r="PV261" i="1"/>
  <c r="PX261" i="1" s="1"/>
  <c r="PV269" i="1"/>
  <c r="PX269" i="1" s="1"/>
  <c r="PV277" i="1"/>
  <c r="PX277" i="1" s="1"/>
  <c r="PV262" i="1"/>
  <c r="PX262" i="1" s="1"/>
  <c r="PV270" i="1"/>
  <c r="PX270" i="1" s="1"/>
  <c r="PV278" i="1"/>
  <c r="PX278" i="1" s="1"/>
  <c r="PV255" i="1"/>
  <c r="PX255" i="1" s="1"/>
  <c r="PV263" i="1"/>
  <c r="PX263" i="1" s="1"/>
  <c r="PV271" i="1"/>
  <c r="PX271" i="1" s="1"/>
  <c r="PV279" i="1"/>
  <c r="PX279" i="1" s="1"/>
  <c r="PV256" i="1"/>
  <c r="PX256" i="1" s="1"/>
  <c r="PV264" i="1"/>
  <c r="PX264" i="1" s="1"/>
  <c r="PV272" i="1"/>
  <c r="PV280" i="1"/>
  <c r="PX280" i="1" s="1"/>
  <c r="PV150" i="1"/>
  <c r="PX150" i="1" s="1"/>
  <c r="PV158" i="1"/>
  <c r="PX158" i="1" s="1"/>
  <c r="PV166" i="1"/>
  <c r="PX166" i="1" s="1"/>
  <c r="PV174" i="1"/>
  <c r="PX174" i="1" s="1"/>
  <c r="PV151" i="1"/>
  <c r="PX151" i="1" s="1"/>
  <c r="PV159" i="1"/>
  <c r="PX159" i="1" s="1"/>
  <c r="PV167" i="1"/>
  <c r="PX167" i="1" s="1"/>
  <c r="PV175" i="1"/>
  <c r="PX175" i="1" s="1"/>
  <c r="PV152" i="1"/>
  <c r="PX152" i="1" s="1"/>
  <c r="PV160" i="1"/>
  <c r="PX160" i="1" s="1"/>
  <c r="PV168" i="1"/>
  <c r="PX168" i="1" s="1"/>
  <c r="PV176" i="1"/>
  <c r="PX176" i="1" s="1"/>
  <c r="PV153" i="1"/>
  <c r="PX153" i="1" s="1"/>
  <c r="PV161" i="1"/>
  <c r="PX161" i="1" s="1"/>
  <c r="PV169" i="1"/>
  <c r="PX169" i="1" s="1"/>
  <c r="PV177" i="1"/>
  <c r="PX177" i="1" s="1"/>
  <c r="PV154" i="1"/>
  <c r="PX154" i="1" s="1"/>
  <c r="PV162" i="1"/>
  <c r="PX162" i="1" s="1"/>
  <c r="PV170" i="1"/>
  <c r="PX170" i="1" s="1"/>
  <c r="PV155" i="1"/>
  <c r="PX155" i="1" s="1"/>
  <c r="PV163" i="1"/>
  <c r="PX163" i="1" s="1"/>
  <c r="PV171" i="1"/>
  <c r="PV148" i="1"/>
  <c r="PX148" i="1" s="1"/>
  <c r="PV156" i="1"/>
  <c r="PX156" i="1" s="1"/>
  <c r="PV164" i="1"/>
  <c r="PX164" i="1" s="1"/>
  <c r="PV172" i="1"/>
  <c r="PV116" i="1"/>
  <c r="PX116" i="1" s="1"/>
  <c r="PV124" i="1"/>
  <c r="PX124" i="1" s="1"/>
  <c r="PV132" i="1"/>
  <c r="PX132" i="1" s="1"/>
  <c r="PV140" i="1"/>
  <c r="PX140" i="1" s="1"/>
  <c r="PV117" i="1"/>
  <c r="PX117" i="1" s="1"/>
  <c r="PV125" i="1"/>
  <c r="PX125" i="1" s="1"/>
  <c r="PV133" i="1"/>
  <c r="PX133" i="1" s="1"/>
  <c r="PV141" i="1"/>
  <c r="PX141" i="1" s="1"/>
  <c r="PV149" i="1"/>
  <c r="PX149" i="1" s="1"/>
  <c r="PV118" i="1"/>
  <c r="PX118" i="1" s="1"/>
  <c r="PV126" i="1"/>
  <c r="PX126" i="1" s="1"/>
  <c r="PV134" i="1"/>
  <c r="PX134" i="1" s="1"/>
  <c r="PV112" i="1"/>
  <c r="PX112" i="1" s="1"/>
  <c r="PV157" i="1"/>
  <c r="PX157" i="1" s="1"/>
  <c r="PV119" i="1"/>
  <c r="PX119" i="1" s="1"/>
  <c r="PV127" i="1"/>
  <c r="PX127" i="1" s="1"/>
  <c r="PV135" i="1"/>
  <c r="PX135" i="1" s="1"/>
  <c r="PV165" i="1"/>
  <c r="PX165" i="1" s="1"/>
  <c r="PV120" i="1"/>
  <c r="PX120" i="1" s="1"/>
  <c r="PV128" i="1"/>
  <c r="PX128" i="1" s="1"/>
  <c r="PV136" i="1"/>
  <c r="PX136" i="1" s="1"/>
  <c r="PV173" i="1"/>
  <c r="PX173" i="1" s="1"/>
  <c r="PV113" i="1"/>
  <c r="PX113" i="1" s="1"/>
  <c r="PV121" i="1"/>
  <c r="PX121" i="1" s="1"/>
  <c r="PV129" i="1"/>
  <c r="PX129" i="1" s="1"/>
  <c r="PV137" i="1"/>
  <c r="PV114" i="1"/>
  <c r="PX114" i="1" s="1"/>
  <c r="PV122" i="1"/>
  <c r="PX122" i="1" s="1"/>
  <c r="PV130" i="1"/>
  <c r="PX130" i="1" s="1"/>
  <c r="PV138" i="1"/>
  <c r="PV139" i="1"/>
  <c r="PX139" i="1" s="1"/>
  <c r="PV131" i="1"/>
  <c r="PX131" i="1" s="1"/>
  <c r="PV115" i="1"/>
  <c r="PV123" i="1"/>
  <c r="PX123" i="1" s="1"/>
  <c r="PV79" i="1"/>
  <c r="PX79" i="1" s="1"/>
  <c r="PV87" i="1"/>
  <c r="PX87" i="1" s="1"/>
  <c r="PV95" i="1"/>
  <c r="PX95" i="1" s="1"/>
  <c r="PV103" i="1"/>
  <c r="PX103" i="1" s="1"/>
  <c r="PV80" i="1"/>
  <c r="PX80" i="1" s="1"/>
  <c r="PV88" i="1"/>
  <c r="PX88" i="1" s="1"/>
  <c r="PV96" i="1"/>
  <c r="PX96" i="1" s="1"/>
  <c r="PV104" i="1"/>
  <c r="PV81" i="1"/>
  <c r="PX81" i="1" s="1"/>
  <c r="PV89" i="1"/>
  <c r="PX89" i="1" s="1"/>
  <c r="PV97" i="1"/>
  <c r="PX97" i="1" s="1"/>
  <c r="PV105" i="1"/>
  <c r="PV82" i="1"/>
  <c r="PX82" i="1" s="1"/>
  <c r="PV90" i="1"/>
  <c r="PX90" i="1" s="1"/>
  <c r="PV98" i="1"/>
  <c r="PX98" i="1" s="1"/>
  <c r="PV106" i="1"/>
  <c r="PX106" i="1" s="1"/>
  <c r="PV83" i="1"/>
  <c r="PX83" i="1" s="1"/>
  <c r="PV91" i="1"/>
  <c r="PX91" i="1" s="1"/>
  <c r="PV99" i="1"/>
  <c r="PX99" i="1" s="1"/>
  <c r="PV76" i="1"/>
  <c r="PV84" i="1"/>
  <c r="PX84" i="1" s="1"/>
  <c r="PV92" i="1"/>
  <c r="PX92" i="1" s="1"/>
  <c r="PV100" i="1"/>
  <c r="PX100" i="1" s="1"/>
  <c r="PV77" i="1"/>
  <c r="PX77" i="1" s="1"/>
  <c r="PV85" i="1"/>
  <c r="PX85" i="1" s="1"/>
  <c r="PV93" i="1"/>
  <c r="PX93" i="1" s="1"/>
  <c r="PV101" i="1"/>
  <c r="PX101" i="1" s="1"/>
  <c r="PV78" i="1"/>
  <c r="PX78" i="1" s="1"/>
  <c r="PV86" i="1"/>
  <c r="PX86" i="1" s="1"/>
  <c r="PV94" i="1"/>
  <c r="PX94" i="1" s="1"/>
  <c r="PV102" i="1"/>
  <c r="PX102" i="1" s="1"/>
  <c r="PM400" i="1"/>
  <c r="PO400" i="1" s="1"/>
  <c r="PM408" i="1"/>
  <c r="PO408" i="1" s="1"/>
  <c r="PM416" i="1"/>
  <c r="PO416" i="1" s="1"/>
  <c r="PM424" i="1"/>
  <c r="PO424" i="1" s="1"/>
  <c r="PM401" i="1"/>
  <c r="PO401" i="1" s="1"/>
  <c r="PM409" i="1"/>
  <c r="PO409" i="1" s="1"/>
  <c r="PM417" i="1"/>
  <c r="PO417" i="1" s="1"/>
  <c r="PM425" i="1"/>
  <c r="PO425" i="1" s="1"/>
  <c r="PM402" i="1"/>
  <c r="PO402" i="1" s="1"/>
  <c r="PM410" i="1"/>
  <c r="PO410" i="1" s="1"/>
  <c r="PM418" i="1"/>
  <c r="PO418" i="1" s="1"/>
  <c r="PM426" i="1"/>
  <c r="PO426" i="1" s="1"/>
  <c r="PM403" i="1"/>
  <c r="PO403" i="1" s="1"/>
  <c r="PM411" i="1"/>
  <c r="PO411" i="1" s="1"/>
  <c r="PM419" i="1"/>
  <c r="PO419" i="1" s="1"/>
  <c r="PM396" i="1"/>
  <c r="PM404" i="1"/>
  <c r="PO404" i="1" s="1"/>
  <c r="PM412" i="1"/>
  <c r="PO412" i="1" s="1"/>
  <c r="PM420" i="1"/>
  <c r="PO420" i="1" s="1"/>
  <c r="PM397" i="1"/>
  <c r="PO397" i="1" s="1"/>
  <c r="PM405" i="1"/>
  <c r="PO405" i="1" s="1"/>
  <c r="PM413" i="1"/>
  <c r="PO413" i="1" s="1"/>
  <c r="PM421" i="1"/>
  <c r="PO421" i="1" s="1"/>
  <c r="PM398" i="1"/>
  <c r="PO398" i="1" s="1"/>
  <c r="PM406" i="1"/>
  <c r="PO406" i="1" s="1"/>
  <c r="PM414" i="1"/>
  <c r="PO414" i="1" s="1"/>
  <c r="PM422" i="1"/>
  <c r="PO422" i="1" s="1"/>
  <c r="PM399" i="1"/>
  <c r="PO399" i="1" s="1"/>
  <c r="PM407" i="1"/>
  <c r="PO407" i="1" s="1"/>
  <c r="PM415" i="1"/>
  <c r="PO415" i="1" s="1"/>
  <c r="PM423" i="1"/>
  <c r="PO423" i="1" s="1"/>
  <c r="PM366" i="1"/>
  <c r="PO366" i="1" s="1"/>
  <c r="PM374" i="1"/>
  <c r="PO374" i="1" s="1"/>
  <c r="PM382" i="1"/>
  <c r="PO382" i="1" s="1"/>
  <c r="PM390" i="1"/>
  <c r="PO390" i="1" s="1"/>
  <c r="PM367" i="1"/>
  <c r="PO367" i="1" s="1"/>
  <c r="PM375" i="1"/>
  <c r="PO375" i="1" s="1"/>
  <c r="PM383" i="1"/>
  <c r="PO383" i="1" s="1"/>
  <c r="PM361" i="1"/>
  <c r="PM368" i="1"/>
  <c r="PO368" i="1" s="1"/>
  <c r="PM376" i="1"/>
  <c r="PO376" i="1" s="1"/>
  <c r="PM384" i="1"/>
  <c r="PO384" i="1" s="1"/>
  <c r="PM369" i="1"/>
  <c r="PO369" i="1" s="1"/>
  <c r="PM377" i="1"/>
  <c r="PO377" i="1" s="1"/>
  <c r="PM385" i="1"/>
  <c r="PO385" i="1" s="1"/>
  <c r="PM362" i="1"/>
  <c r="PO362" i="1" s="1"/>
  <c r="PM370" i="1"/>
  <c r="PO370" i="1" s="1"/>
  <c r="PM378" i="1"/>
  <c r="PO378" i="1" s="1"/>
  <c r="PM386" i="1"/>
  <c r="PO386" i="1" s="1"/>
  <c r="PM363" i="1"/>
  <c r="PO363" i="1" s="1"/>
  <c r="PM371" i="1"/>
  <c r="PO371" i="1" s="1"/>
  <c r="PM379" i="1"/>
  <c r="PO379" i="1" s="1"/>
  <c r="PM387" i="1"/>
  <c r="PO387" i="1" s="1"/>
  <c r="PM364" i="1"/>
  <c r="PO364" i="1" s="1"/>
  <c r="PM372" i="1"/>
  <c r="PM380" i="1"/>
  <c r="PO380" i="1" s="1"/>
  <c r="PM388" i="1"/>
  <c r="PO388" i="1" s="1"/>
  <c r="PM389" i="1"/>
  <c r="PO389" i="1" s="1"/>
  <c r="PM330" i="1"/>
  <c r="PO330" i="1" s="1"/>
  <c r="PM338" i="1"/>
  <c r="PO338" i="1" s="1"/>
  <c r="PM346" i="1"/>
  <c r="PO346" i="1" s="1"/>
  <c r="PM354" i="1"/>
  <c r="PO354" i="1" s="1"/>
  <c r="PM331" i="1"/>
  <c r="PO331" i="1" s="1"/>
  <c r="PM339" i="1"/>
  <c r="PM347" i="1"/>
  <c r="PO347" i="1" s="1"/>
  <c r="PM355" i="1"/>
  <c r="PO355" i="1" s="1"/>
  <c r="PM332" i="1"/>
  <c r="PO332" i="1" s="1"/>
  <c r="PM340" i="1"/>
  <c r="PM348" i="1"/>
  <c r="PO348" i="1" s="1"/>
  <c r="PM325" i="1"/>
  <c r="PM333" i="1"/>
  <c r="PO333" i="1" s="1"/>
  <c r="PM341" i="1"/>
  <c r="PO341" i="1" s="1"/>
  <c r="PM349" i="1"/>
  <c r="PO349" i="1" s="1"/>
  <c r="PM326" i="1"/>
  <c r="PO326" i="1" s="1"/>
  <c r="PM334" i="1"/>
  <c r="PO334" i="1" s="1"/>
  <c r="PM342" i="1"/>
  <c r="PO342" i="1" s="1"/>
  <c r="PM350" i="1"/>
  <c r="PO350" i="1" s="1"/>
  <c r="PM365" i="1"/>
  <c r="PO365" i="1" s="1"/>
  <c r="PM327" i="1"/>
  <c r="PO327" i="1" s="1"/>
  <c r="PM335" i="1"/>
  <c r="PO335" i="1" s="1"/>
  <c r="PM343" i="1"/>
  <c r="PO343" i="1" s="1"/>
  <c r="PM351" i="1"/>
  <c r="PO351" i="1" s="1"/>
  <c r="PM373" i="1"/>
  <c r="PM328" i="1"/>
  <c r="PO328" i="1" s="1"/>
  <c r="PM336" i="1"/>
  <c r="PO336" i="1" s="1"/>
  <c r="PM344" i="1"/>
  <c r="PO344" i="1" s="1"/>
  <c r="PM352" i="1"/>
  <c r="PO352" i="1" s="1"/>
  <c r="PM291" i="1"/>
  <c r="PO291" i="1" s="1"/>
  <c r="PM299" i="1"/>
  <c r="PO299" i="1" s="1"/>
  <c r="PM307" i="1"/>
  <c r="PO307" i="1" s="1"/>
  <c r="PM315" i="1"/>
  <c r="PO315" i="1" s="1"/>
  <c r="PM381" i="1"/>
  <c r="PO381" i="1" s="1"/>
  <c r="PM292" i="1"/>
  <c r="PO292" i="1" s="1"/>
  <c r="PM300" i="1"/>
  <c r="PO300" i="1" s="1"/>
  <c r="PM308" i="1"/>
  <c r="PO308" i="1" s="1"/>
  <c r="PM316" i="1"/>
  <c r="PO316" i="1" s="1"/>
  <c r="PM329" i="1"/>
  <c r="PO329" i="1" s="1"/>
  <c r="PM293" i="1"/>
  <c r="PO293" i="1" s="1"/>
  <c r="PM301" i="1"/>
  <c r="PO301" i="1" s="1"/>
  <c r="PM309" i="1"/>
  <c r="PO309" i="1" s="1"/>
  <c r="PM317" i="1"/>
  <c r="PO317" i="1" s="1"/>
  <c r="PM337" i="1"/>
  <c r="PO337" i="1" s="1"/>
  <c r="PM294" i="1"/>
  <c r="PO294" i="1" s="1"/>
  <c r="PM302" i="1"/>
  <c r="PO302" i="1" s="1"/>
  <c r="PM310" i="1"/>
  <c r="PO310" i="1" s="1"/>
  <c r="PM318" i="1"/>
  <c r="PO318" i="1" s="1"/>
  <c r="PM345" i="1"/>
  <c r="PO345" i="1" s="1"/>
  <c r="PM295" i="1"/>
  <c r="PO295" i="1" s="1"/>
  <c r="PM303" i="1"/>
  <c r="PO303" i="1" s="1"/>
  <c r="PM311" i="1"/>
  <c r="PO311" i="1" s="1"/>
  <c r="PM319" i="1"/>
  <c r="PO319" i="1" s="1"/>
  <c r="PM353" i="1"/>
  <c r="PO353" i="1" s="1"/>
  <c r="PM296" i="1"/>
  <c r="PO296" i="1" s="1"/>
  <c r="PM304" i="1"/>
  <c r="PO304" i="1" s="1"/>
  <c r="PM312" i="1"/>
  <c r="PO312" i="1" s="1"/>
  <c r="PM290" i="1"/>
  <c r="PM313" i="1"/>
  <c r="PO313" i="1" s="1"/>
  <c r="PM314" i="1"/>
  <c r="PO314" i="1" s="1"/>
  <c r="PM297" i="1"/>
  <c r="PO297" i="1" s="1"/>
  <c r="PM306" i="1"/>
  <c r="PM298" i="1"/>
  <c r="PO298" i="1" s="1"/>
  <c r="PM305" i="1"/>
  <c r="PM261" i="1"/>
  <c r="PO261" i="1" s="1"/>
  <c r="PM269" i="1"/>
  <c r="PO269" i="1" s="1"/>
  <c r="PM277" i="1"/>
  <c r="PO277" i="1" s="1"/>
  <c r="PM262" i="1"/>
  <c r="PO262" i="1" s="1"/>
  <c r="PM270" i="1"/>
  <c r="PO270" i="1" s="1"/>
  <c r="PM278" i="1"/>
  <c r="PO278" i="1" s="1"/>
  <c r="PM254" i="1"/>
  <c r="PM255" i="1"/>
  <c r="PO255" i="1" s="1"/>
  <c r="PM263" i="1"/>
  <c r="PO263" i="1" s="1"/>
  <c r="PM271" i="1"/>
  <c r="PO271" i="1" s="1"/>
  <c r="PM279" i="1"/>
  <c r="PO279" i="1" s="1"/>
  <c r="PM256" i="1"/>
  <c r="PO256" i="1" s="1"/>
  <c r="PM264" i="1"/>
  <c r="PO264" i="1" s="1"/>
  <c r="PM272" i="1"/>
  <c r="PM280" i="1"/>
  <c r="PO280" i="1" s="1"/>
  <c r="PM257" i="1"/>
  <c r="PO257" i="1" s="1"/>
  <c r="PM265" i="1"/>
  <c r="PO265" i="1" s="1"/>
  <c r="PM273" i="1"/>
  <c r="PM281" i="1"/>
  <c r="PO281" i="1" s="1"/>
  <c r="PM258" i="1"/>
  <c r="PO258" i="1" s="1"/>
  <c r="PM266" i="1"/>
  <c r="PO266" i="1" s="1"/>
  <c r="PM274" i="1"/>
  <c r="PO274" i="1" s="1"/>
  <c r="PM282" i="1"/>
  <c r="PO282" i="1" s="1"/>
  <c r="PM259" i="1"/>
  <c r="PO259" i="1" s="1"/>
  <c r="PM267" i="1"/>
  <c r="PO267" i="1" s="1"/>
  <c r="PM275" i="1"/>
  <c r="PO275" i="1" s="1"/>
  <c r="PM283" i="1"/>
  <c r="PO283" i="1" s="1"/>
  <c r="PM260" i="1"/>
  <c r="PO260" i="1" s="1"/>
  <c r="PM268" i="1"/>
  <c r="PO268" i="1" s="1"/>
  <c r="PM276" i="1"/>
  <c r="PO276" i="1" s="1"/>
  <c r="PM284" i="1"/>
  <c r="PO284" i="1" s="1"/>
  <c r="PM151" i="1"/>
  <c r="PO151" i="1" s="1"/>
  <c r="PM159" i="1"/>
  <c r="PO159" i="1" s="1"/>
  <c r="PM167" i="1"/>
  <c r="PO167" i="1" s="1"/>
  <c r="PM175" i="1"/>
  <c r="PO175" i="1" s="1"/>
  <c r="PM152" i="1"/>
  <c r="PO152" i="1" s="1"/>
  <c r="PM160" i="1"/>
  <c r="PO160" i="1" s="1"/>
  <c r="PM168" i="1"/>
  <c r="PO168" i="1" s="1"/>
  <c r="PM176" i="1"/>
  <c r="PO176" i="1" s="1"/>
  <c r="PM153" i="1"/>
  <c r="PO153" i="1" s="1"/>
  <c r="PM161" i="1"/>
  <c r="PO161" i="1" s="1"/>
  <c r="PM169" i="1"/>
  <c r="PO169" i="1" s="1"/>
  <c r="PM177" i="1"/>
  <c r="PO177" i="1" s="1"/>
  <c r="PM154" i="1"/>
  <c r="PO154" i="1" s="1"/>
  <c r="PM162" i="1"/>
  <c r="PO162" i="1" s="1"/>
  <c r="PM170" i="1"/>
  <c r="PO170" i="1" s="1"/>
  <c r="PM155" i="1"/>
  <c r="PO155" i="1" s="1"/>
  <c r="PM163" i="1"/>
  <c r="PO163" i="1" s="1"/>
  <c r="PM171" i="1"/>
  <c r="PM148" i="1"/>
  <c r="PO148" i="1" s="1"/>
  <c r="PM156" i="1"/>
  <c r="PO156" i="1" s="1"/>
  <c r="PM164" i="1"/>
  <c r="PO164" i="1" s="1"/>
  <c r="PM172" i="1"/>
  <c r="PM149" i="1"/>
  <c r="PO149" i="1" s="1"/>
  <c r="PM157" i="1"/>
  <c r="PO157" i="1" s="1"/>
  <c r="PM165" i="1"/>
  <c r="PO165" i="1" s="1"/>
  <c r="PM173" i="1"/>
  <c r="PO173" i="1" s="1"/>
  <c r="PM166" i="1"/>
  <c r="PO166" i="1" s="1"/>
  <c r="PM118" i="1"/>
  <c r="PO118" i="1" s="1"/>
  <c r="PM126" i="1"/>
  <c r="PO126" i="1" s="1"/>
  <c r="PM134" i="1"/>
  <c r="PO134" i="1" s="1"/>
  <c r="PM112" i="1"/>
  <c r="PM174" i="1"/>
  <c r="PO174" i="1" s="1"/>
  <c r="PM119" i="1"/>
  <c r="PO119" i="1" s="1"/>
  <c r="PM127" i="1"/>
  <c r="PO127" i="1" s="1"/>
  <c r="PM135" i="1"/>
  <c r="PO135" i="1" s="1"/>
  <c r="PM120" i="1"/>
  <c r="PO120" i="1" s="1"/>
  <c r="PM128" i="1"/>
  <c r="PO128" i="1" s="1"/>
  <c r="PM136" i="1"/>
  <c r="PO136" i="1" s="1"/>
  <c r="PM113" i="1"/>
  <c r="PO113" i="1" s="1"/>
  <c r="PM121" i="1"/>
  <c r="PO121" i="1" s="1"/>
  <c r="PM129" i="1"/>
  <c r="PO129" i="1" s="1"/>
  <c r="PM137" i="1"/>
  <c r="PM114" i="1"/>
  <c r="PO114" i="1" s="1"/>
  <c r="PM122" i="1"/>
  <c r="PO122" i="1" s="1"/>
  <c r="PM130" i="1"/>
  <c r="PO130" i="1" s="1"/>
  <c r="PM138" i="1"/>
  <c r="PM115" i="1"/>
  <c r="PO115" i="1" s="1"/>
  <c r="PM123" i="1"/>
  <c r="PO123" i="1" s="1"/>
  <c r="PM131" i="1"/>
  <c r="PO131" i="1" s="1"/>
  <c r="PM139" i="1"/>
  <c r="PO139" i="1" s="1"/>
  <c r="PM150" i="1"/>
  <c r="PO150" i="1" s="1"/>
  <c r="PM116" i="1"/>
  <c r="PO116" i="1" s="1"/>
  <c r="PM124" i="1"/>
  <c r="PO124" i="1" s="1"/>
  <c r="PM132" i="1"/>
  <c r="PO132" i="1" s="1"/>
  <c r="PM140" i="1"/>
  <c r="PO140" i="1" s="1"/>
  <c r="PM117" i="1"/>
  <c r="PO117" i="1" s="1"/>
  <c r="PM125" i="1"/>
  <c r="PO125" i="1" s="1"/>
  <c r="PM133" i="1"/>
  <c r="PO133" i="1" s="1"/>
  <c r="PM141" i="1"/>
  <c r="PO141" i="1" s="1"/>
  <c r="PM158" i="1"/>
  <c r="PO158" i="1" s="1"/>
  <c r="PM80" i="1"/>
  <c r="PO80" i="1" s="1"/>
  <c r="PM88" i="1"/>
  <c r="PO88" i="1" s="1"/>
  <c r="PM96" i="1"/>
  <c r="PO96" i="1" s="1"/>
  <c r="PM104" i="1"/>
  <c r="PM81" i="1"/>
  <c r="PO81" i="1" s="1"/>
  <c r="PM89" i="1"/>
  <c r="PO89" i="1" s="1"/>
  <c r="PM97" i="1"/>
  <c r="PO97" i="1" s="1"/>
  <c r="PM105" i="1"/>
  <c r="PM82" i="1"/>
  <c r="PO82" i="1" s="1"/>
  <c r="PM90" i="1"/>
  <c r="PO90" i="1" s="1"/>
  <c r="PM98" i="1"/>
  <c r="PO98" i="1" s="1"/>
  <c r="PM106" i="1"/>
  <c r="PO106" i="1" s="1"/>
  <c r="PM83" i="1"/>
  <c r="PO83" i="1" s="1"/>
  <c r="PM91" i="1"/>
  <c r="PO91" i="1" s="1"/>
  <c r="PM99" i="1"/>
  <c r="PO99" i="1" s="1"/>
  <c r="PM76" i="1"/>
  <c r="PM84" i="1"/>
  <c r="PO84" i="1" s="1"/>
  <c r="PM92" i="1"/>
  <c r="PO92" i="1" s="1"/>
  <c r="PM100" i="1"/>
  <c r="PO100" i="1" s="1"/>
  <c r="PM77" i="1"/>
  <c r="PO77" i="1" s="1"/>
  <c r="PM85" i="1"/>
  <c r="PO85" i="1" s="1"/>
  <c r="PM93" i="1"/>
  <c r="PO93" i="1" s="1"/>
  <c r="PM101" i="1"/>
  <c r="PO101" i="1" s="1"/>
  <c r="PM78" i="1"/>
  <c r="PO78" i="1" s="1"/>
  <c r="PM86" i="1"/>
  <c r="PO86" i="1" s="1"/>
  <c r="PM94" i="1"/>
  <c r="PO94" i="1" s="1"/>
  <c r="PM102" i="1"/>
  <c r="PO102" i="1" s="1"/>
  <c r="PM79" i="1"/>
  <c r="PO79" i="1" s="1"/>
  <c r="PM87" i="1"/>
  <c r="PO87" i="1" s="1"/>
  <c r="PM95" i="1"/>
  <c r="PO95" i="1" s="1"/>
  <c r="PM103" i="1"/>
  <c r="PO103" i="1" s="1"/>
  <c r="OU402" i="1"/>
  <c r="OW402" i="1" s="1"/>
  <c r="OU410" i="1"/>
  <c r="OW410" i="1" s="1"/>
  <c r="OU418" i="1"/>
  <c r="OW418" i="1" s="1"/>
  <c r="OU426" i="1"/>
  <c r="OW426" i="1" s="1"/>
  <c r="OU403" i="1"/>
  <c r="OW403" i="1" s="1"/>
  <c r="OU411" i="1"/>
  <c r="OW411" i="1" s="1"/>
  <c r="OU419" i="1"/>
  <c r="OW419" i="1" s="1"/>
  <c r="OU396" i="1"/>
  <c r="OU404" i="1"/>
  <c r="OW404" i="1" s="1"/>
  <c r="OU412" i="1"/>
  <c r="OW412" i="1" s="1"/>
  <c r="OU420" i="1"/>
  <c r="OW420" i="1" s="1"/>
  <c r="OU397" i="1"/>
  <c r="OW397" i="1" s="1"/>
  <c r="OU405" i="1"/>
  <c r="OW405" i="1" s="1"/>
  <c r="OU413" i="1"/>
  <c r="OW413" i="1" s="1"/>
  <c r="OU421" i="1"/>
  <c r="OW421" i="1" s="1"/>
  <c r="OU398" i="1"/>
  <c r="OW398" i="1" s="1"/>
  <c r="OU406" i="1"/>
  <c r="OW406" i="1" s="1"/>
  <c r="OU414" i="1"/>
  <c r="OW414" i="1" s="1"/>
  <c r="OU422" i="1"/>
  <c r="OW422" i="1" s="1"/>
  <c r="OU399" i="1"/>
  <c r="OW399" i="1" s="1"/>
  <c r="OU407" i="1"/>
  <c r="OW407" i="1" s="1"/>
  <c r="OU415" i="1"/>
  <c r="OW415" i="1" s="1"/>
  <c r="OU423" i="1"/>
  <c r="OW423" i="1" s="1"/>
  <c r="OU400" i="1"/>
  <c r="OW400" i="1" s="1"/>
  <c r="OU408" i="1"/>
  <c r="OW408" i="1" s="1"/>
  <c r="OU416" i="1"/>
  <c r="OW416" i="1" s="1"/>
  <c r="OU424" i="1"/>
  <c r="OW424" i="1" s="1"/>
  <c r="OU401" i="1"/>
  <c r="OW401" i="1" s="1"/>
  <c r="OU409" i="1"/>
  <c r="OW409" i="1" s="1"/>
  <c r="OU417" i="1"/>
  <c r="OW417" i="1" s="1"/>
  <c r="OU425" i="1"/>
  <c r="OW425" i="1" s="1"/>
  <c r="OU362" i="1"/>
  <c r="OW362" i="1" s="1"/>
  <c r="OU370" i="1"/>
  <c r="OW370" i="1" s="1"/>
  <c r="OU378" i="1"/>
  <c r="OW378" i="1" s="1"/>
  <c r="OU386" i="1"/>
  <c r="OW386" i="1" s="1"/>
  <c r="OU363" i="1"/>
  <c r="OW363" i="1" s="1"/>
  <c r="OU371" i="1"/>
  <c r="OW371" i="1" s="1"/>
  <c r="OU379" i="1"/>
  <c r="OW379" i="1" s="1"/>
  <c r="OU387" i="1"/>
  <c r="OW387" i="1" s="1"/>
  <c r="OU364" i="1"/>
  <c r="OW364" i="1" s="1"/>
  <c r="OU372" i="1"/>
  <c r="OU380" i="1"/>
  <c r="OW380" i="1" s="1"/>
  <c r="OU388" i="1"/>
  <c r="OW388" i="1" s="1"/>
  <c r="OU365" i="1"/>
  <c r="OW365" i="1" s="1"/>
  <c r="OU373" i="1"/>
  <c r="OU381" i="1"/>
  <c r="OW381" i="1" s="1"/>
  <c r="OU389" i="1"/>
  <c r="OW389" i="1" s="1"/>
  <c r="OU366" i="1"/>
  <c r="OW366" i="1" s="1"/>
  <c r="OU374" i="1"/>
  <c r="OW374" i="1" s="1"/>
  <c r="OU382" i="1"/>
  <c r="OW382" i="1" s="1"/>
  <c r="OU390" i="1"/>
  <c r="OW390" i="1" s="1"/>
  <c r="OU367" i="1"/>
  <c r="OW367" i="1" s="1"/>
  <c r="OU375" i="1"/>
  <c r="OW375" i="1" s="1"/>
  <c r="OU383" i="1"/>
  <c r="OW383" i="1" s="1"/>
  <c r="OU361" i="1"/>
  <c r="OW361" i="1" s="1"/>
  <c r="OU368" i="1"/>
  <c r="OW368" i="1" s="1"/>
  <c r="OU376" i="1"/>
  <c r="OW376" i="1" s="1"/>
  <c r="OU384" i="1"/>
  <c r="OW384" i="1" s="1"/>
  <c r="OU332" i="1"/>
  <c r="OW332" i="1" s="1"/>
  <c r="OU340" i="1"/>
  <c r="OU348" i="1"/>
  <c r="OW348" i="1" s="1"/>
  <c r="OU325" i="1"/>
  <c r="OW325" i="1" s="1"/>
  <c r="OU333" i="1"/>
  <c r="OW333" i="1" s="1"/>
  <c r="OU341" i="1"/>
  <c r="OW341" i="1" s="1"/>
  <c r="OU349" i="1"/>
  <c r="OW349" i="1" s="1"/>
  <c r="OU326" i="1"/>
  <c r="OW326" i="1" s="1"/>
  <c r="OU334" i="1"/>
  <c r="OW334" i="1" s="1"/>
  <c r="OU342" i="1"/>
  <c r="OW342" i="1" s="1"/>
  <c r="OU350" i="1"/>
  <c r="OW350" i="1" s="1"/>
  <c r="OU327" i="1"/>
  <c r="OW327" i="1" s="1"/>
  <c r="OU335" i="1"/>
  <c r="OW335" i="1" s="1"/>
  <c r="OU343" i="1"/>
  <c r="OW343" i="1" s="1"/>
  <c r="OU351" i="1"/>
  <c r="OW351" i="1" s="1"/>
  <c r="OU328" i="1"/>
  <c r="OW328" i="1" s="1"/>
  <c r="OU336" i="1"/>
  <c r="OW336" i="1" s="1"/>
  <c r="OU344" i="1"/>
  <c r="OW344" i="1" s="1"/>
  <c r="OU352" i="1"/>
  <c r="OW352" i="1" s="1"/>
  <c r="OU369" i="1"/>
  <c r="OW369" i="1" s="1"/>
  <c r="OU329" i="1"/>
  <c r="OW329" i="1" s="1"/>
  <c r="OU337" i="1"/>
  <c r="OW337" i="1" s="1"/>
  <c r="OU345" i="1"/>
  <c r="OW345" i="1" s="1"/>
  <c r="OU353" i="1"/>
  <c r="OW353" i="1" s="1"/>
  <c r="OU377" i="1"/>
  <c r="OW377" i="1" s="1"/>
  <c r="OU330" i="1"/>
  <c r="OW330" i="1" s="1"/>
  <c r="OU338" i="1"/>
  <c r="OW338" i="1" s="1"/>
  <c r="OU346" i="1"/>
  <c r="OW346" i="1" s="1"/>
  <c r="OU354" i="1"/>
  <c r="OW354" i="1" s="1"/>
  <c r="OU295" i="1"/>
  <c r="OW295" i="1" s="1"/>
  <c r="OU303" i="1"/>
  <c r="OW303" i="1" s="1"/>
  <c r="OU311" i="1"/>
  <c r="OW311" i="1" s="1"/>
  <c r="OU319" i="1"/>
  <c r="OW319" i="1" s="1"/>
  <c r="OU296" i="1"/>
  <c r="OW296" i="1" s="1"/>
  <c r="OU304" i="1"/>
  <c r="OW304" i="1" s="1"/>
  <c r="OU312" i="1"/>
  <c r="OW312" i="1" s="1"/>
  <c r="OU290" i="1"/>
  <c r="OW290" i="1" s="1"/>
  <c r="OU385" i="1"/>
  <c r="OW385" i="1" s="1"/>
  <c r="OU331" i="1"/>
  <c r="OW331" i="1" s="1"/>
  <c r="OU297" i="1"/>
  <c r="OW297" i="1" s="1"/>
  <c r="OU305" i="1"/>
  <c r="OU313" i="1"/>
  <c r="OW313" i="1" s="1"/>
  <c r="OU339" i="1"/>
  <c r="OU298" i="1"/>
  <c r="OW298" i="1" s="1"/>
  <c r="OU306" i="1"/>
  <c r="OU314" i="1"/>
  <c r="OW314" i="1" s="1"/>
  <c r="OU347" i="1"/>
  <c r="OW347" i="1" s="1"/>
  <c r="OU291" i="1"/>
  <c r="OW291" i="1" s="1"/>
  <c r="OU299" i="1"/>
  <c r="OW299" i="1" s="1"/>
  <c r="OU307" i="1"/>
  <c r="OW307" i="1" s="1"/>
  <c r="OU315" i="1"/>
  <c r="OW315" i="1" s="1"/>
  <c r="OU355" i="1"/>
  <c r="OW355" i="1" s="1"/>
  <c r="OU292" i="1"/>
  <c r="OW292" i="1" s="1"/>
  <c r="OU300" i="1"/>
  <c r="OW300" i="1" s="1"/>
  <c r="OU308" i="1"/>
  <c r="OW308" i="1" s="1"/>
  <c r="OU316" i="1"/>
  <c r="OW316" i="1" s="1"/>
  <c r="OU317" i="1"/>
  <c r="OW317" i="1" s="1"/>
  <c r="OU318" i="1"/>
  <c r="OW318" i="1" s="1"/>
  <c r="OU310" i="1"/>
  <c r="OW310" i="1" s="1"/>
  <c r="OU293" i="1"/>
  <c r="OW293" i="1" s="1"/>
  <c r="OU294" i="1"/>
  <c r="OW294" i="1" s="1"/>
  <c r="OU301" i="1"/>
  <c r="OW301" i="1" s="1"/>
  <c r="OU302" i="1"/>
  <c r="OW302" i="1" s="1"/>
  <c r="OU309" i="1"/>
  <c r="OW309" i="1" s="1"/>
  <c r="OU260" i="1"/>
  <c r="OW260" i="1" s="1"/>
  <c r="OU268" i="1"/>
  <c r="OW268" i="1" s="1"/>
  <c r="OU276" i="1"/>
  <c r="OW276" i="1" s="1"/>
  <c r="OU284" i="1"/>
  <c r="OW284" i="1" s="1"/>
  <c r="OU261" i="1"/>
  <c r="OW261" i="1" s="1"/>
  <c r="OU269" i="1"/>
  <c r="OW269" i="1" s="1"/>
  <c r="OU277" i="1"/>
  <c r="OW277" i="1" s="1"/>
  <c r="OU254" i="1"/>
  <c r="OW254" i="1" s="1"/>
  <c r="OU262" i="1"/>
  <c r="OW262" i="1" s="1"/>
  <c r="OU270" i="1"/>
  <c r="OW270" i="1" s="1"/>
  <c r="OU278" i="1"/>
  <c r="OW278" i="1" s="1"/>
  <c r="OU255" i="1"/>
  <c r="OW255" i="1" s="1"/>
  <c r="OU263" i="1"/>
  <c r="OW263" i="1" s="1"/>
  <c r="OU271" i="1"/>
  <c r="OW271" i="1" s="1"/>
  <c r="OU279" i="1"/>
  <c r="OW279" i="1" s="1"/>
  <c r="OU256" i="1"/>
  <c r="OW256" i="1" s="1"/>
  <c r="OU264" i="1"/>
  <c r="OW264" i="1" s="1"/>
  <c r="OU272" i="1"/>
  <c r="OU280" i="1"/>
  <c r="OW280" i="1" s="1"/>
  <c r="OU257" i="1"/>
  <c r="OW257" i="1" s="1"/>
  <c r="OU265" i="1"/>
  <c r="OW265" i="1" s="1"/>
  <c r="OU273" i="1"/>
  <c r="OU281" i="1"/>
  <c r="OW281" i="1" s="1"/>
  <c r="OU258" i="1"/>
  <c r="OW258" i="1" s="1"/>
  <c r="OU266" i="1"/>
  <c r="OW266" i="1" s="1"/>
  <c r="OU274" i="1"/>
  <c r="OW274" i="1" s="1"/>
  <c r="OU282" i="1"/>
  <c r="OW282" i="1" s="1"/>
  <c r="OU259" i="1"/>
  <c r="OW259" i="1" s="1"/>
  <c r="OU267" i="1"/>
  <c r="OW267" i="1" s="1"/>
  <c r="OU275" i="1"/>
  <c r="OW275" i="1" s="1"/>
  <c r="OU283" i="1"/>
  <c r="OW283" i="1" s="1"/>
  <c r="OU153" i="1"/>
  <c r="OW153" i="1" s="1"/>
  <c r="OU161" i="1"/>
  <c r="OW161" i="1" s="1"/>
  <c r="OU169" i="1"/>
  <c r="OW169" i="1" s="1"/>
  <c r="OU177" i="1"/>
  <c r="OW177" i="1" s="1"/>
  <c r="OU154" i="1"/>
  <c r="OW154" i="1" s="1"/>
  <c r="OU162" i="1"/>
  <c r="OW162" i="1" s="1"/>
  <c r="OU170" i="1"/>
  <c r="OW170" i="1" s="1"/>
  <c r="OU155" i="1"/>
  <c r="OW155" i="1" s="1"/>
  <c r="OU163" i="1"/>
  <c r="OW163" i="1" s="1"/>
  <c r="OU171" i="1"/>
  <c r="OU148" i="1"/>
  <c r="OW148" i="1" s="1"/>
  <c r="OU156" i="1"/>
  <c r="OW156" i="1" s="1"/>
  <c r="OU164" i="1"/>
  <c r="OW164" i="1" s="1"/>
  <c r="OU172" i="1"/>
  <c r="OU149" i="1"/>
  <c r="OW149" i="1" s="1"/>
  <c r="OU157" i="1"/>
  <c r="OW157" i="1" s="1"/>
  <c r="OU165" i="1"/>
  <c r="OW165" i="1" s="1"/>
  <c r="OU173" i="1"/>
  <c r="OW173" i="1" s="1"/>
  <c r="OU150" i="1"/>
  <c r="OW150" i="1" s="1"/>
  <c r="OU158" i="1"/>
  <c r="OW158" i="1" s="1"/>
  <c r="OU166" i="1"/>
  <c r="OW166" i="1" s="1"/>
  <c r="OU174" i="1"/>
  <c r="OW174" i="1" s="1"/>
  <c r="OU151" i="1"/>
  <c r="OW151" i="1" s="1"/>
  <c r="OU159" i="1"/>
  <c r="OW159" i="1" s="1"/>
  <c r="OU167" i="1"/>
  <c r="OW167" i="1" s="1"/>
  <c r="OU175" i="1"/>
  <c r="OW175" i="1" s="1"/>
  <c r="OU168" i="1"/>
  <c r="OW168" i="1" s="1"/>
  <c r="OU114" i="1"/>
  <c r="OW114" i="1" s="1"/>
  <c r="OU122" i="1"/>
  <c r="OW122" i="1" s="1"/>
  <c r="OU130" i="1"/>
  <c r="OW130" i="1" s="1"/>
  <c r="OU138" i="1"/>
  <c r="OU176" i="1"/>
  <c r="OW176" i="1" s="1"/>
  <c r="OU115" i="1"/>
  <c r="OW115" i="1" s="1"/>
  <c r="OU123" i="1"/>
  <c r="OW123" i="1" s="1"/>
  <c r="OU131" i="1"/>
  <c r="OW131" i="1" s="1"/>
  <c r="OU139" i="1"/>
  <c r="OW139" i="1" s="1"/>
  <c r="OU116" i="1"/>
  <c r="OW116" i="1" s="1"/>
  <c r="OU124" i="1"/>
  <c r="OW124" i="1" s="1"/>
  <c r="OU132" i="1"/>
  <c r="OW132" i="1" s="1"/>
  <c r="OU140" i="1"/>
  <c r="OW140" i="1" s="1"/>
  <c r="OU117" i="1"/>
  <c r="OW117" i="1" s="1"/>
  <c r="OU125" i="1"/>
  <c r="OW125" i="1" s="1"/>
  <c r="OU133" i="1"/>
  <c r="OW133" i="1" s="1"/>
  <c r="OU141" i="1"/>
  <c r="OW141" i="1" s="1"/>
  <c r="OU119" i="1"/>
  <c r="OW119" i="1" s="1"/>
  <c r="OU127" i="1"/>
  <c r="OW127" i="1" s="1"/>
  <c r="OU135" i="1"/>
  <c r="OW135" i="1" s="1"/>
  <c r="OU152" i="1"/>
  <c r="OW152" i="1" s="1"/>
  <c r="OU120" i="1"/>
  <c r="OW120" i="1" s="1"/>
  <c r="OU128" i="1"/>
  <c r="OW128" i="1" s="1"/>
  <c r="OU136" i="1"/>
  <c r="OW136" i="1" s="1"/>
  <c r="OU113" i="1"/>
  <c r="OW113" i="1" s="1"/>
  <c r="OU118" i="1"/>
  <c r="OW118" i="1" s="1"/>
  <c r="OU121" i="1"/>
  <c r="OW121" i="1" s="1"/>
  <c r="OU126" i="1"/>
  <c r="OW126" i="1" s="1"/>
  <c r="OU112" i="1"/>
  <c r="OW112" i="1" s="1"/>
  <c r="OU129" i="1"/>
  <c r="OW129" i="1" s="1"/>
  <c r="OU134" i="1"/>
  <c r="OW134" i="1" s="1"/>
  <c r="OU137" i="1"/>
  <c r="OU160" i="1"/>
  <c r="OW160" i="1" s="1"/>
  <c r="OU82" i="1"/>
  <c r="OW82" i="1" s="1"/>
  <c r="OU90" i="1"/>
  <c r="OW90" i="1" s="1"/>
  <c r="OU98" i="1"/>
  <c r="OW98" i="1" s="1"/>
  <c r="OU106" i="1"/>
  <c r="OW106" i="1" s="1"/>
  <c r="OU83" i="1"/>
  <c r="OW83" i="1" s="1"/>
  <c r="OU91" i="1"/>
  <c r="OW91" i="1" s="1"/>
  <c r="OU99" i="1"/>
  <c r="OW99" i="1" s="1"/>
  <c r="OU76" i="1"/>
  <c r="OW76" i="1" s="1"/>
  <c r="OU84" i="1"/>
  <c r="OW84" i="1" s="1"/>
  <c r="OU92" i="1"/>
  <c r="OW92" i="1" s="1"/>
  <c r="OU100" i="1"/>
  <c r="OW100" i="1" s="1"/>
  <c r="OU77" i="1"/>
  <c r="OW77" i="1" s="1"/>
  <c r="OU85" i="1"/>
  <c r="OW85" i="1" s="1"/>
  <c r="OU93" i="1"/>
  <c r="OW93" i="1" s="1"/>
  <c r="OU101" i="1"/>
  <c r="OW101" i="1" s="1"/>
  <c r="OU78" i="1"/>
  <c r="OW78" i="1" s="1"/>
  <c r="OU86" i="1"/>
  <c r="OW86" i="1" s="1"/>
  <c r="OU94" i="1"/>
  <c r="OW94" i="1" s="1"/>
  <c r="OU102" i="1"/>
  <c r="OW102" i="1" s="1"/>
  <c r="OU79" i="1"/>
  <c r="OW79" i="1" s="1"/>
  <c r="OU87" i="1"/>
  <c r="OW87" i="1" s="1"/>
  <c r="OU95" i="1"/>
  <c r="OW95" i="1" s="1"/>
  <c r="OU103" i="1"/>
  <c r="OW103" i="1" s="1"/>
  <c r="OU80" i="1"/>
  <c r="OW80" i="1" s="1"/>
  <c r="OU88" i="1"/>
  <c r="OW88" i="1" s="1"/>
  <c r="OU96" i="1"/>
  <c r="OW96" i="1" s="1"/>
  <c r="OU104" i="1"/>
  <c r="OU81" i="1"/>
  <c r="OW81" i="1" s="1"/>
  <c r="OU89" i="1"/>
  <c r="OW89" i="1" s="1"/>
  <c r="OU97" i="1"/>
  <c r="OW97" i="1" s="1"/>
  <c r="OU105" i="1"/>
  <c r="PD401" i="1"/>
  <c r="PF401" i="1" s="1"/>
  <c r="PD409" i="1"/>
  <c r="PF409" i="1" s="1"/>
  <c r="PD417" i="1"/>
  <c r="PF417" i="1" s="1"/>
  <c r="PD425" i="1"/>
  <c r="PF425" i="1" s="1"/>
  <c r="PD402" i="1"/>
  <c r="PF402" i="1" s="1"/>
  <c r="PD410" i="1"/>
  <c r="PF410" i="1" s="1"/>
  <c r="PD418" i="1"/>
  <c r="PF418" i="1" s="1"/>
  <c r="PD426" i="1"/>
  <c r="PF426" i="1" s="1"/>
  <c r="PD403" i="1"/>
  <c r="PF403" i="1" s="1"/>
  <c r="PD411" i="1"/>
  <c r="PF411" i="1" s="1"/>
  <c r="PD419" i="1"/>
  <c r="PF419" i="1" s="1"/>
  <c r="PD396" i="1"/>
  <c r="PD404" i="1"/>
  <c r="PF404" i="1" s="1"/>
  <c r="PD412" i="1"/>
  <c r="PF412" i="1" s="1"/>
  <c r="PD420" i="1"/>
  <c r="PF420" i="1" s="1"/>
  <c r="PD397" i="1"/>
  <c r="PF397" i="1" s="1"/>
  <c r="PD405" i="1"/>
  <c r="PF405" i="1" s="1"/>
  <c r="PD413" i="1"/>
  <c r="PF413" i="1" s="1"/>
  <c r="PD421" i="1"/>
  <c r="PF421" i="1" s="1"/>
  <c r="PD398" i="1"/>
  <c r="PF398" i="1" s="1"/>
  <c r="PD406" i="1"/>
  <c r="PF406" i="1" s="1"/>
  <c r="PD414" i="1"/>
  <c r="PF414" i="1" s="1"/>
  <c r="PD422" i="1"/>
  <c r="PF422" i="1" s="1"/>
  <c r="PD399" i="1"/>
  <c r="PF399" i="1" s="1"/>
  <c r="PD407" i="1"/>
  <c r="PF407" i="1" s="1"/>
  <c r="PD415" i="1"/>
  <c r="PF415" i="1" s="1"/>
  <c r="PD423" i="1"/>
  <c r="PF423" i="1" s="1"/>
  <c r="PD400" i="1"/>
  <c r="PF400" i="1" s="1"/>
  <c r="PD408" i="1"/>
  <c r="PF408" i="1" s="1"/>
  <c r="PD416" i="1"/>
  <c r="PF416" i="1" s="1"/>
  <c r="PD424" i="1"/>
  <c r="PF424" i="1" s="1"/>
  <c r="PD368" i="1"/>
  <c r="PF368" i="1" s="1"/>
  <c r="PD376" i="1"/>
  <c r="PF376" i="1" s="1"/>
  <c r="PD384" i="1"/>
  <c r="PF384" i="1" s="1"/>
  <c r="PD369" i="1"/>
  <c r="PF369" i="1" s="1"/>
  <c r="PD377" i="1"/>
  <c r="PF377" i="1" s="1"/>
  <c r="PD385" i="1"/>
  <c r="PF385" i="1" s="1"/>
  <c r="PD362" i="1"/>
  <c r="PF362" i="1" s="1"/>
  <c r="PD370" i="1"/>
  <c r="PF370" i="1" s="1"/>
  <c r="PD378" i="1"/>
  <c r="PF378" i="1" s="1"/>
  <c r="PD386" i="1"/>
  <c r="PF386" i="1" s="1"/>
  <c r="PD363" i="1"/>
  <c r="PF363" i="1" s="1"/>
  <c r="PD371" i="1"/>
  <c r="PF371" i="1" s="1"/>
  <c r="PD379" i="1"/>
  <c r="PF379" i="1" s="1"/>
  <c r="PD387" i="1"/>
  <c r="PF387" i="1" s="1"/>
  <c r="PD364" i="1"/>
  <c r="PF364" i="1" s="1"/>
  <c r="PD372" i="1"/>
  <c r="PD380" i="1"/>
  <c r="PF380" i="1" s="1"/>
  <c r="PD388" i="1"/>
  <c r="PF388" i="1" s="1"/>
  <c r="PD365" i="1"/>
  <c r="PF365" i="1" s="1"/>
  <c r="PD373" i="1"/>
  <c r="PD381" i="1"/>
  <c r="PF381" i="1" s="1"/>
  <c r="PD389" i="1"/>
  <c r="PF389" i="1" s="1"/>
  <c r="PD366" i="1"/>
  <c r="PF366" i="1" s="1"/>
  <c r="PD374" i="1"/>
  <c r="PF374" i="1" s="1"/>
  <c r="PD382" i="1"/>
  <c r="PF382" i="1" s="1"/>
  <c r="PD390" i="1"/>
  <c r="PF390" i="1" s="1"/>
  <c r="PD331" i="1"/>
  <c r="PF331" i="1" s="1"/>
  <c r="PD339" i="1"/>
  <c r="PD347" i="1"/>
  <c r="PF347" i="1" s="1"/>
  <c r="PD355" i="1"/>
  <c r="PF355" i="1" s="1"/>
  <c r="PD367" i="1"/>
  <c r="PF367" i="1" s="1"/>
  <c r="PD332" i="1"/>
  <c r="PF332" i="1" s="1"/>
  <c r="PD340" i="1"/>
  <c r="PD348" i="1"/>
  <c r="PF348" i="1" s="1"/>
  <c r="PD325" i="1"/>
  <c r="PD375" i="1"/>
  <c r="PF375" i="1" s="1"/>
  <c r="PD333" i="1"/>
  <c r="PF333" i="1" s="1"/>
  <c r="PD341" i="1"/>
  <c r="PF341" i="1" s="1"/>
  <c r="PD349" i="1"/>
  <c r="PF349" i="1" s="1"/>
  <c r="PD383" i="1"/>
  <c r="PF383" i="1" s="1"/>
  <c r="PD326" i="1"/>
  <c r="PF326" i="1" s="1"/>
  <c r="PD334" i="1"/>
  <c r="PF334" i="1" s="1"/>
  <c r="PD342" i="1"/>
  <c r="PF342" i="1" s="1"/>
  <c r="PD350" i="1"/>
  <c r="PF350" i="1" s="1"/>
  <c r="PD361" i="1"/>
  <c r="PD327" i="1"/>
  <c r="PF327" i="1" s="1"/>
  <c r="PD335" i="1"/>
  <c r="PF335" i="1" s="1"/>
  <c r="PD343" i="1"/>
  <c r="PF343" i="1" s="1"/>
  <c r="PD351" i="1"/>
  <c r="PF351" i="1" s="1"/>
  <c r="PD328" i="1"/>
  <c r="PF328" i="1" s="1"/>
  <c r="PD336" i="1"/>
  <c r="PF336" i="1" s="1"/>
  <c r="PD344" i="1"/>
  <c r="PF344" i="1" s="1"/>
  <c r="PD352" i="1"/>
  <c r="PF352" i="1" s="1"/>
  <c r="PD329" i="1"/>
  <c r="PF329" i="1" s="1"/>
  <c r="PD337" i="1"/>
  <c r="PF337" i="1" s="1"/>
  <c r="PD345" i="1"/>
  <c r="PF345" i="1" s="1"/>
  <c r="PD353" i="1"/>
  <c r="PF353" i="1" s="1"/>
  <c r="PD346" i="1"/>
  <c r="PF346" i="1" s="1"/>
  <c r="PD293" i="1"/>
  <c r="PF293" i="1" s="1"/>
  <c r="PD301" i="1"/>
  <c r="PF301" i="1" s="1"/>
  <c r="PD309" i="1"/>
  <c r="PF309" i="1" s="1"/>
  <c r="PD317" i="1"/>
  <c r="PF317" i="1" s="1"/>
  <c r="PD354" i="1"/>
  <c r="PF354" i="1" s="1"/>
  <c r="PD294" i="1"/>
  <c r="PF294" i="1" s="1"/>
  <c r="PD302" i="1"/>
  <c r="PF302" i="1" s="1"/>
  <c r="PD310" i="1"/>
  <c r="PF310" i="1" s="1"/>
  <c r="PD318" i="1"/>
  <c r="PF318" i="1" s="1"/>
  <c r="PD295" i="1"/>
  <c r="PF295" i="1" s="1"/>
  <c r="PD303" i="1"/>
  <c r="PF303" i="1" s="1"/>
  <c r="PD311" i="1"/>
  <c r="PF311" i="1" s="1"/>
  <c r="PD319" i="1"/>
  <c r="PF319" i="1" s="1"/>
  <c r="PD296" i="1"/>
  <c r="PF296" i="1" s="1"/>
  <c r="PD304" i="1"/>
  <c r="PF304" i="1" s="1"/>
  <c r="PD312" i="1"/>
  <c r="PF312" i="1" s="1"/>
  <c r="PD290" i="1"/>
  <c r="PD297" i="1"/>
  <c r="PF297" i="1" s="1"/>
  <c r="PD305" i="1"/>
  <c r="PD313" i="1"/>
  <c r="PF313" i="1" s="1"/>
  <c r="PD298" i="1"/>
  <c r="PF298" i="1" s="1"/>
  <c r="PD306" i="1"/>
  <c r="PD314" i="1"/>
  <c r="PF314" i="1" s="1"/>
  <c r="PD315" i="1"/>
  <c r="PF315" i="1" s="1"/>
  <c r="PD316" i="1"/>
  <c r="PF316" i="1" s="1"/>
  <c r="PD291" i="1"/>
  <c r="PF291" i="1" s="1"/>
  <c r="PD292" i="1"/>
  <c r="PF292" i="1" s="1"/>
  <c r="PD308" i="1"/>
  <c r="PF308" i="1" s="1"/>
  <c r="PD330" i="1"/>
  <c r="PF330" i="1" s="1"/>
  <c r="PD299" i="1"/>
  <c r="PF299" i="1" s="1"/>
  <c r="PD338" i="1"/>
  <c r="PF338" i="1" s="1"/>
  <c r="PD300" i="1"/>
  <c r="PF300" i="1" s="1"/>
  <c r="PD307" i="1"/>
  <c r="PF307" i="1" s="1"/>
  <c r="PD259" i="1"/>
  <c r="PF259" i="1" s="1"/>
  <c r="PD267" i="1"/>
  <c r="PF267" i="1" s="1"/>
  <c r="PD275" i="1"/>
  <c r="PF275" i="1" s="1"/>
  <c r="PD283" i="1"/>
  <c r="PF283" i="1" s="1"/>
  <c r="PD260" i="1"/>
  <c r="PF260" i="1" s="1"/>
  <c r="PD268" i="1"/>
  <c r="PF268" i="1" s="1"/>
  <c r="PD276" i="1"/>
  <c r="PF276" i="1" s="1"/>
  <c r="PD284" i="1"/>
  <c r="PF284" i="1" s="1"/>
  <c r="PD261" i="1"/>
  <c r="PF261" i="1" s="1"/>
  <c r="PD269" i="1"/>
  <c r="PF269" i="1" s="1"/>
  <c r="PD277" i="1"/>
  <c r="PF277" i="1" s="1"/>
  <c r="PD254" i="1"/>
  <c r="PF254" i="1" s="1"/>
  <c r="PD262" i="1"/>
  <c r="PF262" i="1" s="1"/>
  <c r="PD270" i="1"/>
  <c r="PF270" i="1" s="1"/>
  <c r="PD278" i="1"/>
  <c r="PF278" i="1" s="1"/>
  <c r="PD255" i="1"/>
  <c r="PF255" i="1" s="1"/>
  <c r="PD263" i="1"/>
  <c r="PF263" i="1" s="1"/>
  <c r="PD271" i="1"/>
  <c r="PF271" i="1" s="1"/>
  <c r="PD279" i="1"/>
  <c r="PF279" i="1" s="1"/>
  <c r="PD256" i="1"/>
  <c r="PF256" i="1" s="1"/>
  <c r="PD264" i="1"/>
  <c r="PF264" i="1" s="1"/>
  <c r="PD272" i="1"/>
  <c r="PD280" i="1"/>
  <c r="PF280" i="1" s="1"/>
  <c r="PD257" i="1"/>
  <c r="PF257" i="1" s="1"/>
  <c r="PD265" i="1"/>
  <c r="PF265" i="1" s="1"/>
  <c r="PD273" i="1"/>
  <c r="PD281" i="1"/>
  <c r="PF281" i="1" s="1"/>
  <c r="PD258" i="1"/>
  <c r="PD266" i="1"/>
  <c r="PF266" i="1" s="1"/>
  <c r="PD274" i="1"/>
  <c r="PF274" i="1" s="1"/>
  <c r="PD282" i="1"/>
  <c r="PF282" i="1" s="1"/>
  <c r="PD152" i="1"/>
  <c r="PF152" i="1" s="1"/>
  <c r="PD160" i="1"/>
  <c r="PF160" i="1" s="1"/>
  <c r="PD168" i="1"/>
  <c r="PF168" i="1" s="1"/>
  <c r="PD176" i="1"/>
  <c r="PF176" i="1" s="1"/>
  <c r="PD153" i="1"/>
  <c r="PF153" i="1" s="1"/>
  <c r="PD161" i="1"/>
  <c r="PF161" i="1" s="1"/>
  <c r="PD169" i="1"/>
  <c r="PF169" i="1" s="1"/>
  <c r="PD177" i="1"/>
  <c r="PF177" i="1" s="1"/>
  <c r="PD154" i="1"/>
  <c r="PF154" i="1" s="1"/>
  <c r="PD162" i="1"/>
  <c r="PF162" i="1" s="1"/>
  <c r="PD170" i="1"/>
  <c r="PF170" i="1" s="1"/>
  <c r="PD155" i="1"/>
  <c r="PF155" i="1" s="1"/>
  <c r="PD163" i="1"/>
  <c r="PF163" i="1" s="1"/>
  <c r="PD171" i="1"/>
  <c r="PD148" i="1"/>
  <c r="PF148" i="1" s="1"/>
  <c r="PD156" i="1"/>
  <c r="PF156" i="1" s="1"/>
  <c r="PD164" i="1"/>
  <c r="PF164" i="1" s="1"/>
  <c r="PD172" i="1"/>
  <c r="PD149" i="1"/>
  <c r="PF149" i="1" s="1"/>
  <c r="PD157" i="1"/>
  <c r="PF157" i="1" s="1"/>
  <c r="PD165" i="1"/>
  <c r="PF165" i="1" s="1"/>
  <c r="PD173" i="1"/>
  <c r="PF173" i="1" s="1"/>
  <c r="PD150" i="1"/>
  <c r="PF150" i="1" s="1"/>
  <c r="PD158" i="1"/>
  <c r="PF158" i="1" s="1"/>
  <c r="PD166" i="1"/>
  <c r="PF166" i="1" s="1"/>
  <c r="PD174" i="1"/>
  <c r="PF174" i="1" s="1"/>
  <c r="PD120" i="1"/>
  <c r="PF120" i="1" s="1"/>
  <c r="PD128" i="1"/>
  <c r="PF128" i="1" s="1"/>
  <c r="PD136" i="1"/>
  <c r="PF136" i="1" s="1"/>
  <c r="PD113" i="1"/>
  <c r="PF113" i="1" s="1"/>
  <c r="PD121" i="1"/>
  <c r="PF121" i="1" s="1"/>
  <c r="PD129" i="1"/>
  <c r="PF129" i="1" s="1"/>
  <c r="PD137" i="1"/>
  <c r="PD151" i="1"/>
  <c r="PF151" i="1" s="1"/>
  <c r="PD114" i="1"/>
  <c r="PF114" i="1" s="1"/>
  <c r="PD122" i="1"/>
  <c r="PF122" i="1" s="1"/>
  <c r="PD130" i="1"/>
  <c r="PF130" i="1" s="1"/>
  <c r="PD138" i="1"/>
  <c r="PD159" i="1"/>
  <c r="PF159" i="1" s="1"/>
  <c r="PD115" i="1"/>
  <c r="PF115" i="1" s="1"/>
  <c r="PD123" i="1"/>
  <c r="PF123" i="1" s="1"/>
  <c r="PD131" i="1"/>
  <c r="PF131" i="1" s="1"/>
  <c r="PD139" i="1"/>
  <c r="PF139" i="1" s="1"/>
  <c r="PD167" i="1"/>
  <c r="PF167" i="1" s="1"/>
  <c r="PD116" i="1"/>
  <c r="PD124" i="1"/>
  <c r="PF124" i="1" s="1"/>
  <c r="PD132" i="1"/>
  <c r="PF132" i="1" s="1"/>
  <c r="PD140" i="1"/>
  <c r="PF140" i="1" s="1"/>
  <c r="PD175" i="1"/>
  <c r="PF175" i="1" s="1"/>
  <c r="PD117" i="1"/>
  <c r="PF117" i="1" s="1"/>
  <c r="PD125" i="1"/>
  <c r="PF125" i="1" s="1"/>
  <c r="PD133" i="1"/>
  <c r="PF133" i="1" s="1"/>
  <c r="PD141" i="1"/>
  <c r="PF141" i="1" s="1"/>
  <c r="PD118" i="1"/>
  <c r="PF118" i="1" s="1"/>
  <c r="PD126" i="1"/>
  <c r="PF126" i="1" s="1"/>
  <c r="PD134" i="1"/>
  <c r="PF134" i="1" s="1"/>
  <c r="PD112" i="1"/>
  <c r="PF112" i="1" s="1"/>
  <c r="PD119" i="1"/>
  <c r="PF119" i="1" s="1"/>
  <c r="PD135" i="1"/>
  <c r="PF135" i="1" s="1"/>
  <c r="PD127" i="1"/>
  <c r="PF127" i="1" s="1"/>
  <c r="PD81" i="1"/>
  <c r="PF81" i="1" s="1"/>
  <c r="PD89" i="1"/>
  <c r="PF89" i="1" s="1"/>
  <c r="PD97" i="1"/>
  <c r="PF97" i="1" s="1"/>
  <c r="PD105" i="1"/>
  <c r="PD82" i="1"/>
  <c r="PF82" i="1" s="1"/>
  <c r="PD90" i="1"/>
  <c r="PF90" i="1" s="1"/>
  <c r="PD98" i="1"/>
  <c r="PF98" i="1" s="1"/>
  <c r="PD106" i="1"/>
  <c r="PF106" i="1" s="1"/>
  <c r="PD83" i="1"/>
  <c r="PF83" i="1" s="1"/>
  <c r="PD91" i="1"/>
  <c r="PF91" i="1" s="1"/>
  <c r="PD99" i="1"/>
  <c r="PF99" i="1" s="1"/>
  <c r="PD76" i="1"/>
  <c r="PD84" i="1"/>
  <c r="PF84" i="1" s="1"/>
  <c r="PD92" i="1"/>
  <c r="PF92" i="1" s="1"/>
  <c r="PD100" i="1"/>
  <c r="PF100" i="1" s="1"/>
  <c r="PD77" i="1"/>
  <c r="PF77" i="1" s="1"/>
  <c r="PD85" i="1"/>
  <c r="PF85" i="1" s="1"/>
  <c r="PD93" i="1"/>
  <c r="PF93" i="1" s="1"/>
  <c r="PD101" i="1"/>
  <c r="PF101" i="1" s="1"/>
  <c r="PD78" i="1"/>
  <c r="PF78" i="1" s="1"/>
  <c r="PD86" i="1"/>
  <c r="PF86" i="1" s="1"/>
  <c r="PD94" i="1"/>
  <c r="PF94" i="1" s="1"/>
  <c r="PD102" i="1"/>
  <c r="PF102" i="1" s="1"/>
  <c r="PD79" i="1"/>
  <c r="PF79" i="1" s="1"/>
  <c r="PD87" i="1"/>
  <c r="PF87" i="1" s="1"/>
  <c r="PD95" i="1"/>
  <c r="PF95" i="1" s="1"/>
  <c r="PD103" i="1"/>
  <c r="PF103" i="1" s="1"/>
  <c r="PD80" i="1"/>
  <c r="PF80" i="1" s="1"/>
  <c r="PD88" i="1"/>
  <c r="PF88" i="1" s="1"/>
  <c r="PD96" i="1"/>
  <c r="PF96" i="1" s="1"/>
  <c r="PD104" i="1"/>
  <c r="QE43" i="1"/>
  <c r="QG43" i="1" s="1"/>
  <c r="QE47" i="1"/>
  <c r="QG47" i="1" s="1"/>
  <c r="QE51" i="1"/>
  <c r="QG51" i="1" s="1"/>
  <c r="QE55" i="1"/>
  <c r="QG55" i="1" s="1"/>
  <c r="QE59" i="1"/>
  <c r="QG59" i="1" s="1"/>
  <c r="QE63" i="1"/>
  <c r="QG63" i="1" s="1"/>
  <c r="QE67" i="1"/>
  <c r="QG67" i="1" s="1"/>
  <c r="QE42" i="1"/>
  <c r="QG42" i="1" s="1"/>
  <c r="QE44" i="1"/>
  <c r="QG44" i="1" s="1"/>
  <c r="QE48" i="1"/>
  <c r="QG48" i="1" s="1"/>
  <c r="QE52" i="1"/>
  <c r="QG52" i="1" s="1"/>
  <c r="QE56" i="1"/>
  <c r="QG56" i="1" s="1"/>
  <c r="QE60" i="1"/>
  <c r="QG60" i="1" s="1"/>
  <c r="QE64" i="1"/>
  <c r="QG64" i="1" s="1"/>
  <c r="QE68" i="1"/>
  <c r="QG68" i="1" s="1"/>
  <c r="QE45" i="1"/>
  <c r="QG45" i="1" s="1"/>
  <c r="QE49" i="1"/>
  <c r="QG49" i="1" s="1"/>
  <c r="QE53" i="1"/>
  <c r="QG53" i="1" s="1"/>
  <c r="QE57" i="1"/>
  <c r="QG57" i="1" s="1"/>
  <c r="QE61" i="1"/>
  <c r="QG61" i="1" s="1"/>
  <c r="QE65" i="1"/>
  <c r="QG65" i="1" s="1"/>
  <c r="QE69" i="1"/>
  <c r="QG69" i="1" s="1"/>
  <c r="QE54" i="1"/>
  <c r="QG54" i="1" s="1"/>
  <c r="QE70" i="1"/>
  <c r="QE58" i="1"/>
  <c r="QG58" i="1" s="1"/>
  <c r="QE46" i="1"/>
  <c r="QE62" i="1"/>
  <c r="QG62" i="1" s="1"/>
  <c r="QE50" i="1"/>
  <c r="QG50" i="1" s="1"/>
  <c r="QE66" i="1"/>
  <c r="QG66" i="1" s="1"/>
  <c r="PV46" i="1"/>
  <c r="PX46" i="1" s="1"/>
  <c r="PV50" i="1"/>
  <c r="PX50" i="1" s="1"/>
  <c r="PV54" i="1"/>
  <c r="PX54" i="1" s="1"/>
  <c r="PV58" i="1"/>
  <c r="PX58" i="1" s="1"/>
  <c r="PV62" i="1"/>
  <c r="PX62" i="1" s="1"/>
  <c r="PV66" i="1"/>
  <c r="PX66" i="1" s="1"/>
  <c r="PV70" i="1"/>
  <c r="PV43" i="1"/>
  <c r="PX43" i="1" s="1"/>
  <c r="PV47" i="1"/>
  <c r="PX47" i="1" s="1"/>
  <c r="PV51" i="1"/>
  <c r="PX51" i="1" s="1"/>
  <c r="PV55" i="1"/>
  <c r="PX55" i="1" s="1"/>
  <c r="PV59" i="1"/>
  <c r="PX59" i="1" s="1"/>
  <c r="PV63" i="1"/>
  <c r="PX63" i="1" s="1"/>
  <c r="PV67" i="1"/>
  <c r="PX67" i="1" s="1"/>
  <c r="PV42" i="1"/>
  <c r="PV44" i="1"/>
  <c r="PX44" i="1" s="1"/>
  <c r="PV48" i="1"/>
  <c r="PX48" i="1" s="1"/>
  <c r="PV52" i="1"/>
  <c r="PX52" i="1" s="1"/>
  <c r="PV56" i="1"/>
  <c r="PX56" i="1" s="1"/>
  <c r="PV60" i="1"/>
  <c r="PX60" i="1" s="1"/>
  <c r="PV64" i="1"/>
  <c r="PX64" i="1" s="1"/>
  <c r="PV68" i="1"/>
  <c r="PX68" i="1" s="1"/>
  <c r="PV57" i="1"/>
  <c r="PX57" i="1" s="1"/>
  <c r="PV45" i="1"/>
  <c r="PX45" i="1" s="1"/>
  <c r="PV61" i="1"/>
  <c r="PX61" i="1" s="1"/>
  <c r="PV49" i="1"/>
  <c r="PX49" i="1" s="1"/>
  <c r="PV65" i="1"/>
  <c r="PX65" i="1" s="1"/>
  <c r="PV53" i="1"/>
  <c r="PX53" i="1" s="1"/>
  <c r="PV69" i="1"/>
  <c r="PX69" i="1" s="1"/>
  <c r="PM45" i="1"/>
  <c r="PO45" i="1" s="1"/>
  <c r="PM49" i="1"/>
  <c r="PO49" i="1" s="1"/>
  <c r="PM53" i="1"/>
  <c r="PO53" i="1" s="1"/>
  <c r="PM57" i="1"/>
  <c r="PO57" i="1" s="1"/>
  <c r="PM61" i="1"/>
  <c r="PO61" i="1" s="1"/>
  <c r="PM65" i="1"/>
  <c r="PO65" i="1" s="1"/>
  <c r="PM69" i="1"/>
  <c r="PO69" i="1" s="1"/>
  <c r="PM46" i="1"/>
  <c r="PO46" i="1" s="1"/>
  <c r="PM50" i="1"/>
  <c r="PO50" i="1" s="1"/>
  <c r="PM54" i="1"/>
  <c r="PO54" i="1" s="1"/>
  <c r="PM58" i="1"/>
  <c r="PO58" i="1" s="1"/>
  <c r="PM62" i="1"/>
  <c r="PO62" i="1" s="1"/>
  <c r="PM66" i="1"/>
  <c r="PO66" i="1" s="1"/>
  <c r="PM70" i="1"/>
  <c r="PM43" i="1"/>
  <c r="PO43" i="1" s="1"/>
  <c r="PM47" i="1"/>
  <c r="PO47" i="1" s="1"/>
  <c r="PM51" i="1"/>
  <c r="PO51" i="1" s="1"/>
  <c r="PM55" i="1"/>
  <c r="PO55" i="1" s="1"/>
  <c r="PM59" i="1"/>
  <c r="PO59" i="1" s="1"/>
  <c r="PM63" i="1"/>
  <c r="PO63" i="1" s="1"/>
  <c r="PM67" i="1"/>
  <c r="PO67" i="1" s="1"/>
  <c r="PM42" i="1"/>
  <c r="PM44" i="1"/>
  <c r="PO44" i="1" s="1"/>
  <c r="PM60" i="1"/>
  <c r="PO60" i="1" s="1"/>
  <c r="PM48" i="1"/>
  <c r="PO48" i="1" s="1"/>
  <c r="PM64" i="1"/>
  <c r="PO64" i="1" s="1"/>
  <c r="PM52" i="1"/>
  <c r="PO52" i="1" s="1"/>
  <c r="PM68" i="1"/>
  <c r="PO68" i="1" s="1"/>
  <c r="PM56" i="1"/>
  <c r="PO56" i="1" s="1"/>
  <c r="OC45" i="1"/>
  <c r="OE45" i="1" s="1"/>
  <c r="OC49" i="1"/>
  <c r="OE49" i="1" s="1"/>
  <c r="OC53" i="1"/>
  <c r="OE53" i="1" s="1"/>
  <c r="OC57" i="1"/>
  <c r="OE57" i="1" s="1"/>
  <c r="OC61" i="1"/>
  <c r="OE61" i="1" s="1"/>
  <c r="OC65" i="1"/>
  <c r="OE65" i="1" s="1"/>
  <c r="OC69" i="1"/>
  <c r="OE69" i="1" s="1"/>
  <c r="OC46" i="1"/>
  <c r="OE46" i="1" s="1"/>
  <c r="OC50" i="1"/>
  <c r="OE50" i="1" s="1"/>
  <c r="OC54" i="1"/>
  <c r="OE54" i="1" s="1"/>
  <c r="OC58" i="1"/>
  <c r="OE58" i="1" s="1"/>
  <c r="OC62" i="1"/>
  <c r="OE62" i="1" s="1"/>
  <c r="OC66" i="1"/>
  <c r="OE66" i="1" s="1"/>
  <c r="OC70" i="1"/>
  <c r="OC43" i="1"/>
  <c r="OE43" i="1" s="1"/>
  <c r="OC47" i="1"/>
  <c r="OE47" i="1" s="1"/>
  <c r="OC51" i="1"/>
  <c r="OE51" i="1" s="1"/>
  <c r="OC55" i="1"/>
  <c r="OE55" i="1" s="1"/>
  <c r="OC59" i="1"/>
  <c r="OE59" i="1" s="1"/>
  <c r="OC63" i="1"/>
  <c r="OE63" i="1" s="1"/>
  <c r="OC67" i="1"/>
  <c r="OE67" i="1" s="1"/>
  <c r="OC42" i="1"/>
  <c r="OE42" i="1" s="1"/>
  <c r="OC44" i="1"/>
  <c r="OE44" i="1" s="1"/>
  <c r="OC48" i="1"/>
  <c r="OE48" i="1" s="1"/>
  <c r="OC52" i="1"/>
  <c r="OE52" i="1" s="1"/>
  <c r="OC56" i="1"/>
  <c r="OE56" i="1" s="1"/>
  <c r="OC60" i="1"/>
  <c r="OE60" i="1" s="1"/>
  <c r="OC64" i="1"/>
  <c r="OE64" i="1" s="1"/>
  <c r="OC68" i="1"/>
  <c r="OE68" i="1" s="1"/>
  <c r="OL221" i="1"/>
  <c r="ON221" i="1" s="1"/>
  <c r="OL43" i="1"/>
  <c r="ON43" i="1" s="1"/>
  <c r="OL47" i="1"/>
  <c r="ON47" i="1" s="1"/>
  <c r="OL51" i="1"/>
  <c r="ON51" i="1" s="1"/>
  <c r="OL44" i="1"/>
  <c r="ON44" i="1" s="1"/>
  <c r="OL48" i="1"/>
  <c r="ON48" i="1" s="1"/>
  <c r="OL52" i="1"/>
  <c r="ON52" i="1" s="1"/>
  <c r="OL46" i="1"/>
  <c r="ON46" i="1" s="1"/>
  <c r="OL54" i="1"/>
  <c r="ON54" i="1" s="1"/>
  <c r="OL58" i="1"/>
  <c r="ON58" i="1" s="1"/>
  <c r="OL62" i="1"/>
  <c r="ON62" i="1" s="1"/>
  <c r="OL66" i="1"/>
  <c r="ON66" i="1" s="1"/>
  <c r="OL70" i="1"/>
  <c r="OL49" i="1"/>
  <c r="ON49" i="1" s="1"/>
  <c r="OL55" i="1"/>
  <c r="ON55" i="1" s="1"/>
  <c r="OL59" i="1"/>
  <c r="ON59" i="1" s="1"/>
  <c r="OL63" i="1"/>
  <c r="ON63" i="1" s="1"/>
  <c r="OL67" i="1"/>
  <c r="ON67" i="1" s="1"/>
  <c r="OL42" i="1"/>
  <c r="ON42" i="1" s="1"/>
  <c r="OL50" i="1"/>
  <c r="ON50" i="1" s="1"/>
  <c r="OL56" i="1"/>
  <c r="ON56" i="1" s="1"/>
  <c r="OL60" i="1"/>
  <c r="ON60" i="1" s="1"/>
  <c r="OL64" i="1"/>
  <c r="ON64" i="1" s="1"/>
  <c r="OL68" i="1"/>
  <c r="ON68" i="1" s="1"/>
  <c r="OL45" i="1"/>
  <c r="ON45" i="1" s="1"/>
  <c r="OL53" i="1"/>
  <c r="ON53" i="1" s="1"/>
  <c r="OL57" i="1"/>
  <c r="ON57" i="1" s="1"/>
  <c r="OL61" i="1"/>
  <c r="ON61" i="1" s="1"/>
  <c r="OL65" i="1"/>
  <c r="ON65" i="1" s="1"/>
  <c r="OL69" i="1"/>
  <c r="ON69" i="1" s="1"/>
  <c r="QN44" i="1"/>
  <c r="QP44" i="1" s="1"/>
  <c r="QN48" i="1"/>
  <c r="QP48" i="1" s="1"/>
  <c r="QN52" i="1"/>
  <c r="QP52" i="1" s="1"/>
  <c r="QN56" i="1"/>
  <c r="QP56" i="1" s="1"/>
  <c r="QN60" i="1"/>
  <c r="QP60" i="1" s="1"/>
  <c r="QN64" i="1"/>
  <c r="QP64" i="1" s="1"/>
  <c r="QN68" i="1"/>
  <c r="QP68" i="1" s="1"/>
  <c r="QN45" i="1"/>
  <c r="QP45" i="1" s="1"/>
  <c r="QN49" i="1"/>
  <c r="QP49" i="1" s="1"/>
  <c r="QN53" i="1"/>
  <c r="QP53" i="1" s="1"/>
  <c r="QN57" i="1"/>
  <c r="QP57" i="1" s="1"/>
  <c r="QN61" i="1"/>
  <c r="QP61" i="1" s="1"/>
  <c r="QN65" i="1"/>
  <c r="QP65" i="1" s="1"/>
  <c r="QN69" i="1"/>
  <c r="QP69" i="1" s="1"/>
  <c r="QN46" i="1"/>
  <c r="QP46" i="1" s="1"/>
  <c r="QN50" i="1"/>
  <c r="QP50" i="1" s="1"/>
  <c r="QN54" i="1"/>
  <c r="QP54" i="1" s="1"/>
  <c r="QN58" i="1"/>
  <c r="QP58" i="1" s="1"/>
  <c r="QN62" i="1"/>
  <c r="QP62" i="1" s="1"/>
  <c r="QN66" i="1"/>
  <c r="QP66" i="1" s="1"/>
  <c r="QN70" i="1"/>
  <c r="QN51" i="1"/>
  <c r="QP51" i="1" s="1"/>
  <c r="QN67" i="1"/>
  <c r="QP67" i="1" s="1"/>
  <c r="QN55" i="1"/>
  <c r="QP55" i="1" s="1"/>
  <c r="QN42" i="1"/>
  <c r="QN43" i="1"/>
  <c r="QP43" i="1" s="1"/>
  <c r="QN59" i="1"/>
  <c r="QP59" i="1" s="1"/>
  <c r="QN47" i="1"/>
  <c r="QP47" i="1" s="1"/>
  <c r="QN63" i="1"/>
  <c r="QP63" i="1" s="1"/>
  <c r="PD44" i="1"/>
  <c r="PF44" i="1" s="1"/>
  <c r="PD48" i="1"/>
  <c r="PF48" i="1" s="1"/>
  <c r="PD52" i="1"/>
  <c r="PF52" i="1" s="1"/>
  <c r="PD56" i="1"/>
  <c r="PF56" i="1" s="1"/>
  <c r="PD60" i="1"/>
  <c r="PF60" i="1" s="1"/>
  <c r="PD64" i="1"/>
  <c r="PF64" i="1" s="1"/>
  <c r="PD45" i="1"/>
  <c r="PD49" i="1"/>
  <c r="PF49" i="1" s="1"/>
  <c r="PD53" i="1"/>
  <c r="PF53" i="1" s="1"/>
  <c r="PD57" i="1"/>
  <c r="PF57" i="1" s="1"/>
  <c r="PD61" i="1"/>
  <c r="PF61" i="1" s="1"/>
  <c r="PD65" i="1"/>
  <c r="PF65" i="1" s="1"/>
  <c r="PD69" i="1"/>
  <c r="PF69" i="1" s="1"/>
  <c r="PD46" i="1"/>
  <c r="PF46" i="1" s="1"/>
  <c r="PD50" i="1"/>
  <c r="PF50" i="1" s="1"/>
  <c r="PD54" i="1"/>
  <c r="PF54" i="1" s="1"/>
  <c r="PD58" i="1"/>
  <c r="PF58" i="1" s="1"/>
  <c r="PD62" i="1"/>
  <c r="PF62" i="1" s="1"/>
  <c r="PD66" i="1"/>
  <c r="PF66" i="1" s="1"/>
  <c r="PD70" i="1"/>
  <c r="PD47" i="1"/>
  <c r="PF47" i="1" s="1"/>
  <c r="PD63" i="1"/>
  <c r="PF63" i="1" s="1"/>
  <c r="PD51" i="1"/>
  <c r="PF51" i="1" s="1"/>
  <c r="PD67" i="1"/>
  <c r="PF67" i="1" s="1"/>
  <c r="PD55" i="1"/>
  <c r="PF55" i="1" s="1"/>
  <c r="PD68" i="1"/>
  <c r="PF68" i="1" s="1"/>
  <c r="PD43" i="1"/>
  <c r="PF43" i="1" s="1"/>
  <c r="PD59" i="1"/>
  <c r="PF59" i="1" s="1"/>
  <c r="PD42" i="1"/>
  <c r="PF42" i="1" s="1"/>
  <c r="KZ44" i="1"/>
  <c r="KZ48" i="1"/>
  <c r="KZ52" i="1"/>
  <c r="KZ56" i="1"/>
  <c r="KZ60" i="1"/>
  <c r="KZ64" i="1"/>
  <c r="KZ68" i="1"/>
  <c r="KZ45" i="1"/>
  <c r="KZ49" i="1"/>
  <c r="KZ53" i="1"/>
  <c r="KZ57" i="1"/>
  <c r="KZ61" i="1"/>
  <c r="KZ65" i="1"/>
  <c r="KZ69" i="1"/>
  <c r="KZ46" i="1"/>
  <c r="KZ50" i="1"/>
  <c r="KZ54" i="1"/>
  <c r="KZ58" i="1"/>
  <c r="KZ62" i="1"/>
  <c r="KZ66" i="1"/>
  <c r="KZ70" i="1"/>
  <c r="KZ43" i="1"/>
  <c r="KZ47" i="1"/>
  <c r="KZ51" i="1"/>
  <c r="KZ55" i="1"/>
  <c r="KZ59" i="1"/>
  <c r="KZ63" i="1"/>
  <c r="KZ67" i="1"/>
  <c r="KZ42" i="1"/>
  <c r="OU44" i="1"/>
  <c r="OW44" i="1" s="1"/>
  <c r="OU48" i="1"/>
  <c r="OW48" i="1" s="1"/>
  <c r="OU52" i="1"/>
  <c r="OW52" i="1" s="1"/>
  <c r="OU56" i="1"/>
  <c r="OW56" i="1" s="1"/>
  <c r="OU60" i="1"/>
  <c r="OW60" i="1" s="1"/>
  <c r="OU64" i="1"/>
  <c r="OW64" i="1" s="1"/>
  <c r="OU68" i="1"/>
  <c r="OW68" i="1" s="1"/>
  <c r="OU45" i="1"/>
  <c r="OW45" i="1" s="1"/>
  <c r="OU49" i="1"/>
  <c r="OW49" i="1" s="1"/>
  <c r="OU53" i="1"/>
  <c r="OW53" i="1" s="1"/>
  <c r="OU57" i="1"/>
  <c r="OW57" i="1" s="1"/>
  <c r="OU61" i="1"/>
  <c r="OW61" i="1" s="1"/>
  <c r="OU65" i="1"/>
  <c r="OW65" i="1" s="1"/>
  <c r="OU69" i="1"/>
  <c r="OW69" i="1" s="1"/>
  <c r="OU43" i="1"/>
  <c r="OW43" i="1" s="1"/>
  <c r="OU51" i="1"/>
  <c r="OW51" i="1" s="1"/>
  <c r="OU59" i="1"/>
  <c r="OW59" i="1" s="1"/>
  <c r="OU67" i="1"/>
  <c r="OW67" i="1" s="1"/>
  <c r="OU46" i="1"/>
  <c r="OW46" i="1" s="1"/>
  <c r="OU54" i="1"/>
  <c r="OW54" i="1" s="1"/>
  <c r="OU62" i="1"/>
  <c r="OW62" i="1" s="1"/>
  <c r="OU70" i="1"/>
  <c r="OU47" i="1"/>
  <c r="OW47" i="1" s="1"/>
  <c r="OU55" i="1"/>
  <c r="OW55" i="1" s="1"/>
  <c r="OU63" i="1"/>
  <c r="OW63" i="1" s="1"/>
  <c r="OU42" i="1"/>
  <c r="OW42" i="1" s="1"/>
  <c r="OU50" i="1"/>
  <c r="OW50" i="1" s="1"/>
  <c r="OU58" i="1"/>
  <c r="OW58" i="1" s="1"/>
  <c r="OU66" i="1"/>
  <c r="OW66" i="1" s="1"/>
  <c r="OL234" i="1"/>
  <c r="ON234" i="1" s="1"/>
  <c r="OL218" i="1"/>
  <c r="ON218" i="1" s="1"/>
  <c r="OL33" i="1"/>
  <c r="ON33" i="1" s="1"/>
  <c r="OL36" i="1"/>
  <c r="ON36" i="1" s="1"/>
  <c r="OL210" i="1"/>
  <c r="ON210" i="1" s="1"/>
  <c r="OL183" i="1"/>
  <c r="ON183" i="1" s="1"/>
  <c r="OL23" i="1"/>
  <c r="ON23" i="1" s="1"/>
  <c r="OL244" i="1"/>
  <c r="ON244" i="1" s="1"/>
  <c r="OL247" i="1"/>
  <c r="ON247" i="1" s="1"/>
  <c r="OL200" i="1"/>
  <c r="ON200" i="1" s="1"/>
  <c r="OL10" i="1"/>
  <c r="ON10" i="1" s="1"/>
  <c r="QN219" i="1"/>
  <c r="QP219" i="1" s="1"/>
  <c r="QN227" i="1"/>
  <c r="QP227" i="1" s="1"/>
  <c r="QN235" i="1"/>
  <c r="QP235" i="1" s="1"/>
  <c r="QN243" i="1"/>
  <c r="QP243" i="1" s="1"/>
  <c r="QN185" i="1"/>
  <c r="QP185" i="1" s="1"/>
  <c r="QN193" i="1"/>
  <c r="QP193" i="1" s="1"/>
  <c r="QN201" i="1"/>
  <c r="QP201" i="1" s="1"/>
  <c r="QN209" i="1"/>
  <c r="QP209" i="1" s="1"/>
  <c r="QN220" i="1"/>
  <c r="QP220" i="1" s="1"/>
  <c r="QN228" i="1"/>
  <c r="QP228" i="1" s="1"/>
  <c r="QN236" i="1"/>
  <c r="QP236" i="1" s="1"/>
  <c r="QN244" i="1"/>
  <c r="QP244" i="1" s="1"/>
  <c r="QN186" i="1"/>
  <c r="QP186" i="1" s="1"/>
  <c r="QN194" i="1"/>
  <c r="QP194" i="1" s="1"/>
  <c r="QN202" i="1"/>
  <c r="QP202" i="1" s="1"/>
  <c r="QN210" i="1"/>
  <c r="QP210" i="1" s="1"/>
  <c r="QN221" i="1"/>
  <c r="QP221" i="1" s="1"/>
  <c r="QN229" i="1"/>
  <c r="QP229" i="1" s="1"/>
  <c r="QN237" i="1"/>
  <c r="QP237" i="1" s="1"/>
  <c r="QN245" i="1"/>
  <c r="QP245" i="1" s="1"/>
  <c r="QN187" i="1"/>
  <c r="QP187" i="1" s="1"/>
  <c r="QN195" i="1"/>
  <c r="QP195" i="1" s="1"/>
  <c r="QN203" i="1"/>
  <c r="QP203" i="1" s="1"/>
  <c r="QN211" i="1"/>
  <c r="QP211" i="1" s="1"/>
  <c r="QN222" i="1"/>
  <c r="QN230" i="1"/>
  <c r="QP230" i="1" s="1"/>
  <c r="QN238" i="1"/>
  <c r="QN246" i="1"/>
  <c r="QP246" i="1" s="1"/>
  <c r="QN188" i="1"/>
  <c r="QP188" i="1" s="1"/>
  <c r="QN196" i="1"/>
  <c r="QP196" i="1" s="1"/>
  <c r="QN204" i="1"/>
  <c r="QN212" i="1"/>
  <c r="QP212" i="1" s="1"/>
  <c r="QN223" i="1"/>
  <c r="QP223" i="1" s="1"/>
  <c r="QN231" i="1"/>
  <c r="QP231" i="1" s="1"/>
  <c r="QN239" i="1"/>
  <c r="QN247" i="1"/>
  <c r="QP247" i="1" s="1"/>
  <c r="QN189" i="1"/>
  <c r="QP189" i="1" s="1"/>
  <c r="QN197" i="1"/>
  <c r="QP197" i="1" s="1"/>
  <c r="QN205" i="1"/>
  <c r="QN183" i="1"/>
  <c r="QN224" i="1"/>
  <c r="QP224" i="1" s="1"/>
  <c r="QN232" i="1"/>
  <c r="QP232" i="1" s="1"/>
  <c r="QN240" i="1"/>
  <c r="QP240" i="1" s="1"/>
  <c r="QN248" i="1"/>
  <c r="QP248" i="1" s="1"/>
  <c r="QN190" i="1"/>
  <c r="QP190" i="1" s="1"/>
  <c r="QN198" i="1"/>
  <c r="QP198" i="1" s="1"/>
  <c r="QN206" i="1"/>
  <c r="QP206" i="1" s="1"/>
  <c r="QN225" i="1"/>
  <c r="QP225" i="1" s="1"/>
  <c r="QN233" i="1"/>
  <c r="QP233" i="1" s="1"/>
  <c r="QN241" i="1"/>
  <c r="QP241" i="1" s="1"/>
  <c r="QN218" i="1"/>
  <c r="QP218" i="1" s="1"/>
  <c r="QN191" i="1"/>
  <c r="QP191" i="1" s="1"/>
  <c r="QN199" i="1"/>
  <c r="QP199" i="1" s="1"/>
  <c r="QN207" i="1"/>
  <c r="QP207" i="1" s="1"/>
  <c r="QN226" i="1"/>
  <c r="QP226" i="1" s="1"/>
  <c r="QN234" i="1"/>
  <c r="QP234" i="1" s="1"/>
  <c r="QN242" i="1"/>
  <c r="QP242" i="1" s="1"/>
  <c r="QN184" i="1"/>
  <c r="QP184" i="1" s="1"/>
  <c r="QN192" i="1"/>
  <c r="QP192" i="1" s="1"/>
  <c r="QN200" i="1"/>
  <c r="QP200" i="1" s="1"/>
  <c r="QN208" i="1"/>
  <c r="QP208" i="1" s="1"/>
  <c r="OL29" i="1"/>
  <c r="ON29" i="1" s="1"/>
  <c r="OL206" i="1"/>
  <c r="ON206" i="1" s="1"/>
  <c r="OL240" i="1"/>
  <c r="ON240" i="1" s="1"/>
  <c r="OL32" i="1"/>
  <c r="ON32" i="1" s="1"/>
  <c r="OL209" i="1"/>
  <c r="ON209" i="1" s="1"/>
  <c r="OL243" i="1"/>
  <c r="ON243" i="1" s="1"/>
  <c r="OL19" i="1"/>
  <c r="ON19" i="1" s="1"/>
  <c r="OL196" i="1"/>
  <c r="ON196" i="1" s="1"/>
  <c r="OL230" i="1"/>
  <c r="ON230" i="1" s="1"/>
  <c r="OL211" i="1"/>
  <c r="ON211" i="1" s="1"/>
  <c r="OL245" i="1"/>
  <c r="ON245" i="1" s="1"/>
  <c r="OL25" i="1"/>
  <c r="ON25" i="1" s="1"/>
  <c r="OL202" i="1"/>
  <c r="ON202" i="1" s="1"/>
  <c r="OL236" i="1"/>
  <c r="ON236" i="1" s="1"/>
  <c r="OL28" i="1"/>
  <c r="ON28" i="1" s="1"/>
  <c r="OL205" i="1"/>
  <c r="ON205" i="1" s="1"/>
  <c r="OL239" i="1"/>
  <c r="ON239" i="1" s="1"/>
  <c r="OL15" i="1"/>
  <c r="ON15" i="1" s="1"/>
  <c r="OL192" i="1"/>
  <c r="ON192" i="1" s="1"/>
  <c r="OL226" i="1"/>
  <c r="ON226" i="1" s="1"/>
  <c r="OL34" i="1"/>
  <c r="ON34" i="1" s="1"/>
  <c r="OL207" i="1"/>
  <c r="ON207" i="1" s="1"/>
  <c r="OL241" i="1"/>
  <c r="ON241" i="1" s="1"/>
  <c r="OL21" i="1"/>
  <c r="ON21" i="1" s="1"/>
  <c r="OL198" i="1"/>
  <c r="ON198" i="1" s="1"/>
  <c r="OL232" i="1"/>
  <c r="ON232" i="1" s="1"/>
  <c r="OL24" i="1"/>
  <c r="ON24" i="1" s="1"/>
  <c r="OL201" i="1"/>
  <c r="ON201" i="1" s="1"/>
  <c r="OL235" i="1"/>
  <c r="ON235" i="1" s="1"/>
  <c r="OL11" i="1"/>
  <c r="ON11" i="1" s="1"/>
  <c r="OL188" i="1"/>
  <c r="ON188" i="1" s="1"/>
  <c r="OL222" i="1"/>
  <c r="ON222" i="1" s="1"/>
  <c r="OL30" i="1"/>
  <c r="ON30" i="1" s="1"/>
  <c r="OL203" i="1"/>
  <c r="ON203" i="1" s="1"/>
  <c r="OL237" i="1"/>
  <c r="ON237" i="1" s="1"/>
  <c r="PV225" i="1"/>
  <c r="PX225" i="1" s="1"/>
  <c r="PV233" i="1"/>
  <c r="PX233" i="1" s="1"/>
  <c r="PV241" i="1"/>
  <c r="PX241" i="1" s="1"/>
  <c r="PV218" i="1"/>
  <c r="PV191" i="1"/>
  <c r="PX191" i="1" s="1"/>
  <c r="PV199" i="1"/>
  <c r="PX199" i="1" s="1"/>
  <c r="PV207" i="1"/>
  <c r="PX207" i="1" s="1"/>
  <c r="PV226" i="1"/>
  <c r="PX226" i="1" s="1"/>
  <c r="PV234" i="1"/>
  <c r="PX234" i="1" s="1"/>
  <c r="PV242" i="1"/>
  <c r="PX242" i="1" s="1"/>
  <c r="PV184" i="1"/>
  <c r="PX184" i="1" s="1"/>
  <c r="PV192" i="1"/>
  <c r="PX192" i="1" s="1"/>
  <c r="PV200" i="1"/>
  <c r="PX200" i="1" s="1"/>
  <c r="PV208" i="1"/>
  <c r="PX208" i="1" s="1"/>
  <c r="PV219" i="1"/>
  <c r="PX219" i="1" s="1"/>
  <c r="PV227" i="1"/>
  <c r="PX227" i="1" s="1"/>
  <c r="PV235" i="1"/>
  <c r="PX235" i="1" s="1"/>
  <c r="PV243" i="1"/>
  <c r="PX243" i="1" s="1"/>
  <c r="PV185" i="1"/>
  <c r="PX185" i="1" s="1"/>
  <c r="PV193" i="1"/>
  <c r="PX193" i="1" s="1"/>
  <c r="PV201" i="1"/>
  <c r="PX201" i="1" s="1"/>
  <c r="PV209" i="1"/>
  <c r="PX209" i="1" s="1"/>
  <c r="PV220" i="1"/>
  <c r="PX220" i="1" s="1"/>
  <c r="PV228" i="1"/>
  <c r="PX228" i="1" s="1"/>
  <c r="PV236" i="1"/>
  <c r="PX236" i="1" s="1"/>
  <c r="PV244" i="1"/>
  <c r="PX244" i="1" s="1"/>
  <c r="PV186" i="1"/>
  <c r="PX186" i="1" s="1"/>
  <c r="PV194" i="1"/>
  <c r="PX194" i="1" s="1"/>
  <c r="PV202" i="1"/>
  <c r="PX202" i="1" s="1"/>
  <c r="PV210" i="1"/>
  <c r="PX210" i="1" s="1"/>
  <c r="PV221" i="1"/>
  <c r="PX221" i="1" s="1"/>
  <c r="PV229" i="1"/>
  <c r="PX229" i="1" s="1"/>
  <c r="PV237" i="1"/>
  <c r="PX237" i="1" s="1"/>
  <c r="PV245" i="1"/>
  <c r="PX245" i="1" s="1"/>
  <c r="PV187" i="1"/>
  <c r="PX187" i="1" s="1"/>
  <c r="PV195" i="1"/>
  <c r="PX195" i="1" s="1"/>
  <c r="PV203" i="1"/>
  <c r="PX203" i="1" s="1"/>
  <c r="PV211" i="1"/>
  <c r="PX211" i="1" s="1"/>
  <c r="PV222" i="1"/>
  <c r="PX222" i="1" s="1"/>
  <c r="PV230" i="1"/>
  <c r="PX230" i="1" s="1"/>
  <c r="PV238" i="1"/>
  <c r="PV246" i="1"/>
  <c r="PX246" i="1" s="1"/>
  <c r="PV188" i="1"/>
  <c r="PX188" i="1" s="1"/>
  <c r="PV196" i="1"/>
  <c r="PX196" i="1" s="1"/>
  <c r="PV204" i="1"/>
  <c r="PV212" i="1"/>
  <c r="PX212" i="1" s="1"/>
  <c r="PV223" i="1"/>
  <c r="PX223" i="1" s="1"/>
  <c r="PV231" i="1"/>
  <c r="PX231" i="1" s="1"/>
  <c r="PV239" i="1"/>
  <c r="PV247" i="1"/>
  <c r="PX247" i="1" s="1"/>
  <c r="PV189" i="1"/>
  <c r="PX189" i="1" s="1"/>
  <c r="PV197" i="1"/>
  <c r="PX197" i="1" s="1"/>
  <c r="PV205" i="1"/>
  <c r="PV183" i="1"/>
  <c r="PV224" i="1"/>
  <c r="PX224" i="1" s="1"/>
  <c r="PV232" i="1"/>
  <c r="PX232" i="1" s="1"/>
  <c r="PV240" i="1"/>
  <c r="PX240" i="1" s="1"/>
  <c r="PV248" i="1"/>
  <c r="PX248" i="1" s="1"/>
  <c r="PV190" i="1"/>
  <c r="PX190" i="1" s="1"/>
  <c r="PV198" i="1"/>
  <c r="PX198" i="1" s="1"/>
  <c r="PV206" i="1"/>
  <c r="PX206" i="1" s="1"/>
  <c r="PM220" i="1"/>
  <c r="PO220" i="1" s="1"/>
  <c r="PM228" i="1"/>
  <c r="PO228" i="1" s="1"/>
  <c r="PM236" i="1"/>
  <c r="PO236" i="1" s="1"/>
  <c r="PM244" i="1"/>
  <c r="PO244" i="1" s="1"/>
  <c r="PM186" i="1"/>
  <c r="PO186" i="1" s="1"/>
  <c r="PM194" i="1"/>
  <c r="PO194" i="1" s="1"/>
  <c r="PM202" i="1"/>
  <c r="PO202" i="1" s="1"/>
  <c r="PM210" i="1"/>
  <c r="PO210" i="1" s="1"/>
  <c r="PM221" i="1"/>
  <c r="PM229" i="1"/>
  <c r="PO229" i="1" s="1"/>
  <c r="PM237" i="1"/>
  <c r="PO237" i="1" s="1"/>
  <c r="PM245" i="1"/>
  <c r="PO245" i="1" s="1"/>
  <c r="PM187" i="1"/>
  <c r="PO187" i="1" s="1"/>
  <c r="PM195" i="1"/>
  <c r="PO195" i="1" s="1"/>
  <c r="PM203" i="1"/>
  <c r="PO203" i="1" s="1"/>
  <c r="PM211" i="1"/>
  <c r="PO211" i="1" s="1"/>
  <c r="PM222" i="1"/>
  <c r="PO222" i="1" s="1"/>
  <c r="PM230" i="1"/>
  <c r="PO230" i="1" s="1"/>
  <c r="PM238" i="1"/>
  <c r="PM246" i="1"/>
  <c r="PO246" i="1" s="1"/>
  <c r="PM188" i="1"/>
  <c r="PO188" i="1" s="1"/>
  <c r="PM196" i="1"/>
  <c r="PO196" i="1" s="1"/>
  <c r="PM204" i="1"/>
  <c r="PM212" i="1"/>
  <c r="PO212" i="1" s="1"/>
  <c r="PM223" i="1"/>
  <c r="PO223" i="1" s="1"/>
  <c r="PM231" i="1"/>
  <c r="PO231" i="1" s="1"/>
  <c r="PM239" i="1"/>
  <c r="PM247" i="1"/>
  <c r="PO247" i="1" s="1"/>
  <c r="PM189" i="1"/>
  <c r="PO189" i="1" s="1"/>
  <c r="PM197" i="1"/>
  <c r="PO197" i="1" s="1"/>
  <c r="PM205" i="1"/>
  <c r="PM183" i="1"/>
  <c r="PM224" i="1"/>
  <c r="PO224" i="1" s="1"/>
  <c r="PM232" i="1"/>
  <c r="PO232" i="1" s="1"/>
  <c r="PM240" i="1"/>
  <c r="PO240" i="1" s="1"/>
  <c r="PM248" i="1"/>
  <c r="PO248" i="1" s="1"/>
  <c r="PM190" i="1"/>
  <c r="PO190" i="1" s="1"/>
  <c r="PM198" i="1"/>
  <c r="PO198" i="1" s="1"/>
  <c r="PM206" i="1"/>
  <c r="PO206" i="1" s="1"/>
  <c r="PM225" i="1"/>
  <c r="PO225" i="1" s="1"/>
  <c r="PM233" i="1"/>
  <c r="PO233" i="1" s="1"/>
  <c r="PM241" i="1"/>
  <c r="PO241" i="1" s="1"/>
  <c r="PM218" i="1"/>
  <c r="PO218" i="1" s="1"/>
  <c r="PM191" i="1"/>
  <c r="PO191" i="1" s="1"/>
  <c r="PM199" i="1"/>
  <c r="PO199" i="1" s="1"/>
  <c r="PM207" i="1"/>
  <c r="PO207" i="1" s="1"/>
  <c r="PM226" i="1"/>
  <c r="PO226" i="1" s="1"/>
  <c r="PM234" i="1"/>
  <c r="PO234" i="1" s="1"/>
  <c r="PM242" i="1"/>
  <c r="PO242" i="1" s="1"/>
  <c r="PM184" i="1"/>
  <c r="PO184" i="1" s="1"/>
  <c r="PM192" i="1"/>
  <c r="PO192" i="1" s="1"/>
  <c r="PM200" i="1"/>
  <c r="PO200" i="1" s="1"/>
  <c r="PM208" i="1"/>
  <c r="PO208" i="1" s="1"/>
  <c r="PM219" i="1"/>
  <c r="PO219" i="1" s="1"/>
  <c r="PM227" i="1"/>
  <c r="PO227" i="1" s="1"/>
  <c r="PM235" i="1"/>
  <c r="PO235" i="1" s="1"/>
  <c r="PM243" i="1"/>
  <c r="PO243" i="1" s="1"/>
  <c r="PM185" i="1"/>
  <c r="PO185" i="1" s="1"/>
  <c r="PM193" i="1"/>
  <c r="PO193" i="1" s="1"/>
  <c r="PM201" i="1"/>
  <c r="PO201" i="1" s="1"/>
  <c r="PM209" i="1"/>
  <c r="PO209" i="1" s="1"/>
  <c r="OL17" i="1"/>
  <c r="ON17" i="1" s="1"/>
  <c r="OL194" i="1"/>
  <c r="ON194" i="1" s="1"/>
  <c r="OL228" i="1"/>
  <c r="ON228" i="1" s="1"/>
  <c r="OL20" i="1"/>
  <c r="ON20" i="1" s="1"/>
  <c r="OL197" i="1"/>
  <c r="ON197" i="1" s="1"/>
  <c r="OL231" i="1"/>
  <c r="ON231" i="1" s="1"/>
  <c r="OL7" i="1"/>
  <c r="ON7" i="1" s="1"/>
  <c r="OL184" i="1"/>
  <c r="ON184" i="1" s="1"/>
  <c r="OL26" i="1"/>
  <c r="ON26" i="1" s="1"/>
  <c r="OL199" i="1"/>
  <c r="ON199" i="1" s="1"/>
  <c r="OL233" i="1"/>
  <c r="ON233" i="1" s="1"/>
  <c r="OC221" i="1"/>
  <c r="OE221" i="1" s="1"/>
  <c r="OC229" i="1"/>
  <c r="OE229" i="1" s="1"/>
  <c r="OC237" i="1"/>
  <c r="OE237" i="1" s="1"/>
  <c r="OC245" i="1"/>
  <c r="OE245" i="1" s="1"/>
  <c r="OC187" i="1"/>
  <c r="OE187" i="1" s="1"/>
  <c r="OC195" i="1"/>
  <c r="OE195" i="1" s="1"/>
  <c r="OC203" i="1"/>
  <c r="OE203" i="1" s="1"/>
  <c r="OC211" i="1"/>
  <c r="OE211" i="1" s="1"/>
  <c r="OC13" i="1"/>
  <c r="OE13" i="1" s="1"/>
  <c r="OC21" i="1"/>
  <c r="OE21" i="1" s="1"/>
  <c r="OC29" i="1"/>
  <c r="OE29" i="1" s="1"/>
  <c r="OC222" i="1"/>
  <c r="OE222" i="1" s="1"/>
  <c r="OC230" i="1"/>
  <c r="OE230" i="1" s="1"/>
  <c r="OC238" i="1"/>
  <c r="OC246" i="1"/>
  <c r="OE246" i="1" s="1"/>
  <c r="OC188" i="1"/>
  <c r="OE188" i="1" s="1"/>
  <c r="OC196" i="1"/>
  <c r="OE196" i="1" s="1"/>
  <c r="OC204" i="1"/>
  <c r="OC212" i="1"/>
  <c r="OE212" i="1" s="1"/>
  <c r="OC14" i="1"/>
  <c r="OE14" i="1" s="1"/>
  <c r="OC22" i="1"/>
  <c r="OE22" i="1" s="1"/>
  <c r="OC30" i="1"/>
  <c r="OE30" i="1" s="1"/>
  <c r="OC223" i="1"/>
  <c r="OE223" i="1" s="1"/>
  <c r="OC231" i="1"/>
  <c r="OE231" i="1" s="1"/>
  <c r="OC239" i="1"/>
  <c r="OE239" i="1" s="1"/>
  <c r="OC247" i="1"/>
  <c r="OE247" i="1" s="1"/>
  <c r="OC189" i="1"/>
  <c r="OE189" i="1" s="1"/>
  <c r="OC197" i="1"/>
  <c r="OE197" i="1" s="1"/>
  <c r="OC205" i="1"/>
  <c r="OE205" i="1" s="1"/>
  <c r="OC183" i="1"/>
  <c r="OE183" i="1" s="1"/>
  <c r="OC7" i="1"/>
  <c r="OE7" i="1" s="1"/>
  <c r="OC15" i="1"/>
  <c r="OE15" i="1" s="1"/>
  <c r="OC23" i="1"/>
  <c r="OE23" i="1" s="1"/>
  <c r="OC31" i="1"/>
  <c r="OE31" i="1" s="1"/>
  <c r="OC224" i="1"/>
  <c r="OE224" i="1" s="1"/>
  <c r="OC232" i="1"/>
  <c r="OE232" i="1" s="1"/>
  <c r="OC240" i="1"/>
  <c r="OE240" i="1" s="1"/>
  <c r="OC248" i="1"/>
  <c r="OE248" i="1" s="1"/>
  <c r="OC190" i="1"/>
  <c r="OE190" i="1" s="1"/>
  <c r="OC198" i="1"/>
  <c r="OE198" i="1" s="1"/>
  <c r="OC206" i="1"/>
  <c r="OE206" i="1" s="1"/>
  <c r="OC8" i="1"/>
  <c r="OE8" i="1" s="1"/>
  <c r="OC16" i="1"/>
  <c r="OE16" i="1" s="1"/>
  <c r="OC24" i="1"/>
  <c r="OE24" i="1" s="1"/>
  <c r="OC32" i="1"/>
  <c r="OE32" i="1" s="1"/>
  <c r="OC225" i="1"/>
  <c r="OE225" i="1" s="1"/>
  <c r="OC233" i="1"/>
  <c r="OE233" i="1" s="1"/>
  <c r="OC241" i="1"/>
  <c r="OE241" i="1" s="1"/>
  <c r="OC218" i="1"/>
  <c r="OE218" i="1" s="1"/>
  <c r="OC191" i="1"/>
  <c r="OE191" i="1" s="1"/>
  <c r="OC199" i="1"/>
  <c r="OE199" i="1" s="1"/>
  <c r="OC207" i="1"/>
  <c r="OE207" i="1" s="1"/>
  <c r="OC9" i="1"/>
  <c r="OE9" i="1" s="1"/>
  <c r="OC17" i="1"/>
  <c r="OE17" i="1" s="1"/>
  <c r="OC25" i="1"/>
  <c r="OE25" i="1" s="1"/>
  <c r="OC33" i="1"/>
  <c r="OE33" i="1" s="1"/>
  <c r="OC226" i="1"/>
  <c r="OE226" i="1" s="1"/>
  <c r="OC234" i="1"/>
  <c r="OE234" i="1" s="1"/>
  <c r="OC242" i="1"/>
  <c r="OE242" i="1" s="1"/>
  <c r="OC184" i="1"/>
  <c r="OE184" i="1" s="1"/>
  <c r="OC192" i="1"/>
  <c r="OE192" i="1" s="1"/>
  <c r="OC200" i="1"/>
  <c r="OE200" i="1" s="1"/>
  <c r="OC208" i="1"/>
  <c r="OE208" i="1" s="1"/>
  <c r="OC219" i="1"/>
  <c r="OE219" i="1" s="1"/>
  <c r="OC227" i="1"/>
  <c r="OE227" i="1" s="1"/>
  <c r="OC235" i="1"/>
  <c r="OE235" i="1" s="1"/>
  <c r="OC243" i="1"/>
  <c r="OE243" i="1" s="1"/>
  <c r="OC185" i="1"/>
  <c r="OE185" i="1" s="1"/>
  <c r="OC193" i="1"/>
  <c r="OE193" i="1" s="1"/>
  <c r="OC201" i="1"/>
  <c r="OE201" i="1" s="1"/>
  <c r="OC209" i="1"/>
  <c r="OE209" i="1" s="1"/>
  <c r="OC11" i="1"/>
  <c r="OE11" i="1" s="1"/>
  <c r="OC19" i="1"/>
  <c r="OE19" i="1" s="1"/>
  <c r="OC27" i="1"/>
  <c r="OE27" i="1" s="1"/>
  <c r="OC35" i="1"/>
  <c r="OE35" i="1" s="1"/>
  <c r="OC220" i="1"/>
  <c r="OE220" i="1" s="1"/>
  <c r="OC228" i="1"/>
  <c r="OE228" i="1" s="1"/>
  <c r="OC236" i="1"/>
  <c r="OE236" i="1" s="1"/>
  <c r="OC244" i="1"/>
  <c r="OE244" i="1" s="1"/>
  <c r="OC186" i="1"/>
  <c r="OE186" i="1" s="1"/>
  <c r="OC194" i="1"/>
  <c r="OE194" i="1" s="1"/>
  <c r="OC202" i="1"/>
  <c r="OE202" i="1" s="1"/>
  <c r="OC210" i="1"/>
  <c r="OE210" i="1" s="1"/>
  <c r="OC12" i="1"/>
  <c r="OE12" i="1" s="1"/>
  <c r="OC20" i="1"/>
  <c r="OE20" i="1" s="1"/>
  <c r="OC28" i="1"/>
  <c r="OE28" i="1" s="1"/>
  <c r="OC36" i="1"/>
  <c r="OE36" i="1" s="1"/>
  <c r="OC26" i="1"/>
  <c r="OE26" i="1" s="1"/>
  <c r="OC34" i="1"/>
  <c r="OE34" i="1" s="1"/>
  <c r="OC10" i="1"/>
  <c r="OE10" i="1" s="1"/>
  <c r="OC18" i="1"/>
  <c r="OE18" i="1" s="1"/>
  <c r="QE222" i="1"/>
  <c r="QE230" i="1"/>
  <c r="QG230" i="1" s="1"/>
  <c r="QE238" i="1"/>
  <c r="QE246" i="1"/>
  <c r="QG246" i="1" s="1"/>
  <c r="QE188" i="1"/>
  <c r="QG188" i="1" s="1"/>
  <c r="QE196" i="1"/>
  <c r="QG196" i="1" s="1"/>
  <c r="QE204" i="1"/>
  <c r="QE212" i="1"/>
  <c r="QG212" i="1" s="1"/>
  <c r="QE223" i="1"/>
  <c r="QG223" i="1" s="1"/>
  <c r="QE231" i="1"/>
  <c r="QG231" i="1" s="1"/>
  <c r="QE239" i="1"/>
  <c r="QE247" i="1"/>
  <c r="QG247" i="1" s="1"/>
  <c r="QE189" i="1"/>
  <c r="QG189" i="1" s="1"/>
  <c r="QE197" i="1"/>
  <c r="QG197" i="1" s="1"/>
  <c r="QE205" i="1"/>
  <c r="QE183" i="1"/>
  <c r="QE224" i="1"/>
  <c r="QG224" i="1" s="1"/>
  <c r="QE232" i="1"/>
  <c r="QG232" i="1" s="1"/>
  <c r="QE240" i="1"/>
  <c r="QG240" i="1" s="1"/>
  <c r="QE248" i="1"/>
  <c r="QG248" i="1" s="1"/>
  <c r="QE190" i="1"/>
  <c r="QG190" i="1" s="1"/>
  <c r="QE198" i="1"/>
  <c r="QG198" i="1" s="1"/>
  <c r="QE206" i="1"/>
  <c r="QG206" i="1" s="1"/>
  <c r="QE225" i="1"/>
  <c r="QG225" i="1" s="1"/>
  <c r="QE233" i="1"/>
  <c r="QG233" i="1" s="1"/>
  <c r="QE241" i="1"/>
  <c r="QG241" i="1" s="1"/>
  <c r="QE218" i="1"/>
  <c r="QG218" i="1" s="1"/>
  <c r="QE191" i="1"/>
  <c r="QG191" i="1" s="1"/>
  <c r="QE199" i="1"/>
  <c r="QG199" i="1" s="1"/>
  <c r="QE207" i="1"/>
  <c r="QG207" i="1" s="1"/>
  <c r="QE226" i="1"/>
  <c r="QG226" i="1" s="1"/>
  <c r="QE234" i="1"/>
  <c r="QG234" i="1" s="1"/>
  <c r="QE242" i="1"/>
  <c r="QG242" i="1" s="1"/>
  <c r="QE184" i="1"/>
  <c r="QG184" i="1" s="1"/>
  <c r="QE192" i="1"/>
  <c r="QG192" i="1" s="1"/>
  <c r="QE200" i="1"/>
  <c r="QG200" i="1" s="1"/>
  <c r="QE208" i="1"/>
  <c r="QG208" i="1" s="1"/>
  <c r="QE219" i="1"/>
  <c r="QG219" i="1" s="1"/>
  <c r="QE227" i="1"/>
  <c r="QG227" i="1" s="1"/>
  <c r="QE235" i="1"/>
  <c r="QG235" i="1" s="1"/>
  <c r="QE243" i="1"/>
  <c r="QG243" i="1" s="1"/>
  <c r="QE185" i="1"/>
  <c r="QG185" i="1" s="1"/>
  <c r="QE193" i="1"/>
  <c r="QG193" i="1" s="1"/>
  <c r="QE201" i="1"/>
  <c r="QG201" i="1" s="1"/>
  <c r="QE209" i="1"/>
  <c r="QG209" i="1" s="1"/>
  <c r="QE220" i="1"/>
  <c r="QG220" i="1" s="1"/>
  <c r="QE228" i="1"/>
  <c r="QG228" i="1" s="1"/>
  <c r="QE236" i="1"/>
  <c r="QG236" i="1" s="1"/>
  <c r="QE244" i="1"/>
  <c r="QG244" i="1" s="1"/>
  <c r="QE186" i="1"/>
  <c r="QG186" i="1" s="1"/>
  <c r="QE194" i="1"/>
  <c r="QG194" i="1" s="1"/>
  <c r="QE202" i="1"/>
  <c r="QG202" i="1" s="1"/>
  <c r="QE210" i="1"/>
  <c r="QG210" i="1" s="1"/>
  <c r="QE221" i="1"/>
  <c r="QG221" i="1" s="1"/>
  <c r="QE229" i="1"/>
  <c r="QG229" i="1" s="1"/>
  <c r="QE237" i="1"/>
  <c r="QG237" i="1" s="1"/>
  <c r="QE245" i="1"/>
  <c r="QG245" i="1" s="1"/>
  <c r="QE187" i="1"/>
  <c r="QG187" i="1" s="1"/>
  <c r="QE195" i="1"/>
  <c r="QG195" i="1" s="1"/>
  <c r="QE203" i="1"/>
  <c r="QG203" i="1" s="1"/>
  <c r="QE211" i="1"/>
  <c r="QG211" i="1" s="1"/>
  <c r="PD223" i="1"/>
  <c r="PF223" i="1" s="1"/>
  <c r="PD231" i="1"/>
  <c r="PF231" i="1" s="1"/>
  <c r="PD239" i="1"/>
  <c r="PD247" i="1"/>
  <c r="PF247" i="1" s="1"/>
  <c r="PD189" i="1"/>
  <c r="PF189" i="1" s="1"/>
  <c r="PD197" i="1"/>
  <c r="PF197" i="1" s="1"/>
  <c r="PD205" i="1"/>
  <c r="PD183" i="1"/>
  <c r="PD224" i="1"/>
  <c r="PF224" i="1" s="1"/>
  <c r="PD232" i="1"/>
  <c r="PF232" i="1" s="1"/>
  <c r="PD240" i="1"/>
  <c r="PF240" i="1" s="1"/>
  <c r="PD248" i="1"/>
  <c r="PF248" i="1" s="1"/>
  <c r="PD190" i="1"/>
  <c r="PF190" i="1" s="1"/>
  <c r="PD198" i="1"/>
  <c r="PF198" i="1" s="1"/>
  <c r="PD206" i="1"/>
  <c r="PF206" i="1" s="1"/>
  <c r="PD225" i="1"/>
  <c r="PF225" i="1" s="1"/>
  <c r="PD233" i="1"/>
  <c r="PF233" i="1" s="1"/>
  <c r="PD241" i="1"/>
  <c r="PF241" i="1" s="1"/>
  <c r="PD218" i="1"/>
  <c r="PD191" i="1"/>
  <c r="PF191" i="1" s="1"/>
  <c r="PD199" i="1"/>
  <c r="PF199" i="1" s="1"/>
  <c r="PD207" i="1"/>
  <c r="PF207" i="1" s="1"/>
  <c r="PD226" i="1"/>
  <c r="PF226" i="1" s="1"/>
  <c r="PD234" i="1"/>
  <c r="PF234" i="1" s="1"/>
  <c r="PD242" i="1"/>
  <c r="PF242" i="1" s="1"/>
  <c r="PD184" i="1"/>
  <c r="PF184" i="1" s="1"/>
  <c r="PD192" i="1"/>
  <c r="PF192" i="1" s="1"/>
  <c r="PD200" i="1"/>
  <c r="PF200" i="1" s="1"/>
  <c r="PD208" i="1"/>
  <c r="PF208" i="1" s="1"/>
  <c r="PD219" i="1"/>
  <c r="PF219" i="1" s="1"/>
  <c r="PD227" i="1"/>
  <c r="PF227" i="1" s="1"/>
  <c r="PD235" i="1"/>
  <c r="PF235" i="1" s="1"/>
  <c r="PD243" i="1"/>
  <c r="PF243" i="1" s="1"/>
  <c r="PD185" i="1"/>
  <c r="PF185" i="1" s="1"/>
  <c r="PD193" i="1"/>
  <c r="PF193" i="1" s="1"/>
  <c r="PD201" i="1"/>
  <c r="PF201" i="1" s="1"/>
  <c r="PD209" i="1"/>
  <c r="PF209" i="1" s="1"/>
  <c r="PD220" i="1"/>
  <c r="PF220" i="1" s="1"/>
  <c r="PD228" i="1"/>
  <c r="PF228" i="1" s="1"/>
  <c r="PD236" i="1"/>
  <c r="PF236" i="1" s="1"/>
  <c r="PD244" i="1"/>
  <c r="PF244" i="1" s="1"/>
  <c r="PD186" i="1"/>
  <c r="PF186" i="1" s="1"/>
  <c r="PD194" i="1"/>
  <c r="PF194" i="1" s="1"/>
  <c r="PD202" i="1"/>
  <c r="PF202" i="1" s="1"/>
  <c r="PD210" i="1"/>
  <c r="PF210" i="1" s="1"/>
  <c r="PD221" i="1"/>
  <c r="PF221" i="1" s="1"/>
  <c r="PD229" i="1"/>
  <c r="PF229" i="1" s="1"/>
  <c r="PD237" i="1"/>
  <c r="PF237" i="1" s="1"/>
  <c r="PD245" i="1"/>
  <c r="PF245" i="1" s="1"/>
  <c r="PD187" i="1"/>
  <c r="PF187" i="1" s="1"/>
  <c r="PD195" i="1"/>
  <c r="PF195" i="1" s="1"/>
  <c r="PD203" i="1"/>
  <c r="PF203" i="1" s="1"/>
  <c r="PD211" i="1"/>
  <c r="PF211" i="1" s="1"/>
  <c r="PD222" i="1"/>
  <c r="PF222" i="1" s="1"/>
  <c r="PD230" i="1"/>
  <c r="PF230" i="1" s="1"/>
  <c r="PD238" i="1"/>
  <c r="PD246" i="1"/>
  <c r="PF246" i="1" s="1"/>
  <c r="PD188" i="1"/>
  <c r="PF188" i="1" s="1"/>
  <c r="PD196" i="1"/>
  <c r="PF196" i="1" s="1"/>
  <c r="PD204" i="1"/>
  <c r="PD212" i="1"/>
  <c r="PF212" i="1" s="1"/>
  <c r="OL13" i="1"/>
  <c r="ON13" i="1" s="1"/>
  <c r="OL190" i="1"/>
  <c r="ON190" i="1" s="1"/>
  <c r="OL224" i="1"/>
  <c r="ON224" i="1" s="1"/>
  <c r="OL16" i="1"/>
  <c r="ON16" i="1" s="1"/>
  <c r="OL193" i="1"/>
  <c r="ON193" i="1" s="1"/>
  <c r="OL227" i="1"/>
  <c r="ON227" i="1" s="1"/>
  <c r="OL35" i="1"/>
  <c r="ON35" i="1" s="1"/>
  <c r="OL212" i="1"/>
  <c r="ON212" i="1" s="1"/>
  <c r="OL246" i="1"/>
  <c r="ON246" i="1" s="1"/>
  <c r="OL22" i="1"/>
  <c r="ON22" i="1" s="1"/>
  <c r="OL195" i="1"/>
  <c r="ON195" i="1" s="1"/>
  <c r="OL229" i="1"/>
  <c r="ON229" i="1" s="1"/>
  <c r="OU226" i="1"/>
  <c r="OW226" i="1" s="1"/>
  <c r="OU234" i="1"/>
  <c r="OW234" i="1" s="1"/>
  <c r="OU242" i="1"/>
  <c r="OW242" i="1" s="1"/>
  <c r="OU184" i="1"/>
  <c r="OW184" i="1" s="1"/>
  <c r="OU192" i="1"/>
  <c r="OW192" i="1" s="1"/>
  <c r="OU200" i="1"/>
  <c r="OW200" i="1" s="1"/>
  <c r="OU208" i="1"/>
  <c r="OW208" i="1" s="1"/>
  <c r="OU219" i="1"/>
  <c r="OW219" i="1" s="1"/>
  <c r="OU227" i="1"/>
  <c r="OW227" i="1" s="1"/>
  <c r="OU235" i="1"/>
  <c r="OW235" i="1" s="1"/>
  <c r="OU243" i="1"/>
  <c r="OW243" i="1" s="1"/>
  <c r="OU185" i="1"/>
  <c r="OW185" i="1" s="1"/>
  <c r="OU193" i="1"/>
  <c r="OW193" i="1" s="1"/>
  <c r="OU201" i="1"/>
  <c r="OW201" i="1" s="1"/>
  <c r="OU209" i="1"/>
  <c r="OW209" i="1" s="1"/>
  <c r="OU220" i="1"/>
  <c r="OW220" i="1" s="1"/>
  <c r="OU228" i="1"/>
  <c r="OW228" i="1" s="1"/>
  <c r="OU236" i="1"/>
  <c r="OW236" i="1" s="1"/>
  <c r="OU244" i="1"/>
  <c r="OW244" i="1" s="1"/>
  <c r="OU186" i="1"/>
  <c r="OW186" i="1" s="1"/>
  <c r="OU194" i="1"/>
  <c r="OW194" i="1" s="1"/>
  <c r="OU202" i="1"/>
  <c r="OW202" i="1" s="1"/>
  <c r="OU210" i="1"/>
  <c r="OW210" i="1" s="1"/>
  <c r="OU221" i="1"/>
  <c r="OW221" i="1" s="1"/>
  <c r="OU229" i="1"/>
  <c r="OW229" i="1" s="1"/>
  <c r="OU237" i="1"/>
  <c r="OW237" i="1" s="1"/>
  <c r="OU245" i="1"/>
  <c r="OW245" i="1" s="1"/>
  <c r="OU187" i="1"/>
  <c r="OW187" i="1" s="1"/>
  <c r="OU195" i="1"/>
  <c r="OW195" i="1" s="1"/>
  <c r="OU203" i="1"/>
  <c r="OW203" i="1" s="1"/>
  <c r="OU211" i="1"/>
  <c r="OW211" i="1" s="1"/>
  <c r="OU222" i="1"/>
  <c r="OW222" i="1" s="1"/>
  <c r="OU230" i="1"/>
  <c r="OW230" i="1" s="1"/>
  <c r="OU238" i="1"/>
  <c r="OU246" i="1"/>
  <c r="OW246" i="1" s="1"/>
  <c r="OU188" i="1"/>
  <c r="OW188" i="1" s="1"/>
  <c r="OU196" i="1"/>
  <c r="OW196" i="1" s="1"/>
  <c r="OU204" i="1"/>
  <c r="OU212" i="1"/>
  <c r="OW212" i="1" s="1"/>
  <c r="OU223" i="1"/>
  <c r="OW223" i="1" s="1"/>
  <c r="OU231" i="1"/>
  <c r="OW231" i="1" s="1"/>
  <c r="OU239" i="1"/>
  <c r="OW239" i="1" s="1"/>
  <c r="OU247" i="1"/>
  <c r="OW247" i="1" s="1"/>
  <c r="OU189" i="1"/>
  <c r="OW189" i="1" s="1"/>
  <c r="OU197" i="1"/>
  <c r="OW197" i="1" s="1"/>
  <c r="OU205" i="1"/>
  <c r="OW205" i="1" s="1"/>
  <c r="OU183" i="1"/>
  <c r="OW183" i="1" s="1"/>
  <c r="OU224" i="1"/>
  <c r="OW224" i="1" s="1"/>
  <c r="OU232" i="1"/>
  <c r="OW232" i="1" s="1"/>
  <c r="OU240" i="1"/>
  <c r="OW240" i="1" s="1"/>
  <c r="OU248" i="1"/>
  <c r="OW248" i="1" s="1"/>
  <c r="OU190" i="1"/>
  <c r="OW190" i="1" s="1"/>
  <c r="OU198" i="1"/>
  <c r="OW198" i="1" s="1"/>
  <c r="OU206" i="1"/>
  <c r="OW206" i="1" s="1"/>
  <c r="OU225" i="1"/>
  <c r="OW225" i="1" s="1"/>
  <c r="OU233" i="1"/>
  <c r="OW233" i="1" s="1"/>
  <c r="OU241" i="1"/>
  <c r="OW241" i="1" s="1"/>
  <c r="OU218" i="1"/>
  <c r="OW218" i="1" s="1"/>
  <c r="OU191" i="1"/>
  <c r="OW191" i="1" s="1"/>
  <c r="OU199" i="1"/>
  <c r="OW199" i="1" s="1"/>
  <c r="OU207" i="1"/>
  <c r="OW207" i="1" s="1"/>
  <c r="OU13" i="1"/>
  <c r="OW13" i="1" s="1"/>
  <c r="OU21" i="1"/>
  <c r="OW21" i="1" s="1"/>
  <c r="OU29" i="1"/>
  <c r="OW29" i="1" s="1"/>
  <c r="OU14" i="1"/>
  <c r="OW14" i="1" s="1"/>
  <c r="OU22" i="1"/>
  <c r="OW22" i="1" s="1"/>
  <c r="OU30" i="1"/>
  <c r="OW30" i="1" s="1"/>
  <c r="OU7" i="1"/>
  <c r="OW7" i="1" s="1"/>
  <c r="OU15" i="1"/>
  <c r="OW15" i="1" s="1"/>
  <c r="OU23" i="1"/>
  <c r="OW23" i="1" s="1"/>
  <c r="OU31" i="1"/>
  <c r="OW31" i="1" s="1"/>
  <c r="OU8" i="1"/>
  <c r="OW8" i="1" s="1"/>
  <c r="OU16" i="1"/>
  <c r="OW16" i="1" s="1"/>
  <c r="OU24" i="1"/>
  <c r="OW24" i="1" s="1"/>
  <c r="OU32" i="1"/>
  <c r="OW32" i="1" s="1"/>
  <c r="OU9" i="1"/>
  <c r="OW9" i="1" s="1"/>
  <c r="OU17" i="1"/>
  <c r="OW17" i="1" s="1"/>
  <c r="OU25" i="1"/>
  <c r="OW25" i="1" s="1"/>
  <c r="OU33" i="1"/>
  <c r="OW33" i="1" s="1"/>
  <c r="OU10" i="1"/>
  <c r="OW10" i="1" s="1"/>
  <c r="OU18" i="1"/>
  <c r="OW18" i="1" s="1"/>
  <c r="OU26" i="1"/>
  <c r="OW26" i="1" s="1"/>
  <c r="OU34" i="1"/>
  <c r="OW34" i="1" s="1"/>
  <c r="OU11" i="1"/>
  <c r="OW11" i="1" s="1"/>
  <c r="OU19" i="1"/>
  <c r="OW19" i="1" s="1"/>
  <c r="OU27" i="1"/>
  <c r="OW27" i="1" s="1"/>
  <c r="OU35" i="1"/>
  <c r="OW35" i="1" s="1"/>
  <c r="OU36" i="1"/>
  <c r="OW36" i="1" s="1"/>
  <c r="OU12" i="1"/>
  <c r="OW12" i="1" s="1"/>
  <c r="OU20" i="1"/>
  <c r="OW20" i="1" s="1"/>
  <c r="OU28" i="1"/>
  <c r="OW28" i="1" s="1"/>
  <c r="OL9" i="1"/>
  <c r="ON9" i="1" s="1"/>
  <c r="OL186" i="1"/>
  <c r="ON186" i="1" s="1"/>
  <c r="OL220" i="1"/>
  <c r="ON220" i="1" s="1"/>
  <c r="OL12" i="1"/>
  <c r="ON12" i="1" s="1"/>
  <c r="OL189" i="1"/>
  <c r="ON189" i="1" s="1"/>
  <c r="OL223" i="1"/>
  <c r="ON223" i="1" s="1"/>
  <c r="OL31" i="1"/>
  <c r="ON31" i="1" s="1"/>
  <c r="OL208" i="1"/>
  <c r="ON208" i="1" s="1"/>
  <c r="OL242" i="1"/>
  <c r="ON242" i="1" s="1"/>
  <c r="OL18" i="1"/>
  <c r="ON18" i="1" s="1"/>
  <c r="OL191" i="1"/>
  <c r="ON191" i="1" s="1"/>
  <c r="OL225" i="1"/>
  <c r="ON225" i="1" s="1"/>
  <c r="OL248" i="1"/>
  <c r="ON248" i="1" s="1"/>
  <c r="OL8" i="1"/>
  <c r="ON8" i="1" s="1"/>
  <c r="OL185" i="1"/>
  <c r="ON185" i="1" s="1"/>
  <c r="OL219" i="1"/>
  <c r="ON219" i="1" s="1"/>
  <c r="OL27" i="1"/>
  <c r="ON27" i="1" s="1"/>
  <c r="OL204" i="1"/>
  <c r="OL238" i="1"/>
  <c r="OL14" i="1"/>
  <c r="ON14" i="1" s="1"/>
  <c r="OL187" i="1"/>
  <c r="ON187" i="1" s="1"/>
  <c r="KZ222" i="1"/>
  <c r="KZ226" i="1"/>
  <c r="KZ230" i="1"/>
  <c r="KZ234" i="1"/>
  <c r="KZ238" i="1"/>
  <c r="KZ242" i="1"/>
  <c r="KZ246" i="1"/>
  <c r="KZ183" i="1"/>
  <c r="KZ187" i="1"/>
  <c r="KZ191" i="1"/>
  <c r="KZ195" i="1"/>
  <c r="KZ199" i="1"/>
  <c r="KZ203" i="1"/>
  <c r="KZ207" i="1"/>
  <c r="KZ211" i="1"/>
  <c r="KZ225" i="1"/>
  <c r="KZ233" i="1"/>
  <c r="KZ237" i="1"/>
  <c r="KZ245" i="1"/>
  <c r="KZ190" i="1"/>
  <c r="KZ202" i="1"/>
  <c r="KZ219" i="1"/>
  <c r="KZ223" i="1"/>
  <c r="KZ227" i="1"/>
  <c r="KZ231" i="1"/>
  <c r="KZ235" i="1"/>
  <c r="KZ239" i="1"/>
  <c r="KZ243" i="1"/>
  <c r="KZ247" i="1"/>
  <c r="KZ184" i="1"/>
  <c r="KZ188" i="1"/>
  <c r="KZ192" i="1"/>
  <c r="KZ196" i="1"/>
  <c r="KZ200" i="1"/>
  <c r="KZ204" i="1"/>
  <c r="KZ208" i="1"/>
  <c r="KZ212" i="1"/>
  <c r="KZ221" i="1"/>
  <c r="KZ229" i="1"/>
  <c r="KZ241" i="1"/>
  <c r="KZ218" i="1"/>
  <c r="KZ186" i="1"/>
  <c r="KZ198" i="1"/>
  <c r="KZ210" i="1"/>
  <c r="KZ220" i="1"/>
  <c r="KZ224" i="1"/>
  <c r="KZ228" i="1"/>
  <c r="KZ232" i="1"/>
  <c r="KZ236" i="1"/>
  <c r="KZ240" i="1"/>
  <c r="KZ244" i="1"/>
  <c r="KZ248" i="1"/>
  <c r="KZ185" i="1"/>
  <c r="KZ189" i="1"/>
  <c r="KZ193" i="1"/>
  <c r="KZ197" i="1"/>
  <c r="KZ201" i="1"/>
  <c r="KZ205" i="1"/>
  <c r="KZ209" i="1"/>
  <c r="KZ194" i="1"/>
  <c r="KZ206" i="1"/>
  <c r="AS15" i="5"/>
  <c r="H51" i="18" s="1"/>
  <c r="O51" i="18" s="1"/>
  <c r="AT15" i="5"/>
  <c r="H52" i="18" s="1"/>
  <c r="O52" i="18" s="1"/>
  <c r="AY15" i="5"/>
  <c r="H57" i="18" s="1"/>
  <c r="O57" i="18" s="1"/>
  <c r="QH75" i="1"/>
  <c r="AX15" i="5"/>
  <c r="H56" i="18" s="1"/>
  <c r="O56" i="18" s="1"/>
  <c r="PY75" i="1"/>
  <c r="AW15" i="5"/>
  <c r="AU15" i="5"/>
  <c r="H53" i="18" s="1"/>
  <c r="O53" i="18" s="1"/>
  <c r="AZ15" i="5"/>
  <c r="QQ75" i="1"/>
  <c r="AV15" i="5"/>
  <c r="H54" i="18" s="1"/>
  <c r="O54" i="18" s="1"/>
  <c r="PG75" i="1"/>
  <c r="QN7" i="1"/>
  <c r="QP7" i="1" s="1"/>
  <c r="QN9" i="1"/>
  <c r="QP9" i="1" s="1"/>
  <c r="QN11" i="1"/>
  <c r="QP11" i="1" s="1"/>
  <c r="QN13" i="1"/>
  <c r="QP13" i="1" s="1"/>
  <c r="QN15" i="1"/>
  <c r="QP15" i="1" s="1"/>
  <c r="QN17" i="1"/>
  <c r="QP17" i="1" s="1"/>
  <c r="QN19" i="1"/>
  <c r="QP19" i="1" s="1"/>
  <c r="QN21" i="1"/>
  <c r="QP21" i="1" s="1"/>
  <c r="QN23" i="1"/>
  <c r="QP23" i="1" s="1"/>
  <c r="QN25" i="1"/>
  <c r="QP25" i="1" s="1"/>
  <c r="QN27" i="1"/>
  <c r="QP27" i="1" s="1"/>
  <c r="QN29" i="1"/>
  <c r="QP29" i="1" s="1"/>
  <c r="QN31" i="1"/>
  <c r="QP31" i="1" s="1"/>
  <c r="QN33" i="1"/>
  <c r="QP33" i="1" s="1"/>
  <c r="QN35" i="1"/>
  <c r="QP35" i="1" s="1"/>
  <c r="QN8" i="1"/>
  <c r="QP8" i="1" s="1"/>
  <c r="QN10" i="1"/>
  <c r="QP10" i="1" s="1"/>
  <c r="QN12" i="1"/>
  <c r="QP12" i="1" s="1"/>
  <c r="QN14" i="1"/>
  <c r="QP14" i="1" s="1"/>
  <c r="QN16" i="1"/>
  <c r="QP16" i="1" s="1"/>
  <c r="QN18" i="1"/>
  <c r="QP18" i="1" s="1"/>
  <c r="QN20" i="1"/>
  <c r="QP20" i="1" s="1"/>
  <c r="QN22" i="1"/>
  <c r="QP22" i="1" s="1"/>
  <c r="QN24" i="1"/>
  <c r="QP24" i="1" s="1"/>
  <c r="QN26" i="1"/>
  <c r="QP26" i="1" s="1"/>
  <c r="QN28" i="1"/>
  <c r="QP28" i="1" s="1"/>
  <c r="QN30" i="1"/>
  <c r="QP30" i="1" s="1"/>
  <c r="QN32" i="1"/>
  <c r="QP32" i="1" s="1"/>
  <c r="QN34" i="1"/>
  <c r="QP34" i="1" s="1"/>
  <c r="QN36" i="1"/>
  <c r="QP36" i="1" s="1"/>
  <c r="PV8" i="1"/>
  <c r="PX8" i="1" s="1"/>
  <c r="PV10" i="1"/>
  <c r="PX10" i="1" s="1"/>
  <c r="PV12" i="1"/>
  <c r="PX12" i="1" s="1"/>
  <c r="PV14" i="1"/>
  <c r="PX14" i="1" s="1"/>
  <c r="PV16" i="1"/>
  <c r="PX16" i="1" s="1"/>
  <c r="PV18" i="1"/>
  <c r="PX18" i="1" s="1"/>
  <c r="PV20" i="1"/>
  <c r="PX20" i="1" s="1"/>
  <c r="PV22" i="1"/>
  <c r="PX22" i="1" s="1"/>
  <c r="PV24" i="1"/>
  <c r="PX24" i="1" s="1"/>
  <c r="PV26" i="1"/>
  <c r="PX26" i="1" s="1"/>
  <c r="PV28" i="1"/>
  <c r="PX28" i="1" s="1"/>
  <c r="PV30" i="1"/>
  <c r="PX30" i="1" s="1"/>
  <c r="PV32" i="1"/>
  <c r="PX32" i="1" s="1"/>
  <c r="PV34" i="1"/>
  <c r="PX34" i="1" s="1"/>
  <c r="PV36" i="1"/>
  <c r="PX36" i="1" s="1"/>
  <c r="PV7" i="1"/>
  <c r="PX7" i="1" s="1"/>
  <c r="PV9" i="1"/>
  <c r="PX9" i="1" s="1"/>
  <c r="PV11" i="1"/>
  <c r="PX11" i="1" s="1"/>
  <c r="PV13" i="1"/>
  <c r="PX13" i="1" s="1"/>
  <c r="PV15" i="1"/>
  <c r="PX15" i="1" s="1"/>
  <c r="PV17" i="1"/>
  <c r="PX17" i="1" s="1"/>
  <c r="PV19" i="1"/>
  <c r="PX19" i="1" s="1"/>
  <c r="PV21" i="1"/>
  <c r="PX21" i="1" s="1"/>
  <c r="PV23" i="1"/>
  <c r="PX23" i="1" s="1"/>
  <c r="PV25" i="1"/>
  <c r="PX25" i="1" s="1"/>
  <c r="PV27" i="1"/>
  <c r="PX27" i="1" s="1"/>
  <c r="PV29" i="1"/>
  <c r="PX29" i="1" s="1"/>
  <c r="PV31" i="1"/>
  <c r="PX31" i="1" s="1"/>
  <c r="PV33" i="1"/>
  <c r="PX33" i="1" s="1"/>
  <c r="PV35" i="1"/>
  <c r="PX35" i="1" s="1"/>
  <c r="QE7" i="1"/>
  <c r="QG7" i="1" s="1"/>
  <c r="QE9" i="1"/>
  <c r="QG9" i="1" s="1"/>
  <c r="QE11" i="1"/>
  <c r="QG11" i="1" s="1"/>
  <c r="QE13" i="1"/>
  <c r="QG13" i="1" s="1"/>
  <c r="QE15" i="1"/>
  <c r="QG15" i="1" s="1"/>
  <c r="QE17" i="1"/>
  <c r="QG17" i="1" s="1"/>
  <c r="QE19" i="1"/>
  <c r="QG19" i="1" s="1"/>
  <c r="QE21" i="1"/>
  <c r="QG21" i="1" s="1"/>
  <c r="QE23" i="1"/>
  <c r="QG23" i="1" s="1"/>
  <c r="QE25" i="1"/>
  <c r="QG25" i="1" s="1"/>
  <c r="QE27" i="1"/>
  <c r="QG27" i="1" s="1"/>
  <c r="QE29" i="1"/>
  <c r="QG29" i="1" s="1"/>
  <c r="QE31" i="1"/>
  <c r="QG31" i="1" s="1"/>
  <c r="QE33" i="1"/>
  <c r="QG33" i="1" s="1"/>
  <c r="QE35" i="1"/>
  <c r="QG35" i="1" s="1"/>
  <c r="QE8" i="1"/>
  <c r="QG8" i="1" s="1"/>
  <c r="QE10" i="1"/>
  <c r="QG10" i="1" s="1"/>
  <c r="QE12" i="1"/>
  <c r="QG12" i="1" s="1"/>
  <c r="QE14" i="1"/>
  <c r="QG14" i="1" s="1"/>
  <c r="QE16" i="1"/>
  <c r="QG16" i="1" s="1"/>
  <c r="QE18" i="1"/>
  <c r="QG18" i="1" s="1"/>
  <c r="QE20" i="1"/>
  <c r="QG20" i="1" s="1"/>
  <c r="QE22" i="1"/>
  <c r="QG22" i="1" s="1"/>
  <c r="QE24" i="1"/>
  <c r="QG24" i="1" s="1"/>
  <c r="QE26" i="1"/>
  <c r="QG26" i="1" s="1"/>
  <c r="QE28" i="1"/>
  <c r="QG28" i="1" s="1"/>
  <c r="QE30" i="1"/>
  <c r="QG30" i="1" s="1"/>
  <c r="QE32" i="1"/>
  <c r="QG32" i="1" s="1"/>
  <c r="QE34" i="1"/>
  <c r="QG34" i="1" s="1"/>
  <c r="QE36" i="1"/>
  <c r="QG36" i="1" s="1"/>
  <c r="PM7" i="1"/>
  <c r="PO7" i="1" s="1"/>
  <c r="PM9" i="1"/>
  <c r="PO9" i="1" s="1"/>
  <c r="PM11" i="1"/>
  <c r="PO11" i="1" s="1"/>
  <c r="PM13" i="1"/>
  <c r="PO13" i="1" s="1"/>
  <c r="PM15" i="1"/>
  <c r="PO15" i="1" s="1"/>
  <c r="PM17" i="1"/>
  <c r="PO17" i="1" s="1"/>
  <c r="PM19" i="1"/>
  <c r="PO19" i="1" s="1"/>
  <c r="PM21" i="1"/>
  <c r="PO21" i="1" s="1"/>
  <c r="PM23" i="1"/>
  <c r="PO23" i="1" s="1"/>
  <c r="PM25" i="1"/>
  <c r="PO25" i="1" s="1"/>
  <c r="PM27" i="1"/>
  <c r="PO27" i="1" s="1"/>
  <c r="PM29" i="1"/>
  <c r="PO29" i="1" s="1"/>
  <c r="PM31" i="1"/>
  <c r="PO31" i="1" s="1"/>
  <c r="PM33" i="1"/>
  <c r="PO33" i="1" s="1"/>
  <c r="PM35" i="1"/>
  <c r="PO35" i="1" s="1"/>
  <c r="PM8" i="1"/>
  <c r="PO8" i="1" s="1"/>
  <c r="PM10" i="1"/>
  <c r="PO10" i="1" s="1"/>
  <c r="PM12" i="1"/>
  <c r="PO12" i="1" s="1"/>
  <c r="PM14" i="1"/>
  <c r="PO14" i="1" s="1"/>
  <c r="PM16" i="1"/>
  <c r="PO16" i="1" s="1"/>
  <c r="PM18" i="1"/>
  <c r="PO18" i="1" s="1"/>
  <c r="PM20" i="1"/>
  <c r="PO20" i="1" s="1"/>
  <c r="PM22" i="1"/>
  <c r="PO22" i="1" s="1"/>
  <c r="PM24" i="1"/>
  <c r="PO24" i="1" s="1"/>
  <c r="PM26" i="1"/>
  <c r="PO26" i="1" s="1"/>
  <c r="PM28" i="1"/>
  <c r="PO28" i="1" s="1"/>
  <c r="PM30" i="1"/>
  <c r="PO30" i="1" s="1"/>
  <c r="PM32" i="1"/>
  <c r="PO32" i="1" s="1"/>
  <c r="PM34" i="1"/>
  <c r="PO34" i="1" s="1"/>
  <c r="PM36" i="1"/>
  <c r="PO36" i="1" s="1"/>
  <c r="PD8" i="1"/>
  <c r="PF8" i="1" s="1"/>
  <c r="PD7" i="1"/>
  <c r="PF7" i="1" s="1"/>
  <c r="PD12" i="1"/>
  <c r="PF12" i="1" s="1"/>
  <c r="PD16" i="1"/>
  <c r="PF16" i="1" s="1"/>
  <c r="PD20" i="1"/>
  <c r="PF20" i="1" s="1"/>
  <c r="PD24" i="1"/>
  <c r="PF24" i="1" s="1"/>
  <c r="PD28" i="1"/>
  <c r="PF28" i="1" s="1"/>
  <c r="PD32" i="1"/>
  <c r="PF32" i="1" s="1"/>
  <c r="PD36" i="1"/>
  <c r="PF36" i="1" s="1"/>
  <c r="PD9" i="1"/>
  <c r="PF9" i="1" s="1"/>
  <c r="PD13" i="1"/>
  <c r="PF13" i="1" s="1"/>
  <c r="PD17" i="1"/>
  <c r="PF17" i="1" s="1"/>
  <c r="PD21" i="1"/>
  <c r="PF21" i="1" s="1"/>
  <c r="PD25" i="1"/>
  <c r="PF25" i="1" s="1"/>
  <c r="PD29" i="1"/>
  <c r="PF29" i="1" s="1"/>
  <c r="PD33" i="1"/>
  <c r="PF33" i="1" s="1"/>
  <c r="PD10" i="1"/>
  <c r="PD14" i="1"/>
  <c r="PF14" i="1" s="1"/>
  <c r="PD18" i="1"/>
  <c r="PF18" i="1" s="1"/>
  <c r="PD22" i="1"/>
  <c r="PF22" i="1" s="1"/>
  <c r="PD26" i="1"/>
  <c r="PF26" i="1" s="1"/>
  <c r="PD30" i="1"/>
  <c r="PF30" i="1" s="1"/>
  <c r="PD34" i="1"/>
  <c r="PF34" i="1" s="1"/>
  <c r="PD11" i="1"/>
  <c r="PF11" i="1" s="1"/>
  <c r="PD27" i="1"/>
  <c r="PF27" i="1" s="1"/>
  <c r="PD15" i="1"/>
  <c r="PF15" i="1" s="1"/>
  <c r="PD31" i="1"/>
  <c r="PF31" i="1" s="1"/>
  <c r="PD23" i="1"/>
  <c r="PF23" i="1" s="1"/>
  <c r="PD19" i="1"/>
  <c r="PF19" i="1" s="1"/>
  <c r="PD35" i="1"/>
  <c r="PF35" i="1" s="1"/>
  <c r="KZ9" i="1"/>
  <c r="KZ10" i="1"/>
  <c r="KZ7" i="1"/>
  <c r="KZ8" i="1"/>
  <c r="KZ12" i="1"/>
  <c r="KZ16" i="1"/>
  <c r="KZ20" i="1"/>
  <c r="KZ24" i="1"/>
  <c r="KZ28" i="1"/>
  <c r="KZ32" i="1"/>
  <c r="KZ36" i="1"/>
  <c r="KZ11" i="1"/>
  <c r="KZ23" i="1"/>
  <c r="KZ35" i="1"/>
  <c r="KZ13" i="1"/>
  <c r="KZ17" i="1"/>
  <c r="KZ21" i="1"/>
  <c r="KZ25" i="1"/>
  <c r="KZ29" i="1"/>
  <c r="KZ33" i="1"/>
  <c r="KZ19" i="1"/>
  <c r="KZ14" i="1"/>
  <c r="KZ18" i="1"/>
  <c r="KZ22" i="1"/>
  <c r="KZ26" i="1"/>
  <c r="KZ30" i="1"/>
  <c r="KZ34" i="1"/>
  <c r="KZ15" i="1"/>
  <c r="KZ27" i="1"/>
  <c r="KZ31" i="1"/>
  <c r="EB8" i="7"/>
  <c r="EB9" i="7"/>
  <c r="EB10" i="7"/>
  <c r="EB11" i="7"/>
  <c r="EB12" i="7"/>
  <c r="EB13" i="7"/>
  <c r="EB14" i="7"/>
  <c r="EB15" i="7"/>
  <c r="EB16" i="7"/>
  <c r="EB17" i="7"/>
  <c r="EB18" i="7"/>
  <c r="EB21" i="7"/>
  <c r="EB22" i="7"/>
  <c r="EB23" i="7"/>
  <c r="EB24" i="7"/>
  <c r="EB25" i="7"/>
  <c r="EB26" i="7"/>
  <c r="EB27" i="7"/>
  <c r="EB28" i="7"/>
  <c r="EB29" i="7"/>
  <c r="EB30" i="7"/>
  <c r="EB31" i="7"/>
  <c r="EB32" i="7"/>
  <c r="EB33" i="7"/>
  <c r="EB34" i="7"/>
  <c r="EB35" i="7"/>
  <c r="EB36" i="7"/>
  <c r="EB37" i="7"/>
  <c r="EB38" i="7"/>
  <c r="EB39" i="7"/>
  <c r="KH244" i="1" s="1"/>
  <c r="EB40" i="7"/>
  <c r="EB7" i="7"/>
  <c r="BD46" i="5" l="1"/>
  <c r="SA218" i="1"/>
  <c r="SA219" i="1" s="1"/>
  <c r="SA220" i="1" s="1"/>
  <c r="SA221" i="1" s="1"/>
  <c r="SA222" i="1" s="1"/>
  <c r="SA223" i="1" s="1"/>
  <c r="SA224" i="1" s="1"/>
  <c r="SA225" i="1" s="1"/>
  <c r="SA226" i="1" s="1"/>
  <c r="SA227" i="1" s="1"/>
  <c r="SA228" i="1" s="1"/>
  <c r="SA229" i="1" s="1"/>
  <c r="SA230" i="1" s="1"/>
  <c r="SA231" i="1" s="1"/>
  <c r="SA232" i="1" s="1"/>
  <c r="SA233" i="1" s="1"/>
  <c r="SA234" i="1" s="1"/>
  <c r="SA235" i="1" s="1"/>
  <c r="SA236" i="1" s="1"/>
  <c r="SA237" i="1" s="1"/>
  <c r="SA238" i="1" s="1"/>
  <c r="SA239" i="1" s="1"/>
  <c r="SA240" i="1" s="1"/>
  <c r="SA241" i="1" s="1"/>
  <c r="SA242" i="1" s="1"/>
  <c r="SA243" i="1" s="1"/>
  <c r="SA244" i="1" s="1"/>
  <c r="SA245" i="1" s="1"/>
  <c r="SA246" i="1" s="1"/>
  <c r="SA247" i="1" s="1"/>
  <c r="SA248" i="1" s="1"/>
  <c r="SA249" i="1" s="1"/>
  <c r="SS218" i="1"/>
  <c r="SS219" i="1" s="1"/>
  <c r="SS220" i="1" s="1"/>
  <c r="SS221" i="1" s="1"/>
  <c r="SS222" i="1" s="1"/>
  <c r="SS223" i="1" s="1"/>
  <c r="SS224" i="1" s="1"/>
  <c r="SS225" i="1" s="1"/>
  <c r="SS226" i="1" s="1"/>
  <c r="SS227" i="1" s="1"/>
  <c r="SS228" i="1" s="1"/>
  <c r="SS229" i="1" s="1"/>
  <c r="SS230" i="1" s="1"/>
  <c r="SS231" i="1" s="1"/>
  <c r="SS232" i="1" s="1"/>
  <c r="SS233" i="1" s="1"/>
  <c r="SS234" i="1" s="1"/>
  <c r="SS235" i="1" s="1"/>
  <c r="SS236" i="1" s="1"/>
  <c r="SS237" i="1" s="1"/>
  <c r="SS238" i="1" s="1"/>
  <c r="SS239" i="1" s="1"/>
  <c r="SS240" i="1" s="1"/>
  <c r="SS241" i="1" s="1"/>
  <c r="SS242" i="1" s="1"/>
  <c r="SS243" i="1" s="1"/>
  <c r="SS244" i="1" s="1"/>
  <c r="SS245" i="1" s="1"/>
  <c r="SS246" i="1" s="1"/>
  <c r="SS247" i="1" s="1"/>
  <c r="SS248" i="1" s="1"/>
  <c r="SS249" i="1" s="1"/>
  <c r="BF46" i="5"/>
  <c r="TB218" i="1"/>
  <c r="TB219" i="1" s="1"/>
  <c r="TB220" i="1" s="1"/>
  <c r="TB221" i="1" s="1"/>
  <c r="TB222" i="1" s="1"/>
  <c r="TB223" i="1" s="1"/>
  <c r="TB224" i="1" s="1"/>
  <c r="TB225" i="1" s="1"/>
  <c r="TB226" i="1" s="1"/>
  <c r="TB227" i="1" s="1"/>
  <c r="TB228" i="1" s="1"/>
  <c r="TB229" i="1" s="1"/>
  <c r="TB230" i="1" s="1"/>
  <c r="TB231" i="1" s="1"/>
  <c r="TB232" i="1" s="1"/>
  <c r="TB233" i="1" s="1"/>
  <c r="TB234" i="1" s="1"/>
  <c r="TB235" i="1" s="1"/>
  <c r="TB236" i="1" s="1"/>
  <c r="TB237" i="1" s="1"/>
  <c r="TB238" i="1" s="1"/>
  <c r="TB239" i="1" s="1"/>
  <c r="TB240" i="1" s="1"/>
  <c r="TB241" i="1" s="1"/>
  <c r="TB242" i="1" s="1"/>
  <c r="TB243" i="1" s="1"/>
  <c r="TB244" i="1" s="1"/>
  <c r="TB245" i="1" s="1"/>
  <c r="TB246" i="1" s="1"/>
  <c r="TB247" i="1" s="1"/>
  <c r="TB248" i="1" s="1"/>
  <c r="TB249" i="1" s="1"/>
  <c r="BG46" i="5"/>
  <c r="TK218" i="1"/>
  <c r="TK219" i="1" s="1"/>
  <c r="TK220" i="1" s="1"/>
  <c r="TK221" i="1" s="1"/>
  <c r="TK222" i="1" s="1"/>
  <c r="TK223" i="1" s="1"/>
  <c r="TK224" i="1" s="1"/>
  <c r="TK225" i="1" s="1"/>
  <c r="TK226" i="1" s="1"/>
  <c r="TK227" i="1" s="1"/>
  <c r="TK228" i="1" s="1"/>
  <c r="TK229" i="1" s="1"/>
  <c r="TK230" i="1" s="1"/>
  <c r="TK231" i="1" s="1"/>
  <c r="TK232" i="1" s="1"/>
  <c r="TK233" i="1" s="1"/>
  <c r="TK234" i="1" s="1"/>
  <c r="TK235" i="1" s="1"/>
  <c r="TK236" i="1" s="1"/>
  <c r="TK237" i="1" s="1"/>
  <c r="TK238" i="1" s="1"/>
  <c r="TK239" i="1" s="1"/>
  <c r="TK240" i="1" s="1"/>
  <c r="TK241" i="1" s="1"/>
  <c r="TK242" i="1" s="1"/>
  <c r="TK243" i="1" s="1"/>
  <c r="TK244" i="1" s="1"/>
  <c r="TK245" i="1" s="1"/>
  <c r="TK246" i="1" s="1"/>
  <c r="TK247" i="1" s="1"/>
  <c r="TK248" i="1" s="1"/>
  <c r="TK249" i="1" s="1"/>
  <c r="BH46" i="5"/>
  <c r="BE46" i="5"/>
  <c r="SJ218" i="1"/>
  <c r="SJ219" i="1" s="1"/>
  <c r="SJ220" i="1" s="1"/>
  <c r="SJ221" i="1" s="1"/>
  <c r="SJ222" i="1" s="1"/>
  <c r="SJ223" i="1" s="1"/>
  <c r="SJ224" i="1" s="1"/>
  <c r="SJ225" i="1" s="1"/>
  <c r="SJ226" i="1" s="1"/>
  <c r="SJ227" i="1" s="1"/>
  <c r="SJ228" i="1" s="1"/>
  <c r="SJ229" i="1" s="1"/>
  <c r="SJ230" i="1" s="1"/>
  <c r="SJ231" i="1" s="1"/>
  <c r="SJ232" i="1" s="1"/>
  <c r="SJ233" i="1" s="1"/>
  <c r="SJ234" i="1" s="1"/>
  <c r="SJ235" i="1" s="1"/>
  <c r="SJ236" i="1" s="1"/>
  <c r="SJ237" i="1" s="1"/>
  <c r="SJ238" i="1" s="1"/>
  <c r="SJ239" i="1" s="1"/>
  <c r="SJ240" i="1" s="1"/>
  <c r="SJ241" i="1" s="1"/>
  <c r="SJ242" i="1" s="1"/>
  <c r="SJ243" i="1" s="1"/>
  <c r="SJ244" i="1" s="1"/>
  <c r="SJ245" i="1" s="1"/>
  <c r="SJ246" i="1" s="1"/>
  <c r="SJ247" i="1" s="1"/>
  <c r="SJ248" i="1" s="1"/>
  <c r="SJ249" i="1" s="1"/>
  <c r="BC46" i="5"/>
  <c r="RR218" i="1"/>
  <c r="RR219" i="1" s="1"/>
  <c r="RR220" i="1" s="1"/>
  <c r="RR221" i="1" s="1"/>
  <c r="RR222" i="1" s="1"/>
  <c r="RR223" i="1" s="1"/>
  <c r="RR224" i="1" s="1"/>
  <c r="RR225" i="1" s="1"/>
  <c r="RR226" i="1" s="1"/>
  <c r="RR227" i="1" s="1"/>
  <c r="RR228" i="1" s="1"/>
  <c r="RR229" i="1" s="1"/>
  <c r="RR230" i="1" s="1"/>
  <c r="RR231" i="1" s="1"/>
  <c r="RR232" i="1" s="1"/>
  <c r="RR233" i="1" s="1"/>
  <c r="RR234" i="1" s="1"/>
  <c r="RR235" i="1" s="1"/>
  <c r="RR236" i="1" s="1"/>
  <c r="RR237" i="1" s="1"/>
  <c r="RR238" i="1" s="1"/>
  <c r="RR239" i="1" s="1"/>
  <c r="RR240" i="1" s="1"/>
  <c r="RR241" i="1" s="1"/>
  <c r="RR242" i="1" s="1"/>
  <c r="RR243" i="1" s="1"/>
  <c r="RR244" i="1" s="1"/>
  <c r="RR245" i="1" s="1"/>
  <c r="RR246" i="1" s="1"/>
  <c r="RR247" i="1" s="1"/>
  <c r="RR248" i="1" s="1"/>
  <c r="RR249" i="1" s="1"/>
  <c r="H58" i="18"/>
  <c r="O58" i="18" s="1"/>
  <c r="H55" i="18"/>
  <c r="O55" i="18" s="1"/>
  <c r="BA46" i="5"/>
  <c r="QZ218" i="1"/>
  <c r="QZ219" i="1" s="1"/>
  <c r="QZ220" i="1" s="1"/>
  <c r="QZ221" i="1" s="1"/>
  <c r="QZ222" i="1" s="1"/>
  <c r="QZ223" i="1" s="1"/>
  <c r="QZ224" i="1" s="1"/>
  <c r="QZ225" i="1" s="1"/>
  <c r="QZ226" i="1" s="1"/>
  <c r="QZ227" i="1" s="1"/>
  <c r="QZ228" i="1" s="1"/>
  <c r="QZ229" i="1" s="1"/>
  <c r="QZ230" i="1" s="1"/>
  <c r="QZ231" i="1" s="1"/>
  <c r="QZ232" i="1" s="1"/>
  <c r="QZ233" i="1" s="1"/>
  <c r="QZ234" i="1" s="1"/>
  <c r="QZ235" i="1" s="1"/>
  <c r="QZ236" i="1" s="1"/>
  <c r="QZ237" i="1" s="1"/>
  <c r="QZ238" i="1" s="1"/>
  <c r="QZ239" i="1" s="1"/>
  <c r="QZ240" i="1" s="1"/>
  <c r="QZ241" i="1" s="1"/>
  <c r="QZ242" i="1" s="1"/>
  <c r="QZ243" i="1" s="1"/>
  <c r="QZ244" i="1" s="1"/>
  <c r="QZ245" i="1" s="1"/>
  <c r="QZ246" i="1" s="1"/>
  <c r="QZ247" i="1" s="1"/>
  <c r="QZ248" i="1" s="1"/>
  <c r="QZ249" i="1" s="1"/>
  <c r="ABI396" i="1"/>
  <c r="ABI427" i="1" s="1"/>
  <c r="ABG427" i="1"/>
  <c r="ABG356" i="1"/>
  <c r="ABI325" i="1"/>
  <c r="ABI356" i="1" s="1"/>
  <c r="ABG320" i="1"/>
  <c r="ABI290" i="1"/>
  <c r="ABI320" i="1" s="1"/>
  <c r="ABI112" i="1"/>
  <c r="ABI142" i="1" s="1"/>
  <c r="ABG142" i="1"/>
  <c r="ABG71" i="1"/>
  <c r="ABI42" i="1"/>
  <c r="ABI71" i="1" s="1"/>
  <c r="AAZ396" i="1"/>
  <c r="AAZ427" i="1" s="1"/>
  <c r="AAX427" i="1"/>
  <c r="AAX391" i="1"/>
  <c r="AAZ361" i="1"/>
  <c r="AAZ391" i="1" s="1"/>
  <c r="AAX356" i="1"/>
  <c r="AAZ325" i="1"/>
  <c r="AAZ356" i="1" s="1"/>
  <c r="AAX178" i="1"/>
  <c r="AAZ147" i="1"/>
  <c r="AAZ178" i="1" s="1"/>
  <c r="AAX142" i="1"/>
  <c r="AAZ112" i="1"/>
  <c r="AAZ142" i="1" s="1"/>
  <c r="AAX37" i="1"/>
  <c r="AAZ6" i="1"/>
  <c r="AAZ37" i="1" s="1"/>
  <c r="AAF320" i="1"/>
  <c r="AAH290" i="1"/>
  <c r="AAH320" i="1" s="1"/>
  <c r="AAF213" i="1"/>
  <c r="AAH183" i="1"/>
  <c r="AAH213" i="1" s="1"/>
  <c r="AAQ396" i="1"/>
  <c r="AAQ427" i="1" s="1"/>
  <c r="AAO427" i="1"/>
  <c r="AAO391" i="1"/>
  <c r="AAQ361" i="1"/>
  <c r="AAQ391" i="1" s="1"/>
  <c r="AAQ340" i="1"/>
  <c r="AAQ356" i="1" s="1"/>
  <c r="AAO356" i="1"/>
  <c r="AAO320" i="1"/>
  <c r="AAQ290" i="1"/>
  <c r="AAQ320" i="1" s="1"/>
  <c r="AAO285" i="1"/>
  <c r="AAQ254" i="1"/>
  <c r="AAQ285" i="1" s="1"/>
  <c r="AAO249" i="1"/>
  <c r="AAQ218" i="1"/>
  <c r="AAQ249" i="1" s="1"/>
  <c r="AAQ183" i="1"/>
  <c r="AAQ213" i="1" s="1"/>
  <c r="AAO213" i="1"/>
  <c r="AAO178" i="1"/>
  <c r="AAQ147" i="1"/>
  <c r="AAQ178" i="1" s="1"/>
  <c r="AAO142" i="1"/>
  <c r="AAQ112" i="1"/>
  <c r="AAQ142" i="1" s="1"/>
  <c r="AAO107" i="1"/>
  <c r="AAQ76" i="1"/>
  <c r="AAQ107" i="1" s="1"/>
  <c r="AAO71" i="1"/>
  <c r="AAQ42" i="1"/>
  <c r="AAQ71" i="1" s="1"/>
  <c r="AAF391" i="1"/>
  <c r="AAH361" i="1"/>
  <c r="AAH391" i="1" s="1"/>
  <c r="AAF178" i="1"/>
  <c r="AAH147" i="1"/>
  <c r="AAH178" i="1" s="1"/>
  <c r="AAF107" i="1"/>
  <c r="AAH76" i="1"/>
  <c r="AAH107" i="1" s="1"/>
  <c r="AAF37" i="1"/>
  <c r="AAH6" i="1"/>
  <c r="AAH37" i="1" s="1"/>
  <c r="ABG391" i="1"/>
  <c r="ABI361" i="1"/>
  <c r="ABI391" i="1" s="1"/>
  <c r="ABG37" i="1"/>
  <c r="ABI6" i="1"/>
  <c r="ABI37" i="1" s="1"/>
  <c r="AAX285" i="1"/>
  <c r="AAZ254" i="1"/>
  <c r="AAZ285" i="1" s="1"/>
  <c r="AAZ76" i="1"/>
  <c r="AAZ107" i="1" s="1"/>
  <c r="AAX107" i="1"/>
  <c r="AAX71" i="1"/>
  <c r="AAZ42" i="1"/>
  <c r="AAZ71" i="1" s="1"/>
  <c r="AAO37" i="1"/>
  <c r="AAQ6" i="1"/>
  <c r="AAQ37" i="1" s="1"/>
  <c r="AAH325" i="1"/>
  <c r="AAH356" i="1" s="1"/>
  <c r="AAF356" i="1"/>
  <c r="AAH255" i="1"/>
  <c r="AAH285" i="1" s="1"/>
  <c r="AAF285" i="1"/>
  <c r="ABG285" i="1"/>
  <c r="ABI254" i="1"/>
  <c r="ABI285" i="1" s="1"/>
  <c r="ABG249" i="1"/>
  <c r="ABI218" i="1"/>
  <c r="ABI249" i="1" s="1"/>
  <c r="ABG213" i="1"/>
  <c r="ABI183" i="1"/>
  <c r="ABI213" i="1" s="1"/>
  <c r="ABG178" i="1"/>
  <c r="ABI147" i="1"/>
  <c r="ABI178" i="1" s="1"/>
  <c r="ABI76" i="1"/>
  <c r="ABI107" i="1" s="1"/>
  <c r="ABG107" i="1"/>
  <c r="AAX320" i="1"/>
  <c r="AAZ290" i="1"/>
  <c r="AAZ320" i="1" s="1"/>
  <c r="AAX249" i="1"/>
  <c r="AAZ218" i="1"/>
  <c r="AAZ249" i="1" s="1"/>
  <c r="AAX213" i="1"/>
  <c r="AAZ183" i="1"/>
  <c r="AAZ213" i="1" s="1"/>
  <c r="AAH396" i="1"/>
  <c r="AAH427" i="1" s="1"/>
  <c r="AAF427" i="1"/>
  <c r="AAH219" i="1"/>
  <c r="AAH249" i="1" s="1"/>
  <c r="AAF249" i="1"/>
  <c r="AAF142" i="1"/>
  <c r="AAH112" i="1"/>
  <c r="AAH142" i="1" s="1"/>
  <c r="AAF71" i="1"/>
  <c r="AAH42" i="1"/>
  <c r="AAH71" i="1" s="1"/>
  <c r="XL427" i="1"/>
  <c r="XN396" i="1"/>
  <c r="XN427" i="1" s="1"/>
  <c r="YF112" i="1"/>
  <c r="YF142" i="1" s="1"/>
  <c r="YD142" i="1"/>
  <c r="XN290" i="1"/>
  <c r="XN320" i="1" s="1"/>
  <c r="XL320" i="1"/>
  <c r="YO290" i="1"/>
  <c r="YO320" i="1" s="1"/>
  <c r="YM320" i="1"/>
  <c r="XL213" i="1"/>
  <c r="XN183" i="1"/>
  <c r="XN213" i="1" s="1"/>
  <c r="XU320" i="1"/>
  <c r="XW290" i="1"/>
  <c r="XW320" i="1" s="1"/>
  <c r="ZP325" i="1"/>
  <c r="ZP356" i="1" s="1"/>
  <c r="ZN356" i="1"/>
  <c r="ZP42" i="1"/>
  <c r="ZP71" i="1" s="1"/>
  <c r="ZN71" i="1"/>
  <c r="YX42" i="1"/>
  <c r="YX71" i="1" s="1"/>
  <c r="YV71" i="1"/>
  <c r="YO218" i="1"/>
  <c r="YO249" i="1" s="1"/>
  <c r="YM249" i="1"/>
  <c r="YV356" i="1"/>
  <c r="YX328" i="1"/>
  <c r="YX356" i="1" s="1"/>
  <c r="ZW142" i="1"/>
  <c r="ZY113" i="1"/>
  <c r="ZY142" i="1" s="1"/>
  <c r="ZG325" i="1"/>
  <c r="ZG356" i="1" s="1"/>
  <c r="ZE356" i="1"/>
  <c r="YF254" i="1"/>
  <c r="YF285" i="1" s="1"/>
  <c r="YD285" i="1"/>
  <c r="XN112" i="1"/>
  <c r="XN142" i="1" s="1"/>
  <c r="XL142" i="1"/>
  <c r="YF76" i="1"/>
  <c r="YF107" i="1" s="1"/>
  <c r="YD107" i="1"/>
  <c r="XW396" i="1"/>
  <c r="XW427" i="1" s="1"/>
  <c r="XU427" i="1"/>
  <c r="YF325" i="1"/>
  <c r="YF356" i="1" s="1"/>
  <c r="YD356" i="1"/>
  <c r="YX290" i="1"/>
  <c r="YX320" i="1" s="1"/>
  <c r="YV320" i="1"/>
  <c r="YF361" i="1"/>
  <c r="YF391" i="1" s="1"/>
  <c r="YD391" i="1"/>
  <c r="ZG42" i="1"/>
  <c r="ZG71" i="1" s="1"/>
  <c r="ZE71" i="1"/>
  <c r="ZG183" i="1"/>
  <c r="ZG213" i="1" s="1"/>
  <c r="ZE213" i="1"/>
  <c r="ZP183" i="1"/>
  <c r="ZP213" i="1" s="1"/>
  <c r="ZN213" i="1"/>
  <c r="ZW213" i="1"/>
  <c r="ZY195" i="1"/>
  <c r="ZY213" i="1" s="1"/>
  <c r="ZN178" i="1"/>
  <c r="ZP147" i="1"/>
  <c r="ZP178" i="1" s="1"/>
  <c r="YO325" i="1"/>
  <c r="YO356" i="1" s="1"/>
  <c r="YM356" i="1"/>
  <c r="YM427" i="1"/>
  <c r="YO396" i="1"/>
  <c r="YO427" i="1" s="1"/>
  <c r="YO254" i="1"/>
  <c r="YO285" i="1" s="1"/>
  <c r="YM285" i="1"/>
  <c r="YX218" i="1"/>
  <c r="YX249" i="1" s="1"/>
  <c r="YV249" i="1"/>
  <c r="ZY147" i="1"/>
  <c r="ZY178" i="1" s="1"/>
  <c r="ZW178" i="1"/>
  <c r="ZP361" i="1"/>
  <c r="ZP391" i="1" s="1"/>
  <c r="ZN391" i="1"/>
  <c r="XU178" i="1"/>
  <c r="XW147" i="1"/>
  <c r="XW178" i="1" s="1"/>
  <c r="YD178" i="1"/>
  <c r="YF147" i="1"/>
  <c r="YF178" i="1" s="1"/>
  <c r="ZG361" i="1"/>
  <c r="ZG391" i="1" s="1"/>
  <c r="ZE391" i="1"/>
  <c r="XL71" i="1"/>
  <c r="XN42" i="1"/>
  <c r="XN71" i="1" s="1"/>
  <c r="XU71" i="1"/>
  <c r="XW43" i="1"/>
  <c r="XW71" i="1" s="1"/>
  <c r="XW6" i="1"/>
  <c r="XW37" i="1" s="1"/>
  <c r="XU37" i="1"/>
  <c r="XW183" i="1"/>
  <c r="XW213" i="1" s="1"/>
  <c r="XU213" i="1"/>
  <c r="YO147" i="1"/>
  <c r="YO178" i="1" s="1"/>
  <c r="YM178" i="1"/>
  <c r="YO6" i="1"/>
  <c r="YO37" i="1" s="1"/>
  <c r="YM37" i="1"/>
  <c r="ZN249" i="1"/>
  <c r="ZP219" i="1"/>
  <c r="ZP249" i="1" s="1"/>
  <c r="YV107" i="1"/>
  <c r="YX76" i="1"/>
  <c r="YX107" i="1" s="1"/>
  <c r="XN218" i="1"/>
  <c r="XN249" i="1" s="1"/>
  <c r="XL249" i="1"/>
  <c r="YO183" i="1"/>
  <c r="YO213" i="1" s="1"/>
  <c r="YM213" i="1"/>
  <c r="XL37" i="1"/>
  <c r="XN19" i="1"/>
  <c r="XN37" i="1" s="1"/>
  <c r="YV213" i="1"/>
  <c r="YX183" i="1"/>
  <c r="YX213" i="1" s="1"/>
  <c r="YF218" i="1"/>
  <c r="YF249" i="1" s="1"/>
  <c r="YD249" i="1"/>
  <c r="YX6" i="1"/>
  <c r="YX37" i="1" s="1"/>
  <c r="YV37" i="1"/>
  <c r="ZW320" i="1"/>
  <c r="ZY295" i="1"/>
  <c r="ZY320" i="1" s="1"/>
  <c r="ZG112" i="1"/>
  <c r="ZG142" i="1" s="1"/>
  <c r="ZE142" i="1"/>
  <c r="ZP112" i="1"/>
  <c r="ZP142" i="1" s="1"/>
  <c r="ZN142" i="1"/>
  <c r="ZY6" i="1"/>
  <c r="ZY37" i="1" s="1"/>
  <c r="ZW37" i="1"/>
  <c r="ZY361" i="1"/>
  <c r="ZY391" i="1" s="1"/>
  <c r="ZW391" i="1"/>
  <c r="YM142" i="1"/>
  <c r="YO112" i="1"/>
  <c r="YO142" i="1" s="1"/>
  <c r="YF42" i="1"/>
  <c r="YF71" i="1" s="1"/>
  <c r="YD71" i="1"/>
  <c r="XN147" i="1"/>
  <c r="XN178" i="1" s="1"/>
  <c r="XL178" i="1"/>
  <c r="ZE37" i="1"/>
  <c r="ZG10" i="1"/>
  <c r="ZG37" i="1" s="1"/>
  <c r="ZP290" i="1"/>
  <c r="ZP320" i="1" s="1"/>
  <c r="ZN320" i="1"/>
  <c r="ZY254" i="1"/>
  <c r="ZY285" i="1" s="1"/>
  <c r="ZW285" i="1"/>
  <c r="YX361" i="1"/>
  <c r="YX391" i="1" s="1"/>
  <c r="YV391" i="1"/>
  <c r="XW112" i="1"/>
  <c r="XW142" i="1" s="1"/>
  <c r="XU142" i="1"/>
  <c r="YF183" i="1"/>
  <c r="YF213" i="1" s="1"/>
  <c r="YD213" i="1"/>
  <c r="ZG218" i="1"/>
  <c r="ZG249" i="1" s="1"/>
  <c r="ZE249" i="1"/>
  <c r="YO76" i="1"/>
  <c r="YO107" i="1" s="1"/>
  <c r="YM107" i="1"/>
  <c r="YM71" i="1"/>
  <c r="YO51" i="1"/>
  <c r="YO71" i="1" s="1"/>
  <c r="XW361" i="1"/>
  <c r="XW391" i="1" s="1"/>
  <c r="XU391" i="1"/>
  <c r="YX396" i="1"/>
  <c r="YX427" i="1" s="1"/>
  <c r="YV427" i="1"/>
  <c r="ZW249" i="1"/>
  <c r="ZY231" i="1"/>
  <c r="ZY249" i="1" s="1"/>
  <c r="ZY396" i="1"/>
  <c r="ZY427" i="1" s="1"/>
  <c r="ZW427" i="1"/>
  <c r="ZE107" i="1"/>
  <c r="ZG77" i="1"/>
  <c r="ZG107" i="1" s="1"/>
  <c r="ZP6" i="1"/>
  <c r="ZP37" i="1" s="1"/>
  <c r="ZN37" i="1"/>
  <c r="ZY76" i="1"/>
  <c r="ZY107" i="1" s="1"/>
  <c r="ZW107" i="1"/>
  <c r="XN254" i="1"/>
  <c r="XN285" i="1" s="1"/>
  <c r="XL285" i="1"/>
  <c r="YF290" i="1"/>
  <c r="YF320" i="1" s="1"/>
  <c r="YD320" i="1"/>
  <c r="ZW71" i="1"/>
  <c r="ZY42" i="1"/>
  <c r="ZY71" i="1" s="1"/>
  <c r="YX147" i="1"/>
  <c r="YX178" i="1" s="1"/>
  <c r="YV178" i="1"/>
  <c r="ZG147" i="1"/>
  <c r="ZG178" i="1" s="1"/>
  <c r="ZE178" i="1"/>
  <c r="YO361" i="1"/>
  <c r="YO391" i="1" s="1"/>
  <c r="YM391" i="1"/>
  <c r="YX112" i="1"/>
  <c r="YX142" i="1" s="1"/>
  <c r="YV142" i="1"/>
  <c r="ZN427" i="1"/>
  <c r="ZP396" i="1"/>
  <c r="ZP427" i="1" s="1"/>
  <c r="XW218" i="1"/>
  <c r="XW249" i="1" s="1"/>
  <c r="XU249" i="1"/>
  <c r="YD37" i="1"/>
  <c r="YF6" i="1"/>
  <c r="YF37" i="1" s="1"/>
  <c r="XU356" i="1"/>
  <c r="XW326" i="1"/>
  <c r="XW356" i="1" s="1"/>
  <c r="YF396" i="1"/>
  <c r="YF427" i="1" s="1"/>
  <c r="YD427" i="1"/>
  <c r="XL356" i="1"/>
  <c r="XN329" i="1"/>
  <c r="XN356" i="1" s="1"/>
  <c r="ZP76" i="1"/>
  <c r="ZP107" i="1" s="1"/>
  <c r="ZN107" i="1"/>
  <c r="ZP254" i="1"/>
  <c r="ZP285" i="1" s="1"/>
  <c r="ZN285" i="1"/>
  <c r="ZG290" i="1"/>
  <c r="ZG320" i="1" s="1"/>
  <c r="ZE320" i="1"/>
  <c r="XW254" i="1"/>
  <c r="XW285" i="1" s="1"/>
  <c r="XU285" i="1"/>
  <c r="XL107" i="1"/>
  <c r="XN80" i="1"/>
  <c r="XN107" i="1" s="1"/>
  <c r="XW76" i="1"/>
  <c r="XW107" i="1" s="1"/>
  <c r="XU107" i="1"/>
  <c r="YX254" i="1"/>
  <c r="YX285" i="1" s="1"/>
  <c r="YV285" i="1"/>
  <c r="ZG254" i="1"/>
  <c r="ZG285" i="1" s="1"/>
  <c r="ZE285" i="1"/>
  <c r="XN361" i="1"/>
  <c r="XN391" i="1" s="1"/>
  <c r="XL391" i="1"/>
  <c r="ZY325" i="1"/>
  <c r="ZY356" i="1" s="1"/>
  <c r="ZW356" i="1"/>
  <c r="ZG396" i="1"/>
  <c r="ZG427" i="1" s="1"/>
  <c r="ZE427" i="1"/>
  <c r="WK356" i="1"/>
  <c r="WM325" i="1"/>
  <c r="WM356" i="1" s="1"/>
  <c r="WV147" i="1"/>
  <c r="WV178" i="1" s="1"/>
  <c r="WT178" i="1"/>
  <c r="XE6" i="1"/>
  <c r="XE37" i="1" s="1"/>
  <c r="XC37" i="1"/>
  <c r="WB142" i="1"/>
  <c r="WD112" i="1"/>
  <c r="WD142" i="1" s="1"/>
  <c r="XC356" i="1"/>
  <c r="XE325" i="1"/>
  <c r="XE356" i="1" s="1"/>
  <c r="XE254" i="1"/>
  <c r="XE285" i="1" s="1"/>
  <c r="XC285" i="1"/>
  <c r="XC71" i="1"/>
  <c r="XE42" i="1"/>
  <c r="XE71" i="1" s="1"/>
  <c r="WT285" i="1"/>
  <c r="WV254" i="1"/>
  <c r="WV285" i="1" s="1"/>
  <c r="WB213" i="1"/>
  <c r="WD183" i="1"/>
  <c r="WD213" i="1" s="1"/>
  <c r="XC178" i="1"/>
  <c r="XE147" i="1"/>
  <c r="XE178" i="1" s="1"/>
  <c r="WK142" i="1"/>
  <c r="WM112" i="1"/>
  <c r="WM142" i="1" s="1"/>
  <c r="WB178" i="1"/>
  <c r="WD147" i="1"/>
  <c r="WD178" i="1" s="1"/>
  <c r="WT249" i="1"/>
  <c r="WV218" i="1"/>
  <c r="WV249" i="1" s="1"/>
  <c r="WK178" i="1"/>
  <c r="WM147" i="1"/>
  <c r="WM178" i="1" s="1"/>
  <c r="WT391" i="1"/>
  <c r="WV361" i="1"/>
  <c r="WV391" i="1" s="1"/>
  <c r="WM76" i="1"/>
  <c r="WM107" i="1" s="1"/>
  <c r="WK107" i="1"/>
  <c r="XC320" i="1"/>
  <c r="XE290" i="1"/>
  <c r="XE320" i="1" s="1"/>
  <c r="WV42" i="1"/>
  <c r="WV71" i="1" s="1"/>
  <c r="WT71" i="1"/>
  <c r="WD218" i="1"/>
  <c r="WD249" i="1" s="1"/>
  <c r="WB249" i="1"/>
  <c r="WK285" i="1"/>
  <c r="WM254" i="1"/>
  <c r="WM285" i="1" s="1"/>
  <c r="XC107" i="1"/>
  <c r="XE76" i="1"/>
  <c r="XE107" i="1" s="1"/>
  <c r="WV290" i="1"/>
  <c r="WV320" i="1" s="1"/>
  <c r="WT320" i="1"/>
  <c r="XE361" i="1"/>
  <c r="XE391" i="1" s="1"/>
  <c r="XC391" i="1"/>
  <c r="WK37" i="1"/>
  <c r="WM6" i="1"/>
  <c r="WM37" i="1" s="1"/>
  <c r="WK320" i="1"/>
  <c r="WM290" i="1"/>
  <c r="WM320" i="1" s="1"/>
  <c r="WB285" i="1"/>
  <c r="WD254" i="1"/>
  <c r="WD285" i="1" s="1"/>
  <c r="WM218" i="1"/>
  <c r="WM249" i="1" s="1"/>
  <c r="WK249" i="1"/>
  <c r="WD290" i="1"/>
  <c r="WD320" i="1" s="1"/>
  <c r="WB320" i="1"/>
  <c r="WV183" i="1"/>
  <c r="WV213" i="1" s="1"/>
  <c r="WT213" i="1"/>
  <c r="WB71" i="1"/>
  <c r="WD42" i="1"/>
  <c r="WD71" i="1" s="1"/>
  <c r="WM183" i="1"/>
  <c r="WM213" i="1" s="1"/>
  <c r="WK213" i="1"/>
  <c r="WT107" i="1"/>
  <c r="WV76" i="1"/>
  <c r="WV107" i="1" s="1"/>
  <c r="WV325" i="1"/>
  <c r="WV356" i="1" s="1"/>
  <c r="WT356" i="1"/>
  <c r="WK71" i="1"/>
  <c r="WM42" i="1"/>
  <c r="WM71" i="1" s="1"/>
  <c r="WK427" i="1"/>
  <c r="WM396" i="1"/>
  <c r="WM427" i="1" s="1"/>
  <c r="XC249" i="1"/>
  <c r="XE218" i="1"/>
  <c r="XE249" i="1" s="1"/>
  <c r="WB427" i="1"/>
  <c r="WD396" i="1"/>
  <c r="WD427" i="1" s="1"/>
  <c r="WT427" i="1"/>
  <c r="WV396" i="1"/>
  <c r="WV427" i="1" s="1"/>
  <c r="XC427" i="1"/>
  <c r="XE396" i="1"/>
  <c r="XE427" i="1" s="1"/>
  <c r="WT142" i="1"/>
  <c r="WV112" i="1"/>
  <c r="WV142" i="1" s="1"/>
  <c r="WB107" i="1"/>
  <c r="WD76" i="1"/>
  <c r="WD107" i="1" s="1"/>
  <c r="WM361" i="1"/>
  <c r="WM391" i="1" s="1"/>
  <c r="WK391" i="1"/>
  <c r="XE183" i="1"/>
  <c r="XE213" i="1" s="1"/>
  <c r="XC213" i="1"/>
  <c r="WV6" i="1"/>
  <c r="WV37" i="1" s="1"/>
  <c r="WT37" i="1"/>
  <c r="WB391" i="1"/>
  <c r="WD361" i="1"/>
  <c r="WD391" i="1" s="1"/>
  <c r="WD6" i="1"/>
  <c r="WD37" i="1" s="1"/>
  <c r="WB37" i="1"/>
  <c r="WD325" i="1"/>
  <c r="WD356" i="1" s="1"/>
  <c r="WB356" i="1"/>
  <c r="XE112" i="1"/>
  <c r="XE142" i="1" s="1"/>
  <c r="XC142" i="1"/>
  <c r="ND396" i="1"/>
  <c r="ND427" i="1" s="1"/>
  <c r="G46" i="16" s="1"/>
  <c r="NB427" i="1"/>
  <c r="AP83" i="5" s="1"/>
  <c r="F46" i="16" s="1"/>
  <c r="VU396" i="1"/>
  <c r="VU427" i="1" s="1"/>
  <c r="BO84" i="5" s="1"/>
  <c r="VS427" i="1"/>
  <c r="VU254" i="1"/>
  <c r="VU285" i="1" s="1"/>
  <c r="BO56" i="5" s="1"/>
  <c r="VS285" i="1"/>
  <c r="VU218" i="1"/>
  <c r="VU249" i="1" s="1"/>
  <c r="BO49" i="5" s="1"/>
  <c r="VS249" i="1"/>
  <c r="VU42" i="1"/>
  <c r="VU71" i="1" s="1"/>
  <c r="BO14" i="5" s="1"/>
  <c r="VS71" i="1"/>
  <c r="VL254" i="1"/>
  <c r="VL285" i="1" s="1"/>
  <c r="BN56" i="5" s="1"/>
  <c r="VJ285" i="1"/>
  <c r="VC396" i="1"/>
  <c r="VC427" i="1" s="1"/>
  <c r="BM84" i="5" s="1"/>
  <c r="VA427" i="1"/>
  <c r="VC325" i="1"/>
  <c r="VC356" i="1" s="1"/>
  <c r="BM70" i="5" s="1"/>
  <c r="VA356" i="1"/>
  <c r="VC42" i="1"/>
  <c r="VC71" i="1" s="1"/>
  <c r="BM14" i="5" s="1"/>
  <c r="VA71" i="1"/>
  <c r="UT361" i="1"/>
  <c r="UT391" i="1" s="1"/>
  <c r="BL77" i="5" s="1"/>
  <c r="UR391" i="1"/>
  <c r="UT254" i="1"/>
  <c r="UT285" i="1" s="1"/>
  <c r="BL56" i="5" s="1"/>
  <c r="UR285" i="1"/>
  <c r="UT147" i="1"/>
  <c r="UT178" i="1" s="1"/>
  <c r="BL35" i="5" s="1"/>
  <c r="UR178" i="1"/>
  <c r="UR107" i="1"/>
  <c r="UT76" i="1"/>
  <c r="UT107" i="1" s="1"/>
  <c r="BL21" i="5" s="1"/>
  <c r="UR37" i="1"/>
  <c r="UT6" i="1"/>
  <c r="UT37" i="1" s="1"/>
  <c r="BL7" i="5" s="1"/>
  <c r="UK361" i="1"/>
  <c r="UK391" i="1" s="1"/>
  <c r="BK77" i="5" s="1"/>
  <c r="UI391" i="1"/>
  <c r="UK325" i="1"/>
  <c r="UK356" i="1" s="1"/>
  <c r="BK70" i="5" s="1"/>
  <c r="UI356" i="1"/>
  <c r="UK183" i="1"/>
  <c r="UK213" i="1" s="1"/>
  <c r="BK42" i="5" s="1"/>
  <c r="UI213" i="1"/>
  <c r="UK112" i="1"/>
  <c r="UK142" i="1" s="1"/>
  <c r="BK28" i="5" s="1"/>
  <c r="UI142" i="1"/>
  <c r="UI107" i="1"/>
  <c r="UK76" i="1"/>
  <c r="UK107" i="1" s="1"/>
  <c r="BK21" i="5" s="1"/>
  <c r="UB396" i="1"/>
  <c r="UB427" i="1" s="1"/>
  <c r="BJ84" i="5" s="1"/>
  <c r="TZ427" i="1"/>
  <c r="UB361" i="1"/>
  <c r="UB391" i="1" s="1"/>
  <c r="BJ77" i="5" s="1"/>
  <c r="TZ391" i="1"/>
  <c r="UB325" i="1"/>
  <c r="UB356" i="1" s="1"/>
  <c r="BJ70" i="5" s="1"/>
  <c r="TZ356" i="1"/>
  <c r="TZ178" i="1"/>
  <c r="UB147" i="1"/>
  <c r="UB178" i="1" s="1"/>
  <c r="BJ35" i="5" s="1"/>
  <c r="UB76" i="1"/>
  <c r="UB107" i="1" s="1"/>
  <c r="BJ21" i="5" s="1"/>
  <c r="TZ107" i="1"/>
  <c r="TQ391" i="1"/>
  <c r="TS361" i="1"/>
  <c r="TS391" i="1" s="1"/>
  <c r="BI77" i="5" s="1"/>
  <c r="TS325" i="1"/>
  <c r="TS356" i="1" s="1"/>
  <c r="BI70" i="5" s="1"/>
  <c r="TQ356" i="1"/>
  <c r="TS254" i="1"/>
  <c r="TS285" i="1" s="1"/>
  <c r="BI56" i="5" s="1"/>
  <c r="TQ285" i="1"/>
  <c r="TS183" i="1"/>
  <c r="TS213" i="1" s="1"/>
  <c r="BI42" i="5" s="1"/>
  <c r="TQ213" i="1"/>
  <c r="TS76" i="1"/>
  <c r="TS107" i="1" s="1"/>
  <c r="BI21" i="5" s="1"/>
  <c r="TQ107" i="1"/>
  <c r="VU6" i="1"/>
  <c r="VU37" i="1" s="1"/>
  <c r="BO7" i="5" s="1"/>
  <c r="VS37" i="1"/>
  <c r="VL325" i="1"/>
  <c r="VL356" i="1" s="1"/>
  <c r="BN70" i="5" s="1"/>
  <c r="VJ356" i="1"/>
  <c r="VL218" i="1"/>
  <c r="VL249" i="1" s="1"/>
  <c r="BN49" i="5" s="1"/>
  <c r="VJ249" i="1"/>
  <c r="VL183" i="1"/>
  <c r="VL213" i="1" s="1"/>
  <c r="BN42" i="5" s="1"/>
  <c r="VJ213" i="1"/>
  <c r="VL147" i="1"/>
  <c r="VL178" i="1" s="1"/>
  <c r="BN35" i="5" s="1"/>
  <c r="VJ178" i="1"/>
  <c r="VJ142" i="1"/>
  <c r="VL112" i="1"/>
  <c r="VL142" i="1" s="1"/>
  <c r="BN28" i="5" s="1"/>
  <c r="VL76" i="1"/>
  <c r="VL107" i="1" s="1"/>
  <c r="BN21" i="5" s="1"/>
  <c r="VJ107" i="1"/>
  <c r="VJ37" i="1"/>
  <c r="VL6" i="1"/>
  <c r="VL37" i="1" s="1"/>
  <c r="BN7" i="5" s="1"/>
  <c r="VC290" i="1"/>
  <c r="VC320" i="1" s="1"/>
  <c r="BM63" i="5" s="1"/>
  <c r="VA320" i="1"/>
  <c r="VC183" i="1"/>
  <c r="VC213" i="1" s="1"/>
  <c r="BM42" i="5" s="1"/>
  <c r="VA213" i="1"/>
  <c r="VC147" i="1"/>
  <c r="VC178" i="1" s="1"/>
  <c r="BM35" i="5" s="1"/>
  <c r="VA178" i="1"/>
  <c r="VC112" i="1"/>
  <c r="VC142" i="1" s="1"/>
  <c r="BM28" i="5" s="1"/>
  <c r="VA142" i="1"/>
  <c r="VC76" i="1"/>
  <c r="VC107" i="1" s="1"/>
  <c r="BM21" i="5" s="1"/>
  <c r="VA107" i="1"/>
  <c r="UT396" i="1"/>
  <c r="UT427" i="1" s="1"/>
  <c r="UR427" i="1"/>
  <c r="BL83" i="5" s="1"/>
  <c r="UT290" i="1"/>
  <c r="UT320" i="1" s="1"/>
  <c r="BL63" i="5" s="1"/>
  <c r="UR320" i="1"/>
  <c r="UT112" i="1"/>
  <c r="UT142" i="1" s="1"/>
  <c r="BL28" i="5" s="1"/>
  <c r="UR142" i="1"/>
  <c r="UK290" i="1"/>
  <c r="UK320" i="1" s="1"/>
  <c r="BK63" i="5" s="1"/>
  <c r="UI320" i="1"/>
  <c r="UK254" i="1"/>
  <c r="UK285" i="1" s="1"/>
  <c r="BK56" i="5" s="1"/>
  <c r="UI285" i="1"/>
  <c r="UK218" i="1"/>
  <c r="UK249" i="1" s="1"/>
  <c r="BK49" i="5" s="1"/>
  <c r="UI249" i="1"/>
  <c r="UK42" i="1"/>
  <c r="UK71" i="1" s="1"/>
  <c r="BK14" i="5" s="1"/>
  <c r="UI71" i="1"/>
  <c r="TZ249" i="1"/>
  <c r="UB218" i="1"/>
  <c r="UB249" i="1" s="1"/>
  <c r="BJ49" i="5" s="1"/>
  <c r="TZ213" i="1"/>
  <c r="UB183" i="1"/>
  <c r="UB213" i="1" s="1"/>
  <c r="BJ42" i="5" s="1"/>
  <c r="TQ178" i="1"/>
  <c r="TS147" i="1"/>
  <c r="TS178" i="1" s="1"/>
  <c r="BI35" i="5" s="1"/>
  <c r="TS42" i="1"/>
  <c r="TS71" i="1" s="1"/>
  <c r="BI14" i="5" s="1"/>
  <c r="TQ71" i="1"/>
  <c r="VU361" i="1"/>
  <c r="VU391" i="1" s="1"/>
  <c r="BO77" i="5" s="1"/>
  <c r="VS391" i="1"/>
  <c r="VU325" i="1"/>
  <c r="VU356" i="1" s="1"/>
  <c r="BO70" i="5" s="1"/>
  <c r="VS356" i="1"/>
  <c r="VU290" i="1"/>
  <c r="VU320" i="1" s="1"/>
  <c r="BO63" i="5" s="1"/>
  <c r="VS320" i="1"/>
  <c r="VU183" i="1"/>
  <c r="VU213" i="1" s="1"/>
  <c r="BO42" i="5" s="1"/>
  <c r="VS213" i="1"/>
  <c r="VU147" i="1"/>
  <c r="VU178" i="1" s="1"/>
  <c r="BO35" i="5" s="1"/>
  <c r="VS178" i="1"/>
  <c r="VU112" i="1"/>
  <c r="VU142" i="1" s="1"/>
  <c r="BO28" i="5" s="1"/>
  <c r="VS142" i="1"/>
  <c r="VU76" i="1"/>
  <c r="VU107" i="1" s="1"/>
  <c r="BO21" i="5" s="1"/>
  <c r="VS107" i="1"/>
  <c r="VL396" i="1"/>
  <c r="VL427" i="1" s="1"/>
  <c r="BN84" i="5" s="1"/>
  <c r="VJ427" i="1"/>
  <c r="VL361" i="1"/>
  <c r="VL391" i="1" s="1"/>
  <c r="BN77" i="5" s="1"/>
  <c r="VJ391" i="1"/>
  <c r="VL290" i="1"/>
  <c r="VL320" i="1" s="1"/>
  <c r="BN63" i="5" s="1"/>
  <c r="VJ320" i="1"/>
  <c r="VL42" i="1"/>
  <c r="VL71" i="1" s="1"/>
  <c r="BN14" i="5" s="1"/>
  <c r="VJ71" i="1"/>
  <c r="VC361" i="1"/>
  <c r="VC391" i="1" s="1"/>
  <c r="BM77" i="5" s="1"/>
  <c r="VA391" i="1"/>
  <c r="VC254" i="1"/>
  <c r="VC285" i="1" s="1"/>
  <c r="BM56" i="5" s="1"/>
  <c r="VA285" i="1"/>
  <c r="VC218" i="1"/>
  <c r="VC249" i="1" s="1"/>
  <c r="BM49" i="5" s="1"/>
  <c r="VA249" i="1"/>
  <c r="VC6" i="1"/>
  <c r="VC37" i="1" s="1"/>
  <c r="BM7" i="5" s="1"/>
  <c r="VA37" i="1"/>
  <c r="UT325" i="1"/>
  <c r="UT356" i="1" s="1"/>
  <c r="BL70" i="5" s="1"/>
  <c r="UR356" i="1"/>
  <c r="UT218" i="1"/>
  <c r="UT249" i="1" s="1"/>
  <c r="BL49" i="5" s="1"/>
  <c r="UR249" i="1"/>
  <c r="UT183" i="1"/>
  <c r="UT213" i="1" s="1"/>
  <c r="BL42" i="5" s="1"/>
  <c r="UR213" i="1"/>
  <c r="UR71" i="1"/>
  <c r="UT42" i="1"/>
  <c r="UT71" i="1" s="1"/>
  <c r="BL14" i="5" s="1"/>
  <c r="UK396" i="1"/>
  <c r="UK427" i="1" s="1"/>
  <c r="BK84" i="5" s="1"/>
  <c r="UI427" i="1"/>
  <c r="UK147" i="1"/>
  <c r="UK178" i="1" s="1"/>
  <c r="BK35" i="5" s="1"/>
  <c r="UI178" i="1"/>
  <c r="UI37" i="1"/>
  <c r="UK6" i="1"/>
  <c r="UK37" i="1" s="1"/>
  <c r="BK7" i="5" s="1"/>
  <c r="UB290" i="1"/>
  <c r="UB320" i="1" s="1"/>
  <c r="BJ63" i="5" s="1"/>
  <c r="TZ320" i="1"/>
  <c r="UB254" i="1"/>
  <c r="UB285" i="1" s="1"/>
  <c r="BJ56" i="5" s="1"/>
  <c r="TZ285" i="1"/>
  <c r="TZ142" i="1"/>
  <c r="UB112" i="1"/>
  <c r="UB142" i="1" s="1"/>
  <c r="BJ28" i="5" s="1"/>
  <c r="TZ71" i="1"/>
  <c r="UB42" i="1"/>
  <c r="UB71" i="1" s="1"/>
  <c r="BJ14" i="5" s="1"/>
  <c r="UB6" i="1"/>
  <c r="UB37" i="1" s="1"/>
  <c r="BJ7" i="5" s="1"/>
  <c r="TZ37" i="1"/>
  <c r="TS396" i="1"/>
  <c r="TS427" i="1" s="1"/>
  <c r="BI84" i="5" s="1"/>
  <c r="TQ427" i="1"/>
  <c r="TS290" i="1"/>
  <c r="TS320" i="1" s="1"/>
  <c r="BI63" i="5" s="1"/>
  <c r="TQ320" i="1"/>
  <c r="TS218" i="1"/>
  <c r="TS249" i="1" s="1"/>
  <c r="BI49" i="5" s="1"/>
  <c r="TQ249" i="1"/>
  <c r="TS112" i="1"/>
  <c r="TS142" i="1" s="1"/>
  <c r="BI28" i="5" s="1"/>
  <c r="TQ142" i="1"/>
  <c r="TS6" i="1"/>
  <c r="TS37" i="1" s="1"/>
  <c r="BI7" i="5" s="1"/>
  <c r="TQ37" i="1"/>
  <c r="RI218" i="1"/>
  <c r="RI219" i="1" s="1"/>
  <c r="RI220" i="1" s="1"/>
  <c r="RI221" i="1" s="1"/>
  <c r="RI222" i="1" s="1"/>
  <c r="RI223" i="1" s="1"/>
  <c r="RI224" i="1" s="1"/>
  <c r="RI225" i="1" s="1"/>
  <c r="RI226" i="1" s="1"/>
  <c r="RI227" i="1" s="1"/>
  <c r="RI228" i="1" s="1"/>
  <c r="RI229" i="1" s="1"/>
  <c r="RI230" i="1" s="1"/>
  <c r="RI231" i="1" s="1"/>
  <c r="RI232" i="1" s="1"/>
  <c r="RI233" i="1" s="1"/>
  <c r="RI234" i="1" s="1"/>
  <c r="RI235" i="1" s="1"/>
  <c r="RI236" i="1" s="1"/>
  <c r="RI237" i="1" s="1"/>
  <c r="RI238" i="1" s="1"/>
  <c r="RI239" i="1" s="1"/>
  <c r="RI240" i="1" s="1"/>
  <c r="RI241" i="1" s="1"/>
  <c r="RI242" i="1" s="1"/>
  <c r="RI243" i="1" s="1"/>
  <c r="RI244" i="1" s="1"/>
  <c r="RI245" i="1" s="1"/>
  <c r="RI246" i="1" s="1"/>
  <c r="RI247" i="1" s="1"/>
  <c r="RI248" i="1" s="1"/>
  <c r="RI249" i="1" s="1"/>
  <c r="BB50" i="5" s="1"/>
  <c r="AL36" i="5"/>
  <c r="H42" i="21" s="1"/>
  <c r="O42" i="21" s="1"/>
  <c r="LU182" i="1"/>
  <c r="AO36" i="5"/>
  <c r="H45" i="21" s="1"/>
  <c r="O45" i="21" s="1"/>
  <c r="MV182" i="1"/>
  <c r="AP36" i="5"/>
  <c r="H46" i="21" s="1"/>
  <c r="O46" i="21" s="1"/>
  <c r="NE182" i="1"/>
  <c r="MM182" i="1"/>
  <c r="AN36" i="5"/>
  <c r="H44" i="21" s="1"/>
  <c r="O44" i="21" s="1"/>
  <c r="AM36" i="5"/>
  <c r="H43" i="21" s="1"/>
  <c r="O43" i="21" s="1"/>
  <c r="MD182" i="1"/>
  <c r="QY183" i="1"/>
  <c r="QY213" i="1" s="1"/>
  <c r="QW213" i="1"/>
  <c r="QY396" i="1"/>
  <c r="QY427" i="1" s="1"/>
  <c r="QW427" i="1"/>
  <c r="QY112" i="1"/>
  <c r="QY142" i="1" s="1"/>
  <c r="QW142" i="1"/>
  <c r="QY290" i="1"/>
  <c r="QY320" i="1" s="1"/>
  <c r="QW320" i="1"/>
  <c r="QY254" i="1"/>
  <c r="QY285" i="1" s="1"/>
  <c r="QW285" i="1"/>
  <c r="RF71" i="1"/>
  <c r="RH42" i="1"/>
  <c r="RH71" i="1" s="1"/>
  <c r="RH361" i="1"/>
  <c r="RH391" i="1" s="1"/>
  <c r="G58" i="15" s="1"/>
  <c r="RF391" i="1"/>
  <c r="F58" i="15" s="1"/>
  <c r="RF107" i="1"/>
  <c r="RH76" i="1"/>
  <c r="RH107" i="1" s="1"/>
  <c r="RF142" i="1"/>
  <c r="RH114" i="1"/>
  <c r="RH142" i="1" s="1"/>
  <c r="RQ218" i="1"/>
  <c r="RQ249" i="1" s="1"/>
  <c r="RO249" i="1"/>
  <c r="SR254" i="1"/>
  <c r="SR285" i="1" s="1"/>
  <c r="SP285" i="1"/>
  <c r="SI325" i="1"/>
  <c r="SI356" i="1" s="1"/>
  <c r="G60" i="14" s="1"/>
  <c r="SG356" i="1"/>
  <c r="F60" i="14" s="1"/>
  <c r="SI396" i="1"/>
  <c r="SI427" i="1" s="1"/>
  <c r="SG427" i="1"/>
  <c r="F60" i="16" s="1"/>
  <c r="SI218" i="1"/>
  <c r="SI249" i="1" s="1"/>
  <c r="SG249" i="1"/>
  <c r="SR325" i="1"/>
  <c r="SR356" i="1" s="1"/>
  <c r="SP356" i="1"/>
  <c r="TA8" i="1"/>
  <c r="SR361" i="1"/>
  <c r="SR391" i="1" s="1"/>
  <c r="SP391" i="1"/>
  <c r="TA254" i="1"/>
  <c r="TA285" i="1" s="1"/>
  <c r="SY285" i="1"/>
  <c r="TJ396" i="1"/>
  <c r="TJ427" i="1" s="1"/>
  <c r="TH427" i="1"/>
  <c r="TH356" i="1"/>
  <c r="TJ325" i="1"/>
  <c r="TJ356" i="1" s="1"/>
  <c r="TJ218" i="1"/>
  <c r="TJ249" i="1" s="1"/>
  <c r="TH249" i="1"/>
  <c r="TJ254" i="1"/>
  <c r="TJ285" i="1" s="1"/>
  <c r="TH285" i="1"/>
  <c r="TJ361" i="1"/>
  <c r="TJ391" i="1" s="1"/>
  <c r="TH391" i="1"/>
  <c r="RF213" i="1"/>
  <c r="RH183" i="1"/>
  <c r="RH213" i="1" s="1"/>
  <c r="RX142" i="1"/>
  <c r="RZ112" i="1"/>
  <c r="RZ142" i="1" s="1"/>
  <c r="SR218" i="1"/>
  <c r="SR249" i="1" s="1"/>
  <c r="SP249" i="1"/>
  <c r="RZ218" i="1"/>
  <c r="RZ249" i="1" s="1"/>
  <c r="RX249" i="1"/>
  <c r="SG71" i="1"/>
  <c r="SI42" i="1"/>
  <c r="SI71" i="1" s="1"/>
  <c r="RX213" i="1"/>
  <c r="RZ183" i="1"/>
  <c r="RZ213" i="1" s="1"/>
  <c r="RZ254" i="1"/>
  <c r="RZ285" i="1" s="1"/>
  <c r="G59" i="12" s="1"/>
  <c r="RX285" i="1"/>
  <c r="F59" i="12" s="1"/>
  <c r="RZ290" i="1"/>
  <c r="RZ320" i="1" s="1"/>
  <c r="RX320" i="1"/>
  <c r="SI290" i="1"/>
  <c r="SI320" i="1" s="1"/>
  <c r="SG320" i="1"/>
  <c r="SR42" i="1"/>
  <c r="SR71" i="1" s="1"/>
  <c r="SP71" i="1"/>
  <c r="SP142" i="1"/>
  <c r="SR112" i="1"/>
  <c r="SR142" i="1" s="1"/>
  <c r="TA396" i="1"/>
  <c r="TA427" i="1" s="1"/>
  <c r="SY427" i="1"/>
  <c r="TA325" i="1"/>
  <c r="TA356" i="1" s="1"/>
  <c r="SY356" i="1"/>
  <c r="TJ76" i="1"/>
  <c r="TJ107" i="1" s="1"/>
  <c r="TH107" i="1"/>
  <c r="TH142" i="1"/>
  <c r="TJ112" i="1"/>
  <c r="TJ142" i="1" s="1"/>
  <c r="TJ183" i="1"/>
  <c r="TJ213" i="1" s="1"/>
  <c r="TH213" i="1"/>
  <c r="QY361" i="1"/>
  <c r="QY391" i="1" s="1"/>
  <c r="QW391" i="1"/>
  <c r="QY42" i="1"/>
  <c r="QY71" i="1" s="1"/>
  <c r="QW71" i="1"/>
  <c r="QW107" i="1"/>
  <c r="QY76" i="1"/>
  <c r="QY107" i="1" s="1"/>
  <c r="QY218" i="1"/>
  <c r="QY249" i="1" s="1"/>
  <c r="QW249" i="1"/>
  <c r="RQ112" i="1"/>
  <c r="RQ142" i="1" s="1"/>
  <c r="RO142" i="1"/>
  <c r="RH325" i="1"/>
  <c r="RH356" i="1" s="1"/>
  <c r="G57" i="14" s="1"/>
  <c r="RF356" i="1"/>
  <c r="F57" i="14" s="1"/>
  <c r="RH396" i="1"/>
  <c r="RH427" i="1" s="1"/>
  <c r="G57" i="16" s="1"/>
  <c r="RF427" i="1"/>
  <c r="F57" i="16" s="1"/>
  <c r="RO71" i="1"/>
  <c r="RQ42" i="1"/>
  <c r="RQ71" i="1" s="1"/>
  <c r="RZ42" i="1"/>
  <c r="RZ71" i="1" s="1"/>
  <c r="RX71" i="1"/>
  <c r="RX107" i="1"/>
  <c r="RZ76" i="1"/>
  <c r="RZ107" i="1" s="1"/>
  <c r="RQ325" i="1"/>
  <c r="RQ356" i="1" s="1"/>
  <c r="G58" i="14" s="1"/>
  <c r="RO356" i="1"/>
  <c r="RQ396" i="1"/>
  <c r="RQ427" i="1" s="1"/>
  <c r="G58" i="16" s="1"/>
  <c r="RO427" i="1"/>
  <c r="F58" i="16" s="1"/>
  <c r="SG107" i="1"/>
  <c r="SI76" i="1"/>
  <c r="SI107" i="1" s="1"/>
  <c r="RZ325" i="1"/>
  <c r="RZ356" i="1" s="1"/>
  <c r="G59" i="14" s="1"/>
  <c r="RX356" i="1"/>
  <c r="F59" i="14" s="1"/>
  <c r="RZ396" i="1"/>
  <c r="RZ427" i="1" s="1"/>
  <c r="RX427" i="1"/>
  <c r="SI112" i="1"/>
  <c r="SI142" i="1" s="1"/>
  <c r="SG142" i="1"/>
  <c r="RZ361" i="1"/>
  <c r="RZ391" i="1" s="1"/>
  <c r="G60" i="15" s="1"/>
  <c r="RX391" i="1"/>
  <c r="F60" i="15" s="1"/>
  <c r="SI254" i="1"/>
  <c r="SI285" i="1" s="1"/>
  <c r="G60" i="12" s="1"/>
  <c r="SG285" i="1"/>
  <c r="F60" i="12" s="1"/>
  <c r="SR183" i="1"/>
  <c r="SR213" i="1" s="1"/>
  <c r="SP213" i="1"/>
  <c r="SR290" i="1"/>
  <c r="SR320" i="1" s="1"/>
  <c r="SP320" i="1"/>
  <c r="SI361" i="1"/>
  <c r="SI391" i="1" s="1"/>
  <c r="G61" i="15" s="1"/>
  <c r="SG391" i="1"/>
  <c r="F61" i="15" s="1"/>
  <c r="TA76" i="1"/>
  <c r="TA107" i="1" s="1"/>
  <c r="SY107" i="1"/>
  <c r="SY249" i="1"/>
  <c r="TA218" i="1"/>
  <c r="TA249" i="1" s="1"/>
  <c r="TA290" i="1"/>
  <c r="TA320" i="1" s="1"/>
  <c r="SY320" i="1"/>
  <c r="TJ42" i="1"/>
  <c r="TJ71" i="1" s="1"/>
  <c r="TH71" i="1"/>
  <c r="QY325" i="1"/>
  <c r="QY356" i="1" s="1"/>
  <c r="QW356" i="1"/>
  <c r="RQ183" i="1"/>
  <c r="RQ213" i="1" s="1"/>
  <c r="RO213" i="1"/>
  <c r="RH218" i="1"/>
  <c r="RH249" i="1" s="1"/>
  <c r="RF249" i="1"/>
  <c r="RH254" i="1"/>
  <c r="RH285" i="1" s="1"/>
  <c r="G57" i="12" s="1"/>
  <c r="RF285" i="1"/>
  <c r="F57" i="12" s="1"/>
  <c r="RF320" i="1"/>
  <c r="RH290" i="1"/>
  <c r="RH320" i="1" s="1"/>
  <c r="RQ361" i="1"/>
  <c r="RQ391" i="1" s="1"/>
  <c r="G59" i="15" s="1"/>
  <c r="RO391" i="1"/>
  <c r="RQ76" i="1"/>
  <c r="RQ107" i="1" s="1"/>
  <c r="RO107" i="1"/>
  <c r="RO285" i="1"/>
  <c r="F58" i="12" s="1"/>
  <c r="RQ254" i="1"/>
  <c r="RQ285" i="1" s="1"/>
  <c r="G58" i="12" s="1"/>
  <c r="RQ290" i="1"/>
  <c r="RQ320" i="1" s="1"/>
  <c r="RO320" i="1"/>
  <c r="SG213" i="1"/>
  <c r="SI183" i="1"/>
  <c r="SI213" i="1" s="1"/>
  <c r="SP107" i="1"/>
  <c r="SR76" i="1"/>
  <c r="SR107" i="1" s="1"/>
  <c r="SR396" i="1"/>
  <c r="SR427" i="1" s="1"/>
  <c r="SP427" i="1"/>
  <c r="SY71" i="1"/>
  <c r="TA42" i="1"/>
  <c r="TA71" i="1" s="1"/>
  <c r="SY142" i="1"/>
  <c r="TA112" i="1"/>
  <c r="TA142" i="1" s="1"/>
  <c r="TA183" i="1"/>
  <c r="TA213" i="1" s="1"/>
  <c r="SY213" i="1"/>
  <c r="TA361" i="1"/>
  <c r="TA391" i="1" s="1"/>
  <c r="SY391" i="1"/>
  <c r="TJ290" i="1"/>
  <c r="TJ320" i="1" s="1"/>
  <c r="TH320" i="1"/>
  <c r="AQ18" i="5"/>
  <c r="D50" i="19" s="1"/>
  <c r="NN76" i="1"/>
  <c r="NN77" i="1" s="1"/>
  <c r="NN78" i="1" s="1"/>
  <c r="NN79" i="1" s="1"/>
  <c r="NN80" i="1" s="1"/>
  <c r="NN81" i="1" s="1"/>
  <c r="NN82" i="1" s="1"/>
  <c r="NN83" i="1" s="1"/>
  <c r="NN84" i="1" s="1"/>
  <c r="NN85" i="1" s="1"/>
  <c r="NN86" i="1" s="1"/>
  <c r="NN87" i="1" s="1"/>
  <c r="NN88" i="1" s="1"/>
  <c r="NN89" i="1" s="1"/>
  <c r="NN90" i="1" s="1"/>
  <c r="NN91" i="1" s="1"/>
  <c r="NN92" i="1" s="1"/>
  <c r="NN93" i="1" s="1"/>
  <c r="NN94" i="1" s="1"/>
  <c r="NN95" i="1" s="1"/>
  <c r="NN96" i="1" s="1"/>
  <c r="NN97" i="1" s="1"/>
  <c r="NN98" i="1" s="1"/>
  <c r="NN99" i="1" s="1"/>
  <c r="NN100" i="1" s="1"/>
  <c r="NN101" i="1" s="1"/>
  <c r="NN102" i="1" s="1"/>
  <c r="NN103" i="1" s="1"/>
  <c r="NN104" i="1" s="1"/>
  <c r="NN105" i="1" s="1"/>
  <c r="NN106" i="1" s="1"/>
  <c r="NN107" i="1" s="1"/>
  <c r="NN111" i="1" s="1"/>
  <c r="JY403" i="1"/>
  <c r="JY411" i="1"/>
  <c r="JY419" i="1"/>
  <c r="JY396" i="1"/>
  <c r="JY404" i="1"/>
  <c r="JY412" i="1"/>
  <c r="JY420" i="1"/>
  <c r="JY398" i="1"/>
  <c r="JY406" i="1"/>
  <c r="JY414" i="1"/>
  <c r="JY422" i="1"/>
  <c r="JY399" i="1"/>
  <c r="JY407" i="1"/>
  <c r="JY415" i="1"/>
  <c r="JY423" i="1"/>
  <c r="JY400" i="1"/>
  <c r="JY408" i="1"/>
  <c r="JY416" i="1"/>
  <c r="JY401" i="1"/>
  <c r="JY409" i="1"/>
  <c r="JY417" i="1"/>
  <c r="JY425" i="1"/>
  <c r="JY402" i="1"/>
  <c r="JY410" i="1"/>
  <c r="JY418" i="1"/>
  <c r="JY426" i="1"/>
  <c r="JY397" i="1"/>
  <c r="JY366" i="1"/>
  <c r="JY374" i="1"/>
  <c r="JY382" i="1"/>
  <c r="JY390" i="1"/>
  <c r="JY405" i="1"/>
  <c r="JY367" i="1"/>
  <c r="JY375" i="1"/>
  <c r="JY383" i="1"/>
  <c r="JY361" i="1"/>
  <c r="JY413" i="1"/>
  <c r="JY368" i="1"/>
  <c r="JY376" i="1"/>
  <c r="JY384" i="1"/>
  <c r="JY421" i="1"/>
  <c r="JY369" i="1"/>
  <c r="JY377" i="1"/>
  <c r="JY385" i="1"/>
  <c r="JY424" i="1"/>
  <c r="JY362" i="1"/>
  <c r="JY370" i="1"/>
  <c r="JY378" i="1"/>
  <c r="JY386" i="1"/>
  <c r="JY363" i="1"/>
  <c r="JY371" i="1"/>
  <c r="JY379" i="1"/>
  <c r="JY387" i="1"/>
  <c r="JY364" i="1"/>
  <c r="JY372" i="1"/>
  <c r="JY380" i="1"/>
  <c r="JY388" i="1"/>
  <c r="JY365" i="1"/>
  <c r="JY373" i="1"/>
  <c r="JY381" i="1"/>
  <c r="JY389" i="1"/>
  <c r="JY295" i="1"/>
  <c r="JY303" i="1"/>
  <c r="JY311" i="1"/>
  <c r="JY319" i="1"/>
  <c r="JY296" i="1"/>
  <c r="JY304" i="1"/>
  <c r="JY312" i="1"/>
  <c r="JY290" i="1"/>
  <c r="JY297" i="1"/>
  <c r="JY305" i="1"/>
  <c r="JY313" i="1"/>
  <c r="JY298" i="1"/>
  <c r="JY306" i="1"/>
  <c r="JY314" i="1"/>
  <c r="JY291" i="1"/>
  <c r="JY299" i="1"/>
  <c r="JY307" i="1"/>
  <c r="JY315" i="1"/>
  <c r="JY292" i="1"/>
  <c r="JY300" i="1"/>
  <c r="JY308" i="1"/>
  <c r="JY316" i="1"/>
  <c r="JY309" i="1"/>
  <c r="JY310" i="1"/>
  <c r="JY317" i="1"/>
  <c r="JY318" i="1"/>
  <c r="JY302" i="1"/>
  <c r="JY293" i="1"/>
  <c r="JY294" i="1"/>
  <c r="JY301" i="1"/>
  <c r="JY256" i="1"/>
  <c r="JY264" i="1"/>
  <c r="JY272" i="1"/>
  <c r="JY280" i="1"/>
  <c r="JY257" i="1"/>
  <c r="JY265" i="1"/>
  <c r="JY273" i="1"/>
  <c r="JY281" i="1"/>
  <c r="JY258" i="1"/>
  <c r="JY266" i="1"/>
  <c r="JY274" i="1"/>
  <c r="JY282" i="1"/>
  <c r="JY259" i="1"/>
  <c r="JY267" i="1"/>
  <c r="JY275" i="1"/>
  <c r="JY283" i="1"/>
  <c r="JY260" i="1"/>
  <c r="JY268" i="1"/>
  <c r="JY276" i="1"/>
  <c r="JY284" i="1"/>
  <c r="JY261" i="1"/>
  <c r="JY269" i="1"/>
  <c r="JY277" i="1"/>
  <c r="JY254" i="1"/>
  <c r="JY262" i="1"/>
  <c r="JY270" i="1"/>
  <c r="JY278" i="1"/>
  <c r="JY255" i="1"/>
  <c r="JY263" i="1"/>
  <c r="JY271" i="1"/>
  <c r="JY279" i="1"/>
  <c r="JY225" i="1"/>
  <c r="JY233" i="1"/>
  <c r="JY241" i="1"/>
  <c r="JY218" i="1"/>
  <c r="JY226" i="1"/>
  <c r="JY234" i="1"/>
  <c r="JY242" i="1"/>
  <c r="JY219" i="1"/>
  <c r="JY227" i="1"/>
  <c r="JY235" i="1"/>
  <c r="JY243" i="1"/>
  <c r="JY220" i="1"/>
  <c r="JY228" i="1"/>
  <c r="JY236" i="1"/>
  <c r="JY244" i="1"/>
  <c r="JY221" i="1"/>
  <c r="JY229" i="1"/>
  <c r="JY237" i="1"/>
  <c r="JY245" i="1"/>
  <c r="JY222" i="1"/>
  <c r="JY230" i="1"/>
  <c r="JY238" i="1"/>
  <c r="JY246" i="1"/>
  <c r="JY223" i="1"/>
  <c r="JY231" i="1"/>
  <c r="JY239" i="1"/>
  <c r="JY247" i="1"/>
  <c r="JY148" i="1"/>
  <c r="JY156" i="1"/>
  <c r="JY164" i="1"/>
  <c r="JY172" i="1"/>
  <c r="JY149" i="1"/>
  <c r="JY157" i="1"/>
  <c r="JY165" i="1"/>
  <c r="JY173" i="1"/>
  <c r="JY150" i="1"/>
  <c r="JY158" i="1"/>
  <c r="JY166" i="1"/>
  <c r="JY174" i="1"/>
  <c r="JY151" i="1"/>
  <c r="JY159" i="1"/>
  <c r="JY167" i="1"/>
  <c r="JY175" i="1"/>
  <c r="JY224" i="1"/>
  <c r="JY152" i="1"/>
  <c r="JY160" i="1"/>
  <c r="JY168" i="1"/>
  <c r="JY176" i="1"/>
  <c r="JY232" i="1"/>
  <c r="JY153" i="1"/>
  <c r="JY161" i="1"/>
  <c r="JY169" i="1"/>
  <c r="JY177" i="1"/>
  <c r="JY240" i="1"/>
  <c r="JY154" i="1"/>
  <c r="JY162" i="1"/>
  <c r="JY170" i="1"/>
  <c r="JY117" i="1"/>
  <c r="JY125" i="1"/>
  <c r="JY133" i="1"/>
  <c r="JY141" i="1"/>
  <c r="JY140" i="1"/>
  <c r="JY248" i="1"/>
  <c r="JY118" i="1"/>
  <c r="JY126" i="1"/>
  <c r="JY134" i="1"/>
  <c r="JY112" i="1"/>
  <c r="JY119" i="1"/>
  <c r="JY127" i="1"/>
  <c r="JY135" i="1"/>
  <c r="JY155" i="1"/>
  <c r="JY120" i="1"/>
  <c r="JY128" i="1"/>
  <c r="JY136" i="1"/>
  <c r="JY116" i="1"/>
  <c r="JY163" i="1"/>
  <c r="JY113" i="1"/>
  <c r="JY121" i="1"/>
  <c r="JY129" i="1"/>
  <c r="JY137" i="1"/>
  <c r="JY132" i="1"/>
  <c r="JY171" i="1"/>
  <c r="JY114" i="1"/>
  <c r="JY122" i="1"/>
  <c r="JY130" i="1"/>
  <c r="JY138" i="1"/>
  <c r="JY124" i="1"/>
  <c r="JY115" i="1"/>
  <c r="JY123" i="1"/>
  <c r="JY131" i="1"/>
  <c r="JY139" i="1"/>
  <c r="JY77" i="1"/>
  <c r="JY85" i="1"/>
  <c r="JY93" i="1"/>
  <c r="JY101" i="1"/>
  <c r="JY78" i="1"/>
  <c r="JY86" i="1"/>
  <c r="JY94" i="1"/>
  <c r="JY102" i="1"/>
  <c r="JY79" i="1"/>
  <c r="JY87" i="1"/>
  <c r="JY95" i="1"/>
  <c r="JY103" i="1"/>
  <c r="JY80" i="1"/>
  <c r="JY88" i="1"/>
  <c r="JY96" i="1"/>
  <c r="JY104" i="1"/>
  <c r="JY81" i="1"/>
  <c r="JY89" i="1"/>
  <c r="JY97" i="1"/>
  <c r="JY105" i="1"/>
  <c r="JY82" i="1"/>
  <c r="JY90" i="1"/>
  <c r="JY98" i="1"/>
  <c r="JY106" i="1"/>
  <c r="JY83" i="1"/>
  <c r="JY91" i="1"/>
  <c r="JY99" i="1"/>
  <c r="JY76" i="1"/>
  <c r="JY84" i="1"/>
  <c r="JY92" i="1"/>
  <c r="JY100" i="1"/>
  <c r="JP404" i="1"/>
  <c r="JP412" i="1"/>
  <c r="JP420" i="1"/>
  <c r="JP397" i="1"/>
  <c r="JP405" i="1"/>
  <c r="JP413" i="1"/>
  <c r="JP421" i="1"/>
  <c r="JP399" i="1"/>
  <c r="JP407" i="1"/>
  <c r="JP415" i="1"/>
  <c r="JP423" i="1"/>
  <c r="JP400" i="1"/>
  <c r="JP408" i="1"/>
  <c r="JP416" i="1"/>
  <c r="JP424" i="1"/>
  <c r="JP402" i="1"/>
  <c r="JP410" i="1"/>
  <c r="JP418" i="1"/>
  <c r="JP426" i="1"/>
  <c r="JP403" i="1"/>
  <c r="JP411" i="1"/>
  <c r="JP419" i="1"/>
  <c r="JP396" i="1"/>
  <c r="JP409" i="1"/>
  <c r="JP368" i="1"/>
  <c r="JP376" i="1"/>
  <c r="JP384" i="1"/>
  <c r="JP414" i="1"/>
  <c r="JP369" i="1"/>
  <c r="JP377" i="1"/>
  <c r="JP385" i="1"/>
  <c r="JP417" i="1"/>
  <c r="JP362" i="1"/>
  <c r="JP370" i="1"/>
  <c r="JP378" i="1"/>
  <c r="JP386" i="1"/>
  <c r="JP422" i="1"/>
  <c r="JP363" i="1"/>
  <c r="JP371" i="1"/>
  <c r="JP379" i="1"/>
  <c r="JP387" i="1"/>
  <c r="JP425" i="1"/>
  <c r="JP364" i="1"/>
  <c r="JP372" i="1"/>
  <c r="JP380" i="1"/>
  <c r="JP388" i="1"/>
  <c r="JP398" i="1"/>
  <c r="JP365" i="1"/>
  <c r="JP373" i="1"/>
  <c r="JP381" i="1"/>
  <c r="JP389" i="1"/>
  <c r="JP401" i="1"/>
  <c r="JP366" i="1"/>
  <c r="JP374" i="1"/>
  <c r="JP382" i="1"/>
  <c r="JP390" i="1"/>
  <c r="JP406" i="1"/>
  <c r="JP383" i="1"/>
  <c r="JP361" i="1"/>
  <c r="JP367" i="1"/>
  <c r="JP297" i="1"/>
  <c r="JP305" i="1"/>
  <c r="JP313" i="1"/>
  <c r="JP298" i="1"/>
  <c r="JP306" i="1"/>
  <c r="JP314" i="1"/>
  <c r="JP291" i="1"/>
  <c r="JP299" i="1"/>
  <c r="JP307" i="1"/>
  <c r="JP315" i="1"/>
  <c r="JP292" i="1"/>
  <c r="JP300" i="1"/>
  <c r="JP308" i="1"/>
  <c r="JP316" i="1"/>
  <c r="JP293" i="1"/>
  <c r="JP301" i="1"/>
  <c r="JP309" i="1"/>
  <c r="JP317" i="1"/>
  <c r="JP294" i="1"/>
  <c r="JP302" i="1"/>
  <c r="JP310" i="1"/>
  <c r="JP318" i="1"/>
  <c r="JP311" i="1"/>
  <c r="JP375" i="1"/>
  <c r="JP312" i="1"/>
  <c r="JP304" i="1"/>
  <c r="JP319" i="1"/>
  <c r="JP290" i="1"/>
  <c r="JP295" i="1"/>
  <c r="JP296" i="1"/>
  <c r="JP303" i="1"/>
  <c r="JP257" i="1"/>
  <c r="JP265" i="1"/>
  <c r="JP273" i="1"/>
  <c r="JP281" i="1"/>
  <c r="JP258" i="1"/>
  <c r="JP266" i="1"/>
  <c r="JP274" i="1"/>
  <c r="JP282" i="1"/>
  <c r="JP259" i="1"/>
  <c r="JP267" i="1"/>
  <c r="JP275" i="1"/>
  <c r="JP283" i="1"/>
  <c r="JP260" i="1"/>
  <c r="JP268" i="1"/>
  <c r="JP276" i="1"/>
  <c r="JP284" i="1"/>
  <c r="JP261" i="1"/>
  <c r="JP269" i="1"/>
  <c r="JP277" i="1"/>
  <c r="JP254" i="1"/>
  <c r="JP262" i="1"/>
  <c r="JP270" i="1"/>
  <c r="JP278" i="1"/>
  <c r="JP255" i="1"/>
  <c r="JP263" i="1"/>
  <c r="JP271" i="1"/>
  <c r="JP279" i="1"/>
  <c r="JP256" i="1"/>
  <c r="JP264" i="1"/>
  <c r="JP272" i="1"/>
  <c r="JP280" i="1"/>
  <c r="JP149" i="1"/>
  <c r="JP157" i="1"/>
  <c r="JP165" i="1"/>
  <c r="JP173" i="1"/>
  <c r="JP150" i="1"/>
  <c r="JP158" i="1"/>
  <c r="JP166" i="1"/>
  <c r="JP174" i="1"/>
  <c r="JP151" i="1"/>
  <c r="JP159" i="1"/>
  <c r="JP167" i="1"/>
  <c r="JP175" i="1"/>
  <c r="JP152" i="1"/>
  <c r="JP160" i="1"/>
  <c r="JP168" i="1"/>
  <c r="JP176" i="1"/>
  <c r="JP153" i="1"/>
  <c r="JP161" i="1"/>
  <c r="JP169" i="1"/>
  <c r="JP177" i="1"/>
  <c r="JP154" i="1"/>
  <c r="JP162" i="1"/>
  <c r="JP170" i="1"/>
  <c r="JP155" i="1"/>
  <c r="JP163" i="1"/>
  <c r="JP171" i="1"/>
  <c r="JP164" i="1"/>
  <c r="JP119" i="1"/>
  <c r="JP127" i="1"/>
  <c r="JP135" i="1"/>
  <c r="JP172" i="1"/>
  <c r="JP120" i="1"/>
  <c r="JP128" i="1"/>
  <c r="JP136" i="1"/>
  <c r="JP126" i="1"/>
  <c r="JP113" i="1"/>
  <c r="JP121" i="1"/>
  <c r="JP129" i="1"/>
  <c r="JP137" i="1"/>
  <c r="JP118" i="1"/>
  <c r="JP114" i="1"/>
  <c r="JP122" i="1"/>
  <c r="JP130" i="1"/>
  <c r="JP138" i="1"/>
  <c r="JP156" i="1"/>
  <c r="JP115" i="1"/>
  <c r="JP123" i="1"/>
  <c r="JP131" i="1"/>
  <c r="JP139" i="1"/>
  <c r="JP112" i="1"/>
  <c r="JP116" i="1"/>
  <c r="JP124" i="1"/>
  <c r="JP132" i="1"/>
  <c r="JP140" i="1"/>
  <c r="JP148" i="1"/>
  <c r="JP117" i="1"/>
  <c r="JP125" i="1"/>
  <c r="JP133" i="1"/>
  <c r="JP141" i="1"/>
  <c r="JP134" i="1"/>
  <c r="JP78" i="1"/>
  <c r="JP86" i="1"/>
  <c r="JP94" i="1"/>
  <c r="JP102" i="1"/>
  <c r="JP79" i="1"/>
  <c r="JP87" i="1"/>
  <c r="JP95" i="1"/>
  <c r="JP103" i="1"/>
  <c r="JP80" i="1"/>
  <c r="JP88" i="1"/>
  <c r="JP96" i="1"/>
  <c r="JP104" i="1"/>
  <c r="JP81" i="1"/>
  <c r="JP89" i="1"/>
  <c r="JP97" i="1"/>
  <c r="JP105" i="1"/>
  <c r="JP82" i="1"/>
  <c r="JP90" i="1"/>
  <c r="JP98" i="1"/>
  <c r="JP106" i="1"/>
  <c r="JP83" i="1"/>
  <c r="JP91" i="1"/>
  <c r="JP99" i="1"/>
  <c r="JP76" i="1"/>
  <c r="JP84" i="1"/>
  <c r="JP92" i="1"/>
  <c r="JP77" i="1"/>
  <c r="JP85" i="1"/>
  <c r="JP93" i="1"/>
  <c r="JP101" i="1"/>
  <c r="JP100" i="1"/>
  <c r="KQ291" i="1"/>
  <c r="KQ299" i="1"/>
  <c r="KQ307" i="1"/>
  <c r="KQ315" i="1"/>
  <c r="KQ292" i="1"/>
  <c r="KQ300" i="1"/>
  <c r="KQ308" i="1"/>
  <c r="KQ316" i="1"/>
  <c r="KQ293" i="1"/>
  <c r="KQ301" i="1"/>
  <c r="KQ309" i="1"/>
  <c r="KQ317" i="1"/>
  <c r="KQ294" i="1"/>
  <c r="KQ302" i="1"/>
  <c r="KQ310" i="1"/>
  <c r="KQ318" i="1"/>
  <c r="KQ295" i="1"/>
  <c r="KQ303" i="1"/>
  <c r="KQ311" i="1"/>
  <c r="KQ319" i="1"/>
  <c r="KQ296" i="1"/>
  <c r="KQ304" i="1"/>
  <c r="KQ312" i="1"/>
  <c r="KQ290" i="1"/>
  <c r="KQ305" i="1"/>
  <c r="KQ306" i="1"/>
  <c r="KQ313" i="1"/>
  <c r="KQ298" i="1"/>
  <c r="KQ314" i="1"/>
  <c r="KQ297" i="1"/>
  <c r="KQ262" i="1"/>
  <c r="KQ270" i="1"/>
  <c r="KQ278" i="1"/>
  <c r="KQ255" i="1"/>
  <c r="KQ263" i="1"/>
  <c r="KQ271" i="1"/>
  <c r="KQ279" i="1"/>
  <c r="KQ256" i="1"/>
  <c r="KQ264" i="1"/>
  <c r="KQ272" i="1"/>
  <c r="KQ280" i="1"/>
  <c r="KQ257" i="1"/>
  <c r="KQ265" i="1"/>
  <c r="KQ273" i="1"/>
  <c r="KQ281" i="1"/>
  <c r="KQ258" i="1"/>
  <c r="KQ266" i="1"/>
  <c r="KQ274" i="1"/>
  <c r="KQ282" i="1"/>
  <c r="KQ259" i="1"/>
  <c r="KQ267" i="1"/>
  <c r="KQ275" i="1"/>
  <c r="KQ283" i="1"/>
  <c r="KQ260" i="1"/>
  <c r="KQ268" i="1"/>
  <c r="KQ276" i="1"/>
  <c r="KQ284" i="1"/>
  <c r="KQ261" i="1"/>
  <c r="KQ269" i="1"/>
  <c r="KQ277" i="1"/>
  <c r="KQ254" i="1"/>
  <c r="KQ224" i="1"/>
  <c r="KQ232" i="1"/>
  <c r="KQ240" i="1"/>
  <c r="KQ248" i="1"/>
  <c r="KQ225" i="1"/>
  <c r="KQ233" i="1"/>
  <c r="KQ241" i="1"/>
  <c r="KQ218" i="1"/>
  <c r="KQ226" i="1"/>
  <c r="KQ234" i="1"/>
  <c r="KQ242" i="1"/>
  <c r="KQ219" i="1"/>
  <c r="KQ227" i="1"/>
  <c r="KQ235" i="1"/>
  <c r="KQ243" i="1"/>
  <c r="KQ220" i="1"/>
  <c r="KQ228" i="1"/>
  <c r="KQ236" i="1"/>
  <c r="KQ244" i="1"/>
  <c r="KQ221" i="1"/>
  <c r="KQ229" i="1"/>
  <c r="KQ237" i="1"/>
  <c r="KQ245" i="1"/>
  <c r="KQ222" i="1"/>
  <c r="KQ230" i="1"/>
  <c r="KQ238" i="1"/>
  <c r="KQ246" i="1"/>
  <c r="KQ223" i="1"/>
  <c r="KQ154" i="1"/>
  <c r="KQ162" i="1"/>
  <c r="KQ170" i="1"/>
  <c r="KQ231" i="1"/>
  <c r="KQ155" i="1"/>
  <c r="KQ163" i="1"/>
  <c r="KQ171" i="1"/>
  <c r="KQ239" i="1"/>
  <c r="KQ148" i="1"/>
  <c r="KQ156" i="1"/>
  <c r="KQ164" i="1"/>
  <c r="KQ172" i="1"/>
  <c r="KQ247" i="1"/>
  <c r="KQ149" i="1"/>
  <c r="KQ157" i="1"/>
  <c r="KQ165" i="1"/>
  <c r="KQ173" i="1"/>
  <c r="KQ150" i="1"/>
  <c r="KQ158" i="1"/>
  <c r="KQ166" i="1"/>
  <c r="KQ174" i="1"/>
  <c r="KQ151" i="1"/>
  <c r="KQ159" i="1"/>
  <c r="KQ167" i="1"/>
  <c r="KQ175" i="1"/>
  <c r="KQ152" i="1"/>
  <c r="KQ160" i="1"/>
  <c r="KQ168" i="1"/>
  <c r="KQ176" i="1"/>
  <c r="KQ113" i="1"/>
  <c r="KQ121" i="1"/>
  <c r="KQ129" i="1"/>
  <c r="KQ137" i="1"/>
  <c r="KQ136" i="1"/>
  <c r="KQ114" i="1"/>
  <c r="KQ122" i="1"/>
  <c r="KQ130" i="1"/>
  <c r="KQ138" i="1"/>
  <c r="KQ115" i="1"/>
  <c r="KQ123" i="1"/>
  <c r="KQ131" i="1"/>
  <c r="KQ139" i="1"/>
  <c r="KQ153" i="1"/>
  <c r="KQ116" i="1"/>
  <c r="KQ124" i="1"/>
  <c r="KQ132" i="1"/>
  <c r="KQ140" i="1"/>
  <c r="KQ120" i="1"/>
  <c r="KQ161" i="1"/>
  <c r="KQ117" i="1"/>
  <c r="KQ125" i="1"/>
  <c r="KQ133" i="1"/>
  <c r="KQ141" i="1"/>
  <c r="KQ169" i="1"/>
  <c r="KQ118" i="1"/>
  <c r="KQ126" i="1"/>
  <c r="KQ134" i="1"/>
  <c r="KQ112" i="1"/>
  <c r="KQ128" i="1"/>
  <c r="KQ177" i="1"/>
  <c r="KQ119" i="1"/>
  <c r="KQ127" i="1"/>
  <c r="KQ135" i="1"/>
  <c r="KQ77" i="1"/>
  <c r="KQ85" i="1"/>
  <c r="KQ93" i="1"/>
  <c r="KQ101" i="1"/>
  <c r="KQ78" i="1"/>
  <c r="KQ86" i="1"/>
  <c r="KQ94" i="1"/>
  <c r="KQ102" i="1"/>
  <c r="KQ79" i="1"/>
  <c r="KQ87" i="1"/>
  <c r="KQ95" i="1"/>
  <c r="KQ103" i="1"/>
  <c r="KQ80" i="1"/>
  <c r="KQ88" i="1"/>
  <c r="KQ96" i="1"/>
  <c r="KQ104" i="1"/>
  <c r="KQ81" i="1"/>
  <c r="KQ89" i="1"/>
  <c r="KQ97" i="1"/>
  <c r="KQ105" i="1"/>
  <c r="KQ82" i="1"/>
  <c r="KQ90" i="1"/>
  <c r="KQ98" i="1"/>
  <c r="KQ106" i="1"/>
  <c r="KQ76" i="1"/>
  <c r="KQ83" i="1"/>
  <c r="KQ91" i="1"/>
  <c r="KQ99" i="1"/>
  <c r="KQ84" i="1"/>
  <c r="KQ92" i="1"/>
  <c r="KQ100" i="1"/>
  <c r="KH402" i="1"/>
  <c r="KH410" i="1"/>
  <c r="KH418" i="1"/>
  <c r="KH426" i="1"/>
  <c r="KH403" i="1"/>
  <c r="KH411" i="1"/>
  <c r="KH419" i="1"/>
  <c r="KH396" i="1"/>
  <c r="KH404" i="1"/>
  <c r="KH412" i="1"/>
  <c r="KH420" i="1"/>
  <c r="KH397" i="1"/>
  <c r="KH405" i="1"/>
  <c r="KH413" i="1"/>
  <c r="KH421" i="1"/>
  <c r="KH398" i="1"/>
  <c r="KH406" i="1"/>
  <c r="KH414" i="1"/>
  <c r="KH422" i="1"/>
  <c r="KH399" i="1"/>
  <c r="KH407" i="1"/>
  <c r="KH415" i="1"/>
  <c r="KH423" i="1"/>
  <c r="KH400" i="1"/>
  <c r="KH408" i="1"/>
  <c r="KH416" i="1"/>
  <c r="KH424" i="1"/>
  <c r="KH401" i="1"/>
  <c r="KH409" i="1"/>
  <c r="KH417" i="1"/>
  <c r="KH425" i="1"/>
  <c r="KH364" i="1"/>
  <c r="KH372" i="1"/>
  <c r="KH380" i="1"/>
  <c r="KH388" i="1"/>
  <c r="KH365" i="1"/>
  <c r="KH373" i="1"/>
  <c r="KH381" i="1"/>
  <c r="KH389" i="1"/>
  <c r="KH366" i="1"/>
  <c r="KH374" i="1"/>
  <c r="KH382" i="1"/>
  <c r="KH390" i="1"/>
  <c r="KH367" i="1"/>
  <c r="KH375" i="1"/>
  <c r="KH383" i="1"/>
  <c r="KH361" i="1"/>
  <c r="KH368" i="1"/>
  <c r="KH376" i="1"/>
  <c r="KH384" i="1"/>
  <c r="KH369" i="1"/>
  <c r="KH377" i="1"/>
  <c r="KH385" i="1"/>
  <c r="KH362" i="1"/>
  <c r="KH370" i="1"/>
  <c r="KH378" i="1"/>
  <c r="KH386" i="1"/>
  <c r="KH379" i="1"/>
  <c r="KH387" i="1"/>
  <c r="KH363" i="1"/>
  <c r="KH293" i="1"/>
  <c r="KH301" i="1"/>
  <c r="KH309" i="1"/>
  <c r="KH317" i="1"/>
  <c r="KH294" i="1"/>
  <c r="KH302" i="1"/>
  <c r="KH310" i="1"/>
  <c r="KH318" i="1"/>
  <c r="KH295" i="1"/>
  <c r="KH303" i="1"/>
  <c r="KH311" i="1"/>
  <c r="KH319" i="1"/>
  <c r="KH296" i="1"/>
  <c r="KH304" i="1"/>
  <c r="KH312" i="1"/>
  <c r="KH290" i="1"/>
  <c r="KH297" i="1"/>
  <c r="KH305" i="1"/>
  <c r="KH313" i="1"/>
  <c r="KH298" i="1"/>
  <c r="KH306" i="1"/>
  <c r="KH314" i="1"/>
  <c r="KH371" i="1"/>
  <c r="KH307" i="1"/>
  <c r="KH308" i="1"/>
  <c r="KH315" i="1"/>
  <c r="KH316" i="1"/>
  <c r="KH291" i="1"/>
  <c r="KH300" i="1"/>
  <c r="KH292" i="1"/>
  <c r="KH299" i="1"/>
  <c r="KH255" i="1"/>
  <c r="KH263" i="1"/>
  <c r="KH271" i="1"/>
  <c r="KH279" i="1"/>
  <c r="KH256" i="1"/>
  <c r="KH264" i="1"/>
  <c r="KH272" i="1"/>
  <c r="KH280" i="1"/>
  <c r="KH257" i="1"/>
  <c r="KH265" i="1"/>
  <c r="KH273" i="1"/>
  <c r="KH281" i="1"/>
  <c r="KH258" i="1"/>
  <c r="KH266" i="1"/>
  <c r="KH274" i="1"/>
  <c r="KH282" i="1"/>
  <c r="KH259" i="1"/>
  <c r="KH267" i="1"/>
  <c r="KH275" i="1"/>
  <c r="KH283" i="1"/>
  <c r="KH260" i="1"/>
  <c r="KH268" i="1"/>
  <c r="KH276" i="1"/>
  <c r="KH284" i="1"/>
  <c r="KH261" i="1"/>
  <c r="KH269" i="1"/>
  <c r="KH277" i="1"/>
  <c r="KH254" i="1"/>
  <c r="KH262" i="1"/>
  <c r="KH270" i="1"/>
  <c r="KH278" i="1"/>
  <c r="KH155" i="1"/>
  <c r="KH163" i="1"/>
  <c r="KH171" i="1"/>
  <c r="KH148" i="1"/>
  <c r="KH156" i="1"/>
  <c r="KH164" i="1"/>
  <c r="KH172" i="1"/>
  <c r="KH149" i="1"/>
  <c r="KH157" i="1"/>
  <c r="KH165" i="1"/>
  <c r="KH173" i="1"/>
  <c r="KH150" i="1"/>
  <c r="KH158" i="1"/>
  <c r="KH166" i="1"/>
  <c r="KH174" i="1"/>
  <c r="KH151" i="1"/>
  <c r="KH159" i="1"/>
  <c r="KH167" i="1"/>
  <c r="KH175" i="1"/>
  <c r="KH152" i="1"/>
  <c r="KH160" i="1"/>
  <c r="KH168" i="1"/>
  <c r="KH176" i="1"/>
  <c r="KH153" i="1"/>
  <c r="KH161" i="1"/>
  <c r="KH169" i="1"/>
  <c r="KH177" i="1"/>
  <c r="KH162" i="1"/>
  <c r="KH115" i="1"/>
  <c r="KH123" i="1"/>
  <c r="KH131" i="1"/>
  <c r="KH139" i="1"/>
  <c r="KH170" i="1"/>
  <c r="KH116" i="1"/>
  <c r="KH124" i="1"/>
  <c r="KH132" i="1"/>
  <c r="KH140" i="1"/>
  <c r="KH154" i="1"/>
  <c r="KH114" i="1"/>
  <c r="KH117" i="1"/>
  <c r="KH125" i="1"/>
  <c r="KH133" i="1"/>
  <c r="KH141" i="1"/>
  <c r="KH122" i="1"/>
  <c r="KH118" i="1"/>
  <c r="KH126" i="1"/>
  <c r="KH134" i="1"/>
  <c r="KH112" i="1"/>
  <c r="KH119" i="1"/>
  <c r="KH127" i="1"/>
  <c r="KH135" i="1"/>
  <c r="KH130" i="1"/>
  <c r="KH120" i="1"/>
  <c r="KH128" i="1"/>
  <c r="KH136" i="1"/>
  <c r="KH113" i="1"/>
  <c r="KH121" i="1"/>
  <c r="KH129" i="1"/>
  <c r="KH137" i="1"/>
  <c r="KH138" i="1"/>
  <c r="KH83" i="1"/>
  <c r="KH91" i="1"/>
  <c r="KH99" i="1"/>
  <c r="KH84" i="1"/>
  <c r="KH92" i="1"/>
  <c r="KH100" i="1"/>
  <c r="KH77" i="1"/>
  <c r="KH85" i="1"/>
  <c r="KH93" i="1"/>
  <c r="KH101" i="1"/>
  <c r="KH78" i="1"/>
  <c r="KH86" i="1"/>
  <c r="KH94" i="1"/>
  <c r="KH102" i="1"/>
  <c r="KH79" i="1"/>
  <c r="KH87" i="1"/>
  <c r="KH95" i="1"/>
  <c r="KH103" i="1"/>
  <c r="KH80" i="1"/>
  <c r="KH88" i="1"/>
  <c r="KH96" i="1"/>
  <c r="KH104" i="1"/>
  <c r="KH81" i="1"/>
  <c r="KH89" i="1"/>
  <c r="KH97" i="1"/>
  <c r="KH105" i="1"/>
  <c r="KH76" i="1"/>
  <c r="KH82" i="1"/>
  <c r="KH90" i="1"/>
  <c r="KH98" i="1"/>
  <c r="KH106" i="1"/>
  <c r="JP44" i="1"/>
  <c r="JP48" i="1"/>
  <c r="JP52" i="1"/>
  <c r="JP56" i="1"/>
  <c r="JP60" i="1"/>
  <c r="JP64" i="1"/>
  <c r="JP68" i="1"/>
  <c r="JP45" i="1"/>
  <c r="JP49" i="1"/>
  <c r="JP53" i="1"/>
  <c r="JP57" i="1"/>
  <c r="JP61" i="1"/>
  <c r="JP65" i="1"/>
  <c r="JP69" i="1"/>
  <c r="JP46" i="1"/>
  <c r="JP50" i="1"/>
  <c r="JP54" i="1"/>
  <c r="JP58" i="1"/>
  <c r="JP62" i="1"/>
  <c r="JP66" i="1"/>
  <c r="JP70" i="1"/>
  <c r="JP43" i="1"/>
  <c r="JP47" i="1"/>
  <c r="JP51" i="1"/>
  <c r="JP55" i="1"/>
  <c r="JP59" i="1"/>
  <c r="JP63" i="1"/>
  <c r="JP67" i="1"/>
  <c r="JP42" i="1"/>
  <c r="KQ43" i="1"/>
  <c r="KQ47" i="1"/>
  <c r="KQ51" i="1"/>
  <c r="KQ55" i="1"/>
  <c r="KQ59" i="1"/>
  <c r="KQ63" i="1"/>
  <c r="KQ67" i="1"/>
  <c r="KQ44" i="1"/>
  <c r="KQ48" i="1"/>
  <c r="KQ52" i="1"/>
  <c r="KQ56" i="1"/>
  <c r="KQ60" i="1"/>
  <c r="KQ64" i="1"/>
  <c r="KQ50" i="1"/>
  <c r="KQ58" i="1"/>
  <c r="KQ66" i="1"/>
  <c r="KQ42" i="1"/>
  <c r="KQ45" i="1"/>
  <c r="KQ53" i="1"/>
  <c r="KQ61" i="1"/>
  <c r="KQ68" i="1"/>
  <c r="KQ46" i="1"/>
  <c r="KQ54" i="1"/>
  <c r="KQ62" i="1"/>
  <c r="KQ69" i="1"/>
  <c r="KQ49" i="1"/>
  <c r="KQ57" i="1"/>
  <c r="KQ65" i="1"/>
  <c r="KQ70" i="1"/>
  <c r="KH46" i="1"/>
  <c r="KH50" i="1"/>
  <c r="KH54" i="1"/>
  <c r="KH58" i="1"/>
  <c r="KH62" i="1"/>
  <c r="KH66" i="1"/>
  <c r="KH70" i="1"/>
  <c r="KH43" i="1"/>
  <c r="KH47" i="1"/>
  <c r="KH51" i="1"/>
  <c r="KH55" i="1"/>
  <c r="KH59" i="1"/>
  <c r="KH63" i="1"/>
  <c r="KH67" i="1"/>
  <c r="KH42" i="1"/>
  <c r="KH44" i="1"/>
  <c r="KH48" i="1"/>
  <c r="KH52" i="1"/>
  <c r="KH56" i="1"/>
  <c r="KH60" i="1"/>
  <c r="KH64" i="1"/>
  <c r="KH68" i="1"/>
  <c r="KH45" i="1"/>
  <c r="KH49" i="1"/>
  <c r="KH53" i="1"/>
  <c r="KH57" i="1"/>
  <c r="KH61" i="1"/>
  <c r="KH65" i="1"/>
  <c r="KH69" i="1"/>
  <c r="JY45" i="1"/>
  <c r="JY49" i="1"/>
  <c r="JY53" i="1"/>
  <c r="JY57" i="1"/>
  <c r="JY61" i="1"/>
  <c r="JY65" i="1"/>
  <c r="JY69" i="1"/>
  <c r="JY46" i="1"/>
  <c r="JY50" i="1"/>
  <c r="JY54" i="1"/>
  <c r="JY58" i="1"/>
  <c r="JY62" i="1"/>
  <c r="JY66" i="1"/>
  <c r="JY70" i="1"/>
  <c r="JY43" i="1"/>
  <c r="JY47" i="1"/>
  <c r="JY51" i="1"/>
  <c r="JY55" i="1"/>
  <c r="JY59" i="1"/>
  <c r="JY63" i="1"/>
  <c r="JY67" i="1"/>
  <c r="JY42" i="1"/>
  <c r="JY44" i="1"/>
  <c r="JY48" i="1"/>
  <c r="JY52" i="1"/>
  <c r="JY56" i="1"/>
  <c r="JY60" i="1"/>
  <c r="JY64" i="1"/>
  <c r="JY68" i="1"/>
  <c r="KQ363" i="1"/>
  <c r="KQ371" i="1"/>
  <c r="KQ379" i="1"/>
  <c r="KQ387" i="1"/>
  <c r="KQ364" i="1"/>
  <c r="KQ372" i="1"/>
  <c r="KQ380" i="1"/>
  <c r="KQ388" i="1"/>
  <c r="KQ402" i="1"/>
  <c r="KQ410" i="1"/>
  <c r="KQ418" i="1"/>
  <c r="KQ426" i="1"/>
  <c r="KQ401" i="1"/>
  <c r="KQ409" i="1"/>
  <c r="KQ417" i="1"/>
  <c r="KQ425" i="1"/>
  <c r="KQ365" i="1"/>
  <c r="KQ373" i="1"/>
  <c r="KQ381" i="1"/>
  <c r="KQ389" i="1"/>
  <c r="KQ366" i="1"/>
  <c r="KQ374" i="1"/>
  <c r="KQ382" i="1"/>
  <c r="KQ390" i="1"/>
  <c r="KQ404" i="1"/>
  <c r="KQ412" i="1"/>
  <c r="KQ420" i="1"/>
  <c r="KQ396" i="1"/>
  <c r="KQ403" i="1"/>
  <c r="KQ411" i="1"/>
  <c r="KQ419" i="1"/>
  <c r="KQ367" i="1"/>
  <c r="KQ375" i="1"/>
  <c r="KQ383" i="1"/>
  <c r="KQ361" i="1"/>
  <c r="KQ368" i="1"/>
  <c r="KQ376" i="1"/>
  <c r="KQ384" i="1"/>
  <c r="KQ398" i="1"/>
  <c r="KQ406" i="1"/>
  <c r="KQ414" i="1"/>
  <c r="KQ422" i="1"/>
  <c r="KQ397" i="1"/>
  <c r="KQ405" i="1"/>
  <c r="KQ413" i="1"/>
  <c r="KQ421" i="1"/>
  <c r="KQ369" i="1"/>
  <c r="KQ377" i="1"/>
  <c r="KQ385" i="1"/>
  <c r="KQ362" i="1"/>
  <c r="KQ370" i="1"/>
  <c r="KQ378" i="1"/>
  <c r="KQ386" i="1"/>
  <c r="KQ400" i="1"/>
  <c r="KQ408" i="1"/>
  <c r="KQ416" i="1"/>
  <c r="KQ424" i="1"/>
  <c r="KQ399" i="1"/>
  <c r="KQ407" i="1"/>
  <c r="KQ415" i="1"/>
  <c r="KQ423" i="1"/>
  <c r="KH332" i="1"/>
  <c r="KH340" i="1"/>
  <c r="KH348" i="1"/>
  <c r="KH325" i="1"/>
  <c r="KH333" i="1"/>
  <c r="KH341" i="1"/>
  <c r="KH349" i="1"/>
  <c r="KH326" i="1"/>
  <c r="KH334" i="1"/>
  <c r="KH342" i="1"/>
  <c r="KH350" i="1"/>
  <c r="KH327" i="1"/>
  <c r="KH335" i="1"/>
  <c r="KH343" i="1"/>
  <c r="KH351" i="1"/>
  <c r="KH328" i="1"/>
  <c r="KH336" i="1"/>
  <c r="KH344" i="1"/>
  <c r="KH352" i="1"/>
  <c r="KH329" i="1"/>
  <c r="KH337" i="1"/>
  <c r="KH345" i="1"/>
  <c r="KH353" i="1"/>
  <c r="KH330" i="1"/>
  <c r="KH338" i="1"/>
  <c r="KH346" i="1"/>
  <c r="KH354" i="1"/>
  <c r="KH331" i="1"/>
  <c r="KH339" i="1"/>
  <c r="KH347" i="1"/>
  <c r="KH355" i="1"/>
  <c r="JY329" i="1"/>
  <c r="JY337" i="1"/>
  <c r="JY345" i="1"/>
  <c r="JY353" i="1"/>
  <c r="JY330" i="1"/>
  <c r="JY338" i="1"/>
  <c r="JY346" i="1"/>
  <c r="JY354" i="1"/>
  <c r="JY331" i="1"/>
  <c r="JY339" i="1"/>
  <c r="JY347" i="1"/>
  <c r="JY355" i="1"/>
  <c r="JY332" i="1"/>
  <c r="JY340" i="1"/>
  <c r="JY348" i="1"/>
  <c r="JY325" i="1"/>
  <c r="JY333" i="1"/>
  <c r="JY341" i="1"/>
  <c r="JY349" i="1"/>
  <c r="JY326" i="1"/>
  <c r="JY334" i="1"/>
  <c r="JY342" i="1"/>
  <c r="JY350" i="1"/>
  <c r="JY327" i="1"/>
  <c r="JY335" i="1"/>
  <c r="JY343" i="1"/>
  <c r="JY351" i="1"/>
  <c r="JY328" i="1"/>
  <c r="JY336" i="1"/>
  <c r="JY344" i="1"/>
  <c r="JY352" i="1"/>
  <c r="JP330" i="1"/>
  <c r="JP338" i="1"/>
  <c r="JP346" i="1"/>
  <c r="JP327" i="1"/>
  <c r="JP335" i="1"/>
  <c r="JP343" i="1"/>
  <c r="JP351" i="1"/>
  <c r="JP354" i="1"/>
  <c r="JP332" i="1"/>
  <c r="JP340" i="1"/>
  <c r="JP348" i="1"/>
  <c r="JP329" i="1"/>
  <c r="JP337" i="1"/>
  <c r="JP345" i="1"/>
  <c r="JP353" i="1"/>
  <c r="JP326" i="1"/>
  <c r="JP334" i="1"/>
  <c r="JP342" i="1"/>
  <c r="JP352" i="1"/>
  <c r="JP331" i="1"/>
  <c r="JP339" i="1"/>
  <c r="JP347" i="1"/>
  <c r="JP355" i="1"/>
  <c r="JP328" i="1"/>
  <c r="JP336" i="1"/>
  <c r="JP344" i="1"/>
  <c r="JP325" i="1"/>
  <c r="JP333" i="1"/>
  <c r="JP341" i="1"/>
  <c r="JP349" i="1"/>
  <c r="JP350" i="1"/>
  <c r="KQ327" i="1"/>
  <c r="KQ335" i="1"/>
  <c r="KQ343" i="1"/>
  <c r="KQ351" i="1"/>
  <c r="KQ328" i="1"/>
  <c r="KQ336" i="1"/>
  <c r="KQ344" i="1"/>
  <c r="KQ352" i="1"/>
  <c r="KQ329" i="1"/>
  <c r="KQ337" i="1"/>
  <c r="KQ345" i="1"/>
  <c r="KQ353" i="1"/>
  <c r="KQ330" i="1"/>
  <c r="KQ338" i="1"/>
  <c r="KQ346" i="1"/>
  <c r="KQ354" i="1"/>
  <c r="KQ331" i="1"/>
  <c r="KQ339" i="1"/>
  <c r="KQ347" i="1"/>
  <c r="KQ355" i="1"/>
  <c r="KQ332" i="1"/>
  <c r="KQ340" i="1"/>
  <c r="KQ348" i="1"/>
  <c r="KQ325" i="1"/>
  <c r="KQ333" i="1"/>
  <c r="KQ341" i="1"/>
  <c r="KQ349" i="1"/>
  <c r="KQ326" i="1"/>
  <c r="KQ334" i="1"/>
  <c r="KQ342" i="1"/>
  <c r="KQ350" i="1"/>
  <c r="OL427" i="1"/>
  <c r="F50" i="16" s="1"/>
  <c r="KH222" i="1"/>
  <c r="KH230" i="1"/>
  <c r="KH238" i="1"/>
  <c r="KH246" i="1"/>
  <c r="KH231" i="1"/>
  <c r="KH224" i="1"/>
  <c r="KH232" i="1"/>
  <c r="KH240" i="1"/>
  <c r="KH248" i="1"/>
  <c r="KH225" i="1"/>
  <c r="KH233" i="1"/>
  <c r="KH241" i="1"/>
  <c r="KH218" i="1"/>
  <c r="KH226" i="1"/>
  <c r="KH234" i="1"/>
  <c r="KH242" i="1"/>
  <c r="KH223" i="1"/>
  <c r="KH219" i="1"/>
  <c r="KH227" i="1"/>
  <c r="KH235" i="1"/>
  <c r="KH243" i="1"/>
  <c r="KH220" i="1"/>
  <c r="KH228" i="1"/>
  <c r="KH236" i="1"/>
  <c r="KH239" i="1"/>
  <c r="KH221" i="1"/>
  <c r="KH229" i="1"/>
  <c r="KH237" i="1"/>
  <c r="KH245" i="1"/>
  <c r="KH247" i="1"/>
  <c r="OW396" i="1"/>
  <c r="OW427" i="1" s="1"/>
  <c r="G51" i="16" s="1"/>
  <c r="OU427" i="1"/>
  <c r="F51" i="16" s="1"/>
  <c r="OE396" i="1"/>
  <c r="OE427" i="1" s="1"/>
  <c r="G49" i="16" s="1"/>
  <c r="OC427" i="1"/>
  <c r="F49" i="16" s="1"/>
  <c r="JP229" i="1"/>
  <c r="JP245" i="1"/>
  <c r="JP230" i="1"/>
  <c r="JP246" i="1"/>
  <c r="JP231" i="1"/>
  <c r="JP247" i="1"/>
  <c r="JP232" i="1"/>
  <c r="JP248" i="1"/>
  <c r="JP233" i="1"/>
  <c r="JP218" i="1"/>
  <c r="JP234" i="1"/>
  <c r="JP227" i="1"/>
  <c r="JP219" i="1"/>
  <c r="JP235" i="1"/>
  <c r="JP220" i="1"/>
  <c r="JP236" i="1"/>
  <c r="JP228" i="1"/>
  <c r="JP221" i="1"/>
  <c r="JP237" i="1"/>
  <c r="JP222" i="1"/>
  <c r="JP238" i="1"/>
  <c r="JP243" i="1"/>
  <c r="JP223" i="1"/>
  <c r="JP239" i="1"/>
  <c r="JP224" i="1"/>
  <c r="JP240" i="1"/>
  <c r="JP225" i="1"/>
  <c r="JP241" i="1"/>
  <c r="JP226" i="1"/>
  <c r="JP242" i="1"/>
  <c r="JP244" i="1"/>
  <c r="ON427" i="1"/>
  <c r="G50" i="16" s="1"/>
  <c r="JY183" i="1"/>
  <c r="JY187" i="1"/>
  <c r="JY191" i="1"/>
  <c r="JY195" i="1"/>
  <c r="JY199" i="1"/>
  <c r="JY203" i="1"/>
  <c r="JY207" i="1"/>
  <c r="JY211" i="1"/>
  <c r="JY205" i="1"/>
  <c r="JY186" i="1"/>
  <c r="JY198" i="1"/>
  <c r="JY210" i="1"/>
  <c r="JY184" i="1"/>
  <c r="JY188" i="1"/>
  <c r="JY192" i="1"/>
  <c r="JY196" i="1"/>
  <c r="JY204" i="1"/>
  <c r="JY208" i="1"/>
  <c r="JY212" i="1"/>
  <c r="JY201" i="1"/>
  <c r="JY209" i="1"/>
  <c r="JY190" i="1"/>
  <c r="JY206" i="1"/>
  <c r="JY185" i="1"/>
  <c r="JY189" i="1"/>
  <c r="JY193" i="1"/>
  <c r="JY197" i="1"/>
  <c r="JY194" i="1"/>
  <c r="JY202" i="1"/>
  <c r="JP186" i="1"/>
  <c r="JP194" i="1"/>
  <c r="JP202" i="1"/>
  <c r="JP210" i="1"/>
  <c r="JP187" i="1"/>
  <c r="JP195" i="1"/>
  <c r="JP203" i="1"/>
  <c r="JP211" i="1"/>
  <c r="JP188" i="1"/>
  <c r="JP196" i="1"/>
  <c r="JP204" i="1"/>
  <c r="JP212" i="1"/>
  <c r="JP189" i="1"/>
  <c r="JP197" i="1"/>
  <c r="JP205" i="1"/>
  <c r="JP190" i="1"/>
  <c r="JP198" i="1"/>
  <c r="JP206" i="1"/>
  <c r="JP183" i="1"/>
  <c r="JP191" i="1"/>
  <c r="JP199" i="1"/>
  <c r="JP207" i="1"/>
  <c r="JP184" i="1"/>
  <c r="JP192" i="1"/>
  <c r="JP200" i="1"/>
  <c r="JP208" i="1"/>
  <c r="JP185" i="1"/>
  <c r="JP193" i="1"/>
  <c r="JP201" i="1"/>
  <c r="JP209" i="1"/>
  <c r="KQ185" i="1"/>
  <c r="KQ189" i="1"/>
  <c r="KQ193" i="1"/>
  <c r="KQ197" i="1"/>
  <c r="KQ201" i="1"/>
  <c r="KQ205" i="1"/>
  <c r="KQ209" i="1"/>
  <c r="KQ184" i="1"/>
  <c r="KQ196" i="1"/>
  <c r="KQ204" i="1"/>
  <c r="KQ186" i="1"/>
  <c r="KQ190" i="1"/>
  <c r="KQ194" i="1"/>
  <c r="KQ198" i="1"/>
  <c r="KQ202" i="1"/>
  <c r="KQ206" i="1"/>
  <c r="KQ210" i="1"/>
  <c r="KQ192" i="1"/>
  <c r="KQ208" i="1"/>
  <c r="KQ183" i="1"/>
  <c r="KQ187" i="1"/>
  <c r="KQ191" i="1"/>
  <c r="KQ195" i="1"/>
  <c r="KQ199" i="1"/>
  <c r="KQ203" i="1"/>
  <c r="KS203" i="1" s="1"/>
  <c r="KQ207" i="1"/>
  <c r="KQ211" i="1"/>
  <c r="KQ188" i="1"/>
  <c r="KQ200" i="1"/>
  <c r="KQ212" i="1"/>
  <c r="KH190" i="1"/>
  <c r="KH198" i="1"/>
  <c r="KH206" i="1"/>
  <c r="KH183" i="1"/>
  <c r="KH191" i="1"/>
  <c r="KH199" i="1"/>
  <c r="KH207" i="1"/>
  <c r="KH184" i="1"/>
  <c r="KH192" i="1"/>
  <c r="KH200" i="1"/>
  <c r="KH208" i="1"/>
  <c r="KH185" i="1"/>
  <c r="KH193" i="1"/>
  <c r="KH201" i="1"/>
  <c r="KH209" i="1"/>
  <c r="KH186" i="1"/>
  <c r="KH194" i="1"/>
  <c r="KH202" i="1"/>
  <c r="KH210" i="1"/>
  <c r="KH187" i="1"/>
  <c r="KH195" i="1"/>
  <c r="KH203" i="1"/>
  <c r="KH211" i="1"/>
  <c r="KH188" i="1"/>
  <c r="KH196" i="1"/>
  <c r="KH204" i="1"/>
  <c r="KH212" i="1"/>
  <c r="KH189" i="1"/>
  <c r="KH197" i="1"/>
  <c r="KH205" i="1"/>
  <c r="AY18" i="5"/>
  <c r="D57" i="19" s="1"/>
  <c r="QH76" i="1"/>
  <c r="QH77" i="1" s="1"/>
  <c r="QH78" i="1" s="1"/>
  <c r="QH79" i="1" s="1"/>
  <c r="QH80" i="1" s="1"/>
  <c r="QH81" i="1" s="1"/>
  <c r="QH82" i="1" s="1"/>
  <c r="QH83" i="1" s="1"/>
  <c r="QH84" i="1" s="1"/>
  <c r="QH85" i="1" s="1"/>
  <c r="QH86" i="1" s="1"/>
  <c r="QH87" i="1" s="1"/>
  <c r="QH88" i="1" s="1"/>
  <c r="QH89" i="1" s="1"/>
  <c r="QH90" i="1" s="1"/>
  <c r="QH91" i="1" s="1"/>
  <c r="QH92" i="1" s="1"/>
  <c r="QH93" i="1" s="1"/>
  <c r="QH94" i="1" s="1"/>
  <c r="QH95" i="1" s="1"/>
  <c r="QH96" i="1" s="1"/>
  <c r="QH97" i="1" s="1"/>
  <c r="QH98" i="1" s="1"/>
  <c r="QH99" i="1" s="1"/>
  <c r="QH100" i="1" s="1"/>
  <c r="QH101" i="1" s="1"/>
  <c r="QH102" i="1" s="1"/>
  <c r="QH103" i="1" s="1"/>
  <c r="QH104" i="1" s="1"/>
  <c r="QH105" i="1" s="1"/>
  <c r="QH106" i="1" s="1"/>
  <c r="QH107" i="1" s="1"/>
  <c r="AT18" i="5"/>
  <c r="D52" i="19" s="1"/>
  <c r="AS18" i="5"/>
  <c r="D51" i="19" s="1"/>
  <c r="AX18" i="5"/>
  <c r="D56" i="19" s="1"/>
  <c r="PY76" i="1"/>
  <c r="PY77" i="1" s="1"/>
  <c r="PY78" i="1" s="1"/>
  <c r="PY79" i="1" s="1"/>
  <c r="PY80" i="1" s="1"/>
  <c r="PY81" i="1" s="1"/>
  <c r="PY82" i="1" s="1"/>
  <c r="PY83" i="1" s="1"/>
  <c r="PY84" i="1" s="1"/>
  <c r="PY85" i="1" s="1"/>
  <c r="PY86" i="1" s="1"/>
  <c r="PY87" i="1" s="1"/>
  <c r="PY88" i="1" s="1"/>
  <c r="PY89" i="1" s="1"/>
  <c r="PY90" i="1" s="1"/>
  <c r="PY91" i="1" s="1"/>
  <c r="PY92" i="1" s="1"/>
  <c r="PY93" i="1" s="1"/>
  <c r="PY94" i="1" s="1"/>
  <c r="PY95" i="1" s="1"/>
  <c r="PY96" i="1" s="1"/>
  <c r="PY97" i="1" s="1"/>
  <c r="PY98" i="1" s="1"/>
  <c r="PY99" i="1" s="1"/>
  <c r="PY100" i="1" s="1"/>
  <c r="PY101" i="1" s="1"/>
  <c r="PY102" i="1" s="1"/>
  <c r="PY103" i="1" s="1"/>
  <c r="PY104" i="1" s="1"/>
  <c r="PY105" i="1" s="1"/>
  <c r="PY106" i="1" s="1"/>
  <c r="PY107" i="1" s="1"/>
  <c r="AW18" i="5"/>
  <c r="D55" i="19" s="1"/>
  <c r="PP76" i="1"/>
  <c r="PP77" i="1" s="1"/>
  <c r="PP78" i="1" s="1"/>
  <c r="PP79" i="1" s="1"/>
  <c r="PP80" i="1" s="1"/>
  <c r="PP81" i="1" s="1"/>
  <c r="PP82" i="1" s="1"/>
  <c r="PP83" i="1" s="1"/>
  <c r="PP84" i="1" s="1"/>
  <c r="PP85" i="1" s="1"/>
  <c r="PP86" i="1" s="1"/>
  <c r="PP87" i="1" s="1"/>
  <c r="PP88" i="1" s="1"/>
  <c r="PP89" i="1" s="1"/>
  <c r="PP90" i="1" s="1"/>
  <c r="PP91" i="1" s="1"/>
  <c r="PP92" i="1" s="1"/>
  <c r="PP93" i="1" s="1"/>
  <c r="PP94" i="1" s="1"/>
  <c r="PP95" i="1" s="1"/>
  <c r="PP96" i="1" s="1"/>
  <c r="PP97" i="1" s="1"/>
  <c r="PP98" i="1" s="1"/>
  <c r="PP99" i="1" s="1"/>
  <c r="PP100" i="1" s="1"/>
  <c r="PP101" i="1" s="1"/>
  <c r="PP102" i="1" s="1"/>
  <c r="PP103" i="1" s="1"/>
  <c r="PP104" i="1" s="1"/>
  <c r="PP105" i="1" s="1"/>
  <c r="PP106" i="1" s="1"/>
  <c r="PP107" i="1" s="1"/>
  <c r="AU18" i="5"/>
  <c r="D53" i="19" s="1"/>
  <c r="AZ18" i="5"/>
  <c r="D58" i="19" s="1"/>
  <c r="QQ76" i="1"/>
  <c r="QQ77" i="1" s="1"/>
  <c r="QQ78" i="1" s="1"/>
  <c r="QQ79" i="1" s="1"/>
  <c r="QQ80" i="1" s="1"/>
  <c r="QQ81" i="1" s="1"/>
  <c r="QQ82" i="1" s="1"/>
  <c r="QQ83" i="1" s="1"/>
  <c r="QQ84" i="1" s="1"/>
  <c r="QQ85" i="1" s="1"/>
  <c r="QQ86" i="1" s="1"/>
  <c r="QQ87" i="1" s="1"/>
  <c r="QQ88" i="1" s="1"/>
  <c r="QQ89" i="1" s="1"/>
  <c r="QQ90" i="1" s="1"/>
  <c r="QQ91" i="1" s="1"/>
  <c r="QQ92" i="1" s="1"/>
  <c r="QQ93" i="1" s="1"/>
  <c r="QQ94" i="1" s="1"/>
  <c r="QQ95" i="1" s="1"/>
  <c r="QQ96" i="1" s="1"/>
  <c r="QQ97" i="1" s="1"/>
  <c r="QQ98" i="1" s="1"/>
  <c r="QQ99" i="1" s="1"/>
  <c r="QQ100" i="1" s="1"/>
  <c r="QQ101" i="1" s="1"/>
  <c r="QQ102" i="1" s="1"/>
  <c r="QQ103" i="1" s="1"/>
  <c r="QQ104" i="1" s="1"/>
  <c r="QQ105" i="1" s="1"/>
  <c r="QQ106" i="1" s="1"/>
  <c r="QQ107" i="1" s="1"/>
  <c r="AV18" i="5"/>
  <c r="D54" i="19" s="1"/>
  <c r="PG76" i="1"/>
  <c r="PG77" i="1" s="1"/>
  <c r="PG78" i="1" s="1"/>
  <c r="PG79" i="1" s="1"/>
  <c r="PG80" i="1" s="1"/>
  <c r="PG81" i="1" s="1"/>
  <c r="PG82" i="1" s="1"/>
  <c r="PG83" i="1" s="1"/>
  <c r="PG84" i="1" s="1"/>
  <c r="PG85" i="1" s="1"/>
  <c r="PG86" i="1" s="1"/>
  <c r="PG87" i="1" s="1"/>
  <c r="PG88" i="1" s="1"/>
  <c r="PG89" i="1" s="1"/>
  <c r="PG90" i="1" s="1"/>
  <c r="PG91" i="1" s="1"/>
  <c r="PG92" i="1" s="1"/>
  <c r="PG93" i="1" s="1"/>
  <c r="PG94" i="1" s="1"/>
  <c r="PG95" i="1" s="1"/>
  <c r="PG96" i="1" s="1"/>
  <c r="PG97" i="1" s="1"/>
  <c r="PG98" i="1" s="1"/>
  <c r="PG99" i="1" s="1"/>
  <c r="PG100" i="1" s="1"/>
  <c r="PG101" i="1" s="1"/>
  <c r="PG102" i="1" s="1"/>
  <c r="PG103" i="1" s="1"/>
  <c r="PG104" i="1" s="1"/>
  <c r="PG105" i="1" s="1"/>
  <c r="PG106" i="1" s="1"/>
  <c r="PG107" i="1" s="1"/>
  <c r="KQ7" i="1"/>
  <c r="KQ9" i="1"/>
  <c r="KQ11" i="1"/>
  <c r="KQ13" i="1"/>
  <c r="KQ15" i="1"/>
  <c r="KQ17" i="1"/>
  <c r="KQ19" i="1"/>
  <c r="KQ21" i="1"/>
  <c r="KQ23" i="1"/>
  <c r="KQ25" i="1"/>
  <c r="KQ27" i="1"/>
  <c r="KQ29" i="1"/>
  <c r="KQ31" i="1"/>
  <c r="KQ33" i="1"/>
  <c r="KQ35" i="1"/>
  <c r="KQ8" i="1"/>
  <c r="KQ10" i="1"/>
  <c r="KQ12" i="1"/>
  <c r="KQ14" i="1"/>
  <c r="KQ16" i="1"/>
  <c r="KQ18" i="1"/>
  <c r="KQ20" i="1"/>
  <c r="KQ22" i="1"/>
  <c r="KQ24" i="1"/>
  <c r="KQ26" i="1"/>
  <c r="KQ28" i="1"/>
  <c r="KQ30" i="1"/>
  <c r="KQ32" i="1"/>
  <c r="KQ34" i="1"/>
  <c r="KQ36" i="1"/>
  <c r="PO112" i="1"/>
  <c r="PO361" i="1"/>
  <c r="PO396" i="1"/>
  <c r="PO427" i="1" s="1"/>
  <c r="G53" i="16" s="1"/>
  <c r="PM427" i="1"/>
  <c r="PO183" i="1"/>
  <c r="QG222" i="1"/>
  <c r="QG46" i="1"/>
  <c r="QG76" i="1"/>
  <c r="QG258" i="1"/>
  <c r="QG290" i="1"/>
  <c r="QG325" i="1"/>
  <c r="NM112" i="1"/>
  <c r="NM361" i="1"/>
  <c r="NM396" i="1"/>
  <c r="NM427" i="1" s="1"/>
  <c r="NK427" i="1"/>
  <c r="AQ83" i="5" s="1"/>
  <c r="NM187" i="1"/>
  <c r="PX115" i="1"/>
  <c r="PX183" i="1"/>
  <c r="PX218" i="1"/>
  <c r="QP42" i="1"/>
  <c r="QP183" i="1"/>
  <c r="QP290" i="1"/>
  <c r="QP325" i="1"/>
  <c r="QP361" i="1"/>
  <c r="QP396" i="1"/>
  <c r="QP427" i="1" s="1"/>
  <c r="G56" i="16" s="1"/>
  <c r="QN427" i="1"/>
  <c r="AZ83" i="5" s="1"/>
  <c r="F56" i="16" s="1"/>
  <c r="JY7" i="1"/>
  <c r="JY9" i="1"/>
  <c r="JY11" i="1"/>
  <c r="JY13" i="1"/>
  <c r="JY15" i="1"/>
  <c r="JY17" i="1"/>
  <c r="JY19" i="1"/>
  <c r="JY21" i="1"/>
  <c r="JY23" i="1"/>
  <c r="JY25" i="1"/>
  <c r="JY27" i="1"/>
  <c r="JY29" i="1"/>
  <c r="JY31" i="1"/>
  <c r="JY33" i="1"/>
  <c r="JY35" i="1"/>
  <c r="JY8" i="1"/>
  <c r="JY10" i="1"/>
  <c r="JY12" i="1"/>
  <c r="JY14" i="1"/>
  <c r="JY16" i="1"/>
  <c r="JY18" i="1"/>
  <c r="JY20" i="1"/>
  <c r="JY22" i="1"/>
  <c r="JY24" i="1"/>
  <c r="JY26" i="1"/>
  <c r="JY28" i="1"/>
  <c r="JY30" i="1"/>
  <c r="JY32" i="1"/>
  <c r="JY34" i="1"/>
  <c r="JY36" i="1"/>
  <c r="KH7" i="1"/>
  <c r="KH9" i="1"/>
  <c r="KH11" i="1"/>
  <c r="KH13" i="1"/>
  <c r="KH15" i="1"/>
  <c r="KH17" i="1"/>
  <c r="KH19" i="1"/>
  <c r="KH21" i="1"/>
  <c r="KH23" i="1"/>
  <c r="KH25" i="1"/>
  <c r="KH27" i="1"/>
  <c r="KH29" i="1"/>
  <c r="KH31" i="1"/>
  <c r="KH33" i="1"/>
  <c r="KH35" i="1"/>
  <c r="KH8" i="1"/>
  <c r="KH10" i="1"/>
  <c r="KH12" i="1"/>
  <c r="KH14" i="1"/>
  <c r="KH16" i="1"/>
  <c r="KH18" i="1"/>
  <c r="KH20" i="1"/>
  <c r="KH22" i="1"/>
  <c r="KH24" i="1"/>
  <c r="KH26" i="1"/>
  <c r="KH28" i="1"/>
  <c r="KH30" i="1"/>
  <c r="KH32" i="1"/>
  <c r="KH34" i="1"/>
  <c r="KH36" i="1"/>
  <c r="JP8" i="1"/>
  <c r="JP10" i="1"/>
  <c r="JP12" i="1"/>
  <c r="JP14" i="1"/>
  <c r="JP16" i="1"/>
  <c r="JP18" i="1"/>
  <c r="JP20" i="1"/>
  <c r="JP22" i="1"/>
  <c r="JP24" i="1"/>
  <c r="JP26" i="1"/>
  <c r="JP28" i="1"/>
  <c r="JP30" i="1"/>
  <c r="JP32" i="1"/>
  <c r="JP34" i="1"/>
  <c r="JP36" i="1"/>
  <c r="JP7" i="1"/>
  <c r="JP11" i="1"/>
  <c r="JP15" i="1"/>
  <c r="JP19" i="1"/>
  <c r="JP23" i="1"/>
  <c r="JP27" i="1"/>
  <c r="JP31" i="1"/>
  <c r="JP35" i="1"/>
  <c r="JP9" i="1"/>
  <c r="JP13" i="1"/>
  <c r="JP17" i="1"/>
  <c r="JP21" i="1"/>
  <c r="JP25" i="1"/>
  <c r="JP29" i="1"/>
  <c r="JP33" i="1"/>
  <c r="PO42" i="1"/>
  <c r="PO254" i="1"/>
  <c r="PO76" i="1"/>
  <c r="PO221" i="1"/>
  <c r="PO290" i="1"/>
  <c r="PO325" i="1"/>
  <c r="QG112" i="1"/>
  <c r="QG151" i="1"/>
  <c r="QG183" i="1"/>
  <c r="QG361" i="1"/>
  <c r="QG396" i="1"/>
  <c r="QG427" i="1" s="1"/>
  <c r="G55" i="16" s="1"/>
  <c r="QE427" i="1"/>
  <c r="AY83" i="5" s="1"/>
  <c r="F55" i="16" s="1"/>
  <c r="NM42" i="1"/>
  <c r="NM222" i="1"/>
  <c r="NM254" i="1"/>
  <c r="NM76" i="1"/>
  <c r="NM290" i="1"/>
  <c r="NM325" i="1"/>
  <c r="PX76" i="1"/>
  <c r="PX42" i="1"/>
  <c r="PX254" i="1"/>
  <c r="PX361" i="1"/>
  <c r="PX396" i="1"/>
  <c r="PX427" i="1" s="1"/>
  <c r="G54" i="16" s="1"/>
  <c r="PV427" i="1"/>
  <c r="F53" i="16" s="1"/>
  <c r="PX290" i="1"/>
  <c r="PX325" i="1"/>
  <c r="QP80" i="1"/>
  <c r="QP112" i="1"/>
  <c r="QP222" i="1"/>
  <c r="QP254" i="1"/>
  <c r="PF325" i="1"/>
  <c r="PF290" i="1"/>
  <c r="PF183" i="1"/>
  <c r="PF116" i="1"/>
  <c r="PF396" i="1"/>
  <c r="PF427" i="1" s="1"/>
  <c r="G52" i="16" s="1"/>
  <c r="PD427" i="1"/>
  <c r="F52" i="16" s="1"/>
  <c r="PF45" i="1"/>
  <c r="PF361" i="1"/>
  <c r="PF218" i="1"/>
  <c r="PF10" i="1"/>
  <c r="PF76" i="1"/>
  <c r="PF258" i="1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22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34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46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58" i="6"/>
  <c r="A271" i="6"/>
  <c r="A272" i="6"/>
  <c r="A273" i="6"/>
  <c r="A274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270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182" i="6"/>
  <c r="A94" i="6"/>
  <c r="BE50" i="5" l="1"/>
  <c r="SJ253" i="1"/>
  <c r="TK253" i="1"/>
  <c r="BH50" i="5"/>
  <c r="TB253" i="1"/>
  <c r="BG50" i="5"/>
  <c r="SS253" i="1"/>
  <c r="BF50" i="5"/>
  <c r="BD50" i="5"/>
  <c r="SA253" i="1"/>
  <c r="BC50" i="5"/>
  <c r="RR253" i="1"/>
  <c r="BA50" i="5"/>
  <c r="QZ253" i="1"/>
  <c r="G59" i="13"/>
  <c r="F59" i="13"/>
  <c r="G60" i="13"/>
  <c r="F57" i="13"/>
  <c r="G57" i="13"/>
  <c r="G58" i="13"/>
  <c r="F58" i="13"/>
  <c r="RI253" i="1"/>
  <c r="BB53" i="5" s="1"/>
  <c r="D58" i="12" s="1"/>
  <c r="G59" i="16"/>
  <c r="G60" i="16"/>
  <c r="AP39" i="5"/>
  <c r="D46" i="8" s="1"/>
  <c r="NE183" i="1"/>
  <c r="NE184" i="1" s="1"/>
  <c r="NE185" i="1" s="1"/>
  <c r="NE186" i="1" s="1"/>
  <c r="NE187" i="1" s="1"/>
  <c r="NE188" i="1" s="1"/>
  <c r="NE189" i="1" s="1"/>
  <c r="NE190" i="1" s="1"/>
  <c r="NE191" i="1" s="1"/>
  <c r="NE192" i="1" s="1"/>
  <c r="NE193" i="1" s="1"/>
  <c r="NE194" i="1" s="1"/>
  <c r="NE195" i="1" s="1"/>
  <c r="NE196" i="1" s="1"/>
  <c r="NE197" i="1" s="1"/>
  <c r="NE198" i="1" s="1"/>
  <c r="NE199" i="1" s="1"/>
  <c r="NE200" i="1" s="1"/>
  <c r="NE201" i="1" s="1"/>
  <c r="NE202" i="1" s="1"/>
  <c r="NE203" i="1" s="1"/>
  <c r="NE204" i="1" s="1"/>
  <c r="NE205" i="1" s="1"/>
  <c r="NE206" i="1" s="1"/>
  <c r="NE207" i="1" s="1"/>
  <c r="NE208" i="1" s="1"/>
  <c r="NE209" i="1" s="1"/>
  <c r="NE210" i="1" s="1"/>
  <c r="NE211" i="1" s="1"/>
  <c r="NE212" i="1" s="1"/>
  <c r="NE213" i="1" s="1"/>
  <c r="AO39" i="5"/>
  <c r="D45" i="8" s="1"/>
  <c r="MV183" i="1"/>
  <c r="MV184" i="1" s="1"/>
  <c r="MV185" i="1" s="1"/>
  <c r="MV186" i="1" s="1"/>
  <c r="MV187" i="1" s="1"/>
  <c r="MV188" i="1" s="1"/>
  <c r="MV189" i="1" s="1"/>
  <c r="MV190" i="1" s="1"/>
  <c r="MV191" i="1" s="1"/>
  <c r="MV192" i="1" s="1"/>
  <c r="MV193" i="1" s="1"/>
  <c r="MV194" i="1" s="1"/>
  <c r="MV195" i="1" s="1"/>
  <c r="MV196" i="1" s="1"/>
  <c r="MV197" i="1" s="1"/>
  <c r="MV198" i="1" s="1"/>
  <c r="MV199" i="1" s="1"/>
  <c r="MV200" i="1" s="1"/>
  <c r="MV201" i="1" s="1"/>
  <c r="MV202" i="1" s="1"/>
  <c r="MV203" i="1" s="1"/>
  <c r="MV204" i="1" s="1"/>
  <c r="MV205" i="1" s="1"/>
  <c r="MV206" i="1" s="1"/>
  <c r="MV207" i="1" s="1"/>
  <c r="MV208" i="1" s="1"/>
  <c r="MV209" i="1" s="1"/>
  <c r="MV210" i="1" s="1"/>
  <c r="MV211" i="1" s="1"/>
  <c r="MV212" i="1" s="1"/>
  <c r="MV213" i="1" s="1"/>
  <c r="AL39" i="5"/>
  <c r="D42" i="8" s="1"/>
  <c r="LU183" i="1"/>
  <c r="LU184" i="1" s="1"/>
  <c r="LU185" i="1" s="1"/>
  <c r="LU186" i="1" s="1"/>
  <c r="LU187" i="1" s="1"/>
  <c r="LU188" i="1" s="1"/>
  <c r="LU189" i="1" s="1"/>
  <c r="LU190" i="1" s="1"/>
  <c r="LU191" i="1" s="1"/>
  <c r="LU192" i="1" s="1"/>
  <c r="LU193" i="1" s="1"/>
  <c r="LU194" i="1" s="1"/>
  <c r="LU195" i="1" s="1"/>
  <c r="LU196" i="1" s="1"/>
  <c r="LU197" i="1" s="1"/>
  <c r="LU198" i="1" s="1"/>
  <c r="LU199" i="1" s="1"/>
  <c r="LU200" i="1" s="1"/>
  <c r="LU201" i="1" s="1"/>
  <c r="LU202" i="1" s="1"/>
  <c r="LU203" i="1" s="1"/>
  <c r="LU204" i="1" s="1"/>
  <c r="LU205" i="1" s="1"/>
  <c r="LU206" i="1" s="1"/>
  <c r="LU207" i="1" s="1"/>
  <c r="LU208" i="1" s="1"/>
  <c r="LU209" i="1" s="1"/>
  <c r="LU210" i="1" s="1"/>
  <c r="LU211" i="1" s="1"/>
  <c r="LU212" i="1" s="1"/>
  <c r="LU213" i="1" s="1"/>
  <c r="MM183" i="1"/>
  <c r="MM184" i="1" s="1"/>
  <c r="MM185" i="1" s="1"/>
  <c r="MM186" i="1" s="1"/>
  <c r="MM187" i="1" s="1"/>
  <c r="MM188" i="1" s="1"/>
  <c r="MM189" i="1" s="1"/>
  <c r="MM190" i="1" s="1"/>
  <c r="MM191" i="1" s="1"/>
  <c r="MM192" i="1" s="1"/>
  <c r="MM193" i="1" s="1"/>
  <c r="MM194" i="1" s="1"/>
  <c r="MM195" i="1" s="1"/>
  <c r="MM196" i="1" s="1"/>
  <c r="MM197" i="1" s="1"/>
  <c r="MM198" i="1" s="1"/>
  <c r="MM199" i="1" s="1"/>
  <c r="MM200" i="1" s="1"/>
  <c r="MM201" i="1" s="1"/>
  <c r="MM202" i="1" s="1"/>
  <c r="MM203" i="1" s="1"/>
  <c r="MM204" i="1" s="1"/>
  <c r="MM205" i="1" s="1"/>
  <c r="MM206" i="1" s="1"/>
  <c r="MM207" i="1" s="1"/>
  <c r="MM208" i="1" s="1"/>
  <c r="MM209" i="1" s="1"/>
  <c r="MM210" i="1" s="1"/>
  <c r="MM211" i="1" s="1"/>
  <c r="MM212" i="1" s="1"/>
  <c r="MM213" i="1" s="1"/>
  <c r="AN39" i="5"/>
  <c r="D44" i="8" s="1"/>
  <c r="MD183" i="1"/>
  <c r="MD184" i="1" s="1"/>
  <c r="MD185" i="1" s="1"/>
  <c r="MD186" i="1" s="1"/>
  <c r="MD187" i="1" s="1"/>
  <c r="MD188" i="1" s="1"/>
  <c r="MD189" i="1" s="1"/>
  <c r="MD190" i="1" s="1"/>
  <c r="MD191" i="1" s="1"/>
  <c r="MD192" i="1" s="1"/>
  <c r="MD193" i="1" s="1"/>
  <c r="MD194" i="1" s="1"/>
  <c r="MD195" i="1" s="1"/>
  <c r="MD196" i="1" s="1"/>
  <c r="MD197" i="1" s="1"/>
  <c r="MD198" i="1" s="1"/>
  <c r="MD199" i="1" s="1"/>
  <c r="MD200" i="1" s="1"/>
  <c r="MD201" i="1" s="1"/>
  <c r="MD202" i="1" s="1"/>
  <c r="MD203" i="1" s="1"/>
  <c r="MD204" i="1" s="1"/>
  <c r="MD205" i="1" s="1"/>
  <c r="MD206" i="1" s="1"/>
  <c r="MD207" i="1" s="1"/>
  <c r="MD208" i="1" s="1"/>
  <c r="MD209" i="1" s="1"/>
  <c r="MD210" i="1" s="1"/>
  <c r="MD211" i="1" s="1"/>
  <c r="MD212" i="1" s="1"/>
  <c r="MD213" i="1" s="1"/>
  <c r="AM39" i="5"/>
  <c r="D43" i="8" s="1"/>
  <c r="AQ22" i="5"/>
  <c r="H50" i="19" s="1"/>
  <c r="O50" i="19" s="1"/>
  <c r="AV22" i="5"/>
  <c r="H54" i="19" s="1"/>
  <c r="O54" i="19" s="1"/>
  <c r="PG111" i="1"/>
  <c r="AX22" i="5"/>
  <c r="H56" i="19" s="1"/>
  <c r="O56" i="19" s="1"/>
  <c r="PY111" i="1"/>
  <c r="AT22" i="5"/>
  <c r="H52" i="19" s="1"/>
  <c r="O52" i="19" s="1"/>
  <c r="AZ22" i="5"/>
  <c r="H58" i="19" s="1"/>
  <c r="O58" i="19" s="1"/>
  <c r="QQ111" i="1"/>
  <c r="AW22" i="5"/>
  <c r="H55" i="19" s="1"/>
  <c r="O55" i="19" s="1"/>
  <c r="PP111" i="1"/>
  <c r="AS22" i="5"/>
  <c r="H51" i="19" s="1"/>
  <c r="O51" i="19" s="1"/>
  <c r="AY22" i="5"/>
  <c r="H57" i="19" s="1"/>
  <c r="QH111" i="1"/>
  <c r="AU22" i="5"/>
  <c r="H53" i="19" s="1"/>
  <c r="O53" i="19" s="1"/>
  <c r="AJ4" i="5"/>
  <c r="AI4" i="5"/>
  <c r="AH4" i="5"/>
  <c r="AG4" i="5"/>
  <c r="AF4" i="5"/>
  <c r="AE4" i="5"/>
  <c r="AD4" i="5"/>
  <c r="AC4" i="5"/>
  <c r="AB4" i="5"/>
  <c r="AA4" i="5"/>
  <c r="LJ427" i="1"/>
  <c r="LH427" i="1"/>
  <c r="AK82" i="5" s="1"/>
  <c r="E41" i="16" s="1"/>
  <c r="LJ391" i="1"/>
  <c r="LH391" i="1"/>
  <c r="AK75" i="5" s="1"/>
  <c r="E41" i="15" s="1"/>
  <c r="LJ356" i="1"/>
  <c r="LH356" i="1"/>
  <c r="AK68" i="5" s="1"/>
  <c r="E41" i="14" s="1"/>
  <c r="LJ320" i="1"/>
  <c r="LH320" i="1"/>
  <c r="AK61" i="5" s="1"/>
  <c r="E41" i="13" s="1"/>
  <c r="LJ285" i="1"/>
  <c r="LH285" i="1"/>
  <c r="AK54" i="5" s="1"/>
  <c r="E41" i="12" s="1"/>
  <c r="LJ249" i="1"/>
  <c r="LH249" i="1"/>
  <c r="AK47" i="5" s="1"/>
  <c r="E41" i="11" s="1"/>
  <c r="LJ213" i="1"/>
  <c r="LH213" i="1"/>
  <c r="AK40" i="5" s="1"/>
  <c r="E41" i="8" s="1"/>
  <c r="LJ178" i="1"/>
  <c r="LH178" i="1"/>
  <c r="AK33" i="5" s="1"/>
  <c r="E41" i="21" s="1"/>
  <c r="LJ142" i="1"/>
  <c r="LH142" i="1"/>
  <c r="AK26" i="5" s="1"/>
  <c r="E41" i="20" s="1"/>
  <c r="LJ107" i="1"/>
  <c r="LH107" i="1"/>
  <c r="AK19" i="5" s="1"/>
  <c r="E41" i="19" s="1"/>
  <c r="LJ71" i="1"/>
  <c r="LH71" i="1"/>
  <c r="AK12" i="5" s="1"/>
  <c r="E41" i="18" s="1"/>
  <c r="LJ37" i="1"/>
  <c r="LH37" i="1"/>
  <c r="LL6" i="1"/>
  <c r="LL7" i="1" s="1"/>
  <c r="LL8" i="1" s="1"/>
  <c r="LL9" i="1" s="1"/>
  <c r="LL10" i="1" s="1"/>
  <c r="LL11" i="1" s="1"/>
  <c r="LL12" i="1" s="1"/>
  <c r="LL13" i="1" s="1"/>
  <c r="LL14" i="1" s="1"/>
  <c r="LL15" i="1" s="1"/>
  <c r="LL16" i="1" s="1"/>
  <c r="LL17" i="1" s="1"/>
  <c r="LL18" i="1" s="1"/>
  <c r="LL19" i="1" s="1"/>
  <c r="LL20" i="1" s="1"/>
  <c r="LL21" i="1" s="1"/>
  <c r="LL22" i="1" s="1"/>
  <c r="LL23" i="1" s="1"/>
  <c r="LL24" i="1" s="1"/>
  <c r="LL25" i="1" s="1"/>
  <c r="LL26" i="1" s="1"/>
  <c r="LL27" i="1" s="1"/>
  <c r="LL28" i="1" s="1"/>
  <c r="LL29" i="1" s="1"/>
  <c r="LL30" i="1" s="1"/>
  <c r="LL31" i="1" s="1"/>
  <c r="LL32" i="1" s="1"/>
  <c r="LL33" i="1" s="1"/>
  <c r="LL34" i="1" s="1"/>
  <c r="LL35" i="1" s="1"/>
  <c r="LL36" i="1" s="1"/>
  <c r="LL37" i="1" s="1"/>
  <c r="AJ82" i="5"/>
  <c r="E40" i="16" s="1"/>
  <c r="AJ75" i="5"/>
  <c r="E40" i="15" s="1"/>
  <c r="AJ68" i="5"/>
  <c r="E40" i="14" s="1"/>
  <c r="AJ61" i="5"/>
  <c r="E40" i="13" s="1"/>
  <c r="AJ54" i="5"/>
  <c r="E40" i="12" s="1"/>
  <c r="AJ47" i="5"/>
  <c r="E40" i="11" s="1"/>
  <c r="AJ40" i="5"/>
  <c r="E40" i="8" s="1"/>
  <c r="AJ33" i="5"/>
  <c r="E40" i="21" s="1"/>
  <c r="AJ26" i="5"/>
  <c r="E40" i="20" s="1"/>
  <c r="AJ19" i="5"/>
  <c r="E40" i="19" s="1"/>
  <c r="AJ12" i="5"/>
  <c r="E40" i="18" s="1"/>
  <c r="AJ5" i="5"/>
  <c r="LC6" i="1"/>
  <c r="LC7" i="1" s="1"/>
  <c r="LC8" i="1" s="1"/>
  <c r="LC9" i="1" s="1"/>
  <c r="LC10" i="1" s="1"/>
  <c r="LC11" i="1" s="1"/>
  <c r="LC12" i="1" s="1"/>
  <c r="LC13" i="1" s="1"/>
  <c r="LC14" i="1" s="1"/>
  <c r="LC15" i="1" s="1"/>
  <c r="LC16" i="1" s="1"/>
  <c r="LC17" i="1" s="1"/>
  <c r="LC18" i="1" s="1"/>
  <c r="LC19" i="1" s="1"/>
  <c r="LC20" i="1" s="1"/>
  <c r="LC21" i="1" s="1"/>
  <c r="LC22" i="1" s="1"/>
  <c r="LC23" i="1" s="1"/>
  <c r="LC24" i="1" s="1"/>
  <c r="LC25" i="1" s="1"/>
  <c r="LC26" i="1" s="1"/>
  <c r="LC27" i="1" s="1"/>
  <c r="LC28" i="1" s="1"/>
  <c r="LC29" i="1" s="1"/>
  <c r="LC30" i="1" s="1"/>
  <c r="LC31" i="1" s="1"/>
  <c r="LC32" i="1" s="1"/>
  <c r="LC33" i="1" s="1"/>
  <c r="LC34" i="1" s="1"/>
  <c r="LC35" i="1" s="1"/>
  <c r="LC36" i="1" s="1"/>
  <c r="LC37" i="1" s="1"/>
  <c r="LC41" i="1" s="1"/>
  <c r="AJ11" i="5" s="1"/>
  <c r="D40" i="18" s="1"/>
  <c r="KP427" i="1"/>
  <c r="AI82" i="5" s="1"/>
  <c r="E39" i="16" s="1"/>
  <c r="KP391" i="1"/>
  <c r="AI75" i="5" s="1"/>
  <c r="E39" i="15" s="1"/>
  <c r="KP356" i="1"/>
  <c r="AI68" i="5" s="1"/>
  <c r="E39" i="14" s="1"/>
  <c r="KP320" i="1"/>
  <c r="AI61" i="5" s="1"/>
  <c r="E39" i="13" s="1"/>
  <c r="KP285" i="1"/>
  <c r="AI54" i="5" s="1"/>
  <c r="E39" i="12" s="1"/>
  <c r="KP249" i="1"/>
  <c r="AI47" i="5" s="1"/>
  <c r="E39" i="11" s="1"/>
  <c r="KP213" i="1"/>
  <c r="AI40" i="5" s="1"/>
  <c r="E39" i="8" s="1"/>
  <c r="KP178" i="1"/>
  <c r="AI33" i="5" s="1"/>
  <c r="E39" i="21" s="1"/>
  <c r="KP142" i="1"/>
  <c r="AI26" i="5" s="1"/>
  <c r="E39" i="20" s="1"/>
  <c r="KP107" i="1"/>
  <c r="AI19" i="5" s="1"/>
  <c r="E39" i="19" s="1"/>
  <c r="AI12" i="5"/>
  <c r="E39" i="18" s="1"/>
  <c r="KP37" i="1"/>
  <c r="KT6" i="1"/>
  <c r="KT7" i="1" s="1"/>
  <c r="KT8" i="1" s="1"/>
  <c r="KT9" i="1" s="1"/>
  <c r="KT10" i="1" s="1"/>
  <c r="KT11" i="1" s="1"/>
  <c r="KT12" i="1" s="1"/>
  <c r="KT13" i="1" s="1"/>
  <c r="KT14" i="1" s="1"/>
  <c r="KT15" i="1" s="1"/>
  <c r="KT16" i="1" s="1"/>
  <c r="KT17" i="1" s="1"/>
  <c r="KT18" i="1" s="1"/>
  <c r="KT19" i="1" s="1"/>
  <c r="KT20" i="1" s="1"/>
  <c r="KT21" i="1" s="1"/>
  <c r="KT22" i="1" s="1"/>
  <c r="KT23" i="1" s="1"/>
  <c r="KT24" i="1" s="1"/>
  <c r="KT25" i="1" s="1"/>
  <c r="KT26" i="1" s="1"/>
  <c r="KT27" i="1" s="1"/>
  <c r="KT28" i="1" s="1"/>
  <c r="KT29" i="1" s="1"/>
  <c r="KT30" i="1" s="1"/>
  <c r="KT31" i="1" s="1"/>
  <c r="KT32" i="1" s="1"/>
  <c r="KT33" i="1" s="1"/>
  <c r="KT34" i="1" s="1"/>
  <c r="KT35" i="1" s="1"/>
  <c r="KT36" i="1" s="1"/>
  <c r="KT37" i="1" s="1"/>
  <c r="AH82" i="5"/>
  <c r="E38" i="16" s="1"/>
  <c r="AH75" i="5"/>
  <c r="E38" i="15" s="1"/>
  <c r="AH68" i="5"/>
  <c r="E38" i="14" s="1"/>
  <c r="AH61" i="5"/>
  <c r="E38" i="13" s="1"/>
  <c r="AH54" i="5"/>
  <c r="E38" i="12" s="1"/>
  <c r="AH47" i="5"/>
  <c r="E38" i="11" s="1"/>
  <c r="AH40" i="5"/>
  <c r="E38" i="8" s="1"/>
  <c r="AH33" i="5"/>
  <c r="E38" i="21" s="1"/>
  <c r="AH26" i="5"/>
  <c r="E38" i="20" s="1"/>
  <c r="AH19" i="5"/>
  <c r="E38" i="19" s="1"/>
  <c r="AH12" i="5"/>
  <c r="E38" i="18" s="1"/>
  <c r="AH5" i="5"/>
  <c r="KK6" i="1"/>
  <c r="KK7" i="1" s="1"/>
  <c r="KK8" i="1" s="1"/>
  <c r="KK9" i="1" s="1"/>
  <c r="KK10" i="1" s="1"/>
  <c r="KK11" i="1" s="1"/>
  <c r="KK12" i="1" s="1"/>
  <c r="KK13" i="1" s="1"/>
  <c r="KK14" i="1" s="1"/>
  <c r="KK15" i="1" s="1"/>
  <c r="KK16" i="1" s="1"/>
  <c r="KK17" i="1" s="1"/>
  <c r="KK18" i="1" s="1"/>
  <c r="KK19" i="1" s="1"/>
  <c r="KK20" i="1" s="1"/>
  <c r="KK21" i="1" s="1"/>
  <c r="KK22" i="1" s="1"/>
  <c r="KK23" i="1" s="1"/>
  <c r="KK24" i="1" s="1"/>
  <c r="KK25" i="1" s="1"/>
  <c r="KK26" i="1" s="1"/>
  <c r="KK27" i="1" s="1"/>
  <c r="KK28" i="1" s="1"/>
  <c r="KK29" i="1" s="1"/>
  <c r="KK30" i="1" s="1"/>
  <c r="KK31" i="1" s="1"/>
  <c r="KK32" i="1" s="1"/>
  <c r="KK33" i="1" s="1"/>
  <c r="KK34" i="1" s="1"/>
  <c r="KK35" i="1" s="1"/>
  <c r="KK36" i="1" s="1"/>
  <c r="KK37" i="1" s="1"/>
  <c r="JZ427" i="1"/>
  <c r="JX427" i="1"/>
  <c r="AG82" i="5" s="1"/>
  <c r="E37" i="16" s="1"/>
  <c r="JZ391" i="1"/>
  <c r="JX391" i="1"/>
  <c r="AG75" i="5" s="1"/>
  <c r="E37" i="15" s="1"/>
  <c r="JZ356" i="1"/>
  <c r="JX356" i="1"/>
  <c r="AG68" i="5" s="1"/>
  <c r="E37" i="14" s="1"/>
  <c r="JZ320" i="1"/>
  <c r="JX320" i="1"/>
  <c r="AG61" i="5" s="1"/>
  <c r="E37" i="13" s="1"/>
  <c r="JZ285" i="1"/>
  <c r="JX285" i="1"/>
  <c r="AG54" i="5" s="1"/>
  <c r="E37" i="12" s="1"/>
  <c r="JZ249" i="1"/>
  <c r="JX249" i="1"/>
  <c r="AG47" i="5" s="1"/>
  <c r="E37" i="11" s="1"/>
  <c r="JZ213" i="1"/>
  <c r="JX213" i="1"/>
  <c r="AG40" i="5" s="1"/>
  <c r="E37" i="8" s="1"/>
  <c r="JZ178" i="1"/>
  <c r="JX178" i="1"/>
  <c r="AG33" i="5" s="1"/>
  <c r="E37" i="21" s="1"/>
  <c r="JZ142" i="1"/>
  <c r="JX142" i="1"/>
  <c r="AG26" i="5" s="1"/>
  <c r="E37" i="20" s="1"/>
  <c r="JZ107" i="1"/>
  <c r="JX107" i="1"/>
  <c r="AG19" i="5" s="1"/>
  <c r="E37" i="19" s="1"/>
  <c r="JZ71" i="1"/>
  <c r="JX71" i="1"/>
  <c r="AG12" i="5" s="1"/>
  <c r="E37" i="18" s="1"/>
  <c r="JZ37" i="1"/>
  <c r="JX37" i="1"/>
  <c r="KB6" i="1"/>
  <c r="KB7" i="1" s="1"/>
  <c r="KB8" i="1" s="1"/>
  <c r="KB9" i="1" s="1"/>
  <c r="KB10" i="1" s="1"/>
  <c r="KB11" i="1" s="1"/>
  <c r="KB12" i="1" s="1"/>
  <c r="KB13" i="1" s="1"/>
  <c r="KB14" i="1" s="1"/>
  <c r="KB15" i="1" s="1"/>
  <c r="KB16" i="1" s="1"/>
  <c r="KB17" i="1" s="1"/>
  <c r="KB18" i="1" s="1"/>
  <c r="KB19" i="1" s="1"/>
  <c r="KB20" i="1" s="1"/>
  <c r="KB21" i="1" s="1"/>
  <c r="KB22" i="1" s="1"/>
  <c r="KB23" i="1" s="1"/>
  <c r="KB24" i="1" s="1"/>
  <c r="KB25" i="1" s="1"/>
  <c r="KB26" i="1" s="1"/>
  <c r="KB27" i="1" s="1"/>
  <c r="KB28" i="1" s="1"/>
  <c r="KB29" i="1" s="1"/>
  <c r="KB30" i="1" s="1"/>
  <c r="KB31" i="1" s="1"/>
  <c r="KB32" i="1" s="1"/>
  <c r="KB33" i="1" s="1"/>
  <c r="KB34" i="1" s="1"/>
  <c r="KB35" i="1" s="1"/>
  <c r="KB36" i="1" s="1"/>
  <c r="KB37" i="1" s="1"/>
  <c r="JH427" i="1"/>
  <c r="JF427" i="1"/>
  <c r="AE82" i="5" s="1"/>
  <c r="E35" i="16" s="1"/>
  <c r="JH391" i="1"/>
  <c r="JF391" i="1"/>
  <c r="AE75" i="5" s="1"/>
  <c r="E35" i="15" s="1"/>
  <c r="JH356" i="1"/>
  <c r="JF356" i="1"/>
  <c r="AE68" i="5" s="1"/>
  <c r="E35" i="14" s="1"/>
  <c r="JH320" i="1"/>
  <c r="JF320" i="1"/>
  <c r="AE61" i="5" s="1"/>
  <c r="E35" i="13" s="1"/>
  <c r="JH285" i="1"/>
  <c r="JF285" i="1"/>
  <c r="AE54" i="5" s="1"/>
  <c r="E35" i="12" s="1"/>
  <c r="JH249" i="1"/>
  <c r="JF249" i="1"/>
  <c r="AE47" i="5" s="1"/>
  <c r="E35" i="11" s="1"/>
  <c r="JH213" i="1"/>
  <c r="JF213" i="1"/>
  <c r="AE40" i="5" s="1"/>
  <c r="E35" i="8" s="1"/>
  <c r="JH178" i="1"/>
  <c r="JF178" i="1"/>
  <c r="AE33" i="5" s="1"/>
  <c r="E35" i="21" s="1"/>
  <c r="JH142" i="1"/>
  <c r="JF142" i="1"/>
  <c r="AE26" i="5" s="1"/>
  <c r="E35" i="20" s="1"/>
  <c r="JH107" i="1"/>
  <c r="JF107" i="1"/>
  <c r="AE19" i="5" s="1"/>
  <c r="E35" i="19" s="1"/>
  <c r="JF71" i="1"/>
  <c r="AE12" i="5" s="1"/>
  <c r="E35" i="18" s="1"/>
  <c r="JH37" i="1"/>
  <c r="JF37" i="1"/>
  <c r="JJ6" i="1"/>
  <c r="JJ7" i="1" s="1"/>
  <c r="JJ8" i="1" s="1"/>
  <c r="JJ9" i="1" s="1"/>
  <c r="JJ10" i="1" s="1"/>
  <c r="JJ11" i="1" s="1"/>
  <c r="JJ12" i="1" s="1"/>
  <c r="JJ13" i="1" s="1"/>
  <c r="JJ14" i="1" s="1"/>
  <c r="JJ15" i="1" s="1"/>
  <c r="JJ16" i="1" s="1"/>
  <c r="JJ17" i="1" s="1"/>
  <c r="JJ18" i="1" s="1"/>
  <c r="JJ19" i="1" s="1"/>
  <c r="JJ20" i="1" s="1"/>
  <c r="JJ21" i="1" s="1"/>
  <c r="JJ22" i="1" s="1"/>
  <c r="JJ23" i="1" s="1"/>
  <c r="JJ24" i="1" s="1"/>
  <c r="JJ25" i="1" s="1"/>
  <c r="JJ26" i="1" s="1"/>
  <c r="JJ27" i="1" s="1"/>
  <c r="JJ28" i="1" s="1"/>
  <c r="JJ29" i="1" s="1"/>
  <c r="JJ30" i="1" s="1"/>
  <c r="JJ31" i="1" s="1"/>
  <c r="JJ32" i="1" s="1"/>
  <c r="JJ33" i="1" s="1"/>
  <c r="JJ34" i="1" s="1"/>
  <c r="JJ35" i="1" s="1"/>
  <c r="JJ36" i="1" s="1"/>
  <c r="JJ37" i="1" s="1"/>
  <c r="JK37" i="1" s="1"/>
  <c r="JQ427" i="1"/>
  <c r="JO427" i="1"/>
  <c r="AF82" i="5" s="1"/>
  <c r="E36" i="16" s="1"/>
  <c r="JQ391" i="1"/>
  <c r="JO391" i="1"/>
  <c r="AF75" i="5" s="1"/>
  <c r="E36" i="15" s="1"/>
  <c r="JQ356" i="1"/>
  <c r="JO356" i="1"/>
  <c r="AF68" i="5" s="1"/>
  <c r="E36" i="14" s="1"/>
  <c r="JQ320" i="1"/>
  <c r="JO320" i="1"/>
  <c r="AF61" i="5" s="1"/>
  <c r="E36" i="13" s="1"/>
  <c r="JQ285" i="1"/>
  <c r="JO285" i="1"/>
  <c r="AF54" i="5" s="1"/>
  <c r="E36" i="12" s="1"/>
  <c r="JQ249" i="1"/>
  <c r="JO249" i="1"/>
  <c r="AF47" i="5" s="1"/>
  <c r="E36" i="11" s="1"/>
  <c r="JQ213" i="1"/>
  <c r="JO213" i="1"/>
  <c r="AF40" i="5" s="1"/>
  <c r="E36" i="8" s="1"/>
  <c r="JQ178" i="1"/>
  <c r="JO178" i="1"/>
  <c r="AF33" i="5" s="1"/>
  <c r="E36" i="21" s="1"/>
  <c r="JQ142" i="1"/>
  <c r="JO142" i="1"/>
  <c r="AF26" i="5" s="1"/>
  <c r="E36" i="20" s="1"/>
  <c r="JQ107" i="1"/>
  <c r="JO107" i="1"/>
  <c r="AF19" i="5" s="1"/>
  <c r="E36" i="19" s="1"/>
  <c r="JQ71" i="1"/>
  <c r="JO71" i="1"/>
  <c r="AF12" i="5" s="1"/>
  <c r="E36" i="18" s="1"/>
  <c r="JQ37" i="1"/>
  <c r="JO37" i="1"/>
  <c r="JS6" i="1"/>
  <c r="JS7" i="1" s="1"/>
  <c r="JS8" i="1" s="1"/>
  <c r="JS9" i="1" s="1"/>
  <c r="JS10" i="1" s="1"/>
  <c r="JS11" i="1" s="1"/>
  <c r="JS12" i="1" s="1"/>
  <c r="JS13" i="1" s="1"/>
  <c r="JS14" i="1" s="1"/>
  <c r="JS15" i="1" s="1"/>
  <c r="JS16" i="1" s="1"/>
  <c r="JS17" i="1" s="1"/>
  <c r="JS18" i="1" s="1"/>
  <c r="JS19" i="1" s="1"/>
  <c r="IY427" i="1"/>
  <c r="IW427" i="1"/>
  <c r="AD82" i="5" s="1"/>
  <c r="E34" i="16" s="1"/>
  <c r="IY391" i="1"/>
  <c r="IW391" i="1"/>
  <c r="AD75" i="5" s="1"/>
  <c r="E34" i="15" s="1"/>
  <c r="IY356" i="1"/>
  <c r="IW356" i="1"/>
  <c r="AD68" i="5" s="1"/>
  <c r="E34" i="14" s="1"/>
  <c r="IY320" i="1"/>
  <c r="IW320" i="1"/>
  <c r="AD61" i="5" s="1"/>
  <c r="E34" i="13" s="1"/>
  <c r="IY285" i="1"/>
  <c r="IW285" i="1"/>
  <c r="AD54" i="5" s="1"/>
  <c r="E34" i="12" s="1"/>
  <c r="IY249" i="1"/>
  <c r="IW249" i="1"/>
  <c r="AD47" i="5" s="1"/>
  <c r="E34" i="11" s="1"/>
  <c r="IY213" i="1"/>
  <c r="IW213" i="1"/>
  <c r="AD40" i="5" s="1"/>
  <c r="E34" i="8" s="1"/>
  <c r="IY178" i="1"/>
  <c r="IW178" i="1"/>
  <c r="AD33" i="5" s="1"/>
  <c r="E34" i="21" s="1"/>
  <c r="IY142" i="1"/>
  <c r="IW142" i="1"/>
  <c r="AD26" i="5" s="1"/>
  <c r="E34" i="20" s="1"/>
  <c r="IY107" i="1"/>
  <c r="IW107" i="1"/>
  <c r="AD19" i="5" s="1"/>
  <c r="E34" i="19" s="1"/>
  <c r="IY71" i="1"/>
  <c r="IW71" i="1"/>
  <c r="IY37" i="1"/>
  <c r="IW37" i="1"/>
  <c r="JA6" i="1"/>
  <c r="JA7" i="1" s="1"/>
  <c r="JA8" i="1" s="1"/>
  <c r="JA9" i="1" s="1"/>
  <c r="JA10" i="1" s="1"/>
  <c r="JA11" i="1" s="1"/>
  <c r="JA12" i="1" s="1"/>
  <c r="JA13" i="1" s="1"/>
  <c r="JA14" i="1" s="1"/>
  <c r="JA15" i="1" s="1"/>
  <c r="JA16" i="1" s="1"/>
  <c r="JA17" i="1" s="1"/>
  <c r="JA18" i="1" s="1"/>
  <c r="JA19" i="1" s="1"/>
  <c r="JA20" i="1" s="1"/>
  <c r="JA21" i="1" s="1"/>
  <c r="JA22" i="1" s="1"/>
  <c r="JA23" i="1" s="1"/>
  <c r="JA24" i="1" s="1"/>
  <c r="JA25" i="1" s="1"/>
  <c r="JA26" i="1" s="1"/>
  <c r="JA27" i="1" s="1"/>
  <c r="JA28" i="1" s="1"/>
  <c r="JA29" i="1" s="1"/>
  <c r="JA30" i="1" s="1"/>
  <c r="JA31" i="1" s="1"/>
  <c r="JA32" i="1" s="1"/>
  <c r="JA33" i="1" s="1"/>
  <c r="JA34" i="1" s="1"/>
  <c r="JA35" i="1" s="1"/>
  <c r="JA36" i="1" s="1"/>
  <c r="JA37" i="1" s="1"/>
  <c r="JB37" i="1" s="1"/>
  <c r="AC82" i="5"/>
  <c r="E33" i="16" s="1"/>
  <c r="AC75" i="5"/>
  <c r="E33" i="15" s="1"/>
  <c r="AC68" i="5"/>
  <c r="E33" i="14" s="1"/>
  <c r="AC61" i="5"/>
  <c r="E33" i="13" s="1"/>
  <c r="AC54" i="5"/>
  <c r="E33" i="12" s="1"/>
  <c r="AC47" i="5"/>
  <c r="E33" i="11" s="1"/>
  <c r="AC40" i="5"/>
  <c r="E33" i="8" s="1"/>
  <c r="AC33" i="5"/>
  <c r="E33" i="21" s="1"/>
  <c r="AC26" i="5"/>
  <c r="E33" i="20" s="1"/>
  <c r="AC19" i="5"/>
  <c r="E33" i="19" s="1"/>
  <c r="AC12" i="5"/>
  <c r="E33" i="18" s="1"/>
  <c r="AC5" i="5"/>
  <c r="IR6" i="1"/>
  <c r="IR7" i="1" s="1"/>
  <c r="IR8" i="1" s="1"/>
  <c r="IR9" i="1" s="1"/>
  <c r="IR10" i="1" s="1"/>
  <c r="IR11" i="1" s="1"/>
  <c r="IR12" i="1" s="1"/>
  <c r="IR13" i="1" s="1"/>
  <c r="IR14" i="1" s="1"/>
  <c r="IR15" i="1" s="1"/>
  <c r="IR16" i="1" s="1"/>
  <c r="IR17" i="1" s="1"/>
  <c r="IR18" i="1" s="1"/>
  <c r="IR19" i="1" s="1"/>
  <c r="IR20" i="1" s="1"/>
  <c r="IR21" i="1" s="1"/>
  <c r="IR22" i="1" s="1"/>
  <c r="IR23" i="1" s="1"/>
  <c r="IR24" i="1" s="1"/>
  <c r="IR25" i="1" s="1"/>
  <c r="IR26" i="1" s="1"/>
  <c r="IR27" i="1" s="1"/>
  <c r="IR28" i="1" s="1"/>
  <c r="IR29" i="1" s="1"/>
  <c r="IR30" i="1" s="1"/>
  <c r="IR31" i="1" s="1"/>
  <c r="IR32" i="1" s="1"/>
  <c r="IR33" i="1" s="1"/>
  <c r="IR34" i="1" s="1"/>
  <c r="IR35" i="1" s="1"/>
  <c r="IR36" i="1" s="1"/>
  <c r="IR37" i="1" s="1"/>
  <c r="IS37" i="1" s="1"/>
  <c r="AB82" i="5"/>
  <c r="E32" i="16" s="1"/>
  <c r="AB75" i="5"/>
  <c r="E32" i="15" s="1"/>
  <c r="AB68" i="5"/>
  <c r="E32" i="14" s="1"/>
  <c r="AB61" i="5"/>
  <c r="E32" i="13" s="1"/>
  <c r="AB54" i="5"/>
  <c r="E32" i="12" s="1"/>
  <c r="AB47" i="5"/>
  <c r="E32" i="11" s="1"/>
  <c r="AB40" i="5"/>
  <c r="E32" i="8" s="1"/>
  <c r="AB33" i="5"/>
  <c r="E32" i="21" s="1"/>
  <c r="AB26" i="5"/>
  <c r="E32" i="20" s="1"/>
  <c r="AB19" i="5"/>
  <c r="E32" i="19" s="1"/>
  <c r="AB12" i="5"/>
  <c r="E32" i="18" s="1"/>
  <c r="AB5" i="5"/>
  <c r="II6" i="1"/>
  <c r="II7" i="1" s="1"/>
  <c r="II8" i="1" s="1"/>
  <c r="II9" i="1" s="1"/>
  <c r="II10" i="1" s="1"/>
  <c r="II11" i="1" s="1"/>
  <c r="II12" i="1" s="1"/>
  <c r="II13" i="1" s="1"/>
  <c r="II14" i="1" s="1"/>
  <c r="II15" i="1" s="1"/>
  <c r="II16" i="1" s="1"/>
  <c r="II17" i="1" s="1"/>
  <c r="II18" i="1" s="1"/>
  <c r="II19" i="1" s="1"/>
  <c r="II20" i="1" s="1"/>
  <c r="II21" i="1" s="1"/>
  <c r="II22" i="1" s="1"/>
  <c r="II23" i="1" s="1"/>
  <c r="II24" i="1" s="1"/>
  <c r="II25" i="1" s="1"/>
  <c r="II26" i="1" s="1"/>
  <c r="II27" i="1" s="1"/>
  <c r="II28" i="1" s="1"/>
  <c r="II29" i="1" s="1"/>
  <c r="II30" i="1" s="1"/>
  <c r="II31" i="1" s="1"/>
  <c r="II32" i="1" s="1"/>
  <c r="II33" i="1" s="1"/>
  <c r="II34" i="1" s="1"/>
  <c r="II35" i="1" s="1"/>
  <c r="II36" i="1" s="1"/>
  <c r="II37" i="1" s="1"/>
  <c r="IJ37" i="1" s="1"/>
  <c r="HV427" i="1"/>
  <c r="AA82" i="5" s="1"/>
  <c r="E31" i="16" s="1"/>
  <c r="HV391" i="1"/>
  <c r="AA75" i="5" s="1"/>
  <c r="E31" i="15" s="1"/>
  <c r="HV356" i="1"/>
  <c r="AA68" i="5" s="1"/>
  <c r="E31" i="14" s="1"/>
  <c r="HV320" i="1"/>
  <c r="AA61" i="5" s="1"/>
  <c r="E31" i="13" s="1"/>
  <c r="HV285" i="1"/>
  <c r="AA54" i="5" s="1"/>
  <c r="E31" i="12" s="1"/>
  <c r="HV249" i="1"/>
  <c r="AA47" i="5" s="1"/>
  <c r="E31" i="11" s="1"/>
  <c r="HV213" i="1"/>
  <c r="AA40" i="5" s="1"/>
  <c r="E31" i="8" s="1"/>
  <c r="HV178" i="1"/>
  <c r="AA33" i="5" s="1"/>
  <c r="E31" i="21" s="1"/>
  <c r="HV142" i="1"/>
  <c r="AA26" i="5" s="1"/>
  <c r="E31" i="20" s="1"/>
  <c r="HV107" i="1"/>
  <c r="AA19" i="5" s="1"/>
  <c r="E31" i="19" s="1"/>
  <c r="HV71" i="1"/>
  <c r="AA12" i="5" s="1"/>
  <c r="E31" i="18" s="1"/>
  <c r="HV37" i="1"/>
  <c r="HZ6" i="1"/>
  <c r="HZ7" i="1" s="1"/>
  <c r="HZ8" i="1" s="1"/>
  <c r="HZ9" i="1" s="1"/>
  <c r="HZ10" i="1" s="1"/>
  <c r="HZ11" i="1" s="1"/>
  <c r="HZ12" i="1" s="1"/>
  <c r="HZ13" i="1" s="1"/>
  <c r="HZ14" i="1" s="1"/>
  <c r="HZ15" i="1" s="1"/>
  <c r="HZ16" i="1" s="1"/>
  <c r="HZ17" i="1" s="1"/>
  <c r="HZ18" i="1" s="1"/>
  <c r="HZ19" i="1" s="1"/>
  <c r="HZ20" i="1" s="1"/>
  <c r="HZ21" i="1" s="1"/>
  <c r="HZ22" i="1" s="1"/>
  <c r="HZ23" i="1" s="1"/>
  <c r="HZ24" i="1" s="1"/>
  <c r="HZ25" i="1" s="1"/>
  <c r="HZ26" i="1" s="1"/>
  <c r="HZ27" i="1" s="1"/>
  <c r="HZ28" i="1" s="1"/>
  <c r="HZ29" i="1" s="1"/>
  <c r="HZ30" i="1" s="1"/>
  <c r="HZ31" i="1" s="1"/>
  <c r="HZ32" i="1" s="1"/>
  <c r="HZ33" i="1" s="1"/>
  <c r="HZ34" i="1" s="1"/>
  <c r="HZ35" i="1" s="1"/>
  <c r="HZ36" i="1" s="1"/>
  <c r="HZ37" i="1" s="1"/>
  <c r="IA37" i="1" s="1"/>
  <c r="HJ2" i="1"/>
  <c r="HA2" i="1"/>
  <c r="EC34" i="7"/>
  <c r="ED34" i="7"/>
  <c r="EE34" i="7"/>
  <c r="EF34" i="7"/>
  <c r="EG34" i="7"/>
  <c r="EH34" i="7"/>
  <c r="EI34" i="7"/>
  <c r="EJ34" i="7"/>
  <c r="EK34" i="7"/>
  <c r="EL34" i="7"/>
  <c r="EM34" i="7"/>
  <c r="EN34" i="7"/>
  <c r="EO34" i="7"/>
  <c r="EP34" i="7"/>
  <c r="EC35" i="7"/>
  <c r="ED35" i="7"/>
  <c r="EE35" i="7"/>
  <c r="EF35" i="7"/>
  <c r="EG35" i="7"/>
  <c r="EH35" i="7"/>
  <c r="EI35" i="7"/>
  <c r="EJ35" i="7"/>
  <c r="EK35" i="7"/>
  <c r="EL35" i="7"/>
  <c r="EM35" i="7"/>
  <c r="EN35" i="7"/>
  <c r="EO35" i="7"/>
  <c r="EP35" i="7"/>
  <c r="EC36" i="7"/>
  <c r="ED36" i="7"/>
  <c r="EE36" i="7"/>
  <c r="EF36" i="7"/>
  <c r="EG36" i="7"/>
  <c r="EH36" i="7"/>
  <c r="EI36" i="7"/>
  <c r="EJ36" i="7"/>
  <c r="EK36" i="7"/>
  <c r="EL36" i="7"/>
  <c r="EM36" i="7"/>
  <c r="EN36" i="7"/>
  <c r="EO36" i="7"/>
  <c r="EP36" i="7"/>
  <c r="ER31" i="7"/>
  <c r="ER32" i="7"/>
  <c r="ER33" i="7"/>
  <c r="ER34" i="7"/>
  <c r="ER35" i="7"/>
  <c r="ER36" i="7"/>
  <c r="AD704" i="6"/>
  <c r="AB704" i="6"/>
  <c r="Z704" i="6"/>
  <c r="X704" i="6"/>
  <c r="V704" i="6"/>
  <c r="T704" i="6"/>
  <c r="R704" i="6"/>
  <c r="P704" i="6"/>
  <c r="N704" i="6"/>
  <c r="L704" i="6"/>
  <c r="J704" i="6"/>
  <c r="H704" i="6"/>
  <c r="F704" i="6"/>
  <c r="AD352" i="6"/>
  <c r="AB352" i="6"/>
  <c r="Z352" i="6"/>
  <c r="X352" i="6"/>
  <c r="V352" i="6"/>
  <c r="T352" i="6"/>
  <c r="R352" i="6"/>
  <c r="P352" i="6"/>
  <c r="N352" i="6"/>
  <c r="L352" i="6"/>
  <c r="J352" i="6"/>
  <c r="H352" i="6"/>
  <c r="F352" i="6"/>
  <c r="D352" i="6"/>
  <c r="B352" i="6"/>
  <c r="EP31" i="7"/>
  <c r="EP32" i="7"/>
  <c r="EP33" i="7"/>
  <c r="EO31" i="7"/>
  <c r="EO32" i="7"/>
  <c r="EO33" i="7"/>
  <c r="EN31" i="7"/>
  <c r="EN32" i="7"/>
  <c r="EN33" i="7"/>
  <c r="EM31" i="7"/>
  <c r="EM32" i="7"/>
  <c r="EM33" i="7"/>
  <c r="EL31" i="7"/>
  <c r="EL32" i="7"/>
  <c r="EL33" i="7"/>
  <c r="EK31" i="7"/>
  <c r="EK32" i="7"/>
  <c r="EK33" i="7"/>
  <c r="EJ31" i="7"/>
  <c r="EJ32" i="7"/>
  <c r="EJ33" i="7"/>
  <c r="EI31" i="7"/>
  <c r="EI32" i="7"/>
  <c r="EI33" i="7"/>
  <c r="EH31" i="7"/>
  <c r="EH32" i="7"/>
  <c r="EH33" i="7"/>
  <c r="EG31" i="7"/>
  <c r="EG32" i="7"/>
  <c r="EG33" i="7"/>
  <c r="EF31" i="7"/>
  <c r="EF32" i="7"/>
  <c r="EF33" i="7"/>
  <c r="EE31" i="7"/>
  <c r="EE32" i="7"/>
  <c r="EE33" i="7"/>
  <c r="ED31" i="7"/>
  <c r="ED32" i="7"/>
  <c r="ED33" i="7"/>
  <c r="EC31" i="7"/>
  <c r="EC32" i="7"/>
  <c r="EC33" i="7"/>
  <c r="Z4" i="5"/>
  <c r="Y4" i="5"/>
  <c r="X4" i="5"/>
  <c r="W4" i="5"/>
  <c r="V4" i="5"/>
  <c r="T4" i="5"/>
  <c r="U4" i="5"/>
  <c r="S4" i="5"/>
  <c r="R4" i="5"/>
  <c r="Q4" i="5"/>
  <c r="P4" i="5"/>
  <c r="O4" i="5"/>
  <c r="N4" i="5"/>
  <c r="M4" i="5"/>
  <c r="L4" i="5"/>
  <c r="Z82" i="5"/>
  <c r="E30" i="16" s="1"/>
  <c r="Y82" i="5"/>
  <c r="E29" i="16" s="1"/>
  <c r="X82" i="5"/>
  <c r="E28" i="16" s="1"/>
  <c r="W82" i="5"/>
  <c r="E27" i="16" s="1"/>
  <c r="V82" i="5"/>
  <c r="E26" i="16" s="1"/>
  <c r="Z75" i="5"/>
  <c r="E30" i="15" s="1"/>
  <c r="Y75" i="5"/>
  <c r="E29" i="15" s="1"/>
  <c r="X75" i="5"/>
  <c r="E28" i="15" s="1"/>
  <c r="W75" i="5"/>
  <c r="E27" i="15" s="1"/>
  <c r="V75" i="5"/>
  <c r="E26" i="15" s="1"/>
  <c r="Z68" i="5"/>
  <c r="E30" i="14" s="1"/>
  <c r="Y68" i="5"/>
  <c r="E29" i="14" s="1"/>
  <c r="X68" i="5"/>
  <c r="E28" i="14" s="1"/>
  <c r="W68" i="5"/>
  <c r="E27" i="14" s="1"/>
  <c r="V68" i="5"/>
  <c r="E26" i="14" s="1"/>
  <c r="Z61" i="5"/>
  <c r="E30" i="13" s="1"/>
  <c r="Y61" i="5"/>
  <c r="E29" i="13" s="1"/>
  <c r="X61" i="5"/>
  <c r="E28" i="13" s="1"/>
  <c r="W61" i="5"/>
  <c r="E27" i="13" s="1"/>
  <c r="V61" i="5"/>
  <c r="E26" i="13" s="1"/>
  <c r="Z54" i="5"/>
  <c r="E30" i="12" s="1"/>
  <c r="Y54" i="5"/>
  <c r="E29" i="12" s="1"/>
  <c r="X54" i="5"/>
  <c r="E28" i="12" s="1"/>
  <c r="W54" i="5"/>
  <c r="E27" i="12" s="1"/>
  <c r="V54" i="5"/>
  <c r="E26" i="12" s="1"/>
  <c r="Z47" i="5"/>
  <c r="E30" i="11" s="1"/>
  <c r="Y47" i="5"/>
  <c r="E29" i="11" s="1"/>
  <c r="X47" i="5"/>
  <c r="E28" i="11" s="1"/>
  <c r="W47" i="5"/>
  <c r="E27" i="11" s="1"/>
  <c r="V47" i="5"/>
  <c r="E26" i="11" s="1"/>
  <c r="Z40" i="5"/>
  <c r="E30" i="8" s="1"/>
  <c r="Y40" i="5"/>
  <c r="E29" i="8" s="1"/>
  <c r="X40" i="5"/>
  <c r="E28" i="8" s="1"/>
  <c r="W40" i="5"/>
  <c r="E27" i="8" s="1"/>
  <c r="V40" i="5"/>
  <c r="E26" i="8" s="1"/>
  <c r="Z33" i="5"/>
  <c r="E30" i="21" s="1"/>
  <c r="Y33" i="5"/>
  <c r="E29" i="21" s="1"/>
  <c r="X33" i="5"/>
  <c r="E28" i="21" s="1"/>
  <c r="W33" i="5"/>
  <c r="E27" i="21" s="1"/>
  <c r="V33" i="5"/>
  <c r="E26" i="21" s="1"/>
  <c r="Z26" i="5"/>
  <c r="E30" i="20" s="1"/>
  <c r="Y26" i="5"/>
  <c r="E29" i="20" s="1"/>
  <c r="X26" i="5"/>
  <c r="E28" i="20" s="1"/>
  <c r="W26" i="5"/>
  <c r="E27" i="20" s="1"/>
  <c r="V26" i="5"/>
  <c r="E26" i="20" s="1"/>
  <c r="Z19" i="5"/>
  <c r="E30" i="19" s="1"/>
  <c r="Y19" i="5"/>
  <c r="E29" i="19" s="1"/>
  <c r="X19" i="5"/>
  <c r="E28" i="19" s="1"/>
  <c r="W19" i="5"/>
  <c r="E27" i="19" s="1"/>
  <c r="V19" i="5"/>
  <c r="E26" i="19" s="1"/>
  <c r="Z12" i="5"/>
  <c r="E30" i="18" s="1"/>
  <c r="Y12" i="5"/>
  <c r="E29" i="18" s="1"/>
  <c r="X12" i="5"/>
  <c r="E28" i="18" s="1"/>
  <c r="W12" i="5"/>
  <c r="E27" i="18" s="1"/>
  <c r="V12" i="5"/>
  <c r="E26" i="18" s="1"/>
  <c r="Z5" i="5"/>
  <c r="Y5" i="5"/>
  <c r="X5" i="5"/>
  <c r="W5" i="5"/>
  <c r="V5" i="5"/>
  <c r="HP6" i="1"/>
  <c r="HP7" i="1" s="1"/>
  <c r="HP8" i="1" s="1"/>
  <c r="HP9" i="1" s="1"/>
  <c r="HP10" i="1" s="1"/>
  <c r="HP11" i="1" s="1"/>
  <c r="HP12" i="1" s="1"/>
  <c r="HP13" i="1" s="1"/>
  <c r="HP14" i="1" s="1"/>
  <c r="HP15" i="1" s="1"/>
  <c r="HP16" i="1" s="1"/>
  <c r="HP17" i="1" s="1"/>
  <c r="HP18" i="1" s="1"/>
  <c r="HP19" i="1" s="1"/>
  <c r="HP20" i="1" s="1"/>
  <c r="HP21" i="1" s="1"/>
  <c r="HP22" i="1" s="1"/>
  <c r="HP23" i="1" s="1"/>
  <c r="HP24" i="1" s="1"/>
  <c r="HP25" i="1" s="1"/>
  <c r="HP26" i="1" s="1"/>
  <c r="HP27" i="1" s="1"/>
  <c r="HP28" i="1" s="1"/>
  <c r="HP29" i="1" s="1"/>
  <c r="HP30" i="1" s="1"/>
  <c r="HP31" i="1" s="1"/>
  <c r="HP32" i="1" s="1"/>
  <c r="HP33" i="1" s="1"/>
  <c r="HP34" i="1" s="1"/>
  <c r="HP35" i="1" s="1"/>
  <c r="HP36" i="1" s="1"/>
  <c r="HP37" i="1" s="1"/>
  <c r="HG6" i="1"/>
  <c r="HG7" i="1" s="1"/>
  <c r="HG8" i="1" s="1"/>
  <c r="HG9" i="1" s="1"/>
  <c r="HG10" i="1" s="1"/>
  <c r="HG11" i="1" s="1"/>
  <c r="HG12" i="1" s="1"/>
  <c r="HG13" i="1" s="1"/>
  <c r="HG14" i="1" s="1"/>
  <c r="HG15" i="1" s="1"/>
  <c r="HG16" i="1" s="1"/>
  <c r="HG17" i="1" s="1"/>
  <c r="HG18" i="1" s="1"/>
  <c r="HG19" i="1" s="1"/>
  <c r="HG20" i="1" s="1"/>
  <c r="HG21" i="1" s="1"/>
  <c r="HG22" i="1" s="1"/>
  <c r="HG23" i="1" s="1"/>
  <c r="HG24" i="1" s="1"/>
  <c r="HG25" i="1" s="1"/>
  <c r="HG26" i="1" s="1"/>
  <c r="HG27" i="1" s="1"/>
  <c r="HG28" i="1" s="1"/>
  <c r="HG29" i="1" s="1"/>
  <c r="HG30" i="1" s="1"/>
  <c r="HG31" i="1" s="1"/>
  <c r="HG32" i="1" s="1"/>
  <c r="HG33" i="1" s="1"/>
  <c r="HG34" i="1" s="1"/>
  <c r="HG35" i="1" s="1"/>
  <c r="HG36" i="1" s="1"/>
  <c r="HG37" i="1" s="1"/>
  <c r="GX6" i="1"/>
  <c r="GX7" i="1" s="1"/>
  <c r="GX8" i="1" s="1"/>
  <c r="GX9" i="1" s="1"/>
  <c r="GX10" i="1" s="1"/>
  <c r="GX11" i="1" s="1"/>
  <c r="GX12" i="1" s="1"/>
  <c r="GX13" i="1" s="1"/>
  <c r="GX14" i="1" s="1"/>
  <c r="GX15" i="1" s="1"/>
  <c r="GX16" i="1" s="1"/>
  <c r="GX17" i="1" s="1"/>
  <c r="GX18" i="1" s="1"/>
  <c r="GX19" i="1" s="1"/>
  <c r="GX20" i="1" s="1"/>
  <c r="GX21" i="1" s="1"/>
  <c r="GX22" i="1" s="1"/>
  <c r="GX23" i="1" s="1"/>
  <c r="GX24" i="1" s="1"/>
  <c r="GX25" i="1" s="1"/>
  <c r="GX26" i="1" s="1"/>
  <c r="GX27" i="1" s="1"/>
  <c r="GX28" i="1" s="1"/>
  <c r="GX29" i="1" s="1"/>
  <c r="GX30" i="1" s="1"/>
  <c r="GX31" i="1" s="1"/>
  <c r="GX32" i="1" s="1"/>
  <c r="GX33" i="1" s="1"/>
  <c r="GX34" i="1" s="1"/>
  <c r="GX35" i="1" s="1"/>
  <c r="GX36" i="1" s="1"/>
  <c r="GX37" i="1" s="1"/>
  <c r="GO6" i="1"/>
  <c r="GO7" i="1" s="1"/>
  <c r="GO8" i="1" s="1"/>
  <c r="GO9" i="1" s="1"/>
  <c r="GO10" i="1" s="1"/>
  <c r="GO11" i="1" s="1"/>
  <c r="GO12" i="1" s="1"/>
  <c r="GO13" i="1" s="1"/>
  <c r="GO14" i="1" s="1"/>
  <c r="GO15" i="1" s="1"/>
  <c r="GO16" i="1" s="1"/>
  <c r="GO17" i="1" s="1"/>
  <c r="GO18" i="1" s="1"/>
  <c r="GO19" i="1" s="1"/>
  <c r="GO20" i="1" s="1"/>
  <c r="GO21" i="1" s="1"/>
  <c r="GO22" i="1" s="1"/>
  <c r="GO23" i="1" s="1"/>
  <c r="GO24" i="1" s="1"/>
  <c r="GO25" i="1" s="1"/>
  <c r="GO26" i="1" s="1"/>
  <c r="GO27" i="1" s="1"/>
  <c r="GO28" i="1" s="1"/>
  <c r="GO29" i="1" s="1"/>
  <c r="GO30" i="1" s="1"/>
  <c r="GO31" i="1" s="1"/>
  <c r="GO32" i="1" s="1"/>
  <c r="GO33" i="1" s="1"/>
  <c r="GO34" i="1" s="1"/>
  <c r="GO35" i="1" s="1"/>
  <c r="GO36" i="1" s="1"/>
  <c r="GO37" i="1" s="1"/>
  <c r="GF6" i="1"/>
  <c r="GF7" i="1" s="1"/>
  <c r="GF8" i="1" s="1"/>
  <c r="GF9" i="1" s="1"/>
  <c r="GF10" i="1" s="1"/>
  <c r="GF11" i="1" s="1"/>
  <c r="GF12" i="1" s="1"/>
  <c r="GF13" i="1" s="1"/>
  <c r="GF14" i="1" s="1"/>
  <c r="GF15" i="1" s="1"/>
  <c r="GF16" i="1" s="1"/>
  <c r="GF17" i="1" s="1"/>
  <c r="GF18" i="1" s="1"/>
  <c r="GF19" i="1" s="1"/>
  <c r="GF20" i="1" s="1"/>
  <c r="GF21" i="1" s="1"/>
  <c r="GF22" i="1" s="1"/>
  <c r="GF23" i="1" s="1"/>
  <c r="GF24" i="1" s="1"/>
  <c r="GF25" i="1" s="1"/>
  <c r="GF26" i="1" s="1"/>
  <c r="GF27" i="1" s="1"/>
  <c r="GF28" i="1" s="1"/>
  <c r="GF29" i="1" s="1"/>
  <c r="GF30" i="1" s="1"/>
  <c r="GF31" i="1" s="1"/>
  <c r="GF32" i="1" s="1"/>
  <c r="GF33" i="1" s="1"/>
  <c r="GF34" i="1" s="1"/>
  <c r="GF35" i="1" s="1"/>
  <c r="GF36" i="1" s="1"/>
  <c r="GF37" i="1" s="1"/>
  <c r="GG37" i="1" s="1"/>
  <c r="U82" i="5"/>
  <c r="E25" i="16" s="1"/>
  <c r="T82" i="5"/>
  <c r="E22" i="16" s="1"/>
  <c r="S82" i="5"/>
  <c r="E21" i="16" s="1"/>
  <c r="R82" i="5"/>
  <c r="E20" i="16" s="1"/>
  <c r="EK427" i="1"/>
  <c r="Q82" i="5"/>
  <c r="E19" i="16" s="1"/>
  <c r="U75" i="5"/>
  <c r="E25" i="15" s="1"/>
  <c r="T75" i="5"/>
  <c r="E22" i="15" s="1"/>
  <c r="S75" i="5"/>
  <c r="E21" i="15" s="1"/>
  <c r="R75" i="5"/>
  <c r="E20" i="15" s="1"/>
  <c r="EK391" i="1"/>
  <c r="Q75" i="5"/>
  <c r="E19" i="15" s="1"/>
  <c r="U68" i="5"/>
  <c r="E25" i="14" s="1"/>
  <c r="T68" i="5"/>
  <c r="E22" i="14" s="1"/>
  <c r="S68" i="5"/>
  <c r="E21" i="14" s="1"/>
  <c r="R68" i="5"/>
  <c r="E20" i="14" s="1"/>
  <c r="EK356" i="1"/>
  <c r="Q68" i="5"/>
  <c r="E19" i="14" s="1"/>
  <c r="U61" i="5"/>
  <c r="E25" i="13" s="1"/>
  <c r="T61" i="5"/>
  <c r="E22" i="13" s="1"/>
  <c r="S61" i="5"/>
  <c r="E21" i="13" s="1"/>
  <c r="R61" i="5"/>
  <c r="E20" i="13" s="1"/>
  <c r="EK320" i="1"/>
  <c r="Q61" i="5"/>
  <c r="E19" i="13" s="1"/>
  <c r="U54" i="5"/>
  <c r="E25" i="12" s="1"/>
  <c r="T54" i="5"/>
  <c r="E22" i="12" s="1"/>
  <c r="S54" i="5"/>
  <c r="E21" i="12" s="1"/>
  <c r="R54" i="5"/>
  <c r="E20" i="12" s="1"/>
  <c r="EK285" i="1"/>
  <c r="Q54" i="5"/>
  <c r="E19" i="12" s="1"/>
  <c r="U47" i="5"/>
  <c r="E25" i="11" s="1"/>
  <c r="T47" i="5"/>
  <c r="E22" i="11" s="1"/>
  <c r="S47" i="5"/>
  <c r="E21" i="11" s="1"/>
  <c r="R47" i="5"/>
  <c r="E20" i="11" s="1"/>
  <c r="EK249" i="1"/>
  <c r="Q47" i="5"/>
  <c r="E19" i="11" s="1"/>
  <c r="U40" i="5"/>
  <c r="E25" i="8" s="1"/>
  <c r="T40" i="5"/>
  <c r="E22" i="8" s="1"/>
  <c r="S40" i="5"/>
  <c r="E21" i="8" s="1"/>
  <c r="R40" i="5"/>
  <c r="E20" i="8" s="1"/>
  <c r="EK213" i="1"/>
  <c r="Q40" i="5"/>
  <c r="E19" i="8" s="1"/>
  <c r="U33" i="5"/>
  <c r="E25" i="21" s="1"/>
  <c r="T33" i="5"/>
  <c r="E22" i="21" s="1"/>
  <c r="S33" i="5"/>
  <c r="E21" i="21" s="1"/>
  <c r="R33" i="5"/>
  <c r="E20" i="21" s="1"/>
  <c r="EK178" i="1"/>
  <c r="Q33" i="5"/>
  <c r="E19" i="21" s="1"/>
  <c r="U26" i="5"/>
  <c r="E25" i="20" s="1"/>
  <c r="T26" i="5"/>
  <c r="E22" i="20" s="1"/>
  <c r="S26" i="5"/>
  <c r="E21" i="20" s="1"/>
  <c r="R26" i="5"/>
  <c r="E20" i="20" s="1"/>
  <c r="EK142" i="1"/>
  <c r="Q26" i="5"/>
  <c r="E19" i="20" s="1"/>
  <c r="U19" i="5"/>
  <c r="E25" i="19" s="1"/>
  <c r="T19" i="5"/>
  <c r="E22" i="19" s="1"/>
  <c r="S19" i="5"/>
  <c r="E21" i="19" s="1"/>
  <c r="R19" i="5"/>
  <c r="E20" i="19" s="1"/>
  <c r="EK107" i="1"/>
  <c r="Q19" i="5"/>
  <c r="E19" i="19" s="1"/>
  <c r="U12" i="5"/>
  <c r="E25" i="18" s="1"/>
  <c r="T12" i="5"/>
  <c r="E22" i="18" s="1"/>
  <c r="S12" i="5"/>
  <c r="E21" i="18" s="1"/>
  <c r="R12" i="5"/>
  <c r="E20" i="18" s="1"/>
  <c r="EK71" i="1"/>
  <c r="Q12" i="5"/>
  <c r="E19" i="18" s="1"/>
  <c r="U5" i="5"/>
  <c r="T5" i="5"/>
  <c r="S5" i="5"/>
  <c r="R5" i="5"/>
  <c r="EK37" i="1"/>
  <c r="Q5" i="5"/>
  <c r="FW6" i="1"/>
  <c r="FW7" i="1" s="1"/>
  <c r="FW8" i="1" s="1"/>
  <c r="FW9" i="1" s="1"/>
  <c r="FW10" i="1" s="1"/>
  <c r="FW11" i="1" s="1"/>
  <c r="FW12" i="1" s="1"/>
  <c r="FW13" i="1" s="1"/>
  <c r="FW14" i="1" s="1"/>
  <c r="FW15" i="1" s="1"/>
  <c r="FW16" i="1" s="1"/>
  <c r="FW17" i="1" s="1"/>
  <c r="FW18" i="1" s="1"/>
  <c r="FW19" i="1" s="1"/>
  <c r="FW20" i="1" s="1"/>
  <c r="FW21" i="1" s="1"/>
  <c r="FW22" i="1" s="1"/>
  <c r="FW23" i="1" s="1"/>
  <c r="FW24" i="1" s="1"/>
  <c r="FW25" i="1" s="1"/>
  <c r="FW26" i="1" s="1"/>
  <c r="FW27" i="1" s="1"/>
  <c r="FW28" i="1" s="1"/>
  <c r="FW29" i="1" s="1"/>
  <c r="FW30" i="1" s="1"/>
  <c r="FW31" i="1" s="1"/>
  <c r="FW32" i="1" s="1"/>
  <c r="FW33" i="1" s="1"/>
  <c r="FW34" i="1" s="1"/>
  <c r="FW35" i="1" s="1"/>
  <c r="FW36" i="1" s="1"/>
  <c r="FW37" i="1" s="1"/>
  <c r="FX37" i="1" s="1"/>
  <c r="FN6" i="1"/>
  <c r="FN7" i="1" s="1"/>
  <c r="FN8" i="1" s="1"/>
  <c r="FN9" i="1" s="1"/>
  <c r="FN10" i="1" s="1"/>
  <c r="FN11" i="1" s="1"/>
  <c r="FN12" i="1" s="1"/>
  <c r="FN13" i="1" s="1"/>
  <c r="FN14" i="1" s="1"/>
  <c r="FN15" i="1" s="1"/>
  <c r="FN16" i="1" s="1"/>
  <c r="FN17" i="1" s="1"/>
  <c r="FN18" i="1" s="1"/>
  <c r="FN19" i="1" s="1"/>
  <c r="FN20" i="1" s="1"/>
  <c r="FE6" i="1"/>
  <c r="FE7" i="1" s="1"/>
  <c r="FE8" i="1" s="1"/>
  <c r="FE9" i="1" s="1"/>
  <c r="FE10" i="1" s="1"/>
  <c r="FE11" i="1" s="1"/>
  <c r="FE12" i="1" s="1"/>
  <c r="FE13" i="1" s="1"/>
  <c r="FE14" i="1" s="1"/>
  <c r="FE15" i="1" s="1"/>
  <c r="FE16" i="1" s="1"/>
  <c r="FE17" i="1" s="1"/>
  <c r="FE18" i="1" s="1"/>
  <c r="FE19" i="1" s="1"/>
  <c r="FE20" i="1" s="1"/>
  <c r="FE21" i="1" s="1"/>
  <c r="FE22" i="1" s="1"/>
  <c r="FE23" i="1" s="1"/>
  <c r="FE24" i="1" s="1"/>
  <c r="FE25" i="1" s="1"/>
  <c r="FE26" i="1" s="1"/>
  <c r="FE27" i="1" s="1"/>
  <c r="FE28" i="1" s="1"/>
  <c r="FE29" i="1" s="1"/>
  <c r="FE30" i="1" s="1"/>
  <c r="FE31" i="1" s="1"/>
  <c r="FE32" i="1" s="1"/>
  <c r="FE33" i="1" s="1"/>
  <c r="FE34" i="1" s="1"/>
  <c r="FE35" i="1" s="1"/>
  <c r="FE36" i="1" s="1"/>
  <c r="FE37" i="1" s="1"/>
  <c r="EV6" i="1"/>
  <c r="EV7" i="1" s="1"/>
  <c r="EV8" i="1" s="1"/>
  <c r="EV9" i="1" s="1"/>
  <c r="EV10" i="1" s="1"/>
  <c r="EV11" i="1" s="1"/>
  <c r="EV12" i="1" s="1"/>
  <c r="EV13" i="1" s="1"/>
  <c r="EV14" i="1" s="1"/>
  <c r="EV15" i="1" s="1"/>
  <c r="EV16" i="1" s="1"/>
  <c r="EV17" i="1" s="1"/>
  <c r="EV18" i="1" s="1"/>
  <c r="EV19" i="1" s="1"/>
  <c r="EV20" i="1" s="1"/>
  <c r="EV21" i="1" s="1"/>
  <c r="EV22" i="1" s="1"/>
  <c r="EV23" i="1" s="1"/>
  <c r="EV24" i="1" s="1"/>
  <c r="EV25" i="1" s="1"/>
  <c r="EV26" i="1" s="1"/>
  <c r="EV27" i="1" s="1"/>
  <c r="EV28" i="1" s="1"/>
  <c r="EV29" i="1" s="1"/>
  <c r="EV30" i="1" s="1"/>
  <c r="EV31" i="1" s="1"/>
  <c r="EV32" i="1" s="1"/>
  <c r="EV33" i="1" s="1"/>
  <c r="EV34" i="1" s="1"/>
  <c r="EV35" i="1" s="1"/>
  <c r="EV36" i="1" s="1"/>
  <c r="EV37" i="1" s="1"/>
  <c r="EM6" i="1"/>
  <c r="EM7" i="1" s="1"/>
  <c r="EM8" i="1" s="1"/>
  <c r="EM9" i="1" s="1"/>
  <c r="EM10" i="1" s="1"/>
  <c r="EM11" i="1" s="1"/>
  <c r="EM12" i="1" s="1"/>
  <c r="EM13" i="1" s="1"/>
  <c r="EM14" i="1" s="1"/>
  <c r="EM15" i="1" s="1"/>
  <c r="EM16" i="1" s="1"/>
  <c r="EM17" i="1" s="1"/>
  <c r="EM18" i="1" s="1"/>
  <c r="EM19" i="1" s="1"/>
  <c r="EM20" i="1" s="1"/>
  <c r="EM21" i="1" s="1"/>
  <c r="EM22" i="1" s="1"/>
  <c r="EM23" i="1" s="1"/>
  <c r="EM24" i="1" s="1"/>
  <c r="EM25" i="1" s="1"/>
  <c r="EM26" i="1" s="1"/>
  <c r="EM27" i="1" s="1"/>
  <c r="EM28" i="1" s="1"/>
  <c r="EM29" i="1" s="1"/>
  <c r="EM30" i="1" s="1"/>
  <c r="EM31" i="1" s="1"/>
  <c r="EM32" i="1" s="1"/>
  <c r="EM33" i="1" s="1"/>
  <c r="EM34" i="1" s="1"/>
  <c r="EM35" i="1" s="1"/>
  <c r="EM36" i="1" s="1"/>
  <c r="EM37" i="1" s="1"/>
  <c r="DZ427" i="1"/>
  <c r="P82" i="5" s="1"/>
  <c r="E18" i="16" s="1"/>
  <c r="DZ391" i="1"/>
  <c r="P75" i="5" s="1"/>
  <c r="E18" i="15" s="1"/>
  <c r="DZ356" i="1"/>
  <c r="P68" i="5" s="1"/>
  <c r="E18" i="14" s="1"/>
  <c r="DZ320" i="1"/>
  <c r="P61" i="5" s="1"/>
  <c r="E18" i="13" s="1"/>
  <c r="DZ285" i="1"/>
  <c r="P54" i="5" s="1"/>
  <c r="E18" i="12" s="1"/>
  <c r="DZ249" i="1"/>
  <c r="P47" i="5" s="1"/>
  <c r="E18" i="11" s="1"/>
  <c r="DZ213" i="1"/>
  <c r="P40" i="5" s="1"/>
  <c r="E18" i="8" s="1"/>
  <c r="DZ178" i="1"/>
  <c r="P33" i="5" s="1"/>
  <c r="E18" i="21" s="1"/>
  <c r="DZ142" i="1"/>
  <c r="P26" i="5" s="1"/>
  <c r="E18" i="20" s="1"/>
  <c r="DZ107" i="1"/>
  <c r="P19" i="5" s="1"/>
  <c r="E18" i="19" s="1"/>
  <c r="DZ71" i="1"/>
  <c r="P12" i="5" s="1"/>
  <c r="E18" i="18" s="1"/>
  <c r="DZ37" i="1"/>
  <c r="P5" i="5" s="1"/>
  <c r="ED6" i="1"/>
  <c r="ED7" i="1" s="1"/>
  <c r="ED8" i="1" s="1"/>
  <c r="ED9" i="1" s="1"/>
  <c r="ED10" i="1" s="1"/>
  <c r="ED11" i="1" s="1"/>
  <c r="ED12" i="1" s="1"/>
  <c r="ED13" i="1" s="1"/>
  <c r="ED14" i="1" s="1"/>
  <c r="ED15" i="1" s="1"/>
  <c r="ED16" i="1" s="1"/>
  <c r="ED17" i="1" s="1"/>
  <c r="ED18" i="1" s="1"/>
  <c r="ED19" i="1" s="1"/>
  <c r="ED20" i="1" s="1"/>
  <c r="ED21" i="1" s="1"/>
  <c r="ED22" i="1" s="1"/>
  <c r="ED23" i="1" s="1"/>
  <c r="ED24" i="1" s="1"/>
  <c r="ED25" i="1" s="1"/>
  <c r="ED26" i="1" s="1"/>
  <c r="ED27" i="1" s="1"/>
  <c r="ED28" i="1" s="1"/>
  <c r="ED29" i="1" s="1"/>
  <c r="ED30" i="1" s="1"/>
  <c r="ED31" i="1" s="1"/>
  <c r="ED32" i="1" s="1"/>
  <c r="ED33" i="1" s="1"/>
  <c r="ED34" i="1" s="1"/>
  <c r="ED35" i="1" s="1"/>
  <c r="ED36" i="1" s="1"/>
  <c r="ED37" i="1" s="1"/>
  <c r="DQ427" i="1"/>
  <c r="O82" i="5" s="1"/>
  <c r="E17" i="16" s="1"/>
  <c r="DH427" i="1"/>
  <c r="N82" i="5" s="1"/>
  <c r="E16" i="16" s="1"/>
  <c r="DQ391" i="1"/>
  <c r="O75" i="5" s="1"/>
  <c r="E17" i="15" s="1"/>
  <c r="DH391" i="1"/>
  <c r="N75" i="5" s="1"/>
  <c r="E16" i="15" s="1"/>
  <c r="DQ356" i="1"/>
  <c r="O68" i="5" s="1"/>
  <c r="E17" i="14" s="1"/>
  <c r="DH356" i="1"/>
  <c r="N68" i="5" s="1"/>
  <c r="E16" i="14" s="1"/>
  <c r="DQ320" i="1"/>
  <c r="O61" i="5" s="1"/>
  <c r="E17" i="13" s="1"/>
  <c r="DH320" i="1"/>
  <c r="N61" i="5" s="1"/>
  <c r="E16" i="13" s="1"/>
  <c r="DQ285" i="1"/>
  <c r="O54" i="5" s="1"/>
  <c r="E17" i="12" s="1"/>
  <c r="DH285" i="1"/>
  <c r="N54" i="5" s="1"/>
  <c r="E16" i="12" s="1"/>
  <c r="DQ249" i="1"/>
  <c r="O47" i="5" s="1"/>
  <c r="E17" i="11" s="1"/>
  <c r="DH249" i="1"/>
  <c r="N47" i="5" s="1"/>
  <c r="E16" i="11" s="1"/>
  <c r="DQ213" i="1"/>
  <c r="O40" i="5" s="1"/>
  <c r="E17" i="8" s="1"/>
  <c r="DH213" i="1"/>
  <c r="N40" i="5" s="1"/>
  <c r="E16" i="8" s="1"/>
  <c r="DQ178" i="1"/>
  <c r="O33" i="5" s="1"/>
  <c r="E17" i="21" s="1"/>
  <c r="DH178" i="1"/>
  <c r="N33" i="5" s="1"/>
  <c r="E16" i="21" s="1"/>
  <c r="DQ142" i="1"/>
  <c r="O26" i="5" s="1"/>
  <c r="E17" i="20" s="1"/>
  <c r="DH142" i="1"/>
  <c r="N26" i="5" s="1"/>
  <c r="E16" i="20" s="1"/>
  <c r="DQ107" i="1"/>
  <c r="O19" i="5" s="1"/>
  <c r="E17" i="19" s="1"/>
  <c r="DH107" i="1"/>
  <c r="N19" i="5" s="1"/>
  <c r="E16" i="19" s="1"/>
  <c r="DQ71" i="1"/>
  <c r="O12" i="5" s="1"/>
  <c r="DH71" i="1"/>
  <c r="N12" i="5" s="1"/>
  <c r="E16" i="18" s="1"/>
  <c r="DQ37" i="1"/>
  <c r="O5" i="5" s="1"/>
  <c r="DH37" i="1"/>
  <c r="N5" i="5" s="1"/>
  <c r="DU7" i="1"/>
  <c r="DU8" i="1" s="1"/>
  <c r="DU9" i="1" s="1"/>
  <c r="DU10" i="1" s="1"/>
  <c r="DU11" i="1" s="1"/>
  <c r="DU12" i="1" s="1"/>
  <c r="DU13" i="1" s="1"/>
  <c r="DU14" i="1" s="1"/>
  <c r="DU15" i="1" s="1"/>
  <c r="DU16" i="1" s="1"/>
  <c r="DU17" i="1" s="1"/>
  <c r="DU18" i="1" s="1"/>
  <c r="DU19" i="1" s="1"/>
  <c r="DU20" i="1" s="1"/>
  <c r="DU21" i="1" s="1"/>
  <c r="DU22" i="1" s="1"/>
  <c r="DU23" i="1" s="1"/>
  <c r="DU24" i="1" s="1"/>
  <c r="DU25" i="1" s="1"/>
  <c r="DU26" i="1" s="1"/>
  <c r="DU27" i="1" s="1"/>
  <c r="DU28" i="1" s="1"/>
  <c r="DU29" i="1" s="1"/>
  <c r="DU30" i="1" s="1"/>
  <c r="DU31" i="1" s="1"/>
  <c r="DU32" i="1" s="1"/>
  <c r="DU33" i="1" s="1"/>
  <c r="DU34" i="1" s="1"/>
  <c r="DU35" i="1" s="1"/>
  <c r="DU36" i="1" s="1"/>
  <c r="DU37" i="1" s="1"/>
  <c r="DL6" i="1"/>
  <c r="DL7" i="1" s="1"/>
  <c r="DL8" i="1" s="1"/>
  <c r="DL9" i="1" s="1"/>
  <c r="DL10" i="1" s="1"/>
  <c r="DL11" i="1" s="1"/>
  <c r="DL12" i="1" s="1"/>
  <c r="DL13" i="1" s="1"/>
  <c r="DL14" i="1" s="1"/>
  <c r="DL15" i="1" s="1"/>
  <c r="DL16" i="1" s="1"/>
  <c r="DL17" i="1" s="1"/>
  <c r="DL18" i="1" s="1"/>
  <c r="DL19" i="1" s="1"/>
  <c r="DL20" i="1" s="1"/>
  <c r="DL21" i="1" s="1"/>
  <c r="DL22" i="1" s="1"/>
  <c r="DL23" i="1" s="1"/>
  <c r="DL24" i="1" s="1"/>
  <c r="DL25" i="1" s="1"/>
  <c r="DL26" i="1" s="1"/>
  <c r="DL27" i="1" s="1"/>
  <c r="DL28" i="1" s="1"/>
  <c r="DL29" i="1" s="1"/>
  <c r="DL30" i="1" s="1"/>
  <c r="DL31" i="1" s="1"/>
  <c r="DL32" i="1" s="1"/>
  <c r="DL33" i="1" s="1"/>
  <c r="DL34" i="1" s="1"/>
  <c r="DL35" i="1" s="1"/>
  <c r="DL36" i="1" s="1"/>
  <c r="DL37" i="1" s="1"/>
  <c r="DL41" i="1" s="1"/>
  <c r="DA427" i="1"/>
  <c r="CY427" i="1"/>
  <c r="M82" i="5" s="1"/>
  <c r="E15" i="16" s="1"/>
  <c r="DA391" i="1"/>
  <c r="CY391" i="1"/>
  <c r="M75" i="5" s="1"/>
  <c r="E15" i="15" s="1"/>
  <c r="DA356" i="1"/>
  <c r="CY356" i="1"/>
  <c r="M68" i="5" s="1"/>
  <c r="E15" i="14" s="1"/>
  <c r="DA320" i="1"/>
  <c r="CY320" i="1"/>
  <c r="M61" i="5" s="1"/>
  <c r="E15" i="13" s="1"/>
  <c r="DA285" i="1"/>
  <c r="CY285" i="1"/>
  <c r="M54" i="5" s="1"/>
  <c r="E15" i="12" s="1"/>
  <c r="DA249" i="1"/>
  <c r="CY249" i="1"/>
  <c r="M47" i="5" s="1"/>
  <c r="E15" i="11" s="1"/>
  <c r="DA213" i="1"/>
  <c r="CY213" i="1"/>
  <c r="M40" i="5" s="1"/>
  <c r="E15" i="8" s="1"/>
  <c r="DA178" i="1"/>
  <c r="CY178" i="1"/>
  <c r="M33" i="5" s="1"/>
  <c r="E15" i="21" s="1"/>
  <c r="DA142" i="1"/>
  <c r="CY142" i="1"/>
  <c r="M26" i="5" s="1"/>
  <c r="E15" i="20" s="1"/>
  <c r="DA107" i="1"/>
  <c r="CY107" i="1"/>
  <c r="M19" i="5" s="1"/>
  <c r="E15" i="19" s="1"/>
  <c r="CY71" i="1"/>
  <c r="M12" i="5" s="1"/>
  <c r="E15" i="18" s="1"/>
  <c r="DA37" i="1"/>
  <c r="CY37" i="1"/>
  <c r="M5" i="5" s="1"/>
  <c r="DC6" i="1"/>
  <c r="DC7" i="1" s="1"/>
  <c r="DC8" i="1" s="1"/>
  <c r="DC9" i="1" s="1"/>
  <c r="DC10" i="1" s="1"/>
  <c r="DC11" i="1" s="1"/>
  <c r="DC12" i="1" s="1"/>
  <c r="DC13" i="1" s="1"/>
  <c r="DC14" i="1" s="1"/>
  <c r="DC15" i="1" s="1"/>
  <c r="DC16" i="1" s="1"/>
  <c r="DC17" i="1" s="1"/>
  <c r="DC18" i="1" s="1"/>
  <c r="DC19" i="1" s="1"/>
  <c r="DC20" i="1" s="1"/>
  <c r="DC21" i="1" s="1"/>
  <c r="DC22" i="1" s="1"/>
  <c r="DC23" i="1" s="1"/>
  <c r="DC24" i="1" s="1"/>
  <c r="DC25" i="1" s="1"/>
  <c r="DC26" i="1" s="1"/>
  <c r="DC27" i="1" s="1"/>
  <c r="DC28" i="1" s="1"/>
  <c r="DC29" i="1" s="1"/>
  <c r="DC30" i="1" s="1"/>
  <c r="DC31" i="1" s="1"/>
  <c r="DC32" i="1" s="1"/>
  <c r="DC33" i="1" s="1"/>
  <c r="DC34" i="1" s="1"/>
  <c r="DC35" i="1" s="1"/>
  <c r="DC36" i="1" s="1"/>
  <c r="DC37" i="1" s="1"/>
  <c r="DC41" i="1" s="1"/>
  <c r="L82" i="5"/>
  <c r="E14" i="16" s="1"/>
  <c r="L75" i="5"/>
  <c r="E14" i="15" s="1"/>
  <c r="L68" i="5"/>
  <c r="E14" i="14" s="1"/>
  <c r="L61" i="5"/>
  <c r="E14" i="13" s="1"/>
  <c r="L54" i="5"/>
  <c r="E14" i="12" s="1"/>
  <c r="L47" i="5"/>
  <c r="E14" i="11" s="1"/>
  <c r="L40" i="5"/>
  <c r="E14" i="8" s="1"/>
  <c r="L33" i="5"/>
  <c r="E14" i="21" s="1"/>
  <c r="L26" i="5"/>
  <c r="E14" i="20" s="1"/>
  <c r="L19" i="5"/>
  <c r="E14" i="19" s="1"/>
  <c r="L12" i="5"/>
  <c r="E14" i="18" s="1"/>
  <c r="L5" i="5"/>
  <c r="CT6" i="1"/>
  <c r="CT7" i="1" s="1"/>
  <c r="CT8" i="1" s="1"/>
  <c r="CT9" i="1" s="1"/>
  <c r="CT10" i="1" s="1"/>
  <c r="CT11" i="1" s="1"/>
  <c r="CT12" i="1" s="1"/>
  <c r="CT13" i="1" s="1"/>
  <c r="CT14" i="1" s="1"/>
  <c r="CT15" i="1" s="1"/>
  <c r="CT16" i="1" s="1"/>
  <c r="CT17" i="1" s="1"/>
  <c r="CT18" i="1" s="1"/>
  <c r="CT19" i="1" s="1"/>
  <c r="CT20" i="1" s="1"/>
  <c r="CT21" i="1" s="1"/>
  <c r="CT22" i="1" s="1"/>
  <c r="CT23" i="1" s="1"/>
  <c r="CT24" i="1" s="1"/>
  <c r="CT25" i="1" s="1"/>
  <c r="CT26" i="1" s="1"/>
  <c r="CT27" i="1" s="1"/>
  <c r="CT28" i="1" s="1"/>
  <c r="CT29" i="1" s="1"/>
  <c r="CT30" i="1" s="1"/>
  <c r="CT31" i="1" s="1"/>
  <c r="CT32" i="1" s="1"/>
  <c r="CT33" i="1" s="1"/>
  <c r="CT34" i="1" s="1"/>
  <c r="CT35" i="1" s="1"/>
  <c r="CT36" i="1" s="1"/>
  <c r="CT37" i="1" s="1"/>
  <c r="AY71" i="1"/>
  <c r="AW71" i="1"/>
  <c r="AP71" i="1"/>
  <c r="AN71" i="1"/>
  <c r="X71" i="1"/>
  <c r="V71" i="1"/>
  <c r="DX388" i="7"/>
  <c r="DW388" i="7"/>
  <c r="DV388" i="7"/>
  <c r="DU388" i="7"/>
  <c r="DT388" i="7"/>
  <c r="DS388" i="7"/>
  <c r="DR388" i="7"/>
  <c r="DQ388" i="7"/>
  <c r="DP388" i="7"/>
  <c r="DO388" i="7"/>
  <c r="DN388" i="7"/>
  <c r="DM388" i="7"/>
  <c r="DL388" i="7"/>
  <c r="DK388" i="7"/>
  <c r="DJ388" i="7"/>
  <c r="DH388" i="7"/>
  <c r="DG388" i="7"/>
  <c r="DF388" i="7"/>
  <c r="DE388" i="7"/>
  <c r="DD388" i="7"/>
  <c r="DC388" i="7"/>
  <c r="DB388" i="7"/>
  <c r="DA388" i="7"/>
  <c r="CZ388" i="7"/>
  <c r="CY388" i="7"/>
  <c r="CX388" i="7"/>
  <c r="CW388" i="7"/>
  <c r="CV388" i="7"/>
  <c r="CU388" i="7"/>
  <c r="CT388" i="7"/>
  <c r="CR388" i="7"/>
  <c r="CQ388" i="7"/>
  <c r="CP388" i="7"/>
  <c r="CO388" i="7"/>
  <c r="CN388" i="7"/>
  <c r="CM388" i="7"/>
  <c r="CL388" i="7"/>
  <c r="CK388" i="7"/>
  <c r="CJ388" i="7"/>
  <c r="CI388" i="7"/>
  <c r="CH388" i="7"/>
  <c r="CG388" i="7"/>
  <c r="CF388" i="7"/>
  <c r="CE388" i="7"/>
  <c r="CD388" i="7"/>
  <c r="CB388" i="7"/>
  <c r="CA388" i="7"/>
  <c r="BZ388" i="7"/>
  <c r="BY388" i="7"/>
  <c r="BX388" i="7"/>
  <c r="BW388" i="7"/>
  <c r="BV388" i="7"/>
  <c r="BU388" i="7"/>
  <c r="BT388" i="7"/>
  <c r="BS388" i="7"/>
  <c r="BR388" i="7"/>
  <c r="BQ388" i="7"/>
  <c r="BP388" i="7"/>
  <c r="BO388" i="7"/>
  <c r="BN388" i="7"/>
  <c r="BL388" i="7"/>
  <c r="BK388" i="7"/>
  <c r="BJ388" i="7"/>
  <c r="BI388" i="7"/>
  <c r="BH388" i="7"/>
  <c r="BG388" i="7"/>
  <c r="BF388" i="7"/>
  <c r="BE388" i="7"/>
  <c r="BD388" i="7"/>
  <c r="BC388" i="7"/>
  <c r="BB388" i="7"/>
  <c r="BA388" i="7"/>
  <c r="AZ388" i="7"/>
  <c r="AY388" i="7"/>
  <c r="AX388" i="7"/>
  <c r="AV388" i="7"/>
  <c r="AU388" i="7"/>
  <c r="AT388" i="7"/>
  <c r="AS388" i="7"/>
  <c r="AR388" i="7"/>
  <c r="AQ388" i="7"/>
  <c r="AP388" i="7"/>
  <c r="AO388" i="7"/>
  <c r="AN388" i="7"/>
  <c r="AM388" i="7"/>
  <c r="AL388" i="7"/>
  <c r="AK388" i="7"/>
  <c r="AJ388" i="7"/>
  <c r="AI388" i="7"/>
  <c r="AH388" i="7"/>
  <c r="AF388" i="7"/>
  <c r="AE388" i="7"/>
  <c r="AD388" i="7"/>
  <c r="AC388" i="7"/>
  <c r="AB388" i="7"/>
  <c r="AA388" i="7"/>
  <c r="Z388" i="7"/>
  <c r="Y388" i="7"/>
  <c r="X388" i="7"/>
  <c r="W388" i="7"/>
  <c r="V388" i="7"/>
  <c r="U388" i="7"/>
  <c r="T388" i="7"/>
  <c r="S388" i="7"/>
  <c r="R388" i="7"/>
  <c r="P388" i="7"/>
  <c r="O388" i="7"/>
  <c r="N388" i="7"/>
  <c r="M388" i="7"/>
  <c r="L388" i="7"/>
  <c r="K388" i="7"/>
  <c r="J388" i="7"/>
  <c r="I388" i="7"/>
  <c r="H388" i="7"/>
  <c r="G388" i="7"/>
  <c r="F388" i="7"/>
  <c r="E388" i="7"/>
  <c r="D388" i="7"/>
  <c r="C388" i="7"/>
  <c r="B388" i="7"/>
  <c r="DX387" i="7"/>
  <c r="DW387" i="7"/>
  <c r="DV387" i="7"/>
  <c r="DU387" i="7"/>
  <c r="DT387" i="7"/>
  <c r="DS387" i="7"/>
  <c r="DR387" i="7"/>
  <c r="DQ387" i="7"/>
  <c r="DP387" i="7"/>
  <c r="DO387" i="7"/>
  <c r="DN387" i="7"/>
  <c r="DM387" i="7"/>
  <c r="DL387" i="7"/>
  <c r="DK387" i="7"/>
  <c r="DJ387" i="7"/>
  <c r="DH387" i="7"/>
  <c r="DG387" i="7"/>
  <c r="DF387" i="7"/>
  <c r="DE387" i="7"/>
  <c r="DD387" i="7"/>
  <c r="DC387" i="7"/>
  <c r="DB387" i="7"/>
  <c r="DA387" i="7"/>
  <c r="CZ387" i="7"/>
  <c r="CY387" i="7"/>
  <c r="CX387" i="7"/>
  <c r="CW387" i="7"/>
  <c r="CV387" i="7"/>
  <c r="CU387" i="7"/>
  <c r="CT387" i="7"/>
  <c r="CR387" i="7"/>
  <c r="CQ387" i="7"/>
  <c r="CP387" i="7"/>
  <c r="CO387" i="7"/>
  <c r="CN387" i="7"/>
  <c r="CM387" i="7"/>
  <c r="CL387" i="7"/>
  <c r="CK387" i="7"/>
  <c r="CJ387" i="7"/>
  <c r="CI387" i="7"/>
  <c r="CH387" i="7"/>
  <c r="CG387" i="7"/>
  <c r="CF387" i="7"/>
  <c r="CE387" i="7"/>
  <c r="CD387" i="7"/>
  <c r="CB387" i="7"/>
  <c r="CA387" i="7"/>
  <c r="BZ387" i="7"/>
  <c r="BY387" i="7"/>
  <c r="BX387" i="7"/>
  <c r="BW387" i="7"/>
  <c r="BV387" i="7"/>
  <c r="BU387" i="7"/>
  <c r="BT387" i="7"/>
  <c r="BS387" i="7"/>
  <c r="BR387" i="7"/>
  <c r="BQ387" i="7"/>
  <c r="BP387" i="7"/>
  <c r="BO387" i="7"/>
  <c r="BN387" i="7"/>
  <c r="BL387" i="7"/>
  <c r="BK387" i="7"/>
  <c r="BJ387" i="7"/>
  <c r="BI387" i="7"/>
  <c r="BH387" i="7"/>
  <c r="BG387" i="7"/>
  <c r="BF387" i="7"/>
  <c r="BE387" i="7"/>
  <c r="BD387" i="7"/>
  <c r="BC387" i="7"/>
  <c r="BB387" i="7"/>
  <c r="BA387" i="7"/>
  <c r="AZ387" i="7"/>
  <c r="AY387" i="7"/>
  <c r="AX387" i="7"/>
  <c r="AV387" i="7"/>
  <c r="AU387" i="7"/>
  <c r="AT387" i="7"/>
  <c r="AS387" i="7"/>
  <c r="AR387" i="7"/>
  <c r="AQ387" i="7"/>
  <c r="AP387" i="7"/>
  <c r="AO387" i="7"/>
  <c r="AN387" i="7"/>
  <c r="AM387" i="7"/>
  <c r="AL387" i="7"/>
  <c r="AK387" i="7"/>
  <c r="AJ387" i="7"/>
  <c r="AI387" i="7"/>
  <c r="AH387" i="7"/>
  <c r="AF387" i="7"/>
  <c r="AE387" i="7"/>
  <c r="AD387" i="7"/>
  <c r="AC387" i="7"/>
  <c r="AB387" i="7"/>
  <c r="AA387" i="7"/>
  <c r="Z387" i="7"/>
  <c r="Y387" i="7"/>
  <c r="X387" i="7"/>
  <c r="W387" i="7"/>
  <c r="V387" i="7"/>
  <c r="U387" i="7"/>
  <c r="T387" i="7"/>
  <c r="S387" i="7"/>
  <c r="R387" i="7"/>
  <c r="P387" i="7"/>
  <c r="O387" i="7"/>
  <c r="N387" i="7"/>
  <c r="M387" i="7"/>
  <c r="L387" i="7"/>
  <c r="K387" i="7"/>
  <c r="J387" i="7"/>
  <c r="I387" i="7"/>
  <c r="H387" i="7"/>
  <c r="G387" i="7"/>
  <c r="F387" i="7"/>
  <c r="E387" i="7"/>
  <c r="D387" i="7"/>
  <c r="C387" i="7"/>
  <c r="B387" i="7"/>
  <c r="DX355" i="7"/>
  <c r="DW355" i="7"/>
  <c r="DV355" i="7"/>
  <c r="DU355" i="7"/>
  <c r="DT355" i="7"/>
  <c r="DS355" i="7"/>
  <c r="DR355" i="7"/>
  <c r="DQ355" i="7"/>
  <c r="DP355" i="7"/>
  <c r="DO355" i="7"/>
  <c r="DN355" i="7"/>
  <c r="DM355" i="7"/>
  <c r="DL355" i="7"/>
  <c r="DK355" i="7"/>
  <c r="DJ355" i="7"/>
  <c r="DH355" i="7"/>
  <c r="DG355" i="7"/>
  <c r="DF355" i="7"/>
  <c r="DE355" i="7"/>
  <c r="DD355" i="7"/>
  <c r="DC355" i="7"/>
  <c r="DB355" i="7"/>
  <c r="DA355" i="7"/>
  <c r="CZ355" i="7"/>
  <c r="CY355" i="7"/>
  <c r="CX355" i="7"/>
  <c r="CW355" i="7"/>
  <c r="CV355" i="7"/>
  <c r="CU355" i="7"/>
  <c r="CT355" i="7"/>
  <c r="CR355" i="7"/>
  <c r="CQ355" i="7"/>
  <c r="CP355" i="7"/>
  <c r="CO355" i="7"/>
  <c r="CN355" i="7"/>
  <c r="CM355" i="7"/>
  <c r="CL355" i="7"/>
  <c r="CK355" i="7"/>
  <c r="CJ355" i="7"/>
  <c r="CI355" i="7"/>
  <c r="CH355" i="7"/>
  <c r="CG355" i="7"/>
  <c r="CF355" i="7"/>
  <c r="CE355" i="7"/>
  <c r="CD355" i="7"/>
  <c r="CB355" i="7"/>
  <c r="CA355" i="7"/>
  <c r="BZ355" i="7"/>
  <c r="BY355" i="7"/>
  <c r="BX355" i="7"/>
  <c r="BW355" i="7"/>
  <c r="BV355" i="7"/>
  <c r="BU355" i="7"/>
  <c r="BT355" i="7"/>
  <c r="BS355" i="7"/>
  <c r="BR355" i="7"/>
  <c r="BQ355" i="7"/>
  <c r="BP355" i="7"/>
  <c r="BO355" i="7"/>
  <c r="BN355" i="7"/>
  <c r="BL355" i="7"/>
  <c r="BK355" i="7"/>
  <c r="BJ355" i="7"/>
  <c r="BI355" i="7"/>
  <c r="BH355" i="7"/>
  <c r="BG355" i="7"/>
  <c r="BF355" i="7"/>
  <c r="BE355" i="7"/>
  <c r="BD355" i="7"/>
  <c r="BC355" i="7"/>
  <c r="BB355" i="7"/>
  <c r="BA355" i="7"/>
  <c r="AZ355" i="7"/>
  <c r="AY355" i="7"/>
  <c r="AX355" i="7"/>
  <c r="AV355" i="7"/>
  <c r="AU355" i="7"/>
  <c r="AT355" i="7"/>
  <c r="AS355" i="7"/>
  <c r="AR355" i="7"/>
  <c r="AQ355" i="7"/>
  <c r="AP355" i="7"/>
  <c r="AO355" i="7"/>
  <c r="AN355" i="7"/>
  <c r="AM355" i="7"/>
  <c r="AL355" i="7"/>
  <c r="AK355" i="7"/>
  <c r="AJ355" i="7"/>
  <c r="AI355" i="7"/>
  <c r="AH355" i="7"/>
  <c r="AF355" i="7"/>
  <c r="AE355" i="7"/>
  <c r="AD355" i="7"/>
  <c r="AC355" i="7"/>
  <c r="AB355" i="7"/>
  <c r="AA355" i="7"/>
  <c r="Z355" i="7"/>
  <c r="Y355" i="7"/>
  <c r="X355" i="7"/>
  <c r="W355" i="7"/>
  <c r="V355" i="7"/>
  <c r="U355" i="7"/>
  <c r="T355" i="7"/>
  <c r="S355" i="7"/>
  <c r="R355" i="7"/>
  <c r="P355" i="7"/>
  <c r="O355" i="7"/>
  <c r="N355" i="7"/>
  <c r="M355" i="7"/>
  <c r="L355" i="7"/>
  <c r="K355" i="7"/>
  <c r="J355" i="7"/>
  <c r="I355" i="7"/>
  <c r="H355" i="7"/>
  <c r="G355" i="7"/>
  <c r="F355" i="7"/>
  <c r="E355" i="7"/>
  <c r="D355" i="7"/>
  <c r="C355" i="7"/>
  <c r="B355" i="7"/>
  <c r="DX354" i="7"/>
  <c r="DW354" i="7"/>
  <c r="DV354" i="7"/>
  <c r="DU354" i="7"/>
  <c r="DT354" i="7"/>
  <c r="DS354" i="7"/>
  <c r="DR354" i="7"/>
  <c r="DQ354" i="7"/>
  <c r="DP354" i="7"/>
  <c r="DO354" i="7"/>
  <c r="DN354" i="7"/>
  <c r="DM354" i="7"/>
  <c r="DL354" i="7"/>
  <c r="DK354" i="7"/>
  <c r="DJ354" i="7"/>
  <c r="DH354" i="7"/>
  <c r="DG354" i="7"/>
  <c r="DF354" i="7"/>
  <c r="DE354" i="7"/>
  <c r="DD354" i="7"/>
  <c r="DC354" i="7"/>
  <c r="DB354" i="7"/>
  <c r="DA354" i="7"/>
  <c r="CZ354" i="7"/>
  <c r="CY354" i="7"/>
  <c r="CX354" i="7"/>
  <c r="CW354" i="7"/>
  <c r="CV354" i="7"/>
  <c r="CU354" i="7"/>
  <c r="CT354" i="7"/>
  <c r="CR354" i="7"/>
  <c r="CQ354" i="7"/>
  <c r="CP354" i="7"/>
  <c r="CO354" i="7"/>
  <c r="CN354" i="7"/>
  <c r="CM354" i="7"/>
  <c r="CL354" i="7"/>
  <c r="CK354" i="7"/>
  <c r="CJ354" i="7"/>
  <c r="CI354" i="7"/>
  <c r="CH354" i="7"/>
  <c r="CG354" i="7"/>
  <c r="CF354" i="7"/>
  <c r="CE354" i="7"/>
  <c r="CD354" i="7"/>
  <c r="CB354" i="7"/>
  <c r="CA354" i="7"/>
  <c r="BZ354" i="7"/>
  <c r="BY354" i="7"/>
  <c r="BX354" i="7"/>
  <c r="BW354" i="7"/>
  <c r="BV354" i="7"/>
  <c r="BU354" i="7"/>
  <c r="BT354" i="7"/>
  <c r="BS354" i="7"/>
  <c r="BR354" i="7"/>
  <c r="BQ354" i="7"/>
  <c r="BP354" i="7"/>
  <c r="BO354" i="7"/>
  <c r="BN354" i="7"/>
  <c r="BL354" i="7"/>
  <c r="BK354" i="7"/>
  <c r="BJ354" i="7"/>
  <c r="BI354" i="7"/>
  <c r="BH354" i="7"/>
  <c r="BG354" i="7"/>
  <c r="BF354" i="7"/>
  <c r="BE354" i="7"/>
  <c r="BD354" i="7"/>
  <c r="BC354" i="7"/>
  <c r="BB354" i="7"/>
  <c r="BA354" i="7"/>
  <c r="AZ354" i="7"/>
  <c r="AY354" i="7"/>
  <c r="AX354" i="7"/>
  <c r="AV354" i="7"/>
  <c r="AU354" i="7"/>
  <c r="AT354" i="7"/>
  <c r="AS354" i="7"/>
  <c r="AR354" i="7"/>
  <c r="AQ354" i="7"/>
  <c r="AP354" i="7"/>
  <c r="AO354" i="7"/>
  <c r="AN354" i="7"/>
  <c r="AM354" i="7"/>
  <c r="AL354" i="7"/>
  <c r="AK354" i="7"/>
  <c r="AJ354" i="7"/>
  <c r="AI354" i="7"/>
  <c r="AH354" i="7"/>
  <c r="AF354" i="7"/>
  <c r="AE354" i="7"/>
  <c r="AD354" i="7"/>
  <c r="AC354" i="7"/>
  <c r="AB354" i="7"/>
  <c r="AA354" i="7"/>
  <c r="Z354" i="7"/>
  <c r="Y354" i="7"/>
  <c r="X354" i="7"/>
  <c r="W354" i="7"/>
  <c r="V354" i="7"/>
  <c r="U354" i="7"/>
  <c r="T354" i="7"/>
  <c r="S354" i="7"/>
  <c r="R354" i="7"/>
  <c r="P354" i="7"/>
  <c r="O354" i="7"/>
  <c r="N354" i="7"/>
  <c r="M354" i="7"/>
  <c r="L354" i="7"/>
  <c r="K354" i="7"/>
  <c r="J354" i="7"/>
  <c r="I354" i="7"/>
  <c r="H354" i="7"/>
  <c r="G354" i="7"/>
  <c r="F354" i="7"/>
  <c r="E354" i="7"/>
  <c r="D354" i="7"/>
  <c r="C354" i="7"/>
  <c r="B354" i="7"/>
  <c r="DX321" i="7"/>
  <c r="DW321" i="7"/>
  <c r="DV321" i="7"/>
  <c r="DU321" i="7"/>
  <c r="DT321" i="7"/>
  <c r="DS321" i="7"/>
  <c r="DR321" i="7"/>
  <c r="DQ321" i="7"/>
  <c r="DP321" i="7"/>
  <c r="DO321" i="7"/>
  <c r="DN321" i="7"/>
  <c r="DM321" i="7"/>
  <c r="DL321" i="7"/>
  <c r="DK321" i="7"/>
  <c r="DJ321" i="7"/>
  <c r="DH321" i="7"/>
  <c r="DG321" i="7"/>
  <c r="DF321" i="7"/>
  <c r="DE321" i="7"/>
  <c r="DD321" i="7"/>
  <c r="DC321" i="7"/>
  <c r="DB321" i="7"/>
  <c r="DA321" i="7"/>
  <c r="CZ321" i="7"/>
  <c r="CY321" i="7"/>
  <c r="CX321" i="7"/>
  <c r="CW321" i="7"/>
  <c r="CV321" i="7"/>
  <c r="CU321" i="7"/>
  <c r="CT321" i="7"/>
  <c r="CR321" i="7"/>
  <c r="CQ321" i="7"/>
  <c r="CP321" i="7"/>
  <c r="CO321" i="7"/>
  <c r="CN321" i="7"/>
  <c r="CM321" i="7"/>
  <c r="CL321" i="7"/>
  <c r="CK321" i="7"/>
  <c r="CJ321" i="7"/>
  <c r="CI321" i="7"/>
  <c r="CH321" i="7"/>
  <c r="CG321" i="7"/>
  <c r="CF321" i="7"/>
  <c r="CE321" i="7"/>
  <c r="CD321" i="7"/>
  <c r="CB321" i="7"/>
  <c r="CA321" i="7"/>
  <c r="BZ321" i="7"/>
  <c r="BY321" i="7"/>
  <c r="BX321" i="7"/>
  <c r="BW321" i="7"/>
  <c r="BV321" i="7"/>
  <c r="BU321" i="7"/>
  <c r="BT321" i="7"/>
  <c r="BS321" i="7"/>
  <c r="BR321" i="7"/>
  <c r="BQ321" i="7"/>
  <c r="BP321" i="7"/>
  <c r="BO321" i="7"/>
  <c r="BN321" i="7"/>
  <c r="BL321" i="7"/>
  <c r="BK321" i="7"/>
  <c r="BJ321" i="7"/>
  <c r="BI321" i="7"/>
  <c r="BH321" i="7"/>
  <c r="BG321" i="7"/>
  <c r="BF321" i="7"/>
  <c r="BE321" i="7"/>
  <c r="BD321" i="7"/>
  <c r="BC321" i="7"/>
  <c r="BB321" i="7"/>
  <c r="BA321" i="7"/>
  <c r="AZ321" i="7"/>
  <c r="AY321" i="7"/>
  <c r="AX321" i="7"/>
  <c r="AV321" i="7"/>
  <c r="AU321" i="7"/>
  <c r="AT321" i="7"/>
  <c r="AS321" i="7"/>
  <c r="AR321" i="7"/>
  <c r="AQ321" i="7"/>
  <c r="AP321" i="7"/>
  <c r="AO321" i="7"/>
  <c r="AN321" i="7"/>
  <c r="AM321" i="7"/>
  <c r="AL321" i="7"/>
  <c r="AK321" i="7"/>
  <c r="AJ321" i="7"/>
  <c r="AI321" i="7"/>
  <c r="AH321" i="7"/>
  <c r="AF321" i="7"/>
  <c r="AE321" i="7"/>
  <c r="AD321" i="7"/>
  <c r="AC321" i="7"/>
  <c r="AB321" i="7"/>
  <c r="AA321" i="7"/>
  <c r="Z321" i="7"/>
  <c r="Y321" i="7"/>
  <c r="X321" i="7"/>
  <c r="W321" i="7"/>
  <c r="V321" i="7"/>
  <c r="U321" i="7"/>
  <c r="T321" i="7"/>
  <c r="S321" i="7"/>
  <c r="R321" i="7"/>
  <c r="P321" i="7"/>
  <c r="O321" i="7"/>
  <c r="N321" i="7"/>
  <c r="M321" i="7"/>
  <c r="L321" i="7"/>
  <c r="K321" i="7"/>
  <c r="J321" i="7"/>
  <c r="I321" i="7"/>
  <c r="H321" i="7"/>
  <c r="G321" i="7"/>
  <c r="F321" i="7"/>
  <c r="E321" i="7"/>
  <c r="D321" i="7"/>
  <c r="C321" i="7"/>
  <c r="B321" i="7"/>
  <c r="DX320" i="7"/>
  <c r="DW320" i="7"/>
  <c r="DV320" i="7"/>
  <c r="DU320" i="7"/>
  <c r="DT320" i="7"/>
  <c r="DS320" i="7"/>
  <c r="DR320" i="7"/>
  <c r="DQ320" i="7"/>
  <c r="DP320" i="7"/>
  <c r="DO320" i="7"/>
  <c r="DN320" i="7"/>
  <c r="DM320" i="7"/>
  <c r="DL320" i="7"/>
  <c r="DK320" i="7"/>
  <c r="DJ320" i="7"/>
  <c r="DH320" i="7"/>
  <c r="DG320" i="7"/>
  <c r="DF320" i="7"/>
  <c r="DE320" i="7"/>
  <c r="DD320" i="7"/>
  <c r="DC320" i="7"/>
  <c r="DB320" i="7"/>
  <c r="DA320" i="7"/>
  <c r="CZ320" i="7"/>
  <c r="CY320" i="7"/>
  <c r="CX320" i="7"/>
  <c r="CW320" i="7"/>
  <c r="CV320" i="7"/>
  <c r="CU320" i="7"/>
  <c r="CT320" i="7"/>
  <c r="CR320" i="7"/>
  <c r="CQ320" i="7"/>
  <c r="CP320" i="7"/>
  <c r="CO320" i="7"/>
  <c r="CN320" i="7"/>
  <c r="CM320" i="7"/>
  <c r="CL320" i="7"/>
  <c r="CK320" i="7"/>
  <c r="CJ320" i="7"/>
  <c r="CI320" i="7"/>
  <c r="CH320" i="7"/>
  <c r="CG320" i="7"/>
  <c r="CF320" i="7"/>
  <c r="CE320" i="7"/>
  <c r="CD320" i="7"/>
  <c r="CB320" i="7"/>
  <c r="CA320" i="7"/>
  <c r="BZ320" i="7"/>
  <c r="BY320" i="7"/>
  <c r="BX320" i="7"/>
  <c r="BW320" i="7"/>
  <c r="BV320" i="7"/>
  <c r="BU320" i="7"/>
  <c r="BT320" i="7"/>
  <c r="BS320" i="7"/>
  <c r="BR320" i="7"/>
  <c r="BQ320" i="7"/>
  <c r="BP320" i="7"/>
  <c r="BO320" i="7"/>
  <c r="BN320" i="7"/>
  <c r="BL320" i="7"/>
  <c r="BK320" i="7"/>
  <c r="BJ320" i="7"/>
  <c r="BI320" i="7"/>
  <c r="BH320" i="7"/>
  <c r="BG320" i="7"/>
  <c r="BF320" i="7"/>
  <c r="BE320" i="7"/>
  <c r="BD320" i="7"/>
  <c r="BC320" i="7"/>
  <c r="BB320" i="7"/>
  <c r="BA320" i="7"/>
  <c r="AZ320" i="7"/>
  <c r="AY320" i="7"/>
  <c r="AX320" i="7"/>
  <c r="AV320" i="7"/>
  <c r="AU320" i="7"/>
  <c r="AT320" i="7"/>
  <c r="AS320" i="7"/>
  <c r="AR320" i="7"/>
  <c r="AQ320" i="7"/>
  <c r="AP320" i="7"/>
  <c r="AO320" i="7"/>
  <c r="AN320" i="7"/>
  <c r="AM320" i="7"/>
  <c r="AL320" i="7"/>
  <c r="AK320" i="7"/>
  <c r="AJ320" i="7"/>
  <c r="AI320" i="7"/>
  <c r="AH320" i="7"/>
  <c r="AF320" i="7"/>
  <c r="AE320" i="7"/>
  <c r="AD320" i="7"/>
  <c r="AC320" i="7"/>
  <c r="AB320" i="7"/>
  <c r="AA320" i="7"/>
  <c r="Z320" i="7"/>
  <c r="Y320" i="7"/>
  <c r="X320" i="7"/>
  <c r="W320" i="7"/>
  <c r="V320" i="7"/>
  <c r="U320" i="7"/>
  <c r="T320" i="7"/>
  <c r="S320" i="7"/>
  <c r="R320" i="7"/>
  <c r="P320" i="7"/>
  <c r="O320" i="7"/>
  <c r="N320" i="7"/>
  <c r="M320" i="7"/>
  <c r="L320" i="7"/>
  <c r="K320" i="7"/>
  <c r="J320" i="7"/>
  <c r="I320" i="7"/>
  <c r="H320" i="7"/>
  <c r="G320" i="7"/>
  <c r="F320" i="7"/>
  <c r="E320" i="7"/>
  <c r="D320" i="7"/>
  <c r="C320" i="7"/>
  <c r="B320" i="7"/>
  <c r="DX288" i="7"/>
  <c r="DW288" i="7"/>
  <c r="DV288" i="7"/>
  <c r="DU288" i="7"/>
  <c r="DT288" i="7"/>
  <c r="DS288" i="7"/>
  <c r="DR288" i="7"/>
  <c r="DQ288" i="7"/>
  <c r="DP288" i="7"/>
  <c r="DO288" i="7"/>
  <c r="DN288" i="7"/>
  <c r="DM288" i="7"/>
  <c r="DL288" i="7"/>
  <c r="DK288" i="7"/>
  <c r="DJ288" i="7"/>
  <c r="DH288" i="7"/>
  <c r="DG288" i="7"/>
  <c r="DF288" i="7"/>
  <c r="DE288" i="7"/>
  <c r="DD288" i="7"/>
  <c r="DC288" i="7"/>
  <c r="DB288" i="7"/>
  <c r="DA288" i="7"/>
  <c r="CZ288" i="7"/>
  <c r="CY288" i="7"/>
  <c r="CX288" i="7"/>
  <c r="CW288" i="7"/>
  <c r="CV288" i="7"/>
  <c r="CU288" i="7"/>
  <c r="CT288" i="7"/>
  <c r="CR288" i="7"/>
  <c r="CQ288" i="7"/>
  <c r="CP288" i="7"/>
  <c r="CO288" i="7"/>
  <c r="CN288" i="7"/>
  <c r="CM288" i="7"/>
  <c r="CL288" i="7"/>
  <c r="CK288" i="7"/>
  <c r="CJ288" i="7"/>
  <c r="CI288" i="7"/>
  <c r="CH288" i="7"/>
  <c r="CG288" i="7"/>
  <c r="CF288" i="7"/>
  <c r="CE288" i="7"/>
  <c r="CD288" i="7"/>
  <c r="CB288" i="7"/>
  <c r="CA288" i="7"/>
  <c r="BZ288" i="7"/>
  <c r="BY288" i="7"/>
  <c r="BX288" i="7"/>
  <c r="BW288" i="7"/>
  <c r="BV288" i="7"/>
  <c r="BU288" i="7"/>
  <c r="BT288" i="7"/>
  <c r="BS288" i="7"/>
  <c r="BR288" i="7"/>
  <c r="BQ288" i="7"/>
  <c r="BP288" i="7"/>
  <c r="BO288" i="7"/>
  <c r="BN288" i="7"/>
  <c r="BL288" i="7"/>
  <c r="BK288" i="7"/>
  <c r="BJ288" i="7"/>
  <c r="BI288" i="7"/>
  <c r="BH288" i="7"/>
  <c r="BG288" i="7"/>
  <c r="BF288" i="7"/>
  <c r="BE288" i="7"/>
  <c r="BD288" i="7"/>
  <c r="BC288" i="7"/>
  <c r="BB288" i="7"/>
  <c r="BA288" i="7"/>
  <c r="AZ288" i="7"/>
  <c r="AY288" i="7"/>
  <c r="AX288" i="7"/>
  <c r="AV288" i="7"/>
  <c r="AU288" i="7"/>
  <c r="AT288" i="7"/>
  <c r="AS288" i="7"/>
  <c r="AR288" i="7"/>
  <c r="AQ288" i="7"/>
  <c r="AP288" i="7"/>
  <c r="AO288" i="7"/>
  <c r="AN288" i="7"/>
  <c r="AM288" i="7"/>
  <c r="AL288" i="7"/>
  <c r="AK288" i="7"/>
  <c r="AJ288" i="7"/>
  <c r="AI288" i="7"/>
  <c r="AH288" i="7"/>
  <c r="AF288" i="7"/>
  <c r="AE288" i="7"/>
  <c r="AD288" i="7"/>
  <c r="AC288" i="7"/>
  <c r="AB288" i="7"/>
  <c r="AA288" i="7"/>
  <c r="Z288" i="7"/>
  <c r="Y288" i="7"/>
  <c r="X288" i="7"/>
  <c r="W288" i="7"/>
  <c r="V288" i="7"/>
  <c r="U288" i="7"/>
  <c r="T288" i="7"/>
  <c r="S288" i="7"/>
  <c r="R288" i="7"/>
  <c r="P288" i="7"/>
  <c r="O288" i="7"/>
  <c r="N288" i="7"/>
  <c r="M288" i="7"/>
  <c r="L288" i="7"/>
  <c r="K288" i="7"/>
  <c r="J288" i="7"/>
  <c r="I288" i="7"/>
  <c r="H288" i="7"/>
  <c r="G288" i="7"/>
  <c r="F288" i="7"/>
  <c r="E288" i="7"/>
  <c r="D288" i="7"/>
  <c r="C288" i="7"/>
  <c r="B288" i="7"/>
  <c r="DX287" i="7"/>
  <c r="DW287" i="7"/>
  <c r="DV287" i="7"/>
  <c r="DU287" i="7"/>
  <c r="DT287" i="7"/>
  <c r="DS287" i="7"/>
  <c r="DR287" i="7"/>
  <c r="DQ287" i="7"/>
  <c r="DP287" i="7"/>
  <c r="DO287" i="7"/>
  <c r="DN287" i="7"/>
  <c r="DM287" i="7"/>
  <c r="DL287" i="7"/>
  <c r="DK287" i="7"/>
  <c r="DJ287" i="7"/>
  <c r="DH287" i="7"/>
  <c r="DG287" i="7"/>
  <c r="DF287" i="7"/>
  <c r="DE287" i="7"/>
  <c r="DD287" i="7"/>
  <c r="DC287" i="7"/>
  <c r="DB287" i="7"/>
  <c r="DA287" i="7"/>
  <c r="CZ287" i="7"/>
  <c r="CY287" i="7"/>
  <c r="CX287" i="7"/>
  <c r="CW287" i="7"/>
  <c r="CV287" i="7"/>
  <c r="CU287" i="7"/>
  <c r="CT287" i="7"/>
  <c r="CR287" i="7"/>
  <c r="CQ287" i="7"/>
  <c r="CP287" i="7"/>
  <c r="CO287" i="7"/>
  <c r="CN287" i="7"/>
  <c r="CM287" i="7"/>
  <c r="CL287" i="7"/>
  <c r="CK287" i="7"/>
  <c r="CJ287" i="7"/>
  <c r="CI287" i="7"/>
  <c r="CH287" i="7"/>
  <c r="CG287" i="7"/>
  <c r="CF287" i="7"/>
  <c r="CE287" i="7"/>
  <c r="CD287" i="7"/>
  <c r="CB287" i="7"/>
  <c r="CA287" i="7"/>
  <c r="BZ287" i="7"/>
  <c r="BY287" i="7"/>
  <c r="BX287" i="7"/>
  <c r="BW287" i="7"/>
  <c r="BV287" i="7"/>
  <c r="BU287" i="7"/>
  <c r="BT287" i="7"/>
  <c r="BS287" i="7"/>
  <c r="BR287" i="7"/>
  <c r="BQ287" i="7"/>
  <c r="BP287" i="7"/>
  <c r="BO287" i="7"/>
  <c r="BN287" i="7"/>
  <c r="BL287" i="7"/>
  <c r="BK287" i="7"/>
  <c r="BJ287" i="7"/>
  <c r="BI287" i="7"/>
  <c r="BH287" i="7"/>
  <c r="BG287" i="7"/>
  <c r="BF287" i="7"/>
  <c r="BE287" i="7"/>
  <c r="BD287" i="7"/>
  <c r="BC287" i="7"/>
  <c r="BB287" i="7"/>
  <c r="BA287" i="7"/>
  <c r="AZ287" i="7"/>
  <c r="AY287" i="7"/>
  <c r="AX287" i="7"/>
  <c r="AV287" i="7"/>
  <c r="AU287" i="7"/>
  <c r="AT287" i="7"/>
  <c r="AS287" i="7"/>
  <c r="AR287" i="7"/>
  <c r="AQ287" i="7"/>
  <c r="AP287" i="7"/>
  <c r="AO287" i="7"/>
  <c r="AN287" i="7"/>
  <c r="AM287" i="7"/>
  <c r="AL287" i="7"/>
  <c r="AK287" i="7"/>
  <c r="AJ287" i="7"/>
  <c r="AI287" i="7"/>
  <c r="AH287" i="7"/>
  <c r="AF287" i="7"/>
  <c r="AE287" i="7"/>
  <c r="AD287" i="7"/>
  <c r="AC287" i="7"/>
  <c r="AB287" i="7"/>
  <c r="AA287" i="7"/>
  <c r="Z287" i="7"/>
  <c r="Y287" i="7"/>
  <c r="X287" i="7"/>
  <c r="W287" i="7"/>
  <c r="V287" i="7"/>
  <c r="U287" i="7"/>
  <c r="T287" i="7"/>
  <c r="S287" i="7"/>
  <c r="R287" i="7"/>
  <c r="P287" i="7"/>
  <c r="O287" i="7"/>
  <c r="N287" i="7"/>
  <c r="M287" i="7"/>
  <c r="L287" i="7"/>
  <c r="K287" i="7"/>
  <c r="J287" i="7"/>
  <c r="I287" i="7"/>
  <c r="H287" i="7"/>
  <c r="G287" i="7"/>
  <c r="F287" i="7"/>
  <c r="E287" i="7"/>
  <c r="D287" i="7"/>
  <c r="C287" i="7"/>
  <c r="B287" i="7"/>
  <c r="DX254" i="7"/>
  <c r="DW254" i="7"/>
  <c r="DV254" i="7"/>
  <c r="DU254" i="7"/>
  <c r="DT254" i="7"/>
  <c r="DS254" i="7"/>
  <c r="DR254" i="7"/>
  <c r="DQ254" i="7"/>
  <c r="DP254" i="7"/>
  <c r="DO254" i="7"/>
  <c r="DN254" i="7"/>
  <c r="DM254" i="7"/>
  <c r="DL254" i="7"/>
  <c r="DK254" i="7"/>
  <c r="DJ254" i="7"/>
  <c r="DG254" i="7"/>
  <c r="DF254" i="7"/>
  <c r="DE254" i="7"/>
  <c r="DD254" i="7"/>
  <c r="DC254" i="7"/>
  <c r="DB254" i="7"/>
  <c r="DA254" i="7"/>
  <c r="CZ254" i="7"/>
  <c r="CY254" i="7"/>
  <c r="CX254" i="7"/>
  <c r="CW254" i="7"/>
  <c r="CV254" i="7"/>
  <c r="CU254" i="7"/>
  <c r="CT254" i="7"/>
  <c r="CR254" i="7"/>
  <c r="CQ254" i="7"/>
  <c r="CP254" i="7"/>
  <c r="CO254" i="7"/>
  <c r="CN254" i="7"/>
  <c r="CM254" i="7"/>
  <c r="CL254" i="7"/>
  <c r="CK254" i="7"/>
  <c r="CJ254" i="7"/>
  <c r="CI254" i="7"/>
  <c r="CH254" i="7"/>
  <c r="CG254" i="7"/>
  <c r="CF254" i="7"/>
  <c r="CE254" i="7"/>
  <c r="CD254" i="7"/>
  <c r="CB254" i="7"/>
  <c r="CA254" i="7"/>
  <c r="BZ254" i="7"/>
  <c r="BY254" i="7"/>
  <c r="BX254" i="7"/>
  <c r="BW254" i="7"/>
  <c r="BV254" i="7"/>
  <c r="BU254" i="7"/>
  <c r="BT254" i="7"/>
  <c r="BS254" i="7"/>
  <c r="BR254" i="7"/>
  <c r="BQ254" i="7"/>
  <c r="BP254" i="7"/>
  <c r="BO254" i="7"/>
  <c r="BN254" i="7"/>
  <c r="BL254" i="7"/>
  <c r="BK254" i="7"/>
  <c r="BJ254" i="7"/>
  <c r="BI254" i="7"/>
  <c r="BH254" i="7"/>
  <c r="BG254" i="7"/>
  <c r="BF254" i="7"/>
  <c r="BE254" i="7"/>
  <c r="BD254" i="7"/>
  <c r="BC254" i="7"/>
  <c r="BB254" i="7"/>
  <c r="BA254" i="7"/>
  <c r="AZ254" i="7"/>
  <c r="AY254" i="7"/>
  <c r="AX254" i="7"/>
  <c r="AV254" i="7"/>
  <c r="AU254" i="7"/>
  <c r="AT254" i="7"/>
  <c r="AS254" i="7"/>
  <c r="AR254" i="7"/>
  <c r="AQ254" i="7"/>
  <c r="AP254" i="7"/>
  <c r="AO254" i="7"/>
  <c r="AN254" i="7"/>
  <c r="AM254" i="7"/>
  <c r="AL254" i="7"/>
  <c r="AK254" i="7"/>
  <c r="AJ254" i="7"/>
  <c r="AI254" i="7"/>
  <c r="AH254" i="7"/>
  <c r="AF254" i="7"/>
  <c r="AE254" i="7"/>
  <c r="AD254" i="7"/>
  <c r="AC254" i="7"/>
  <c r="AB254" i="7"/>
  <c r="AA254" i="7"/>
  <c r="Z254" i="7"/>
  <c r="Y254" i="7"/>
  <c r="X254" i="7"/>
  <c r="W254" i="7"/>
  <c r="V254" i="7"/>
  <c r="U254" i="7"/>
  <c r="T254" i="7"/>
  <c r="S254" i="7"/>
  <c r="R254" i="7"/>
  <c r="P254" i="7"/>
  <c r="O254" i="7"/>
  <c r="N254" i="7"/>
  <c r="M254" i="7"/>
  <c r="L254" i="7"/>
  <c r="K254" i="7"/>
  <c r="J254" i="7"/>
  <c r="I254" i="7"/>
  <c r="H254" i="7"/>
  <c r="G254" i="7"/>
  <c r="F254" i="7"/>
  <c r="E254" i="7"/>
  <c r="D254" i="7"/>
  <c r="C254" i="7"/>
  <c r="B254" i="7"/>
  <c r="DX253" i="7"/>
  <c r="DW253" i="7"/>
  <c r="DV253" i="7"/>
  <c r="DU253" i="7"/>
  <c r="DT253" i="7"/>
  <c r="DS253" i="7"/>
  <c r="DR253" i="7"/>
  <c r="DQ253" i="7"/>
  <c r="DP253" i="7"/>
  <c r="DO253" i="7"/>
  <c r="DN253" i="7"/>
  <c r="DM253" i="7"/>
  <c r="DL253" i="7"/>
  <c r="DK253" i="7"/>
  <c r="DJ253" i="7"/>
  <c r="DG253" i="7"/>
  <c r="DF253" i="7"/>
  <c r="DE253" i="7"/>
  <c r="DD253" i="7"/>
  <c r="DC253" i="7"/>
  <c r="DB253" i="7"/>
  <c r="DA253" i="7"/>
  <c r="CZ253" i="7"/>
  <c r="CY253" i="7"/>
  <c r="CX253" i="7"/>
  <c r="CW253" i="7"/>
  <c r="CV253" i="7"/>
  <c r="CU253" i="7"/>
  <c r="CT253" i="7"/>
  <c r="CR253" i="7"/>
  <c r="CQ253" i="7"/>
  <c r="CP253" i="7"/>
  <c r="CO253" i="7"/>
  <c r="CN253" i="7"/>
  <c r="CM253" i="7"/>
  <c r="CL253" i="7"/>
  <c r="CK253" i="7"/>
  <c r="CJ253" i="7"/>
  <c r="CI253" i="7"/>
  <c r="CH253" i="7"/>
  <c r="CG253" i="7"/>
  <c r="CF253" i="7"/>
  <c r="CE253" i="7"/>
  <c r="CD253" i="7"/>
  <c r="CB253" i="7"/>
  <c r="CA253" i="7"/>
  <c r="BZ253" i="7"/>
  <c r="BY253" i="7"/>
  <c r="BX253" i="7"/>
  <c r="BW253" i="7"/>
  <c r="BV253" i="7"/>
  <c r="BU253" i="7"/>
  <c r="BT253" i="7"/>
  <c r="BS253" i="7"/>
  <c r="BR253" i="7"/>
  <c r="BQ253" i="7"/>
  <c r="BO253" i="7"/>
  <c r="BN253" i="7"/>
  <c r="BL253" i="7"/>
  <c r="BK253" i="7"/>
  <c r="BJ253" i="7"/>
  <c r="BI253" i="7"/>
  <c r="BH253" i="7"/>
  <c r="BG253" i="7"/>
  <c r="BF253" i="7"/>
  <c r="BE253" i="7"/>
  <c r="BD253" i="7"/>
  <c r="BC253" i="7"/>
  <c r="BB253" i="7"/>
  <c r="BA253" i="7"/>
  <c r="AZ253" i="7"/>
  <c r="AY253" i="7"/>
  <c r="AX253" i="7"/>
  <c r="AV253" i="7"/>
  <c r="AU253" i="7"/>
  <c r="AT253" i="7"/>
  <c r="AS253" i="7"/>
  <c r="AR253" i="7"/>
  <c r="AQ253" i="7"/>
  <c r="AP253" i="7"/>
  <c r="AO253" i="7"/>
  <c r="AN253" i="7"/>
  <c r="AM253" i="7"/>
  <c r="AL253" i="7"/>
  <c r="AK253" i="7"/>
  <c r="AJ253" i="7"/>
  <c r="AI253" i="7"/>
  <c r="AH253" i="7"/>
  <c r="AF253" i="7"/>
  <c r="AE253" i="7"/>
  <c r="AD253" i="7"/>
  <c r="AC253" i="7"/>
  <c r="AB253" i="7"/>
  <c r="AA253" i="7"/>
  <c r="Z253" i="7"/>
  <c r="Y253" i="7"/>
  <c r="X253" i="7"/>
  <c r="W253" i="7"/>
  <c r="V253" i="7"/>
  <c r="U253" i="7"/>
  <c r="T253" i="7"/>
  <c r="R253" i="7"/>
  <c r="P253" i="7"/>
  <c r="O253" i="7"/>
  <c r="N253" i="7"/>
  <c r="M253" i="7"/>
  <c r="L253" i="7"/>
  <c r="K253" i="7"/>
  <c r="J253" i="7"/>
  <c r="I253" i="7"/>
  <c r="H253" i="7"/>
  <c r="G253" i="7"/>
  <c r="F253" i="7"/>
  <c r="E253" i="7"/>
  <c r="D253" i="7"/>
  <c r="B253" i="7"/>
  <c r="DX220" i="7"/>
  <c r="DW220" i="7"/>
  <c r="DV220" i="7"/>
  <c r="DU220" i="7"/>
  <c r="DT220" i="7"/>
  <c r="DS220" i="7"/>
  <c r="DR220" i="7"/>
  <c r="DQ220" i="7"/>
  <c r="DP220" i="7"/>
  <c r="DO220" i="7"/>
  <c r="DN220" i="7"/>
  <c r="DM220" i="7"/>
  <c r="DL220" i="7"/>
  <c r="DK220" i="7"/>
  <c r="DJ220" i="7"/>
  <c r="DG220" i="7"/>
  <c r="DF220" i="7"/>
  <c r="DE220" i="7"/>
  <c r="DD220" i="7"/>
  <c r="DC220" i="7"/>
  <c r="DB220" i="7"/>
  <c r="DA220" i="7"/>
  <c r="CZ220" i="7"/>
  <c r="CY220" i="7"/>
  <c r="CX220" i="7"/>
  <c r="CW220" i="7"/>
  <c r="CV220" i="7"/>
  <c r="CU220" i="7"/>
  <c r="CT220" i="7"/>
  <c r="CR220" i="7"/>
  <c r="CQ220" i="7"/>
  <c r="CP220" i="7"/>
  <c r="CO220" i="7"/>
  <c r="CN220" i="7"/>
  <c r="CM220" i="7"/>
  <c r="CL220" i="7"/>
  <c r="CK220" i="7"/>
  <c r="CJ220" i="7"/>
  <c r="CI220" i="7"/>
  <c r="CH220" i="7"/>
  <c r="CG220" i="7"/>
  <c r="CF220" i="7"/>
  <c r="CE220" i="7"/>
  <c r="CD220" i="7"/>
  <c r="CB220" i="7"/>
  <c r="CA220" i="7"/>
  <c r="BZ220" i="7"/>
  <c r="BY220" i="7"/>
  <c r="BX220" i="7"/>
  <c r="BW220" i="7"/>
  <c r="BV220" i="7"/>
  <c r="BU220" i="7"/>
  <c r="BT220" i="7"/>
  <c r="BS220" i="7"/>
  <c r="BR220" i="7"/>
  <c r="BQ220" i="7"/>
  <c r="BP220" i="7"/>
  <c r="BO220" i="7"/>
  <c r="BN220" i="7"/>
  <c r="BL220" i="7"/>
  <c r="BK220" i="7"/>
  <c r="BJ220" i="7"/>
  <c r="BI220" i="7"/>
  <c r="BH220" i="7"/>
  <c r="BG220" i="7"/>
  <c r="BF220" i="7"/>
  <c r="BE220" i="7"/>
  <c r="BD220" i="7"/>
  <c r="BC220" i="7"/>
  <c r="BB220" i="7"/>
  <c r="BA220" i="7"/>
  <c r="AZ220" i="7"/>
  <c r="AY220" i="7"/>
  <c r="AX220" i="7"/>
  <c r="AV220" i="7"/>
  <c r="AU220" i="7"/>
  <c r="AT220" i="7"/>
  <c r="AS220" i="7"/>
  <c r="AR220" i="7"/>
  <c r="AQ220" i="7"/>
  <c r="AP220" i="7"/>
  <c r="AO220" i="7"/>
  <c r="AN220" i="7"/>
  <c r="AM220" i="7"/>
  <c r="AL220" i="7"/>
  <c r="AK220" i="7"/>
  <c r="AJ220" i="7"/>
  <c r="AI220" i="7"/>
  <c r="AH220" i="7"/>
  <c r="AF220" i="7"/>
  <c r="AE220" i="7"/>
  <c r="AD220" i="7"/>
  <c r="AC220" i="7"/>
  <c r="AB220" i="7"/>
  <c r="AA220" i="7"/>
  <c r="Z220" i="7"/>
  <c r="Y220" i="7"/>
  <c r="X220" i="7"/>
  <c r="W220" i="7"/>
  <c r="V220" i="7"/>
  <c r="U220" i="7"/>
  <c r="T220" i="7"/>
  <c r="S220" i="7"/>
  <c r="R220" i="7"/>
  <c r="P220" i="7"/>
  <c r="O220" i="7"/>
  <c r="N220" i="7"/>
  <c r="M220" i="7"/>
  <c r="L220" i="7"/>
  <c r="K220" i="7"/>
  <c r="J220" i="7"/>
  <c r="I220" i="7"/>
  <c r="H220" i="7"/>
  <c r="G220" i="7"/>
  <c r="F220" i="7"/>
  <c r="E220" i="7"/>
  <c r="D220" i="7"/>
  <c r="C220" i="7"/>
  <c r="B220" i="7"/>
  <c r="DX219" i="7"/>
  <c r="DW219" i="7"/>
  <c r="DV219" i="7"/>
  <c r="DU219" i="7"/>
  <c r="DT219" i="7"/>
  <c r="DS219" i="7"/>
  <c r="DR219" i="7"/>
  <c r="DQ219" i="7"/>
  <c r="DP219" i="7"/>
  <c r="DO219" i="7"/>
  <c r="DN219" i="7"/>
  <c r="DM219" i="7"/>
  <c r="DL219" i="7"/>
  <c r="DK219" i="7"/>
  <c r="DJ219" i="7"/>
  <c r="DG219" i="7"/>
  <c r="DF219" i="7"/>
  <c r="DE219" i="7"/>
  <c r="DD219" i="7"/>
  <c r="DC219" i="7"/>
  <c r="DB219" i="7"/>
  <c r="DA219" i="7"/>
  <c r="CZ219" i="7"/>
  <c r="CY219" i="7"/>
  <c r="CX219" i="7"/>
  <c r="CW219" i="7"/>
  <c r="CV219" i="7"/>
  <c r="CU219" i="7"/>
  <c r="CT219" i="7"/>
  <c r="CR219" i="7"/>
  <c r="CQ219" i="7"/>
  <c r="CP219" i="7"/>
  <c r="CO219" i="7"/>
  <c r="CN219" i="7"/>
  <c r="CM219" i="7"/>
  <c r="CL219" i="7"/>
  <c r="CK219" i="7"/>
  <c r="CJ219" i="7"/>
  <c r="CI219" i="7"/>
  <c r="CH219" i="7"/>
  <c r="CG219" i="7"/>
  <c r="CF219" i="7"/>
  <c r="CE219" i="7"/>
  <c r="CD219" i="7"/>
  <c r="CB219" i="7"/>
  <c r="CA219" i="7"/>
  <c r="BZ219" i="7"/>
  <c r="BY219" i="7"/>
  <c r="BX219" i="7"/>
  <c r="BW219" i="7"/>
  <c r="BV219" i="7"/>
  <c r="BU219" i="7"/>
  <c r="BT219" i="7"/>
  <c r="BS219" i="7"/>
  <c r="BR219" i="7"/>
  <c r="BQ219" i="7"/>
  <c r="BO219" i="7"/>
  <c r="BN219" i="7"/>
  <c r="BL219" i="7"/>
  <c r="BK219" i="7"/>
  <c r="BJ219" i="7"/>
  <c r="BI219" i="7"/>
  <c r="BH219" i="7"/>
  <c r="BG219" i="7"/>
  <c r="BF219" i="7"/>
  <c r="BE219" i="7"/>
  <c r="BD219" i="7"/>
  <c r="BC219" i="7"/>
  <c r="BB219" i="7"/>
  <c r="BA219" i="7"/>
  <c r="AZ219" i="7"/>
  <c r="AY219" i="7"/>
  <c r="AX219" i="7"/>
  <c r="AV219" i="7"/>
  <c r="AU219" i="7"/>
  <c r="AT219" i="7"/>
  <c r="AS219" i="7"/>
  <c r="AR219" i="7"/>
  <c r="AQ219" i="7"/>
  <c r="AP219" i="7"/>
  <c r="AO219" i="7"/>
  <c r="AN219" i="7"/>
  <c r="AM219" i="7"/>
  <c r="AL219" i="7"/>
  <c r="AK219" i="7"/>
  <c r="AJ219" i="7"/>
  <c r="AI219" i="7"/>
  <c r="AH219" i="7"/>
  <c r="AF219" i="7"/>
  <c r="AE219" i="7"/>
  <c r="AD219" i="7"/>
  <c r="AC219" i="7"/>
  <c r="AB219" i="7"/>
  <c r="AA219" i="7"/>
  <c r="Z219" i="7"/>
  <c r="Y219" i="7"/>
  <c r="X219" i="7"/>
  <c r="W219" i="7"/>
  <c r="V219" i="7"/>
  <c r="U219" i="7"/>
  <c r="T219" i="7"/>
  <c r="S219" i="7"/>
  <c r="R219" i="7"/>
  <c r="P219" i="7"/>
  <c r="O219" i="7"/>
  <c r="N219" i="7"/>
  <c r="M219" i="7"/>
  <c r="L219" i="7"/>
  <c r="K219" i="7"/>
  <c r="J219" i="7"/>
  <c r="I219" i="7"/>
  <c r="H219" i="7"/>
  <c r="G219" i="7"/>
  <c r="F219" i="7"/>
  <c r="E219" i="7"/>
  <c r="D219" i="7"/>
  <c r="B219" i="7"/>
  <c r="DX187" i="7"/>
  <c r="DW187" i="7"/>
  <c r="DV187" i="7"/>
  <c r="DU187" i="7"/>
  <c r="DT187" i="7"/>
  <c r="DS187" i="7"/>
  <c r="DR187" i="7"/>
  <c r="DQ187" i="7"/>
  <c r="DP187" i="7"/>
  <c r="DO187" i="7"/>
  <c r="DN187" i="7"/>
  <c r="DM187" i="7"/>
  <c r="DL187" i="7"/>
  <c r="DK187" i="7"/>
  <c r="DJ187" i="7"/>
  <c r="DH187" i="7"/>
  <c r="DG187" i="7"/>
  <c r="DF187" i="7"/>
  <c r="DE187" i="7"/>
  <c r="DD187" i="7"/>
  <c r="DC187" i="7"/>
  <c r="DB187" i="7"/>
  <c r="DA187" i="7"/>
  <c r="CZ187" i="7"/>
  <c r="CY187" i="7"/>
  <c r="CX187" i="7"/>
  <c r="CW187" i="7"/>
  <c r="CV187" i="7"/>
  <c r="CU187" i="7"/>
  <c r="CT187" i="7"/>
  <c r="CR187" i="7"/>
  <c r="CQ187" i="7"/>
  <c r="CP187" i="7"/>
  <c r="CO187" i="7"/>
  <c r="CN187" i="7"/>
  <c r="CM187" i="7"/>
  <c r="CL187" i="7"/>
  <c r="CK187" i="7"/>
  <c r="CJ187" i="7"/>
  <c r="CI187" i="7"/>
  <c r="CH187" i="7"/>
  <c r="CG187" i="7"/>
  <c r="CF187" i="7"/>
  <c r="CE187" i="7"/>
  <c r="CD187" i="7"/>
  <c r="CB187" i="7"/>
  <c r="CA187" i="7"/>
  <c r="BZ187" i="7"/>
  <c r="BY187" i="7"/>
  <c r="BX187" i="7"/>
  <c r="BW187" i="7"/>
  <c r="BV187" i="7"/>
  <c r="BU187" i="7"/>
  <c r="BT187" i="7"/>
  <c r="BS187" i="7"/>
  <c r="BR187" i="7"/>
  <c r="BQ187" i="7"/>
  <c r="BP187" i="7"/>
  <c r="BO187" i="7"/>
  <c r="BN187" i="7"/>
  <c r="BL187" i="7"/>
  <c r="BK187" i="7"/>
  <c r="BJ187" i="7"/>
  <c r="BI187" i="7"/>
  <c r="BH187" i="7"/>
  <c r="BG187" i="7"/>
  <c r="BF187" i="7"/>
  <c r="BE187" i="7"/>
  <c r="BD187" i="7"/>
  <c r="BC187" i="7"/>
  <c r="BB187" i="7"/>
  <c r="BA187" i="7"/>
  <c r="AZ187" i="7"/>
  <c r="AY187" i="7"/>
  <c r="AX187" i="7"/>
  <c r="AV187" i="7"/>
  <c r="AU187" i="7"/>
  <c r="AT187" i="7"/>
  <c r="AS187" i="7"/>
  <c r="AR187" i="7"/>
  <c r="AQ187" i="7"/>
  <c r="AP187" i="7"/>
  <c r="AO187" i="7"/>
  <c r="AN187" i="7"/>
  <c r="AM187" i="7"/>
  <c r="AL187" i="7"/>
  <c r="AK187" i="7"/>
  <c r="AJ187" i="7"/>
  <c r="AI187" i="7"/>
  <c r="AH187" i="7"/>
  <c r="AF187" i="7"/>
  <c r="AE187" i="7"/>
  <c r="AD187" i="7"/>
  <c r="AC187" i="7"/>
  <c r="AB187" i="7"/>
  <c r="AA187" i="7"/>
  <c r="Z187" i="7"/>
  <c r="Y187" i="7"/>
  <c r="X187" i="7"/>
  <c r="W187" i="7"/>
  <c r="V187" i="7"/>
  <c r="U187" i="7"/>
  <c r="T187" i="7"/>
  <c r="S187" i="7"/>
  <c r="R187" i="7"/>
  <c r="P187" i="7"/>
  <c r="O187" i="7"/>
  <c r="N187" i="7"/>
  <c r="M187" i="7"/>
  <c r="L187" i="7"/>
  <c r="K187" i="7"/>
  <c r="J187" i="7"/>
  <c r="I187" i="7"/>
  <c r="H187" i="7"/>
  <c r="G187" i="7"/>
  <c r="F187" i="7"/>
  <c r="E187" i="7"/>
  <c r="D187" i="7"/>
  <c r="C187" i="7"/>
  <c r="B187" i="7"/>
  <c r="DX186" i="7"/>
  <c r="DW186" i="7"/>
  <c r="DV186" i="7"/>
  <c r="DU186" i="7"/>
  <c r="DT186" i="7"/>
  <c r="DS186" i="7"/>
  <c r="DR186" i="7"/>
  <c r="DQ186" i="7"/>
  <c r="DP186" i="7"/>
  <c r="DO186" i="7"/>
  <c r="DN186" i="7"/>
  <c r="DM186" i="7"/>
  <c r="DL186" i="7"/>
  <c r="DK186" i="7"/>
  <c r="DJ186" i="7"/>
  <c r="DH186" i="7"/>
  <c r="DG186" i="7"/>
  <c r="DF186" i="7"/>
  <c r="DE186" i="7"/>
  <c r="DD186" i="7"/>
  <c r="DC186" i="7"/>
  <c r="DB186" i="7"/>
  <c r="DA186" i="7"/>
  <c r="CZ186" i="7"/>
  <c r="CY186" i="7"/>
  <c r="CX186" i="7"/>
  <c r="CW186" i="7"/>
  <c r="CV186" i="7"/>
  <c r="CU186" i="7"/>
  <c r="CT186" i="7"/>
  <c r="CR186" i="7"/>
  <c r="CQ186" i="7"/>
  <c r="CP186" i="7"/>
  <c r="CO186" i="7"/>
  <c r="CN186" i="7"/>
  <c r="CM186" i="7"/>
  <c r="CL186" i="7"/>
  <c r="CK186" i="7"/>
  <c r="CJ186" i="7"/>
  <c r="CI186" i="7"/>
  <c r="CH186" i="7"/>
  <c r="CG186" i="7"/>
  <c r="CF186" i="7"/>
  <c r="CE186" i="7"/>
  <c r="CD186" i="7"/>
  <c r="CB186" i="7"/>
  <c r="CA186" i="7"/>
  <c r="BZ186" i="7"/>
  <c r="BY186" i="7"/>
  <c r="BX186" i="7"/>
  <c r="BW186" i="7"/>
  <c r="BV186" i="7"/>
  <c r="BU186" i="7"/>
  <c r="BT186" i="7"/>
  <c r="BS186" i="7"/>
  <c r="BR186" i="7"/>
  <c r="BQ186" i="7"/>
  <c r="BP186" i="7"/>
  <c r="BO186" i="7"/>
  <c r="BN186" i="7"/>
  <c r="BL186" i="7"/>
  <c r="BK186" i="7"/>
  <c r="BJ186" i="7"/>
  <c r="BI186" i="7"/>
  <c r="BH186" i="7"/>
  <c r="BG186" i="7"/>
  <c r="BF186" i="7"/>
  <c r="BE186" i="7"/>
  <c r="BD186" i="7"/>
  <c r="BC186" i="7"/>
  <c r="BB186" i="7"/>
  <c r="BA186" i="7"/>
  <c r="AZ186" i="7"/>
  <c r="AY186" i="7"/>
  <c r="AX186" i="7"/>
  <c r="AV186" i="7"/>
  <c r="AU186" i="7"/>
  <c r="AT186" i="7"/>
  <c r="AS186" i="7"/>
  <c r="AR186" i="7"/>
  <c r="AQ186" i="7"/>
  <c r="AP186" i="7"/>
  <c r="AO186" i="7"/>
  <c r="AN186" i="7"/>
  <c r="AM186" i="7"/>
  <c r="AL186" i="7"/>
  <c r="AK186" i="7"/>
  <c r="AJ186" i="7"/>
  <c r="AI186" i="7"/>
  <c r="AH186" i="7"/>
  <c r="AF186" i="7"/>
  <c r="AE186" i="7"/>
  <c r="AD186" i="7"/>
  <c r="AC186" i="7"/>
  <c r="AB186" i="7"/>
  <c r="AA186" i="7"/>
  <c r="Z186" i="7"/>
  <c r="Y186" i="7"/>
  <c r="X186" i="7"/>
  <c r="W186" i="7"/>
  <c r="V186" i="7"/>
  <c r="U186" i="7"/>
  <c r="T186" i="7"/>
  <c r="S186" i="7"/>
  <c r="R186" i="7"/>
  <c r="P186" i="7"/>
  <c r="O186" i="7"/>
  <c r="N186" i="7"/>
  <c r="M186" i="7"/>
  <c r="L186" i="7"/>
  <c r="K186" i="7"/>
  <c r="J186" i="7"/>
  <c r="I186" i="7"/>
  <c r="H186" i="7"/>
  <c r="G186" i="7"/>
  <c r="F186" i="7"/>
  <c r="E186" i="7"/>
  <c r="D186" i="7"/>
  <c r="C186" i="7"/>
  <c r="B186" i="7"/>
  <c r="DX153" i="7"/>
  <c r="DW153" i="7"/>
  <c r="DV153" i="7"/>
  <c r="DU153" i="7"/>
  <c r="DT153" i="7"/>
  <c r="DS153" i="7"/>
  <c r="DR153" i="7"/>
  <c r="DQ153" i="7"/>
  <c r="DP153" i="7"/>
  <c r="DO153" i="7"/>
  <c r="DN153" i="7"/>
  <c r="DM153" i="7"/>
  <c r="DL153" i="7"/>
  <c r="DK153" i="7"/>
  <c r="DJ153" i="7"/>
  <c r="DH153" i="7"/>
  <c r="DG153" i="7"/>
  <c r="DF153" i="7"/>
  <c r="DE153" i="7"/>
  <c r="DD153" i="7"/>
  <c r="DC153" i="7"/>
  <c r="DB153" i="7"/>
  <c r="DA153" i="7"/>
  <c r="CZ153" i="7"/>
  <c r="CY153" i="7"/>
  <c r="CX153" i="7"/>
  <c r="CW153" i="7"/>
  <c r="CV153" i="7"/>
  <c r="CU153" i="7"/>
  <c r="CT153" i="7"/>
  <c r="CR153" i="7"/>
  <c r="CQ153" i="7"/>
  <c r="CP153" i="7"/>
  <c r="CO153" i="7"/>
  <c r="CN153" i="7"/>
  <c r="CM153" i="7"/>
  <c r="CL153" i="7"/>
  <c r="CK153" i="7"/>
  <c r="CJ153" i="7"/>
  <c r="CI153" i="7"/>
  <c r="CH153" i="7"/>
  <c r="CG153" i="7"/>
  <c r="CF153" i="7"/>
  <c r="CE153" i="7"/>
  <c r="CD153" i="7"/>
  <c r="CB153" i="7"/>
  <c r="CA153" i="7"/>
  <c r="BZ153" i="7"/>
  <c r="BY153" i="7"/>
  <c r="BX153" i="7"/>
  <c r="BW153" i="7"/>
  <c r="BV153" i="7"/>
  <c r="BU153" i="7"/>
  <c r="BT153" i="7"/>
  <c r="BS153" i="7"/>
  <c r="BR153" i="7"/>
  <c r="BQ153" i="7"/>
  <c r="BP153" i="7"/>
  <c r="BO153" i="7"/>
  <c r="BN153" i="7"/>
  <c r="BL153" i="7"/>
  <c r="BK153" i="7"/>
  <c r="BJ153" i="7"/>
  <c r="BI153" i="7"/>
  <c r="BH153" i="7"/>
  <c r="BG153" i="7"/>
  <c r="BF153" i="7"/>
  <c r="BE153" i="7"/>
  <c r="BD153" i="7"/>
  <c r="BC153" i="7"/>
  <c r="BB153" i="7"/>
  <c r="BA153" i="7"/>
  <c r="AZ153" i="7"/>
  <c r="AY153" i="7"/>
  <c r="AX153" i="7"/>
  <c r="AV153" i="7"/>
  <c r="AU153" i="7"/>
  <c r="AT153" i="7"/>
  <c r="AS153" i="7"/>
  <c r="AR153" i="7"/>
  <c r="AQ153" i="7"/>
  <c r="AP153" i="7"/>
  <c r="AO153" i="7"/>
  <c r="AN153" i="7"/>
  <c r="AM153" i="7"/>
  <c r="AL153" i="7"/>
  <c r="AK153" i="7"/>
  <c r="AJ153" i="7"/>
  <c r="AI153" i="7"/>
  <c r="AH153" i="7"/>
  <c r="AF153" i="7"/>
  <c r="AE153" i="7"/>
  <c r="AD153" i="7"/>
  <c r="AC153" i="7"/>
  <c r="AB153" i="7"/>
  <c r="AA153" i="7"/>
  <c r="Z153" i="7"/>
  <c r="Y153" i="7"/>
  <c r="X153" i="7"/>
  <c r="W153" i="7"/>
  <c r="V153" i="7"/>
  <c r="U153" i="7"/>
  <c r="T153" i="7"/>
  <c r="S153" i="7"/>
  <c r="R153" i="7"/>
  <c r="P153" i="7"/>
  <c r="O153" i="7"/>
  <c r="N153" i="7"/>
  <c r="M153" i="7"/>
  <c r="L153" i="7"/>
  <c r="K153" i="7"/>
  <c r="J153" i="7"/>
  <c r="I153" i="7"/>
  <c r="H153" i="7"/>
  <c r="G153" i="7"/>
  <c r="F153" i="7"/>
  <c r="E153" i="7"/>
  <c r="D153" i="7"/>
  <c r="C153" i="7"/>
  <c r="B153" i="7"/>
  <c r="DX152" i="7"/>
  <c r="DW152" i="7"/>
  <c r="DV152" i="7"/>
  <c r="DU152" i="7"/>
  <c r="DT152" i="7"/>
  <c r="DS152" i="7"/>
  <c r="DR152" i="7"/>
  <c r="DQ152" i="7"/>
  <c r="DP152" i="7"/>
  <c r="DO152" i="7"/>
  <c r="DN152" i="7"/>
  <c r="DM152" i="7"/>
  <c r="DL152" i="7"/>
  <c r="DK152" i="7"/>
  <c r="DJ152" i="7"/>
  <c r="DH152" i="7"/>
  <c r="DG152" i="7"/>
  <c r="DF152" i="7"/>
  <c r="DE152" i="7"/>
  <c r="DD152" i="7"/>
  <c r="DC152" i="7"/>
  <c r="DB152" i="7"/>
  <c r="DA152" i="7"/>
  <c r="CZ152" i="7"/>
  <c r="CY152" i="7"/>
  <c r="CX152" i="7"/>
  <c r="CW152" i="7"/>
  <c r="CV152" i="7"/>
  <c r="CU152" i="7"/>
  <c r="CT152" i="7"/>
  <c r="CR152" i="7"/>
  <c r="CQ152" i="7"/>
  <c r="CP152" i="7"/>
  <c r="CO152" i="7"/>
  <c r="CN152" i="7"/>
  <c r="CM152" i="7"/>
  <c r="CL152" i="7"/>
  <c r="CK152" i="7"/>
  <c r="CJ152" i="7"/>
  <c r="CI152" i="7"/>
  <c r="CH152" i="7"/>
  <c r="CG152" i="7"/>
  <c r="CF152" i="7"/>
  <c r="CE152" i="7"/>
  <c r="CD152" i="7"/>
  <c r="CB152" i="7"/>
  <c r="CA152" i="7"/>
  <c r="BZ152" i="7"/>
  <c r="BY152" i="7"/>
  <c r="BX152" i="7"/>
  <c r="BW152" i="7"/>
  <c r="BV152" i="7"/>
  <c r="BU152" i="7"/>
  <c r="BT152" i="7"/>
  <c r="BS152" i="7"/>
  <c r="BR152" i="7"/>
  <c r="BQ152" i="7"/>
  <c r="BP152" i="7"/>
  <c r="BO152" i="7"/>
  <c r="BN152" i="7"/>
  <c r="BL152" i="7"/>
  <c r="BK152" i="7"/>
  <c r="BJ152" i="7"/>
  <c r="BI152" i="7"/>
  <c r="BH152" i="7"/>
  <c r="BG152" i="7"/>
  <c r="BF152" i="7"/>
  <c r="BE152" i="7"/>
  <c r="BD152" i="7"/>
  <c r="BC152" i="7"/>
  <c r="BB152" i="7"/>
  <c r="BA152" i="7"/>
  <c r="AZ152" i="7"/>
  <c r="AY152" i="7"/>
  <c r="AX152" i="7"/>
  <c r="AV152" i="7"/>
  <c r="AU152" i="7"/>
  <c r="AT152" i="7"/>
  <c r="AS152" i="7"/>
  <c r="AR152" i="7"/>
  <c r="AQ152" i="7"/>
  <c r="AP152" i="7"/>
  <c r="AO152" i="7"/>
  <c r="AN152" i="7"/>
  <c r="AM152" i="7"/>
  <c r="AL152" i="7"/>
  <c r="AK152" i="7"/>
  <c r="AJ152" i="7"/>
  <c r="AI152" i="7"/>
  <c r="AH152" i="7"/>
  <c r="AF152" i="7"/>
  <c r="AE152" i="7"/>
  <c r="AD152" i="7"/>
  <c r="AC152" i="7"/>
  <c r="AB152" i="7"/>
  <c r="AA152" i="7"/>
  <c r="Z152" i="7"/>
  <c r="Y152" i="7"/>
  <c r="X152" i="7"/>
  <c r="W152" i="7"/>
  <c r="V152" i="7"/>
  <c r="U152" i="7"/>
  <c r="T152" i="7"/>
  <c r="S152" i="7"/>
  <c r="R152" i="7"/>
  <c r="P152" i="7"/>
  <c r="O152" i="7"/>
  <c r="N152" i="7"/>
  <c r="M152" i="7"/>
  <c r="L152" i="7"/>
  <c r="K152" i="7"/>
  <c r="J152" i="7"/>
  <c r="I152" i="7"/>
  <c r="H152" i="7"/>
  <c r="G152" i="7"/>
  <c r="F152" i="7"/>
  <c r="E152" i="7"/>
  <c r="D152" i="7"/>
  <c r="C152" i="7"/>
  <c r="B152" i="7"/>
  <c r="DX120" i="7"/>
  <c r="DW120" i="7"/>
  <c r="DV120" i="7"/>
  <c r="DU120" i="7"/>
  <c r="DT120" i="7"/>
  <c r="DS120" i="7"/>
  <c r="DR120" i="7"/>
  <c r="DQ120" i="7"/>
  <c r="DP120" i="7"/>
  <c r="DO120" i="7"/>
  <c r="DN120" i="7"/>
  <c r="DM120" i="7"/>
  <c r="DL120" i="7"/>
  <c r="DK120" i="7"/>
  <c r="DJ120" i="7"/>
  <c r="DH120" i="7"/>
  <c r="DG120" i="7"/>
  <c r="DF120" i="7"/>
  <c r="DE120" i="7"/>
  <c r="DD120" i="7"/>
  <c r="DC120" i="7"/>
  <c r="DB120" i="7"/>
  <c r="DA120" i="7"/>
  <c r="CZ120" i="7"/>
  <c r="CY120" i="7"/>
  <c r="CX120" i="7"/>
  <c r="CW120" i="7"/>
  <c r="CV120" i="7"/>
  <c r="CU120" i="7"/>
  <c r="CT120" i="7"/>
  <c r="CR120" i="7"/>
  <c r="CQ120" i="7"/>
  <c r="CP120" i="7"/>
  <c r="CO120" i="7"/>
  <c r="CN120" i="7"/>
  <c r="CM120" i="7"/>
  <c r="CL120" i="7"/>
  <c r="CK120" i="7"/>
  <c r="CJ120" i="7"/>
  <c r="CI120" i="7"/>
  <c r="CH120" i="7"/>
  <c r="CG120" i="7"/>
  <c r="CF120" i="7"/>
  <c r="CE120" i="7"/>
  <c r="CD120" i="7"/>
  <c r="CB120" i="7"/>
  <c r="CA120" i="7"/>
  <c r="BZ120" i="7"/>
  <c r="BY120" i="7"/>
  <c r="BX120" i="7"/>
  <c r="BW120" i="7"/>
  <c r="BV120" i="7"/>
  <c r="BU120" i="7"/>
  <c r="BT120" i="7"/>
  <c r="BS120" i="7"/>
  <c r="BR120" i="7"/>
  <c r="BQ120" i="7"/>
  <c r="BP120" i="7"/>
  <c r="BO120" i="7"/>
  <c r="BN120" i="7"/>
  <c r="BL120" i="7"/>
  <c r="BK120" i="7"/>
  <c r="BJ120" i="7"/>
  <c r="BI120" i="7"/>
  <c r="BH120" i="7"/>
  <c r="BG120" i="7"/>
  <c r="BF120" i="7"/>
  <c r="BE120" i="7"/>
  <c r="BD120" i="7"/>
  <c r="BC120" i="7"/>
  <c r="BB120" i="7"/>
  <c r="BA120" i="7"/>
  <c r="AZ120" i="7"/>
  <c r="AY120" i="7"/>
  <c r="AX120" i="7"/>
  <c r="AV120" i="7"/>
  <c r="AU120" i="7"/>
  <c r="AT120" i="7"/>
  <c r="AS120" i="7"/>
  <c r="AR120" i="7"/>
  <c r="AQ120" i="7"/>
  <c r="AP120" i="7"/>
  <c r="AO120" i="7"/>
  <c r="AN120" i="7"/>
  <c r="AM120" i="7"/>
  <c r="AL120" i="7"/>
  <c r="AK120" i="7"/>
  <c r="AJ120" i="7"/>
  <c r="AI120" i="7"/>
  <c r="AH120" i="7"/>
  <c r="AF120" i="7"/>
  <c r="AE120" i="7"/>
  <c r="AD120" i="7"/>
  <c r="AC120" i="7"/>
  <c r="AB120" i="7"/>
  <c r="AA120" i="7"/>
  <c r="Z120" i="7"/>
  <c r="Y120" i="7"/>
  <c r="X120" i="7"/>
  <c r="W120" i="7"/>
  <c r="V120" i="7"/>
  <c r="U120" i="7"/>
  <c r="T120" i="7"/>
  <c r="S120" i="7"/>
  <c r="R120" i="7"/>
  <c r="P120" i="7"/>
  <c r="O120" i="7"/>
  <c r="N120" i="7"/>
  <c r="M120" i="7"/>
  <c r="L120" i="7"/>
  <c r="K120" i="7"/>
  <c r="J120" i="7"/>
  <c r="I120" i="7"/>
  <c r="H120" i="7"/>
  <c r="G120" i="7"/>
  <c r="F120" i="7"/>
  <c r="E120" i="7"/>
  <c r="D120" i="7"/>
  <c r="C120" i="7"/>
  <c r="B120" i="7"/>
  <c r="DX119" i="7"/>
  <c r="DW119" i="7"/>
  <c r="DV119" i="7"/>
  <c r="DU119" i="7"/>
  <c r="DT119" i="7"/>
  <c r="DS119" i="7"/>
  <c r="DR119" i="7"/>
  <c r="DQ119" i="7"/>
  <c r="DP119" i="7"/>
  <c r="DO119" i="7"/>
  <c r="DN119" i="7"/>
  <c r="DM119" i="7"/>
  <c r="DL119" i="7"/>
  <c r="DK119" i="7"/>
  <c r="DJ119" i="7"/>
  <c r="DH119" i="7"/>
  <c r="DG119" i="7"/>
  <c r="DF119" i="7"/>
  <c r="DE119" i="7"/>
  <c r="DD119" i="7"/>
  <c r="DC119" i="7"/>
  <c r="DB119" i="7"/>
  <c r="DA119" i="7"/>
  <c r="CZ119" i="7"/>
  <c r="CY119" i="7"/>
  <c r="CX119" i="7"/>
  <c r="CW119" i="7"/>
  <c r="CV119" i="7"/>
  <c r="CU119" i="7"/>
  <c r="CT119" i="7"/>
  <c r="CR119" i="7"/>
  <c r="CQ119" i="7"/>
  <c r="CP119" i="7"/>
  <c r="CO119" i="7"/>
  <c r="CN119" i="7"/>
  <c r="CM119" i="7"/>
  <c r="CL119" i="7"/>
  <c r="CK119" i="7"/>
  <c r="CJ119" i="7"/>
  <c r="CI119" i="7"/>
  <c r="CH119" i="7"/>
  <c r="CG119" i="7"/>
  <c r="CF119" i="7"/>
  <c r="CE119" i="7"/>
  <c r="CD119" i="7"/>
  <c r="CB119" i="7"/>
  <c r="CA119" i="7"/>
  <c r="BZ119" i="7"/>
  <c r="BY119" i="7"/>
  <c r="BX119" i="7"/>
  <c r="BW119" i="7"/>
  <c r="BV119" i="7"/>
  <c r="BU119" i="7"/>
  <c r="BT119" i="7"/>
  <c r="BS119" i="7"/>
  <c r="BR119" i="7"/>
  <c r="BQ119" i="7"/>
  <c r="BP119" i="7"/>
  <c r="BO119" i="7"/>
  <c r="BN119" i="7"/>
  <c r="BL119" i="7"/>
  <c r="BK119" i="7"/>
  <c r="BJ119" i="7"/>
  <c r="BI119" i="7"/>
  <c r="BH119" i="7"/>
  <c r="BG119" i="7"/>
  <c r="BF119" i="7"/>
  <c r="BE119" i="7"/>
  <c r="BD119" i="7"/>
  <c r="BC119" i="7"/>
  <c r="BB119" i="7"/>
  <c r="BA119" i="7"/>
  <c r="AZ119" i="7"/>
  <c r="AY119" i="7"/>
  <c r="AX119" i="7"/>
  <c r="AV119" i="7"/>
  <c r="AU119" i="7"/>
  <c r="AT119" i="7"/>
  <c r="AS119" i="7"/>
  <c r="AR119" i="7"/>
  <c r="AQ119" i="7"/>
  <c r="AP119" i="7"/>
  <c r="AO119" i="7"/>
  <c r="AN119" i="7"/>
  <c r="AM119" i="7"/>
  <c r="AL119" i="7"/>
  <c r="AK119" i="7"/>
  <c r="AJ119" i="7"/>
  <c r="AI119" i="7"/>
  <c r="AH119" i="7"/>
  <c r="AF119" i="7"/>
  <c r="AE119" i="7"/>
  <c r="AD119" i="7"/>
  <c r="AB119" i="7"/>
  <c r="AA119" i="7"/>
  <c r="Z119" i="7"/>
  <c r="Y119" i="7"/>
  <c r="X119" i="7"/>
  <c r="W119" i="7"/>
  <c r="V119" i="7"/>
  <c r="U119" i="7"/>
  <c r="T119" i="7"/>
  <c r="S119" i="7"/>
  <c r="R119" i="7"/>
  <c r="P119" i="7"/>
  <c r="O119" i="7"/>
  <c r="N119" i="7"/>
  <c r="M119" i="7"/>
  <c r="L119" i="7"/>
  <c r="K119" i="7"/>
  <c r="J119" i="7"/>
  <c r="I119" i="7"/>
  <c r="H119" i="7"/>
  <c r="G119" i="7"/>
  <c r="F119" i="7"/>
  <c r="E119" i="7"/>
  <c r="D119" i="7"/>
  <c r="C119" i="7"/>
  <c r="B119" i="7"/>
  <c r="DX86" i="7"/>
  <c r="DW86" i="7"/>
  <c r="DV86" i="7"/>
  <c r="DU86" i="7"/>
  <c r="DT86" i="7"/>
  <c r="DS86" i="7"/>
  <c r="DR86" i="7"/>
  <c r="DQ86" i="7"/>
  <c r="DP86" i="7"/>
  <c r="DO86" i="7"/>
  <c r="DN86" i="7"/>
  <c r="DM86" i="7"/>
  <c r="DL86" i="7"/>
  <c r="DK86" i="7"/>
  <c r="DJ86" i="7"/>
  <c r="DH86" i="7"/>
  <c r="DG86" i="7"/>
  <c r="DF86" i="7"/>
  <c r="DE86" i="7"/>
  <c r="DD86" i="7"/>
  <c r="DC86" i="7"/>
  <c r="DB86" i="7"/>
  <c r="DA86" i="7"/>
  <c r="CZ86" i="7"/>
  <c r="CY86" i="7"/>
  <c r="CX86" i="7"/>
  <c r="CW86" i="7"/>
  <c r="CV86" i="7"/>
  <c r="CU86" i="7"/>
  <c r="CT86" i="7"/>
  <c r="CR86" i="7"/>
  <c r="CQ86" i="7"/>
  <c r="CP86" i="7"/>
  <c r="CO86" i="7"/>
  <c r="CN86" i="7"/>
  <c r="CM86" i="7"/>
  <c r="CL86" i="7"/>
  <c r="CK86" i="7"/>
  <c r="CJ86" i="7"/>
  <c r="CI86" i="7"/>
  <c r="CH86" i="7"/>
  <c r="CG86" i="7"/>
  <c r="CF86" i="7"/>
  <c r="CE86" i="7"/>
  <c r="CD86" i="7"/>
  <c r="CB86" i="7"/>
  <c r="CA86" i="7"/>
  <c r="BZ86" i="7"/>
  <c r="BY86" i="7"/>
  <c r="BX86" i="7"/>
  <c r="BW86" i="7"/>
  <c r="BV86" i="7"/>
  <c r="BU86" i="7"/>
  <c r="BT86" i="7"/>
  <c r="BS86" i="7"/>
  <c r="BR86" i="7"/>
  <c r="BQ86" i="7"/>
  <c r="BP86" i="7"/>
  <c r="BO86" i="7"/>
  <c r="BN86" i="7"/>
  <c r="BL86" i="7"/>
  <c r="BK86" i="7"/>
  <c r="BJ86" i="7"/>
  <c r="BI86" i="7"/>
  <c r="BH86" i="7"/>
  <c r="BG86" i="7"/>
  <c r="BF86" i="7"/>
  <c r="BE86" i="7"/>
  <c r="BD86" i="7"/>
  <c r="BC86" i="7"/>
  <c r="BB86" i="7"/>
  <c r="BA86" i="7"/>
  <c r="AZ86" i="7"/>
  <c r="AY86" i="7"/>
  <c r="AX86" i="7"/>
  <c r="AV86" i="7"/>
  <c r="AU86" i="7"/>
  <c r="AT86" i="7"/>
  <c r="AS86" i="7"/>
  <c r="AR86" i="7"/>
  <c r="AQ86" i="7"/>
  <c r="AP86" i="7"/>
  <c r="AO86" i="7"/>
  <c r="AN86" i="7"/>
  <c r="AM86" i="7"/>
  <c r="AL86" i="7"/>
  <c r="AK86" i="7"/>
  <c r="AJ86" i="7"/>
  <c r="AI86" i="7"/>
  <c r="AH86" i="7"/>
  <c r="AF86" i="7"/>
  <c r="AE86" i="7"/>
  <c r="AD86" i="7"/>
  <c r="AC86" i="7"/>
  <c r="AB86" i="7"/>
  <c r="AA86" i="7"/>
  <c r="Z86" i="7"/>
  <c r="Y86" i="7"/>
  <c r="X86" i="7"/>
  <c r="W86" i="7"/>
  <c r="V86" i="7"/>
  <c r="U86" i="7"/>
  <c r="T86" i="7"/>
  <c r="S86" i="7"/>
  <c r="R86" i="7"/>
  <c r="P86" i="7"/>
  <c r="O86" i="7"/>
  <c r="N86" i="7"/>
  <c r="M86" i="7"/>
  <c r="L86" i="7"/>
  <c r="K86" i="7"/>
  <c r="J86" i="7"/>
  <c r="I86" i="7"/>
  <c r="H86" i="7"/>
  <c r="G86" i="7"/>
  <c r="F86" i="7"/>
  <c r="E86" i="7"/>
  <c r="D86" i="7"/>
  <c r="C86" i="7"/>
  <c r="B86" i="7"/>
  <c r="DX54" i="7"/>
  <c r="DW54" i="7"/>
  <c r="DV54" i="7"/>
  <c r="DU54" i="7"/>
  <c r="DT54" i="7"/>
  <c r="DS54" i="7"/>
  <c r="DR54" i="7"/>
  <c r="DQ54" i="7"/>
  <c r="DP54" i="7"/>
  <c r="DO54" i="7"/>
  <c r="DN54" i="7"/>
  <c r="DM54" i="7"/>
  <c r="DL54" i="7"/>
  <c r="DK54" i="7"/>
  <c r="DJ54" i="7"/>
  <c r="DH54" i="7"/>
  <c r="DG54" i="7"/>
  <c r="DF54" i="7"/>
  <c r="DE54" i="7"/>
  <c r="DD54" i="7"/>
  <c r="DC54" i="7"/>
  <c r="DB54" i="7"/>
  <c r="DA54" i="7"/>
  <c r="CZ54" i="7"/>
  <c r="CY54" i="7"/>
  <c r="CX54" i="7"/>
  <c r="CW54" i="7"/>
  <c r="CV54" i="7"/>
  <c r="CU54" i="7"/>
  <c r="CT54" i="7"/>
  <c r="CR54" i="7"/>
  <c r="CQ54" i="7"/>
  <c r="CP54" i="7"/>
  <c r="CO54" i="7"/>
  <c r="CN54" i="7"/>
  <c r="CM54" i="7"/>
  <c r="CL54" i="7"/>
  <c r="CK54" i="7"/>
  <c r="CJ54" i="7"/>
  <c r="CI54" i="7"/>
  <c r="CH54" i="7"/>
  <c r="CG54" i="7"/>
  <c r="CF54" i="7"/>
  <c r="CE54" i="7"/>
  <c r="CD54" i="7"/>
  <c r="CB54" i="7"/>
  <c r="CA54" i="7"/>
  <c r="BZ54" i="7"/>
  <c r="BY54" i="7"/>
  <c r="BX54" i="7"/>
  <c r="BW54" i="7"/>
  <c r="BV54" i="7"/>
  <c r="BU54" i="7"/>
  <c r="BT54" i="7"/>
  <c r="BS54" i="7"/>
  <c r="BR54" i="7"/>
  <c r="BQ54" i="7"/>
  <c r="BP54" i="7"/>
  <c r="BO54" i="7"/>
  <c r="BN54" i="7"/>
  <c r="BL54" i="7"/>
  <c r="BK54" i="7"/>
  <c r="BJ54" i="7"/>
  <c r="BI54" i="7"/>
  <c r="BH54" i="7"/>
  <c r="BG54" i="7"/>
  <c r="BF54" i="7"/>
  <c r="BE54" i="7"/>
  <c r="BD54" i="7"/>
  <c r="BC54" i="7"/>
  <c r="BB54" i="7"/>
  <c r="BA54" i="7"/>
  <c r="AZ54" i="7"/>
  <c r="AY54" i="7"/>
  <c r="AX54" i="7"/>
  <c r="AV54" i="7"/>
  <c r="AU54" i="7"/>
  <c r="AT54" i="7"/>
  <c r="AS54" i="7"/>
  <c r="AR54" i="7"/>
  <c r="AQ54" i="7"/>
  <c r="AP54" i="7"/>
  <c r="AO54" i="7"/>
  <c r="AN54" i="7"/>
  <c r="AM54" i="7"/>
  <c r="AL54" i="7"/>
  <c r="AK54" i="7"/>
  <c r="AJ54" i="7"/>
  <c r="AI54" i="7"/>
  <c r="AH54" i="7"/>
  <c r="AF54" i="7"/>
  <c r="AE54" i="7"/>
  <c r="AD54" i="7"/>
  <c r="AC54" i="7"/>
  <c r="AB54" i="7"/>
  <c r="AA54" i="7"/>
  <c r="Z54" i="7"/>
  <c r="Y54" i="7"/>
  <c r="X54" i="7"/>
  <c r="W54" i="7"/>
  <c r="V54" i="7"/>
  <c r="U54" i="7"/>
  <c r="T54" i="7"/>
  <c r="S54" i="7"/>
  <c r="R54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C54" i="7"/>
  <c r="B54" i="7"/>
  <c r="DX53" i="7"/>
  <c r="DW53" i="7"/>
  <c r="DV53" i="7"/>
  <c r="DU53" i="7"/>
  <c r="DT53" i="7"/>
  <c r="DS53" i="7"/>
  <c r="DR53" i="7"/>
  <c r="DQ53" i="7"/>
  <c r="DP53" i="7"/>
  <c r="DO53" i="7"/>
  <c r="DN53" i="7"/>
  <c r="DM53" i="7"/>
  <c r="DL53" i="7"/>
  <c r="DK53" i="7"/>
  <c r="DJ53" i="7"/>
  <c r="DH53" i="7"/>
  <c r="DG53" i="7"/>
  <c r="DF53" i="7"/>
  <c r="DE53" i="7"/>
  <c r="DD53" i="7"/>
  <c r="DC53" i="7"/>
  <c r="DB53" i="7"/>
  <c r="DA53" i="7"/>
  <c r="CZ53" i="7"/>
  <c r="CY53" i="7"/>
  <c r="CX53" i="7"/>
  <c r="CW53" i="7"/>
  <c r="CV53" i="7"/>
  <c r="CU53" i="7"/>
  <c r="CT53" i="7"/>
  <c r="CR53" i="7"/>
  <c r="CQ53" i="7"/>
  <c r="CP53" i="7"/>
  <c r="CO53" i="7"/>
  <c r="CN53" i="7"/>
  <c r="CM53" i="7"/>
  <c r="CL53" i="7"/>
  <c r="CK53" i="7"/>
  <c r="CJ53" i="7"/>
  <c r="CI53" i="7"/>
  <c r="CH53" i="7"/>
  <c r="CG53" i="7"/>
  <c r="CF53" i="7"/>
  <c r="CE53" i="7"/>
  <c r="CD53" i="7"/>
  <c r="CB53" i="7"/>
  <c r="CA53" i="7"/>
  <c r="BZ53" i="7"/>
  <c r="BY53" i="7"/>
  <c r="BX53" i="7"/>
  <c r="BW53" i="7"/>
  <c r="BV53" i="7"/>
  <c r="BU53" i="7"/>
  <c r="BT53" i="7"/>
  <c r="BS53" i="7"/>
  <c r="BR53" i="7"/>
  <c r="BQ53" i="7"/>
  <c r="BP53" i="7"/>
  <c r="BO53" i="7"/>
  <c r="BN53" i="7"/>
  <c r="BL53" i="7"/>
  <c r="BK53" i="7"/>
  <c r="BJ53" i="7"/>
  <c r="BI53" i="7"/>
  <c r="BH53" i="7"/>
  <c r="BG53" i="7"/>
  <c r="BF53" i="7"/>
  <c r="BE53" i="7"/>
  <c r="BD53" i="7"/>
  <c r="BC53" i="7"/>
  <c r="BB53" i="7"/>
  <c r="BA53" i="7"/>
  <c r="AZ53" i="7"/>
  <c r="AY53" i="7"/>
  <c r="AX53" i="7"/>
  <c r="AV53" i="7"/>
  <c r="AU53" i="7"/>
  <c r="AT53" i="7"/>
  <c r="AS53" i="7"/>
  <c r="AR53" i="7"/>
  <c r="AQ53" i="7"/>
  <c r="AP53" i="7"/>
  <c r="AO53" i="7"/>
  <c r="AN53" i="7"/>
  <c r="AM53" i="7"/>
  <c r="AL53" i="7"/>
  <c r="AK53" i="7"/>
  <c r="AJ53" i="7"/>
  <c r="AI53" i="7"/>
  <c r="AH53" i="7"/>
  <c r="AF53" i="7"/>
  <c r="AE53" i="7"/>
  <c r="AD53" i="7"/>
  <c r="AC53" i="7"/>
  <c r="AB53" i="7"/>
  <c r="AA53" i="7"/>
  <c r="Z53" i="7"/>
  <c r="Y53" i="7"/>
  <c r="X53" i="7"/>
  <c r="W53" i="7"/>
  <c r="V53" i="7"/>
  <c r="U53" i="7"/>
  <c r="T53" i="7"/>
  <c r="S53" i="7"/>
  <c r="R53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B53" i="7"/>
  <c r="DX4" i="7"/>
  <c r="DW4" i="7"/>
  <c r="DV4" i="7"/>
  <c r="DU4" i="7"/>
  <c r="DT4" i="7"/>
  <c r="DS4" i="7"/>
  <c r="DR4" i="7"/>
  <c r="DQ4" i="7"/>
  <c r="DP4" i="7"/>
  <c r="DO4" i="7"/>
  <c r="DN4" i="7"/>
  <c r="DM4" i="7"/>
  <c r="DL4" i="7"/>
  <c r="DK4" i="7"/>
  <c r="DJ4" i="7"/>
  <c r="DX3" i="7"/>
  <c r="DW3" i="7"/>
  <c r="DV3" i="7"/>
  <c r="DU3" i="7"/>
  <c r="DT3" i="7"/>
  <c r="DS3" i="7"/>
  <c r="DR3" i="7"/>
  <c r="DQ3" i="7"/>
  <c r="DP3" i="7"/>
  <c r="DO3" i="7"/>
  <c r="DN3" i="7"/>
  <c r="DM3" i="7"/>
  <c r="DL3" i="7"/>
  <c r="DK3" i="7"/>
  <c r="DJ3" i="7"/>
  <c r="DH4" i="7"/>
  <c r="DG4" i="7"/>
  <c r="DF4" i="7"/>
  <c r="DE4" i="7"/>
  <c r="DD4" i="7"/>
  <c r="DC4" i="7"/>
  <c r="DB4" i="7"/>
  <c r="DA4" i="7"/>
  <c r="CZ4" i="7"/>
  <c r="CY4" i="7"/>
  <c r="CX4" i="7"/>
  <c r="CW4" i="7"/>
  <c r="CV4" i="7"/>
  <c r="CU4" i="7"/>
  <c r="CT4" i="7"/>
  <c r="DH3" i="7"/>
  <c r="DG3" i="7"/>
  <c r="DF3" i="7"/>
  <c r="DE3" i="7"/>
  <c r="DD3" i="7"/>
  <c r="DC3" i="7"/>
  <c r="DB3" i="7"/>
  <c r="DA3" i="7"/>
  <c r="CZ3" i="7"/>
  <c r="CY3" i="7"/>
  <c r="CX3" i="7"/>
  <c r="CW3" i="7"/>
  <c r="CV3" i="7"/>
  <c r="CU3" i="7"/>
  <c r="CT3" i="7"/>
  <c r="CR4" i="7"/>
  <c r="CQ4" i="7"/>
  <c r="CP4" i="7"/>
  <c r="CO4" i="7"/>
  <c r="CN4" i="7"/>
  <c r="CM4" i="7"/>
  <c r="CL4" i="7"/>
  <c r="CK4" i="7"/>
  <c r="CJ4" i="7"/>
  <c r="CI4" i="7"/>
  <c r="CH4" i="7"/>
  <c r="CG4" i="7"/>
  <c r="CF4" i="7"/>
  <c r="CE4" i="7"/>
  <c r="CB4" i="7"/>
  <c r="CA4" i="7"/>
  <c r="BZ4" i="7"/>
  <c r="BY4" i="7"/>
  <c r="BX4" i="7"/>
  <c r="BW4" i="7"/>
  <c r="BV4" i="7"/>
  <c r="BU4" i="7"/>
  <c r="BT4" i="7"/>
  <c r="BS4" i="7"/>
  <c r="BR4" i="7"/>
  <c r="BQ4" i="7"/>
  <c r="BP4" i="7"/>
  <c r="BO4" i="7"/>
  <c r="BN4" i="7"/>
  <c r="CD4" i="7"/>
  <c r="CR3" i="7"/>
  <c r="CQ3" i="7"/>
  <c r="CP3" i="7"/>
  <c r="CO3" i="7"/>
  <c r="CN3" i="7"/>
  <c r="CM3" i="7"/>
  <c r="CL3" i="7"/>
  <c r="CK3" i="7"/>
  <c r="CJ3" i="7"/>
  <c r="CI3" i="7"/>
  <c r="CH3" i="7"/>
  <c r="CG3" i="7"/>
  <c r="CF3" i="7"/>
  <c r="CE3" i="7"/>
  <c r="CD3" i="7"/>
  <c r="CA3" i="7"/>
  <c r="BZ3" i="7"/>
  <c r="BY3" i="7"/>
  <c r="BX3" i="7"/>
  <c r="BW3" i="7"/>
  <c r="BV3" i="7"/>
  <c r="BU3" i="7"/>
  <c r="BT3" i="7"/>
  <c r="BR3" i="7"/>
  <c r="BQ3" i="7"/>
  <c r="BP3" i="7"/>
  <c r="BO3" i="7"/>
  <c r="BN3" i="7"/>
  <c r="BL3" i="7"/>
  <c r="BL4" i="7"/>
  <c r="BK4" i="7"/>
  <c r="BJ4" i="7"/>
  <c r="BI4" i="7"/>
  <c r="BH4" i="7"/>
  <c r="BG4" i="7"/>
  <c r="BF4" i="7"/>
  <c r="BE4" i="7"/>
  <c r="BD4" i="7"/>
  <c r="BC4" i="7"/>
  <c r="BB4" i="7"/>
  <c r="BA4" i="7"/>
  <c r="AZ4" i="7"/>
  <c r="AY4" i="7"/>
  <c r="AX4" i="7"/>
  <c r="BK3" i="7"/>
  <c r="BJ3" i="7"/>
  <c r="BI3" i="7"/>
  <c r="BH3" i="7"/>
  <c r="BG3" i="7"/>
  <c r="BF3" i="7"/>
  <c r="BE3" i="7"/>
  <c r="BD3" i="7"/>
  <c r="BC3" i="7"/>
  <c r="BB3" i="7"/>
  <c r="BA3" i="7"/>
  <c r="AZ3" i="7"/>
  <c r="AY3" i="7"/>
  <c r="AX3" i="7"/>
  <c r="AV4" i="7"/>
  <c r="AU4" i="7"/>
  <c r="AT4" i="7"/>
  <c r="AS4" i="7"/>
  <c r="AR4" i="7"/>
  <c r="AQ4" i="7"/>
  <c r="AP4" i="7"/>
  <c r="AO4" i="7"/>
  <c r="AN4" i="7"/>
  <c r="AM4" i="7"/>
  <c r="AL4" i="7"/>
  <c r="AK4" i="7"/>
  <c r="AJ4" i="7"/>
  <c r="AI4" i="7"/>
  <c r="AH4" i="7"/>
  <c r="AV3" i="7"/>
  <c r="AU3" i="7"/>
  <c r="AT3" i="7"/>
  <c r="AS3" i="7"/>
  <c r="AR3" i="7"/>
  <c r="AQ3" i="7"/>
  <c r="AP3" i="7"/>
  <c r="AO3" i="7"/>
  <c r="AN3" i="7"/>
  <c r="AM3" i="7"/>
  <c r="AL3" i="7"/>
  <c r="AK3" i="7"/>
  <c r="AJ3" i="7"/>
  <c r="AI3" i="7"/>
  <c r="AH3" i="7"/>
  <c r="AF4" i="7"/>
  <c r="AE4" i="7"/>
  <c r="AD4" i="7"/>
  <c r="AC4" i="7"/>
  <c r="AB4" i="7"/>
  <c r="W3" i="7"/>
  <c r="AF3" i="7"/>
  <c r="AE3" i="7"/>
  <c r="AD3" i="7"/>
  <c r="AC3" i="7"/>
  <c r="AB3" i="7"/>
  <c r="AA3" i="7"/>
  <c r="Z3" i="7"/>
  <c r="Y3" i="7"/>
  <c r="X3" i="7"/>
  <c r="V3" i="7"/>
  <c r="U3" i="7"/>
  <c r="T3" i="7"/>
  <c r="S3" i="7"/>
  <c r="R3" i="7"/>
  <c r="IX5" i="7"/>
  <c r="IW5" i="7"/>
  <c r="IV5" i="7"/>
  <c r="IU5" i="7"/>
  <c r="IT5" i="7"/>
  <c r="IS5" i="7"/>
  <c r="IS6" i="7"/>
  <c r="IT6" i="7"/>
  <c r="IU6" i="7"/>
  <c r="IV6" i="7"/>
  <c r="IW6" i="7"/>
  <c r="IR5" i="7"/>
  <c r="IQ5" i="7"/>
  <c r="IP5" i="7"/>
  <c r="IO5" i="7"/>
  <c r="IN5" i="7"/>
  <c r="IM5" i="7"/>
  <c r="IL5" i="7"/>
  <c r="IK5" i="7"/>
  <c r="IJ5" i="7"/>
  <c r="IH5" i="7"/>
  <c r="IG5" i="7"/>
  <c r="IF5" i="7"/>
  <c r="IE5" i="7"/>
  <c r="ID5" i="7"/>
  <c r="IC5" i="7"/>
  <c r="IB5" i="7"/>
  <c r="IA5" i="7"/>
  <c r="HZ5" i="7"/>
  <c r="HY5" i="7"/>
  <c r="HX5" i="7"/>
  <c r="HW5" i="7"/>
  <c r="HV5" i="7"/>
  <c r="HU5" i="7"/>
  <c r="HT5" i="7"/>
  <c r="HR5" i="7"/>
  <c r="HQ5" i="7"/>
  <c r="HP5" i="7"/>
  <c r="HO5" i="7"/>
  <c r="HN5" i="7"/>
  <c r="HM5" i="7"/>
  <c r="HL5" i="7"/>
  <c r="HK5" i="7"/>
  <c r="HJ5" i="7"/>
  <c r="HI5" i="7"/>
  <c r="HH5" i="7"/>
  <c r="HG5" i="7"/>
  <c r="HF5" i="7"/>
  <c r="HE5" i="7"/>
  <c r="HD5" i="7"/>
  <c r="IC6" i="7"/>
  <c r="ID6" i="7"/>
  <c r="IE6" i="7"/>
  <c r="IF6" i="7"/>
  <c r="IG6" i="7"/>
  <c r="HM6" i="7"/>
  <c r="HN6" i="7"/>
  <c r="HO6" i="7"/>
  <c r="HP6" i="7"/>
  <c r="HQ6" i="7"/>
  <c r="HB5" i="7"/>
  <c r="HA5" i="7"/>
  <c r="GZ5" i="7"/>
  <c r="GY5" i="7"/>
  <c r="GX5" i="7"/>
  <c r="GW5" i="7"/>
  <c r="GV5" i="7"/>
  <c r="GU5" i="7"/>
  <c r="GT5" i="7"/>
  <c r="GS5" i="7"/>
  <c r="GR5" i="7"/>
  <c r="GQ5" i="7"/>
  <c r="GP5" i="7"/>
  <c r="GO5" i="7"/>
  <c r="GN5" i="7"/>
  <c r="HB6" i="7"/>
  <c r="GW6" i="7"/>
  <c r="GX6" i="7"/>
  <c r="GY6" i="7"/>
  <c r="GZ6" i="7"/>
  <c r="HA6" i="7"/>
  <c r="GL5" i="7"/>
  <c r="GK5" i="7"/>
  <c r="GJ5" i="7"/>
  <c r="GI5" i="7"/>
  <c r="GH5" i="7"/>
  <c r="GG5" i="7"/>
  <c r="GG6" i="7"/>
  <c r="GH6" i="7"/>
  <c r="GI6" i="7"/>
  <c r="GJ6" i="7"/>
  <c r="GK6" i="7"/>
  <c r="GF5" i="7"/>
  <c r="FV5" i="7"/>
  <c r="FU5" i="7"/>
  <c r="FT5" i="7"/>
  <c r="FS5" i="7"/>
  <c r="FR5" i="7"/>
  <c r="FQ5" i="7"/>
  <c r="FP5" i="7"/>
  <c r="FO5" i="7"/>
  <c r="FN5" i="7"/>
  <c r="FM5" i="7"/>
  <c r="FL5" i="7"/>
  <c r="FK5" i="7"/>
  <c r="FJ5" i="7"/>
  <c r="FI5" i="7"/>
  <c r="FH5" i="7"/>
  <c r="FV6" i="7"/>
  <c r="FU6" i="7"/>
  <c r="FT6" i="7"/>
  <c r="FS6" i="7"/>
  <c r="FR6" i="7"/>
  <c r="FQ6" i="7"/>
  <c r="FP6" i="7"/>
  <c r="FO6" i="7"/>
  <c r="FN6" i="7"/>
  <c r="FM6" i="7"/>
  <c r="FL6" i="7"/>
  <c r="FK6" i="7"/>
  <c r="FJ6" i="7"/>
  <c r="FI6" i="7"/>
  <c r="FH6" i="7"/>
  <c r="FF5" i="7"/>
  <c r="FE5" i="7"/>
  <c r="FD5" i="7"/>
  <c r="FC5" i="7"/>
  <c r="FB5" i="7"/>
  <c r="FB6" i="7"/>
  <c r="FC6" i="7"/>
  <c r="FD6" i="7"/>
  <c r="FE6" i="7"/>
  <c r="FA5" i="7"/>
  <c r="FA6" i="7"/>
  <c r="EP5" i="7"/>
  <c r="EO5" i="7"/>
  <c r="EN5" i="7"/>
  <c r="EM5" i="7"/>
  <c r="EL5" i="7"/>
  <c r="DJ2" i="7"/>
  <c r="IJ2" i="7" s="1"/>
  <c r="CT2" i="7"/>
  <c r="HT2" i="7" s="1"/>
  <c r="CD2" i="7"/>
  <c r="HD2" i="7" s="1"/>
  <c r="BN2" i="7"/>
  <c r="GN2" i="7" s="1"/>
  <c r="AX2" i="7"/>
  <c r="FX2" i="7" s="1"/>
  <c r="AH2" i="7"/>
  <c r="FH2" i="7" s="1"/>
  <c r="R2" i="7"/>
  <c r="ER2" i="7" s="1"/>
  <c r="B2" i="7"/>
  <c r="EB2" i="7" s="1"/>
  <c r="P3" i="7"/>
  <c r="P4" i="7"/>
  <c r="O4" i="7"/>
  <c r="O3" i="7"/>
  <c r="N3" i="7"/>
  <c r="N4" i="7"/>
  <c r="M3" i="7"/>
  <c r="M4" i="7"/>
  <c r="L3" i="7"/>
  <c r="L4" i="7"/>
  <c r="K3" i="7"/>
  <c r="K4" i="7"/>
  <c r="J3" i="7"/>
  <c r="I3" i="7"/>
  <c r="H3" i="7"/>
  <c r="G3" i="7"/>
  <c r="F3" i="7"/>
  <c r="E3" i="7"/>
  <c r="D3" i="7"/>
  <c r="B3" i="7"/>
  <c r="IR6" i="7"/>
  <c r="IQ6" i="7"/>
  <c r="IP6" i="7"/>
  <c r="IO6" i="7"/>
  <c r="IN6" i="7"/>
  <c r="IM6" i="7"/>
  <c r="IL6" i="7"/>
  <c r="IK6" i="7"/>
  <c r="IJ6" i="7"/>
  <c r="IB6" i="7"/>
  <c r="IA6" i="7"/>
  <c r="HZ6" i="7"/>
  <c r="HY6" i="7"/>
  <c r="HX6" i="7"/>
  <c r="HW6" i="7"/>
  <c r="HV6" i="7"/>
  <c r="HU6" i="7"/>
  <c r="HT6" i="7"/>
  <c r="HL6" i="7"/>
  <c r="HK6" i="7"/>
  <c r="HJ6" i="7"/>
  <c r="HI6" i="7"/>
  <c r="HH6" i="7"/>
  <c r="HG6" i="7"/>
  <c r="HF6" i="7"/>
  <c r="HE6" i="7"/>
  <c r="HD6" i="7"/>
  <c r="GV6" i="7"/>
  <c r="GU6" i="7"/>
  <c r="GT6" i="7"/>
  <c r="GS6" i="7"/>
  <c r="GR6" i="7"/>
  <c r="GQ6" i="7"/>
  <c r="GP6" i="7"/>
  <c r="GO6" i="7"/>
  <c r="GN6" i="7"/>
  <c r="IX7" i="7"/>
  <c r="IW7" i="7"/>
  <c r="IV7" i="7"/>
  <c r="IU7" i="7"/>
  <c r="IT7" i="7"/>
  <c r="IS7" i="7"/>
  <c r="IR7" i="7"/>
  <c r="IQ7" i="7"/>
  <c r="IP7" i="7"/>
  <c r="IO7" i="7"/>
  <c r="IN7" i="7"/>
  <c r="IM7" i="7"/>
  <c r="IL7" i="7"/>
  <c r="IK7" i="7"/>
  <c r="IJ7" i="7"/>
  <c r="IH7" i="7"/>
  <c r="IG7" i="7"/>
  <c r="IF7" i="7"/>
  <c r="IE7" i="7"/>
  <c r="ID7" i="7"/>
  <c r="IC7" i="7"/>
  <c r="IB7" i="7"/>
  <c r="IA7" i="7"/>
  <c r="HZ7" i="7"/>
  <c r="HY7" i="7"/>
  <c r="HX7" i="7"/>
  <c r="HW7" i="7"/>
  <c r="HV7" i="7"/>
  <c r="HU7" i="7"/>
  <c r="HT7" i="7"/>
  <c r="HR7" i="7"/>
  <c r="HQ7" i="7"/>
  <c r="HP7" i="7"/>
  <c r="HO7" i="7"/>
  <c r="HN7" i="7"/>
  <c r="HM7" i="7"/>
  <c r="HL7" i="7"/>
  <c r="HK7" i="7"/>
  <c r="HJ7" i="7"/>
  <c r="HI7" i="7"/>
  <c r="HH7" i="7"/>
  <c r="HG7" i="7"/>
  <c r="HF7" i="7"/>
  <c r="HE7" i="7"/>
  <c r="HD7" i="7"/>
  <c r="HB7" i="7"/>
  <c r="HA7" i="7"/>
  <c r="GZ7" i="7"/>
  <c r="GY7" i="7"/>
  <c r="GX7" i="7"/>
  <c r="GW7" i="7"/>
  <c r="GV7" i="7"/>
  <c r="GU7" i="7"/>
  <c r="GT7" i="7"/>
  <c r="GS7" i="7"/>
  <c r="GR7" i="7"/>
  <c r="GQ7" i="7"/>
  <c r="GP7" i="7"/>
  <c r="GO7" i="7"/>
  <c r="GN7" i="7"/>
  <c r="O57" i="19" l="1"/>
  <c r="AI5" i="5"/>
  <c r="KN37" i="1"/>
  <c r="BD53" i="5"/>
  <c r="D60" i="12" s="1"/>
  <c r="SA254" i="1"/>
  <c r="SA255" i="1" s="1"/>
  <c r="SA256" i="1" s="1"/>
  <c r="SA257" i="1" s="1"/>
  <c r="SA258" i="1" s="1"/>
  <c r="SA259" i="1" s="1"/>
  <c r="SA260" i="1" s="1"/>
  <c r="SA261" i="1" s="1"/>
  <c r="SA262" i="1" s="1"/>
  <c r="SA263" i="1" s="1"/>
  <c r="SA264" i="1" s="1"/>
  <c r="SA265" i="1" s="1"/>
  <c r="SA266" i="1" s="1"/>
  <c r="SA267" i="1" s="1"/>
  <c r="SA268" i="1" s="1"/>
  <c r="SA269" i="1" s="1"/>
  <c r="SA270" i="1" s="1"/>
  <c r="SA271" i="1" s="1"/>
  <c r="SA272" i="1" s="1"/>
  <c r="SA273" i="1" s="1"/>
  <c r="SA274" i="1" s="1"/>
  <c r="SA275" i="1" s="1"/>
  <c r="SA276" i="1" s="1"/>
  <c r="SA277" i="1" s="1"/>
  <c r="SA278" i="1" s="1"/>
  <c r="SA279" i="1" s="1"/>
  <c r="SA280" i="1" s="1"/>
  <c r="SA281" i="1" s="1"/>
  <c r="SA282" i="1" s="1"/>
  <c r="SA283" i="1" s="1"/>
  <c r="SA284" i="1" s="1"/>
  <c r="SA285" i="1" s="1"/>
  <c r="AK5" i="5"/>
  <c r="E41" i="17" s="1"/>
  <c r="LF37" i="1"/>
  <c r="BF53" i="5"/>
  <c r="SS254" i="1"/>
  <c r="SS255" i="1" s="1"/>
  <c r="SS256" i="1" s="1"/>
  <c r="SS257" i="1" s="1"/>
  <c r="SS258" i="1" s="1"/>
  <c r="SS259" i="1" s="1"/>
  <c r="SS260" i="1" s="1"/>
  <c r="SS261" i="1" s="1"/>
  <c r="SS262" i="1" s="1"/>
  <c r="SS263" i="1" s="1"/>
  <c r="SS264" i="1" s="1"/>
  <c r="SS265" i="1" s="1"/>
  <c r="SS266" i="1" s="1"/>
  <c r="SS267" i="1" s="1"/>
  <c r="SS268" i="1" s="1"/>
  <c r="SS269" i="1" s="1"/>
  <c r="SS270" i="1" s="1"/>
  <c r="SS271" i="1" s="1"/>
  <c r="SS272" i="1" s="1"/>
  <c r="SS273" i="1" s="1"/>
  <c r="SS274" i="1" s="1"/>
  <c r="SS275" i="1" s="1"/>
  <c r="SS276" i="1" s="1"/>
  <c r="SS277" i="1" s="1"/>
  <c r="SS278" i="1" s="1"/>
  <c r="SS279" i="1" s="1"/>
  <c r="SS280" i="1" s="1"/>
  <c r="SS281" i="1" s="1"/>
  <c r="SS282" i="1" s="1"/>
  <c r="SS283" i="1" s="1"/>
  <c r="SS284" i="1" s="1"/>
  <c r="SS285" i="1" s="1"/>
  <c r="TB254" i="1"/>
  <c r="TB255" i="1" s="1"/>
  <c r="TB256" i="1" s="1"/>
  <c r="TB257" i="1" s="1"/>
  <c r="TB258" i="1" s="1"/>
  <c r="TB259" i="1" s="1"/>
  <c r="TB260" i="1" s="1"/>
  <c r="TB261" i="1" s="1"/>
  <c r="TB262" i="1" s="1"/>
  <c r="TB263" i="1" s="1"/>
  <c r="TB264" i="1" s="1"/>
  <c r="TB265" i="1" s="1"/>
  <c r="TB266" i="1" s="1"/>
  <c r="TB267" i="1" s="1"/>
  <c r="TB268" i="1" s="1"/>
  <c r="TB269" i="1" s="1"/>
  <c r="TB270" i="1" s="1"/>
  <c r="TB271" i="1" s="1"/>
  <c r="TB272" i="1" s="1"/>
  <c r="TB273" i="1" s="1"/>
  <c r="TB274" i="1" s="1"/>
  <c r="TB275" i="1" s="1"/>
  <c r="TB276" i="1" s="1"/>
  <c r="TB277" i="1" s="1"/>
  <c r="TB278" i="1" s="1"/>
  <c r="TB279" i="1" s="1"/>
  <c r="TB280" i="1" s="1"/>
  <c r="TB281" i="1" s="1"/>
  <c r="TB282" i="1" s="1"/>
  <c r="TB283" i="1" s="1"/>
  <c r="TB284" i="1" s="1"/>
  <c r="TB285" i="1" s="1"/>
  <c r="BG53" i="5"/>
  <c r="TK254" i="1"/>
  <c r="TK255" i="1" s="1"/>
  <c r="TK256" i="1" s="1"/>
  <c r="TK257" i="1" s="1"/>
  <c r="TK258" i="1" s="1"/>
  <c r="TK259" i="1" s="1"/>
  <c r="TK260" i="1" s="1"/>
  <c r="TK261" i="1" s="1"/>
  <c r="TK262" i="1" s="1"/>
  <c r="TK263" i="1" s="1"/>
  <c r="TK264" i="1" s="1"/>
  <c r="TK265" i="1" s="1"/>
  <c r="TK266" i="1" s="1"/>
  <c r="TK267" i="1" s="1"/>
  <c r="TK268" i="1" s="1"/>
  <c r="TK269" i="1" s="1"/>
  <c r="TK270" i="1" s="1"/>
  <c r="TK271" i="1" s="1"/>
  <c r="TK272" i="1" s="1"/>
  <c r="TK273" i="1" s="1"/>
  <c r="TK274" i="1" s="1"/>
  <c r="TK275" i="1" s="1"/>
  <c r="TK276" i="1" s="1"/>
  <c r="TK277" i="1" s="1"/>
  <c r="TK278" i="1" s="1"/>
  <c r="TK279" i="1" s="1"/>
  <c r="TK280" i="1" s="1"/>
  <c r="TK281" i="1" s="1"/>
  <c r="TK282" i="1" s="1"/>
  <c r="TK283" i="1" s="1"/>
  <c r="TK284" i="1" s="1"/>
  <c r="TK285" i="1" s="1"/>
  <c r="BH53" i="5"/>
  <c r="BE53" i="5"/>
  <c r="D61" i="12" s="1"/>
  <c r="SJ254" i="1"/>
  <c r="SJ255" i="1" s="1"/>
  <c r="SJ256" i="1" s="1"/>
  <c r="SJ257" i="1" s="1"/>
  <c r="SJ258" i="1" s="1"/>
  <c r="SJ259" i="1" s="1"/>
  <c r="SJ260" i="1" s="1"/>
  <c r="SJ261" i="1" s="1"/>
  <c r="SJ262" i="1" s="1"/>
  <c r="SJ263" i="1" s="1"/>
  <c r="SJ264" i="1" s="1"/>
  <c r="SJ265" i="1" s="1"/>
  <c r="SJ266" i="1" s="1"/>
  <c r="SJ267" i="1" s="1"/>
  <c r="SJ268" i="1" s="1"/>
  <c r="SJ269" i="1" s="1"/>
  <c r="SJ270" i="1" s="1"/>
  <c r="SJ271" i="1" s="1"/>
  <c r="SJ272" i="1" s="1"/>
  <c r="SJ273" i="1" s="1"/>
  <c r="SJ274" i="1" s="1"/>
  <c r="SJ275" i="1" s="1"/>
  <c r="SJ276" i="1" s="1"/>
  <c r="SJ277" i="1" s="1"/>
  <c r="SJ278" i="1" s="1"/>
  <c r="SJ279" i="1" s="1"/>
  <c r="SJ280" i="1" s="1"/>
  <c r="SJ281" i="1" s="1"/>
  <c r="SJ282" i="1" s="1"/>
  <c r="SJ283" i="1" s="1"/>
  <c r="SJ284" i="1" s="1"/>
  <c r="SJ285" i="1" s="1"/>
  <c r="AE5" i="5"/>
  <c r="E35" i="17" s="1"/>
  <c r="JD37" i="1"/>
  <c r="AG5" i="5"/>
  <c r="E37" i="17" s="1"/>
  <c r="JV37" i="1"/>
  <c r="AF5" i="5"/>
  <c r="E36" i="17" s="1"/>
  <c r="JM37" i="1"/>
  <c r="AD5" i="5"/>
  <c r="E34" i="17" s="1"/>
  <c r="IU37" i="1"/>
  <c r="AA5" i="5"/>
  <c r="E31" i="17" s="1"/>
  <c r="HT37" i="1"/>
  <c r="BC53" i="5"/>
  <c r="D59" i="12" s="1"/>
  <c r="RR254" i="1"/>
  <c r="RR255" i="1" s="1"/>
  <c r="RR256" i="1" s="1"/>
  <c r="RR257" i="1" s="1"/>
  <c r="RR258" i="1" s="1"/>
  <c r="RR259" i="1" s="1"/>
  <c r="RR260" i="1" s="1"/>
  <c r="RR261" i="1" s="1"/>
  <c r="RR262" i="1" s="1"/>
  <c r="RR263" i="1" s="1"/>
  <c r="RR264" i="1" s="1"/>
  <c r="RR265" i="1" s="1"/>
  <c r="RR266" i="1" s="1"/>
  <c r="RR267" i="1" s="1"/>
  <c r="RR268" i="1" s="1"/>
  <c r="RR269" i="1" s="1"/>
  <c r="RR270" i="1" s="1"/>
  <c r="RR271" i="1" s="1"/>
  <c r="RR272" i="1" s="1"/>
  <c r="RR273" i="1" s="1"/>
  <c r="RR274" i="1" s="1"/>
  <c r="RR275" i="1" s="1"/>
  <c r="RR276" i="1" s="1"/>
  <c r="RR277" i="1" s="1"/>
  <c r="RR278" i="1" s="1"/>
  <c r="RR279" i="1" s="1"/>
  <c r="RR280" i="1" s="1"/>
  <c r="RR281" i="1" s="1"/>
  <c r="RR282" i="1" s="1"/>
  <c r="RR283" i="1" s="1"/>
  <c r="RR284" i="1" s="1"/>
  <c r="RR285" i="1" s="1"/>
  <c r="QZ254" i="1"/>
  <c r="QZ255" i="1" s="1"/>
  <c r="QZ256" i="1" s="1"/>
  <c r="QZ257" i="1" s="1"/>
  <c r="QZ258" i="1" s="1"/>
  <c r="QZ259" i="1" s="1"/>
  <c r="QZ260" i="1" s="1"/>
  <c r="QZ261" i="1" s="1"/>
  <c r="QZ262" i="1" s="1"/>
  <c r="QZ263" i="1" s="1"/>
  <c r="QZ264" i="1" s="1"/>
  <c r="QZ265" i="1" s="1"/>
  <c r="QZ266" i="1" s="1"/>
  <c r="QZ267" i="1" s="1"/>
  <c r="QZ268" i="1" s="1"/>
  <c r="QZ269" i="1" s="1"/>
  <c r="QZ270" i="1" s="1"/>
  <c r="QZ271" i="1" s="1"/>
  <c r="QZ272" i="1" s="1"/>
  <c r="QZ273" i="1" s="1"/>
  <c r="QZ274" i="1" s="1"/>
  <c r="QZ275" i="1" s="1"/>
  <c r="QZ276" i="1" s="1"/>
  <c r="QZ277" i="1" s="1"/>
  <c r="QZ278" i="1" s="1"/>
  <c r="QZ279" i="1" s="1"/>
  <c r="QZ280" i="1" s="1"/>
  <c r="QZ281" i="1" s="1"/>
  <c r="QZ282" i="1" s="1"/>
  <c r="QZ283" i="1" s="1"/>
  <c r="QZ284" i="1" s="1"/>
  <c r="QZ285" i="1" s="1"/>
  <c r="BA53" i="5"/>
  <c r="D57" i="12" s="1"/>
  <c r="RI254" i="1"/>
  <c r="RI255" i="1" s="1"/>
  <c r="RI256" i="1" s="1"/>
  <c r="RI257" i="1" s="1"/>
  <c r="RI258" i="1" s="1"/>
  <c r="RI259" i="1" s="1"/>
  <c r="RI260" i="1" s="1"/>
  <c r="RI261" i="1" s="1"/>
  <c r="RI262" i="1" s="1"/>
  <c r="RI263" i="1" s="1"/>
  <c r="RI264" i="1" s="1"/>
  <c r="RI265" i="1" s="1"/>
  <c r="RI266" i="1" s="1"/>
  <c r="RI267" i="1" s="1"/>
  <c r="RI268" i="1" s="1"/>
  <c r="RI269" i="1" s="1"/>
  <c r="RI270" i="1" s="1"/>
  <c r="RI271" i="1" s="1"/>
  <c r="RI272" i="1" s="1"/>
  <c r="RI273" i="1" s="1"/>
  <c r="RI274" i="1" s="1"/>
  <c r="RI275" i="1" s="1"/>
  <c r="RI276" i="1" s="1"/>
  <c r="RI277" i="1" s="1"/>
  <c r="RI278" i="1" s="1"/>
  <c r="RI279" i="1" s="1"/>
  <c r="RI280" i="1" s="1"/>
  <c r="RI281" i="1" s="1"/>
  <c r="RI282" i="1" s="1"/>
  <c r="RI283" i="1" s="1"/>
  <c r="RI284" i="1" s="1"/>
  <c r="RI285" i="1" s="1"/>
  <c r="BB57" i="5" s="1"/>
  <c r="H58" i="12" s="1"/>
  <c r="AD12" i="5"/>
  <c r="E34" i="18" s="1"/>
  <c r="AD13" i="5"/>
  <c r="LU217" i="1"/>
  <c r="AL43" i="5"/>
  <c r="H42" i="8" s="1"/>
  <c r="O42" i="8" s="1"/>
  <c r="AO43" i="5"/>
  <c r="H45" i="8" s="1"/>
  <c r="O45" i="8" s="1"/>
  <c r="MV217" i="1"/>
  <c r="AP43" i="5"/>
  <c r="H46" i="8" s="1"/>
  <c r="O46" i="8" s="1"/>
  <c r="NE217" i="1"/>
  <c r="E17" i="18"/>
  <c r="F17" i="18"/>
  <c r="AD8" i="5"/>
  <c r="JA41" i="1"/>
  <c r="JB41" i="1" s="1"/>
  <c r="LC42" i="1"/>
  <c r="LC43" i="1" s="1"/>
  <c r="LC44" i="1" s="1"/>
  <c r="LC45" i="1" s="1"/>
  <c r="LC46" i="1" s="1"/>
  <c r="LC47" i="1" s="1"/>
  <c r="LC48" i="1" s="1"/>
  <c r="LC49" i="1" s="1"/>
  <c r="LC50" i="1" s="1"/>
  <c r="LC51" i="1" s="1"/>
  <c r="LC52" i="1" s="1"/>
  <c r="LC53" i="1" s="1"/>
  <c r="LC54" i="1" s="1"/>
  <c r="LC55" i="1" s="1"/>
  <c r="LC56" i="1" s="1"/>
  <c r="LC57" i="1" s="1"/>
  <c r="LC58" i="1" s="1"/>
  <c r="LC59" i="1" s="1"/>
  <c r="LC60" i="1" s="1"/>
  <c r="LC61" i="1" s="1"/>
  <c r="LC62" i="1" s="1"/>
  <c r="LC63" i="1" s="1"/>
  <c r="LC64" i="1" s="1"/>
  <c r="LC65" i="1" s="1"/>
  <c r="LC66" i="1" s="1"/>
  <c r="LC67" i="1" s="1"/>
  <c r="LC68" i="1" s="1"/>
  <c r="LC69" i="1" s="1"/>
  <c r="LC70" i="1" s="1"/>
  <c r="LC71" i="1" s="1"/>
  <c r="LC75" i="1" s="1"/>
  <c r="AC8" i="5"/>
  <c r="H33" i="17" s="1"/>
  <c r="O33" i="17" s="1"/>
  <c r="IR41" i="1"/>
  <c r="IS41" i="1" s="1"/>
  <c r="MM217" i="1"/>
  <c r="AN43" i="5"/>
  <c r="H44" i="8" s="1"/>
  <c r="O44" i="8" s="1"/>
  <c r="FN21" i="1"/>
  <c r="D19" i="17"/>
  <c r="D28" i="17"/>
  <c r="E38" i="17"/>
  <c r="E26" i="17"/>
  <c r="E30" i="17"/>
  <c r="D14" i="17"/>
  <c r="D20" i="17"/>
  <c r="D29" i="17"/>
  <c r="E39" i="17"/>
  <c r="D38" i="17"/>
  <c r="E21" i="17"/>
  <c r="E22" i="17"/>
  <c r="D15" i="17"/>
  <c r="D21" i="17"/>
  <c r="D30" i="17"/>
  <c r="E40" i="17"/>
  <c r="D34" i="17"/>
  <c r="D39" i="17"/>
  <c r="E27" i="17"/>
  <c r="D25" i="17"/>
  <c r="AB8" i="5"/>
  <c r="II41" i="1"/>
  <c r="D31" i="17"/>
  <c r="D40" i="17"/>
  <c r="E14" i="17"/>
  <c r="E19" i="17"/>
  <c r="E25" i="17"/>
  <c r="D22" i="17"/>
  <c r="E32" i="17"/>
  <c r="AG8" i="5"/>
  <c r="KB41" i="1"/>
  <c r="KC41" i="1" s="1"/>
  <c r="D32" i="17"/>
  <c r="D35" i="17"/>
  <c r="E17" i="17"/>
  <c r="E15" i="17"/>
  <c r="E28" i="17"/>
  <c r="D16" i="17"/>
  <c r="D26" i="17"/>
  <c r="D36" i="17"/>
  <c r="E16" i="17"/>
  <c r="E20" i="17"/>
  <c r="D17" i="17"/>
  <c r="D27" i="17"/>
  <c r="D37" i="17"/>
  <c r="E18" i="17"/>
  <c r="E29" i="17"/>
  <c r="D18" i="17"/>
  <c r="E33" i="17"/>
  <c r="D33" i="17"/>
  <c r="MD217" i="1"/>
  <c r="AM43" i="5"/>
  <c r="H43" i="8" s="1"/>
  <c r="O43" i="8" s="1"/>
  <c r="AK8" i="5"/>
  <c r="LL41" i="1"/>
  <c r="AQ25" i="5"/>
  <c r="D50" i="20" s="1"/>
  <c r="NN112" i="1"/>
  <c r="NN113" i="1" s="1"/>
  <c r="NN114" i="1" s="1"/>
  <c r="NN115" i="1" s="1"/>
  <c r="NN116" i="1" s="1"/>
  <c r="NN117" i="1" s="1"/>
  <c r="NN118" i="1" s="1"/>
  <c r="NN119" i="1" s="1"/>
  <c r="NN120" i="1" s="1"/>
  <c r="NN121" i="1" s="1"/>
  <c r="NN122" i="1" s="1"/>
  <c r="NN123" i="1" s="1"/>
  <c r="NN124" i="1" s="1"/>
  <c r="NN125" i="1" s="1"/>
  <c r="NN126" i="1" s="1"/>
  <c r="NN127" i="1" s="1"/>
  <c r="NN128" i="1" s="1"/>
  <c r="NN129" i="1" s="1"/>
  <c r="NN130" i="1" s="1"/>
  <c r="NN131" i="1" s="1"/>
  <c r="NN132" i="1" s="1"/>
  <c r="NN133" i="1" s="1"/>
  <c r="NN134" i="1" s="1"/>
  <c r="NN135" i="1" s="1"/>
  <c r="NN136" i="1" s="1"/>
  <c r="NN137" i="1" s="1"/>
  <c r="NN138" i="1" s="1"/>
  <c r="NN139" i="1" s="1"/>
  <c r="NN140" i="1" s="1"/>
  <c r="NN141" i="1" s="1"/>
  <c r="NN142" i="1" s="1"/>
  <c r="IF266" i="1"/>
  <c r="IH266" i="1" s="1"/>
  <c r="IF267" i="1"/>
  <c r="IH267" i="1" s="1"/>
  <c r="IF268" i="1"/>
  <c r="IH268" i="1" s="1"/>
  <c r="IF269" i="1"/>
  <c r="IH269" i="1" s="1"/>
  <c r="IF270" i="1"/>
  <c r="IH270" i="1" s="1"/>
  <c r="IF279" i="1"/>
  <c r="IH279" i="1" s="1"/>
  <c r="IF219" i="1"/>
  <c r="IH219" i="1" s="1"/>
  <c r="IF177" i="1"/>
  <c r="IH177" i="1" s="1"/>
  <c r="IF163" i="1"/>
  <c r="IH163" i="1" s="1"/>
  <c r="IF228" i="1"/>
  <c r="IH228" i="1" s="1"/>
  <c r="IF166" i="1"/>
  <c r="IH166" i="1" s="1"/>
  <c r="IF119" i="1"/>
  <c r="IH119" i="1" s="1"/>
  <c r="IF113" i="1"/>
  <c r="IH113" i="1" s="1"/>
  <c r="IF112" i="1"/>
  <c r="IH112" i="1" s="1"/>
  <c r="IF132" i="1"/>
  <c r="IH132" i="1" s="1"/>
  <c r="IF126" i="1"/>
  <c r="IH126" i="1" s="1"/>
  <c r="IF274" i="1"/>
  <c r="IH274" i="1" s="1"/>
  <c r="IF275" i="1"/>
  <c r="IH275" i="1" s="1"/>
  <c r="IF276" i="1"/>
  <c r="IH276" i="1" s="1"/>
  <c r="IF277" i="1"/>
  <c r="IH277" i="1" s="1"/>
  <c r="IF278" i="1"/>
  <c r="IH278" i="1" s="1"/>
  <c r="IF226" i="1"/>
  <c r="IH226" i="1" s="1"/>
  <c r="IF227" i="1"/>
  <c r="IH227" i="1" s="1"/>
  <c r="IF265" i="1"/>
  <c r="IH265" i="1" s="1"/>
  <c r="IF171" i="1"/>
  <c r="IH171" i="1" s="1"/>
  <c r="IF149" i="1"/>
  <c r="IH149" i="1" s="1"/>
  <c r="IF174" i="1"/>
  <c r="IH174" i="1" s="1"/>
  <c r="IF127" i="1"/>
  <c r="IH127" i="1" s="1"/>
  <c r="IF121" i="1"/>
  <c r="IH121" i="1" s="1"/>
  <c r="IF115" i="1"/>
  <c r="IH115" i="1" s="1"/>
  <c r="IF140" i="1"/>
  <c r="IH140" i="1" s="1"/>
  <c r="IF282" i="1"/>
  <c r="IH282" i="1" s="1"/>
  <c r="IF283" i="1"/>
  <c r="IH283" i="1" s="1"/>
  <c r="IF284" i="1"/>
  <c r="IH284" i="1" s="1"/>
  <c r="IF254" i="1"/>
  <c r="IH254" i="1" s="1"/>
  <c r="IF225" i="1"/>
  <c r="IH225" i="1" s="1"/>
  <c r="IF234" i="1"/>
  <c r="IH234" i="1" s="1"/>
  <c r="IF235" i="1"/>
  <c r="IH235" i="1" s="1"/>
  <c r="IF154" i="1"/>
  <c r="IH154" i="1" s="1"/>
  <c r="IF281" i="1"/>
  <c r="IH281" i="1" s="1"/>
  <c r="IF157" i="1"/>
  <c r="IH157" i="1" s="1"/>
  <c r="IF244" i="1"/>
  <c r="IH244" i="1" s="1"/>
  <c r="IF135" i="1"/>
  <c r="IH135" i="1" s="1"/>
  <c r="IF129" i="1"/>
  <c r="IH129" i="1" s="1"/>
  <c r="IF123" i="1"/>
  <c r="IH123" i="1" s="1"/>
  <c r="IF160" i="1"/>
  <c r="IH160" i="1" s="1"/>
  <c r="IF221" i="1"/>
  <c r="IH221" i="1" s="1"/>
  <c r="IF222" i="1"/>
  <c r="IH222" i="1" s="1"/>
  <c r="IF223" i="1"/>
  <c r="IH223" i="1" s="1"/>
  <c r="IF224" i="1"/>
  <c r="IH224" i="1" s="1"/>
  <c r="IF233" i="1"/>
  <c r="IH233" i="1" s="1"/>
  <c r="IF242" i="1"/>
  <c r="IH242" i="1" s="1"/>
  <c r="IF243" i="1"/>
  <c r="IH243" i="1" s="1"/>
  <c r="IF162" i="1"/>
  <c r="IH162" i="1" s="1"/>
  <c r="IF220" i="1"/>
  <c r="IH220" i="1" s="1"/>
  <c r="IF165" i="1"/>
  <c r="IH165" i="1" s="1"/>
  <c r="IF151" i="1"/>
  <c r="IH151" i="1" s="1"/>
  <c r="IF176" i="1"/>
  <c r="IH176" i="1" s="1"/>
  <c r="IF137" i="1"/>
  <c r="IH137" i="1" s="1"/>
  <c r="IF131" i="1"/>
  <c r="IH131" i="1" s="1"/>
  <c r="IF152" i="1"/>
  <c r="IH152" i="1" s="1"/>
  <c r="IF229" i="1"/>
  <c r="IH229" i="1" s="1"/>
  <c r="IF230" i="1"/>
  <c r="IH230" i="1" s="1"/>
  <c r="IF231" i="1"/>
  <c r="IH231" i="1" s="1"/>
  <c r="IF232" i="1"/>
  <c r="IH232" i="1" s="1"/>
  <c r="IF241" i="1"/>
  <c r="IH241" i="1" s="1"/>
  <c r="IF256" i="1"/>
  <c r="IH256" i="1" s="1"/>
  <c r="IF257" i="1"/>
  <c r="IH257" i="1" s="1"/>
  <c r="IF170" i="1"/>
  <c r="IH170" i="1" s="1"/>
  <c r="IF148" i="1"/>
  <c r="IH148" i="1" s="1"/>
  <c r="IF173" i="1"/>
  <c r="IH173" i="1" s="1"/>
  <c r="IF159" i="1"/>
  <c r="IH159" i="1" s="1"/>
  <c r="IF120" i="1"/>
  <c r="IH120" i="1" s="1"/>
  <c r="IF114" i="1"/>
  <c r="IH114" i="1" s="1"/>
  <c r="IF139" i="1"/>
  <c r="IH139" i="1" s="1"/>
  <c r="IF117" i="1"/>
  <c r="IH117" i="1" s="1"/>
  <c r="IF237" i="1"/>
  <c r="IH237" i="1" s="1"/>
  <c r="IF238" i="1"/>
  <c r="IH238" i="1" s="1"/>
  <c r="IF239" i="1"/>
  <c r="IH239" i="1" s="1"/>
  <c r="IF240" i="1"/>
  <c r="IH240" i="1" s="1"/>
  <c r="IF218" i="1"/>
  <c r="IH218" i="1" s="1"/>
  <c r="IF264" i="1"/>
  <c r="IH264" i="1" s="1"/>
  <c r="IF153" i="1"/>
  <c r="IH153" i="1" s="1"/>
  <c r="IF156" i="1"/>
  <c r="IH156" i="1" s="1"/>
  <c r="IF236" i="1"/>
  <c r="IH236" i="1" s="1"/>
  <c r="IF167" i="1"/>
  <c r="IH167" i="1" s="1"/>
  <c r="IF128" i="1"/>
  <c r="IH128" i="1" s="1"/>
  <c r="IF122" i="1"/>
  <c r="IH122" i="1" s="1"/>
  <c r="IF134" i="1"/>
  <c r="IH134" i="1" s="1"/>
  <c r="IF125" i="1"/>
  <c r="IH125" i="1" s="1"/>
  <c r="IF255" i="1"/>
  <c r="IH255" i="1" s="1"/>
  <c r="IF245" i="1"/>
  <c r="IH245" i="1" s="1"/>
  <c r="IF246" i="1"/>
  <c r="IH246" i="1" s="1"/>
  <c r="IF247" i="1"/>
  <c r="IH247" i="1" s="1"/>
  <c r="IF248" i="1"/>
  <c r="IH248" i="1" s="1"/>
  <c r="IF263" i="1"/>
  <c r="IH263" i="1" s="1"/>
  <c r="IF272" i="1"/>
  <c r="IH272" i="1" s="1"/>
  <c r="IF161" i="1"/>
  <c r="IH161" i="1" s="1"/>
  <c r="IF273" i="1"/>
  <c r="IH273" i="1" s="1"/>
  <c r="IF164" i="1"/>
  <c r="IH164" i="1" s="1"/>
  <c r="IF150" i="1"/>
  <c r="IH150" i="1" s="1"/>
  <c r="IF175" i="1"/>
  <c r="IH175" i="1" s="1"/>
  <c r="IF136" i="1"/>
  <c r="IH136" i="1" s="1"/>
  <c r="IF130" i="1"/>
  <c r="IH130" i="1" s="1"/>
  <c r="IF116" i="1"/>
  <c r="IH116" i="1" s="1"/>
  <c r="IF133" i="1"/>
  <c r="IH133" i="1" s="1"/>
  <c r="IF258" i="1"/>
  <c r="IH258" i="1" s="1"/>
  <c r="IF259" i="1"/>
  <c r="IH259" i="1" s="1"/>
  <c r="IF260" i="1"/>
  <c r="IH260" i="1" s="1"/>
  <c r="IF261" i="1"/>
  <c r="IH261" i="1" s="1"/>
  <c r="IF262" i="1"/>
  <c r="IH262" i="1" s="1"/>
  <c r="IF271" i="1"/>
  <c r="IH271" i="1" s="1"/>
  <c r="IF280" i="1"/>
  <c r="IH280" i="1" s="1"/>
  <c r="IF169" i="1"/>
  <c r="IH169" i="1" s="1"/>
  <c r="IF155" i="1"/>
  <c r="IH155" i="1" s="1"/>
  <c r="IF172" i="1"/>
  <c r="IH172" i="1" s="1"/>
  <c r="IF158" i="1"/>
  <c r="IH158" i="1" s="1"/>
  <c r="IF168" i="1"/>
  <c r="IH168" i="1" s="1"/>
  <c r="IF118" i="1"/>
  <c r="IH118" i="1" s="1"/>
  <c r="IF138" i="1"/>
  <c r="IH138" i="1" s="1"/>
  <c r="IF124" i="1"/>
  <c r="IH124" i="1" s="1"/>
  <c r="IF141" i="1"/>
  <c r="IH141" i="1" s="1"/>
  <c r="HW425" i="1"/>
  <c r="HY425" i="1" s="1"/>
  <c r="HW398" i="1"/>
  <c r="HY398" i="1" s="1"/>
  <c r="HW384" i="1"/>
  <c r="HY384" i="1" s="1"/>
  <c r="HW378" i="1"/>
  <c r="HY378" i="1" s="1"/>
  <c r="HW421" i="1"/>
  <c r="HY421" i="1" s="1"/>
  <c r="HW373" i="1"/>
  <c r="HY373" i="1" s="1"/>
  <c r="HW390" i="1"/>
  <c r="HY390" i="1" s="1"/>
  <c r="HW345" i="1"/>
  <c r="HY345" i="1" s="1"/>
  <c r="HW347" i="1"/>
  <c r="HY347" i="1" s="1"/>
  <c r="HW333" i="1"/>
  <c r="HY333" i="1" s="1"/>
  <c r="HW327" i="1"/>
  <c r="HY327" i="1" s="1"/>
  <c r="HW295" i="1"/>
  <c r="HY295" i="1" s="1"/>
  <c r="HW316" i="1"/>
  <c r="HY316" i="1" s="1"/>
  <c r="HW308" i="1"/>
  <c r="HY308" i="1" s="1"/>
  <c r="HW302" i="1"/>
  <c r="HY302" i="1" s="1"/>
  <c r="HW230" i="1"/>
  <c r="HY230" i="1" s="1"/>
  <c r="HW231" i="1"/>
  <c r="HY231" i="1" s="1"/>
  <c r="HW232" i="1"/>
  <c r="HY232" i="1" s="1"/>
  <c r="HW241" i="1"/>
  <c r="HY241" i="1" s="1"/>
  <c r="HW242" i="1"/>
  <c r="HY242" i="1" s="1"/>
  <c r="HW243" i="1"/>
  <c r="HY243" i="1" s="1"/>
  <c r="HW244" i="1"/>
  <c r="HY244" i="1" s="1"/>
  <c r="HW163" i="1"/>
  <c r="HY163" i="1" s="1"/>
  <c r="HW157" i="1"/>
  <c r="HY157" i="1" s="1"/>
  <c r="HW266" i="1"/>
  <c r="HY266" i="1" s="1"/>
  <c r="HW168" i="1"/>
  <c r="HY168" i="1" s="1"/>
  <c r="HW114" i="1"/>
  <c r="HY114" i="1" s="1"/>
  <c r="HW131" i="1"/>
  <c r="HY131" i="1" s="1"/>
  <c r="HW141" i="1"/>
  <c r="HY141" i="1" s="1"/>
  <c r="HW134" i="1"/>
  <c r="HY134" i="1" s="1"/>
  <c r="HW400" i="1"/>
  <c r="HY400" i="1" s="1"/>
  <c r="HW403" i="1"/>
  <c r="HY403" i="1" s="1"/>
  <c r="HW406" i="1"/>
  <c r="HY406" i="1" s="1"/>
  <c r="HW413" i="1"/>
  <c r="HY413" i="1" s="1"/>
  <c r="HW386" i="1"/>
  <c r="HY386" i="1" s="1"/>
  <c r="HW364" i="1"/>
  <c r="HY364" i="1" s="1"/>
  <c r="HW381" i="1"/>
  <c r="HY381" i="1" s="1"/>
  <c r="HW361" i="1"/>
  <c r="HW353" i="1"/>
  <c r="HY353" i="1" s="1"/>
  <c r="HW355" i="1"/>
  <c r="HY355" i="1" s="1"/>
  <c r="HW341" i="1"/>
  <c r="HY341" i="1" s="1"/>
  <c r="HW383" i="1"/>
  <c r="HY383" i="1" s="1"/>
  <c r="HW304" i="1"/>
  <c r="HY304" i="1" s="1"/>
  <c r="HW319" i="1"/>
  <c r="HY319" i="1" s="1"/>
  <c r="HW311" i="1"/>
  <c r="HY311" i="1" s="1"/>
  <c r="HW310" i="1"/>
  <c r="HY310" i="1" s="1"/>
  <c r="HW238" i="1"/>
  <c r="HY238" i="1" s="1"/>
  <c r="HW239" i="1"/>
  <c r="HY239" i="1" s="1"/>
  <c r="HW240" i="1"/>
  <c r="HY240" i="1" s="1"/>
  <c r="HW218" i="1"/>
  <c r="HW256" i="1"/>
  <c r="HY256" i="1" s="1"/>
  <c r="HW257" i="1"/>
  <c r="HY257" i="1" s="1"/>
  <c r="HW229" i="1"/>
  <c r="HY229" i="1" s="1"/>
  <c r="HW171" i="1"/>
  <c r="HY171" i="1" s="1"/>
  <c r="HW165" i="1"/>
  <c r="HY165" i="1" s="1"/>
  <c r="HW151" i="1"/>
  <c r="HY151" i="1" s="1"/>
  <c r="HW176" i="1"/>
  <c r="HY176" i="1" s="1"/>
  <c r="HW122" i="1"/>
  <c r="HY122" i="1" s="1"/>
  <c r="HW139" i="1"/>
  <c r="HY139" i="1" s="1"/>
  <c r="HW169" i="1"/>
  <c r="HY169" i="1" s="1"/>
  <c r="HW112" i="1"/>
  <c r="HW408" i="1"/>
  <c r="HY408" i="1" s="1"/>
  <c r="HW411" i="1"/>
  <c r="HY411" i="1" s="1"/>
  <c r="HW414" i="1"/>
  <c r="HY414" i="1" s="1"/>
  <c r="HW369" i="1"/>
  <c r="HY369" i="1" s="1"/>
  <c r="HW418" i="1"/>
  <c r="HY418" i="1" s="1"/>
  <c r="HW372" i="1"/>
  <c r="HY372" i="1" s="1"/>
  <c r="HW389" i="1"/>
  <c r="HY389" i="1" s="1"/>
  <c r="HW328" i="1"/>
  <c r="HY328" i="1" s="1"/>
  <c r="HW330" i="1"/>
  <c r="HY330" i="1" s="1"/>
  <c r="HW407" i="1"/>
  <c r="HY407" i="1" s="1"/>
  <c r="HW349" i="1"/>
  <c r="HY349" i="1" s="1"/>
  <c r="HW335" i="1"/>
  <c r="HY335" i="1" s="1"/>
  <c r="HW312" i="1"/>
  <c r="HY312" i="1" s="1"/>
  <c r="HW297" i="1"/>
  <c r="HY297" i="1" s="1"/>
  <c r="HW300" i="1"/>
  <c r="HY300" i="1" s="1"/>
  <c r="HW318" i="1"/>
  <c r="HY318" i="1" s="1"/>
  <c r="HW246" i="1"/>
  <c r="HY246" i="1" s="1"/>
  <c r="HW247" i="1"/>
  <c r="HY247" i="1" s="1"/>
  <c r="HW248" i="1"/>
  <c r="HY248" i="1" s="1"/>
  <c r="HW255" i="1"/>
  <c r="HY255" i="1" s="1"/>
  <c r="HW264" i="1"/>
  <c r="HY264" i="1" s="1"/>
  <c r="HW265" i="1"/>
  <c r="HY265" i="1" s="1"/>
  <c r="HW154" i="1"/>
  <c r="HY154" i="1" s="1"/>
  <c r="HW245" i="1"/>
  <c r="HY245" i="1" s="1"/>
  <c r="HW173" i="1"/>
  <c r="HY173" i="1" s="1"/>
  <c r="HW159" i="1"/>
  <c r="HY159" i="1" s="1"/>
  <c r="HW282" i="1"/>
  <c r="HY282" i="1" s="1"/>
  <c r="HW130" i="1"/>
  <c r="HY130" i="1" s="1"/>
  <c r="HW221" i="1"/>
  <c r="HY221" i="1" s="1"/>
  <c r="HW117" i="1"/>
  <c r="HY117" i="1" s="1"/>
  <c r="HW128" i="1"/>
  <c r="HY128" i="1" s="1"/>
  <c r="HW416" i="1"/>
  <c r="HY416" i="1" s="1"/>
  <c r="HW419" i="1"/>
  <c r="HY419" i="1" s="1"/>
  <c r="HW422" i="1"/>
  <c r="HY422" i="1" s="1"/>
  <c r="HW377" i="1"/>
  <c r="HY377" i="1" s="1"/>
  <c r="HW363" i="1"/>
  <c r="HY363" i="1" s="1"/>
  <c r="HW380" i="1"/>
  <c r="HY380" i="1" s="1"/>
  <c r="HW405" i="1"/>
  <c r="HY405" i="1" s="1"/>
  <c r="HW336" i="1"/>
  <c r="HY336" i="1" s="1"/>
  <c r="HW338" i="1"/>
  <c r="HY338" i="1" s="1"/>
  <c r="HW332" i="1"/>
  <c r="HY332" i="1" s="1"/>
  <c r="HW375" i="1"/>
  <c r="HY375" i="1" s="1"/>
  <c r="HW343" i="1"/>
  <c r="HY343" i="1" s="1"/>
  <c r="HW290" i="1"/>
  <c r="HW306" i="1"/>
  <c r="HY306" i="1" s="1"/>
  <c r="HW303" i="1"/>
  <c r="HY303" i="1" s="1"/>
  <c r="HW259" i="1"/>
  <c r="HY259" i="1" s="1"/>
  <c r="HW260" i="1"/>
  <c r="HY260" i="1" s="1"/>
  <c r="HW261" i="1"/>
  <c r="HY261" i="1" s="1"/>
  <c r="HW262" i="1"/>
  <c r="HY262" i="1" s="1"/>
  <c r="HW263" i="1"/>
  <c r="HY263" i="1" s="1"/>
  <c r="HW272" i="1"/>
  <c r="HY272" i="1" s="1"/>
  <c r="HW273" i="1"/>
  <c r="HY273" i="1" s="1"/>
  <c r="HW162" i="1"/>
  <c r="HY162" i="1" s="1"/>
  <c r="HW148" i="1"/>
  <c r="HY148" i="1" s="1"/>
  <c r="HW258" i="1"/>
  <c r="HY258" i="1" s="1"/>
  <c r="HW167" i="1"/>
  <c r="HY167" i="1" s="1"/>
  <c r="HW113" i="1"/>
  <c r="HY113" i="1" s="1"/>
  <c r="HW138" i="1"/>
  <c r="HY138" i="1" s="1"/>
  <c r="HW161" i="1"/>
  <c r="HY161" i="1" s="1"/>
  <c r="HW125" i="1"/>
  <c r="HY125" i="1" s="1"/>
  <c r="HW119" i="1"/>
  <c r="HY119" i="1" s="1"/>
  <c r="HW424" i="1"/>
  <c r="HY424" i="1" s="1"/>
  <c r="HW396" i="1"/>
  <c r="HW399" i="1"/>
  <c r="HY399" i="1" s="1"/>
  <c r="HW385" i="1"/>
  <c r="HY385" i="1" s="1"/>
  <c r="HW371" i="1"/>
  <c r="HY371" i="1" s="1"/>
  <c r="HW388" i="1"/>
  <c r="HY388" i="1" s="1"/>
  <c r="HW426" i="1"/>
  <c r="HY426" i="1" s="1"/>
  <c r="HW344" i="1"/>
  <c r="HY344" i="1" s="1"/>
  <c r="HW346" i="1"/>
  <c r="HY346" i="1" s="1"/>
  <c r="HW340" i="1"/>
  <c r="HY340" i="1" s="1"/>
  <c r="HW326" i="1"/>
  <c r="HY326" i="1" s="1"/>
  <c r="HW291" i="1"/>
  <c r="HW294" i="1"/>
  <c r="HY294" i="1" s="1"/>
  <c r="HW314" i="1"/>
  <c r="HY314" i="1" s="1"/>
  <c r="HW301" i="1"/>
  <c r="HY301" i="1" s="1"/>
  <c r="HW267" i="1"/>
  <c r="HY267" i="1" s="1"/>
  <c r="HW268" i="1"/>
  <c r="HY268" i="1" s="1"/>
  <c r="HW269" i="1"/>
  <c r="HY269" i="1" s="1"/>
  <c r="HW270" i="1"/>
  <c r="HY270" i="1" s="1"/>
  <c r="HW271" i="1"/>
  <c r="HY271" i="1" s="1"/>
  <c r="HW280" i="1"/>
  <c r="HY280" i="1" s="1"/>
  <c r="HW281" i="1"/>
  <c r="HY281" i="1" s="1"/>
  <c r="HW170" i="1"/>
  <c r="HY170" i="1" s="1"/>
  <c r="HW156" i="1"/>
  <c r="HY156" i="1" s="1"/>
  <c r="HW150" i="1"/>
  <c r="HY150" i="1" s="1"/>
  <c r="HW175" i="1"/>
  <c r="HY175" i="1" s="1"/>
  <c r="HW121" i="1"/>
  <c r="HY121" i="1" s="1"/>
  <c r="HW136" i="1"/>
  <c r="HY136" i="1" s="1"/>
  <c r="HW116" i="1"/>
  <c r="HY116" i="1" s="1"/>
  <c r="HW133" i="1"/>
  <c r="HY133" i="1" s="1"/>
  <c r="HW127" i="1"/>
  <c r="HY127" i="1" s="1"/>
  <c r="HW401" i="1"/>
  <c r="HY401" i="1" s="1"/>
  <c r="HW404" i="1"/>
  <c r="HY404" i="1" s="1"/>
  <c r="HW410" i="1"/>
  <c r="HY410" i="1" s="1"/>
  <c r="HW415" i="1"/>
  <c r="HY415" i="1" s="1"/>
  <c r="HW379" i="1"/>
  <c r="HY379" i="1" s="1"/>
  <c r="HW402" i="1"/>
  <c r="HY402" i="1" s="1"/>
  <c r="HW366" i="1"/>
  <c r="HY366" i="1" s="1"/>
  <c r="HW352" i="1"/>
  <c r="HY352" i="1" s="1"/>
  <c r="HW354" i="1"/>
  <c r="HY354" i="1" s="1"/>
  <c r="HW348" i="1"/>
  <c r="HY348" i="1" s="1"/>
  <c r="HW334" i="1"/>
  <c r="HY334" i="1" s="1"/>
  <c r="HW299" i="1"/>
  <c r="HY299" i="1" s="1"/>
  <c r="HW296" i="1"/>
  <c r="HY296" i="1" s="1"/>
  <c r="HW298" i="1"/>
  <c r="HY298" i="1" s="1"/>
  <c r="HW309" i="1"/>
  <c r="HY309" i="1" s="1"/>
  <c r="HW275" i="1"/>
  <c r="HY275" i="1" s="1"/>
  <c r="HW276" i="1"/>
  <c r="HY276" i="1" s="1"/>
  <c r="HW277" i="1"/>
  <c r="HY277" i="1" s="1"/>
  <c r="HW278" i="1"/>
  <c r="HY278" i="1" s="1"/>
  <c r="HW279" i="1"/>
  <c r="HY279" i="1" s="1"/>
  <c r="HW219" i="1"/>
  <c r="HY219" i="1" s="1"/>
  <c r="HW220" i="1"/>
  <c r="HY220" i="1" s="1"/>
  <c r="HW164" i="1"/>
  <c r="HY164" i="1" s="1"/>
  <c r="HW158" i="1"/>
  <c r="HY158" i="1" s="1"/>
  <c r="HW274" i="1"/>
  <c r="HY274" i="1" s="1"/>
  <c r="HW129" i="1"/>
  <c r="HY129" i="1" s="1"/>
  <c r="HW153" i="1"/>
  <c r="HY153" i="1" s="1"/>
  <c r="HW124" i="1"/>
  <c r="HY124" i="1" s="1"/>
  <c r="HW177" i="1"/>
  <c r="HY177" i="1" s="1"/>
  <c r="HW135" i="1"/>
  <c r="HY135" i="1" s="1"/>
  <c r="HW409" i="1"/>
  <c r="HY409" i="1" s="1"/>
  <c r="HW412" i="1"/>
  <c r="HY412" i="1" s="1"/>
  <c r="HW368" i="1"/>
  <c r="HY368" i="1" s="1"/>
  <c r="HW362" i="1"/>
  <c r="HY362" i="1" s="1"/>
  <c r="HW387" i="1"/>
  <c r="HY387" i="1" s="1"/>
  <c r="HW423" i="1"/>
  <c r="HY423" i="1" s="1"/>
  <c r="HW374" i="1"/>
  <c r="HY374" i="1" s="1"/>
  <c r="HW329" i="1"/>
  <c r="HY329" i="1" s="1"/>
  <c r="HW331" i="1"/>
  <c r="HY331" i="1" s="1"/>
  <c r="HW325" i="1"/>
  <c r="HY325" i="1" s="1"/>
  <c r="HW342" i="1"/>
  <c r="HY342" i="1" s="1"/>
  <c r="HW351" i="1"/>
  <c r="HY351" i="1" s="1"/>
  <c r="HW305" i="1"/>
  <c r="HY305" i="1" s="1"/>
  <c r="HW307" i="1"/>
  <c r="HY307" i="1" s="1"/>
  <c r="HW317" i="1"/>
  <c r="HY317" i="1" s="1"/>
  <c r="HW283" i="1"/>
  <c r="HY283" i="1" s="1"/>
  <c r="HW284" i="1"/>
  <c r="HY284" i="1" s="1"/>
  <c r="HW254" i="1"/>
  <c r="HW225" i="1"/>
  <c r="HY225" i="1" s="1"/>
  <c r="HW226" i="1"/>
  <c r="HY226" i="1" s="1"/>
  <c r="HW227" i="1"/>
  <c r="HY227" i="1" s="1"/>
  <c r="HW228" i="1"/>
  <c r="HY228" i="1" s="1"/>
  <c r="HW237" i="1"/>
  <c r="HY237" i="1" s="1"/>
  <c r="HW172" i="1"/>
  <c r="HY172" i="1" s="1"/>
  <c r="HW166" i="1"/>
  <c r="HY166" i="1" s="1"/>
  <c r="HW152" i="1"/>
  <c r="HY152" i="1" s="1"/>
  <c r="HW137" i="1"/>
  <c r="HY137" i="1" s="1"/>
  <c r="HW115" i="1"/>
  <c r="HY115" i="1" s="1"/>
  <c r="HW132" i="1"/>
  <c r="HY132" i="1" s="1"/>
  <c r="HW118" i="1"/>
  <c r="HY118" i="1" s="1"/>
  <c r="HW417" i="1"/>
  <c r="HY417" i="1" s="1"/>
  <c r="HW420" i="1"/>
  <c r="HY420" i="1" s="1"/>
  <c r="HW376" i="1"/>
  <c r="HY376" i="1" s="1"/>
  <c r="HW370" i="1"/>
  <c r="HY370" i="1" s="1"/>
  <c r="HW397" i="1"/>
  <c r="HY397" i="1" s="1"/>
  <c r="HW365" i="1"/>
  <c r="HY365" i="1" s="1"/>
  <c r="HW382" i="1"/>
  <c r="HY382" i="1" s="1"/>
  <c r="HW337" i="1"/>
  <c r="HY337" i="1" s="1"/>
  <c r="HW339" i="1"/>
  <c r="HY339" i="1" s="1"/>
  <c r="HW367" i="1"/>
  <c r="HY367" i="1" s="1"/>
  <c r="HW350" i="1"/>
  <c r="HY350" i="1" s="1"/>
  <c r="HW292" i="1"/>
  <c r="HY292" i="1" s="1"/>
  <c r="HW313" i="1"/>
  <c r="HY313" i="1" s="1"/>
  <c r="HW315" i="1"/>
  <c r="HY315" i="1" s="1"/>
  <c r="HW293" i="1"/>
  <c r="HY293" i="1" s="1"/>
  <c r="HW222" i="1"/>
  <c r="HY222" i="1" s="1"/>
  <c r="HW223" i="1"/>
  <c r="HY223" i="1" s="1"/>
  <c r="HW224" i="1"/>
  <c r="HY224" i="1" s="1"/>
  <c r="HW233" i="1"/>
  <c r="HY233" i="1" s="1"/>
  <c r="HW234" i="1"/>
  <c r="HY234" i="1" s="1"/>
  <c r="HW235" i="1"/>
  <c r="HY235" i="1" s="1"/>
  <c r="HW236" i="1"/>
  <c r="HY236" i="1" s="1"/>
  <c r="HW155" i="1"/>
  <c r="HY155" i="1" s="1"/>
  <c r="HW149" i="1"/>
  <c r="HY149" i="1" s="1"/>
  <c r="HW174" i="1"/>
  <c r="HY174" i="1" s="1"/>
  <c r="HW160" i="1"/>
  <c r="HY160" i="1" s="1"/>
  <c r="HW120" i="1"/>
  <c r="HY120" i="1" s="1"/>
  <c r="HW123" i="1"/>
  <c r="HY123" i="1" s="1"/>
  <c r="HW140" i="1"/>
  <c r="HY140" i="1" s="1"/>
  <c r="HW126" i="1"/>
  <c r="HY126" i="1" s="1"/>
  <c r="IO408" i="1"/>
  <c r="IQ408" i="1" s="1"/>
  <c r="IO411" i="1"/>
  <c r="IQ411" i="1" s="1"/>
  <c r="IO406" i="1"/>
  <c r="IQ406" i="1" s="1"/>
  <c r="IO417" i="1"/>
  <c r="IQ417" i="1" s="1"/>
  <c r="IO384" i="1"/>
  <c r="IQ384" i="1" s="1"/>
  <c r="IO386" i="1"/>
  <c r="IQ386" i="1" s="1"/>
  <c r="IO372" i="1"/>
  <c r="IQ372" i="1" s="1"/>
  <c r="IO328" i="1"/>
  <c r="IQ328" i="1" s="1"/>
  <c r="IO353" i="1"/>
  <c r="IQ353" i="1" s="1"/>
  <c r="IO331" i="1"/>
  <c r="IQ331" i="1" s="1"/>
  <c r="IO333" i="1"/>
  <c r="IQ333" i="1" s="1"/>
  <c r="IO305" i="1"/>
  <c r="IQ305" i="1" s="1"/>
  <c r="IO307" i="1"/>
  <c r="IQ307" i="1" s="1"/>
  <c r="IO309" i="1"/>
  <c r="IQ309" i="1" s="1"/>
  <c r="IO296" i="1"/>
  <c r="IQ296" i="1" s="1"/>
  <c r="IO277" i="1"/>
  <c r="IQ277" i="1" s="1"/>
  <c r="IO256" i="1"/>
  <c r="IQ256" i="1" s="1"/>
  <c r="IO274" i="1"/>
  <c r="IQ274" i="1" s="1"/>
  <c r="IO228" i="1"/>
  <c r="IQ228" i="1" s="1"/>
  <c r="IO229" i="1"/>
  <c r="IQ229" i="1" s="1"/>
  <c r="IO230" i="1"/>
  <c r="IQ230" i="1" s="1"/>
  <c r="IO223" i="1"/>
  <c r="IQ223" i="1" s="1"/>
  <c r="IO284" i="1"/>
  <c r="IQ284" i="1" s="1"/>
  <c r="IO210" i="1"/>
  <c r="IQ210" i="1" s="1"/>
  <c r="IO203" i="1"/>
  <c r="IQ203" i="1" s="1"/>
  <c r="IO212" i="1"/>
  <c r="IQ212" i="1" s="1"/>
  <c r="IO205" i="1"/>
  <c r="IQ205" i="1" s="1"/>
  <c r="IO162" i="1"/>
  <c r="IQ162" i="1" s="1"/>
  <c r="IO164" i="1"/>
  <c r="IQ164" i="1" s="1"/>
  <c r="IO166" i="1"/>
  <c r="IQ166" i="1" s="1"/>
  <c r="IO126" i="1"/>
  <c r="IQ126" i="1" s="1"/>
  <c r="IO140" i="1"/>
  <c r="IQ140" i="1" s="1"/>
  <c r="IO113" i="1"/>
  <c r="IQ113" i="1" s="1"/>
  <c r="IO138" i="1"/>
  <c r="IQ138" i="1" s="1"/>
  <c r="IO416" i="1"/>
  <c r="IQ416" i="1" s="1"/>
  <c r="IO419" i="1"/>
  <c r="IQ419" i="1" s="1"/>
  <c r="IO414" i="1"/>
  <c r="IQ414" i="1" s="1"/>
  <c r="IO367" i="1"/>
  <c r="IQ367" i="1" s="1"/>
  <c r="IO425" i="1"/>
  <c r="IQ425" i="1" s="1"/>
  <c r="IO401" i="1"/>
  <c r="IQ401" i="1" s="1"/>
  <c r="IO380" i="1"/>
  <c r="IQ380" i="1" s="1"/>
  <c r="IO336" i="1"/>
  <c r="IQ336" i="1" s="1"/>
  <c r="IO409" i="1"/>
  <c r="IQ409" i="1" s="1"/>
  <c r="IO339" i="1"/>
  <c r="IQ339" i="1" s="1"/>
  <c r="IO341" i="1"/>
  <c r="IQ341" i="1" s="1"/>
  <c r="IO313" i="1"/>
  <c r="IQ313" i="1" s="1"/>
  <c r="IO315" i="1"/>
  <c r="IQ315" i="1" s="1"/>
  <c r="IO350" i="1"/>
  <c r="IQ350" i="1" s="1"/>
  <c r="IO318" i="1"/>
  <c r="IQ318" i="1" s="1"/>
  <c r="IO262" i="1"/>
  <c r="IQ262" i="1" s="1"/>
  <c r="IO264" i="1"/>
  <c r="IQ264" i="1" s="1"/>
  <c r="IO282" i="1"/>
  <c r="IQ282" i="1" s="1"/>
  <c r="IO236" i="1"/>
  <c r="IQ236" i="1" s="1"/>
  <c r="IO237" i="1"/>
  <c r="IQ237" i="1" s="1"/>
  <c r="IO238" i="1"/>
  <c r="IQ238" i="1" s="1"/>
  <c r="IO231" i="1"/>
  <c r="IQ231" i="1" s="1"/>
  <c r="IO224" i="1"/>
  <c r="IQ224" i="1" s="1"/>
  <c r="IO254" i="1"/>
  <c r="IQ254" i="1" s="1"/>
  <c r="IO211" i="1"/>
  <c r="IQ211" i="1" s="1"/>
  <c r="IO227" i="1"/>
  <c r="IQ227" i="1" s="1"/>
  <c r="IO153" i="1"/>
  <c r="IQ153" i="1" s="1"/>
  <c r="IO170" i="1"/>
  <c r="IQ170" i="1" s="1"/>
  <c r="IO172" i="1"/>
  <c r="IQ172" i="1" s="1"/>
  <c r="IO174" i="1"/>
  <c r="IQ174" i="1" s="1"/>
  <c r="IO134" i="1"/>
  <c r="IQ134" i="1" s="1"/>
  <c r="IO159" i="1"/>
  <c r="IQ159" i="1" s="1"/>
  <c r="IO121" i="1"/>
  <c r="IQ121" i="1" s="1"/>
  <c r="IO132" i="1"/>
  <c r="IQ132" i="1" s="1"/>
  <c r="IO424" i="1"/>
  <c r="IQ424" i="1" s="1"/>
  <c r="IO396" i="1"/>
  <c r="IQ396" i="1" s="1"/>
  <c r="IO422" i="1"/>
  <c r="IQ422" i="1" s="1"/>
  <c r="IO375" i="1"/>
  <c r="IQ375" i="1" s="1"/>
  <c r="IO369" i="1"/>
  <c r="IQ369" i="1" s="1"/>
  <c r="IO363" i="1"/>
  <c r="IQ363" i="1" s="1"/>
  <c r="IO388" i="1"/>
  <c r="IQ388" i="1" s="1"/>
  <c r="IO344" i="1"/>
  <c r="IQ344" i="1" s="1"/>
  <c r="IO381" i="1"/>
  <c r="IQ381" i="1" s="1"/>
  <c r="IO347" i="1"/>
  <c r="IQ347" i="1" s="1"/>
  <c r="IO349" i="1"/>
  <c r="IQ349" i="1" s="1"/>
  <c r="IO298" i="1"/>
  <c r="IQ298" i="1" s="1"/>
  <c r="IO334" i="1"/>
  <c r="IQ334" i="1" s="1"/>
  <c r="IO310" i="1"/>
  <c r="IQ310" i="1" s="1"/>
  <c r="IO301" i="1"/>
  <c r="IQ301" i="1" s="1"/>
  <c r="IO270" i="1"/>
  <c r="IQ270" i="1" s="1"/>
  <c r="IO272" i="1"/>
  <c r="IQ272" i="1" s="1"/>
  <c r="IO259" i="1"/>
  <c r="IQ259" i="1" s="1"/>
  <c r="IO244" i="1"/>
  <c r="IQ244" i="1" s="1"/>
  <c r="IO245" i="1"/>
  <c r="IQ245" i="1" s="1"/>
  <c r="IO246" i="1"/>
  <c r="IQ246" i="1" s="1"/>
  <c r="IO239" i="1"/>
  <c r="IQ239" i="1" s="1"/>
  <c r="IO232" i="1"/>
  <c r="IQ232" i="1" s="1"/>
  <c r="IO225" i="1"/>
  <c r="IQ225" i="1" s="1"/>
  <c r="IO226" i="1"/>
  <c r="IQ226" i="1" s="1"/>
  <c r="IO197" i="1"/>
  <c r="IQ197" i="1" s="1"/>
  <c r="IO161" i="1"/>
  <c r="IQ161" i="1" s="1"/>
  <c r="IO149" i="1"/>
  <c r="IQ149" i="1" s="1"/>
  <c r="IO117" i="1"/>
  <c r="IQ117" i="1" s="1"/>
  <c r="IO112" i="1"/>
  <c r="IQ112" i="1" s="1"/>
  <c r="IO120" i="1"/>
  <c r="IQ120" i="1" s="1"/>
  <c r="IO129" i="1"/>
  <c r="IQ129" i="1" s="1"/>
  <c r="IO115" i="1"/>
  <c r="IQ115" i="1" s="1"/>
  <c r="IO399" i="1"/>
  <c r="IQ399" i="1" s="1"/>
  <c r="IO402" i="1"/>
  <c r="IQ402" i="1" s="1"/>
  <c r="IO397" i="1"/>
  <c r="IQ397" i="1" s="1"/>
  <c r="IO412" i="1"/>
  <c r="IQ412" i="1" s="1"/>
  <c r="IO383" i="1"/>
  <c r="IQ383" i="1" s="1"/>
  <c r="IO377" i="1"/>
  <c r="IQ377" i="1" s="1"/>
  <c r="IO371" i="1"/>
  <c r="IQ371" i="1" s="1"/>
  <c r="IO327" i="1"/>
  <c r="IQ327" i="1" s="1"/>
  <c r="IO352" i="1"/>
  <c r="IQ352" i="1" s="1"/>
  <c r="IO330" i="1"/>
  <c r="IQ330" i="1" s="1"/>
  <c r="IO355" i="1"/>
  <c r="IQ355" i="1" s="1"/>
  <c r="IO295" i="1"/>
  <c r="IQ295" i="1" s="1"/>
  <c r="IO306" i="1"/>
  <c r="IQ306" i="1" s="1"/>
  <c r="IO292" i="1"/>
  <c r="IQ292" i="1" s="1"/>
  <c r="IO293" i="1"/>
  <c r="IQ293" i="1" s="1"/>
  <c r="IO290" i="1"/>
  <c r="IO278" i="1"/>
  <c r="IQ278" i="1" s="1"/>
  <c r="IO280" i="1"/>
  <c r="IQ280" i="1" s="1"/>
  <c r="IO267" i="1"/>
  <c r="IQ267" i="1" s="1"/>
  <c r="IO190" i="1"/>
  <c r="IQ190" i="1" s="1"/>
  <c r="IO191" i="1"/>
  <c r="IQ191" i="1" s="1"/>
  <c r="IO184" i="1"/>
  <c r="IQ184" i="1" s="1"/>
  <c r="IO247" i="1"/>
  <c r="IQ247" i="1" s="1"/>
  <c r="IO240" i="1"/>
  <c r="IQ240" i="1" s="1"/>
  <c r="IO233" i="1"/>
  <c r="IQ233" i="1" s="1"/>
  <c r="IO234" i="1"/>
  <c r="IQ234" i="1" s="1"/>
  <c r="IO152" i="1"/>
  <c r="IQ152" i="1" s="1"/>
  <c r="IO169" i="1"/>
  <c r="IQ169" i="1" s="1"/>
  <c r="IO155" i="1"/>
  <c r="IQ155" i="1" s="1"/>
  <c r="IO157" i="1"/>
  <c r="IQ157" i="1" s="1"/>
  <c r="IO125" i="1"/>
  <c r="IQ125" i="1" s="1"/>
  <c r="IO219" i="1"/>
  <c r="IQ219" i="1" s="1"/>
  <c r="IO128" i="1"/>
  <c r="IQ128" i="1" s="1"/>
  <c r="IO137" i="1"/>
  <c r="IQ137" i="1" s="1"/>
  <c r="IO123" i="1"/>
  <c r="IQ123" i="1" s="1"/>
  <c r="IO407" i="1"/>
  <c r="IQ407" i="1" s="1"/>
  <c r="IO410" i="1"/>
  <c r="IQ410" i="1" s="1"/>
  <c r="IO405" i="1"/>
  <c r="IQ405" i="1" s="1"/>
  <c r="IO366" i="1"/>
  <c r="IQ366" i="1" s="1"/>
  <c r="IO361" i="1"/>
  <c r="IO385" i="1"/>
  <c r="IQ385" i="1" s="1"/>
  <c r="IO379" i="1"/>
  <c r="IQ379" i="1" s="1"/>
  <c r="IO335" i="1"/>
  <c r="IQ335" i="1" s="1"/>
  <c r="IO373" i="1"/>
  <c r="IQ373" i="1" s="1"/>
  <c r="IO338" i="1"/>
  <c r="IQ338" i="1" s="1"/>
  <c r="IO332" i="1"/>
  <c r="IQ332" i="1" s="1"/>
  <c r="IO303" i="1"/>
  <c r="IQ303" i="1" s="1"/>
  <c r="IO314" i="1"/>
  <c r="IQ314" i="1" s="1"/>
  <c r="IO300" i="1"/>
  <c r="IQ300" i="1" s="1"/>
  <c r="IO312" i="1"/>
  <c r="IQ312" i="1" s="1"/>
  <c r="IO302" i="1"/>
  <c r="IQ302" i="1" s="1"/>
  <c r="IO255" i="1"/>
  <c r="IQ255" i="1" s="1"/>
  <c r="IO257" i="1"/>
  <c r="IQ257" i="1" s="1"/>
  <c r="IO275" i="1"/>
  <c r="IQ275" i="1" s="1"/>
  <c r="IO198" i="1"/>
  <c r="IQ198" i="1" s="1"/>
  <c r="IO199" i="1"/>
  <c r="IQ199" i="1" s="1"/>
  <c r="IO192" i="1"/>
  <c r="IQ192" i="1" s="1"/>
  <c r="IO185" i="1"/>
  <c r="IQ185" i="1" s="1"/>
  <c r="IO248" i="1"/>
  <c r="IQ248" i="1" s="1"/>
  <c r="IO241" i="1"/>
  <c r="IQ241" i="1" s="1"/>
  <c r="IO242" i="1"/>
  <c r="IQ242" i="1" s="1"/>
  <c r="IO160" i="1"/>
  <c r="IQ160" i="1" s="1"/>
  <c r="IO177" i="1"/>
  <c r="IQ177" i="1" s="1"/>
  <c r="IO163" i="1"/>
  <c r="IQ163" i="1" s="1"/>
  <c r="IO165" i="1"/>
  <c r="IQ165" i="1" s="1"/>
  <c r="IO133" i="1"/>
  <c r="IQ133" i="1" s="1"/>
  <c r="IO151" i="1"/>
  <c r="IQ151" i="1" s="1"/>
  <c r="IO136" i="1"/>
  <c r="IQ136" i="1" s="1"/>
  <c r="IO175" i="1"/>
  <c r="IQ175" i="1" s="1"/>
  <c r="IO131" i="1"/>
  <c r="IQ131" i="1" s="1"/>
  <c r="IO415" i="1"/>
  <c r="IQ415" i="1" s="1"/>
  <c r="IO418" i="1"/>
  <c r="IQ418" i="1" s="1"/>
  <c r="IO413" i="1"/>
  <c r="IQ413" i="1" s="1"/>
  <c r="IO374" i="1"/>
  <c r="IQ374" i="1" s="1"/>
  <c r="IO420" i="1"/>
  <c r="IQ420" i="1" s="1"/>
  <c r="IO362" i="1"/>
  <c r="IQ362" i="1" s="1"/>
  <c r="IO387" i="1"/>
  <c r="IQ387" i="1" s="1"/>
  <c r="IO343" i="1"/>
  <c r="IQ343" i="1" s="1"/>
  <c r="IO329" i="1"/>
  <c r="IQ329" i="1" s="1"/>
  <c r="IO346" i="1"/>
  <c r="IQ346" i="1" s="1"/>
  <c r="IO340" i="1"/>
  <c r="IQ340" i="1" s="1"/>
  <c r="IO311" i="1"/>
  <c r="IQ311" i="1" s="1"/>
  <c r="IO326" i="1"/>
  <c r="IQ326" i="1" s="1"/>
  <c r="IO308" i="1"/>
  <c r="IQ308" i="1" s="1"/>
  <c r="IO304" i="1"/>
  <c r="IQ304" i="1" s="1"/>
  <c r="IO260" i="1"/>
  <c r="IQ260" i="1" s="1"/>
  <c r="IO263" i="1"/>
  <c r="IQ263" i="1" s="1"/>
  <c r="IO265" i="1"/>
  <c r="IQ265" i="1" s="1"/>
  <c r="IO283" i="1"/>
  <c r="IQ283" i="1" s="1"/>
  <c r="IO206" i="1"/>
  <c r="IQ206" i="1" s="1"/>
  <c r="IO207" i="1"/>
  <c r="IQ207" i="1" s="1"/>
  <c r="IO200" i="1"/>
  <c r="IQ200" i="1" s="1"/>
  <c r="IO193" i="1"/>
  <c r="IQ193" i="1" s="1"/>
  <c r="IO186" i="1"/>
  <c r="IQ186" i="1" s="1"/>
  <c r="IO218" i="1"/>
  <c r="IO188" i="1"/>
  <c r="IQ188" i="1" s="1"/>
  <c r="IO168" i="1"/>
  <c r="IQ168" i="1" s="1"/>
  <c r="IO243" i="1"/>
  <c r="IQ243" i="1" s="1"/>
  <c r="IO171" i="1"/>
  <c r="IQ171" i="1" s="1"/>
  <c r="IO173" i="1"/>
  <c r="IQ173" i="1" s="1"/>
  <c r="IO141" i="1"/>
  <c r="IQ141" i="1" s="1"/>
  <c r="IO119" i="1"/>
  <c r="IQ119" i="1" s="1"/>
  <c r="IO116" i="1"/>
  <c r="IQ116" i="1" s="1"/>
  <c r="IO114" i="1"/>
  <c r="IQ114" i="1" s="1"/>
  <c r="IO139" i="1"/>
  <c r="IQ139" i="1" s="1"/>
  <c r="IO423" i="1"/>
  <c r="IQ423" i="1" s="1"/>
  <c r="IO426" i="1"/>
  <c r="IQ426" i="1" s="1"/>
  <c r="IO421" i="1"/>
  <c r="IQ421" i="1" s="1"/>
  <c r="IO382" i="1"/>
  <c r="IQ382" i="1" s="1"/>
  <c r="IO368" i="1"/>
  <c r="IQ368" i="1" s="1"/>
  <c r="IO370" i="1"/>
  <c r="IQ370" i="1" s="1"/>
  <c r="IO404" i="1"/>
  <c r="IQ404" i="1" s="1"/>
  <c r="IO351" i="1"/>
  <c r="IQ351" i="1" s="1"/>
  <c r="IO337" i="1"/>
  <c r="IQ337" i="1" s="1"/>
  <c r="IO354" i="1"/>
  <c r="IQ354" i="1" s="1"/>
  <c r="IO348" i="1"/>
  <c r="IQ348" i="1" s="1"/>
  <c r="IO319" i="1"/>
  <c r="IQ319" i="1" s="1"/>
  <c r="IO291" i="1"/>
  <c r="IQ291" i="1" s="1"/>
  <c r="IO316" i="1"/>
  <c r="IQ316" i="1" s="1"/>
  <c r="IO294" i="1"/>
  <c r="IQ294" i="1" s="1"/>
  <c r="IO261" i="1"/>
  <c r="IQ261" i="1" s="1"/>
  <c r="IO271" i="1"/>
  <c r="IQ271" i="1" s="1"/>
  <c r="IO258" i="1"/>
  <c r="IQ258" i="1" s="1"/>
  <c r="IO268" i="1"/>
  <c r="IQ268" i="1" s="1"/>
  <c r="IO273" i="1"/>
  <c r="IQ273" i="1" s="1"/>
  <c r="IO276" i="1"/>
  <c r="IQ276" i="1" s="1"/>
  <c r="IO208" i="1"/>
  <c r="IQ208" i="1" s="1"/>
  <c r="IO201" i="1"/>
  <c r="IQ201" i="1" s="1"/>
  <c r="IO194" i="1"/>
  <c r="IQ194" i="1" s="1"/>
  <c r="IO187" i="1"/>
  <c r="IQ187" i="1" s="1"/>
  <c r="IO196" i="1"/>
  <c r="IQ196" i="1" s="1"/>
  <c r="IO176" i="1"/>
  <c r="IQ176" i="1" s="1"/>
  <c r="IO183" i="1"/>
  <c r="IQ183" i="1" s="1"/>
  <c r="IO148" i="1"/>
  <c r="IQ148" i="1" s="1"/>
  <c r="IO150" i="1"/>
  <c r="IQ150" i="1" s="1"/>
  <c r="IO124" i="1"/>
  <c r="IQ124" i="1" s="1"/>
  <c r="IO127" i="1"/>
  <c r="IQ127" i="1" s="1"/>
  <c r="IO189" i="1"/>
  <c r="IQ189" i="1" s="1"/>
  <c r="IO122" i="1"/>
  <c r="IQ122" i="1" s="1"/>
  <c r="IO400" i="1"/>
  <c r="IQ400" i="1" s="1"/>
  <c r="IO403" i="1"/>
  <c r="IQ403" i="1" s="1"/>
  <c r="IO398" i="1"/>
  <c r="IQ398" i="1" s="1"/>
  <c r="IO390" i="1"/>
  <c r="IQ390" i="1" s="1"/>
  <c r="IO376" i="1"/>
  <c r="IQ376" i="1" s="1"/>
  <c r="IO378" i="1"/>
  <c r="IQ378" i="1" s="1"/>
  <c r="IO364" i="1"/>
  <c r="IQ364" i="1" s="1"/>
  <c r="IO365" i="1"/>
  <c r="IQ365" i="1" s="1"/>
  <c r="IO345" i="1"/>
  <c r="IQ345" i="1" s="1"/>
  <c r="IO389" i="1"/>
  <c r="IQ389" i="1" s="1"/>
  <c r="IO325" i="1"/>
  <c r="IQ325" i="1" s="1"/>
  <c r="IO297" i="1"/>
  <c r="IQ297" i="1" s="1"/>
  <c r="IO299" i="1"/>
  <c r="IQ299" i="1" s="1"/>
  <c r="IO342" i="1"/>
  <c r="IQ342" i="1" s="1"/>
  <c r="IO317" i="1"/>
  <c r="IQ317" i="1" s="1"/>
  <c r="IO269" i="1"/>
  <c r="IQ269" i="1" s="1"/>
  <c r="IO279" i="1"/>
  <c r="IQ279" i="1" s="1"/>
  <c r="IO266" i="1"/>
  <c r="IQ266" i="1" s="1"/>
  <c r="IO220" i="1"/>
  <c r="IQ220" i="1" s="1"/>
  <c r="IO221" i="1"/>
  <c r="IQ221" i="1" s="1"/>
  <c r="IO222" i="1"/>
  <c r="IQ222" i="1" s="1"/>
  <c r="IO281" i="1"/>
  <c r="IQ281" i="1" s="1"/>
  <c r="IO209" i="1"/>
  <c r="IQ209" i="1" s="1"/>
  <c r="IO202" i="1"/>
  <c r="IQ202" i="1" s="1"/>
  <c r="IO195" i="1"/>
  <c r="IQ195" i="1" s="1"/>
  <c r="IO204" i="1"/>
  <c r="IQ204" i="1" s="1"/>
  <c r="IO235" i="1"/>
  <c r="IQ235" i="1" s="1"/>
  <c r="IO154" i="1"/>
  <c r="IQ154" i="1" s="1"/>
  <c r="IO156" i="1"/>
  <c r="IQ156" i="1" s="1"/>
  <c r="IO158" i="1"/>
  <c r="IQ158" i="1" s="1"/>
  <c r="IO118" i="1"/>
  <c r="IQ118" i="1" s="1"/>
  <c r="IO135" i="1"/>
  <c r="IQ135" i="1" s="1"/>
  <c r="IO167" i="1"/>
  <c r="IQ167" i="1" s="1"/>
  <c r="IO130" i="1"/>
  <c r="IQ130" i="1" s="1"/>
  <c r="IX398" i="1"/>
  <c r="IZ398" i="1" s="1"/>
  <c r="IX401" i="1"/>
  <c r="IZ401" i="1" s="1"/>
  <c r="IX404" i="1"/>
  <c r="IZ404" i="1" s="1"/>
  <c r="IX364" i="1"/>
  <c r="IZ364" i="1" s="1"/>
  <c r="IX389" i="1"/>
  <c r="IZ389" i="1" s="1"/>
  <c r="IX375" i="1"/>
  <c r="IZ375" i="1" s="1"/>
  <c r="IX369" i="1"/>
  <c r="IZ369" i="1" s="1"/>
  <c r="IX387" i="1"/>
  <c r="IZ387" i="1" s="1"/>
  <c r="IX351" i="1"/>
  <c r="IZ351" i="1" s="1"/>
  <c r="IX345" i="1"/>
  <c r="IZ345" i="1" s="1"/>
  <c r="IX339" i="1"/>
  <c r="IZ339" i="1" s="1"/>
  <c r="IX379" i="1"/>
  <c r="IZ379" i="1" s="1"/>
  <c r="IX310" i="1"/>
  <c r="IZ310" i="1" s="1"/>
  <c r="IX296" i="1"/>
  <c r="IZ296" i="1" s="1"/>
  <c r="IX306" i="1"/>
  <c r="IZ306" i="1" s="1"/>
  <c r="IX307" i="1"/>
  <c r="IZ307" i="1" s="1"/>
  <c r="IX276" i="1"/>
  <c r="IZ276" i="1" s="1"/>
  <c r="IX278" i="1"/>
  <c r="IZ278" i="1" s="1"/>
  <c r="IX280" i="1"/>
  <c r="IZ280" i="1" s="1"/>
  <c r="IX282" i="1"/>
  <c r="IZ282" i="1" s="1"/>
  <c r="IX212" i="1"/>
  <c r="IZ212" i="1" s="1"/>
  <c r="IX183" i="1"/>
  <c r="IZ183" i="1" s="1"/>
  <c r="IX222" i="1"/>
  <c r="IZ222" i="1" s="1"/>
  <c r="IX231" i="1"/>
  <c r="IZ231" i="1" s="1"/>
  <c r="IX232" i="1"/>
  <c r="IZ232" i="1" s="1"/>
  <c r="IX233" i="1"/>
  <c r="IZ233" i="1" s="1"/>
  <c r="IX159" i="1"/>
  <c r="IZ159" i="1" s="1"/>
  <c r="IX161" i="1"/>
  <c r="IZ161" i="1" s="1"/>
  <c r="IX226" i="1"/>
  <c r="IZ226" i="1" s="1"/>
  <c r="IX156" i="1"/>
  <c r="IZ156" i="1" s="1"/>
  <c r="IX173" i="1"/>
  <c r="IZ173" i="1" s="1"/>
  <c r="IX124" i="1"/>
  <c r="IZ124" i="1" s="1"/>
  <c r="IX158" i="1"/>
  <c r="IZ158" i="1" s="1"/>
  <c r="IX135" i="1"/>
  <c r="IZ135" i="1" s="1"/>
  <c r="IX129" i="1"/>
  <c r="IZ129" i="1" s="1"/>
  <c r="IX406" i="1"/>
  <c r="IZ406" i="1" s="1"/>
  <c r="IX409" i="1"/>
  <c r="IZ409" i="1" s="1"/>
  <c r="IX412" i="1"/>
  <c r="IZ412" i="1" s="1"/>
  <c r="IX372" i="1"/>
  <c r="IZ372" i="1" s="1"/>
  <c r="IX419" i="1"/>
  <c r="IZ419" i="1" s="1"/>
  <c r="IX383" i="1"/>
  <c r="IZ383" i="1" s="1"/>
  <c r="IX377" i="1"/>
  <c r="IZ377" i="1" s="1"/>
  <c r="IX326" i="1"/>
  <c r="IZ326" i="1" s="1"/>
  <c r="IX408" i="1"/>
  <c r="IZ408" i="1" s="1"/>
  <c r="IX353" i="1"/>
  <c r="IZ353" i="1" s="1"/>
  <c r="IX347" i="1"/>
  <c r="IZ347" i="1" s="1"/>
  <c r="IX293" i="1"/>
  <c r="IZ293" i="1" s="1"/>
  <c r="IX318" i="1"/>
  <c r="IZ318" i="1" s="1"/>
  <c r="IX304" i="1"/>
  <c r="IZ304" i="1" s="1"/>
  <c r="IX314" i="1"/>
  <c r="IZ314" i="1" s="1"/>
  <c r="IX308" i="1"/>
  <c r="IZ308" i="1" s="1"/>
  <c r="IX284" i="1"/>
  <c r="IZ284" i="1" s="1"/>
  <c r="IX255" i="1"/>
  <c r="IZ255" i="1" s="1"/>
  <c r="IX257" i="1"/>
  <c r="IZ257" i="1" s="1"/>
  <c r="IX219" i="1"/>
  <c r="IZ219" i="1" s="1"/>
  <c r="IX220" i="1"/>
  <c r="IZ220" i="1" s="1"/>
  <c r="IX221" i="1"/>
  <c r="IZ221" i="1" s="1"/>
  <c r="IX230" i="1"/>
  <c r="IZ230" i="1" s="1"/>
  <c r="IX239" i="1"/>
  <c r="IZ239" i="1" s="1"/>
  <c r="IX240" i="1"/>
  <c r="IZ240" i="1" s="1"/>
  <c r="IX241" i="1"/>
  <c r="IZ241" i="1" s="1"/>
  <c r="IX167" i="1"/>
  <c r="IZ167" i="1" s="1"/>
  <c r="IX169" i="1"/>
  <c r="IZ169" i="1" s="1"/>
  <c r="IX195" i="1"/>
  <c r="IZ195" i="1" s="1"/>
  <c r="IX164" i="1"/>
  <c r="IZ164" i="1" s="1"/>
  <c r="IX166" i="1"/>
  <c r="IZ166" i="1" s="1"/>
  <c r="IX132" i="1"/>
  <c r="IZ132" i="1" s="1"/>
  <c r="IX114" i="1"/>
  <c r="IZ114" i="1" s="1"/>
  <c r="IX138" i="1"/>
  <c r="IZ138" i="1" s="1"/>
  <c r="IX137" i="1"/>
  <c r="IZ137" i="1" s="1"/>
  <c r="IX414" i="1"/>
  <c r="IZ414" i="1" s="1"/>
  <c r="IX417" i="1"/>
  <c r="IZ417" i="1" s="1"/>
  <c r="IX420" i="1"/>
  <c r="IZ420" i="1" s="1"/>
  <c r="IX380" i="1"/>
  <c r="IZ380" i="1" s="1"/>
  <c r="IX366" i="1"/>
  <c r="IZ366" i="1" s="1"/>
  <c r="IX361" i="1"/>
  <c r="IX385" i="1"/>
  <c r="IZ385" i="1" s="1"/>
  <c r="IX334" i="1"/>
  <c r="IZ334" i="1" s="1"/>
  <c r="IX328" i="1"/>
  <c r="IZ328" i="1" s="1"/>
  <c r="IX330" i="1"/>
  <c r="IZ330" i="1" s="1"/>
  <c r="IX355" i="1"/>
  <c r="IZ355" i="1" s="1"/>
  <c r="IX301" i="1"/>
  <c r="IZ301" i="1" s="1"/>
  <c r="IX341" i="1"/>
  <c r="IZ341" i="1" s="1"/>
  <c r="IX312" i="1"/>
  <c r="IZ312" i="1" s="1"/>
  <c r="IX315" i="1"/>
  <c r="IZ315" i="1" s="1"/>
  <c r="IX259" i="1"/>
  <c r="IZ259" i="1" s="1"/>
  <c r="IX261" i="1"/>
  <c r="IZ261" i="1" s="1"/>
  <c r="IX263" i="1"/>
  <c r="IZ263" i="1" s="1"/>
  <c r="IX265" i="1"/>
  <c r="IZ265" i="1" s="1"/>
  <c r="IX227" i="1"/>
  <c r="IZ227" i="1" s="1"/>
  <c r="IX228" i="1"/>
  <c r="IZ228" i="1" s="1"/>
  <c r="IX229" i="1"/>
  <c r="IZ229" i="1" s="1"/>
  <c r="IX238" i="1"/>
  <c r="IZ238" i="1" s="1"/>
  <c r="IX247" i="1"/>
  <c r="IZ247" i="1" s="1"/>
  <c r="IX248" i="1"/>
  <c r="IZ248" i="1" s="1"/>
  <c r="IX218" i="1"/>
  <c r="IX175" i="1"/>
  <c r="IZ175" i="1" s="1"/>
  <c r="IX177" i="1"/>
  <c r="IZ177" i="1" s="1"/>
  <c r="IX155" i="1"/>
  <c r="IZ155" i="1" s="1"/>
  <c r="IX172" i="1"/>
  <c r="IZ172" i="1" s="1"/>
  <c r="IX115" i="1"/>
  <c r="IZ115" i="1" s="1"/>
  <c r="IX140" i="1"/>
  <c r="IZ140" i="1" s="1"/>
  <c r="IX118" i="1"/>
  <c r="IZ118" i="1" s="1"/>
  <c r="IX120" i="1"/>
  <c r="IZ120" i="1" s="1"/>
  <c r="IX130" i="1"/>
  <c r="IZ130" i="1" s="1"/>
  <c r="IX422" i="1"/>
  <c r="IZ422" i="1" s="1"/>
  <c r="IX425" i="1"/>
  <c r="IZ425" i="1" s="1"/>
  <c r="IX397" i="1"/>
  <c r="IZ397" i="1" s="1"/>
  <c r="IX388" i="1"/>
  <c r="IZ388" i="1" s="1"/>
  <c r="IX374" i="1"/>
  <c r="IZ374" i="1" s="1"/>
  <c r="IX396" i="1"/>
  <c r="IZ396" i="1" s="1"/>
  <c r="IX403" i="1"/>
  <c r="IZ403" i="1" s="1"/>
  <c r="IX342" i="1"/>
  <c r="IZ342" i="1" s="1"/>
  <c r="IX336" i="1"/>
  <c r="IZ336" i="1" s="1"/>
  <c r="IX338" i="1"/>
  <c r="IZ338" i="1" s="1"/>
  <c r="IX371" i="1"/>
  <c r="IZ371" i="1" s="1"/>
  <c r="IX309" i="1"/>
  <c r="IZ309" i="1" s="1"/>
  <c r="IX295" i="1"/>
  <c r="IZ295" i="1" s="1"/>
  <c r="IX290" i="1"/>
  <c r="IX316" i="1"/>
  <c r="IZ316" i="1" s="1"/>
  <c r="IX267" i="1"/>
  <c r="IZ267" i="1" s="1"/>
  <c r="IX269" i="1"/>
  <c r="IZ269" i="1" s="1"/>
  <c r="IX271" i="1"/>
  <c r="IZ271" i="1" s="1"/>
  <c r="IX273" i="1"/>
  <c r="IZ273" i="1" s="1"/>
  <c r="IX235" i="1"/>
  <c r="IZ235" i="1" s="1"/>
  <c r="IX236" i="1"/>
  <c r="IZ236" i="1" s="1"/>
  <c r="IX237" i="1"/>
  <c r="IZ237" i="1" s="1"/>
  <c r="IX246" i="1"/>
  <c r="IZ246" i="1" s="1"/>
  <c r="IX184" i="1"/>
  <c r="IZ184" i="1" s="1"/>
  <c r="IX185" i="1"/>
  <c r="IZ185" i="1" s="1"/>
  <c r="IX186" i="1"/>
  <c r="IZ186" i="1" s="1"/>
  <c r="IX152" i="1"/>
  <c r="IZ152" i="1" s="1"/>
  <c r="IX187" i="1"/>
  <c r="IZ187" i="1" s="1"/>
  <c r="IX163" i="1"/>
  <c r="IZ163" i="1" s="1"/>
  <c r="IX242" i="1"/>
  <c r="IZ242" i="1" s="1"/>
  <c r="IX123" i="1"/>
  <c r="IZ123" i="1" s="1"/>
  <c r="IX122" i="1"/>
  <c r="IZ122" i="1" s="1"/>
  <c r="IX126" i="1"/>
  <c r="IZ126" i="1" s="1"/>
  <c r="IX128" i="1"/>
  <c r="IZ128" i="1" s="1"/>
  <c r="IX399" i="1"/>
  <c r="IZ399" i="1" s="1"/>
  <c r="IX402" i="1"/>
  <c r="IZ402" i="1" s="1"/>
  <c r="IX405" i="1"/>
  <c r="IZ405" i="1" s="1"/>
  <c r="IX416" i="1"/>
  <c r="IZ416" i="1" s="1"/>
  <c r="IX382" i="1"/>
  <c r="IZ382" i="1" s="1"/>
  <c r="IX368" i="1"/>
  <c r="IZ368" i="1" s="1"/>
  <c r="IX362" i="1"/>
  <c r="IZ362" i="1" s="1"/>
  <c r="IX350" i="1"/>
  <c r="IZ350" i="1" s="1"/>
  <c r="IX344" i="1"/>
  <c r="IZ344" i="1" s="1"/>
  <c r="IX346" i="1"/>
  <c r="IZ346" i="1" s="1"/>
  <c r="IX332" i="1"/>
  <c r="IZ332" i="1" s="1"/>
  <c r="IX317" i="1"/>
  <c r="IZ317" i="1" s="1"/>
  <c r="IX303" i="1"/>
  <c r="IZ303" i="1" s="1"/>
  <c r="IX297" i="1"/>
  <c r="IZ297" i="1" s="1"/>
  <c r="IX291" i="1"/>
  <c r="IZ291" i="1" s="1"/>
  <c r="IX275" i="1"/>
  <c r="IZ275" i="1" s="1"/>
  <c r="IX277" i="1"/>
  <c r="IZ277" i="1" s="1"/>
  <c r="IX279" i="1"/>
  <c r="IZ279" i="1" s="1"/>
  <c r="IX281" i="1"/>
  <c r="IZ281" i="1" s="1"/>
  <c r="IX243" i="1"/>
  <c r="IZ243" i="1" s="1"/>
  <c r="IX244" i="1"/>
  <c r="IZ244" i="1" s="1"/>
  <c r="IX245" i="1"/>
  <c r="IZ245" i="1" s="1"/>
  <c r="IX191" i="1"/>
  <c r="IZ191" i="1" s="1"/>
  <c r="IX192" i="1"/>
  <c r="IZ192" i="1" s="1"/>
  <c r="IX193" i="1"/>
  <c r="IZ193" i="1" s="1"/>
  <c r="IX194" i="1"/>
  <c r="IZ194" i="1" s="1"/>
  <c r="IX160" i="1"/>
  <c r="IZ160" i="1" s="1"/>
  <c r="IX154" i="1"/>
  <c r="IZ154" i="1" s="1"/>
  <c r="IX171" i="1"/>
  <c r="IZ171" i="1" s="1"/>
  <c r="IX211" i="1"/>
  <c r="IZ211" i="1" s="1"/>
  <c r="IX131" i="1"/>
  <c r="IZ131" i="1" s="1"/>
  <c r="IX117" i="1"/>
  <c r="IZ117" i="1" s="1"/>
  <c r="IX134" i="1"/>
  <c r="IZ134" i="1" s="1"/>
  <c r="IX136" i="1"/>
  <c r="IZ136" i="1" s="1"/>
  <c r="IX407" i="1"/>
  <c r="IZ407" i="1" s="1"/>
  <c r="IX410" i="1"/>
  <c r="IZ410" i="1" s="1"/>
  <c r="IX413" i="1"/>
  <c r="IZ413" i="1" s="1"/>
  <c r="IX365" i="1"/>
  <c r="IZ365" i="1" s="1"/>
  <c r="IX390" i="1"/>
  <c r="IZ390" i="1" s="1"/>
  <c r="IX376" i="1"/>
  <c r="IZ376" i="1" s="1"/>
  <c r="IX370" i="1"/>
  <c r="IZ370" i="1" s="1"/>
  <c r="IX327" i="1"/>
  <c r="IZ327" i="1" s="1"/>
  <c r="IX352" i="1"/>
  <c r="IZ352" i="1" s="1"/>
  <c r="IX354" i="1"/>
  <c r="IZ354" i="1" s="1"/>
  <c r="IX340" i="1"/>
  <c r="IZ340" i="1" s="1"/>
  <c r="IX333" i="1"/>
  <c r="IZ333" i="1" s="1"/>
  <c r="IX311" i="1"/>
  <c r="IZ311" i="1" s="1"/>
  <c r="IX305" i="1"/>
  <c r="IZ305" i="1" s="1"/>
  <c r="IX292" i="1"/>
  <c r="IZ292" i="1" s="1"/>
  <c r="IX283" i="1"/>
  <c r="IZ283" i="1" s="1"/>
  <c r="IX254" i="1"/>
  <c r="IX256" i="1"/>
  <c r="IZ256" i="1" s="1"/>
  <c r="IX258" i="1"/>
  <c r="IZ258" i="1" s="1"/>
  <c r="IX188" i="1"/>
  <c r="IZ188" i="1" s="1"/>
  <c r="IX189" i="1"/>
  <c r="IZ189" i="1" s="1"/>
  <c r="IX190" i="1"/>
  <c r="IZ190" i="1" s="1"/>
  <c r="IX199" i="1"/>
  <c r="IZ199" i="1" s="1"/>
  <c r="IX200" i="1"/>
  <c r="IZ200" i="1" s="1"/>
  <c r="IX201" i="1"/>
  <c r="IZ201" i="1" s="1"/>
  <c r="IX202" i="1"/>
  <c r="IZ202" i="1" s="1"/>
  <c r="IX168" i="1"/>
  <c r="IZ168" i="1" s="1"/>
  <c r="IX162" i="1"/>
  <c r="IZ162" i="1" s="1"/>
  <c r="IX234" i="1"/>
  <c r="IZ234" i="1" s="1"/>
  <c r="IX149" i="1"/>
  <c r="IZ149" i="1" s="1"/>
  <c r="IX139" i="1"/>
  <c r="IZ139" i="1" s="1"/>
  <c r="IX125" i="1"/>
  <c r="IZ125" i="1" s="1"/>
  <c r="IX112" i="1"/>
  <c r="IX150" i="1"/>
  <c r="IZ150" i="1" s="1"/>
  <c r="IX415" i="1"/>
  <c r="IZ415" i="1" s="1"/>
  <c r="IX418" i="1"/>
  <c r="IZ418" i="1" s="1"/>
  <c r="IX421" i="1"/>
  <c r="IZ421" i="1" s="1"/>
  <c r="IX373" i="1"/>
  <c r="IZ373" i="1" s="1"/>
  <c r="IX424" i="1"/>
  <c r="IZ424" i="1" s="1"/>
  <c r="IX384" i="1"/>
  <c r="IZ384" i="1" s="1"/>
  <c r="IX378" i="1"/>
  <c r="IZ378" i="1" s="1"/>
  <c r="IX335" i="1"/>
  <c r="IZ335" i="1" s="1"/>
  <c r="IX329" i="1"/>
  <c r="IZ329" i="1" s="1"/>
  <c r="IX363" i="1"/>
  <c r="IZ363" i="1" s="1"/>
  <c r="IX348" i="1"/>
  <c r="IZ348" i="1" s="1"/>
  <c r="IX294" i="1"/>
  <c r="IZ294" i="1" s="1"/>
  <c r="IX319" i="1"/>
  <c r="IZ319" i="1" s="1"/>
  <c r="IX313" i="1"/>
  <c r="IZ313" i="1" s="1"/>
  <c r="IX299" i="1"/>
  <c r="IZ299" i="1" s="1"/>
  <c r="IX260" i="1"/>
  <c r="IZ260" i="1" s="1"/>
  <c r="IX262" i="1"/>
  <c r="IZ262" i="1" s="1"/>
  <c r="IX264" i="1"/>
  <c r="IZ264" i="1" s="1"/>
  <c r="IX266" i="1"/>
  <c r="IZ266" i="1" s="1"/>
  <c r="IX196" i="1"/>
  <c r="IZ196" i="1" s="1"/>
  <c r="IX197" i="1"/>
  <c r="IZ197" i="1" s="1"/>
  <c r="IX198" i="1"/>
  <c r="IZ198" i="1" s="1"/>
  <c r="IX207" i="1"/>
  <c r="IZ207" i="1" s="1"/>
  <c r="IX208" i="1"/>
  <c r="IZ208" i="1" s="1"/>
  <c r="IX209" i="1"/>
  <c r="IZ209" i="1" s="1"/>
  <c r="IX210" i="1"/>
  <c r="IZ210" i="1" s="1"/>
  <c r="IX176" i="1"/>
  <c r="IZ176" i="1" s="1"/>
  <c r="IX170" i="1"/>
  <c r="IZ170" i="1" s="1"/>
  <c r="IX203" i="1"/>
  <c r="IZ203" i="1" s="1"/>
  <c r="IX157" i="1"/>
  <c r="IZ157" i="1" s="1"/>
  <c r="IX174" i="1"/>
  <c r="IZ174" i="1" s="1"/>
  <c r="IX133" i="1"/>
  <c r="IZ133" i="1" s="1"/>
  <c r="IX119" i="1"/>
  <c r="IZ119" i="1" s="1"/>
  <c r="IX113" i="1"/>
  <c r="IZ113" i="1" s="1"/>
  <c r="IX423" i="1"/>
  <c r="IZ423" i="1" s="1"/>
  <c r="IX426" i="1"/>
  <c r="IZ426" i="1" s="1"/>
  <c r="IX411" i="1"/>
  <c r="IZ411" i="1" s="1"/>
  <c r="IX381" i="1"/>
  <c r="IZ381" i="1" s="1"/>
  <c r="IX367" i="1"/>
  <c r="IZ367" i="1" s="1"/>
  <c r="IX400" i="1"/>
  <c r="IZ400" i="1" s="1"/>
  <c r="IX386" i="1"/>
  <c r="IZ386" i="1" s="1"/>
  <c r="IX343" i="1"/>
  <c r="IZ343" i="1" s="1"/>
  <c r="IX337" i="1"/>
  <c r="IZ337" i="1" s="1"/>
  <c r="IX331" i="1"/>
  <c r="IZ331" i="1" s="1"/>
  <c r="IX325" i="1"/>
  <c r="IZ325" i="1" s="1"/>
  <c r="IX302" i="1"/>
  <c r="IZ302" i="1" s="1"/>
  <c r="IX349" i="1"/>
  <c r="IZ349" i="1" s="1"/>
  <c r="IX298" i="1"/>
  <c r="IZ298" i="1" s="1"/>
  <c r="IX300" i="1"/>
  <c r="IZ300" i="1" s="1"/>
  <c r="IX268" i="1"/>
  <c r="IZ268" i="1" s="1"/>
  <c r="IX270" i="1"/>
  <c r="IZ270" i="1" s="1"/>
  <c r="IX272" i="1"/>
  <c r="IZ272" i="1" s="1"/>
  <c r="IX274" i="1"/>
  <c r="IZ274" i="1" s="1"/>
  <c r="IX204" i="1"/>
  <c r="IZ204" i="1" s="1"/>
  <c r="IX205" i="1"/>
  <c r="IZ205" i="1" s="1"/>
  <c r="IX206" i="1"/>
  <c r="IZ206" i="1" s="1"/>
  <c r="IX223" i="1"/>
  <c r="IZ223" i="1" s="1"/>
  <c r="IX224" i="1"/>
  <c r="IZ224" i="1" s="1"/>
  <c r="IX225" i="1"/>
  <c r="IZ225" i="1" s="1"/>
  <c r="IX151" i="1"/>
  <c r="IZ151" i="1" s="1"/>
  <c r="IX153" i="1"/>
  <c r="IZ153" i="1" s="1"/>
  <c r="IX148" i="1"/>
  <c r="IZ148" i="1" s="1"/>
  <c r="IX165" i="1"/>
  <c r="IZ165" i="1" s="1"/>
  <c r="IX116" i="1"/>
  <c r="IZ116" i="1" s="1"/>
  <c r="IX141" i="1"/>
  <c r="IZ141" i="1" s="1"/>
  <c r="IX127" i="1"/>
  <c r="IZ127" i="1" s="1"/>
  <c r="IX121" i="1"/>
  <c r="IZ121" i="1" s="1"/>
  <c r="JG421" i="1"/>
  <c r="JI421" i="1" s="1"/>
  <c r="JG424" i="1"/>
  <c r="JI424" i="1" s="1"/>
  <c r="JG396" i="1"/>
  <c r="JI396" i="1" s="1"/>
  <c r="JG386" i="1"/>
  <c r="JI386" i="1" s="1"/>
  <c r="JG372" i="1"/>
  <c r="JI372" i="1" s="1"/>
  <c r="JG426" i="1"/>
  <c r="JI426" i="1" s="1"/>
  <c r="JG383" i="1"/>
  <c r="JI383" i="1" s="1"/>
  <c r="JG349" i="1"/>
  <c r="JI349" i="1" s="1"/>
  <c r="JG335" i="1"/>
  <c r="JI335" i="1" s="1"/>
  <c r="JG385" i="1"/>
  <c r="JI385" i="1" s="1"/>
  <c r="JG354" i="1"/>
  <c r="JI354" i="1" s="1"/>
  <c r="JG307" i="1"/>
  <c r="JI307" i="1" s="1"/>
  <c r="JG309" i="1"/>
  <c r="JI309" i="1" s="1"/>
  <c r="JG311" i="1"/>
  <c r="JI311" i="1" s="1"/>
  <c r="JG314" i="1"/>
  <c r="JI314" i="1" s="1"/>
  <c r="JG266" i="1"/>
  <c r="JI266" i="1" s="1"/>
  <c r="JG268" i="1"/>
  <c r="JI268" i="1" s="1"/>
  <c r="JG270" i="1"/>
  <c r="JI270" i="1" s="1"/>
  <c r="JG272" i="1"/>
  <c r="JI272" i="1" s="1"/>
  <c r="JG242" i="1"/>
  <c r="JI242" i="1" s="1"/>
  <c r="JG244" i="1"/>
  <c r="JI244" i="1" s="1"/>
  <c r="JG246" i="1"/>
  <c r="JI246" i="1" s="1"/>
  <c r="JG248" i="1"/>
  <c r="JI248" i="1" s="1"/>
  <c r="JG159" i="1"/>
  <c r="JI159" i="1" s="1"/>
  <c r="JG218" i="1"/>
  <c r="JI218" i="1" s="1"/>
  <c r="JG113" i="1"/>
  <c r="JI113" i="1" s="1"/>
  <c r="JG138" i="1"/>
  <c r="JI138" i="1" s="1"/>
  <c r="JG124" i="1"/>
  <c r="JI124" i="1" s="1"/>
  <c r="JG141" i="1"/>
  <c r="JI141" i="1" s="1"/>
  <c r="JG127" i="1"/>
  <c r="JI127" i="1" s="1"/>
  <c r="JG398" i="1"/>
  <c r="JI398" i="1" s="1"/>
  <c r="JG401" i="1"/>
  <c r="JI401" i="1" s="1"/>
  <c r="JG404" i="1"/>
  <c r="JI404" i="1" s="1"/>
  <c r="JG415" i="1"/>
  <c r="JI415" i="1" s="1"/>
  <c r="JG380" i="1"/>
  <c r="JI380" i="1" s="1"/>
  <c r="JG366" i="1"/>
  <c r="JI366" i="1" s="1"/>
  <c r="JG361" i="1"/>
  <c r="JG407" i="1"/>
  <c r="JI407" i="1" s="1"/>
  <c r="JG343" i="1"/>
  <c r="JI343" i="1" s="1"/>
  <c r="JG329" i="1"/>
  <c r="JI329" i="1" s="1"/>
  <c r="JG331" i="1"/>
  <c r="JI331" i="1" s="1"/>
  <c r="JG315" i="1"/>
  <c r="JI315" i="1" s="1"/>
  <c r="JG317" i="1"/>
  <c r="JI317" i="1" s="1"/>
  <c r="JG319" i="1"/>
  <c r="JI319" i="1" s="1"/>
  <c r="JG297" i="1"/>
  <c r="JI297" i="1" s="1"/>
  <c r="JG274" i="1"/>
  <c r="JI274" i="1" s="1"/>
  <c r="JG276" i="1"/>
  <c r="JI276" i="1" s="1"/>
  <c r="JG278" i="1"/>
  <c r="JI278" i="1" s="1"/>
  <c r="JG280" i="1"/>
  <c r="JI280" i="1" s="1"/>
  <c r="JG219" i="1"/>
  <c r="JI219" i="1" s="1"/>
  <c r="JG221" i="1"/>
  <c r="JI221" i="1" s="1"/>
  <c r="JG223" i="1"/>
  <c r="JI223" i="1" s="1"/>
  <c r="JG225" i="1"/>
  <c r="JI225" i="1" s="1"/>
  <c r="JG167" i="1"/>
  <c r="JI167" i="1" s="1"/>
  <c r="JG153" i="1"/>
  <c r="JI153" i="1" s="1"/>
  <c r="JG155" i="1"/>
  <c r="JI155" i="1" s="1"/>
  <c r="JG121" i="1"/>
  <c r="JI121" i="1" s="1"/>
  <c r="JG149" i="1"/>
  <c r="JI149" i="1" s="1"/>
  <c r="JG132" i="1"/>
  <c r="JI132" i="1" s="1"/>
  <c r="JG173" i="1"/>
  <c r="JI173" i="1" s="1"/>
  <c r="JG135" i="1"/>
  <c r="JI135" i="1" s="1"/>
  <c r="JG406" i="1"/>
  <c r="JI406" i="1" s="1"/>
  <c r="JG409" i="1"/>
  <c r="JI409" i="1" s="1"/>
  <c r="JG412" i="1"/>
  <c r="JI412" i="1" s="1"/>
  <c r="JG363" i="1"/>
  <c r="JI363" i="1" s="1"/>
  <c r="JG388" i="1"/>
  <c r="JI388" i="1" s="1"/>
  <c r="JG374" i="1"/>
  <c r="JI374" i="1" s="1"/>
  <c r="JG402" i="1"/>
  <c r="JI402" i="1" s="1"/>
  <c r="JG326" i="1"/>
  <c r="JI326" i="1" s="1"/>
  <c r="JG351" i="1"/>
  <c r="JI351" i="1" s="1"/>
  <c r="JG337" i="1"/>
  <c r="JI337" i="1" s="1"/>
  <c r="JG339" i="1"/>
  <c r="JI339" i="1" s="1"/>
  <c r="JG292" i="1"/>
  <c r="JI292" i="1" s="1"/>
  <c r="JG294" i="1"/>
  <c r="JI294" i="1" s="1"/>
  <c r="JG332" i="1"/>
  <c r="JI332" i="1" s="1"/>
  <c r="JG298" i="1"/>
  <c r="JI298" i="1" s="1"/>
  <c r="JG282" i="1"/>
  <c r="JI282" i="1" s="1"/>
  <c r="JG284" i="1"/>
  <c r="JI284" i="1" s="1"/>
  <c r="JG255" i="1"/>
  <c r="JI255" i="1" s="1"/>
  <c r="JG257" i="1"/>
  <c r="JI257" i="1" s="1"/>
  <c r="JG227" i="1"/>
  <c r="JI227" i="1" s="1"/>
  <c r="JG229" i="1"/>
  <c r="JI229" i="1" s="1"/>
  <c r="JG231" i="1"/>
  <c r="JI231" i="1" s="1"/>
  <c r="JG150" i="1"/>
  <c r="JI150" i="1" s="1"/>
  <c r="JG175" i="1"/>
  <c r="JI175" i="1" s="1"/>
  <c r="JG161" i="1"/>
  <c r="JI161" i="1" s="1"/>
  <c r="JG163" i="1"/>
  <c r="JI163" i="1" s="1"/>
  <c r="JG129" i="1"/>
  <c r="JI129" i="1" s="1"/>
  <c r="JG115" i="1"/>
  <c r="JI115" i="1" s="1"/>
  <c r="JG140" i="1"/>
  <c r="JI140" i="1" s="1"/>
  <c r="JG118" i="1"/>
  <c r="JI118" i="1" s="1"/>
  <c r="JG414" i="1"/>
  <c r="JI414" i="1" s="1"/>
  <c r="JG417" i="1"/>
  <c r="JI417" i="1" s="1"/>
  <c r="JG420" i="1"/>
  <c r="JI420" i="1" s="1"/>
  <c r="JG371" i="1"/>
  <c r="JI371" i="1" s="1"/>
  <c r="JG423" i="1"/>
  <c r="JI423" i="1" s="1"/>
  <c r="JG382" i="1"/>
  <c r="JI382" i="1" s="1"/>
  <c r="JG368" i="1"/>
  <c r="JI368" i="1" s="1"/>
  <c r="JG334" i="1"/>
  <c r="JI334" i="1" s="1"/>
  <c r="JG377" i="1"/>
  <c r="JI377" i="1" s="1"/>
  <c r="JG345" i="1"/>
  <c r="JI345" i="1" s="1"/>
  <c r="JG347" i="1"/>
  <c r="JI347" i="1" s="1"/>
  <c r="JG300" i="1"/>
  <c r="JI300" i="1" s="1"/>
  <c r="JG302" i="1"/>
  <c r="JI302" i="1" s="1"/>
  <c r="JG296" i="1"/>
  <c r="JI296" i="1" s="1"/>
  <c r="JG348" i="1"/>
  <c r="JI348" i="1" s="1"/>
  <c r="JG259" i="1"/>
  <c r="JI259" i="1" s="1"/>
  <c r="JG261" i="1"/>
  <c r="JI261" i="1" s="1"/>
  <c r="JG263" i="1"/>
  <c r="JI263" i="1" s="1"/>
  <c r="JG265" i="1"/>
  <c r="JI265" i="1" s="1"/>
  <c r="JG235" i="1"/>
  <c r="JI235" i="1" s="1"/>
  <c r="JG237" i="1"/>
  <c r="JI237" i="1" s="1"/>
  <c r="JG239" i="1"/>
  <c r="JI239" i="1" s="1"/>
  <c r="JG158" i="1"/>
  <c r="JI158" i="1" s="1"/>
  <c r="JG241" i="1"/>
  <c r="JI241" i="1" s="1"/>
  <c r="JG169" i="1"/>
  <c r="JI169" i="1" s="1"/>
  <c r="JG171" i="1"/>
  <c r="JI171" i="1" s="1"/>
  <c r="JG137" i="1"/>
  <c r="JI137" i="1" s="1"/>
  <c r="JG123" i="1"/>
  <c r="JI123" i="1" s="1"/>
  <c r="JG120" i="1"/>
  <c r="JI120" i="1" s="1"/>
  <c r="JG126" i="1"/>
  <c r="JI126" i="1" s="1"/>
  <c r="JG422" i="1"/>
  <c r="JI422" i="1" s="1"/>
  <c r="JG425" i="1"/>
  <c r="JI425" i="1" s="1"/>
  <c r="JG410" i="1"/>
  <c r="JI410" i="1" s="1"/>
  <c r="JG379" i="1"/>
  <c r="JI379" i="1" s="1"/>
  <c r="JG365" i="1"/>
  <c r="JI365" i="1" s="1"/>
  <c r="JG390" i="1"/>
  <c r="JI390" i="1" s="1"/>
  <c r="JG376" i="1"/>
  <c r="JI376" i="1" s="1"/>
  <c r="JG342" i="1"/>
  <c r="JI342" i="1" s="1"/>
  <c r="JG328" i="1"/>
  <c r="JI328" i="1" s="1"/>
  <c r="JG353" i="1"/>
  <c r="JI353" i="1" s="1"/>
  <c r="JG355" i="1"/>
  <c r="JI355" i="1" s="1"/>
  <c r="JG308" i="1"/>
  <c r="JI308" i="1" s="1"/>
  <c r="JG310" i="1"/>
  <c r="JI310" i="1" s="1"/>
  <c r="JG304" i="1"/>
  <c r="JI304" i="1" s="1"/>
  <c r="JG306" i="1"/>
  <c r="JI306" i="1" s="1"/>
  <c r="JG267" i="1"/>
  <c r="JI267" i="1" s="1"/>
  <c r="JG269" i="1"/>
  <c r="JI269" i="1" s="1"/>
  <c r="JG271" i="1"/>
  <c r="JI271" i="1" s="1"/>
  <c r="JG273" i="1"/>
  <c r="JI273" i="1" s="1"/>
  <c r="JG243" i="1"/>
  <c r="JI243" i="1" s="1"/>
  <c r="JG245" i="1"/>
  <c r="JI245" i="1" s="1"/>
  <c r="JG247" i="1"/>
  <c r="JI247" i="1" s="1"/>
  <c r="JG166" i="1"/>
  <c r="JI166" i="1" s="1"/>
  <c r="JG152" i="1"/>
  <c r="JI152" i="1" s="1"/>
  <c r="JG177" i="1"/>
  <c r="JI177" i="1" s="1"/>
  <c r="JG148" i="1"/>
  <c r="JI148" i="1" s="1"/>
  <c r="JG136" i="1"/>
  <c r="JI136" i="1" s="1"/>
  <c r="JG131" i="1"/>
  <c r="JI131" i="1" s="1"/>
  <c r="JG165" i="1"/>
  <c r="JI165" i="1" s="1"/>
  <c r="JG134" i="1"/>
  <c r="JI134" i="1" s="1"/>
  <c r="JG397" i="1"/>
  <c r="JI397" i="1" s="1"/>
  <c r="JG400" i="1"/>
  <c r="JI400" i="1" s="1"/>
  <c r="JG403" i="1"/>
  <c r="JI403" i="1" s="1"/>
  <c r="JG362" i="1"/>
  <c r="JI362" i="1" s="1"/>
  <c r="JG387" i="1"/>
  <c r="JI387" i="1" s="1"/>
  <c r="JG373" i="1"/>
  <c r="JI373" i="1" s="1"/>
  <c r="JG399" i="1"/>
  <c r="JI399" i="1" s="1"/>
  <c r="JG384" i="1"/>
  <c r="JI384" i="1" s="1"/>
  <c r="JG350" i="1"/>
  <c r="JI350" i="1" s="1"/>
  <c r="JG336" i="1"/>
  <c r="JI336" i="1" s="1"/>
  <c r="JG330" i="1"/>
  <c r="JI330" i="1" s="1"/>
  <c r="JG325" i="1"/>
  <c r="JI325" i="1" s="1"/>
  <c r="JG316" i="1"/>
  <c r="JI316" i="1" s="1"/>
  <c r="JG318" i="1"/>
  <c r="JI318" i="1" s="1"/>
  <c r="JG312" i="1"/>
  <c r="JI312" i="1" s="1"/>
  <c r="JG340" i="1"/>
  <c r="JI340" i="1" s="1"/>
  <c r="JG275" i="1"/>
  <c r="JI275" i="1" s="1"/>
  <c r="JG277" i="1"/>
  <c r="JI277" i="1" s="1"/>
  <c r="JG279" i="1"/>
  <c r="JI279" i="1" s="1"/>
  <c r="JG281" i="1"/>
  <c r="JI281" i="1" s="1"/>
  <c r="JG220" i="1"/>
  <c r="JI220" i="1" s="1"/>
  <c r="JG222" i="1"/>
  <c r="JI222" i="1" s="1"/>
  <c r="JG224" i="1"/>
  <c r="JI224" i="1" s="1"/>
  <c r="JG174" i="1"/>
  <c r="JI174" i="1" s="1"/>
  <c r="JG160" i="1"/>
  <c r="JI160" i="1" s="1"/>
  <c r="JG154" i="1"/>
  <c r="JI154" i="1" s="1"/>
  <c r="JG156" i="1"/>
  <c r="JI156" i="1" s="1"/>
  <c r="JG114" i="1"/>
  <c r="JI114" i="1" s="1"/>
  <c r="JG139" i="1"/>
  <c r="JI139" i="1" s="1"/>
  <c r="JG117" i="1"/>
  <c r="JI117" i="1" s="1"/>
  <c r="JG112" i="1"/>
  <c r="JG405" i="1"/>
  <c r="JI405" i="1" s="1"/>
  <c r="JG408" i="1"/>
  <c r="JI408" i="1" s="1"/>
  <c r="JG411" i="1"/>
  <c r="JI411" i="1" s="1"/>
  <c r="JG370" i="1"/>
  <c r="JI370" i="1" s="1"/>
  <c r="JG418" i="1"/>
  <c r="JI418" i="1" s="1"/>
  <c r="JG381" i="1"/>
  <c r="JI381" i="1" s="1"/>
  <c r="JG367" i="1"/>
  <c r="JI367" i="1" s="1"/>
  <c r="JG333" i="1"/>
  <c r="JI333" i="1" s="1"/>
  <c r="JG369" i="1"/>
  <c r="JI369" i="1" s="1"/>
  <c r="JG344" i="1"/>
  <c r="JI344" i="1" s="1"/>
  <c r="JG338" i="1"/>
  <c r="JI338" i="1" s="1"/>
  <c r="JG291" i="1"/>
  <c r="JI291" i="1" s="1"/>
  <c r="JG293" i="1"/>
  <c r="JI293" i="1" s="1"/>
  <c r="JG295" i="1"/>
  <c r="JI295" i="1" s="1"/>
  <c r="JG290" i="1"/>
  <c r="JG305" i="1"/>
  <c r="JI305" i="1" s="1"/>
  <c r="JG283" i="1"/>
  <c r="JI283" i="1" s="1"/>
  <c r="JG254" i="1"/>
  <c r="JI254" i="1" s="1"/>
  <c r="JG256" i="1"/>
  <c r="JI256" i="1" s="1"/>
  <c r="JG226" i="1"/>
  <c r="JI226" i="1" s="1"/>
  <c r="JG228" i="1"/>
  <c r="JI228" i="1" s="1"/>
  <c r="JG230" i="1"/>
  <c r="JI230" i="1" s="1"/>
  <c r="JG232" i="1"/>
  <c r="JI232" i="1" s="1"/>
  <c r="JG233" i="1"/>
  <c r="JI233" i="1" s="1"/>
  <c r="JG168" i="1"/>
  <c r="JI168" i="1" s="1"/>
  <c r="JG162" i="1"/>
  <c r="JI162" i="1" s="1"/>
  <c r="JG164" i="1"/>
  <c r="JI164" i="1" s="1"/>
  <c r="JG122" i="1"/>
  <c r="JI122" i="1" s="1"/>
  <c r="JG157" i="1"/>
  <c r="JI157" i="1" s="1"/>
  <c r="JG125" i="1"/>
  <c r="JI125" i="1" s="1"/>
  <c r="JG128" i="1"/>
  <c r="JI128" i="1" s="1"/>
  <c r="JG413" i="1"/>
  <c r="JI413" i="1" s="1"/>
  <c r="JG416" i="1"/>
  <c r="JI416" i="1" s="1"/>
  <c r="JG419" i="1"/>
  <c r="JI419" i="1" s="1"/>
  <c r="JG378" i="1"/>
  <c r="JI378" i="1" s="1"/>
  <c r="JG364" i="1"/>
  <c r="JI364" i="1" s="1"/>
  <c r="JG389" i="1"/>
  <c r="JI389" i="1" s="1"/>
  <c r="JG375" i="1"/>
  <c r="JI375" i="1" s="1"/>
  <c r="JG341" i="1"/>
  <c r="JI341" i="1" s="1"/>
  <c r="JG327" i="1"/>
  <c r="JI327" i="1" s="1"/>
  <c r="JG352" i="1"/>
  <c r="JI352" i="1" s="1"/>
  <c r="JG346" i="1"/>
  <c r="JI346" i="1" s="1"/>
  <c r="JG299" i="1"/>
  <c r="JI299" i="1" s="1"/>
  <c r="JG301" i="1"/>
  <c r="JI301" i="1" s="1"/>
  <c r="JG303" i="1"/>
  <c r="JI303" i="1" s="1"/>
  <c r="JG313" i="1"/>
  <c r="JI313" i="1" s="1"/>
  <c r="JG258" i="1"/>
  <c r="JI258" i="1" s="1"/>
  <c r="JG260" i="1"/>
  <c r="JI260" i="1" s="1"/>
  <c r="JG262" i="1"/>
  <c r="JI262" i="1" s="1"/>
  <c r="JG264" i="1"/>
  <c r="JI264" i="1" s="1"/>
  <c r="JG234" i="1"/>
  <c r="JI234" i="1" s="1"/>
  <c r="JG236" i="1"/>
  <c r="JI236" i="1" s="1"/>
  <c r="JG238" i="1"/>
  <c r="JI238" i="1" s="1"/>
  <c r="JG240" i="1"/>
  <c r="JI240" i="1" s="1"/>
  <c r="JG151" i="1"/>
  <c r="JI151" i="1" s="1"/>
  <c r="JG176" i="1"/>
  <c r="JI176" i="1" s="1"/>
  <c r="JG170" i="1"/>
  <c r="JI170" i="1" s="1"/>
  <c r="JG172" i="1"/>
  <c r="JI172" i="1" s="1"/>
  <c r="JG130" i="1"/>
  <c r="JI130" i="1" s="1"/>
  <c r="JG116" i="1"/>
  <c r="JI116" i="1" s="1"/>
  <c r="JG133" i="1"/>
  <c r="JI133" i="1" s="1"/>
  <c r="JG119" i="1"/>
  <c r="JI119" i="1" s="1"/>
  <c r="IX82" i="1"/>
  <c r="IZ82" i="1" s="1"/>
  <c r="IX98" i="1"/>
  <c r="IZ98" i="1" s="1"/>
  <c r="IX83" i="1"/>
  <c r="IZ83" i="1" s="1"/>
  <c r="IX99" i="1"/>
  <c r="IZ99" i="1" s="1"/>
  <c r="IX84" i="1"/>
  <c r="IZ84" i="1" s="1"/>
  <c r="IX100" i="1"/>
  <c r="IZ100" i="1" s="1"/>
  <c r="IX85" i="1"/>
  <c r="IZ85" i="1" s="1"/>
  <c r="IX77" i="1"/>
  <c r="IZ77" i="1" s="1"/>
  <c r="IX54" i="1"/>
  <c r="IZ54" i="1" s="1"/>
  <c r="IX70" i="1"/>
  <c r="IZ70" i="1" s="1"/>
  <c r="IX55" i="1"/>
  <c r="IZ55" i="1" s="1"/>
  <c r="IX42" i="1"/>
  <c r="IX56" i="1"/>
  <c r="IZ56" i="1" s="1"/>
  <c r="IX45" i="1"/>
  <c r="IZ45" i="1" s="1"/>
  <c r="IX61" i="1"/>
  <c r="IZ61" i="1" s="1"/>
  <c r="IX86" i="1"/>
  <c r="IZ86" i="1" s="1"/>
  <c r="IX102" i="1"/>
  <c r="IZ102" i="1" s="1"/>
  <c r="IX87" i="1"/>
  <c r="IZ87" i="1" s="1"/>
  <c r="IX103" i="1"/>
  <c r="IZ103" i="1" s="1"/>
  <c r="IX88" i="1"/>
  <c r="IZ88" i="1" s="1"/>
  <c r="IX104" i="1"/>
  <c r="IZ104" i="1" s="1"/>
  <c r="IX101" i="1"/>
  <c r="IZ101" i="1" s="1"/>
  <c r="IX93" i="1"/>
  <c r="IZ93" i="1" s="1"/>
  <c r="IX58" i="1"/>
  <c r="IZ58" i="1" s="1"/>
  <c r="IX43" i="1"/>
  <c r="IZ43" i="1" s="1"/>
  <c r="IX59" i="1"/>
  <c r="IZ59" i="1" s="1"/>
  <c r="IX44" i="1"/>
  <c r="IZ44" i="1" s="1"/>
  <c r="IX60" i="1"/>
  <c r="IZ60" i="1" s="1"/>
  <c r="IX49" i="1"/>
  <c r="IZ49" i="1" s="1"/>
  <c r="IX65" i="1"/>
  <c r="IZ65" i="1" s="1"/>
  <c r="IX90" i="1"/>
  <c r="IZ90" i="1" s="1"/>
  <c r="IX106" i="1"/>
  <c r="IZ106" i="1" s="1"/>
  <c r="IX91" i="1"/>
  <c r="IZ91" i="1" s="1"/>
  <c r="IX76" i="1"/>
  <c r="IX92" i="1"/>
  <c r="IZ92" i="1" s="1"/>
  <c r="IX81" i="1"/>
  <c r="IZ81" i="1" s="1"/>
  <c r="IX89" i="1"/>
  <c r="IZ89" i="1" s="1"/>
  <c r="IX46" i="1"/>
  <c r="IZ46" i="1" s="1"/>
  <c r="IX62" i="1"/>
  <c r="IZ62" i="1" s="1"/>
  <c r="IX47" i="1"/>
  <c r="IZ47" i="1" s="1"/>
  <c r="IX63" i="1"/>
  <c r="IZ63" i="1" s="1"/>
  <c r="IX48" i="1"/>
  <c r="IZ48" i="1" s="1"/>
  <c r="IX64" i="1"/>
  <c r="IZ64" i="1" s="1"/>
  <c r="IX53" i="1"/>
  <c r="IZ53" i="1" s="1"/>
  <c r="IX69" i="1"/>
  <c r="IZ69" i="1" s="1"/>
  <c r="IX78" i="1"/>
  <c r="IZ78" i="1" s="1"/>
  <c r="IX94" i="1"/>
  <c r="IZ94" i="1" s="1"/>
  <c r="IX79" i="1"/>
  <c r="IZ79" i="1" s="1"/>
  <c r="IX95" i="1"/>
  <c r="IZ95" i="1" s="1"/>
  <c r="IX80" i="1"/>
  <c r="IZ80" i="1" s="1"/>
  <c r="IX96" i="1"/>
  <c r="IZ96" i="1" s="1"/>
  <c r="IX97" i="1"/>
  <c r="IZ97" i="1" s="1"/>
  <c r="IX105" i="1"/>
  <c r="IZ105" i="1" s="1"/>
  <c r="IX50" i="1"/>
  <c r="IZ50" i="1" s="1"/>
  <c r="IX66" i="1"/>
  <c r="IZ66" i="1" s="1"/>
  <c r="IX51" i="1"/>
  <c r="IZ51" i="1" s="1"/>
  <c r="IX67" i="1"/>
  <c r="IZ67" i="1" s="1"/>
  <c r="IX52" i="1"/>
  <c r="IZ52" i="1" s="1"/>
  <c r="IX68" i="1"/>
  <c r="IZ68" i="1" s="1"/>
  <c r="IX57" i="1"/>
  <c r="IZ57" i="1" s="1"/>
  <c r="IF92" i="1"/>
  <c r="IH92" i="1" s="1"/>
  <c r="IF77" i="1"/>
  <c r="IH77" i="1" s="1"/>
  <c r="IF93" i="1"/>
  <c r="IH93" i="1" s="1"/>
  <c r="IF78" i="1"/>
  <c r="IH78" i="1" s="1"/>
  <c r="IF94" i="1"/>
  <c r="IH94" i="1" s="1"/>
  <c r="IF83" i="1"/>
  <c r="IH83" i="1" s="1"/>
  <c r="IF91" i="1"/>
  <c r="IH91" i="1" s="1"/>
  <c r="IF70" i="1"/>
  <c r="IH70" i="1" s="1"/>
  <c r="IF58" i="1"/>
  <c r="IH58" i="1" s="1"/>
  <c r="IF47" i="1"/>
  <c r="IH47" i="1" s="1"/>
  <c r="IF56" i="1"/>
  <c r="IH56" i="1" s="1"/>
  <c r="IF53" i="1"/>
  <c r="IH53" i="1" s="1"/>
  <c r="IF69" i="1"/>
  <c r="IH69" i="1" s="1"/>
  <c r="IF67" i="1"/>
  <c r="IH67" i="1" s="1"/>
  <c r="IF68" i="1"/>
  <c r="IH68" i="1" s="1"/>
  <c r="IF80" i="1"/>
  <c r="IH80" i="1" s="1"/>
  <c r="IF96" i="1"/>
  <c r="IH96" i="1" s="1"/>
  <c r="IF81" i="1"/>
  <c r="IH81" i="1" s="1"/>
  <c r="IF97" i="1"/>
  <c r="IH97" i="1" s="1"/>
  <c r="IF82" i="1"/>
  <c r="IH82" i="1" s="1"/>
  <c r="IF98" i="1"/>
  <c r="IH98" i="1" s="1"/>
  <c r="IF99" i="1"/>
  <c r="IH99" i="1" s="1"/>
  <c r="IF76" i="1"/>
  <c r="IH76" i="1" s="1"/>
  <c r="IF46" i="1"/>
  <c r="IH46" i="1" s="1"/>
  <c r="IF62" i="1"/>
  <c r="IH62" i="1" s="1"/>
  <c r="IF55" i="1"/>
  <c r="IH55" i="1" s="1"/>
  <c r="IF64" i="1"/>
  <c r="IH64" i="1" s="1"/>
  <c r="IF57" i="1"/>
  <c r="IH57" i="1" s="1"/>
  <c r="IF43" i="1"/>
  <c r="IH43" i="1" s="1"/>
  <c r="IF44" i="1"/>
  <c r="IH44" i="1" s="1"/>
  <c r="IF84" i="1"/>
  <c r="IH84" i="1" s="1"/>
  <c r="IF100" i="1"/>
  <c r="IH100" i="1" s="1"/>
  <c r="IF85" i="1"/>
  <c r="IH85" i="1" s="1"/>
  <c r="IF101" i="1"/>
  <c r="IH101" i="1" s="1"/>
  <c r="IF86" i="1"/>
  <c r="IH86" i="1" s="1"/>
  <c r="IF102" i="1"/>
  <c r="IH102" i="1" s="1"/>
  <c r="IF87" i="1"/>
  <c r="IH87" i="1" s="1"/>
  <c r="IF79" i="1"/>
  <c r="IH79" i="1" s="1"/>
  <c r="IF50" i="1"/>
  <c r="IH50" i="1" s="1"/>
  <c r="IF66" i="1"/>
  <c r="IH66" i="1" s="1"/>
  <c r="IF63" i="1"/>
  <c r="IH63" i="1" s="1"/>
  <c r="IF45" i="1"/>
  <c r="IH45" i="1" s="1"/>
  <c r="IF61" i="1"/>
  <c r="IH61" i="1" s="1"/>
  <c r="IF51" i="1"/>
  <c r="IH51" i="1" s="1"/>
  <c r="IF52" i="1"/>
  <c r="IH52" i="1" s="1"/>
  <c r="IF88" i="1"/>
  <c r="IH88" i="1" s="1"/>
  <c r="IF104" i="1"/>
  <c r="IH104" i="1" s="1"/>
  <c r="IF89" i="1"/>
  <c r="IH89" i="1" s="1"/>
  <c r="IF105" i="1"/>
  <c r="IH105" i="1" s="1"/>
  <c r="IF90" i="1"/>
  <c r="IH90" i="1" s="1"/>
  <c r="IF106" i="1"/>
  <c r="IH106" i="1" s="1"/>
  <c r="IF103" i="1"/>
  <c r="IH103" i="1" s="1"/>
  <c r="IF95" i="1"/>
  <c r="IH95" i="1" s="1"/>
  <c r="IF54" i="1"/>
  <c r="IH54" i="1" s="1"/>
  <c r="IF42" i="1"/>
  <c r="IH42" i="1" s="1"/>
  <c r="IF48" i="1"/>
  <c r="IH48" i="1" s="1"/>
  <c r="IF49" i="1"/>
  <c r="IH49" i="1" s="1"/>
  <c r="IF65" i="1"/>
  <c r="IH65" i="1" s="1"/>
  <c r="IF59" i="1"/>
  <c r="IH59" i="1" s="1"/>
  <c r="IF60" i="1"/>
  <c r="IH60" i="1" s="1"/>
  <c r="HW81" i="1"/>
  <c r="HY81" i="1" s="1"/>
  <c r="HW97" i="1"/>
  <c r="HY97" i="1" s="1"/>
  <c r="HW82" i="1"/>
  <c r="HY82" i="1" s="1"/>
  <c r="HW98" i="1"/>
  <c r="HY98" i="1" s="1"/>
  <c r="HW83" i="1"/>
  <c r="HY83" i="1" s="1"/>
  <c r="HW99" i="1"/>
  <c r="HY99" i="1" s="1"/>
  <c r="HW100" i="1"/>
  <c r="HY100" i="1" s="1"/>
  <c r="HW80" i="1"/>
  <c r="HY80" i="1" s="1"/>
  <c r="HW52" i="1"/>
  <c r="HY52" i="1" s="1"/>
  <c r="HW68" i="1"/>
  <c r="HY68" i="1" s="1"/>
  <c r="HW69" i="1"/>
  <c r="HY69" i="1" s="1"/>
  <c r="HW54" i="1"/>
  <c r="HY54" i="1" s="1"/>
  <c r="HW47" i="1"/>
  <c r="HY47" i="1" s="1"/>
  <c r="HW63" i="1"/>
  <c r="HY63" i="1" s="1"/>
  <c r="HW57" i="1"/>
  <c r="HY57" i="1" s="1"/>
  <c r="HW85" i="1"/>
  <c r="HY85" i="1" s="1"/>
  <c r="HW101" i="1"/>
  <c r="HY101" i="1" s="1"/>
  <c r="HW86" i="1"/>
  <c r="HY86" i="1" s="1"/>
  <c r="HW102" i="1"/>
  <c r="HY102" i="1" s="1"/>
  <c r="HW87" i="1"/>
  <c r="HY87" i="1" s="1"/>
  <c r="HW103" i="1"/>
  <c r="HY103" i="1" s="1"/>
  <c r="HW88" i="1"/>
  <c r="HY88" i="1" s="1"/>
  <c r="HW96" i="1"/>
  <c r="HY96" i="1" s="1"/>
  <c r="HW56" i="1"/>
  <c r="HY56" i="1" s="1"/>
  <c r="HW45" i="1"/>
  <c r="HY45" i="1" s="1"/>
  <c r="HW70" i="1"/>
  <c r="HY70" i="1" s="1"/>
  <c r="HW58" i="1"/>
  <c r="HY58" i="1" s="1"/>
  <c r="HW51" i="1"/>
  <c r="HY51" i="1" s="1"/>
  <c r="HW67" i="1"/>
  <c r="HY67" i="1" s="1"/>
  <c r="HW65" i="1"/>
  <c r="HY65" i="1" s="1"/>
  <c r="HW89" i="1"/>
  <c r="HY89" i="1" s="1"/>
  <c r="HW105" i="1"/>
  <c r="HY105" i="1" s="1"/>
  <c r="HW90" i="1"/>
  <c r="HY90" i="1" s="1"/>
  <c r="HW106" i="1"/>
  <c r="HY106" i="1" s="1"/>
  <c r="HW91" i="1"/>
  <c r="HY91" i="1" s="1"/>
  <c r="HW76" i="1"/>
  <c r="HW104" i="1"/>
  <c r="HY104" i="1" s="1"/>
  <c r="HW44" i="1"/>
  <c r="HY44" i="1" s="1"/>
  <c r="HW60" i="1"/>
  <c r="HY60" i="1" s="1"/>
  <c r="HW53" i="1"/>
  <c r="HY53" i="1" s="1"/>
  <c r="HW46" i="1"/>
  <c r="HY46" i="1" s="1"/>
  <c r="HW62" i="1"/>
  <c r="HY62" i="1" s="1"/>
  <c r="HW55" i="1"/>
  <c r="HY55" i="1" s="1"/>
  <c r="HW42" i="1"/>
  <c r="HW66" i="1"/>
  <c r="HY66" i="1" s="1"/>
  <c r="HW77" i="1"/>
  <c r="HY77" i="1" s="1"/>
  <c r="HW93" i="1"/>
  <c r="HY93" i="1" s="1"/>
  <c r="HW78" i="1"/>
  <c r="HY78" i="1" s="1"/>
  <c r="HW94" i="1"/>
  <c r="HY94" i="1" s="1"/>
  <c r="HW79" i="1"/>
  <c r="HY79" i="1" s="1"/>
  <c r="HW95" i="1"/>
  <c r="HY95" i="1" s="1"/>
  <c r="HW84" i="1"/>
  <c r="HY84" i="1" s="1"/>
  <c r="HW92" i="1"/>
  <c r="HY92" i="1" s="1"/>
  <c r="HW48" i="1"/>
  <c r="HY48" i="1" s="1"/>
  <c r="HW64" i="1"/>
  <c r="HY64" i="1" s="1"/>
  <c r="HW61" i="1"/>
  <c r="HY61" i="1" s="1"/>
  <c r="HW50" i="1"/>
  <c r="HY50" i="1" s="1"/>
  <c r="HW43" i="1"/>
  <c r="HY43" i="1" s="1"/>
  <c r="HW59" i="1"/>
  <c r="HY59" i="1" s="1"/>
  <c r="HW49" i="1"/>
  <c r="HY49" i="1" s="1"/>
  <c r="JG89" i="1"/>
  <c r="JI89" i="1" s="1"/>
  <c r="JG105" i="1"/>
  <c r="JI105" i="1" s="1"/>
  <c r="JG90" i="1"/>
  <c r="JI90" i="1" s="1"/>
  <c r="JG106" i="1"/>
  <c r="JI106" i="1" s="1"/>
  <c r="JG91" i="1"/>
  <c r="JI91" i="1" s="1"/>
  <c r="JG76" i="1"/>
  <c r="JI76" i="1" s="1"/>
  <c r="JG100" i="1"/>
  <c r="JI100" i="1" s="1"/>
  <c r="JG43" i="1"/>
  <c r="JI43" i="1" s="1"/>
  <c r="JG59" i="1"/>
  <c r="JI59" i="1" s="1"/>
  <c r="JG44" i="1"/>
  <c r="JI44" i="1" s="1"/>
  <c r="JG60" i="1"/>
  <c r="JI60" i="1" s="1"/>
  <c r="JG49" i="1"/>
  <c r="JI49" i="1" s="1"/>
  <c r="JG65" i="1"/>
  <c r="JI65" i="1" s="1"/>
  <c r="JG54" i="1"/>
  <c r="JI54" i="1" s="1"/>
  <c r="JG70" i="1"/>
  <c r="JI70" i="1" s="1"/>
  <c r="JG77" i="1"/>
  <c r="JI77" i="1" s="1"/>
  <c r="JG93" i="1"/>
  <c r="JI93" i="1" s="1"/>
  <c r="JG78" i="1"/>
  <c r="JI78" i="1" s="1"/>
  <c r="JG94" i="1"/>
  <c r="JI94" i="1" s="1"/>
  <c r="JG79" i="1"/>
  <c r="JI79" i="1" s="1"/>
  <c r="JG95" i="1"/>
  <c r="JI95" i="1" s="1"/>
  <c r="JG80" i="1"/>
  <c r="JI80" i="1" s="1"/>
  <c r="JG88" i="1"/>
  <c r="JI88" i="1" s="1"/>
  <c r="JG47" i="1"/>
  <c r="JI47" i="1" s="1"/>
  <c r="JG63" i="1"/>
  <c r="JI63" i="1" s="1"/>
  <c r="JG48" i="1"/>
  <c r="JI48" i="1" s="1"/>
  <c r="JG64" i="1"/>
  <c r="JI64" i="1" s="1"/>
  <c r="JG53" i="1"/>
  <c r="JI53" i="1" s="1"/>
  <c r="JG69" i="1"/>
  <c r="JI69" i="1" s="1"/>
  <c r="JG58" i="1"/>
  <c r="JI58" i="1" s="1"/>
  <c r="JG81" i="1"/>
  <c r="JI81" i="1" s="1"/>
  <c r="JG97" i="1"/>
  <c r="JI97" i="1" s="1"/>
  <c r="JG82" i="1"/>
  <c r="JI82" i="1" s="1"/>
  <c r="JG98" i="1"/>
  <c r="JI98" i="1" s="1"/>
  <c r="JG83" i="1"/>
  <c r="JI83" i="1" s="1"/>
  <c r="JG99" i="1"/>
  <c r="JI99" i="1" s="1"/>
  <c r="JG96" i="1"/>
  <c r="JI96" i="1" s="1"/>
  <c r="JG104" i="1"/>
  <c r="JI104" i="1" s="1"/>
  <c r="JG51" i="1"/>
  <c r="JI51" i="1" s="1"/>
  <c r="JG67" i="1"/>
  <c r="JI67" i="1" s="1"/>
  <c r="JG52" i="1"/>
  <c r="JI52" i="1" s="1"/>
  <c r="JG68" i="1"/>
  <c r="JI68" i="1" s="1"/>
  <c r="JG57" i="1"/>
  <c r="JI57" i="1" s="1"/>
  <c r="JG46" i="1"/>
  <c r="JI46" i="1" s="1"/>
  <c r="JG62" i="1"/>
  <c r="JI62" i="1" s="1"/>
  <c r="JG85" i="1"/>
  <c r="JI85" i="1" s="1"/>
  <c r="JG101" i="1"/>
  <c r="JI101" i="1" s="1"/>
  <c r="JG86" i="1"/>
  <c r="JI86" i="1" s="1"/>
  <c r="JG102" i="1"/>
  <c r="JI102" i="1" s="1"/>
  <c r="JG87" i="1"/>
  <c r="JI87" i="1" s="1"/>
  <c r="JG103" i="1"/>
  <c r="JI103" i="1" s="1"/>
  <c r="JG84" i="1"/>
  <c r="JI84" i="1" s="1"/>
  <c r="JG92" i="1"/>
  <c r="JI92" i="1" s="1"/>
  <c r="JG55" i="1"/>
  <c r="JI55" i="1" s="1"/>
  <c r="JG42" i="1"/>
  <c r="JI42" i="1" s="1"/>
  <c r="JG56" i="1"/>
  <c r="JI56" i="1" s="1"/>
  <c r="JG45" i="1"/>
  <c r="JI45" i="1" s="1"/>
  <c r="JG61" i="1"/>
  <c r="JI61" i="1" s="1"/>
  <c r="JG50" i="1"/>
  <c r="JI50" i="1" s="1"/>
  <c r="JG66" i="1"/>
  <c r="JI66" i="1" s="1"/>
  <c r="IO91" i="1"/>
  <c r="IQ91" i="1" s="1"/>
  <c r="IO76" i="1"/>
  <c r="IQ76" i="1" s="1"/>
  <c r="IO92" i="1"/>
  <c r="IQ92" i="1" s="1"/>
  <c r="IO77" i="1"/>
  <c r="IQ77" i="1" s="1"/>
  <c r="IO93" i="1"/>
  <c r="IQ93" i="1" s="1"/>
  <c r="IO82" i="1"/>
  <c r="IQ82" i="1" s="1"/>
  <c r="IO90" i="1"/>
  <c r="IQ90" i="1" s="1"/>
  <c r="IO45" i="1"/>
  <c r="IQ45" i="1" s="1"/>
  <c r="IO61" i="1"/>
  <c r="IQ61" i="1" s="1"/>
  <c r="IO46" i="1"/>
  <c r="IQ46" i="1" s="1"/>
  <c r="IO62" i="1"/>
  <c r="IQ62" i="1" s="1"/>
  <c r="IO55" i="1"/>
  <c r="IQ55" i="1" s="1"/>
  <c r="IO42" i="1"/>
  <c r="IO56" i="1"/>
  <c r="IQ56" i="1" s="1"/>
  <c r="IO70" i="1"/>
  <c r="IQ70" i="1" s="1"/>
  <c r="IO79" i="1"/>
  <c r="IQ79" i="1" s="1"/>
  <c r="IO95" i="1"/>
  <c r="IQ95" i="1" s="1"/>
  <c r="IO80" i="1"/>
  <c r="IQ80" i="1" s="1"/>
  <c r="IO96" i="1"/>
  <c r="IQ96" i="1" s="1"/>
  <c r="IO81" i="1"/>
  <c r="IQ81" i="1" s="1"/>
  <c r="IO97" i="1"/>
  <c r="IQ97" i="1" s="1"/>
  <c r="IO98" i="1"/>
  <c r="IQ98" i="1" s="1"/>
  <c r="IO106" i="1"/>
  <c r="IQ106" i="1" s="1"/>
  <c r="IO49" i="1"/>
  <c r="IQ49" i="1" s="1"/>
  <c r="IO65" i="1"/>
  <c r="IQ65" i="1" s="1"/>
  <c r="IO50" i="1"/>
  <c r="IQ50" i="1" s="1"/>
  <c r="IO43" i="1"/>
  <c r="IQ43" i="1" s="1"/>
  <c r="IO59" i="1"/>
  <c r="IQ59" i="1" s="1"/>
  <c r="IO44" i="1"/>
  <c r="IQ44" i="1" s="1"/>
  <c r="IO60" i="1"/>
  <c r="IQ60" i="1" s="1"/>
  <c r="IO83" i="1"/>
  <c r="IQ83" i="1" s="1"/>
  <c r="IO99" i="1"/>
  <c r="IQ99" i="1" s="1"/>
  <c r="IO84" i="1"/>
  <c r="IQ84" i="1" s="1"/>
  <c r="IO100" i="1"/>
  <c r="IQ100" i="1" s="1"/>
  <c r="IO85" i="1"/>
  <c r="IQ85" i="1" s="1"/>
  <c r="IO101" i="1"/>
  <c r="IQ101" i="1" s="1"/>
  <c r="IO86" i="1"/>
  <c r="IQ86" i="1" s="1"/>
  <c r="IO78" i="1"/>
  <c r="IQ78" i="1" s="1"/>
  <c r="IO53" i="1"/>
  <c r="IQ53" i="1" s="1"/>
  <c r="IO69" i="1"/>
  <c r="IQ69" i="1" s="1"/>
  <c r="IO54" i="1"/>
  <c r="IQ54" i="1" s="1"/>
  <c r="IO47" i="1"/>
  <c r="IQ47" i="1" s="1"/>
  <c r="IO63" i="1"/>
  <c r="IQ63" i="1" s="1"/>
  <c r="IO48" i="1"/>
  <c r="IQ48" i="1" s="1"/>
  <c r="IO64" i="1"/>
  <c r="IQ64" i="1" s="1"/>
  <c r="IO87" i="1"/>
  <c r="IQ87" i="1" s="1"/>
  <c r="IO103" i="1"/>
  <c r="IQ103" i="1" s="1"/>
  <c r="IO88" i="1"/>
  <c r="IQ88" i="1" s="1"/>
  <c r="IO104" i="1"/>
  <c r="IQ104" i="1" s="1"/>
  <c r="IO89" i="1"/>
  <c r="IQ89" i="1" s="1"/>
  <c r="IO105" i="1"/>
  <c r="IQ105" i="1" s="1"/>
  <c r="IO102" i="1"/>
  <c r="IQ102" i="1" s="1"/>
  <c r="IO94" i="1"/>
  <c r="IQ94" i="1" s="1"/>
  <c r="IO57" i="1"/>
  <c r="IQ57" i="1" s="1"/>
  <c r="IO66" i="1"/>
  <c r="IQ66" i="1" s="1"/>
  <c r="IO58" i="1"/>
  <c r="IQ58" i="1" s="1"/>
  <c r="IO51" i="1"/>
  <c r="IQ51" i="1" s="1"/>
  <c r="IO67" i="1"/>
  <c r="IQ67" i="1" s="1"/>
  <c r="IO52" i="1"/>
  <c r="IQ52" i="1" s="1"/>
  <c r="IO68" i="1"/>
  <c r="IQ68" i="1" s="1"/>
  <c r="IF15" i="1"/>
  <c r="IH15" i="1" s="1"/>
  <c r="IF401" i="1"/>
  <c r="IH401" i="1" s="1"/>
  <c r="IF397" i="1"/>
  <c r="IH397" i="1" s="1"/>
  <c r="IF363" i="1"/>
  <c r="IH363" i="1" s="1"/>
  <c r="IF402" i="1"/>
  <c r="IH402" i="1" s="1"/>
  <c r="IF368" i="1"/>
  <c r="IH368" i="1" s="1"/>
  <c r="IF399" i="1"/>
  <c r="IH399" i="1" s="1"/>
  <c r="IF365" i="1"/>
  <c r="IH365" i="1" s="1"/>
  <c r="IF404" i="1"/>
  <c r="IH404" i="1" s="1"/>
  <c r="IF370" i="1"/>
  <c r="IH370" i="1" s="1"/>
  <c r="IF409" i="1"/>
  <c r="IH409" i="1" s="1"/>
  <c r="IF375" i="1"/>
  <c r="IH375" i="1" s="1"/>
  <c r="IF414" i="1"/>
  <c r="IH414" i="1" s="1"/>
  <c r="IF380" i="1"/>
  <c r="IH380" i="1" s="1"/>
  <c r="IF419" i="1"/>
  <c r="IH419" i="1" s="1"/>
  <c r="IF385" i="1"/>
  <c r="IH385" i="1" s="1"/>
  <c r="IF424" i="1"/>
  <c r="IH424" i="1" s="1"/>
  <c r="IF390" i="1"/>
  <c r="IH390" i="1" s="1"/>
  <c r="IF405" i="1"/>
  <c r="IH405" i="1" s="1"/>
  <c r="IF371" i="1"/>
  <c r="IH371" i="1" s="1"/>
  <c r="IF410" i="1"/>
  <c r="IH410" i="1" s="1"/>
  <c r="IF376" i="1"/>
  <c r="IH376" i="1" s="1"/>
  <c r="IF407" i="1"/>
  <c r="IH407" i="1" s="1"/>
  <c r="IF373" i="1"/>
  <c r="IH373" i="1" s="1"/>
  <c r="IF412" i="1"/>
  <c r="IH412" i="1" s="1"/>
  <c r="IF378" i="1"/>
  <c r="IH378" i="1" s="1"/>
  <c r="IF417" i="1"/>
  <c r="IH417" i="1" s="1"/>
  <c r="IF383" i="1"/>
  <c r="IH383" i="1" s="1"/>
  <c r="IF422" i="1"/>
  <c r="IH422" i="1" s="1"/>
  <c r="IF388" i="1"/>
  <c r="IH388" i="1" s="1"/>
  <c r="IF396" i="1"/>
  <c r="IH396" i="1" s="1"/>
  <c r="IF400" i="1"/>
  <c r="IH400" i="1" s="1"/>
  <c r="IF366" i="1"/>
  <c r="IH366" i="1" s="1"/>
  <c r="IF413" i="1"/>
  <c r="IH413" i="1" s="1"/>
  <c r="IF379" i="1"/>
  <c r="IH379" i="1" s="1"/>
  <c r="IF418" i="1"/>
  <c r="IH418" i="1" s="1"/>
  <c r="IF384" i="1"/>
  <c r="IH384" i="1" s="1"/>
  <c r="IF415" i="1"/>
  <c r="IH415" i="1" s="1"/>
  <c r="IF381" i="1"/>
  <c r="IH381" i="1" s="1"/>
  <c r="IF420" i="1"/>
  <c r="IH420" i="1" s="1"/>
  <c r="IF386" i="1"/>
  <c r="IH386" i="1" s="1"/>
  <c r="IF425" i="1"/>
  <c r="IH425" i="1" s="1"/>
  <c r="IF398" i="1"/>
  <c r="IH398" i="1" s="1"/>
  <c r="IF364" i="1"/>
  <c r="IH364" i="1" s="1"/>
  <c r="IF403" i="1"/>
  <c r="IH403" i="1" s="1"/>
  <c r="IF369" i="1"/>
  <c r="IH369" i="1" s="1"/>
  <c r="IF408" i="1"/>
  <c r="IH408" i="1" s="1"/>
  <c r="IF374" i="1"/>
  <c r="IH374" i="1" s="1"/>
  <c r="IF421" i="1"/>
  <c r="IH421" i="1" s="1"/>
  <c r="IF387" i="1"/>
  <c r="IH387" i="1" s="1"/>
  <c r="IF426" i="1"/>
  <c r="IH426" i="1" s="1"/>
  <c r="IF361" i="1"/>
  <c r="IH361" i="1" s="1"/>
  <c r="IF423" i="1"/>
  <c r="IH423" i="1" s="1"/>
  <c r="IF389" i="1"/>
  <c r="IH389" i="1" s="1"/>
  <c r="IF362" i="1"/>
  <c r="IH362" i="1" s="1"/>
  <c r="IF367" i="1"/>
  <c r="IH367" i="1" s="1"/>
  <c r="IF406" i="1"/>
  <c r="IH406" i="1" s="1"/>
  <c r="IF372" i="1"/>
  <c r="IH372" i="1" s="1"/>
  <c r="IF411" i="1"/>
  <c r="IH411" i="1" s="1"/>
  <c r="IF377" i="1"/>
  <c r="IH377" i="1" s="1"/>
  <c r="IF416" i="1"/>
  <c r="IH416" i="1" s="1"/>
  <c r="IF382" i="1"/>
  <c r="IH382" i="1" s="1"/>
  <c r="IF294" i="1"/>
  <c r="IH294" i="1" s="1"/>
  <c r="IF298" i="1"/>
  <c r="IH298" i="1" s="1"/>
  <c r="IF302" i="1"/>
  <c r="IH302" i="1" s="1"/>
  <c r="IF306" i="1"/>
  <c r="IH306" i="1" s="1"/>
  <c r="IF310" i="1"/>
  <c r="IH310" i="1" s="1"/>
  <c r="IF314" i="1"/>
  <c r="IH314" i="1" s="1"/>
  <c r="IF318" i="1"/>
  <c r="IH318" i="1" s="1"/>
  <c r="IF327" i="1"/>
  <c r="IH327" i="1" s="1"/>
  <c r="IF331" i="1"/>
  <c r="IH331" i="1" s="1"/>
  <c r="IF335" i="1"/>
  <c r="IH335" i="1" s="1"/>
  <c r="IF341" i="1"/>
  <c r="IH341" i="1" s="1"/>
  <c r="IF349" i="1"/>
  <c r="IH349" i="1" s="1"/>
  <c r="IF291" i="1"/>
  <c r="IH291" i="1" s="1"/>
  <c r="IF295" i="1"/>
  <c r="IH295" i="1" s="1"/>
  <c r="IF299" i="1"/>
  <c r="IH299" i="1" s="1"/>
  <c r="IF303" i="1"/>
  <c r="IH303" i="1" s="1"/>
  <c r="IF307" i="1"/>
  <c r="IH307" i="1" s="1"/>
  <c r="IF311" i="1"/>
  <c r="IH311" i="1" s="1"/>
  <c r="IF315" i="1"/>
  <c r="IH315" i="1" s="1"/>
  <c r="IF319" i="1"/>
  <c r="IH319" i="1" s="1"/>
  <c r="IF328" i="1"/>
  <c r="IH328" i="1" s="1"/>
  <c r="IF332" i="1"/>
  <c r="IH332" i="1" s="1"/>
  <c r="IF336" i="1"/>
  <c r="IH336" i="1" s="1"/>
  <c r="IF340" i="1"/>
  <c r="IH340" i="1" s="1"/>
  <c r="IF344" i="1"/>
  <c r="IH344" i="1" s="1"/>
  <c r="IF348" i="1"/>
  <c r="IH348" i="1" s="1"/>
  <c r="IF352" i="1"/>
  <c r="IH352" i="1" s="1"/>
  <c r="IF325" i="1"/>
  <c r="IH325" i="1" s="1"/>
  <c r="IF343" i="1"/>
  <c r="IH343" i="1" s="1"/>
  <c r="IF351" i="1"/>
  <c r="IH351" i="1" s="1"/>
  <c r="IF292" i="1"/>
  <c r="IH292" i="1" s="1"/>
  <c r="IF296" i="1"/>
  <c r="IH296" i="1" s="1"/>
  <c r="IF300" i="1"/>
  <c r="IH300" i="1" s="1"/>
  <c r="IF304" i="1"/>
  <c r="IH304" i="1" s="1"/>
  <c r="IF308" i="1"/>
  <c r="IH308" i="1" s="1"/>
  <c r="IF312" i="1"/>
  <c r="IH312" i="1" s="1"/>
  <c r="IF316" i="1"/>
  <c r="IH316" i="1" s="1"/>
  <c r="IF290" i="1"/>
  <c r="IH290" i="1" s="1"/>
  <c r="IF329" i="1"/>
  <c r="IH329" i="1" s="1"/>
  <c r="IF333" i="1"/>
  <c r="IH333" i="1" s="1"/>
  <c r="IF337" i="1"/>
  <c r="IH337" i="1" s="1"/>
  <c r="IF345" i="1"/>
  <c r="IH345" i="1" s="1"/>
  <c r="IF353" i="1"/>
  <c r="IH353" i="1" s="1"/>
  <c r="IF293" i="1"/>
  <c r="IH293" i="1" s="1"/>
  <c r="IF297" i="1"/>
  <c r="IH297" i="1" s="1"/>
  <c r="IF301" i="1"/>
  <c r="IH301" i="1" s="1"/>
  <c r="IF305" i="1"/>
  <c r="IH305" i="1" s="1"/>
  <c r="IF309" i="1"/>
  <c r="IH309" i="1" s="1"/>
  <c r="IF313" i="1"/>
  <c r="IH313" i="1" s="1"/>
  <c r="IF317" i="1"/>
  <c r="IH317" i="1" s="1"/>
  <c r="IF326" i="1"/>
  <c r="IH326" i="1" s="1"/>
  <c r="IF330" i="1"/>
  <c r="IH330" i="1" s="1"/>
  <c r="IF334" i="1"/>
  <c r="IH334" i="1" s="1"/>
  <c r="IF338" i="1"/>
  <c r="IH338" i="1" s="1"/>
  <c r="IF342" i="1"/>
  <c r="IH342" i="1" s="1"/>
  <c r="IF346" i="1"/>
  <c r="IH346" i="1" s="1"/>
  <c r="IF350" i="1"/>
  <c r="IH350" i="1" s="1"/>
  <c r="IF354" i="1"/>
  <c r="IH354" i="1" s="1"/>
  <c r="IF339" i="1"/>
  <c r="IH339" i="1" s="1"/>
  <c r="IF347" i="1"/>
  <c r="IH347" i="1" s="1"/>
  <c r="IF355" i="1"/>
  <c r="IH355" i="1" s="1"/>
  <c r="OE105" i="1"/>
  <c r="OW105" i="1"/>
  <c r="MC105" i="1"/>
  <c r="LR105" i="1"/>
  <c r="LT105" i="1" s="1"/>
  <c r="ND105" i="1"/>
  <c r="MU105" i="1"/>
  <c r="ML105" i="1"/>
  <c r="ON105" i="1"/>
  <c r="OE138" i="1"/>
  <c r="OW138" i="1"/>
  <c r="MC138" i="1"/>
  <c r="ND138" i="1"/>
  <c r="MU138" i="1"/>
  <c r="ML138" i="1"/>
  <c r="LR138" i="1"/>
  <c r="LT138" i="1" s="1"/>
  <c r="ON138" i="1"/>
  <c r="OE172" i="1"/>
  <c r="OW172" i="1"/>
  <c r="ND172" i="1"/>
  <c r="MU172" i="1"/>
  <c r="LR172" i="1"/>
  <c r="LT172" i="1" s="1"/>
  <c r="ML172" i="1"/>
  <c r="MC172" i="1"/>
  <c r="ON172" i="1"/>
  <c r="OE273" i="1"/>
  <c r="OW273" i="1"/>
  <c r="MU273" i="1"/>
  <c r="MC273" i="1"/>
  <c r="LR273" i="1"/>
  <c r="LT273" i="1" s="1"/>
  <c r="ND273" i="1"/>
  <c r="ML273" i="1"/>
  <c r="ON273" i="1"/>
  <c r="OE306" i="1"/>
  <c r="OW306" i="1"/>
  <c r="MU306" i="1"/>
  <c r="MC306" i="1"/>
  <c r="ND306" i="1"/>
  <c r="ML306" i="1"/>
  <c r="LR306" i="1"/>
  <c r="LT306" i="1" s="1"/>
  <c r="ON306" i="1"/>
  <c r="OE340" i="1"/>
  <c r="OW340" i="1"/>
  <c r="ND340" i="1"/>
  <c r="LT340" i="1"/>
  <c r="MU340" i="1"/>
  <c r="ML340" i="1"/>
  <c r="MC340" i="1"/>
  <c r="ON340" i="1"/>
  <c r="OE373" i="1"/>
  <c r="OW373" i="1"/>
  <c r="ND373" i="1"/>
  <c r="LR373" i="1"/>
  <c r="LT373" i="1" s="1"/>
  <c r="MC373" i="1"/>
  <c r="MU373" i="1"/>
  <c r="ML373" i="1"/>
  <c r="ON373" i="1"/>
  <c r="LR70" i="1"/>
  <c r="MA70" i="1"/>
  <c r="LR171" i="1"/>
  <c r="LR272" i="1"/>
  <c r="LR372" i="1"/>
  <c r="LR305" i="1"/>
  <c r="LR104" i="1"/>
  <c r="LR137" i="1"/>
  <c r="IF185" i="1"/>
  <c r="IH185" i="1" s="1"/>
  <c r="IF202" i="1"/>
  <c r="IH202" i="1" s="1"/>
  <c r="IF187" i="1"/>
  <c r="IH187" i="1" s="1"/>
  <c r="IF195" i="1"/>
  <c r="IH195" i="1" s="1"/>
  <c r="IF203" i="1"/>
  <c r="IH203" i="1" s="1"/>
  <c r="IF211" i="1"/>
  <c r="IH211" i="1" s="1"/>
  <c r="IF188" i="1"/>
  <c r="IH188" i="1" s="1"/>
  <c r="IF196" i="1"/>
  <c r="IH196" i="1" s="1"/>
  <c r="IF204" i="1"/>
  <c r="IH204" i="1" s="1"/>
  <c r="IF189" i="1"/>
  <c r="IH189" i="1" s="1"/>
  <c r="IF197" i="1"/>
  <c r="IH197" i="1" s="1"/>
  <c r="IF205" i="1"/>
  <c r="IH205" i="1" s="1"/>
  <c r="IF212" i="1"/>
  <c r="IH212" i="1" s="1"/>
  <c r="IF190" i="1"/>
  <c r="IH190" i="1" s="1"/>
  <c r="IF198" i="1"/>
  <c r="IH198" i="1" s="1"/>
  <c r="IF206" i="1"/>
  <c r="IH206" i="1" s="1"/>
  <c r="IF210" i="1"/>
  <c r="IH210" i="1" s="1"/>
  <c r="IF183" i="1"/>
  <c r="IH183" i="1" s="1"/>
  <c r="IF191" i="1"/>
  <c r="IH191" i="1" s="1"/>
  <c r="IF199" i="1"/>
  <c r="IH199" i="1" s="1"/>
  <c r="IF207" i="1"/>
  <c r="IH207" i="1" s="1"/>
  <c r="IF184" i="1"/>
  <c r="IH184" i="1" s="1"/>
  <c r="IF192" i="1"/>
  <c r="IH192" i="1" s="1"/>
  <c r="IF200" i="1"/>
  <c r="IH200" i="1" s="1"/>
  <c r="IF208" i="1"/>
  <c r="IH208" i="1" s="1"/>
  <c r="IF193" i="1"/>
  <c r="IH193" i="1" s="1"/>
  <c r="IF201" i="1"/>
  <c r="IH201" i="1" s="1"/>
  <c r="IF209" i="1"/>
  <c r="IH209" i="1" s="1"/>
  <c r="IF186" i="1"/>
  <c r="IH186" i="1" s="1"/>
  <c r="IF194" i="1"/>
  <c r="IH194" i="1" s="1"/>
  <c r="JG190" i="1"/>
  <c r="JI190" i="1" s="1"/>
  <c r="JG198" i="1"/>
  <c r="JI198" i="1" s="1"/>
  <c r="JG206" i="1"/>
  <c r="JI206" i="1" s="1"/>
  <c r="JG183" i="1"/>
  <c r="JG191" i="1"/>
  <c r="JI191" i="1" s="1"/>
  <c r="JG199" i="1"/>
  <c r="JI199" i="1" s="1"/>
  <c r="JG207" i="1"/>
  <c r="JI207" i="1" s="1"/>
  <c r="JG184" i="1"/>
  <c r="JI184" i="1" s="1"/>
  <c r="JG192" i="1"/>
  <c r="JI192" i="1" s="1"/>
  <c r="JG200" i="1"/>
  <c r="JI200" i="1" s="1"/>
  <c r="JG208" i="1"/>
  <c r="JI208" i="1" s="1"/>
  <c r="JG185" i="1"/>
  <c r="JI185" i="1" s="1"/>
  <c r="JG193" i="1"/>
  <c r="JI193" i="1" s="1"/>
  <c r="JG201" i="1"/>
  <c r="JI201" i="1" s="1"/>
  <c r="JG209" i="1"/>
  <c r="JI209" i="1" s="1"/>
  <c r="JG186" i="1"/>
  <c r="JI186" i="1" s="1"/>
  <c r="JG194" i="1"/>
  <c r="JI194" i="1" s="1"/>
  <c r="JG202" i="1"/>
  <c r="JI202" i="1" s="1"/>
  <c r="JG210" i="1"/>
  <c r="JI210" i="1" s="1"/>
  <c r="JG187" i="1"/>
  <c r="JI187" i="1" s="1"/>
  <c r="JG195" i="1"/>
  <c r="JI195" i="1" s="1"/>
  <c r="JG203" i="1"/>
  <c r="JI203" i="1" s="1"/>
  <c r="JG211" i="1"/>
  <c r="JI211" i="1" s="1"/>
  <c r="JG188" i="1"/>
  <c r="JI188" i="1" s="1"/>
  <c r="JG196" i="1"/>
  <c r="JI196" i="1" s="1"/>
  <c r="JG204" i="1"/>
  <c r="JI204" i="1" s="1"/>
  <c r="JG212" i="1"/>
  <c r="JI212" i="1" s="1"/>
  <c r="JG189" i="1"/>
  <c r="JI189" i="1" s="1"/>
  <c r="JG197" i="1"/>
  <c r="JI197" i="1" s="1"/>
  <c r="JG205" i="1"/>
  <c r="JI205" i="1" s="1"/>
  <c r="HW185" i="1"/>
  <c r="HY185" i="1" s="1"/>
  <c r="HW187" i="1"/>
  <c r="HY187" i="1" s="1"/>
  <c r="HW189" i="1"/>
  <c r="HY189" i="1" s="1"/>
  <c r="HW191" i="1"/>
  <c r="HY191" i="1" s="1"/>
  <c r="HW193" i="1"/>
  <c r="HY193" i="1" s="1"/>
  <c r="HW195" i="1"/>
  <c r="HY195" i="1" s="1"/>
  <c r="HW197" i="1"/>
  <c r="HY197" i="1" s="1"/>
  <c r="HW199" i="1"/>
  <c r="HY199" i="1" s="1"/>
  <c r="HW201" i="1"/>
  <c r="HY201" i="1" s="1"/>
  <c r="HW203" i="1"/>
  <c r="HY203" i="1" s="1"/>
  <c r="HW205" i="1"/>
  <c r="HY205" i="1" s="1"/>
  <c r="HW207" i="1"/>
  <c r="HY207" i="1" s="1"/>
  <c r="HW209" i="1"/>
  <c r="HY209" i="1" s="1"/>
  <c r="HW211" i="1"/>
  <c r="HY211" i="1" s="1"/>
  <c r="HW183" i="1"/>
  <c r="HW184" i="1"/>
  <c r="HY184" i="1" s="1"/>
  <c r="HW186" i="1"/>
  <c r="HY186" i="1" s="1"/>
  <c r="HW188" i="1"/>
  <c r="HY188" i="1" s="1"/>
  <c r="HW190" i="1"/>
  <c r="HY190" i="1" s="1"/>
  <c r="HW192" i="1"/>
  <c r="HY192" i="1" s="1"/>
  <c r="HW194" i="1"/>
  <c r="HY194" i="1" s="1"/>
  <c r="HW196" i="1"/>
  <c r="HY196" i="1" s="1"/>
  <c r="HW198" i="1"/>
  <c r="HY198" i="1" s="1"/>
  <c r="HW200" i="1"/>
  <c r="HY200" i="1" s="1"/>
  <c r="HW202" i="1"/>
  <c r="HY202" i="1" s="1"/>
  <c r="HW204" i="1"/>
  <c r="HY204" i="1" s="1"/>
  <c r="HW206" i="1"/>
  <c r="HY206" i="1" s="1"/>
  <c r="HW208" i="1"/>
  <c r="HY208" i="1" s="1"/>
  <c r="HW210" i="1"/>
  <c r="HY210" i="1" s="1"/>
  <c r="HW212" i="1"/>
  <c r="HY212" i="1" s="1"/>
  <c r="AS25" i="5"/>
  <c r="D51" i="20" s="1"/>
  <c r="AZ25" i="5"/>
  <c r="D58" i="20" s="1"/>
  <c r="QQ112" i="1"/>
  <c r="QQ113" i="1" s="1"/>
  <c r="QQ114" i="1" s="1"/>
  <c r="QQ115" i="1" s="1"/>
  <c r="QQ116" i="1" s="1"/>
  <c r="QQ117" i="1" s="1"/>
  <c r="QQ118" i="1" s="1"/>
  <c r="QQ119" i="1" s="1"/>
  <c r="QQ120" i="1" s="1"/>
  <c r="QQ121" i="1" s="1"/>
  <c r="QQ122" i="1" s="1"/>
  <c r="QQ123" i="1" s="1"/>
  <c r="QQ124" i="1" s="1"/>
  <c r="QQ125" i="1" s="1"/>
  <c r="QQ126" i="1" s="1"/>
  <c r="QQ127" i="1" s="1"/>
  <c r="QQ128" i="1" s="1"/>
  <c r="QQ129" i="1" s="1"/>
  <c r="QQ130" i="1" s="1"/>
  <c r="QQ131" i="1" s="1"/>
  <c r="QQ132" i="1" s="1"/>
  <c r="QQ133" i="1" s="1"/>
  <c r="QQ134" i="1" s="1"/>
  <c r="QQ135" i="1" s="1"/>
  <c r="QQ136" i="1" s="1"/>
  <c r="QQ137" i="1" s="1"/>
  <c r="QQ138" i="1" s="1"/>
  <c r="QQ139" i="1" s="1"/>
  <c r="QQ140" i="1" s="1"/>
  <c r="QQ141" i="1" s="1"/>
  <c r="QQ142" i="1" s="1"/>
  <c r="AX25" i="5"/>
  <c r="D56" i="20" s="1"/>
  <c r="PY112" i="1"/>
  <c r="PY113" i="1" s="1"/>
  <c r="PY114" i="1" s="1"/>
  <c r="PY115" i="1" s="1"/>
  <c r="PY116" i="1" s="1"/>
  <c r="PY117" i="1" s="1"/>
  <c r="PY118" i="1" s="1"/>
  <c r="PY119" i="1" s="1"/>
  <c r="PY120" i="1" s="1"/>
  <c r="PY121" i="1" s="1"/>
  <c r="PY122" i="1" s="1"/>
  <c r="PY123" i="1" s="1"/>
  <c r="PY124" i="1" s="1"/>
  <c r="PY125" i="1" s="1"/>
  <c r="PY126" i="1" s="1"/>
  <c r="PY127" i="1" s="1"/>
  <c r="PY128" i="1" s="1"/>
  <c r="PY129" i="1" s="1"/>
  <c r="PY130" i="1" s="1"/>
  <c r="PY131" i="1" s="1"/>
  <c r="PY132" i="1" s="1"/>
  <c r="PY133" i="1" s="1"/>
  <c r="PY134" i="1" s="1"/>
  <c r="PY135" i="1" s="1"/>
  <c r="PY136" i="1" s="1"/>
  <c r="PY137" i="1" s="1"/>
  <c r="PY138" i="1" s="1"/>
  <c r="PY139" i="1" s="1"/>
  <c r="PY140" i="1" s="1"/>
  <c r="PY141" i="1" s="1"/>
  <c r="PY142" i="1" s="1"/>
  <c r="AY25" i="5"/>
  <c r="D57" i="20" s="1"/>
  <c r="QH112" i="1"/>
  <c r="QH113" i="1" s="1"/>
  <c r="QH114" i="1" s="1"/>
  <c r="QH115" i="1" s="1"/>
  <c r="QH116" i="1" s="1"/>
  <c r="QH117" i="1" s="1"/>
  <c r="QH118" i="1" s="1"/>
  <c r="QH119" i="1" s="1"/>
  <c r="QH120" i="1" s="1"/>
  <c r="QH121" i="1" s="1"/>
  <c r="QH122" i="1" s="1"/>
  <c r="QH123" i="1" s="1"/>
  <c r="QH124" i="1" s="1"/>
  <c r="QH125" i="1" s="1"/>
  <c r="QH126" i="1" s="1"/>
  <c r="QH127" i="1" s="1"/>
  <c r="QH128" i="1" s="1"/>
  <c r="QH129" i="1" s="1"/>
  <c r="QH130" i="1" s="1"/>
  <c r="QH131" i="1" s="1"/>
  <c r="QH132" i="1" s="1"/>
  <c r="QH133" i="1" s="1"/>
  <c r="QH134" i="1" s="1"/>
  <c r="QH135" i="1" s="1"/>
  <c r="QH136" i="1" s="1"/>
  <c r="QH137" i="1" s="1"/>
  <c r="QH138" i="1" s="1"/>
  <c r="QH139" i="1" s="1"/>
  <c r="QH140" i="1" s="1"/>
  <c r="QH141" i="1" s="1"/>
  <c r="QH142" i="1" s="1"/>
  <c r="AW25" i="5"/>
  <c r="D55" i="20" s="1"/>
  <c r="PP112" i="1"/>
  <c r="PP113" i="1" s="1"/>
  <c r="PP114" i="1" s="1"/>
  <c r="PP115" i="1" s="1"/>
  <c r="PP116" i="1" s="1"/>
  <c r="PP117" i="1" s="1"/>
  <c r="PP118" i="1" s="1"/>
  <c r="PP119" i="1" s="1"/>
  <c r="PP120" i="1" s="1"/>
  <c r="PP121" i="1" s="1"/>
  <c r="PP122" i="1" s="1"/>
  <c r="PP123" i="1" s="1"/>
  <c r="PP124" i="1" s="1"/>
  <c r="PP125" i="1" s="1"/>
  <c r="PP126" i="1" s="1"/>
  <c r="PP127" i="1" s="1"/>
  <c r="PP128" i="1" s="1"/>
  <c r="PP129" i="1" s="1"/>
  <c r="PP130" i="1" s="1"/>
  <c r="PP131" i="1" s="1"/>
  <c r="PP132" i="1" s="1"/>
  <c r="PP133" i="1" s="1"/>
  <c r="PP134" i="1" s="1"/>
  <c r="PP135" i="1" s="1"/>
  <c r="PP136" i="1" s="1"/>
  <c r="PP137" i="1" s="1"/>
  <c r="PP138" i="1" s="1"/>
  <c r="PP139" i="1" s="1"/>
  <c r="PP140" i="1" s="1"/>
  <c r="PP141" i="1" s="1"/>
  <c r="PP142" i="1" s="1"/>
  <c r="AT25" i="5"/>
  <c r="D52" i="20" s="1"/>
  <c r="AV25" i="5"/>
  <c r="D54" i="20" s="1"/>
  <c r="PG112" i="1"/>
  <c r="PG113" i="1" s="1"/>
  <c r="PG114" i="1" s="1"/>
  <c r="PG115" i="1" s="1"/>
  <c r="PG116" i="1" s="1"/>
  <c r="PG117" i="1" s="1"/>
  <c r="PG118" i="1" s="1"/>
  <c r="PG119" i="1" s="1"/>
  <c r="PG120" i="1" s="1"/>
  <c r="PG121" i="1" s="1"/>
  <c r="PG122" i="1" s="1"/>
  <c r="PG123" i="1" s="1"/>
  <c r="PG124" i="1" s="1"/>
  <c r="PG125" i="1" s="1"/>
  <c r="PG126" i="1" s="1"/>
  <c r="PG127" i="1" s="1"/>
  <c r="PG128" i="1" s="1"/>
  <c r="PG129" i="1" s="1"/>
  <c r="PG130" i="1" s="1"/>
  <c r="PG131" i="1" s="1"/>
  <c r="PG132" i="1" s="1"/>
  <c r="PG133" i="1" s="1"/>
  <c r="PG134" i="1" s="1"/>
  <c r="PG135" i="1" s="1"/>
  <c r="PG136" i="1" s="1"/>
  <c r="PG137" i="1" s="1"/>
  <c r="PG138" i="1" s="1"/>
  <c r="PG139" i="1" s="1"/>
  <c r="PG140" i="1" s="1"/>
  <c r="PG141" i="1" s="1"/>
  <c r="PG142" i="1" s="1"/>
  <c r="AU25" i="5"/>
  <c r="D53" i="20" s="1"/>
  <c r="AA8" i="5"/>
  <c r="HZ41" i="1"/>
  <c r="IA41" i="1" s="1"/>
  <c r="AE8" i="5"/>
  <c r="JJ41" i="1"/>
  <c r="JK41" i="1" s="1"/>
  <c r="Z8" i="5"/>
  <c r="HP41" i="1"/>
  <c r="P8" i="5"/>
  <c r="ED41" i="1"/>
  <c r="U8" i="5"/>
  <c r="FW41" i="1"/>
  <c r="FX41" i="1" s="1"/>
  <c r="N8" i="5"/>
  <c r="Q8" i="5"/>
  <c r="EM41" i="1"/>
  <c r="S8" i="5"/>
  <c r="FE41" i="1"/>
  <c r="V8" i="5"/>
  <c r="GF41" i="1"/>
  <c r="GG41" i="1" s="1"/>
  <c r="X8" i="5"/>
  <c r="GX41" i="1"/>
  <c r="O8" i="5"/>
  <c r="H17" i="17" s="1"/>
  <c r="DU41" i="1"/>
  <c r="R8" i="5"/>
  <c r="EV41" i="1"/>
  <c r="W8" i="5"/>
  <c r="GO41" i="1"/>
  <c r="Y8" i="5"/>
  <c r="HG41" i="1"/>
  <c r="M8" i="5"/>
  <c r="L8" i="5"/>
  <c r="CT41" i="1"/>
  <c r="AH8" i="5"/>
  <c r="KK41" i="1"/>
  <c r="KL41" i="1" s="1"/>
  <c r="AI8" i="5"/>
  <c r="KT41" i="1"/>
  <c r="LK70" i="1"/>
  <c r="KS70" i="1"/>
  <c r="KJ70" i="1"/>
  <c r="KA70" i="1"/>
  <c r="JR70" i="1"/>
  <c r="LB70" i="1"/>
  <c r="LK104" i="1"/>
  <c r="KS104" i="1"/>
  <c r="KJ104" i="1"/>
  <c r="KA104" i="1"/>
  <c r="JR104" i="1"/>
  <c r="LB104" i="1"/>
  <c r="QP105" i="1"/>
  <c r="QG105" i="1"/>
  <c r="PO105" i="1"/>
  <c r="PX105" i="1"/>
  <c r="NM105" i="1"/>
  <c r="LK105" i="1"/>
  <c r="KS105" i="1"/>
  <c r="KJ105" i="1"/>
  <c r="KA105" i="1"/>
  <c r="JR105" i="1"/>
  <c r="PF105" i="1"/>
  <c r="LB105" i="1"/>
  <c r="LK137" i="1"/>
  <c r="KS137" i="1"/>
  <c r="KJ137" i="1"/>
  <c r="KA137" i="1"/>
  <c r="JR137" i="1"/>
  <c r="LB137" i="1"/>
  <c r="QP138" i="1"/>
  <c r="QG138" i="1"/>
  <c r="PX138" i="1"/>
  <c r="PO138" i="1"/>
  <c r="NM138" i="1"/>
  <c r="LK138" i="1"/>
  <c r="KS138" i="1"/>
  <c r="KJ138" i="1"/>
  <c r="KA138" i="1"/>
  <c r="JR138" i="1"/>
  <c r="PF138" i="1"/>
  <c r="LB138" i="1"/>
  <c r="LK171" i="1"/>
  <c r="KS171" i="1"/>
  <c r="KJ171" i="1"/>
  <c r="KA171" i="1"/>
  <c r="JR171" i="1"/>
  <c r="LB171" i="1"/>
  <c r="QP172" i="1"/>
  <c r="QG172" i="1"/>
  <c r="PX172" i="1"/>
  <c r="PO172" i="1"/>
  <c r="NM172" i="1"/>
  <c r="LK172" i="1"/>
  <c r="KS172" i="1"/>
  <c r="KJ172" i="1"/>
  <c r="KA172" i="1"/>
  <c r="PF172" i="1"/>
  <c r="LB172" i="1"/>
  <c r="LK204" i="1"/>
  <c r="KS204" i="1"/>
  <c r="QP205" i="1"/>
  <c r="QG205" i="1"/>
  <c r="PO205" i="1"/>
  <c r="PX205" i="1"/>
  <c r="NM205" i="1"/>
  <c r="LK205" i="1"/>
  <c r="KS205" i="1"/>
  <c r="KJ205" i="1"/>
  <c r="PF205" i="1"/>
  <c r="LK238" i="1"/>
  <c r="KS238" i="1"/>
  <c r="KJ238" i="1"/>
  <c r="KA238" i="1"/>
  <c r="JR238" i="1"/>
  <c r="QP239" i="1"/>
  <c r="QG239" i="1"/>
  <c r="PO239" i="1"/>
  <c r="PX239" i="1"/>
  <c r="NM239" i="1"/>
  <c r="LK239" i="1"/>
  <c r="KS239" i="1"/>
  <c r="KJ239" i="1"/>
  <c r="KA239" i="1"/>
  <c r="JR239" i="1"/>
  <c r="PF239" i="1"/>
  <c r="LK272" i="1"/>
  <c r="KS272" i="1"/>
  <c r="KJ272" i="1"/>
  <c r="KA272" i="1"/>
  <c r="JR272" i="1"/>
  <c r="LB272" i="1"/>
  <c r="QP273" i="1"/>
  <c r="QG273" i="1"/>
  <c r="PX273" i="1"/>
  <c r="PO273" i="1"/>
  <c r="NM273" i="1"/>
  <c r="LK273" i="1"/>
  <c r="KS273" i="1"/>
  <c r="KJ273" i="1"/>
  <c r="KA273" i="1"/>
  <c r="JR273" i="1"/>
  <c r="PF273" i="1"/>
  <c r="LB273" i="1"/>
  <c r="LK305" i="1"/>
  <c r="KS305" i="1"/>
  <c r="KJ305" i="1"/>
  <c r="KA305" i="1"/>
  <c r="JR305" i="1"/>
  <c r="LB305" i="1"/>
  <c r="QP306" i="1"/>
  <c r="QG306" i="1"/>
  <c r="PX306" i="1"/>
  <c r="PO306" i="1"/>
  <c r="NM306" i="1"/>
  <c r="LK306" i="1"/>
  <c r="KS306" i="1"/>
  <c r="KJ306" i="1"/>
  <c r="KA306" i="1"/>
  <c r="JR306" i="1"/>
  <c r="LB306" i="1"/>
  <c r="PF306" i="1"/>
  <c r="LK339" i="1"/>
  <c r="KS339" i="1"/>
  <c r="KJ339" i="1"/>
  <c r="KA339" i="1"/>
  <c r="JR339" i="1"/>
  <c r="LB339" i="1"/>
  <c r="LK372" i="1"/>
  <c r="KS372" i="1"/>
  <c r="KJ372" i="1"/>
  <c r="KA372" i="1"/>
  <c r="JR372" i="1"/>
  <c r="LB372" i="1"/>
  <c r="QP340" i="1"/>
  <c r="QG340" i="1"/>
  <c r="PX340" i="1"/>
  <c r="PO340" i="1"/>
  <c r="NM340" i="1"/>
  <c r="LK340" i="1"/>
  <c r="KS340" i="1"/>
  <c r="KJ340" i="1"/>
  <c r="KA340" i="1"/>
  <c r="PF340" i="1"/>
  <c r="LB340" i="1"/>
  <c r="QP373" i="1"/>
  <c r="QG373" i="1"/>
  <c r="PX373" i="1"/>
  <c r="PO373" i="1"/>
  <c r="NM373" i="1"/>
  <c r="LK373" i="1"/>
  <c r="KS373" i="1"/>
  <c r="KJ373" i="1"/>
  <c r="KA373" i="1"/>
  <c r="JR373" i="1"/>
  <c r="LB373" i="1"/>
  <c r="PF373" i="1"/>
  <c r="AJ8" i="5"/>
  <c r="IF10" i="1"/>
  <c r="IH10" i="1" s="1"/>
  <c r="IF14" i="1"/>
  <c r="IH14" i="1" s="1"/>
  <c r="IF18" i="1"/>
  <c r="IH18" i="1" s="1"/>
  <c r="IF22" i="1"/>
  <c r="IH22" i="1" s="1"/>
  <c r="IF26" i="1"/>
  <c r="IH26" i="1" s="1"/>
  <c r="IF30" i="1"/>
  <c r="IH30" i="1" s="1"/>
  <c r="IF34" i="1"/>
  <c r="IH34" i="1" s="1"/>
  <c r="IF13" i="1"/>
  <c r="IH13" i="1" s="1"/>
  <c r="IF25" i="1"/>
  <c r="IH25" i="1" s="1"/>
  <c r="IF7" i="1"/>
  <c r="IH7" i="1" s="1"/>
  <c r="IF11" i="1"/>
  <c r="IH11" i="1" s="1"/>
  <c r="IF19" i="1"/>
  <c r="IH19" i="1" s="1"/>
  <c r="IF23" i="1"/>
  <c r="IH23" i="1" s="1"/>
  <c r="IF27" i="1"/>
  <c r="IH27" i="1" s="1"/>
  <c r="IF31" i="1"/>
  <c r="IH31" i="1" s="1"/>
  <c r="IF35" i="1"/>
  <c r="IH35" i="1" s="1"/>
  <c r="IF17" i="1"/>
  <c r="IH17" i="1" s="1"/>
  <c r="IF33" i="1"/>
  <c r="IH33" i="1" s="1"/>
  <c r="IF8" i="1"/>
  <c r="IH8" i="1" s="1"/>
  <c r="IF12" i="1"/>
  <c r="IH12" i="1" s="1"/>
  <c r="IF16" i="1"/>
  <c r="IH16" i="1" s="1"/>
  <c r="IF20" i="1"/>
  <c r="IH20" i="1" s="1"/>
  <c r="IF24" i="1"/>
  <c r="IH24" i="1" s="1"/>
  <c r="IF28" i="1"/>
  <c r="IH28" i="1" s="1"/>
  <c r="IF32" i="1"/>
  <c r="IH32" i="1" s="1"/>
  <c r="IF36" i="1"/>
  <c r="IH36" i="1" s="1"/>
  <c r="IF9" i="1"/>
  <c r="IH9" i="1" s="1"/>
  <c r="IF21" i="1"/>
  <c r="IH21" i="1" s="1"/>
  <c r="IF29" i="1"/>
  <c r="IH29" i="1" s="1"/>
  <c r="IX8" i="1"/>
  <c r="IZ8" i="1" s="1"/>
  <c r="IX10" i="1"/>
  <c r="IZ10" i="1" s="1"/>
  <c r="IX9" i="1"/>
  <c r="IZ9" i="1" s="1"/>
  <c r="IX14" i="1"/>
  <c r="IZ14" i="1" s="1"/>
  <c r="IX18" i="1"/>
  <c r="IZ18" i="1" s="1"/>
  <c r="IX22" i="1"/>
  <c r="IZ22" i="1" s="1"/>
  <c r="IX26" i="1"/>
  <c r="IZ26" i="1" s="1"/>
  <c r="IX30" i="1"/>
  <c r="IZ30" i="1" s="1"/>
  <c r="IX34" i="1"/>
  <c r="IZ34" i="1" s="1"/>
  <c r="IX11" i="1"/>
  <c r="IZ11" i="1" s="1"/>
  <c r="IX15" i="1"/>
  <c r="IZ15" i="1" s="1"/>
  <c r="IX19" i="1"/>
  <c r="IZ19" i="1" s="1"/>
  <c r="IX23" i="1"/>
  <c r="IZ23" i="1" s="1"/>
  <c r="IX27" i="1"/>
  <c r="IZ27" i="1" s="1"/>
  <c r="IX31" i="1"/>
  <c r="IZ31" i="1" s="1"/>
  <c r="IX35" i="1"/>
  <c r="IZ35" i="1" s="1"/>
  <c r="IX16" i="1"/>
  <c r="IZ16" i="1" s="1"/>
  <c r="IX24" i="1"/>
  <c r="IZ24" i="1" s="1"/>
  <c r="IX32" i="1"/>
  <c r="IZ32" i="1" s="1"/>
  <c r="IX7" i="1"/>
  <c r="IZ7" i="1" s="1"/>
  <c r="IX17" i="1"/>
  <c r="IZ17" i="1" s="1"/>
  <c r="IX25" i="1"/>
  <c r="IZ25" i="1" s="1"/>
  <c r="IX33" i="1"/>
  <c r="IZ33" i="1" s="1"/>
  <c r="IX12" i="1"/>
  <c r="IZ12" i="1" s="1"/>
  <c r="IX20" i="1"/>
  <c r="IZ20" i="1" s="1"/>
  <c r="IX28" i="1"/>
  <c r="IZ28" i="1" s="1"/>
  <c r="IX36" i="1"/>
  <c r="IZ36" i="1" s="1"/>
  <c r="IX29" i="1"/>
  <c r="IZ29" i="1" s="1"/>
  <c r="IX13" i="1"/>
  <c r="IZ13" i="1" s="1"/>
  <c r="IX21" i="1"/>
  <c r="IZ21" i="1" s="1"/>
  <c r="IO7" i="1"/>
  <c r="IQ7" i="1" s="1"/>
  <c r="IO11" i="1"/>
  <c r="IQ11" i="1" s="1"/>
  <c r="IO15" i="1"/>
  <c r="IQ15" i="1" s="1"/>
  <c r="IO19" i="1"/>
  <c r="IQ19" i="1" s="1"/>
  <c r="IO23" i="1"/>
  <c r="IQ23" i="1" s="1"/>
  <c r="IO27" i="1"/>
  <c r="IQ27" i="1" s="1"/>
  <c r="IO31" i="1"/>
  <c r="IQ31" i="1" s="1"/>
  <c r="IO35" i="1"/>
  <c r="IQ35" i="1" s="1"/>
  <c r="IO8" i="1"/>
  <c r="IQ8" i="1" s="1"/>
  <c r="IO12" i="1"/>
  <c r="IQ12" i="1" s="1"/>
  <c r="IO16" i="1"/>
  <c r="IQ16" i="1" s="1"/>
  <c r="IO20" i="1"/>
  <c r="IQ20" i="1" s="1"/>
  <c r="IO24" i="1"/>
  <c r="IQ24" i="1" s="1"/>
  <c r="IO28" i="1"/>
  <c r="IQ28" i="1" s="1"/>
  <c r="IO32" i="1"/>
  <c r="IQ32" i="1" s="1"/>
  <c r="IO36" i="1"/>
  <c r="IQ36" i="1" s="1"/>
  <c r="IO9" i="1"/>
  <c r="IQ9" i="1" s="1"/>
  <c r="IO13" i="1"/>
  <c r="IQ13" i="1" s="1"/>
  <c r="IO17" i="1"/>
  <c r="IQ17" i="1" s="1"/>
  <c r="IO21" i="1"/>
  <c r="IQ21" i="1" s="1"/>
  <c r="IO25" i="1"/>
  <c r="IQ25" i="1" s="1"/>
  <c r="IO29" i="1"/>
  <c r="IQ29" i="1" s="1"/>
  <c r="IO33" i="1"/>
  <c r="IQ33" i="1" s="1"/>
  <c r="IO22" i="1"/>
  <c r="IQ22" i="1" s="1"/>
  <c r="IO10" i="1"/>
  <c r="IQ10" i="1" s="1"/>
  <c r="IO26" i="1"/>
  <c r="IQ26" i="1" s="1"/>
  <c r="IO18" i="1"/>
  <c r="IQ18" i="1" s="1"/>
  <c r="IO14" i="1"/>
  <c r="IQ14" i="1" s="1"/>
  <c r="IO30" i="1"/>
  <c r="IQ30" i="1" s="1"/>
  <c r="IO34" i="1"/>
  <c r="IQ34" i="1" s="1"/>
  <c r="JG10" i="1"/>
  <c r="JI10" i="1" s="1"/>
  <c r="JG7" i="1"/>
  <c r="JI7" i="1" s="1"/>
  <c r="JG11" i="1"/>
  <c r="JI11" i="1" s="1"/>
  <c r="JG8" i="1"/>
  <c r="JI8" i="1" s="1"/>
  <c r="JG9" i="1"/>
  <c r="JI9" i="1" s="1"/>
  <c r="JG14" i="1"/>
  <c r="JI14" i="1" s="1"/>
  <c r="JG18" i="1"/>
  <c r="JI18" i="1" s="1"/>
  <c r="JG22" i="1"/>
  <c r="JI22" i="1" s="1"/>
  <c r="JG26" i="1"/>
  <c r="JI26" i="1" s="1"/>
  <c r="JG30" i="1"/>
  <c r="JI30" i="1" s="1"/>
  <c r="JG34" i="1"/>
  <c r="JI34" i="1" s="1"/>
  <c r="JG29" i="1"/>
  <c r="JI29" i="1" s="1"/>
  <c r="JG15" i="1"/>
  <c r="JI15" i="1" s="1"/>
  <c r="JG19" i="1"/>
  <c r="JI19" i="1" s="1"/>
  <c r="JG23" i="1"/>
  <c r="JI23" i="1" s="1"/>
  <c r="JG27" i="1"/>
  <c r="JI27" i="1" s="1"/>
  <c r="JG31" i="1"/>
  <c r="JI31" i="1" s="1"/>
  <c r="JG35" i="1"/>
  <c r="JI35" i="1" s="1"/>
  <c r="JG17" i="1"/>
  <c r="JI17" i="1" s="1"/>
  <c r="JG25" i="1"/>
  <c r="JI25" i="1" s="1"/>
  <c r="JG12" i="1"/>
  <c r="JI12" i="1" s="1"/>
  <c r="JG16" i="1"/>
  <c r="JI16" i="1" s="1"/>
  <c r="JG20" i="1"/>
  <c r="JI20" i="1" s="1"/>
  <c r="JG24" i="1"/>
  <c r="JI24" i="1" s="1"/>
  <c r="JG28" i="1"/>
  <c r="JI28" i="1" s="1"/>
  <c r="JG32" i="1"/>
  <c r="JI32" i="1" s="1"/>
  <c r="JG36" i="1"/>
  <c r="JI36" i="1" s="1"/>
  <c r="JG13" i="1"/>
  <c r="JI13" i="1" s="1"/>
  <c r="JG21" i="1"/>
  <c r="JI21" i="1" s="1"/>
  <c r="JG33" i="1"/>
  <c r="JI33" i="1" s="1"/>
  <c r="G704" i="6"/>
  <c r="I704" i="6"/>
  <c r="K704" i="6"/>
  <c r="M704" i="6"/>
  <c r="O704" i="6"/>
  <c r="Q704" i="6"/>
  <c r="S704" i="6"/>
  <c r="U704" i="6"/>
  <c r="W704" i="6"/>
  <c r="Y704" i="6"/>
  <c r="AA704" i="6"/>
  <c r="AC704" i="6"/>
  <c r="AE704" i="6"/>
  <c r="JR172" i="1"/>
  <c r="LB204" i="1"/>
  <c r="KJ204" i="1"/>
  <c r="KA204" i="1"/>
  <c r="JR204" i="1"/>
  <c r="LB205" i="1"/>
  <c r="KA205" i="1"/>
  <c r="JR205" i="1"/>
  <c r="LB238" i="1"/>
  <c r="LB239" i="1"/>
  <c r="JR340" i="1"/>
  <c r="LK397" i="1"/>
  <c r="LK399" i="1"/>
  <c r="LK401" i="1"/>
  <c r="LK403" i="1"/>
  <c r="LK405" i="1"/>
  <c r="LK407" i="1"/>
  <c r="LK409" i="1"/>
  <c r="LK411" i="1"/>
  <c r="LK413" i="1"/>
  <c r="LK415" i="1"/>
  <c r="LK417" i="1"/>
  <c r="LK419" i="1"/>
  <c r="LK421" i="1"/>
  <c r="LK423" i="1"/>
  <c r="LK425" i="1"/>
  <c r="LK363" i="1"/>
  <c r="LK365" i="1"/>
  <c r="LK367" i="1"/>
  <c r="LK369" i="1"/>
  <c r="LK371" i="1"/>
  <c r="LK375" i="1"/>
  <c r="LK377" i="1"/>
  <c r="LK379" i="1"/>
  <c r="LK381" i="1"/>
  <c r="LK383" i="1"/>
  <c r="LK385" i="1"/>
  <c r="LK387" i="1"/>
  <c r="LK389" i="1"/>
  <c r="LK361" i="1"/>
  <c r="LK327" i="1"/>
  <c r="LK329" i="1"/>
  <c r="LK331" i="1"/>
  <c r="LK333" i="1"/>
  <c r="LK335" i="1"/>
  <c r="LK337" i="1"/>
  <c r="LK341" i="1"/>
  <c r="LK343" i="1"/>
  <c r="LK345" i="1"/>
  <c r="LK347" i="1"/>
  <c r="LK349" i="1"/>
  <c r="LK351" i="1"/>
  <c r="LK353" i="1"/>
  <c r="LK355" i="1"/>
  <c r="LK291" i="1"/>
  <c r="LK293" i="1"/>
  <c r="LK295" i="1"/>
  <c r="LK297" i="1"/>
  <c r="LK299" i="1"/>
  <c r="LK301" i="1"/>
  <c r="LK303" i="1"/>
  <c r="LK307" i="1"/>
  <c r="LK309" i="1"/>
  <c r="LK311" i="1"/>
  <c r="LK313" i="1"/>
  <c r="LK315" i="1"/>
  <c r="LK317" i="1"/>
  <c r="LK319" i="1"/>
  <c r="LK255" i="1"/>
  <c r="LK257" i="1"/>
  <c r="LK259" i="1"/>
  <c r="LK261" i="1"/>
  <c r="LK263" i="1"/>
  <c r="LK265" i="1"/>
  <c r="LK267" i="1"/>
  <c r="LK269" i="1"/>
  <c r="LK271" i="1"/>
  <c r="LK275" i="1"/>
  <c r="LK277" i="1"/>
  <c r="LK279" i="1"/>
  <c r="LK281" i="1"/>
  <c r="LK283" i="1"/>
  <c r="LK254" i="1"/>
  <c r="LK220" i="1"/>
  <c r="LK222" i="1"/>
  <c r="LK224" i="1"/>
  <c r="LK226" i="1"/>
  <c r="LK228" i="1"/>
  <c r="LK230" i="1"/>
  <c r="LK232" i="1"/>
  <c r="LK234" i="1"/>
  <c r="LK236" i="1"/>
  <c r="LK240" i="1"/>
  <c r="LK242" i="1"/>
  <c r="LK244" i="1"/>
  <c r="LK246" i="1"/>
  <c r="LK248" i="1"/>
  <c r="LK184" i="1"/>
  <c r="LK186" i="1"/>
  <c r="LK188" i="1"/>
  <c r="LK190" i="1"/>
  <c r="LK192" i="1"/>
  <c r="LK194" i="1"/>
  <c r="LK196" i="1"/>
  <c r="LK198" i="1"/>
  <c r="LK200" i="1"/>
  <c r="LK202" i="1"/>
  <c r="LK206" i="1"/>
  <c r="LK208" i="1"/>
  <c r="LK210" i="1"/>
  <c r="LK212" i="1"/>
  <c r="LK148" i="1"/>
  <c r="LK150" i="1"/>
  <c r="LK152" i="1"/>
  <c r="LK154" i="1"/>
  <c r="LK156" i="1"/>
  <c r="LK158" i="1"/>
  <c r="LK160" i="1"/>
  <c r="LK162" i="1"/>
  <c r="LK164" i="1"/>
  <c r="LK166" i="1"/>
  <c r="LK168" i="1"/>
  <c r="LK170" i="1"/>
  <c r="LK174" i="1"/>
  <c r="LK176" i="1"/>
  <c r="LK114" i="1"/>
  <c r="LK116" i="1"/>
  <c r="LK118" i="1"/>
  <c r="LK120" i="1"/>
  <c r="LK122" i="1"/>
  <c r="LK124" i="1"/>
  <c r="LK126" i="1"/>
  <c r="LK128" i="1"/>
  <c r="LK130" i="1"/>
  <c r="LK132" i="1"/>
  <c r="LK134" i="1"/>
  <c r="LK136" i="1"/>
  <c r="LK140" i="1"/>
  <c r="LK112" i="1"/>
  <c r="LK78" i="1"/>
  <c r="LK80" i="1"/>
  <c r="LK82" i="1"/>
  <c r="LK84" i="1"/>
  <c r="LK86" i="1"/>
  <c r="LK88" i="1"/>
  <c r="LK90" i="1"/>
  <c r="LK92" i="1"/>
  <c r="LK94" i="1"/>
  <c r="LK96" i="1"/>
  <c r="LK98" i="1"/>
  <c r="LK100" i="1"/>
  <c r="LK102" i="1"/>
  <c r="LK106" i="1"/>
  <c r="LK43" i="1"/>
  <c r="LK45" i="1"/>
  <c r="LK47" i="1"/>
  <c r="LK49" i="1"/>
  <c r="LK51" i="1"/>
  <c r="LK53" i="1"/>
  <c r="LK55" i="1"/>
  <c r="LK57" i="1"/>
  <c r="LK59" i="1"/>
  <c r="LK61" i="1"/>
  <c r="LK63" i="1"/>
  <c r="LK65" i="1"/>
  <c r="LK67" i="1"/>
  <c r="LK69" i="1"/>
  <c r="LK8" i="1"/>
  <c r="LK10" i="1"/>
  <c r="LK12" i="1"/>
  <c r="LK14" i="1"/>
  <c r="LK16" i="1"/>
  <c r="LK18" i="1"/>
  <c r="LK20" i="1"/>
  <c r="LK22" i="1"/>
  <c r="LK24" i="1"/>
  <c r="LK26" i="1"/>
  <c r="LK28" i="1"/>
  <c r="LK30" i="1"/>
  <c r="LK32" i="1"/>
  <c r="LK398" i="1"/>
  <c r="LK400" i="1"/>
  <c r="LK402" i="1"/>
  <c r="LK404" i="1"/>
  <c r="LK406" i="1"/>
  <c r="LK408" i="1"/>
  <c r="LK410" i="1"/>
  <c r="LK412" i="1"/>
  <c r="LK414" i="1"/>
  <c r="LK416" i="1"/>
  <c r="LK418" i="1"/>
  <c r="LK420" i="1"/>
  <c r="LK422" i="1"/>
  <c r="LK424" i="1"/>
  <c r="LK426" i="1"/>
  <c r="LK362" i="1"/>
  <c r="LK364" i="1"/>
  <c r="LK366" i="1"/>
  <c r="LK368" i="1"/>
  <c r="LK370" i="1"/>
  <c r="LK374" i="1"/>
  <c r="LK376" i="1"/>
  <c r="LK378" i="1"/>
  <c r="LK380" i="1"/>
  <c r="LK382" i="1"/>
  <c r="LK384" i="1"/>
  <c r="LK386" i="1"/>
  <c r="LK388" i="1"/>
  <c r="LK390" i="1"/>
  <c r="LK326" i="1"/>
  <c r="LK328" i="1"/>
  <c r="LK330" i="1"/>
  <c r="LK332" i="1"/>
  <c r="LK334" i="1"/>
  <c r="LK336" i="1"/>
  <c r="LK338" i="1"/>
  <c r="LK342" i="1"/>
  <c r="LK344" i="1"/>
  <c r="LK346" i="1"/>
  <c r="LK348" i="1"/>
  <c r="LK350" i="1"/>
  <c r="LK352" i="1"/>
  <c r="LK354" i="1"/>
  <c r="LK325" i="1"/>
  <c r="LK292" i="1"/>
  <c r="LK294" i="1"/>
  <c r="LK296" i="1"/>
  <c r="LK298" i="1"/>
  <c r="LK300" i="1"/>
  <c r="LK302" i="1"/>
  <c r="LK304" i="1"/>
  <c r="LK308" i="1"/>
  <c r="LK310" i="1"/>
  <c r="LK312" i="1"/>
  <c r="LK314" i="1"/>
  <c r="LK316" i="1"/>
  <c r="LK318" i="1"/>
  <c r="LK290" i="1"/>
  <c r="LK256" i="1"/>
  <c r="LK258" i="1"/>
  <c r="LK260" i="1"/>
  <c r="LK262" i="1"/>
  <c r="LK264" i="1"/>
  <c r="LK266" i="1"/>
  <c r="LK268" i="1"/>
  <c r="LK270" i="1"/>
  <c r="LK274" i="1"/>
  <c r="LK276" i="1"/>
  <c r="LK278" i="1"/>
  <c r="LK280" i="1"/>
  <c r="LK282" i="1"/>
  <c r="LK284" i="1"/>
  <c r="LK219" i="1"/>
  <c r="LK221" i="1"/>
  <c r="LK223" i="1"/>
  <c r="LK225" i="1"/>
  <c r="LK227" i="1"/>
  <c r="LK229" i="1"/>
  <c r="LK231" i="1"/>
  <c r="LK233" i="1"/>
  <c r="LK235" i="1"/>
  <c r="LK237" i="1"/>
  <c r="LK241" i="1"/>
  <c r="LK243" i="1"/>
  <c r="LK245" i="1"/>
  <c r="LK247" i="1"/>
  <c r="LK185" i="1"/>
  <c r="LK187" i="1"/>
  <c r="LK189" i="1"/>
  <c r="LK191" i="1"/>
  <c r="LK193" i="1"/>
  <c r="LK195" i="1"/>
  <c r="LK197" i="1"/>
  <c r="LK199" i="1"/>
  <c r="LK201" i="1"/>
  <c r="LK203" i="1"/>
  <c r="LK207" i="1"/>
  <c r="LK209" i="1"/>
  <c r="LK211" i="1"/>
  <c r="LK183" i="1"/>
  <c r="LK149" i="1"/>
  <c r="LK151" i="1"/>
  <c r="LK153" i="1"/>
  <c r="LK155" i="1"/>
  <c r="LK157" i="1"/>
  <c r="LK159" i="1"/>
  <c r="LK161" i="1"/>
  <c r="LK163" i="1"/>
  <c r="LK165" i="1"/>
  <c r="LK167" i="1"/>
  <c r="LK169" i="1"/>
  <c r="LK173" i="1"/>
  <c r="LK175" i="1"/>
  <c r="LK177" i="1"/>
  <c r="LK113" i="1"/>
  <c r="LK115" i="1"/>
  <c r="LK117" i="1"/>
  <c r="LK119" i="1"/>
  <c r="LK121" i="1"/>
  <c r="LK123" i="1"/>
  <c r="LK125" i="1"/>
  <c r="LK127" i="1"/>
  <c r="LK129" i="1"/>
  <c r="LK131" i="1"/>
  <c r="LK133" i="1"/>
  <c r="LK135" i="1"/>
  <c r="LK139" i="1"/>
  <c r="LK141" i="1"/>
  <c r="LK77" i="1"/>
  <c r="LK79" i="1"/>
  <c r="LK81" i="1"/>
  <c r="LK83" i="1"/>
  <c r="LK85" i="1"/>
  <c r="LK87" i="1"/>
  <c r="LK89" i="1"/>
  <c r="LK91" i="1"/>
  <c r="LK93" i="1"/>
  <c r="LK95" i="1"/>
  <c r="LK97" i="1"/>
  <c r="LK99" i="1"/>
  <c r="LK101" i="1"/>
  <c r="LK103" i="1"/>
  <c r="LK44" i="1"/>
  <c r="LK46" i="1"/>
  <c r="LK48" i="1"/>
  <c r="LK50" i="1"/>
  <c r="LK52" i="1"/>
  <c r="LK54" i="1"/>
  <c r="LK56" i="1"/>
  <c r="LK58" i="1"/>
  <c r="LK60" i="1"/>
  <c r="LK62" i="1"/>
  <c r="LK64" i="1"/>
  <c r="LK66" i="1"/>
  <c r="LK68" i="1"/>
  <c r="LK7" i="1"/>
  <c r="LK9" i="1"/>
  <c r="LK11" i="1"/>
  <c r="LK13" i="1"/>
  <c r="LK15" i="1"/>
  <c r="LK17" i="1"/>
  <c r="LK19" i="1"/>
  <c r="LK21" i="1"/>
  <c r="LK23" i="1"/>
  <c r="LK25" i="1"/>
  <c r="LK27" i="1"/>
  <c r="LK29" i="1"/>
  <c r="LK31" i="1"/>
  <c r="LK33" i="1"/>
  <c r="LK35" i="1"/>
  <c r="LK34" i="1"/>
  <c r="LK36" i="1"/>
  <c r="LB397" i="1"/>
  <c r="LB399" i="1"/>
  <c r="LB401" i="1"/>
  <c r="LB403" i="1"/>
  <c r="LB405" i="1"/>
  <c r="LB407" i="1"/>
  <c r="LB409" i="1"/>
  <c r="LB411" i="1"/>
  <c r="LB413" i="1"/>
  <c r="LB415" i="1"/>
  <c r="LB417" i="1"/>
  <c r="LB419" i="1"/>
  <c r="LB421" i="1"/>
  <c r="LB423" i="1"/>
  <c r="LB425" i="1"/>
  <c r="LB363" i="1"/>
  <c r="LB365" i="1"/>
  <c r="LB367" i="1"/>
  <c r="LB369" i="1"/>
  <c r="LB371" i="1"/>
  <c r="LB375" i="1"/>
  <c r="LB377" i="1"/>
  <c r="LB379" i="1"/>
  <c r="LB381" i="1"/>
  <c r="LB383" i="1"/>
  <c r="LB385" i="1"/>
  <c r="LB387" i="1"/>
  <c r="LB389" i="1"/>
  <c r="LB327" i="1"/>
  <c r="LB329" i="1"/>
  <c r="LB331" i="1"/>
  <c r="LB333" i="1"/>
  <c r="LB335" i="1"/>
  <c r="LB337" i="1"/>
  <c r="LB341" i="1"/>
  <c r="LB343" i="1"/>
  <c r="LB345" i="1"/>
  <c r="LB347" i="1"/>
  <c r="LB349" i="1"/>
  <c r="LB351" i="1"/>
  <c r="LB353" i="1"/>
  <c r="LB355" i="1"/>
  <c r="LB291" i="1"/>
  <c r="LB293" i="1"/>
  <c r="LB295" i="1"/>
  <c r="LB297" i="1"/>
  <c r="LB299" i="1"/>
  <c r="LB301" i="1"/>
  <c r="LB303" i="1"/>
  <c r="LB307" i="1"/>
  <c r="LB309" i="1"/>
  <c r="LB311" i="1"/>
  <c r="LB313" i="1"/>
  <c r="LB315" i="1"/>
  <c r="LB317" i="1"/>
  <c r="LB319" i="1"/>
  <c r="LB255" i="1"/>
  <c r="LB257" i="1"/>
  <c r="LB259" i="1"/>
  <c r="LB261" i="1"/>
  <c r="LB263" i="1"/>
  <c r="LB265" i="1"/>
  <c r="LB267" i="1"/>
  <c r="LB269" i="1"/>
  <c r="LB271" i="1"/>
  <c r="LB275" i="1"/>
  <c r="LB277" i="1"/>
  <c r="LB279" i="1"/>
  <c r="LB281" i="1"/>
  <c r="LB283" i="1"/>
  <c r="LB398" i="1"/>
  <c r="LB400" i="1"/>
  <c r="LB402" i="1"/>
  <c r="LB404" i="1"/>
  <c r="LB406" i="1"/>
  <c r="LB408" i="1"/>
  <c r="LB410" i="1"/>
  <c r="LB412" i="1"/>
  <c r="LB414" i="1"/>
  <c r="LB416" i="1"/>
  <c r="LB418" i="1"/>
  <c r="LB420" i="1"/>
  <c r="LB422" i="1"/>
  <c r="LB424" i="1"/>
  <c r="LB426" i="1"/>
  <c r="LB362" i="1"/>
  <c r="LB364" i="1"/>
  <c r="LB366" i="1"/>
  <c r="LB368" i="1"/>
  <c r="LB370" i="1"/>
  <c r="LB374" i="1"/>
  <c r="LB376" i="1"/>
  <c r="LB378" i="1"/>
  <c r="LB380" i="1"/>
  <c r="LB382" i="1"/>
  <c r="LB384" i="1"/>
  <c r="LB386" i="1"/>
  <c r="LB388" i="1"/>
  <c r="LB390" i="1"/>
  <c r="LB326" i="1"/>
  <c r="LB328" i="1"/>
  <c r="LB330" i="1"/>
  <c r="LB332" i="1"/>
  <c r="LB334" i="1"/>
  <c r="LB336" i="1"/>
  <c r="LB338" i="1"/>
  <c r="LB342" i="1"/>
  <c r="LB344" i="1"/>
  <c r="LB346" i="1"/>
  <c r="LB348" i="1"/>
  <c r="LB350" i="1"/>
  <c r="LB352" i="1"/>
  <c r="LB354" i="1"/>
  <c r="LB325" i="1"/>
  <c r="LB292" i="1"/>
  <c r="LB294" i="1"/>
  <c r="LB296" i="1"/>
  <c r="LB298" i="1"/>
  <c r="LB300" i="1"/>
  <c r="LB302" i="1"/>
  <c r="LB304" i="1"/>
  <c r="LB308" i="1"/>
  <c r="LB310" i="1"/>
  <c r="LB312" i="1"/>
  <c r="LB314" i="1"/>
  <c r="LB316" i="1"/>
  <c r="LB318" i="1"/>
  <c r="LB256" i="1"/>
  <c r="LB258" i="1"/>
  <c r="LB260" i="1"/>
  <c r="LB262" i="1"/>
  <c r="LB264" i="1"/>
  <c r="LB266" i="1"/>
  <c r="LB268" i="1"/>
  <c r="LB270" i="1"/>
  <c r="LB274" i="1"/>
  <c r="LB276" i="1"/>
  <c r="LB278" i="1"/>
  <c r="LB280" i="1"/>
  <c r="LB282" i="1"/>
  <c r="LB284" i="1"/>
  <c r="LB219" i="1"/>
  <c r="LB221" i="1"/>
  <c r="LB223" i="1"/>
  <c r="LB222" i="1"/>
  <c r="LB225" i="1"/>
  <c r="LB227" i="1"/>
  <c r="LB229" i="1"/>
  <c r="LB231" i="1"/>
  <c r="LB233" i="1"/>
  <c r="LB235" i="1"/>
  <c r="LB237" i="1"/>
  <c r="LB241" i="1"/>
  <c r="LB243" i="1"/>
  <c r="LB245" i="1"/>
  <c r="LB247" i="1"/>
  <c r="LB218" i="1"/>
  <c r="LB185" i="1"/>
  <c r="LB187" i="1"/>
  <c r="LB189" i="1"/>
  <c r="LB191" i="1"/>
  <c r="LB193" i="1"/>
  <c r="LB195" i="1"/>
  <c r="LB197" i="1"/>
  <c r="LB199" i="1"/>
  <c r="LB201" i="1"/>
  <c r="LB203" i="1"/>
  <c r="LB207" i="1"/>
  <c r="LB209" i="1"/>
  <c r="LB211" i="1"/>
  <c r="LB149" i="1"/>
  <c r="LB151" i="1"/>
  <c r="LB153" i="1"/>
  <c r="LB155" i="1"/>
  <c r="LB157" i="1"/>
  <c r="LB159" i="1"/>
  <c r="LB161" i="1"/>
  <c r="LB163" i="1"/>
  <c r="LB165" i="1"/>
  <c r="LB167" i="1"/>
  <c r="LB169" i="1"/>
  <c r="LB173" i="1"/>
  <c r="LB175" i="1"/>
  <c r="LB177" i="1"/>
  <c r="LB113" i="1"/>
  <c r="LB115" i="1"/>
  <c r="LB117" i="1"/>
  <c r="LB119" i="1"/>
  <c r="LB121" i="1"/>
  <c r="LB123" i="1"/>
  <c r="LB125" i="1"/>
  <c r="LB127" i="1"/>
  <c r="LB129" i="1"/>
  <c r="LB131" i="1"/>
  <c r="LB133" i="1"/>
  <c r="LB135" i="1"/>
  <c r="LB139" i="1"/>
  <c r="LB141" i="1"/>
  <c r="LB77" i="1"/>
  <c r="LB79" i="1"/>
  <c r="LB81" i="1"/>
  <c r="LB83" i="1"/>
  <c r="LB85" i="1"/>
  <c r="LB87" i="1"/>
  <c r="LB89" i="1"/>
  <c r="LB91" i="1"/>
  <c r="LB93" i="1"/>
  <c r="LB95" i="1"/>
  <c r="LB97" i="1"/>
  <c r="LB99" i="1"/>
  <c r="LB101" i="1"/>
  <c r="LB103" i="1"/>
  <c r="LB76" i="1"/>
  <c r="LB44" i="1"/>
  <c r="LB46" i="1"/>
  <c r="LB48" i="1"/>
  <c r="LB50" i="1"/>
  <c r="LB52" i="1"/>
  <c r="LB54" i="1"/>
  <c r="LB56" i="1"/>
  <c r="LB58" i="1"/>
  <c r="LB60" i="1"/>
  <c r="LB62" i="1"/>
  <c r="LB64" i="1"/>
  <c r="LB66" i="1"/>
  <c r="LB68" i="1"/>
  <c r="LB8" i="1"/>
  <c r="LB10" i="1"/>
  <c r="LB12" i="1"/>
  <c r="LB14" i="1"/>
  <c r="LB16" i="1"/>
  <c r="LB18" i="1"/>
  <c r="LB20" i="1"/>
  <c r="LB22" i="1"/>
  <c r="LB24" i="1"/>
  <c r="LB26" i="1"/>
  <c r="LB28" i="1"/>
  <c r="LB30" i="1"/>
  <c r="LB32" i="1"/>
  <c r="LB34" i="1"/>
  <c r="LB36" i="1"/>
  <c r="LB220" i="1"/>
  <c r="LB224" i="1"/>
  <c r="LB226" i="1"/>
  <c r="LB228" i="1"/>
  <c r="LB230" i="1"/>
  <c r="LB232" i="1"/>
  <c r="LB234" i="1"/>
  <c r="LB236" i="1"/>
  <c r="LB240" i="1"/>
  <c r="LB242" i="1"/>
  <c r="LB244" i="1"/>
  <c r="LB246" i="1"/>
  <c r="LB248" i="1"/>
  <c r="LB184" i="1"/>
  <c r="LB186" i="1"/>
  <c r="LB188" i="1"/>
  <c r="LB190" i="1"/>
  <c r="LB192" i="1"/>
  <c r="LB194" i="1"/>
  <c r="LB196" i="1"/>
  <c r="LB198" i="1"/>
  <c r="LB200" i="1"/>
  <c r="LB202" i="1"/>
  <c r="LB206" i="1"/>
  <c r="LB208" i="1"/>
  <c r="LB210" i="1"/>
  <c r="LB212" i="1"/>
  <c r="LB148" i="1"/>
  <c r="LB150" i="1"/>
  <c r="LB152" i="1"/>
  <c r="LB154" i="1"/>
  <c r="LB156" i="1"/>
  <c r="LB158" i="1"/>
  <c r="LB160" i="1"/>
  <c r="LB162" i="1"/>
  <c r="LB164" i="1"/>
  <c r="LB166" i="1"/>
  <c r="LB168" i="1"/>
  <c r="LB170" i="1"/>
  <c r="LB174" i="1"/>
  <c r="LB176" i="1"/>
  <c r="LB114" i="1"/>
  <c r="LB116" i="1"/>
  <c r="LB118" i="1"/>
  <c r="LB120" i="1"/>
  <c r="LB122" i="1"/>
  <c r="LB124" i="1"/>
  <c r="LB126" i="1"/>
  <c r="LB128" i="1"/>
  <c r="LB130" i="1"/>
  <c r="LB132" i="1"/>
  <c r="LB134" i="1"/>
  <c r="LB136" i="1"/>
  <c r="LB140" i="1"/>
  <c r="LB112" i="1"/>
  <c r="LB78" i="1"/>
  <c r="LB80" i="1"/>
  <c r="LB82" i="1"/>
  <c r="LB84" i="1"/>
  <c r="LB86" i="1"/>
  <c r="LB88" i="1"/>
  <c r="LB90" i="1"/>
  <c r="LB92" i="1"/>
  <c r="LB94" i="1"/>
  <c r="LB96" i="1"/>
  <c r="LB98" i="1"/>
  <c r="LB100" i="1"/>
  <c r="LB102" i="1"/>
  <c r="LB106" i="1"/>
  <c r="LB43" i="1"/>
  <c r="LB45" i="1"/>
  <c r="LB47" i="1"/>
  <c r="LB49" i="1"/>
  <c r="LB51" i="1"/>
  <c r="LB53" i="1"/>
  <c r="LB55" i="1"/>
  <c r="LB57" i="1"/>
  <c r="LB59" i="1"/>
  <c r="LB61" i="1"/>
  <c r="LB63" i="1"/>
  <c r="LB65" i="1"/>
  <c r="LB67" i="1"/>
  <c r="LB69" i="1"/>
  <c r="LB42" i="1"/>
  <c r="LB7" i="1"/>
  <c r="LB9" i="1"/>
  <c r="LB11" i="1"/>
  <c r="LB13" i="1"/>
  <c r="LB15" i="1"/>
  <c r="LB17" i="1"/>
  <c r="LB19" i="1"/>
  <c r="LB21" i="1"/>
  <c r="LB23" i="1"/>
  <c r="LB25" i="1"/>
  <c r="LB27" i="1"/>
  <c r="LB29" i="1"/>
  <c r="LB31" i="1"/>
  <c r="LB33" i="1"/>
  <c r="LB35" i="1"/>
  <c r="KS398" i="1"/>
  <c r="KS400" i="1"/>
  <c r="KS402" i="1"/>
  <c r="KS404" i="1"/>
  <c r="KS406" i="1"/>
  <c r="KS408" i="1"/>
  <c r="KS410" i="1"/>
  <c r="KS412" i="1"/>
  <c r="KS414" i="1"/>
  <c r="KS416" i="1"/>
  <c r="KS418" i="1"/>
  <c r="KS420" i="1"/>
  <c r="KS422" i="1"/>
  <c r="KS424" i="1"/>
  <c r="KS426" i="1"/>
  <c r="KS362" i="1"/>
  <c r="KS364" i="1"/>
  <c r="KS366" i="1"/>
  <c r="KS368" i="1"/>
  <c r="KS370" i="1"/>
  <c r="KS374" i="1"/>
  <c r="KS376" i="1"/>
  <c r="KS378" i="1"/>
  <c r="KS380" i="1"/>
  <c r="KS382" i="1"/>
  <c r="KS384" i="1"/>
  <c r="KS386" i="1"/>
  <c r="KS388" i="1"/>
  <c r="KS390" i="1"/>
  <c r="KS326" i="1"/>
  <c r="KS328" i="1"/>
  <c r="KS330" i="1"/>
  <c r="KS332" i="1"/>
  <c r="KS334" i="1"/>
  <c r="KS336" i="1"/>
  <c r="KS338" i="1"/>
  <c r="KS342" i="1"/>
  <c r="KS344" i="1"/>
  <c r="KS346" i="1"/>
  <c r="KS348" i="1"/>
  <c r="KS350" i="1"/>
  <c r="KS352" i="1"/>
  <c r="KS354" i="1"/>
  <c r="KS292" i="1"/>
  <c r="KS294" i="1"/>
  <c r="KS296" i="1"/>
  <c r="KS298" i="1"/>
  <c r="KS300" i="1"/>
  <c r="KS302" i="1"/>
  <c r="KS304" i="1"/>
  <c r="KS308" i="1"/>
  <c r="KS310" i="1"/>
  <c r="KS312" i="1"/>
  <c r="KS314" i="1"/>
  <c r="KS316" i="1"/>
  <c r="KS318" i="1"/>
  <c r="KS290" i="1"/>
  <c r="KS256" i="1"/>
  <c r="KS258" i="1"/>
  <c r="KS260" i="1"/>
  <c r="KS262" i="1"/>
  <c r="KS264" i="1"/>
  <c r="KS266" i="1"/>
  <c r="KS268" i="1"/>
  <c r="KS270" i="1"/>
  <c r="KS274" i="1"/>
  <c r="KS276" i="1"/>
  <c r="KS278" i="1"/>
  <c r="KS280" i="1"/>
  <c r="KS282" i="1"/>
  <c r="KS284" i="1"/>
  <c r="KS219" i="1"/>
  <c r="KS221" i="1"/>
  <c r="KS223" i="1"/>
  <c r="KS225" i="1"/>
  <c r="KS227" i="1"/>
  <c r="KS229" i="1"/>
  <c r="KS231" i="1"/>
  <c r="KS233" i="1"/>
  <c r="KS235" i="1"/>
  <c r="KS237" i="1"/>
  <c r="KS241" i="1"/>
  <c r="KS243" i="1"/>
  <c r="KS245" i="1"/>
  <c r="KS247" i="1"/>
  <c r="KS218" i="1"/>
  <c r="KS185" i="1"/>
  <c r="KS187" i="1"/>
  <c r="KS189" i="1"/>
  <c r="KS191" i="1"/>
  <c r="KS193" i="1"/>
  <c r="KS195" i="1"/>
  <c r="KS197" i="1"/>
  <c r="KS199" i="1"/>
  <c r="KS201" i="1"/>
  <c r="KS207" i="1"/>
  <c r="KS209" i="1"/>
  <c r="KS211" i="1"/>
  <c r="KS149" i="1"/>
  <c r="KS151" i="1"/>
  <c r="KS153" i="1"/>
  <c r="KS155" i="1"/>
  <c r="KS157" i="1"/>
  <c r="KS159" i="1"/>
  <c r="KS161" i="1"/>
  <c r="KS163" i="1"/>
  <c r="KS165" i="1"/>
  <c r="KS167" i="1"/>
  <c r="KS169" i="1"/>
  <c r="KS173" i="1"/>
  <c r="KS175" i="1"/>
  <c r="KS177" i="1"/>
  <c r="KS113" i="1"/>
  <c r="KS115" i="1"/>
  <c r="KS117" i="1"/>
  <c r="KS119" i="1"/>
  <c r="KS121" i="1"/>
  <c r="KS123" i="1"/>
  <c r="KS125" i="1"/>
  <c r="KS127" i="1"/>
  <c r="KS129" i="1"/>
  <c r="KS131" i="1"/>
  <c r="KS133" i="1"/>
  <c r="KS135" i="1"/>
  <c r="KS139" i="1"/>
  <c r="KS141" i="1"/>
  <c r="KS77" i="1"/>
  <c r="KS79" i="1"/>
  <c r="KS81" i="1"/>
  <c r="KS83" i="1"/>
  <c r="KS85" i="1"/>
  <c r="KS87" i="1"/>
  <c r="KS89" i="1"/>
  <c r="KS91" i="1"/>
  <c r="KS93" i="1"/>
  <c r="KS95" i="1"/>
  <c r="KS97" i="1"/>
  <c r="KS99" i="1"/>
  <c r="KS101" i="1"/>
  <c r="KS103" i="1"/>
  <c r="KS76" i="1"/>
  <c r="KS44" i="1"/>
  <c r="KS46" i="1"/>
  <c r="KS48" i="1"/>
  <c r="KS50" i="1"/>
  <c r="KS52" i="1"/>
  <c r="KS54" i="1"/>
  <c r="KS56" i="1"/>
  <c r="KS58" i="1"/>
  <c r="KS60" i="1"/>
  <c r="KS62" i="1"/>
  <c r="KS64" i="1"/>
  <c r="KS66" i="1"/>
  <c r="KS68" i="1"/>
  <c r="KS8" i="1"/>
  <c r="KS10" i="1"/>
  <c r="KS12" i="1"/>
  <c r="KS14" i="1"/>
  <c r="KS16" i="1"/>
  <c r="KS18" i="1"/>
  <c r="KS20" i="1"/>
  <c r="KS22" i="1"/>
  <c r="KS24" i="1"/>
  <c r="KS26" i="1"/>
  <c r="KS28" i="1"/>
  <c r="KS30" i="1"/>
  <c r="KS32" i="1"/>
  <c r="KS34" i="1"/>
  <c r="KS36" i="1"/>
  <c r="KS397" i="1"/>
  <c r="KS399" i="1"/>
  <c r="KS401" i="1"/>
  <c r="KS403" i="1"/>
  <c r="KS405" i="1"/>
  <c r="KS407" i="1"/>
  <c r="KS409" i="1"/>
  <c r="KS411" i="1"/>
  <c r="KS413" i="1"/>
  <c r="KS415" i="1"/>
  <c r="KS417" i="1"/>
  <c r="KS419" i="1"/>
  <c r="KS421" i="1"/>
  <c r="KS423" i="1"/>
  <c r="KS425" i="1"/>
  <c r="KS396" i="1"/>
  <c r="KS363" i="1"/>
  <c r="KS365" i="1"/>
  <c r="KS367" i="1"/>
  <c r="KS369" i="1"/>
  <c r="KS371" i="1"/>
  <c r="KS375" i="1"/>
  <c r="KS377" i="1"/>
  <c r="KS379" i="1"/>
  <c r="KS381" i="1"/>
  <c r="KS383" i="1"/>
  <c r="KS385" i="1"/>
  <c r="KS387" i="1"/>
  <c r="KS389" i="1"/>
  <c r="KS327" i="1"/>
  <c r="KS329" i="1"/>
  <c r="KS331" i="1"/>
  <c r="KS333" i="1"/>
  <c r="KS335" i="1"/>
  <c r="KS337" i="1"/>
  <c r="KS341" i="1"/>
  <c r="KS343" i="1"/>
  <c r="KS345" i="1"/>
  <c r="KS347" i="1"/>
  <c r="KS349" i="1"/>
  <c r="KS351" i="1"/>
  <c r="KS353" i="1"/>
  <c r="KS355" i="1"/>
  <c r="KS291" i="1"/>
  <c r="KS293" i="1"/>
  <c r="KS295" i="1"/>
  <c r="KS297" i="1"/>
  <c r="KS299" i="1"/>
  <c r="KS301" i="1"/>
  <c r="KS303" i="1"/>
  <c r="KS307" i="1"/>
  <c r="KS309" i="1"/>
  <c r="KS311" i="1"/>
  <c r="KS313" i="1"/>
  <c r="KS315" i="1"/>
  <c r="KS317" i="1"/>
  <c r="KS319" i="1"/>
  <c r="KS255" i="1"/>
  <c r="KS257" i="1"/>
  <c r="KS259" i="1"/>
  <c r="KS261" i="1"/>
  <c r="KS263" i="1"/>
  <c r="KS265" i="1"/>
  <c r="KS267" i="1"/>
  <c r="KS269" i="1"/>
  <c r="KS271" i="1"/>
  <c r="KS275" i="1"/>
  <c r="KS277" i="1"/>
  <c r="KS279" i="1"/>
  <c r="KS281" i="1"/>
  <c r="KS283" i="1"/>
  <c r="KS254" i="1"/>
  <c r="KS220" i="1"/>
  <c r="KS222" i="1"/>
  <c r="KS224" i="1"/>
  <c r="KS226" i="1"/>
  <c r="KS228" i="1"/>
  <c r="KS230" i="1"/>
  <c r="KS232" i="1"/>
  <c r="KS234" i="1"/>
  <c r="KS236" i="1"/>
  <c r="KS240" i="1"/>
  <c r="KS242" i="1"/>
  <c r="KS244" i="1"/>
  <c r="KS246" i="1"/>
  <c r="KS248" i="1"/>
  <c r="KS184" i="1"/>
  <c r="KS186" i="1"/>
  <c r="KS188" i="1"/>
  <c r="KS190" i="1"/>
  <c r="KS192" i="1"/>
  <c r="KS194" i="1"/>
  <c r="KS196" i="1"/>
  <c r="KS198" i="1"/>
  <c r="KS200" i="1"/>
  <c r="KS202" i="1"/>
  <c r="KS206" i="1"/>
  <c r="KS208" i="1"/>
  <c r="KS210" i="1"/>
  <c r="KS212" i="1"/>
  <c r="KS148" i="1"/>
  <c r="KS150" i="1"/>
  <c r="KS152" i="1"/>
  <c r="KS154" i="1"/>
  <c r="KS156" i="1"/>
  <c r="KS158" i="1"/>
  <c r="KS160" i="1"/>
  <c r="KS162" i="1"/>
  <c r="KS164" i="1"/>
  <c r="KS166" i="1"/>
  <c r="KS168" i="1"/>
  <c r="KS170" i="1"/>
  <c r="KS174" i="1"/>
  <c r="KS176" i="1"/>
  <c r="KS114" i="1"/>
  <c r="KS116" i="1"/>
  <c r="KS118" i="1"/>
  <c r="KS120" i="1"/>
  <c r="KS122" i="1"/>
  <c r="KS124" i="1"/>
  <c r="KS126" i="1"/>
  <c r="KS128" i="1"/>
  <c r="KS130" i="1"/>
  <c r="KS132" i="1"/>
  <c r="KS134" i="1"/>
  <c r="KS136" i="1"/>
  <c r="KS140" i="1"/>
  <c r="KS112" i="1"/>
  <c r="KS78" i="1"/>
  <c r="KS80" i="1"/>
  <c r="KS82" i="1"/>
  <c r="KS84" i="1"/>
  <c r="KS86" i="1"/>
  <c r="KS88" i="1"/>
  <c r="KS90" i="1"/>
  <c r="KS92" i="1"/>
  <c r="KS94" i="1"/>
  <c r="KS96" i="1"/>
  <c r="KS98" i="1"/>
  <c r="KS100" i="1"/>
  <c r="KS102" i="1"/>
  <c r="KS106" i="1"/>
  <c r="KS43" i="1"/>
  <c r="KS45" i="1"/>
  <c r="KS47" i="1"/>
  <c r="KS49" i="1"/>
  <c r="KS51" i="1"/>
  <c r="KS53" i="1"/>
  <c r="KS55" i="1"/>
  <c r="KS57" i="1"/>
  <c r="KS59" i="1"/>
  <c r="KS61" i="1"/>
  <c r="KS63" i="1"/>
  <c r="KS65" i="1"/>
  <c r="KS67" i="1"/>
  <c r="KS69" i="1"/>
  <c r="KS42" i="1"/>
  <c r="KS7" i="1"/>
  <c r="KS9" i="1"/>
  <c r="KS11" i="1"/>
  <c r="KS13" i="1"/>
  <c r="KS15" i="1"/>
  <c r="KS17" i="1"/>
  <c r="KS19" i="1"/>
  <c r="KS21" i="1"/>
  <c r="KS23" i="1"/>
  <c r="KS25" i="1"/>
  <c r="KS27" i="1"/>
  <c r="KS29" i="1"/>
  <c r="KS31" i="1"/>
  <c r="KS33" i="1"/>
  <c r="KS35" i="1"/>
  <c r="KJ398" i="1"/>
  <c r="KJ400" i="1"/>
  <c r="KJ402" i="1"/>
  <c r="KJ404" i="1"/>
  <c r="KJ406" i="1"/>
  <c r="KJ408" i="1"/>
  <c r="KJ410" i="1"/>
  <c r="KJ412" i="1"/>
  <c r="KJ414" i="1"/>
  <c r="KJ416" i="1"/>
  <c r="KJ418" i="1"/>
  <c r="KJ420" i="1"/>
  <c r="KJ422" i="1"/>
  <c r="KJ424" i="1"/>
  <c r="KJ426" i="1"/>
  <c r="KJ362" i="1"/>
  <c r="KJ364" i="1"/>
  <c r="KJ366" i="1"/>
  <c r="KJ368" i="1"/>
  <c r="KJ370" i="1"/>
  <c r="KJ374" i="1"/>
  <c r="KJ376" i="1"/>
  <c r="KJ378" i="1"/>
  <c r="KJ380" i="1"/>
  <c r="KJ382" i="1"/>
  <c r="KJ384" i="1"/>
  <c r="KJ386" i="1"/>
  <c r="KJ388" i="1"/>
  <c r="KJ390" i="1"/>
  <c r="KJ326" i="1"/>
  <c r="KJ328" i="1"/>
  <c r="KJ330" i="1"/>
  <c r="KJ332" i="1"/>
  <c r="KJ334" i="1"/>
  <c r="KJ336" i="1"/>
  <c r="KJ338" i="1"/>
  <c r="KJ342" i="1"/>
  <c r="KJ344" i="1"/>
  <c r="KJ346" i="1"/>
  <c r="KJ348" i="1"/>
  <c r="KJ350" i="1"/>
  <c r="KJ352" i="1"/>
  <c r="KJ354" i="1"/>
  <c r="KJ325" i="1"/>
  <c r="KJ292" i="1"/>
  <c r="KJ294" i="1"/>
  <c r="KJ296" i="1"/>
  <c r="KJ298" i="1"/>
  <c r="KJ300" i="1"/>
  <c r="KJ302" i="1"/>
  <c r="KJ304" i="1"/>
  <c r="KJ308" i="1"/>
  <c r="KJ310" i="1"/>
  <c r="KJ312" i="1"/>
  <c r="KJ314" i="1"/>
  <c r="KJ316" i="1"/>
  <c r="KJ318" i="1"/>
  <c r="KJ256" i="1"/>
  <c r="KJ258" i="1"/>
  <c r="KJ260" i="1"/>
  <c r="KJ262" i="1"/>
  <c r="KJ264" i="1"/>
  <c r="KJ266" i="1"/>
  <c r="KJ268" i="1"/>
  <c r="KJ270" i="1"/>
  <c r="KJ274" i="1"/>
  <c r="KJ276" i="1"/>
  <c r="KJ278" i="1"/>
  <c r="KJ280" i="1"/>
  <c r="KJ282" i="1"/>
  <c r="KJ284" i="1"/>
  <c r="KJ219" i="1"/>
  <c r="KJ221" i="1"/>
  <c r="KJ223" i="1"/>
  <c r="KJ225" i="1"/>
  <c r="KJ227" i="1"/>
  <c r="KJ229" i="1"/>
  <c r="KJ231" i="1"/>
  <c r="KJ233" i="1"/>
  <c r="KJ235" i="1"/>
  <c r="KJ237" i="1"/>
  <c r="KJ241" i="1"/>
  <c r="KJ243" i="1"/>
  <c r="KJ245" i="1"/>
  <c r="KJ247" i="1"/>
  <c r="KJ218" i="1"/>
  <c r="KJ185" i="1"/>
  <c r="KJ187" i="1"/>
  <c r="KJ189" i="1"/>
  <c r="KJ191" i="1"/>
  <c r="KJ193" i="1"/>
  <c r="KJ195" i="1"/>
  <c r="KJ197" i="1"/>
  <c r="KJ199" i="1"/>
  <c r="KJ201" i="1"/>
  <c r="KJ203" i="1"/>
  <c r="KJ207" i="1"/>
  <c r="KJ209" i="1"/>
  <c r="KJ211" i="1"/>
  <c r="KJ149" i="1"/>
  <c r="KJ151" i="1"/>
  <c r="KJ153" i="1"/>
  <c r="KJ155" i="1"/>
  <c r="KJ157" i="1"/>
  <c r="KJ159" i="1"/>
  <c r="KJ161" i="1"/>
  <c r="KJ163" i="1"/>
  <c r="KJ165" i="1"/>
  <c r="KJ167" i="1"/>
  <c r="KJ169" i="1"/>
  <c r="KJ173" i="1"/>
  <c r="KJ175" i="1"/>
  <c r="KJ177" i="1"/>
  <c r="KJ113" i="1"/>
  <c r="KJ115" i="1"/>
  <c r="KJ117" i="1"/>
  <c r="KJ119" i="1"/>
  <c r="KJ121" i="1"/>
  <c r="KJ123" i="1"/>
  <c r="KJ125" i="1"/>
  <c r="KJ127" i="1"/>
  <c r="KJ129" i="1"/>
  <c r="KJ131" i="1"/>
  <c r="KJ133" i="1"/>
  <c r="KJ135" i="1"/>
  <c r="KJ139" i="1"/>
  <c r="KJ141" i="1"/>
  <c r="KJ77" i="1"/>
  <c r="KJ79" i="1"/>
  <c r="KJ81" i="1"/>
  <c r="KJ83" i="1"/>
  <c r="KJ85" i="1"/>
  <c r="KJ87" i="1"/>
  <c r="KJ89" i="1"/>
  <c r="KJ91" i="1"/>
  <c r="KJ93" i="1"/>
  <c r="KJ95" i="1"/>
  <c r="KJ97" i="1"/>
  <c r="KJ99" i="1"/>
  <c r="KJ101" i="1"/>
  <c r="KJ103" i="1"/>
  <c r="KJ76" i="1"/>
  <c r="KJ44" i="1"/>
  <c r="KJ46" i="1"/>
  <c r="KJ48" i="1"/>
  <c r="KJ50" i="1"/>
  <c r="KJ52" i="1"/>
  <c r="KJ54" i="1"/>
  <c r="KJ56" i="1"/>
  <c r="KJ58" i="1"/>
  <c r="KJ60" i="1"/>
  <c r="KJ62" i="1"/>
  <c r="KJ64" i="1"/>
  <c r="KJ66" i="1"/>
  <c r="KJ68" i="1"/>
  <c r="KJ32" i="1"/>
  <c r="KJ8" i="1"/>
  <c r="KJ10" i="1"/>
  <c r="KJ12" i="1"/>
  <c r="KJ14" i="1"/>
  <c r="KJ16" i="1"/>
  <c r="KJ18" i="1"/>
  <c r="KJ20" i="1"/>
  <c r="KJ22" i="1"/>
  <c r="KJ24" i="1"/>
  <c r="KJ26" i="1"/>
  <c r="KJ28" i="1"/>
  <c r="KJ30" i="1"/>
  <c r="KJ33" i="1"/>
  <c r="KJ35" i="1"/>
  <c r="KJ397" i="1"/>
  <c r="KJ399" i="1"/>
  <c r="KJ401" i="1"/>
  <c r="KJ403" i="1"/>
  <c r="KJ405" i="1"/>
  <c r="KJ407" i="1"/>
  <c r="KJ409" i="1"/>
  <c r="KJ411" i="1"/>
  <c r="KJ413" i="1"/>
  <c r="KJ415" i="1"/>
  <c r="KJ417" i="1"/>
  <c r="KJ419" i="1"/>
  <c r="KJ421" i="1"/>
  <c r="KJ423" i="1"/>
  <c r="KJ425" i="1"/>
  <c r="KJ396" i="1"/>
  <c r="KJ363" i="1"/>
  <c r="KJ365" i="1"/>
  <c r="KJ367" i="1"/>
  <c r="KJ369" i="1"/>
  <c r="KJ371" i="1"/>
  <c r="KJ375" i="1"/>
  <c r="KJ377" i="1"/>
  <c r="KJ379" i="1"/>
  <c r="KJ381" i="1"/>
  <c r="KJ383" i="1"/>
  <c r="KJ385" i="1"/>
  <c r="KJ387" i="1"/>
  <c r="KJ389" i="1"/>
  <c r="KJ327" i="1"/>
  <c r="KJ329" i="1"/>
  <c r="KJ331" i="1"/>
  <c r="KJ333" i="1"/>
  <c r="KJ335" i="1"/>
  <c r="KJ337" i="1"/>
  <c r="KJ341" i="1"/>
  <c r="KJ343" i="1"/>
  <c r="KJ345" i="1"/>
  <c r="KJ347" i="1"/>
  <c r="KJ349" i="1"/>
  <c r="KJ351" i="1"/>
  <c r="KJ353" i="1"/>
  <c r="KJ355" i="1"/>
  <c r="KJ291" i="1"/>
  <c r="KJ293" i="1"/>
  <c r="KJ295" i="1"/>
  <c r="KJ297" i="1"/>
  <c r="KJ299" i="1"/>
  <c r="KJ301" i="1"/>
  <c r="KJ303" i="1"/>
  <c r="KJ307" i="1"/>
  <c r="KJ309" i="1"/>
  <c r="KJ311" i="1"/>
  <c r="KJ313" i="1"/>
  <c r="KJ315" i="1"/>
  <c r="KJ317" i="1"/>
  <c r="KJ319" i="1"/>
  <c r="KJ255" i="1"/>
  <c r="KJ257" i="1"/>
  <c r="KJ259" i="1"/>
  <c r="KJ261" i="1"/>
  <c r="KJ263" i="1"/>
  <c r="KJ265" i="1"/>
  <c r="KJ267" i="1"/>
  <c r="KJ269" i="1"/>
  <c r="KJ271" i="1"/>
  <c r="KJ275" i="1"/>
  <c r="KJ277" i="1"/>
  <c r="KJ279" i="1"/>
  <c r="KJ281" i="1"/>
  <c r="KJ283" i="1"/>
  <c r="KJ254" i="1"/>
  <c r="KJ220" i="1"/>
  <c r="KJ222" i="1"/>
  <c r="KJ224" i="1"/>
  <c r="KJ226" i="1"/>
  <c r="KJ228" i="1"/>
  <c r="KJ230" i="1"/>
  <c r="KJ232" i="1"/>
  <c r="KJ234" i="1"/>
  <c r="KJ236" i="1"/>
  <c r="KJ240" i="1"/>
  <c r="KJ242" i="1"/>
  <c r="KJ244" i="1"/>
  <c r="KJ246" i="1"/>
  <c r="KJ248" i="1"/>
  <c r="KJ184" i="1"/>
  <c r="KJ186" i="1"/>
  <c r="KJ188" i="1"/>
  <c r="KJ190" i="1"/>
  <c r="KJ192" i="1"/>
  <c r="KJ194" i="1"/>
  <c r="KJ196" i="1"/>
  <c r="KJ198" i="1"/>
  <c r="KJ200" i="1"/>
  <c r="KJ202" i="1"/>
  <c r="KJ206" i="1"/>
  <c r="KJ208" i="1"/>
  <c r="KJ210" i="1"/>
  <c r="KJ212" i="1"/>
  <c r="KJ148" i="1"/>
  <c r="KJ150" i="1"/>
  <c r="KJ152" i="1"/>
  <c r="KJ154" i="1"/>
  <c r="KJ156" i="1"/>
  <c r="KJ158" i="1"/>
  <c r="KJ160" i="1"/>
  <c r="KJ162" i="1"/>
  <c r="KJ164" i="1"/>
  <c r="KJ166" i="1"/>
  <c r="KJ168" i="1"/>
  <c r="KJ170" i="1"/>
  <c r="KJ174" i="1"/>
  <c r="KJ176" i="1"/>
  <c r="KJ114" i="1"/>
  <c r="KJ116" i="1"/>
  <c r="KJ118" i="1"/>
  <c r="KJ120" i="1"/>
  <c r="KJ122" i="1"/>
  <c r="KJ124" i="1"/>
  <c r="KJ126" i="1"/>
  <c r="KJ128" i="1"/>
  <c r="KJ130" i="1"/>
  <c r="KJ132" i="1"/>
  <c r="KJ134" i="1"/>
  <c r="KJ136" i="1"/>
  <c r="KJ140" i="1"/>
  <c r="KJ78" i="1"/>
  <c r="KJ80" i="1"/>
  <c r="KJ82" i="1"/>
  <c r="KJ84" i="1"/>
  <c r="KJ86" i="1"/>
  <c r="KJ88" i="1"/>
  <c r="KJ90" i="1"/>
  <c r="KJ92" i="1"/>
  <c r="KJ94" i="1"/>
  <c r="KJ96" i="1"/>
  <c r="KJ98" i="1"/>
  <c r="KJ100" i="1"/>
  <c r="KJ102" i="1"/>
  <c r="KJ106" i="1"/>
  <c r="KJ43" i="1"/>
  <c r="KJ45" i="1"/>
  <c r="KJ47" i="1"/>
  <c r="KJ49" i="1"/>
  <c r="KJ51" i="1"/>
  <c r="KJ53" i="1"/>
  <c r="KJ55" i="1"/>
  <c r="KJ57" i="1"/>
  <c r="KJ59" i="1"/>
  <c r="KJ61" i="1"/>
  <c r="KJ63" i="1"/>
  <c r="KJ67" i="1"/>
  <c r="KJ42" i="1"/>
  <c r="KJ9" i="1"/>
  <c r="KJ13" i="1"/>
  <c r="KJ17" i="1"/>
  <c r="KJ21" i="1"/>
  <c r="KJ25" i="1"/>
  <c r="KJ29" i="1"/>
  <c r="KJ34" i="1"/>
  <c r="KJ65" i="1"/>
  <c r="KJ69" i="1"/>
  <c r="KJ7" i="1"/>
  <c r="KJ11" i="1"/>
  <c r="KJ15" i="1"/>
  <c r="KJ19" i="1"/>
  <c r="KJ23" i="1"/>
  <c r="KJ27" i="1"/>
  <c r="KJ31" i="1"/>
  <c r="KJ36" i="1"/>
  <c r="KA398" i="1"/>
  <c r="KA400" i="1"/>
  <c r="KA402" i="1"/>
  <c r="KA404" i="1"/>
  <c r="KA406" i="1"/>
  <c r="KA408" i="1"/>
  <c r="KA410" i="1"/>
  <c r="KA412" i="1"/>
  <c r="KA414" i="1"/>
  <c r="KA416" i="1"/>
  <c r="KA418" i="1"/>
  <c r="KA420" i="1"/>
  <c r="KA422" i="1"/>
  <c r="KA424" i="1"/>
  <c r="KA426" i="1"/>
  <c r="KA362" i="1"/>
  <c r="KA364" i="1"/>
  <c r="KA366" i="1"/>
  <c r="KA368" i="1"/>
  <c r="KA370" i="1"/>
  <c r="KA374" i="1"/>
  <c r="KA376" i="1"/>
  <c r="KA378" i="1"/>
  <c r="KA380" i="1"/>
  <c r="KA382" i="1"/>
  <c r="KA384" i="1"/>
  <c r="KA386" i="1"/>
  <c r="KA388" i="1"/>
  <c r="KA390" i="1"/>
  <c r="KA326" i="1"/>
  <c r="KA328" i="1"/>
  <c r="KA330" i="1"/>
  <c r="KA332" i="1"/>
  <c r="KA334" i="1"/>
  <c r="KA336" i="1"/>
  <c r="KA338" i="1"/>
  <c r="KA342" i="1"/>
  <c r="KA344" i="1"/>
  <c r="KA397" i="1"/>
  <c r="KA401" i="1"/>
  <c r="KA405" i="1"/>
  <c r="KA409" i="1"/>
  <c r="KA413" i="1"/>
  <c r="KA417" i="1"/>
  <c r="KA421" i="1"/>
  <c r="KA425" i="1"/>
  <c r="KA363" i="1"/>
  <c r="KA367" i="1"/>
  <c r="KA371" i="1"/>
  <c r="KA375" i="1"/>
  <c r="KA379" i="1"/>
  <c r="KA383" i="1"/>
  <c r="KA387" i="1"/>
  <c r="KA361" i="1"/>
  <c r="KA329" i="1"/>
  <c r="KA333" i="1"/>
  <c r="KA337" i="1"/>
  <c r="KA341" i="1"/>
  <c r="KA345" i="1"/>
  <c r="KA347" i="1"/>
  <c r="KA349" i="1"/>
  <c r="KA351" i="1"/>
  <c r="KA353" i="1"/>
  <c r="KA355" i="1"/>
  <c r="KA291" i="1"/>
  <c r="KA293" i="1"/>
  <c r="KA295" i="1"/>
  <c r="KA297" i="1"/>
  <c r="KA299" i="1"/>
  <c r="KA301" i="1"/>
  <c r="KA303" i="1"/>
  <c r="KA307" i="1"/>
  <c r="KA309" i="1"/>
  <c r="KA311" i="1"/>
  <c r="KA313" i="1"/>
  <c r="KA315" i="1"/>
  <c r="KA317" i="1"/>
  <c r="KA319" i="1"/>
  <c r="KA255" i="1"/>
  <c r="KA257" i="1"/>
  <c r="KA259" i="1"/>
  <c r="KA261" i="1"/>
  <c r="KA263" i="1"/>
  <c r="KA265" i="1"/>
  <c r="KA267" i="1"/>
  <c r="KA269" i="1"/>
  <c r="KA271" i="1"/>
  <c r="KA275" i="1"/>
  <c r="KA277" i="1"/>
  <c r="KA279" i="1"/>
  <c r="KA281" i="1"/>
  <c r="KA283" i="1"/>
  <c r="KA220" i="1"/>
  <c r="KA222" i="1"/>
  <c r="KA224" i="1"/>
  <c r="KA226" i="1"/>
  <c r="KA228" i="1"/>
  <c r="KA230" i="1"/>
  <c r="KA232" i="1"/>
  <c r="KA234" i="1"/>
  <c r="KA236" i="1"/>
  <c r="KA240" i="1"/>
  <c r="KA242" i="1"/>
  <c r="KA244" i="1"/>
  <c r="KA246" i="1"/>
  <c r="KA248" i="1"/>
  <c r="KA184" i="1"/>
  <c r="KA186" i="1"/>
  <c r="KA188" i="1"/>
  <c r="KA190" i="1"/>
  <c r="KA192" i="1"/>
  <c r="KA194" i="1"/>
  <c r="KA196" i="1"/>
  <c r="KA198" i="1"/>
  <c r="KA200" i="1"/>
  <c r="KA202" i="1"/>
  <c r="KA206" i="1"/>
  <c r="KA208" i="1"/>
  <c r="KA210" i="1"/>
  <c r="KA212" i="1"/>
  <c r="KA148" i="1"/>
  <c r="KA150" i="1"/>
  <c r="KA152" i="1"/>
  <c r="KA154" i="1"/>
  <c r="KA156" i="1"/>
  <c r="KA158" i="1"/>
  <c r="KA160" i="1"/>
  <c r="KA162" i="1"/>
  <c r="KA164" i="1"/>
  <c r="KA166" i="1"/>
  <c r="KA168" i="1"/>
  <c r="KA170" i="1"/>
  <c r="KA174" i="1"/>
  <c r="KA176" i="1"/>
  <c r="KA114" i="1"/>
  <c r="KA116" i="1"/>
  <c r="KA118" i="1"/>
  <c r="KA120" i="1"/>
  <c r="KA122" i="1"/>
  <c r="KA124" i="1"/>
  <c r="KA126" i="1"/>
  <c r="KA128" i="1"/>
  <c r="KA130" i="1"/>
  <c r="KA132" i="1"/>
  <c r="KA134" i="1"/>
  <c r="KA136" i="1"/>
  <c r="KA140" i="1"/>
  <c r="KA112" i="1"/>
  <c r="KA78" i="1"/>
  <c r="KA80" i="1"/>
  <c r="KA82" i="1"/>
  <c r="KA84" i="1"/>
  <c r="KA86" i="1"/>
  <c r="KA88" i="1"/>
  <c r="KA90" i="1"/>
  <c r="KA92" i="1"/>
  <c r="KA94" i="1"/>
  <c r="KA96" i="1"/>
  <c r="KA98" i="1"/>
  <c r="KA100" i="1"/>
  <c r="KA102" i="1"/>
  <c r="KA106" i="1"/>
  <c r="KA43" i="1"/>
  <c r="KA45" i="1"/>
  <c r="KA47" i="1"/>
  <c r="KA49" i="1"/>
  <c r="KA51" i="1"/>
  <c r="KA53" i="1"/>
  <c r="KA55" i="1"/>
  <c r="KA57" i="1"/>
  <c r="KA59" i="1"/>
  <c r="KA61" i="1"/>
  <c r="KA63" i="1"/>
  <c r="KA65" i="1"/>
  <c r="KA67" i="1"/>
  <c r="KA69" i="1"/>
  <c r="KA42" i="1"/>
  <c r="KA8" i="1"/>
  <c r="KA10" i="1"/>
  <c r="KA12" i="1"/>
  <c r="KA14" i="1"/>
  <c r="KA16" i="1"/>
  <c r="KA18" i="1"/>
  <c r="KA20" i="1"/>
  <c r="KA22" i="1"/>
  <c r="KA24" i="1"/>
  <c r="KA26" i="1"/>
  <c r="KA28" i="1"/>
  <c r="KA30" i="1"/>
  <c r="KA32" i="1"/>
  <c r="KA34" i="1"/>
  <c r="KA36" i="1"/>
  <c r="KA399" i="1"/>
  <c r="KA403" i="1"/>
  <c r="KA407" i="1"/>
  <c r="KA411" i="1"/>
  <c r="KA415" i="1"/>
  <c r="KA419" i="1"/>
  <c r="KA423" i="1"/>
  <c r="KA396" i="1"/>
  <c r="KA365" i="1"/>
  <c r="KA369" i="1"/>
  <c r="KA377" i="1"/>
  <c r="KA381" i="1"/>
  <c r="KA385" i="1"/>
  <c r="KA389" i="1"/>
  <c r="KA327" i="1"/>
  <c r="KA331" i="1"/>
  <c r="KA335" i="1"/>
  <c r="KA343" i="1"/>
  <c r="KA346" i="1"/>
  <c r="KA348" i="1"/>
  <c r="KA350" i="1"/>
  <c r="KA352" i="1"/>
  <c r="KA354" i="1"/>
  <c r="KA325" i="1"/>
  <c r="KA292" i="1"/>
  <c r="KA294" i="1"/>
  <c r="KA296" i="1"/>
  <c r="KA298" i="1"/>
  <c r="KA300" i="1"/>
  <c r="KA302" i="1"/>
  <c r="KA304" i="1"/>
  <c r="KA308" i="1"/>
  <c r="KA310" i="1"/>
  <c r="KA312" i="1"/>
  <c r="KA314" i="1"/>
  <c r="KA316" i="1"/>
  <c r="KA318" i="1"/>
  <c r="KA256" i="1"/>
  <c r="KA258" i="1"/>
  <c r="KA260" i="1"/>
  <c r="KA262" i="1"/>
  <c r="KA264" i="1"/>
  <c r="KA266" i="1"/>
  <c r="KA268" i="1"/>
  <c r="KA270" i="1"/>
  <c r="KA274" i="1"/>
  <c r="KA276" i="1"/>
  <c r="KA278" i="1"/>
  <c r="KA280" i="1"/>
  <c r="KA282" i="1"/>
  <c r="KA284" i="1"/>
  <c r="KA219" i="1"/>
  <c r="KA221" i="1"/>
  <c r="KA223" i="1"/>
  <c r="KA225" i="1"/>
  <c r="KA227" i="1"/>
  <c r="KA229" i="1"/>
  <c r="KA231" i="1"/>
  <c r="KA233" i="1"/>
  <c r="KA235" i="1"/>
  <c r="KA237" i="1"/>
  <c r="KA241" i="1"/>
  <c r="KA243" i="1"/>
  <c r="KA245" i="1"/>
  <c r="KA247" i="1"/>
  <c r="KA218" i="1"/>
  <c r="KA185" i="1"/>
  <c r="KA187" i="1"/>
  <c r="KA189" i="1"/>
  <c r="KA191" i="1"/>
  <c r="KA193" i="1"/>
  <c r="KA195" i="1"/>
  <c r="KA197" i="1"/>
  <c r="KA199" i="1"/>
  <c r="KA201" i="1"/>
  <c r="KA203" i="1"/>
  <c r="KA207" i="1"/>
  <c r="KA209" i="1"/>
  <c r="KA211" i="1"/>
  <c r="KA149" i="1"/>
  <c r="KA151" i="1"/>
  <c r="KA153" i="1"/>
  <c r="KA155" i="1"/>
  <c r="KA157" i="1"/>
  <c r="KA159" i="1"/>
  <c r="KA161" i="1"/>
  <c r="KA163" i="1"/>
  <c r="KA165" i="1"/>
  <c r="KA167" i="1"/>
  <c r="KA169" i="1"/>
  <c r="KA173" i="1"/>
  <c r="KA175" i="1"/>
  <c r="KA177" i="1"/>
  <c r="KA113" i="1"/>
  <c r="KA115" i="1"/>
  <c r="KA117" i="1"/>
  <c r="KA119" i="1"/>
  <c r="KA121" i="1"/>
  <c r="KA123" i="1"/>
  <c r="KA125" i="1"/>
  <c r="KA127" i="1"/>
  <c r="KA129" i="1"/>
  <c r="KA131" i="1"/>
  <c r="KA133" i="1"/>
  <c r="KA135" i="1"/>
  <c r="KA139" i="1"/>
  <c r="KA141" i="1"/>
  <c r="KA77" i="1"/>
  <c r="KA79" i="1"/>
  <c r="KA81" i="1"/>
  <c r="KA83" i="1"/>
  <c r="KA85" i="1"/>
  <c r="KA87" i="1"/>
  <c r="KA89" i="1"/>
  <c r="KA91" i="1"/>
  <c r="KA93" i="1"/>
  <c r="KA95" i="1"/>
  <c r="KA97" i="1"/>
  <c r="KA99" i="1"/>
  <c r="KA101" i="1"/>
  <c r="KA103" i="1"/>
  <c r="KA76" i="1"/>
  <c r="KA44" i="1"/>
  <c r="KA46" i="1"/>
  <c r="KA48" i="1"/>
  <c r="KA50" i="1"/>
  <c r="KA52" i="1"/>
  <c r="KA54" i="1"/>
  <c r="KA56" i="1"/>
  <c r="KA58" i="1"/>
  <c r="KA60" i="1"/>
  <c r="KA62" i="1"/>
  <c r="KA64" i="1"/>
  <c r="KA66" i="1"/>
  <c r="KA68" i="1"/>
  <c r="KA7" i="1"/>
  <c r="KA9" i="1"/>
  <c r="KA11" i="1"/>
  <c r="KA13" i="1"/>
  <c r="KA15" i="1"/>
  <c r="KA17" i="1"/>
  <c r="KA19" i="1"/>
  <c r="KA21" i="1"/>
  <c r="KA23" i="1"/>
  <c r="KA25" i="1"/>
  <c r="KA27" i="1"/>
  <c r="KA29" i="1"/>
  <c r="KA31" i="1"/>
  <c r="KA33" i="1"/>
  <c r="KA35" i="1"/>
  <c r="JR397" i="1"/>
  <c r="JR399" i="1"/>
  <c r="JR401" i="1"/>
  <c r="JR403" i="1"/>
  <c r="JR405" i="1"/>
  <c r="JR407" i="1"/>
  <c r="JR409" i="1"/>
  <c r="JR411" i="1"/>
  <c r="JR413" i="1"/>
  <c r="JR415" i="1"/>
  <c r="JR417" i="1"/>
  <c r="JR419" i="1"/>
  <c r="JR421" i="1"/>
  <c r="JR423" i="1"/>
  <c r="JR425" i="1"/>
  <c r="JR396" i="1"/>
  <c r="JR363" i="1"/>
  <c r="JR365" i="1"/>
  <c r="JR367" i="1"/>
  <c r="JR369" i="1"/>
  <c r="JR371" i="1"/>
  <c r="JR375" i="1"/>
  <c r="JR377" i="1"/>
  <c r="JR379" i="1"/>
  <c r="JR381" i="1"/>
  <c r="JR383" i="1"/>
  <c r="JR385" i="1"/>
  <c r="JR387" i="1"/>
  <c r="JR389" i="1"/>
  <c r="JR327" i="1"/>
  <c r="JR329" i="1"/>
  <c r="JR331" i="1"/>
  <c r="JR333" i="1"/>
  <c r="JR335" i="1"/>
  <c r="JR337" i="1"/>
  <c r="JR341" i="1"/>
  <c r="JR343" i="1"/>
  <c r="JR345" i="1"/>
  <c r="JR347" i="1"/>
  <c r="JR349" i="1"/>
  <c r="JR351" i="1"/>
  <c r="JR353" i="1"/>
  <c r="JR355" i="1"/>
  <c r="JR291" i="1"/>
  <c r="JR293" i="1"/>
  <c r="JR295" i="1"/>
  <c r="JR297" i="1"/>
  <c r="JR299" i="1"/>
  <c r="JR301" i="1"/>
  <c r="JR303" i="1"/>
  <c r="JR307" i="1"/>
  <c r="JR309" i="1"/>
  <c r="JR311" i="1"/>
  <c r="JR313" i="1"/>
  <c r="JR315" i="1"/>
  <c r="JR317" i="1"/>
  <c r="JR319" i="1"/>
  <c r="JR255" i="1"/>
  <c r="JR257" i="1"/>
  <c r="JR259" i="1"/>
  <c r="JR261" i="1"/>
  <c r="JR263" i="1"/>
  <c r="JR265" i="1"/>
  <c r="JR267" i="1"/>
  <c r="JR269" i="1"/>
  <c r="JR271" i="1"/>
  <c r="JR275" i="1"/>
  <c r="JR277" i="1"/>
  <c r="JR279" i="1"/>
  <c r="JR281" i="1"/>
  <c r="JR283" i="1"/>
  <c r="JR254" i="1"/>
  <c r="JR220" i="1"/>
  <c r="JR222" i="1"/>
  <c r="JR224" i="1"/>
  <c r="JR226" i="1"/>
  <c r="JR228" i="1"/>
  <c r="JR230" i="1"/>
  <c r="JR232" i="1"/>
  <c r="JR234" i="1"/>
  <c r="JR236" i="1"/>
  <c r="JR240" i="1"/>
  <c r="JR242" i="1"/>
  <c r="JR244" i="1"/>
  <c r="JR246" i="1"/>
  <c r="JR248" i="1"/>
  <c r="JR184" i="1"/>
  <c r="JR186" i="1"/>
  <c r="JR188" i="1"/>
  <c r="JR190" i="1"/>
  <c r="JR192" i="1"/>
  <c r="JR194" i="1"/>
  <c r="JR196" i="1"/>
  <c r="JR198" i="1"/>
  <c r="JR200" i="1"/>
  <c r="JR202" i="1"/>
  <c r="JR206" i="1"/>
  <c r="JR208" i="1"/>
  <c r="JR210" i="1"/>
  <c r="JR212" i="1"/>
  <c r="JR148" i="1"/>
  <c r="JR150" i="1"/>
  <c r="JR152" i="1"/>
  <c r="JR154" i="1"/>
  <c r="JR156" i="1"/>
  <c r="JR158" i="1"/>
  <c r="JR160" i="1"/>
  <c r="JR162" i="1"/>
  <c r="JR164" i="1"/>
  <c r="JR166" i="1"/>
  <c r="JR168" i="1"/>
  <c r="JR170" i="1"/>
  <c r="JR174" i="1"/>
  <c r="JR176" i="1"/>
  <c r="JR114" i="1"/>
  <c r="JR116" i="1"/>
  <c r="JR118" i="1"/>
  <c r="JR120" i="1"/>
  <c r="JR122" i="1"/>
  <c r="JR124" i="1"/>
  <c r="JR126" i="1"/>
  <c r="JR128" i="1"/>
  <c r="JR130" i="1"/>
  <c r="JR132" i="1"/>
  <c r="JR134" i="1"/>
  <c r="JR136" i="1"/>
  <c r="JR140" i="1"/>
  <c r="JR78" i="1"/>
  <c r="JR80" i="1"/>
  <c r="JR82" i="1"/>
  <c r="JR84" i="1"/>
  <c r="JR86" i="1"/>
  <c r="JR88" i="1"/>
  <c r="JR90" i="1"/>
  <c r="JR92" i="1"/>
  <c r="JR94" i="1"/>
  <c r="JR96" i="1"/>
  <c r="JR98" i="1"/>
  <c r="JR100" i="1"/>
  <c r="JR102" i="1"/>
  <c r="JR106" i="1"/>
  <c r="JR43" i="1"/>
  <c r="JR45" i="1"/>
  <c r="JR47" i="1"/>
  <c r="JR49" i="1"/>
  <c r="JR51" i="1"/>
  <c r="JR53" i="1"/>
  <c r="JR55" i="1"/>
  <c r="JR57" i="1"/>
  <c r="JR59" i="1"/>
  <c r="JR61" i="1"/>
  <c r="JR63" i="1"/>
  <c r="JR65" i="1"/>
  <c r="JR67" i="1"/>
  <c r="JR69" i="1"/>
  <c r="JR42" i="1"/>
  <c r="JR8" i="1"/>
  <c r="JR10" i="1"/>
  <c r="JR12" i="1"/>
  <c r="JR14" i="1"/>
  <c r="JR16" i="1"/>
  <c r="JR18" i="1"/>
  <c r="JR20" i="1"/>
  <c r="JR22" i="1"/>
  <c r="JR24" i="1"/>
  <c r="JR26" i="1"/>
  <c r="JR28" i="1"/>
  <c r="JR30" i="1"/>
  <c r="JR32" i="1"/>
  <c r="JR34" i="1"/>
  <c r="JR36" i="1"/>
  <c r="JR398" i="1"/>
  <c r="JR400" i="1"/>
  <c r="JR402" i="1"/>
  <c r="JR404" i="1"/>
  <c r="JR406" i="1"/>
  <c r="JR408" i="1"/>
  <c r="JR410" i="1"/>
  <c r="JR412" i="1"/>
  <c r="JR414" i="1"/>
  <c r="JR416" i="1"/>
  <c r="JR418" i="1"/>
  <c r="JR420" i="1"/>
  <c r="JR422" i="1"/>
  <c r="JR424" i="1"/>
  <c r="JR426" i="1"/>
  <c r="JR362" i="1"/>
  <c r="JR364" i="1"/>
  <c r="JR366" i="1"/>
  <c r="JR368" i="1"/>
  <c r="JR370" i="1"/>
  <c r="JR374" i="1"/>
  <c r="JR376" i="1"/>
  <c r="JR378" i="1"/>
  <c r="JR380" i="1"/>
  <c r="JR382" i="1"/>
  <c r="JR384" i="1"/>
  <c r="JR386" i="1"/>
  <c r="JR388" i="1"/>
  <c r="JR390" i="1"/>
  <c r="JR326" i="1"/>
  <c r="JR328" i="1"/>
  <c r="JR330" i="1"/>
  <c r="JR332" i="1"/>
  <c r="JR334" i="1"/>
  <c r="JR336" i="1"/>
  <c r="JR338" i="1"/>
  <c r="JR342" i="1"/>
  <c r="JR344" i="1"/>
  <c r="JR346" i="1"/>
  <c r="JR348" i="1"/>
  <c r="JR350" i="1"/>
  <c r="JR352" i="1"/>
  <c r="JR354" i="1"/>
  <c r="JR325" i="1"/>
  <c r="JR292" i="1"/>
  <c r="JR294" i="1"/>
  <c r="JR296" i="1"/>
  <c r="JR298" i="1"/>
  <c r="JR300" i="1"/>
  <c r="JR302" i="1"/>
  <c r="JR304" i="1"/>
  <c r="JR308" i="1"/>
  <c r="JR310" i="1"/>
  <c r="JR312" i="1"/>
  <c r="JR314" i="1"/>
  <c r="JR316" i="1"/>
  <c r="JR318" i="1"/>
  <c r="JR256" i="1"/>
  <c r="JR258" i="1"/>
  <c r="JR260" i="1"/>
  <c r="JR262" i="1"/>
  <c r="JR264" i="1"/>
  <c r="JR266" i="1"/>
  <c r="JR268" i="1"/>
  <c r="JR270" i="1"/>
  <c r="JR274" i="1"/>
  <c r="JR276" i="1"/>
  <c r="JR278" i="1"/>
  <c r="JR280" i="1"/>
  <c r="JR282" i="1"/>
  <c r="JR284" i="1"/>
  <c r="JR219" i="1"/>
  <c r="JR221" i="1"/>
  <c r="JR223" i="1"/>
  <c r="JR225" i="1"/>
  <c r="JR227" i="1"/>
  <c r="JR229" i="1"/>
  <c r="JR231" i="1"/>
  <c r="JR233" i="1"/>
  <c r="JR235" i="1"/>
  <c r="JR237" i="1"/>
  <c r="JR241" i="1"/>
  <c r="JR243" i="1"/>
  <c r="JR245" i="1"/>
  <c r="JR247" i="1"/>
  <c r="JR218" i="1"/>
  <c r="JR185" i="1"/>
  <c r="JR187" i="1"/>
  <c r="JR189" i="1"/>
  <c r="JR191" i="1"/>
  <c r="JR193" i="1"/>
  <c r="JR195" i="1"/>
  <c r="JR197" i="1"/>
  <c r="JR199" i="1"/>
  <c r="JR201" i="1"/>
  <c r="JR203" i="1"/>
  <c r="JR207" i="1"/>
  <c r="JR209" i="1"/>
  <c r="JR211" i="1"/>
  <c r="JR149" i="1"/>
  <c r="JR151" i="1"/>
  <c r="JR153" i="1"/>
  <c r="JR155" i="1"/>
  <c r="JR157" i="1"/>
  <c r="JR159" i="1"/>
  <c r="JR161" i="1"/>
  <c r="JR163" i="1"/>
  <c r="JR165" i="1"/>
  <c r="JR167" i="1"/>
  <c r="JR169" i="1"/>
  <c r="JR173" i="1"/>
  <c r="JR175" i="1"/>
  <c r="JR177" i="1"/>
  <c r="JR113" i="1"/>
  <c r="JR115" i="1"/>
  <c r="JR117" i="1"/>
  <c r="JR119" i="1"/>
  <c r="JR121" i="1"/>
  <c r="JR123" i="1"/>
  <c r="JR125" i="1"/>
  <c r="JR127" i="1"/>
  <c r="JR129" i="1"/>
  <c r="JR131" i="1"/>
  <c r="JR133" i="1"/>
  <c r="JR135" i="1"/>
  <c r="JR139" i="1"/>
  <c r="JR141" i="1"/>
  <c r="JR77" i="1"/>
  <c r="JR79" i="1"/>
  <c r="JR81" i="1"/>
  <c r="JR83" i="1"/>
  <c r="JR85" i="1"/>
  <c r="JR87" i="1"/>
  <c r="JR89" i="1"/>
  <c r="JR91" i="1"/>
  <c r="JR93" i="1"/>
  <c r="JR95" i="1"/>
  <c r="JR97" i="1"/>
  <c r="JR99" i="1"/>
  <c r="JR101" i="1"/>
  <c r="JR103" i="1"/>
  <c r="JR76" i="1"/>
  <c r="JR44" i="1"/>
  <c r="JR46" i="1"/>
  <c r="JR48" i="1"/>
  <c r="JR50" i="1"/>
  <c r="JR52" i="1"/>
  <c r="JR54" i="1"/>
  <c r="JR56" i="1"/>
  <c r="JR58" i="1"/>
  <c r="JR60" i="1"/>
  <c r="JR62" i="1"/>
  <c r="JR64" i="1"/>
  <c r="JR66" i="1"/>
  <c r="JR68" i="1"/>
  <c r="JR7" i="1"/>
  <c r="JR9" i="1"/>
  <c r="JR11" i="1"/>
  <c r="JR13" i="1"/>
  <c r="JR15" i="1"/>
  <c r="JR17" i="1"/>
  <c r="JR19" i="1"/>
  <c r="JR21" i="1"/>
  <c r="JR23" i="1"/>
  <c r="JR25" i="1"/>
  <c r="JR27" i="1"/>
  <c r="JR29" i="1"/>
  <c r="JR31" i="1"/>
  <c r="JR33" i="1"/>
  <c r="JR35" i="1"/>
  <c r="HW8" i="1"/>
  <c r="HY8" i="1" s="1"/>
  <c r="HW10" i="1"/>
  <c r="HY10" i="1" s="1"/>
  <c r="HW12" i="1"/>
  <c r="HY12" i="1" s="1"/>
  <c r="HW14" i="1"/>
  <c r="HY14" i="1" s="1"/>
  <c r="HW16" i="1"/>
  <c r="HY16" i="1" s="1"/>
  <c r="HW18" i="1"/>
  <c r="HY18" i="1" s="1"/>
  <c r="HW20" i="1"/>
  <c r="HY20" i="1" s="1"/>
  <c r="HW22" i="1"/>
  <c r="HY22" i="1" s="1"/>
  <c r="HW24" i="1"/>
  <c r="HY24" i="1" s="1"/>
  <c r="HW26" i="1"/>
  <c r="HY26" i="1" s="1"/>
  <c r="HW28" i="1"/>
  <c r="HY28" i="1" s="1"/>
  <c r="HW30" i="1"/>
  <c r="HY30" i="1" s="1"/>
  <c r="HW32" i="1"/>
  <c r="HY32" i="1" s="1"/>
  <c r="HW34" i="1"/>
  <c r="HY34" i="1" s="1"/>
  <c r="HW36" i="1"/>
  <c r="HY36" i="1" s="1"/>
  <c r="HW9" i="1"/>
  <c r="HY9" i="1" s="1"/>
  <c r="HW13" i="1"/>
  <c r="HY13" i="1" s="1"/>
  <c r="HW17" i="1"/>
  <c r="HY17" i="1" s="1"/>
  <c r="HW21" i="1"/>
  <c r="HY21" i="1" s="1"/>
  <c r="HW25" i="1"/>
  <c r="HY25" i="1" s="1"/>
  <c r="HW29" i="1"/>
  <c r="HY29" i="1" s="1"/>
  <c r="HW33" i="1"/>
  <c r="HY33" i="1" s="1"/>
  <c r="HW7" i="1"/>
  <c r="HY7" i="1" s="1"/>
  <c r="HW11" i="1"/>
  <c r="HY11" i="1" s="1"/>
  <c r="HW15" i="1"/>
  <c r="HY15" i="1" s="1"/>
  <c r="HW19" i="1"/>
  <c r="HY19" i="1" s="1"/>
  <c r="HW23" i="1"/>
  <c r="HY23" i="1" s="1"/>
  <c r="HW27" i="1"/>
  <c r="HY27" i="1" s="1"/>
  <c r="HW31" i="1"/>
  <c r="HY31" i="1" s="1"/>
  <c r="HW35" i="1"/>
  <c r="HY35" i="1" s="1"/>
  <c r="AB80" i="5"/>
  <c r="AB73" i="5"/>
  <c r="AB66" i="5"/>
  <c r="AB59" i="5"/>
  <c r="AB52" i="5"/>
  <c r="AB45" i="5"/>
  <c r="AB38" i="5"/>
  <c r="AB24" i="5"/>
  <c r="AB31" i="5"/>
  <c r="AB17" i="5"/>
  <c r="AB10" i="5"/>
  <c r="AB3" i="5"/>
  <c r="IC2" i="1"/>
  <c r="AD80" i="5"/>
  <c r="AD73" i="5"/>
  <c r="AD66" i="5"/>
  <c r="AD59" i="5"/>
  <c r="AD52" i="5"/>
  <c r="AD45" i="5"/>
  <c r="AD38" i="5"/>
  <c r="AD24" i="5"/>
  <c r="AD31" i="5"/>
  <c r="AD17" i="5"/>
  <c r="AD10" i="5"/>
  <c r="AD3" i="5"/>
  <c r="IU2" i="1"/>
  <c r="Z3" i="5"/>
  <c r="Y10" i="5"/>
  <c r="Z17" i="5"/>
  <c r="Y24" i="5"/>
  <c r="Z31" i="5"/>
  <c r="Y38" i="5"/>
  <c r="Z45" i="5"/>
  <c r="Y52" i="5"/>
  <c r="Z59" i="5"/>
  <c r="Y66" i="5"/>
  <c r="Z73" i="5"/>
  <c r="Y80" i="5"/>
  <c r="AA80" i="5"/>
  <c r="AA73" i="5"/>
  <c r="AA66" i="5"/>
  <c r="AA59" i="5"/>
  <c r="AA52" i="5"/>
  <c r="AA45" i="5"/>
  <c r="AA38" i="5"/>
  <c r="AA24" i="5"/>
  <c r="AA31" i="5"/>
  <c r="AA17" i="5"/>
  <c r="AA10" i="5"/>
  <c r="AA3" i="5"/>
  <c r="HT2" i="1"/>
  <c r="AC80" i="5"/>
  <c r="AC73" i="5"/>
  <c r="AC66" i="5"/>
  <c r="AC59" i="5"/>
  <c r="AC52" i="5"/>
  <c r="AC45" i="5"/>
  <c r="AC38" i="5"/>
  <c r="AC24" i="5"/>
  <c r="AC31" i="5"/>
  <c r="AC17" i="5"/>
  <c r="AC10" i="5"/>
  <c r="AC3" i="5"/>
  <c r="IL2" i="1"/>
  <c r="AE80" i="5"/>
  <c r="AE73" i="5"/>
  <c r="AE66" i="5"/>
  <c r="AE59" i="5"/>
  <c r="AE52" i="5"/>
  <c r="AE45" i="5"/>
  <c r="AE38" i="5"/>
  <c r="AE24" i="5"/>
  <c r="AE31" i="5"/>
  <c r="AE17" i="5"/>
  <c r="AE10" i="5"/>
  <c r="AE3" i="5"/>
  <c r="JD2" i="1"/>
  <c r="Y3" i="5"/>
  <c r="Z10" i="5"/>
  <c r="Y17" i="5"/>
  <c r="Z24" i="5"/>
  <c r="Y31" i="5"/>
  <c r="Z38" i="5"/>
  <c r="Y45" i="5"/>
  <c r="Z52" i="5"/>
  <c r="Y59" i="5"/>
  <c r="Z66" i="5"/>
  <c r="Y73" i="5"/>
  <c r="Z80" i="5"/>
  <c r="JS20" i="1"/>
  <c r="JS21" i="1" s="1"/>
  <c r="JS22" i="1" s="1"/>
  <c r="JS23" i="1" s="1"/>
  <c r="JS24" i="1" s="1"/>
  <c r="JS25" i="1" s="1"/>
  <c r="JS26" i="1" s="1"/>
  <c r="JS27" i="1" s="1"/>
  <c r="JS28" i="1" s="1"/>
  <c r="JS29" i="1" s="1"/>
  <c r="JS30" i="1" s="1"/>
  <c r="JS31" i="1" s="1"/>
  <c r="JS32" i="1" s="1"/>
  <c r="JS33" i="1" s="1"/>
  <c r="JS34" i="1" s="1"/>
  <c r="JS35" i="1" s="1"/>
  <c r="JS36" i="1" s="1"/>
  <c r="JS37" i="1" s="1"/>
  <c r="AF18" i="5"/>
  <c r="D36" i="19" s="1"/>
  <c r="Q18" i="5"/>
  <c r="D19" i="19" s="1"/>
  <c r="LK42" i="1"/>
  <c r="LK76" i="1"/>
  <c r="LK218" i="1"/>
  <c r="LK396" i="1"/>
  <c r="LB254" i="1"/>
  <c r="LB396" i="1"/>
  <c r="EL8" i="7"/>
  <c r="EM8" i="7"/>
  <c r="EN8" i="7"/>
  <c r="EO8" i="7"/>
  <c r="EP8" i="7"/>
  <c r="EL9" i="7"/>
  <c r="EM9" i="7"/>
  <c r="EN9" i="7"/>
  <c r="EO9" i="7"/>
  <c r="EP9" i="7"/>
  <c r="EL10" i="7"/>
  <c r="EM10" i="7"/>
  <c r="EN10" i="7"/>
  <c r="EO10" i="7"/>
  <c r="EP10" i="7"/>
  <c r="EL11" i="7"/>
  <c r="EM11" i="7"/>
  <c r="EN11" i="7"/>
  <c r="EO11" i="7"/>
  <c r="EP11" i="7"/>
  <c r="EL12" i="7"/>
  <c r="EM12" i="7"/>
  <c r="EN12" i="7"/>
  <c r="EO12" i="7"/>
  <c r="EP12" i="7"/>
  <c r="EL13" i="7"/>
  <c r="EM13" i="7"/>
  <c r="EN13" i="7"/>
  <c r="EO13" i="7"/>
  <c r="EP13" i="7"/>
  <c r="EL14" i="7"/>
  <c r="EM14" i="7"/>
  <c r="EN14" i="7"/>
  <c r="EO14" i="7"/>
  <c r="EP14" i="7"/>
  <c r="EL15" i="7"/>
  <c r="EM15" i="7"/>
  <c r="EN15" i="7"/>
  <c r="EO15" i="7"/>
  <c r="EP15" i="7"/>
  <c r="EL16" i="7"/>
  <c r="EM16" i="7"/>
  <c r="EN16" i="7"/>
  <c r="EO16" i="7"/>
  <c r="EP16" i="7"/>
  <c r="EL17" i="7"/>
  <c r="EM17" i="7"/>
  <c r="EN17" i="7"/>
  <c r="EO17" i="7"/>
  <c r="EP17" i="7"/>
  <c r="EL18" i="7"/>
  <c r="EM18" i="7"/>
  <c r="EN18" i="7"/>
  <c r="EO18" i="7"/>
  <c r="EP18" i="7"/>
  <c r="EL19" i="7"/>
  <c r="EM19" i="7"/>
  <c r="EN19" i="7"/>
  <c r="EO19" i="7"/>
  <c r="EP19" i="7"/>
  <c r="EL20" i="7"/>
  <c r="EM20" i="7"/>
  <c r="EN20" i="7"/>
  <c r="EO20" i="7"/>
  <c r="EP20" i="7"/>
  <c r="EL21" i="7"/>
  <c r="EM21" i="7"/>
  <c r="EN21" i="7"/>
  <c r="EO21" i="7"/>
  <c r="EP21" i="7"/>
  <c r="EL22" i="7"/>
  <c r="EM22" i="7"/>
  <c r="EN22" i="7"/>
  <c r="EO22" i="7"/>
  <c r="EP22" i="7"/>
  <c r="EL23" i="7"/>
  <c r="EM23" i="7"/>
  <c r="EN23" i="7"/>
  <c r="EO23" i="7"/>
  <c r="EP23" i="7"/>
  <c r="EL24" i="7"/>
  <c r="EM24" i="7"/>
  <c r="EN24" i="7"/>
  <c r="EO24" i="7"/>
  <c r="EP24" i="7"/>
  <c r="EL25" i="7"/>
  <c r="EM25" i="7"/>
  <c r="EN25" i="7"/>
  <c r="EO25" i="7"/>
  <c r="EP25" i="7"/>
  <c r="EL26" i="7"/>
  <c r="EM26" i="7"/>
  <c r="EN26" i="7"/>
  <c r="EO26" i="7"/>
  <c r="EP26" i="7"/>
  <c r="EL27" i="7"/>
  <c r="EM27" i="7"/>
  <c r="EN27" i="7"/>
  <c r="EO27" i="7"/>
  <c r="EP27" i="7"/>
  <c r="EL28" i="7"/>
  <c r="EM28" i="7"/>
  <c r="EN28" i="7"/>
  <c r="EO28" i="7"/>
  <c r="EP28" i="7"/>
  <c r="EL29" i="7"/>
  <c r="EM29" i="7"/>
  <c r="EN29" i="7"/>
  <c r="EO29" i="7"/>
  <c r="EP29" i="7"/>
  <c r="EL30" i="7"/>
  <c r="EM30" i="7"/>
  <c r="EN30" i="7"/>
  <c r="EO30" i="7"/>
  <c r="EP30" i="7"/>
  <c r="TK289" i="1" l="1"/>
  <c r="BH57" i="5"/>
  <c r="TB289" i="1"/>
  <c r="BG57" i="5"/>
  <c r="BF57" i="5"/>
  <c r="SS289" i="1"/>
  <c r="BD57" i="5"/>
  <c r="H60" i="12" s="1"/>
  <c r="SA289" i="1"/>
  <c r="BE57" i="5"/>
  <c r="H61" i="12" s="1"/>
  <c r="SJ289" i="1"/>
  <c r="BC57" i="5"/>
  <c r="H59" i="12" s="1"/>
  <c r="RR289" i="1"/>
  <c r="QZ289" i="1"/>
  <c r="BA57" i="5"/>
  <c r="H57" i="12" s="1"/>
  <c r="B34" i="18"/>
  <c r="B33" i="18"/>
  <c r="B35" i="18"/>
  <c r="B29" i="18"/>
  <c r="RI289" i="1"/>
  <c r="BB60" i="5" s="1"/>
  <c r="D58" i="13" s="1"/>
  <c r="B30" i="18"/>
  <c r="B30" i="19"/>
  <c r="B31" i="18"/>
  <c r="B31" i="19"/>
  <c r="B32" i="18"/>
  <c r="B32" i="19"/>
  <c r="AJ15" i="5"/>
  <c r="H40" i="18" s="1"/>
  <c r="O40" i="18" s="1"/>
  <c r="AP46" i="5"/>
  <c r="D46" i="11" s="1"/>
  <c r="NE218" i="1"/>
  <c r="NE219" i="1" s="1"/>
  <c r="NE220" i="1" s="1"/>
  <c r="NE221" i="1" s="1"/>
  <c r="NE222" i="1" s="1"/>
  <c r="NE223" i="1" s="1"/>
  <c r="NE224" i="1" s="1"/>
  <c r="NE225" i="1" s="1"/>
  <c r="NE226" i="1" s="1"/>
  <c r="NE227" i="1" s="1"/>
  <c r="NE228" i="1" s="1"/>
  <c r="NE229" i="1" s="1"/>
  <c r="NE230" i="1" s="1"/>
  <c r="NE231" i="1" s="1"/>
  <c r="NE232" i="1" s="1"/>
  <c r="NE233" i="1" s="1"/>
  <c r="NE234" i="1" s="1"/>
  <c r="NE235" i="1" s="1"/>
  <c r="NE236" i="1" s="1"/>
  <c r="NE237" i="1" s="1"/>
  <c r="NE238" i="1" s="1"/>
  <c r="NE239" i="1" s="1"/>
  <c r="NE240" i="1" s="1"/>
  <c r="NE241" i="1" s="1"/>
  <c r="NE242" i="1" s="1"/>
  <c r="NE243" i="1" s="1"/>
  <c r="NE244" i="1" s="1"/>
  <c r="NE245" i="1" s="1"/>
  <c r="NE246" i="1" s="1"/>
  <c r="NE247" i="1" s="1"/>
  <c r="NE248" i="1" s="1"/>
  <c r="NE249" i="1" s="1"/>
  <c r="AO46" i="5"/>
  <c r="D45" i="11" s="1"/>
  <c r="MV218" i="1"/>
  <c r="MV219" i="1" s="1"/>
  <c r="MV220" i="1" s="1"/>
  <c r="MV221" i="1" s="1"/>
  <c r="MV222" i="1" s="1"/>
  <c r="MV223" i="1" s="1"/>
  <c r="MV224" i="1" s="1"/>
  <c r="MV225" i="1" s="1"/>
  <c r="MV226" i="1" s="1"/>
  <c r="MV227" i="1" s="1"/>
  <c r="MV228" i="1" s="1"/>
  <c r="MV229" i="1" s="1"/>
  <c r="MV230" i="1" s="1"/>
  <c r="MV231" i="1" s="1"/>
  <c r="MV232" i="1" s="1"/>
  <c r="MV233" i="1" s="1"/>
  <c r="MV234" i="1" s="1"/>
  <c r="MV235" i="1" s="1"/>
  <c r="MV236" i="1" s="1"/>
  <c r="MV237" i="1" s="1"/>
  <c r="MV238" i="1" s="1"/>
  <c r="MV239" i="1" s="1"/>
  <c r="MV240" i="1" s="1"/>
  <c r="MV241" i="1" s="1"/>
  <c r="MV242" i="1" s="1"/>
  <c r="MV243" i="1" s="1"/>
  <c r="MV244" i="1" s="1"/>
  <c r="MV245" i="1" s="1"/>
  <c r="MV246" i="1" s="1"/>
  <c r="MV247" i="1" s="1"/>
  <c r="MV248" i="1" s="1"/>
  <c r="MV249" i="1" s="1"/>
  <c r="LU218" i="1"/>
  <c r="LU219" i="1" s="1"/>
  <c r="LU220" i="1" s="1"/>
  <c r="LU221" i="1" s="1"/>
  <c r="LU222" i="1" s="1"/>
  <c r="LU223" i="1" s="1"/>
  <c r="LU224" i="1" s="1"/>
  <c r="LU225" i="1" s="1"/>
  <c r="LU226" i="1" s="1"/>
  <c r="LU227" i="1" s="1"/>
  <c r="LU228" i="1" s="1"/>
  <c r="LU229" i="1" s="1"/>
  <c r="LU230" i="1" s="1"/>
  <c r="LU231" i="1" s="1"/>
  <c r="LU232" i="1" s="1"/>
  <c r="LU233" i="1" s="1"/>
  <c r="LU234" i="1" s="1"/>
  <c r="LU235" i="1" s="1"/>
  <c r="LU236" i="1" s="1"/>
  <c r="LU237" i="1" s="1"/>
  <c r="LU238" i="1" s="1"/>
  <c r="LU239" i="1" s="1"/>
  <c r="LU240" i="1" s="1"/>
  <c r="LU241" i="1" s="1"/>
  <c r="LU242" i="1" s="1"/>
  <c r="LU243" i="1" s="1"/>
  <c r="LU244" i="1" s="1"/>
  <c r="LU245" i="1" s="1"/>
  <c r="LU246" i="1" s="1"/>
  <c r="LU247" i="1" s="1"/>
  <c r="LU248" i="1" s="1"/>
  <c r="LU249" i="1" s="1"/>
  <c r="AL46" i="5"/>
  <c r="D42" i="11" s="1"/>
  <c r="LC76" i="1"/>
  <c r="LC77" i="1" s="1"/>
  <c r="LC78" i="1" s="1"/>
  <c r="LC79" i="1" s="1"/>
  <c r="LC80" i="1" s="1"/>
  <c r="LC81" i="1" s="1"/>
  <c r="LC82" i="1" s="1"/>
  <c r="LC83" i="1" s="1"/>
  <c r="LC84" i="1" s="1"/>
  <c r="LC85" i="1" s="1"/>
  <c r="LC86" i="1" s="1"/>
  <c r="LC87" i="1" s="1"/>
  <c r="LC88" i="1" s="1"/>
  <c r="LC89" i="1" s="1"/>
  <c r="LC90" i="1" s="1"/>
  <c r="LC91" i="1" s="1"/>
  <c r="LC92" i="1" s="1"/>
  <c r="LC93" i="1" s="1"/>
  <c r="LC94" i="1" s="1"/>
  <c r="LC95" i="1" s="1"/>
  <c r="LC96" i="1" s="1"/>
  <c r="LC97" i="1" s="1"/>
  <c r="LC98" i="1" s="1"/>
  <c r="LC99" i="1" s="1"/>
  <c r="LC100" i="1" s="1"/>
  <c r="LC101" i="1" s="1"/>
  <c r="LC102" i="1" s="1"/>
  <c r="LC103" i="1" s="1"/>
  <c r="LC104" i="1" s="1"/>
  <c r="LC105" i="1" s="1"/>
  <c r="LC106" i="1" s="1"/>
  <c r="LC107" i="1" s="1"/>
  <c r="AJ18" i="5"/>
  <c r="D40" i="19" s="1"/>
  <c r="H34" i="17"/>
  <c r="O34" i="17" s="1"/>
  <c r="MM218" i="1"/>
  <c r="MM219" i="1" s="1"/>
  <c r="MM220" i="1" s="1"/>
  <c r="MM221" i="1" s="1"/>
  <c r="MM222" i="1" s="1"/>
  <c r="MM223" i="1" s="1"/>
  <c r="MM224" i="1" s="1"/>
  <c r="MM225" i="1" s="1"/>
  <c r="MM226" i="1" s="1"/>
  <c r="MM227" i="1" s="1"/>
  <c r="MM228" i="1" s="1"/>
  <c r="MM229" i="1" s="1"/>
  <c r="MM230" i="1" s="1"/>
  <c r="MM231" i="1" s="1"/>
  <c r="MM232" i="1" s="1"/>
  <c r="MM233" i="1" s="1"/>
  <c r="MM234" i="1" s="1"/>
  <c r="MM235" i="1" s="1"/>
  <c r="MM236" i="1" s="1"/>
  <c r="MM237" i="1" s="1"/>
  <c r="MM238" i="1" s="1"/>
  <c r="MM239" i="1" s="1"/>
  <c r="MM240" i="1" s="1"/>
  <c r="MM241" i="1" s="1"/>
  <c r="MM242" i="1" s="1"/>
  <c r="MM243" i="1" s="1"/>
  <c r="MM244" i="1" s="1"/>
  <c r="MM245" i="1" s="1"/>
  <c r="MM246" i="1" s="1"/>
  <c r="MM247" i="1" s="1"/>
  <c r="MM248" i="1" s="1"/>
  <c r="MM249" i="1" s="1"/>
  <c r="AN46" i="5"/>
  <c r="D44" i="11" s="1"/>
  <c r="IR42" i="1"/>
  <c r="IR43" i="1" s="1"/>
  <c r="IR44" i="1" s="1"/>
  <c r="IR45" i="1" s="1"/>
  <c r="IR46" i="1" s="1"/>
  <c r="IR47" i="1" s="1"/>
  <c r="IR48" i="1" s="1"/>
  <c r="IR49" i="1" s="1"/>
  <c r="IR50" i="1" s="1"/>
  <c r="IR51" i="1" s="1"/>
  <c r="IR52" i="1" s="1"/>
  <c r="IR53" i="1" s="1"/>
  <c r="IR54" i="1" s="1"/>
  <c r="IR55" i="1" s="1"/>
  <c r="IR56" i="1" s="1"/>
  <c r="IR57" i="1" s="1"/>
  <c r="IR58" i="1" s="1"/>
  <c r="IR59" i="1" s="1"/>
  <c r="IR60" i="1" s="1"/>
  <c r="IR61" i="1" s="1"/>
  <c r="IR62" i="1" s="1"/>
  <c r="IR63" i="1" s="1"/>
  <c r="IR64" i="1" s="1"/>
  <c r="IR65" i="1" s="1"/>
  <c r="IR66" i="1" s="1"/>
  <c r="IR67" i="1" s="1"/>
  <c r="IR68" i="1" s="1"/>
  <c r="IR69" i="1" s="1"/>
  <c r="IR70" i="1" s="1"/>
  <c r="IR71" i="1" s="1"/>
  <c r="IS71" i="1" s="1"/>
  <c r="AC11" i="5"/>
  <c r="D33" i="18" s="1"/>
  <c r="JA42" i="1"/>
  <c r="JA43" i="1" s="1"/>
  <c r="JA44" i="1" s="1"/>
  <c r="JA45" i="1" s="1"/>
  <c r="JA46" i="1" s="1"/>
  <c r="JA47" i="1" s="1"/>
  <c r="JA48" i="1" s="1"/>
  <c r="JA49" i="1" s="1"/>
  <c r="JA50" i="1" s="1"/>
  <c r="JA51" i="1" s="1"/>
  <c r="JA52" i="1" s="1"/>
  <c r="JA53" i="1" s="1"/>
  <c r="JA54" i="1" s="1"/>
  <c r="JA55" i="1" s="1"/>
  <c r="JA56" i="1" s="1"/>
  <c r="JA57" i="1" s="1"/>
  <c r="JA58" i="1" s="1"/>
  <c r="JA59" i="1" s="1"/>
  <c r="JA60" i="1" s="1"/>
  <c r="JA61" i="1" s="1"/>
  <c r="JA62" i="1" s="1"/>
  <c r="JA63" i="1" s="1"/>
  <c r="JA64" i="1" s="1"/>
  <c r="JA65" i="1" s="1"/>
  <c r="JA66" i="1" s="1"/>
  <c r="JA67" i="1" s="1"/>
  <c r="JA68" i="1" s="1"/>
  <c r="JA69" i="1" s="1"/>
  <c r="JA70" i="1" s="1"/>
  <c r="JA71" i="1" s="1"/>
  <c r="JB71" i="1" s="1"/>
  <c r="AD11" i="5"/>
  <c r="D34" i="18" s="1"/>
  <c r="FN22" i="1"/>
  <c r="FN23" i="1" s="1"/>
  <c r="FN24" i="1" s="1"/>
  <c r="FN25" i="1" s="1"/>
  <c r="FN26" i="1" s="1"/>
  <c r="FN27" i="1" s="1"/>
  <c r="FN28" i="1" s="1"/>
  <c r="FN29" i="1" s="1"/>
  <c r="FN30" i="1" s="1"/>
  <c r="FN31" i="1" s="1"/>
  <c r="FN32" i="1" s="1"/>
  <c r="FN33" i="1" s="1"/>
  <c r="FN34" i="1" s="1"/>
  <c r="FN35" i="1" s="1"/>
  <c r="FN36" i="1" s="1"/>
  <c r="FN37" i="1" s="1"/>
  <c r="H39" i="17"/>
  <c r="O39" i="17" s="1"/>
  <c r="AQ29" i="5"/>
  <c r="H50" i="20" s="1"/>
  <c r="O50" i="20" s="1"/>
  <c r="NN146" i="1"/>
  <c r="H27" i="17"/>
  <c r="O27" i="17" s="1"/>
  <c r="H28" i="17"/>
  <c r="O28" i="17" s="1"/>
  <c r="H16" i="17"/>
  <c r="O16" i="17" s="1"/>
  <c r="H35" i="17"/>
  <c r="O35" i="17" s="1"/>
  <c r="MD218" i="1"/>
  <c r="MD219" i="1" s="1"/>
  <c r="MD220" i="1" s="1"/>
  <c r="MD221" i="1" s="1"/>
  <c r="MD222" i="1" s="1"/>
  <c r="MD223" i="1" s="1"/>
  <c r="MD224" i="1" s="1"/>
  <c r="MD225" i="1" s="1"/>
  <c r="MD226" i="1" s="1"/>
  <c r="MD227" i="1" s="1"/>
  <c r="MD228" i="1" s="1"/>
  <c r="MD229" i="1" s="1"/>
  <c r="MD230" i="1" s="1"/>
  <c r="MD231" i="1" s="1"/>
  <c r="MD232" i="1" s="1"/>
  <c r="MD233" i="1" s="1"/>
  <c r="MD234" i="1" s="1"/>
  <c r="MD235" i="1" s="1"/>
  <c r="MD236" i="1" s="1"/>
  <c r="MD237" i="1" s="1"/>
  <c r="MD238" i="1" s="1"/>
  <c r="MD239" i="1" s="1"/>
  <c r="MD240" i="1" s="1"/>
  <c r="MD241" i="1" s="1"/>
  <c r="MD242" i="1" s="1"/>
  <c r="MD243" i="1" s="1"/>
  <c r="MD244" i="1" s="1"/>
  <c r="MD245" i="1" s="1"/>
  <c r="MD246" i="1" s="1"/>
  <c r="MD247" i="1" s="1"/>
  <c r="MD248" i="1" s="1"/>
  <c r="MD249" i="1" s="1"/>
  <c r="AM46" i="5"/>
  <c r="D43" i="11" s="1"/>
  <c r="H38" i="17"/>
  <c r="O38" i="17" s="1"/>
  <c r="H26" i="17"/>
  <c r="O26" i="17" s="1"/>
  <c r="H25" i="17"/>
  <c r="O25" i="17" s="1"/>
  <c r="H31" i="17"/>
  <c r="O31" i="17" s="1"/>
  <c r="AG11" i="5"/>
  <c r="D37" i="18" s="1"/>
  <c r="KB42" i="1"/>
  <c r="KB43" i="1" s="1"/>
  <c r="KB44" i="1" s="1"/>
  <c r="KB45" i="1" s="1"/>
  <c r="KB46" i="1" s="1"/>
  <c r="KB47" i="1" s="1"/>
  <c r="KB48" i="1" s="1"/>
  <c r="KB49" i="1" s="1"/>
  <c r="KB50" i="1" s="1"/>
  <c r="KB51" i="1" s="1"/>
  <c r="KB52" i="1" s="1"/>
  <c r="KB53" i="1" s="1"/>
  <c r="KB54" i="1" s="1"/>
  <c r="KB55" i="1" s="1"/>
  <c r="KB56" i="1" s="1"/>
  <c r="KB57" i="1" s="1"/>
  <c r="KB58" i="1" s="1"/>
  <c r="KB59" i="1" s="1"/>
  <c r="KB60" i="1" s="1"/>
  <c r="KB61" i="1" s="1"/>
  <c r="KB62" i="1" s="1"/>
  <c r="KB63" i="1" s="1"/>
  <c r="KB64" i="1" s="1"/>
  <c r="KB65" i="1" s="1"/>
  <c r="KB66" i="1" s="1"/>
  <c r="KB67" i="1" s="1"/>
  <c r="KB68" i="1" s="1"/>
  <c r="KB69" i="1" s="1"/>
  <c r="KB70" i="1" s="1"/>
  <c r="KB71" i="1" s="1"/>
  <c r="KC71" i="1" s="1"/>
  <c r="H14" i="17"/>
  <c r="O14" i="17" s="1"/>
  <c r="H20" i="17"/>
  <c r="O20" i="17" s="1"/>
  <c r="H21" i="17"/>
  <c r="O21" i="17" s="1"/>
  <c r="H18" i="17"/>
  <c r="O18" i="17" s="1"/>
  <c r="H37" i="17"/>
  <c r="O37" i="17" s="1"/>
  <c r="H40" i="17"/>
  <c r="O40" i="17" s="1"/>
  <c r="II42" i="1"/>
  <c r="II43" i="1" s="1"/>
  <c r="II44" i="1" s="1"/>
  <c r="II45" i="1" s="1"/>
  <c r="II46" i="1" s="1"/>
  <c r="II47" i="1" s="1"/>
  <c r="II48" i="1" s="1"/>
  <c r="II49" i="1" s="1"/>
  <c r="II50" i="1" s="1"/>
  <c r="II51" i="1" s="1"/>
  <c r="II52" i="1" s="1"/>
  <c r="II53" i="1" s="1"/>
  <c r="II54" i="1" s="1"/>
  <c r="II55" i="1" s="1"/>
  <c r="II56" i="1" s="1"/>
  <c r="II57" i="1" s="1"/>
  <c r="II58" i="1" s="1"/>
  <c r="II59" i="1" s="1"/>
  <c r="II60" i="1" s="1"/>
  <c r="II61" i="1" s="1"/>
  <c r="II62" i="1" s="1"/>
  <c r="II63" i="1" s="1"/>
  <c r="II64" i="1" s="1"/>
  <c r="II65" i="1" s="1"/>
  <c r="II66" i="1" s="1"/>
  <c r="II67" i="1" s="1"/>
  <c r="II68" i="1" s="1"/>
  <c r="II69" i="1" s="1"/>
  <c r="II70" i="1" s="1"/>
  <c r="II71" i="1" s="1"/>
  <c r="IJ71" i="1" s="1"/>
  <c r="AB11" i="5"/>
  <c r="D32" i="18" s="1"/>
  <c r="H29" i="17"/>
  <c r="O29" i="17" s="1"/>
  <c r="O17" i="17"/>
  <c r="H19" i="17"/>
  <c r="O19" i="17" s="1"/>
  <c r="H30" i="17"/>
  <c r="O30" i="17" s="1"/>
  <c r="H41" i="17"/>
  <c r="O41" i="17" s="1"/>
  <c r="H32" i="17"/>
  <c r="O32" i="17" s="1"/>
  <c r="B29" i="17"/>
  <c r="B29" i="16"/>
  <c r="B29" i="13"/>
  <c r="B29" i="15"/>
  <c r="B29" i="14"/>
  <c r="B29" i="12"/>
  <c r="B29" i="11"/>
  <c r="B29" i="8"/>
  <c r="B29" i="21"/>
  <c r="B29" i="20"/>
  <c r="B29" i="19"/>
  <c r="B35" i="17"/>
  <c r="B35" i="15"/>
  <c r="B35" i="12"/>
  <c r="B35" i="11"/>
  <c r="B35" i="8"/>
  <c r="B35" i="16"/>
  <c r="B35" i="14"/>
  <c r="B35" i="13"/>
  <c r="B35" i="21"/>
  <c r="B35" i="20"/>
  <c r="B35" i="19"/>
  <c r="B31" i="17"/>
  <c r="B31" i="12"/>
  <c r="B31" i="11"/>
  <c r="B31" i="8"/>
  <c r="B31" i="16"/>
  <c r="B31" i="15"/>
  <c r="B31" i="14"/>
  <c r="B31" i="13"/>
  <c r="B31" i="21"/>
  <c r="B31" i="20"/>
  <c r="B34" i="17"/>
  <c r="B34" i="15"/>
  <c r="B34" i="12"/>
  <c r="B34" i="11"/>
  <c r="B34" i="16"/>
  <c r="B34" i="14"/>
  <c r="B34" i="13"/>
  <c r="B34" i="8"/>
  <c r="B34" i="21"/>
  <c r="B34" i="20"/>
  <c r="B34" i="19"/>
  <c r="B33" i="17"/>
  <c r="B33" i="16"/>
  <c r="B33" i="15"/>
  <c r="B33" i="13"/>
  <c r="B33" i="14"/>
  <c r="B33" i="12"/>
  <c r="B33" i="11"/>
  <c r="B33" i="8"/>
  <c r="B33" i="21"/>
  <c r="B33" i="20"/>
  <c r="B33" i="19"/>
  <c r="B30" i="17"/>
  <c r="B30" i="12"/>
  <c r="B30" i="11"/>
  <c r="B30" i="16"/>
  <c r="B30" i="15"/>
  <c r="B30" i="14"/>
  <c r="B30" i="13"/>
  <c r="B30" i="8"/>
  <c r="B30" i="21"/>
  <c r="B30" i="20"/>
  <c r="B32" i="17"/>
  <c r="B32" i="16"/>
  <c r="B32" i="15"/>
  <c r="B32" i="13"/>
  <c r="B32" i="8"/>
  <c r="B32" i="14"/>
  <c r="B32" i="12"/>
  <c r="B32" i="11"/>
  <c r="B32" i="21"/>
  <c r="B32" i="20"/>
  <c r="AK11" i="5"/>
  <c r="D41" i="18" s="1"/>
  <c r="LL42" i="1"/>
  <c r="LL43" i="1" s="1"/>
  <c r="LL44" i="1" s="1"/>
  <c r="LL45" i="1" s="1"/>
  <c r="LL46" i="1" s="1"/>
  <c r="LL47" i="1" s="1"/>
  <c r="LL48" i="1" s="1"/>
  <c r="LL49" i="1" s="1"/>
  <c r="LL50" i="1" s="1"/>
  <c r="LL51" i="1" s="1"/>
  <c r="LL52" i="1" s="1"/>
  <c r="LL53" i="1" s="1"/>
  <c r="LL54" i="1" s="1"/>
  <c r="LL55" i="1" s="1"/>
  <c r="LL56" i="1" s="1"/>
  <c r="LL57" i="1" s="1"/>
  <c r="LL58" i="1" s="1"/>
  <c r="LL59" i="1" s="1"/>
  <c r="LL60" i="1" s="1"/>
  <c r="LL61" i="1" s="1"/>
  <c r="LL62" i="1" s="1"/>
  <c r="LL63" i="1" s="1"/>
  <c r="LL64" i="1" s="1"/>
  <c r="LL65" i="1" s="1"/>
  <c r="LL66" i="1" s="1"/>
  <c r="LL67" i="1" s="1"/>
  <c r="LL68" i="1" s="1"/>
  <c r="LL69" i="1" s="1"/>
  <c r="LL70" i="1" s="1"/>
  <c r="LL71" i="1" s="1"/>
  <c r="H15" i="17"/>
  <c r="O15" i="17" s="1"/>
  <c r="MU339" i="1"/>
  <c r="MU356" i="1" s="1"/>
  <c r="G45" i="14" s="1"/>
  <c r="MS356" i="1"/>
  <c r="MC204" i="1"/>
  <c r="MC213" i="1" s="1"/>
  <c r="G43" i="8" s="1"/>
  <c r="MA213" i="1"/>
  <c r="AM41" i="5" s="1"/>
  <c r="F43" i="8" s="1"/>
  <c r="LT204" i="1"/>
  <c r="LT213" i="1" s="1"/>
  <c r="AL42" i="5" s="1"/>
  <c r="G42" i="8" s="1"/>
  <c r="LR213" i="1"/>
  <c r="AL41" i="5" s="1"/>
  <c r="F42" i="8" s="1"/>
  <c r="MC137" i="1"/>
  <c r="MC142" i="1" s="1"/>
  <c r="G43" i="20" s="1"/>
  <c r="MA142" i="1"/>
  <c r="AM27" i="5" s="1"/>
  <c r="F43" i="20" s="1"/>
  <c r="MC104" i="1"/>
  <c r="MC107" i="1" s="1"/>
  <c r="G43" i="19" s="1"/>
  <c r="MA107" i="1"/>
  <c r="AM20" i="5" s="1"/>
  <c r="F43" i="19" s="1"/>
  <c r="OW104" i="1"/>
  <c r="OW107" i="1" s="1"/>
  <c r="G53" i="19" s="1"/>
  <c r="OU107" i="1"/>
  <c r="F53" i="19" s="1"/>
  <c r="MC305" i="1"/>
  <c r="MC320" i="1" s="1"/>
  <c r="MA320" i="1"/>
  <c r="AM62" i="5" s="1"/>
  <c r="MC238" i="1"/>
  <c r="MC249" i="1" s="1"/>
  <c r="G43" i="11" s="1"/>
  <c r="MA249" i="1"/>
  <c r="AM48" i="5" s="1"/>
  <c r="F43" i="11" s="1"/>
  <c r="LT238" i="1"/>
  <c r="LT249" i="1" s="1"/>
  <c r="AL49" i="5" s="1"/>
  <c r="G42" i="11" s="1"/>
  <c r="LR249" i="1"/>
  <c r="AL48" i="5" s="1"/>
  <c r="F42" i="11" s="1"/>
  <c r="MC372" i="1"/>
  <c r="MC391" i="1" s="1"/>
  <c r="G43" i="15" s="1"/>
  <c r="MA391" i="1"/>
  <c r="AM76" i="5" s="1"/>
  <c r="F43" i="15" s="1"/>
  <c r="ON372" i="1"/>
  <c r="ON391" i="1" s="1"/>
  <c r="G51" i="15" s="1"/>
  <c r="OL391" i="1"/>
  <c r="F51" i="15" s="1"/>
  <c r="MC272" i="1"/>
  <c r="MC285" i="1" s="1"/>
  <c r="G43" i="12" s="1"/>
  <c r="MA285" i="1"/>
  <c r="AM55" i="5" s="1"/>
  <c r="F43" i="12" s="1"/>
  <c r="MS285" i="1"/>
  <c r="AO55" i="5" s="1"/>
  <c r="F45" i="12" s="1"/>
  <c r="MU272" i="1"/>
  <c r="MU285" i="1" s="1"/>
  <c r="G45" i="12" s="1"/>
  <c r="MC171" i="1"/>
  <c r="OW171" i="1"/>
  <c r="MC70" i="1"/>
  <c r="MC71" i="1" s="1"/>
  <c r="G43" i="18" s="1"/>
  <c r="MA71" i="1"/>
  <c r="OW70" i="1"/>
  <c r="OW71" i="1" s="1"/>
  <c r="OU71" i="1"/>
  <c r="OW339" i="1"/>
  <c r="OW356" i="1" s="1"/>
  <c r="OU356" i="1"/>
  <c r="ON339" i="1"/>
  <c r="ON356" i="1" s="1"/>
  <c r="OL356" i="1"/>
  <c r="OW204" i="1"/>
  <c r="OW213" i="1" s="1"/>
  <c r="OU213" i="1"/>
  <c r="ML204" i="1"/>
  <c r="ML213" i="1" s="1"/>
  <c r="G44" i="8" s="1"/>
  <c r="MJ213" i="1"/>
  <c r="AN41" i="5" s="1"/>
  <c r="F44" i="8" s="1"/>
  <c r="LT137" i="1"/>
  <c r="ND137" i="1"/>
  <c r="ND142" i="1" s="1"/>
  <c r="G46" i="20" s="1"/>
  <c r="NB142" i="1"/>
  <c r="AP27" i="5" s="1"/>
  <c r="F46" i="20" s="1"/>
  <c r="ON104" i="1"/>
  <c r="ON107" i="1" s="1"/>
  <c r="G52" i="19" s="1"/>
  <c r="OL107" i="1"/>
  <c r="F52" i="19" s="1"/>
  <c r="OE104" i="1"/>
  <c r="OE107" i="1" s="1"/>
  <c r="G51" i="19" s="1"/>
  <c r="OC107" i="1"/>
  <c r="F51" i="19" s="1"/>
  <c r="OW305" i="1"/>
  <c r="OW320" i="1" s="1"/>
  <c r="OU320" i="1"/>
  <c r="MU305" i="1"/>
  <c r="MU320" i="1" s="1"/>
  <c r="MS320" i="1"/>
  <c r="AO62" i="5" s="1"/>
  <c r="OW238" i="1"/>
  <c r="OW249" i="1" s="1"/>
  <c r="G51" i="11" s="1"/>
  <c r="OU249" i="1"/>
  <c r="F51" i="11" s="1"/>
  <c r="ML238" i="1"/>
  <c r="ML249" i="1" s="1"/>
  <c r="G44" i="11" s="1"/>
  <c r="MJ249" i="1"/>
  <c r="AN48" i="5" s="1"/>
  <c r="F44" i="11" s="1"/>
  <c r="LT372" i="1"/>
  <c r="LT391" i="1" s="1"/>
  <c r="AL77" i="5" s="1"/>
  <c r="G42" i="15" s="1"/>
  <c r="LR391" i="1"/>
  <c r="AL76" i="5" s="1"/>
  <c r="F42" i="15" s="1"/>
  <c r="OE372" i="1"/>
  <c r="OE391" i="1" s="1"/>
  <c r="G50" i="15" s="1"/>
  <c r="OC391" i="1"/>
  <c r="F50" i="15" s="1"/>
  <c r="OW272" i="1"/>
  <c r="OW285" i="1" s="1"/>
  <c r="OU285" i="1"/>
  <c r="ON272" i="1"/>
  <c r="ON285" i="1" s="1"/>
  <c r="OL285" i="1"/>
  <c r="ON171" i="1"/>
  <c r="OE171" i="1"/>
  <c r="ON70" i="1"/>
  <c r="ON71" i="1" s="1"/>
  <c r="OL71" i="1"/>
  <c r="OE70" i="1"/>
  <c r="OE71" i="1" s="1"/>
  <c r="OC71" i="1"/>
  <c r="OE137" i="1"/>
  <c r="OE142" i="1" s="1"/>
  <c r="G51" i="20" s="1"/>
  <c r="OC142" i="1"/>
  <c r="F51" i="20" s="1"/>
  <c r="OE339" i="1"/>
  <c r="OE356" i="1" s="1"/>
  <c r="OC356" i="1"/>
  <c r="LT339" i="1"/>
  <c r="LT356" i="1" s="1"/>
  <c r="LR356" i="1"/>
  <c r="MS213" i="1"/>
  <c r="AO41" i="5" s="1"/>
  <c r="F45" i="8" s="1"/>
  <c r="MU204" i="1"/>
  <c r="MU213" i="1" s="1"/>
  <c r="G45" i="8" s="1"/>
  <c r="ON204" i="1"/>
  <c r="ON213" i="1" s="1"/>
  <c r="OL213" i="1"/>
  <c r="ML137" i="1"/>
  <c r="ML142" i="1" s="1"/>
  <c r="G44" i="20" s="1"/>
  <c r="MJ142" i="1"/>
  <c r="AN27" i="5" s="1"/>
  <c r="F44" i="20" s="1"/>
  <c r="ON137" i="1"/>
  <c r="ON142" i="1" s="1"/>
  <c r="G52" i="20" s="1"/>
  <c r="OL142" i="1"/>
  <c r="F52" i="20" s="1"/>
  <c r="ND104" i="1"/>
  <c r="ND107" i="1" s="1"/>
  <c r="G46" i="19" s="1"/>
  <c r="NB107" i="1"/>
  <c r="AP20" i="5" s="1"/>
  <c r="F46" i="19" s="1"/>
  <c r="LT104" i="1"/>
  <c r="LT107" i="1" s="1"/>
  <c r="AL21" i="5" s="1"/>
  <c r="G42" i="19" s="1"/>
  <c r="LR107" i="1"/>
  <c r="AL20" i="5" s="1"/>
  <c r="F42" i="19" s="1"/>
  <c r="ON305" i="1"/>
  <c r="ON320" i="1" s="1"/>
  <c r="OL320" i="1"/>
  <c r="LT305" i="1"/>
  <c r="LT320" i="1" s="1"/>
  <c r="AL63" i="5" s="1"/>
  <c r="LR320" i="1"/>
  <c r="AL62" i="5" s="1"/>
  <c r="MU238" i="1"/>
  <c r="MU249" i="1" s="1"/>
  <c r="G45" i="11" s="1"/>
  <c r="MS249" i="1"/>
  <c r="AO48" i="5" s="1"/>
  <c r="F45" i="11" s="1"/>
  <c r="ON238" i="1"/>
  <c r="ON249" i="1" s="1"/>
  <c r="G50" i="11" s="1"/>
  <c r="OL249" i="1"/>
  <c r="F50" i="11" s="1"/>
  <c r="ML372" i="1"/>
  <c r="ML391" i="1" s="1"/>
  <c r="G44" i="15" s="1"/>
  <c r="MJ391" i="1"/>
  <c r="AN76" i="5" s="1"/>
  <c r="F44" i="15" s="1"/>
  <c r="ND372" i="1"/>
  <c r="ND391" i="1" s="1"/>
  <c r="G46" i="15" s="1"/>
  <c r="NB391" i="1"/>
  <c r="AP76" i="5" s="1"/>
  <c r="F46" i="15" s="1"/>
  <c r="OE272" i="1"/>
  <c r="OE285" i="1" s="1"/>
  <c r="OC285" i="1"/>
  <c r="AS55" i="5" s="1"/>
  <c r="F49" i="12" s="1"/>
  <c r="LR285" i="1"/>
  <c r="AL55" i="5" s="1"/>
  <c r="F42" i="12" s="1"/>
  <c r="LT272" i="1"/>
  <c r="LT285" i="1" s="1"/>
  <c r="AL56" i="5" s="1"/>
  <c r="G42" i="12" s="1"/>
  <c r="LT171" i="1"/>
  <c r="LT178" i="1" s="1"/>
  <c r="AL35" i="5" s="1"/>
  <c r="G42" i="21" s="1"/>
  <c r="LR178" i="1"/>
  <c r="AL34" i="5" s="1"/>
  <c r="F42" i="21" s="1"/>
  <c r="ND171" i="1"/>
  <c r="LT70" i="1"/>
  <c r="LT71" i="1" s="1"/>
  <c r="AL14" i="5" s="1"/>
  <c r="G42" i="18" s="1"/>
  <c r="LR71" i="1"/>
  <c r="ND70" i="1"/>
  <c r="ND71" i="1" s="1"/>
  <c r="G46" i="18" s="1"/>
  <c r="NB71" i="1"/>
  <c r="MC339" i="1"/>
  <c r="MC356" i="1" s="1"/>
  <c r="G43" i="14" s="1"/>
  <c r="MA356" i="1"/>
  <c r="ND305" i="1"/>
  <c r="ND320" i="1" s="1"/>
  <c r="NB320" i="1"/>
  <c r="AP62" i="5" s="1"/>
  <c r="ND339" i="1"/>
  <c r="ND356" i="1" s="1"/>
  <c r="G46" i="14" s="1"/>
  <c r="NB356" i="1"/>
  <c r="MJ356" i="1"/>
  <c r="ML339" i="1"/>
  <c r="ML356" i="1" s="1"/>
  <c r="G44" i="14" s="1"/>
  <c r="OE204" i="1"/>
  <c r="OE213" i="1" s="1"/>
  <c r="OC213" i="1"/>
  <c r="ND204" i="1"/>
  <c r="ND213" i="1" s="1"/>
  <c r="G46" i="8" s="1"/>
  <c r="NB213" i="1"/>
  <c r="AP41" i="5" s="1"/>
  <c r="F46" i="8" s="1"/>
  <c r="OW137" i="1"/>
  <c r="OW142" i="1" s="1"/>
  <c r="G53" i="20" s="1"/>
  <c r="OU142" i="1"/>
  <c r="F53" i="20" s="1"/>
  <c r="MU137" i="1"/>
  <c r="MU142" i="1" s="1"/>
  <c r="G45" i="20" s="1"/>
  <c r="MS142" i="1"/>
  <c r="AO27" i="5" s="1"/>
  <c r="F45" i="20" s="1"/>
  <c r="MU104" i="1"/>
  <c r="MU107" i="1" s="1"/>
  <c r="G45" i="19" s="1"/>
  <c r="MS107" i="1"/>
  <c r="AO20" i="5" s="1"/>
  <c r="F45" i="19" s="1"/>
  <c r="ML104" i="1"/>
  <c r="ML107" i="1" s="1"/>
  <c r="G44" i="19" s="1"/>
  <c r="MJ107" i="1"/>
  <c r="AN20" i="5" s="1"/>
  <c r="F44" i="19" s="1"/>
  <c r="OE305" i="1"/>
  <c r="OE320" i="1" s="1"/>
  <c r="OC320" i="1"/>
  <c r="AS62" i="5" s="1"/>
  <c r="MJ320" i="1"/>
  <c r="AN62" i="5" s="1"/>
  <c r="ML305" i="1"/>
  <c r="ML320" i="1" s="1"/>
  <c r="OE238" i="1"/>
  <c r="OE249" i="1" s="1"/>
  <c r="G49" i="11" s="1"/>
  <c r="OC249" i="1"/>
  <c r="AS48" i="5" s="1"/>
  <c r="F49" i="11" s="1"/>
  <c r="ND238" i="1"/>
  <c r="ND249" i="1" s="1"/>
  <c r="G46" i="11" s="1"/>
  <c r="NB249" i="1"/>
  <c r="AP48" i="5" s="1"/>
  <c r="F46" i="11" s="1"/>
  <c r="OW372" i="1"/>
  <c r="OW391" i="1" s="1"/>
  <c r="G52" i="15" s="1"/>
  <c r="OU391" i="1"/>
  <c r="F52" i="15" s="1"/>
  <c r="MU372" i="1"/>
  <c r="MU391" i="1" s="1"/>
  <c r="G45" i="15" s="1"/>
  <c r="MS391" i="1"/>
  <c r="AO76" i="5" s="1"/>
  <c r="F45" i="15" s="1"/>
  <c r="NB285" i="1"/>
  <c r="AP55" i="5" s="1"/>
  <c r="F46" i="12" s="1"/>
  <c r="ND272" i="1"/>
  <c r="ND285" i="1" s="1"/>
  <c r="G46" i="12" s="1"/>
  <c r="ML272" i="1"/>
  <c r="ML285" i="1" s="1"/>
  <c r="G44" i="12" s="1"/>
  <c r="MJ285" i="1"/>
  <c r="AN55" i="5" s="1"/>
  <c r="F44" i="12" s="1"/>
  <c r="ML171" i="1"/>
  <c r="MU171" i="1"/>
  <c r="ML70" i="1"/>
  <c r="ML71" i="1" s="1"/>
  <c r="G44" i="18" s="1"/>
  <c r="MJ71" i="1"/>
  <c r="MU70" i="1"/>
  <c r="MU71" i="1" s="1"/>
  <c r="G45" i="18" s="1"/>
  <c r="MS71" i="1"/>
  <c r="AW29" i="5"/>
  <c r="H55" i="20" s="1"/>
  <c r="O55" i="20" s="1"/>
  <c r="PP146" i="1"/>
  <c r="AX29" i="5"/>
  <c r="H56" i="20" s="1"/>
  <c r="O56" i="20" s="1"/>
  <c r="PY146" i="1"/>
  <c r="AS29" i="5"/>
  <c r="H51" i="20" s="1"/>
  <c r="O51" i="20" s="1"/>
  <c r="AT29" i="5"/>
  <c r="H52" i="20" s="1"/>
  <c r="O52" i="20" s="1"/>
  <c r="AY29" i="5"/>
  <c r="H57" i="20" s="1"/>
  <c r="O57" i="20" s="1"/>
  <c r="QH146" i="1"/>
  <c r="AU29" i="5"/>
  <c r="H53" i="20" s="1"/>
  <c r="O53" i="20" s="1"/>
  <c r="AV29" i="5"/>
  <c r="H54" i="20" s="1"/>
  <c r="O54" i="20" s="1"/>
  <c r="PG146" i="1"/>
  <c r="AZ29" i="5"/>
  <c r="H58" i="20" s="1"/>
  <c r="O58" i="20" s="1"/>
  <c r="QQ146" i="1"/>
  <c r="AE11" i="5"/>
  <c r="D35" i="18" s="1"/>
  <c r="JJ42" i="1"/>
  <c r="JJ43" i="1" s="1"/>
  <c r="JJ44" i="1" s="1"/>
  <c r="JJ45" i="1" s="1"/>
  <c r="JJ46" i="1" s="1"/>
  <c r="JJ47" i="1" s="1"/>
  <c r="JJ48" i="1" s="1"/>
  <c r="JJ49" i="1" s="1"/>
  <c r="JJ50" i="1" s="1"/>
  <c r="JJ51" i="1" s="1"/>
  <c r="JJ52" i="1" s="1"/>
  <c r="JJ53" i="1" s="1"/>
  <c r="JJ54" i="1" s="1"/>
  <c r="JJ55" i="1" s="1"/>
  <c r="JJ56" i="1" s="1"/>
  <c r="JJ57" i="1" s="1"/>
  <c r="JJ58" i="1" s="1"/>
  <c r="JJ59" i="1" s="1"/>
  <c r="JJ60" i="1" s="1"/>
  <c r="JJ61" i="1" s="1"/>
  <c r="JJ62" i="1" s="1"/>
  <c r="JJ63" i="1" s="1"/>
  <c r="JJ64" i="1" s="1"/>
  <c r="JJ65" i="1" s="1"/>
  <c r="JJ66" i="1" s="1"/>
  <c r="JJ67" i="1" s="1"/>
  <c r="JJ68" i="1" s="1"/>
  <c r="JJ69" i="1" s="1"/>
  <c r="JJ70" i="1" s="1"/>
  <c r="JJ71" i="1" s="1"/>
  <c r="JK71" i="1" s="1"/>
  <c r="AF8" i="5"/>
  <c r="JS41" i="1"/>
  <c r="HP42" i="1"/>
  <c r="HP43" i="1" s="1"/>
  <c r="HP44" i="1" s="1"/>
  <c r="HP45" i="1" s="1"/>
  <c r="HP46" i="1" s="1"/>
  <c r="HP47" i="1" s="1"/>
  <c r="HP48" i="1" s="1"/>
  <c r="HP49" i="1" s="1"/>
  <c r="HP50" i="1" s="1"/>
  <c r="HP51" i="1" s="1"/>
  <c r="HP52" i="1" s="1"/>
  <c r="HP53" i="1" s="1"/>
  <c r="HP54" i="1" s="1"/>
  <c r="HP55" i="1" s="1"/>
  <c r="HP56" i="1" s="1"/>
  <c r="HP57" i="1" s="1"/>
  <c r="HP58" i="1" s="1"/>
  <c r="HP59" i="1" s="1"/>
  <c r="HP60" i="1" s="1"/>
  <c r="HP61" i="1" s="1"/>
  <c r="HP62" i="1" s="1"/>
  <c r="HP63" i="1" s="1"/>
  <c r="HP64" i="1" s="1"/>
  <c r="HP65" i="1" s="1"/>
  <c r="HP66" i="1" s="1"/>
  <c r="HP67" i="1" s="1"/>
  <c r="HP68" i="1" s="1"/>
  <c r="HP69" i="1" s="1"/>
  <c r="HP70" i="1" s="1"/>
  <c r="HP71" i="1" s="1"/>
  <c r="Z11" i="5"/>
  <c r="D30" i="18" s="1"/>
  <c r="HZ42" i="1"/>
  <c r="HZ43" i="1" s="1"/>
  <c r="HZ44" i="1" s="1"/>
  <c r="HZ45" i="1" s="1"/>
  <c r="HZ46" i="1" s="1"/>
  <c r="HZ47" i="1" s="1"/>
  <c r="HZ48" i="1" s="1"/>
  <c r="HZ49" i="1" s="1"/>
  <c r="HZ50" i="1" s="1"/>
  <c r="HZ51" i="1" s="1"/>
  <c r="HZ52" i="1" s="1"/>
  <c r="HZ53" i="1" s="1"/>
  <c r="HZ54" i="1" s="1"/>
  <c r="HZ55" i="1" s="1"/>
  <c r="HZ56" i="1" s="1"/>
  <c r="HZ57" i="1" s="1"/>
  <c r="HZ58" i="1" s="1"/>
  <c r="HZ59" i="1" s="1"/>
  <c r="HZ60" i="1" s="1"/>
  <c r="HZ61" i="1" s="1"/>
  <c r="HZ62" i="1" s="1"/>
  <c r="HZ63" i="1" s="1"/>
  <c r="HZ64" i="1" s="1"/>
  <c r="HZ65" i="1" s="1"/>
  <c r="HZ66" i="1" s="1"/>
  <c r="HZ67" i="1" s="1"/>
  <c r="HZ68" i="1" s="1"/>
  <c r="HZ69" i="1" s="1"/>
  <c r="HZ70" i="1" s="1"/>
  <c r="HZ71" i="1" s="1"/>
  <c r="IA71" i="1" s="1"/>
  <c r="AA11" i="5"/>
  <c r="D31" i="18" s="1"/>
  <c r="Y11" i="5"/>
  <c r="D29" i="18" s="1"/>
  <c r="HG42" i="1"/>
  <c r="HG43" i="1" s="1"/>
  <c r="HG44" i="1" s="1"/>
  <c r="HG45" i="1" s="1"/>
  <c r="HG46" i="1" s="1"/>
  <c r="HG47" i="1" s="1"/>
  <c r="HG48" i="1" s="1"/>
  <c r="HG49" i="1" s="1"/>
  <c r="HG50" i="1" s="1"/>
  <c r="HG51" i="1" s="1"/>
  <c r="HG52" i="1" s="1"/>
  <c r="HG53" i="1" s="1"/>
  <c r="HG54" i="1" s="1"/>
  <c r="HG55" i="1" s="1"/>
  <c r="HG56" i="1" s="1"/>
  <c r="HG57" i="1" s="1"/>
  <c r="HG58" i="1" s="1"/>
  <c r="HG59" i="1" s="1"/>
  <c r="HG60" i="1" s="1"/>
  <c r="HG61" i="1" s="1"/>
  <c r="HG62" i="1" s="1"/>
  <c r="HG63" i="1" s="1"/>
  <c r="HG64" i="1" s="1"/>
  <c r="HG65" i="1" s="1"/>
  <c r="HG66" i="1" s="1"/>
  <c r="HG67" i="1" s="1"/>
  <c r="HG68" i="1" s="1"/>
  <c r="HG69" i="1" s="1"/>
  <c r="HG70" i="1" s="1"/>
  <c r="HG71" i="1" s="1"/>
  <c r="W11" i="5"/>
  <c r="D27" i="18" s="1"/>
  <c r="GO42" i="1"/>
  <c r="GO43" i="1" s="1"/>
  <c r="GO44" i="1" s="1"/>
  <c r="GO45" i="1" s="1"/>
  <c r="GO46" i="1" s="1"/>
  <c r="GO47" i="1" s="1"/>
  <c r="GO48" i="1" s="1"/>
  <c r="GO49" i="1" s="1"/>
  <c r="GO50" i="1" s="1"/>
  <c r="GO51" i="1" s="1"/>
  <c r="GO52" i="1" s="1"/>
  <c r="GO53" i="1" s="1"/>
  <c r="GO54" i="1" s="1"/>
  <c r="GO55" i="1" s="1"/>
  <c r="GO56" i="1" s="1"/>
  <c r="GO57" i="1" s="1"/>
  <c r="GO58" i="1" s="1"/>
  <c r="GO59" i="1" s="1"/>
  <c r="GO60" i="1" s="1"/>
  <c r="GO61" i="1" s="1"/>
  <c r="GO62" i="1" s="1"/>
  <c r="GO63" i="1" s="1"/>
  <c r="GO64" i="1" s="1"/>
  <c r="GO65" i="1" s="1"/>
  <c r="GO66" i="1" s="1"/>
  <c r="GO67" i="1" s="1"/>
  <c r="GO68" i="1" s="1"/>
  <c r="GO69" i="1" s="1"/>
  <c r="GO70" i="1" s="1"/>
  <c r="GO71" i="1" s="1"/>
  <c r="GP71" i="1" s="1"/>
  <c r="EV42" i="1"/>
  <c r="EV43" i="1" s="1"/>
  <c r="EV44" i="1" s="1"/>
  <c r="EV45" i="1" s="1"/>
  <c r="EV46" i="1" s="1"/>
  <c r="EV47" i="1" s="1"/>
  <c r="EV48" i="1" s="1"/>
  <c r="EV49" i="1" s="1"/>
  <c r="EV50" i="1" s="1"/>
  <c r="EV51" i="1" s="1"/>
  <c r="EV52" i="1" s="1"/>
  <c r="EV53" i="1" s="1"/>
  <c r="EV54" i="1" s="1"/>
  <c r="EV55" i="1" s="1"/>
  <c r="EV56" i="1" s="1"/>
  <c r="EV57" i="1" s="1"/>
  <c r="EV58" i="1" s="1"/>
  <c r="EV59" i="1" s="1"/>
  <c r="EV60" i="1" s="1"/>
  <c r="EV61" i="1" s="1"/>
  <c r="EV62" i="1" s="1"/>
  <c r="EV63" i="1" s="1"/>
  <c r="EV64" i="1" s="1"/>
  <c r="EV65" i="1" s="1"/>
  <c r="EV66" i="1" s="1"/>
  <c r="EV67" i="1" s="1"/>
  <c r="EV68" i="1" s="1"/>
  <c r="EV69" i="1" s="1"/>
  <c r="EV70" i="1" s="1"/>
  <c r="EV71" i="1" s="1"/>
  <c r="R11" i="5"/>
  <c r="D20" i="18" s="1"/>
  <c r="O11" i="5"/>
  <c r="D17" i="18" s="1"/>
  <c r="DU42" i="1"/>
  <c r="DU43" i="1" s="1"/>
  <c r="DU44" i="1" s="1"/>
  <c r="DU45" i="1" s="1"/>
  <c r="DU46" i="1" s="1"/>
  <c r="DU47" i="1" s="1"/>
  <c r="DU48" i="1" s="1"/>
  <c r="DU49" i="1" s="1"/>
  <c r="DU50" i="1" s="1"/>
  <c r="DU51" i="1" s="1"/>
  <c r="DU52" i="1" s="1"/>
  <c r="DU53" i="1" s="1"/>
  <c r="DU54" i="1" s="1"/>
  <c r="DU55" i="1" s="1"/>
  <c r="DU56" i="1" s="1"/>
  <c r="DU57" i="1" s="1"/>
  <c r="DU58" i="1" s="1"/>
  <c r="DU59" i="1" s="1"/>
  <c r="DU60" i="1" s="1"/>
  <c r="DU61" i="1" s="1"/>
  <c r="DU62" i="1" s="1"/>
  <c r="DU63" i="1" s="1"/>
  <c r="DU64" i="1" s="1"/>
  <c r="DU65" i="1" s="1"/>
  <c r="DU66" i="1" s="1"/>
  <c r="DU67" i="1" s="1"/>
  <c r="DU68" i="1" s="1"/>
  <c r="DU69" i="1" s="1"/>
  <c r="DU70" i="1" s="1"/>
  <c r="DU71" i="1" s="1"/>
  <c r="X11" i="5"/>
  <c r="D28" i="18" s="1"/>
  <c r="GX42" i="1"/>
  <c r="GX43" i="1" s="1"/>
  <c r="GX44" i="1" s="1"/>
  <c r="GX45" i="1" s="1"/>
  <c r="GX46" i="1" s="1"/>
  <c r="GX47" i="1" s="1"/>
  <c r="GX48" i="1" s="1"/>
  <c r="GX49" i="1" s="1"/>
  <c r="GX50" i="1" s="1"/>
  <c r="GX51" i="1" s="1"/>
  <c r="GX52" i="1" s="1"/>
  <c r="GX53" i="1" s="1"/>
  <c r="GX54" i="1" s="1"/>
  <c r="GX55" i="1" s="1"/>
  <c r="GX56" i="1" s="1"/>
  <c r="GX57" i="1" s="1"/>
  <c r="GX58" i="1" s="1"/>
  <c r="GX59" i="1" s="1"/>
  <c r="GX60" i="1" s="1"/>
  <c r="GX61" i="1" s="1"/>
  <c r="GX62" i="1" s="1"/>
  <c r="GX63" i="1" s="1"/>
  <c r="GX64" i="1" s="1"/>
  <c r="GX65" i="1" s="1"/>
  <c r="GX66" i="1" s="1"/>
  <c r="GX67" i="1" s="1"/>
  <c r="GX68" i="1" s="1"/>
  <c r="GX69" i="1" s="1"/>
  <c r="GX70" i="1" s="1"/>
  <c r="GX71" i="1" s="1"/>
  <c r="GF42" i="1"/>
  <c r="GF43" i="1" s="1"/>
  <c r="GF44" i="1" s="1"/>
  <c r="GF45" i="1" s="1"/>
  <c r="GF46" i="1" s="1"/>
  <c r="GF47" i="1" s="1"/>
  <c r="GF48" i="1" s="1"/>
  <c r="GF49" i="1" s="1"/>
  <c r="GF50" i="1" s="1"/>
  <c r="GF51" i="1" s="1"/>
  <c r="GF52" i="1" s="1"/>
  <c r="GF53" i="1" s="1"/>
  <c r="GF54" i="1" s="1"/>
  <c r="GF55" i="1" s="1"/>
  <c r="GF56" i="1" s="1"/>
  <c r="GF57" i="1" s="1"/>
  <c r="GF58" i="1" s="1"/>
  <c r="GF59" i="1" s="1"/>
  <c r="GF60" i="1" s="1"/>
  <c r="GF61" i="1" s="1"/>
  <c r="GF62" i="1" s="1"/>
  <c r="GF63" i="1" s="1"/>
  <c r="GF64" i="1" s="1"/>
  <c r="GF65" i="1" s="1"/>
  <c r="GF66" i="1" s="1"/>
  <c r="GF67" i="1" s="1"/>
  <c r="GF68" i="1" s="1"/>
  <c r="GF69" i="1" s="1"/>
  <c r="GF70" i="1" s="1"/>
  <c r="GF71" i="1" s="1"/>
  <c r="V11" i="5"/>
  <c r="D26" i="18" s="1"/>
  <c r="S11" i="5"/>
  <c r="D21" i="18" s="1"/>
  <c r="FE42" i="1"/>
  <c r="FE43" i="1" s="1"/>
  <c r="FE44" i="1" s="1"/>
  <c r="FE45" i="1" s="1"/>
  <c r="FE46" i="1" s="1"/>
  <c r="FE47" i="1" s="1"/>
  <c r="FE48" i="1" s="1"/>
  <c r="FE49" i="1" s="1"/>
  <c r="FE50" i="1" s="1"/>
  <c r="FE51" i="1" s="1"/>
  <c r="FE52" i="1" s="1"/>
  <c r="FE53" i="1" s="1"/>
  <c r="FE54" i="1" s="1"/>
  <c r="FE55" i="1" s="1"/>
  <c r="FE56" i="1" s="1"/>
  <c r="FE57" i="1" s="1"/>
  <c r="FE58" i="1" s="1"/>
  <c r="FE59" i="1" s="1"/>
  <c r="FE60" i="1" s="1"/>
  <c r="FE61" i="1" s="1"/>
  <c r="FE62" i="1" s="1"/>
  <c r="FE63" i="1" s="1"/>
  <c r="FE64" i="1" s="1"/>
  <c r="FE65" i="1" s="1"/>
  <c r="FE66" i="1" s="1"/>
  <c r="FE67" i="1" s="1"/>
  <c r="FE68" i="1" s="1"/>
  <c r="FE69" i="1" s="1"/>
  <c r="FE70" i="1" s="1"/>
  <c r="FE71" i="1" s="1"/>
  <c r="Q11" i="5"/>
  <c r="D19" i="18" s="1"/>
  <c r="EM42" i="1"/>
  <c r="EM43" i="1" s="1"/>
  <c r="EM44" i="1" s="1"/>
  <c r="EM45" i="1" s="1"/>
  <c r="EM46" i="1" s="1"/>
  <c r="EM47" i="1" s="1"/>
  <c r="EM48" i="1" s="1"/>
  <c r="EM49" i="1" s="1"/>
  <c r="EM50" i="1" s="1"/>
  <c r="EM51" i="1" s="1"/>
  <c r="EM52" i="1" s="1"/>
  <c r="EM53" i="1" s="1"/>
  <c r="EM54" i="1" s="1"/>
  <c r="EM55" i="1" s="1"/>
  <c r="EM56" i="1" s="1"/>
  <c r="EM57" i="1" s="1"/>
  <c r="EM58" i="1" s="1"/>
  <c r="EM59" i="1" s="1"/>
  <c r="EM60" i="1" s="1"/>
  <c r="EM61" i="1" s="1"/>
  <c r="EM62" i="1" s="1"/>
  <c r="EM63" i="1" s="1"/>
  <c r="EM64" i="1" s="1"/>
  <c r="EM65" i="1" s="1"/>
  <c r="EM66" i="1" s="1"/>
  <c r="EM67" i="1" s="1"/>
  <c r="EM68" i="1" s="1"/>
  <c r="EM69" i="1" s="1"/>
  <c r="EM70" i="1" s="1"/>
  <c r="EM71" i="1" s="1"/>
  <c r="N11" i="5"/>
  <c r="D16" i="18" s="1"/>
  <c r="DL42" i="1"/>
  <c r="DL43" i="1" s="1"/>
  <c r="DL44" i="1" s="1"/>
  <c r="DL45" i="1" s="1"/>
  <c r="DL46" i="1" s="1"/>
  <c r="DL47" i="1" s="1"/>
  <c r="DL48" i="1" s="1"/>
  <c r="DL49" i="1" s="1"/>
  <c r="DL50" i="1" s="1"/>
  <c r="DL51" i="1" s="1"/>
  <c r="DL52" i="1" s="1"/>
  <c r="DL53" i="1" s="1"/>
  <c r="DL54" i="1" s="1"/>
  <c r="DL55" i="1" s="1"/>
  <c r="DL56" i="1" s="1"/>
  <c r="DL57" i="1" s="1"/>
  <c r="DL58" i="1" s="1"/>
  <c r="DL59" i="1" s="1"/>
  <c r="DL60" i="1" s="1"/>
  <c r="DL61" i="1" s="1"/>
  <c r="DL62" i="1" s="1"/>
  <c r="DL63" i="1" s="1"/>
  <c r="DL64" i="1" s="1"/>
  <c r="DL65" i="1" s="1"/>
  <c r="DL66" i="1" s="1"/>
  <c r="DL67" i="1" s="1"/>
  <c r="DL68" i="1" s="1"/>
  <c r="DL69" i="1" s="1"/>
  <c r="DL70" i="1" s="1"/>
  <c r="DL71" i="1" s="1"/>
  <c r="DL75" i="1" s="1"/>
  <c r="U11" i="5"/>
  <c r="D25" i="18" s="1"/>
  <c r="FW42" i="1"/>
  <c r="FW43" i="1" s="1"/>
  <c r="FW44" i="1" s="1"/>
  <c r="FW45" i="1" s="1"/>
  <c r="FW46" i="1" s="1"/>
  <c r="FW47" i="1" s="1"/>
  <c r="FW48" i="1" s="1"/>
  <c r="FW49" i="1" s="1"/>
  <c r="FW50" i="1" s="1"/>
  <c r="FW51" i="1" s="1"/>
  <c r="FW52" i="1" s="1"/>
  <c r="FW53" i="1" s="1"/>
  <c r="FW54" i="1" s="1"/>
  <c r="FW55" i="1" s="1"/>
  <c r="FW56" i="1" s="1"/>
  <c r="FW57" i="1" s="1"/>
  <c r="FW58" i="1" s="1"/>
  <c r="FW59" i="1" s="1"/>
  <c r="FW60" i="1" s="1"/>
  <c r="FW61" i="1" s="1"/>
  <c r="FW62" i="1" s="1"/>
  <c r="FW63" i="1" s="1"/>
  <c r="FW64" i="1" s="1"/>
  <c r="FW65" i="1" s="1"/>
  <c r="FW66" i="1" s="1"/>
  <c r="FW67" i="1" s="1"/>
  <c r="FW68" i="1" s="1"/>
  <c r="FW69" i="1" s="1"/>
  <c r="FW70" i="1" s="1"/>
  <c r="FW71" i="1" s="1"/>
  <c r="FX71" i="1" s="1"/>
  <c r="P11" i="5"/>
  <c r="D18" i="18" s="1"/>
  <c r="ED42" i="1"/>
  <c r="ED43" i="1" s="1"/>
  <c r="ED44" i="1" s="1"/>
  <c r="ED45" i="1" s="1"/>
  <c r="ED46" i="1" s="1"/>
  <c r="ED47" i="1" s="1"/>
  <c r="ED48" i="1" s="1"/>
  <c r="ED49" i="1" s="1"/>
  <c r="ED50" i="1" s="1"/>
  <c r="ED51" i="1" s="1"/>
  <c r="ED52" i="1" s="1"/>
  <c r="ED53" i="1" s="1"/>
  <c r="ED54" i="1" s="1"/>
  <c r="ED55" i="1" s="1"/>
  <c r="ED56" i="1" s="1"/>
  <c r="ED57" i="1" s="1"/>
  <c r="ED58" i="1" s="1"/>
  <c r="ED59" i="1" s="1"/>
  <c r="ED60" i="1" s="1"/>
  <c r="ED61" i="1" s="1"/>
  <c r="ED62" i="1" s="1"/>
  <c r="ED63" i="1" s="1"/>
  <c r="ED64" i="1" s="1"/>
  <c r="ED65" i="1" s="1"/>
  <c r="ED66" i="1" s="1"/>
  <c r="ED67" i="1" s="1"/>
  <c r="ED68" i="1" s="1"/>
  <c r="ED69" i="1" s="1"/>
  <c r="ED70" i="1" s="1"/>
  <c r="ED71" i="1" s="1"/>
  <c r="DC42" i="1"/>
  <c r="DC43" i="1" s="1"/>
  <c r="DC44" i="1" s="1"/>
  <c r="DC45" i="1" s="1"/>
  <c r="DC46" i="1" s="1"/>
  <c r="DC47" i="1" s="1"/>
  <c r="DC48" i="1" s="1"/>
  <c r="DC49" i="1" s="1"/>
  <c r="DC50" i="1" s="1"/>
  <c r="DC51" i="1" s="1"/>
  <c r="DC52" i="1" s="1"/>
  <c r="DC53" i="1" s="1"/>
  <c r="DC54" i="1" s="1"/>
  <c r="DC55" i="1" s="1"/>
  <c r="DC56" i="1" s="1"/>
  <c r="DC57" i="1" s="1"/>
  <c r="DC58" i="1" s="1"/>
  <c r="DC59" i="1" s="1"/>
  <c r="DC60" i="1" s="1"/>
  <c r="DC61" i="1" s="1"/>
  <c r="DC62" i="1" s="1"/>
  <c r="DC63" i="1" s="1"/>
  <c r="DC64" i="1" s="1"/>
  <c r="DC65" i="1" s="1"/>
  <c r="DC66" i="1" s="1"/>
  <c r="DC67" i="1" s="1"/>
  <c r="DC68" i="1" s="1"/>
  <c r="DC69" i="1" s="1"/>
  <c r="DC70" i="1" s="1"/>
  <c r="DC71" i="1" s="1"/>
  <c r="M11" i="5"/>
  <c r="D15" i="18" s="1"/>
  <c r="AH11" i="5"/>
  <c r="D38" i="18" s="1"/>
  <c r="KK42" i="1"/>
  <c r="KK43" i="1" s="1"/>
  <c r="KK44" i="1" s="1"/>
  <c r="KK45" i="1" s="1"/>
  <c r="KK46" i="1" s="1"/>
  <c r="KK47" i="1" s="1"/>
  <c r="KK48" i="1" s="1"/>
  <c r="KK49" i="1" s="1"/>
  <c r="KK50" i="1" s="1"/>
  <c r="KK51" i="1" s="1"/>
  <c r="KK52" i="1" s="1"/>
  <c r="KK53" i="1" s="1"/>
  <c r="KK54" i="1" s="1"/>
  <c r="KK55" i="1" s="1"/>
  <c r="KK56" i="1" s="1"/>
  <c r="KK57" i="1" s="1"/>
  <c r="KK58" i="1" s="1"/>
  <c r="KK59" i="1" s="1"/>
  <c r="KK60" i="1" s="1"/>
  <c r="KK61" i="1" s="1"/>
  <c r="KK62" i="1" s="1"/>
  <c r="KK63" i="1" s="1"/>
  <c r="KK64" i="1" s="1"/>
  <c r="KK65" i="1" s="1"/>
  <c r="KK66" i="1" s="1"/>
  <c r="KK67" i="1" s="1"/>
  <c r="KK68" i="1" s="1"/>
  <c r="KK69" i="1" s="1"/>
  <c r="KK70" i="1" s="1"/>
  <c r="KK71" i="1" s="1"/>
  <c r="KL71" i="1" s="1"/>
  <c r="CT42" i="1"/>
  <c r="CT43" i="1" s="1"/>
  <c r="CT44" i="1" s="1"/>
  <c r="CT45" i="1" s="1"/>
  <c r="CT46" i="1" s="1"/>
  <c r="CT47" i="1" s="1"/>
  <c r="CT48" i="1" s="1"/>
  <c r="CT49" i="1" s="1"/>
  <c r="CT50" i="1" s="1"/>
  <c r="CT51" i="1" s="1"/>
  <c r="CT52" i="1" s="1"/>
  <c r="CT53" i="1" s="1"/>
  <c r="CT54" i="1" s="1"/>
  <c r="CT55" i="1" s="1"/>
  <c r="CT56" i="1" s="1"/>
  <c r="CT57" i="1" s="1"/>
  <c r="CT58" i="1" s="1"/>
  <c r="CT59" i="1" s="1"/>
  <c r="CT60" i="1" s="1"/>
  <c r="CT61" i="1" s="1"/>
  <c r="CT62" i="1" s="1"/>
  <c r="CT63" i="1" s="1"/>
  <c r="CT64" i="1" s="1"/>
  <c r="CT65" i="1" s="1"/>
  <c r="CT66" i="1" s="1"/>
  <c r="CT67" i="1" s="1"/>
  <c r="CT68" i="1" s="1"/>
  <c r="CT69" i="1" s="1"/>
  <c r="CT70" i="1" s="1"/>
  <c r="CT71" i="1" s="1"/>
  <c r="L11" i="5"/>
  <c r="D14" i="18" s="1"/>
  <c r="KT42" i="1"/>
  <c r="KT43" i="1" s="1"/>
  <c r="KT44" i="1" s="1"/>
  <c r="KT45" i="1" s="1"/>
  <c r="KT46" i="1" s="1"/>
  <c r="KT47" i="1" s="1"/>
  <c r="KT48" i="1" s="1"/>
  <c r="KT49" i="1" s="1"/>
  <c r="KT50" i="1" s="1"/>
  <c r="KT51" i="1" s="1"/>
  <c r="KT52" i="1" s="1"/>
  <c r="KT53" i="1" s="1"/>
  <c r="KT54" i="1" s="1"/>
  <c r="KT55" i="1" s="1"/>
  <c r="KT56" i="1" s="1"/>
  <c r="KT57" i="1" s="1"/>
  <c r="KT58" i="1" s="1"/>
  <c r="KT59" i="1" s="1"/>
  <c r="KT60" i="1" s="1"/>
  <c r="KT61" i="1" s="1"/>
  <c r="KT62" i="1" s="1"/>
  <c r="KT63" i="1" s="1"/>
  <c r="KT64" i="1" s="1"/>
  <c r="KT65" i="1" s="1"/>
  <c r="KT66" i="1" s="1"/>
  <c r="KT67" i="1" s="1"/>
  <c r="KT68" i="1" s="1"/>
  <c r="KT69" i="1" s="1"/>
  <c r="KT70" i="1" s="1"/>
  <c r="KT71" i="1" s="1"/>
  <c r="KU71" i="1" s="1"/>
  <c r="AI11" i="5"/>
  <c r="D39" i="18" s="1"/>
  <c r="PF372" i="1"/>
  <c r="PF391" i="1" s="1"/>
  <c r="G53" i="15" s="1"/>
  <c r="PD391" i="1"/>
  <c r="F53" i="15" s="1"/>
  <c r="NM372" i="1"/>
  <c r="NM391" i="1" s="1"/>
  <c r="G49" i="15" s="1"/>
  <c r="NK391" i="1"/>
  <c r="AQ76" i="5" s="1"/>
  <c r="F49" i="15" s="1"/>
  <c r="PO372" i="1"/>
  <c r="PO391" i="1" s="1"/>
  <c r="G54" i="15" s="1"/>
  <c r="PM391" i="1"/>
  <c r="QG372" i="1"/>
  <c r="QG391" i="1" s="1"/>
  <c r="G56" i="15" s="1"/>
  <c r="QE391" i="1"/>
  <c r="AY76" i="5" s="1"/>
  <c r="F56" i="15" s="1"/>
  <c r="PF339" i="1"/>
  <c r="PF356" i="1" s="1"/>
  <c r="PD356" i="1"/>
  <c r="PX339" i="1"/>
  <c r="PX356" i="1" s="1"/>
  <c r="PV356" i="1"/>
  <c r="QP339" i="1"/>
  <c r="QP356" i="1" s="1"/>
  <c r="QN356" i="1"/>
  <c r="PF305" i="1"/>
  <c r="PF320" i="1" s="1"/>
  <c r="PD320" i="1"/>
  <c r="PX305" i="1"/>
  <c r="PX320" i="1" s="1"/>
  <c r="PV320" i="1"/>
  <c r="QP305" i="1"/>
  <c r="QP320" i="1" s="1"/>
  <c r="QN320" i="1"/>
  <c r="PO272" i="1"/>
  <c r="PO285" i="1" s="1"/>
  <c r="PM285" i="1"/>
  <c r="QP272" i="1"/>
  <c r="QP285" i="1" s="1"/>
  <c r="QN285" i="1"/>
  <c r="PX238" i="1"/>
  <c r="PX249" i="1" s="1"/>
  <c r="G54" i="11" s="1"/>
  <c r="PV249" i="1"/>
  <c r="F53" i="11" s="1"/>
  <c r="QP238" i="1"/>
  <c r="QP249" i="1" s="1"/>
  <c r="G56" i="11" s="1"/>
  <c r="QN249" i="1"/>
  <c r="F56" i="11" s="1"/>
  <c r="PX204" i="1"/>
  <c r="PX213" i="1" s="1"/>
  <c r="PV213" i="1"/>
  <c r="QP204" i="1"/>
  <c r="QP213" i="1" s="1"/>
  <c r="QN213" i="1"/>
  <c r="PF171" i="1"/>
  <c r="PO171" i="1"/>
  <c r="QP171" i="1"/>
  <c r="PF137" i="1"/>
  <c r="PF142" i="1" s="1"/>
  <c r="G54" i="20" s="1"/>
  <c r="PD142" i="1"/>
  <c r="F54" i="20" s="1"/>
  <c r="PO137" i="1"/>
  <c r="PO142" i="1" s="1"/>
  <c r="G55" i="20" s="1"/>
  <c r="PM142" i="1"/>
  <c r="QP137" i="1"/>
  <c r="QP142" i="1" s="1"/>
  <c r="G58" i="20" s="1"/>
  <c r="QN142" i="1"/>
  <c r="F58" i="20" s="1"/>
  <c r="PX104" i="1"/>
  <c r="PX107" i="1" s="1"/>
  <c r="G56" i="19" s="1"/>
  <c r="PV107" i="1"/>
  <c r="F55" i="19" s="1"/>
  <c r="QP104" i="1"/>
  <c r="QP107" i="1" s="1"/>
  <c r="G58" i="19" s="1"/>
  <c r="QN107" i="1"/>
  <c r="F58" i="19" s="1"/>
  <c r="PF70" i="1"/>
  <c r="PF71" i="1" s="1"/>
  <c r="PD71" i="1"/>
  <c r="NM70" i="1"/>
  <c r="NM71" i="1" s="1"/>
  <c r="G50" i="18" s="1"/>
  <c r="NK71" i="1"/>
  <c r="PX70" i="1"/>
  <c r="PX71" i="1" s="1"/>
  <c r="PV71" i="1"/>
  <c r="QG70" i="1"/>
  <c r="QG71" i="1" s="1"/>
  <c r="QE71" i="1"/>
  <c r="PX372" i="1"/>
  <c r="PX391" i="1" s="1"/>
  <c r="G55" i="15" s="1"/>
  <c r="PV391" i="1"/>
  <c r="F54" i="15" s="1"/>
  <c r="QP372" i="1"/>
  <c r="QP391" i="1" s="1"/>
  <c r="G57" i="15" s="1"/>
  <c r="QN391" i="1"/>
  <c r="AZ76" i="5" s="1"/>
  <c r="F57" i="15" s="1"/>
  <c r="NM339" i="1"/>
  <c r="NM356" i="1" s="1"/>
  <c r="NK356" i="1"/>
  <c r="AQ69" i="5" s="1"/>
  <c r="PO339" i="1"/>
  <c r="PO356" i="1" s="1"/>
  <c r="PM356" i="1"/>
  <c r="QG339" i="1"/>
  <c r="QG356" i="1" s="1"/>
  <c r="QE356" i="1"/>
  <c r="NM305" i="1"/>
  <c r="NM320" i="1" s="1"/>
  <c r="NK320" i="1"/>
  <c r="AQ62" i="5" s="1"/>
  <c r="PO305" i="1"/>
  <c r="PO320" i="1" s="1"/>
  <c r="PM320" i="1"/>
  <c r="QG305" i="1"/>
  <c r="QG320" i="1" s="1"/>
  <c r="QE320" i="1"/>
  <c r="PF272" i="1"/>
  <c r="PF285" i="1" s="1"/>
  <c r="PD285" i="1"/>
  <c r="NM272" i="1"/>
  <c r="NM285" i="1" s="1"/>
  <c r="NK285" i="1"/>
  <c r="AQ55" i="5" s="1"/>
  <c r="PX272" i="1"/>
  <c r="PX285" i="1" s="1"/>
  <c r="PV285" i="1"/>
  <c r="QG272" i="1"/>
  <c r="QG285" i="1" s="1"/>
  <c r="QE285" i="1"/>
  <c r="PF238" i="1"/>
  <c r="PF249" i="1" s="1"/>
  <c r="G52" i="11" s="1"/>
  <c r="PD249" i="1"/>
  <c r="F52" i="11" s="1"/>
  <c r="NM238" i="1"/>
  <c r="NM249" i="1" s="1"/>
  <c r="NK249" i="1"/>
  <c r="AQ48" i="5" s="1"/>
  <c r="PO238" i="1"/>
  <c r="PO249" i="1" s="1"/>
  <c r="G53" i="11" s="1"/>
  <c r="PM249" i="1"/>
  <c r="QG238" i="1"/>
  <c r="QG249" i="1" s="1"/>
  <c r="G55" i="11" s="1"/>
  <c r="QE249" i="1"/>
  <c r="F55" i="11" s="1"/>
  <c r="PF204" i="1"/>
  <c r="PF213" i="1" s="1"/>
  <c r="PD213" i="1"/>
  <c r="NM204" i="1"/>
  <c r="NM213" i="1" s="1"/>
  <c r="NK213" i="1"/>
  <c r="AQ41" i="5" s="1"/>
  <c r="PO204" i="1"/>
  <c r="PO213" i="1" s="1"/>
  <c r="PM213" i="1"/>
  <c r="QG204" i="1"/>
  <c r="QG213" i="1" s="1"/>
  <c r="QE213" i="1"/>
  <c r="NM171" i="1"/>
  <c r="PX171" i="1"/>
  <c r="QG171" i="1"/>
  <c r="NM137" i="1"/>
  <c r="NM142" i="1" s="1"/>
  <c r="G50" i="20" s="1"/>
  <c r="NK142" i="1"/>
  <c r="AQ27" i="5" s="1"/>
  <c r="F50" i="20" s="1"/>
  <c r="PX137" i="1"/>
  <c r="PX142" i="1" s="1"/>
  <c r="G56" i="20" s="1"/>
  <c r="PV142" i="1"/>
  <c r="F55" i="20" s="1"/>
  <c r="QG137" i="1"/>
  <c r="QG142" i="1" s="1"/>
  <c r="G57" i="20" s="1"/>
  <c r="QE142" i="1"/>
  <c r="F57" i="20" s="1"/>
  <c r="PF104" i="1"/>
  <c r="PF107" i="1" s="1"/>
  <c r="G54" i="19" s="1"/>
  <c r="PD107" i="1"/>
  <c r="F54" i="19" s="1"/>
  <c r="NM104" i="1"/>
  <c r="NM107" i="1" s="1"/>
  <c r="G50" i="19" s="1"/>
  <c r="NK107" i="1"/>
  <c r="AQ20" i="5" s="1"/>
  <c r="F50" i="19" s="1"/>
  <c r="PO104" i="1"/>
  <c r="PO107" i="1" s="1"/>
  <c r="G55" i="19" s="1"/>
  <c r="PM107" i="1"/>
  <c r="QG104" i="1"/>
  <c r="QG107" i="1" s="1"/>
  <c r="G57" i="19" s="1"/>
  <c r="QE107" i="1"/>
  <c r="F57" i="19" s="1"/>
  <c r="PO70" i="1"/>
  <c r="PO71" i="1" s="1"/>
  <c r="PM71" i="1"/>
  <c r="QP70" i="1"/>
  <c r="QP71" i="1" s="1"/>
  <c r="QN71" i="1"/>
  <c r="LK427" i="1"/>
  <c r="AK84" i="5" s="1"/>
  <c r="G41" i="16" s="1"/>
  <c r="KA142" i="1"/>
  <c r="AG28" i="5" s="1"/>
  <c r="G37" i="20" s="1"/>
  <c r="KS107" i="1"/>
  <c r="AI21" i="5" s="1"/>
  <c r="G39" i="19" s="1"/>
  <c r="JI427" i="1"/>
  <c r="AE84" i="5" s="1"/>
  <c r="G35" i="16" s="1"/>
  <c r="KQ71" i="1"/>
  <c r="KA249" i="1"/>
  <c r="AG49" i="5" s="1"/>
  <c r="G37" i="11" s="1"/>
  <c r="JR107" i="1"/>
  <c r="AF21" i="5" s="1"/>
  <c r="G36" i="19" s="1"/>
  <c r="IO356" i="1"/>
  <c r="AC69" i="5" s="1"/>
  <c r="F33" i="14" s="1"/>
  <c r="KJ249" i="1"/>
  <c r="AH49" i="5" s="1"/>
  <c r="G38" i="11" s="1"/>
  <c r="KS285" i="1"/>
  <c r="G39" i="12" s="1"/>
  <c r="LI213" i="1"/>
  <c r="AK41" i="5" s="1"/>
  <c r="F41" i="8" s="1"/>
  <c r="JI107" i="1"/>
  <c r="AE21" i="5" s="1"/>
  <c r="G35" i="19" s="1"/>
  <c r="KJ71" i="1"/>
  <c r="AH14" i="5" s="1"/>
  <c r="G38" i="18" s="1"/>
  <c r="LB427" i="1"/>
  <c r="AJ84" i="5" s="1"/>
  <c r="G40" i="16" s="1"/>
  <c r="LI142" i="1"/>
  <c r="AK27" i="5" s="1"/>
  <c r="F41" i="20" s="1"/>
  <c r="JP71" i="1"/>
  <c r="HY356" i="1"/>
  <c r="AA70" i="5" s="1"/>
  <c r="G31" i="14" s="1"/>
  <c r="JI356" i="1"/>
  <c r="AE70" i="5" s="1"/>
  <c r="G35" i="14" s="1"/>
  <c r="JR71" i="1"/>
  <c r="AF14" i="5" s="1"/>
  <c r="G36" i="18" s="1"/>
  <c r="KA107" i="1"/>
  <c r="AG21" i="5" s="1"/>
  <c r="G37" i="19" s="1"/>
  <c r="KA356" i="1"/>
  <c r="AG70" i="5" s="1"/>
  <c r="G37" i="14" s="1"/>
  <c r="KA427" i="1"/>
  <c r="AG84" i="5" s="1"/>
  <c r="G37" i="16" s="1"/>
  <c r="KA71" i="1"/>
  <c r="AG14" i="5" s="1"/>
  <c r="G37" i="18" s="1"/>
  <c r="KJ427" i="1"/>
  <c r="AH84" i="5" s="1"/>
  <c r="G38" i="16" s="1"/>
  <c r="KS71" i="1"/>
  <c r="AI14" i="5" s="1"/>
  <c r="G39" i="18" s="1"/>
  <c r="LB142" i="1"/>
  <c r="AJ28" i="5" s="1"/>
  <c r="G40" i="20" s="1"/>
  <c r="LK320" i="1"/>
  <c r="AK63" i="5" s="1"/>
  <c r="LK356" i="1"/>
  <c r="AK70" i="5" s="1"/>
  <c r="G41" i="14" s="1"/>
  <c r="LK213" i="1"/>
  <c r="AK42" i="5" s="1"/>
  <c r="G41" i="8" s="1"/>
  <c r="LK391" i="1"/>
  <c r="AK77" i="5" s="1"/>
  <c r="G41" i="15" s="1"/>
  <c r="KJ107" i="1"/>
  <c r="AH21" i="5" s="1"/>
  <c r="G38" i="19" s="1"/>
  <c r="LB356" i="1"/>
  <c r="AJ70" i="5" s="1"/>
  <c r="G40" i="14" s="1"/>
  <c r="LK285" i="1"/>
  <c r="AK56" i="5" s="1"/>
  <c r="G41" i="12" s="1"/>
  <c r="JR285" i="1"/>
  <c r="AF56" i="5" s="1"/>
  <c r="G36" i="12" s="1"/>
  <c r="KA391" i="1"/>
  <c r="AG77" i="5" s="1"/>
  <c r="G37" i="15" s="1"/>
  <c r="IH71" i="1"/>
  <c r="AB14" i="5" s="1"/>
  <c r="G32" i="18" s="1"/>
  <c r="IQ142" i="1"/>
  <c r="AC28" i="5" s="1"/>
  <c r="G33" i="20" s="1"/>
  <c r="JG356" i="1"/>
  <c r="AE69" i="5" s="1"/>
  <c r="F35" i="14" s="1"/>
  <c r="KS249" i="1"/>
  <c r="G39" i="11" s="1"/>
  <c r="LI356" i="1"/>
  <c r="AK69" i="5" s="1"/>
  <c r="F41" i="14" s="1"/>
  <c r="LK107" i="1"/>
  <c r="AK21" i="5" s="1"/>
  <c r="G41" i="19" s="1"/>
  <c r="JI285" i="1"/>
  <c r="AE56" i="5" s="1"/>
  <c r="G35" i="12" s="1"/>
  <c r="JY356" i="1"/>
  <c r="AG69" i="5" s="1"/>
  <c r="F37" i="14" s="1"/>
  <c r="KH107" i="1"/>
  <c r="AH20" i="5" s="1"/>
  <c r="F38" i="19" s="1"/>
  <c r="KS427" i="1"/>
  <c r="G39" i="16" s="1"/>
  <c r="KQ142" i="1"/>
  <c r="AI27" i="5" s="1"/>
  <c r="F39" i="20" s="1"/>
  <c r="LB249" i="1"/>
  <c r="AJ49" i="5" s="1"/>
  <c r="G40" i="11" s="1"/>
  <c r="KZ107" i="1"/>
  <c r="AJ20" i="5" s="1"/>
  <c r="F40" i="19" s="1"/>
  <c r="LK71" i="1"/>
  <c r="AK14" i="5" s="1"/>
  <c r="G41" i="18" s="1"/>
  <c r="LI391" i="1"/>
  <c r="AK76" i="5" s="1"/>
  <c r="F41" i="15" s="1"/>
  <c r="JR249" i="1"/>
  <c r="AF49" i="5" s="1"/>
  <c r="G36" i="11" s="1"/>
  <c r="JG107" i="1"/>
  <c r="AE20" i="5" s="1"/>
  <c r="F35" i="19" s="1"/>
  <c r="LB285" i="1"/>
  <c r="AJ56" i="5" s="1"/>
  <c r="G40" i="12" s="1"/>
  <c r="LI320" i="1"/>
  <c r="AK62" i="5" s="1"/>
  <c r="JR427" i="1"/>
  <c r="AF84" i="5" s="1"/>
  <c r="G36" i="16" s="1"/>
  <c r="JI249" i="1"/>
  <c r="AE49" i="5" s="1"/>
  <c r="G35" i="11" s="1"/>
  <c r="JI71" i="1"/>
  <c r="AE14" i="5" s="1"/>
  <c r="G35" i="18" s="1"/>
  <c r="JY71" i="1"/>
  <c r="KJ285" i="1"/>
  <c r="AH56" i="5" s="1"/>
  <c r="G38" i="12" s="1"/>
  <c r="KS320" i="1"/>
  <c r="G39" i="13" s="1"/>
  <c r="KQ107" i="1"/>
  <c r="AI20" i="5" s="1"/>
  <c r="F39" i="19" s="1"/>
  <c r="KZ71" i="1"/>
  <c r="LK249" i="1"/>
  <c r="AK49" i="5" s="1"/>
  <c r="G41" i="11" s="1"/>
  <c r="IQ285" i="1"/>
  <c r="AC56" i="5" s="1"/>
  <c r="G33" i="12" s="1"/>
  <c r="IO142" i="1"/>
  <c r="AC27" i="5" s="1"/>
  <c r="F33" i="20" s="1"/>
  <c r="IQ213" i="1"/>
  <c r="AC42" i="5" s="1"/>
  <c r="G33" i="8" s="1"/>
  <c r="IZ213" i="1"/>
  <c r="AD42" i="5" s="1"/>
  <c r="G34" i="8" s="1"/>
  <c r="IQ427" i="1"/>
  <c r="AC84" i="5" s="1"/>
  <c r="G33" i="16" s="1"/>
  <c r="IO213" i="1"/>
  <c r="AC41" i="5" s="1"/>
  <c r="F33" i="8" s="1"/>
  <c r="IZ427" i="1"/>
  <c r="AD84" i="5" s="1"/>
  <c r="G34" i="16" s="1"/>
  <c r="IH107" i="1"/>
  <c r="AB21" i="5" s="1"/>
  <c r="G32" i="19" s="1"/>
  <c r="EP7" i="7"/>
  <c r="EL7" i="7"/>
  <c r="EO7" i="7"/>
  <c r="EM7" i="7"/>
  <c r="LI249" i="1"/>
  <c r="AK48" i="5" s="1"/>
  <c r="F41" i="11" s="1"/>
  <c r="EN7" i="7"/>
  <c r="FE7" i="7"/>
  <c r="FC7" i="7"/>
  <c r="FF7" i="7"/>
  <c r="FD7" i="7"/>
  <c r="FB7" i="7"/>
  <c r="LI107" i="1"/>
  <c r="AK20" i="5" s="1"/>
  <c r="F41" i="19" s="1"/>
  <c r="GK7" i="7"/>
  <c r="AC352" i="6"/>
  <c r="GI7" i="7"/>
  <c r="Y352" i="6"/>
  <c r="GL7" i="7"/>
  <c r="AE352" i="6"/>
  <c r="GJ7" i="7"/>
  <c r="AA352" i="6"/>
  <c r="GH7" i="7"/>
  <c r="W352" i="6"/>
  <c r="KQ285" i="1"/>
  <c r="F39" i="12" s="1"/>
  <c r="JY427" i="1"/>
  <c r="AG83" i="5" s="1"/>
  <c r="F37" i="16" s="1"/>
  <c r="KH427" i="1"/>
  <c r="AH83" i="5" s="1"/>
  <c r="F38" i="16" s="1"/>
  <c r="IQ107" i="1"/>
  <c r="AC21" i="5" s="1"/>
  <c r="G33" i="19" s="1"/>
  <c r="KS142" i="1"/>
  <c r="AI28" i="5" s="1"/>
  <c r="G39" i="20" s="1"/>
  <c r="KQ427" i="1"/>
  <c r="F39" i="16" s="1"/>
  <c r="LB71" i="1"/>
  <c r="AJ14" i="5" s="1"/>
  <c r="G40" i="18" s="1"/>
  <c r="JR356" i="1"/>
  <c r="AF70" i="5" s="1"/>
  <c r="G36" i="14" s="1"/>
  <c r="KJ356" i="1"/>
  <c r="AH70" i="5" s="1"/>
  <c r="G38" i="14" s="1"/>
  <c r="JP107" i="1"/>
  <c r="AF20" i="5" s="1"/>
  <c r="F36" i="19" s="1"/>
  <c r="JY249" i="1"/>
  <c r="AG48" i="5" s="1"/>
  <c r="F37" i="11" s="1"/>
  <c r="IO107" i="1"/>
  <c r="AC20" i="5" s="1"/>
  <c r="F33" i="19" s="1"/>
  <c r="KZ356" i="1"/>
  <c r="AJ69" i="5" s="1"/>
  <c r="F40" i="14" s="1"/>
  <c r="IH249" i="1"/>
  <c r="AB49" i="5" s="1"/>
  <c r="G32" i="11" s="1"/>
  <c r="HW356" i="1"/>
  <c r="AA69" i="5" s="1"/>
  <c r="F31" i="14" s="1"/>
  <c r="IX356" i="1"/>
  <c r="AD69" i="5" s="1"/>
  <c r="F34" i="14" s="1"/>
  <c r="JP356" i="1"/>
  <c r="AF69" i="5" s="1"/>
  <c r="F36" i="14" s="1"/>
  <c r="KH356" i="1"/>
  <c r="AH69" i="5" s="1"/>
  <c r="F38" i="14" s="1"/>
  <c r="IH213" i="1"/>
  <c r="AB42" i="5" s="1"/>
  <c r="G32" i="8" s="1"/>
  <c r="IZ356" i="1"/>
  <c r="AD70" i="5" s="1"/>
  <c r="G34" i="14" s="1"/>
  <c r="KH285" i="1"/>
  <c r="AH55" i="5" s="1"/>
  <c r="F38" i="12" s="1"/>
  <c r="KZ285" i="1"/>
  <c r="AJ55" i="5" s="1"/>
  <c r="F40" i="12" s="1"/>
  <c r="IH427" i="1"/>
  <c r="AB84" i="5" s="1"/>
  <c r="G32" i="16" s="1"/>
  <c r="IH356" i="1"/>
  <c r="AB70" i="5" s="1"/>
  <c r="G32" i="14" s="1"/>
  <c r="IH391" i="1"/>
  <c r="AB77" i="5" s="1"/>
  <c r="G32" i="15" s="1"/>
  <c r="IH285" i="1"/>
  <c r="AB56" i="5" s="1"/>
  <c r="G32" i="12" s="1"/>
  <c r="IF249" i="1"/>
  <c r="AB48" i="5" s="1"/>
  <c r="F32" i="11" s="1"/>
  <c r="IH142" i="1"/>
  <c r="AB28" i="5" s="1"/>
  <c r="G32" i="20" s="1"/>
  <c r="HY76" i="1"/>
  <c r="HY107" i="1" s="1"/>
  <c r="AA21" i="5" s="1"/>
  <c r="G31" i="19" s="1"/>
  <c r="HW107" i="1"/>
  <c r="AA20" i="5" s="1"/>
  <c r="F31" i="19" s="1"/>
  <c r="HY290" i="1"/>
  <c r="HY320" i="1" s="1"/>
  <c r="AA63" i="5" s="1"/>
  <c r="HW320" i="1"/>
  <c r="AA62" i="5" s="1"/>
  <c r="HY112" i="1"/>
  <c r="HY142" i="1" s="1"/>
  <c r="AA28" i="5" s="1"/>
  <c r="G31" i="20" s="1"/>
  <c r="HW142" i="1"/>
  <c r="AA27" i="5" s="1"/>
  <c r="F31" i="20" s="1"/>
  <c r="HW391" i="1"/>
  <c r="AA76" i="5" s="1"/>
  <c r="F31" i="15" s="1"/>
  <c r="HY361" i="1"/>
  <c r="HY391" i="1" s="1"/>
  <c r="AA77" i="5" s="1"/>
  <c r="G31" i="15" s="1"/>
  <c r="HY396" i="1"/>
  <c r="HY427" i="1" s="1"/>
  <c r="AA84" i="5" s="1"/>
  <c r="G31" i="16" s="1"/>
  <c r="HW427" i="1"/>
  <c r="AA83" i="5" s="1"/>
  <c r="F31" i="16" s="1"/>
  <c r="IO249" i="1"/>
  <c r="AC48" i="5" s="1"/>
  <c r="F33" i="11" s="1"/>
  <c r="IQ218" i="1"/>
  <c r="IQ249" i="1" s="1"/>
  <c r="AC49" i="5" s="1"/>
  <c r="G33" i="11" s="1"/>
  <c r="IO71" i="1"/>
  <c r="AC13" i="5" s="1"/>
  <c r="IQ42" i="1"/>
  <c r="IQ71" i="1" s="1"/>
  <c r="AC14" i="5" s="1"/>
  <c r="IZ76" i="1"/>
  <c r="IZ107" i="1" s="1"/>
  <c r="AD21" i="5" s="1"/>
  <c r="G34" i="19" s="1"/>
  <c r="IX107" i="1"/>
  <c r="AD20" i="5" s="1"/>
  <c r="F34" i="19" s="1"/>
  <c r="IX320" i="1"/>
  <c r="AD62" i="5" s="1"/>
  <c r="IZ290" i="1"/>
  <c r="IZ320" i="1" s="1"/>
  <c r="AD63" i="5" s="1"/>
  <c r="IX142" i="1"/>
  <c r="AD27" i="5" s="1"/>
  <c r="F34" i="20" s="1"/>
  <c r="IZ112" i="1"/>
  <c r="IZ142" i="1" s="1"/>
  <c r="AD28" i="5" s="1"/>
  <c r="G34" i="20" s="1"/>
  <c r="IX391" i="1"/>
  <c r="AD76" i="5" s="1"/>
  <c r="F34" i="15" s="1"/>
  <c r="IZ361" i="1"/>
  <c r="IZ391" i="1" s="1"/>
  <c r="AD77" i="5" s="1"/>
  <c r="G34" i="15" s="1"/>
  <c r="JG320" i="1"/>
  <c r="AE62" i="5" s="1"/>
  <c r="JI290" i="1"/>
  <c r="JI320" i="1" s="1"/>
  <c r="AE63" i="5" s="1"/>
  <c r="JP320" i="1"/>
  <c r="AF62" i="5" s="1"/>
  <c r="JR290" i="1"/>
  <c r="JR320" i="1" s="1"/>
  <c r="AF63" i="5" s="1"/>
  <c r="JP142" i="1"/>
  <c r="AF27" i="5" s="1"/>
  <c r="F36" i="20" s="1"/>
  <c r="JR112" i="1"/>
  <c r="JR142" i="1" s="1"/>
  <c r="AF28" i="5" s="1"/>
  <c r="G36" i="20" s="1"/>
  <c r="JP391" i="1"/>
  <c r="AF76" i="5" s="1"/>
  <c r="F36" i="15" s="1"/>
  <c r="JR361" i="1"/>
  <c r="JR391" i="1" s="1"/>
  <c r="AF77" i="5" s="1"/>
  <c r="G36" i="15" s="1"/>
  <c r="JY213" i="1"/>
  <c r="AG41" i="5" s="1"/>
  <c r="F37" i="8" s="1"/>
  <c r="KA183" i="1"/>
  <c r="KA213" i="1" s="1"/>
  <c r="AG42" i="5" s="1"/>
  <c r="G37" i="8" s="1"/>
  <c r="JY285" i="1"/>
  <c r="AG55" i="5" s="1"/>
  <c r="F37" i="12" s="1"/>
  <c r="KA254" i="1"/>
  <c r="KA285" i="1" s="1"/>
  <c r="AG56" i="5" s="1"/>
  <c r="G37" i="12" s="1"/>
  <c r="KH320" i="1"/>
  <c r="AH62" i="5" s="1"/>
  <c r="KJ290" i="1"/>
  <c r="KJ320" i="1" s="1"/>
  <c r="AH63" i="5" s="1"/>
  <c r="KQ391" i="1"/>
  <c r="F39" i="15" s="1"/>
  <c r="KS361" i="1"/>
  <c r="KS391" i="1" s="1"/>
  <c r="G39" i="15" s="1"/>
  <c r="KQ213" i="1"/>
  <c r="AI41" i="5" s="1"/>
  <c r="F39" i="8" s="1"/>
  <c r="KS183" i="1"/>
  <c r="KS213" i="1" s="1"/>
  <c r="AI42" i="5" s="1"/>
  <c r="G39" i="8" s="1"/>
  <c r="LB290" i="1"/>
  <c r="LB320" i="1" s="1"/>
  <c r="AJ63" i="5" s="1"/>
  <c r="KZ320" i="1"/>
  <c r="AJ62" i="5" s="1"/>
  <c r="LB361" i="1"/>
  <c r="LB391" i="1" s="1"/>
  <c r="AJ77" i="5" s="1"/>
  <c r="G40" i="15" s="1"/>
  <c r="KZ391" i="1"/>
  <c r="AJ76" i="5" s="1"/>
  <c r="F40" i="15" s="1"/>
  <c r="IF213" i="1"/>
  <c r="AB41" i="5" s="1"/>
  <c r="F32" i="8" s="1"/>
  <c r="IO285" i="1"/>
  <c r="AC55" i="5" s="1"/>
  <c r="F33" i="12" s="1"/>
  <c r="IX427" i="1"/>
  <c r="AD83" i="5" s="1"/>
  <c r="F34" i="16" s="1"/>
  <c r="JG285" i="1"/>
  <c r="AE55" i="5" s="1"/>
  <c r="F35" i="12" s="1"/>
  <c r="JP427" i="1"/>
  <c r="AF83" i="5" s="1"/>
  <c r="F36" i="16" s="1"/>
  <c r="KH71" i="1"/>
  <c r="KQ249" i="1"/>
  <c r="F39" i="11" s="1"/>
  <c r="LB107" i="1"/>
  <c r="AJ21" i="5" s="1"/>
  <c r="G40" i="19" s="1"/>
  <c r="KZ427" i="1"/>
  <c r="AJ83" i="5" s="1"/>
  <c r="F40" i="16" s="1"/>
  <c r="LI71" i="1"/>
  <c r="LI285" i="1"/>
  <c r="AK55" i="5" s="1"/>
  <c r="F41" i="12" s="1"/>
  <c r="HW213" i="1"/>
  <c r="AA41" i="5" s="1"/>
  <c r="F31" i="8" s="1"/>
  <c r="HY183" i="1"/>
  <c r="HY213" i="1" s="1"/>
  <c r="AA42" i="5" s="1"/>
  <c r="G31" i="8" s="1"/>
  <c r="HY218" i="1"/>
  <c r="HY249" i="1" s="1"/>
  <c r="AA49" i="5" s="1"/>
  <c r="G31" i="11" s="1"/>
  <c r="HW249" i="1"/>
  <c r="AA48" i="5" s="1"/>
  <c r="F31" i="11" s="1"/>
  <c r="HY42" i="1"/>
  <c r="HY71" i="1" s="1"/>
  <c r="AA14" i="5" s="1"/>
  <c r="G31" i="18" s="1"/>
  <c r="HW71" i="1"/>
  <c r="HY254" i="1"/>
  <c r="HY285" i="1" s="1"/>
  <c r="AA56" i="5" s="1"/>
  <c r="G31" i="12" s="1"/>
  <c r="HW285" i="1"/>
  <c r="AA55" i="5" s="1"/>
  <c r="F31" i="12" s="1"/>
  <c r="IQ290" i="1"/>
  <c r="IQ320" i="1" s="1"/>
  <c r="AC63" i="5" s="1"/>
  <c r="IO320" i="1"/>
  <c r="AC62" i="5" s="1"/>
  <c r="IQ361" i="1"/>
  <c r="IQ391" i="1" s="1"/>
  <c r="AC77" i="5" s="1"/>
  <c r="G33" i="15" s="1"/>
  <c r="IO391" i="1"/>
  <c r="AC76" i="5" s="1"/>
  <c r="F33" i="15" s="1"/>
  <c r="IX249" i="1"/>
  <c r="AD48" i="5" s="1"/>
  <c r="F34" i="11" s="1"/>
  <c r="IZ218" i="1"/>
  <c r="IZ249" i="1" s="1"/>
  <c r="AD49" i="5" s="1"/>
  <c r="G34" i="11" s="1"/>
  <c r="IX71" i="1"/>
  <c r="F34" i="18" s="1"/>
  <c r="IZ42" i="1"/>
  <c r="IZ71" i="1" s="1"/>
  <c r="AD14" i="5" s="1"/>
  <c r="G34" i="18" s="1"/>
  <c r="IZ254" i="1"/>
  <c r="IZ285" i="1" s="1"/>
  <c r="AD56" i="5" s="1"/>
  <c r="G34" i="12" s="1"/>
  <c r="IX285" i="1"/>
  <c r="AD55" i="5" s="1"/>
  <c r="F34" i="12" s="1"/>
  <c r="JG213" i="1"/>
  <c r="AE41" i="5" s="1"/>
  <c r="F35" i="8" s="1"/>
  <c r="JI183" i="1"/>
  <c r="JI213" i="1" s="1"/>
  <c r="AE42" i="5" s="1"/>
  <c r="G35" i="8" s="1"/>
  <c r="JG142" i="1"/>
  <c r="AE27" i="5" s="1"/>
  <c r="F35" i="20" s="1"/>
  <c r="JI112" i="1"/>
  <c r="JI142" i="1" s="1"/>
  <c r="AE28" i="5" s="1"/>
  <c r="G35" i="20" s="1"/>
  <c r="JG391" i="1"/>
  <c r="AE76" i="5" s="1"/>
  <c r="F35" i="15" s="1"/>
  <c r="JI361" i="1"/>
  <c r="JI391" i="1" s="1"/>
  <c r="AE77" i="5" s="1"/>
  <c r="G35" i="15" s="1"/>
  <c r="JP213" i="1"/>
  <c r="AF41" i="5" s="1"/>
  <c r="F36" i="8" s="1"/>
  <c r="JR183" i="1"/>
  <c r="JR213" i="1" s="1"/>
  <c r="AF42" i="5" s="1"/>
  <c r="G36" i="8" s="1"/>
  <c r="KA290" i="1"/>
  <c r="KA320" i="1" s="1"/>
  <c r="AG63" i="5" s="1"/>
  <c r="JY320" i="1"/>
  <c r="AG62" i="5" s="1"/>
  <c r="KH142" i="1"/>
  <c r="AH27" i="5" s="1"/>
  <c r="F38" i="20" s="1"/>
  <c r="KJ112" i="1"/>
  <c r="KJ142" i="1" s="1"/>
  <c r="AH28" i="5" s="1"/>
  <c r="G38" i="20" s="1"/>
  <c r="KJ361" i="1"/>
  <c r="KJ391" i="1" s="1"/>
  <c r="AH77" i="5" s="1"/>
  <c r="G38" i="15" s="1"/>
  <c r="KH391" i="1"/>
  <c r="AH76" i="5" s="1"/>
  <c r="F38" i="15" s="1"/>
  <c r="KH213" i="1"/>
  <c r="AH41" i="5" s="1"/>
  <c r="F38" i="8" s="1"/>
  <c r="KJ183" i="1"/>
  <c r="KJ213" i="1" s="1"/>
  <c r="AH42" i="5" s="1"/>
  <c r="G38" i="8" s="1"/>
  <c r="KS325" i="1"/>
  <c r="KS356" i="1" s="1"/>
  <c r="G39" i="14" s="1"/>
  <c r="KQ356" i="1"/>
  <c r="F39" i="14" s="1"/>
  <c r="LB183" i="1"/>
  <c r="LB213" i="1" s="1"/>
  <c r="AJ42" i="5" s="1"/>
  <c r="G40" i="8" s="1"/>
  <c r="KZ213" i="1"/>
  <c r="AJ41" i="5" s="1"/>
  <c r="F40" i="8" s="1"/>
  <c r="IF356" i="1"/>
  <c r="AB69" i="5" s="1"/>
  <c r="F32" i="14" s="1"/>
  <c r="IF391" i="1"/>
  <c r="AB76" i="5" s="1"/>
  <c r="F32" i="15" s="1"/>
  <c r="IH320" i="1"/>
  <c r="AB63" i="5" s="1"/>
  <c r="IF427" i="1"/>
  <c r="AB83" i="5" s="1"/>
  <c r="F32" i="16" s="1"/>
  <c r="IF71" i="1"/>
  <c r="IF320" i="1"/>
  <c r="AB62" i="5" s="1"/>
  <c r="IF285" i="1"/>
  <c r="AB55" i="5" s="1"/>
  <c r="F32" i="12" s="1"/>
  <c r="IF142" i="1"/>
  <c r="AB27" i="5" s="1"/>
  <c r="F32" i="20" s="1"/>
  <c r="IF107" i="1"/>
  <c r="AB20" i="5" s="1"/>
  <c r="F32" i="19" s="1"/>
  <c r="IQ356" i="1"/>
  <c r="AC70" i="5" s="1"/>
  <c r="G33" i="14" s="1"/>
  <c r="IO427" i="1"/>
  <c r="AC83" i="5" s="1"/>
  <c r="F33" i="16" s="1"/>
  <c r="IX213" i="1"/>
  <c r="AD41" i="5" s="1"/>
  <c r="F34" i="8" s="1"/>
  <c r="JG71" i="1"/>
  <c r="JG249" i="1"/>
  <c r="AE48" i="5" s="1"/>
  <c r="F35" i="11" s="1"/>
  <c r="JG427" i="1"/>
  <c r="AE83" i="5" s="1"/>
  <c r="F35" i="16" s="1"/>
  <c r="JP249" i="1"/>
  <c r="AF48" i="5" s="1"/>
  <c r="F36" i="11" s="1"/>
  <c r="JP285" i="1"/>
  <c r="AF55" i="5" s="1"/>
  <c r="F36" i="12" s="1"/>
  <c r="JY107" i="1"/>
  <c r="AG20" i="5" s="1"/>
  <c r="F37" i="19" s="1"/>
  <c r="JY142" i="1"/>
  <c r="AG27" i="5" s="1"/>
  <c r="F37" i="20" s="1"/>
  <c r="JY391" i="1"/>
  <c r="AG76" i="5" s="1"/>
  <c r="F37" i="15" s="1"/>
  <c r="KH249" i="1"/>
  <c r="AH48" i="5" s="1"/>
  <c r="F38" i="11" s="1"/>
  <c r="KQ320" i="1"/>
  <c r="F39" i="13" s="1"/>
  <c r="KZ142" i="1"/>
  <c r="AJ27" i="5" s="1"/>
  <c r="F40" i="20" s="1"/>
  <c r="KZ249" i="1"/>
  <c r="AJ48" i="5" s="1"/>
  <c r="F40" i="11" s="1"/>
  <c r="LK142" i="1"/>
  <c r="AK28" i="5" s="1"/>
  <c r="G41" i="20" s="1"/>
  <c r="LI427" i="1"/>
  <c r="AK83" i="5" s="1"/>
  <c r="F41" i="16" s="1"/>
  <c r="GF6" i="7"/>
  <c r="GE6" i="7"/>
  <c r="GD6" i="7"/>
  <c r="GC6" i="7"/>
  <c r="GB6" i="7"/>
  <c r="GA6" i="7"/>
  <c r="FZ6" i="7"/>
  <c r="FY6" i="7"/>
  <c r="FX6" i="7"/>
  <c r="GE5" i="7"/>
  <c r="GD5" i="7"/>
  <c r="GC5" i="7"/>
  <c r="GB5" i="7"/>
  <c r="GA5" i="7"/>
  <c r="FZ5" i="7"/>
  <c r="FY5" i="7"/>
  <c r="FX5" i="7"/>
  <c r="FF6" i="7"/>
  <c r="EZ6" i="7"/>
  <c r="EY6" i="7"/>
  <c r="EX6" i="7"/>
  <c r="EW6" i="7"/>
  <c r="EV6" i="7"/>
  <c r="EU6" i="7"/>
  <c r="ET6" i="7"/>
  <c r="ES6" i="7"/>
  <c r="ER6" i="7"/>
  <c r="EZ5" i="7"/>
  <c r="EY5" i="7"/>
  <c r="EX5" i="7"/>
  <c r="EW5" i="7"/>
  <c r="EV5" i="7"/>
  <c r="EK6" i="7"/>
  <c r="EJ6" i="7"/>
  <c r="EI6" i="7"/>
  <c r="EH6" i="7"/>
  <c r="EG6" i="7"/>
  <c r="EF6" i="7"/>
  <c r="EE6" i="7"/>
  <c r="EB6" i="7"/>
  <c r="EK5" i="7"/>
  <c r="EJ5" i="7"/>
  <c r="EI5" i="7"/>
  <c r="EH5" i="7"/>
  <c r="EG5" i="7"/>
  <c r="EF5" i="7"/>
  <c r="EE5" i="7"/>
  <c r="EB5" i="7"/>
  <c r="AA4" i="7"/>
  <c r="Z4" i="7"/>
  <c r="Y4" i="7"/>
  <c r="X4" i="7"/>
  <c r="W4" i="7"/>
  <c r="V4" i="7"/>
  <c r="U4" i="7"/>
  <c r="T4" i="7"/>
  <c r="S4" i="7"/>
  <c r="R4" i="7"/>
  <c r="J4" i="7"/>
  <c r="I4" i="7"/>
  <c r="H4" i="7"/>
  <c r="G4" i="7"/>
  <c r="F4" i="7"/>
  <c r="E4" i="7"/>
  <c r="D4" i="7"/>
  <c r="C4" i="7"/>
  <c r="B4" i="7"/>
  <c r="CK6" i="1"/>
  <c r="CK7" i="1" s="1"/>
  <c r="CK8" i="1" s="1"/>
  <c r="CK9" i="1" s="1"/>
  <c r="CK10" i="1" s="1"/>
  <c r="CK11" i="1" s="1"/>
  <c r="CK12" i="1" s="1"/>
  <c r="CK13" i="1" s="1"/>
  <c r="CK14" i="1" s="1"/>
  <c r="CK15" i="1" s="1"/>
  <c r="CK16" i="1" s="1"/>
  <c r="CK17" i="1" s="1"/>
  <c r="CK18" i="1" s="1"/>
  <c r="CK19" i="1" s="1"/>
  <c r="CK20" i="1" s="1"/>
  <c r="CK21" i="1" s="1"/>
  <c r="CK22" i="1" s="1"/>
  <c r="CK23" i="1" s="1"/>
  <c r="CK24" i="1" s="1"/>
  <c r="CK25" i="1" s="1"/>
  <c r="CK26" i="1" s="1"/>
  <c r="CK27" i="1" s="1"/>
  <c r="CK28" i="1" s="1"/>
  <c r="CK29" i="1" s="1"/>
  <c r="CK30" i="1" s="1"/>
  <c r="CK31" i="1" s="1"/>
  <c r="CK32" i="1" s="1"/>
  <c r="CK33" i="1" s="1"/>
  <c r="CK34" i="1" s="1"/>
  <c r="CK35" i="1" s="1"/>
  <c r="CK36" i="1" s="1"/>
  <c r="CK37" i="1" s="1"/>
  <c r="CK41" i="1" s="1"/>
  <c r="CK42" i="1" s="1"/>
  <c r="CK43" i="1" s="1"/>
  <c r="CK44" i="1" s="1"/>
  <c r="CK45" i="1" s="1"/>
  <c r="CK46" i="1" s="1"/>
  <c r="CK47" i="1" s="1"/>
  <c r="CK48" i="1" s="1"/>
  <c r="CK49" i="1" s="1"/>
  <c r="CK50" i="1" s="1"/>
  <c r="CK51" i="1" s="1"/>
  <c r="CK52" i="1" s="1"/>
  <c r="CK53" i="1" s="1"/>
  <c r="CK54" i="1" s="1"/>
  <c r="CK55" i="1" s="1"/>
  <c r="CK56" i="1" s="1"/>
  <c r="CK57" i="1" s="1"/>
  <c r="CK58" i="1" s="1"/>
  <c r="CK59" i="1" s="1"/>
  <c r="CK60" i="1" s="1"/>
  <c r="CK61" i="1" s="1"/>
  <c r="CK62" i="1" s="1"/>
  <c r="CK63" i="1" s="1"/>
  <c r="CK64" i="1" s="1"/>
  <c r="CK65" i="1" s="1"/>
  <c r="CK66" i="1" s="1"/>
  <c r="CK67" i="1" s="1"/>
  <c r="CK68" i="1" s="1"/>
  <c r="CK69" i="1" s="1"/>
  <c r="CK70" i="1" s="1"/>
  <c r="CK71" i="1" s="1"/>
  <c r="CK75" i="1" s="1"/>
  <c r="CK76" i="1" s="1"/>
  <c r="CK77" i="1" s="1"/>
  <c r="CK78" i="1" s="1"/>
  <c r="CK79" i="1" s="1"/>
  <c r="CK80" i="1" s="1"/>
  <c r="CK81" i="1" s="1"/>
  <c r="CK82" i="1" s="1"/>
  <c r="CK83" i="1" s="1"/>
  <c r="CK84" i="1" s="1"/>
  <c r="CK85" i="1" s="1"/>
  <c r="CK86" i="1" s="1"/>
  <c r="CK87" i="1" s="1"/>
  <c r="CK88" i="1" s="1"/>
  <c r="CK89" i="1" s="1"/>
  <c r="CK90" i="1" s="1"/>
  <c r="CK91" i="1" s="1"/>
  <c r="CK92" i="1" s="1"/>
  <c r="CK93" i="1" s="1"/>
  <c r="CK94" i="1" s="1"/>
  <c r="CK95" i="1" s="1"/>
  <c r="CK96" i="1" s="1"/>
  <c r="CK97" i="1" s="1"/>
  <c r="CK98" i="1" s="1"/>
  <c r="CK99" i="1" s="1"/>
  <c r="CK100" i="1" s="1"/>
  <c r="CK101" i="1" s="1"/>
  <c r="CK102" i="1" s="1"/>
  <c r="CK103" i="1" s="1"/>
  <c r="CK104" i="1" s="1"/>
  <c r="CK105" i="1" s="1"/>
  <c r="CK106" i="1" s="1"/>
  <c r="CK107" i="1" s="1"/>
  <c r="CK111" i="1" s="1"/>
  <c r="CK112" i="1" s="1"/>
  <c r="CK113" i="1" s="1"/>
  <c r="CK114" i="1" s="1"/>
  <c r="CK115" i="1" s="1"/>
  <c r="CK116" i="1" s="1"/>
  <c r="CK117" i="1" s="1"/>
  <c r="CK118" i="1" s="1"/>
  <c r="CK119" i="1" s="1"/>
  <c r="CK120" i="1" s="1"/>
  <c r="CK121" i="1" s="1"/>
  <c r="CK122" i="1" s="1"/>
  <c r="CK123" i="1" s="1"/>
  <c r="CK124" i="1" s="1"/>
  <c r="CK125" i="1" s="1"/>
  <c r="CK126" i="1" s="1"/>
  <c r="CK127" i="1" s="1"/>
  <c r="CK128" i="1" s="1"/>
  <c r="CK129" i="1" s="1"/>
  <c r="CK130" i="1" s="1"/>
  <c r="CK131" i="1" s="1"/>
  <c r="CK132" i="1" s="1"/>
  <c r="CK133" i="1" s="1"/>
  <c r="CK134" i="1" s="1"/>
  <c r="CK135" i="1" s="1"/>
  <c r="CK136" i="1" s="1"/>
  <c r="CK137" i="1" s="1"/>
  <c r="CK138" i="1" s="1"/>
  <c r="CK139" i="1" s="1"/>
  <c r="CK140" i="1" s="1"/>
  <c r="CK141" i="1" s="1"/>
  <c r="CK142" i="1" s="1"/>
  <c r="CK146" i="1" s="1"/>
  <c r="CK147" i="1" s="1"/>
  <c r="CK148" i="1" s="1"/>
  <c r="CK149" i="1" s="1"/>
  <c r="CK150" i="1" s="1"/>
  <c r="CK151" i="1" s="1"/>
  <c r="CK152" i="1" s="1"/>
  <c r="CK153" i="1" s="1"/>
  <c r="CK154" i="1" s="1"/>
  <c r="CK155" i="1" s="1"/>
  <c r="CK156" i="1" s="1"/>
  <c r="CK157" i="1" s="1"/>
  <c r="CK158" i="1" s="1"/>
  <c r="CK159" i="1" s="1"/>
  <c r="CK160" i="1" s="1"/>
  <c r="CK161" i="1" s="1"/>
  <c r="CK162" i="1" s="1"/>
  <c r="CK163" i="1" s="1"/>
  <c r="CK164" i="1" s="1"/>
  <c r="CK165" i="1" s="1"/>
  <c r="CK166" i="1" s="1"/>
  <c r="CK167" i="1" s="1"/>
  <c r="CK168" i="1" s="1"/>
  <c r="CK169" i="1" s="1"/>
  <c r="CK170" i="1" s="1"/>
  <c r="CK171" i="1" s="1"/>
  <c r="CK172" i="1" s="1"/>
  <c r="CK173" i="1" s="1"/>
  <c r="CK174" i="1" s="1"/>
  <c r="CK175" i="1" s="1"/>
  <c r="CK176" i="1" s="1"/>
  <c r="CK177" i="1" s="1"/>
  <c r="CK178" i="1" s="1"/>
  <c r="CK182" i="1" s="1"/>
  <c r="CK183" i="1" s="1"/>
  <c r="CK184" i="1" s="1"/>
  <c r="CK185" i="1" s="1"/>
  <c r="CK186" i="1" s="1"/>
  <c r="CK187" i="1" s="1"/>
  <c r="CK188" i="1" s="1"/>
  <c r="CK189" i="1" s="1"/>
  <c r="CK190" i="1" s="1"/>
  <c r="CK191" i="1" s="1"/>
  <c r="CK192" i="1" s="1"/>
  <c r="CK193" i="1" s="1"/>
  <c r="CK194" i="1" s="1"/>
  <c r="CK195" i="1" s="1"/>
  <c r="CK196" i="1" s="1"/>
  <c r="CK197" i="1" s="1"/>
  <c r="CK198" i="1" s="1"/>
  <c r="CK199" i="1" s="1"/>
  <c r="CK200" i="1" s="1"/>
  <c r="CK201" i="1" s="1"/>
  <c r="CK202" i="1" s="1"/>
  <c r="CK203" i="1" s="1"/>
  <c r="CK204" i="1" s="1"/>
  <c r="CK205" i="1" s="1"/>
  <c r="CK206" i="1" s="1"/>
  <c r="CK207" i="1" s="1"/>
  <c r="CK208" i="1" s="1"/>
  <c r="CK209" i="1" s="1"/>
  <c r="CK210" i="1" s="1"/>
  <c r="CK211" i="1" s="1"/>
  <c r="CK212" i="1" s="1"/>
  <c r="CK213" i="1" s="1"/>
  <c r="CK217" i="1" s="1"/>
  <c r="CK218" i="1" s="1"/>
  <c r="CK219" i="1" s="1"/>
  <c r="CK220" i="1" s="1"/>
  <c r="CK221" i="1" s="1"/>
  <c r="CK222" i="1" s="1"/>
  <c r="CK223" i="1" s="1"/>
  <c r="CK224" i="1" s="1"/>
  <c r="CK225" i="1" s="1"/>
  <c r="CK226" i="1" s="1"/>
  <c r="CK227" i="1" s="1"/>
  <c r="CK228" i="1" s="1"/>
  <c r="CK229" i="1" s="1"/>
  <c r="CK230" i="1" s="1"/>
  <c r="CK231" i="1" s="1"/>
  <c r="CK232" i="1" s="1"/>
  <c r="CK233" i="1" s="1"/>
  <c r="CK234" i="1" s="1"/>
  <c r="CK235" i="1" s="1"/>
  <c r="CK236" i="1" s="1"/>
  <c r="CK237" i="1" s="1"/>
  <c r="CK238" i="1" s="1"/>
  <c r="CK239" i="1" s="1"/>
  <c r="CK240" i="1" s="1"/>
  <c r="CK241" i="1" s="1"/>
  <c r="CK242" i="1" s="1"/>
  <c r="CK243" i="1" s="1"/>
  <c r="CK244" i="1" s="1"/>
  <c r="CK245" i="1" s="1"/>
  <c r="CK246" i="1" s="1"/>
  <c r="CK247" i="1" s="1"/>
  <c r="CK248" i="1" s="1"/>
  <c r="CK249" i="1" s="1"/>
  <c r="CK253" i="1" s="1"/>
  <c r="CK254" i="1" s="1"/>
  <c r="CK255" i="1" s="1"/>
  <c r="CK256" i="1" s="1"/>
  <c r="CK257" i="1" s="1"/>
  <c r="CK258" i="1" s="1"/>
  <c r="CK259" i="1" s="1"/>
  <c r="CK260" i="1" s="1"/>
  <c r="CK261" i="1" s="1"/>
  <c r="CK262" i="1" s="1"/>
  <c r="CK263" i="1" s="1"/>
  <c r="CK264" i="1" s="1"/>
  <c r="CK265" i="1" s="1"/>
  <c r="CK266" i="1" s="1"/>
  <c r="CK267" i="1" s="1"/>
  <c r="CK268" i="1" s="1"/>
  <c r="CK269" i="1" s="1"/>
  <c r="CK270" i="1" s="1"/>
  <c r="CK271" i="1" s="1"/>
  <c r="CK272" i="1" s="1"/>
  <c r="CK273" i="1" s="1"/>
  <c r="CK274" i="1" s="1"/>
  <c r="CK275" i="1" s="1"/>
  <c r="CK276" i="1" s="1"/>
  <c r="CK277" i="1" s="1"/>
  <c r="CK278" i="1" s="1"/>
  <c r="CK279" i="1" s="1"/>
  <c r="CK280" i="1" s="1"/>
  <c r="CK281" i="1" s="1"/>
  <c r="CK282" i="1" s="1"/>
  <c r="CK283" i="1" s="1"/>
  <c r="CK284" i="1" s="1"/>
  <c r="CK285" i="1" s="1"/>
  <c r="CK289" i="1" s="1"/>
  <c r="CK290" i="1" s="1"/>
  <c r="CK291" i="1" s="1"/>
  <c r="CK292" i="1" s="1"/>
  <c r="CK293" i="1" s="1"/>
  <c r="CK294" i="1" s="1"/>
  <c r="CK295" i="1" s="1"/>
  <c r="CK296" i="1" s="1"/>
  <c r="CK297" i="1" s="1"/>
  <c r="CK298" i="1" s="1"/>
  <c r="CK299" i="1" s="1"/>
  <c r="CK300" i="1" s="1"/>
  <c r="CK301" i="1" s="1"/>
  <c r="CK302" i="1" s="1"/>
  <c r="CK303" i="1" s="1"/>
  <c r="CK304" i="1" s="1"/>
  <c r="CK305" i="1" s="1"/>
  <c r="CK306" i="1" s="1"/>
  <c r="CK307" i="1" s="1"/>
  <c r="CK308" i="1" s="1"/>
  <c r="CK309" i="1" s="1"/>
  <c r="CK310" i="1" s="1"/>
  <c r="CK311" i="1" s="1"/>
  <c r="CK312" i="1" s="1"/>
  <c r="CK313" i="1" s="1"/>
  <c r="CK314" i="1" s="1"/>
  <c r="CK315" i="1" s="1"/>
  <c r="CK316" i="1" s="1"/>
  <c r="CK317" i="1" s="1"/>
  <c r="CK318" i="1" s="1"/>
  <c r="CK319" i="1" s="1"/>
  <c r="CK320" i="1" s="1"/>
  <c r="CK324" i="1" s="1"/>
  <c r="CK325" i="1" s="1"/>
  <c r="CK326" i="1" s="1"/>
  <c r="CK327" i="1" s="1"/>
  <c r="CK328" i="1" s="1"/>
  <c r="CK329" i="1" s="1"/>
  <c r="CK330" i="1" s="1"/>
  <c r="CK331" i="1" s="1"/>
  <c r="CK332" i="1" s="1"/>
  <c r="CK333" i="1" s="1"/>
  <c r="CK334" i="1" s="1"/>
  <c r="CK335" i="1" s="1"/>
  <c r="CK336" i="1" s="1"/>
  <c r="CK337" i="1" s="1"/>
  <c r="CK338" i="1" s="1"/>
  <c r="CK339" i="1" s="1"/>
  <c r="CK340" i="1" s="1"/>
  <c r="CK341" i="1" s="1"/>
  <c r="CK342" i="1" s="1"/>
  <c r="CK343" i="1" s="1"/>
  <c r="CK344" i="1" s="1"/>
  <c r="CK345" i="1" s="1"/>
  <c r="CK346" i="1" s="1"/>
  <c r="CK347" i="1" s="1"/>
  <c r="CK348" i="1" s="1"/>
  <c r="CK349" i="1" s="1"/>
  <c r="CK350" i="1" s="1"/>
  <c r="CK351" i="1" s="1"/>
  <c r="CK352" i="1" s="1"/>
  <c r="CK353" i="1" s="1"/>
  <c r="CK354" i="1" s="1"/>
  <c r="CK355" i="1" s="1"/>
  <c r="CK356" i="1" s="1"/>
  <c r="CK360" i="1" s="1"/>
  <c r="CK361" i="1" s="1"/>
  <c r="CK362" i="1" s="1"/>
  <c r="CK363" i="1" s="1"/>
  <c r="CK364" i="1" s="1"/>
  <c r="CK365" i="1" s="1"/>
  <c r="CK366" i="1" s="1"/>
  <c r="CK367" i="1" s="1"/>
  <c r="CK368" i="1" s="1"/>
  <c r="CK369" i="1" s="1"/>
  <c r="CK370" i="1" s="1"/>
  <c r="CK371" i="1" s="1"/>
  <c r="CK372" i="1" s="1"/>
  <c r="CK373" i="1" s="1"/>
  <c r="CK374" i="1" s="1"/>
  <c r="CK375" i="1" s="1"/>
  <c r="CK376" i="1" s="1"/>
  <c r="CK377" i="1" s="1"/>
  <c r="CK378" i="1" s="1"/>
  <c r="CK379" i="1" s="1"/>
  <c r="CK380" i="1" s="1"/>
  <c r="CK381" i="1" s="1"/>
  <c r="CK382" i="1" s="1"/>
  <c r="CK383" i="1" s="1"/>
  <c r="CK384" i="1" s="1"/>
  <c r="CK385" i="1" s="1"/>
  <c r="CK386" i="1" s="1"/>
  <c r="CK387" i="1" s="1"/>
  <c r="CK388" i="1" s="1"/>
  <c r="CK389" i="1" s="1"/>
  <c r="CK390" i="1" s="1"/>
  <c r="CK391" i="1" s="1"/>
  <c r="CK395" i="1" s="1"/>
  <c r="CK396" i="1" s="1"/>
  <c r="CK397" i="1" s="1"/>
  <c r="CK398" i="1" s="1"/>
  <c r="CK399" i="1" s="1"/>
  <c r="CK400" i="1" s="1"/>
  <c r="CK401" i="1" s="1"/>
  <c r="CK402" i="1" s="1"/>
  <c r="CK403" i="1" s="1"/>
  <c r="CK404" i="1" s="1"/>
  <c r="CK405" i="1" s="1"/>
  <c r="CK406" i="1" s="1"/>
  <c r="CK407" i="1" s="1"/>
  <c r="CK408" i="1" s="1"/>
  <c r="CK409" i="1" s="1"/>
  <c r="CK410" i="1" s="1"/>
  <c r="CK411" i="1" s="1"/>
  <c r="CK412" i="1" s="1"/>
  <c r="CK413" i="1" s="1"/>
  <c r="CK414" i="1" s="1"/>
  <c r="CK415" i="1" s="1"/>
  <c r="CK416" i="1" s="1"/>
  <c r="CK417" i="1" s="1"/>
  <c r="CK418" i="1" s="1"/>
  <c r="CK419" i="1" s="1"/>
  <c r="CK420" i="1" s="1"/>
  <c r="CK421" i="1" s="1"/>
  <c r="CK422" i="1" s="1"/>
  <c r="CK423" i="1" s="1"/>
  <c r="CK424" i="1" s="1"/>
  <c r="CK425" i="1" s="1"/>
  <c r="CK426" i="1" s="1"/>
  <c r="CK427" i="1" s="1"/>
  <c r="CB6" i="1"/>
  <c r="CB7" i="1" s="1"/>
  <c r="CB8" i="1" s="1"/>
  <c r="CB9" i="1" s="1"/>
  <c r="CB10" i="1" s="1"/>
  <c r="CB11" i="1" s="1"/>
  <c r="CB12" i="1" s="1"/>
  <c r="CB13" i="1" s="1"/>
  <c r="CB14" i="1" s="1"/>
  <c r="CB15" i="1" s="1"/>
  <c r="CB16" i="1" s="1"/>
  <c r="CB17" i="1" s="1"/>
  <c r="CB18" i="1" s="1"/>
  <c r="CB19" i="1" s="1"/>
  <c r="CB20" i="1" s="1"/>
  <c r="CB21" i="1" s="1"/>
  <c r="CB22" i="1" s="1"/>
  <c r="CB23" i="1" s="1"/>
  <c r="CB24" i="1" s="1"/>
  <c r="CB25" i="1" s="1"/>
  <c r="CB26" i="1" s="1"/>
  <c r="CB27" i="1" s="1"/>
  <c r="CB28" i="1" s="1"/>
  <c r="CB29" i="1" s="1"/>
  <c r="CB30" i="1" s="1"/>
  <c r="CB31" i="1" s="1"/>
  <c r="CB32" i="1" s="1"/>
  <c r="CB33" i="1" s="1"/>
  <c r="CB34" i="1" s="1"/>
  <c r="CB35" i="1" s="1"/>
  <c r="CB36" i="1" s="1"/>
  <c r="CB37" i="1" s="1"/>
  <c r="CB41" i="1" s="1"/>
  <c r="CB42" i="1" s="1"/>
  <c r="CB43" i="1" s="1"/>
  <c r="CB44" i="1" s="1"/>
  <c r="CB45" i="1" s="1"/>
  <c r="CB46" i="1" s="1"/>
  <c r="CB47" i="1" s="1"/>
  <c r="CB48" i="1" s="1"/>
  <c r="CB49" i="1" s="1"/>
  <c r="CB50" i="1" s="1"/>
  <c r="CB51" i="1" s="1"/>
  <c r="CB52" i="1" s="1"/>
  <c r="CB53" i="1" s="1"/>
  <c r="CB54" i="1" s="1"/>
  <c r="CB55" i="1" s="1"/>
  <c r="CB56" i="1" s="1"/>
  <c r="CB57" i="1" s="1"/>
  <c r="CB58" i="1" s="1"/>
  <c r="CB59" i="1" s="1"/>
  <c r="CB60" i="1" s="1"/>
  <c r="CB61" i="1" s="1"/>
  <c r="CB62" i="1" s="1"/>
  <c r="CB63" i="1" s="1"/>
  <c r="CB64" i="1" s="1"/>
  <c r="CB65" i="1" s="1"/>
  <c r="CB66" i="1" s="1"/>
  <c r="CB67" i="1" s="1"/>
  <c r="CB68" i="1" s="1"/>
  <c r="CB69" i="1" s="1"/>
  <c r="CB70" i="1" s="1"/>
  <c r="CB71" i="1" s="1"/>
  <c r="CB75" i="1" s="1"/>
  <c r="CB76" i="1" s="1"/>
  <c r="CB77" i="1" s="1"/>
  <c r="CB78" i="1" s="1"/>
  <c r="CB79" i="1" s="1"/>
  <c r="CB80" i="1" s="1"/>
  <c r="CB81" i="1" s="1"/>
  <c r="CB82" i="1" s="1"/>
  <c r="CB83" i="1" s="1"/>
  <c r="CB84" i="1" s="1"/>
  <c r="CB85" i="1" s="1"/>
  <c r="CB86" i="1" s="1"/>
  <c r="CB87" i="1" s="1"/>
  <c r="CB88" i="1" s="1"/>
  <c r="CB89" i="1" s="1"/>
  <c r="CB90" i="1" s="1"/>
  <c r="CB91" i="1" s="1"/>
  <c r="CB92" i="1" s="1"/>
  <c r="CB93" i="1" s="1"/>
  <c r="CB94" i="1" s="1"/>
  <c r="CB95" i="1" s="1"/>
  <c r="CB96" i="1" s="1"/>
  <c r="CB97" i="1" s="1"/>
  <c r="CB98" i="1" s="1"/>
  <c r="CB99" i="1" s="1"/>
  <c r="CB100" i="1" s="1"/>
  <c r="CB101" i="1" s="1"/>
  <c r="CB102" i="1" s="1"/>
  <c r="CB103" i="1" s="1"/>
  <c r="CB104" i="1" s="1"/>
  <c r="CB105" i="1" s="1"/>
  <c r="CB106" i="1" s="1"/>
  <c r="CB107" i="1" s="1"/>
  <c r="CB111" i="1" s="1"/>
  <c r="CB112" i="1" s="1"/>
  <c r="CB113" i="1" s="1"/>
  <c r="CB114" i="1" s="1"/>
  <c r="CB115" i="1" s="1"/>
  <c r="CB116" i="1" s="1"/>
  <c r="CB117" i="1" s="1"/>
  <c r="CB118" i="1" s="1"/>
  <c r="CB119" i="1" s="1"/>
  <c r="CB120" i="1" s="1"/>
  <c r="CB121" i="1" s="1"/>
  <c r="CB122" i="1" s="1"/>
  <c r="CB123" i="1" s="1"/>
  <c r="CB124" i="1" s="1"/>
  <c r="CB125" i="1" s="1"/>
  <c r="CB126" i="1" s="1"/>
  <c r="CB127" i="1" s="1"/>
  <c r="CB128" i="1" s="1"/>
  <c r="CB129" i="1" s="1"/>
  <c r="CB130" i="1" s="1"/>
  <c r="CB131" i="1" s="1"/>
  <c r="CB132" i="1" s="1"/>
  <c r="CB133" i="1" s="1"/>
  <c r="CB134" i="1" s="1"/>
  <c r="CB135" i="1" s="1"/>
  <c r="CB136" i="1" s="1"/>
  <c r="CB137" i="1" s="1"/>
  <c r="CB138" i="1" s="1"/>
  <c r="CB139" i="1" s="1"/>
  <c r="CB140" i="1" s="1"/>
  <c r="CB141" i="1" s="1"/>
  <c r="CB142" i="1" s="1"/>
  <c r="CB146" i="1" s="1"/>
  <c r="CB147" i="1" s="1"/>
  <c r="CB148" i="1" s="1"/>
  <c r="CB149" i="1" s="1"/>
  <c r="CB150" i="1" s="1"/>
  <c r="CB151" i="1" s="1"/>
  <c r="CB152" i="1" s="1"/>
  <c r="CB153" i="1" s="1"/>
  <c r="CB154" i="1" s="1"/>
  <c r="CB155" i="1" s="1"/>
  <c r="CB156" i="1" s="1"/>
  <c r="CB157" i="1" s="1"/>
  <c r="CB158" i="1" s="1"/>
  <c r="CB159" i="1" s="1"/>
  <c r="CB160" i="1" s="1"/>
  <c r="CB161" i="1" s="1"/>
  <c r="CB162" i="1" s="1"/>
  <c r="CB163" i="1" s="1"/>
  <c r="CB164" i="1" s="1"/>
  <c r="CB165" i="1" s="1"/>
  <c r="CB166" i="1" s="1"/>
  <c r="CB167" i="1" s="1"/>
  <c r="CB168" i="1" s="1"/>
  <c r="CB169" i="1" s="1"/>
  <c r="CB170" i="1" s="1"/>
  <c r="CB171" i="1" s="1"/>
  <c r="CB172" i="1" s="1"/>
  <c r="CB173" i="1" s="1"/>
  <c r="CB174" i="1" s="1"/>
  <c r="CB175" i="1" s="1"/>
  <c r="CB176" i="1" s="1"/>
  <c r="CB177" i="1" s="1"/>
  <c r="CB178" i="1" s="1"/>
  <c r="CB182" i="1" s="1"/>
  <c r="CB183" i="1" s="1"/>
  <c r="CB184" i="1" s="1"/>
  <c r="CB185" i="1" s="1"/>
  <c r="CB186" i="1" s="1"/>
  <c r="CB187" i="1" s="1"/>
  <c r="CB188" i="1" s="1"/>
  <c r="CB189" i="1" s="1"/>
  <c r="CB190" i="1" s="1"/>
  <c r="CB191" i="1" s="1"/>
  <c r="CB192" i="1" s="1"/>
  <c r="CB193" i="1" s="1"/>
  <c r="CB194" i="1" s="1"/>
  <c r="CB195" i="1" s="1"/>
  <c r="CB196" i="1" s="1"/>
  <c r="CB197" i="1" s="1"/>
  <c r="CB198" i="1" s="1"/>
  <c r="CB199" i="1" s="1"/>
  <c r="CB200" i="1" s="1"/>
  <c r="CB201" i="1" s="1"/>
  <c r="CB202" i="1" s="1"/>
  <c r="CB203" i="1" s="1"/>
  <c r="CB204" i="1" s="1"/>
  <c r="CB205" i="1" s="1"/>
  <c r="CB206" i="1" s="1"/>
  <c r="CB207" i="1" s="1"/>
  <c r="CB208" i="1" s="1"/>
  <c r="CB209" i="1" s="1"/>
  <c r="CB210" i="1" s="1"/>
  <c r="CB211" i="1" s="1"/>
  <c r="CB212" i="1" s="1"/>
  <c r="CB213" i="1" s="1"/>
  <c r="CB217" i="1" s="1"/>
  <c r="CB218" i="1" s="1"/>
  <c r="CB219" i="1" s="1"/>
  <c r="CB220" i="1" s="1"/>
  <c r="CB221" i="1" s="1"/>
  <c r="CB222" i="1" s="1"/>
  <c r="CB223" i="1" s="1"/>
  <c r="CB224" i="1" s="1"/>
  <c r="CB225" i="1" s="1"/>
  <c r="CB226" i="1" s="1"/>
  <c r="CB227" i="1" s="1"/>
  <c r="CB228" i="1" s="1"/>
  <c r="CB229" i="1" s="1"/>
  <c r="CB230" i="1" s="1"/>
  <c r="CB231" i="1" s="1"/>
  <c r="CB232" i="1" s="1"/>
  <c r="CB233" i="1" s="1"/>
  <c r="CB234" i="1" s="1"/>
  <c r="CB235" i="1" s="1"/>
  <c r="CB236" i="1" s="1"/>
  <c r="CB237" i="1" s="1"/>
  <c r="CB238" i="1" s="1"/>
  <c r="CB239" i="1" s="1"/>
  <c r="CB240" i="1" s="1"/>
  <c r="CB241" i="1" s="1"/>
  <c r="CB242" i="1" s="1"/>
  <c r="CB243" i="1" s="1"/>
  <c r="CB244" i="1" s="1"/>
  <c r="CB245" i="1" s="1"/>
  <c r="CB246" i="1" s="1"/>
  <c r="CB247" i="1" s="1"/>
  <c r="CB248" i="1" s="1"/>
  <c r="CB249" i="1" s="1"/>
  <c r="CB253" i="1" s="1"/>
  <c r="CB254" i="1" s="1"/>
  <c r="CB255" i="1" s="1"/>
  <c r="CB256" i="1" s="1"/>
  <c r="CB257" i="1" s="1"/>
  <c r="CB258" i="1" s="1"/>
  <c r="CB259" i="1" s="1"/>
  <c r="CB260" i="1" s="1"/>
  <c r="CB261" i="1" s="1"/>
  <c r="CB262" i="1" s="1"/>
  <c r="CB263" i="1" s="1"/>
  <c r="CB264" i="1" s="1"/>
  <c r="CB265" i="1" s="1"/>
  <c r="CB266" i="1" s="1"/>
  <c r="CB267" i="1" s="1"/>
  <c r="CB268" i="1" s="1"/>
  <c r="CB269" i="1" s="1"/>
  <c r="CB270" i="1" s="1"/>
  <c r="CB271" i="1" s="1"/>
  <c r="CB272" i="1" s="1"/>
  <c r="CB273" i="1" s="1"/>
  <c r="CB274" i="1" s="1"/>
  <c r="CB275" i="1" s="1"/>
  <c r="CB276" i="1" s="1"/>
  <c r="CB277" i="1" s="1"/>
  <c r="CB278" i="1" s="1"/>
  <c r="CB279" i="1" s="1"/>
  <c r="CB280" i="1" s="1"/>
  <c r="CB281" i="1" s="1"/>
  <c r="CB282" i="1" s="1"/>
  <c r="CB283" i="1" s="1"/>
  <c r="CB284" i="1" s="1"/>
  <c r="CB285" i="1" s="1"/>
  <c r="CB289" i="1" s="1"/>
  <c r="CB290" i="1" s="1"/>
  <c r="CB291" i="1" s="1"/>
  <c r="CB292" i="1" s="1"/>
  <c r="CB293" i="1" s="1"/>
  <c r="CB294" i="1" s="1"/>
  <c r="CB295" i="1" s="1"/>
  <c r="CB296" i="1" s="1"/>
  <c r="CB297" i="1" s="1"/>
  <c r="CB298" i="1" s="1"/>
  <c r="CB299" i="1" s="1"/>
  <c r="CB300" i="1" s="1"/>
  <c r="CB301" i="1" s="1"/>
  <c r="CB302" i="1" s="1"/>
  <c r="CB303" i="1" s="1"/>
  <c r="CB304" i="1" s="1"/>
  <c r="CB305" i="1" s="1"/>
  <c r="CB306" i="1" s="1"/>
  <c r="CB307" i="1" s="1"/>
  <c r="CB308" i="1" s="1"/>
  <c r="CB309" i="1" s="1"/>
  <c r="CB310" i="1" s="1"/>
  <c r="CB311" i="1" s="1"/>
  <c r="CB312" i="1" s="1"/>
  <c r="CB313" i="1" s="1"/>
  <c r="CB314" i="1" s="1"/>
  <c r="CB315" i="1" s="1"/>
  <c r="CB316" i="1" s="1"/>
  <c r="CB317" i="1" s="1"/>
  <c r="CB318" i="1" s="1"/>
  <c r="CB319" i="1" s="1"/>
  <c r="CB320" i="1" s="1"/>
  <c r="CB324" i="1" s="1"/>
  <c r="CB325" i="1" s="1"/>
  <c r="CB326" i="1" s="1"/>
  <c r="CB327" i="1" s="1"/>
  <c r="CB328" i="1" s="1"/>
  <c r="CB329" i="1" s="1"/>
  <c r="CB330" i="1" s="1"/>
  <c r="CB331" i="1" s="1"/>
  <c r="CB332" i="1" s="1"/>
  <c r="CB333" i="1" s="1"/>
  <c r="CB334" i="1" s="1"/>
  <c r="CB335" i="1" s="1"/>
  <c r="CB336" i="1" s="1"/>
  <c r="CB337" i="1" s="1"/>
  <c r="CB338" i="1" s="1"/>
  <c r="CB339" i="1" s="1"/>
  <c r="CB340" i="1" s="1"/>
  <c r="CB341" i="1" s="1"/>
  <c r="CB342" i="1" s="1"/>
  <c r="CB343" i="1" s="1"/>
  <c r="CB344" i="1" s="1"/>
  <c r="CB345" i="1" s="1"/>
  <c r="CB346" i="1" s="1"/>
  <c r="CB347" i="1" s="1"/>
  <c r="CB348" i="1" s="1"/>
  <c r="CB349" i="1" s="1"/>
  <c r="CB350" i="1" s="1"/>
  <c r="CB351" i="1" s="1"/>
  <c r="CB352" i="1" s="1"/>
  <c r="CB353" i="1" s="1"/>
  <c r="CB354" i="1" s="1"/>
  <c r="CB355" i="1" s="1"/>
  <c r="CB356" i="1" s="1"/>
  <c r="CB360" i="1" s="1"/>
  <c r="CB361" i="1" s="1"/>
  <c r="CB362" i="1" s="1"/>
  <c r="CB363" i="1" s="1"/>
  <c r="CB364" i="1" s="1"/>
  <c r="CB365" i="1" s="1"/>
  <c r="CB366" i="1" s="1"/>
  <c r="CB367" i="1" s="1"/>
  <c r="CB368" i="1" s="1"/>
  <c r="CB369" i="1" s="1"/>
  <c r="CB370" i="1" s="1"/>
  <c r="CB371" i="1" s="1"/>
  <c r="CB372" i="1" s="1"/>
  <c r="CB373" i="1" s="1"/>
  <c r="CB374" i="1" s="1"/>
  <c r="CB375" i="1" s="1"/>
  <c r="CB376" i="1" s="1"/>
  <c r="CB377" i="1" s="1"/>
  <c r="CB378" i="1" s="1"/>
  <c r="CB379" i="1" s="1"/>
  <c r="CB380" i="1" s="1"/>
  <c r="CB381" i="1" s="1"/>
  <c r="CB382" i="1" s="1"/>
  <c r="CB383" i="1" s="1"/>
  <c r="CB384" i="1" s="1"/>
  <c r="CB385" i="1" s="1"/>
  <c r="CB386" i="1" s="1"/>
  <c r="CB387" i="1" s="1"/>
  <c r="CB388" i="1" s="1"/>
  <c r="CB389" i="1" s="1"/>
  <c r="CB390" i="1" s="1"/>
  <c r="CB391" i="1" s="1"/>
  <c r="CB395" i="1" s="1"/>
  <c r="CB396" i="1" s="1"/>
  <c r="CB397" i="1" s="1"/>
  <c r="CB398" i="1" s="1"/>
  <c r="CB399" i="1" s="1"/>
  <c r="CB400" i="1" s="1"/>
  <c r="CB401" i="1" s="1"/>
  <c r="CB402" i="1" s="1"/>
  <c r="CB403" i="1" s="1"/>
  <c r="CB404" i="1" s="1"/>
  <c r="CB405" i="1" s="1"/>
  <c r="CB406" i="1" s="1"/>
  <c r="CB407" i="1" s="1"/>
  <c r="CB408" i="1" s="1"/>
  <c r="CB409" i="1" s="1"/>
  <c r="CB410" i="1" s="1"/>
  <c r="CB411" i="1" s="1"/>
  <c r="CB412" i="1" s="1"/>
  <c r="CB413" i="1" s="1"/>
  <c r="CB414" i="1" s="1"/>
  <c r="CB415" i="1" s="1"/>
  <c r="CB416" i="1" s="1"/>
  <c r="CB417" i="1" s="1"/>
  <c r="CB418" i="1" s="1"/>
  <c r="CB419" i="1" s="1"/>
  <c r="CB420" i="1" s="1"/>
  <c r="CB421" i="1" s="1"/>
  <c r="CB422" i="1" s="1"/>
  <c r="CB423" i="1" s="1"/>
  <c r="CB424" i="1" s="1"/>
  <c r="CB425" i="1" s="1"/>
  <c r="CB426" i="1" s="1"/>
  <c r="CB427" i="1" s="1"/>
  <c r="BS6" i="1"/>
  <c r="BS7" i="1" s="1"/>
  <c r="BS8" i="1" s="1"/>
  <c r="BS9" i="1" s="1"/>
  <c r="BS10" i="1" s="1"/>
  <c r="BS11" i="1" s="1"/>
  <c r="BS12" i="1" s="1"/>
  <c r="BS13" i="1" s="1"/>
  <c r="BS14" i="1" s="1"/>
  <c r="BS15" i="1" s="1"/>
  <c r="BS16" i="1" s="1"/>
  <c r="BS17" i="1" s="1"/>
  <c r="BS18" i="1" s="1"/>
  <c r="BS19" i="1" s="1"/>
  <c r="BS20" i="1" s="1"/>
  <c r="BS21" i="1" s="1"/>
  <c r="BS22" i="1" s="1"/>
  <c r="BS23" i="1" s="1"/>
  <c r="BS24" i="1" s="1"/>
  <c r="BS25" i="1" s="1"/>
  <c r="BS26" i="1" s="1"/>
  <c r="BS27" i="1" s="1"/>
  <c r="BS28" i="1" s="1"/>
  <c r="BS29" i="1" s="1"/>
  <c r="BS30" i="1" s="1"/>
  <c r="BS31" i="1" s="1"/>
  <c r="BS32" i="1" s="1"/>
  <c r="BS33" i="1" s="1"/>
  <c r="BS34" i="1" s="1"/>
  <c r="BS35" i="1" s="1"/>
  <c r="BS36" i="1" s="1"/>
  <c r="BS37" i="1" s="1"/>
  <c r="BS41" i="1" s="1"/>
  <c r="BS42" i="1" s="1"/>
  <c r="BS43" i="1" s="1"/>
  <c r="BS44" i="1" s="1"/>
  <c r="BS45" i="1" s="1"/>
  <c r="BS46" i="1" s="1"/>
  <c r="BS47" i="1" s="1"/>
  <c r="BS48" i="1" s="1"/>
  <c r="BS49" i="1" s="1"/>
  <c r="BS50" i="1" s="1"/>
  <c r="BS51" i="1" s="1"/>
  <c r="BS52" i="1" s="1"/>
  <c r="BS53" i="1" s="1"/>
  <c r="BS54" i="1" s="1"/>
  <c r="BS55" i="1" s="1"/>
  <c r="BS56" i="1" s="1"/>
  <c r="BS57" i="1" s="1"/>
  <c r="BS58" i="1" s="1"/>
  <c r="BS59" i="1" s="1"/>
  <c r="BS60" i="1" s="1"/>
  <c r="BS61" i="1" s="1"/>
  <c r="BS62" i="1" s="1"/>
  <c r="BS63" i="1" s="1"/>
  <c r="BS64" i="1" s="1"/>
  <c r="BS65" i="1" s="1"/>
  <c r="BS66" i="1" s="1"/>
  <c r="BS67" i="1" s="1"/>
  <c r="BS68" i="1" s="1"/>
  <c r="BS69" i="1" s="1"/>
  <c r="BS70" i="1" s="1"/>
  <c r="BS71" i="1" s="1"/>
  <c r="BS75" i="1" s="1"/>
  <c r="BS76" i="1" s="1"/>
  <c r="BS77" i="1" s="1"/>
  <c r="BS78" i="1" s="1"/>
  <c r="BS79" i="1" s="1"/>
  <c r="BS80" i="1" s="1"/>
  <c r="BS81" i="1" s="1"/>
  <c r="BS82" i="1" s="1"/>
  <c r="BS83" i="1" s="1"/>
  <c r="BS84" i="1" s="1"/>
  <c r="BS85" i="1" s="1"/>
  <c r="BS86" i="1" s="1"/>
  <c r="BS87" i="1" s="1"/>
  <c r="BS88" i="1" s="1"/>
  <c r="BS89" i="1" s="1"/>
  <c r="BS90" i="1" s="1"/>
  <c r="BS91" i="1" s="1"/>
  <c r="BS92" i="1" s="1"/>
  <c r="BS93" i="1" s="1"/>
  <c r="BS94" i="1" s="1"/>
  <c r="BS95" i="1" s="1"/>
  <c r="BS96" i="1" s="1"/>
  <c r="BS97" i="1" s="1"/>
  <c r="BS98" i="1" s="1"/>
  <c r="BS99" i="1" s="1"/>
  <c r="BS100" i="1" s="1"/>
  <c r="BS101" i="1" s="1"/>
  <c r="BS102" i="1" s="1"/>
  <c r="BS103" i="1" s="1"/>
  <c r="BS104" i="1" s="1"/>
  <c r="BS105" i="1" s="1"/>
  <c r="BS106" i="1" s="1"/>
  <c r="BS107" i="1" s="1"/>
  <c r="BS111" i="1" s="1"/>
  <c r="BS112" i="1" s="1"/>
  <c r="BS113" i="1" s="1"/>
  <c r="BS114" i="1" s="1"/>
  <c r="BS115" i="1" s="1"/>
  <c r="BS116" i="1" s="1"/>
  <c r="BS117" i="1" s="1"/>
  <c r="BS118" i="1" s="1"/>
  <c r="BS119" i="1" s="1"/>
  <c r="BS120" i="1" s="1"/>
  <c r="BS121" i="1" s="1"/>
  <c r="BS122" i="1" s="1"/>
  <c r="BS123" i="1" s="1"/>
  <c r="BS124" i="1" s="1"/>
  <c r="BS125" i="1" s="1"/>
  <c r="BS126" i="1" s="1"/>
  <c r="BS127" i="1" s="1"/>
  <c r="BS128" i="1" s="1"/>
  <c r="BS129" i="1" s="1"/>
  <c r="BS130" i="1" s="1"/>
  <c r="BS131" i="1" s="1"/>
  <c r="BS132" i="1" s="1"/>
  <c r="BS133" i="1" s="1"/>
  <c r="BS134" i="1" s="1"/>
  <c r="BS135" i="1" s="1"/>
  <c r="BS136" i="1" s="1"/>
  <c r="BS137" i="1" s="1"/>
  <c r="BS138" i="1" s="1"/>
  <c r="BS139" i="1" s="1"/>
  <c r="BS140" i="1" s="1"/>
  <c r="BS141" i="1" s="1"/>
  <c r="BS142" i="1" s="1"/>
  <c r="BS146" i="1" s="1"/>
  <c r="BS147" i="1" s="1"/>
  <c r="BS148" i="1" s="1"/>
  <c r="BS149" i="1" s="1"/>
  <c r="BS150" i="1" s="1"/>
  <c r="BS151" i="1" s="1"/>
  <c r="BS152" i="1" s="1"/>
  <c r="BS153" i="1" s="1"/>
  <c r="BS154" i="1" s="1"/>
  <c r="BS155" i="1" s="1"/>
  <c r="BS156" i="1" s="1"/>
  <c r="BS157" i="1" s="1"/>
  <c r="BS158" i="1" s="1"/>
  <c r="BS159" i="1" s="1"/>
  <c r="BS160" i="1" s="1"/>
  <c r="BS161" i="1" s="1"/>
  <c r="BS162" i="1" s="1"/>
  <c r="BS163" i="1" s="1"/>
  <c r="BS164" i="1" s="1"/>
  <c r="BS165" i="1" s="1"/>
  <c r="BS166" i="1" s="1"/>
  <c r="BS167" i="1" s="1"/>
  <c r="BS168" i="1" s="1"/>
  <c r="BS169" i="1" s="1"/>
  <c r="BS170" i="1" s="1"/>
  <c r="BS171" i="1" s="1"/>
  <c r="BS172" i="1" s="1"/>
  <c r="BS173" i="1" s="1"/>
  <c r="BS174" i="1" s="1"/>
  <c r="BS175" i="1" s="1"/>
  <c r="BS176" i="1" s="1"/>
  <c r="BS177" i="1" s="1"/>
  <c r="BS178" i="1" s="1"/>
  <c r="BS182" i="1" s="1"/>
  <c r="BS183" i="1" s="1"/>
  <c r="BS184" i="1" s="1"/>
  <c r="BS185" i="1" s="1"/>
  <c r="BS186" i="1" s="1"/>
  <c r="BS187" i="1" s="1"/>
  <c r="BS188" i="1" s="1"/>
  <c r="BS189" i="1" s="1"/>
  <c r="BS190" i="1" s="1"/>
  <c r="BS191" i="1" s="1"/>
  <c r="BS192" i="1" s="1"/>
  <c r="BS193" i="1" s="1"/>
  <c r="BS194" i="1" s="1"/>
  <c r="BS195" i="1" s="1"/>
  <c r="BS196" i="1" s="1"/>
  <c r="BS197" i="1" s="1"/>
  <c r="BS198" i="1" s="1"/>
  <c r="BS199" i="1" s="1"/>
  <c r="BS200" i="1" s="1"/>
  <c r="BS201" i="1" s="1"/>
  <c r="BS202" i="1" s="1"/>
  <c r="BS203" i="1" s="1"/>
  <c r="BS204" i="1" s="1"/>
  <c r="BS205" i="1" s="1"/>
  <c r="BS206" i="1" s="1"/>
  <c r="BS207" i="1" s="1"/>
  <c r="BS208" i="1" s="1"/>
  <c r="BS209" i="1" s="1"/>
  <c r="BS210" i="1" s="1"/>
  <c r="BS211" i="1" s="1"/>
  <c r="BS212" i="1" s="1"/>
  <c r="BS213" i="1" s="1"/>
  <c r="BS217" i="1" s="1"/>
  <c r="BS218" i="1" s="1"/>
  <c r="BS219" i="1" s="1"/>
  <c r="BS220" i="1" s="1"/>
  <c r="BS221" i="1" s="1"/>
  <c r="BS222" i="1" s="1"/>
  <c r="BS223" i="1" s="1"/>
  <c r="BS224" i="1" s="1"/>
  <c r="BS225" i="1" s="1"/>
  <c r="BS226" i="1" s="1"/>
  <c r="BS227" i="1" s="1"/>
  <c r="BS228" i="1" s="1"/>
  <c r="BS229" i="1" s="1"/>
  <c r="BS230" i="1" s="1"/>
  <c r="BS231" i="1" s="1"/>
  <c r="BS232" i="1" s="1"/>
  <c r="BS233" i="1" s="1"/>
  <c r="BS234" i="1" s="1"/>
  <c r="BS235" i="1" s="1"/>
  <c r="BS236" i="1" s="1"/>
  <c r="BS237" i="1" s="1"/>
  <c r="BS238" i="1" s="1"/>
  <c r="BS239" i="1" s="1"/>
  <c r="BS240" i="1" s="1"/>
  <c r="BS241" i="1" s="1"/>
  <c r="BS242" i="1" s="1"/>
  <c r="BS243" i="1" s="1"/>
  <c r="BS244" i="1" s="1"/>
  <c r="BS245" i="1" s="1"/>
  <c r="BS246" i="1" s="1"/>
  <c r="BS247" i="1" s="1"/>
  <c r="BS248" i="1" s="1"/>
  <c r="BS249" i="1" s="1"/>
  <c r="BJ6" i="1"/>
  <c r="BJ7" i="1" s="1"/>
  <c r="BJ8" i="1" s="1"/>
  <c r="BJ9" i="1" s="1"/>
  <c r="BJ10" i="1" s="1"/>
  <c r="BJ11" i="1" s="1"/>
  <c r="BJ12" i="1" s="1"/>
  <c r="BJ13" i="1" s="1"/>
  <c r="BJ14" i="1" s="1"/>
  <c r="BJ15" i="1" s="1"/>
  <c r="BJ16" i="1" s="1"/>
  <c r="BJ17" i="1" s="1"/>
  <c r="BJ18" i="1" s="1"/>
  <c r="BJ19" i="1" s="1"/>
  <c r="BJ20" i="1" s="1"/>
  <c r="BJ21" i="1" s="1"/>
  <c r="BJ22" i="1" s="1"/>
  <c r="BJ23" i="1" s="1"/>
  <c r="BJ24" i="1" s="1"/>
  <c r="BJ25" i="1" s="1"/>
  <c r="BJ26" i="1" s="1"/>
  <c r="BJ27" i="1" s="1"/>
  <c r="BJ28" i="1" s="1"/>
  <c r="BJ29" i="1" s="1"/>
  <c r="BJ30" i="1" s="1"/>
  <c r="BJ31" i="1" s="1"/>
  <c r="BJ32" i="1" s="1"/>
  <c r="BJ33" i="1" s="1"/>
  <c r="BJ34" i="1" s="1"/>
  <c r="BJ35" i="1" s="1"/>
  <c r="BJ36" i="1" s="1"/>
  <c r="BJ37" i="1" s="1"/>
  <c r="BJ41" i="1" s="1"/>
  <c r="BJ42" i="1" s="1"/>
  <c r="BJ43" i="1" s="1"/>
  <c r="BJ44" i="1" s="1"/>
  <c r="BJ45" i="1" s="1"/>
  <c r="BJ46" i="1" s="1"/>
  <c r="BJ47" i="1" s="1"/>
  <c r="BJ48" i="1" s="1"/>
  <c r="BJ49" i="1" s="1"/>
  <c r="BJ50" i="1" s="1"/>
  <c r="BJ51" i="1" s="1"/>
  <c r="BJ52" i="1" s="1"/>
  <c r="BJ53" i="1" s="1"/>
  <c r="BJ54" i="1" s="1"/>
  <c r="BJ55" i="1" s="1"/>
  <c r="BJ56" i="1" s="1"/>
  <c r="BJ57" i="1" s="1"/>
  <c r="BJ58" i="1" s="1"/>
  <c r="BJ59" i="1" s="1"/>
  <c r="BJ60" i="1" s="1"/>
  <c r="BJ61" i="1" s="1"/>
  <c r="BJ62" i="1" s="1"/>
  <c r="BJ63" i="1" s="1"/>
  <c r="BJ64" i="1" s="1"/>
  <c r="BJ65" i="1" s="1"/>
  <c r="BJ66" i="1" s="1"/>
  <c r="BJ67" i="1" s="1"/>
  <c r="BJ68" i="1" s="1"/>
  <c r="BJ69" i="1" s="1"/>
  <c r="BJ70" i="1" s="1"/>
  <c r="BJ71" i="1" s="1"/>
  <c r="BJ75" i="1" s="1"/>
  <c r="BJ76" i="1" s="1"/>
  <c r="BJ77" i="1" s="1"/>
  <c r="BJ78" i="1" s="1"/>
  <c r="BJ79" i="1" s="1"/>
  <c r="BJ80" i="1" s="1"/>
  <c r="BJ81" i="1" s="1"/>
  <c r="BJ82" i="1" s="1"/>
  <c r="BJ83" i="1" s="1"/>
  <c r="BJ84" i="1" s="1"/>
  <c r="BJ85" i="1" s="1"/>
  <c r="BJ86" i="1" s="1"/>
  <c r="BJ87" i="1" s="1"/>
  <c r="BJ88" i="1" s="1"/>
  <c r="BJ89" i="1" s="1"/>
  <c r="BJ90" i="1" s="1"/>
  <c r="BJ91" i="1" s="1"/>
  <c r="BJ92" i="1" s="1"/>
  <c r="BJ93" i="1" s="1"/>
  <c r="BJ94" i="1" s="1"/>
  <c r="BJ95" i="1" s="1"/>
  <c r="BJ96" i="1" s="1"/>
  <c r="BJ97" i="1" s="1"/>
  <c r="BJ98" i="1" s="1"/>
  <c r="BJ99" i="1" s="1"/>
  <c r="BJ100" i="1" s="1"/>
  <c r="BJ101" i="1" s="1"/>
  <c r="BJ102" i="1" s="1"/>
  <c r="BJ103" i="1" s="1"/>
  <c r="BJ104" i="1" s="1"/>
  <c r="BJ105" i="1" s="1"/>
  <c r="BJ106" i="1" s="1"/>
  <c r="BJ107" i="1" s="1"/>
  <c r="BJ111" i="1" s="1"/>
  <c r="BJ112" i="1" s="1"/>
  <c r="BJ113" i="1" s="1"/>
  <c r="BJ114" i="1" s="1"/>
  <c r="BJ115" i="1" s="1"/>
  <c r="BJ116" i="1" s="1"/>
  <c r="BJ117" i="1" s="1"/>
  <c r="BJ118" i="1" s="1"/>
  <c r="BJ119" i="1" s="1"/>
  <c r="BJ120" i="1" s="1"/>
  <c r="BJ121" i="1" s="1"/>
  <c r="BJ122" i="1" s="1"/>
  <c r="BJ123" i="1" s="1"/>
  <c r="BJ124" i="1" s="1"/>
  <c r="BJ125" i="1" s="1"/>
  <c r="BJ126" i="1" s="1"/>
  <c r="BJ127" i="1" s="1"/>
  <c r="BJ128" i="1" s="1"/>
  <c r="BJ129" i="1" s="1"/>
  <c r="BJ130" i="1" s="1"/>
  <c r="BJ131" i="1" s="1"/>
  <c r="BJ132" i="1" s="1"/>
  <c r="BJ133" i="1" s="1"/>
  <c r="BJ134" i="1" s="1"/>
  <c r="BJ135" i="1" s="1"/>
  <c r="BJ136" i="1" s="1"/>
  <c r="BJ137" i="1" s="1"/>
  <c r="BJ138" i="1" s="1"/>
  <c r="BJ139" i="1" s="1"/>
  <c r="BJ140" i="1" s="1"/>
  <c r="BJ141" i="1" s="1"/>
  <c r="BJ142" i="1" s="1"/>
  <c r="BJ146" i="1" s="1"/>
  <c r="BJ147" i="1" s="1"/>
  <c r="BJ148" i="1" s="1"/>
  <c r="BJ149" i="1" s="1"/>
  <c r="BJ150" i="1" s="1"/>
  <c r="BJ151" i="1" s="1"/>
  <c r="BJ152" i="1" s="1"/>
  <c r="BJ153" i="1" s="1"/>
  <c r="BJ154" i="1" s="1"/>
  <c r="BJ155" i="1" s="1"/>
  <c r="BJ156" i="1" s="1"/>
  <c r="BJ157" i="1" s="1"/>
  <c r="BJ158" i="1" s="1"/>
  <c r="BJ159" i="1" s="1"/>
  <c r="BJ160" i="1" s="1"/>
  <c r="BJ161" i="1" s="1"/>
  <c r="BJ162" i="1" s="1"/>
  <c r="BJ163" i="1" s="1"/>
  <c r="BJ164" i="1" s="1"/>
  <c r="BJ165" i="1" s="1"/>
  <c r="BJ166" i="1" s="1"/>
  <c r="BJ167" i="1" s="1"/>
  <c r="BJ168" i="1" s="1"/>
  <c r="BJ169" i="1" s="1"/>
  <c r="BJ170" i="1" s="1"/>
  <c r="BJ171" i="1" s="1"/>
  <c r="BJ172" i="1" s="1"/>
  <c r="BJ173" i="1" s="1"/>
  <c r="BJ174" i="1" s="1"/>
  <c r="BJ175" i="1" s="1"/>
  <c r="BJ176" i="1" s="1"/>
  <c r="BJ177" i="1" s="1"/>
  <c r="BJ178" i="1" s="1"/>
  <c r="BJ182" i="1" s="1"/>
  <c r="BJ183" i="1" s="1"/>
  <c r="BJ184" i="1" s="1"/>
  <c r="BJ185" i="1" s="1"/>
  <c r="BJ186" i="1" s="1"/>
  <c r="BJ187" i="1" s="1"/>
  <c r="BJ188" i="1" s="1"/>
  <c r="BJ189" i="1" s="1"/>
  <c r="BJ190" i="1" s="1"/>
  <c r="BJ191" i="1" s="1"/>
  <c r="BJ192" i="1" s="1"/>
  <c r="BJ193" i="1" s="1"/>
  <c r="BJ194" i="1" s="1"/>
  <c r="BJ195" i="1" s="1"/>
  <c r="BJ196" i="1" s="1"/>
  <c r="BJ197" i="1" s="1"/>
  <c r="BJ198" i="1" s="1"/>
  <c r="BJ199" i="1" s="1"/>
  <c r="BJ200" i="1" s="1"/>
  <c r="BJ201" i="1" s="1"/>
  <c r="BJ202" i="1" s="1"/>
  <c r="BJ203" i="1" s="1"/>
  <c r="BJ204" i="1" s="1"/>
  <c r="BJ205" i="1" s="1"/>
  <c r="BJ206" i="1" s="1"/>
  <c r="BJ207" i="1" s="1"/>
  <c r="BJ208" i="1" s="1"/>
  <c r="BJ209" i="1" s="1"/>
  <c r="BJ210" i="1" s="1"/>
  <c r="BJ211" i="1" s="1"/>
  <c r="BJ212" i="1" s="1"/>
  <c r="BJ213" i="1" s="1"/>
  <c r="BJ217" i="1" s="1"/>
  <c r="BJ218" i="1" s="1"/>
  <c r="BJ219" i="1" s="1"/>
  <c r="BJ220" i="1" s="1"/>
  <c r="BJ221" i="1" s="1"/>
  <c r="BJ222" i="1" s="1"/>
  <c r="BJ223" i="1" s="1"/>
  <c r="BJ224" i="1" s="1"/>
  <c r="BJ225" i="1" s="1"/>
  <c r="BJ226" i="1" s="1"/>
  <c r="BJ227" i="1" s="1"/>
  <c r="BJ228" i="1" s="1"/>
  <c r="BJ229" i="1" s="1"/>
  <c r="BJ230" i="1" s="1"/>
  <c r="BJ231" i="1" s="1"/>
  <c r="BJ232" i="1" s="1"/>
  <c r="BJ233" i="1" s="1"/>
  <c r="BJ234" i="1" s="1"/>
  <c r="BJ235" i="1" s="1"/>
  <c r="BJ236" i="1" s="1"/>
  <c r="BJ237" i="1" s="1"/>
  <c r="BJ238" i="1" s="1"/>
  <c r="BJ239" i="1" s="1"/>
  <c r="BJ240" i="1" s="1"/>
  <c r="BJ241" i="1" s="1"/>
  <c r="BJ242" i="1" s="1"/>
  <c r="BJ243" i="1" s="1"/>
  <c r="BJ244" i="1" s="1"/>
  <c r="BJ245" i="1" s="1"/>
  <c r="BJ246" i="1" s="1"/>
  <c r="BJ247" i="1" s="1"/>
  <c r="BJ248" i="1" s="1"/>
  <c r="BJ249" i="1" s="1"/>
  <c r="BJ253" i="1" s="1"/>
  <c r="BJ254" i="1" s="1"/>
  <c r="BJ255" i="1" s="1"/>
  <c r="BJ256" i="1" s="1"/>
  <c r="BJ257" i="1" s="1"/>
  <c r="BJ258" i="1" s="1"/>
  <c r="BJ259" i="1" s="1"/>
  <c r="BJ260" i="1" s="1"/>
  <c r="BJ261" i="1" s="1"/>
  <c r="BJ262" i="1" s="1"/>
  <c r="BJ263" i="1" s="1"/>
  <c r="BJ264" i="1" s="1"/>
  <c r="BJ265" i="1" s="1"/>
  <c r="BJ266" i="1" s="1"/>
  <c r="BJ267" i="1" s="1"/>
  <c r="BJ268" i="1" s="1"/>
  <c r="BJ269" i="1" s="1"/>
  <c r="BJ270" i="1" s="1"/>
  <c r="BJ271" i="1" s="1"/>
  <c r="BJ272" i="1" s="1"/>
  <c r="BJ273" i="1" s="1"/>
  <c r="BJ274" i="1" s="1"/>
  <c r="BJ275" i="1" s="1"/>
  <c r="BJ276" i="1" s="1"/>
  <c r="BJ277" i="1" s="1"/>
  <c r="BJ278" i="1" s="1"/>
  <c r="BJ279" i="1" s="1"/>
  <c r="BJ280" i="1" s="1"/>
  <c r="BJ281" i="1" s="1"/>
  <c r="BJ282" i="1" s="1"/>
  <c r="BJ283" i="1" s="1"/>
  <c r="BJ284" i="1" s="1"/>
  <c r="BJ285" i="1" s="1"/>
  <c r="BJ289" i="1" s="1"/>
  <c r="BJ290" i="1" s="1"/>
  <c r="BJ291" i="1" s="1"/>
  <c r="BJ292" i="1" s="1"/>
  <c r="BJ293" i="1" s="1"/>
  <c r="BJ294" i="1" s="1"/>
  <c r="BJ295" i="1" s="1"/>
  <c r="BJ296" i="1" s="1"/>
  <c r="BJ297" i="1" s="1"/>
  <c r="BJ298" i="1" s="1"/>
  <c r="BJ299" i="1" s="1"/>
  <c r="BJ300" i="1" s="1"/>
  <c r="BJ301" i="1" s="1"/>
  <c r="BJ302" i="1" s="1"/>
  <c r="BJ303" i="1" s="1"/>
  <c r="BJ304" i="1" s="1"/>
  <c r="BJ305" i="1" s="1"/>
  <c r="BJ306" i="1" s="1"/>
  <c r="BJ307" i="1" s="1"/>
  <c r="BJ308" i="1" s="1"/>
  <c r="BJ309" i="1" s="1"/>
  <c r="BJ310" i="1" s="1"/>
  <c r="BJ311" i="1" s="1"/>
  <c r="BJ312" i="1" s="1"/>
  <c r="BJ313" i="1" s="1"/>
  <c r="BJ314" i="1" s="1"/>
  <c r="BJ315" i="1" s="1"/>
  <c r="BJ316" i="1" s="1"/>
  <c r="BJ317" i="1" s="1"/>
  <c r="BJ318" i="1" s="1"/>
  <c r="BJ319" i="1" s="1"/>
  <c r="BJ320" i="1" s="1"/>
  <c r="BJ324" i="1" s="1"/>
  <c r="BJ325" i="1" s="1"/>
  <c r="BJ326" i="1" s="1"/>
  <c r="BJ327" i="1" s="1"/>
  <c r="BJ328" i="1" s="1"/>
  <c r="BJ329" i="1" s="1"/>
  <c r="BJ330" i="1" s="1"/>
  <c r="BJ331" i="1" s="1"/>
  <c r="BJ332" i="1" s="1"/>
  <c r="BJ333" i="1" s="1"/>
  <c r="BJ334" i="1" s="1"/>
  <c r="BJ335" i="1" s="1"/>
  <c r="BJ336" i="1" s="1"/>
  <c r="BJ337" i="1" s="1"/>
  <c r="BJ338" i="1" s="1"/>
  <c r="BJ339" i="1" s="1"/>
  <c r="BJ340" i="1" s="1"/>
  <c r="BJ341" i="1" s="1"/>
  <c r="BJ342" i="1" s="1"/>
  <c r="BJ343" i="1" s="1"/>
  <c r="BJ344" i="1" s="1"/>
  <c r="BJ345" i="1" s="1"/>
  <c r="BJ346" i="1" s="1"/>
  <c r="BJ347" i="1" s="1"/>
  <c r="BJ348" i="1" s="1"/>
  <c r="BJ349" i="1" s="1"/>
  <c r="BJ350" i="1" s="1"/>
  <c r="BJ351" i="1" s="1"/>
  <c r="BJ352" i="1" s="1"/>
  <c r="BJ353" i="1" s="1"/>
  <c r="BJ354" i="1" s="1"/>
  <c r="BJ355" i="1" s="1"/>
  <c r="BJ356" i="1" s="1"/>
  <c r="BJ360" i="1" s="1"/>
  <c r="BJ361" i="1" s="1"/>
  <c r="BJ362" i="1" s="1"/>
  <c r="BJ363" i="1" s="1"/>
  <c r="BJ364" i="1" s="1"/>
  <c r="BJ365" i="1" s="1"/>
  <c r="BJ366" i="1" s="1"/>
  <c r="BJ367" i="1" s="1"/>
  <c r="BJ368" i="1" s="1"/>
  <c r="BJ369" i="1" s="1"/>
  <c r="BJ370" i="1" s="1"/>
  <c r="BJ371" i="1" s="1"/>
  <c r="BJ372" i="1" s="1"/>
  <c r="BJ373" i="1" s="1"/>
  <c r="BJ374" i="1" s="1"/>
  <c r="BJ375" i="1" s="1"/>
  <c r="BJ376" i="1" s="1"/>
  <c r="BJ377" i="1" s="1"/>
  <c r="BJ378" i="1" s="1"/>
  <c r="BJ379" i="1" s="1"/>
  <c r="BJ380" i="1" s="1"/>
  <c r="BJ381" i="1" s="1"/>
  <c r="BJ382" i="1" s="1"/>
  <c r="BJ383" i="1" s="1"/>
  <c r="BJ384" i="1" s="1"/>
  <c r="BJ385" i="1" s="1"/>
  <c r="BJ386" i="1" s="1"/>
  <c r="BJ387" i="1" s="1"/>
  <c r="BJ388" i="1" s="1"/>
  <c r="BJ389" i="1" s="1"/>
  <c r="BJ390" i="1" s="1"/>
  <c r="BJ391" i="1" s="1"/>
  <c r="BJ395" i="1" s="1"/>
  <c r="BJ396" i="1" s="1"/>
  <c r="BJ397" i="1" s="1"/>
  <c r="BJ398" i="1" s="1"/>
  <c r="BJ399" i="1" s="1"/>
  <c r="BJ400" i="1" s="1"/>
  <c r="BJ401" i="1" s="1"/>
  <c r="BJ402" i="1" s="1"/>
  <c r="BJ403" i="1" s="1"/>
  <c r="BJ404" i="1" s="1"/>
  <c r="BJ405" i="1" s="1"/>
  <c r="BJ406" i="1" s="1"/>
  <c r="BJ407" i="1" s="1"/>
  <c r="BJ408" i="1" s="1"/>
  <c r="BJ409" i="1" s="1"/>
  <c r="BJ410" i="1" s="1"/>
  <c r="BJ411" i="1" s="1"/>
  <c r="BJ412" i="1" s="1"/>
  <c r="BJ413" i="1" s="1"/>
  <c r="BJ414" i="1" s="1"/>
  <c r="BJ415" i="1" s="1"/>
  <c r="BJ416" i="1" s="1"/>
  <c r="BJ417" i="1" s="1"/>
  <c r="BJ418" i="1" s="1"/>
  <c r="BJ419" i="1" s="1"/>
  <c r="BJ420" i="1" s="1"/>
  <c r="BJ421" i="1" s="1"/>
  <c r="BJ422" i="1" s="1"/>
  <c r="BJ423" i="1" s="1"/>
  <c r="BJ424" i="1" s="1"/>
  <c r="BJ425" i="1" s="1"/>
  <c r="BJ426" i="1" s="1"/>
  <c r="BJ427" i="1" s="1"/>
  <c r="AY427" i="1"/>
  <c r="AW427" i="1"/>
  <c r="AY391" i="1"/>
  <c r="AW391" i="1"/>
  <c r="AY356" i="1"/>
  <c r="AW356" i="1"/>
  <c r="AY320" i="1"/>
  <c r="AW320" i="1"/>
  <c r="AY285" i="1"/>
  <c r="AW285" i="1"/>
  <c r="AY249" i="1"/>
  <c r="AW249" i="1"/>
  <c r="AY213" i="1"/>
  <c r="AW213" i="1"/>
  <c r="AY178" i="1"/>
  <c r="AW178" i="1"/>
  <c r="AY142" i="1"/>
  <c r="AW142" i="1"/>
  <c r="AY107" i="1"/>
  <c r="AW107" i="1"/>
  <c r="AY37" i="1"/>
  <c r="AW37" i="1"/>
  <c r="BA6" i="1"/>
  <c r="BA7" i="1" s="1"/>
  <c r="BA8" i="1" s="1"/>
  <c r="BA9" i="1" s="1"/>
  <c r="BA10" i="1" s="1"/>
  <c r="BA11" i="1" s="1"/>
  <c r="BA12" i="1" s="1"/>
  <c r="BA13" i="1" s="1"/>
  <c r="BA14" i="1" s="1"/>
  <c r="BA15" i="1" s="1"/>
  <c r="BA16" i="1" s="1"/>
  <c r="BA17" i="1" s="1"/>
  <c r="BA18" i="1" s="1"/>
  <c r="BA19" i="1" s="1"/>
  <c r="BA20" i="1" s="1"/>
  <c r="BA21" i="1" s="1"/>
  <c r="BA22" i="1" s="1"/>
  <c r="BA23" i="1" s="1"/>
  <c r="BA24" i="1" s="1"/>
  <c r="BA25" i="1" s="1"/>
  <c r="BA26" i="1" s="1"/>
  <c r="BA27" i="1" s="1"/>
  <c r="BA28" i="1" s="1"/>
  <c r="BA29" i="1" s="1"/>
  <c r="BA30" i="1" s="1"/>
  <c r="BA31" i="1" s="1"/>
  <c r="BA32" i="1" s="1"/>
  <c r="BA33" i="1" s="1"/>
  <c r="BA34" i="1" s="1"/>
  <c r="BA35" i="1" s="1"/>
  <c r="BA36" i="1" s="1"/>
  <c r="BA37" i="1" s="1"/>
  <c r="BA41" i="1" s="1"/>
  <c r="BA42" i="1" s="1"/>
  <c r="BA43" i="1" s="1"/>
  <c r="BA44" i="1" s="1"/>
  <c r="BA45" i="1" s="1"/>
  <c r="BA46" i="1" s="1"/>
  <c r="BA47" i="1" s="1"/>
  <c r="BA48" i="1" s="1"/>
  <c r="BA49" i="1" s="1"/>
  <c r="BA50" i="1" s="1"/>
  <c r="BA51" i="1" s="1"/>
  <c r="BA52" i="1" s="1"/>
  <c r="BA53" i="1" s="1"/>
  <c r="BA54" i="1" s="1"/>
  <c r="BA55" i="1" s="1"/>
  <c r="BA56" i="1" s="1"/>
  <c r="BA57" i="1" s="1"/>
  <c r="BA58" i="1" s="1"/>
  <c r="BA59" i="1" s="1"/>
  <c r="BA60" i="1" s="1"/>
  <c r="BA61" i="1" s="1"/>
  <c r="BA62" i="1" s="1"/>
  <c r="BA63" i="1" s="1"/>
  <c r="BA64" i="1" s="1"/>
  <c r="BA65" i="1" s="1"/>
  <c r="BA66" i="1" s="1"/>
  <c r="BA67" i="1" s="1"/>
  <c r="BA68" i="1" s="1"/>
  <c r="BA69" i="1" s="1"/>
  <c r="BA70" i="1" s="1"/>
  <c r="BA71" i="1" s="1"/>
  <c r="BA75" i="1" s="1"/>
  <c r="AP427" i="1"/>
  <c r="AN427" i="1"/>
  <c r="AP391" i="1"/>
  <c r="AN391" i="1"/>
  <c r="AP356" i="1"/>
  <c r="AN356" i="1"/>
  <c r="AP320" i="1"/>
  <c r="AN320" i="1"/>
  <c r="AP285" i="1"/>
  <c r="AN285" i="1"/>
  <c r="AP249" i="1"/>
  <c r="AN249" i="1"/>
  <c r="AP213" i="1"/>
  <c r="AN213" i="1"/>
  <c r="AP178" i="1"/>
  <c r="AN178" i="1"/>
  <c r="AP142" i="1"/>
  <c r="AN142" i="1"/>
  <c r="AP107" i="1"/>
  <c r="AN107" i="1"/>
  <c r="AP37" i="1"/>
  <c r="AN37" i="1"/>
  <c r="AR6" i="1"/>
  <c r="AR7" i="1" s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R36" i="1" s="1"/>
  <c r="AR37" i="1" s="1"/>
  <c r="AR41" i="1" s="1"/>
  <c r="AR42" i="1" s="1"/>
  <c r="AR43" i="1" s="1"/>
  <c r="AR44" i="1" s="1"/>
  <c r="AR45" i="1" s="1"/>
  <c r="AR46" i="1" s="1"/>
  <c r="AR47" i="1" s="1"/>
  <c r="AR48" i="1" s="1"/>
  <c r="AR49" i="1" s="1"/>
  <c r="AR50" i="1" s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5" i="1" s="1"/>
  <c r="AR76" i="1" s="1"/>
  <c r="AR77" i="1" s="1"/>
  <c r="AR78" i="1" s="1"/>
  <c r="AR79" i="1" s="1"/>
  <c r="AR80" i="1" s="1"/>
  <c r="AR81" i="1" s="1"/>
  <c r="AR82" i="1" s="1"/>
  <c r="AR83" i="1" s="1"/>
  <c r="AR84" i="1" s="1"/>
  <c r="AR85" i="1" s="1"/>
  <c r="AR86" i="1" s="1"/>
  <c r="AR87" i="1" s="1"/>
  <c r="AR88" i="1" s="1"/>
  <c r="AR89" i="1" s="1"/>
  <c r="AR90" i="1" s="1"/>
  <c r="AR91" i="1" s="1"/>
  <c r="AR92" i="1" s="1"/>
  <c r="AR93" i="1" s="1"/>
  <c r="AR94" i="1" s="1"/>
  <c r="AR95" i="1" s="1"/>
  <c r="AR96" i="1" s="1"/>
  <c r="AR97" i="1" s="1"/>
  <c r="AR98" i="1" s="1"/>
  <c r="AR99" i="1" s="1"/>
  <c r="AR100" i="1" s="1"/>
  <c r="AR101" i="1" s="1"/>
  <c r="AR102" i="1" s="1"/>
  <c r="AR103" i="1" s="1"/>
  <c r="AR104" i="1" s="1"/>
  <c r="AR105" i="1" s="1"/>
  <c r="AR106" i="1" s="1"/>
  <c r="AR107" i="1" s="1"/>
  <c r="AR111" i="1" s="1"/>
  <c r="AR112" i="1" s="1"/>
  <c r="AR113" i="1" s="1"/>
  <c r="AR114" i="1" s="1"/>
  <c r="AR115" i="1" s="1"/>
  <c r="AR116" i="1" s="1"/>
  <c r="AR117" i="1" s="1"/>
  <c r="AR118" i="1" s="1"/>
  <c r="AR119" i="1" s="1"/>
  <c r="AR120" i="1" s="1"/>
  <c r="AR121" i="1" s="1"/>
  <c r="AR122" i="1" s="1"/>
  <c r="AR123" i="1" s="1"/>
  <c r="AR124" i="1" s="1"/>
  <c r="AR125" i="1" s="1"/>
  <c r="AR126" i="1" s="1"/>
  <c r="AR127" i="1" s="1"/>
  <c r="AR128" i="1" s="1"/>
  <c r="AR129" i="1" s="1"/>
  <c r="AR130" i="1" s="1"/>
  <c r="AR131" i="1" s="1"/>
  <c r="AI6" i="1"/>
  <c r="AI7" i="1" s="1"/>
  <c r="AI8" i="1" s="1"/>
  <c r="AI9" i="1" s="1"/>
  <c r="AI10" i="1" s="1"/>
  <c r="AI11" i="1" s="1"/>
  <c r="AI12" i="1" s="1"/>
  <c r="AI13" i="1" s="1"/>
  <c r="AI14" i="1" s="1"/>
  <c r="AI15" i="1" s="1"/>
  <c r="AI16" i="1" s="1"/>
  <c r="AI17" i="1" s="1"/>
  <c r="AI18" i="1" s="1"/>
  <c r="AI19" i="1" s="1"/>
  <c r="AI20" i="1" s="1"/>
  <c r="AI21" i="1" s="1"/>
  <c r="AI22" i="1" s="1"/>
  <c r="AI23" i="1" s="1"/>
  <c r="AI24" i="1" s="1"/>
  <c r="AI25" i="1" s="1"/>
  <c r="AI26" i="1" s="1"/>
  <c r="AI27" i="1" s="1"/>
  <c r="AI28" i="1" s="1"/>
  <c r="AI29" i="1" s="1"/>
  <c r="AI30" i="1" s="1"/>
  <c r="AI31" i="1" s="1"/>
  <c r="AI32" i="1" s="1"/>
  <c r="AI33" i="1" s="1"/>
  <c r="AI34" i="1" s="1"/>
  <c r="AI35" i="1" s="1"/>
  <c r="AI36" i="1" s="1"/>
  <c r="AI37" i="1" s="1"/>
  <c r="AI41" i="1" s="1"/>
  <c r="AI42" i="1" s="1"/>
  <c r="AI43" i="1" s="1"/>
  <c r="AI44" i="1" s="1"/>
  <c r="AI45" i="1" s="1"/>
  <c r="AI46" i="1" s="1"/>
  <c r="AI47" i="1" s="1"/>
  <c r="AI48" i="1" s="1"/>
  <c r="AI49" i="1" s="1"/>
  <c r="AI50" i="1" s="1"/>
  <c r="AI51" i="1" s="1"/>
  <c r="AI52" i="1" s="1"/>
  <c r="AI53" i="1" s="1"/>
  <c r="AI54" i="1" s="1"/>
  <c r="AI55" i="1" s="1"/>
  <c r="AI56" i="1" s="1"/>
  <c r="AI57" i="1" s="1"/>
  <c r="AI58" i="1" s="1"/>
  <c r="AI59" i="1" s="1"/>
  <c r="AI60" i="1" s="1"/>
  <c r="AI61" i="1" s="1"/>
  <c r="AI62" i="1" s="1"/>
  <c r="AI63" i="1" s="1"/>
  <c r="AI64" i="1" s="1"/>
  <c r="AI65" i="1" s="1"/>
  <c r="AI66" i="1" s="1"/>
  <c r="AI67" i="1" s="1"/>
  <c r="AI68" i="1" s="1"/>
  <c r="AI69" i="1" s="1"/>
  <c r="AI70" i="1" s="1"/>
  <c r="AI71" i="1" s="1"/>
  <c r="AI75" i="1" s="1"/>
  <c r="AI76" i="1" s="1"/>
  <c r="AI77" i="1" s="1"/>
  <c r="AI78" i="1" s="1"/>
  <c r="AI79" i="1" s="1"/>
  <c r="AI80" i="1" s="1"/>
  <c r="AI81" i="1" s="1"/>
  <c r="AI82" i="1" s="1"/>
  <c r="AI83" i="1" s="1"/>
  <c r="AI84" i="1" s="1"/>
  <c r="AI85" i="1" s="1"/>
  <c r="AI86" i="1" s="1"/>
  <c r="AI87" i="1" s="1"/>
  <c r="AI88" i="1" s="1"/>
  <c r="AI89" i="1" s="1"/>
  <c r="AI90" i="1" s="1"/>
  <c r="AI91" i="1" s="1"/>
  <c r="AI92" i="1" s="1"/>
  <c r="AI93" i="1" s="1"/>
  <c r="AI94" i="1" s="1"/>
  <c r="AI95" i="1" s="1"/>
  <c r="AI96" i="1" s="1"/>
  <c r="AI97" i="1" s="1"/>
  <c r="AI98" i="1" s="1"/>
  <c r="AI99" i="1" s="1"/>
  <c r="AI100" i="1" s="1"/>
  <c r="AI101" i="1" s="1"/>
  <c r="AI102" i="1" s="1"/>
  <c r="AI103" i="1" s="1"/>
  <c r="AI104" i="1" s="1"/>
  <c r="AI105" i="1" s="1"/>
  <c r="AI106" i="1" s="1"/>
  <c r="AI107" i="1" s="1"/>
  <c r="AI111" i="1" s="1"/>
  <c r="AI112" i="1" s="1"/>
  <c r="AI113" i="1" s="1"/>
  <c r="AI114" i="1" s="1"/>
  <c r="AI115" i="1" s="1"/>
  <c r="AI116" i="1" s="1"/>
  <c r="AI117" i="1" s="1"/>
  <c r="AI118" i="1" s="1"/>
  <c r="AI119" i="1" s="1"/>
  <c r="AI120" i="1" s="1"/>
  <c r="AI121" i="1" s="1"/>
  <c r="AI122" i="1" s="1"/>
  <c r="AI123" i="1" s="1"/>
  <c r="AI124" i="1" s="1"/>
  <c r="AI125" i="1" s="1"/>
  <c r="AI126" i="1" s="1"/>
  <c r="AI127" i="1" s="1"/>
  <c r="AI128" i="1" s="1"/>
  <c r="AI129" i="1" s="1"/>
  <c r="AI130" i="1" s="1"/>
  <c r="AI131" i="1" s="1"/>
  <c r="AI132" i="1" s="1"/>
  <c r="AI133" i="1" s="1"/>
  <c r="AI134" i="1" s="1"/>
  <c r="AI135" i="1" s="1"/>
  <c r="AI136" i="1" s="1"/>
  <c r="AI137" i="1" s="1"/>
  <c r="AI138" i="1" s="1"/>
  <c r="AI139" i="1" s="1"/>
  <c r="AI140" i="1" s="1"/>
  <c r="AI141" i="1" s="1"/>
  <c r="AI142" i="1" s="1"/>
  <c r="AI146" i="1" s="1"/>
  <c r="AI147" i="1" s="1"/>
  <c r="AI148" i="1" s="1"/>
  <c r="AI149" i="1" s="1"/>
  <c r="AI150" i="1" s="1"/>
  <c r="AI151" i="1" s="1"/>
  <c r="AI152" i="1" s="1"/>
  <c r="AI153" i="1" s="1"/>
  <c r="AI154" i="1" s="1"/>
  <c r="AI155" i="1" s="1"/>
  <c r="AI156" i="1" s="1"/>
  <c r="AI157" i="1" s="1"/>
  <c r="AI158" i="1" s="1"/>
  <c r="AI159" i="1" s="1"/>
  <c r="AI160" i="1" s="1"/>
  <c r="AI161" i="1" s="1"/>
  <c r="AI162" i="1" s="1"/>
  <c r="AI163" i="1" s="1"/>
  <c r="AI164" i="1" s="1"/>
  <c r="AI165" i="1" s="1"/>
  <c r="AI166" i="1" s="1"/>
  <c r="AI167" i="1" s="1"/>
  <c r="AI168" i="1" s="1"/>
  <c r="AI169" i="1" s="1"/>
  <c r="AI170" i="1" s="1"/>
  <c r="AI171" i="1" s="1"/>
  <c r="AI172" i="1" s="1"/>
  <c r="AI173" i="1" s="1"/>
  <c r="AI174" i="1" s="1"/>
  <c r="AI175" i="1" s="1"/>
  <c r="AI176" i="1" s="1"/>
  <c r="AI177" i="1" s="1"/>
  <c r="AI178" i="1" s="1"/>
  <c r="AI182" i="1" s="1"/>
  <c r="AI183" i="1" s="1"/>
  <c r="AI184" i="1" s="1"/>
  <c r="AI185" i="1" s="1"/>
  <c r="AI186" i="1" s="1"/>
  <c r="AI187" i="1" s="1"/>
  <c r="AI188" i="1" s="1"/>
  <c r="AI189" i="1" s="1"/>
  <c r="AI190" i="1" s="1"/>
  <c r="AI191" i="1" s="1"/>
  <c r="AI192" i="1" s="1"/>
  <c r="AI193" i="1" s="1"/>
  <c r="AI194" i="1" s="1"/>
  <c r="AI195" i="1" s="1"/>
  <c r="AI196" i="1" s="1"/>
  <c r="AI197" i="1" s="1"/>
  <c r="AI198" i="1" s="1"/>
  <c r="AI199" i="1" s="1"/>
  <c r="AI200" i="1" s="1"/>
  <c r="AI201" i="1" s="1"/>
  <c r="AI202" i="1" s="1"/>
  <c r="AI203" i="1" s="1"/>
  <c r="AI204" i="1" s="1"/>
  <c r="AI205" i="1" s="1"/>
  <c r="AI206" i="1" s="1"/>
  <c r="AI207" i="1" s="1"/>
  <c r="AI208" i="1" s="1"/>
  <c r="AI209" i="1" s="1"/>
  <c r="AI210" i="1" s="1"/>
  <c r="AI211" i="1" s="1"/>
  <c r="AI212" i="1" s="1"/>
  <c r="AI213" i="1" s="1"/>
  <c r="AI217" i="1" s="1"/>
  <c r="AI218" i="1" s="1"/>
  <c r="AI219" i="1" s="1"/>
  <c r="AI220" i="1" s="1"/>
  <c r="AI221" i="1" s="1"/>
  <c r="AI222" i="1" s="1"/>
  <c r="AI223" i="1" s="1"/>
  <c r="AI224" i="1" s="1"/>
  <c r="AI225" i="1" s="1"/>
  <c r="AI226" i="1" s="1"/>
  <c r="AI227" i="1" s="1"/>
  <c r="AI228" i="1" s="1"/>
  <c r="AI229" i="1" s="1"/>
  <c r="AI230" i="1" s="1"/>
  <c r="AI231" i="1" s="1"/>
  <c r="AI232" i="1" s="1"/>
  <c r="AI233" i="1" s="1"/>
  <c r="AI234" i="1" s="1"/>
  <c r="AI235" i="1" s="1"/>
  <c r="AI236" i="1" s="1"/>
  <c r="AI237" i="1" s="1"/>
  <c r="AI238" i="1" s="1"/>
  <c r="AI239" i="1" s="1"/>
  <c r="AI240" i="1" s="1"/>
  <c r="AI241" i="1" s="1"/>
  <c r="AI242" i="1" s="1"/>
  <c r="AI243" i="1" s="1"/>
  <c r="AI244" i="1" s="1"/>
  <c r="AI245" i="1" s="1"/>
  <c r="AI246" i="1" s="1"/>
  <c r="AI247" i="1" s="1"/>
  <c r="AI248" i="1" s="1"/>
  <c r="AI249" i="1" s="1"/>
  <c r="AI253" i="1" s="1"/>
  <c r="AI254" i="1" s="1"/>
  <c r="AI255" i="1" s="1"/>
  <c r="AI256" i="1" s="1"/>
  <c r="AI257" i="1" s="1"/>
  <c r="AI258" i="1" s="1"/>
  <c r="AI259" i="1" s="1"/>
  <c r="AI260" i="1" s="1"/>
  <c r="AI261" i="1" s="1"/>
  <c r="AI262" i="1" s="1"/>
  <c r="AI263" i="1" s="1"/>
  <c r="AI264" i="1" s="1"/>
  <c r="AI265" i="1" s="1"/>
  <c r="AI266" i="1" s="1"/>
  <c r="AI267" i="1" s="1"/>
  <c r="AI268" i="1" s="1"/>
  <c r="AI269" i="1" s="1"/>
  <c r="AI270" i="1" s="1"/>
  <c r="AI271" i="1" s="1"/>
  <c r="AI272" i="1" s="1"/>
  <c r="AI273" i="1" s="1"/>
  <c r="AI274" i="1" s="1"/>
  <c r="AI275" i="1" s="1"/>
  <c r="AI276" i="1" s="1"/>
  <c r="AI277" i="1" s="1"/>
  <c r="AI278" i="1" s="1"/>
  <c r="AI279" i="1" s="1"/>
  <c r="AI280" i="1" s="1"/>
  <c r="AI281" i="1" s="1"/>
  <c r="AI282" i="1" s="1"/>
  <c r="AI283" i="1" s="1"/>
  <c r="AI284" i="1" s="1"/>
  <c r="AI285" i="1" s="1"/>
  <c r="AI289" i="1" s="1"/>
  <c r="AI290" i="1" s="1"/>
  <c r="AI291" i="1" s="1"/>
  <c r="AI292" i="1" s="1"/>
  <c r="AI293" i="1" s="1"/>
  <c r="AI294" i="1" s="1"/>
  <c r="AI295" i="1" s="1"/>
  <c r="AI296" i="1" s="1"/>
  <c r="AI297" i="1" s="1"/>
  <c r="AI298" i="1" s="1"/>
  <c r="AI299" i="1" s="1"/>
  <c r="AI300" i="1" s="1"/>
  <c r="AI301" i="1" s="1"/>
  <c r="AI302" i="1" s="1"/>
  <c r="AI303" i="1" s="1"/>
  <c r="AI304" i="1" s="1"/>
  <c r="AI305" i="1" s="1"/>
  <c r="AI306" i="1" s="1"/>
  <c r="AI307" i="1" s="1"/>
  <c r="AI308" i="1" s="1"/>
  <c r="AI309" i="1" s="1"/>
  <c r="AI310" i="1" s="1"/>
  <c r="AI311" i="1" s="1"/>
  <c r="AI312" i="1" s="1"/>
  <c r="AI313" i="1" s="1"/>
  <c r="AI314" i="1" s="1"/>
  <c r="AI315" i="1" s="1"/>
  <c r="AI316" i="1" s="1"/>
  <c r="AI317" i="1" s="1"/>
  <c r="AI318" i="1" s="1"/>
  <c r="AI319" i="1" s="1"/>
  <c r="AI320" i="1" s="1"/>
  <c r="AI324" i="1" s="1"/>
  <c r="AI325" i="1" s="1"/>
  <c r="AI326" i="1" s="1"/>
  <c r="AI327" i="1" s="1"/>
  <c r="AI328" i="1" s="1"/>
  <c r="AI329" i="1" s="1"/>
  <c r="AI330" i="1" s="1"/>
  <c r="AI331" i="1" s="1"/>
  <c r="AI332" i="1" s="1"/>
  <c r="AI333" i="1" s="1"/>
  <c r="AI334" i="1" s="1"/>
  <c r="AI335" i="1" s="1"/>
  <c r="AI336" i="1" s="1"/>
  <c r="AI337" i="1" s="1"/>
  <c r="AI338" i="1" s="1"/>
  <c r="AI339" i="1" s="1"/>
  <c r="AI340" i="1" s="1"/>
  <c r="AI341" i="1" s="1"/>
  <c r="AI342" i="1" s="1"/>
  <c r="AI343" i="1" s="1"/>
  <c r="AI344" i="1" s="1"/>
  <c r="AI345" i="1" s="1"/>
  <c r="AI346" i="1" s="1"/>
  <c r="AI347" i="1" s="1"/>
  <c r="AI348" i="1" s="1"/>
  <c r="AI349" i="1" s="1"/>
  <c r="AI350" i="1" s="1"/>
  <c r="AI351" i="1" s="1"/>
  <c r="AI352" i="1" s="1"/>
  <c r="AI353" i="1" s="1"/>
  <c r="AI354" i="1" s="1"/>
  <c r="AI355" i="1" s="1"/>
  <c r="AI356" i="1" s="1"/>
  <c r="AI360" i="1" s="1"/>
  <c r="AI361" i="1" s="1"/>
  <c r="AI362" i="1" s="1"/>
  <c r="AI363" i="1" s="1"/>
  <c r="AI364" i="1" s="1"/>
  <c r="AI365" i="1" s="1"/>
  <c r="AI366" i="1" s="1"/>
  <c r="AI367" i="1" s="1"/>
  <c r="AI368" i="1" s="1"/>
  <c r="AI369" i="1" s="1"/>
  <c r="AI370" i="1" s="1"/>
  <c r="AI371" i="1" s="1"/>
  <c r="AI372" i="1" s="1"/>
  <c r="AI373" i="1" s="1"/>
  <c r="AI374" i="1" s="1"/>
  <c r="AI375" i="1" s="1"/>
  <c r="AI376" i="1" s="1"/>
  <c r="AI377" i="1" s="1"/>
  <c r="AI378" i="1" s="1"/>
  <c r="AI379" i="1" s="1"/>
  <c r="AI380" i="1" s="1"/>
  <c r="AI381" i="1" s="1"/>
  <c r="AI382" i="1" s="1"/>
  <c r="AI383" i="1" s="1"/>
  <c r="AI384" i="1" s="1"/>
  <c r="AI385" i="1" s="1"/>
  <c r="AI386" i="1" s="1"/>
  <c r="AI387" i="1" s="1"/>
  <c r="AI388" i="1" s="1"/>
  <c r="AI389" i="1" s="1"/>
  <c r="AI390" i="1" s="1"/>
  <c r="AI391" i="1" s="1"/>
  <c r="AI395" i="1" s="1"/>
  <c r="AI396" i="1" s="1"/>
  <c r="AI397" i="1" s="1"/>
  <c r="AI398" i="1" s="1"/>
  <c r="AI399" i="1" s="1"/>
  <c r="AI400" i="1" s="1"/>
  <c r="AI401" i="1" s="1"/>
  <c r="AI402" i="1" s="1"/>
  <c r="AI403" i="1" s="1"/>
  <c r="AI404" i="1" s="1"/>
  <c r="AI405" i="1" s="1"/>
  <c r="AI406" i="1" s="1"/>
  <c r="AI407" i="1" s="1"/>
  <c r="AI408" i="1" s="1"/>
  <c r="AI409" i="1" s="1"/>
  <c r="AI410" i="1" s="1"/>
  <c r="AI411" i="1" s="1"/>
  <c r="AI412" i="1" s="1"/>
  <c r="AI413" i="1" s="1"/>
  <c r="AI414" i="1" s="1"/>
  <c r="AI415" i="1" s="1"/>
  <c r="AI416" i="1" s="1"/>
  <c r="AI417" i="1" s="1"/>
  <c r="AI418" i="1" s="1"/>
  <c r="AI419" i="1" s="1"/>
  <c r="AI420" i="1" s="1"/>
  <c r="AI421" i="1" s="1"/>
  <c r="AI422" i="1" s="1"/>
  <c r="AI423" i="1" s="1"/>
  <c r="AI424" i="1" s="1"/>
  <c r="AI425" i="1" s="1"/>
  <c r="AI426" i="1" s="1"/>
  <c r="AI427" i="1" s="1"/>
  <c r="X427" i="1"/>
  <c r="V427" i="1"/>
  <c r="X391" i="1"/>
  <c r="V391" i="1"/>
  <c r="X356" i="1"/>
  <c r="V356" i="1"/>
  <c r="X320" i="1"/>
  <c r="V320" i="1"/>
  <c r="X285" i="1"/>
  <c r="V285" i="1"/>
  <c r="X249" i="1"/>
  <c r="V249" i="1"/>
  <c r="X213" i="1"/>
  <c r="V213" i="1"/>
  <c r="X178" i="1"/>
  <c r="V178" i="1"/>
  <c r="X142" i="1"/>
  <c r="V142" i="1"/>
  <c r="X107" i="1"/>
  <c r="V107" i="1"/>
  <c r="X37" i="1"/>
  <c r="V37" i="1"/>
  <c r="Z6" i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Z36" i="1" s="1"/>
  <c r="Z37" i="1" s="1"/>
  <c r="Q6" i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5" i="1" s="1"/>
  <c r="Q76" i="1" s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4" i="1" s="1"/>
  <c r="Q105" i="1" s="1"/>
  <c r="Q106" i="1" s="1"/>
  <c r="Q107" i="1" s="1"/>
  <c r="Q111" i="1" s="1"/>
  <c r="Q112" i="1" s="1"/>
  <c r="Q113" i="1" s="1"/>
  <c r="Q114" i="1" s="1"/>
  <c r="Q115" i="1" s="1"/>
  <c r="Q116" i="1" s="1"/>
  <c r="Q117" i="1" s="1"/>
  <c r="Q118" i="1" s="1"/>
  <c r="Q119" i="1" s="1"/>
  <c r="Q120" i="1" s="1"/>
  <c r="Q121" i="1" s="1"/>
  <c r="Q122" i="1" s="1"/>
  <c r="Q123" i="1" s="1"/>
  <c r="Q124" i="1" s="1"/>
  <c r="Q125" i="1" s="1"/>
  <c r="Q126" i="1" s="1"/>
  <c r="Q127" i="1" s="1"/>
  <c r="Q128" i="1" s="1"/>
  <c r="Q129" i="1" s="1"/>
  <c r="Q130" i="1" s="1"/>
  <c r="Q131" i="1" s="1"/>
  <c r="Q132" i="1" s="1"/>
  <c r="Q133" i="1" s="1"/>
  <c r="Q134" i="1" s="1"/>
  <c r="Q135" i="1" s="1"/>
  <c r="Q136" i="1" s="1"/>
  <c r="Q137" i="1" s="1"/>
  <c r="Q138" i="1" s="1"/>
  <c r="Q139" i="1" s="1"/>
  <c r="Q140" i="1" s="1"/>
  <c r="Q141" i="1" s="1"/>
  <c r="Q142" i="1" s="1"/>
  <c r="Q146" i="1" s="1"/>
  <c r="Q147" i="1" s="1"/>
  <c r="Q148" i="1" s="1"/>
  <c r="Q149" i="1" s="1"/>
  <c r="Q150" i="1" s="1"/>
  <c r="Q151" i="1" s="1"/>
  <c r="Q152" i="1" s="1"/>
  <c r="Q153" i="1" s="1"/>
  <c r="Q154" i="1" s="1"/>
  <c r="Q155" i="1" s="1"/>
  <c r="Q156" i="1" s="1"/>
  <c r="Q157" i="1" s="1"/>
  <c r="Q158" i="1" s="1"/>
  <c r="Q159" i="1" s="1"/>
  <c r="Q160" i="1" s="1"/>
  <c r="Q161" i="1" s="1"/>
  <c r="Q162" i="1" s="1"/>
  <c r="Q163" i="1" s="1"/>
  <c r="Q164" i="1" s="1"/>
  <c r="Q165" i="1" s="1"/>
  <c r="Q166" i="1" s="1"/>
  <c r="Q167" i="1" s="1"/>
  <c r="Q168" i="1" s="1"/>
  <c r="Q169" i="1" s="1"/>
  <c r="Q170" i="1" s="1"/>
  <c r="Q171" i="1" s="1"/>
  <c r="Q172" i="1" s="1"/>
  <c r="Q173" i="1" s="1"/>
  <c r="Q174" i="1" s="1"/>
  <c r="Q175" i="1" s="1"/>
  <c r="Q176" i="1" s="1"/>
  <c r="Q177" i="1" s="1"/>
  <c r="Q178" i="1" s="1"/>
  <c r="Q182" i="1" s="1"/>
  <c r="Q183" i="1" s="1"/>
  <c r="Q184" i="1" s="1"/>
  <c r="Q185" i="1" s="1"/>
  <c r="Q186" i="1" s="1"/>
  <c r="Q187" i="1" s="1"/>
  <c r="Q188" i="1" s="1"/>
  <c r="Q189" i="1" s="1"/>
  <c r="Q190" i="1" s="1"/>
  <c r="Q191" i="1" s="1"/>
  <c r="Q192" i="1" s="1"/>
  <c r="Q193" i="1" s="1"/>
  <c r="Q194" i="1" s="1"/>
  <c r="Q195" i="1" s="1"/>
  <c r="Q196" i="1" s="1"/>
  <c r="Q197" i="1" s="1"/>
  <c r="Q198" i="1" s="1"/>
  <c r="Q199" i="1" s="1"/>
  <c r="Q200" i="1" s="1"/>
  <c r="Q201" i="1" s="1"/>
  <c r="Q202" i="1" s="1"/>
  <c r="Q203" i="1" s="1"/>
  <c r="Q204" i="1" s="1"/>
  <c r="Q205" i="1" s="1"/>
  <c r="Q206" i="1" s="1"/>
  <c r="Q207" i="1" s="1"/>
  <c r="Q208" i="1" s="1"/>
  <c r="Q209" i="1" s="1"/>
  <c r="Q210" i="1" s="1"/>
  <c r="Q211" i="1" s="1"/>
  <c r="Q212" i="1" s="1"/>
  <c r="Q213" i="1" s="1"/>
  <c r="Q217" i="1" s="1"/>
  <c r="Q218" i="1" s="1"/>
  <c r="Q219" i="1" s="1"/>
  <c r="Q220" i="1" s="1"/>
  <c r="Q221" i="1" s="1"/>
  <c r="Q222" i="1" s="1"/>
  <c r="Q223" i="1" s="1"/>
  <c r="Q224" i="1" s="1"/>
  <c r="Q225" i="1" s="1"/>
  <c r="Q226" i="1" s="1"/>
  <c r="Q227" i="1" s="1"/>
  <c r="Q228" i="1" s="1"/>
  <c r="Q229" i="1" s="1"/>
  <c r="Q230" i="1" s="1"/>
  <c r="Q231" i="1" s="1"/>
  <c r="Q232" i="1" s="1"/>
  <c r="Q233" i="1" s="1"/>
  <c r="Q234" i="1" s="1"/>
  <c r="Q235" i="1" s="1"/>
  <c r="Q236" i="1" s="1"/>
  <c r="Q237" i="1" s="1"/>
  <c r="Q238" i="1" s="1"/>
  <c r="Q239" i="1" s="1"/>
  <c r="Q240" i="1" s="1"/>
  <c r="Q241" i="1" s="1"/>
  <c r="Q242" i="1" s="1"/>
  <c r="Q243" i="1" s="1"/>
  <c r="Q244" i="1" s="1"/>
  <c r="Q245" i="1" s="1"/>
  <c r="Q246" i="1" s="1"/>
  <c r="Q247" i="1" s="1"/>
  <c r="Q248" i="1" s="1"/>
  <c r="Q249" i="1" s="1"/>
  <c r="Q253" i="1" s="1"/>
  <c r="Q254" i="1" s="1"/>
  <c r="Q255" i="1" s="1"/>
  <c r="Q256" i="1" s="1"/>
  <c r="Q257" i="1" s="1"/>
  <c r="Q258" i="1" s="1"/>
  <c r="Q259" i="1" s="1"/>
  <c r="Q260" i="1" s="1"/>
  <c r="Q261" i="1" s="1"/>
  <c r="Q262" i="1" s="1"/>
  <c r="Q263" i="1" s="1"/>
  <c r="Q264" i="1" s="1"/>
  <c r="Q265" i="1" s="1"/>
  <c r="Q266" i="1" s="1"/>
  <c r="Q267" i="1" s="1"/>
  <c r="Q268" i="1" s="1"/>
  <c r="Q269" i="1" s="1"/>
  <c r="Q270" i="1" s="1"/>
  <c r="Q271" i="1" s="1"/>
  <c r="Q272" i="1" s="1"/>
  <c r="Q273" i="1" s="1"/>
  <c r="Q274" i="1" s="1"/>
  <c r="Q275" i="1" s="1"/>
  <c r="Q276" i="1" s="1"/>
  <c r="Q277" i="1" s="1"/>
  <c r="Q278" i="1" s="1"/>
  <c r="Q279" i="1" s="1"/>
  <c r="Q280" i="1" s="1"/>
  <c r="Q281" i="1" s="1"/>
  <c r="Q282" i="1" s="1"/>
  <c r="Q283" i="1" s="1"/>
  <c r="Q284" i="1" s="1"/>
  <c r="Q285" i="1" s="1"/>
  <c r="Q289" i="1" s="1"/>
  <c r="Q290" i="1" s="1"/>
  <c r="Q291" i="1" s="1"/>
  <c r="Q292" i="1" s="1"/>
  <c r="Q293" i="1" s="1"/>
  <c r="Q294" i="1" s="1"/>
  <c r="Q295" i="1" s="1"/>
  <c r="Q296" i="1" s="1"/>
  <c r="Q297" i="1" s="1"/>
  <c r="Q298" i="1" s="1"/>
  <c r="Q299" i="1" s="1"/>
  <c r="Q300" i="1" s="1"/>
  <c r="Q301" i="1" s="1"/>
  <c r="Q302" i="1" s="1"/>
  <c r="Q303" i="1" s="1"/>
  <c r="Q304" i="1" s="1"/>
  <c r="Q305" i="1" s="1"/>
  <c r="Q306" i="1" s="1"/>
  <c r="Q307" i="1" s="1"/>
  <c r="Q308" i="1" s="1"/>
  <c r="Q309" i="1" s="1"/>
  <c r="Q310" i="1" s="1"/>
  <c r="Q311" i="1" s="1"/>
  <c r="Q312" i="1" s="1"/>
  <c r="Q313" i="1" s="1"/>
  <c r="Q314" i="1" s="1"/>
  <c r="Q315" i="1" s="1"/>
  <c r="Q316" i="1" s="1"/>
  <c r="Q317" i="1" s="1"/>
  <c r="Q318" i="1" s="1"/>
  <c r="Q319" i="1" s="1"/>
  <c r="Q320" i="1" s="1"/>
  <c r="Q324" i="1" s="1"/>
  <c r="Q325" i="1" s="1"/>
  <c r="Q326" i="1" s="1"/>
  <c r="Q327" i="1" s="1"/>
  <c r="Q328" i="1" s="1"/>
  <c r="Q329" i="1" s="1"/>
  <c r="Q330" i="1" s="1"/>
  <c r="Q331" i="1" s="1"/>
  <c r="Q332" i="1" s="1"/>
  <c r="Q333" i="1" s="1"/>
  <c r="Q334" i="1" s="1"/>
  <c r="Q335" i="1" s="1"/>
  <c r="Q336" i="1" s="1"/>
  <c r="Q337" i="1" s="1"/>
  <c r="Q338" i="1" s="1"/>
  <c r="Q339" i="1" s="1"/>
  <c r="Q340" i="1" s="1"/>
  <c r="Q341" i="1" s="1"/>
  <c r="Q342" i="1" s="1"/>
  <c r="Q343" i="1" s="1"/>
  <c r="Q344" i="1" s="1"/>
  <c r="Q345" i="1" s="1"/>
  <c r="Q346" i="1" s="1"/>
  <c r="Q347" i="1" s="1"/>
  <c r="Q348" i="1" s="1"/>
  <c r="Q349" i="1" s="1"/>
  <c r="Q350" i="1" s="1"/>
  <c r="Q351" i="1" s="1"/>
  <c r="Q352" i="1" s="1"/>
  <c r="Q353" i="1" s="1"/>
  <c r="Q354" i="1" s="1"/>
  <c r="Q355" i="1" s="1"/>
  <c r="Q356" i="1" s="1"/>
  <c r="Q360" i="1" s="1"/>
  <c r="Q361" i="1" s="1"/>
  <c r="Q362" i="1" s="1"/>
  <c r="Q363" i="1" s="1"/>
  <c r="Q364" i="1" s="1"/>
  <c r="Q365" i="1" s="1"/>
  <c r="Q366" i="1" s="1"/>
  <c r="Q367" i="1" s="1"/>
  <c r="Q368" i="1" s="1"/>
  <c r="Q369" i="1" s="1"/>
  <c r="Q370" i="1" s="1"/>
  <c r="Q371" i="1" s="1"/>
  <c r="Q372" i="1" s="1"/>
  <c r="Q373" i="1" s="1"/>
  <c r="Q374" i="1" s="1"/>
  <c r="Q375" i="1" s="1"/>
  <c r="Q376" i="1" s="1"/>
  <c r="Q377" i="1" s="1"/>
  <c r="Q378" i="1" s="1"/>
  <c r="Q379" i="1" s="1"/>
  <c r="Q380" i="1" s="1"/>
  <c r="Q381" i="1" s="1"/>
  <c r="Q382" i="1" s="1"/>
  <c r="Q383" i="1" s="1"/>
  <c r="Q384" i="1" s="1"/>
  <c r="Q385" i="1" s="1"/>
  <c r="Q386" i="1" s="1"/>
  <c r="Q387" i="1" s="1"/>
  <c r="Q388" i="1" s="1"/>
  <c r="Q389" i="1" s="1"/>
  <c r="Q390" i="1" s="1"/>
  <c r="Q391" i="1" s="1"/>
  <c r="Q395" i="1" s="1"/>
  <c r="Q396" i="1" s="1"/>
  <c r="Q397" i="1" s="1"/>
  <c r="Q398" i="1" s="1"/>
  <c r="Q399" i="1" s="1"/>
  <c r="Q400" i="1" s="1"/>
  <c r="Q401" i="1" s="1"/>
  <c r="Q402" i="1" s="1"/>
  <c r="Q403" i="1" s="1"/>
  <c r="Q404" i="1" s="1"/>
  <c r="Q405" i="1" s="1"/>
  <c r="Q406" i="1" s="1"/>
  <c r="Q407" i="1" s="1"/>
  <c r="Q408" i="1" s="1"/>
  <c r="Q409" i="1" s="1"/>
  <c r="Q410" i="1" s="1"/>
  <c r="Q411" i="1" s="1"/>
  <c r="Q412" i="1" s="1"/>
  <c r="Q413" i="1" s="1"/>
  <c r="Q414" i="1" s="1"/>
  <c r="Q415" i="1" s="1"/>
  <c r="Q416" i="1" s="1"/>
  <c r="Q417" i="1" s="1"/>
  <c r="Q418" i="1" s="1"/>
  <c r="Q419" i="1" s="1"/>
  <c r="Q420" i="1" s="1"/>
  <c r="Q421" i="1" s="1"/>
  <c r="Q422" i="1" s="1"/>
  <c r="Q423" i="1" s="1"/>
  <c r="Q424" i="1" s="1"/>
  <c r="Q425" i="1" s="1"/>
  <c r="Q426" i="1" s="1"/>
  <c r="Q427" i="1" s="1"/>
  <c r="V15" i="5" l="1"/>
  <c r="H26" i="18" s="1"/>
  <c r="GG71" i="1"/>
  <c r="BA76" i="1"/>
  <c r="BA77" i="1" s="1"/>
  <c r="BA78" i="1" s="1"/>
  <c r="BA79" i="1" s="1"/>
  <c r="BA80" i="1" s="1"/>
  <c r="BA81" i="1" s="1"/>
  <c r="BA82" i="1" s="1"/>
  <c r="BA83" i="1" s="1"/>
  <c r="BA84" i="1" s="1"/>
  <c r="BA85" i="1" s="1"/>
  <c r="BA86" i="1" s="1"/>
  <c r="BA87" i="1" s="1"/>
  <c r="BA88" i="1" s="1"/>
  <c r="BA89" i="1" s="1"/>
  <c r="BA90" i="1" s="1"/>
  <c r="BA91" i="1" s="1"/>
  <c r="BA92" i="1" s="1"/>
  <c r="BA93" i="1" s="1"/>
  <c r="BA94" i="1" s="1"/>
  <c r="BA95" i="1" s="1"/>
  <c r="BA96" i="1" s="1"/>
  <c r="BA97" i="1" s="1"/>
  <c r="BA98" i="1" s="1"/>
  <c r="BA99" i="1" s="1"/>
  <c r="BA100" i="1" s="1"/>
  <c r="BA101" i="1" s="1"/>
  <c r="BA102" i="1" s="1"/>
  <c r="BA103" i="1" s="1"/>
  <c r="BA104" i="1" s="1"/>
  <c r="BA105" i="1" s="1"/>
  <c r="BA106" i="1" s="1"/>
  <c r="BA107" i="1" s="1"/>
  <c r="BA111" i="1" s="1"/>
  <c r="BA112" i="1" s="1"/>
  <c r="BA113" i="1" s="1"/>
  <c r="BA114" i="1" s="1"/>
  <c r="BA115" i="1" s="1"/>
  <c r="BA116" i="1" s="1"/>
  <c r="BA117" i="1" s="1"/>
  <c r="BA118" i="1" s="1"/>
  <c r="BA119" i="1" s="1"/>
  <c r="BA120" i="1" s="1"/>
  <c r="BA121" i="1" s="1"/>
  <c r="BA122" i="1" s="1"/>
  <c r="BA123" i="1" s="1"/>
  <c r="BA124" i="1" s="1"/>
  <c r="BA125" i="1" s="1"/>
  <c r="BA126" i="1" s="1"/>
  <c r="BA127" i="1" s="1"/>
  <c r="BA128" i="1" s="1"/>
  <c r="BA129" i="1" s="1"/>
  <c r="BA130" i="1" s="1"/>
  <c r="BA131" i="1" s="1"/>
  <c r="BA132" i="1" s="1"/>
  <c r="BA133" i="1" s="1"/>
  <c r="BA134" i="1" s="1"/>
  <c r="BA135" i="1" s="1"/>
  <c r="BA136" i="1" s="1"/>
  <c r="BA137" i="1" s="1"/>
  <c r="BA138" i="1" s="1"/>
  <c r="BA139" i="1" s="1"/>
  <c r="BA140" i="1" s="1"/>
  <c r="BA141" i="1" s="1"/>
  <c r="BA142" i="1" s="1"/>
  <c r="BA146" i="1" s="1"/>
  <c r="BA147" i="1" s="1"/>
  <c r="BA148" i="1" s="1"/>
  <c r="BA149" i="1" s="1"/>
  <c r="BA150" i="1" s="1"/>
  <c r="BA151" i="1" s="1"/>
  <c r="BA152" i="1" s="1"/>
  <c r="BA153" i="1" s="1"/>
  <c r="BA154" i="1" s="1"/>
  <c r="BA155" i="1" s="1"/>
  <c r="BA156" i="1" s="1"/>
  <c r="BA157" i="1" s="1"/>
  <c r="BA158" i="1" s="1"/>
  <c r="BA159" i="1" s="1"/>
  <c r="BA160" i="1" s="1"/>
  <c r="BA161" i="1" s="1"/>
  <c r="BA162" i="1" s="1"/>
  <c r="BA163" i="1" s="1"/>
  <c r="BA164" i="1" s="1"/>
  <c r="BA165" i="1" s="1"/>
  <c r="BA166" i="1" s="1"/>
  <c r="BA167" i="1" s="1"/>
  <c r="BA168" i="1" s="1"/>
  <c r="BA169" i="1" s="1"/>
  <c r="BA170" i="1" s="1"/>
  <c r="BA171" i="1" s="1"/>
  <c r="BA172" i="1" s="1"/>
  <c r="BA173" i="1" s="1"/>
  <c r="BA174" i="1" s="1"/>
  <c r="BA175" i="1" s="1"/>
  <c r="BA176" i="1" s="1"/>
  <c r="BA177" i="1" s="1"/>
  <c r="BA178" i="1" s="1"/>
  <c r="BA182" i="1" s="1"/>
  <c r="BA183" i="1" s="1"/>
  <c r="BA184" i="1" s="1"/>
  <c r="BA185" i="1" s="1"/>
  <c r="BA186" i="1" s="1"/>
  <c r="BA187" i="1" s="1"/>
  <c r="BA188" i="1" s="1"/>
  <c r="BA189" i="1" s="1"/>
  <c r="BA190" i="1" s="1"/>
  <c r="BA191" i="1" s="1"/>
  <c r="BA192" i="1" s="1"/>
  <c r="BA193" i="1" s="1"/>
  <c r="BA194" i="1" s="1"/>
  <c r="BA195" i="1" s="1"/>
  <c r="BA196" i="1" s="1"/>
  <c r="BA197" i="1" s="1"/>
  <c r="BA198" i="1" s="1"/>
  <c r="BA199" i="1" s="1"/>
  <c r="BA200" i="1" s="1"/>
  <c r="BA201" i="1" s="1"/>
  <c r="BA202" i="1" s="1"/>
  <c r="BA203" i="1" s="1"/>
  <c r="BA204" i="1" s="1"/>
  <c r="BA205" i="1" s="1"/>
  <c r="BA206" i="1" s="1"/>
  <c r="BA207" i="1" s="1"/>
  <c r="BA208" i="1" s="1"/>
  <c r="BA209" i="1" s="1"/>
  <c r="BA210" i="1" s="1"/>
  <c r="BA211" i="1" s="1"/>
  <c r="BA212" i="1" s="1"/>
  <c r="BA213" i="1" s="1"/>
  <c r="BA217" i="1" s="1"/>
  <c r="BA218" i="1" s="1"/>
  <c r="BA219" i="1" s="1"/>
  <c r="BA220" i="1" s="1"/>
  <c r="BA221" i="1" s="1"/>
  <c r="BA222" i="1" s="1"/>
  <c r="BA223" i="1" s="1"/>
  <c r="BA224" i="1" s="1"/>
  <c r="BA225" i="1" s="1"/>
  <c r="BA226" i="1" s="1"/>
  <c r="BA227" i="1" s="1"/>
  <c r="BA228" i="1" s="1"/>
  <c r="BA229" i="1" s="1"/>
  <c r="BA230" i="1" s="1"/>
  <c r="BA231" i="1" s="1"/>
  <c r="BA232" i="1" s="1"/>
  <c r="BA233" i="1" s="1"/>
  <c r="BA234" i="1" s="1"/>
  <c r="BA235" i="1" s="1"/>
  <c r="BA236" i="1" s="1"/>
  <c r="BA237" i="1" s="1"/>
  <c r="BA238" i="1" s="1"/>
  <c r="BA239" i="1" s="1"/>
  <c r="BA240" i="1" s="1"/>
  <c r="BA241" i="1" s="1"/>
  <c r="BA242" i="1" s="1"/>
  <c r="BA243" i="1" s="1"/>
  <c r="BA244" i="1" s="1"/>
  <c r="BA245" i="1" s="1"/>
  <c r="BA246" i="1" s="1"/>
  <c r="BA247" i="1" s="1"/>
  <c r="BA248" i="1" s="1"/>
  <c r="BA249" i="1" s="1"/>
  <c r="BA253" i="1" s="1"/>
  <c r="BA254" i="1" s="1"/>
  <c r="BA255" i="1" s="1"/>
  <c r="BA256" i="1" s="1"/>
  <c r="BA257" i="1" s="1"/>
  <c r="BA258" i="1" s="1"/>
  <c r="BA259" i="1" s="1"/>
  <c r="BA260" i="1" s="1"/>
  <c r="BA261" i="1" s="1"/>
  <c r="BA262" i="1" s="1"/>
  <c r="BA263" i="1" s="1"/>
  <c r="BA264" i="1" s="1"/>
  <c r="BA265" i="1" s="1"/>
  <c r="BA266" i="1" s="1"/>
  <c r="BA267" i="1" s="1"/>
  <c r="BA268" i="1" s="1"/>
  <c r="BA269" i="1" s="1"/>
  <c r="BA270" i="1" s="1"/>
  <c r="BA271" i="1" s="1"/>
  <c r="BA272" i="1" s="1"/>
  <c r="BA273" i="1" s="1"/>
  <c r="BA274" i="1" s="1"/>
  <c r="BA275" i="1" s="1"/>
  <c r="BA276" i="1" s="1"/>
  <c r="BA277" i="1" s="1"/>
  <c r="BA278" i="1" s="1"/>
  <c r="BA279" i="1" s="1"/>
  <c r="BA280" i="1" s="1"/>
  <c r="BA281" i="1" s="1"/>
  <c r="BA282" i="1" s="1"/>
  <c r="BA283" i="1" s="1"/>
  <c r="BA284" i="1" s="1"/>
  <c r="BA285" i="1" s="1"/>
  <c r="BA289" i="1" s="1"/>
  <c r="BA290" i="1" s="1"/>
  <c r="BA291" i="1" s="1"/>
  <c r="BA292" i="1" s="1"/>
  <c r="BA293" i="1" s="1"/>
  <c r="BA294" i="1" s="1"/>
  <c r="BA295" i="1" s="1"/>
  <c r="BA296" i="1" s="1"/>
  <c r="BA297" i="1" s="1"/>
  <c r="BA298" i="1" s="1"/>
  <c r="BA299" i="1" s="1"/>
  <c r="BA300" i="1" s="1"/>
  <c r="BA301" i="1" s="1"/>
  <c r="BA302" i="1" s="1"/>
  <c r="BA303" i="1" s="1"/>
  <c r="BA304" i="1" s="1"/>
  <c r="BA305" i="1" s="1"/>
  <c r="BA306" i="1" s="1"/>
  <c r="BA307" i="1" s="1"/>
  <c r="BA308" i="1" s="1"/>
  <c r="BA309" i="1" s="1"/>
  <c r="BA310" i="1" s="1"/>
  <c r="BA311" i="1" s="1"/>
  <c r="BA312" i="1" s="1"/>
  <c r="BA313" i="1" s="1"/>
  <c r="BA314" i="1" s="1"/>
  <c r="BA315" i="1" s="1"/>
  <c r="BA316" i="1" s="1"/>
  <c r="BA317" i="1" s="1"/>
  <c r="BA318" i="1" s="1"/>
  <c r="BA319" i="1" s="1"/>
  <c r="BA320" i="1" s="1"/>
  <c r="BA324" i="1" s="1"/>
  <c r="BA325" i="1" s="1"/>
  <c r="BA326" i="1" s="1"/>
  <c r="BA327" i="1" s="1"/>
  <c r="BA328" i="1" s="1"/>
  <c r="BA329" i="1" s="1"/>
  <c r="BA330" i="1" s="1"/>
  <c r="BA331" i="1" s="1"/>
  <c r="BA332" i="1" s="1"/>
  <c r="BA333" i="1" s="1"/>
  <c r="BA334" i="1" s="1"/>
  <c r="BA335" i="1" s="1"/>
  <c r="BA336" i="1" s="1"/>
  <c r="BA337" i="1" s="1"/>
  <c r="BA338" i="1" s="1"/>
  <c r="BA339" i="1" s="1"/>
  <c r="BA340" i="1" s="1"/>
  <c r="BA341" i="1" s="1"/>
  <c r="BA342" i="1" s="1"/>
  <c r="BA343" i="1" s="1"/>
  <c r="BA344" i="1" s="1"/>
  <c r="BA345" i="1" s="1"/>
  <c r="BA346" i="1" s="1"/>
  <c r="BA347" i="1" s="1"/>
  <c r="BA348" i="1" s="1"/>
  <c r="BA349" i="1" s="1"/>
  <c r="BA350" i="1" s="1"/>
  <c r="BA351" i="1" s="1"/>
  <c r="BA352" i="1" s="1"/>
  <c r="BA353" i="1" s="1"/>
  <c r="BA354" i="1" s="1"/>
  <c r="BA355" i="1" s="1"/>
  <c r="BA356" i="1" s="1"/>
  <c r="BA360" i="1" s="1"/>
  <c r="BA361" i="1" s="1"/>
  <c r="BA362" i="1" s="1"/>
  <c r="BA363" i="1" s="1"/>
  <c r="BA364" i="1" s="1"/>
  <c r="BA365" i="1" s="1"/>
  <c r="BA366" i="1" s="1"/>
  <c r="BA367" i="1" s="1"/>
  <c r="BA368" i="1" s="1"/>
  <c r="BA369" i="1" s="1"/>
  <c r="BA370" i="1" s="1"/>
  <c r="BA371" i="1" s="1"/>
  <c r="BA372" i="1" s="1"/>
  <c r="BA373" i="1" s="1"/>
  <c r="BA374" i="1" s="1"/>
  <c r="BA375" i="1" s="1"/>
  <c r="BA376" i="1" s="1"/>
  <c r="BA377" i="1" s="1"/>
  <c r="BA378" i="1" s="1"/>
  <c r="BA379" i="1" s="1"/>
  <c r="BA380" i="1" s="1"/>
  <c r="BA381" i="1" s="1"/>
  <c r="BA382" i="1" s="1"/>
  <c r="BA383" i="1" s="1"/>
  <c r="BA384" i="1" s="1"/>
  <c r="BA385" i="1" s="1"/>
  <c r="BA386" i="1" s="1"/>
  <c r="BA387" i="1" s="1"/>
  <c r="BA388" i="1" s="1"/>
  <c r="BA389" i="1" s="1"/>
  <c r="BA390" i="1" s="1"/>
  <c r="BA391" i="1" s="1"/>
  <c r="BA395" i="1" s="1"/>
  <c r="BA396" i="1" s="1"/>
  <c r="BA397" i="1" s="1"/>
  <c r="BA398" i="1" s="1"/>
  <c r="BA399" i="1" s="1"/>
  <c r="BA400" i="1" s="1"/>
  <c r="BA401" i="1" s="1"/>
  <c r="BA402" i="1" s="1"/>
  <c r="BA403" i="1" s="1"/>
  <c r="BA404" i="1" s="1"/>
  <c r="BA405" i="1" s="1"/>
  <c r="BA406" i="1" s="1"/>
  <c r="BA407" i="1" s="1"/>
  <c r="BA408" i="1" s="1"/>
  <c r="BA409" i="1" s="1"/>
  <c r="BA410" i="1" s="1"/>
  <c r="BA411" i="1" s="1"/>
  <c r="BA412" i="1" s="1"/>
  <c r="BA413" i="1" s="1"/>
  <c r="BA414" i="1" s="1"/>
  <c r="BA415" i="1" s="1"/>
  <c r="BA416" i="1" s="1"/>
  <c r="BA417" i="1" s="1"/>
  <c r="BA418" i="1" s="1"/>
  <c r="BA419" i="1" s="1"/>
  <c r="BA420" i="1" s="1"/>
  <c r="BA421" i="1" s="1"/>
  <c r="BA422" i="1" s="1"/>
  <c r="BA423" i="1" s="1"/>
  <c r="BA424" i="1" s="1"/>
  <c r="BA425" i="1" s="1"/>
  <c r="BA426" i="1" s="1"/>
  <c r="BA427" i="1" s="1"/>
  <c r="G85" i="5" s="1"/>
  <c r="H9" i="16" s="1"/>
  <c r="G18" i="5"/>
  <c r="Z41" i="1"/>
  <c r="Z42" i="1" s="1"/>
  <c r="Z43" i="1" s="1"/>
  <c r="Z44" i="1" s="1"/>
  <c r="Z45" i="1" s="1"/>
  <c r="Z46" i="1" s="1"/>
  <c r="Z47" i="1" s="1"/>
  <c r="Z48" i="1" s="1"/>
  <c r="Z49" i="1" s="1"/>
  <c r="Z50" i="1" s="1"/>
  <c r="Z51" i="1" s="1"/>
  <c r="Z52" i="1" s="1"/>
  <c r="Z53" i="1" s="1"/>
  <c r="Z54" i="1" s="1"/>
  <c r="Z55" i="1" s="1"/>
  <c r="Z56" i="1" s="1"/>
  <c r="Z57" i="1" s="1"/>
  <c r="Z58" i="1" s="1"/>
  <c r="Z59" i="1" s="1"/>
  <c r="Z60" i="1" s="1"/>
  <c r="Z61" i="1" s="1"/>
  <c r="Z62" i="1" s="1"/>
  <c r="Z63" i="1" s="1"/>
  <c r="Z64" i="1" s="1"/>
  <c r="Z65" i="1" s="1"/>
  <c r="Z66" i="1" s="1"/>
  <c r="Z67" i="1" s="1"/>
  <c r="Z68" i="1" s="1"/>
  <c r="Z69" i="1" s="1"/>
  <c r="Z70" i="1" s="1"/>
  <c r="Z71" i="1" s="1"/>
  <c r="Z75" i="1" s="1"/>
  <c r="Z76" i="1" s="1"/>
  <c r="Z77" i="1" s="1"/>
  <c r="Z78" i="1" s="1"/>
  <c r="Z79" i="1" s="1"/>
  <c r="Z80" i="1" s="1"/>
  <c r="Z81" i="1" s="1"/>
  <c r="Z82" i="1" s="1"/>
  <c r="Z83" i="1" s="1"/>
  <c r="Z84" i="1" s="1"/>
  <c r="Z85" i="1" s="1"/>
  <c r="Z86" i="1" s="1"/>
  <c r="Z87" i="1" s="1"/>
  <c r="Z88" i="1" s="1"/>
  <c r="Z89" i="1" s="1"/>
  <c r="Z90" i="1" s="1"/>
  <c r="Z91" i="1" s="1"/>
  <c r="Z92" i="1" s="1"/>
  <c r="Z93" i="1" s="1"/>
  <c r="Z94" i="1" s="1"/>
  <c r="Z95" i="1" s="1"/>
  <c r="Z96" i="1" s="1"/>
  <c r="Z97" i="1" s="1"/>
  <c r="Z98" i="1" s="1"/>
  <c r="Z99" i="1" s="1"/>
  <c r="Z100" i="1" s="1"/>
  <c r="Z101" i="1" s="1"/>
  <c r="Z102" i="1" s="1"/>
  <c r="Z103" i="1" s="1"/>
  <c r="Z104" i="1" s="1"/>
  <c r="Z105" i="1" s="1"/>
  <c r="Z106" i="1" s="1"/>
  <c r="Z107" i="1" s="1"/>
  <c r="Z111" i="1" s="1"/>
  <c r="Z112" i="1" s="1"/>
  <c r="Z113" i="1" s="1"/>
  <c r="Z114" i="1" s="1"/>
  <c r="Z115" i="1" s="1"/>
  <c r="Z116" i="1" s="1"/>
  <c r="Z117" i="1" s="1"/>
  <c r="Z118" i="1" s="1"/>
  <c r="Z119" i="1" s="1"/>
  <c r="Z120" i="1" s="1"/>
  <c r="Z121" i="1" s="1"/>
  <c r="Z122" i="1" s="1"/>
  <c r="Z123" i="1" s="1"/>
  <c r="Z124" i="1" s="1"/>
  <c r="Z125" i="1" s="1"/>
  <c r="Z126" i="1" s="1"/>
  <c r="Z127" i="1" s="1"/>
  <c r="Z128" i="1" s="1"/>
  <c r="Z129" i="1" s="1"/>
  <c r="Z130" i="1" s="1"/>
  <c r="Z131" i="1" s="1"/>
  <c r="Z132" i="1" s="1"/>
  <c r="Z133" i="1" s="1"/>
  <c r="Z134" i="1" s="1"/>
  <c r="Z135" i="1" s="1"/>
  <c r="Z136" i="1" s="1"/>
  <c r="Z137" i="1" s="1"/>
  <c r="Z138" i="1" s="1"/>
  <c r="Z139" i="1" s="1"/>
  <c r="Z140" i="1" s="1"/>
  <c r="Z141" i="1" s="1"/>
  <c r="Z142" i="1" s="1"/>
  <c r="Z146" i="1" s="1"/>
  <c r="Z147" i="1" s="1"/>
  <c r="Z148" i="1" s="1"/>
  <c r="Z149" i="1" s="1"/>
  <c r="Z150" i="1" s="1"/>
  <c r="Z151" i="1" s="1"/>
  <c r="Z152" i="1" s="1"/>
  <c r="Z153" i="1" s="1"/>
  <c r="Z154" i="1" s="1"/>
  <c r="Z155" i="1" s="1"/>
  <c r="Z156" i="1" s="1"/>
  <c r="Z157" i="1" s="1"/>
  <c r="Z158" i="1" s="1"/>
  <c r="Z159" i="1" s="1"/>
  <c r="Z160" i="1" s="1"/>
  <c r="Z161" i="1" s="1"/>
  <c r="Z162" i="1" s="1"/>
  <c r="Z163" i="1" s="1"/>
  <c r="Z164" i="1" s="1"/>
  <c r="Z165" i="1" s="1"/>
  <c r="Z166" i="1" s="1"/>
  <c r="Z167" i="1" s="1"/>
  <c r="Z168" i="1" s="1"/>
  <c r="Z169" i="1" s="1"/>
  <c r="Z170" i="1" s="1"/>
  <c r="Z171" i="1" s="1"/>
  <c r="Z172" i="1" s="1"/>
  <c r="Z173" i="1" s="1"/>
  <c r="Z174" i="1" s="1"/>
  <c r="Z175" i="1" s="1"/>
  <c r="Z176" i="1" s="1"/>
  <c r="Z177" i="1" s="1"/>
  <c r="Z178" i="1" s="1"/>
  <c r="Z182" i="1" s="1"/>
  <c r="Z183" i="1" s="1"/>
  <c r="Z184" i="1" s="1"/>
  <c r="Z185" i="1" s="1"/>
  <c r="Z186" i="1" s="1"/>
  <c r="Z187" i="1" s="1"/>
  <c r="Z188" i="1" s="1"/>
  <c r="Z189" i="1" s="1"/>
  <c r="Z190" i="1" s="1"/>
  <c r="Z191" i="1" s="1"/>
  <c r="Z192" i="1" s="1"/>
  <c r="Z193" i="1" s="1"/>
  <c r="Z194" i="1" s="1"/>
  <c r="Z195" i="1" s="1"/>
  <c r="Z196" i="1" s="1"/>
  <c r="Z197" i="1" s="1"/>
  <c r="Z198" i="1" s="1"/>
  <c r="Z199" i="1" s="1"/>
  <c r="Z200" i="1" s="1"/>
  <c r="Z201" i="1" s="1"/>
  <c r="Z202" i="1" s="1"/>
  <c r="Z203" i="1" s="1"/>
  <c r="Z204" i="1" s="1"/>
  <c r="Z205" i="1" s="1"/>
  <c r="Z206" i="1" s="1"/>
  <c r="Z207" i="1" s="1"/>
  <c r="Z208" i="1" s="1"/>
  <c r="Z209" i="1" s="1"/>
  <c r="Z210" i="1" s="1"/>
  <c r="Z211" i="1" s="1"/>
  <c r="Z212" i="1" s="1"/>
  <c r="Z213" i="1" s="1"/>
  <c r="Z217" i="1" s="1"/>
  <c r="Z218" i="1" s="1"/>
  <c r="Z219" i="1" s="1"/>
  <c r="Z220" i="1" s="1"/>
  <c r="Z221" i="1" s="1"/>
  <c r="Z222" i="1" s="1"/>
  <c r="Z223" i="1" s="1"/>
  <c r="Z224" i="1" s="1"/>
  <c r="Z225" i="1" s="1"/>
  <c r="Z226" i="1" s="1"/>
  <c r="Z227" i="1" s="1"/>
  <c r="Z228" i="1" s="1"/>
  <c r="Z229" i="1" s="1"/>
  <c r="Z230" i="1" s="1"/>
  <c r="Z231" i="1" s="1"/>
  <c r="Z232" i="1" s="1"/>
  <c r="Z233" i="1" s="1"/>
  <c r="Z234" i="1" s="1"/>
  <c r="Z235" i="1" s="1"/>
  <c r="Z236" i="1" s="1"/>
  <c r="Z237" i="1" s="1"/>
  <c r="Z238" i="1" s="1"/>
  <c r="Z239" i="1" s="1"/>
  <c r="Z240" i="1" s="1"/>
  <c r="Z241" i="1" s="1"/>
  <c r="Z242" i="1" s="1"/>
  <c r="Z243" i="1" s="1"/>
  <c r="Z244" i="1" s="1"/>
  <c r="Z245" i="1" s="1"/>
  <c r="Z246" i="1" s="1"/>
  <c r="Z247" i="1" s="1"/>
  <c r="Z248" i="1" s="1"/>
  <c r="Z249" i="1" s="1"/>
  <c r="Z253" i="1" s="1"/>
  <c r="Z254" i="1" s="1"/>
  <c r="Z255" i="1" s="1"/>
  <c r="Z256" i="1" s="1"/>
  <c r="Z257" i="1" s="1"/>
  <c r="Z258" i="1" s="1"/>
  <c r="Z259" i="1" s="1"/>
  <c r="Z260" i="1" s="1"/>
  <c r="Z261" i="1" s="1"/>
  <c r="Z262" i="1" s="1"/>
  <c r="Z263" i="1" s="1"/>
  <c r="Z264" i="1" s="1"/>
  <c r="Z265" i="1" s="1"/>
  <c r="Z266" i="1" s="1"/>
  <c r="Z267" i="1" s="1"/>
  <c r="Z268" i="1" s="1"/>
  <c r="Z269" i="1" s="1"/>
  <c r="Z270" i="1" s="1"/>
  <c r="Z271" i="1" s="1"/>
  <c r="Z272" i="1" s="1"/>
  <c r="Z273" i="1" s="1"/>
  <c r="Z274" i="1" s="1"/>
  <c r="Z275" i="1" s="1"/>
  <c r="Z276" i="1" s="1"/>
  <c r="Z277" i="1" s="1"/>
  <c r="Z278" i="1" s="1"/>
  <c r="Z279" i="1" s="1"/>
  <c r="Z280" i="1" s="1"/>
  <c r="Z281" i="1" s="1"/>
  <c r="Z282" i="1" s="1"/>
  <c r="Z283" i="1" s="1"/>
  <c r="Z284" i="1" s="1"/>
  <c r="Z285" i="1" s="1"/>
  <c r="Z289" i="1" s="1"/>
  <c r="Z290" i="1" s="1"/>
  <c r="Z291" i="1" s="1"/>
  <c r="Z292" i="1" s="1"/>
  <c r="Z293" i="1" s="1"/>
  <c r="Z294" i="1" s="1"/>
  <c r="Z295" i="1" s="1"/>
  <c r="Z296" i="1" s="1"/>
  <c r="Z297" i="1" s="1"/>
  <c r="Z298" i="1" s="1"/>
  <c r="Z299" i="1" s="1"/>
  <c r="Z300" i="1" s="1"/>
  <c r="Z301" i="1" s="1"/>
  <c r="Z302" i="1" s="1"/>
  <c r="Z303" i="1" s="1"/>
  <c r="Z304" i="1" s="1"/>
  <c r="Z305" i="1" s="1"/>
  <c r="Z306" i="1" s="1"/>
  <c r="Z307" i="1" s="1"/>
  <c r="Z308" i="1" s="1"/>
  <c r="Z309" i="1" s="1"/>
  <c r="Z310" i="1" s="1"/>
  <c r="Z311" i="1" s="1"/>
  <c r="Z312" i="1" s="1"/>
  <c r="Z313" i="1" s="1"/>
  <c r="Z314" i="1" s="1"/>
  <c r="Z315" i="1" s="1"/>
  <c r="Z316" i="1" s="1"/>
  <c r="Z317" i="1" s="1"/>
  <c r="Z318" i="1" s="1"/>
  <c r="Z319" i="1" s="1"/>
  <c r="Z320" i="1" s="1"/>
  <c r="Z324" i="1" s="1"/>
  <c r="Z325" i="1" s="1"/>
  <c r="Z326" i="1" s="1"/>
  <c r="Z327" i="1" s="1"/>
  <c r="Z328" i="1" s="1"/>
  <c r="Z329" i="1" s="1"/>
  <c r="Z330" i="1" s="1"/>
  <c r="Z331" i="1" s="1"/>
  <c r="Z332" i="1" s="1"/>
  <c r="Z333" i="1" s="1"/>
  <c r="Z334" i="1" s="1"/>
  <c r="Z335" i="1" s="1"/>
  <c r="Z336" i="1" s="1"/>
  <c r="Z337" i="1" s="1"/>
  <c r="Z338" i="1" s="1"/>
  <c r="Z339" i="1" s="1"/>
  <c r="Z340" i="1" s="1"/>
  <c r="Z341" i="1" s="1"/>
  <c r="Z342" i="1" s="1"/>
  <c r="Z343" i="1" s="1"/>
  <c r="Z344" i="1" s="1"/>
  <c r="Z345" i="1" s="1"/>
  <c r="Z346" i="1" s="1"/>
  <c r="Z347" i="1" s="1"/>
  <c r="Z348" i="1" s="1"/>
  <c r="Z349" i="1" s="1"/>
  <c r="Z350" i="1" s="1"/>
  <c r="Z351" i="1" s="1"/>
  <c r="Z352" i="1" s="1"/>
  <c r="Z353" i="1" s="1"/>
  <c r="Z354" i="1" s="1"/>
  <c r="Z355" i="1" s="1"/>
  <c r="Z356" i="1" s="1"/>
  <c r="Z360" i="1" s="1"/>
  <c r="Z361" i="1" s="1"/>
  <c r="Z362" i="1" s="1"/>
  <c r="Z363" i="1" s="1"/>
  <c r="Z364" i="1" s="1"/>
  <c r="Z365" i="1" s="1"/>
  <c r="Z366" i="1" s="1"/>
  <c r="Z367" i="1" s="1"/>
  <c r="Z368" i="1" s="1"/>
  <c r="Z369" i="1" s="1"/>
  <c r="Z370" i="1" s="1"/>
  <c r="Z371" i="1" s="1"/>
  <c r="Z372" i="1" s="1"/>
  <c r="Z373" i="1" s="1"/>
  <c r="Z374" i="1" s="1"/>
  <c r="Z375" i="1" s="1"/>
  <c r="Z376" i="1" s="1"/>
  <c r="Z377" i="1" s="1"/>
  <c r="Z378" i="1" s="1"/>
  <c r="Z379" i="1" s="1"/>
  <c r="Z380" i="1" s="1"/>
  <c r="Z381" i="1" s="1"/>
  <c r="Z382" i="1" s="1"/>
  <c r="Z383" i="1" s="1"/>
  <c r="Z384" i="1" s="1"/>
  <c r="Z385" i="1" s="1"/>
  <c r="Z386" i="1" s="1"/>
  <c r="Z387" i="1" s="1"/>
  <c r="Z388" i="1" s="1"/>
  <c r="Z389" i="1" s="1"/>
  <c r="Z390" i="1" s="1"/>
  <c r="Z391" i="1" s="1"/>
  <c r="Z395" i="1" s="1"/>
  <c r="Z396" i="1" s="1"/>
  <c r="Z397" i="1" s="1"/>
  <c r="Z398" i="1" s="1"/>
  <c r="Z399" i="1" s="1"/>
  <c r="Z400" i="1" s="1"/>
  <c r="Z401" i="1" s="1"/>
  <c r="Z402" i="1" s="1"/>
  <c r="Z403" i="1" s="1"/>
  <c r="Z404" i="1" s="1"/>
  <c r="Z405" i="1" s="1"/>
  <c r="Z406" i="1" s="1"/>
  <c r="Z407" i="1" s="1"/>
  <c r="Z408" i="1" s="1"/>
  <c r="Z409" i="1" s="1"/>
  <c r="Z410" i="1" s="1"/>
  <c r="Z411" i="1" s="1"/>
  <c r="Z412" i="1" s="1"/>
  <c r="Z413" i="1" s="1"/>
  <c r="Z414" i="1" s="1"/>
  <c r="Z415" i="1" s="1"/>
  <c r="Z416" i="1" s="1"/>
  <c r="Z417" i="1" s="1"/>
  <c r="Z418" i="1" s="1"/>
  <c r="Z419" i="1" s="1"/>
  <c r="Z420" i="1" s="1"/>
  <c r="Z421" i="1" s="1"/>
  <c r="Z422" i="1" s="1"/>
  <c r="Z423" i="1" s="1"/>
  <c r="Z424" i="1" s="1"/>
  <c r="Z425" i="1" s="1"/>
  <c r="Z426" i="1" s="1"/>
  <c r="Z427" i="1" s="1"/>
  <c r="BE60" i="5"/>
  <c r="D61" i="13" s="1"/>
  <c r="SJ290" i="1"/>
  <c r="SJ291" i="1" s="1"/>
  <c r="SJ292" i="1" s="1"/>
  <c r="SJ293" i="1" s="1"/>
  <c r="SJ294" i="1" s="1"/>
  <c r="SJ295" i="1" s="1"/>
  <c r="SJ296" i="1" s="1"/>
  <c r="SJ297" i="1" s="1"/>
  <c r="SJ298" i="1" s="1"/>
  <c r="SJ299" i="1" s="1"/>
  <c r="SJ300" i="1" s="1"/>
  <c r="SJ301" i="1" s="1"/>
  <c r="SJ302" i="1" s="1"/>
  <c r="SJ303" i="1" s="1"/>
  <c r="SJ304" i="1" s="1"/>
  <c r="SJ305" i="1" s="1"/>
  <c r="SJ306" i="1" s="1"/>
  <c r="SJ307" i="1" s="1"/>
  <c r="SJ308" i="1" s="1"/>
  <c r="SJ309" i="1" s="1"/>
  <c r="SJ310" i="1" s="1"/>
  <c r="SJ311" i="1" s="1"/>
  <c r="SJ312" i="1" s="1"/>
  <c r="SJ313" i="1" s="1"/>
  <c r="SJ314" i="1" s="1"/>
  <c r="SJ315" i="1" s="1"/>
  <c r="SJ316" i="1" s="1"/>
  <c r="SJ317" i="1" s="1"/>
  <c r="SJ318" i="1" s="1"/>
  <c r="SJ319" i="1" s="1"/>
  <c r="SJ320" i="1" s="1"/>
  <c r="BD60" i="5"/>
  <c r="D60" i="13" s="1"/>
  <c r="SA290" i="1"/>
  <c r="SA291" i="1" s="1"/>
  <c r="SA292" i="1" s="1"/>
  <c r="SA293" i="1" s="1"/>
  <c r="SA294" i="1" s="1"/>
  <c r="SA295" i="1" s="1"/>
  <c r="SA296" i="1" s="1"/>
  <c r="SA297" i="1" s="1"/>
  <c r="SA298" i="1" s="1"/>
  <c r="SA299" i="1" s="1"/>
  <c r="SA300" i="1" s="1"/>
  <c r="SA301" i="1" s="1"/>
  <c r="SA302" i="1" s="1"/>
  <c r="SA303" i="1" s="1"/>
  <c r="SA304" i="1" s="1"/>
  <c r="SA305" i="1" s="1"/>
  <c r="SA306" i="1" s="1"/>
  <c r="SA307" i="1" s="1"/>
  <c r="SA308" i="1" s="1"/>
  <c r="SA309" i="1" s="1"/>
  <c r="SA310" i="1" s="1"/>
  <c r="SA311" i="1" s="1"/>
  <c r="SA312" i="1" s="1"/>
  <c r="SA313" i="1" s="1"/>
  <c r="SA314" i="1" s="1"/>
  <c r="SA315" i="1" s="1"/>
  <c r="SA316" i="1" s="1"/>
  <c r="SA317" i="1" s="1"/>
  <c r="SA318" i="1" s="1"/>
  <c r="SA319" i="1" s="1"/>
  <c r="SA320" i="1" s="1"/>
  <c r="BF60" i="5"/>
  <c r="SS290" i="1"/>
  <c r="SS291" i="1" s="1"/>
  <c r="SS292" i="1" s="1"/>
  <c r="SS293" i="1" s="1"/>
  <c r="SS294" i="1" s="1"/>
  <c r="SS295" i="1" s="1"/>
  <c r="SS296" i="1" s="1"/>
  <c r="SS297" i="1" s="1"/>
  <c r="SS298" i="1" s="1"/>
  <c r="SS299" i="1" s="1"/>
  <c r="SS300" i="1" s="1"/>
  <c r="SS301" i="1" s="1"/>
  <c r="SS302" i="1" s="1"/>
  <c r="SS303" i="1" s="1"/>
  <c r="SS304" i="1" s="1"/>
  <c r="SS305" i="1" s="1"/>
  <c r="SS306" i="1" s="1"/>
  <c r="SS307" i="1" s="1"/>
  <c r="SS308" i="1" s="1"/>
  <c r="SS309" i="1" s="1"/>
  <c r="SS310" i="1" s="1"/>
  <c r="SS311" i="1" s="1"/>
  <c r="SS312" i="1" s="1"/>
  <c r="SS313" i="1" s="1"/>
  <c r="SS314" i="1" s="1"/>
  <c r="SS315" i="1" s="1"/>
  <c r="SS316" i="1" s="1"/>
  <c r="SS317" i="1" s="1"/>
  <c r="SS318" i="1" s="1"/>
  <c r="SS319" i="1" s="1"/>
  <c r="SS320" i="1" s="1"/>
  <c r="TB290" i="1"/>
  <c r="TB291" i="1" s="1"/>
  <c r="TB292" i="1" s="1"/>
  <c r="TB293" i="1" s="1"/>
  <c r="TB294" i="1" s="1"/>
  <c r="TB295" i="1" s="1"/>
  <c r="TB296" i="1" s="1"/>
  <c r="TB297" i="1" s="1"/>
  <c r="TB298" i="1" s="1"/>
  <c r="TB299" i="1" s="1"/>
  <c r="TB300" i="1" s="1"/>
  <c r="TB301" i="1" s="1"/>
  <c r="TB302" i="1" s="1"/>
  <c r="TB303" i="1" s="1"/>
  <c r="TB304" i="1" s="1"/>
  <c r="TB305" i="1" s="1"/>
  <c r="TB306" i="1" s="1"/>
  <c r="TB307" i="1" s="1"/>
  <c r="TB308" i="1" s="1"/>
  <c r="TB309" i="1" s="1"/>
  <c r="TB310" i="1" s="1"/>
  <c r="TB311" i="1" s="1"/>
  <c r="TB312" i="1" s="1"/>
  <c r="TB313" i="1" s="1"/>
  <c r="TB314" i="1" s="1"/>
  <c r="TB315" i="1" s="1"/>
  <c r="TB316" i="1" s="1"/>
  <c r="TB317" i="1" s="1"/>
  <c r="TB318" i="1" s="1"/>
  <c r="TB319" i="1" s="1"/>
  <c r="TB320" i="1" s="1"/>
  <c r="BG60" i="5"/>
  <c r="TK290" i="1"/>
  <c r="TK291" i="1" s="1"/>
  <c r="TK292" i="1" s="1"/>
  <c r="TK293" i="1" s="1"/>
  <c r="TK294" i="1" s="1"/>
  <c r="TK295" i="1" s="1"/>
  <c r="TK296" i="1" s="1"/>
  <c r="TK297" i="1" s="1"/>
  <c r="TK298" i="1" s="1"/>
  <c r="TK299" i="1" s="1"/>
  <c r="TK300" i="1" s="1"/>
  <c r="TK301" i="1" s="1"/>
  <c r="TK302" i="1" s="1"/>
  <c r="TK303" i="1" s="1"/>
  <c r="TK304" i="1" s="1"/>
  <c r="TK305" i="1" s="1"/>
  <c r="TK306" i="1" s="1"/>
  <c r="TK307" i="1" s="1"/>
  <c r="TK308" i="1" s="1"/>
  <c r="TK309" i="1" s="1"/>
  <c r="TK310" i="1" s="1"/>
  <c r="TK311" i="1" s="1"/>
  <c r="TK312" i="1" s="1"/>
  <c r="TK313" i="1" s="1"/>
  <c r="TK314" i="1" s="1"/>
  <c r="TK315" i="1" s="1"/>
  <c r="TK316" i="1" s="1"/>
  <c r="TK317" i="1" s="1"/>
  <c r="TK318" i="1" s="1"/>
  <c r="TK319" i="1" s="1"/>
  <c r="TK320" i="1" s="1"/>
  <c r="BH60" i="5"/>
  <c r="BC60" i="5"/>
  <c r="D59" i="13" s="1"/>
  <c r="RR290" i="1"/>
  <c r="RR291" i="1" s="1"/>
  <c r="RR292" i="1" s="1"/>
  <c r="RR293" i="1" s="1"/>
  <c r="RR294" i="1" s="1"/>
  <c r="RR295" i="1" s="1"/>
  <c r="RR296" i="1" s="1"/>
  <c r="RR297" i="1" s="1"/>
  <c r="RR298" i="1" s="1"/>
  <c r="RR299" i="1" s="1"/>
  <c r="RR300" i="1" s="1"/>
  <c r="RR301" i="1" s="1"/>
  <c r="RR302" i="1" s="1"/>
  <c r="RR303" i="1" s="1"/>
  <c r="RR304" i="1" s="1"/>
  <c r="RR305" i="1" s="1"/>
  <c r="RR306" i="1" s="1"/>
  <c r="RR307" i="1" s="1"/>
  <c r="RR308" i="1" s="1"/>
  <c r="RR309" i="1" s="1"/>
  <c r="RR310" i="1" s="1"/>
  <c r="RR311" i="1" s="1"/>
  <c r="RR312" i="1" s="1"/>
  <c r="RR313" i="1" s="1"/>
  <c r="RR314" i="1" s="1"/>
  <c r="RR315" i="1" s="1"/>
  <c r="RR316" i="1" s="1"/>
  <c r="RR317" i="1" s="1"/>
  <c r="RR318" i="1" s="1"/>
  <c r="RR319" i="1" s="1"/>
  <c r="RR320" i="1" s="1"/>
  <c r="QZ290" i="1"/>
  <c r="QZ291" i="1" s="1"/>
  <c r="QZ292" i="1" s="1"/>
  <c r="QZ293" i="1" s="1"/>
  <c r="QZ294" i="1" s="1"/>
  <c r="QZ295" i="1" s="1"/>
  <c r="QZ296" i="1" s="1"/>
  <c r="QZ297" i="1" s="1"/>
  <c r="QZ298" i="1" s="1"/>
  <c r="QZ299" i="1" s="1"/>
  <c r="QZ300" i="1" s="1"/>
  <c r="QZ301" i="1" s="1"/>
  <c r="QZ302" i="1" s="1"/>
  <c r="QZ303" i="1" s="1"/>
  <c r="QZ304" i="1" s="1"/>
  <c r="QZ305" i="1" s="1"/>
  <c r="QZ306" i="1" s="1"/>
  <c r="QZ307" i="1" s="1"/>
  <c r="QZ308" i="1" s="1"/>
  <c r="QZ309" i="1" s="1"/>
  <c r="QZ310" i="1" s="1"/>
  <c r="QZ311" i="1" s="1"/>
  <c r="QZ312" i="1" s="1"/>
  <c r="QZ313" i="1" s="1"/>
  <c r="QZ314" i="1" s="1"/>
  <c r="QZ315" i="1" s="1"/>
  <c r="QZ316" i="1" s="1"/>
  <c r="QZ317" i="1" s="1"/>
  <c r="QZ318" i="1" s="1"/>
  <c r="QZ319" i="1" s="1"/>
  <c r="QZ320" i="1" s="1"/>
  <c r="BA60" i="5"/>
  <c r="D57" i="13" s="1"/>
  <c r="AO69" i="5"/>
  <c r="F45" i="14" s="1"/>
  <c r="AP69" i="5"/>
  <c r="F46" i="14" s="1"/>
  <c r="AM69" i="5"/>
  <c r="F43" i="14" s="1"/>
  <c r="AL69" i="5"/>
  <c r="F42" i="14" s="1"/>
  <c r="AL70" i="5"/>
  <c r="G42" i="14" s="1"/>
  <c r="AN69" i="5"/>
  <c r="F44" i="14" s="1"/>
  <c r="G43" i="13"/>
  <c r="F43" i="13"/>
  <c r="G45" i="13"/>
  <c r="F45" i="13"/>
  <c r="G42" i="13"/>
  <c r="F42" i="13"/>
  <c r="G46" i="13"/>
  <c r="F46" i="13"/>
  <c r="F49" i="13"/>
  <c r="F44" i="13"/>
  <c r="G44" i="13"/>
  <c r="G41" i="13"/>
  <c r="F41" i="13"/>
  <c r="G31" i="13"/>
  <c r="F31" i="13"/>
  <c r="F34" i="13"/>
  <c r="G34" i="13"/>
  <c r="F35" i="13"/>
  <c r="G35" i="13"/>
  <c r="F36" i="13"/>
  <c r="G36" i="13"/>
  <c r="F38" i="13"/>
  <c r="G38" i="13"/>
  <c r="G40" i="13"/>
  <c r="F40" i="13"/>
  <c r="G33" i="13"/>
  <c r="F33" i="13"/>
  <c r="G37" i="13"/>
  <c r="F37" i="13"/>
  <c r="G32" i="13"/>
  <c r="F32" i="13"/>
  <c r="RI290" i="1"/>
  <c r="RI291" i="1" s="1"/>
  <c r="RI292" i="1" s="1"/>
  <c r="RI293" i="1" s="1"/>
  <c r="RI294" i="1" s="1"/>
  <c r="RI295" i="1" s="1"/>
  <c r="RI296" i="1" s="1"/>
  <c r="RI297" i="1" s="1"/>
  <c r="RI298" i="1" s="1"/>
  <c r="RI299" i="1" s="1"/>
  <c r="RI300" i="1" s="1"/>
  <c r="RI301" i="1" s="1"/>
  <c r="RI302" i="1" s="1"/>
  <c r="RI303" i="1" s="1"/>
  <c r="RI304" i="1" s="1"/>
  <c r="RI305" i="1" s="1"/>
  <c r="RI306" i="1" s="1"/>
  <c r="RI307" i="1" s="1"/>
  <c r="RI308" i="1" s="1"/>
  <c r="RI309" i="1" s="1"/>
  <c r="RI310" i="1" s="1"/>
  <c r="RI311" i="1" s="1"/>
  <c r="RI312" i="1" s="1"/>
  <c r="RI313" i="1" s="1"/>
  <c r="RI314" i="1" s="1"/>
  <c r="RI315" i="1" s="1"/>
  <c r="RI316" i="1" s="1"/>
  <c r="RI317" i="1" s="1"/>
  <c r="RI318" i="1" s="1"/>
  <c r="RI319" i="1" s="1"/>
  <c r="RI320" i="1" s="1"/>
  <c r="BB64" i="5" s="1"/>
  <c r="H58" i="13" s="1"/>
  <c r="AO13" i="5"/>
  <c r="F45" i="18" s="1"/>
  <c r="AG13" i="5"/>
  <c r="F37" i="18" s="1"/>
  <c r="AF13" i="5"/>
  <c r="F36" i="18" s="1"/>
  <c r="AI13" i="5"/>
  <c r="F39" i="18" s="1"/>
  <c r="AA13" i="5"/>
  <c r="F31" i="18" s="1"/>
  <c r="AH13" i="5"/>
  <c r="F38" i="18" s="1"/>
  <c r="AN13" i="5"/>
  <c r="F44" i="18" s="1"/>
  <c r="AQ13" i="5"/>
  <c r="F50" i="18" s="1"/>
  <c r="AJ13" i="5"/>
  <c r="F40" i="18" s="1"/>
  <c r="AP13" i="5"/>
  <c r="F46" i="18" s="1"/>
  <c r="AE13" i="5"/>
  <c r="F35" i="18" s="1"/>
  <c r="AB13" i="5"/>
  <c r="F32" i="18" s="1"/>
  <c r="AK13" i="5"/>
  <c r="F41" i="18" s="1"/>
  <c r="AM13" i="5"/>
  <c r="F43" i="18" s="1"/>
  <c r="AL13" i="5"/>
  <c r="F42" i="18" s="1"/>
  <c r="AL50" i="5"/>
  <c r="H42" i="11" s="1"/>
  <c r="O42" i="11" s="1"/>
  <c r="LU253" i="1"/>
  <c r="AO50" i="5"/>
  <c r="H45" i="11" s="1"/>
  <c r="O45" i="11" s="1"/>
  <c r="MV253" i="1"/>
  <c r="AP50" i="5"/>
  <c r="H46" i="11" s="1"/>
  <c r="O46" i="11" s="1"/>
  <c r="NE253" i="1"/>
  <c r="AJ22" i="5"/>
  <c r="H40" i="19" s="1"/>
  <c r="O40" i="19" s="1"/>
  <c r="LC111" i="1"/>
  <c r="AD15" i="5"/>
  <c r="H34" i="18" s="1"/>
  <c r="O34" i="18" s="1"/>
  <c r="JA75" i="1"/>
  <c r="JB75" i="1" s="1"/>
  <c r="M15" i="5"/>
  <c r="H15" i="18" s="1"/>
  <c r="O15" i="18" s="1"/>
  <c r="DC75" i="1"/>
  <c r="AC15" i="5"/>
  <c r="H33" i="18" s="1"/>
  <c r="O33" i="18" s="1"/>
  <c r="IR75" i="1"/>
  <c r="IS75" i="1" s="1"/>
  <c r="GO75" i="1"/>
  <c r="W15" i="5"/>
  <c r="H27" i="18" s="1"/>
  <c r="O27" i="18" s="1"/>
  <c r="G33" i="18"/>
  <c r="F33" i="18"/>
  <c r="MM253" i="1"/>
  <c r="AN50" i="5"/>
  <c r="H44" i="11" s="1"/>
  <c r="O44" i="11" s="1"/>
  <c r="T8" i="5"/>
  <c r="FN41" i="1"/>
  <c r="AB15" i="5"/>
  <c r="H32" i="18" s="1"/>
  <c r="O32" i="18" s="1"/>
  <c r="II75" i="1"/>
  <c r="IJ75" i="1" s="1"/>
  <c r="MD253" i="1"/>
  <c r="AM50" i="5"/>
  <c r="H43" i="11" s="1"/>
  <c r="O43" i="11" s="1"/>
  <c r="H36" i="17"/>
  <c r="O36" i="17" s="1"/>
  <c r="AQ32" i="5"/>
  <c r="D51" i="21" s="1"/>
  <c r="NN147" i="1"/>
  <c r="NN148" i="1" s="1"/>
  <c r="NN149" i="1" s="1"/>
  <c r="NN150" i="1" s="1"/>
  <c r="NN151" i="1" s="1"/>
  <c r="NN152" i="1" s="1"/>
  <c r="NN153" i="1" s="1"/>
  <c r="NN154" i="1" s="1"/>
  <c r="NN155" i="1" s="1"/>
  <c r="NN156" i="1" s="1"/>
  <c r="NN157" i="1" s="1"/>
  <c r="NN158" i="1" s="1"/>
  <c r="NN159" i="1" s="1"/>
  <c r="NN160" i="1" s="1"/>
  <c r="NN161" i="1" s="1"/>
  <c r="NN162" i="1" s="1"/>
  <c r="NN163" i="1" s="1"/>
  <c r="NN164" i="1" s="1"/>
  <c r="NN165" i="1" s="1"/>
  <c r="NN166" i="1" s="1"/>
  <c r="NN167" i="1" s="1"/>
  <c r="NN168" i="1" s="1"/>
  <c r="NN169" i="1" s="1"/>
  <c r="NN170" i="1" s="1"/>
  <c r="NN171" i="1" s="1"/>
  <c r="NN172" i="1" s="1"/>
  <c r="NN173" i="1" s="1"/>
  <c r="NN174" i="1" s="1"/>
  <c r="NN175" i="1" s="1"/>
  <c r="NN176" i="1" s="1"/>
  <c r="NN177" i="1" s="1"/>
  <c r="NN178" i="1" s="1"/>
  <c r="AG15" i="5"/>
  <c r="H37" i="18" s="1"/>
  <c r="O37" i="18" s="1"/>
  <c r="KB75" i="1"/>
  <c r="KC75" i="1" s="1"/>
  <c r="LL75" i="1"/>
  <c r="AK15" i="5"/>
  <c r="H41" i="18" s="1"/>
  <c r="O41" i="18" s="1"/>
  <c r="BS253" i="1"/>
  <c r="BS254" i="1" s="1"/>
  <c r="BS255" i="1" s="1"/>
  <c r="BS256" i="1" s="1"/>
  <c r="BS257" i="1" s="1"/>
  <c r="BS258" i="1" s="1"/>
  <c r="BS259" i="1" s="1"/>
  <c r="BS260" i="1" s="1"/>
  <c r="BS261" i="1" s="1"/>
  <c r="BS262" i="1" s="1"/>
  <c r="BS263" i="1" s="1"/>
  <c r="BS264" i="1" s="1"/>
  <c r="BS265" i="1" s="1"/>
  <c r="BS266" i="1" s="1"/>
  <c r="BS267" i="1" s="1"/>
  <c r="BS268" i="1" s="1"/>
  <c r="BS269" i="1" s="1"/>
  <c r="BS270" i="1" s="1"/>
  <c r="BS271" i="1" s="1"/>
  <c r="BS272" i="1" s="1"/>
  <c r="BS273" i="1" s="1"/>
  <c r="BS274" i="1" s="1"/>
  <c r="BS275" i="1" s="1"/>
  <c r="BS276" i="1" s="1"/>
  <c r="BS277" i="1" s="1"/>
  <c r="BS278" i="1" s="1"/>
  <c r="BS279" i="1" s="1"/>
  <c r="BS280" i="1" s="1"/>
  <c r="BS281" i="1" s="1"/>
  <c r="BS282" i="1" s="1"/>
  <c r="BS283" i="1" s="1"/>
  <c r="BS284" i="1" s="1"/>
  <c r="BS285" i="1" s="1"/>
  <c r="BS289" i="1" s="1"/>
  <c r="BS290" i="1" s="1"/>
  <c r="BS291" i="1" s="1"/>
  <c r="BS292" i="1" s="1"/>
  <c r="BS293" i="1" s="1"/>
  <c r="BS294" i="1" s="1"/>
  <c r="BS295" i="1" s="1"/>
  <c r="BS296" i="1" s="1"/>
  <c r="BS297" i="1" s="1"/>
  <c r="BS298" i="1" s="1"/>
  <c r="BS299" i="1" s="1"/>
  <c r="BS300" i="1" s="1"/>
  <c r="BS301" i="1" s="1"/>
  <c r="BS302" i="1" s="1"/>
  <c r="BS303" i="1" s="1"/>
  <c r="BS304" i="1" s="1"/>
  <c r="BS305" i="1" s="1"/>
  <c r="BS306" i="1" s="1"/>
  <c r="BS307" i="1" s="1"/>
  <c r="BS308" i="1" s="1"/>
  <c r="BS309" i="1" s="1"/>
  <c r="BS310" i="1" s="1"/>
  <c r="BS311" i="1" s="1"/>
  <c r="BS312" i="1" s="1"/>
  <c r="BS313" i="1" s="1"/>
  <c r="BS314" i="1" s="1"/>
  <c r="BS315" i="1" s="1"/>
  <c r="BS316" i="1" s="1"/>
  <c r="BS317" i="1" s="1"/>
  <c r="BS318" i="1" s="1"/>
  <c r="BS319" i="1" s="1"/>
  <c r="BS320" i="1" s="1"/>
  <c r="BS324" i="1" s="1"/>
  <c r="BS325" i="1" s="1"/>
  <c r="BS326" i="1" s="1"/>
  <c r="BS327" i="1" s="1"/>
  <c r="BS328" i="1" s="1"/>
  <c r="BS329" i="1" s="1"/>
  <c r="BS330" i="1" s="1"/>
  <c r="BS331" i="1" s="1"/>
  <c r="BS332" i="1" s="1"/>
  <c r="BS333" i="1" s="1"/>
  <c r="BS334" i="1" s="1"/>
  <c r="BS335" i="1" s="1"/>
  <c r="BS336" i="1" s="1"/>
  <c r="BS337" i="1" s="1"/>
  <c r="BS338" i="1" s="1"/>
  <c r="BS339" i="1" s="1"/>
  <c r="BS340" i="1" s="1"/>
  <c r="BS341" i="1" s="1"/>
  <c r="BS342" i="1" s="1"/>
  <c r="BS343" i="1" s="1"/>
  <c r="BS344" i="1" s="1"/>
  <c r="BS345" i="1" s="1"/>
  <c r="BS346" i="1" s="1"/>
  <c r="BS347" i="1" s="1"/>
  <c r="BS348" i="1" s="1"/>
  <c r="BS349" i="1" s="1"/>
  <c r="BS350" i="1" s="1"/>
  <c r="BS351" i="1" s="1"/>
  <c r="BS352" i="1" s="1"/>
  <c r="BS353" i="1" s="1"/>
  <c r="BS354" i="1" s="1"/>
  <c r="BS355" i="1" s="1"/>
  <c r="BS356" i="1" s="1"/>
  <c r="BS360" i="1" s="1"/>
  <c r="BS361" i="1" s="1"/>
  <c r="BS362" i="1" s="1"/>
  <c r="BS363" i="1" s="1"/>
  <c r="BS364" i="1" s="1"/>
  <c r="BS365" i="1" s="1"/>
  <c r="BS366" i="1" s="1"/>
  <c r="BS367" i="1" s="1"/>
  <c r="BS368" i="1" s="1"/>
  <c r="BS369" i="1" s="1"/>
  <c r="BS370" i="1" s="1"/>
  <c r="BS371" i="1" s="1"/>
  <c r="BS372" i="1" s="1"/>
  <c r="BS373" i="1" s="1"/>
  <c r="BS374" i="1" s="1"/>
  <c r="BS375" i="1" s="1"/>
  <c r="BS376" i="1" s="1"/>
  <c r="BS377" i="1" s="1"/>
  <c r="BS378" i="1" s="1"/>
  <c r="BS379" i="1" s="1"/>
  <c r="BS380" i="1" s="1"/>
  <c r="BS381" i="1" s="1"/>
  <c r="BS382" i="1" s="1"/>
  <c r="BS383" i="1" s="1"/>
  <c r="BS384" i="1" s="1"/>
  <c r="BS385" i="1" s="1"/>
  <c r="BS386" i="1" s="1"/>
  <c r="BS387" i="1" s="1"/>
  <c r="BS388" i="1" s="1"/>
  <c r="BS389" i="1" s="1"/>
  <c r="BS390" i="1" s="1"/>
  <c r="BS391" i="1" s="1"/>
  <c r="BS395" i="1" s="1"/>
  <c r="BS396" i="1" s="1"/>
  <c r="BS397" i="1" s="1"/>
  <c r="BS398" i="1" s="1"/>
  <c r="BS399" i="1" s="1"/>
  <c r="BS400" i="1" s="1"/>
  <c r="BS401" i="1" s="1"/>
  <c r="BS402" i="1" s="1"/>
  <c r="BS403" i="1" s="1"/>
  <c r="BS404" i="1" s="1"/>
  <c r="BS405" i="1" s="1"/>
  <c r="BS406" i="1" s="1"/>
  <c r="BS407" i="1" s="1"/>
  <c r="BS408" i="1" s="1"/>
  <c r="BS409" i="1" s="1"/>
  <c r="BS410" i="1" s="1"/>
  <c r="BS411" i="1" s="1"/>
  <c r="BS412" i="1" s="1"/>
  <c r="BS413" i="1" s="1"/>
  <c r="BS414" i="1" s="1"/>
  <c r="BS415" i="1" s="1"/>
  <c r="BS416" i="1" s="1"/>
  <c r="BS417" i="1" s="1"/>
  <c r="BS418" i="1" s="1"/>
  <c r="BS419" i="1" s="1"/>
  <c r="BS420" i="1" s="1"/>
  <c r="BS421" i="1" s="1"/>
  <c r="BS422" i="1" s="1"/>
  <c r="BS423" i="1" s="1"/>
  <c r="BS424" i="1" s="1"/>
  <c r="BS425" i="1" s="1"/>
  <c r="BS426" i="1" s="1"/>
  <c r="BS427" i="1" s="1"/>
  <c r="I85" i="5" s="1"/>
  <c r="H11" i="16" s="1"/>
  <c r="AT32" i="5"/>
  <c r="D53" i="21" s="1"/>
  <c r="AX32" i="5"/>
  <c r="D57" i="21" s="1"/>
  <c r="PY147" i="1"/>
  <c r="PY148" i="1" s="1"/>
  <c r="PY149" i="1" s="1"/>
  <c r="PY150" i="1" s="1"/>
  <c r="PY151" i="1" s="1"/>
  <c r="PY152" i="1" s="1"/>
  <c r="PY153" i="1" s="1"/>
  <c r="PY154" i="1" s="1"/>
  <c r="PY155" i="1" s="1"/>
  <c r="PY156" i="1" s="1"/>
  <c r="PY157" i="1" s="1"/>
  <c r="PY158" i="1" s="1"/>
  <c r="PY159" i="1" s="1"/>
  <c r="PY160" i="1" s="1"/>
  <c r="PY161" i="1" s="1"/>
  <c r="PY162" i="1" s="1"/>
  <c r="PY163" i="1" s="1"/>
  <c r="PY164" i="1" s="1"/>
  <c r="PY165" i="1" s="1"/>
  <c r="PY166" i="1" s="1"/>
  <c r="PY167" i="1" s="1"/>
  <c r="PY168" i="1" s="1"/>
  <c r="PY169" i="1" s="1"/>
  <c r="PY170" i="1" s="1"/>
  <c r="PY171" i="1" s="1"/>
  <c r="PY172" i="1" s="1"/>
  <c r="PY173" i="1" s="1"/>
  <c r="PY174" i="1" s="1"/>
  <c r="PY175" i="1" s="1"/>
  <c r="PY176" i="1" s="1"/>
  <c r="PY177" i="1" s="1"/>
  <c r="PY178" i="1" s="1"/>
  <c r="AR132" i="1"/>
  <c r="AR133" i="1" s="1"/>
  <c r="AR134" i="1" s="1"/>
  <c r="AR135" i="1" s="1"/>
  <c r="AR136" i="1" s="1"/>
  <c r="AR137" i="1" s="1"/>
  <c r="AR138" i="1" s="1"/>
  <c r="AR139" i="1" s="1"/>
  <c r="AR140" i="1" s="1"/>
  <c r="AR141" i="1" s="1"/>
  <c r="AR142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AR156" i="1" s="1"/>
  <c r="AR157" i="1" s="1"/>
  <c r="AR158" i="1" s="1"/>
  <c r="AR159" i="1" s="1"/>
  <c r="AR160" i="1" s="1"/>
  <c r="AR161" i="1" s="1"/>
  <c r="AR162" i="1" s="1"/>
  <c r="AR163" i="1" s="1"/>
  <c r="AR164" i="1" s="1"/>
  <c r="AR165" i="1" s="1"/>
  <c r="AR166" i="1" s="1"/>
  <c r="AR167" i="1" s="1"/>
  <c r="AR168" i="1" s="1"/>
  <c r="AR169" i="1" s="1"/>
  <c r="AR170" i="1" s="1"/>
  <c r="AR171" i="1" s="1"/>
  <c r="AR172" i="1" s="1"/>
  <c r="AR173" i="1" s="1"/>
  <c r="AR174" i="1" s="1"/>
  <c r="AR175" i="1" s="1"/>
  <c r="AR176" i="1" s="1"/>
  <c r="AR177" i="1" s="1"/>
  <c r="AR178" i="1" s="1"/>
  <c r="AR182" i="1" s="1"/>
  <c r="AR183" i="1" s="1"/>
  <c r="AR184" i="1" s="1"/>
  <c r="AR185" i="1" s="1"/>
  <c r="AR186" i="1" s="1"/>
  <c r="AR187" i="1" s="1"/>
  <c r="AR188" i="1" s="1"/>
  <c r="AR189" i="1" s="1"/>
  <c r="AR190" i="1" s="1"/>
  <c r="AR191" i="1" s="1"/>
  <c r="AR192" i="1" s="1"/>
  <c r="AR193" i="1" s="1"/>
  <c r="AR194" i="1" s="1"/>
  <c r="AR195" i="1" s="1"/>
  <c r="AR196" i="1" s="1"/>
  <c r="AR197" i="1" s="1"/>
  <c r="AR198" i="1" s="1"/>
  <c r="AR199" i="1" s="1"/>
  <c r="AR200" i="1" s="1"/>
  <c r="AR201" i="1" s="1"/>
  <c r="AR202" i="1" s="1"/>
  <c r="AR203" i="1" s="1"/>
  <c r="AR204" i="1" s="1"/>
  <c r="AR205" i="1" s="1"/>
  <c r="AR206" i="1" s="1"/>
  <c r="AR207" i="1" s="1"/>
  <c r="AR208" i="1" s="1"/>
  <c r="AR209" i="1" s="1"/>
  <c r="AR210" i="1" s="1"/>
  <c r="AR211" i="1" s="1"/>
  <c r="AR212" i="1" s="1"/>
  <c r="AR213" i="1" s="1"/>
  <c r="AR217" i="1" s="1"/>
  <c r="AR218" i="1" s="1"/>
  <c r="AR219" i="1" s="1"/>
  <c r="AR220" i="1" s="1"/>
  <c r="AR221" i="1" s="1"/>
  <c r="AR222" i="1" s="1"/>
  <c r="AR223" i="1" s="1"/>
  <c r="AR224" i="1" s="1"/>
  <c r="AR225" i="1" s="1"/>
  <c r="AR226" i="1" s="1"/>
  <c r="AR227" i="1" s="1"/>
  <c r="AR228" i="1" s="1"/>
  <c r="AR229" i="1" s="1"/>
  <c r="AR230" i="1" s="1"/>
  <c r="AR231" i="1" s="1"/>
  <c r="AR232" i="1" s="1"/>
  <c r="AR233" i="1" s="1"/>
  <c r="AR234" i="1" s="1"/>
  <c r="AR235" i="1" s="1"/>
  <c r="AR236" i="1" s="1"/>
  <c r="AR237" i="1" s="1"/>
  <c r="AR238" i="1" s="1"/>
  <c r="AR239" i="1" s="1"/>
  <c r="AR240" i="1" s="1"/>
  <c r="AR241" i="1" s="1"/>
  <c r="AR242" i="1" s="1"/>
  <c r="AR243" i="1" s="1"/>
  <c r="AR244" i="1" s="1"/>
  <c r="AR245" i="1" s="1"/>
  <c r="AR246" i="1" s="1"/>
  <c r="AR247" i="1" s="1"/>
  <c r="AR248" i="1" s="1"/>
  <c r="AR249" i="1" s="1"/>
  <c r="AR253" i="1" s="1"/>
  <c r="AR254" i="1" s="1"/>
  <c r="AR255" i="1" s="1"/>
  <c r="AR256" i="1" s="1"/>
  <c r="AR257" i="1" s="1"/>
  <c r="AR258" i="1" s="1"/>
  <c r="AR259" i="1" s="1"/>
  <c r="AR260" i="1" s="1"/>
  <c r="AR261" i="1" s="1"/>
  <c r="AR262" i="1" s="1"/>
  <c r="AR263" i="1" s="1"/>
  <c r="AR264" i="1" s="1"/>
  <c r="AR265" i="1" s="1"/>
  <c r="AR266" i="1" s="1"/>
  <c r="AR267" i="1" s="1"/>
  <c r="AR268" i="1" s="1"/>
  <c r="AR269" i="1" s="1"/>
  <c r="AR270" i="1" s="1"/>
  <c r="AR271" i="1" s="1"/>
  <c r="AR272" i="1" s="1"/>
  <c r="AR273" i="1" s="1"/>
  <c r="AR274" i="1" s="1"/>
  <c r="AR275" i="1" s="1"/>
  <c r="AR276" i="1" s="1"/>
  <c r="AR277" i="1" s="1"/>
  <c r="AR278" i="1" s="1"/>
  <c r="AR279" i="1" s="1"/>
  <c r="AR280" i="1" s="1"/>
  <c r="AR281" i="1" s="1"/>
  <c r="AR282" i="1" s="1"/>
  <c r="AR283" i="1" s="1"/>
  <c r="AR284" i="1" s="1"/>
  <c r="AR285" i="1" s="1"/>
  <c r="AR289" i="1" s="1"/>
  <c r="AR290" i="1" s="1"/>
  <c r="AR291" i="1" s="1"/>
  <c r="AR292" i="1" s="1"/>
  <c r="AR293" i="1" s="1"/>
  <c r="AR294" i="1" s="1"/>
  <c r="AR295" i="1" s="1"/>
  <c r="AR296" i="1" s="1"/>
  <c r="AR297" i="1" s="1"/>
  <c r="AR298" i="1" s="1"/>
  <c r="AR299" i="1" s="1"/>
  <c r="AR300" i="1" s="1"/>
  <c r="AR301" i="1" s="1"/>
  <c r="AR302" i="1" s="1"/>
  <c r="AR303" i="1" s="1"/>
  <c r="AR304" i="1" s="1"/>
  <c r="AR305" i="1" s="1"/>
  <c r="AR306" i="1" s="1"/>
  <c r="AR307" i="1" s="1"/>
  <c r="AR308" i="1" s="1"/>
  <c r="AR309" i="1" s="1"/>
  <c r="AR310" i="1" s="1"/>
  <c r="AR311" i="1" s="1"/>
  <c r="AR312" i="1" s="1"/>
  <c r="AR313" i="1" s="1"/>
  <c r="AR314" i="1" s="1"/>
  <c r="AR315" i="1" s="1"/>
  <c r="AR316" i="1" s="1"/>
  <c r="AR317" i="1" s="1"/>
  <c r="AR318" i="1" s="1"/>
  <c r="AR319" i="1" s="1"/>
  <c r="AR320" i="1" s="1"/>
  <c r="AR324" i="1" s="1"/>
  <c r="AR325" i="1" s="1"/>
  <c r="AR326" i="1" s="1"/>
  <c r="AR327" i="1" s="1"/>
  <c r="AR328" i="1" s="1"/>
  <c r="AR329" i="1" s="1"/>
  <c r="AR330" i="1" s="1"/>
  <c r="AR331" i="1" s="1"/>
  <c r="AR332" i="1" s="1"/>
  <c r="AR333" i="1" s="1"/>
  <c r="AR334" i="1" s="1"/>
  <c r="AR335" i="1" s="1"/>
  <c r="AR336" i="1" s="1"/>
  <c r="AR337" i="1" s="1"/>
  <c r="AR338" i="1" s="1"/>
  <c r="AR339" i="1" s="1"/>
  <c r="AR340" i="1" s="1"/>
  <c r="AR341" i="1" s="1"/>
  <c r="AR342" i="1" s="1"/>
  <c r="AR343" i="1" s="1"/>
  <c r="AR344" i="1" s="1"/>
  <c r="AR345" i="1" s="1"/>
  <c r="AR346" i="1" s="1"/>
  <c r="AR347" i="1" s="1"/>
  <c r="AR348" i="1" s="1"/>
  <c r="AR349" i="1" s="1"/>
  <c r="AR350" i="1" s="1"/>
  <c r="AR351" i="1" s="1"/>
  <c r="AR352" i="1" s="1"/>
  <c r="AR353" i="1" s="1"/>
  <c r="AR354" i="1" s="1"/>
  <c r="AR355" i="1" s="1"/>
  <c r="AR356" i="1" s="1"/>
  <c r="AR360" i="1" s="1"/>
  <c r="AR361" i="1" s="1"/>
  <c r="AR362" i="1" s="1"/>
  <c r="AR363" i="1" s="1"/>
  <c r="AR364" i="1" s="1"/>
  <c r="AR365" i="1" s="1"/>
  <c r="AR366" i="1" s="1"/>
  <c r="AR367" i="1" s="1"/>
  <c r="AR368" i="1" s="1"/>
  <c r="AR369" i="1" s="1"/>
  <c r="AR370" i="1" s="1"/>
  <c r="AR371" i="1" s="1"/>
  <c r="AR372" i="1" s="1"/>
  <c r="AR373" i="1" s="1"/>
  <c r="AR374" i="1" s="1"/>
  <c r="AR375" i="1" s="1"/>
  <c r="AR376" i="1" s="1"/>
  <c r="AR377" i="1" s="1"/>
  <c r="AR378" i="1" s="1"/>
  <c r="AR379" i="1" s="1"/>
  <c r="AR380" i="1" s="1"/>
  <c r="AR381" i="1" s="1"/>
  <c r="AR382" i="1" s="1"/>
  <c r="AR383" i="1" s="1"/>
  <c r="AR384" i="1" s="1"/>
  <c r="AR385" i="1" s="1"/>
  <c r="AR386" i="1" s="1"/>
  <c r="AR387" i="1" s="1"/>
  <c r="AR388" i="1" s="1"/>
  <c r="AR389" i="1" s="1"/>
  <c r="AR390" i="1" s="1"/>
  <c r="AR391" i="1" s="1"/>
  <c r="AR395" i="1" s="1"/>
  <c r="AR396" i="1" s="1"/>
  <c r="AR397" i="1" s="1"/>
  <c r="AR398" i="1" s="1"/>
  <c r="AR399" i="1" s="1"/>
  <c r="AR400" i="1" s="1"/>
  <c r="AR401" i="1" s="1"/>
  <c r="AR402" i="1" s="1"/>
  <c r="AR403" i="1" s="1"/>
  <c r="AR404" i="1" s="1"/>
  <c r="AR405" i="1" s="1"/>
  <c r="AR406" i="1" s="1"/>
  <c r="AR407" i="1" s="1"/>
  <c r="AR408" i="1" s="1"/>
  <c r="AR409" i="1" s="1"/>
  <c r="AR410" i="1" s="1"/>
  <c r="AR411" i="1" s="1"/>
  <c r="AR412" i="1" s="1"/>
  <c r="AR413" i="1" s="1"/>
  <c r="AR414" i="1" s="1"/>
  <c r="AR415" i="1" s="1"/>
  <c r="AR416" i="1" s="1"/>
  <c r="AR417" i="1" s="1"/>
  <c r="AR418" i="1" s="1"/>
  <c r="AR419" i="1" s="1"/>
  <c r="AR420" i="1" s="1"/>
  <c r="AR421" i="1" s="1"/>
  <c r="AR422" i="1" s="1"/>
  <c r="AR423" i="1" s="1"/>
  <c r="AR424" i="1" s="1"/>
  <c r="AR425" i="1" s="1"/>
  <c r="AR426" i="1" s="1"/>
  <c r="AR427" i="1" s="1"/>
  <c r="F85" i="5" s="1"/>
  <c r="H8" i="16" s="1"/>
  <c r="AY32" i="5"/>
  <c r="D58" i="21" s="1"/>
  <c r="QH147" i="1"/>
  <c r="QH148" i="1" s="1"/>
  <c r="QH149" i="1" s="1"/>
  <c r="QH150" i="1" s="1"/>
  <c r="QH151" i="1" s="1"/>
  <c r="QH152" i="1" s="1"/>
  <c r="QH153" i="1" s="1"/>
  <c r="QH154" i="1" s="1"/>
  <c r="QH155" i="1" s="1"/>
  <c r="QH156" i="1" s="1"/>
  <c r="QH157" i="1" s="1"/>
  <c r="QH158" i="1" s="1"/>
  <c r="QH159" i="1" s="1"/>
  <c r="QH160" i="1" s="1"/>
  <c r="QH161" i="1" s="1"/>
  <c r="QH162" i="1" s="1"/>
  <c r="QH163" i="1" s="1"/>
  <c r="QH164" i="1" s="1"/>
  <c r="QH165" i="1" s="1"/>
  <c r="QH166" i="1" s="1"/>
  <c r="QH167" i="1" s="1"/>
  <c r="QH168" i="1" s="1"/>
  <c r="QH169" i="1" s="1"/>
  <c r="QH170" i="1" s="1"/>
  <c r="QH171" i="1" s="1"/>
  <c r="QH172" i="1" s="1"/>
  <c r="QH173" i="1" s="1"/>
  <c r="QH174" i="1" s="1"/>
  <c r="QH175" i="1" s="1"/>
  <c r="QH176" i="1" s="1"/>
  <c r="QH177" i="1" s="1"/>
  <c r="QH178" i="1" s="1"/>
  <c r="AS32" i="5"/>
  <c r="D52" i="21" s="1"/>
  <c r="AW32" i="5"/>
  <c r="D56" i="21" s="1"/>
  <c r="PP147" i="1"/>
  <c r="PP148" i="1" s="1"/>
  <c r="PP149" i="1" s="1"/>
  <c r="PP150" i="1" s="1"/>
  <c r="PP151" i="1" s="1"/>
  <c r="PP152" i="1" s="1"/>
  <c r="PP153" i="1" s="1"/>
  <c r="PP154" i="1" s="1"/>
  <c r="PP155" i="1" s="1"/>
  <c r="PP156" i="1" s="1"/>
  <c r="PP157" i="1" s="1"/>
  <c r="PP158" i="1" s="1"/>
  <c r="PP159" i="1" s="1"/>
  <c r="PP160" i="1" s="1"/>
  <c r="PP161" i="1" s="1"/>
  <c r="PP162" i="1" s="1"/>
  <c r="PP163" i="1" s="1"/>
  <c r="PP164" i="1" s="1"/>
  <c r="PP165" i="1" s="1"/>
  <c r="PP166" i="1" s="1"/>
  <c r="PP167" i="1" s="1"/>
  <c r="PP168" i="1" s="1"/>
  <c r="PP169" i="1" s="1"/>
  <c r="PP170" i="1" s="1"/>
  <c r="PP171" i="1" s="1"/>
  <c r="PP172" i="1" s="1"/>
  <c r="PP173" i="1" s="1"/>
  <c r="PP174" i="1" s="1"/>
  <c r="PP175" i="1" s="1"/>
  <c r="PP176" i="1" s="1"/>
  <c r="PP177" i="1" s="1"/>
  <c r="PP178" i="1" s="1"/>
  <c r="AU32" i="5"/>
  <c r="D54" i="21" s="1"/>
  <c r="AV32" i="5"/>
  <c r="D55" i="21" s="1"/>
  <c r="PG147" i="1"/>
  <c r="PG148" i="1" s="1"/>
  <c r="PG149" i="1" s="1"/>
  <c r="PG150" i="1" s="1"/>
  <c r="PG151" i="1" s="1"/>
  <c r="PG152" i="1" s="1"/>
  <c r="PG153" i="1" s="1"/>
  <c r="PG154" i="1" s="1"/>
  <c r="PG155" i="1" s="1"/>
  <c r="PG156" i="1" s="1"/>
  <c r="PG157" i="1" s="1"/>
  <c r="PG158" i="1" s="1"/>
  <c r="PG159" i="1" s="1"/>
  <c r="PG160" i="1" s="1"/>
  <c r="PG161" i="1" s="1"/>
  <c r="PG162" i="1" s="1"/>
  <c r="PG163" i="1" s="1"/>
  <c r="PG164" i="1" s="1"/>
  <c r="PG165" i="1" s="1"/>
  <c r="PG166" i="1" s="1"/>
  <c r="PG167" i="1" s="1"/>
  <c r="PG168" i="1" s="1"/>
  <c r="PG169" i="1" s="1"/>
  <c r="PG170" i="1" s="1"/>
  <c r="PG171" i="1" s="1"/>
  <c r="PG172" i="1" s="1"/>
  <c r="PG173" i="1" s="1"/>
  <c r="PG174" i="1" s="1"/>
  <c r="PG175" i="1" s="1"/>
  <c r="PG176" i="1" s="1"/>
  <c r="PG177" i="1" s="1"/>
  <c r="PG178" i="1" s="1"/>
  <c r="AZ32" i="5"/>
  <c r="D59" i="21" s="1"/>
  <c r="QQ147" i="1"/>
  <c r="QQ148" i="1" s="1"/>
  <c r="QQ149" i="1" s="1"/>
  <c r="QQ150" i="1" s="1"/>
  <c r="QQ151" i="1" s="1"/>
  <c r="QQ152" i="1" s="1"/>
  <c r="QQ153" i="1" s="1"/>
  <c r="QQ154" i="1" s="1"/>
  <c r="QQ155" i="1" s="1"/>
  <c r="QQ156" i="1" s="1"/>
  <c r="QQ157" i="1" s="1"/>
  <c r="QQ158" i="1" s="1"/>
  <c r="QQ159" i="1" s="1"/>
  <c r="QQ160" i="1" s="1"/>
  <c r="QQ161" i="1" s="1"/>
  <c r="QQ162" i="1" s="1"/>
  <c r="QQ163" i="1" s="1"/>
  <c r="QQ164" i="1" s="1"/>
  <c r="QQ165" i="1" s="1"/>
  <c r="QQ166" i="1" s="1"/>
  <c r="QQ167" i="1" s="1"/>
  <c r="QQ168" i="1" s="1"/>
  <c r="QQ169" i="1" s="1"/>
  <c r="QQ170" i="1" s="1"/>
  <c r="QQ171" i="1" s="1"/>
  <c r="QQ172" i="1" s="1"/>
  <c r="QQ173" i="1" s="1"/>
  <c r="QQ174" i="1" s="1"/>
  <c r="QQ175" i="1" s="1"/>
  <c r="QQ176" i="1" s="1"/>
  <c r="QQ177" i="1" s="1"/>
  <c r="QQ178" i="1" s="1"/>
  <c r="AH15" i="5"/>
  <c r="H38" i="18" s="1"/>
  <c r="O38" i="18" s="1"/>
  <c r="KK75" i="1"/>
  <c r="KL75" i="1" s="1"/>
  <c r="P15" i="5"/>
  <c r="H18" i="18" s="1"/>
  <c r="O18" i="18" s="1"/>
  <c r="ED75" i="1"/>
  <c r="Q15" i="5"/>
  <c r="EM75" i="1"/>
  <c r="EM76" i="1" s="1"/>
  <c r="EM77" i="1" s="1"/>
  <c r="EM78" i="1" s="1"/>
  <c r="EM79" i="1" s="1"/>
  <c r="EM80" i="1" s="1"/>
  <c r="EM81" i="1" s="1"/>
  <c r="EM82" i="1" s="1"/>
  <c r="EM83" i="1" s="1"/>
  <c r="EM84" i="1" s="1"/>
  <c r="EM85" i="1" s="1"/>
  <c r="EM86" i="1" s="1"/>
  <c r="EM87" i="1" s="1"/>
  <c r="EM88" i="1" s="1"/>
  <c r="EM89" i="1" s="1"/>
  <c r="EM90" i="1" s="1"/>
  <c r="EM91" i="1" s="1"/>
  <c r="EM92" i="1" s="1"/>
  <c r="EM93" i="1" s="1"/>
  <c r="EM94" i="1" s="1"/>
  <c r="EM95" i="1" s="1"/>
  <c r="EM96" i="1" s="1"/>
  <c r="EM97" i="1" s="1"/>
  <c r="EM98" i="1" s="1"/>
  <c r="EM99" i="1" s="1"/>
  <c r="EM100" i="1" s="1"/>
  <c r="EM101" i="1" s="1"/>
  <c r="EM102" i="1" s="1"/>
  <c r="EM103" i="1" s="1"/>
  <c r="EM104" i="1" s="1"/>
  <c r="EM105" i="1" s="1"/>
  <c r="EM106" i="1" s="1"/>
  <c r="EM107" i="1" s="1"/>
  <c r="R15" i="5"/>
  <c r="H20" i="18" s="1"/>
  <c r="O20" i="18" s="1"/>
  <c r="EV75" i="1"/>
  <c r="AA15" i="5"/>
  <c r="H31" i="18" s="1"/>
  <c r="O31" i="18" s="1"/>
  <c r="HZ75" i="1"/>
  <c r="IA75" i="1" s="1"/>
  <c r="Z15" i="5"/>
  <c r="H30" i="18" s="1"/>
  <c r="O30" i="18" s="1"/>
  <c r="HP75" i="1"/>
  <c r="AE15" i="5"/>
  <c r="H35" i="18" s="1"/>
  <c r="O35" i="18" s="1"/>
  <c r="JJ75" i="1"/>
  <c r="JK75" i="1" s="1"/>
  <c r="Y15" i="5"/>
  <c r="H29" i="18" s="1"/>
  <c r="O29" i="18" s="1"/>
  <c r="HG75" i="1"/>
  <c r="S15" i="5"/>
  <c r="H21" i="18" s="1"/>
  <c r="O21" i="18" s="1"/>
  <c r="FE75" i="1"/>
  <c r="O26" i="18"/>
  <c r="GF75" i="1"/>
  <c r="N15" i="5"/>
  <c r="H16" i="18" s="1"/>
  <c r="O16" i="18" s="1"/>
  <c r="O15" i="5"/>
  <c r="H17" i="18" s="1"/>
  <c r="O17" i="18" s="1"/>
  <c r="DU75" i="1"/>
  <c r="X15" i="5"/>
  <c r="H28" i="18" s="1"/>
  <c r="O28" i="18" s="1"/>
  <c r="GX75" i="1"/>
  <c r="L15" i="5"/>
  <c r="H14" i="18" s="1"/>
  <c r="O14" i="18" s="1"/>
  <c r="CT75" i="1"/>
  <c r="U15" i="5"/>
  <c r="H25" i="18" s="1"/>
  <c r="O25" i="18" s="1"/>
  <c r="FW75" i="1"/>
  <c r="FX75" i="1" s="1"/>
  <c r="AI15" i="5"/>
  <c r="H39" i="18" s="1"/>
  <c r="O39" i="18" s="1"/>
  <c r="KT75" i="1"/>
  <c r="KU75" i="1" s="1"/>
  <c r="AF11" i="5"/>
  <c r="D36" i="18" s="1"/>
  <c r="JS42" i="1"/>
  <c r="JS43" i="1" s="1"/>
  <c r="JS44" i="1" s="1"/>
  <c r="JS45" i="1" s="1"/>
  <c r="JS46" i="1" s="1"/>
  <c r="JS47" i="1" s="1"/>
  <c r="JS48" i="1" s="1"/>
  <c r="JS49" i="1" s="1"/>
  <c r="JS50" i="1" s="1"/>
  <c r="JS51" i="1" s="1"/>
  <c r="JS52" i="1" s="1"/>
  <c r="JS53" i="1" s="1"/>
  <c r="JS54" i="1" s="1"/>
  <c r="JS55" i="1" s="1"/>
  <c r="JS56" i="1" s="1"/>
  <c r="JS57" i="1" s="1"/>
  <c r="JS58" i="1" s="1"/>
  <c r="JS59" i="1" s="1"/>
  <c r="JS60" i="1" s="1"/>
  <c r="JS61" i="1" s="1"/>
  <c r="JS62" i="1" s="1"/>
  <c r="JS63" i="1" s="1"/>
  <c r="JS64" i="1" s="1"/>
  <c r="JS65" i="1" s="1"/>
  <c r="JS66" i="1" s="1"/>
  <c r="JS67" i="1" s="1"/>
  <c r="JS68" i="1" s="1"/>
  <c r="JS69" i="1" s="1"/>
  <c r="JS70" i="1" s="1"/>
  <c r="JS71" i="1" s="1"/>
  <c r="JT71" i="1" s="1"/>
  <c r="K4" i="5"/>
  <c r="J4" i="5"/>
  <c r="I4" i="5"/>
  <c r="H4" i="5"/>
  <c r="G4" i="5"/>
  <c r="F4" i="5"/>
  <c r="E4" i="5"/>
  <c r="D4" i="5"/>
  <c r="C4" i="5"/>
  <c r="B4" i="5"/>
  <c r="K75" i="5"/>
  <c r="E13" i="15" s="1"/>
  <c r="J75" i="5"/>
  <c r="E12" i="15" s="1"/>
  <c r="I75" i="5"/>
  <c r="E11" i="15" s="1"/>
  <c r="H75" i="5"/>
  <c r="E10" i="15" s="1"/>
  <c r="G75" i="5"/>
  <c r="E9" i="15" s="1"/>
  <c r="F75" i="5"/>
  <c r="E8" i="15" s="1"/>
  <c r="E75" i="5"/>
  <c r="E7" i="15" s="1"/>
  <c r="D75" i="5"/>
  <c r="E6" i="15" s="1"/>
  <c r="C75" i="5"/>
  <c r="E5" i="15" s="1"/>
  <c r="F391" i="1"/>
  <c r="D391" i="1"/>
  <c r="B75" i="5" s="1"/>
  <c r="K61" i="5"/>
  <c r="E13" i="13" s="1"/>
  <c r="J61" i="5"/>
  <c r="E12" i="13" s="1"/>
  <c r="I61" i="5"/>
  <c r="E11" i="13" s="1"/>
  <c r="H61" i="5"/>
  <c r="E10" i="13" s="1"/>
  <c r="G61" i="5"/>
  <c r="E9" i="13" s="1"/>
  <c r="F61" i="5"/>
  <c r="E8" i="13" s="1"/>
  <c r="E61" i="5"/>
  <c r="E7" i="13" s="1"/>
  <c r="D61" i="5"/>
  <c r="E6" i="13" s="1"/>
  <c r="C61" i="5"/>
  <c r="E5" i="13" s="1"/>
  <c r="F320" i="1"/>
  <c r="D320" i="1"/>
  <c r="B61" i="5" s="1"/>
  <c r="K82" i="5"/>
  <c r="E13" i="16" s="1"/>
  <c r="J82" i="5"/>
  <c r="E12" i="16" s="1"/>
  <c r="I82" i="5"/>
  <c r="E11" i="16" s="1"/>
  <c r="H82" i="5"/>
  <c r="E10" i="16" s="1"/>
  <c r="G82" i="5"/>
  <c r="E9" i="16" s="1"/>
  <c r="F82" i="5"/>
  <c r="E8" i="16" s="1"/>
  <c r="E82" i="5"/>
  <c r="E7" i="16" s="1"/>
  <c r="D82" i="5"/>
  <c r="E6" i="16" s="1"/>
  <c r="C82" i="5"/>
  <c r="E5" i="16" s="1"/>
  <c r="F427" i="1"/>
  <c r="D427" i="1"/>
  <c r="B82" i="5" s="1"/>
  <c r="K68" i="5"/>
  <c r="E13" i="14" s="1"/>
  <c r="J68" i="5"/>
  <c r="E12" i="14" s="1"/>
  <c r="I68" i="5"/>
  <c r="E11" i="14" s="1"/>
  <c r="H68" i="5"/>
  <c r="E10" i="14" s="1"/>
  <c r="G68" i="5"/>
  <c r="E9" i="14" s="1"/>
  <c r="F68" i="5"/>
  <c r="E8" i="14" s="1"/>
  <c r="E68" i="5"/>
  <c r="E7" i="14" s="1"/>
  <c r="D68" i="5"/>
  <c r="E6" i="14" s="1"/>
  <c r="C68" i="5"/>
  <c r="E5" i="14" s="1"/>
  <c r="F356" i="1"/>
  <c r="D356" i="1"/>
  <c r="B68" i="5" s="1"/>
  <c r="K54" i="5"/>
  <c r="E13" i="12" s="1"/>
  <c r="J54" i="5"/>
  <c r="E12" i="12" s="1"/>
  <c r="I54" i="5"/>
  <c r="E11" i="12" s="1"/>
  <c r="H54" i="5"/>
  <c r="E10" i="12" s="1"/>
  <c r="G54" i="5"/>
  <c r="E9" i="12" s="1"/>
  <c r="F54" i="5"/>
  <c r="E8" i="12" s="1"/>
  <c r="E54" i="5"/>
  <c r="E7" i="12" s="1"/>
  <c r="D54" i="5"/>
  <c r="E6" i="12" s="1"/>
  <c r="C54" i="5"/>
  <c r="E5" i="12" s="1"/>
  <c r="F285" i="1"/>
  <c r="D285" i="1"/>
  <c r="B54" i="5" s="1"/>
  <c r="K47" i="5"/>
  <c r="E13" i="11" s="1"/>
  <c r="J47" i="5"/>
  <c r="E12" i="11" s="1"/>
  <c r="I47" i="5"/>
  <c r="E11" i="11" s="1"/>
  <c r="H47" i="5"/>
  <c r="E10" i="11" s="1"/>
  <c r="G47" i="5"/>
  <c r="E9" i="11" s="1"/>
  <c r="F47" i="5"/>
  <c r="E8" i="11" s="1"/>
  <c r="E47" i="5"/>
  <c r="E7" i="11" s="1"/>
  <c r="D47" i="5"/>
  <c r="E6" i="11" s="1"/>
  <c r="C47" i="5"/>
  <c r="E5" i="11" s="1"/>
  <c r="K40" i="5"/>
  <c r="E13" i="8" s="1"/>
  <c r="J40" i="5"/>
  <c r="E12" i="8" s="1"/>
  <c r="I40" i="5"/>
  <c r="E11" i="8" s="1"/>
  <c r="H40" i="5"/>
  <c r="E10" i="8" s="1"/>
  <c r="G40" i="5"/>
  <c r="E9" i="8" s="1"/>
  <c r="F40" i="5"/>
  <c r="E8" i="8" s="1"/>
  <c r="E40" i="5"/>
  <c r="E7" i="8" s="1"/>
  <c r="D40" i="5"/>
  <c r="E6" i="8" s="1"/>
  <c r="C40" i="5"/>
  <c r="E5" i="8" s="1"/>
  <c r="F213" i="1"/>
  <c r="D213" i="1"/>
  <c r="B40" i="5" s="1"/>
  <c r="K33" i="5"/>
  <c r="E13" i="21" s="1"/>
  <c r="J33" i="5"/>
  <c r="E12" i="21" s="1"/>
  <c r="I33" i="5"/>
  <c r="E11" i="21" s="1"/>
  <c r="H33" i="5"/>
  <c r="E10" i="21" s="1"/>
  <c r="G33" i="5"/>
  <c r="E9" i="21" s="1"/>
  <c r="F33" i="5"/>
  <c r="E8" i="21" s="1"/>
  <c r="E33" i="5"/>
  <c r="E7" i="21" s="1"/>
  <c r="D33" i="5"/>
  <c r="E6" i="21" s="1"/>
  <c r="C33" i="5"/>
  <c r="E5" i="21" s="1"/>
  <c r="F178" i="1"/>
  <c r="D178" i="1"/>
  <c r="B33" i="5" s="1"/>
  <c r="K26" i="5"/>
  <c r="E13" i="20" s="1"/>
  <c r="J26" i="5"/>
  <c r="E12" i="20" s="1"/>
  <c r="I26" i="5"/>
  <c r="E11" i="20" s="1"/>
  <c r="H26" i="5"/>
  <c r="E10" i="20" s="1"/>
  <c r="G26" i="5"/>
  <c r="E9" i="20" s="1"/>
  <c r="F26" i="5"/>
  <c r="E8" i="20" s="1"/>
  <c r="E26" i="5"/>
  <c r="E7" i="20" s="1"/>
  <c r="D26" i="5"/>
  <c r="E6" i="20" s="1"/>
  <c r="C26" i="5"/>
  <c r="E5" i="20" s="1"/>
  <c r="K19" i="5"/>
  <c r="E13" i="19" s="1"/>
  <c r="J19" i="5"/>
  <c r="E12" i="19" s="1"/>
  <c r="I19" i="5"/>
  <c r="E11" i="19" s="1"/>
  <c r="H19" i="5"/>
  <c r="E10" i="19" s="1"/>
  <c r="G19" i="5"/>
  <c r="E9" i="19" s="1"/>
  <c r="F19" i="5"/>
  <c r="E8" i="19" s="1"/>
  <c r="E19" i="5"/>
  <c r="E7" i="19" s="1"/>
  <c r="D19" i="5"/>
  <c r="E6" i="19" s="1"/>
  <c r="C19" i="5"/>
  <c r="E5" i="19" s="1"/>
  <c r="F107" i="1"/>
  <c r="D107" i="1"/>
  <c r="B19" i="5" s="1"/>
  <c r="E4" i="19" s="1"/>
  <c r="K5" i="5"/>
  <c r="K85" i="5"/>
  <c r="H13" i="16" s="1"/>
  <c r="J5" i="5"/>
  <c r="J85" i="5"/>
  <c r="H12" i="16" s="1"/>
  <c r="I5" i="5"/>
  <c r="H5" i="5"/>
  <c r="H85" i="5"/>
  <c r="H10" i="16" s="1"/>
  <c r="G5" i="5"/>
  <c r="F5" i="5"/>
  <c r="E5" i="5"/>
  <c r="E85" i="5"/>
  <c r="H7" i="16" s="1"/>
  <c r="D5" i="5"/>
  <c r="C5" i="5"/>
  <c r="C85" i="5"/>
  <c r="H5" i="16" s="1"/>
  <c r="K12" i="5"/>
  <c r="E13" i="18" s="1"/>
  <c r="J12" i="5"/>
  <c r="E12" i="18" s="1"/>
  <c r="I12" i="5"/>
  <c r="E11" i="18" s="1"/>
  <c r="H12" i="5"/>
  <c r="E10" i="18" s="1"/>
  <c r="G12" i="5"/>
  <c r="E9" i="18" s="1"/>
  <c r="F12" i="5"/>
  <c r="E8" i="18" s="1"/>
  <c r="E12" i="5"/>
  <c r="E7" i="18" s="1"/>
  <c r="D12" i="5"/>
  <c r="E6" i="18" s="1"/>
  <c r="C12" i="5"/>
  <c r="E5" i="18" s="1"/>
  <c r="FZ2" i="1"/>
  <c r="P3" i="5"/>
  <c r="B2" i="1"/>
  <c r="D249" i="1"/>
  <c r="B47" i="5" s="1"/>
  <c r="F142" i="1"/>
  <c r="D142" i="1"/>
  <c r="B26" i="5" s="1"/>
  <c r="B12" i="5"/>
  <c r="E4" i="18" s="1"/>
  <c r="F37" i="1"/>
  <c r="D37" i="1"/>
  <c r="B5" i="5" s="1"/>
  <c r="H6" i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GO76" i="1" l="1"/>
  <c r="GO77" i="1" s="1"/>
  <c r="GO78" i="1" s="1"/>
  <c r="GO79" i="1" s="1"/>
  <c r="GO80" i="1" s="1"/>
  <c r="GO81" i="1" s="1"/>
  <c r="GO82" i="1" s="1"/>
  <c r="GO83" i="1" s="1"/>
  <c r="GO84" i="1" s="1"/>
  <c r="GO85" i="1" s="1"/>
  <c r="GO86" i="1" s="1"/>
  <c r="GO87" i="1" s="1"/>
  <c r="GO88" i="1" s="1"/>
  <c r="GO89" i="1" s="1"/>
  <c r="GO90" i="1" s="1"/>
  <c r="GO91" i="1" s="1"/>
  <c r="GO92" i="1" s="1"/>
  <c r="GO93" i="1" s="1"/>
  <c r="GO94" i="1" s="1"/>
  <c r="GO95" i="1" s="1"/>
  <c r="GO96" i="1" s="1"/>
  <c r="GO97" i="1" s="1"/>
  <c r="GO98" i="1" s="1"/>
  <c r="GO99" i="1" s="1"/>
  <c r="GO100" i="1" s="1"/>
  <c r="GO101" i="1" s="1"/>
  <c r="GO102" i="1" s="1"/>
  <c r="GO103" i="1" s="1"/>
  <c r="GO104" i="1" s="1"/>
  <c r="GO105" i="1" s="1"/>
  <c r="GO106" i="1" s="1"/>
  <c r="GO107" i="1" s="1"/>
  <c r="GP107" i="1" s="1"/>
  <c r="GP75" i="1"/>
  <c r="GF76" i="1"/>
  <c r="GF77" i="1" s="1"/>
  <c r="GF78" i="1" s="1"/>
  <c r="GF79" i="1" s="1"/>
  <c r="GF80" i="1" s="1"/>
  <c r="GF81" i="1" s="1"/>
  <c r="GF82" i="1" s="1"/>
  <c r="GF83" i="1" s="1"/>
  <c r="GF84" i="1" s="1"/>
  <c r="GF85" i="1" s="1"/>
  <c r="GF86" i="1" s="1"/>
  <c r="GF87" i="1" s="1"/>
  <c r="GF88" i="1" s="1"/>
  <c r="GF89" i="1" s="1"/>
  <c r="GF90" i="1" s="1"/>
  <c r="GF91" i="1" s="1"/>
  <c r="GF92" i="1" s="1"/>
  <c r="GF93" i="1" s="1"/>
  <c r="GF94" i="1" s="1"/>
  <c r="GF95" i="1" s="1"/>
  <c r="GF96" i="1" s="1"/>
  <c r="GF97" i="1" s="1"/>
  <c r="GF98" i="1" s="1"/>
  <c r="GF99" i="1" s="1"/>
  <c r="GF100" i="1" s="1"/>
  <c r="GF101" i="1" s="1"/>
  <c r="GF102" i="1" s="1"/>
  <c r="GF103" i="1" s="1"/>
  <c r="GF104" i="1" s="1"/>
  <c r="GF105" i="1" s="1"/>
  <c r="GF106" i="1" s="1"/>
  <c r="GF107" i="1" s="1"/>
  <c r="GG107" i="1" s="1"/>
  <c r="V18" i="5"/>
  <c r="D26" i="19" s="1"/>
  <c r="GG75" i="1"/>
  <c r="TK324" i="1"/>
  <c r="BH64" i="5"/>
  <c r="BF64" i="5"/>
  <c r="SS324" i="1"/>
  <c r="BD64" i="5"/>
  <c r="H60" i="13" s="1"/>
  <c r="SA324" i="1"/>
  <c r="TB324" i="1"/>
  <c r="BG64" i="5"/>
  <c r="BE64" i="5"/>
  <c r="H61" i="13" s="1"/>
  <c r="SJ324" i="1"/>
  <c r="BC64" i="5"/>
  <c r="H59" i="13" s="1"/>
  <c r="RR324" i="1"/>
  <c r="QZ324" i="1"/>
  <c r="BA64" i="5"/>
  <c r="H57" i="13" s="1"/>
  <c r="RI324" i="1"/>
  <c r="BB67" i="5" s="1"/>
  <c r="D58" i="14" s="1"/>
  <c r="AL53" i="5"/>
  <c r="D42" i="12" s="1"/>
  <c r="LU254" i="1"/>
  <c r="LU255" i="1" s="1"/>
  <c r="LU256" i="1" s="1"/>
  <c r="LU257" i="1" s="1"/>
  <c r="LU258" i="1" s="1"/>
  <c r="LU259" i="1" s="1"/>
  <c r="LU260" i="1" s="1"/>
  <c r="LU261" i="1" s="1"/>
  <c r="LU262" i="1" s="1"/>
  <c r="LU263" i="1" s="1"/>
  <c r="LU264" i="1" s="1"/>
  <c r="LU265" i="1" s="1"/>
  <c r="LU266" i="1" s="1"/>
  <c r="LU267" i="1" s="1"/>
  <c r="LU268" i="1" s="1"/>
  <c r="LU269" i="1" s="1"/>
  <c r="LU270" i="1" s="1"/>
  <c r="LU271" i="1" s="1"/>
  <c r="LU272" i="1" s="1"/>
  <c r="LU273" i="1" s="1"/>
  <c r="LU274" i="1" s="1"/>
  <c r="LU275" i="1" s="1"/>
  <c r="LU276" i="1" s="1"/>
  <c r="LU277" i="1" s="1"/>
  <c r="LU278" i="1" s="1"/>
  <c r="LU279" i="1" s="1"/>
  <c r="LU280" i="1" s="1"/>
  <c r="LU281" i="1" s="1"/>
  <c r="LU282" i="1" s="1"/>
  <c r="LU283" i="1" s="1"/>
  <c r="LU284" i="1" s="1"/>
  <c r="LU285" i="1" s="1"/>
  <c r="AP53" i="5"/>
  <c r="D46" i="12" s="1"/>
  <c r="NE254" i="1"/>
  <c r="NE255" i="1" s="1"/>
  <c r="NE256" i="1" s="1"/>
  <c r="NE257" i="1" s="1"/>
  <c r="NE258" i="1" s="1"/>
  <c r="NE259" i="1" s="1"/>
  <c r="NE260" i="1" s="1"/>
  <c r="NE261" i="1" s="1"/>
  <c r="NE262" i="1" s="1"/>
  <c r="NE263" i="1" s="1"/>
  <c r="NE264" i="1" s="1"/>
  <c r="NE265" i="1" s="1"/>
  <c r="NE266" i="1" s="1"/>
  <c r="NE267" i="1" s="1"/>
  <c r="NE268" i="1" s="1"/>
  <c r="NE269" i="1" s="1"/>
  <c r="NE270" i="1" s="1"/>
  <c r="NE271" i="1" s="1"/>
  <c r="NE272" i="1" s="1"/>
  <c r="NE273" i="1" s="1"/>
  <c r="NE274" i="1" s="1"/>
  <c r="NE275" i="1" s="1"/>
  <c r="NE276" i="1" s="1"/>
  <c r="NE277" i="1" s="1"/>
  <c r="NE278" i="1" s="1"/>
  <c r="NE279" i="1" s="1"/>
  <c r="NE280" i="1" s="1"/>
  <c r="NE281" i="1" s="1"/>
  <c r="NE282" i="1" s="1"/>
  <c r="NE283" i="1" s="1"/>
  <c r="NE284" i="1" s="1"/>
  <c r="NE285" i="1" s="1"/>
  <c r="AO53" i="5"/>
  <c r="D45" i="12" s="1"/>
  <c r="MV254" i="1"/>
  <c r="MV255" i="1" s="1"/>
  <c r="MV256" i="1" s="1"/>
  <c r="MV257" i="1" s="1"/>
  <c r="MV258" i="1" s="1"/>
  <c r="MV259" i="1" s="1"/>
  <c r="MV260" i="1" s="1"/>
  <c r="MV261" i="1" s="1"/>
  <c r="MV262" i="1" s="1"/>
  <c r="MV263" i="1" s="1"/>
  <c r="MV264" i="1" s="1"/>
  <c r="MV265" i="1" s="1"/>
  <c r="MV266" i="1" s="1"/>
  <c r="MV267" i="1" s="1"/>
  <c r="MV268" i="1" s="1"/>
  <c r="MV269" i="1" s="1"/>
  <c r="MV270" i="1" s="1"/>
  <c r="MV271" i="1" s="1"/>
  <c r="MV272" i="1" s="1"/>
  <c r="MV273" i="1" s="1"/>
  <c r="MV274" i="1" s="1"/>
  <c r="MV275" i="1" s="1"/>
  <c r="MV276" i="1" s="1"/>
  <c r="MV277" i="1" s="1"/>
  <c r="MV278" i="1" s="1"/>
  <c r="MV279" i="1" s="1"/>
  <c r="MV280" i="1" s="1"/>
  <c r="MV281" i="1" s="1"/>
  <c r="MV282" i="1" s="1"/>
  <c r="MV283" i="1" s="1"/>
  <c r="MV284" i="1" s="1"/>
  <c r="MV285" i="1" s="1"/>
  <c r="E70" i="14"/>
  <c r="E4" i="14"/>
  <c r="E68" i="14" s="1"/>
  <c r="E70" i="16"/>
  <c r="E4" i="16"/>
  <c r="E68" i="16" s="1"/>
  <c r="E71" i="13"/>
  <c r="E4" i="13"/>
  <c r="E69" i="13" s="1"/>
  <c r="E71" i="15"/>
  <c r="E4" i="15"/>
  <c r="E69" i="15" s="1"/>
  <c r="E4" i="12"/>
  <c r="E70" i="12" s="1"/>
  <c r="E72" i="12"/>
  <c r="E80" i="11"/>
  <c r="E4" i="11"/>
  <c r="E78" i="11" s="1"/>
  <c r="E71" i="8"/>
  <c r="E4" i="8"/>
  <c r="E69" i="8" s="1"/>
  <c r="LC112" i="1"/>
  <c r="LC113" i="1" s="1"/>
  <c r="LC114" i="1" s="1"/>
  <c r="LC115" i="1" s="1"/>
  <c r="LC116" i="1" s="1"/>
  <c r="LC117" i="1" s="1"/>
  <c r="LC118" i="1" s="1"/>
  <c r="LC119" i="1" s="1"/>
  <c r="LC120" i="1" s="1"/>
  <c r="LC121" i="1" s="1"/>
  <c r="LC122" i="1" s="1"/>
  <c r="LC123" i="1" s="1"/>
  <c r="LC124" i="1" s="1"/>
  <c r="LC125" i="1" s="1"/>
  <c r="LC126" i="1" s="1"/>
  <c r="LC127" i="1" s="1"/>
  <c r="LC128" i="1" s="1"/>
  <c r="LC129" i="1" s="1"/>
  <c r="LC130" i="1" s="1"/>
  <c r="LC131" i="1" s="1"/>
  <c r="LC132" i="1" s="1"/>
  <c r="LC133" i="1" s="1"/>
  <c r="LC134" i="1" s="1"/>
  <c r="LC135" i="1" s="1"/>
  <c r="LC136" i="1" s="1"/>
  <c r="LC137" i="1" s="1"/>
  <c r="LC138" i="1" s="1"/>
  <c r="LC139" i="1" s="1"/>
  <c r="LC140" i="1" s="1"/>
  <c r="LC141" i="1" s="1"/>
  <c r="LC142" i="1" s="1"/>
  <c r="LD142" i="1" s="1"/>
  <c r="AJ25" i="5"/>
  <c r="D40" i="20" s="1"/>
  <c r="W18" i="5"/>
  <c r="D27" i="19" s="1"/>
  <c r="AC18" i="5"/>
  <c r="D33" i="19" s="1"/>
  <c r="IR76" i="1"/>
  <c r="IR77" i="1" s="1"/>
  <c r="IR78" i="1" s="1"/>
  <c r="IR79" i="1" s="1"/>
  <c r="IR80" i="1" s="1"/>
  <c r="IR81" i="1" s="1"/>
  <c r="IR82" i="1" s="1"/>
  <c r="IR83" i="1" s="1"/>
  <c r="IR84" i="1" s="1"/>
  <c r="IR85" i="1" s="1"/>
  <c r="IR86" i="1" s="1"/>
  <c r="IR87" i="1" s="1"/>
  <c r="IR88" i="1" s="1"/>
  <c r="IR89" i="1" s="1"/>
  <c r="IR90" i="1" s="1"/>
  <c r="IR91" i="1" s="1"/>
  <c r="IR92" i="1" s="1"/>
  <c r="IR93" i="1" s="1"/>
  <c r="IR94" i="1" s="1"/>
  <c r="IR95" i="1" s="1"/>
  <c r="IR96" i="1" s="1"/>
  <c r="IR97" i="1" s="1"/>
  <c r="IR98" i="1" s="1"/>
  <c r="IR99" i="1" s="1"/>
  <c r="IR100" i="1" s="1"/>
  <c r="IR101" i="1" s="1"/>
  <c r="IR102" i="1" s="1"/>
  <c r="IR103" i="1" s="1"/>
  <c r="IR104" i="1" s="1"/>
  <c r="IR105" i="1" s="1"/>
  <c r="IR106" i="1" s="1"/>
  <c r="DC76" i="1"/>
  <c r="DC77" i="1" s="1"/>
  <c r="DC78" i="1" s="1"/>
  <c r="DC79" i="1" s="1"/>
  <c r="DC80" i="1" s="1"/>
  <c r="DC81" i="1" s="1"/>
  <c r="DC82" i="1" s="1"/>
  <c r="DC83" i="1" s="1"/>
  <c r="DC84" i="1" s="1"/>
  <c r="DC85" i="1" s="1"/>
  <c r="DC86" i="1" s="1"/>
  <c r="DC87" i="1" s="1"/>
  <c r="DC88" i="1" s="1"/>
  <c r="DC89" i="1" s="1"/>
  <c r="DC90" i="1" s="1"/>
  <c r="DC91" i="1" s="1"/>
  <c r="DC92" i="1" s="1"/>
  <c r="DC93" i="1" s="1"/>
  <c r="DC94" i="1" s="1"/>
  <c r="DC95" i="1" s="1"/>
  <c r="DC96" i="1" s="1"/>
  <c r="DC97" i="1" s="1"/>
  <c r="DC98" i="1" s="1"/>
  <c r="DC99" i="1" s="1"/>
  <c r="DC100" i="1" s="1"/>
  <c r="DC101" i="1" s="1"/>
  <c r="DC102" i="1" s="1"/>
  <c r="DC103" i="1" s="1"/>
  <c r="DC104" i="1" s="1"/>
  <c r="DC105" i="1" s="1"/>
  <c r="DC106" i="1" s="1"/>
  <c r="DC107" i="1" s="1"/>
  <c r="M18" i="5"/>
  <c r="D15" i="19" s="1"/>
  <c r="AD18" i="5"/>
  <c r="D34" i="19" s="1"/>
  <c r="JA76" i="1"/>
  <c r="JA77" i="1" s="1"/>
  <c r="JA78" i="1" s="1"/>
  <c r="JA79" i="1" s="1"/>
  <c r="JA80" i="1" s="1"/>
  <c r="JA81" i="1" s="1"/>
  <c r="JA82" i="1" s="1"/>
  <c r="JA83" i="1" s="1"/>
  <c r="JA84" i="1" s="1"/>
  <c r="JA85" i="1" s="1"/>
  <c r="JA86" i="1" s="1"/>
  <c r="JA87" i="1" s="1"/>
  <c r="JA88" i="1" s="1"/>
  <c r="JA89" i="1" s="1"/>
  <c r="JA90" i="1" s="1"/>
  <c r="JA91" i="1" s="1"/>
  <c r="JA92" i="1" s="1"/>
  <c r="JA93" i="1" s="1"/>
  <c r="JA94" i="1" s="1"/>
  <c r="JA95" i="1" s="1"/>
  <c r="JA96" i="1" s="1"/>
  <c r="JA97" i="1" s="1"/>
  <c r="JA98" i="1" s="1"/>
  <c r="JA99" i="1" s="1"/>
  <c r="JA100" i="1" s="1"/>
  <c r="JA101" i="1" s="1"/>
  <c r="JA102" i="1" s="1"/>
  <c r="JA103" i="1" s="1"/>
  <c r="JA104" i="1" s="1"/>
  <c r="JA105" i="1" s="1"/>
  <c r="JA106" i="1" s="1"/>
  <c r="JA107" i="1" s="1"/>
  <c r="JB107" i="1" s="1"/>
  <c r="H19" i="18"/>
  <c r="O19" i="18" s="1"/>
  <c r="E4" i="21"/>
  <c r="E69" i="21" s="1"/>
  <c r="E4" i="20"/>
  <c r="E65" i="20" s="1"/>
  <c r="E67" i="20" s="1"/>
  <c r="MM254" i="1"/>
  <c r="MM255" i="1" s="1"/>
  <c r="MM256" i="1" s="1"/>
  <c r="MM257" i="1" s="1"/>
  <c r="MM258" i="1" s="1"/>
  <c r="MM259" i="1" s="1"/>
  <c r="MM260" i="1" s="1"/>
  <c r="MM261" i="1" s="1"/>
  <c r="MM262" i="1" s="1"/>
  <c r="MM263" i="1" s="1"/>
  <c r="MM264" i="1" s="1"/>
  <c r="MM265" i="1" s="1"/>
  <c r="MM266" i="1" s="1"/>
  <c r="MM267" i="1" s="1"/>
  <c r="MM268" i="1" s="1"/>
  <c r="MM269" i="1" s="1"/>
  <c r="MM270" i="1" s="1"/>
  <c r="MM271" i="1" s="1"/>
  <c r="MM272" i="1" s="1"/>
  <c r="MM273" i="1" s="1"/>
  <c r="MM274" i="1" s="1"/>
  <c r="MM275" i="1" s="1"/>
  <c r="MM276" i="1" s="1"/>
  <c r="MM277" i="1" s="1"/>
  <c r="MM278" i="1" s="1"/>
  <c r="MM279" i="1" s="1"/>
  <c r="MM280" i="1" s="1"/>
  <c r="MM281" i="1" s="1"/>
  <c r="MM282" i="1" s="1"/>
  <c r="MM283" i="1" s="1"/>
  <c r="MM284" i="1" s="1"/>
  <c r="MM285" i="1" s="1"/>
  <c r="AN53" i="5"/>
  <c r="D44" i="12" s="1"/>
  <c r="FN42" i="1"/>
  <c r="FN43" i="1" s="1"/>
  <c r="FN44" i="1" s="1"/>
  <c r="FN45" i="1" s="1"/>
  <c r="FN46" i="1" s="1"/>
  <c r="FN47" i="1" s="1"/>
  <c r="FN48" i="1" s="1"/>
  <c r="FN49" i="1" s="1"/>
  <c r="FN50" i="1" s="1"/>
  <c r="FN51" i="1" s="1"/>
  <c r="FN52" i="1" s="1"/>
  <c r="FN53" i="1" s="1"/>
  <c r="FN54" i="1" s="1"/>
  <c r="FN55" i="1" s="1"/>
  <c r="FN56" i="1" s="1"/>
  <c r="FN57" i="1" s="1"/>
  <c r="FN58" i="1" s="1"/>
  <c r="FN59" i="1" s="1"/>
  <c r="FN60" i="1" s="1"/>
  <c r="FN61" i="1" s="1"/>
  <c r="FN62" i="1" s="1"/>
  <c r="FN63" i="1" s="1"/>
  <c r="FN64" i="1" s="1"/>
  <c r="FN65" i="1" s="1"/>
  <c r="FN66" i="1" s="1"/>
  <c r="FN67" i="1" s="1"/>
  <c r="FN68" i="1" s="1"/>
  <c r="FN69" i="1" s="1"/>
  <c r="FN70" i="1" s="1"/>
  <c r="FN71" i="1" s="1"/>
  <c r="T11" i="5"/>
  <c r="D22" i="18" s="1"/>
  <c r="H22" i="17"/>
  <c r="O22" i="17" s="1"/>
  <c r="E4" i="17"/>
  <c r="E10" i="17"/>
  <c r="D12" i="17"/>
  <c r="E13" i="17"/>
  <c r="D9" i="17"/>
  <c r="AG18" i="5"/>
  <c r="D37" i="19" s="1"/>
  <c r="KB76" i="1"/>
  <c r="KB77" i="1" s="1"/>
  <c r="KB78" i="1" s="1"/>
  <c r="KB79" i="1" s="1"/>
  <c r="KB80" i="1" s="1"/>
  <c r="KB81" i="1" s="1"/>
  <c r="KB82" i="1" s="1"/>
  <c r="KB83" i="1" s="1"/>
  <c r="KB84" i="1" s="1"/>
  <c r="KB85" i="1" s="1"/>
  <c r="KB86" i="1" s="1"/>
  <c r="KB87" i="1" s="1"/>
  <c r="KB88" i="1" s="1"/>
  <c r="KB89" i="1" s="1"/>
  <c r="KB90" i="1" s="1"/>
  <c r="KB91" i="1" s="1"/>
  <c r="KB92" i="1" s="1"/>
  <c r="KB93" i="1" s="1"/>
  <c r="KB94" i="1" s="1"/>
  <c r="KB95" i="1" s="1"/>
  <c r="KB96" i="1" s="1"/>
  <c r="KB97" i="1" s="1"/>
  <c r="KB98" i="1" s="1"/>
  <c r="KB99" i="1" s="1"/>
  <c r="KB100" i="1" s="1"/>
  <c r="KB101" i="1" s="1"/>
  <c r="KB102" i="1" s="1"/>
  <c r="KB103" i="1" s="1"/>
  <c r="KB104" i="1" s="1"/>
  <c r="KB105" i="1" s="1"/>
  <c r="KB106" i="1" s="1"/>
  <c r="KB107" i="1" s="1"/>
  <c r="KC107" i="1" s="1"/>
  <c r="E9" i="17"/>
  <c r="D10" i="17"/>
  <c r="D11" i="17"/>
  <c r="MD254" i="1"/>
  <c r="MD255" i="1" s="1"/>
  <c r="MD256" i="1" s="1"/>
  <c r="MD257" i="1" s="1"/>
  <c r="MD258" i="1" s="1"/>
  <c r="MD259" i="1" s="1"/>
  <c r="MD260" i="1" s="1"/>
  <c r="MD261" i="1" s="1"/>
  <c r="MD262" i="1" s="1"/>
  <c r="MD263" i="1" s="1"/>
  <c r="MD264" i="1" s="1"/>
  <c r="MD265" i="1" s="1"/>
  <c r="MD266" i="1" s="1"/>
  <c r="MD267" i="1" s="1"/>
  <c r="MD268" i="1" s="1"/>
  <c r="MD269" i="1" s="1"/>
  <c r="MD270" i="1" s="1"/>
  <c r="MD271" i="1" s="1"/>
  <c r="MD272" i="1" s="1"/>
  <c r="MD273" i="1" s="1"/>
  <c r="MD274" i="1" s="1"/>
  <c r="MD275" i="1" s="1"/>
  <c r="MD276" i="1" s="1"/>
  <c r="MD277" i="1" s="1"/>
  <c r="MD278" i="1" s="1"/>
  <c r="MD279" i="1" s="1"/>
  <c r="MD280" i="1" s="1"/>
  <c r="MD281" i="1" s="1"/>
  <c r="MD282" i="1" s="1"/>
  <c r="MD283" i="1" s="1"/>
  <c r="MD284" i="1" s="1"/>
  <c r="MD285" i="1" s="1"/>
  <c r="AM53" i="5"/>
  <c r="D43" i="12" s="1"/>
  <c r="E6" i="17"/>
  <c r="E11" i="17"/>
  <c r="D5" i="17"/>
  <c r="D13" i="17"/>
  <c r="AQ36" i="5"/>
  <c r="H51" i="21" s="1"/>
  <c r="O51" i="21" s="1"/>
  <c r="NN182" i="1"/>
  <c r="D6" i="17"/>
  <c r="E12" i="17"/>
  <c r="D7" i="17"/>
  <c r="AB18" i="5"/>
  <c r="D32" i="19" s="1"/>
  <c r="II76" i="1"/>
  <c r="II77" i="1" s="1"/>
  <c r="II78" i="1" s="1"/>
  <c r="II79" i="1" s="1"/>
  <c r="II80" i="1" s="1"/>
  <c r="II81" i="1" s="1"/>
  <c r="II82" i="1" s="1"/>
  <c r="II83" i="1" s="1"/>
  <c r="II84" i="1" s="1"/>
  <c r="II85" i="1" s="1"/>
  <c r="II86" i="1" s="1"/>
  <c r="II87" i="1" s="1"/>
  <c r="II88" i="1" s="1"/>
  <c r="II89" i="1" s="1"/>
  <c r="II90" i="1" s="1"/>
  <c r="II91" i="1" s="1"/>
  <c r="II92" i="1" s="1"/>
  <c r="II93" i="1" s="1"/>
  <c r="II94" i="1" s="1"/>
  <c r="II95" i="1" s="1"/>
  <c r="II96" i="1" s="1"/>
  <c r="II97" i="1" s="1"/>
  <c r="II98" i="1" s="1"/>
  <c r="II99" i="1" s="1"/>
  <c r="II100" i="1" s="1"/>
  <c r="II101" i="1" s="1"/>
  <c r="II102" i="1" s="1"/>
  <c r="II103" i="1" s="1"/>
  <c r="II104" i="1" s="1"/>
  <c r="II105" i="1" s="1"/>
  <c r="II106" i="1" s="1"/>
  <c r="II107" i="1" s="1"/>
  <c r="IJ107" i="1" s="1"/>
  <c r="E5" i="17"/>
  <c r="E7" i="17"/>
  <c r="E8" i="17"/>
  <c r="D8" i="17"/>
  <c r="LL76" i="1"/>
  <c r="LL77" i="1" s="1"/>
  <c r="LL78" i="1" s="1"/>
  <c r="LL79" i="1" s="1"/>
  <c r="LL80" i="1" s="1"/>
  <c r="LL81" i="1" s="1"/>
  <c r="LL82" i="1" s="1"/>
  <c r="LL83" i="1" s="1"/>
  <c r="LL84" i="1" s="1"/>
  <c r="LL85" i="1" s="1"/>
  <c r="LL86" i="1" s="1"/>
  <c r="LL87" i="1" s="1"/>
  <c r="LL88" i="1" s="1"/>
  <c r="LL89" i="1" s="1"/>
  <c r="LL90" i="1" s="1"/>
  <c r="LL91" i="1" s="1"/>
  <c r="LL92" i="1" s="1"/>
  <c r="LL93" i="1" s="1"/>
  <c r="LL94" i="1" s="1"/>
  <c r="LL95" i="1" s="1"/>
  <c r="LL96" i="1" s="1"/>
  <c r="LL97" i="1" s="1"/>
  <c r="LL98" i="1" s="1"/>
  <c r="LL99" i="1" s="1"/>
  <c r="LL100" i="1" s="1"/>
  <c r="LL101" i="1" s="1"/>
  <c r="LL102" i="1" s="1"/>
  <c r="LL103" i="1" s="1"/>
  <c r="LL104" i="1" s="1"/>
  <c r="LL105" i="1" s="1"/>
  <c r="LL106" i="1" s="1"/>
  <c r="LL107" i="1" s="1"/>
  <c r="AK18" i="5"/>
  <c r="D41" i="19" s="1"/>
  <c r="H24" i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AW36" i="5"/>
  <c r="H56" i="21" s="1"/>
  <c r="O56" i="21" s="1"/>
  <c r="PP182" i="1"/>
  <c r="AY36" i="5"/>
  <c r="H58" i="21" s="1"/>
  <c r="O58" i="21" s="1"/>
  <c r="QH182" i="1"/>
  <c r="AX36" i="5"/>
  <c r="H57" i="21" s="1"/>
  <c r="O57" i="21" s="1"/>
  <c r="PY182" i="1"/>
  <c r="AZ36" i="5"/>
  <c r="H59" i="21" s="1"/>
  <c r="O59" i="21" s="1"/>
  <c r="QQ182" i="1"/>
  <c r="AS36" i="5"/>
  <c r="H52" i="21" s="1"/>
  <c r="O52" i="21" s="1"/>
  <c r="AT36" i="5"/>
  <c r="H53" i="21" s="1"/>
  <c r="O53" i="21" s="1"/>
  <c r="AV36" i="5"/>
  <c r="H55" i="21" s="1"/>
  <c r="O55" i="21" s="1"/>
  <c r="PG182" i="1"/>
  <c r="AU36" i="5"/>
  <c r="H54" i="21" s="1"/>
  <c r="O54" i="21" s="1"/>
  <c r="W22" i="5"/>
  <c r="H27" i="19" s="1"/>
  <c r="O27" i="19" s="1"/>
  <c r="GO111" i="1"/>
  <c r="GP111" i="1" s="1"/>
  <c r="Q22" i="5"/>
  <c r="H19" i="19" s="1"/>
  <c r="O19" i="19" s="1"/>
  <c r="EM111" i="1"/>
  <c r="V22" i="5"/>
  <c r="H26" i="19" s="1"/>
  <c r="O26" i="19" s="1"/>
  <c r="AF15" i="5"/>
  <c r="H36" i="18" s="1"/>
  <c r="O36" i="18" s="1"/>
  <c r="JS75" i="1"/>
  <c r="AA18" i="5"/>
  <c r="D31" i="19" s="1"/>
  <c r="HZ76" i="1"/>
  <c r="HZ77" i="1" s="1"/>
  <c r="HZ78" i="1" s="1"/>
  <c r="HZ79" i="1" s="1"/>
  <c r="HZ80" i="1" s="1"/>
  <c r="HZ81" i="1" s="1"/>
  <c r="HZ82" i="1" s="1"/>
  <c r="HZ83" i="1" s="1"/>
  <c r="HZ84" i="1" s="1"/>
  <c r="HZ85" i="1" s="1"/>
  <c r="HZ86" i="1" s="1"/>
  <c r="HZ87" i="1" s="1"/>
  <c r="HZ88" i="1" s="1"/>
  <c r="HZ89" i="1" s="1"/>
  <c r="HZ90" i="1" s="1"/>
  <c r="HZ91" i="1" s="1"/>
  <c r="HZ92" i="1" s="1"/>
  <c r="HZ93" i="1" s="1"/>
  <c r="HZ94" i="1" s="1"/>
  <c r="HZ95" i="1" s="1"/>
  <c r="HZ96" i="1" s="1"/>
  <c r="HZ97" i="1" s="1"/>
  <c r="HZ98" i="1" s="1"/>
  <c r="HZ99" i="1" s="1"/>
  <c r="HZ100" i="1" s="1"/>
  <c r="HZ101" i="1" s="1"/>
  <c r="HZ102" i="1" s="1"/>
  <c r="HZ103" i="1" s="1"/>
  <c r="HZ104" i="1" s="1"/>
  <c r="HZ105" i="1" s="1"/>
  <c r="HZ106" i="1" s="1"/>
  <c r="HZ107" i="1" s="1"/>
  <c r="IA107" i="1" s="1"/>
  <c r="EV76" i="1"/>
  <c r="EV77" i="1" s="1"/>
  <c r="EV78" i="1" s="1"/>
  <c r="EV79" i="1" s="1"/>
  <c r="EV80" i="1" s="1"/>
  <c r="EV81" i="1" s="1"/>
  <c r="EV82" i="1" s="1"/>
  <c r="EV83" i="1" s="1"/>
  <c r="EV84" i="1" s="1"/>
  <c r="EV85" i="1" s="1"/>
  <c r="EV86" i="1" s="1"/>
  <c r="EV87" i="1" s="1"/>
  <c r="EV88" i="1" s="1"/>
  <c r="EV89" i="1" s="1"/>
  <c r="EV90" i="1" s="1"/>
  <c r="EV91" i="1" s="1"/>
  <c r="EV92" i="1" s="1"/>
  <c r="EV93" i="1" s="1"/>
  <c r="EV94" i="1" s="1"/>
  <c r="EV95" i="1" s="1"/>
  <c r="EV96" i="1" s="1"/>
  <c r="EV97" i="1" s="1"/>
  <c r="EV98" i="1" s="1"/>
  <c r="EV99" i="1" s="1"/>
  <c r="EV100" i="1" s="1"/>
  <c r="EV101" i="1" s="1"/>
  <c r="EV102" i="1" s="1"/>
  <c r="EV103" i="1" s="1"/>
  <c r="EV104" i="1" s="1"/>
  <c r="EV105" i="1" s="1"/>
  <c r="EV106" i="1" s="1"/>
  <c r="EV107" i="1" s="1"/>
  <c r="R18" i="5"/>
  <c r="D20" i="19" s="1"/>
  <c r="P18" i="5"/>
  <c r="D18" i="19" s="1"/>
  <c r="ED76" i="1"/>
  <c r="ED77" i="1" s="1"/>
  <c r="ED78" i="1" s="1"/>
  <c r="ED79" i="1" s="1"/>
  <c r="ED80" i="1" s="1"/>
  <c r="ED81" i="1" s="1"/>
  <c r="ED82" i="1" s="1"/>
  <c r="ED83" i="1" s="1"/>
  <c r="ED84" i="1" s="1"/>
  <c r="ED85" i="1" s="1"/>
  <c r="ED86" i="1" s="1"/>
  <c r="ED87" i="1" s="1"/>
  <c r="ED88" i="1" s="1"/>
  <c r="ED89" i="1" s="1"/>
  <c r="ED90" i="1" s="1"/>
  <c r="ED91" i="1" s="1"/>
  <c r="ED92" i="1" s="1"/>
  <c r="ED93" i="1" s="1"/>
  <c r="ED94" i="1" s="1"/>
  <c r="ED95" i="1" s="1"/>
  <c r="ED96" i="1" s="1"/>
  <c r="ED97" i="1" s="1"/>
  <c r="ED98" i="1" s="1"/>
  <c r="ED99" i="1" s="1"/>
  <c r="ED100" i="1" s="1"/>
  <c r="ED101" i="1" s="1"/>
  <c r="ED102" i="1" s="1"/>
  <c r="ED103" i="1" s="1"/>
  <c r="ED104" i="1" s="1"/>
  <c r="ED105" i="1" s="1"/>
  <c r="ED106" i="1" s="1"/>
  <c r="ED107" i="1" s="1"/>
  <c r="AH18" i="5"/>
  <c r="D38" i="19" s="1"/>
  <c r="KK76" i="1"/>
  <c r="KK77" i="1" s="1"/>
  <c r="KK78" i="1" s="1"/>
  <c r="KK79" i="1" s="1"/>
  <c r="KK80" i="1" s="1"/>
  <c r="KK81" i="1" s="1"/>
  <c r="KK82" i="1" s="1"/>
  <c r="KK83" i="1" s="1"/>
  <c r="KK84" i="1" s="1"/>
  <c r="KK85" i="1" s="1"/>
  <c r="KK86" i="1" s="1"/>
  <c r="KK87" i="1" s="1"/>
  <c r="KK88" i="1" s="1"/>
  <c r="KK89" i="1" s="1"/>
  <c r="KK90" i="1" s="1"/>
  <c r="KK91" i="1" s="1"/>
  <c r="KK92" i="1" s="1"/>
  <c r="KK93" i="1" s="1"/>
  <c r="KK94" i="1" s="1"/>
  <c r="KK95" i="1" s="1"/>
  <c r="KK96" i="1" s="1"/>
  <c r="KK97" i="1" s="1"/>
  <c r="KK98" i="1" s="1"/>
  <c r="KK99" i="1" s="1"/>
  <c r="KK100" i="1" s="1"/>
  <c r="KK101" i="1" s="1"/>
  <c r="KK102" i="1" s="1"/>
  <c r="KK103" i="1" s="1"/>
  <c r="KK104" i="1" s="1"/>
  <c r="KK105" i="1" s="1"/>
  <c r="KK106" i="1" s="1"/>
  <c r="KK107" i="1" s="1"/>
  <c r="KL107" i="1" s="1"/>
  <c r="HP76" i="1"/>
  <c r="HP77" i="1" s="1"/>
  <c r="HP78" i="1" s="1"/>
  <c r="HP79" i="1" s="1"/>
  <c r="HP80" i="1" s="1"/>
  <c r="HP81" i="1" s="1"/>
  <c r="HP82" i="1" s="1"/>
  <c r="HP83" i="1" s="1"/>
  <c r="HP84" i="1" s="1"/>
  <c r="HP85" i="1" s="1"/>
  <c r="HP86" i="1" s="1"/>
  <c r="HP87" i="1" s="1"/>
  <c r="HP88" i="1" s="1"/>
  <c r="HP89" i="1" s="1"/>
  <c r="HP90" i="1" s="1"/>
  <c r="HP91" i="1" s="1"/>
  <c r="HP92" i="1" s="1"/>
  <c r="HP93" i="1" s="1"/>
  <c r="HP94" i="1" s="1"/>
  <c r="HP95" i="1" s="1"/>
  <c r="HP96" i="1" s="1"/>
  <c r="HP97" i="1" s="1"/>
  <c r="HP98" i="1" s="1"/>
  <c r="HP99" i="1" s="1"/>
  <c r="HP100" i="1" s="1"/>
  <c r="HP101" i="1" s="1"/>
  <c r="HP102" i="1" s="1"/>
  <c r="HP103" i="1" s="1"/>
  <c r="HP104" i="1" s="1"/>
  <c r="HP105" i="1" s="1"/>
  <c r="HP106" i="1" s="1"/>
  <c r="HP107" i="1" s="1"/>
  <c r="Z18" i="5"/>
  <c r="D30" i="19" s="1"/>
  <c r="JJ76" i="1"/>
  <c r="JJ77" i="1" s="1"/>
  <c r="JJ78" i="1" s="1"/>
  <c r="JJ79" i="1" s="1"/>
  <c r="JJ80" i="1" s="1"/>
  <c r="JJ81" i="1" s="1"/>
  <c r="JJ82" i="1" s="1"/>
  <c r="JJ83" i="1" s="1"/>
  <c r="JJ84" i="1" s="1"/>
  <c r="JJ85" i="1" s="1"/>
  <c r="JJ86" i="1" s="1"/>
  <c r="JJ87" i="1" s="1"/>
  <c r="JJ88" i="1" s="1"/>
  <c r="JJ89" i="1" s="1"/>
  <c r="JJ90" i="1" s="1"/>
  <c r="JJ91" i="1" s="1"/>
  <c r="JJ92" i="1" s="1"/>
  <c r="JJ93" i="1" s="1"/>
  <c r="JJ94" i="1" s="1"/>
  <c r="JJ95" i="1" s="1"/>
  <c r="JJ96" i="1" s="1"/>
  <c r="JJ97" i="1" s="1"/>
  <c r="JJ98" i="1" s="1"/>
  <c r="JJ99" i="1" s="1"/>
  <c r="JJ100" i="1" s="1"/>
  <c r="JJ101" i="1" s="1"/>
  <c r="JJ102" i="1" s="1"/>
  <c r="JJ103" i="1" s="1"/>
  <c r="JJ104" i="1" s="1"/>
  <c r="JJ105" i="1" s="1"/>
  <c r="JJ106" i="1" s="1"/>
  <c r="JJ107" i="1" s="1"/>
  <c r="JK107" i="1" s="1"/>
  <c r="AE18" i="5"/>
  <c r="D35" i="19" s="1"/>
  <c r="Y18" i="5"/>
  <c r="D29" i="19" s="1"/>
  <c r="HG76" i="1"/>
  <c r="HG77" i="1" s="1"/>
  <c r="HG78" i="1" s="1"/>
  <c r="HG79" i="1" s="1"/>
  <c r="HG80" i="1" s="1"/>
  <c r="HG81" i="1" s="1"/>
  <c r="HG82" i="1" s="1"/>
  <c r="HG83" i="1" s="1"/>
  <c r="HG84" i="1" s="1"/>
  <c r="HG85" i="1" s="1"/>
  <c r="HG86" i="1" s="1"/>
  <c r="HG87" i="1" s="1"/>
  <c r="HG88" i="1" s="1"/>
  <c r="HG89" i="1" s="1"/>
  <c r="HG90" i="1" s="1"/>
  <c r="HG91" i="1" s="1"/>
  <c r="HG92" i="1" s="1"/>
  <c r="HG93" i="1" s="1"/>
  <c r="HG94" i="1" s="1"/>
  <c r="HG95" i="1" s="1"/>
  <c r="HG96" i="1" s="1"/>
  <c r="HG97" i="1" s="1"/>
  <c r="HG98" i="1" s="1"/>
  <c r="HG99" i="1" s="1"/>
  <c r="HG100" i="1" s="1"/>
  <c r="HG101" i="1" s="1"/>
  <c r="HG102" i="1" s="1"/>
  <c r="HG103" i="1" s="1"/>
  <c r="HG104" i="1" s="1"/>
  <c r="HG105" i="1" s="1"/>
  <c r="HG106" i="1" s="1"/>
  <c r="HG107" i="1" s="1"/>
  <c r="S18" i="5"/>
  <c r="D21" i="19" s="1"/>
  <c r="FE76" i="1"/>
  <c r="FE77" i="1" s="1"/>
  <c r="FE78" i="1" s="1"/>
  <c r="FE79" i="1" s="1"/>
  <c r="FE80" i="1" s="1"/>
  <c r="FE81" i="1" s="1"/>
  <c r="FE82" i="1" s="1"/>
  <c r="FE83" i="1" s="1"/>
  <c r="FE84" i="1" s="1"/>
  <c r="FE85" i="1" s="1"/>
  <c r="FE86" i="1" s="1"/>
  <c r="FE87" i="1" s="1"/>
  <c r="FE88" i="1" s="1"/>
  <c r="FE89" i="1" s="1"/>
  <c r="FE90" i="1" s="1"/>
  <c r="FE91" i="1" s="1"/>
  <c r="FE92" i="1" s="1"/>
  <c r="FE93" i="1" s="1"/>
  <c r="FE94" i="1" s="1"/>
  <c r="FE95" i="1" s="1"/>
  <c r="FE96" i="1" s="1"/>
  <c r="FE97" i="1" s="1"/>
  <c r="FE98" i="1" s="1"/>
  <c r="FE99" i="1" s="1"/>
  <c r="FE100" i="1" s="1"/>
  <c r="FE101" i="1" s="1"/>
  <c r="FE102" i="1" s="1"/>
  <c r="FE103" i="1" s="1"/>
  <c r="FE104" i="1" s="1"/>
  <c r="FE105" i="1" s="1"/>
  <c r="FE106" i="1" s="1"/>
  <c r="FE107" i="1" s="1"/>
  <c r="DL76" i="1"/>
  <c r="DL77" i="1" s="1"/>
  <c r="DL78" i="1" s="1"/>
  <c r="DL79" i="1" s="1"/>
  <c r="DL80" i="1" s="1"/>
  <c r="DL81" i="1" s="1"/>
  <c r="DL82" i="1" s="1"/>
  <c r="DL83" i="1" s="1"/>
  <c r="DL84" i="1" s="1"/>
  <c r="DL85" i="1" s="1"/>
  <c r="DL86" i="1" s="1"/>
  <c r="DL87" i="1" s="1"/>
  <c r="DL88" i="1" s="1"/>
  <c r="DL89" i="1" s="1"/>
  <c r="DL90" i="1" s="1"/>
  <c r="DL91" i="1" s="1"/>
  <c r="DL92" i="1" s="1"/>
  <c r="DL93" i="1" s="1"/>
  <c r="DL94" i="1" s="1"/>
  <c r="DL95" i="1" s="1"/>
  <c r="DL96" i="1" s="1"/>
  <c r="DL97" i="1" s="1"/>
  <c r="DL98" i="1" s="1"/>
  <c r="DL99" i="1" s="1"/>
  <c r="DL100" i="1" s="1"/>
  <c r="DL101" i="1" s="1"/>
  <c r="DL102" i="1" s="1"/>
  <c r="DL103" i="1" s="1"/>
  <c r="DL104" i="1" s="1"/>
  <c r="DL105" i="1" s="1"/>
  <c r="DL106" i="1" s="1"/>
  <c r="DL107" i="1" s="1"/>
  <c r="DL111" i="1" s="1"/>
  <c r="N18" i="5"/>
  <c r="D16" i="19" s="1"/>
  <c r="DU76" i="1"/>
  <c r="DU77" i="1" s="1"/>
  <c r="DU78" i="1" s="1"/>
  <c r="DU79" i="1" s="1"/>
  <c r="DU80" i="1" s="1"/>
  <c r="DU81" i="1" s="1"/>
  <c r="DU82" i="1" s="1"/>
  <c r="DU83" i="1" s="1"/>
  <c r="DU84" i="1" s="1"/>
  <c r="DU85" i="1" s="1"/>
  <c r="DU86" i="1" s="1"/>
  <c r="DU87" i="1" s="1"/>
  <c r="DU88" i="1" s="1"/>
  <c r="DU89" i="1" s="1"/>
  <c r="DU90" i="1" s="1"/>
  <c r="DU91" i="1" s="1"/>
  <c r="DU92" i="1" s="1"/>
  <c r="DU93" i="1" s="1"/>
  <c r="DU94" i="1" s="1"/>
  <c r="DU95" i="1" s="1"/>
  <c r="DU96" i="1" s="1"/>
  <c r="DU97" i="1" s="1"/>
  <c r="DU98" i="1" s="1"/>
  <c r="DU99" i="1" s="1"/>
  <c r="DU100" i="1" s="1"/>
  <c r="DU101" i="1" s="1"/>
  <c r="DU102" i="1" s="1"/>
  <c r="DU103" i="1" s="1"/>
  <c r="DU104" i="1" s="1"/>
  <c r="DU105" i="1" s="1"/>
  <c r="DU106" i="1" s="1"/>
  <c r="DU107" i="1" s="1"/>
  <c r="O18" i="5"/>
  <c r="D17" i="19" s="1"/>
  <c r="X18" i="5"/>
  <c r="D28" i="19" s="1"/>
  <c r="GX76" i="1"/>
  <c r="GX77" i="1" s="1"/>
  <c r="GX78" i="1" s="1"/>
  <c r="GX79" i="1" s="1"/>
  <c r="GX80" i="1" s="1"/>
  <c r="GX81" i="1" s="1"/>
  <c r="GX82" i="1" s="1"/>
  <c r="GX83" i="1" s="1"/>
  <c r="GX84" i="1" s="1"/>
  <c r="GX85" i="1" s="1"/>
  <c r="GX86" i="1" s="1"/>
  <c r="GX87" i="1" s="1"/>
  <c r="GX88" i="1" s="1"/>
  <c r="GX89" i="1" s="1"/>
  <c r="GX90" i="1" s="1"/>
  <c r="GX91" i="1" s="1"/>
  <c r="GX92" i="1" s="1"/>
  <c r="GX93" i="1" s="1"/>
  <c r="GX94" i="1" s="1"/>
  <c r="GX95" i="1" s="1"/>
  <c r="GX96" i="1" s="1"/>
  <c r="GX97" i="1" s="1"/>
  <c r="GX98" i="1" s="1"/>
  <c r="GX99" i="1" s="1"/>
  <c r="GX100" i="1" s="1"/>
  <c r="GX101" i="1" s="1"/>
  <c r="GX102" i="1" s="1"/>
  <c r="GX103" i="1" s="1"/>
  <c r="GX104" i="1" s="1"/>
  <c r="GX105" i="1" s="1"/>
  <c r="GX106" i="1" s="1"/>
  <c r="GX107" i="1" s="1"/>
  <c r="L18" i="5"/>
  <c r="D14" i="19" s="1"/>
  <c r="CT76" i="1"/>
  <c r="CT77" i="1" s="1"/>
  <c r="CT78" i="1" s="1"/>
  <c r="CT79" i="1" s="1"/>
  <c r="CT80" i="1" s="1"/>
  <c r="CT81" i="1" s="1"/>
  <c r="CT82" i="1" s="1"/>
  <c r="CT83" i="1" s="1"/>
  <c r="CT84" i="1" s="1"/>
  <c r="CT85" i="1" s="1"/>
  <c r="CT86" i="1" s="1"/>
  <c r="CT87" i="1" s="1"/>
  <c r="CT88" i="1" s="1"/>
  <c r="CT89" i="1" s="1"/>
  <c r="CT90" i="1" s="1"/>
  <c r="CT91" i="1" s="1"/>
  <c r="CT92" i="1" s="1"/>
  <c r="CT93" i="1" s="1"/>
  <c r="CT94" i="1" s="1"/>
  <c r="CT95" i="1" s="1"/>
  <c r="CT96" i="1" s="1"/>
  <c r="CT97" i="1" s="1"/>
  <c r="CT98" i="1" s="1"/>
  <c r="CT99" i="1" s="1"/>
  <c r="CT100" i="1" s="1"/>
  <c r="CT101" i="1" s="1"/>
  <c r="CT102" i="1" s="1"/>
  <c r="CT103" i="1" s="1"/>
  <c r="CT104" i="1" s="1"/>
  <c r="CT105" i="1" s="1"/>
  <c r="CT106" i="1" s="1"/>
  <c r="CT107" i="1" s="1"/>
  <c r="U18" i="5"/>
  <c r="D25" i="19" s="1"/>
  <c r="FW76" i="1"/>
  <c r="FW77" i="1" s="1"/>
  <c r="FW78" i="1" s="1"/>
  <c r="FW79" i="1" s="1"/>
  <c r="FW80" i="1" s="1"/>
  <c r="FW81" i="1" s="1"/>
  <c r="FW82" i="1" s="1"/>
  <c r="FW83" i="1" s="1"/>
  <c r="FW84" i="1" s="1"/>
  <c r="FW85" i="1" s="1"/>
  <c r="FW86" i="1" s="1"/>
  <c r="FW87" i="1" s="1"/>
  <c r="FW88" i="1" s="1"/>
  <c r="FW89" i="1" s="1"/>
  <c r="FW90" i="1" s="1"/>
  <c r="FW91" i="1" s="1"/>
  <c r="FW92" i="1" s="1"/>
  <c r="FW93" i="1" s="1"/>
  <c r="FW94" i="1" s="1"/>
  <c r="FW95" i="1" s="1"/>
  <c r="FW96" i="1" s="1"/>
  <c r="FW97" i="1" s="1"/>
  <c r="FW98" i="1" s="1"/>
  <c r="FW99" i="1" s="1"/>
  <c r="FW100" i="1" s="1"/>
  <c r="FW101" i="1" s="1"/>
  <c r="FW102" i="1" s="1"/>
  <c r="FW103" i="1" s="1"/>
  <c r="FW104" i="1" s="1"/>
  <c r="FW105" i="1" s="1"/>
  <c r="FW106" i="1" s="1"/>
  <c r="FW107" i="1" s="1"/>
  <c r="FX107" i="1" s="1"/>
  <c r="AI18" i="5"/>
  <c r="D39" i="19" s="1"/>
  <c r="KT76" i="1"/>
  <c r="KT77" i="1" s="1"/>
  <c r="KT78" i="1" s="1"/>
  <c r="KT79" i="1" s="1"/>
  <c r="KT80" i="1" s="1"/>
  <c r="KT81" i="1" s="1"/>
  <c r="KT82" i="1" s="1"/>
  <c r="KT83" i="1" s="1"/>
  <c r="KT84" i="1" s="1"/>
  <c r="KT85" i="1" s="1"/>
  <c r="KT86" i="1" s="1"/>
  <c r="KT87" i="1" s="1"/>
  <c r="KT88" i="1" s="1"/>
  <c r="KT89" i="1" s="1"/>
  <c r="KT90" i="1" s="1"/>
  <c r="KT91" i="1" s="1"/>
  <c r="KT92" i="1" s="1"/>
  <c r="KT93" i="1" s="1"/>
  <c r="KT94" i="1" s="1"/>
  <c r="KT95" i="1" s="1"/>
  <c r="KT96" i="1" s="1"/>
  <c r="KT97" i="1" s="1"/>
  <c r="KT98" i="1" s="1"/>
  <c r="KT99" i="1" s="1"/>
  <c r="KT100" i="1" s="1"/>
  <c r="KT101" i="1" s="1"/>
  <c r="KT102" i="1" s="1"/>
  <c r="KT103" i="1" s="1"/>
  <c r="KT104" i="1" s="1"/>
  <c r="KT105" i="1" s="1"/>
  <c r="KT106" i="1" s="1"/>
  <c r="KT107" i="1" s="1"/>
  <c r="KU107" i="1" s="1"/>
  <c r="C352" i="6"/>
  <c r="K352" i="6"/>
  <c r="S352" i="6"/>
  <c r="E352" i="6"/>
  <c r="M352" i="6"/>
  <c r="G352" i="6"/>
  <c r="O352" i="6"/>
  <c r="I352" i="6"/>
  <c r="Q352" i="6"/>
  <c r="FA7" i="7"/>
  <c r="U352" i="6"/>
  <c r="K2" i="1"/>
  <c r="C80" i="5"/>
  <c r="C66" i="5"/>
  <c r="C52" i="5"/>
  <c r="C38" i="5"/>
  <c r="C24" i="5"/>
  <c r="C10" i="5"/>
  <c r="C73" i="5"/>
  <c r="C59" i="5"/>
  <c r="C45" i="5"/>
  <c r="C31" i="5"/>
  <c r="C17" i="5"/>
  <c r="C3" i="5"/>
  <c r="B5" i="12" s="1"/>
  <c r="AC2" i="1"/>
  <c r="E80" i="5"/>
  <c r="E66" i="5"/>
  <c r="E52" i="5"/>
  <c r="E38" i="5"/>
  <c r="E24" i="5"/>
  <c r="E10" i="5"/>
  <c r="E73" i="5"/>
  <c r="E59" i="5"/>
  <c r="E45" i="5"/>
  <c r="E31" i="5"/>
  <c r="E17" i="5"/>
  <c r="E3" i="5"/>
  <c r="AU2" i="1"/>
  <c r="G80" i="5"/>
  <c r="G66" i="5"/>
  <c r="G52" i="5"/>
  <c r="G38" i="5"/>
  <c r="G24" i="5"/>
  <c r="G10" i="5"/>
  <c r="G73" i="5"/>
  <c r="G59" i="5"/>
  <c r="G45" i="5"/>
  <c r="G31" i="5"/>
  <c r="G17" i="5"/>
  <c r="G3" i="5"/>
  <c r="BM2" i="1"/>
  <c r="I80" i="5"/>
  <c r="I66" i="5"/>
  <c r="I52" i="5"/>
  <c r="I38" i="5"/>
  <c r="I24" i="5"/>
  <c r="I10" i="5"/>
  <c r="I73" i="5"/>
  <c r="I59" i="5"/>
  <c r="I45" i="5"/>
  <c r="I31" i="5"/>
  <c r="I17" i="5"/>
  <c r="I3" i="5"/>
  <c r="CE2" i="1"/>
  <c r="K80" i="5"/>
  <c r="K66" i="5"/>
  <c r="K52" i="5"/>
  <c r="K38" i="5"/>
  <c r="K24" i="5"/>
  <c r="K10" i="5"/>
  <c r="K73" i="5"/>
  <c r="K59" i="5"/>
  <c r="K45" i="5"/>
  <c r="K31" i="5"/>
  <c r="K17" i="5"/>
  <c r="K3" i="5"/>
  <c r="CW2" i="1"/>
  <c r="M73" i="5"/>
  <c r="M59" i="5"/>
  <c r="M45" i="5"/>
  <c r="M31" i="5"/>
  <c r="M17" i="5"/>
  <c r="M3" i="5"/>
  <c r="M80" i="5"/>
  <c r="M66" i="5"/>
  <c r="M52" i="5"/>
  <c r="M38" i="5"/>
  <c r="M24" i="5"/>
  <c r="M10" i="5"/>
  <c r="DO2" i="1"/>
  <c r="O73" i="5"/>
  <c r="O59" i="5"/>
  <c r="O45" i="5"/>
  <c r="O31" i="5"/>
  <c r="O17" i="5"/>
  <c r="O3" i="5"/>
  <c r="O80" i="5"/>
  <c r="O66" i="5"/>
  <c r="O52" i="5"/>
  <c r="O38" i="5"/>
  <c r="O24" i="5"/>
  <c r="O10" i="5"/>
  <c r="EG2" i="1"/>
  <c r="Q73" i="5"/>
  <c r="Q59" i="5"/>
  <c r="Q45" i="5"/>
  <c r="Q31" i="5"/>
  <c r="Q17" i="5"/>
  <c r="Q3" i="5"/>
  <c r="Q80" i="5"/>
  <c r="Q66" i="5"/>
  <c r="Q52" i="5"/>
  <c r="Q38" i="5"/>
  <c r="Q24" i="5"/>
  <c r="Q10" i="5"/>
  <c r="EY2" i="1"/>
  <c r="S73" i="5"/>
  <c r="S59" i="5"/>
  <c r="S45" i="5"/>
  <c r="S31" i="5"/>
  <c r="S17" i="5"/>
  <c r="S3" i="5"/>
  <c r="S80" i="5"/>
  <c r="S66" i="5"/>
  <c r="S52" i="5"/>
  <c r="S38" i="5"/>
  <c r="S24" i="5"/>
  <c r="S10" i="5"/>
  <c r="FQ2" i="1"/>
  <c r="U73" i="5"/>
  <c r="U59" i="5"/>
  <c r="U45" i="5"/>
  <c r="U31" i="5"/>
  <c r="U17" i="5"/>
  <c r="U3" i="5"/>
  <c r="U80" i="5"/>
  <c r="U66" i="5"/>
  <c r="U52" i="5"/>
  <c r="U38" i="5"/>
  <c r="U24" i="5"/>
  <c r="U10" i="5"/>
  <c r="GI2" i="1"/>
  <c r="W73" i="5"/>
  <c r="W59" i="5"/>
  <c r="W45" i="5"/>
  <c r="W31" i="5"/>
  <c r="W17" i="5"/>
  <c r="W3" i="5"/>
  <c r="W80" i="5"/>
  <c r="W66" i="5"/>
  <c r="W52" i="5"/>
  <c r="W38" i="5"/>
  <c r="W24" i="5"/>
  <c r="W10" i="5"/>
  <c r="T2" i="1"/>
  <c r="D73" i="5"/>
  <c r="D59" i="5"/>
  <c r="D45" i="5"/>
  <c r="D31" i="5"/>
  <c r="D17" i="5"/>
  <c r="D3" i="5"/>
  <c r="D80" i="5"/>
  <c r="D66" i="5"/>
  <c r="D52" i="5"/>
  <c r="D38" i="5"/>
  <c r="D24" i="5"/>
  <c r="D10" i="5"/>
  <c r="AL2" i="1"/>
  <c r="F73" i="5"/>
  <c r="F59" i="5"/>
  <c r="F45" i="5"/>
  <c r="F31" i="5"/>
  <c r="F17" i="5"/>
  <c r="F3" i="5"/>
  <c r="F80" i="5"/>
  <c r="F66" i="5"/>
  <c r="F52" i="5"/>
  <c r="F38" i="5"/>
  <c r="F24" i="5"/>
  <c r="F10" i="5"/>
  <c r="BD2" i="1"/>
  <c r="H73" i="5"/>
  <c r="H59" i="5"/>
  <c r="H45" i="5"/>
  <c r="H31" i="5"/>
  <c r="H17" i="5"/>
  <c r="H3" i="5"/>
  <c r="H80" i="5"/>
  <c r="H66" i="5"/>
  <c r="H52" i="5"/>
  <c r="H38" i="5"/>
  <c r="H24" i="5"/>
  <c r="H10" i="5"/>
  <c r="BV2" i="1"/>
  <c r="J73" i="5"/>
  <c r="J59" i="5"/>
  <c r="J45" i="5"/>
  <c r="J31" i="5"/>
  <c r="J17" i="5"/>
  <c r="J3" i="5"/>
  <c r="J80" i="5"/>
  <c r="J66" i="5"/>
  <c r="J52" i="5"/>
  <c r="J38" i="5"/>
  <c r="J24" i="5"/>
  <c r="J10" i="5"/>
  <c r="CN2" i="1"/>
  <c r="L80" i="5"/>
  <c r="L66" i="5"/>
  <c r="L52" i="5"/>
  <c r="L38" i="5"/>
  <c r="L24" i="5"/>
  <c r="L10" i="5"/>
  <c r="L73" i="5"/>
  <c r="L59" i="5"/>
  <c r="L45" i="5"/>
  <c r="L31" i="5"/>
  <c r="L17" i="5"/>
  <c r="L3" i="5"/>
  <c r="DF2" i="1"/>
  <c r="N80" i="5"/>
  <c r="N66" i="5"/>
  <c r="N52" i="5"/>
  <c r="N38" i="5"/>
  <c r="N24" i="5"/>
  <c r="N10" i="5"/>
  <c r="N73" i="5"/>
  <c r="N59" i="5"/>
  <c r="N45" i="5"/>
  <c r="N31" i="5"/>
  <c r="N17" i="5"/>
  <c r="N3" i="5"/>
  <c r="DX2" i="1"/>
  <c r="P80" i="5"/>
  <c r="P66" i="5"/>
  <c r="P52" i="5"/>
  <c r="P38" i="5"/>
  <c r="P24" i="5"/>
  <c r="P10" i="5"/>
  <c r="P73" i="5"/>
  <c r="P59" i="5"/>
  <c r="P45" i="5"/>
  <c r="P31" i="5"/>
  <c r="P17" i="5"/>
  <c r="B18" i="18"/>
  <c r="EP2" i="1"/>
  <c r="R80" i="5"/>
  <c r="R66" i="5"/>
  <c r="R52" i="5"/>
  <c r="R38" i="5"/>
  <c r="R24" i="5"/>
  <c r="R10" i="5"/>
  <c r="R73" i="5"/>
  <c r="R59" i="5"/>
  <c r="R45" i="5"/>
  <c r="R31" i="5"/>
  <c r="R17" i="5"/>
  <c r="R3" i="5"/>
  <c r="FH2" i="1"/>
  <c r="T80" i="5"/>
  <c r="T66" i="5"/>
  <c r="T52" i="5"/>
  <c r="T38" i="5"/>
  <c r="T24" i="5"/>
  <c r="T10" i="5"/>
  <c r="T73" i="5"/>
  <c r="T59" i="5"/>
  <c r="T45" i="5"/>
  <c r="T31" i="5"/>
  <c r="T17" i="5"/>
  <c r="T3" i="5"/>
  <c r="V80" i="5"/>
  <c r="V66" i="5"/>
  <c r="V52" i="5"/>
  <c r="V38" i="5"/>
  <c r="V24" i="5"/>
  <c r="V10" i="5"/>
  <c r="V73" i="5"/>
  <c r="V59" i="5"/>
  <c r="V45" i="5"/>
  <c r="V31" i="5"/>
  <c r="V17" i="5"/>
  <c r="V3" i="5"/>
  <c r="GR2" i="1"/>
  <c r="X80" i="5"/>
  <c r="X66" i="5"/>
  <c r="X52" i="5"/>
  <c r="X38" i="5"/>
  <c r="X24" i="5"/>
  <c r="X10" i="5"/>
  <c r="X73" i="5"/>
  <c r="X59" i="5"/>
  <c r="X45" i="5"/>
  <c r="X31" i="5"/>
  <c r="X17" i="5"/>
  <c r="X3" i="5"/>
  <c r="B80" i="5"/>
  <c r="B73" i="5"/>
  <c r="B66" i="5"/>
  <c r="B59" i="5"/>
  <c r="B52" i="5"/>
  <c r="B45" i="5"/>
  <c r="B38" i="5"/>
  <c r="B31" i="5"/>
  <c r="B24" i="5"/>
  <c r="B17" i="5"/>
  <c r="B10" i="5"/>
  <c r="B3" i="5"/>
  <c r="ER7" i="7"/>
  <c r="ER8" i="7"/>
  <c r="ER9" i="7"/>
  <c r="ER10" i="7"/>
  <c r="ER11" i="7"/>
  <c r="ER12" i="7"/>
  <c r="ER13" i="7"/>
  <c r="ER14" i="7"/>
  <c r="ER15" i="7"/>
  <c r="ER16" i="7"/>
  <c r="ER17" i="7"/>
  <c r="ER18" i="7"/>
  <c r="ER19" i="7"/>
  <c r="ER20" i="7"/>
  <c r="ER21" i="7"/>
  <c r="ER22" i="7"/>
  <c r="ER23" i="7"/>
  <c r="ER24" i="7"/>
  <c r="ER25" i="7"/>
  <c r="ER26" i="7"/>
  <c r="ER27" i="7"/>
  <c r="ER28" i="7"/>
  <c r="ER29" i="7"/>
  <c r="ER30" i="7"/>
  <c r="EC8" i="7"/>
  <c r="EC10" i="7"/>
  <c r="EC12" i="7"/>
  <c r="EC14" i="7"/>
  <c r="EC16" i="7"/>
  <c r="EC18" i="7"/>
  <c r="EC20" i="7"/>
  <c r="EC22" i="7"/>
  <c r="EC24" i="7"/>
  <c r="EC26" i="7"/>
  <c r="EC28" i="7"/>
  <c r="EC30" i="7"/>
  <c r="ED7" i="7"/>
  <c r="ED9" i="7"/>
  <c r="ED11" i="7"/>
  <c r="ED13" i="7"/>
  <c r="ED15" i="7"/>
  <c r="ED17" i="7"/>
  <c r="ED21" i="7"/>
  <c r="ED23" i="7"/>
  <c r="ED25" i="7"/>
  <c r="ED27" i="7"/>
  <c r="ED29" i="7"/>
  <c r="EE8" i="7"/>
  <c r="EE10" i="7"/>
  <c r="EE12" i="7"/>
  <c r="EE14" i="7"/>
  <c r="EE16" i="7"/>
  <c r="EE18" i="7"/>
  <c r="EE20" i="7"/>
  <c r="EE22" i="7"/>
  <c r="EE24" i="7"/>
  <c r="EE26" i="7"/>
  <c r="EE28" i="7"/>
  <c r="EE30" i="7"/>
  <c r="EF7" i="7"/>
  <c r="EF9" i="7"/>
  <c r="EF11" i="7"/>
  <c r="EF13" i="7"/>
  <c r="EF15" i="7"/>
  <c r="EF17" i="7"/>
  <c r="EF19" i="7"/>
  <c r="EF21" i="7"/>
  <c r="EF23" i="7"/>
  <c r="EF25" i="7"/>
  <c r="EF27" i="7"/>
  <c r="EF29" i="7"/>
  <c r="EH7" i="7"/>
  <c r="EJ7" i="7"/>
  <c r="EG8" i="7"/>
  <c r="EI8" i="7"/>
  <c r="EK8" i="7"/>
  <c r="EH9" i="7"/>
  <c r="EJ9" i="7"/>
  <c r="EG10" i="7"/>
  <c r="EI10" i="7"/>
  <c r="EK10" i="7"/>
  <c r="EH11" i="7"/>
  <c r="EJ11" i="7"/>
  <c r="EG12" i="7"/>
  <c r="EI12" i="7"/>
  <c r="EK12" i="7"/>
  <c r="EH13" i="7"/>
  <c r="EJ13" i="7"/>
  <c r="EG14" i="7"/>
  <c r="EI14" i="7"/>
  <c r="EK14" i="7"/>
  <c r="EH15" i="7"/>
  <c r="EJ15" i="7"/>
  <c r="EG16" i="7"/>
  <c r="EI16" i="7"/>
  <c r="EK16" i="7"/>
  <c r="EH17" i="7"/>
  <c r="EJ17" i="7"/>
  <c r="EG18" i="7"/>
  <c r="EI18" i="7"/>
  <c r="EK18" i="7"/>
  <c r="EH19" i="7"/>
  <c r="EJ19" i="7"/>
  <c r="EG20" i="7"/>
  <c r="EI20" i="7"/>
  <c r="EK20" i="7"/>
  <c r="EH21" i="7"/>
  <c r="EJ21" i="7"/>
  <c r="EG22" i="7"/>
  <c r="EI22" i="7"/>
  <c r="EK22" i="7"/>
  <c r="EH23" i="7"/>
  <c r="EJ23" i="7"/>
  <c r="EG24" i="7"/>
  <c r="EI24" i="7"/>
  <c r="EK24" i="7"/>
  <c r="EH25" i="7"/>
  <c r="EJ25" i="7"/>
  <c r="EG26" i="7"/>
  <c r="EI26" i="7"/>
  <c r="EK26" i="7"/>
  <c r="EH27" i="7"/>
  <c r="EJ27" i="7"/>
  <c r="EG28" i="7"/>
  <c r="EI28" i="7"/>
  <c r="EK28" i="7"/>
  <c r="EH29" i="7"/>
  <c r="EJ29" i="7"/>
  <c r="EG30" i="7"/>
  <c r="EI30" i="7"/>
  <c r="EK30" i="7"/>
  <c r="EC9" i="7"/>
  <c r="EC11" i="7"/>
  <c r="EC13" i="7"/>
  <c r="EC15" i="7"/>
  <c r="EC17" i="7"/>
  <c r="EC21" i="7"/>
  <c r="EC23" i="7"/>
  <c r="EC25" i="7"/>
  <c r="EC27" i="7"/>
  <c r="EC29" i="7"/>
  <c r="ED8" i="7"/>
  <c r="ED10" i="7"/>
  <c r="ED12" i="7"/>
  <c r="ED14" i="7"/>
  <c r="ED16" i="7"/>
  <c r="ED18" i="7"/>
  <c r="ED20" i="7"/>
  <c r="ED22" i="7"/>
  <c r="ED24" i="7"/>
  <c r="ED26" i="7"/>
  <c r="ED28" i="7"/>
  <c r="ED30" i="7"/>
  <c r="EE7" i="7"/>
  <c r="EE9" i="7"/>
  <c r="EE11" i="7"/>
  <c r="EE13" i="7"/>
  <c r="EE15" i="7"/>
  <c r="EE17" i="7"/>
  <c r="EE19" i="7"/>
  <c r="EE21" i="7"/>
  <c r="EE23" i="7"/>
  <c r="EE25" i="7"/>
  <c r="EE27" i="7"/>
  <c r="EE29" i="7"/>
  <c r="EF8" i="7"/>
  <c r="EF10" i="7"/>
  <c r="EF12" i="7"/>
  <c r="EF14" i="7"/>
  <c r="EF16" i="7"/>
  <c r="EF18" i="7"/>
  <c r="EF20" i="7"/>
  <c r="EF22" i="7"/>
  <c r="EF24" i="7"/>
  <c r="EF26" i="7"/>
  <c r="EF28" i="7"/>
  <c r="EF30" i="7"/>
  <c r="EG7" i="7"/>
  <c r="EI7" i="7"/>
  <c r="EK7" i="7"/>
  <c r="EH8" i="7"/>
  <c r="EJ8" i="7"/>
  <c r="EG9" i="7"/>
  <c r="EI9" i="7"/>
  <c r="EK9" i="7"/>
  <c r="EH10" i="7"/>
  <c r="EJ10" i="7"/>
  <c r="EG11" i="7"/>
  <c r="EI11" i="7"/>
  <c r="EK11" i="7"/>
  <c r="EH12" i="7"/>
  <c r="EJ12" i="7"/>
  <c r="EG13" i="7"/>
  <c r="EI13" i="7"/>
  <c r="EK13" i="7"/>
  <c r="EH14" i="7"/>
  <c r="EJ14" i="7"/>
  <c r="EG15" i="7"/>
  <c r="EI15" i="7"/>
  <c r="EK15" i="7"/>
  <c r="EH16" i="7"/>
  <c r="EJ16" i="7"/>
  <c r="EG17" i="7"/>
  <c r="EI17" i="7"/>
  <c r="EK17" i="7"/>
  <c r="EH18" i="7"/>
  <c r="EJ18" i="7"/>
  <c r="EG19" i="7"/>
  <c r="EI19" i="7"/>
  <c r="EK19" i="7"/>
  <c r="EH20" i="7"/>
  <c r="EJ20" i="7"/>
  <c r="EG21" i="7"/>
  <c r="EI21" i="7"/>
  <c r="EK21" i="7"/>
  <c r="EH22" i="7"/>
  <c r="EJ22" i="7"/>
  <c r="EG23" i="7"/>
  <c r="EI23" i="7"/>
  <c r="EK23" i="7"/>
  <c r="EH24" i="7"/>
  <c r="EJ24" i="7"/>
  <c r="EG25" i="7"/>
  <c r="EI25" i="7"/>
  <c r="EK25" i="7"/>
  <c r="EH26" i="7"/>
  <c r="EJ26" i="7"/>
  <c r="EG27" i="7"/>
  <c r="EI27" i="7"/>
  <c r="EK27" i="7"/>
  <c r="EH28" i="7"/>
  <c r="EJ28" i="7"/>
  <c r="EG29" i="7"/>
  <c r="EI29" i="7"/>
  <c r="EK29" i="7"/>
  <c r="EH30" i="7"/>
  <c r="EJ30" i="7"/>
  <c r="D11" i="5"/>
  <c r="D6" i="18" s="1"/>
  <c r="F11" i="5"/>
  <c r="D8" i="18" s="1"/>
  <c r="H11" i="5"/>
  <c r="D10" i="18" s="1"/>
  <c r="J11" i="5"/>
  <c r="D12" i="18" s="1"/>
  <c r="D9" i="19"/>
  <c r="C18" i="5"/>
  <c r="D5" i="19" s="1"/>
  <c r="E18" i="5"/>
  <c r="D7" i="19" s="1"/>
  <c r="H18" i="5"/>
  <c r="D10" i="19" s="1"/>
  <c r="J18" i="5"/>
  <c r="D12" i="19" s="1"/>
  <c r="F25" i="5"/>
  <c r="D8" i="20" s="1"/>
  <c r="J25" i="5"/>
  <c r="D12" i="20" s="1"/>
  <c r="F29" i="5"/>
  <c r="H8" i="20" s="1"/>
  <c r="I25" i="5"/>
  <c r="D11" i="20" s="1"/>
  <c r="J29" i="5"/>
  <c r="H12" i="20" s="1"/>
  <c r="F36" i="5"/>
  <c r="H8" i="21" s="1"/>
  <c r="H36" i="5"/>
  <c r="H10" i="21" s="1"/>
  <c r="J36" i="5"/>
  <c r="H12" i="21" s="1"/>
  <c r="C43" i="5"/>
  <c r="H5" i="8" s="1"/>
  <c r="E43" i="5"/>
  <c r="H7" i="8" s="1"/>
  <c r="H43" i="5"/>
  <c r="H10" i="8" s="1"/>
  <c r="K43" i="5"/>
  <c r="H13" i="8" s="1"/>
  <c r="F50" i="5"/>
  <c r="H8" i="11" s="1"/>
  <c r="H50" i="5"/>
  <c r="H10" i="11" s="1"/>
  <c r="J50" i="5"/>
  <c r="H12" i="11" s="1"/>
  <c r="F57" i="5"/>
  <c r="H8" i="12" s="1"/>
  <c r="F32" i="5"/>
  <c r="D8" i="21" s="1"/>
  <c r="H32" i="5"/>
  <c r="D10" i="21" s="1"/>
  <c r="J32" i="5"/>
  <c r="D12" i="21" s="1"/>
  <c r="K39" i="5"/>
  <c r="D13" i="8" s="1"/>
  <c r="I39" i="5"/>
  <c r="D11" i="8" s="1"/>
  <c r="G39" i="5"/>
  <c r="D9" i="8" s="1"/>
  <c r="E39" i="5"/>
  <c r="D7" i="8" s="1"/>
  <c r="C39" i="5"/>
  <c r="D5" i="8" s="1"/>
  <c r="F46" i="5"/>
  <c r="D8" i="11" s="1"/>
  <c r="H46" i="5"/>
  <c r="D10" i="11" s="1"/>
  <c r="J46" i="5"/>
  <c r="D12" i="11" s="1"/>
  <c r="F53" i="5"/>
  <c r="D8" i="12" s="1"/>
  <c r="H53" i="5"/>
  <c r="D10" i="12" s="1"/>
  <c r="J53" i="5"/>
  <c r="D12" i="12" s="1"/>
  <c r="G60" i="5"/>
  <c r="D9" i="13" s="1"/>
  <c r="I60" i="5"/>
  <c r="D11" i="13" s="1"/>
  <c r="K60" i="5"/>
  <c r="D13" i="13" s="1"/>
  <c r="E64" i="5"/>
  <c r="H7" i="13" s="1"/>
  <c r="F64" i="5"/>
  <c r="H8" i="13" s="1"/>
  <c r="G64" i="5"/>
  <c r="H9" i="13" s="1"/>
  <c r="H64" i="5"/>
  <c r="H10" i="13" s="1"/>
  <c r="I64" i="5"/>
  <c r="H11" i="13" s="1"/>
  <c r="K64" i="5"/>
  <c r="H13" i="13" s="1"/>
  <c r="E60" i="5"/>
  <c r="D7" i="13" s="1"/>
  <c r="C60" i="5"/>
  <c r="D5" i="13" s="1"/>
  <c r="F67" i="5"/>
  <c r="D8" i="14" s="1"/>
  <c r="H67" i="5"/>
  <c r="D10" i="14" s="1"/>
  <c r="J67" i="5"/>
  <c r="D12" i="14" s="1"/>
  <c r="F71" i="5"/>
  <c r="H8" i="14" s="1"/>
  <c r="F74" i="5"/>
  <c r="D8" i="15" s="1"/>
  <c r="H74" i="5"/>
  <c r="D10" i="15" s="1"/>
  <c r="J74" i="5"/>
  <c r="D12" i="15" s="1"/>
  <c r="I78" i="5"/>
  <c r="H11" i="15" s="1"/>
  <c r="H78" i="5"/>
  <c r="H10" i="15" s="1"/>
  <c r="C78" i="5"/>
  <c r="H5" i="15" s="1"/>
  <c r="F81" i="5"/>
  <c r="D8" i="16" s="1"/>
  <c r="H81" i="5"/>
  <c r="D10" i="16" s="1"/>
  <c r="J81" i="5"/>
  <c r="D12" i="16" s="1"/>
  <c r="C11" i="5"/>
  <c r="D5" i="18" s="1"/>
  <c r="E11" i="5"/>
  <c r="D7" i="18" s="1"/>
  <c r="G11" i="5"/>
  <c r="D9" i="18" s="1"/>
  <c r="I11" i="5"/>
  <c r="D11" i="18" s="1"/>
  <c r="K11" i="5"/>
  <c r="D13" i="18" s="1"/>
  <c r="C15" i="5"/>
  <c r="H5" i="18" s="1"/>
  <c r="D15" i="5"/>
  <c r="H6" i="18" s="1"/>
  <c r="E15" i="5"/>
  <c r="H7" i="18" s="1"/>
  <c r="F15" i="5"/>
  <c r="H8" i="18" s="1"/>
  <c r="G15" i="5"/>
  <c r="H9" i="18" s="1"/>
  <c r="H15" i="5"/>
  <c r="H10" i="18" s="1"/>
  <c r="I15" i="5"/>
  <c r="H11" i="18" s="1"/>
  <c r="J15" i="5"/>
  <c r="H12" i="18" s="1"/>
  <c r="K8" i="5"/>
  <c r="K15" i="5"/>
  <c r="H13" i="18" s="1"/>
  <c r="D18" i="5"/>
  <c r="D6" i="19" s="1"/>
  <c r="F18" i="5"/>
  <c r="D8" i="19" s="1"/>
  <c r="I18" i="5"/>
  <c r="D11" i="19" s="1"/>
  <c r="K18" i="5"/>
  <c r="D13" i="19" s="1"/>
  <c r="C22" i="5"/>
  <c r="H5" i="19" s="1"/>
  <c r="D22" i="5"/>
  <c r="H6" i="19" s="1"/>
  <c r="E22" i="5"/>
  <c r="H7" i="19" s="1"/>
  <c r="F22" i="5"/>
  <c r="H8" i="19" s="1"/>
  <c r="G22" i="5"/>
  <c r="H9" i="19" s="1"/>
  <c r="H22" i="5"/>
  <c r="H10" i="19" s="1"/>
  <c r="I22" i="5"/>
  <c r="H11" i="19" s="1"/>
  <c r="J22" i="5"/>
  <c r="H12" i="19" s="1"/>
  <c r="K22" i="5"/>
  <c r="H13" i="19" s="1"/>
  <c r="C25" i="5"/>
  <c r="E25" i="5"/>
  <c r="D7" i="20" s="1"/>
  <c r="G25" i="5"/>
  <c r="D9" i="20" s="1"/>
  <c r="K25" i="5"/>
  <c r="D13" i="20" s="1"/>
  <c r="C29" i="5"/>
  <c r="H5" i="20" s="1"/>
  <c r="E29" i="5"/>
  <c r="H7" i="20" s="1"/>
  <c r="G29" i="5"/>
  <c r="H9" i="20" s="1"/>
  <c r="H29" i="5"/>
  <c r="H10" i="20" s="1"/>
  <c r="H25" i="5"/>
  <c r="D10" i="20" s="1"/>
  <c r="I29" i="5"/>
  <c r="H11" i="20" s="1"/>
  <c r="K29" i="5"/>
  <c r="H13" i="20" s="1"/>
  <c r="C36" i="5"/>
  <c r="H5" i="21" s="1"/>
  <c r="E36" i="5"/>
  <c r="H7" i="21" s="1"/>
  <c r="G36" i="5"/>
  <c r="H9" i="21" s="1"/>
  <c r="I36" i="5"/>
  <c r="H11" i="21" s="1"/>
  <c r="K36" i="5"/>
  <c r="H13" i="21" s="1"/>
  <c r="F43" i="5"/>
  <c r="H8" i="8" s="1"/>
  <c r="G43" i="5"/>
  <c r="H9" i="8" s="1"/>
  <c r="I43" i="5"/>
  <c r="H11" i="8" s="1"/>
  <c r="J43" i="5"/>
  <c r="H12" i="8" s="1"/>
  <c r="C50" i="5"/>
  <c r="H5" i="11" s="1"/>
  <c r="E50" i="5"/>
  <c r="H7" i="11" s="1"/>
  <c r="G50" i="5"/>
  <c r="H9" i="11" s="1"/>
  <c r="I50" i="5"/>
  <c r="H11" i="11" s="1"/>
  <c r="K50" i="5"/>
  <c r="H13" i="11" s="1"/>
  <c r="C57" i="5"/>
  <c r="H5" i="12" s="1"/>
  <c r="E57" i="5"/>
  <c r="H7" i="12" s="1"/>
  <c r="G57" i="5"/>
  <c r="H9" i="12" s="1"/>
  <c r="H57" i="5"/>
  <c r="H10" i="12" s="1"/>
  <c r="I57" i="5"/>
  <c r="H11" i="12" s="1"/>
  <c r="J57" i="5"/>
  <c r="H12" i="12" s="1"/>
  <c r="K57" i="5"/>
  <c r="C32" i="5"/>
  <c r="E32" i="5"/>
  <c r="D7" i="21" s="1"/>
  <c r="G32" i="5"/>
  <c r="D9" i="21" s="1"/>
  <c r="I32" i="5"/>
  <c r="D11" i="21" s="1"/>
  <c r="K32" i="5"/>
  <c r="D13" i="21" s="1"/>
  <c r="J39" i="5"/>
  <c r="D12" i="8" s="1"/>
  <c r="H39" i="5"/>
  <c r="D10" i="8" s="1"/>
  <c r="F39" i="5"/>
  <c r="D8" i="8" s="1"/>
  <c r="C46" i="5"/>
  <c r="D5" i="11" s="1"/>
  <c r="E46" i="5"/>
  <c r="D7" i="11" s="1"/>
  <c r="G46" i="5"/>
  <c r="D9" i="11" s="1"/>
  <c r="I46" i="5"/>
  <c r="D11" i="11" s="1"/>
  <c r="K46" i="5"/>
  <c r="D13" i="11" s="1"/>
  <c r="C53" i="5"/>
  <c r="D5" i="12" s="1"/>
  <c r="E53" i="5"/>
  <c r="D7" i="12" s="1"/>
  <c r="G53" i="5"/>
  <c r="D9" i="12" s="1"/>
  <c r="I53" i="5"/>
  <c r="D11" i="12" s="1"/>
  <c r="K53" i="5"/>
  <c r="D13" i="12" s="1"/>
  <c r="H60" i="5"/>
  <c r="D10" i="13" s="1"/>
  <c r="J60" i="5"/>
  <c r="D12" i="13" s="1"/>
  <c r="C64" i="5"/>
  <c r="H5" i="13" s="1"/>
  <c r="J64" i="5"/>
  <c r="H12" i="13" s="1"/>
  <c r="F60" i="5"/>
  <c r="D8" i="13" s="1"/>
  <c r="C67" i="5"/>
  <c r="D5" i="14" s="1"/>
  <c r="E67" i="5"/>
  <c r="D7" i="14" s="1"/>
  <c r="G67" i="5"/>
  <c r="D9" i="14" s="1"/>
  <c r="I67" i="5"/>
  <c r="D11" i="14" s="1"/>
  <c r="K67" i="5"/>
  <c r="D13" i="14" s="1"/>
  <c r="C71" i="5"/>
  <c r="H5" i="14" s="1"/>
  <c r="E71" i="5"/>
  <c r="H7" i="14" s="1"/>
  <c r="G71" i="5"/>
  <c r="H9" i="14" s="1"/>
  <c r="H71" i="5"/>
  <c r="H10" i="14" s="1"/>
  <c r="I71" i="5"/>
  <c r="H11" i="14" s="1"/>
  <c r="J71" i="5"/>
  <c r="H12" i="14" s="1"/>
  <c r="K71" i="5"/>
  <c r="H13" i="14" s="1"/>
  <c r="C74" i="5"/>
  <c r="D5" i="15" s="1"/>
  <c r="E74" i="5"/>
  <c r="D7" i="15" s="1"/>
  <c r="G74" i="5"/>
  <c r="D9" i="15" s="1"/>
  <c r="I74" i="5"/>
  <c r="D11" i="15" s="1"/>
  <c r="K74" i="5"/>
  <c r="D13" i="15" s="1"/>
  <c r="K78" i="5"/>
  <c r="H13" i="15" s="1"/>
  <c r="J78" i="5"/>
  <c r="H12" i="15" s="1"/>
  <c r="G78" i="5"/>
  <c r="H9" i="15" s="1"/>
  <c r="F78" i="5"/>
  <c r="H8" i="15" s="1"/>
  <c r="E78" i="5"/>
  <c r="H7" i="15" s="1"/>
  <c r="C81" i="5"/>
  <c r="D5" i="16" s="1"/>
  <c r="E81" i="5"/>
  <c r="D7" i="16" s="1"/>
  <c r="G81" i="5"/>
  <c r="D9" i="16" s="1"/>
  <c r="I81" i="5"/>
  <c r="D11" i="16" s="1"/>
  <c r="K81" i="5"/>
  <c r="D13" i="16" s="1"/>
  <c r="C8" i="5"/>
  <c r="D8" i="5"/>
  <c r="E8" i="5"/>
  <c r="G8" i="5"/>
  <c r="I8" i="5"/>
  <c r="F8" i="5"/>
  <c r="H8" i="5"/>
  <c r="J8" i="5"/>
  <c r="B4" i="17" l="1"/>
  <c r="B4" i="12"/>
  <c r="B4" i="11"/>
  <c r="E166" i="1"/>
  <c r="IR107" i="1"/>
  <c r="JS76" i="1"/>
  <c r="JS77" i="1" s="1"/>
  <c r="JS78" i="1" s="1"/>
  <c r="JS79" i="1" s="1"/>
  <c r="JS80" i="1" s="1"/>
  <c r="JS81" i="1" s="1"/>
  <c r="JS82" i="1" s="1"/>
  <c r="JS83" i="1" s="1"/>
  <c r="JS84" i="1" s="1"/>
  <c r="JS85" i="1" s="1"/>
  <c r="JS86" i="1" s="1"/>
  <c r="JS87" i="1" s="1"/>
  <c r="JS88" i="1" s="1"/>
  <c r="JS89" i="1" s="1"/>
  <c r="JS90" i="1" s="1"/>
  <c r="JS91" i="1" s="1"/>
  <c r="JS92" i="1" s="1"/>
  <c r="JS93" i="1" s="1"/>
  <c r="JS94" i="1" s="1"/>
  <c r="JS95" i="1" s="1"/>
  <c r="JS96" i="1" s="1"/>
  <c r="JS97" i="1" s="1"/>
  <c r="JS98" i="1" s="1"/>
  <c r="JS99" i="1" s="1"/>
  <c r="JS100" i="1" s="1"/>
  <c r="JS101" i="1" s="1"/>
  <c r="JS102" i="1" s="1"/>
  <c r="JS103" i="1" s="1"/>
  <c r="JS104" i="1" s="1"/>
  <c r="JS105" i="1" s="1"/>
  <c r="JS106" i="1" s="1"/>
  <c r="JS107" i="1" s="1"/>
  <c r="JT107" i="1" s="1"/>
  <c r="JT75" i="1"/>
  <c r="GF111" i="1"/>
  <c r="GG111" i="1" s="1"/>
  <c r="BE67" i="5"/>
  <c r="D61" i="14" s="1"/>
  <c r="SJ325" i="1"/>
  <c r="SJ326" i="1" s="1"/>
  <c r="SJ327" i="1" s="1"/>
  <c r="SJ328" i="1" s="1"/>
  <c r="SJ329" i="1" s="1"/>
  <c r="SJ330" i="1" s="1"/>
  <c r="SJ331" i="1" s="1"/>
  <c r="SJ332" i="1" s="1"/>
  <c r="SJ333" i="1" s="1"/>
  <c r="SJ334" i="1" s="1"/>
  <c r="SJ335" i="1" s="1"/>
  <c r="SJ336" i="1" s="1"/>
  <c r="SJ337" i="1" s="1"/>
  <c r="SJ338" i="1" s="1"/>
  <c r="SJ339" i="1" s="1"/>
  <c r="SJ340" i="1" s="1"/>
  <c r="SJ341" i="1" s="1"/>
  <c r="SJ342" i="1" s="1"/>
  <c r="SJ343" i="1" s="1"/>
  <c r="SJ344" i="1" s="1"/>
  <c r="SJ345" i="1" s="1"/>
  <c r="SJ346" i="1" s="1"/>
  <c r="SJ347" i="1" s="1"/>
  <c r="SJ348" i="1" s="1"/>
  <c r="SJ349" i="1" s="1"/>
  <c r="SJ350" i="1" s="1"/>
  <c r="SJ351" i="1" s="1"/>
  <c r="SJ352" i="1" s="1"/>
  <c r="SJ353" i="1" s="1"/>
  <c r="SJ354" i="1" s="1"/>
  <c r="SJ355" i="1" s="1"/>
  <c r="SJ356" i="1" s="1"/>
  <c r="TB325" i="1"/>
  <c r="TB326" i="1" s="1"/>
  <c r="TB327" i="1" s="1"/>
  <c r="TB328" i="1" s="1"/>
  <c r="TB329" i="1" s="1"/>
  <c r="TB330" i="1" s="1"/>
  <c r="TB331" i="1" s="1"/>
  <c r="TB332" i="1" s="1"/>
  <c r="TB333" i="1" s="1"/>
  <c r="TB334" i="1" s="1"/>
  <c r="TB335" i="1" s="1"/>
  <c r="TB336" i="1" s="1"/>
  <c r="TB337" i="1" s="1"/>
  <c r="TB338" i="1" s="1"/>
  <c r="TB339" i="1" s="1"/>
  <c r="TB340" i="1" s="1"/>
  <c r="TB341" i="1" s="1"/>
  <c r="TB342" i="1" s="1"/>
  <c r="TB343" i="1" s="1"/>
  <c r="TB344" i="1" s="1"/>
  <c r="TB345" i="1" s="1"/>
  <c r="TB346" i="1" s="1"/>
  <c r="TB347" i="1" s="1"/>
  <c r="TB348" i="1" s="1"/>
  <c r="TB349" i="1" s="1"/>
  <c r="TB350" i="1" s="1"/>
  <c r="TB351" i="1" s="1"/>
  <c r="TB352" i="1" s="1"/>
  <c r="TB353" i="1" s="1"/>
  <c r="TB354" i="1" s="1"/>
  <c r="TB355" i="1" s="1"/>
  <c r="TB356" i="1" s="1"/>
  <c r="BG67" i="5"/>
  <c r="BD67" i="5"/>
  <c r="D60" i="14" s="1"/>
  <c r="SA325" i="1"/>
  <c r="SA326" i="1" s="1"/>
  <c r="SA327" i="1" s="1"/>
  <c r="SA328" i="1" s="1"/>
  <c r="SA329" i="1" s="1"/>
  <c r="SA330" i="1" s="1"/>
  <c r="SA331" i="1" s="1"/>
  <c r="SA332" i="1" s="1"/>
  <c r="SA333" i="1" s="1"/>
  <c r="SA334" i="1" s="1"/>
  <c r="SA335" i="1" s="1"/>
  <c r="SA336" i="1" s="1"/>
  <c r="SA337" i="1" s="1"/>
  <c r="SA338" i="1" s="1"/>
  <c r="SA339" i="1" s="1"/>
  <c r="SA340" i="1" s="1"/>
  <c r="SA341" i="1" s="1"/>
  <c r="SA342" i="1" s="1"/>
  <c r="SA343" i="1" s="1"/>
  <c r="SA344" i="1" s="1"/>
  <c r="SA345" i="1" s="1"/>
  <c r="SA346" i="1" s="1"/>
  <c r="SA347" i="1" s="1"/>
  <c r="SA348" i="1" s="1"/>
  <c r="SA349" i="1" s="1"/>
  <c r="SA350" i="1" s="1"/>
  <c r="SA351" i="1" s="1"/>
  <c r="SA352" i="1" s="1"/>
  <c r="SA353" i="1" s="1"/>
  <c r="SA354" i="1" s="1"/>
  <c r="SA355" i="1" s="1"/>
  <c r="SA356" i="1" s="1"/>
  <c r="BF67" i="5"/>
  <c r="SS325" i="1"/>
  <c r="SS326" i="1" s="1"/>
  <c r="SS327" i="1" s="1"/>
  <c r="SS328" i="1" s="1"/>
  <c r="SS329" i="1" s="1"/>
  <c r="SS330" i="1" s="1"/>
  <c r="SS331" i="1" s="1"/>
  <c r="SS332" i="1" s="1"/>
  <c r="SS333" i="1" s="1"/>
  <c r="SS334" i="1" s="1"/>
  <c r="SS335" i="1" s="1"/>
  <c r="SS336" i="1" s="1"/>
  <c r="SS337" i="1" s="1"/>
  <c r="SS338" i="1" s="1"/>
  <c r="SS339" i="1" s="1"/>
  <c r="SS340" i="1" s="1"/>
  <c r="SS341" i="1" s="1"/>
  <c r="SS342" i="1" s="1"/>
  <c r="SS343" i="1" s="1"/>
  <c r="SS344" i="1" s="1"/>
  <c r="SS345" i="1" s="1"/>
  <c r="SS346" i="1" s="1"/>
  <c r="SS347" i="1" s="1"/>
  <c r="SS348" i="1" s="1"/>
  <c r="SS349" i="1" s="1"/>
  <c r="SS350" i="1" s="1"/>
  <c r="SS351" i="1" s="1"/>
  <c r="SS352" i="1" s="1"/>
  <c r="SS353" i="1" s="1"/>
  <c r="SS354" i="1" s="1"/>
  <c r="SS355" i="1" s="1"/>
  <c r="SS356" i="1" s="1"/>
  <c r="TK325" i="1"/>
  <c r="TK326" i="1" s="1"/>
  <c r="TK327" i="1" s="1"/>
  <c r="TK328" i="1" s="1"/>
  <c r="TK329" i="1" s="1"/>
  <c r="TK330" i="1" s="1"/>
  <c r="TK331" i="1" s="1"/>
  <c r="TK332" i="1" s="1"/>
  <c r="TK333" i="1" s="1"/>
  <c r="TK334" i="1" s="1"/>
  <c r="TK335" i="1" s="1"/>
  <c r="TK336" i="1" s="1"/>
  <c r="TK337" i="1" s="1"/>
  <c r="TK338" i="1" s="1"/>
  <c r="TK339" i="1" s="1"/>
  <c r="TK340" i="1" s="1"/>
  <c r="TK341" i="1" s="1"/>
  <c r="TK342" i="1" s="1"/>
  <c r="TK343" i="1" s="1"/>
  <c r="TK344" i="1" s="1"/>
  <c r="TK345" i="1" s="1"/>
  <c r="TK346" i="1" s="1"/>
  <c r="TK347" i="1" s="1"/>
  <c r="TK348" i="1" s="1"/>
  <c r="TK349" i="1" s="1"/>
  <c r="TK350" i="1" s="1"/>
  <c r="TK351" i="1" s="1"/>
  <c r="TK352" i="1" s="1"/>
  <c r="TK353" i="1" s="1"/>
  <c r="TK354" i="1" s="1"/>
  <c r="TK355" i="1" s="1"/>
  <c r="TK356" i="1" s="1"/>
  <c r="BH67" i="5"/>
  <c r="BC67" i="5"/>
  <c r="D59" i="14" s="1"/>
  <c r="RR325" i="1"/>
  <c r="RR326" i="1" s="1"/>
  <c r="RR327" i="1" s="1"/>
  <c r="RR328" i="1" s="1"/>
  <c r="RR329" i="1" s="1"/>
  <c r="RR330" i="1" s="1"/>
  <c r="RR331" i="1" s="1"/>
  <c r="RR332" i="1" s="1"/>
  <c r="RR333" i="1" s="1"/>
  <c r="RR334" i="1" s="1"/>
  <c r="RR335" i="1" s="1"/>
  <c r="RR336" i="1" s="1"/>
  <c r="RR337" i="1" s="1"/>
  <c r="RR338" i="1" s="1"/>
  <c r="RR339" i="1" s="1"/>
  <c r="RR340" i="1" s="1"/>
  <c r="RR341" i="1" s="1"/>
  <c r="RR342" i="1" s="1"/>
  <c r="RR343" i="1" s="1"/>
  <c r="RR344" i="1" s="1"/>
  <c r="RR345" i="1" s="1"/>
  <c r="RR346" i="1" s="1"/>
  <c r="RR347" i="1" s="1"/>
  <c r="RR348" i="1" s="1"/>
  <c r="RR349" i="1" s="1"/>
  <c r="RR350" i="1" s="1"/>
  <c r="RR351" i="1" s="1"/>
  <c r="RR352" i="1" s="1"/>
  <c r="RR353" i="1" s="1"/>
  <c r="RR354" i="1" s="1"/>
  <c r="RR355" i="1" s="1"/>
  <c r="RR356" i="1" s="1"/>
  <c r="QZ325" i="1"/>
  <c r="QZ326" i="1" s="1"/>
  <c r="QZ327" i="1" s="1"/>
  <c r="QZ328" i="1" s="1"/>
  <c r="QZ329" i="1" s="1"/>
  <c r="QZ330" i="1" s="1"/>
  <c r="QZ331" i="1" s="1"/>
  <c r="QZ332" i="1" s="1"/>
  <c r="QZ333" i="1" s="1"/>
  <c r="QZ334" i="1" s="1"/>
  <c r="QZ335" i="1" s="1"/>
  <c r="QZ336" i="1" s="1"/>
  <c r="QZ337" i="1" s="1"/>
  <c r="QZ338" i="1" s="1"/>
  <c r="QZ339" i="1" s="1"/>
  <c r="QZ340" i="1" s="1"/>
  <c r="QZ341" i="1" s="1"/>
  <c r="QZ342" i="1" s="1"/>
  <c r="QZ343" i="1" s="1"/>
  <c r="QZ344" i="1" s="1"/>
  <c r="QZ345" i="1" s="1"/>
  <c r="QZ346" i="1" s="1"/>
  <c r="QZ347" i="1" s="1"/>
  <c r="QZ348" i="1" s="1"/>
  <c r="QZ349" i="1" s="1"/>
  <c r="QZ350" i="1" s="1"/>
  <c r="QZ351" i="1" s="1"/>
  <c r="QZ352" i="1" s="1"/>
  <c r="QZ353" i="1" s="1"/>
  <c r="QZ354" i="1" s="1"/>
  <c r="QZ355" i="1" s="1"/>
  <c r="QZ356" i="1" s="1"/>
  <c r="BA67" i="5"/>
  <c r="D57" i="14" s="1"/>
  <c r="B5" i="18"/>
  <c r="B7" i="18"/>
  <c r="B9" i="18"/>
  <c r="B11" i="18"/>
  <c r="B13" i="18"/>
  <c r="B15" i="18"/>
  <c r="B17" i="18"/>
  <c r="B19" i="18"/>
  <c r="B21" i="18"/>
  <c r="B25" i="18"/>
  <c r="B27" i="18"/>
  <c r="B6" i="18"/>
  <c r="B8" i="18"/>
  <c r="B10" i="18"/>
  <c r="B12" i="18"/>
  <c r="B14" i="18"/>
  <c r="B16" i="18"/>
  <c r="B20" i="18"/>
  <c r="B22" i="18"/>
  <c r="B26" i="18"/>
  <c r="B28" i="18"/>
  <c r="B4" i="18"/>
  <c r="RI325" i="1"/>
  <c r="RI326" i="1" s="1"/>
  <c r="RI327" i="1" s="1"/>
  <c r="RI328" i="1" s="1"/>
  <c r="RI329" i="1" s="1"/>
  <c r="RI330" i="1" s="1"/>
  <c r="RI331" i="1" s="1"/>
  <c r="RI332" i="1" s="1"/>
  <c r="RI333" i="1" s="1"/>
  <c r="RI334" i="1" s="1"/>
  <c r="RI335" i="1" s="1"/>
  <c r="RI336" i="1" s="1"/>
  <c r="RI337" i="1" s="1"/>
  <c r="RI338" i="1" s="1"/>
  <c r="RI339" i="1" s="1"/>
  <c r="RI340" i="1" s="1"/>
  <c r="RI341" i="1" s="1"/>
  <c r="RI342" i="1" s="1"/>
  <c r="RI343" i="1" s="1"/>
  <c r="RI344" i="1" s="1"/>
  <c r="RI345" i="1" s="1"/>
  <c r="RI346" i="1" s="1"/>
  <c r="RI347" i="1" s="1"/>
  <c r="RI348" i="1" s="1"/>
  <c r="RI349" i="1" s="1"/>
  <c r="RI350" i="1" s="1"/>
  <c r="RI351" i="1" s="1"/>
  <c r="RI352" i="1" s="1"/>
  <c r="RI353" i="1" s="1"/>
  <c r="RI354" i="1" s="1"/>
  <c r="RI355" i="1" s="1"/>
  <c r="RI356" i="1" s="1"/>
  <c r="BB71" i="5" s="1"/>
  <c r="H58" i="14" s="1"/>
  <c r="D90" i="17"/>
  <c r="D92" i="17" s="1"/>
  <c r="EA196" i="1"/>
  <c r="EC196" i="1" s="1"/>
  <c r="EA197" i="1"/>
  <c r="EC197" i="1" s="1"/>
  <c r="E175" i="1"/>
  <c r="G175" i="1" s="1"/>
  <c r="E174" i="1"/>
  <c r="G174" i="1" s="1"/>
  <c r="AL57" i="5"/>
  <c r="H42" i="12" s="1"/>
  <c r="O42" i="12" s="1"/>
  <c r="LU289" i="1"/>
  <c r="AJ29" i="5"/>
  <c r="H40" i="20" s="1"/>
  <c r="O40" i="20" s="1"/>
  <c r="LC146" i="1"/>
  <c r="LD146" i="1" s="1"/>
  <c r="AO57" i="5"/>
  <c r="O45" i="12" s="1"/>
  <c r="MV289" i="1"/>
  <c r="AP57" i="5"/>
  <c r="H46" i="12" s="1"/>
  <c r="O46" i="12" s="1"/>
  <c r="NE289" i="1"/>
  <c r="H13" i="12"/>
  <c r="O13" i="12" s="1"/>
  <c r="M22" i="5"/>
  <c r="H15" i="19" s="1"/>
  <c r="O15" i="19" s="1"/>
  <c r="DC111" i="1"/>
  <c r="AD22" i="5"/>
  <c r="H34" i="19" s="1"/>
  <c r="O34" i="19" s="1"/>
  <c r="JA111" i="1"/>
  <c r="JB111" i="1" s="1"/>
  <c r="D5" i="21"/>
  <c r="D5" i="20"/>
  <c r="AN57" i="5"/>
  <c r="H44" i="12" s="1"/>
  <c r="O44" i="12" s="1"/>
  <c r="MM289" i="1"/>
  <c r="T15" i="5"/>
  <c r="H22" i="18" s="1"/>
  <c r="O22" i="18" s="1"/>
  <c r="FN75" i="1"/>
  <c r="E90" i="17"/>
  <c r="E92" i="17" s="1"/>
  <c r="AB22" i="5"/>
  <c r="H32" i="19" s="1"/>
  <c r="O32" i="19" s="1"/>
  <c r="II111" i="1"/>
  <c r="IJ111" i="1" s="1"/>
  <c r="AQ39" i="5"/>
  <c r="D47" i="8" s="1"/>
  <c r="NN183" i="1"/>
  <c r="NN184" i="1" s="1"/>
  <c r="NN185" i="1" s="1"/>
  <c r="NN186" i="1" s="1"/>
  <c r="NN187" i="1" s="1"/>
  <c r="NN188" i="1" s="1"/>
  <c r="NN189" i="1" s="1"/>
  <c r="NN190" i="1" s="1"/>
  <c r="NN191" i="1" s="1"/>
  <c r="NN192" i="1" s="1"/>
  <c r="NN193" i="1" s="1"/>
  <c r="NN194" i="1" s="1"/>
  <c r="NN195" i="1" s="1"/>
  <c r="NN196" i="1" s="1"/>
  <c r="NN197" i="1" s="1"/>
  <c r="NN198" i="1" s="1"/>
  <c r="NN199" i="1" s="1"/>
  <c r="NN200" i="1" s="1"/>
  <c r="NN201" i="1" s="1"/>
  <c r="NN202" i="1" s="1"/>
  <c r="NN203" i="1" s="1"/>
  <c r="NN204" i="1" s="1"/>
  <c r="NN205" i="1" s="1"/>
  <c r="NN206" i="1" s="1"/>
  <c r="NN207" i="1" s="1"/>
  <c r="NN208" i="1" s="1"/>
  <c r="NN209" i="1" s="1"/>
  <c r="NN210" i="1" s="1"/>
  <c r="NN211" i="1" s="1"/>
  <c r="NN212" i="1" s="1"/>
  <c r="NN213" i="1" s="1"/>
  <c r="H12" i="17"/>
  <c r="O12" i="17" s="1"/>
  <c r="O12" i="15"/>
  <c r="O12" i="14"/>
  <c r="O12" i="12"/>
  <c r="O12" i="16"/>
  <c r="O12" i="11"/>
  <c r="O12" i="13"/>
  <c r="O12" i="20"/>
  <c r="O12" i="18"/>
  <c r="O12" i="8"/>
  <c r="O12" i="19"/>
  <c r="O12" i="21"/>
  <c r="H13" i="17"/>
  <c r="O13" i="17" s="1"/>
  <c r="O13" i="13"/>
  <c r="O13" i="16"/>
  <c r="O13" i="15"/>
  <c r="O13" i="11"/>
  <c r="O13" i="8"/>
  <c r="O13" i="14"/>
  <c r="O13" i="21"/>
  <c r="O13" i="18"/>
  <c r="O13" i="20"/>
  <c r="O13" i="19"/>
  <c r="H5" i="17"/>
  <c r="O5" i="17" s="1"/>
  <c r="O5" i="15"/>
  <c r="O5" i="13"/>
  <c r="O5" i="14"/>
  <c r="O5" i="16"/>
  <c r="O5" i="12"/>
  <c r="O5" i="11"/>
  <c r="O5" i="8"/>
  <c r="O5" i="20"/>
  <c r="O5" i="21"/>
  <c r="O5" i="19"/>
  <c r="O5" i="18"/>
  <c r="H10" i="17"/>
  <c r="O10" i="17" s="1"/>
  <c r="O10" i="14"/>
  <c r="O10" i="11"/>
  <c r="O10" i="15"/>
  <c r="O10" i="16"/>
  <c r="O10" i="13"/>
  <c r="O10" i="12"/>
  <c r="O10" i="19"/>
  <c r="O10" i="8"/>
  <c r="O10" i="21"/>
  <c r="O10" i="20"/>
  <c r="O10" i="18"/>
  <c r="KB111" i="1"/>
  <c r="AG22" i="5"/>
  <c r="H37" i="19" s="1"/>
  <c r="O37" i="19" s="1"/>
  <c r="AM57" i="5"/>
  <c r="H43" i="12" s="1"/>
  <c r="O43" i="12" s="1"/>
  <c r="MD289" i="1"/>
  <c r="H11" i="17"/>
  <c r="O11" i="17" s="1"/>
  <c r="O11" i="14"/>
  <c r="O11" i="16"/>
  <c r="O11" i="15"/>
  <c r="O11" i="12"/>
  <c r="O11" i="13"/>
  <c r="O11" i="11"/>
  <c r="O11" i="21"/>
  <c r="O11" i="20"/>
  <c r="O11" i="18"/>
  <c r="O11" i="19"/>
  <c r="O11" i="8"/>
  <c r="E90" i="18"/>
  <c r="E92" i="18" s="1"/>
  <c r="H8" i="17"/>
  <c r="O8" i="17" s="1"/>
  <c r="O8" i="13"/>
  <c r="O8" i="16"/>
  <c r="O8" i="12"/>
  <c r="O8" i="15"/>
  <c r="O8" i="14"/>
  <c r="O8" i="11"/>
  <c r="O8" i="8"/>
  <c r="O8" i="21"/>
  <c r="O8" i="20"/>
  <c r="O8" i="19"/>
  <c r="O8" i="18"/>
  <c r="H9" i="17"/>
  <c r="O9" i="17" s="1"/>
  <c r="O9" i="15"/>
  <c r="O9" i="13"/>
  <c r="O9" i="12"/>
  <c r="O9" i="11"/>
  <c r="O9" i="14"/>
  <c r="O9" i="21"/>
  <c r="O9" i="20"/>
  <c r="O9" i="18"/>
  <c r="O9" i="19"/>
  <c r="O9" i="16"/>
  <c r="O9" i="8"/>
  <c r="E88" i="19"/>
  <c r="E90" i="19" s="1"/>
  <c r="H6" i="17"/>
  <c r="O6" i="17" s="1"/>
  <c r="O6" i="19"/>
  <c r="O6" i="18"/>
  <c r="H7" i="17"/>
  <c r="O7" i="17" s="1"/>
  <c r="O7" i="16"/>
  <c r="O7" i="15"/>
  <c r="O7" i="14"/>
  <c r="O7" i="11"/>
  <c r="O7" i="13"/>
  <c r="O7" i="20"/>
  <c r="O7" i="19"/>
  <c r="O7" i="18"/>
  <c r="O7" i="12"/>
  <c r="O7" i="8"/>
  <c r="O7" i="21"/>
  <c r="B4" i="13"/>
  <c r="B4" i="16"/>
  <c r="B4" i="15"/>
  <c r="B4" i="14"/>
  <c r="B4" i="8"/>
  <c r="B4" i="21"/>
  <c r="B4" i="20"/>
  <c r="B4" i="19"/>
  <c r="B28" i="17"/>
  <c r="B28" i="16"/>
  <c r="B28" i="13"/>
  <c r="B28" i="8"/>
  <c r="B28" i="15"/>
  <c r="B28" i="14"/>
  <c r="B28" i="12"/>
  <c r="B28" i="11"/>
  <c r="B28" i="21"/>
  <c r="B28" i="20"/>
  <c r="B28" i="19"/>
  <c r="B22" i="17"/>
  <c r="B22" i="15"/>
  <c r="B22" i="13"/>
  <c r="B22" i="11"/>
  <c r="B22" i="8"/>
  <c r="B22" i="21"/>
  <c r="B22" i="16"/>
  <c r="B22" i="14"/>
  <c r="B22" i="12"/>
  <c r="B22" i="20"/>
  <c r="B22" i="19"/>
  <c r="B18" i="17"/>
  <c r="B18" i="16"/>
  <c r="B18" i="15"/>
  <c r="B18" i="11"/>
  <c r="B18" i="8"/>
  <c r="B18" i="21"/>
  <c r="B18" i="14"/>
  <c r="B18" i="13"/>
  <c r="B18" i="12"/>
  <c r="B18" i="20"/>
  <c r="B18" i="19"/>
  <c r="B14" i="17"/>
  <c r="B14" i="16"/>
  <c r="B14" i="15"/>
  <c r="B14" i="11"/>
  <c r="B14" i="8"/>
  <c r="B14" i="21"/>
  <c r="B14" i="14"/>
  <c r="B14" i="13"/>
  <c r="B14" i="12"/>
  <c r="B14" i="20"/>
  <c r="B14" i="19"/>
  <c r="B10" i="17"/>
  <c r="B10" i="15"/>
  <c r="B10" i="8"/>
  <c r="B10" i="21"/>
  <c r="B10" i="16"/>
  <c r="B10" i="14"/>
  <c r="B10" i="13"/>
  <c r="B10" i="12"/>
  <c r="B10" i="11"/>
  <c r="B10" i="20"/>
  <c r="B10" i="19"/>
  <c r="B6" i="17"/>
  <c r="B6" i="16"/>
  <c r="B6" i="15"/>
  <c r="B6" i="13"/>
  <c r="B6" i="8"/>
  <c r="B6" i="21"/>
  <c r="B6" i="14"/>
  <c r="B6" i="12"/>
  <c r="B6" i="11"/>
  <c r="B6" i="19"/>
  <c r="B6" i="20"/>
  <c r="B25" i="17"/>
  <c r="B25" i="13"/>
  <c r="B25" i="11"/>
  <c r="B25" i="16"/>
  <c r="B25" i="15"/>
  <c r="B25" i="14"/>
  <c r="B25" i="12"/>
  <c r="B25" i="8"/>
  <c r="B25" i="21"/>
  <c r="B25" i="20"/>
  <c r="B25" i="19"/>
  <c r="B19" i="17"/>
  <c r="B19" i="16"/>
  <c r="B19" i="15"/>
  <c r="B19" i="14"/>
  <c r="B19" i="13"/>
  <c r="B19" i="12"/>
  <c r="B19" i="11"/>
  <c r="B19" i="8"/>
  <c r="B19" i="21"/>
  <c r="B19" i="20"/>
  <c r="B19" i="19"/>
  <c r="B15" i="17"/>
  <c r="B15" i="16"/>
  <c r="B15" i="15"/>
  <c r="B15" i="14"/>
  <c r="B15" i="13"/>
  <c r="B15" i="12"/>
  <c r="B15" i="11"/>
  <c r="B15" i="8"/>
  <c r="B15" i="21"/>
  <c r="B15" i="20"/>
  <c r="B15" i="19"/>
  <c r="B11" i="17"/>
  <c r="B11" i="16"/>
  <c r="B11" i="15"/>
  <c r="B11" i="14"/>
  <c r="B11" i="13"/>
  <c r="B11" i="12"/>
  <c r="B11" i="11"/>
  <c r="B11" i="8"/>
  <c r="B11" i="21"/>
  <c r="B11" i="20"/>
  <c r="B11" i="19"/>
  <c r="B7" i="17"/>
  <c r="B7" i="13"/>
  <c r="B7" i="16"/>
  <c r="B7" i="15"/>
  <c r="B7" i="14"/>
  <c r="B7" i="12"/>
  <c r="B7" i="11"/>
  <c r="B7" i="8"/>
  <c r="B7" i="21"/>
  <c r="B7" i="19"/>
  <c r="B7" i="20"/>
  <c r="B26" i="17"/>
  <c r="B26" i="12"/>
  <c r="B26" i="11"/>
  <c r="B26" i="16"/>
  <c r="B26" i="15"/>
  <c r="B26" i="14"/>
  <c r="B26" i="13"/>
  <c r="B26" i="8"/>
  <c r="B26" i="21"/>
  <c r="B26" i="20"/>
  <c r="B26" i="19"/>
  <c r="B20" i="17"/>
  <c r="B20" i="16"/>
  <c r="B20" i="15"/>
  <c r="B20" i="14"/>
  <c r="B20" i="13"/>
  <c r="B20" i="12"/>
  <c r="B20" i="11"/>
  <c r="B20" i="8"/>
  <c r="B20" i="21"/>
  <c r="B20" i="19"/>
  <c r="B20" i="20"/>
  <c r="B16" i="17"/>
  <c r="B16" i="16"/>
  <c r="B16" i="15"/>
  <c r="B16" i="14"/>
  <c r="B16" i="13"/>
  <c r="B16" i="12"/>
  <c r="B16" i="11"/>
  <c r="B16" i="8"/>
  <c r="B16" i="21"/>
  <c r="B16" i="20"/>
  <c r="B16" i="19"/>
  <c r="B12" i="17"/>
  <c r="B12" i="16"/>
  <c r="B12" i="15"/>
  <c r="B12" i="14"/>
  <c r="B12" i="13"/>
  <c r="B12" i="12"/>
  <c r="B12" i="11"/>
  <c r="B12" i="8"/>
  <c r="B12" i="21"/>
  <c r="B12" i="20"/>
  <c r="B12" i="19"/>
  <c r="B8" i="17"/>
  <c r="B8" i="13"/>
  <c r="B8" i="16"/>
  <c r="B8" i="15"/>
  <c r="B8" i="14"/>
  <c r="B8" i="12"/>
  <c r="B8" i="11"/>
  <c r="B8" i="8"/>
  <c r="B8" i="21"/>
  <c r="B8" i="19"/>
  <c r="B8" i="20"/>
  <c r="B27" i="17"/>
  <c r="B27" i="12"/>
  <c r="B27" i="11"/>
  <c r="B27" i="8"/>
  <c r="B27" i="16"/>
  <c r="B27" i="15"/>
  <c r="B27" i="14"/>
  <c r="B27" i="13"/>
  <c r="B27" i="21"/>
  <c r="B27" i="20"/>
  <c r="B27" i="19"/>
  <c r="B21" i="17"/>
  <c r="B21" i="15"/>
  <c r="B21" i="11"/>
  <c r="B21" i="8"/>
  <c r="B21" i="21"/>
  <c r="B21" i="16"/>
  <c r="B21" i="14"/>
  <c r="B21" i="13"/>
  <c r="B21" i="12"/>
  <c r="B21" i="19"/>
  <c r="B21" i="20"/>
  <c r="B17" i="17"/>
  <c r="B17" i="16"/>
  <c r="B17" i="15"/>
  <c r="B17" i="11"/>
  <c r="B17" i="8"/>
  <c r="B17" i="21"/>
  <c r="B17" i="14"/>
  <c r="B17" i="13"/>
  <c r="B17" i="12"/>
  <c r="B17" i="20"/>
  <c r="B17" i="19"/>
  <c r="B13" i="17"/>
  <c r="B13" i="16"/>
  <c r="B13" i="15"/>
  <c r="B13" i="11"/>
  <c r="B13" i="8"/>
  <c r="B13" i="21"/>
  <c r="B13" i="14"/>
  <c r="B13" i="13"/>
  <c r="B13" i="12"/>
  <c r="B13" i="20"/>
  <c r="B13" i="19"/>
  <c r="B9" i="17"/>
  <c r="B9" i="15"/>
  <c r="B9" i="13"/>
  <c r="B9" i="8"/>
  <c r="B9" i="21"/>
  <c r="B9" i="16"/>
  <c r="B9" i="14"/>
  <c r="B9" i="12"/>
  <c r="B9" i="11"/>
  <c r="B9" i="19"/>
  <c r="B9" i="20"/>
  <c r="B5" i="17"/>
  <c r="B5" i="16"/>
  <c r="B5" i="15"/>
  <c r="B5" i="13"/>
  <c r="B5" i="8"/>
  <c r="B5" i="21"/>
  <c r="B5" i="14"/>
  <c r="B5" i="11"/>
  <c r="B5" i="20"/>
  <c r="B5" i="19"/>
  <c r="LL111" i="1"/>
  <c r="LM111" i="1" s="1"/>
  <c r="AK22" i="5"/>
  <c r="H41" i="19" s="1"/>
  <c r="O41" i="19" s="1"/>
  <c r="GC410" i="1"/>
  <c r="GE410" i="1" s="1"/>
  <c r="N368" i="1"/>
  <c r="P368" i="1" s="1"/>
  <c r="GC338" i="1"/>
  <c r="GE338" i="1" s="1"/>
  <c r="CZ273" i="1"/>
  <c r="DB273" i="1" s="1"/>
  <c r="CZ272" i="1"/>
  <c r="DB272" i="1" s="1"/>
  <c r="CZ275" i="1"/>
  <c r="DB275" i="1" s="1"/>
  <c r="CZ274" i="1"/>
  <c r="DB274" i="1" s="1"/>
  <c r="CZ271" i="1"/>
  <c r="DB271" i="1" s="1"/>
  <c r="FB238" i="1"/>
  <c r="FD238" i="1" s="1"/>
  <c r="N236" i="1"/>
  <c r="P236" i="1" s="1"/>
  <c r="BG230" i="1"/>
  <c r="BI230" i="1" s="1"/>
  <c r="H41" i="1"/>
  <c r="B8" i="5"/>
  <c r="E44" i="1"/>
  <c r="G44" i="1" s="1"/>
  <c r="FB416" i="1"/>
  <c r="FD416" i="1" s="1"/>
  <c r="FB426" i="1"/>
  <c r="FD426" i="1" s="1"/>
  <c r="FB423" i="1"/>
  <c r="FD423" i="1" s="1"/>
  <c r="FB425" i="1"/>
  <c r="FD425" i="1" s="1"/>
  <c r="FB424" i="1"/>
  <c r="FD424" i="1" s="1"/>
  <c r="FB421" i="1"/>
  <c r="FD421" i="1" s="1"/>
  <c r="FB414" i="1"/>
  <c r="FD414" i="1" s="1"/>
  <c r="FB419" i="1"/>
  <c r="FD419" i="1" s="1"/>
  <c r="FB420" i="1"/>
  <c r="FD420" i="1" s="1"/>
  <c r="FB422" i="1"/>
  <c r="FD422" i="1" s="1"/>
  <c r="FB418" i="1"/>
  <c r="FD418" i="1" s="1"/>
  <c r="FB415" i="1"/>
  <c r="FD415" i="1" s="1"/>
  <c r="FB417" i="1"/>
  <c r="FD417" i="1" s="1"/>
  <c r="GC350" i="1"/>
  <c r="GE350" i="1" s="1"/>
  <c r="BG232" i="1"/>
  <c r="BI232" i="1" s="1"/>
  <c r="AT39" i="5"/>
  <c r="D50" i="8" s="1"/>
  <c r="AZ39" i="5"/>
  <c r="D56" i="8" s="1"/>
  <c r="QQ183" i="1"/>
  <c r="QQ184" i="1" s="1"/>
  <c r="QQ185" i="1" s="1"/>
  <c r="QQ186" i="1" s="1"/>
  <c r="QQ187" i="1" s="1"/>
  <c r="QQ188" i="1" s="1"/>
  <c r="QQ189" i="1" s="1"/>
  <c r="QQ190" i="1" s="1"/>
  <c r="QQ191" i="1" s="1"/>
  <c r="QQ192" i="1" s="1"/>
  <c r="QQ193" i="1" s="1"/>
  <c r="QQ194" i="1" s="1"/>
  <c r="QQ195" i="1" s="1"/>
  <c r="QQ196" i="1" s="1"/>
  <c r="QQ197" i="1" s="1"/>
  <c r="QQ198" i="1" s="1"/>
  <c r="QQ199" i="1" s="1"/>
  <c r="QQ200" i="1" s="1"/>
  <c r="QQ201" i="1" s="1"/>
  <c r="QQ202" i="1" s="1"/>
  <c r="QQ203" i="1" s="1"/>
  <c r="QQ204" i="1" s="1"/>
  <c r="QQ205" i="1" s="1"/>
  <c r="QQ206" i="1" s="1"/>
  <c r="QQ207" i="1" s="1"/>
  <c r="QQ208" i="1" s="1"/>
  <c r="QQ209" i="1" s="1"/>
  <c r="QQ210" i="1" s="1"/>
  <c r="QQ211" i="1" s="1"/>
  <c r="QQ212" i="1" s="1"/>
  <c r="QQ213" i="1" s="1"/>
  <c r="AY39" i="5"/>
  <c r="D55" i="8" s="1"/>
  <c r="QH183" i="1"/>
  <c r="QH184" i="1" s="1"/>
  <c r="QH185" i="1" s="1"/>
  <c r="QH186" i="1" s="1"/>
  <c r="QH187" i="1" s="1"/>
  <c r="QH188" i="1" s="1"/>
  <c r="QH189" i="1" s="1"/>
  <c r="QH190" i="1" s="1"/>
  <c r="QH191" i="1" s="1"/>
  <c r="QH192" i="1" s="1"/>
  <c r="QH193" i="1" s="1"/>
  <c r="QH194" i="1" s="1"/>
  <c r="QH195" i="1" s="1"/>
  <c r="QH196" i="1" s="1"/>
  <c r="QH197" i="1" s="1"/>
  <c r="QH198" i="1" s="1"/>
  <c r="QH199" i="1" s="1"/>
  <c r="QH200" i="1" s="1"/>
  <c r="QH201" i="1" s="1"/>
  <c r="QH202" i="1" s="1"/>
  <c r="QH203" i="1" s="1"/>
  <c r="QH204" i="1" s="1"/>
  <c r="QH205" i="1" s="1"/>
  <c r="QH206" i="1" s="1"/>
  <c r="QH207" i="1" s="1"/>
  <c r="QH208" i="1" s="1"/>
  <c r="QH209" i="1" s="1"/>
  <c r="QH210" i="1" s="1"/>
  <c r="QH211" i="1" s="1"/>
  <c r="QH212" i="1" s="1"/>
  <c r="QH213" i="1" s="1"/>
  <c r="AS39" i="5"/>
  <c r="D49" i="8" s="1"/>
  <c r="AX39" i="5"/>
  <c r="D54" i="8" s="1"/>
  <c r="PY183" i="1"/>
  <c r="PY184" i="1" s="1"/>
  <c r="PY185" i="1" s="1"/>
  <c r="PY186" i="1" s="1"/>
  <c r="PY187" i="1" s="1"/>
  <c r="PY188" i="1" s="1"/>
  <c r="PY189" i="1" s="1"/>
  <c r="PY190" i="1" s="1"/>
  <c r="PY191" i="1" s="1"/>
  <c r="PY192" i="1" s="1"/>
  <c r="PY193" i="1" s="1"/>
  <c r="PY194" i="1" s="1"/>
  <c r="PY195" i="1" s="1"/>
  <c r="PY196" i="1" s="1"/>
  <c r="PY197" i="1" s="1"/>
  <c r="PY198" i="1" s="1"/>
  <c r="PY199" i="1" s="1"/>
  <c r="PY200" i="1" s="1"/>
  <c r="PY201" i="1" s="1"/>
  <c r="PY202" i="1" s="1"/>
  <c r="PY203" i="1" s="1"/>
  <c r="PY204" i="1" s="1"/>
  <c r="PY205" i="1" s="1"/>
  <c r="PY206" i="1" s="1"/>
  <c r="PY207" i="1" s="1"/>
  <c r="PY208" i="1" s="1"/>
  <c r="PY209" i="1" s="1"/>
  <c r="PY210" i="1" s="1"/>
  <c r="PY211" i="1" s="1"/>
  <c r="PY212" i="1" s="1"/>
  <c r="PY213" i="1" s="1"/>
  <c r="AW39" i="5"/>
  <c r="D53" i="8" s="1"/>
  <c r="PP183" i="1"/>
  <c r="PP184" i="1" s="1"/>
  <c r="PP185" i="1" s="1"/>
  <c r="PP186" i="1" s="1"/>
  <c r="PP187" i="1" s="1"/>
  <c r="PP188" i="1" s="1"/>
  <c r="PP189" i="1" s="1"/>
  <c r="PP190" i="1" s="1"/>
  <c r="PP191" i="1" s="1"/>
  <c r="PP192" i="1" s="1"/>
  <c r="PP193" i="1" s="1"/>
  <c r="PP194" i="1" s="1"/>
  <c r="PP195" i="1" s="1"/>
  <c r="PP196" i="1" s="1"/>
  <c r="PP197" i="1" s="1"/>
  <c r="PP198" i="1" s="1"/>
  <c r="PP199" i="1" s="1"/>
  <c r="PP200" i="1" s="1"/>
  <c r="PP201" i="1" s="1"/>
  <c r="PP202" i="1" s="1"/>
  <c r="PP203" i="1" s="1"/>
  <c r="PP204" i="1" s="1"/>
  <c r="PP205" i="1" s="1"/>
  <c r="PP206" i="1" s="1"/>
  <c r="PP207" i="1" s="1"/>
  <c r="PP208" i="1" s="1"/>
  <c r="PP209" i="1" s="1"/>
  <c r="PP210" i="1" s="1"/>
  <c r="PP211" i="1" s="1"/>
  <c r="PP212" i="1" s="1"/>
  <c r="PP213" i="1" s="1"/>
  <c r="AV39" i="5"/>
  <c r="D52" i="8" s="1"/>
  <c r="PG183" i="1"/>
  <c r="PG184" i="1" s="1"/>
  <c r="PG185" i="1" s="1"/>
  <c r="PG186" i="1" s="1"/>
  <c r="PG187" i="1" s="1"/>
  <c r="PG188" i="1" s="1"/>
  <c r="PG189" i="1" s="1"/>
  <c r="PG190" i="1" s="1"/>
  <c r="PG191" i="1" s="1"/>
  <c r="PG192" i="1" s="1"/>
  <c r="PG193" i="1" s="1"/>
  <c r="PG194" i="1" s="1"/>
  <c r="PG195" i="1" s="1"/>
  <c r="PG196" i="1" s="1"/>
  <c r="PG197" i="1" s="1"/>
  <c r="PG198" i="1" s="1"/>
  <c r="PG199" i="1" s="1"/>
  <c r="PG200" i="1" s="1"/>
  <c r="PG201" i="1" s="1"/>
  <c r="PG202" i="1" s="1"/>
  <c r="PG203" i="1" s="1"/>
  <c r="PG204" i="1" s="1"/>
  <c r="PG205" i="1" s="1"/>
  <c r="PG206" i="1" s="1"/>
  <c r="PG207" i="1" s="1"/>
  <c r="PG208" i="1" s="1"/>
  <c r="PG209" i="1" s="1"/>
  <c r="PG210" i="1" s="1"/>
  <c r="PG211" i="1" s="1"/>
  <c r="PG212" i="1" s="1"/>
  <c r="PG213" i="1" s="1"/>
  <c r="AU39" i="5"/>
  <c r="D51" i="8" s="1"/>
  <c r="AH22" i="5"/>
  <c r="H38" i="19" s="1"/>
  <c r="O38" i="19" s="1"/>
  <c r="KK111" i="1"/>
  <c r="AF22" i="5"/>
  <c r="H36" i="19" s="1"/>
  <c r="O36" i="19" s="1"/>
  <c r="EM112" i="1"/>
  <c r="EM113" i="1" s="1"/>
  <c r="EM114" i="1" s="1"/>
  <c r="EM115" i="1" s="1"/>
  <c r="EM116" i="1" s="1"/>
  <c r="EM117" i="1" s="1"/>
  <c r="EM118" i="1" s="1"/>
  <c r="EM119" i="1" s="1"/>
  <c r="EM120" i="1" s="1"/>
  <c r="EM121" i="1" s="1"/>
  <c r="EM122" i="1" s="1"/>
  <c r="EM123" i="1" s="1"/>
  <c r="EM124" i="1" s="1"/>
  <c r="EM125" i="1" s="1"/>
  <c r="EM126" i="1" s="1"/>
  <c r="EM127" i="1" s="1"/>
  <c r="EM128" i="1" s="1"/>
  <c r="EM129" i="1" s="1"/>
  <c r="EM130" i="1" s="1"/>
  <c r="EM131" i="1" s="1"/>
  <c r="EM132" i="1" s="1"/>
  <c r="EM133" i="1" s="1"/>
  <c r="EM134" i="1" s="1"/>
  <c r="EM135" i="1" s="1"/>
  <c r="EM136" i="1" s="1"/>
  <c r="EM137" i="1" s="1"/>
  <c r="EM138" i="1" s="1"/>
  <c r="EM139" i="1" s="1"/>
  <c r="EM140" i="1" s="1"/>
  <c r="EM141" i="1" s="1"/>
  <c r="EM142" i="1" s="1"/>
  <c r="Q25" i="5"/>
  <c r="D19" i="20" s="1"/>
  <c r="AE22" i="5"/>
  <c r="H35" i="19" s="1"/>
  <c r="O35" i="19" s="1"/>
  <c r="JJ111" i="1"/>
  <c r="JK111" i="1" s="1"/>
  <c r="R22" i="5"/>
  <c r="H20" i="19" s="1"/>
  <c r="O20" i="19" s="1"/>
  <c r="EV111" i="1"/>
  <c r="S22" i="5"/>
  <c r="H21" i="19" s="1"/>
  <c r="O21" i="19" s="1"/>
  <c r="FE111" i="1"/>
  <c r="P22" i="5"/>
  <c r="H18" i="19" s="1"/>
  <c r="O18" i="19" s="1"/>
  <c r="ED111" i="1"/>
  <c r="AA22" i="5"/>
  <c r="H31" i="19" s="1"/>
  <c r="O31" i="19" s="1"/>
  <c r="HZ111" i="1"/>
  <c r="IA111" i="1" s="1"/>
  <c r="GO112" i="1"/>
  <c r="GO113" i="1" s="1"/>
  <c r="GO114" i="1" s="1"/>
  <c r="GO115" i="1" s="1"/>
  <c r="GO116" i="1" s="1"/>
  <c r="GO117" i="1" s="1"/>
  <c r="GO118" i="1" s="1"/>
  <c r="GO119" i="1" s="1"/>
  <c r="GO120" i="1" s="1"/>
  <c r="GO121" i="1" s="1"/>
  <c r="GO122" i="1" s="1"/>
  <c r="GO123" i="1" s="1"/>
  <c r="GO124" i="1" s="1"/>
  <c r="GO125" i="1" s="1"/>
  <c r="GO126" i="1" s="1"/>
  <c r="GO127" i="1" s="1"/>
  <c r="GO128" i="1" s="1"/>
  <c r="GO129" i="1" s="1"/>
  <c r="GO130" i="1" s="1"/>
  <c r="GO131" i="1" s="1"/>
  <c r="GO132" i="1" s="1"/>
  <c r="GO133" i="1" s="1"/>
  <c r="GO134" i="1" s="1"/>
  <c r="GO135" i="1" s="1"/>
  <c r="GO136" i="1" s="1"/>
  <c r="GO137" i="1" s="1"/>
  <c r="GO138" i="1" s="1"/>
  <c r="GO139" i="1" s="1"/>
  <c r="GO140" i="1" s="1"/>
  <c r="GO141" i="1" s="1"/>
  <c r="GO142" i="1" s="1"/>
  <c r="GP142" i="1" s="1"/>
  <c r="W25" i="5"/>
  <c r="D27" i="20" s="1"/>
  <c r="Z22" i="5"/>
  <c r="H30" i="19" s="1"/>
  <c r="O30" i="19" s="1"/>
  <c r="HP111" i="1"/>
  <c r="AI22" i="5"/>
  <c r="H39" i="19" s="1"/>
  <c r="O39" i="19" s="1"/>
  <c r="KT111" i="1"/>
  <c r="KU111" i="1" s="1"/>
  <c r="Y22" i="5"/>
  <c r="H29" i="19" s="1"/>
  <c r="O29" i="19" s="1"/>
  <c r="HG111" i="1"/>
  <c r="X22" i="5"/>
  <c r="H28" i="19" s="1"/>
  <c r="O28" i="19" s="1"/>
  <c r="GX111" i="1"/>
  <c r="V25" i="5"/>
  <c r="D26" i="20" s="1"/>
  <c r="GF112" i="1"/>
  <c r="GF113" i="1" s="1"/>
  <c r="GF114" i="1" s="1"/>
  <c r="GF115" i="1" s="1"/>
  <c r="GF116" i="1" s="1"/>
  <c r="GF117" i="1" s="1"/>
  <c r="GF118" i="1" s="1"/>
  <c r="GF119" i="1" s="1"/>
  <c r="GF120" i="1" s="1"/>
  <c r="GF121" i="1" s="1"/>
  <c r="GF122" i="1" s="1"/>
  <c r="GF123" i="1" s="1"/>
  <c r="GF124" i="1" s="1"/>
  <c r="GF125" i="1" s="1"/>
  <c r="GF126" i="1" s="1"/>
  <c r="GF127" i="1" s="1"/>
  <c r="GF128" i="1" s="1"/>
  <c r="GF129" i="1" s="1"/>
  <c r="GF130" i="1" s="1"/>
  <c r="GF131" i="1" s="1"/>
  <c r="GF132" i="1" s="1"/>
  <c r="GF133" i="1" s="1"/>
  <c r="GF134" i="1" s="1"/>
  <c r="GF135" i="1" s="1"/>
  <c r="GF136" i="1" s="1"/>
  <c r="GF137" i="1" s="1"/>
  <c r="GF138" i="1" s="1"/>
  <c r="GF139" i="1" s="1"/>
  <c r="GF140" i="1" s="1"/>
  <c r="GF141" i="1" s="1"/>
  <c r="GF142" i="1" s="1"/>
  <c r="GG142" i="1" s="1"/>
  <c r="O22" i="5"/>
  <c r="H17" i="19" s="1"/>
  <c r="O17" i="19" s="1"/>
  <c r="DU111" i="1"/>
  <c r="L22" i="5"/>
  <c r="H14" i="19" s="1"/>
  <c r="O14" i="19" s="1"/>
  <c r="CT111" i="1"/>
  <c r="U22" i="5"/>
  <c r="H25" i="19" s="1"/>
  <c r="O25" i="19" s="1"/>
  <c r="FW111" i="1"/>
  <c r="FX111" i="1" s="1"/>
  <c r="N22" i="5"/>
  <c r="H16" i="19" s="1"/>
  <c r="O16" i="19" s="1"/>
  <c r="W397" i="1"/>
  <c r="Y397" i="1" s="1"/>
  <c r="W399" i="1"/>
  <c r="Y399" i="1" s="1"/>
  <c r="W401" i="1"/>
  <c r="Y401" i="1" s="1"/>
  <c r="W403" i="1"/>
  <c r="Y403" i="1" s="1"/>
  <c r="W405" i="1"/>
  <c r="Y405" i="1" s="1"/>
  <c r="W407" i="1"/>
  <c r="Y407" i="1" s="1"/>
  <c r="W409" i="1"/>
  <c r="Y409" i="1" s="1"/>
  <c r="W411" i="1"/>
  <c r="Y411" i="1" s="1"/>
  <c r="W413" i="1"/>
  <c r="Y413" i="1" s="1"/>
  <c r="W415" i="1"/>
  <c r="Y415" i="1" s="1"/>
  <c r="W417" i="1"/>
  <c r="Y417" i="1" s="1"/>
  <c r="W419" i="1"/>
  <c r="Y419" i="1" s="1"/>
  <c r="W421" i="1"/>
  <c r="Y421" i="1" s="1"/>
  <c r="W423" i="1"/>
  <c r="Y423" i="1" s="1"/>
  <c r="W425" i="1"/>
  <c r="Y425" i="1" s="1"/>
  <c r="W396" i="1"/>
  <c r="W363" i="1"/>
  <c r="Y363" i="1" s="1"/>
  <c r="W365" i="1"/>
  <c r="Y365" i="1" s="1"/>
  <c r="W367" i="1"/>
  <c r="Y367" i="1" s="1"/>
  <c r="W369" i="1"/>
  <c r="Y369" i="1" s="1"/>
  <c r="W371" i="1"/>
  <c r="Y371" i="1" s="1"/>
  <c r="W373" i="1"/>
  <c r="Y373" i="1" s="1"/>
  <c r="W375" i="1"/>
  <c r="Y375" i="1" s="1"/>
  <c r="W377" i="1"/>
  <c r="Y377" i="1" s="1"/>
  <c r="W379" i="1"/>
  <c r="Y379" i="1" s="1"/>
  <c r="W381" i="1"/>
  <c r="Y381" i="1" s="1"/>
  <c r="W383" i="1"/>
  <c r="Y383" i="1" s="1"/>
  <c r="W385" i="1"/>
  <c r="Y385" i="1" s="1"/>
  <c r="W387" i="1"/>
  <c r="Y387" i="1" s="1"/>
  <c r="W389" i="1"/>
  <c r="Y389" i="1" s="1"/>
  <c r="W361" i="1"/>
  <c r="W326" i="1"/>
  <c r="Y326" i="1" s="1"/>
  <c r="W328" i="1"/>
  <c r="Y328" i="1" s="1"/>
  <c r="W330" i="1"/>
  <c r="Y330" i="1" s="1"/>
  <c r="W332" i="1"/>
  <c r="Y332" i="1" s="1"/>
  <c r="W334" i="1"/>
  <c r="Y334" i="1" s="1"/>
  <c r="W336" i="1"/>
  <c r="Y336" i="1" s="1"/>
  <c r="W338" i="1"/>
  <c r="Y338" i="1" s="1"/>
  <c r="W340" i="1"/>
  <c r="Y340" i="1" s="1"/>
  <c r="W342" i="1"/>
  <c r="Y342" i="1" s="1"/>
  <c r="W344" i="1"/>
  <c r="Y344" i="1" s="1"/>
  <c r="W346" i="1"/>
  <c r="Y346" i="1" s="1"/>
  <c r="W348" i="1"/>
  <c r="Y348" i="1" s="1"/>
  <c r="W350" i="1"/>
  <c r="Y350" i="1" s="1"/>
  <c r="W352" i="1"/>
  <c r="Y352" i="1" s="1"/>
  <c r="W354" i="1"/>
  <c r="Y354" i="1" s="1"/>
  <c r="W325" i="1"/>
  <c r="W292" i="1"/>
  <c r="Y292" i="1" s="1"/>
  <c r="W294" i="1"/>
  <c r="Y294" i="1" s="1"/>
  <c r="W296" i="1"/>
  <c r="Y296" i="1" s="1"/>
  <c r="W298" i="1"/>
  <c r="Y298" i="1" s="1"/>
  <c r="W300" i="1"/>
  <c r="Y300" i="1" s="1"/>
  <c r="W302" i="1"/>
  <c r="Y302" i="1" s="1"/>
  <c r="W304" i="1"/>
  <c r="Y304" i="1" s="1"/>
  <c r="W306" i="1"/>
  <c r="Y306" i="1" s="1"/>
  <c r="W308" i="1"/>
  <c r="Y308" i="1" s="1"/>
  <c r="W310" i="1"/>
  <c r="Y310" i="1" s="1"/>
  <c r="W312" i="1"/>
  <c r="Y312" i="1" s="1"/>
  <c r="W314" i="1"/>
  <c r="Y314" i="1" s="1"/>
  <c r="W316" i="1"/>
  <c r="Y316" i="1" s="1"/>
  <c r="W318" i="1"/>
  <c r="Y318" i="1" s="1"/>
  <c r="W290" i="1"/>
  <c r="W255" i="1"/>
  <c r="Y255" i="1" s="1"/>
  <c r="W257" i="1"/>
  <c r="Y257" i="1" s="1"/>
  <c r="W259" i="1"/>
  <c r="Y259" i="1" s="1"/>
  <c r="W261" i="1"/>
  <c r="Y261" i="1" s="1"/>
  <c r="W263" i="1"/>
  <c r="Y263" i="1" s="1"/>
  <c r="W265" i="1"/>
  <c r="Y265" i="1" s="1"/>
  <c r="W267" i="1"/>
  <c r="Y267" i="1" s="1"/>
  <c r="W269" i="1"/>
  <c r="Y269" i="1" s="1"/>
  <c r="W271" i="1"/>
  <c r="Y271" i="1" s="1"/>
  <c r="W273" i="1"/>
  <c r="Y273" i="1" s="1"/>
  <c r="W275" i="1"/>
  <c r="Y275" i="1" s="1"/>
  <c r="W277" i="1"/>
  <c r="Y277" i="1" s="1"/>
  <c r="W279" i="1"/>
  <c r="Y279" i="1" s="1"/>
  <c r="W281" i="1"/>
  <c r="Y281" i="1" s="1"/>
  <c r="W283" i="1"/>
  <c r="Y283" i="1" s="1"/>
  <c r="W254" i="1"/>
  <c r="W219" i="1"/>
  <c r="Y219" i="1" s="1"/>
  <c r="W221" i="1"/>
  <c r="Y221" i="1" s="1"/>
  <c r="W223" i="1"/>
  <c r="Y223" i="1" s="1"/>
  <c r="W225" i="1"/>
  <c r="Y225" i="1" s="1"/>
  <c r="W227" i="1"/>
  <c r="Y227" i="1" s="1"/>
  <c r="W229" i="1"/>
  <c r="Y229" i="1" s="1"/>
  <c r="W231" i="1"/>
  <c r="Y231" i="1" s="1"/>
  <c r="W233" i="1"/>
  <c r="Y233" i="1" s="1"/>
  <c r="W235" i="1"/>
  <c r="Y235" i="1" s="1"/>
  <c r="W237" i="1"/>
  <c r="Y237" i="1" s="1"/>
  <c r="W239" i="1"/>
  <c r="Y239" i="1" s="1"/>
  <c r="W241" i="1"/>
  <c r="Y241" i="1" s="1"/>
  <c r="W243" i="1"/>
  <c r="Y243" i="1" s="1"/>
  <c r="W245" i="1"/>
  <c r="Y245" i="1" s="1"/>
  <c r="W247" i="1"/>
  <c r="Y247" i="1" s="1"/>
  <c r="W218" i="1"/>
  <c r="W185" i="1"/>
  <c r="Y185" i="1" s="1"/>
  <c r="W187" i="1"/>
  <c r="Y187" i="1" s="1"/>
  <c r="W189" i="1"/>
  <c r="Y189" i="1" s="1"/>
  <c r="W191" i="1"/>
  <c r="Y191" i="1" s="1"/>
  <c r="W193" i="1"/>
  <c r="Y193" i="1" s="1"/>
  <c r="W195" i="1"/>
  <c r="Y195" i="1" s="1"/>
  <c r="W197" i="1"/>
  <c r="Y197" i="1" s="1"/>
  <c r="W199" i="1"/>
  <c r="Y199" i="1" s="1"/>
  <c r="W201" i="1"/>
  <c r="Y201" i="1" s="1"/>
  <c r="W203" i="1"/>
  <c r="Y203" i="1" s="1"/>
  <c r="W205" i="1"/>
  <c r="Y205" i="1" s="1"/>
  <c r="W207" i="1"/>
  <c r="Y207" i="1" s="1"/>
  <c r="W209" i="1"/>
  <c r="Y209" i="1" s="1"/>
  <c r="W211" i="1"/>
  <c r="Y211" i="1" s="1"/>
  <c r="W183" i="1"/>
  <c r="W148" i="1"/>
  <c r="Y148" i="1" s="1"/>
  <c r="W150" i="1"/>
  <c r="Y150" i="1" s="1"/>
  <c r="W152" i="1"/>
  <c r="Y152" i="1" s="1"/>
  <c r="W154" i="1"/>
  <c r="Y154" i="1" s="1"/>
  <c r="W156" i="1"/>
  <c r="Y156" i="1" s="1"/>
  <c r="W158" i="1"/>
  <c r="Y158" i="1" s="1"/>
  <c r="W160" i="1"/>
  <c r="Y160" i="1" s="1"/>
  <c r="W162" i="1"/>
  <c r="Y162" i="1" s="1"/>
  <c r="W164" i="1"/>
  <c r="Y164" i="1" s="1"/>
  <c r="W166" i="1"/>
  <c r="Y166" i="1" s="1"/>
  <c r="W168" i="1"/>
  <c r="Y168" i="1" s="1"/>
  <c r="W170" i="1"/>
  <c r="Y170" i="1" s="1"/>
  <c r="W172" i="1"/>
  <c r="Y172" i="1" s="1"/>
  <c r="W174" i="1"/>
  <c r="Y174" i="1" s="1"/>
  <c r="W176" i="1"/>
  <c r="Y176" i="1" s="1"/>
  <c r="W114" i="1"/>
  <c r="Y114" i="1" s="1"/>
  <c r="W116" i="1"/>
  <c r="Y116" i="1" s="1"/>
  <c r="W118" i="1"/>
  <c r="Y118" i="1" s="1"/>
  <c r="W120" i="1"/>
  <c r="Y120" i="1" s="1"/>
  <c r="W122" i="1"/>
  <c r="Y122" i="1" s="1"/>
  <c r="W124" i="1"/>
  <c r="Y124" i="1" s="1"/>
  <c r="W126" i="1"/>
  <c r="Y126" i="1" s="1"/>
  <c r="W128" i="1"/>
  <c r="Y128" i="1" s="1"/>
  <c r="W130" i="1"/>
  <c r="Y130" i="1" s="1"/>
  <c r="W132" i="1"/>
  <c r="Y132" i="1" s="1"/>
  <c r="W134" i="1"/>
  <c r="Y134" i="1" s="1"/>
  <c r="W136" i="1"/>
  <c r="Y136" i="1" s="1"/>
  <c r="W138" i="1"/>
  <c r="Y138" i="1" s="1"/>
  <c r="W140" i="1"/>
  <c r="Y140" i="1" s="1"/>
  <c r="W112" i="1"/>
  <c r="W77" i="1"/>
  <c r="Y77" i="1" s="1"/>
  <c r="W79" i="1"/>
  <c r="Y79" i="1" s="1"/>
  <c r="W81" i="1"/>
  <c r="Y81" i="1" s="1"/>
  <c r="W83" i="1"/>
  <c r="Y83" i="1" s="1"/>
  <c r="W85" i="1"/>
  <c r="Y85" i="1" s="1"/>
  <c r="W87" i="1"/>
  <c r="Y87" i="1" s="1"/>
  <c r="W89" i="1"/>
  <c r="Y89" i="1" s="1"/>
  <c r="W91" i="1"/>
  <c r="Y91" i="1" s="1"/>
  <c r="W93" i="1"/>
  <c r="Y93" i="1" s="1"/>
  <c r="W95" i="1"/>
  <c r="Y95" i="1" s="1"/>
  <c r="W97" i="1"/>
  <c r="Y97" i="1" s="1"/>
  <c r="W99" i="1"/>
  <c r="Y99" i="1" s="1"/>
  <c r="W101" i="1"/>
  <c r="Y101" i="1" s="1"/>
  <c r="W103" i="1"/>
  <c r="Y103" i="1" s="1"/>
  <c r="W105" i="1"/>
  <c r="Y105" i="1" s="1"/>
  <c r="W76" i="1"/>
  <c r="W398" i="1"/>
  <c r="Y398" i="1" s="1"/>
  <c r="W400" i="1"/>
  <c r="Y400" i="1" s="1"/>
  <c r="W402" i="1"/>
  <c r="Y402" i="1" s="1"/>
  <c r="W404" i="1"/>
  <c r="Y404" i="1" s="1"/>
  <c r="W406" i="1"/>
  <c r="Y406" i="1" s="1"/>
  <c r="W408" i="1"/>
  <c r="Y408" i="1" s="1"/>
  <c r="W410" i="1"/>
  <c r="Y410" i="1" s="1"/>
  <c r="W412" i="1"/>
  <c r="Y412" i="1" s="1"/>
  <c r="W414" i="1"/>
  <c r="Y414" i="1" s="1"/>
  <c r="W416" i="1"/>
  <c r="Y416" i="1" s="1"/>
  <c r="W418" i="1"/>
  <c r="Y418" i="1" s="1"/>
  <c r="W420" i="1"/>
  <c r="Y420" i="1" s="1"/>
  <c r="W422" i="1"/>
  <c r="Y422" i="1" s="1"/>
  <c r="W424" i="1"/>
  <c r="Y424" i="1" s="1"/>
  <c r="W426" i="1"/>
  <c r="Y426" i="1" s="1"/>
  <c r="W362" i="1"/>
  <c r="Y362" i="1" s="1"/>
  <c r="W364" i="1"/>
  <c r="Y364" i="1" s="1"/>
  <c r="W366" i="1"/>
  <c r="Y366" i="1" s="1"/>
  <c r="W368" i="1"/>
  <c r="Y368" i="1" s="1"/>
  <c r="W370" i="1"/>
  <c r="Y370" i="1" s="1"/>
  <c r="W372" i="1"/>
  <c r="Y372" i="1" s="1"/>
  <c r="W374" i="1"/>
  <c r="Y374" i="1" s="1"/>
  <c r="W376" i="1"/>
  <c r="Y376" i="1" s="1"/>
  <c r="W378" i="1"/>
  <c r="Y378" i="1" s="1"/>
  <c r="W380" i="1"/>
  <c r="Y380" i="1" s="1"/>
  <c r="W382" i="1"/>
  <c r="Y382" i="1" s="1"/>
  <c r="W384" i="1"/>
  <c r="Y384" i="1" s="1"/>
  <c r="W386" i="1"/>
  <c r="Y386" i="1" s="1"/>
  <c r="W388" i="1"/>
  <c r="Y388" i="1" s="1"/>
  <c r="W390" i="1"/>
  <c r="Y390" i="1" s="1"/>
  <c r="W327" i="1"/>
  <c r="Y327" i="1" s="1"/>
  <c r="W329" i="1"/>
  <c r="Y329" i="1" s="1"/>
  <c r="W331" i="1"/>
  <c r="Y331" i="1" s="1"/>
  <c r="W333" i="1"/>
  <c r="Y333" i="1" s="1"/>
  <c r="W335" i="1"/>
  <c r="Y335" i="1" s="1"/>
  <c r="W337" i="1"/>
  <c r="Y337" i="1" s="1"/>
  <c r="W339" i="1"/>
  <c r="Y339" i="1" s="1"/>
  <c r="W341" i="1"/>
  <c r="Y341" i="1" s="1"/>
  <c r="W343" i="1"/>
  <c r="Y343" i="1" s="1"/>
  <c r="W345" i="1"/>
  <c r="Y345" i="1" s="1"/>
  <c r="W347" i="1"/>
  <c r="Y347" i="1" s="1"/>
  <c r="W349" i="1"/>
  <c r="Y349" i="1" s="1"/>
  <c r="W351" i="1"/>
  <c r="Y351" i="1" s="1"/>
  <c r="W353" i="1"/>
  <c r="Y353" i="1" s="1"/>
  <c r="W355" i="1"/>
  <c r="Y355" i="1" s="1"/>
  <c r="W291" i="1"/>
  <c r="Y291" i="1" s="1"/>
  <c r="W293" i="1"/>
  <c r="Y293" i="1" s="1"/>
  <c r="W295" i="1"/>
  <c r="Y295" i="1" s="1"/>
  <c r="W297" i="1"/>
  <c r="Y297" i="1" s="1"/>
  <c r="W299" i="1"/>
  <c r="Y299" i="1" s="1"/>
  <c r="W301" i="1"/>
  <c r="Y301" i="1" s="1"/>
  <c r="W303" i="1"/>
  <c r="Y303" i="1" s="1"/>
  <c r="W305" i="1"/>
  <c r="Y305" i="1" s="1"/>
  <c r="W307" i="1"/>
  <c r="Y307" i="1" s="1"/>
  <c r="W309" i="1"/>
  <c r="Y309" i="1" s="1"/>
  <c r="W311" i="1"/>
  <c r="Y311" i="1" s="1"/>
  <c r="W313" i="1"/>
  <c r="Y313" i="1" s="1"/>
  <c r="W315" i="1"/>
  <c r="Y315" i="1" s="1"/>
  <c r="W317" i="1"/>
  <c r="Y317" i="1" s="1"/>
  <c r="W319" i="1"/>
  <c r="Y319" i="1" s="1"/>
  <c r="W256" i="1"/>
  <c r="Y256" i="1" s="1"/>
  <c r="W258" i="1"/>
  <c r="Y258" i="1" s="1"/>
  <c r="W260" i="1"/>
  <c r="Y260" i="1" s="1"/>
  <c r="W262" i="1"/>
  <c r="Y262" i="1" s="1"/>
  <c r="W264" i="1"/>
  <c r="Y264" i="1" s="1"/>
  <c r="W266" i="1"/>
  <c r="Y266" i="1" s="1"/>
  <c r="W268" i="1"/>
  <c r="Y268" i="1" s="1"/>
  <c r="W270" i="1"/>
  <c r="Y270" i="1" s="1"/>
  <c r="W272" i="1"/>
  <c r="Y272" i="1" s="1"/>
  <c r="W274" i="1"/>
  <c r="Y274" i="1" s="1"/>
  <c r="W276" i="1"/>
  <c r="Y276" i="1" s="1"/>
  <c r="W278" i="1"/>
  <c r="Y278" i="1" s="1"/>
  <c r="W280" i="1"/>
  <c r="Y280" i="1" s="1"/>
  <c r="W282" i="1"/>
  <c r="Y282" i="1" s="1"/>
  <c r="W284" i="1"/>
  <c r="Y284" i="1" s="1"/>
  <c r="W220" i="1"/>
  <c r="Y220" i="1" s="1"/>
  <c r="W222" i="1"/>
  <c r="Y222" i="1" s="1"/>
  <c r="W224" i="1"/>
  <c r="Y224" i="1" s="1"/>
  <c r="W226" i="1"/>
  <c r="Y226" i="1" s="1"/>
  <c r="W228" i="1"/>
  <c r="Y228" i="1" s="1"/>
  <c r="W230" i="1"/>
  <c r="Y230" i="1" s="1"/>
  <c r="W232" i="1"/>
  <c r="Y232" i="1" s="1"/>
  <c r="W234" i="1"/>
  <c r="Y234" i="1" s="1"/>
  <c r="W236" i="1"/>
  <c r="Y236" i="1" s="1"/>
  <c r="W238" i="1"/>
  <c r="Y238" i="1" s="1"/>
  <c r="W240" i="1"/>
  <c r="Y240" i="1" s="1"/>
  <c r="W242" i="1"/>
  <c r="Y242" i="1" s="1"/>
  <c r="W244" i="1"/>
  <c r="Y244" i="1" s="1"/>
  <c r="W246" i="1"/>
  <c r="Y246" i="1" s="1"/>
  <c r="W248" i="1"/>
  <c r="Y248" i="1" s="1"/>
  <c r="W184" i="1"/>
  <c r="Y184" i="1" s="1"/>
  <c r="W186" i="1"/>
  <c r="Y186" i="1" s="1"/>
  <c r="W188" i="1"/>
  <c r="Y188" i="1" s="1"/>
  <c r="W190" i="1"/>
  <c r="Y190" i="1" s="1"/>
  <c r="W192" i="1"/>
  <c r="Y192" i="1" s="1"/>
  <c r="W194" i="1"/>
  <c r="Y194" i="1" s="1"/>
  <c r="W196" i="1"/>
  <c r="Y196" i="1" s="1"/>
  <c r="W198" i="1"/>
  <c r="Y198" i="1" s="1"/>
  <c r="W200" i="1"/>
  <c r="Y200" i="1" s="1"/>
  <c r="W202" i="1"/>
  <c r="Y202" i="1" s="1"/>
  <c r="W204" i="1"/>
  <c r="Y204" i="1" s="1"/>
  <c r="W206" i="1"/>
  <c r="Y206" i="1" s="1"/>
  <c r="W208" i="1"/>
  <c r="Y208" i="1" s="1"/>
  <c r="W210" i="1"/>
  <c r="Y210" i="1" s="1"/>
  <c r="W212" i="1"/>
  <c r="Y212" i="1" s="1"/>
  <c r="W149" i="1"/>
  <c r="Y149" i="1" s="1"/>
  <c r="W151" i="1"/>
  <c r="Y151" i="1" s="1"/>
  <c r="W153" i="1"/>
  <c r="Y153" i="1" s="1"/>
  <c r="W155" i="1"/>
  <c r="Y155" i="1" s="1"/>
  <c r="W157" i="1"/>
  <c r="Y157" i="1" s="1"/>
  <c r="W159" i="1"/>
  <c r="Y159" i="1" s="1"/>
  <c r="W161" i="1"/>
  <c r="Y161" i="1" s="1"/>
  <c r="W163" i="1"/>
  <c r="Y163" i="1" s="1"/>
  <c r="W165" i="1"/>
  <c r="Y165" i="1" s="1"/>
  <c r="W167" i="1"/>
  <c r="Y167" i="1" s="1"/>
  <c r="W169" i="1"/>
  <c r="Y169" i="1" s="1"/>
  <c r="W171" i="1"/>
  <c r="Y171" i="1" s="1"/>
  <c r="W173" i="1"/>
  <c r="Y173" i="1" s="1"/>
  <c r="W175" i="1"/>
  <c r="Y175" i="1" s="1"/>
  <c r="W177" i="1"/>
  <c r="Y177" i="1" s="1"/>
  <c r="W113" i="1"/>
  <c r="Y113" i="1" s="1"/>
  <c r="W115" i="1"/>
  <c r="Y115" i="1" s="1"/>
  <c r="W117" i="1"/>
  <c r="Y117" i="1" s="1"/>
  <c r="W119" i="1"/>
  <c r="Y119" i="1" s="1"/>
  <c r="W121" i="1"/>
  <c r="Y121" i="1" s="1"/>
  <c r="W123" i="1"/>
  <c r="Y123" i="1" s="1"/>
  <c r="W125" i="1"/>
  <c r="Y125" i="1" s="1"/>
  <c r="W127" i="1"/>
  <c r="Y127" i="1" s="1"/>
  <c r="W129" i="1"/>
  <c r="Y129" i="1" s="1"/>
  <c r="W131" i="1"/>
  <c r="Y131" i="1" s="1"/>
  <c r="W133" i="1"/>
  <c r="Y133" i="1" s="1"/>
  <c r="W135" i="1"/>
  <c r="Y135" i="1" s="1"/>
  <c r="W137" i="1"/>
  <c r="Y137" i="1" s="1"/>
  <c r="W139" i="1"/>
  <c r="Y139" i="1" s="1"/>
  <c r="W141" i="1"/>
  <c r="Y141" i="1" s="1"/>
  <c r="W78" i="1"/>
  <c r="Y78" i="1" s="1"/>
  <c r="W80" i="1"/>
  <c r="Y80" i="1" s="1"/>
  <c r="W82" i="1"/>
  <c r="Y82" i="1" s="1"/>
  <c r="W84" i="1"/>
  <c r="Y84" i="1" s="1"/>
  <c r="W86" i="1"/>
  <c r="Y86" i="1" s="1"/>
  <c r="W88" i="1"/>
  <c r="Y88" i="1" s="1"/>
  <c r="W90" i="1"/>
  <c r="Y90" i="1" s="1"/>
  <c r="W92" i="1"/>
  <c r="Y92" i="1" s="1"/>
  <c r="W94" i="1"/>
  <c r="Y94" i="1" s="1"/>
  <c r="W96" i="1"/>
  <c r="Y96" i="1" s="1"/>
  <c r="W98" i="1"/>
  <c r="Y98" i="1" s="1"/>
  <c r="W100" i="1"/>
  <c r="Y100" i="1" s="1"/>
  <c r="W102" i="1"/>
  <c r="Y102" i="1" s="1"/>
  <c r="W104" i="1"/>
  <c r="Y104" i="1" s="1"/>
  <c r="W106" i="1"/>
  <c r="Y106" i="1" s="1"/>
  <c r="W44" i="1"/>
  <c r="Y44" i="1" s="1"/>
  <c r="W46" i="1"/>
  <c r="Y46" i="1" s="1"/>
  <c r="W48" i="1"/>
  <c r="Y48" i="1" s="1"/>
  <c r="W50" i="1"/>
  <c r="Y50" i="1" s="1"/>
  <c r="W52" i="1"/>
  <c r="Y52" i="1" s="1"/>
  <c r="W54" i="1"/>
  <c r="Y54" i="1" s="1"/>
  <c r="W56" i="1"/>
  <c r="Y56" i="1" s="1"/>
  <c r="W58" i="1"/>
  <c r="Y58" i="1" s="1"/>
  <c r="W60" i="1"/>
  <c r="Y60" i="1" s="1"/>
  <c r="W62" i="1"/>
  <c r="Y62" i="1" s="1"/>
  <c r="W64" i="1"/>
  <c r="Y64" i="1" s="1"/>
  <c r="W66" i="1"/>
  <c r="Y66" i="1" s="1"/>
  <c r="W68" i="1"/>
  <c r="Y68" i="1" s="1"/>
  <c r="W70" i="1"/>
  <c r="Y70" i="1" s="1"/>
  <c r="W45" i="1"/>
  <c r="Y45" i="1" s="1"/>
  <c r="W49" i="1"/>
  <c r="Y49" i="1" s="1"/>
  <c r="W53" i="1"/>
  <c r="Y53" i="1" s="1"/>
  <c r="W57" i="1"/>
  <c r="Y57" i="1" s="1"/>
  <c r="W61" i="1"/>
  <c r="Y61" i="1" s="1"/>
  <c r="W65" i="1"/>
  <c r="Y65" i="1" s="1"/>
  <c r="W69" i="1"/>
  <c r="Y69" i="1" s="1"/>
  <c r="W7" i="1"/>
  <c r="Y7" i="1" s="1"/>
  <c r="W9" i="1"/>
  <c r="Y9" i="1" s="1"/>
  <c r="W11" i="1"/>
  <c r="Y11" i="1" s="1"/>
  <c r="W13" i="1"/>
  <c r="Y13" i="1" s="1"/>
  <c r="W15" i="1"/>
  <c r="Y15" i="1" s="1"/>
  <c r="W17" i="1"/>
  <c r="Y17" i="1" s="1"/>
  <c r="W19" i="1"/>
  <c r="Y19" i="1" s="1"/>
  <c r="W21" i="1"/>
  <c r="Y21" i="1" s="1"/>
  <c r="W23" i="1"/>
  <c r="Y23" i="1" s="1"/>
  <c r="W25" i="1"/>
  <c r="Y25" i="1" s="1"/>
  <c r="W27" i="1"/>
  <c r="Y27" i="1" s="1"/>
  <c r="W29" i="1"/>
  <c r="Y29" i="1" s="1"/>
  <c r="W31" i="1"/>
  <c r="Y31" i="1" s="1"/>
  <c r="W33" i="1"/>
  <c r="Y33" i="1" s="1"/>
  <c r="W35" i="1"/>
  <c r="Y35" i="1" s="1"/>
  <c r="W43" i="1"/>
  <c r="Y43" i="1" s="1"/>
  <c r="W47" i="1"/>
  <c r="Y47" i="1" s="1"/>
  <c r="W51" i="1"/>
  <c r="Y51" i="1" s="1"/>
  <c r="W55" i="1"/>
  <c r="Y55" i="1" s="1"/>
  <c r="W59" i="1"/>
  <c r="Y59" i="1" s="1"/>
  <c r="W63" i="1"/>
  <c r="Y63" i="1" s="1"/>
  <c r="W67" i="1"/>
  <c r="Y67" i="1" s="1"/>
  <c r="W42" i="1"/>
  <c r="W8" i="1"/>
  <c r="Y8" i="1" s="1"/>
  <c r="W10" i="1"/>
  <c r="Y10" i="1" s="1"/>
  <c r="W12" i="1"/>
  <c r="Y12" i="1" s="1"/>
  <c r="W14" i="1"/>
  <c r="Y14" i="1" s="1"/>
  <c r="W16" i="1"/>
  <c r="Y16" i="1" s="1"/>
  <c r="W18" i="1"/>
  <c r="Y18" i="1" s="1"/>
  <c r="W20" i="1"/>
  <c r="Y20" i="1" s="1"/>
  <c r="W22" i="1"/>
  <c r="Y22" i="1" s="1"/>
  <c r="W24" i="1"/>
  <c r="Y24" i="1" s="1"/>
  <c r="W26" i="1"/>
  <c r="Y26" i="1" s="1"/>
  <c r="W28" i="1"/>
  <c r="Y28" i="1" s="1"/>
  <c r="W30" i="1"/>
  <c r="Y30" i="1" s="1"/>
  <c r="W32" i="1"/>
  <c r="Y32" i="1" s="1"/>
  <c r="W34" i="1"/>
  <c r="Y34" i="1" s="1"/>
  <c r="W36" i="1"/>
  <c r="Y36" i="1" s="1"/>
  <c r="BG397" i="1"/>
  <c r="BI397" i="1" s="1"/>
  <c r="BG399" i="1"/>
  <c r="BI399" i="1" s="1"/>
  <c r="BG401" i="1"/>
  <c r="BI401" i="1" s="1"/>
  <c r="BG403" i="1"/>
  <c r="BI403" i="1" s="1"/>
  <c r="BG405" i="1"/>
  <c r="BI405" i="1" s="1"/>
  <c r="BG407" i="1"/>
  <c r="BI407" i="1" s="1"/>
  <c r="BG409" i="1"/>
  <c r="BI409" i="1" s="1"/>
  <c r="BG411" i="1"/>
  <c r="BI411" i="1" s="1"/>
  <c r="BG413" i="1"/>
  <c r="BI413" i="1" s="1"/>
  <c r="BG415" i="1"/>
  <c r="BI415" i="1" s="1"/>
  <c r="BG417" i="1"/>
  <c r="BI417" i="1" s="1"/>
  <c r="BG419" i="1"/>
  <c r="BI419" i="1" s="1"/>
  <c r="BG421" i="1"/>
  <c r="BI421" i="1" s="1"/>
  <c r="BG423" i="1"/>
  <c r="BI423" i="1" s="1"/>
  <c r="BG425" i="1"/>
  <c r="BI425" i="1" s="1"/>
  <c r="BG396" i="1"/>
  <c r="BG363" i="1"/>
  <c r="BI363" i="1" s="1"/>
  <c r="BG365" i="1"/>
  <c r="BI365" i="1" s="1"/>
  <c r="BG367" i="1"/>
  <c r="BI367" i="1" s="1"/>
  <c r="BG369" i="1"/>
  <c r="BI369" i="1" s="1"/>
  <c r="BG371" i="1"/>
  <c r="BI371" i="1" s="1"/>
  <c r="BG373" i="1"/>
  <c r="BI373" i="1" s="1"/>
  <c r="BG375" i="1"/>
  <c r="BI375" i="1" s="1"/>
  <c r="BG377" i="1"/>
  <c r="BI377" i="1" s="1"/>
  <c r="BG379" i="1"/>
  <c r="BI379" i="1" s="1"/>
  <c r="BG381" i="1"/>
  <c r="BI381" i="1" s="1"/>
  <c r="BG383" i="1"/>
  <c r="BI383" i="1" s="1"/>
  <c r="BG385" i="1"/>
  <c r="BI385" i="1" s="1"/>
  <c r="BG387" i="1"/>
  <c r="BI387" i="1" s="1"/>
  <c r="BG389" i="1"/>
  <c r="BI389" i="1" s="1"/>
  <c r="BG361" i="1"/>
  <c r="BG326" i="1"/>
  <c r="BI326" i="1" s="1"/>
  <c r="BG328" i="1"/>
  <c r="BI328" i="1" s="1"/>
  <c r="BG330" i="1"/>
  <c r="BI330" i="1" s="1"/>
  <c r="BG332" i="1"/>
  <c r="BI332" i="1" s="1"/>
  <c r="BG334" i="1"/>
  <c r="BI334" i="1" s="1"/>
  <c r="BG336" i="1"/>
  <c r="BI336" i="1" s="1"/>
  <c r="BG338" i="1"/>
  <c r="BI338" i="1" s="1"/>
  <c r="BG340" i="1"/>
  <c r="BI340" i="1" s="1"/>
  <c r="BG342" i="1"/>
  <c r="BI342" i="1" s="1"/>
  <c r="BG344" i="1"/>
  <c r="BI344" i="1" s="1"/>
  <c r="BG346" i="1"/>
  <c r="BI346" i="1" s="1"/>
  <c r="BG348" i="1"/>
  <c r="BI348" i="1" s="1"/>
  <c r="BG350" i="1"/>
  <c r="BI350" i="1" s="1"/>
  <c r="BG352" i="1"/>
  <c r="BI352" i="1" s="1"/>
  <c r="BG354" i="1"/>
  <c r="BI354" i="1" s="1"/>
  <c r="BG325" i="1"/>
  <c r="BG292" i="1"/>
  <c r="BI292" i="1" s="1"/>
  <c r="BG294" i="1"/>
  <c r="BI294" i="1" s="1"/>
  <c r="BG296" i="1"/>
  <c r="BI296" i="1" s="1"/>
  <c r="BG298" i="1"/>
  <c r="BI298" i="1" s="1"/>
  <c r="BG300" i="1"/>
  <c r="BI300" i="1" s="1"/>
  <c r="BG302" i="1"/>
  <c r="BI302" i="1" s="1"/>
  <c r="BG304" i="1"/>
  <c r="BI304" i="1" s="1"/>
  <c r="BG306" i="1"/>
  <c r="BI306" i="1" s="1"/>
  <c r="BG308" i="1"/>
  <c r="BI308" i="1" s="1"/>
  <c r="BG310" i="1"/>
  <c r="BI310" i="1" s="1"/>
  <c r="BG312" i="1"/>
  <c r="BI312" i="1" s="1"/>
  <c r="BG314" i="1"/>
  <c r="BI314" i="1" s="1"/>
  <c r="BG316" i="1"/>
  <c r="BI316" i="1" s="1"/>
  <c r="BG318" i="1"/>
  <c r="BI318" i="1" s="1"/>
  <c r="BG290" i="1"/>
  <c r="BG255" i="1"/>
  <c r="BI255" i="1" s="1"/>
  <c r="BG257" i="1"/>
  <c r="BI257" i="1" s="1"/>
  <c r="BG259" i="1"/>
  <c r="BI259" i="1" s="1"/>
  <c r="BG261" i="1"/>
  <c r="BI261" i="1" s="1"/>
  <c r="BG263" i="1"/>
  <c r="BI263" i="1" s="1"/>
  <c r="BG265" i="1"/>
  <c r="BI265" i="1" s="1"/>
  <c r="BG267" i="1"/>
  <c r="BI267" i="1" s="1"/>
  <c r="BG269" i="1"/>
  <c r="BI269" i="1" s="1"/>
  <c r="BG271" i="1"/>
  <c r="BI271" i="1" s="1"/>
  <c r="BG273" i="1"/>
  <c r="BI273" i="1" s="1"/>
  <c r="BG275" i="1"/>
  <c r="BI275" i="1" s="1"/>
  <c r="BG277" i="1"/>
  <c r="BI277" i="1" s="1"/>
  <c r="BG279" i="1"/>
  <c r="BI279" i="1" s="1"/>
  <c r="BG281" i="1"/>
  <c r="BI281" i="1" s="1"/>
  <c r="BG283" i="1"/>
  <c r="BI283" i="1" s="1"/>
  <c r="BG254" i="1"/>
  <c r="BG219" i="1"/>
  <c r="BI219" i="1" s="1"/>
  <c r="BG221" i="1"/>
  <c r="BI221" i="1" s="1"/>
  <c r="BG223" i="1"/>
  <c r="BI223" i="1" s="1"/>
  <c r="BG225" i="1"/>
  <c r="BI225" i="1" s="1"/>
  <c r="BG227" i="1"/>
  <c r="BI227" i="1" s="1"/>
  <c r="BG229" i="1"/>
  <c r="BI229" i="1" s="1"/>
  <c r="BG231" i="1"/>
  <c r="BI231" i="1" s="1"/>
  <c r="BG233" i="1"/>
  <c r="BI233" i="1" s="1"/>
  <c r="BG235" i="1"/>
  <c r="BI235" i="1" s="1"/>
  <c r="BG237" i="1"/>
  <c r="BI237" i="1" s="1"/>
  <c r="BG239" i="1"/>
  <c r="BI239" i="1" s="1"/>
  <c r="BG241" i="1"/>
  <c r="BI241" i="1" s="1"/>
  <c r="BG243" i="1"/>
  <c r="BI243" i="1" s="1"/>
  <c r="BG245" i="1"/>
  <c r="BI245" i="1" s="1"/>
  <c r="BG247" i="1"/>
  <c r="BI247" i="1" s="1"/>
  <c r="BG218" i="1"/>
  <c r="BG185" i="1"/>
  <c r="BI185" i="1" s="1"/>
  <c r="BG187" i="1"/>
  <c r="BI187" i="1" s="1"/>
  <c r="BG189" i="1"/>
  <c r="BI189" i="1" s="1"/>
  <c r="BG191" i="1"/>
  <c r="BI191" i="1" s="1"/>
  <c r="BG193" i="1"/>
  <c r="BI193" i="1" s="1"/>
  <c r="BG195" i="1"/>
  <c r="BI195" i="1" s="1"/>
  <c r="BG197" i="1"/>
  <c r="BI197" i="1" s="1"/>
  <c r="BG199" i="1"/>
  <c r="BI199" i="1" s="1"/>
  <c r="BG201" i="1"/>
  <c r="BI201" i="1" s="1"/>
  <c r="BG203" i="1"/>
  <c r="BI203" i="1" s="1"/>
  <c r="BG205" i="1"/>
  <c r="BI205" i="1" s="1"/>
  <c r="BG207" i="1"/>
  <c r="BI207" i="1" s="1"/>
  <c r="BG209" i="1"/>
  <c r="BI209" i="1" s="1"/>
  <c r="BG211" i="1"/>
  <c r="BI211" i="1" s="1"/>
  <c r="BG183" i="1"/>
  <c r="BG148" i="1"/>
  <c r="BI148" i="1" s="1"/>
  <c r="BG150" i="1"/>
  <c r="BI150" i="1" s="1"/>
  <c r="BG152" i="1"/>
  <c r="BI152" i="1" s="1"/>
  <c r="BG154" i="1"/>
  <c r="BI154" i="1" s="1"/>
  <c r="BG156" i="1"/>
  <c r="BI156" i="1" s="1"/>
  <c r="BG158" i="1"/>
  <c r="BI158" i="1" s="1"/>
  <c r="BG160" i="1"/>
  <c r="BI160" i="1" s="1"/>
  <c r="BG162" i="1"/>
  <c r="BI162" i="1" s="1"/>
  <c r="BG164" i="1"/>
  <c r="BI164" i="1" s="1"/>
  <c r="BG166" i="1"/>
  <c r="BI166" i="1" s="1"/>
  <c r="BG168" i="1"/>
  <c r="BI168" i="1" s="1"/>
  <c r="BG170" i="1"/>
  <c r="BI170" i="1" s="1"/>
  <c r="BG172" i="1"/>
  <c r="BI172" i="1" s="1"/>
  <c r="BG174" i="1"/>
  <c r="BI174" i="1" s="1"/>
  <c r="BG176" i="1"/>
  <c r="BI176" i="1" s="1"/>
  <c r="BG114" i="1"/>
  <c r="BI114" i="1" s="1"/>
  <c r="BG116" i="1"/>
  <c r="BI116" i="1" s="1"/>
  <c r="BG118" i="1"/>
  <c r="BI118" i="1" s="1"/>
  <c r="BG120" i="1"/>
  <c r="BI120" i="1" s="1"/>
  <c r="BG122" i="1"/>
  <c r="BI122" i="1" s="1"/>
  <c r="BG124" i="1"/>
  <c r="BI124" i="1" s="1"/>
  <c r="BG126" i="1"/>
  <c r="BI126" i="1" s="1"/>
  <c r="BG128" i="1"/>
  <c r="BI128" i="1" s="1"/>
  <c r="BG130" i="1"/>
  <c r="BI130" i="1" s="1"/>
  <c r="BG132" i="1"/>
  <c r="BI132" i="1" s="1"/>
  <c r="BG134" i="1"/>
  <c r="BI134" i="1" s="1"/>
  <c r="BG136" i="1"/>
  <c r="BI136" i="1" s="1"/>
  <c r="BG138" i="1"/>
  <c r="BI138" i="1" s="1"/>
  <c r="BG140" i="1"/>
  <c r="BI140" i="1" s="1"/>
  <c r="BG112" i="1"/>
  <c r="BG77" i="1"/>
  <c r="BI77" i="1" s="1"/>
  <c r="BG79" i="1"/>
  <c r="BI79" i="1" s="1"/>
  <c r="BG81" i="1"/>
  <c r="BI81" i="1" s="1"/>
  <c r="BG83" i="1"/>
  <c r="BI83" i="1" s="1"/>
  <c r="BG85" i="1"/>
  <c r="BI85" i="1" s="1"/>
  <c r="BG87" i="1"/>
  <c r="BI87" i="1" s="1"/>
  <c r="BG89" i="1"/>
  <c r="BI89" i="1" s="1"/>
  <c r="BG91" i="1"/>
  <c r="BI91" i="1" s="1"/>
  <c r="BG93" i="1"/>
  <c r="BI93" i="1" s="1"/>
  <c r="BG95" i="1"/>
  <c r="BI95" i="1" s="1"/>
  <c r="BG97" i="1"/>
  <c r="BI97" i="1" s="1"/>
  <c r="BG99" i="1"/>
  <c r="BI99" i="1" s="1"/>
  <c r="BG101" i="1"/>
  <c r="BI101" i="1" s="1"/>
  <c r="BG103" i="1"/>
  <c r="BI103" i="1" s="1"/>
  <c r="BG105" i="1"/>
  <c r="BI105" i="1" s="1"/>
  <c r="BG76" i="1"/>
  <c r="BG43" i="1"/>
  <c r="BI43" i="1" s="1"/>
  <c r="BG45" i="1"/>
  <c r="BI45" i="1" s="1"/>
  <c r="BG47" i="1"/>
  <c r="BI47" i="1" s="1"/>
  <c r="BG49" i="1"/>
  <c r="BI49" i="1" s="1"/>
  <c r="BG51" i="1"/>
  <c r="BI51" i="1" s="1"/>
  <c r="BG53" i="1"/>
  <c r="BI53" i="1" s="1"/>
  <c r="BG55" i="1"/>
  <c r="BI55" i="1" s="1"/>
  <c r="BG57" i="1"/>
  <c r="BI57" i="1" s="1"/>
  <c r="BG59" i="1"/>
  <c r="BI59" i="1" s="1"/>
  <c r="BG61" i="1"/>
  <c r="BI61" i="1" s="1"/>
  <c r="BG63" i="1"/>
  <c r="BI63" i="1" s="1"/>
  <c r="BG65" i="1"/>
  <c r="BI65" i="1" s="1"/>
  <c r="BG67" i="1"/>
  <c r="BI67" i="1" s="1"/>
  <c r="BG69" i="1"/>
  <c r="BI69" i="1" s="1"/>
  <c r="BG42" i="1"/>
  <c r="BG398" i="1"/>
  <c r="BI398" i="1" s="1"/>
  <c r="BG400" i="1"/>
  <c r="BI400" i="1" s="1"/>
  <c r="BG402" i="1"/>
  <c r="BI402" i="1" s="1"/>
  <c r="BG404" i="1"/>
  <c r="BI404" i="1" s="1"/>
  <c r="BG406" i="1"/>
  <c r="BI406" i="1" s="1"/>
  <c r="BG408" i="1"/>
  <c r="BI408" i="1" s="1"/>
  <c r="BG410" i="1"/>
  <c r="BI410" i="1" s="1"/>
  <c r="BG412" i="1"/>
  <c r="BI412" i="1" s="1"/>
  <c r="BG414" i="1"/>
  <c r="BI414" i="1" s="1"/>
  <c r="BG416" i="1"/>
  <c r="BI416" i="1" s="1"/>
  <c r="BG418" i="1"/>
  <c r="BI418" i="1" s="1"/>
  <c r="BG420" i="1"/>
  <c r="BI420" i="1" s="1"/>
  <c r="BG422" i="1"/>
  <c r="BI422" i="1" s="1"/>
  <c r="BG424" i="1"/>
  <c r="BI424" i="1" s="1"/>
  <c r="BG426" i="1"/>
  <c r="BI426" i="1" s="1"/>
  <c r="BG362" i="1"/>
  <c r="BI362" i="1" s="1"/>
  <c r="BG364" i="1"/>
  <c r="BI364" i="1" s="1"/>
  <c r="BG366" i="1"/>
  <c r="BI366" i="1" s="1"/>
  <c r="BG368" i="1"/>
  <c r="BI368" i="1" s="1"/>
  <c r="BG370" i="1"/>
  <c r="BI370" i="1" s="1"/>
  <c r="BG372" i="1"/>
  <c r="BI372" i="1" s="1"/>
  <c r="BG374" i="1"/>
  <c r="BI374" i="1" s="1"/>
  <c r="BG376" i="1"/>
  <c r="BI376" i="1" s="1"/>
  <c r="BG378" i="1"/>
  <c r="BI378" i="1" s="1"/>
  <c r="BG380" i="1"/>
  <c r="BI380" i="1" s="1"/>
  <c r="BG382" i="1"/>
  <c r="BI382" i="1" s="1"/>
  <c r="BG384" i="1"/>
  <c r="BI384" i="1" s="1"/>
  <c r="BG386" i="1"/>
  <c r="BI386" i="1" s="1"/>
  <c r="BG388" i="1"/>
  <c r="BI388" i="1" s="1"/>
  <c r="BG390" i="1"/>
  <c r="BI390" i="1" s="1"/>
  <c r="BG327" i="1"/>
  <c r="BI327" i="1" s="1"/>
  <c r="BG329" i="1"/>
  <c r="BI329" i="1" s="1"/>
  <c r="BG331" i="1"/>
  <c r="BI331" i="1" s="1"/>
  <c r="BG333" i="1"/>
  <c r="BI333" i="1" s="1"/>
  <c r="BG335" i="1"/>
  <c r="BI335" i="1" s="1"/>
  <c r="BG337" i="1"/>
  <c r="BI337" i="1" s="1"/>
  <c r="BG339" i="1"/>
  <c r="BI339" i="1" s="1"/>
  <c r="BG341" i="1"/>
  <c r="BI341" i="1" s="1"/>
  <c r="BG343" i="1"/>
  <c r="BI343" i="1" s="1"/>
  <c r="BG345" i="1"/>
  <c r="BI345" i="1" s="1"/>
  <c r="BG347" i="1"/>
  <c r="BI347" i="1" s="1"/>
  <c r="BG349" i="1"/>
  <c r="BI349" i="1" s="1"/>
  <c r="BG351" i="1"/>
  <c r="BI351" i="1" s="1"/>
  <c r="BG353" i="1"/>
  <c r="BI353" i="1" s="1"/>
  <c r="BG355" i="1"/>
  <c r="BI355" i="1" s="1"/>
  <c r="BG291" i="1"/>
  <c r="BI291" i="1" s="1"/>
  <c r="BG293" i="1"/>
  <c r="BI293" i="1" s="1"/>
  <c r="BG295" i="1"/>
  <c r="BI295" i="1" s="1"/>
  <c r="BG297" i="1"/>
  <c r="BI297" i="1" s="1"/>
  <c r="BG299" i="1"/>
  <c r="BI299" i="1" s="1"/>
  <c r="BG301" i="1"/>
  <c r="BI301" i="1" s="1"/>
  <c r="BG303" i="1"/>
  <c r="BI303" i="1" s="1"/>
  <c r="BG305" i="1"/>
  <c r="BI305" i="1" s="1"/>
  <c r="BG307" i="1"/>
  <c r="BI307" i="1" s="1"/>
  <c r="BG309" i="1"/>
  <c r="BI309" i="1" s="1"/>
  <c r="BG311" i="1"/>
  <c r="BI311" i="1" s="1"/>
  <c r="BG313" i="1"/>
  <c r="BI313" i="1" s="1"/>
  <c r="BG315" i="1"/>
  <c r="BI315" i="1" s="1"/>
  <c r="BG317" i="1"/>
  <c r="BI317" i="1" s="1"/>
  <c r="BG319" i="1"/>
  <c r="BI319" i="1" s="1"/>
  <c r="BG256" i="1"/>
  <c r="BI256" i="1" s="1"/>
  <c r="BG258" i="1"/>
  <c r="BI258" i="1" s="1"/>
  <c r="BG260" i="1"/>
  <c r="BI260" i="1" s="1"/>
  <c r="BG262" i="1"/>
  <c r="BI262" i="1" s="1"/>
  <c r="BG264" i="1"/>
  <c r="BI264" i="1" s="1"/>
  <c r="BG266" i="1"/>
  <c r="BI266" i="1" s="1"/>
  <c r="BG268" i="1"/>
  <c r="BI268" i="1" s="1"/>
  <c r="BG270" i="1"/>
  <c r="BI270" i="1" s="1"/>
  <c r="BG272" i="1"/>
  <c r="BI272" i="1" s="1"/>
  <c r="BG274" i="1"/>
  <c r="BI274" i="1" s="1"/>
  <c r="BG276" i="1"/>
  <c r="BI276" i="1" s="1"/>
  <c r="BG278" i="1"/>
  <c r="BI278" i="1" s="1"/>
  <c r="BG280" i="1"/>
  <c r="BI280" i="1" s="1"/>
  <c r="BG282" i="1"/>
  <c r="BI282" i="1" s="1"/>
  <c r="BG284" i="1"/>
  <c r="BI284" i="1" s="1"/>
  <c r="BG220" i="1"/>
  <c r="BI220" i="1" s="1"/>
  <c r="BG222" i="1"/>
  <c r="BI222" i="1" s="1"/>
  <c r="BG224" i="1"/>
  <c r="BI224" i="1" s="1"/>
  <c r="BG226" i="1"/>
  <c r="BI226" i="1" s="1"/>
  <c r="BG228" i="1"/>
  <c r="BI228" i="1" s="1"/>
  <c r="BG234" i="1"/>
  <c r="BI234" i="1" s="1"/>
  <c r="BG236" i="1"/>
  <c r="BI236" i="1" s="1"/>
  <c r="BG238" i="1"/>
  <c r="BI238" i="1" s="1"/>
  <c r="BG240" i="1"/>
  <c r="BI240" i="1" s="1"/>
  <c r="BG242" i="1"/>
  <c r="BI242" i="1" s="1"/>
  <c r="BG244" i="1"/>
  <c r="BI244" i="1" s="1"/>
  <c r="BG246" i="1"/>
  <c r="BI246" i="1" s="1"/>
  <c r="BG248" i="1"/>
  <c r="BI248" i="1" s="1"/>
  <c r="BG184" i="1"/>
  <c r="BI184" i="1" s="1"/>
  <c r="BG186" i="1"/>
  <c r="BI186" i="1" s="1"/>
  <c r="BG188" i="1"/>
  <c r="BI188" i="1" s="1"/>
  <c r="BG190" i="1"/>
  <c r="BI190" i="1" s="1"/>
  <c r="BG192" i="1"/>
  <c r="BI192" i="1" s="1"/>
  <c r="BG194" i="1"/>
  <c r="BI194" i="1" s="1"/>
  <c r="BG196" i="1"/>
  <c r="BI196" i="1" s="1"/>
  <c r="BG198" i="1"/>
  <c r="BI198" i="1" s="1"/>
  <c r="BG200" i="1"/>
  <c r="BI200" i="1" s="1"/>
  <c r="BG202" i="1"/>
  <c r="BI202" i="1" s="1"/>
  <c r="BG204" i="1"/>
  <c r="BI204" i="1" s="1"/>
  <c r="BG206" i="1"/>
  <c r="BI206" i="1" s="1"/>
  <c r="BG208" i="1"/>
  <c r="BI208" i="1" s="1"/>
  <c r="BG210" i="1"/>
  <c r="BI210" i="1" s="1"/>
  <c r="BG212" i="1"/>
  <c r="BI212" i="1" s="1"/>
  <c r="BG149" i="1"/>
  <c r="BI149" i="1" s="1"/>
  <c r="BG151" i="1"/>
  <c r="BI151" i="1" s="1"/>
  <c r="BG153" i="1"/>
  <c r="BI153" i="1" s="1"/>
  <c r="BG155" i="1"/>
  <c r="BI155" i="1" s="1"/>
  <c r="BG157" i="1"/>
  <c r="BI157" i="1" s="1"/>
  <c r="BG159" i="1"/>
  <c r="BI159" i="1" s="1"/>
  <c r="BG161" i="1"/>
  <c r="BI161" i="1" s="1"/>
  <c r="BG163" i="1"/>
  <c r="BI163" i="1" s="1"/>
  <c r="BG165" i="1"/>
  <c r="BI165" i="1" s="1"/>
  <c r="BG167" i="1"/>
  <c r="BI167" i="1" s="1"/>
  <c r="BG169" i="1"/>
  <c r="BI169" i="1" s="1"/>
  <c r="BG171" i="1"/>
  <c r="BI171" i="1" s="1"/>
  <c r="BG173" i="1"/>
  <c r="BI173" i="1" s="1"/>
  <c r="BG175" i="1"/>
  <c r="BI175" i="1" s="1"/>
  <c r="BG177" i="1"/>
  <c r="BI177" i="1" s="1"/>
  <c r="BG113" i="1"/>
  <c r="BI113" i="1" s="1"/>
  <c r="BG115" i="1"/>
  <c r="BI115" i="1" s="1"/>
  <c r="BG117" i="1"/>
  <c r="BI117" i="1" s="1"/>
  <c r="BG119" i="1"/>
  <c r="BI119" i="1" s="1"/>
  <c r="BG121" i="1"/>
  <c r="BI121" i="1" s="1"/>
  <c r="BG123" i="1"/>
  <c r="BI123" i="1" s="1"/>
  <c r="BG125" i="1"/>
  <c r="BI125" i="1" s="1"/>
  <c r="BG127" i="1"/>
  <c r="BI127" i="1" s="1"/>
  <c r="BG129" i="1"/>
  <c r="BI129" i="1" s="1"/>
  <c r="BG131" i="1"/>
  <c r="BI131" i="1" s="1"/>
  <c r="BG133" i="1"/>
  <c r="BI133" i="1" s="1"/>
  <c r="BG135" i="1"/>
  <c r="BI135" i="1" s="1"/>
  <c r="BG137" i="1"/>
  <c r="BI137" i="1" s="1"/>
  <c r="BG139" i="1"/>
  <c r="BI139" i="1" s="1"/>
  <c r="BG141" i="1"/>
  <c r="BI141" i="1" s="1"/>
  <c r="BG78" i="1"/>
  <c r="BI78" i="1" s="1"/>
  <c r="BG80" i="1"/>
  <c r="BI80" i="1" s="1"/>
  <c r="BG82" i="1"/>
  <c r="BI82" i="1" s="1"/>
  <c r="BG84" i="1"/>
  <c r="BI84" i="1" s="1"/>
  <c r="BG86" i="1"/>
  <c r="BI86" i="1" s="1"/>
  <c r="BG88" i="1"/>
  <c r="BI88" i="1" s="1"/>
  <c r="BG90" i="1"/>
  <c r="BI90" i="1" s="1"/>
  <c r="BG92" i="1"/>
  <c r="BI92" i="1" s="1"/>
  <c r="BG94" i="1"/>
  <c r="BI94" i="1" s="1"/>
  <c r="BG96" i="1"/>
  <c r="BI96" i="1" s="1"/>
  <c r="BG98" i="1"/>
  <c r="BI98" i="1" s="1"/>
  <c r="BG100" i="1"/>
  <c r="BI100" i="1" s="1"/>
  <c r="BG102" i="1"/>
  <c r="BI102" i="1" s="1"/>
  <c r="BG104" i="1"/>
  <c r="BI104" i="1" s="1"/>
  <c r="BG106" i="1"/>
  <c r="BI106" i="1" s="1"/>
  <c r="BG44" i="1"/>
  <c r="BI44" i="1" s="1"/>
  <c r="BG46" i="1"/>
  <c r="BI46" i="1" s="1"/>
  <c r="BG48" i="1"/>
  <c r="BI48" i="1" s="1"/>
  <c r="BG50" i="1"/>
  <c r="BI50" i="1" s="1"/>
  <c r="BG52" i="1"/>
  <c r="BI52" i="1" s="1"/>
  <c r="BG54" i="1"/>
  <c r="BI54" i="1" s="1"/>
  <c r="BG56" i="1"/>
  <c r="BI56" i="1" s="1"/>
  <c r="BG58" i="1"/>
  <c r="BI58" i="1" s="1"/>
  <c r="BG60" i="1"/>
  <c r="BI60" i="1" s="1"/>
  <c r="BG62" i="1"/>
  <c r="BI62" i="1" s="1"/>
  <c r="BG64" i="1"/>
  <c r="BI64" i="1" s="1"/>
  <c r="BG66" i="1"/>
  <c r="BI66" i="1" s="1"/>
  <c r="BG68" i="1"/>
  <c r="BI68" i="1" s="1"/>
  <c r="BG70" i="1"/>
  <c r="BI70" i="1" s="1"/>
  <c r="BG7" i="1"/>
  <c r="BI7" i="1" s="1"/>
  <c r="BG9" i="1"/>
  <c r="BI9" i="1" s="1"/>
  <c r="BG11" i="1"/>
  <c r="BI11" i="1" s="1"/>
  <c r="BG13" i="1"/>
  <c r="BI13" i="1" s="1"/>
  <c r="BG15" i="1"/>
  <c r="BI15" i="1" s="1"/>
  <c r="BG17" i="1"/>
  <c r="BI17" i="1" s="1"/>
  <c r="BG19" i="1"/>
  <c r="BI19" i="1" s="1"/>
  <c r="BG21" i="1"/>
  <c r="BI21" i="1" s="1"/>
  <c r="BG23" i="1"/>
  <c r="BI23" i="1" s="1"/>
  <c r="BG25" i="1"/>
  <c r="BI25" i="1" s="1"/>
  <c r="BG27" i="1"/>
  <c r="BI27" i="1" s="1"/>
  <c r="BG29" i="1"/>
  <c r="BI29" i="1" s="1"/>
  <c r="BG31" i="1"/>
  <c r="BI31" i="1" s="1"/>
  <c r="BG33" i="1"/>
  <c r="BI33" i="1" s="1"/>
  <c r="BG35" i="1"/>
  <c r="BI35" i="1" s="1"/>
  <c r="BG8" i="1"/>
  <c r="BI8" i="1" s="1"/>
  <c r="BG10" i="1"/>
  <c r="BI10" i="1" s="1"/>
  <c r="BG12" i="1"/>
  <c r="BI12" i="1" s="1"/>
  <c r="BG14" i="1"/>
  <c r="BI14" i="1" s="1"/>
  <c r="BG16" i="1"/>
  <c r="BI16" i="1" s="1"/>
  <c r="BG18" i="1"/>
  <c r="BI18" i="1" s="1"/>
  <c r="BG20" i="1"/>
  <c r="BI20" i="1" s="1"/>
  <c r="BG22" i="1"/>
  <c r="BI22" i="1" s="1"/>
  <c r="BG24" i="1"/>
  <c r="BI24" i="1" s="1"/>
  <c r="BG26" i="1"/>
  <c r="BI26" i="1" s="1"/>
  <c r="BG28" i="1"/>
  <c r="BI28" i="1" s="1"/>
  <c r="BG30" i="1"/>
  <c r="BI30" i="1" s="1"/>
  <c r="BG32" i="1"/>
  <c r="BI32" i="1" s="1"/>
  <c r="BG34" i="1"/>
  <c r="BI34" i="1" s="1"/>
  <c r="BG36" i="1"/>
  <c r="BI36" i="1" s="1"/>
  <c r="CQ398" i="1"/>
  <c r="CS398" i="1" s="1"/>
  <c r="CQ400" i="1"/>
  <c r="CS400" i="1" s="1"/>
  <c r="CQ402" i="1"/>
  <c r="CS402" i="1" s="1"/>
  <c r="CQ404" i="1"/>
  <c r="CS404" i="1" s="1"/>
  <c r="CQ406" i="1"/>
  <c r="CS406" i="1" s="1"/>
  <c r="CQ408" i="1"/>
  <c r="CS408" i="1" s="1"/>
  <c r="CQ410" i="1"/>
  <c r="CS410" i="1" s="1"/>
  <c r="CQ412" i="1"/>
  <c r="CS412" i="1" s="1"/>
  <c r="CQ414" i="1"/>
  <c r="CS414" i="1" s="1"/>
  <c r="CQ416" i="1"/>
  <c r="CS416" i="1" s="1"/>
  <c r="CQ418" i="1"/>
  <c r="CS418" i="1" s="1"/>
  <c r="CQ420" i="1"/>
  <c r="CS420" i="1" s="1"/>
  <c r="CQ422" i="1"/>
  <c r="CS422" i="1" s="1"/>
  <c r="CQ424" i="1"/>
  <c r="CS424" i="1" s="1"/>
  <c r="CQ426" i="1"/>
  <c r="CS426" i="1" s="1"/>
  <c r="CQ362" i="1"/>
  <c r="CS362" i="1" s="1"/>
  <c r="CQ364" i="1"/>
  <c r="CS364" i="1" s="1"/>
  <c r="CQ366" i="1"/>
  <c r="CS366" i="1" s="1"/>
  <c r="CQ368" i="1"/>
  <c r="CS368" i="1" s="1"/>
  <c r="CQ370" i="1"/>
  <c r="CS370" i="1" s="1"/>
  <c r="CQ372" i="1"/>
  <c r="CS372" i="1" s="1"/>
  <c r="CQ374" i="1"/>
  <c r="CS374" i="1" s="1"/>
  <c r="CQ376" i="1"/>
  <c r="CS376" i="1" s="1"/>
  <c r="CQ378" i="1"/>
  <c r="CS378" i="1" s="1"/>
  <c r="CQ380" i="1"/>
  <c r="CS380" i="1" s="1"/>
  <c r="CQ382" i="1"/>
  <c r="CS382" i="1" s="1"/>
  <c r="CQ384" i="1"/>
  <c r="CS384" i="1" s="1"/>
  <c r="CQ386" i="1"/>
  <c r="CS386" i="1" s="1"/>
  <c r="CQ388" i="1"/>
  <c r="CS388" i="1" s="1"/>
  <c r="CQ390" i="1"/>
  <c r="CS390" i="1" s="1"/>
  <c r="CQ326" i="1"/>
  <c r="CS326" i="1" s="1"/>
  <c r="CQ328" i="1"/>
  <c r="CS328" i="1" s="1"/>
  <c r="CQ330" i="1"/>
  <c r="CS330" i="1" s="1"/>
  <c r="CQ332" i="1"/>
  <c r="CS332" i="1" s="1"/>
  <c r="CQ334" i="1"/>
  <c r="CS334" i="1" s="1"/>
  <c r="CQ336" i="1"/>
  <c r="CS336" i="1" s="1"/>
  <c r="CQ338" i="1"/>
  <c r="CS338" i="1" s="1"/>
  <c r="CQ340" i="1"/>
  <c r="CS340" i="1" s="1"/>
  <c r="CQ342" i="1"/>
  <c r="CS342" i="1" s="1"/>
  <c r="CQ344" i="1"/>
  <c r="CS344" i="1" s="1"/>
  <c r="CQ346" i="1"/>
  <c r="CS346" i="1" s="1"/>
  <c r="CQ348" i="1"/>
  <c r="CS348" i="1" s="1"/>
  <c r="CQ350" i="1"/>
  <c r="CS350" i="1" s="1"/>
  <c r="CQ352" i="1"/>
  <c r="CS352" i="1" s="1"/>
  <c r="CQ354" i="1"/>
  <c r="CS354" i="1" s="1"/>
  <c r="CQ325" i="1"/>
  <c r="CQ292" i="1"/>
  <c r="CS292" i="1" s="1"/>
  <c r="CQ294" i="1"/>
  <c r="CS294" i="1" s="1"/>
  <c r="CQ296" i="1"/>
  <c r="CS296" i="1" s="1"/>
  <c r="CQ298" i="1"/>
  <c r="CS298" i="1" s="1"/>
  <c r="CQ300" i="1"/>
  <c r="CS300" i="1" s="1"/>
  <c r="CQ302" i="1"/>
  <c r="CS302" i="1" s="1"/>
  <c r="CQ304" i="1"/>
  <c r="CS304" i="1" s="1"/>
  <c r="CQ306" i="1"/>
  <c r="CS306" i="1" s="1"/>
  <c r="CQ308" i="1"/>
  <c r="CS308" i="1" s="1"/>
  <c r="CQ310" i="1"/>
  <c r="CS310" i="1" s="1"/>
  <c r="CQ312" i="1"/>
  <c r="CS312" i="1" s="1"/>
  <c r="CQ314" i="1"/>
  <c r="CS314" i="1" s="1"/>
  <c r="CQ316" i="1"/>
  <c r="CS316" i="1" s="1"/>
  <c r="CQ318" i="1"/>
  <c r="CS318" i="1" s="1"/>
  <c r="CQ290" i="1"/>
  <c r="CQ256" i="1"/>
  <c r="CS256" i="1" s="1"/>
  <c r="CQ258" i="1"/>
  <c r="CS258" i="1" s="1"/>
  <c r="CQ260" i="1"/>
  <c r="CS260" i="1" s="1"/>
  <c r="CQ262" i="1"/>
  <c r="CS262" i="1" s="1"/>
  <c r="CQ264" i="1"/>
  <c r="CS264" i="1" s="1"/>
  <c r="CQ266" i="1"/>
  <c r="CS266" i="1" s="1"/>
  <c r="CQ268" i="1"/>
  <c r="CS268" i="1" s="1"/>
  <c r="CQ270" i="1"/>
  <c r="CS270" i="1" s="1"/>
  <c r="CQ272" i="1"/>
  <c r="CS272" i="1" s="1"/>
  <c r="CQ274" i="1"/>
  <c r="CS274" i="1" s="1"/>
  <c r="CQ276" i="1"/>
  <c r="CS276" i="1" s="1"/>
  <c r="CQ278" i="1"/>
  <c r="CS278" i="1" s="1"/>
  <c r="CQ280" i="1"/>
  <c r="CS280" i="1" s="1"/>
  <c r="CQ282" i="1"/>
  <c r="CS282" i="1" s="1"/>
  <c r="CQ284" i="1"/>
  <c r="CS284" i="1" s="1"/>
  <c r="CQ219" i="1"/>
  <c r="CS219" i="1" s="1"/>
  <c r="CQ221" i="1"/>
  <c r="CS221" i="1" s="1"/>
  <c r="CQ223" i="1"/>
  <c r="CS223" i="1" s="1"/>
  <c r="CQ225" i="1"/>
  <c r="CS225" i="1" s="1"/>
  <c r="CQ227" i="1"/>
  <c r="CS227" i="1" s="1"/>
  <c r="CQ229" i="1"/>
  <c r="CS229" i="1" s="1"/>
  <c r="CQ231" i="1"/>
  <c r="CS231" i="1" s="1"/>
  <c r="CQ233" i="1"/>
  <c r="CS233" i="1" s="1"/>
  <c r="CQ235" i="1"/>
  <c r="CS235" i="1" s="1"/>
  <c r="CQ237" i="1"/>
  <c r="CS237" i="1" s="1"/>
  <c r="CQ239" i="1"/>
  <c r="CS239" i="1" s="1"/>
  <c r="CQ241" i="1"/>
  <c r="CS241" i="1" s="1"/>
  <c r="CQ243" i="1"/>
  <c r="CS243" i="1" s="1"/>
  <c r="CQ245" i="1"/>
  <c r="CS245" i="1" s="1"/>
  <c r="CQ247" i="1"/>
  <c r="CS247" i="1" s="1"/>
  <c r="CQ218" i="1"/>
  <c r="CQ185" i="1"/>
  <c r="CS185" i="1" s="1"/>
  <c r="CQ187" i="1"/>
  <c r="CS187" i="1" s="1"/>
  <c r="CQ189" i="1"/>
  <c r="CS189" i="1" s="1"/>
  <c r="CQ191" i="1"/>
  <c r="CS191" i="1" s="1"/>
  <c r="CQ193" i="1"/>
  <c r="CS193" i="1" s="1"/>
  <c r="CQ195" i="1"/>
  <c r="CS195" i="1" s="1"/>
  <c r="CQ197" i="1"/>
  <c r="CS197" i="1" s="1"/>
  <c r="CQ199" i="1"/>
  <c r="CS199" i="1" s="1"/>
  <c r="CQ201" i="1"/>
  <c r="CS201" i="1" s="1"/>
  <c r="CQ203" i="1"/>
  <c r="CS203" i="1" s="1"/>
  <c r="CQ205" i="1"/>
  <c r="CS205" i="1" s="1"/>
  <c r="CQ207" i="1"/>
  <c r="CS207" i="1" s="1"/>
  <c r="CQ209" i="1"/>
  <c r="CS209" i="1" s="1"/>
  <c r="CQ211" i="1"/>
  <c r="CS211" i="1" s="1"/>
  <c r="CQ183" i="1"/>
  <c r="CQ149" i="1"/>
  <c r="CS149" i="1" s="1"/>
  <c r="CQ151" i="1"/>
  <c r="CS151" i="1" s="1"/>
  <c r="CQ153" i="1"/>
  <c r="CS153" i="1" s="1"/>
  <c r="CQ155" i="1"/>
  <c r="CS155" i="1" s="1"/>
  <c r="CQ157" i="1"/>
  <c r="CS157" i="1" s="1"/>
  <c r="CQ159" i="1"/>
  <c r="CS159" i="1" s="1"/>
  <c r="CQ161" i="1"/>
  <c r="CS161" i="1" s="1"/>
  <c r="CQ163" i="1"/>
  <c r="CS163" i="1" s="1"/>
  <c r="CQ165" i="1"/>
  <c r="CS165" i="1" s="1"/>
  <c r="CQ167" i="1"/>
  <c r="CS167" i="1" s="1"/>
  <c r="CQ169" i="1"/>
  <c r="CS169" i="1" s="1"/>
  <c r="CQ171" i="1"/>
  <c r="CS171" i="1" s="1"/>
  <c r="CQ173" i="1"/>
  <c r="CS173" i="1" s="1"/>
  <c r="CQ175" i="1"/>
  <c r="CS175" i="1" s="1"/>
  <c r="CQ177" i="1"/>
  <c r="CS177" i="1" s="1"/>
  <c r="CQ113" i="1"/>
  <c r="CS113" i="1" s="1"/>
  <c r="CQ115" i="1"/>
  <c r="CS115" i="1" s="1"/>
  <c r="CQ117" i="1"/>
  <c r="CS117" i="1" s="1"/>
  <c r="CQ119" i="1"/>
  <c r="CS119" i="1" s="1"/>
  <c r="CQ121" i="1"/>
  <c r="CS121" i="1" s="1"/>
  <c r="CQ123" i="1"/>
  <c r="CS123" i="1" s="1"/>
  <c r="CQ125" i="1"/>
  <c r="CS125" i="1" s="1"/>
  <c r="CQ127" i="1"/>
  <c r="CS127" i="1" s="1"/>
  <c r="CQ129" i="1"/>
  <c r="CS129" i="1" s="1"/>
  <c r="CQ131" i="1"/>
  <c r="CS131" i="1" s="1"/>
  <c r="CQ133" i="1"/>
  <c r="CS133" i="1" s="1"/>
  <c r="CQ135" i="1"/>
  <c r="CS135" i="1" s="1"/>
  <c r="CQ137" i="1"/>
  <c r="CS137" i="1" s="1"/>
  <c r="CQ139" i="1"/>
  <c r="CS139" i="1" s="1"/>
  <c r="CQ141" i="1"/>
  <c r="CS141" i="1" s="1"/>
  <c r="CQ77" i="1"/>
  <c r="CS77" i="1" s="1"/>
  <c r="CQ79" i="1"/>
  <c r="CS79" i="1" s="1"/>
  <c r="CQ81" i="1"/>
  <c r="CS81" i="1" s="1"/>
  <c r="CQ83" i="1"/>
  <c r="CS83" i="1" s="1"/>
  <c r="CQ85" i="1"/>
  <c r="CS85" i="1" s="1"/>
  <c r="CQ87" i="1"/>
  <c r="CS87" i="1" s="1"/>
  <c r="CQ89" i="1"/>
  <c r="CS89" i="1" s="1"/>
  <c r="CQ91" i="1"/>
  <c r="CS91" i="1" s="1"/>
  <c r="CQ93" i="1"/>
  <c r="CS93" i="1" s="1"/>
  <c r="CQ95" i="1"/>
  <c r="CS95" i="1" s="1"/>
  <c r="CQ97" i="1"/>
  <c r="CS97" i="1" s="1"/>
  <c r="CQ99" i="1"/>
  <c r="CS99" i="1" s="1"/>
  <c r="CQ101" i="1"/>
  <c r="CS101" i="1" s="1"/>
  <c r="CQ103" i="1"/>
  <c r="CS103" i="1" s="1"/>
  <c r="CQ397" i="1"/>
  <c r="CS397" i="1" s="1"/>
  <c r="CQ399" i="1"/>
  <c r="CS399" i="1" s="1"/>
  <c r="CQ401" i="1"/>
  <c r="CS401" i="1" s="1"/>
  <c r="CQ403" i="1"/>
  <c r="CS403" i="1" s="1"/>
  <c r="CQ405" i="1"/>
  <c r="CS405" i="1" s="1"/>
  <c r="CQ407" i="1"/>
  <c r="CS407" i="1" s="1"/>
  <c r="CQ409" i="1"/>
  <c r="CS409" i="1" s="1"/>
  <c r="CQ411" i="1"/>
  <c r="CS411" i="1" s="1"/>
  <c r="CQ413" i="1"/>
  <c r="CS413" i="1" s="1"/>
  <c r="CQ415" i="1"/>
  <c r="CS415" i="1" s="1"/>
  <c r="CQ417" i="1"/>
  <c r="CS417" i="1" s="1"/>
  <c r="CQ419" i="1"/>
  <c r="CS419" i="1" s="1"/>
  <c r="CQ421" i="1"/>
  <c r="CS421" i="1" s="1"/>
  <c r="CQ423" i="1"/>
  <c r="CS423" i="1" s="1"/>
  <c r="CQ425" i="1"/>
  <c r="CS425" i="1" s="1"/>
  <c r="CQ396" i="1"/>
  <c r="CQ363" i="1"/>
  <c r="CS363" i="1" s="1"/>
  <c r="CQ365" i="1"/>
  <c r="CS365" i="1" s="1"/>
  <c r="CQ367" i="1"/>
  <c r="CS367" i="1" s="1"/>
  <c r="CQ369" i="1"/>
  <c r="CS369" i="1" s="1"/>
  <c r="CQ371" i="1"/>
  <c r="CS371" i="1" s="1"/>
  <c r="CQ373" i="1"/>
  <c r="CS373" i="1" s="1"/>
  <c r="CQ375" i="1"/>
  <c r="CS375" i="1" s="1"/>
  <c r="CQ377" i="1"/>
  <c r="CS377" i="1" s="1"/>
  <c r="CQ379" i="1"/>
  <c r="CS379" i="1" s="1"/>
  <c r="CQ381" i="1"/>
  <c r="CS381" i="1" s="1"/>
  <c r="CQ383" i="1"/>
  <c r="CS383" i="1" s="1"/>
  <c r="CQ385" i="1"/>
  <c r="CS385" i="1" s="1"/>
  <c r="CQ387" i="1"/>
  <c r="CS387" i="1" s="1"/>
  <c r="CQ389" i="1"/>
  <c r="CS389" i="1" s="1"/>
  <c r="CQ361" i="1"/>
  <c r="CQ327" i="1"/>
  <c r="CS327" i="1" s="1"/>
  <c r="CQ329" i="1"/>
  <c r="CS329" i="1" s="1"/>
  <c r="CQ331" i="1"/>
  <c r="CS331" i="1" s="1"/>
  <c r="CQ333" i="1"/>
  <c r="CS333" i="1" s="1"/>
  <c r="CQ335" i="1"/>
  <c r="CS335" i="1" s="1"/>
  <c r="CQ337" i="1"/>
  <c r="CS337" i="1" s="1"/>
  <c r="CQ339" i="1"/>
  <c r="CS339" i="1" s="1"/>
  <c r="CQ341" i="1"/>
  <c r="CS341" i="1" s="1"/>
  <c r="CQ343" i="1"/>
  <c r="CS343" i="1" s="1"/>
  <c r="CQ345" i="1"/>
  <c r="CS345" i="1" s="1"/>
  <c r="CQ347" i="1"/>
  <c r="CS347" i="1" s="1"/>
  <c r="CQ349" i="1"/>
  <c r="CS349" i="1" s="1"/>
  <c r="CQ351" i="1"/>
  <c r="CS351" i="1" s="1"/>
  <c r="CQ353" i="1"/>
  <c r="CS353" i="1" s="1"/>
  <c r="CQ355" i="1"/>
  <c r="CS355" i="1" s="1"/>
  <c r="CQ291" i="1"/>
  <c r="CS291" i="1" s="1"/>
  <c r="CQ293" i="1"/>
  <c r="CS293" i="1" s="1"/>
  <c r="CQ295" i="1"/>
  <c r="CS295" i="1" s="1"/>
  <c r="CQ297" i="1"/>
  <c r="CS297" i="1" s="1"/>
  <c r="CQ299" i="1"/>
  <c r="CS299" i="1" s="1"/>
  <c r="CQ301" i="1"/>
  <c r="CS301" i="1" s="1"/>
  <c r="CQ303" i="1"/>
  <c r="CS303" i="1" s="1"/>
  <c r="CQ305" i="1"/>
  <c r="CS305" i="1" s="1"/>
  <c r="CQ307" i="1"/>
  <c r="CS307" i="1" s="1"/>
  <c r="CQ309" i="1"/>
  <c r="CS309" i="1" s="1"/>
  <c r="CQ311" i="1"/>
  <c r="CS311" i="1" s="1"/>
  <c r="CQ313" i="1"/>
  <c r="CS313" i="1" s="1"/>
  <c r="CQ315" i="1"/>
  <c r="CS315" i="1" s="1"/>
  <c r="CQ317" i="1"/>
  <c r="CS317" i="1" s="1"/>
  <c r="CQ319" i="1"/>
  <c r="CS319" i="1" s="1"/>
  <c r="CQ255" i="1"/>
  <c r="CS255" i="1" s="1"/>
  <c r="CQ257" i="1"/>
  <c r="CS257" i="1" s="1"/>
  <c r="CQ259" i="1"/>
  <c r="CS259" i="1" s="1"/>
  <c r="CQ261" i="1"/>
  <c r="CS261" i="1" s="1"/>
  <c r="CQ263" i="1"/>
  <c r="CS263" i="1" s="1"/>
  <c r="CQ265" i="1"/>
  <c r="CS265" i="1" s="1"/>
  <c r="CQ267" i="1"/>
  <c r="CS267" i="1" s="1"/>
  <c r="CQ269" i="1"/>
  <c r="CS269" i="1" s="1"/>
  <c r="CQ271" i="1"/>
  <c r="CS271" i="1" s="1"/>
  <c r="CQ273" i="1"/>
  <c r="CS273" i="1" s="1"/>
  <c r="CQ275" i="1"/>
  <c r="CS275" i="1" s="1"/>
  <c r="CQ277" i="1"/>
  <c r="CS277" i="1" s="1"/>
  <c r="CQ279" i="1"/>
  <c r="CS279" i="1" s="1"/>
  <c r="CQ281" i="1"/>
  <c r="CS281" i="1" s="1"/>
  <c r="CQ283" i="1"/>
  <c r="CS283" i="1" s="1"/>
  <c r="CQ254" i="1"/>
  <c r="CQ220" i="1"/>
  <c r="CS220" i="1" s="1"/>
  <c r="CQ222" i="1"/>
  <c r="CS222" i="1" s="1"/>
  <c r="CQ224" i="1"/>
  <c r="CS224" i="1" s="1"/>
  <c r="CQ226" i="1"/>
  <c r="CS226" i="1" s="1"/>
  <c r="CQ228" i="1"/>
  <c r="CS228" i="1" s="1"/>
  <c r="CQ230" i="1"/>
  <c r="CS230" i="1" s="1"/>
  <c r="CQ232" i="1"/>
  <c r="CS232" i="1" s="1"/>
  <c r="CQ234" i="1"/>
  <c r="CS234" i="1" s="1"/>
  <c r="CQ236" i="1"/>
  <c r="CS236" i="1" s="1"/>
  <c r="CQ238" i="1"/>
  <c r="CS238" i="1" s="1"/>
  <c r="CQ240" i="1"/>
  <c r="CS240" i="1" s="1"/>
  <c r="CQ242" i="1"/>
  <c r="CS242" i="1" s="1"/>
  <c r="CQ244" i="1"/>
  <c r="CS244" i="1" s="1"/>
  <c r="CQ246" i="1"/>
  <c r="CS246" i="1" s="1"/>
  <c r="CQ248" i="1"/>
  <c r="CS248" i="1" s="1"/>
  <c r="CQ184" i="1"/>
  <c r="CS184" i="1" s="1"/>
  <c r="CQ186" i="1"/>
  <c r="CS186" i="1" s="1"/>
  <c r="CQ188" i="1"/>
  <c r="CS188" i="1" s="1"/>
  <c r="CQ190" i="1"/>
  <c r="CS190" i="1" s="1"/>
  <c r="CQ192" i="1"/>
  <c r="CS192" i="1" s="1"/>
  <c r="CQ194" i="1"/>
  <c r="CS194" i="1" s="1"/>
  <c r="CQ196" i="1"/>
  <c r="CS196" i="1" s="1"/>
  <c r="CQ198" i="1"/>
  <c r="CS198" i="1" s="1"/>
  <c r="CQ200" i="1"/>
  <c r="CS200" i="1" s="1"/>
  <c r="CQ202" i="1"/>
  <c r="CS202" i="1" s="1"/>
  <c r="CQ204" i="1"/>
  <c r="CS204" i="1" s="1"/>
  <c r="CQ206" i="1"/>
  <c r="CS206" i="1" s="1"/>
  <c r="CQ208" i="1"/>
  <c r="CS208" i="1" s="1"/>
  <c r="CQ210" i="1"/>
  <c r="CS210" i="1" s="1"/>
  <c r="CQ212" i="1"/>
  <c r="CS212" i="1" s="1"/>
  <c r="CQ148" i="1"/>
  <c r="CS148" i="1" s="1"/>
  <c r="CQ150" i="1"/>
  <c r="CS150" i="1" s="1"/>
  <c r="CQ152" i="1"/>
  <c r="CS152" i="1" s="1"/>
  <c r="CQ154" i="1"/>
  <c r="CS154" i="1" s="1"/>
  <c r="CQ156" i="1"/>
  <c r="CS156" i="1" s="1"/>
  <c r="CQ158" i="1"/>
  <c r="CS158" i="1" s="1"/>
  <c r="CQ160" i="1"/>
  <c r="CS160" i="1" s="1"/>
  <c r="CQ162" i="1"/>
  <c r="CS162" i="1" s="1"/>
  <c r="CQ164" i="1"/>
  <c r="CS164" i="1" s="1"/>
  <c r="CQ166" i="1"/>
  <c r="CS166" i="1" s="1"/>
  <c r="CQ168" i="1"/>
  <c r="CS168" i="1" s="1"/>
  <c r="CQ170" i="1"/>
  <c r="CS170" i="1" s="1"/>
  <c r="CQ172" i="1"/>
  <c r="CS172" i="1" s="1"/>
  <c r="CQ174" i="1"/>
  <c r="CS174" i="1" s="1"/>
  <c r="CQ176" i="1"/>
  <c r="CS176" i="1" s="1"/>
  <c r="CQ114" i="1"/>
  <c r="CS114" i="1" s="1"/>
  <c r="CQ116" i="1"/>
  <c r="CS116" i="1" s="1"/>
  <c r="CQ118" i="1"/>
  <c r="CS118" i="1" s="1"/>
  <c r="CQ120" i="1"/>
  <c r="CS120" i="1" s="1"/>
  <c r="CQ122" i="1"/>
  <c r="CS122" i="1" s="1"/>
  <c r="CQ124" i="1"/>
  <c r="CS124" i="1" s="1"/>
  <c r="CQ126" i="1"/>
  <c r="CS126" i="1" s="1"/>
  <c r="CQ128" i="1"/>
  <c r="CS128" i="1" s="1"/>
  <c r="CQ130" i="1"/>
  <c r="CS130" i="1" s="1"/>
  <c r="CQ132" i="1"/>
  <c r="CS132" i="1" s="1"/>
  <c r="CQ134" i="1"/>
  <c r="CS134" i="1" s="1"/>
  <c r="CQ136" i="1"/>
  <c r="CS136" i="1" s="1"/>
  <c r="CQ138" i="1"/>
  <c r="CS138" i="1" s="1"/>
  <c r="CQ140" i="1"/>
  <c r="CS140" i="1" s="1"/>
  <c r="CQ112" i="1"/>
  <c r="CQ78" i="1"/>
  <c r="CS78" i="1" s="1"/>
  <c r="CQ80" i="1"/>
  <c r="CS80" i="1" s="1"/>
  <c r="CQ82" i="1"/>
  <c r="CS82" i="1" s="1"/>
  <c r="CQ84" i="1"/>
  <c r="CS84" i="1" s="1"/>
  <c r="CQ86" i="1"/>
  <c r="CS86" i="1" s="1"/>
  <c r="CQ88" i="1"/>
  <c r="CS88" i="1" s="1"/>
  <c r="CQ90" i="1"/>
  <c r="CS90" i="1" s="1"/>
  <c r="CQ92" i="1"/>
  <c r="CS92" i="1" s="1"/>
  <c r="CQ94" i="1"/>
  <c r="CS94" i="1" s="1"/>
  <c r="CQ96" i="1"/>
  <c r="CS96" i="1" s="1"/>
  <c r="CQ98" i="1"/>
  <c r="CS98" i="1" s="1"/>
  <c r="CQ100" i="1"/>
  <c r="CS100" i="1" s="1"/>
  <c r="CQ102" i="1"/>
  <c r="CS102" i="1" s="1"/>
  <c r="CQ104" i="1"/>
  <c r="CS104" i="1" s="1"/>
  <c r="CQ106" i="1"/>
  <c r="CS106" i="1" s="1"/>
  <c r="CQ43" i="1"/>
  <c r="CS43" i="1" s="1"/>
  <c r="CQ45" i="1"/>
  <c r="CS45" i="1" s="1"/>
  <c r="CQ47" i="1"/>
  <c r="CS47" i="1" s="1"/>
  <c r="CQ49" i="1"/>
  <c r="CS49" i="1" s="1"/>
  <c r="CQ51" i="1"/>
  <c r="CS51" i="1" s="1"/>
  <c r="CQ53" i="1"/>
  <c r="CS53" i="1" s="1"/>
  <c r="CQ55" i="1"/>
  <c r="CS55" i="1" s="1"/>
  <c r="CQ57" i="1"/>
  <c r="CS57" i="1" s="1"/>
  <c r="CQ59" i="1"/>
  <c r="CS59" i="1" s="1"/>
  <c r="CQ61" i="1"/>
  <c r="CS61" i="1" s="1"/>
  <c r="CQ63" i="1"/>
  <c r="CS63" i="1" s="1"/>
  <c r="CQ65" i="1"/>
  <c r="CS65" i="1" s="1"/>
  <c r="CQ67" i="1"/>
  <c r="CS67" i="1" s="1"/>
  <c r="CQ69" i="1"/>
  <c r="CS69" i="1" s="1"/>
  <c r="CQ42" i="1"/>
  <c r="CQ8" i="1"/>
  <c r="CS8" i="1" s="1"/>
  <c r="CQ10" i="1"/>
  <c r="CS10" i="1" s="1"/>
  <c r="CQ12" i="1"/>
  <c r="CS12" i="1" s="1"/>
  <c r="CQ14" i="1"/>
  <c r="CS14" i="1" s="1"/>
  <c r="CQ16" i="1"/>
  <c r="CS16" i="1" s="1"/>
  <c r="CQ18" i="1"/>
  <c r="CS18" i="1" s="1"/>
  <c r="CQ20" i="1"/>
  <c r="CS20" i="1" s="1"/>
  <c r="CQ22" i="1"/>
  <c r="CS22" i="1" s="1"/>
  <c r="CQ24" i="1"/>
  <c r="CS24" i="1" s="1"/>
  <c r="CQ26" i="1"/>
  <c r="CS26" i="1" s="1"/>
  <c r="CQ28" i="1"/>
  <c r="CS28" i="1" s="1"/>
  <c r="CQ30" i="1"/>
  <c r="CS30" i="1" s="1"/>
  <c r="CQ32" i="1"/>
  <c r="CS32" i="1" s="1"/>
  <c r="CQ34" i="1"/>
  <c r="CS34" i="1" s="1"/>
  <c r="CQ36" i="1"/>
  <c r="CS36" i="1" s="1"/>
  <c r="CQ76" i="1"/>
  <c r="CQ46" i="1"/>
  <c r="CS46" i="1" s="1"/>
  <c r="CQ50" i="1"/>
  <c r="CS50" i="1" s="1"/>
  <c r="CQ54" i="1"/>
  <c r="CS54" i="1" s="1"/>
  <c r="CQ58" i="1"/>
  <c r="CS58" i="1" s="1"/>
  <c r="CQ62" i="1"/>
  <c r="CS62" i="1" s="1"/>
  <c r="CQ66" i="1"/>
  <c r="CS66" i="1" s="1"/>
  <c r="CQ70" i="1"/>
  <c r="CS70" i="1" s="1"/>
  <c r="CQ9" i="1"/>
  <c r="CS9" i="1" s="1"/>
  <c r="CQ13" i="1"/>
  <c r="CS13" i="1" s="1"/>
  <c r="CQ17" i="1"/>
  <c r="CS17" i="1" s="1"/>
  <c r="CQ21" i="1"/>
  <c r="CS21" i="1" s="1"/>
  <c r="CQ25" i="1"/>
  <c r="CS25" i="1" s="1"/>
  <c r="CQ29" i="1"/>
  <c r="CS29" i="1" s="1"/>
  <c r="CQ33" i="1"/>
  <c r="CS33" i="1" s="1"/>
  <c r="CQ105" i="1"/>
  <c r="CS105" i="1" s="1"/>
  <c r="CQ44" i="1"/>
  <c r="CS44" i="1" s="1"/>
  <c r="CQ48" i="1"/>
  <c r="CS48" i="1" s="1"/>
  <c r="CQ52" i="1"/>
  <c r="CS52" i="1" s="1"/>
  <c r="CQ56" i="1"/>
  <c r="CS56" i="1" s="1"/>
  <c r="CQ60" i="1"/>
  <c r="CS60" i="1" s="1"/>
  <c r="CQ64" i="1"/>
  <c r="CS64" i="1" s="1"/>
  <c r="CQ68" i="1"/>
  <c r="CS68" i="1" s="1"/>
  <c r="CQ7" i="1"/>
  <c r="CS7" i="1" s="1"/>
  <c r="CQ11" i="1"/>
  <c r="CS11" i="1" s="1"/>
  <c r="CQ15" i="1"/>
  <c r="CS15" i="1" s="1"/>
  <c r="CQ19" i="1"/>
  <c r="CS19" i="1" s="1"/>
  <c r="CQ23" i="1"/>
  <c r="CS23" i="1" s="1"/>
  <c r="CQ27" i="1"/>
  <c r="CS27" i="1" s="1"/>
  <c r="CQ31" i="1"/>
  <c r="CS31" i="1" s="1"/>
  <c r="CQ35" i="1"/>
  <c r="CS35" i="1" s="1"/>
  <c r="EA398" i="1"/>
  <c r="EC398" i="1" s="1"/>
  <c r="EA400" i="1"/>
  <c r="EC400" i="1" s="1"/>
  <c r="EA402" i="1"/>
  <c r="EC402" i="1" s="1"/>
  <c r="EA404" i="1"/>
  <c r="EC404" i="1" s="1"/>
  <c r="EA406" i="1"/>
  <c r="EC406" i="1" s="1"/>
  <c r="EA408" i="1"/>
  <c r="EC408" i="1" s="1"/>
  <c r="EA410" i="1"/>
  <c r="EC410" i="1" s="1"/>
  <c r="EA412" i="1"/>
  <c r="EC412" i="1" s="1"/>
  <c r="EA414" i="1"/>
  <c r="EC414" i="1" s="1"/>
  <c r="EA416" i="1"/>
  <c r="EC416" i="1" s="1"/>
  <c r="EA418" i="1"/>
  <c r="EC418" i="1" s="1"/>
  <c r="EA420" i="1"/>
  <c r="EC420" i="1" s="1"/>
  <c r="EA422" i="1"/>
  <c r="EC422" i="1" s="1"/>
  <c r="EA424" i="1"/>
  <c r="EC424" i="1" s="1"/>
  <c r="EA426" i="1"/>
  <c r="EC426" i="1" s="1"/>
  <c r="EA362" i="1"/>
  <c r="EC362" i="1" s="1"/>
  <c r="EA364" i="1"/>
  <c r="EC364" i="1" s="1"/>
  <c r="EA366" i="1"/>
  <c r="EC366" i="1" s="1"/>
  <c r="EA368" i="1"/>
  <c r="EC368" i="1" s="1"/>
  <c r="EA370" i="1"/>
  <c r="EC370" i="1" s="1"/>
  <c r="EA372" i="1"/>
  <c r="EC372" i="1" s="1"/>
  <c r="EA374" i="1"/>
  <c r="EC374" i="1" s="1"/>
  <c r="EA376" i="1"/>
  <c r="EC376" i="1" s="1"/>
  <c r="EA378" i="1"/>
  <c r="EC378" i="1" s="1"/>
  <c r="EA380" i="1"/>
  <c r="EC380" i="1" s="1"/>
  <c r="EA382" i="1"/>
  <c r="EC382" i="1" s="1"/>
  <c r="EA384" i="1"/>
  <c r="EC384" i="1" s="1"/>
  <c r="EA386" i="1"/>
  <c r="EC386" i="1" s="1"/>
  <c r="EA388" i="1"/>
  <c r="EC388" i="1" s="1"/>
  <c r="EA390" i="1"/>
  <c r="EC390" i="1" s="1"/>
  <c r="EA326" i="1"/>
  <c r="EC326" i="1" s="1"/>
  <c r="EA328" i="1"/>
  <c r="EC328" i="1" s="1"/>
  <c r="EA330" i="1"/>
  <c r="EC330" i="1" s="1"/>
  <c r="EA332" i="1"/>
  <c r="EC332" i="1" s="1"/>
  <c r="EA334" i="1"/>
  <c r="EC334" i="1" s="1"/>
  <c r="EA336" i="1"/>
  <c r="EC336" i="1" s="1"/>
  <c r="EA338" i="1"/>
  <c r="EC338" i="1" s="1"/>
  <c r="EA340" i="1"/>
  <c r="EC340" i="1" s="1"/>
  <c r="EA342" i="1"/>
  <c r="EC342" i="1" s="1"/>
  <c r="EA344" i="1"/>
  <c r="EC344" i="1" s="1"/>
  <c r="EA346" i="1"/>
  <c r="EC346" i="1" s="1"/>
  <c r="EA348" i="1"/>
  <c r="EC348" i="1" s="1"/>
  <c r="EA350" i="1"/>
  <c r="EC350" i="1" s="1"/>
  <c r="EA352" i="1"/>
  <c r="EC352" i="1" s="1"/>
  <c r="EA354" i="1"/>
  <c r="EC354" i="1" s="1"/>
  <c r="EA325" i="1"/>
  <c r="EA292" i="1"/>
  <c r="EC292" i="1" s="1"/>
  <c r="EA294" i="1"/>
  <c r="EC294" i="1" s="1"/>
  <c r="EA296" i="1"/>
  <c r="EC296" i="1" s="1"/>
  <c r="EA298" i="1"/>
  <c r="EC298" i="1" s="1"/>
  <c r="EA300" i="1"/>
  <c r="EC300" i="1" s="1"/>
  <c r="EA302" i="1"/>
  <c r="EC302" i="1" s="1"/>
  <c r="EA304" i="1"/>
  <c r="EC304" i="1" s="1"/>
  <c r="EA306" i="1"/>
  <c r="EC306" i="1" s="1"/>
  <c r="EA308" i="1"/>
  <c r="EC308" i="1" s="1"/>
  <c r="EA310" i="1"/>
  <c r="EC310" i="1" s="1"/>
  <c r="EA312" i="1"/>
  <c r="EC312" i="1" s="1"/>
  <c r="EA314" i="1"/>
  <c r="EC314" i="1" s="1"/>
  <c r="EA316" i="1"/>
  <c r="EC316" i="1" s="1"/>
  <c r="EA318" i="1"/>
  <c r="EC318" i="1" s="1"/>
  <c r="EA290" i="1"/>
  <c r="EA256" i="1"/>
  <c r="EC256" i="1" s="1"/>
  <c r="EA258" i="1"/>
  <c r="EC258" i="1" s="1"/>
  <c r="EA260" i="1"/>
  <c r="EC260" i="1" s="1"/>
  <c r="EA262" i="1"/>
  <c r="EC262" i="1" s="1"/>
  <c r="EA264" i="1"/>
  <c r="EC264" i="1" s="1"/>
  <c r="EA266" i="1"/>
  <c r="EC266" i="1" s="1"/>
  <c r="EA268" i="1"/>
  <c r="EC268" i="1" s="1"/>
  <c r="EA270" i="1"/>
  <c r="EC270" i="1" s="1"/>
  <c r="EA272" i="1"/>
  <c r="EC272" i="1" s="1"/>
  <c r="EA274" i="1"/>
  <c r="EC274" i="1" s="1"/>
  <c r="EA276" i="1"/>
  <c r="EC276" i="1" s="1"/>
  <c r="EA278" i="1"/>
  <c r="EC278" i="1" s="1"/>
  <c r="EA280" i="1"/>
  <c r="EC280" i="1" s="1"/>
  <c r="EA282" i="1"/>
  <c r="EC282" i="1" s="1"/>
  <c r="EA284" i="1"/>
  <c r="EC284" i="1" s="1"/>
  <c r="EA219" i="1"/>
  <c r="EC219" i="1" s="1"/>
  <c r="EA221" i="1"/>
  <c r="EC221" i="1" s="1"/>
  <c r="EA223" i="1"/>
  <c r="EC223" i="1" s="1"/>
  <c r="EA225" i="1"/>
  <c r="EC225" i="1" s="1"/>
  <c r="EA227" i="1"/>
  <c r="EC227" i="1" s="1"/>
  <c r="EA229" i="1"/>
  <c r="EC229" i="1" s="1"/>
  <c r="EA231" i="1"/>
  <c r="EC231" i="1" s="1"/>
  <c r="EA233" i="1"/>
  <c r="EC233" i="1" s="1"/>
  <c r="EA235" i="1"/>
  <c r="EC235" i="1" s="1"/>
  <c r="EA237" i="1"/>
  <c r="EC237" i="1" s="1"/>
  <c r="EA239" i="1"/>
  <c r="EC239" i="1" s="1"/>
  <c r="EA241" i="1"/>
  <c r="EC241" i="1" s="1"/>
  <c r="EA243" i="1"/>
  <c r="EC243" i="1" s="1"/>
  <c r="EA245" i="1"/>
  <c r="EC245" i="1" s="1"/>
  <c r="EA247" i="1"/>
  <c r="EC247" i="1" s="1"/>
  <c r="EA218" i="1"/>
  <c r="EA185" i="1"/>
  <c r="EC185" i="1" s="1"/>
  <c r="EA187" i="1"/>
  <c r="EC187" i="1" s="1"/>
  <c r="EA189" i="1"/>
  <c r="EC189" i="1" s="1"/>
  <c r="EA191" i="1"/>
  <c r="EC191" i="1" s="1"/>
  <c r="EA193" i="1"/>
  <c r="EC193" i="1" s="1"/>
  <c r="EA195" i="1"/>
  <c r="EC195" i="1" s="1"/>
  <c r="EA199" i="1"/>
  <c r="EC199" i="1" s="1"/>
  <c r="EA201" i="1"/>
  <c r="EC201" i="1" s="1"/>
  <c r="EA203" i="1"/>
  <c r="EC203" i="1" s="1"/>
  <c r="EA205" i="1"/>
  <c r="EC205" i="1" s="1"/>
  <c r="EA207" i="1"/>
  <c r="EC207" i="1" s="1"/>
  <c r="EA209" i="1"/>
  <c r="EC209" i="1" s="1"/>
  <c r="EA211" i="1"/>
  <c r="EC211" i="1" s="1"/>
  <c r="EA183" i="1"/>
  <c r="EA149" i="1"/>
  <c r="EC149" i="1" s="1"/>
  <c r="EA151" i="1"/>
  <c r="EC151" i="1" s="1"/>
  <c r="EA153" i="1"/>
  <c r="EC153" i="1" s="1"/>
  <c r="EA155" i="1"/>
  <c r="EC155" i="1" s="1"/>
  <c r="EA157" i="1"/>
  <c r="EC157" i="1" s="1"/>
  <c r="EA159" i="1"/>
  <c r="EC159" i="1" s="1"/>
  <c r="EA161" i="1"/>
  <c r="EC161" i="1" s="1"/>
  <c r="EA163" i="1"/>
  <c r="EC163" i="1" s="1"/>
  <c r="EA165" i="1"/>
  <c r="EC165" i="1" s="1"/>
  <c r="EA167" i="1"/>
  <c r="EC167" i="1" s="1"/>
  <c r="EA169" i="1"/>
  <c r="EC169" i="1" s="1"/>
  <c r="EA171" i="1"/>
  <c r="EC171" i="1" s="1"/>
  <c r="EA173" i="1"/>
  <c r="EC173" i="1" s="1"/>
  <c r="EA175" i="1"/>
  <c r="EC175" i="1" s="1"/>
  <c r="EA177" i="1"/>
  <c r="EC177" i="1" s="1"/>
  <c r="EA113" i="1"/>
  <c r="EC113" i="1" s="1"/>
  <c r="EA115" i="1"/>
  <c r="EC115" i="1" s="1"/>
  <c r="EA117" i="1"/>
  <c r="EC117" i="1" s="1"/>
  <c r="EA119" i="1"/>
  <c r="EC119" i="1" s="1"/>
  <c r="EA121" i="1"/>
  <c r="EC121" i="1" s="1"/>
  <c r="EA123" i="1"/>
  <c r="EC123" i="1" s="1"/>
  <c r="EA125" i="1"/>
  <c r="EC125" i="1" s="1"/>
  <c r="EA127" i="1"/>
  <c r="EC127" i="1" s="1"/>
  <c r="EA129" i="1"/>
  <c r="EC129" i="1" s="1"/>
  <c r="EA131" i="1"/>
  <c r="EC131" i="1" s="1"/>
  <c r="EA133" i="1"/>
  <c r="EC133" i="1" s="1"/>
  <c r="EA135" i="1"/>
  <c r="EC135" i="1" s="1"/>
  <c r="EA137" i="1"/>
  <c r="EC137" i="1" s="1"/>
  <c r="EA139" i="1"/>
  <c r="EC139" i="1" s="1"/>
  <c r="EA141" i="1"/>
  <c r="EC141" i="1" s="1"/>
  <c r="EA77" i="1"/>
  <c r="EC77" i="1" s="1"/>
  <c r="EA79" i="1"/>
  <c r="EC79" i="1" s="1"/>
  <c r="EA81" i="1"/>
  <c r="EC81" i="1" s="1"/>
  <c r="EA83" i="1"/>
  <c r="EC83" i="1" s="1"/>
  <c r="EA85" i="1"/>
  <c r="EC85" i="1" s="1"/>
  <c r="EA87" i="1"/>
  <c r="EC87" i="1" s="1"/>
  <c r="EA89" i="1"/>
  <c r="EC89" i="1" s="1"/>
  <c r="EA91" i="1"/>
  <c r="EC91" i="1" s="1"/>
  <c r="EA93" i="1"/>
  <c r="EC93" i="1" s="1"/>
  <c r="EA95" i="1"/>
  <c r="EC95" i="1" s="1"/>
  <c r="EA97" i="1"/>
  <c r="EC97" i="1" s="1"/>
  <c r="EA99" i="1"/>
  <c r="EC99" i="1" s="1"/>
  <c r="EA101" i="1"/>
  <c r="EC101" i="1" s="1"/>
  <c r="EA103" i="1"/>
  <c r="EC103" i="1" s="1"/>
  <c r="EA105" i="1"/>
  <c r="EC105" i="1" s="1"/>
  <c r="EA76" i="1"/>
  <c r="EA44" i="1"/>
  <c r="EC44" i="1" s="1"/>
  <c r="EA46" i="1"/>
  <c r="EC46" i="1" s="1"/>
  <c r="EA48" i="1"/>
  <c r="EC48" i="1" s="1"/>
  <c r="EA50" i="1"/>
  <c r="EC50" i="1" s="1"/>
  <c r="EA52" i="1"/>
  <c r="EC52" i="1" s="1"/>
  <c r="EA54" i="1"/>
  <c r="EC54" i="1" s="1"/>
  <c r="EA56" i="1"/>
  <c r="EC56" i="1" s="1"/>
  <c r="EA58" i="1"/>
  <c r="EC58" i="1" s="1"/>
  <c r="EA60" i="1"/>
  <c r="EC60" i="1" s="1"/>
  <c r="EA62" i="1"/>
  <c r="EC62" i="1" s="1"/>
  <c r="EA64" i="1"/>
  <c r="EC64" i="1" s="1"/>
  <c r="EA66" i="1"/>
  <c r="EC66" i="1" s="1"/>
  <c r="EA68" i="1"/>
  <c r="EC68" i="1" s="1"/>
  <c r="EA70" i="1"/>
  <c r="EC70" i="1" s="1"/>
  <c r="EA7" i="1"/>
  <c r="EC7" i="1" s="1"/>
  <c r="EA9" i="1"/>
  <c r="EC9" i="1" s="1"/>
  <c r="EA11" i="1"/>
  <c r="EC11" i="1" s="1"/>
  <c r="EA13" i="1"/>
  <c r="EC13" i="1" s="1"/>
  <c r="EA15" i="1"/>
  <c r="EC15" i="1" s="1"/>
  <c r="EA17" i="1"/>
  <c r="EC17" i="1" s="1"/>
  <c r="EA19" i="1"/>
  <c r="EC19" i="1" s="1"/>
  <c r="EA21" i="1"/>
  <c r="EC21" i="1" s="1"/>
  <c r="EA23" i="1"/>
  <c r="EC23" i="1" s="1"/>
  <c r="EA25" i="1"/>
  <c r="EC25" i="1" s="1"/>
  <c r="EA27" i="1"/>
  <c r="EC27" i="1" s="1"/>
  <c r="EA29" i="1"/>
  <c r="EC29" i="1" s="1"/>
  <c r="EA31" i="1"/>
  <c r="EC31" i="1" s="1"/>
  <c r="EA33" i="1"/>
  <c r="EC33" i="1" s="1"/>
  <c r="EA35" i="1"/>
  <c r="EC35" i="1" s="1"/>
  <c r="EA397" i="1"/>
  <c r="EC397" i="1" s="1"/>
  <c r="EA399" i="1"/>
  <c r="EC399" i="1" s="1"/>
  <c r="EA401" i="1"/>
  <c r="EC401" i="1" s="1"/>
  <c r="EA403" i="1"/>
  <c r="EC403" i="1" s="1"/>
  <c r="EA405" i="1"/>
  <c r="EC405" i="1" s="1"/>
  <c r="EA407" i="1"/>
  <c r="EC407" i="1" s="1"/>
  <c r="EA409" i="1"/>
  <c r="EC409" i="1" s="1"/>
  <c r="EA411" i="1"/>
  <c r="EC411" i="1" s="1"/>
  <c r="EA413" i="1"/>
  <c r="EC413" i="1" s="1"/>
  <c r="EA415" i="1"/>
  <c r="EC415" i="1" s="1"/>
  <c r="EA417" i="1"/>
  <c r="EC417" i="1" s="1"/>
  <c r="EA419" i="1"/>
  <c r="EC419" i="1" s="1"/>
  <c r="EA421" i="1"/>
  <c r="EC421" i="1" s="1"/>
  <c r="EA423" i="1"/>
  <c r="EC423" i="1" s="1"/>
  <c r="EA425" i="1"/>
  <c r="EC425" i="1" s="1"/>
  <c r="EA396" i="1"/>
  <c r="EA363" i="1"/>
  <c r="EC363" i="1" s="1"/>
  <c r="EA365" i="1"/>
  <c r="EC365" i="1" s="1"/>
  <c r="EA367" i="1"/>
  <c r="EC367" i="1" s="1"/>
  <c r="EA369" i="1"/>
  <c r="EC369" i="1" s="1"/>
  <c r="EA371" i="1"/>
  <c r="EC371" i="1" s="1"/>
  <c r="EA373" i="1"/>
  <c r="EC373" i="1" s="1"/>
  <c r="EA375" i="1"/>
  <c r="EC375" i="1" s="1"/>
  <c r="EA377" i="1"/>
  <c r="EC377" i="1" s="1"/>
  <c r="EA379" i="1"/>
  <c r="EC379" i="1" s="1"/>
  <c r="EA381" i="1"/>
  <c r="EC381" i="1" s="1"/>
  <c r="EA383" i="1"/>
  <c r="EC383" i="1" s="1"/>
  <c r="EA385" i="1"/>
  <c r="EC385" i="1" s="1"/>
  <c r="EA387" i="1"/>
  <c r="EC387" i="1" s="1"/>
  <c r="EA389" i="1"/>
  <c r="EC389" i="1" s="1"/>
  <c r="EA361" i="1"/>
  <c r="EA327" i="1"/>
  <c r="EC327" i="1" s="1"/>
  <c r="EA329" i="1"/>
  <c r="EC329" i="1" s="1"/>
  <c r="EA331" i="1"/>
  <c r="EC331" i="1" s="1"/>
  <c r="EA333" i="1"/>
  <c r="EC333" i="1" s="1"/>
  <c r="EA335" i="1"/>
  <c r="EC335" i="1" s="1"/>
  <c r="EA337" i="1"/>
  <c r="EC337" i="1" s="1"/>
  <c r="EA339" i="1"/>
  <c r="EC339" i="1" s="1"/>
  <c r="EA341" i="1"/>
  <c r="EC341" i="1" s="1"/>
  <c r="EA343" i="1"/>
  <c r="EC343" i="1" s="1"/>
  <c r="EA345" i="1"/>
  <c r="EC345" i="1" s="1"/>
  <c r="EA347" i="1"/>
  <c r="EC347" i="1" s="1"/>
  <c r="EA349" i="1"/>
  <c r="EC349" i="1" s="1"/>
  <c r="EA351" i="1"/>
  <c r="EC351" i="1" s="1"/>
  <c r="EA353" i="1"/>
  <c r="EC353" i="1" s="1"/>
  <c r="EA355" i="1"/>
  <c r="EC355" i="1" s="1"/>
  <c r="EA291" i="1"/>
  <c r="EC291" i="1" s="1"/>
  <c r="EA293" i="1"/>
  <c r="EC293" i="1" s="1"/>
  <c r="EA295" i="1"/>
  <c r="EC295" i="1" s="1"/>
  <c r="EA297" i="1"/>
  <c r="EC297" i="1" s="1"/>
  <c r="EA299" i="1"/>
  <c r="EC299" i="1" s="1"/>
  <c r="EA301" i="1"/>
  <c r="EC301" i="1" s="1"/>
  <c r="EA303" i="1"/>
  <c r="EC303" i="1" s="1"/>
  <c r="EA305" i="1"/>
  <c r="EC305" i="1" s="1"/>
  <c r="EA307" i="1"/>
  <c r="EC307" i="1" s="1"/>
  <c r="EA309" i="1"/>
  <c r="EC309" i="1" s="1"/>
  <c r="EA311" i="1"/>
  <c r="EC311" i="1" s="1"/>
  <c r="EA313" i="1"/>
  <c r="EC313" i="1" s="1"/>
  <c r="EA315" i="1"/>
  <c r="EC315" i="1" s="1"/>
  <c r="EA317" i="1"/>
  <c r="EC317" i="1" s="1"/>
  <c r="EA319" i="1"/>
  <c r="EC319" i="1" s="1"/>
  <c r="EA255" i="1"/>
  <c r="EC255" i="1" s="1"/>
  <c r="EA257" i="1"/>
  <c r="EC257" i="1" s="1"/>
  <c r="EA259" i="1"/>
  <c r="EC259" i="1" s="1"/>
  <c r="EA261" i="1"/>
  <c r="EC261" i="1" s="1"/>
  <c r="EA263" i="1"/>
  <c r="EC263" i="1" s="1"/>
  <c r="EA265" i="1"/>
  <c r="EC265" i="1" s="1"/>
  <c r="EA267" i="1"/>
  <c r="EC267" i="1" s="1"/>
  <c r="EA269" i="1"/>
  <c r="EC269" i="1" s="1"/>
  <c r="EA271" i="1"/>
  <c r="EC271" i="1" s="1"/>
  <c r="EA273" i="1"/>
  <c r="EC273" i="1" s="1"/>
  <c r="EA275" i="1"/>
  <c r="EC275" i="1" s="1"/>
  <c r="EA277" i="1"/>
  <c r="EC277" i="1" s="1"/>
  <c r="EA279" i="1"/>
  <c r="EC279" i="1" s="1"/>
  <c r="EA281" i="1"/>
  <c r="EC281" i="1" s="1"/>
  <c r="EA283" i="1"/>
  <c r="EC283" i="1" s="1"/>
  <c r="EA254" i="1"/>
  <c r="EA220" i="1"/>
  <c r="EC220" i="1" s="1"/>
  <c r="EA222" i="1"/>
  <c r="EC222" i="1" s="1"/>
  <c r="EA224" i="1"/>
  <c r="EC224" i="1" s="1"/>
  <c r="EA226" i="1"/>
  <c r="EC226" i="1" s="1"/>
  <c r="EA228" i="1"/>
  <c r="EC228" i="1" s="1"/>
  <c r="EA230" i="1"/>
  <c r="EC230" i="1" s="1"/>
  <c r="EA232" i="1"/>
  <c r="EC232" i="1" s="1"/>
  <c r="EA234" i="1"/>
  <c r="EC234" i="1" s="1"/>
  <c r="EA236" i="1"/>
  <c r="EC236" i="1" s="1"/>
  <c r="EA238" i="1"/>
  <c r="EC238" i="1" s="1"/>
  <c r="EA240" i="1"/>
  <c r="EC240" i="1" s="1"/>
  <c r="EA242" i="1"/>
  <c r="EC242" i="1" s="1"/>
  <c r="EA244" i="1"/>
  <c r="EC244" i="1" s="1"/>
  <c r="EA246" i="1"/>
  <c r="EC246" i="1" s="1"/>
  <c r="EA248" i="1"/>
  <c r="EC248" i="1" s="1"/>
  <c r="EA184" i="1"/>
  <c r="EC184" i="1" s="1"/>
  <c r="EA186" i="1"/>
  <c r="EC186" i="1" s="1"/>
  <c r="EA188" i="1"/>
  <c r="EC188" i="1" s="1"/>
  <c r="EA190" i="1"/>
  <c r="EC190" i="1" s="1"/>
  <c r="EA192" i="1"/>
  <c r="EC192" i="1" s="1"/>
  <c r="EA194" i="1"/>
  <c r="EC194" i="1" s="1"/>
  <c r="EA198" i="1"/>
  <c r="EC198" i="1" s="1"/>
  <c r="EA200" i="1"/>
  <c r="EC200" i="1" s="1"/>
  <c r="EA202" i="1"/>
  <c r="EC202" i="1" s="1"/>
  <c r="EA204" i="1"/>
  <c r="EC204" i="1" s="1"/>
  <c r="EA206" i="1"/>
  <c r="EC206" i="1" s="1"/>
  <c r="EA208" i="1"/>
  <c r="EC208" i="1" s="1"/>
  <c r="EA210" i="1"/>
  <c r="EC210" i="1" s="1"/>
  <c r="EA212" i="1"/>
  <c r="EC212" i="1" s="1"/>
  <c r="EA148" i="1"/>
  <c r="EC148" i="1" s="1"/>
  <c r="EA150" i="1"/>
  <c r="EC150" i="1" s="1"/>
  <c r="EA152" i="1"/>
  <c r="EC152" i="1" s="1"/>
  <c r="EA154" i="1"/>
  <c r="EC154" i="1" s="1"/>
  <c r="EA156" i="1"/>
  <c r="EC156" i="1" s="1"/>
  <c r="EA158" i="1"/>
  <c r="EC158" i="1" s="1"/>
  <c r="EA160" i="1"/>
  <c r="EC160" i="1" s="1"/>
  <c r="EA162" i="1"/>
  <c r="EC162" i="1" s="1"/>
  <c r="EA164" i="1"/>
  <c r="EC164" i="1" s="1"/>
  <c r="EA166" i="1"/>
  <c r="EC166" i="1" s="1"/>
  <c r="EA168" i="1"/>
  <c r="EC168" i="1" s="1"/>
  <c r="EA170" i="1"/>
  <c r="EC170" i="1" s="1"/>
  <c r="EA172" i="1"/>
  <c r="EC172" i="1" s="1"/>
  <c r="EA174" i="1"/>
  <c r="EC174" i="1" s="1"/>
  <c r="EA176" i="1"/>
  <c r="EC176" i="1" s="1"/>
  <c r="EA114" i="1"/>
  <c r="EC114" i="1" s="1"/>
  <c r="EA116" i="1"/>
  <c r="EC116" i="1" s="1"/>
  <c r="EA118" i="1"/>
  <c r="EC118" i="1" s="1"/>
  <c r="EA120" i="1"/>
  <c r="EC120" i="1" s="1"/>
  <c r="EA122" i="1"/>
  <c r="EC122" i="1" s="1"/>
  <c r="EA124" i="1"/>
  <c r="EC124" i="1" s="1"/>
  <c r="EA126" i="1"/>
  <c r="EC126" i="1" s="1"/>
  <c r="EA128" i="1"/>
  <c r="EC128" i="1" s="1"/>
  <c r="EA130" i="1"/>
  <c r="EC130" i="1" s="1"/>
  <c r="EA132" i="1"/>
  <c r="EC132" i="1" s="1"/>
  <c r="EA134" i="1"/>
  <c r="EC134" i="1" s="1"/>
  <c r="EA136" i="1"/>
  <c r="EC136" i="1" s="1"/>
  <c r="EA138" i="1"/>
  <c r="EC138" i="1" s="1"/>
  <c r="EA140" i="1"/>
  <c r="EC140" i="1" s="1"/>
  <c r="EA112" i="1"/>
  <c r="EA78" i="1"/>
  <c r="EC78" i="1" s="1"/>
  <c r="EA80" i="1"/>
  <c r="EC80" i="1" s="1"/>
  <c r="EA82" i="1"/>
  <c r="EC82" i="1" s="1"/>
  <c r="EA84" i="1"/>
  <c r="EC84" i="1" s="1"/>
  <c r="EA86" i="1"/>
  <c r="EC86" i="1" s="1"/>
  <c r="EA88" i="1"/>
  <c r="EC88" i="1" s="1"/>
  <c r="EA90" i="1"/>
  <c r="EC90" i="1" s="1"/>
  <c r="EA92" i="1"/>
  <c r="EC92" i="1" s="1"/>
  <c r="EA94" i="1"/>
  <c r="EC94" i="1" s="1"/>
  <c r="EA96" i="1"/>
  <c r="EC96" i="1" s="1"/>
  <c r="EA98" i="1"/>
  <c r="EC98" i="1" s="1"/>
  <c r="EA100" i="1"/>
  <c r="EC100" i="1" s="1"/>
  <c r="EA102" i="1"/>
  <c r="EC102" i="1" s="1"/>
  <c r="EA104" i="1"/>
  <c r="EC104" i="1" s="1"/>
  <c r="EA106" i="1"/>
  <c r="EC106" i="1" s="1"/>
  <c r="EA43" i="1"/>
  <c r="EC43" i="1" s="1"/>
  <c r="EA45" i="1"/>
  <c r="EC45" i="1" s="1"/>
  <c r="EA47" i="1"/>
  <c r="EC47" i="1" s="1"/>
  <c r="EA49" i="1"/>
  <c r="EC49" i="1" s="1"/>
  <c r="EA51" i="1"/>
  <c r="EC51" i="1" s="1"/>
  <c r="EA53" i="1"/>
  <c r="EC53" i="1" s="1"/>
  <c r="EA55" i="1"/>
  <c r="EC55" i="1" s="1"/>
  <c r="EA57" i="1"/>
  <c r="EC57" i="1" s="1"/>
  <c r="EA59" i="1"/>
  <c r="EC59" i="1" s="1"/>
  <c r="EA61" i="1"/>
  <c r="EC61" i="1" s="1"/>
  <c r="EA63" i="1"/>
  <c r="EC63" i="1" s="1"/>
  <c r="EA65" i="1"/>
  <c r="EC65" i="1" s="1"/>
  <c r="EA67" i="1"/>
  <c r="EC67" i="1" s="1"/>
  <c r="EA69" i="1"/>
  <c r="EC69" i="1" s="1"/>
  <c r="EA42" i="1"/>
  <c r="EA8" i="1"/>
  <c r="EC8" i="1" s="1"/>
  <c r="EA10" i="1"/>
  <c r="EC10" i="1" s="1"/>
  <c r="EA12" i="1"/>
  <c r="EC12" i="1" s="1"/>
  <c r="EA14" i="1"/>
  <c r="EC14" i="1" s="1"/>
  <c r="EA16" i="1"/>
  <c r="EC16" i="1" s="1"/>
  <c r="EA18" i="1"/>
  <c r="EC18" i="1" s="1"/>
  <c r="EA20" i="1"/>
  <c r="EC20" i="1" s="1"/>
  <c r="EA22" i="1"/>
  <c r="EC22" i="1" s="1"/>
  <c r="EA24" i="1"/>
  <c r="EC24" i="1" s="1"/>
  <c r="EA26" i="1"/>
  <c r="EC26" i="1" s="1"/>
  <c r="EA28" i="1"/>
  <c r="EC28" i="1" s="1"/>
  <c r="EA30" i="1"/>
  <c r="EC30" i="1" s="1"/>
  <c r="EA32" i="1"/>
  <c r="EC32" i="1" s="1"/>
  <c r="EA34" i="1"/>
  <c r="EC34" i="1" s="1"/>
  <c r="EA36" i="1"/>
  <c r="EC36" i="1" s="1"/>
  <c r="FK7" i="1"/>
  <c r="FM7" i="1" s="1"/>
  <c r="FK9" i="1"/>
  <c r="FM9" i="1" s="1"/>
  <c r="FK11" i="1"/>
  <c r="FM11" i="1" s="1"/>
  <c r="FK13" i="1"/>
  <c r="FM13" i="1" s="1"/>
  <c r="FK15" i="1"/>
  <c r="FM15" i="1" s="1"/>
  <c r="FK17" i="1"/>
  <c r="FM17" i="1" s="1"/>
  <c r="FK19" i="1"/>
  <c r="FM19" i="1" s="1"/>
  <c r="FK21" i="1"/>
  <c r="FM21" i="1" s="1"/>
  <c r="FK23" i="1"/>
  <c r="FM23" i="1" s="1"/>
  <c r="FK25" i="1"/>
  <c r="FM25" i="1" s="1"/>
  <c r="FK27" i="1"/>
  <c r="FM27" i="1" s="1"/>
  <c r="FK29" i="1"/>
  <c r="FM29" i="1" s="1"/>
  <c r="FK31" i="1"/>
  <c r="FM31" i="1" s="1"/>
  <c r="FK33" i="1"/>
  <c r="FM33" i="1" s="1"/>
  <c r="FK35" i="1"/>
  <c r="FM35" i="1" s="1"/>
  <c r="FK8" i="1"/>
  <c r="FM8" i="1" s="1"/>
  <c r="FK10" i="1"/>
  <c r="FM10" i="1" s="1"/>
  <c r="FK12" i="1"/>
  <c r="FM12" i="1" s="1"/>
  <c r="FK14" i="1"/>
  <c r="FM14" i="1" s="1"/>
  <c r="FK16" i="1"/>
  <c r="FM16" i="1" s="1"/>
  <c r="FK18" i="1"/>
  <c r="FM18" i="1" s="1"/>
  <c r="FK20" i="1"/>
  <c r="FM20" i="1" s="1"/>
  <c r="FK22" i="1"/>
  <c r="FM22" i="1" s="1"/>
  <c r="FK24" i="1"/>
  <c r="FM24" i="1" s="1"/>
  <c r="FK26" i="1"/>
  <c r="FM26" i="1" s="1"/>
  <c r="FK28" i="1"/>
  <c r="FM28" i="1" s="1"/>
  <c r="FK30" i="1"/>
  <c r="FM30" i="1" s="1"/>
  <c r="FK32" i="1"/>
  <c r="FM32" i="1" s="1"/>
  <c r="FK34" i="1"/>
  <c r="FM34" i="1" s="1"/>
  <c r="FK36" i="1"/>
  <c r="FM36" i="1" s="1"/>
  <c r="FK397" i="1"/>
  <c r="FM397" i="1" s="1"/>
  <c r="FK399" i="1"/>
  <c r="FM399" i="1" s="1"/>
  <c r="FK401" i="1"/>
  <c r="FM401" i="1" s="1"/>
  <c r="FK403" i="1"/>
  <c r="FM403" i="1" s="1"/>
  <c r="FK405" i="1"/>
  <c r="FM405" i="1" s="1"/>
  <c r="FK407" i="1"/>
  <c r="FM407" i="1" s="1"/>
  <c r="FK409" i="1"/>
  <c r="FM409" i="1" s="1"/>
  <c r="FK411" i="1"/>
  <c r="FM411" i="1" s="1"/>
  <c r="FK413" i="1"/>
  <c r="FM413" i="1" s="1"/>
  <c r="FK415" i="1"/>
  <c r="FM415" i="1" s="1"/>
  <c r="FK417" i="1"/>
  <c r="FM417" i="1" s="1"/>
  <c r="FK419" i="1"/>
  <c r="FM419" i="1" s="1"/>
  <c r="FK421" i="1"/>
  <c r="FM421" i="1" s="1"/>
  <c r="FK423" i="1"/>
  <c r="FM423" i="1" s="1"/>
  <c r="FK425" i="1"/>
  <c r="FM425" i="1" s="1"/>
  <c r="FK396" i="1"/>
  <c r="FK363" i="1"/>
  <c r="FM363" i="1" s="1"/>
  <c r="FK365" i="1"/>
  <c r="FM365" i="1" s="1"/>
  <c r="FK367" i="1"/>
  <c r="FM367" i="1" s="1"/>
  <c r="FK369" i="1"/>
  <c r="FM369" i="1" s="1"/>
  <c r="FK371" i="1"/>
  <c r="FM371" i="1" s="1"/>
  <c r="FK373" i="1"/>
  <c r="FM373" i="1" s="1"/>
  <c r="FK375" i="1"/>
  <c r="FM375" i="1" s="1"/>
  <c r="FK377" i="1"/>
  <c r="FM377" i="1" s="1"/>
  <c r="FK379" i="1"/>
  <c r="FM379" i="1" s="1"/>
  <c r="FK381" i="1"/>
  <c r="FM381" i="1" s="1"/>
  <c r="FK383" i="1"/>
  <c r="FM383" i="1" s="1"/>
  <c r="FK385" i="1"/>
  <c r="FM385" i="1" s="1"/>
  <c r="FK387" i="1"/>
  <c r="FM387" i="1" s="1"/>
  <c r="FK389" i="1"/>
  <c r="FM389" i="1" s="1"/>
  <c r="FK361" i="1"/>
  <c r="FK327" i="1"/>
  <c r="FM327" i="1" s="1"/>
  <c r="FK329" i="1"/>
  <c r="FM329" i="1" s="1"/>
  <c r="FK331" i="1"/>
  <c r="FM331" i="1" s="1"/>
  <c r="FK333" i="1"/>
  <c r="FM333" i="1" s="1"/>
  <c r="FK335" i="1"/>
  <c r="FM335" i="1" s="1"/>
  <c r="FK337" i="1"/>
  <c r="FM337" i="1" s="1"/>
  <c r="FK339" i="1"/>
  <c r="FM339" i="1" s="1"/>
  <c r="FK341" i="1"/>
  <c r="FM341" i="1" s="1"/>
  <c r="FK343" i="1"/>
  <c r="FM343" i="1" s="1"/>
  <c r="FK345" i="1"/>
  <c r="FM345" i="1" s="1"/>
  <c r="FK347" i="1"/>
  <c r="FM347" i="1" s="1"/>
  <c r="FK349" i="1"/>
  <c r="FM349" i="1" s="1"/>
  <c r="FK351" i="1"/>
  <c r="FM351" i="1" s="1"/>
  <c r="FK353" i="1"/>
  <c r="FM353" i="1" s="1"/>
  <c r="FK355" i="1"/>
  <c r="FM355" i="1" s="1"/>
  <c r="FK291" i="1"/>
  <c r="FM291" i="1" s="1"/>
  <c r="FK293" i="1"/>
  <c r="FM293" i="1" s="1"/>
  <c r="FK295" i="1"/>
  <c r="FM295" i="1" s="1"/>
  <c r="FK297" i="1"/>
  <c r="FM297" i="1" s="1"/>
  <c r="FK299" i="1"/>
  <c r="FM299" i="1" s="1"/>
  <c r="FK301" i="1"/>
  <c r="FM301" i="1" s="1"/>
  <c r="FK303" i="1"/>
  <c r="FM303" i="1" s="1"/>
  <c r="FK305" i="1"/>
  <c r="FM305" i="1" s="1"/>
  <c r="FK307" i="1"/>
  <c r="FM307" i="1" s="1"/>
  <c r="FK309" i="1"/>
  <c r="FM309" i="1" s="1"/>
  <c r="FK311" i="1"/>
  <c r="FM311" i="1" s="1"/>
  <c r="FK313" i="1"/>
  <c r="FM313" i="1" s="1"/>
  <c r="FK315" i="1"/>
  <c r="FM315" i="1" s="1"/>
  <c r="FK317" i="1"/>
  <c r="FM317" i="1" s="1"/>
  <c r="FK319" i="1"/>
  <c r="FM319" i="1" s="1"/>
  <c r="FK255" i="1"/>
  <c r="FM255" i="1" s="1"/>
  <c r="FK257" i="1"/>
  <c r="FM257" i="1" s="1"/>
  <c r="FK259" i="1"/>
  <c r="FM259" i="1" s="1"/>
  <c r="FK261" i="1"/>
  <c r="FM261" i="1" s="1"/>
  <c r="FK263" i="1"/>
  <c r="FM263" i="1" s="1"/>
  <c r="FK265" i="1"/>
  <c r="FM265" i="1" s="1"/>
  <c r="FK267" i="1"/>
  <c r="FM267" i="1" s="1"/>
  <c r="FK269" i="1"/>
  <c r="FM269" i="1" s="1"/>
  <c r="FK271" i="1"/>
  <c r="FM271" i="1" s="1"/>
  <c r="FK273" i="1"/>
  <c r="FM273" i="1" s="1"/>
  <c r="FK275" i="1"/>
  <c r="FM275" i="1" s="1"/>
  <c r="FK277" i="1"/>
  <c r="FM277" i="1" s="1"/>
  <c r="FK279" i="1"/>
  <c r="FM279" i="1" s="1"/>
  <c r="FK281" i="1"/>
  <c r="FM281" i="1" s="1"/>
  <c r="FK283" i="1"/>
  <c r="FM283" i="1" s="1"/>
  <c r="FK254" i="1"/>
  <c r="FK220" i="1"/>
  <c r="FM220" i="1" s="1"/>
  <c r="FK222" i="1"/>
  <c r="FM222" i="1" s="1"/>
  <c r="FK224" i="1"/>
  <c r="FM224" i="1" s="1"/>
  <c r="FK226" i="1"/>
  <c r="FM226" i="1" s="1"/>
  <c r="FK228" i="1"/>
  <c r="FM228" i="1" s="1"/>
  <c r="FK230" i="1"/>
  <c r="FM230" i="1" s="1"/>
  <c r="FK232" i="1"/>
  <c r="FM232" i="1" s="1"/>
  <c r="FK234" i="1"/>
  <c r="FM234" i="1" s="1"/>
  <c r="FK236" i="1"/>
  <c r="FM236" i="1" s="1"/>
  <c r="FK238" i="1"/>
  <c r="FM238" i="1" s="1"/>
  <c r="FK240" i="1"/>
  <c r="FM240" i="1" s="1"/>
  <c r="FK242" i="1"/>
  <c r="FM242" i="1" s="1"/>
  <c r="FK244" i="1"/>
  <c r="FM244" i="1" s="1"/>
  <c r="FK246" i="1"/>
  <c r="FM246" i="1" s="1"/>
  <c r="FK248" i="1"/>
  <c r="FM248" i="1" s="1"/>
  <c r="FK184" i="1"/>
  <c r="FM184" i="1" s="1"/>
  <c r="FK186" i="1"/>
  <c r="FM186" i="1" s="1"/>
  <c r="FK188" i="1"/>
  <c r="FM188" i="1" s="1"/>
  <c r="FK190" i="1"/>
  <c r="FM190" i="1" s="1"/>
  <c r="FK192" i="1"/>
  <c r="FM192" i="1" s="1"/>
  <c r="FK194" i="1"/>
  <c r="FM194" i="1" s="1"/>
  <c r="FK196" i="1"/>
  <c r="FM196" i="1" s="1"/>
  <c r="FK198" i="1"/>
  <c r="FM198" i="1" s="1"/>
  <c r="FK200" i="1"/>
  <c r="FM200" i="1" s="1"/>
  <c r="FK202" i="1"/>
  <c r="FM202" i="1" s="1"/>
  <c r="FK204" i="1"/>
  <c r="FM204" i="1" s="1"/>
  <c r="FK206" i="1"/>
  <c r="FM206" i="1" s="1"/>
  <c r="FK208" i="1"/>
  <c r="FM208" i="1" s="1"/>
  <c r="FK210" i="1"/>
  <c r="FM210" i="1" s="1"/>
  <c r="FK212" i="1"/>
  <c r="FM212" i="1" s="1"/>
  <c r="FK148" i="1"/>
  <c r="FM148" i="1" s="1"/>
  <c r="FK150" i="1"/>
  <c r="FM150" i="1" s="1"/>
  <c r="FK152" i="1"/>
  <c r="FM152" i="1" s="1"/>
  <c r="FK154" i="1"/>
  <c r="FM154" i="1" s="1"/>
  <c r="FK156" i="1"/>
  <c r="FM156" i="1" s="1"/>
  <c r="FK158" i="1"/>
  <c r="FM158" i="1" s="1"/>
  <c r="FK160" i="1"/>
  <c r="FM160" i="1" s="1"/>
  <c r="FK162" i="1"/>
  <c r="FM162" i="1" s="1"/>
  <c r="FK164" i="1"/>
  <c r="FM164" i="1" s="1"/>
  <c r="FK166" i="1"/>
  <c r="FM166" i="1" s="1"/>
  <c r="FK168" i="1"/>
  <c r="FM168" i="1" s="1"/>
  <c r="FK170" i="1"/>
  <c r="FM170" i="1" s="1"/>
  <c r="FK172" i="1"/>
  <c r="FM172" i="1" s="1"/>
  <c r="FK174" i="1"/>
  <c r="FM174" i="1" s="1"/>
  <c r="FK176" i="1"/>
  <c r="FM176" i="1" s="1"/>
  <c r="FK114" i="1"/>
  <c r="FM114" i="1" s="1"/>
  <c r="FK116" i="1"/>
  <c r="FM116" i="1" s="1"/>
  <c r="FK118" i="1"/>
  <c r="FM118" i="1" s="1"/>
  <c r="FK120" i="1"/>
  <c r="FM120" i="1" s="1"/>
  <c r="FK122" i="1"/>
  <c r="FM122" i="1" s="1"/>
  <c r="FK124" i="1"/>
  <c r="FM124" i="1" s="1"/>
  <c r="FK126" i="1"/>
  <c r="FM126" i="1" s="1"/>
  <c r="FK128" i="1"/>
  <c r="FM128" i="1" s="1"/>
  <c r="FK130" i="1"/>
  <c r="FM130" i="1" s="1"/>
  <c r="FK132" i="1"/>
  <c r="FM132" i="1" s="1"/>
  <c r="FK134" i="1"/>
  <c r="FM134" i="1" s="1"/>
  <c r="FK136" i="1"/>
  <c r="FM136" i="1" s="1"/>
  <c r="FK138" i="1"/>
  <c r="FM138" i="1" s="1"/>
  <c r="FK140" i="1"/>
  <c r="FM140" i="1" s="1"/>
  <c r="FK112" i="1"/>
  <c r="FK78" i="1"/>
  <c r="FM78" i="1" s="1"/>
  <c r="FK80" i="1"/>
  <c r="FM80" i="1" s="1"/>
  <c r="FK82" i="1"/>
  <c r="FM82" i="1" s="1"/>
  <c r="FK84" i="1"/>
  <c r="FM84" i="1" s="1"/>
  <c r="FK86" i="1"/>
  <c r="FM86" i="1" s="1"/>
  <c r="FK88" i="1"/>
  <c r="FM88" i="1" s="1"/>
  <c r="FK90" i="1"/>
  <c r="FM90" i="1" s="1"/>
  <c r="FK92" i="1"/>
  <c r="FM92" i="1" s="1"/>
  <c r="FK94" i="1"/>
  <c r="FM94" i="1" s="1"/>
  <c r="FK96" i="1"/>
  <c r="FM96" i="1" s="1"/>
  <c r="FK98" i="1"/>
  <c r="FM98" i="1" s="1"/>
  <c r="FK100" i="1"/>
  <c r="FM100" i="1" s="1"/>
  <c r="FK102" i="1"/>
  <c r="FM102" i="1" s="1"/>
  <c r="FK104" i="1"/>
  <c r="FM104" i="1" s="1"/>
  <c r="FK106" i="1"/>
  <c r="FM106" i="1" s="1"/>
  <c r="FK43" i="1"/>
  <c r="FM43" i="1" s="1"/>
  <c r="FK45" i="1"/>
  <c r="FM45" i="1" s="1"/>
  <c r="FK47" i="1"/>
  <c r="FM47" i="1" s="1"/>
  <c r="FK49" i="1"/>
  <c r="FM49" i="1" s="1"/>
  <c r="FK51" i="1"/>
  <c r="FM51" i="1" s="1"/>
  <c r="FK53" i="1"/>
  <c r="FM53" i="1" s="1"/>
  <c r="FK55" i="1"/>
  <c r="FM55" i="1" s="1"/>
  <c r="FK57" i="1"/>
  <c r="FM57" i="1" s="1"/>
  <c r="FK59" i="1"/>
  <c r="FM59" i="1" s="1"/>
  <c r="FK61" i="1"/>
  <c r="FM61" i="1" s="1"/>
  <c r="FK63" i="1"/>
  <c r="FM63" i="1" s="1"/>
  <c r="FK65" i="1"/>
  <c r="FM65" i="1" s="1"/>
  <c r="FK67" i="1"/>
  <c r="FM67" i="1" s="1"/>
  <c r="FK69" i="1"/>
  <c r="FM69" i="1" s="1"/>
  <c r="FK42" i="1"/>
  <c r="FK398" i="1"/>
  <c r="FM398" i="1" s="1"/>
  <c r="FK400" i="1"/>
  <c r="FM400" i="1" s="1"/>
  <c r="FK402" i="1"/>
  <c r="FM402" i="1" s="1"/>
  <c r="FK404" i="1"/>
  <c r="FM404" i="1" s="1"/>
  <c r="FK406" i="1"/>
  <c r="FM406" i="1" s="1"/>
  <c r="FK408" i="1"/>
  <c r="FM408" i="1" s="1"/>
  <c r="FK410" i="1"/>
  <c r="FM410" i="1" s="1"/>
  <c r="FK412" i="1"/>
  <c r="FM412" i="1" s="1"/>
  <c r="FK414" i="1"/>
  <c r="FM414" i="1" s="1"/>
  <c r="FK416" i="1"/>
  <c r="FM416" i="1" s="1"/>
  <c r="FK418" i="1"/>
  <c r="FM418" i="1" s="1"/>
  <c r="FK420" i="1"/>
  <c r="FM420" i="1" s="1"/>
  <c r="FK422" i="1"/>
  <c r="FM422" i="1" s="1"/>
  <c r="FK424" i="1"/>
  <c r="FM424" i="1" s="1"/>
  <c r="FK426" i="1"/>
  <c r="FM426" i="1" s="1"/>
  <c r="FK362" i="1"/>
  <c r="FM362" i="1" s="1"/>
  <c r="FK364" i="1"/>
  <c r="FM364" i="1" s="1"/>
  <c r="FK366" i="1"/>
  <c r="FM366" i="1" s="1"/>
  <c r="FK368" i="1"/>
  <c r="FM368" i="1" s="1"/>
  <c r="FK370" i="1"/>
  <c r="FM370" i="1" s="1"/>
  <c r="FK372" i="1"/>
  <c r="FM372" i="1" s="1"/>
  <c r="FK374" i="1"/>
  <c r="FM374" i="1" s="1"/>
  <c r="FK376" i="1"/>
  <c r="FM376" i="1" s="1"/>
  <c r="FK378" i="1"/>
  <c r="FM378" i="1" s="1"/>
  <c r="FK380" i="1"/>
  <c r="FM380" i="1" s="1"/>
  <c r="FK382" i="1"/>
  <c r="FM382" i="1" s="1"/>
  <c r="FK384" i="1"/>
  <c r="FM384" i="1" s="1"/>
  <c r="FK386" i="1"/>
  <c r="FM386" i="1" s="1"/>
  <c r="FK388" i="1"/>
  <c r="FM388" i="1" s="1"/>
  <c r="FK390" i="1"/>
  <c r="FM390" i="1" s="1"/>
  <c r="FK326" i="1"/>
  <c r="FM326" i="1" s="1"/>
  <c r="FK328" i="1"/>
  <c r="FM328" i="1" s="1"/>
  <c r="FK330" i="1"/>
  <c r="FM330" i="1" s="1"/>
  <c r="FK332" i="1"/>
  <c r="FM332" i="1" s="1"/>
  <c r="FK334" i="1"/>
  <c r="FM334" i="1" s="1"/>
  <c r="FK336" i="1"/>
  <c r="FM336" i="1" s="1"/>
  <c r="FK338" i="1"/>
  <c r="FM338" i="1" s="1"/>
  <c r="FK340" i="1"/>
  <c r="FM340" i="1" s="1"/>
  <c r="FK342" i="1"/>
  <c r="FM342" i="1" s="1"/>
  <c r="FK344" i="1"/>
  <c r="FM344" i="1" s="1"/>
  <c r="FK346" i="1"/>
  <c r="FM346" i="1" s="1"/>
  <c r="FK348" i="1"/>
  <c r="FM348" i="1" s="1"/>
  <c r="FK350" i="1"/>
  <c r="FM350" i="1" s="1"/>
  <c r="FK352" i="1"/>
  <c r="FM352" i="1" s="1"/>
  <c r="FK354" i="1"/>
  <c r="FM354" i="1" s="1"/>
  <c r="FK325" i="1"/>
  <c r="FK292" i="1"/>
  <c r="FM292" i="1" s="1"/>
  <c r="FK294" i="1"/>
  <c r="FM294" i="1" s="1"/>
  <c r="FK296" i="1"/>
  <c r="FM296" i="1" s="1"/>
  <c r="FK298" i="1"/>
  <c r="FM298" i="1" s="1"/>
  <c r="FK300" i="1"/>
  <c r="FM300" i="1" s="1"/>
  <c r="FK302" i="1"/>
  <c r="FM302" i="1" s="1"/>
  <c r="FK304" i="1"/>
  <c r="FM304" i="1" s="1"/>
  <c r="FK306" i="1"/>
  <c r="FM306" i="1" s="1"/>
  <c r="FK308" i="1"/>
  <c r="FM308" i="1" s="1"/>
  <c r="FK310" i="1"/>
  <c r="FM310" i="1" s="1"/>
  <c r="FK312" i="1"/>
  <c r="FM312" i="1" s="1"/>
  <c r="FK314" i="1"/>
  <c r="FM314" i="1" s="1"/>
  <c r="FK316" i="1"/>
  <c r="FM316" i="1" s="1"/>
  <c r="FK318" i="1"/>
  <c r="FM318" i="1" s="1"/>
  <c r="FK290" i="1"/>
  <c r="FK256" i="1"/>
  <c r="FM256" i="1" s="1"/>
  <c r="FK258" i="1"/>
  <c r="FM258" i="1" s="1"/>
  <c r="FK260" i="1"/>
  <c r="FM260" i="1" s="1"/>
  <c r="FK262" i="1"/>
  <c r="FM262" i="1" s="1"/>
  <c r="FK264" i="1"/>
  <c r="FM264" i="1" s="1"/>
  <c r="FK266" i="1"/>
  <c r="FM266" i="1" s="1"/>
  <c r="FK268" i="1"/>
  <c r="FM268" i="1" s="1"/>
  <c r="FK270" i="1"/>
  <c r="FM270" i="1" s="1"/>
  <c r="FK272" i="1"/>
  <c r="FM272" i="1" s="1"/>
  <c r="FK274" i="1"/>
  <c r="FM274" i="1" s="1"/>
  <c r="FK276" i="1"/>
  <c r="FM276" i="1" s="1"/>
  <c r="FK278" i="1"/>
  <c r="FM278" i="1" s="1"/>
  <c r="FK280" i="1"/>
  <c r="FM280" i="1" s="1"/>
  <c r="FK282" i="1"/>
  <c r="FM282" i="1" s="1"/>
  <c r="FK284" i="1"/>
  <c r="FM284" i="1" s="1"/>
  <c r="FK219" i="1"/>
  <c r="FM219" i="1" s="1"/>
  <c r="FK221" i="1"/>
  <c r="FM221" i="1" s="1"/>
  <c r="FK223" i="1"/>
  <c r="FM223" i="1" s="1"/>
  <c r="FK225" i="1"/>
  <c r="FM225" i="1" s="1"/>
  <c r="FK227" i="1"/>
  <c r="FM227" i="1" s="1"/>
  <c r="FK229" i="1"/>
  <c r="FM229" i="1" s="1"/>
  <c r="FK231" i="1"/>
  <c r="FM231" i="1" s="1"/>
  <c r="FK233" i="1"/>
  <c r="FM233" i="1" s="1"/>
  <c r="FK235" i="1"/>
  <c r="FM235" i="1" s="1"/>
  <c r="FK237" i="1"/>
  <c r="FM237" i="1" s="1"/>
  <c r="FK239" i="1"/>
  <c r="FM239" i="1" s="1"/>
  <c r="FK241" i="1"/>
  <c r="FM241" i="1" s="1"/>
  <c r="FK243" i="1"/>
  <c r="FM243" i="1" s="1"/>
  <c r="FK245" i="1"/>
  <c r="FM245" i="1" s="1"/>
  <c r="FK247" i="1"/>
  <c r="FM247" i="1" s="1"/>
  <c r="FK218" i="1"/>
  <c r="FK185" i="1"/>
  <c r="FM185" i="1" s="1"/>
  <c r="FK187" i="1"/>
  <c r="FM187" i="1" s="1"/>
  <c r="FK189" i="1"/>
  <c r="FM189" i="1" s="1"/>
  <c r="FK191" i="1"/>
  <c r="FM191" i="1" s="1"/>
  <c r="FK193" i="1"/>
  <c r="FM193" i="1" s="1"/>
  <c r="FK195" i="1"/>
  <c r="FM195" i="1" s="1"/>
  <c r="FK197" i="1"/>
  <c r="FM197" i="1" s="1"/>
  <c r="FK199" i="1"/>
  <c r="FM199" i="1" s="1"/>
  <c r="FK201" i="1"/>
  <c r="FM201" i="1" s="1"/>
  <c r="FK203" i="1"/>
  <c r="FM203" i="1" s="1"/>
  <c r="FK205" i="1"/>
  <c r="FM205" i="1" s="1"/>
  <c r="FK207" i="1"/>
  <c r="FM207" i="1" s="1"/>
  <c r="FK209" i="1"/>
  <c r="FM209" i="1" s="1"/>
  <c r="FK211" i="1"/>
  <c r="FM211" i="1" s="1"/>
  <c r="FK183" i="1"/>
  <c r="FK149" i="1"/>
  <c r="FM149" i="1" s="1"/>
  <c r="FK151" i="1"/>
  <c r="FM151" i="1" s="1"/>
  <c r="FK153" i="1"/>
  <c r="FM153" i="1" s="1"/>
  <c r="FK155" i="1"/>
  <c r="FM155" i="1" s="1"/>
  <c r="FK157" i="1"/>
  <c r="FM157" i="1" s="1"/>
  <c r="FK159" i="1"/>
  <c r="FM159" i="1" s="1"/>
  <c r="FK161" i="1"/>
  <c r="FM161" i="1" s="1"/>
  <c r="FK163" i="1"/>
  <c r="FM163" i="1" s="1"/>
  <c r="FK165" i="1"/>
  <c r="FM165" i="1" s="1"/>
  <c r="FK167" i="1"/>
  <c r="FM167" i="1" s="1"/>
  <c r="FK169" i="1"/>
  <c r="FM169" i="1" s="1"/>
  <c r="FK171" i="1"/>
  <c r="FM171" i="1" s="1"/>
  <c r="FK173" i="1"/>
  <c r="FM173" i="1" s="1"/>
  <c r="FK175" i="1"/>
  <c r="FM175" i="1" s="1"/>
  <c r="FK177" i="1"/>
  <c r="FM177" i="1" s="1"/>
  <c r="FK113" i="1"/>
  <c r="FM113" i="1" s="1"/>
  <c r="FK115" i="1"/>
  <c r="FM115" i="1" s="1"/>
  <c r="FK117" i="1"/>
  <c r="FM117" i="1" s="1"/>
  <c r="FK119" i="1"/>
  <c r="FM119" i="1" s="1"/>
  <c r="FK121" i="1"/>
  <c r="FM121" i="1" s="1"/>
  <c r="FK123" i="1"/>
  <c r="FM123" i="1" s="1"/>
  <c r="FK125" i="1"/>
  <c r="FM125" i="1" s="1"/>
  <c r="FK127" i="1"/>
  <c r="FM127" i="1" s="1"/>
  <c r="FK129" i="1"/>
  <c r="FM129" i="1" s="1"/>
  <c r="FK131" i="1"/>
  <c r="FM131" i="1" s="1"/>
  <c r="FK133" i="1"/>
  <c r="FM133" i="1" s="1"/>
  <c r="FK135" i="1"/>
  <c r="FM135" i="1" s="1"/>
  <c r="FK137" i="1"/>
  <c r="FM137" i="1" s="1"/>
  <c r="FK139" i="1"/>
  <c r="FM139" i="1" s="1"/>
  <c r="FK141" i="1"/>
  <c r="FM141" i="1" s="1"/>
  <c r="FK77" i="1"/>
  <c r="FM77" i="1" s="1"/>
  <c r="FK79" i="1"/>
  <c r="FM79" i="1" s="1"/>
  <c r="FK81" i="1"/>
  <c r="FM81" i="1" s="1"/>
  <c r="FK83" i="1"/>
  <c r="FM83" i="1" s="1"/>
  <c r="FK85" i="1"/>
  <c r="FM85" i="1" s="1"/>
  <c r="FK87" i="1"/>
  <c r="FM87" i="1" s="1"/>
  <c r="FK89" i="1"/>
  <c r="FM89" i="1" s="1"/>
  <c r="FK91" i="1"/>
  <c r="FM91" i="1" s="1"/>
  <c r="FK93" i="1"/>
  <c r="FM93" i="1" s="1"/>
  <c r="FK95" i="1"/>
  <c r="FM95" i="1" s="1"/>
  <c r="FK97" i="1"/>
  <c r="FM97" i="1" s="1"/>
  <c r="FK99" i="1"/>
  <c r="FM99" i="1" s="1"/>
  <c r="FK101" i="1"/>
  <c r="FM101" i="1" s="1"/>
  <c r="FK103" i="1"/>
  <c r="FM103" i="1" s="1"/>
  <c r="FK105" i="1"/>
  <c r="FM105" i="1" s="1"/>
  <c r="FK76" i="1"/>
  <c r="FK44" i="1"/>
  <c r="FM44" i="1" s="1"/>
  <c r="FK46" i="1"/>
  <c r="FM46" i="1" s="1"/>
  <c r="FK48" i="1"/>
  <c r="FM48" i="1" s="1"/>
  <c r="FK50" i="1"/>
  <c r="FM50" i="1" s="1"/>
  <c r="FK52" i="1"/>
  <c r="FM52" i="1" s="1"/>
  <c r="FK54" i="1"/>
  <c r="FM54" i="1" s="1"/>
  <c r="FK56" i="1"/>
  <c r="FM56" i="1" s="1"/>
  <c r="FK58" i="1"/>
  <c r="FM58" i="1" s="1"/>
  <c r="FK60" i="1"/>
  <c r="FM60" i="1" s="1"/>
  <c r="FK62" i="1"/>
  <c r="FM62" i="1" s="1"/>
  <c r="FK64" i="1"/>
  <c r="FM64" i="1" s="1"/>
  <c r="FK66" i="1"/>
  <c r="FM66" i="1" s="1"/>
  <c r="FK68" i="1"/>
  <c r="FM68" i="1" s="1"/>
  <c r="FK70" i="1"/>
  <c r="FM70" i="1" s="1"/>
  <c r="GU398" i="1"/>
  <c r="GW398" i="1" s="1"/>
  <c r="GU400" i="1"/>
  <c r="GW400" i="1" s="1"/>
  <c r="GU402" i="1"/>
  <c r="GW402" i="1" s="1"/>
  <c r="GU404" i="1"/>
  <c r="GW404" i="1" s="1"/>
  <c r="GU406" i="1"/>
  <c r="GW406" i="1" s="1"/>
  <c r="GU408" i="1"/>
  <c r="GW408" i="1" s="1"/>
  <c r="GU410" i="1"/>
  <c r="GW410" i="1" s="1"/>
  <c r="GU412" i="1"/>
  <c r="GW412" i="1" s="1"/>
  <c r="GU414" i="1"/>
  <c r="GW414" i="1" s="1"/>
  <c r="GU416" i="1"/>
  <c r="GW416" i="1" s="1"/>
  <c r="GU418" i="1"/>
  <c r="GW418" i="1" s="1"/>
  <c r="GU420" i="1"/>
  <c r="GW420" i="1" s="1"/>
  <c r="GU422" i="1"/>
  <c r="GW422" i="1" s="1"/>
  <c r="GU424" i="1"/>
  <c r="GW424" i="1" s="1"/>
  <c r="GU426" i="1"/>
  <c r="GW426" i="1" s="1"/>
  <c r="GU362" i="1"/>
  <c r="GW362" i="1" s="1"/>
  <c r="GU364" i="1"/>
  <c r="GW364" i="1" s="1"/>
  <c r="GU366" i="1"/>
  <c r="GW366" i="1" s="1"/>
  <c r="GU368" i="1"/>
  <c r="GW368" i="1" s="1"/>
  <c r="GU370" i="1"/>
  <c r="GW370" i="1" s="1"/>
  <c r="GU372" i="1"/>
  <c r="GW372" i="1" s="1"/>
  <c r="GU374" i="1"/>
  <c r="GW374" i="1" s="1"/>
  <c r="GU376" i="1"/>
  <c r="GW376" i="1" s="1"/>
  <c r="GU378" i="1"/>
  <c r="GW378" i="1" s="1"/>
  <c r="GU380" i="1"/>
  <c r="GW380" i="1" s="1"/>
  <c r="GU382" i="1"/>
  <c r="GW382" i="1" s="1"/>
  <c r="GU384" i="1"/>
  <c r="GW384" i="1" s="1"/>
  <c r="GU386" i="1"/>
  <c r="GW386" i="1" s="1"/>
  <c r="GU388" i="1"/>
  <c r="GW388" i="1" s="1"/>
  <c r="GU390" i="1"/>
  <c r="GW390" i="1" s="1"/>
  <c r="GU326" i="1"/>
  <c r="GW326" i="1" s="1"/>
  <c r="GU328" i="1"/>
  <c r="GW328" i="1" s="1"/>
  <c r="GU330" i="1"/>
  <c r="GW330" i="1" s="1"/>
  <c r="GU332" i="1"/>
  <c r="GW332" i="1" s="1"/>
  <c r="GU334" i="1"/>
  <c r="GW334" i="1" s="1"/>
  <c r="GU336" i="1"/>
  <c r="GW336" i="1" s="1"/>
  <c r="GU338" i="1"/>
  <c r="GW338" i="1" s="1"/>
  <c r="GU340" i="1"/>
  <c r="GW340" i="1" s="1"/>
  <c r="GU342" i="1"/>
  <c r="GW342" i="1" s="1"/>
  <c r="GU344" i="1"/>
  <c r="GW344" i="1" s="1"/>
  <c r="GU346" i="1"/>
  <c r="GW346" i="1" s="1"/>
  <c r="GU348" i="1"/>
  <c r="GW348" i="1" s="1"/>
  <c r="GU350" i="1"/>
  <c r="GW350" i="1" s="1"/>
  <c r="GU352" i="1"/>
  <c r="GW352" i="1" s="1"/>
  <c r="GU354" i="1"/>
  <c r="GW354" i="1" s="1"/>
  <c r="GU325" i="1"/>
  <c r="GU292" i="1"/>
  <c r="GW292" i="1" s="1"/>
  <c r="GU294" i="1"/>
  <c r="GW294" i="1" s="1"/>
  <c r="GU296" i="1"/>
  <c r="GW296" i="1" s="1"/>
  <c r="GU298" i="1"/>
  <c r="GW298" i="1" s="1"/>
  <c r="GU300" i="1"/>
  <c r="GW300" i="1" s="1"/>
  <c r="GU302" i="1"/>
  <c r="GW302" i="1" s="1"/>
  <c r="GU304" i="1"/>
  <c r="GW304" i="1" s="1"/>
  <c r="GU306" i="1"/>
  <c r="GW306" i="1" s="1"/>
  <c r="GU308" i="1"/>
  <c r="GW308" i="1" s="1"/>
  <c r="GU310" i="1"/>
  <c r="GW310" i="1" s="1"/>
  <c r="GU312" i="1"/>
  <c r="GW312" i="1" s="1"/>
  <c r="GU314" i="1"/>
  <c r="GW314" i="1" s="1"/>
  <c r="GU316" i="1"/>
  <c r="GW316" i="1" s="1"/>
  <c r="GU318" i="1"/>
  <c r="GW318" i="1" s="1"/>
  <c r="GU290" i="1"/>
  <c r="GU256" i="1"/>
  <c r="GW256" i="1" s="1"/>
  <c r="GU258" i="1"/>
  <c r="GW258" i="1" s="1"/>
  <c r="GU260" i="1"/>
  <c r="GW260" i="1" s="1"/>
  <c r="GU262" i="1"/>
  <c r="GW262" i="1" s="1"/>
  <c r="GU264" i="1"/>
  <c r="GW264" i="1" s="1"/>
  <c r="GU266" i="1"/>
  <c r="GW266" i="1" s="1"/>
  <c r="GU268" i="1"/>
  <c r="GW268" i="1" s="1"/>
  <c r="GU270" i="1"/>
  <c r="GW270" i="1" s="1"/>
  <c r="GU272" i="1"/>
  <c r="GW272" i="1" s="1"/>
  <c r="GU274" i="1"/>
  <c r="GW274" i="1" s="1"/>
  <c r="GU276" i="1"/>
  <c r="GW276" i="1" s="1"/>
  <c r="GU278" i="1"/>
  <c r="GW278" i="1" s="1"/>
  <c r="GU280" i="1"/>
  <c r="GW280" i="1" s="1"/>
  <c r="GU282" i="1"/>
  <c r="GW282" i="1" s="1"/>
  <c r="GU284" i="1"/>
  <c r="GW284" i="1" s="1"/>
  <c r="GU219" i="1"/>
  <c r="GW219" i="1" s="1"/>
  <c r="GU221" i="1"/>
  <c r="GW221" i="1" s="1"/>
  <c r="GU223" i="1"/>
  <c r="GW223" i="1" s="1"/>
  <c r="GU225" i="1"/>
  <c r="GW225" i="1" s="1"/>
  <c r="GU227" i="1"/>
  <c r="GW227" i="1" s="1"/>
  <c r="GU229" i="1"/>
  <c r="GW229" i="1" s="1"/>
  <c r="GU231" i="1"/>
  <c r="GW231" i="1" s="1"/>
  <c r="GU233" i="1"/>
  <c r="GW233" i="1" s="1"/>
  <c r="GU235" i="1"/>
  <c r="GW235" i="1" s="1"/>
  <c r="GU237" i="1"/>
  <c r="GW237" i="1" s="1"/>
  <c r="GU239" i="1"/>
  <c r="GW239" i="1" s="1"/>
  <c r="GU241" i="1"/>
  <c r="GW241" i="1" s="1"/>
  <c r="GU243" i="1"/>
  <c r="GW243" i="1" s="1"/>
  <c r="GU245" i="1"/>
  <c r="GW245" i="1" s="1"/>
  <c r="GU247" i="1"/>
  <c r="GW247" i="1" s="1"/>
  <c r="GU218" i="1"/>
  <c r="GU185" i="1"/>
  <c r="GW185" i="1" s="1"/>
  <c r="GU187" i="1"/>
  <c r="GW187" i="1" s="1"/>
  <c r="GU189" i="1"/>
  <c r="GW189" i="1" s="1"/>
  <c r="GU191" i="1"/>
  <c r="GW191" i="1" s="1"/>
  <c r="GU193" i="1"/>
  <c r="GW193" i="1" s="1"/>
  <c r="GU195" i="1"/>
  <c r="GW195" i="1" s="1"/>
  <c r="GU197" i="1"/>
  <c r="GW197" i="1" s="1"/>
  <c r="GU199" i="1"/>
  <c r="GW199" i="1" s="1"/>
  <c r="GU201" i="1"/>
  <c r="GW201" i="1" s="1"/>
  <c r="GU203" i="1"/>
  <c r="GW203" i="1" s="1"/>
  <c r="GU205" i="1"/>
  <c r="GW205" i="1" s="1"/>
  <c r="GU207" i="1"/>
  <c r="GW207" i="1" s="1"/>
  <c r="GU209" i="1"/>
  <c r="GW209" i="1" s="1"/>
  <c r="GU211" i="1"/>
  <c r="GW211" i="1" s="1"/>
  <c r="GU183" i="1"/>
  <c r="GU149" i="1"/>
  <c r="GW149" i="1" s="1"/>
  <c r="GU151" i="1"/>
  <c r="GW151" i="1" s="1"/>
  <c r="GU153" i="1"/>
  <c r="GW153" i="1" s="1"/>
  <c r="GU155" i="1"/>
  <c r="GW155" i="1" s="1"/>
  <c r="GU157" i="1"/>
  <c r="GW157" i="1" s="1"/>
  <c r="GU159" i="1"/>
  <c r="GW159" i="1" s="1"/>
  <c r="GU161" i="1"/>
  <c r="GW161" i="1" s="1"/>
  <c r="GU163" i="1"/>
  <c r="GW163" i="1" s="1"/>
  <c r="GU165" i="1"/>
  <c r="GW165" i="1" s="1"/>
  <c r="GU167" i="1"/>
  <c r="GW167" i="1" s="1"/>
  <c r="GU169" i="1"/>
  <c r="GW169" i="1" s="1"/>
  <c r="GU171" i="1"/>
  <c r="GW171" i="1" s="1"/>
  <c r="GU173" i="1"/>
  <c r="GW173" i="1" s="1"/>
  <c r="GU175" i="1"/>
  <c r="GW175" i="1" s="1"/>
  <c r="GU177" i="1"/>
  <c r="GW177" i="1" s="1"/>
  <c r="GU113" i="1"/>
  <c r="GW113" i="1" s="1"/>
  <c r="GU115" i="1"/>
  <c r="GW115" i="1" s="1"/>
  <c r="GU117" i="1"/>
  <c r="GW117" i="1" s="1"/>
  <c r="GU119" i="1"/>
  <c r="GW119" i="1" s="1"/>
  <c r="GU121" i="1"/>
  <c r="GW121" i="1" s="1"/>
  <c r="GU123" i="1"/>
  <c r="GW123" i="1" s="1"/>
  <c r="GU125" i="1"/>
  <c r="GW125" i="1" s="1"/>
  <c r="GU127" i="1"/>
  <c r="GW127" i="1" s="1"/>
  <c r="GU129" i="1"/>
  <c r="GW129" i="1" s="1"/>
  <c r="GU131" i="1"/>
  <c r="GW131" i="1" s="1"/>
  <c r="GU133" i="1"/>
  <c r="GW133" i="1" s="1"/>
  <c r="GU135" i="1"/>
  <c r="GW135" i="1" s="1"/>
  <c r="GU137" i="1"/>
  <c r="GW137" i="1" s="1"/>
  <c r="GU139" i="1"/>
  <c r="GW139" i="1" s="1"/>
  <c r="GU141" i="1"/>
  <c r="GW141" i="1" s="1"/>
  <c r="GU76" i="1"/>
  <c r="GU78" i="1"/>
  <c r="GW78" i="1" s="1"/>
  <c r="GU80" i="1"/>
  <c r="GW80" i="1" s="1"/>
  <c r="GU82" i="1"/>
  <c r="GW82" i="1" s="1"/>
  <c r="GU84" i="1"/>
  <c r="GW84" i="1" s="1"/>
  <c r="GU86" i="1"/>
  <c r="GW86" i="1" s="1"/>
  <c r="GU88" i="1"/>
  <c r="GW88" i="1" s="1"/>
  <c r="GU90" i="1"/>
  <c r="GW90" i="1" s="1"/>
  <c r="GU92" i="1"/>
  <c r="GW92" i="1" s="1"/>
  <c r="GU94" i="1"/>
  <c r="GW94" i="1" s="1"/>
  <c r="GU96" i="1"/>
  <c r="GW96" i="1" s="1"/>
  <c r="GU98" i="1"/>
  <c r="GW98" i="1" s="1"/>
  <c r="GU100" i="1"/>
  <c r="GW100" i="1" s="1"/>
  <c r="GU102" i="1"/>
  <c r="GW102" i="1" s="1"/>
  <c r="GU104" i="1"/>
  <c r="GW104" i="1" s="1"/>
  <c r="GU106" i="1"/>
  <c r="GW106" i="1" s="1"/>
  <c r="GU44" i="1"/>
  <c r="GW44" i="1" s="1"/>
  <c r="GU46" i="1"/>
  <c r="GW46" i="1" s="1"/>
  <c r="GU48" i="1"/>
  <c r="GW48" i="1" s="1"/>
  <c r="GU50" i="1"/>
  <c r="GW50" i="1" s="1"/>
  <c r="GU52" i="1"/>
  <c r="GW52" i="1" s="1"/>
  <c r="GU54" i="1"/>
  <c r="GW54" i="1" s="1"/>
  <c r="GU56" i="1"/>
  <c r="GW56" i="1" s="1"/>
  <c r="GU58" i="1"/>
  <c r="GW58" i="1" s="1"/>
  <c r="GU60" i="1"/>
  <c r="GW60" i="1" s="1"/>
  <c r="GU62" i="1"/>
  <c r="GW62" i="1" s="1"/>
  <c r="GU64" i="1"/>
  <c r="GW64" i="1" s="1"/>
  <c r="GU66" i="1"/>
  <c r="GW66" i="1" s="1"/>
  <c r="GU68" i="1"/>
  <c r="GW68" i="1" s="1"/>
  <c r="GU70" i="1"/>
  <c r="GW70" i="1" s="1"/>
  <c r="GU8" i="1"/>
  <c r="GW8" i="1" s="1"/>
  <c r="GU10" i="1"/>
  <c r="GW10" i="1" s="1"/>
  <c r="GU12" i="1"/>
  <c r="GW12" i="1" s="1"/>
  <c r="GU14" i="1"/>
  <c r="GW14" i="1" s="1"/>
  <c r="GU16" i="1"/>
  <c r="GW16" i="1" s="1"/>
  <c r="GU18" i="1"/>
  <c r="GW18" i="1" s="1"/>
  <c r="GU20" i="1"/>
  <c r="GW20" i="1" s="1"/>
  <c r="GU22" i="1"/>
  <c r="GW22" i="1" s="1"/>
  <c r="GU24" i="1"/>
  <c r="GW24" i="1" s="1"/>
  <c r="GU26" i="1"/>
  <c r="GW26" i="1" s="1"/>
  <c r="GU28" i="1"/>
  <c r="GW28" i="1" s="1"/>
  <c r="GU30" i="1"/>
  <c r="GW30" i="1" s="1"/>
  <c r="GU32" i="1"/>
  <c r="GW32" i="1" s="1"/>
  <c r="GU34" i="1"/>
  <c r="GW34" i="1" s="1"/>
  <c r="GU36" i="1"/>
  <c r="GW36" i="1" s="1"/>
  <c r="GU397" i="1"/>
  <c r="GW397" i="1" s="1"/>
  <c r="GU399" i="1"/>
  <c r="GW399" i="1" s="1"/>
  <c r="GU401" i="1"/>
  <c r="GW401" i="1" s="1"/>
  <c r="GU403" i="1"/>
  <c r="GW403" i="1" s="1"/>
  <c r="GU405" i="1"/>
  <c r="GW405" i="1" s="1"/>
  <c r="GU407" i="1"/>
  <c r="GW407" i="1" s="1"/>
  <c r="GU409" i="1"/>
  <c r="GW409" i="1" s="1"/>
  <c r="GU411" i="1"/>
  <c r="GW411" i="1" s="1"/>
  <c r="GU413" i="1"/>
  <c r="GW413" i="1" s="1"/>
  <c r="GU415" i="1"/>
  <c r="GW415" i="1" s="1"/>
  <c r="GU417" i="1"/>
  <c r="GW417" i="1" s="1"/>
  <c r="GU419" i="1"/>
  <c r="GW419" i="1" s="1"/>
  <c r="GU421" i="1"/>
  <c r="GW421" i="1" s="1"/>
  <c r="GU423" i="1"/>
  <c r="GW423" i="1" s="1"/>
  <c r="GU425" i="1"/>
  <c r="GW425" i="1" s="1"/>
  <c r="GU396" i="1"/>
  <c r="GU363" i="1"/>
  <c r="GW363" i="1" s="1"/>
  <c r="GU365" i="1"/>
  <c r="GW365" i="1" s="1"/>
  <c r="GU367" i="1"/>
  <c r="GW367" i="1" s="1"/>
  <c r="GU369" i="1"/>
  <c r="GW369" i="1" s="1"/>
  <c r="GU371" i="1"/>
  <c r="GW371" i="1" s="1"/>
  <c r="GU373" i="1"/>
  <c r="GW373" i="1" s="1"/>
  <c r="GU375" i="1"/>
  <c r="GW375" i="1" s="1"/>
  <c r="GU377" i="1"/>
  <c r="GW377" i="1" s="1"/>
  <c r="GU379" i="1"/>
  <c r="GW379" i="1" s="1"/>
  <c r="GU381" i="1"/>
  <c r="GW381" i="1" s="1"/>
  <c r="GU383" i="1"/>
  <c r="GW383" i="1" s="1"/>
  <c r="GU385" i="1"/>
  <c r="GW385" i="1" s="1"/>
  <c r="GU387" i="1"/>
  <c r="GW387" i="1" s="1"/>
  <c r="GU389" i="1"/>
  <c r="GW389" i="1" s="1"/>
  <c r="GU361" i="1"/>
  <c r="GU327" i="1"/>
  <c r="GW327" i="1" s="1"/>
  <c r="GU329" i="1"/>
  <c r="GW329" i="1" s="1"/>
  <c r="GU331" i="1"/>
  <c r="GW331" i="1" s="1"/>
  <c r="GU333" i="1"/>
  <c r="GW333" i="1" s="1"/>
  <c r="GU335" i="1"/>
  <c r="GW335" i="1" s="1"/>
  <c r="GU337" i="1"/>
  <c r="GW337" i="1" s="1"/>
  <c r="GU339" i="1"/>
  <c r="GW339" i="1" s="1"/>
  <c r="GU341" i="1"/>
  <c r="GW341" i="1" s="1"/>
  <c r="GU343" i="1"/>
  <c r="GW343" i="1" s="1"/>
  <c r="GU345" i="1"/>
  <c r="GW345" i="1" s="1"/>
  <c r="GU347" i="1"/>
  <c r="GW347" i="1" s="1"/>
  <c r="GU349" i="1"/>
  <c r="GW349" i="1" s="1"/>
  <c r="GU351" i="1"/>
  <c r="GW351" i="1" s="1"/>
  <c r="GU353" i="1"/>
  <c r="GW353" i="1" s="1"/>
  <c r="GU355" i="1"/>
  <c r="GW355" i="1" s="1"/>
  <c r="GU291" i="1"/>
  <c r="GW291" i="1" s="1"/>
  <c r="GU293" i="1"/>
  <c r="GW293" i="1" s="1"/>
  <c r="GU295" i="1"/>
  <c r="GW295" i="1" s="1"/>
  <c r="GU297" i="1"/>
  <c r="GW297" i="1" s="1"/>
  <c r="GU299" i="1"/>
  <c r="GW299" i="1" s="1"/>
  <c r="GU301" i="1"/>
  <c r="GW301" i="1" s="1"/>
  <c r="GU303" i="1"/>
  <c r="GW303" i="1" s="1"/>
  <c r="GU305" i="1"/>
  <c r="GW305" i="1" s="1"/>
  <c r="GU307" i="1"/>
  <c r="GW307" i="1" s="1"/>
  <c r="GU309" i="1"/>
  <c r="GW309" i="1" s="1"/>
  <c r="GU311" i="1"/>
  <c r="GW311" i="1" s="1"/>
  <c r="GU313" i="1"/>
  <c r="GW313" i="1" s="1"/>
  <c r="GU315" i="1"/>
  <c r="GW315" i="1" s="1"/>
  <c r="GU317" i="1"/>
  <c r="GW317" i="1" s="1"/>
  <c r="GU319" i="1"/>
  <c r="GW319" i="1" s="1"/>
  <c r="GU255" i="1"/>
  <c r="GW255" i="1" s="1"/>
  <c r="GU257" i="1"/>
  <c r="GW257" i="1" s="1"/>
  <c r="GU259" i="1"/>
  <c r="GW259" i="1" s="1"/>
  <c r="GU261" i="1"/>
  <c r="GW261" i="1" s="1"/>
  <c r="GU263" i="1"/>
  <c r="GW263" i="1" s="1"/>
  <c r="GU265" i="1"/>
  <c r="GW265" i="1" s="1"/>
  <c r="GU267" i="1"/>
  <c r="GW267" i="1" s="1"/>
  <c r="GU269" i="1"/>
  <c r="GW269" i="1" s="1"/>
  <c r="GU271" i="1"/>
  <c r="GW271" i="1" s="1"/>
  <c r="GU273" i="1"/>
  <c r="GW273" i="1" s="1"/>
  <c r="GU275" i="1"/>
  <c r="GW275" i="1" s="1"/>
  <c r="GU277" i="1"/>
  <c r="GW277" i="1" s="1"/>
  <c r="GU279" i="1"/>
  <c r="GW279" i="1" s="1"/>
  <c r="GU281" i="1"/>
  <c r="GW281" i="1" s="1"/>
  <c r="GU283" i="1"/>
  <c r="GW283" i="1" s="1"/>
  <c r="GU254" i="1"/>
  <c r="GU220" i="1"/>
  <c r="GW220" i="1" s="1"/>
  <c r="GU222" i="1"/>
  <c r="GW222" i="1" s="1"/>
  <c r="GU224" i="1"/>
  <c r="GW224" i="1" s="1"/>
  <c r="GU226" i="1"/>
  <c r="GW226" i="1" s="1"/>
  <c r="GU228" i="1"/>
  <c r="GW228" i="1" s="1"/>
  <c r="GU230" i="1"/>
  <c r="GW230" i="1" s="1"/>
  <c r="GU232" i="1"/>
  <c r="GW232" i="1" s="1"/>
  <c r="GU234" i="1"/>
  <c r="GW234" i="1" s="1"/>
  <c r="GU236" i="1"/>
  <c r="GW236" i="1" s="1"/>
  <c r="GU238" i="1"/>
  <c r="GW238" i="1" s="1"/>
  <c r="GU240" i="1"/>
  <c r="GW240" i="1" s="1"/>
  <c r="GU242" i="1"/>
  <c r="GW242" i="1" s="1"/>
  <c r="GU244" i="1"/>
  <c r="GW244" i="1" s="1"/>
  <c r="GU246" i="1"/>
  <c r="GW246" i="1" s="1"/>
  <c r="GU248" i="1"/>
  <c r="GW248" i="1" s="1"/>
  <c r="GU184" i="1"/>
  <c r="GW184" i="1" s="1"/>
  <c r="GU186" i="1"/>
  <c r="GW186" i="1" s="1"/>
  <c r="GU188" i="1"/>
  <c r="GW188" i="1" s="1"/>
  <c r="GU190" i="1"/>
  <c r="GW190" i="1" s="1"/>
  <c r="GU192" i="1"/>
  <c r="GW192" i="1" s="1"/>
  <c r="GU194" i="1"/>
  <c r="GW194" i="1" s="1"/>
  <c r="GU196" i="1"/>
  <c r="GW196" i="1" s="1"/>
  <c r="GU198" i="1"/>
  <c r="GW198" i="1" s="1"/>
  <c r="GU200" i="1"/>
  <c r="GW200" i="1" s="1"/>
  <c r="GU202" i="1"/>
  <c r="GW202" i="1" s="1"/>
  <c r="GU204" i="1"/>
  <c r="GW204" i="1" s="1"/>
  <c r="GU206" i="1"/>
  <c r="GW206" i="1" s="1"/>
  <c r="GU208" i="1"/>
  <c r="GW208" i="1" s="1"/>
  <c r="GU210" i="1"/>
  <c r="GW210" i="1" s="1"/>
  <c r="GU212" i="1"/>
  <c r="GW212" i="1" s="1"/>
  <c r="GU148" i="1"/>
  <c r="GW148" i="1" s="1"/>
  <c r="GU150" i="1"/>
  <c r="GW150" i="1" s="1"/>
  <c r="GU152" i="1"/>
  <c r="GW152" i="1" s="1"/>
  <c r="GU154" i="1"/>
  <c r="GW154" i="1" s="1"/>
  <c r="GU156" i="1"/>
  <c r="GW156" i="1" s="1"/>
  <c r="GU158" i="1"/>
  <c r="GW158" i="1" s="1"/>
  <c r="GU160" i="1"/>
  <c r="GW160" i="1" s="1"/>
  <c r="GU162" i="1"/>
  <c r="GW162" i="1" s="1"/>
  <c r="GU164" i="1"/>
  <c r="GW164" i="1" s="1"/>
  <c r="GU166" i="1"/>
  <c r="GW166" i="1" s="1"/>
  <c r="GU168" i="1"/>
  <c r="GW168" i="1" s="1"/>
  <c r="GU170" i="1"/>
  <c r="GW170" i="1" s="1"/>
  <c r="GU172" i="1"/>
  <c r="GW172" i="1" s="1"/>
  <c r="GU174" i="1"/>
  <c r="GW174" i="1" s="1"/>
  <c r="GU176" i="1"/>
  <c r="GW176" i="1" s="1"/>
  <c r="GU114" i="1"/>
  <c r="GW114" i="1" s="1"/>
  <c r="GU116" i="1"/>
  <c r="GW116" i="1" s="1"/>
  <c r="GU118" i="1"/>
  <c r="GW118" i="1" s="1"/>
  <c r="GU120" i="1"/>
  <c r="GW120" i="1" s="1"/>
  <c r="GU122" i="1"/>
  <c r="GW122" i="1" s="1"/>
  <c r="GU124" i="1"/>
  <c r="GW124" i="1" s="1"/>
  <c r="GU126" i="1"/>
  <c r="GW126" i="1" s="1"/>
  <c r="GU128" i="1"/>
  <c r="GW128" i="1" s="1"/>
  <c r="GU130" i="1"/>
  <c r="GW130" i="1" s="1"/>
  <c r="GU132" i="1"/>
  <c r="GW132" i="1" s="1"/>
  <c r="GU134" i="1"/>
  <c r="GW134" i="1" s="1"/>
  <c r="GU136" i="1"/>
  <c r="GW136" i="1" s="1"/>
  <c r="GU138" i="1"/>
  <c r="GW138" i="1" s="1"/>
  <c r="GU140" i="1"/>
  <c r="GW140" i="1" s="1"/>
  <c r="GU112" i="1"/>
  <c r="GU77" i="1"/>
  <c r="GW77" i="1" s="1"/>
  <c r="GU79" i="1"/>
  <c r="GW79" i="1" s="1"/>
  <c r="GU81" i="1"/>
  <c r="GW81" i="1" s="1"/>
  <c r="GU83" i="1"/>
  <c r="GW83" i="1" s="1"/>
  <c r="GU85" i="1"/>
  <c r="GW85" i="1" s="1"/>
  <c r="GU87" i="1"/>
  <c r="GW87" i="1" s="1"/>
  <c r="GU89" i="1"/>
  <c r="GW89" i="1" s="1"/>
  <c r="GU91" i="1"/>
  <c r="GW91" i="1" s="1"/>
  <c r="GU93" i="1"/>
  <c r="GW93" i="1" s="1"/>
  <c r="GU95" i="1"/>
  <c r="GW95" i="1" s="1"/>
  <c r="GU97" i="1"/>
  <c r="GW97" i="1" s="1"/>
  <c r="GU99" i="1"/>
  <c r="GW99" i="1" s="1"/>
  <c r="GU101" i="1"/>
  <c r="GW101" i="1" s="1"/>
  <c r="GU103" i="1"/>
  <c r="GW103" i="1" s="1"/>
  <c r="GU105" i="1"/>
  <c r="GW105" i="1" s="1"/>
  <c r="GU43" i="1"/>
  <c r="GW43" i="1" s="1"/>
  <c r="GU45" i="1"/>
  <c r="GW45" i="1" s="1"/>
  <c r="GU47" i="1"/>
  <c r="GW47" i="1" s="1"/>
  <c r="GU49" i="1"/>
  <c r="GW49" i="1" s="1"/>
  <c r="GU51" i="1"/>
  <c r="GW51" i="1" s="1"/>
  <c r="GU53" i="1"/>
  <c r="GW53" i="1" s="1"/>
  <c r="GU55" i="1"/>
  <c r="GW55" i="1" s="1"/>
  <c r="GU57" i="1"/>
  <c r="GW57" i="1" s="1"/>
  <c r="GU59" i="1"/>
  <c r="GW59" i="1" s="1"/>
  <c r="GU61" i="1"/>
  <c r="GW61" i="1" s="1"/>
  <c r="GU63" i="1"/>
  <c r="GW63" i="1" s="1"/>
  <c r="GU65" i="1"/>
  <c r="GW65" i="1" s="1"/>
  <c r="GU67" i="1"/>
  <c r="GW67" i="1" s="1"/>
  <c r="GU69" i="1"/>
  <c r="GW69" i="1" s="1"/>
  <c r="GU42" i="1"/>
  <c r="GU7" i="1"/>
  <c r="GW7" i="1" s="1"/>
  <c r="GU9" i="1"/>
  <c r="GW9" i="1" s="1"/>
  <c r="GU11" i="1"/>
  <c r="GW11" i="1" s="1"/>
  <c r="GU13" i="1"/>
  <c r="GW13" i="1" s="1"/>
  <c r="GU15" i="1"/>
  <c r="GW15" i="1" s="1"/>
  <c r="GU17" i="1"/>
  <c r="GW17" i="1" s="1"/>
  <c r="GU19" i="1"/>
  <c r="GW19" i="1" s="1"/>
  <c r="GU21" i="1"/>
  <c r="GW21" i="1" s="1"/>
  <c r="GU23" i="1"/>
  <c r="GW23" i="1" s="1"/>
  <c r="GU25" i="1"/>
  <c r="GW25" i="1" s="1"/>
  <c r="GU27" i="1"/>
  <c r="GW27" i="1" s="1"/>
  <c r="GU29" i="1"/>
  <c r="GW29" i="1" s="1"/>
  <c r="GU31" i="1"/>
  <c r="GW31" i="1" s="1"/>
  <c r="GU33" i="1"/>
  <c r="GW33" i="1" s="1"/>
  <c r="GU35" i="1"/>
  <c r="GW35" i="1" s="1"/>
  <c r="N398" i="1"/>
  <c r="P398" i="1" s="1"/>
  <c r="N400" i="1"/>
  <c r="P400" i="1" s="1"/>
  <c r="N402" i="1"/>
  <c r="P402" i="1" s="1"/>
  <c r="N404" i="1"/>
  <c r="P404" i="1" s="1"/>
  <c r="N406" i="1"/>
  <c r="P406" i="1" s="1"/>
  <c r="N408" i="1"/>
  <c r="P408" i="1" s="1"/>
  <c r="N410" i="1"/>
  <c r="P410" i="1" s="1"/>
  <c r="N412" i="1"/>
  <c r="P412" i="1" s="1"/>
  <c r="N414" i="1"/>
  <c r="P414" i="1" s="1"/>
  <c r="N416" i="1"/>
  <c r="P416" i="1" s="1"/>
  <c r="N418" i="1"/>
  <c r="P418" i="1" s="1"/>
  <c r="N420" i="1"/>
  <c r="P420" i="1" s="1"/>
  <c r="N422" i="1"/>
  <c r="P422" i="1" s="1"/>
  <c r="N424" i="1"/>
  <c r="P424" i="1" s="1"/>
  <c r="N426" i="1"/>
  <c r="P426" i="1" s="1"/>
  <c r="N363" i="1"/>
  <c r="P363" i="1" s="1"/>
  <c r="N365" i="1"/>
  <c r="P365" i="1" s="1"/>
  <c r="N367" i="1"/>
  <c r="P367" i="1" s="1"/>
  <c r="N369" i="1"/>
  <c r="P369" i="1" s="1"/>
  <c r="N371" i="1"/>
  <c r="P371" i="1" s="1"/>
  <c r="N373" i="1"/>
  <c r="P373" i="1" s="1"/>
  <c r="N375" i="1"/>
  <c r="P375" i="1" s="1"/>
  <c r="N377" i="1"/>
  <c r="P377" i="1" s="1"/>
  <c r="N379" i="1"/>
  <c r="P379" i="1" s="1"/>
  <c r="N381" i="1"/>
  <c r="P381" i="1" s="1"/>
  <c r="N383" i="1"/>
  <c r="P383" i="1" s="1"/>
  <c r="N385" i="1"/>
  <c r="P385" i="1" s="1"/>
  <c r="N387" i="1"/>
  <c r="P387" i="1" s="1"/>
  <c r="N389" i="1"/>
  <c r="P389" i="1" s="1"/>
  <c r="N361" i="1"/>
  <c r="N327" i="1"/>
  <c r="P327" i="1" s="1"/>
  <c r="N329" i="1"/>
  <c r="P329" i="1" s="1"/>
  <c r="N331" i="1"/>
  <c r="P331" i="1" s="1"/>
  <c r="N333" i="1"/>
  <c r="P333" i="1" s="1"/>
  <c r="N335" i="1"/>
  <c r="P335" i="1" s="1"/>
  <c r="N337" i="1"/>
  <c r="P337" i="1" s="1"/>
  <c r="N339" i="1"/>
  <c r="P339" i="1" s="1"/>
  <c r="N341" i="1"/>
  <c r="P341" i="1" s="1"/>
  <c r="N343" i="1"/>
  <c r="P343" i="1" s="1"/>
  <c r="N345" i="1"/>
  <c r="P345" i="1" s="1"/>
  <c r="N347" i="1"/>
  <c r="P347" i="1" s="1"/>
  <c r="N349" i="1"/>
  <c r="P349" i="1" s="1"/>
  <c r="N351" i="1"/>
  <c r="P351" i="1" s="1"/>
  <c r="N353" i="1"/>
  <c r="P353" i="1" s="1"/>
  <c r="N355" i="1"/>
  <c r="P355" i="1" s="1"/>
  <c r="N292" i="1"/>
  <c r="P292" i="1" s="1"/>
  <c r="N294" i="1"/>
  <c r="P294" i="1" s="1"/>
  <c r="N296" i="1"/>
  <c r="P296" i="1" s="1"/>
  <c r="N298" i="1"/>
  <c r="P298" i="1" s="1"/>
  <c r="N300" i="1"/>
  <c r="P300" i="1" s="1"/>
  <c r="N302" i="1"/>
  <c r="P302" i="1" s="1"/>
  <c r="N304" i="1"/>
  <c r="P304" i="1" s="1"/>
  <c r="N306" i="1"/>
  <c r="P306" i="1" s="1"/>
  <c r="N308" i="1"/>
  <c r="P308" i="1" s="1"/>
  <c r="N310" i="1"/>
  <c r="P310" i="1" s="1"/>
  <c r="N312" i="1"/>
  <c r="P312" i="1" s="1"/>
  <c r="N314" i="1"/>
  <c r="P314" i="1" s="1"/>
  <c r="N316" i="1"/>
  <c r="P316" i="1" s="1"/>
  <c r="N318" i="1"/>
  <c r="P318" i="1" s="1"/>
  <c r="N290" i="1"/>
  <c r="N256" i="1"/>
  <c r="P256" i="1" s="1"/>
  <c r="N258" i="1"/>
  <c r="P258" i="1" s="1"/>
  <c r="N260" i="1"/>
  <c r="P260" i="1" s="1"/>
  <c r="N262" i="1"/>
  <c r="P262" i="1" s="1"/>
  <c r="N264" i="1"/>
  <c r="P264" i="1" s="1"/>
  <c r="N266" i="1"/>
  <c r="P266" i="1" s="1"/>
  <c r="N268" i="1"/>
  <c r="P268" i="1" s="1"/>
  <c r="N270" i="1"/>
  <c r="P270" i="1" s="1"/>
  <c r="N272" i="1"/>
  <c r="P272" i="1" s="1"/>
  <c r="N274" i="1"/>
  <c r="P274" i="1" s="1"/>
  <c r="N276" i="1"/>
  <c r="P276" i="1" s="1"/>
  <c r="N278" i="1"/>
  <c r="P278" i="1" s="1"/>
  <c r="N280" i="1"/>
  <c r="P280" i="1" s="1"/>
  <c r="N282" i="1"/>
  <c r="P282" i="1" s="1"/>
  <c r="N284" i="1"/>
  <c r="P284" i="1" s="1"/>
  <c r="N220" i="1"/>
  <c r="P220" i="1" s="1"/>
  <c r="N222" i="1"/>
  <c r="P222" i="1" s="1"/>
  <c r="N224" i="1"/>
  <c r="P224" i="1" s="1"/>
  <c r="N226" i="1"/>
  <c r="P226" i="1" s="1"/>
  <c r="N228" i="1"/>
  <c r="P228" i="1" s="1"/>
  <c r="N230" i="1"/>
  <c r="P230" i="1" s="1"/>
  <c r="N232" i="1"/>
  <c r="P232" i="1" s="1"/>
  <c r="N234" i="1"/>
  <c r="P234" i="1" s="1"/>
  <c r="N238" i="1"/>
  <c r="P238" i="1" s="1"/>
  <c r="N240" i="1"/>
  <c r="P240" i="1" s="1"/>
  <c r="N242" i="1"/>
  <c r="P242" i="1" s="1"/>
  <c r="N244" i="1"/>
  <c r="P244" i="1" s="1"/>
  <c r="N246" i="1"/>
  <c r="P246" i="1" s="1"/>
  <c r="N248" i="1"/>
  <c r="P248" i="1" s="1"/>
  <c r="N185" i="1"/>
  <c r="P185" i="1" s="1"/>
  <c r="N187" i="1"/>
  <c r="P187" i="1" s="1"/>
  <c r="N189" i="1"/>
  <c r="P189" i="1" s="1"/>
  <c r="N191" i="1"/>
  <c r="P191" i="1" s="1"/>
  <c r="N193" i="1"/>
  <c r="P193" i="1" s="1"/>
  <c r="N195" i="1"/>
  <c r="P195" i="1" s="1"/>
  <c r="N197" i="1"/>
  <c r="P197" i="1" s="1"/>
  <c r="N199" i="1"/>
  <c r="P199" i="1" s="1"/>
  <c r="N201" i="1"/>
  <c r="P201" i="1" s="1"/>
  <c r="N203" i="1"/>
  <c r="P203" i="1" s="1"/>
  <c r="N205" i="1"/>
  <c r="P205" i="1" s="1"/>
  <c r="N207" i="1"/>
  <c r="P207" i="1" s="1"/>
  <c r="N209" i="1"/>
  <c r="P209" i="1" s="1"/>
  <c r="N211" i="1"/>
  <c r="P211" i="1" s="1"/>
  <c r="N183" i="1"/>
  <c r="N149" i="1"/>
  <c r="P149" i="1" s="1"/>
  <c r="N151" i="1"/>
  <c r="P151" i="1" s="1"/>
  <c r="N153" i="1"/>
  <c r="P153" i="1" s="1"/>
  <c r="N155" i="1"/>
  <c r="P155" i="1" s="1"/>
  <c r="N157" i="1"/>
  <c r="P157" i="1" s="1"/>
  <c r="N159" i="1"/>
  <c r="P159" i="1" s="1"/>
  <c r="N161" i="1"/>
  <c r="P161" i="1" s="1"/>
  <c r="N163" i="1"/>
  <c r="P163" i="1" s="1"/>
  <c r="N165" i="1"/>
  <c r="P165" i="1" s="1"/>
  <c r="N167" i="1"/>
  <c r="P167" i="1" s="1"/>
  <c r="N169" i="1"/>
  <c r="P169" i="1" s="1"/>
  <c r="N171" i="1"/>
  <c r="P171" i="1" s="1"/>
  <c r="N173" i="1"/>
  <c r="P173" i="1" s="1"/>
  <c r="N175" i="1"/>
  <c r="P175" i="1" s="1"/>
  <c r="N177" i="1"/>
  <c r="P177" i="1" s="1"/>
  <c r="N114" i="1"/>
  <c r="P114" i="1" s="1"/>
  <c r="N116" i="1"/>
  <c r="P116" i="1" s="1"/>
  <c r="N118" i="1"/>
  <c r="P118" i="1" s="1"/>
  <c r="N120" i="1"/>
  <c r="P120" i="1" s="1"/>
  <c r="N122" i="1"/>
  <c r="P122" i="1" s="1"/>
  <c r="N124" i="1"/>
  <c r="P124" i="1" s="1"/>
  <c r="N126" i="1"/>
  <c r="P126" i="1" s="1"/>
  <c r="N128" i="1"/>
  <c r="P128" i="1" s="1"/>
  <c r="N130" i="1"/>
  <c r="P130" i="1" s="1"/>
  <c r="N132" i="1"/>
  <c r="P132" i="1" s="1"/>
  <c r="N134" i="1"/>
  <c r="P134" i="1" s="1"/>
  <c r="N136" i="1"/>
  <c r="P136" i="1" s="1"/>
  <c r="N138" i="1"/>
  <c r="P138" i="1" s="1"/>
  <c r="N140" i="1"/>
  <c r="P140" i="1" s="1"/>
  <c r="N112" i="1"/>
  <c r="N78" i="1"/>
  <c r="P78" i="1" s="1"/>
  <c r="N80" i="1"/>
  <c r="P80" i="1" s="1"/>
  <c r="N82" i="1"/>
  <c r="P82" i="1" s="1"/>
  <c r="N84" i="1"/>
  <c r="P84" i="1" s="1"/>
  <c r="N86" i="1"/>
  <c r="P86" i="1" s="1"/>
  <c r="N88" i="1"/>
  <c r="P88" i="1" s="1"/>
  <c r="N90" i="1"/>
  <c r="P90" i="1" s="1"/>
  <c r="N92" i="1"/>
  <c r="P92" i="1" s="1"/>
  <c r="N94" i="1"/>
  <c r="P94" i="1" s="1"/>
  <c r="N96" i="1"/>
  <c r="P96" i="1" s="1"/>
  <c r="N98" i="1"/>
  <c r="P98" i="1" s="1"/>
  <c r="N100" i="1"/>
  <c r="P100" i="1" s="1"/>
  <c r="N102" i="1"/>
  <c r="P102" i="1" s="1"/>
  <c r="N104" i="1"/>
  <c r="P104" i="1" s="1"/>
  <c r="N106" i="1"/>
  <c r="P106" i="1" s="1"/>
  <c r="N397" i="1"/>
  <c r="P397" i="1" s="1"/>
  <c r="N399" i="1"/>
  <c r="P399" i="1" s="1"/>
  <c r="N401" i="1"/>
  <c r="P401" i="1" s="1"/>
  <c r="N403" i="1"/>
  <c r="P403" i="1" s="1"/>
  <c r="N405" i="1"/>
  <c r="P405" i="1" s="1"/>
  <c r="N407" i="1"/>
  <c r="P407" i="1" s="1"/>
  <c r="N409" i="1"/>
  <c r="P409" i="1" s="1"/>
  <c r="N411" i="1"/>
  <c r="P411" i="1" s="1"/>
  <c r="N413" i="1"/>
  <c r="P413" i="1" s="1"/>
  <c r="N415" i="1"/>
  <c r="P415" i="1" s="1"/>
  <c r="N417" i="1"/>
  <c r="P417" i="1" s="1"/>
  <c r="N419" i="1"/>
  <c r="P419" i="1" s="1"/>
  <c r="N421" i="1"/>
  <c r="P421" i="1" s="1"/>
  <c r="N423" i="1"/>
  <c r="P423" i="1" s="1"/>
  <c r="N425" i="1"/>
  <c r="P425" i="1" s="1"/>
  <c r="N396" i="1"/>
  <c r="N362" i="1"/>
  <c r="P362" i="1" s="1"/>
  <c r="N364" i="1"/>
  <c r="P364" i="1" s="1"/>
  <c r="N366" i="1"/>
  <c r="P366" i="1" s="1"/>
  <c r="N370" i="1"/>
  <c r="P370" i="1" s="1"/>
  <c r="N372" i="1"/>
  <c r="P372" i="1" s="1"/>
  <c r="N374" i="1"/>
  <c r="P374" i="1" s="1"/>
  <c r="N376" i="1"/>
  <c r="P376" i="1" s="1"/>
  <c r="N378" i="1"/>
  <c r="P378" i="1" s="1"/>
  <c r="N380" i="1"/>
  <c r="P380" i="1" s="1"/>
  <c r="N382" i="1"/>
  <c r="P382" i="1" s="1"/>
  <c r="N384" i="1"/>
  <c r="P384" i="1" s="1"/>
  <c r="N386" i="1"/>
  <c r="P386" i="1" s="1"/>
  <c r="N388" i="1"/>
  <c r="P388" i="1" s="1"/>
  <c r="N390" i="1"/>
  <c r="P390" i="1" s="1"/>
  <c r="N326" i="1"/>
  <c r="P326" i="1" s="1"/>
  <c r="N328" i="1"/>
  <c r="P328" i="1" s="1"/>
  <c r="N330" i="1"/>
  <c r="P330" i="1" s="1"/>
  <c r="N332" i="1"/>
  <c r="P332" i="1" s="1"/>
  <c r="N334" i="1"/>
  <c r="P334" i="1" s="1"/>
  <c r="N336" i="1"/>
  <c r="P336" i="1" s="1"/>
  <c r="N338" i="1"/>
  <c r="P338" i="1" s="1"/>
  <c r="N340" i="1"/>
  <c r="P340" i="1" s="1"/>
  <c r="N342" i="1"/>
  <c r="P342" i="1" s="1"/>
  <c r="N344" i="1"/>
  <c r="P344" i="1" s="1"/>
  <c r="N346" i="1"/>
  <c r="P346" i="1" s="1"/>
  <c r="N348" i="1"/>
  <c r="P348" i="1" s="1"/>
  <c r="N350" i="1"/>
  <c r="P350" i="1" s="1"/>
  <c r="N352" i="1"/>
  <c r="P352" i="1" s="1"/>
  <c r="N354" i="1"/>
  <c r="P354" i="1" s="1"/>
  <c r="N325" i="1"/>
  <c r="N291" i="1"/>
  <c r="P291" i="1" s="1"/>
  <c r="N293" i="1"/>
  <c r="P293" i="1" s="1"/>
  <c r="N295" i="1"/>
  <c r="P295" i="1" s="1"/>
  <c r="N297" i="1"/>
  <c r="P297" i="1" s="1"/>
  <c r="N299" i="1"/>
  <c r="P299" i="1" s="1"/>
  <c r="N301" i="1"/>
  <c r="P301" i="1" s="1"/>
  <c r="N303" i="1"/>
  <c r="P303" i="1" s="1"/>
  <c r="N305" i="1"/>
  <c r="P305" i="1" s="1"/>
  <c r="N307" i="1"/>
  <c r="P307" i="1" s="1"/>
  <c r="N309" i="1"/>
  <c r="P309" i="1" s="1"/>
  <c r="N311" i="1"/>
  <c r="P311" i="1" s="1"/>
  <c r="N313" i="1"/>
  <c r="P313" i="1" s="1"/>
  <c r="N315" i="1"/>
  <c r="P315" i="1" s="1"/>
  <c r="N317" i="1"/>
  <c r="P317" i="1" s="1"/>
  <c r="N319" i="1"/>
  <c r="P319" i="1" s="1"/>
  <c r="N255" i="1"/>
  <c r="P255" i="1" s="1"/>
  <c r="N257" i="1"/>
  <c r="P257" i="1" s="1"/>
  <c r="N259" i="1"/>
  <c r="P259" i="1" s="1"/>
  <c r="N261" i="1"/>
  <c r="P261" i="1" s="1"/>
  <c r="N263" i="1"/>
  <c r="P263" i="1" s="1"/>
  <c r="N265" i="1"/>
  <c r="P265" i="1" s="1"/>
  <c r="N267" i="1"/>
  <c r="P267" i="1" s="1"/>
  <c r="N269" i="1"/>
  <c r="P269" i="1" s="1"/>
  <c r="N271" i="1"/>
  <c r="P271" i="1" s="1"/>
  <c r="N273" i="1"/>
  <c r="P273" i="1" s="1"/>
  <c r="N275" i="1"/>
  <c r="P275" i="1" s="1"/>
  <c r="N277" i="1"/>
  <c r="P277" i="1" s="1"/>
  <c r="N279" i="1"/>
  <c r="P279" i="1" s="1"/>
  <c r="N281" i="1"/>
  <c r="P281" i="1" s="1"/>
  <c r="N283" i="1"/>
  <c r="P283" i="1" s="1"/>
  <c r="N254" i="1"/>
  <c r="N219" i="1"/>
  <c r="P219" i="1" s="1"/>
  <c r="N221" i="1"/>
  <c r="P221" i="1" s="1"/>
  <c r="N223" i="1"/>
  <c r="P223" i="1" s="1"/>
  <c r="N225" i="1"/>
  <c r="P225" i="1" s="1"/>
  <c r="N227" i="1"/>
  <c r="P227" i="1" s="1"/>
  <c r="N229" i="1"/>
  <c r="P229" i="1" s="1"/>
  <c r="N231" i="1"/>
  <c r="P231" i="1" s="1"/>
  <c r="N233" i="1"/>
  <c r="P233" i="1" s="1"/>
  <c r="N235" i="1"/>
  <c r="P235" i="1" s="1"/>
  <c r="N237" i="1"/>
  <c r="P237" i="1" s="1"/>
  <c r="N239" i="1"/>
  <c r="P239" i="1" s="1"/>
  <c r="N241" i="1"/>
  <c r="P241" i="1" s="1"/>
  <c r="N243" i="1"/>
  <c r="P243" i="1" s="1"/>
  <c r="N245" i="1"/>
  <c r="P245" i="1" s="1"/>
  <c r="N247" i="1"/>
  <c r="P247" i="1" s="1"/>
  <c r="N218" i="1"/>
  <c r="N184" i="1"/>
  <c r="P184" i="1" s="1"/>
  <c r="N186" i="1"/>
  <c r="P186" i="1" s="1"/>
  <c r="N188" i="1"/>
  <c r="P188" i="1" s="1"/>
  <c r="N190" i="1"/>
  <c r="P190" i="1" s="1"/>
  <c r="N192" i="1"/>
  <c r="P192" i="1" s="1"/>
  <c r="N194" i="1"/>
  <c r="P194" i="1" s="1"/>
  <c r="N196" i="1"/>
  <c r="P196" i="1" s="1"/>
  <c r="N198" i="1"/>
  <c r="P198" i="1" s="1"/>
  <c r="N200" i="1"/>
  <c r="P200" i="1" s="1"/>
  <c r="N202" i="1"/>
  <c r="P202" i="1" s="1"/>
  <c r="N204" i="1"/>
  <c r="P204" i="1" s="1"/>
  <c r="N206" i="1"/>
  <c r="P206" i="1" s="1"/>
  <c r="N208" i="1"/>
  <c r="P208" i="1" s="1"/>
  <c r="N210" i="1"/>
  <c r="P210" i="1" s="1"/>
  <c r="N212" i="1"/>
  <c r="P212" i="1" s="1"/>
  <c r="N148" i="1"/>
  <c r="P148" i="1" s="1"/>
  <c r="N150" i="1"/>
  <c r="P150" i="1" s="1"/>
  <c r="N152" i="1"/>
  <c r="P152" i="1" s="1"/>
  <c r="N154" i="1"/>
  <c r="P154" i="1" s="1"/>
  <c r="N156" i="1"/>
  <c r="P156" i="1" s="1"/>
  <c r="N158" i="1"/>
  <c r="P158" i="1" s="1"/>
  <c r="N160" i="1"/>
  <c r="P160" i="1" s="1"/>
  <c r="N162" i="1"/>
  <c r="P162" i="1" s="1"/>
  <c r="N164" i="1"/>
  <c r="P164" i="1" s="1"/>
  <c r="N166" i="1"/>
  <c r="P166" i="1" s="1"/>
  <c r="N168" i="1"/>
  <c r="P168" i="1" s="1"/>
  <c r="N170" i="1"/>
  <c r="P170" i="1" s="1"/>
  <c r="N172" i="1"/>
  <c r="P172" i="1" s="1"/>
  <c r="N174" i="1"/>
  <c r="P174" i="1" s="1"/>
  <c r="N176" i="1"/>
  <c r="P176" i="1" s="1"/>
  <c r="N113" i="1"/>
  <c r="P113" i="1" s="1"/>
  <c r="N115" i="1"/>
  <c r="P115" i="1" s="1"/>
  <c r="N117" i="1"/>
  <c r="P117" i="1" s="1"/>
  <c r="N119" i="1"/>
  <c r="P119" i="1" s="1"/>
  <c r="N121" i="1"/>
  <c r="P121" i="1" s="1"/>
  <c r="N123" i="1"/>
  <c r="P123" i="1" s="1"/>
  <c r="N125" i="1"/>
  <c r="P125" i="1" s="1"/>
  <c r="N127" i="1"/>
  <c r="P127" i="1" s="1"/>
  <c r="N129" i="1"/>
  <c r="P129" i="1" s="1"/>
  <c r="N131" i="1"/>
  <c r="P131" i="1" s="1"/>
  <c r="N133" i="1"/>
  <c r="P133" i="1" s="1"/>
  <c r="N135" i="1"/>
  <c r="P135" i="1" s="1"/>
  <c r="N137" i="1"/>
  <c r="P137" i="1" s="1"/>
  <c r="N139" i="1"/>
  <c r="P139" i="1" s="1"/>
  <c r="N141" i="1"/>
  <c r="P141" i="1" s="1"/>
  <c r="N77" i="1"/>
  <c r="P77" i="1" s="1"/>
  <c r="N79" i="1"/>
  <c r="P79" i="1" s="1"/>
  <c r="N81" i="1"/>
  <c r="P81" i="1" s="1"/>
  <c r="N83" i="1"/>
  <c r="P83" i="1" s="1"/>
  <c r="N85" i="1"/>
  <c r="P85" i="1" s="1"/>
  <c r="N87" i="1"/>
  <c r="P87" i="1" s="1"/>
  <c r="N89" i="1"/>
  <c r="P89" i="1" s="1"/>
  <c r="N91" i="1"/>
  <c r="P91" i="1" s="1"/>
  <c r="N93" i="1"/>
  <c r="P93" i="1" s="1"/>
  <c r="N95" i="1"/>
  <c r="P95" i="1" s="1"/>
  <c r="N97" i="1"/>
  <c r="P97" i="1" s="1"/>
  <c r="N99" i="1"/>
  <c r="P99" i="1" s="1"/>
  <c r="N101" i="1"/>
  <c r="P101" i="1" s="1"/>
  <c r="N103" i="1"/>
  <c r="P103" i="1" s="1"/>
  <c r="N105" i="1"/>
  <c r="P105" i="1" s="1"/>
  <c r="N76" i="1"/>
  <c r="N43" i="1"/>
  <c r="P43" i="1" s="1"/>
  <c r="N45" i="1"/>
  <c r="P45" i="1" s="1"/>
  <c r="N47" i="1"/>
  <c r="P47" i="1" s="1"/>
  <c r="N49" i="1"/>
  <c r="P49" i="1" s="1"/>
  <c r="N51" i="1"/>
  <c r="P51" i="1" s="1"/>
  <c r="N53" i="1"/>
  <c r="P53" i="1" s="1"/>
  <c r="N55" i="1"/>
  <c r="P55" i="1" s="1"/>
  <c r="N57" i="1"/>
  <c r="P57" i="1" s="1"/>
  <c r="N59" i="1"/>
  <c r="P59" i="1" s="1"/>
  <c r="N61" i="1"/>
  <c r="P61" i="1" s="1"/>
  <c r="N63" i="1"/>
  <c r="P63" i="1" s="1"/>
  <c r="N65" i="1"/>
  <c r="P65" i="1" s="1"/>
  <c r="N67" i="1"/>
  <c r="P67" i="1" s="1"/>
  <c r="N69" i="1"/>
  <c r="P69" i="1" s="1"/>
  <c r="N44" i="1"/>
  <c r="P44" i="1" s="1"/>
  <c r="N48" i="1"/>
  <c r="P48" i="1" s="1"/>
  <c r="N52" i="1"/>
  <c r="P52" i="1" s="1"/>
  <c r="N56" i="1"/>
  <c r="P56" i="1" s="1"/>
  <c r="N60" i="1"/>
  <c r="P60" i="1" s="1"/>
  <c r="N64" i="1"/>
  <c r="P64" i="1" s="1"/>
  <c r="N68" i="1"/>
  <c r="P68" i="1" s="1"/>
  <c r="N8" i="1"/>
  <c r="P8" i="1" s="1"/>
  <c r="N10" i="1"/>
  <c r="P10" i="1" s="1"/>
  <c r="N12" i="1"/>
  <c r="P12" i="1" s="1"/>
  <c r="N14" i="1"/>
  <c r="P14" i="1" s="1"/>
  <c r="N16" i="1"/>
  <c r="P16" i="1" s="1"/>
  <c r="N18" i="1"/>
  <c r="P18" i="1" s="1"/>
  <c r="N20" i="1"/>
  <c r="P20" i="1" s="1"/>
  <c r="N22" i="1"/>
  <c r="P22" i="1" s="1"/>
  <c r="N24" i="1"/>
  <c r="P24" i="1" s="1"/>
  <c r="N26" i="1"/>
  <c r="P26" i="1" s="1"/>
  <c r="N28" i="1"/>
  <c r="P28" i="1" s="1"/>
  <c r="N30" i="1"/>
  <c r="P30" i="1" s="1"/>
  <c r="N32" i="1"/>
  <c r="P32" i="1" s="1"/>
  <c r="N34" i="1"/>
  <c r="P34" i="1" s="1"/>
  <c r="N36" i="1"/>
  <c r="P36" i="1" s="1"/>
  <c r="N46" i="1"/>
  <c r="P46" i="1" s="1"/>
  <c r="N50" i="1"/>
  <c r="P50" i="1" s="1"/>
  <c r="N54" i="1"/>
  <c r="P54" i="1" s="1"/>
  <c r="N58" i="1"/>
  <c r="P58" i="1" s="1"/>
  <c r="N62" i="1"/>
  <c r="P62" i="1" s="1"/>
  <c r="N66" i="1"/>
  <c r="P66" i="1" s="1"/>
  <c r="N70" i="1"/>
  <c r="P70" i="1" s="1"/>
  <c r="N42" i="1"/>
  <c r="N7" i="1"/>
  <c r="P7" i="1" s="1"/>
  <c r="N9" i="1"/>
  <c r="P9" i="1" s="1"/>
  <c r="N11" i="1"/>
  <c r="P11" i="1" s="1"/>
  <c r="N13" i="1"/>
  <c r="P13" i="1" s="1"/>
  <c r="N15" i="1"/>
  <c r="P15" i="1" s="1"/>
  <c r="N17" i="1"/>
  <c r="P17" i="1" s="1"/>
  <c r="N19" i="1"/>
  <c r="P19" i="1" s="1"/>
  <c r="N21" i="1"/>
  <c r="P21" i="1" s="1"/>
  <c r="N23" i="1"/>
  <c r="P23" i="1" s="1"/>
  <c r="N25" i="1"/>
  <c r="P25" i="1" s="1"/>
  <c r="N27" i="1"/>
  <c r="P27" i="1" s="1"/>
  <c r="N29" i="1"/>
  <c r="P29" i="1" s="1"/>
  <c r="N31" i="1"/>
  <c r="P31" i="1" s="1"/>
  <c r="N33" i="1"/>
  <c r="P33" i="1" s="1"/>
  <c r="N35" i="1"/>
  <c r="P35" i="1" s="1"/>
  <c r="AX398" i="1"/>
  <c r="AZ398" i="1" s="1"/>
  <c r="AX400" i="1"/>
  <c r="AZ400" i="1" s="1"/>
  <c r="AX402" i="1"/>
  <c r="AZ402" i="1" s="1"/>
  <c r="AX404" i="1"/>
  <c r="AZ404" i="1" s="1"/>
  <c r="AX406" i="1"/>
  <c r="AZ406" i="1" s="1"/>
  <c r="AX408" i="1"/>
  <c r="AZ408" i="1" s="1"/>
  <c r="AX410" i="1"/>
  <c r="AZ410" i="1" s="1"/>
  <c r="AX412" i="1"/>
  <c r="AZ412" i="1" s="1"/>
  <c r="AX414" i="1"/>
  <c r="AZ414" i="1" s="1"/>
  <c r="AX416" i="1"/>
  <c r="AZ416" i="1" s="1"/>
  <c r="AX418" i="1"/>
  <c r="AZ418" i="1" s="1"/>
  <c r="AX420" i="1"/>
  <c r="AZ420" i="1" s="1"/>
  <c r="AX422" i="1"/>
  <c r="AZ422" i="1" s="1"/>
  <c r="AX424" i="1"/>
  <c r="AZ424" i="1" s="1"/>
  <c r="AX426" i="1"/>
  <c r="AZ426" i="1" s="1"/>
  <c r="AX363" i="1"/>
  <c r="AZ363" i="1" s="1"/>
  <c r="AX365" i="1"/>
  <c r="AZ365" i="1" s="1"/>
  <c r="AX367" i="1"/>
  <c r="AZ367" i="1" s="1"/>
  <c r="AX369" i="1"/>
  <c r="AZ369" i="1" s="1"/>
  <c r="AX371" i="1"/>
  <c r="AZ371" i="1" s="1"/>
  <c r="AX373" i="1"/>
  <c r="AZ373" i="1" s="1"/>
  <c r="AX375" i="1"/>
  <c r="AZ375" i="1" s="1"/>
  <c r="AX377" i="1"/>
  <c r="AZ377" i="1" s="1"/>
  <c r="AX379" i="1"/>
  <c r="AZ379" i="1" s="1"/>
  <c r="AX381" i="1"/>
  <c r="AZ381" i="1" s="1"/>
  <c r="AX383" i="1"/>
  <c r="AZ383" i="1" s="1"/>
  <c r="AX385" i="1"/>
  <c r="AZ385" i="1" s="1"/>
  <c r="AX387" i="1"/>
  <c r="AZ387" i="1" s="1"/>
  <c r="AX389" i="1"/>
  <c r="AZ389" i="1" s="1"/>
  <c r="AX361" i="1"/>
  <c r="AX327" i="1"/>
  <c r="AZ327" i="1" s="1"/>
  <c r="AX329" i="1"/>
  <c r="AZ329" i="1" s="1"/>
  <c r="AX331" i="1"/>
  <c r="AZ331" i="1" s="1"/>
  <c r="AX333" i="1"/>
  <c r="AZ333" i="1" s="1"/>
  <c r="AX335" i="1"/>
  <c r="AZ335" i="1" s="1"/>
  <c r="AX337" i="1"/>
  <c r="AZ337" i="1" s="1"/>
  <c r="AX339" i="1"/>
  <c r="AZ339" i="1" s="1"/>
  <c r="AX341" i="1"/>
  <c r="AZ341" i="1" s="1"/>
  <c r="AX343" i="1"/>
  <c r="AZ343" i="1" s="1"/>
  <c r="AX345" i="1"/>
  <c r="AZ345" i="1" s="1"/>
  <c r="AX347" i="1"/>
  <c r="AZ347" i="1" s="1"/>
  <c r="AX349" i="1"/>
  <c r="AZ349" i="1" s="1"/>
  <c r="AX351" i="1"/>
  <c r="AZ351" i="1" s="1"/>
  <c r="AX353" i="1"/>
  <c r="AZ353" i="1" s="1"/>
  <c r="AX355" i="1"/>
  <c r="AZ355" i="1" s="1"/>
  <c r="AX292" i="1"/>
  <c r="AZ292" i="1" s="1"/>
  <c r="AX294" i="1"/>
  <c r="AZ294" i="1" s="1"/>
  <c r="AX296" i="1"/>
  <c r="AZ296" i="1" s="1"/>
  <c r="AX298" i="1"/>
  <c r="AZ298" i="1" s="1"/>
  <c r="AX300" i="1"/>
  <c r="AZ300" i="1" s="1"/>
  <c r="AX302" i="1"/>
  <c r="AZ302" i="1" s="1"/>
  <c r="AX304" i="1"/>
  <c r="AZ304" i="1" s="1"/>
  <c r="AX306" i="1"/>
  <c r="AZ306" i="1" s="1"/>
  <c r="AX308" i="1"/>
  <c r="AZ308" i="1" s="1"/>
  <c r="AX310" i="1"/>
  <c r="AZ310" i="1" s="1"/>
  <c r="AX312" i="1"/>
  <c r="AZ312" i="1" s="1"/>
  <c r="AX314" i="1"/>
  <c r="AZ314" i="1" s="1"/>
  <c r="AX316" i="1"/>
  <c r="AZ316" i="1" s="1"/>
  <c r="AX318" i="1"/>
  <c r="AZ318" i="1" s="1"/>
  <c r="AX290" i="1"/>
  <c r="AX256" i="1"/>
  <c r="AZ256" i="1" s="1"/>
  <c r="AX258" i="1"/>
  <c r="AZ258" i="1" s="1"/>
  <c r="AX260" i="1"/>
  <c r="AZ260" i="1" s="1"/>
  <c r="AX262" i="1"/>
  <c r="AZ262" i="1" s="1"/>
  <c r="AX264" i="1"/>
  <c r="AZ264" i="1" s="1"/>
  <c r="AX266" i="1"/>
  <c r="AZ266" i="1" s="1"/>
  <c r="AX268" i="1"/>
  <c r="AZ268" i="1" s="1"/>
  <c r="AX270" i="1"/>
  <c r="AZ270" i="1" s="1"/>
  <c r="AX272" i="1"/>
  <c r="AZ272" i="1" s="1"/>
  <c r="AX274" i="1"/>
  <c r="AZ274" i="1" s="1"/>
  <c r="AX276" i="1"/>
  <c r="AZ276" i="1" s="1"/>
  <c r="AX278" i="1"/>
  <c r="AZ278" i="1" s="1"/>
  <c r="AX280" i="1"/>
  <c r="AZ280" i="1" s="1"/>
  <c r="AX282" i="1"/>
  <c r="AZ282" i="1" s="1"/>
  <c r="AX284" i="1"/>
  <c r="AZ284" i="1" s="1"/>
  <c r="AX220" i="1"/>
  <c r="AZ220" i="1" s="1"/>
  <c r="AX222" i="1"/>
  <c r="AZ222" i="1" s="1"/>
  <c r="AX224" i="1"/>
  <c r="AZ224" i="1" s="1"/>
  <c r="AX226" i="1"/>
  <c r="AZ226" i="1" s="1"/>
  <c r="AX228" i="1"/>
  <c r="AZ228" i="1" s="1"/>
  <c r="AX230" i="1"/>
  <c r="AZ230" i="1" s="1"/>
  <c r="AX232" i="1"/>
  <c r="AZ232" i="1" s="1"/>
  <c r="AX234" i="1"/>
  <c r="AZ234" i="1" s="1"/>
  <c r="AX236" i="1"/>
  <c r="AZ236" i="1" s="1"/>
  <c r="AX238" i="1"/>
  <c r="AZ238" i="1" s="1"/>
  <c r="AX240" i="1"/>
  <c r="AZ240" i="1" s="1"/>
  <c r="AX242" i="1"/>
  <c r="AZ242" i="1" s="1"/>
  <c r="AX244" i="1"/>
  <c r="AZ244" i="1" s="1"/>
  <c r="AX246" i="1"/>
  <c r="AZ246" i="1" s="1"/>
  <c r="AX248" i="1"/>
  <c r="AZ248" i="1" s="1"/>
  <c r="AX185" i="1"/>
  <c r="AZ185" i="1" s="1"/>
  <c r="AX187" i="1"/>
  <c r="AZ187" i="1" s="1"/>
  <c r="AX189" i="1"/>
  <c r="AZ189" i="1" s="1"/>
  <c r="AX191" i="1"/>
  <c r="AZ191" i="1" s="1"/>
  <c r="AX193" i="1"/>
  <c r="AZ193" i="1" s="1"/>
  <c r="AX195" i="1"/>
  <c r="AZ195" i="1" s="1"/>
  <c r="AX197" i="1"/>
  <c r="AZ197" i="1" s="1"/>
  <c r="AX199" i="1"/>
  <c r="AZ199" i="1" s="1"/>
  <c r="AX201" i="1"/>
  <c r="AZ201" i="1" s="1"/>
  <c r="AX203" i="1"/>
  <c r="AZ203" i="1" s="1"/>
  <c r="AX205" i="1"/>
  <c r="AZ205" i="1" s="1"/>
  <c r="AX207" i="1"/>
  <c r="AZ207" i="1" s="1"/>
  <c r="AX209" i="1"/>
  <c r="AZ209" i="1" s="1"/>
  <c r="AX211" i="1"/>
  <c r="AZ211" i="1" s="1"/>
  <c r="AX183" i="1"/>
  <c r="AX149" i="1"/>
  <c r="AZ149" i="1" s="1"/>
  <c r="AX151" i="1"/>
  <c r="AZ151" i="1" s="1"/>
  <c r="AX153" i="1"/>
  <c r="AZ153" i="1" s="1"/>
  <c r="AX155" i="1"/>
  <c r="AZ155" i="1" s="1"/>
  <c r="AX157" i="1"/>
  <c r="AZ157" i="1" s="1"/>
  <c r="AX159" i="1"/>
  <c r="AZ159" i="1" s="1"/>
  <c r="AX161" i="1"/>
  <c r="AZ161" i="1" s="1"/>
  <c r="AX163" i="1"/>
  <c r="AZ163" i="1" s="1"/>
  <c r="AX165" i="1"/>
  <c r="AZ165" i="1" s="1"/>
  <c r="AX167" i="1"/>
  <c r="AZ167" i="1" s="1"/>
  <c r="AX169" i="1"/>
  <c r="AZ169" i="1" s="1"/>
  <c r="AX171" i="1"/>
  <c r="AZ171" i="1" s="1"/>
  <c r="AX173" i="1"/>
  <c r="AZ173" i="1" s="1"/>
  <c r="AX175" i="1"/>
  <c r="AZ175" i="1" s="1"/>
  <c r="AX177" i="1"/>
  <c r="AZ177" i="1" s="1"/>
  <c r="AX114" i="1"/>
  <c r="AZ114" i="1" s="1"/>
  <c r="AX116" i="1"/>
  <c r="AZ116" i="1" s="1"/>
  <c r="AX118" i="1"/>
  <c r="AZ118" i="1" s="1"/>
  <c r="AX120" i="1"/>
  <c r="AZ120" i="1" s="1"/>
  <c r="AX122" i="1"/>
  <c r="AZ122" i="1" s="1"/>
  <c r="AX124" i="1"/>
  <c r="AZ124" i="1" s="1"/>
  <c r="AX126" i="1"/>
  <c r="AZ126" i="1" s="1"/>
  <c r="AX128" i="1"/>
  <c r="AZ128" i="1" s="1"/>
  <c r="AX130" i="1"/>
  <c r="AZ130" i="1" s="1"/>
  <c r="AX132" i="1"/>
  <c r="AZ132" i="1" s="1"/>
  <c r="AX134" i="1"/>
  <c r="AZ134" i="1" s="1"/>
  <c r="AX136" i="1"/>
  <c r="AZ136" i="1" s="1"/>
  <c r="AX138" i="1"/>
  <c r="AZ138" i="1" s="1"/>
  <c r="AX140" i="1"/>
  <c r="AZ140" i="1" s="1"/>
  <c r="AX112" i="1"/>
  <c r="AX78" i="1"/>
  <c r="AZ78" i="1" s="1"/>
  <c r="AX80" i="1"/>
  <c r="AZ80" i="1" s="1"/>
  <c r="AX82" i="1"/>
  <c r="AZ82" i="1" s="1"/>
  <c r="AX84" i="1"/>
  <c r="AZ84" i="1" s="1"/>
  <c r="AX86" i="1"/>
  <c r="AZ86" i="1" s="1"/>
  <c r="AX88" i="1"/>
  <c r="AZ88" i="1" s="1"/>
  <c r="AX90" i="1"/>
  <c r="AZ90" i="1" s="1"/>
  <c r="AX92" i="1"/>
  <c r="AZ92" i="1" s="1"/>
  <c r="AX94" i="1"/>
  <c r="AZ94" i="1" s="1"/>
  <c r="AX96" i="1"/>
  <c r="AZ96" i="1" s="1"/>
  <c r="AX98" i="1"/>
  <c r="AZ98" i="1" s="1"/>
  <c r="AX100" i="1"/>
  <c r="AZ100" i="1" s="1"/>
  <c r="AX102" i="1"/>
  <c r="AZ102" i="1" s="1"/>
  <c r="AX104" i="1"/>
  <c r="AZ104" i="1" s="1"/>
  <c r="AX106" i="1"/>
  <c r="AZ106" i="1" s="1"/>
  <c r="AX44" i="1"/>
  <c r="AZ44" i="1" s="1"/>
  <c r="AX46" i="1"/>
  <c r="AZ46" i="1" s="1"/>
  <c r="AX48" i="1"/>
  <c r="AZ48" i="1" s="1"/>
  <c r="AX50" i="1"/>
  <c r="AZ50" i="1" s="1"/>
  <c r="AX52" i="1"/>
  <c r="AZ52" i="1" s="1"/>
  <c r="AX54" i="1"/>
  <c r="AZ54" i="1" s="1"/>
  <c r="AX56" i="1"/>
  <c r="AZ56" i="1" s="1"/>
  <c r="AX58" i="1"/>
  <c r="AZ58" i="1" s="1"/>
  <c r="AX60" i="1"/>
  <c r="AZ60" i="1" s="1"/>
  <c r="AX62" i="1"/>
  <c r="AZ62" i="1" s="1"/>
  <c r="AX64" i="1"/>
  <c r="AZ64" i="1" s="1"/>
  <c r="AX66" i="1"/>
  <c r="AZ66" i="1" s="1"/>
  <c r="AX68" i="1"/>
  <c r="AZ68" i="1" s="1"/>
  <c r="AX70" i="1"/>
  <c r="AZ70" i="1" s="1"/>
  <c r="AX397" i="1"/>
  <c r="AZ397" i="1" s="1"/>
  <c r="AX399" i="1"/>
  <c r="AZ399" i="1" s="1"/>
  <c r="AX401" i="1"/>
  <c r="AZ401" i="1" s="1"/>
  <c r="AX403" i="1"/>
  <c r="AZ403" i="1" s="1"/>
  <c r="AX405" i="1"/>
  <c r="AZ405" i="1" s="1"/>
  <c r="AX407" i="1"/>
  <c r="AZ407" i="1" s="1"/>
  <c r="AX409" i="1"/>
  <c r="AZ409" i="1" s="1"/>
  <c r="AX411" i="1"/>
  <c r="AZ411" i="1" s="1"/>
  <c r="AX413" i="1"/>
  <c r="AZ413" i="1" s="1"/>
  <c r="AX415" i="1"/>
  <c r="AZ415" i="1" s="1"/>
  <c r="AX417" i="1"/>
  <c r="AZ417" i="1" s="1"/>
  <c r="AX419" i="1"/>
  <c r="AZ419" i="1" s="1"/>
  <c r="AX421" i="1"/>
  <c r="AZ421" i="1" s="1"/>
  <c r="AX423" i="1"/>
  <c r="AZ423" i="1" s="1"/>
  <c r="AX425" i="1"/>
  <c r="AZ425" i="1" s="1"/>
  <c r="AX396" i="1"/>
  <c r="AX362" i="1"/>
  <c r="AZ362" i="1" s="1"/>
  <c r="AX364" i="1"/>
  <c r="AZ364" i="1" s="1"/>
  <c r="AX366" i="1"/>
  <c r="AZ366" i="1" s="1"/>
  <c r="AX368" i="1"/>
  <c r="AZ368" i="1" s="1"/>
  <c r="AX370" i="1"/>
  <c r="AZ370" i="1" s="1"/>
  <c r="AX372" i="1"/>
  <c r="AZ372" i="1" s="1"/>
  <c r="AX374" i="1"/>
  <c r="AZ374" i="1" s="1"/>
  <c r="AX376" i="1"/>
  <c r="AZ376" i="1" s="1"/>
  <c r="AX378" i="1"/>
  <c r="AZ378" i="1" s="1"/>
  <c r="AX380" i="1"/>
  <c r="AZ380" i="1" s="1"/>
  <c r="AX382" i="1"/>
  <c r="AZ382" i="1" s="1"/>
  <c r="AX384" i="1"/>
  <c r="AZ384" i="1" s="1"/>
  <c r="AX386" i="1"/>
  <c r="AZ386" i="1" s="1"/>
  <c r="AX388" i="1"/>
  <c r="AZ388" i="1" s="1"/>
  <c r="AX390" i="1"/>
  <c r="AZ390" i="1" s="1"/>
  <c r="AX326" i="1"/>
  <c r="AZ326" i="1" s="1"/>
  <c r="AX328" i="1"/>
  <c r="AZ328" i="1" s="1"/>
  <c r="AX330" i="1"/>
  <c r="AZ330" i="1" s="1"/>
  <c r="AX332" i="1"/>
  <c r="AZ332" i="1" s="1"/>
  <c r="AX334" i="1"/>
  <c r="AZ334" i="1" s="1"/>
  <c r="AX336" i="1"/>
  <c r="AZ336" i="1" s="1"/>
  <c r="AX338" i="1"/>
  <c r="AZ338" i="1" s="1"/>
  <c r="AX340" i="1"/>
  <c r="AZ340" i="1" s="1"/>
  <c r="AX342" i="1"/>
  <c r="AZ342" i="1" s="1"/>
  <c r="AX344" i="1"/>
  <c r="AZ344" i="1" s="1"/>
  <c r="AX346" i="1"/>
  <c r="AZ346" i="1" s="1"/>
  <c r="AX348" i="1"/>
  <c r="AZ348" i="1" s="1"/>
  <c r="AX350" i="1"/>
  <c r="AZ350" i="1" s="1"/>
  <c r="AX352" i="1"/>
  <c r="AZ352" i="1" s="1"/>
  <c r="AX354" i="1"/>
  <c r="AZ354" i="1" s="1"/>
  <c r="AX325" i="1"/>
  <c r="AX291" i="1"/>
  <c r="AZ291" i="1" s="1"/>
  <c r="AX293" i="1"/>
  <c r="AZ293" i="1" s="1"/>
  <c r="AX295" i="1"/>
  <c r="AZ295" i="1" s="1"/>
  <c r="AX297" i="1"/>
  <c r="AZ297" i="1" s="1"/>
  <c r="AX299" i="1"/>
  <c r="AZ299" i="1" s="1"/>
  <c r="AX301" i="1"/>
  <c r="AZ301" i="1" s="1"/>
  <c r="AX303" i="1"/>
  <c r="AZ303" i="1" s="1"/>
  <c r="AX305" i="1"/>
  <c r="AZ305" i="1" s="1"/>
  <c r="AX307" i="1"/>
  <c r="AZ307" i="1" s="1"/>
  <c r="AX309" i="1"/>
  <c r="AZ309" i="1" s="1"/>
  <c r="AX311" i="1"/>
  <c r="AZ311" i="1" s="1"/>
  <c r="AX313" i="1"/>
  <c r="AZ313" i="1" s="1"/>
  <c r="AX315" i="1"/>
  <c r="AZ315" i="1" s="1"/>
  <c r="AX317" i="1"/>
  <c r="AZ317" i="1" s="1"/>
  <c r="AX319" i="1"/>
  <c r="AZ319" i="1" s="1"/>
  <c r="AX255" i="1"/>
  <c r="AZ255" i="1" s="1"/>
  <c r="AX257" i="1"/>
  <c r="AZ257" i="1" s="1"/>
  <c r="AX259" i="1"/>
  <c r="AZ259" i="1" s="1"/>
  <c r="AX261" i="1"/>
  <c r="AZ261" i="1" s="1"/>
  <c r="AX263" i="1"/>
  <c r="AZ263" i="1" s="1"/>
  <c r="AX265" i="1"/>
  <c r="AZ265" i="1" s="1"/>
  <c r="AX267" i="1"/>
  <c r="AZ267" i="1" s="1"/>
  <c r="AX269" i="1"/>
  <c r="AZ269" i="1" s="1"/>
  <c r="AX271" i="1"/>
  <c r="AZ271" i="1" s="1"/>
  <c r="AX273" i="1"/>
  <c r="AZ273" i="1" s="1"/>
  <c r="AX275" i="1"/>
  <c r="AZ275" i="1" s="1"/>
  <c r="AX277" i="1"/>
  <c r="AZ277" i="1" s="1"/>
  <c r="AX279" i="1"/>
  <c r="AZ279" i="1" s="1"/>
  <c r="AX281" i="1"/>
  <c r="AZ281" i="1" s="1"/>
  <c r="AX283" i="1"/>
  <c r="AZ283" i="1" s="1"/>
  <c r="AX254" i="1"/>
  <c r="AX219" i="1"/>
  <c r="AZ219" i="1" s="1"/>
  <c r="AX221" i="1"/>
  <c r="AZ221" i="1" s="1"/>
  <c r="AX223" i="1"/>
  <c r="AZ223" i="1" s="1"/>
  <c r="AX225" i="1"/>
  <c r="AZ225" i="1" s="1"/>
  <c r="AX227" i="1"/>
  <c r="AZ227" i="1" s="1"/>
  <c r="AX229" i="1"/>
  <c r="AZ229" i="1" s="1"/>
  <c r="AX231" i="1"/>
  <c r="AZ231" i="1" s="1"/>
  <c r="AX233" i="1"/>
  <c r="AZ233" i="1" s="1"/>
  <c r="AX235" i="1"/>
  <c r="AZ235" i="1" s="1"/>
  <c r="AX237" i="1"/>
  <c r="AZ237" i="1" s="1"/>
  <c r="AX239" i="1"/>
  <c r="AZ239" i="1" s="1"/>
  <c r="AX241" i="1"/>
  <c r="AZ241" i="1" s="1"/>
  <c r="AX243" i="1"/>
  <c r="AZ243" i="1" s="1"/>
  <c r="AX245" i="1"/>
  <c r="AZ245" i="1" s="1"/>
  <c r="AX247" i="1"/>
  <c r="AZ247" i="1" s="1"/>
  <c r="AX218" i="1"/>
  <c r="AX184" i="1"/>
  <c r="AZ184" i="1" s="1"/>
  <c r="AX186" i="1"/>
  <c r="AZ186" i="1" s="1"/>
  <c r="AX188" i="1"/>
  <c r="AZ188" i="1" s="1"/>
  <c r="AX190" i="1"/>
  <c r="AZ190" i="1" s="1"/>
  <c r="AX192" i="1"/>
  <c r="AZ192" i="1" s="1"/>
  <c r="AX194" i="1"/>
  <c r="AZ194" i="1" s="1"/>
  <c r="AX196" i="1"/>
  <c r="AZ196" i="1" s="1"/>
  <c r="AX198" i="1"/>
  <c r="AZ198" i="1" s="1"/>
  <c r="AX200" i="1"/>
  <c r="AZ200" i="1" s="1"/>
  <c r="AX202" i="1"/>
  <c r="AZ202" i="1" s="1"/>
  <c r="AX204" i="1"/>
  <c r="AZ204" i="1" s="1"/>
  <c r="AX206" i="1"/>
  <c r="AZ206" i="1" s="1"/>
  <c r="AX208" i="1"/>
  <c r="AZ208" i="1" s="1"/>
  <c r="AX210" i="1"/>
  <c r="AZ210" i="1" s="1"/>
  <c r="AX212" i="1"/>
  <c r="AZ212" i="1" s="1"/>
  <c r="AX148" i="1"/>
  <c r="AZ148" i="1" s="1"/>
  <c r="AX150" i="1"/>
  <c r="AZ150" i="1" s="1"/>
  <c r="AX152" i="1"/>
  <c r="AZ152" i="1" s="1"/>
  <c r="AX154" i="1"/>
  <c r="AZ154" i="1" s="1"/>
  <c r="AX156" i="1"/>
  <c r="AZ156" i="1" s="1"/>
  <c r="AX158" i="1"/>
  <c r="AZ158" i="1" s="1"/>
  <c r="AX160" i="1"/>
  <c r="AZ160" i="1" s="1"/>
  <c r="AX162" i="1"/>
  <c r="AZ162" i="1" s="1"/>
  <c r="AX164" i="1"/>
  <c r="AZ164" i="1" s="1"/>
  <c r="AX166" i="1"/>
  <c r="AZ166" i="1" s="1"/>
  <c r="AX168" i="1"/>
  <c r="AZ168" i="1" s="1"/>
  <c r="AX170" i="1"/>
  <c r="AZ170" i="1" s="1"/>
  <c r="AX172" i="1"/>
  <c r="AZ172" i="1" s="1"/>
  <c r="AX174" i="1"/>
  <c r="AZ174" i="1" s="1"/>
  <c r="AX176" i="1"/>
  <c r="AZ176" i="1" s="1"/>
  <c r="AX113" i="1"/>
  <c r="AZ113" i="1" s="1"/>
  <c r="AX115" i="1"/>
  <c r="AZ115" i="1" s="1"/>
  <c r="AX117" i="1"/>
  <c r="AZ117" i="1" s="1"/>
  <c r="AX119" i="1"/>
  <c r="AZ119" i="1" s="1"/>
  <c r="AX121" i="1"/>
  <c r="AZ121" i="1" s="1"/>
  <c r="AX123" i="1"/>
  <c r="AZ123" i="1" s="1"/>
  <c r="AX125" i="1"/>
  <c r="AZ125" i="1" s="1"/>
  <c r="AX127" i="1"/>
  <c r="AZ127" i="1" s="1"/>
  <c r="AX129" i="1"/>
  <c r="AZ129" i="1" s="1"/>
  <c r="AX131" i="1"/>
  <c r="AZ131" i="1" s="1"/>
  <c r="AX133" i="1"/>
  <c r="AZ133" i="1" s="1"/>
  <c r="AX135" i="1"/>
  <c r="AZ135" i="1" s="1"/>
  <c r="AX137" i="1"/>
  <c r="AZ137" i="1" s="1"/>
  <c r="AX139" i="1"/>
  <c r="AZ139" i="1" s="1"/>
  <c r="AX141" i="1"/>
  <c r="AZ141" i="1" s="1"/>
  <c r="AX77" i="1"/>
  <c r="AZ77" i="1" s="1"/>
  <c r="AX79" i="1"/>
  <c r="AZ79" i="1" s="1"/>
  <c r="AX81" i="1"/>
  <c r="AZ81" i="1" s="1"/>
  <c r="AX83" i="1"/>
  <c r="AZ83" i="1" s="1"/>
  <c r="AX85" i="1"/>
  <c r="AZ85" i="1" s="1"/>
  <c r="AX87" i="1"/>
  <c r="AZ87" i="1" s="1"/>
  <c r="AX89" i="1"/>
  <c r="AZ89" i="1" s="1"/>
  <c r="AX91" i="1"/>
  <c r="AZ91" i="1" s="1"/>
  <c r="AX93" i="1"/>
  <c r="AZ93" i="1" s="1"/>
  <c r="AX95" i="1"/>
  <c r="AZ95" i="1" s="1"/>
  <c r="AX97" i="1"/>
  <c r="AZ97" i="1" s="1"/>
  <c r="AX99" i="1"/>
  <c r="AZ99" i="1" s="1"/>
  <c r="AX101" i="1"/>
  <c r="AZ101" i="1" s="1"/>
  <c r="AX103" i="1"/>
  <c r="AZ103" i="1" s="1"/>
  <c r="AX105" i="1"/>
  <c r="AZ105" i="1" s="1"/>
  <c r="AX76" i="1"/>
  <c r="AX43" i="1"/>
  <c r="AZ43" i="1" s="1"/>
  <c r="AX45" i="1"/>
  <c r="AZ45" i="1" s="1"/>
  <c r="AX47" i="1"/>
  <c r="AZ47" i="1" s="1"/>
  <c r="AX49" i="1"/>
  <c r="AZ49" i="1" s="1"/>
  <c r="AX51" i="1"/>
  <c r="AZ51" i="1" s="1"/>
  <c r="AX53" i="1"/>
  <c r="AZ53" i="1" s="1"/>
  <c r="AX55" i="1"/>
  <c r="AZ55" i="1" s="1"/>
  <c r="AX57" i="1"/>
  <c r="AZ57" i="1" s="1"/>
  <c r="AX59" i="1"/>
  <c r="AZ59" i="1" s="1"/>
  <c r="AX61" i="1"/>
  <c r="AZ61" i="1" s="1"/>
  <c r="AX63" i="1"/>
  <c r="AZ63" i="1" s="1"/>
  <c r="AX65" i="1"/>
  <c r="AZ65" i="1" s="1"/>
  <c r="AX67" i="1"/>
  <c r="AZ67" i="1" s="1"/>
  <c r="AX69" i="1"/>
  <c r="AZ69" i="1" s="1"/>
  <c r="AX42" i="1"/>
  <c r="AX8" i="1"/>
  <c r="AZ8" i="1" s="1"/>
  <c r="AX10" i="1"/>
  <c r="AZ10" i="1" s="1"/>
  <c r="AX12" i="1"/>
  <c r="AZ12" i="1" s="1"/>
  <c r="AX14" i="1"/>
  <c r="AZ14" i="1" s="1"/>
  <c r="AX16" i="1"/>
  <c r="AZ16" i="1" s="1"/>
  <c r="AX18" i="1"/>
  <c r="AZ18" i="1" s="1"/>
  <c r="AX20" i="1"/>
  <c r="AZ20" i="1" s="1"/>
  <c r="AX22" i="1"/>
  <c r="AZ22" i="1" s="1"/>
  <c r="AX24" i="1"/>
  <c r="AZ24" i="1" s="1"/>
  <c r="AX26" i="1"/>
  <c r="AZ26" i="1" s="1"/>
  <c r="AX28" i="1"/>
  <c r="AZ28" i="1" s="1"/>
  <c r="AX30" i="1"/>
  <c r="AZ30" i="1" s="1"/>
  <c r="AX32" i="1"/>
  <c r="AZ32" i="1" s="1"/>
  <c r="AX34" i="1"/>
  <c r="AZ34" i="1" s="1"/>
  <c r="AX36" i="1"/>
  <c r="AZ36" i="1" s="1"/>
  <c r="AX7" i="1"/>
  <c r="AZ7" i="1" s="1"/>
  <c r="AX9" i="1"/>
  <c r="AZ9" i="1" s="1"/>
  <c r="AX11" i="1"/>
  <c r="AZ11" i="1" s="1"/>
  <c r="AX13" i="1"/>
  <c r="AZ13" i="1" s="1"/>
  <c r="AX15" i="1"/>
  <c r="AZ15" i="1" s="1"/>
  <c r="AX17" i="1"/>
  <c r="AZ17" i="1" s="1"/>
  <c r="AX19" i="1"/>
  <c r="AZ19" i="1" s="1"/>
  <c r="AX21" i="1"/>
  <c r="AZ21" i="1" s="1"/>
  <c r="AX23" i="1"/>
  <c r="AZ23" i="1" s="1"/>
  <c r="AX25" i="1"/>
  <c r="AZ25" i="1" s="1"/>
  <c r="AX27" i="1"/>
  <c r="AZ27" i="1" s="1"/>
  <c r="AX29" i="1"/>
  <c r="AZ29" i="1" s="1"/>
  <c r="AX31" i="1"/>
  <c r="AZ31" i="1" s="1"/>
  <c r="AX33" i="1"/>
  <c r="AZ33" i="1" s="1"/>
  <c r="AX35" i="1"/>
  <c r="AZ35" i="1" s="1"/>
  <c r="CH398" i="1"/>
  <c r="CJ398" i="1" s="1"/>
  <c r="CH400" i="1"/>
  <c r="CJ400" i="1" s="1"/>
  <c r="CH402" i="1"/>
  <c r="CJ402" i="1" s="1"/>
  <c r="CH404" i="1"/>
  <c r="CJ404" i="1" s="1"/>
  <c r="CH406" i="1"/>
  <c r="CJ406" i="1" s="1"/>
  <c r="CH408" i="1"/>
  <c r="CJ408" i="1" s="1"/>
  <c r="CH410" i="1"/>
  <c r="CJ410" i="1" s="1"/>
  <c r="CH412" i="1"/>
  <c r="CJ412" i="1" s="1"/>
  <c r="CH414" i="1"/>
  <c r="CJ414" i="1" s="1"/>
  <c r="CH416" i="1"/>
  <c r="CJ416" i="1" s="1"/>
  <c r="CH418" i="1"/>
  <c r="CJ418" i="1" s="1"/>
  <c r="CH420" i="1"/>
  <c r="CJ420" i="1" s="1"/>
  <c r="CH422" i="1"/>
  <c r="CJ422" i="1" s="1"/>
  <c r="CH424" i="1"/>
  <c r="CJ424" i="1" s="1"/>
  <c r="CH426" i="1"/>
  <c r="CJ426" i="1" s="1"/>
  <c r="CH363" i="1"/>
  <c r="CJ363" i="1" s="1"/>
  <c r="CH365" i="1"/>
  <c r="CJ365" i="1" s="1"/>
  <c r="CH367" i="1"/>
  <c r="CJ367" i="1" s="1"/>
  <c r="CH369" i="1"/>
  <c r="CJ369" i="1" s="1"/>
  <c r="CH371" i="1"/>
  <c r="CJ371" i="1" s="1"/>
  <c r="CH373" i="1"/>
  <c r="CJ373" i="1" s="1"/>
  <c r="CH375" i="1"/>
  <c r="CJ375" i="1" s="1"/>
  <c r="CH377" i="1"/>
  <c r="CJ377" i="1" s="1"/>
  <c r="CH379" i="1"/>
  <c r="CJ379" i="1" s="1"/>
  <c r="CH381" i="1"/>
  <c r="CJ381" i="1" s="1"/>
  <c r="CH383" i="1"/>
  <c r="CJ383" i="1" s="1"/>
  <c r="CH385" i="1"/>
  <c r="CJ385" i="1" s="1"/>
  <c r="CH387" i="1"/>
  <c r="CJ387" i="1" s="1"/>
  <c r="CH389" i="1"/>
  <c r="CJ389" i="1" s="1"/>
  <c r="CH361" i="1"/>
  <c r="CH327" i="1"/>
  <c r="CJ327" i="1" s="1"/>
  <c r="CH329" i="1"/>
  <c r="CJ329" i="1" s="1"/>
  <c r="CH331" i="1"/>
  <c r="CJ331" i="1" s="1"/>
  <c r="CH333" i="1"/>
  <c r="CJ333" i="1" s="1"/>
  <c r="CH335" i="1"/>
  <c r="CJ335" i="1" s="1"/>
  <c r="CH337" i="1"/>
  <c r="CJ337" i="1" s="1"/>
  <c r="CH339" i="1"/>
  <c r="CJ339" i="1" s="1"/>
  <c r="CH341" i="1"/>
  <c r="CJ341" i="1" s="1"/>
  <c r="CH343" i="1"/>
  <c r="CJ343" i="1" s="1"/>
  <c r="CH345" i="1"/>
  <c r="CJ345" i="1" s="1"/>
  <c r="CH347" i="1"/>
  <c r="CJ347" i="1" s="1"/>
  <c r="CH349" i="1"/>
  <c r="CJ349" i="1" s="1"/>
  <c r="CH351" i="1"/>
  <c r="CJ351" i="1" s="1"/>
  <c r="CH353" i="1"/>
  <c r="CJ353" i="1" s="1"/>
  <c r="CH355" i="1"/>
  <c r="CJ355" i="1" s="1"/>
  <c r="CH292" i="1"/>
  <c r="CJ292" i="1" s="1"/>
  <c r="CH294" i="1"/>
  <c r="CJ294" i="1" s="1"/>
  <c r="CH296" i="1"/>
  <c r="CJ296" i="1" s="1"/>
  <c r="CH298" i="1"/>
  <c r="CJ298" i="1" s="1"/>
  <c r="CH300" i="1"/>
  <c r="CJ300" i="1" s="1"/>
  <c r="CH302" i="1"/>
  <c r="CJ302" i="1" s="1"/>
  <c r="CH304" i="1"/>
  <c r="CJ304" i="1" s="1"/>
  <c r="CH306" i="1"/>
  <c r="CJ306" i="1" s="1"/>
  <c r="CH308" i="1"/>
  <c r="CJ308" i="1" s="1"/>
  <c r="CH310" i="1"/>
  <c r="CJ310" i="1" s="1"/>
  <c r="CH312" i="1"/>
  <c r="CJ312" i="1" s="1"/>
  <c r="CH314" i="1"/>
  <c r="CJ314" i="1" s="1"/>
  <c r="CH316" i="1"/>
  <c r="CJ316" i="1" s="1"/>
  <c r="CH318" i="1"/>
  <c r="CJ318" i="1" s="1"/>
  <c r="CH290" i="1"/>
  <c r="CH256" i="1"/>
  <c r="CJ256" i="1" s="1"/>
  <c r="CH258" i="1"/>
  <c r="CJ258" i="1" s="1"/>
  <c r="CH260" i="1"/>
  <c r="CJ260" i="1" s="1"/>
  <c r="CH262" i="1"/>
  <c r="CJ262" i="1" s="1"/>
  <c r="CH264" i="1"/>
  <c r="CJ264" i="1" s="1"/>
  <c r="CH266" i="1"/>
  <c r="CJ266" i="1" s="1"/>
  <c r="CH268" i="1"/>
  <c r="CJ268" i="1" s="1"/>
  <c r="CH270" i="1"/>
  <c r="CJ270" i="1" s="1"/>
  <c r="CH272" i="1"/>
  <c r="CJ272" i="1" s="1"/>
  <c r="CH274" i="1"/>
  <c r="CJ274" i="1" s="1"/>
  <c r="CH276" i="1"/>
  <c r="CJ276" i="1" s="1"/>
  <c r="CH278" i="1"/>
  <c r="CJ278" i="1" s="1"/>
  <c r="CH280" i="1"/>
  <c r="CJ280" i="1" s="1"/>
  <c r="CH282" i="1"/>
  <c r="CJ282" i="1" s="1"/>
  <c r="CH284" i="1"/>
  <c r="CJ284" i="1" s="1"/>
  <c r="CH220" i="1"/>
  <c r="CJ220" i="1" s="1"/>
  <c r="CH222" i="1"/>
  <c r="CJ222" i="1" s="1"/>
  <c r="CH224" i="1"/>
  <c r="CJ224" i="1" s="1"/>
  <c r="CH226" i="1"/>
  <c r="CJ226" i="1" s="1"/>
  <c r="CH228" i="1"/>
  <c r="CJ228" i="1" s="1"/>
  <c r="CH230" i="1"/>
  <c r="CJ230" i="1" s="1"/>
  <c r="CH232" i="1"/>
  <c r="CJ232" i="1" s="1"/>
  <c r="CH234" i="1"/>
  <c r="CJ234" i="1" s="1"/>
  <c r="CH236" i="1"/>
  <c r="CJ236" i="1" s="1"/>
  <c r="CH238" i="1"/>
  <c r="CJ238" i="1" s="1"/>
  <c r="CH240" i="1"/>
  <c r="CJ240" i="1" s="1"/>
  <c r="CH242" i="1"/>
  <c r="CJ242" i="1" s="1"/>
  <c r="CH244" i="1"/>
  <c r="CJ244" i="1" s="1"/>
  <c r="CH246" i="1"/>
  <c r="CJ246" i="1" s="1"/>
  <c r="CH248" i="1"/>
  <c r="CJ248" i="1" s="1"/>
  <c r="CH185" i="1"/>
  <c r="CJ185" i="1" s="1"/>
  <c r="CH187" i="1"/>
  <c r="CJ187" i="1" s="1"/>
  <c r="CH189" i="1"/>
  <c r="CJ189" i="1" s="1"/>
  <c r="CH191" i="1"/>
  <c r="CJ191" i="1" s="1"/>
  <c r="CH193" i="1"/>
  <c r="CJ193" i="1" s="1"/>
  <c r="CH195" i="1"/>
  <c r="CJ195" i="1" s="1"/>
  <c r="CH197" i="1"/>
  <c r="CJ197" i="1" s="1"/>
  <c r="CH199" i="1"/>
  <c r="CJ199" i="1" s="1"/>
  <c r="CH201" i="1"/>
  <c r="CJ201" i="1" s="1"/>
  <c r="CH203" i="1"/>
  <c r="CJ203" i="1" s="1"/>
  <c r="CH205" i="1"/>
  <c r="CJ205" i="1" s="1"/>
  <c r="CH207" i="1"/>
  <c r="CJ207" i="1" s="1"/>
  <c r="CH209" i="1"/>
  <c r="CJ209" i="1" s="1"/>
  <c r="CH211" i="1"/>
  <c r="CJ211" i="1" s="1"/>
  <c r="CH183" i="1"/>
  <c r="CH149" i="1"/>
  <c r="CJ149" i="1" s="1"/>
  <c r="CH151" i="1"/>
  <c r="CJ151" i="1" s="1"/>
  <c r="CH153" i="1"/>
  <c r="CJ153" i="1" s="1"/>
  <c r="CH155" i="1"/>
  <c r="CJ155" i="1" s="1"/>
  <c r="CH157" i="1"/>
  <c r="CJ157" i="1" s="1"/>
  <c r="CH159" i="1"/>
  <c r="CJ159" i="1" s="1"/>
  <c r="CH161" i="1"/>
  <c r="CJ161" i="1" s="1"/>
  <c r="CH163" i="1"/>
  <c r="CJ163" i="1" s="1"/>
  <c r="CH165" i="1"/>
  <c r="CJ165" i="1" s="1"/>
  <c r="CH167" i="1"/>
  <c r="CJ167" i="1" s="1"/>
  <c r="CH169" i="1"/>
  <c r="CJ169" i="1" s="1"/>
  <c r="CH171" i="1"/>
  <c r="CJ171" i="1" s="1"/>
  <c r="CH173" i="1"/>
  <c r="CJ173" i="1" s="1"/>
  <c r="CH175" i="1"/>
  <c r="CJ175" i="1" s="1"/>
  <c r="CH177" i="1"/>
  <c r="CJ177" i="1" s="1"/>
  <c r="CH114" i="1"/>
  <c r="CJ114" i="1" s="1"/>
  <c r="CH116" i="1"/>
  <c r="CJ116" i="1" s="1"/>
  <c r="CH118" i="1"/>
  <c r="CJ118" i="1" s="1"/>
  <c r="CH120" i="1"/>
  <c r="CJ120" i="1" s="1"/>
  <c r="CH122" i="1"/>
  <c r="CJ122" i="1" s="1"/>
  <c r="CH124" i="1"/>
  <c r="CJ124" i="1" s="1"/>
  <c r="CH126" i="1"/>
  <c r="CJ126" i="1" s="1"/>
  <c r="CH128" i="1"/>
  <c r="CJ128" i="1" s="1"/>
  <c r="CH130" i="1"/>
  <c r="CJ130" i="1" s="1"/>
  <c r="CH132" i="1"/>
  <c r="CJ132" i="1" s="1"/>
  <c r="CH134" i="1"/>
  <c r="CJ134" i="1" s="1"/>
  <c r="CH136" i="1"/>
  <c r="CJ136" i="1" s="1"/>
  <c r="CH138" i="1"/>
  <c r="CJ138" i="1" s="1"/>
  <c r="CH140" i="1"/>
  <c r="CJ140" i="1" s="1"/>
  <c r="CH112" i="1"/>
  <c r="CH78" i="1"/>
  <c r="CJ78" i="1" s="1"/>
  <c r="CH80" i="1"/>
  <c r="CJ80" i="1" s="1"/>
  <c r="CH82" i="1"/>
  <c r="CJ82" i="1" s="1"/>
  <c r="CH84" i="1"/>
  <c r="CJ84" i="1" s="1"/>
  <c r="CH86" i="1"/>
  <c r="CJ86" i="1" s="1"/>
  <c r="CH88" i="1"/>
  <c r="CJ88" i="1" s="1"/>
  <c r="CH90" i="1"/>
  <c r="CJ90" i="1" s="1"/>
  <c r="CH92" i="1"/>
  <c r="CJ92" i="1" s="1"/>
  <c r="CH94" i="1"/>
  <c r="CJ94" i="1" s="1"/>
  <c r="CH96" i="1"/>
  <c r="CJ96" i="1" s="1"/>
  <c r="CH98" i="1"/>
  <c r="CJ98" i="1" s="1"/>
  <c r="CH100" i="1"/>
  <c r="CJ100" i="1" s="1"/>
  <c r="CH102" i="1"/>
  <c r="CJ102" i="1" s="1"/>
  <c r="CH104" i="1"/>
  <c r="CJ104" i="1" s="1"/>
  <c r="CH106" i="1"/>
  <c r="CJ106" i="1" s="1"/>
  <c r="CH44" i="1"/>
  <c r="CJ44" i="1" s="1"/>
  <c r="CH46" i="1"/>
  <c r="CJ46" i="1" s="1"/>
  <c r="CH48" i="1"/>
  <c r="CJ48" i="1" s="1"/>
  <c r="CH50" i="1"/>
  <c r="CJ50" i="1" s="1"/>
  <c r="CH52" i="1"/>
  <c r="CJ52" i="1" s="1"/>
  <c r="CH54" i="1"/>
  <c r="CJ54" i="1" s="1"/>
  <c r="CH56" i="1"/>
  <c r="CJ56" i="1" s="1"/>
  <c r="CH58" i="1"/>
  <c r="CJ58" i="1" s="1"/>
  <c r="CH60" i="1"/>
  <c r="CJ60" i="1" s="1"/>
  <c r="CH62" i="1"/>
  <c r="CJ62" i="1" s="1"/>
  <c r="CH64" i="1"/>
  <c r="CJ64" i="1" s="1"/>
  <c r="CH66" i="1"/>
  <c r="CJ66" i="1" s="1"/>
  <c r="CH68" i="1"/>
  <c r="CJ68" i="1" s="1"/>
  <c r="CH70" i="1"/>
  <c r="CJ70" i="1" s="1"/>
  <c r="CH397" i="1"/>
  <c r="CJ397" i="1" s="1"/>
  <c r="CH399" i="1"/>
  <c r="CJ399" i="1" s="1"/>
  <c r="CH401" i="1"/>
  <c r="CJ401" i="1" s="1"/>
  <c r="CH403" i="1"/>
  <c r="CJ403" i="1" s="1"/>
  <c r="CH405" i="1"/>
  <c r="CJ405" i="1" s="1"/>
  <c r="CH407" i="1"/>
  <c r="CJ407" i="1" s="1"/>
  <c r="CH409" i="1"/>
  <c r="CJ409" i="1" s="1"/>
  <c r="CH411" i="1"/>
  <c r="CJ411" i="1" s="1"/>
  <c r="CH413" i="1"/>
  <c r="CJ413" i="1" s="1"/>
  <c r="CH415" i="1"/>
  <c r="CJ415" i="1" s="1"/>
  <c r="CH417" i="1"/>
  <c r="CJ417" i="1" s="1"/>
  <c r="CH419" i="1"/>
  <c r="CJ419" i="1" s="1"/>
  <c r="CH421" i="1"/>
  <c r="CJ421" i="1" s="1"/>
  <c r="CH423" i="1"/>
  <c r="CJ423" i="1" s="1"/>
  <c r="CH425" i="1"/>
  <c r="CJ425" i="1" s="1"/>
  <c r="CH396" i="1"/>
  <c r="CH362" i="1"/>
  <c r="CJ362" i="1" s="1"/>
  <c r="CH364" i="1"/>
  <c r="CJ364" i="1" s="1"/>
  <c r="CH366" i="1"/>
  <c r="CJ366" i="1" s="1"/>
  <c r="CH368" i="1"/>
  <c r="CJ368" i="1" s="1"/>
  <c r="CH370" i="1"/>
  <c r="CJ370" i="1" s="1"/>
  <c r="CH372" i="1"/>
  <c r="CJ372" i="1" s="1"/>
  <c r="CH374" i="1"/>
  <c r="CJ374" i="1" s="1"/>
  <c r="CH376" i="1"/>
  <c r="CJ376" i="1" s="1"/>
  <c r="CH378" i="1"/>
  <c r="CJ378" i="1" s="1"/>
  <c r="CH380" i="1"/>
  <c r="CJ380" i="1" s="1"/>
  <c r="CH382" i="1"/>
  <c r="CJ382" i="1" s="1"/>
  <c r="CH384" i="1"/>
  <c r="CJ384" i="1" s="1"/>
  <c r="CH386" i="1"/>
  <c r="CJ386" i="1" s="1"/>
  <c r="CH388" i="1"/>
  <c r="CJ388" i="1" s="1"/>
  <c r="CH390" i="1"/>
  <c r="CJ390" i="1" s="1"/>
  <c r="CH326" i="1"/>
  <c r="CJ326" i="1" s="1"/>
  <c r="CH328" i="1"/>
  <c r="CJ328" i="1" s="1"/>
  <c r="CH330" i="1"/>
  <c r="CJ330" i="1" s="1"/>
  <c r="CH332" i="1"/>
  <c r="CJ332" i="1" s="1"/>
  <c r="CH334" i="1"/>
  <c r="CJ334" i="1" s="1"/>
  <c r="CH336" i="1"/>
  <c r="CJ336" i="1" s="1"/>
  <c r="CH338" i="1"/>
  <c r="CJ338" i="1" s="1"/>
  <c r="CH340" i="1"/>
  <c r="CJ340" i="1" s="1"/>
  <c r="CH342" i="1"/>
  <c r="CJ342" i="1" s="1"/>
  <c r="CH344" i="1"/>
  <c r="CJ344" i="1" s="1"/>
  <c r="CH346" i="1"/>
  <c r="CJ346" i="1" s="1"/>
  <c r="CH348" i="1"/>
  <c r="CJ348" i="1" s="1"/>
  <c r="CH350" i="1"/>
  <c r="CJ350" i="1" s="1"/>
  <c r="CH352" i="1"/>
  <c r="CJ352" i="1" s="1"/>
  <c r="CH354" i="1"/>
  <c r="CJ354" i="1" s="1"/>
  <c r="CH325" i="1"/>
  <c r="CH291" i="1"/>
  <c r="CJ291" i="1" s="1"/>
  <c r="CH293" i="1"/>
  <c r="CJ293" i="1" s="1"/>
  <c r="CH295" i="1"/>
  <c r="CJ295" i="1" s="1"/>
  <c r="CH297" i="1"/>
  <c r="CJ297" i="1" s="1"/>
  <c r="CH299" i="1"/>
  <c r="CJ299" i="1" s="1"/>
  <c r="CH301" i="1"/>
  <c r="CJ301" i="1" s="1"/>
  <c r="CH303" i="1"/>
  <c r="CJ303" i="1" s="1"/>
  <c r="CH305" i="1"/>
  <c r="CJ305" i="1" s="1"/>
  <c r="CH307" i="1"/>
  <c r="CJ307" i="1" s="1"/>
  <c r="CH309" i="1"/>
  <c r="CJ309" i="1" s="1"/>
  <c r="CH311" i="1"/>
  <c r="CJ311" i="1" s="1"/>
  <c r="CH313" i="1"/>
  <c r="CJ313" i="1" s="1"/>
  <c r="CH315" i="1"/>
  <c r="CJ315" i="1" s="1"/>
  <c r="CH317" i="1"/>
  <c r="CJ317" i="1" s="1"/>
  <c r="CH319" i="1"/>
  <c r="CJ319" i="1" s="1"/>
  <c r="CH255" i="1"/>
  <c r="CJ255" i="1" s="1"/>
  <c r="CH257" i="1"/>
  <c r="CJ257" i="1" s="1"/>
  <c r="CH259" i="1"/>
  <c r="CJ259" i="1" s="1"/>
  <c r="CH261" i="1"/>
  <c r="CJ261" i="1" s="1"/>
  <c r="CH263" i="1"/>
  <c r="CJ263" i="1" s="1"/>
  <c r="CH265" i="1"/>
  <c r="CJ265" i="1" s="1"/>
  <c r="CH267" i="1"/>
  <c r="CJ267" i="1" s="1"/>
  <c r="CH269" i="1"/>
  <c r="CJ269" i="1" s="1"/>
  <c r="CH271" i="1"/>
  <c r="CJ271" i="1" s="1"/>
  <c r="CH273" i="1"/>
  <c r="CJ273" i="1" s="1"/>
  <c r="CH275" i="1"/>
  <c r="CJ275" i="1" s="1"/>
  <c r="CH277" i="1"/>
  <c r="CJ277" i="1" s="1"/>
  <c r="CH279" i="1"/>
  <c r="CJ279" i="1" s="1"/>
  <c r="CH281" i="1"/>
  <c r="CJ281" i="1" s="1"/>
  <c r="CH283" i="1"/>
  <c r="CJ283" i="1" s="1"/>
  <c r="CH254" i="1"/>
  <c r="CH219" i="1"/>
  <c r="CJ219" i="1" s="1"/>
  <c r="CH221" i="1"/>
  <c r="CJ221" i="1" s="1"/>
  <c r="CH223" i="1"/>
  <c r="CJ223" i="1" s="1"/>
  <c r="CH225" i="1"/>
  <c r="CJ225" i="1" s="1"/>
  <c r="CH227" i="1"/>
  <c r="CJ227" i="1" s="1"/>
  <c r="CH229" i="1"/>
  <c r="CJ229" i="1" s="1"/>
  <c r="CH231" i="1"/>
  <c r="CJ231" i="1" s="1"/>
  <c r="CH233" i="1"/>
  <c r="CJ233" i="1" s="1"/>
  <c r="CH235" i="1"/>
  <c r="CJ235" i="1" s="1"/>
  <c r="CH237" i="1"/>
  <c r="CJ237" i="1" s="1"/>
  <c r="CH239" i="1"/>
  <c r="CJ239" i="1" s="1"/>
  <c r="CH241" i="1"/>
  <c r="CJ241" i="1" s="1"/>
  <c r="CH243" i="1"/>
  <c r="CJ243" i="1" s="1"/>
  <c r="CH245" i="1"/>
  <c r="CJ245" i="1" s="1"/>
  <c r="CH247" i="1"/>
  <c r="CJ247" i="1" s="1"/>
  <c r="CH218" i="1"/>
  <c r="CH184" i="1"/>
  <c r="CJ184" i="1" s="1"/>
  <c r="CH186" i="1"/>
  <c r="CJ186" i="1" s="1"/>
  <c r="CH188" i="1"/>
  <c r="CJ188" i="1" s="1"/>
  <c r="CH190" i="1"/>
  <c r="CJ190" i="1" s="1"/>
  <c r="CH192" i="1"/>
  <c r="CJ192" i="1" s="1"/>
  <c r="CH194" i="1"/>
  <c r="CJ194" i="1" s="1"/>
  <c r="CH196" i="1"/>
  <c r="CJ196" i="1" s="1"/>
  <c r="CH198" i="1"/>
  <c r="CJ198" i="1" s="1"/>
  <c r="CH200" i="1"/>
  <c r="CJ200" i="1" s="1"/>
  <c r="CH202" i="1"/>
  <c r="CJ202" i="1" s="1"/>
  <c r="CH204" i="1"/>
  <c r="CJ204" i="1" s="1"/>
  <c r="CH206" i="1"/>
  <c r="CJ206" i="1" s="1"/>
  <c r="CH208" i="1"/>
  <c r="CJ208" i="1" s="1"/>
  <c r="CH210" i="1"/>
  <c r="CJ210" i="1" s="1"/>
  <c r="CH212" i="1"/>
  <c r="CJ212" i="1" s="1"/>
  <c r="CH148" i="1"/>
  <c r="CJ148" i="1" s="1"/>
  <c r="CH150" i="1"/>
  <c r="CJ150" i="1" s="1"/>
  <c r="CH152" i="1"/>
  <c r="CJ152" i="1" s="1"/>
  <c r="CH154" i="1"/>
  <c r="CJ154" i="1" s="1"/>
  <c r="CH156" i="1"/>
  <c r="CJ156" i="1" s="1"/>
  <c r="CH158" i="1"/>
  <c r="CJ158" i="1" s="1"/>
  <c r="CH160" i="1"/>
  <c r="CJ160" i="1" s="1"/>
  <c r="CH162" i="1"/>
  <c r="CJ162" i="1" s="1"/>
  <c r="CH164" i="1"/>
  <c r="CJ164" i="1" s="1"/>
  <c r="CH166" i="1"/>
  <c r="CJ166" i="1" s="1"/>
  <c r="CH168" i="1"/>
  <c r="CJ168" i="1" s="1"/>
  <c r="CH170" i="1"/>
  <c r="CJ170" i="1" s="1"/>
  <c r="CH172" i="1"/>
  <c r="CJ172" i="1" s="1"/>
  <c r="CH174" i="1"/>
  <c r="CJ174" i="1" s="1"/>
  <c r="CH176" i="1"/>
  <c r="CJ176" i="1" s="1"/>
  <c r="CH113" i="1"/>
  <c r="CJ113" i="1" s="1"/>
  <c r="CH115" i="1"/>
  <c r="CJ115" i="1" s="1"/>
  <c r="CH117" i="1"/>
  <c r="CJ117" i="1" s="1"/>
  <c r="CH119" i="1"/>
  <c r="CJ119" i="1" s="1"/>
  <c r="CH121" i="1"/>
  <c r="CJ121" i="1" s="1"/>
  <c r="CH123" i="1"/>
  <c r="CJ123" i="1" s="1"/>
  <c r="CH125" i="1"/>
  <c r="CJ125" i="1" s="1"/>
  <c r="CH127" i="1"/>
  <c r="CJ127" i="1" s="1"/>
  <c r="CH129" i="1"/>
  <c r="CJ129" i="1" s="1"/>
  <c r="CH131" i="1"/>
  <c r="CJ131" i="1" s="1"/>
  <c r="CH133" i="1"/>
  <c r="CJ133" i="1" s="1"/>
  <c r="CH135" i="1"/>
  <c r="CJ135" i="1" s="1"/>
  <c r="CH137" i="1"/>
  <c r="CJ137" i="1" s="1"/>
  <c r="CH139" i="1"/>
  <c r="CJ139" i="1" s="1"/>
  <c r="CH141" i="1"/>
  <c r="CJ141" i="1" s="1"/>
  <c r="CH77" i="1"/>
  <c r="CJ77" i="1" s="1"/>
  <c r="CH79" i="1"/>
  <c r="CJ79" i="1" s="1"/>
  <c r="CH81" i="1"/>
  <c r="CJ81" i="1" s="1"/>
  <c r="CH83" i="1"/>
  <c r="CJ83" i="1" s="1"/>
  <c r="CH85" i="1"/>
  <c r="CJ85" i="1" s="1"/>
  <c r="CH87" i="1"/>
  <c r="CJ87" i="1" s="1"/>
  <c r="CH89" i="1"/>
  <c r="CJ89" i="1" s="1"/>
  <c r="CH91" i="1"/>
  <c r="CJ91" i="1" s="1"/>
  <c r="CH93" i="1"/>
  <c r="CJ93" i="1" s="1"/>
  <c r="CH95" i="1"/>
  <c r="CJ95" i="1" s="1"/>
  <c r="CH97" i="1"/>
  <c r="CJ97" i="1" s="1"/>
  <c r="CH99" i="1"/>
  <c r="CJ99" i="1" s="1"/>
  <c r="CH101" i="1"/>
  <c r="CJ101" i="1" s="1"/>
  <c r="CH103" i="1"/>
  <c r="CJ103" i="1" s="1"/>
  <c r="CH105" i="1"/>
  <c r="CJ105" i="1" s="1"/>
  <c r="CH76" i="1"/>
  <c r="CH43" i="1"/>
  <c r="CJ43" i="1" s="1"/>
  <c r="CH45" i="1"/>
  <c r="CJ45" i="1" s="1"/>
  <c r="CH47" i="1"/>
  <c r="CJ47" i="1" s="1"/>
  <c r="CH49" i="1"/>
  <c r="CJ49" i="1" s="1"/>
  <c r="CH51" i="1"/>
  <c r="CJ51" i="1" s="1"/>
  <c r="CH53" i="1"/>
  <c r="CJ53" i="1" s="1"/>
  <c r="CH55" i="1"/>
  <c r="CJ55" i="1" s="1"/>
  <c r="CH57" i="1"/>
  <c r="CJ57" i="1" s="1"/>
  <c r="CH59" i="1"/>
  <c r="CJ59" i="1" s="1"/>
  <c r="CH61" i="1"/>
  <c r="CJ61" i="1" s="1"/>
  <c r="CH63" i="1"/>
  <c r="CJ63" i="1" s="1"/>
  <c r="CH65" i="1"/>
  <c r="CJ65" i="1" s="1"/>
  <c r="CH67" i="1"/>
  <c r="CJ67" i="1" s="1"/>
  <c r="CH69" i="1"/>
  <c r="CJ69" i="1" s="1"/>
  <c r="CH42" i="1"/>
  <c r="CH8" i="1"/>
  <c r="CJ8" i="1" s="1"/>
  <c r="CH10" i="1"/>
  <c r="CJ10" i="1" s="1"/>
  <c r="CH12" i="1"/>
  <c r="CJ12" i="1" s="1"/>
  <c r="CH14" i="1"/>
  <c r="CJ14" i="1" s="1"/>
  <c r="CH16" i="1"/>
  <c r="CJ16" i="1" s="1"/>
  <c r="CH18" i="1"/>
  <c r="CJ18" i="1" s="1"/>
  <c r="CH20" i="1"/>
  <c r="CJ20" i="1" s="1"/>
  <c r="CH22" i="1"/>
  <c r="CJ22" i="1" s="1"/>
  <c r="CH24" i="1"/>
  <c r="CJ24" i="1" s="1"/>
  <c r="CH26" i="1"/>
  <c r="CJ26" i="1" s="1"/>
  <c r="CH28" i="1"/>
  <c r="CJ28" i="1" s="1"/>
  <c r="CH30" i="1"/>
  <c r="CJ30" i="1" s="1"/>
  <c r="CH32" i="1"/>
  <c r="CJ32" i="1" s="1"/>
  <c r="CH34" i="1"/>
  <c r="CJ34" i="1" s="1"/>
  <c r="CH36" i="1"/>
  <c r="CJ36" i="1" s="1"/>
  <c r="CH7" i="1"/>
  <c r="CJ7" i="1" s="1"/>
  <c r="CH9" i="1"/>
  <c r="CJ9" i="1" s="1"/>
  <c r="CH11" i="1"/>
  <c r="CJ11" i="1" s="1"/>
  <c r="CH13" i="1"/>
  <c r="CJ13" i="1" s="1"/>
  <c r="CH15" i="1"/>
  <c r="CJ15" i="1" s="1"/>
  <c r="CH17" i="1"/>
  <c r="CJ17" i="1" s="1"/>
  <c r="CH19" i="1"/>
  <c r="CJ19" i="1" s="1"/>
  <c r="CH21" i="1"/>
  <c r="CJ21" i="1" s="1"/>
  <c r="CH23" i="1"/>
  <c r="CJ23" i="1" s="1"/>
  <c r="CH25" i="1"/>
  <c r="CJ25" i="1" s="1"/>
  <c r="CH27" i="1"/>
  <c r="CJ27" i="1" s="1"/>
  <c r="CH29" i="1"/>
  <c r="CJ29" i="1" s="1"/>
  <c r="CH31" i="1"/>
  <c r="CJ31" i="1" s="1"/>
  <c r="CH33" i="1"/>
  <c r="CJ33" i="1" s="1"/>
  <c r="CH35" i="1"/>
  <c r="CJ35" i="1" s="1"/>
  <c r="DR398" i="1"/>
  <c r="DT398" i="1" s="1"/>
  <c r="DR400" i="1"/>
  <c r="DT400" i="1" s="1"/>
  <c r="DR402" i="1"/>
  <c r="DT402" i="1" s="1"/>
  <c r="DR404" i="1"/>
  <c r="DT404" i="1" s="1"/>
  <c r="DR406" i="1"/>
  <c r="DT406" i="1" s="1"/>
  <c r="DR408" i="1"/>
  <c r="DT408" i="1" s="1"/>
  <c r="DR410" i="1"/>
  <c r="DT410" i="1" s="1"/>
  <c r="DR412" i="1"/>
  <c r="DT412" i="1" s="1"/>
  <c r="DR414" i="1"/>
  <c r="DT414" i="1" s="1"/>
  <c r="DR416" i="1"/>
  <c r="DT416" i="1" s="1"/>
  <c r="DR418" i="1"/>
  <c r="DT418" i="1" s="1"/>
  <c r="DR420" i="1"/>
  <c r="DT420" i="1" s="1"/>
  <c r="DR422" i="1"/>
  <c r="DT422" i="1" s="1"/>
  <c r="DR424" i="1"/>
  <c r="DT424" i="1" s="1"/>
  <c r="DR426" i="1"/>
  <c r="DT426" i="1" s="1"/>
  <c r="DR362" i="1"/>
  <c r="DT362" i="1" s="1"/>
  <c r="DR364" i="1"/>
  <c r="DT364" i="1" s="1"/>
  <c r="DR366" i="1"/>
  <c r="DT366" i="1" s="1"/>
  <c r="DR368" i="1"/>
  <c r="DT368" i="1" s="1"/>
  <c r="DR370" i="1"/>
  <c r="DT370" i="1" s="1"/>
  <c r="DR372" i="1"/>
  <c r="DT372" i="1" s="1"/>
  <c r="DR374" i="1"/>
  <c r="DT374" i="1" s="1"/>
  <c r="DR376" i="1"/>
  <c r="DT376" i="1" s="1"/>
  <c r="DR378" i="1"/>
  <c r="DT378" i="1" s="1"/>
  <c r="DR380" i="1"/>
  <c r="DT380" i="1" s="1"/>
  <c r="DR382" i="1"/>
  <c r="DT382" i="1" s="1"/>
  <c r="DR384" i="1"/>
  <c r="DT384" i="1" s="1"/>
  <c r="DR386" i="1"/>
  <c r="DT386" i="1" s="1"/>
  <c r="DR388" i="1"/>
  <c r="DT388" i="1" s="1"/>
  <c r="DR390" i="1"/>
  <c r="DT390" i="1" s="1"/>
  <c r="DR326" i="1"/>
  <c r="DT326" i="1" s="1"/>
  <c r="DR328" i="1"/>
  <c r="DT328" i="1" s="1"/>
  <c r="DR330" i="1"/>
  <c r="DT330" i="1" s="1"/>
  <c r="DR332" i="1"/>
  <c r="DT332" i="1" s="1"/>
  <c r="DR334" i="1"/>
  <c r="DT334" i="1" s="1"/>
  <c r="DR336" i="1"/>
  <c r="DT336" i="1" s="1"/>
  <c r="DR338" i="1"/>
  <c r="DT338" i="1" s="1"/>
  <c r="DR340" i="1"/>
  <c r="DT340" i="1" s="1"/>
  <c r="DR342" i="1"/>
  <c r="DT342" i="1" s="1"/>
  <c r="DR344" i="1"/>
  <c r="DT344" i="1" s="1"/>
  <c r="DR346" i="1"/>
  <c r="DT346" i="1" s="1"/>
  <c r="DR348" i="1"/>
  <c r="DT348" i="1" s="1"/>
  <c r="DR350" i="1"/>
  <c r="DT350" i="1" s="1"/>
  <c r="DR352" i="1"/>
  <c r="DT352" i="1" s="1"/>
  <c r="DR354" i="1"/>
  <c r="DT354" i="1" s="1"/>
  <c r="DR325" i="1"/>
  <c r="DR292" i="1"/>
  <c r="DT292" i="1" s="1"/>
  <c r="DR294" i="1"/>
  <c r="DT294" i="1" s="1"/>
  <c r="DR296" i="1"/>
  <c r="DT296" i="1" s="1"/>
  <c r="DR298" i="1"/>
  <c r="DT298" i="1" s="1"/>
  <c r="DR300" i="1"/>
  <c r="DT300" i="1" s="1"/>
  <c r="DR302" i="1"/>
  <c r="DT302" i="1" s="1"/>
  <c r="DR304" i="1"/>
  <c r="DT304" i="1" s="1"/>
  <c r="DR306" i="1"/>
  <c r="DT306" i="1" s="1"/>
  <c r="DR308" i="1"/>
  <c r="DT308" i="1" s="1"/>
  <c r="DR310" i="1"/>
  <c r="DT310" i="1" s="1"/>
  <c r="DR312" i="1"/>
  <c r="DT312" i="1" s="1"/>
  <c r="DR314" i="1"/>
  <c r="DT314" i="1" s="1"/>
  <c r="DR316" i="1"/>
  <c r="DT316" i="1" s="1"/>
  <c r="DR318" i="1"/>
  <c r="DT318" i="1" s="1"/>
  <c r="DR290" i="1"/>
  <c r="DR256" i="1"/>
  <c r="DT256" i="1" s="1"/>
  <c r="DR258" i="1"/>
  <c r="DT258" i="1" s="1"/>
  <c r="DR260" i="1"/>
  <c r="DT260" i="1" s="1"/>
  <c r="DR262" i="1"/>
  <c r="DT262" i="1" s="1"/>
  <c r="DR264" i="1"/>
  <c r="DT264" i="1" s="1"/>
  <c r="DR266" i="1"/>
  <c r="DT266" i="1" s="1"/>
  <c r="DR268" i="1"/>
  <c r="DT268" i="1" s="1"/>
  <c r="DR270" i="1"/>
  <c r="DT270" i="1" s="1"/>
  <c r="DR272" i="1"/>
  <c r="DT272" i="1" s="1"/>
  <c r="DR274" i="1"/>
  <c r="DT274" i="1" s="1"/>
  <c r="DR276" i="1"/>
  <c r="DT276" i="1" s="1"/>
  <c r="DR278" i="1"/>
  <c r="DT278" i="1" s="1"/>
  <c r="DR280" i="1"/>
  <c r="DT280" i="1" s="1"/>
  <c r="DR282" i="1"/>
  <c r="DT282" i="1" s="1"/>
  <c r="DR284" i="1"/>
  <c r="DT284" i="1" s="1"/>
  <c r="DR219" i="1"/>
  <c r="DT219" i="1" s="1"/>
  <c r="DR221" i="1"/>
  <c r="DT221" i="1" s="1"/>
  <c r="DR223" i="1"/>
  <c r="DT223" i="1" s="1"/>
  <c r="DR225" i="1"/>
  <c r="DT225" i="1" s="1"/>
  <c r="DR227" i="1"/>
  <c r="DT227" i="1" s="1"/>
  <c r="DR229" i="1"/>
  <c r="DT229" i="1" s="1"/>
  <c r="DR231" i="1"/>
  <c r="DT231" i="1" s="1"/>
  <c r="DR233" i="1"/>
  <c r="DT233" i="1" s="1"/>
  <c r="DR235" i="1"/>
  <c r="DT235" i="1" s="1"/>
  <c r="DR237" i="1"/>
  <c r="DT237" i="1" s="1"/>
  <c r="DR239" i="1"/>
  <c r="DT239" i="1" s="1"/>
  <c r="DR241" i="1"/>
  <c r="DT241" i="1" s="1"/>
  <c r="DR243" i="1"/>
  <c r="DT243" i="1" s="1"/>
  <c r="DR245" i="1"/>
  <c r="DT245" i="1" s="1"/>
  <c r="DR247" i="1"/>
  <c r="DT247" i="1" s="1"/>
  <c r="DR218" i="1"/>
  <c r="DR185" i="1"/>
  <c r="DT185" i="1" s="1"/>
  <c r="DR187" i="1"/>
  <c r="DT187" i="1" s="1"/>
  <c r="DR189" i="1"/>
  <c r="DT189" i="1" s="1"/>
  <c r="DR191" i="1"/>
  <c r="DT191" i="1" s="1"/>
  <c r="DR193" i="1"/>
  <c r="DT193" i="1" s="1"/>
  <c r="DR195" i="1"/>
  <c r="DT195" i="1" s="1"/>
  <c r="DR197" i="1"/>
  <c r="DT197" i="1" s="1"/>
  <c r="DR199" i="1"/>
  <c r="DT199" i="1" s="1"/>
  <c r="DR201" i="1"/>
  <c r="DT201" i="1" s="1"/>
  <c r="DR203" i="1"/>
  <c r="DT203" i="1" s="1"/>
  <c r="DR205" i="1"/>
  <c r="DT205" i="1" s="1"/>
  <c r="DR207" i="1"/>
  <c r="DT207" i="1" s="1"/>
  <c r="DR209" i="1"/>
  <c r="DT209" i="1" s="1"/>
  <c r="DR211" i="1"/>
  <c r="DT211" i="1" s="1"/>
  <c r="DR183" i="1"/>
  <c r="DR149" i="1"/>
  <c r="DT149" i="1" s="1"/>
  <c r="DR151" i="1"/>
  <c r="DT151" i="1" s="1"/>
  <c r="DR153" i="1"/>
  <c r="DT153" i="1" s="1"/>
  <c r="DR155" i="1"/>
  <c r="DT155" i="1" s="1"/>
  <c r="DR157" i="1"/>
  <c r="DT157" i="1" s="1"/>
  <c r="DR159" i="1"/>
  <c r="DT159" i="1" s="1"/>
  <c r="DR161" i="1"/>
  <c r="DT161" i="1" s="1"/>
  <c r="DR163" i="1"/>
  <c r="DT163" i="1" s="1"/>
  <c r="DR165" i="1"/>
  <c r="DT165" i="1" s="1"/>
  <c r="DR167" i="1"/>
  <c r="DT167" i="1" s="1"/>
  <c r="DR169" i="1"/>
  <c r="DT169" i="1" s="1"/>
  <c r="DR171" i="1"/>
  <c r="DT171" i="1" s="1"/>
  <c r="DR173" i="1"/>
  <c r="DT173" i="1" s="1"/>
  <c r="DR175" i="1"/>
  <c r="DT175" i="1" s="1"/>
  <c r="DR177" i="1"/>
  <c r="DT177" i="1" s="1"/>
  <c r="DR113" i="1"/>
  <c r="DT113" i="1" s="1"/>
  <c r="DR115" i="1"/>
  <c r="DT115" i="1" s="1"/>
  <c r="DR117" i="1"/>
  <c r="DT117" i="1" s="1"/>
  <c r="DR119" i="1"/>
  <c r="DT119" i="1" s="1"/>
  <c r="DR121" i="1"/>
  <c r="DT121" i="1" s="1"/>
  <c r="DR123" i="1"/>
  <c r="DT123" i="1" s="1"/>
  <c r="DR125" i="1"/>
  <c r="DT125" i="1" s="1"/>
  <c r="DR127" i="1"/>
  <c r="DT127" i="1" s="1"/>
  <c r="DR129" i="1"/>
  <c r="DT129" i="1" s="1"/>
  <c r="DR131" i="1"/>
  <c r="DT131" i="1" s="1"/>
  <c r="DR133" i="1"/>
  <c r="DT133" i="1" s="1"/>
  <c r="DR135" i="1"/>
  <c r="DT135" i="1" s="1"/>
  <c r="DR137" i="1"/>
  <c r="DT137" i="1" s="1"/>
  <c r="DR139" i="1"/>
  <c r="DT139" i="1" s="1"/>
  <c r="DR141" i="1"/>
  <c r="DT141" i="1" s="1"/>
  <c r="DR77" i="1"/>
  <c r="DT77" i="1" s="1"/>
  <c r="DR79" i="1"/>
  <c r="DT79" i="1" s="1"/>
  <c r="DR81" i="1"/>
  <c r="DT81" i="1" s="1"/>
  <c r="DR83" i="1"/>
  <c r="DT83" i="1" s="1"/>
  <c r="DR85" i="1"/>
  <c r="DT85" i="1" s="1"/>
  <c r="DR87" i="1"/>
  <c r="DT87" i="1" s="1"/>
  <c r="DR89" i="1"/>
  <c r="DT89" i="1" s="1"/>
  <c r="DR91" i="1"/>
  <c r="DT91" i="1" s="1"/>
  <c r="DR93" i="1"/>
  <c r="DT93" i="1" s="1"/>
  <c r="DR95" i="1"/>
  <c r="DT95" i="1" s="1"/>
  <c r="DR97" i="1"/>
  <c r="DT97" i="1" s="1"/>
  <c r="DR99" i="1"/>
  <c r="DT99" i="1" s="1"/>
  <c r="DR101" i="1"/>
  <c r="DT101" i="1" s="1"/>
  <c r="DR103" i="1"/>
  <c r="DT103" i="1" s="1"/>
  <c r="DR105" i="1"/>
  <c r="DT105" i="1" s="1"/>
  <c r="DR76" i="1"/>
  <c r="DR44" i="1"/>
  <c r="DT44" i="1" s="1"/>
  <c r="DR46" i="1"/>
  <c r="DT46" i="1" s="1"/>
  <c r="DR48" i="1"/>
  <c r="DT48" i="1" s="1"/>
  <c r="DR50" i="1"/>
  <c r="DT50" i="1" s="1"/>
  <c r="DR52" i="1"/>
  <c r="DT52" i="1" s="1"/>
  <c r="DR54" i="1"/>
  <c r="DT54" i="1" s="1"/>
  <c r="DR56" i="1"/>
  <c r="DT56" i="1" s="1"/>
  <c r="DR58" i="1"/>
  <c r="DT58" i="1" s="1"/>
  <c r="DR60" i="1"/>
  <c r="DT60" i="1" s="1"/>
  <c r="DR62" i="1"/>
  <c r="DT62" i="1" s="1"/>
  <c r="DR64" i="1"/>
  <c r="DT64" i="1" s="1"/>
  <c r="DR66" i="1"/>
  <c r="DT66" i="1" s="1"/>
  <c r="DR68" i="1"/>
  <c r="DT68" i="1" s="1"/>
  <c r="DR70" i="1"/>
  <c r="DT70" i="1" s="1"/>
  <c r="DR8" i="1"/>
  <c r="DT8" i="1" s="1"/>
  <c r="DR10" i="1"/>
  <c r="DT10" i="1" s="1"/>
  <c r="DR12" i="1"/>
  <c r="DT12" i="1" s="1"/>
  <c r="DR14" i="1"/>
  <c r="DT14" i="1" s="1"/>
  <c r="DR16" i="1"/>
  <c r="DT16" i="1" s="1"/>
  <c r="DR18" i="1"/>
  <c r="DT18" i="1" s="1"/>
  <c r="DR20" i="1"/>
  <c r="DT20" i="1" s="1"/>
  <c r="DR22" i="1"/>
  <c r="DT22" i="1" s="1"/>
  <c r="DR24" i="1"/>
  <c r="DT24" i="1" s="1"/>
  <c r="DR26" i="1"/>
  <c r="DT26" i="1" s="1"/>
  <c r="DR28" i="1"/>
  <c r="DT28" i="1" s="1"/>
  <c r="DR30" i="1"/>
  <c r="DT30" i="1" s="1"/>
  <c r="DR32" i="1"/>
  <c r="DT32" i="1" s="1"/>
  <c r="DR34" i="1"/>
  <c r="DT34" i="1" s="1"/>
  <c r="DR36" i="1"/>
  <c r="DT36" i="1" s="1"/>
  <c r="DR397" i="1"/>
  <c r="DT397" i="1" s="1"/>
  <c r="DR399" i="1"/>
  <c r="DT399" i="1" s="1"/>
  <c r="DR401" i="1"/>
  <c r="DT401" i="1" s="1"/>
  <c r="DR403" i="1"/>
  <c r="DT403" i="1" s="1"/>
  <c r="DR405" i="1"/>
  <c r="DT405" i="1" s="1"/>
  <c r="DR407" i="1"/>
  <c r="DT407" i="1" s="1"/>
  <c r="DR409" i="1"/>
  <c r="DT409" i="1" s="1"/>
  <c r="DR411" i="1"/>
  <c r="DT411" i="1" s="1"/>
  <c r="DR413" i="1"/>
  <c r="DT413" i="1" s="1"/>
  <c r="DR415" i="1"/>
  <c r="DT415" i="1" s="1"/>
  <c r="DR417" i="1"/>
  <c r="DT417" i="1" s="1"/>
  <c r="DR419" i="1"/>
  <c r="DT419" i="1" s="1"/>
  <c r="DR421" i="1"/>
  <c r="DT421" i="1" s="1"/>
  <c r="DR423" i="1"/>
  <c r="DT423" i="1" s="1"/>
  <c r="DR425" i="1"/>
  <c r="DT425" i="1" s="1"/>
  <c r="DR396" i="1"/>
  <c r="DR363" i="1"/>
  <c r="DT363" i="1" s="1"/>
  <c r="DR365" i="1"/>
  <c r="DT365" i="1" s="1"/>
  <c r="DR367" i="1"/>
  <c r="DT367" i="1" s="1"/>
  <c r="DR369" i="1"/>
  <c r="DT369" i="1" s="1"/>
  <c r="DR371" i="1"/>
  <c r="DT371" i="1" s="1"/>
  <c r="DR373" i="1"/>
  <c r="DT373" i="1" s="1"/>
  <c r="DR375" i="1"/>
  <c r="DT375" i="1" s="1"/>
  <c r="DR377" i="1"/>
  <c r="DT377" i="1" s="1"/>
  <c r="DR379" i="1"/>
  <c r="DT379" i="1" s="1"/>
  <c r="DR381" i="1"/>
  <c r="DT381" i="1" s="1"/>
  <c r="DR383" i="1"/>
  <c r="DT383" i="1" s="1"/>
  <c r="DR385" i="1"/>
  <c r="DT385" i="1" s="1"/>
  <c r="DR387" i="1"/>
  <c r="DT387" i="1" s="1"/>
  <c r="DR389" i="1"/>
  <c r="DT389" i="1" s="1"/>
  <c r="DR361" i="1"/>
  <c r="DR327" i="1"/>
  <c r="DT327" i="1" s="1"/>
  <c r="DR329" i="1"/>
  <c r="DT329" i="1" s="1"/>
  <c r="DR331" i="1"/>
  <c r="DT331" i="1" s="1"/>
  <c r="DR333" i="1"/>
  <c r="DT333" i="1" s="1"/>
  <c r="DR335" i="1"/>
  <c r="DT335" i="1" s="1"/>
  <c r="DR337" i="1"/>
  <c r="DT337" i="1" s="1"/>
  <c r="DR339" i="1"/>
  <c r="DT339" i="1" s="1"/>
  <c r="DR341" i="1"/>
  <c r="DT341" i="1" s="1"/>
  <c r="DR343" i="1"/>
  <c r="DT343" i="1" s="1"/>
  <c r="DR345" i="1"/>
  <c r="DT345" i="1" s="1"/>
  <c r="DR347" i="1"/>
  <c r="DT347" i="1" s="1"/>
  <c r="DR349" i="1"/>
  <c r="DT349" i="1" s="1"/>
  <c r="DR351" i="1"/>
  <c r="DT351" i="1" s="1"/>
  <c r="DR353" i="1"/>
  <c r="DT353" i="1" s="1"/>
  <c r="DR355" i="1"/>
  <c r="DT355" i="1" s="1"/>
  <c r="DR291" i="1"/>
  <c r="DT291" i="1" s="1"/>
  <c r="DR293" i="1"/>
  <c r="DT293" i="1" s="1"/>
  <c r="DR295" i="1"/>
  <c r="DT295" i="1" s="1"/>
  <c r="DR297" i="1"/>
  <c r="DT297" i="1" s="1"/>
  <c r="DR299" i="1"/>
  <c r="DT299" i="1" s="1"/>
  <c r="DR301" i="1"/>
  <c r="DT301" i="1" s="1"/>
  <c r="DR303" i="1"/>
  <c r="DT303" i="1" s="1"/>
  <c r="DR305" i="1"/>
  <c r="DT305" i="1" s="1"/>
  <c r="DR307" i="1"/>
  <c r="DT307" i="1" s="1"/>
  <c r="DR309" i="1"/>
  <c r="DT309" i="1" s="1"/>
  <c r="DR311" i="1"/>
  <c r="DT311" i="1" s="1"/>
  <c r="DR313" i="1"/>
  <c r="DT313" i="1" s="1"/>
  <c r="DR315" i="1"/>
  <c r="DT315" i="1" s="1"/>
  <c r="DR317" i="1"/>
  <c r="DT317" i="1" s="1"/>
  <c r="DR319" i="1"/>
  <c r="DT319" i="1" s="1"/>
  <c r="DR255" i="1"/>
  <c r="DT255" i="1" s="1"/>
  <c r="DR257" i="1"/>
  <c r="DT257" i="1" s="1"/>
  <c r="DR259" i="1"/>
  <c r="DT259" i="1" s="1"/>
  <c r="DR261" i="1"/>
  <c r="DT261" i="1" s="1"/>
  <c r="DR263" i="1"/>
  <c r="DT263" i="1" s="1"/>
  <c r="DR265" i="1"/>
  <c r="DT265" i="1" s="1"/>
  <c r="DR267" i="1"/>
  <c r="DT267" i="1" s="1"/>
  <c r="DR269" i="1"/>
  <c r="DT269" i="1" s="1"/>
  <c r="DR271" i="1"/>
  <c r="DT271" i="1" s="1"/>
  <c r="DR273" i="1"/>
  <c r="DT273" i="1" s="1"/>
  <c r="DR275" i="1"/>
  <c r="DT275" i="1" s="1"/>
  <c r="DR277" i="1"/>
  <c r="DT277" i="1" s="1"/>
  <c r="DR279" i="1"/>
  <c r="DT279" i="1" s="1"/>
  <c r="DR281" i="1"/>
  <c r="DT281" i="1" s="1"/>
  <c r="DR283" i="1"/>
  <c r="DT283" i="1" s="1"/>
  <c r="DR254" i="1"/>
  <c r="DR220" i="1"/>
  <c r="DT220" i="1" s="1"/>
  <c r="DR222" i="1"/>
  <c r="DT222" i="1" s="1"/>
  <c r="DR224" i="1"/>
  <c r="DT224" i="1" s="1"/>
  <c r="DR226" i="1"/>
  <c r="DT226" i="1" s="1"/>
  <c r="DR228" i="1"/>
  <c r="DT228" i="1" s="1"/>
  <c r="DR230" i="1"/>
  <c r="DT230" i="1" s="1"/>
  <c r="DR232" i="1"/>
  <c r="DT232" i="1" s="1"/>
  <c r="DR234" i="1"/>
  <c r="DT234" i="1" s="1"/>
  <c r="DR236" i="1"/>
  <c r="DT236" i="1" s="1"/>
  <c r="DR238" i="1"/>
  <c r="DT238" i="1" s="1"/>
  <c r="DR240" i="1"/>
  <c r="DT240" i="1" s="1"/>
  <c r="DR242" i="1"/>
  <c r="DT242" i="1" s="1"/>
  <c r="DR244" i="1"/>
  <c r="DT244" i="1" s="1"/>
  <c r="DR246" i="1"/>
  <c r="DT246" i="1" s="1"/>
  <c r="DR248" i="1"/>
  <c r="DT248" i="1" s="1"/>
  <c r="DR184" i="1"/>
  <c r="DT184" i="1" s="1"/>
  <c r="DR186" i="1"/>
  <c r="DT186" i="1" s="1"/>
  <c r="DR188" i="1"/>
  <c r="DT188" i="1" s="1"/>
  <c r="DR190" i="1"/>
  <c r="DT190" i="1" s="1"/>
  <c r="DR192" i="1"/>
  <c r="DT192" i="1" s="1"/>
  <c r="DR194" i="1"/>
  <c r="DT194" i="1" s="1"/>
  <c r="DR196" i="1"/>
  <c r="DT196" i="1" s="1"/>
  <c r="DR198" i="1"/>
  <c r="DT198" i="1" s="1"/>
  <c r="DR200" i="1"/>
  <c r="DT200" i="1" s="1"/>
  <c r="DR202" i="1"/>
  <c r="DT202" i="1" s="1"/>
  <c r="DR204" i="1"/>
  <c r="DT204" i="1" s="1"/>
  <c r="DR206" i="1"/>
  <c r="DT206" i="1" s="1"/>
  <c r="DR208" i="1"/>
  <c r="DT208" i="1" s="1"/>
  <c r="DR210" i="1"/>
  <c r="DT210" i="1" s="1"/>
  <c r="DR212" i="1"/>
  <c r="DT212" i="1" s="1"/>
  <c r="DR148" i="1"/>
  <c r="DT148" i="1" s="1"/>
  <c r="DR150" i="1"/>
  <c r="DT150" i="1" s="1"/>
  <c r="DR152" i="1"/>
  <c r="DT152" i="1" s="1"/>
  <c r="DR154" i="1"/>
  <c r="DT154" i="1" s="1"/>
  <c r="DR156" i="1"/>
  <c r="DT156" i="1" s="1"/>
  <c r="DR158" i="1"/>
  <c r="DT158" i="1" s="1"/>
  <c r="DR160" i="1"/>
  <c r="DT160" i="1" s="1"/>
  <c r="DR162" i="1"/>
  <c r="DT162" i="1" s="1"/>
  <c r="DR164" i="1"/>
  <c r="DT164" i="1" s="1"/>
  <c r="DR166" i="1"/>
  <c r="DT166" i="1" s="1"/>
  <c r="DR168" i="1"/>
  <c r="DT168" i="1" s="1"/>
  <c r="DR170" i="1"/>
  <c r="DT170" i="1" s="1"/>
  <c r="DR172" i="1"/>
  <c r="DT172" i="1" s="1"/>
  <c r="DR174" i="1"/>
  <c r="DT174" i="1" s="1"/>
  <c r="DR176" i="1"/>
  <c r="DT176" i="1" s="1"/>
  <c r="DR114" i="1"/>
  <c r="DT114" i="1" s="1"/>
  <c r="DR116" i="1"/>
  <c r="DT116" i="1" s="1"/>
  <c r="DR118" i="1"/>
  <c r="DT118" i="1" s="1"/>
  <c r="DR120" i="1"/>
  <c r="DT120" i="1" s="1"/>
  <c r="DR122" i="1"/>
  <c r="DT122" i="1" s="1"/>
  <c r="DR124" i="1"/>
  <c r="DT124" i="1" s="1"/>
  <c r="DR126" i="1"/>
  <c r="DT126" i="1" s="1"/>
  <c r="DR128" i="1"/>
  <c r="DT128" i="1" s="1"/>
  <c r="DR130" i="1"/>
  <c r="DT130" i="1" s="1"/>
  <c r="DR132" i="1"/>
  <c r="DT132" i="1" s="1"/>
  <c r="DR134" i="1"/>
  <c r="DT134" i="1" s="1"/>
  <c r="DR136" i="1"/>
  <c r="DT136" i="1" s="1"/>
  <c r="DR138" i="1"/>
  <c r="DT138" i="1" s="1"/>
  <c r="DR140" i="1"/>
  <c r="DT140" i="1" s="1"/>
  <c r="DR112" i="1"/>
  <c r="DR78" i="1"/>
  <c r="DT78" i="1" s="1"/>
  <c r="DR80" i="1"/>
  <c r="DT80" i="1" s="1"/>
  <c r="DR82" i="1"/>
  <c r="DT82" i="1" s="1"/>
  <c r="DR84" i="1"/>
  <c r="DT84" i="1" s="1"/>
  <c r="DR86" i="1"/>
  <c r="DT86" i="1" s="1"/>
  <c r="DR88" i="1"/>
  <c r="DT88" i="1" s="1"/>
  <c r="DR90" i="1"/>
  <c r="DT90" i="1" s="1"/>
  <c r="DR92" i="1"/>
  <c r="DT92" i="1" s="1"/>
  <c r="DR94" i="1"/>
  <c r="DT94" i="1" s="1"/>
  <c r="DR96" i="1"/>
  <c r="DT96" i="1" s="1"/>
  <c r="DR98" i="1"/>
  <c r="DT98" i="1" s="1"/>
  <c r="DR100" i="1"/>
  <c r="DT100" i="1" s="1"/>
  <c r="DR102" i="1"/>
  <c r="DT102" i="1" s="1"/>
  <c r="DR104" i="1"/>
  <c r="DT104" i="1" s="1"/>
  <c r="DR106" i="1"/>
  <c r="DT106" i="1" s="1"/>
  <c r="DR43" i="1"/>
  <c r="DT43" i="1" s="1"/>
  <c r="DR45" i="1"/>
  <c r="DT45" i="1" s="1"/>
  <c r="DR47" i="1"/>
  <c r="DT47" i="1" s="1"/>
  <c r="DR49" i="1"/>
  <c r="DT49" i="1" s="1"/>
  <c r="DR51" i="1"/>
  <c r="DT51" i="1" s="1"/>
  <c r="DR53" i="1"/>
  <c r="DT53" i="1" s="1"/>
  <c r="DR55" i="1"/>
  <c r="DT55" i="1" s="1"/>
  <c r="DR57" i="1"/>
  <c r="DT57" i="1" s="1"/>
  <c r="DR59" i="1"/>
  <c r="DT59" i="1" s="1"/>
  <c r="DR61" i="1"/>
  <c r="DT61" i="1" s="1"/>
  <c r="DR63" i="1"/>
  <c r="DT63" i="1" s="1"/>
  <c r="DR65" i="1"/>
  <c r="DT65" i="1" s="1"/>
  <c r="DR67" i="1"/>
  <c r="DT67" i="1" s="1"/>
  <c r="DR69" i="1"/>
  <c r="DT69" i="1" s="1"/>
  <c r="DR42" i="1"/>
  <c r="DR7" i="1"/>
  <c r="DT7" i="1" s="1"/>
  <c r="DR9" i="1"/>
  <c r="DT9" i="1" s="1"/>
  <c r="DR11" i="1"/>
  <c r="DT11" i="1" s="1"/>
  <c r="DR13" i="1"/>
  <c r="DT13" i="1" s="1"/>
  <c r="DR15" i="1"/>
  <c r="DT15" i="1" s="1"/>
  <c r="DR17" i="1"/>
  <c r="DT17" i="1" s="1"/>
  <c r="DR19" i="1"/>
  <c r="DT19" i="1" s="1"/>
  <c r="DR21" i="1"/>
  <c r="DT21" i="1" s="1"/>
  <c r="DR23" i="1"/>
  <c r="DT23" i="1" s="1"/>
  <c r="DR25" i="1"/>
  <c r="DT25" i="1" s="1"/>
  <c r="DR27" i="1"/>
  <c r="DT27" i="1" s="1"/>
  <c r="DR29" i="1"/>
  <c r="DT29" i="1" s="1"/>
  <c r="DR31" i="1"/>
  <c r="DT31" i="1" s="1"/>
  <c r="DR33" i="1"/>
  <c r="DT33" i="1" s="1"/>
  <c r="DR35" i="1"/>
  <c r="DT35" i="1" s="1"/>
  <c r="FB398" i="1"/>
  <c r="FD398" i="1" s="1"/>
  <c r="FB400" i="1"/>
  <c r="FD400" i="1" s="1"/>
  <c r="FB402" i="1"/>
  <c r="FD402" i="1" s="1"/>
  <c r="FB404" i="1"/>
  <c r="FD404" i="1" s="1"/>
  <c r="FB406" i="1"/>
  <c r="FD406" i="1" s="1"/>
  <c r="FB408" i="1"/>
  <c r="FD408" i="1" s="1"/>
  <c r="FB410" i="1"/>
  <c r="FD410" i="1" s="1"/>
  <c r="FB412" i="1"/>
  <c r="FD412" i="1" s="1"/>
  <c r="FB362" i="1"/>
  <c r="FD362" i="1" s="1"/>
  <c r="FB364" i="1"/>
  <c r="FD364" i="1" s="1"/>
  <c r="FB366" i="1"/>
  <c r="FD366" i="1" s="1"/>
  <c r="FB368" i="1"/>
  <c r="FD368" i="1" s="1"/>
  <c r="FB370" i="1"/>
  <c r="FD370" i="1" s="1"/>
  <c r="FB372" i="1"/>
  <c r="FD372" i="1" s="1"/>
  <c r="FB374" i="1"/>
  <c r="FD374" i="1" s="1"/>
  <c r="FB376" i="1"/>
  <c r="FD376" i="1" s="1"/>
  <c r="FB378" i="1"/>
  <c r="FD378" i="1" s="1"/>
  <c r="FB380" i="1"/>
  <c r="FD380" i="1" s="1"/>
  <c r="FB382" i="1"/>
  <c r="FD382" i="1" s="1"/>
  <c r="FB384" i="1"/>
  <c r="FD384" i="1" s="1"/>
  <c r="FB386" i="1"/>
  <c r="FD386" i="1" s="1"/>
  <c r="FB388" i="1"/>
  <c r="FD388" i="1" s="1"/>
  <c r="FB390" i="1"/>
  <c r="FD390" i="1" s="1"/>
  <c r="FB326" i="1"/>
  <c r="FD326" i="1" s="1"/>
  <c r="FB328" i="1"/>
  <c r="FD328" i="1" s="1"/>
  <c r="FB330" i="1"/>
  <c r="FD330" i="1" s="1"/>
  <c r="FB332" i="1"/>
  <c r="FD332" i="1" s="1"/>
  <c r="FB334" i="1"/>
  <c r="FD334" i="1" s="1"/>
  <c r="FB336" i="1"/>
  <c r="FD336" i="1" s="1"/>
  <c r="FB338" i="1"/>
  <c r="FD338" i="1" s="1"/>
  <c r="FB340" i="1"/>
  <c r="FD340" i="1" s="1"/>
  <c r="FB342" i="1"/>
  <c r="FD342" i="1" s="1"/>
  <c r="FB344" i="1"/>
  <c r="FD344" i="1" s="1"/>
  <c r="FB346" i="1"/>
  <c r="FD346" i="1" s="1"/>
  <c r="FB348" i="1"/>
  <c r="FD348" i="1" s="1"/>
  <c r="FB350" i="1"/>
  <c r="FD350" i="1" s="1"/>
  <c r="FB352" i="1"/>
  <c r="FD352" i="1" s="1"/>
  <c r="FB354" i="1"/>
  <c r="FD354" i="1" s="1"/>
  <c r="FB325" i="1"/>
  <c r="FB292" i="1"/>
  <c r="FD292" i="1" s="1"/>
  <c r="FB294" i="1"/>
  <c r="FD294" i="1" s="1"/>
  <c r="FB296" i="1"/>
  <c r="FD296" i="1" s="1"/>
  <c r="FB298" i="1"/>
  <c r="FD298" i="1" s="1"/>
  <c r="FB300" i="1"/>
  <c r="FD300" i="1" s="1"/>
  <c r="FB302" i="1"/>
  <c r="FD302" i="1" s="1"/>
  <c r="FB304" i="1"/>
  <c r="FD304" i="1" s="1"/>
  <c r="FB306" i="1"/>
  <c r="FD306" i="1" s="1"/>
  <c r="FB308" i="1"/>
  <c r="FD308" i="1" s="1"/>
  <c r="FB310" i="1"/>
  <c r="FD310" i="1" s="1"/>
  <c r="FB312" i="1"/>
  <c r="FD312" i="1" s="1"/>
  <c r="FB314" i="1"/>
  <c r="FD314" i="1" s="1"/>
  <c r="FB316" i="1"/>
  <c r="FD316" i="1" s="1"/>
  <c r="FB318" i="1"/>
  <c r="FD318" i="1" s="1"/>
  <c r="FB290" i="1"/>
  <c r="FB256" i="1"/>
  <c r="FD256" i="1" s="1"/>
  <c r="FB258" i="1"/>
  <c r="FD258" i="1" s="1"/>
  <c r="FB260" i="1"/>
  <c r="FD260" i="1" s="1"/>
  <c r="FB262" i="1"/>
  <c r="FD262" i="1" s="1"/>
  <c r="FB264" i="1"/>
  <c r="FD264" i="1" s="1"/>
  <c r="FB266" i="1"/>
  <c r="FD266" i="1" s="1"/>
  <c r="FB268" i="1"/>
  <c r="FD268" i="1" s="1"/>
  <c r="FB270" i="1"/>
  <c r="FD270" i="1" s="1"/>
  <c r="FB272" i="1"/>
  <c r="FD272" i="1" s="1"/>
  <c r="FB274" i="1"/>
  <c r="FD274" i="1" s="1"/>
  <c r="FB276" i="1"/>
  <c r="FD276" i="1" s="1"/>
  <c r="FB278" i="1"/>
  <c r="FD278" i="1" s="1"/>
  <c r="FB280" i="1"/>
  <c r="FD280" i="1" s="1"/>
  <c r="FB282" i="1"/>
  <c r="FD282" i="1" s="1"/>
  <c r="FB284" i="1"/>
  <c r="FD284" i="1" s="1"/>
  <c r="FB219" i="1"/>
  <c r="FD219" i="1" s="1"/>
  <c r="FB221" i="1"/>
  <c r="FD221" i="1" s="1"/>
  <c r="FB223" i="1"/>
  <c r="FD223" i="1" s="1"/>
  <c r="FB225" i="1"/>
  <c r="FD225" i="1" s="1"/>
  <c r="FB227" i="1"/>
  <c r="FD227" i="1" s="1"/>
  <c r="FB229" i="1"/>
  <c r="FD229" i="1" s="1"/>
  <c r="FB231" i="1"/>
  <c r="FD231" i="1" s="1"/>
  <c r="FB233" i="1"/>
  <c r="FD233" i="1" s="1"/>
  <c r="FB235" i="1"/>
  <c r="FD235" i="1" s="1"/>
  <c r="FB237" i="1"/>
  <c r="FD237" i="1" s="1"/>
  <c r="FB239" i="1"/>
  <c r="FD239" i="1" s="1"/>
  <c r="FB241" i="1"/>
  <c r="FD241" i="1" s="1"/>
  <c r="FB243" i="1"/>
  <c r="FD243" i="1" s="1"/>
  <c r="FB245" i="1"/>
  <c r="FD245" i="1" s="1"/>
  <c r="FB247" i="1"/>
  <c r="FD247" i="1" s="1"/>
  <c r="FB218" i="1"/>
  <c r="FB185" i="1"/>
  <c r="FD185" i="1" s="1"/>
  <c r="FB187" i="1"/>
  <c r="FD187" i="1" s="1"/>
  <c r="FB189" i="1"/>
  <c r="FD189" i="1" s="1"/>
  <c r="FB191" i="1"/>
  <c r="FD191" i="1" s="1"/>
  <c r="FB193" i="1"/>
  <c r="FD193" i="1" s="1"/>
  <c r="FB195" i="1"/>
  <c r="FD195" i="1" s="1"/>
  <c r="FB197" i="1"/>
  <c r="FD197" i="1" s="1"/>
  <c r="FB199" i="1"/>
  <c r="FD199" i="1" s="1"/>
  <c r="FB201" i="1"/>
  <c r="FD201" i="1" s="1"/>
  <c r="FB203" i="1"/>
  <c r="FD203" i="1" s="1"/>
  <c r="FB205" i="1"/>
  <c r="FD205" i="1" s="1"/>
  <c r="FB207" i="1"/>
  <c r="FD207" i="1" s="1"/>
  <c r="FB209" i="1"/>
  <c r="FD209" i="1" s="1"/>
  <c r="FB211" i="1"/>
  <c r="FD211" i="1" s="1"/>
  <c r="FB183" i="1"/>
  <c r="FB149" i="1"/>
  <c r="FD149" i="1" s="1"/>
  <c r="FB151" i="1"/>
  <c r="FD151" i="1" s="1"/>
  <c r="FB153" i="1"/>
  <c r="FD153" i="1" s="1"/>
  <c r="FB155" i="1"/>
  <c r="FD155" i="1" s="1"/>
  <c r="FB157" i="1"/>
  <c r="FD157" i="1" s="1"/>
  <c r="FB159" i="1"/>
  <c r="FD159" i="1" s="1"/>
  <c r="FB161" i="1"/>
  <c r="FD161" i="1" s="1"/>
  <c r="FB163" i="1"/>
  <c r="FD163" i="1" s="1"/>
  <c r="FB165" i="1"/>
  <c r="FD165" i="1" s="1"/>
  <c r="FB167" i="1"/>
  <c r="FD167" i="1" s="1"/>
  <c r="FB169" i="1"/>
  <c r="FD169" i="1" s="1"/>
  <c r="FB171" i="1"/>
  <c r="FD171" i="1" s="1"/>
  <c r="FB173" i="1"/>
  <c r="FD173" i="1" s="1"/>
  <c r="FB175" i="1"/>
  <c r="FD175" i="1" s="1"/>
  <c r="FB177" i="1"/>
  <c r="FD177" i="1" s="1"/>
  <c r="FB113" i="1"/>
  <c r="FD113" i="1" s="1"/>
  <c r="FB115" i="1"/>
  <c r="FD115" i="1" s="1"/>
  <c r="FB117" i="1"/>
  <c r="FD117" i="1" s="1"/>
  <c r="FB119" i="1"/>
  <c r="FD119" i="1" s="1"/>
  <c r="FB121" i="1"/>
  <c r="FD121" i="1" s="1"/>
  <c r="FB123" i="1"/>
  <c r="FD123" i="1" s="1"/>
  <c r="FB125" i="1"/>
  <c r="FD125" i="1" s="1"/>
  <c r="FB127" i="1"/>
  <c r="FD127" i="1" s="1"/>
  <c r="FB129" i="1"/>
  <c r="FD129" i="1" s="1"/>
  <c r="FB131" i="1"/>
  <c r="FD131" i="1" s="1"/>
  <c r="FB133" i="1"/>
  <c r="FD133" i="1" s="1"/>
  <c r="FB135" i="1"/>
  <c r="FD135" i="1" s="1"/>
  <c r="FB137" i="1"/>
  <c r="FD137" i="1" s="1"/>
  <c r="FB139" i="1"/>
  <c r="FD139" i="1" s="1"/>
  <c r="FB141" i="1"/>
  <c r="FD141" i="1" s="1"/>
  <c r="FB77" i="1"/>
  <c r="FD77" i="1" s="1"/>
  <c r="FB79" i="1"/>
  <c r="FD79" i="1" s="1"/>
  <c r="FB81" i="1"/>
  <c r="FD81" i="1" s="1"/>
  <c r="FB83" i="1"/>
  <c r="FD83" i="1" s="1"/>
  <c r="FB85" i="1"/>
  <c r="FD85" i="1" s="1"/>
  <c r="FB87" i="1"/>
  <c r="FD87" i="1" s="1"/>
  <c r="FB89" i="1"/>
  <c r="FD89" i="1" s="1"/>
  <c r="FB91" i="1"/>
  <c r="FD91" i="1" s="1"/>
  <c r="FB93" i="1"/>
  <c r="FD93" i="1" s="1"/>
  <c r="FB95" i="1"/>
  <c r="FD95" i="1" s="1"/>
  <c r="FB97" i="1"/>
  <c r="FD97" i="1" s="1"/>
  <c r="FB99" i="1"/>
  <c r="FD99" i="1" s="1"/>
  <c r="FB101" i="1"/>
  <c r="FD101" i="1" s="1"/>
  <c r="FB103" i="1"/>
  <c r="FD103" i="1" s="1"/>
  <c r="FB105" i="1"/>
  <c r="FD105" i="1" s="1"/>
  <c r="FB76" i="1"/>
  <c r="FB44" i="1"/>
  <c r="FD44" i="1" s="1"/>
  <c r="FB46" i="1"/>
  <c r="FD46" i="1" s="1"/>
  <c r="FB48" i="1"/>
  <c r="FD48" i="1" s="1"/>
  <c r="FB50" i="1"/>
  <c r="FD50" i="1" s="1"/>
  <c r="FB52" i="1"/>
  <c r="FD52" i="1" s="1"/>
  <c r="FB54" i="1"/>
  <c r="FD54" i="1" s="1"/>
  <c r="FB56" i="1"/>
  <c r="FD56" i="1" s="1"/>
  <c r="FB58" i="1"/>
  <c r="FD58" i="1" s="1"/>
  <c r="FB60" i="1"/>
  <c r="FD60" i="1" s="1"/>
  <c r="FB62" i="1"/>
  <c r="FD62" i="1" s="1"/>
  <c r="FB64" i="1"/>
  <c r="FD64" i="1" s="1"/>
  <c r="FB66" i="1"/>
  <c r="FD66" i="1" s="1"/>
  <c r="FB68" i="1"/>
  <c r="FD68" i="1" s="1"/>
  <c r="FB70" i="1"/>
  <c r="FD70" i="1" s="1"/>
  <c r="FB8" i="1"/>
  <c r="FD8" i="1" s="1"/>
  <c r="FB10" i="1"/>
  <c r="FD10" i="1" s="1"/>
  <c r="FB12" i="1"/>
  <c r="FD12" i="1" s="1"/>
  <c r="FB14" i="1"/>
  <c r="FD14" i="1" s="1"/>
  <c r="FB16" i="1"/>
  <c r="FD16" i="1" s="1"/>
  <c r="FB18" i="1"/>
  <c r="FD18" i="1" s="1"/>
  <c r="FB20" i="1"/>
  <c r="FD20" i="1" s="1"/>
  <c r="FB22" i="1"/>
  <c r="FD22" i="1" s="1"/>
  <c r="FB24" i="1"/>
  <c r="FD24" i="1" s="1"/>
  <c r="FB26" i="1"/>
  <c r="FD26" i="1" s="1"/>
  <c r="FB28" i="1"/>
  <c r="FD28" i="1" s="1"/>
  <c r="FB30" i="1"/>
  <c r="FD30" i="1" s="1"/>
  <c r="FB32" i="1"/>
  <c r="FD32" i="1" s="1"/>
  <c r="FB34" i="1"/>
  <c r="FD34" i="1" s="1"/>
  <c r="FB36" i="1"/>
  <c r="FD36" i="1" s="1"/>
  <c r="FB397" i="1"/>
  <c r="FD397" i="1" s="1"/>
  <c r="FB399" i="1"/>
  <c r="FD399" i="1" s="1"/>
  <c r="FB401" i="1"/>
  <c r="FD401" i="1" s="1"/>
  <c r="FB403" i="1"/>
  <c r="FD403" i="1" s="1"/>
  <c r="FB405" i="1"/>
  <c r="FD405" i="1" s="1"/>
  <c r="FB407" i="1"/>
  <c r="FD407" i="1" s="1"/>
  <c r="FB409" i="1"/>
  <c r="FD409" i="1" s="1"/>
  <c r="FB411" i="1"/>
  <c r="FD411" i="1" s="1"/>
  <c r="FB413" i="1"/>
  <c r="FD413" i="1" s="1"/>
  <c r="FB396" i="1"/>
  <c r="FB363" i="1"/>
  <c r="FD363" i="1" s="1"/>
  <c r="FB365" i="1"/>
  <c r="FD365" i="1" s="1"/>
  <c r="FB367" i="1"/>
  <c r="FD367" i="1" s="1"/>
  <c r="FB369" i="1"/>
  <c r="FD369" i="1" s="1"/>
  <c r="FB371" i="1"/>
  <c r="FD371" i="1" s="1"/>
  <c r="FB373" i="1"/>
  <c r="FD373" i="1" s="1"/>
  <c r="FB375" i="1"/>
  <c r="FD375" i="1" s="1"/>
  <c r="FB377" i="1"/>
  <c r="FD377" i="1" s="1"/>
  <c r="FB379" i="1"/>
  <c r="FD379" i="1" s="1"/>
  <c r="FB381" i="1"/>
  <c r="FD381" i="1" s="1"/>
  <c r="FB383" i="1"/>
  <c r="FD383" i="1" s="1"/>
  <c r="FB385" i="1"/>
  <c r="FD385" i="1" s="1"/>
  <c r="FB387" i="1"/>
  <c r="FD387" i="1" s="1"/>
  <c r="FB389" i="1"/>
  <c r="FD389" i="1" s="1"/>
  <c r="FB361" i="1"/>
  <c r="FB327" i="1"/>
  <c r="FD327" i="1" s="1"/>
  <c r="FB329" i="1"/>
  <c r="FD329" i="1" s="1"/>
  <c r="FB331" i="1"/>
  <c r="FD331" i="1" s="1"/>
  <c r="FB333" i="1"/>
  <c r="FD333" i="1" s="1"/>
  <c r="FB335" i="1"/>
  <c r="FD335" i="1" s="1"/>
  <c r="FB337" i="1"/>
  <c r="FD337" i="1" s="1"/>
  <c r="FB339" i="1"/>
  <c r="FD339" i="1" s="1"/>
  <c r="FB341" i="1"/>
  <c r="FD341" i="1" s="1"/>
  <c r="FB343" i="1"/>
  <c r="FD343" i="1" s="1"/>
  <c r="FB345" i="1"/>
  <c r="FD345" i="1" s="1"/>
  <c r="FB347" i="1"/>
  <c r="FD347" i="1" s="1"/>
  <c r="FB349" i="1"/>
  <c r="FD349" i="1" s="1"/>
  <c r="FB351" i="1"/>
  <c r="FD351" i="1" s="1"/>
  <c r="FB353" i="1"/>
  <c r="FD353" i="1" s="1"/>
  <c r="FB355" i="1"/>
  <c r="FD355" i="1" s="1"/>
  <c r="FB291" i="1"/>
  <c r="FD291" i="1" s="1"/>
  <c r="FB293" i="1"/>
  <c r="FD293" i="1" s="1"/>
  <c r="FB295" i="1"/>
  <c r="FD295" i="1" s="1"/>
  <c r="FB297" i="1"/>
  <c r="FD297" i="1" s="1"/>
  <c r="FB299" i="1"/>
  <c r="FD299" i="1" s="1"/>
  <c r="FB301" i="1"/>
  <c r="FD301" i="1" s="1"/>
  <c r="FB303" i="1"/>
  <c r="FD303" i="1" s="1"/>
  <c r="FB305" i="1"/>
  <c r="FD305" i="1" s="1"/>
  <c r="FB307" i="1"/>
  <c r="FD307" i="1" s="1"/>
  <c r="FB309" i="1"/>
  <c r="FD309" i="1" s="1"/>
  <c r="FB311" i="1"/>
  <c r="FD311" i="1" s="1"/>
  <c r="FB313" i="1"/>
  <c r="FD313" i="1" s="1"/>
  <c r="FB315" i="1"/>
  <c r="FD315" i="1" s="1"/>
  <c r="FB317" i="1"/>
  <c r="FD317" i="1" s="1"/>
  <c r="FB319" i="1"/>
  <c r="FD319" i="1" s="1"/>
  <c r="FB255" i="1"/>
  <c r="FD255" i="1" s="1"/>
  <c r="FB257" i="1"/>
  <c r="FD257" i="1" s="1"/>
  <c r="FB259" i="1"/>
  <c r="FD259" i="1" s="1"/>
  <c r="FB261" i="1"/>
  <c r="FD261" i="1" s="1"/>
  <c r="FB263" i="1"/>
  <c r="FD263" i="1" s="1"/>
  <c r="FB265" i="1"/>
  <c r="FD265" i="1" s="1"/>
  <c r="FB267" i="1"/>
  <c r="FD267" i="1" s="1"/>
  <c r="FB269" i="1"/>
  <c r="FD269" i="1" s="1"/>
  <c r="FB271" i="1"/>
  <c r="FD271" i="1" s="1"/>
  <c r="FB273" i="1"/>
  <c r="FD273" i="1" s="1"/>
  <c r="FB275" i="1"/>
  <c r="FD275" i="1" s="1"/>
  <c r="FB277" i="1"/>
  <c r="FD277" i="1" s="1"/>
  <c r="FB279" i="1"/>
  <c r="FD279" i="1" s="1"/>
  <c r="FB281" i="1"/>
  <c r="FD281" i="1" s="1"/>
  <c r="FB283" i="1"/>
  <c r="FD283" i="1" s="1"/>
  <c r="FB254" i="1"/>
  <c r="FB220" i="1"/>
  <c r="FD220" i="1" s="1"/>
  <c r="FB222" i="1"/>
  <c r="FD222" i="1" s="1"/>
  <c r="FB224" i="1"/>
  <c r="FD224" i="1" s="1"/>
  <c r="FB226" i="1"/>
  <c r="FD226" i="1" s="1"/>
  <c r="FB228" i="1"/>
  <c r="FD228" i="1" s="1"/>
  <c r="FB230" i="1"/>
  <c r="FD230" i="1" s="1"/>
  <c r="FB232" i="1"/>
  <c r="FD232" i="1" s="1"/>
  <c r="FB234" i="1"/>
  <c r="FD234" i="1" s="1"/>
  <c r="FB236" i="1"/>
  <c r="FD236" i="1" s="1"/>
  <c r="FB240" i="1"/>
  <c r="FD240" i="1" s="1"/>
  <c r="FB242" i="1"/>
  <c r="FD242" i="1" s="1"/>
  <c r="FB244" i="1"/>
  <c r="FD244" i="1" s="1"/>
  <c r="FB246" i="1"/>
  <c r="FD246" i="1" s="1"/>
  <c r="FB248" i="1"/>
  <c r="FD248" i="1" s="1"/>
  <c r="FB184" i="1"/>
  <c r="FD184" i="1" s="1"/>
  <c r="FB186" i="1"/>
  <c r="FD186" i="1" s="1"/>
  <c r="FB188" i="1"/>
  <c r="FD188" i="1" s="1"/>
  <c r="FB190" i="1"/>
  <c r="FD190" i="1" s="1"/>
  <c r="FB192" i="1"/>
  <c r="FD192" i="1" s="1"/>
  <c r="FB194" i="1"/>
  <c r="FD194" i="1" s="1"/>
  <c r="FB196" i="1"/>
  <c r="FD196" i="1" s="1"/>
  <c r="FB198" i="1"/>
  <c r="FD198" i="1" s="1"/>
  <c r="FB200" i="1"/>
  <c r="FD200" i="1" s="1"/>
  <c r="FB202" i="1"/>
  <c r="FD202" i="1" s="1"/>
  <c r="FB204" i="1"/>
  <c r="FD204" i="1" s="1"/>
  <c r="FB206" i="1"/>
  <c r="FD206" i="1" s="1"/>
  <c r="FB208" i="1"/>
  <c r="FD208" i="1" s="1"/>
  <c r="FB210" i="1"/>
  <c r="FD210" i="1" s="1"/>
  <c r="FB212" i="1"/>
  <c r="FD212" i="1" s="1"/>
  <c r="FB148" i="1"/>
  <c r="FD148" i="1" s="1"/>
  <c r="FB150" i="1"/>
  <c r="FD150" i="1" s="1"/>
  <c r="FB152" i="1"/>
  <c r="FD152" i="1" s="1"/>
  <c r="FB154" i="1"/>
  <c r="FD154" i="1" s="1"/>
  <c r="FB156" i="1"/>
  <c r="FD156" i="1" s="1"/>
  <c r="FB158" i="1"/>
  <c r="FD158" i="1" s="1"/>
  <c r="FB160" i="1"/>
  <c r="FD160" i="1" s="1"/>
  <c r="FB162" i="1"/>
  <c r="FD162" i="1" s="1"/>
  <c r="FB164" i="1"/>
  <c r="FD164" i="1" s="1"/>
  <c r="FB166" i="1"/>
  <c r="FD166" i="1" s="1"/>
  <c r="FB168" i="1"/>
  <c r="FD168" i="1" s="1"/>
  <c r="FB170" i="1"/>
  <c r="FD170" i="1" s="1"/>
  <c r="FB172" i="1"/>
  <c r="FD172" i="1" s="1"/>
  <c r="FB174" i="1"/>
  <c r="FD174" i="1" s="1"/>
  <c r="FB176" i="1"/>
  <c r="FD176" i="1" s="1"/>
  <c r="FB114" i="1"/>
  <c r="FD114" i="1" s="1"/>
  <c r="FB116" i="1"/>
  <c r="FD116" i="1" s="1"/>
  <c r="FB118" i="1"/>
  <c r="FD118" i="1" s="1"/>
  <c r="FB120" i="1"/>
  <c r="FD120" i="1" s="1"/>
  <c r="FB122" i="1"/>
  <c r="FD122" i="1" s="1"/>
  <c r="FB124" i="1"/>
  <c r="FD124" i="1" s="1"/>
  <c r="FB126" i="1"/>
  <c r="FD126" i="1" s="1"/>
  <c r="FB128" i="1"/>
  <c r="FD128" i="1" s="1"/>
  <c r="FB130" i="1"/>
  <c r="FD130" i="1" s="1"/>
  <c r="FB132" i="1"/>
  <c r="FD132" i="1" s="1"/>
  <c r="FB134" i="1"/>
  <c r="FD134" i="1" s="1"/>
  <c r="FB136" i="1"/>
  <c r="FD136" i="1" s="1"/>
  <c r="FB138" i="1"/>
  <c r="FD138" i="1" s="1"/>
  <c r="FB140" i="1"/>
  <c r="FD140" i="1" s="1"/>
  <c r="FB112" i="1"/>
  <c r="FB78" i="1"/>
  <c r="FD78" i="1" s="1"/>
  <c r="FB80" i="1"/>
  <c r="FD80" i="1" s="1"/>
  <c r="FB82" i="1"/>
  <c r="FD82" i="1" s="1"/>
  <c r="FB84" i="1"/>
  <c r="FD84" i="1" s="1"/>
  <c r="FB86" i="1"/>
  <c r="FD86" i="1" s="1"/>
  <c r="FB88" i="1"/>
  <c r="FD88" i="1" s="1"/>
  <c r="FB90" i="1"/>
  <c r="FD90" i="1" s="1"/>
  <c r="FB92" i="1"/>
  <c r="FD92" i="1" s="1"/>
  <c r="FB94" i="1"/>
  <c r="FD94" i="1" s="1"/>
  <c r="FB96" i="1"/>
  <c r="FD96" i="1" s="1"/>
  <c r="FB98" i="1"/>
  <c r="FD98" i="1" s="1"/>
  <c r="FB100" i="1"/>
  <c r="FD100" i="1" s="1"/>
  <c r="FB102" i="1"/>
  <c r="FD102" i="1" s="1"/>
  <c r="FB104" i="1"/>
  <c r="FD104" i="1" s="1"/>
  <c r="FB106" i="1"/>
  <c r="FD106" i="1" s="1"/>
  <c r="FB43" i="1"/>
  <c r="FD43" i="1" s="1"/>
  <c r="FB45" i="1"/>
  <c r="FD45" i="1" s="1"/>
  <c r="FB47" i="1"/>
  <c r="FD47" i="1" s="1"/>
  <c r="FB49" i="1"/>
  <c r="FD49" i="1" s="1"/>
  <c r="FB51" i="1"/>
  <c r="FD51" i="1" s="1"/>
  <c r="FB53" i="1"/>
  <c r="FD53" i="1" s="1"/>
  <c r="FB55" i="1"/>
  <c r="FD55" i="1" s="1"/>
  <c r="FB57" i="1"/>
  <c r="FD57" i="1" s="1"/>
  <c r="FB59" i="1"/>
  <c r="FD59" i="1" s="1"/>
  <c r="FB61" i="1"/>
  <c r="FD61" i="1" s="1"/>
  <c r="FB63" i="1"/>
  <c r="FD63" i="1" s="1"/>
  <c r="FB65" i="1"/>
  <c r="FD65" i="1" s="1"/>
  <c r="FB67" i="1"/>
  <c r="FD67" i="1" s="1"/>
  <c r="FB69" i="1"/>
  <c r="FD69" i="1" s="1"/>
  <c r="FB42" i="1"/>
  <c r="FB7" i="1"/>
  <c r="FD7" i="1" s="1"/>
  <c r="FB9" i="1"/>
  <c r="FD9" i="1" s="1"/>
  <c r="FB11" i="1"/>
  <c r="FD11" i="1" s="1"/>
  <c r="FB13" i="1"/>
  <c r="FD13" i="1" s="1"/>
  <c r="FB15" i="1"/>
  <c r="FD15" i="1" s="1"/>
  <c r="FB17" i="1"/>
  <c r="FD17" i="1" s="1"/>
  <c r="FB19" i="1"/>
  <c r="FD19" i="1" s="1"/>
  <c r="FB21" i="1"/>
  <c r="FD21" i="1" s="1"/>
  <c r="FB23" i="1"/>
  <c r="FD23" i="1" s="1"/>
  <c r="FB25" i="1"/>
  <c r="FD25" i="1" s="1"/>
  <c r="FB27" i="1"/>
  <c r="FD27" i="1" s="1"/>
  <c r="FB29" i="1"/>
  <c r="FD29" i="1" s="1"/>
  <c r="FB31" i="1"/>
  <c r="FD31" i="1" s="1"/>
  <c r="FB33" i="1"/>
  <c r="FD33" i="1" s="1"/>
  <c r="FB35" i="1"/>
  <c r="FD35" i="1" s="1"/>
  <c r="GL398" i="1"/>
  <c r="GN398" i="1" s="1"/>
  <c r="GL400" i="1"/>
  <c r="GN400" i="1" s="1"/>
  <c r="GL402" i="1"/>
  <c r="GN402" i="1" s="1"/>
  <c r="GL404" i="1"/>
  <c r="GN404" i="1" s="1"/>
  <c r="GL406" i="1"/>
  <c r="GN406" i="1" s="1"/>
  <c r="GL408" i="1"/>
  <c r="GN408" i="1" s="1"/>
  <c r="GL410" i="1"/>
  <c r="GN410" i="1" s="1"/>
  <c r="GL412" i="1"/>
  <c r="GN412" i="1" s="1"/>
  <c r="GL414" i="1"/>
  <c r="GN414" i="1" s="1"/>
  <c r="GL416" i="1"/>
  <c r="GN416" i="1" s="1"/>
  <c r="GL418" i="1"/>
  <c r="GN418" i="1" s="1"/>
  <c r="GL420" i="1"/>
  <c r="GN420" i="1" s="1"/>
  <c r="GL422" i="1"/>
  <c r="GN422" i="1" s="1"/>
  <c r="GL424" i="1"/>
  <c r="GN424" i="1" s="1"/>
  <c r="GL426" i="1"/>
  <c r="GN426" i="1" s="1"/>
  <c r="GL362" i="1"/>
  <c r="GN362" i="1" s="1"/>
  <c r="GL364" i="1"/>
  <c r="GN364" i="1" s="1"/>
  <c r="GL366" i="1"/>
  <c r="GN366" i="1" s="1"/>
  <c r="GL368" i="1"/>
  <c r="GN368" i="1" s="1"/>
  <c r="GL370" i="1"/>
  <c r="GN370" i="1" s="1"/>
  <c r="GL372" i="1"/>
  <c r="GN372" i="1" s="1"/>
  <c r="GL374" i="1"/>
  <c r="GN374" i="1" s="1"/>
  <c r="GL376" i="1"/>
  <c r="GN376" i="1" s="1"/>
  <c r="GL378" i="1"/>
  <c r="GN378" i="1" s="1"/>
  <c r="GL380" i="1"/>
  <c r="GN380" i="1" s="1"/>
  <c r="GL382" i="1"/>
  <c r="GN382" i="1" s="1"/>
  <c r="GL384" i="1"/>
  <c r="GN384" i="1" s="1"/>
  <c r="GL386" i="1"/>
  <c r="GN386" i="1" s="1"/>
  <c r="GL388" i="1"/>
  <c r="GN388" i="1" s="1"/>
  <c r="GL390" i="1"/>
  <c r="GN390" i="1" s="1"/>
  <c r="GL326" i="1"/>
  <c r="GN326" i="1" s="1"/>
  <c r="GL328" i="1"/>
  <c r="GN328" i="1" s="1"/>
  <c r="GL330" i="1"/>
  <c r="GN330" i="1" s="1"/>
  <c r="GL332" i="1"/>
  <c r="GN332" i="1" s="1"/>
  <c r="GL334" i="1"/>
  <c r="GN334" i="1" s="1"/>
  <c r="GL336" i="1"/>
  <c r="GN336" i="1" s="1"/>
  <c r="GL338" i="1"/>
  <c r="GN338" i="1" s="1"/>
  <c r="GL340" i="1"/>
  <c r="GN340" i="1" s="1"/>
  <c r="GL342" i="1"/>
  <c r="GN342" i="1" s="1"/>
  <c r="GL344" i="1"/>
  <c r="GN344" i="1" s="1"/>
  <c r="GL346" i="1"/>
  <c r="GN346" i="1" s="1"/>
  <c r="GL348" i="1"/>
  <c r="GN348" i="1" s="1"/>
  <c r="GL350" i="1"/>
  <c r="GN350" i="1" s="1"/>
  <c r="GL352" i="1"/>
  <c r="GN352" i="1" s="1"/>
  <c r="GL354" i="1"/>
  <c r="GN354" i="1" s="1"/>
  <c r="GL325" i="1"/>
  <c r="GL292" i="1"/>
  <c r="GN292" i="1" s="1"/>
  <c r="GL294" i="1"/>
  <c r="GN294" i="1" s="1"/>
  <c r="GL296" i="1"/>
  <c r="GN296" i="1" s="1"/>
  <c r="GL298" i="1"/>
  <c r="GN298" i="1" s="1"/>
  <c r="GL300" i="1"/>
  <c r="GN300" i="1" s="1"/>
  <c r="GL302" i="1"/>
  <c r="GN302" i="1" s="1"/>
  <c r="GL304" i="1"/>
  <c r="GN304" i="1" s="1"/>
  <c r="GL306" i="1"/>
  <c r="GN306" i="1" s="1"/>
  <c r="GL308" i="1"/>
  <c r="GN308" i="1" s="1"/>
  <c r="GL310" i="1"/>
  <c r="GN310" i="1" s="1"/>
  <c r="GL312" i="1"/>
  <c r="GN312" i="1" s="1"/>
  <c r="GL314" i="1"/>
  <c r="GN314" i="1" s="1"/>
  <c r="GL316" i="1"/>
  <c r="GN316" i="1" s="1"/>
  <c r="GL318" i="1"/>
  <c r="GN318" i="1" s="1"/>
  <c r="GL290" i="1"/>
  <c r="GL256" i="1"/>
  <c r="GN256" i="1" s="1"/>
  <c r="GL258" i="1"/>
  <c r="GN258" i="1" s="1"/>
  <c r="GL260" i="1"/>
  <c r="GN260" i="1" s="1"/>
  <c r="GL262" i="1"/>
  <c r="GN262" i="1" s="1"/>
  <c r="GL264" i="1"/>
  <c r="GN264" i="1" s="1"/>
  <c r="GL266" i="1"/>
  <c r="GN266" i="1" s="1"/>
  <c r="GL268" i="1"/>
  <c r="GN268" i="1" s="1"/>
  <c r="GL270" i="1"/>
  <c r="GN270" i="1" s="1"/>
  <c r="GL272" i="1"/>
  <c r="GN272" i="1" s="1"/>
  <c r="GL274" i="1"/>
  <c r="GN274" i="1" s="1"/>
  <c r="GL276" i="1"/>
  <c r="GN276" i="1" s="1"/>
  <c r="GL278" i="1"/>
  <c r="GN278" i="1" s="1"/>
  <c r="GL280" i="1"/>
  <c r="GN280" i="1" s="1"/>
  <c r="GL282" i="1"/>
  <c r="GN282" i="1" s="1"/>
  <c r="GL284" i="1"/>
  <c r="GN284" i="1" s="1"/>
  <c r="GL219" i="1"/>
  <c r="GN219" i="1" s="1"/>
  <c r="GL221" i="1"/>
  <c r="GN221" i="1" s="1"/>
  <c r="GL223" i="1"/>
  <c r="GN223" i="1" s="1"/>
  <c r="GL225" i="1"/>
  <c r="GN225" i="1" s="1"/>
  <c r="GL227" i="1"/>
  <c r="GN227" i="1" s="1"/>
  <c r="GL229" i="1"/>
  <c r="GN229" i="1" s="1"/>
  <c r="GL231" i="1"/>
  <c r="GN231" i="1" s="1"/>
  <c r="GL233" i="1"/>
  <c r="GN233" i="1" s="1"/>
  <c r="GL235" i="1"/>
  <c r="GN235" i="1" s="1"/>
  <c r="GL237" i="1"/>
  <c r="GN237" i="1" s="1"/>
  <c r="GL239" i="1"/>
  <c r="GN239" i="1" s="1"/>
  <c r="GL241" i="1"/>
  <c r="GN241" i="1" s="1"/>
  <c r="GL243" i="1"/>
  <c r="GN243" i="1" s="1"/>
  <c r="GL245" i="1"/>
  <c r="GN245" i="1" s="1"/>
  <c r="GL247" i="1"/>
  <c r="GN247" i="1" s="1"/>
  <c r="GL218" i="1"/>
  <c r="GL185" i="1"/>
  <c r="GN185" i="1" s="1"/>
  <c r="GL187" i="1"/>
  <c r="GN187" i="1" s="1"/>
  <c r="GL189" i="1"/>
  <c r="GN189" i="1" s="1"/>
  <c r="GL191" i="1"/>
  <c r="GN191" i="1" s="1"/>
  <c r="GL193" i="1"/>
  <c r="GN193" i="1" s="1"/>
  <c r="GL195" i="1"/>
  <c r="GN195" i="1" s="1"/>
  <c r="GL197" i="1"/>
  <c r="GN197" i="1" s="1"/>
  <c r="GL199" i="1"/>
  <c r="GN199" i="1" s="1"/>
  <c r="GL201" i="1"/>
  <c r="GN201" i="1" s="1"/>
  <c r="GL203" i="1"/>
  <c r="GN203" i="1" s="1"/>
  <c r="GL205" i="1"/>
  <c r="GN205" i="1" s="1"/>
  <c r="GL207" i="1"/>
  <c r="GN207" i="1" s="1"/>
  <c r="GL209" i="1"/>
  <c r="GN209" i="1" s="1"/>
  <c r="GL211" i="1"/>
  <c r="GN211" i="1" s="1"/>
  <c r="GL183" i="1"/>
  <c r="GL149" i="1"/>
  <c r="GN149" i="1" s="1"/>
  <c r="GL151" i="1"/>
  <c r="GN151" i="1" s="1"/>
  <c r="GL153" i="1"/>
  <c r="GN153" i="1" s="1"/>
  <c r="GL155" i="1"/>
  <c r="GN155" i="1" s="1"/>
  <c r="GL157" i="1"/>
  <c r="GN157" i="1" s="1"/>
  <c r="GL159" i="1"/>
  <c r="GN159" i="1" s="1"/>
  <c r="GL161" i="1"/>
  <c r="GN161" i="1" s="1"/>
  <c r="GL163" i="1"/>
  <c r="GN163" i="1" s="1"/>
  <c r="GL165" i="1"/>
  <c r="GN165" i="1" s="1"/>
  <c r="GL167" i="1"/>
  <c r="GN167" i="1" s="1"/>
  <c r="GL169" i="1"/>
  <c r="GN169" i="1" s="1"/>
  <c r="GL171" i="1"/>
  <c r="GN171" i="1" s="1"/>
  <c r="GL173" i="1"/>
  <c r="GN173" i="1" s="1"/>
  <c r="GL175" i="1"/>
  <c r="GN175" i="1" s="1"/>
  <c r="GL177" i="1"/>
  <c r="GN177" i="1" s="1"/>
  <c r="GL113" i="1"/>
  <c r="GN113" i="1" s="1"/>
  <c r="GL115" i="1"/>
  <c r="GN115" i="1" s="1"/>
  <c r="GL117" i="1"/>
  <c r="GN117" i="1" s="1"/>
  <c r="GL119" i="1"/>
  <c r="GN119" i="1" s="1"/>
  <c r="GL121" i="1"/>
  <c r="GN121" i="1" s="1"/>
  <c r="GL123" i="1"/>
  <c r="GN123" i="1" s="1"/>
  <c r="GL125" i="1"/>
  <c r="GN125" i="1" s="1"/>
  <c r="GL127" i="1"/>
  <c r="GN127" i="1" s="1"/>
  <c r="GL129" i="1"/>
  <c r="GN129" i="1" s="1"/>
  <c r="GL131" i="1"/>
  <c r="GN131" i="1" s="1"/>
  <c r="GL133" i="1"/>
  <c r="GN133" i="1" s="1"/>
  <c r="GL135" i="1"/>
  <c r="GN135" i="1" s="1"/>
  <c r="GL137" i="1"/>
  <c r="GN137" i="1" s="1"/>
  <c r="GL139" i="1"/>
  <c r="GN139" i="1" s="1"/>
  <c r="GL141" i="1"/>
  <c r="GN141" i="1" s="1"/>
  <c r="GL77" i="1"/>
  <c r="GN77" i="1" s="1"/>
  <c r="GL79" i="1"/>
  <c r="GN79" i="1" s="1"/>
  <c r="GL81" i="1"/>
  <c r="GN81" i="1" s="1"/>
  <c r="GL83" i="1"/>
  <c r="GN83" i="1" s="1"/>
  <c r="GL85" i="1"/>
  <c r="GN85" i="1" s="1"/>
  <c r="GL87" i="1"/>
  <c r="GN87" i="1" s="1"/>
  <c r="GL89" i="1"/>
  <c r="GN89" i="1" s="1"/>
  <c r="GL91" i="1"/>
  <c r="GN91" i="1" s="1"/>
  <c r="GL93" i="1"/>
  <c r="GN93" i="1" s="1"/>
  <c r="GL95" i="1"/>
  <c r="GN95" i="1" s="1"/>
  <c r="GL97" i="1"/>
  <c r="GN97" i="1" s="1"/>
  <c r="GL99" i="1"/>
  <c r="GN99" i="1" s="1"/>
  <c r="GL101" i="1"/>
  <c r="GN101" i="1" s="1"/>
  <c r="GL103" i="1"/>
  <c r="GN103" i="1" s="1"/>
  <c r="GL105" i="1"/>
  <c r="GN105" i="1" s="1"/>
  <c r="GL76" i="1"/>
  <c r="GL44" i="1"/>
  <c r="GN44" i="1" s="1"/>
  <c r="GL46" i="1"/>
  <c r="GN46" i="1" s="1"/>
  <c r="GL48" i="1"/>
  <c r="GN48" i="1" s="1"/>
  <c r="GL50" i="1"/>
  <c r="GN50" i="1" s="1"/>
  <c r="GL52" i="1"/>
  <c r="GN52" i="1" s="1"/>
  <c r="GL54" i="1"/>
  <c r="GN54" i="1" s="1"/>
  <c r="GL56" i="1"/>
  <c r="GN56" i="1" s="1"/>
  <c r="GL58" i="1"/>
  <c r="GN58" i="1" s="1"/>
  <c r="GL60" i="1"/>
  <c r="GN60" i="1" s="1"/>
  <c r="GL62" i="1"/>
  <c r="GN62" i="1" s="1"/>
  <c r="GL64" i="1"/>
  <c r="GN64" i="1" s="1"/>
  <c r="GL66" i="1"/>
  <c r="GN66" i="1" s="1"/>
  <c r="GL68" i="1"/>
  <c r="GN68" i="1" s="1"/>
  <c r="GL70" i="1"/>
  <c r="GN70" i="1" s="1"/>
  <c r="GL8" i="1"/>
  <c r="GN8" i="1" s="1"/>
  <c r="GL10" i="1"/>
  <c r="GN10" i="1" s="1"/>
  <c r="GL12" i="1"/>
  <c r="GN12" i="1" s="1"/>
  <c r="GL14" i="1"/>
  <c r="GN14" i="1" s="1"/>
  <c r="GL16" i="1"/>
  <c r="GN16" i="1" s="1"/>
  <c r="GL18" i="1"/>
  <c r="GN18" i="1" s="1"/>
  <c r="GL20" i="1"/>
  <c r="GN20" i="1" s="1"/>
  <c r="GL22" i="1"/>
  <c r="GN22" i="1" s="1"/>
  <c r="GL24" i="1"/>
  <c r="GN24" i="1" s="1"/>
  <c r="GL26" i="1"/>
  <c r="GN26" i="1" s="1"/>
  <c r="GL28" i="1"/>
  <c r="GN28" i="1" s="1"/>
  <c r="GL30" i="1"/>
  <c r="GN30" i="1" s="1"/>
  <c r="GL32" i="1"/>
  <c r="GN32" i="1" s="1"/>
  <c r="GL34" i="1"/>
  <c r="GN34" i="1" s="1"/>
  <c r="GL36" i="1"/>
  <c r="GN36" i="1" s="1"/>
  <c r="GL397" i="1"/>
  <c r="GN397" i="1" s="1"/>
  <c r="GL399" i="1"/>
  <c r="GN399" i="1" s="1"/>
  <c r="GL401" i="1"/>
  <c r="GN401" i="1" s="1"/>
  <c r="GL403" i="1"/>
  <c r="GN403" i="1" s="1"/>
  <c r="GL405" i="1"/>
  <c r="GN405" i="1" s="1"/>
  <c r="GL407" i="1"/>
  <c r="GN407" i="1" s="1"/>
  <c r="GL409" i="1"/>
  <c r="GN409" i="1" s="1"/>
  <c r="GL411" i="1"/>
  <c r="GN411" i="1" s="1"/>
  <c r="GL413" i="1"/>
  <c r="GN413" i="1" s="1"/>
  <c r="GL415" i="1"/>
  <c r="GN415" i="1" s="1"/>
  <c r="GL417" i="1"/>
  <c r="GN417" i="1" s="1"/>
  <c r="GL419" i="1"/>
  <c r="GN419" i="1" s="1"/>
  <c r="GL421" i="1"/>
  <c r="GN421" i="1" s="1"/>
  <c r="GL423" i="1"/>
  <c r="GN423" i="1" s="1"/>
  <c r="GL425" i="1"/>
  <c r="GN425" i="1" s="1"/>
  <c r="GL396" i="1"/>
  <c r="GL363" i="1"/>
  <c r="GN363" i="1" s="1"/>
  <c r="GL365" i="1"/>
  <c r="GN365" i="1" s="1"/>
  <c r="GL367" i="1"/>
  <c r="GN367" i="1" s="1"/>
  <c r="GL369" i="1"/>
  <c r="GN369" i="1" s="1"/>
  <c r="GL371" i="1"/>
  <c r="GN371" i="1" s="1"/>
  <c r="GL373" i="1"/>
  <c r="GN373" i="1" s="1"/>
  <c r="GL375" i="1"/>
  <c r="GN375" i="1" s="1"/>
  <c r="GL377" i="1"/>
  <c r="GN377" i="1" s="1"/>
  <c r="GL379" i="1"/>
  <c r="GN379" i="1" s="1"/>
  <c r="GL381" i="1"/>
  <c r="GN381" i="1" s="1"/>
  <c r="GL383" i="1"/>
  <c r="GN383" i="1" s="1"/>
  <c r="GL385" i="1"/>
  <c r="GN385" i="1" s="1"/>
  <c r="GL387" i="1"/>
  <c r="GN387" i="1" s="1"/>
  <c r="GL389" i="1"/>
  <c r="GN389" i="1" s="1"/>
  <c r="GL361" i="1"/>
  <c r="GL327" i="1"/>
  <c r="GN327" i="1" s="1"/>
  <c r="GL329" i="1"/>
  <c r="GN329" i="1" s="1"/>
  <c r="GL331" i="1"/>
  <c r="GN331" i="1" s="1"/>
  <c r="GL333" i="1"/>
  <c r="GN333" i="1" s="1"/>
  <c r="GL335" i="1"/>
  <c r="GN335" i="1" s="1"/>
  <c r="GL337" i="1"/>
  <c r="GN337" i="1" s="1"/>
  <c r="GL339" i="1"/>
  <c r="GN339" i="1" s="1"/>
  <c r="GL341" i="1"/>
  <c r="GN341" i="1" s="1"/>
  <c r="GL343" i="1"/>
  <c r="GN343" i="1" s="1"/>
  <c r="GL345" i="1"/>
  <c r="GN345" i="1" s="1"/>
  <c r="GL347" i="1"/>
  <c r="GN347" i="1" s="1"/>
  <c r="GL349" i="1"/>
  <c r="GN349" i="1" s="1"/>
  <c r="GL351" i="1"/>
  <c r="GN351" i="1" s="1"/>
  <c r="GL353" i="1"/>
  <c r="GN353" i="1" s="1"/>
  <c r="GL355" i="1"/>
  <c r="GN355" i="1" s="1"/>
  <c r="GL291" i="1"/>
  <c r="GN291" i="1" s="1"/>
  <c r="GL293" i="1"/>
  <c r="GN293" i="1" s="1"/>
  <c r="GL295" i="1"/>
  <c r="GN295" i="1" s="1"/>
  <c r="GL297" i="1"/>
  <c r="GN297" i="1" s="1"/>
  <c r="GL299" i="1"/>
  <c r="GN299" i="1" s="1"/>
  <c r="GL301" i="1"/>
  <c r="GN301" i="1" s="1"/>
  <c r="GL303" i="1"/>
  <c r="GN303" i="1" s="1"/>
  <c r="GL305" i="1"/>
  <c r="GN305" i="1" s="1"/>
  <c r="GL307" i="1"/>
  <c r="GN307" i="1" s="1"/>
  <c r="GL309" i="1"/>
  <c r="GN309" i="1" s="1"/>
  <c r="GL311" i="1"/>
  <c r="GN311" i="1" s="1"/>
  <c r="GL313" i="1"/>
  <c r="GN313" i="1" s="1"/>
  <c r="GL315" i="1"/>
  <c r="GN315" i="1" s="1"/>
  <c r="GL317" i="1"/>
  <c r="GN317" i="1" s="1"/>
  <c r="GL319" i="1"/>
  <c r="GN319" i="1" s="1"/>
  <c r="GL255" i="1"/>
  <c r="GN255" i="1" s="1"/>
  <c r="GL257" i="1"/>
  <c r="GN257" i="1" s="1"/>
  <c r="GL259" i="1"/>
  <c r="GN259" i="1" s="1"/>
  <c r="GL261" i="1"/>
  <c r="GN261" i="1" s="1"/>
  <c r="GL263" i="1"/>
  <c r="GN263" i="1" s="1"/>
  <c r="GL265" i="1"/>
  <c r="GN265" i="1" s="1"/>
  <c r="GL267" i="1"/>
  <c r="GN267" i="1" s="1"/>
  <c r="GL269" i="1"/>
  <c r="GN269" i="1" s="1"/>
  <c r="GL271" i="1"/>
  <c r="GN271" i="1" s="1"/>
  <c r="GL273" i="1"/>
  <c r="GN273" i="1" s="1"/>
  <c r="GL275" i="1"/>
  <c r="GN275" i="1" s="1"/>
  <c r="GL277" i="1"/>
  <c r="GN277" i="1" s="1"/>
  <c r="GL279" i="1"/>
  <c r="GN279" i="1" s="1"/>
  <c r="GL281" i="1"/>
  <c r="GN281" i="1" s="1"/>
  <c r="GL283" i="1"/>
  <c r="GN283" i="1" s="1"/>
  <c r="GL254" i="1"/>
  <c r="GL220" i="1"/>
  <c r="GN220" i="1" s="1"/>
  <c r="GL222" i="1"/>
  <c r="GN222" i="1" s="1"/>
  <c r="GL224" i="1"/>
  <c r="GN224" i="1" s="1"/>
  <c r="GL226" i="1"/>
  <c r="GN226" i="1" s="1"/>
  <c r="GL228" i="1"/>
  <c r="GN228" i="1" s="1"/>
  <c r="GL230" i="1"/>
  <c r="GN230" i="1" s="1"/>
  <c r="GL232" i="1"/>
  <c r="GN232" i="1" s="1"/>
  <c r="GL234" i="1"/>
  <c r="GN234" i="1" s="1"/>
  <c r="GL236" i="1"/>
  <c r="GN236" i="1" s="1"/>
  <c r="GL238" i="1"/>
  <c r="GN238" i="1" s="1"/>
  <c r="GL240" i="1"/>
  <c r="GN240" i="1" s="1"/>
  <c r="GL242" i="1"/>
  <c r="GN242" i="1" s="1"/>
  <c r="GL244" i="1"/>
  <c r="GN244" i="1" s="1"/>
  <c r="GL246" i="1"/>
  <c r="GN246" i="1" s="1"/>
  <c r="GL248" i="1"/>
  <c r="GN248" i="1" s="1"/>
  <c r="GL184" i="1"/>
  <c r="GN184" i="1" s="1"/>
  <c r="GL186" i="1"/>
  <c r="GN186" i="1" s="1"/>
  <c r="GL188" i="1"/>
  <c r="GN188" i="1" s="1"/>
  <c r="GL190" i="1"/>
  <c r="GN190" i="1" s="1"/>
  <c r="GL192" i="1"/>
  <c r="GN192" i="1" s="1"/>
  <c r="GL194" i="1"/>
  <c r="GN194" i="1" s="1"/>
  <c r="GL196" i="1"/>
  <c r="GN196" i="1" s="1"/>
  <c r="GL198" i="1"/>
  <c r="GN198" i="1" s="1"/>
  <c r="GL200" i="1"/>
  <c r="GN200" i="1" s="1"/>
  <c r="GL202" i="1"/>
  <c r="GN202" i="1" s="1"/>
  <c r="GL204" i="1"/>
  <c r="GN204" i="1" s="1"/>
  <c r="GL206" i="1"/>
  <c r="GN206" i="1" s="1"/>
  <c r="GL208" i="1"/>
  <c r="GN208" i="1" s="1"/>
  <c r="GL210" i="1"/>
  <c r="GN210" i="1" s="1"/>
  <c r="GL212" i="1"/>
  <c r="GN212" i="1" s="1"/>
  <c r="GL148" i="1"/>
  <c r="GN148" i="1" s="1"/>
  <c r="GL150" i="1"/>
  <c r="GN150" i="1" s="1"/>
  <c r="GL152" i="1"/>
  <c r="GN152" i="1" s="1"/>
  <c r="GL154" i="1"/>
  <c r="GN154" i="1" s="1"/>
  <c r="GL156" i="1"/>
  <c r="GN156" i="1" s="1"/>
  <c r="GL158" i="1"/>
  <c r="GN158" i="1" s="1"/>
  <c r="GL160" i="1"/>
  <c r="GN160" i="1" s="1"/>
  <c r="GL162" i="1"/>
  <c r="GN162" i="1" s="1"/>
  <c r="GL164" i="1"/>
  <c r="GN164" i="1" s="1"/>
  <c r="GL166" i="1"/>
  <c r="GN166" i="1" s="1"/>
  <c r="GL168" i="1"/>
  <c r="GN168" i="1" s="1"/>
  <c r="GL170" i="1"/>
  <c r="GN170" i="1" s="1"/>
  <c r="GL172" i="1"/>
  <c r="GN172" i="1" s="1"/>
  <c r="GL174" i="1"/>
  <c r="GN174" i="1" s="1"/>
  <c r="GL176" i="1"/>
  <c r="GN176" i="1" s="1"/>
  <c r="GL114" i="1"/>
  <c r="GN114" i="1" s="1"/>
  <c r="GL116" i="1"/>
  <c r="GN116" i="1" s="1"/>
  <c r="GL118" i="1"/>
  <c r="GN118" i="1" s="1"/>
  <c r="GL120" i="1"/>
  <c r="GN120" i="1" s="1"/>
  <c r="GL122" i="1"/>
  <c r="GN122" i="1" s="1"/>
  <c r="GL124" i="1"/>
  <c r="GN124" i="1" s="1"/>
  <c r="GL126" i="1"/>
  <c r="GN126" i="1" s="1"/>
  <c r="GL128" i="1"/>
  <c r="GN128" i="1" s="1"/>
  <c r="GL130" i="1"/>
  <c r="GN130" i="1" s="1"/>
  <c r="GL132" i="1"/>
  <c r="GN132" i="1" s="1"/>
  <c r="GL134" i="1"/>
  <c r="GN134" i="1" s="1"/>
  <c r="GL136" i="1"/>
  <c r="GN136" i="1" s="1"/>
  <c r="GL138" i="1"/>
  <c r="GN138" i="1" s="1"/>
  <c r="GL140" i="1"/>
  <c r="GN140" i="1" s="1"/>
  <c r="GL112" i="1"/>
  <c r="GL78" i="1"/>
  <c r="GN78" i="1" s="1"/>
  <c r="GL80" i="1"/>
  <c r="GN80" i="1" s="1"/>
  <c r="GL82" i="1"/>
  <c r="GN82" i="1" s="1"/>
  <c r="GL84" i="1"/>
  <c r="GN84" i="1" s="1"/>
  <c r="GL86" i="1"/>
  <c r="GN86" i="1" s="1"/>
  <c r="GL88" i="1"/>
  <c r="GN88" i="1" s="1"/>
  <c r="GL90" i="1"/>
  <c r="GN90" i="1" s="1"/>
  <c r="GL92" i="1"/>
  <c r="GN92" i="1" s="1"/>
  <c r="GL94" i="1"/>
  <c r="GN94" i="1" s="1"/>
  <c r="GL96" i="1"/>
  <c r="GN96" i="1" s="1"/>
  <c r="GL98" i="1"/>
  <c r="GN98" i="1" s="1"/>
  <c r="GL100" i="1"/>
  <c r="GN100" i="1" s="1"/>
  <c r="GL102" i="1"/>
  <c r="GN102" i="1" s="1"/>
  <c r="GL104" i="1"/>
  <c r="GN104" i="1" s="1"/>
  <c r="GL106" i="1"/>
  <c r="GN106" i="1" s="1"/>
  <c r="GL43" i="1"/>
  <c r="GN43" i="1" s="1"/>
  <c r="GL45" i="1"/>
  <c r="GN45" i="1" s="1"/>
  <c r="GL47" i="1"/>
  <c r="GN47" i="1" s="1"/>
  <c r="GL49" i="1"/>
  <c r="GN49" i="1" s="1"/>
  <c r="GL51" i="1"/>
  <c r="GN51" i="1" s="1"/>
  <c r="GL53" i="1"/>
  <c r="GN53" i="1" s="1"/>
  <c r="GL55" i="1"/>
  <c r="GN55" i="1" s="1"/>
  <c r="GL57" i="1"/>
  <c r="GN57" i="1" s="1"/>
  <c r="GL59" i="1"/>
  <c r="GN59" i="1" s="1"/>
  <c r="GL61" i="1"/>
  <c r="GN61" i="1" s="1"/>
  <c r="GL63" i="1"/>
  <c r="GN63" i="1" s="1"/>
  <c r="GL65" i="1"/>
  <c r="GN65" i="1" s="1"/>
  <c r="GL67" i="1"/>
  <c r="GN67" i="1" s="1"/>
  <c r="GL69" i="1"/>
  <c r="GN69" i="1" s="1"/>
  <c r="GL42" i="1"/>
  <c r="GL7" i="1"/>
  <c r="GN7" i="1" s="1"/>
  <c r="GL9" i="1"/>
  <c r="GN9" i="1" s="1"/>
  <c r="GL11" i="1"/>
  <c r="GN11" i="1" s="1"/>
  <c r="GL13" i="1"/>
  <c r="GN13" i="1" s="1"/>
  <c r="GL15" i="1"/>
  <c r="GN15" i="1" s="1"/>
  <c r="GL17" i="1"/>
  <c r="GN17" i="1" s="1"/>
  <c r="GL19" i="1"/>
  <c r="GN19" i="1" s="1"/>
  <c r="GL21" i="1"/>
  <c r="GN21" i="1" s="1"/>
  <c r="GL23" i="1"/>
  <c r="GN23" i="1" s="1"/>
  <c r="GL25" i="1"/>
  <c r="GN25" i="1" s="1"/>
  <c r="GL27" i="1"/>
  <c r="GN27" i="1" s="1"/>
  <c r="GL29" i="1"/>
  <c r="GN29" i="1" s="1"/>
  <c r="GL31" i="1"/>
  <c r="GN31" i="1" s="1"/>
  <c r="GL33" i="1"/>
  <c r="GN33" i="1" s="1"/>
  <c r="GL35" i="1"/>
  <c r="GN35" i="1" s="1"/>
  <c r="E397" i="1"/>
  <c r="G397" i="1" s="1"/>
  <c r="E399" i="1"/>
  <c r="G399" i="1" s="1"/>
  <c r="E401" i="1"/>
  <c r="G401" i="1" s="1"/>
  <c r="E403" i="1"/>
  <c r="G403" i="1" s="1"/>
  <c r="E405" i="1"/>
  <c r="G405" i="1" s="1"/>
  <c r="E407" i="1"/>
  <c r="G407" i="1" s="1"/>
  <c r="E409" i="1"/>
  <c r="G409" i="1" s="1"/>
  <c r="E411" i="1"/>
  <c r="G411" i="1" s="1"/>
  <c r="E413" i="1"/>
  <c r="G413" i="1" s="1"/>
  <c r="E415" i="1"/>
  <c r="G415" i="1" s="1"/>
  <c r="E417" i="1"/>
  <c r="G417" i="1" s="1"/>
  <c r="E419" i="1"/>
  <c r="G419" i="1" s="1"/>
  <c r="E421" i="1"/>
  <c r="G421" i="1" s="1"/>
  <c r="E423" i="1"/>
  <c r="G423" i="1" s="1"/>
  <c r="E425" i="1"/>
  <c r="G425" i="1" s="1"/>
  <c r="E396" i="1"/>
  <c r="E363" i="1"/>
  <c r="G363" i="1" s="1"/>
  <c r="E365" i="1"/>
  <c r="G365" i="1" s="1"/>
  <c r="E367" i="1"/>
  <c r="G367" i="1" s="1"/>
  <c r="E369" i="1"/>
  <c r="G369" i="1" s="1"/>
  <c r="E371" i="1"/>
  <c r="G371" i="1" s="1"/>
  <c r="E373" i="1"/>
  <c r="G373" i="1" s="1"/>
  <c r="E375" i="1"/>
  <c r="G375" i="1" s="1"/>
  <c r="E377" i="1"/>
  <c r="G377" i="1" s="1"/>
  <c r="E379" i="1"/>
  <c r="G379" i="1" s="1"/>
  <c r="E381" i="1"/>
  <c r="G381" i="1" s="1"/>
  <c r="E383" i="1"/>
  <c r="G383" i="1" s="1"/>
  <c r="E385" i="1"/>
  <c r="G385" i="1" s="1"/>
  <c r="E387" i="1"/>
  <c r="G387" i="1" s="1"/>
  <c r="E389" i="1"/>
  <c r="G389" i="1" s="1"/>
  <c r="E361" i="1"/>
  <c r="E326" i="1"/>
  <c r="G326" i="1" s="1"/>
  <c r="E328" i="1"/>
  <c r="G328" i="1" s="1"/>
  <c r="E330" i="1"/>
  <c r="G330" i="1" s="1"/>
  <c r="E332" i="1"/>
  <c r="G332" i="1" s="1"/>
  <c r="E334" i="1"/>
  <c r="G334" i="1" s="1"/>
  <c r="E336" i="1"/>
  <c r="G336" i="1" s="1"/>
  <c r="E338" i="1"/>
  <c r="G338" i="1" s="1"/>
  <c r="E340" i="1"/>
  <c r="G340" i="1" s="1"/>
  <c r="E342" i="1"/>
  <c r="G342" i="1" s="1"/>
  <c r="E344" i="1"/>
  <c r="G344" i="1" s="1"/>
  <c r="E346" i="1"/>
  <c r="G346" i="1" s="1"/>
  <c r="E348" i="1"/>
  <c r="G348" i="1" s="1"/>
  <c r="E350" i="1"/>
  <c r="G350" i="1" s="1"/>
  <c r="E352" i="1"/>
  <c r="G352" i="1" s="1"/>
  <c r="E354" i="1"/>
  <c r="G354" i="1" s="1"/>
  <c r="E325" i="1"/>
  <c r="E292" i="1"/>
  <c r="G292" i="1" s="1"/>
  <c r="E294" i="1"/>
  <c r="G294" i="1" s="1"/>
  <c r="E296" i="1"/>
  <c r="G296" i="1" s="1"/>
  <c r="E298" i="1"/>
  <c r="G298" i="1" s="1"/>
  <c r="E300" i="1"/>
  <c r="G300" i="1" s="1"/>
  <c r="E302" i="1"/>
  <c r="G302" i="1" s="1"/>
  <c r="E304" i="1"/>
  <c r="G304" i="1" s="1"/>
  <c r="E306" i="1"/>
  <c r="G306" i="1" s="1"/>
  <c r="E308" i="1"/>
  <c r="G308" i="1" s="1"/>
  <c r="E310" i="1"/>
  <c r="G310" i="1" s="1"/>
  <c r="E312" i="1"/>
  <c r="G312" i="1" s="1"/>
  <c r="E314" i="1"/>
  <c r="G314" i="1" s="1"/>
  <c r="E316" i="1"/>
  <c r="G316" i="1" s="1"/>
  <c r="E318" i="1"/>
  <c r="G318" i="1" s="1"/>
  <c r="E290" i="1"/>
  <c r="E255" i="1"/>
  <c r="G255" i="1" s="1"/>
  <c r="E257" i="1"/>
  <c r="G257" i="1" s="1"/>
  <c r="E259" i="1"/>
  <c r="G259" i="1" s="1"/>
  <c r="E261" i="1"/>
  <c r="G261" i="1" s="1"/>
  <c r="E263" i="1"/>
  <c r="G263" i="1" s="1"/>
  <c r="E265" i="1"/>
  <c r="G265" i="1" s="1"/>
  <c r="E267" i="1"/>
  <c r="G267" i="1" s="1"/>
  <c r="E269" i="1"/>
  <c r="G269" i="1" s="1"/>
  <c r="E271" i="1"/>
  <c r="G271" i="1" s="1"/>
  <c r="E273" i="1"/>
  <c r="G273" i="1" s="1"/>
  <c r="E275" i="1"/>
  <c r="G275" i="1" s="1"/>
  <c r="E277" i="1"/>
  <c r="G277" i="1" s="1"/>
  <c r="E279" i="1"/>
  <c r="G279" i="1" s="1"/>
  <c r="E281" i="1"/>
  <c r="G281" i="1" s="1"/>
  <c r="E283" i="1"/>
  <c r="G283" i="1" s="1"/>
  <c r="E254" i="1"/>
  <c r="E219" i="1"/>
  <c r="G219" i="1" s="1"/>
  <c r="E221" i="1"/>
  <c r="G221" i="1" s="1"/>
  <c r="E223" i="1"/>
  <c r="G223" i="1" s="1"/>
  <c r="E225" i="1"/>
  <c r="G225" i="1" s="1"/>
  <c r="E227" i="1"/>
  <c r="G227" i="1" s="1"/>
  <c r="E229" i="1"/>
  <c r="G229" i="1" s="1"/>
  <c r="E231" i="1"/>
  <c r="G231" i="1" s="1"/>
  <c r="E233" i="1"/>
  <c r="G233" i="1" s="1"/>
  <c r="E235" i="1"/>
  <c r="G235" i="1" s="1"/>
  <c r="E237" i="1"/>
  <c r="G237" i="1" s="1"/>
  <c r="E239" i="1"/>
  <c r="G239" i="1" s="1"/>
  <c r="E241" i="1"/>
  <c r="G241" i="1" s="1"/>
  <c r="E243" i="1"/>
  <c r="G243" i="1" s="1"/>
  <c r="E245" i="1"/>
  <c r="G245" i="1" s="1"/>
  <c r="E247" i="1"/>
  <c r="G247" i="1" s="1"/>
  <c r="E218" i="1"/>
  <c r="E185" i="1"/>
  <c r="G185" i="1" s="1"/>
  <c r="E187" i="1"/>
  <c r="G187" i="1" s="1"/>
  <c r="E189" i="1"/>
  <c r="G189" i="1" s="1"/>
  <c r="E191" i="1"/>
  <c r="G191" i="1" s="1"/>
  <c r="E193" i="1"/>
  <c r="G193" i="1" s="1"/>
  <c r="E195" i="1"/>
  <c r="G195" i="1" s="1"/>
  <c r="E197" i="1"/>
  <c r="G197" i="1" s="1"/>
  <c r="E199" i="1"/>
  <c r="G199" i="1" s="1"/>
  <c r="E201" i="1"/>
  <c r="G201" i="1" s="1"/>
  <c r="E203" i="1"/>
  <c r="G203" i="1" s="1"/>
  <c r="E205" i="1"/>
  <c r="G205" i="1" s="1"/>
  <c r="E207" i="1"/>
  <c r="G207" i="1" s="1"/>
  <c r="E209" i="1"/>
  <c r="G209" i="1" s="1"/>
  <c r="E211" i="1"/>
  <c r="G211" i="1" s="1"/>
  <c r="E183" i="1"/>
  <c r="E148" i="1"/>
  <c r="G148" i="1" s="1"/>
  <c r="E150" i="1"/>
  <c r="G150" i="1" s="1"/>
  <c r="E152" i="1"/>
  <c r="G152" i="1" s="1"/>
  <c r="E154" i="1"/>
  <c r="G154" i="1" s="1"/>
  <c r="E156" i="1"/>
  <c r="G156" i="1" s="1"/>
  <c r="E158" i="1"/>
  <c r="G158" i="1" s="1"/>
  <c r="E160" i="1"/>
  <c r="G160" i="1" s="1"/>
  <c r="E162" i="1"/>
  <c r="G162" i="1" s="1"/>
  <c r="E164" i="1"/>
  <c r="G164" i="1" s="1"/>
  <c r="G166" i="1"/>
  <c r="E168" i="1"/>
  <c r="G168" i="1" s="1"/>
  <c r="E170" i="1"/>
  <c r="G170" i="1" s="1"/>
  <c r="E172" i="1"/>
  <c r="G172" i="1" s="1"/>
  <c r="E176" i="1"/>
  <c r="G176" i="1" s="1"/>
  <c r="E114" i="1"/>
  <c r="G114" i="1" s="1"/>
  <c r="E116" i="1"/>
  <c r="G116" i="1" s="1"/>
  <c r="E118" i="1"/>
  <c r="G118" i="1" s="1"/>
  <c r="E120" i="1"/>
  <c r="G120" i="1" s="1"/>
  <c r="E122" i="1"/>
  <c r="G122" i="1" s="1"/>
  <c r="E124" i="1"/>
  <c r="G124" i="1" s="1"/>
  <c r="E126" i="1"/>
  <c r="G126" i="1" s="1"/>
  <c r="E128" i="1"/>
  <c r="G128" i="1" s="1"/>
  <c r="E130" i="1"/>
  <c r="G130" i="1" s="1"/>
  <c r="E132" i="1"/>
  <c r="G132" i="1" s="1"/>
  <c r="E134" i="1"/>
  <c r="G134" i="1" s="1"/>
  <c r="E136" i="1"/>
  <c r="G136" i="1" s="1"/>
  <c r="E138" i="1"/>
  <c r="G138" i="1" s="1"/>
  <c r="E140" i="1"/>
  <c r="G140" i="1" s="1"/>
  <c r="E112" i="1"/>
  <c r="E77" i="1"/>
  <c r="G77" i="1" s="1"/>
  <c r="E79" i="1"/>
  <c r="G79" i="1" s="1"/>
  <c r="E81" i="1"/>
  <c r="G81" i="1" s="1"/>
  <c r="E83" i="1"/>
  <c r="G83" i="1" s="1"/>
  <c r="E85" i="1"/>
  <c r="G85" i="1" s="1"/>
  <c r="E87" i="1"/>
  <c r="G87" i="1" s="1"/>
  <c r="E89" i="1"/>
  <c r="G89" i="1" s="1"/>
  <c r="E91" i="1"/>
  <c r="G91" i="1" s="1"/>
  <c r="E93" i="1"/>
  <c r="G93" i="1" s="1"/>
  <c r="E95" i="1"/>
  <c r="G95" i="1" s="1"/>
  <c r="E97" i="1"/>
  <c r="G97" i="1" s="1"/>
  <c r="E99" i="1"/>
  <c r="G99" i="1" s="1"/>
  <c r="E101" i="1"/>
  <c r="G101" i="1" s="1"/>
  <c r="E103" i="1"/>
  <c r="G103" i="1" s="1"/>
  <c r="E105" i="1"/>
  <c r="G105" i="1" s="1"/>
  <c r="E76" i="1"/>
  <c r="E398" i="1"/>
  <c r="G398" i="1" s="1"/>
  <c r="E400" i="1"/>
  <c r="G400" i="1" s="1"/>
  <c r="E402" i="1"/>
  <c r="G402" i="1" s="1"/>
  <c r="E404" i="1"/>
  <c r="G404" i="1" s="1"/>
  <c r="E406" i="1"/>
  <c r="G406" i="1" s="1"/>
  <c r="E408" i="1"/>
  <c r="G408" i="1" s="1"/>
  <c r="E410" i="1"/>
  <c r="G410" i="1" s="1"/>
  <c r="E412" i="1"/>
  <c r="G412" i="1" s="1"/>
  <c r="E414" i="1"/>
  <c r="G414" i="1" s="1"/>
  <c r="E416" i="1"/>
  <c r="G416" i="1" s="1"/>
  <c r="E418" i="1"/>
  <c r="G418" i="1" s="1"/>
  <c r="E420" i="1"/>
  <c r="G420" i="1" s="1"/>
  <c r="E422" i="1"/>
  <c r="G422" i="1" s="1"/>
  <c r="E424" i="1"/>
  <c r="G424" i="1" s="1"/>
  <c r="E426" i="1"/>
  <c r="G426" i="1" s="1"/>
  <c r="E362" i="1"/>
  <c r="G362" i="1" s="1"/>
  <c r="E364" i="1"/>
  <c r="G364" i="1" s="1"/>
  <c r="E366" i="1"/>
  <c r="G366" i="1" s="1"/>
  <c r="E368" i="1"/>
  <c r="G368" i="1" s="1"/>
  <c r="E370" i="1"/>
  <c r="G370" i="1" s="1"/>
  <c r="E372" i="1"/>
  <c r="G372" i="1" s="1"/>
  <c r="E374" i="1"/>
  <c r="G374" i="1" s="1"/>
  <c r="E376" i="1"/>
  <c r="G376" i="1" s="1"/>
  <c r="E378" i="1"/>
  <c r="G378" i="1" s="1"/>
  <c r="E380" i="1"/>
  <c r="G380" i="1" s="1"/>
  <c r="E382" i="1"/>
  <c r="G382" i="1" s="1"/>
  <c r="E384" i="1"/>
  <c r="G384" i="1" s="1"/>
  <c r="E386" i="1"/>
  <c r="G386" i="1" s="1"/>
  <c r="E388" i="1"/>
  <c r="G388" i="1" s="1"/>
  <c r="E390" i="1"/>
  <c r="G390" i="1" s="1"/>
  <c r="E327" i="1"/>
  <c r="G327" i="1" s="1"/>
  <c r="E329" i="1"/>
  <c r="G329" i="1" s="1"/>
  <c r="E331" i="1"/>
  <c r="G331" i="1" s="1"/>
  <c r="E333" i="1"/>
  <c r="G333" i="1" s="1"/>
  <c r="E335" i="1"/>
  <c r="G335" i="1" s="1"/>
  <c r="E337" i="1"/>
  <c r="G337" i="1" s="1"/>
  <c r="E339" i="1"/>
  <c r="G339" i="1" s="1"/>
  <c r="E341" i="1"/>
  <c r="G341" i="1" s="1"/>
  <c r="E343" i="1"/>
  <c r="G343" i="1" s="1"/>
  <c r="E345" i="1"/>
  <c r="G345" i="1" s="1"/>
  <c r="E347" i="1"/>
  <c r="G347" i="1" s="1"/>
  <c r="E349" i="1"/>
  <c r="G349" i="1" s="1"/>
  <c r="E351" i="1"/>
  <c r="G351" i="1" s="1"/>
  <c r="E353" i="1"/>
  <c r="G353" i="1" s="1"/>
  <c r="E355" i="1"/>
  <c r="G355" i="1" s="1"/>
  <c r="E291" i="1"/>
  <c r="G291" i="1" s="1"/>
  <c r="E293" i="1"/>
  <c r="G293" i="1" s="1"/>
  <c r="E295" i="1"/>
  <c r="G295" i="1" s="1"/>
  <c r="E297" i="1"/>
  <c r="G297" i="1" s="1"/>
  <c r="E299" i="1"/>
  <c r="G299" i="1" s="1"/>
  <c r="E301" i="1"/>
  <c r="G301" i="1" s="1"/>
  <c r="E303" i="1"/>
  <c r="G303" i="1" s="1"/>
  <c r="E305" i="1"/>
  <c r="G305" i="1" s="1"/>
  <c r="E307" i="1"/>
  <c r="G307" i="1" s="1"/>
  <c r="E309" i="1"/>
  <c r="G309" i="1" s="1"/>
  <c r="E311" i="1"/>
  <c r="G311" i="1" s="1"/>
  <c r="E313" i="1"/>
  <c r="G313" i="1" s="1"/>
  <c r="E315" i="1"/>
  <c r="G315" i="1" s="1"/>
  <c r="E317" i="1"/>
  <c r="G317" i="1" s="1"/>
  <c r="E319" i="1"/>
  <c r="G319" i="1" s="1"/>
  <c r="G256" i="1"/>
  <c r="E258" i="1"/>
  <c r="G258" i="1" s="1"/>
  <c r="E260" i="1"/>
  <c r="G260" i="1" s="1"/>
  <c r="E262" i="1"/>
  <c r="G262" i="1" s="1"/>
  <c r="E264" i="1"/>
  <c r="G264" i="1" s="1"/>
  <c r="E266" i="1"/>
  <c r="G266" i="1" s="1"/>
  <c r="E268" i="1"/>
  <c r="G268" i="1" s="1"/>
  <c r="E270" i="1"/>
  <c r="G270" i="1" s="1"/>
  <c r="E272" i="1"/>
  <c r="G272" i="1" s="1"/>
  <c r="E274" i="1"/>
  <c r="G274" i="1" s="1"/>
  <c r="E276" i="1"/>
  <c r="G276" i="1" s="1"/>
  <c r="E278" i="1"/>
  <c r="G278" i="1" s="1"/>
  <c r="E280" i="1"/>
  <c r="G280" i="1" s="1"/>
  <c r="E282" i="1"/>
  <c r="G282" i="1" s="1"/>
  <c r="E284" i="1"/>
  <c r="G284" i="1" s="1"/>
  <c r="E220" i="1"/>
  <c r="G220" i="1" s="1"/>
  <c r="E222" i="1"/>
  <c r="G222" i="1" s="1"/>
  <c r="E224" i="1"/>
  <c r="G224" i="1" s="1"/>
  <c r="E226" i="1"/>
  <c r="G226" i="1" s="1"/>
  <c r="E228" i="1"/>
  <c r="G228" i="1" s="1"/>
  <c r="E230" i="1"/>
  <c r="G230" i="1" s="1"/>
  <c r="E232" i="1"/>
  <c r="G232" i="1" s="1"/>
  <c r="E234" i="1"/>
  <c r="G234" i="1" s="1"/>
  <c r="E236" i="1"/>
  <c r="G236" i="1" s="1"/>
  <c r="E238" i="1"/>
  <c r="G238" i="1" s="1"/>
  <c r="E240" i="1"/>
  <c r="G240" i="1" s="1"/>
  <c r="E242" i="1"/>
  <c r="G242" i="1" s="1"/>
  <c r="E244" i="1"/>
  <c r="G244" i="1" s="1"/>
  <c r="E246" i="1"/>
  <c r="G246" i="1" s="1"/>
  <c r="E248" i="1"/>
  <c r="G248" i="1" s="1"/>
  <c r="E184" i="1"/>
  <c r="G184" i="1" s="1"/>
  <c r="E186" i="1"/>
  <c r="G186" i="1" s="1"/>
  <c r="E188" i="1"/>
  <c r="G188" i="1" s="1"/>
  <c r="E190" i="1"/>
  <c r="G190" i="1" s="1"/>
  <c r="E192" i="1"/>
  <c r="G192" i="1" s="1"/>
  <c r="E194" i="1"/>
  <c r="G194" i="1" s="1"/>
  <c r="E196" i="1"/>
  <c r="G196" i="1" s="1"/>
  <c r="E198" i="1"/>
  <c r="G198" i="1" s="1"/>
  <c r="E200" i="1"/>
  <c r="G200" i="1" s="1"/>
  <c r="E202" i="1"/>
  <c r="G202" i="1" s="1"/>
  <c r="E204" i="1"/>
  <c r="G204" i="1" s="1"/>
  <c r="E206" i="1"/>
  <c r="G206" i="1" s="1"/>
  <c r="E208" i="1"/>
  <c r="G208" i="1" s="1"/>
  <c r="E210" i="1"/>
  <c r="G210" i="1" s="1"/>
  <c r="E212" i="1"/>
  <c r="G212" i="1" s="1"/>
  <c r="E149" i="1"/>
  <c r="G149" i="1" s="1"/>
  <c r="E151" i="1"/>
  <c r="G151" i="1" s="1"/>
  <c r="E153" i="1"/>
  <c r="G153" i="1" s="1"/>
  <c r="E155" i="1"/>
  <c r="G155" i="1" s="1"/>
  <c r="E157" i="1"/>
  <c r="G157" i="1" s="1"/>
  <c r="E159" i="1"/>
  <c r="G159" i="1" s="1"/>
  <c r="E161" i="1"/>
  <c r="G161" i="1" s="1"/>
  <c r="E163" i="1"/>
  <c r="G163" i="1" s="1"/>
  <c r="E165" i="1"/>
  <c r="G165" i="1" s="1"/>
  <c r="E167" i="1"/>
  <c r="G167" i="1" s="1"/>
  <c r="E169" i="1"/>
  <c r="G169" i="1" s="1"/>
  <c r="E171" i="1"/>
  <c r="G171" i="1" s="1"/>
  <c r="E173" i="1"/>
  <c r="G173" i="1" s="1"/>
  <c r="E177" i="1"/>
  <c r="G177" i="1" s="1"/>
  <c r="E113" i="1"/>
  <c r="G113" i="1" s="1"/>
  <c r="E115" i="1"/>
  <c r="G115" i="1" s="1"/>
  <c r="E117" i="1"/>
  <c r="G117" i="1" s="1"/>
  <c r="E119" i="1"/>
  <c r="G119" i="1" s="1"/>
  <c r="E121" i="1"/>
  <c r="G121" i="1" s="1"/>
  <c r="E123" i="1"/>
  <c r="G123" i="1" s="1"/>
  <c r="E125" i="1"/>
  <c r="G125" i="1" s="1"/>
  <c r="E127" i="1"/>
  <c r="G127" i="1" s="1"/>
  <c r="E129" i="1"/>
  <c r="G129" i="1" s="1"/>
  <c r="E131" i="1"/>
  <c r="G131" i="1" s="1"/>
  <c r="E133" i="1"/>
  <c r="G133" i="1" s="1"/>
  <c r="E135" i="1"/>
  <c r="G135" i="1" s="1"/>
  <c r="E137" i="1"/>
  <c r="G137" i="1" s="1"/>
  <c r="E139" i="1"/>
  <c r="G139" i="1" s="1"/>
  <c r="E141" i="1"/>
  <c r="G141" i="1" s="1"/>
  <c r="E78" i="1"/>
  <c r="G78" i="1" s="1"/>
  <c r="E80" i="1"/>
  <c r="G80" i="1" s="1"/>
  <c r="E82" i="1"/>
  <c r="G82" i="1" s="1"/>
  <c r="E84" i="1"/>
  <c r="G84" i="1" s="1"/>
  <c r="E86" i="1"/>
  <c r="G86" i="1" s="1"/>
  <c r="E88" i="1"/>
  <c r="G88" i="1" s="1"/>
  <c r="E90" i="1"/>
  <c r="G90" i="1" s="1"/>
  <c r="E92" i="1"/>
  <c r="G92" i="1" s="1"/>
  <c r="E94" i="1"/>
  <c r="G94" i="1" s="1"/>
  <c r="E96" i="1"/>
  <c r="G96" i="1" s="1"/>
  <c r="E98" i="1"/>
  <c r="G98" i="1" s="1"/>
  <c r="E100" i="1"/>
  <c r="G100" i="1" s="1"/>
  <c r="E102" i="1"/>
  <c r="G102" i="1" s="1"/>
  <c r="E104" i="1"/>
  <c r="G104" i="1" s="1"/>
  <c r="E106" i="1"/>
  <c r="G106" i="1" s="1"/>
  <c r="E43" i="1"/>
  <c r="G43" i="1" s="1"/>
  <c r="E45" i="1"/>
  <c r="G45" i="1" s="1"/>
  <c r="E47" i="1"/>
  <c r="G47" i="1" s="1"/>
  <c r="E49" i="1"/>
  <c r="G49" i="1" s="1"/>
  <c r="E51" i="1"/>
  <c r="G51" i="1" s="1"/>
  <c r="E53" i="1"/>
  <c r="G53" i="1" s="1"/>
  <c r="E55" i="1"/>
  <c r="G55" i="1" s="1"/>
  <c r="E48" i="1"/>
  <c r="G48" i="1" s="1"/>
  <c r="E52" i="1"/>
  <c r="G52" i="1" s="1"/>
  <c r="E56" i="1"/>
  <c r="G56" i="1" s="1"/>
  <c r="E58" i="1"/>
  <c r="G58" i="1" s="1"/>
  <c r="E60" i="1"/>
  <c r="G60" i="1" s="1"/>
  <c r="E62" i="1"/>
  <c r="G62" i="1" s="1"/>
  <c r="E64" i="1"/>
  <c r="G64" i="1" s="1"/>
  <c r="E66" i="1"/>
  <c r="G66" i="1" s="1"/>
  <c r="E68" i="1"/>
  <c r="G68" i="1" s="1"/>
  <c r="E70" i="1"/>
  <c r="G70" i="1" s="1"/>
  <c r="E42" i="1"/>
  <c r="E46" i="1"/>
  <c r="G46" i="1" s="1"/>
  <c r="E50" i="1"/>
  <c r="G50" i="1" s="1"/>
  <c r="E54" i="1"/>
  <c r="G54" i="1" s="1"/>
  <c r="E57" i="1"/>
  <c r="G57" i="1" s="1"/>
  <c r="E59" i="1"/>
  <c r="G59" i="1" s="1"/>
  <c r="E61" i="1"/>
  <c r="G61" i="1" s="1"/>
  <c r="E63" i="1"/>
  <c r="G63" i="1" s="1"/>
  <c r="E65" i="1"/>
  <c r="G65" i="1" s="1"/>
  <c r="E67" i="1"/>
  <c r="G67" i="1" s="1"/>
  <c r="E69" i="1"/>
  <c r="G69" i="1" s="1"/>
  <c r="AO397" i="1"/>
  <c r="AQ397" i="1" s="1"/>
  <c r="AO399" i="1"/>
  <c r="AQ399" i="1" s="1"/>
  <c r="AO401" i="1"/>
  <c r="AQ401" i="1" s="1"/>
  <c r="AO403" i="1"/>
  <c r="AQ403" i="1" s="1"/>
  <c r="AO405" i="1"/>
  <c r="AQ405" i="1" s="1"/>
  <c r="AO407" i="1"/>
  <c r="AQ407" i="1" s="1"/>
  <c r="AO409" i="1"/>
  <c r="AQ409" i="1" s="1"/>
  <c r="AO411" i="1"/>
  <c r="AQ411" i="1" s="1"/>
  <c r="AO413" i="1"/>
  <c r="AQ413" i="1" s="1"/>
  <c r="AO415" i="1"/>
  <c r="AQ415" i="1" s="1"/>
  <c r="AO417" i="1"/>
  <c r="AQ417" i="1" s="1"/>
  <c r="AO419" i="1"/>
  <c r="AQ419" i="1" s="1"/>
  <c r="AO421" i="1"/>
  <c r="AQ421" i="1" s="1"/>
  <c r="AO423" i="1"/>
  <c r="AQ423" i="1" s="1"/>
  <c r="AO425" i="1"/>
  <c r="AQ425" i="1" s="1"/>
  <c r="AO396" i="1"/>
  <c r="AO363" i="1"/>
  <c r="AQ363" i="1" s="1"/>
  <c r="AO365" i="1"/>
  <c r="AQ365" i="1" s="1"/>
  <c r="AO367" i="1"/>
  <c r="AQ367" i="1" s="1"/>
  <c r="AO369" i="1"/>
  <c r="AQ369" i="1" s="1"/>
  <c r="AO371" i="1"/>
  <c r="AQ371" i="1" s="1"/>
  <c r="AO373" i="1"/>
  <c r="AQ373" i="1" s="1"/>
  <c r="AO375" i="1"/>
  <c r="AQ375" i="1" s="1"/>
  <c r="AO377" i="1"/>
  <c r="AQ377" i="1" s="1"/>
  <c r="AO379" i="1"/>
  <c r="AQ379" i="1" s="1"/>
  <c r="AO381" i="1"/>
  <c r="AQ381" i="1" s="1"/>
  <c r="AO383" i="1"/>
  <c r="AQ383" i="1" s="1"/>
  <c r="AO385" i="1"/>
  <c r="AQ385" i="1" s="1"/>
  <c r="AO387" i="1"/>
  <c r="AQ387" i="1" s="1"/>
  <c r="AO389" i="1"/>
  <c r="AQ389" i="1" s="1"/>
  <c r="AO361" i="1"/>
  <c r="AO326" i="1"/>
  <c r="AQ326" i="1" s="1"/>
  <c r="AO328" i="1"/>
  <c r="AQ328" i="1" s="1"/>
  <c r="AO330" i="1"/>
  <c r="AQ330" i="1" s="1"/>
  <c r="AO332" i="1"/>
  <c r="AQ332" i="1" s="1"/>
  <c r="AO334" i="1"/>
  <c r="AQ334" i="1" s="1"/>
  <c r="AO336" i="1"/>
  <c r="AQ336" i="1" s="1"/>
  <c r="AO338" i="1"/>
  <c r="AQ338" i="1" s="1"/>
  <c r="AO340" i="1"/>
  <c r="AQ340" i="1" s="1"/>
  <c r="AO342" i="1"/>
  <c r="AQ342" i="1" s="1"/>
  <c r="AO344" i="1"/>
  <c r="AQ344" i="1" s="1"/>
  <c r="AO346" i="1"/>
  <c r="AQ346" i="1" s="1"/>
  <c r="AO348" i="1"/>
  <c r="AQ348" i="1" s="1"/>
  <c r="AO350" i="1"/>
  <c r="AQ350" i="1" s="1"/>
  <c r="AO352" i="1"/>
  <c r="AQ352" i="1" s="1"/>
  <c r="AO354" i="1"/>
  <c r="AQ354" i="1" s="1"/>
  <c r="AO325" i="1"/>
  <c r="AO292" i="1"/>
  <c r="AQ292" i="1" s="1"/>
  <c r="AO294" i="1"/>
  <c r="AQ294" i="1" s="1"/>
  <c r="AO296" i="1"/>
  <c r="AQ296" i="1" s="1"/>
  <c r="AO298" i="1"/>
  <c r="AQ298" i="1" s="1"/>
  <c r="AO300" i="1"/>
  <c r="AQ300" i="1" s="1"/>
  <c r="AO302" i="1"/>
  <c r="AQ302" i="1" s="1"/>
  <c r="AO304" i="1"/>
  <c r="AQ304" i="1" s="1"/>
  <c r="AO306" i="1"/>
  <c r="AQ306" i="1" s="1"/>
  <c r="AO308" i="1"/>
  <c r="AQ308" i="1" s="1"/>
  <c r="AO310" i="1"/>
  <c r="AQ310" i="1" s="1"/>
  <c r="AO312" i="1"/>
  <c r="AQ312" i="1" s="1"/>
  <c r="AO314" i="1"/>
  <c r="AQ314" i="1" s="1"/>
  <c r="AO316" i="1"/>
  <c r="AQ316" i="1" s="1"/>
  <c r="AO318" i="1"/>
  <c r="AQ318" i="1" s="1"/>
  <c r="AO290" i="1"/>
  <c r="AO255" i="1"/>
  <c r="AQ255" i="1" s="1"/>
  <c r="AO257" i="1"/>
  <c r="AQ257" i="1" s="1"/>
  <c r="AO259" i="1"/>
  <c r="AQ259" i="1" s="1"/>
  <c r="AO261" i="1"/>
  <c r="AQ261" i="1" s="1"/>
  <c r="AO263" i="1"/>
  <c r="AQ263" i="1" s="1"/>
  <c r="AO265" i="1"/>
  <c r="AQ265" i="1" s="1"/>
  <c r="AO267" i="1"/>
  <c r="AQ267" i="1" s="1"/>
  <c r="AO269" i="1"/>
  <c r="AQ269" i="1" s="1"/>
  <c r="AO271" i="1"/>
  <c r="AQ271" i="1" s="1"/>
  <c r="AO273" i="1"/>
  <c r="AQ273" i="1" s="1"/>
  <c r="AO275" i="1"/>
  <c r="AQ275" i="1" s="1"/>
  <c r="AO277" i="1"/>
  <c r="AQ277" i="1" s="1"/>
  <c r="AO279" i="1"/>
  <c r="AQ279" i="1" s="1"/>
  <c r="AO281" i="1"/>
  <c r="AQ281" i="1" s="1"/>
  <c r="AO283" i="1"/>
  <c r="AQ283" i="1" s="1"/>
  <c r="AO254" i="1"/>
  <c r="AO219" i="1"/>
  <c r="AQ219" i="1" s="1"/>
  <c r="AO221" i="1"/>
  <c r="AQ221" i="1" s="1"/>
  <c r="AO223" i="1"/>
  <c r="AQ223" i="1" s="1"/>
  <c r="AO225" i="1"/>
  <c r="AQ225" i="1" s="1"/>
  <c r="AO227" i="1"/>
  <c r="AQ227" i="1" s="1"/>
  <c r="AO229" i="1"/>
  <c r="AQ229" i="1" s="1"/>
  <c r="AO231" i="1"/>
  <c r="AQ231" i="1" s="1"/>
  <c r="AO233" i="1"/>
  <c r="AQ233" i="1" s="1"/>
  <c r="AO235" i="1"/>
  <c r="AQ235" i="1" s="1"/>
  <c r="AO237" i="1"/>
  <c r="AQ237" i="1" s="1"/>
  <c r="AO239" i="1"/>
  <c r="AQ239" i="1" s="1"/>
  <c r="AO241" i="1"/>
  <c r="AQ241" i="1" s="1"/>
  <c r="AO243" i="1"/>
  <c r="AQ243" i="1" s="1"/>
  <c r="AO245" i="1"/>
  <c r="AQ245" i="1" s="1"/>
  <c r="AO247" i="1"/>
  <c r="AQ247" i="1" s="1"/>
  <c r="AO218" i="1"/>
  <c r="AO185" i="1"/>
  <c r="AQ185" i="1" s="1"/>
  <c r="AO187" i="1"/>
  <c r="AQ187" i="1" s="1"/>
  <c r="AO189" i="1"/>
  <c r="AQ189" i="1" s="1"/>
  <c r="AO191" i="1"/>
  <c r="AQ191" i="1" s="1"/>
  <c r="AO193" i="1"/>
  <c r="AQ193" i="1" s="1"/>
  <c r="AO195" i="1"/>
  <c r="AQ195" i="1" s="1"/>
  <c r="AO197" i="1"/>
  <c r="AQ197" i="1" s="1"/>
  <c r="AO199" i="1"/>
  <c r="AQ199" i="1" s="1"/>
  <c r="AO201" i="1"/>
  <c r="AQ201" i="1" s="1"/>
  <c r="AO203" i="1"/>
  <c r="AQ203" i="1" s="1"/>
  <c r="AO205" i="1"/>
  <c r="AQ205" i="1" s="1"/>
  <c r="AO207" i="1"/>
  <c r="AQ207" i="1" s="1"/>
  <c r="AO209" i="1"/>
  <c r="AQ209" i="1" s="1"/>
  <c r="AO211" i="1"/>
  <c r="AQ211" i="1" s="1"/>
  <c r="AO183" i="1"/>
  <c r="AO148" i="1"/>
  <c r="AQ148" i="1" s="1"/>
  <c r="AO150" i="1"/>
  <c r="AQ150" i="1" s="1"/>
  <c r="AO152" i="1"/>
  <c r="AQ152" i="1" s="1"/>
  <c r="AO154" i="1"/>
  <c r="AQ154" i="1" s="1"/>
  <c r="AO156" i="1"/>
  <c r="AQ156" i="1" s="1"/>
  <c r="AO158" i="1"/>
  <c r="AQ158" i="1" s="1"/>
  <c r="AO160" i="1"/>
  <c r="AQ160" i="1" s="1"/>
  <c r="AO162" i="1"/>
  <c r="AQ162" i="1" s="1"/>
  <c r="AO164" i="1"/>
  <c r="AQ164" i="1" s="1"/>
  <c r="AO166" i="1"/>
  <c r="AQ166" i="1" s="1"/>
  <c r="AO168" i="1"/>
  <c r="AQ168" i="1" s="1"/>
  <c r="AO170" i="1"/>
  <c r="AQ170" i="1" s="1"/>
  <c r="AO172" i="1"/>
  <c r="AQ172" i="1" s="1"/>
  <c r="AO174" i="1"/>
  <c r="AQ174" i="1" s="1"/>
  <c r="AO176" i="1"/>
  <c r="AQ176" i="1" s="1"/>
  <c r="AO114" i="1"/>
  <c r="AQ114" i="1" s="1"/>
  <c r="AO116" i="1"/>
  <c r="AQ116" i="1" s="1"/>
  <c r="AO118" i="1"/>
  <c r="AQ118" i="1" s="1"/>
  <c r="AO120" i="1"/>
  <c r="AQ120" i="1" s="1"/>
  <c r="AO122" i="1"/>
  <c r="AQ122" i="1" s="1"/>
  <c r="AO124" i="1"/>
  <c r="AQ124" i="1" s="1"/>
  <c r="AO126" i="1"/>
  <c r="AQ126" i="1" s="1"/>
  <c r="AO128" i="1"/>
  <c r="AQ128" i="1" s="1"/>
  <c r="AO130" i="1"/>
  <c r="AQ130" i="1" s="1"/>
  <c r="AO132" i="1"/>
  <c r="AQ132" i="1" s="1"/>
  <c r="AO134" i="1"/>
  <c r="AQ134" i="1" s="1"/>
  <c r="AO136" i="1"/>
  <c r="AQ136" i="1" s="1"/>
  <c r="AO138" i="1"/>
  <c r="AQ138" i="1" s="1"/>
  <c r="AO140" i="1"/>
  <c r="AQ140" i="1" s="1"/>
  <c r="AO112" i="1"/>
  <c r="AO77" i="1"/>
  <c r="AQ77" i="1" s="1"/>
  <c r="AO79" i="1"/>
  <c r="AQ79" i="1" s="1"/>
  <c r="AO81" i="1"/>
  <c r="AQ81" i="1" s="1"/>
  <c r="AO83" i="1"/>
  <c r="AQ83" i="1" s="1"/>
  <c r="AO85" i="1"/>
  <c r="AQ85" i="1" s="1"/>
  <c r="AO87" i="1"/>
  <c r="AQ87" i="1" s="1"/>
  <c r="AO89" i="1"/>
  <c r="AQ89" i="1" s="1"/>
  <c r="AO91" i="1"/>
  <c r="AQ91" i="1" s="1"/>
  <c r="AO93" i="1"/>
  <c r="AQ93" i="1" s="1"/>
  <c r="AO95" i="1"/>
  <c r="AQ95" i="1" s="1"/>
  <c r="AO97" i="1"/>
  <c r="AQ97" i="1" s="1"/>
  <c r="AO99" i="1"/>
  <c r="AQ99" i="1" s="1"/>
  <c r="AO101" i="1"/>
  <c r="AQ101" i="1" s="1"/>
  <c r="AO103" i="1"/>
  <c r="AQ103" i="1" s="1"/>
  <c r="AO105" i="1"/>
  <c r="AQ105" i="1" s="1"/>
  <c r="AO76" i="1"/>
  <c r="AO43" i="1"/>
  <c r="AQ43" i="1" s="1"/>
  <c r="AO45" i="1"/>
  <c r="AQ45" i="1" s="1"/>
  <c r="AO47" i="1"/>
  <c r="AQ47" i="1" s="1"/>
  <c r="AO49" i="1"/>
  <c r="AQ49" i="1" s="1"/>
  <c r="AO51" i="1"/>
  <c r="AQ51" i="1" s="1"/>
  <c r="AO53" i="1"/>
  <c r="AQ53" i="1" s="1"/>
  <c r="AO55" i="1"/>
  <c r="AQ55" i="1" s="1"/>
  <c r="AO57" i="1"/>
  <c r="AQ57" i="1" s="1"/>
  <c r="AO59" i="1"/>
  <c r="AQ59" i="1" s="1"/>
  <c r="AO61" i="1"/>
  <c r="AQ61" i="1" s="1"/>
  <c r="AO63" i="1"/>
  <c r="AQ63" i="1" s="1"/>
  <c r="AO65" i="1"/>
  <c r="AQ65" i="1" s="1"/>
  <c r="AO67" i="1"/>
  <c r="AQ67" i="1" s="1"/>
  <c r="AO69" i="1"/>
  <c r="AQ69" i="1" s="1"/>
  <c r="AO42" i="1"/>
  <c r="AO398" i="1"/>
  <c r="AQ398" i="1" s="1"/>
  <c r="AO400" i="1"/>
  <c r="AQ400" i="1" s="1"/>
  <c r="AO402" i="1"/>
  <c r="AQ402" i="1" s="1"/>
  <c r="AO404" i="1"/>
  <c r="AQ404" i="1" s="1"/>
  <c r="AO406" i="1"/>
  <c r="AQ406" i="1" s="1"/>
  <c r="AO408" i="1"/>
  <c r="AQ408" i="1" s="1"/>
  <c r="AO410" i="1"/>
  <c r="AQ410" i="1" s="1"/>
  <c r="AO412" i="1"/>
  <c r="AQ412" i="1" s="1"/>
  <c r="AO414" i="1"/>
  <c r="AQ414" i="1" s="1"/>
  <c r="AO416" i="1"/>
  <c r="AQ416" i="1" s="1"/>
  <c r="AO418" i="1"/>
  <c r="AQ418" i="1" s="1"/>
  <c r="AO420" i="1"/>
  <c r="AQ420" i="1" s="1"/>
  <c r="AO422" i="1"/>
  <c r="AQ422" i="1" s="1"/>
  <c r="AO424" i="1"/>
  <c r="AQ424" i="1" s="1"/>
  <c r="AO426" i="1"/>
  <c r="AQ426" i="1" s="1"/>
  <c r="AO362" i="1"/>
  <c r="AQ362" i="1" s="1"/>
  <c r="AO364" i="1"/>
  <c r="AQ364" i="1" s="1"/>
  <c r="AO366" i="1"/>
  <c r="AQ366" i="1" s="1"/>
  <c r="AO368" i="1"/>
  <c r="AQ368" i="1" s="1"/>
  <c r="AO370" i="1"/>
  <c r="AQ370" i="1" s="1"/>
  <c r="AO372" i="1"/>
  <c r="AQ372" i="1" s="1"/>
  <c r="AO374" i="1"/>
  <c r="AQ374" i="1" s="1"/>
  <c r="AO376" i="1"/>
  <c r="AQ376" i="1" s="1"/>
  <c r="AO378" i="1"/>
  <c r="AQ378" i="1" s="1"/>
  <c r="AO380" i="1"/>
  <c r="AQ380" i="1" s="1"/>
  <c r="AO382" i="1"/>
  <c r="AQ382" i="1" s="1"/>
  <c r="AO384" i="1"/>
  <c r="AQ384" i="1" s="1"/>
  <c r="AO386" i="1"/>
  <c r="AQ386" i="1" s="1"/>
  <c r="AO388" i="1"/>
  <c r="AQ388" i="1" s="1"/>
  <c r="AO390" i="1"/>
  <c r="AQ390" i="1" s="1"/>
  <c r="AO327" i="1"/>
  <c r="AQ327" i="1" s="1"/>
  <c r="AO329" i="1"/>
  <c r="AQ329" i="1" s="1"/>
  <c r="AO331" i="1"/>
  <c r="AQ331" i="1" s="1"/>
  <c r="AO333" i="1"/>
  <c r="AQ333" i="1" s="1"/>
  <c r="AO335" i="1"/>
  <c r="AQ335" i="1" s="1"/>
  <c r="AO337" i="1"/>
  <c r="AQ337" i="1" s="1"/>
  <c r="AO339" i="1"/>
  <c r="AQ339" i="1" s="1"/>
  <c r="AO341" i="1"/>
  <c r="AQ341" i="1" s="1"/>
  <c r="AO343" i="1"/>
  <c r="AQ343" i="1" s="1"/>
  <c r="AO345" i="1"/>
  <c r="AQ345" i="1" s="1"/>
  <c r="AO347" i="1"/>
  <c r="AQ347" i="1" s="1"/>
  <c r="AO349" i="1"/>
  <c r="AQ349" i="1" s="1"/>
  <c r="AO351" i="1"/>
  <c r="AQ351" i="1" s="1"/>
  <c r="AO353" i="1"/>
  <c r="AQ353" i="1" s="1"/>
  <c r="AO355" i="1"/>
  <c r="AQ355" i="1" s="1"/>
  <c r="AO291" i="1"/>
  <c r="AQ291" i="1" s="1"/>
  <c r="AO293" i="1"/>
  <c r="AQ293" i="1" s="1"/>
  <c r="AO295" i="1"/>
  <c r="AQ295" i="1" s="1"/>
  <c r="AO297" i="1"/>
  <c r="AQ297" i="1" s="1"/>
  <c r="AO299" i="1"/>
  <c r="AQ299" i="1" s="1"/>
  <c r="AO301" i="1"/>
  <c r="AQ301" i="1" s="1"/>
  <c r="AO303" i="1"/>
  <c r="AQ303" i="1" s="1"/>
  <c r="AO305" i="1"/>
  <c r="AQ305" i="1" s="1"/>
  <c r="AO307" i="1"/>
  <c r="AQ307" i="1" s="1"/>
  <c r="AO309" i="1"/>
  <c r="AQ309" i="1" s="1"/>
  <c r="AO311" i="1"/>
  <c r="AQ311" i="1" s="1"/>
  <c r="AO313" i="1"/>
  <c r="AQ313" i="1" s="1"/>
  <c r="AO315" i="1"/>
  <c r="AQ315" i="1" s="1"/>
  <c r="AO317" i="1"/>
  <c r="AQ317" i="1" s="1"/>
  <c r="AO319" i="1"/>
  <c r="AQ319" i="1" s="1"/>
  <c r="AO256" i="1"/>
  <c r="AQ256" i="1" s="1"/>
  <c r="AO258" i="1"/>
  <c r="AQ258" i="1" s="1"/>
  <c r="AO260" i="1"/>
  <c r="AQ260" i="1" s="1"/>
  <c r="AO262" i="1"/>
  <c r="AQ262" i="1" s="1"/>
  <c r="AO264" i="1"/>
  <c r="AQ264" i="1" s="1"/>
  <c r="AO266" i="1"/>
  <c r="AQ266" i="1" s="1"/>
  <c r="AO268" i="1"/>
  <c r="AQ268" i="1" s="1"/>
  <c r="AO270" i="1"/>
  <c r="AQ270" i="1" s="1"/>
  <c r="AO272" i="1"/>
  <c r="AQ272" i="1" s="1"/>
  <c r="AO274" i="1"/>
  <c r="AQ274" i="1" s="1"/>
  <c r="AO276" i="1"/>
  <c r="AQ276" i="1" s="1"/>
  <c r="AO278" i="1"/>
  <c r="AQ278" i="1" s="1"/>
  <c r="AO280" i="1"/>
  <c r="AQ280" i="1" s="1"/>
  <c r="AO282" i="1"/>
  <c r="AQ282" i="1" s="1"/>
  <c r="AO284" i="1"/>
  <c r="AQ284" i="1" s="1"/>
  <c r="AO220" i="1"/>
  <c r="AQ220" i="1" s="1"/>
  <c r="AO222" i="1"/>
  <c r="AQ222" i="1" s="1"/>
  <c r="AO224" i="1"/>
  <c r="AQ224" i="1" s="1"/>
  <c r="AO226" i="1"/>
  <c r="AQ226" i="1" s="1"/>
  <c r="AO228" i="1"/>
  <c r="AQ228" i="1" s="1"/>
  <c r="AO230" i="1"/>
  <c r="AQ230" i="1" s="1"/>
  <c r="AO232" i="1"/>
  <c r="AQ232" i="1" s="1"/>
  <c r="AO234" i="1"/>
  <c r="AQ234" i="1" s="1"/>
  <c r="AO236" i="1"/>
  <c r="AQ236" i="1" s="1"/>
  <c r="AO238" i="1"/>
  <c r="AQ238" i="1" s="1"/>
  <c r="AO240" i="1"/>
  <c r="AQ240" i="1" s="1"/>
  <c r="AO242" i="1"/>
  <c r="AQ242" i="1" s="1"/>
  <c r="AO244" i="1"/>
  <c r="AQ244" i="1" s="1"/>
  <c r="AO246" i="1"/>
  <c r="AQ246" i="1" s="1"/>
  <c r="AO248" i="1"/>
  <c r="AQ248" i="1" s="1"/>
  <c r="AO184" i="1"/>
  <c r="AQ184" i="1" s="1"/>
  <c r="AO186" i="1"/>
  <c r="AQ186" i="1" s="1"/>
  <c r="AO188" i="1"/>
  <c r="AQ188" i="1" s="1"/>
  <c r="AO190" i="1"/>
  <c r="AQ190" i="1" s="1"/>
  <c r="AO192" i="1"/>
  <c r="AQ192" i="1" s="1"/>
  <c r="AO194" i="1"/>
  <c r="AQ194" i="1" s="1"/>
  <c r="AO196" i="1"/>
  <c r="AQ196" i="1" s="1"/>
  <c r="AO198" i="1"/>
  <c r="AQ198" i="1" s="1"/>
  <c r="AO200" i="1"/>
  <c r="AQ200" i="1" s="1"/>
  <c r="AO202" i="1"/>
  <c r="AQ202" i="1" s="1"/>
  <c r="AO204" i="1"/>
  <c r="AQ204" i="1" s="1"/>
  <c r="AO206" i="1"/>
  <c r="AQ206" i="1" s="1"/>
  <c r="AO208" i="1"/>
  <c r="AQ208" i="1" s="1"/>
  <c r="AO210" i="1"/>
  <c r="AQ210" i="1" s="1"/>
  <c r="AO212" i="1"/>
  <c r="AQ212" i="1" s="1"/>
  <c r="AO149" i="1"/>
  <c r="AQ149" i="1" s="1"/>
  <c r="AO151" i="1"/>
  <c r="AQ151" i="1" s="1"/>
  <c r="AO153" i="1"/>
  <c r="AQ153" i="1" s="1"/>
  <c r="AO155" i="1"/>
  <c r="AQ155" i="1" s="1"/>
  <c r="AO157" i="1"/>
  <c r="AQ157" i="1" s="1"/>
  <c r="AO159" i="1"/>
  <c r="AQ159" i="1" s="1"/>
  <c r="AO161" i="1"/>
  <c r="AQ161" i="1" s="1"/>
  <c r="AO163" i="1"/>
  <c r="AQ163" i="1" s="1"/>
  <c r="AO165" i="1"/>
  <c r="AQ165" i="1" s="1"/>
  <c r="AO167" i="1"/>
  <c r="AQ167" i="1" s="1"/>
  <c r="AO169" i="1"/>
  <c r="AQ169" i="1" s="1"/>
  <c r="AO171" i="1"/>
  <c r="AQ171" i="1" s="1"/>
  <c r="AO173" i="1"/>
  <c r="AQ173" i="1" s="1"/>
  <c r="AO175" i="1"/>
  <c r="AQ175" i="1" s="1"/>
  <c r="AO177" i="1"/>
  <c r="AQ177" i="1" s="1"/>
  <c r="AO113" i="1"/>
  <c r="AQ113" i="1" s="1"/>
  <c r="AO115" i="1"/>
  <c r="AQ115" i="1" s="1"/>
  <c r="AO117" i="1"/>
  <c r="AQ117" i="1" s="1"/>
  <c r="AO119" i="1"/>
  <c r="AQ119" i="1" s="1"/>
  <c r="AO121" i="1"/>
  <c r="AQ121" i="1" s="1"/>
  <c r="AO123" i="1"/>
  <c r="AQ123" i="1" s="1"/>
  <c r="AO125" i="1"/>
  <c r="AQ125" i="1" s="1"/>
  <c r="AO127" i="1"/>
  <c r="AQ127" i="1" s="1"/>
  <c r="AO129" i="1"/>
  <c r="AQ129" i="1" s="1"/>
  <c r="AO131" i="1"/>
  <c r="AQ131" i="1" s="1"/>
  <c r="AO133" i="1"/>
  <c r="AQ133" i="1" s="1"/>
  <c r="AO135" i="1"/>
  <c r="AQ135" i="1" s="1"/>
  <c r="AO137" i="1"/>
  <c r="AQ137" i="1" s="1"/>
  <c r="AO139" i="1"/>
  <c r="AQ139" i="1" s="1"/>
  <c r="AO141" i="1"/>
  <c r="AQ141" i="1" s="1"/>
  <c r="AO78" i="1"/>
  <c r="AQ78" i="1" s="1"/>
  <c r="AO80" i="1"/>
  <c r="AQ80" i="1" s="1"/>
  <c r="AO82" i="1"/>
  <c r="AQ82" i="1" s="1"/>
  <c r="AO84" i="1"/>
  <c r="AQ84" i="1" s="1"/>
  <c r="AO86" i="1"/>
  <c r="AQ86" i="1" s="1"/>
  <c r="AO88" i="1"/>
  <c r="AQ88" i="1" s="1"/>
  <c r="AO90" i="1"/>
  <c r="AQ90" i="1" s="1"/>
  <c r="AO92" i="1"/>
  <c r="AQ92" i="1" s="1"/>
  <c r="AO94" i="1"/>
  <c r="AQ94" i="1" s="1"/>
  <c r="AO96" i="1"/>
  <c r="AQ96" i="1" s="1"/>
  <c r="AO98" i="1"/>
  <c r="AQ98" i="1" s="1"/>
  <c r="AO100" i="1"/>
  <c r="AQ100" i="1" s="1"/>
  <c r="AO102" i="1"/>
  <c r="AQ102" i="1" s="1"/>
  <c r="AO104" i="1"/>
  <c r="AQ104" i="1" s="1"/>
  <c r="AO106" i="1"/>
  <c r="AQ106" i="1" s="1"/>
  <c r="AO44" i="1"/>
  <c r="AQ44" i="1" s="1"/>
  <c r="AO46" i="1"/>
  <c r="AQ46" i="1" s="1"/>
  <c r="AO48" i="1"/>
  <c r="AQ48" i="1" s="1"/>
  <c r="AO50" i="1"/>
  <c r="AQ50" i="1" s="1"/>
  <c r="AO52" i="1"/>
  <c r="AQ52" i="1" s="1"/>
  <c r="AO54" i="1"/>
  <c r="AQ54" i="1" s="1"/>
  <c r="AO56" i="1"/>
  <c r="AQ56" i="1" s="1"/>
  <c r="AO58" i="1"/>
  <c r="AQ58" i="1" s="1"/>
  <c r="AO60" i="1"/>
  <c r="AQ60" i="1" s="1"/>
  <c r="AO62" i="1"/>
  <c r="AQ62" i="1" s="1"/>
  <c r="AO64" i="1"/>
  <c r="AQ64" i="1" s="1"/>
  <c r="AO66" i="1"/>
  <c r="AQ66" i="1" s="1"/>
  <c r="AO68" i="1"/>
  <c r="AQ68" i="1" s="1"/>
  <c r="AO70" i="1"/>
  <c r="AQ70" i="1" s="1"/>
  <c r="AO7" i="1"/>
  <c r="AQ7" i="1" s="1"/>
  <c r="AO9" i="1"/>
  <c r="AQ9" i="1" s="1"/>
  <c r="AO11" i="1"/>
  <c r="AQ11" i="1" s="1"/>
  <c r="AO13" i="1"/>
  <c r="AQ13" i="1" s="1"/>
  <c r="AO15" i="1"/>
  <c r="AQ15" i="1" s="1"/>
  <c r="AO17" i="1"/>
  <c r="AQ17" i="1" s="1"/>
  <c r="AO19" i="1"/>
  <c r="AQ19" i="1" s="1"/>
  <c r="AO21" i="1"/>
  <c r="AQ21" i="1" s="1"/>
  <c r="AO23" i="1"/>
  <c r="AQ23" i="1" s="1"/>
  <c r="AO25" i="1"/>
  <c r="AQ25" i="1" s="1"/>
  <c r="AO27" i="1"/>
  <c r="AQ27" i="1" s="1"/>
  <c r="AO29" i="1"/>
  <c r="AQ29" i="1" s="1"/>
  <c r="AO31" i="1"/>
  <c r="AQ31" i="1" s="1"/>
  <c r="AO33" i="1"/>
  <c r="AQ33" i="1" s="1"/>
  <c r="AO35" i="1"/>
  <c r="AQ35" i="1" s="1"/>
  <c r="AO8" i="1"/>
  <c r="AQ8" i="1" s="1"/>
  <c r="AO10" i="1"/>
  <c r="AQ10" i="1" s="1"/>
  <c r="AO12" i="1"/>
  <c r="AQ12" i="1" s="1"/>
  <c r="AO14" i="1"/>
  <c r="AQ14" i="1" s="1"/>
  <c r="AO16" i="1"/>
  <c r="AQ16" i="1" s="1"/>
  <c r="AO18" i="1"/>
  <c r="AQ18" i="1" s="1"/>
  <c r="AO20" i="1"/>
  <c r="AQ20" i="1" s="1"/>
  <c r="AO22" i="1"/>
  <c r="AQ22" i="1" s="1"/>
  <c r="AO24" i="1"/>
  <c r="AQ24" i="1" s="1"/>
  <c r="AO26" i="1"/>
  <c r="AQ26" i="1" s="1"/>
  <c r="AO28" i="1"/>
  <c r="AQ28" i="1" s="1"/>
  <c r="AO30" i="1"/>
  <c r="AQ30" i="1" s="1"/>
  <c r="AO32" i="1"/>
  <c r="AQ32" i="1" s="1"/>
  <c r="AO34" i="1"/>
  <c r="AQ34" i="1" s="1"/>
  <c r="AO36" i="1"/>
  <c r="AQ36" i="1" s="1"/>
  <c r="BY397" i="1"/>
  <c r="CA397" i="1" s="1"/>
  <c r="BY399" i="1"/>
  <c r="CA399" i="1" s="1"/>
  <c r="BY401" i="1"/>
  <c r="CA401" i="1" s="1"/>
  <c r="BY403" i="1"/>
  <c r="CA403" i="1" s="1"/>
  <c r="BY405" i="1"/>
  <c r="CA405" i="1" s="1"/>
  <c r="BY407" i="1"/>
  <c r="CA407" i="1" s="1"/>
  <c r="BY409" i="1"/>
  <c r="CA409" i="1" s="1"/>
  <c r="BY411" i="1"/>
  <c r="CA411" i="1" s="1"/>
  <c r="BY413" i="1"/>
  <c r="CA413" i="1" s="1"/>
  <c r="BY415" i="1"/>
  <c r="CA415" i="1" s="1"/>
  <c r="BY417" i="1"/>
  <c r="CA417" i="1" s="1"/>
  <c r="BY419" i="1"/>
  <c r="CA419" i="1" s="1"/>
  <c r="BY421" i="1"/>
  <c r="CA421" i="1" s="1"/>
  <c r="BY423" i="1"/>
  <c r="CA423" i="1" s="1"/>
  <c r="BY425" i="1"/>
  <c r="CA425" i="1" s="1"/>
  <c r="BY396" i="1"/>
  <c r="BY363" i="1"/>
  <c r="CA363" i="1" s="1"/>
  <c r="BY365" i="1"/>
  <c r="CA365" i="1" s="1"/>
  <c r="BY367" i="1"/>
  <c r="CA367" i="1" s="1"/>
  <c r="BY369" i="1"/>
  <c r="CA369" i="1" s="1"/>
  <c r="BY371" i="1"/>
  <c r="CA371" i="1" s="1"/>
  <c r="BY373" i="1"/>
  <c r="CA373" i="1" s="1"/>
  <c r="BY375" i="1"/>
  <c r="CA375" i="1" s="1"/>
  <c r="BY377" i="1"/>
  <c r="CA377" i="1" s="1"/>
  <c r="BY379" i="1"/>
  <c r="CA379" i="1" s="1"/>
  <c r="BY381" i="1"/>
  <c r="CA381" i="1" s="1"/>
  <c r="BY383" i="1"/>
  <c r="CA383" i="1" s="1"/>
  <c r="BY385" i="1"/>
  <c r="CA385" i="1" s="1"/>
  <c r="BY387" i="1"/>
  <c r="CA387" i="1" s="1"/>
  <c r="BY389" i="1"/>
  <c r="CA389" i="1" s="1"/>
  <c r="BY361" i="1"/>
  <c r="BY326" i="1"/>
  <c r="CA326" i="1" s="1"/>
  <c r="BY328" i="1"/>
  <c r="CA328" i="1" s="1"/>
  <c r="BY330" i="1"/>
  <c r="CA330" i="1" s="1"/>
  <c r="BY332" i="1"/>
  <c r="CA332" i="1" s="1"/>
  <c r="BY334" i="1"/>
  <c r="CA334" i="1" s="1"/>
  <c r="BY336" i="1"/>
  <c r="CA336" i="1" s="1"/>
  <c r="BY338" i="1"/>
  <c r="CA338" i="1" s="1"/>
  <c r="BY340" i="1"/>
  <c r="CA340" i="1" s="1"/>
  <c r="BY342" i="1"/>
  <c r="CA342" i="1" s="1"/>
  <c r="BY344" i="1"/>
  <c r="CA344" i="1" s="1"/>
  <c r="BY346" i="1"/>
  <c r="CA346" i="1" s="1"/>
  <c r="BY348" i="1"/>
  <c r="CA348" i="1" s="1"/>
  <c r="BY350" i="1"/>
  <c r="CA350" i="1" s="1"/>
  <c r="BY352" i="1"/>
  <c r="CA352" i="1" s="1"/>
  <c r="BY354" i="1"/>
  <c r="CA354" i="1" s="1"/>
  <c r="BY325" i="1"/>
  <c r="BY292" i="1"/>
  <c r="CA292" i="1" s="1"/>
  <c r="BY294" i="1"/>
  <c r="CA294" i="1" s="1"/>
  <c r="BY296" i="1"/>
  <c r="CA296" i="1" s="1"/>
  <c r="BY298" i="1"/>
  <c r="CA298" i="1" s="1"/>
  <c r="BY300" i="1"/>
  <c r="CA300" i="1" s="1"/>
  <c r="BY302" i="1"/>
  <c r="CA302" i="1" s="1"/>
  <c r="BY304" i="1"/>
  <c r="CA304" i="1" s="1"/>
  <c r="BY306" i="1"/>
  <c r="CA306" i="1" s="1"/>
  <c r="BY308" i="1"/>
  <c r="CA308" i="1" s="1"/>
  <c r="BY310" i="1"/>
  <c r="CA310" i="1" s="1"/>
  <c r="BY312" i="1"/>
  <c r="CA312" i="1" s="1"/>
  <c r="BY314" i="1"/>
  <c r="CA314" i="1" s="1"/>
  <c r="BY316" i="1"/>
  <c r="CA316" i="1" s="1"/>
  <c r="BY318" i="1"/>
  <c r="CA318" i="1" s="1"/>
  <c r="BY290" i="1"/>
  <c r="BY255" i="1"/>
  <c r="CA255" i="1" s="1"/>
  <c r="BY257" i="1"/>
  <c r="CA257" i="1" s="1"/>
  <c r="BY259" i="1"/>
  <c r="CA259" i="1" s="1"/>
  <c r="BY261" i="1"/>
  <c r="CA261" i="1" s="1"/>
  <c r="BY263" i="1"/>
  <c r="CA263" i="1" s="1"/>
  <c r="BY265" i="1"/>
  <c r="CA265" i="1" s="1"/>
  <c r="BY267" i="1"/>
  <c r="CA267" i="1" s="1"/>
  <c r="BY269" i="1"/>
  <c r="CA269" i="1" s="1"/>
  <c r="BY271" i="1"/>
  <c r="CA271" i="1" s="1"/>
  <c r="BY273" i="1"/>
  <c r="CA273" i="1" s="1"/>
  <c r="BY275" i="1"/>
  <c r="CA275" i="1" s="1"/>
  <c r="BY277" i="1"/>
  <c r="CA277" i="1" s="1"/>
  <c r="BY279" i="1"/>
  <c r="CA279" i="1" s="1"/>
  <c r="BY281" i="1"/>
  <c r="CA281" i="1" s="1"/>
  <c r="BY283" i="1"/>
  <c r="CA283" i="1" s="1"/>
  <c r="BY254" i="1"/>
  <c r="BY219" i="1"/>
  <c r="CA219" i="1" s="1"/>
  <c r="BY221" i="1"/>
  <c r="CA221" i="1" s="1"/>
  <c r="BY223" i="1"/>
  <c r="CA223" i="1" s="1"/>
  <c r="BY225" i="1"/>
  <c r="CA225" i="1" s="1"/>
  <c r="BY227" i="1"/>
  <c r="CA227" i="1" s="1"/>
  <c r="BY229" i="1"/>
  <c r="CA229" i="1" s="1"/>
  <c r="BY231" i="1"/>
  <c r="CA231" i="1" s="1"/>
  <c r="BY233" i="1"/>
  <c r="CA233" i="1" s="1"/>
  <c r="BY235" i="1"/>
  <c r="CA235" i="1" s="1"/>
  <c r="BY237" i="1"/>
  <c r="CA237" i="1" s="1"/>
  <c r="BY239" i="1"/>
  <c r="CA239" i="1" s="1"/>
  <c r="BY241" i="1"/>
  <c r="CA241" i="1" s="1"/>
  <c r="BY243" i="1"/>
  <c r="CA243" i="1" s="1"/>
  <c r="BY245" i="1"/>
  <c r="CA245" i="1" s="1"/>
  <c r="BY247" i="1"/>
  <c r="CA247" i="1" s="1"/>
  <c r="BY218" i="1"/>
  <c r="BY185" i="1"/>
  <c r="CA185" i="1" s="1"/>
  <c r="BY187" i="1"/>
  <c r="CA187" i="1" s="1"/>
  <c r="BY189" i="1"/>
  <c r="CA189" i="1" s="1"/>
  <c r="BY191" i="1"/>
  <c r="CA191" i="1" s="1"/>
  <c r="BY193" i="1"/>
  <c r="CA193" i="1" s="1"/>
  <c r="BY195" i="1"/>
  <c r="CA195" i="1" s="1"/>
  <c r="BY197" i="1"/>
  <c r="CA197" i="1" s="1"/>
  <c r="BY199" i="1"/>
  <c r="CA199" i="1" s="1"/>
  <c r="BY201" i="1"/>
  <c r="CA201" i="1" s="1"/>
  <c r="BY203" i="1"/>
  <c r="CA203" i="1" s="1"/>
  <c r="BY205" i="1"/>
  <c r="CA205" i="1" s="1"/>
  <c r="BY207" i="1"/>
  <c r="CA207" i="1" s="1"/>
  <c r="BY209" i="1"/>
  <c r="CA209" i="1" s="1"/>
  <c r="BY211" i="1"/>
  <c r="CA211" i="1" s="1"/>
  <c r="BY183" i="1"/>
  <c r="BY148" i="1"/>
  <c r="CA148" i="1" s="1"/>
  <c r="BY150" i="1"/>
  <c r="CA150" i="1" s="1"/>
  <c r="BY152" i="1"/>
  <c r="CA152" i="1" s="1"/>
  <c r="BY154" i="1"/>
  <c r="CA154" i="1" s="1"/>
  <c r="BY156" i="1"/>
  <c r="CA156" i="1" s="1"/>
  <c r="BY158" i="1"/>
  <c r="CA158" i="1" s="1"/>
  <c r="BY160" i="1"/>
  <c r="CA160" i="1" s="1"/>
  <c r="BY162" i="1"/>
  <c r="CA162" i="1" s="1"/>
  <c r="BY164" i="1"/>
  <c r="CA164" i="1" s="1"/>
  <c r="BY166" i="1"/>
  <c r="CA166" i="1" s="1"/>
  <c r="BY168" i="1"/>
  <c r="CA168" i="1" s="1"/>
  <c r="BY170" i="1"/>
  <c r="CA170" i="1" s="1"/>
  <c r="BY172" i="1"/>
  <c r="CA172" i="1" s="1"/>
  <c r="BY174" i="1"/>
  <c r="CA174" i="1" s="1"/>
  <c r="BY176" i="1"/>
  <c r="CA176" i="1" s="1"/>
  <c r="BY114" i="1"/>
  <c r="CA114" i="1" s="1"/>
  <c r="BY116" i="1"/>
  <c r="CA116" i="1" s="1"/>
  <c r="BY118" i="1"/>
  <c r="CA118" i="1" s="1"/>
  <c r="BY120" i="1"/>
  <c r="CA120" i="1" s="1"/>
  <c r="BY122" i="1"/>
  <c r="CA122" i="1" s="1"/>
  <c r="BY124" i="1"/>
  <c r="CA124" i="1" s="1"/>
  <c r="BY126" i="1"/>
  <c r="CA126" i="1" s="1"/>
  <c r="BY128" i="1"/>
  <c r="CA128" i="1" s="1"/>
  <c r="BY130" i="1"/>
  <c r="CA130" i="1" s="1"/>
  <c r="BY132" i="1"/>
  <c r="CA132" i="1" s="1"/>
  <c r="BY134" i="1"/>
  <c r="CA134" i="1" s="1"/>
  <c r="BY136" i="1"/>
  <c r="CA136" i="1" s="1"/>
  <c r="BY138" i="1"/>
  <c r="CA138" i="1" s="1"/>
  <c r="BY140" i="1"/>
  <c r="CA140" i="1" s="1"/>
  <c r="BY112" i="1"/>
  <c r="BY77" i="1"/>
  <c r="CA77" i="1" s="1"/>
  <c r="BY79" i="1"/>
  <c r="CA79" i="1" s="1"/>
  <c r="BY81" i="1"/>
  <c r="CA81" i="1" s="1"/>
  <c r="BY83" i="1"/>
  <c r="CA83" i="1" s="1"/>
  <c r="BY85" i="1"/>
  <c r="CA85" i="1" s="1"/>
  <c r="BY87" i="1"/>
  <c r="CA87" i="1" s="1"/>
  <c r="BY89" i="1"/>
  <c r="CA89" i="1" s="1"/>
  <c r="BY91" i="1"/>
  <c r="CA91" i="1" s="1"/>
  <c r="BY93" i="1"/>
  <c r="CA93" i="1" s="1"/>
  <c r="BY95" i="1"/>
  <c r="CA95" i="1" s="1"/>
  <c r="BY97" i="1"/>
  <c r="CA97" i="1" s="1"/>
  <c r="BY99" i="1"/>
  <c r="CA99" i="1" s="1"/>
  <c r="BY101" i="1"/>
  <c r="CA101" i="1" s="1"/>
  <c r="BY103" i="1"/>
  <c r="CA103" i="1" s="1"/>
  <c r="BY105" i="1"/>
  <c r="CA105" i="1" s="1"/>
  <c r="BY76" i="1"/>
  <c r="BY43" i="1"/>
  <c r="CA43" i="1" s="1"/>
  <c r="BY45" i="1"/>
  <c r="CA45" i="1" s="1"/>
  <c r="BY47" i="1"/>
  <c r="CA47" i="1" s="1"/>
  <c r="BY49" i="1"/>
  <c r="CA49" i="1" s="1"/>
  <c r="BY51" i="1"/>
  <c r="CA51" i="1" s="1"/>
  <c r="BY53" i="1"/>
  <c r="CA53" i="1" s="1"/>
  <c r="BY55" i="1"/>
  <c r="CA55" i="1" s="1"/>
  <c r="BY57" i="1"/>
  <c r="CA57" i="1" s="1"/>
  <c r="BY59" i="1"/>
  <c r="CA59" i="1" s="1"/>
  <c r="BY61" i="1"/>
  <c r="CA61" i="1" s="1"/>
  <c r="BY63" i="1"/>
  <c r="CA63" i="1" s="1"/>
  <c r="BY65" i="1"/>
  <c r="CA65" i="1" s="1"/>
  <c r="BY67" i="1"/>
  <c r="CA67" i="1" s="1"/>
  <c r="BY69" i="1"/>
  <c r="CA69" i="1" s="1"/>
  <c r="BY42" i="1"/>
  <c r="BY398" i="1"/>
  <c r="CA398" i="1" s="1"/>
  <c r="BY400" i="1"/>
  <c r="CA400" i="1" s="1"/>
  <c r="BY402" i="1"/>
  <c r="CA402" i="1" s="1"/>
  <c r="BY404" i="1"/>
  <c r="CA404" i="1" s="1"/>
  <c r="BY406" i="1"/>
  <c r="CA406" i="1" s="1"/>
  <c r="BY408" i="1"/>
  <c r="CA408" i="1" s="1"/>
  <c r="BY410" i="1"/>
  <c r="CA410" i="1" s="1"/>
  <c r="BY412" i="1"/>
  <c r="CA412" i="1" s="1"/>
  <c r="BY414" i="1"/>
  <c r="CA414" i="1" s="1"/>
  <c r="BY416" i="1"/>
  <c r="CA416" i="1" s="1"/>
  <c r="BY418" i="1"/>
  <c r="CA418" i="1" s="1"/>
  <c r="BY420" i="1"/>
  <c r="CA420" i="1" s="1"/>
  <c r="BY422" i="1"/>
  <c r="CA422" i="1" s="1"/>
  <c r="BY424" i="1"/>
  <c r="CA424" i="1" s="1"/>
  <c r="BY426" i="1"/>
  <c r="CA426" i="1" s="1"/>
  <c r="BY362" i="1"/>
  <c r="CA362" i="1" s="1"/>
  <c r="BY364" i="1"/>
  <c r="CA364" i="1" s="1"/>
  <c r="BY366" i="1"/>
  <c r="CA366" i="1" s="1"/>
  <c r="BY368" i="1"/>
  <c r="CA368" i="1" s="1"/>
  <c r="BY370" i="1"/>
  <c r="CA370" i="1" s="1"/>
  <c r="BY372" i="1"/>
  <c r="CA372" i="1" s="1"/>
  <c r="BY374" i="1"/>
  <c r="CA374" i="1" s="1"/>
  <c r="BY376" i="1"/>
  <c r="CA376" i="1" s="1"/>
  <c r="BY378" i="1"/>
  <c r="CA378" i="1" s="1"/>
  <c r="BY380" i="1"/>
  <c r="CA380" i="1" s="1"/>
  <c r="BY382" i="1"/>
  <c r="CA382" i="1" s="1"/>
  <c r="BY384" i="1"/>
  <c r="CA384" i="1" s="1"/>
  <c r="BY386" i="1"/>
  <c r="CA386" i="1" s="1"/>
  <c r="BY388" i="1"/>
  <c r="CA388" i="1" s="1"/>
  <c r="BY390" i="1"/>
  <c r="CA390" i="1" s="1"/>
  <c r="BY327" i="1"/>
  <c r="CA327" i="1" s="1"/>
  <c r="BY329" i="1"/>
  <c r="CA329" i="1" s="1"/>
  <c r="BY331" i="1"/>
  <c r="CA331" i="1" s="1"/>
  <c r="BY333" i="1"/>
  <c r="CA333" i="1" s="1"/>
  <c r="BY335" i="1"/>
  <c r="CA335" i="1" s="1"/>
  <c r="BY337" i="1"/>
  <c r="CA337" i="1" s="1"/>
  <c r="BY339" i="1"/>
  <c r="CA339" i="1" s="1"/>
  <c r="BY341" i="1"/>
  <c r="CA341" i="1" s="1"/>
  <c r="BY343" i="1"/>
  <c r="CA343" i="1" s="1"/>
  <c r="BY345" i="1"/>
  <c r="CA345" i="1" s="1"/>
  <c r="BY347" i="1"/>
  <c r="CA347" i="1" s="1"/>
  <c r="BY349" i="1"/>
  <c r="CA349" i="1" s="1"/>
  <c r="BY351" i="1"/>
  <c r="CA351" i="1" s="1"/>
  <c r="BY353" i="1"/>
  <c r="CA353" i="1" s="1"/>
  <c r="BY355" i="1"/>
  <c r="CA355" i="1" s="1"/>
  <c r="BY291" i="1"/>
  <c r="CA291" i="1" s="1"/>
  <c r="BY293" i="1"/>
  <c r="CA293" i="1" s="1"/>
  <c r="BY295" i="1"/>
  <c r="CA295" i="1" s="1"/>
  <c r="BY297" i="1"/>
  <c r="CA297" i="1" s="1"/>
  <c r="BY299" i="1"/>
  <c r="CA299" i="1" s="1"/>
  <c r="BY301" i="1"/>
  <c r="CA301" i="1" s="1"/>
  <c r="BY303" i="1"/>
  <c r="CA303" i="1" s="1"/>
  <c r="BY305" i="1"/>
  <c r="CA305" i="1" s="1"/>
  <c r="BY307" i="1"/>
  <c r="CA307" i="1" s="1"/>
  <c r="BY309" i="1"/>
  <c r="CA309" i="1" s="1"/>
  <c r="BY311" i="1"/>
  <c r="CA311" i="1" s="1"/>
  <c r="BY313" i="1"/>
  <c r="CA313" i="1" s="1"/>
  <c r="BY315" i="1"/>
  <c r="CA315" i="1" s="1"/>
  <c r="BY317" i="1"/>
  <c r="CA317" i="1" s="1"/>
  <c r="BY319" i="1"/>
  <c r="CA319" i="1" s="1"/>
  <c r="BY256" i="1"/>
  <c r="CA256" i="1" s="1"/>
  <c r="BY258" i="1"/>
  <c r="CA258" i="1" s="1"/>
  <c r="BY260" i="1"/>
  <c r="CA260" i="1" s="1"/>
  <c r="BY262" i="1"/>
  <c r="CA262" i="1" s="1"/>
  <c r="BY264" i="1"/>
  <c r="CA264" i="1" s="1"/>
  <c r="BY266" i="1"/>
  <c r="CA266" i="1" s="1"/>
  <c r="BY268" i="1"/>
  <c r="CA268" i="1" s="1"/>
  <c r="BY270" i="1"/>
  <c r="CA270" i="1" s="1"/>
  <c r="BY272" i="1"/>
  <c r="CA272" i="1" s="1"/>
  <c r="BY274" i="1"/>
  <c r="CA274" i="1" s="1"/>
  <c r="BY276" i="1"/>
  <c r="CA276" i="1" s="1"/>
  <c r="BY278" i="1"/>
  <c r="CA278" i="1" s="1"/>
  <c r="BY280" i="1"/>
  <c r="CA280" i="1" s="1"/>
  <c r="BY282" i="1"/>
  <c r="CA282" i="1" s="1"/>
  <c r="BY284" i="1"/>
  <c r="CA284" i="1" s="1"/>
  <c r="BY220" i="1"/>
  <c r="CA220" i="1" s="1"/>
  <c r="BY222" i="1"/>
  <c r="CA222" i="1" s="1"/>
  <c r="BY224" i="1"/>
  <c r="CA224" i="1" s="1"/>
  <c r="BY226" i="1"/>
  <c r="CA226" i="1" s="1"/>
  <c r="BY228" i="1"/>
  <c r="CA228" i="1" s="1"/>
  <c r="BY230" i="1"/>
  <c r="CA230" i="1" s="1"/>
  <c r="BY232" i="1"/>
  <c r="CA232" i="1" s="1"/>
  <c r="BY234" i="1"/>
  <c r="CA234" i="1" s="1"/>
  <c r="BY236" i="1"/>
  <c r="CA236" i="1" s="1"/>
  <c r="BY238" i="1"/>
  <c r="CA238" i="1" s="1"/>
  <c r="BY240" i="1"/>
  <c r="CA240" i="1" s="1"/>
  <c r="BY242" i="1"/>
  <c r="CA242" i="1" s="1"/>
  <c r="BY244" i="1"/>
  <c r="CA244" i="1" s="1"/>
  <c r="BY246" i="1"/>
  <c r="CA246" i="1" s="1"/>
  <c r="BY248" i="1"/>
  <c r="CA248" i="1" s="1"/>
  <c r="BY184" i="1"/>
  <c r="CA184" i="1" s="1"/>
  <c r="BY186" i="1"/>
  <c r="CA186" i="1" s="1"/>
  <c r="BY188" i="1"/>
  <c r="CA188" i="1" s="1"/>
  <c r="BY190" i="1"/>
  <c r="CA190" i="1" s="1"/>
  <c r="BY192" i="1"/>
  <c r="CA192" i="1" s="1"/>
  <c r="BY194" i="1"/>
  <c r="CA194" i="1" s="1"/>
  <c r="BY196" i="1"/>
  <c r="CA196" i="1" s="1"/>
  <c r="BY198" i="1"/>
  <c r="CA198" i="1" s="1"/>
  <c r="BY200" i="1"/>
  <c r="CA200" i="1" s="1"/>
  <c r="BY202" i="1"/>
  <c r="CA202" i="1" s="1"/>
  <c r="BY204" i="1"/>
  <c r="CA204" i="1" s="1"/>
  <c r="BY206" i="1"/>
  <c r="CA206" i="1" s="1"/>
  <c r="BY208" i="1"/>
  <c r="CA208" i="1" s="1"/>
  <c r="BY210" i="1"/>
  <c r="CA210" i="1" s="1"/>
  <c r="BY212" i="1"/>
  <c r="CA212" i="1" s="1"/>
  <c r="BY149" i="1"/>
  <c r="CA149" i="1" s="1"/>
  <c r="BY151" i="1"/>
  <c r="CA151" i="1" s="1"/>
  <c r="BY153" i="1"/>
  <c r="CA153" i="1" s="1"/>
  <c r="BY155" i="1"/>
  <c r="CA155" i="1" s="1"/>
  <c r="BY157" i="1"/>
  <c r="CA157" i="1" s="1"/>
  <c r="BY159" i="1"/>
  <c r="CA159" i="1" s="1"/>
  <c r="BY161" i="1"/>
  <c r="CA161" i="1" s="1"/>
  <c r="BY163" i="1"/>
  <c r="CA163" i="1" s="1"/>
  <c r="BY165" i="1"/>
  <c r="CA165" i="1" s="1"/>
  <c r="BY167" i="1"/>
  <c r="CA167" i="1" s="1"/>
  <c r="BY169" i="1"/>
  <c r="CA169" i="1" s="1"/>
  <c r="BY171" i="1"/>
  <c r="CA171" i="1" s="1"/>
  <c r="BY173" i="1"/>
  <c r="CA173" i="1" s="1"/>
  <c r="BY175" i="1"/>
  <c r="CA175" i="1" s="1"/>
  <c r="BY177" i="1"/>
  <c r="CA177" i="1" s="1"/>
  <c r="BY113" i="1"/>
  <c r="CA113" i="1" s="1"/>
  <c r="BY115" i="1"/>
  <c r="CA115" i="1" s="1"/>
  <c r="BY117" i="1"/>
  <c r="CA117" i="1" s="1"/>
  <c r="BY119" i="1"/>
  <c r="CA119" i="1" s="1"/>
  <c r="BY121" i="1"/>
  <c r="CA121" i="1" s="1"/>
  <c r="BY123" i="1"/>
  <c r="CA123" i="1" s="1"/>
  <c r="BY125" i="1"/>
  <c r="CA125" i="1" s="1"/>
  <c r="BY127" i="1"/>
  <c r="CA127" i="1" s="1"/>
  <c r="BY129" i="1"/>
  <c r="CA129" i="1" s="1"/>
  <c r="BY131" i="1"/>
  <c r="CA131" i="1" s="1"/>
  <c r="BY133" i="1"/>
  <c r="CA133" i="1" s="1"/>
  <c r="BY135" i="1"/>
  <c r="CA135" i="1" s="1"/>
  <c r="BY137" i="1"/>
  <c r="CA137" i="1" s="1"/>
  <c r="BY139" i="1"/>
  <c r="CA139" i="1" s="1"/>
  <c r="BY141" i="1"/>
  <c r="CA141" i="1" s="1"/>
  <c r="BY78" i="1"/>
  <c r="CA78" i="1" s="1"/>
  <c r="BY80" i="1"/>
  <c r="CA80" i="1" s="1"/>
  <c r="BY82" i="1"/>
  <c r="CA82" i="1" s="1"/>
  <c r="BY84" i="1"/>
  <c r="CA84" i="1" s="1"/>
  <c r="BY86" i="1"/>
  <c r="CA86" i="1" s="1"/>
  <c r="BY88" i="1"/>
  <c r="CA88" i="1" s="1"/>
  <c r="BY90" i="1"/>
  <c r="CA90" i="1" s="1"/>
  <c r="BY92" i="1"/>
  <c r="CA92" i="1" s="1"/>
  <c r="BY94" i="1"/>
  <c r="CA94" i="1" s="1"/>
  <c r="BY96" i="1"/>
  <c r="CA96" i="1" s="1"/>
  <c r="BY98" i="1"/>
  <c r="CA98" i="1" s="1"/>
  <c r="BY100" i="1"/>
  <c r="CA100" i="1" s="1"/>
  <c r="BY102" i="1"/>
  <c r="CA102" i="1" s="1"/>
  <c r="BY104" i="1"/>
  <c r="CA104" i="1" s="1"/>
  <c r="BY106" i="1"/>
  <c r="CA106" i="1" s="1"/>
  <c r="BY44" i="1"/>
  <c r="CA44" i="1" s="1"/>
  <c r="BY46" i="1"/>
  <c r="CA46" i="1" s="1"/>
  <c r="BY48" i="1"/>
  <c r="CA48" i="1" s="1"/>
  <c r="BY50" i="1"/>
  <c r="CA50" i="1" s="1"/>
  <c r="BY52" i="1"/>
  <c r="CA52" i="1" s="1"/>
  <c r="BY54" i="1"/>
  <c r="CA54" i="1" s="1"/>
  <c r="BY56" i="1"/>
  <c r="CA56" i="1" s="1"/>
  <c r="BY58" i="1"/>
  <c r="CA58" i="1" s="1"/>
  <c r="BY60" i="1"/>
  <c r="CA60" i="1" s="1"/>
  <c r="BY62" i="1"/>
  <c r="CA62" i="1" s="1"/>
  <c r="BY64" i="1"/>
  <c r="CA64" i="1" s="1"/>
  <c r="BY66" i="1"/>
  <c r="CA66" i="1" s="1"/>
  <c r="BY68" i="1"/>
  <c r="CA68" i="1" s="1"/>
  <c r="BY70" i="1"/>
  <c r="CA70" i="1" s="1"/>
  <c r="BY7" i="1"/>
  <c r="CA7" i="1" s="1"/>
  <c r="BY9" i="1"/>
  <c r="CA9" i="1" s="1"/>
  <c r="BY11" i="1"/>
  <c r="CA11" i="1" s="1"/>
  <c r="BY13" i="1"/>
  <c r="CA13" i="1" s="1"/>
  <c r="BY15" i="1"/>
  <c r="CA15" i="1" s="1"/>
  <c r="BY17" i="1"/>
  <c r="CA17" i="1" s="1"/>
  <c r="BY19" i="1"/>
  <c r="CA19" i="1" s="1"/>
  <c r="BY21" i="1"/>
  <c r="CA21" i="1" s="1"/>
  <c r="BY23" i="1"/>
  <c r="CA23" i="1" s="1"/>
  <c r="BY25" i="1"/>
  <c r="CA25" i="1" s="1"/>
  <c r="BY27" i="1"/>
  <c r="CA27" i="1" s="1"/>
  <c r="BY29" i="1"/>
  <c r="CA29" i="1" s="1"/>
  <c r="BY31" i="1"/>
  <c r="CA31" i="1" s="1"/>
  <c r="BY33" i="1"/>
  <c r="CA33" i="1" s="1"/>
  <c r="BY35" i="1"/>
  <c r="CA35" i="1" s="1"/>
  <c r="BY8" i="1"/>
  <c r="CA8" i="1" s="1"/>
  <c r="BY10" i="1"/>
  <c r="CA10" i="1" s="1"/>
  <c r="BY12" i="1"/>
  <c r="CA12" i="1" s="1"/>
  <c r="BY14" i="1"/>
  <c r="CA14" i="1" s="1"/>
  <c r="BY16" i="1"/>
  <c r="CA16" i="1" s="1"/>
  <c r="BY18" i="1"/>
  <c r="CA18" i="1" s="1"/>
  <c r="BY20" i="1"/>
  <c r="CA20" i="1" s="1"/>
  <c r="BY22" i="1"/>
  <c r="CA22" i="1" s="1"/>
  <c r="BY24" i="1"/>
  <c r="CA24" i="1" s="1"/>
  <c r="BY26" i="1"/>
  <c r="CA26" i="1" s="1"/>
  <c r="BY28" i="1"/>
  <c r="CA28" i="1" s="1"/>
  <c r="BY30" i="1"/>
  <c r="CA30" i="1" s="1"/>
  <c r="BY32" i="1"/>
  <c r="CA32" i="1" s="1"/>
  <c r="BY34" i="1"/>
  <c r="CA34" i="1" s="1"/>
  <c r="BY36" i="1"/>
  <c r="CA36" i="1" s="1"/>
  <c r="DI398" i="1"/>
  <c r="DK398" i="1" s="1"/>
  <c r="DI400" i="1"/>
  <c r="DK400" i="1" s="1"/>
  <c r="DI402" i="1"/>
  <c r="DK402" i="1" s="1"/>
  <c r="DI404" i="1"/>
  <c r="DK404" i="1" s="1"/>
  <c r="DI406" i="1"/>
  <c r="DK406" i="1" s="1"/>
  <c r="DI408" i="1"/>
  <c r="DK408" i="1" s="1"/>
  <c r="DI410" i="1"/>
  <c r="DK410" i="1" s="1"/>
  <c r="DI412" i="1"/>
  <c r="DK412" i="1" s="1"/>
  <c r="DI414" i="1"/>
  <c r="DK414" i="1" s="1"/>
  <c r="DI416" i="1"/>
  <c r="DK416" i="1" s="1"/>
  <c r="DI418" i="1"/>
  <c r="DK418" i="1" s="1"/>
  <c r="DI420" i="1"/>
  <c r="DK420" i="1" s="1"/>
  <c r="DI422" i="1"/>
  <c r="DK422" i="1" s="1"/>
  <c r="DI424" i="1"/>
  <c r="DK424" i="1" s="1"/>
  <c r="DI426" i="1"/>
  <c r="DK426" i="1" s="1"/>
  <c r="DI362" i="1"/>
  <c r="DK362" i="1" s="1"/>
  <c r="DI364" i="1"/>
  <c r="DK364" i="1" s="1"/>
  <c r="DI366" i="1"/>
  <c r="DK366" i="1" s="1"/>
  <c r="DI368" i="1"/>
  <c r="DK368" i="1" s="1"/>
  <c r="DI370" i="1"/>
  <c r="DK370" i="1" s="1"/>
  <c r="DI372" i="1"/>
  <c r="DK372" i="1" s="1"/>
  <c r="DI374" i="1"/>
  <c r="DK374" i="1" s="1"/>
  <c r="DI376" i="1"/>
  <c r="DK376" i="1" s="1"/>
  <c r="DI378" i="1"/>
  <c r="DK378" i="1" s="1"/>
  <c r="DI380" i="1"/>
  <c r="DK380" i="1" s="1"/>
  <c r="DI382" i="1"/>
  <c r="DK382" i="1" s="1"/>
  <c r="DI384" i="1"/>
  <c r="DK384" i="1" s="1"/>
  <c r="DI386" i="1"/>
  <c r="DK386" i="1" s="1"/>
  <c r="DI388" i="1"/>
  <c r="DK388" i="1" s="1"/>
  <c r="DI390" i="1"/>
  <c r="DK390" i="1" s="1"/>
  <c r="DI326" i="1"/>
  <c r="DK326" i="1" s="1"/>
  <c r="DI328" i="1"/>
  <c r="DK328" i="1" s="1"/>
  <c r="DI330" i="1"/>
  <c r="DK330" i="1" s="1"/>
  <c r="DI332" i="1"/>
  <c r="DK332" i="1" s="1"/>
  <c r="DI334" i="1"/>
  <c r="DK334" i="1" s="1"/>
  <c r="DI336" i="1"/>
  <c r="DK336" i="1" s="1"/>
  <c r="DI338" i="1"/>
  <c r="DK338" i="1" s="1"/>
  <c r="DI340" i="1"/>
  <c r="DK340" i="1" s="1"/>
  <c r="DI342" i="1"/>
  <c r="DK342" i="1" s="1"/>
  <c r="DI344" i="1"/>
  <c r="DK344" i="1" s="1"/>
  <c r="DI346" i="1"/>
  <c r="DK346" i="1" s="1"/>
  <c r="DI348" i="1"/>
  <c r="DK348" i="1" s="1"/>
  <c r="DI350" i="1"/>
  <c r="DK350" i="1" s="1"/>
  <c r="DI352" i="1"/>
  <c r="DK352" i="1" s="1"/>
  <c r="DI354" i="1"/>
  <c r="DK354" i="1" s="1"/>
  <c r="DI325" i="1"/>
  <c r="DI292" i="1"/>
  <c r="DK292" i="1" s="1"/>
  <c r="DI294" i="1"/>
  <c r="DK294" i="1" s="1"/>
  <c r="DI296" i="1"/>
  <c r="DK296" i="1" s="1"/>
  <c r="DI298" i="1"/>
  <c r="DK298" i="1" s="1"/>
  <c r="DI300" i="1"/>
  <c r="DK300" i="1" s="1"/>
  <c r="DI302" i="1"/>
  <c r="DK302" i="1" s="1"/>
  <c r="DI304" i="1"/>
  <c r="DK304" i="1" s="1"/>
  <c r="DI306" i="1"/>
  <c r="DK306" i="1" s="1"/>
  <c r="DI308" i="1"/>
  <c r="DK308" i="1" s="1"/>
  <c r="DI310" i="1"/>
  <c r="DK310" i="1" s="1"/>
  <c r="DI312" i="1"/>
  <c r="DK312" i="1" s="1"/>
  <c r="DI314" i="1"/>
  <c r="DK314" i="1" s="1"/>
  <c r="DI316" i="1"/>
  <c r="DK316" i="1" s="1"/>
  <c r="DI318" i="1"/>
  <c r="DK318" i="1" s="1"/>
  <c r="DI290" i="1"/>
  <c r="DI256" i="1"/>
  <c r="DK256" i="1" s="1"/>
  <c r="DI258" i="1"/>
  <c r="DK258" i="1" s="1"/>
  <c r="DI260" i="1"/>
  <c r="DK260" i="1" s="1"/>
  <c r="DI262" i="1"/>
  <c r="DK262" i="1" s="1"/>
  <c r="DI264" i="1"/>
  <c r="DK264" i="1" s="1"/>
  <c r="DI266" i="1"/>
  <c r="DK266" i="1" s="1"/>
  <c r="DI268" i="1"/>
  <c r="DK268" i="1" s="1"/>
  <c r="DI270" i="1"/>
  <c r="DK270" i="1" s="1"/>
  <c r="DI272" i="1"/>
  <c r="DK272" i="1" s="1"/>
  <c r="DI274" i="1"/>
  <c r="DK274" i="1" s="1"/>
  <c r="DI276" i="1"/>
  <c r="DK276" i="1" s="1"/>
  <c r="DI278" i="1"/>
  <c r="DK278" i="1" s="1"/>
  <c r="DI280" i="1"/>
  <c r="DK280" i="1" s="1"/>
  <c r="DI282" i="1"/>
  <c r="DK282" i="1" s="1"/>
  <c r="DI284" i="1"/>
  <c r="DK284" i="1" s="1"/>
  <c r="DI219" i="1"/>
  <c r="DK219" i="1" s="1"/>
  <c r="DI221" i="1"/>
  <c r="DK221" i="1" s="1"/>
  <c r="DI223" i="1"/>
  <c r="DK223" i="1" s="1"/>
  <c r="DI225" i="1"/>
  <c r="DK225" i="1" s="1"/>
  <c r="DI227" i="1"/>
  <c r="DK227" i="1" s="1"/>
  <c r="DI229" i="1"/>
  <c r="DK229" i="1" s="1"/>
  <c r="DI231" i="1"/>
  <c r="DK231" i="1" s="1"/>
  <c r="DI233" i="1"/>
  <c r="DK233" i="1" s="1"/>
  <c r="DI235" i="1"/>
  <c r="DK235" i="1" s="1"/>
  <c r="DI237" i="1"/>
  <c r="DK237" i="1" s="1"/>
  <c r="DI239" i="1"/>
  <c r="DK239" i="1" s="1"/>
  <c r="DI241" i="1"/>
  <c r="DK241" i="1" s="1"/>
  <c r="DI243" i="1"/>
  <c r="DK243" i="1" s="1"/>
  <c r="DI245" i="1"/>
  <c r="DK245" i="1" s="1"/>
  <c r="DI247" i="1"/>
  <c r="DK247" i="1" s="1"/>
  <c r="DI218" i="1"/>
  <c r="DI185" i="1"/>
  <c r="DK185" i="1" s="1"/>
  <c r="DI187" i="1"/>
  <c r="DK187" i="1" s="1"/>
  <c r="DI189" i="1"/>
  <c r="DK189" i="1" s="1"/>
  <c r="DI191" i="1"/>
  <c r="DK191" i="1" s="1"/>
  <c r="DI193" i="1"/>
  <c r="DK193" i="1" s="1"/>
  <c r="DI195" i="1"/>
  <c r="DK195" i="1" s="1"/>
  <c r="DI197" i="1"/>
  <c r="DK197" i="1" s="1"/>
  <c r="DI199" i="1"/>
  <c r="DK199" i="1" s="1"/>
  <c r="DI201" i="1"/>
  <c r="DK201" i="1" s="1"/>
  <c r="DI203" i="1"/>
  <c r="DK203" i="1" s="1"/>
  <c r="DI205" i="1"/>
  <c r="DK205" i="1" s="1"/>
  <c r="DI207" i="1"/>
  <c r="DK207" i="1" s="1"/>
  <c r="DI209" i="1"/>
  <c r="DK209" i="1" s="1"/>
  <c r="DI211" i="1"/>
  <c r="DK211" i="1" s="1"/>
  <c r="DI183" i="1"/>
  <c r="DI149" i="1"/>
  <c r="DK149" i="1" s="1"/>
  <c r="DI151" i="1"/>
  <c r="DK151" i="1" s="1"/>
  <c r="DI153" i="1"/>
  <c r="DK153" i="1" s="1"/>
  <c r="DI155" i="1"/>
  <c r="DK155" i="1" s="1"/>
  <c r="DI157" i="1"/>
  <c r="DK157" i="1" s="1"/>
  <c r="DI159" i="1"/>
  <c r="DK159" i="1" s="1"/>
  <c r="DI161" i="1"/>
  <c r="DK161" i="1" s="1"/>
  <c r="DI163" i="1"/>
  <c r="DK163" i="1" s="1"/>
  <c r="DI165" i="1"/>
  <c r="DK165" i="1" s="1"/>
  <c r="DI167" i="1"/>
  <c r="DK167" i="1" s="1"/>
  <c r="DI169" i="1"/>
  <c r="DK169" i="1" s="1"/>
  <c r="DI171" i="1"/>
  <c r="DK171" i="1" s="1"/>
  <c r="DI173" i="1"/>
  <c r="DK173" i="1" s="1"/>
  <c r="DI175" i="1"/>
  <c r="DK175" i="1" s="1"/>
  <c r="DI177" i="1"/>
  <c r="DK177" i="1" s="1"/>
  <c r="DI113" i="1"/>
  <c r="DK113" i="1" s="1"/>
  <c r="DI115" i="1"/>
  <c r="DK115" i="1" s="1"/>
  <c r="DI117" i="1"/>
  <c r="DK117" i="1" s="1"/>
  <c r="DI119" i="1"/>
  <c r="DK119" i="1" s="1"/>
  <c r="DI121" i="1"/>
  <c r="DK121" i="1" s="1"/>
  <c r="DI123" i="1"/>
  <c r="DK123" i="1" s="1"/>
  <c r="DI125" i="1"/>
  <c r="DK125" i="1" s="1"/>
  <c r="DI127" i="1"/>
  <c r="DK127" i="1" s="1"/>
  <c r="DI129" i="1"/>
  <c r="DK129" i="1" s="1"/>
  <c r="DI131" i="1"/>
  <c r="DK131" i="1" s="1"/>
  <c r="DI133" i="1"/>
  <c r="DK133" i="1" s="1"/>
  <c r="DI135" i="1"/>
  <c r="DK135" i="1" s="1"/>
  <c r="DI137" i="1"/>
  <c r="DK137" i="1" s="1"/>
  <c r="DI139" i="1"/>
  <c r="DK139" i="1" s="1"/>
  <c r="DI141" i="1"/>
  <c r="DK141" i="1" s="1"/>
  <c r="DI77" i="1"/>
  <c r="DK77" i="1" s="1"/>
  <c r="DI79" i="1"/>
  <c r="DK79" i="1" s="1"/>
  <c r="DI81" i="1"/>
  <c r="DK81" i="1" s="1"/>
  <c r="DI83" i="1"/>
  <c r="DK83" i="1" s="1"/>
  <c r="DI85" i="1"/>
  <c r="DK85" i="1" s="1"/>
  <c r="DI87" i="1"/>
  <c r="DK87" i="1" s="1"/>
  <c r="DI89" i="1"/>
  <c r="DK89" i="1" s="1"/>
  <c r="DI91" i="1"/>
  <c r="DK91" i="1" s="1"/>
  <c r="DI93" i="1"/>
  <c r="DK93" i="1" s="1"/>
  <c r="DI95" i="1"/>
  <c r="DK95" i="1" s="1"/>
  <c r="DI97" i="1"/>
  <c r="DK97" i="1" s="1"/>
  <c r="DI99" i="1"/>
  <c r="DK99" i="1" s="1"/>
  <c r="DI101" i="1"/>
  <c r="DK101" i="1" s="1"/>
  <c r="DI103" i="1"/>
  <c r="DK103" i="1" s="1"/>
  <c r="DI105" i="1"/>
  <c r="DK105" i="1" s="1"/>
  <c r="DI76" i="1"/>
  <c r="DI44" i="1"/>
  <c r="DK44" i="1" s="1"/>
  <c r="DI46" i="1"/>
  <c r="DK46" i="1" s="1"/>
  <c r="DI48" i="1"/>
  <c r="DK48" i="1" s="1"/>
  <c r="DI50" i="1"/>
  <c r="DK50" i="1" s="1"/>
  <c r="DI52" i="1"/>
  <c r="DK52" i="1" s="1"/>
  <c r="DI54" i="1"/>
  <c r="DK54" i="1" s="1"/>
  <c r="DI56" i="1"/>
  <c r="DK56" i="1" s="1"/>
  <c r="DI58" i="1"/>
  <c r="DK58" i="1" s="1"/>
  <c r="DI60" i="1"/>
  <c r="DK60" i="1" s="1"/>
  <c r="DI62" i="1"/>
  <c r="DK62" i="1" s="1"/>
  <c r="DI64" i="1"/>
  <c r="DK64" i="1" s="1"/>
  <c r="DI66" i="1"/>
  <c r="DK66" i="1" s="1"/>
  <c r="DI68" i="1"/>
  <c r="DK68" i="1" s="1"/>
  <c r="DI70" i="1"/>
  <c r="DK70" i="1" s="1"/>
  <c r="DI7" i="1"/>
  <c r="DK7" i="1" s="1"/>
  <c r="DI9" i="1"/>
  <c r="DK9" i="1" s="1"/>
  <c r="DI11" i="1"/>
  <c r="DK11" i="1" s="1"/>
  <c r="DI13" i="1"/>
  <c r="DK13" i="1" s="1"/>
  <c r="DI15" i="1"/>
  <c r="DK15" i="1" s="1"/>
  <c r="DI17" i="1"/>
  <c r="DK17" i="1" s="1"/>
  <c r="DI19" i="1"/>
  <c r="DK19" i="1" s="1"/>
  <c r="DI21" i="1"/>
  <c r="DK21" i="1" s="1"/>
  <c r="DI23" i="1"/>
  <c r="DK23" i="1" s="1"/>
  <c r="DI25" i="1"/>
  <c r="DK25" i="1" s="1"/>
  <c r="DI27" i="1"/>
  <c r="DK27" i="1" s="1"/>
  <c r="DI29" i="1"/>
  <c r="DK29" i="1" s="1"/>
  <c r="DI31" i="1"/>
  <c r="DK31" i="1" s="1"/>
  <c r="DI33" i="1"/>
  <c r="DK33" i="1" s="1"/>
  <c r="DI35" i="1"/>
  <c r="DK35" i="1" s="1"/>
  <c r="DI397" i="1"/>
  <c r="DK397" i="1" s="1"/>
  <c r="DI399" i="1"/>
  <c r="DK399" i="1" s="1"/>
  <c r="DI401" i="1"/>
  <c r="DK401" i="1" s="1"/>
  <c r="DI403" i="1"/>
  <c r="DK403" i="1" s="1"/>
  <c r="DI405" i="1"/>
  <c r="DK405" i="1" s="1"/>
  <c r="DI407" i="1"/>
  <c r="DK407" i="1" s="1"/>
  <c r="DI409" i="1"/>
  <c r="DK409" i="1" s="1"/>
  <c r="DI411" i="1"/>
  <c r="DK411" i="1" s="1"/>
  <c r="DI413" i="1"/>
  <c r="DK413" i="1" s="1"/>
  <c r="DI415" i="1"/>
  <c r="DK415" i="1" s="1"/>
  <c r="DI417" i="1"/>
  <c r="DK417" i="1" s="1"/>
  <c r="DI419" i="1"/>
  <c r="DK419" i="1" s="1"/>
  <c r="DI421" i="1"/>
  <c r="DK421" i="1" s="1"/>
  <c r="DI423" i="1"/>
  <c r="DK423" i="1" s="1"/>
  <c r="DI425" i="1"/>
  <c r="DK425" i="1" s="1"/>
  <c r="DI396" i="1"/>
  <c r="DI363" i="1"/>
  <c r="DK363" i="1" s="1"/>
  <c r="DI365" i="1"/>
  <c r="DK365" i="1" s="1"/>
  <c r="DI367" i="1"/>
  <c r="DK367" i="1" s="1"/>
  <c r="DI369" i="1"/>
  <c r="DK369" i="1" s="1"/>
  <c r="DI371" i="1"/>
  <c r="DK371" i="1" s="1"/>
  <c r="DI373" i="1"/>
  <c r="DK373" i="1" s="1"/>
  <c r="DI375" i="1"/>
  <c r="DK375" i="1" s="1"/>
  <c r="DI377" i="1"/>
  <c r="DK377" i="1" s="1"/>
  <c r="DI379" i="1"/>
  <c r="DK379" i="1" s="1"/>
  <c r="DI381" i="1"/>
  <c r="DK381" i="1" s="1"/>
  <c r="DI383" i="1"/>
  <c r="DK383" i="1" s="1"/>
  <c r="DI385" i="1"/>
  <c r="DK385" i="1" s="1"/>
  <c r="DI387" i="1"/>
  <c r="DK387" i="1" s="1"/>
  <c r="DI389" i="1"/>
  <c r="DK389" i="1" s="1"/>
  <c r="DI361" i="1"/>
  <c r="DI327" i="1"/>
  <c r="DK327" i="1" s="1"/>
  <c r="DI329" i="1"/>
  <c r="DK329" i="1" s="1"/>
  <c r="DI331" i="1"/>
  <c r="DK331" i="1" s="1"/>
  <c r="DI333" i="1"/>
  <c r="DK333" i="1" s="1"/>
  <c r="DI335" i="1"/>
  <c r="DK335" i="1" s="1"/>
  <c r="DI337" i="1"/>
  <c r="DK337" i="1" s="1"/>
  <c r="DI339" i="1"/>
  <c r="DK339" i="1" s="1"/>
  <c r="DI341" i="1"/>
  <c r="DK341" i="1" s="1"/>
  <c r="DI343" i="1"/>
  <c r="DK343" i="1" s="1"/>
  <c r="DI345" i="1"/>
  <c r="DK345" i="1" s="1"/>
  <c r="DI347" i="1"/>
  <c r="DK347" i="1" s="1"/>
  <c r="DI349" i="1"/>
  <c r="DK349" i="1" s="1"/>
  <c r="DI351" i="1"/>
  <c r="DK351" i="1" s="1"/>
  <c r="DI353" i="1"/>
  <c r="DK353" i="1" s="1"/>
  <c r="DI355" i="1"/>
  <c r="DK355" i="1" s="1"/>
  <c r="DI291" i="1"/>
  <c r="DK291" i="1" s="1"/>
  <c r="DI293" i="1"/>
  <c r="DK293" i="1" s="1"/>
  <c r="DI295" i="1"/>
  <c r="DK295" i="1" s="1"/>
  <c r="DI297" i="1"/>
  <c r="DK297" i="1" s="1"/>
  <c r="DI299" i="1"/>
  <c r="DK299" i="1" s="1"/>
  <c r="DI301" i="1"/>
  <c r="DK301" i="1" s="1"/>
  <c r="DI303" i="1"/>
  <c r="DK303" i="1" s="1"/>
  <c r="DI305" i="1"/>
  <c r="DK305" i="1" s="1"/>
  <c r="DI307" i="1"/>
  <c r="DK307" i="1" s="1"/>
  <c r="DI309" i="1"/>
  <c r="DK309" i="1" s="1"/>
  <c r="DI311" i="1"/>
  <c r="DK311" i="1" s="1"/>
  <c r="DI313" i="1"/>
  <c r="DK313" i="1" s="1"/>
  <c r="DI315" i="1"/>
  <c r="DK315" i="1" s="1"/>
  <c r="DI317" i="1"/>
  <c r="DK317" i="1" s="1"/>
  <c r="DI319" i="1"/>
  <c r="DK319" i="1" s="1"/>
  <c r="DI255" i="1"/>
  <c r="DK255" i="1" s="1"/>
  <c r="DI257" i="1"/>
  <c r="DK257" i="1" s="1"/>
  <c r="DI259" i="1"/>
  <c r="DK259" i="1" s="1"/>
  <c r="DI261" i="1"/>
  <c r="DK261" i="1" s="1"/>
  <c r="DI263" i="1"/>
  <c r="DK263" i="1" s="1"/>
  <c r="DI265" i="1"/>
  <c r="DK265" i="1" s="1"/>
  <c r="DI267" i="1"/>
  <c r="DK267" i="1" s="1"/>
  <c r="DI269" i="1"/>
  <c r="DK269" i="1" s="1"/>
  <c r="DI271" i="1"/>
  <c r="DK271" i="1" s="1"/>
  <c r="DI273" i="1"/>
  <c r="DK273" i="1" s="1"/>
  <c r="DI275" i="1"/>
  <c r="DK275" i="1" s="1"/>
  <c r="DI277" i="1"/>
  <c r="DK277" i="1" s="1"/>
  <c r="DI279" i="1"/>
  <c r="DK279" i="1" s="1"/>
  <c r="DI281" i="1"/>
  <c r="DK281" i="1" s="1"/>
  <c r="DI283" i="1"/>
  <c r="DK283" i="1" s="1"/>
  <c r="DI254" i="1"/>
  <c r="DI220" i="1"/>
  <c r="DK220" i="1" s="1"/>
  <c r="DI222" i="1"/>
  <c r="DK222" i="1" s="1"/>
  <c r="DI224" i="1"/>
  <c r="DK224" i="1" s="1"/>
  <c r="DI226" i="1"/>
  <c r="DK226" i="1" s="1"/>
  <c r="DI228" i="1"/>
  <c r="DK228" i="1" s="1"/>
  <c r="DI230" i="1"/>
  <c r="DK230" i="1" s="1"/>
  <c r="DI232" i="1"/>
  <c r="DK232" i="1" s="1"/>
  <c r="DI234" i="1"/>
  <c r="DK234" i="1" s="1"/>
  <c r="DI236" i="1"/>
  <c r="DK236" i="1" s="1"/>
  <c r="DI238" i="1"/>
  <c r="DK238" i="1" s="1"/>
  <c r="DI240" i="1"/>
  <c r="DK240" i="1" s="1"/>
  <c r="DI242" i="1"/>
  <c r="DK242" i="1" s="1"/>
  <c r="DI244" i="1"/>
  <c r="DK244" i="1" s="1"/>
  <c r="DI246" i="1"/>
  <c r="DK246" i="1" s="1"/>
  <c r="DI248" i="1"/>
  <c r="DK248" i="1" s="1"/>
  <c r="DI184" i="1"/>
  <c r="DK184" i="1" s="1"/>
  <c r="DI186" i="1"/>
  <c r="DK186" i="1" s="1"/>
  <c r="DI188" i="1"/>
  <c r="DK188" i="1" s="1"/>
  <c r="DI190" i="1"/>
  <c r="DK190" i="1" s="1"/>
  <c r="DI192" i="1"/>
  <c r="DK192" i="1" s="1"/>
  <c r="DI194" i="1"/>
  <c r="DK194" i="1" s="1"/>
  <c r="DI196" i="1"/>
  <c r="DK196" i="1" s="1"/>
  <c r="DI198" i="1"/>
  <c r="DK198" i="1" s="1"/>
  <c r="DI200" i="1"/>
  <c r="DK200" i="1" s="1"/>
  <c r="DI202" i="1"/>
  <c r="DK202" i="1" s="1"/>
  <c r="DI204" i="1"/>
  <c r="DK204" i="1" s="1"/>
  <c r="DI206" i="1"/>
  <c r="DK206" i="1" s="1"/>
  <c r="DI208" i="1"/>
  <c r="DK208" i="1" s="1"/>
  <c r="DI210" i="1"/>
  <c r="DK210" i="1" s="1"/>
  <c r="DI212" i="1"/>
  <c r="DK212" i="1" s="1"/>
  <c r="DI148" i="1"/>
  <c r="DK148" i="1" s="1"/>
  <c r="DI150" i="1"/>
  <c r="DK150" i="1" s="1"/>
  <c r="DI152" i="1"/>
  <c r="DK152" i="1" s="1"/>
  <c r="DI154" i="1"/>
  <c r="DK154" i="1" s="1"/>
  <c r="DI156" i="1"/>
  <c r="DK156" i="1" s="1"/>
  <c r="DI158" i="1"/>
  <c r="DK158" i="1" s="1"/>
  <c r="DI160" i="1"/>
  <c r="DK160" i="1" s="1"/>
  <c r="DI162" i="1"/>
  <c r="DK162" i="1" s="1"/>
  <c r="DI164" i="1"/>
  <c r="DK164" i="1" s="1"/>
  <c r="DI166" i="1"/>
  <c r="DK166" i="1" s="1"/>
  <c r="DI168" i="1"/>
  <c r="DK168" i="1" s="1"/>
  <c r="DI170" i="1"/>
  <c r="DK170" i="1" s="1"/>
  <c r="DI172" i="1"/>
  <c r="DK172" i="1" s="1"/>
  <c r="DI174" i="1"/>
  <c r="DK174" i="1" s="1"/>
  <c r="DI176" i="1"/>
  <c r="DK176" i="1" s="1"/>
  <c r="DI114" i="1"/>
  <c r="DK114" i="1" s="1"/>
  <c r="DI116" i="1"/>
  <c r="DK116" i="1" s="1"/>
  <c r="DI118" i="1"/>
  <c r="DK118" i="1" s="1"/>
  <c r="DI120" i="1"/>
  <c r="DK120" i="1" s="1"/>
  <c r="DI122" i="1"/>
  <c r="DK122" i="1" s="1"/>
  <c r="DI124" i="1"/>
  <c r="DK124" i="1" s="1"/>
  <c r="DI126" i="1"/>
  <c r="DK126" i="1" s="1"/>
  <c r="DI128" i="1"/>
  <c r="DK128" i="1" s="1"/>
  <c r="DI130" i="1"/>
  <c r="DK130" i="1" s="1"/>
  <c r="DI132" i="1"/>
  <c r="DK132" i="1" s="1"/>
  <c r="DI134" i="1"/>
  <c r="DK134" i="1" s="1"/>
  <c r="DI136" i="1"/>
  <c r="DK136" i="1" s="1"/>
  <c r="DI138" i="1"/>
  <c r="DK138" i="1" s="1"/>
  <c r="DI140" i="1"/>
  <c r="DK140" i="1" s="1"/>
  <c r="DI112" i="1"/>
  <c r="DI78" i="1"/>
  <c r="DK78" i="1" s="1"/>
  <c r="DI80" i="1"/>
  <c r="DK80" i="1" s="1"/>
  <c r="DI82" i="1"/>
  <c r="DK82" i="1" s="1"/>
  <c r="DI84" i="1"/>
  <c r="DK84" i="1" s="1"/>
  <c r="DI86" i="1"/>
  <c r="DK86" i="1" s="1"/>
  <c r="DI88" i="1"/>
  <c r="DK88" i="1" s="1"/>
  <c r="DI90" i="1"/>
  <c r="DK90" i="1" s="1"/>
  <c r="DI92" i="1"/>
  <c r="DK92" i="1" s="1"/>
  <c r="DI94" i="1"/>
  <c r="DK94" i="1" s="1"/>
  <c r="DI96" i="1"/>
  <c r="DK96" i="1" s="1"/>
  <c r="DI98" i="1"/>
  <c r="DK98" i="1" s="1"/>
  <c r="DI100" i="1"/>
  <c r="DK100" i="1" s="1"/>
  <c r="DI102" i="1"/>
  <c r="DK102" i="1" s="1"/>
  <c r="DI104" i="1"/>
  <c r="DK104" i="1" s="1"/>
  <c r="DI106" i="1"/>
  <c r="DK106" i="1" s="1"/>
  <c r="DI43" i="1"/>
  <c r="DK43" i="1" s="1"/>
  <c r="DI45" i="1"/>
  <c r="DK45" i="1" s="1"/>
  <c r="DI47" i="1"/>
  <c r="DK47" i="1" s="1"/>
  <c r="DI49" i="1"/>
  <c r="DK49" i="1" s="1"/>
  <c r="DI51" i="1"/>
  <c r="DK51" i="1" s="1"/>
  <c r="DI53" i="1"/>
  <c r="DK53" i="1" s="1"/>
  <c r="DI55" i="1"/>
  <c r="DK55" i="1" s="1"/>
  <c r="DI57" i="1"/>
  <c r="DK57" i="1" s="1"/>
  <c r="DI59" i="1"/>
  <c r="DK59" i="1" s="1"/>
  <c r="DI61" i="1"/>
  <c r="DK61" i="1" s="1"/>
  <c r="DI63" i="1"/>
  <c r="DK63" i="1" s="1"/>
  <c r="DI65" i="1"/>
  <c r="DK65" i="1" s="1"/>
  <c r="DI67" i="1"/>
  <c r="DK67" i="1" s="1"/>
  <c r="DI69" i="1"/>
  <c r="DK69" i="1" s="1"/>
  <c r="DI42" i="1"/>
  <c r="DI8" i="1"/>
  <c r="DK8" i="1" s="1"/>
  <c r="DI10" i="1"/>
  <c r="DK10" i="1" s="1"/>
  <c r="DI12" i="1"/>
  <c r="DK12" i="1" s="1"/>
  <c r="DI14" i="1"/>
  <c r="DK14" i="1" s="1"/>
  <c r="DI16" i="1"/>
  <c r="DK16" i="1" s="1"/>
  <c r="DI18" i="1"/>
  <c r="DK18" i="1" s="1"/>
  <c r="DI20" i="1"/>
  <c r="DK20" i="1" s="1"/>
  <c r="DI22" i="1"/>
  <c r="DK22" i="1" s="1"/>
  <c r="DI24" i="1"/>
  <c r="DK24" i="1" s="1"/>
  <c r="DI26" i="1"/>
  <c r="DK26" i="1" s="1"/>
  <c r="DI28" i="1"/>
  <c r="DK28" i="1" s="1"/>
  <c r="DI30" i="1"/>
  <c r="DK30" i="1" s="1"/>
  <c r="DI32" i="1"/>
  <c r="DK32" i="1" s="1"/>
  <c r="DI34" i="1"/>
  <c r="DK34" i="1" s="1"/>
  <c r="DI36" i="1"/>
  <c r="DK36" i="1" s="1"/>
  <c r="ES398" i="1"/>
  <c r="EU398" i="1" s="1"/>
  <c r="ES400" i="1"/>
  <c r="EU400" i="1" s="1"/>
  <c r="ES402" i="1"/>
  <c r="EU402" i="1" s="1"/>
  <c r="ES404" i="1"/>
  <c r="EU404" i="1" s="1"/>
  <c r="ES406" i="1"/>
  <c r="EU406" i="1" s="1"/>
  <c r="ES408" i="1"/>
  <c r="EU408" i="1" s="1"/>
  <c r="ES410" i="1"/>
  <c r="EU410" i="1" s="1"/>
  <c r="ES412" i="1"/>
  <c r="EU412" i="1" s="1"/>
  <c r="ES414" i="1"/>
  <c r="EU414" i="1" s="1"/>
  <c r="ES416" i="1"/>
  <c r="EU416" i="1" s="1"/>
  <c r="ES418" i="1"/>
  <c r="EU418" i="1" s="1"/>
  <c r="ES420" i="1"/>
  <c r="EU420" i="1" s="1"/>
  <c r="ES422" i="1"/>
  <c r="EU422" i="1" s="1"/>
  <c r="ES424" i="1"/>
  <c r="EU424" i="1" s="1"/>
  <c r="ES426" i="1"/>
  <c r="EU426" i="1" s="1"/>
  <c r="ES362" i="1"/>
  <c r="EU362" i="1" s="1"/>
  <c r="ES364" i="1"/>
  <c r="EU364" i="1" s="1"/>
  <c r="ES366" i="1"/>
  <c r="EU366" i="1" s="1"/>
  <c r="ES368" i="1"/>
  <c r="EU368" i="1" s="1"/>
  <c r="ES370" i="1"/>
  <c r="EU370" i="1" s="1"/>
  <c r="ES372" i="1"/>
  <c r="EU372" i="1" s="1"/>
  <c r="ES374" i="1"/>
  <c r="EU374" i="1" s="1"/>
  <c r="ES376" i="1"/>
  <c r="EU376" i="1" s="1"/>
  <c r="ES378" i="1"/>
  <c r="EU378" i="1" s="1"/>
  <c r="ES380" i="1"/>
  <c r="EU380" i="1" s="1"/>
  <c r="ES382" i="1"/>
  <c r="EU382" i="1" s="1"/>
  <c r="ES384" i="1"/>
  <c r="EU384" i="1" s="1"/>
  <c r="ES386" i="1"/>
  <c r="EU386" i="1" s="1"/>
  <c r="ES388" i="1"/>
  <c r="EU388" i="1" s="1"/>
  <c r="ES390" i="1"/>
  <c r="EU390" i="1" s="1"/>
  <c r="ES326" i="1"/>
  <c r="EU326" i="1" s="1"/>
  <c r="ES328" i="1"/>
  <c r="EU328" i="1" s="1"/>
  <c r="ES330" i="1"/>
  <c r="EU330" i="1" s="1"/>
  <c r="ES332" i="1"/>
  <c r="EU332" i="1" s="1"/>
  <c r="ES334" i="1"/>
  <c r="EU334" i="1" s="1"/>
  <c r="ES336" i="1"/>
  <c r="EU336" i="1" s="1"/>
  <c r="ES338" i="1"/>
  <c r="EU338" i="1" s="1"/>
  <c r="ES340" i="1"/>
  <c r="EU340" i="1" s="1"/>
  <c r="ES342" i="1"/>
  <c r="EU342" i="1" s="1"/>
  <c r="ES344" i="1"/>
  <c r="EU344" i="1" s="1"/>
  <c r="ES346" i="1"/>
  <c r="EU346" i="1" s="1"/>
  <c r="ES348" i="1"/>
  <c r="EU348" i="1" s="1"/>
  <c r="ES350" i="1"/>
  <c r="EU350" i="1" s="1"/>
  <c r="ES352" i="1"/>
  <c r="EU352" i="1" s="1"/>
  <c r="ES354" i="1"/>
  <c r="EU354" i="1" s="1"/>
  <c r="ES325" i="1"/>
  <c r="ES292" i="1"/>
  <c r="EU292" i="1" s="1"/>
  <c r="ES294" i="1"/>
  <c r="EU294" i="1" s="1"/>
  <c r="ES296" i="1"/>
  <c r="EU296" i="1" s="1"/>
  <c r="ES298" i="1"/>
  <c r="EU298" i="1" s="1"/>
  <c r="ES300" i="1"/>
  <c r="EU300" i="1" s="1"/>
  <c r="ES302" i="1"/>
  <c r="EU302" i="1" s="1"/>
  <c r="ES304" i="1"/>
  <c r="EU304" i="1" s="1"/>
  <c r="ES306" i="1"/>
  <c r="EU306" i="1" s="1"/>
  <c r="ES308" i="1"/>
  <c r="EU308" i="1" s="1"/>
  <c r="ES310" i="1"/>
  <c r="EU310" i="1" s="1"/>
  <c r="ES312" i="1"/>
  <c r="EU312" i="1" s="1"/>
  <c r="ES314" i="1"/>
  <c r="EU314" i="1" s="1"/>
  <c r="ES316" i="1"/>
  <c r="EU316" i="1" s="1"/>
  <c r="ES318" i="1"/>
  <c r="EU318" i="1" s="1"/>
  <c r="ES290" i="1"/>
  <c r="ES256" i="1"/>
  <c r="EU256" i="1" s="1"/>
  <c r="ES258" i="1"/>
  <c r="EU258" i="1" s="1"/>
  <c r="ES260" i="1"/>
  <c r="EU260" i="1" s="1"/>
  <c r="ES262" i="1"/>
  <c r="EU262" i="1" s="1"/>
  <c r="ES264" i="1"/>
  <c r="EU264" i="1" s="1"/>
  <c r="ES266" i="1"/>
  <c r="EU266" i="1" s="1"/>
  <c r="ES268" i="1"/>
  <c r="EU268" i="1" s="1"/>
  <c r="ES270" i="1"/>
  <c r="EU270" i="1" s="1"/>
  <c r="ES272" i="1"/>
  <c r="EU272" i="1" s="1"/>
  <c r="ES274" i="1"/>
  <c r="EU274" i="1" s="1"/>
  <c r="ES276" i="1"/>
  <c r="EU276" i="1" s="1"/>
  <c r="ES278" i="1"/>
  <c r="EU278" i="1" s="1"/>
  <c r="ES280" i="1"/>
  <c r="EU280" i="1" s="1"/>
  <c r="ES282" i="1"/>
  <c r="EU282" i="1" s="1"/>
  <c r="ES284" i="1"/>
  <c r="EU284" i="1" s="1"/>
  <c r="ES219" i="1"/>
  <c r="EU219" i="1" s="1"/>
  <c r="ES221" i="1"/>
  <c r="EU221" i="1" s="1"/>
  <c r="ES223" i="1"/>
  <c r="EU223" i="1" s="1"/>
  <c r="ES225" i="1"/>
  <c r="EU225" i="1" s="1"/>
  <c r="ES227" i="1"/>
  <c r="EU227" i="1" s="1"/>
  <c r="ES229" i="1"/>
  <c r="EU229" i="1" s="1"/>
  <c r="ES231" i="1"/>
  <c r="EU231" i="1" s="1"/>
  <c r="ES233" i="1"/>
  <c r="EU233" i="1" s="1"/>
  <c r="ES235" i="1"/>
  <c r="EU235" i="1" s="1"/>
  <c r="ES237" i="1"/>
  <c r="EU237" i="1" s="1"/>
  <c r="ES239" i="1"/>
  <c r="EU239" i="1" s="1"/>
  <c r="ES241" i="1"/>
  <c r="EU241" i="1" s="1"/>
  <c r="ES243" i="1"/>
  <c r="EU243" i="1" s="1"/>
  <c r="ES245" i="1"/>
  <c r="EU245" i="1" s="1"/>
  <c r="ES247" i="1"/>
  <c r="EU247" i="1" s="1"/>
  <c r="ES218" i="1"/>
  <c r="ES185" i="1"/>
  <c r="EU185" i="1" s="1"/>
  <c r="ES187" i="1"/>
  <c r="EU187" i="1" s="1"/>
  <c r="ES189" i="1"/>
  <c r="EU189" i="1" s="1"/>
  <c r="ES191" i="1"/>
  <c r="EU191" i="1" s="1"/>
  <c r="ES193" i="1"/>
  <c r="EU193" i="1" s="1"/>
  <c r="ES195" i="1"/>
  <c r="EU195" i="1" s="1"/>
  <c r="ES197" i="1"/>
  <c r="EU197" i="1" s="1"/>
  <c r="ES199" i="1"/>
  <c r="EU199" i="1" s="1"/>
  <c r="ES201" i="1"/>
  <c r="EU201" i="1" s="1"/>
  <c r="ES203" i="1"/>
  <c r="EU203" i="1" s="1"/>
  <c r="ES205" i="1"/>
  <c r="EU205" i="1" s="1"/>
  <c r="ES207" i="1"/>
  <c r="EU207" i="1" s="1"/>
  <c r="ES209" i="1"/>
  <c r="EU209" i="1" s="1"/>
  <c r="ES211" i="1"/>
  <c r="EU211" i="1" s="1"/>
  <c r="ES183" i="1"/>
  <c r="ES149" i="1"/>
  <c r="EU149" i="1" s="1"/>
  <c r="ES151" i="1"/>
  <c r="EU151" i="1" s="1"/>
  <c r="ES153" i="1"/>
  <c r="EU153" i="1" s="1"/>
  <c r="ES155" i="1"/>
  <c r="EU155" i="1" s="1"/>
  <c r="ES157" i="1"/>
  <c r="EU157" i="1" s="1"/>
  <c r="ES159" i="1"/>
  <c r="EU159" i="1" s="1"/>
  <c r="ES161" i="1"/>
  <c r="EU161" i="1" s="1"/>
  <c r="ES163" i="1"/>
  <c r="EU163" i="1" s="1"/>
  <c r="ES165" i="1"/>
  <c r="EU165" i="1" s="1"/>
  <c r="ES167" i="1"/>
  <c r="EU167" i="1" s="1"/>
  <c r="ES169" i="1"/>
  <c r="EU169" i="1" s="1"/>
  <c r="ES171" i="1"/>
  <c r="EU171" i="1" s="1"/>
  <c r="ES173" i="1"/>
  <c r="EU173" i="1" s="1"/>
  <c r="ES175" i="1"/>
  <c r="EU175" i="1" s="1"/>
  <c r="ES177" i="1"/>
  <c r="EU177" i="1" s="1"/>
  <c r="ES113" i="1"/>
  <c r="EU113" i="1" s="1"/>
  <c r="ES115" i="1"/>
  <c r="EU115" i="1" s="1"/>
  <c r="ES117" i="1"/>
  <c r="EU117" i="1" s="1"/>
  <c r="ES119" i="1"/>
  <c r="EU119" i="1" s="1"/>
  <c r="ES121" i="1"/>
  <c r="EU121" i="1" s="1"/>
  <c r="ES123" i="1"/>
  <c r="EU123" i="1" s="1"/>
  <c r="ES125" i="1"/>
  <c r="EU125" i="1" s="1"/>
  <c r="ES127" i="1"/>
  <c r="EU127" i="1" s="1"/>
  <c r="ES129" i="1"/>
  <c r="EU129" i="1" s="1"/>
  <c r="ES131" i="1"/>
  <c r="EU131" i="1" s="1"/>
  <c r="ES133" i="1"/>
  <c r="EU133" i="1" s="1"/>
  <c r="ES135" i="1"/>
  <c r="EU135" i="1" s="1"/>
  <c r="ES137" i="1"/>
  <c r="EU137" i="1" s="1"/>
  <c r="ES139" i="1"/>
  <c r="EU139" i="1" s="1"/>
  <c r="ES141" i="1"/>
  <c r="EU141" i="1" s="1"/>
  <c r="ES77" i="1"/>
  <c r="EU77" i="1" s="1"/>
  <c r="ES79" i="1"/>
  <c r="EU79" i="1" s="1"/>
  <c r="ES81" i="1"/>
  <c r="EU81" i="1" s="1"/>
  <c r="ES83" i="1"/>
  <c r="EU83" i="1" s="1"/>
  <c r="ES85" i="1"/>
  <c r="EU85" i="1" s="1"/>
  <c r="ES87" i="1"/>
  <c r="EU87" i="1" s="1"/>
  <c r="ES89" i="1"/>
  <c r="EU89" i="1" s="1"/>
  <c r="ES91" i="1"/>
  <c r="EU91" i="1" s="1"/>
  <c r="ES93" i="1"/>
  <c r="EU93" i="1" s="1"/>
  <c r="ES95" i="1"/>
  <c r="EU95" i="1" s="1"/>
  <c r="ES97" i="1"/>
  <c r="EU97" i="1" s="1"/>
  <c r="ES99" i="1"/>
  <c r="EU99" i="1" s="1"/>
  <c r="ES101" i="1"/>
  <c r="EU101" i="1" s="1"/>
  <c r="ES103" i="1"/>
  <c r="EU103" i="1" s="1"/>
  <c r="ES105" i="1"/>
  <c r="EU105" i="1" s="1"/>
  <c r="ES76" i="1"/>
  <c r="ES44" i="1"/>
  <c r="EU44" i="1" s="1"/>
  <c r="ES46" i="1"/>
  <c r="EU46" i="1" s="1"/>
  <c r="ES48" i="1"/>
  <c r="EU48" i="1" s="1"/>
  <c r="ES50" i="1"/>
  <c r="EU50" i="1" s="1"/>
  <c r="ES52" i="1"/>
  <c r="EU52" i="1" s="1"/>
  <c r="ES54" i="1"/>
  <c r="EU54" i="1" s="1"/>
  <c r="ES56" i="1"/>
  <c r="EU56" i="1" s="1"/>
  <c r="ES58" i="1"/>
  <c r="EU58" i="1" s="1"/>
  <c r="ES60" i="1"/>
  <c r="EU60" i="1" s="1"/>
  <c r="ES62" i="1"/>
  <c r="EU62" i="1" s="1"/>
  <c r="ES64" i="1"/>
  <c r="EU64" i="1" s="1"/>
  <c r="ES66" i="1"/>
  <c r="EU66" i="1" s="1"/>
  <c r="ES68" i="1"/>
  <c r="EU68" i="1" s="1"/>
  <c r="ES70" i="1"/>
  <c r="EU70" i="1" s="1"/>
  <c r="ES7" i="1"/>
  <c r="EU7" i="1" s="1"/>
  <c r="ES9" i="1"/>
  <c r="EU9" i="1" s="1"/>
  <c r="ES11" i="1"/>
  <c r="EU11" i="1" s="1"/>
  <c r="ES13" i="1"/>
  <c r="EU13" i="1" s="1"/>
  <c r="ES15" i="1"/>
  <c r="EU15" i="1" s="1"/>
  <c r="ES17" i="1"/>
  <c r="EU17" i="1" s="1"/>
  <c r="ES19" i="1"/>
  <c r="EU19" i="1" s="1"/>
  <c r="ES21" i="1"/>
  <c r="EU21" i="1" s="1"/>
  <c r="ES23" i="1"/>
  <c r="EU23" i="1" s="1"/>
  <c r="ES25" i="1"/>
  <c r="EU25" i="1" s="1"/>
  <c r="ES27" i="1"/>
  <c r="EU27" i="1" s="1"/>
  <c r="ES29" i="1"/>
  <c r="EU29" i="1" s="1"/>
  <c r="ES31" i="1"/>
  <c r="EU31" i="1" s="1"/>
  <c r="ES33" i="1"/>
  <c r="EU33" i="1" s="1"/>
  <c r="ES35" i="1"/>
  <c r="EU35" i="1" s="1"/>
  <c r="ES397" i="1"/>
  <c r="EU397" i="1" s="1"/>
  <c r="ES399" i="1"/>
  <c r="EU399" i="1" s="1"/>
  <c r="ES401" i="1"/>
  <c r="EU401" i="1" s="1"/>
  <c r="ES403" i="1"/>
  <c r="EU403" i="1" s="1"/>
  <c r="ES405" i="1"/>
  <c r="EU405" i="1" s="1"/>
  <c r="ES407" i="1"/>
  <c r="EU407" i="1" s="1"/>
  <c r="ES409" i="1"/>
  <c r="EU409" i="1" s="1"/>
  <c r="ES411" i="1"/>
  <c r="EU411" i="1" s="1"/>
  <c r="ES413" i="1"/>
  <c r="EU413" i="1" s="1"/>
  <c r="ES415" i="1"/>
  <c r="EU415" i="1" s="1"/>
  <c r="ES417" i="1"/>
  <c r="EU417" i="1" s="1"/>
  <c r="ES419" i="1"/>
  <c r="EU419" i="1" s="1"/>
  <c r="ES421" i="1"/>
  <c r="EU421" i="1" s="1"/>
  <c r="ES423" i="1"/>
  <c r="EU423" i="1" s="1"/>
  <c r="ES425" i="1"/>
  <c r="EU425" i="1" s="1"/>
  <c r="ES396" i="1"/>
  <c r="ES363" i="1"/>
  <c r="EU363" i="1" s="1"/>
  <c r="ES365" i="1"/>
  <c r="EU365" i="1" s="1"/>
  <c r="ES367" i="1"/>
  <c r="EU367" i="1" s="1"/>
  <c r="ES369" i="1"/>
  <c r="EU369" i="1" s="1"/>
  <c r="ES371" i="1"/>
  <c r="EU371" i="1" s="1"/>
  <c r="ES373" i="1"/>
  <c r="EU373" i="1" s="1"/>
  <c r="ES375" i="1"/>
  <c r="EU375" i="1" s="1"/>
  <c r="ES377" i="1"/>
  <c r="EU377" i="1" s="1"/>
  <c r="ES379" i="1"/>
  <c r="EU379" i="1" s="1"/>
  <c r="ES381" i="1"/>
  <c r="EU381" i="1" s="1"/>
  <c r="ES383" i="1"/>
  <c r="EU383" i="1" s="1"/>
  <c r="ES385" i="1"/>
  <c r="EU385" i="1" s="1"/>
  <c r="ES387" i="1"/>
  <c r="EU387" i="1" s="1"/>
  <c r="ES389" i="1"/>
  <c r="EU389" i="1" s="1"/>
  <c r="ES361" i="1"/>
  <c r="ES327" i="1"/>
  <c r="EU327" i="1" s="1"/>
  <c r="ES329" i="1"/>
  <c r="EU329" i="1" s="1"/>
  <c r="ES331" i="1"/>
  <c r="EU331" i="1" s="1"/>
  <c r="ES333" i="1"/>
  <c r="EU333" i="1" s="1"/>
  <c r="ES335" i="1"/>
  <c r="EU335" i="1" s="1"/>
  <c r="ES337" i="1"/>
  <c r="EU337" i="1" s="1"/>
  <c r="ES339" i="1"/>
  <c r="EU339" i="1" s="1"/>
  <c r="ES341" i="1"/>
  <c r="EU341" i="1" s="1"/>
  <c r="ES343" i="1"/>
  <c r="EU343" i="1" s="1"/>
  <c r="ES345" i="1"/>
  <c r="EU345" i="1" s="1"/>
  <c r="ES347" i="1"/>
  <c r="EU347" i="1" s="1"/>
  <c r="ES349" i="1"/>
  <c r="EU349" i="1" s="1"/>
  <c r="ES351" i="1"/>
  <c r="EU351" i="1" s="1"/>
  <c r="ES353" i="1"/>
  <c r="EU353" i="1" s="1"/>
  <c r="ES355" i="1"/>
  <c r="EU355" i="1" s="1"/>
  <c r="ES291" i="1"/>
  <c r="EU291" i="1" s="1"/>
  <c r="ES293" i="1"/>
  <c r="EU293" i="1" s="1"/>
  <c r="ES295" i="1"/>
  <c r="EU295" i="1" s="1"/>
  <c r="ES297" i="1"/>
  <c r="EU297" i="1" s="1"/>
  <c r="ES299" i="1"/>
  <c r="EU299" i="1" s="1"/>
  <c r="ES301" i="1"/>
  <c r="EU301" i="1" s="1"/>
  <c r="ES303" i="1"/>
  <c r="EU303" i="1" s="1"/>
  <c r="ES305" i="1"/>
  <c r="EU305" i="1" s="1"/>
  <c r="ES307" i="1"/>
  <c r="EU307" i="1" s="1"/>
  <c r="ES309" i="1"/>
  <c r="EU309" i="1" s="1"/>
  <c r="ES311" i="1"/>
  <c r="EU311" i="1" s="1"/>
  <c r="ES313" i="1"/>
  <c r="EU313" i="1" s="1"/>
  <c r="ES315" i="1"/>
  <c r="EU315" i="1" s="1"/>
  <c r="ES317" i="1"/>
  <c r="EU317" i="1" s="1"/>
  <c r="ES319" i="1"/>
  <c r="EU319" i="1" s="1"/>
  <c r="ES255" i="1"/>
  <c r="EU255" i="1" s="1"/>
  <c r="ES257" i="1"/>
  <c r="EU257" i="1" s="1"/>
  <c r="ES259" i="1"/>
  <c r="EU259" i="1" s="1"/>
  <c r="ES261" i="1"/>
  <c r="EU261" i="1" s="1"/>
  <c r="ES263" i="1"/>
  <c r="EU263" i="1" s="1"/>
  <c r="ES265" i="1"/>
  <c r="EU265" i="1" s="1"/>
  <c r="ES267" i="1"/>
  <c r="EU267" i="1" s="1"/>
  <c r="ES269" i="1"/>
  <c r="EU269" i="1" s="1"/>
  <c r="ES271" i="1"/>
  <c r="EU271" i="1" s="1"/>
  <c r="ES273" i="1"/>
  <c r="EU273" i="1" s="1"/>
  <c r="ES275" i="1"/>
  <c r="EU275" i="1" s="1"/>
  <c r="ES277" i="1"/>
  <c r="EU277" i="1" s="1"/>
  <c r="ES279" i="1"/>
  <c r="EU279" i="1" s="1"/>
  <c r="ES281" i="1"/>
  <c r="EU281" i="1" s="1"/>
  <c r="ES283" i="1"/>
  <c r="EU283" i="1" s="1"/>
  <c r="ES254" i="1"/>
  <c r="ES220" i="1"/>
  <c r="EU220" i="1" s="1"/>
  <c r="ES222" i="1"/>
  <c r="EU222" i="1" s="1"/>
  <c r="ES224" i="1"/>
  <c r="EU224" i="1" s="1"/>
  <c r="ES226" i="1"/>
  <c r="EU226" i="1" s="1"/>
  <c r="ES228" i="1"/>
  <c r="EU228" i="1" s="1"/>
  <c r="ES230" i="1"/>
  <c r="EU230" i="1" s="1"/>
  <c r="ES232" i="1"/>
  <c r="EU232" i="1" s="1"/>
  <c r="ES234" i="1"/>
  <c r="EU234" i="1" s="1"/>
  <c r="ES236" i="1"/>
  <c r="EU236" i="1" s="1"/>
  <c r="ES238" i="1"/>
  <c r="EU238" i="1" s="1"/>
  <c r="ES240" i="1"/>
  <c r="EU240" i="1" s="1"/>
  <c r="ES242" i="1"/>
  <c r="EU242" i="1" s="1"/>
  <c r="ES244" i="1"/>
  <c r="EU244" i="1" s="1"/>
  <c r="ES246" i="1"/>
  <c r="EU246" i="1" s="1"/>
  <c r="ES248" i="1"/>
  <c r="EU248" i="1" s="1"/>
  <c r="ES184" i="1"/>
  <c r="EU184" i="1" s="1"/>
  <c r="ES186" i="1"/>
  <c r="EU186" i="1" s="1"/>
  <c r="ES188" i="1"/>
  <c r="EU188" i="1" s="1"/>
  <c r="ES190" i="1"/>
  <c r="EU190" i="1" s="1"/>
  <c r="ES192" i="1"/>
  <c r="EU192" i="1" s="1"/>
  <c r="ES194" i="1"/>
  <c r="EU194" i="1" s="1"/>
  <c r="ES196" i="1"/>
  <c r="EU196" i="1" s="1"/>
  <c r="ES198" i="1"/>
  <c r="EU198" i="1" s="1"/>
  <c r="ES200" i="1"/>
  <c r="EU200" i="1" s="1"/>
  <c r="ES202" i="1"/>
  <c r="EU202" i="1" s="1"/>
  <c r="ES204" i="1"/>
  <c r="EU204" i="1" s="1"/>
  <c r="ES206" i="1"/>
  <c r="EU206" i="1" s="1"/>
  <c r="ES208" i="1"/>
  <c r="EU208" i="1" s="1"/>
  <c r="ES210" i="1"/>
  <c r="EU210" i="1" s="1"/>
  <c r="ES212" i="1"/>
  <c r="EU212" i="1" s="1"/>
  <c r="ES148" i="1"/>
  <c r="EU148" i="1" s="1"/>
  <c r="ES150" i="1"/>
  <c r="EU150" i="1" s="1"/>
  <c r="ES152" i="1"/>
  <c r="EU152" i="1" s="1"/>
  <c r="ES154" i="1"/>
  <c r="EU154" i="1" s="1"/>
  <c r="ES156" i="1"/>
  <c r="EU156" i="1" s="1"/>
  <c r="ES158" i="1"/>
  <c r="EU158" i="1" s="1"/>
  <c r="ES160" i="1"/>
  <c r="EU160" i="1" s="1"/>
  <c r="ES162" i="1"/>
  <c r="EU162" i="1" s="1"/>
  <c r="ES164" i="1"/>
  <c r="EU164" i="1" s="1"/>
  <c r="ES166" i="1"/>
  <c r="EU166" i="1" s="1"/>
  <c r="ES168" i="1"/>
  <c r="EU168" i="1" s="1"/>
  <c r="ES170" i="1"/>
  <c r="EU170" i="1" s="1"/>
  <c r="ES172" i="1"/>
  <c r="EU172" i="1" s="1"/>
  <c r="ES174" i="1"/>
  <c r="EU174" i="1" s="1"/>
  <c r="ES176" i="1"/>
  <c r="EU176" i="1" s="1"/>
  <c r="ES114" i="1"/>
  <c r="EU114" i="1" s="1"/>
  <c r="ES116" i="1"/>
  <c r="EU116" i="1" s="1"/>
  <c r="ES118" i="1"/>
  <c r="EU118" i="1" s="1"/>
  <c r="ES120" i="1"/>
  <c r="EU120" i="1" s="1"/>
  <c r="ES122" i="1"/>
  <c r="EU122" i="1" s="1"/>
  <c r="ES124" i="1"/>
  <c r="EU124" i="1" s="1"/>
  <c r="ES126" i="1"/>
  <c r="EU126" i="1" s="1"/>
  <c r="ES128" i="1"/>
  <c r="EU128" i="1" s="1"/>
  <c r="ES130" i="1"/>
  <c r="EU130" i="1" s="1"/>
  <c r="ES132" i="1"/>
  <c r="EU132" i="1" s="1"/>
  <c r="ES134" i="1"/>
  <c r="EU134" i="1" s="1"/>
  <c r="ES136" i="1"/>
  <c r="EU136" i="1" s="1"/>
  <c r="ES138" i="1"/>
  <c r="EU138" i="1" s="1"/>
  <c r="ES140" i="1"/>
  <c r="EU140" i="1" s="1"/>
  <c r="ES112" i="1"/>
  <c r="ES78" i="1"/>
  <c r="EU78" i="1" s="1"/>
  <c r="ES80" i="1"/>
  <c r="EU80" i="1" s="1"/>
  <c r="ES82" i="1"/>
  <c r="EU82" i="1" s="1"/>
  <c r="ES84" i="1"/>
  <c r="EU84" i="1" s="1"/>
  <c r="ES86" i="1"/>
  <c r="EU86" i="1" s="1"/>
  <c r="ES88" i="1"/>
  <c r="EU88" i="1" s="1"/>
  <c r="ES90" i="1"/>
  <c r="EU90" i="1" s="1"/>
  <c r="ES92" i="1"/>
  <c r="EU92" i="1" s="1"/>
  <c r="ES94" i="1"/>
  <c r="EU94" i="1" s="1"/>
  <c r="ES96" i="1"/>
  <c r="EU96" i="1" s="1"/>
  <c r="ES98" i="1"/>
  <c r="EU98" i="1" s="1"/>
  <c r="ES100" i="1"/>
  <c r="EU100" i="1" s="1"/>
  <c r="ES102" i="1"/>
  <c r="EU102" i="1" s="1"/>
  <c r="ES104" i="1"/>
  <c r="EU104" i="1" s="1"/>
  <c r="ES106" i="1"/>
  <c r="EU106" i="1" s="1"/>
  <c r="ES43" i="1"/>
  <c r="EU43" i="1" s="1"/>
  <c r="ES45" i="1"/>
  <c r="EU45" i="1" s="1"/>
  <c r="ES47" i="1"/>
  <c r="EU47" i="1" s="1"/>
  <c r="ES49" i="1"/>
  <c r="EU49" i="1" s="1"/>
  <c r="ES51" i="1"/>
  <c r="EU51" i="1" s="1"/>
  <c r="ES53" i="1"/>
  <c r="EU53" i="1" s="1"/>
  <c r="ES55" i="1"/>
  <c r="EU55" i="1" s="1"/>
  <c r="ES57" i="1"/>
  <c r="EU57" i="1" s="1"/>
  <c r="ES59" i="1"/>
  <c r="EU59" i="1" s="1"/>
  <c r="ES61" i="1"/>
  <c r="EU61" i="1" s="1"/>
  <c r="ES63" i="1"/>
  <c r="EU63" i="1" s="1"/>
  <c r="ES65" i="1"/>
  <c r="EU65" i="1" s="1"/>
  <c r="ES67" i="1"/>
  <c r="EU67" i="1" s="1"/>
  <c r="ES69" i="1"/>
  <c r="EU69" i="1" s="1"/>
  <c r="ES42" i="1"/>
  <c r="ES8" i="1"/>
  <c r="EU8" i="1" s="1"/>
  <c r="ES10" i="1"/>
  <c r="EU10" i="1" s="1"/>
  <c r="ES12" i="1"/>
  <c r="EU12" i="1" s="1"/>
  <c r="ES14" i="1"/>
  <c r="EU14" i="1" s="1"/>
  <c r="ES16" i="1"/>
  <c r="EU16" i="1" s="1"/>
  <c r="ES18" i="1"/>
  <c r="EU18" i="1" s="1"/>
  <c r="ES20" i="1"/>
  <c r="EU20" i="1" s="1"/>
  <c r="ES22" i="1"/>
  <c r="EU22" i="1" s="1"/>
  <c r="ES24" i="1"/>
  <c r="EU24" i="1" s="1"/>
  <c r="ES26" i="1"/>
  <c r="EU26" i="1" s="1"/>
  <c r="ES28" i="1"/>
  <c r="EU28" i="1" s="1"/>
  <c r="ES30" i="1"/>
  <c r="EU30" i="1" s="1"/>
  <c r="ES32" i="1"/>
  <c r="EU32" i="1" s="1"/>
  <c r="ES34" i="1"/>
  <c r="EU34" i="1" s="1"/>
  <c r="ES36" i="1"/>
  <c r="EU36" i="1" s="1"/>
  <c r="GC398" i="1"/>
  <c r="GE398" i="1" s="1"/>
  <c r="GC400" i="1"/>
  <c r="GE400" i="1" s="1"/>
  <c r="GC402" i="1"/>
  <c r="GE402" i="1" s="1"/>
  <c r="GC404" i="1"/>
  <c r="GE404" i="1" s="1"/>
  <c r="GC406" i="1"/>
  <c r="GE406" i="1" s="1"/>
  <c r="GC408" i="1"/>
  <c r="GE408" i="1" s="1"/>
  <c r="GC412" i="1"/>
  <c r="GE412" i="1" s="1"/>
  <c r="GC414" i="1"/>
  <c r="GE414" i="1" s="1"/>
  <c r="GC416" i="1"/>
  <c r="GE416" i="1" s="1"/>
  <c r="GC418" i="1"/>
  <c r="GE418" i="1" s="1"/>
  <c r="GC420" i="1"/>
  <c r="GE420" i="1" s="1"/>
  <c r="GC422" i="1"/>
  <c r="GE422" i="1" s="1"/>
  <c r="GC424" i="1"/>
  <c r="GE424" i="1" s="1"/>
  <c r="GC426" i="1"/>
  <c r="GE426" i="1" s="1"/>
  <c r="GC362" i="1"/>
  <c r="GE362" i="1" s="1"/>
  <c r="GC364" i="1"/>
  <c r="GE364" i="1" s="1"/>
  <c r="GC366" i="1"/>
  <c r="GE366" i="1" s="1"/>
  <c r="GC368" i="1"/>
  <c r="GE368" i="1" s="1"/>
  <c r="GC370" i="1"/>
  <c r="GE370" i="1" s="1"/>
  <c r="GC372" i="1"/>
  <c r="GE372" i="1" s="1"/>
  <c r="GC374" i="1"/>
  <c r="GE374" i="1" s="1"/>
  <c r="GC376" i="1"/>
  <c r="GE376" i="1" s="1"/>
  <c r="GC378" i="1"/>
  <c r="GE378" i="1" s="1"/>
  <c r="GC380" i="1"/>
  <c r="GE380" i="1" s="1"/>
  <c r="GC382" i="1"/>
  <c r="GE382" i="1" s="1"/>
  <c r="GC384" i="1"/>
  <c r="GE384" i="1" s="1"/>
  <c r="GC386" i="1"/>
  <c r="GE386" i="1" s="1"/>
  <c r="GC388" i="1"/>
  <c r="GE388" i="1" s="1"/>
  <c r="GC390" i="1"/>
  <c r="GE390" i="1" s="1"/>
  <c r="GC326" i="1"/>
  <c r="GE326" i="1" s="1"/>
  <c r="GC328" i="1"/>
  <c r="GE328" i="1" s="1"/>
  <c r="GC330" i="1"/>
  <c r="GE330" i="1" s="1"/>
  <c r="GC332" i="1"/>
  <c r="GE332" i="1" s="1"/>
  <c r="GC334" i="1"/>
  <c r="GE334" i="1" s="1"/>
  <c r="GC336" i="1"/>
  <c r="GE336" i="1" s="1"/>
  <c r="GC340" i="1"/>
  <c r="GE340" i="1" s="1"/>
  <c r="GC342" i="1"/>
  <c r="GE342" i="1" s="1"/>
  <c r="GC344" i="1"/>
  <c r="GE344" i="1" s="1"/>
  <c r="GC346" i="1"/>
  <c r="GE346" i="1" s="1"/>
  <c r="GC348" i="1"/>
  <c r="GE348" i="1" s="1"/>
  <c r="GC352" i="1"/>
  <c r="GE352" i="1" s="1"/>
  <c r="GC354" i="1"/>
  <c r="GE354" i="1" s="1"/>
  <c r="GC325" i="1"/>
  <c r="GC292" i="1"/>
  <c r="GE292" i="1" s="1"/>
  <c r="GC294" i="1"/>
  <c r="GE294" i="1" s="1"/>
  <c r="GC296" i="1"/>
  <c r="GE296" i="1" s="1"/>
  <c r="GC298" i="1"/>
  <c r="GE298" i="1" s="1"/>
  <c r="GC300" i="1"/>
  <c r="GE300" i="1" s="1"/>
  <c r="GC302" i="1"/>
  <c r="GE302" i="1" s="1"/>
  <c r="GC304" i="1"/>
  <c r="GE304" i="1" s="1"/>
  <c r="GC306" i="1"/>
  <c r="GE306" i="1" s="1"/>
  <c r="GC308" i="1"/>
  <c r="GE308" i="1" s="1"/>
  <c r="GC310" i="1"/>
  <c r="GE310" i="1" s="1"/>
  <c r="GC312" i="1"/>
  <c r="GE312" i="1" s="1"/>
  <c r="GC314" i="1"/>
  <c r="GE314" i="1" s="1"/>
  <c r="GC316" i="1"/>
  <c r="GE316" i="1" s="1"/>
  <c r="GC318" i="1"/>
  <c r="GE318" i="1" s="1"/>
  <c r="GC290" i="1"/>
  <c r="GC256" i="1"/>
  <c r="GE256" i="1" s="1"/>
  <c r="GC258" i="1"/>
  <c r="GE258" i="1" s="1"/>
  <c r="GC260" i="1"/>
  <c r="GE260" i="1" s="1"/>
  <c r="GC262" i="1"/>
  <c r="GE262" i="1" s="1"/>
  <c r="GC264" i="1"/>
  <c r="GE264" i="1" s="1"/>
  <c r="GC266" i="1"/>
  <c r="GE266" i="1" s="1"/>
  <c r="GC268" i="1"/>
  <c r="GE268" i="1" s="1"/>
  <c r="GC270" i="1"/>
  <c r="GE270" i="1" s="1"/>
  <c r="GC272" i="1"/>
  <c r="GE272" i="1" s="1"/>
  <c r="GC274" i="1"/>
  <c r="GE274" i="1" s="1"/>
  <c r="GC276" i="1"/>
  <c r="GE276" i="1" s="1"/>
  <c r="GC278" i="1"/>
  <c r="GE278" i="1" s="1"/>
  <c r="GC397" i="1"/>
  <c r="GE397" i="1" s="1"/>
  <c r="GC399" i="1"/>
  <c r="GE399" i="1" s="1"/>
  <c r="GC401" i="1"/>
  <c r="GE401" i="1" s="1"/>
  <c r="GC403" i="1"/>
  <c r="GE403" i="1" s="1"/>
  <c r="GC405" i="1"/>
  <c r="GE405" i="1" s="1"/>
  <c r="GC407" i="1"/>
  <c r="GE407" i="1" s="1"/>
  <c r="GC409" i="1"/>
  <c r="GE409" i="1" s="1"/>
  <c r="GC411" i="1"/>
  <c r="GE411" i="1" s="1"/>
  <c r="GC413" i="1"/>
  <c r="GE413" i="1" s="1"/>
  <c r="GC415" i="1"/>
  <c r="GE415" i="1" s="1"/>
  <c r="GC417" i="1"/>
  <c r="GE417" i="1" s="1"/>
  <c r="GC419" i="1"/>
  <c r="GE419" i="1" s="1"/>
  <c r="GC421" i="1"/>
  <c r="GE421" i="1" s="1"/>
  <c r="GC423" i="1"/>
  <c r="GE423" i="1" s="1"/>
  <c r="GC425" i="1"/>
  <c r="GE425" i="1" s="1"/>
  <c r="GC396" i="1"/>
  <c r="GC363" i="1"/>
  <c r="GE363" i="1" s="1"/>
  <c r="GC365" i="1"/>
  <c r="GE365" i="1" s="1"/>
  <c r="GC367" i="1"/>
  <c r="GE367" i="1" s="1"/>
  <c r="GC369" i="1"/>
  <c r="GE369" i="1" s="1"/>
  <c r="GC371" i="1"/>
  <c r="GE371" i="1" s="1"/>
  <c r="GC373" i="1"/>
  <c r="GE373" i="1" s="1"/>
  <c r="GC375" i="1"/>
  <c r="GE375" i="1" s="1"/>
  <c r="GC377" i="1"/>
  <c r="GE377" i="1" s="1"/>
  <c r="GC379" i="1"/>
  <c r="GE379" i="1" s="1"/>
  <c r="GC381" i="1"/>
  <c r="GE381" i="1" s="1"/>
  <c r="GC383" i="1"/>
  <c r="GE383" i="1" s="1"/>
  <c r="GC385" i="1"/>
  <c r="GE385" i="1" s="1"/>
  <c r="GC387" i="1"/>
  <c r="GE387" i="1" s="1"/>
  <c r="GC389" i="1"/>
  <c r="GE389" i="1" s="1"/>
  <c r="GC361" i="1"/>
  <c r="GC327" i="1"/>
  <c r="GE327" i="1" s="1"/>
  <c r="GC329" i="1"/>
  <c r="GE329" i="1" s="1"/>
  <c r="GC331" i="1"/>
  <c r="GE331" i="1" s="1"/>
  <c r="GC333" i="1"/>
  <c r="GE333" i="1" s="1"/>
  <c r="GC335" i="1"/>
  <c r="GE335" i="1" s="1"/>
  <c r="GC337" i="1"/>
  <c r="GE337" i="1" s="1"/>
  <c r="GC339" i="1"/>
  <c r="GE339" i="1" s="1"/>
  <c r="GC341" i="1"/>
  <c r="GE341" i="1" s="1"/>
  <c r="GC343" i="1"/>
  <c r="GE343" i="1" s="1"/>
  <c r="GC345" i="1"/>
  <c r="GE345" i="1" s="1"/>
  <c r="GC347" i="1"/>
  <c r="GE347" i="1" s="1"/>
  <c r="GC349" i="1"/>
  <c r="GE349" i="1" s="1"/>
  <c r="GC351" i="1"/>
  <c r="GE351" i="1" s="1"/>
  <c r="GC353" i="1"/>
  <c r="GE353" i="1" s="1"/>
  <c r="GC355" i="1"/>
  <c r="GE355" i="1" s="1"/>
  <c r="GC291" i="1"/>
  <c r="GE291" i="1" s="1"/>
  <c r="GC293" i="1"/>
  <c r="GE293" i="1" s="1"/>
  <c r="GC295" i="1"/>
  <c r="GE295" i="1" s="1"/>
  <c r="GC297" i="1"/>
  <c r="GE297" i="1" s="1"/>
  <c r="GC299" i="1"/>
  <c r="GE299" i="1" s="1"/>
  <c r="GC301" i="1"/>
  <c r="GE301" i="1" s="1"/>
  <c r="GC303" i="1"/>
  <c r="GE303" i="1" s="1"/>
  <c r="GC305" i="1"/>
  <c r="GE305" i="1" s="1"/>
  <c r="GC307" i="1"/>
  <c r="GE307" i="1" s="1"/>
  <c r="GC309" i="1"/>
  <c r="GE309" i="1" s="1"/>
  <c r="GC311" i="1"/>
  <c r="GE311" i="1" s="1"/>
  <c r="GC313" i="1"/>
  <c r="GE313" i="1" s="1"/>
  <c r="GC315" i="1"/>
  <c r="GE315" i="1" s="1"/>
  <c r="GC317" i="1"/>
  <c r="GE317" i="1" s="1"/>
  <c r="GC319" i="1"/>
  <c r="GE319" i="1" s="1"/>
  <c r="GC255" i="1"/>
  <c r="GE255" i="1" s="1"/>
  <c r="GC257" i="1"/>
  <c r="GE257" i="1" s="1"/>
  <c r="GC259" i="1"/>
  <c r="GE259" i="1" s="1"/>
  <c r="GC261" i="1"/>
  <c r="GE261" i="1" s="1"/>
  <c r="GC263" i="1"/>
  <c r="GE263" i="1" s="1"/>
  <c r="GC265" i="1"/>
  <c r="GE265" i="1" s="1"/>
  <c r="GC267" i="1"/>
  <c r="GE267" i="1" s="1"/>
  <c r="GC269" i="1"/>
  <c r="GE269" i="1" s="1"/>
  <c r="GC271" i="1"/>
  <c r="GE271" i="1" s="1"/>
  <c r="GC273" i="1"/>
  <c r="GE273" i="1" s="1"/>
  <c r="GC275" i="1"/>
  <c r="GE275" i="1" s="1"/>
  <c r="GC277" i="1"/>
  <c r="GE277" i="1" s="1"/>
  <c r="GC279" i="1"/>
  <c r="GE279" i="1" s="1"/>
  <c r="GC281" i="1"/>
  <c r="GE281" i="1" s="1"/>
  <c r="GC283" i="1"/>
  <c r="GE283" i="1" s="1"/>
  <c r="GC254" i="1"/>
  <c r="GC220" i="1"/>
  <c r="GE220" i="1" s="1"/>
  <c r="GC222" i="1"/>
  <c r="GE222" i="1" s="1"/>
  <c r="GC224" i="1"/>
  <c r="GE224" i="1" s="1"/>
  <c r="GC226" i="1"/>
  <c r="GE226" i="1" s="1"/>
  <c r="GC228" i="1"/>
  <c r="GE228" i="1" s="1"/>
  <c r="GC230" i="1"/>
  <c r="GE230" i="1" s="1"/>
  <c r="GC232" i="1"/>
  <c r="GE232" i="1" s="1"/>
  <c r="GC234" i="1"/>
  <c r="GE234" i="1" s="1"/>
  <c r="GC236" i="1"/>
  <c r="GE236" i="1" s="1"/>
  <c r="GC238" i="1"/>
  <c r="GE238" i="1" s="1"/>
  <c r="GC240" i="1"/>
  <c r="GE240" i="1" s="1"/>
  <c r="GC242" i="1"/>
  <c r="GE242" i="1" s="1"/>
  <c r="GC244" i="1"/>
  <c r="GE244" i="1" s="1"/>
  <c r="GC246" i="1"/>
  <c r="GE246" i="1" s="1"/>
  <c r="GC248" i="1"/>
  <c r="GE248" i="1" s="1"/>
  <c r="GC184" i="1"/>
  <c r="GE184" i="1" s="1"/>
  <c r="GC186" i="1"/>
  <c r="GE186" i="1" s="1"/>
  <c r="GC188" i="1"/>
  <c r="GE188" i="1" s="1"/>
  <c r="GC190" i="1"/>
  <c r="GE190" i="1" s="1"/>
  <c r="GC192" i="1"/>
  <c r="GE192" i="1" s="1"/>
  <c r="GC194" i="1"/>
  <c r="GE194" i="1" s="1"/>
  <c r="GC196" i="1"/>
  <c r="GE196" i="1" s="1"/>
  <c r="GC198" i="1"/>
  <c r="GE198" i="1" s="1"/>
  <c r="GC200" i="1"/>
  <c r="GE200" i="1" s="1"/>
  <c r="GC202" i="1"/>
  <c r="GE202" i="1" s="1"/>
  <c r="GC204" i="1"/>
  <c r="GE204" i="1" s="1"/>
  <c r="GC206" i="1"/>
  <c r="GE206" i="1" s="1"/>
  <c r="GC208" i="1"/>
  <c r="GE208" i="1" s="1"/>
  <c r="GC210" i="1"/>
  <c r="GE210" i="1" s="1"/>
  <c r="GC212" i="1"/>
  <c r="GE212" i="1" s="1"/>
  <c r="GC148" i="1"/>
  <c r="GE148" i="1" s="1"/>
  <c r="GC282" i="1"/>
  <c r="GE282" i="1" s="1"/>
  <c r="GC219" i="1"/>
  <c r="GE219" i="1" s="1"/>
  <c r="GC223" i="1"/>
  <c r="GE223" i="1" s="1"/>
  <c r="GC227" i="1"/>
  <c r="GE227" i="1" s="1"/>
  <c r="GC231" i="1"/>
  <c r="GE231" i="1" s="1"/>
  <c r="GC235" i="1"/>
  <c r="GE235" i="1" s="1"/>
  <c r="GC239" i="1"/>
  <c r="GE239" i="1" s="1"/>
  <c r="GC243" i="1"/>
  <c r="GE243" i="1" s="1"/>
  <c r="GC247" i="1"/>
  <c r="GE247" i="1" s="1"/>
  <c r="GC185" i="1"/>
  <c r="GE185" i="1" s="1"/>
  <c r="GC189" i="1"/>
  <c r="GE189" i="1" s="1"/>
  <c r="GC193" i="1"/>
  <c r="GE193" i="1" s="1"/>
  <c r="GC197" i="1"/>
  <c r="GE197" i="1" s="1"/>
  <c r="GC201" i="1"/>
  <c r="GE201" i="1" s="1"/>
  <c r="GC205" i="1"/>
  <c r="GE205" i="1" s="1"/>
  <c r="GC209" i="1"/>
  <c r="GE209" i="1" s="1"/>
  <c r="GC183" i="1"/>
  <c r="GC150" i="1"/>
  <c r="GE150" i="1" s="1"/>
  <c r="GC152" i="1"/>
  <c r="GE152" i="1" s="1"/>
  <c r="GC154" i="1"/>
  <c r="GE154" i="1" s="1"/>
  <c r="GC156" i="1"/>
  <c r="GE156" i="1" s="1"/>
  <c r="GC158" i="1"/>
  <c r="GE158" i="1" s="1"/>
  <c r="GC160" i="1"/>
  <c r="GE160" i="1" s="1"/>
  <c r="GC162" i="1"/>
  <c r="GE162" i="1" s="1"/>
  <c r="GC164" i="1"/>
  <c r="GE164" i="1" s="1"/>
  <c r="GC166" i="1"/>
  <c r="GE166" i="1" s="1"/>
  <c r="GC168" i="1"/>
  <c r="GE168" i="1" s="1"/>
  <c r="GC170" i="1"/>
  <c r="GE170" i="1" s="1"/>
  <c r="GC172" i="1"/>
  <c r="GE172" i="1" s="1"/>
  <c r="GC174" i="1"/>
  <c r="GE174" i="1" s="1"/>
  <c r="GC176" i="1"/>
  <c r="GE176" i="1" s="1"/>
  <c r="GC114" i="1"/>
  <c r="GE114" i="1" s="1"/>
  <c r="GC116" i="1"/>
  <c r="GE116" i="1" s="1"/>
  <c r="GC118" i="1"/>
  <c r="GE118" i="1" s="1"/>
  <c r="GC120" i="1"/>
  <c r="GE120" i="1" s="1"/>
  <c r="GC122" i="1"/>
  <c r="GE122" i="1" s="1"/>
  <c r="GC124" i="1"/>
  <c r="GE124" i="1" s="1"/>
  <c r="GC126" i="1"/>
  <c r="GE126" i="1" s="1"/>
  <c r="GC128" i="1"/>
  <c r="GE128" i="1" s="1"/>
  <c r="GC130" i="1"/>
  <c r="GE130" i="1" s="1"/>
  <c r="GC132" i="1"/>
  <c r="GE132" i="1" s="1"/>
  <c r="GC134" i="1"/>
  <c r="GE134" i="1" s="1"/>
  <c r="GC136" i="1"/>
  <c r="GE136" i="1" s="1"/>
  <c r="GC138" i="1"/>
  <c r="GE138" i="1" s="1"/>
  <c r="GC140" i="1"/>
  <c r="GE140" i="1" s="1"/>
  <c r="GC112" i="1"/>
  <c r="GC78" i="1"/>
  <c r="GE78" i="1" s="1"/>
  <c r="GC80" i="1"/>
  <c r="GE80" i="1" s="1"/>
  <c r="GC82" i="1"/>
  <c r="GE82" i="1" s="1"/>
  <c r="GC84" i="1"/>
  <c r="GE84" i="1" s="1"/>
  <c r="GC86" i="1"/>
  <c r="GE86" i="1" s="1"/>
  <c r="GC88" i="1"/>
  <c r="GE88" i="1" s="1"/>
  <c r="GC90" i="1"/>
  <c r="GE90" i="1" s="1"/>
  <c r="GC92" i="1"/>
  <c r="GE92" i="1" s="1"/>
  <c r="GC94" i="1"/>
  <c r="GE94" i="1" s="1"/>
  <c r="GC96" i="1"/>
  <c r="GE96" i="1" s="1"/>
  <c r="GC98" i="1"/>
  <c r="GE98" i="1" s="1"/>
  <c r="GC100" i="1"/>
  <c r="GE100" i="1" s="1"/>
  <c r="GC102" i="1"/>
  <c r="GE102" i="1" s="1"/>
  <c r="GC104" i="1"/>
  <c r="GE104" i="1" s="1"/>
  <c r="GC106" i="1"/>
  <c r="GE106" i="1" s="1"/>
  <c r="GC43" i="1"/>
  <c r="GE43" i="1" s="1"/>
  <c r="GC45" i="1"/>
  <c r="GE45" i="1" s="1"/>
  <c r="GC47" i="1"/>
  <c r="GE47" i="1" s="1"/>
  <c r="GC49" i="1"/>
  <c r="GE49" i="1" s="1"/>
  <c r="GC51" i="1"/>
  <c r="GE51" i="1" s="1"/>
  <c r="GC53" i="1"/>
  <c r="GE53" i="1" s="1"/>
  <c r="GC55" i="1"/>
  <c r="GE55" i="1" s="1"/>
  <c r="GC57" i="1"/>
  <c r="GE57" i="1" s="1"/>
  <c r="GC59" i="1"/>
  <c r="GE59" i="1" s="1"/>
  <c r="GC61" i="1"/>
  <c r="GE61" i="1" s="1"/>
  <c r="GC63" i="1"/>
  <c r="GE63" i="1" s="1"/>
  <c r="GC65" i="1"/>
  <c r="GE65" i="1" s="1"/>
  <c r="GC67" i="1"/>
  <c r="GE67" i="1" s="1"/>
  <c r="GC69" i="1"/>
  <c r="GE69" i="1" s="1"/>
  <c r="GC42" i="1"/>
  <c r="GC8" i="1"/>
  <c r="GE8" i="1" s="1"/>
  <c r="GC10" i="1"/>
  <c r="GE10" i="1" s="1"/>
  <c r="GC12" i="1"/>
  <c r="GE12" i="1" s="1"/>
  <c r="GC14" i="1"/>
  <c r="GE14" i="1" s="1"/>
  <c r="GC16" i="1"/>
  <c r="GE16" i="1" s="1"/>
  <c r="GC18" i="1"/>
  <c r="GE18" i="1" s="1"/>
  <c r="GC20" i="1"/>
  <c r="GE20" i="1" s="1"/>
  <c r="GC22" i="1"/>
  <c r="GE22" i="1" s="1"/>
  <c r="GC24" i="1"/>
  <c r="GE24" i="1" s="1"/>
  <c r="GC26" i="1"/>
  <c r="GE26" i="1" s="1"/>
  <c r="GC28" i="1"/>
  <c r="GE28" i="1" s="1"/>
  <c r="GC30" i="1"/>
  <c r="GE30" i="1" s="1"/>
  <c r="GC32" i="1"/>
  <c r="GE32" i="1" s="1"/>
  <c r="GC34" i="1"/>
  <c r="GE34" i="1" s="1"/>
  <c r="GC36" i="1"/>
  <c r="GE36" i="1" s="1"/>
  <c r="GC280" i="1"/>
  <c r="GE280" i="1" s="1"/>
  <c r="GC284" i="1"/>
  <c r="GE284" i="1" s="1"/>
  <c r="GC221" i="1"/>
  <c r="GE221" i="1" s="1"/>
  <c r="GC225" i="1"/>
  <c r="GE225" i="1" s="1"/>
  <c r="GC229" i="1"/>
  <c r="GE229" i="1" s="1"/>
  <c r="GC233" i="1"/>
  <c r="GE233" i="1" s="1"/>
  <c r="GC237" i="1"/>
  <c r="GE237" i="1" s="1"/>
  <c r="GC241" i="1"/>
  <c r="GE241" i="1" s="1"/>
  <c r="GC245" i="1"/>
  <c r="GE245" i="1" s="1"/>
  <c r="GC218" i="1"/>
  <c r="GC187" i="1"/>
  <c r="GE187" i="1" s="1"/>
  <c r="GC191" i="1"/>
  <c r="GE191" i="1" s="1"/>
  <c r="GC195" i="1"/>
  <c r="GE195" i="1" s="1"/>
  <c r="GC199" i="1"/>
  <c r="GE199" i="1" s="1"/>
  <c r="GC203" i="1"/>
  <c r="GE203" i="1" s="1"/>
  <c r="GC207" i="1"/>
  <c r="GE207" i="1" s="1"/>
  <c r="GC211" i="1"/>
  <c r="GE211" i="1" s="1"/>
  <c r="GC149" i="1"/>
  <c r="GE149" i="1" s="1"/>
  <c r="GC151" i="1"/>
  <c r="GE151" i="1" s="1"/>
  <c r="GC153" i="1"/>
  <c r="GE153" i="1" s="1"/>
  <c r="GC155" i="1"/>
  <c r="GE155" i="1" s="1"/>
  <c r="GC157" i="1"/>
  <c r="GE157" i="1" s="1"/>
  <c r="GC159" i="1"/>
  <c r="GE159" i="1" s="1"/>
  <c r="GC161" i="1"/>
  <c r="GE161" i="1" s="1"/>
  <c r="GC163" i="1"/>
  <c r="GE163" i="1" s="1"/>
  <c r="GC165" i="1"/>
  <c r="GE165" i="1" s="1"/>
  <c r="GC167" i="1"/>
  <c r="GE167" i="1" s="1"/>
  <c r="GC169" i="1"/>
  <c r="GE169" i="1" s="1"/>
  <c r="GC171" i="1"/>
  <c r="GE171" i="1" s="1"/>
  <c r="GC173" i="1"/>
  <c r="GE173" i="1" s="1"/>
  <c r="GC175" i="1"/>
  <c r="GE175" i="1" s="1"/>
  <c r="GC177" i="1"/>
  <c r="GE177" i="1" s="1"/>
  <c r="GC113" i="1"/>
  <c r="GE113" i="1" s="1"/>
  <c r="GC115" i="1"/>
  <c r="GE115" i="1" s="1"/>
  <c r="GC117" i="1"/>
  <c r="GE117" i="1" s="1"/>
  <c r="GC119" i="1"/>
  <c r="GE119" i="1" s="1"/>
  <c r="GC121" i="1"/>
  <c r="GE121" i="1" s="1"/>
  <c r="GC123" i="1"/>
  <c r="GE123" i="1" s="1"/>
  <c r="GC125" i="1"/>
  <c r="GE125" i="1" s="1"/>
  <c r="GC127" i="1"/>
  <c r="GE127" i="1" s="1"/>
  <c r="GC129" i="1"/>
  <c r="GE129" i="1" s="1"/>
  <c r="GC131" i="1"/>
  <c r="GE131" i="1" s="1"/>
  <c r="GC133" i="1"/>
  <c r="GE133" i="1" s="1"/>
  <c r="GC135" i="1"/>
  <c r="GE135" i="1" s="1"/>
  <c r="GC137" i="1"/>
  <c r="GE137" i="1" s="1"/>
  <c r="GC139" i="1"/>
  <c r="GE139" i="1" s="1"/>
  <c r="GC141" i="1"/>
  <c r="GE141" i="1" s="1"/>
  <c r="GC77" i="1"/>
  <c r="GE77" i="1" s="1"/>
  <c r="GC79" i="1"/>
  <c r="GE79" i="1" s="1"/>
  <c r="GC81" i="1"/>
  <c r="GE81" i="1" s="1"/>
  <c r="GC83" i="1"/>
  <c r="GE83" i="1" s="1"/>
  <c r="GC85" i="1"/>
  <c r="GE85" i="1" s="1"/>
  <c r="GC87" i="1"/>
  <c r="GE87" i="1" s="1"/>
  <c r="GC89" i="1"/>
  <c r="GE89" i="1" s="1"/>
  <c r="GC91" i="1"/>
  <c r="GE91" i="1" s="1"/>
  <c r="GC93" i="1"/>
  <c r="GE93" i="1" s="1"/>
  <c r="GC95" i="1"/>
  <c r="GE95" i="1" s="1"/>
  <c r="GC97" i="1"/>
  <c r="GE97" i="1" s="1"/>
  <c r="GC99" i="1"/>
  <c r="GE99" i="1" s="1"/>
  <c r="GC101" i="1"/>
  <c r="GE101" i="1" s="1"/>
  <c r="GC103" i="1"/>
  <c r="GE103" i="1" s="1"/>
  <c r="GC105" i="1"/>
  <c r="GE105" i="1" s="1"/>
  <c r="GC76" i="1"/>
  <c r="GC44" i="1"/>
  <c r="GE44" i="1" s="1"/>
  <c r="GC46" i="1"/>
  <c r="GE46" i="1" s="1"/>
  <c r="GC48" i="1"/>
  <c r="GE48" i="1" s="1"/>
  <c r="GC50" i="1"/>
  <c r="GE50" i="1" s="1"/>
  <c r="GC52" i="1"/>
  <c r="GE52" i="1" s="1"/>
  <c r="GC54" i="1"/>
  <c r="GE54" i="1" s="1"/>
  <c r="GC56" i="1"/>
  <c r="GE56" i="1" s="1"/>
  <c r="GC58" i="1"/>
  <c r="GE58" i="1" s="1"/>
  <c r="GC60" i="1"/>
  <c r="GE60" i="1" s="1"/>
  <c r="GC62" i="1"/>
  <c r="GE62" i="1" s="1"/>
  <c r="GC64" i="1"/>
  <c r="GE64" i="1" s="1"/>
  <c r="GC66" i="1"/>
  <c r="GE66" i="1" s="1"/>
  <c r="GC68" i="1"/>
  <c r="GE68" i="1" s="1"/>
  <c r="GC70" i="1"/>
  <c r="GE70" i="1" s="1"/>
  <c r="GC7" i="1"/>
  <c r="GE7" i="1" s="1"/>
  <c r="GC9" i="1"/>
  <c r="GE9" i="1" s="1"/>
  <c r="GC11" i="1"/>
  <c r="GE11" i="1" s="1"/>
  <c r="GC13" i="1"/>
  <c r="GE13" i="1" s="1"/>
  <c r="GC15" i="1"/>
  <c r="GE15" i="1" s="1"/>
  <c r="GC17" i="1"/>
  <c r="GE17" i="1" s="1"/>
  <c r="GC19" i="1"/>
  <c r="GE19" i="1" s="1"/>
  <c r="GC21" i="1"/>
  <c r="GE21" i="1" s="1"/>
  <c r="GC23" i="1"/>
  <c r="GE23" i="1" s="1"/>
  <c r="GC25" i="1"/>
  <c r="GE25" i="1" s="1"/>
  <c r="GC27" i="1"/>
  <c r="GE27" i="1" s="1"/>
  <c r="GC29" i="1"/>
  <c r="GE29" i="1" s="1"/>
  <c r="GC31" i="1"/>
  <c r="GE31" i="1" s="1"/>
  <c r="GC33" i="1"/>
  <c r="GE33" i="1" s="1"/>
  <c r="GC35" i="1"/>
  <c r="GE35" i="1" s="1"/>
  <c r="HM398" i="1"/>
  <c r="HO398" i="1" s="1"/>
  <c r="HM400" i="1"/>
  <c r="HO400" i="1" s="1"/>
  <c r="HM402" i="1"/>
  <c r="HO402" i="1" s="1"/>
  <c r="HM404" i="1"/>
  <c r="HO404" i="1" s="1"/>
  <c r="HM406" i="1"/>
  <c r="HO406" i="1" s="1"/>
  <c r="HM408" i="1"/>
  <c r="HO408" i="1" s="1"/>
  <c r="HM410" i="1"/>
  <c r="HO410" i="1" s="1"/>
  <c r="HM412" i="1"/>
  <c r="HO412" i="1" s="1"/>
  <c r="HM414" i="1"/>
  <c r="HO414" i="1" s="1"/>
  <c r="HM416" i="1"/>
  <c r="HO416" i="1" s="1"/>
  <c r="HM418" i="1"/>
  <c r="HO418" i="1" s="1"/>
  <c r="HM420" i="1"/>
  <c r="HO420" i="1" s="1"/>
  <c r="HM422" i="1"/>
  <c r="HO422" i="1" s="1"/>
  <c r="HM424" i="1"/>
  <c r="HO424" i="1" s="1"/>
  <c r="HM426" i="1"/>
  <c r="HO426" i="1" s="1"/>
  <c r="HM362" i="1"/>
  <c r="HO362" i="1" s="1"/>
  <c r="HM364" i="1"/>
  <c r="HO364" i="1" s="1"/>
  <c r="HM366" i="1"/>
  <c r="HO366" i="1" s="1"/>
  <c r="HM368" i="1"/>
  <c r="HO368" i="1" s="1"/>
  <c r="HM370" i="1"/>
  <c r="HO370" i="1" s="1"/>
  <c r="HM372" i="1"/>
  <c r="HO372" i="1" s="1"/>
  <c r="HM374" i="1"/>
  <c r="HO374" i="1" s="1"/>
  <c r="HM376" i="1"/>
  <c r="HO376" i="1" s="1"/>
  <c r="HM378" i="1"/>
  <c r="HO378" i="1" s="1"/>
  <c r="HM380" i="1"/>
  <c r="HO380" i="1" s="1"/>
  <c r="HM382" i="1"/>
  <c r="HO382" i="1" s="1"/>
  <c r="HM384" i="1"/>
  <c r="HO384" i="1" s="1"/>
  <c r="HM386" i="1"/>
  <c r="HO386" i="1" s="1"/>
  <c r="HM388" i="1"/>
  <c r="HO388" i="1" s="1"/>
  <c r="HM390" i="1"/>
  <c r="HO390" i="1" s="1"/>
  <c r="HM326" i="1"/>
  <c r="HO326" i="1" s="1"/>
  <c r="HM328" i="1"/>
  <c r="HO328" i="1" s="1"/>
  <c r="HM330" i="1"/>
  <c r="HO330" i="1" s="1"/>
  <c r="HM332" i="1"/>
  <c r="HO332" i="1" s="1"/>
  <c r="HM334" i="1"/>
  <c r="HO334" i="1" s="1"/>
  <c r="HM336" i="1"/>
  <c r="HO336" i="1" s="1"/>
  <c r="HM338" i="1"/>
  <c r="HO338" i="1" s="1"/>
  <c r="HM340" i="1"/>
  <c r="HO340" i="1" s="1"/>
  <c r="HM342" i="1"/>
  <c r="HO342" i="1" s="1"/>
  <c r="HM344" i="1"/>
  <c r="HO344" i="1" s="1"/>
  <c r="HM346" i="1"/>
  <c r="HO346" i="1" s="1"/>
  <c r="HM348" i="1"/>
  <c r="HO348" i="1" s="1"/>
  <c r="HM350" i="1"/>
  <c r="HO350" i="1" s="1"/>
  <c r="HM352" i="1"/>
  <c r="HO352" i="1" s="1"/>
  <c r="HM354" i="1"/>
  <c r="HO354" i="1" s="1"/>
  <c r="HM325" i="1"/>
  <c r="HM292" i="1"/>
  <c r="HO292" i="1" s="1"/>
  <c r="HM294" i="1"/>
  <c r="HO294" i="1" s="1"/>
  <c r="HM296" i="1"/>
  <c r="HO296" i="1" s="1"/>
  <c r="HM298" i="1"/>
  <c r="HO298" i="1" s="1"/>
  <c r="HM300" i="1"/>
  <c r="HO300" i="1" s="1"/>
  <c r="HM302" i="1"/>
  <c r="HO302" i="1" s="1"/>
  <c r="HM304" i="1"/>
  <c r="HO304" i="1" s="1"/>
  <c r="HM306" i="1"/>
  <c r="HO306" i="1" s="1"/>
  <c r="HM308" i="1"/>
  <c r="HO308" i="1" s="1"/>
  <c r="HM310" i="1"/>
  <c r="HO310" i="1" s="1"/>
  <c r="HM312" i="1"/>
  <c r="HO312" i="1" s="1"/>
  <c r="HM314" i="1"/>
  <c r="HO314" i="1" s="1"/>
  <c r="HM316" i="1"/>
  <c r="HO316" i="1" s="1"/>
  <c r="HM318" i="1"/>
  <c r="HO318" i="1" s="1"/>
  <c r="HM290" i="1"/>
  <c r="HM256" i="1"/>
  <c r="HO256" i="1" s="1"/>
  <c r="HM258" i="1"/>
  <c r="HO258" i="1" s="1"/>
  <c r="HM260" i="1"/>
  <c r="HO260" i="1" s="1"/>
  <c r="HM262" i="1"/>
  <c r="HO262" i="1" s="1"/>
  <c r="HM264" i="1"/>
  <c r="HO264" i="1" s="1"/>
  <c r="HM266" i="1"/>
  <c r="HO266" i="1" s="1"/>
  <c r="HM268" i="1"/>
  <c r="HO268" i="1" s="1"/>
  <c r="HM270" i="1"/>
  <c r="HO270" i="1" s="1"/>
  <c r="HM272" i="1"/>
  <c r="HO272" i="1" s="1"/>
  <c r="HM274" i="1"/>
  <c r="HO274" i="1" s="1"/>
  <c r="HM276" i="1"/>
  <c r="HO276" i="1" s="1"/>
  <c r="HM278" i="1"/>
  <c r="HO278" i="1" s="1"/>
  <c r="HM280" i="1"/>
  <c r="HO280" i="1" s="1"/>
  <c r="HM282" i="1"/>
  <c r="HO282" i="1" s="1"/>
  <c r="HM284" i="1"/>
  <c r="HO284" i="1" s="1"/>
  <c r="HM219" i="1"/>
  <c r="HO219" i="1" s="1"/>
  <c r="HM221" i="1"/>
  <c r="HO221" i="1" s="1"/>
  <c r="HM223" i="1"/>
  <c r="HO223" i="1" s="1"/>
  <c r="HM225" i="1"/>
  <c r="HO225" i="1" s="1"/>
  <c r="HM227" i="1"/>
  <c r="HO227" i="1" s="1"/>
  <c r="HM229" i="1"/>
  <c r="HO229" i="1" s="1"/>
  <c r="HM231" i="1"/>
  <c r="HO231" i="1" s="1"/>
  <c r="HM233" i="1"/>
  <c r="HO233" i="1" s="1"/>
  <c r="HM235" i="1"/>
  <c r="HO235" i="1" s="1"/>
  <c r="HM237" i="1"/>
  <c r="HO237" i="1" s="1"/>
  <c r="HM239" i="1"/>
  <c r="HO239" i="1" s="1"/>
  <c r="HM241" i="1"/>
  <c r="HO241" i="1" s="1"/>
  <c r="HM243" i="1"/>
  <c r="HO243" i="1" s="1"/>
  <c r="HM245" i="1"/>
  <c r="HO245" i="1" s="1"/>
  <c r="HM247" i="1"/>
  <c r="HO247" i="1" s="1"/>
  <c r="HM218" i="1"/>
  <c r="HM185" i="1"/>
  <c r="HO185" i="1" s="1"/>
  <c r="HM187" i="1"/>
  <c r="HO187" i="1" s="1"/>
  <c r="HM189" i="1"/>
  <c r="HO189" i="1" s="1"/>
  <c r="HM191" i="1"/>
  <c r="HO191" i="1" s="1"/>
  <c r="HM193" i="1"/>
  <c r="HO193" i="1" s="1"/>
  <c r="HM195" i="1"/>
  <c r="HO195" i="1" s="1"/>
  <c r="HM197" i="1"/>
  <c r="HO197" i="1" s="1"/>
  <c r="HM199" i="1"/>
  <c r="HO199" i="1" s="1"/>
  <c r="HM201" i="1"/>
  <c r="HO201" i="1" s="1"/>
  <c r="HM203" i="1"/>
  <c r="HO203" i="1" s="1"/>
  <c r="HM205" i="1"/>
  <c r="HO205" i="1" s="1"/>
  <c r="HM207" i="1"/>
  <c r="HO207" i="1" s="1"/>
  <c r="HM209" i="1"/>
  <c r="HO209" i="1" s="1"/>
  <c r="HM211" i="1"/>
  <c r="HO211" i="1" s="1"/>
  <c r="HM183" i="1"/>
  <c r="HM149" i="1"/>
  <c r="HO149" i="1" s="1"/>
  <c r="HM151" i="1"/>
  <c r="HO151" i="1" s="1"/>
  <c r="HM153" i="1"/>
  <c r="HO153" i="1" s="1"/>
  <c r="HM155" i="1"/>
  <c r="HO155" i="1" s="1"/>
  <c r="HM157" i="1"/>
  <c r="HO157" i="1" s="1"/>
  <c r="HM159" i="1"/>
  <c r="HO159" i="1" s="1"/>
  <c r="HM161" i="1"/>
  <c r="HO161" i="1" s="1"/>
  <c r="HM163" i="1"/>
  <c r="HO163" i="1" s="1"/>
  <c r="HM165" i="1"/>
  <c r="HO165" i="1" s="1"/>
  <c r="HM167" i="1"/>
  <c r="HO167" i="1" s="1"/>
  <c r="HM169" i="1"/>
  <c r="HO169" i="1" s="1"/>
  <c r="HM171" i="1"/>
  <c r="HO171" i="1" s="1"/>
  <c r="HM173" i="1"/>
  <c r="HO173" i="1" s="1"/>
  <c r="HM175" i="1"/>
  <c r="HO175" i="1" s="1"/>
  <c r="HM177" i="1"/>
  <c r="HO177" i="1" s="1"/>
  <c r="HM113" i="1"/>
  <c r="HO113" i="1" s="1"/>
  <c r="HM115" i="1"/>
  <c r="HO115" i="1" s="1"/>
  <c r="HM117" i="1"/>
  <c r="HO117" i="1" s="1"/>
  <c r="HM119" i="1"/>
  <c r="HO119" i="1" s="1"/>
  <c r="HM121" i="1"/>
  <c r="HO121" i="1" s="1"/>
  <c r="HM123" i="1"/>
  <c r="HO123" i="1" s="1"/>
  <c r="HM125" i="1"/>
  <c r="HO125" i="1" s="1"/>
  <c r="HM127" i="1"/>
  <c r="HO127" i="1" s="1"/>
  <c r="HM129" i="1"/>
  <c r="HO129" i="1" s="1"/>
  <c r="HM131" i="1"/>
  <c r="HO131" i="1" s="1"/>
  <c r="HM133" i="1"/>
  <c r="HO133" i="1" s="1"/>
  <c r="HM135" i="1"/>
  <c r="HO135" i="1" s="1"/>
  <c r="HM137" i="1"/>
  <c r="HO137" i="1" s="1"/>
  <c r="HM139" i="1"/>
  <c r="HO139" i="1" s="1"/>
  <c r="HM141" i="1"/>
  <c r="HO141" i="1" s="1"/>
  <c r="HM77" i="1"/>
  <c r="HO77" i="1" s="1"/>
  <c r="HM79" i="1"/>
  <c r="HO79" i="1" s="1"/>
  <c r="HM81" i="1"/>
  <c r="HO81" i="1" s="1"/>
  <c r="HM83" i="1"/>
  <c r="HO83" i="1" s="1"/>
  <c r="HM85" i="1"/>
  <c r="HO85" i="1" s="1"/>
  <c r="HM87" i="1"/>
  <c r="HO87" i="1" s="1"/>
  <c r="HM89" i="1"/>
  <c r="HO89" i="1" s="1"/>
  <c r="HM91" i="1"/>
  <c r="HO91" i="1" s="1"/>
  <c r="HM93" i="1"/>
  <c r="HO93" i="1" s="1"/>
  <c r="HM95" i="1"/>
  <c r="HO95" i="1" s="1"/>
  <c r="HM97" i="1"/>
  <c r="HO97" i="1" s="1"/>
  <c r="HM99" i="1"/>
  <c r="HO99" i="1" s="1"/>
  <c r="HM101" i="1"/>
  <c r="HO101" i="1" s="1"/>
  <c r="HM103" i="1"/>
  <c r="HO103" i="1" s="1"/>
  <c r="HM105" i="1"/>
  <c r="HO105" i="1" s="1"/>
  <c r="HM76" i="1"/>
  <c r="HM44" i="1"/>
  <c r="HO44" i="1" s="1"/>
  <c r="HM46" i="1"/>
  <c r="HO46" i="1" s="1"/>
  <c r="HM48" i="1"/>
  <c r="HO48" i="1" s="1"/>
  <c r="HM50" i="1"/>
  <c r="HO50" i="1" s="1"/>
  <c r="HM52" i="1"/>
  <c r="HO52" i="1" s="1"/>
  <c r="HM54" i="1"/>
  <c r="HO54" i="1" s="1"/>
  <c r="HM56" i="1"/>
  <c r="HO56" i="1" s="1"/>
  <c r="HM58" i="1"/>
  <c r="HO58" i="1" s="1"/>
  <c r="HM60" i="1"/>
  <c r="HO60" i="1" s="1"/>
  <c r="HM62" i="1"/>
  <c r="HO62" i="1" s="1"/>
  <c r="HM64" i="1"/>
  <c r="HO64" i="1" s="1"/>
  <c r="HM66" i="1"/>
  <c r="HO66" i="1" s="1"/>
  <c r="HM68" i="1"/>
  <c r="HO68" i="1" s="1"/>
  <c r="HM70" i="1"/>
  <c r="HO70" i="1" s="1"/>
  <c r="HM7" i="1"/>
  <c r="HO7" i="1" s="1"/>
  <c r="HM9" i="1"/>
  <c r="HO9" i="1" s="1"/>
  <c r="HM11" i="1"/>
  <c r="HO11" i="1" s="1"/>
  <c r="HM13" i="1"/>
  <c r="HO13" i="1" s="1"/>
  <c r="HM15" i="1"/>
  <c r="HO15" i="1" s="1"/>
  <c r="HM17" i="1"/>
  <c r="HO17" i="1" s="1"/>
  <c r="HM19" i="1"/>
  <c r="HO19" i="1" s="1"/>
  <c r="HM21" i="1"/>
  <c r="HO21" i="1" s="1"/>
  <c r="HM23" i="1"/>
  <c r="HO23" i="1" s="1"/>
  <c r="HM25" i="1"/>
  <c r="HO25" i="1" s="1"/>
  <c r="HM27" i="1"/>
  <c r="HO27" i="1" s="1"/>
  <c r="HM29" i="1"/>
  <c r="HO29" i="1" s="1"/>
  <c r="HM31" i="1"/>
  <c r="HO31" i="1" s="1"/>
  <c r="HM33" i="1"/>
  <c r="HO33" i="1" s="1"/>
  <c r="HM35" i="1"/>
  <c r="HO35" i="1" s="1"/>
  <c r="HM397" i="1"/>
  <c r="HO397" i="1" s="1"/>
  <c r="HM399" i="1"/>
  <c r="HO399" i="1" s="1"/>
  <c r="HM401" i="1"/>
  <c r="HO401" i="1" s="1"/>
  <c r="HM403" i="1"/>
  <c r="HO403" i="1" s="1"/>
  <c r="HM405" i="1"/>
  <c r="HO405" i="1" s="1"/>
  <c r="HM407" i="1"/>
  <c r="HO407" i="1" s="1"/>
  <c r="HM409" i="1"/>
  <c r="HO409" i="1" s="1"/>
  <c r="HM411" i="1"/>
  <c r="HO411" i="1" s="1"/>
  <c r="HM413" i="1"/>
  <c r="HO413" i="1" s="1"/>
  <c r="HM415" i="1"/>
  <c r="HO415" i="1" s="1"/>
  <c r="HM417" i="1"/>
  <c r="HO417" i="1" s="1"/>
  <c r="HM419" i="1"/>
  <c r="HO419" i="1" s="1"/>
  <c r="HM421" i="1"/>
  <c r="HO421" i="1" s="1"/>
  <c r="HM423" i="1"/>
  <c r="HO423" i="1" s="1"/>
  <c r="HM425" i="1"/>
  <c r="HO425" i="1" s="1"/>
  <c r="HM396" i="1"/>
  <c r="HM363" i="1"/>
  <c r="HO363" i="1" s="1"/>
  <c r="HM365" i="1"/>
  <c r="HO365" i="1" s="1"/>
  <c r="HM367" i="1"/>
  <c r="HO367" i="1" s="1"/>
  <c r="HM369" i="1"/>
  <c r="HO369" i="1" s="1"/>
  <c r="HM371" i="1"/>
  <c r="HO371" i="1" s="1"/>
  <c r="HM373" i="1"/>
  <c r="HO373" i="1" s="1"/>
  <c r="HM375" i="1"/>
  <c r="HO375" i="1" s="1"/>
  <c r="HM377" i="1"/>
  <c r="HO377" i="1" s="1"/>
  <c r="HM379" i="1"/>
  <c r="HO379" i="1" s="1"/>
  <c r="HM381" i="1"/>
  <c r="HO381" i="1" s="1"/>
  <c r="HM383" i="1"/>
  <c r="HO383" i="1" s="1"/>
  <c r="HM385" i="1"/>
  <c r="HO385" i="1" s="1"/>
  <c r="HM387" i="1"/>
  <c r="HO387" i="1" s="1"/>
  <c r="HM389" i="1"/>
  <c r="HO389" i="1" s="1"/>
  <c r="HM361" i="1"/>
  <c r="HM327" i="1"/>
  <c r="HO327" i="1" s="1"/>
  <c r="HM329" i="1"/>
  <c r="HO329" i="1" s="1"/>
  <c r="HM331" i="1"/>
  <c r="HO331" i="1" s="1"/>
  <c r="HM333" i="1"/>
  <c r="HO333" i="1" s="1"/>
  <c r="HM335" i="1"/>
  <c r="HO335" i="1" s="1"/>
  <c r="HM337" i="1"/>
  <c r="HO337" i="1" s="1"/>
  <c r="HM339" i="1"/>
  <c r="HO339" i="1" s="1"/>
  <c r="HM341" i="1"/>
  <c r="HO341" i="1" s="1"/>
  <c r="HM343" i="1"/>
  <c r="HO343" i="1" s="1"/>
  <c r="HM345" i="1"/>
  <c r="HO345" i="1" s="1"/>
  <c r="HM347" i="1"/>
  <c r="HO347" i="1" s="1"/>
  <c r="HM349" i="1"/>
  <c r="HO349" i="1" s="1"/>
  <c r="HM351" i="1"/>
  <c r="HO351" i="1" s="1"/>
  <c r="HM353" i="1"/>
  <c r="HO353" i="1" s="1"/>
  <c r="HM355" i="1"/>
  <c r="HO355" i="1" s="1"/>
  <c r="HM291" i="1"/>
  <c r="HO291" i="1" s="1"/>
  <c r="HM293" i="1"/>
  <c r="HO293" i="1" s="1"/>
  <c r="HM295" i="1"/>
  <c r="HO295" i="1" s="1"/>
  <c r="HM297" i="1"/>
  <c r="HO297" i="1" s="1"/>
  <c r="HM299" i="1"/>
  <c r="HO299" i="1" s="1"/>
  <c r="HM301" i="1"/>
  <c r="HO301" i="1" s="1"/>
  <c r="HM303" i="1"/>
  <c r="HO303" i="1" s="1"/>
  <c r="HM305" i="1"/>
  <c r="HO305" i="1" s="1"/>
  <c r="HM307" i="1"/>
  <c r="HO307" i="1" s="1"/>
  <c r="HM309" i="1"/>
  <c r="HO309" i="1" s="1"/>
  <c r="HM311" i="1"/>
  <c r="HO311" i="1" s="1"/>
  <c r="HM313" i="1"/>
  <c r="HO313" i="1" s="1"/>
  <c r="HM315" i="1"/>
  <c r="HO315" i="1" s="1"/>
  <c r="HM317" i="1"/>
  <c r="HO317" i="1" s="1"/>
  <c r="HM319" i="1"/>
  <c r="HO319" i="1" s="1"/>
  <c r="HM255" i="1"/>
  <c r="HO255" i="1" s="1"/>
  <c r="HM257" i="1"/>
  <c r="HO257" i="1" s="1"/>
  <c r="HM259" i="1"/>
  <c r="HO259" i="1" s="1"/>
  <c r="HM261" i="1"/>
  <c r="HO261" i="1" s="1"/>
  <c r="HM263" i="1"/>
  <c r="HO263" i="1" s="1"/>
  <c r="HM265" i="1"/>
  <c r="HO265" i="1" s="1"/>
  <c r="HM267" i="1"/>
  <c r="HO267" i="1" s="1"/>
  <c r="HM269" i="1"/>
  <c r="HO269" i="1" s="1"/>
  <c r="HM271" i="1"/>
  <c r="HO271" i="1" s="1"/>
  <c r="HM273" i="1"/>
  <c r="HO273" i="1" s="1"/>
  <c r="HM275" i="1"/>
  <c r="HO275" i="1" s="1"/>
  <c r="HM277" i="1"/>
  <c r="HO277" i="1" s="1"/>
  <c r="HM279" i="1"/>
  <c r="HO279" i="1" s="1"/>
  <c r="HM281" i="1"/>
  <c r="HO281" i="1" s="1"/>
  <c r="HM283" i="1"/>
  <c r="HO283" i="1" s="1"/>
  <c r="HM254" i="1"/>
  <c r="HM220" i="1"/>
  <c r="HO220" i="1" s="1"/>
  <c r="HM222" i="1"/>
  <c r="HO222" i="1" s="1"/>
  <c r="HM224" i="1"/>
  <c r="HO224" i="1" s="1"/>
  <c r="HM226" i="1"/>
  <c r="HO226" i="1" s="1"/>
  <c r="HM228" i="1"/>
  <c r="HO228" i="1" s="1"/>
  <c r="HM230" i="1"/>
  <c r="HO230" i="1" s="1"/>
  <c r="HM232" i="1"/>
  <c r="HO232" i="1" s="1"/>
  <c r="HM234" i="1"/>
  <c r="HO234" i="1" s="1"/>
  <c r="HM236" i="1"/>
  <c r="HO236" i="1" s="1"/>
  <c r="HM238" i="1"/>
  <c r="HO238" i="1" s="1"/>
  <c r="HM240" i="1"/>
  <c r="HO240" i="1" s="1"/>
  <c r="HM242" i="1"/>
  <c r="HO242" i="1" s="1"/>
  <c r="HM244" i="1"/>
  <c r="HO244" i="1" s="1"/>
  <c r="HM246" i="1"/>
  <c r="HO246" i="1" s="1"/>
  <c r="HM248" i="1"/>
  <c r="HO248" i="1" s="1"/>
  <c r="HM184" i="1"/>
  <c r="HO184" i="1" s="1"/>
  <c r="HM186" i="1"/>
  <c r="HO186" i="1" s="1"/>
  <c r="HM188" i="1"/>
  <c r="HO188" i="1" s="1"/>
  <c r="HM190" i="1"/>
  <c r="HO190" i="1" s="1"/>
  <c r="HM192" i="1"/>
  <c r="HO192" i="1" s="1"/>
  <c r="HM194" i="1"/>
  <c r="HO194" i="1" s="1"/>
  <c r="HM196" i="1"/>
  <c r="HO196" i="1" s="1"/>
  <c r="HM198" i="1"/>
  <c r="HO198" i="1" s="1"/>
  <c r="HM200" i="1"/>
  <c r="HO200" i="1" s="1"/>
  <c r="HM202" i="1"/>
  <c r="HO202" i="1" s="1"/>
  <c r="HM204" i="1"/>
  <c r="HO204" i="1" s="1"/>
  <c r="HM206" i="1"/>
  <c r="HO206" i="1" s="1"/>
  <c r="HM208" i="1"/>
  <c r="HO208" i="1" s="1"/>
  <c r="HM210" i="1"/>
  <c r="HO210" i="1" s="1"/>
  <c r="HM212" i="1"/>
  <c r="HO212" i="1" s="1"/>
  <c r="HM148" i="1"/>
  <c r="HO148" i="1" s="1"/>
  <c r="HM150" i="1"/>
  <c r="HO150" i="1" s="1"/>
  <c r="HM152" i="1"/>
  <c r="HO152" i="1" s="1"/>
  <c r="HM154" i="1"/>
  <c r="HO154" i="1" s="1"/>
  <c r="HM156" i="1"/>
  <c r="HO156" i="1" s="1"/>
  <c r="HM158" i="1"/>
  <c r="HO158" i="1" s="1"/>
  <c r="HM160" i="1"/>
  <c r="HO160" i="1" s="1"/>
  <c r="HM162" i="1"/>
  <c r="HO162" i="1" s="1"/>
  <c r="HM164" i="1"/>
  <c r="HO164" i="1" s="1"/>
  <c r="HM166" i="1"/>
  <c r="HO166" i="1" s="1"/>
  <c r="HM168" i="1"/>
  <c r="HO168" i="1" s="1"/>
  <c r="HM170" i="1"/>
  <c r="HO170" i="1" s="1"/>
  <c r="HM172" i="1"/>
  <c r="HO172" i="1" s="1"/>
  <c r="HM174" i="1"/>
  <c r="HO174" i="1" s="1"/>
  <c r="HM176" i="1"/>
  <c r="HO176" i="1" s="1"/>
  <c r="HM114" i="1"/>
  <c r="HO114" i="1" s="1"/>
  <c r="HM116" i="1"/>
  <c r="HO116" i="1" s="1"/>
  <c r="HM118" i="1"/>
  <c r="HO118" i="1" s="1"/>
  <c r="HM120" i="1"/>
  <c r="HO120" i="1" s="1"/>
  <c r="HM122" i="1"/>
  <c r="HO122" i="1" s="1"/>
  <c r="HM124" i="1"/>
  <c r="HO124" i="1" s="1"/>
  <c r="HM126" i="1"/>
  <c r="HO126" i="1" s="1"/>
  <c r="HM128" i="1"/>
  <c r="HO128" i="1" s="1"/>
  <c r="HM130" i="1"/>
  <c r="HO130" i="1" s="1"/>
  <c r="HM132" i="1"/>
  <c r="HO132" i="1" s="1"/>
  <c r="HM134" i="1"/>
  <c r="HO134" i="1" s="1"/>
  <c r="HM136" i="1"/>
  <c r="HO136" i="1" s="1"/>
  <c r="HM138" i="1"/>
  <c r="HO138" i="1" s="1"/>
  <c r="HM140" i="1"/>
  <c r="HO140" i="1" s="1"/>
  <c r="HM112" i="1"/>
  <c r="HM78" i="1"/>
  <c r="HO78" i="1" s="1"/>
  <c r="HM80" i="1"/>
  <c r="HO80" i="1" s="1"/>
  <c r="HM82" i="1"/>
  <c r="HO82" i="1" s="1"/>
  <c r="HM84" i="1"/>
  <c r="HO84" i="1" s="1"/>
  <c r="HM86" i="1"/>
  <c r="HO86" i="1" s="1"/>
  <c r="HM88" i="1"/>
  <c r="HO88" i="1" s="1"/>
  <c r="HM90" i="1"/>
  <c r="HO90" i="1" s="1"/>
  <c r="HM92" i="1"/>
  <c r="HO92" i="1" s="1"/>
  <c r="HM94" i="1"/>
  <c r="HO94" i="1" s="1"/>
  <c r="HM96" i="1"/>
  <c r="HO96" i="1" s="1"/>
  <c r="HM98" i="1"/>
  <c r="HO98" i="1" s="1"/>
  <c r="HM100" i="1"/>
  <c r="HO100" i="1" s="1"/>
  <c r="HM102" i="1"/>
  <c r="HO102" i="1" s="1"/>
  <c r="HM104" i="1"/>
  <c r="HO104" i="1" s="1"/>
  <c r="HM106" i="1"/>
  <c r="HO106" i="1" s="1"/>
  <c r="HM43" i="1"/>
  <c r="HO43" i="1" s="1"/>
  <c r="HM45" i="1"/>
  <c r="HO45" i="1" s="1"/>
  <c r="HM47" i="1"/>
  <c r="HO47" i="1" s="1"/>
  <c r="HM49" i="1"/>
  <c r="HO49" i="1" s="1"/>
  <c r="HM51" i="1"/>
  <c r="HO51" i="1" s="1"/>
  <c r="HM53" i="1"/>
  <c r="HO53" i="1" s="1"/>
  <c r="HM55" i="1"/>
  <c r="HO55" i="1" s="1"/>
  <c r="HM57" i="1"/>
  <c r="HO57" i="1" s="1"/>
  <c r="HM59" i="1"/>
  <c r="HO59" i="1" s="1"/>
  <c r="HM61" i="1"/>
  <c r="HO61" i="1" s="1"/>
  <c r="HM63" i="1"/>
  <c r="HO63" i="1" s="1"/>
  <c r="HM65" i="1"/>
  <c r="HO65" i="1" s="1"/>
  <c r="HM67" i="1"/>
  <c r="HO67" i="1" s="1"/>
  <c r="HM69" i="1"/>
  <c r="HO69" i="1" s="1"/>
  <c r="HM42" i="1"/>
  <c r="HM8" i="1"/>
  <c r="HO8" i="1" s="1"/>
  <c r="HM10" i="1"/>
  <c r="HO10" i="1" s="1"/>
  <c r="HM12" i="1"/>
  <c r="HO12" i="1" s="1"/>
  <c r="HM14" i="1"/>
  <c r="HO14" i="1" s="1"/>
  <c r="HM16" i="1"/>
  <c r="HO16" i="1" s="1"/>
  <c r="HM18" i="1"/>
  <c r="HO18" i="1" s="1"/>
  <c r="HM20" i="1"/>
  <c r="HO20" i="1" s="1"/>
  <c r="HM22" i="1"/>
  <c r="HO22" i="1" s="1"/>
  <c r="HM24" i="1"/>
  <c r="HO24" i="1" s="1"/>
  <c r="HM26" i="1"/>
  <c r="HO26" i="1" s="1"/>
  <c r="HM28" i="1"/>
  <c r="HO28" i="1" s="1"/>
  <c r="HM30" i="1"/>
  <c r="HO30" i="1" s="1"/>
  <c r="HM32" i="1"/>
  <c r="HO32" i="1" s="1"/>
  <c r="HM34" i="1"/>
  <c r="HO34" i="1" s="1"/>
  <c r="HM36" i="1"/>
  <c r="HO36" i="1" s="1"/>
  <c r="AF398" i="1"/>
  <c r="AH398" i="1" s="1"/>
  <c r="AF400" i="1"/>
  <c r="AH400" i="1" s="1"/>
  <c r="AF402" i="1"/>
  <c r="AH402" i="1" s="1"/>
  <c r="AF404" i="1"/>
  <c r="AH404" i="1" s="1"/>
  <c r="AF406" i="1"/>
  <c r="AH406" i="1" s="1"/>
  <c r="AF408" i="1"/>
  <c r="AH408" i="1" s="1"/>
  <c r="AF410" i="1"/>
  <c r="AH410" i="1" s="1"/>
  <c r="AF412" i="1"/>
  <c r="AH412" i="1" s="1"/>
  <c r="AF414" i="1"/>
  <c r="AH414" i="1" s="1"/>
  <c r="AF416" i="1"/>
  <c r="AH416" i="1" s="1"/>
  <c r="AF418" i="1"/>
  <c r="AH418" i="1" s="1"/>
  <c r="AF420" i="1"/>
  <c r="AH420" i="1" s="1"/>
  <c r="AF422" i="1"/>
  <c r="AH422" i="1" s="1"/>
  <c r="AF424" i="1"/>
  <c r="AH424" i="1" s="1"/>
  <c r="AF426" i="1"/>
  <c r="AH426" i="1" s="1"/>
  <c r="AF363" i="1"/>
  <c r="AH363" i="1" s="1"/>
  <c r="AF365" i="1"/>
  <c r="AH365" i="1" s="1"/>
  <c r="AF367" i="1"/>
  <c r="AH367" i="1" s="1"/>
  <c r="AF369" i="1"/>
  <c r="AH369" i="1" s="1"/>
  <c r="AF371" i="1"/>
  <c r="AH371" i="1" s="1"/>
  <c r="AF373" i="1"/>
  <c r="AH373" i="1" s="1"/>
  <c r="AF375" i="1"/>
  <c r="AH375" i="1" s="1"/>
  <c r="AF377" i="1"/>
  <c r="AH377" i="1" s="1"/>
  <c r="AF379" i="1"/>
  <c r="AH379" i="1" s="1"/>
  <c r="AF381" i="1"/>
  <c r="AH381" i="1" s="1"/>
  <c r="AF383" i="1"/>
  <c r="AH383" i="1" s="1"/>
  <c r="AF385" i="1"/>
  <c r="AH385" i="1" s="1"/>
  <c r="AF387" i="1"/>
  <c r="AH387" i="1" s="1"/>
  <c r="AF389" i="1"/>
  <c r="AH389" i="1" s="1"/>
  <c r="AF361" i="1"/>
  <c r="AF327" i="1"/>
  <c r="AH327" i="1" s="1"/>
  <c r="AF329" i="1"/>
  <c r="AH329" i="1" s="1"/>
  <c r="AF331" i="1"/>
  <c r="AH331" i="1" s="1"/>
  <c r="AF333" i="1"/>
  <c r="AH333" i="1" s="1"/>
  <c r="AF335" i="1"/>
  <c r="AH335" i="1" s="1"/>
  <c r="AF337" i="1"/>
  <c r="AH337" i="1" s="1"/>
  <c r="AF339" i="1"/>
  <c r="AH339" i="1" s="1"/>
  <c r="AF341" i="1"/>
  <c r="AH341" i="1" s="1"/>
  <c r="AF343" i="1"/>
  <c r="AH343" i="1" s="1"/>
  <c r="AF345" i="1"/>
  <c r="AH345" i="1" s="1"/>
  <c r="AF347" i="1"/>
  <c r="AH347" i="1" s="1"/>
  <c r="AF349" i="1"/>
  <c r="AH349" i="1" s="1"/>
  <c r="AF351" i="1"/>
  <c r="AH351" i="1" s="1"/>
  <c r="AF353" i="1"/>
  <c r="AH353" i="1" s="1"/>
  <c r="AF355" i="1"/>
  <c r="AH355" i="1" s="1"/>
  <c r="AF292" i="1"/>
  <c r="AH292" i="1" s="1"/>
  <c r="AF294" i="1"/>
  <c r="AH294" i="1" s="1"/>
  <c r="AF296" i="1"/>
  <c r="AH296" i="1" s="1"/>
  <c r="AF298" i="1"/>
  <c r="AH298" i="1" s="1"/>
  <c r="AF300" i="1"/>
  <c r="AH300" i="1" s="1"/>
  <c r="AF302" i="1"/>
  <c r="AH302" i="1" s="1"/>
  <c r="AF304" i="1"/>
  <c r="AH304" i="1" s="1"/>
  <c r="AF306" i="1"/>
  <c r="AH306" i="1" s="1"/>
  <c r="AF308" i="1"/>
  <c r="AH308" i="1" s="1"/>
  <c r="AF310" i="1"/>
  <c r="AH310" i="1" s="1"/>
  <c r="AF312" i="1"/>
  <c r="AH312" i="1" s="1"/>
  <c r="AF314" i="1"/>
  <c r="AH314" i="1" s="1"/>
  <c r="AF316" i="1"/>
  <c r="AH316" i="1" s="1"/>
  <c r="AF318" i="1"/>
  <c r="AH318" i="1" s="1"/>
  <c r="AF290" i="1"/>
  <c r="AF256" i="1"/>
  <c r="AH256" i="1" s="1"/>
  <c r="AF258" i="1"/>
  <c r="AH258" i="1" s="1"/>
  <c r="AF260" i="1"/>
  <c r="AH260" i="1" s="1"/>
  <c r="AF262" i="1"/>
  <c r="AH262" i="1" s="1"/>
  <c r="AF264" i="1"/>
  <c r="AH264" i="1" s="1"/>
  <c r="AF266" i="1"/>
  <c r="AH266" i="1" s="1"/>
  <c r="AF268" i="1"/>
  <c r="AH268" i="1" s="1"/>
  <c r="AF270" i="1"/>
  <c r="AH270" i="1" s="1"/>
  <c r="AF272" i="1"/>
  <c r="AH272" i="1" s="1"/>
  <c r="AF274" i="1"/>
  <c r="AH274" i="1" s="1"/>
  <c r="AF276" i="1"/>
  <c r="AH276" i="1" s="1"/>
  <c r="AF278" i="1"/>
  <c r="AH278" i="1" s="1"/>
  <c r="AF280" i="1"/>
  <c r="AH280" i="1" s="1"/>
  <c r="AF282" i="1"/>
  <c r="AH282" i="1" s="1"/>
  <c r="AF284" i="1"/>
  <c r="AH284" i="1" s="1"/>
  <c r="AF220" i="1"/>
  <c r="AH220" i="1" s="1"/>
  <c r="AF222" i="1"/>
  <c r="AH222" i="1" s="1"/>
  <c r="AF224" i="1"/>
  <c r="AH224" i="1" s="1"/>
  <c r="AF226" i="1"/>
  <c r="AH226" i="1" s="1"/>
  <c r="AF228" i="1"/>
  <c r="AH228" i="1" s="1"/>
  <c r="AF230" i="1"/>
  <c r="AH230" i="1" s="1"/>
  <c r="AF232" i="1"/>
  <c r="AH232" i="1" s="1"/>
  <c r="AF234" i="1"/>
  <c r="AH234" i="1" s="1"/>
  <c r="AF236" i="1"/>
  <c r="AH236" i="1" s="1"/>
  <c r="AF238" i="1"/>
  <c r="AH238" i="1" s="1"/>
  <c r="AF240" i="1"/>
  <c r="AH240" i="1" s="1"/>
  <c r="AF242" i="1"/>
  <c r="AH242" i="1" s="1"/>
  <c r="AF244" i="1"/>
  <c r="AH244" i="1" s="1"/>
  <c r="AF246" i="1"/>
  <c r="AH246" i="1" s="1"/>
  <c r="AF248" i="1"/>
  <c r="AH248" i="1" s="1"/>
  <c r="AF185" i="1"/>
  <c r="AH185" i="1" s="1"/>
  <c r="AF187" i="1"/>
  <c r="AH187" i="1" s="1"/>
  <c r="AF189" i="1"/>
  <c r="AH189" i="1" s="1"/>
  <c r="AF191" i="1"/>
  <c r="AH191" i="1" s="1"/>
  <c r="AF193" i="1"/>
  <c r="AH193" i="1" s="1"/>
  <c r="AF195" i="1"/>
  <c r="AH195" i="1" s="1"/>
  <c r="AF197" i="1"/>
  <c r="AH197" i="1" s="1"/>
  <c r="AF199" i="1"/>
  <c r="AH199" i="1" s="1"/>
  <c r="AF201" i="1"/>
  <c r="AH201" i="1" s="1"/>
  <c r="AF203" i="1"/>
  <c r="AH203" i="1" s="1"/>
  <c r="AF205" i="1"/>
  <c r="AH205" i="1" s="1"/>
  <c r="AF207" i="1"/>
  <c r="AH207" i="1" s="1"/>
  <c r="AF209" i="1"/>
  <c r="AH209" i="1" s="1"/>
  <c r="AF211" i="1"/>
  <c r="AH211" i="1" s="1"/>
  <c r="AF183" i="1"/>
  <c r="AF149" i="1"/>
  <c r="AH149" i="1" s="1"/>
  <c r="AF151" i="1"/>
  <c r="AH151" i="1" s="1"/>
  <c r="AF153" i="1"/>
  <c r="AH153" i="1" s="1"/>
  <c r="AF155" i="1"/>
  <c r="AH155" i="1" s="1"/>
  <c r="AF157" i="1"/>
  <c r="AH157" i="1" s="1"/>
  <c r="AF159" i="1"/>
  <c r="AH159" i="1" s="1"/>
  <c r="AF161" i="1"/>
  <c r="AH161" i="1" s="1"/>
  <c r="AF163" i="1"/>
  <c r="AH163" i="1" s="1"/>
  <c r="AF165" i="1"/>
  <c r="AH165" i="1" s="1"/>
  <c r="AF167" i="1"/>
  <c r="AH167" i="1" s="1"/>
  <c r="AF169" i="1"/>
  <c r="AH169" i="1" s="1"/>
  <c r="AF171" i="1"/>
  <c r="AH171" i="1" s="1"/>
  <c r="AF173" i="1"/>
  <c r="AH173" i="1" s="1"/>
  <c r="AF175" i="1"/>
  <c r="AH175" i="1" s="1"/>
  <c r="AF177" i="1"/>
  <c r="AH177" i="1" s="1"/>
  <c r="AF114" i="1"/>
  <c r="AH114" i="1" s="1"/>
  <c r="AF116" i="1"/>
  <c r="AH116" i="1" s="1"/>
  <c r="AF118" i="1"/>
  <c r="AH118" i="1" s="1"/>
  <c r="AF120" i="1"/>
  <c r="AH120" i="1" s="1"/>
  <c r="AF122" i="1"/>
  <c r="AH122" i="1" s="1"/>
  <c r="AF124" i="1"/>
  <c r="AH124" i="1" s="1"/>
  <c r="AF126" i="1"/>
  <c r="AH126" i="1" s="1"/>
  <c r="AF128" i="1"/>
  <c r="AH128" i="1" s="1"/>
  <c r="AF130" i="1"/>
  <c r="AH130" i="1" s="1"/>
  <c r="AF132" i="1"/>
  <c r="AH132" i="1" s="1"/>
  <c r="AF134" i="1"/>
  <c r="AH134" i="1" s="1"/>
  <c r="AF136" i="1"/>
  <c r="AH136" i="1" s="1"/>
  <c r="AF138" i="1"/>
  <c r="AH138" i="1" s="1"/>
  <c r="AF140" i="1"/>
  <c r="AH140" i="1" s="1"/>
  <c r="AF112" i="1"/>
  <c r="AF78" i="1"/>
  <c r="AH78" i="1" s="1"/>
  <c r="AF80" i="1"/>
  <c r="AH80" i="1" s="1"/>
  <c r="AF82" i="1"/>
  <c r="AH82" i="1" s="1"/>
  <c r="AF84" i="1"/>
  <c r="AH84" i="1" s="1"/>
  <c r="AF86" i="1"/>
  <c r="AH86" i="1" s="1"/>
  <c r="AF88" i="1"/>
  <c r="AH88" i="1" s="1"/>
  <c r="AF90" i="1"/>
  <c r="AH90" i="1" s="1"/>
  <c r="AF92" i="1"/>
  <c r="AH92" i="1" s="1"/>
  <c r="AF94" i="1"/>
  <c r="AH94" i="1" s="1"/>
  <c r="AF96" i="1"/>
  <c r="AH96" i="1" s="1"/>
  <c r="AF98" i="1"/>
  <c r="AH98" i="1" s="1"/>
  <c r="AF100" i="1"/>
  <c r="AH100" i="1" s="1"/>
  <c r="AF102" i="1"/>
  <c r="AH102" i="1" s="1"/>
  <c r="AF104" i="1"/>
  <c r="AH104" i="1" s="1"/>
  <c r="AF106" i="1"/>
  <c r="AH106" i="1" s="1"/>
  <c r="AF44" i="1"/>
  <c r="AH44" i="1" s="1"/>
  <c r="AF46" i="1"/>
  <c r="AH46" i="1" s="1"/>
  <c r="AF48" i="1"/>
  <c r="AH48" i="1" s="1"/>
  <c r="AF50" i="1"/>
  <c r="AH50" i="1" s="1"/>
  <c r="AF397" i="1"/>
  <c r="AH397" i="1" s="1"/>
  <c r="AF399" i="1"/>
  <c r="AH399" i="1" s="1"/>
  <c r="AF401" i="1"/>
  <c r="AH401" i="1" s="1"/>
  <c r="AF403" i="1"/>
  <c r="AH403" i="1" s="1"/>
  <c r="AF405" i="1"/>
  <c r="AH405" i="1" s="1"/>
  <c r="AF407" i="1"/>
  <c r="AH407" i="1" s="1"/>
  <c r="AF409" i="1"/>
  <c r="AH409" i="1" s="1"/>
  <c r="AF411" i="1"/>
  <c r="AH411" i="1" s="1"/>
  <c r="AF413" i="1"/>
  <c r="AH413" i="1" s="1"/>
  <c r="AF415" i="1"/>
  <c r="AH415" i="1" s="1"/>
  <c r="AF417" i="1"/>
  <c r="AH417" i="1" s="1"/>
  <c r="AF419" i="1"/>
  <c r="AH419" i="1" s="1"/>
  <c r="AF421" i="1"/>
  <c r="AH421" i="1" s="1"/>
  <c r="AF423" i="1"/>
  <c r="AH423" i="1" s="1"/>
  <c r="AF425" i="1"/>
  <c r="AH425" i="1" s="1"/>
  <c r="AF396" i="1"/>
  <c r="AF362" i="1"/>
  <c r="AH362" i="1" s="1"/>
  <c r="AF364" i="1"/>
  <c r="AH364" i="1" s="1"/>
  <c r="AF366" i="1"/>
  <c r="AH366" i="1" s="1"/>
  <c r="AF368" i="1"/>
  <c r="AH368" i="1" s="1"/>
  <c r="AF370" i="1"/>
  <c r="AH370" i="1" s="1"/>
  <c r="AF372" i="1"/>
  <c r="AH372" i="1" s="1"/>
  <c r="AF374" i="1"/>
  <c r="AH374" i="1" s="1"/>
  <c r="AF376" i="1"/>
  <c r="AH376" i="1" s="1"/>
  <c r="AF378" i="1"/>
  <c r="AH378" i="1" s="1"/>
  <c r="AF380" i="1"/>
  <c r="AH380" i="1" s="1"/>
  <c r="AF382" i="1"/>
  <c r="AH382" i="1" s="1"/>
  <c r="AF384" i="1"/>
  <c r="AH384" i="1" s="1"/>
  <c r="AF386" i="1"/>
  <c r="AH386" i="1" s="1"/>
  <c r="AF388" i="1"/>
  <c r="AH388" i="1" s="1"/>
  <c r="AF390" i="1"/>
  <c r="AH390" i="1" s="1"/>
  <c r="AF326" i="1"/>
  <c r="AH326" i="1" s="1"/>
  <c r="AF328" i="1"/>
  <c r="AH328" i="1" s="1"/>
  <c r="AF330" i="1"/>
  <c r="AH330" i="1" s="1"/>
  <c r="AF332" i="1"/>
  <c r="AH332" i="1" s="1"/>
  <c r="AF334" i="1"/>
  <c r="AH334" i="1" s="1"/>
  <c r="AF336" i="1"/>
  <c r="AH336" i="1" s="1"/>
  <c r="AF338" i="1"/>
  <c r="AH338" i="1" s="1"/>
  <c r="AF340" i="1"/>
  <c r="AH340" i="1" s="1"/>
  <c r="AF342" i="1"/>
  <c r="AH342" i="1" s="1"/>
  <c r="AF344" i="1"/>
  <c r="AH344" i="1" s="1"/>
  <c r="AF346" i="1"/>
  <c r="AH346" i="1" s="1"/>
  <c r="AF348" i="1"/>
  <c r="AH348" i="1" s="1"/>
  <c r="AF350" i="1"/>
  <c r="AH350" i="1" s="1"/>
  <c r="AF352" i="1"/>
  <c r="AH352" i="1" s="1"/>
  <c r="AF354" i="1"/>
  <c r="AH354" i="1" s="1"/>
  <c r="AF325" i="1"/>
  <c r="AF291" i="1"/>
  <c r="AH291" i="1" s="1"/>
  <c r="AF293" i="1"/>
  <c r="AH293" i="1" s="1"/>
  <c r="AF295" i="1"/>
  <c r="AH295" i="1" s="1"/>
  <c r="AF297" i="1"/>
  <c r="AH297" i="1" s="1"/>
  <c r="AF299" i="1"/>
  <c r="AH299" i="1" s="1"/>
  <c r="AF301" i="1"/>
  <c r="AH301" i="1" s="1"/>
  <c r="AF303" i="1"/>
  <c r="AH303" i="1" s="1"/>
  <c r="AF305" i="1"/>
  <c r="AH305" i="1" s="1"/>
  <c r="AF307" i="1"/>
  <c r="AH307" i="1" s="1"/>
  <c r="AF309" i="1"/>
  <c r="AH309" i="1" s="1"/>
  <c r="AF311" i="1"/>
  <c r="AH311" i="1" s="1"/>
  <c r="AF313" i="1"/>
  <c r="AH313" i="1" s="1"/>
  <c r="AF315" i="1"/>
  <c r="AH315" i="1" s="1"/>
  <c r="AF317" i="1"/>
  <c r="AH317" i="1" s="1"/>
  <c r="AF319" i="1"/>
  <c r="AH319" i="1" s="1"/>
  <c r="AF255" i="1"/>
  <c r="AH255" i="1" s="1"/>
  <c r="AF257" i="1"/>
  <c r="AH257" i="1" s="1"/>
  <c r="AF259" i="1"/>
  <c r="AH259" i="1" s="1"/>
  <c r="AF261" i="1"/>
  <c r="AH261" i="1" s="1"/>
  <c r="AF263" i="1"/>
  <c r="AH263" i="1" s="1"/>
  <c r="AF265" i="1"/>
  <c r="AH265" i="1" s="1"/>
  <c r="AF267" i="1"/>
  <c r="AH267" i="1" s="1"/>
  <c r="AF269" i="1"/>
  <c r="AH269" i="1" s="1"/>
  <c r="AF271" i="1"/>
  <c r="AH271" i="1" s="1"/>
  <c r="AF273" i="1"/>
  <c r="AH273" i="1" s="1"/>
  <c r="AF275" i="1"/>
  <c r="AH275" i="1" s="1"/>
  <c r="AF277" i="1"/>
  <c r="AH277" i="1" s="1"/>
  <c r="AF279" i="1"/>
  <c r="AH279" i="1" s="1"/>
  <c r="AF281" i="1"/>
  <c r="AH281" i="1" s="1"/>
  <c r="AF283" i="1"/>
  <c r="AH283" i="1" s="1"/>
  <c r="AF254" i="1"/>
  <c r="AF219" i="1"/>
  <c r="AH219" i="1" s="1"/>
  <c r="AF221" i="1"/>
  <c r="AH221" i="1" s="1"/>
  <c r="AF223" i="1"/>
  <c r="AH223" i="1" s="1"/>
  <c r="AF225" i="1"/>
  <c r="AH225" i="1" s="1"/>
  <c r="AF227" i="1"/>
  <c r="AH227" i="1" s="1"/>
  <c r="AF229" i="1"/>
  <c r="AH229" i="1" s="1"/>
  <c r="AF231" i="1"/>
  <c r="AH231" i="1" s="1"/>
  <c r="AF233" i="1"/>
  <c r="AH233" i="1" s="1"/>
  <c r="AF235" i="1"/>
  <c r="AH235" i="1" s="1"/>
  <c r="AF237" i="1"/>
  <c r="AH237" i="1" s="1"/>
  <c r="AF239" i="1"/>
  <c r="AH239" i="1" s="1"/>
  <c r="AF241" i="1"/>
  <c r="AH241" i="1" s="1"/>
  <c r="AF243" i="1"/>
  <c r="AH243" i="1" s="1"/>
  <c r="AF245" i="1"/>
  <c r="AH245" i="1" s="1"/>
  <c r="AF247" i="1"/>
  <c r="AH247" i="1" s="1"/>
  <c r="AF218" i="1"/>
  <c r="AF184" i="1"/>
  <c r="AH184" i="1" s="1"/>
  <c r="AF186" i="1"/>
  <c r="AH186" i="1" s="1"/>
  <c r="AF188" i="1"/>
  <c r="AH188" i="1" s="1"/>
  <c r="AF190" i="1"/>
  <c r="AH190" i="1" s="1"/>
  <c r="AF192" i="1"/>
  <c r="AH192" i="1" s="1"/>
  <c r="AF194" i="1"/>
  <c r="AH194" i="1" s="1"/>
  <c r="AF196" i="1"/>
  <c r="AH196" i="1" s="1"/>
  <c r="AF198" i="1"/>
  <c r="AH198" i="1" s="1"/>
  <c r="AF200" i="1"/>
  <c r="AH200" i="1" s="1"/>
  <c r="AF202" i="1"/>
  <c r="AH202" i="1" s="1"/>
  <c r="AF204" i="1"/>
  <c r="AH204" i="1" s="1"/>
  <c r="AF206" i="1"/>
  <c r="AH206" i="1" s="1"/>
  <c r="AF208" i="1"/>
  <c r="AH208" i="1" s="1"/>
  <c r="AF210" i="1"/>
  <c r="AH210" i="1" s="1"/>
  <c r="AF212" i="1"/>
  <c r="AH212" i="1" s="1"/>
  <c r="AF148" i="1"/>
  <c r="AH148" i="1" s="1"/>
  <c r="AF150" i="1"/>
  <c r="AH150" i="1" s="1"/>
  <c r="AF152" i="1"/>
  <c r="AH152" i="1" s="1"/>
  <c r="AF154" i="1"/>
  <c r="AH154" i="1" s="1"/>
  <c r="AF156" i="1"/>
  <c r="AH156" i="1" s="1"/>
  <c r="AF158" i="1"/>
  <c r="AH158" i="1" s="1"/>
  <c r="AF160" i="1"/>
  <c r="AH160" i="1" s="1"/>
  <c r="AF162" i="1"/>
  <c r="AH162" i="1" s="1"/>
  <c r="AF164" i="1"/>
  <c r="AH164" i="1" s="1"/>
  <c r="AF166" i="1"/>
  <c r="AH166" i="1" s="1"/>
  <c r="AF168" i="1"/>
  <c r="AH168" i="1" s="1"/>
  <c r="AF170" i="1"/>
  <c r="AH170" i="1" s="1"/>
  <c r="AF172" i="1"/>
  <c r="AH172" i="1" s="1"/>
  <c r="AF174" i="1"/>
  <c r="AH174" i="1" s="1"/>
  <c r="AF176" i="1"/>
  <c r="AH176" i="1" s="1"/>
  <c r="AF113" i="1"/>
  <c r="AH113" i="1" s="1"/>
  <c r="AF115" i="1"/>
  <c r="AH115" i="1" s="1"/>
  <c r="AF117" i="1"/>
  <c r="AH117" i="1" s="1"/>
  <c r="AF119" i="1"/>
  <c r="AH119" i="1" s="1"/>
  <c r="AF121" i="1"/>
  <c r="AH121" i="1" s="1"/>
  <c r="AF123" i="1"/>
  <c r="AH123" i="1" s="1"/>
  <c r="AF125" i="1"/>
  <c r="AH125" i="1" s="1"/>
  <c r="AF127" i="1"/>
  <c r="AH127" i="1" s="1"/>
  <c r="AF129" i="1"/>
  <c r="AH129" i="1" s="1"/>
  <c r="AF131" i="1"/>
  <c r="AH131" i="1" s="1"/>
  <c r="AF133" i="1"/>
  <c r="AH133" i="1" s="1"/>
  <c r="AF135" i="1"/>
  <c r="AH135" i="1" s="1"/>
  <c r="AF137" i="1"/>
  <c r="AH137" i="1" s="1"/>
  <c r="AF139" i="1"/>
  <c r="AH139" i="1" s="1"/>
  <c r="AF141" i="1"/>
  <c r="AH141" i="1" s="1"/>
  <c r="AF77" i="1"/>
  <c r="AH77" i="1" s="1"/>
  <c r="AF79" i="1"/>
  <c r="AH79" i="1" s="1"/>
  <c r="AF81" i="1"/>
  <c r="AH81" i="1" s="1"/>
  <c r="AF83" i="1"/>
  <c r="AH83" i="1" s="1"/>
  <c r="AF85" i="1"/>
  <c r="AH85" i="1" s="1"/>
  <c r="AF87" i="1"/>
  <c r="AH87" i="1" s="1"/>
  <c r="AF89" i="1"/>
  <c r="AH89" i="1" s="1"/>
  <c r="AF91" i="1"/>
  <c r="AH91" i="1" s="1"/>
  <c r="AF93" i="1"/>
  <c r="AH93" i="1" s="1"/>
  <c r="AF95" i="1"/>
  <c r="AH95" i="1" s="1"/>
  <c r="AF97" i="1"/>
  <c r="AH97" i="1" s="1"/>
  <c r="AF99" i="1"/>
  <c r="AH99" i="1" s="1"/>
  <c r="AF101" i="1"/>
  <c r="AH101" i="1" s="1"/>
  <c r="AF103" i="1"/>
  <c r="AH103" i="1" s="1"/>
  <c r="AF105" i="1"/>
  <c r="AH105" i="1" s="1"/>
  <c r="AF76" i="1"/>
  <c r="AF43" i="1"/>
  <c r="AH43" i="1" s="1"/>
  <c r="AF45" i="1"/>
  <c r="AH45" i="1" s="1"/>
  <c r="AF47" i="1"/>
  <c r="AH47" i="1" s="1"/>
  <c r="AF49" i="1"/>
  <c r="AH49" i="1" s="1"/>
  <c r="AF51" i="1"/>
  <c r="AH51" i="1" s="1"/>
  <c r="AF53" i="1"/>
  <c r="AH53" i="1" s="1"/>
  <c r="AF55" i="1"/>
  <c r="AH55" i="1" s="1"/>
  <c r="AF57" i="1"/>
  <c r="AH57" i="1" s="1"/>
  <c r="AF59" i="1"/>
  <c r="AH59" i="1" s="1"/>
  <c r="AF61" i="1"/>
  <c r="AH61" i="1" s="1"/>
  <c r="AF63" i="1"/>
  <c r="AH63" i="1" s="1"/>
  <c r="AF65" i="1"/>
  <c r="AH65" i="1" s="1"/>
  <c r="AF67" i="1"/>
  <c r="AH67" i="1" s="1"/>
  <c r="AF69" i="1"/>
  <c r="AH69" i="1" s="1"/>
  <c r="AF42" i="1"/>
  <c r="AF54" i="1"/>
  <c r="AH54" i="1" s="1"/>
  <c r="AF58" i="1"/>
  <c r="AH58" i="1" s="1"/>
  <c r="AF62" i="1"/>
  <c r="AH62" i="1" s="1"/>
  <c r="AF66" i="1"/>
  <c r="AH66" i="1" s="1"/>
  <c r="AF70" i="1"/>
  <c r="AH70" i="1" s="1"/>
  <c r="AF8" i="1"/>
  <c r="AH8" i="1" s="1"/>
  <c r="AF10" i="1"/>
  <c r="AH10" i="1" s="1"/>
  <c r="AF12" i="1"/>
  <c r="AH12" i="1" s="1"/>
  <c r="AF14" i="1"/>
  <c r="AH14" i="1" s="1"/>
  <c r="AF16" i="1"/>
  <c r="AH16" i="1" s="1"/>
  <c r="AF18" i="1"/>
  <c r="AH18" i="1" s="1"/>
  <c r="AF20" i="1"/>
  <c r="AH20" i="1" s="1"/>
  <c r="AF22" i="1"/>
  <c r="AH22" i="1" s="1"/>
  <c r="AF24" i="1"/>
  <c r="AH24" i="1" s="1"/>
  <c r="AF26" i="1"/>
  <c r="AH26" i="1" s="1"/>
  <c r="AF28" i="1"/>
  <c r="AH28" i="1" s="1"/>
  <c r="AF30" i="1"/>
  <c r="AH30" i="1" s="1"/>
  <c r="AF32" i="1"/>
  <c r="AH32" i="1" s="1"/>
  <c r="AF34" i="1"/>
  <c r="AH34" i="1" s="1"/>
  <c r="AF36" i="1"/>
  <c r="AH36" i="1" s="1"/>
  <c r="AF52" i="1"/>
  <c r="AH52" i="1" s="1"/>
  <c r="AF56" i="1"/>
  <c r="AH56" i="1" s="1"/>
  <c r="AF60" i="1"/>
  <c r="AH60" i="1" s="1"/>
  <c r="AF64" i="1"/>
  <c r="AH64" i="1" s="1"/>
  <c r="AF68" i="1"/>
  <c r="AH68" i="1" s="1"/>
  <c r="AF7" i="1"/>
  <c r="AH7" i="1" s="1"/>
  <c r="AF9" i="1"/>
  <c r="AH9" i="1" s="1"/>
  <c r="AF11" i="1"/>
  <c r="AH11" i="1" s="1"/>
  <c r="AF13" i="1"/>
  <c r="AH13" i="1" s="1"/>
  <c r="AF15" i="1"/>
  <c r="AH15" i="1" s="1"/>
  <c r="AF17" i="1"/>
  <c r="AH17" i="1" s="1"/>
  <c r="AF19" i="1"/>
  <c r="AH19" i="1" s="1"/>
  <c r="AF21" i="1"/>
  <c r="AH21" i="1" s="1"/>
  <c r="AF23" i="1"/>
  <c r="AH23" i="1" s="1"/>
  <c r="AF25" i="1"/>
  <c r="AH25" i="1" s="1"/>
  <c r="AF27" i="1"/>
  <c r="AH27" i="1" s="1"/>
  <c r="AF29" i="1"/>
  <c r="AH29" i="1" s="1"/>
  <c r="AF31" i="1"/>
  <c r="AH31" i="1" s="1"/>
  <c r="AF33" i="1"/>
  <c r="AH33" i="1" s="1"/>
  <c r="AF35" i="1"/>
  <c r="AH35" i="1" s="1"/>
  <c r="BP398" i="1"/>
  <c r="BR398" i="1" s="1"/>
  <c r="BP400" i="1"/>
  <c r="BR400" i="1" s="1"/>
  <c r="BP402" i="1"/>
  <c r="BR402" i="1" s="1"/>
  <c r="BP404" i="1"/>
  <c r="BR404" i="1" s="1"/>
  <c r="BP406" i="1"/>
  <c r="BR406" i="1" s="1"/>
  <c r="BP408" i="1"/>
  <c r="BR408" i="1" s="1"/>
  <c r="BP410" i="1"/>
  <c r="BR410" i="1" s="1"/>
  <c r="BP412" i="1"/>
  <c r="BR412" i="1" s="1"/>
  <c r="BP414" i="1"/>
  <c r="BR414" i="1" s="1"/>
  <c r="BP416" i="1"/>
  <c r="BR416" i="1" s="1"/>
  <c r="BP418" i="1"/>
  <c r="BR418" i="1" s="1"/>
  <c r="BP420" i="1"/>
  <c r="BR420" i="1" s="1"/>
  <c r="BP422" i="1"/>
  <c r="BR422" i="1" s="1"/>
  <c r="BP424" i="1"/>
  <c r="BR424" i="1" s="1"/>
  <c r="BP426" i="1"/>
  <c r="BR426" i="1" s="1"/>
  <c r="BP363" i="1"/>
  <c r="BR363" i="1" s="1"/>
  <c r="BP365" i="1"/>
  <c r="BR365" i="1" s="1"/>
  <c r="BP367" i="1"/>
  <c r="BR367" i="1" s="1"/>
  <c r="BP369" i="1"/>
  <c r="BR369" i="1" s="1"/>
  <c r="BP371" i="1"/>
  <c r="BR371" i="1" s="1"/>
  <c r="BP373" i="1"/>
  <c r="BR373" i="1" s="1"/>
  <c r="BP375" i="1"/>
  <c r="BR375" i="1" s="1"/>
  <c r="BP377" i="1"/>
  <c r="BR377" i="1" s="1"/>
  <c r="BP379" i="1"/>
  <c r="BR379" i="1" s="1"/>
  <c r="BP381" i="1"/>
  <c r="BR381" i="1" s="1"/>
  <c r="BP383" i="1"/>
  <c r="BR383" i="1" s="1"/>
  <c r="BP385" i="1"/>
  <c r="BR385" i="1" s="1"/>
  <c r="BP387" i="1"/>
  <c r="BR387" i="1" s="1"/>
  <c r="BP389" i="1"/>
  <c r="BR389" i="1" s="1"/>
  <c r="BP361" i="1"/>
  <c r="BP327" i="1"/>
  <c r="BR327" i="1" s="1"/>
  <c r="BP329" i="1"/>
  <c r="BR329" i="1" s="1"/>
  <c r="BP331" i="1"/>
  <c r="BR331" i="1" s="1"/>
  <c r="BP333" i="1"/>
  <c r="BR333" i="1" s="1"/>
  <c r="BP335" i="1"/>
  <c r="BR335" i="1" s="1"/>
  <c r="BP337" i="1"/>
  <c r="BR337" i="1" s="1"/>
  <c r="BP339" i="1"/>
  <c r="BR339" i="1" s="1"/>
  <c r="BP341" i="1"/>
  <c r="BR341" i="1" s="1"/>
  <c r="BP343" i="1"/>
  <c r="BR343" i="1" s="1"/>
  <c r="BP345" i="1"/>
  <c r="BR345" i="1" s="1"/>
  <c r="BP347" i="1"/>
  <c r="BR347" i="1" s="1"/>
  <c r="BP349" i="1"/>
  <c r="BR349" i="1" s="1"/>
  <c r="BP351" i="1"/>
  <c r="BR351" i="1" s="1"/>
  <c r="BP353" i="1"/>
  <c r="BR353" i="1" s="1"/>
  <c r="BP355" i="1"/>
  <c r="BR355" i="1" s="1"/>
  <c r="BP292" i="1"/>
  <c r="BR292" i="1" s="1"/>
  <c r="BP294" i="1"/>
  <c r="BR294" i="1" s="1"/>
  <c r="BP296" i="1"/>
  <c r="BR296" i="1" s="1"/>
  <c r="BP298" i="1"/>
  <c r="BR298" i="1" s="1"/>
  <c r="BP300" i="1"/>
  <c r="BR300" i="1" s="1"/>
  <c r="BP302" i="1"/>
  <c r="BR302" i="1" s="1"/>
  <c r="BP304" i="1"/>
  <c r="BR304" i="1" s="1"/>
  <c r="BP306" i="1"/>
  <c r="BR306" i="1" s="1"/>
  <c r="BP308" i="1"/>
  <c r="BR308" i="1" s="1"/>
  <c r="BP310" i="1"/>
  <c r="BR310" i="1" s="1"/>
  <c r="BP312" i="1"/>
  <c r="BR312" i="1" s="1"/>
  <c r="BP314" i="1"/>
  <c r="BR314" i="1" s="1"/>
  <c r="BP316" i="1"/>
  <c r="BR316" i="1" s="1"/>
  <c r="BP318" i="1"/>
  <c r="BR318" i="1" s="1"/>
  <c r="BP290" i="1"/>
  <c r="BP256" i="1"/>
  <c r="BR256" i="1" s="1"/>
  <c r="BP258" i="1"/>
  <c r="BR258" i="1" s="1"/>
  <c r="BP260" i="1"/>
  <c r="BR260" i="1" s="1"/>
  <c r="BP262" i="1"/>
  <c r="BR262" i="1" s="1"/>
  <c r="BP264" i="1"/>
  <c r="BR264" i="1" s="1"/>
  <c r="BP266" i="1"/>
  <c r="BR266" i="1" s="1"/>
  <c r="BP268" i="1"/>
  <c r="BR268" i="1" s="1"/>
  <c r="BP270" i="1"/>
  <c r="BR270" i="1" s="1"/>
  <c r="BP272" i="1"/>
  <c r="BR272" i="1" s="1"/>
  <c r="BP274" i="1"/>
  <c r="BR274" i="1" s="1"/>
  <c r="BP276" i="1"/>
  <c r="BR276" i="1" s="1"/>
  <c r="BP278" i="1"/>
  <c r="BR278" i="1" s="1"/>
  <c r="BP280" i="1"/>
  <c r="BR280" i="1" s="1"/>
  <c r="BP282" i="1"/>
  <c r="BR282" i="1" s="1"/>
  <c r="BP284" i="1"/>
  <c r="BR284" i="1" s="1"/>
  <c r="BP220" i="1"/>
  <c r="BR220" i="1" s="1"/>
  <c r="BP222" i="1"/>
  <c r="BR222" i="1" s="1"/>
  <c r="BP224" i="1"/>
  <c r="BR224" i="1" s="1"/>
  <c r="BP226" i="1"/>
  <c r="BR226" i="1" s="1"/>
  <c r="BP228" i="1"/>
  <c r="BR228" i="1" s="1"/>
  <c r="BP230" i="1"/>
  <c r="BR230" i="1" s="1"/>
  <c r="BP232" i="1"/>
  <c r="BR232" i="1" s="1"/>
  <c r="BP234" i="1"/>
  <c r="BR234" i="1" s="1"/>
  <c r="BP236" i="1"/>
  <c r="BR236" i="1" s="1"/>
  <c r="BP238" i="1"/>
  <c r="BR238" i="1" s="1"/>
  <c r="BP240" i="1"/>
  <c r="BR240" i="1" s="1"/>
  <c r="BP242" i="1"/>
  <c r="BR242" i="1" s="1"/>
  <c r="BP244" i="1"/>
  <c r="BR244" i="1" s="1"/>
  <c r="BP246" i="1"/>
  <c r="BR246" i="1" s="1"/>
  <c r="BP248" i="1"/>
  <c r="BR248" i="1" s="1"/>
  <c r="BP185" i="1"/>
  <c r="BR185" i="1" s="1"/>
  <c r="BP187" i="1"/>
  <c r="BR187" i="1" s="1"/>
  <c r="BP189" i="1"/>
  <c r="BR189" i="1" s="1"/>
  <c r="BP191" i="1"/>
  <c r="BR191" i="1" s="1"/>
  <c r="BP193" i="1"/>
  <c r="BR193" i="1" s="1"/>
  <c r="BP195" i="1"/>
  <c r="BR195" i="1" s="1"/>
  <c r="BP197" i="1"/>
  <c r="BR197" i="1" s="1"/>
  <c r="BP199" i="1"/>
  <c r="BR199" i="1" s="1"/>
  <c r="BP201" i="1"/>
  <c r="BR201" i="1" s="1"/>
  <c r="BP203" i="1"/>
  <c r="BR203" i="1" s="1"/>
  <c r="BP205" i="1"/>
  <c r="BR205" i="1" s="1"/>
  <c r="BP207" i="1"/>
  <c r="BR207" i="1" s="1"/>
  <c r="BP209" i="1"/>
  <c r="BR209" i="1" s="1"/>
  <c r="BP211" i="1"/>
  <c r="BR211" i="1" s="1"/>
  <c r="BP183" i="1"/>
  <c r="BP149" i="1"/>
  <c r="BR149" i="1" s="1"/>
  <c r="BP151" i="1"/>
  <c r="BR151" i="1" s="1"/>
  <c r="BP153" i="1"/>
  <c r="BR153" i="1" s="1"/>
  <c r="BP155" i="1"/>
  <c r="BR155" i="1" s="1"/>
  <c r="BP157" i="1"/>
  <c r="BR157" i="1" s="1"/>
  <c r="BP159" i="1"/>
  <c r="BR159" i="1" s="1"/>
  <c r="BP161" i="1"/>
  <c r="BR161" i="1" s="1"/>
  <c r="BP163" i="1"/>
  <c r="BR163" i="1" s="1"/>
  <c r="BP165" i="1"/>
  <c r="BR165" i="1" s="1"/>
  <c r="BP167" i="1"/>
  <c r="BR167" i="1" s="1"/>
  <c r="BP169" i="1"/>
  <c r="BR169" i="1" s="1"/>
  <c r="BP171" i="1"/>
  <c r="BR171" i="1" s="1"/>
  <c r="BP173" i="1"/>
  <c r="BR173" i="1" s="1"/>
  <c r="BP175" i="1"/>
  <c r="BR175" i="1" s="1"/>
  <c r="BP177" i="1"/>
  <c r="BR177" i="1" s="1"/>
  <c r="BP114" i="1"/>
  <c r="BR114" i="1" s="1"/>
  <c r="BP116" i="1"/>
  <c r="BR116" i="1" s="1"/>
  <c r="BP118" i="1"/>
  <c r="BR118" i="1" s="1"/>
  <c r="BP120" i="1"/>
  <c r="BR120" i="1" s="1"/>
  <c r="BP122" i="1"/>
  <c r="BR122" i="1" s="1"/>
  <c r="BP124" i="1"/>
  <c r="BR124" i="1" s="1"/>
  <c r="BP126" i="1"/>
  <c r="BR126" i="1" s="1"/>
  <c r="BP128" i="1"/>
  <c r="BR128" i="1" s="1"/>
  <c r="BP130" i="1"/>
  <c r="BR130" i="1" s="1"/>
  <c r="BP132" i="1"/>
  <c r="BR132" i="1" s="1"/>
  <c r="BP134" i="1"/>
  <c r="BR134" i="1" s="1"/>
  <c r="BP136" i="1"/>
  <c r="BR136" i="1" s="1"/>
  <c r="BP138" i="1"/>
  <c r="BR138" i="1" s="1"/>
  <c r="BP140" i="1"/>
  <c r="BR140" i="1" s="1"/>
  <c r="BP112" i="1"/>
  <c r="BP78" i="1"/>
  <c r="BR78" i="1" s="1"/>
  <c r="BP80" i="1"/>
  <c r="BR80" i="1" s="1"/>
  <c r="BP82" i="1"/>
  <c r="BR82" i="1" s="1"/>
  <c r="BP84" i="1"/>
  <c r="BR84" i="1" s="1"/>
  <c r="BP86" i="1"/>
  <c r="BR86" i="1" s="1"/>
  <c r="BP88" i="1"/>
  <c r="BR88" i="1" s="1"/>
  <c r="BP90" i="1"/>
  <c r="BR90" i="1" s="1"/>
  <c r="BP92" i="1"/>
  <c r="BR92" i="1" s="1"/>
  <c r="BP94" i="1"/>
  <c r="BR94" i="1" s="1"/>
  <c r="BP96" i="1"/>
  <c r="BR96" i="1" s="1"/>
  <c r="BP98" i="1"/>
  <c r="BR98" i="1" s="1"/>
  <c r="BP100" i="1"/>
  <c r="BR100" i="1" s="1"/>
  <c r="BP102" i="1"/>
  <c r="BR102" i="1" s="1"/>
  <c r="BP104" i="1"/>
  <c r="BR104" i="1" s="1"/>
  <c r="BP106" i="1"/>
  <c r="BR106" i="1" s="1"/>
  <c r="BP44" i="1"/>
  <c r="BR44" i="1" s="1"/>
  <c r="BP46" i="1"/>
  <c r="BR46" i="1" s="1"/>
  <c r="BP48" i="1"/>
  <c r="BR48" i="1" s="1"/>
  <c r="BP50" i="1"/>
  <c r="BR50" i="1" s="1"/>
  <c r="BP52" i="1"/>
  <c r="BR52" i="1" s="1"/>
  <c r="BP54" i="1"/>
  <c r="BR54" i="1" s="1"/>
  <c r="BP56" i="1"/>
  <c r="BR56" i="1" s="1"/>
  <c r="BP58" i="1"/>
  <c r="BR58" i="1" s="1"/>
  <c r="BP60" i="1"/>
  <c r="BR60" i="1" s="1"/>
  <c r="BP62" i="1"/>
  <c r="BR62" i="1" s="1"/>
  <c r="BP64" i="1"/>
  <c r="BR64" i="1" s="1"/>
  <c r="BP66" i="1"/>
  <c r="BR66" i="1" s="1"/>
  <c r="BP68" i="1"/>
  <c r="BR68" i="1" s="1"/>
  <c r="BP70" i="1"/>
  <c r="BR70" i="1" s="1"/>
  <c r="BP397" i="1"/>
  <c r="BR397" i="1" s="1"/>
  <c r="BP399" i="1"/>
  <c r="BR399" i="1" s="1"/>
  <c r="BP401" i="1"/>
  <c r="BR401" i="1" s="1"/>
  <c r="BP403" i="1"/>
  <c r="BR403" i="1" s="1"/>
  <c r="BP405" i="1"/>
  <c r="BR405" i="1" s="1"/>
  <c r="BP407" i="1"/>
  <c r="BR407" i="1" s="1"/>
  <c r="BP409" i="1"/>
  <c r="BR409" i="1" s="1"/>
  <c r="BP411" i="1"/>
  <c r="BR411" i="1" s="1"/>
  <c r="BP413" i="1"/>
  <c r="BR413" i="1" s="1"/>
  <c r="BP415" i="1"/>
  <c r="BR415" i="1" s="1"/>
  <c r="BP417" i="1"/>
  <c r="BR417" i="1" s="1"/>
  <c r="BP419" i="1"/>
  <c r="BR419" i="1" s="1"/>
  <c r="BP421" i="1"/>
  <c r="BR421" i="1" s="1"/>
  <c r="BP423" i="1"/>
  <c r="BR423" i="1" s="1"/>
  <c r="BP425" i="1"/>
  <c r="BR425" i="1" s="1"/>
  <c r="BP396" i="1"/>
  <c r="BP362" i="1"/>
  <c r="BR362" i="1" s="1"/>
  <c r="BP364" i="1"/>
  <c r="BR364" i="1" s="1"/>
  <c r="BP366" i="1"/>
  <c r="BR366" i="1" s="1"/>
  <c r="BP368" i="1"/>
  <c r="BR368" i="1" s="1"/>
  <c r="BP370" i="1"/>
  <c r="BR370" i="1" s="1"/>
  <c r="BP372" i="1"/>
  <c r="BR372" i="1" s="1"/>
  <c r="BP374" i="1"/>
  <c r="BR374" i="1" s="1"/>
  <c r="BP376" i="1"/>
  <c r="BR376" i="1" s="1"/>
  <c r="BP378" i="1"/>
  <c r="BR378" i="1" s="1"/>
  <c r="BP380" i="1"/>
  <c r="BR380" i="1" s="1"/>
  <c r="BP382" i="1"/>
  <c r="BR382" i="1" s="1"/>
  <c r="BP384" i="1"/>
  <c r="BR384" i="1" s="1"/>
  <c r="BP386" i="1"/>
  <c r="BR386" i="1" s="1"/>
  <c r="BP388" i="1"/>
  <c r="BR388" i="1" s="1"/>
  <c r="BP390" i="1"/>
  <c r="BR390" i="1" s="1"/>
  <c r="BP326" i="1"/>
  <c r="BR326" i="1" s="1"/>
  <c r="BP328" i="1"/>
  <c r="BR328" i="1" s="1"/>
  <c r="BP330" i="1"/>
  <c r="BR330" i="1" s="1"/>
  <c r="BP332" i="1"/>
  <c r="BR332" i="1" s="1"/>
  <c r="BP334" i="1"/>
  <c r="BR334" i="1" s="1"/>
  <c r="BP336" i="1"/>
  <c r="BR336" i="1" s="1"/>
  <c r="BP338" i="1"/>
  <c r="BR338" i="1" s="1"/>
  <c r="BP340" i="1"/>
  <c r="BR340" i="1" s="1"/>
  <c r="BP342" i="1"/>
  <c r="BR342" i="1" s="1"/>
  <c r="BP344" i="1"/>
  <c r="BR344" i="1" s="1"/>
  <c r="BP346" i="1"/>
  <c r="BR346" i="1" s="1"/>
  <c r="BP348" i="1"/>
  <c r="BR348" i="1" s="1"/>
  <c r="BP350" i="1"/>
  <c r="BR350" i="1" s="1"/>
  <c r="BP352" i="1"/>
  <c r="BR352" i="1" s="1"/>
  <c r="BP354" i="1"/>
  <c r="BR354" i="1" s="1"/>
  <c r="BP325" i="1"/>
  <c r="BP291" i="1"/>
  <c r="BR291" i="1" s="1"/>
  <c r="BP293" i="1"/>
  <c r="BR293" i="1" s="1"/>
  <c r="BP295" i="1"/>
  <c r="BR295" i="1" s="1"/>
  <c r="BP297" i="1"/>
  <c r="BR297" i="1" s="1"/>
  <c r="BP299" i="1"/>
  <c r="BR299" i="1" s="1"/>
  <c r="BP301" i="1"/>
  <c r="BR301" i="1" s="1"/>
  <c r="BP303" i="1"/>
  <c r="BR303" i="1" s="1"/>
  <c r="BP305" i="1"/>
  <c r="BR305" i="1" s="1"/>
  <c r="BP307" i="1"/>
  <c r="BR307" i="1" s="1"/>
  <c r="BP309" i="1"/>
  <c r="BR309" i="1" s="1"/>
  <c r="BP311" i="1"/>
  <c r="BR311" i="1" s="1"/>
  <c r="BP313" i="1"/>
  <c r="BR313" i="1" s="1"/>
  <c r="BP315" i="1"/>
  <c r="BR315" i="1" s="1"/>
  <c r="BP317" i="1"/>
  <c r="BR317" i="1" s="1"/>
  <c r="BP319" i="1"/>
  <c r="BR319" i="1" s="1"/>
  <c r="BP255" i="1"/>
  <c r="BR255" i="1" s="1"/>
  <c r="BP257" i="1"/>
  <c r="BR257" i="1" s="1"/>
  <c r="BP259" i="1"/>
  <c r="BR259" i="1" s="1"/>
  <c r="BP261" i="1"/>
  <c r="BR261" i="1" s="1"/>
  <c r="BP263" i="1"/>
  <c r="BR263" i="1" s="1"/>
  <c r="BP265" i="1"/>
  <c r="BR265" i="1" s="1"/>
  <c r="BP267" i="1"/>
  <c r="BR267" i="1" s="1"/>
  <c r="BP269" i="1"/>
  <c r="BR269" i="1" s="1"/>
  <c r="BP271" i="1"/>
  <c r="BR271" i="1" s="1"/>
  <c r="BP273" i="1"/>
  <c r="BR273" i="1" s="1"/>
  <c r="BP275" i="1"/>
  <c r="BR275" i="1" s="1"/>
  <c r="BP277" i="1"/>
  <c r="BR277" i="1" s="1"/>
  <c r="BP279" i="1"/>
  <c r="BR279" i="1" s="1"/>
  <c r="BP281" i="1"/>
  <c r="BR281" i="1" s="1"/>
  <c r="BP283" i="1"/>
  <c r="BR283" i="1" s="1"/>
  <c r="BP254" i="1"/>
  <c r="BP219" i="1"/>
  <c r="BR219" i="1" s="1"/>
  <c r="BP221" i="1"/>
  <c r="BR221" i="1" s="1"/>
  <c r="BP223" i="1"/>
  <c r="BR223" i="1" s="1"/>
  <c r="BP225" i="1"/>
  <c r="BR225" i="1" s="1"/>
  <c r="BP227" i="1"/>
  <c r="BR227" i="1" s="1"/>
  <c r="BP229" i="1"/>
  <c r="BR229" i="1" s="1"/>
  <c r="BP231" i="1"/>
  <c r="BR231" i="1" s="1"/>
  <c r="BP233" i="1"/>
  <c r="BR233" i="1" s="1"/>
  <c r="BP235" i="1"/>
  <c r="BR235" i="1" s="1"/>
  <c r="BP237" i="1"/>
  <c r="BR237" i="1" s="1"/>
  <c r="BP239" i="1"/>
  <c r="BR239" i="1" s="1"/>
  <c r="BP241" i="1"/>
  <c r="BR241" i="1" s="1"/>
  <c r="BP243" i="1"/>
  <c r="BR243" i="1" s="1"/>
  <c r="BP245" i="1"/>
  <c r="BR245" i="1" s="1"/>
  <c r="BP247" i="1"/>
  <c r="BR247" i="1" s="1"/>
  <c r="BP218" i="1"/>
  <c r="BP184" i="1"/>
  <c r="BR184" i="1" s="1"/>
  <c r="BP186" i="1"/>
  <c r="BR186" i="1" s="1"/>
  <c r="BP188" i="1"/>
  <c r="BR188" i="1" s="1"/>
  <c r="BP190" i="1"/>
  <c r="BR190" i="1" s="1"/>
  <c r="BP192" i="1"/>
  <c r="BR192" i="1" s="1"/>
  <c r="BP194" i="1"/>
  <c r="BR194" i="1" s="1"/>
  <c r="BP196" i="1"/>
  <c r="BR196" i="1" s="1"/>
  <c r="BP198" i="1"/>
  <c r="BR198" i="1" s="1"/>
  <c r="BP200" i="1"/>
  <c r="BR200" i="1" s="1"/>
  <c r="BP202" i="1"/>
  <c r="BR202" i="1" s="1"/>
  <c r="BP204" i="1"/>
  <c r="BR204" i="1" s="1"/>
  <c r="BP206" i="1"/>
  <c r="BR206" i="1" s="1"/>
  <c r="BP208" i="1"/>
  <c r="BR208" i="1" s="1"/>
  <c r="BP210" i="1"/>
  <c r="BR210" i="1" s="1"/>
  <c r="BP212" i="1"/>
  <c r="BR212" i="1" s="1"/>
  <c r="BP148" i="1"/>
  <c r="BR148" i="1" s="1"/>
  <c r="BP150" i="1"/>
  <c r="BR150" i="1" s="1"/>
  <c r="BP152" i="1"/>
  <c r="BR152" i="1" s="1"/>
  <c r="BP154" i="1"/>
  <c r="BR154" i="1" s="1"/>
  <c r="BP156" i="1"/>
  <c r="BR156" i="1" s="1"/>
  <c r="BP158" i="1"/>
  <c r="BR158" i="1" s="1"/>
  <c r="BP160" i="1"/>
  <c r="BR160" i="1" s="1"/>
  <c r="BP162" i="1"/>
  <c r="BR162" i="1" s="1"/>
  <c r="BP164" i="1"/>
  <c r="BR164" i="1" s="1"/>
  <c r="BP166" i="1"/>
  <c r="BR166" i="1" s="1"/>
  <c r="BP168" i="1"/>
  <c r="BR168" i="1" s="1"/>
  <c r="BP170" i="1"/>
  <c r="BR170" i="1" s="1"/>
  <c r="BP172" i="1"/>
  <c r="BR172" i="1" s="1"/>
  <c r="BP174" i="1"/>
  <c r="BR174" i="1" s="1"/>
  <c r="BP176" i="1"/>
  <c r="BR176" i="1" s="1"/>
  <c r="BP113" i="1"/>
  <c r="BR113" i="1" s="1"/>
  <c r="BP115" i="1"/>
  <c r="BR115" i="1" s="1"/>
  <c r="BP117" i="1"/>
  <c r="BR117" i="1" s="1"/>
  <c r="BP119" i="1"/>
  <c r="BR119" i="1" s="1"/>
  <c r="BP121" i="1"/>
  <c r="BR121" i="1" s="1"/>
  <c r="BP123" i="1"/>
  <c r="BR123" i="1" s="1"/>
  <c r="BP125" i="1"/>
  <c r="BR125" i="1" s="1"/>
  <c r="BP127" i="1"/>
  <c r="BR127" i="1" s="1"/>
  <c r="BP129" i="1"/>
  <c r="BR129" i="1" s="1"/>
  <c r="BP131" i="1"/>
  <c r="BR131" i="1" s="1"/>
  <c r="BP133" i="1"/>
  <c r="BR133" i="1" s="1"/>
  <c r="BP135" i="1"/>
  <c r="BR135" i="1" s="1"/>
  <c r="BP137" i="1"/>
  <c r="BR137" i="1" s="1"/>
  <c r="BP139" i="1"/>
  <c r="BR139" i="1" s="1"/>
  <c r="BP141" i="1"/>
  <c r="BR141" i="1" s="1"/>
  <c r="BP77" i="1"/>
  <c r="BR77" i="1" s="1"/>
  <c r="BP79" i="1"/>
  <c r="BR79" i="1" s="1"/>
  <c r="BP81" i="1"/>
  <c r="BR81" i="1" s="1"/>
  <c r="BP83" i="1"/>
  <c r="BR83" i="1" s="1"/>
  <c r="BP85" i="1"/>
  <c r="BR85" i="1" s="1"/>
  <c r="BP87" i="1"/>
  <c r="BR87" i="1" s="1"/>
  <c r="BP89" i="1"/>
  <c r="BR89" i="1" s="1"/>
  <c r="BP91" i="1"/>
  <c r="BR91" i="1" s="1"/>
  <c r="BP93" i="1"/>
  <c r="BR93" i="1" s="1"/>
  <c r="BP95" i="1"/>
  <c r="BR95" i="1" s="1"/>
  <c r="BP97" i="1"/>
  <c r="BR97" i="1" s="1"/>
  <c r="BP99" i="1"/>
  <c r="BR99" i="1" s="1"/>
  <c r="BP101" i="1"/>
  <c r="BR101" i="1" s="1"/>
  <c r="BP103" i="1"/>
  <c r="BR103" i="1" s="1"/>
  <c r="BP105" i="1"/>
  <c r="BR105" i="1" s="1"/>
  <c r="BP76" i="1"/>
  <c r="BP43" i="1"/>
  <c r="BR43" i="1" s="1"/>
  <c r="BP45" i="1"/>
  <c r="BR45" i="1" s="1"/>
  <c r="BP47" i="1"/>
  <c r="BR47" i="1" s="1"/>
  <c r="BP49" i="1"/>
  <c r="BR49" i="1" s="1"/>
  <c r="BP51" i="1"/>
  <c r="BR51" i="1" s="1"/>
  <c r="BP53" i="1"/>
  <c r="BR53" i="1" s="1"/>
  <c r="BP55" i="1"/>
  <c r="BR55" i="1" s="1"/>
  <c r="BP57" i="1"/>
  <c r="BR57" i="1" s="1"/>
  <c r="BP59" i="1"/>
  <c r="BR59" i="1" s="1"/>
  <c r="BP61" i="1"/>
  <c r="BR61" i="1" s="1"/>
  <c r="BP63" i="1"/>
  <c r="BR63" i="1" s="1"/>
  <c r="BP65" i="1"/>
  <c r="BR65" i="1" s="1"/>
  <c r="BP67" i="1"/>
  <c r="BR67" i="1" s="1"/>
  <c r="BP69" i="1"/>
  <c r="BR69" i="1" s="1"/>
  <c r="BP42" i="1"/>
  <c r="BP8" i="1"/>
  <c r="BR8" i="1" s="1"/>
  <c r="BP10" i="1"/>
  <c r="BR10" i="1" s="1"/>
  <c r="BP12" i="1"/>
  <c r="BR12" i="1" s="1"/>
  <c r="BP14" i="1"/>
  <c r="BR14" i="1" s="1"/>
  <c r="BP16" i="1"/>
  <c r="BR16" i="1" s="1"/>
  <c r="BP18" i="1"/>
  <c r="BR18" i="1" s="1"/>
  <c r="BP20" i="1"/>
  <c r="BR20" i="1" s="1"/>
  <c r="BP22" i="1"/>
  <c r="BR22" i="1" s="1"/>
  <c r="BP24" i="1"/>
  <c r="BR24" i="1" s="1"/>
  <c r="BP26" i="1"/>
  <c r="BR26" i="1" s="1"/>
  <c r="BP28" i="1"/>
  <c r="BR28" i="1" s="1"/>
  <c r="BP30" i="1"/>
  <c r="BR30" i="1" s="1"/>
  <c r="BP32" i="1"/>
  <c r="BR32" i="1" s="1"/>
  <c r="BP34" i="1"/>
  <c r="BR34" i="1" s="1"/>
  <c r="BP36" i="1"/>
  <c r="BR36" i="1" s="1"/>
  <c r="BP7" i="1"/>
  <c r="BR7" i="1" s="1"/>
  <c r="BP9" i="1"/>
  <c r="BR9" i="1" s="1"/>
  <c r="BP11" i="1"/>
  <c r="BR11" i="1" s="1"/>
  <c r="BP13" i="1"/>
  <c r="BR13" i="1" s="1"/>
  <c r="BP15" i="1"/>
  <c r="BR15" i="1" s="1"/>
  <c r="BP17" i="1"/>
  <c r="BR17" i="1" s="1"/>
  <c r="BP19" i="1"/>
  <c r="BR19" i="1" s="1"/>
  <c r="BP21" i="1"/>
  <c r="BR21" i="1" s="1"/>
  <c r="BP23" i="1"/>
  <c r="BR23" i="1" s="1"/>
  <c r="BP25" i="1"/>
  <c r="BR25" i="1" s="1"/>
  <c r="BP27" i="1"/>
  <c r="BR27" i="1" s="1"/>
  <c r="BP29" i="1"/>
  <c r="BR29" i="1" s="1"/>
  <c r="BP31" i="1"/>
  <c r="BR31" i="1" s="1"/>
  <c r="BP33" i="1"/>
  <c r="BR33" i="1" s="1"/>
  <c r="BP35" i="1"/>
  <c r="BR35" i="1" s="1"/>
  <c r="CZ398" i="1"/>
  <c r="DB398" i="1" s="1"/>
  <c r="CZ400" i="1"/>
  <c r="DB400" i="1" s="1"/>
  <c r="CZ402" i="1"/>
  <c r="DB402" i="1" s="1"/>
  <c r="CZ404" i="1"/>
  <c r="DB404" i="1" s="1"/>
  <c r="CZ406" i="1"/>
  <c r="DB406" i="1" s="1"/>
  <c r="CZ408" i="1"/>
  <c r="DB408" i="1" s="1"/>
  <c r="CZ410" i="1"/>
  <c r="DB410" i="1" s="1"/>
  <c r="CZ412" i="1"/>
  <c r="DB412" i="1" s="1"/>
  <c r="CZ414" i="1"/>
  <c r="DB414" i="1" s="1"/>
  <c r="CZ416" i="1"/>
  <c r="DB416" i="1" s="1"/>
  <c r="CZ418" i="1"/>
  <c r="DB418" i="1" s="1"/>
  <c r="CZ420" i="1"/>
  <c r="DB420" i="1" s="1"/>
  <c r="CZ422" i="1"/>
  <c r="DB422" i="1" s="1"/>
  <c r="CZ424" i="1"/>
  <c r="DB424" i="1" s="1"/>
  <c r="CZ426" i="1"/>
  <c r="DB426" i="1" s="1"/>
  <c r="CZ362" i="1"/>
  <c r="DB362" i="1" s="1"/>
  <c r="CZ364" i="1"/>
  <c r="DB364" i="1" s="1"/>
  <c r="CZ366" i="1"/>
  <c r="DB366" i="1" s="1"/>
  <c r="CZ368" i="1"/>
  <c r="DB368" i="1" s="1"/>
  <c r="CZ370" i="1"/>
  <c r="DB370" i="1" s="1"/>
  <c r="CZ372" i="1"/>
  <c r="DB372" i="1" s="1"/>
  <c r="CZ374" i="1"/>
  <c r="DB374" i="1" s="1"/>
  <c r="CZ376" i="1"/>
  <c r="DB376" i="1" s="1"/>
  <c r="CZ378" i="1"/>
  <c r="DB378" i="1" s="1"/>
  <c r="CZ380" i="1"/>
  <c r="DB380" i="1" s="1"/>
  <c r="CZ382" i="1"/>
  <c r="DB382" i="1" s="1"/>
  <c r="CZ384" i="1"/>
  <c r="DB384" i="1" s="1"/>
  <c r="CZ386" i="1"/>
  <c r="DB386" i="1" s="1"/>
  <c r="CZ388" i="1"/>
  <c r="DB388" i="1" s="1"/>
  <c r="CZ390" i="1"/>
  <c r="DB390" i="1" s="1"/>
  <c r="CZ326" i="1"/>
  <c r="DB326" i="1" s="1"/>
  <c r="CZ328" i="1"/>
  <c r="DB328" i="1" s="1"/>
  <c r="CZ330" i="1"/>
  <c r="DB330" i="1" s="1"/>
  <c r="CZ332" i="1"/>
  <c r="DB332" i="1" s="1"/>
  <c r="CZ334" i="1"/>
  <c r="DB334" i="1" s="1"/>
  <c r="CZ336" i="1"/>
  <c r="DB336" i="1" s="1"/>
  <c r="CZ338" i="1"/>
  <c r="DB338" i="1" s="1"/>
  <c r="CZ340" i="1"/>
  <c r="DB340" i="1" s="1"/>
  <c r="CZ342" i="1"/>
  <c r="DB342" i="1" s="1"/>
  <c r="CZ344" i="1"/>
  <c r="DB344" i="1" s="1"/>
  <c r="CZ346" i="1"/>
  <c r="DB346" i="1" s="1"/>
  <c r="CZ348" i="1"/>
  <c r="DB348" i="1" s="1"/>
  <c r="CZ350" i="1"/>
  <c r="DB350" i="1" s="1"/>
  <c r="CZ352" i="1"/>
  <c r="DB352" i="1" s="1"/>
  <c r="CZ354" i="1"/>
  <c r="DB354" i="1" s="1"/>
  <c r="CZ325" i="1"/>
  <c r="CZ292" i="1"/>
  <c r="DB292" i="1" s="1"/>
  <c r="CZ294" i="1"/>
  <c r="DB294" i="1" s="1"/>
  <c r="CZ296" i="1"/>
  <c r="DB296" i="1" s="1"/>
  <c r="CZ298" i="1"/>
  <c r="DB298" i="1" s="1"/>
  <c r="CZ300" i="1"/>
  <c r="DB300" i="1" s="1"/>
  <c r="CZ302" i="1"/>
  <c r="DB302" i="1" s="1"/>
  <c r="CZ304" i="1"/>
  <c r="DB304" i="1" s="1"/>
  <c r="CZ306" i="1"/>
  <c r="DB306" i="1" s="1"/>
  <c r="CZ308" i="1"/>
  <c r="DB308" i="1" s="1"/>
  <c r="CZ310" i="1"/>
  <c r="DB310" i="1" s="1"/>
  <c r="CZ312" i="1"/>
  <c r="DB312" i="1" s="1"/>
  <c r="CZ314" i="1"/>
  <c r="DB314" i="1" s="1"/>
  <c r="CZ316" i="1"/>
  <c r="DB316" i="1" s="1"/>
  <c r="CZ318" i="1"/>
  <c r="DB318" i="1" s="1"/>
  <c r="CZ290" i="1"/>
  <c r="CZ256" i="1"/>
  <c r="DB256" i="1" s="1"/>
  <c r="CZ258" i="1"/>
  <c r="DB258" i="1" s="1"/>
  <c r="CZ260" i="1"/>
  <c r="DB260" i="1" s="1"/>
  <c r="CZ262" i="1"/>
  <c r="DB262" i="1" s="1"/>
  <c r="CZ264" i="1"/>
  <c r="DB264" i="1" s="1"/>
  <c r="CZ266" i="1"/>
  <c r="DB266" i="1" s="1"/>
  <c r="CZ268" i="1"/>
  <c r="DB268" i="1" s="1"/>
  <c r="CZ270" i="1"/>
  <c r="DB270" i="1" s="1"/>
  <c r="CZ276" i="1"/>
  <c r="DB276" i="1" s="1"/>
  <c r="CZ278" i="1"/>
  <c r="DB278" i="1" s="1"/>
  <c r="CZ280" i="1"/>
  <c r="DB280" i="1" s="1"/>
  <c r="CZ282" i="1"/>
  <c r="DB282" i="1" s="1"/>
  <c r="CZ284" i="1"/>
  <c r="DB284" i="1" s="1"/>
  <c r="CZ219" i="1"/>
  <c r="DB219" i="1" s="1"/>
  <c r="CZ221" i="1"/>
  <c r="DB221" i="1" s="1"/>
  <c r="CZ223" i="1"/>
  <c r="DB223" i="1" s="1"/>
  <c r="CZ225" i="1"/>
  <c r="DB225" i="1" s="1"/>
  <c r="CZ227" i="1"/>
  <c r="DB227" i="1" s="1"/>
  <c r="CZ229" i="1"/>
  <c r="DB229" i="1" s="1"/>
  <c r="CZ231" i="1"/>
  <c r="DB231" i="1" s="1"/>
  <c r="CZ233" i="1"/>
  <c r="DB233" i="1" s="1"/>
  <c r="CZ235" i="1"/>
  <c r="DB235" i="1" s="1"/>
  <c r="CZ237" i="1"/>
  <c r="DB237" i="1" s="1"/>
  <c r="CZ239" i="1"/>
  <c r="DB239" i="1" s="1"/>
  <c r="CZ241" i="1"/>
  <c r="DB241" i="1" s="1"/>
  <c r="CZ243" i="1"/>
  <c r="DB243" i="1" s="1"/>
  <c r="CZ245" i="1"/>
  <c r="DB245" i="1" s="1"/>
  <c r="CZ247" i="1"/>
  <c r="DB247" i="1" s="1"/>
  <c r="CZ218" i="1"/>
  <c r="CZ185" i="1"/>
  <c r="DB185" i="1" s="1"/>
  <c r="CZ187" i="1"/>
  <c r="DB187" i="1" s="1"/>
  <c r="CZ189" i="1"/>
  <c r="DB189" i="1" s="1"/>
  <c r="CZ191" i="1"/>
  <c r="DB191" i="1" s="1"/>
  <c r="CZ193" i="1"/>
  <c r="DB193" i="1" s="1"/>
  <c r="CZ195" i="1"/>
  <c r="DB195" i="1" s="1"/>
  <c r="CZ197" i="1"/>
  <c r="DB197" i="1" s="1"/>
  <c r="CZ199" i="1"/>
  <c r="DB199" i="1" s="1"/>
  <c r="CZ201" i="1"/>
  <c r="DB201" i="1" s="1"/>
  <c r="CZ203" i="1"/>
  <c r="DB203" i="1" s="1"/>
  <c r="CZ205" i="1"/>
  <c r="DB205" i="1" s="1"/>
  <c r="CZ207" i="1"/>
  <c r="DB207" i="1" s="1"/>
  <c r="CZ209" i="1"/>
  <c r="DB209" i="1" s="1"/>
  <c r="CZ211" i="1"/>
  <c r="DB211" i="1" s="1"/>
  <c r="CZ183" i="1"/>
  <c r="CZ149" i="1"/>
  <c r="DB149" i="1" s="1"/>
  <c r="CZ151" i="1"/>
  <c r="DB151" i="1" s="1"/>
  <c r="CZ153" i="1"/>
  <c r="DB153" i="1" s="1"/>
  <c r="CZ155" i="1"/>
  <c r="DB155" i="1" s="1"/>
  <c r="CZ157" i="1"/>
  <c r="DB157" i="1" s="1"/>
  <c r="CZ159" i="1"/>
  <c r="DB159" i="1" s="1"/>
  <c r="CZ161" i="1"/>
  <c r="DB161" i="1" s="1"/>
  <c r="CZ163" i="1"/>
  <c r="DB163" i="1" s="1"/>
  <c r="CZ165" i="1"/>
  <c r="DB165" i="1" s="1"/>
  <c r="CZ167" i="1"/>
  <c r="DB167" i="1" s="1"/>
  <c r="CZ169" i="1"/>
  <c r="DB169" i="1" s="1"/>
  <c r="CZ171" i="1"/>
  <c r="DB171" i="1" s="1"/>
  <c r="CZ173" i="1"/>
  <c r="DB173" i="1" s="1"/>
  <c r="CZ175" i="1"/>
  <c r="DB175" i="1" s="1"/>
  <c r="CZ177" i="1"/>
  <c r="DB177" i="1" s="1"/>
  <c r="CZ113" i="1"/>
  <c r="DB113" i="1" s="1"/>
  <c r="CZ115" i="1"/>
  <c r="DB115" i="1" s="1"/>
  <c r="CZ117" i="1"/>
  <c r="DB117" i="1" s="1"/>
  <c r="CZ119" i="1"/>
  <c r="DB119" i="1" s="1"/>
  <c r="CZ121" i="1"/>
  <c r="DB121" i="1" s="1"/>
  <c r="CZ123" i="1"/>
  <c r="DB123" i="1" s="1"/>
  <c r="CZ125" i="1"/>
  <c r="DB125" i="1" s="1"/>
  <c r="CZ127" i="1"/>
  <c r="DB127" i="1" s="1"/>
  <c r="CZ129" i="1"/>
  <c r="DB129" i="1" s="1"/>
  <c r="CZ131" i="1"/>
  <c r="DB131" i="1" s="1"/>
  <c r="CZ133" i="1"/>
  <c r="DB133" i="1" s="1"/>
  <c r="CZ135" i="1"/>
  <c r="DB135" i="1" s="1"/>
  <c r="CZ137" i="1"/>
  <c r="DB137" i="1" s="1"/>
  <c r="CZ139" i="1"/>
  <c r="DB139" i="1" s="1"/>
  <c r="CZ141" i="1"/>
  <c r="DB141" i="1" s="1"/>
  <c r="CZ77" i="1"/>
  <c r="DB77" i="1" s="1"/>
  <c r="CZ79" i="1"/>
  <c r="DB79" i="1" s="1"/>
  <c r="CZ81" i="1"/>
  <c r="DB81" i="1" s="1"/>
  <c r="CZ83" i="1"/>
  <c r="DB83" i="1" s="1"/>
  <c r="CZ85" i="1"/>
  <c r="DB85" i="1" s="1"/>
  <c r="CZ87" i="1"/>
  <c r="DB87" i="1" s="1"/>
  <c r="CZ89" i="1"/>
  <c r="DB89" i="1" s="1"/>
  <c r="CZ91" i="1"/>
  <c r="DB91" i="1" s="1"/>
  <c r="CZ93" i="1"/>
  <c r="DB93" i="1" s="1"/>
  <c r="CZ95" i="1"/>
  <c r="DB95" i="1" s="1"/>
  <c r="CZ97" i="1"/>
  <c r="DB97" i="1" s="1"/>
  <c r="CZ99" i="1"/>
  <c r="DB99" i="1" s="1"/>
  <c r="CZ101" i="1"/>
  <c r="DB101" i="1" s="1"/>
  <c r="CZ103" i="1"/>
  <c r="DB103" i="1" s="1"/>
  <c r="CZ105" i="1"/>
  <c r="DB105" i="1" s="1"/>
  <c r="CZ76" i="1"/>
  <c r="CZ44" i="1"/>
  <c r="DB44" i="1" s="1"/>
  <c r="CZ46" i="1"/>
  <c r="DB46" i="1" s="1"/>
  <c r="CZ48" i="1"/>
  <c r="DB48" i="1" s="1"/>
  <c r="CZ50" i="1"/>
  <c r="DB50" i="1" s="1"/>
  <c r="CZ52" i="1"/>
  <c r="DB52" i="1" s="1"/>
  <c r="CZ54" i="1"/>
  <c r="DB54" i="1" s="1"/>
  <c r="CZ56" i="1"/>
  <c r="DB56" i="1" s="1"/>
  <c r="CZ58" i="1"/>
  <c r="DB58" i="1" s="1"/>
  <c r="CZ60" i="1"/>
  <c r="DB60" i="1" s="1"/>
  <c r="CZ62" i="1"/>
  <c r="DB62" i="1" s="1"/>
  <c r="CZ64" i="1"/>
  <c r="DB64" i="1" s="1"/>
  <c r="CZ66" i="1"/>
  <c r="DB66" i="1" s="1"/>
  <c r="CZ68" i="1"/>
  <c r="DB68" i="1" s="1"/>
  <c r="CZ70" i="1"/>
  <c r="DB70" i="1" s="1"/>
  <c r="CZ7" i="1"/>
  <c r="DB7" i="1" s="1"/>
  <c r="CZ9" i="1"/>
  <c r="DB9" i="1" s="1"/>
  <c r="CZ11" i="1"/>
  <c r="DB11" i="1" s="1"/>
  <c r="CZ13" i="1"/>
  <c r="DB13" i="1" s="1"/>
  <c r="CZ15" i="1"/>
  <c r="DB15" i="1" s="1"/>
  <c r="CZ17" i="1"/>
  <c r="DB17" i="1" s="1"/>
  <c r="CZ19" i="1"/>
  <c r="DB19" i="1" s="1"/>
  <c r="CZ21" i="1"/>
  <c r="DB21" i="1" s="1"/>
  <c r="CZ23" i="1"/>
  <c r="DB23" i="1" s="1"/>
  <c r="CZ25" i="1"/>
  <c r="DB25" i="1" s="1"/>
  <c r="CZ27" i="1"/>
  <c r="DB27" i="1" s="1"/>
  <c r="CZ29" i="1"/>
  <c r="DB29" i="1" s="1"/>
  <c r="CZ31" i="1"/>
  <c r="DB31" i="1" s="1"/>
  <c r="CZ33" i="1"/>
  <c r="DB33" i="1" s="1"/>
  <c r="CZ35" i="1"/>
  <c r="DB35" i="1" s="1"/>
  <c r="CZ397" i="1"/>
  <c r="DB397" i="1" s="1"/>
  <c r="CZ399" i="1"/>
  <c r="DB399" i="1" s="1"/>
  <c r="CZ401" i="1"/>
  <c r="DB401" i="1" s="1"/>
  <c r="CZ403" i="1"/>
  <c r="DB403" i="1" s="1"/>
  <c r="CZ405" i="1"/>
  <c r="DB405" i="1" s="1"/>
  <c r="CZ407" i="1"/>
  <c r="DB407" i="1" s="1"/>
  <c r="CZ409" i="1"/>
  <c r="DB409" i="1" s="1"/>
  <c r="CZ411" i="1"/>
  <c r="DB411" i="1" s="1"/>
  <c r="CZ413" i="1"/>
  <c r="DB413" i="1" s="1"/>
  <c r="CZ415" i="1"/>
  <c r="DB415" i="1" s="1"/>
  <c r="CZ417" i="1"/>
  <c r="DB417" i="1" s="1"/>
  <c r="CZ419" i="1"/>
  <c r="DB419" i="1" s="1"/>
  <c r="CZ421" i="1"/>
  <c r="DB421" i="1" s="1"/>
  <c r="CZ423" i="1"/>
  <c r="DB423" i="1" s="1"/>
  <c r="CZ425" i="1"/>
  <c r="DB425" i="1" s="1"/>
  <c r="CZ396" i="1"/>
  <c r="CZ363" i="1"/>
  <c r="DB363" i="1" s="1"/>
  <c r="CZ365" i="1"/>
  <c r="DB365" i="1" s="1"/>
  <c r="CZ367" i="1"/>
  <c r="DB367" i="1" s="1"/>
  <c r="CZ369" i="1"/>
  <c r="DB369" i="1" s="1"/>
  <c r="CZ371" i="1"/>
  <c r="DB371" i="1" s="1"/>
  <c r="CZ373" i="1"/>
  <c r="DB373" i="1" s="1"/>
  <c r="CZ375" i="1"/>
  <c r="DB375" i="1" s="1"/>
  <c r="CZ377" i="1"/>
  <c r="DB377" i="1" s="1"/>
  <c r="CZ379" i="1"/>
  <c r="DB379" i="1" s="1"/>
  <c r="CZ381" i="1"/>
  <c r="DB381" i="1" s="1"/>
  <c r="CZ383" i="1"/>
  <c r="DB383" i="1" s="1"/>
  <c r="CZ385" i="1"/>
  <c r="DB385" i="1" s="1"/>
  <c r="CZ387" i="1"/>
  <c r="DB387" i="1" s="1"/>
  <c r="CZ389" i="1"/>
  <c r="DB389" i="1" s="1"/>
  <c r="CZ361" i="1"/>
  <c r="CZ327" i="1"/>
  <c r="DB327" i="1" s="1"/>
  <c r="CZ329" i="1"/>
  <c r="DB329" i="1" s="1"/>
  <c r="CZ331" i="1"/>
  <c r="DB331" i="1" s="1"/>
  <c r="CZ333" i="1"/>
  <c r="DB333" i="1" s="1"/>
  <c r="CZ335" i="1"/>
  <c r="DB335" i="1" s="1"/>
  <c r="CZ337" i="1"/>
  <c r="DB337" i="1" s="1"/>
  <c r="CZ339" i="1"/>
  <c r="DB339" i="1" s="1"/>
  <c r="CZ341" i="1"/>
  <c r="DB341" i="1" s="1"/>
  <c r="CZ343" i="1"/>
  <c r="DB343" i="1" s="1"/>
  <c r="CZ345" i="1"/>
  <c r="DB345" i="1" s="1"/>
  <c r="CZ347" i="1"/>
  <c r="DB347" i="1" s="1"/>
  <c r="CZ349" i="1"/>
  <c r="DB349" i="1" s="1"/>
  <c r="CZ351" i="1"/>
  <c r="DB351" i="1" s="1"/>
  <c r="CZ353" i="1"/>
  <c r="DB353" i="1" s="1"/>
  <c r="CZ355" i="1"/>
  <c r="DB355" i="1" s="1"/>
  <c r="CZ291" i="1"/>
  <c r="DB291" i="1" s="1"/>
  <c r="CZ293" i="1"/>
  <c r="DB293" i="1" s="1"/>
  <c r="CZ295" i="1"/>
  <c r="DB295" i="1" s="1"/>
  <c r="CZ297" i="1"/>
  <c r="DB297" i="1" s="1"/>
  <c r="CZ299" i="1"/>
  <c r="DB299" i="1" s="1"/>
  <c r="CZ301" i="1"/>
  <c r="DB301" i="1" s="1"/>
  <c r="CZ303" i="1"/>
  <c r="DB303" i="1" s="1"/>
  <c r="CZ305" i="1"/>
  <c r="DB305" i="1" s="1"/>
  <c r="CZ307" i="1"/>
  <c r="DB307" i="1" s="1"/>
  <c r="CZ309" i="1"/>
  <c r="DB309" i="1" s="1"/>
  <c r="CZ311" i="1"/>
  <c r="DB311" i="1" s="1"/>
  <c r="CZ313" i="1"/>
  <c r="DB313" i="1" s="1"/>
  <c r="CZ315" i="1"/>
  <c r="DB315" i="1" s="1"/>
  <c r="CZ317" i="1"/>
  <c r="DB317" i="1" s="1"/>
  <c r="CZ319" i="1"/>
  <c r="DB319" i="1" s="1"/>
  <c r="CZ255" i="1"/>
  <c r="DB255" i="1" s="1"/>
  <c r="CZ257" i="1"/>
  <c r="DB257" i="1" s="1"/>
  <c r="CZ259" i="1"/>
  <c r="DB259" i="1" s="1"/>
  <c r="CZ261" i="1"/>
  <c r="DB261" i="1" s="1"/>
  <c r="CZ263" i="1"/>
  <c r="DB263" i="1" s="1"/>
  <c r="CZ265" i="1"/>
  <c r="DB265" i="1" s="1"/>
  <c r="CZ267" i="1"/>
  <c r="DB267" i="1" s="1"/>
  <c r="CZ269" i="1"/>
  <c r="DB269" i="1" s="1"/>
  <c r="CZ277" i="1"/>
  <c r="DB277" i="1" s="1"/>
  <c r="CZ279" i="1"/>
  <c r="DB279" i="1" s="1"/>
  <c r="CZ281" i="1"/>
  <c r="DB281" i="1" s="1"/>
  <c r="CZ283" i="1"/>
  <c r="DB283" i="1" s="1"/>
  <c r="CZ254" i="1"/>
  <c r="CZ220" i="1"/>
  <c r="DB220" i="1" s="1"/>
  <c r="CZ222" i="1"/>
  <c r="DB222" i="1" s="1"/>
  <c r="CZ224" i="1"/>
  <c r="DB224" i="1" s="1"/>
  <c r="CZ226" i="1"/>
  <c r="DB226" i="1" s="1"/>
  <c r="CZ228" i="1"/>
  <c r="DB228" i="1" s="1"/>
  <c r="CZ230" i="1"/>
  <c r="DB230" i="1" s="1"/>
  <c r="CZ232" i="1"/>
  <c r="DB232" i="1" s="1"/>
  <c r="CZ234" i="1"/>
  <c r="DB234" i="1" s="1"/>
  <c r="CZ236" i="1"/>
  <c r="DB236" i="1" s="1"/>
  <c r="CZ238" i="1"/>
  <c r="DB238" i="1" s="1"/>
  <c r="CZ240" i="1"/>
  <c r="DB240" i="1" s="1"/>
  <c r="CZ242" i="1"/>
  <c r="DB242" i="1" s="1"/>
  <c r="CZ244" i="1"/>
  <c r="DB244" i="1" s="1"/>
  <c r="CZ246" i="1"/>
  <c r="DB246" i="1" s="1"/>
  <c r="CZ248" i="1"/>
  <c r="DB248" i="1" s="1"/>
  <c r="CZ184" i="1"/>
  <c r="DB184" i="1" s="1"/>
  <c r="CZ186" i="1"/>
  <c r="DB186" i="1" s="1"/>
  <c r="CZ188" i="1"/>
  <c r="DB188" i="1" s="1"/>
  <c r="CZ190" i="1"/>
  <c r="DB190" i="1" s="1"/>
  <c r="CZ192" i="1"/>
  <c r="DB192" i="1" s="1"/>
  <c r="CZ194" i="1"/>
  <c r="DB194" i="1" s="1"/>
  <c r="CZ196" i="1"/>
  <c r="DB196" i="1" s="1"/>
  <c r="CZ198" i="1"/>
  <c r="DB198" i="1" s="1"/>
  <c r="CZ200" i="1"/>
  <c r="DB200" i="1" s="1"/>
  <c r="CZ202" i="1"/>
  <c r="DB202" i="1" s="1"/>
  <c r="CZ204" i="1"/>
  <c r="DB204" i="1" s="1"/>
  <c r="CZ206" i="1"/>
  <c r="DB206" i="1" s="1"/>
  <c r="CZ208" i="1"/>
  <c r="DB208" i="1" s="1"/>
  <c r="CZ210" i="1"/>
  <c r="DB210" i="1" s="1"/>
  <c r="CZ212" i="1"/>
  <c r="DB212" i="1" s="1"/>
  <c r="CZ148" i="1"/>
  <c r="DB148" i="1" s="1"/>
  <c r="CZ150" i="1"/>
  <c r="DB150" i="1" s="1"/>
  <c r="CZ152" i="1"/>
  <c r="DB152" i="1" s="1"/>
  <c r="CZ154" i="1"/>
  <c r="DB154" i="1" s="1"/>
  <c r="CZ156" i="1"/>
  <c r="DB156" i="1" s="1"/>
  <c r="CZ158" i="1"/>
  <c r="DB158" i="1" s="1"/>
  <c r="CZ160" i="1"/>
  <c r="DB160" i="1" s="1"/>
  <c r="CZ162" i="1"/>
  <c r="DB162" i="1" s="1"/>
  <c r="CZ164" i="1"/>
  <c r="DB164" i="1" s="1"/>
  <c r="CZ166" i="1"/>
  <c r="DB166" i="1" s="1"/>
  <c r="CZ168" i="1"/>
  <c r="DB168" i="1" s="1"/>
  <c r="CZ170" i="1"/>
  <c r="DB170" i="1" s="1"/>
  <c r="CZ172" i="1"/>
  <c r="DB172" i="1" s="1"/>
  <c r="CZ174" i="1"/>
  <c r="DB174" i="1" s="1"/>
  <c r="CZ176" i="1"/>
  <c r="DB176" i="1" s="1"/>
  <c r="CZ114" i="1"/>
  <c r="DB114" i="1" s="1"/>
  <c r="CZ116" i="1"/>
  <c r="DB116" i="1" s="1"/>
  <c r="CZ118" i="1"/>
  <c r="DB118" i="1" s="1"/>
  <c r="CZ120" i="1"/>
  <c r="DB120" i="1" s="1"/>
  <c r="CZ122" i="1"/>
  <c r="DB122" i="1" s="1"/>
  <c r="CZ124" i="1"/>
  <c r="DB124" i="1" s="1"/>
  <c r="CZ126" i="1"/>
  <c r="DB126" i="1" s="1"/>
  <c r="CZ128" i="1"/>
  <c r="DB128" i="1" s="1"/>
  <c r="CZ130" i="1"/>
  <c r="DB130" i="1" s="1"/>
  <c r="CZ132" i="1"/>
  <c r="DB132" i="1" s="1"/>
  <c r="CZ134" i="1"/>
  <c r="DB134" i="1" s="1"/>
  <c r="CZ136" i="1"/>
  <c r="DB136" i="1" s="1"/>
  <c r="CZ138" i="1"/>
  <c r="DB138" i="1" s="1"/>
  <c r="CZ140" i="1"/>
  <c r="DB140" i="1" s="1"/>
  <c r="CZ112" i="1"/>
  <c r="CZ78" i="1"/>
  <c r="DB78" i="1" s="1"/>
  <c r="CZ80" i="1"/>
  <c r="DB80" i="1" s="1"/>
  <c r="CZ82" i="1"/>
  <c r="DB82" i="1" s="1"/>
  <c r="CZ84" i="1"/>
  <c r="DB84" i="1" s="1"/>
  <c r="CZ86" i="1"/>
  <c r="DB86" i="1" s="1"/>
  <c r="CZ88" i="1"/>
  <c r="DB88" i="1" s="1"/>
  <c r="CZ90" i="1"/>
  <c r="DB90" i="1" s="1"/>
  <c r="CZ92" i="1"/>
  <c r="DB92" i="1" s="1"/>
  <c r="CZ94" i="1"/>
  <c r="DB94" i="1" s="1"/>
  <c r="CZ96" i="1"/>
  <c r="DB96" i="1" s="1"/>
  <c r="CZ98" i="1"/>
  <c r="DB98" i="1" s="1"/>
  <c r="CZ100" i="1"/>
  <c r="DB100" i="1" s="1"/>
  <c r="CZ102" i="1"/>
  <c r="DB102" i="1" s="1"/>
  <c r="CZ104" i="1"/>
  <c r="DB104" i="1" s="1"/>
  <c r="CZ106" i="1"/>
  <c r="DB106" i="1" s="1"/>
  <c r="CZ43" i="1"/>
  <c r="DB43" i="1" s="1"/>
  <c r="CZ45" i="1"/>
  <c r="DB45" i="1" s="1"/>
  <c r="CZ47" i="1"/>
  <c r="DB47" i="1" s="1"/>
  <c r="CZ49" i="1"/>
  <c r="DB49" i="1" s="1"/>
  <c r="CZ51" i="1"/>
  <c r="DB51" i="1" s="1"/>
  <c r="CZ53" i="1"/>
  <c r="DB53" i="1" s="1"/>
  <c r="CZ55" i="1"/>
  <c r="DB55" i="1" s="1"/>
  <c r="CZ57" i="1"/>
  <c r="DB57" i="1" s="1"/>
  <c r="CZ59" i="1"/>
  <c r="DB59" i="1" s="1"/>
  <c r="CZ61" i="1"/>
  <c r="DB61" i="1" s="1"/>
  <c r="CZ63" i="1"/>
  <c r="DB63" i="1" s="1"/>
  <c r="CZ65" i="1"/>
  <c r="DB65" i="1" s="1"/>
  <c r="CZ67" i="1"/>
  <c r="DB67" i="1" s="1"/>
  <c r="CZ69" i="1"/>
  <c r="DB69" i="1" s="1"/>
  <c r="CZ42" i="1"/>
  <c r="CZ8" i="1"/>
  <c r="DB8" i="1" s="1"/>
  <c r="CZ10" i="1"/>
  <c r="DB10" i="1" s="1"/>
  <c r="CZ12" i="1"/>
  <c r="DB12" i="1" s="1"/>
  <c r="CZ14" i="1"/>
  <c r="DB14" i="1" s="1"/>
  <c r="CZ16" i="1"/>
  <c r="DB16" i="1" s="1"/>
  <c r="CZ18" i="1"/>
  <c r="DB18" i="1" s="1"/>
  <c r="CZ20" i="1"/>
  <c r="DB20" i="1" s="1"/>
  <c r="CZ22" i="1"/>
  <c r="DB22" i="1" s="1"/>
  <c r="CZ24" i="1"/>
  <c r="DB24" i="1" s="1"/>
  <c r="CZ26" i="1"/>
  <c r="DB26" i="1" s="1"/>
  <c r="CZ28" i="1"/>
  <c r="DB28" i="1" s="1"/>
  <c r="CZ30" i="1"/>
  <c r="DB30" i="1" s="1"/>
  <c r="CZ32" i="1"/>
  <c r="DB32" i="1" s="1"/>
  <c r="CZ34" i="1"/>
  <c r="DB34" i="1" s="1"/>
  <c r="CZ36" i="1"/>
  <c r="DB36" i="1" s="1"/>
  <c r="EJ398" i="1"/>
  <c r="EL398" i="1" s="1"/>
  <c r="EJ400" i="1"/>
  <c r="EL400" i="1" s="1"/>
  <c r="EJ402" i="1"/>
  <c r="EL402" i="1" s="1"/>
  <c r="EJ404" i="1"/>
  <c r="EL404" i="1" s="1"/>
  <c r="EJ406" i="1"/>
  <c r="EL406" i="1" s="1"/>
  <c r="EJ408" i="1"/>
  <c r="EL408" i="1" s="1"/>
  <c r="EJ410" i="1"/>
  <c r="EL410" i="1" s="1"/>
  <c r="EJ412" i="1"/>
  <c r="EL412" i="1" s="1"/>
  <c r="EJ414" i="1"/>
  <c r="EL414" i="1" s="1"/>
  <c r="EJ416" i="1"/>
  <c r="EL416" i="1" s="1"/>
  <c r="EJ418" i="1"/>
  <c r="EL418" i="1" s="1"/>
  <c r="EJ420" i="1"/>
  <c r="EL420" i="1" s="1"/>
  <c r="EJ422" i="1"/>
  <c r="EL422" i="1" s="1"/>
  <c r="EJ424" i="1"/>
  <c r="EL424" i="1" s="1"/>
  <c r="EJ426" i="1"/>
  <c r="EL426" i="1" s="1"/>
  <c r="EJ362" i="1"/>
  <c r="EL362" i="1" s="1"/>
  <c r="EJ364" i="1"/>
  <c r="EL364" i="1" s="1"/>
  <c r="EJ366" i="1"/>
  <c r="EL366" i="1" s="1"/>
  <c r="EJ368" i="1"/>
  <c r="EL368" i="1" s="1"/>
  <c r="EJ370" i="1"/>
  <c r="EL370" i="1" s="1"/>
  <c r="EJ372" i="1"/>
  <c r="EL372" i="1" s="1"/>
  <c r="EJ374" i="1"/>
  <c r="EL374" i="1" s="1"/>
  <c r="EJ376" i="1"/>
  <c r="EL376" i="1" s="1"/>
  <c r="EJ378" i="1"/>
  <c r="EL378" i="1" s="1"/>
  <c r="EJ380" i="1"/>
  <c r="EL380" i="1" s="1"/>
  <c r="EJ382" i="1"/>
  <c r="EL382" i="1" s="1"/>
  <c r="EJ384" i="1"/>
  <c r="EL384" i="1" s="1"/>
  <c r="EJ386" i="1"/>
  <c r="EL386" i="1" s="1"/>
  <c r="EJ388" i="1"/>
  <c r="EL388" i="1" s="1"/>
  <c r="EJ390" i="1"/>
  <c r="EL390" i="1" s="1"/>
  <c r="EJ326" i="1"/>
  <c r="EL326" i="1" s="1"/>
  <c r="EJ328" i="1"/>
  <c r="EL328" i="1" s="1"/>
  <c r="EJ330" i="1"/>
  <c r="EL330" i="1" s="1"/>
  <c r="EJ332" i="1"/>
  <c r="EL332" i="1" s="1"/>
  <c r="EJ334" i="1"/>
  <c r="EL334" i="1" s="1"/>
  <c r="EJ336" i="1"/>
  <c r="EL336" i="1" s="1"/>
  <c r="EJ338" i="1"/>
  <c r="EL338" i="1" s="1"/>
  <c r="EJ340" i="1"/>
  <c r="EL340" i="1" s="1"/>
  <c r="EJ342" i="1"/>
  <c r="EL342" i="1" s="1"/>
  <c r="EJ344" i="1"/>
  <c r="EL344" i="1" s="1"/>
  <c r="EJ346" i="1"/>
  <c r="EL346" i="1" s="1"/>
  <c r="EJ348" i="1"/>
  <c r="EL348" i="1" s="1"/>
  <c r="EJ350" i="1"/>
  <c r="EL350" i="1" s="1"/>
  <c r="EJ352" i="1"/>
  <c r="EL352" i="1" s="1"/>
  <c r="EJ354" i="1"/>
  <c r="EL354" i="1" s="1"/>
  <c r="EJ325" i="1"/>
  <c r="EJ292" i="1"/>
  <c r="EL292" i="1" s="1"/>
  <c r="EJ294" i="1"/>
  <c r="EL294" i="1" s="1"/>
  <c r="EJ296" i="1"/>
  <c r="EL296" i="1" s="1"/>
  <c r="EJ298" i="1"/>
  <c r="EL298" i="1" s="1"/>
  <c r="EJ300" i="1"/>
  <c r="EL300" i="1" s="1"/>
  <c r="EJ302" i="1"/>
  <c r="EL302" i="1" s="1"/>
  <c r="EJ304" i="1"/>
  <c r="EL304" i="1" s="1"/>
  <c r="EJ306" i="1"/>
  <c r="EL306" i="1" s="1"/>
  <c r="EJ308" i="1"/>
  <c r="EL308" i="1" s="1"/>
  <c r="EJ310" i="1"/>
  <c r="EL310" i="1" s="1"/>
  <c r="EJ312" i="1"/>
  <c r="EL312" i="1" s="1"/>
  <c r="EJ314" i="1"/>
  <c r="EL314" i="1" s="1"/>
  <c r="EJ316" i="1"/>
  <c r="EL316" i="1" s="1"/>
  <c r="EJ318" i="1"/>
  <c r="EL318" i="1" s="1"/>
  <c r="EJ290" i="1"/>
  <c r="EJ256" i="1"/>
  <c r="EL256" i="1" s="1"/>
  <c r="EJ258" i="1"/>
  <c r="EL258" i="1" s="1"/>
  <c r="EJ260" i="1"/>
  <c r="EL260" i="1" s="1"/>
  <c r="EJ262" i="1"/>
  <c r="EL262" i="1" s="1"/>
  <c r="EJ264" i="1"/>
  <c r="EL264" i="1" s="1"/>
  <c r="EJ266" i="1"/>
  <c r="EL266" i="1" s="1"/>
  <c r="EJ268" i="1"/>
  <c r="EL268" i="1" s="1"/>
  <c r="EJ270" i="1"/>
  <c r="EL270" i="1" s="1"/>
  <c r="EJ272" i="1"/>
  <c r="EL272" i="1" s="1"/>
  <c r="EJ274" i="1"/>
  <c r="EL274" i="1" s="1"/>
  <c r="EJ276" i="1"/>
  <c r="EL276" i="1" s="1"/>
  <c r="EJ278" i="1"/>
  <c r="EL278" i="1" s="1"/>
  <c r="EJ280" i="1"/>
  <c r="EL280" i="1" s="1"/>
  <c r="EJ282" i="1"/>
  <c r="EL282" i="1" s="1"/>
  <c r="EJ284" i="1"/>
  <c r="EL284" i="1" s="1"/>
  <c r="EJ219" i="1"/>
  <c r="EL219" i="1" s="1"/>
  <c r="EJ221" i="1"/>
  <c r="EL221" i="1" s="1"/>
  <c r="EJ223" i="1"/>
  <c r="EL223" i="1" s="1"/>
  <c r="EJ225" i="1"/>
  <c r="EL225" i="1" s="1"/>
  <c r="EJ227" i="1"/>
  <c r="EL227" i="1" s="1"/>
  <c r="EJ229" i="1"/>
  <c r="EL229" i="1" s="1"/>
  <c r="EJ231" i="1"/>
  <c r="EL231" i="1" s="1"/>
  <c r="EJ233" i="1"/>
  <c r="EL233" i="1" s="1"/>
  <c r="EJ235" i="1"/>
  <c r="EL235" i="1" s="1"/>
  <c r="EJ237" i="1"/>
  <c r="EL237" i="1" s="1"/>
  <c r="EJ239" i="1"/>
  <c r="EL239" i="1" s="1"/>
  <c r="EJ241" i="1"/>
  <c r="EL241" i="1" s="1"/>
  <c r="EJ243" i="1"/>
  <c r="EL243" i="1" s="1"/>
  <c r="EJ245" i="1"/>
  <c r="EL245" i="1" s="1"/>
  <c r="EJ247" i="1"/>
  <c r="EL247" i="1" s="1"/>
  <c r="EJ218" i="1"/>
  <c r="EJ185" i="1"/>
  <c r="EL185" i="1" s="1"/>
  <c r="EJ187" i="1"/>
  <c r="EL187" i="1" s="1"/>
  <c r="EJ189" i="1"/>
  <c r="EL189" i="1" s="1"/>
  <c r="EJ191" i="1"/>
  <c r="EL191" i="1" s="1"/>
  <c r="EJ193" i="1"/>
  <c r="EL193" i="1" s="1"/>
  <c r="EJ195" i="1"/>
  <c r="EL195" i="1" s="1"/>
  <c r="EJ197" i="1"/>
  <c r="EL197" i="1" s="1"/>
  <c r="EJ199" i="1"/>
  <c r="EL199" i="1" s="1"/>
  <c r="EJ201" i="1"/>
  <c r="EL201" i="1" s="1"/>
  <c r="EJ203" i="1"/>
  <c r="EL203" i="1" s="1"/>
  <c r="EJ205" i="1"/>
  <c r="EL205" i="1" s="1"/>
  <c r="EJ207" i="1"/>
  <c r="EL207" i="1" s="1"/>
  <c r="EJ209" i="1"/>
  <c r="EL209" i="1" s="1"/>
  <c r="EJ211" i="1"/>
  <c r="EL211" i="1" s="1"/>
  <c r="EJ183" i="1"/>
  <c r="EJ149" i="1"/>
  <c r="EL149" i="1" s="1"/>
  <c r="EJ151" i="1"/>
  <c r="EL151" i="1" s="1"/>
  <c r="EJ153" i="1"/>
  <c r="EL153" i="1" s="1"/>
  <c r="EJ155" i="1"/>
  <c r="EL155" i="1" s="1"/>
  <c r="EJ157" i="1"/>
  <c r="EL157" i="1" s="1"/>
  <c r="EJ159" i="1"/>
  <c r="EL159" i="1" s="1"/>
  <c r="EJ161" i="1"/>
  <c r="EL161" i="1" s="1"/>
  <c r="EJ163" i="1"/>
  <c r="EL163" i="1" s="1"/>
  <c r="EJ165" i="1"/>
  <c r="EL165" i="1" s="1"/>
  <c r="EJ167" i="1"/>
  <c r="EL167" i="1" s="1"/>
  <c r="EJ169" i="1"/>
  <c r="EL169" i="1" s="1"/>
  <c r="EJ171" i="1"/>
  <c r="EL171" i="1" s="1"/>
  <c r="EJ173" i="1"/>
  <c r="EL173" i="1" s="1"/>
  <c r="EJ175" i="1"/>
  <c r="EL175" i="1" s="1"/>
  <c r="EJ177" i="1"/>
  <c r="EL177" i="1" s="1"/>
  <c r="EJ113" i="1"/>
  <c r="EL113" i="1" s="1"/>
  <c r="EJ115" i="1"/>
  <c r="EL115" i="1" s="1"/>
  <c r="EJ117" i="1"/>
  <c r="EL117" i="1" s="1"/>
  <c r="EJ119" i="1"/>
  <c r="EL119" i="1" s="1"/>
  <c r="EJ121" i="1"/>
  <c r="EL121" i="1" s="1"/>
  <c r="EJ123" i="1"/>
  <c r="EL123" i="1" s="1"/>
  <c r="EJ125" i="1"/>
  <c r="EL125" i="1" s="1"/>
  <c r="EJ127" i="1"/>
  <c r="EL127" i="1" s="1"/>
  <c r="EJ129" i="1"/>
  <c r="EL129" i="1" s="1"/>
  <c r="EJ131" i="1"/>
  <c r="EL131" i="1" s="1"/>
  <c r="EJ133" i="1"/>
  <c r="EL133" i="1" s="1"/>
  <c r="EJ135" i="1"/>
  <c r="EL135" i="1" s="1"/>
  <c r="EJ137" i="1"/>
  <c r="EL137" i="1" s="1"/>
  <c r="EJ139" i="1"/>
  <c r="EL139" i="1" s="1"/>
  <c r="EJ141" i="1"/>
  <c r="EL141" i="1" s="1"/>
  <c r="EJ77" i="1"/>
  <c r="EL77" i="1" s="1"/>
  <c r="EJ79" i="1"/>
  <c r="EL79" i="1" s="1"/>
  <c r="EJ81" i="1"/>
  <c r="EL81" i="1" s="1"/>
  <c r="EJ83" i="1"/>
  <c r="EL83" i="1" s="1"/>
  <c r="EJ85" i="1"/>
  <c r="EL85" i="1" s="1"/>
  <c r="EJ87" i="1"/>
  <c r="EL87" i="1" s="1"/>
  <c r="EJ89" i="1"/>
  <c r="EL89" i="1" s="1"/>
  <c r="EJ91" i="1"/>
  <c r="EL91" i="1" s="1"/>
  <c r="EJ93" i="1"/>
  <c r="EL93" i="1" s="1"/>
  <c r="EJ95" i="1"/>
  <c r="EL95" i="1" s="1"/>
  <c r="EJ97" i="1"/>
  <c r="EL97" i="1" s="1"/>
  <c r="EJ99" i="1"/>
  <c r="EL99" i="1" s="1"/>
  <c r="EJ101" i="1"/>
  <c r="EL101" i="1" s="1"/>
  <c r="EJ103" i="1"/>
  <c r="EL103" i="1" s="1"/>
  <c r="EJ105" i="1"/>
  <c r="EL105" i="1" s="1"/>
  <c r="EJ76" i="1"/>
  <c r="EJ44" i="1"/>
  <c r="EL44" i="1" s="1"/>
  <c r="EJ46" i="1"/>
  <c r="EL46" i="1" s="1"/>
  <c r="EJ48" i="1"/>
  <c r="EL48" i="1" s="1"/>
  <c r="EJ50" i="1"/>
  <c r="EL50" i="1" s="1"/>
  <c r="EJ52" i="1"/>
  <c r="EL52" i="1" s="1"/>
  <c r="EJ54" i="1"/>
  <c r="EL54" i="1" s="1"/>
  <c r="EJ56" i="1"/>
  <c r="EL56" i="1" s="1"/>
  <c r="EJ58" i="1"/>
  <c r="EL58" i="1" s="1"/>
  <c r="EJ60" i="1"/>
  <c r="EL60" i="1" s="1"/>
  <c r="EJ62" i="1"/>
  <c r="EL62" i="1" s="1"/>
  <c r="EJ64" i="1"/>
  <c r="EL64" i="1" s="1"/>
  <c r="EJ66" i="1"/>
  <c r="EL66" i="1" s="1"/>
  <c r="EJ68" i="1"/>
  <c r="EL68" i="1" s="1"/>
  <c r="EJ70" i="1"/>
  <c r="EL70" i="1" s="1"/>
  <c r="EJ7" i="1"/>
  <c r="EL7" i="1" s="1"/>
  <c r="EJ9" i="1"/>
  <c r="EL9" i="1" s="1"/>
  <c r="EJ11" i="1"/>
  <c r="EL11" i="1" s="1"/>
  <c r="EJ13" i="1"/>
  <c r="EL13" i="1" s="1"/>
  <c r="EJ15" i="1"/>
  <c r="EL15" i="1" s="1"/>
  <c r="EJ17" i="1"/>
  <c r="EL17" i="1" s="1"/>
  <c r="EJ19" i="1"/>
  <c r="EL19" i="1" s="1"/>
  <c r="EJ21" i="1"/>
  <c r="EL21" i="1" s="1"/>
  <c r="EJ23" i="1"/>
  <c r="EL23" i="1" s="1"/>
  <c r="EJ25" i="1"/>
  <c r="EL25" i="1" s="1"/>
  <c r="EJ27" i="1"/>
  <c r="EL27" i="1" s="1"/>
  <c r="EJ29" i="1"/>
  <c r="EL29" i="1" s="1"/>
  <c r="EJ31" i="1"/>
  <c r="EL31" i="1" s="1"/>
  <c r="EJ33" i="1"/>
  <c r="EL33" i="1" s="1"/>
  <c r="EJ35" i="1"/>
  <c r="EL35" i="1" s="1"/>
  <c r="EJ397" i="1"/>
  <c r="EL397" i="1" s="1"/>
  <c r="EJ399" i="1"/>
  <c r="EL399" i="1" s="1"/>
  <c r="EJ401" i="1"/>
  <c r="EL401" i="1" s="1"/>
  <c r="EJ403" i="1"/>
  <c r="EL403" i="1" s="1"/>
  <c r="EJ405" i="1"/>
  <c r="EL405" i="1" s="1"/>
  <c r="EJ407" i="1"/>
  <c r="EL407" i="1" s="1"/>
  <c r="EJ409" i="1"/>
  <c r="EL409" i="1" s="1"/>
  <c r="EJ411" i="1"/>
  <c r="EL411" i="1" s="1"/>
  <c r="EJ413" i="1"/>
  <c r="EL413" i="1" s="1"/>
  <c r="EJ415" i="1"/>
  <c r="EL415" i="1" s="1"/>
  <c r="EJ417" i="1"/>
  <c r="EL417" i="1" s="1"/>
  <c r="EJ419" i="1"/>
  <c r="EL419" i="1" s="1"/>
  <c r="EJ421" i="1"/>
  <c r="EL421" i="1" s="1"/>
  <c r="EJ423" i="1"/>
  <c r="EL423" i="1" s="1"/>
  <c r="EJ425" i="1"/>
  <c r="EL425" i="1" s="1"/>
  <c r="EJ396" i="1"/>
  <c r="EJ363" i="1"/>
  <c r="EL363" i="1" s="1"/>
  <c r="EJ365" i="1"/>
  <c r="EL365" i="1" s="1"/>
  <c r="EJ367" i="1"/>
  <c r="EL367" i="1" s="1"/>
  <c r="EJ369" i="1"/>
  <c r="EL369" i="1" s="1"/>
  <c r="EJ371" i="1"/>
  <c r="EL371" i="1" s="1"/>
  <c r="EJ373" i="1"/>
  <c r="EL373" i="1" s="1"/>
  <c r="EJ375" i="1"/>
  <c r="EL375" i="1" s="1"/>
  <c r="EJ377" i="1"/>
  <c r="EL377" i="1" s="1"/>
  <c r="EJ379" i="1"/>
  <c r="EL379" i="1" s="1"/>
  <c r="EJ381" i="1"/>
  <c r="EL381" i="1" s="1"/>
  <c r="EJ383" i="1"/>
  <c r="EL383" i="1" s="1"/>
  <c r="EJ385" i="1"/>
  <c r="EL385" i="1" s="1"/>
  <c r="EJ387" i="1"/>
  <c r="EL387" i="1" s="1"/>
  <c r="EJ389" i="1"/>
  <c r="EL389" i="1" s="1"/>
  <c r="EJ361" i="1"/>
  <c r="EJ327" i="1"/>
  <c r="EL327" i="1" s="1"/>
  <c r="EJ329" i="1"/>
  <c r="EL329" i="1" s="1"/>
  <c r="EJ331" i="1"/>
  <c r="EL331" i="1" s="1"/>
  <c r="EJ333" i="1"/>
  <c r="EL333" i="1" s="1"/>
  <c r="EJ335" i="1"/>
  <c r="EL335" i="1" s="1"/>
  <c r="EJ337" i="1"/>
  <c r="EL337" i="1" s="1"/>
  <c r="EJ339" i="1"/>
  <c r="EL339" i="1" s="1"/>
  <c r="EJ341" i="1"/>
  <c r="EL341" i="1" s="1"/>
  <c r="EJ343" i="1"/>
  <c r="EL343" i="1" s="1"/>
  <c r="EJ345" i="1"/>
  <c r="EL345" i="1" s="1"/>
  <c r="EJ347" i="1"/>
  <c r="EL347" i="1" s="1"/>
  <c r="EJ349" i="1"/>
  <c r="EL349" i="1" s="1"/>
  <c r="EJ351" i="1"/>
  <c r="EL351" i="1" s="1"/>
  <c r="EJ353" i="1"/>
  <c r="EL353" i="1" s="1"/>
  <c r="EJ355" i="1"/>
  <c r="EL355" i="1" s="1"/>
  <c r="EJ291" i="1"/>
  <c r="EL291" i="1" s="1"/>
  <c r="EJ293" i="1"/>
  <c r="EL293" i="1" s="1"/>
  <c r="EJ295" i="1"/>
  <c r="EL295" i="1" s="1"/>
  <c r="EJ297" i="1"/>
  <c r="EL297" i="1" s="1"/>
  <c r="EJ299" i="1"/>
  <c r="EL299" i="1" s="1"/>
  <c r="EJ301" i="1"/>
  <c r="EL301" i="1" s="1"/>
  <c r="EJ303" i="1"/>
  <c r="EL303" i="1" s="1"/>
  <c r="EJ305" i="1"/>
  <c r="EL305" i="1" s="1"/>
  <c r="EJ307" i="1"/>
  <c r="EL307" i="1" s="1"/>
  <c r="EJ309" i="1"/>
  <c r="EL309" i="1" s="1"/>
  <c r="EJ311" i="1"/>
  <c r="EL311" i="1" s="1"/>
  <c r="EJ313" i="1"/>
  <c r="EL313" i="1" s="1"/>
  <c r="EJ315" i="1"/>
  <c r="EL315" i="1" s="1"/>
  <c r="EJ317" i="1"/>
  <c r="EL317" i="1" s="1"/>
  <c r="EJ319" i="1"/>
  <c r="EL319" i="1" s="1"/>
  <c r="EJ255" i="1"/>
  <c r="EL255" i="1" s="1"/>
  <c r="EJ257" i="1"/>
  <c r="EL257" i="1" s="1"/>
  <c r="EJ259" i="1"/>
  <c r="EL259" i="1" s="1"/>
  <c r="EJ261" i="1"/>
  <c r="EL261" i="1" s="1"/>
  <c r="EJ263" i="1"/>
  <c r="EL263" i="1" s="1"/>
  <c r="EJ265" i="1"/>
  <c r="EL265" i="1" s="1"/>
  <c r="EJ267" i="1"/>
  <c r="EL267" i="1" s="1"/>
  <c r="EJ269" i="1"/>
  <c r="EL269" i="1" s="1"/>
  <c r="EJ271" i="1"/>
  <c r="EL271" i="1" s="1"/>
  <c r="EJ273" i="1"/>
  <c r="EL273" i="1" s="1"/>
  <c r="EJ275" i="1"/>
  <c r="EL275" i="1" s="1"/>
  <c r="EJ277" i="1"/>
  <c r="EL277" i="1" s="1"/>
  <c r="EJ279" i="1"/>
  <c r="EL279" i="1" s="1"/>
  <c r="EJ281" i="1"/>
  <c r="EL281" i="1" s="1"/>
  <c r="EJ283" i="1"/>
  <c r="EL283" i="1" s="1"/>
  <c r="EJ254" i="1"/>
  <c r="EJ220" i="1"/>
  <c r="EL220" i="1" s="1"/>
  <c r="EJ222" i="1"/>
  <c r="EL222" i="1" s="1"/>
  <c r="EJ224" i="1"/>
  <c r="EL224" i="1" s="1"/>
  <c r="EJ226" i="1"/>
  <c r="EL226" i="1" s="1"/>
  <c r="EJ228" i="1"/>
  <c r="EL228" i="1" s="1"/>
  <c r="EJ230" i="1"/>
  <c r="EL230" i="1" s="1"/>
  <c r="EJ232" i="1"/>
  <c r="EL232" i="1" s="1"/>
  <c r="EJ234" i="1"/>
  <c r="EL234" i="1" s="1"/>
  <c r="EJ236" i="1"/>
  <c r="EL236" i="1" s="1"/>
  <c r="EJ238" i="1"/>
  <c r="EL238" i="1" s="1"/>
  <c r="EJ240" i="1"/>
  <c r="EL240" i="1" s="1"/>
  <c r="EJ242" i="1"/>
  <c r="EL242" i="1" s="1"/>
  <c r="EJ244" i="1"/>
  <c r="EL244" i="1" s="1"/>
  <c r="EJ246" i="1"/>
  <c r="EL246" i="1" s="1"/>
  <c r="EJ248" i="1"/>
  <c r="EL248" i="1" s="1"/>
  <c r="EJ184" i="1"/>
  <c r="EL184" i="1" s="1"/>
  <c r="EJ186" i="1"/>
  <c r="EL186" i="1" s="1"/>
  <c r="EJ188" i="1"/>
  <c r="EL188" i="1" s="1"/>
  <c r="EJ190" i="1"/>
  <c r="EL190" i="1" s="1"/>
  <c r="EJ192" i="1"/>
  <c r="EL192" i="1" s="1"/>
  <c r="EJ194" i="1"/>
  <c r="EL194" i="1" s="1"/>
  <c r="EJ196" i="1"/>
  <c r="EL196" i="1" s="1"/>
  <c r="EJ198" i="1"/>
  <c r="EL198" i="1" s="1"/>
  <c r="EJ200" i="1"/>
  <c r="EL200" i="1" s="1"/>
  <c r="EJ202" i="1"/>
  <c r="EL202" i="1" s="1"/>
  <c r="EJ204" i="1"/>
  <c r="EL204" i="1" s="1"/>
  <c r="EJ206" i="1"/>
  <c r="EL206" i="1" s="1"/>
  <c r="EJ208" i="1"/>
  <c r="EL208" i="1" s="1"/>
  <c r="EJ210" i="1"/>
  <c r="EL210" i="1" s="1"/>
  <c r="EJ212" i="1"/>
  <c r="EL212" i="1" s="1"/>
  <c r="EJ148" i="1"/>
  <c r="EL148" i="1" s="1"/>
  <c r="EJ150" i="1"/>
  <c r="EL150" i="1" s="1"/>
  <c r="EJ152" i="1"/>
  <c r="EL152" i="1" s="1"/>
  <c r="EJ154" i="1"/>
  <c r="EL154" i="1" s="1"/>
  <c r="EJ156" i="1"/>
  <c r="EL156" i="1" s="1"/>
  <c r="EJ158" i="1"/>
  <c r="EL158" i="1" s="1"/>
  <c r="EJ160" i="1"/>
  <c r="EL160" i="1" s="1"/>
  <c r="EJ162" i="1"/>
  <c r="EL162" i="1" s="1"/>
  <c r="EJ164" i="1"/>
  <c r="EL164" i="1" s="1"/>
  <c r="EJ166" i="1"/>
  <c r="EL166" i="1" s="1"/>
  <c r="EJ168" i="1"/>
  <c r="EL168" i="1" s="1"/>
  <c r="EJ170" i="1"/>
  <c r="EL170" i="1" s="1"/>
  <c r="EJ172" i="1"/>
  <c r="EL172" i="1" s="1"/>
  <c r="EJ174" i="1"/>
  <c r="EL174" i="1" s="1"/>
  <c r="EJ176" i="1"/>
  <c r="EL176" i="1" s="1"/>
  <c r="EJ114" i="1"/>
  <c r="EL114" i="1" s="1"/>
  <c r="EJ116" i="1"/>
  <c r="EL116" i="1" s="1"/>
  <c r="EJ118" i="1"/>
  <c r="EL118" i="1" s="1"/>
  <c r="EJ120" i="1"/>
  <c r="EL120" i="1" s="1"/>
  <c r="EJ122" i="1"/>
  <c r="EL122" i="1" s="1"/>
  <c r="EJ124" i="1"/>
  <c r="EL124" i="1" s="1"/>
  <c r="EJ126" i="1"/>
  <c r="EL126" i="1" s="1"/>
  <c r="EJ128" i="1"/>
  <c r="EL128" i="1" s="1"/>
  <c r="EJ130" i="1"/>
  <c r="EL130" i="1" s="1"/>
  <c r="EJ132" i="1"/>
  <c r="EL132" i="1" s="1"/>
  <c r="EJ134" i="1"/>
  <c r="EL134" i="1" s="1"/>
  <c r="EJ136" i="1"/>
  <c r="EL136" i="1" s="1"/>
  <c r="EJ138" i="1"/>
  <c r="EL138" i="1" s="1"/>
  <c r="EJ140" i="1"/>
  <c r="EL140" i="1" s="1"/>
  <c r="EJ112" i="1"/>
  <c r="EJ78" i="1"/>
  <c r="EL78" i="1" s="1"/>
  <c r="EJ80" i="1"/>
  <c r="EL80" i="1" s="1"/>
  <c r="EJ82" i="1"/>
  <c r="EL82" i="1" s="1"/>
  <c r="EJ84" i="1"/>
  <c r="EL84" i="1" s="1"/>
  <c r="EJ86" i="1"/>
  <c r="EL86" i="1" s="1"/>
  <c r="EJ88" i="1"/>
  <c r="EL88" i="1" s="1"/>
  <c r="EJ90" i="1"/>
  <c r="EL90" i="1" s="1"/>
  <c r="EJ92" i="1"/>
  <c r="EL92" i="1" s="1"/>
  <c r="EJ94" i="1"/>
  <c r="EL94" i="1" s="1"/>
  <c r="EJ96" i="1"/>
  <c r="EL96" i="1" s="1"/>
  <c r="EJ98" i="1"/>
  <c r="EL98" i="1" s="1"/>
  <c r="EJ100" i="1"/>
  <c r="EL100" i="1" s="1"/>
  <c r="EJ102" i="1"/>
  <c r="EL102" i="1" s="1"/>
  <c r="EJ104" i="1"/>
  <c r="EL104" i="1" s="1"/>
  <c r="EJ106" i="1"/>
  <c r="EL106" i="1" s="1"/>
  <c r="EJ43" i="1"/>
  <c r="EL43" i="1" s="1"/>
  <c r="EJ45" i="1"/>
  <c r="EL45" i="1" s="1"/>
  <c r="EJ47" i="1"/>
  <c r="EL47" i="1" s="1"/>
  <c r="EJ49" i="1"/>
  <c r="EL49" i="1" s="1"/>
  <c r="EJ51" i="1"/>
  <c r="EL51" i="1" s="1"/>
  <c r="EJ53" i="1"/>
  <c r="EL53" i="1" s="1"/>
  <c r="EJ55" i="1"/>
  <c r="EL55" i="1" s="1"/>
  <c r="EJ57" i="1"/>
  <c r="EL57" i="1" s="1"/>
  <c r="EJ59" i="1"/>
  <c r="EL59" i="1" s="1"/>
  <c r="EJ61" i="1"/>
  <c r="EL61" i="1" s="1"/>
  <c r="EJ63" i="1"/>
  <c r="EL63" i="1" s="1"/>
  <c r="EJ65" i="1"/>
  <c r="EL65" i="1" s="1"/>
  <c r="EJ67" i="1"/>
  <c r="EL67" i="1" s="1"/>
  <c r="EJ69" i="1"/>
  <c r="EL69" i="1" s="1"/>
  <c r="EJ42" i="1"/>
  <c r="EJ8" i="1"/>
  <c r="EL8" i="1" s="1"/>
  <c r="EJ10" i="1"/>
  <c r="EL10" i="1" s="1"/>
  <c r="EJ12" i="1"/>
  <c r="EL12" i="1" s="1"/>
  <c r="EJ14" i="1"/>
  <c r="EL14" i="1" s="1"/>
  <c r="EJ16" i="1"/>
  <c r="EL16" i="1" s="1"/>
  <c r="EJ18" i="1"/>
  <c r="EL18" i="1" s="1"/>
  <c r="EJ20" i="1"/>
  <c r="EL20" i="1" s="1"/>
  <c r="EJ22" i="1"/>
  <c r="EL22" i="1" s="1"/>
  <c r="EJ24" i="1"/>
  <c r="EL24" i="1" s="1"/>
  <c r="EJ26" i="1"/>
  <c r="EL26" i="1" s="1"/>
  <c r="EJ28" i="1"/>
  <c r="EL28" i="1" s="1"/>
  <c r="EJ30" i="1"/>
  <c r="EL30" i="1" s="1"/>
  <c r="EJ32" i="1"/>
  <c r="EL32" i="1" s="1"/>
  <c r="EJ34" i="1"/>
  <c r="EL34" i="1" s="1"/>
  <c r="EJ36" i="1"/>
  <c r="EL36" i="1" s="1"/>
  <c r="FT397" i="1"/>
  <c r="FV397" i="1" s="1"/>
  <c r="FT399" i="1"/>
  <c r="FV399" i="1" s="1"/>
  <c r="FT401" i="1"/>
  <c r="FV401" i="1" s="1"/>
  <c r="FT403" i="1"/>
  <c r="FV403" i="1" s="1"/>
  <c r="FT405" i="1"/>
  <c r="FV405" i="1" s="1"/>
  <c r="FT407" i="1"/>
  <c r="FV407" i="1" s="1"/>
  <c r="FT409" i="1"/>
  <c r="FV409" i="1" s="1"/>
  <c r="FT411" i="1"/>
  <c r="FV411" i="1" s="1"/>
  <c r="FT413" i="1"/>
  <c r="FV413" i="1" s="1"/>
  <c r="FT415" i="1"/>
  <c r="FV415" i="1" s="1"/>
  <c r="FT417" i="1"/>
  <c r="FV417" i="1" s="1"/>
  <c r="FT419" i="1"/>
  <c r="FV419" i="1" s="1"/>
  <c r="FT421" i="1"/>
  <c r="FV421" i="1" s="1"/>
  <c r="FT423" i="1"/>
  <c r="FV423" i="1" s="1"/>
  <c r="FT425" i="1"/>
  <c r="FV425" i="1" s="1"/>
  <c r="FT396" i="1"/>
  <c r="FT363" i="1"/>
  <c r="FV363" i="1" s="1"/>
  <c r="FT365" i="1"/>
  <c r="FV365" i="1" s="1"/>
  <c r="FT367" i="1"/>
  <c r="FV367" i="1" s="1"/>
  <c r="FT369" i="1"/>
  <c r="FV369" i="1" s="1"/>
  <c r="FT371" i="1"/>
  <c r="FV371" i="1" s="1"/>
  <c r="FT373" i="1"/>
  <c r="FV373" i="1" s="1"/>
  <c r="FT375" i="1"/>
  <c r="FV375" i="1" s="1"/>
  <c r="FT377" i="1"/>
  <c r="FV377" i="1" s="1"/>
  <c r="FT379" i="1"/>
  <c r="FV379" i="1" s="1"/>
  <c r="FT381" i="1"/>
  <c r="FV381" i="1" s="1"/>
  <c r="FT383" i="1"/>
  <c r="FV383" i="1" s="1"/>
  <c r="FT385" i="1"/>
  <c r="FV385" i="1" s="1"/>
  <c r="FT387" i="1"/>
  <c r="FV387" i="1" s="1"/>
  <c r="FT389" i="1"/>
  <c r="FV389" i="1" s="1"/>
  <c r="FT361" i="1"/>
  <c r="FT327" i="1"/>
  <c r="FV327" i="1" s="1"/>
  <c r="FT329" i="1"/>
  <c r="FV329" i="1" s="1"/>
  <c r="FT331" i="1"/>
  <c r="FV331" i="1" s="1"/>
  <c r="FT333" i="1"/>
  <c r="FV333" i="1" s="1"/>
  <c r="FT335" i="1"/>
  <c r="FV335" i="1" s="1"/>
  <c r="FT337" i="1"/>
  <c r="FV337" i="1" s="1"/>
  <c r="FT339" i="1"/>
  <c r="FV339" i="1" s="1"/>
  <c r="FT341" i="1"/>
  <c r="FV341" i="1" s="1"/>
  <c r="FT343" i="1"/>
  <c r="FV343" i="1" s="1"/>
  <c r="FT345" i="1"/>
  <c r="FV345" i="1" s="1"/>
  <c r="FT347" i="1"/>
  <c r="FV347" i="1" s="1"/>
  <c r="FT349" i="1"/>
  <c r="FV349" i="1" s="1"/>
  <c r="FT351" i="1"/>
  <c r="FV351" i="1" s="1"/>
  <c r="FT353" i="1"/>
  <c r="FV353" i="1" s="1"/>
  <c r="FT355" i="1"/>
  <c r="FV355" i="1" s="1"/>
  <c r="FT291" i="1"/>
  <c r="FV291" i="1" s="1"/>
  <c r="FT293" i="1"/>
  <c r="FV293" i="1" s="1"/>
  <c r="FT295" i="1"/>
  <c r="FV295" i="1" s="1"/>
  <c r="FT297" i="1"/>
  <c r="FV297" i="1" s="1"/>
  <c r="FT299" i="1"/>
  <c r="FV299" i="1" s="1"/>
  <c r="FT301" i="1"/>
  <c r="FV301" i="1" s="1"/>
  <c r="FT303" i="1"/>
  <c r="FV303" i="1" s="1"/>
  <c r="FT305" i="1"/>
  <c r="FV305" i="1" s="1"/>
  <c r="FT307" i="1"/>
  <c r="FV307" i="1" s="1"/>
  <c r="FT309" i="1"/>
  <c r="FV309" i="1" s="1"/>
  <c r="FT311" i="1"/>
  <c r="FV311" i="1" s="1"/>
  <c r="FT313" i="1"/>
  <c r="FV313" i="1" s="1"/>
  <c r="FT315" i="1"/>
  <c r="FV315" i="1" s="1"/>
  <c r="FT317" i="1"/>
  <c r="FV317" i="1" s="1"/>
  <c r="FT319" i="1"/>
  <c r="FV319" i="1" s="1"/>
  <c r="FT255" i="1"/>
  <c r="FV255" i="1" s="1"/>
  <c r="FT257" i="1"/>
  <c r="FV257" i="1" s="1"/>
  <c r="FT259" i="1"/>
  <c r="FV259" i="1" s="1"/>
  <c r="FT261" i="1"/>
  <c r="FV261" i="1" s="1"/>
  <c r="FT263" i="1"/>
  <c r="FV263" i="1" s="1"/>
  <c r="FT265" i="1"/>
  <c r="FV265" i="1" s="1"/>
  <c r="FT267" i="1"/>
  <c r="FV267" i="1" s="1"/>
  <c r="FT269" i="1"/>
  <c r="FV269" i="1" s="1"/>
  <c r="FT271" i="1"/>
  <c r="FV271" i="1" s="1"/>
  <c r="FT273" i="1"/>
  <c r="FV273" i="1" s="1"/>
  <c r="FT275" i="1"/>
  <c r="FV275" i="1" s="1"/>
  <c r="FT277" i="1"/>
  <c r="FV277" i="1" s="1"/>
  <c r="FT279" i="1"/>
  <c r="FV279" i="1" s="1"/>
  <c r="FT281" i="1"/>
  <c r="FV281" i="1" s="1"/>
  <c r="FT283" i="1"/>
  <c r="FV283" i="1" s="1"/>
  <c r="FT254" i="1"/>
  <c r="FT220" i="1"/>
  <c r="FV220" i="1" s="1"/>
  <c r="FT222" i="1"/>
  <c r="FV222" i="1" s="1"/>
  <c r="FT224" i="1"/>
  <c r="FV224" i="1" s="1"/>
  <c r="FT226" i="1"/>
  <c r="FV226" i="1" s="1"/>
  <c r="FT228" i="1"/>
  <c r="FV228" i="1" s="1"/>
  <c r="FT230" i="1"/>
  <c r="FV230" i="1" s="1"/>
  <c r="FT232" i="1"/>
  <c r="FV232" i="1" s="1"/>
  <c r="FT234" i="1"/>
  <c r="FV234" i="1" s="1"/>
  <c r="FT236" i="1"/>
  <c r="FV236" i="1" s="1"/>
  <c r="FT238" i="1"/>
  <c r="FV238" i="1" s="1"/>
  <c r="FT240" i="1"/>
  <c r="FV240" i="1" s="1"/>
  <c r="FT242" i="1"/>
  <c r="FV242" i="1" s="1"/>
  <c r="FT244" i="1"/>
  <c r="FV244" i="1" s="1"/>
  <c r="FT246" i="1"/>
  <c r="FV246" i="1" s="1"/>
  <c r="FT248" i="1"/>
  <c r="FV248" i="1" s="1"/>
  <c r="FT184" i="1"/>
  <c r="FV184" i="1" s="1"/>
  <c r="FT186" i="1"/>
  <c r="FV186" i="1" s="1"/>
  <c r="FT188" i="1"/>
  <c r="FV188" i="1" s="1"/>
  <c r="FT190" i="1"/>
  <c r="FV190" i="1" s="1"/>
  <c r="FT192" i="1"/>
  <c r="FV192" i="1" s="1"/>
  <c r="FT194" i="1"/>
  <c r="FV194" i="1" s="1"/>
  <c r="FT196" i="1"/>
  <c r="FV196" i="1" s="1"/>
  <c r="FT198" i="1"/>
  <c r="FV198" i="1" s="1"/>
  <c r="FT200" i="1"/>
  <c r="FV200" i="1" s="1"/>
  <c r="FT202" i="1"/>
  <c r="FV202" i="1" s="1"/>
  <c r="FT204" i="1"/>
  <c r="FV204" i="1" s="1"/>
  <c r="FT206" i="1"/>
  <c r="FV206" i="1" s="1"/>
  <c r="FT208" i="1"/>
  <c r="FV208" i="1" s="1"/>
  <c r="FT210" i="1"/>
  <c r="FV210" i="1" s="1"/>
  <c r="FT212" i="1"/>
  <c r="FV212" i="1" s="1"/>
  <c r="FT148" i="1"/>
  <c r="FV148" i="1" s="1"/>
  <c r="FT150" i="1"/>
  <c r="FV150" i="1" s="1"/>
  <c r="FT152" i="1"/>
  <c r="FV152" i="1" s="1"/>
  <c r="FT154" i="1"/>
  <c r="FV154" i="1" s="1"/>
  <c r="FT156" i="1"/>
  <c r="FV156" i="1" s="1"/>
  <c r="FT158" i="1"/>
  <c r="FV158" i="1" s="1"/>
  <c r="FT160" i="1"/>
  <c r="FV160" i="1" s="1"/>
  <c r="FT162" i="1"/>
  <c r="FV162" i="1" s="1"/>
  <c r="FT164" i="1"/>
  <c r="FV164" i="1" s="1"/>
  <c r="FT166" i="1"/>
  <c r="FV166" i="1" s="1"/>
  <c r="FT168" i="1"/>
  <c r="FV168" i="1" s="1"/>
  <c r="FT170" i="1"/>
  <c r="FV170" i="1" s="1"/>
  <c r="FT172" i="1"/>
  <c r="FV172" i="1" s="1"/>
  <c r="FT174" i="1"/>
  <c r="FV174" i="1" s="1"/>
  <c r="FT176" i="1"/>
  <c r="FV176" i="1" s="1"/>
  <c r="FT114" i="1"/>
  <c r="FV114" i="1" s="1"/>
  <c r="FT116" i="1"/>
  <c r="FV116" i="1" s="1"/>
  <c r="FT118" i="1"/>
  <c r="FV118" i="1" s="1"/>
  <c r="FT120" i="1"/>
  <c r="FV120" i="1" s="1"/>
  <c r="FT122" i="1"/>
  <c r="FV122" i="1" s="1"/>
  <c r="FT124" i="1"/>
  <c r="FV124" i="1" s="1"/>
  <c r="FT126" i="1"/>
  <c r="FV126" i="1" s="1"/>
  <c r="FT128" i="1"/>
  <c r="FV128" i="1" s="1"/>
  <c r="FT130" i="1"/>
  <c r="FV130" i="1" s="1"/>
  <c r="FT132" i="1"/>
  <c r="FV132" i="1" s="1"/>
  <c r="FT134" i="1"/>
  <c r="FV134" i="1" s="1"/>
  <c r="FT136" i="1"/>
  <c r="FV136" i="1" s="1"/>
  <c r="FT138" i="1"/>
  <c r="FV138" i="1" s="1"/>
  <c r="FT140" i="1"/>
  <c r="FV140" i="1" s="1"/>
  <c r="FT112" i="1"/>
  <c r="FT78" i="1"/>
  <c r="FV78" i="1" s="1"/>
  <c r="FT80" i="1"/>
  <c r="FV80" i="1" s="1"/>
  <c r="FT82" i="1"/>
  <c r="FV82" i="1" s="1"/>
  <c r="FT84" i="1"/>
  <c r="FV84" i="1" s="1"/>
  <c r="FT86" i="1"/>
  <c r="FV86" i="1" s="1"/>
  <c r="FT88" i="1"/>
  <c r="FV88" i="1" s="1"/>
  <c r="FT90" i="1"/>
  <c r="FV90" i="1" s="1"/>
  <c r="FT92" i="1"/>
  <c r="FV92" i="1" s="1"/>
  <c r="FT94" i="1"/>
  <c r="FV94" i="1" s="1"/>
  <c r="FT96" i="1"/>
  <c r="FV96" i="1" s="1"/>
  <c r="FT98" i="1"/>
  <c r="FV98" i="1" s="1"/>
  <c r="FT100" i="1"/>
  <c r="FV100" i="1" s="1"/>
  <c r="FT102" i="1"/>
  <c r="FV102" i="1" s="1"/>
  <c r="FT104" i="1"/>
  <c r="FV104" i="1" s="1"/>
  <c r="FT106" i="1"/>
  <c r="FV106" i="1" s="1"/>
  <c r="FT43" i="1"/>
  <c r="FV43" i="1" s="1"/>
  <c r="FT45" i="1"/>
  <c r="FV45" i="1" s="1"/>
  <c r="FT47" i="1"/>
  <c r="FV47" i="1" s="1"/>
  <c r="FT49" i="1"/>
  <c r="FV49" i="1" s="1"/>
  <c r="FT51" i="1"/>
  <c r="FV51" i="1" s="1"/>
  <c r="FT53" i="1"/>
  <c r="FV53" i="1" s="1"/>
  <c r="FT55" i="1"/>
  <c r="FV55" i="1" s="1"/>
  <c r="FT57" i="1"/>
  <c r="FV57" i="1" s="1"/>
  <c r="FT59" i="1"/>
  <c r="FV59" i="1" s="1"/>
  <c r="FT61" i="1"/>
  <c r="FV61" i="1" s="1"/>
  <c r="FT63" i="1"/>
  <c r="FV63" i="1" s="1"/>
  <c r="FT65" i="1"/>
  <c r="FV65" i="1" s="1"/>
  <c r="FT67" i="1"/>
  <c r="FV67" i="1" s="1"/>
  <c r="FT69" i="1"/>
  <c r="FV69" i="1" s="1"/>
  <c r="FT42" i="1"/>
  <c r="FT8" i="1"/>
  <c r="FV8" i="1" s="1"/>
  <c r="FT10" i="1"/>
  <c r="FV10" i="1" s="1"/>
  <c r="FT12" i="1"/>
  <c r="FV12" i="1" s="1"/>
  <c r="FT14" i="1"/>
  <c r="FV14" i="1" s="1"/>
  <c r="FT16" i="1"/>
  <c r="FV16" i="1" s="1"/>
  <c r="FT18" i="1"/>
  <c r="FV18" i="1" s="1"/>
  <c r="FT20" i="1"/>
  <c r="FV20" i="1" s="1"/>
  <c r="FT22" i="1"/>
  <c r="FV22" i="1" s="1"/>
  <c r="FT24" i="1"/>
  <c r="FV24" i="1" s="1"/>
  <c r="FT26" i="1"/>
  <c r="FV26" i="1" s="1"/>
  <c r="FT28" i="1"/>
  <c r="FV28" i="1" s="1"/>
  <c r="FT30" i="1"/>
  <c r="FV30" i="1" s="1"/>
  <c r="FT32" i="1"/>
  <c r="FV32" i="1" s="1"/>
  <c r="FT34" i="1"/>
  <c r="FV34" i="1" s="1"/>
  <c r="FT36" i="1"/>
  <c r="FV36" i="1" s="1"/>
  <c r="FT398" i="1"/>
  <c r="FV398" i="1" s="1"/>
  <c r="FT400" i="1"/>
  <c r="FV400" i="1" s="1"/>
  <c r="FT402" i="1"/>
  <c r="FV402" i="1" s="1"/>
  <c r="FT404" i="1"/>
  <c r="FV404" i="1" s="1"/>
  <c r="FT406" i="1"/>
  <c r="FV406" i="1" s="1"/>
  <c r="FT408" i="1"/>
  <c r="FV408" i="1" s="1"/>
  <c r="FT410" i="1"/>
  <c r="FV410" i="1" s="1"/>
  <c r="FT412" i="1"/>
  <c r="FV412" i="1" s="1"/>
  <c r="FT414" i="1"/>
  <c r="FV414" i="1" s="1"/>
  <c r="FT416" i="1"/>
  <c r="FV416" i="1" s="1"/>
  <c r="FT418" i="1"/>
  <c r="FV418" i="1" s="1"/>
  <c r="FT420" i="1"/>
  <c r="FV420" i="1" s="1"/>
  <c r="FT422" i="1"/>
  <c r="FV422" i="1" s="1"/>
  <c r="FT424" i="1"/>
  <c r="FV424" i="1" s="1"/>
  <c r="FT426" i="1"/>
  <c r="FV426" i="1" s="1"/>
  <c r="FT362" i="1"/>
  <c r="FV362" i="1" s="1"/>
  <c r="FT364" i="1"/>
  <c r="FV364" i="1" s="1"/>
  <c r="FT366" i="1"/>
  <c r="FV366" i="1" s="1"/>
  <c r="FT368" i="1"/>
  <c r="FV368" i="1" s="1"/>
  <c r="FT370" i="1"/>
  <c r="FV370" i="1" s="1"/>
  <c r="FT372" i="1"/>
  <c r="FV372" i="1" s="1"/>
  <c r="FT374" i="1"/>
  <c r="FV374" i="1" s="1"/>
  <c r="FT376" i="1"/>
  <c r="FV376" i="1" s="1"/>
  <c r="FT378" i="1"/>
  <c r="FV378" i="1" s="1"/>
  <c r="FT380" i="1"/>
  <c r="FV380" i="1" s="1"/>
  <c r="FT382" i="1"/>
  <c r="FV382" i="1" s="1"/>
  <c r="FT384" i="1"/>
  <c r="FV384" i="1" s="1"/>
  <c r="FT386" i="1"/>
  <c r="FV386" i="1" s="1"/>
  <c r="FT388" i="1"/>
  <c r="FV388" i="1" s="1"/>
  <c r="FT390" i="1"/>
  <c r="FV390" i="1" s="1"/>
  <c r="FT326" i="1"/>
  <c r="FV326" i="1" s="1"/>
  <c r="FT328" i="1"/>
  <c r="FV328" i="1" s="1"/>
  <c r="FT330" i="1"/>
  <c r="FV330" i="1" s="1"/>
  <c r="FT332" i="1"/>
  <c r="FV332" i="1" s="1"/>
  <c r="FT334" i="1"/>
  <c r="FV334" i="1" s="1"/>
  <c r="FT336" i="1"/>
  <c r="FV336" i="1" s="1"/>
  <c r="FT338" i="1"/>
  <c r="FV338" i="1" s="1"/>
  <c r="FT340" i="1"/>
  <c r="FV340" i="1" s="1"/>
  <c r="FT342" i="1"/>
  <c r="FV342" i="1" s="1"/>
  <c r="FT344" i="1"/>
  <c r="FV344" i="1" s="1"/>
  <c r="FT346" i="1"/>
  <c r="FV346" i="1" s="1"/>
  <c r="FT348" i="1"/>
  <c r="FV348" i="1" s="1"/>
  <c r="FT350" i="1"/>
  <c r="FV350" i="1" s="1"/>
  <c r="FT352" i="1"/>
  <c r="FV352" i="1" s="1"/>
  <c r="FT354" i="1"/>
  <c r="FV354" i="1" s="1"/>
  <c r="FT325" i="1"/>
  <c r="FT292" i="1"/>
  <c r="FV292" i="1" s="1"/>
  <c r="FT294" i="1"/>
  <c r="FV294" i="1" s="1"/>
  <c r="FT296" i="1"/>
  <c r="FV296" i="1" s="1"/>
  <c r="FT298" i="1"/>
  <c r="FV298" i="1" s="1"/>
  <c r="FT300" i="1"/>
  <c r="FV300" i="1" s="1"/>
  <c r="FT302" i="1"/>
  <c r="FV302" i="1" s="1"/>
  <c r="FT304" i="1"/>
  <c r="FV304" i="1" s="1"/>
  <c r="FT306" i="1"/>
  <c r="FV306" i="1" s="1"/>
  <c r="FT308" i="1"/>
  <c r="FV308" i="1" s="1"/>
  <c r="FT310" i="1"/>
  <c r="FV310" i="1" s="1"/>
  <c r="FT312" i="1"/>
  <c r="FV312" i="1" s="1"/>
  <c r="FT314" i="1"/>
  <c r="FV314" i="1" s="1"/>
  <c r="FT316" i="1"/>
  <c r="FV316" i="1" s="1"/>
  <c r="FT318" i="1"/>
  <c r="FV318" i="1" s="1"/>
  <c r="FT290" i="1"/>
  <c r="FT256" i="1"/>
  <c r="FV256" i="1" s="1"/>
  <c r="FT258" i="1"/>
  <c r="FV258" i="1" s="1"/>
  <c r="FT260" i="1"/>
  <c r="FV260" i="1" s="1"/>
  <c r="FT262" i="1"/>
  <c r="FV262" i="1" s="1"/>
  <c r="FT264" i="1"/>
  <c r="FV264" i="1" s="1"/>
  <c r="FT266" i="1"/>
  <c r="FV266" i="1" s="1"/>
  <c r="FT268" i="1"/>
  <c r="FV268" i="1" s="1"/>
  <c r="FT270" i="1"/>
  <c r="FV270" i="1" s="1"/>
  <c r="FT272" i="1"/>
  <c r="FV272" i="1" s="1"/>
  <c r="FT274" i="1"/>
  <c r="FV274" i="1" s="1"/>
  <c r="FT276" i="1"/>
  <c r="FV276" i="1" s="1"/>
  <c r="FT278" i="1"/>
  <c r="FV278" i="1" s="1"/>
  <c r="FT280" i="1"/>
  <c r="FV280" i="1" s="1"/>
  <c r="FT282" i="1"/>
  <c r="FV282" i="1" s="1"/>
  <c r="FT284" i="1"/>
  <c r="FV284" i="1" s="1"/>
  <c r="FT219" i="1"/>
  <c r="FV219" i="1" s="1"/>
  <c r="FT221" i="1"/>
  <c r="FV221" i="1" s="1"/>
  <c r="FT223" i="1"/>
  <c r="FV223" i="1" s="1"/>
  <c r="FT225" i="1"/>
  <c r="FV225" i="1" s="1"/>
  <c r="FT227" i="1"/>
  <c r="FV227" i="1" s="1"/>
  <c r="FT229" i="1"/>
  <c r="FV229" i="1" s="1"/>
  <c r="FT231" i="1"/>
  <c r="FV231" i="1" s="1"/>
  <c r="FT233" i="1"/>
  <c r="FV233" i="1" s="1"/>
  <c r="FT235" i="1"/>
  <c r="FV235" i="1" s="1"/>
  <c r="FT237" i="1"/>
  <c r="FV237" i="1" s="1"/>
  <c r="FT239" i="1"/>
  <c r="FV239" i="1" s="1"/>
  <c r="FT241" i="1"/>
  <c r="FV241" i="1" s="1"/>
  <c r="FT243" i="1"/>
  <c r="FV243" i="1" s="1"/>
  <c r="FT245" i="1"/>
  <c r="FV245" i="1" s="1"/>
  <c r="FT247" i="1"/>
  <c r="FV247" i="1" s="1"/>
  <c r="FT218" i="1"/>
  <c r="FT185" i="1"/>
  <c r="FV185" i="1" s="1"/>
  <c r="FT187" i="1"/>
  <c r="FV187" i="1" s="1"/>
  <c r="FT189" i="1"/>
  <c r="FV189" i="1" s="1"/>
  <c r="FT191" i="1"/>
  <c r="FV191" i="1" s="1"/>
  <c r="FT193" i="1"/>
  <c r="FV193" i="1" s="1"/>
  <c r="FT195" i="1"/>
  <c r="FV195" i="1" s="1"/>
  <c r="FT197" i="1"/>
  <c r="FV197" i="1" s="1"/>
  <c r="FT199" i="1"/>
  <c r="FV199" i="1" s="1"/>
  <c r="FT201" i="1"/>
  <c r="FV201" i="1" s="1"/>
  <c r="FT203" i="1"/>
  <c r="FV203" i="1" s="1"/>
  <c r="FT205" i="1"/>
  <c r="FV205" i="1" s="1"/>
  <c r="FT207" i="1"/>
  <c r="FV207" i="1" s="1"/>
  <c r="FT209" i="1"/>
  <c r="FV209" i="1" s="1"/>
  <c r="FT211" i="1"/>
  <c r="FV211" i="1" s="1"/>
  <c r="FT183" i="1"/>
  <c r="FT149" i="1"/>
  <c r="FV149" i="1" s="1"/>
  <c r="FT151" i="1"/>
  <c r="FV151" i="1" s="1"/>
  <c r="FT153" i="1"/>
  <c r="FV153" i="1" s="1"/>
  <c r="FT155" i="1"/>
  <c r="FV155" i="1" s="1"/>
  <c r="FT157" i="1"/>
  <c r="FV157" i="1" s="1"/>
  <c r="FT159" i="1"/>
  <c r="FV159" i="1" s="1"/>
  <c r="FT161" i="1"/>
  <c r="FV161" i="1" s="1"/>
  <c r="FT163" i="1"/>
  <c r="FV163" i="1" s="1"/>
  <c r="FT165" i="1"/>
  <c r="FV165" i="1" s="1"/>
  <c r="FT167" i="1"/>
  <c r="FV167" i="1" s="1"/>
  <c r="FT169" i="1"/>
  <c r="FV169" i="1" s="1"/>
  <c r="FT171" i="1"/>
  <c r="FV171" i="1" s="1"/>
  <c r="FT173" i="1"/>
  <c r="FV173" i="1" s="1"/>
  <c r="FT175" i="1"/>
  <c r="FV175" i="1" s="1"/>
  <c r="FT177" i="1"/>
  <c r="FV177" i="1" s="1"/>
  <c r="FT113" i="1"/>
  <c r="FV113" i="1" s="1"/>
  <c r="FT115" i="1"/>
  <c r="FV115" i="1" s="1"/>
  <c r="FT117" i="1"/>
  <c r="FV117" i="1" s="1"/>
  <c r="FT119" i="1"/>
  <c r="FV119" i="1" s="1"/>
  <c r="FT121" i="1"/>
  <c r="FV121" i="1" s="1"/>
  <c r="FT123" i="1"/>
  <c r="FV123" i="1" s="1"/>
  <c r="FT125" i="1"/>
  <c r="FV125" i="1" s="1"/>
  <c r="FT127" i="1"/>
  <c r="FV127" i="1" s="1"/>
  <c r="FT129" i="1"/>
  <c r="FV129" i="1" s="1"/>
  <c r="FT131" i="1"/>
  <c r="FV131" i="1" s="1"/>
  <c r="FT133" i="1"/>
  <c r="FV133" i="1" s="1"/>
  <c r="FT135" i="1"/>
  <c r="FV135" i="1" s="1"/>
  <c r="FT137" i="1"/>
  <c r="FV137" i="1" s="1"/>
  <c r="FT139" i="1"/>
  <c r="FV139" i="1" s="1"/>
  <c r="FT141" i="1"/>
  <c r="FV141" i="1" s="1"/>
  <c r="FT77" i="1"/>
  <c r="FV77" i="1" s="1"/>
  <c r="FT79" i="1"/>
  <c r="FV79" i="1" s="1"/>
  <c r="FT81" i="1"/>
  <c r="FV81" i="1" s="1"/>
  <c r="FT83" i="1"/>
  <c r="FV83" i="1" s="1"/>
  <c r="FT85" i="1"/>
  <c r="FV85" i="1" s="1"/>
  <c r="FT87" i="1"/>
  <c r="FV87" i="1" s="1"/>
  <c r="FT89" i="1"/>
  <c r="FV89" i="1" s="1"/>
  <c r="FT91" i="1"/>
  <c r="FV91" i="1" s="1"/>
  <c r="FT93" i="1"/>
  <c r="FV93" i="1" s="1"/>
  <c r="FT95" i="1"/>
  <c r="FV95" i="1" s="1"/>
  <c r="FT97" i="1"/>
  <c r="FV97" i="1" s="1"/>
  <c r="FT99" i="1"/>
  <c r="FV99" i="1" s="1"/>
  <c r="FT101" i="1"/>
  <c r="FV101" i="1" s="1"/>
  <c r="FT103" i="1"/>
  <c r="FV103" i="1" s="1"/>
  <c r="FT105" i="1"/>
  <c r="FV105" i="1" s="1"/>
  <c r="FT76" i="1"/>
  <c r="FT44" i="1"/>
  <c r="FV44" i="1" s="1"/>
  <c r="FT46" i="1"/>
  <c r="FV46" i="1" s="1"/>
  <c r="FT48" i="1"/>
  <c r="FV48" i="1" s="1"/>
  <c r="FT50" i="1"/>
  <c r="FV50" i="1" s="1"/>
  <c r="FT52" i="1"/>
  <c r="FV52" i="1" s="1"/>
  <c r="FT54" i="1"/>
  <c r="FV54" i="1" s="1"/>
  <c r="FT56" i="1"/>
  <c r="FV56" i="1" s="1"/>
  <c r="FT58" i="1"/>
  <c r="FV58" i="1" s="1"/>
  <c r="FT60" i="1"/>
  <c r="FV60" i="1" s="1"/>
  <c r="FT62" i="1"/>
  <c r="FV62" i="1" s="1"/>
  <c r="FT64" i="1"/>
  <c r="FV64" i="1" s="1"/>
  <c r="FT66" i="1"/>
  <c r="FV66" i="1" s="1"/>
  <c r="FT68" i="1"/>
  <c r="FV68" i="1" s="1"/>
  <c r="FT70" i="1"/>
  <c r="FV70" i="1" s="1"/>
  <c r="FT7" i="1"/>
  <c r="FV7" i="1" s="1"/>
  <c r="FT9" i="1"/>
  <c r="FV9" i="1" s="1"/>
  <c r="FT11" i="1"/>
  <c r="FV11" i="1" s="1"/>
  <c r="FT13" i="1"/>
  <c r="FV13" i="1" s="1"/>
  <c r="FT15" i="1"/>
  <c r="FV15" i="1" s="1"/>
  <c r="FT17" i="1"/>
  <c r="FV17" i="1" s="1"/>
  <c r="FT19" i="1"/>
  <c r="FV19" i="1" s="1"/>
  <c r="FT21" i="1"/>
  <c r="FV21" i="1" s="1"/>
  <c r="FT23" i="1"/>
  <c r="FV23" i="1" s="1"/>
  <c r="FT25" i="1"/>
  <c r="FV25" i="1" s="1"/>
  <c r="FT27" i="1"/>
  <c r="FV27" i="1" s="1"/>
  <c r="FT29" i="1"/>
  <c r="FV29" i="1" s="1"/>
  <c r="FT31" i="1"/>
  <c r="FV31" i="1" s="1"/>
  <c r="FT33" i="1"/>
  <c r="FV33" i="1" s="1"/>
  <c r="FT35" i="1"/>
  <c r="FV35" i="1" s="1"/>
  <c r="HD398" i="1"/>
  <c r="HF398" i="1" s="1"/>
  <c r="HD400" i="1"/>
  <c r="HF400" i="1" s="1"/>
  <c r="HD402" i="1"/>
  <c r="HF402" i="1" s="1"/>
  <c r="HD404" i="1"/>
  <c r="HF404" i="1" s="1"/>
  <c r="HD406" i="1"/>
  <c r="HF406" i="1" s="1"/>
  <c r="HD408" i="1"/>
  <c r="HF408" i="1" s="1"/>
  <c r="HD410" i="1"/>
  <c r="HF410" i="1" s="1"/>
  <c r="HD412" i="1"/>
  <c r="HF412" i="1" s="1"/>
  <c r="HD414" i="1"/>
  <c r="HF414" i="1" s="1"/>
  <c r="HD416" i="1"/>
  <c r="HF416" i="1" s="1"/>
  <c r="HD418" i="1"/>
  <c r="HF418" i="1" s="1"/>
  <c r="HD420" i="1"/>
  <c r="HF420" i="1" s="1"/>
  <c r="HD422" i="1"/>
  <c r="HF422" i="1" s="1"/>
  <c r="HD424" i="1"/>
  <c r="HF424" i="1" s="1"/>
  <c r="HD426" i="1"/>
  <c r="HF426" i="1" s="1"/>
  <c r="HD362" i="1"/>
  <c r="HF362" i="1" s="1"/>
  <c r="HD364" i="1"/>
  <c r="HF364" i="1" s="1"/>
  <c r="HD366" i="1"/>
  <c r="HF366" i="1" s="1"/>
  <c r="HD368" i="1"/>
  <c r="HF368" i="1" s="1"/>
  <c r="HD370" i="1"/>
  <c r="HF370" i="1" s="1"/>
  <c r="HD372" i="1"/>
  <c r="HF372" i="1" s="1"/>
  <c r="HD374" i="1"/>
  <c r="HF374" i="1" s="1"/>
  <c r="HD376" i="1"/>
  <c r="HF376" i="1" s="1"/>
  <c r="HD378" i="1"/>
  <c r="HF378" i="1" s="1"/>
  <c r="HD380" i="1"/>
  <c r="HF380" i="1" s="1"/>
  <c r="HD382" i="1"/>
  <c r="HF382" i="1" s="1"/>
  <c r="HD384" i="1"/>
  <c r="HF384" i="1" s="1"/>
  <c r="HD386" i="1"/>
  <c r="HF386" i="1" s="1"/>
  <c r="HD388" i="1"/>
  <c r="HF388" i="1" s="1"/>
  <c r="HD390" i="1"/>
  <c r="HF390" i="1" s="1"/>
  <c r="HD326" i="1"/>
  <c r="HF326" i="1" s="1"/>
  <c r="HD328" i="1"/>
  <c r="HF328" i="1" s="1"/>
  <c r="HD330" i="1"/>
  <c r="HF330" i="1" s="1"/>
  <c r="HD332" i="1"/>
  <c r="HF332" i="1" s="1"/>
  <c r="HD334" i="1"/>
  <c r="HF334" i="1" s="1"/>
  <c r="HD336" i="1"/>
  <c r="HF336" i="1" s="1"/>
  <c r="HD338" i="1"/>
  <c r="HF338" i="1" s="1"/>
  <c r="HD340" i="1"/>
  <c r="HF340" i="1" s="1"/>
  <c r="HD342" i="1"/>
  <c r="HF342" i="1" s="1"/>
  <c r="HD344" i="1"/>
  <c r="HF344" i="1" s="1"/>
  <c r="HD346" i="1"/>
  <c r="HF346" i="1" s="1"/>
  <c r="HD348" i="1"/>
  <c r="HF348" i="1" s="1"/>
  <c r="HD350" i="1"/>
  <c r="HF350" i="1" s="1"/>
  <c r="HD352" i="1"/>
  <c r="HF352" i="1" s="1"/>
  <c r="HD354" i="1"/>
  <c r="HF354" i="1" s="1"/>
  <c r="HD325" i="1"/>
  <c r="HD292" i="1"/>
  <c r="HF292" i="1" s="1"/>
  <c r="HD294" i="1"/>
  <c r="HF294" i="1" s="1"/>
  <c r="HD296" i="1"/>
  <c r="HF296" i="1" s="1"/>
  <c r="HD298" i="1"/>
  <c r="HF298" i="1" s="1"/>
  <c r="HD300" i="1"/>
  <c r="HF300" i="1" s="1"/>
  <c r="HD302" i="1"/>
  <c r="HF302" i="1" s="1"/>
  <c r="HD304" i="1"/>
  <c r="HF304" i="1" s="1"/>
  <c r="HD306" i="1"/>
  <c r="HF306" i="1" s="1"/>
  <c r="HD308" i="1"/>
  <c r="HF308" i="1" s="1"/>
  <c r="HD310" i="1"/>
  <c r="HF310" i="1" s="1"/>
  <c r="HD312" i="1"/>
  <c r="HF312" i="1" s="1"/>
  <c r="HD314" i="1"/>
  <c r="HF314" i="1" s="1"/>
  <c r="HD316" i="1"/>
  <c r="HF316" i="1" s="1"/>
  <c r="HD318" i="1"/>
  <c r="HF318" i="1" s="1"/>
  <c r="HD290" i="1"/>
  <c r="HD256" i="1"/>
  <c r="HF256" i="1" s="1"/>
  <c r="HD258" i="1"/>
  <c r="HF258" i="1" s="1"/>
  <c r="HD260" i="1"/>
  <c r="HF260" i="1" s="1"/>
  <c r="HD262" i="1"/>
  <c r="HF262" i="1" s="1"/>
  <c r="HD264" i="1"/>
  <c r="HF264" i="1" s="1"/>
  <c r="HD266" i="1"/>
  <c r="HF266" i="1" s="1"/>
  <c r="HD268" i="1"/>
  <c r="HF268" i="1" s="1"/>
  <c r="HD270" i="1"/>
  <c r="HF270" i="1" s="1"/>
  <c r="HD272" i="1"/>
  <c r="HF272" i="1" s="1"/>
  <c r="HD274" i="1"/>
  <c r="HF274" i="1" s="1"/>
  <c r="HD276" i="1"/>
  <c r="HF276" i="1" s="1"/>
  <c r="HD278" i="1"/>
  <c r="HF278" i="1" s="1"/>
  <c r="HD280" i="1"/>
  <c r="HF280" i="1" s="1"/>
  <c r="HD282" i="1"/>
  <c r="HF282" i="1" s="1"/>
  <c r="HD284" i="1"/>
  <c r="HF284" i="1" s="1"/>
  <c r="HD219" i="1"/>
  <c r="HF219" i="1" s="1"/>
  <c r="HD221" i="1"/>
  <c r="HF221" i="1" s="1"/>
  <c r="HD223" i="1"/>
  <c r="HF223" i="1" s="1"/>
  <c r="HD225" i="1"/>
  <c r="HF225" i="1" s="1"/>
  <c r="HD227" i="1"/>
  <c r="HF227" i="1" s="1"/>
  <c r="HD229" i="1"/>
  <c r="HF229" i="1" s="1"/>
  <c r="HD231" i="1"/>
  <c r="HF231" i="1" s="1"/>
  <c r="HD233" i="1"/>
  <c r="HF233" i="1" s="1"/>
  <c r="HD235" i="1"/>
  <c r="HF235" i="1" s="1"/>
  <c r="HD237" i="1"/>
  <c r="HF237" i="1" s="1"/>
  <c r="HD239" i="1"/>
  <c r="HF239" i="1" s="1"/>
  <c r="HD241" i="1"/>
  <c r="HF241" i="1" s="1"/>
  <c r="HD243" i="1"/>
  <c r="HF243" i="1" s="1"/>
  <c r="HD245" i="1"/>
  <c r="HF245" i="1" s="1"/>
  <c r="HD247" i="1"/>
  <c r="HF247" i="1" s="1"/>
  <c r="HD218" i="1"/>
  <c r="HD185" i="1"/>
  <c r="HF185" i="1" s="1"/>
  <c r="HD187" i="1"/>
  <c r="HF187" i="1" s="1"/>
  <c r="HD189" i="1"/>
  <c r="HF189" i="1" s="1"/>
  <c r="HD191" i="1"/>
  <c r="HF191" i="1" s="1"/>
  <c r="HD193" i="1"/>
  <c r="HF193" i="1" s="1"/>
  <c r="HD195" i="1"/>
  <c r="HF195" i="1" s="1"/>
  <c r="HD197" i="1"/>
  <c r="HF197" i="1" s="1"/>
  <c r="HD199" i="1"/>
  <c r="HF199" i="1" s="1"/>
  <c r="HD201" i="1"/>
  <c r="HF201" i="1" s="1"/>
  <c r="HD203" i="1"/>
  <c r="HF203" i="1" s="1"/>
  <c r="HD205" i="1"/>
  <c r="HF205" i="1" s="1"/>
  <c r="HD207" i="1"/>
  <c r="HF207" i="1" s="1"/>
  <c r="HD209" i="1"/>
  <c r="HF209" i="1" s="1"/>
  <c r="HD211" i="1"/>
  <c r="HF211" i="1" s="1"/>
  <c r="HD183" i="1"/>
  <c r="HD149" i="1"/>
  <c r="HF149" i="1" s="1"/>
  <c r="HD151" i="1"/>
  <c r="HF151" i="1" s="1"/>
  <c r="HD153" i="1"/>
  <c r="HF153" i="1" s="1"/>
  <c r="HD155" i="1"/>
  <c r="HF155" i="1" s="1"/>
  <c r="HD157" i="1"/>
  <c r="HF157" i="1" s="1"/>
  <c r="HD159" i="1"/>
  <c r="HF159" i="1" s="1"/>
  <c r="HD161" i="1"/>
  <c r="HF161" i="1" s="1"/>
  <c r="HD163" i="1"/>
  <c r="HF163" i="1" s="1"/>
  <c r="HD165" i="1"/>
  <c r="HF165" i="1" s="1"/>
  <c r="HD167" i="1"/>
  <c r="HF167" i="1" s="1"/>
  <c r="HD169" i="1"/>
  <c r="HF169" i="1" s="1"/>
  <c r="HD171" i="1"/>
  <c r="HF171" i="1" s="1"/>
  <c r="HD173" i="1"/>
  <c r="HF173" i="1" s="1"/>
  <c r="HD175" i="1"/>
  <c r="HF175" i="1" s="1"/>
  <c r="HD177" i="1"/>
  <c r="HF177" i="1" s="1"/>
  <c r="HD113" i="1"/>
  <c r="HF113" i="1" s="1"/>
  <c r="HD115" i="1"/>
  <c r="HF115" i="1" s="1"/>
  <c r="HD117" i="1"/>
  <c r="HF117" i="1" s="1"/>
  <c r="HD119" i="1"/>
  <c r="HF119" i="1" s="1"/>
  <c r="HD121" i="1"/>
  <c r="HF121" i="1" s="1"/>
  <c r="HD123" i="1"/>
  <c r="HF123" i="1" s="1"/>
  <c r="HD125" i="1"/>
  <c r="HF125" i="1" s="1"/>
  <c r="HD127" i="1"/>
  <c r="HF127" i="1" s="1"/>
  <c r="HD129" i="1"/>
  <c r="HF129" i="1" s="1"/>
  <c r="HD131" i="1"/>
  <c r="HF131" i="1" s="1"/>
  <c r="HD133" i="1"/>
  <c r="HF133" i="1" s="1"/>
  <c r="HD135" i="1"/>
  <c r="HF135" i="1" s="1"/>
  <c r="HD137" i="1"/>
  <c r="HF137" i="1" s="1"/>
  <c r="HD139" i="1"/>
  <c r="HF139" i="1" s="1"/>
  <c r="HD141" i="1"/>
  <c r="HF141" i="1" s="1"/>
  <c r="HD77" i="1"/>
  <c r="HF77" i="1" s="1"/>
  <c r="HD79" i="1"/>
  <c r="HF79" i="1" s="1"/>
  <c r="HD81" i="1"/>
  <c r="HF81" i="1" s="1"/>
  <c r="HD83" i="1"/>
  <c r="HF83" i="1" s="1"/>
  <c r="HD85" i="1"/>
  <c r="HF85" i="1" s="1"/>
  <c r="HD87" i="1"/>
  <c r="HF87" i="1" s="1"/>
  <c r="HD89" i="1"/>
  <c r="HF89" i="1" s="1"/>
  <c r="HD91" i="1"/>
  <c r="HF91" i="1" s="1"/>
  <c r="HD93" i="1"/>
  <c r="HF93" i="1" s="1"/>
  <c r="HD95" i="1"/>
  <c r="HF95" i="1" s="1"/>
  <c r="HD97" i="1"/>
  <c r="HF97" i="1" s="1"/>
  <c r="HD99" i="1"/>
  <c r="HF99" i="1" s="1"/>
  <c r="HD101" i="1"/>
  <c r="HF101" i="1" s="1"/>
  <c r="HD103" i="1"/>
  <c r="HF103" i="1" s="1"/>
  <c r="HD105" i="1"/>
  <c r="HF105" i="1" s="1"/>
  <c r="HD76" i="1"/>
  <c r="HD44" i="1"/>
  <c r="HF44" i="1" s="1"/>
  <c r="HD46" i="1"/>
  <c r="HF46" i="1" s="1"/>
  <c r="HD48" i="1"/>
  <c r="HF48" i="1" s="1"/>
  <c r="HD50" i="1"/>
  <c r="HF50" i="1" s="1"/>
  <c r="HD52" i="1"/>
  <c r="HF52" i="1" s="1"/>
  <c r="HD54" i="1"/>
  <c r="HF54" i="1" s="1"/>
  <c r="HD56" i="1"/>
  <c r="HF56" i="1" s="1"/>
  <c r="HD58" i="1"/>
  <c r="HF58" i="1" s="1"/>
  <c r="HD60" i="1"/>
  <c r="HF60" i="1" s="1"/>
  <c r="HD62" i="1"/>
  <c r="HF62" i="1" s="1"/>
  <c r="HD64" i="1"/>
  <c r="HF64" i="1" s="1"/>
  <c r="HD66" i="1"/>
  <c r="HF66" i="1" s="1"/>
  <c r="HD68" i="1"/>
  <c r="HF68" i="1" s="1"/>
  <c r="HD70" i="1"/>
  <c r="HF70" i="1" s="1"/>
  <c r="HD7" i="1"/>
  <c r="HF7" i="1" s="1"/>
  <c r="HD9" i="1"/>
  <c r="HF9" i="1" s="1"/>
  <c r="HD11" i="1"/>
  <c r="HF11" i="1" s="1"/>
  <c r="HD13" i="1"/>
  <c r="HF13" i="1" s="1"/>
  <c r="HD15" i="1"/>
  <c r="HF15" i="1" s="1"/>
  <c r="HD17" i="1"/>
  <c r="HF17" i="1" s="1"/>
  <c r="HD19" i="1"/>
  <c r="HF19" i="1" s="1"/>
  <c r="HD21" i="1"/>
  <c r="HF21" i="1" s="1"/>
  <c r="HD23" i="1"/>
  <c r="HF23" i="1" s="1"/>
  <c r="HD25" i="1"/>
  <c r="HF25" i="1" s="1"/>
  <c r="HD27" i="1"/>
  <c r="HF27" i="1" s="1"/>
  <c r="HD29" i="1"/>
  <c r="HF29" i="1" s="1"/>
  <c r="HD31" i="1"/>
  <c r="HF31" i="1" s="1"/>
  <c r="HD33" i="1"/>
  <c r="HF33" i="1" s="1"/>
  <c r="HD35" i="1"/>
  <c r="HF35" i="1" s="1"/>
  <c r="HD397" i="1"/>
  <c r="HF397" i="1" s="1"/>
  <c r="HD399" i="1"/>
  <c r="HF399" i="1" s="1"/>
  <c r="HD401" i="1"/>
  <c r="HF401" i="1" s="1"/>
  <c r="HD403" i="1"/>
  <c r="HF403" i="1" s="1"/>
  <c r="HD405" i="1"/>
  <c r="HF405" i="1" s="1"/>
  <c r="HD407" i="1"/>
  <c r="HF407" i="1" s="1"/>
  <c r="HD409" i="1"/>
  <c r="HF409" i="1" s="1"/>
  <c r="HD411" i="1"/>
  <c r="HF411" i="1" s="1"/>
  <c r="HD413" i="1"/>
  <c r="HF413" i="1" s="1"/>
  <c r="HD415" i="1"/>
  <c r="HF415" i="1" s="1"/>
  <c r="HD417" i="1"/>
  <c r="HF417" i="1" s="1"/>
  <c r="HD419" i="1"/>
  <c r="HF419" i="1" s="1"/>
  <c r="HD421" i="1"/>
  <c r="HF421" i="1" s="1"/>
  <c r="HD423" i="1"/>
  <c r="HF423" i="1" s="1"/>
  <c r="HD425" i="1"/>
  <c r="HF425" i="1" s="1"/>
  <c r="HD396" i="1"/>
  <c r="HD363" i="1"/>
  <c r="HF363" i="1" s="1"/>
  <c r="HD365" i="1"/>
  <c r="HF365" i="1" s="1"/>
  <c r="HD367" i="1"/>
  <c r="HF367" i="1" s="1"/>
  <c r="HD369" i="1"/>
  <c r="HF369" i="1" s="1"/>
  <c r="HD371" i="1"/>
  <c r="HF371" i="1" s="1"/>
  <c r="HD373" i="1"/>
  <c r="HF373" i="1" s="1"/>
  <c r="HD375" i="1"/>
  <c r="HF375" i="1" s="1"/>
  <c r="HD377" i="1"/>
  <c r="HF377" i="1" s="1"/>
  <c r="HD379" i="1"/>
  <c r="HF379" i="1" s="1"/>
  <c r="HD381" i="1"/>
  <c r="HF381" i="1" s="1"/>
  <c r="HD383" i="1"/>
  <c r="HF383" i="1" s="1"/>
  <c r="HD385" i="1"/>
  <c r="HF385" i="1" s="1"/>
  <c r="HD387" i="1"/>
  <c r="HF387" i="1" s="1"/>
  <c r="HD389" i="1"/>
  <c r="HF389" i="1" s="1"/>
  <c r="HD361" i="1"/>
  <c r="HD327" i="1"/>
  <c r="HF327" i="1" s="1"/>
  <c r="HD329" i="1"/>
  <c r="HF329" i="1" s="1"/>
  <c r="HD331" i="1"/>
  <c r="HF331" i="1" s="1"/>
  <c r="HD333" i="1"/>
  <c r="HF333" i="1" s="1"/>
  <c r="HD335" i="1"/>
  <c r="HF335" i="1" s="1"/>
  <c r="HD337" i="1"/>
  <c r="HF337" i="1" s="1"/>
  <c r="HD339" i="1"/>
  <c r="HF339" i="1" s="1"/>
  <c r="HD341" i="1"/>
  <c r="HF341" i="1" s="1"/>
  <c r="HD343" i="1"/>
  <c r="HF343" i="1" s="1"/>
  <c r="HD345" i="1"/>
  <c r="HF345" i="1" s="1"/>
  <c r="HD347" i="1"/>
  <c r="HF347" i="1" s="1"/>
  <c r="HD349" i="1"/>
  <c r="HF349" i="1" s="1"/>
  <c r="HD351" i="1"/>
  <c r="HF351" i="1" s="1"/>
  <c r="HD353" i="1"/>
  <c r="HF353" i="1" s="1"/>
  <c r="HD355" i="1"/>
  <c r="HF355" i="1" s="1"/>
  <c r="HD291" i="1"/>
  <c r="HF291" i="1" s="1"/>
  <c r="HD293" i="1"/>
  <c r="HF293" i="1" s="1"/>
  <c r="HD295" i="1"/>
  <c r="HF295" i="1" s="1"/>
  <c r="HD297" i="1"/>
  <c r="HF297" i="1" s="1"/>
  <c r="HD299" i="1"/>
  <c r="HF299" i="1" s="1"/>
  <c r="HD301" i="1"/>
  <c r="HF301" i="1" s="1"/>
  <c r="HD303" i="1"/>
  <c r="HF303" i="1" s="1"/>
  <c r="HD305" i="1"/>
  <c r="HF305" i="1" s="1"/>
  <c r="HD307" i="1"/>
  <c r="HF307" i="1" s="1"/>
  <c r="HD309" i="1"/>
  <c r="HF309" i="1" s="1"/>
  <c r="HD311" i="1"/>
  <c r="HF311" i="1" s="1"/>
  <c r="HD313" i="1"/>
  <c r="HF313" i="1" s="1"/>
  <c r="HD315" i="1"/>
  <c r="HF315" i="1" s="1"/>
  <c r="HD317" i="1"/>
  <c r="HF317" i="1" s="1"/>
  <c r="HD319" i="1"/>
  <c r="HF319" i="1" s="1"/>
  <c r="HD255" i="1"/>
  <c r="HF255" i="1" s="1"/>
  <c r="HD257" i="1"/>
  <c r="HF257" i="1" s="1"/>
  <c r="HD259" i="1"/>
  <c r="HF259" i="1" s="1"/>
  <c r="HD261" i="1"/>
  <c r="HF261" i="1" s="1"/>
  <c r="HD263" i="1"/>
  <c r="HF263" i="1" s="1"/>
  <c r="HD265" i="1"/>
  <c r="HF265" i="1" s="1"/>
  <c r="HD267" i="1"/>
  <c r="HF267" i="1" s="1"/>
  <c r="HD269" i="1"/>
  <c r="HF269" i="1" s="1"/>
  <c r="HD271" i="1"/>
  <c r="HF271" i="1" s="1"/>
  <c r="HD273" i="1"/>
  <c r="HF273" i="1" s="1"/>
  <c r="HD275" i="1"/>
  <c r="HF275" i="1" s="1"/>
  <c r="HD277" i="1"/>
  <c r="HF277" i="1" s="1"/>
  <c r="HD279" i="1"/>
  <c r="HF279" i="1" s="1"/>
  <c r="HD281" i="1"/>
  <c r="HF281" i="1" s="1"/>
  <c r="HD283" i="1"/>
  <c r="HF283" i="1" s="1"/>
  <c r="HD254" i="1"/>
  <c r="HD220" i="1"/>
  <c r="HF220" i="1" s="1"/>
  <c r="HD222" i="1"/>
  <c r="HF222" i="1" s="1"/>
  <c r="HD224" i="1"/>
  <c r="HF224" i="1" s="1"/>
  <c r="HD226" i="1"/>
  <c r="HF226" i="1" s="1"/>
  <c r="HD228" i="1"/>
  <c r="HF228" i="1" s="1"/>
  <c r="HD230" i="1"/>
  <c r="HF230" i="1" s="1"/>
  <c r="HD232" i="1"/>
  <c r="HF232" i="1" s="1"/>
  <c r="HD234" i="1"/>
  <c r="HF234" i="1" s="1"/>
  <c r="HD236" i="1"/>
  <c r="HF236" i="1" s="1"/>
  <c r="HD238" i="1"/>
  <c r="HF238" i="1" s="1"/>
  <c r="HD240" i="1"/>
  <c r="HF240" i="1" s="1"/>
  <c r="HD242" i="1"/>
  <c r="HF242" i="1" s="1"/>
  <c r="HD244" i="1"/>
  <c r="HF244" i="1" s="1"/>
  <c r="HD246" i="1"/>
  <c r="HF246" i="1" s="1"/>
  <c r="HD248" i="1"/>
  <c r="HF248" i="1" s="1"/>
  <c r="HD184" i="1"/>
  <c r="HF184" i="1" s="1"/>
  <c r="HD186" i="1"/>
  <c r="HF186" i="1" s="1"/>
  <c r="HD188" i="1"/>
  <c r="HF188" i="1" s="1"/>
  <c r="HD190" i="1"/>
  <c r="HF190" i="1" s="1"/>
  <c r="HD192" i="1"/>
  <c r="HF192" i="1" s="1"/>
  <c r="HD194" i="1"/>
  <c r="HF194" i="1" s="1"/>
  <c r="HD196" i="1"/>
  <c r="HF196" i="1" s="1"/>
  <c r="HD198" i="1"/>
  <c r="HF198" i="1" s="1"/>
  <c r="HD200" i="1"/>
  <c r="HF200" i="1" s="1"/>
  <c r="HD202" i="1"/>
  <c r="HF202" i="1" s="1"/>
  <c r="HD204" i="1"/>
  <c r="HF204" i="1" s="1"/>
  <c r="HD206" i="1"/>
  <c r="HF206" i="1" s="1"/>
  <c r="HD208" i="1"/>
  <c r="HF208" i="1" s="1"/>
  <c r="HD210" i="1"/>
  <c r="HF210" i="1" s="1"/>
  <c r="HD212" i="1"/>
  <c r="HF212" i="1" s="1"/>
  <c r="HD148" i="1"/>
  <c r="HF148" i="1" s="1"/>
  <c r="HD150" i="1"/>
  <c r="HF150" i="1" s="1"/>
  <c r="HD152" i="1"/>
  <c r="HF152" i="1" s="1"/>
  <c r="HD154" i="1"/>
  <c r="HF154" i="1" s="1"/>
  <c r="HD156" i="1"/>
  <c r="HF156" i="1" s="1"/>
  <c r="HD158" i="1"/>
  <c r="HF158" i="1" s="1"/>
  <c r="HD160" i="1"/>
  <c r="HF160" i="1" s="1"/>
  <c r="HD162" i="1"/>
  <c r="HF162" i="1" s="1"/>
  <c r="HD164" i="1"/>
  <c r="HF164" i="1" s="1"/>
  <c r="HD166" i="1"/>
  <c r="HF166" i="1" s="1"/>
  <c r="HD168" i="1"/>
  <c r="HF168" i="1" s="1"/>
  <c r="HD170" i="1"/>
  <c r="HF170" i="1" s="1"/>
  <c r="HD172" i="1"/>
  <c r="HF172" i="1" s="1"/>
  <c r="HD174" i="1"/>
  <c r="HF174" i="1" s="1"/>
  <c r="HD176" i="1"/>
  <c r="HF176" i="1" s="1"/>
  <c r="HD114" i="1"/>
  <c r="HF114" i="1" s="1"/>
  <c r="HD116" i="1"/>
  <c r="HF116" i="1" s="1"/>
  <c r="HD118" i="1"/>
  <c r="HF118" i="1" s="1"/>
  <c r="HD120" i="1"/>
  <c r="HF120" i="1" s="1"/>
  <c r="HD122" i="1"/>
  <c r="HF122" i="1" s="1"/>
  <c r="HD124" i="1"/>
  <c r="HF124" i="1" s="1"/>
  <c r="HD126" i="1"/>
  <c r="HF126" i="1" s="1"/>
  <c r="HD128" i="1"/>
  <c r="HF128" i="1" s="1"/>
  <c r="HD130" i="1"/>
  <c r="HF130" i="1" s="1"/>
  <c r="HD132" i="1"/>
  <c r="HF132" i="1" s="1"/>
  <c r="HD134" i="1"/>
  <c r="HF134" i="1" s="1"/>
  <c r="HD136" i="1"/>
  <c r="HF136" i="1" s="1"/>
  <c r="HD138" i="1"/>
  <c r="HF138" i="1" s="1"/>
  <c r="HD140" i="1"/>
  <c r="HF140" i="1" s="1"/>
  <c r="HD112" i="1"/>
  <c r="HD78" i="1"/>
  <c r="HF78" i="1" s="1"/>
  <c r="HD80" i="1"/>
  <c r="HF80" i="1" s="1"/>
  <c r="HD82" i="1"/>
  <c r="HF82" i="1" s="1"/>
  <c r="HD84" i="1"/>
  <c r="HF84" i="1" s="1"/>
  <c r="HD86" i="1"/>
  <c r="HF86" i="1" s="1"/>
  <c r="HD88" i="1"/>
  <c r="HF88" i="1" s="1"/>
  <c r="HD90" i="1"/>
  <c r="HF90" i="1" s="1"/>
  <c r="HD92" i="1"/>
  <c r="HF92" i="1" s="1"/>
  <c r="HD94" i="1"/>
  <c r="HF94" i="1" s="1"/>
  <c r="HD96" i="1"/>
  <c r="HF96" i="1" s="1"/>
  <c r="HD98" i="1"/>
  <c r="HF98" i="1" s="1"/>
  <c r="HD100" i="1"/>
  <c r="HF100" i="1" s="1"/>
  <c r="HD102" i="1"/>
  <c r="HF102" i="1" s="1"/>
  <c r="HD104" i="1"/>
  <c r="HF104" i="1" s="1"/>
  <c r="HD106" i="1"/>
  <c r="HF106" i="1" s="1"/>
  <c r="HD43" i="1"/>
  <c r="HF43" i="1" s="1"/>
  <c r="HD45" i="1"/>
  <c r="HF45" i="1" s="1"/>
  <c r="HD47" i="1"/>
  <c r="HF47" i="1" s="1"/>
  <c r="HD49" i="1"/>
  <c r="HF49" i="1" s="1"/>
  <c r="HD51" i="1"/>
  <c r="HF51" i="1" s="1"/>
  <c r="HD53" i="1"/>
  <c r="HF53" i="1" s="1"/>
  <c r="HD55" i="1"/>
  <c r="HF55" i="1" s="1"/>
  <c r="HD57" i="1"/>
  <c r="HF57" i="1" s="1"/>
  <c r="HD59" i="1"/>
  <c r="HF59" i="1" s="1"/>
  <c r="HD61" i="1"/>
  <c r="HF61" i="1" s="1"/>
  <c r="HD63" i="1"/>
  <c r="HF63" i="1" s="1"/>
  <c r="HD65" i="1"/>
  <c r="HF65" i="1" s="1"/>
  <c r="HD67" i="1"/>
  <c r="HF67" i="1" s="1"/>
  <c r="HD69" i="1"/>
  <c r="HF69" i="1" s="1"/>
  <c r="HD42" i="1"/>
  <c r="HD8" i="1"/>
  <c r="HF8" i="1" s="1"/>
  <c r="HD10" i="1"/>
  <c r="HF10" i="1" s="1"/>
  <c r="HD12" i="1"/>
  <c r="HF12" i="1" s="1"/>
  <c r="HD14" i="1"/>
  <c r="HF14" i="1" s="1"/>
  <c r="HD16" i="1"/>
  <c r="HF16" i="1" s="1"/>
  <c r="HD18" i="1"/>
  <c r="HF18" i="1" s="1"/>
  <c r="HD20" i="1"/>
  <c r="HF20" i="1" s="1"/>
  <c r="HD22" i="1"/>
  <c r="HF22" i="1" s="1"/>
  <c r="HD24" i="1"/>
  <c r="HF24" i="1" s="1"/>
  <c r="HD26" i="1"/>
  <c r="HF26" i="1" s="1"/>
  <c r="HD28" i="1"/>
  <c r="HF28" i="1" s="1"/>
  <c r="HD30" i="1"/>
  <c r="HF30" i="1" s="1"/>
  <c r="HD32" i="1"/>
  <c r="HF32" i="1" s="1"/>
  <c r="HD34" i="1"/>
  <c r="HF34" i="1" s="1"/>
  <c r="HD36" i="1"/>
  <c r="HF36" i="1" s="1"/>
  <c r="E8" i="1"/>
  <c r="G8" i="1" s="1"/>
  <c r="E10" i="1"/>
  <c r="G10" i="1" s="1"/>
  <c r="E12" i="1"/>
  <c r="G12" i="1" s="1"/>
  <c r="E14" i="1"/>
  <c r="G14" i="1" s="1"/>
  <c r="E16" i="1"/>
  <c r="G16" i="1" s="1"/>
  <c r="E18" i="1"/>
  <c r="G18" i="1" s="1"/>
  <c r="E20" i="1"/>
  <c r="G20" i="1" s="1"/>
  <c r="E22" i="1"/>
  <c r="G22" i="1" s="1"/>
  <c r="E24" i="1"/>
  <c r="G24" i="1" s="1"/>
  <c r="E26" i="1"/>
  <c r="G26" i="1" s="1"/>
  <c r="E28" i="1"/>
  <c r="G28" i="1" s="1"/>
  <c r="E30" i="1"/>
  <c r="G30" i="1" s="1"/>
  <c r="E32" i="1"/>
  <c r="G32" i="1" s="1"/>
  <c r="E34" i="1"/>
  <c r="G34" i="1" s="1"/>
  <c r="E36" i="1"/>
  <c r="G36" i="1" s="1"/>
  <c r="E7" i="1"/>
  <c r="G7" i="1" s="1"/>
  <c r="E9" i="1"/>
  <c r="G9" i="1" s="1"/>
  <c r="E11" i="1"/>
  <c r="G11" i="1" s="1"/>
  <c r="E13" i="1"/>
  <c r="G13" i="1" s="1"/>
  <c r="E15" i="1"/>
  <c r="G15" i="1" s="1"/>
  <c r="E17" i="1"/>
  <c r="G17" i="1" s="1"/>
  <c r="E19" i="1"/>
  <c r="G19" i="1" s="1"/>
  <c r="E21" i="1"/>
  <c r="G21" i="1" s="1"/>
  <c r="E23" i="1"/>
  <c r="G23" i="1" s="1"/>
  <c r="E25" i="1"/>
  <c r="G25" i="1" s="1"/>
  <c r="E27" i="1"/>
  <c r="G27" i="1" s="1"/>
  <c r="E29" i="1"/>
  <c r="G29" i="1" s="1"/>
  <c r="E31" i="1"/>
  <c r="G31" i="1" s="1"/>
  <c r="E33" i="1"/>
  <c r="G33" i="1" s="1"/>
  <c r="E35" i="1"/>
  <c r="G35" i="1" s="1"/>
  <c r="AC22" i="5" l="1"/>
  <c r="H33" i="19" s="1"/>
  <c r="O33" i="19" s="1"/>
  <c r="IS107" i="1"/>
  <c r="IR111" i="1"/>
  <c r="JS111" i="1"/>
  <c r="TK360" i="1"/>
  <c r="BH71" i="5"/>
  <c r="BF71" i="5"/>
  <c r="SS360" i="1"/>
  <c r="BD71" i="5"/>
  <c r="H60" i="14" s="1"/>
  <c r="SA360" i="1"/>
  <c r="TB360" i="1"/>
  <c r="BG71" i="5"/>
  <c r="BE71" i="5"/>
  <c r="H61" i="14" s="1"/>
  <c r="SJ360" i="1"/>
  <c r="BC71" i="5"/>
  <c r="H59" i="14" s="1"/>
  <c r="RR360" i="1"/>
  <c r="QZ360" i="1"/>
  <c r="BA71" i="5"/>
  <c r="H57" i="14" s="1"/>
  <c r="RI360" i="1"/>
  <c r="BB74" i="5" s="1"/>
  <c r="D59" i="15" s="1"/>
  <c r="AL60" i="5"/>
  <c r="D42" i="13" s="1"/>
  <c r="LU290" i="1"/>
  <c r="LU291" i="1" s="1"/>
  <c r="LU292" i="1" s="1"/>
  <c r="LU293" i="1" s="1"/>
  <c r="LU294" i="1" s="1"/>
  <c r="LU295" i="1" s="1"/>
  <c r="LU296" i="1" s="1"/>
  <c r="LU297" i="1" s="1"/>
  <c r="LU298" i="1" s="1"/>
  <c r="LU299" i="1" s="1"/>
  <c r="LU300" i="1" s="1"/>
  <c r="LU301" i="1" s="1"/>
  <c r="LU302" i="1" s="1"/>
  <c r="LU303" i="1" s="1"/>
  <c r="LU304" i="1" s="1"/>
  <c r="LU305" i="1" s="1"/>
  <c r="LU306" i="1" s="1"/>
  <c r="LU307" i="1" s="1"/>
  <c r="LU308" i="1" s="1"/>
  <c r="LU309" i="1" s="1"/>
  <c r="LU310" i="1" s="1"/>
  <c r="LU311" i="1" s="1"/>
  <c r="LU312" i="1" s="1"/>
  <c r="LU313" i="1" s="1"/>
  <c r="LU314" i="1" s="1"/>
  <c r="LU315" i="1" s="1"/>
  <c r="LU316" i="1" s="1"/>
  <c r="LU317" i="1" s="1"/>
  <c r="LU318" i="1" s="1"/>
  <c r="LU319" i="1" s="1"/>
  <c r="LU320" i="1" s="1"/>
  <c r="AP60" i="5"/>
  <c r="D46" i="13" s="1"/>
  <c r="NE290" i="1"/>
  <c r="NE291" i="1" s="1"/>
  <c r="NE292" i="1" s="1"/>
  <c r="NE293" i="1" s="1"/>
  <c r="NE294" i="1" s="1"/>
  <c r="NE295" i="1" s="1"/>
  <c r="NE296" i="1" s="1"/>
  <c r="NE297" i="1" s="1"/>
  <c r="NE298" i="1" s="1"/>
  <c r="NE299" i="1" s="1"/>
  <c r="NE300" i="1" s="1"/>
  <c r="NE301" i="1" s="1"/>
  <c r="NE302" i="1" s="1"/>
  <c r="NE303" i="1" s="1"/>
  <c r="NE304" i="1" s="1"/>
  <c r="NE305" i="1" s="1"/>
  <c r="NE306" i="1" s="1"/>
  <c r="NE307" i="1" s="1"/>
  <c r="NE308" i="1" s="1"/>
  <c r="NE309" i="1" s="1"/>
  <c r="NE310" i="1" s="1"/>
  <c r="NE311" i="1" s="1"/>
  <c r="NE312" i="1" s="1"/>
  <c r="NE313" i="1" s="1"/>
  <c r="NE314" i="1" s="1"/>
  <c r="NE315" i="1" s="1"/>
  <c r="NE316" i="1" s="1"/>
  <c r="NE317" i="1" s="1"/>
  <c r="NE318" i="1" s="1"/>
  <c r="NE319" i="1" s="1"/>
  <c r="NE320" i="1" s="1"/>
  <c r="MV290" i="1"/>
  <c r="MV291" i="1" s="1"/>
  <c r="MV292" i="1" s="1"/>
  <c r="MV293" i="1" s="1"/>
  <c r="MV294" i="1" s="1"/>
  <c r="MV295" i="1" s="1"/>
  <c r="MV296" i="1" s="1"/>
  <c r="MV297" i="1" s="1"/>
  <c r="MV298" i="1" s="1"/>
  <c r="MV299" i="1" s="1"/>
  <c r="MV300" i="1" s="1"/>
  <c r="MV301" i="1" s="1"/>
  <c r="MV302" i="1" s="1"/>
  <c r="MV303" i="1" s="1"/>
  <c r="MV304" i="1" s="1"/>
  <c r="MV305" i="1" s="1"/>
  <c r="MV306" i="1" s="1"/>
  <c r="MV307" i="1" s="1"/>
  <c r="MV308" i="1" s="1"/>
  <c r="MV309" i="1" s="1"/>
  <c r="MV310" i="1" s="1"/>
  <c r="MV311" i="1" s="1"/>
  <c r="MV312" i="1" s="1"/>
  <c r="MV313" i="1" s="1"/>
  <c r="MV314" i="1" s="1"/>
  <c r="MV315" i="1" s="1"/>
  <c r="MV316" i="1" s="1"/>
  <c r="MV317" i="1" s="1"/>
  <c r="MV318" i="1" s="1"/>
  <c r="MV319" i="1" s="1"/>
  <c r="MV320" i="1" s="1"/>
  <c r="AO60" i="5"/>
  <c r="D45" i="13" s="1"/>
  <c r="LC147" i="1"/>
  <c r="LC148" i="1" s="1"/>
  <c r="LC149" i="1" s="1"/>
  <c r="LC150" i="1" s="1"/>
  <c r="LC151" i="1" s="1"/>
  <c r="LC152" i="1" s="1"/>
  <c r="LC153" i="1" s="1"/>
  <c r="LC154" i="1" s="1"/>
  <c r="LC155" i="1" s="1"/>
  <c r="LC156" i="1" s="1"/>
  <c r="LC157" i="1" s="1"/>
  <c r="LC158" i="1" s="1"/>
  <c r="LC159" i="1" s="1"/>
  <c r="LC160" i="1" s="1"/>
  <c r="LC161" i="1" s="1"/>
  <c r="LC162" i="1" s="1"/>
  <c r="LC163" i="1" s="1"/>
  <c r="LC164" i="1" s="1"/>
  <c r="LC165" i="1" s="1"/>
  <c r="LC166" i="1" s="1"/>
  <c r="LC167" i="1" s="1"/>
  <c r="LC168" i="1" s="1"/>
  <c r="LC169" i="1" s="1"/>
  <c r="LC170" i="1" s="1"/>
  <c r="LC171" i="1" s="1"/>
  <c r="LC172" i="1" s="1"/>
  <c r="LC173" i="1" s="1"/>
  <c r="LC174" i="1" s="1"/>
  <c r="LC175" i="1" s="1"/>
  <c r="LC176" i="1" s="1"/>
  <c r="LC177" i="1" s="1"/>
  <c r="LC178" i="1" s="1"/>
  <c r="LD178" i="1" s="1"/>
  <c r="AJ32" i="5"/>
  <c r="D40" i="21" s="1"/>
  <c r="AD25" i="5"/>
  <c r="D34" i="20" s="1"/>
  <c r="JA112" i="1"/>
  <c r="JA113" i="1" s="1"/>
  <c r="JA114" i="1" s="1"/>
  <c r="JA115" i="1" s="1"/>
  <c r="JA116" i="1" s="1"/>
  <c r="JA117" i="1" s="1"/>
  <c r="JA118" i="1" s="1"/>
  <c r="JA119" i="1" s="1"/>
  <c r="JA120" i="1" s="1"/>
  <c r="JA121" i="1" s="1"/>
  <c r="JA122" i="1" s="1"/>
  <c r="JA123" i="1" s="1"/>
  <c r="JA124" i="1" s="1"/>
  <c r="JA125" i="1" s="1"/>
  <c r="JA126" i="1" s="1"/>
  <c r="JA127" i="1" s="1"/>
  <c r="JA128" i="1" s="1"/>
  <c r="JA129" i="1" s="1"/>
  <c r="JA130" i="1" s="1"/>
  <c r="JA131" i="1" s="1"/>
  <c r="JA132" i="1" s="1"/>
  <c r="JA133" i="1" s="1"/>
  <c r="JA134" i="1" s="1"/>
  <c r="JA135" i="1" s="1"/>
  <c r="JA136" i="1" s="1"/>
  <c r="JA137" i="1" s="1"/>
  <c r="JA138" i="1" s="1"/>
  <c r="JA139" i="1" s="1"/>
  <c r="JA140" i="1" s="1"/>
  <c r="JA141" i="1" s="1"/>
  <c r="JA142" i="1" s="1"/>
  <c r="JB142" i="1" s="1"/>
  <c r="M25" i="5"/>
  <c r="D15" i="20" s="1"/>
  <c r="DC112" i="1"/>
  <c r="DC113" i="1" s="1"/>
  <c r="DC114" i="1" s="1"/>
  <c r="DC115" i="1" s="1"/>
  <c r="DC116" i="1" s="1"/>
  <c r="DC117" i="1" s="1"/>
  <c r="DC118" i="1" s="1"/>
  <c r="DC119" i="1" s="1"/>
  <c r="DC120" i="1" s="1"/>
  <c r="DC121" i="1" s="1"/>
  <c r="DC122" i="1" s="1"/>
  <c r="DC123" i="1" s="1"/>
  <c r="DC124" i="1" s="1"/>
  <c r="DC125" i="1" s="1"/>
  <c r="DC126" i="1" s="1"/>
  <c r="DC127" i="1" s="1"/>
  <c r="DC128" i="1" s="1"/>
  <c r="DC129" i="1" s="1"/>
  <c r="DC130" i="1" s="1"/>
  <c r="DC131" i="1" s="1"/>
  <c r="DC132" i="1" s="1"/>
  <c r="DC133" i="1" s="1"/>
  <c r="DC134" i="1" s="1"/>
  <c r="DC135" i="1" s="1"/>
  <c r="DC136" i="1" s="1"/>
  <c r="DC137" i="1" s="1"/>
  <c r="DC138" i="1" s="1"/>
  <c r="DC139" i="1" s="1"/>
  <c r="DC140" i="1" s="1"/>
  <c r="DC141" i="1" s="1"/>
  <c r="DC142" i="1" s="1"/>
  <c r="AN60" i="5"/>
  <c r="D44" i="13" s="1"/>
  <c r="MM290" i="1"/>
  <c r="MM291" i="1" s="1"/>
  <c r="MM292" i="1" s="1"/>
  <c r="MM293" i="1" s="1"/>
  <c r="MM294" i="1" s="1"/>
  <c r="MM295" i="1" s="1"/>
  <c r="MM296" i="1" s="1"/>
  <c r="MM297" i="1" s="1"/>
  <c r="MM298" i="1" s="1"/>
  <c r="MM299" i="1" s="1"/>
  <c r="MM300" i="1" s="1"/>
  <c r="MM301" i="1" s="1"/>
  <c r="MM302" i="1" s="1"/>
  <c r="MM303" i="1" s="1"/>
  <c r="MM304" i="1" s="1"/>
  <c r="MM305" i="1" s="1"/>
  <c r="MM306" i="1" s="1"/>
  <c r="MM307" i="1" s="1"/>
  <c r="MM308" i="1" s="1"/>
  <c r="MM309" i="1" s="1"/>
  <c r="MM310" i="1" s="1"/>
  <c r="MM311" i="1" s="1"/>
  <c r="MM312" i="1" s="1"/>
  <c r="MM313" i="1" s="1"/>
  <c r="MM314" i="1" s="1"/>
  <c r="MM315" i="1" s="1"/>
  <c r="MM316" i="1" s="1"/>
  <c r="MM317" i="1" s="1"/>
  <c r="MM318" i="1" s="1"/>
  <c r="MM319" i="1" s="1"/>
  <c r="MM320" i="1" s="1"/>
  <c r="FN76" i="1"/>
  <c r="FN77" i="1" s="1"/>
  <c r="FN78" i="1" s="1"/>
  <c r="FN79" i="1" s="1"/>
  <c r="FN80" i="1" s="1"/>
  <c r="FN81" i="1" s="1"/>
  <c r="FN82" i="1" s="1"/>
  <c r="FN83" i="1" s="1"/>
  <c r="FN84" i="1" s="1"/>
  <c r="FN85" i="1" s="1"/>
  <c r="FN86" i="1" s="1"/>
  <c r="FN87" i="1" s="1"/>
  <c r="FN88" i="1" s="1"/>
  <c r="FN89" i="1" s="1"/>
  <c r="FN90" i="1" s="1"/>
  <c r="FN91" i="1" s="1"/>
  <c r="FN92" i="1" s="1"/>
  <c r="FN93" i="1" s="1"/>
  <c r="FN94" i="1" s="1"/>
  <c r="FN95" i="1" s="1"/>
  <c r="FN96" i="1" s="1"/>
  <c r="FN97" i="1" s="1"/>
  <c r="FN98" i="1" s="1"/>
  <c r="FN99" i="1" s="1"/>
  <c r="FN100" i="1" s="1"/>
  <c r="FN101" i="1" s="1"/>
  <c r="FN102" i="1" s="1"/>
  <c r="FN103" i="1" s="1"/>
  <c r="FN104" i="1" s="1"/>
  <c r="FN105" i="1" s="1"/>
  <c r="FN106" i="1" s="1"/>
  <c r="FN107" i="1" s="1"/>
  <c r="T18" i="5"/>
  <c r="D22" i="19" s="1"/>
  <c r="MD290" i="1"/>
  <c r="MD291" i="1" s="1"/>
  <c r="MD292" i="1" s="1"/>
  <c r="MD293" i="1" s="1"/>
  <c r="MD294" i="1" s="1"/>
  <c r="MD295" i="1" s="1"/>
  <c r="MD296" i="1" s="1"/>
  <c r="MD297" i="1" s="1"/>
  <c r="MD298" i="1" s="1"/>
  <c r="MD299" i="1" s="1"/>
  <c r="MD300" i="1" s="1"/>
  <c r="MD301" i="1" s="1"/>
  <c r="MD302" i="1" s="1"/>
  <c r="MD303" i="1" s="1"/>
  <c r="MD304" i="1" s="1"/>
  <c r="MD305" i="1" s="1"/>
  <c r="MD306" i="1" s="1"/>
  <c r="MD307" i="1" s="1"/>
  <c r="MD308" i="1" s="1"/>
  <c r="MD309" i="1" s="1"/>
  <c r="MD310" i="1" s="1"/>
  <c r="MD311" i="1" s="1"/>
  <c r="MD312" i="1" s="1"/>
  <c r="MD313" i="1" s="1"/>
  <c r="MD314" i="1" s="1"/>
  <c r="MD315" i="1" s="1"/>
  <c r="MD316" i="1" s="1"/>
  <c r="MD317" i="1" s="1"/>
  <c r="MD318" i="1" s="1"/>
  <c r="MD319" i="1" s="1"/>
  <c r="MD320" i="1" s="1"/>
  <c r="AM60" i="5"/>
  <c r="D43" i="13" s="1"/>
  <c r="KB112" i="1"/>
  <c r="KB113" i="1" s="1"/>
  <c r="KB114" i="1" s="1"/>
  <c r="KB115" i="1" s="1"/>
  <c r="KB116" i="1" s="1"/>
  <c r="KB117" i="1" s="1"/>
  <c r="KB118" i="1" s="1"/>
  <c r="KB119" i="1" s="1"/>
  <c r="KB120" i="1" s="1"/>
  <c r="KB121" i="1" s="1"/>
  <c r="KB122" i="1" s="1"/>
  <c r="KB123" i="1" s="1"/>
  <c r="KB124" i="1" s="1"/>
  <c r="KB125" i="1" s="1"/>
  <c r="KB126" i="1" s="1"/>
  <c r="KB127" i="1" s="1"/>
  <c r="KB128" i="1" s="1"/>
  <c r="KB129" i="1" s="1"/>
  <c r="KB130" i="1" s="1"/>
  <c r="KB131" i="1" s="1"/>
  <c r="KB132" i="1" s="1"/>
  <c r="KB133" i="1" s="1"/>
  <c r="KB134" i="1" s="1"/>
  <c r="KB135" i="1" s="1"/>
  <c r="KB136" i="1" s="1"/>
  <c r="KB137" i="1" s="1"/>
  <c r="KB138" i="1" s="1"/>
  <c r="KB139" i="1" s="1"/>
  <c r="KB140" i="1" s="1"/>
  <c r="KB141" i="1" s="1"/>
  <c r="KB142" i="1" s="1"/>
  <c r="KC142" i="1" s="1"/>
  <c r="AG25" i="5"/>
  <c r="D37" i="20" s="1"/>
  <c r="NN217" i="1"/>
  <c r="AQ43" i="5"/>
  <c r="H47" i="8" s="1"/>
  <c r="AB25" i="5"/>
  <c r="D32" i="20" s="1"/>
  <c r="II112" i="1"/>
  <c r="II113" i="1" s="1"/>
  <c r="II114" i="1" s="1"/>
  <c r="II115" i="1" s="1"/>
  <c r="II116" i="1" s="1"/>
  <c r="II117" i="1" s="1"/>
  <c r="II118" i="1" s="1"/>
  <c r="II119" i="1" s="1"/>
  <c r="II120" i="1" s="1"/>
  <c r="II121" i="1" s="1"/>
  <c r="II122" i="1" s="1"/>
  <c r="II123" i="1" s="1"/>
  <c r="II124" i="1" s="1"/>
  <c r="II125" i="1" s="1"/>
  <c r="II126" i="1" s="1"/>
  <c r="II127" i="1" s="1"/>
  <c r="II128" i="1" s="1"/>
  <c r="II129" i="1" s="1"/>
  <c r="II130" i="1" s="1"/>
  <c r="II131" i="1" s="1"/>
  <c r="II132" i="1" s="1"/>
  <c r="II133" i="1" s="1"/>
  <c r="II134" i="1" s="1"/>
  <c r="II135" i="1" s="1"/>
  <c r="II136" i="1" s="1"/>
  <c r="II137" i="1" s="1"/>
  <c r="II138" i="1" s="1"/>
  <c r="II139" i="1" s="1"/>
  <c r="II140" i="1" s="1"/>
  <c r="II141" i="1" s="1"/>
  <c r="II142" i="1" s="1"/>
  <c r="IJ142" i="1" s="1"/>
  <c r="H4" i="17"/>
  <c r="H90" i="17" s="1"/>
  <c r="H92" i="17" s="1"/>
  <c r="LL112" i="1"/>
  <c r="LL113" i="1" s="1"/>
  <c r="LL114" i="1" s="1"/>
  <c r="LL115" i="1" s="1"/>
  <c r="LL116" i="1" s="1"/>
  <c r="LL117" i="1" s="1"/>
  <c r="LL118" i="1" s="1"/>
  <c r="LL119" i="1" s="1"/>
  <c r="LL120" i="1" s="1"/>
  <c r="LL121" i="1" s="1"/>
  <c r="LL122" i="1" s="1"/>
  <c r="LL123" i="1" s="1"/>
  <c r="LL124" i="1" s="1"/>
  <c r="LL125" i="1" s="1"/>
  <c r="LL126" i="1" s="1"/>
  <c r="LL127" i="1" s="1"/>
  <c r="LL128" i="1" s="1"/>
  <c r="LL129" i="1" s="1"/>
  <c r="LL130" i="1" s="1"/>
  <c r="LL131" i="1" s="1"/>
  <c r="LL132" i="1" s="1"/>
  <c r="LL133" i="1" s="1"/>
  <c r="LL134" i="1" s="1"/>
  <c r="LL135" i="1" s="1"/>
  <c r="LL136" i="1" s="1"/>
  <c r="LL137" i="1" s="1"/>
  <c r="LL138" i="1" s="1"/>
  <c r="LL139" i="1" s="1"/>
  <c r="LL140" i="1" s="1"/>
  <c r="LL141" i="1" s="1"/>
  <c r="LL142" i="1" s="1"/>
  <c r="LM142" i="1" s="1"/>
  <c r="AK25" i="5"/>
  <c r="D41" i="20" s="1"/>
  <c r="H42" i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B11" i="5"/>
  <c r="D4" i="18" s="1"/>
  <c r="D90" i="18" s="1"/>
  <c r="D92" i="18" s="1"/>
  <c r="AW43" i="5"/>
  <c r="H53" i="8" s="1"/>
  <c r="O53" i="8" s="1"/>
  <c r="PP217" i="1"/>
  <c r="AS43" i="5"/>
  <c r="H49" i="8" s="1"/>
  <c r="O49" i="8" s="1"/>
  <c r="AV43" i="5"/>
  <c r="H52" i="8" s="1"/>
  <c r="O52" i="8" s="1"/>
  <c r="PG217" i="1"/>
  <c r="AX43" i="5"/>
  <c r="H54" i="8" s="1"/>
  <c r="O54" i="8" s="1"/>
  <c r="PY217" i="1"/>
  <c r="AY43" i="5"/>
  <c r="H55" i="8" s="1"/>
  <c r="O55" i="8" s="1"/>
  <c r="QH217" i="1"/>
  <c r="AT43" i="5"/>
  <c r="H50" i="8" s="1"/>
  <c r="O50" i="8" s="1"/>
  <c r="AU43" i="5"/>
  <c r="H51" i="8" s="1"/>
  <c r="O51" i="8" s="1"/>
  <c r="AZ43" i="5"/>
  <c r="H56" i="8" s="1"/>
  <c r="O56" i="8" s="1"/>
  <c r="QQ217" i="1"/>
  <c r="W29" i="5"/>
  <c r="H27" i="20" s="1"/>
  <c r="O27" i="20" s="1"/>
  <c r="GO146" i="1"/>
  <c r="GP146" i="1" s="1"/>
  <c r="V29" i="5"/>
  <c r="H26" i="20" s="1"/>
  <c r="O26" i="20" s="1"/>
  <c r="GF146" i="1"/>
  <c r="GG146" i="1" s="1"/>
  <c r="Q29" i="5"/>
  <c r="H19" i="20" s="1"/>
  <c r="O19" i="20" s="1"/>
  <c r="EM146" i="1"/>
  <c r="ED112" i="1"/>
  <c r="ED113" i="1" s="1"/>
  <c r="ED114" i="1" s="1"/>
  <c r="ED115" i="1" s="1"/>
  <c r="ED116" i="1" s="1"/>
  <c r="ED117" i="1" s="1"/>
  <c r="ED118" i="1" s="1"/>
  <c r="ED119" i="1" s="1"/>
  <c r="ED120" i="1" s="1"/>
  <c r="ED121" i="1" s="1"/>
  <c r="ED122" i="1" s="1"/>
  <c r="ED123" i="1" s="1"/>
  <c r="ED124" i="1" s="1"/>
  <c r="ED125" i="1" s="1"/>
  <c r="ED126" i="1" s="1"/>
  <c r="ED127" i="1" s="1"/>
  <c r="ED128" i="1" s="1"/>
  <c r="ED129" i="1" s="1"/>
  <c r="ED130" i="1" s="1"/>
  <c r="ED131" i="1" s="1"/>
  <c r="ED132" i="1" s="1"/>
  <c r="ED133" i="1" s="1"/>
  <c r="ED134" i="1" s="1"/>
  <c r="ED135" i="1" s="1"/>
  <c r="ED136" i="1" s="1"/>
  <c r="ED137" i="1" s="1"/>
  <c r="ED138" i="1" s="1"/>
  <c r="ED139" i="1" s="1"/>
  <c r="ED140" i="1" s="1"/>
  <c r="ED141" i="1" s="1"/>
  <c r="ED142" i="1" s="1"/>
  <c r="P25" i="5"/>
  <c r="D18" i="20" s="1"/>
  <c r="EV112" i="1"/>
  <c r="EV113" i="1" s="1"/>
  <c r="EV114" i="1" s="1"/>
  <c r="EV115" i="1" s="1"/>
  <c r="EV116" i="1" s="1"/>
  <c r="EV117" i="1" s="1"/>
  <c r="EV118" i="1" s="1"/>
  <c r="EV119" i="1" s="1"/>
  <c r="EV120" i="1" s="1"/>
  <c r="EV121" i="1" s="1"/>
  <c r="EV122" i="1" s="1"/>
  <c r="EV123" i="1" s="1"/>
  <c r="EV124" i="1" s="1"/>
  <c r="EV125" i="1" s="1"/>
  <c r="EV126" i="1" s="1"/>
  <c r="EV127" i="1" s="1"/>
  <c r="EV128" i="1" s="1"/>
  <c r="EV129" i="1" s="1"/>
  <c r="EV130" i="1" s="1"/>
  <c r="EV131" i="1" s="1"/>
  <c r="EV132" i="1" s="1"/>
  <c r="EV133" i="1" s="1"/>
  <c r="EV134" i="1" s="1"/>
  <c r="EV135" i="1" s="1"/>
  <c r="EV136" i="1" s="1"/>
  <c r="EV137" i="1" s="1"/>
  <c r="EV138" i="1" s="1"/>
  <c r="EV139" i="1" s="1"/>
  <c r="EV140" i="1" s="1"/>
  <c r="EV141" i="1" s="1"/>
  <c r="EV142" i="1" s="1"/>
  <c r="R25" i="5"/>
  <c r="D20" i="20" s="1"/>
  <c r="JS112" i="1"/>
  <c r="JS113" i="1" s="1"/>
  <c r="JS114" i="1" s="1"/>
  <c r="JS115" i="1" s="1"/>
  <c r="JS116" i="1" s="1"/>
  <c r="JS117" i="1" s="1"/>
  <c r="JS118" i="1" s="1"/>
  <c r="JS119" i="1" s="1"/>
  <c r="JS120" i="1" s="1"/>
  <c r="JS121" i="1" s="1"/>
  <c r="JS122" i="1" s="1"/>
  <c r="JS123" i="1" s="1"/>
  <c r="JS124" i="1" s="1"/>
  <c r="JS125" i="1" s="1"/>
  <c r="JS126" i="1" s="1"/>
  <c r="JS127" i="1" s="1"/>
  <c r="JS128" i="1" s="1"/>
  <c r="JS129" i="1" s="1"/>
  <c r="JS130" i="1" s="1"/>
  <c r="JS131" i="1" s="1"/>
  <c r="JS132" i="1" s="1"/>
  <c r="JS133" i="1" s="1"/>
  <c r="JS134" i="1" s="1"/>
  <c r="JS135" i="1" s="1"/>
  <c r="JS136" i="1" s="1"/>
  <c r="JS137" i="1" s="1"/>
  <c r="JS138" i="1" s="1"/>
  <c r="JS139" i="1" s="1"/>
  <c r="JS140" i="1" s="1"/>
  <c r="JS141" i="1" s="1"/>
  <c r="JS142" i="1" s="1"/>
  <c r="JT142" i="1" s="1"/>
  <c r="HP112" i="1"/>
  <c r="HP113" i="1" s="1"/>
  <c r="HP114" i="1" s="1"/>
  <c r="HP115" i="1" s="1"/>
  <c r="HP116" i="1" s="1"/>
  <c r="HP117" i="1" s="1"/>
  <c r="HP118" i="1" s="1"/>
  <c r="HP119" i="1" s="1"/>
  <c r="HP120" i="1" s="1"/>
  <c r="HP121" i="1" s="1"/>
  <c r="HP122" i="1" s="1"/>
  <c r="HP123" i="1" s="1"/>
  <c r="HP124" i="1" s="1"/>
  <c r="HP125" i="1" s="1"/>
  <c r="HP126" i="1" s="1"/>
  <c r="HP127" i="1" s="1"/>
  <c r="HP128" i="1" s="1"/>
  <c r="HP129" i="1" s="1"/>
  <c r="HP130" i="1" s="1"/>
  <c r="HP131" i="1" s="1"/>
  <c r="HP132" i="1" s="1"/>
  <c r="HP133" i="1" s="1"/>
  <c r="HP134" i="1" s="1"/>
  <c r="HP135" i="1" s="1"/>
  <c r="HP136" i="1" s="1"/>
  <c r="HP137" i="1" s="1"/>
  <c r="HP138" i="1" s="1"/>
  <c r="HP139" i="1" s="1"/>
  <c r="HP140" i="1" s="1"/>
  <c r="HP141" i="1" s="1"/>
  <c r="HP142" i="1" s="1"/>
  <c r="Z25" i="5"/>
  <c r="D30" i="20" s="1"/>
  <c r="HZ112" i="1"/>
  <c r="HZ113" i="1" s="1"/>
  <c r="HZ114" i="1" s="1"/>
  <c r="HZ115" i="1" s="1"/>
  <c r="HZ116" i="1" s="1"/>
  <c r="HZ117" i="1" s="1"/>
  <c r="HZ118" i="1" s="1"/>
  <c r="HZ119" i="1" s="1"/>
  <c r="HZ120" i="1" s="1"/>
  <c r="HZ121" i="1" s="1"/>
  <c r="HZ122" i="1" s="1"/>
  <c r="HZ123" i="1" s="1"/>
  <c r="HZ124" i="1" s="1"/>
  <c r="HZ125" i="1" s="1"/>
  <c r="HZ126" i="1" s="1"/>
  <c r="HZ127" i="1" s="1"/>
  <c r="HZ128" i="1" s="1"/>
  <c r="HZ129" i="1" s="1"/>
  <c r="HZ130" i="1" s="1"/>
  <c r="HZ131" i="1" s="1"/>
  <c r="HZ132" i="1" s="1"/>
  <c r="HZ133" i="1" s="1"/>
  <c r="HZ134" i="1" s="1"/>
  <c r="HZ135" i="1" s="1"/>
  <c r="HZ136" i="1" s="1"/>
  <c r="HZ137" i="1" s="1"/>
  <c r="HZ138" i="1" s="1"/>
  <c r="HZ139" i="1" s="1"/>
  <c r="HZ140" i="1" s="1"/>
  <c r="HZ141" i="1" s="1"/>
  <c r="HZ142" i="1" s="1"/>
  <c r="IA142" i="1" s="1"/>
  <c r="AA25" i="5"/>
  <c r="D31" i="20" s="1"/>
  <c r="S25" i="5"/>
  <c r="D21" i="20" s="1"/>
  <c r="FE112" i="1"/>
  <c r="FE113" i="1" s="1"/>
  <c r="FE114" i="1" s="1"/>
  <c r="FE115" i="1" s="1"/>
  <c r="FE116" i="1" s="1"/>
  <c r="FE117" i="1" s="1"/>
  <c r="FE118" i="1" s="1"/>
  <c r="FE119" i="1" s="1"/>
  <c r="FE120" i="1" s="1"/>
  <c r="FE121" i="1" s="1"/>
  <c r="FE122" i="1" s="1"/>
  <c r="FE123" i="1" s="1"/>
  <c r="FE124" i="1" s="1"/>
  <c r="FE125" i="1" s="1"/>
  <c r="FE126" i="1" s="1"/>
  <c r="FE127" i="1" s="1"/>
  <c r="FE128" i="1" s="1"/>
  <c r="FE129" i="1" s="1"/>
  <c r="FE130" i="1" s="1"/>
  <c r="FE131" i="1" s="1"/>
  <c r="FE132" i="1" s="1"/>
  <c r="FE133" i="1" s="1"/>
  <c r="FE134" i="1" s="1"/>
  <c r="FE135" i="1" s="1"/>
  <c r="FE136" i="1" s="1"/>
  <c r="FE137" i="1" s="1"/>
  <c r="FE138" i="1" s="1"/>
  <c r="FE139" i="1" s="1"/>
  <c r="FE140" i="1" s="1"/>
  <c r="FE141" i="1" s="1"/>
  <c r="FE142" i="1" s="1"/>
  <c r="AE25" i="5"/>
  <c r="D35" i="20" s="1"/>
  <c r="JJ112" i="1"/>
  <c r="JJ113" i="1" s="1"/>
  <c r="JJ114" i="1" s="1"/>
  <c r="JJ115" i="1" s="1"/>
  <c r="JJ116" i="1" s="1"/>
  <c r="JJ117" i="1" s="1"/>
  <c r="JJ118" i="1" s="1"/>
  <c r="JJ119" i="1" s="1"/>
  <c r="JJ120" i="1" s="1"/>
  <c r="JJ121" i="1" s="1"/>
  <c r="JJ122" i="1" s="1"/>
  <c r="JJ123" i="1" s="1"/>
  <c r="JJ124" i="1" s="1"/>
  <c r="JJ125" i="1" s="1"/>
  <c r="JJ126" i="1" s="1"/>
  <c r="JJ127" i="1" s="1"/>
  <c r="JJ128" i="1" s="1"/>
  <c r="JJ129" i="1" s="1"/>
  <c r="JJ130" i="1" s="1"/>
  <c r="JJ131" i="1" s="1"/>
  <c r="JJ132" i="1" s="1"/>
  <c r="JJ133" i="1" s="1"/>
  <c r="JJ134" i="1" s="1"/>
  <c r="JJ135" i="1" s="1"/>
  <c r="JJ136" i="1" s="1"/>
  <c r="JJ137" i="1" s="1"/>
  <c r="JJ138" i="1" s="1"/>
  <c r="JJ139" i="1" s="1"/>
  <c r="JJ140" i="1" s="1"/>
  <c r="JJ141" i="1" s="1"/>
  <c r="JJ142" i="1" s="1"/>
  <c r="JK142" i="1" s="1"/>
  <c r="KK112" i="1"/>
  <c r="KK113" i="1" s="1"/>
  <c r="KK114" i="1" s="1"/>
  <c r="KK115" i="1" s="1"/>
  <c r="KK116" i="1" s="1"/>
  <c r="KK117" i="1" s="1"/>
  <c r="KK118" i="1" s="1"/>
  <c r="KK119" i="1" s="1"/>
  <c r="KK120" i="1" s="1"/>
  <c r="KK121" i="1" s="1"/>
  <c r="KK122" i="1" s="1"/>
  <c r="KK123" i="1" s="1"/>
  <c r="KK124" i="1" s="1"/>
  <c r="KK125" i="1" s="1"/>
  <c r="KK126" i="1" s="1"/>
  <c r="KK127" i="1" s="1"/>
  <c r="KK128" i="1" s="1"/>
  <c r="KK129" i="1" s="1"/>
  <c r="KK130" i="1" s="1"/>
  <c r="KK131" i="1" s="1"/>
  <c r="KK132" i="1" s="1"/>
  <c r="KK133" i="1" s="1"/>
  <c r="KK134" i="1" s="1"/>
  <c r="KK135" i="1" s="1"/>
  <c r="KK136" i="1" s="1"/>
  <c r="KK137" i="1" s="1"/>
  <c r="KK138" i="1" s="1"/>
  <c r="KK139" i="1" s="1"/>
  <c r="KK140" i="1" s="1"/>
  <c r="KK141" i="1" s="1"/>
  <c r="KK142" i="1" s="1"/>
  <c r="KL142" i="1" s="1"/>
  <c r="AH25" i="5"/>
  <c r="D38" i="20" s="1"/>
  <c r="AI25" i="5"/>
  <c r="D39" i="20" s="1"/>
  <c r="KT112" i="1"/>
  <c r="KT113" i="1" s="1"/>
  <c r="KT114" i="1" s="1"/>
  <c r="KT115" i="1" s="1"/>
  <c r="KT116" i="1" s="1"/>
  <c r="KT117" i="1" s="1"/>
  <c r="KT118" i="1" s="1"/>
  <c r="KT119" i="1" s="1"/>
  <c r="KT120" i="1" s="1"/>
  <c r="KT121" i="1" s="1"/>
  <c r="KT122" i="1" s="1"/>
  <c r="KT123" i="1" s="1"/>
  <c r="KT124" i="1" s="1"/>
  <c r="KT125" i="1" s="1"/>
  <c r="KT126" i="1" s="1"/>
  <c r="KT127" i="1" s="1"/>
  <c r="KT128" i="1" s="1"/>
  <c r="KT129" i="1" s="1"/>
  <c r="KT130" i="1" s="1"/>
  <c r="KT131" i="1" s="1"/>
  <c r="KT132" i="1" s="1"/>
  <c r="KT133" i="1" s="1"/>
  <c r="KT134" i="1" s="1"/>
  <c r="KT135" i="1" s="1"/>
  <c r="KT136" i="1" s="1"/>
  <c r="KT137" i="1" s="1"/>
  <c r="KT138" i="1" s="1"/>
  <c r="KT139" i="1" s="1"/>
  <c r="KT140" i="1" s="1"/>
  <c r="KT141" i="1" s="1"/>
  <c r="KT142" i="1" s="1"/>
  <c r="KU142" i="1" s="1"/>
  <c r="HG112" i="1"/>
  <c r="HG113" i="1" s="1"/>
  <c r="HG114" i="1" s="1"/>
  <c r="HG115" i="1" s="1"/>
  <c r="HG116" i="1" s="1"/>
  <c r="HG117" i="1" s="1"/>
  <c r="HG118" i="1" s="1"/>
  <c r="HG119" i="1" s="1"/>
  <c r="HG120" i="1" s="1"/>
  <c r="HG121" i="1" s="1"/>
  <c r="HG122" i="1" s="1"/>
  <c r="HG123" i="1" s="1"/>
  <c r="HG124" i="1" s="1"/>
  <c r="HG125" i="1" s="1"/>
  <c r="HG126" i="1" s="1"/>
  <c r="HG127" i="1" s="1"/>
  <c r="HG128" i="1" s="1"/>
  <c r="HG129" i="1" s="1"/>
  <c r="HG130" i="1" s="1"/>
  <c r="HG131" i="1" s="1"/>
  <c r="HG132" i="1" s="1"/>
  <c r="HG133" i="1" s="1"/>
  <c r="HG134" i="1" s="1"/>
  <c r="HG135" i="1" s="1"/>
  <c r="HG136" i="1" s="1"/>
  <c r="HG137" i="1" s="1"/>
  <c r="HG138" i="1" s="1"/>
  <c r="HG139" i="1" s="1"/>
  <c r="HG140" i="1" s="1"/>
  <c r="HG141" i="1" s="1"/>
  <c r="HG142" i="1" s="1"/>
  <c r="Y25" i="5"/>
  <c r="D29" i="20" s="1"/>
  <c r="X25" i="5"/>
  <c r="D28" i="20" s="1"/>
  <c r="GX112" i="1"/>
  <c r="GX113" i="1" s="1"/>
  <c r="GX114" i="1" s="1"/>
  <c r="GX115" i="1" s="1"/>
  <c r="GX116" i="1" s="1"/>
  <c r="GX117" i="1" s="1"/>
  <c r="GX118" i="1" s="1"/>
  <c r="GX119" i="1" s="1"/>
  <c r="GX120" i="1" s="1"/>
  <c r="GX121" i="1" s="1"/>
  <c r="GX122" i="1" s="1"/>
  <c r="GX123" i="1" s="1"/>
  <c r="GX124" i="1" s="1"/>
  <c r="GX125" i="1" s="1"/>
  <c r="GX126" i="1" s="1"/>
  <c r="GX127" i="1" s="1"/>
  <c r="GX128" i="1" s="1"/>
  <c r="GX129" i="1" s="1"/>
  <c r="GX130" i="1" s="1"/>
  <c r="GX131" i="1" s="1"/>
  <c r="GX132" i="1" s="1"/>
  <c r="GX133" i="1" s="1"/>
  <c r="GX134" i="1" s="1"/>
  <c r="GX135" i="1" s="1"/>
  <c r="GX136" i="1" s="1"/>
  <c r="GX137" i="1" s="1"/>
  <c r="GX138" i="1" s="1"/>
  <c r="GX139" i="1" s="1"/>
  <c r="GX140" i="1" s="1"/>
  <c r="GX141" i="1" s="1"/>
  <c r="GX142" i="1" s="1"/>
  <c r="O25" i="5"/>
  <c r="D17" i="20" s="1"/>
  <c r="DU112" i="1"/>
  <c r="DU113" i="1" s="1"/>
  <c r="DU114" i="1" s="1"/>
  <c r="DU115" i="1" s="1"/>
  <c r="DU116" i="1" s="1"/>
  <c r="DU117" i="1" s="1"/>
  <c r="DU118" i="1" s="1"/>
  <c r="DU119" i="1" s="1"/>
  <c r="DU120" i="1" s="1"/>
  <c r="DU121" i="1" s="1"/>
  <c r="DU122" i="1" s="1"/>
  <c r="DU123" i="1" s="1"/>
  <c r="DU124" i="1" s="1"/>
  <c r="DU125" i="1" s="1"/>
  <c r="DU126" i="1" s="1"/>
  <c r="DU127" i="1" s="1"/>
  <c r="DU128" i="1" s="1"/>
  <c r="DU129" i="1" s="1"/>
  <c r="DU130" i="1" s="1"/>
  <c r="DU131" i="1" s="1"/>
  <c r="DU132" i="1" s="1"/>
  <c r="DU133" i="1" s="1"/>
  <c r="DU134" i="1" s="1"/>
  <c r="DU135" i="1" s="1"/>
  <c r="DU136" i="1" s="1"/>
  <c r="DU137" i="1" s="1"/>
  <c r="DU138" i="1" s="1"/>
  <c r="DU139" i="1" s="1"/>
  <c r="DU140" i="1" s="1"/>
  <c r="DU141" i="1" s="1"/>
  <c r="DU142" i="1" s="1"/>
  <c r="L25" i="5"/>
  <c r="D14" i="20" s="1"/>
  <c r="CT112" i="1"/>
  <c r="CT113" i="1" s="1"/>
  <c r="CT114" i="1" s="1"/>
  <c r="CT115" i="1" s="1"/>
  <c r="CT116" i="1" s="1"/>
  <c r="CT117" i="1" s="1"/>
  <c r="CT118" i="1" s="1"/>
  <c r="CT119" i="1" s="1"/>
  <c r="CT120" i="1" s="1"/>
  <c r="CT121" i="1" s="1"/>
  <c r="CT122" i="1" s="1"/>
  <c r="CT123" i="1" s="1"/>
  <c r="CT124" i="1" s="1"/>
  <c r="CT125" i="1" s="1"/>
  <c r="CT126" i="1" s="1"/>
  <c r="CT127" i="1" s="1"/>
  <c r="CT128" i="1" s="1"/>
  <c r="CT129" i="1" s="1"/>
  <c r="CT130" i="1" s="1"/>
  <c r="CT131" i="1" s="1"/>
  <c r="CT132" i="1" s="1"/>
  <c r="CT133" i="1" s="1"/>
  <c r="CT134" i="1" s="1"/>
  <c r="CT135" i="1" s="1"/>
  <c r="CT136" i="1" s="1"/>
  <c r="CT137" i="1" s="1"/>
  <c r="CT138" i="1" s="1"/>
  <c r="CT139" i="1" s="1"/>
  <c r="CT140" i="1" s="1"/>
  <c r="CT141" i="1" s="1"/>
  <c r="CT142" i="1" s="1"/>
  <c r="CT146" i="1" s="1"/>
  <c r="U25" i="5"/>
  <c r="D25" i="20" s="1"/>
  <c r="FW112" i="1"/>
  <c r="FW113" i="1" s="1"/>
  <c r="FW114" i="1" s="1"/>
  <c r="FW115" i="1" s="1"/>
  <c r="FW116" i="1" s="1"/>
  <c r="FW117" i="1" s="1"/>
  <c r="FW118" i="1" s="1"/>
  <c r="FW119" i="1" s="1"/>
  <c r="FW120" i="1" s="1"/>
  <c r="FW121" i="1" s="1"/>
  <c r="FW122" i="1" s="1"/>
  <c r="FW123" i="1" s="1"/>
  <c r="FW124" i="1" s="1"/>
  <c r="FW125" i="1" s="1"/>
  <c r="FW126" i="1" s="1"/>
  <c r="FW127" i="1" s="1"/>
  <c r="FW128" i="1" s="1"/>
  <c r="FW129" i="1" s="1"/>
  <c r="FW130" i="1" s="1"/>
  <c r="FW131" i="1" s="1"/>
  <c r="FW132" i="1" s="1"/>
  <c r="FW133" i="1" s="1"/>
  <c r="FW134" i="1" s="1"/>
  <c r="FW135" i="1" s="1"/>
  <c r="FW136" i="1" s="1"/>
  <c r="FW137" i="1" s="1"/>
  <c r="FW138" i="1" s="1"/>
  <c r="FW139" i="1" s="1"/>
  <c r="FW140" i="1" s="1"/>
  <c r="FW141" i="1" s="1"/>
  <c r="FW142" i="1" s="1"/>
  <c r="FX142" i="1" s="1"/>
  <c r="N25" i="5"/>
  <c r="D16" i="20" s="1"/>
  <c r="DL112" i="1"/>
  <c r="DL113" i="1" s="1"/>
  <c r="DL114" i="1" s="1"/>
  <c r="DL115" i="1" s="1"/>
  <c r="DL116" i="1" s="1"/>
  <c r="DL117" i="1" s="1"/>
  <c r="DL118" i="1" s="1"/>
  <c r="DL119" i="1" s="1"/>
  <c r="DL120" i="1" s="1"/>
  <c r="DL121" i="1" s="1"/>
  <c r="DL122" i="1" s="1"/>
  <c r="DL123" i="1" s="1"/>
  <c r="DL124" i="1" s="1"/>
  <c r="DL125" i="1" s="1"/>
  <c r="DL126" i="1" s="1"/>
  <c r="DL127" i="1" s="1"/>
  <c r="DL128" i="1" s="1"/>
  <c r="DL129" i="1" s="1"/>
  <c r="DL130" i="1" s="1"/>
  <c r="DL131" i="1" s="1"/>
  <c r="DL132" i="1" s="1"/>
  <c r="DL133" i="1" s="1"/>
  <c r="DL134" i="1" s="1"/>
  <c r="DL135" i="1" s="1"/>
  <c r="DL136" i="1" s="1"/>
  <c r="DL137" i="1" s="1"/>
  <c r="DL138" i="1" s="1"/>
  <c r="DL139" i="1" s="1"/>
  <c r="DL140" i="1" s="1"/>
  <c r="DL141" i="1" s="1"/>
  <c r="DL142" i="1" s="1"/>
  <c r="DL146" i="1" s="1"/>
  <c r="BP71" i="1"/>
  <c r="N71" i="1"/>
  <c r="HF254" i="1"/>
  <c r="HF285" i="1" s="1"/>
  <c r="Y56" i="5" s="1"/>
  <c r="G29" i="12" s="1"/>
  <c r="HD285" i="1"/>
  <c r="Y55" i="5" s="1"/>
  <c r="F29" i="12" s="1"/>
  <c r="HF361" i="1"/>
  <c r="HF391" i="1" s="1"/>
  <c r="Y77" i="5" s="1"/>
  <c r="G29" i="15" s="1"/>
  <c r="HD391" i="1"/>
  <c r="Y76" i="5" s="1"/>
  <c r="F29" i="15" s="1"/>
  <c r="HF218" i="1"/>
  <c r="HF249" i="1" s="1"/>
  <c r="Y49" i="5" s="1"/>
  <c r="G29" i="11" s="1"/>
  <c r="HD249" i="1"/>
  <c r="Y48" i="5" s="1"/>
  <c r="F29" i="11" s="1"/>
  <c r="HF325" i="1"/>
  <c r="HF356" i="1" s="1"/>
  <c r="Y70" i="5" s="1"/>
  <c r="G29" i="14" s="1"/>
  <c r="HD356" i="1"/>
  <c r="Y69" i="5" s="1"/>
  <c r="F29" i="14" s="1"/>
  <c r="FV76" i="1"/>
  <c r="FV107" i="1" s="1"/>
  <c r="U21" i="5" s="1"/>
  <c r="G25" i="19" s="1"/>
  <c r="FT107" i="1"/>
  <c r="U20" i="5" s="1"/>
  <c r="F25" i="19" s="1"/>
  <c r="FV183" i="1"/>
  <c r="FV213" i="1" s="1"/>
  <c r="U42" i="5" s="1"/>
  <c r="G25" i="8" s="1"/>
  <c r="FT213" i="1"/>
  <c r="U41" i="5" s="1"/>
  <c r="F25" i="8" s="1"/>
  <c r="FV290" i="1"/>
  <c r="FV320" i="1" s="1"/>
  <c r="U63" i="5" s="1"/>
  <c r="FT320" i="1"/>
  <c r="U62" i="5" s="1"/>
  <c r="FV42" i="1"/>
  <c r="FV71" i="1" s="1"/>
  <c r="U14" i="5" s="1"/>
  <c r="G25" i="18" s="1"/>
  <c r="FT71" i="1"/>
  <c r="FV112" i="1"/>
  <c r="FV142" i="1" s="1"/>
  <c r="U28" i="5" s="1"/>
  <c r="G25" i="20" s="1"/>
  <c r="FT142" i="1"/>
  <c r="U27" i="5" s="1"/>
  <c r="F25" i="20" s="1"/>
  <c r="FV396" i="1"/>
  <c r="FV427" i="1" s="1"/>
  <c r="U84" i="5" s="1"/>
  <c r="G25" i="16" s="1"/>
  <c r="FT427" i="1"/>
  <c r="U83" i="5" s="1"/>
  <c r="F25" i="16" s="1"/>
  <c r="EL254" i="1"/>
  <c r="EL285" i="1" s="1"/>
  <c r="Q56" i="5" s="1"/>
  <c r="G19" i="12" s="1"/>
  <c r="EJ285" i="1"/>
  <c r="Q55" i="5" s="1"/>
  <c r="F19" i="12" s="1"/>
  <c r="EL361" i="1"/>
  <c r="EL391" i="1" s="1"/>
  <c r="Q77" i="5" s="1"/>
  <c r="G19" i="15" s="1"/>
  <c r="EJ391" i="1"/>
  <c r="Q76" i="5" s="1"/>
  <c r="F19" i="15" s="1"/>
  <c r="EL218" i="1"/>
  <c r="EL249" i="1" s="1"/>
  <c r="Q49" i="5" s="1"/>
  <c r="G19" i="11" s="1"/>
  <c r="EJ249" i="1"/>
  <c r="Q48" i="5" s="1"/>
  <c r="F19" i="11" s="1"/>
  <c r="EL325" i="1"/>
  <c r="EL356" i="1" s="1"/>
  <c r="Q70" i="5" s="1"/>
  <c r="G19" i="14" s="1"/>
  <c r="EJ356" i="1"/>
  <c r="Q69" i="5" s="1"/>
  <c r="F19" i="14" s="1"/>
  <c r="DB254" i="1"/>
  <c r="DB361" i="1"/>
  <c r="DB391" i="1" s="1"/>
  <c r="M77" i="5" s="1"/>
  <c r="G15" i="15" s="1"/>
  <c r="CZ391" i="1"/>
  <c r="M76" i="5" s="1"/>
  <c r="F15" i="15" s="1"/>
  <c r="DB218" i="1"/>
  <c r="DB249" i="1" s="1"/>
  <c r="M49" i="5" s="1"/>
  <c r="G15" i="11" s="1"/>
  <c r="CZ249" i="1"/>
  <c r="M48" i="5" s="1"/>
  <c r="F15" i="11" s="1"/>
  <c r="DB325" i="1"/>
  <c r="DB356" i="1" s="1"/>
  <c r="M70" i="5" s="1"/>
  <c r="G15" i="14" s="1"/>
  <c r="CZ356" i="1"/>
  <c r="M69" i="5" s="1"/>
  <c r="F15" i="14" s="1"/>
  <c r="HO254" i="1"/>
  <c r="HO285" i="1" s="1"/>
  <c r="G30" i="12" s="1"/>
  <c r="HM285" i="1"/>
  <c r="F30" i="12" s="1"/>
  <c r="HO361" i="1"/>
  <c r="HO391" i="1" s="1"/>
  <c r="Z77" i="5" s="1"/>
  <c r="G30" i="15" s="1"/>
  <c r="HM391" i="1"/>
  <c r="Z76" i="5" s="1"/>
  <c r="F30" i="15" s="1"/>
  <c r="HO218" i="1"/>
  <c r="HO249" i="1" s="1"/>
  <c r="Z49" i="5" s="1"/>
  <c r="G30" i="11" s="1"/>
  <c r="HM249" i="1"/>
  <c r="Z48" i="5" s="1"/>
  <c r="F30" i="11" s="1"/>
  <c r="HO325" i="1"/>
  <c r="HO356" i="1" s="1"/>
  <c r="Z70" i="5" s="1"/>
  <c r="G30" i="14" s="1"/>
  <c r="HM356" i="1"/>
  <c r="Z69" i="5" s="1"/>
  <c r="F30" i="14" s="1"/>
  <c r="GE76" i="1"/>
  <c r="GE107" i="1" s="1"/>
  <c r="V21" i="5" s="1"/>
  <c r="G26" i="19" s="1"/>
  <c r="GC107" i="1"/>
  <c r="V20" i="5" s="1"/>
  <c r="F26" i="19" s="1"/>
  <c r="GE42" i="1"/>
  <c r="GE71" i="1" s="1"/>
  <c r="V14" i="5" s="1"/>
  <c r="G26" i="18" s="1"/>
  <c r="GC71" i="1"/>
  <c r="GE112" i="1"/>
  <c r="GE142" i="1" s="1"/>
  <c r="V28" i="5" s="1"/>
  <c r="G26" i="20" s="1"/>
  <c r="GC142" i="1"/>
  <c r="V27" i="5" s="1"/>
  <c r="F26" i="20" s="1"/>
  <c r="GE183" i="1"/>
  <c r="GE213" i="1" s="1"/>
  <c r="V42" i="5" s="1"/>
  <c r="G26" i="8" s="1"/>
  <c r="GC213" i="1"/>
  <c r="V41" i="5" s="1"/>
  <c r="F26" i="8" s="1"/>
  <c r="GE254" i="1"/>
  <c r="GE285" i="1" s="1"/>
  <c r="V56" i="5" s="1"/>
  <c r="G26" i="12" s="1"/>
  <c r="GC285" i="1"/>
  <c r="V55" i="5" s="1"/>
  <c r="F26" i="12" s="1"/>
  <c r="GE361" i="1"/>
  <c r="GE391" i="1" s="1"/>
  <c r="V77" i="5" s="1"/>
  <c r="G26" i="15" s="1"/>
  <c r="GC391" i="1"/>
  <c r="V76" i="5" s="1"/>
  <c r="F26" i="15" s="1"/>
  <c r="GE325" i="1"/>
  <c r="GE356" i="1" s="1"/>
  <c r="V70" i="5" s="1"/>
  <c r="G26" i="14" s="1"/>
  <c r="GC356" i="1"/>
  <c r="V69" i="5" s="1"/>
  <c r="F26" i="14" s="1"/>
  <c r="EU254" i="1"/>
  <c r="EU285" i="1" s="1"/>
  <c r="R56" i="5" s="1"/>
  <c r="G20" i="12" s="1"/>
  <c r="ES285" i="1"/>
  <c r="R55" i="5" s="1"/>
  <c r="F20" i="12" s="1"/>
  <c r="EU361" i="1"/>
  <c r="EU391" i="1" s="1"/>
  <c r="R77" i="5" s="1"/>
  <c r="G20" i="15" s="1"/>
  <c r="ES391" i="1"/>
  <c r="R76" i="5" s="1"/>
  <c r="F20" i="15" s="1"/>
  <c r="ES249" i="1"/>
  <c r="R48" i="5" s="1"/>
  <c r="F20" i="11" s="1"/>
  <c r="EU218" i="1"/>
  <c r="EU249" i="1" s="1"/>
  <c r="R49" i="5" s="1"/>
  <c r="G20" i="11" s="1"/>
  <c r="EU325" i="1"/>
  <c r="EU356" i="1" s="1"/>
  <c r="R70" i="5" s="1"/>
  <c r="G20" i="14" s="1"/>
  <c r="ES356" i="1"/>
  <c r="R69" i="5" s="1"/>
  <c r="F20" i="14" s="1"/>
  <c r="DK254" i="1"/>
  <c r="DK285" i="1" s="1"/>
  <c r="N56" i="5" s="1"/>
  <c r="G16" i="12" s="1"/>
  <c r="DI285" i="1"/>
  <c r="N55" i="5" s="1"/>
  <c r="F16" i="12" s="1"/>
  <c r="DK361" i="1"/>
  <c r="DK391" i="1" s="1"/>
  <c r="N77" i="5" s="1"/>
  <c r="G16" i="15" s="1"/>
  <c r="DI391" i="1"/>
  <c r="N76" i="5" s="1"/>
  <c r="F16" i="15" s="1"/>
  <c r="DK218" i="1"/>
  <c r="DK249" i="1" s="1"/>
  <c r="N49" i="5" s="1"/>
  <c r="G16" i="11" s="1"/>
  <c r="DI249" i="1"/>
  <c r="N48" i="5" s="1"/>
  <c r="F16" i="11" s="1"/>
  <c r="DK325" i="1"/>
  <c r="DK356" i="1" s="1"/>
  <c r="N70" i="5" s="1"/>
  <c r="G16" i="14" s="1"/>
  <c r="DI356" i="1"/>
  <c r="N69" i="5" s="1"/>
  <c r="F16" i="14" s="1"/>
  <c r="GN42" i="1"/>
  <c r="GN71" i="1" s="1"/>
  <c r="W14" i="5" s="1"/>
  <c r="G27" i="18" s="1"/>
  <c r="GL71" i="1"/>
  <c r="GN112" i="1"/>
  <c r="GN142" i="1" s="1"/>
  <c r="W28" i="5" s="1"/>
  <c r="G27" i="20" s="1"/>
  <c r="GL142" i="1"/>
  <c r="W27" i="5" s="1"/>
  <c r="F27" i="20" s="1"/>
  <c r="GN396" i="1"/>
  <c r="GN427" i="1" s="1"/>
  <c r="W84" i="5" s="1"/>
  <c r="G27" i="16" s="1"/>
  <c r="GL427" i="1"/>
  <c r="W83" i="5" s="1"/>
  <c r="F27" i="16" s="1"/>
  <c r="GN76" i="1"/>
  <c r="GN107" i="1" s="1"/>
  <c r="W21" i="5" s="1"/>
  <c r="G27" i="19" s="1"/>
  <c r="GL107" i="1"/>
  <c r="W20" i="5" s="1"/>
  <c r="F27" i="19" s="1"/>
  <c r="GN183" i="1"/>
  <c r="GN213" i="1" s="1"/>
  <c r="W42" i="5" s="1"/>
  <c r="G27" i="8" s="1"/>
  <c r="GL213" i="1"/>
  <c r="W41" i="5" s="1"/>
  <c r="F27" i="8" s="1"/>
  <c r="GN290" i="1"/>
  <c r="GN320" i="1" s="1"/>
  <c r="W63" i="5" s="1"/>
  <c r="GL320" i="1"/>
  <c r="W62" i="5" s="1"/>
  <c r="FD42" i="1"/>
  <c r="FD71" i="1" s="1"/>
  <c r="S14" i="5" s="1"/>
  <c r="G21" i="18" s="1"/>
  <c r="FB71" i="1"/>
  <c r="FD112" i="1"/>
  <c r="FD142" i="1" s="1"/>
  <c r="S28" i="5" s="1"/>
  <c r="G21" i="20" s="1"/>
  <c r="FB142" i="1"/>
  <c r="S27" i="5" s="1"/>
  <c r="F21" i="20" s="1"/>
  <c r="FD396" i="1"/>
  <c r="FD427" i="1" s="1"/>
  <c r="S84" i="5" s="1"/>
  <c r="G21" i="16" s="1"/>
  <c r="FB427" i="1"/>
  <c r="S83" i="5" s="1"/>
  <c r="F21" i="16" s="1"/>
  <c r="FD76" i="1"/>
  <c r="FD107" i="1" s="1"/>
  <c r="S21" i="5" s="1"/>
  <c r="G21" i="19" s="1"/>
  <c r="FB107" i="1"/>
  <c r="S20" i="5" s="1"/>
  <c r="F21" i="19" s="1"/>
  <c r="FD183" i="1"/>
  <c r="FD213" i="1" s="1"/>
  <c r="S42" i="5" s="1"/>
  <c r="G21" i="8" s="1"/>
  <c r="FB213" i="1"/>
  <c r="S41" i="5" s="1"/>
  <c r="F21" i="8" s="1"/>
  <c r="FD290" i="1"/>
  <c r="FD320" i="1" s="1"/>
  <c r="S63" i="5" s="1"/>
  <c r="FB320" i="1"/>
  <c r="S62" i="5" s="1"/>
  <c r="DT42" i="1"/>
  <c r="DT71" i="1" s="1"/>
  <c r="O14" i="5" s="1"/>
  <c r="G17" i="18" s="1"/>
  <c r="DR71" i="1"/>
  <c r="O13" i="5" s="1"/>
  <c r="DT112" i="1"/>
  <c r="DT142" i="1" s="1"/>
  <c r="O28" i="5" s="1"/>
  <c r="G17" i="20" s="1"/>
  <c r="DR142" i="1"/>
  <c r="O27" i="5" s="1"/>
  <c r="F17" i="20" s="1"/>
  <c r="DT396" i="1"/>
  <c r="DT427" i="1" s="1"/>
  <c r="O84" i="5" s="1"/>
  <c r="G17" i="16" s="1"/>
  <c r="DR427" i="1"/>
  <c r="O83" i="5" s="1"/>
  <c r="F17" i="16" s="1"/>
  <c r="DT76" i="1"/>
  <c r="DT107" i="1" s="1"/>
  <c r="O21" i="5" s="1"/>
  <c r="G17" i="19" s="1"/>
  <c r="DR107" i="1"/>
  <c r="O20" i="5" s="1"/>
  <c r="F17" i="19" s="1"/>
  <c r="DT183" i="1"/>
  <c r="DT213" i="1" s="1"/>
  <c r="O42" i="5" s="1"/>
  <c r="G17" i="8" s="1"/>
  <c r="DR213" i="1"/>
  <c r="O41" i="5" s="1"/>
  <c r="F17" i="8" s="1"/>
  <c r="DT290" i="1"/>
  <c r="DT320" i="1" s="1"/>
  <c r="O63" i="5" s="1"/>
  <c r="DR320" i="1"/>
  <c r="O62" i="5" s="1"/>
  <c r="GW42" i="1"/>
  <c r="GW71" i="1" s="1"/>
  <c r="X14" i="5" s="1"/>
  <c r="G28" i="18" s="1"/>
  <c r="GU71" i="1"/>
  <c r="GW112" i="1"/>
  <c r="GW142" i="1" s="1"/>
  <c r="X28" i="5" s="1"/>
  <c r="G28" i="20" s="1"/>
  <c r="GU142" i="1"/>
  <c r="X27" i="5" s="1"/>
  <c r="F28" i="20" s="1"/>
  <c r="GW396" i="1"/>
  <c r="GW427" i="1" s="1"/>
  <c r="X84" i="5" s="1"/>
  <c r="G28" i="16" s="1"/>
  <c r="GU427" i="1"/>
  <c r="X83" i="5" s="1"/>
  <c r="F28" i="16" s="1"/>
  <c r="GW183" i="1"/>
  <c r="GW213" i="1" s="1"/>
  <c r="X42" i="5" s="1"/>
  <c r="G28" i="8" s="1"/>
  <c r="GU213" i="1"/>
  <c r="X41" i="5" s="1"/>
  <c r="F28" i="8" s="1"/>
  <c r="GW290" i="1"/>
  <c r="GW320" i="1" s="1"/>
  <c r="X63" i="5" s="1"/>
  <c r="GU320" i="1"/>
  <c r="X62" i="5" s="1"/>
  <c r="FM218" i="1"/>
  <c r="FM249" i="1" s="1"/>
  <c r="T49" i="5" s="1"/>
  <c r="G22" i="11" s="1"/>
  <c r="FK249" i="1"/>
  <c r="T48" i="5" s="1"/>
  <c r="F22" i="11" s="1"/>
  <c r="FM325" i="1"/>
  <c r="FM356" i="1" s="1"/>
  <c r="T70" i="5" s="1"/>
  <c r="G22" i="14" s="1"/>
  <c r="FK356" i="1"/>
  <c r="T69" i="5" s="1"/>
  <c r="F22" i="14" s="1"/>
  <c r="FM42" i="1"/>
  <c r="FM71" i="1" s="1"/>
  <c r="T14" i="5" s="1"/>
  <c r="G22" i="18" s="1"/>
  <c r="FK71" i="1"/>
  <c r="FM112" i="1"/>
  <c r="FM142" i="1" s="1"/>
  <c r="T28" i="5" s="1"/>
  <c r="G22" i="20" s="1"/>
  <c r="FK142" i="1"/>
  <c r="T27" i="5" s="1"/>
  <c r="F22" i="20" s="1"/>
  <c r="FM396" i="1"/>
  <c r="FM427" i="1" s="1"/>
  <c r="T84" i="5" s="1"/>
  <c r="G22" i="16" s="1"/>
  <c r="FK427" i="1"/>
  <c r="T83" i="5" s="1"/>
  <c r="F22" i="16" s="1"/>
  <c r="EA71" i="1"/>
  <c r="EC42" i="1"/>
  <c r="EC71" i="1" s="1"/>
  <c r="P14" i="5" s="1"/>
  <c r="G18" i="18" s="1"/>
  <c r="EC112" i="1"/>
  <c r="EC142" i="1" s="1"/>
  <c r="G18" i="20" s="1"/>
  <c r="EA142" i="1"/>
  <c r="F18" i="20" s="1"/>
  <c r="EC396" i="1"/>
  <c r="EC427" i="1" s="1"/>
  <c r="G18" i="16" s="1"/>
  <c r="EA427" i="1"/>
  <c r="F18" i="16" s="1"/>
  <c r="EC76" i="1"/>
  <c r="EC107" i="1" s="1"/>
  <c r="G18" i="19" s="1"/>
  <c r="EA107" i="1"/>
  <c r="F18" i="19" s="1"/>
  <c r="EC183" i="1"/>
  <c r="EC213" i="1" s="1"/>
  <c r="G18" i="8" s="1"/>
  <c r="EA213" i="1"/>
  <c r="F18" i="8" s="1"/>
  <c r="EC290" i="1"/>
  <c r="EC320" i="1" s="1"/>
  <c r="G18" i="13" s="1"/>
  <c r="EA320" i="1"/>
  <c r="F18" i="13" s="1"/>
  <c r="CS76" i="1"/>
  <c r="CS107" i="1" s="1"/>
  <c r="L21" i="5" s="1"/>
  <c r="G14" i="19" s="1"/>
  <c r="CQ107" i="1"/>
  <c r="L20" i="5" s="1"/>
  <c r="F14" i="19" s="1"/>
  <c r="CQ71" i="1"/>
  <c r="CS42" i="1"/>
  <c r="CS71" i="1" s="1"/>
  <c r="L14" i="5" s="1"/>
  <c r="G14" i="18" s="1"/>
  <c r="CS112" i="1"/>
  <c r="CS142" i="1" s="1"/>
  <c r="L28" i="5" s="1"/>
  <c r="G14" i="20" s="1"/>
  <c r="CQ142" i="1"/>
  <c r="L27" i="5" s="1"/>
  <c r="F14" i="20" s="1"/>
  <c r="CS396" i="1"/>
  <c r="CS427" i="1" s="1"/>
  <c r="L84" i="5" s="1"/>
  <c r="G14" i="16" s="1"/>
  <c r="CQ427" i="1"/>
  <c r="L83" i="5" s="1"/>
  <c r="F14" i="16" s="1"/>
  <c r="CS183" i="1"/>
  <c r="CS213" i="1" s="1"/>
  <c r="L42" i="5" s="1"/>
  <c r="G14" i="8" s="1"/>
  <c r="CQ213" i="1"/>
  <c r="L41" i="5" s="1"/>
  <c r="F14" i="8" s="1"/>
  <c r="CS290" i="1"/>
  <c r="CS320" i="1" s="1"/>
  <c r="L63" i="5" s="1"/>
  <c r="CQ320" i="1"/>
  <c r="L62" i="5" s="1"/>
  <c r="E71" i="1"/>
  <c r="CH71" i="1"/>
  <c r="AX71" i="1"/>
  <c r="BG71" i="1"/>
  <c r="W71" i="1"/>
  <c r="HF42" i="1"/>
  <c r="HF71" i="1" s="1"/>
  <c r="Y14" i="5" s="1"/>
  <c r="G29" i="18" s="1"/>
  <c r="HD71" i="1"/>
  <c r="HF112" i="1"/>
  <c r="HF142" i="1" s="1"/>
  <c r="Y28" i="5" s="1"/>
  <c r="G29" i="20" s="1"/>
  <c r="HD142" i="1"/>
  <c r="Y27" i="5" s="1"/>
  <c r="F29" i="20" s="1"/>
  <c r="HF396" i="1"/>
  <c r="HF427" i="1" s="1"/>
  <c r="Y84" i="5" s="1"/>
  <c r="G29" i="16" s="1"/>
  <c r="HD427" i="1"/>
  <c r="Y83" i="5" s="1"/>
  <c r="F29" i="16" s="1"/>
  <c r="HF76" i="1"/>
  <c r="HF107" i="1" s="1"/>
  <c r="Y21" i="5" s="1"/>
  <c r="G29" i="19" s="1"/>
  <c r="HD107" i="1"/>
  <c r="Y20" i="5" s="1"/>
  <c r="F29" i="19" s="1"/>
  <c r="HF183" i="1"/>
  <c r="HF213" i="1" s="1"/>
  <c r="Y42" i="5" s="1"/>
  <c r="G29" i="8" s="1"/>
  <c r="HD213" i="1"/>
  <c r="Y41" i="5" s="1"/>
  <c r="F29" i="8" s="1"/>
  <c r="HF290" i="1"/>
  <c r="HF320" i="1" s="1"/>
  <c r="Y63" i="5" s="1"/>
  <c r="HD320" i="1"/>
  <c r="Y62" i="5" s="1"/>
  <c r="FV218" i="1"/>
  <c r="FV249" i="1" s="1"/>
  <c r="U49" i="5" s="1"/>
  <c r="G25" i="11" s="1"/>
  <c r="FT249" i="1"/>
  <c r="U48" i="5" s="1"/>
  <c r="F25" i="11" s="1"/>
  <c r="FV325" i="1"/>
  <c r="FV356" i="1" s="1"/>
  <c r="U70" i="5" s="1"/>
  <c r="G25" i="14" s="1"/>
  <c r="FT356" i="1"/>
  <c r="U69" i="5" s="1"/>
  <c r="F25" i="14" s="1"/>
  <c r="FV254" i="1"/>
  <c r="FV285" i="1" s="1"/>
  <c r="U56" i="5" s="1"/>
  <c r="G25" i="12" s="1"/>
  <c r="FT285" i="1"/>
  <c r="U55" i="5" s="1"/>
  <c r="F25" i="12" s="1"/>
  <c r="FV361" i="1"/>
  <c r="FV391" i="1" s="1"/>
  <c r="U77" i="5" s="1"/>
  <c r="G25" i="15" s="1"/>
  <c r="FT391" i="1"/>
  <c r="U76" i="5" s="1"/>
  <c r="F25" i="15" s="1"/>
  <c r="EL42" i="1"/>
  <c r="EL71" i="1" s="1"/>
  <c r="Q14" i="5" s="1"/>
  <c r="G19" i="18" s="1"/>
  <c r="EJ71" i="1"/>
  <c r="EL112" i="1"/>
  <c r="EL142" i="1" s="1"/>
  <c r="Q28" i="5" s="1"/>
  <c r="G19" i="20" s="1"/>
  <c r="EJ142" i="1"/>
  <c r="Q27" i="5" s="1"/>
  <c r="F19" i="20" s="1"/>
  <c r="EL396" i="1"/>
  <c r="EL427" i="1" s="1"/>
  <c r="Q84" i="5" s="1"/>
  <c r="G19" i="16" s="1"/>
  <c r="EJ427" i="1"/>
  <c r="Q83" i="5" s="1"/>
  <c r="F19" i="16" s="1"/>
  <c r="EL76" i="1"/>
  <c r="EL107" i="1" s="1"/>
  <c r="Q21" i="5" s="1"/>
  <c r="G19" i="19" s="1"/>
  <c r="EJ107" i="1"/>
  <c r="Q20" i="5" s="1"/>
  <c r="F19" i="19" s="1"/>
  <c r="EL183" i="1"/>
  <c r="EL213" i="1" s="1"/>
  <c r="Q42" i="5" s="1"/>
  <c r="G19" i="8" s="1"/>
  <c r="EJ213" i="1"/>
  <c r="Q41" i="5" s="1"/>
  <c r="F19" i="8" s="1"/>
  <c r="EL290" i="1"/>
  <c r="EL320" i="1" s="1"/>
  <c r="Q63" i="5" s="1"/>
  <c r="EJ320" i="1"/>
  <c r="Q62" i="5" s="1"/>
  <c r="DB42" i="1"/>
  <c r="DB71" i="1" s="1"/>
  <c r="M14" i="5" s="1"/>
  <c r="G15" i="18" s="1"/>
  <c r="CZ71" i="1"/>
  <c r="DB112" i="1"/>
  <c r="DB142" i="1" s="1"/>
  <c r="M28" i="5" s="1"/>
  <c r="G15" i="20" s="1"/>
  <c r="CZ142" i="1"/>
  <c r="M27" i="5" s="1"/>
  <c r="F15" i="20" s="1"/>
  <c r="DB396" i="1"/>
  <c r="DB427" i="1" s="1"/>
  <c r="M84" i="5" s="1"/>
  <c r="G15" i="16" s="1"/>
  <c r="CZ427" i="1"/>
  <c r="M83" i="5" s="1"/>
  <c r="F15" i="16" s="1"/>
  <c r="DB76" i="1"/>
  <c r="DB107" i="1" s="1"/>
  <c r="M21" i="5" s="1"/>
  <c r="G15" i="19" s="1"/>
  <c r="CZ107" i="1"/>
  <c r="M20" i="5" s="1"/>
  <c r="F15" i="19" s="1"/>
  <c r="DB183" i="1"/>
  <c r="DB213" i="1" s="1"/>
  <c r="M42" i="5" s="1"/>
  <c r="G15" i="8" s="1"/>
  <c r="CZ213" i="1"/>
  <c r="M41" i="5" s="1"/>
  <c r="F15" i="8" s="1"/>
  <c r="DB290" i="1"/>
  <c r="DB320" i="1" s="1"/>
  <c r="M63" i="5" s="1"/>
  <c r="CZ320" i="1"/>
  <c r="M62" i="5" s="1"/>
  <c r="HO42" i="1"/>
  <c r="HO71" i="1" s="1"/>
  <c r="Z14" i="5" s="1"/>
  <c r="G30" i="18" s="1"/>
  <c r="HM71" i="1"/>
  <c r="HO112" i="1"/>
  <c r="HO142" i="1" s="1"/>
  <c r="Z28" i="5" s="1"/>
  <c r="G30" i="20" s="1"/>
  <c r="HM142" i="1"/>
  <c r="Z27" i="5" s="1"/>
  <c r="F30" i="20" s="1"/>
  <c r="HO396" i="1"/>
  <c r="HO427" i="1" s="1"/>
  <c r="Z84" i="5" s="1"/>
  <c r="G30" i="16" s="1"/>
  <c r="HM427" i="1"/>
  <c r="Z83" i="5" s="1"/>
  <c r="F30" i="16" s="1"/>
  <c r="HO76" i="1"/>
  <c r="HO107" i="1" s="1"/>
  <c r="Z21" i="5" s="1"/>
  <c r="G30" i="19" s="1"/>
  <c r="HM107" i="1"/>
  <c r="Z20" i="5" s="1"/>
  <c r="F30" i="19" s="1"/>
  <c r="HO183" i="1"/>
  <c r="HO213" i="1" s="1"/>
  <c r="Z42" i="5" s="1"/>
  <c r="G30" i="8" s="1"/>
  <c r="HM213" i="1"/>
  <c r="Z41" i="5" s="1"/>
  <c r="F30" i="8" s="1"/>
  <c r="HO290" i="1"/>
  <c r="HO320" i="1" s="1"/>
  <c r="Z63" i="5" s="1"/>
  <c r="HM320" i="1"/>
  <c r="Z62" i="5" s="1"/>
  <c r="GE218" i="1"/>
  <c r="GE249" i="1" s="1"/>
  <c r="V49" i="5" s="1"/>
  <c r="G26" i="11" s="1"/>
  <c r="GC249" i="1"/>
  <c r="V48" i="5" s="1"/>
  <c r="F26" i="11" s="1"/>
  <c r="GE396" i="1"/>
  <c r="GE427" i="1" s="1"/>
  <c r="V84" i="5" s="1"/>
  <c r="G26" i="16" s="1"/>
  <c r="GC427" i="1"/>
  <c r="V83" i="5" s="1"/>
  <c r="F26" i="16" s="1"/>
  <c r="GE290" i="1"/>
  <c r="GE320" i="1" s="1"/>
  <c r="V63" i="5" s="1"/>
  <c r="GC320" i="1"/>
  <c r="V62" i="5" s="1"/>
  <c r="EU42" i="1"/>
  <c r="EU71" i="1" s="1"/>
  <c r="R14" i="5" s="1"/>
  <c r="G20" i="18" s="1"/>
  <c r="ES71" i="1"/>
  <c r="ES142" i="1"/>
  <c r="R27" i="5" s="1"/>
  <c r="F20" i="20" s="1"/>
  <c r="EU112" i="1"/>
  <c r="EU142" i="1" s="1"/>
  <c r="R28" i="5" s="1"/>
  <c r="G20" i="20" s="1"/>
  <c r="EU396" i="1"/>
  <c r="EU427" i="1" s="1"/>
  <c r="R84" i="5" s="1"/>
  <c r="G20" i="16" s="1"/>
  <c r="ES427" i="1"/>
  <c r="R83" i="5" s="1"/>
  <c r="F20" i="16" s="1"/>
  <c r="EU76" i="1"/>
  <c r="EU107" i="1" s="1"/>
  <c r="R21" i="5" s="1"/>
  <c r="G20" i="19" s="1"/>
  <c r="ES107" i="1"/>
  <c r="R20" i="5" s="1"/>
  <c r="F20" i="19" s="1"/>
  <c r="EU183" i="1"/>
  <c r="EU213" i="1" s="1"/>
  <c r="R42" i="5" s="1"/>
  <c r="G20" i="8" s="1"/>
  <c r="ES213" i="1"/>
  <c r="R41" i="5" s="1"/>
  <c r="F20" i="8" s="1"/>
  <c r="ES320" i="1"/>
  <c r="R62" i="5" s="1"/>
  <c r="EU290" i="1"/>
  <c r="EU320" i="1" s="1"/>
  <c r="R63" i="5" s="1"/>
  <c r="DK42" i="1"/>
  <c r="DK71" i="1" s="1"/>
  <c r="N14" i="5" s="1"/>
  <c r="G16" i="18" s="1"/>
  <c r="DI71" i="1"/>
  <c r="DK112" i="1"/>
  <c r="DK142" i="1" s="1"/>
  <c r="N28" i="5" s="1"/>
  <c r="G16" i="20" s="1"/>
  <c r="DI142" i="1"/>
  <c r="N27" i="5" s="1"/>
  <c r="F16" i="20" s="1"/>
  <c r="DK396" i="1"/>
  <c r="DK427" i="1" s="1"/>
  <c r="N84" i="5" s="1"/>
  <c r="G16" i="16" s="1"/>
  <c r="DI427" i="1"/>
  <c r="N83" i="5" s="1"/>
  <c r="F16" i="16" s="1"/>
  <c r="DK76" i="1"/>
  <c r="DK107" i="1" s="1"/>
  <c r="N21" i="5" s="1"/>
  <c r="G16" i="19" s="1"/>
  <c r="DI107" i="1"/>
  <c r="N20" i="5" s="1"/>
  <c r="F16" i="19" s="1"/>
  <c r="DK183" i="1"/>
  <c r="DK213" i="1" s="1"/>
  <c r="N42" i="5" s="1"/>
  <c r="G16" i="8" s="1"/>
  <c r="DI213" i="1"/>
  <c r="N41" i="5" s="1"/>
  <c r="F16" i="8" s="1"/>
  <c r="DK290" i="1"/>
  <c r="DK320" i="1" s="1"/>
  <c r="N63" i="5" s="1"/>
  <c r="DI320" i="1"/>
  <c r="N62" i="5" s="1"/>
  <c r="GN254" i="1"/>
  <c r="GN285" i="1" s="1"/>
  <c r="W56" i="5" s="1"/>
  <c r="G27" i="12" s="1"/>
  <c r="GL285" i="1"/>
  <c r="W55" i="5" s="1"/>
  <c r="F27" i="12" s="1"/>
  <c r="GN361" i="1"/>
  <c r="GN391" i="1" s="1"/>
  <c r="W77" i="5" s="1"/>
  <c r="G27" i="15" s="1"/>
  <c r="GL391" i="1"/>
  <c r="W76" i="5" s="1"/>
  <c r="F27" i="15" s="1"/>
  <c r="GN218" i="1"/>
  <c r="GN249" i="1" s="1"/>
  <c r="W49" i="5" s="1"/>
  <c r="G27" i="11" s="1"/>
  <c r="GL249" i="1"/>
  <c r="W48" i="5" s="1"/>
  <c r="F27" i="11" s="1"/>
  <c r="GN325" i="1"/>
  <c r="GN356" i="1" s="1"/>
  <c r="W70" i="5" s="1"/>
  <c r="G27" i="14" s="1"/>
  <c r="GL356" i="1"/>
  <c r="W69" i="5" s="1"/>
  <c r="F27" i="14" s="1"/>
  <c r="FD254" i="1"/>
  <c r="FD285" i="1" s="1"/>
  <c r="S56" i="5" s="1"/>
  <c r="G21" i="12" s="1"/>
  <c r="FB285" i="1"/>
  <c r="S55" i="5" s="1"/>
  <c r="F21" i="12" s="1"/>
  <c r="FD361" i="1"/>
  <c r="FD391" i="1" s="1"/>
  <c r="S77" i="5" s="1"/>
  <c r="G21" i="15" s="1"/>
  <c r="FB391" i="1"/>
  <c r="S76" i="5" s="1"/>
  <c r="F21" i="15" s="1"/>
  <c r="FD218" i="1"/>
  <c r="FD249" i="1" s="1"/>
  <c r="S49" i="5" s="1"/>
  <c r="G21" i="11" s="1"/>
  <c r="FB249" i="1"/>
  <c r="S48" i="5" s="1"/>
  <c r="F21" i="11" s="1"/>
  <c r="FD325" i="1"/>
  <c r="FD356" i="1" s="1"/>
  <c r="S70" i="5" s="1"/>
  <c r="G21" i="14" s="1"/>
  <c r="FB356" i="1"/>
  <c r="S69" i="5" s="1"/>
  <c r="F21" i="14" s="1"/>
  <c r="DT254" i="1"/>
  <c r="DT285" i="1" s="1"/>
  <c r="O56" i="5" s="1"/>
  <c r="G17" i="12" s="1"/>
  <c r="DR285" i="1"/>
  <c r="O55" i="5" s="1"/>
  <c r="F17" i="12" s="1"/>
  <c r="DT361" i="1"/>
  <c r="DT391" i="1" s="1"/>
  <c r="O77" i="5" s="1"/>
  <c r="G17" i="15" s="1"/>
  <c r="DR391" i="1"/>
  <c r="O76" i="5" s="1"/>
  <c r="F17" i="15" s="1"/>
  <c r="DT218" i="1"/>
  <c r="DT249" i="1" s="1"/>
  <c r="O49" i="5" s="1"/>
  <c r="G17" i="11" s="1"/>
  <c r="DR249" i="1"/>
  <c r="O48" i="5" s="1"/>
  <c r="F17" i="11" s="1"/>
  <c r="DT325" i="1"/>
  <c r="DT356" i="1" s="1"/>
  <c r="O70" i="5" s="1"/>
  <c r="G17" i="14" s="1"/>
  <c r="DR356" i="1"/>
  <c r="O69" i="5" s="1"/>
  <c r="F17" i="14" s="1"/>
  <c r="GW254" i="1"/>
  <c r="GW285" i="1" s="1"/>
  <c r="X56" i="5" s="1"/>
  <c r="G28" i="12" s="1"/>
  <c r="GU285" i="1"/>
  <c r="X55" i="5" s="1"/>
  <c r="F28" i="12" s="1"/>
  <c r="GW361" i="1"/>
  <c r="GW391" i="1" s="1"/>
  <c r="X77" i="5" s="1"/>
  <c r="G28" i="15" s="1"/>
  <c r="GU391" i="1"/>
  <c r="X76" i="5" s="1"/>
  <c r="F28" i="15" s="1"/>
  <c r="GW76" i="1"/>
  <c r="GW107" i="1" s="1"/>
  <c r="X21" i="5" s="1"/>
  <c r="G28" i="19" s="1"/>
  <c r="GU107" i="1"/>
  <c r="X20" i="5" s="1"/>
  <c r="F28" i="19" s="1"/>
  <c r="GW218" i="1"/>
  <c r="GW249" i="1" s="1"/>
  <c r="X49" i="5" s="1"/>
  <c r="G28" i="11" s="1"/>
  <c r="GU249" i="1"/>
  <c r="X48" i="5" s="1"/>
  <c r="F28" i="11" s="1"/>
  <c r="GW325" i="1"/>
  <c r="GW356" i="1" s="1"/>
  <c r="X70" i="5" s="1"/>
  <c r="G28" i="14" s="1"/>
  <c r="GU356" i="1"/>
  <c r="X69" i="5" s="1"/>
  <c r="F28" i="14" s="1"/>
  <c r="FM76" i="1"/>
  <c r="FM107" i="1" s="1"/>
  <c r="T21" i="5" s="1"/>
  <c r="G22" i="19" s="1"/>
  <c r="FK107" i="1"/>
  <c r="T20" i="5" s="1"/>
  <c r="F22" i="19" s="1"/>
  <c r="FM183" i="1"/>
  <c r="FM213" i="1" s="1"/>
  <c r="T42" i="5" s="1"/>
  <c r="G22" i="8" s="1"/>
  <c r="FK213" i="1"/>
  <c r="T41" i="5" s="1"/>
  <c r="F22" i="8" s="1"/>
  <c r="FM290" i="1"/>
  <c r="FM320" i="1" s="1"/>
  <c r="T63" i="5" s="1"/>
  <c r="FK320" i="1"/>
  <c r="T62" i="5" s="1"/>
  <c r="FM254" i="1"/>
  <c r="FM285" i="1" s="1"/>
  <c r="T56" i="5" s="1"/>
  <c r="G22" i="12" s="1"/>
  <c r="FK285" i="1"/>
  <c r="T55" i="5" s="1"/>
  <c r="F22" i="12" s="1"/>
  <c r="FM361" i="1"/>
  <c r="FM391" i="1" s="1"/>
  <c r="T77" i="5" s="1"/>
  <c r="G22" i="15" s="1"/>
  <c r="FK391" i="1"/>
  <c r="T76" i="5" s="1"/>
  <c r="F22" i="15" s="1"/>
  <c r="EC254" i="1"/>
  <c r="EC285" i="1" s="1"/>
  <c r="G18" i="12" s="1"/>
  <c r="EA285" i="1"/>
  <c r="F18" i="12" s="1"/>
  <c r="EC361" i="1"/>
  <c r="EC391" i="1" s="1"/>
  <c r="G18" i="15" s="1"/>
  <c r="EA391" i="1"/>
  <c r="F18" i="15" s="1"/>
  <c r="EC218" i="1"/>
  <c r="EC249" i="1" s="1"/>
  <c r="G18" i="11" s="1"/>
  <c r="EA249" i="1"/>
  <c r="F18" i="11" s="1"/>
  <c r="EC325" i="1"/>
  <c r="EC356" i="1" s="1"/>
  <c r="G18" i="14" s="1"/>
  <c r="EA356" i="1"/>
  <c r="F18" i="14" s="1"/>
  <c r="CS254" i="1"/>
  <c r="CS285" i="1" s="1"/>
  <c r="L56" i="5" s="1"/>
  <c r="G14" i="12" s="1"/>
  <c r="CQ285" i="1"/>
  <c r="L55" i="5" s="1"/>
  <c r="F14" i="12" s="1"/>
  <c r="CS361" i="1"/>
  <c r="CS391" i="1" s="1"/>
  <c r="L77" i="5" s="1"/>
  <c r="G14" i="15" s="1"/>
  <c r="CQ391" i="1"/>
  <c r="L76" i="5" s="1"/>
  <c r="F14" i="15" s="1"/>
  <c r="CS218" i="1"/>
  <c r="CS249" i="1" s="1"/>
  <c r="L49" i="5" s="1"/>
  <c r="G14" i="11" s="1"/>
  <c r="CQ249" i="1"/>
  <c r="L48" i="5" s="1"/>
  <c r="F14" i="11" s="1"/>
  <c r="CS325" i="1"/>
  <c r="CS356" i="1" s="1"/>
  <c r="L70" i="5" s="1"/>
  <c r="G14" i="14" s="1"/>
  <c r="CQ356" i="1"/>
  <c r="L69" i="5" s="1"/>
  <c r="F14" i="14" s="1"/>
  <c r="AF71" i="1"/>
  <c r="BY71" i="1"/>
  <c r="AO71" i="1"/>
  <c r="AQ325" i="1"/>
  <c r="AQ356" i="1" s="1"/>
  <c r="F70" i="5" s="1"/>
  <c r="G8" i="14" s="1"/>
  <c r="AO356" i="1"/>
  <c r="F69" i="5" s="1"/>
  <c r="F8" i="14" s="1"/>
  <c r="AH325" i="1"/>
  <c r="AH356" i="1" s="1"/>
  <c r="E70" i="5" s="1"/>
  <c r="G7" i="14" s="1"/>
  <c r="AF356" i="1"/>
  <c r="E69" i="5" s="1"/>
  <c r="F7" i="14" s="1"/>
  <c r="Y325" i="1"/>
  <c r="Y356" i="1" s="1"/>
  <c r="D70" i="5" s="1"/>
  <c r="G6" i="14" s="1"/>
  <c r="W356" i="1"/>
  <c r="D69" i="5" s="1"/>
  <c r="F6" i="14" s="1"/>
  <c r="CH285" i="1"/>
  <c r="K55" i="5" s="1"/>
  <c r="F13" i="12" s="1"/>
  <c r="CJ254" i="1"/>
  <c r="CJ285" i="1" s="1"/>
  <c r="K56" i="5" s="1"/>
  <c r="CJ290" i="1"/>
  <c r="CJ320" i="1" s="1"/>
  <c r="K63" i="5" s="1"/>
  <c r="CH320" i="1"/>
  <c r="K62" i="5" s="1"/>
  <c r="CJ42" i="1"/>
  <c r="BP285" i="1"/>
  <c r="I55" i="5" s="1"/>
  <c r="F11" i="12" s="1"/>
  <c r="BR254" i="1"/>
  <c r="BR285" i="1" s="1"/>
  <c r="I56" i="5" s="1"/>
  <c r="G11" i="12" s="1"/>
  <c r="BR290" i="1"/>
  <c r="BR320" i="1" s="1"/>
  <c r="I63" i="5" s="1"/>
  <c r="BP320" i="1"/>
  <c r="I62" i="5" s="1"/>
  <c r="BR76" i="1"/>
  <c r="BR107" i="1" s="1"/>
  <c r="I21" i="5" s="1"/>
  <c r="G11" i="19" s="1"/>
  <c r="BP107" i="1"/>
  <c r="I20" i="5" s="1"/>
  <c r="F11" i="19" s="1"/>
  <c r="BR42" i="1"/>
  <c r="AZ42" i="1"/>
  <c r="AF285" i="1"/>
  <c r="E55" i="5" s="1"/>
  <c r="F7" i="12" s="1"/>
  <c r="AH254" i="1"/>
  <c r="AH285" i="1" s="1"/>
  <c r="E56" i="5" s="1"/>
  <c r="G7" i="12" s="1"/>
  <c r="AH42" i="1"/>
  <c r="N320" i="1"/>
  <c r="C62" i="5" s="1"/>
  <c r="P290" i="1"/>
  <c r="P320" i="1" s="1"/>
  <c r="C63" i="5" s="1"/>
  <c r="N213" i="1"/>
  <c r="C41" i="5" s="1"/>
  <c r="F5" i="8" s="1"/>
  <c r="P183" i="1"/>
  <c r="P213" i="1" s="1"/>
  <c r="C42" i="5" s="1"/>
  <c r="G5" i="8" s="1"/>
  <c r="BY285" i="1"/>
  <c r="J55" i="5" s="1"/>
  <c r="F12" i="12" s="1"/>
  <c r="CA254" i="1"/>
  <c r="CA285" i="1" s="1"/>
  <c r="J56" i="5" s="1"/>
  <c r="G12" i="12" s="1"/>
  <c r="BY320" i="1"/>
  <c r="J62" i="5" s="1"/>
  <c r="CA290" i="1"/>
  <c r="CA320" i="1" s="1"/>
  <c r="J63" i="5" s="1"/>
  <c r="CA76" i="1"/>
  <c r="CA107" i="1" s="1"/>
  <c r="J21" i="5" s="1"/>
  <c r="G12" i="19" s="1"/>
  <c r="BY107" i="1"/>
  <c r="J20" i="5" s="1"/>
  <c r="F12" i="19" s="1"/>
  <c r="CA112" i="1"/>
  <c r="CA142" i="1" s="1"/>
  <c r="J28" i="5" s="1"/>
  <c r="G12" i="20" s="1"/>
  <c r="BY142" i="1"/>
  <c r="J27" i="5" s="1"/>
  <c r="F12" i="20" s="1"/>
  <c r="BI254" i="1"/>
  <c r="BI285" i="1" s="1"/>
  <c r="H56" i="5" s="1"/>
  <c r="G10" i="12" s="1"/>
  <c r="BG285" i="1"/>
  <c r="H55" i="5" s="1"/>
  <c r="F10" i="12" s="1"/>
  <c r="BG320" i="1"/>
  <c r="H62" i="5" s="1"/>
  <c r="BI290" i="1"/>
  <c r="BI320" i="1" s="1"/>
  <c r="H63" i="5" s="1"/>
  <c r="BG107" i="1"/>
  <c r="H20" i="5" s="1"/>
  <c r="F10" i="19" s="1"/>
  <c r="BI76" i="1"/>
  <c r="BI107" i="1" s="1"/>
  <c r="H21" i="5" s="1"/>
  <c r="G10" i="19" s="1"/>
  <c r="BG142" i="1"/>
  <c r="H27" i="5" s="1"/>
  <c r="F10" i="20" s="1"/>
  <c r="BI112" i="1"/>
  <c r="BI142" i="1" s="1"/>
  <c r="H28" i="5" s="1"/>
  <c r="G10" i="20" s="1"/>
  <c r="AO285" i="1"/>
  <c r="F55" i="5" s="1"/>
  <c r="F8" i="12" s="1"/>
  <c r="AQ254" i="1"/>
  <c r="AQ285" i="1" s="1"/>
  <c r="F56" i="5" s="1"/>
  <c r="G8" i="12" s="1"/>
  <c r="CJ325" i="1"/>
  <c r="CJ356" i="1" s="1"/>
  <c r="K70" i="5" s="1"/>
  <c r="G13" i="14" s="1"/>
  <c r="CH356" i="1"/>
  <c r="K69" i="5" s="1"/>
  <c r="F13" i="14" s="1"/>
  <c r="AO213" i="1"/>
  <c r="F41" i="5" s="1"/>
  <c r="F8" i="8" s="1"/>
  <c r="AQ183" i="1"/>
  <c r="AQ213" i="1" s="1"/>
  <c r="F42" i="5" s="1"/>
  <c r="G8" i="8" s="1"/>
  <c r="CH249" i="1"/>
  <c r="K48" i="5" s="1"/>
  <c r="F13" i="11" s="1"/>
  <c r="CJ218" i="1"/>
  <c r="CJ249" i="1" s="1"/>
  <c r="K49" i="5" s="1"/>
  <c r="G13" i="11" s="1"/>
  <c r="BR361" i="1"/>
  <c r="BR391" i="1" s="1"/>
  <c r="I77" i="5" s="1"/>
  <c r="G11" i="15" s="1"/>
  <c r="BP391" i="1"/>
  <c r="I76" i="5" s="1"/>
  <c r="F11" i="15" s="1"/>
  <c r="BP213" i="1"/>
  <c r="I41" i="5" s="1"/>
  <c r="F11" i="8" s="1"/>
  <c r="BR183" i="1"/>
  <c r="BR213" i="1" s="1"/>
  <c r="I42" i="5" s="1"/>
  <c r="G11" i="8" s="1"/>
  <c r="AX391" i="1"/>
  <c r="G76" i="5" s="1"/>
  <c r="F9" i="15" s="1"/>
  <c r="AZ361" i="1"/>
  <c r="AZ391" i="1" s="1"/>
  <c r="G77" i="5" s="1"/>
  <c r="G9" i="15" s="1"/>
  <c r="AX249" i="1"/>
  <c r="G48" i="5" s="1"/>
  <c r="F9" i="11" s="1"/>
  <c r="AZ218" i="1"/>
  <c r="AZ249" i="1" s="1"/>
  <c r="G49" i="5" s="1"/>
  <c r="G9" i="11" s="1"/>
  <c r="AZ112" i="1"/>
  <c r="AZ142" i="1" s="1"/>
  <c r="G28" i="5" s="1"/>
  <c r="G9" i="20" s="1"/>
  <c r="AX142" i="1"/>
  <c r="G27" i="5" s="1"/>
  <c r="F9" i="20" s="1"/>
  <c r="AF391" i="1"/>
  <c r="E76" i="5" s="1"/>
  <c r="F7" i="15" s="1"/>
  <c r="AH361" i="1"/>
  <c r="AH391" i="1" s="1"/>
  <c r="E77" i="5" s="1"/>
  <c r="G7" i="15" s="1"/>
  <c r="AH76" i="1"/>
  <c r="AH107" i="1" s="1"/>
  <c r="E21" i="5" s="1"/>
  <c r="G7" i="19" s="1"/>
  <c r="AF107" i="1"/>
  <c r="E20" i="5" s="1"/>
  <c r="F7" i="19" s="1"/>
  <c r="AF142" i="1"/>
  <c r="E27" i="5" s="1"/>
  <c r="F7" i="20" s="1"/>
  <c r="AH112" i="1"/>
  <c r="AH142" i="1" s="1"/>
  <c r="E28" i="5" s="1"/>
  <c r="G7" i="20" s="1"/>
  <c r="N249" i="1"/>
  <c r="C48" i="5" s="1"/>
  <c r="F5" i="11" s="1"/>
  <c r="P218" i="1"/>
  <c r="P249" i="1" s="1"/>
  <c r="C49" i="5" s="1"/>
  <c r="G5" i="11" s="1"/>
  <c r="P76" i="1"/>
  <c r="P107" i="1" s="1"/>
  <c r="C21" i="5" s="1"/>
  <c r="G5" i="19" s="1"/>
  <c r="N107" i="1"/>
  <c r="C20" i="5" s="1"/>
  <c r="F5" i="19" s="1"/>
  <c r="N142" i="1"/>
  <c r="C27" i="5" s="1"/>
  <c r="F5" i="20" s="1"/>
  <c r="P112" i="1"/>
  <c r="P142" i="1" s="1"/>
  <c r="C28" i="5" s="1"/>
  <c r="G5" i="20" s="1"/>
  <c r="BY249" i="1"/>
  <c r="J48" i="5" s="1"/>
  <c r="F12" i="11" s="1"/>
  <c r="CA218" i="1"/>
  <c r="CA249" i="1" s="1"/>
  <c r="J49" i="5" s="1"/>
  <c r="G12" i="11" s="1"/>
  <c r="CA42" i="1"/>
  <c r="AO249" i="1"/>
  <c r="F48" i="5" s="1"/>
  <c r="F8" i="11" s="1"/>
  <c r="AQ218" i="1"/>
  <c r="AQ249" i="1" s="1"/>
  <c r="F49" i="5" s="1"/>
  <c r="G8" i="11" s="1"/>
  <c r="AQ42" i="1"/>
  <c r="W391" i="1"/>
  <c r="D76" i="5" s="1"/>
  <c r="F6" i="15" s="1"/>
  <c r="Y361" i="1"/>
  <c r="Y391" i="1" s="1"/>
  <c r="D77" i="5" s="1"/>
  <c r="G6" i="15" s="1"/>
  <c r="W285" i="1"/>
  <c r="D55" i="5" s="1"/>
  <c r="F6" i="12" s="1"/>
  <c r="Y254" i="1"/>
  <c r="Y285" i="1" s="1"/>
  <c r="D56" i="5" s="1"/>
  <c r="G6" i="12" s="1"/>
  <c r="W107" i="1"/>
  <c r="D20" i="5" s="1"/>
  <c r="F6" i="19" s="1"/>
  <c r="Y76" i="1"/>
  <c r="Y107" i="1" s="1"/>
  <c r="D21" i="5" s="1"/>
  <c r="G6" i="19" s="1"/>
  <c r="CH427" i="1"/>
  <c r="K83" i="5" s="1"/>
  <c r="F13" i="16" s="1"/>
  <c r="CJ396" i="1"/>
  <c r="CJ427" i="1" s="1"/>
  <c r="K84" i="5" s="1"/>
  <c r="G13" i="16" s="1"/>
  <c r="CJ76" i="1"/>
  <c r="CJ107" i="1" s="1"/>
  <c r="K21" i="5" s="1"/>
  <c r="G13" i="19" s="1"/>
  <c r="CH107" i="1"/>
  <c r="K20" i="5" s="1"/>
  <c r="F13" i="19" s="1"/>
  <c r="BP427" i="1"/>
  <c r="I83" i="5" s="1"/>
  <c r="F11" i="16" s="1"/>
  <c r="BR396" i="1"/>
  <c r="BR427" i="1" s="1"/>
  <c r="I84" i="5" s="1"/>
  <c r="G11" i="16" s="1"/>
  <c r="AX427" i="1"/>
  <c r="G83" i="5" s="1"/>
  <c r="F9" i="16" s="1"/>
  <c r="AZ396" i="1"/>
  <c r="AZ427" i="1" s="1"/>
  <c r="G84" i="5" s="1"/>
  <c r="G9" i="16" s="1"/>
  <c r="AX285" i="1"/>
  <c r="G55" i="5" s="1"/>
  <c r="F9" i="12" s="1"/>
  <c r="AZ254" i="1"/>
  <c r="AZ285" i="1" s="1"/>
  <c r="G56" i="5" s="1"/>
  <c r="G9" i="12" s="1"/>
  <c r="AX320" i="1"/>
  <c r="G62" i="5" s="1"/>
  <c r="AZ290" i="1"/>
  <c r="AZ320" i="1" s="1"/>
  <c r="G63" i="5" s="1"/>
  <c r="AZ76" i="1"/>
  <c r="AZ107" i="1" s="1"/>
  <c r="G21" i="5" s="1"/>
  <c r="G9" i="19" s="1"/>
  <c r="AX107" i="1"/>
  <c r="G20" i="5" s="1"/>
  <c r="F9" i="19" s="1"/>
  <c r="AF427" i="1"/>
  <c r="E83" i="5" s="1"/>
  <c r="F7" i="16" s="1"/>
  <c r="AH396" i="1"/>
  <c r="AH427" i="1" s="1"/>
  <c r="E84" i="5" s="1"/>
  <c r="G7" i="16" s="1"/>
  <c r="CA325" i="1"/>
  <c r="CA356" i="1" s="1"/>
  <c r="J70" i="5" s="1"/>
  <c r="G12" i="14" s="1"/>
  <c r="BY356" i="1"/>
  <c r="J69" i="5" s="1"/>
  <c r="F12" i="14" s="1"/>
  <c r="AH290" i="1"/>
  <c r="AH320" i="1" s="1"/>
  <c r="E63" i="5" s="1"/>
  <c r="AF320" i="1"/>
  <c r="E62" i="5" s="1"/>
  <c r="AF213" i="1"/>
  <c r="E41" i="5" s="1"/>
  <c r="F7" i="8" s="1"/>
  <c r="AH183" i="1"/>
  <c r="AH213" i="1" s="1"/>
  <c r="E42" i="5" s="1"/>
  <c r="G7" i="8" s="1"/>
  <c r="N427" i="1"/>
  <c r="C83" i="5" s="1"/>
  <c r="F5" i="16" s="1"/>
  <c r="P396" i="1"/>
  <c r="P427" i="1" s="1"/>
  <c r="C84" i="5" s="1"/>
  <c r="G5" i="16" s="1"/>
  <c r="P325" i="1"/>
  <c r="P356" i="1" s="1"/>
  <c r="C70" i="5" s="1"/>
  <c r="G5" i="14" s="1"/>
  <c r="N356" i="1"/>
  <c r="C69" i="5" s="1"/>
  <c r="F5" i="14" s="1"/>
  <c r="P42" i="1"/>
  <c r="BY427" i="1"/>
  <c r="J83" i="5" s="1"/>
  <c r="F12" i="16" s="1"/>
  <c r="CA396" i="1"/>
  <c r="CA427" i="1" s="1"/>
  <c r="J84" i="5" s="1"/>
  <c r="G12" i="16" s="1"/>
  <c r="BY213" i="1"/>
  <c r="J41" i="5" s="1"/>
  <c r="F12" i="8" s="1"/>
  <c r="CA183" i="1"/>
  <c r="CA213" i="1" s="1"/>
  <c r="J42" i="5" s="1"/>
  <c r="G12" i="8" s="1"/>
  <c r="BG427" i="1"/>
  <c r="H83" i="5" s="1"/>
  <c r="F10" i="16" s="1"/>
  <c r="BI396" i="1"/>
  <c r="BI427" i="1" s="1"/>
  <c r="H84" i="5" s="1"/>
  <c r="G10" i="16" s="1"/>
  <c r="BG213" i="1"/>
  <c r="H41" i="5" s="1"/>
  <c r="F10" i="8" s="1"/>
  <c r="BI183" i="1"/>
  <c r="BI213" i="1" s="1"/>
  <c r="H42" i="5" s="1"/>
  <c r="G10" i="8" s="1"/>
  <c r="AO427" i="1"/>
  <c r="F83" i="5" s="1"/>
  <c r="F8" i="16" s="1"/>
  <c r="AQ396" i="1"/>
  <c r="AQ427" i="1" s="1"/>
  <c r="F84" i="5" s="1"/>
  <c r="G8" i="16" s="1"/>
  <c r="AO320" i="1"/>
  <c r="F62" i="5" s="1"/>
  <c r="AQ290" i="1"/>
  <c r="AQ320" i="1" s="1"/>
  <c r="F63" i="5" s="1"/>
  <c r="AQ76" i="1"/>
  <c r="AQ107" i="1" s="1"/>
  <c r="F21" i="5" s="1"/>
  <c r="G8" i="19" s="1"/>
  <c r="AO107" i="1"/>
  <c r="F20" i="5" s="1"/>
  <c r="F8" i="19" s="1"/>
  <c r="AO142" i="1"/>
  <c r="F27" i="5" s="1"/>
  <c r="F8" i="20" s="1"/>
  <c r="AQ112" i="1"/>
  <c r="AQ142" i="1" s="1"/>
  <c r="F28" i="5" s="1"/>
  <c r="G8" i="20" s="1"/>
  <c r="W427" i="1"/>
  <c r="D83" i="5" s="1"/>
  <c r="F6" i="16" s="1"/>
  <c r="Y396" i="1"/>
  <c r="Y427" i="1" s="1"/>
  <c r="D84" i="5" s="1"/>
  <c r="G6" i="16" s="1"/>
  <c r="Y290" i="1"/>
  <c r="Y320" i="1" s="1"/>
  <c r="D63" i="5" s="1"/>
  <c r="W320" i="1"/>
  <c r="D62" i="5" s="1"/>
  <c r="W213" i="1"/>
  <c r="D41" i="5" s="1"/>
  <c r="F6" i="8" s="1"/>
  <c r="Y183" i="1"/>
  <c r="Y213" i="1" s="1"/>
  <c r="D42" i="5" s="1"/>
  <c r="G6" i="8" s="1"/>
  <c r="W142" i="1"/>
  <c r="D27" i="5" s="1"/>
  <c r="F6" i="20" s="1"/>
  <c r="Y112" i="1"/>
  <c r="Y142" i="1" s="1"/>
  <c r="D28" i="5" s="1"/>
  <c r="G6" i="20" s="1"/>
  <c r="CH391" i="1"/>
  <c r="K76" i="5" s="1"/>
  <c r="F13" i="15" s="1"/>
  <c r="CJ361" i="1"/>
  <c r="CJ391" i="1" s="1"/>
  <c r="K77" i="5" s="1"/>
  <c r="G13" i="15" s="1"/>
  <c r="CH213" i="1"/>
  <c r="K41" i="5" s="1"/>
  <c r="F13" i="8" s="1"/>
  <c r="CJ183" i="1"/>
  <c r="CJ213" i="1" s="1"/>
  <c r="K42" i="5" s="1"/>
  <c r="G13" i="8" s="1"/>
  <c r="CJ112" i="1"/>
  <c r="CJ142" i="1" s="1"/>
  <c r="K28" i="5" s="1"/>
  <c r="G13" i="20" s="1"/>
  <c r="CH142" i="1"/>
  <c r="K27" i="5" s="1"/>
  <c r="F13" i="20" s="1"/>
  <c r="BP249" i="1"/>
  <c r="I48" i="5" s="1"/>
  <c r="F11" i="11" s="1"/>
  <c r="BR218" i="1"/>
  <c r="BR249" i="1" s="1"/>
  <c r="I49" i="5" s="1"/>
  <c r="G11" i="11" s="1"/>
  <c r="BP142" i="1"/>
  <c r="I27" i="5" s="1"/>
  <c r="F11" i="20" s="1"/>
  <c r="BR112" i="1"/>
  <c r="BR142" i="1" s="1"/>
  <c r="I28" i="5" s="1"/>
  <c r="G11" i="20" s="1"/>
  <c r="AX213" i="1"/>
  <c r="G41" i="5" s="1"/>
  <c r="F9" i="8" s="1"/>
  <c r="AZ183" i="1"/>
  <c r="AZ213" i="1" s="1"/>
  <c r="G42" i="5" s="1"/>
  <c r="G9" i="8" s="1"/>
  <c r="AF249" i="1"/>
  <c r="E48" i="5" s="1"/>
  <c r="F7" i="11" s="1"/>
  <c r="AH218" i="1"/>
  <c r="AH249" i="1" s="1"/>
  <c r="E49" i="5" s="1"/>
  <c r="G7" i="11" s="1"/>
  <c r="N391" i="1"/>
  <c r="C76" i="5" s="1"/>
  <c r="F5" i="15" s="1"/>
  <c r="P361" i="1"/>
  <c r="P391" i="1" s="1"/>
  <c r="C77" i="5" s="1"/>
  <c r="G5" i="15" s="1"/>
  <c r="N285" i="1"/>
  <c r="C55" i="5" s="1"/>
  <c r="F5" i="12" s="1"/>
  <c r="P254" i="1"/>
  <c r="P285" i="1" s="1"/>
  <c r="C56" i="5" s="1"/>
  <c r="G5" i="12" s="1"/>
  <c r="BI325" i="1"/>
  <c r="BI356" i="1" s="1"/>
  <c r="H70" i="5" s="1"/>
  <c r="G10" i="14" s="1"/>
  <c r="BG356" i="1"/>
  <c r="H69" i="5" s="1"/>
  <c r="F10" i="14" s="1"/>
  <c r="BY391" i="1"/>
  <c r="J76" i="5" s="1"/>
  <c r="F12" i="15" s="1"/>
  <c r="CA361" i="1"/>
  <c r="CA391" i="1" s="1"/>
  <c r="J77" i="5" s="1"/>
  <c r="G12" i="15" s="1"/>
  <c r="BG391" i="1"/>
  <c r="H76" i="5" s="1"/>
  <c r="F10" i="15" s="1"/>
  <c r="BI361" i="1"/>
  <c r="BI391" i="1" s="1"/>
  <c r="H77" i="5" s="1"/>
  <c r="G10" i="15" s="1"/>
  <c r="BI218" i="1"/>
  <c r="BG249" i="1"/>
  <c r="H48" i="5" s="1"/>
  <c r="F10" i="11" s="1"/>
  <c r="BI42" i="1"/>
  <c r="AO391" i="1"/>
  <c r="F76" i="5" s="1"/>
  <c r="F8" i="15" s="1"/>
  <c r="AQ361" i="1"/>
  <c r="AQ391" i="1" s="1"/>
  <c r="F77" i="5" s="1"/>
  <c r="G8" i="15" s="1"/>
  <c r="BR325" i="1"/>
  <c r="BR356" i="1" s="1"/>
  <c r="I70" i="5" s="1"/>
  <c r="G11" i="14" s="1"/>
  <c r="BP356" i="1"/>
  <c r="I69" i="5" s="1"/>
  <c r="F11" i="14" s="1"/>
  <c r="W249" i="1"/>
  <c r="D48" i="5" s="1"/>
  <c r="F6" i="11" s="1"/>
  <c r="Y218" i="1"/>
  <c r="Y249" i="1" s="1"/>
  <c r="D49" i="5" s="1"/>
  <c r="G6" i="11" s="1"/>
  <c r="Y42" i="1"/>
  <c r="E285" i="1"/>
  <c r="B55" i="5" s="1"/>
  <c r="F4" i="12" s="1"/>
  <c r="G254" i="1"/>
  <c r="G285" i="1" s="1"/>
  <c r="B56" i="5" s="1"/>
  <c r="G4" i="12" s="1"/>
  <c r="AZ325" i="1"/>
  <c r="AZ356" i="1" s="1"/>
  <c r="G70" i="5" s="1"/>
  <c r="G9" i="14" s="1"/>
  <c r="AX356" i="1"/>
  <c r="G69" i="5" s="1"/>
  <c r="F9" i="14" s="1"/>
  <c r="G361" i="1"/>
  <c r="G391" i="1" s="1"/>
  <c r="B77" i="5" s="1"/>
  <c r="G4" i="15" s="1"/>
  <c r="E391" i="1"/>
  <c r="B76" i="5" s="1"/>
  <c r="F4" i="15" s="1"/>
  <c r="G290" i="1"/>
  <c r="G320" i="1" s="1"/>
  <c r="B63" i="5" s="1"/>
  <c r="E320" i="1"/>
  <c r="B62" i="5" s="1"/>
  <c r="G325" i="1"/>
  <c r="G356" i="1" s="1"/>
  <c r="B70" i="5" s="1"/>
  <c r="G4" i="14" s="1"/>
  <c r="E356" i="1"/>
  <c r="B69" i="5" s="1"/>
  <c r="F4" i="14" s="1"/>
  <c r="G183" i="1"/>
  <c r="G213" i="1" s="1"/>
  <c r="B42" i="5" s="1"/>
  <c r="G4" i="8" s="1"/>
  <c r="E213" i="1"/>
  <c r="B41" i="5" s="1"/>
  <c r="F4" i="8" s="1"/>
  <c r="E427" i="1"/>
  <c r="B83" i="5" s="1"/>
  <c r="F4" i="16" s="1"/>
  <c r="G396" i="1"/>
  <c r="G427" i="1" s="1"/>
  <c r="B84" i="5" s="1"/>
  <c r="G4" i="16" s="1"/>
  <c r="E142" i="1"/>
  <c r="B27" i="5" s="1"/>
  <c r="F4" i="20" s="1"/>
  <c r="G112" i="1"/>
  <c r="G142" i="1" s="1"/>
  <c r="B28" i="5" s="1"/>
  <c r="G4" i="20" s="1"/>
  <c r="E249" i="1"/>
  <c r="B48" i="5" s="1"/>
  <c r="F4" i="11" s="1"/>
  <c r="G218" i="1"/>
  <c r="G249" i="1" s="1"/>
  <c r="B49" i="5" s="1"/>
  <c r="G4" i="11" s="1"/>
  <c r="G42" i="1"/>
  <c r="G76" i="1"/>
  <c r="G107" i="1" s="1"/>
  <c r="B21" i="5" s="1"/>
  <c r="G4" i="19" s="1"/>
  <c r="E107" i="1"/>
  <c r="D25" i="5"/>
  <c r="D6" i="20" s="1"/>
  <c r="D29" i="5"/>
  <c r="H6" i="20" s="1"/>
  <c r="O6" i="20" s="1"/>
  <c r="AF25" i="5" l="1"/>
  <c r="D36" i="20" s="1"/>
  <c r="JT111" i="1"/>
  <c r="IS111" i="1"/>
  <c r="AC25" i="5"/>
  <c r="D33" i="20" s="1"/>
  <c r="IR112" i="1"/>
  <c r="IR113" i="1" s="1"/>
  <c r="IR114" i="1" s="1"/>
  <c r="IR115" i="1" s="1"/>
  <c r="IR116" i="1" s="1"/>
  <c r="IR117" i="1" s="1"/>
  <c r="IR118" i="1" s="1"/>
  <c r="IR119" i="1" s="1"/>
  <c r="IR120" i="1" s="1"/>
  <c r="IR121" i="1" s="1"/>
  <c r="IR122" i="1" s="1"/>
  <c r="IR123" i="1" s="1"/>
  <c r="IR124" i="1" s="1"/>
  <c r="IR125" i="1" s="1"/>
  <c r="IR126" i="1" s="1"/>
  <c r="IR127" i="1" s="1"/>
  <c r="IR128" i="1" s="1"/>
  <c r="IR129" i="1" s="1"/>
  <c r="IR130" i="1" s="1"/>
  <c r="IR131" i="1" s="1"/>
  <c r="IR132" i="1" s="1"/>
  <c r="IR133" i="1" s="1"/>
  <c r="IR134" i="1" s="1"/>
  <c r="IR135" i="1" s="1"/>
  <c r="IR136" i="1" s="1"/>
  <c r="IR137" i="1" s="1"/>
  <c r="IR138" i="1" s="1"/>
  <c r="IR139" i="1" s="1"/>
  <c r="IR140" i="1" s="1"/>
  <c r="IR141" i="1" s="1"/>
  <c r="IR142" i="1" s="1"/>
  <c r="BE74" i="5"/>
  <c r="D62" i="15" s="1"/>
  <c r="SJ361" i="1"/>
  <c r="SJ362" i="1" s="1"/>
  <c r="SJ363" i="1" s="1"/>
  <c r="SJ364" i="1" s="1"/>
  <c r="SJ365" i="1" s="1"/>
  <c r="SJ366" i="1" s="1"/>
  <c r="SJ367" i="1" s="1"/>
  <c r="SJ368" i="1" s="1"/>
  <c r="SJ369" i="1" s="1"/>
  <c r="SJ370" i="1" s="1"/>
  <c r="SJ371" i="1" s="1"/>
  <c r="SJ372" i="1" s="1"/>
  <c r="SJ373" i="1" s="1"/>
  <c r="SJ374" i="1" s="1"/>
  <c r="SJ375" i="1" s="1"/>
  <c r="SJ376" i="1" s="1"/>
  <c r="SJ377" i="1" s="1"/>
  <c r="SJ378" i="1" s="1"/>
  <c r="SJ379" i="1" s="1"/>
  <c r="SJ380" i="1" s="1"/>
  <c r="SJ381" i="1" s="1"/>
  <c r="SJ382" i="1" s="1"/>
  <c r="SJ383" i="1" s="1"/>
  <c r="SJ384" i="1" s="1"/>
  <c r="SJ385" i="1" s="1"/>
  <c r="SJ386" i="1" s="1"/>
  <c r="SJ387" i="1" s="1"/>
  <c r="SJ388" i="1" s="1"/>
  <c r="SJ389" i="1" s="1"/>
  <c r="SJ390" i="1" s="1"/>
  <c r="SJ391" i="1" s="1"/>
  <c r="TB361" i="1"/>
  <c r="TB362" i="1" s="1"/>
  <c r="TB363" i="1" s="1"/>
  <c r="TB364" i="1" s="1"/>
  <c r="TB365" i="1" s="1"/>
  <c r="TB366" i="1" s="1"/>
  <c r="TB367" i="1" s="1"/>
  <c r="TB368" i="1" s="1"/>
  <c r="TB369" i="1" s="1"/>
  <c r="TB370" i="1" s="1"/>
  <c r="TB371" i="1" s="1"/>
  <c r="TB372" i="1" s="1"/>
  <c r="TB373" i="1" s="1"/>
  <c r="TB374" i="1" s="1"/>
  <c r="TB375" i="1" s="1"/>
  <c r="TB376" i="1" s="1"/>
  <c r="TB377" i="1" s="1"/>
  <c r="TB378" i="1" s="1"/>
  <c r="TB379" i="1" s="1"/>
  <c r="TB380" i="1" s="1"/>
  <c r="TB381" i="1" s="1"/>
  <c r="TB382" i="1" s="1"/>
  <c r="TB383" i="1" s="1"/>
  <c r="TB384" i="1" s="1"/>
  <c r="TB385" i="1" s="1"/>
  <c r="TB386" i="1" s="1"/>
  <c r="TB387" i="1" s="1"/>
  <c r="TB388" i="1" s="1"/>
  <c r="TB389" i="1" s="1"/>
  <c r="TB390" i="1" s="1"/>
  <c r="TB391" i="1" s="1"/>
  <c r="BG74" i="5"/>
  <c r="BD74" i="5"/>
  <c r="D61" i="15" s="1"/>
  <c r="SA361" i="1"/>
  <c r="SA362" i="1" s="1"/>
  <c r="SA363" i="1" s="1"/>
  <c r="SA364" i="1" s="1"/>
  <c r="SA365" i="1" s="1"/>
  <c r="SA366" i="1" s="1"/>
  <c r="SA367" i="1" s="1"/>
  <c r="SA368" i="1" s="1"/>
  <c r="SA369" i="1" s="1"/>
  <c r="SA370" i="1" s="1"/>
  <c r="SA371" i="1" s="1"/>
  <c r="SA372" i="1" s="1"/>
  <c r="SA373" i="1" s="1"/>
  <c r="SA374" i="1" s="1"/>
  <c r="SA375" i="1" s="1"/>
  <c r="SA376" i="1" s="1"/>
  <c r="SA377" i="1" s="1"/>
  <c r="SA378" i="1" s="1"/>
  <c r="SA379" i="1" s="1"/>
  <c r="SA380" i="1" s="1"/>
  <c r="SA381" i="1" s="1"/>
  <c r="SA382" i="1" s="1"/>
  <c r="SA383" i="1" s="1"/>
  <c r="SA384" i="1" s="1"/>
  <c r="SA385" i="1" s="1"/>
  <c r="SA386" i="1" s="1"/>
  <c r="SA387" i="1" s="1"/>
  <c r="SA388" i="1" s="1"/>
  <c r="SA389" i="1" s="1"/>
  <c r="SA390" i="1" s="1"/>
  <c r="SA391" i="1" s="1"/>
  <c r="BF74" i="5"/>
  <c r="SS361" i="1"/>
  <c r="SS362" i="1" s="1"/>
  <c r="SS363" i="1" s="1"/>
  <c r="SS364" i="1" s="1"/>
  <c r="SS365" i="1" s="1"/>
  <c r="SS366" i="1" s="1"/>
  <c r="SS367" i="1" s="1"/>
  <c r="SS368" i="1" s="1"/>
  <c r="SS369" i="1" s="1"/>
  <c r="SS370" i="1" s="1"/>
  <c r="SS371" i="1" s="1"/>
  <c r="SS372" i="1" s="1"/>
  <c r="SS373" i="1" s="1"/>
  <c r="SS374" i="1" s="1"/>
  <c r="SS375" i="1" s="1"/>
  <c r="SS376" i="1" s="1"/>
  <c r="SS377" i="1" s="1"/>
  <c r="SS378" i="1" s="1"/>
  <c r="SS379" i="1" s="1"/>
  <c r="SS380" i="1" s="1"/>
  <c r="SS381" i="1" s="1"/>
  <c r="SS382" i="1" s="1"/>
  <c r="SS383" i="1" s="1"/>
  <c r="SS384" i="1" s="1"/>
  <c r="SS385" i="1" s="1"/>
  <c r="SS386" i="1" s="1"/>
  <c r="SS387" i="1" s="1"/>
  <c r="SS388" i="1" s="1"/>
  <c r="SS389" i="1" s="1"/>
  <c r="SS390" i="1" s="1"/>
  <c r="SS391" i="1" s="1"/>
  <c r="TK361" i="1"/>
  <c r="TK362" i="1" s="1"/>
  <c r="TK363" i="1" s="1"/>
  <c r="TK364" i="1" s="1"/>
  <c r="TK365" i="1" s="1"/>
  <c r="TK366" i="1" s="1"/>
  <c r="TK367" i="1" s="1"/>
  <c r="TK368" i="1" s="1"/>
  <c r="TK369" i="1" s="1"/>
  <c r="TK370" i="1" s="1"/>
  <c r="TK371" i="1" s="1"/>
  <c r="TK372" i="1" s="1"/>
  <c r="TK373" i="1" s="1"/>
  <c r="TK374" i="1" s="1"/>
  <c r="TK375" i="1" s="1"/>
  <c r="TK376" i="1" s="1"/>
  <c r="TK377" i="1" s="1"/>
  <c r="TK378" i="1" s="1"/>
  <c r="TK379" i="1" s="1"/>
  <c r="TK380" i="1" s="1"/>
  <c r="TK381" i="1" s="1"/>
  <c r="TK382" i="1" s="1"/>
  <c r="TK383" i="1" s="1"/>
  <c r="TK384" i="1" s="1"/>
  <c r="TK385" i="1" s="1"/>
  <c r="TK386" i="1" s="1"/>
  <c r="TK387" i="1" s="1"/>
  <c r="TK388" i="1" s="1"/>
  <c r="TK389" i="1" s="1"/>
  <c r="TK390" i="1" s="1"/>
  <c r="TK391" i="1" s="1"/>
  <c r="BH74" i="5"/>
  <c r="BC74" i="5"/>
  <c r="D60" i="15" s="1"/>
  <c r="RR361" i="1"/>
  <c r="RR362" i="1" s="1"/>
  <c r="RR363" i="1" s="1"/>
  <c r="RR364" i="1" s="1"/>
  <c r="RR365" i="1" s="1"/>
  <c r="RR366" i="1" s="1"/>
  <c r="RR367" i="1" s="1"/>
  <c r="RR368" i="1" s="1"/>
  <c r="RR369" i="1" s="1"/>
  <c r="RR370" i="1" s="1"/>
  <c r="RR371" i="1" s="1"/>
  <c r="RR372" i="1" s="1"/>
  <c r="RR373" i="1" s="1"/>
  <c r="RR374" i="1" s="1"/>
  <c r="RR375" i="1" s="1"/>
  <c r="RR376" i="1" s="1"/>
  <c r="RR377" i="1" s="1"/>
  <c r="RR378" i="1" s="1"/>
  <c r="RR379" i="1" s="1"/>
  <c r="RR380" i="1" s="1"/>
  <c r="RR381" i="1" s="1"/>
  <c r="RR382" i="1" s="1"/>
  <c r="RR383" i="1" s="1"/>
  <c r="RR384" i="1" s="1"/>
  <c r="RR385" i="1" s="1"/>
  <c r="RR386" i="1" s="1"/>
  <c r="RR387" i="1" s="1"/>
  <c r="RR388" i="1" s="1"/>
  <c r="RR389" i="1" s="1"/>
  <c r="RR390" i="1" s="1"/>
  <c r="RR391" i="1" s="1"/>
  <c r="QZ361" i="1"/>
  <c r="QZ362" i="1" s="1"/>
  <c r="QZ363" i="1" s="1"/>
  <c r="QZ364" i="1" s="1"/>
  <c r="QZ365" i="1" s="1"/>
  <c r="QZ366" i="1" s="1"/>
  <c r="QZ367" i="1" s="1"/>
  <c r="QZ368" i="1" s="1"/>
  <c r="QZ369" i="1" s="1"/>
  <c r="QZ370" i="1" s="1"/>
  <c r="QZ371" i="1" s="1"/>
  <c r="QZ372" i="1" s="1"/>
  <c r="QZ373" i="1" s="1"/>
  <c r="QZ374" i="1" s="1"/>
  <c r="QZ375" i="1" s="1"/>
  <c r="QZ376" i="1" s="1"/>
  <c r="QZ377" i="1" s="1"/>
  <c r="QZ378" i="1" s="1"/>
  <c r="QZ379" i="1" s="1"/>
  <c r="QZ380" i="1" s="1"/>
  <c r="QZ381" i="1" s="1"/>
  <c r="QZ382" i="1" s="1"/>
  <c r="QZ383" i="1" s="1"/>
  <c r="QZ384" i="1" s="1"/>
  <c r="QZ385" i="1" s="1"/>
  <c r="QZ386" i="1" s="1"/>
  <c r="QZ387" i="1" s="1"/>
  <c r="QZ388" i="1" s="1"/>
  <c r="QZ389" i="1" s="1"/>
  <c r="QZ390" i="1" s="1"/>
  <c r="QZ391" i="1" s="1"/>
  <c r="BA74" i="5"/>
  <c r="D58" i="15" s="1"/>
  <c r="G25" i="13"/>
  <c r="F25" i="13"/>
  <c r="G27" i="13"/>
  <c r="F27" i="13"/>
  <c r="G21" i="13"/>
  <c r="F21" i="13"/>
  <c r="G17" i="13"/>
  <c r="F17" i="13"/>
  <c r="G28" i="13"/>
  <c r="F28" i="13"/>
  <c r="G14" i="13"/>
  <c r="F14" i="13"/>
  <c r="G29" i="13"/>
  <c r="F29" i="13"/>
  <c r="G19" i="13"/>
  <c r="F19" i="13"/>
  <c r="G15" i="13"/>
  <c r="F15" i="13"/>
  <c r="G30" i="13"/>
  <c r="F30" i="13"/>
  <c r="G26" i="13"/>
  <c r="F26" i="13"/>
  <c r="F20" i="13"/>
  <c r="G20" i="13"/>
  <c r="G16" i="13"/>
  <c r="F16" i="13"/>
  <c r="G22" i="13"/>
  <c r="F22" i="13"/>
  <c r="G13" i="13"/>
  <c r="F13" i="13"/>
  <c r="G11" i="13"/>
  <c r="F11" i="13"/>
  <c r="F12" i="13"/>
  <c r="G12" i="13"/>
  <c r="F10" i="13"/>
  <c r="G10" i="13"/>
  <c r="F9" i="13"/>
  <c r="G9" i="13"/>
  <c r="G7" i="13"/>
  <c r="F7" i="13"/>
  <c r="F8" i="13"/>
  <c r="G8" i="13"/>
  <c r="G6" i="13"/>
  <c r="F6" i="13"/>
  <c r="F5" i="13"/>
  <c r="G5" i="13"/>
  <c r="G4" i="13"/>
  <c r="F4" i="13"/>
  <c r="RI361" i="1"/>
  <c r="RI362" i="1" s="1"/>
  <c r="RI363" i="1" s="1"/>
  <c r="RI364" i="1" s="1"/>
  <c r="RI365" i="1" s="1"/>
  <c r="RI366" i="1" s="1"/>
  <c r="RI367" i="1" s="1"/>
  <c r="RI368" i="1" s="1"/>
  <c r="RI369" i="1" s="1"/>
  <c r="RI370" i="1" s="1"/>
  <c r="RI371" i="1" s="1"/>
  <c r="RI372" i="1" s="1"/>
  <c r="RI373" i="1" s="1"/>
  <c r="RI374" i="1" s="1"/>
  <c r="RI375" i="1" s="1"/>
  <c r="RI376" i="1" s="1"/>
  <c r="RI377" i="1" s="1"/>
  <c r="RI378" i="1" s="1"/>
  <c r="RI379" i="1" s="1"/>
  <c r="RI380" i="1" s="1"/>
  <c r="RI381" i="1" s="1"/>
  <c r="RI382" i="1" s="1"/>
  <c r="RI383" i="1" s="1"/>
  <c r="RI384" i="1" s="1"/>
  <c r="RI385" i="1" s="1"/>
  <c r="RI386" i="1" s="1"/>
  <c r="RI387" i="1" s="1"/>
  <c r="RI388" i="1" s="1"/>
  <c r="RI389" i="1" s="1"/>
  <c r="RI390" i="1" s="1"/>
  <c r="RI391" i="1" s="1"/>
  <c r="BB78" i="5" s="1"/>
  <c r="H59" i="15" s="1"/>
  <c r="F69" i="15"/>
  <c r="G69" i="15"/>
  <c r="G68" i="16"/>
  <c r="F68" i="16"/>
  <c r="F68" i="14"/>
  <c r="G68" i="14"/>
  <c r="F69" i="8"/>
  <c r="G69" i="8"/>
  <c r="F78" i="11"/>
  <c r="Z13" i="5"/>
  <c r="F30" i="18" s="1"/>
  <c r="V13" i="5"/>
  <c r="F26" i="18" s="1"/>
  <c r="Y13" i="5"/>
  <c r="F29" i="18" s="1"/>
  <c r="T13" i="5"/>
  <c r="F22" i="18" s="1"/>
  <c r="U13" i="5"/>
  <c r="F25" i="18" s="1"/>
  <c r="X13" i="5"/>
  <c r="F28" i="18" s="1"/>
  <c r="W13" i="5"/>
  <c r="F27" i="18" s="1"/>
  <c r="P13" i="5"/>
  <c r="F18" i="18" s="1"/>
  <c r="R13" i="5"/>
  <c r="F20" i="18" s="1"/>
  <c r="Q13" i="5"/>
  <c r="F19" i="18" s="1"/>
  <c r="S13" i="5"/>
  <c r="F21" i="18" s="1"/>
  <c r="B13" i="5"/>
  <c r="F4" i="18" s="1"/>
  <c r="N13" i="5"/>
  <c r="F16" i="18" s="1"/>
  <c r="M13" i="5"/>
  <c r="F15" i="18" s="1"/>
  <c r="C13" i="5"/>
  <c r="F5" i="18" s="1"/>
  <c r="I13" i="5"/>
  <c r="F11" i="18" s="1"/>
  <c r="D13" i="5"/>
  <c r="F6" i="18" s="1"/>
  <c r="F13" i="5"/>
  <c r="F8" i="18" s="1"/>
  <c r="H13" i="5"/>
  <c r="F10" i="18" s="1"/>
  <c r="J13" i="5"/>
  <c r="F12" i="18" s="1"/>
  <c r="G13" i="5"/>
  <c r="F9" i="18" s="1"/>
  <c r="L13" i="5"/>
  <c r="F14" i="18" s="1"/>
  <c r="E13" i="5"/>
  <c r="F7" i="18" s="1"/>
  <c r="K13" i="5"/>
  <c r="F13" i="18" s="1"/>
  <c r="B20" i="5"/>
  <c r="F4" i="19" s="1"/>
  <c r="AL64" i="5"/>
  <c r="H42" i="13" s="1"/>
  <c r="O42" i="13" s="1"/>
  <c r="LU324" i="1"/>
  <c r="M29" i="5"/>
  <c r="H15" i="20" s="1"/>
  <c r="O15" i="20" s="1"/>
  <c r="DC146" i="1"/>
  <c r="AD29" i="5"/>
  <c r="H34" i="20" s="1"/>
  <c r="O34" i="20" s="1"/>
  <c r="JA146" i="1"/>
  <c r="JB146" i="1" s="1"/>
  <c r="LC182" i="1"/>
  <c r="LD182" i="1" s="1"/>
  <c r="AJ36" i="5"/>
  <c r="H40" i="21" s="1"/>
  <c r="O40" i="21" s="1"/>
  <c r="MV324" i="1"/>
  <c r="AO64" i="5"/>
  <c r="H45" i="13" s="1"/>
  <c r="O45" i="13" s="1"/>
  <c r="NE324" i="1"/>
  <c r="AP64" i="5"/>
  <c r="H46" i="13" s="1"/>
  <c r="O46" i="13" s="1"/>
  <c r="G13" i="12"/>
  <c r="AN64" i="5"/>
  <c r="H44" i="13" s="1"/>
  <c r="O44" i="13" s="1"/>
  <c r="MM324" i="1"/>
  <c r="O4" i="17"/>
  <c r="T22" i="5"/>
  <c r="H22" i="19" s="1"/>
  <c r="O22" i="19" s="1"/>
  <c r="FN111" i="1"/>
  <c r="AK29" i="5"/>
  <c r="H41" i="20" s="1"/>
  <c r="O41" i="20" s="1"/>
  <c r="LL146" i="1"/>
  <c r="LM146" i="1" s="1"/>
  <c r="AQ46" i="5"/>
  <c r="NN218" i="1"/>
  <c r="NN219" i="1" s="1"/>
  <c r="NN220" i="1" s="1"/>
  <c r="NN221" i="1" s="1"/>
  <c r="NN222" i="1" s="1"/>
  <c r="NN223" i="1" s="1"/>
  <c r="NN224" i="1" s="1"/>
  <c r="NN225" i="1" s="1"/>
  <c r="NN226" i="1" s="1"/>
  <c r="NN227" i="1" s="1"/>
  <c r="NN228" i="1" s="1"/>
  <c r="NN229" i="1" s="1"/>
  <c r="NN230" i="1" s="1"/>
  <c r="NN231" i="1" s="1"/>
  <c r="NN232" i="1" s="1"/>
  <c r="NN233" i="1" s="1"/>
  <c r="NN234" i="1" s="1"/>
  <c r="NN235" i="1" s="1"/>
  <c r="NN236" i="1" s="1"/>
  <c r="NN237" i="1" s="1"/>
  <c r="NN238" i="1" s="1"/>
  <c r="NN239" i="1" s="1"/>
  <c r="NN240" i="1" s="1"/>
  <c r="NN241" i="1" s="1"/>
  <c r="NN242" i="1" s="1"/>
  <c r="NN243" i="1" s="1"/>
  <c r="NN244" i="1" s="1"/>
  <c r="NN245" i="1" s="1"/>
  <c r="NN246" i="1" s="1"/>
  <c r="NN247" i="1" s="1"/>
  <c r="NN248" i="1" s="1"/>
  <c r="NN249" i="1" s="1"/>
  <c r="AG29" i="5"/>
  <c r="H37" i="20" s="1"/>
  <c r="O37" i="20" s="1"/>
  <c r="KB146" i="1"/>
  <c r="AB29" i="5"/>
  <c r="H32" i="20" s="1"/>
  <c r="O32" i="20" s="1"/>
  <c r="II146" i="1"/>
  <c r="IJ146" i="1" s="1"/>
  <c r="MD324" i="1"/>
  <c r="AM64" i="5"/>
  <c r="H43" i="13" s="1"/>
  <c r="O43" i="13" s="1"/>
  <c r="BI249" i="1"/>
  <c r="H49" i="5" s="1"/>
  <c r="G10" i="11" s="1"/>
  <c r="G78" i="11" s="1"/>
  <c r="H75" i="1"/>
  <c r="B15" i="5"/>
  <c r="H4" i="18" s="1"/>
  <c r="O4" i="18" s="1"/>
  <c r="AT46" i="5"/>
  <c r="D50" i="11" s="1"/>
  <c r="AT50" i="5"/>
  <c r="H50" i="11" s="1"/>
  <c r="O50" i="11" s="1"/>
  <c r="AX46" i="5"/>
  <c r="D54" i="11" s="1"/>
  <c r="PY218" i="1"/>
  <c r="PY219" i="1" s="1"/>
  <c r="PY220" i="1" s="1"/>
  <c r="PY221" i="1" s="1"/>
  <c r="PY222" i="1" s="1"/>
  <c r="PY223" i="1" s="1"/>
  <c r="PY224" i="1" s="1"/>
  <c r="PY225" i="1" s="1"/>
  <c r="PY226" i="1" s="1"/>
  <c r="PY227" i="1" s="1"/>
  <c r="PY228" i="1" s="1"/>
  <c r="PY229" i="1" s="1"/>
  <c r="PY230" i="1" s="1"/>
  <c r="PY231" i="1" s="1"/>
  <c r="PY232" i="1" s="1"/>
  <c r="PY233" i="1" s="1"/>
  <c r="PY234" i="1" s="1"/>
  <c r="PY235" i="1" s="1"/>
  <c r="PY236" i="1" s="1"/>
  <c r="PY237" i="1" s="1"/>
  <c r="PY238" i="1" s="1"/>
  <c r="PY239" i="1" s="1"/>
  <c r="PY240" i="1" s="1"/>
  <c r="PY241" i="1" s="1"/>
  <c r="PY242" i="1" s="1"/>
  <c r="PY243" i="1" s="1"/>
  <c r="PY244" i="1" s="1"/>
  <c r="PY245" i="1" s="1"/>
  <c r="PY246" i="1" s="1"/>
  <c r="PY247" i="1" s="1"/>
  <c r="PY248" i="1" s="1"/>
  <c r="PY249" i="1" s="1"/>
  <c r="AS46" i="5"/>
  <c r="D49" i="11" s="1"/>
  <c r="AS50" i="5"/>
  <c r="H49" i="11" s="1"/>
  <c r="O49" i="11" s="1"/>
  <c r="AY46" i="5"/>
  <c r="D55" i="11" s="1"/>
  <c r="QH218" i="1"/>
  <c r="QH219" i="1" s="1"/>
  <c r="QH220" i="1" s="1"/>
  <c r="QH221" i="1" s="1"/>
  <c r="QH222" i="1" s="1"/>
  <c r="QH223" i="1" s="1"/>
  <c r="QH224" i="1" s="1"/>
  <c r="QH225" i="1" s="1"/>
  <c r="QH226" i="1" s="1"/>
  <c r="QH227" i="1" s="1"/>
  <c r="QH228" i="1" s="1"/>
  <c r="QH229" i="1" s="1"/>
  <c r="QH230" i="1" s="1"/>
  <c r="QH231" i="1" s="1"/>
  <c r="QH232" i="1" s="1"/>
  <c r="QH233" i="1" s="1"/>
  <c r="QH234" i="1" s="1"/>
  <c r="QH235" i="1" s="1"/>
  <c r="QH236" i="1" s="1"/>
  <c r="QH237" i="1" s="1"/>
  <c r="QH238" i="1" s="1"/>
  <c r="QH239" i="1" s="1"/>
  <c r="QH240" i="1" s="1"/>
  <c r="QH241" i="1" s="1"/>
  <c r="QH242" i="1" s="1"/>
  <c r="QH243" i="1" s="1"/>
  <c r="QH244" i="1" s="1"/>
  <c r="QH245" i="1" s="1"/>
  <c r="QH246" i="1" s="1"/>
  <c r="QH247" i="1" s="1"/>
  <c r="QH248" i="1" s="1"/>
  <c r="QH249" i="1" s="1"/>
  <c r="AV46" i="5"/>
  <c r="D52" i="11" s="1"/>
  <c r="PG218" i="1"/>
  <c r="PG219" i="1" s="1"/>
  <c r="PG220" i="1" s="1"/>
  <c r="PG221" i="1" s="1"/>
  <c r="PG222" i="1" s="1"/>
  <c r="PG223" i="1" s="1"/>
  <c r="PG224" i="1" s="1"/>
  <c r="PG225" i="1" s="1"/>
  <c r="PG226" i="1" s="1"/>
  <c r="PG227" i="1" s="1"/>
  <c r="PG228" i="1" s="1"/>
  <c r="PG229" i="1" s="1"/>
  <c r="PG230" i="1" s="1"/>
  <c r="PG231" i="1" s="1"/>
  <c r="PG232" i="1" s="1"/>
  <c r="PG233" i="1" s="1"/>
  <c r="PG234" i="1" s="1"/>
  <c r="PG235" i="1" s="1"/>
  <c r="PG236" i="1" s="1"/>
  <c r="PG237" i="1" s="1"/>
  <c r="PG238" i="1" s="1"/>
  <c r="PG239" i="1" s="1"/>
  <c r="PG240" i="1" s="1"/>
  <c r="PG241" i="1" s="1"/>
  <c r="PG242" i="1" s="1"/>
  <c r="PG243" i="1" s="1"/>
  <c r="PG244" i="1" s="1"/>
  <c r="PG245" i="1" s="1"/>
  <c r="PG246" i="1" s="1"/>
  <c r="PG247" i="1" s="1"/>
  <c r="PG248" i="1" s="1"/>
  <c r="PG249" i="1" s="1"/>
  <c r="AW46" i="5"/>
  <c r="D53" i="11" s="1"/>
  <c r="PP218" i="1"/>
  <c r="PP219" i="1" s="1"/>
  <c r="PP220" i="1" s="1"/>
  <c r="PP221" i="1" s="1"/>
  <c r="PP222" i="1" s="1"/>
  <c r="PP223" i="1" s="1"/>
  <c r="PP224" i="1" s="1"/>
  <c r="PP225" i="1" s="1"/>
  <c r="PP226" i="1" s="1"/>
  <c r="PP227" i="1" s="1"/>
  <c r="PP228" i="1" s="1"/>
  <c r="PP229" i="1" s="1"/>
  <c r="PP230" i="1" s="1"/>
  <c r="PP231" i="1" s="1"/>
  <c r="PP232" i="1" s="1"/>
  <c r="PP233" i="1" s="1"/>
  <c r="PP234" i="1" s="1"/>
  <c r="PP235" i="1" s="1"/>
  <c r="PP236" i="1" s="1"/>
  <c r="PP237" i="1" s="1"/>
  <c r="PP238" i="1" s="1"/>
  <c r="PP239" i="1" s="1"/>
  <c r="PP240" i="1" s="1"/>
  <c r="PP241" i="1" s="1"/>
  <c r="PP242" i="1" s="1"/>
  <c r="PP243" i="1" s="1"/>
  <c r="PP244" i="1" s="1"/>
  <c r="PP245" i="1" s="1"/>
  <c r="PP246" i="1" s="1"/>
  <c r="PP247" i="1" s="1"/>
  <c r="PP248" i="1" s="1"/>
  <c r="PP249" i="1" s="1"/>
  <c r="AU46" i="5"/>
  <c r="D51" i="11" s="1"/>
  <c r="AU50" i="5"/>
  <c r="H51" i="11" s="1"/>
  <c r="O51" i="11" s="1"/>
  <c r="AZ46" i="5"/>
  <c r="D56" i="11" s="1"/>
  <c r="QQ218" i="1"/>
  <c r="QQ219" i="1" s="1"/>
  <c r="QQ220" i="1" s="1"/>
  <c r="QQ221" i="1" s="1"/>
  <c r="QQ222" i="1" s="1"/>
  <c r="QQ223" i="1" s="1"/>
  <c r="QQ224" i="1" s="1"/>
  <c r="QQ225" i="1" s="1"/>
  <c r="QQ226" i="1" s="1"/>
  <c r="QQ227" i="1" s="1"/>
  <c r="QQ228" i="1" s="1"/>
  <c r="QQ229" i="1" s="1"/>
  <c r="QQ230" i="1" s="1"/>
  <c r="QQ231" i="1" s="1"/>
  <c r="QQ232" i="1" s="1"/>
  <c r="QQ233" i="1" s="1"/>
  <c r="QQ234" i="1" s="1"/>
  <c r="QQ235" i="1" s="1"/>
  <c r="QQ236" i="1" s="1"/>
  <c r="QQ237" i="1" s="1"/>
  <c r="QQ238" i="1" s="1"/>
  <c r="QQ239" i="1" s="1"/>
  <c r="QQ240" i="1" s="1"/>
  <c r="QQ241" i="1" s="1"/>
  <c r="QQ242" i="1" s="1"/>
  <c r="QQ243" i="1" s="1"/>
  <c r="QQ244" i="1" s="1"/>
  <c r="QQ245" i="1" s="1"/>
  <c r="QQ246" i="1" s="1"/>
  <c r="QQ247" i="1" s="1"/>
  <c r="QQ248" i="1" s="1"/>
  <c r="QQ249" i="1" s="1"/>
  <c r="N29" i="5"/>
  <c r="H16" i="20" s="1"/>
  <c r="O16" i="20" s="1"/>
  <c r="L29" i="5"/>
  <c r="H14" i="20" s="1"/>
  <c r="O14" i="20" s="1"/>
  <c r="X29" i="5"/>
  <c r="H28" i="20" s="1"/>
  <c r="O28" i="20" s="1"/>
  <c r="GX146" i="1"/>
  <c r="GY146" i="1" s="1"/>
  <c r="AI29" i="5"/>
  <c r="H39" i="20" s="1"/>
  <c r="O39" i="20" s="1"/>
  <c r="KT146" i="1"/>
  <c r="AE29" i="5"/>
  <c r="H35" i="20" s="1"/>
  <c r="O35" i="20" s="1"/>
  <c r="JJ146" i="1"/>
  <c r="JK146" i="1" s="1"/>
  <c r="Q32" i="5"/>
  <c r="D19" i="21" s="1"/>
  <c r="EM147" i="1"/>
  <c r="EM148" i="1" s="1"/>
  <c r="EM149" i="1" s="1"/>
  <c r="EM150" i="1" s="1"/>
  <c r="EM151" i="1" s="1"/>
  <c r="EM152" i="1" s="1"/>
  <c r="EM153" i="1" s="1"/>
  <c r="EM154" i="1" s="1"/>
  <c r="EM155" i="1" s="1"/>
  <c r="EM156" i="1" s="1"/>
  <c r="EM157" i="1" s="1"/>
  <c r="EM158" i="1" s="1"/>
  <c r="EM159" i="1" s="1"/>
  <c r="EM160" i="1" s="1"/>
  <c r="EM161" i="1" s="1"/>
  <c r="EM162" i="1" s="1"/>
  <c r="EM163" i="1" s="1"/>
  <c r="EM164" i="1" s="1"/>
  <c r="EM165" i="1" s="1"/>
  <c r="EM166" i="1" s="1"/>
  <c r="EM167" i="1" s="1"/>
  <c r="EM168" i="1" s="1"/>
  <c r="EM169" i="1" s="1"/>
  <c r="EM170" i="1" s="1"/>
  <c r="EM171" i="1" s="1"/>
  <c r="EM172" i="1" s="1"/>
  <c r="EM173" i="1" s="1"/>
  <c r="EM174" i="1" s="1"/>
  <c r="EM175" i="1" s="1"/>
  <c r="EM176" i="1" s="1"/>
  <c r="EM177" i="1" s="1"/>
  <c r="EM178" i="1" s="1"/>
  <c r="W32" i="5"/>
  <c r="D27" i="21" s="1"/>
  <c r="GO147" i="1"/>
  <c r="GO148" i="1" s="1"/>
  <c r="GO149" i="1" s="1"/>
  <c r="GO150" i="1" s="1"/>
  <c r="GO151" i="1" s="1"/>
  <c r="GO152" i="1" s="1"/>
  <c r="GO153" i="1" s="1"/>
  <c r="GO154" i="1" s="1"/>
  <c r="GO155" i="1" s="1"/>
  <c r="GO156" i="1" s="1"/>
  <c r="GO157" i="1" s="1"/>
  <c r="GO158" i="1" s="1"/>
  <c r="GO159" i="1" s="1"/>
  <c r="GO160" i="1" s="1"/>
  <c r="GO161" i="1" s="1"/>
  <c r="GO162" i="1" s="1"/>
  <c r="GO163" i="1" s="1"/>
  <c r="GO164" i="1" s="1"/>
  <c r="GO165" i="1" s="1"/>
  <c r="GO166" i="1" s="1"/>
  <c r="GO167" i="1" s="1"/>
  <c r="GO168" i="1" s="1"/>
  <c r="GO169" i="1" s="1"/>
  <c r="GO170" i="1" s="1"/>
  <c r="GO171" i="1" s="1"/>
  <c r="GO172" i="1" s="1"/>
  <c r="GO173" i="1" s="1"/>
  <c r="GO174" i="1" s="1"/>
  <c r="GO175" i="1" s="1"/>
  <c r="GO176" i="1" s="1"/>
  <c r="GO177" i="1" s="1"/>
  <c r="GO178" i="1" s="1"/>
  <c r="GP178" i="1" s="1"/>
  <c r="AA29" i="5"/>
  <c r="H31" i="20" s="1"/>
  <c r="O31" i="20" s="1"/>
  <c r="HZ146" i="1"/>
  <c r="IA146" i="1" s="1"/>
  <c r="AF29" i="5"/>
  <c r="H36" i="20" s="1"/>
  <c r="O36" i="20" s="1"/>
  <c r="JS146" i="1"/>
  <c r="JT146" i="1" s="1"/>
  <c r="R29" i="5"/>
  <c r="H20" i="20" s="1"/>
  <c r="O20" i="20" s="1"/>
  <c r="EV146" i="1"/>
  <c r="U29" i="5"/>
  <c r="H25" i="20" s="1"/>
  <c r="O25" i="20" s="1"/>
  <c r="FW146" i="1"/>
  <c r="FX146" i="1" s="1"/>
  <c r="O29" i="5"/>
  <c r="H17" i="20" s="1"/>
  <c r="O17" i="20" s="1"/>
  <c r="DU146" i="1"/>
  <c r="V32" i="5"/>
  <c r="D26" i="21" s="1"/>
  <c r="GF147" i="1"/>
  <c r="GF148" i="1" s="1"/>
  <c r="GF149" i="1" s="1"/>
  <c r="GF150" i="1" s="1"/>
  <c r="GF151" i="1" s="1"/>
  <c r="GF152" i="1" s="1"/>
  <c r="GF153" i="1" s="1"/>
  <c r="GF154" i="1" s="1"/>
  <c r="GF155" i="1" s="1"/>
  <c r="GF156" i="1" s="1"/>
  <c r="GF157" i="1" s="1"/>
  <c r="GF158" i="1" s="1"/>
  <c r="GF159" i="1" s="1"/>
  <c r="GF160" i="1" s="1"/>
  <c r="GF161" i="1" s="1"/>
  <c r="GF162" i="1" s="1"/>
  <c r="GF163" i="1" s="1"/>
  <c r="GF164" i="1" s="1"/>
  <c r="GF165" i="1" s="1"/>
  <c r="GF166" i="1" s="1"/>
  <c r="GF167" i="1" s="1"/>
  <c r="GF168" i="1" s="1"/>
  <c r="GF169" i="1" s="1"/>
  <c r="GF170" i="1" s="1"/>
  <c r="GF171" i="1" s="1"/>
  <c r="GF172" i="1" s="1"/>
  <c r="GF173" i="1" s="1"/>
  <c r="GF174" i="1" s="1"/>
  <c r="GF175" i="1" s="1"/>
  <c r="GF176" i="1" s="1"/>
  <c r="GF177" i="1" s="1"/>
  <c r="GF178" i="1" s="1"/>
  <c r="GG178" i="1" s="1"/>
  <c r="AH29" i="5"/>
  <c r="H38" i="20" s="1"/>
  <c r="O38" i="20" s="1"/>
  <c r="KK146" i="1"/>
  <c r="KL146" i="1" s="1"/>
  <c r="Z29" i="5"/>
  <c r="H30" i="20" s="1"/>
  <c r="O30" i="20" s="1"/>
  <c r="HP146" i="1"/>
  <c r="P29" i="5"/>
  <c r="H18" i="20" s="1"/>
  <c r="O18" i="20" s="1"/>
  <c r="ED146" i="1"/>
  <c r="Y29" i="5"/>
  <c r="H29" i="20" s="1"/>
  <c r="O29" i="20" s="1"/>
  <c r="HG146" i="1"/>
  <c r="HH146" i="1" s="1"/>
  <c r="S29" i="5"/>
  <c r="H21" i="20" s="1"/>
  <c r="O21" i="20" s="1"/>
  <c r="FE146" i="1"/>
  <c r="BI71" i="1"/>
  <c r="H14" i="5" s="1"/>
  <c r="G10" i="18" s="1"/>
  <c r="P71" i="1"/>
  <c r="C14" i="5" s="1"/>
  <c r="G5" i="18" s="1"/>
  <c r="AQ71" i="1"/>
  <c r="F14" i="5" s="1"/>
  <c r="G8" i="18" s="1"/>
  <c r="G71" i="1"/>
  <c r="B14" i="5" s="1"/>
  <c r="G4" i="18" s="1"/>
  <c r="Y71" i="1"/>
  <c r="D14" i="5" s="1"/>
  <c r="G6" i="18" s="1"/>
  <c r="CA71" i="1"/>
  <c r="J14" i="5" s="1"/>
  <c r="G12" i="18" s="1"/>
  <c r="AH71" i="1"/>
  <c r="E14" i="5" s="1"/>
  <c r="G7" i="18" s="1"/>
  <c r="AZ71" i="1"/>
  <c r="G14" i="5" s="1"/>
  <c r="G9" i="18" s="1"/>
  <c r="BR71" i="1"/>
  <c r="I14" i="5" s="1"/>
  <c r="G11" i="18" s="1"/>
  <c r="CJ71" i="1"/>
  <c r="K14" i="5" s="1"/>
  <c r="G13" i="18" s="1"/>
  <c r="D32" i="5"/>
  <c r="D6" i="21" s="1"/>
  <c r="IS142" i="1" l="1"/>
  <c r="AC29" i="5"/>
  <c r="H33" i="20" s="1"/>
  <c r="O33" i="20" s="1"/>
  <c r="IR146" i="1"/>
  <c r="TK395" i="1"/>
  <c r="BH78" i="5"/>
  <c r="BF78" i="5"/>
  <c r="SS395" i="1"/>
  <c r="TB395" i="1"/>
  <c r="BG78" i="5"/>
  <c r="BD78" i="5"/>
  <c r="H61" i="15" s="1"/>
  <c r="SA395" i="1"/>
  <c r="BE78" i="5"/>
  <c r="H62" i="15" s="1"/>
  <c r="SJ395" i="1"/>
  <c r="BC78" i="5"/>
  <c r="H60" i="15" s="1"/>
  <c r="RR395" i="1"/>
  <c r="QZ395" i="1"/>
  <c r="BA78" i="5"/>
  <c r="H58" i="15" s="1"/>
  <c r="G69" i="13"/>
  <c r="G71" i="13" s="1"/>
  <c r="F69" i="13"/>
  <c r="F71" i="13" s="1"/>
  <c r="RI395" i="1"/>
  <c r="BB81" i="5" s="1"/>
  <c r="D58" i="16" s="1"/>
  <c r="AL67" i="5"/>
  <c r="D42" i="14" s="1"/>
  <c r="LU325" i="1"/>
  <c r="LU326" i="1" s="1"/>
  <c r="LU327" i="1" s="1"/>
  <c r="LU328" i="1" s="1"/>
  <c r="LU329" i="1" s="1"/>
  <c r="LU330" i="1" s="1"/>
  <c r="LU331" i="1" s="1"/>
  <c r="LU332" i="1" s="1"/>
  <c r="LU333" i="1" s="1"/>
  <c r="LU334" i="1" s="1"/>
  <c r="LU335" i="1" s="1"/>
  <c r="LU336" i="1" s="1"/>
  <c r="LU337" i="1" s="1"/>
  <c r="LU338" i="1" s="1"/>
  <c r="LU339" i="1" s="1"/>
  <c r="LU340" i="1" s="1"/>
  <c r="LU341" i="1" s="1"/>
  <c r="LU342" i="1" s="1"/>
  <c r="LU343" i="1" s="1"/>
  <c r="LU344" i="1" s="1"/>
  <c r="LU345" i="1" s="1"/>
  <c r="LU346" i="1" s="1"/>
  <c r="LU347" i="1" s="1"/>
  <c r="LU348" i="1" s="1"/>
  <c r="LU349" i="1" s="1"/>
  <c r="LU350" i="1" s="1"/>
  <c r="LU351" i="1" s="1"/>
  <c r="LU352" i="1" s="1"/>
  <c r="LU353" i="1" s="1"/>
  <c r="LU354" i="1" s="1"/>
  <c r="LU355" i="1" s="1"/>
  <c r="LU356" i="1" s="1"/>
  <c r="AP67" i="5"/>
  <c r="D46" i="14" s="1"/>
  <c r="NE325" i="1"/>
  <c r="NE326" i="1" s="1"/>
  <c r="NE327" i="1" s="1"/>
  <c r="NE328" i="1" s="1"/>
  <c r="NE329" i="1" s="1"/>
  <c r="NE330" i="1" s="1"/>
  <c r="NE331" i="1" s="1"/>
  <c r="NE332" i="1" s="1"/>
  <c r="NE333" i="1" s="1"/>
  <c r="NE334" i="1" s="1"/>
  <c r="NE335" i="1" s="1"/>
  <c r="NE336" i="1" s="1"/>
  <c r="NE337" i="1" s="1"/>
  <c r="NE338" i="1" s="1"/>
  <c r="NE339" i="1" s="1"/>
  <c r="NE340" i="1" s="1"/>
  <c r="NE341" i="1" s="1"/>
  <c r="NE342" i="1" s="1"/>
  <c r="NE343" i="1" s="1"/>
  <c r="NE344" i="1" s="1"/>
  <c r="NE345" i="1" s="1"/>
  <c r="NE346" i="1" s="1"/>
  <c r="NE347" i="1" s="1"/>
  <c r="NE348" i="1" s="1"/>
  <c r="NE349" i="1" s="1"/>
  <c r="NE350" i="1" s="1"/>
  <c r="NE351" i="1" s="1"/>
  <c r="NE352" i="1" s="1"/>
  <c r="NE353" i="1" s="1"/>
  <c r="NE354" i="1" s="1"/>
  <c r="NE355" i="1" s="1"/>
  <c r="MV325" i="1"/>
  <c r="MV326" i="1" s="1"/>
  <c r="MV327" i="1" s="1"/>
  <c r="MV328" i="1" s="1"/>
  <c r="MV329" i="1" s="1"/>
  <c r="MV330" i="1" s="1"/>
  <c r="MV331" i="1" s="1"/>
  <c r="MV332" i="1" s="1"/>
  <c r="MV333" i="1" s="1"/>
  <c r="MV334" i="1" s="1"/>
  <c r="MV335" i="1" s="1"/>
  <c r="MV336" i="1" s="1"/>
  <c r="MV337" i="1" s="1"/>
  <c r="MV338" i="1" s="1"/>
  <c r="MV339" i="1" s="1"/>
  <c r="MV340" i="1" s="1"/>
  <c r="MV341" i="1" s="1"/>
  <c r="MV342" i="1" s="1"/>
  <c r="MV343" i="1" s="1"/>
  <c r="MV344" i="1" s="1"/>
  <c r="MV345" i="1" s="1"/>
  <c r="MV346" i="1" s="1"/>
  <c r="MV347" i="1" s="1"/>
  <c r="MV348" i="1" s="1"/>
  <c r="MV349" i="1" s="1"/>
  <c r="MV350" i="1" s="1"/>
  <c r="MV351" i="1" s="1"/>
  <c r="MV352" i="1" s="1"/>
  <c r="MV353" i="1" s="1"/>
  <c r="MV354" i="1" s="1"/>
  <c r="MV355" i="1" s="1"/>
  <c r="MV356" i="1" s="1"/>
  <c r="AO67" i="5"/>
  <c r="D45" i="14" s="1"/>
  <c r="AJ39" i="5"/>
  <c r="D40" i="8" s="1"/>
  <c r="LC183" i="1"/>
  <c r="LC184" i="1" s="1"/>
  <c r="LC185" i="1" s="1"/>
  <c r="LC186" i="1" s="1"/>
  <c r="LC187" i="1" s="1"/>
  <c r="LC188" i="1" s="1"/>
  <c r="LC189" i="1" s="1"/>
  <c r="LC190" i="1" s="1"/>
  <c r="LC191" i="1" s="1"/>
  <c r="LC192" i="1" s="1"/>
  <c r="LC193" i="1" s="1"/>
  <c r="LC194" i="1" s="1"/>
  <c r="LC195" i="1" s="1"/>
  <c r="LC196" i="1" s="1"/>
  <c r="LC197" i="1" s="1"/>
  <c r="LC198" i="1" s="1"/>
  <c r="LC199" i="1" s="1"/>
  <c r="LC200" i="1" s="1"/>
  <c r="LC201" i="1" s="1"/>
  <c r="LC202" i="1" s="1"/>
  <c r="LC203" i="1" s="1"/>
  <c r="LC204" i="1" s="1"/>
  <c r="LC205" i="1" s="1"/>
  <c r="LC206" i="1" s="1"/>
  <c r="LC207" i="1" s="1"/>
  <c r="LC208" i="1" s="1"/>
  <c r="LC209" i="1" s="1"/>
  <c r="LC210" i="1" s="1"/>
  <c r="LC211" i="1" s="1"/>
  <c r="LC212" i="1" s="1"/>
  <c r="LC213" i="1" s="1"/>
  <c r="LD213" i="1" s="1"/>
  <c r="AD32" i="5"/>
  <c r="D34" i="21" s="1"/>
  <c r="JA147" i="1"/>
  <c r="JA148" i="1" s="1"/>
  <c r="JA149" i="1" s="1"/>
  <c r="JA150" i="1" s="1"/>
  <c r="JA151" i="1" s="1"/>
  <c r="JA152" i="1" s="1"/>
  <c r="JA153" i="1" s="1"/>
  <c r="JA154" i="1" s="1"/>
  <c r="JA155" i="1" s="1"/>
  <c r="JA156" i="1" s="1"/>
  <c r="JA157" i="1" s="1"/>
  <c r="JA158" i="1" s="1"/>
  <c r="JA159" i="1" s="1"/>
  <c r="JA160" i="1" s="1"/>
  <c r="JA161" i="1" s="1"/>
  <c r="JA162" i="1" s="1"/>
  <c r="JA163" i="1" s="1"/>
  <c r="JA164" i="1" s="1"/>
  <c r="JA165" i="1" s="1"/>
  <c r="JA166" i="1" s="1"/>
  <c r="JA167" i="1" s="1"/>
  <c r="JA168" i="1" s="1"/>
  <c r="JA169" i="1" s="1"/>
  <c r="JA170" i="1" s="1"/>
  <c r="JA171" i="1" s="1"/>
  <c r="JA172" i="1" s="1"/>
  <c r="JA173" i="1" s="1"/>
  <c r="JA174" i="1" s="1"/>
  <c r="JA175" i="1" s="1"/>
  <c r="JA176" i="1" s="1"/>
  <c r="JA177" i="1" s="1"/>
  <c r="JA178" i="1" s="1"/>
  <c r="JB178" i="1" s="1"/>
  <c r="DC147" i="1"/>
  <c r="DC148" i="1" s="1"/>
  <c r="DC149" i="1" s="1"/>
  <c r="DC150" i="1" s="1"/>
  <c r="DC151" i="1" s="1"/>
  <c r="DC152" i="1" s="1"/>
  <c r="DC153" i="1" s="1"/>
  <c r="DC154" i="1" s="1"/>
  <c r="DC155" i="1" s="1"/>
  <c r="DC156" i="1" s="1"/>
  <c r="DC157" i="1" s="1"/>
  <c r="DC158" i="1" s="1"/>
  <c r="DC159" i="1" s="1"/>
  <c r="DC160" i="1" s="1"/>
  <c r="DC161" i="1" s="1"/>
  <c r="DC162" i="1" s="1"/>
  <c r="DC163" i="1" s="1"/>
  <c r="DC164" i="1" s="1"/>
  <c r="DC165" i="1" s="1"/>
  <c r="DC166" i="1" s="1"/>
  <c r="DC167" i="1" s="1"/>
  <c r="DC168" i="1" s="1"/>
  <c r="DC169" i="1" s="1"/>
  <c r="DC170" i="1" s="1"/>
  <c r="DC171" i="1" s="1"/>
  <c r="DC172" i="1" s="1"/>
  <c r="DC173" i="1" s="1"/>
  <c r="DC174" i="1" s="1"/>
  <c r="DC175" i="1" s="1"/>
  <c r="DC176" i="1" s="1"/>
  <c r="DC177" i="1" s="1"/>
  <c r="DC178" i="1" s="1"/>
  <c r="M32" i="5"/>
  <c r="D15" i="21" s="1"/>
  <c r="H90" i="18"/>
  <c r="H92" i="18" s="1"/>
  <c r="AN67" i="5"/>
  <c r="D44" i="14" s="1"/>
  <c r="MM325" i="1"/>
  <c r="MM326" i="1" s="1"/>
  <c r="MM327" i="1" s="1"/>
  <c r="MM328" i="1" s="1"/>
  <c r="MM329" i="1" s="1"/>
  <c r="MM330" i="1" s="1"/>
  <c r="MM331" i="1" s="1"/>
  <c r="MM332" i="1" s="1"/>
  <c r="MM333" i="1" s="1"/>
  <c r="MM334" i="1" s="1"/>
  <c r="MM335" i="1" s="1"/>
  <c r="MM336" i="1" s="1"/>
  <c r="MM337" i="1" s="1"/>
  <c r="MM338" i="1" s="1"/>
  <c r="MM339" i="1" s="1"/>
  <c r="MM340" i="1" s="1"/>
  <c r="MM341" i="1" s="1"/>
  <c r="MM342" i="1" s="1"/>
  <c r="MM343" i="1" s="1"/>
  <c r="MM344" i="1" s="1"/>
  <c r="MM345" i="1" s="1"/>
  <c r="MM346" i="1" s="1"/>
  <c r="MM347" i="1" s="1"/>
  <c r="MM348" i="1" s="1"/>
  <c r="MM349" i="1" s="1"/>
  <c r="MM350" i="1" s="1"/>
  <c r="MM351" i="1" s="1"/>
  <c r="MM352" i="1" s="1"/>
  <c r="MM353" i="1" s="1"/>
  <c r="MM354" i="1" s="1"/>
  <c r="MM355" i="1" s="1"/>
  <c r="MM356" i="1" s="1"/>
  <c r="T25" i="5"/>
  <c r="D22" i="20" s="1"/>
  <c r="FN112" i="1"/>
  <c r="FN113" i="1" s="1"/>
  <c r="FN114" i="1" s="1"/>
  <c r="FN115" i="1" s="1"/>
  <c r="FN116" i="1" s="1"/>
  <c r="FN117" i="1" s="1"/>
  <c r="FN118" i="1" s="1"/>
  <c r="FN119" i="1" s="1"/>
  <c r="FN120" i="1" s="1"/>
  <c r="FN121" i="1" s="1"/>
  <c r="FN122" i="1" s="1"/>
  <c r="FN123" i="1" s="1"/>
  <c r="FN124" i="1" s="1"/>
  <c r="FN125" i="1" s="1"/>
  <c r="FN126" i="1" s="1"/>
  <c r="FN127" i="1" s="1"/>
  <c r="FN128" i="1" s="1"/>
  <c r="FN129" i="1" s="1"/>
  <c r="FN130" i="1" s="1"/>
  <c r="FN131" i="1" s="1"/>
  <c r="FN132" i="1" s="1"/>
  <c r="FN133" i="1" s="1"/>
  <c r="FN134" i="1" s="1"/>
  <c r="FN135" i="1" s="1"/>
  <c r="FN136" i="1" s="1"/>
  <c r="FN137" i="1" s="1"/>
  <c r="FN138" i="1" s="1"/>
  <c r="FN139" i="1" s="1"/>
  <c r="FN140" i="1" s="1"/>
  <c r="FN141" i="1" s="1"/>
  <c r="FN142" i="1" s="1"/>
  <c r="AQ50" i="5"/>
  <c r="NN253" i="1"/>
  <c r="AB32" i="5"/>
  <c r="D32" i="21" s="1"/>
  <c r="II147" i="1"/>
  <c r="II148" i="1" s="1"/>
  <c r="II149" i="1" s="1"/>
  <c r="II150" i="1" s="1"/>
  <c r="II151" i="1" s="1"/>
  <c r="II152" i="1" s="1"/>
  <c r="II153" i="1" s="1"/>
  <c r="II154" i="1" s="1"/>
  <c r="II155" i="1" s="1"/>
  <c r="II156" i="1" s="1"/>
  <c r="II157" i="1" s="1"/>
  <c r="II158" i="1" s="1"/>
  <c r="II159" i="1" s="1"/>
  <c r="II160" i="1" s="1"/>
  <c r="II161" i="1" s="1"/>
  <c r="II162" i="1" s="1"/>
  <c r="II163" i="1" s="1"/>
  <c r="II164" i="1" s="1"/>
  <c r="II165" i="1" s="1"/>
  <c r="II166" i="1" s="1"/>
  <c r="II167" i="1" s="1"/>
  <c r="II168" i="1" s="1"/>
  <c r="II169" i="1" s="1"/>
  <c r="II170" i="1" s="1"/>
  <c r="II171" i="1" s="1"/>
  <c r="II172" i="1" s="1"/>
  <c r="II173" i="1" s="1"/>
  <c r="II174" i="1" s="1"/>
  <c r="II175" i="1" s="1"/>
  <c r="II176" i="1" s="1"/>
  <c r="II177" i="1" s="1"/>
  <c r="II178" i="1" s="1"/>
  <c r="IJ178" i="1" s="1"/>
  <c r="AK32" i="5"/>
  <c r="D41" i="21" s="1"/>
  <c r="LL147" i="1"/>
  <c r="LL148" i="1" s="1"/>
  <c r="LL149" i="1" s="1"/>
  <c r="LL150" i="1" s="1"/>
  <c r="LL151" i="1" s="1"/>
  <c r="LL152" i="1" s="1"/>
  <c r="LL153" i="1" s="1"/>
  <c r="LL154" i="1" s="1"/>
  <c r="LL155" i="1" s="1"/>
  <c r="LL156" i="1" s="1"/>
  <c r="LL157" i="1" s="1"/>
  <c r="LL158" i="1" s="1"/>
  <c r="LL159" i="1" s="1"/>
  <c r="LL160" i="1" s="1"/>
  <c r="LL161" i="1" s="1"/>
  <c r="LL162" i="1" s="1"/>
  <c r="LL163" i="1" s="1"/>
  <c r="LL164" i="1" s="1"/>
  <c r="LL165" i="1" s="1"/>
  <c r="LL166" i="1" s="1"/>
  <c r="LL167" i="1" s="1"/>
  <c r="LL168" i="1" s="1"/>
  <c r="LL169" i="1" s="1"/>
  <c r="LL170" i="1" s="1"/>
  <c r="LL171" i="1" s="1"/>
  <c r="LL172" i="1" s="1"/>
  <c r="LL173" i="1" s="1"/>
  <c r="LL174" i="1" s="1"/>
  <c r="LL175" i="1" s="1"/>
  <c r="LL176" i="1" s="1"/>
  <c r="LL177" i="1" s="1"/>
  <c r="LL178" i="1" s="1"/>
  <c r="LM178" i="1" s="1"/>
  <c r="KB147" i="1"/>
  <c r="KB148" i="1" s="1"/>
  <c r="KB149" i="1" s="1"/>
  <c r="KB150" i="1" s="1"/>
  <c r="KB151" i="1" s="1"/>
  <c r="KB152" i="1" s="1"/>
  <c r="KB153" i="1" s="1"/>
  <c r="KB154" i="1" s="1"/>
  <c r="KB155" i="1" s="1"/>
  <c r="KB156" i="1" s="1"/>
  <c r="KB157" i="1" s="1"/>
  <c r="KB158" i="1" s="1"/>
  <c r="KB159" i="1" s="1"/>
  <c r="KB160" i="1" s="1"/>
  <c r="KB161" i="1" s="1"/>
  <c r="KB162" i="1" s="1"/>
  <c r="KB163" i="1" s="1"/>
  <c r="KB164" i="1" s="1"/>
  <c r="KB165" i="1" s="1"/>
  <c r="KB166" i="1" s="1"/>
  <c r="KB167" i="1" s="1"/>
  <c r="KB168" i="1" s="1"/>
  <c r="KB169" i="1" s="1"/>
  <c r="KB170" i="1" s="1"/>
  <c r="KB171" i="1" s="1"/>
  <c r="KB172" i="1" s="1"/>
  <c r="KB173" i="1" s="1"/>
  <c r="KB174" i="1" s="1"/>
  <c r="KB175" i="1" s="1"/>
  <c r="KB176" i="1" s="1"/>
  <c r="KB177" i="1" s="1"/>
  <c r="KB178" i="1" s="1"/>
  <c r="KC178" i="1" s="1"/>
  <c r="AG32" i="5"/>
  <c r="D37" i="21" s="1"/>
  <c r="AM67" i="5"/>
  <c r="D43" i="14" s="1"/>
  <c r="MD325" i="1"/>
  <c r="MD326" i="1" s="1"/>
  <c r="MD327" i="1" s="1"/>
  <c r="MD328" i="1" s="1"/>
  <c r="MD329" i="1" s="1"/>
  <c r="MD330" i="1" s="1"/>
  <c r="MD331" i="1" s="1"/>
  <c r="MD332" i="1" s="1"/>
  <c r="MD333" i="1" s="1"/>
  <c r="MD334" i="1" s="1"/>
  <c r="MD335" i="1" s="1"/>
  <c r="MD336" i="1" s="1"/>
  <c r="MD337" i="1" s="1"/>
  <c r="MD338" i="1" s="1"/>
  <c r="MD339" i="1" s="1"/>
  <c r="MD340" i="1" s="1"/>
  <c r="MD341" i="1" s="1"/>
  <c r="MD342" i="1" s="1"/>
  <c r="MD343" i="1" s="1"/>
  <c r="MD344" i="1" s="1"/>
  <c r="MD345" i="1" s="1"/>
  <c r="MD346" i="1" s="1"/>
  <c r="MD347" i="1" s="1"/>
  <c r="MD348" i="1" s="1"/>
  <c r="MD349" i="1" s="1"/>
  <c r="MD350" i="1" s="1"/>
  <c r="MD351" i="1" s="1"/>
  <c r="MD352" i="1" s="1"/>
  <c r="MD353" i="1" s="1"/>
  <c r="MD354" i="1" s="1"/>
  <c r="MD355" i="1" s="1"/>
  <c r="MD356" i="1" s="1"/>
  <c r="F80" i="11"/>
  <c r="F71" i="15"/>
  <c r="F70" i="14"/>
  <c r="F71" i="8"/>
  <c r="G80" i="11"/>
  <c r="G70" i="14"/>
  <c r="F88" i="19"/>
  <c r="F90" i="19" s="1"/>
  <c r="F90" i="18"/>
  <c r="F92" i="18" s="1"/>
  <c r="F70" i="16"/>
  <c r="G90" i="18"/>
  <c r="G92" i="18" s="1"/>
  <c r="G71" i="8"/>
  <c r="G88" i="19"/>
  <c r="G90" i="19" s="1"/>
  <c r="G70" i="16"/>
  <c r="G71" i="15"/>
  <c r="H76" i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B18" i="5"/>
  <c r="D4" i="19" s="1"/>
  <c r="D88" i="19" s="1"/>
  <c r="D90" i="19" s="1"/>
  <c r="AY50" i="5"/>
  <c r="H55" i="11" s="1"/>
  <c r="O55" i="11" s="1"/>
  <c r="QH253" i="1"/>
  <c r="AZ50" i="5"/>
  <c r="H56" i="11" s="1"/>
  <c r="O56" i="11" s="1"/>
  <c r="QQ253" i="1"/>
  <c r="AX50" i="5"/>
  <c r="H54" i="11" s="1"/>
  <c r="O54" i="11" s="1"/>
  <c r="PY253" i="1"/>
  <c r="AV50" i="5"/>
  <c r="H52" i="11" s="1"/>
  <c r="O52" i="11" s="1"/>
  <c r="PG253" i="1"/>
  <c r="AW50" i="5"/>
  <c r="H53" i="11" s="1"/>
  <c r="O53" i="11" s="1"/>
  <c r="PP253" i="1"/>
  <c r="ED147" i="1"/>
  <c r="ED148" i="1" s="1"/>
  <c r="ED149" i="1" s="1"/>
  <c r="ED150" i="1" s="1"/>
  <c r="ED151" i="1" s="1"/>
  <c r="ED152" i="1" s="1"/>
  <c r="ED153" i="1" s="1"/>
  <c r="ED154" i="1" s="1"/>
  <c r="ED155" i="1" s="1"/>
  <c r="ED156" i="1" s="1"/>
  <c r="ED157" i="1" s="1"/>
  <c r="ED158" i="1" s="1"/>
  <c r="ED159" i="1" s="1"/>
  <c r="ED160" i="1" s="1"/>
  <c r="ED161" i="1" s="1"/>
  <c r="ED162" i="1" s="1"/>
  <c r="ED163" i="1" s="1"/>
  <c r="ED164" i="1" s="1"/>
  <c r="ED165" i="1" s="1"/>
  <c r="ED166" i="1" s="1"/>
  <c r="ED167" i="1" s="1"/>
  <c r="ED168" i="1" s="1"/>
  <c r="ED169" i="1" s="1"/>
  <c r="ED170" i="1" s="1"/>
  <c r="ED171" i="1" s="1"/>
  <c r="ED172" i="1" s="1"/>
  <c r="ED173" i="1" s="1"/>
  <c r="ED174" i="1" s="1"/>
  <c r="ED175" i="1" s="1"/>
  <c r="ED176" i="1" s="1"/>
  <c r="ED177" i="1" s="1"/>
  <c r="ED178" i="1" s="1"/>
  <c r="P32" i="5"/>
  <c r="D18" i="21" s="1"/>
  <c r="AH32" i="5"/>
  <c r="D38" i="21" s="1"/>
  <c r="KK147" i="1"/>
  <c r="KK148" i="1" s="1"/>
  <c r="KK149" i="1" s="1"/>
  <c r="KK150" i="1" s="1"/>
  <c r="KK151" i="1" s="1"/>
  <c r="KK152" i="1" s="1"/>
  <c r="KK153" i="1" s="1"/>
  <c r="KK154" i="1" s="1"/>
  <c r="KK155" i="1" s="1"/>
  <c r="KK156" i="1" s="1"/>
  <c r="KK157" i="1" s="1"/>
  <c r="KK158" i="1" s="1"/>
  <c r="KK159" i="1" s="1"/>
  <c r="KK160" i="1" s="1"/>
  <c r="KK161" i="1" s="1"/>
  <c r="KK162" i="1" s="1"/>
  <c r="KK163" i="1" s="1"/>
  <c r="KK164" i="1" s="1"/>
  <c r="KK165" i="1" s="1"/>
  <c r="KK166" i="1" s="1"/>
  <c r="KK167" i="1" s="1"/>
  <c r="KK168" i="1" s="1"/>
  <c r="KK169" i="1" s="1"/>
  <c r="KK170" i="1" s="1"/>
  <c r="KK171" i="1" s="1"/>
  <c r="KK172" i="1" s="1"/>
  <c r="KK173" i="1" s="1"/>
  <c r="KK174" i="1" s="1"/>
  <c r="KK175" i="1" s="1"/>
  <c r="KK176" i="1" s="1"/>
  <c r="KK177" i="1" s="1"/>
  <c r="KK178" i="1" s="1"/>
  <c r="KL178" i="1" s="1"/>
  <c r="Q36" i="5"/>
  <c r="H19" i="21" s="1"/>
  <c r="O19" i="21" s="1"/>
  <c r="EM182" i="1"/>
  <c r="KT147" i="1"/>
  <c r="KT148" i="1" s="1"/>
  <c r="KT149" i="1" s="1"/>
  <c r="KT150" i="1" s="1"/>
  <c r="KT151" i="1" s="1"/>
  <c r="KT152" i="1" s="1"/>
  <c r="KT153" i="1" s="1"/>
  <c r="KT154" i="1" s="1"/>
  <c r="KT155" i="1" s="1"/>
  <c r="KT156" i="1" s="1"/>
  <c r="KT157" i="1" s="1"/>
  <c r="KT158" i="1" s="1"/>
  <c r="KT159" i="1" s="1"/>
  <c r="KT160" i="1" s="1"/>
  <c r="KT161" i="1" s="1"/>
  <c r="KT162" i="1" s="1"/>
  <c r="KT163" i="1" s="1"/>
  <c r="KT164" i="1" s="1"/>
  <c r="KT165" i="1" s="1"/>
  <c r="KT166" i="1" s="1"/>
  <c r="KT167" i="1" s="1"/>
  <c r="KT168" i="1" s="1"/>
  <c r="KT169" i="1" s="1"/>
  <c r="KT170" i="1" s="1"/>
  <c r="KT171" i="1" s="1"/>
  <c r="KT172" i="1" s="1"/>
  <c r="KT173" i="1" s="1"/>
  <c r="KT174" i="1" s="1"/>
  <c r="KT175" i="1" s="1"/>
  <c r="KT176" i="1" s="1"/>
  <c r="KT177" i="1" s="1"/>
  <c r="KT178" i="1" s="1"/>
  <c r="KU178" i="1" s="1"/>
  <c r="AI32" i="5"/>
  <c r="D39" i="21" s="1"/>
  <c r="L32" i="5"/>
  <c r="D14" i="21" s="1"/>
  <c r="CT147" i="1"/>
  <c r="CT148" i="1" s="1"/>
  <c r="CT149" i="1" s="1"/>
  <c r="CT150" i="1" s="1"/>
  <c r="CT151" i="1" s="1"/>
  <c r="CT152" i="1" s="1"/>
  <c r="CT153" i="1" s="1"/>
  <c r="CT154" i="1" s="1"/>
  <c r="CT155" i="1" s="1"/>
  <c r="CT156" i="1" s="1"/>
  <c r="CT157" i="1" s="1"/>
  <c r="CT158" i="1" s="1"/>
  <c r="CT159" i="1" s="1"/>
  <c r="CT160" i="1" s="1"/>
  <c r="CT161" i="1" s="1"/>
  <c r="CT162" i="1" s="1"/>
  <c r="CT163" i="1" s="1"/>
  <c r="CT164" i="1" s="1"/>
  <c r="CT165" i="1" s="1"/>
  <c r="CT166" i="1" s="1"/>
  <c r="CT167" i="1" s="1"/>
  <c r="CT168" i="1" s="1"/>
  <c r="CT169" i="1" s="1"/>
  <c r="CT170" i="1" s="1"/>
  <c r="CT171" i="1" s="1"/>
  <c r="CT172" i="1" s="1"/>
  <c r="CT173" i="1" s="1"/>
  <c r="CT174" i="1" s="1"/>
  <c r="CT175" i="1" s="1"/>
  <c r="CT176" i="1" s="1"/>
  <c r="CT177" i="1" s="1"/>
  <c r="CT178" i="1" s="1"/>
  <c r="V36" i="5"/>
  <c r="H26" i="21" s="1"/>
  <c r="O26" i="21" s="1"/>
  <c r="GF182" i="1"/>
  <c r="GG182" i="1" s="1"/>
  <c r="DU147" i="1"/>
  <c r="DU148" i="1" s="1"/>
  <c r="DU149" i="1" s="1"/>
  <c r="DU150" i="1" s="1"/>
  <c r="DU151" i="1" s="1"/>
  <c r="DU152" i="1" s="1"/>
  <c r="DU153" i="1" s="1"/>
  <c r="DU154" i="1" s="1"/>
  <c r="DU155" i="1" s="1"/>
  <c r="DU156" i="1" s="1"/>
  <c r="DU157" i="1" s="1"/>
  <c r="DU158" i="1" s="1"/>
  <c r="DU159" i="1" s="1"/>
  <c r="DU160" i="1" s="1"/>
  <c r="DU161" i="1" s="1"/>
  <c r="DU162" i="1" s="1"/>
  <c r="DU163" i="1" s="1"/>
  <c r="DU164" i="1" s="1"/>
  <c r="DU165" i="1" s="1"/>
  <c r="DU166" i="1" s="1"/>
  <c r="DU167" i="1" s="1"/>
  <c r="DU168" i="1" s="1"/>
  <c r="DU169" i="1" s="1"/>
  <c r="DU170" i="1" s="1"/>
  <c r="DU171" i="1" s="1"/>
  <c r="DU172" i="1" s="1"/>
  <c r="DU173" i="1" s="1"/>
  <c r="DU174" i="1" s="1"/>
  <c r="DU175" i="1" s="1"/>
  <c r="DU176" i="1" s="1"/>
  <c r="DU177" i="1" s="1"/>
  <c r="DU178" i="1" s="1"/>
  <c r="O32" i="5"/>
  <c r="D17" i="21" s="1"/>
  <c r="R32" i="5"/>
  <c r="D20" i="21" s="1"/>
  <c r="EV147" i="1"/>
  <c r="EV148" i="1" s="1"/>
  <c r="EV149" i="1" s="1"/>
  <c r="EV150" i="1" s="1"/>
  <c r="EV151" i="1" s="1"/>
  <c r="EV152" i="1" s="1"/>
  <c r="EV153" i="1" s="1"/>
  <c r="EV154" i="1" s="1"/>
  <c r="EV155" i="1" s="1"/>
  <c r="EV156" i="1" s="1"/>
  <c r="EV157" i="1" s="1"/>
  <c r="EV158" i="1" s="1"/>
  <c r="EV159" i="1" s="1"/>
  <c r="EV160" i="1" s="1"/>
  <c r="EV161" i="1" s="1"/>
  <c r="EV162" i="1" s="1"/>
  <c r="EV163" i="1" s="1"/>
  <c r="EV164" i="1" s="1"/>
  <c r="EV165" i="1" s="1"/>
  <c r="EV166" i="1" s="1"/>
  <c r="EV167" i="1" s="1"/>
  <c r="EV168" i="1" s="1"/>
  <c r="EV169" i="1" s="1"/>
  <c r="EV170" i="1" s="1"/>
  <c r="EV171" i="1" s="1"/>
  <c r="EV172" i="1" s="1"/>
  <c r="EV173" i="1" s="1"/>
  <c r="EV174" i="1" s="1"/>
  <c r="EV175" i="1" s="1"/>
  <c r="EV176" i="1" s="1"/>
  <c r="EV177" i="1" s="1"/>
  <c r="EV178" i="1" s="1"/>
  <c r="HZ147" i="1"/>
  <c r="HZ148" i="1" s="1"/>
  <c r="HZ149" i="1" s="1"/>
  <c r="HZ150" i="1" s="1"/>
  <c r="HZ151" i="1" s="1"/>
  <c r="HZ152" i="1" s="1"/>
  <c r="HZ153" i="1" s="1"/>
  <c r="HZ154" i="1" s="1"/>
  <c r="HZ155" i="1" s="1"/>
  <c r="HZ156" i="1" s="1"/>
  <c r="HZ157" i="1" s="1"/>
  <c r="HZ158" i="1" s="1"/>
  <c r="HZ159" i="1" s="1"/>
  <c r="HZ160" i="1" s="1"/>
  <c r="HZ161" i="1" s="1"/>
  <c r="HZ162" i="1" s="1"/>
  <c r="HZ163" i="1" s="1"/>
  <c r="HZ164" i="1" s="1"/>
  <c r="HZ165" i="1" s="1"/>
  <c r="HZ166" i="1" s="1"/>
  <c r="HZ167" i="1" s="1"/>
  <c r="HZ168" i="1" s="1"/>
  <c r="HZ169" i="1" s="1"/>
  <c r="HZ170" i="1" s="1"/>
  <c r="HZ171" i="1" s="1"/>
  <c r="HZ172" i="1" s="1"/>
  <c r="HZ173" i="1" s="1"/>
  <c r="HZ174" i="1" s="1"/>
  <c r="HZ175" i="1" s="1"/>
  <c r="HZ176" i="1" s="1"/>
  <c r="HZ177" i="1" s="1"/>
  <c r="HZ178" i="1" s="1"/>
  <c r="IA178" i="1" s="1"/>
  <c r="AA32" i="5"/>
  <c r="D31" i="21" s="1"/>
  <c r="Z32" i="5"/>
  <c r="D30" i="21" s="1"/>
  <c r="HP147" i="1"/>
  <c r="HP148" i="1" s="1"/>
  <c r="HP149" i="1" s="1"/>
  <c r="HP150" i="1" s="1"/>
  <c r="HP151" i="1" s="1"/>
  <c r="HP152" i="1" s="1"/>
  <c r="HP153" i="1" s="1"/>
  <c r="HP154" i="1" s="1"/>
  <c r="HP155" i="1" s="1"/>
  <c r="HP156" i="1" s="1"/>
  <c r="HP157" i="1" s="1"/>
  <c r="HP158" i="1" s="1"/>
  <c r="HP159" i="1" s="1"/>
  <c r="HP160" i="1" s="1"/>
  <c r="HP161" i="1" s="1"/>
  <c r="HP162" i="1" s="1"/>
  <c r="HP163" i="1" s="1"/>
  <c r="HP164" i="1" s="1"/>
  <c r="HP165" i="1" s="1"/>
  <c r="HP166" i="1" s="1"/>
  <c r="HP167" i="1" s="1"/>
  <c r="HP168" i="1" s="1"/>
  <c r="HP169" i="1" s="1"/>
  <c r="HP170" i="1" s="1"/>
  <c r="HP171" i="1" s="1"/>
  <c r="HP172" i="1" s="1"/>
  <c r="HP173" i="1" s="1"/>
  <c r="HP174" i="1" s="1"/>
  <c r="HP175" i="1" s="1"/>
  <c r="HP176" i="1" s="1"/>
  <c r="HP177" i="1" s="1"/>
  <c r="HP178" i="1" s="1"/>
  <c r="FW147" i="1"/>
  <c r="FW148" i="1" s="1"/>
  <c r="FW149" i="1" s="1"/>
  <c r="FW150" i="1" s="1"/>
  <c r="FW151" i="1" s="1"/>
  <c r="FW152" i="1" s="1"/>
  <c r="FW153" i="1" s="1"/>
  <c r="FW154" i="1" s="1"/>
  <c r="FW155" i="1" s="1"/>
  <c r="FW156" i="1" s="1"/>
  <c r="FW157" i="1" s="1"/>
  <c r="FW158" i="1" s="1"/>
  <c r="FW159" i="1" s="1"/>
  <c r="FW160" i="1" s="1"/>
  <c r="FW161" i="1" s="1"/>
  <c r="FW162" i="1" s="1"/>
  <c r="FW163" i="1" s="1"/>
  <c r="FW164" i="1" s="1"/>
  <c r="FW165" i="1" s="1"/>
  <c r="FW166" i="1" s="1"/>
  <c r="FW167" i="1" s="1"/>
  <c r="FW168" i="1" s="1"/>
  <c r="FW169" i="1" s="1"/>
  <c r="FW170" i="1" s="1"/>
  <c r="FW171" i="1" s="1"/>
  <c r="FW172" i="1" s="1"/>
  <c r="FW173" i="1" s="1"/>
  <c r="FW174" i="1" s="1"/>
  <c r="FW175" i="1" s="1"/>
  <c r="FW176" i="1" s="1"/>
  <c r="FW177" i="1" s="1"/>
  <c r="FW178" i="1" s="1"/>
  <c r="FX178" i="1" s="1"/>
  <c r="U32" i="5"/>
  <c r="D25" i="21" s="1"/>
  <c r="AF32" i="5"/>
  <c r="D36" i="21" s="1"/>
  <c r="JS147" i="1"/>
  <c r="JS148" i="1" s="1"/>
  <c r="JS149" i="1" s="1"/>
  <c r="JS150" i="1" s="1"/>
  <c r="JS151" i="1" s="1"/>
  <c r="JS152" i="1" s="1"/>
  <c r="JS153" i="1" s="1"/>
  <c r="JS154" i="1" s="1"/>
  <c r="JS155" i="1" s="1"/>
  <c r="JS156" i="1" s="1"/>
  <c r="JS157" i="1" s="1"/>
  <c r="JS158" i="1" s="1"/>
  <c r="JS159" i="1" s="1"/>
  <c r="JS160" i="1" s="1"/>
  <c r="JS161" i="1" s="1"/>
  <c r="JS162" i="1" s="1"/>
  <c r="JS163" i="1" s="1"/>
  <c r="JS164" i="1" s="1"/>
  <c r="JS165" i="1" s="1"/>
  <c r="JS166" i="1" s="1"/>
  <c r="JS167" i="1" s="1"/>
  <c r="JS168" i="1" s="1"/>
  <c r="JS169" i="1" s="1"/>
  <c r="JS170" i="1" s="1"/>
  <c r="JS171" i="1" s="1"/>
  <c r="JS172" i="1" s="1"/>
  <c r="JS173" i="1" s="1"/>
  <c r="JS174" i="1" s="1"/>
  <c r="JS175" i="1" s="1"/>
  <c r="JS176" i="1" s="1"/>
  <c r="JS177" i="1" s="1"/>
  <c r="JS178" i="1" s="1"/>
  <c r="JT178" i="1" s="1"/>
  <c r="W36" i="5"/>
  <c r="H27" i="21" s="1"/>
  <c r="O27" i="21" s="1"/>
  <c r="GO182" i="1"/>
  <c r="GP182" i="1" s="1"/>
  <c r="AE32" i="5"/>
  <c r="D35" i="21" s="1"/>
  <c r="JJ147" i="1"/>
  <c r="JJ148" i="1" s="1"/>
  <c r="JJ149" i="1" s="1"/>
  <c r="JJ150" i="1" s="1"/>
  <c r="JJ151" i="1" s="1"/>
  <c r="JJ152" i="1" s="1"/>
  <c r="JJ153" i="1" s="1"/>
  <c r="JJ154" i="1" s="1"/>
  <c r="JJ155" i="1" s="1"/>
  <c r="JJ156" i="1" s="1"/>
  <c r="JJ157" i="1" s="1"/>
  <c r="JJ158" i="1" s="1"/>
  <c r="JJ159" i="1" s="1"/>
  <c r="JJ160" i="1" s="1"/>
  <c r="JJ161" i="1" s="1"/>
  <c r="JJ162" i="1" s="1"/>
  <c r="JJ163" i="1" s="1"/>
  <c r="JJ164" i="1" s="1"/>
  <c r="JJ165" i="1" s="1"/>
  <c r="JJ166" i="1" s="1"/>
  <c r="JJ167" i="1" s="1"/>
  <c r="JJ168" i="1" s="1"/>
  <c r="JJ169" i="1" s="1"/>
  <c r="JJ170" i="1" s="1"/>
  <c r="JJ171" i="1" s="1"/>
  <c r="JJ172" i="1" s="1"/>
  <c r="JJ173" i="1" s="1"/>
  <c r="JJ174" i="1" s="1"/>
  <c r="JJ175" i="1" s="1"/>
  <c r="JJ176" i="1" s="1"/>
  <c r="JJ177" i="1" s="1"/>
  <c r="JJ178" i="1" s="1"/>
  <c r="JK178" i="1" s="1"/>
  <c r="X32" i="5"/>
  <c r="D28" i="21" s="1"/>
  <c r="GX147" i="1"/>
  <c r="GX148" i="1" s="1"/>
  <c r="GX149" i="1" s="1"/>
  <c r="GX150" i="1" s="1"/>
  <c r="GX151" i="1" s="1"/>
  <c r="GX152" i="1" s="1"/>
  <c r="GX153" i="1" s="1"/>
  <c r="GX154" i="1" s="1"/>
  <c r="GX155" i="1" s="1"/>
  <c r="GX156" i="1" s="1"/>
  <c r="GX157" i="1" s="1"/>
  <c r="GX158" i="1" s="1"/>
  <c r="GX159" i="1" s="1"/>
  <c r="GX160" i="1" s="1"/>
  <c r="GX161" i="1" s="1"/>
  <c r="GX162" i="1" s="1"/>
  <c r="GX163" i="1" s="1"/>
  <c r="GX164" i="1" s="1"/>
  <c r="GX165" i="1" s="1"/>
  <c r="GX166" i="1" s="1"/>
  <c r="GX167" i="1" s="1"/>
  <c r="GX168" i="1" s="1"/>
  <c r="GX169" i="1" s="1"/>
  <c r="GX170" i="1" s="1"/>
  <c r="GX171" i="1" s="1"/>
  <c r="GX172" i="1" s="1"/>
  <c r="GX173" i="1" s="1"/>
  <c r="GX174" i="1" s="1"/>
  <c r="GX175" i="1" s="1"/>
  <c r="GX176" i="1" s="1"/>
  <c r="GX177" i="1" s="1"/>
  <c r="GX178" i="1" s="1"/>
  <c r="GY178" i="1" s="1"/>
  <c r="DL147" i="1"/>
  <c r="DL148" i="1" s="1"/>
  <c r="DL149" i="1" s="1"/>
  <c r="DL150" i="1" s="1"/>
  <c r="DL151" i="1" s="1"/>
  <c r="DL152" i="1" s="1"/>
  <c r="DL153" i="1" s="1"/>
  <c r="DL154" i="1" s="1"/>
  <c r="DL155" i="1" s="1"/>
  <c r="DL156" i="1" s="1"/>
  <c r="DL157" i="1" s="1"/>
  <c r="DL158" i="1" s="1"/>
  <c r="DL159" i="1" s="1"/>
  <c r="DL160" i="1" s="1"/>
  <c r="DL161" i="1" s="1"/>
  <c r="DL162" i="1" s="1"/>
  <c r="DL163" i="1" s="1"/>
  <c r="DL164" i="1" s="1"/>
  <c r="DL165" i="1" s="1"/>
  <c r="DL166" i="1" s="1"/>
  <c r="DL167" i="1" s="1"/>
  <c r="DL168" i="1" s="1"/>
  <c r="DL169" i="1" s="1"/>
  <c r="DL170" i="1" s="1"/>
  <c r="DL171" i="1" s="1"/>
  <c r="DL172" i="1" s="1"/>
  <c r="DL173" i="1" s="1"/>
  <c r="DL174" i="1" s="1"/>
  <c r="DL175" i="1" s="1"/>
  <c r="DL176" i="1" s="1"/>
  <c r="DL177" i="1" s="1"/>
  <c r="DL178" i="1" s="1"/>
  <c r="DL182" i="1" s="1"/>
  <c r="N32" i="5"/>
  <c r="D16" i="21" s="1"/>
  <c r="Y32" i="5"/>
  <c r="D29" i="21" s="1"/>
  <c r="HG147" i="1"/>
  <c r="HG148" i="1" s="1"/>
  <c r="HG149" i="1" s="1"/>
  <c r="HG150" i="1" s="1"/>
  <c r="HG151" i="1" s="1"/>
  <c r="HG152" i="1" s="1"/>
  <c r="HG153" i="1" s="1"/>
  <c r="HG154" i="1" s="1"/>
  <c r="HG155" i="1" s="1"/>
  <c r="HG156" i="1" s="1"/>
  <c r="HG157" i="1" s="1"/>
  <c r="HG158" i="1" s="1"/>
  <c r="HG159" i="1" s="1"/>
  <c r="HG160" i="1" s="1"/>
  <c r="HG161" i="1" s="1"/>
  <c r="HG162" i="1" s="1"/>
  <c r="HG163" i="1" s="1"/>
  <c r="HG164" i="1" s="1"/>
  <c r="HG165" i="1" s="1"/>
  <c r="HG166" i="1" s="1"/>
  <c r="HG167" i="1" s="1"/>
  <c r="HG168" i="1" s="1"/>
  <c r="HG169" i="1" s="1"/>
  <c r="HG170" i="1" s="1"/>
  <c r="HG171" i="1" s="1"/>
  <c r="HG172" i="1" s="1"/>
  <c r="HG173" i="1" s="1"/>
  <c r="HG174" i="1" s="1"/>
  <c r="HG175" i="1" s="1"/>
  <c r="HG176" i="1" s="1"/>
  <c r="HG177" i="1" s="1"/>
  <c r="HG178" i="1" s="1"/>
  <c r="HH178" i="1" s="1"/>
  <c r="S32" i="5"/>
  <c r="D21" i="21" s="1"/>
  <c r="FE147" i="1"/>
  <c r="FE148" i="1" s="1"/>
  <c r="FE149" i="1" s="1"/>
  <c r="FE150" i="1" s="1"/>
  <c r="FE151" i="1" s="1"/>
  <c r="FE152" i="1" s="1"/>
  <c r="FE153" i="1" s="1"/>
  <c r="FE154" i="1" s="1"/>
  <c r="FE155" i="1" s="1"/>
  <c r="FE156" i="1" s="1"/>
  <c r="FE157" i="1" s="1"/>
  <c r="FE158" i="1" s="1"/>
  <c r="FE159" i="1" s="1"/>
  <c r="FE160" i="1" s="1"/>
  <c r="FE161" i="1" s="1"/>
  <c r="FE162" i="1" s="1"/>
  <c r="FE163" i="1" s="1"/>
  <c r="FE164" i="1" s="1"/>
  <c r="FE165" i="1" s="1"/>
  <c r="FE166" i="1" s="1"/>
  <c r="FE167" i="1" s="1"/>
  <c r="FE168" i="1" s="1"/>
  <c r="FE169" i="1" s="1"/>
  <c r="FE170" i="1" s="1"/>
  <c r="FE171" i="1" s="1"/>
  <c r="FE172" i="1" s="1"/>
  <c r="FE173" i="1" s="1"/>
  <c r="FE174" i="1" s="1"/>
  <c r="FE175" i="1" s="1"/>
  <c r="FE176" i="1" s="1"/>
  <c r="FE177" i="1" s="1"/>
  <c r="FE178" i="1" s="1"/>
  <c r="D36" i="5"/>
  <c r="H6" i="21" s="1"/>
  <c r="O6" i="21" s="1"/>
  <c r="IS146" i="1" l="1"/>
  <c r="AC32" i="5"/>
  <c r="D33" i="21" s="1"/>
  <c r="IR147" i="1"/>
  <c r="IR148" i="1" s="1"/>
  <c r="IR149" i="1" s="1"/>
  <c r="IR150" i="1" s="1"/>
  <c r="IR151" i="1" s="1"/>
  <c r="IR152" i="1" s="1"/>
  <c r="IR153" i="1" s="1"/>
  <c r="IR154" i="1" s="1"/>
  <c r="IR155" i="1" s="1"/>
  <c r="IR156" i="1" s="1"/>
  <c r="IR157" i="1" s="1"/>
  <c r="IR158" i="1" s="1"/>
  <c r="IR159" i="1" s="1"/>
  <c r="IR160" i="1" s="1"/>
  <c r="IR161" i="1" s="1"/>
  <c r="IR162" i="1" s="1"/>
  <c r="IR163" i="1" s="1"/>
  <c r="IR164" i="1" s="1"/>
  <c r="IR165" i="1" s="1"/>
  <c r="IR166" i="1" s="1"/>
  <c r="IR167" i="1" s="1"/>
  <c r="IR168" i="1" s="1"/>
  <c r="IR169" i="1" s="1"/>
  <c r="IR170" i="1" s="1"/>
  <c r="IR171" i="1" s="1"/>
  <c r="IR172" i="1" s="1"/>
  <c r="IR173" i="1" s="1"/>
  <c r="IR174" i="1" s="1"/>
  <c r="IR175" i="1" s="1"/>
  <c r="IR176" i="1" s="1"/>
  <c r="IR177" i="1" s="1"/>
  <c r="IR178" i="1" s="1"/>
  <c r="BE81" i="5"/>
  <c r="D61" i="16" s="1"/>
  <c r="SJ396" i="1"/>
  <c r="SJ397" i="1" s="1"/>
  <c r="SJ398" i="1" s="1"/>
  <c r="SJ399" i="1" s="1"/>
  <c r="SJ400" i="1" s="1"/>
  <c r="SJ401" i="1" s="1"/>
  <c r="SJ402" i="1" s="1"/>
  <c r="SJ403" i="1" s="1"/>
  <c r="SJ404" i="1" s="1"/>
  <c r="SJ405" i="1" s="1"/>
  <c r="SJ406" i="1" s="1"/>
  <c r="SJ407" i="1" s="1"/>
  <c r="SJ408" i="1" s="1"/>
  <c r="SJ409" i="1" s="1"/>
  <c r="SJ410" i="1" s="1"/>
  <c r="SJ411" i="1" s="1"/>
  <c r="SJ412" i="1" s="1"/>
  <c r="SJ413" i="1" s="1"/>
  <c r="SJ414" i="1" s="1"/>
  <c r="SJ415" i="1" s="1"/>
  <c r="SJ416" i="1" s="1"/>
  <c r="SJ417" i="1" s="1"/>
  <c r="SJ418" i="1" s="1"/>
  <c r="SJ419" i="1" s="1"/>
  <c r="SJ420" i="1" s="1"/>
  <c r="SJ421" i="1" s="1"/>
  <c r="SJ422" i="1" s="1"/>
  <c r="SJ423" i="1" s="1"/>
  <c r="SJ424" i="1" s="1"/>
  <c r="SJ425" i="1" s="1"/>
  <c r="SJ426" i="1" s="1"/>
  <c r="SJ427" i="1" s="1"/>
  <c r="BD81" i="5"/>
  <c r="D60" i="16" s="1"/>
  <c r="SA396" i="1"/>
  <c r="SA397" i="1" s="1"/>
  <c r="SA398" i="1" s="1"/>
  <c r="SA399" i="1" s="1"/>
  <c r="SA400" i="1" s="1"/>
  <c r="SA401" i="1" s="1"/>
  <c r="SA402" i="1" s="1"/>
  <c r="SA403" i="1" s="1"/>
  <c r="SA404" i="1" s="1"/>
  <c r="SA405" i="1" s="1"/>
  <c r="SA406" i="1" s="1"/>
  <c r="SA407" i="1" s="1"/>
  <c r="SA408" i="1" s="1"/>
  <c r="SA409" i="1" s="1"/>
  <c r="SA410" i="1" s="1"/>
  <c r="SA411" i="1" s="1"/>
  <c r="SA412" i="1" s="1"/>
  <c r="SA413" i="1" s="1"/>
  <c r="SA414" i="1" s="1"/>
  <c r="SA415" i="1" s="1"/>
  <c r="SA416" i="1" s="1"/>
  <c r="SA417" i="1" s="1"/>
  <c r="SA418" i="1" s="1"/>
  <c r="SA419" i="1" s="1"/>
  <c r="SA420" i="1" s="1"/>
  <c r="SA421" i="1" s="1"/>
  <c r="SA422" i="1" s="1"/>
  <c r="SA423" i="1" s="1"/>
  <c r="SA424" i="1" s="1"/>
  <c r="SA425" i="1" s="1"/>
  <c r="SA426" i="1" s="1"/>
  <c r="SA427" i="1" s="1"/>
  <c r="BD85" i="5" s="1"/>
  <c r="TB396" i="1"/>
  <c r="TB397" i="1" s="1"/>
  <c r="TB398" i="1" s="1"/>
  <c r="TB399" i="1" s="1"/>
  <c r="TB400" i="1" s="1"/>
  <c r="TB401" i="1" s="1"/>
  <c r="TB402" i="1" s="1"/>
  <c r="TB403" i="1" s="1"/>
  <c r="TB404" i="1" s="1"/>
  <c r="TB405" i="1" s="1"/>
  <c r="TB406" i="1" s="1"/>
  <c r="TB407" i="1" s="1"/>
  <c r="TB408" i="1" s="1"/>
  <c r="TB409" i="1" s="1"/>
  <c r="TB410" i="1" s="1"/>
  <c r="TB411" i="1" s="1"/>
  <c r="TB412" i="1" s="1"/>
  <c r="TB413" i="1" s="1"/>
  <c r="TB414" i="1" s="1"/>
  <c r="TB415" i="1" s="1"/>
  <c r="TB416" i="1" s="1"/>
  <c r="TB417" i="1" s="1"/>
  <c r="TB418" i="1" s="1"/>
  <c r="TB419" i="1" s="1"/>
  <c r="TB420" i="1" s="1"/>
  <c r="TB421" i="1" s="1"/>
  <c r="TB422" i="1" s="1"/>
  <c r="TB423" i="1" s="1"/>
  <c r="TB424" i="1" s="1"/>
  <c r="TB425" i="1" s="1"/>
  <c r="TB426" i="1" s="1"/>
  <c r="TB427" i="1" s="1"/>
  <c r="BG85" i="5" s="1"/>
  <c r="BG81" i="5"/>
  <c r="BF81" i="5"/>
  <c r="SS396" i="1"/>
  <c r="SS397" i="1" s="1"/>
  <c r="SS398" i="1" s="1"/>
  <c r="SS399" i="1" s="1"/>
  <c r="SS400" i="1" s="1"/>
  <c r="SS401" i="1" s="1"/>
  <c r="SS402" i="1" s="1"/>
  <c r="SS403" i="1" s="1"/>
  <c r="SS404" i="1" s="1"/>
  <c r="SS405" i="1" s="1"/>
  <c r="SS406" i="1" s="1"/>
  <c r="SS407" i="1" s="1"/>
  <c r="SS408" i="1" s="1"/>
  <c r="SS409" i="1" s="1"/>
  <c r="SS410" i="1" s="1"/>
  <c r="SS411" i="1" s="1"/>
  <c r="SS412" i="1" s="1"/>
  <c r="SS413" i="1" s="1"/>
  <c r="SS414" i="1" s="1"/>
  <c r="SS415" i="1" s="1"/>
  <c r="SS416" i="1" s="1"/>
  <c r="SS417" i="1" s="1"/>
  <c r="SS418" i="1" s="1"/>
  <c r="SS419" i="1" s="1"/>
  <c r="SS420" i="1" s="1"/>
  <c r="SS421" i="1" s="1"/>
  <c r="SS422" i="1" s="1"/>
  <c r="SS423" i="1" s="1"/>
  <c r="SS424" i="1" s="1"/>
  <c r="SS425" i="1" s="1"/>
  <c r="SS426" i="1" s="1"/>
  <c r="SS427" i="1" s="1"/>
  <c r="TK396" i="1"/>
  <c r="TK397" i="1" s="1"/>
  <c r="TK398" i="1" s="1"/>
  <c r="TK399" i="1" s="1"/>
  <c r="TK400" i="1" s="1"/>
  <c r="TK401" i="1" s="1"/>
  <c r="TK402" i="1" s="1"/>
  <c r="TK403" i="1" s="1"/>
  <c r="TK404" i="1" s="1"/>
  <c r="TK405" i="1" s="1"/>
  <c r="TK406" i="1" s="1"/>
  <c r="TK407" i="1" s="1"/>
  <c r="TK408" i="1" s="1"/>
  <c r="TK409" i="1" s="1"/>
  <c r="TK410" i="1" s="1"/>
  <c r="TK411" i="1" s="1"/>
  <c r="TK412" i="1" s="1"/>
  <c r="TK413" i="1" s="1"/>
  <c r="TK414" i="1" s="1"/>
  <c r="TK415" i="1" s="1"/>
  <c r="TK416" i="1" s="1"/>
  <c r="TK417" i="1" s="1"/>
  <c r="TK418" i="1" s="1"/>
  <c r="TK419" i="1" s="1"/>
  <c r="TK420" i="1" s="1"/>
  <c r="TK421" i="1" s="1"/>
  <c r="TK422" i="1" s="1"/>
  <c r="TK423" i="1" s="1"/>
  <c r="TK424" i="1" s="1"/>
  <c r="TK425" i="1" s="1"/>
  <c r="TK426" i="1" s="1"/>
  <c r="TK427" i="1" s="1"/>
  <c r="BH85" i="5" s="1"/>
  <c r="BH81" i="5"/>
  <c r="BC81" i="5"/>
  <c r="D59" i="16" s="1"/>
  <c r="RR396" i="1"/>
  <c r="RR397" i="1" s="1"/>
  <c r="RR398" i="1" s="1"/>
  <c r="RR399" i="1" s="1"/>
  <c r="RR400" i="1" s="1"/>
  <c r="RR401" i="1" s="1"/>
  <c r="RR402" i="1" s="1"/>
  <c r="RR403" i="1" s="1"/>
  <c r="RR404" i="1" s="1"/>
  <c r="RR405" i="1" s="1"/>
  <c r="RR406" i="1" s="1"/>
  <c r="RR407" i="1" s="1"/>
  <c r="RR408" i="1" s="1"/>
  <c r="RR409" i="1" s="1"/>
  <c r="RR410" i="1" s="1"/>
  <c r="RR411" i="1" s="1"/>
  <c r="RR412" i="1" s="1"/>
  <c r="RR413" i="1" s="1"/>
  <c r="RR414" i="1" s="1"/>
  <c r="RR415" i="1" s="1"/>
  <c r="RR416" i="1" s="1"/>
  <c r="RR417" i="1" s="1"/>
  <c r="RR418" i="1" s="1"/>
  <c r="RR419" i="1" s="1"/>
  <c r="RR420" i="1" s="1"/>
  <c r="RR421" i="1" s="1"/>
  <c r="RR422" i="1" s="1"/>
  <c r="RR423" i="1" s="1"/>
  <c r="RR424" i="1" s="1"/>
  <c r="RR425" i="1" s="1"/>
  <c r="RR426" i="1" s="1"/>
  <c r="RR427" i="1" s="1"/>
  <c r="BC85" i="5" s="1"/>
  <c r="H59" i="16" s="1"/>
  <c r="QZ396" i="1"/>
  <c r="QZ397" i="1" s="1"/>
  <c r="QZ398" i="1" s="1"/>
  <c r="QZ399" i="1" s="1"/>
  <c r="QZ400" i="1" s="1"/>
  <c r="QZ401" i="1" s="1"/>
  <c r="QZ402" i="1" s="1"/>
  <c r="QZ403" i="1" s="1"/>
  <c r="QZ404" i="1" s="1"/>
  <c r="QZ405" i="1" s="1"/>
  <c r="QZ406" i="1" s="1"/>
  <c r="QZ407" i="1" s="1"/>
  <c r="QZ408" i="1" s="1"/>
  <c r="QZ409" i="1" s="1"/>
  <c r="QZ410" i="1" s="1"/>
  <c r="QZ411" i="1" s="1"/>
  <c r="QZ412" i="1" s="1"/>
  <c r="QZ413" i="1" s="1"/>
  <c r="QZ414" i="1" s="1"/>
  <c r="QZ415" i="1" s="1"/>
  <c r="QZ416" i="1" s="1"/>
  <c r="QZ417" i="1" s="1"/>
  <c r="QZ418" i="1" s="1"/>
  <c r="QZ419" i="1" s="1"/>
  <c r="QZ420" i="1" s="1"/>
  <c r="QZ421" i="1" s="1"/>
  <c r="QZ422" i="1" s="1"/>
  <c r="QZ423" i="1" s="1"/>
  <c r="QZ424" i="1" s="1"/>
  <c r="QZ425" i="1" s="1"/>
  <c r="QZ426" i="1" s="1"/>
  <c r="QZ427" i="1" s="1"/>
  <c r="BA85" i="5" s="1"/>
  <c r="BA81" i="5"/>
  <c r="D57" i="16" s="1"/>
  <c r="RI396" i="1"/>
  <c r="RI397" i="1" s="1"/>
  <c r="RI398" i="1" s="1"/>
  <c r="RI399" i="1" s="1"/>
  <c r="RI400" i="1" s="1"/>
  <c r="RI401" i="1" s="1"/>
  <c r="RI402" i="1" s="1"/>
  <c r="RI403" i="1" s="1"/>
  <c r="RI404" i="1" s="1"/>
  <c r="RI405" i="1" s="1"/>
  <c r="RI406" i="1" s="1"/>
  <c r="RI407" i="1" s="1"/>
  <c r="RI408" i="1" s="1"/>
  <c r="RI409" i="1" s="1"/>
  <c r="RI410" i="1" s="1"/>
  <c r="RI411" i="1" s="1"/>
  <c r="RI412" i="1" s="1"/>
  <c r="RI413" i="1" s="1"/>
  <c r="RI414" i="1" s="1"/>
  <c r="RI415" i="1" s="1"/>
  <c r="RI416" i="1" s="1"/>
  <c r="RI417" i="1" s="1"/>
  <c r="RI418" i="1" s="1"/>
  <c r="RI419" i="1" s="1"/>
  <c r="RI420" i="1" s="1"/>
  <c r="RI421" i="1" s="1"/>
  <c r="RI422" i="1" s="1"/>
  <c r="RI423" i="1" s="1"/>
  <c r="RI424" i="1" s="1"/>
  <c r="RI425" i="1" s="1"/>
  <c r="RI426" i="1" s="1"/>
  <c r="RI427" i="1" s="1"/>
  <c r="BB85" i="5" s="1"/>
  <c r="H58" i="16" s="1"/>
  <c r="AL71" i="5"/>
  <c r="H42" i="14" s="1"/>
  <c r="O42" i="14" s="1"/>
  <c r="LU360" i="1"/>
  <c r="M36" i="5"/>
  <c r="H15" i="21" s="1"/>
  <c r="O15" i="21" s="1"/>
  <c r="DC182" i="1"/>
  <c r="AD36" i="5"/>
  <c r="H34" i="21" s="1"/>
  <c r="O34" i="21" s="1"/>
  <c r="JA182" i="1"/>
  <c r="JB182" i="1" s="1"/>
  <c r="LC217" i="1"/>
  <c r="LD217" i="1" s="1"/>
  <c r="AJ43" i="5"/>
  <c r="H40" i="8" s="1"/>
  <c r="O40" i="8" s="1"/>
  <c r="MV360" i="1"/>
  <c r="AO71" i="5"/>
  <c r="H45" i="14" s="1"/>
  <c r="O45" i="14" s="1"/>
  <c r="NE360" i="1"/>
  <c r="NE356" i="1"/>
  <c r="AP71" i="5" s="1"/>
  <c r="H46" i="14" s="1"/>
  <c r="O46" i="14" s="1"/>
  <c r="AN71" i="5"/>
  <c r="H44" i="14" s="1"/>
  <c r="O44" i="14" s="1"/>
  <c r="MM360" i="1"/>
  <c r="T29" i="5"/>
  <c r="H22" i="20" s="1"/>
  <c r="O22" i="20" s="1"/>
  <c r="FN146" i="1"/>
  <c r="AK36" i="5"/>
  <c r="H41" i="21" s="1"/>
  <c r="O41" i="21" s="1"/>
  <c r="LL182" i="1"/>
  <c r="LM182" i="1" s="1"/>
  <c r="AM71" i="5"/>
  <c r="H43" i="14" s="1"/>
  <c r="O43" i="14" s="1"/>
  <c r="MD360" i="1"/>
  <c r="AB36" i="5"/>
  <c r="H32" i="21" s="1"/>
  <c r="O32" i="21" s="1"/>
  <c r="II182" i="1"/>
  <c r="IJ182" i="1" s="1"/>
  <c r="AQ53" i="5"/>
  <c r="NN254" i="1"/>
  <c r="NN255" i="1" s="1"/>
  <c r="NN256" i="1" s="1"/>
  <c r="NN257" i="1" s="1"/>
  <c r="NN258" i="1" s="1"/>
  <c r="NN259" i="1" s="1"/>
  <c r="NN260" i="1" s="1"/>
  <c r="NN261" i="1" s="1"/>
  <c r="NN262" i="1" s="1"/>
  <c r="NN263" i="1" s="1"/>
  <c r="NN264" i="1" s="1"/>
  <c r="NN265" i="1" s="1"/>
  <c r="NN266" i="1" s="1"/>
  <c r="NN267" i="1" s="1"/>
  <c r="NN268" i="1" s="1"/>
  <c r="NN269" i="1" s="1"/>
  <c r="NN270" i="1" s="1"/>
  <c r="NN271" i="1" s="1"/>
  <c r="NN272" i="1" s="1"/>
  <c r="NN273" i="1" s="1"/>
  <c r="NN274" i="1" s="1"/>
  <c r="NN275" i="1" s="1"/>
  <c r="NN276" i="1" s="1"/>
  <c r="NN277" i="1" s="1"/>
  <c r="NN278" i="1" s="1"/>
  <c r="NN279" i="1" s="1"/>
  <c r="NN280" i="1" s="1"/>
  <c r="NN281" i="1" s="1"/>
  <c r="NN282" i="1" s="1"/>
  <c r="NN283" i="1" s="1"/>
  <c r="NN284" i="1" s="1"/>
  <c r="NN285" i="1" s="1"/>
  <c r="AG36" i="5"/>
  <c r="H37" i="21" s="1"/>
  <c r="O37" i="21" s="1"/>
  <c r="KB182" i="1"/>
  <c r="KC182" i="1" s="1"/>
  <c r="B22" i="5"/>
  <c r="H4" i="19" s="1"/>
  <c r="H88" i="19" s="1"/>
  <c r="H111" i="1"/>
  <c r="AV53" i="5"/>
  <c r="D52" i="12" s="1"/>
  <c r="PG254" i="1"/>
  <c r="PG255" i="1" s="1"/>
  <c r="PG256" i="1" s="1"/>
  <c r="PG257" i="1" s="1"/>
  <c r="PG258" i="1" s="1"/>
  <c r="PG259" i="1" s="1"/>
  <c r="PG260" i="1" s="1"/>
  <c r="PG261" i="1" s="1"/>
  <c r="PG262" i="1" s="1"/>
  <c r="PG263" i="1" s="1"/>
  <c r="PG264" i="1" s="1"/>
  <c r="PG265" i="1" s="1"/>
  <c r="PG266" i="1" s="1"/>
  <c r="PG267" i="1" s="1"/>
  <c r="PG268" i="1" s="1"/>
  <c r="PG269" i="1" s="1"/>
  <c r="PG270" i="1" s="1"/>
  <c r="PG271" i="1" s="1"/>
  <c r="PG272" i="1" s="1"/>
  <c r="PG273" i="1" s="1"/>
  <c r="PG274" i="1" s="1"/>
  <c r="PG275" i="1" s="1"/>
  <c r="PG276" i="1" s="1"/>
  <c r="PG277" i="1" s="1"/>
  <c r="PG278" i="1" s="1"/>
  <c r="PG279" i="1" s="1"/>
  <c r="PG280" i="1" s="1"/>
  <c r="PG281" i="1" s="1"/>
  <c r="PG282" i="1" s="1"/>
  <c r="PG283" i="1" s="1"/>
  <c r="PG284" i="1" s="1"/>
  <c r="PG285" i="1" s="1"/>
  <c r="AX53" i="5"/>
  <c r="D54" i="12" s="1"/>
  <c r="PY254" i="1"/>
  <c r="PY255" i="1" s="1"/>
  <c r="PY256" i="1" s="1"/>
  <c r="PY257" i="1" s="1"/>
  <c r="PY258" i="1" s="1"/>
  <c r="PY259" i="1" s="1"/>
  <c r="PY260" i="1" s="1"/>
  <c r="PY261" i="1" s="1"/>
  <c r="PY262" i="1" s="1"/>
  <c r="PY263" i="1" s="1"/>
  <c r="PY264" i="1" s="1"/>
  <c r="PY265" i="1" s="1"/>
  <c r="PY266" i="1" s="1"/>
  <c r="PY267" i="1" s="1"/>
  <c r="PY268" i="1" s="1"/>
  <c r="PY269" i="1" s="1"/>
  <c r="PY270" i="1" s="1"/>
  <c r="PY271" i="1" s="1"/>
  <c r="PY272" i="1" s="1"/>
  <c r="PY273" i="1" s="1"/>
  <c r="PY274" i="1" s="1"/>
  <c r="PY275" i="1" s="1"/>
  <c r="PY276" i="1" s="1"/>
  <c r="PY277" i="1" s="1"/>
  <c r="PY278" i="1" s="1"/>
  <c r="PY279" i="1" s="1"/>
  <c r="PY280" i="1" s="1"/>
  <c r="PY281" i="1" s="1"/>
  <c r="PY282" i="1" s="1"/>
  <c r="PY283" i="1" s="1"/>
  <c r="PY284" i="1" s="1"/>
  <c r="PY285" i="1" s="1"/>
  <c r="AZ53" i="5"/>
  <c r="D56" i="12" s="1"/>
  <c r="QQ254" i="1"/>
  <c r="QQ255" i="1" s="1"/>
  <c r="QQ256" i="1" s="1"/>
  <c r="QQ257" i="1" s="1"/>
  <c r="QQ258" i="1" s="1"/>
  <c r="QQ259" i="1" s="1"/>
  <c r="QQ260" i="1" s="1"/>
  <c r="QQ261" i="1" s="1"/>
  <c r="QQ262" i="1" s="1"/>
  <c r="QQ263" i="1" s="1"/>
  <c r="QQ264" i="1" s="1"/>
  <c r="QQ265" i="1" s="1"/>
  <c r="QQ266" i="1" s="1"/>
  <c r="QQ267" i="1" s="1"/>
  <c r="QQ268" i="1" s="1"/>
  <c r="QQ269" i="1" s="1"/>
  <c r="QQ270" i="1" s="1"/>
  <c r="QQ271" i="1" s="1"/>
  <c r="QQ272" i="1" s="1"/>
  <c r="QQ273" i="1" s="1"/>
  <c r="QQ274" i="1" s="1"/>
  <c r="QQ275" i="1" s="1"/>
  <c r="QQ276" i="1" s="1"/>
  <c r="QQ277" i="1" s="1"/>
  <c r="QQ278" i="1" s="1"/>
  <c r="QQ279" i="1" s="1"/>
  <c r="QQ280" i="1" s="1"/>
  <c r="QQ281" i="1" s="1"/>
  <c r="QQ282" i="1" s="1"/>
  <c r="QQ283" i="1" s="1"/>
  <c r="QQ284" i="1" s="1"/>
  <c r="QQ285" i="1" s="1"/>
  <c r="AY53" i="5"/>
  <c r="D55" i="12" s="1"/>
  <c r="QH254" i="1"/>
  <c r="QH255" i="1" s="1"/>
  <c r="QH256" i="1" s="1"/>
  <c r="QH257" i="1" s="1"/>
  <c r="QH258" i="1" s="1"/>
  <c r="QH259" i="1" s="1"/>
  <c r="QH260" i="1" s="1"/>
  <c r="QH261" i="1" s="1"/>
  <c r="QH262" i="1" s="1"/>
  <c r="QH263" i="1" s="1"/>
  <c r="QH264" i="1" s="1"/>
  <c r="QH265" i="1" s="1"/>
  <c r="QH266" i="1" s="1"/>
  <c r="QH267" i="1" s="1"/>
  <c r="QH268" i="1" s="1"/>
  <c r="QH269" i="1" s="1"/>
  <c r="QH270" i="1" s="1"/>
  <c r="QH271" i="1" s="1"/>
  <c r="QH272" i="1" s="1"/>
  <c r="QH273" i="1" s="1"/>
  <c r="QH274" i="1" s="1"/>
  <c r="QH275" i="1" s="1"/>
  <c r="QH276" i="1" s="1"/>
  <c r="QH277" i="1" s="1"/>
  <c r="QH278" i="1" s="1"/>
  <c r="QH279" i="1" s="1"/>
  <c r="QH280" i="1" s="1"/>
  <c r="QH281" i="1" s="1"/>
  <c r="QH282" i="1" s="1"/>
  <c r="QH283" i="1" s="1"/>
  <c r="QH284" i="1" s="1"/>
  <c r="QH285" i="1" s="1"/>
  <c r="AW53" i="5"/>
  <c r="D53" i="12" s="1"/>
  <c r="PP254" i="1"/>
  <c r="PP255" i="1" s="1"/>
  <c r="PP256" i="1" s="1"/>
  <c r="PP257" i="1" s="1"/>
  <c r="PP258" i="1" s="1"/>
  <c r="PP259" i="1" s="1"/>
  <c r="PP260" i="1" s="1"/>
  <c r="PP261" i="1" s="1"/>
  <c r="PP262" i="1" s="1"/>
  <c r="PP263" i="1" s="1"/>
  <c r="PP264" i="1" s="1"/>
  <c r="PP265" i="1" s="1"/>
  <c r="PP266" i="1" s="1"/>
  <c r="PP267" i="1" s="1"/>
  <c r="PP268" i="1" s="1"/>
  <c r="PP269" i="1" s="1"/>
  <c r="PP270" i="1" s="1"/>
  <c r="PP271" i="1" s="1"/>
  <c r="PP272" i="1" s="1"/>
  <c r="PP273" i="1" s="1"/>
  <c r="PP274" i="1" s="1"/>
  <c r="PP275" i="1" s="1"/>
  <c r="PP276" i="1" s="1"/>
  <c r="PP277" i="1" s="1"/>
  <c r="PP278" i="1" s="1"/>
  <c r="PP279" i="1" s="1"/>
  <c r="PP280" i="1" s="1"/>
  <c r="PP281" i="1" s="1"/>
  <c r="PP282" i="1" s="1"/>
  <c r="PP283" i="1" s="1"/>
  <c r="PP284" i="1" s="1"/>
  <c r="PP285" i="1" s="1"/>
  <c r="S36" i="5"/>
  <c r="H21" i="21" s="1"/>
  <c r="O21" i="21" s="1"/>
  <c r="FE182" i="1"/>
  <c r="Z36" i="5"/>
  <c r="H30" i="21" s="1"/>
  <c r="O30" i="21" s="1"/>
  <c r="HP182" i="1"/>
  <c r="R36" i="5"/>
  <c r="H20" i="21" s="1"/>
  <c r="O20" i="21" s="1"/>
  <c r="EV182" i="1"/>
  <c r="V39" i="5"/>
  <c r="D26" i="8" s="1"/>
  <c r="GF183" i="1"/>
  <c r="GF184" i="1" s="1"/>
  <c r="GF185" i="1" s="1"/>
  <c r="GF186" i="1" s="1"/>
  <c r="GF187" i="1" s="1"/>
  <c r="GF188" i="1" s="1"/>
  <c r="GF189" i="1" s="1"/>
  <c r="GF190" i="1" s="1"/>
  <c r="GF191" i="1" s="1"/>
  <c r="GF192" i="1" s="1"/>
  <c r="GF193" i="1" s="1"/>
  <c r="GF194" i="1" s="1"/>
  <c r="GF195" i="1" s="1"/>
  <c r="GF196" i="1" s="1"/>
  <c r="GF197" i="1" s="1"/>
  <c r="GF198" i="1" s="1"/>
  <c r="GF199" i="1" s="1"/>
  <c r="GF200" i="1" s="1"/>
  <c r="GF201" i="1" s="1"/>
  <c r="GF202" i="1" s="1"/>
  <c r="GF203" i="1" s="1"/>
  <c r="GF204" i="1" s="1"/>
  <c r="GF205" i="1" s="1"/>
  <c r="GF206" i="1" s="1"/>
  <c r="GF207" i="1" s="1"/>
  <c r="GF208" i="1" s="1"/>
  <c r="GF209" i="1" s="1"/>
  <c r="GF210" i="1" s="1"/>
  <c r="GF211" i="1" s="1"/>
  <c r="GF212" i="1" s="1"/>
  <c r="GF213" i="1" s="1"/>
  <c r="GG213" i="1" s="1"/>
  <c r="AH36" i="5"/>
  <c r="H38" i="21" s="1"/>
  <c r="O38" i="21" s="1"/>
  <c r="KK182" i="1"/>
  <c r="KL182" i="1" s="1"/>
  <c r="X36" i="5"/>
  <c r="H28" i="21" s="1"/>
  <c r="O28" i="21" s="1"/>
  <c r="GX182" i="1"/>
  <c r="GY182" i="1" s="1"/>
  <c r="W39" i="5"/>
  <c r="D27" i="8" s="1"/>
  <c r="GO183" i="1"/>
  <c r="GO184" i="1" s="1"/>
  <c r="GO185" i="1" s="1"/>
  <c r="GO186" i="1" s="1"/>
  <c r="GO187" i="1" s="1"/>
  <c r="GO188" i="1" s="1"/>
  <c r="GO189" i="1" s="1"/>
  <c r="GO190" i="1" s="1"/>
  <c r="GO191" i="1" s="1"/>
  <c r="GO192" i="1" s="1"/>
  <c r="GO193" i="1" s="1"/>
  <c r="GO194" i="1" s="1"/>
  <c r="GO195" i="1" s="1"/>
  <c r="GO196" i="1" s="1"/>
  <c r="GO197" i="1" s="1"/>
  <c r="GO198" i="1" s="1"/>
  <c r="GO199" i="1" s="1"/>
  <c r="GO200" i="1" s="1"/>
  <c r="GO201" i="1" s="1"/>
  <c r="GO202" i="1" s="1"/>
  <c r="GO203" i="1" s="1"/>
  <c r="GO204" i="1" s="1"/>
  <c r="GO205" i="1" s="1"/>
  <c r="GO206" i="1" s="1"/>
  <c r="GO207" i="1" s="1"/>
  <c r="GO208" i="1" s="1"/>
  <c r="GO209" i="1" s="1"/>
  <c r="GO210" i="1" s="1"/>
  <c r="GO211" i="1" s="1"/>
  <c r="GO212" i="1" s="1"/>
  <c r="GO213" i="1" s="1"/>
  <c r="GP213" i="1" s="1"/>
  <c r="U36" i="5"/>
  <c r="H25" i="21" s="1"/>
  <c r="O25" i="21" s="1"/>
  <c r="FW182" i="1"/>
  <c r="FX182" i="1" s="1"/>
  <c r="AI36" i="5"/>
  <c r="H39" i="21" s="1"/>
  <c r="O39" i="21" s="1"/>
  <c r="KT182" i="1"/>
  <c r="KU182" i="1" s="1"/>
  <c r="AE36" i="5"/>
  <c r="H35" i="21" s="1"/>
  <c r="O35" i="21" s="1"/>
  <c r="JJ182" i="1"/>
  <c r="AF36" i="5"/>
  <c r="H36" i="21" s="1"/>
  <c r="O36" i="21" s="1"/>
  <c r="JS182" i="1"/>
  <c r="JT182" i="1" s="1"/>
  <c r="L36" i="5"/>
  <c r="H14" i="21" s="1"/>
  <c r="O14" i="21" s="1"/>
  <c r="CT182" i="1"/>
  <c r="Q39" i="5"/>
  <c r="D19" i="8" s="1"/>
  <c r="EM183" i="1"/>
  <c r="EM184" i="1" s="1"/>
  <c r="EM185" i="1" s="1"/>
  <c r="EM186" i="1" s="1"/>
  <c r="EM187" i="1" s="1"/>
  <c r="EM188" i="1" s="1"/>
  <c r="EM189" i="1" s="1"/>
  <c r="EM190" i="1" s="1"/>
  <c r="EM191" i="1" s="1"/>
  <c r="EM192" i="1" s="1"/>
  <c r="EM193" i="1" s="1"/>
  <c r="EM194" i="1" s="1"/>
  <c r="EM195" i="1" s="1"/>
  <c r="EM196" i="1" s="1"/>
  <c r="EM197" i="1" s="1"/>
  <c r="EM198" i="1" s="1"/>
  <c r="EM199" i="1" s="1"/>
  <c r="EM200" i="1" s="1"/>
  <c r="EM201" i="1" s="1"/>
  <c r="EM202" i="1" s="1"/>
  <c r="EM203" i="1" s="1"/>
  <c r="EM204" i="1" s="1"/>
  <c r="EM205" i="1" s="1"/>
  <c r="EM206" i="1" s="1"/>
  <c r="EM207" i="1" s="1"/>
  <c r="EM208" i="1" s="1"/>
  <c r="EM209" i="1" s="1"/>
  <c r="EM210" i="1" s="1"/>
  <c r="EM211" i="1" s="1"/>
  <c r="EM212" i="1" s="1"/>
  <c r="EM213" i="1" s="1"/>
  <c r="N36" i="5"/>
  <c r="H16" i="21" s="1"/>
  <c r="O16" i="21" s="1"/>
  <c r="AA36" i="5"/>
  <c r="H31" i="21" s="1"/>
  <c r="O31" i="21" s="1"/>
  <c r="HZ182" i="1"/>
  <c r="IA182" i="1" s="1"/>
  <c r="O36" i="5"/>
  <c r="H17" i="21" s="1"/>
  <c r="O17" i="21" s="1"/>
  <c r="DU182" i="1"/>
  <c r="P36" i="5"/>
  <c r="H18" i="21" s="1"/>
  <c r="O18" i="21" s="1"/>
  <c r="ED182" i="1"/>
  <c r="Y36" i="5"/>
  <c r="H29" i="21" s="1"/>
  <c r="O29" i="21" s="1"/>
  <c r="HG182" i="1"/>
  <c r="HH182" i="1" s="1"/>
  <c r="D39" i="5"/>
  <c r="D6" i="8" s="1"/>
  <c r="IS178" i="1" l="1"/>
  <c r="AC36" i="5"/>
  <c r="H33" i="21" s="1"/>
  <c r="O33" i="21" s="1"/>
  <c r="IR182" i="1"/>
  <c r="BF85" i="5"/>
  <c r="H60" i="16"/>
  <c r="BE85" i="5"/>
  <c r="H61" i="16" s="1"/>
  <c r="H57" i="16"/>
  <c r="AL74" i="5"/>
  <c r="D42" i="15" s="1"/>
  <c r="LU361" i="1"/>
  <c r="LU362" i="1" s="1"/>
  <c r="LU363" i="1" s="1"/>
  <c r="LU364" i="1" s="1"/>
  <c r="LU365" i="1" s="1"/>
  <c r="LU366" i="1" s="1"/>
  <c r="LU367" i="1" s="1"/>
  <c r="LU368" i="1" s="1"/>
  <c r="LU369" i="1" s="1"/>
  <c r="LU370" i="1" s="1"/>
  <c r="LU371" i="1" s="1"/>
  <c r="LU372" i="1" s="1"/>
  <c r="LU373" i="1" s="1"/>
  <c r="LU374" i="1" s="1"/>
  <c r="LU375" i="1" s="1"/>
  <c r="LU376" i="1" s="1"/>
  <c r="LU377" i="1" s="1"/>
  <c r="LU378" i="1" s="1"/>
  <c r="LU379" i="1" s="1"/>
  <c r="LU380" i="1" s="1"/>
  <c r="LU381" i="1" s="1"/>
  <c r="LU382" i="1" s="1"/>
  <c r="LU383" i="1" s="1"/>
  <c r="LU384" i="1" s="1"/>
  <c r="LU385" i="1" s="1"/>
  <c r="LU386" i="1" s="1"/>
  <c r="LU387" i="1" s="1"/>
  <c r="LU388" i="1" s="1"/>
  <c r="LU389" i="1" s="1"/>
  <c r="LU390" i="1" s="1"/>
  <c r="LU391" i="1" s="1"/>
  <c r="LC218" i="1"/>
  <c r="LC219" i="1" s="1"/>
  <c r="LC220" i="1" s="1"/>
  <c r="LC221" i="1" s="1"/>
  <c r="LC222" i="1" s="1"/>
  <c r="LC223" i="1" s="1"/>
  <c r="LC224" i="1" s="1"/>
  <c r="LC225" i="1" s="1"/>
  <c r="LC226" i="1" s="1"/>
  <c r="LC227" i="1" s="1"/>
  <c r="LC228" i="1" s="1"/>
  <c r="LC229" i="1" s="1"/>
  <c r="LC230" i="1" s="1"/>
  <c r="LC231" i="1" s="1"/>
  <c r="LC232" i="1" s="1"/>
  <c r="LC233" i="1" s="1"/>
  <c r="LC234" i="1" s="1"/>
  <c r="LC235" i="1" s="1"/>
  <c r="LC236" i="1" s="1"/>
  <c r="LC237" i="1" s="1"/>
  <c r="LC238" i="1" s="1"/>
  <c r="LC239" i="1" s="1"/>
  <c r="LC240" i="1" s="1"/>
  <c r="LC241" i="1" s="1"/>
  <c r="LC242" i="1" s="1"/>
  <c r="LC243" i="1" s="1"/>
  <c r="LC244" i="1" s="1"/>
  <c r="LC245" i="1" s="1"/>
  <c r="LC246" i="1" s="1"/>
  <c r="LC247" i="1" s="1"/>
  <c r="LC248" i="1" s="1"/>
  <c r="LC249" i="1" s="1"/>
  <c r="LD249" i="1" s="1"/>
  <c r="AJ46" i="5"/>
  <c r="D40" i="11" s="1"/>
  <c r="AP74" i="5"/>
  <c r="D46" i="15" s="1"/>
  <c r="NE361" i="1"/>
  <c r="NE362" i="1" s="1"/>
  <c r="NE363" i="1" s="1"/>
  <c r="NE364" i="1" s="1"/>
  <c r="NE365" i="1" s="1"/>
  <c r="NE366" i="1" s="1"/>
  <c r="NE367" i="1" s="1"/>
  <c r="NE368" i="1" s="1"/>
  <c r="NE369" i="1" s="1"/>
  <c r="NE370" i="1" s="1"/>
  <c r="NE371" i="1" s="1"/>
  <c r="NE372" i="1" s="1"/>
  <c r="NE373" i="1" s="1"/>
  <c r="NE374" i="1" s="1"/>
  <c r="NE375" i="1" s="1"/>
  <c r="NE376" i="1" s="1"/>
  <c r="NE377" i="1" s="1"/>
  <c r="NE378" i="1" s="1"/>
  <c r="NE379" i="1" s="1"/>
  <c r="NE380" i="1" s="1"/>
  <c r="NE381" i="1" s="1"/>
  <c r="NE382" i="1" s="1"/>
  <c r="NE383" i="1" s="1"/>
  <c r="NE384" i="1" s="1"/>
  <c r="NE385" i="1" s="1"/>
  <c r="NE386" i="1" s="1"/>
  <c r="NE387" i="1" s="1"/>
  <c r="NE388" i="1" s="1"/>
  <c r="NE389" i="1" s="1"/>
  <c r="NE390" i="1" s="1"/>
  <c r="NE391" i="1" s="1"/>
  <c r="AO74" i="5"/>
  <c r="D45" i="15" s="1"/>
  <c r="MV361" i="1"/>
  <c r="MV362" i="1" s="1"/>
  <c r="MV363" i="1" s="1"/>
  <c r="MV364" i="1" s="1"/>
  <c r="MV365" i="1" s="1"/>
  <c r="MV366" i="1" s="1"/>
  <c r="MV367" i="1" s="1"/>
  <c r="MV368" i="1" s="1"/>
  <c r="MV369" i="1" s="1"/>
  <c r="MV370" i="1" s="1"/>
  <c r="MV371" i="1" s="1"/>
  <c r="MV372" i="1" s="1"/>
  <c r="MV373" i="1" s="1"/>
  <c r="MV374" i="1" s="1"/>
  <c r="MV375" i="1" s="1"/>
  <c r="MV376" i="1" s="1"/>
  <c r="MV377" i="1" s="1"/>
  <c r="MV378" i="1" s="1"/>
  <c r="MV379" i="1" s="1"/>
  <c r="MV380" i="1" s="1"/>
  <c r="MV381" i="1" s="1"/>
  <c r="MV382" i="1" s="1"/>
  <c r="MV383" i="1" s="1"/>
  <c r="MV384" i="1" s="1"/>
  <c r="MV385" i="1" s="1"/>
  <c r="MV386" i="1" s="1"/>
  <c r="MV387" i="1" s="1"/>
  <c r="MV388" i="1" s="1"/>
  <c r="MV389" i="1" s="1"/>
  <c r="MV390" i="1" s="1"/>
  <c r="MV391" i="1" s="1"/>
  <c r="AD39" i="5"/>
  <c r="D34" i="8" s="1"/>
  <c r="JA183" i="1"/>
  <c r="JA184" i="1" s="1"/>
  <c r="JA185" i="1" s="1"/>
  <c r="JA186" i="1" s="1"/>
  <c r="JA187" i="1" s="1"/>
  <c r="JA188" i="1" s="1"/>
  <c r="JA189" i="1" s="1"/>
  <c r="JA190" i="1" s="1"/>
  <c r="JA191" i="1" s="1"/>
  <c r="JA192" i="1" s="1"/>
  <c r="JA193" i="1" s="1"/>
  <c r="JA194" i="1" s="1"/>
  <c r="JA195" i="1" s="1"/>
  <c r="JA196" i="1" s="1"/>
  <c r="JA197" i="1" s="1"/>
  <c r="JA198" i="1" s="1"/>
  <c r="JA199" i="1" s="1"/>
  <c r="JA200" i="1" s="1"/>
  <c r="JA201" i="1" s="1"/>
  <c r="JA202" i="1" s="1"/>
  <c r="JA203" i="1" s="1"/>
  <c r="JA204" i="1" s="1"/>
  <c r="JA205" i="1" s="1"/>
  <c r="JA206" i="1" s="1"/>
  <c r="JA207" i="1" s="1"/>
  <c r="JA208" i="1" s="1"/>
  <c r="JA209" i="1" s="1"/>
  <c r="JA210" i="1" s="1"/>
  <c r="JA211" i="1" s="1"/>
  <c r="JA212" i="1" s="1"/>
  <c r="JA213" i="1" s="1"/>
  <c r="JB213" i="1" s="1"/>
  <c r="M39" i="5"/>
  <c r="D15" i="8" s="1"/>
  <c r="DC183" i="1"/>
  <c r="DC184" i="1" s="1"/>
  <c r="DC185" i="1" s="1"/>
  <c r="DC186" i="1" s="1"/>
  <c r="DC187" i="1" s="1"/>
  <c r="DC188" i="1" s="1"/>
  <c r="DC189" i="1" s="1"/>
  <c r="DC190" i="1" s="1"/>
  <c r="DC191" i="1" s="1"/>
  <c r="DC192" i="1" s="1"/>
  <c r="DC193" i="1" s="1"/>
  <c r="DC194" i="1" s="1"/>
  <c r="DC195" i="1" s="1"/>
  <c r="DC196" i="1" s="1"/>
  <c r="DC197" i="1" s="1"/>
  <c r="DC198" i="1" s="1"/>
  <c r="DC199" i="1" s="1"/>
  <c r="DC200" i="1" s="1"/>
  <c r="DC201" i="1" s="1"/>
  <c r="DC202" i="1" s="1"/>
  <c r="DC203" i="1" s="1"/>
  <c r="DC204" i="1" s="1"/>
  <c r="DC205" i="1" s="1"/>
  <c r="DC206" i="1" s="1"/>
  <c r="DC207" i="1" s="1"/>
  <c r="DC208" i="1" s="1"/>
  <c r="DC209" i="1" s="1"/>
  <c r="DC210" i="1" s="1"/>
  <c r="DC211" i="1" s="1"/>
  <c r="DC212" i="1" s="1"/>
  <c r="DC213" i="1" s="1"/>
  <c r="O4" i="19"/>
  <c r="H90" i="19"/>
  <c r="AN74" i="5"/>
  <c r="D44" i="15" s="1"/>
  <c r="MM361" i="1"/>
  <c r="MM362" i="1" s="1"/>
  <c r="MM363" i="1" s="1"/>
  <c r="MM364" i="1" s="1"/>
  <c r="MM365" i="1" s="1"/>
  <c r="MM366" i="1" s="1"/>
  <c r="MM367" i="1" s="1"/>
  <c r="MM368" i="1" s="1"/>
  <c r="MM369" i="1" s="1"/>
  <c r="MM370" i="1" s="1"/>
  <c r="MM371" i="1" s="1"/>
  <c r="MM372" i="1" s="1"/>
  <c r="MM373" i="1" s="1"/>
  <c r="MM374" i="1" s="1"/>
  <c r="MM375" i="1" s="1"/>
  <c r="MM376" i="1" s="1"/>
  <c r="MM377" i="1" s="1"/>
  <c r="MM378" i="1" s="1"/>
  <c r="MM379" i="1" s="1"/>
  <c r="MM380" i="1" s="1"/>
  <c r="MM381" i="1" s="1"/>
  <c r="MM382" i="1" s="1"/>
  <c r="MM383" i="1" s="1"/>
  <c r="MM384" i="1" s="1"/>
  <c r="MM385" i="1" s="1"/>
  <c r="MM386" i="1" s="1"/>
  <c r="MM387" i="1" s="1"/>
  <c r="MM388" i="1" s="1"/>
  <c r="MM389" i="1" s="1"/>
  <c r="MM390" i="1" s="1"/>
  <c r="MM391" i="1" s="1"/>
  <c r="T32" i="5"/>
  <c r="D22" i="21" s="1"/>
  <c r="FN147" i="1"/>
  <c r="FN148" i="1" s="1"/>
  <c r="FN149" i="1" s="1"/>
  <c r="FN150" i="1" s="1"/>
  <c r="FN151" i="1" s="1"/>
  <c r="FN152" i="1" s="1"/>
  <c r="FN153" i="1" s="1"/>
  <c r="FN154" i="1" s="1"/>
  <c r="FN155" i="1" s="1"/>
  <c r="FN156" i="1" s="1"/>
  <c r="FN157" i="1" s="1"/>
  <c r="FN158" i="1" s="1"/>
  <c r="FN159" i="1" s="1"/>
  <c r="FN160" i="1" s="1"/>
  <c r="FN161" i="1" s="1"/>
  <c r="FN162" i="1" s="1"/>
  <c r="FN163" i="1" s="1"/>
  <c r="FN164" i="1" s="1"/>
  <c r="FN165" i="1" s="1"/>
  <c r="FN166" i="1" s="1"/>
  <c r="FN167" i="1" s="1"/>
  <c r="FN168" i="1" s="1"/>
  <c r="FN169" i="1" s="1"/>
  <c r="FN170" i="1" s="1"/>
  <c r="FN171" i="1" s="1"/>
  <c r="FN172" i="1" s="1"/>
  <c r="FN173" i="1" s="1"/>
  <c r="FN174" i="1" s="1"/>
  <c r="FN175" i="1" s="1"/>
  <c r="FN176" i="1" s="1"/>
  <c r="FN177" i="1" s="1"/>
  <c r="FN178" i="1" s="1"/>
  <c r="II183" i="1"/>
  <c r="II184" i="1" s="1"/>
  <c r="II185" i="1" s="1"/>
  <c r="II186" i="1" s="1"/>
  <c r="II187" i="1" s="1"/>
  <c r="II188" i="1" s="1"/>
  <c r="II189" i="1" s="1"/>
  <c r="II190" i="1" s="1"/>
  <c r="II191" i="1" s="1"/>
  <c r="II192" i="1" s="1"/>
  <c r="II193" i="1" s="1"/>
  <c r="II194" i="1" s="1"/>
  <c r="II195" i="1" s="1"/>
  <c r="II196" i="1" s="1"/>
  <c r="II197" i="1" s="1"/>
  <c r="II198" i="1" s="1"/>
  <c r="II199" i="1" s="1"/>
  <c r="II200" i="1" s="1"/>
  <c r="II201" i="1" s="1"/>
  <c r="II202" i="1" s="1"/>
  <c r="II203" i="1" s="1"/>
  <c r="II204" i="1" s="1"/>
  <c r="II205" i="1" s="1"/>
  <c r="II206" i="1" s="1"/>
  <c r="II207" i="1" s="1"/>
  <c r="II208" i="1" s="1"/>
  <c r="II209" i="1" s="1"/>
  <c r="II210" i="1" s="1"/>
  <c r="II211" i="1" s="1"/>
  <c r="II212" i="1" s="1"/>
  <c r="II213" i="1" s="1"/>
  <c r="IJ213" i="1" s="1"/>
  <c r="AB39" i="5"/>
  <c r="D32" i="8" s="1"/>
  <c r="AM74" i="5"/>
  <c r="D43" i="15" s="1"/>
  <c r="MD361" i="1"/>
  <c r="MD362" i="1" s="1"/>
  <c r="MD363" i="1" s="1"/>
  <c r="MD364" i="1" s="1"/>
  <c r="MD365" i="1" s="1"/>
  <c r="MD366" i="1" s="1"/>
  <c r="MD367" i="1" s="1"/>
  <c r="MD368" i="1" s="1"/>
  <c r="MD369" i="1" s="1"/>
  <c r="MD370" i="1" s="1"/>
  <c r="MD371" i="1" s="1"/>
  <c r="MD372" i="1" s="1"/>
  <c r="MD373" i="1" s="1"/>
  <c r="MD374" i="1" s="1"/>
  <c r="MD375" i="1" s="1"/>
  <c r="MD376" i="1" s="1"/>
  <c r="MD377" i="1" s="1"/>
  <c r="MD378" i="1" s="1"/>
  <c r="MD379" i="1" s="1"/>
  <c r="MD380" i="1" s="1"/>
  <c r="MD381" i="1" s="1"/>
  <c r="MD382" i="1" s="1"/>
  <c r="MD383" i="1" s="1"/>
  <c r="MD384" i="1" s="1"/>
  <c r="MD385" i="1" s="1"/>
  <c r="MD386" i="1" s="1"/>
  <c r="MD387" i="1" s="1"/>
  <c r="MD388" i="1" s="1"/>
  <c r="MD389" i="1" s="1"/>
  <c r="MD390" i="1" s="1"/>
  <c r="MD391" i="1" s="1"/>
  <c r="KB183" i="1"/>
  <c r="KB184" i="1" s="1"/>
  <c r="KB185" i="1" s="1"/>
  <c r="KB186" i="1" s="1"/>
  <c r="KB187" i="1" s="1"/>
  <c r="KB188" i="1" s="1"/>
  <c r="KB189" i="1" s="1"/>
  <c r="KB190" i="1" s="1"/>
  <c r="KB191" i="1" s="1"/>
  <c r="KB192" i="1" s="1"/>
  <c r="KB193" i="1" s="1"/>
  <c r="KB194" i="1" s="1"/>
  <c r="KB195" i="1" s="1"/>
  <c r="KB196" i="1" s="1"/>
  <c r="KB197" i="1" s="1"/>
  <c r="KB198" i="1" s="1"/>
  <c r="KB199" i="1" s="1"/>
  <c r="KB200" i="1" s="1"/>
  <c r="KB201" i="1" s="1"/>
  <c r="KB202" i="1" s="1"/>
  <c r="KB203" i="1" s="1"/>
  <c r="KB204" i="1" s="1"/>
  <c r="KB205" i="1" s="1"/>
  <c r="KB206" i="1" s="1"/>
  <c r="KB207" i="1" s="1"/>
  <c r="KB208" i="1" s="1"/>
  <c r="KB209" i="1" s="1"/>
  <c r="KB210" i="1" s="1"/>
  <c r="KB211" i="1" s="1"/>
  <c r="KB212" i="1" s="1"/>
  <c r="KB213" i="1" s="1"/>
  <c r="KC213" i="1" s="1"/>
  <c r="AG39" i="5"/>
  <c r="D37" i="8" s="1"/>
  <c r="AQ57" i="5"/>
  <c r="NN289" i="1"/>
  <c r="AK39" i="5"/>
  <c r="D41" i="8" s="1"/>
  <c r="LL183" i="1"/>
  <c r="LL184" i="1" s="1"/>
  <c r="LL185" i="1" s="1"/>
  <c r="LL186" i="1" s="1"/>
  <c r="LL187" i="1" s="1"/>
  <c r="LL188" i="1" s="1"/>
  <c r="LL189" i="1" s="1"/>
  <c r="LL190" i="1" s="1"/>
  <c r="LL191" i="1" s="1"/>
  <c r="LL192" i="1" s="1"/>
  <c r="LL193" i="1" s="1"/>
  <c r="LL194" i="1" s="1"/>
  <c r="LL195" i="1" s="1"/>
  <c r="LL196" i="1" s="1"/>
  <c r="LL197" i="1" s="1"/>
  <c r="LL198" i="1" s="1"/>
  <c r="LL199" i="1" s="1"/>
  <c r="LL200" i="1" s="1"/>
  <c r="LL201" i="1" s="1"/>
  <c r="LL202" i="1" s="1"/>
  <c r="LL203" i="1" s="1"/>
  <c r="LL204" i="1" s="1"/>
  <c r="LL205" i="1" s="1"/>
  <c r="LL206" i="1" s="1"/>
  <c r="LL207" i="1" s="1"/>
  <c r="LL208" i="1" s="1"/>
  <c r="LL209" i="1" s="1"/>
  <c r="LL210" i="1" s="1"/>
  <c r="LL211" i="1" s="1"/>
  <c r="LL212" i="1" s="1"/>
  <c r="LL213" i="1" s="1"/>
  <c r="LM213" i="1" s="1"/>
  <c r="H112" i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B25" i="5"/>
  <c r="AX57" i="5"/>
  <c r="H54" i="12" s="1"/>
  <c r="O54" i="12" s="1"/>
  <c r="PY289" i="1"/>
  <c r="AY57" i="5"/>
  <c r="H55" i="12" s="1"/>
  <c r="O55" i="12" s="1"/>
  <c r="QH289" i="1"/>
  <c r="AZ57" i="5"/>
  <c r="H56" i="12" s="1"/>
  <c r="O56" i="12" s="1"/>
  <c r="QQ289" i="1"/>
  <c r="AW57" i="5"/>
  <c r="H53" i="12" s="1"/>
  <c r="O53" i="12" s="1"/>
  <c r="PP289" i="1"/>
  <c r="AV57" i="5"/>
  <c r="H52" i="12" s="1"/>
  <c r="O52" i="12" s="1"/>
  <c r="PG289" i="1"/>
  <c r="W43" i="5"/>
  <c r="H27" i="8" s="1"/>
  <c r="O27" i="8" s="1"/>
  <c r="GO217" i="1"/>
  <c r="GP217" i="1" s="1"/>
  <c r="Q43" i="5"/>
  <c r="H19" i="8" s="1"/>
  <c r="O19" i="8" s="1"/>
  <c r="EM217" i="1"/>
  <c r="V43" i="5"/>
  <c r="H26" i="8" s="1"/>
  <c r="O26" i="8" s="1"/>
  <c r="GF217" i="1"/>
  <c r="GG217" i="1" s="1"/>
  <c r="Z39" i="5"/>
  <c r="D30" i="8" s="1"/>
  <c r="HP183" i="1"/>
  <c r="HP184" i="1" s="1"/>
  <c r="HP185" i="1" s="1"/>
  <c r="HP186" i="1" s="1"/>
  <c r="HP187" i="1" s="1"/>
  <c r="HP188" i="1" s="1"/>
  <c r="HP189" i="1" s="1"/>
  <c r="HP190" i="1" s="1"/>
  <c r="HP191" i="1" s="1"/>
  <c r="HP192" i="1" s="1"/>
  <c r="HP193" i="1" s="1"/>
  <c r="HP194" i="1" s="1"/>
  <c r="HP195" i="1" s="1"/>
  <c r="HP196" i="1" s="1"/>
  <c r="HP197" i="1" s="1"/>
  <c r="HP198" i="1" s="1"/>
  <c r="HP199" i="1" s="1"/>
  <c r="HP200" i="1" s="1"/>
  <c r="HP201" i="1" s="1"/>
  <c r="HP202" i="1" s="1"/>
  <c r="HP203" i="1" s="1"/>
  <c r="HP204" i="1" s="1"/>
  <c r="HP205" i="1" s="1"/>
  <c r="HP206" i="1" s="1"/>
  <c r="HP207" i="1" s="1"/>
  <c r="HP208" i="1" s="1"/>
  <c r="HP209" i="1" s="1"/>
  <c r="HP210" i="1" s="1"/>
  <c r="HP211" i="1" s="1"/>
  <c r="HP212" i="1" s="1"/>
  <c r="HP213" i="1" s="1"/>
  <c r="AE39" i="5"/>
  <c r="D35" i="8" s="1"/>
  <c r="JJ183" i="1"/>
  <c r="JJ184" i="1" s="1"/>
  <c r="JJ185" i="1" s="1"/>
  <c r="JJ186" i="1" s="1"/>
  <c r="JJ187" i="1" s="1"/>
  <c r="JJ188" i="1" s="1"/>
  <c r="JJ189" i="1" s="1"/>
  <c r="JJ190" i="1" s="1"/>
  <c r="JJ191" i="1" s="1"/>
  <c r="JJ192" i="1" s="1"/>
  <c r="JJ193" i="1" s="1"/>
  <c r="JJ194" i="1" s="1"/>
  <c r="JJ195" i="1" s="1"/>
  <c r="JJ196" i="1" s="1"/>
  <c r="JJ197" i="1" s="1"/>
  <c r="JJ198" i="1" s="1"/>
  <c r="JJ199" i="1" s="1"/>
  <c r="JJ200" i="1" s="1"/>
  <c r="JJ201" i="1" s="1"/>
  <c r="JJ202" i="1" s="1"/>
  <c r="JJ203" i="1" s="1"/>
  <c r="JJ204" i="1" s="1"/>
  <c r="JJ205" i="1" s="1"/>
  <c r="JJ206" i="1" s="1"/>
  <c r="JJ207" i="1" s="1"/>
  <c r="JJ208" i="1" s="1"/>
  <c r="JJ209" i="1" s="1"/>
  <c r="JJ210" i="1" s="1"/>
  <c r="JJ211" i="1" s="1"/>
  <c r="JJ212" i="1" s="1"/>
  <c r="JJ213" i="1" s="1"/>
  <c r="U39" i="5"/>
  <c r="D25" i="8" s="1"/>
  <c r="FW183" i="1"/>
  <c r="FW184" i="1" s="1"/>
  <c r="FW185" i="1" s="1"/>
  <c r="FW186" i="1" s="1"/>
  <c r="FW187" i="1" s="1"/>
  <c r="FW188" i="1" s="1"/>
  <c r="FW189" i="1" s="1"/>
  <c r="FW190" i="1" s="1"/>
  <c r="FW191" i="1" s="1"/>
  <c r="FW192" i="1" s="1"/>
  <c r="FW193" i="1" s="1"/>
  <c r="FW194" i="1" s="1"/>
  <c r="FW195" i="1" s="1"/>
  <c r="FW196" i="1" s="1"/>
  <c r="FW197" i="1" s="1"/>
  <c r="FW198" i="1" s="1"/>
  <c r="FW199" i="1" s="1"/>
  <c r="FW200" i="1" s="1"/>
  <c r="FW201" i="1" s="1"/>
  <c r="FW202" i="1" s="1"/>
  <c r="FW203" i="1" s="1"/>
  <c r="FW204" i="1" s="1"/>
  <c r="FW205" i="1" s="1"/>
  <c r="FW206" i="1" s="1"/>
  <c r="FW207" i="1" s="1"/>
  <c r="FW208" i="1" s="1"/>
  <c r="FW209" i="1" s="1"/>
  <c r="FW210" i="1" s="1"/>
  <c r="FW211" i="1" s="1"/>
  <c r="FW212" i="1" s="1"/>
  <c r="FW213" i="1" s="1"/>
  <c r="FX213" i="1" s="1"/>
  <c r="GX183" i="1"/>
  <c r="GX184" i="1" s="1"/>
  <c r="GX185" i="1" s="1"/>
  <c r="GX186" i="1" s="1"/>
  <c r="GX187" i="1" s="1"/>
  <c r="GX188" i="1" s="1"/>
  <c r="GX189" i="1" s="1"/>
  <c r="GX190" i="1" s="1"/>
  <c r="GX191" i="1" s="1"/>
  <c r="GX192" i="1" s="1"/>
  <c r="GX193" i="1" s="1"/>
  <c r="GX194" i="1" s="1"/>
  <c r="GX195" i="1" s="1"/>
  <c r="GX196" i="1" s="1"/>
  <c r="GX197" i="1" s="1"/>
  <c r="GX198" i="1" s="1"/>
  <c r="GX199" i="1" s="1"/>
  <c r="GX200" i="1" s="1"/>
  <c r="GX201" i="1" s="1"/>
  <c r="GX202" i="1" s="1"/>
  <c r="GX203" i="1" s="1"/>
  <c r="GX204" i="1" s="1"/>
  <c r="GX205" i="1" s="1"/>
  <c r="GX206" i="1" s="1"/>
  <c r="GX207" i="1" s="1"/>
  <c r="GX208" i="1" s="1"/>
  <c r="GX209" i="1" s="1"/>
  <c r="GX210" i="1" s="1"/>
  <c r="GX211" i="1" s="1"/>
  <c r="GX212" i="1" s="1"/>
  <c r="GX213" i="1" s="1"/>
  <c r="GY213" i="1" s="1"/>
  <c r="X39" i="5"/>
  <c r="D28" i="8" s="1"/>
  <c r="KK183" i="1"/>
  <c r="KK184" i="1" s="1"/>
  <c r="KK185" i="1" s="1"/>
  <c r="KK186" i="1" s="1"/>
  <c r="KK187" i="1" s="1"/>
  <c r="KK188" i="1" s="1"/>
  <c r="KK189" i="1" s="1"/>
  <c r="KK190" i="1" s="1"/>
  <c r="KK191" i="1" s="1"/>
  <c r="KK192" i="1" s="1"/>
  <c r="KK193" i="1" s="1"/>
  <c r="KK194" i="1" s="1"/>
  <c r="KK195" i="1" s="1"/>
  <c r="KK196" i="1" s="1"/>
  <c r="KK197" i="1" s="1"/>
  <c r="KK198" i="1" s="1"/>
  <c r="KK199" i="1" s="1"/>
  <c r="KK200" i="1" s="1"/>
  <c r="KK201" i="1" s="1"/>
  <c r="KK202" i="1" s="1"/>
  <c r="KK203" i="1" s="1"/>
  <c r="KK204" i="1" s="1"/>
  <c r="KK205" i="1" s="1"/>
  <c r="KK206" i="1" s="1"/>
  <c r="KK207" i="1" s="1"/>
  <c r="KK208" i="1" s="1"/>
  <c r="KK209" i="1" s="1"/>
  <c r="KK210" i="1" s="1"/>
  <c r="KK211" i="1" s="1"/>
  <c r="KK212" i="1" s="1"/>
  <c r="KK213" i="1" s="1"/>
  <c r="KL213" i="1" s="1"/>
  <c r="AH39" i="5"/>
  <c r="D38" i="8" s="1"/>
  <c r="EV183" i="1"/>
  <c r="EV184" i="1" s="1"/>
  <c r="EV185" i="1" s="1"/>
  <c r="EV186" i="1" s="1"/>
  <c r="EV187" i="1" s="1"/>
  <c r="EV188" i="1" s="1"/>
  <c r="EV189" i="1" s="1"/>
  <c r="EV190" i="1" s="1"/>
  <c r="EV191" i="1" s="1"/>
  <c r="EV192" i="1" s="1"/>
  <c r="EV193" i="1" s="1"/>
  <c r="EV194" i="1" s="1"/>
  <c r="EV195" i="1" s="1"/>
  <c r="EV196" i="1" s="1"/>
  <c r="EV197" i="1" s="1"/>
  <c r="EV198" i="1" s="1"/>
  <c r="EV199" i="1" s="1"/>
  <c r="EV200" i="1" s="1"/>
  <c r="EV201" i="1" s="1"/>
  <c r="EV202" i="1" s="1"/>
  <c r="EV203" i="1" s="1"/>
  <c r="EV204" i="1" s="1"/>
  <c r="EV205" i="1" s="1"/>
  <c r="EV206" i="1" s="1"/>
  <c r="EV207" i="1" s="1"/>
  <c r="EV208" i="1" s="1"/>
  <c r="EV209" i="1" s="1"/>
  <c r="EV210" i="1" s="1"/>
  <c r="EV211" i="1" s="1"/>
  <c r="EV212" i="1" s="1"/>
  <c r="EV213" i="1" s="1"/>
  <c r="R39" i="5"/>
  <c r="D20" i="8" s="1"/>
  <c r="S39" i="5"/>
  <c r="D21" i="8" s="1"/>
  <c r="FE183" i="1"/>
  <c r="FE184" i="1" s="1"/>
  <c r="FE185" i="1" s="1"/>
  <c r="FE186" i="1" s="1"/>
  <c r="FE187" i="1" s="1"/>
  <c r="FE188" i="1" s="1"/>
  <c r="FE189" i="1" s="1"/>
  <c r="FE190" i="1" s="1"/>
  <c r="FE191" i="1" s="1"/>
  <c r="FE192" i="1" s="1"/>
  <c r="FE193" i="1" s="1"/>
  <c r="FE194" i="1" s="1"/>
  <c r="FE195" i="1" s="1"/>
  <c r="FE196" i="1" s="1"/>
  <c r="FE197" i="1" s="1"/>
  <c r="FE198" i="1" s="1"/>
  <c r="FE199" i="1" s="1"/>
  <c r="FE200" i="1" s="1"/>
  <c r="FE201" i="1" s="1"/>
  <c r="FE202" i="1" s="1"/>
  <c r="FE203" i="1" s="1"/>
  <c r="FE204" i="1" s="1"/>
  <c r="FE205" i="1" s="1"/>
  <c r="FE206" i="1" s="1"/>
  <c r="FE207" i="1" s="1"/>
  <c r="FE208" i="1" s="1"/>
  <c r="FE209" i="1" s="1"/>
  <c r="FE210" i="1" s="1"/>
  <c r="FE211" i="1" s="1"/>
  <c r="FE212" i="1" s="1"/>
  <c r="FE213" i="1" s="1"/>
  <c r="P39" i="5"/>
  <c r="D18" i="8" s="1"/>
  <c r="ED183" i="1"/>
  <c r="ED184" i="1" s="1"/>
  <c r="ED185" i="1" s="1"/>
  <c r="ED186" i="1" s="1"/>
  <c r="ED187" i="1" s="1"/>
  <c r="ED188" i="1" s="1"/>
  <c r="ED189" i="1" s="1"/>
  <c r="ED190" i="1" s="1"/>
  <c r="ED191" i="1" s="1"/>
  <c r="ED192" i="1" s="1"/>
  <c r="ED193" i="1" s="1"/>
  <c r="ED194" i="1" s="1"/>
  <c r="ED195" i="1" s="1"/>
  <c r="ED196" i="1" s="1"/>
  <c r="ED197" i="1" s="1"/>
  <c r="ED198" i="1" s="1"/>
  <c r="ED199" i="1" s="1"/>
  <c r="ED200" i="1" s="1"/>
  <c r="ED201" i="1" s="1"/>
  <c r="ED202" i="1" s="1"/>
  <c r="ED203" i="1" s="1"/>
  <c r="ED204" i="1" s="1"/>
  <c r="ED205" i="1" s="1"/>
  <c r="ED206" i="1" s="1"/>
  <c r="ED207" i="1" s="1"/>
  <c r="ED208" i="1" s="1"/>
  <c r="ED209" i="1" s="1"/>
  <c r="ED210" i="1" s="1"/>
  <c r="ED211" i="1" s="1"/>
  <c r="ED212" i="1" s="1"/>
  <c r="ED213" i="1" s="1"/>
  <c r="HZ183" i="1"/>
  <c r="HZ184" i="1" s="1"/>
  <c r="HZ185" i="1" s="1"/>
  <c r="HZ186" i="1" s="1"/>
  <c r="HZ187" i="1" s="1"/>
  <c r="HZ188" i="1" s="1"/>
  <c r="HZ189" i="1" s="1"/>
  <c r="HZ190" i="1" s="1"/>
  <c r="HZ191" i="1" s="1"/>
  <c r="HZ192" i="1" s="1"/>
  <c r="HZ193" i="1" s="1"/>
  <c r="HZ194" i="1" s="1"/>
  <c r="HZ195" i="1" s="1"/>
  <c r="HZ196" i="1" s="1"/>
  <c r="HZ197" i="1" s="1"/>
  <c r="HZ198" i="1" s="1"/>
  <c r="HZ199" i="1" s="1"/>
  <c r="HZ200" i="1" s="1"/>
  <c r="HZ201" i="1" s="1"/>
  <c r="HZ202" i="1" s="1"/>
  <c r="HZ203" i="1" s="1"/>
  <c r="HZ204" i="1" s="1"/>
  <c r="HZ205" i="1" s="1"/>
  <c r="HZ206" i="1" s="1"/>
  <c r="HZ207" i="1" s="1"/>
  <c r="HZ208" i="1" s="1"/>
  <c r="HZ209" i="1" s="1"/>
  <c r="HZ210" i="1" s="1"/>
  <c r="HZ211" i="1" s="1"/>
  <c r="HZ212" i="1" s="1"/>
  <c r="HZ213" i="1" s="1"/>
  <c r="IA213" i="1" s="1"/>
  <c r="AA39" i="5"/>
  <c r="D31" i="8" s="1"/>
  <c r="O39" i="5"/>
  <c r="D17" i="8" s="1"/>
  <c r="DU183" i="1"/>
  <c r="DU184" i="1" s="1"/>
  <c r="DU185" i="1" s="1"/>
  <c r="DU186" i="1" s="1"/>
  <c r="DU187" i="1" s="1"/>
  <c r="DU188" i="1" s="1"/>
  <c r="DU189" i="1" s="1"/>
  <c r="DU190" i="1" s="1"/>
  <c r="DU191" i="1" s="1"/>
  <c r="DU192" i="1" s="1"/>
  <c r="DU193" i="1" s="1"/>
  <c r="DU194" i="1" s="1"/>
  <c r="DU195" i="1" s="1"/>
  <c r="DU196" i="1" s="1"/>
  <c r="DU197" i="1" s="1"/>
  <c r="DU198" i="1" s="1"/>
  <c r="DU199" i="1" s="1"/>
  <c r="DU200" i="1" s="1"/>
  <c r="DU201" i="1" s="1"/>
  <c r="DU202" i="1" s="1"/>
  <c r="DU203" i="1" s="1"/>
  <c r="DU204" i="1" s="1"/>
  <c r="DU205" i="1" s="1"/>
  <c r="DU206" i="1" s="1"/>
  <c r="DU207" i="1" s="1"/>
  <c r="DU208" i="1" s="1"/>
  <c r="DU209" i="1" s="1"/>
  <c r="DU210" i="1" s="1"/>
  <c r="DU211" i="1" s="1"/>
  <c r="DU212" i="1" s="1"/>
  <c r="DU213" i="1" s="1"/>
  <c r="DL183" i="1"/>
  <c r="DL184" i="1" s="1"/>
  <c r="DL185" i="1" s="1"/>
  <c r="DL186" i="1" s="1"/>
  <c r="DL187" i="1" s="1"/>
  <c r="DL188" i="1" s="1"/>
  <c r="DL189" i="1" s="1"/>
  <c r="DL190" i="1" s="1"/>
  <c r="DL191" i="1" s="1"/>
  <c r="DL192" i="1" s="1"/>
  <c r="DL193" i="1" s="1"/>
  <c r="DL194" i="1" s="1"/>
  <c r="DL195" i="1" s="1"/>
  <c r="DL196" i="1" s="1"/>
  <c r="DL197" i="1" s="1"/>
  <c r="DL198" i="1" s="1"/>
  <c r="DL199" i="1" s="1"/>
  <c r="DL200" i="1" s="1"/>
  <c r="DL201" i="1" s="1"/>
  <c r="DL202" i="1" s="1"/>
  <c r="DL203" i="1" s="1"/>
  <c r="DL204" i="1" s="1"/>
  <c r="DL205" i="1" s="1"/>
  <c r="DL206" i="1" s="1"/>
  <c r="DL207" i="1" s="1"/>
  <c r="DL208" i="1" s="1"/>
  <c r="DL209" i="1" s="1"/>
  <c r="DL210" i="1" s="1"/>
  <c r="DL211" i="1" s="1"/>
  <c r="DL212" i="1" s="1"/>
  <c r="DL213" i="1" s="1"/>
  <c r="DL217" i="1" s="1"/>
  <c r="N39" i="5"/>
  <c r="D16" i="8" s="1"/>
  <c r="L39" i="5"/>
  <c r="D14" i="8" s="1"/>
  <c r="CT183" i="1"/>
  <c r="CT184" i="1" s="1"/>
  <c r="CT185" i="1" s="1"/>
  <c r="CT186" i="1" s="1"/>
  <c r="CT187" i="1" s="1"/>
  <c r="CT188" i="1" s="1"/>
  <c r="CT189" i="1" s="1"/>
  <c r="CT190" i="1" s="1"/>
  <c r="CT191" i="1" s="1"/>
  <c r="CT192" i="1" s="1"/>
  <c r="CT193" i="1" s="1"/>
  <c r="CT194" i="1" s="1"/>
  <c r="CT195" i="1" s="1"/>
  <c r="CT196" i="1" s="1"/>
  <c r="CT197" i="1" s="1"/>
  <c r="CT198" i="1" s="1"/>
  <c r="CT199" i="1" s="1"/>
  <c r="CT200" i="1" s="1"/>
  <c r="CT201" i="1" s="1"/>
  <c r="CT202" i="1" s="1"/>
  <c r="CT203" i="1" s="1"/>
  <c r="CT204" i="1" s="1"/>
  <c r="CT205" i="1" s="1"/>
  <c r="CT206" i="1" s="1"/>
  <c r="CT207" i="1" s="1"/>
  <c r="CT208" i="1" s="1"/>
  <c r="CT209" i="1" s="1"/>
  <c r="CT210" i="1" s="1"/>
  <c r="CT211" i="1" s="1"/>
  <c r="CT212" i="1" s="1"/>
  <c r="CT213" i="1" s="1"/>
  <c r="AF39" i="5"/>
  <c r="D36" i="8" s="1"/>
  <c r="JS183" i="1"/>
  <c r="JS184" i="1" s="1"/>
  <c r="JS185" i="1" s="1"/>
  <c r="JS186" i="1" s="1"/>
  <c r="JS187" i="1" s="1"/>
  <c r="JS188" i="1" s="1"/>
  <c r="JS189" i="1" s="1"/>
  <c r="JS190" i="1" s="1"/>
  <c r="JS191" i="1" s="1"/>
  <c r="JS192" i="1" s="1"/>
  <c r="JS193" i="1" s="1"/>
  <c r="JS194" i="1" s="1"/>
  <c r="JS195" i="1" s="1"/>
  <c r="JS196" i="1" s="1"/>
  <c r="JS197" i="1" s="1"/>
  <c r="JS198" i="1" s="1"/>
  <c r="JS199" i="1" s="1"/>
  <c r="JS200" i="1" s="1"/>
  <c r="JS201" i="1" s="1"/>
  <c r="JS202" i="1" s="1"/>
  <c r="JS203" i="1" s="1"/>
  <c r="JS204" i="1" s="1"/>
  <c r="JS205" i="1" s="1"/>
  <c r="JS206" i="1" s="1"/>
  <c r="JS207" i="1" s="1"/>
  <c r="JS208" i="1" s="1"/>
  <c r="JS209" i="1" s="1"/>
  <c r="JS210" i="1" s="1"/>
  <c r="JS211" i="1" s="1"/>
  <c r="JS212" i="1" s="1"/>
  <c r="JS213" i="1" s="1"/>
  <c r="JT213" i="1" s="1"/>
  <c r="KT183" i="1"/>
  <c r="KT184" i="1" s="1"/>
  <c r="KT185" i="1" s="1"/>
  <c r="KT186" i="1" s="1"/>
  <c r="KT187" i="1" s="1"/>
  <c r="KT188" i="1" s="1"/>
  <c r="KT189" i="1" s="1"/>
  <c r="KT190" i="1" s="1"/>
  <c r="KT191" i="1" s="1"/>
  <c r="KT192" i="1" s="1"/>
  <c r="KT193" i="1" s="1"/>
  <c r="KT194" i="1" s="1"/>
  <c r="KT195" i="1" s="1"/>
  <c r="KT196" i="1" s="1"/>
  <c r="KT197" i="1" s="1"/>
  <c r="KT198" i="1" s="1"/>
  <c r="KT199" i="1" s="1"/>
  <c r="KT200" i="1" s="1"/>
  <c r="KT201" i="1" s="1"/>
  <c r="KT202" i="1" s="1"/>
  <c r="KT203" i="1" s="1"/>
  <c r="KT204" i="1" s="1"/>
  <c r="KT205" i="1" s="1"/>
  <c r="KT206" i="1" s="1"/>
  <c r="KT207" i="1" s="1"/>
  <c r="KT208" i="1" s="1"/>
  <c r="KT209" i="1" s="1"/>
  <c r="KT210" i="1" s="1"/>
  <c r="KT211" i="1" s="1"/>
  <c r="KT212" i="1" s="1"/>
  <c r="KT213" i="1" s="1"/>
  <c r="KU213" i="1" s="1"/>
  <c r="AI39" i="5"/>
  <c r="D39" i="8" s="1"/>
  <c r="Y39" i="5"/>
  <c r="D29" i="8" s="1"/>
  <c r="HG183" i="1"/>
  <c r="HG184" i="1" s="1"/>
  <c r="HG185" i="1" s="1"/>
  <c r="HG186" i="1" s="1"/>
  <c r="HG187" i="1" s="1"/>
  <c r="HG188" i="1" s="1"/>
  <c r="HG189" i="1" s="1"/>
  <c r="HG190" i="1" s="1"/>
  <c r="HG191" i="1" s="1"/>
  <c r="HG192" i="1" s="1"/>
  <c r="HG193" i="1" s="1"/>
  <c r="HG194" i="1" s="1"/>
  <c r="HG195" i="1" s="1"/>
  <c r="HG196" i="1" s="1"/>
  <c r="HG197" i="1" s="1"/>
  <c r="HG198" i="1" s="1"/>
  <c r="HG199" i="1" s="1"/>
  <c r="HG200" i="1" s="1"/>
  <c r="HG201" i="1" s="1"/>
  <c r="HG202" i="1" s="1"/>
  <c r="HG203" i="1" s="1"/>
  <c r="HG204" i="1" s="1"/>
  <c r="HG205" i="1" s="1"/>
  <c r="HG206" i="1" s="1"/>
  <c r="HG207" i="1" s="1"/>
  <c r="HG208" i="1" s="1"/>
  <c r="HG209" i="1" s="1"/>
  <c r="HG210" i="1" s="1"/>
  <c r="HG211" i="1" s="1"/>
  <c r="HG212" i="1" s="1"/>
  <c r="HG213" i="1" s="1"/>
  <c r="HH213" i="1" s="1"/>
  <c r="D43" i="5"/>
  <c r="H6" i="8" s="1"/>
  <c r="O6" i="8" s="1"/>
  <c r="IS182" i="1" l="1"/>
  <c r="AC39" i="5"/>
  <c r="D33" i="8" s="1"/>
  <c r="IR183" i="1"/>
  <c r="IR184" i="1" s="1"/>
  <c r="IR185" i="1" s="1"/>
  <c r="IR186" i="1" s="1"/>
  <c r="IR187" i="1" s="1"/>
  <c r="IR188" i="1" s="1"/>
  <c r="IR189" i="1" s="1"/>
  <c r="IR190" i="1" s="1"/>
  <c r="IR191" i="1" s="1"/>
  <c r="IR192" i="1" s="1"/>
  <c r="IR193" i="1" s="1"/>
  <c r="IR194" i="1" s="1"/>
  <c r="IR195" i="1" s="1"/>
  <c r="IR196" i="1" s="1"/>
  <c r="IR197" i="1" s="1"/>
  <c r="IR198" i="1" s="1"/>
  <c r="IR199" i="1" s="1"/>
  <c r="IR200" i="1" s="1"/>
  <c r="IR201" i="1" s="1"/>
  <c r="IR202" i="1" s="1"/>
  <c r="IR203" i="1" s="1"/>
  <c r="IR204" i="1" s="1"/>
  <c r="IR205" i="1" s="1"/>
  <c r="IR206" i="1" s="1"/>
  <c r="IR207" i="1" s="1"/>
  <c r="IR208" i="1" s="1"/>
  <c r="IR209" i="1" s="1"/>
  <c r="IR210" i="1" s="1"/>
  <c r="IR211" i="1" s="1"/>
  <c r="IR212" i="1" s="1"/>
  <c r="IR213" i="1" s="1"/>
  <c r="AL78" i="5"/>
  <c r="H42" i="15" s="1"/>
  <c r="O42" i="15" s="1"/>
  <c r="LU395" i="1"/>
  <c r="M43" i="5"/>
  <c r="H15" i="8" s="1"/>
  <c r="O15" i="8" s="1"/>
  <c r="DC217" i="1"/>
  <c r="NE395" i="1"/>
  <c r="AP78" i="5"/>
  <c r="H46" i="15" s="1"/>
  <c r="O46" i="15" s="1"/>
  <c r="AD43" i="5"/>
  <c r="H34" i="8" s="1"/>
  <c r="O34" i="8" s="1"/>
  <c r="JA217" i="1"/>
  <c r="JB217" i="1" s="1"/>
  <c r="AO78" i="5"/>
  <c r="H45" i="15" s="1"/>
  <c r="O45" i="15" s="1"/>
  <c r="MV395" i="1"/>
  <c r="LC253" i="1"/>
  <c r="LD253" i="1" s="1"/>
  <c r="AJ50" i="5"/>
  <c r="H40" i="11" s="1"/>
  <c r="O40" i="11" s="1"/>
  <c r="D4" i="20"/>
  <c r="D65" i="20" s="1"/>
  <c r="D67" i="20" s="1"/>
  <c r="AN78" i="5"/>
  <c r="H44" i="15" s="1"/>
  <c r="O44" i="15" s="1"/>
  <c r="MM395" i="1"/>
  <c r="T36" i="5"/>
  <c r="H22" i="21" s="1"/>
  <c r="O22" i="21" s="1"/>
  <c r="FN182" i="1"/>
  <c r="AG43" i="5"/>
  <c r="H37" i="8" s="1"/>
  <c r="O37" i="8" s="1"/>
  <c r="KB217" i="1"/>
  <c r="KC217" i="1" s="1"/>
  <c r="AK43" i="5"/>
  <c r="H41" i="8" s="1"/>
  <c r="O41" i="8" s="1"/>
  <c r="LL217" i="1"/>
  <c r="LM217" i="1" s="1"/>
  <c r="MD395" i="1"/>
  <c r="AM78" i="5"/>
  <c r="H43" i="15" s="1"/>
  <c r="O43" i="15" s="1"/>
  <c r="AQ60" i="5"/>
  <c r="NN290" i="1"/>
  <c r="NN291" i="1" s="1"/>
  <c r="NN292" i="1" s="1"/>
  <c r="NN293" i="1" s="1"/>
  <c r="NN294" i="1" s="1"/>
  <c r="NN295" i="1" s="1"/>
  <c r="NN296" i="1" s="1"/>
  <c r="NN297" i="1" s="1"/>
  <c r="NN298" i="1" s="1"/>
  <c r="NN299" i="1" s="1"/>
  <c r="NN300" i="1" s="1"/>
  <c r="NN301" i="1" s="1"/>
  <c r="NN302" i="1" s="1"/>
  <c r="NN303" i="1" s="1"/>
  <c r="NN304" i="1" s="1"/>
  <c r="NN305" i="1" s="1"/>
  <c r="NN306" i="1" s="1"/>
  <c r="NN307" i="1" s="1"/>
  <c r="NN308" i="1" s="1"/>
  <c r="NN309" i="1" s="1"/>
  <c r="NN310" i="1" s="1"/>
  <c r="NN311" i="1" s="1"/>
  <c r="NN312" i="1" s="1"/>
  <c r="NN313" i="1" s="1"/>
  <c r="NN314" i="1" s="1"/>
  <c r="NN315" i="1" s="1"/>
  <c r="NN316" i="1" s="1"/>
  <c r="NN317" i="1" s="1"/>
  <c r="NN318" i="1" s="1"/>
  <c r="NN319" i="1" s="1"/>
  <c r="NN320" i="1" s="1"/>
  <c r="AB43" i="5"/>
  <c r="H32" i="8" s="1"/>
  <c r="O32" i="8" s="1"/>
  <c r="II217" i="1"/>
  <c r="IJ217" i="1" s="1"/>
  <c r="H146" i="1"/>
  <c r="B29" i="5"/>
  <c r="H4" i="20" s="1"/>
  <c r="AZ60" i="5"/>
  <c r="D56" i="13" s="1"/>
  <c r="QQ290" i="1"/>
  <c r="QQ291" i="1" s="1"/>
  <c r="QQ292" i="1" s="1"/>
  <c r="QQ293" i="1" s="1"/>
  <c r="QQ294" i="1" s="1"/>
  <c r="QQ295" i="1" s="1"/>
  <c r="QQ296" i="1" s="1"/>
  <c r="QQ297" i="1" s="1"/>
  <c r="QQ298" i="1" s="1"/>
  <c r="QQ299" i="1" s="1"/>
  <c r="QQ300" i="1" s="1"/>
  <c r="QQ301" i="1" s="1"/>
  <c r="QQ302" i="1" s="1"/>
  <c r="QQ303" i="1" s="1"/>
  <c r="QQ304" i="1" s="1"/>
  <c r="QQ305" i="1" s="1"/>
  <c r="QQ306" i="1" s="1"/>
  <c r="QQ307" i="1" s="1"/>
  <c r="QQ308" i="1" s="1"/>
  <c r="QQ309" i="1" s="1"/>
  <c r="QQ310" i="1" s="1"/>
  <c r="QQ311" i="1" s="1"/>
  <c r="QQ312" i="1" s="1"/>
  <c r="QQ313" i="1" s="1"/>
  <c r="QQ314" i="1" s="1"/>
  <c r="QQ315" i="1" s="1"/>
  <c r="QQ316" i="1" s="1"/>
  <c r="QQ317" i="1" s="1"/>
  <c r="QQ318" i="1" s="1"/>
  <c r="QQ319" i="1" s="1"/>
  <c r="QQ320" i="1" s="1"/>
  <c r="AY60" i="5"/>
  <c r="D55" i="13" s="1"/>
  <c r="QH290" i="1"/>
  <c r="QH291" i="1" s="1"/>
  <c r="QH292" i="1" s="1"/>
  <c r="QH293" i="1" s="1"/>
  <c r="QH294" i="1" s="1"/>
  <c r="QH295" i="1" s="1"/>
  <c r="QH296" i="1" s="1"/>
  <c r="QH297" i="1" s="1"/>
  <c r="QH298" i="1" s="1"/>
  <c r="QH299" i="1" s="1"/>
  <c r="QH300" i="1" s="1"/>
  <c r="QH301" i="1" s="1"/>
  <c r="QH302" i="1" s="1"/>
  <c r="QH303" i="1" s="1"/>
  <c r="QH304" i="1" s="1"/>
  <c r="QH305" i="1" s="1"/>
  <c r="QH306" i="1" s="1"/>
  <c r="QH307" i="1" s="1"/>
  <c r="QH308" i="1" s="1"/>
  <c r="QH309" i="1" s="1"/>
  <c r="QH310" i="1" s="1"/>
  <c r="QH311" i="1" s="1"/>
  <c r="QH312" i="1" s="1"/>
  <c r="QH313" i="1" s="1"/>
  <c r="QH314" i="1" s="1"/>
  <c r="QH315" i="1" s="1"/>
  <c r="QH316" i="1" s="1"/>
  <c r="QH317" i="1" s="1"/>
  <c r="QH318" i="1" s="1"/>
  <c r="QH319" i="1" s="1"/>
  <c r="QH320" i="1" s="1"/>
  <c r="AX60" i="5"/>
  <c r="D54" i="13" s="1"/>
  <c r="PY290" i="1"/>
  <c r="PY291" i="1" s="1"/>
  <c r="PY292" i="1" s="1"/>
  <c r="PY293" i="1" s="1"/>
  <c r="PY294" i="1" s="1"/>
  <c r="PY295" i="1" s="1"/>
  <c r="PY296" i="1" s="1"/>
  <c r="PY297" i="1" s="1"/>
  <c r="PY298" i="1" s="1"/>
  <c r="PY299" i="1" s="1"/>
  <c r="PY300" i="1" s="1"/>
  <c r="PY301" i="1" s="1"/>
  <c r="PY302" i="1" s="1"/>
  <c r="PY303" i="1" s="1"/>
  <c r="PY304" i="1" s="1"/>
  <c r="PY305" i="1" s="1"/>
  <c r="PY306" i="1" s="1"/>
  <c r="PY307" i="1" s="1"/>
  <c r="PY308" i="1" s="1"/>
  <c r="PY309" i="1" s="1"/>
  <c r="PY310" i="1" s="1"/>
  <c r="PY311" i="1" s="1"/>
  <c r="PY312" i="1" s="1"/>
  <c r="PY313" i="1" s="1"/>
  <c r="PY314" i="1" s="1"/>
  <c r="PY315" i="1" s="1"/>
  <c r="PY316" i="1" s="1"/>
  <c r="PY317" i="1" s="1"/>
  <c r="PY318" i="1" s="1"/>
  <c r="PY319" i="1" s="1"/>
  <c r="PY320" i="1" s="1"/>
  <c r="AW60" i="5"/>
  <c r="D53" i="13" s="1"/>
  <c r="PP290" i="1"/>
  <c r="PP291" i="1" s="1"/>
  <c r="PP292" i="1" s="1"/>
  <c r="PP293" i="1" s="1"/>
  <c r="PP294" i="1" s="1"/>
  <c r="PP295" i="1" s="1"/>
  <c r="PP296" i="1" s="1"/>
  <c r="PP297" i="1" s="1"/>
  <c r="PP298" i="1" s="1"/>
  <c r="PP299" i="1" s="1"/>
  <c r="PP300" i="1" s="1"/>
  <c r="PP301" i="1" s="1"/>
  <c r="PP302" i="1" s="1"/>
  <c r="PP303" i="1" s="1"/>
  <c r="PP304" i="1" s="1"/>
  <c r="PP305" i="1" s="1"/>
  <c r="PP306" i="1" s="1"/>
  <c r="PP307" i="1" s="1"/>
  <c r="PP308" i="1" s="1"/>
  <c r="PP309" i="1" s="1"/>
  <c r="PP310" i="1" s="1"/>
  <c r="PP311" i="1" s="1"/>
  <c r="PP312" i="1" s="1"/>
  <c r="PP313" i="1" s="1"/>
  <c r="PP314" i="1" s="1"/>
  <c r="PP315" i="1" s="1"/>
  <c r="PP316" i="1" s="1"/>
  <c r="PP317" i="1" s="1"/>
  <c r="PP318" i="1" s="1"/>
  <c r="PP319" i="1" s="1"/>
  <c r="PP320" i="1" s="1"/>
  <c r="AV60" i="5"/>
  <c r="D52" i="13" s="1"/>
  <c r="PG290" i="1"/>
  <c r="PG291" i="1" s="1"/>
  <c r="PG292" i="1" s="1"/>
  <c r="PG293" i="1" s="1"/>
  <c r="PG294" i="1" s="1"/>
  <c r="PG295" i="1" s="1"/>
  <c r="PG296" i="1" s="1"/>
  <c r="PG297" i="1" s="1"/>
  <c r="PG298" i="1" s="1"/>
  <c r="PG299" i="1" s="1"/>
  <c r="PG300" i="1" s="1"/>
  <c r="PG301" i="1" s="1"/>
  <c r="PG302" i="1" s="1"/>
  <c r="PG303" i="1" s="1"/>
  <c r="PG304" i="1" s="1"/>
  <c r="PG305" i="1" s="1"/>
  <c r="PG306" i="1" s="1"/>
  <c r="PG307" i="1" s="1"/>
  <c r="PG308" i="1" s="1"/>
  <c r="PG309" i="1" s="1"/>
  <c r="PG310" i="1" s="1"/>
  <c r="PG311" i="1" s="1"/>
  <c r="PG312" i="1" s="1"/>
  <c r="PG313" i="1" s="1"/>
  <c r="PG314" i="1" s="1"/>
  <c r="PG315" i="1" s="1"/>
  <c r="PG316" i="1" s="1"/>
  <c r="PG317" i="1" s="1"/>
  <c r="PG318" i="1" s="1"/>
  <c r="PG319" i="1" s="1"/>
  <c r="PG320" i="1" s="1"/>
  <c r="O43" i="5"/>
  <c r="H17" i="8" s="1"/>
  <c r="O17" i="8" s="1"/>
  <c r="DU217" i="1"/>
  <c r="S43" i="5"/>
  <c r="H21" i="8" s="1"/>
  <c r="O21" i="8" s="1"/>
  <c r="FE217" i="1"/>
  <c r="Z43" i="5"/>
  <c r="H30" i="8" s="1"/>
  <c r="O30" i="8" s="1"/>
  <c r="HP217" i="1"/>
  <c r="EM218" i="1"/>
  <c r="EM219" i="1" s="1"/>
  <c r="EM220" i="1" s="1"/>
  <c r="EM221" i="1" s="1"/>
  <c r="EM222" i="1" s="1"/>
  <c r="EM223" i="1" s="1"/>
  <c r="EM224" i="1" s="1"/>
  <c r="EM225" i="1" s="1"/>
  <c r="EM226" i="1" s="1"/>
  <c r="EM227" i="1" s="1"/>
  <c r="EM228" i="1" s="1"/>
  <c r="EM229" i="1" s="1"/>
  <c r="EM230" i="1" s="1"/>
  <c r="EM231" i="1" s="1"/>
  <c r="EM232" i="1" s="1"/>
  <c r="EM233" i="1" s="1"/>
  <c r="EM234" i="1" s="1"/>
  <c r="EM235" i="1" s="1"/>
  <c r="EM236" i="1" s="1"/>
  <c r="EM237" i="1" s="1"/>
  <c r="EM238" i="1" s="1"/>
  <c r="EM239" i="1" s="1"/>
  <c r="EM240" i="1" s="1"/>
  <c r="EM241" i="1" s="1"/>
  <c r="EM242" i="1" s="1"/>
  <c r="EM243" i="1" s="1"/>
  <c r="EM244" i="1" s="1"/>
  <c r="EM245" i="1" s="1"/>
  <c r="EM246" i="1" s="1"/>
  <c r="EM247" i="1" s="1"/>
  <c r="EM248" i="1" s="1"/>
  <c r="EM249" i="1" s="1"/>
  <c r="Q46" i="5"/>
  <c r="D19" i="11" s="1"/>
  <c r="L43" i="5"/>
  <c r="H14" i="8" s="1"/>
  <c r="O14" i="8" s="1"/>
  <c r="CT217" i="1"/>
  <c r="AI43" i="5"/>
  <c r="H39" i="8" s="1"/>
  <c r="O39" i="8" s="1"/>
  <c r="KT217" i="1"/>
  <c r="KU217" i="1" s="1"/>
  <c r="AA43" i="5"/>
  <c r="H31" i="8" s="1"/>
  <c r="O31" i="8" s="1"/>
  <c r="HZ217" i="1"/>
  <c r="IA217" i="1" s="1"/>
  <c r="AH43" i="5"/>
  <c r="H38" i="8" s="1"/>
  <c r="O38" i="8" s="1"/>
  <c r="KK217" i="1"/>
  <c r="KL217" i="1" s="1"/>
  <c r="Y43" i="5"/>
  <c r="H29" i="8" s="1"/>
  <c r="O29" i="8" s="1"/>
  <c r="HG217" i="1"/>
  <c r="HH217" i="1" s="1"/>
  <c r="P43" i="5"/>
  <c r="H18" i="8" s="1"/>
  <c r="O18" i="8" s="1"/>
  <c r="ED217" i="1"/>
  <c r="AE43" i="5"/>
  <c r="H35" i="8" s="1"/>
  <c r="O35" i="8" s="1"/>
  <c r="JJ217" i="1"/>
  <c r="GO218" i="1"/>
  <c r="GO219" i="1" s="1"/>
  <c r="GO220" i="1" s="1"/>
  <c r="GO221" i="1" s="1"/>
  <c r="GO222" i="1" s="1"/>
  <c r="GO223" i="1" s="1"/>
  <c r="GO224" i="1" s="1"/>
  <c r="GO225" i="1" s="1"/>
  <c r="GO226" i="1" s="1"/>
  <c r="GO227" i="1" s="1"/>
  <c r="GO228" i="1" s="1"/>
  <c r="GO229" i="1" s="1"/>
  <c r="GO230" i="1" s="1"/>
  <c r="GO231" i="1" s="1"/>
  <c r="GO232" i="1" s="1"/>
  <c r="GO233" i="1" s="1"/>
  <c r="GO234" i="1" s="1"/>
  <c r="GO235" i="1" s="1"/>
  <c r="GO236" i="1" s="1"/>
  <c r="GO237" i="1" s="1"/>
  <c r="GO238" i="1" s="1"/>
  <c r="GO239" i="1" s="1"/>
  <c r="GO240" i="1" s="1"/>
  <c r="GO241" i="1" s="1"/>
  <c r="GO242" i="1" s="1"/>
  <c r="GO243" i="1" s="1"/>
  <c r="GO244" i="1" s="1"/>
  <c r="GO245" i="1" s="1"/>
  <c r="GO246" i="1" s="1"/>
  <c r="GO247" i="1" s="1"/>
  <c r="GO248" i="1" s="1"/>
  <c r="GO249" i="1" s="1"/>
  <c r="GP249" i="1" s="1"/>
  <c r="W46" i="5"/>
  <c r="D27" i="11" s="1"/>
  <c r="R43" i="5"/>
  <c r="H20" i="8" s="1"/>
  <c r="O20" i="8" s="1"/>
  <c r="EV217" i="1"/>
  <c r="X43" i="5"/>
  <c r="H28" i="8" s="1"/>
  <c r="O28" i="8" s="1"/>
  <c r="GX217" i="1"/>
  <c r="GY217" i="1" s="1"/>
  <c r="N43" i="5"/>
  <c r="H16" i="8" s="1"/>
  <c r="O16" i="8" s="1"/>
  <c r="U43" i="5"/>
  <c r="H25" i="8" s="1"/>
  <c r="O25" i="8" s="1"/>
  <c r="FW217" i="1"/>
  <c r="FX217" i="1" s="1"/>
  <c r="AF43" i="5"/>
  <c r="H36" i="8" s="1"/>
  <c r="O36" i="8" s="1"/>
  <c r="JS217" i="1"/>
  <c r="JT217" i="1" s="1"/>
  <c r="GF218" i="1"/>
  <c r="GF219" i="1" s="1"/>
  <c r="GF220" i="1" s="1"/>
  <c r="GF221" i="1" s="1"/>
  <c r="GF222" i="1" s="1"/>
  <c r="GF223" i="1" s="1"/>
  <c r="GF224" i="1" s="1"/>
  <c r="GF225" i="1" s="1"/>
  <c r="GF226" i="1" s="1"/>
  <c r="GF227" i="1" s="1"/>
  <c r="GF228" i="1" s="1"/>
  <c r="GF229" i="1" s="1"/>
  <c r="GF230" i="1" s="1"/>
  <c r="GF231" i="1" s="1"/>
  <c r="GF232" i="1" s="1"/>
  <c r="GF233" i="1" s="1"/>
  <c r="GF234" i="1" s="1"/>
  <c r="GF235" i="1" s="1"/>
  <c r="GF236" i="1" s="1"/>
  <c r="GF237" i="1" s="1"/>
  <c r="GF238" i="1" s="1"/>
  <c r="GF239" i="1" s="1"/>
  <c r="GF240" i="1" s="1"/>
  <c r="GF241" i="1" s="1"/>
  <c r="GF242" i="1" s="1"/>
  <c r="GF243" i="1" s="1"/>
  <c r="GF244" i="1" s="1"/>
  <c r="GF245" i="1" s="1"/>
  <c r="GF246" i="1" s="1"/>
  <c r="GF247" i="1" s="1"/>
  <c r="GF248" i="1" s="1"/>
  <c r="GF249" i="1" s="1"/>
  <c r="GG249" i="1" s="1"/>
  <c r="V46" i="5"/>
  <c r="D26" i="11" s="1"/>
  <c r="D6" i="11"/>
  <c r="IR217" i="1" l="1"/>
  <c r="AC43" i="5"/>
  <c r="H33" i="8" s="1"/>
  <c r="O33" i="8" s="1"/>
  <c r="IS213" i="1"/>
  <c r="O4" i="20"/>
  <c r="H65" i="20"/>
  <c r="AL81" i="5"/>
  <c r="D42" i="16" s="1"/>
  <c r="LU396" i="1"/>
  <c r="LU397" i="1" s="1"/>
  <c r="LU398" i="1" s="1"/>
  <c r="LU399" i="1" s="1"/>
  <c r="LU400" i="1" s="1"/>
  <c r="LU401" i="1" s="1"/>
  <c r="LU402" i="1" s="1"/>
  <c r="LU403" i="1" s="1"/>
  <c r="LU404" i="1" s="1"/>
  <c r="LU405" i="1" s="1"/>
  <c r="LU406" i="1" s="1"/>
  <c r="LU407" i="1" s="1"/>
  <c r="LU408" i="1" s="1"/>
  <c r="LU409" i="1" s="1"/>
  <c r="LU410" i="1" s="1"/>
  <c r="LU411" i="1" s="1"/>
  <c r="LU412" i="1" s="1"/>
  <c r="LU413" i="1" s="1"/>
  <c r="LU414" i="1" s="1"/>
  <c r="LU415" i="1" s="1"/>
  <c r="LU416" i="1" s="1"/>
  <c r="LU417" i="1" s="1"/>
  <c r="LU418" i="1" s="1"/>
  <c r="LU419" i="1" s="1"/>
  <c r="LU420" i="1" s="1"/>
  <c r="LU421" i="1" s="1"/>
  <c r="LU422" i="1" s="1"/>
  <c r="LU423" i="1" s="1"/>
  <c r="LU424" i="1" s="1"/>
  <c r="LU425" i="1" s="1"/>
  <c r="LU426" i="1" s="1"/>
  <c r="LU427" i="1" s="1"/>
  <c r="AL85" i="5" s="1"/>
  <c r="H42" i="16" s="1"/>
  <c r="O42" i="16" s="1"/>
  <c r="AJ53" i="5"/>
  <c r="D40" i="12" s="1"/>
  <c r="LC254" i="1"/>
  <c r="LC255" i="1" s="1"/>
  <c r="LC256" i="1" s="1"/>
  <c r="LC257" i="1" s="1"/>
  <c r="LC258" i="1" s="1"/>
  <c r="LC259" i="1" s="1"/>
  <c r="LC260" i="1" s="1"/>
  <c r="LC261" i="1" s="1"/>
  <c r="LC262" i="1" s="1"/>
  <c r="LC263" i="1" s="1"/>
  <c r="LC264" i="1" s="1"/>
  <c r="LC265" i="1" s="1"/>
  <c r="LC266" i="1" s="1"/>
  <c r="LC267" i="1" s="1"/>
  <c r="LC268" i="1" s="1"/>
  <c r="LC269" i="1" s="1"/>
  <c r="LC270" i="1" s="1"/>
  <c r="LC271" i="1" s="1"/>
  <c r="LC272" i="1" s="1"/>
  <c r="LC273" i="1" s="1"/>
  <c r="LC274" i="1" s="1"/>
  <c r="LC275" i="1" s="1"/>
  <c r="LC276" i="1" s="1"/>
  <c r="LC277" i="1" s="1"/>
  <c r="LC278" i="1" s="1"/>
  <c r="LC279" i="1" s="1"/>
  <c r="LC280" i="1" s="1"/>
  <c r="LC281" i="1" s="1"/>
  <c r="LC282" i="1" s="1"/>
  <c r="LC283" i="1" s="1"/>
  <c r="LC284" i="1" s="1"/>
  <c r="LC285" i="1" s="1"/>
  <c r="LD285" i="1" s="1"/>
  <c r="AO81" i="5"/>
  <c r="D45" i="16" s="1"/>
  <c r="MV396" i="1"/>
  <c r="MV397" i="1" s="1"/>
  <c r="MV398" i="1" s="1"/>
  <c r="MV399" i="1" s="1"/>
  <c r="MV400" i="1" s="1"/>
  <c r="MV401" i="1" s="1"/>
  <c r="MV402" i="1" s="1"/>
  <c r="MV403" i="1" s="1"/>
  <c r="MV404" i="1" s="1"/>
  <c r="MV405" i="1" s="1"/>
  <c r="MV406" i="1" s="1"/>
  <c r="MV407" i="1" s="1"/>
  <c r="MV408" i="1" s="1"/>
  <c r="MV409" i="1" s="1"/>
  <c r="MV410" i="1" s="1"/>
  <c r="MV411" i="1" s="1"/>
  <c r="MV412" i="1" s="1"/>
  <c r="MV413" i="1" s="1"/>
  <c r="MV414" i="1" s="1"/>
  <c r="MV415" i="1" s="1"/>
  <c r="MV416" i="1" s="1"/>
  <c r="MV417" i="1" s="1"/>
  <c r="MV418" i="1" s="1"/>
  <c r="MV419" i="1" s="1"/>
  <c r="MV420" i="1" s="1"/>
  <c r="MV421" i="1" s="1"/>
  <c r="MV422" i="1" s="1"/>
  <c r="MV423" i="1" s="1"/>
  <c r="MV424" i="1" s="1"/>
  <c r="MV425" i="1" s="1"/>
  <c r="MV426" i="1" s="1"/>
  <c r="MV427" i="1" s="1"/>
  <c r="AO85" i="5" s="1"/>
  <c r="H45" i="16" s="1"/>
  <c r="O45" i="16" s="1"/>
  <c r="AD46" i="5"/>
  <c r="D34" i="11" s="1"/>
  <c r="JA218" i="1"/>
  <c r="JA219" i="1" s="1"/>
  <c r="JA220" i="1" s="1"/>
  <c r="JA221" i="1" s="1"/>
  <c r="JA222" i="1" s="1"/>
  <c r="JA223" i="1" s="1"/>
  <c r="JA224" i="1" s="1"/>
  <c r="JA225" i="1" s="1"/>
  <c r="JA226" i="1" s="1"/>
  <c r="JA227" i="1" s="1"/>
  <c r="JA228" i="1" s="1"/>
  <c r="JA229" i="1" s="1"/>
  <c r="JA230" i="1" s="1"/>
  <c r="JA231" i="1" s="1"/>
  <c r="JA232" i="1" s="1"/>
  <c r="JA233" i="1" s="1"/>
  <c r="JA234" i="1" s="1"/>
  <c r="JA235" i="1" s="1"/>
  <c r="JA236" i="1" s="1"/>
  <c r="JA237" i="1" s="1"/>
  <c r="JA238" i="1" s="1"/>
  <c r="JA239" i="1" s="1"/>
  <c r="JA240" i="1" s="1"/>
  <c r="JA241" i="1" s="1"/>
  <c r="JA242" i="1" s="1"/>
  <c r="JA243" i="1" s="1"/>
  <c r="JA244" i="1" s="1"/>
  <c r="JA245" i="1" s="1"/>
  <c r="JA246" i="1" s="1"/>
  <c r="JA247" i="1" s="1"/>
  <c r="JA248" i="1" s="1"/>
  <c r="JA249" i="1" s="1"/>
  <c r="JB249" i="1" s="1"/>
  <c r="AP81" i="5"/>
  <c r="D46" i="16" s="1"/>
  <c r="NE396" i="1"/>
  <c r="NE397" i="1" s="1"/>
  <c r="NE398" i="1" s="1"/>
  <c r="NE399" i="1" s="1"/>
  <c r="NE400" i="1" s="1"/>
  <c r="NE401" i="1" s="1"/>
  <c r="NE402" i="1" s="1"/>
  <c r="NE403" i="1" s="1"/>
  <c r="NE404" i="1" s="1"/>
  <c r="NE405" i="1" s="1"/>
  <c r="NE406" i="1" s="1"/>
  <c r="NE407" i="1" s="1"/>
  <c r="NE408" i="1" s="1"/>
  <c r="NE409" i="1" s="1"/>
  <c r="NE410" i="1" s="1"/>
  <c r="NE411" i="1" s="1"/>
  <c r="NE412" i="1" s="1"/>
  <c r="NE413" i="1" s="1"/>
  <c r="NE414" i="1" s="1"/>
  <c r="NE415" i="1" s="1"/>
  <c r="NE416" i="1" s="1"/>
  <c r="NE417" i="1" s="1"/>
  <c r="NE418" i="1" s="1"/>
  <c r="NE419" i="1" s="1"/>
  <c r="NE420" i="1" s="1"/>
  <c r="NE421" i="1" s="1"/>
  <c r="NE422" i="1" s="1"/>
  <c r="NE423" i="1" s="1"/>
  <c r="NE424" i="1" s="1"/>
  <c r="NE425" i="1" s="1"/>
  <c r="NE426" i="1" s="1"/>
  <c r="NE427" i="1" s="1"/>
  <c r="AP85" i="5" s="1"/>
  <c r="H46" i="16" s="1"/>
  <c r="O46" i="16" s="1"/>
  <c r="M46" i="5"/>
  <c r="D15" i="11" s="1"/>
  <c r="DC218" i="1"/>
  <c r="DC219" i="1" s="1"/>
  <c r="DC220" i="1" s="1"/>
  <c r="DC221" i="1" s="1"/>
  <c r="DC222" i="1" s="1"/>
  <c r="DC223" i="1" s="1"/>
  <c r="DC224" i="1" s="1"/>
  <c r="DC225" i="1" s="1"/>
  <c r="DC226" i="1" s="1"/>
  <c r="DC227" i="1" s="1"/>
  <c r="DC228" i="1" s="1"/>
  <c r="DC229" i="1" s="1"/>
  <c r="DC230" i="1" s="1"/>
  <c r="DC231" i="1" s="1"/>
  <c r="DC232" i="1" s="1"/>
  <c r="DC233" i="1" s="1"/>
  <c r="DC234" i="1" s="1"/>
  <c r="DC235" i="1" s="1"/>
  <c r="DC236" i="1" s="1"/>
  <c r="DC237" i="1" s="1"/>
  <c r="DC238" i="1" s="1"/>
  <c r="DC239" i="1" s="1"/>
  <c r="DC240" i="1" s="1"/>
  <c r="DC241" i="1" s="1"/>
  <c r="DC242" i="1" s="1"/>
  <c r="DC243" i="1" s="1"/>
  <c r="DC244" i="1" s="1"/>
  <c r="DC245" i="1" s="1"/>
  <c r="DC246" i="1" s="1"/>
  <c r="DC247" i="1" s="1"/>
  <c r="DC248" i="1" s="1"/>
  <c r="DC249" i="1" s="1"/>
  <c r="MM396" i="1"/>
  <c r="MM397" i="1" s="1"/>
  <c r="MM398" i="1" s="1"/>
  <c r="MM399" i="1" s="1"/>
  <c r="MM400" i="1" s="1"/>
  <c r="MM401" i="1" s="1"/>
  <c r="MM402" i="1" s="1"/>
  <c r="MM403" i="1" s="1"/>
  <c r="MM404" i="1" s="1"/>
  <c r="MM405" i="1" s="1"/>
  <c r="MM406" i="1" s="1"/>
  <c r="MM407" i="1" s="1"/>
  <c r="MM408" i="1" s="1"/>
  <c r="MM409" i="1" s="1"/>
  <c r="MM410" i="1" s="1"/>
  <c r="MM411" i="1" s="1"/>
  <c r="MM412" i="1" s="1"/>
  <c r="MM413" i="1" s="1"/>
  <c r="MM414" i="1" s="1"/>
  <c r="MM415" i="1" s="1"/>
  <c r="MM416" i="1" s="1"/>
  <c r="MM417" i="1" s="1"/>
  <c r="MM418" i="1" s="1"/>
  <c r="MM419" i="1" s="1"/>
  <c r="MM420" i="1" s="1"/>
  <c r="MM421" i="1" s="1"/>
  <c r="MM422" i="1" s="1"/>
  <c r="MM423" i="1" s="1"/>
  <c r="MM424" i="1" s="1"/>
  <c r="MM425" i="1" s="1"/>
  <c r="MM426" i="1" s="1"/>
  <c r="MM427" i="1" s="1"/>
  <c r="AN85" i="5" s="1"/>
  <c r="H44" i="16" s="1"/>
  <c r="O44" i="16" s="1"/>
  <c r="AN81" i="5"/>
  <c r="D44" i="16" s="1"/>
  <c r="T39" i="5"/>
  <c r="D22" i="8" s="1"/>
  <c r="FN183" i="1"/>
  <c r="FN184" i="1" s="1"/>
  <c r="FN185" i="1" s="1"/>
  <c r="FN186" i="1" s="1"/>
  <c r="FN187" i="1" s="1"/>
  <c r="FN188" i="1" s="1"/>
  <c r="FN189" i="1" s="1"/>
  <c r="AQ64" i="5"/>
  <c r="NN324" i="1"/>
  <c r="AM81" i="5"/>
  <c r="D43" i="16" s="1"/>
  <c r="MD396" i="1"/>
  <c r="MD397" i="1" s="1"/>
  <c r="MD398" i="1" s="1"/>
  <c r="MD399" i="1" s="1"/>
  <c r="MD400" i="1" s="1"/>
  <c r="MD401" i="1" s="1"/>
  <c r="MD402" i="1" s="1"/>
  <c r="MD403" i="1" s="1"/>
  <c r="MD404" i="1" s="1"/>
  <c r="MD405" i="1" s="1"/>
  <c r="MD406" i="1" s="1"/>
  <c r="MD407" i="1" s="1"/>
  <c r="MD408" i="1" s="1"/>
  <c r="MD409" i="1" s="1"/>
  <c r="MD410" i="1" s="1"/>
  <c r="MD411" i="1" s="1"/>
  <c r="MD412" i="1" s="1"/>
  <c r="MD413" i="1" s="1"/>
  <c r="MD414" i="1" s="1"/>
  <c r="MD415" i="1" s="1"/>
  <c r="MD416" i="1" s="1"/>
  <c r="MD417" i="1" s="1"/>
  <c r="MD418" i="1" s="1"/>
  <c r="MD419" i="1" s="1"/>
  <c r="MD420" i="1" s="1"/>
  <c r="MD421" i="1" s="1"/>
  <c r="MD422" i="1" s="1"/>
  <c r="MD423" i="1" s="1"/>
  <c r="MD424" i="1" s="1"/>
  <c r="MD425" i="1" s="1"/>
  <c r="MD426" i="1" s="1"/>
  <c r="MD427" i="1" s="1"/>
  <c r="AM85" i="5" s="1"/>
  <c r="H43" i="16" s="1"/>
  <c r="O43" i="16" s="1"/>
  <c r="AK46" i="5"/>
  <c r="D41" i="11" s="1"/>
  <c r="LL218" i="1"/>
  <c r="LL219" i="1" s="1"/>
  <c r="LL220" i="1" s="1"/>
  <c r="LL221" i="1" s="1"/>
  <c r="LL222" i="1" s="1"/>
  <c r="LL223" i="1" s="1"/>
  <c r="LL224" i="1" s="1"/>
  <c r="LL225" i="1" s="1"/>
  <c r="LL226" i="1" s="1"/>
  <c r="LL227" i="1" s="1"/>
  <c r="LL228" i="1" s="1"/>
  <c r="LL229" i="1" s="1"/>
  <c r="LL230" i="1" s="1"/>
  <c r="LL231" i="1" s="1"/>
  <c r="LL232" i="1" s="1"/>
  <c r="LL233" i="1" s="1"/>
  <c r="LL234" i="1" s="1"/>
  <c r="LL235" i="1" s="1"/>
  <c r="LL236" i="1" s="1"/>
  <c r="LL237" i="1" s="1"/>
  <c r="LL238" i="1" s="1"/>
  <c r="LL239" i="1" s="1"/>
  <c r="LL240" i="1" s="1"/>
  <c r="LL241" i="1" s="1"/>
  <c r="LL242" i="1" s="1"/>
  <c r="LL243" i="1" s="1"/>
  <c r="LL244" i="1" s="1"/>
  <c r="LL245" i="1" s="1"/>
  <c r="LL246" i="1" s="1"/>
  <c r="LL247" i="1" s="1"/>
  <c r="LL248" i="1" s="1"/>
  <c r="LL249" i="1" s="1"/>
  <c r="LM249" i="1" s="1"/>
  <c r="II218" i="1"/>
  <c r="II219" i="1" s="1"/>
  <c r="II220" i="1" s="1"/>
  <c r="II221" i="1" s="1"/>
  <c r="II222" i="1" s="1"/>
  <c r="II223" i="1" s="1"/>
  <c r="II224" i="1" s="1"/>
  <c r="II225" i="1" s="1"/>
  <c r="II226" i="1" s="1"/>
  <c r="II227" i="1" s="1"/>
  <c r="II228" i="1" s="1"/>
  <c r="II229" i="1" s="1"/>
  <c r="II230" i="1" s="1"/>
  <c r="II231" i="1" s="1"/>
  <c r="II232" i="1" s="1"/>
  <c r="II233" i="1" s="1"/>
  <c r="II234" i="1" s="1"/>
  <c r="II235" i="1" s="1"/>
  <c r="II236" i="1" s="1"/>
  <c r="II237" i="1" s="1"/>
  <c r="II238" i="1" s="1"/>
  <c r="II239" i="1" s="1"/>
  <c r="II240" i="1" s="1"/>
  <c r="II241" i="1" s="1"/>
  <c r="II242" i="1" s="1"/>
  <c r="II243" i="1" s="1"/>
  <c r="II244" i="1" s="1"/>
  <c r="II245" i="1" s="1"/>
  <c r="II246" i="1" s="1"/>
  <c r="II247" i="1" s="1"/>
  <c r="II248" i="1" s="1"/>
  <c r="II249" i="1" s="1"/>
  <c r="IJ249" i="1" s="1"/>
  <c r="AB46" i="5"/>
  <c r="D32" i="11" s="1"/>
  <c r="KB218" i="1"/>
  <c r="KB219" i="1" s="1"/>
  <c r="KB220" i="1" s="1"/>
  <c r="KB221" i="1" s="1"/>
  <c r="KB222" i="1" s="1"/>
  <c r="KB223" i="1" s="1"/>
  <c r="KB224" i="1" s="1"/>
  <c r="KB225" i="1" s="1"/>
  <c r="KB226" i="1" s="1"/>
  <c r="KB227" i="1" s="1"/>
  <c r="KB228" i="1" s="1"/>
  <c r="KB229" i="1" s="1"/>
  <c r="KB230" i="1" s="1"/>
  <c r="KB231" i="1" s="1"/>
  <c r="KB232" i="1" s="1"/>
  <c r="KB233" i="1" s="1"/>
  <c r="KB234" i="1" s="1"/>
  <c r="KB235" i="1" s="1"/>
  <c r="KB236" i="1" s="1"/>
  <c r="KB237" i="1" s="1"/>
  <c r="KB238" i="1" s="1"/>
  <c r="KB239" i="1" s="1"/>
  <c r="KB240" i="1" s="1"/>
  <c r="KB241" i="1" s="1"/>
  <c r="KB242" i="1" s="1"/>
  <c r="KB243" i="1" s="1"/>
  <c r="KB244" i="1" s="1"/>
  <c r="KB245" i="1" s="1"/>
  <c r="KB246" i="1" s="1"/>
  <c r="KB247" i="1" s="1"/>
  <c r="KB248" i="1" s="1"/>
  <c r="KB249" i="1" s="1"/>
  <c r="KC249" i="1" s="1"/>
  <c r="AG46" i="5"/>
  <c r="D37" i="11" s="1"/>
  <c r="H147" i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B32" i="5"/>
  <c r="AY64" i="5"/>
  <c r="H55" i="13" s="1"/>
  <c r="O55" i="13" s="1"/>
  <c r="QH324" i="1"/>
  <c r="AW64" i="5"/>
  <c r="H53" i="13" s="1"/>
  <c r="O53" i="13" s="1"/>
  <c r="PP324" i="1"/>
  <c r="AZ64" i="5"/>
  <c r="H56" i="13" s="1"/>
  <c r="O56" i="13" s="1"/>
  <c r="QQ324" i="1"/>
  <c r="AX64" i="5"/>
  <c r="H54" i="13" s="1"/>
  <c r="O54" i="13" s="1"/>
  <c r="PY324" i="1"/>
  <c r="AV64" i="5"/>
  <c r="H52" i="13" s="1"/>
  <c r="O52" i="13" s="1"/>
  <c r="PG324" i="1"/>
  <c r="Q50" i="5"/>
  <c r="H19" i="11" s="1"/>
  <c r="O19" i="11" s="1"/>
  <c r="EM253" i="1"/>
  <c r="V50" i="5"/>
  <c r="H26" i="11" s="1"/>
  <c r="O26" i="11" s="1"/>
  <c r="GF253" i="1"/>
  <c r="GG253" i="1" s="1"/>
  <c r="W50" i="5"/>
  <c r="H27" i="11" s="1"/>
  <c r="O27" i="11" s="1"/>
  <c r="GO253" i="1"/>
  <c r="GP253" i="1" s="1"/>
  <c r="EV218" i="1"/>
  <c r="EV219" i="1" s="1"/>
  <c r="EV220" i="1" s="1"/>
  <c r="EV221" i="1" s="1"/>
  <c r="EV222" i="1" s="1"/>
  <c r="EV223" i="1" s="1"/>
  <c r="EV224" i="1" s="1"/>
  <c r="EV225" i="1" s="1"/>
  <c r="EV226" i="1" s="1"/>
  <c r="EV227" i="1" s="1"/>
  <c r="EV228" i="1" s="1"/>
  <c r="EV229" i="1" s="1"/>
  <c r="EV230" i="1" s="1"/>
  <c r="EV231" i="1" s="1"/>
  <c r="EV232" i="1" s="1"/>
  <c r="EV233" i="1" s="1"/>
  <c r="EV234" i="1" s="1"/>
  <c r="EV235" i="1" s="1"/>
  <c r="EV236" i="1" s="1"/>
  <c r="EV237" i="1" s="1"/>
  <c r="EV238" i="1" s="1"/>
  <c r="EV239" i="1" s="1"/>
  <c r="EV240" i="1" s="1"/>
  <c r="EV241" i="1" s="1"/>
  <c r="EV242" i="1" s="1"/>
  <c r="EV243" i="1" s="1"/>
  <c r="EV244" i="1" s="1"/>
  <c r="EV245" i="1" s="1"/>
  <c r="EV246" i="1" s="1"/>
  <c r="EV247" i="1" s="1"/>
  <c r="EV248" i="1" s="1"/>
  <c r="EV249" i="1" s="1"/>
  <c r="R46" i="5"/>
  <c r="D20" i="11" s="1"/>
  <c r="AE46" i="5"/>
  <c r="D35" i="11" s="1"/>
  <c r="JJ218" i="1"/>
  <c r="JJ219" i="1" s="1"/>
  <c r="JJ220" i="1" s="1"/>
  <c r="JJ221" i="1" s="1"/>
  <c r="JJ222" i="1" s="1"/>
  <c r="JJ223" i="1" s="1"/>
  <c r="JJ224" i="1" s="1"/>
  <c r="JJ225" i="1" s="1"/>
  <c r="JJ226" i="1" s="1"/>
  <c r="JJ227" i="1" s="1"/>
  <c r="JJ228" i="1" s="1"/>
  <c r="JJ229" i="1" s="1"/>
  <c r="JJ230" i="1" s="1"/>
  <c r="JJ231" i="1" s="1"/>
  <c r="JJ232" i="1" s="1"/>
  <c r="JJ233" i="1" s="1"/>
  <c r="JJ234" i="1" s="1"/>
  <c r="JJ235" i="1" s="1"/>
  <c r="JJ236" i="1" s="1"/>
  <c r="JJ237" i="1" s="1"/>
  <c r="JJ238" i="1" s="1"/>
  <c r="JJ239" i="1" s="1"/>
  <c r="JJ240" i="1" s="1"/>
  <c r="JJ241" i="1" s="1"/>
  <c r="JJ242" i="1" s="1"/>
  <c r="JJ243" i="1" s="1"/>
  <c r="JJ244" i="1" s="1"/>
  <c r="JJ245" i="1" s="1"/>
  <c r="JJ246" i="1" s="1"/>
  <c r="JJ247" i="1" s="1"/>
  <c r="JJ248" i="1" s="1"/>
  <c r="JJ249" i="1" s="1"/>
  <c r="AH46" i="5"/>
  <c r="D38" i="11" s="1"/>
  <c r="KK218" i="1"/>
  <c r="KK219" i="1" s="1"/>
  <c r="KK220" i="1" s="1"/>
  <c r="KK221" i="1" s="1"/>
  <c r="KK222" i="1" s="1"/>
  <c r="KK223" i="1" s="1"/>
  <c r="KK224" i="1" s="1"/>
  <c r="KK225" i="1" s="1"/>
  <c r="KK226" i="1" s="1"/>
  <c r="KK227" i="1" s="1"/>
  <c r="KK228" i="1" s="1"/>
  <c r="KK229" i="1" s="1"/>
  <c r="KK230" i="1" s="1"/>
  <c r="KK231" i="1" s="1"/>
  <c r="KK232" i="1" s="1"/>
  <c r="KK233" i="1" s="1"/>
  <c r="KK234" i="1" s="1"/>
  <c r="KK235" i="1" s="1"/>
  <c r="KK236" i="1" s="1"/>
  <c r="KK237" i="1" s="1"/>
  <c r="KK238" i="1" s="1"/>
  <c r="KK239" i="1" s="1"/>
  <c r="KK240" i="1" s="1"/>
  <c r="KK241" i="1" s="1"/>
  <c r="KK242" i="1" s="1"/>
  <c r="KK243" i="1" s="1"/>
  <c r="KK244" i="1" s="1"/>
  <c r="KK245" i="1" s="1"/>
  <c r="KK246" i="1" s="1"/>
  <c r="KK247" i="1" s="1"/>
  <c r="KK248" i="1" s="1"/>
  <c r="KK249" i="1" s="1"/>
  <c r="KL249" i="1" s="1"/>
  <c r="AI46" i="5"/>
  <c r="D39" i="11" s="1"/>
  <c r="KT218" i="1"/>
  <c r="KT219" i="1" s="1"/>
  <c r="KT220" i="1" s="1"/>
  <c r="KT221" i="1" s="1"/>
  <c r="KT222" i="1" s="1"/>
  <c r="KT223" i="1" s="1"/>
  <c r="KT224" i="1" s="1"/>
  <c r="KT225" i="1" s="1"/>
  <c r="KT226" i="1" s="1"/>
  <c r="KT227" i="1" s="1"/>
  <c r="KT228" i="1" s="1"/>
  <c r="KT229" i="1" s="1"/>
  <c r="KT230" i="1" s="1"/>
  <c r="KT231" i="1" s="1"/>
  <c r="KT232" i="1" s="1"/>
  <c r="KT233" i="1" s="1"/>
  <c r="KT234" i="1" s="1"/>
  <c r="KT235" i="1" s="1"/>
  <c r="KT236" i="1" s="1"/>
  <c r="KT237" i="1" s="1"/>
  <c r="KT238" i="1" s="1"/>
  <c r="KT239" i="1" s="1"/>
  <c r="KT240" i="1" s="1"/>
  <c r="KT241" i="1" s="1"/>
  <c r="KT242" i="1" s="1"/>
  <c r="KT243" i="1" s="1"/>
  <c r="KT244" i="1" s="1"/>
  <c r="KT245" i="1" s="1"/>
  <c r="KT246" i="1" s="1"/>
  <c r="KT247" i="1" s="1"/>
  <c r="KT248" i="1" s="1"/>
  <c r="KT249" i="1" s="1"/>
  <c r="KU249" i="1" s="1"/>
  <c r="S46" i="5"/>
  <c r="D21" i="11" s="1"/>
  <c r="FE218" i="1"/>
  <c r="FE219" i="1" s="1"/>
  <c r="FE220" i="1" s="1"/>
  <c r="FE221" i="1" s="1"/>
  <c r="FE222" i="1" s="1"/>
  <c r="FE223" i="1" s="1"/>
  <c r="FE224" i="1" s="1"/>
  <c r="FE225" i="1" s="1"/>
  <c r="FE226" i="1" s="1"/>
  <c r="FE227" i="1" s="1"/>
  <c r="FE228" i="1" s="1"/>
  <c r="FE229" i="1" s="1"/>
  <c r="FE230" i="1" s="1"/>
  <c r="FE231" i="1" s="1"/>
  <c r="FE232" i="1" s="1"/>
  <c r="FE233" i="1" s="1"/>
  <c r="FE234" i="1" s="1"/>
  <c r="FE235" i="1" s="1"/>
  <c r="FE236" i="1" s="1"/>
  <c r="FE237" i="1" s="1"/>
  <c r="FE238" i="1" s="1"/>
  <c r="FE239" i="1" s="1"/>
  <c r="FE240" i="1" s="1"/>
  <c r="FE241" i="1" s="1"/>
  <c r="FE242" i="1" s="1"/>
  <c r="FE243" i="1" s="1"/>
  <c r="FE244" i="1" s="1"/>
  <c r="FE245" i="1" s="1"/>
  <c r="FE246" i="1" s="1"/>
  <c r="FE247" i="1" s="1"/>
  <c r="FE248" i="1" s="1"/>
  <c r="FE249" i="1" s="1"/>
  <c r="P46" i="5"/>
  <c r="D18" i="11" s="1"/>
  <c r="ED218" i="1"/>
  <c r="ED219" i="1" s="1"/>
  <c r="ED220" i="1" s="1"/>
  <c r="ED221" i="1" s="1"/>
  <c r="ED222" i="1" s="1"/>
  <c r="ED223" i="1" s="1"/>
  <c r="ED224" i="1" s="1"/>
  <c r="ED225" i="1" s="1"/>
  <c r="ED226" i="1" s="1"/>
  <c r="ED227" i="1" s="1"/>
  <c r="ED228" i="1" s="1"/>
  <c r="ED229" i="1" s="1"/>
  <c r="ED230" i="1" s="1"/>
  <c r="ED231" i="1" s="1"/>
  <c r="ED232" i="1" s="1"/>
  <c r="ED233" i="1" s="1"/>
  <c r="ED234" i="1" s="1"/>
  <c r="ED235" i="1" s="1"/>
  <c r="ED236" i="1" s="1"/>
  <c r="ED237" i="1" s="1"/>
  <c r="ED238" i="1" s="1"/>
  <c r="ED239" i="1" s="1"/>
  <c r="ED240" i="1" s="1"/>
  <c r="ED241" i="1" s="1"/>
  <c r="ED242" i="1" s="1"/>
  <c r="ED243" i="1" s="1"/>
  <c r="ED244" i="1" s="1"/>
  <c r="ED245" i="1" s="1"/>
  <c r="ED246" i="1" s="1"/>
  <c r="ED247" i="1" s="1"/>
  <c r="ED248" i="1" s="1"/>
  <c r="ED249" i="1" s="1"/>
  <c r="Y46" i="5"/>
  <c r="D29" i="11" s="1"/>
  <c r="HG218" i="1"/>
  <c r="HG219" i="1" s="1"/>
  <c r="HG220" i="1" s="1"/>
  <c r="HG221" i="1" s="1"/>
  <c r="HG222" i="1" s="1"/>
  <c r="HG223" i="1" s="1"/>
  <c r="HG224" i="1" s="1"/>
  <c r="HG225" i="1" s="1"/>
  <c r="HG226" i="1" s="1"/>
  <c r="HG227" i="1" s="1"/>
  <c r="HG228" i="1" s="1"/>
  <c r="HG229" i="1" s="1"/>
  <c r="HG230" i="1" s="1"/>
  <c r="HG231" i="1" s="1"/>
  <c r="HG232" i="1" s="1"/>
  <c r="HG233" i="1" s="1"/>
  <c r="HG234" i="1" s="1"/>
  <c r="HG235" i="1" s="1"/>
  <c r="HG236" i="1" s="1"/>
  <c r="HG237" i="1" s="1"/>
  <c r="HG238" i="1" s="1"/>
  <c r="HG239" i="1" s="1"/>
  <c r="HG240" i="1" s="1"/>
  <c r="HG241" i="1" s="1"/>
  <c r="HG242" i="1" s="1"/>
  <c r="HG243" i="1" s="1"/>
  <c r="HG244" i="1" s="1"/>
  <c r="HG245" i="1" s="1"/>
  <c r="HG246" i="1" s="1"/>
  <c r="HG247" i="1" s="1"/>
  <c r="HG248" i="1" s="1"/>
  <c r="HG249" i="1" s="1"/>
  <c r="HH249" i="1" s="1"/>
  <c r="HZ218" i="1"/>
  <c r="HZ219" i="1" s="1"/>
  <c r="HZ220" i="1" s="1"/>
  <c r="HZ221" i="1" s="1"/>
  <c r="HZ222" i="1" s="1"/>
  <c r="HZ223" i="1" s="1"/>
  <c r="HZ224" i="1" s="1"/>
  <c r="HZ225" i="1" s="1"/>
  <c r="HZ226" i="1" s="1"/>
  <c r="HZ227" i="1" s="1"/>
  <c r="HZ228" i="1" s="1"/>
  <c r="HZ229" i="1" s="1"/>
  <c r="HZ230" i="1" s="1"/>
  <c r="HZ231" i="1" s="1"/>
  <c r="HZ232" i="1" s="1"/>
  <c r="HZ233" i="1" s="1"/>
  <c r="HZ234" i="1" s="1"/>
  <c r="HZ235" i="1" s="1"/>
  <c r="HZ236" i="1" s="1"/>
  <c r="HZ237" i="1" s="1"/>
  <c r="HZ238" i="1" s="1"/>
  <c r="HZ239" i="1" s="1"/>
  <c r="HZ240" i="1" s="1"/>
  <c r="HZ241" i="1" s="1"/>
  <c r="HZ242" i="1" s="1"/>
  <c r="HZ243" i="1" s="1"/>
  <c r="HZ244" i="1" s="1"/>
  <c r="HZ245" i="1" s="1"/>
  <c r="HZ246" i="1" s="1"/>
  <c r="HZ247" i="1" s="1"/>
  <c r="HZ248" i="1" s="1"/>
  <c r="HZ249" i="1" s="1"/>
  <c r="IA249" i="1" s="1"/>
  <c r="AA46" i="5"/>
  <c r="D31" i="11" s="1"/>
  <c r="L46" i="5"/>
  <c r="D14" i="11" s="1"/>
  <c r="CT218" i="1"/>
  <c r="CT219" i="1" s="1"/>
  <c r="CT220" i="1" s="1"/>
  <c r="CT221" i="1" s="1"/>
  <c r="CT222" i="1" s="1"/>
  <c r="CT223" i="1" s="1"/>
  <c r="CT224" i="1" s="1"/>
  <c r="CT225" i="1" s="1"/>
  <c r="CT226" i="1" s="1"/>
  <c r="CT227" i="1" s="1"/>
  <c r="CT228" i="1" s="1"/>
  <c r="CT229" i="1" s="1"/>
  <c r="CT230" i="1" s="1"/>
  <c r="CT231" i="1" s="1"/>
  <c r="CT232" i="1" s="1"/>
  <c r="CT233" i="1" s="1"/>
  <c r="CT234" i="1" s="1"/>
  <c r="CT235" i="1" s="1"/>
  <c r="CT236" i="1" s="1"/>
  <c r="CT237" i="1" s="1"/>
  <c r="CT238" i="1" s="1"/>
  <c r="CT239" i="1" s="1"/>
  <c r="CT240" i="1" s="1"/>
  <c r="CT241" i="1" s="1"/>
  <c r="CT242" i="1" s="1"/>
  <c r="CT243" i="1" s="1"/>
  <c r="CT244" i="1" s="1"/>
  <c r="CT245" i="1" s="1"/>
  <c r="CT246" i="1" s="1"/>
  <c r="CT247" i="1" s="1"/>
  <c r="CT248" i="1" s="1"/>
  <c r="CT249" i="1" s="1"/>
  <c r="Z46" i="5"/>
  <c r="D30" i="11" s="1"/>
  <c r="HP218" i="1"/>
  <c r="HP219" i="1" s="1"/>
  <c r="HP220" i="1" s="1"/>
  <c r="HP221" i="1" s="1"/>
  <c r="HP222" i="1" s="1"/>
  <c r="HP223" i="1" s="1"/>
  <c r="HP224" i="1" s="1"/>
  <c r="HP225" i="1" s="1"/>
  <c r="HP226" i="1" s="1"/>
  <c r="HP227" i="1" s="1"/>
  <c r="HP228" i="1" s="1"/>
  <c r="HP229" i="1" s="1"/>
  <c r="HP230" i="1" s="1"/>
  <c r="HP231" i="1" s="1"/>
  <c r="HP232" i="1" s="1"/>
  <c r="HP233" i="1" s="1"/>
  <c r="HP234" i="1" s="1"/>
  <c r="HP235" i="1" s="1"/>
  <c r="HP236" i="1" s="1"/>
  <c r="HP237" i="1" s="1"/>
  <c r="HP238" i="1" s="1"/>
  <c r="HP239" i="1" s="1"/>
  <c r="HP240" i="1" s="1"/>
  <c r="HP241" i="1" s="1"/>
  <c r="HP242" i="1" s="1"/>
  <c r="HP243" i="1" s="1"/>
  <c r="HP244" i="1" s="1"/>
  <c r="HP245" i="1" s="1"/>
  <c r="HP246" i="1" s="1"/>
  <c r="HP247" i="1" s="1"/>
  <c r="HP248" i="1" s="1"/>
  <c r="HP249" i="1" s="1"/>
  <c r="O46" i="5"/>
  <c r="D17" i="11" s="1"/>
  <c r="DU218" i="1"/>
  <c r="DU219" i="1" s="1"/>
  <c r="DU220" i="1" s="1"/>
  <c r="DU221" i="1" s="1"/>
  <c r="DU222" i="1" s="1"/>
  <c r="DU223" i="1" s="1"/>
  <c r="DU224" i="1" s="1"/>
  <c r="DU225" i="1" s="1"/>
  <c r="DU226" i="1" s="1"/>
  <c r="DU227" i="1" s="1"/>
  <c r="DU228" i="1" s="1"/>
  <c r="DU229" i="1" s="1"/>
  <c r="DU230" i="1" s="1"/>
  <c r="DU231" i="1" s="1"/>
  <c r="DU232" i="1" s="1"/>
  <c r="DU233" i="1" s="1"/>
  <c r="DU234" i="1" s="1"/>
  <c r="DU235" i="1" s="1"/>
  <c r="DU236" i="1" s="1"/>
  <c r="DU237" i="1" s="1"/>
  <c r="DU238" i="1" s="1"/>
  <c r="DU239" i="1" s="1"/>
  <c r="DU240" i="1" s="1"/>
  <c r="DU241" i="1" s="1"/>
  <c r="DU242" i="1" s="1"/>
  <c r="DU243" i="1" s="1"/>
  <c r="DU244" i="1" s="1"/>
  <c r="DU245" i="1" s="1"/>
  <c r="DU246" i="1" s="1"/>
  <c r="DU247" i="1" s="1"/>
  <c r="DU248" i="1" s="1"/>
  <c r="DU249" i="1" s="1"/>
  <c r="X46" i="5"/>
  <c r="D28" i="11" s="1"/>
  <c r="GX218" i="1"/>
  <c r="GX219" i="1" s="1"/>
  <c r="GX220" i="1" s="1"/>
  <c r="GX221" i="1" s="1"/>
  <c r="GX222" i="1" s="1"/>
  <c r="GX223" i="1" s="1"/>
  <c r="GX224" i="1" s="1"/>
  <c r="GX225" i="1" s="1"/>
  <c r="GX226" i="1" s="1"/>
  <c r="GX227" i="1" s="1"/>
  <c r="GX228" i="1" s="1"/>
  <c r="GX229" i="1" s="1"/>
  <c r="GX230" i="1" s="1"/>
  <c r="GX231" i="1" s="1"/>
  <c r="GX232" i="1" s="1"/>
  <c r="GX233" i="1" s="1"/>
  <c r="GX234" i="1" s="1"/>
  <c r="GX235" i="1" s="1"/>
  <c r="GX236" i="1" s="1"/>
  <c r="GX237" i="1" s="1"/>
  <c r="GX238" i="1" s="1"/>
  <c r="GX239" i="1" s="1"/>
  <c r="GX240" i="1" s="1"/>
  <c r="GX241" i="1" s="1"/>
  <c r="GX242" i="1" s="1"/>
  <c r="GX243" i="1" s="1"/>
  <c r="GX244" i="1" s="1"/>
  <c r="GX245" i="1" s="1"/>
  <c r="GX246" i="1" s="1"/>
  <c r="GX247" i="1" s="1"/>
  <c r="GX248" i="1" s="1"/>
  <c r="GX249" i="1" s="1"/>
  <c r="GY249" i="1" s="1"/>
  <c r="DL218" i="1"/>
  <c r="DL219" i="1" s="1"/>
  <c r="DL220" i="1" s="1"/>
  <c r="DL221" i="1" s="1"/>
  <c r="DL222" i="1" s="1"/>
  <c r="DL223" i="1" s="1"/>
  <c r="DL224" i="1" s="1"/>
  <c r="DL225" i="1" s="1"/>
  <c r="DL226" i="1" s="1"/>
  <c r="DL227" i="1" s="1"/>
  <c r="DL228" i="1" s="1"/>
  <c r="DL229" i="1" s="1"/>
  <c r="DL230" i="1" s="1"/>
  <c r="DL231" i="1" s="1"/>
  <c r="DL232" i="1" s="1"/>
  <c r="DL233" i="1" s="1"/>
  <c r="DL234" i="1" s="1"/>
  <c r="DL235" i="1" s="1"/>
  <c r="DL236" i="1" s="1"/>
  <c r="DL237" i="1" s="1"/>
  <c r="DL238" i="1" s="1"/>
  <c r="DL239" i="1" s="1"/>
  <c r="DL240" i="1" s="1"/>
  <c r="DL241" i="1" s="1"/>
  <c r="DL242" i="1" s="1"/>
  <c r="DL243" i="1" s="1"/>
  <c r="DL244" i="1" s="1"/>
  <c r="DL245" i="1" s="1"/>
  <c r="DL246" i="1" s="1"/>
  <c r="DL247" i="1" s="1"/>
  <c r="DL248" i="1" s="1"/>
  <c r="DL249" i="1" s="1"/>
  <c r="DL253" i="1" s="1"/>
  <c r="N46" i="5"/>
  <c r="D16" i="11" s="1"/>
  <c r="U46" i="5"/>
  <c r="D25" i="11" s="1"/>
  <c r="FW218" i="1"/>
  <c r="FW219" i="1" s="1"/>
  <c r="FW220" i="1" s="1"/>
  <c r="FW221" i="1" s="1"/>
  <c r="FW222" i="1" s="1"/>
  <c r="FW223" i="1" s="1"/>
  <c r="FW224" i="1" s="1"/>
  <c r="FW225" i="1" s="1"/>
  <c r="FW226" i="1" s="1"/>
  <c r="FW227" i="1" s="1"/>
  <c r="FW228" i="1" s="1"/>
  <c r="FW229" i="1" s="1"/>
  <c r="FW230" i="1" s="1"/>
  <c r="FW231" i="1" s="1"/>
  <c r="FW232" i="1" s="1"/>
  <c r="FW233" i="1" s="1"/>
  <c r="FW234" i="1" s="1"/>
  <c r="FW235" i="1" s="1"/>
  <c r="FW236" i="1" s="1"/>
  <c r="FW237" i="1" s="1"/>
  <c r="FW238" i="1" s="1"/>
  <c r="FW239" i="1" s="1"/>
  <c r="FW240" i="1" s="1"/>
  <c r="FW241" i="1" s="1"/>
  <c r="FW242" i="1" s="1"/>
  <c r="FW243" i="1" s="1"/>
  <c r="FW244" i="1" s="1"/>
  <c r="FW245" i="1" s="1"/>
  <c r="FW246" i="1" s="1"/>
  <c r="FW247" i="1" s="1"/>
  <c r="FW248" i="1" s="1"/>
  <c r="FW249" i="1" s="1"/>
  <c r="FX249" i="1" s="1"/>
  <c r="AF46" i="5"/>
  <c r="D36" i="11" s="1"/>
  <c r="JS218" i="1"/>
  <c r="JS219" i="1" s="1"/>
  <c r="JS220" i="1" s="1"/>
  <c r="JS221" i="1" s="1"/>
  <c r="JS222" i="1" s="1"/>
  <c r="JS223" i="1" s="1"/>
  <c r="JS224" i="1" s="1"/>
  <c r="JS225" i="1" s="1"/>
  <c r="JS226" i="1" s="1"/>
  <c r="JS227" i="1" s="1"/>
  <c r="JS228" i="1" s="1"/>
  <c r="JS229" i="1" s="1"/>
  <c r="JS230" i="1" s="1"/>
  <c r="JS231" i="1" s="1"/>
  <c r="JS232" i="1" s="1"/>
  <c r="JS233" i="1" s="1"/>
  <c r="JS234" i="1" s="1"/>
  <c r="JS235" i="1" s="1"/>
  <c r="JS236" i="1" s="1"/>
  <c r="JS237" i="1" s="1"/>
  <c r="JS238" i="1" s="1"/>
  <c r="JS239" i="1" s="1"/>
  <c r="JS240" i="1" s="1"/>
  <c r="JS241" i="1" s="1"/>
  <c r="JS242" i="1" s="1"/>
  <c r="JS243" i="1" s="1"/>
  <c r="JS244" i="1" s="1"/>
  <c r="JS245" i="1" s="1"/>
  <c r="JS246" i="1" s="1"/>
  <c r="JS247" i="1" s="1"/>
  <c r="JS248" i="1" s="1"/>
  <c r="JS249" i="1" s="1"/>
  <c r="D50" i="5"/>
  <c r="H6" i="11" s="1"/>
  <c r="O6" i="11" s="1"/>
  <c r="IS217" i="1" l="1"/>
  <c r="AC46" i="5"/>
  <c r="D33" i="11" s="1"/>
  <c r="IR218" i="1"/>
  <c r="IR219" i="1" s="1"/>
  <c r="IR220" i="1" s="1"/>
  <c r="IR221" i="1" s="1"/>
  <c r="IR222" i="1" s="1"/>
  <c r="IR223" i="1" s="1"/>
  <c r="IR224" i="1" s="1"/>
  <c r="IR225" i="1" s="1"/>
  <c r="IR226" i="1" s="1"/>
  <c r="IR227" i="1" s="1"/>
  <c r="IR228" i="1" s="1"/>
  <c r="IR229" i="1" s="1"/>
  <c r="IR230" i="1" s="1"/>
  <c r="IR231" i="1" s="1"/>
  <c r="IR232" i="1" s="1"/>
  <c r="IR233" i="1" s="1"/>
  <c r="IR234" i="1" s="1"/>
  <c r="IR235" i="1" s="1"/>
  <c r="IR236" i="1" s="1"/>
  <c r="IR237" i="1" s="1"/>
  <c r="IR238" i="1" s="1"/>
  <c r="IR239" i="1" s="1"/>
  <c r="IR240" i="1" s="1"/>
  <c r="IR241" i="1" s="1"/>
  <c r="IR242" i="1" s="1"/>
  <c r="IR243" i="1" s="1"/>
  <c r="IR244" i="1" s="1"/>
  <c r="IR245" i="1" s="1"/>
  <c r="IR246" i="1" s="1"/>
  <c r="IR247" i="1" s="1"/>
  <c r="IR248" i="1" s="1"/>
  <c r="IR249" i="1" s="1"/>
  <c r="JS253" i="1"/>
  <c r="JT249" i="1"/>
  <c r="M50" i="5"/>
  <c r="H15" i="11" s="1"/>
  <c r="O15" i="11" s="1"/>
  <c r="DC253" i="1"/>
  <c r="AD50" i="5"/>
  <c r="H34" i="11" s="1"/>
  <c r="O34" i="11" s="1"/>
  <c r="JA253" i="1"/>
  <c r="JB253" i="1" s="1"/>
  <c r="LC289" i="1"/>
  <c r="AJ57" i="5"/>
  <c r="H40" i="12" s="1"/>
  <c r="O40" i="12" s="1"/>
  <c r="D4" i="21"/>
  <c r="D69" i="21" s="1"/>
  <c r="D71" i="21" s="1"/>
  <c r="AB50" i="5"/>
  <c r="H32" i="11" s="1"/>
  <c r="O32" i="11" s="1"/>
  <c r="II253" i="1"/>
  <c r="IJ253" i="1" s="1"/>
  <c r="AK50" i="5"/>
  <c r="H41" i="11" s="1"/>
  <c r="O41" i="11" s="1"/>
  <c r="LL253" i="1"/>
  <c r="LM253" i="1" s="1"/>
  <c r="AQ67" i="5"/>
  <c r="NN325" i="1"/>
  <c r="NN326" i="1" s="1"/>
  <c r="NN327" i="1" s="1"/>
  <c r="NN328" i="1" s="1"/>
  <c r="NN329" i="1" s="1"/>
  <c r="NN330" i="1" s="1"/>
  <c r="NN331" i="1" s="1"/>
  <c r="NN332" i="1" s="1"/>
  <c r="NN333" i="1" s="1"/>
  <c r="NN334" i="1" s="1"/>
  <c r="NN335" i="1" s="1"/>
  <c r="NN336" i="1" s="1"/>
  <c r="NN337" i="1" s="1"/>
  <c r="NN338" i="1" s="1"/>
  <c r="NN339" i="1" s="1"/>
  <c r="NN340" i="1" s="1"/>
  <c r="NN341" i="1" s="1"/>
  <c r="NN342" i="1" s="1"/>
  <c r="NN343" i="1" s="1"/>
  <c r="NN344" i="1" s="1"/>
  <c r="NN345" i="1" s="1"/>
  <c r="NN346" i="1" s="1"/>
  <c r="NN347" i="1" s="1"/>
  <c r="NN348" i="1" s="1"/>
  <c r="NN349" i="1" s="1"/>
  <c r="NN350" i="1" s="1"/>
  <c r="NN351" i="1" s="1"/>
  <c r="NN352" i="1" s="1"/>
  <c r="NN353" i="1" s="1"/>
  <c r="NN354" i="1" s="1"/>
  <c r="NN355" i="1" s="1"/>
  <c r="NN356" i="1" s="1"/>
  <c r="KB253" i="1"/>
  <c r="KC253" i="1" s="1"/>
  <c r="AG50" i="5"/>
  <c r="H37" i="11" s="1"/>
  <c r="O37" i="11" s="1"/>
  <c r="H182" i="1"/>
  <c r="B36" i="5"/>
  <c r="H4" i="21" s="1"/>
  <c r="H69" i="21" s="1"/>
  <c r="H71" i="21" s="1"/>
  <c r="AX67" i="5"/>
  <c r="D54" i="14" s="1"/>
  <c r="PY325" i="1"/>
  <c r="PY326" i="1" s="1"/>
  <c r="PY327" i="1" s="1"/>
  <c r="PY328" i="1" s="1"/>
  <c r="PY329" i="1" s="1"/>
  <c r="PY330" i="1" s="1"/>
  <c r="PY331" i="1" s="1"/>
  <c r="PY332" i="1" s="1"/>
  <c r="PY333" i="1" s="1"/>
  <c r="PY334" i="1" s="1"/>
  <c r="PY335" i="1" s="1"/>
  <c r="PY336" i="1" s="1"/>
  <c r="PY337" i="1" s="1"/>
  <c r="PY338" i="1" s="1"/>
  <c r="PY339" i="1" s="1"/>
  <c r="PY340" i="1" s="1"/>
  <c r="PY341" i="1" s="1"/>
  <c r="PY342" i="1" s="1"/>
  <c r="PY343" i="1" s="1"/>
  <c r="PY344" i="1" s="1"/>
  <c r="PY345" i="1" s="1"/>
  <c r="PY346" i="1" s="1"/>
  <c r="PY347" i="1" s="1"/>
  <c r="PY348" i="1" s="1"/>
  <c r="PY349" i="1" s="1"/>
  <c r="PY350" i="1" s="1"/>
  <c r="PY351" i="1" s="1"/>
  <c r="PY352" i="1" s="1"/>
  <c r="PY353" i="1" s="1"/>
  <c r="PY354" i="1" s="1"/>
  <c r="PY355" i="1" s="1"/>
  <c r="PY356" i="1" s="1"/>
  <c r="AW67" i="5"/>
  <c r="D53" i="14" s="1"/>
  <c r="PP325" i="1"/>
  <c r="PP326" i="1" s="1"/>
  <c r="PP327" i="1" s="1"/>
  <c r="PP328" i="1" s="1"/>
  <c r="PP329" i="1" s="1"/>
  <c r="PP330" i="1" s="1"/>
  <c r="PP331" i="1" s="1"/>
  <c r="PP332" i="1" s="1"/>
  <c r="PP333" i="1" s="1"/>
  <c r="PP334" i="1" s="1"/>
  <c r="PP335" i="1" s="1"/>
  <c r="PP336" i="1" s="1"/>
  <c r="PP337" i="1" s="1"/>
  <c r="PP338" i="1" s="1"/>
  <c r="PP339" i="1" s="1"/>
  <c r="PP340" i="1" s="1"/>
  <c r="PP341" i="1" s="1"/>
  <c r="PP342" i="1" s="1"/>
  <c r="PP343" i="1" s="1"/>
  <c r="PP344" i="1" s="1"/>
  <c r="PP345" i="1" s="1"/>
  <c r="PP346" i="1" s="1"/>
  <c r="PP347" i="1" s="1"/>
  <c r="PP348" i="1" s="1"/>
  <c r="PP349" i="1" s="1"/>
  <c r="PP350" i="1" s="1"/>
  <c r="PP351" i="1" s="1"/>
  <c r="PP352" i="1" s="1"/>
  <c r="PP353" i="1" s="1"/>
  <c r="PP354" i="1" s="1"/>
  <c r="PP355" i="1" s="1"/>
  <c r="PP356" i="1" s="1"/>
  <c r="QQ325" i="1"/>
  <c r="QQ326" i="1" s="1"/>
  <c r="QQ327" i="1" s="1"/>
  <c r="QQ328" i="1" s="1"/>
  <c r="QQ329" i="1" s="1"/>
  <c r="QQ330" i="1" s="1"/>
  <c r="QQ331" i="1" s="1"/>
  <c r="QQ332" i="1" s="1"/>
  <c r="QQ333" i="1" s="1"/>
  <c r="QQ334" i="1" s="1"/>
  <c r="QQ335" i="1" s="1"/>
  <c r="QQ336" i="1" s="1"/>
  <c r="QQ337" i="1" s="1"/>
  <c r="QQ338" i="1" s="1"/>
  <c r="QQ339" i="1" s="1"/>
  <c r="QQ340" i="1" s="1"/>
  <c r="QQ341" i="1" s="1"/>
  <c r="QQ342" i="1" s="1"/>
  <c r="QQ343" i="1" s="1"/>
  <c r="QQ344" i="1" s="1"/>
  <c r="QQ345" i="1" s="1"/>
  <c r="QQ346" i="1" s="1"/>
  <c r="QQ347" i="1" s="1"/>
  <c r="QQ348" i="1" s="1"/>
  <c r="QQ349" i="1" s="1"/>
  <c r="QQ350" i="1" s="1"/>
  <c r="QQ351" i="1" s="1"/>
  <c r="QQ352" i="1" s="1"/>
  <c r="QQ353" i="1" s="1"/>
  <c r="QQ354" i="1" s="1"/>
  <c r="QQ355" i="1" s="1"/>
  <c r="QQ356" i="1" s="1"/>
  <c r="AZ67" i="5"/>
  <c r="D56" i="14" s="1"/>
  <c r="AY67" i="5"/>
  <c r="D55" i="14" s="1"/>
  <c r="QH325" i="1"/>
  <c r="QH326" i="1" s="1"/>
  <c r="QH327" i="1" s="1"/>
  <c r="QH328" i="1" s="1"/>
  <c r="QH329" i="1" s="1"/>
  <c r="QH330" i="1" s="1"/>
  <c r="QH331" i="1" s="1"/>
  <c r="QH332" i="1" s="1"/>
  <c r="QH333" i="1" s="1"/>
  <c r="QH334" i="1" s="1"/>
  <c r="QH335" i="1" s="1"/>
  <c r="QH336" i="1" s="1"/>
  <c r="QH337" i="1" s="1"/>
  <c r="QH338" i="1" s="1"/>
  <c r="QH339" i="1" s="1"/>
  <c r="QH340" i="1" s="1"/>
  <c r="QH341" i="1" s="1"/>
  <c r="QH342" i="1" s="1"/>
  <c r="QH343" i="1" s="1"/>
  <c r="QH344" i="1" s="1"/>
  <c r="QH345" i="1" s="1"/>
  <c r="QH346" i="1" s="1"/>
  <c r="QH347" i="1" s="1"/>
  <c r="QH348" i="1" s="1"/>
  <c r="QH349" i="1" s="1"/>
  <c r="QH350" i="1" s="1"/>
  <c r="QH351" i="1" s="1"/>
  <c r="QH352" i="1" s="1"/>
  <c r="QH353" i="1" s="1"/>
  <c r="QH354" i="1" s="1"/>
  <c r="QH355" i="1" s="1"/>
  <c r="QH356" i="1" s="1"/>
  <c r="AV67" i="5"/>
  <c r="D52" i="14" s="1"/>
  <c r="PG325" i="1"/>
  <c r="PG326" i="1" s="1"/>
  <c r="PG327" i="1" s="1"/>
  <c r="PG328" i="1" s="1"/>
  <c r="PG329" i="1" s="1"/>
  <c r="PG330" i="1" s="1"/>
  <c r="PG331" i="1" s="1"/>
  <c r="PG332" i="1" s="1"/>
  <c r="PG333" i="1" s="1"/>
  <c r="PG334" i="1" s="1"/>
  <c r="PG335" i="1" s="1"/>
  <c r="PG336" i="1" s="1"/>
  <c r="PG337" i="1" s="1"/>
  <c r="PG338" i="1" s="1"/>
  <c r="PG339" i="1" s="1"/>
  <c r="PG340" i="1" s="1"/>
  <c r="PG341" i="1" s="1"/>
  <c r="PG342" i="1" s="1"/>
  <c r="PG343" i="1" s="1"/>
  <c r="PG344" i="1" s="1"/>
  <c r="PG345" i="1" s="1"/>
  <c r="PG346" i="1" s="1"/>
  <c r="PG347" i="1" s="1"/>
  <c r="PG348" i="1" s="1"/>
  <c r="PG349" i="1" s="1"/>
  <c r="PG350" i="1" s="1"/>
  <c r="PG351" i="1" s="1"/>
  <c r="PG352" i="1" s="1"/>
  <c r="PG353" i="1" s="1"/>
  <c r="PG354" i="1" s="1"/>
  <c r="PG355" i="1" s="1"/>
  <c r="PG356" i="1" s="1"/>
  <c r="AI50" i="5"/>
  <c r="H39" i="11" s="1"/>
  <c r="O39" i="11" s="1"/>
  <c r="KT253" i="1"/>
  <c r="KU253" i="1" s="1"/>
  <c r="AA50" i="5"/>
  <c r="H31" i="11" s="1"/>
  <c r="O31" i="11" s="1"/>
  <c r="HZ253" i="1"/>
  <c r="IA253" i="1" s="1"/>
  <c r="R50" i="5"/>
  <c r="H20" i="11" s="1"/>
  <c r="O20" i="11" s="1"/>
  <c r="EV253" i="1"/>
  <c r="O50" i="5"/>
  <c r="H17" i="11" s="1"/>
  <c r="O17" i="11" s="1"/>
  <c r="DU253" i="1"/>
  <c r="AH50" i="5"/>
  <c r="H38" i="11" s="1"/>
  <c r="O38" i="11" s="1"/>
  <c r="KK253" i="1"/>
  <c r="KL253" i="1" s="1"/>
  <c r="X50" i="5"/>
  <c r="H28" i="11" s="1"/>
  <c r="O28" i="11" s="1"/>
  <c r="GX253" i="1"/>
  <c r="GY253" i="1" s="1"/>
  <c r="Z50" i="5"/>
  <c r="H30" i="11" s="1"/>
  <c r="O30" i="11" s="1"/>
  <c r="HP253" i="1"/>
  <c r="P50" i="5"/>
  <c r="H18" i="11" s="1"/>
  <c r="O18" i="11" s="1"/>
  <c r="ED253" i="1"/>
  <c r="AE50" i="5"/>
  <c r="H35" i="11" s="1"/>
  <c r="O35" i="11" s="1"/>
  <c r="JJ253" i="1"/>
  <c r="Q53" i="5"/>
  <c r="D19" i="12" s="1"/>
  <c r="EM254" i="1"/>
  <c r="EM255" i="1" s="1"/>
  <c r="EM256" i="1" s="1"/>
  <c r="EM257" i="1" s="1"/>
  <c r="EM258" i="1" s="1"/>
  <c r="EM259" i="1" s="1"/>
  <c r="EM260" i="1" s="1"/>
  <c r="EM261" i="1" s="1"/>
  <c r="EM262" i="1" s="1"/>
  <c r="EM263" i="1" s="1"/>
  <c r="EM264" i="1" s="1"/>
  <c r="EM265" i="1" s="1"/>
  <c r="EM266" i="1" s="1"/>
  <c r="EM267" i="1" s="1"/>
  <c r="EM268" i="1" s="1"/>
  <c r="EM269" i="1" s="1"/>
  <c r="EM270" i="1" s="1"/>
  <c r="EM271" i="1" s="1"/>
  <c r="EM272" i="1" s="1"/>
  <c r="EM273" i="1" s="1"/>
  <c r="EM274" i="1" s="1"/>
  <c r="EM275" i="1" s="1"/>
  <c r="EM276" i="1" s="1"/>
  <c r="EM277" i="1" s="1"/>
  <c r="EM278" i="1" s="1"/>
  <c r="EM279" i="1" s="1"/>
  <c r="EM280" i="1" s="1"/>
  <c r="EM281" i="1" s="1"/>
  <c r="EM282" i="1" s="1"/>
  <c r="EM283" i="1" s="1"/>
  <c r="EM284" i="1" s="1"/>
  <c r="EM285" i="1" s="1"/>
  <c r="N50" i="5"/>
  <c r="H16" i="11" s="1"/>
  <c r="O16" i="11" s="1"/>
  <c r="AF50" i="5"/>
  <c r="H36" i="11" s="1"/>
  <c r="O36" i="11" s="1"/>
  <c r="S50" i="5"/>
  <c r="H21" i="11" s="1"/>
  <c r="O21" i="11" s="1"/>
  <c r="FE253" i="1"/>
  <c r="Y50" i="5"/>
  <c r="H29" i="11" s="1"/>
  <c r="O29" i="11" s="1"/>
  <c r="HG253" i="1"/>
  <c r="HH253" i="1" s="1"/>
  <c r="W53" i="5"/>
  <c r="D27" i="12" s="1"/>
  <c r="GO254" i="1"/>
  <c r="GO255" i="1" s="1"/>
  <c r="GO256" i="1" s="1"/>
  <c r="GO257" i="1" s="1"/>
  <c r="GO258" i="1" s="1"/>
  <c r="GO259" i="1" s="1"/>
  <c r="GO260" i="1" s="1"/>
  <c r="GO261" i="1" s="1"/>
  <c r="GO262" i="1" s="1"/>
  <c r="GO263" i="1" s="1"/>
  <c r="GO264" i="1" s="1"/>
  <c r="GO265" i="1" s="1"/>
  <c r="GO266" i="1" s="1"/>
  <c r="GO267" i="1" s="1"/>
  <c r="GO268" i="1" s="1"/>
  <c r="GO269" i="1" s="1"/>
  <c r="GO270" i="1" s="1"/>
  <c r="GO271" i="1" s="1"/>
  <c r="GO272" i="1" s="1"/>
  <c r="GO273" i="1" s="1"/>
  <c r="GO274" i="1" s="1"/>
  <c r="GO275" i="1" s="1"/>
  <c r="GO276" i="1" s="1"/>
  <c r="GO277" i="1" s="1"/>
  <c r="GO278" i="1" s="1"/>
  <c r="GO279" i="1" s="1"/>
  <c r="GO280" i="1" s="1"/>
  <c r="GO281" i="1" s="1"/>
  <c r="GO282" i="1" s="1"/>
  <c r="GO283" i="1" s="1"/>
  <c r="GO284" i="1" s="1"/>
  <c r="GO285" i="1" s="1"/>
  <c r="GP285" i="1" s="1"/>
  <c r="GF254" i="1"/>
  <c r="GF255" i="1" s="1"/>
  <c r="GF256" i="1" s="1"/>
  <c r="GF257" i="1" s="1"/>
  <c r="GF258" i="1" s="1"/>
  <c r="GF259" i="1" s="1"/>
  <c r="GF260" i="1" s="1"/>
  <c r="GF261" i="1" s="1"/>
  <c r="GF262" i="1" s="1"/>
  <c r="GF263" i="1" s="1"/>
  <c r="GF264" i="1" s="1"/>
  <c r="GF265" i="1" s="1"/>
  <c r="GF266" i="1" s="1"/>
  <c r="GF267" i="1" s="1"/>
  <c r="GF268" i="1" s="1"/>
  <c r="GF269" i="1" s="1"/>
  <c r="GF270" i="1" s="1"/>
  <c r="GF271" i="1" s="1"/>
  <c r="GF272" i="1" s="1"/>
  <c r="GF273" i="1" s="1"/>
  <c r="GF274" i="1" s="1"/>
  <c r="GF275" i="1" s="1"/>
  <c r="GF276" i="1" s="1"/>
  <c r="GF277" i="1" s="1"/>
  <c r="GF278" i="1" s="1"/>
  <c r="GF279" i="1" s="1"/>
  <c r="GF280" i="1" s="1"/>
  <c r="GF281" i="1" s="1"/>
  <c r="GF282" i="1" s="1"/>
  <c r="GF283" i="1" s="1"/>
  <c r="GF284" i="1" s="1"/>
  <c r="GF285" i="1" s="1"/>
  <c r="GG285" i="1" s="1"/>
  <c r="V53" i="5"/>
  <c r="D26" i="12" s="1"/>
  <c r="U50" i="5"/>
  <c r="H25" i="11" s="1"/>
  <c r="O25" i="11" s="1"/>
  <c r="FW253" i="1"/>
  <c r="FX253" i="1" s="1"/>
  <c r="L50" i="5"/>
  <c r="H14" i="11" s="1"/>
  <c r="O14" i="11" s="1"/>
  <c r="CT253" i="1"/>
  <c r="D53" i="5"/>
  <c r="D6" i="12" s="1"/>
  <c r="IR253" i="1" l="1"/>
  <c r="AC50" i="5"/>
  <c r="H33" i="11" s="1"/>
  <c r="O33" i="11" s="1"/>
  <c r="IS249" i="1"/>
  <c r="JA254" i="1"/>
  <c r="JA255" i="1" s="1"/>
  <c r="JA256" i="1" s="1"/>
  <c r="JA257" i="1" s="1"/>
  <c r="JA258" i="1" s="1"/>
  <c r="JA259" i="1" s="1"/>
  <c r="JA260" i="1" s="1"/>
  <c r="JA261" i="1" s="1"/>
  <c r="JA262" i="1" s="1"/>
  <c r="JA263" i="1" s="1"/>
  <c r="JA264" i="1" s="1"/>
  <c r="JA265" i="1" s="1"/>
  <c r="JA266" i="1" s="1"/>
  <c r="JA267" i="1" s="1"/>
  <c r="JA268" i="1" s="1"/>
  <c r="JA269" i="1" s="1"/>
  <c r="JA270" i="1" s="1"/>
  <c r="JA271" i="1" s="1"/>
  <c r="JA272" i="1" s="1"/>
  <c r="JA273" i="1" s="1"/>
  <c r="JA274" i="1" s="1"/>
  <c r="JA275" i="1" s="1"/>
  <c r="JA276" i="1" s="1"/>
  <c r="JA277" i="1" s="1"/>
  <c r="JA278" i="1" s="1"/>
  <c r="JA279" i="1" s="1"/>
  <c r="JA280" i="1" s="1"/>
  <c r="JA281" i="1" s="1"/>
  <c r="JA282" i="1" s="1"/>
  <c r="JA283" i="1" s="1"/>
  <c r="JA284" i="1" s="1"/>
  <c r="JA285" i="1" s="1"/>
  <c r="JB285" i="1" s="1"/>
  <c r="AD53" i="5"/>
  <c r="D34" i="12" s="1"/>
  <c r="DC254" i="1"/>
  <c r="DC255" i="1" s="1"/>
  <c r="DC256" i="1" s="1"/>
  <c r="DC257" i="1" s="1"/>
  <c r="DC258" i="1" s="1"/>
  <c r="DC259" i="1" s="1"/>
  <c r="DC260" i="1" s="1"/>
  <c r="DC261" i="1" s="1"/>
  <c r="DC262" i="1" s="1"/>
  <c r="DC263" i="1" s="1"/>
  <c r="DC264" i="1" s="1"/>
  <c r="DC265" i="1" s="1"/>
  <c r="DC266" i="1" s="1"/>
  <c r="DC267" i="1" s="1"/>
  <c r="DC268" i="1" s="1"/>
  <c r="DC269" i="1" s="1"/>
  <c r="DC270" i="1" s="1"/>
  <c r="DC271" i="1" s="1"/>
  <c r="DC272" i="1" s="1"/>
  <c r="DC273" i="1" s="1"/>
  <c r="DC274" i="1" s="1"/>
  <c r="DC275" i="1" s="1"/>
  <c r="DC276" i="1" s="1"/>
  <c r="DC277" i="1" s="1"/>
  <c r="DC278" i="1" s="1"/>
  <c r="DC279" i="1" s="1"/>
  <c r="DC280" i="1" s="1"/>
  <c r="DC281" i="1" s="1"/>
  <c r="DC282" i="1" s="1"/>
  <c r="DC283" i="1" s="1"/>
  <c r="DC284" i="1" s="1"/>
  <c r="DC285" i="1" s="1"/>
  <c r="M53" i="5"/>
  <c r="D15" i="12" s="1"/>
  <c r="AJ60" i="5"/>
  <c r="D40" i="13" s="1"/>
  <c r="LC290" i="1"/>
  <c r="LC291" i="1" s="1"/>
  <c r="LC292" i="1" s="1"/>
  <c r="LC293" i="1" s="1"/>
  <c r="LC294" i="1" s="1"/>
  <c r="LC295" i="1" s="1"/>
  <c r="LC296" i="1" s="1"/>
  <c r="LC297" i="1" s="1"/>
  <c r="LC298" i="1" s="1"/>
  <c r="LC299" i="1" s="1"/>
  <c r="LC300" i="1" s="1"/>
  <c r="LC301" i="1" s="1"/>
  <c r="LC302" i="1" s="1"/>
  <c r="LC303" i="1" s="1"/>
  <c r="LC304" i="1" s="1"/>
  <c r="LC305" i="1" s="1"/>
  <c r="LC306" i="1" s="1"/>
  <c r="LC307" i="1" s="1"/>
  <c r="LC308" i="1" s="1"/>
  <c r="LC309" i="1" s="1"/>
  <c r="LC310" i="1" s="1"/>
  <c r="LC311" i="1" s="1"/>
  <c r="LC312" i="1" s="1"/>
  <c r="LC313" i="1" s="1"/>
  <c r="LC314" i="1" s="1"/>
  <c r="LC315" i="1" s="1"/>
  <c r="LC316" i="1" s="1"/>
  <c r="LC317" i="1" s="1"/>
  <c r="LC318" i="1" s="1"/>
  <c r="LC319" i="1" s="1"/>
  <c r="LC320" i="1" s="1"/>
  <c r="O4" i="21"/>
  <c r="KB254" i="1"/>
  <c r="KB255" i="1" s="1"/>
  <c r="KB256" i="1" s="1"/>
  <c r="KB257" i="1" s="1"/>
  <c r="KB258" i="1" s="1"/>
  <c r="KB259" i="1" s="1"/>
  <c r="KB260" i="1" s="1"/>
  <c r="KB261" i="1" s="1"/>
  <c r="KB262" i="1" s="1"/>
  <c r="KB263" i="1" s="1"/>
  <c r="KB264" i="1" s="1"/>
  <c r="KB265" i="1" s="1"/>
  <c r="KB266" i="1" s="1"/>
  <c r="KB267" i="1" s="1"/>
  <c r="KB268" i="1" s="1"/>
  <c r="KB269" i="1" s="1"/>
  <c r="KB270" i="1" s="1"/>
  <c r="KB271" i="1" s="1"/>
  <c r="KB272" i="1" s="1"/>
  <c r="KB273" i="1" s="1"/>
  <c r="KB274" i="1" s="1"/>
  <c r="KB275" i="1" s="1"/>
  <c r="KB276" i="1" s="1"/>
  <c r="KB277" i="1" s="1"/>
  <c r="KB278" i="1" s="1"/>
  <c r="KB279" i="1" s="1"/>
  <c r="KB280" i="1" s="1"/>
  <c r="KB281" i="1" s="1"/>
  <c r="KB282" i="1" s="1"/>
  <c r="KB283" i="1" s="1"/>
  <c r="KB284" i="1" s="1"/>
  <c r="KB285" i="1" s="1"/>
  <c r="KC285" i="1" s="1"/>
  <c r="AG53" i="5"/>
  <c r="D37" i="12" s="1"/>
  <c r="AQ71" i="5"/>
  <c r="NN360" i="1"/>
  <c r="LL254" i="1"/>
  <c r="LL255" i="1" s="1"/>
  <c r="LL256" i="1" s="1"/>
  <c r="LL257" i="1" s="1"/>
  <c r="LL258" i="1" s="1"/>
  <c r="LL259" i="1" s="1"/>
  <c r="LL260" i="1" s="1"/>
  <c r="LL261" i="1" s="1"/>
  <c r="LL262" i="1" s="1"/>
  <c r="LL263" i="1" s="1"/>
  <c r="LL264" i="1" s="1"/>
  <c r="LL265" i="1" s="1"/>
  <c r="LL266" i="1" s="1"/>
  <c r="LL267" i="1" s="1"/>
  <c r="LL268" i="1" s="1"/>
  <c r="LL269" i="1" s="1"/>
  <c r="LL270" i="1" s="1"/>
  <c r="LL271" i="1" s="1"/>
  <c r="LL272" i="1" s="1"/>
  <c r="LL273" i="1" s="1"/>
  <c r="LL274" i="1" s="1"/>
  <c r="LL275" i="1" s="1"/>
  <c r="LL276" i="1" s="1"/>
  <c r="LL277" i="1" s="1"/>
  <c r="LL278" i="1" s="1"/>
  <c r="LL279" i="1" s="1"/>
  <c r="LL280" i="1" s="1"/>
  <c r="LL281" i="1" s="1"/>
  <c r="LL282" i="1" s="1"/>
  <c r="LL283" i="1" s="1"/>
  <c r="LL284" i="1" s="1"/>
  <c r="LL285" i="1" s="1"/>
  <c r="LM285" i="1" s="1"/>
  <c r="AK53" i="5"/>
  <c r="D41" i="12" s="1"/>
  <c r="II254" i="1"/>
  <c r="II255" i="1" s="1"/>
  <c r="II256" i="1" s="1"/>
  <c r="II257" i="1" s="1"/>
  <c r="II258" i="1" s="1"/>
  <c r="II259" i="1" s="1"/>
  <c r="II260" i="1" s="1"/>
  <c r="II261" i="1" s="1"/>
  <c r="II262" i="1" s="1"/>
  <c r="II263" i="1" s="1"/>
  <c r="II264" i="1" s="1"/>
  <c r="II265" i="1" s="1"/>
  <c r="II266" i="1" s="1"/>
  <c r="II267" i="1" s="1"/>
  <c r="II268" i="1" s="1"/>
  <c r="II269" i="1" s="1"/>
  <c r="II270" i="1" s="1"/>
  <c r="II271" i="1" s="1"/>
  <c r="II272" i="1" s="1"/>
  <c r="II273" i="1" s="1"/>
  <c r="II274" i="1" s="1"/>
  <c r="II275" i="1" s="1"/>
  <c r="II276" i="1" s="1"/>
  <c r="II277" i="1" s="1"/>
  <c r="II278" i="1" s="1"/>
  <c r="II279" i="1" s="1"/>
  <c r="II280" i="1" s="1"/>
  <c r="II281" i="1" s="1"/>
  <c r="II282" i="1" s="1"/>
  <c r="II283" i="1" s="1"/>
  <c r="II284" i="1" s="1"/>
  <c r="II285" i="1" s="1"/>
  <c r="IJ285" i="1" s="1"/>
  <c r="AB53" i="5"/>
  <c r="D32" i="12" s="1"/>
  <c r="H183" i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H200" i="1" s="1"/>
  <c r="H201" i="1" s="1"/>
  <c r="H202" i="1" s="1"/>
  <c r="H203" i="1" s="1"/>
  <c r="H204" i="1" s="1"/>
  <c r="H205" i="1" s="1"/>
  <c r="H206" i="1" s="1"/>
  <c r="H207" i="1" s="1"/>
  <c r="H208" i="1" s="1"/>
  <c r="H209" i="1" s="1"/>
  <c r="H210" i="1" s="1"/>
  <c r="H211" i="1" s="1"/>
  <c r="H212" i="1" s="1"/>
  <c r="H213" i="1" s="1"/>
  <c r="B39" i="5"/>
  <c r="AY71" i="5"/>
  <c r="H55" i="14" s="1"/>
  <c r="O55" i="14" s="1"/>
  <c r="QH360" i="1"/>
  <c r="AV71" i="5"/>
  <c r="H52" i="14" s="1"/>
  <c r="O52" i="14" s="1"/>
  <c r="PG360" i="1"/>
  <c r="AX71" i="5"/>
  <c r="H54" i="14" s="1"/>
  <c r="O54" i="14" s="1"/>
  <c r="PY360" i="1"/>
  <c r="AZ71" i="5"/>
  <c r="H56" i="14" s="1"/>
  <c r="O56" i="14" s="1"/>
  <c r="QQ360" i="1"/>
  <c r="AW71" i="5"/>
  <c r="H53" i="14" s="1"/>
  <c r="O53" i="14" s="1"/>
  <c r="PP360" i="1"/>
  <c r="Q57" i="5"/>
  <c r="H19" i="12" s="1"/>
  <c r="O19" i="12" s="1"/>
  <c r="EM289" i="1"/>
  <c r="V57" i="5"/>
  <c r="H26" i="12" s="1"/>
  <c r="O26" i="12" s="1"/>
  <c r="GF289" i="1"/>
  <c r="W57" i="5"/>
  <c r="H27" i="12" s="1"/>
  <c r="O27" i="12" s="1"/>
  <c r="GO289" i="1"/>
  <c r="ED254" i="1"/>
  <c r="ED255" i="1" s="1"/>
  <c r="ED256" i="1" s="1"/>
  <c r="ED257" i="1" s="1"/>
  <c r="ED258" i="1" s="1"/>
  <c r="ED259" i="1" s="1"/>
  <c r="ED260" i="1" s="1"/>
  <c r="ED261" i="1" s="1"/>
  <c r="ED262" i="1" s="1"/>
  <c r="ED263" i="1" s="1"/>
  <c r="ED264" i="1" s="1"/>
  <c r="ED265" i="1" s="1"/>
  <c r="ED266" i="1" s="1"/>
  <c r="ED267" i="1" s="1"/>
  <c r="ED268" i="1" s="1"/>
  <c r="ED269" i="1" s="1"/>
  <c r="ED270" i="1" s="1"/>
  <c r="ED271" i="1" s="1"/>
  <c r="ED272" i="1" s="1"/>
  <c r="ED273" i="1" s="1"/>
  <c r="ED274" i="1" s="1"/>
  <c r="ED275" i="1" s="1"/>
  <c r="ED276" i="1" s="1"/>
  <c r="ED277" i="1" s="1"/>
  <c r="ED278" i="1" s="1"/>
  <c r="ED279" i="1" s="1"/>
  <c r="ED280" i="1" s="1"/>
  <c r="ED281" i="1" s="1"/>
  <c r="ED282" i="1" s="1"/>
  <c r="ED283" i="1" s="1"/>
  <c r="ED284" i="1" s="1"/>
  <c r="ED285" i="1" s="1"/>
  <c r="P53" i="5"/>
  <c r="D18" i="12" s="1"/>
  <c r="AI53" i="5"/>
  <c r="D39" i="12" s="1"/>
  <c r="KT254" i="1"/>
  <c r="KT255" i="1" s="1"/>
  <c r="KT256" i="1" s="1"/>
  <c r="KT257" i="1" s="1"/>
  <c r="KT258" i="1" s="1"/>
  <c r="KT259" i="1" s="1"/>
  <c r="KT260" i="1" s="1"/>
  <c r="KT261" i="1" s="1"/>
  <c r="KT262" i="1" s="1"/>
  <c r="KT263" i="1" s="1"/>
  <c r="KT264" i="1" s="1"/>
  <c r="KT265" i="1" s="1"/>
  <c r="KT266" i="1" s="1"/>
  <c r="KT267" i="1" s="1"/>
  <c r="KT268" i="1" s="1"/>
  <c r="KT269" i="1" s="1"/>
  <c r="KT270" i="1" s="1"/>
  <c r="KT271" i="1" s="1"/>
  <c r="KT272" i="1" s="1"/>
  <c r="KT273" i="1" s="1"/>
  <c r="KT274" i="1" s="1"/>
  <c r="KT275" i="1" s="1"/>
  <c r="KT276" i="1" s="1"/>
  <c r="KT277" i="1" s="1"/>
  <c r="KT278" i="1" s="1"/>
  <c r="KT279" i="1" s="1"/>
  <c r="KT280" i="1" s="1"/>
  <c r="KT281" i="1" s="1"/>
  <c r="KT282" i="1" s="1"/>
  <c r="KT283" i="1" s="1"/>
  <c r="KT284" i="1" s="1"/>
  <c r="KT285" i="1" s="1"/>
  <c r="KU285" i="1" s="1"/>
  <c r="N53" i="5"/>
  <c r="D16" i="12" s="1"/>
  <c r="DL254" i="1"/>
  <c r="DL255" i="1" s="1"/>
  <c r="DL256" i="1" s="1"/>
  <c r="DL257" i="1" s="1"/>
  <c r="DL258" i="1" s="1"/>
  <c r="DL259" i="1" s="1"/>
  <c r="DL260" i="1" s="1"/>
  <c r="DL261" i="1" s="1"/>
  <c r="DL262" i="1" s="1"/>
  <c r="DL263" i="1" s="1"/>
  <c r="DL264" i="1" s="1"/>
  <c r="DL265" i="1" s="1"/>
  <c r="DL266" i="1" s="1"/>
  <c r="DL267" i="1" s="1"/>
  <c r="DL268" i="1" s="1"/>
  <c r="DL269" i="1" s="1"/>
  <c r="DL270" i="1" s="1"/>
  <c r="DL271" i="1" s="1"/>
  <c r="DL272" i="1" s="1"/>
  <c r="DL273" i="1" s="1"/>
  <c r="DL274" i="1" s="1"/>
  <c r="DL275" i="1" s="1"/>
  <c r="DL276" i="1" s="1"/>
  <c r="DL277" i="1" s="1"/>
  <c r="DL278" i="1" s="1"/>
  <c r="DL279" i="1" s="1"/>
  <c r="DL280" i="1" s="1"/>
  <c r="DL281" i="1" s="1"/>
  <c r="DL282" i="1" s="1"/>
  <c r="DL283" i="1" s="1"/>
  <c r="DL284" i="1" s="1"/>
  <c r="DL285" i="1" s="1"/>
  <c r="DL289" i="1" s="1"/>
  <c r="O53" i="5"/>
  <c r="D17" i="12" s="1"/>
  <c r="DU254" i="1"/>
  <c r="DU255" i="1" s="1"/>
  <c r="DU256" i="1" s="1"/>
  <c r="DU257" i="1" s="1"/>
  <c r="DU258" i="1" s="1"/>
  <c r="DU259" i="1" s="1"/>
  <c r="DU260" i="1" s="1"/>
  <c r="DU261" i="1" s="1"/>
  <c r="DU262" i="1" s="1"/>
  <c r="DU263" i="1" s="1"/>
  <c r="DU264" i="1" s="1"/>
  <c r="DU265" i="1" s="1"/>
  <c r="DU266" i="1" s="1"/>
  <c r="DU267" i="1" s="1"/>
  <c r="DU268" i="1" s="1"/>
  <c r="DU269" i="1" s="1"/>
  <c r="DU270" i="1" s="1"/>
  <c r="DU271" i="1" s="1"/>
  <c r="DU272" i="1" s="1"/>
  <c r="DU273" i="1" s="1"/>
  <c r="DU274" i="1" s="1"/>
  <c r="DU275" i="1" s="1"/>
  <c r="DU276" i="1" s="1"/>
  <c r="DU277" i="1" s="1"/>
  <c r="DU278" i="1" s="1"/>
  <c r="DU279" i="1" s="1"/>
  <c r="DU280" i="1" s="1"/>
  <c r="DU281" i="1" s="1"/>
  <c r="DU282" i="1" s="1"/>
  <c r="DU283" i="1" s="1"/>
  <c r="DU284" i="1" s="1"/>
  <c r="DU285" i="1" s="1"/>
  <c r="HP254" i="1"/>
  <c r="HP255" i="1" s="1"/>
  <c r="HP256" i="1" s="1"/>
  <c r="HP257" i="1" s="1"/>
  <c r="HP258" i="1" s="1"/>
  <c r="HP259" i="1" s="1"/>
  <c r="HP260" i="1" s="1"/>
  <c r="HP261" i="1" s="1"/>
  <c r="HP262" i="1" s="1"/>
  <c r="HP263" i="1" s="1"/>
  <c r="HP264" i="1" s="1"/>
  <c r="HP265" i="1" s="1"/>
  <c r="HP266" i="1" s="1"/>
  <c r="HP267" i="1" s="1"/>
  <c r="HP268" i="1" s="1"/>
  <c r="HP269" i="1" s="1"/>
  <c r="HP270" i="1" s="1"/>
  <c r="HP271" i="1" s="1"/>
  <c r="HP272" i="1" s="1"/>
  <c r="HP273" i="1" s="1"/>
  <c r="HP274" i="1" s="1"/>
  <c r="HP275" i="1" s="1"/>
  <c r="HP276" i="1" s="1"/>
  <c r="HP277" i="1" s="1"/>
  <c r="HP278" i="1" s="1"/>
  <c r="HP279" i="1" s="1"/>
  <c r="HP280" i="1" s="1"/>
  <c r="HP281" i="1" s="1"/>
  <c r="HP282" i="1" s="1"/>
  <c r="HP283" i="1" s="1"/>
  <c r="HP284" i="1" s="1"/>
  <c r="HP285" i="1" s="1"/>
  <c r="Z53" i="5"/>
  <c r="D30" i="12" s="1"/>
  <c r="AH53" i="5"/>
  <c r="D38" i="12" s="1"/>
  <c r="KK254" i="1"/>
  <c r="KK255" i="1" s="1"/>
  <c r="KK256" i="1" s="1"/>
  <c r="KK257" i="1" s="1"/>
  <c r="KK258" i="1" s="1"/>
  <c r="KK259" i="1" s="1"/>
  <c r="KK260" i="1" s="1"/>
  <c r="KK261" i="1" s="1"/>
  <c r="KK262" i="1" s="1"/>
  <c r="KK263" i="1" s="1"/>
  <c r="KK264" i="1" s="1"/>
  <c r="KK265" i="1" s="1"/>
  <c r="KK266" i="1" s="1"/>
  <c r="KK267" i="1" s="1"/>
  <c r="KK268" i="1" s="1"/>
  <c r="KK269" i="1" s="1"/>
  <c r="KK270" i="1" s="1"/>
  <c r="KK271" i="1" s="1"/>
  <c r="KK272" i="1" s="1"/>
  <c r="KK273" i="1" s="1"/>
  <c r="KK274" i="1" s="1"/>
  <c r="KK275" i="1" s="1"/>
  <c r="KK276" i="1" s="1"/>
  <c r="KK277" i="1" s="1"/>
  <c r="KK278" i="1" s="1"/>
  <c r="KK279" i="1" s="1"/>
  <c r="KK280" i="1" s="1"/>
  <c r="KK281" i="1" s="1"/>
  <c r="KK282" i="1" s="1"/>
  <c r="KK283" i="1" s="1"/>
  <c r="KK284" i="1" s="1"/>
  <c r="KK285" i="1" s="1"/>
  <c r="KL285" i="1" s="1"/>
  <c r="R53" i="5"/>
  <c r="D20" i="12" s="1"/>
  <c r="EV254" i="1"/>
  <c r="EV255" i="1" s="1"/>
  <c r="EV256" i="1" s="1"/>
  <c r="EV257" i="1" s="1"/>
  <c r="EV258" i="1" s="1"/>
  <c r="EV259" i="1" s="1"/>
  <c r="EV260" i="1" s="1"/>
  <c r="EV261" i="1" s="1"/>
  <c r="EV262" i="1" s="1"/>
  <c r="EV263" i="1" s="1"/>
  <c r="EV264" i="1" s="1"/>
  <c r="EV265" i="1" s="1"/>
  <c r="EV266" i="1" s="1"/>
  <c r="EV267" i="1" s="1"/>
  <c r="EV268" i="1" s="1"/>
  <c r="EV269" i="1" s="1"/>
  <c r="EV270" i="1" s="1"/>
  <c r="EV271" i="1" s="1"/>
  <c r="EV272" i="1" s="1"/>
  <c r="EV273" i="1" s="1"/>
  <c r="EV274" i="1" s="1"/>
  <c r="EV275" i="1" s="1"/>
  <c r="EV276" i="1" s="1"/>
  <c r="EV277" i="1" s="1"/>
  <c r="EV278" i="1" s="1"/>
  <c r="EV279" i="1" s="1"/>
  <c r="EV280" i="1" s="1"/>
  <c r="EV281" i="1" s="1"/>
  <c r="EV282" i="1" s="1"/>
  <c r="EV283" i="1" s="1"/>
  <c r="EV284" i="1" s="1"/>
  <c r="EV285" i="1" s="1"/>
  <c r="AE53" i="5"/>
  <c r="D35" i="12" s="1"/>
  <c r="JJ254" i="1"/>
  <c r="JJ255" i="1" s="1"/>
  <c r="JJ256" i="1" s="1"/>
  <c r="JJ257" i="1" s="1"/>
  <c r="JJ258" i="1" s="1"/>
  <c r="JJ259" i="1" s="1"/>
  <c r="JJ260" i="1" s="1"/>
  <c r="JJ261" i="1" s="1"/>
  <c r="JJ262" i="1" s="1"/>
  <c r="JJ263" i="1" s="1"/>
  <c r="JJ264" i="1" s="1"/>
  <c r="JJ265" i="1" s="1"/>
  <c r="JJ266" i="1" s="1"/>
  <c r="JJ267" i="1" s="1"/>
  <c r="JJ268" i="1" s="1"/>
  <c r="JJ269" i="1" s="1"/>
  <c r="JJ270" i="1" s="1"/>
  <c r="JJ271" i="1" s="1"/>
  <c r="JJ272" i="1" s="1"/>
  <c r="JJ273" i="1" s="1"/>
  <c r="JJ274" i="1" s="1"/>
  <c r="JJ275" i="1" s="1"/>
  <c r="JJ276" i="1" s="1"/>
  <c r="JJ277" i="1" s="1"/>
  <c r="JJ278" i="1" s="1"/>
  <c r="JJ279" i="1" s="1"/>
  <c r="JJ280" i="1" s="1"/>
  <c r="JJ281" i="1" s="1"/>
  <c r="JJ282" i="1" s="1"/>
  <c r="JJ283" i="1" s="1"/>
  <c r="JJ284" i="1" s="1"/>
  <c r="JJ285" i="1" s="1"/>
  <c r="X53" i="5"/>
  <c r="D28" i="12" s="1"/>
  <c r="GX254" i="1"/>
  <c r="GX255" i="1" s="1"/>
  <c r="GX256" i="1" s="1"/>
  <c r="GX257" i="1" s="1"/>
  <c r="GX258" i="1" s="1"/>
  <c r="GX259" i="1" s="1"/>
  <c r="GX260" i="1" s="1"/>
  <c r="GX261" i="1" s="1"/>
  <c r="GX262" i="1" s="1"/>
  <c r="GX263" i="1" s="1"/>
  <c r="GX264" i="1" s="1"/>
  <c r="GX265" i="1" s="1"/>
  <c r="GX266" i="1" s="1"/>
  <c r="GX267" i="1" s="1"/>
  <c r="GX268" i="1" s="1"/>
  <c r="GX269" i="1" s="1"/>
  <c r="GX270" i="1" s="1"/>
  <c r="GX271" i="1" s="1"/>
  <c r="GX272" i="1" s="1"/>
  <c r="GX273" i="1" s="1"/>
  <c r="GX274" i="1" s="1"/>
  <c r="GX275" i="1" s="1"/>
  <c r="GX276" i="1" s="1"/>
  <c r="GX277" i="1" s="1"/>
  <c r="GX278" i="1" s="1"/>
  <c r="GX279" i="1" s="1"/>
  <c r="GX280" i="1" s="1"/>
  <c r="GX281" i="1" s="1"/>
  <c r="GX282" i="1" s="1"/>
  <c r="GX283" i="1" s="1"/>
  <c r="GX284" i="1" s="1"/>
  <c r="GX285" i="1" s="1"/>
  <c r="GY285" i="1" s="1"/>
  <c r="AA53" i="5"/>
  <c r="D31" i="12" s="1"/>
  <c r="HZ254" i="1"/>
  <c r="HZ255" i="1" s="1"/>
  <c r="HZ256" i="1" s="1"/>
  <c r="HZ257" i="1" s="1"/>
  <c r="HZ258" i="1" s="1"/>
  <c r="HZ259" i="1" s="1"/>
  <c r="HZ260" i="1" s="1"/>
  <c r="HZ261" i="1" s="1"/>
  <c r="HZ262" i="1" s="1"/>
  <c r="HZ263" i="1" s="1"/>
  <c r="HZ264" i="1" s="1"/>
  <c r="HZ265" i="1" s="1"/>
  <c r="HZ266" i="1" s="1"/>
  <c r="HZ267" i="1" s="1"/>
  <c r="HZ268" i="1" s="1"/>
  <c r="HZ269" i="1" s="1"/>
  <c r="HZ270" i="1" s="1"/>
  <c r="HZ271" i="1" s="1"/>
  <c r="HZ272" i="1" s="1"/>
  <c r="HZ273" i="1" s="1"/>
  <c r="HZ274" i="1" s="1"/>
  <c r="HZ275" i="1" s="1"/>
  <c r="HZ276" i="1" s="1"/>
  <c r="HZ277" i="1" s="1"/>
  <c r="HZ278" i="1" s="1"/>
  <c r="HZ279" i="1" s="1"/>
  <c r="HZ280" i="1" s="1"/>
  <c r="HZ281" i="1" s="1"/>
  <c r="HZ282" i="1" s="1"/>
  <c r="HZ283" i="1" s="1"/>
  <c r="HZ284" i="1" s="1"/>
  <c r="HZ285" i="1" s="1"/>
  <c r="IA285" i="1" s="1"/>
  <c r="AF53" i="5"/>
  <c r="D36" i="12" s="1"/>
  <c r="JS254" i="1"/>
  <c r="JS255" i="1" s="1"/>
  <c r="JS256" i="1" s="1"/>
  <c r="JS257" i="1" s="1"/>
  <c r="JS258" i="1" s="1"/>
  <c r="JS259" i="1" s="1"/>
  <c r="JS260" i="1" s="1"/>
  <c r="JS261" i="1" s="1"/>
  <c r="JS262" i="1" s="1"/>
  <c r="JS263" i="1" s="1"/>
  <c r="JS264" i="1" s="1"/>
  <c r="JS265" i="1" s="1"/>
  <c r="JS266" i="1" s="1"/>
  <c r="JS267" i="1" s="1"/>
  <c r="JS268" i="1" s="1"/>
  <c r="JS269" i="1" s="1"/>
  <c r="JS270" i="1" s="1"/>
  <c r="JS271" i="1" s="1"/>
  <c r="JS272" i="1" s="1"/>
  <c r="JS273" i="1" s="1"/>
  <c r="JS274" i="1" s="1"/>
  <c r="JS275" i="1" s="1"/>
  <c r="JS276" i="1" s="1"/>
  <c r="JS277" i="1" s="1"/>
  <c r="JS278" i="1" s="1"/>
  <c r="JS279" i="1" s="1"/>
  <c r="JS280" i="1" s="1"/>
  <c r="JS281" i="1" s="1"/>
  <c r="JS282" i="1" s="1"/>
  <c r="JS283" i="1" s="1"/>
  <c r="JS284" i="1" s="1"/>
  <c r="JS285" i="1" s="1"/>
  <c r="FE254" i="1"/>
  <c r="FE255" i="1" s="1"/>
  <c r="FE256" i="1" s="1"/>
  <c r="FE257" i="1" s="1"/>
  <c r="FE258" i="1" s="1"/>
  <c r="FE259" i="1" s="1"/>
  <c r="FE260" i="1" s="1"/>
  <c r="FE261" i="1" s="1"/>
  <c r="FE262" i="1" s="1"/>
  <c r="FE263" i="1" s="1"/>
  <c r="FE264" i="1" s="1"/>
  <c r="FE265" i="1" s="1"/>
  <c r="FE266" i="1" s="1"/>
  <c r="FE267" i="1" s="1"/>
  <c r="FE268" i="1" s="1"/>
  <c r="FE269" i="1" s="1"/>
  <c r="FE270" i="1" s="1"/>
  <c r="FE271" i="1" s="1"/>
  <c r="FE272" i="1" s="1"/>
  <c r="FE273" i="1" s="1"/>
  <c r="FE274" i="1" s="1"/>
  <c r="FE275" i="1" s="1"/>
  <c r="FE276" i="1" s="1"/>
  <c r="FE277" i="1" s="1"/>
  <c r="FE278" i="1" s="1"/>
  <c r="FE279" i="1" s="1"/>
  <c r="FE280" i="1" s="1"/>
  <c r="FE281" i="1" s="1"/>
  <c r="FE282" i="1" s="1"/>
  <c r="FE283" i="1" s="1"/>
  <c r="FE284" i="1" s="1"/>
  <c r="FE285" i="1" s="1"/>
  <c r="S53" i="5"/>
  <c r="D21" i="12" s="1"/>
  <c r="Y53" i="5"/>
  <c r="D29" i="12" s="1"/>
  <c r="HG254" i="1"/>
  <c r="HG255" i="1" s="1"/>
  <c r="HG256" i="1" s="1"/>
  <c r="HG257" i="1" s="1"/>
  <c r="HG258" i="1" s="1"/>
  <c r="HG259" i="1" s="1"/>
  <c r="HG260" i="1" s="1"/>
  <c r="HG261" i="1" s="1"/>
  <c r="HG262" i="1" s="1"/>
  <c r="HG263" i="1" s="1"/>
  <c r="HG264" i="1" s="1"/>
  <c r="HG265" i="1" s="1"/>
  <c r="HG266" i="1" s="1"/>
  <c r="HG267" i="1" s="1"/>
  <c r="HG268" i="1" s="1"/>
  <c r="HG269" i="1" s="1"/>
  <c r="HG270" i="1" s="1"/>
  <c r="HG271" i="1" s="1"/>
  <c r="HG272" i="1" s="1"/>
  <c r="HG273" i="1" s="1"/>
  <c r="HG274" i="1" s="1"/>
  <c r="HG275" i="1" s="1"/>
  <c r="HG276" i="1" s="1"/>
  <c r="HG277" i="1" s="1"/>
  <c r="HG278" i="1" s="1"/>
  <c r="HG279" i="1" s="1"/>
  <c r="HG280" i="1" s="1"/>
  <c r="HG281" i="1" s="1"/>
  <c r="HG282" i="1" s="1"/>
  <c r="HG283" i="1" s="1"/>
  <c r="HG284" i="1" s="1"/>
  <c r="HG285" i="1" s="1"/>
  <c r="HH285" i="1" s="1"/>
  <c r="FW254" i="1"/>
  <c r="FW255" i="1" s="1"/>
  <c r="FW256" i="1" s="1"/>
  <c r="FW257" i="1" s="1"/>
  <c r="FW258" i="1" s="1"/>
  <c r="FW259" i="1" s="1"/>
  <c r="FW260" i="1" s="1"/>
  <c r="FW261" i="1" s="1"/>
  <c r="FW262" i="1" s="1"/>
  <c r="FW263" i="1" s="1"/>
  <c r="FW264" i="1" s="1"/>
  <c r="FW265" i="1" s="1"/>
  <c r="FW266" i="1" s="1"/>
  <c r="FW267" i="1" s="1"/>
  <c r="FW268" i="1" s="1"/>
  <c r="FW269" i="1" s="1"/>
  <c r="FW270" i="1" s="1"/>
  <c r="FW271" i="1" s="1"/>
  <c r="FW272" i="1" s="1"/>
  <c r="FW273" i="1" s="1"/>
  <c r="FW274" i="1" s="1"/>
  <c r="FW275" i="1" s="1"/>
  <c r="FW276" i="1" s="1"/>
  <c r="FW277" i="1" s="1"/>
  <c r="FW278" i="1" s="1"/>
  <c r="FW279" i="1" s="1"/>
  <c r="FW280" i="1" s="1"/>
  <c r="FW281" i="1" s="1"/>
  <c r="FW282" i="1" s="1"/>
  <c r="FW283" i="1" s="1"/>
  <c r="FW284" i="1" s="1"/>
  <c r="FW285" i="1" s="1"/>
  <c r="FX285" i="1" s="1"/>
  <c r="U53" i="5"/>
  <c r="D25" i="12" s="1"/>
  <c r="L53" i="5"/>
  <c r="D14" i="12" s="1"/>
  <c r="CT254" i="1"/>
  <c r="CT255" i="1" s="1"/>
  <c r="CT256" i="1" s="1"/>
  <c r="CT257" i="1" s="1"/>
  <c r="CT258" i="1" s="1"/>
  <c r="CT259" i="1" s="1"/>
  <c r="CT260" i="1" s="1"/>
  <c r="CT261" i="1" s="1"/>
  <c r="CT262" i="1" s="1"/>
  <c r="CT263" i="1" s="1"/>
  <c r="CT264" i="1" s="1"/>
  <c r="CT265" i="1" s="1"/>
  <c r="CT266" i="1" s="1"/>
  <c r="CT267" i="1" s="1"/>
  <c r="CT268" i="1" s="1"/>
  <c r="CT269" i="1" s="1"/>
  <c r="CT270" i="1" s="1"/>
  <c r="CT271" i="1" s="1"/>
  <c r="CT272" i="1" s="1"/>
  <c r="CT273" i="1" s="1"/>
  <c r="CT274" i="1" s="1"/>
  <c r="CT275" i="1" s="1"/>
  <c r="CT276" i="1" s="1"/>
  <c r="CT277" i="1" s="1"/>
  <c r="CT278" i="1" s="1"/>
  <c r="CT279" i="1" s="1"/>
  <c r="CT280" i="1" s="1"/>
  <c r="CT281" i="1" s="1"/>
  <c r="CT282" i="1" s="1"/>
  <c r="CT283" i="1" s="1"/>
  <c r="CT284" i="1" s="1"/>
  <c r="CT285" i="1" s="1"/>
  <c r="D57" i="5"/>
  <c r="H6" i="12" s="1"/>
  <c r="O6" i="12" s="1"/>
  <c r="IS253" i="1" l="1"/>
  <c r="AC53" i="5"/>
  <c r="D33" i="12" s="1"/>
  <c r="IR254" i="1"/>
  <c r="IR255" i="1" s="1"/>
  <c r="IR256" i="1" s="1"/>
  <c r="IR257" i="1" s="1"/>
  <c r="IR258" i="1" s="1"/>
  <c r="IR259" i="1" s="1"/>
  <c r="IR260" i="1" s="1"/>
  <c r="IR261" i="1" s="1"/>
  <c r="IR262" i="1" s="1"/>
  <c r="IR263" i="1" s="1"/>
  <c r="IR264" i="1" s="1"/>
  <c r="IR265" i="1" s="1"/>
  <c r="IR266" i="1" s="1"/>
  <c r="IR267" i="1" s="1"/>
  <c r="IR268" i="1" s="1"/>
  <c r="IR269" i="1" s="1"/>
  <c r="IR270" i="1" s="1"/>
  <c r="IR271" i="1" s="1"/>
  <c r="IR272" i="1" s="1"/>
  <c r="IR273" i="1" s="1"/>
  <c r="IR274" i="1" s="1"/>
  <c r="IR275" i="1" s="1"/>
  <c r="IR276" i="1" s="1"/>
  <c r="IR277" i="1" s="1"/>
  <c r="IR278" i="1" s="1"/>
  <c r="IR279" i="1" s="1"/>
  <c r="IR280" i="1" s="1"/>
  <c r="IR281" i="1" s="1"/>
  <c r="IR282" i="1" s="1"/>
  <c r="IR283" i="1" s="1"/>
  <c r="IR284" i="1" s="1"/>
  <c r="IR285" i="1" s="1"/>
  <c r="M57" i="5"/>
  <c r="H15" i="12" s="1"/>
  <c r="O15" i="12" s="1"/>
  <c r="DC289" i="1"/>
  <c r="AD57" i="5"/>
  <c r="H34" i="12" s="1"/>
  <c r="O34" i="12" s="1"/>
  <c r="JA289" i="1"/>
  <c r="LC324" i="1"/>
  <c r="AJ64" i="5"/>
  <c r="H40" i="13" s="1"/>
  <c r="O40" i="13" s="1"/>
  <c r="D4" i="8"/>
  <c r="D69" i="8" s="1"/>
  <c r="D71" i="8" s="1"/>
  <c r="AB57" i="5"/>
  <c r="H32" i="12" s="1"/>
  <c r="O32" i="12" s="1"/>
  <c r="II289" i="1"/>
  <c r="LL289" i="1"/>
  <c r="AK57" i="5"/>
  <c r="H41" i="12" s="1"/>
  <c r="O41" i="12" s="1"/>
  <c r="AQ74" i="5"/>
  <c r="D49" i="15" s="1"/>
  <c r="NN361" i="1"/>
  <c r="NN362" i="1" s="1"/>
  <c r="NN363" i="1" s="1"/>
  <c r="NN364" i="1" s="1"/>
  <c r="NN365" i="1" s="1"/>
  <c r="NN366" i="1" s="1"/>
  <c r="NN367" i="1" s="1"/>
  <c r="NN368" i="1" s="1"/>
  <c r="NN369" i="1" s="1"/>
  <c r="NN370" i="1" s="1"/>
  <c r="NN371" i="1" s="1"/>
  <c r="NN372" i="1" s="1"/>
  <c r="NN373" i="1" s="1"/>
  <c r="NN374" i="1" s="1"/>
  <c r="NN375" i="1" s="1"/>
  <c r="NN376" i="1" s="1"/>
  <c r="NN377" i="1" s="1"/>
  <c r="NN378" i="1" s="1"/>
  <c r="NN379" i="1" s="1"/>
  <c r="NN380" i="1" s="1"/>
  <c r="NN381" i="1" s="1"/>
  <c r="NN382" i="1" s="1"/>
  <c r="NN383" i="1" s="1"/>
  <c r="NN384" i="1" s="1"/>
  <c r="NN385" i="1" s="1"/>
  <c r="NN386" i="1" s="1"/>
  <c r="NN387" i="1" s="1"/>
  <c r="NN388" i="1" s="1"/>
  <c r="NN389" i="1" s="1"/>
  <c r="NN390" i="1" s="1"/>
  <c r="NN391" i="1" s="1"/>
  <c r="KB289" i="1"/>
  <c r="AG57" i="5"/>
  <c r="H37" i="12" s="1"/>
  <c r="O37" i="12" s="1"/>
  <c r="AF57" i="5"/>
  <c r="H36" i="12" s="1"/>
  <c r="O36" i="12" s="1"/>
  <c r="JS289" i="1"/>
  <c r="B43" i="5"/>
  <c r="H4" i="8" s="1"/>
  <c r="H217" i="1"/>
  <c r="AV74" i="5"/>
  <c r="D53" i="15" s="1"/>
  <c r="PG361" i="1"/>
  <c r="PG362" i="1" s="1"/>
  <c r="PG363" i="1" s="1"/>
  <c r="PG364" i="1" s="1"/>
  <c r="PG365" i="1" s="1"/>
  <c r="PG366" i="1" s="1"/>
  <c r="PG367" i="1" s="1"/>
  <c r="PG368" i="1" s="1"/>
  <c r="PG369" i="1" s="1"/>
  <c r="PG370" i="1" s="1"/>
  <c r="PG371" i="1" s="1"/>
  <c r="PG372" i="1" s="1"/>
  <c r="PG373" i="1" s="1"/>
  <c r="PG374" i="1" s="1"/>
  <c r="PG375" i="1" s="1"/>
  <c r="PG376" i="1" s="1"/>
  <c r="PG377" i="1" s="1"/>
  <c r="PG378" i="1" s="1"/>
  <c r="PG379" i="1" s="1"/>
  <c r="PG380" i="1" s="1"/>
  <c r="PG381" i="1" s="1"/>
  <c r="PG382" i="1" s="1"/>
  <c r="PG383" i="1" s="1"/>
  <c r="PG384" i="1" s="1"/>
  <c r="PG385" i="1" s="1"/>
  <c r="PG386" i="1" s="1"/>
  <c r="PG387" i="1" s="1"/>
  <c r="PG388" i="1" s="1"/>
  <c r="PG389" i="1" s="1"/>
  <c r="PG390" i="1" s="1"/>
  <c r="PG391" i="1" s="1"/>
  <c r="AX74" i="5"/>
  <c r="D55" i="15" s="1"/>
  <c r="PY361" i="1"/>
  <c r="PY362" i="1" s="1"/>
  <c r="PY363" i="1" s="1"/>
  <c r="PY364" i="1" s="1"/>
  <c r="PY365" i="1" s="1"/>
  <c r="PY366" i="1" s="1"/>
  <c r="PY367" i="1" s="1"/>
  <c r="PY368" i="1" s="1"/>
  <c r="PY369" i="1" s="1"/>
  <c r="PY370" i="1" s="1"/>
  <c r="PY371" i="1" s="1"/>
  <c r="PY372" i="1" s="1"/>
  <c r="PY373" i="1" s="1"/>
  <c r="PY374" i="1" s="1"/>
  <c r="PY375" i="1" s="1"/>
  <c r="PY376" i="1" s="1"/>
  <c r="PY377" i="1" s="1"/>
  <c r="PY378" i="1" s="1"/>
  <c r="PY379" i="1" s="1"/>
  <c r="PY380" i="1" s="1"/>
  <c r="PY381" i="1" s="1"/>
  <c r="PY382" i="1" s="1"/>
  <c r="PY383" i="1" s="1"/>
  <c r="PY384" i="1" s="1"/>
  <c r="PY385" i="1" s="1"/>
  <c r="PY386" i="1" s="1"/>
  <c r="PY387" i="1" s="1"/>
  <c r="PY388" i="1" s="1"/>
  <c r="PY389" i="1" s="1"/>
  <c r="PY390" i="1" s="1"/>
  <c r="PY391" i="1" s="1"/>
  <c r="AY74" i="5"/>
  <c r="D56" i="15" s="1"/>
  <c r="QH361" i="1"/>
  <c r="QH362" i="1" s="1"/>
  <c r="QH363" i="1" s="1"/>
  <c r="QH364" i="1" s="1"/>
  <c r="QH365" i="1" s="1"/>
  <c r="QH366" i="1" s="1"/>
  <c r="QH367" i="1" s="1"/>
  <c r="QH368" i="1" s="1"/>
  <c r="QH369" i="1" s="1"/>
  <c r="QH370" i="1" s="1"/>
  <c r="QH371" i="1" s="1"/>
  <c r="QH372" i="1" s="1"/>
  <c r="QH373" i="1" s="1"/>
  <c r="QH374" i="1" s="1"/>
  <c r="QH375" i="1" s="1"/>
  <c r="QH376" i="1" s="1"/>
  <c r="QH377" i="1" s="1"/>
  <c r="QH378" i="1" s="1"/>
  <c r="QH379" i="1" s="1"/>
  <c r="QH380" i="1" s="1"/>
  <c r="QH381" i="1" s="1"/>
  <c r="QH382" i="1" s="1"/>
  <c r="QH383" i="1" s="1"/>
  <c r="QH384" i="1" s="1"/>
  <c r="QH385" i="1" s="1"/>
  <c r="QH386" i="1" s="1"/>
  <c r="QH387" i="1" s="1"/>
  <c r="QH388" i="1" s="1"/>
  <c r="QH389" i="1" s="1"/>
  <c r="QH390" i="1" s="1"/>
  <c r="QH391" i="1" s="1"/>
  <c r="AZ74" i="5"/>
  <c r="D57" i="15" s="1"/>
  <c r="QQ361" i="1"/>
  <c r="QQ362" i="1" s="1"/>
  <c r="QQ363" i="1" s="1"/>
  <c r="QQ364" i="1" s="1"/>
  <c r="QQ365" i="1" s="1"/>
  <c r="QQ366" i="1" s="1"/>
  <c r="QQ367" i="1" s="1"/>
  <c r="QQ368" i="1" s="1"/>
  <c r="QQ369" i="1" s="1"/>
  <c r="QQ370" i="1" s="1"/>
  <c r="QQ371" i="1" s="1"/>
  <c r="QQ372" i="1" s="1"/>
  <c r="QQ373" i="1" s="1"/>
  <c r="QQ374" i="1" s="1"/>
  <c r="QQ375" i="1" s="1"/>
  <c r="QQ376" i="1" s="1"/>
  <c r="QQ377" i="1" s="1"/>
  <c r="QQ378" i="1" s="1"/>
  <c r="QQ379" i="1" s="1"/>
  <c r="QQ380" i="1" s="1"/>
  <c r="QQ381" i="1" s="1"/>
  <c r="QQ382" i="1" s="1"/>
  <c r="QQ383" i="1" s="1"/>
  <c r="QQ384" i="1" s="1"/>
  <c r="QQ385" i="1" s="1"/>
  <c r="QQ386" i="1" s="1"/>
  <c r="QQ387" i="1" s="1"/>
  <c r="QQ388" i="1" s="1"/>
  <c r="QQ389" i="1" s="1"/>
  <c r="QQ390" i="1" s="1"/>
  <c r="QQ391" i="1" s="1"/>
  <c r="AW74" i="5"/>
  <c r="D54" i="15" s="1"/>
  <c r="PP361" i="1"/>
  <c r="PP362" i="1" s="1"/>
  <c r="PP363" i="1" s="1"/>
  <c r="PP364" i="1" s="1"/>
  <c r="PP365" i="1" s="1"/>
  <c r="PP366" i="1" s="1"/>
  <c r="PP367" i="1" s="1"/>
  <c r="PP368" i="1" s="1"/>
  <c r="PP369" i="1" s="1"/>
  <c r="PP370" i="1" s="1"/>
  <c r="PP371" i="1" s="1"/>
  <c r="PP372" i="1" s="1"/>
  <c r="PP373" i="1" s="1"/>
  <c r="PP374" i="1" s="1"/>
  <c r="PP375" i="1" s="1"/>
  <c r="PP376" i="1" s="1"/>
  <c r="PP377" i="1" s="1"/>
  <c r="PP378" i="1" s="1"/>
  <c r="PP379" i="1" s="1"/>
  <c r="PP380" i="1" s="1"/>
  <c r="PP381" i="1" s="1"/>
  <c r="PP382" i="1" s="1"/>
  <c r="PP383" i="1" s="1"/>
  <c r="PP384" i="1" s="1"/>
  <c r="PP385" i="1" s="1"/>
  <c r="PP386" i="1" s="1"/>
  <c r="PP387" i="1" s="1"/>
  <c r="PP388" i="1" s="1"/>
  <c r="PP389" i="1" s="1"/>
  <c r="PP390" i="1" s="1"/>
  <c r="PP391" i="1" s="1"/>
  <c r="V60" i="5"/>
  <c r="D26" i="13" s="1"/>
  <c r="GF290" i="1"/>
  <c r="GF291" i="1" s="1"/>
  <c r="GF292" i="1" s="1"/>
  <c r="GF293" i="1" s="1"/>
  <c r="GF294" i="1" s="1"/>
  <c r="GF295" i="1" s="1"/>
  <c r="GF296" i="1" s="1"/>
  <c r="GF297" i="1" s="1"/>
  <c r="GF298" i="1" s="1"/>
  <c r="GF299" i="1" s="1"/>
  <c r="GF300" i="1" s="1"/>
  <c r="GF301" i="1" s="1"/>
  <c r="GF302" i="1" s="1"/>
  <c r="GF303" i="1" s="1"/>
  <c r="GF304" i="1" s="1"/>
  <c r="GF305" i="1" s="1"/>
  <c r="GF306" i="1" s="1"/>
  <c r="GF307" i="1" s="1"/>
  <c r="GF308" i="1" s="1"/>
  <c r="GF309" i="1" s="1"/>
  <c r="GF310" i="1" s="1"/>
  <c r="GF311" i="1" s="1"/>
  <c r="GF312" i="1" s="1"/>
  <c r="GF313" i="1" s="1"/>
  <c r="GF314" i="1" s="1"/>
  <c r="GF315" i="1" s="1"/>
  <c r="GF316" i="1" s="1"/>
  <c r="GF317" i="1" s="1"/>
  <c r="GF318" i="1" s="1"/>
  <c r="GF319" i="1" s="1"/>
  <c r="GF320" i="1" s="1"/>
  <c r="R57" i="5"/>
  <c r="H20" i="12" s="1"/>
  <c r="O20" i="12" s="1"/>
  <c r="EV289" i="1"/>
  <c r="Z57" i="5"/>
  <c r="H30" i="12" s="1"/>
  <c r="O30" i="12" s="1"/>
  <c r="HP289" i="1"/>
  <c r="AE57" i="5"/>
  <c r="H35" i="12" s="1"/>
  <c r="O35" i="12" s="1"/>
  <c r="JJ289" i="1"/>
  <c r="AH57" i="5"/>
  <c r="H38" i="12" s="1"/>
  <c r="O38" i="12" s="1"/>
  <c r="KK289" i="1"/>
  <c r="O57" i="5"/>
  <c r="H17" i="12" s="1"/>
  <c r="O17" i="12" s="1"/>
  <c r="DU289" i="1"/>
  <c r="N57" i="5"/>
  <c r="H16" i="12" s="1"/>
  <c r="O16" i="12" s="1"/>
  <c r="W60" i="5"/>
  <c r="D27" i="13" s="1"/>
  <c r="GO290" i="1"/>
  <c r="GO291" i="1" s="1"/>
  <c r="GO292" i="1" s="1"/>
  <c r="GO293" i="1" s="1"/>
  <c r="GO294" i="1" s="1"/>
  <c r="GO295" i="1" s="1"/>
  <c r="GO296" i="1" s="1"/>
  <c r="GO297" i="1" s="1"/>
  <c r="GO298" i="1" s="1"/>
  <c r="GO299" i="1" s="1"/>
  <c r="GO300" i="1" s="1"/>
  <c r="GO301" i="1" s="1"/>
  <c r="GO302" i="1" s="1"/>
  <c r="GO303" i="1" s="1"/>
  <c r="GO304" i="1" s="1"/>
  <c r="GO305" i="1" s="1"/>
  <c r="GO306" i="1" s="1"/>
  <c r="GO307" i="1" s="1"/>
  <c r="GO308" i="1" s="1"/>
  <c r="GO309" i="1" s="1"/>
  <c r="GO310" i="1" s="1"/>
  <c r="GO311" i="1" s="1"/>
  <c r="GO312" i="1" s="1"/>
  <c r="GO313" i="1" s="1"/>
  <c r="GO314" i="1" s="1"/>
  <c r="GO315" i="1" s="1"/>
  <c r="GO316" i="1" s="1"/>
  <c r="GO317" i="1" s="1"/>
  <c r="GO318" i="1" s="1"/>
  <c r="GO319" i="1" s="1"/>
  <c r="GO320" i="1" s="1"/>
  <c r="EM290" i="1"/>
  <c r="EM291" i="1" s="1"/>
  <c r="EM292" i="1" s="1"/>
  <c r="EM293" i="1" s="1"/>
  <c r="EM294" i="1" s="1"/>
  <c r="EM295" i="1" s="1"/>
  <c r="EM296" i="1" s="1"/>
  <c r="EM297" i="1" s="1"/>
  <c r="EM298" i="1" s="1"/>
  <c r="EM299" i="1" s="1"/>
  <c r="EM300" i="1" s="1"/>
  <c r="EM301" i="1" s="1"/>
  <c r="EM302" i="1" s="1"/>
  <c r="EM303" i="1" s="1"/>
  <c r="EM304" i="1" s="1"/>
  <c r="EM305" i="1" s="1"/>
  <c r="EM306" i="1" s="1"/>
  <c r="EM307" i="1" s="1"/>
  <c r="EM308" i="1" s="1"/>
  <c r="EM309" i="1" s="1"/>
  <c r="EM310" i="1" s="1"/>
  <c r="EM311" i="1" s="1"/>
  <c r="EM312" i="1" s="1"/>
  <c r="EM313" i="1" s="1"/>
  <c r="EM314" i="1" s="1"/>
  <c r="EM315" i="1" s="1"/>
  <c r="EM316" i="1" s="1"/>
  <c r="EM317" i="1" s="1"/>
  <c r="EM318" i="1" s="1"/>
  <c r="EM319" i="1" s="1"/>
  <c r="EM320" i="1" s="1"/>
  <c r="Q60" i="5"/>
  <c r="D19" i="13" s="1"/>
  <c r="AA57" i="5"/>
  <c r="H31" i="12" s="1"/>
  <c r="O31" i="12" s="1"/>
  <c r="HZ289" i="1"/>
  <c r="S57" i="5"/>
  <c r="H21" i="12" s="1"/>
  <c r="O21" i="12" s="1"/>
  <c r="FE289" i="1"/>
  <c r="P57" i="5"/>
  <c r="H18" i="12" s="1"/>
  <c r="O18" i="12" s="1"/>
  <c r="ED289" i="1"/>
  <c r="L57" i="5"/>
  <c r="H14" i="12" s="1"/>
  <c r="O14" i="12" s="1"/>
  <c r="CT289" i="1"/>
  <c r="Y57" i="5"/>
  <c r="H29" i="12" s="1"/>
  <c r="O29" i="12" s="1"/>
  <c r="HG289" i="1"/>
  <c r="U57" i="5"/>
  <c r="H25" i="12" s="1"/>
  <c r="O25" i="12" s="1"/>
  <c r="FW289" i="1"/>
  <c r="AI57" i="5"/>
  <c r="H39" i="12" s="1"/>
  <c r="O39" i="12" s="1"/>
  <c r="KT289" i="1"/>
  <c r="X57" i="5"/>
  <c r="H28" i="12" s="1"/>
  <c r="O28" i="12" s="1"/>
  <c r="GX289" i="1"/>
  <c r="D60" i="5"/>
  <c r="D6" i="13" s="1"/>
  <c r="IR289" i="1" l="1"/>
  <c r="IS285" i="1"/>
  <c r="AC57" i="5"/>
  <c r="H33" i="12" s="1"/>
  <c r="O33" i="12" s="1"/>
  <c r="O4" i="8"/>
  <c r="M60" i="5"/>
  <c r="D15" i="13" s="1"/>
  <c r="DC290" i="1"/>
  <c r="DC291" i="1" s="1"/>
  <c r="DC292" i="1" s="1"/>
  <c r="DC293" i="1" s="1"/>
  <c r="DC294" i="1" s="1"/>
  <c r="DC295" i="1" s="1"/>
  <c r="DC296" i="1" s="1"/>
  <c r="DC297" i="1" s="1"/>
  <c r="DC298" i="1" s="1"/>
  <c r="DC299" i="1" s="1"/>
  <c r="DC300" i="1" s="1"/>
  <c r="DC301" i="1" s="1"/>
  <c r="DC302" i="1" s="1"/>
  <c r="DC303" i="1" s="1"/>
  <c r="DC304" i="1" s="1"/>
  <c r="DC305" i="1" s="1"/>
  <c r="DC306" i="1" s="1"/>
  <c r="DC307" i="1" s="1"/>
  <c r="DC308" i="1" s="1"/>
  <c r="DC309" i="1" s="1"/>
  <c r="DC310" i="1" s="1"/>
  <c r="DC311" i="1" s="1"/>
  <c r="DC312" i="1" s="1"/>
  <c r="DC313" i="1" s="1"/>
  <c r="DC314" i="1" s="1"/>
  <c r="DC315" i="1" s="1"/>
  <c r="DC316" i="1" s="1"/>
  <c r="DC317" i="1" s="1"/>
  <c r="DC318" i="1" s="1"/>
  <c r="DC319" i="1" s="1"/>
  <c r="DC320" i="1" s="1"/>
  <c r="AJ67" i="5"/>
  <c r="D40" i="14" s="1"/>
  <c r="LC325" i="1"/>
  <c r="LC326" i="1" s="1"/>
  <c r="LC327" i="1" s="1"/>
  <c r="LC328" i="1" s="1"/>
  <c r="LC329" i="1" s="1"/>
  <c r="LC330" i="1" s="1"/>
  <c r="LC331" i="1" s="1"/>
  <c r="LC332" i="1" s="1"/>
  <c r="LC333" i="1" s="1"/>
  <c r="LC334" i="1" s="1"/>
  <c r="LC335" i="1" s="1"/>
  <c r="LC336" i="1" s="1"/>
  <c r="LC337" i="1" s="1"/>
  <c r="LC338" i="1" s="1"/>
  <c r="LC339" i="1" s="1"/>
  <c r="LC340" i="1" s="1"/>
  <c r="LC341" i="1" s="1"/>
  <c r="LC342" i="1" s="1"/>
  <c r="LC343" i="1" s="1"/>
  <c r="LC344" i="1" s="1"/>
  <c r="LC345" i="1" s="1"/>
  <c r="LC346" i="1" s="1"/>
  <c r="LC347" i="1" s="1"/>
  <c r="LC348" i="1" s="1"/>
  <c r="LC349" i="1" s="1"/>
  <c r="LC350" i="1" s="1"/>
  <c r="LC351" i="1" s="1"/>
  <c r="LC352" i="1" s="1"/>
  <c r="LC353" i="1" s="1"/>
  <c r="LC354" i="1" s="1"/>
  <c r="LC355" i="1" s="1"/>
  <c r="LC356" i="1" s="1"/>
  <c r="AD60" i="5"/>
  <c r="D34" i="13" s="1"/>
  <c r="JA290" i="1"/>
  <c r="JA291" i="1" s="1"/>
  <c r="JA292" i="1" s="1"/>
  <c r="JA293" i="1" s="1"/>
  <c r="JA294" i="1" s="1"/>
  <c r="JA295" i="1" s="1"/>
  <c r="JA296" i="1" s="1"/>
  <c r="JA297" i="1" s="1"/>
  <c r="JA298" i="1" s="1"/>
  <c r="JA299" i="1" s="1"/>
  <c r="JA300" i="1" s="1"/>
  <c r="JA301" i="1" s="1"/>
  <c r="JA302" i="1" s="1"/>
  <c r="JA303" i="1" s="1"/>
  <c r="JA304" i="1" s="1"/>
  <c r="JA305" i="1" s="1"/>
  <c r="JA306" i="1" s="1"/>
  <c r="JA307" i="1" s="1"/>
  <c r="JA308" i="1" s="1"/>
  <c r="JA309" i="1" s="1"/>
  <c r="JA310" i="1" s="1"/>
  <c r="JA311" i="1" s="1"/>
  <c r="JA312" i="1" s="1"/>
  <c r="JA313" i="1" s="1"/>
  <c r="JA314" i="1" s="1"/>
  <c r="JA315" i="1" s="1"/>
  <c r="JA316" i="1" s="1"/>
  <c r="JA317" i="1" s="1"/>
  <c r="JA318" i="1" s="1"/>
  <c r="JA319" i="1" s="1"/>
  <c r="JA320" i="1" s="1"/>
  <c r="KB290" i="1"/>
  <c r="KB291" i="1" s="1"/>
  <c r="KB292" i="1" s="1"/>
  <c r="KB293" i="1" s="1"/>
  <c r="KB294" i="1" s="1"/>
  <c r="KB295" i="1" s="1"/>
  <c r="KB296" i="1" s="1"/>
  <c r="KB297" i="1" s="1"/>
  <c r="KB298" i="1" s="1"/>
  <c r="KB299" i="1" s="1"/>
  <c r="KB300" i="1" s="1"/>
  <c r="KB301" i="1" s="1"/>
  <c r="KB302" i="1" s="1"/>
  <c r="KB303" i="1" s="1"/>
  <c r="KB304" i="1" s="1"/>
  <c r="KB305" i="1" s="1"/>
  <c r="KB306" i="1" s="1"/>
  <c r="KB307" i="1" s="1"/>
  <c r="KB308" i="1" s="1"/>
  <c r="KB309" i="1" s="1"/>
  <c r="KB310" i="1" s="1"/>
  <c r="KB311" i="1" s="1"/>
  <c r="KB312" i="1" s="1"/>
  <c r="KB313" i="1" s="1"/>
  <c r="KB314" i="1" s="1"/>
  <c r="KB315" i="1" s="1"/>
  <c r="KB316" i="1" s="1"/>
  <c r="KB317" i="1" s="1"/>
  <c r="KB318" i="1" s="1"/>
  <c r="KB319" i="1" s="1"/>
  <c r="KB320" i="1" s="1"/>
  <c r="AG60" i="5"/>
  <c r="D37" i="13" s="1"/>
  <c r="AQ78" i="5"/>
  <c r="H49" i="15" s="1"/>
  <c r="O49" i="15" s="1"/>
  <c r="NN395" i="1"/>
  <c r="AK60" i="5"/>
  <c r="D41" i="13" s="1"/>
  <c r="LL290" i="1"/>
  <c r="LL291" i="1" s="1"/>
  <c r="LL292" i="1" s="1"/>
  <c r="LL293" i="1" s="1"/>
  <c r="LL294" i="1" s="1"/>
  <c r="LL295" i="1" s="1"/>
  <c r="LL296" i="1" s="1"/>
  <c r="LL297" i="1" s="1"/>
  <c r="LL298" i="1" s="1"/>
  <c r="LL299" i="1" s="1"/>
  <c r="LL300" i="1" s="1"/>
  <c r="LL301" i="1" s="1"/>
  <c r="LL302" i="1" s="1"/>
  <c r="LL303" i="1" s="1"/>
  <c r="LL304" i="1" s="1"/>
  <c r="LL305" i="1" s="1"/>
  <c r="LL306" i="1" s="1"/>
  <c r="LL307" i="1" s="1"/>
  <c r="LL308" i="1" s="1"/>
  <c r="LL309" i="1" s="1"/>
  <c r="LL310" i="1" s="1"/>
  <c r="LL311" i="1" s="1"/>
  <c r="LL312" i="1" s="1"/>
  <c r="LL313" i="1" s="1"/>
  <c r="LL314" i="1" s="1"/>
  <c r="LL315" i="1" s="1"/>
  <c r="LL316" i="1" s="1"/>
  <c r="LL317" i="1" s="1"/>
  <c r="LL318" i="1" s="1"/>
  <c r="LL319" i="1" s="1"/>
  <c r="LL320" i="1" s="1"/>
  <c r="AB60" i="5"/>
  <c r="D32" i="13" s="1"/>
  <c r="II290" i="1"/>
  <c r="II291" i="1" s="1"/>
  <c r="II292" i="1" s="1"/>
  <c r="II293" i="1" s="1"/>
  <c r="II294" i="1" s="1"/>
  <c r="II295" i="1" s="1"/>
  <c r="II296" i="1" s="1"/>
  <c r="II297" i="1" s="1"/>
  <c r="II298" i="1" s="1"/>
  <c r="II299" i="1" s="1"/>
  <c r="II300" i="1" s="1"/>
  <c r="II301" i="1" s="1"/>
  <c r="II302" i="1" s="1"/>
  <c r="II303" i="1" s="1"/>
  <c r="II304" i="1" s="1"/>
  <c r="II305" i="1" s="1"/>
  <c r="II306" i="1" s="1"/>
  <c r="II307" i="1" s="1"/>
  <c r="II308" i="1" s="1"/>
  <c r="II309" i="1" s="1"/>
  <c r="II310" i="1" s="1"/>
  <c r="II311" i="1" s="1"/>
  <c r="II312" i="1" s="1"/>
  <c r="II313" i="1" s="1"/>
  <c r="II314" i="1" s="1"/>
  <c r="II315" i="1" s="1"/>
  <c r="II316" i="1" s="1"/>
  <c r="II317" i="1" s="1"/>
  <c r="II318" i="1" s="1"/>
  <c r="II319" i="1" s="1"/>
  <c r="II320" i="1" s="1"/>
  <c r="AF60" i="5"/>
  <c r="D36" i="13" s="1"/>
  <c r="JS290" i="1"/>
  <c r="JS291" i="1" s="1"/>
  <c r="JS292" i="1" s="1"/>
  <c r="JS293" i="1" s="1"/>
  <c r="JS294" i="1" s="1"/>
  <c r="JS295" i="1" s="1"/>
  <c r="JS296" i="1" s="1"/>
  <c r="JS297" i="1" s="1"/>
  <c r="JS298" i="1" s="1"/>
  <c r="JS299" i="1" s="1"/>
  <c r="JS300" i="1" s="1"/>
  <c r="JS301" i="1" s="1"/>
  <c r="JS302" i="1" s="1"/>
  <c r="JS303" i="1" s="1"/>
  <c r="JS304" i="1" s="1"/>
  <c r="JS305" i="1" s="1"/>
  <c r="JS306" i="1" s="1"/>
  <c r="JS307" i="1" s="1"/>
  <c r="JS308" i="1" s="1"/>
  <c r="JS309" i="1" s="1"/>
  <c r="JS310" i="1" s="1"/>
  <c r="JS311" i="1" s="1"/>
  <c r="JS312" i="1" s="1"/>
  <c r="JS313" i="1" s="1"/>
  <c r="JS314" i="1" s="1"/>
  <c r="JS315" i="1" s="1"/>
  <c r="JS316" i="1" s="1"/>
  <c r="JS317" i="1" s="1"/>
  <c r="JS318" i="1" s="1"/>
  <c r="JS319" i="1" s="1"/>
  <c r="JS320" i="1" s="1"/>
  <c r="H218" i="1"/>
  <c r="H219" i="1" s="1"/>
  <c r="H220" i="1" s="1"/>
  <c r="H221" i="1" s="1"/>
  <c r="H222" i="1" s="1"/>
  <c r="H223" i="1" s="1"/>
  <c r="H224" i="1" s="1"/>
  <c r="H225" i="1" s="1"/>
  <c r="H226" i="1" s="1"/>
  <c r="H227" i="1" s="1"/>
  <c r="H228" i="1" s="1"/>
  <c r="H229" i="1" s="1"/>
  <c r="H230" i="1" s="1"/>
  <c r="H231" i="1" s="1"/>
  <c r="H232" i="1" s="1"/>
  <c r="H233" i="1" s="1"/>
  <c r="H234" i="1" s="1"/>
  <c r="H235" i="1" s="1"/>
  <c r="H236" i="1" s="1"/>
  <c r="H237" i="1" s="1"/>
  <c r="H238" i="1" s="1"/>
  <c r="H239" i="1" s="1"/>
  <c r="H240" i="1" s="1"/>
  <c r="H241" i="1" s="1"/>
  <c r="H242" i="1" s="1"/>
  <c r="H243" i="1" s="1"/>
  <c r="H244" i="1" s="1"/>
  <c r="H245" i="1" s="1"/>
  <c r="H246" i="1" s="1"/>
  <c r="H247" i="1" s="1"/>
  <c r="H248" i="1" s="1"/>
  <c r="H249" i="1" s="1"/>
  <c r="B46" i="5"/>
  <c r="AZ78" i="5"/>
  <c r="H57" i="15" s="1"/>
  <c r="O57" i="15" s="1"/>
  <c r="QQ395" i="1"/>
  <c r="AX78" i="5"/>
  <c r="H55" i="15" s="1"/>
  <c r="O55" i="15" s="1"/>
  <c r="PY395" i="1"/>
  <c r="AY78" i="5"/>
  <c r="H56" i="15" s="1"/>
  <c r="O56" i="15" s="1"/>
  <c r="QH395" i="1"/>
  <c r="AW78" i="5"/>
  <c r="H54" i="15" s="1"/>
  <c r="O54" i="15" s="1"/>
  <c r="PP395" i="1"/>
  <c r="AV78" i="5"/>
  <c r="H53" i="15" s="1"/>
  <c r="O53" i="15" s="1"/>
  <c r="PG395" i="1"/>
  <c r="S60" i="5"/>
  <c r="D21" i="13" s="1"/>
  <c r="FE290" i="1"/>
  <c r="FE291" i="1" s="1"/>
  <c r="FE292" i="1" s="1"/>
  <c r="FE293" i="1" s="1"/>
  <c r="FE294" i="1" s="1"/>
  <c r="FE295" i="1" s="1"/>
  <c r="FE296" i="1" s="1"/>
  <c r="FE297" i="1" s="1"/>
  <c r="FE298" i="1" s="1"/>
  <c r="FE299" i="1" s="1"/>
  <c r="FE300" i="1" s="1"/>
  <c r="FE301" i="1" s="1"/>
  <c r="FE302" i="1" s="1"/>
  <c r="FE303" i="1" s="1"/>
  <c r="FE304" i="1" s="1"/>
  <c r="FE305" i="1" s="1"/>
  <c r="FE306" i="1" s="1"/>
  <c r="FE307" i="1" s="1"/>
  <c r="FE308" i="1" s="1"/>
  <c r="FE309" i="1" s="1"/>
  <c r="FE310" i="1" s="1"/>
  <c r="FE311" i="1" s="1"/>
  <c r="FE312" i="1" s="1"/>
  <c r="FE313" i="1" s="1"/>
  <c r="FE314" i="1" s="1"/>
  <c r="FE315" i="1" s="1"/>
  <c r="FE316" i="1" s="1"/>
  <c r="FE317" i="1" s="1"/>
  <c r="FE318" i="1" s="1"/>
  <c r="FE319" i="1" s="1"/>
  <c r="FE320" i="1" s="1"/>
  <c r="DL290" i="1"/>
  <c r="DL291" i="1" s="1"/>
  <c r="DL292" i="1" s="1"/>
  <c r="DL293" i="1" s="1"/>
  <c r="DL294" i="1" s="1"/>
  <c r="DL295" i="1" s="1"/>
  <c r="DL296" i="1" s="1"/>
  <c r="DL297" i="1" s="1"/>
  <c r="DL298" i="1" s="1"/>
  <c r="DL299" i="1" s="1"/>
  <c r="DL300" i="1" s="1"/>
  <c r="DL301" i="1" s="1"/>
  <c r="DL302" i="1" s="1"/>
  <c r="DL303" i="1" s="1"/>
  <c r="DL304" i="1" s="1"/>
  <c r="DL305" i="1" s="1"/>
  <c r="DL306" i="1" s="1"/>
  <c r="DL307" i="1" s="1"/>
  <c r="DL308" i="1" s="1"/>
  <c r="DL309" i="1" s="1"/>
  <c r="DL310" i="1" s="1"/>
  <c r="DL311" i="1" s="1"/>
  <c r="DL312" i="1" s="1"/>
  <c r="DL313" i="1" s="1"/>
  <c r="DL314" i="1" s="1"/>
  <c r="DL315" i="1" s="1"/>
  <c r="DL316" i="1" s="1"/>
  <c r="DL317" i="1" s="1"/>
  <c r="DL318" i="1" s="1"/>
  <c r="DL319" i="1" s="1"/>
  <c r="DL320" i="1" s="1"/>
  <c r="DL324" i="1" s="1"/>
  <c r="N60" i="5"/>
  <c r="D16" i="13" s="1"/>
  <c r="KK290" i="1"/>
  <c r="KK291" i="1" s="1"/>
  <c r="KK292" i="1" s="1"/>
  <c r="KK293" i="1" s="1"/>
  <c r="KK294" i="1" s="1"/>
  <c r="KK295" i="1" s="1"/>
  <c r="KK296" i="1" s="1"/>
  <c r="KK297" i="1" s="1"/>
  <c r="KK298" i="1" s="1"/>
  <c r="KK299" i="1" s="1"/>
  <c r="KK300" i="1" s="1"/>
  <c r="KK301" i="1" s="1"/>
  <c r="KK302" i="1" s="1"/>
  <c r="KK303" i="1" s="1"/>
  <c r="KK304" i="1" s="1"/>
  <c r="KK305" i="1" s="1"/>
  <c r="KK306" i="1" s="1"/>
  <c r="KK307" i="1" s="1"/>
  <c r="KK308" i="1" s="1"/>
  <c r="KK309" i="1" s="1"/>
  <c r="KK310" i="1" s="1"/>
  <c r="KK311" i="1" s="1"/>
  <c r="KK312" i="1" s="1"/>
  <c r="KK313" i="1" s="1"/>
  <c r="KK314" i="1" s="1"/>
  <c r="KK315" i="1" s="1"/>
  <c r="KK316" i="1" s="1"/>
  <c r="KK317" i="1" s="1"/>
  <c r="KK318" i="1" s="1"/>
  <c r="KK319" i="1" s="1"/>
  <c r="KK320" i="1" s="1"/>
  <c r="AH60" i="5"/>
  <c r="D38" i="13" s="1"/>
  <c r="Z60" i="5"/>
  <c r="D30" i="13" s="1"/>
  <c r="HP290" i="1"/>
  <c r="HP291" i="1" s="1"/>
  <c r="HP292" i="1" s="1"/>
  <c r="HP293" i="1" s="1"/>
  <c r="HP294" i="1" s="1"/>
  <c r="HP295" i="1" s="1"/>
  <c r="HP296" i="1" s="1"/>
  <c r="HP297" i="1" s="1"/>
  <c r="HP298" i="1" s="1"/>
  <c r="HP299" i="1" s="1"/>
  <c r="HP300" i="1" s="1"/>
  <c r="HP301" i="1" s="1"/>
  <c r="HP302" i="1" s="1"/>
  <c r="HP303" i="1" s="1"/>
  <c r="HP304" i="1" s="1"/>
  <c r="HP305" i="1" s="1"/>
  <c r="HP306" i="1" s="1"/>
  <c r="HP307" i="1" s="1"/>
  <c r="HP308" i="1" s="1"/>
  <c r="HP309" i="1" s="1"/>
  <c r="HP310" i="1" s="1"/>
  <c r="HP311" i="1" s="1"/>
  <c r="HP312" i="1" s="1"/>
  <c r="HP313" i="1" s="1"/>
  <c r="HP314" i="1" s="1"/>
  <c r="HP315" i="1" s="1"/>
  <c r="HP316" i="1" s="1"/>
  <c r="HP317" i="1" s="1"/>
  <c r="HP318" i="1" s="1"/>
  <c r="HP319" i="1" s="1"/>
  <c r="HP320" i="1" s="1"/>
  <c r="V64" i="5"/>
  <c r="H26" i="13" s="1"/>
  <c r="O26" i="13" s="1"/>
  <c r="GF324" i="1"/>
  <c r="ED290" i="1"/>
  <c r="ED291" i="1" s="1"/>
  <c r="ED292" i="1" s="1"/>
  <c r="ED293" i="1" s="1"/>
  <c r="ED294" i="1" s="1"/>
  <c r="ED295" i="1" s="1"/>
  <c r="ED296" i="1" s="1"/>
  <c r="ED297" i="1" s="1"/>
  <c r="ED298" i="1" s="1"/>
  <c r="ED299" i="1" s="1"/>
  <c r="ED300" i="1" s="1"/>
  <c r="ED301" i="1" s="1"/>
  <c r="ED302" i="1" s="1"/>
  <c r="ED303" i="1" s="1"/>
  <c r="ED304" i="1" s="1"/>
  <c r="ED305" i="1" s="1"/>
  <c r="ED306" i="1" s="1"/>
  <c r="ED307" i="1" s="1"/>
  <c r="ED308" i="1" s="1"/>
  <c r="ED309" i="1" s="1"/>
  <c r="ED310" i="1" s="1"/>
  <c r="ED311" i="1" s="1"/>
  <c r="ED312" i="1" s="1"/>
  <c r="ED313" i="1" s="1"/>
  <c r="ED314" i="1" s="1"/>
  <c r="ED315" i="1" s="1"/>
  <c r="ED316" i="1" s="1"/>
  <c r="ED317" i="1" s="1"/>
  <c r="ED318" i="1" s="1"/>
  <c r="ED319" i="1" s="1"/>
  <c r="ED320" i="1" s="1"/>
  <c r="P60" i="5"/>
  <c r="D18" i="13" s="1"/>
  <c r="Q64" i="5"/>
  <c r="H19" i="13" s="1"/>
  <c r="O19" i="13" s="1"/>
  <c r="EM324" i="1"/>
  <c r="HZ290" i="1"/>
  <c r="HZ291" i="1" s="1"/>
  <c r="HZ292" i="1" s="1"/>
  <c r="HZ293" i="1" s="1"/>
  <c r="HZ294" i="1" s="1"/>
  <c r="HZ295" i="1" s="1"/>
  <c r="HZ296" i="1" s="1"/>
  <c r="HZ297" i="1" s="1"/>
  <c r="HZ298" i="1" s="1"/>
  <c r="HZ299" i="1" s="1"/>
  <c r="HZ300" i="1" s="1"/>
  <c r="HZ301" i="1" s="1"/>
  <c r="HZ302" i="1" s="1"/>
  <c r="HZ303" i="1" s="1"/>
  <c r="HZ304" i="1" s="1"/>
  <c r="HZ305" i="1" s="1"/>
  <c r="HZ306" i="1" s="1"/>
  <c r="HZ307" i="1" s="1"/>
  <c r="HZ308" i="1" s="1"/>
  <c r="HZ309" i="1" s="1"/>
  <c r="HZ310" i="1" s="1"/>
  <c r="HZ311" i="1" s="1"/>
  <c r="HZ312" i="1" s="1"/>
  <c r="HZ313" i="1" s="1"/>
  <c r="HZ314" i="1" s="1"/>
  <c r="HZ315" i="1" s="1"/>
  <c r="HZ316" i="1" s="1"/>
  <c r="HZ317" i="1" s="1"/>
  <c r="HZ318" i="1" s="1"/>
  <c r="HZ319" i="1" s="1"/>
  <c r="HZ320" i="1" s="1"/>
  <c r="AA60" i="5"/>
  <c r="D31" i="13" s="1"/>
  <c r="GO324" i="1"/>
  <c r="W64" i="5"/>
  <c r="H27" i="13" s="1"/>
  <c r="O27" i="13" s="1"/>
  <c r="O60" i="5"/>
  <c r="D17" i="13" s="1"/>
  <c r="DU290" i="1"/>
  <c r="DU291" i="1" s="1"/>
  <c r="DU292" i="1" s="1"/>
  <c r="DU293" i="1" s="1"/>
  <c r="DU294" i="1" s="1"/>
  <c r="DU295" i="1" s="1"/>
  <c r="DU296" i="1" s="1"/>
  <c r="DU297" i="1" s="1"/>
  <c r="DU298" i="1" s="1"/>
  <c r="DU299" i="1" s="1"/>
  <c r="DU300" i="1" s="1"/>
  <c r="DU301" i="1" s="1"/>
  <c r="DU302" i="1" s="1"/>
  <c r="DU303" i="1" s="1"/>
  <c r="DU304" i="1" s="1"/>
  <c r="DU305" i="1" s="1"/>
  <c r="DU306" i="1" s="1"/>
  <c r="DU307" i="1" s="1"/>
  <c r="DU308" i="1" s="1"/>
  <c r="DU309" i="1" s="1"/>
  <c r="DU310" i="1" s="1"/>
  <c r="DU311" i="1" s="1"/>
  <c r="DU312" i="1" s="1"/>
  <c r="DU313" i="1" s="1"/>
  <c r="DU314" i="1" s="1"/>
  <c r="DU315" i="1" s="1"/>
  <c r="DU316" i="1" s="1"/>
  <c r="DU317" i="1" s="1"/>
  <c r="DU318" i="1" s="1"/>
  <c r="DU319" i="1" s="1"/>
  <c r="DU320" i="1" s="1"/>
  <c r="JJ290" i="1"/>
  <c r="JJ291" i="1" s="1"/>
  <c r="JJ292" i="1" s="1"/>
  <c r="JJ293" i="1" s="1"/>
  <c r="JJ294" i="1" s="1"/>
  <c r="JJ295" i="1" s="1"/>
  <c r="JJ296" i="1" s="1"/>
  <c r="JJ297" i="1" s="1"/>
  <c r="JJ298" i="1" s="1"/>
  <c r="JJ299" i="1" s="1"/>
  <c r="JJ300" i="1" s="1"/>
  <c r="JJ301" i="1" s="1"/>
  <c r="JJ302" i="1" s="1"/>
  <c r="JJ303" i="1" s="1"/>
  <c r="JJ304" i="1" s="1"/>
  <c r="JJ305" i="1" s="1"/>
  <c r="JJ306" i="1" s="1"/>
  <c r="JJ307" i="1" s="1"/>
  <c r="JJ308" i="1" s="1"/>
  <c r="JJ309" i="1" s="1"/>
  <c r="JJ310" i="1" s="1"/>
  <c r="JJ311" i="1" s="1"/>
  <c r="JJ312" i="1" s="1"/>
  <c r="JJ313" i="1" s="1"/>
  <c r="JJ314" i="1" s="1"/>
  <c r="JJ315" i="1" s="1"/>
  <c r="JJ316" i="1" s="1"/>
  <c r="JJ317" i="1" s="1"/>
  <c r="JJ318" i="1" s="1"/>
  <c r="JJ319" i="1" s="1"/>
  <c r="JJ320" i="1" s="1"/>
  <c r="AE60" i="5"/>
  <c r="D35" i="13" s="1"/>
  <c r="R60" i="5"/>
  <c r="D20" i="13" s="1"/>
  <c r="EV290" i="1"/>
  <c r="EV291" i="1" s="1"/>
  <c r="EV292" i="1" s="1"/>
  <c r="EV293" i="1" s="1"/>
  <c r="EV294" i="1" s="1"/>
  <c r="EV295" i="1" s="1"/>
  <c r="EV296" i="1" s="1"/>
  <c r="EV297" i="1" s="1"/>
  <c r="EV298" i="1" s="1"/>
  <c r="EV299" i="1" s="1"/>
  <c r="EV300" i="1" s="1"/>
  <c r="EV301" i="1" s="1"/>
  <c r="EV302" i="1" s="1"/>
  <c r="EV303" i="1" s="1"/>
  <c r="EV304" i="1" s="1"/>
  <c r="EV305" i="1" s="1"/>
  <c r="EV306" i="1" s="1"/>
  <c r="EV307" i="1" s="1"/>
  <c r="EV308" i="1" s="1"/>
  <c r="EV309" i="1" s="1"/>
  <c r="EV310" i="1" s="1"/>
  <c r="EV311" i="1" s="1"/>
  <c r="EV312" i="1" s="1"/>
  <c r="EV313" i="1" s="1"/>
  <c r="EV314" i="1" s="1"/>
  <c r="EV315" i="1" s="1"/>
  <c r="EV316" i="1" s="1"/>
  <c r="EV317" i="1" s="1"/>
  <c r="EV318" i="1" s="1"/>
  <c r="EV319" i="1" s="1"/>
  <c r="EV320" i="1" s="1"/>
  <c r="L60" i="5"/>
  <c r="D14" i="13" s="1"/>
  <c r="CT290" i="1"/>
  <c r="CT291" i="1" s="1"/>
  <c r="CT292" i="1" s="1"/>
  <c r="CT293" i="1" s="1"/>
  <c r="CT294" i="1" s="1"/>
  <c r="CT295" i="1" s="1"/>
  <c r="CT296" i="1" s="1"/>
  <c r="CT297" i="1" s="1"/>
  <c r="CT298" i="1" s="1"/>
  <c r="CT299" i="1" s="1"/>
  <c r="CT300" i="1" s="1"/>
  <c r="CT301" i="1" s="1"/>
  <c r="CT302" i="1" s="1"/>
  <c r="CT303" i="1" s="1"/>
  <c r="CT304" i="1" s="1"/>
  <c r="CT305" i="1" s="1"/>
  <c r="CT306" i="1" s="1"/>
  <c r="CT307" i="1" s="1"/>
  <c r="CT308" i="1" s="1"/>
  <c r="CT309" i="1" s="1"/>
  <c r="CT310" i="1" s="1"/>
  <c r="CT311" i="1" s="1"/>
  <c r="CT312" i="1" s="1"/>
  <c r="CT313" i="1" s="1"/>
  <c r="CT314" i="1" s="1"/>
  <c r="CT315" i="1" s="1"/>
  <c r="CT316" i="1" s="1"/>
  <c r="CT317" i="1" s="1"/>
  <c r="CT318" i="1" s="1"/>
  <c r="CT319" i="1" s="1"/>
  <c r="CT320" i="1" s="1"/>
  <c r="Y60" i="5"/>
  <c r="D29" i="13" s="1"/>
  <c r="HG290" i="1"/>
  <c r="HG291" i="1" s="1"/>
  <c r="HG292" i="1" s="1"/>
  <c r="HG293" i="1" s="1"/>
  <c r="HG294" i="1" s="1"/>
  <c r="HG295" i="1" s="1"/>
  <c r="HG296" i="1" s="1"/>
  <c r="HG297" i="1" s="1"/>
  <c r="HG298" i="1" s="1"/>
  <c r="HG299" i="1" s="1"/>
  <c r="HG300" i="1" s="1"/>
  <c r="HG301" i="1" s="1"/>
  <c r="HG302" i="1" s="1"/>
  <c r="HG303" i="1" s="1"/>
  <c r="HG304" i="1" s="1"/>
  <c r="HG305" i="1" s="1"/>
  <c r="HG306" i="1" s="1"/>
  <c r="HG307" i="1" s="1"/>
  <c r="HG308" i="1" s="1"/>
  <c r="HG309" i="1" s="1"/>
  <c r="HG310" i="1" s="1"/>
  <c r="HG311" i="1" s="1"/>
  <c r="HG312" i="1" s="1"/>
  <c r="HG313" i="1" s="1"/>
  <c r="HG314" i="1" s="1"/>
  <c r="HG315" i="1" s="1"/>
  <c r="HG316" i="1" s="1"/>
  <c r="HG317" i="1" s="1"/>
  <c r="HG318" i="1" s="1"/>
  <c r="HG319" i="1" s="1"/>
  <c r="HG320" i="1" s="1"/>
  <c r="U60" i="5"/>
  <c r="D25" i="13" s="1"/>
  <c r="FW290" i="1"/>
  <c r="FW291" i="1" s="1"/>
  <c r="FW292" i="1" s="1"/>
  <c r="FW293" i="1" s="1"/>
  <c r="FW294" i="1" s="1"/>
  <c r="FW295" i="1" s="1"/>
  <c r="FW296" i="1" s="1"/>
  <c r="FW297" i="1" s="1"/>
  <c r="FW298" i="1" s="1"/>
  <c r="FW299" i="1" s="1"/>
  <c r="FW300" i="1" s="1"/>
  <c r="FW301" i="1" s="1"/>
  <c r="FW302" i="1" s="1"/>
  <c r="FW303" i="1" s="1"/>
  <c r="FW304" i="1" s="1"/>
  <c r="FW305" i="1" s="1"/>
  <c r="FW306" i="1" s="1"/>
  <c r="FW307" i="1" s="1"/>
  <c r="FW308" i="1" s="1"/>
  <c r="FW309" i="1" s="1"/>
  <c r="FW310" i="1" s="1"/>
  <c r="FW311" i="1" s="1"/>
  <c r="FW312" i="1" s="1"/>
  <c r="FW313" i="1" s="1"/>
  <c r="FW314" i="1" s="1"/>
  <c r="FW315" i="1" s="1"/>
  <c r="FW316" i="1" s="1"/>
  <c r="FW317" i="1" s="1"/>
  <c r="FW318" i="1" s="1"/>
  <c r="FW319" i="1" s="1"/>
  <c r="FW320" i="1" s="1"/>
  <c r="AI60" i="5"/>
  <c r="D39" i="13" s="1"/>
  <c r="KT290" i="1"/>
  <c r="KT291" i="1" s="1"/>
  <c r="KT292" i="1" s="1"/>
  <c r="KT293" i="1" s="1"/>
  <c r="KT294" i="1" s="1"/>
  <c r="KT295" i="1" s="1"/>
  <c r="KT296" i="1" s="1"/>
  <c r="KT297" i="1" s="1"/>
  <c r="KT298" i="1" s="1"/>
  <c r="KT299" i="1" s="1"/>
  <c r="KT300" i="1" s="1"/>
  <c r="KT301" i="1" s="1"/>
  <c r="KT302" i="1" s="1"/>
  <c r="KT303" i="1" s="1"/>
  <c r="KT304" i="1" s="1"/>
  <c r="KT305" i="1" s="1"/>
  <c r="KT306" i="1" s="1"/>
  <c r="KT307" i="1" s="1"/>
  <c r="KT308" i="1" s="1"/>
  <c r="KT309" i="1" s="1"/>
  <c r="KT310" i="1" s="1"/>
  <c r="KT311" i="1" s="1"/>
  <c r="KT312" i="1" s="1"/>
  <c r="KT313" i="1" s="1"/>
  <c r="KT314" i="1" s="1"/>
  <c r="KT315" i="1" s="1"/>
  <c r="KT316" i="1" s="1"/>
  <c r="KT317" i="1" s="1"/>
  <c r="KT318" i="1" s="1"/>
  <c r="KT319" i="1" s="1"/>
  <c r="KT320" i="1" s="1"/>
  <c r="X60" i="5"/>
  <c r="D28" i="13" s="1"/>
  <c r="GX290" i="1"/>
  <c r="GX291" i="1" s="1"/>
  <c r="GX292" i="1" s="1"/>
  <c r="GX293" i="1" s="1"/>
  <c r="GX294" i="1" s="1"/>
  <c r="GX295" i="1" s="1"/>
  <c r="GX296" i="1" s="1"/>
  <c r="GX297" i="1" s="1"/>
  <c r="GX298" i="1" s="1"/>
  <c r="GX299" i="1" s="1"/>
  <c r="GX300" i="1" s="1"/>
  <c r="GX301" i="1" s="1"/>
  <c r="GX302" i="1" s="1"/>
  <c r="GX303" i="1" s="1"/>
  <c r="GX304" i="1" s="1"/>
  <c r="GX305" i="1" s="1"/>
  <c r="GX306" i="1" s="1"/>
  <c r="GX307" i="1" s="1"/>
  <c r="GX308" i="1" s="1"/>
  <c r="GX309" i="1" s="1"/>
  <c r="GX310" i="1" s="1"/>
  <c r="GX311" i="1" s="1"/>
  <c r="GX312" i="1" s="1"/>
  <c r="GX313" i="1" s="1"/>
  <c r="GX314" i="1" s="1"/>
  <c r="GX315" i="1" s="1"/>
  <c r="GX316" i="1" s="1"/>
  <c r="GX317" i="1" s="1"/>
  <c r="GX318" i="1" s="1"/>
  <c r="GX319" i="1" s="1"/>
  <c r="GX320" i="1" s="1"/>
  <c r="D64" i="5"/>
  <c r="H6" i="13" s="1"/>
  <c r="O6" i="13" s="1"/>
  <c r="AC60" i="5" l="1"/>
  <c r="D33" i="13" s="1"/>
  <c r="IR290" i="1"/>
  <c r="IR291" i="1" s="1"/>
  <c r="IR292" i="1" s="1"/>
  <c r="IR293" i="1" s="1"/>
  <c r="IR294" i="1" s="1"/>
  <c r="IR295" i="1" s="1"/>
  <c r="IR296" i="1" s="1"/>
  <c r="IR297" i="1" s="1"/>
  <c r="IR298" i="1" s="1"/>
  <c r="IR299" i="1" s="1"/>
  <c r="IR300" i="1" s="1"/>
  <c r="IR301" i="1" s="1"/>
  <c r="IR302" i="1" s="1"/>
  <c r="IR303" i="1" s="1"/>
  <c r="IR304" i="1" s="1"/>
  <c r="IR305" i="1" s="1"/>
  <c r="IR306" i="1" s="1"/>
  <c r="IR307" i="1" s="1"/>
  <c r="IR308" i="1" s="1"/>
  <c r="IR309" i="1" s="1"/>
  <c r="IR310" i="1" s="1"/>
  <c r="IR311" i="1" s="1"/>
  <c r="IR312" i="1" s="1"/>
  <c r="IR313" i="1" s="1"/>
  <c r="IR314" i="1" s="1"/>
  <c r="IR315" i="1" s="1"/>
  <c r="IR316" i="1" s="1"/>
  <c r="IR317" i="1" s="1"/>
  <c r="IR318" i="1" s="1"/>
  <c r="IR319" i="1" s="1"/>
  <c r="IR320" i="1" s="1"/>
  <c r="M64" i="5"/>
  <c r="H15" i="13" s="1"/>
  <c r="O15" i="13" s="1"/>
  <c r="DC324" i="1"/>
  <c r="LC360" i="1"/>
  <c r="AJ71" i="5"/>
  <c r="H40" i="14" s="1"/>
  <c r="O40" i="14" s="1"/>
  <c r="AD64" i="5"/>
  <c r="H34" i="13" s="1"/>
  <c r="O34" i="13" s="1"/>
  <c r="JA324" i="1"/>
  <c r="AB64" i="5"/>
  <c r="H32" i="13" s="1"/>
  <c r="O32" i="13" s="1"/>
  <c r="II324" i="1"/>
  <c r="AK64" i="5"/>
  <c r="H41" i="13" s="1"/>
  <c r="O41" i="13" s="1"/>
  <c r="LL324" i="1"/>
  <c r="AQ81" i="5"/>
  <c r="NN396" i="1"/>
  <c r="NN397" i="1" s="1"/>
  <c r="NN398" i="1" s="1"/>
  <c r="NN399" i="1" s="1"/>
  <c r="NN400" i="1" s="1"/>
  <c r="NN401" i="1" s="1"/>
  <c r="NN402" i="1" s="1"/>
  <c r="NN403" i="1" s="1"/>
  <c r="NN404" i="1" s="1"/>
  <c r="NN405" i="1" s="1"/>
  <c r="NN406" i="1" s="1"/>
  <c r="NN407" i="1" s="1"/>
  <c r="NN408" i="1" s="1"/>
  <c r="NN409" i="1" s="1"/>
  <c r="NN410" i="1" s="1"/>
  <c r="NN411" i="1" s="1"/>
  <c r="NN412" i="1" s="1"/>
  <c r="NN413" i="1" s="1"/>
  <c r="NN414" i="1" s="1"/>
  <c r="NN415" i="1" s="1"/>
  <c r="NN416" i="1" s="1"/>
  <c r="NN417" i="1" s="1"/>
  <c r="NN418" i="1" s="1"/>
  <c r="NN419" i="1" s="1"/>
  <c r="NN420" i="1" s="1"/>
  <c r="NN421" i="1" s="1"/>
  <c r="NN422" i="1" s="1"/>
  <c r="NN423" i="1" s="1"/>
  <c r="NN424" i="1" s="1"/>
  <c r="NN425" i="1" s="1"/>
  <c r="NN426" i="1" s="1"/>
  <c r="NN427" i="1" s="1"/>
  <c r="AQ85" i="5" s="1"/>
  <c r="AG64" i="5"/>
  <c r="H37" i="13" s="1"/>
  <c r="O37" i="13" s="1"/>
  <c r="KB324" i="1"/>
  <c r="AF64" i="5"/>
  <c r="H36" i="13" s="1"/>
  <c r="O36" i="13" s="1"/>
  <c r="JS324" i="1"/>
  <c r="H253" i="1"/>
  <c r="B50" i="5"/>
  <c r="H4" i="11" s="1"/>
  <c r="AX81" i="5"/>
  <c r="D54" i="16" s="1"/>
  <c r="PY396" i="1"/>
  <c r="PY397" i="1" s="1"/>
  <c r="PY398" i="1" s="1"/>
  <c r="PY399" i="1" s="1"/>
  <c r="PY400" i="1" s="1"/>
  <c r="PY401" i="1" s="1"/>
  <c r="PY402" i="1" s="1"/>
  <c r="PY403" i="1" s="1"/>
  <c r="PY404" i="1" s="1"/>
  <c r="PY405" i="1" s="1"/>
  <c r="PY406" i="1" s="1"/>
  <c r="PY407" i="1" s="1"/>
  <c r="AY81" i="5"/>
  <c r="D55" i="16" s="1"/>
  <c r="QH396" i="1"/>
  <c r="QH397" i="1" s="1"/>
  <c r="QH398" i="1" s="1"/>
  <c r="QH399" i="1" s="1"/>
  <c r="QH400" i="1" s="1"/>
  <c r="QH401" i="1" s="1"/>
  <c r="QH402" i="1" s="1"/>
  <c r="QH403" i="1" s="1"/>
  <c r="QH404" i="1" s="1"/>
  <c r="QH405" i="1" s="1"/>
  <c r="QH406" i="1" s="1"/>
  <c r="QH407" i="1" s="1"/>
  <c r="QH408" i="1" s="1"/>
  <c r="QH409" i="1" s="1"/>
  <c r="QH410" i="1" s="1"/>
  <c r="QH411" i="1" s="1"/>
  <c r="QH412" i="1" s="1"/>
  <c r="QH413" i="1" s="1"/>
  <c r="QH414" i="1" s="1"/>
  <c r="QH415" i="1" s="1"/>
  <c r="QH416" i="1" s="1"/>
  <c r="QH417" i="1" s="1"/>
  <c r="QH418" i="1" s="1"/>
  <c r="QH419" i="1" s="1"/>
  <c r="QH420" i="1" s="1"/>
  <c r="QH421" i="1" s="1"/>
  <c r="QH422" i="1" s="1"/>
  <c r="QH423" i="1" s="1"/>
  <c r="QH424" i="1" s="1"/>
  <c r="QH425" i="1" s="1"/>
  <c r="QH426" i="1" s="1"/>
  <c r="QH427" i="1" s="1"/>
  <c r="AY85" i="5" s="1"/>
  <c r="H55" i="16" s="1"/>
  <c r="O55" i="16" s="1"/>
  <c r="AZ81" i="5"/>
  <c r="D56" i="16" s="1"/>
  <c r="QQ396" i="1"/>
  <c r="QQ397" i="1" s="1"/>
  <c r="QQ398" i="1" s="1"/>
  <c r="QQ399" i="1" s="1"/>
  <c r="QQ400" i="1" s="1"/>
  <c r="QQ401" i="1" s="1"/>
  <c r="QQ402" i="1" s="1"/>
  <c r="QQ403" i="1" s="1"/>
  <c r="QQ404" i="1" s="1"/>
  <c r="QQ405" i="1" s="1"/>
  <c r="QQ406" i="1" s="1"/>
  <c r="QQ407" i="1" s="1"/>
  <c r="QQ408" i="1" s="1"/>
  <c r="QQ409" i="1" s="1"/>
  <c r="QQ410" i="1" s="1"/>
  <c r="QQ411" i="1" s="1"/>
  <c r="QQ412" i="1" s="1"/>
  <c r="QQ413" i="1" s="1"/>
  <c r="QQ414" i="1" s="1"/>
  <c r="QQ415" i="1" s="1"/>
  <c r="QQ416" i="1" s="1"/>
  <c r="QQ417" i="1" s="1"/>
  <c r="QQ418" i="1" s="1"/>
  <c r="QQ419" i="1" s="1"/>
  <c r="QQ420" i="1" s="1"/>
  <c r="QQ421" i="1" s="1"/>
  <c r="QQ422" i="1" s="1"/>
  <c r="QQ423" i="1" s="1"/>
  <c r="QQ424" i="1" s="1"/>
  <c r="QQ425" i="1" s="1"/>
  <c r="QQ426" i="1" s="1"/>
  <c r="QQ427" i="1" s="1"/>
  <c r="AZ85" i="5" s="1"/>
  <c r="H56" i="16" s="1"/>
  <c r="O56" i="16" s="1"/>
  <c r="AW81" i="5"/>
  <c r="D53" i="16" s="1"/>
  <c r="PP396" i="1"/>
  <c r="PP397" i="1" s="1"/>
  <c r="PP398" i="1" s="1"/>
  <c r="PP399" i="1" s="1"/>
  <c r="PP400" i="1" s="1"/>
  <c r="PP401" i="1" s="1"/>
  <c r="PP402" i="1" s="1"/>
  <c r="PP403" i="1" s="1"/>
  <c r="PP404" i="1" s="1"/>
  <c r="PP405" i="1" s="1"/>
  <c r="PP406" i="1" s="1"/>
  <c r="PP407" i="1" s="1"/>
  <c r="PP408" i="1" s="1"/>
  <c r="PP409" i="1" s="1"/>
  <c r="PP410" i="1" s="1"/>
  <c r="PP411" i="1" s="1"/>
  <c r="PP412" i="1" s="1"/>
  <c r="PP413" i="1" s="1"/>
  <c r="PP414" i="1" s="1"/>
  <c r="PP415" i="1" s="1"/>
  <c r="PP416" i="1" s="1"/>
  <c r="PP417" i="1" s="1"/>
  <c r="PP418" i="1" s="1"/>
  <c r="PP419" i="1" s="1"/>
  <c r="PP420" i="1" s="1"/>
  <c r="PP421" i="1" s="1"/>
  <c r="PP422" i="1" s="1"/>
  <c r="PP423" i="1" s="1"/>
  <c r="PP424" i="1" s="1"/>
  <c r="PP425" i="1" s="1"/>
  <c r="PP426" i="1" s="1"/>
  <c r="PP427" i="1" s="1"/>
  <c r="AW85" i="5" s="1"/>
  <c r="H53" i="16" s="1"/>
  <c r="O53" i="16" s="1"/>
  <c r="AV81" i="5"/>
  <c r="D52" i="16" s="1"/>
  <c r="PG396" i="1"/>
  <c r="PG397" i="1" s="1"/>
  <c r="PG398" i="1" s="1"/>
  <c r="PG399" i="1" s="1"/>
  <c r="PG400" i="1" s="1"/>
  <c r="PG401" i="1" s="1"/>
  <c r="PG402" i="1" s="1"/>
  <c r="PG403" i="1" s="1"/>
  <c r="PG404" i="1" s="1"/>
  <c r="PG405" i="1" s="1"/>
  <c r="PG406" i="1" s="1"/>
  <c r="PG407" i="1" s="1"/>
  <c r="PG408" i="1" s="1"/>
  <c r="PG409" i="1" s="1"/>
  <c r="PG410" i="1" s="1"/>
  <c r="PG411" i="1" s="1"/>
  <c r="PG412" i="1" s="1"/>
  <c r="PG413" i="1" s="1"/>
  <c r="PG414" i="1" s="1"/>
  <c r="PG415" i="1" s="1"/>
  <c r="PG416" i="1" s="1"/>
  <c r="PG417" i="1" s="1"/>
  <c r="PG418" i="1" s="1"/>
  <c r="PG419" i="1" s="1"/>
  <c r="PG420" i="1" s="1"/>
  <c r="PG421" i="1" s="1"/>
  <c r="PG422" i="1" s="1"/>
  <c r="PG423" i="1" s="1"/>
  <c r="PG424" i="1" s="1"/>
  <c r="PG425" i="1" s="1"/>
  <c r="PG426" i="1" s="1"/>
  <c r="PG427" i="1" s="1"/>
  <c r="AV85" i="5" s="1"/>
  <c r="H52" i="16" s="1"/>
  <c r="O52" i="16" s="1"/>
  <c r="R64" i="5"/>
  <c r="H20" i="13" s="1"/>
  <c r="O20" i="13" s="1"/>
  <c r="EV324" i="1"/>
  <c r="O64" i="5"/>
  <c r="H17" i="13" s="1"/>
  <c r="O17" i="13" s="1"/>
  <c r="DU324" i="1"/>
  <c r="Z64" i="5"/>
  <c r="H30" i="13" s="1"/>
  <c r="O30" i="13" s="1"/>
  <c r="HP324" i="1"/>
  <c r="AA64" i="5"/>
  <c r="H31" i="13" s="1"/>
  <c r="O31" i="13" s="1"/>
  <c r="HZ324" i="1"/>
  <c r="P64" i="5"/>
  <c r="H18" i="13" s="1"/>
  <c r="O18" i="13" s="1"/>
  <c r="ED324" i="1"/>
  <c r="N64" i="5"/>
  <c r="H16" i="13" s="1"/>
  <c r="O16" i="13" s="1"/>
  <c r="Q67" i="5"/>
  <c r="D19" i="14" s="1"/>
  <c r="EM325" i="1"/>
  <c r="EM326" i="1" s="1"/>
  <c r="EM327" i="1" s="1"/>
  <c r="EM328" i="1" s="1"/>
  <c r="EM329" i="1" s="1"/>
  <c r="EM330" i="1" s="1"/>
  <c r="EM331" i="1" s="1"/>
  <c r="EM332" i="1" s="1"/>
  <c r="EM333" i="1" s="1"/>
  <c r="EM334" i="1" s="1"/>
  <c r="EM335" i="1" s="1"/>
  <c r="EM336" i="1" s="1"/>
  <c r="EM337" i="1" s="1"/>
  <c r="EM338" i="1" s="1"/>
  <c r="EM339" i="1" s="1"/>
  <c r="EM340" i="1" s="1"/>
  <c r="EM341" i="1" s="1"/>
  <c r="EM342" i="1" s="1"/>
  <c r="EM343" i="1" s="1"/>
  <c r="EM344" i="1" s="1"/>
  <c r="EM345" i="1" s="1"/>
  <c r="EM346" i="1" s="1"/>
  <c r="EM347" i="1" s="1"/>
  <c r="EM348" i="1" s="1"/>
  <c r="EM349" i="1" s="1"/>
  <c r="EM350" i="1" s="1"/>
  <c r="EM351" i="1" s="1"/>
  <c r="EM352" i="1" s="1"/>
  <c r="EM353" i="1" s="1"/>
  <c r="EM354" i="1" s="1"/>
  <c r="EM355" i="1" s="1"/>
  <c r="EM356" i="1" s="1"/>
  <c r="V67" i="5"/>
  <c r="D26" i="14" s="1"/>
  <c r="GF325" i="1"/>
  <c r="GF326" i="1" s="1"/>
  <c r="GF327" i="1" s="1"/>
  <c r="GF328" i="1" s="1"/>
  <c r="GF329" i="1" s="1"/>
  <c r="GF330" i="1" s="1"/>
  <c r="GF331" i="1" s="1"/>
  <c r="GF332" i="1" s="1"/>
  <c r="GF333" i="1" s="1"/>
  <c r="GF334" i="1" s="1"/>
  <c r="GF335" i="1" s="1"/>
  <c r="GF336" i="1" s="1"/>
  <c r="GF337" i="1" s="1"/>
  <c r="GF338" i="1" s="1"/>
  <c r="GF339" i="1" s="1"/>
  <c r="GF340" i="1" s="1"/>
  <c r="GF341" i="1" s="1"/>
  <c r="GF342" i="1" s="1"/>
  <c r="GF343" i="1" s="1"/>
  <c r="GF344" i="1" s="1"/>
  <c r="GF345" i="1" s="1"/>
  <c r="GF346" i="1" s="1"/>
  <c r="GF347" i="1" s="1"/>
  <c r="GF348" i="1" s="1"/>
  <c r="GF349" i="1" s="1"/>
  <c r="GF350" i="1" s="1"/>
  <c r="GF351" i="1" s="1"/>
  <c r="GF352" i="1" s="1"/>
  <c r="GF353" i="1" s="1"/>
  <c r="GF354" i="1" s="1"/>
  <c r="GF355" i="1" s="1"/>
  <c r="GF356" i="1" s="1"/>
  <c r="S64" i="5"/>
  <c r="H21" i="13" s="1"/>
  <c r="O21" i="13" s="1"/>
  <c r="FE324" i="1"/>
  <c r="AE64" i="5"/>
  <c r="H35" i="13" s="1"/>
  <c r="O35" i="13" s="1"/>
  <c r="JJ324" i="1"/>
  <c r="W67" i="5"/>
  <c r="D27" i="14" s="1"/>
  <c r="GO325" i="1"/>
  <c r="GO326" i="1" s="1"/>
  <c r="GO327" i="1" s="1"/>
  <c r="GO328" i="1" s="1"/>
  <c r="GO329" i="1" s="1"/>
  <c r="GO330" i="1" s="1"/>
  <c r="GO331" i="1" s="1"/>
  <c r="GO332" i="1" s="1"/>
  <c r="GO333" i="1" s="1"/>
  <c r="GO334" i="1" s="1"/>
  <c r="GO335" i="1" s="1"/>
  <c r="GO336" i="1" s="1"/>
  <c r="GO337" i="1" s="1"/>
  <c r="GO338" i="1" s="1"/>
  <c r="GO339" i="1" s="1"/>
  <c r="GO340" i="1" s="1"/>
  <c r="GO341" i="1" s="1"/>
  <c r="GO342" i="1" s="1"/>
  <c r="GO343" i="1" s="1"/>
  <c r="GO344" i="1" s="1"/>
  <c r="GO345" i="1" s="1"/>
  <c r="GO346" i="1" s="1"/>
  <c r="GO347" i="1" s="1"/>
  <c r="GO348" i="1" s="1"/>
  <c r="GO349" i="1" s="1"/>
  <c r="GO350" i="1" s="1"/>
  <c r="GO351" i="1" s="1"/>
  <c r="GO352" i="1" s="1"/>
  <c r="GO353" i="1" s="1"/>
  <c r="GO354" i="1" s="1"/>
  <c r="GO355" i="1" s="1"/>
  <c r="GO356" i="1" s="1"/>
  <c r="AH64" i="5"/>
  <c r="H38" i="13" s="1"/>
  <c r="O38" i="13" s="1"/>
  <c r="KK324" i="1"/>
  <c r="L64" i="5"/>
  <c r="H14" i="13" s="1"/>
  <c r="O14" i="13" s="1"/>
  <c r="CT324" i="1"/>
  <c r="AI64" i="5"/>
  <c r="H39" i="13" s="1"/>
  <c r="O39" i="13" s="1"/>
  <c r="KT324" i="1"/>
  <c r="Y64" i="5"/>
  <c r="H29" i="13" s="1"/>
  <c r="O29" i="13" s="1"/>
  <c r="HG324" i="1"/>
  <c r="U64" i="5"/>
  <c r="H25" i="13" s="1"/>
  <c r="O25" i="13" s="1"/>
  <c r="FW324" i="1"/>
  <c r="X64" i="5"/>
  <c r="H28" i="13" s="1"/>
  <c r="O28" i="13" s="1"/>
  <c r="GX324" i="1"/>
  <c r="D67" i="5"/>
  <c r="D6" i="14" s="1"/>
  <c r="AC64" i="5" l="1"/>
  <c r="H33" i="13" s="1"/>
  <c r="O33" i="13" s="1"/>
  <c r="IR324" i="1"/>
  <c r="O4" i="11"/>
  <c r="M67" i="5"/>
  <c r="D15" i="14" s="1"/>
  <c r="DC325" i="1"/>
  <c r="DC326" i="1" s="1"/>
  <c r="DC327" i="1" s="1"/>
  <c r="DC328" i="1" s="1"/>
  <c r="DC329" i="1" s="1"/>
  <c r="DC330" i="1" s="1"/>
  <c r="DC331" i="1" s="1"/>
  <c r="DC332" i="1" s="1"/>
  <c r="DC333" i="1" s="1"/>
  <c r="DC334" i="1" s="1"/>
  <c r="DC335" i="1" s="1"/>
  <c r="DC336" i="1" s="1"/>
  <c r="DC337" i="1" s="1"/>
  <c r="DC338" i="1" s="1"/>
  <c r="DC339" i="1" s="1"/>
  <c r="DC340" i="1" s="1"/>
  <c r="DC341" i="1" s="1"/>
  <c r="DC342" i="1" s="1"/>
  <c r="DC343" i="1" s="1"/>
  <c r="DC344" i="1" s="1"/>
  <c r="DC345" i="1" s="1"/>
  <c r="DC346" i="1" s="1"/>
  <c r="DC347" i="1" s="1"/>
  <c r="DC348" i="1" s="1"/>
  <c r="DC349" i="1" s="1"/>
  <c r="DC350" i="1" s="1"/>
  <c r="DC351" i="1" s="1"/>
  <c r="DC352" i="1" s="1"/>
  <c r="DC353" i="1" s="1"/>
  <c r="DC354" i="1" s="1"/>
  <c r="DC355" i="1" s="1"/>
  <c r="DC356" i="1" s="1"/>
  <c r="AD67" i="5"/>
  <c r="D34" i="14" s="1"/>
  <c r="JA325" i="1"/>
  <c r="JA326" i="1" s="1"/>
  <c r="JA327" i="1" s="1"/>
  <c r="JA328" i="1" s="1"/>
  <c r="JA329" i="1" s="1"/>
  <c r="JA330" i="1" s="1"/>
  <c r="JA331" i="1" s="1"/>
  <c r="JA332" i="1" s="1"/>
  <c r="JA333" i="1" s="1"/>
  <c r="JA334" i="1" s="1"/>
  <c r="JA335" i="1" s="1"/>
  <c r="JA336" i="1" s="1"/>
  <c r="JA337" i="1" s="1"/>
  <c r="JA338" i="1" s="1"/>
  <c r="JA339" i="1" s="1"/>
  <c r="JA340" i="1" s="1"/>
  <c r="JA341" i="1" s="1"/>
  <c r="JA342" i="1" s="1"/>
  <c r="JA343" i="1" s="1"/>
  <c r="JA344" i="1" s="1"/>
  <c r="JA345" i="1" s="1"/>
  <c r="JA346" i="1" s="1"/>
  <c r="JA347" i="1" s="1"/>
  <c r="JA348" i="1" s="1"/>
  <c r="JA349" i="1" s="1"/>
  <c r="JA350" i="1" s="1"/>
  <c r="JA351" i="1" s="1"/>
  <c r="JA352" i="1" s="1"/>
  <c r="JA353" i="1" s="1"/>
  <c r="JA354" i="1" s="1"/>
  <c r="JA355" i="1" s="1"/>
  <c r="JA356" i="1" s="1"/>
  <c r="AJ74" i="5"/>
  <c r="D40" i="15" s="1"/>
  <c r="LC361" i="1"/>
  <c r="LC362" i="1" s="1"/>
  <c r="LC363" i="1" s="1"/>
  <c r="LC364" i="1" s="1"/>
  <c r="LC365" i="1" s="1"/>
  <c r="LC366" i="1" s="1"/>
  <c r="LC367" i="1" s="1"/>
  <c r="LC368" i="1" s="1"/>
  <c r="LC369" i="1" s="1"/>
  <c r="LC370" i="1" s="1"/>
  <c r="LC371" i="1" s="1"/>
  <c r="LC372" i="1" s="1"/>
  <c r="LC373" i="1" s="1"/>
  <c r="LC374" i="1" s="1"/>
  <c r="LC375" i="1" s="1"/>
  <c r="LC376" i="1" s="1"/>
  <c r="LC377" i="1" s="1"/>
  <c r="LC378" i="1" s="1"/>
  <c r="LC379" i="1" s="1"/>
  <c r="LC380" i="1" s="1"/>
  <c r="LC381" i="1" s="1"/>
  <c r="LC382" i="1" s="1"/>
  <c r="LC383" i="1" s="1"/>
  <c r="LC384" i="1" s="1"/>
  <c r="LC385" i="1" s="1"/>
  <c r="LC386" i="1" s="1"/>
  <c r="LC387" i="1" s="1"/>
  <c r="LC388" i="1" s="1"/>
  <c r="LC389" i="1" s="1"/>
  <c r="LC390" i="1" s="1"/>
  <c r="LC391" i="1" s="1"/>
  <c r="AG67" i="5"/>
  <c r="D37" i="14" s="1"/>
  <c r="KB325" i="1"/>
  <c r="KB326" i="1" s="1"/>
  <c r="KB327" i="1" s="1"/>
  <c r="KB328" i="1" s="1"/>
  <c r="KB329" i="1" s="1"/>
  <c r="KB330" i="1" s="1"/>
  <c r="KB331" i="1" s="1"/>
  <c r="KB332" i="1" s="1"/>
  <c r="KB333" i="1" s="1"/>
  <c r="KB334" i="1" s="1"/>
  <c r="KB335" i="1" s="1"/>
  <c r="KB336" i="1" s="1"/>
  <c r="KB337" i="1" s="1"/>
  <c r="KB338" i="1" s="1"/>
  <c r="KB339" i="1" s="1"/>
  <c r="KB340" i="1" s="1"/>
  <c r="KB341" i="1" s="1"/>
  <c r="KB342" i="1" s="1"/>
  <c r="KB343" i="1" s="1"/>
  <c r="KB344" i="1" s="1"/>
  <c r="KB345" i="1" s="1"/>
  <c r="KB346" i="1" s="1"/>
  <c r="KB347" i="1" s="1"/>
  <c r="KB348" i="1" s="1"/>
  <c r="KB349" i="1" s="1"/>
  <c r="KB350" i="1" s="1"/>
  <c r="KB351" i="1" s="1"/>
  <c r="KB352" i="1" s="1"/>
  <c r="KB353" i="1" s="1"/>
  <c r="KB354" i="1" s="1"/>
  <c r="KB355" i="1" s="1"/>
  <c r="KB356" i="1" s="1"/>
  <c r="AK67" i="5"/>
  <c r="D41" i="14" s="1"/>
  <c r="LL325" i="1"/>
  <c r="LL326" i="1" s="1"/>
  <c r="LL327" i="1" s="1"/>
  <c r="LL328" i="1" s="1"/>
  <c r="LL329" i="1" s="1"/>
  <c r="LL330" i="1" s="1"/>
  <c r="LL331" i="1" s="1"/>
  <c r="LL332" i="1" s="1"/>
  <c r="LL333" i="1" s="1"/>
  <c r="LL334" i="1" s="1"/>
  <c r="LL335" i="1" s="1"/>
  <c r="LL336" i="1" s="1"/>
  <c r="LL337" i="1" s="1"/>
  <c r="LL338" i="1" s="1"/>
  <c r="LL339" i="1" s="1"/>
  <c r="LL340" i="1" s="1"/>
  <c r="LL341" i="1" s="1"/>
  <c r="LL342" i="1" s="1"/>
  <c r="LL343" i="1" s="1"/>
  <c r="LL344" i="1" s="1"/>
  <c r="LL345" i="1" s="1"/>
  <c r="LL346" i="1" s="1"/>
  <c r="LL347" i="1" s="1"/>
  <c r="LL348" i="1" s="1"/>
  <c r="LL349" i="1" s="1"/>
  <c r="LL350" i="1" s="1"/>
  <c r="LL351" i="1" s="1"/>
  <c r="LL352" i="1" s="1"/>
  <c r="LL353" i="1" s="1"/>
  <c r="LL354" i="1" s="1"/>
  <c r="LL355" i="1" s="1"/>
  <c r="LL356" i="1" s="1"/>
  <c r="II325" i="1"/>
  <c r="II326" i="1" s="1"/>
  <c r="II327" i="1" s="1"/>
  <c r="II328" i="1" s="1"/>
  <c r="II329" i="1" s="1"/>
  <c r="II330" i="1" s="1"/>
  <c r="II331" i="1" s="1"/>
  <c r="II332" i="1" s="1"/>
  <c r="II333" i="1" s="1"/>
  <c r="II334" i="1" s="1"/>
  <c r="II335" i="1" s="1"/>
  <c r="II336" i="1" s="1"/>
  <c r="II337" i="1" s="1"/>
  <c r="II338" i="1" s="1"/>
  <c r="II339" i="1" s="1"/>
  <c r="II340" i="1" s="1"/>
  <c r="II341" i="1" s="1"/>
  <c r="II342" i="1" s="1"/>
  <c r="II343" i="1" s="1"/>
  <c r="II344" i="1" s="1"/>
  <c r="II345" i="1" s="1"/>
  <c r="II346" i="1" s="1"/>
  <c r="II347" i="1" s="1"/>
  <c r="II348" i="1" s="1"/>
  <c r="II349" i="1" s="1"/>
  <c r="II350" i="1" s="1"/>
  <c r="II351" i="1" s="1"/>
  <c r="II352" i="1" s="1"/>
  <c r="II353" i="1" s="1"/>
  <c r="II354" i="1" s="1"/>
  <c r="II355" i="1" s="1"/>
  <c r="II356" i="1" s="1"/>
  <c r="AB67" i="5"/>
  <c r="D32" i="14" s="1"/>
  <c r="PY408" i="1"/>
  <c r="PY409" i="1" s="1"/>
  <c r="PY410" i="1" s="1"/>
  <c r="PY411" i="1" s="1"/>
  <c r="PY412" i="1" s="1"/>
  <c r="PY413" i="1" s="1"/>
  <c r="PY414" i="1" s="1"/>
  <c r="PY415" i="1" s="1"/>
  <c r="PY416" i="1" s="1"/>
  <c r="PY417" i="1" s="1"/>
  <c r="PY418" i="1" s="1"/>
  <c r="PY419" i="1" s="1"/>
  <c r="PY420" i="1" s="1"/>
  <c r="PY421" i="1" s="1"/>
  <c r="PY422" i="1" s="1"/>
  <c r="PY423" i="1" s="1"/>
  <c r="PY424" i="1" s="1"/>
  <c r="PY425" i="1" s="1"/>
  <c r="PY426" i="1" s="1"/>
  <c r="PY427" i="1" s="1"/>
  <c r="AX85" i="5" s="1"/>
  <c r="H54" i="16" s="1"/>
  <c r="O54" i="16" s="1"/>
  <c r="AF67" i="5"/>
  <c r="D36" i="14" s="1"/>
  <c r="JS325" i="1"/>
  <c r="JS326" i="1" s="1"/>
  <c r="JS327" i="1" s="1"/>
  <c r="JS328" i="1" s="1"/>
  <c r="JS329" i="1" s="1"/>
  <c r="JS330" i="1" s="1"/>
  <c r="JS331" i="1" s="1"/>
  <c r="JS332" i="1" s="1"/>
  <c r="JS333" i="1" s="1"/>
  <c r="JS334" i="1" s="1"/>
  <c r="JS335" i="1" s="1"/>
  <c r="JS336" i="1" s="1"/>
  <c r="JS337" i="1" s="1"/>
  <c r="JS338" i="1" s="1"/>
  <c r="JS339" i="1" s="1"/>
  <c r="JS340" i="1" s="1"/>
  <c r="JS341" i="1" s="1"/>
  <c r="JS342" i="1" s="1"/>
  <c r="JS343" i="1" s="1"/>
  <c r="JS344" i="1" s="1"/>
  <c r="JS345" i="1" s="1"/>
  <c r="JS346" i="1" s="1"/>
  <c r="JS347" i="1" s="1"/>
  <c r="JS348" i="1" s="1"/>
  <c r="JS349" i="1" s="1"/>
  <c r="JS350" i="1" s="1"/>
  <c r="JS351" i="1" s="1"/>
  <c r="JS352" i="1" s="1"/>
  <c r="JS353" i="1" s="1"/>
  <c r="JS354" i="1" s="1"/>
  <c r="JS355" i="1" s="1"/>
  <c r="JS356" i="1" s="1"/>
  <c r="H254" i="1"/>
  <c r="H255" i="1" s="1"/>
  <c r="H256" i="1" s="1"/>
  <c r="H257" i="1" s="1"/>
  <c r="H258" i="1" s="1"/>
  <c r="H259" i="1" s="1"/>
  <c r="H260" i="1" s="1"/>
  <c r="H261" i="1" s="1"/>
  <c r="H262" i="1" s="1"/>
  <c r="H263" i="1" s="1"/>
  <c r="H264" i="1" s="1"/>
  <c r="H265" i="1" s="1"/>
  <c r="H266" i="1" s="1"/>
  <c r="H267" i="1" s="1"/>
  <c r="H268" i="1" s="1"/>
  <c r="H269" i="1" s="1"/>
  <c r="H270" i="1" s="1"/>
  <c r="H271" i="1" s="1"/>
  <c r="H272" i="1" s="1"/>
  <c r="H273" i="1" s="1"/>
  <c r="H274" i="1" s="1"/>
  <c r="H275" i="1" s="1"/>
  <c r="H276" i="1" s="1"/>
  <c r="H277" i="1" s="1"/>
  <c r="H278" i="1" s="1"/>
  <c r="H279" i="1" s="1"/>
  <c r="H280" i="1" s="1"/>
  <c r="H281" i="1" s="1"/>
  <c r="H282" i="1" s="1"/>
  <c r="H283" i="1" s="1"/>
  <c r="H284" i="1" s="1"/>
  <c r="H285" i="1" s="1"/>
  <c r="B53" i="5"/>
  <c r="Q71" i="5"/>
  <c r="H19" i="14" s="1"/>
  <c r="O19" i="14" s="1"/>
  <c r="EM360" i="1"/>
  <c r="N67" i="5"/>
  <c r="D16" i="14" s="1"/>
  <c r="DL325" i="1"/>
  <c r="DL326" i="1" s="1"/>
  <c r="DL327" i="1" s="1"/>
  <c r="DL328" i="1" s="1"/>
  <c r="DL329" i="1" s="1"/>
  <c r="DL330" i="1" s="1"/>
  <c r="DL331" i="1" s="1"/>
  <c r="DL332" i="1" s="1"/>
  <c r="DL333" i="1" s="1"/>
  <c r="DL334" i="1" s="1"/>
  <c r="DL335" i="1" s="1"/>
  <c r="DL336" i="1" s="1"/>
  <c r="DL337" i="1" s="1"/>
  <c r="DL338" i="1" s="1"/>
  <c r="DL339" i="1" s="1"/>
  <c r="DL340" i="1" s="1"/>
  <c r="DL341" i="1" s="1"/>
  <c r="DL342" i="1" s="1"/>
  <c r="DL343" i="1" s="1"/>
  <c r="DL344" i="1" s="1"/>
  <c r="DL345" i="1" s="1"/>
  <c r="DL346" i="1" s="1"/>
  <c r="DL347" i="1" s="1"/>
  <c r="DL348" i="1" s="1"/>
  <c r="DL349" i="1" s="1"/>
  <c r="DL350" i="1" s="1"/>
  <c r="DL351" i="1" s="1"/>
  <c r="DL352" i="1" s="1"/>
  <c r="DL353" i="1" s="1"/>
  <c r="DL354" i="1" s="1"/>
  <c r="DL355" i="1" s="1"/>
  <c r="DL356" i="1" s="1"/>
  <c r="DL360" i="1" s="1"/>
  <c r="AA67" i="5"/>
  <c r="D31" i="14" s="1"/>
  <c r="HZ325" i="1"/>
  <c r="HZ326" i="1" s="1"/>
  <c r="HZ327" i="1" s="1"/>
  <c r="HZ328" i="1" s="1"/>
  <c r="HZ329" i="1" s="1"/>
  <c r="HZ330" i="1" s="1"/>
  <c r="HZ331" i="1" s="1"/>
  <c r="HZ332" i="1" s="1"/>
  <c r="HZ333" i="1" s="1"/>
  <c r="HZ334" i="1" s="1"/>
  <c r="HZ335" i="1" s="1"/>
  <c r="HZ336" i="1" s="1"/>
  <c r="HZ337" i="1" s="1"/>
  <c r="HZ338" i="1" s="1"/>
  <c r="HZ339" i="1" s="1"/>
  <c r="HZ340" i="1" s="1"/>
  <c r="HZ341" i="1" s="1"/>
  <c r="HZ342" i="1" s="1"/>
  <c r="HZ343" i="1" s="1"/>
  <c r="HZ344" i="1" s="1"/>
  <c r="HZ345" i="1" s="1"/>
  <c r="HZ346" i="1" s="1"/>
  <c r="HZ347" i="1" s="1"/>
  <c r="HZ348" i="1" s="1"/>
  <c r="HZ349" i="1" s="1"/>
  <c r="HZ350" i="1" s="1"/>
  <c r="HZ351" i="1" s="1"/>
  <c r="HZ352" i="1" s="1"/>
  <c r="HZ353" i="1" s="1"/>
  <c r="HZ354" i="1" s="1"/>
  <c r="HZ355" i="1" s="1"/>
  <c r="HZ356" i="1" s="1"/>
  <c r="O67" i="5"/>
  <c r="D17" i="14" s="1"/>
  <c r="DU325" i="1"/>
  <c r="DU326" i="1" s="1"/>
  <c r="DU327" i="1" s="1"/>
  <c r="DU328" i="1" s="1"/>
  <c r="DU329" i="1" s="1"/>
  <c r="DU330" i="1" s="1"/>
  <c r="DU331" i="1" s="1"/>
  <c r="DU332" i="1" s="1"/>
  <c r="DU333" i="1" s="1"/>
  <c r="DU334" i="1" s="1"/>
  <c r="DU335" i="1" s="1"/>
  <c r="DU336" i="1" s="1"/>
  <c r="DU337" i="1" s="1"/>
  <c r="DU338" i="1" s="1"/>
  <c r="DU339" i="1" s="1"/>
  <c r="DU340" i="1" s="1"/>
  <c r="DU341" i="1" s="1"/>
  <c r="DU342" i="1" s="1"/>
  <c r="DU343" i="1" s="1"/>
  <c r="DU344" i="1" s="1"/>
  <c r="DU345" i="1" s="1"/>
  <c r="DU346" i="1" s="1"/>
  <c r="DU347" i="1" s="1"/>
  <c r="DU348" i="1" s="1"/>
  <c r="DU349" i="1" s="1"/>
  <c r="DU350" i="1" s="1"/>
  <c r="DU351" i="1" s="1"/>
  <c r="DU352" i="1" s="1"/>
  <c r="DU353" i="1" s="1"/>
  <c r="DU354" i="1" s="1"/>
  <c r="DU355" i="1" s="1"/>
  <c r="DU356" i="1" s="1"/>
  <c r="W71" i="5"/>
  <c r="H27" i="14" s="1"/>
  <c r="O27" i="14" s="1"/>
  <c r="GO360" i="1"/>
  <c r="S67" i="5"/>
  <c r="D21" i="14" s="1"/>
  <c r="FE325" i="1"/>
  <c r="FE326" i="1" s="1"/>
  <c r="FE327" i="1" s="1"/>
  <c r="FE328" i="1" s="1"/>
  <c r="FE329" i="1" s="1"/>
  <c r="FE330" i="1" s="1"/>
  <c r="FE331" i="1" s="1"/>
  <c r="FE332" i="1" s="1"/>
  <c r="FE333" i="1" s="1"/>
  <c r="FE334" i="1" s="1"/>
  <c r="FE335" i="1" s="1"/>
  <c r="FE336" i="1" s="1"/>
  <c r="FE337" i="1" s="1"/>
  <c r="FE338" i="1" s="1"/>
  <c r="FE339" i="1" s="1"/>
  <c r="FE340" i="1" s="1"/>
  <c r="FE341" i="1" s="1"/>
  <c r="FE342" i="1" s="1"/>
  <c r="FE343" i="1" s="1"/>
  <c r="FE344" i="1" s="1"/>
  <c r="FE345" i="1" s="1"/>
  <c r="FE346" i="1" s="1"/>
  <c r="FE347" i="1" s="1"/>
  <c r="FE348" i="1" s="1"/>
  <c r="FE349" i="1" s="1"/>
  <c r="FE350" i="1" s="1"/>
  <c r="FE351" i="1" s="1"/>
  <c r="FE352" i="1" s="1"/>
  <c r="FE353" i="1" s="1"/>
  <c r="FE354" i="1" s="1"/>
  <c r="FE355" i="1" s="1"/>
  <c r="FE356" i="1" s="1"/>
  <c r="V71" i="5"/>
  <c r="H26" i="14" s="1"/>
  <c r="O26" i="14" s="1"/>
  <c r="GF360" i="1"/>
  <c r="P67" i="5"/>
  <c r="D18" i="14" s="1"/>
  <c r="ED325" i="1"/>
  <c r="ED326" i="1" s="1"/>
  <c r="ED327" i="1" s="1"/>
  <c r="ED328" i="1" s="1"/>
  <c r="ED329" i="1" s="1"/>
  <c r="ED330" i="1" s="1"/>
  <c r="ED331" i="1" s="1"/>
  <c r="ED332" i="1" s="1"/>
  <c r="ED333" i="1" s="1"/>
  <c r="ED334" i="1" s="1"/>
  <c r="ED335" i="1" s="1"/>
  <c r="ED336" i="1" s="1"/>
  <c r="ED337" i="1" s="1"/>
  <c r="ED338" i="1" s="1"/>
  <c r="ED339" i="1" s="1"/>
  <c r="ED340" i="1" s="1"/>
  <c r="ED341" i="1" s="1"/>
  <c r="ED342" i="1" s="1"/>
  <c r="ED343" i="1" s="1"/>
  <c r="ED344" i="1" s="1"/>
  <c r="ED345" i="1" s="1"/>
  <c r="ED346" i="1" s="1"/>
  <c r="ED347" i="1" s="1"/>
  <c r="ED348" i="1" s="1"/>
  <c r="ED349" i="1" s="1"/>
  <c r="ED350" i="1" s="1"/>
  <c r="ED351" i="1" s="1"/>
  <c r="ED352" i="1" s="1"/>
  <c r="ED353" i="1" s="1"/>
  <c r="ED354" i="1" s="1"/>
  <c r="ED355" i="1" s="1"/>
  <c r="ED356" i="1" s="1"/>
  <c r="HP325" i="1"/>
  <c r="HP326" i="1" s="1"/>
  <c r="HP327" i="1" s="1"/>
  <c r="HP328" i="1" s="1"/>
  <c r="HP329" i="1" s="1"/>
  <c r="HP330" i="1" s="1"/>
  <c r="HP331" i="1" s="1"/>
  <c r="HP332" i="1" s="1"/>
  <c r="HP333" i="1" s="1"/>
  <c r="HP334" i="1" s="1"/>
  <c r="HP335" i="1" s="1"/>
  <c r="HP336" i="1" s="1"/>
  <c r="HP337" i="1" s="1"/>
  <c r="HP338" i="1" s="1"/>
  <c r="HP339" i="1" s="1"/>
  <c r="HP340" i="1" s="1"/>
  <c r="HP341" i="1" s="1"/>
  <c r="HP342" i="1" s="1"/>
  <c r="HP343" i="1" s="1"/>
  <c r="HP344" i="1" s="1"/>
  <c r="HP345" i="1" s="1"/>
  <c r="HP346" i="1" s="1"/>
  <c r="HP347" i="1" s="1"/>
  <c r="HP348" i="1" s="1"/>
  <c r="HP349" i="1" s="1"/>
  <c r="HP350" i="1" s="1"/>
  <c r="HP351" i="1" s="1"/>
  <c r="HP352" i="1" s="1"/>
  <c r="HP353" i="1" s="1"/>
  <c r="HP354" i="1" s="1"/>
  <c r="HP355" i="1" s="1"/>
  <c r="HP356" i="1" s="1"/>
  <c r="Z67" i="5"/>
  <c r="D30" i="14" s="1"/>
  <c r="R67" i="5"/>
  <c r="D20" i="14" s="1"/>
  <c r="EV325" i="1"/>
  <c r="EV326" i="1" s="1"/>
  <c r="EV327" i="1" s="1"/>
  <c r="EV328" i="1" s="1"/>
  <c r="EV329" i="1" s="1"/>
  <c r="EV330" i="1" s="1"/>
  <c r="EV331" i="1" s="1"/>
  <c r="EV332" i="1" s="1"/>
  <c r="EV333" i="1" s="1"/>
  <c r="EV334" i="1" s="1"/>
  <c r="EV335" i="1" s="1"/>
  <c r="EV336" i="1" s="1"/>
  <c r="EV337" i="1" s="1"/>
  <c r="EV338" i="1" s="1"/>
  <c r="EV339" i="1" s="1"/>
  <c r="EV340" i="1" s="1"/>
  <c r="EV341" i="1" s="1"/>
  <c r="EV342" i="1" s="1"/>
  <c r="EV343" i="1" s="1"/>
  <c r="EV344" i="1" s="1"/>
  <c r="EV345" i="1" s="1"/>
  <c r="EV346" i="1" s="1"/>
  <c r="EV347" i="1" s="1"/>
  <c r="EV348" i="1" s="1"/>
  <c r="EV349" i="1" s="1"/>
  <c r="EV350" i="1" s="1"/>
  <c r="EV351" i="1" s="1"/>
  <c r="EV352" i="1" s="1"/>
  <c r="EV353" i="1" s="1"/>
  <c r="EV354" i="1" s="1"/>
  <c r="EV355" i="1" s="1"/>
  <c r="EV356" i="1" s="1"/>
  <c r="AH67" i="5"/>
  <c r="D38" i="14" s="1"/>
  <c r="KK325" i="1"/>
  <c r="KK326" i="1" s="1"/>
  <c r="KK327" i="1" s="1"/>
  <c r="KK328" i="1" s="1"/>
  <c r="KK329" i="1" s="1"/>
  <c r="KK330" i="1" s="1"/>
  <c r="KK331" i="1" s="1"/>
  <c r="KK332" i="1" s="1"/>
  <c r="KK333" i="1" s="1"/>
  <c r="KK334" i="1" s="1"/>
  <c r="KK335" i="1" s="1"/>
  <c r="KK336" i="1" s="1"/>
  <c r="KK337" i="1" s="1"/>
  <c r="KK338" i="1" s="1"/>
  <c r="KK339" i="1" s="1"/>
  <c r="KK340" i="1" s="1"/>
  <c r="KK341" i="1" s="1"/>
  <c r="KK342" i="1" s="1"/>
  <c r="KK343" i="1" s="1"/>
  <c r="KK344" i="1" s="1"/>
  <c r="KK345" i="1" s="1"/>
  <c r="KK346" i="1" s="1"/>
  <c r="KK347" i="1" s="1"/>
  <c r="KK348" i="1" s="1"/>
  <c r="KK349" i="1" s="1"/>
  <c r="KK350" i="1" s="1"/>
  <c r="KK351" i="1" s="1"/>
  <c r="KK352" i="1" s="1"/>
  <c r="KK353" i="1" s="1"/>
  <c r="KK354" i="1" s="1"/>
  <c r="KK355" i="1" s="1"/>
  <c r="KK356" i="1" s="1"/>
  <c r="AE67" i="5"/>
  <c r="D35" i="14" s="1"/>
  <c r="JJ325" i="1"/>
  <c r="JJ326" i="1" s="1"/>
  <c r="JJ327" i="1" s="1"/>
  <c r="JJ328" i="1" s="1"/>
  <c r="JJ329" i="1" s="1"/>
  <c r="JJ330" i="1" s="1"/>
  <c r="JJ331" i="1" s="1"/>
  <c r="JJ332" i="1" s="1"/>
  <c r="JJ333" i="1" s="1"/>
  <c r="JJ334" i="1" s="1"/>
  <c r="JJ335" i="1" s="1"/>
  <c r="JJ336" i="1" s="1"/>
  <c r="JJ337" i="1" s="1"/>
  <c r="JJ338" i="1" s="1"/>
  <c r="JJ339" i="1" s="1"/>
  <c r="JJ340" i="1" s="1"/>
  <c r="JJ341" i="1" s="1"/>
  <c r="JJ342" i="1" s="1"/>
  <c r="JJ343" i="1" s="1"/>
  <c r="JJ344" i="1" s="1"/>
  <c r="JJ345" i="1" s="1"/>
  <c r="JJ346" i="1" s="1"/>
  <c r="JJ347" i="1" s="1"/>
  <c r="JJ348" i="1" s="1"/>
  <c r="JJ349" i="1" s="1"/>
  <c r="JJ350" i="1" s="1"/>
  <c r="JJ351" i="1" s="1"/>
  <c r="JJ352" i="1" s="1"/>
  <c r="JJ353" i="1" s="1"/>
  <c r="JJ354" i="1" s="1"/>
  <c r="JJ355" i="1" s="1"/>
  <c r="JJ356" i="1" s="1"/>
  <c r="L67" i="5"/>
  <c r="D14" i="14" s="1"/>
  <c r="CT325" i="1"/>
  <c r="CT326" i="1" s="1"/>
  <c r="CT327" i="1" s="1"/>
  <c r="CT328" i="1" s="1"/>
  <c r="CT329" i="1" s="1"/>
  <c r="CT330" i="1" s="1"/>
  <c r="CT331" i="1" s="1"/>
  <c r="CT332" i="1" s="1"/>
  <c r="CT333" i="1" s="1"/>
  <c r="CT334" i="1" s="1"/>
  <c r="CT335" i="1" s="1"/>
  <c r="CT336" i="1" s="1"/>
  <c r="CT337" i="1" s="1"/>
  <c r="CT338" i="1" s="1"/>
  <c r="CT339" i="1" s="1"/>
  <c r="CT340" i="1" s="1"/>
  <c r="CT341" i="1" s="1"/>
  <c r="CT342" i="1" s="1"/>
  <c r="CT343" i="1" s="1"/>
  <c r="CT344" i="1" s="1"/>
  <c r="CT345" i="1" s="1"/>
  <c r="CT346" i="1" s="1"/>
  <c r="CT347" i="1" s="1"/>
  <c r="CT348" i="1" s="1"/>
  <c r="CT349" i="1" s="1"/>
  <c r="CT350" i="1" s="1"/>
  <c r="CT351" i="1" s="1"/>
  <c r="CT352" i="1" s="1"/>
  <c r="CT353" i="1" s="1"/>
  <c r="CT354" i="1" s="1"/>
  <c r="CT355" i="1" s="1"/>
  <c r="CT356" i="1" s="1"/>
  <c r="AI67" i="5"/>
  <c r="D39" i="14" s="1"/>
  <c r="KT325" i="1"/>
  <c r="KT326" i="1" s="1"/>
  <c r="KT327" i="1" s="1"/>
  <c r="KT328" i="1" s="1"/>
  <c r="KT329" i="1" s="1"/>
  <c r="KT330" i="1" s="1"/>
  <c r="KT331" i="1" s="1"/>
  <c r="KT332" i="1" s="1"/>
  <c r="KT333" i="1" s="1"/>
  <c r="KT334" i="1" s="1"/>
  <c r="KT335" i="1" s="1"/>
  <c r="KT336" i="1" s="1"/>
  <c r="KT337" i="1" s="1"/>
  <c r="KT338" i="1" s="1"/>
  <c r="KT339" i="1" s="1"/>
  <c r="KT340" i="1" s="1"/>
  <c r="KT341" i="1" s="1"/>
  <c r="KT342" i="1" s="1"/>
  <c r="KT343" i="1" s="1"/>
  <c r="KT344" i="1" s="1"/>
  <c r="KT345" i="1" s="1"/>
  <c r="KT346" i="1" s="1"/>
  <c r="KT347" i="1" s="1"/>
  <c r="KT348" i="1" s="1"/>
  <c r="KT349" i="1" s="1"/>
  <c r="KT350" i="1" s="1"/>
  <c r="KT351" i="1" s="1"/>
  <c r="KT352" i="1" s="1"/>
  <c r="KT353" i="1" s="1"/>
  <c r="KT354" i="1" s="1"/>
  <c r="KT355" i="1" s="1"/>
  <c r="KT356" i="1" s="1"/>
  <c r="HG325" i="1"/>
  <c r="HG326" i="1" s="1"/>
  <c r="HG327" i="1" s="1"/>
  <c r="HG328" i="1" s="1"/>
  <c r="HG329" i="1" s="1"/>
  <c r="HG330" i="1" s="1"/>
  <c r="HG331" i="1" s="1"/>
  <c r="HG332" i="1" s="1"/>
  <c r="HG333" i="1" s="1"/>
  <c r="HG334" i="1" s="1"/>
  <c r="HG335" i="1" s="1"/>
  <c r="HG336" i="1" s="1"/>
  <c r="HG337" i="1" s="1"/>
  <c r="HG338" i="1" s="1"/>
  <c r="HG339" i="1" s="1"/>
  <c r="HG340" i="1" s="1"/>
  <c r="HG341" i="1" s="1"/>
  <c r="HG342" i="1" s="1"/>
  <c r="HG343" i="1" s="1"/>
  <c r="HG344" i="1" s="1"/>
  <c r="HG345" i="1" s="1"/>
  <c r="HG346" i="1" s="1"/>
  <c r="HG347" i="1" s="1"/>
  <c r="HG348" i="1" s="1"/>
  <c r="HG349" i="1" s="1"/>
  <c r="HG350" i="1" s="1"/>
  <c r="HG351" i="1" s="1"/>
  <c r="HG352" i="1" s="1"/>
  <c r="HG353" i="1" s="1"/>
  <c r="HG354" i="1" s="1"/>
  <c r="HG355" i="1" s="1"/>
  <c r="HG356" i="1" s="1"/>
  <c r="Y67" i="5"/>
  <c r="D29" i="14" s="1"/>
  <c r="U67" i="5"/>
  <c r="D25" i="14" s="1"/>
  <c r="FW325" i="1"/>
  <c r="FW326" i="1" s="1"/>
  <c r="FW327" i="1" s="1"/>
  <c r="FW328" i="1" s="1"/>
  <c r="FW329" i="1" s="1"/>
  <c r="FW330" i="1" s="1"/>
  <c r="FW331" i="1" s="1"/>
  <c r="FW332" i="1" s="1"/>
  <c r="FW333" i="1" s="1"/>
  <c r="FW334" i="1" s="1"/>
  <c r="FW335" i="1" s="1"/>
  <c r="FW336" i="1" s="1"/>
  <c r="FW337" i="1" s="1"/>
  <c r="FW338" i="1" s="1"/>
  <c r="FW339" i="1" s="1"/>
  <c r="FW340" i="1" s="1"/>
  <c r="FW341" i="1" s="1"/>
  <c r="FW342" i="1" s="1"/>
  <c r="FW343" i="1" s="1"/>
  <c r="FW344" i="1" s="1"/>
  <c r="FW345" i="1" s="1"/>
  <c r="FW346" i="1" s="1"/>
  <c r="FW347" i="1" s="1"/>
  <c r="FW348" i="1" s="1"/>
  <c r="FW349" i="1" s="1"/>
  <c r="FW350" i="1" s="1"/>
  <c r="FW351" i="1" s="1"/>
  <c r="FW352" i="1" s="1"/>
  <c r="FW353" i="1" s="1"/>
  <c r="FW354" i="1" s="1"/>
  <c r="FW355" i="1" s="1"/>
  <c r="FW356" i="1" s="1"/>
  <c r="X67" i="5"/>
  <c r="D28" i="14" s="1"/>
  <c r="GX325" i="1"/>
  <c r="GX326" i="1" s="1"/>
  <c r="GX327" i="1" s="1"/>
  <c r="GX328" i="1" s="1"/>
  <c r="GX329" i="1" s="1"/>
  <c r="GX330" i="1" s="1"/>
  <c r="GX331" i="1" s="1"/>
  <c r="GX332" i="1" s="1"/>
  <c r="GX333" i="1" s="1"/>
  <c r="GX334" i="1" s="1"/>
  <c r="GX335" i="1" s="1"/>
  <c r="GX336" i="1" s="1"/>
  <c r="GX337" i="1" s="1"/>
  <c r="GX338" i="1" s="1"/>
  <c r="GX339" i="1" s="1"/>
  <c r="GX340" i="1" s="1"/>
  <c r="GX341" i="1" s="1"/>
  <c r="GX342" i="1" s="1"/>
  <c r="GX343" i="1" s="1"/>
  <c r="GX344" i="1" s="1"/>
  <c r="GX345" i="1" s="1"/>
  <c r="GX346" i="1" s="1"/>
  <c r="GX347" i="1" s="1"/>
  <c r="GX348" i="1" s="1"/>
  <c r="GX349" i="1" s="1"/>
  <c r="GX350" i="1" s="1"/>
  <c r="GX351" i="1" s="1"/>
  <c r="GX352" i="1" s="1"/>
  <c r="GX353" i="1" s="1"/>
  <c r="GX354" i="1" s="1"/>
  <c r="GX355" i="1" s="1"/>
  <c r="GX356" i="1" s="1"/>
  <c r="D71" i="5"/>
  <c r="H6" i="14" s="1"/>
  <c r="O6" i="14" s="1"/>
  <c r="IR325" i="1" l="1"/>
  <c r="IR326" i="1" s="1"/>
  <c r="IR327" i="1" s="1"/>
  <c r="IR328" i="1" s="1"/>
  <c r="IR329" i="1" s="1"/>
  <c r="IR330" i="1" s="1"/>
  <c r="IR331" i="1" s="1"/>
  <c r="IR332" i="1" s="1"/>
  <c r="IR333" i="1" s="1"/>
  <c r="IR334" i="1" s="1"/>
  <c r="IR335" i="1" s="1"/>
  <c r="IR336" i="1" s="1"/>
  <c r="IR337" i="1" s="1"/>
  <c r="IR338" i="1" s="1"/>
  <c r="IR339" i="1" s="1"/>
  <c r="IR340" i="1" s="1"/>
  <c r="IR341" i="1" s="1"/>
  <c r="IR342" i="1" s="1"/>
  <c r="IR343" i="1" s="1"/>
  <c r="IR344" i="1" s="1"/>
  <c r="IR345" i="1" s="1"/>
  <c r="IR346" i="1" s="1"/>
  <c r="IR347" i="1" s="1"/>
  <c r="IR348" i="1" s="1"/>
  <c r="IR349" i="1" s="1"/>
  <c r="IR350" i="1" s="1"/>
  <c r="IR351" i="1" s="1"/>
  <c r="IR352" i="1" s="1"/>
  <c r="IR353" i="1" s="1"/>
  <c r="IR354" i="1" s="1"/>
  <c r="IR355" i="1" s="1"/>
  <c r="IR356" i="1" s="1"/>
  <c r="AC67" i="5"/>
  <c r="D33" i="14" s="1"/>
  <c r="M71" i="5"/>
  <c r="H15" i="14" s="1"/>
  <c r="O15" i="14" s="1"/>
  <c r="DC360" i="1"/>
  <c r="LC395" i="1"/>
  <c r="AJ78" i="5"/>
  <c r="H40" i="15" s="1"/>
  <c r="O40" i="15" s="1"/>
  <c r="AD71" i="5"/>
  <c r="H34" i="14" s="1"/>
  <c r="O34" i="14" s="1"/>
  <c r="JA360" i="1"/>
  <c r="D4" i="12"/>
  <c r="II360" i="1"/>
  <c r="AB71" i="5"/>
  <c r="H32" i="14" s="1"/>
  <c r="O32" i="14" s="1"/>
  <c r="AK71" i="5"/>
  <c r="H41" i="14" s="1"/>
  <c r="O41" i="14" s="1"/>
  <c r="LL360" i="1"/>
  <c r="AG71" i="5"/>
  <c r="H37" i="14" s="1"/>
  <c r="O37" i="14" s="1"/>
  <c r="KB360" i="1"/>
  <c r="AF71" i="5"/>
  <c r="H36" i="14" s="1"/>
  <c r="O36" i="14" s="1"/>
  <c r="JS360" i="1"/>
  <c r="B57" i="5"/>
  <c r="H289" i="1"/>
  <c r="AI71" i="5"/>
  <c r="H39" i="14" s="1"/>
  <c r="O39" i="14" s="1"/>
  <c r="KT360" i="1"/>
  <c r="AH71" i="5"/>
  <c r="H38" i="14" s="1"/>
  <c r="O38" i="14" s="1"/>
  <c r="KK360" i="1"/>
  <c r="S71" i="5"/>
  <c r="H21" i="14" s="1"/>
  <c r="O21" i="14" s="1"/>
  <c r="FE360" i="1"/>
  <c r="O71" i="5"/>
  <c r="H17" i="14" s="1"/>
  <c r="O17" i="14" s="1"/>
  <c r="DU360" i="1"/>
  <c r="N71" i="5"/>
  <c r="H16" i="14" s="1"/>
  <c r="O16" i="14" s="1"/>
  <c r="U71" i="5"/>
  <c r="H25" i="14" s="1"/>
  <c r="O25" i="14" s="1"/>
  <c r="FW360" i="1"/>
  <c r="Z71" i="5"/>
  <c r="H30" i="14" s="1"/>
  <c r="O30" i="14" s="1"/>
  <c r="HP360" i="1"/>
  <c r="AE71" i="5"/>
  <c r="H35" i="14" s="1"/>
  <c r="O35" i="14" s="1"/>
  <c r="JJ360" i="1"/>
  <c r="P71" i="5"/>
  <c r="H18" i="14" s="1"/>
  <c r="O18" i="14" s="1"/>
  <c r="ED360" i="1"/>
  <c r="GF361" i="1"/>
  <c r="GF362" i="1" s="1"/>
  <c r="GF363" i="1" s="1"/>
  <c r="GF364" i="1" s="1"/>
  <c r="GF365" i="1" s="1"/>
  <c r="GF366" i="1" s="1"/>
  <c r="GF367" i="1" s="1"/>
  <c r="GF368" i="1" s="1"/>
  <c r="GF369" i="1" s="1"/>
  <c r="GF370" i="1" s="1"/>
  <c r="GF371" i="1" s="1"/>
  <c r="GF372" i="1" s="1"/>
  <c r="GF373" i="1" s="1"/>
  <c r="GF374" i="1" s="1"/>
  <c r="GF375" i="1" s="1"/>
  <c r="GF376" i="1" s="1"/>
  <c r="GF377" i="1" s="1"/>
  <c r="GF378" i="1" s="1"/>
  <c r="GF379" i="1" s="1"/>
  <c r="GF380" i="1" s="1"/>
  <c r="GF381" i="1" s="1"/>
  <c r="GF382" i="1" s="1"/>
  <c r="GF383" i="1" s="1"/>
  <c r="GF384" i="1" s="1"/>
  <c r="GF385" i="1" s="1"/>
  <c r="GF386" i="1" s="1"/>
  <c r="GF387" i="1" s="1"/>
  <c r="GF388" i="1" s="1"/>
  <c r="GF389" i="1" s="1"/>
  <c r="GF390" i="1" s="1"/>
  <c r="GF391" i="1" s="1"/>
  <c r="V74" i="5"/>
  <c r="D26" i="15" s="1"/>
  <c r="W74" i="5"/>
  <c r="D27" i="15" s="1"/>
  <c r="GO361" i="1"/>
  <c r="GO362" i="1" s="1"/>
  <c r="GO363" i="1" s="1"/>
  <c r="GO364" i="1" s="1"/>
  <c r="GO365" i="1" s="1"/>
  <c r="GO366" i="1" s="1"/>
  <c r="GO367" i="1" s="1"/>
  <c r="GO368" i="1" s="1"/>
  <c r="GO369" i="1" s="1"/>
  <c r="GO370" i="1" s="1"/>
  <c r="GO371" i="1" s="1"/>
  <c r="GO372" i="1" s="1"/>
  <c r="GO373" i="1" s="1"/>
  <c r="GO374" i="1" s="1"/>
  <c r="GO375" i="1" s="1"/>
  <c r="GO376" i="1" s="1"/>
  <c r="GO377" i="1" s="1"/>
  <c r="GO378" i="1" s="1"/>
  <c r="GO379" i="1" s="1"/>
  <c r="GO380" i="1" s="1"/>
  <c r="GO381" i="1" s="1"/>
  <c r="GO382" i="1" s="1"/>
  <c r="GO383" i="1" s="1"/>
  <c r="GO384" i="1" s="1"/>
  <c r="GO385" i="1" s="1"/>
  <c r="GO386" i="1" s="1"/>
  <c r="GO387" i="1" s="1"/>
  <c r="GO388" i="1" s="1"/>
  <c r="GO389" i="1" s="1"/>
  <c r="GO390" i="1" s="1"/>
  <c r="GO391" i="1" s="1"/>
  <c r="AA71" i="5"/>
  <c r="H31" i="14" s="1"/>
  <c r="O31" i="14" s="1"/>
  <c r="HZ360" i="1"/>
  <c r="Q74" i="5"/>
  <c r="D19" i="15" s="1"/>
  <c r="EM361" i="1"/>
  <c r="EM362" i="1" s="1"/>
  <c r="EM363" i="1" s="1"/>
  <c r="EM364" i="1" s="1"/>
  <c r="EM365" i="1" s="1"/>
  <c r="EM366" i="1" s="1"/>
  <c r="EM367" i="1" s="1"/>
  <c r="EM368" i="1" s="1"/>
  <c r="EM369" i="1" s="1"/>
  <c r="EM370" i="1" s="1"/>
  <c r="EM371" i="1" s="1"/>
  <c r="EM372" i="1" s="1"/>
  <c r="EM373" i="1" s="1"/>
  <c r="EM374" i="1" s="1"/>
  <c r="EM375" i="1" s="1"/>
  <c r="EM376" i="1" s="1"/>
  <c r="EM377" i="1" s="1"/>
  <c r="EM378" i="1" s="1"/>
  <c r="EM379" i="1" s="1"/>
  <c r="EM380" i="1" s="1"/>
  <c r="EM381" i="1" s="1"/>
  <c r="EM382" i="1" s="1"/>
  <c r="EM383" i="1" s="1"/>
  <c r="EM384" i="1" s="1"/>
  <c r="EM385" i="1" s="1"/>
  <c r="EM386" i="1" s="1"/>
  <c r="EM387" i="1" s="1"/>
  <c r="EM388" i="1" s="1"/>
  <c r="EM389" i="1" s="1"/>
  <c r="EM390" i="1" s="1"/>
  <c r="EM391" i="1" s="1"/>
  <c r="R71" i="5"/>
  <c r="H20" i="14" s="1"/>
  <c r="O20" i="14" s="1"/>
  <c r="EV360" i="1"/>
  <c r="Y71" i="5"/>
  <c r="H29" i="14" s="1"/>
  <c r="O29" i="14" s="1"/>
  <c r="HG360" i="1"/>
  <c r="X71" i="5"/>
  <c r="H28" i="14" s="1"/>
  <c r="O28" i="14" s="1"/>
  <c r="GX360" i="1"/>
  <c r="L71" i="5"/>
  <c r="H14" i="14" s="1"/>
  <c r="O14" i="14" s="1"/>
  <c r="CT360" i="1"/>
  <c r="D74" i="5"/>
  <c r="D6" i="15" s="1"/>
  <c r="AC71" i="5" l="1"/>
  <c r="H33" i="14" s="1"/>
  <c r="O33" i="14" s="1"/>
  <c r="IR360" i="1"/>
  <c r="M74" i="5"/>
  <c r="D15" i="15" s="1"/>
  <c r="DC361" i="1"/>
  <c r="DC362" i="1" s="1"/>
  <c r="DC363" i="1" s="1"/>
  <c r="DC364" i="1" s="1"/>
  <c r="DC365" i="1" s="1"/>
  <c r="DC366" i="1" s="1"/>
  <c r="DC367" i="1" s="1"/>
  <c r="DC368" i="1" s="1"/>
  <c r="DC369" i="1" s="1"/>
  <c r="DC370" i="1" s="1"/>
  <c r="DC371" i="1" s="1"/>
  <c r="DC372" i="1" s="1"/>
  <c r="DC373" i="1" s="1"/>
  <c r="DC374" i="1" s="1"/>
  <c r="DC375" i="1" s="1"/>
  <c r="DC376" i="1" s="1"/>
  <c r="DC377" i="1" s="1"/>
  <c r="DC378" i="1" s="1"/>
  <c r="DC379" i="1" s="1"/>
  <c r="DC380" i="1" s="1"/>
  <c r="DC381" i="1" s="1"/>
  <c r="DC382" i="1" s="1"/>
  <c r="DC383" i="1" s="1"/>
  <c r="DC384" i="1" s="1"/>
  <c r="DC385" i="1" s="1"/>
  <c r="DC386" i="1" s="1"/>
  <c r="DC387" i="1" s="1"/>
  <c r="DC388" i="1" s="1"/>
  <c r="DC389" i="1" s="1"/>
  <c r="DC390" i="1" s="1"/>
  <c r="DC391" i="1" s="1"/>
  <c r="AD74" i="5"/>
  <c r="D34" i="15" s="1"/>
  <c r="JA361" i="1"/>
  <c r="JA362" i="1" s="1"/>
  <c r="JA363" i="1" s="1"/>
  <c r="JA364" i="1" s="1"/>
  <c r="JA365" i="1" s="1"/>
  <c r="JA366" i="1" s="1"/>
  <c r="JA367" i="1" s="1"/>
  <c r="JA368" i="1" s="1"/>
  <c r="JA369" i="1" s="1"/>
  <c r="JA370" i="1" s="1"/>
  <c r="JA371" i="1" s="1"/>
  <c r="JA372" i="1" s="1"/>
  <c r="JA373" i="1" s="1"/>
  <c r="JA374" i="1" s="1"/>
  <c r="JA375" i="1" s="1"/>
  <c r="JA376" i="1" s="1"/>
  <c r="JA377" i="1" s="1"/>
  <c r="JA378" i="1" s="1"/>
  <c r="JA379" i="1" s="1"/>
  <c r="JA380" i="1" s="1"/>
  <c r="JA381" i="1" s="1"/>
  <c r="JA382" i="1" s="1"/>
  <c r="JA383" i="1" s="1"/>
  <c r="JA384" i="1" s="1"/>
  <c r="JA385" i="1" s="1"/>
  <c r="JA386" i="1" s="1"/>
  <c r="JA387" i="1" s="1"/>
  <c r="JA388" i="1" s="1"/>
  <c r="JA389" i="1" s="1"/>
  <c r="JA390" i="1" s="1"/>
  <c r="JA391" i="1" s="1"/>
  <c r="LC396" i="1"/>
  <c r="LC397" i="1" s="1"/>
  <c r="LC398" i="1" s="1"/>
  <c r="LC399" i="1" s="1"/>
  <c r="LC400" i="1" s="1"/>
  <c r="LC401" i="1" s="1"/>
  <c r="LC402" i="1" s="1"/>
  <c r="LC403" i="1" s="1"/>
  <c r="LC404" i="1" s="1"/>
  <c r="LC405" i="1" s="1"/>
  <c r="LC406" i="1" s="1"/>
  <c r="LC407" i="1" s="1"/>
  <c r="LC408" i="1" s="1"/>
  <c r="LC409" i="1" s="1"/>
  <c r="LC410" i="1" s="1"/>
  <c r="LC411" i="1" s="1"/>
  <c r="LC412" i="1" s="1"/>
  <c r="LC413" i="1" s="1"/>
  <c r="LC414" i="1" s="1"/>
  <c r="LC415" i="1" s="1"/>
  <c r="LC416" i="1" s="1"/>
  <c r="LC417" i="1" s="1"/>
  <c r="LC418" i="1" s="1"/>
  <c r="LC419" i="1" s="1"/>
  <c r="LC420" i="1" s="1"/>
  <c r="LC421" i="1" s="1"/>
  <c r="LC422" i="1" s="1"/>
  <c r="LC423" i="1" s="1"/>
  <c r="LC424" i="1" s="1"/>
  <c r="LC425" i="1" s="1"/>
  <c r="LC426" i="1" s="1"/>
  <c r="LC427" i="1" s="1"/>
  <c r="AJ85" i="5" s="1"/>
  <c r="H40" i="16" s="1"/>
  <c r="O40" i="16" s="1"/>
  <c r="AJ81" i="5"/>
  <c r="D40" i="16" s="1"/>
  <c r="H4" i="12"/>
  <c r="KB361" i="1"/>
  <c r="KB362" i="1" s="1"/>
  <c r="KB363" i="1" s="1"/>
  <c r="KB364" i="1" s="1"/>
  <c r="KB365" i="1" s="1"/>
  <c r="KB366" i="1" s="1"/>
  <c r="KB367" i="1" s="1"/>
  <c r="KB368" i="1" s="1"/>
  <c r="KB369" i="1" s="1"/>
  <c r="KB370" i="1" s="1"/>
  <c r="KB371" i="1" s="1"/>
  <c r="KB372" i="1" s="1"/>
  <c r="KB373" i="1" s="1"/>
  <c r="KB374" i="1" s="1"/>
  <c r="KB375" i="1" s="1"/>
  <c r="KB376" i="1" s="1"/>
  <c r="KB377" i="1" s="1"/>
  <c r="KB378" i="1" s="1"/>
  <c r="KB379" i="1" s="1"/>
  <c r="KB380" i="1" s="1"/>
  <c r="KB381" i="1" s="1"/>
  <c r="KB382" i="1" s="1"/>
  <c r="KB383" i="1" s="1"/>
  <c r="KB384" i="1" s="1"/>
  <c r="KB385" i="1" s="1"/>
  <c r="KB386" i="1" s="1"/>
  <c r="KB387" i="1" s="1"/>
  <c r="KB388" i="1" s="1"/>
  <c r="KB389" i="1" s="1"/>
  <c r="KB390" i="1" s="1"/>
  <c r="KB391" i="1" s="1"/>
  <c r="AG74" i="5"/>
  <c r="D37" i="15" s="1"/>
  <c r="AK74" i="5"/>
  <c r="D41" i="15" s="1"/>
  <c r="LL361" i="1"/>
  <c r="LL362" i="1" s="1"/>
  <c r="LL363" i="1" s="1"/>
  <c r="LL364" i="1" s="1"/>
  <c r="LL365" i="1" s="1"/>
  <c r="LL366" i="1" s="1"/>
  <c r="LL367" i="1" s="1"/>
  <c r="LL368" i="1" s="1"/>
  <c r="LL369" i="1" s="1"/>
  <c r="LL370" i="1" s="1"/>
  <c r="LL371" i="1" s="1"/>
  <c r="LL372" i="1" s="1"/>
  <c r="LL373" i="1" s="1"/>
  <c r="LL374" i="1" s="1"/>
  <c r="LL375" i="1" s="1"/>
  <c r="LL376" i="1" s="1"/>
  <c r="LL377" i="1" s="1"/>
  <c r="LL378" i="1" s="1"/>
  <c r="LL379" i="1" s="1"/>
  <c r="LL380" i="1" s="1"/>
  <c r="LL381" i="1" s="1"/>
  <c r="LL382" i="1" s="1"/>
  <c r="LL383" i="1" s="1"/>
  <c r="LL384" i="1" s="1"/>
  <c r="LL385" i="1" s="1"/>
  <c r="LL386" i="1" s="1"/>
  <c r="LL387" i="1" s="1"/>
  <c r="LL388" i="1" s="1"/>
  <c r="LL389" i="1" s="1"/>
  <c r="LL390" i="1" s="1"/>
  <c r="LL391" i="1" s="1"/>
  <c r="AB74" i="5"/>
  <c r="D32" i="15" s="1"/>
  <c r="II361" i="1"/>
  <c r="II362" i="1" s="1"/>
  <c r="II363" i="1" s="1"/>
  <c r="II364" i="1" s="1"/>
  <c r="II365" i="1" s="1"/>
  <c r="II366" i="1" s="1"/>
  <c r="II367" i="1" s="1"/>
  <c r="II368" i="1" s="1"/>
  <c r="II369" i="1" s="1"/>
  <c r="II370" i="1" s="1"/>
  <c r="II371" i="1" s="1"/>
  <c r="II372" i="1" s="1"/>
  <c r="II373" i="1" s="1"/>
  <c r="II374" i="1" s="1"/>
  <c r="II375" i="1" s="1"/>
  <c r="II376" i="1" s="1"/>
  <c r="II377" i="1" s="1"/>
  <c r="II378" i="1" s="1"/>
  <c r="II379" i="1" s="1"/>
  <c r="II380" i="1" s="1"/>
  <c r="II381" i="1" s="1"/>
  <c r="II382" i="1" s="1"/>
  <c r="II383" i="1" s="1"/>
  <c r="II384" i="1" s="1"/>
  <c r="II385" i="1" s="1"/>
  <c r="II386" i="1" s="1"/>
  <c r="II387" i="1" s="1"/>
  <c r="II388" i="1" s="1"/>
  <c r="II389" i="1" s="1"/>
  <c r="II390" i="1" s="1"/>
  <c r="II391" i="1" s="1"/>
  <c r="JS361" i="1"/>
  <c r="JS362" i="1" s="1"/>
  <c r="JS363" i="1" s="1"/>
  <c r="JS364" i="1" s="1"/>
  <c r="JS365" i="1" s="1"/>
  <c r="JS366" i="1" s="1"/>
  <c r="JS367" i="1" s="1"/>
  <c r="JS368" i="1" s="1"/>
  <c r="JS369" i="1" s="1"/>
  <c r="JS370" i="1" s="1"/>
  <c r="JS371" i="1" s="1"/>
  <c r="JS372" i="1" s="1"/>
  <c r="JS373" i="1" s="1"/>
  <c r="JS374" i="1" s="1"/>
  <c r="JS375" i="1" s="1"/>
  <c r="JS376" i="1" s="1"/>
  <c r="JS377" i="1" s="1"/>
  <c r="JS378" i="1" s="1"/>
  <c r="JS379" i="1" s="1"/>
  <c r="JS380" i="1" s="1"/>
  <c r="JS381" i="1" s="1"/>
  <c r="JS382" i="1" s="1"/>
  <c r="JS383" i="1" s="1"/>
  <c r="JS384" i="1" s="1"/>
  <c r="JS385" i="1" s="1"/>
  <c r="JS386" i="1" s="1"/>
  <c r="JS387" i="1" s="1"/>
  <c r="JS388" i="1" s="1"/>
  <c r="JS389" i="1" s="1"/>
  <c r="JS390" i="1" s="1"/>
  <c r="JS391" i="1" s="1"/>
  <c r="AF74" i="5"/>
  <c r="D36" i="15" s="1"/>
  <c r="H290" i="1"/>
  <c r="H291" i="1" s="1"/>
  <c r="H292" i="1" s="1"/>
  <c r="H293" i="1" s="1"/>
  <c r="H294" i="1" s="1"/>
  <c r="H295" i="1" s="1"/>
  <c r="H296" i="1" s="1"/>
  <c r="H297" i="1" s="1"/>
  <c r="H298" i="1" s="1"/>
  <c r="H299" i="1" s="1"/>
  <c r="H300" i="1" s="1"/>
  <c r="H301" i="1" s="1"/>
  <c r="H302" i="1" s="1"/>
  <c r="H303" i="1" s="1"/>
  <c r="H304" i="1" s="1"/>
  <c r="H305" i="1" s="1"/>
  <c r="H306" i="1" s="1"/>
  <c r="H307" i="1" s="1"/>
  <c r="H308" i="1" s="1"/>
  <c r="H309" i="1" s="1"/>
  <c r="H310" i="1" s="1"/>
  <c r="H311" i="1" s="1"/>
  <c r="H312" i="1" s="1"/>
  <c r="H313" i="1" s="1"/>
  <c r="H314" i="1" s="1"/>
  <c r="H315" i="1" s="1"/>
  <c r="H316" i="1" s="1"/>
  <c r="H317" i="1" s="1"/>
  <c r="H318" i="1" s="1"/>
  <c r="H319" i="1" s="1"/>
  <c r="H320" i="1" s="1"/>
  <c r="B60" i="5"/>
  <c r="D4" i="13" s="1"/>
  <c r="V78" i="5"/>
  <c r="H26" i="15" s="1"/>
  <c r="O26" i="15" s="1"/>
  <c r="GF395" i="1"/>
  <c r="Q78" i="5"/>
  <c r="H19" i="15" s="1"/>
  <c r="O19" i="15" s="1"/>
  <c r="EM395" i="1"/>
  <c r="W78" i="5"/>
  <c r="H27" i="15" s="1"/>
  <c r="O27" i="15" s="1"/>
  <c r="GO395" i="1"/>
  <c r="AI74" i="5"/>
  <c r="D39" i="15" s="1"/>
  <c r="KT361" i="1"/>
  <c r="KT362" i="1" s="1"/>
  <c r="KT363" i="1" s="1"/>
  <c r="KT364" i="1" s="1"/>
  <c r="KT365" i="1" s="1"/>
  <c r="KT366" i="1" s="1"/>
  <c r="KT367" i="1" s="1"/>
  <c r="KT368" i="1" s="1"/>
  <c r="KT369" i="1" s="1"/>
  <c r="KT370" i="1" s="1"/>
  <c r="KT371" i="1" s="1"/>
  <c r="KT372" i="1" s="1"/>
  <c r="KT373" i="1" s="1"/>
  <c r="KT374" i="1" s="1"/>
  <c r="KT375" i="1" s="1"/>
  <c r="KT376" i="1" s="1"/>
  <c r="KT377" i="1" s="1"/>
  <c r="KT378" i="1" s="1"/>
  <c r="KT379" i="1" s="1"/>
  <c r="KT380" i="1" s="1"/>
  <c r="KT381" i="1" s="1"/>
  <c r="KT382" i="1" s="1"/>
  <c r="KT383" i="1" s="1"/>
  <c r="KT384" i="1" s="1"/>
  <c r="KT385" i="1" s="1"/>
  <c r="KT386" i="1" s="1"/>
  <c r="KT387" i="1" s="1"/>
  <c r="KT388" i="1" s="1"/>
  <c r="KT389" i="1" s="1"/>
  <c r="KT390" i="1" s="1"/>
  <c r="KT391" i="1" s="1"/>
  <c r="EV361" i="1"/>
  <c r="EV362" i="1" s="1"/>
  <c r="EV363" i="1" s="1"/>
  <c r="EV364" i="1" s="1"/>
  <c r="EV365" i="1" s="1"/>
  <c r="EV366" i="1" s="1"/>
  <c r="EV367" i="1" s="1"/>
  <c r="EV368" i="1" s="1"/>
  <c r="EV369" i="1" s="1"/>
  <c r="EV370" i="1" s="1"/>
  <c r="EV371" i="1" s="1"/>
  <c r="EV372" i="1" s="1"/>
  <c r="EV373" i="1" s="1"/>
  <c r="EV374" i="1" s="1"/>
  <c r="EV375" i="1" s="1"/>
  <c r="EV376" i="1" s="1"/>
  <c r="EV377" i="1" s="1"/>
  <c r="EV378" i="1" s="1"/>
  <c r="EV379" i="1" s="1"/>
  <c r="EV380" i="1" s="1"/>
  <c r="EV381" i="1" s="1"/>
  <c r="EV382" i="1" s="1"/>
  <c r="EV383" i="1" s="1"/>
  <c r="EV384" i="1" s="1"/>
  <c r="EV385" i="1" s="1"/>
  <c r="EV386" i="1" s="1"/>
  <c r="EV387" i="1" s="1"/>
  <c r="EV388" i="1" s="1"/>
  <c r="EV389" i="1" s="1"/>
  <c r="EV390" i="1" s="1"/>
  <c r="EV391" i="1" s="1"/>
  <c r="R74" i="5"/>
  <c r="D20" i="15" s="1"/>
  <c r="AA74" i="5"/>
  <c r="D31" i="15" s="1"/>
  <c r="HZ361" i="1"/>
  <c r="HZ362" i="1" s="1"/>
  <c r="HZ363" i="1" s="1"/>
  <c r="HZ364" i="1" s="1"/>
  <c r="HZ365" i="1" s="1"/>
  <c r="HZ366" i="1" s="1"/>
  <c r="HZ367" i="1" s="1"/>
  <c r="HZ368" i="1" s="1"/>
  <c r="HZ369" i="1" s="1"/>
  <c r="HZ370" i="1" s="1"/>
  <c r="HZ371" i="1" s="1"/>
  <c r="HZ372" i="1" s="1"/>
  <c r="HZ373" i="1" s="1"/>
  <c r="HZ374" i="1" s="1"/>
  <c r="HZ375" i="1" s="1"/>
  <c r="HZ376" i="1" s="1"/>
  <c r="HZ377" i="1" s="1"/>
  <c r="HZ378" i="1" s="1"/>
  <c r="HZ379" i="1" s="1"/>
  <c r="HZ380" i="1" s="1"/>
  <c r="HZ381" i="1" s="1"/>
  <c r="HZ382" i="1" s="1"/>
  <c r="HZ383" i="1" s="1"/>
  <c r="HZ384" i="1" s="1"/>
  <c r="HZ385" i="1" s="1"/>
  <c r="HZ386" i="1" s="1"/>
  <c r="HZ387" i="1" s="1"/>
  <c r="HZ388" i="1" s="1"/>
  <c r="HZ389" i="1" s="1"/>
  <c r="HZ390" i="1" s="1"/>
  <c r="HZ391" i="1" s="1"/>
  <c r="AE74" i="5"/>
  <c r="D35" i="15" s="1"/>
  <c r="JJ361" i="1"/>
  <c r="JJ362" i="1" s="1"/>
  <c r="JJ363" i="1" s="1"/>
  <c r="JJ364" i="1" s="1"/>
  <c r="JJ365" i="1" s="1"/>
  <c r="JJ366" i="1" s="1"/>
  <c r="JJ367" i="1" s="1"/>
  <c r="JJ368" i="1" s="1"/>
  <c r="JJ369" i="1" s="1"/>
  <c r="JJ370" i="1" s="1"/>
  <c r="JJ371" i="1" s="1"/>
  <c r="JJ372" i="1" s="1"/>
  <c r="JJ373" i="1" s="1"/>
  <c r="JJ374" i="1" s="1"/>
  <c r="JJ375" i="1" s="1"/>
  <c r="JJ376" i="1" s="1"/>
  <c r="JJ377" i="1" s="1"/>
  <c r="JJ378" i="1" s="1"/>
  <c r="JJ379" i="1" s="1"/>
  <c r="JJ380" i="1" s="1"/>
  <c r="JJ381" i="1" s="1"/>
  <c r="JJ382" i="1" s="1"/>
  <c r="JJ383" i="1" s="1"/>
  <c r="JJ384" i="1" s="1"/>
  <c r="JJ385" i="1" s="1"/>
  <c r="JJ386" i="1" s="1"/>
  <c r="JJ387" i="1" s="1"/>
  <c r="JJ388" i="1" s="1"/>
  <c r="JJ389" i="1" s="1"/>
  <c r="JJ390" i="1" s="1"/>
  <c r="JJ391" i="1" s="1"/>
  <c r="HP361" i="1"/>
  <c r="HP362" i="1" s="1"/>
  <c r="HP363" i="1" s="1"/>
  <c r="HP364" i="1" s="1"/>
  <c r="HP365" i="1" s="1"/>
  <c r="HP366" i="1" s="1"/>
  <c r="HP367" i="1" s="1"/>
  <c r="HP368" i="1" s="1"/>
  <c r="HP369" i="1" s="1"/>
  <c r="HP370" i="1" s="1"/>
  <c r="HP371" i="1" s="1"/>
  <c r="HP372" i="1" s="1"/>
  <c r="HP373" i="1" s="1"/>
  <c r="HP374" i="1" s="1"/>
  <c r="HP375" i="1" s="1"/>
  <c r="HP376" i="1" s="1"/>
  <c r="HP377" i="1" s="1"/>
  <c r="HP378" i="1" s="1"/>
  <c r="HP379" i="1" s="1"/>
  <c r="HP380" i="1" s="1"/>
  <c r="HP381" i="1" s="1"/>
  <c r="HP382" i="1" s="1"/>
  <c r="HP383" i="1" s="1"/>
  <c r="HP384" i="1" s="1"/>
  <c r="HP385" i="1" s="1"/>
  <c r="HP386" i="1" s="1"/>
  <c r="HP387" i="1" s="1"/>
  <c r="HP388" i="1" s="1"/>
  <c r="HP389" i="1" s="1"/>
  <c r="HP390" i="1" s="1"/>
  <c r="HP391" i="1" s="1"/>
  <c r="Z74" i="5"/>
  <c r="D30" i="15" s="1"/>
  <c r="DL361" i="1"/>
  <c r="DL362" i="1" s="1"/>
  <c r="DL363" i="1" s="1"/>
  <c r="DL364" i="1" s="1"/>
  <c r="DL365" i="1" s="1"/>
  <c r="DL366" i="1" s="1"/>
  <c r="N74" i="5"/>
  <c r="D16" i="15" s="1"/>
  <c r="FE361" i="1"/>
  <c r="FE362" i="1" s="1"/>
  <c r="FE363" i="1" s="1"/>
  <c r="FE364" i="1" s="1"/>
  <c r="FE365" i="1" s="1"/>
  <c r="FE366" i="1" s="1"/>
  <c r="FE367" i="1" s="1"/>
  <c r="FE368" i="1" s="1"/>
  <c r="FE369" i="1" s="1"/>
  <c r="FE370" i="1" s="1"/>
  <c r="FE371" i="1" s="1"/>
  <c r="FE372" i="1" s="1"/>
  <c r="FE373" i="1" s="1"/>
  <c r="FE374" i="1" s="1"/>
  <c r="FE375" i="1" s="1"/>
  <c r="FE376" i="1" s="1"/>
  <c r="FE377" i="1" s="1"/>
  <c r="FE378" i="1" s="1"/>
  <c r="FE379" i="1" s="1"/>
  <c r="FE380" i="1" s="1"/>
  <c r="FE381" i="1" s="1"/>
  <c r="FE382" i="1" s="1"/>
  <c r="FE383" i="1" s="1"/>
  <c r="FE384" i="1" s="1"/>
  <c r="FE385" i="1" s="1"/>
  <c r="FE386" i="1" s="1"/>
  <c r="FE387" i="1" s="1"/>
  <c r="FE388" i="1" s="1"/>
  <c r="FE389" i="1" s="1"/>
  <c r="FE390" i="1" s="1"/>
  <c r="FE391" i="1" s="1"/>
  <c r="S74" i="5"/>
  <c r="D21" i="15" s="1"/>
  <c r="P74" i="5"/>
  <c r="D18" i="15" s="1"/>
  <c r="ED361" i="1"/>
  <c r="ED362" i="1" s="1"/>
  <c r="ED363" i="1" s="1"/>
  <c r="ED364" i="1" s="1"/>
  <c r="ED365" i="1" s="1"/>
  <c r="ED366" i="1" s="1"/>
  <c r="ED367" i="1" s="1"/>
  <c r="ED368" i="1" s="1"/>
  <c r="ED369" i="1" s="1"/>
  <c r="ED370" i="1" s="1"/>
  <c r="ED371" i="1" s="1"/>
  <c r="ED372" i="1" s="1"/>
  <c r="ED373" i="1" s="1"/>
  <c r="ED374" i="1" s="1"/>
  <c r="ED375" i="1" s="1"/>
  <c r="ED376" i="1" s="1"/>
  <c r="ED377" i="1" s="1"/>
  <c r="ED378" i="1" s="1"/>
  <c r="ED379" i="1" s="1"/>
  <c r="ED380" i="1" s="1"/>
  <c r="ED381" i="1" s="1"/>
  <c r="ED382" i="1" s="1"/>
  <c r="ED383" i="1" s="1"/>
  <c r="ED384" i="1" s="1"/>
  <c r="ED385" i="1" s="1"/>
  <c r="ED386" i="1" s="1"/>
  <c r="ED387" i="1" s="1"/>
  <c r="ED388" i="1" s="1"/>
  <c r="ED389" i="1" s="1"/>
  <c r="ED390" i="1" s="1"/>
  <c r="ED391" i="1" s="1"/>
  <c r="U74" i="5"/>
  <c r="D25" i="15" s="1"/>
  <c r="FW361" i="1"/>
  <c r="FW362" i="1" s="1"/>
  <c r="FW363" i="1" s="1"/>
  <c r="FW364" i="1" s="1"/>
  <c r="FW365" i="1" s="1"/>
  <c r="FW366" i="1" s="1"/>
  <c r="FW367" i="1" s="1"/>
  <c r="FW368" i="1" s="1"/>
  <c r="FW369" i="1" s="1"/>
  <c r="FW370" i="1" s="1"/>
  <c r="FW371" i="1" s="1"/>
  <c r="FW372" i="1" s="1"/>
  <c r="FW373" i="1" s="1"/>
  <c r="FW374" i="1" s="1"/>
  <c r="FW375" i="1" s="1"/>
  <c r="FW376" i="1" s="1"/>
  <c r="FW377" i="1" s="1"/>
  <c r="FW378" i="1" s="1"/>
  <c r="FW379" i="1" s="1"/>
  <c r="FW380" i="1" s="1"/>
  <c r="FW381" i="1" s="1"/>
  <c r="FW382" i="1" s="1"/>
  <c r="FW383" i="1" s="1"/>
  <c r="FW384" i="1" s="1"/>
  <c r="FW385" i="1" s="1"/>
  <c r="FW386" i="1" s="1"/>
  <c r="FW387" i="1" s="1"/>
  <c r="FW388" i="1" s="1"/>
  <c r="FW389" i="1" s="1"/>
  <c r="FW390" i="1" s="1"/>
  <c r="FW391" i="1" s="1"/>
  <c r="DU361" i="1"/>
  <c r="DU362" i="1" s="1"/>
  <c r="DU363" i="1" s="1"/>
  <c r="DU364" i="1" s="1"/>
  <c r="DU365" i="1" s="1"/>
  <c r="DU366" i="1" s="1"/>
  <c r="DU367" i="1" s="1"/>
  <c r="DU368" i="1" s="1"/>
  <c r="DU369" i="1" s="1"/>
  <c r="DU370" i="1" s="1"/>
  <c r="DU371" i="1" s="1"/>
  <c r="DU372" i="1" s="1"/>
  <c r="DU373" i="1" s="1"/>
  <c r="DU374" i="1" s="1"/>
  <c r="DU375" i="1" s="1"/>
  <c r="DU376" i="1" s="1"/>
  <c r="DU377" i="1" s="1"/>
  <c r="DU378" i="1" s="1"/>
  <c r="DU379" i="1" s="1"/>
  <c r="DU380" i="1" s="1"/>
  <c r="DU381" i="1" s="1"/>
  <c r="DU382" i="1" s="1"/>
  <c r="DU383" i="1" s="1"/>
  <c r="DU384" i="1" s="1"/>
  <c r="DU385" i="1" s="1"/>
  <c r="DU386" i="1" s="1"/>
  <c r="DU387" i="1" s="1"/>
  <c r="DU388" i="1" s="1"/>
  <c r="DU389" i="1" s="1"/>
  <c r="DU390" i="1" s="1"/>
  <c r="DU391" i="1" s="1"/>
  <c r="O74" i="5"/>
  <c r="D17" i="15" s="1"/>
  <c r="KK361" i="1"/>
  <c r="KK362" i="1" s="1"/>
  <c r="KK363" i="1" s="1"/>
  <c r="KK364" i="1" s="1"/>
  <c r="KK365" i="1" s="1"/>
  <c r="KK366" i="1" s="1"/>
  <c r="KK367" i="1" s="1"/>
  <c r="KK368" i="1" s="1"/>
  <c r="KK369" i="1" s="1"/>
  <c r="KK370" i="1" s="1"/>
  <c r="KK371" i="1" s="1"/>
  <c r="KK372" i="1" s="1"/>
  <c r="KK373" i="1" s="1"/>
  <c r="KK374" i="1" s="1"/>
  <c r="KK375" i="1" s="1"/>
  <c r="KK376" i="1" s="1"/>
  <c r="KK377" i="1" s="1"/>
  <c r="KK378" i="1" s="1"/>
  <c r="KK379" i="1" s="1"/>
  <c r="KK380" i="1" s="1"/>
  <c r="KK381" i="1" s="1"/>
  <c r="KK382" i="1" s="1"/>
  <c r="KK383" i="1" s="1"/>
  <c r="KK384" i="1" s="1"/>
  <c r="KK385" i="1" s="1"/>
  <c r="KK386" i="1" s="1"/>
  <c r="KK387" i="1" s="1"/>
  <c r="KK388" i="1" s="1"/>
  <c r="KK389" i="1" s="1"/>
  <c r="KK390" i="1" s="1"/>
  <c r="KK391" i="1" s="1"/>
  <c r="AH74" i="5"/>
  <c r="D38" i="15" s="1"/>
  <c r="Y74" i="5"/>
  <c r="D29" i="15" s="1"/>
  <c r="HG361" i="1"/>
  <c r="HG362" i="1" s="1"/>
  <c r="HG363" i="1" s="1"/>
  <c r="HG364" i="1" s="1"/>
  <c r="HG365" i="1" s="1"/>
  <c r="HG366" i="1" s="1"/>
  <c r="HG367" i="1" s="1"/>
  <c r="HG368" i="1" s="1"/>
  <c r="HG369" i="1" s="1"/>
  <c r="HG370" i="1" s="1"/>
  <c r="HG371" i="1" s="1"/>
  <c r="HG372" i="1" s="1"/>
  <c r="HG373" i="1" s="1"/>
  <c r="HG374" i="1" s="1"/>
  <c r="HG375" i="1" s="1"/>
  <c r="HG376" i="1" s="1"/>
  <c r="HG377" i="1" s="1"/>
  <c r="HG378" i="1" s="1"/>
  <c r="HG379" i="1" s="1"/>
  <c r="HG380" i="1" s="1"/>
  <c r="HG381" i="1" s="1"/>
  <c r="HG382" i="1" s="1"/>
  <c r="HG383" i="1" s="1"/>
  <c r="HG384" i="1" s="1"/>
  <c r="HG385" i="1" s="1"/>
  <c r="HG386" i="1" s="1"/>
  <c r="HG387" i="1" s="1"/>
  <c r="HG388" i="1" s="1"/>
  <c r="HG389" i="1" s="1"/>
  <c r="HG390" i="1" s="1"/>
  <c r="HG391" i="1" s="1"/>
  <c r="X74" i="5"/>
  <c r="D28" i="15" s="1"/>
  <c r="GX361" i="1"/>
  <c r="GX362" i="1" s="1"/>
  <c r="GX363" i="1" s="1"/>
  <c r="GX364" i="1" s="1"/>
  <c r="GX365" i="1" s="1"/>
  <c r="GX366" i="1" s="1"/>
  <c r="GX367" i="1" s="1"/>
  <c r="GX368" i="1" s="1"/>
  <c r="GX369" i="1" s="1"/>
  <c r="GX370" i="1" s="1"/>
  <c r="GX371" i="1" s="1"/>
  <c r="GX372" i="1" s="1"/>
  <c r="GX373" i="1" s="1"/>
  <c r="GX374" i="1" s="1"/>
  <c r="GX375" i="1" s="1"/>
  <c r="GX376" i="1" s="1"/>
  <c r="GX377" i="1" s="1"/>
  <c r="GX378" i="1" s="1"/>
  <c r="GX379" i="1" s="1"/>
  <c r="GX380" i="1" s="1"/>
  <c r="GX381" i="1" s="1"/>
  <c r="GX382" i="1" s="1"/>
  <c r="GX383" i="1" s="1"/>
  <c r="GX384" i="1" s="1"/>
  <c r="GX385" i="1" s="1"/>
  <c r="GX386" i="1" s="1"/>
  <c r="GX387" i="1" s="1"/>
  <c r="GX388" i="1" s="1"/>
  <c r="GX389" i="1" s="1"/>
  <c r="GX390" i="1" s="1"/>
  <c r="GX391" i="1" s="1"/>
  <c r="L74" i="5"/>
  <c r="D14" i="15" s="1"/>
  <c r="CT361" i="1"/>
  <c r="CT362" i="1" s="1"/>
  <c r="CT363" i="1" s="1"/>
  <c r="CT364" i="1" s="1"/>
  <c r="CT365" i="1" s="1"/>
  <c r="CT366" i="1" s="1"/>
  <c r="CT367" i="1" s="1"/>
  <c r="CT368" i="1" s="1"/>
  <c r="CT369" i="1" s="1"/>
  <c r="CT370" i="1" s="1"/>
  <c r="CT371" i="1" s="1"/>
  <c r="CT372" i="1" s="1"/>
  <c r="CT373" i="1" s="1"/>
  <c r="CT374" i="1" s="1"/>
  <c r="CT375" i="1" s="1"/>
  <c r="CT376" i="1" s="1"/>
  <c r="CT377" i="1" s="1"/>
  <c r="CT378" i="1" s="1"/>
  <c r="CT379" i="1" s="1"/>
  <c r="CT380" i="1" s="1"/>
  <c r="CT381" i="1" s="1"/>
  <c r="CT382" i="1" s="1"/>
  <c r="CT383" i="1" s="1"/>
  <c r="CT384" i="1" s="1"/>
  <c r="CT385" i="1" s="1"/>
  <c r="CT386" i="1" s="1"/>
  <c r="CT387" i="1" s="1"/>
  <c r="CT388" i="1" s="1"/>
  <c r="CT389" i="1" s="1"/>
  <c r="CT390" i="1" s="1"/>
  <c r="CT391" i="1" s="1"/>
  <c r="D78" i="5"/>
  <c r="H6" i="15" s="1"/>
  <c r="O6" i="15" s="1"/>
  <c r="AC74" i="5" l="1"/>
  <c r="D33" i="15" s="1"/>
  <c r="IR361" i="1"/>
  <c r="IR362" i="1" s="1"/>
  <c r="IR363" i="1" s="1"/>
  <c r="IR364" i="1" s="1"/>
  <c r="IR365" i="1" s="1"/>
  <c r="IR366" i="1" s="1"/>
  <c r="IR367" i="1" s="1"/>
  <c r="IR368" i="1" s="1"/>
  <c r="IR369" i="1" s="1"/>
  <c r="IR370" i="1" s="1"/>
  <c r="IR371" i="1" s="1"/>
  <c r="IR372" i="1" s="1"/>
  <c r="IR373" i="1" s="1"/>
  <c r="IR374" i="1" s="1"/>
  <c r="IR375" i="1" s="1"/>
  <c r="IR376" i="1" s="1"/>
  <c r="IR377" i="1" s="1"/>
  <c r="IR378" i="1" s="1"/>
  <c r="IR379" i="1" s="1"/>
  <c r="IR380" i="1" s="1"/>
  <c r="IR381" i="1" s="1"/>
  <c r="IR382" i="1" s="1"/>
  <c r="IR383" i="1" s="1"/>
  <c r="IR384" i="1" s="1"/>
  <c r="IR385" i="1" s="1"/>
  <c r="IR386" i="1" s="1"/>
  <c r="IR387" i="1" s="1"/>
  <c r="IR388" i="1" s="1"/>
  <c r="IR389" i="1" s="1"/>
  <c r="IR390" i="1" s="1"/>
  <c r="IR391" i="1" s="1"/>
  <c r="O4" i="12"/>
  <c r="M78" i="5"/>
  <c r="H15" i="15" s="1"/>
  <c r="O15" i="15" s="1"/>
  <c r="DC395" i="1"/>
  <c r="AD78" i="5"/>
  <c r="H34" i="15" s="1"/>
  <c r="O34" i="15" s="1"/>
  <c r="JA395" i="1"/>
  <c r="AB78" i="5"/>
  <c r="H32" i="15" s="1"/>
  <c r="O32" i="15" s="1"/>
  <c r="II395" i="1"/>
  <c r="AK78" i="5"/>
  <c r="H41" i="15" s="1"/>
  <c r="O41" i="15" s="1"/>
  <c r="LL395" i="1"/>
  <c r="AG78" i="5"/>
  <c r="H37" i="15" s="1"/>
  <c r="O37" i="15" s="1"/>
  <c r="KB395" i="1"/>
  <c r="DL367" i="1"/>
  <c r="DL368" i="1" s="1"/>
  <c r="DL369" i="1" s="1"/>
  <c r="DL370" i="1" s="1"/>
  <c r="DL371" i="1" s="1"/>
  <c r="DL372" i="1" s="1"/>
  <c r="DL373" i="1" s="1"/>
  <c r="DL374" i="1" s="1"/>
  <c r="DL375" i="1" s="1"/>
  <c r="DL376" i="1" s="1"/>
  <c r="DL377" i="1" s="1"/>
  <c r="DL378" i="1" s="1"/>
  <c r="DL379" i="1" s="1"/>
  <c r="DL380" i="1" s="1"/>
  <c r="DL381" i="1" s="1"/>
  <c r="DL382" i="1" s="1"/>
  <c r="DL383" i="1" s="1"/>
  <c r="DL384" i="1" s="1"/>
  <c r="DL385" i="1" s="1"/>
  <c r="DL386" i="1" s="1"/>
  <c r="DL387" i="1" s="1"/>
  <c r="DL388" i="1" s="1"/>
  <c r="DL389" i="1" s="1"/>
  <c r="DL390" i="1" s="1"/>
  <c r="DL391" i="1" s="1"/>
  <c r="DL395" i="1" s="1"/>
  <c r="AF78" i="5"/>
  <c r="H36" i="15" s="1"/>
  <c r="O36" i="15" s="1"/>
  <c r="JS395" i="1"/>
  <c r="H324" i="1"/>
  <c r="B64" i="5"/>
  <c r="H4" i="13" s="1"/>
  <c r="AA78" i="5"/>
  <c r="H31" i="15" s="1"/>
  <c r="O31" i="15" s="1"/>
  <c r="HZ395" i="1"/>
  <c r="EM396" i="1"/>
  <c r="EM397" i="1" s="1"/>
  <c r="EM398" i="1" s="1"/>
  <c r="EM399" i="1" s="1"/>
  <c r="EM400" i="1" s="1"/>
  <c r="EM401" i="1" s="1"/>
  <c r="EM402" i="1" s="1"/>
  <c r="EM403" i="1" s="1"/>
  <c r="EM404" i="1" s="1"/>
  <c r="EM405" i="1" s="1"/>
  <c r="EM406" i="1" s="1"/>
  <c r="EM407" i="1" s="1"/>
  <c r="EM408" i="1" s="1"/>
  <c r="EM409" i="1" s="1"/>
  <c r="EM410" i="1" s="1"/>
  <c r="EM411" i="1" s="1"/>
  <c r="EM412" i="1" s="1"/>
  <c r="EM413" i="1" s="1"/>
  <c r="EM414" i="1" s="1"/>
  <c r="EM415" i="1" s="1"/>
  <c r="EM416" i="1" s="1"/>
  <c r="EM417" i="1" s="1"/>
  <c r="EM418" i="1" s="1"/>
  <c r="EM419" i="1" s="1"/>
  <c r="EM420" i="1" s="1"/>
  <c r="EM421" i="1" s="1"/>
  <c r="EM422" i="1" s="1"/>
  <c r="EM423" i="1" s="1"/>
  <c r="EM424" i="1" s="1"/>
  <c r="EM425" i="1" s="1"/>
  <c r="EM426" i="1" s="1"/>
  <c r="EM427" i="1" s="1"/>
  <c r="Q85" i="5" s="1"/>
  <c r="H19" i="16" s="1"/>
  <c r="O19" i="16" s="1"/>
  <c r="Q81" i="5"/>
  <c r="D19" i="16" s="1"/>
  <c r="O78" i="5"/>
  <c r="H17" i="15" s="1"/>
  <c r="O17" i="15" s="1"/>
  <c r="DU395" i="1"/>
  <c r="P78" i="5"/>
  <c r="H18" i="15" s="1"/>
  <c r="O18" i="15" s="1"/>
  <c r="ED395" i="1"/>
  <c r="AE78" i="5"/>
  <c r="H35" i="15" s="1"/>
  <c r="O35" i="15" s="1"/>
  <c r="JJ395" i="1"/>
  <c r="V81" i="5"/>
  <c r="D26" i="16" s="1"/>
  <c r="GF396" i="1"/>
  <c r="GF397" i="1" s="1"/>
  <c r="GF398" i="1" s="1"/>
  <c r="GF399" i="1" s="1"/>
  <c r="GF400" i="1" s="1"/>
  <c r="GF401" i="1" s="1"/>
  <c r="GF402" i="1" s="1"/>
  <c r="GF403" i="1" s="1"/>
  <c r="GF404" i="1" s="1"/>
  <c r="GF405" i="1" s="1"/>
  <c r="GF406" i="1" s="1"/>
  <c r="GF407" i="1" s="1"/>
  <c r="GF408" i="1" s="1"/>
  <c r="GF409" i="1" s="1"/>
  <c r="GF410" i="1" s="1"/>
  <c r="GF411" i="1" s="1"/>
  <c r="GF412" i="1" s="1"/>
  <c r="GF413" i="1" s="1"/>
  <c r="GF414" i="1" s="1"/>
  <c r="GF415" i="1" s="1"/>
  <c r="GF416" i="1" s="1"/>
  <c r="GF417" i="1" s="1"/>
  <c r="GF418" i="1" s="1"/>
  <c r="GF419" i="1" s="1"/>
  <c r="GF420" i="1" s="1"/>
  <c r="GF421" i="1" s="1"/>
  <c r="GF422" i="1" s="1"/>
  <c r="GF423" i="1" s="1"/>
  <c r="GF424" i="1" s="1"/>
  <c r="GF425" i="1" s="1"/>
  <c r="GF426" i="1" s="1"/>
  <c r="GF427" i="1" s="1"/>
  <c r="V85" i="5" s="1"/>
  <c r="H26" i="16" s="1"/>
  <c r="O26" i="16" s="1"/>
  <c r="AH78" i="5"/>
  <c r="H38" i="15" s="1"/>
  <c r="KK395" i="1"/>
  <c r="R78" i="5"/>
  <c r="H20" i="15" s="1"/>
  <c r="O20" i="15" s="1"/>
  <c r="EV395" i="1"/>
  <c r="S78" i="5"/>
  <c r="H21" i="15" s="1"/>
  <c r="O21" i="15" s="1"/>
  <c r="FE395" i="1"/>
  <c r="Y78" i="5"/>
  <c r="H29" i="15" s="1"/>
  <c r="O29" i="15" s="1"/>
  <c r="HG395" i="1"/>
  <c r="Z78" i="5"/>
  <c r="H30" i="15" s="1"/>
  <c r="O30" i="15" s="1"/>
  <c r="HP395" i="1"/>
  <c r="X78" i="5"/>
  <c r="H28" i="15" s="1"/>
  <c r="O28" i="15" s="1"/>
  <c r="GX395" i="1"/>
  <c r="W81" i="5"/>
  <c r="D27" i="16" s="1"/>
  <c r="GO396" i="1"/>
  <c r="GO397" i="1" s="1"/>
  <c r="GO398" i="1" s="1"/>
  <c r="GO399" i="1" s="1"/>
  <c r="GO400" i="1" s="1"/>
  <c r="GO401" i="1" s="1"/>
  <c r="GO402" i="1" s="1"/>
  <c r="GO403" i="1" s="1"/>
  <c r="GO404" i="1" s="1"/>
  <c r="GO405" i="1" s="1"/>
  <c r="GO406" i="1" s="1"/>
  <c r="GO407" i="1" s="1"/>
  <c r="GO408" i="1" s="1"/>
  <c r="GO409" i="1" s="1"/>
  <c r="GO410" i="1" s="1"/>
  <c r="GO411" i="1" s="1"/>
  <c r="GO412" i="1" s="1"/>
  <c r="GO413" i="1" s="1"/>
  <c r="GO414" i="1" s="1"/>
  <c r="GO415" i="1" s="1"/>
  <c r="GO416" i="1" s="1"/>
  <c r="GO417" i="1" s="1"/>
  <c r="GO418" i="1" s="1"/>
  <c r="GO419" i="1" s="1"/>
  <c r="GO420" i="1" s="1"/>
  <c r="GO421" i="1" s="1"/>
  <c r="GO422" i="1" s="1"/>
  <c r="GO423" i="1" s="1"/>
  <c r="GO424" i="1" s="1"/>
  <c r="GO425" i="1" s="1"/>
  <c r="GO426" i="1" s="1"/>
  <c r="GO427" i="1" s="1"/>
  <c r="W85" i="5" s="1"/>
  <c r="H27" i="16" s="1"/>
  <c r="O27" i="16" s="1"/>
  <c r="U78" i="5"/>
  <c r="H25" i="15" s="1"/>
  <c r="O25" i="15" s="1"/>
  <c r="FW395" i="1"/>
  <c r="L78" i="5"/>
  <c r="H14" i="15" s="1"/>
  <c r="O14" i="15" s="1"/>
  <c r="CT395" i="1"/>
  <c r="AI78" i="5"/>
  <c r="H39" i="15" s="1"/>
  <c r="O39" i="15" s="1"/>
  <c r="KT395" i="1"/>
  <c r="D81" i="5"/>
  <c r="D6" i="16" s="1"/>
  <c r="D85" i="5"/>
  <c r="H6" i="16" s="1"/>
  <c r="O6" i="16" s="1"/>
  <c r="IR395" i="1" l="1"/>
  <c r="AC78" i="5"/>
  <c r="H33" i="15" s="1"/>
  <c r="O33" i="15" s="1"/>
  <c r="O4" i="13"/>
  <c r="DC396" i="1"/>
  <c r="DC397" i="1" s="1"/>
  <c r="DC398" i="1" s="1"/>
  <c r="DC399" i="1" s="1"/>
  <c r="DC400" i="1" s="1"/>
  <c r="DC401" i="1" s="1"/>
  <c r="DC402" i="1" s="1"/>
  <c r="DC403" i="1" s="1"/>
  <c r="DC404" i="1" s="1"/>
  <c r="DC405" i="1" s="1"/>
  <c r="DC406" i="1" s="1"/>
  <c r="DC407" i="1" s="1"/>
  <c r="DC408" i="1" s="1"/>
  <c r="DC409" i="1" s="1"/>
  <c r="DC410" i="1" s="1"/>
  <c r="DC411" i="1" s="1"/>
  <c r="DC412" i="1" s="1"/>
  <c r="DC413" i="1" s="1"/>
  <c r="DC414" i="1" s="1"/>
  <c r="DC415" i="1" s="1"/>
  <c r="DC416" i="1" s="1"/>
  <c r="DC417" i="1" s="1"/>
  <c r="DC418" i="1" s="1"/>
  <c r="DC419" i="1" s="1"/>
  <c r="DC420" i="1" s="1"/>
  <c r="DC421" i="1" s="1"/>
  <c r="DC422" i="1" s="1"/>
  <c r="DC423" i="1" s="1"/>
  <c r="DC424" i="1" s="1"/>
  <c r="DC425" i="1" s="1"/>
  <c r="DC426" i="1" s="1"/>
  <c r="DC427" i="1" s="1"/>
  <c r="M85" i="5" s="1"/>
  <c r="H15" i="16" s="1"/>
  <c r="O15" i="16" s="1"/>
  <c r="M81" i="5"/>
  <c r="D15" i="16" s="1"/>
  <c r="O38" i="15"/>
  <c r="JA396" i="1"/>
  <c r="JA397" i="1" s="1"/>
  <c r="JA398" i="1" s="1"/>
  <c r="JA399" i="1" s="1"/>
  <c r="JA400" i="1" s="1"/>
  <c r="JA401" i="1" s="1"/>
  <c r="JA402" i="1" s="1"/>
  <c r="JA403" i="1" s="1"/>
  <c r="JA404" i="1" s="1"/>
  <c r="JA405" i="1" s="1"/>
  <c r="JA406" i="1" s="1"/>
  <c r="JA407" i="1" s="1"/>
  <c r="JA408" i="1" s="1"/>
  <c r="JA409" i="1" s="1"/>
  <c r="JA410" i="1" s="1"/>
  <c r="JA411" i="1" s="1"/>
  <c r="JA412" i="1" s="1"/>
  <c r="JA413" i="1" s="1"/>
  <c r="JA414" i="1" s="1"/>
  <c r="JA415" i="1" s="1"/>
  <c r="JA416" i="1" s="1"/>
  <c r="JA417" i="1" s="1"/>
  <c r="JA418" i="1" s="1"/>
  <c r="JA419" i="1" s="1"/>
  <c r="JA420" i="1" s="1"/>
  <c r="JA421" i="1" s="1"/>
  <c r="JA422" i="1" s="1"/>
  <c r="JA423" i="1" s="1"/>
  <c r="JA424" i="1" s="1"/>
  <c r="JA425" i="1" s="1"/>
  <c r="JA426" i="1" s="1"/>
  <c r="JA427" i="1" s="1"/>
  <c r="AD85" i="5" s="1"/>
  <c r="H34" i="16" s="1"/>
  <c r="O34" i="16" s="1"/>
  <c r="AD81" i="5"/>
  <c r="D34" i="16" s="1"/>
  <c r="AG81" i="5"/>
  <c r="D37" i="16" s="1"/>
  <c r="KB396" i="1"/>
  <c r="KB397" i="1" s="1"/>
  <c r="KB398" i="1" s="1"/>
  <c r="KB399" i="1" s="1"/>
  <c r="KB400" i="1" s="1"/>
  <c r="KB401" i="1" s="1"/>
  <c r="KB402" i="1" s="1"/>
  <c r="KB403" i="1" s="1"/>
  <c r="KB404" i="1" s="1"/>
  <c r="KB405" i="1" s="1"/>
  <c r="KB406" i="1" s="1"/>
  <c r="KB407" i="1" s="1"/>
  <c r="KB408" i="1" s="1"/>
  <c r="KB409" i="1" s="1"/>
  <c r="KB410" i="1" s="1"/>
  <c r="KB411" i="1" s="1"/>
  <c r="KB412" i="1" s="1"/>
  <c r="KB413" i="1" s="1"/>
  <c r="KB414" i="1" s="1"/>
  <c r="KB415" i="1" s="1"/>
  <c r="KB416" i="1" s="1"/>
  <c r="KB417" i="1" s="1"/>
  <c r="KB418" i="1" s="1"/>
  <c r="KB419" i="1" s="1"/>
  <c r="KB420" i="1" s="1"/>
  <c r="KB421" i="1" s="1"/>
  <c r="KB422" i="1" s="1"/>
  <c r="KB423" i="1" s="1"/>
  <c r="KB424" i="1" s="1"/>
  <c r="KB425" i="1" s="1"/>
  <c r="KB426" i="1" s="1"/>
  <c r="KB427" i="1" s="1"/>
  <c r="AG85" i="5" s="1"/>
  <c r="H37" i="16" s="1"/>
  <c r="O37" i="16" s="1"/>
  <c r="AK81" i="5"/>
  <c r="D41" i="16" s="1"/>
  <c r="LL396" i="1"/>
  <c r="LL397" i="1" s="1"/>
  <c r="LL398" i="1" s="1"/>
  <c r="LL399" i="1" s="1"/>
  <c r="LL400" i="1" s="1"/>
  <c r="LL401" i="1" s="1"/>
  <c r="LL402" i="1" s="1"/>
  <c r="LL403" i="1" s="1"/>
  <c r="LL404" i="1" s="1"/>
  <c r="LL405" i="1" s="1"/>
  <c r="LL406" i="1" s="1"/>
  <c r="LL407" i="1" s="1"/>
  <c r="LL408" i="1" s="1"/>
  <c r="LL409" i="1" s="1"/>
  <c r="LL410" i="1" s="1"/>
  <c r="LL411" i="1" s="1"/>
  <c r="LL412" i="1" s="1"/>
  <c r="LL413" i="1" s="1"/>
  <c r="LL414" i="1" s="1"/>
  <c r="LL415" i="1" s="1"/>
  <c r="LL416" i="1" s="1"/>
  <c r="LL417" i="1" s="1"/>
  <c r="LL418" i="1" s="1"/>
  <c r="LL419" i="1" s="1"/>
  <c r="LL420" i="1" s="1"/>
  <c r="LL421" i="1" s="1"/>
  <c r="LL422" i="1" s="1"/>
  <c r="LL423" i="1" s="1"/>
  <c r="LL424" i="1" s="1"/>
  <c r="LL425" i="1" s="1"/>
  <c r="LL426" i="1" s="1"/>
  <c r="LL427" i="1" s="1"/>
  <c r="AK85" i="5" s="1"/>
  <c r="H41" i="16" s="1"/>
  <c r="O41" i="16" s="1"/>
  <c r="AB81" i="5"/>
  <c r="D32" i="16" s="1"/>
  <c r="II396" i="1"/>
  <c r="II397" i="1" s="1"/>
  <c r="II398" i="1" s="1"/>
  <c r="II399" i="1" s="1"/>
  <c r="II400" i="1" s="1"/>
  <c r="II401" i="1" s="1"/>
  <c r="II402" i="1" s="1"/>
  <c r="II403" i="1" s="1"/>
  <c r="II404" i="1" s="1"/>
  <c r="II405" i="1" s="1"/>
  <c r="II406" i="1" s="1"/>
  <c r="II407" i="1" s="1"/>
  <c r="II408" i="1" s="1"/>
  <c r="II409" i="1" s="1"/>
  <c r="II410" i="1" s="1"/>
  <c r="II411" i="1" s="1"/>
  <c r="II412" i="1" s="1"/>
  <c r="II413" i="1" s="1"/>
  <c r="II414" i="1" s="1"/>
  <c r="II415" i="1" s="1"/>
  <c r="II416" i="1" s="1"/>
  <c r="II417" i="1" s="1"/>
  <c r="II418" i="1" s="1"/>
  <c r="II419" i="1" s="1"/>
  <c r="II420" i="1" s="1"/>
  <c r="II421" i="1" s="1"/>
  <c r="II422" i="1" s="1"/>
  <c r="II423" i="1" s="1"/>
  <c r="II424" i="1" s="1"/>
  <c r="II425" i="1" s="1"/>
  <c r="II426" i="1" s="1"/>
  <c r="II427" i="1" s="1"/>
  <c r="AB85" i="5" s="1"/>
  <c r="H32" i="16" s="1"/>
  <c r="O32" i="16" s="1"/>
  <c r="N78" i="5"/>
  <c r="H16" i="15" s="1"/>
  <c r="O16" i="15" s="1"/>
  <c r="DL396" i="1"/>
  <c r="DL397" i="1" s="1"/>
  <c r="DL398" i="1" s="1"/>
  <c r="DL399" i="1" s="1"/>
  <c r="DL400" i="1" s="1"/>
  <c r="DL401" i="1" s="1"/>
  <c r="DL402" i="1" s="1"/>
  <c r="DL403" i="1" s="1"/>
  <c r="DL404" i="1" s="1"/>
  <c r="DL405" i="1" s="1"/>
  <c r="DL406" i="1" s="1"/>
  <c r="DL407" i="1" s="1"/>
  <c r="DL408" i="1" s="1"/>
  <c r="DL409" i="1" s="1"/>
  <c r="DL410" i="1" s="1"/>
  <c r="DL411" i="1" s="1"/>
  <c r="DL412" i="1" s="1"/>
  <c r="DL413" i="1" s="1"/>
  <c r="DL414" i="1" s="1"/>
  <c r="DL415" i="1" s="1"/>
  <c r="DL416" i="1" s="1"/>
  <c r="DL417" i="1" s="1"/>
  <c r="DL418" i="1" s="1"/>
  <c r="DL419" i="1" s="1"/>
  <c r="DL420" i="1" s="1"/>
  <c r="DL421" i="1" s="1"/>
  <c r="DL422" i="1" s="1"/>
  <c r="DL423" i="1" s="1"/>
  <c r="DL424" i="1" s="1"/>
  <c r="DL425" i="1" s="1"/>
  <c r="DL426" i="1" s="1"/>
  <c r="DL427" i="1" s="1"/>
  <c r="N85" i="5" s="1"/>
  <c r="H16" i="16" s="1"/>
  <c r="O16" i="16" s="1"/>
  <c r="AF81" i="5"/>
  <c r="D36" i="16" s="1"/>
  <c r="JS396" i="1"/>
  <c r="JS397" i="1" s="1"/>
  <c r="JS398" i="1" s="1"/>
  <c r="JS399" i="1" s="1"/>
  <c r="JS400" i="1" s="1"/>
  <c r="JS401" i="1" s="1"/>
  <c r="JS402" i="1" s="1"/>
  <c r="JS403" i="1" s="1"/>
  <c r="JS404" i="1" s="1"/>
  <c r="JS405" i="1" s="1"/>
  <c r="JS406" i="1" s="1"/>
  <c r="JS407" i="1" s="1"/>
  <c r="JS408" i="1" s="1"/>
  <c r="JS409" i="1" s="1"/>
  <c r="JS410" i="1" s="1"/>
  <c r="JS411" i="1" s="1"/>
  <c r="JS412" i="1" s="1"/>
  <c r="JS413" i="1" s="1"/>
  <c r="JS414" i="1" s="1"/>
  <c r="JS415" i="1" s="1"/>
  <c r="JS416" i="1" s="1"/>
  <c r="JS417" i="1" s="1"/>
  <c r="JS418" i="1" s="1"/>
  <c r="JS419" i="1" s="1"/>
  <c r="JS420" i="1" s="1"/>
  <c r="JS421" i="1" s="1"/>
  <c r="JS422" i="1" s="1"/>
  <c r="JS423" i="1" s="1"/>
  <c r="JS424" i="1" s="1"/>
  <c r="JS425" i="1" s="1"/>
  <c r="JS426" i="1" s="1"/>
  <c r="JS427" i="1" s="1"/>
  <c r="AF85" i="5" s="1"/>
  <c r="H36" i="16" s="1"/>
  <c r="O36" i="16" s="1"/>
  <c r="H325" i="1"/>
  <c r="H326" i="1" s="1"/>
  <c r="H327" i="1" s="1"/>
  <c r="H328" i="1" s="1"/>
  <c r="H329" i="1" s="1"/>
  <c r="H330" i="1" s="1"/>
  <c r="H331" i="1" s="1"/>
  <c r="H332" i="1" s="1"/>
  <c r="H333" i="1" s="1"/>
  <c r="H334" i="1" s="1"/>
  <c r="H335" i="1" s="1"/>
  <c r="H336" i="1" s="1"/>
  <c r="H337" i="1" s="1"/>
  <c r="H338" i="1" s="1"/>
  <c r="H339" i="1" s="1"/>
  <c r="H340" i="1" s="1"/>
  <c r="H341" i="1" s="1"/>
  <c r="H342" i="1" s="1"/>
  <c r="H343" i="1" s="1"/>
  <c r="H344" i="1" s="1"/>
  <c r="H345" i="1" s="1"/>
  <c r="H346" i="1" s="1"/>
  <c r="H347" i="1" s="1"/>
  <c r="H348" i="1" s="1"/>
  <c r="H349" i="1" s="1"/>
  <c r="H350" i="1" s="1"/>
  <c r="H351" i="1" s="1"/>
  <c r="H352" i="1" s="1"/>
  <c r="H353" i="1" s="1"/>
  <c r="H354" i="1" s="1"/>
  <c r="H355" i="1" s="1"/>
  <c r="H356" i="1" s="1"/>
  <c r="B67" i="5"/>
  <c r="D4" i="14" s="1"/>
  <c r="R81" i="5"/>
  <c r="D20" i="16" s="1"/>
  <c r="EV396" i="1"/>
  <c r="EV397" i="1" s="1"/>
  <c r="EV398" i="1" s="1"/>
  <c r="EV399" i="1" s="1"/>
  <c r="EV400" i="1" s="1"/>
  <c r="EV401" i="1" s="1"/>
  <c r="EV402" i="1" s="1"/>
  <c r="EV403" i="1" s="1"/>
  <c r="EV404" i="1" s="1"/>
  <c r="EV405" i="1" s="1"/>
  <c r="EV406" i="1" s="1"/>
  <c r="EV407" i="1" s="1"/>
  <c r="EV408" i="1" s="1"/>
  <c r="EV409" i="1" s="1"/>
  <c r="EV410" i="1" s="1"/>
  <c r="EV411" i="1" s="1"/>
  <c r="EV412" i="1" s="1"/>
  <c r="EV413" i="1" s="1"/>
  <c r="EV414" i="1" s="1"/>
  <c r="EV415" i="1" s="1"/>
  <c r="EV416" i="1" s="1"/>
  <c r="EV417" i="1" s="1"/>
  <c r="EV418" i="1" s="1"/>
  <c r="EV419" i="1" s="1"/>
  <c r="EV420" i="1" s="1"/>
  <c r="EV421" i="1" s="1"/>
  <c r="EV422" i="1" s="1"/>
  <c r="EV423" i="1" s="1"/>
  <c r="EV424" i="1" s="1"/>
  <c r="EV425" i="1" s="1"/>
  <c r="EV426" i="1" s="1"/>
  <c r="EV427" i="1" s="1"/>
  <c r="R85" i="5" s="1"/>
  <c r="H20" i="16" s="1"/>
  <c r="O20" i="16" s="1"/>
  <c r="AH81" i="5"/>
  <c r="D38" i="16" s="1"/>
  <c r="KK396" i="1"/>
  <c r="KK397" i="1" s="1"/>
  <c r="KK398" i="1" s="1"/>
  <c r="KK399" i="1" s="1"/>
  <c r="KK400" i="1" s="1"/>
  <c r="KK401" i="1" s="1"/>
  <c r="KK402" i="1" s="1"/>
  <c r="KK403" i="1" s="1"/>
  <c r="KK404" i="1" s="1"/>
  <c r="KK405" i="1" s="1"/>
  <c r="KK406" i="1" s="1"/>
  <c r="KK407" i="1" s="1"/>
  <c r="KK408" i="1" s="1"/>
  <c r="KK409" i="1" s="1"/>
  <c r="KK410" i="1" s="1"/>
  <c r="KK411" i="1" s="1"/>
  <c r="KK412" i="1" s="1"/>
  <c r="KK413" i="1" s="1"/>
  <c r="KK414" i="1" s="1"/>
  <c r="KK415" i="1" s="1"/>
  <c r="KK416" i="1" s="1"/>
  <c r="KK417" i="1" s="1"/>
  <c r="KK418" i="1" s="1"/>
  <c r="KK419" i="1" s="1"/>
  <c r="KK420" i="1" s="1"/>
  <c r="KK421" i="1" s="1"/>
  <c r="KK422" i="1" s="1"/>
  <c r="KK423" i="1" s="1"/>
  <c r="KK424" i="1" s="1"/>
  <c r="KK425" i="1" s="1"/>
  <c r="KK426" i="1" s="1"/>
  <c r="KK427" i="1" s="1"/>
  <c r="AH85" i="5" s="1"/>
  <c r="H38" i="16" s="1"/>
  <c r="O38" i="16" s="1"/>
  <c r="JJ396" i="1"/>
  <c r="JJ397" i="1" s="1"/>
  <c r="JJ398" i="1" s="1"/>
  <c r="JJ399" i="1" s="1"/>
  <c r="JJ400" i="1" s="1"/>
  <c r="JJ401" i="1" s="1"/>
  <c r="JJ402" i="1" s="1"/>
  <c r="JJ403" i="1" s="1"/>
  <c r="JJ404" i="1" s="1"/>
  <c r="JJ405" i="1" s="1"/>
  <c r="JJ406" i="1" s="1"/>
  <c r="JJ407" i="1" s="1"/>
  <c r="JJ408" i="1" s="1"/>
  <c r="JJ409" i="1" s="1"/>
  <c r="JJ410" i="1" s="1"/>
  <c r="JJ411" i="1" s="1"/>
  <c r="JJ412" i="1" s="1"/>
  <c r="JJ413" i="1" s="1"/>
  <c r="JJ414" i="1" s="1"/>
  <c r="JJ415" i="1" s="1"/>
  <c r="JJ416" i="1" s="1"/>
  <c r="JJ417" i="1" s="1"/>
  <c r="JJ418" i="1" s="1"/>
  <c r="JJ419" i="1" s="1"/>
  <c r="JJ420" i="1" s="1"/>
  <c r="JJ421" i="1" s="1"/>
  <c r="JJ422" i="1" s="1"/>
  <c r="JJ423" i="1" s="1"/>
  <c r="JJ424" i="1" s="1"/>
  <c r="JJ425" i="1" s="1"/>
  <c r="JJ426" i="1" s="1"/>
  <c r="JJ427" i="1" s="1"/>
  <c r="AE85" i="5" s="1"/>
  <c r="H35" i="16" s="1"/>
  <c r="O35" i="16" s="1"/>
  <c r="AE81" i="5"/>
  <c r="D35" i="16" s="1"/>
  <c r="P81" i="5"/>
  <c r="D18" i="16" s="1"/>
  <c r="ED396" i="1"/>
  <c r="ED397" i="1" s="1"/>
  <c r="ED398" i="1" s="1"/>
  <c r="ED399" i="1" s="1"/>
  <c r="ED400" i="1" s="1"/>
  <c r="ED401" i="1" s="1"/>
  <c r="ED402" i="1" s="1"/>
  <c r="ED403" i="1" s="1"/>
  <c r="ED404" i="1" s="1"/>
  <c r="ED405" i="1" s="1"/>
  <c r="ED406" i="1" s="1"/>
  <c r="ED407" i="1" s="1"/>
  <c r="ED408" i="1" s="1"/>
  <c r="ED409" i="1" s="1"/>
  <c r="ED410" i="1" s="1"/>
  <c r="ED411" i="1" s="1"/>
  <c r="ED412" i="1" s="1"/>
  <c r="ED413" i="1" s="1"/>
  <c r="ED414" i="1" s="1"/>
  <c r="ED415" i="1" s="1"/>
  <c r="ED416" i="1" s="1"/>
  <c r="ED417" i="1" s="1"/>
  <c r="ED418" i="1" s="1"/>
  <c r="ED419" i="1" s="1"/>
  <c r="ED420" i="1" s="1"/>
  <c r="ED421" i="1" s="1"/>
  <c r="ED422" i="1" s="1"/>
  <c r="ED423" i="1" s="1"/>
  <c r="ED424" i="1" s="1"/>
  <c r="ED425" i="1" s="1"/>
  <c r="ED426" i="1" s="1"/>
  <c r="ED427" i="1" s="1"/>
  <c r="P85" i="5" s="1"/>
  <c r="H18" i="16" s="1"/>
  <c r="O18" i="16" s="1"/>
  <c r="O81" i="5"/>
  <c r="D17" i="16" s="1"/>
  <c r="DU396" i="1"/>
  <c r="DU397" i="1" s="1"/>
  <c r="DU398" i="1" s="1"/>
  <c r="DU399" i="1" s="1"/>
  <c r="DU400" i="1" s="1"/>
  <c r="DU401" i="1" s="1"/>
  <c r="DU402" i="1" s="1"/>
  <c r="DU403" i="1" s="1"/>
  <c r="DU404" i="1" s="1"/>
  <c r="DU405" i="1" s="1"/>
  <c r="DU406" i="1" s="1"/>
  <c r="DU407" i="1" s="1"/>
  <c r="DU408" i="1" s="1"/>
  <c r="DU409" i="1" s="1"/>
  <c r="DU410" i="1" s="1"/>
  <c r="DU411" i="1" s="1"/>
  <c r="DU412" i="1" s="1"/>
  <c r="DU413" i="1" s="1"/>
  <c r="DU414" i="1" s="1"/>
  <c r="DU415" i="1" s="1"/>
  <c r="DU416" i="1" s="1"/>
  <c r="DU417" i="1" s="1"/>
  <c r="DU418" i="1" s="1"/>
  <c r="DU419" i="1" s="1"/>
  <c r="DU420" i="1" s="1"/>
  <c r="DU421" i="1" s="1"/>
  <c r="DU422" i="1" s="1"/>
  <c r="DU423" i="1" s="1"/>
  <c r="DU424" i="1" s="1"/>
  <c r="DU425" i="1" s="1"/>
  <c r="DU426" i="1" s="1"/>
  <c r="DU427" i="1" s="1"/>
  <c r="O85" i="5" s="1"/>
  <c r="H17" i="16" s="1"/>
  <c r="O17" i="16" s="1"/>
  <c r="AA81" i="5"/>
  <c r="D31" i="16" s="1"/>
  <c r="HZ396" i="1"/>
  <c r="HZ397" i="1" s="1"/>
  <c r="HZ398" i="1" s="1"/>
  <c r="HZ399" i="1" s="1"/>
  <c r="HZ400" i="1" s="1"/>
  <c r="HZ401" i="1" s="1"/>
  <c r="HZ402" i="1" s="1"/>
  <c r="HZ403" i="1" s="1"/>
  <c r="HZ404" i="1" s="1"/>
  <c r="HZ405" i="1" s="1"/>
  <c r="HZ406" i="1" s="1"/>
  <c r="HZ407" i="1" s="1"/>
  <c r="HZ408" i="1" s="1"/>
  <c r="HZ409" i="1" s="1"/>
  <c r="HZ410" i="1" s="1"/>
  <c r="HZ411" i="1" s="1"/>
  <c r="HZ412" i="1" s="1"/>
  <c r="HZ413" i="1" s="1"/>
  <c r="HZ414" i="1" s="1"/>
  <c r="HZ415" i="1" s="1"/>
  <c r="HZ416" i="1" s="1"/>
  <c r="HZ417" i="1" s="1"/>
  <c r="HZ418" i="1" s="1"/>
  <c r="HZ419" i="1" s="1"/>
  <c r="HZ420" i="1" s="1"/>
  <c r="HZ421" i="1" s="1"/>
  <c r="HZ422" i="1" s="1"/>
  <c r="HZ423" i="1" s="1"/>
  <c r="HZ424" i="1" s="1"/>
  <c r="HZ425" i="1" s="1"/>
  <c r="HZ426" i="1" s="1"/>
  <c r="HZ427" i="1" s="1"/>
  <c r="AA85" i="5" s="1"/>
  <c r="H31" i="16" s="1"/>
  <c r="O31" i="16" s="1"/>
  <c r="S81" i="5"/>
  <c r="D21" i="16" s="1"/>
  <c r="FE396" i="1"/>
  <c r="FE397" i="1" s="1"/>
  <c r="FE398" i="1" s="1"/>
  <c r="FE399" i="1" s="1"/>
  <c r="FE400" i="1" s="1"/>
  <c r="FE401" i="1" s="1"/>
  <c r="FE402" i="1" s="1"/>
  <c r="FE403" i="1" s="1"/>
  <c r="FE404" i="1" s="1"/>
  <c r="FE405" i="1" s="1"/>
  <c r="FE406" i="1" s="1"/>
  <c r="FE407" i="1" s="1"/>
  <c r="FE408" i="1" s="1"/>
  <c r="FE409" i="1" s="1"/>
  <c r="FE410" i="1" s="1"/>
  <c r="FE411" i="1" s="1"/>
  <c r="FE412" i="1" s="1"/>
  <c r="FE413" i="1" s="1"/>
  <c r="FE414" i="1" s="1"/>
  <c r="FE415" i="1" s="1"/>
  <c r="FE416" i="1" s="1"/>
  <c r="FE417" i="1" s="1"/>
  <c r="FE418" i="1" s="1"/>
  <c r="FE419" i="1" s="1"/>
  <c r="FE420" i="1" s="1"/>
  <c r="FE421" i="1" s="1"/>
  <c r="FE422" i="1" s="1"/>
  <c r="FE423" i="1" s="1"/>
  <c r="FE424" i="1" s="1"/>
  <c r="FE425" i="1" s="1"/>
  <c r="FE426" i="1" s="1"/>
  <c r="FE427" i="1" s="1"/>
  <c r="S85" i="5" s="1"/>
  <c r="H21" i="16" s="1"/>
  <c r="O21" i="16" s="1"/>
  <c r="Y81" i="5"/>
  <c r="D29" i="16" s="1"/>
  <c r="HG396" i="1"/>
  <c r="HG397" i="1" s="1"/>
  <c r="HG398" i="1" s="1"/>
  <c r="HG399" i="1" s="1"/>
  <c r="HG400" i="1" s="1"/>
  <c r="HG401" i="1" s="1"/>
  <c r="HG402" i="1" s="1"/>
  <c r="HG403" i="1" s="1"/>
  <c r="HG404" i="1" s="1"/>
  <c r="HG405" i="1" s="1"/>
  <c r="HG406" i="1" s="1"/>
  <c r="HG407" i="1" s="1"/>
  <c r="HG408" i="1" s="1"/>
  <c r="HG409" i="1" s="1"/>
  <c r="HG410" i="1" s="1"/>
  <c r="HG411" i="1" s="1"/>
  <c r="HG412" i="1" s="1"/>
  <c r="HG413" i="1" s="1"/>
  <c r="HG414" i="1" s="1"/>
  <c r="HG415" i="1" s="1"/>
  <c r="HG416" i="1" s="1"/>
  <c r="HG417" i="1" s="1"/>
  <c r="HG418" i="1" s="1"/>
  <c r="HG419" i="1" s="1"/>
  <c r="HG420" i="1" s="1"/>
  <c r="HG421" i="1" s="1"/>
  <c r="HG422" i="1" s="1"/>
  <c r="HG423" i="1" s="1"/>
  <c r="HG424" i="1" s="1"/>
  <c r="HG425" i="1" s="1"/>
  <c r="HG426" i="1" s="1"/>
  <c r="HG427" i="1" s="1"/>
  <c r="Y85" i="5" s="1"/>
  <c r="H29" i="16" s="1"/>
  <c r="O29" i="16" s="1"/>
  <c r="Z81" i="5"/>
  <c r="D30" i="16" s="1"/>
  <c r="HP396" i="1"/>
  <c r="HP397" i="1" s="1"/>
  <c r="HP398" i="1" s="1"/>
  <c r="HP399" i="1" s="1"/>
  <c r="HP400" i="1" s="1"/>
  <c r="HP401" i="1" s="1"/>
  <c r="HP402" i="1" s="1"/>
  <c r="HP403" i="1" s="1"/>
  <c r="HP404" i="1" s="1"/>
  <c r="HP405" i="1" s="1"/>
  <c r="HP406" i="1" s="1"/>
  <c r="HP407" i="1" s="1"/>
  <c r="HP408" i="1" s="1"/>
  <c r="HP409" i="1" s="1"/>
  <c r="HP410" i="1" s="1"/>
  <c r="HP411" i="1" s="1"/>
  <c r="HP412" i="1" s="1"/>
  <c r="HP413" i="1" s="1"/>
  <c r="HP414" i="1" s="1"/>
  <c r="HP415" i="1" s="1"/>
  <c r="HP416" i="1" s="1"/>
  <c r="HP417" i="1" s="1"/>
  <c r="HP418" i="1" s="1"/>
  <c r="HP419" i="1" s="1"/>
  <c r="HP420" i="1" s="1"/>
  <c r="HP421" i="1" s="1"/>
  <c r="HP422" i="1" s="1"/>
  <c r="HP423" i="1" s="1"/>
  <c r="HP424" i="1" s="1"/>
  <c r="HP425" i="1" s="1"/>
  <c r="HP426" i="1" s="1"/>
  <c r="HP427" i="1" s="1"/>
  <c r="Z85" i="5" s="1"/>
  <c r="H30" i="16" s="1"/>
  <c r="O30" i="16" s="1"/>
  <c r="X81" i="5"/>
  <c r="D28" i="16" s="1"/>
  <c r="GX396" i="1"/>
  <c r="GX397" i="1" s="1"/>
  <c r="GX398" i="1" s="1"/>
  <c r="GX399" i="1" s="1"/>
  <c r="GX400" i="1" s="1"/>
  <c r="GX401" i="1" s="1"/>
  <c r="GX402" i="1" s="1"/>
  <c r="GX403" i="1" s="1"/>
  <c r="GX404" i="1" s="1"/>
  <c r="GX405" i="1" s="1"/>
  <c r="GX406" i="1" s="1"/>
  <c r="GX407" i="1" s="1"/>
  <c r="GX408" i="1" s="1"/>
  <c r="GX409" i="1" s="1"/>
  <c r="GX410" i="1" s="1"/>
  <c r="GX411" i="1" s="1"/>
  <c r="GX412" i="1" s="1"/>
  <c r="GX413" i="1" s="1"/>
  <c r="GX414" i="1" s="1"/>
  <c r="GX415" i="1" s="1"/>
  <c r="GX416" i="1" s="1"/>
  <c r="GX417" i="1" s="1"/>
  <c r="GX418" i="1" s="1"/>
  <c r="GX419" i="1" s="1"/>
  <c r="GX420" i="1" s="1"/>
  <c r="GX421" i="1" s="1"/>
  <c r="GX422" i="1" s="1"/>
  <c r="GX423" i="1" s="1"/>
  <c r="GX424" i="1" s="1"/>
  <c r="GX425" i="1" s="1"/>
  <c r="GX426" i="1" s="1"/>
  <c r="GX427" i="1" s="1"/>
  <c r="X85" i="5" s="1"/>
  <c r="H28" i="16" s="1"/>
  <c r="O28" i="16" s="1"/>
  <c r="U81" i="5"/>
  <c r="D25" i="16" s="1"/>
  <c r="FW396" i="1"/>
  <c r="FW397" i="1" s="1"/>
  <c r="FW398" i="1" s="1"/>
  <c r="FW399" i="1" s="1"/>
  <c r="FW400" i="1" s="1"/>
  <c r="FW401" i="1" s="1"/>
  <c r="FW402" i="1" s="1"/>
  <c r="FW403" i="1" s="1"/>
  <c r="FW404" i="1" s="1"/>
  <c r="FW405" i="1" s="1"/>
  <c r="FW406" i="1" s="1"/>
  <c r="FW407" i="1" s="1"/>
  <c r="FW408" i="1" s="1"/>
  <c r="FW409" i="1" s="1"/>
  <c r="FW410" i="1" s="1"/>
  <c r="FW411" i="1" s="1"/>
  <c r="FW412" i="1" s="1"/>
  <c r="FW413" i="1" s="1"/>
  <c r="FW414" i="1" s="1"/>
  <c r="FW415" i="1" s="1"/>
  <c r="FW416" i="1" s="1"/>
  <c r="FW417" i="1" s="1"/>
  <c r="FW418" i="1" s="1"/>
  <c r="FW419" i="1" s="1"/>
  <c r="FW420" i="1" s="1"/>
  <c r="FW421" i="1" s="1"/>
  <c r="FW422" i="1" s="1"/>
  <c r="FW423" i="1" s="1"/>
  <c r="FW424" i="1" s="1"/>
  <c r="FW425" i="1" s="1"/>
  <c r="FW426" i="1" s="1"/>
  <c r="FW427" i="1" s="1"/>
  <c r="U85" i="5" s="1"/>
  <c r="H25" i="16" s="1"/>
  <c r="O25" i="16" s="1"/>
  <c r="L81" i="5"/>
  <c r="D14" i="16" s="1"/>
  <c r="CT396" i="1"/>
  <c r="CT397" i="1" s="1"/>
  <c r="CT398" i="1" s="1"/>
  <c r="CT399" i="1" s="1"/>
  <c r="CT400" i="1" s="1"/>
  <c r="CT401" i="1" s="1"/>
  <c r="CT402" i="1" s="1"/>
  <c r="CT403" i="1" s="1"/>
  <c r="CT404" i="1" s="1"/>
  <c r="CT405" i="1" s="1"/>
  <c r="CT406" i="1" s="1"/>
  <c r="CT407" i="1" s="1"/>
  <c r="CT408" i="1" s="1"/>
  <c r="CT409" i="1" s="1"/>
  <c r="CT410" i="1" s="1"/>
  <c r="CT411" i="1" s="1"/>
  <c r="CT412" i="1" s="1"/>
  <c r="CT413" i="1" s="1"/>
  <c r="CT414" i="1" s="1"/>
  <c r="CT415" i="1" s="1"/>
  <c r="CT416" i="1" s="1"/>
  <c r="CT417" i="1" s="1"/>
  <c r="CT418" i="1" s="1"/>
  <c r="CT419" i="1" s="1"/>
  <c r="CT420" i="1" s="1"/>
  <c r="CT421" i="1" s="1"/>
  <c r="CT422" i="1" s="1"/>
  <c r="CT423" i="1" s="1"/>
  <c r="CT424" i="1" s="1"/>
  <c r="CT425" i="1" s="1"/>
  <c r="CT426" i="1" s="1"/>
  <c r="CT427" i="1" s="1"/>
  <c r="L85" i="5" s="1"/>
  <c r="H14" i="16" s="1"/>
  <c r="O14" i="16" s="1"/>
  <c r="KT396" i="1"/>
  <c r="KT397" i="1" s="1"/>
  <c r="KT398" i="1" s="1"/>
  <c r="KT399" i="1" s="1"/>
  <c r="KT400" i="1" s="1"/>
  <c r="KT401" i="1" s="1"/>
  <c r="KT402" i="1" s="1"/>
  <c r="KT403" i="1" s="1"/>
  <c r="KT404" i="1" s="1"/>
  <c r="KT405" i="1" s="1"/>
  <c r="KT406" i="1" s="1"/>
  <c r="KT407" i="1" s="1"/>
  <c r="KT408" i="1" s="1"/>
  <c r="KT409" i="1" s="1"/>
  <c r="KT410" i="1" s="1"/>
  <c r="KT411" i="1" s="1"/>
  <c r="KT412" i="1" s="1"/>
  <c r="KT413" i="1" s="1"/>
  <c r="KT414" i="1" s="1"/>
  <c r="KT415" i="1" s="1"/>
  <c r="KT416" i="1" s="1"/>
  <c r="KT417" i="1" s="1"/>
  <c r="KT418" i="1" s="1"/>
  <c r="KT419" i="1" s="1"/>
  <c r="KT420" i="1" s="1"/>
  <c r="KT421" i="1" s="1"/>
  <c r="KT422" i="1" s="1"/>
  <c r="KT423" i="1" s="1"/>
  <c r="KT424" i="1" s="1"/>
  <c r="KT425" i="1" s="1"/>
  <c r="KT426" i="1" s="1"/>
  <c r="KT427" i="1" s="1"/>
  <c r="AI85" i="5" s="1"/>
  <c r="H39" i="16" s="1"/>
  <c r="O39" i="16" s="1"/>
  <c r="AI81" i="5"/>
  <c r="D39" i="16" s="1"/>
  <c r="IR396" i="1" l="1"/>
  <c r="IR397" i="1" s="1"/>
  <c r="IR398" i="1" s="1"/>
  <c r="IR399" i="1" s="1"/>
  <c r="IR400" i="1" s="1"/>
  <c r="IR401" i="1" s="1"/>
  <c r="IR402" i="1" s="1"/>
  <c r="IR403" i="1" s="1"/>
  <c r="IR404" i="1" s="1"/>
  <c r="IR405" i="1" s="1"/>
  <c r="IR406" i="1" s="1"/>
  <c r="IR407" i="1" s="1"/>
  <c r="IR408" i="1" s="1"/>
  <c r="IR409" i="1" s="1"/>
  <c r="IR410" i="1" s="1"/>
  <c r="IR411" i="1" s="1"/>
  <c r="IR412" i="1" s="1"/>
  <c r="IR413" i="1" s="1"/>
  <c r="IR414" i="1" s="1"/>
  <c r="IR415" i="1" s="1"/>
  <c r="IR416" i="1" s="1"/>
  <c r="IR417" i="1" s="1"/>
  <c r="IR418" i="1" s="1"/>
  <c r="IR419" i="1" s="1"/>
  <c r="IR420" i="1" s="1"/>
  <c r="IR421" i="1" s="1"/>
  <c r="IR422" i="1" s="1"/>
  <c r="IR423" i="1" s="1"/>
  <c r="IR424" i="1" s="1"/>
  <c r="IR425" i="1" s="1"/>
  <c r="IR426" i="1" s="1"/>
  <c r="IR427" i="1" s="1"/>
  <c r="AC85" i="5" s="1"/>
  <c r="H33" i="16" s="1"/>
  <c r="O33" i="16" s="1"/>
  <c r="AC81" i="5"/>
  <c r="D33" i="16" s="1"/>
  <c r="N81" i="5"/>
  <c r="D16" i="16" s="1"/>
  <c r="B71" i="5"/>
  <c r="H4" i="14" s="1"/>
  <c r="H360" i="1"/>
  <c r="O4" i="14" l="1"/>
  <c r="H361" i="1"/>
  <c r="H362" i="1" s="1"/>
  <c r="H363" i="1" s="1"/>
  <c r="H364" i="1" s="1"/>
  <c r="H365" i="1" s="1"/>
  <c r="H366" i="1" s="1"/>
  <c r="H367" i="1" s="1"/>
  <c r="H368" i="1" s="1"/>
  <c r="H369" i="1" s="1"/>
  <c r="H370" i="1" s="1"/>
  <c r="H371" i="1" s="1"/>
  <c r="H372" i="1" s="1"/>
  <c r="H373" i="1" s="1"/>
  <c r="H374" i="1" s="1"/>
  <c r="H375" i="1" s="1"/>
  <c r="H376" i="1" s="1"/>
  <c r="H377" i="1" s="1"/>
  <c r="H378" i="1" s="1"/>
  <c r="H379" i="1" s="1"/>
  <c r="H380" i="1" s="1"/>
  <c r="H381" i="1" s="1"/>
  <c r="H382" i="1" s="1"/>
  <c r="H383" i="1" s="1"/>
  <c r="H384" i="1" s="1"/>
  <c r="H385" i="1" s="1"/>
  <c r="H386" i="1" s="1"/>
  <c r="H387" i="1" s="1"/>
  <c r="H388" i="1" s="1"/>
  <c r="H389" i="1" s="1"/>
  <c r="H390" i="1" s="1"/>
  <c r="H391" i="1" s="1"/>
  <c r="B74" i="5"/>
  <c r="D4" i="15" s="1"/>
  <c r="H395" i="1" l="1"/>
  <c r="B78" i="5"/>
  <c r="H4" i="15" s="1"/>
  <c r="O4" i="15" l="1"/>
  <c r="H396" i="1"/>
  <c r="H397" i="1" s="1"/>
  <c r="H398" i="1" s="1"/>
  <c r="H399" i="1" s="1"/>
  <c r="H400" i="1" s="1"/>
  <c r="H401" i="1" s="1"/>
  <c r="H402" i="1" s="1"/>
  <c r="H403" i="1" s="1"/>
  <c r="H404" i="1" s="1"/>
  <c r="H405" i="1" s="1"/>
  <c r="H406" i="1" s="1"/>
  <c r="H407" i="1" s="1"/>
  <c r="H408" i="1" s="1"/>
  <c r="H409" i="1" s="1"/>
  <c r="H410" i="1" s="1"/>
  <c r="H411" i="1" s="1"/>
  <c r="H412" i="1" s="1"/>
  <c r="H413" i="1" s="1"/>
  <c r="H414" i="1" s="1"/>
  <c r="H415" i="1" s="1"/>
  <c r="H416" i="1" s="1"/>
  <c r="H417" i="1" s="1"/>
  <c r="H418" i="1" s="1"/>
  <c r="H419" i="1" s="1"/>
  <c r="H420" i="1" s="1"/>
  <c r="H421" i="1" s="1"/>
  <c r="H422" i="1" s="1"/>
  <c r="H423" i="1" s="1"/>
  <c r="H424" i="1" s="1"/>
  <c r="H425" i="1" s="1"/>
  <c r="H426" i="1" s="1"/>
  <c r="H427" i="1" s="1"/>
  <c r="B85" i="5" s="1"/>
  <c r="H4" i="16" s="1"/>
  <c r="B81" i="5"/>
  <c r="D4" i="16" s="1"/>
  <c r="O4" i="16" l="1"/>
  <c r="FN190" i="1"/>
  <c r="FN191" i="1" s="1"/>
  <c r="FN192" i="1" s="1"/>
  <c r="FN193" i="1" s="1"/>
  <c r="FN194" i="1" s="1"/>
  <c r="FN195" i="1" s="1"/>
  <c r="FN196" i="1" s="1"/>
  <c r="FN197" i="1" s="1"/>
  <c r="FN198" i="1" s="1"/>
  <c r="FN199" i="1" s="1"/>
  <c r="FN200" i="1" s="1"/>
  <c r="FN201" i="1" s="1"/>
  <c r="FN202" i="1" s="1"/>
  <c r="FN203" i="1" s="1"/>
  <c r="FN204" i="1" s="1"/>
  <c r="FN205" i="1" s="1"/>
  <c r="FN206" i="1" s="1"/>
  <c r="FN207" i="1" s="1"/>
  <c r="FN208" i="1" s="1"/>
  <c r="FN209" i="1" s="1"/>
  <c r="FN210" i="1" s="1"/>
  <c r="FN211" i="1" s="1"/>
  <c r="FN212" i="1" s="1"/>
  <c r="FN213" i="1" s="1"/>
  <c r="T43" i="5" l="1"/>
  <c r="H22" i="8" s="1"/>
  <c r="FN217" i="1"/>
  <c r="O22" i="8" l="1"/>
  <c r="H69" i="8"/>
  <c r="T46" i="5"/>
  <c r="FN218" i="1"/>
  <c r="FN219" i="1" s="1"/>
  <c r="FN220" i="1" s="1"/>
  <c r="FN221" i="1" s="1"/>
  <c r="FN222" i="1" s="1"/>
  <c r="FN223" i="1" s="1"/>
  <c r="FN224" i="1" s="1"/>
  <c r="FN225" i="1" s="1"/>
  <c r="FN226" i="1" s="1"/>
  <c r="FN227" i="1" s="1"/>
  <c r="FN228" i="1" s="1"/>
  <c r="FN229" i="1" s="1"/>
  <c r="FN230" i="1" s="1"/>
  <c r="FN231" i="1" s="1"/>
  <c r="FN232" i="1" s="1"/>
  <c r="FN233" i="1" s="1"/>
  <c r="FN234" i="1" s="1"/>
  <c r="FN235" i="1" s="1"/>
  <c r="FN236" i="1" s="1"/>
  <c r="FN237" i="1" s="1"/>
  <c r="FN238" i="1" s="1"/>
  <c r="FN239" i="1" s="1"/>
  <c r="FN240" i="1" s="1"/>
  <c r="FN241" i="1" s="1"/>
  <c r="FN242" i="1" s="1"/>
  <c r="FN243" i="1" s="1"/>
  <c r="FN244" i="1" s="1"/>
  <c r="FN245" i="1" s="1"/>
  <c r="FN246" i="1" s="1"/>
  <c r="FN247" i="1" s="1"/>
  <c r="FN248" i="1" s="1"/>
  <c r="FN249" i="1" s="1"/>
  <c r="D22" i="11" l="1"/>
  <c r="T50" i="5"/>
  <c r="H22" i="11" s="1"/>
  <c r="FN253" i="1"/>
  <c r="D78" i="11" l="1"/>
  <c r="D80" i="11" s="1"/>
  <c r="O22" i="11"/>
  <c r="H78" i="11"/>
  <c r="T53" i="5"/>
  <c r="FN254" i="1"/>
  <c r="FN255" i="1" s="1"/>
  <c r="FN256" i="1" s="1"/>
  <c r="FN257" i="1" s="1"/>
  <c r="FN258" i="1" s="1"/>
  <c r="FN259" i="1" s="1"/>
  <c r="FN260" i="1" s="1"/>
  <c r="FN261" i="1" s="1"/>
  <c r="FN262" i="1" s="1"/>
  <c r="FN263" i="1" s="1"/>
  <c r="FN264" i="1" s="1"/>
  <c r="FN265" i="1" s="1"/>
  <c r="FN266" i="1" s="1"/>
  <c r="FN267" i="1" s="1"/>
  <c r="FN268" i="1" s="1"/>
  <c r="FN269" i="1" s="1"/>
  <c r="FN270" i="1" s="1"/>
  <c r="FN271" i="1" s="1"/>
  <c r="FN272" i="1" s="1"/>
  <c r="FN273" i="1" s="1"/>
  <c r="FN274" i="1" s="1"/>
  <c r="FN275" i="1" s="1"/>
  <c r="FN276" i="1" s="1"/>
  <c r="FN277" i="1" s="1"/>
  <c r="FN278" i="1" s="1"/>
  <c r="FN279" i="1" s="1"/>
  <c r="FN280" i="1" s="1"/>
  <c r="FN281" i="1" s="1"/>
  <c r="FN282" i="1" s="1"/>
  <c r="FN283" i="1" s="1"/>
  <c r="FN284" i="1" s="1"/>
  <c r="FN285" i="1" s="1"/>
  <c r="D22" i="12" l="1"/>
  <c r="D70" i="12" s="1"/>
  <c r="D72" i="12" s="1"/>
  <c r="FN289" i="1"/>
  <c r="T57" i="5"/>
  <c r="H22" i="12" s="1"/>
  <c r="O22" i="12" l="1"/>
  <c r="H70" i="12"/>
  <c r="T60" i="5"/>
  <c r="D22" i="13" s="1"/>
  <c r="D69" i="13" s="1"/>
  <c r="FN290" i="1"/>
  <c r="FN291" i="1" s="1"/>
  <c r="FN292" i="1" s="1"/>
  <c r="FN293" i="1" s="1"/>
  <c r="FN294" i="1" s="1"/>
  <c r="FN295" i="1" s="1"/>
  <c r="FN296" i="1" s="1"/>
  <c r="FN297" i="1" s="1"/>
  <c r="FN298" i="1" s="1"/>
  <c r="FN299" i="1" s="1"/>
  <c r="FN300" i="1" s="1"/>
  <c r="FN301" i="1" s="1"/>
  <c r="FN302" i="1" s="1"/>
  <c r="FN303" i="1" s="1"/>
  <c r="FN304" i="1" s="1"/>
  <c r="FN305" i="1" s="1"/>
  <c r="FN306" i="1" s="1"/>
  <c r="FN307" i="1" s="1"/>
  <c r="FN308" i="1" s="1"/>
  <c r="FN309" i="1" s="1"/>
  <c r="FN310" i="1" s="1"/>
  <c r="FN311" i="1" s="1"/>
  <c r="FN312" i="1" s="1"/>
  <c r="FN313" i="1" s="1"/>
  <c r="FN314" i="1" s="1"/>
  <c r="FN315" i="1" s="1"/>
  <c r="FN316" i="1" s="1"/>
  <c r="FN317" i="1" s="1"/>
  <c r="FN318" i="1" s="1"/>
  <c r="FN319" i="1" s="1"/>
  <c r="FN320" i="1" s="1"/>
  <c r="FN324" i="1" l="1"/>
  <c r="T64" i="5"/>
  <c r="H22" i="13" s="1"/>
  <c r="O22" i="13" l="1"/>
  <c r="H69" i="13"/>
  <c r="T67" i="5"/>
  <c r="D22" i="14" s="1"/>
  <c r="D68" i="14" s="1"/>
  <c r="FN325" i="1"/>
  <c r="FN326" i="1" s="1"/>
  <c r="FN327" i="1" s="1"/>
  <c r="FN328" i="1" s="1"/>
  <c r="FN329" i="1" s="1"/>
  <c r="FN330" i="1" s="1"/>
  <c r="FN331" i="1" s="1"/>
  <c r="FN332" i="1" s="1"/>
  <c r="FN333" i="1" s="1"/>
  <c r="FN334" i="1" s="1"/>
  <c r="FN335" i="1" s="1"/>
  <c r="FN336" i="1" s="1"/>
  <c r="FN337" i="1" s="1"/>
  <c r="FN338" i="1" s="1"/>
  <c r="FN339" i="1" s="1"/>
  <c r="FN340" i="1" s="1"/>
  <c r="FN341" i="1" s="1"/>
  <c r="FN342" i="1" s="1"/>
  <c r="FN343" i="1" s="1"/>
  <c r="FN344" i="1" s="1"/>
  <c r="FN345" i="1" s="1"/>
  <c r="FN346" i="1" s="1"/>
  <c r="FN347" i="1" s="1"/>
  <c r="FN348" i="1" s="1"/>
  <c r="FN349" i="1" s="1"/>
  <c r="FN350" i="1" s="1"/>
  <c r="FN351" i="1" s="1"/>
  <c r="FN352" i="1" s="1"/>
  <c r="FN353" i="1" s="1"/>
  <c r="FN354" i="1" s="1"/>
  <c r="FN355" i="1" s="1"/>
  <c r="FN356" i="1" s="1"/>
  <c r="T71" i="5" l="1"/>
  <c r="H22" i="14" s="1"/>
  <c r="FN360" i="1"/>
  <c r="O22" i="14" l="1"/>
  <c r="H68" i="14"/>
  <c r="FN361" i="1"/>
  <c r="FN362" i="1" s="1"/>
  <c r="FN363" i="1" s="1"/>
  <c r="FN364" i="1" s="1"/>
  <c r="FN365" i="1" s="1"/>
  <c r="FN366" i="1" s="1"/>
  <c r="FN367" i="1" s="1"/>
  <c r="FN368" i="1" s="1"/>
  <c r="FN369" i="1" s="1"/>
  <c r="FN370" i="1" s="1"/>
  <c r="FN371" i="1" s="1"/>
  <c r="FN372" i="1" s="1"/>
  <c r="FN373" i="1" s="1"/>
  <c r="FN374" i="1" s="1"/>
  <c r="FN375" i="1" s="1"/>
  <c r="FN376" i="1" s="1"/>
  <c r="FN377" i="1" s="1"/>
  <c r="FN378" i="1" s="1"/>
  <c r="FN379" i="1" s="1"/>
  <c r="FN380" i="1" s="1"/>
  <c r="FN381" i="1" s="1"/>
  <c r="FN382" i="1" s="1"/>
  <c r="FN383" i="1" s="1"/>
  <c r="FN384" i="1" s="1"/>
  <c r="FN385" i="1" s="1"/>
  <c r="FN386" i="1" s="1"/>
  <c r="FN387" i="1" s="1"/>
  <c r="FN388" i="1" s="1"/>
  <c r="FN389" i="1" s="1"/>
  <c r="FN390" i="1" s="1"/>
  <c r="FN391" i="1" s="1"/>
  <c r="T74" i="5"/>
  <c r="D22" i="15" s="1"/>
  <c r="D69" i="15" s="1"/>
  <c r="T78" i="5" l="1"/>
  <c r="H22" i="15" s="1"/>
  <c r="H69" i="15" s="1"/>
  <c r="FN395" i="1"/>
  <c r="O22" i="15" l="1"/>
  <c r="T81" i="5"/>
  <c r="D22" i="16" s="1"/>
  <c r="D68" i="16" s="1"/>
  <c r="FN396" i="1"/>
  <c r="FN397" i="1" s="1"/>
  <c r="FN398" i="1" s="1"/>
  <c r="FN399" i="1" s="1"/>
  <c r="FN400" i="1" s="1"/>
  <c r="FN401" i="1" s="1"/>
  <c r="FN402" i="1" s="1"/>
  <c r="FN403" i="1" s="1"/>
  <c r="FN404" i="1" s="1"/>
  <c r="FN405" i="1" s="1"/>
  <c r="FN406" i="1" s="1"/>
  <c r="FN407" i="1" s="1"/>
  <c r="FN408" i="1" s="1"/>
  <c r="FN409" i="1" s="1"/>
  <c r="FN410" i="1" s="1"/>
  <c r="FN411" i="1" s="1"/>
  <c r="FN412" i="1" s="1"/>
  <c r="FN413" i="1" s="1"/>
  <c r="FN414" i="1" s="1"/>
  <c r="FN415" i="1" s="1"/>
  <c r="FN416" i="1" s="1"/>
  <c r="FN417" i="1" s="1"/>
  <c r="FN418" i="1" s="1"/>
  <c r="FN419" i="1" s="1"/>
  <c r="FN420" i="1" s="1"/>
  <c r="FN421" i="1" s="1"/>
  <c r="FN422" i="1" s="1"/>
  <c r="FN423" i="1" s="1"/>
  <c r="FN424" i="1" s="1"/>
  <c r="FN425" i="1" s="1"/>
  <c r="FN426" i="1" s="1"/>
  <c r="FN427" i="1" s="1"/>
  <c r="T85" i="5" s="1"/>
  <c r="H22" i="16" s="1"/>
  <c r="O22" i="16" l="1"/>
  <c r="H68" i="16"/>
  <c r="DB285" i="1"/>
  <c r="M56" i="5" s="1"/>
  <c r="G15" i="12" s="1"/>
  <c r="CZ285" i="1"/>
  <c r="M55" i="5" s="1"/>
  <c r="F15" i="12" s="1"/>
  <c r="G70" i="12" l="1"/>
  <c r="G72" i="12" s="1"/>
  <c r="F70" i="12"/>
  <c r="F72" i="12" s="1"/>
  <c r="H71" i="15"/>
  <c r="H67" i="20"/>
  <c r="E71" i="21"/>
  <c r="H71" i="8"/>
  <c r="H72" i="12"/>
  <c r="H71" i="13"/>
  <c r="D71" i="13"/>
  <c r="D70" i="14"/>
  <c r="H70" i="14"/>
  <c r="D71" i="15"/>
  <c r="D70" i="16"/>
  <c r="H70" i="16"/>
  <c r="W6" i="1" l="1"/>
  <c r="Y6" i="1" s="1"/>
  <c r="Y37" i="1" s="1"/>
  <c r="D7" i="5" s="1"/>
  <c r="G6" i="17" s="1"/>
  <c r="GC6" i="1"/>
  <c r="GE6" i="1" s="1"/>
  <c r="GE37" i="1" s="1"/>
  <c r="V7" i="5" s="1"/>
  <c r="G26" i="17" s="1"/>
  <c r="PD6" i="1"/>
  <c r="PD37" i="1" s="1"/>
  <c r="QW6" i="1"/>
  <c r="QW37" i="1" s="1"/>
  <c r="MA6" i="1"/>
  <c r="MA37" i="1" s="1"/>
  <c r="AM6" i="5" s="1"/>
  <c r="F43" i="17" s="1"/>
  <c r="N6" i="1"/>
  <c r="N37" i="1" s="1"/>
  <c r="C6" i="5" s="1"/>
  <c r="F5" i="17" s="1"/>
  <c r="RX6" i="1"/>
  <c r="RZ6" i="1" s="1"/>
  <c r="RZ37" i="1" s="1"/>
  <c r="DI6" i="1"/>
  <c r="DK6" i="1" s="1"/>
  <c r="DK37" i="1" s="1"/>
  <c r="N7" i="5" s="1"/>
  <c r="G16" i="17" s="1"/>
  <c r="IF6" i="1"/>
  <c r="IH6" i="1" s="1"/>
  <c r="IH37" i="1" s="1"/>
  <c r="AB7" i="5" s="1"/>
  <c r="G32" i="17" s="1"/>
  <c r="KQ6" i="1"/>
  <c r="KS6" i="1" s="1"/>
  <c r="KS37" i="1" s="1"/>
  <c r="AI7" i="5" s="1"/>
  <c r="G39" i="17" s="1"/>
  <c r="NK6" i="1"/>
  <c r="NK37" i="1" s="1"/>
  <c r="AQ6" i="5" s="1"/>
  <c r="IX6" i="1"/>
  <c r="IX37" i="1" s="1"/>
  <c r="AD6" i="5" s="1"/>
  <c r="F34" i="17" s="1"/>
  <c r="KZ6" i="1"/>
  <c r="KZ37" i="1" s="1"/>
  <c r="AJ6" i="5" s="1"/>
  <c r="F40" i="17" s="1"/>
  <c r="CQ6" i="1"/>
  <c r="CQ37" i="1" s="1"/>
  <c r="L6" i="5" s="1"/>
  <c r="F14" i="17" s="1"/>
  <c r="HW6" i="1"/>
  <c r="HY6" i="1" s="1"/>
  <c r="HY37" i="1" s="1"/>
  <c r="AA7" i="5" s="1"/>
  <c r="G31" i="17" s="1"/>
  <c r="JG6" i="1"/>
  <c r="JI6" i="1" s="1"/>
  <c r="JI37" i="1" s="1"/>
  <c r="AE7" i="5" s="1"/>
  <c r="G35" i="17" s="1"/>
  <c r="GU6" i="1"/>
  <c r="GU37" i="1" s="1"/>
  <c r="X6" i="5" s="1"/>
  <c r="F28" i="17" s="1"/>
  <c r="FT6" i="1"/>
  <c r="FV6" i="1" s="1"/>
  <c r="FV37" i="1" s="1"/>
  <c r="U7" i="5" s="1"/>
  <c r="G25" i="17" s="1"/>
  <c r="MS6" i="1"/>
  <c r="MU6" i="1" s="1"/>
  <c r="MU37" i="1" s="1"/>
  <c r="G45" i="17" s="1"/>
  <c r="NT6" i="1"/>
  <c r="NT37" i="1" s="1"/>
  <c r="GL6" i="1"/>
  <c r="GN6" i="1" s="1"/>
  <c r="GN37" i="1" s="1"/>
  <c r="W7" i="5" s="1"/>
  <c r="G27" i="17" s="1"/>
  <c r="CZ6" i="1"/>
  <c r="DB6" i="1" s="1"/>
  <c r="DB37" i="1" s="1"/>
  <c r="M7" i="5" s="1"/>
  <c r="G15" i="17" s="1"/>
  <c r="E6" i="1"/>
  <c r="E37" i="1" s="1"/>
  <c r="BP6" i="1"/>
  <c r="BP37" i="1" s="1"/>
  <c r="I6" i="5" s="1"/>
  <c r="F11" i="17" s="1"/>
  <c r="SY6" i="1"/>
  <c r="TA6" i="1" s="1"/>
  <c r="TA37" i="1" s="1"/>
  <c r="MJ6" i="1"/>
  <c r="MJ37" i="1" s="1"/>
  <c r="AN6" i="5" s="1"/>
  <c r="F44" i="17" s="1"/>
  <c r="KH6" i="1"/>
  <c r="KJ6" i="1" s="1"/>
  <c r="KJ37" i="1" s="1"/>
  <c r="AH7" i="5" s="1"/>
  <c r="G38" i="17" s="1"/>
  <c r="RF6" i="1"/>
  <c r="RH6" i="1" s="1"/>
  <c r="RH37" i="1" s="1"/>
  <c r="CH6" i="1"/>
  <c r="CH37" i="1" s="1"/>
  <c r="K6" i="5" s="1"/>
  <c r="F13" i="17" s="1"/>
  <c r="AX6" i="1"/>
  <c r="AZ6" i="1" s="1"/>
  <c r="AZ37" i="1" s="1"/>
  <c r="G7" i="5" s="1"/>
  <c r="G9" i="17" s="1"/>
  <c r="BG6" i="1"/>
  <c r="BG37" i="1" s="1"/>
  <c r="H6" i="5" s="1"/>
  <c r="F10" i="17" s="1"/>
  <c r="FK6" i="1"/>
  <c r="FK37" i="1" s="1"/>
  <c r="T6" i="5" s="1"/>
  <c r="F22" i="17" s="1"/>
  <c r="OU6" i="1"/>
  <c r="OU37" i="1" s="1"/>
  <c r="BY6" i="1"/>
  <c r="BY37" i="1" s="1"/>
  <c r="J6" i="5" s="1"/>
  <c r="F12" i="17" s="1"/>
  <c r="PV6" i="1"/>
  <c r="PX6" i="1" s="1"/>
  <c r="PX37" i="1" s="1"/>
  <c r="DR6" i="1"/>
  <c r="DR37" i="1" s="1"/>
  <c r="O6" i="5" s="1"/>
  <c r="F17" i="17" s="1"/>
  <c r="TH6" i="1"/>
  <c r="TH37" i="1" s="1"/>
  <c r="JY6" i="1"/>
  <c r="JY37" i="1" s="1"/>
  <c r="AG6" i="5" s="1"/>
  <c r="F37" i="17" s="1"/>
  <c r="EA6" i="1"/>
  <c r="EC6" i="1" s="1"/>
  <c r="EC37" i="1" s="1"/>
  <c r="P7" i="5" s="1"/>
  <c r="G18" i="17" s="1"/>
  <c r="SP6" i="1"/>
  <c r="SR6" i="1" s="1"/>
  <c r="SR37" i="1" s="1"/>
  <c r="QE6" i="1"/>
  <c r="QG6" i="1" s="1"/>
  <c r="QG37" i="1" s="1"/>
  <c r="ES6" i="1"/>
  <c r="EU6" i="1" s="1"/>
  <c r="EU37" i="1" s="1"/>
  <c r="R7" i="5" s="1"/>
  <c r="G20" i="17" s="1"/>
  <c r="AF6" i="1"/>
  <c r="AF37" i="1" s="1"/>
  <c r="E6" i="5" s="1"/>
  <c r="F7" i="17" s="1"/>
  <c r="RO6" i="1"/>
  <c r="RO37" i="1" s="1"/>
  <c r="FB6" i="1"/>
  <c r="FD6" i="1" s="1"/>
  <c r="FD37" i="1" s="1"/>
  <c r="S7" i="5" s="1"/>
  <c r="G21" i="17" s="1"/>
  <c r="LI6" i="1"/>
  <c r="LK6" i="1" s="1"/>
  <c r="LK37" i="1" s="1"/>
  <c r="AK7" i="5" s="1"/>
  <c r="G41" i="17" s="1"/>
  <c r="SG6" i="1"/>
  <c r="SI6" i="1" s="1"/>
  <c r="SI37" i="1" s="1"/>
  <c r="PM6" i="1"/>
  <c r="PO6" i="1" s="1"/>
  <c r="PO37" i="1" s="1"/>
  <c r="IO6" i="1"/>
  <c r="IQ6" i="1" s="1"/>
  <c r="IQ37" i="1" s="1"/>
  <c r="AC7" i="5" s="1"/>
  <c r="G33" i="17" s="1"/>
  <c r="QN6" i="1"/>
  <c r="QP6" i="1" s="1"/>
  <c r="QP37" i="1" s="1"/>
  <c r="HM6" i="1"/>
  <c r="HM37" i="1" s="1"/>
  <c r="Z6" i="5" s="1"/>
  <c r="F30" i="17" s="1"/>
  <c r="LR6" i="1"/>
  <c r="LR37" i="1" s="1"/>
  <c r="AL6" i="5" s="1"/>
  <c r="F42" i="17" s="1"/>
  <c r="OL6" i="1"/>
  <c r="ON6" i="1" s="1"/>
  <c r="ON37" i="1" s="1"/>
  <c r="OC6" i="1"/>
  <c r="OE6" i="1" s="1"/>
  <c r="OE37" i="1" s="1"/>
  <c r="JP6" i="1"/>
  <c r="JP37" i="1" s="1"/>
  <c r="AF6" i="5" s="1"/>
  <c r="F36" i="17" s="1"/>
  <c r="AO6" i="1"/>
  <c r="AO37" i="1" s="1"/>
  <c r="F6" i="5" s="1"/>
  <c r="F8" i="17" s="1"/>
  <c r="NB6" i="1"/>
  <c r="NB37" i="1" s="1"/>
  <c r="AP6" i="5" s="1"/>
  <c r="F46" i="17" s="1"/>
  <c r="HD6" i="1"/>
  <c r="HD37" i="1" s="1"/>
  <c r="Y6" i="5" s="1"/>
  <c r="F29" i="17" s="1"/>
  <c r="EJ6" i="1"/>
  <c r="EJ37" i="1" s="1"/>
  <c r="Q6" i="5" s="1"/>
  <c r="F19" i="17" s="1"/>
  <c r="B6" i="5" l="1"/>
  <c r="F4" i="17" s="1"/>
  <c r="SP37" i="1"/>
  <c r="OW6" i="1"/>
  <c r="OW37" i="1" s="1"/>
  <c r="JG37" i="1"/>
  <c r="AE6" i="5" s="1"/>
  <c r="F35" i="17" s="1"/>
  <c r="RQ6" i="1"/>
  <c r="RQ37" i="1" s="1"/>
  <c r="AX37" i="1"/>
  <c r="G6" i="5" s="1"/>
  <c r="F9" i="17" s="1"/>
  <c r="NM6" i="1"/>
  <c r="NM37" i="1" s="1"/>
  <c r="ML6" i="1"/>
  <c r="ML37" i="1" s="1"/>
  <c r="G44" i="17" s="1"/>
  <c r="HF6" i="1"/>
  <c r="HF37" i="1" s="1"/>
  <c r="Y7" i="5" s="1"/>
  <c r="G29" i="17" s="1"/>
  <c r="PF6" i="1"/>
  <c r="PF37" i="1" s="1"/>
  <c r="GL37" i="1"/>
  <c r="W6" i="5" s="1"/>
  <c r="F27" i="17" s="1"/>
  <c r="PM37" i="1"/>
  <c r="BI6" i="1"/>
  <c r="BI37" i="1" s="1"/>
  <c r="H7" i="5" s="1"/>
  <c r="G10" i="17" s="1"/>
  <c r="CZ37" i="1"/>
  <c r="M6" i="5" s="1"/>
  <c r="F15" i="17" s="1"/>
  <c r="TJ6" i="1"/>
  <c r="TJ37" i="1" s="1"/>
  <c r="P6" i="1"/>
  <c r="P37" i="1" s="1"/>
  <c r="C7" i="5" s="1"/>
  <c r="G5" i="17" s="1"/>
  <c r="DT6" i="1"/>
  <c r="DT37" i="1" s="1"/>
  <c r="O7" i="5" s="1"/>
  <c r="G17" i="17" s="1"/>
  <c r="HO6" i="1"/>
  <c r="HO37" i="1" s="1"/>
  <c r="Z7" i="5" s="1"/>
  <c r="G30" i="17" s="1"/>
  <c r="DI37" i="1"/>
  <c r="N6" i="5" s="1"/>
  <c r="F16" i="17" s="1"/>
  <c r="OC37" i="1"/>
  <c r="LI37" i="1"/>
  <c r="AK6" i="5" s="1"/>
  <c r="F41" i="17" s="1"/>
  <c r="OL37" i="1"/>
  <c r="EL6" i="1"/>
  <c r="EL37" i="1" s="1"/>
  <c r="Q7" i="5" s="1"/>
  <c r="G19" i="17" s="1"/>
  <c r="QN37" i="1"/>
  <c r="PV37" i="1"/>
  <c r="MS37" i="1"/>
  <c r="AO6" i="5" s="1"/>
  <c r="F45" i="17" s="1"/>
  <c r="RF37" i="1"/>
  <c r="KQ37" i="1"/>
  <c r="AI6" i="5" s="1"/>
  <c r="F39" i="17" s="1"/>
  <c r="BR6" i="1"/>
  <c r="BR37" i="1" s="1"/>
  <c r="I7" i="5" s="1"/>
  <c r="G11" i="17" s="1"/>
  <c r="ND6" i="1"/>
  <c r="ND37" i="1" s="1"/>
  <c r="G46" i="17" s="1"/>
  <c r="QE37" i="1"/>
  <c r="CA6" i="1"/>
  <c r="CA37" i="1" s="1"/>
  <c r="J7" i="5" s="1"/>
  <c r="G12" i="17" s="1"/>
  <c r="IZ6" i="1"/>
  <c r="IZ37" i="1" s="1"/>
  <c r="AD7" i="5" s="1"/>
  <c r="G34" i="17" s="1"/>
  <c r="AH6" i="1"/>
  <c r="AH37" i="1" s="1"/>
  <c r="E7" i="5" s="1"/>
  <c r="G7" i="17" s="1"/>
  <c r="SY37" i="1"/>
  <c r="JR6" i="1"/>
  <c r="JR37" i="1" s="1"/>
  <c r="AF7" i="5" s="1"/>
  <c r="G36" i="17" s="1"/>
  <c r="RX37" i="1"/>
  <c r="IF37" i="1"/>
  <c r="AB6" i="5" s="1"/>
  <c r="F32" i="17" s="1"/>
  <c r="KH37" i="1"/>
  <c r="AH6" i="5" s="1"/>
  <c r="F38" i="17" s="1"/>
  <c r="CJ6" i="1"/>
  <c r="CJ37" i="1" s="1"/>
  <c r="K7" i="5" s="1"/>
  <c r="G13" i="17" s="1"/>
  <c r="FT37" i="1"/>
  <c r="U6" i="5" s="1"/>
  <c r="F25" i="17" s="1"/>
  <c r="EA37" i="1"/>
  <c r="P6" i="5" s="1"/>
  <c r="F18" i="17" s="1"/>
  <c r="GC37" i="1"/>
  <c r="V6" i="5" s="1"/>
  <c r="F26" i="17" s="1"/>
  <c r="W37" i="1"/>
  <c r="D6" i="5" s="1"/>
  <c r="F6" i="17" s="1"/>
  <c r="G6" i="1"/>
  <c r="G37" i="1" s="1"/>
  <c r="B7" i="5" s="1"/>
  <c r="G4" i="17" s="1"/>
  <c r="NV6" i="1"/>
  <c r="NV37" i="1" s="1"/>
  <c r="QY6" i="1"/>
  <c r="QY37" i="1" s="1"/>
  <c r="SG37" i="1"/>
  <c r="MC6" i="1"/>
  <c r="MC37" i="1" s="1"/>
  <c r="G43" i="17" s="1"/>
  <c r="FM6" i="1"/>
  <c r="FM37" i="1" s="1"/>
  <c r="T7" i="5" s="1"/>
  <c r="G22" i="17" s="1"/>
  <c r="KA6" i="1"/>
  <c r="KA37" i="1" s="1"/>
  <c r="AG7" i="5" s="1"/>
  <c r="G37" i="17" s="1"/>
  <c r="HW37" i="1"/>
  <c r="AA6" i="5" s="1"/>
  <c r="F31" i="17" s="1"/>
  <c r="LB6" i="1"/>
  <c r="LB37" i="1" s="1"/>
  <c r="AJ7" i="5" s="1"/>
  <c r="G40" i="17" s="1"/>
  <c r="AQ6" i="1"/>
  <c r="AQ37" i="1" s="1"/>
  <c r="F7" i="5" s="1"/>
  <c r="G8" i="17" s="1"/>
  <c r="FB37" i="1"/>
  <c r="S6" i="5" s="1"/>
  <c r="F21" i="17" s="1"/>
  <c r="IO37" i="1"/>
  <c r="AC6" i="5" s="1"/>
  <c r="F33" i="17" s="1"/>
  <c r="ES37" i="1"/>
  <c r="R6" i="5" s="1"/>
  <c r="F20" i="17" s="1"/>
  <c r="GW6" i="1"/>
  <c r="GW37" i="1" s="1"/>
  <c r="X7" i="5" s="1"/>
  <c r="G28" i="17" s="1"/>
  <c r="LT6" i="1"/>
  <c r="LT37" i="1" s="1"/>
  <c r="AL7" i="5" s="1"/>
  <c r="G42" i="17" s="1"/>
  <c r="CS6" i="1"/>
  <c r="CS37" i="1" s="1"/>
  <c r="L7" i="5" s="1"/>
  <c r="G14" i="17" s="1"/>
  <c r="F90" i="17" l="1"/>
  <c r="F92" i="17" s="1"/>
  <c r="G90" i="17"/>
  <c r="G92" i="17" s="1"/>
  <c r="G54" i="21"/>
  <c r="G55" i="21"/>
  <c r="G59" i="21"/>
  <c r="G53" i="21"/>
  <c r="G52" i="21"/>
  <c r="G57" i="21"/>
  <c r="G56" i="21"/>
  <c r="G58" i="21"/>
  <c r="F53" i="21"/>
  <c r="F54" i="21"/>
  <c r="F52" i="21"/>
  <c r="F58" i="21"/>
  <c r="F59" i="21"/>
  <c r="F55" i="21"/>
  <c r="F56" i="21"/>
  <c r="E147" i="1"/>
  <c r="G147" i="1" s="1"/>
  <c r="G178" i="1" s="1"/>
  <c r="B35" i="5" s="1"/>
  <c r="G4" i="21" s="1"/>
  <c r="LR139" i="1"/>
  <c r="LT139" i="1" s="1"/>
  <c r="LT142" i="1" s="1"/>
  <c r="AL28" i="5" s="1"/>
  <c r="G42" i="20" s="1"/>
  <c r="G65" i="20" s="1"/>
  <c r="G67" i="20" s="1"/>
  <c r="EA147" i="1"/>
  <c r="EA178" i="1" s="1"/>
  <c r="F18" i="21" s="1"/>
  <c r="N147" i="1"/>
  <c r="N178" i="1" s="1"/>
  <c r="C34" i="5" s="1"/>
  <c r="F5" i="21" s="1"/>
  <c r="CQ147" i="1"/>
  <c r="CS147" i="1" s="1"/>
  <c r="CS178" i="1" s="1"/>
  <c r="L35" i="5" s="1"/>
  <c r="G14" i="21" s="1"/>
  <c r="HD147" i="1"/>
  <c r="HD178" i="1" s="1"/>
  <c r="Y34" i="5" s="1"/>
  <c r="F29" i="21" s="1"/>
  <c r="GC147" i="1"/>
  <c r="GE147" i="1" s="1"/>
  <c r="GE178" i="1" s="1"/>
  <c r="V35" i="5" s="1"/>
  <c r="G26" i="21" s="1"/>
  <c r="W147" i="1"/>
  <c r="Y147" i="1" s="1"/>
  <c r="Y178" i="1" s="1"/>
  <c r="D35" i="5" s="1"/>
  <c r="G6" i="21" s="1"/>
  <c r="GU147" i="1"/>
  <c r="GW147" i="1" s="1"/>
  <c r="GW178" i="1" s="1"/>
  <c r="X35" i="5" s="1"/>
  <c r="G28" i="21" s="1"/>
  <c r="AX147" i="1"/>
  <c r="AX178" i="1" s="1"/>
  <c r="G34" i="5" s="1"/>
  <c r="F9" i="21" s="1"/>
  <c r="EJ147" i="1"/>
  <c r="EL147" i="1" s="1"/>
  <c r="EL178" i="1" s="1"/>
  <c r="Q35" i="5" s="1"/>
  <c r="G19" i="21" s="1"/>
  <c r="AO147" i="1"/>
  <c r="AO178" i="1" s="1"/>
  <c r="F34" i="5" s="1"/>
  <c r="F8" i="21" s="1"/>
  <c r="FK147" i="1"/>
  <c r="FM147" i="1" s="1"/>
  <c r="FM178" i="1" s="1"/>
  <c r="T35" i="5" s="1"/>
  <c r="G22" i="21" s="1"/>
  <c r="CZ147" i="1"/>
  <c r="CZ178" i="1" s="1"/>
  <c r="M34" i="5" s="1"/>
  <c r="F15" i="21" s="1"/>
  <c r="BP147" i="1"/>
  <c r="BP178" i="1" s="1"/>
  <c r="I34" i="5" s="1"/>
  <c r="F11" i="21" s="1"/>
  <c r="FB147" i="1"/>
  <c r="FB178" i="1" s="1"/>
  <c r="S34" i="5" s="1"/>
  <c r="F21" i="21" s="1"/>
  <c r="FT147" i="1"/>
  <c r="FV147" i="1" s="1"/>
  <c r="FV178" i="1" s="1"/>
  <c r="U35" i="5" s="1"/>
  <c r="G25" i="21" s="1"/>
  <c r="AF147" i="1"/>
  <c r="AF178" i="1" s="1"/>
  <c r="E34" i="5" s="1"/>
  <c r="F7" i="21" s="1"/>
  <c r="ES147" i="1"/>
  <c r="EU147" i="1" s="1"/>
  <c r="EU178" i="1" s="1"/>
  <c r="R35" i="5" s="1"/>
  <c r="G20" i="21" s="1"/>
  <c r="HM147" i="1"/>
  <c r="HO147" i="1" s="1"/>
  <c r="HO178" i="1" s="1"/>
  <c r="Z35" i="5" s="1"/>
  <c r="G30" i="21" s="1"/>
  <c r="BG147" i="1"/>
  <c r="BI147" i="1" s="1"/>
  <c r="BI178" i="1" s="1"/>
  <c r="H35" i="5" s="1"/>
  <c r="G10" i="21" s="1"/>
  <c r="CH147" i="1"/>
  <c r="CH178" i="1" s="1"/>
  <c r="K34" i="5" s="1"/>
  <c r="F13" i="21" s="1"/>
  <c r="GL147" i="1"/>
  <c r="GL178" i="1" s="1"/>
  <c r="W34" i="5" s="1"/>
  <c r="F27" i="21" s="1"/>
  <c r="BY147" i="1"/>
  <c r="CA147" i="1" s="1"/>
  <c r="CA178" i="1" s="1"/>
  <c r="J35" i="5" s="1"/>
  <c r="G12" i="21" s="1"/>
  <c r="DR147" i="1"/>
  <c r="DR178" i="1" s="1"/>
  <c r="O34" i="5" s="1"/>
  <c r="F17" i="21" s="1"/>
  <c r="DI147" i="1"/>
  <c r="DI178" i="1" s="1"/>
  <c r="N34" i="5" s="1"/>
  <c r="F16" i="21" s="1"/>
  <c r="MS147" i="1"/>
  <c r="MS178" i="1" s="1"/>
  <c r="AO34" i="5" s="1"/>
  <c r="F45" i="21" s="1"/>
  <c r="MJ147" i="1"/>
  <c r="MJ178" i="1" s="1"/>
  <c r="AN34" i="5" s="1"/>
  <c r="F44" i="21" s="1"/>
  <c r="OL147" i="1"/>
  <c r="ON147" i="1" s="1"/>
  <c r="ON178" i="1" s="1"/>
  <c r="OU147" i="1"/>
  <c r="OW147" i="1" s="1"/>
  <c r="OW178" i="1" s="1"/>
  <c r="OC147" i="1"/>
  <c r="OE147" i="1" s="1"/>
  <c r="OE178" i="1" s="1"/>
  <c r="QE147" i="1"/>
  <c r="QG147" i="1" s="1"/>
  <c r="QG178" i="1" s="1"/>
  <c r="IF147" i="1"/>
  <c r="IF178" i="1" s="1"/>
  <c r="AB34" i="5" s="1"/>
  <c r="F32" i="21" s="1"/>
  <c r="HW147" i="1"/>
  <c r="HW178" i="1" s="1"/>
  <c r="AA34" i="5" s="1"/>
  <c r="F31" i="21" s="1"/>
  <c r="JY147" i="1"/>
  <c r="JY178" i="1" s="1"/>
  <c r="AG34" i="5" s="1"/>
  <c r="F37" i="21" s="1"/>
  <c r="IX147" i="1"/>
  <c r="IX178" i="1" s="1"/>
  <c r="AD34" i="5" s="1"/>
  <c r="F34" i="21" s="1"/>
  <c r="NB147" i="1"/>
  <c r="MA147" i="1"/>
  <c r="MA178" i="1" s="1"/>
  <c r="AM34" i="5" s="1"/>
  <c r="F43" i="21" s="1"/>
  <c r="IO147" i="1"/>
  <c r="IQ147" i="1" s="1"/>
  <c r="IQ178" i="1" s="1"/>
  <c r="AC35" i="5" s="1"/>
  <c r="G33" i="21" s="1"/>
  <c r="JG147" i="1"/>
  <c r="JI147" i="1" s="1"/>
  <c r="JI178" i="1" s="1"/>
  <c r="AE35" i="5" s="1"/>
  <c r="G35" i="21" s="1"/>
  <c r="KQ147" i="1"/>
  <c r="KQ178" i="1" s="1"/>
  <c r="AI34" i="5" s="1"/>
  <c r="F39" i="21" s="1"/>
  <c r="JP147" i="1"/>
  <c r="JR147" i="1" s="1"/>
  <c r="JR178" i="1" s="1"/>
  <c r="AF35" i="5" s="1"/>
  <c r="G36" i="21" s="1"/>
  <c r="LI147" i="1"/>
  <c r="LI178" i="1" s="1"/>
  <c r="AK34" i="5" s="1"/>
  <c r="F41" i="21" s="1"/>
  <c r="KH147" i="1"/>
  <c r="KH178" i="1" s="1"/>
  <c r="AH34" i="5" s="1"/>
  <c r="F38" i="21" s="1"/>
  <c r="KZ147" i="1"/>
  <c r="LB147" i="1" s="1"/>
  <c r="LB178" i="1" s="1"/>
  <c r="AJ35" i="5" s="1"/>
  <c r="G40" i="21" s="1"/>
  <c r="QN147" i="1"/>
  <c r="QP147" i="1" s="1"/>
  <c r="QP178" i="1" s="1"/>
  <c r="SP178" i="1"/>
  <c r="PD147" i="1"/>
  <c r="PD178" i="1" s="1"/>
  <c r="PM147" i="1"/>
  <c r="PO147" i="1" s="1"/>
  <c r="PO178" i="1" s="1"/>
  <c r="TH178" i="1"/>
  <c r="NK147" i="1"/>
  <c r="NK178" i="1" s="1"/>
  <c r="AQ34" i="5" s="1"/>
  <c r="F51" i="21" s="1"/>
  <c r="RO178" i="1"/>
  <c r="TA147" i="1"/>
  <c r="TA178" i="1" s="1"/>
  <c r="PV147" i="1"/>
  <c r="PV178" i="1" s="1"/>
  <c r="QW178" i="1"/>
  <c r="RX178" i="1"/>
  <c r="RF178" i="1"/>
  <c r="SI147" i="1"/>
  <c r="SI178" i="1" s="1"/>
  <c r="NT147" i="1"/>
  <c r="NT178" i="1" s="1"/>
  <c r="ND147" i="1" l="1"/>
  <c r="ND178" i="1" s="1"/>
  <c r="G46" i="21" s="1"/>
  <c r="NB178" i="1"/>
  <c r="AP34" i="5" s="1"/>
  <c r="F46" i="21" s="1"/>
  <c r="JP178" i="1"/>
  <c r="AF34" i="5" s="1"/>
  <c r="F36" i="21" s="1"/>
  <c r="QE178" i="1"/>
  <c r="RZ147" i="1"/>
  <c r="RZ178" i="1" s="1"/>
  <c r="QN178" i="1"/>
  <c r="EC147" i="1"/>
  <c r="EC178" i="1" s="1"/>
  <c r="G18" i="21" s="1"/>
  <c r="IO178" i="1"/>
  <c r="AC34" i="5" s="1"/>
  <c r="F33" i="21" s="1"/>
  <c r="NV147" i="1"/>
  <c r="NV178" i="1" s="1"/>
  <c r="IZ147" i="1"/>
  <c r="IZ178" i="1" s="1"/>
  <c r="AD35" i="5" s="1"/>
  <c r="G34" i="21" s="1"/>
  <c r="GU178" i="1"/>
  <c r="X34" i="5" s="1"/>
  <c r="F28" i="21" s="1"/>
  <c r="AQ147" i="1"/>
  <c r="AQ178" i="1" s="1"/>
  <c r="F35" i="5" s="1"/>
  <c r="G8" i="21" s="1"/>
  <c r="E178" i="1"/>
  <c r="B34" i="5" s="1"/>
  <c r="F4" i="21" s="1"/>
  <c r="QY147" i="1"/>
  <c r="QY178" i="1" s="1"/>
  <c r="OU178" i="1"/>
  <c r="RQ147" i="1"/>
  <c r="RQ178" i="1" s="1"/>
  <c r="KZ178" i="1"/>
  <c r="AJ34" i="5" s="1"/>
  <c r="F40" i="21" s="1"/>
  <c r="OL178" i="1"/>
  <c r="PM178" i="1"/>
  <c r="JG178" i="1"/>
  <c r="AE34" i="5" s="1"/>
  <c r="F35" i="21" s="1"/>
  <c r="IH147" i="1"/>
  <c r="IH178" i="1" s="1"/>
  <c r="AB35" i="5" s="1"/>
  <c r="G32" i="21" s="1"/>
  <c r="SG178" i="1"/>
  <c r="LK147" i="1"/>
  <c r="LK178" i="1" s="1"/>
  <c r="AK35" i="5" s="1"/>
  <c r="G41" i="21" s="1"/>
  <c r="ML147" i="1"/>
  <c r="ML178" i="1" s="1"/>
  <c r="G44" i="21" s="1"/>
  <c r="BR147" i="1"/>
  <c r="BR178" i="1" s="1"/>
  <c r="I35" i="5" s="1"/>
  <c r="G11" i="21" s="1"/>
  <c r="HF147" i="1"/>
  <c r="HF178" i="1" s="1"/>
  <c r="Y35" i="5" s="1"/>
  <c r="G29" i="21" s="1"/>
  <c r="TJ147" i="1"/>
  <c r="TJ178" i="1" s="1"/>
  <c r="OC178" i="1"/>
  <c r="GN147" i="1"/>
  <c r="GN178" i="1" s="1"/>
  <c r="W35" i="5" s="1"/>
  <c r="G27" i="21" s="1"/>
  <c r="EJ178" i="1"/>
  <c r="Q34" i="5" s="1"/>
  <c r="F19" i="21" s="1"/>
  <c r="CQ178" i="1"/>
  <c r="L34" i="5" s="1"/>
  <c r="F14" i="21" s="1"/>
  <c r="LR142" i="1"/>
  <c r="AL27" i="5" s="1"/>
  <c r="F42" i="20" s="1"/>
  <c r="F65" i="20" s="1"/>
  <c r="F67" i="20" s="1"/>
  <c r="PF147" i="1"/>
  <c r="PF178" i="1" s="1"/>
  <c r="ES178" i="1"/>
  <c r="R34" i="5" s="1"/>
  <c r="F20" i="21" s="1"/>
  <c r="HY147" i="1"/>
  <c r="HY178" i="1" s="1"/>
  <c r="AA35" i="5" s="1"/>
  <c r="G31" i="21" s="1"/>
  <c r="DK147" i="1"/>
  <c r="DK178" i="1" s="1"/>
  <c r="N35" i="5" s="1"/>
  <c r="G16" i="21" s="1"/>
  <c r="HM178" i="1"/>
  <c r="Z34" i="5" s="1"/>
  <c r="F30" i="21" s="1"/>
  <c r="FT178" i="1"/>
  <c r="U34" i="5" s="1"/>
  <c r="F25" i="21" s="1"/>
  <c r="MU147" i="1"/>
  <c r="MU178" i="1" s="1"/>
  <c r="G45" i="21" s="1"/>
  <c r="KJ147" i="1"/>
  <c r="KJ178" i="1" s="1"/>
  <c r="AH35" i="5" s="1"/>
  <c r="G38" i="21" s="1"/>
  <c r="DT147" i="1"/>
  <c r="DT178" i="1" s="1"/>
  <c r="O35" i="5" s="1"/>
  <c r="G17" i="21" s="1"/>
  <c r="CJ147" i="1"/>
  <c r="CJ178" i="1" s="1"/>
  <c r="K35" i="5" s="1"/>
  <c r="G13" i="21" s="1"/>
  <c r="FD147" i="1"/>
  <c r="FD178" i="1" s="1"/>
  <c r="S35" i="5" s="1"/>
  <c r="G21" i="21" s="1"/>
  <c r="FK178" i="1"/>
  <c r="T34" i="5" s="1"/>
  <c r="F22" i="21" s="1"/>
  <c r="GC178" i="1"/>
  <c r="V34" i="5" s="1"/>
  <c r="F26" i="21" s="1"/>
  <c r="DB147" i="1"/>
  <c r="DB178" i="1" s="1"/>
  <c r="M35" i="5" s="1"/>
  <c r="G15" i="21" s="1"/>
  <c r="AZ147" i="1"/>
  <c r="AZ178" i="1" s="1"/>
  <c r="G35" i="5" s="1"/>
  <c r="G9" i="21" s="1"/>
  <c r="P147" i="1"/>
  <c r="P178" i="1" s="1"/>
  <c r="C35" i="5" s="1"/>
  <c r="G5" i="21" s="1"/>
  <c r="W178" i="1"/>
  <c r="D34" i="5" s="1"/>
  <c r="F6" i="21" s="1"/>
  <c r="SY178" i="1"/>
  <c r="SR147" i="1"/>
  <c r="SR178" i="1" s="1"/>
  <c r="KA147" i="1"/>
  <c r="KA178" i="1" s="1"/>
  <c r="AG35" i="5" s="1"/>
  <c r="G37" i="21" s="1"/>
  <c r="BY178" i="1"/>
  <c r="J34" i="5" s="1"/>
  <c r="F12" i="21" s="1"/>
  <c r="BG178" i="1"/>
  <c r="H34" i="5" s="1"/>
  <c r="F10" i="21" s="1"/>
  <c r="AH147" i="1"/>
  <c r="AH178" i="1" s="1"/>
  <c r="E35" i="5" s="1"/>
  <c r="G7" i="21" s="1"/>
  <c r="KS147" i="1"/>
  <c r="KS178" i="1" s="1"/>
  <c r="AI35" i="5" s="1"/>
  <c r="G39" i="21" s="1"/>
  <c r="NM147" i="1"/>
  <c r="NM178" i="1" s="1"/>
  <c r="G51" i="21" s="1"/>
  <c r="MC147" i="1"/>
  <c r="MC178" i="1" s="1"/>
  <c r="G43" i="21" s="1"/>
  <c r="RH147" i="1"/>
  <c r="RH178" i="1" s="1"/>
  <c r="PX147" i="1"/>
  <c r="PX178" i="1" s="1"/>
  <c r="F69" i="21" l="1"/>
  <c r="F71" i="21" s="1"/>
  <c r="G69" i="21"/>
  <c r="G71" i="2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KP ASLI SDN BHD</author>
    <author>Yee Zhan Lim</author>
  </authors>
  <commentList>
    <comment ref="GK12" authorId="0" shapeId="0" xr:uid="{A71E20DB-FA94-447D-8CB4-CF180B3FD88C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STOCK TRANSFERRED FROM LIANG TEIK
PPSB00817/DO15247</t>
        </r>
      </text>
    </comment>
    <comment ref="HV12" authorId="0" shapeId="0" xr:uid="{D65D8B35-5E3B-4858-94D6-D961AE2F619A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STOCK TRANSFERRED FROM LIANG TEIK
PPSB00817/DO15247</t>
        </r>
      </text>
    </comment>
    <comment ref="IE12" authorId="0" shapeId="0" xr:uid="{D7948641-AE58-4FDE-9C91-20583025AFBC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STOCK TRANSFERRED FROM LIANG TEIK
PPSB00817/DO15247</t>
        </r>
      </text>
    </comment>
    <comment ref="IN12" authorId="0" shapeId="0" xr:uid="{7D3E66AF-E1C7-4624-8FE1-8007F29A4F96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STOCK TRANSFERRED FROM LIANG TEIK
PPSB00817/DO15247
126BAGS - 2,520KG
7/1 NEW RECEIVING FOR PREMIX 8102
500 BAGS - 10,000 (SUPPLIER: WEISSEN)</t>
        </r>
      </text>
    </comment>
    <comment ref="FC15" authorId="0" shapeId="0" xr:uid="{5DFB3540-2607-4027-8553-095DEF8796A5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Stock Transfer to LT
1000kg
PPSB00728/DO11729</t>
        </r>
      </text>
    </comment>
    <comment ref="ET22" authorId="0" shapeId="0" xr:uid="{B0583A04-2C2C-4596-BCCB-0B7D5B0D0963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Stock Transfer to LT
2000kg
PPSB00729/DO11736
15/1</t>
        </r>
      </text>
    </comment>
    <comment ref="FC22" authorId="0" shapeId="0" xr:uid="{599A69CD-E8E4-4652-A565-083F557B1A92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Stock Transfer to LT
940kg
PPSB00729/DO11736
15/1</t>
        </r>
      </text>
    </comment>
    <comment ref="F34" authorId="0" shapeId="0" xr:uid="{BE23E6C8-3216-40C0-B839-42D22699A58D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CUT OFF</t>
        </r>
      </text>
    </comment>
    <comment ref="M34" authorId="0" shapeId="0" xr:uid="{292FB5CB-956B-4DF4-842E-93F88503685C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CUT OFF</t>
        </r>
      </text>
    </comment>
    <comment ref="BF34" authorId="0" shapeId="0" xr:uid="{8817DB1F-81C8-4E89-8589-E2B6C9A0F714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CUT OFF</t>
        </r>
      </text>
    </comment>
    <comment ref="AW35" authorId="0" shapeId="0" xr:uid="{80B4AB77-1276-4A3F-A965-DCE355DB7924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CUT OFF</t>
        </r>
      </text>
    </comment>
    <comment ref="ET65" authorId="0" shapeId="0" xr:uid="{ED1A9660-3F63-46B2-BF69-00110F081BAC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Stock Transfer to LT
2000kg
PPSB00732/DO12182
24/2</t>
        </r>
      </text>
    </comment>
    <comment ref="FC65" authorId="0" shapeId="0" xr:uid="{28A9F569-8271-474D-9C2E-719012A682EB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Stock Transfer to LT
4000kg
PPSB00732/DO12182
24/2</t>
        </r>
      </text>
    </comment>
    <comment ref="YC66" authorId="0" shapeId="0" xr:uid="{3A6386E3-282A-4570-9D6F-FFCB10620121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CUT OFF</t>
        </r>
      </text>
    </comment>
    <comment ref="DJ68" authorId="0" shapeId="0" xr:uid="{905082F3-5CFF-4349-9B0F-36D9AF0CC41B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CUT OFF</t>
        </r>
      </text>
    </comment>
    <comment ref="F69" authorId="0" shapeId="0" xr:uid="{EC7C1FB8-E66B-41DA-A936-7485FBD802EA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CUT OFF</t>
        </r>
      </text>
    </comment>
    <comment ref="O69" authorId="0" shapeId="0" xr:uid="{7FD8E1D1-41A7-45A9-9C98-77076806D31C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CUT OFF</t>
        </r>
      </text>
    </comment>
    <comment ref="FC76" authorId="0" shapeId="0" xr:uid="{60900396-823B-4659-B291-5A8C9A23F524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Stock Transferred to LT
DO12190</t>
        </r>
      </text>
    </comment>
    <comment ref="EK97" authorId="0" shapeId="0" xr:uid="{3E652E2B-BDF0-47AA-9FEC-688682C040E0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transferred to LT
PPSB00736/DO12208</t>
        </r>
      </text>
    </comment>
    <comment ref="F104" authorId="0" shapeId="0" xr:uid="{403B568B-0531-4534-A253-C6B554DD2CF5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CUT OFF
5/3 1,188.20
313 8,958.80</t>
        </r>
      </text>
    </comment>
    <comment ref="M105" authorId="0" shapeId="0" xr:uid="{473E263C-5E5D-456D-B864-A95C353215A3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CUT OFF</t>
        </r>
      </text>
    </comment>
    <comment ref="BF105" authorId="0" shapeId="0" xr:uid="{EC59C5E4-7BB5-4A52-B718-5167AC344950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CUT OFF</t>
        </r>
      </text>
    </comment>
    <comment ref="ER116" authorId="0" shapeId="0" xr:uid="{84EB6F73-7D94-4101-AF36-A299996DAF58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Stock Transferred from Harumi
PPSB00738 
1000kg</t>
        </r>
      </text>
    </comment>
    <comment ref="BF127" authorId="0" shapeId="0" xr:uid="{7A2AE711-21A3-44D5-A221-9759B2FA6E0A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FROM XUN TA</t>
        </r>
      </text>
    </comment>
    <comment ref="BF129" authorId="0" shapeId="0" xr:uid="{9DB399C5-8968-47B0-AD71-C430A425BF6F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FROM NEW MT</t>
        </r>
      </text>
    </comment>
    <comment ref="XB136" authorId="0" shapeId="0" xr:uid="{878AD360-511D-4272-8760-EA0B5BADED1B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CUT OFF</t>
        </r>
      </text>
    </comment>
    <comment ref="EB140" authorId="0" shapeId="0" xr:uid="{F629E24E-30E5-463D-B038-AE64B2BECB07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CUT OFF</t>
        </r>
      </text>
    </comment>
    <comment ref="IG154" authorId="0" shapeId="0" xr:uid="{7EAFF19A-3464-4AAE-88A2-8692E1389A6F}">
      <text>
        <r>
          <rPr>
            <b/>
            <sz val="12"/>
            <color indexed="81"/>
            <rFont val="Tahoma"/>
            <family val="2"/>
          </rPr>
          <t>KP ASLI SDN BHD:</t>
        </r>
        <r>
          <rPr>
            <sz val="12"/>
            <color indexed="81"/>
            <rFont val="Tahoma"/>
            <family val="2"/>
          </rPr>
          <t xml:space="preserve">
Weissen collect back:
8/5/2026 : 300 BAGS (6,000KG)
12/5/2026: 42 BAGS (840KG)
cause Harumi record wrong, so that I need record 6000kg only, and put adjustment 180kg for intake.</t>
        </r>
      </text>
    </comment>
    <comment ref="IY158" authorId="0" shapeId="0" xr:uid="{256F39AE-18F1-461E-8DE4-1F7CABB527D8}">
      <text>
        <r>
          <rPr>
            <b/>
            <sz val="11"/>
            <color indexed="81"/>
            <rFont val="Tahoma"/>
            <family val="2"/>
          </rPr>
          <t>KP ASLI SDN BHD:</t>
        </r>
        <r>
          <rPr>
            <sz val="11"/>
            <color indexed="81"/>
            <rFont val="Tahoma"/>
            <family val="2"/>
          </rPr>
          <t xml:space="preserve">
Weissen collect back:
12/5/2026: 156 BAGS (3,120KG)
cause Harumi record wrong, so that I need record 113 bags 2,260kg only.</t>
        </r>
      </text>
    </comment>
    <comment ref="BF161" authorId="0" shapeId="0" xr:uid="{ED12697F-8E93-4CE7-B771-18439481AF0B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STOCK TRANSFERRED FROM XUN TA
PPSB00833/DO16995
</t>
        </r>
      </text>
    </comment>
    <comment ref="AY162" authorId="0" shapeId="0" xr:uid="{668C561D-4BB9-402D-929D-C6AC8607EEB8}">
      <text>
        <r>
          <rPr>
            <b/>
            <sz val="10"/>
            <color indexed="81"/>
            <rFont val="Tahoma"/>
            <family val="2"/>
          </rPr>
          <t>KP ASLI SDN BHD:</t>
        </r>
        <r>
          <rPr>
            <sz val="10"/>
            <color indexed="81"/>
            <rFont val="Tahoma"/>
            <family val="2"/>
          </rPr>
          <t xml:space="preserve">
14/5/2026
STOCK TRNASFERRED TO XUN TA
PPSB00832</t>
        </r>
      </text>
    </comment>
    <comment ref="IP169" authorId="0" shapeId="0" xr:uid="{5B5BB931-1B6A-42CC-88DA-7833E8D2F226}">
      <text>
        <r>
          <rPr>
            <b/>
            <sz val="9"/>
            <color indexed="81"/>
            <rFont val="Tahoma"/>
            <charset val="1"/>
          </rPr>
          <t>KP ASLI SDN BHD:</t>
        </r>
        <r>
          <rPr>
            <sz val="9"/>
            <color indexed="81"/>
            <rFont val="Tahoma"/>
            <charset val="1"/>
          </rPr>
          <t xml:space="preserve">
STOCK TRANSFERRED TO LIANG TEIK
PPSB00835</t>
        </r>
      </text>
    </comment>
    <comment ref="IY169" authorId="0" shapeId="0" xr:uid="{B355B623-089E-4DC9-9837-9980583621FA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STOCK TRANSFERRED TO LIANG TEIK
PPSB00835/DO</t>
        </r>
      </text>
    </comment>
    <comment ref="QF169" authorId="0" shapeId="0" xr:uid="{65EE0B13-6B1B-4A86-9BDC-0FDFA2C4B38F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STOCK TRANSFERRED TO LIANG TEIK
PPSB00835</t>
        </r>
      </text>
    </comment>
    <comment ref="UJ174" authorId="0" shapeId="0" xr:uid="{A383D112-43E2-4B3B-B846-352E2A6877FF}">
      <text>
        <r>
          <rPr>
            <b/>
            <sz val="9"/>
            <color indexed="81"/>
            <rFont val="Tahoma"/>
            <charset val="1"/>
          </rPr>
          <t>KP ASLI SDN BHD:</t>
        </r>
        <r>
          <rPr>
            <sz val="9"/>
            <color indexed="81"/>
            <rFont val="Tahoma"/>
            <charset val="1"/>
          </rPr>
          <t xml:space="preserve">
30/5/2026
STOCK TRANSFERRED TO XUN TA
PPSB00839
354KG</t>
        </r>
      </text>
    </comment>
    <comment ref="IY175" authorId="0" shapeId="0" xr:uid="{DB2E7192-4425-4E2C-A205-8B80058DE44B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STOCK TRANSFERRED TO LIANG TEIK
PPSB00838/DO</t>
        </r>
      </text>
    </comment>
    <comment ref="QF175" authorId="0" shapeId="0" xr:uid="{2578CEEE-050D-4A17-85AE-C67D81E98213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STOCK TRANSFERRED TO LIANG TEIK
PPSB00838</t>
        </r>
      </text>
    </comment>
    <comment ref="UJ175" authorId="0" shapeId="0" xr:uid="{47027CE7-D3C4-4804-ACC2-76B5A385B57D}">
      <text>
        <r>
          <rPr>
            <b/>
            <sz val="10"/>
            <color indexed="81"/>
            <rFont val="Tahoma"/>
            <family val="2"/>
          </rPr>
          <t>KP ASLI SDN BHD:</t>
        </r>
        <r>
          <rPr>
            <sz val="10"/>
            <color indexed="81"/>
            <rFont val="Tahoma"/>
            <family val="2"/>
          </rPr>
          <t xml:space="preserve">
30/5/2026
STOCK TRANSFERRED TO LIANG TEIK
PPSB00838
</t>
        </r>
      </text>
    </comment>
    <comment ref="UQ175" authorId="0" shapeId="0" xr:uid="{1CD89A47-CDA8-4F8A-B2CF-AE716B385C5A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PO-2603011
DO: FA 67107
AGE'DOR
29/5/2026</t>
        </r>
      </text>
    </comment>
    <comment ref="AG176" authorId="0" shapeId="0" xr:uid="{44107F62-B632-4700-9A32-A39C97DCB671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CUT OFF</t>
        </r>
      </text>
    </comment>
    <comment ref="QO176" authorId="0" shapeId="0" xr:uid="{4527665D-FC34-4008-82FB-C647C9AC9F3B}">
      <text>
        <r>
          <rPr>
            <b/>
            <sz val="10"/>
            <color indexed="81"/>
            <rFont val="Tahoma"/>
            <family val="2"/>
          </rPr>
          <t>KP ASLI SDN BHD:</t>
        </r>
        <r>
          <rPr>
            <sz val="10"/>
            <color indexed="81"/>
            <rFont val="Tahoma"/>
            <family val="2"/>
          </rPr>
          <t xml:space="preserve">
STOCK TRANSFERRED TO LIANG TEIK
PPSB00838</t>
        </r>
      </text>
    </comment>
    <comment ref="XK177" authorId="0" shapeId="0" xr:uid="{136B8EBE-F102-48CD-8E11-CE7372A88D82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cut off</t>
        </r>
      </text>
    </comment>
    <comment ref="FU192" authorId="0" shapeId="0" xr:uid="{E863E52B-B408-4FD5-9CA2-26AE3EFFDC41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STOCK TRNASFERRED TO XUN TA
PPSB00841
960KG
STOCK TRNASFERRED TO LIANG TEIK
PPSB00842
2,020KG</t>
        </r>
      </text>
    </comment>
    <comment ref="GD192" authorId="0" shapeId="0" xr:uid="{42D3179F-152B-4EB0-BD01-8556ACE74066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STOCK TRNASFERRED TO XUN TA
PPSB00841
3,000KG
STOCK TRNASFERRED TO LIANG TEIK
PPSB00842
1,080KG</t>
        </r>
      </text>
    </comment>
    <comment ref="TR192" authorId="0" shapeId="0" xr:uid="{F0BB4A2D-8222-4429-910E-3FA3ADD01E3B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STOCK TRNASFERRED TO XUN TA
PPSB00841
19.20KG
STOCK TRNASFERRED TO LIANG TEIK
PPSB00842
40.80KG</t>
        </r>
      </text>
    </comment>
    <comment ref="UA192" authorId="0" shapeId="0" xr:uid="{D9273C7E-7BCC-496C-99DF-BE2BB24850B3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STOCK TRNASFERRED TO XUN TA
PPSB00841
90.00KG
STOCK TRNASFERRED TO LIANG TEIK
PPSB00842
32.40KG</t>
        </r>
      </text>
    </comment>
    <comment ref="BF193" authorId="0" shapeId="0" xr:uid="{53F4647A-E092-46FF-BE1B-EC0181A3B1D5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SUPPLIER: TAH YING</t>
        </r>
      </text>
    </comment>
    <comment ref="F200" authorId="0" shapeId="0" xr:uid="{32B25EE0-6EE4-4682-A50A-592107EAB2EC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19/6: -CUT OFF</t>
        </r>
      </text>
    </comment>
    <comment ref="D209" authorId="0" shapeId="0" xr:uid="{34594069-9AFB-4F41-91AC-826B226D2FA9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HARUMI RECORD 112090</t>
        </r>
      </text>
    </comment>
    <comment ref="DA210" authorId="0" shapeId="0" xr:uid="{9767747E-C1C8-4657-9C71-3A14ADE82D15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HARUMI BORROW</t>
        </r>
      </text>
    </comment>
    <comment ref="MR211" authorId="0" shapeId="0" xr:uid="{B0F14483-8E59-4E0D-9032-8FAB8E1653BD}">
      <text>
        <r>
          <rPr>
            <b/>
            <sz val="9"/>
            <color indexed="81"/>
            <rFont val="Tahoma"/>
            <charset val="1"/>
          </rPr>
          <t>KP ASLI SDN BHD:</t>
        </r>
        <r>
          <rPr>
            <sz val="9"/>
            <color indexed="81"/>
            <rFont val="Tahoma"/>
            <charset val="1"/>
          </rPr>
          <t xml:space="preserve">
CUT OFF</t>
        </r>
      </text>
    </comment>
    <comment ref="D224" authorId="1" shapeId="0" xr:uid="{ABD4EEF3-CF10-4477-9437-64CF816667A0}">
      <text>
        <r>
          <rPr>
            <sz val="11"/>
            <color theme="1"/>
            <rFont val="Calibri"/>
            <family val="2"/>
            <scheme val="minor"/>
          </rPr>
          <t>Yee Zhan Lim:
CUT OFF 10KG</t>
        </r>
      </text>
    </comment>
    <comment ref="M228" authorId="1" shapeId="0" xr:uid="{A8AFA8C9-27FE-46FB-86D3-E04C828D2421}">
      <text>
        <r>
          <rPr>
            <sz val="11"/>
            <color theme="1"/>
            <rFont val="Calibri"/>
            <family val="2"/>
            <scheme val="minor"/>
          </rPr>
          <t>Yee Zhan Lim:
CUT OFF 20KG</t>
        </r>
      </text>
    </comment>
    <comment ref="BZ246" authorId="0" shapeId="0" xr:uid="{74F122A0-3A2B-4987-81E6-0EF55AAA5ED5}">
      <text>
        <r>
          <rPr>
            <b/>
            <sz val="9"/>
            <color indexed="81"/>
            <rFont val="Tahoma"/>
            <charset val="1"/>
          </rPr>
          <t>KP ASLI SDN BHD:</t>
        </r>
        <r>
          <rPr>
            <sz val="9"/>
            <color indexed="81"/>
            <rFont val="Tahoma"/>
            <charset val="1"/>
          </rPr>
          <t xml:space="preserve">
CUT OFF</t>
        </r>
      </text>
    </comment>
    <comment ref="DA247" authorId="0" shapeId="0" xr:uid="{6C5E4FC7-264F-45D8-8FA9-C831B34D5D54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CUT OFF</t>
        </r>
      </text>
    </comment>
    <comment ref="SO255" authorId="0" shapeId="0" xr:uid="{39142AA6-055A-4361-AE6F-40E8FE634BA7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Suppllier: AgeDor
Inv No: FA 64902</t>
        </r>
      </text>
    </comment>
    <comment ref="AY256" authorId="0" shapeId="0" xr:uid="{E0131AB3-4B27-453E-8C2C-98CC3AA28BCC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Stock Transferred to Liang Teik
PPSB00750/DO12040
10,660kg
PPSB00751/DO12041
12,150kg
Total: 22,810kg</t>
        </r>
      </text>
    </comment>
    <comment ref="HX258" authorId="0" shapeId="0" xr:uid="{137388BE-50F4-4B2B-8704-41136B713FB4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NEW</t>
        </r>
      </text>
    </comment>
    <comment ref="HN259" authorId="0" shapeId="0" xr:uid="{4DAEC764-82F2-4B36-A2EC-57A2F13B9986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u/>
            <sz val="9"/>
            <color indexed="81"/>
            <rFont val="Tahoma"/>
            <family val="2"/>
          </rPr>
          <t>8101 2 sets</t>
        </r>
        <r>
          <rPr>
            <sz val="9"/>
            <color indexed="81"/>
            <rFont val="Tahoma"/>
            <family val="2"/>
          </rPr>
          <t xml:space="preserve">
24/7/2024 - Feed 8101 had use 6kg toxisorb but not deduct at usage 24/7 toxisorb collumn.
Ammended deduct on 7/8/2024</t>
        </r>
      </text>
    </comment>
    <comment ref="HX260" authorId="0" shapeId="0" xr:uid="{1FBA5851-76A2-40F1-BAFB-DDBE96FD7EB2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NEW</t>
        </r>
      </text>
    </comment>
    <comment ref="AY261" authorId="0" shapeId="0" xr:uid="{016036F1-488B-4347-9220-04817FF7E3DD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Stock Transferred to Liang Teik
PPSB00755/DO12046
10,290kg
PPSB00756/DO12047
10,410kg
Total: 20,700kg</t>
        </r>
      </text>
    </comment>
    <comment ref="HX265" authorId="0" shapeId="0" xr:uid="{A0FF40C9-8B93-4C77-AE06-7F28A43264CC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80 NEW (4 BAGS)
760 OLD (38 BAGS)</t>
        </r>
      </text>
    </comment>
    <comment ref="HX269" authorId="0" shapeId="0" xr:uid="{9F17D27C-AC14-4850-B052-4FC0EADCA5D6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OLD</t>
        </r>
      </text>
    </comment>
    <comment ref="IY272" authorId="0" shapeId="0" xr:uid="{D9D59C82-DD9C-42BE-8514-A2370659EC8D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DISPOSE CAUSE BROKEN</t>
        </r>
      </text>
    </comment>
    <comment ref="IG273" authorId="0" shapeId="0" xr:uid="{DE1D77DD-E78E-4A99-8255-30830A0F8DD1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DISPOSE CAUSE BROKEN</t>
        </r>
      </text>
    </comment>
    <comment ref="PL274" authorId="0" shapeId="0" xr:uid="{98D5B8CB-2073-47C1-A768-E5486DC85F09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Actually this plain bags 2000pcs intake was received on 15/8/24
BUT XT forgot record, 
so record on 21/8/24</t>
        </r>
      </text>
    </comment>
    <comment ref="CI298" authorId="0" shapeId="0" xr:uid="{1DFF3777-78B1-4F30-8647-8AF3F0657825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Stock Transferred to Harumi
PPSB00759/DO14109
10,800kg</t>
        </r>
      </text>
    </comment>
    <comment ref="ET298" authorId="0" shapeId="0" xr:uid="{38B5B5E4-3BF2-4B04-A450-21F1CB589A31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Stock Transferred to Liang Teik
1,000kg
PPSB00760/DO14110
Uncle Boon collect
</t>
        </r>
      </text>
    </comment>
    <comment ref="CI299" authorId="0" shapeId="0" xr:uid="{B1DBA9B9-9BB5-4E0A-9EFA-CDD793D357E5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Stock Transferred to Liang Teik
PPSB00762/DO14116
16,020kg</t>
        </r>
      </text>
    </comment>
    <comment ref="RE299" authorId="0" shapeId="0" xr:uid="{52122F99-EB4F-40D0-A0F8-72B113C36D56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Stock Transferred from Liang Teik
PPSB00763/DO14330
Wen Fa collect</t>
        </r>
      </text>
    </comment>
    <comment ref="AW301" authorId="0" shapeId="0" xr:uid="{C833A737-B744-4946-BD07-CF5898D9F36A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Stock Transferred from Liang Teik
PPSB00761
NOT have DO</t>
        </r>
      </text>
    </comment>
    <comment ref="DQ301" authorId="0" shapeId="0" xr:uid="{5DF3B764-8BB6-4A3E-953C-FC846A9E4D0B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Stock Transferred from Liang Teik
PPSB00761
NOT have DO</t>
        </r>
      </text>
    </comment>
    <comment ref="OD315" authorId="0" shapeId="0" xr:uid="{E5199793-0589-4E60-A9B0-50C05557556B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repacking</t>
        </r>
      </text>
    </comment>
    <comment ref="PN315" authorId="0" shapeId="0" xr:uid="{166F2EC6-CC2C-4152-9E9C-79C42E766A7A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repacking</t>
        </r>
      </text>
    </comment>
    <comment ref="OD316" authorId="0" shapeId="0" xr:uid="{E4D640E9-09B6-4C67-A7B5-0A4FF8DFE42B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Stock Transferred to Liang Teik
PPSB00766/DO14137
Symphonic help send to LT, 
NOT charges transport fees</t>
        </r>
      </text>
    </comment>
    <comment ref="OV316" authorId="0" shapeId="0" xr:uid="{3D4B446E-B70A-4921-802A-A800AEA21F41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Stock Transferred to Liang Teik
PPSB00766/DO14137
Symphonic help send to LT, 
NOT charges transport fees</t>
        </r>
      </text>
    </comment>
    <comment ref="CI328" authorId="0" shapeId="0" xr:uid="{01416C56-9C23-49EF-B48A-2665D1479BB6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Stock Transferred to Harumi
9,120kg
PPSB00765/DO14153</t>
        </r>
      </text>
    </comment>
    <comment ref="BZ333" authorId="0" shapeId="0" xr:uid="{BB199620-5B96-4894-8BDC-34770A16D721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Collect from Kami Farming, but need deduct at here cause XT use Kami Stock for give back CGM to us.
Stock Transferred to Harumi
PPSB00767/DO14158</t>
        </r>
      </text>
    </comment>
    <comment ref="RG333" authorId="0" shapeId="0" xr:uid="{307AF8FD-10EB-4A35-B29B-975FA8A95ED2}">
      <text>
        <r>
          <rPr>
            <b/>
            <sz val="9"/>
            <color indexed="81"/>
            <rFont val="Tahoma"/>
            <family val="2"/>
          </rPr>
          <t>KP ASLI SDN BHD:</t>
        </r>
        <r>
          <rPr>
            <sz val="9"/>
            <color indexed="81"/>
            <rFont val="Tahoma"/>
            <family val="2"/>
          </rPr>
          <t xml:space="preserve">
Stock Transferred to Harumi
PPSB00768/DO14157
Remark: This premx 8101 not have anti-cocci</t>
        </r>
      </text>
    </comment>
  </commentList>
</comments>
</file>

<file path=xl/sharedStrings.xml><?xml version="1.0" encoding="utf-8"?>
<sst xmlns="http://schemas.openxmlformats.org/spreadsheetml/2006/main" count="18631" uniqueCount="396">
  <si>
    <t>FORMULA</t>
  </si>
  <si>
    <t>1101 C (STARTER)</t>
  </si>
  <si>
    <t>WS 1101 (251124)</t>
  </si>
  <si>
    <t>WS 1101 (220526)</t>
  </si>
  <si>
    <t>N01309AY</t>
  </si>
  <si>
    <t>%</t>
  </si>
  <si>
    <t>BATCH</t>
  </si>
  <si>
    <t>MAIZE/CORN</t>
  </si>
  <si>
    <t>SOYBEAN MEAL (ARG)</t>
  </si>
  <si>
    <t>SOYBEAN FULL FAT</t>
  </si>
  <si>
    <t>WHEAT POLLARD</t>
  </si>
  <si>
    <t>WHEAT</t>
  </si>
  <si>
    <t>MEAT AND BONE MEAL</t>
  </si>
  <si>
    <t>CORN GLUTEN MEAL</t>
  </si>
  <si>
    <t>MEGAFAT (HARUMI)</t>
  </si>
  <si>
    <t>DCP 18%</t>
  </si>
  <si>
    <t>LIMESTONE POWDER (HARUMI)</t>
  </si>
  <si>
    <t>CHOLINE CHLORIDE 60%</t>
  </si>
  <si>
    <t>INDUSTRY FLOUR</t>
  </si>
  <si>
    <t>RICE BRAN</t>
  </si>
  <si>
    <t>EP 200</t>
  </si>
  <si>
    <t>SOYTIDE</t>
  </si>
  <si>
    <t>DCP 18% (HARUMI)</t>
  </si>
  <si>
    <t>PREMIX 1101 (20KG)</t>
  </si>
  <si>
    <t>PREMIX 1102 (20KG)</t>
  </si>
  <si>
    <t>PREMIX 1103 (20KG)</t>
  </si>
  <si>
    <t>PREMIX 311 (20KG)</t>
  </si>
  <si>
    <t>PREMIX 312 (20KG)</t>
  </si>
  <si>
    <t>PREMIX 8100 (20KG)</t>
  </si>
  <si>
    <t>PREMIX 8101 (20KG)</t>
  </si>
  <si>
    <t>PREMIX 8102 (20KG)</t>
  </si>
  <si>
    <t>PREMIX 8103 (20KG)</t>
  </si>
  <si>
    <t>PREMIX 8108 (20KG)</t>
  </si>
  <si>
    <t>PREMIX 8109 (20KG)</t>
  </si>
  <si>
    <t>YENMIX 121 (20KG)</t>
  </si>
  <si>
    <t>YENMIX 122 (19.50KG)</t>
  </si>
  <si>
    <t>YENMIX 123 (18.90KG)</t>
  </si>
  <si>
    <t>YENMIX 122 (20.50KG)</t>
  </si>
  <si>
    <t>YENMIX 123 (20.00KG)</t>
  </si>
  <si>
    <t>TOXISORB PREMIUM</t>
  </si>
  <si>
    <t>SODIUM HUMATE 3.8% (HARUMI)</t>
  </si>
  <si>
    <t>TOXIWALL</t>
  </si>
  <si>
    <t>SODIUM BICARBONATE</t>
  </si>
  <si>
    <t>BMD 10%</t>
  </si>
  <si>
    <t>SALT (HARUMI)</t>
  </si>
  <si>
    <t>VISTABET 91</t>
  </si>
  <si>
    <t>BETAFIN</t>
  </si>
  <si>
    <t>8101 TOP UP</t>
  </si>
  <si>
    <t>NORPONIN X03 (8102 TOP UP)</t>
  </si>
  <si>
    <t>8102 TOP UP (4KG)</t>
  </si>
  <si>
    <t>8103 TOP UP (5KG)</t>
  </si>
  <si>
    <t>L-ARGININE</t>
  </si>
  <si>
    <t>DL-METHIONINE</t>
  </si>
  <si>
    <t>L-THREONINE</t>
  </si>
  <si>
    <t>L-LYSINE</t>
  </si>
  <si>
    <t>FAECES DRY</t>
  </si>
  <si>
    <t>ECOBIOL</t>
  </si>
  <si>
    <t>ADDITIVE BROILER IMMUNE</t>
  </si>
  <si>
    <t>MASTER CUBE (HARUMI)</t>
  </si>
  <si>
    <t>1101 TOP UP (0.40KG)</t>
  </si>
  <si>
    <t>1102 TOP UP (0.60KG)</t>
  </si>
  <si>
    <t>1103 TOP UP (2.00KG)</t>
  </si>
  <si>
    <t>QUANTUM GLO 4%</t>
  </si>
  <si>
    <t>SALT</t>
  </si>
  <si>
    <t>OC 200 - OXYTET 20%</t>
  </si>
  <si>
    <t>WOVEN BAG (1101) - BLUE 50KG</t>
  </si>
  <si>
    <t>WOVEN BAG (1102) - GREEN 50KG</t>
  </si>
  <si>
    <t>WOVEN BAG (1103) - RED 50KG</t>
  </si>
  <si>
    <t>PLAIN BAG 26" X 39" (50KG)</t>
  </si>
  <si>
    <t>WOVEN BAG (8101) - KHAKI 50KG</t>
  </si>
  <si>
    <t>WOVEN BAG (8102) - SKY BLUE 50KG</t>
  </si>
  <si>
    <t>WOVEN BAG (8103) - BROWN 50KG</t>
  </si>
  <si>
    <t>TOTAL</t>
  </si>
  <si>
    <t>1102 C/P (GROWER)</t>
  </si>
  <si>
    <t>WS 1102 (290825)</t>
  </si>
  <si>
    <t>N025-06</t>
  </si>
  <si>
    <t>1103 P (FINISHER 1)</t>
  </si>
  <si>
    <t>WS 1103 (290825)</t>
  </si>
  <si>
    <t>WS 1103 (220526)</t>
  </si>
  <si>
    <t>N035-06</t>
  </si>
  <si>
    <t>WITH 1103 TOP UP</t>
  </si>
  <si>
    <t>1104 P (FINISHER 2)</t>
  </si>
  <si>
    <t>8100&amp;8101&amp;8102&amp;8103 (BROILER)</t>
  </si>
  <si>
    <t>WS 8100 (290825)</t>
  </si>
  <si>
    <t>WS 8100 (280426)</t>
  </si>
  <si>
    <t>WS 8102 (290825)</t>
  </si>
  <si>
    <t>WS 8102 (121225)</t>
  </si>
  <si>
    <t>WS 8102 (020326)</t>
  </si>
  <si>
    <t>WS 8102 (060526)</t>
  </si>
  <si>
    <t>WS 8103 (070526)</t>
  </si>
  <si>
    <t>WS 8102 (070526)</t>
  </si>
  <si>
    <t>WS 8103 (061125)</t>
  </si>
  <si>
    <t>WS 8103 (250226)</t>
  </si>
  <si>
    <t>WS 8102 (080526)</t>
  </si>
  <si>
    <t>WS 8109 (080526)</t>
  </si>
  <si>
    <t>NR 14-04</t>
  </si>
  <si>
    <t>NR 24-04Z</t>
  </si>
  <si>
    <t>WITH BMD</t>
  </si>
  <si>
    <t>8102 Top Up&amp;PM 8108</t>
  </si>
  <si>
    <t>8102 Top Up&amp;PM 8102</t>
  </si>
  <si>
    <t>8103 Top Up&amp;PM 8103</t>
  </si>
  <si>
    <t>8103 Top Up&amp;PM 8109</t>
  </si>
  <si>
    <t xml:space="preserve">NR 34-04 </t>
  </si>
  <si>
    <t>8102 TOP UP</t>
  </si>
  <si>
    <t>8103 TOP UP</t>
  </si>
  <si>
    <t>121 (BROILER), 311, 312</t>
  </si>
  <si>
    <t>YH 121 (050226)</t>
  </si>
  <si>
    <t>YH 121 (190326)</t>
  </si>
  <si>
    <t>YH 121 (020426)</t>
  </si>
  <si>
    <t>311 (130526)</t>
  </si>
  <si>
    <t>312 (130526)</t>
  </si>
  <si>
    <t>SOYTIDE&amp;TOXISORB</t>
  </si>
  <si>
    <t>SOYTIDE&amp;TOXIWALL</t>
  </si>
  <si>
    <t>EP 200&amp;TOXIWALL</t>
  </si>
  <si>
    <t>122 (BROILER), 5201, 5202</t>
  </si>
  <si>
    <t>YH 122 (050226)</t>
  </si>
  <si>
    <t>YH 122 (190326)</t>
  </si>
  <si>
    <t>YH 122 (200426)</t>
  </si>
  <si>
    <t>5201 (090426)</t>
  </si>
  <si>
    <t>5202 (090426)</t>
  </si>
  <si>
    <t>5203 (090426)</t>
  </si>
  <si>
    <t>WITH TOXISORB</t>
  </si>
  <si>
    <t>WITH TOXIWALL</t>
  </si>
  <si>
    <t>WITH TOXIWALL, YM 20.50kg</t>
  </si>
  <si>
    <t>REDUCE CORN FOR 2MT</t>
  </si>
  <si>
    <t>K20</t>
  </si>
  <si>
    <t>ALREADY 2MT</t>
  </si>
  <si>
    <t>K21</t>
  </si>
  <si>
    <t>OC 200</t>
  </si>
  <si>
    <t>123 (BROILER)</t>
  </si>
  <si>
    <t>YH 123 (050226)</t>
  </si>
  <si>
    <t>YH 123 (130326)</t>
  </si>
  <si>
    <t>YH 123 (190326)</t>
  </si>
  <si>
    <t>YH 123 (200426)</t>
  </si>
  <si>
    <t>WITHOUT WHEAT POLLARD</t>
  </si>
  <si>
    <t>WITH TOXIWALL, YM 20.00kg</t>
  </si>
  <si>
    <t>L-VALINE</t>
  </si>
  <si>
    <t>L-ISOLEUCINE</t>
  </si>
  <si>
    <t>MT</t>
  </si>
  <si>
    <t>RAW_M</t>
  </si>
  <si>
    <t>JANUARY</t>
  </si>
  <si>
    <t>FEBRUARY</t>
  </si>
  <si>
    <t>MARCH</t>
  </si>
  <si>
    <t>APRIL</t>
  </si>
  <si>
    <t>MAY</t>
  </si>
  <si>
    <t>JUNE</t>
  </si>
  <si>
    <t>WS1101
(220526)</t>
  </si>
  <si>
    <t>WS 8102 
(230726)</t>
  </si>
  <si>
    <t>5203 (240626)</t>
  </si>
  <si>
    <t>JULY</t>
  </si>
  <si>
    <t>k21</t>
  </si>
  <si>
    <t xml:space="preserve">            </t>
  </si>
  <si>
    <t>='VAC &amp; MED'!C254</t>
  </si>
  <si>
    <t>=FORMULA!$D$3</t>
  </si>
  <si>
    <t>WS 1102
(220526)</t>
  </si>
  <si>
    <t>W 8102 (230726)</t>
  </si>
  <si>
    <t>AUGUST</t>
  </si>
  <si>
    <t>SEPTEMBER</t>
  </si>
  <si>
    <t>OCTOBER</t>
  </si>
  <si>
    <t>NOVEMBER</t>
  </si>
  <si>
    <t>DECEMBER</t>
  </si>
  <si>
    <t xml:space="preserve">VAC &amp; MED </t>
  </si>
  <si>
    <t>EXTRA</t>
  </si>
  <si>
    <t>JAN</t>
  </si>
  <si>
    <t>Date</t>
  </si>
  <si>
    <t>Intake</t>
  </si>
  <si>
    <t>Usage</t>
  </si>
  <si>
    <t>Actual</t>
  </si>
  <si>
    <t>Adjustment</t>
  </si>
  <si>
    <t>Balance</t>
  </si>
  <si>
    <t>Remarks</t>
  </si>
  <si>
    <t>BALANCE</t>
  </si>
  <si>
    <t>-</t>
  </si>
  <si>
    <t>bags</t>
  </si>
  <si>
    <t>8102 28mt, 1103 40mt</t>
  </si>
  <si>
    <t>8102 12mt, 8102 30mt, 1103 50mt</t>
  </si>
  <si>
    <t>8103 120mt</t>
  </si>
  <si>
    <t>8102 70mt, 8103 10mt</t>
  </si>
  <si>
    <t>8102 50mt, 8103 20mt, 1103 10mt</t>
  </si>
  <si>
    <t>8102 30mt</t>
  </si>
  <si>
    <t>8102 40mt</t>
  </si>
  <si>
    <t>8100 22mt</t>
  </si>
  <si>
    <t>8102 26mt, 8103 20mt, 1103 30mt</t>
  </si>
  <si>
    <t>8102 28mt, 1103 56mt</t>
  </si>
  <si>
    <t>8100 10mt, 8102 18mt, 8102 16mt, 1103 30mt</t>
  </si>
  <si>
    <t>8100 20mt, 8102 10mt, 8102 20mt, 8103 14mt</t>
  </si>
  <si>
    <t>8102 26mt</t>
  </si>
  <si>
    <t>8100 30mt, 8102 32mt, 8103 20mt</t>
  </si>
  <si>
    <t>1103 50mt</t>
  </si>
  <si>
    <t>1103 14mt, 8103 18mt</t>
  </si>
  <si>
    <t>8100 44mt, 1103 24mt</t>
  </si>
  <si>
    <t>8103 40mt, 1101 16mt</t>
  </si>
  <si>
    <t>8102 40mt, 1103 44mt</t>
  </si>
  <si>
    <t>8102 14mt, 8102 20mt</t>
  </si>
  <si>
    <t>1103 16mt</t>
  </si>
  <si>
    <t>8102 40mt, 1103 30mt</t>
  </si>
  <si>
    <t>FEB</t>
  </si>
  <si>
    <t>1103 16mt, 8102 26mt</t>
  </si>
  <si>
    <t>8100 52mt, 8103 26mt</t>
  </si>
  <si>
    <t>122 2mt, 122 68mt</t>
  </si>
  <si>
    <t>121 60mt</t>
  </si>
  <si>
    <t>8102 120mt</t>
  </si>
  <si>
    <t>8102 50mt</t>
  </si>
  <si>
    <t>121 120mt</t>
  </si>
  <si>
    <t>122 110mt</t>
  </si>
  <si>
    <t>1101 26mt, 8102 112mt</t>
  </si>
  <si>
    <t>1101 30mt</t>
  </si>
  <si>
    <t>8102 54mt, 122 78mt</t>
  </si>
  <si>
    <t>123 80mt</t>
  </si>
  <si>
    <t>122 50mt, 1101 26mt</t>
  </si>
  <si>
    <t>123 76mt</t>
  </si>
  <si>
    <t>122 18mt, 1101 14mt</t>
  </si>
  <si>
    <t>122 26mt</t>
  </si>
  <si>
    <t>1101 50mt</t>
  </si>
  <si>
    <t>MAR</t>
  </si>
  <si>
    <t>122 20mt, 123 60mt</t>
  </si>
  <si>
    <t>122 78mt, 123 40mt</t>
  </si>
  <si>
    <t>123 82mt</t>
  </si>
  <si>
    <t>1101 16mt</t>
  </si>
  <si>
    <t>122 70mt</t>
  </si>
  <si>
    <t>122 4mt, 123 16mt, 1101 14mt, 1102 30mt</t>
  </si>
  <si>
    <t>121 20mt, 123 104mt</t>
  </si>
  <si>
    <t>1102 20mt</t>
  </si>
  <si>
    <t>123 100mt</t>
  </si>
  <si>
    <t>121 44mt. 123 30mt</t>
  </si>
  <si>
    <t>123 118mt, 1102 46mt</t>
  </si>
  <si>
    <t>121 42mt, 1101 40mt</t>
  </si>
  <si>
    <t>122 50mt, 1102 68mt</t>
  </si>
  <si>
    <t>122 20mt</t>
  </si>
  <si>
    <t>122 40mt</t>
  </si>
  <si>
    <t>123 10mt, 1102 120mt</t>
  </si>
  <si>
    <t>121 24mt, 123 10mt, 1101 16mt</t>
  </si>
  <si>
    <t>122 10mt, 123 70mt</t>
  </si>
  <si>
    <t>121 30mt, 122 36mt</t>
  </si>
  <si>
    <t>1101 46mt, 1103 38mt</t>
  </si>
  <si>
    <t>1102 50mt</t>
  </si>
  <si>
    <t>APR</t>
  </si>
  <si>
    <t>121 20mt</t>
  </si>
  <si>
    <t>122 20mt, 122 30mt, 1101 76mt</t>
  </si>
  <si>
    <t>121 16mt, 121 32mt, 121 2mt, 122 50mt</t>
  </si>
  <si>
    <t>123 12mt</t>
  </si>
  <si>
    <t>122 30mt</t>
  </si>
  <si>
    <t>123 26mt</t>
  </si>
  <si>
    <t>122 20mt, 1102 50mt</t>
  </si>
  <si>
    <t>121 30mt, 122 100mt</t>
  </si>
  <si>
    <t>123 38mt</t>
  </si>
  <si>
    <t>122 60mt</t>
  </si>
  <si>
    <t>122 20mt, 1102 46mt</t>
  </si>
  <si>
    <t>123 56mt</t>
  </si>
  <si>
    <t>121 20mt, 122 30mt, 1102 40mt</t>
  </si>
  <si>
    <t>122 30mt, 1102 60mt</t>
  </si>
  <si>
    <t>122 24mt, 122 16mt, 1102 66mt</t>
  </si>
  <si>
    <t>usage need 2460, then balance will be 180 bag</t>
  </si>
  <si>
    <t>1103 58mt</t>
  </si>
  <si>
    <t>122 40mt, 123 40mt, 1103 18mt</t>
  </si>
  <si>
    <t>1102 90mt, 8100 18mt, 8102 48mt</t>
  </si>
  <si>
    <t>122 20mt, 123 20mt</t>
  </si>
  <si>
    <t>8100 20mt</t>
  </si>
  <si>
    <t>8102 80mt</t>
  </si>
  <si>
    <t>123 50mt, 1103 50mt</t>
  </si>
  <si>
    <t>8102 38mt</t>
  </si>
  <si>
    <t>8102 82mt</t>
  </si>
  <si>
    <t>8102 18mt, 20mt, 32mt, 2mt</t>
  </si>
  <si>
    <t>8100 10mt</t>
  </si>
  <si>
    <t>8102 20mt, 50mt</t>
  </si>
  <si>
    <t>1103 90mt</t>
  </si>
  <si>
    <t>1102 46mt, 8100 44mt</t>
  </si>
  <si>
    <t>311 14mt</t>
  </si>
  <si>
    <t>1103 40mt</t>
  </si>
  <si>
    <t>8102 60mt</t>
  </si>
  <si>
    <t>1102 30mt, 8102 50mt</t>
  </si>
  <si>
    <t>5201 10mt</t>
  </si>
  <si>
    <t>311 36mt</t>
  </si>
  <si>
    <t>8100 14mt, 5201 20mt</t>
  </si>
  <si>
    <t>1103 60mt</t>
  </si>
  <si>
    <t>8102 14mt</t>
  </si>
  <si>
    <t>5202 20mt</t>
  </si>
  <si>
    <t>5202 4mt</t>
  </si>
  <si>
    <t>JUN</t>
  </si>
  <si>
    <t>8102 16mt</t>
  </si>
  <si>
    <t>8102 20mt</t>
  </si>
  <si>
    <t>8102 40mt, 5201 20mt, 5202 30mt</t>
  </si>
  <si>
    <t>5201 30mt</t>
  </si>
  <si>
    <t xml:space="preserve">311 30mt, 8102 38mt </t>
  </si>
  <si>
    <t>5202 20mt, 8102 40mt</t>
  </si>
  <si>
    <t>5201 4mt, 5202 10mt</t>
  </si>
  <si>
    <t>311 30mt, 8102 90mt</t>
  </si>
  <si>
    <t>5201 6mt, 5202 30mt</t>
  </si>
  <si>
    <t>5202 44mt</t>
  </si>
  <si>
    <t>5202 10mt</t>
  </si>
  <si>
    <t>5202 90mt</t>
  </si>
  <si>
    <t>5203 20mt</t>
  </si>
  <si>
    <t>5202 24mt</t>
  </si>
  <si>
    <t>8102 10mt, 5202 46mt, 5203 60mt</t>
  </si>
  <si>
    <t>8100 6mt</t>
  </si>
  <si>
    <t>5203 60mt</t>
  </si>
  <si>
    <t>JUL</t>
  </si>
  <si>
    <t>NOT SURE HE CORRECT ?</t>
  </si>
  <si>
    <t>NEED RAMESH REVISED THE HB EXCEL FILE</t>
  </si>
  <si>
    <t>AUG</t>
  </si>
  <si>
    <t>NEW</t>
  </si>
  <si>
    <t>4 new, 38 old</t>
  </si>
  <si>
    <t>OLD</t>
  </si>
  <si>
    <t>Opening Premix 8100 on 18/8</t>
  </si>
  <si>
    <t>old premix 8100 192 bags</t>
  </si>
  <si>
    <t>new premix 8100 114 bags</t>
  </si>
  <si>
    <t xml:space="preserve"> </t>
  </si>
  <si>
    <t>SEP</t>
  </si>
  <si>
    <t>OCT</t>
  </si>
  <si>
    <t>NOV</t>
  </si>
  <si>
    <t>DEC</t>
  </si>
  <si>
    <t>if can try to change the usage to actual</t>
  </si>
  <si>
    <t xml:space="preserve">JAN </t>
  </si>
  <si>
    <t>OPENING</t>
  </si>
  <si>
    <t>INTAKE</t>
  </si>
  <si>
    <t>USAGE</t>
  </si>
  <si>
    <t>ADJUUSTMENT</t>
  </si>
  <si>
    <t>DATA for Monthly Stock Report TITLE</t>
  </si>
  <si>
    <t>HARUMI Stock - JAN 2026</t>
  </si>
  <si>
    <t>HARUMI Stock - FEB 2026</t>
  </si>
  <si>
    <t>HARUMI Stock - MAR 2026</t>
  </si>
  <si>
    <t>HARUMI Stock - APR 2026</t>
  </si>
  <si>
    <t>HARUMI Stock - MAY 2026</t>
  </si>
  <si>
    <t>HARUMI Stock - JUN 2026</t>
  </si>
  <si>
    <t>HARUMI Stock - JUL 2026</t>
  </si>
  <si>
    <t>HARUMI Stock - AUG 2026</t>
  </si>
  <si>
    <t>HARUMI Stock - SEP 2026</t>
  </si>
  <si>
    <t>HARUMI Stock - OCT 2026</t>
  </si>
  <si>
    <t>HARUMI Stock - NOV 2026</t>
  </si>
  <si>
    <t>HARUMI Stock - DEC 2026</t>
  </si>
  <si>
    <t>Checking</t>
  </si>
  <si>
    <t>No</t>
  </si>
  <si>
    <t>Description</t>
  </si>
  <si>
    <t>UOM</t>
  </si>
  <si>
    <t>Opening</t>
  </si>
  <si>
    <t>Receiving</t>
  </si>
  <si>
    <t>Bal (KG)</t>
  </si>
  <si>
    <t>C. Price (RM)</t>
  </si>
  <si>
    <t>T.Charges RM/Mt</t>
  </si>
  <si>
    <t>Total (RM)</t>
  </si>
  <si>
    <t>Supplier Balance</t>
  </si>
  <si>
    <t>Unit Price</t>
  </si>
  <si>
    <t>Supplier</t>
  </si>
  <si>
    <t>Inv no.</t>
  </si>
  <si>
    <t>Remark</t>
  </si>
  <si>
    <t>RAW MATERIAL</t>
  </si>
  <si>
    <t>KG</t>
  </si>
  <si>
    <t>PREMIX &amp; ADDITIVES</t>
  </si>
  <si>
    <t>PACKING MATERIALS</t>
  </si>
  <si>
    <t>PCS</t>
  </si>
  <si>
    <t>MEGAFAT</t>
  </si>
  <si>
    <t xml:space="preserve">LIMESTONE POWDER </t>
  </si>
  <si>
    <t>SODIUM HUMATE 3.8%</t>
  </si>
  <si>
    <t>Remark for adjustment (+)</t>
  </si>
  <si>
    <t>Reason: Cut off</t>
  </si>
  <si>
    <t>Reason: Stock Transferred from Liang Teik</t>
  </si>
  <si>
    <t>PPSB00817/DO15247                       7/1/2026</t>
  </si>
  <si>
    <t>Remark for adjustment (-)</t>
  </si>
  <si>
    <t>Prepared by: ______________</t>
  </si>
  <si>
    <t xml:space="preserve">   Approved by: ______________</t>
  </si>
  <si>
    <t>28.04.2026</t>
  </si>
  <si>
    <t>Revised Date: 28/04/2026</t>
  </si>
  <si>
    <t>Revised Date: 2/6/2026</t>
  </si>
  <si>
    <t>Reason: Stock Transferred from Xun Ta</t>
  </si>
  <si>
    <t>PPSB00821/DO16424                       2/3/2026</t>
  </si>
  <si>
    <t>PPSB00825/DO16459                     13/3/2026</t>
  </si>
  <si>
    <t>PPSB00823/DO16051                       6/3/2026</t>
  </si>
  <si>
    <t>PPSB00824/DO16051                       6/3/2026</t>
  </si>
  <si>
    <t>PPSB00826                                    13/3/2026</t>
  </si>
  <si>
    <t>*Top Up 8103 intake 400 Weissen 9/4 BILLED us</t>
  </si>
  <si>
    <t>Revised Date: 3/6/2026</t>
  </si>
  <si>
    <t>IF NEEDED</t>
  </si>
  <si>
    <t>BAGS</t>
  </si>
  <si>
    <t>PPSB00827/DO16909                  16/4/2026</t>
  </si>
  <si>
    <t>Highlighted</t>
  </si>
  <si>
    <t>NOT Highlighted</t>
  </si>
  <si>
    <t xml:space="preserve">CORN GLUTEN MEAL </t>
  </si>
  <si>
    <t>PPSB00833/DO16995                14/5/2026</t>
  </si>
  <si>
    <t>Reason: Cause not using to produce become feed yet.</t>
  </si>
  <si>
    <t>MEAT &amp; BONE MEAL</t>
  </si>
  <si>
    <t>Reason: Stock Transferred to Xun Ta</t>
  </si>
  <si>
    <t>PPSB00832                               15/5/2026</t>
  </si>
  <si>
    <t>Reason: Return to Weissen</t>
  </si>
  <si>
    <t>PPSB00856                                8/5/2026</t>
  </si>
  <si>
    <t>Reason: Stock Transferred to Liang Teik</t>
  </si>
  <si>
    <t>PPSB00835                               23/5/2026</t>
  </si>
  <si>
    <t>PPSB00838                               30/5/2026</t>
  </si>
  <si>
    <t>PPSB00857                               12/5/2026</t>
  </si>
  <si>
    <t>Reason: Usage on April</t>
  </si>
  <si>
    <t>TOP UP 1102 (0.60KG)</t>
  </si>
  <si>
    <t>PPSB00839                               30/5/2026</t>
  </si>
  <si>
    <t>1103 TOP UP</t>
  </si>
  <si>
    <t>HARUMI Stock - JUNE 2026</t>
  </si>
  <si>
    <t>PPSB00841                              10/6/2026</t>
  </si>
  <si>
    <t>PPSB00842                              10/6/2026</t>
  </si>
  <si>
    <t>TOP UP 1101 (0.40KG)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</si>
</sst>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&quot;RM&quot;#,##0.00;[Red]\-&quot;RM&quot;#,##0.00"/>
    <numFmt numFmtId="165" formatCode="[$-14409]dd/mm/yyyy;@"/>
    <numFmt numFmtId="166" formatCode="0.000"/>
    <numFmt numFmtId="167" formatCode="0.000000"/>
  </numFmts>
  <fonts count="4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8"/>
      <color theme="1"/>
      <name val="Times New Roman"/>
      <family val="1"/>
    </font>
    <font>
      <b/>
      <sz val="20"/>
      <color theme="0"/>
      <name val="Times New Roman"/>
      <family val="1"/>
    </font>
    <font>
      <b/>
      <sz val="24"/>
      <color theme="1"/>
      <name val="Times New Roman"/>
      <family val="1"/>
    </font>
    <font>
      <b/>
      <sz val="26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b/>
      <sz val="12"/>
      <color rgb="FFFFC000"/>
      <name val="Times New Roman"/>
      <family val="1"/>
    </font>
    <font>
      <sz val="12"/>
      <color rgb="FFFFC000"/>
      <name val="Times New Roman"/>
      <family val="1"/>
    </font>
    <font>
      <b/>
      <sz val="11"/>
      <color theme="0"/>
      <name val="Times New Roman"/>
      <family val="1"/>
    </font>
    <font>
      <b/>
      <sz val="12"/>
      <color theme="0"/>
      <name val="Times New Roman"/>
      <family val="1"/>
    </font>
    <font>
      <b/>
      <sz val="18"/>
      <color theme="0"/>
      <name val="Times New Roman"/>
      <family val="1"/>
    </font>
    <font>
      <sz val="11"/>
      <name val="Times New Roman"/>
      <family val="1"/>
    </font>
    <font>
      <b/>
      <sz val="18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b/>
      <sz val="15"/>
      <color theme="0"/>
      <name val="Times New Roman"/>
      <family val="1"/>
    </font>
    <font>
      <b/>
      <sz val="22"/>
      <color theme="1"/>
      <name val="Times New Roman"/>
      <family val="1"/>
    </font>
    <font>
      <sz val="15"/>
      <name val="Times New Roman"/>
      <family val="1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B00500"/>
      <name val="Arial"/>
      <family val="2"/>
    </font>
    <font>
      <b/>
      <sz val="11"/>
      <color rgb="FFFF0000"/>
      <name val="Times New Roman"/>
      <family val="1"/>
    </font>
    <font>
      <b/>
      <sz val="10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Times New Roman"/>
      <family val="1"/>
    </font>
    <font>
      <b/>
      <u/>
      <sz val="9"/>
      <color indexed="81"/>
      <name val="Tahoma"/>
      <family val="2"/>
    </font>
    <font>
      <sz val="9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b/>
      <sz val="12"/>
      <color indexed="81"/>
      <name val="Tahoma"/>
      <family val="2"/>
    </font>
    <font>
      <sz val="12"/>
      <color indexed="81"/>
      <name val="Tahoma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</fonts>
  <fills count="4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DE7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3585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</cellStyleXfs>
  <cellXfs count="854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vertical="center" wrapText="1"/>
    </xf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vertical="center"/>
    </xf>
    <xf numFmtId="2" fontId="7" fillId="9" borderId="1" xfId="0" applyNumberFormat="1" applyFont="1" applyFill="1" applyBorder="1" applyAlignment="1">
      <alignment horizontal="center" vertical="center" wrapText="1"/>
    </xf>
    <xf numFmtId="2" fontId="7" fillId="16" borderId="1" xfId="0" applyNumberFormat="1" applyFont="1" applyFill="1" applyBorder="1" applyAlignment="1">
      <alignment horizontal="center" vertical="center"/>
    </xf>
    <xf numFmtId="2" fontId="7" fillId="14" borderId="1" xfId="0" applyNumberFormat="1" applyFont="1" applyFill="1" applyBorder="1" applyAlignment="1">
      <alignment horizontal="center" vertical="center"/>
    </xf>
    <xf numFmtId="2" fontId="7" fillId="2" borderId="1" xfId="0" applyNumberFormat="1" applyFont="1" applyFill="1" applyBorder="1" applyAlignment="1">
      <alignment horizontal="center" vertical="center"/>
    </xf>
    <xf numFmtId="14" fontId="6" fillId="0" borderId="0" xfId="0" applyNumberFormat="1" applyFont="1"/>
    <xf numFmtId="43" fontId="6" fillId="0" borderId="0" xfId="1" applyFont="1"/>
    <xf numFmtId="43" fontId="6" fillId="0" borderId="0" xfId="1" applyFont="1" applyFill="1" applyBorder="1"/>
    <xf numFmtId="0" fontId="6" fillId="18" borderId="5" xfId="0" applyFont="1" applyFill="1" applyBorder="1"/>
    <xf numFmtId="0" fontId="6" fillId="11" borderId="5" xfId="0" applyFont="1" applyFill="1" applyBorder="1"/>
    <xf numFmtId="0" fontId="6" fillId="7" borderId="5" xfId="0" applyFont="1" applyFill="1" applyBorder="1"/>
    <xf numFmtId="0" fontId="6" fillId="19" borderId="5" xfId="0" applyFont="1" applyFill="1" applyBorder="1"/>
    <xf numFmtId="2" fontId="7" fillId="0" borderId="4" xfId="0" applyNumberFormat="1" applyFont="1" applyBorder="1" applyAlignment="1">
      <alignment horizontal="center" vertical="center"/>
    </xf>
    <xf numFmtId="43" fontId="6" fillId="0" borderId="18" xfId="1" applyFont="1" applyFill="1" applyBorder="1"/>
    <xf numFmtId="43" fontId="6" fillId="0" borderId="17" xfId="1" applyFont="1" applyFill="1" applyBorder="1"/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2" fontId="5" fillId="9" borderId="10" xfId="0" applyNumberFormat="1" applyFont="1" applyFill="1" applyBorder="1" applyAlignment="1">
      <alignment horizontal="center" vertical="center"/>
    </xf>
    <xf numFmtId="2" fontId="5" fillId="9" borderId="25" xfId="0" applyNumberFormat="1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2" fontId="5" fillId="10" borderId="10" xfId="0" applyNumberFormat="1" applyFont="1" applyFill="1" applyBorder="1" applyAlignment="1">
      <alignment horizontal="center" vertical="center"/>
    </xf>
    <xf numFmtId="2" fontId="5" fillId="10" borderId="31" xfId="0" applyNumberFormat="1" applyFont="1" applyFill="1" applyBorder="1" applyAlignment="1">
      <alignment horizontal="center" vertical="center"/>
    </xf>
    <xf numFmtId="2" fontId="5" fillId="11" borderId="10" xfId="0" applyNumberFormat="1" applyFont="1" applyFill="1" applyBorder="1" applyAlignment="1">
      <alignment horizontal="center" vertical="center"/>
    </xf>
    <xf numFmtId="2" fontId="5" fillId="11" borderId="31" xfId="0" applyNumberFormat="1" applyFont="1" applyFill="1" applyBorder="1" applyAlignment="1">
      <alignment horizontal="center" vertical="center"/>
    </xf>
    <xf numFmtId="2" fontId="5" fillId="12" borderId="10" xfId="0" applyNumberFormat="1" applyFont="1" applyFill="1" applyBorder="1" applyAlignment="1">
      <alignment horizontal="center" vertical="center"/>
    </xf>
    <xf numFmtId="2" fontId="5" fillId="12" borderId="25" xfId="0" applyNumberFormat="1" applyFont="1" applyFill="1" applyBorder="1" applyAlignment="1">
      <alignment horizontal="center" vertical="center"/>
    </xf>
    <xf numFmtId="2" fontId="5" fillId="7" borderId="10" xfId="0" applyNumberFormat="1" applyFont="1" applyFill="1" applyBorder="1" applyAlignment="1">
      <alignment horizontal="center" vertical="center"/>
    </xf>
    <xf numFmtId="2" fontId="5" fillId="7" borderId="25" xfId="0" applyNumberFormat="1" applyFont="1" applyFill="1" applyBorder="1" applyAlignment="1">
      <alignment horizontal="center" vertical="center"/>
    </xf>
    <xf numFmtId="2" fontId="5" fillId="13" borderId="10" xfId="0" applyNumberFormat="1" applyFont="1" applyFill="1" applyBorder="1" applyAlignment="1">
      <alignment horizontal="center" vertical="center"/>
    </xf>
    <xf numFmtId="2" fontId="5" fillId="13" borderId="25" xfId="0" applyNumberFormat="1" applyFont="1" applyFill="1" applyBorder="1" applyAlignment="1">
      <alignment horizontal="center" vertical="center"/>
    </xf>
    <xf numFmtId="2" fontId="5" fillId="8" borderId="10" xfId="0" applyNumberFormat="1" applyFont="1" applyFill="1" applyBorder="1" applyAlignment="1">
      <alignment horizontal="center" vertical="center"/>
    </xf>
    <xf numFmtId="2" fontId="5" fillId="8" borderId="25" xfId="0" applyNumberFormat="1" applyFont="1" applyFill="1" applyBorder="1" applyAlignment="1">
      <alignment horizontal="center" vertical="center"/>
    </xf>
    <xf numFmtId="2" fontId="5" fillId="3" borderId="10" xfId="0" applyNumberFormat="1" applyFont="1" applyFill="1" applyBorder="1" applyAlignment="1">
      <alignment horizontal="center" vertical="center"/>
    </xf>
    <xf numFmtId="2" fontId="5" fillId="3" borderId="25" xfId="0" applyNumberFormat="1" applyFont="1" applyFill="1" applyBorder="1" applyAlignment="1">
      <alignment horizontal="center" vertical="center"/>
    </xf>
    <xf numFmtId="2" fontId="5" fillId="4" borderId="10" xfId="0" applyNumberFormat="1" applyFont="1" applyFill="1" applyBorder="1" applyAlignment="1">
      <alignment horizontal="center" vertical="center"/>
    </xf>
    <xf numFmtId="2" fontId="5" fillId="4" borderId="25" xfId="0" applyNumberFormat="1" applyFont="1" applyFill="1" applyBorder="1" applyAlignment="1">
      <alignment horizontal="center" vertical="center"/>
    </xf>
    <xf numFmtId="2" fontId="5" fillId="6" borderId="10" xfId="0" applyNumberFormat="1" applyFont="1" applyFill="1" applyBorder="1" applyAlignment="1">
      <alignment horizontal="center" vertical="center"/>
    </xf>
    <xf numFmtId="2" fontId="5" fillId="6" borderId="25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right" vertical="center"/>
    </xf>
    <xf numFmtId="2" fontId="5" fillId="0" borderId="8" xfId="0" applyNumberFormat="1" applyFont="1" applyBorder="1" applyAlignment="1">
      <alignment horizontal="center" vertical="center"/>
    </xf>
    <xf numFmtId="2" fontId="5" fillId="0" borderId="27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" fontId="5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14" fontId="3" fillId="0" borderId="5" xfId="0" applyNumberFormat="1" applyFont="1" applyBorder="1" applyAlignment="1">
      <alignment horizontal="right" vertical="center"/>
    </xf>
    <xf numFmtId="2" fontId="3" fillId="0" borderId="5" xfId="0" applyNumberFormat="1" applyFont="1" applyBorder="1" applyAlignment="1">
      <alignment horizontal="right" vertical="center"/>
    </xf>
    <xf numFmtId="2" fontId="5" fillId="9" borderId="5" xfId="0" applyNumberFormat="1" applyFont="1" applyFill="1" applyBorder="1" applyAlignment="1">
      <alignment horizontal="right" vertical="center"/>
    </xf>
    <xf numFmtId="2" fontId="5" fillId="9" borderId="8" xfId="0" applyNumberFormat="1" applyFont="1" applyFill="1" applyBorder="1" applyAlignment="1">
      <alignment horizontal="right" vertical="center"/>
    </xf>
    <xf numFmtId="2" fontId="5" fillId="10" borderId="5" xfId="0" applyNumberFormat="1" applyFont="1" applyFill="1" applyBorder="1" applyAlignment="1">
      <alignment horizontal="right" vertical="center"/>
    </xf>
    <xf numFmtId="2" fontId="5" fillId="11" borderId="5" xfId="0" applyNumberFormat="1" applyFont="1" applyFill="1" applyBorder="1" applyAlignment="1">
      <alignment horizontal="right" vertical="center"/>
    </xf>
    <xf numFmtId="2" fontId="5" fillId="12" borderId="5" xfId="0" applyNumberFormat="1" applyFont="1" applyFill="1" applyBorder="1" applyAlignment="1">
      <alignment horizontal="right" vertical="center"/>
    </xf>
    <xf numFmtId="2" fontId="5" fillId="13" borderId="5" xfId="0" applyNumberFormat="1" applyFont="1" applyFill="1" applyBorder="1" applyAlignment="1">
      <alignment horizontal="right" vertical="center"/>
    </xf>
    <xf numFmtId="2" fontId="5" fillId="8" borderId="5" xfId="0" applyNumberFormat="1" applyFont="1" applyFill="1" applyBorder="1" applyAlignment="1">
      <alignment horizontal="right" vertical="center"/>
    </xf>
    <xf numFmtId="2" fontId="5" fillId="3" borderId="5" xfId="0" applyNumberFormat="1" applyFont="1" applyFill="1" applyBorder="1" applyAlignment="1">
      <alignment horizontal="right" vertical="center"/>
    </xf>
    <xf numFmtId="2" fontId="5" fillId="4" borderId="5" xfId="0" applyNumberFormat="1" applyFont="1" applyFill="1" applyBorder="1" applyAlignment="1">
      <alignment horizontal="right" vertical="center"/>
    </xf>
    <xf numFmtId="2" fontId="5" fillId="6" borderId="5" xfId="0" applyNumberFormat="1" applyFont="1" applyFill="1" applyBorder="1" applyAlignment="1">
      <alignment horizontal="right" vertical="center"/>
    </xf>
    <xf numFmtId="2" fontId="3" fillId="0" borderId="6" xfId="0" applyNumberFormat="1" applyFont="1" applyBorder="1" applyAlignment="1">
      <alignment horizontal="right" vertical="center"/>
    </xf>
    <xf numFmtId="14" fontId="5" fillId="2" borderId="1" xfId="0" applyNumberFormat="1" applyFont="1" applyFill="1" applyBorder="1" applyAlignment="1">
      <alignment horizontal="right" vertical="center"/>
    </xf>
    <xf numFmtId="2" fontId="5" fillId="2" borderId="10" xfId="0" applyNumberFormat="1" applyFont="1" applyFill="1" applyBorder="1" applyAlignment="1">
      <alignment vertical="center"/>
    </xf>
    <xf numFmtId="2" fontId="5" fillId="2" borderId="11" xfId="0" applyNumberFormat="1" applyFont="1" applyFill="1" applyBorder="1" applyAlignment="1">
      <alignment vertical="center"/>
    </xf>
    <xf numFmtId="2" fontId="3" fillId="0" borderId="5" xfId="0" applyNumberFormat="1" applyFont="1" applyBorder="1" applyAlignment="1">
      <alignment vertical="center"/>
    </xf>
    <xf numFmtId="14" fontId="5" fillId="2" borderId="9" xfId="0" applyNumberFormat="1" applyFont="1" applyFill="1" applyBorder="1" applyAlignment="1">
      <alignment horizontal="right" vertical="center"/>
    </xf>
    <xf numFmtId="2" fontId="5" fillId="2" borderId="13" xfId="0" applyNumberFormat="1" applyFont="1" applyFill="1" applyBorder="1" applyAlignment="1">
      <alignment vertical="center"/>
    </xf>
    <xf numFmtId="2" fontId="3" fillId="0" borderId="26" xfId="0" applyNumberFormat="1" applyFont="1" applyBorder="1" applyAlignment="1">
      <alignment vertical="center"/>
    </xf>
    <xf numFmtId="14" fontId="5" fillId="0" borderId="0" xfId="0" applyNumberFormat="1" applyFont="1" applyAlignment="1">
      <alignment horizontal="right" vertical="center"/>
    </xf>
    <xf numFmtId="2" fontId="3" fillId="0" borderId="0" xfId="0" applyNumberFormat="1" applyFont="1" applyAlignment="1">
      <alignment vertical="center"/>
    </xf>
    <xf numFmtId="2" fontId="3" fillId="0" borderId="8" xfId="0" applyNumberFormat="1" applyFont="1" applyBorder="1" applyAlignment="1">
      <alignment horizontal="center" vertical="center"/>
    </xf>
    <xf numFmtId="2" fontId="5" fillId="9" borderId="31" xfId="0" applyNumberFormat="1" applyFont="1" applyFill="1" applyBorder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2" fontId="5" fillId="8" borderId="8" xfId="0" applyNumberFormat="1" applyFont="1" applyFill="1" applyBorder="1" applyAlignment="1">
      <alignment horizontal="right" vertical="center"/>
    </xf>
    <xf numFmtId="2" fontId="5" fillId="4" borderId="8" xfId="0" applyNumberFormat="1" applyFont="1" applyFill="1" applyBorder="1" applyAlignment="1">
      <alignment horizontal="right" vertical="center"/>
    </xf>
    <xf numFmtId="2" fontId="5" fillId="6" borderId="8" xfId="0" applyNumberFormat="1" applyFont="1" applyFill="1" applyBorder="1" applyAlignment="1">
      <alignment horizontal="right" vertical="center"/>
    </xf>
    <xf numFmtId="2" fontId="5" fillId="10" borderId="25" xfId="0" applyNumberFormat="1" applyFont="1" applyFill="1" applyBorder="1" applyAlignment="1">
      <alignment horizontal="center" vertical="center"/>
    </xf>
    <xf numFmtId="2" fontId="5" fillId="11" borderId="25" xfId="0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vertical="center"/>
    </xf>
    <xf numFmtId="2" fontId="5" fillId="2" borderId="13" xfId="0" applyNumberFormat="1" applyFont="1" applyFill="1" applyBorder="1" applyAlignment="1">
      <alignment horizontal="right" vertical="center"/>
    </xf>
    <xf numFmtId="2" fontId="5" fillId="2" borderId="10" xfId="0" applyNumberFormat="1" applyFont="1" applyFill="1" applyBorder="1" applyAlignment="1">
      <alignment horizontal="right" vertical="center"/>
    </xf>
    <xf numFmtId="2" fontId="5" fillId="2" borderId="11" xfId="0" applyNumberFormat="1" applyFont="1" applyFill="1" applyBorder="1" applyAlignment="1">
      <alignment horizontal="right" vertical="center"/>
    </xf>
    <xf numFmtId="43" fontId="7" fillId="0" borderId="0" xfId="1" applyFont="1" applyFill="1" applyBorder="1" applyAlignment="1">
      <alignment horizontal="right"/>
    </xf>
    <xf numFmtId="43" fontId="6" fillId="0" borderId="0" xfId="1" applyFont="1" applyFill="1" applyAlignment="1">
      <alignment vertical="center"/>
    </xf>
    <xf numFmtId="43" fontId="6" fillId="0" borderId="16" xfId="1" applyFont="1" applyBorder="1" applyAlignment="1">
      <alignment horizontal="center" vertical="center"/>
    </xf>
    <xf numFmtId="43" fontId="6" fillId="0" borderId="8" xfId="1" applyFont="1" applyBorder="1" applyAlignment="1">
      <alignment horizontal="center" vertical="center"/>
    </xf>
    <xf numFmtId="43" fontId="6" fillId="17" borderId="28" xfId="1" applyFont="1" applyFill="1" applyBorder="1" applyAlignment="1">
      <alignment horizontal="center" vertical="center"/>
    </xf>
    <xf numFmtId="43" fontId="6" fillId="17" borderId="29" xfId="1" applyFont="1" applyFill="1" applyBorder="1" applyAlignment="1">
      <alignment horizontal="center" vertical="center"/>
    </xf>
    <xf numFmtId="43" fontId="6" fillId="0" borderId="0" xfId="1" applyFont="1" applyFill="1" applyBorder="1" applyAlignment="1">
      <alignment vertical="center"/>
    </xf>
    <xf numFmtId="43" fontId="6" fillId="0" borderId="0" xfId="1" applyFont="1" applyFill="1" applyBorder="1" applyAlignment="1">
      <alignment horizontal="center" vertical="center"/>
    </xf>
    <xf numFmtId="43" fontId="6" fillId="0" borderId="0" xfId="1" applyFont="1" applyAlignment="1">
      <alignment vertical="center"/>
    </xf>
    <xf numFmtId="0" fontId="11" fillId="0" borderId="0" xfId="0" applyFont="1" applyAlignment="1">
      <alignment vertical="center"/>
    </xf>
    <xf numFmtId="2" fontId="7" fillId="23" borderId="1" xfId="0" applyNumberFormat="1" applyFont="1" applyFill="1" applyBorder="1" applyAlignment="1">
      <alignment horizontal="center" vertical="center"/>
    </xf>
    <xf numFmtId="2" fontId="7" fillId="20" borderId="1" xfId="0" applyNumberFormat="1" applyFont="1" applyFill="1" applyBorder="1" applyAlignment="1">
      <alignment horizontal="center" vertical="center"/>
    </xf>
    <xf numFmtId="2" fontId="7" fillId="21" borderId="1" xfId="0" applyNumberFormat="1" applyFont="1" applyFill="1" applyBorder="1" applyAlignment="1">
      <alignment horizontal="center" vertical="center"/>
    </xf>
    <xf numFmtId="0" fontId="6" fillId="22" borderId="5" xfId="0" applyFont="1" applyFill="1" applyBorder="1"/>
    <xf numFmtId="0" fontId="6" fillId="24" borderId="5" xfId="0" applyFont="1" applyFill="1" applyBorder="1"/>
    <xf numFmtId="0" fontId="6" fillId="6" borderId="5" xfId="0" applyFont="1" applyFill="1" applyBorder="1"/>
    <xf numFmtId="0" fontId="6" fillId="12" borderId="5" xfId="0" applyFont="1" applyFill="1" applyBorder="1"/>
    <xf numFmtId="0" fontId="6" fillId="0" borderId="29" xfId="0" applyFont="1" applyBorder="1"/>
    <xf numFmtId="43" fontId="15" fillId="17" borderId="28" xfId="1" applyFont="1" applyFill="1" applyBorder="1" applyAlignment="1">
      <alignment horizontal="center" vertical="center"/>
    </xf>
    <xf numFmtId="43" fontId="15" fillId="17" borderId="29" xfId="1" applyFont="1" applyFill="1" applyBorder="1" applyAlignment="1">
      <alignment horizontal="center" vertical="center"/>
    </xf>
    <xf numFmtId="43" fontId="15" fillId="17" borderId="30" xfId="1" applyFont="1" applyFill="1" applyBorder="1" applyAlignment="1">
      <alignment horizontal="center" vertical="center"/>
    </xf>
    <xf numFmtId="0" fontId="13" fillId="0" borderId="0" xfId="0" applyFont="1"/>
    <xf numFmtId="49" fontId="6" fillId="0" borderId="5" xfId="1" applyNumberFormat="1" applyFont="1" applyFill="1" applyBorder="1" applyAlignment="1">
      <alignment horizontal="center" vertical="center"/>
    </xf>
    <xf numFmtId="49" fontId="7" fillId="0" borderId="34" xfId="1" applyNumberFormat="1" applyFont="1" applyBorder="1" applyAlignment="1">
      <alignment horizontal="center" vertical="center"/>
    </xf>
    <xf numFmtId="49" fontId="7" fillId="0" borderId="0" xfId="1" applyNumberFormat="1" applyFont="1" applyBorder="1" applyAlignment="1">
      <alignment horizontal="center" vertical="center"/>
    </xf>
    <xf numFmtId="49" fontId="7" fillId="17" borderId="35" xfId="1" applyNumberFormat="1" applyFont="1" applyFill="1" applyBorder="1" applyAlignment="1">
      <alignment horizontal="center" vertical="center"/>
    </xf>
    <xf numFmtId="49" fontId="6" fillId="0" borderId="0" xfId="0" applyNumberFormat="1" applyFont="1"/>
    <xf numFmtId="49" fontId="7" fillId="0" borderId="1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6" fillId="0" borderId="0" xfId="1" applyNumberFormat="1" applyFont="1" applyFill="1" applyBorder="1"/>
    <xf numFmtId="49" fontId="6" fillId="0" borderId="0" xfId="1" applyNumberFormat="1" applyFont="1" applyFill="1" applyBorder="1" applyAlignment="1">
      <alignment vertical="center"/>
    </xf>
    <xf numFmtId="49" fontId="10" fillId="0" borderId="0" xfId="1" applyNumberFormat="1" applyFont="1" applyFill="1" applyBorder="1" applyAlignment="1">
      <alignment horizontal="center" vertical="center"/>
    </xf>
    <xf numFmtId="49" fontId="7" fillId="0" borderId="0" xfId="1" applyNumberFormat="1" applyFont="1" applyFill="1" applyBorder="1" applyAlignment="1">
      <alignment vertical="center"/>
    </xf>
    <xf numFmtId="49" fontId="6" fillId="0" borderId="0" xfId="1" applyNumberFormat="1" applyFont="1"/>
    <xf numFmtId="49" fontId="7" fillId="0" borderId="1" xfId="1" applyNumberFormat="1" applyFont="1" applyBorder="1" applyAlignment="1">
      <alignment horizontal="center" vertical="center"/>
    </xf>
    <xf numFmtId="49" fontId="7" fillId="0" borderId="0" xfId="1" applyNumberFormat="1" applyFont="1" applyAlignment="1">
      <alignment vertical="center"/>
    </xf>
    <xf numFmtId="2" fontId="3" fillId="0" borderId="36" xfId="0" applyNumberFormat="1" applyFont="1" applyBorder="1" applyAlignment="1">
      <alignment horizontal="right" vertical="center"/>
    </xf>
    <xf numFmtId="2" fontId="3" fillId="0" borderId="33" xfId="0" applyNumberFormat="1" applyFont="1" applyBorder="1" applyAlignment="1">
      <alignment horizontal="right" vertical="center"/>
    </xf>
    <xf numFmtId="0" fontId="5" fillId="23" borderId="0" xfId="0" applyFont="1" applyFill="1" applyAlignment="1">
      <alignment horizontal="center" vertical="center" wrapText="1"/>
    </xf>
    <xf numFmtId="2" fontId="5" fillId="23" borderId="10" xfId="0" applyNumberFormat="1" applyFont="1" applyFill="1" applyBorder="1" applyAlignment="1">
      <alignment horizontal="center" vertical="center"/>
    </xf>
    <xf numFmtId="2" fontId="16" fillId="36" borderId="10" xfId="0" applyNumberFormat="1" applyFont="1" applyFill="1" applyBorder="1" applyAlignment="1">
      <alignment horizontal="center" vertical="center"/>
    </xf>
    <xf numFmtId="2" fontId="16" fillId="36" borderId="25" xfId="0" applyNumberFormat="1" applyFont="1" applyFill="1" applyBorder="1" applyAlignment="1">
      <alignment horizontal="center" vertical="center"/>
    </xf>
    <xf numFmtId="0" fontId="5" fillId="36" borderId="0" xfId="0" applyFont="1" applyFill="1" applyAlignment="1">
      <alignment horizontal="center" vertical="center" wrapText="1"/>
    </xf>
    <xf numFmtId="2" fontId="16" fillId="27" borderId="10" xfId="0" applyNumberFormat="1" applyFont="1" applyFill="1" applyBorder="1" applyAlignment="1">
      <alignment horizontal="center" vertical="center"/>
    </xf>
    <xf numFmtId="2" fontId="16" fillId="27" borderId="5" xfId="0" applyNumberFormat="1" applyFont="1" applyFill="1" applyBorder="1" applyAlignment="1">
      <alignment horizontal="right" vertical="center"/>
    </xf>
    <xf numFmtId="2" fontId="16" fillId="27" borderId="25" xfId="0" applyNumberFormat="1" applyFont="1" applyFill="1" applyBorder="1" applyAlignment="1">
      <alignment horizontal="center" vertical="center"/>
    </xf>
    <xf numFmtId="2" fontId="5" fillId="33" borderId="5" xfId="0" applyNumberFormat="1" applyFont="1" applyFill="1" applyBorder="1" applyAlignment="1">
      <alignment horizontal="right" vertical="center"/>
    </xf>
    <xf numFmtId="2" fontId="16" fillId="27" borderId="8" xfId="0" applyNumberFormat="1" applyFont="1" applyFill="1" applyBorder="1" applyAlignment="1">
      <alignment horizontal="right" vertical="center"/>
    </xf>
    <xf numFmtId="2" fontId="5" fillId="23" borderId="5" xfId="0" applyNumberFormat="1" applyFont="1" applyFill="1" applyBorder="1" applyAlignment="1">
      <alignment horizontal="right" vertical="center"/>
    </xf>
    <xf numFmtId="0" fontId="5" fillId="38" borderId="0" xfId="0" applyFont="1" applyFill="1" applyAlignment="1">
      <alignment horizontal="center" vertical="center" wrapText="1"/>
    </xf>
    <xf numFmtId="2" fontId="4" fillId="9" borderId="10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4" fillId="0" borderId="8" xfId="0" applyFont="1" applyBorder="1" applyAlignment="1">
      <alignment horizontal="right" vertical="center"/>
    </xf>
    <xf numFmtId="2" fontId="4" fillId="0" borderId="8" xfId="0" applyNumberFormat="1" applyFont="1" applyBorder="1" applyAlignment="1">
      <alignment horizontal="center" vertical="center"/>
    </xf>
    <xf numFmtId="2" fontId="4" fillId="0" borderId="27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4" fillId="0" borderId="16" xfId="0" applyNumberFormat="1" applyFont="1" applyBorder="1" applyAlignment="1">
      <alignment horizontal="center" vertical="center"/>
    </xf>
    <xf numFmtId="2" fontId="4" fillId="38" borderId="10" xfId="0" applyNumberFormat="1" applyFont="1" applyFill="1" applyBorder="1" applyAlignment="1">
      <alignment horizontal="center" vertical="center"/>
    </xf>
    <xf numFmtId="2" fontId="4" fillId="38" borderId="5" xfId="0" applyNumberFormat="1" applyFont="1" applyFill="1" applyBorder="1" applyAlignment="1">
      <alignment horizontal="right" vertical="center"/>
    </xf>
    <xf numFmtId="2" fontId="4" fillId="2" borderId="10" xfId="0" applyNumberFormat="1" applyFont="1" applyFill="1" applyBorder="1" applyAlignment="1">
      <alignment vertical="center"/>
    </xf>
    <xf numFmtId="2" fontId="19" fillId="0" borderId="0" xfId="0" applyNumberFormat="1" applyFont="1" applyAlignment="1">
      <alignment vertical="center"/>
    </xf>
    <xf numFmtId="2" fontId="4" fillId="38" borderId="8" xfId="0" applyNumberFormat="1" applyFont="1" applyFill="1" applyBorder="1" applyAlignment="1">
      <alignment horizontal="right" vertical="center"/>
    </xf>
    <xf numFmtId="2" fontId="4" fillId="2" borderId="10" xfId="0" applyNumberFormat="1" applyFont="1" applyFill="1" applyBorder="1" applyAlignment="1">
      <alignment horizontal="right" vertical="center"/>
    </xf>
    <xf numFmtId="2" fontId="4" fillId="2" borderId="13" xfId="0" applyNumberFormat="1" applyFont="1" applyFill="1" applyBorder="1" applyAlignment="1">
      <alignment vertical="center"/>
    </xf>
    <xf numFmtId="2" fontId="4" fillId="38" borderId="25" xfId="0" applyNumberFormat="1" applyFont="1" applyFill="1" applyBorder="1" applyAlignment="1">
      <alignment horizontal="center" vertical="center"/>
    </xf>
    <xf numFmtId="2" fontId="4" fillId="2" borderId="11" xfId="0" applyNumberFormat="1" applyFont="1" applyFill="1" applyBorder="1" applyAlignment="1">
      <alignment vertical="center"/>
    </xf>
    <xf numFmtId="2" fontId="4" fillId="2" borderId="11" xfId="0" applyNumberFormat="1" applyFont="1" applyFill="1" applyBorder="1" applyAlignment="1">
      <alignment horizontal="right" vertical="center"/>
    </xf>
    <xf numFmtId="2" fontId="16" fillId="37" borderId="10" xfId="0" applyNumberFormat="1" applyFont="1" applyFill="1" applyBorder="1" applyAlignment="1">
      <alignment horizontal="center" vertical="center"/>
    </xf>
    <xf numFmtId="2" fontId="16" fillId="37" borderId="5" xfId="0" applyNumberFormat="1" applyFont="1" applyFill="1" applyBorder="1" applyAlignment="1">
      <alignment horizontal="right" vertical="center"/>
    </xf>
    <xf numFmtId="2" fontId="16" fillId="37" borderId="25" xfId="0" applyNumberFormat="1" applyFont="1" applyFill="1" applyBorder="1" applyAlignment="1">
      <alignment horizontal="center" vertical="center"/>
    </xf>
    <xf numFmtId="2" fontId="16" fillId="37" borderId="8" xfId="0" applyNumberFormat="1" applyFont="1" applyFill="1" applyBorder="1" applyAlignment="1">
      <alignment horizontal="right" vertical="center"/>
    </xf>
    <xf numFmtId="0" fontId="5" fillId="37" borderId="0" xfId="0" applyFont="1" applyFill="1" applyAlignment="1">
      <alignment horizontal="center" vertical="center" wrapText="1"/>
    </xf>
    <xf numFmtId="2" fontId="16" fillId="31" borderId="10" xfId="0" applyNumberFormat="1" applyFont="1" applyFill="1" applyBorder="1" applyAlignment="1">
      <alignment horizontal="center" vertical="center"/>
    </xf>
    <xf numFmtId="2" fontId="16" fillId="31" borderId="5" xfId="0" applyNumberFormat="1" applyFont="1" applyFill="1" applyBorder="1" applyAlignment="1">
      <alignment horizontal="right" vertical="center"/>
    </xf>
    <xf numFmtId="2" fontId="16" fillId="31" borderId="25" xfId="0" applyNumberFormat="1" applyFont="1" applyFill="1" applyBorder="1" applyAlignment="1">
      <alignment horizontal="center" vertical="center"/>
    </xf>
    <xf numFmtId="2" fontId="16" fillId="31" borderId="8" xfId="0" applyNumberFormat="1" applyFont="1" applyFill="1" applyBorder="1" applyAlignment="1">
      <alignment horizontal="right" vertical="center"/>
    </xf>
    <xf numFmtId="0" fontId="5" fillId="31" borderId="0" xfId="0" applyFont="1" applyFill="1" applyAlignment="1">
      <alignment horizontal="center" vertical="center" wrapText="1"/>
    </xf>
    <xf numFmtId="0" fontId="5" fillId="33" borderId="0" xfId="0" applyFont="1" applyFill="1" applyAlignment="1">
      <alignment horizontal="center" vertical="center" wrapText="1"/>
    </xf>
    <xf numFmtId="2" fontId="5" fillId="33" borderId="10" xfId="0" applyNumberFormat="1" applyFont="1" applyFill="1" applyBorder="1" applyAlignment="1">
      <alignment horizontal="center" vertical="center"/>
    </xf>
    <xf numFmtId="2" fontId="4" fillId="33" borderId="10" xfId="0" applyNumberFormat="1" applyFont="1" applyFill="1" applyBorder="1" applyAlignment="1">
      <alignment horizontal="center" vertical="center"/>
    </xf>
    <xf numFmtId="2" fontId="5" fillId="33" borderId="25" xfId="0" applyNumberFormat="1" applyFont="1" applyFill="1" applyBorder="1" applyAlignment="1">
      <alignment horizontal="center" vertical="center"/>
    </xf>
    <xf numFmtId="2" fontId="4" fillId="33" borderId="25" xfId="0" applyNumberFormat="1" applyFont="1" applyFill="1" applyBorder="1" applyAlignment="1">
      <alignment horizontal="center" vertical="center"/>
    </xf>
    <xf numFmtId="2" fontId="5" fillId="33" borderId="8" xfId="0" applyNumberFormat="1" applyFont="1" applyFill="1" applyBorder="1" applyAlignment="1">
      <alignment horizontal="right" vertical="center"/>
    </xf>
    <xf numFmtId="2" fontId="4" fillId="33" borderId="5" xfId="0" applyNumberFormat="1" applyFont="1" applyFill="1" applyBorder="1" applyAlignment="1">
      <alignment horizontal="right" vertical="center"/>
    </xf>
    <xf numFmtId="0" fontId="5" fillId="30" borderId="0" xfId="0" applyFont="1" applyFill="1" applyAlignment="1">
      <alignment horizontal="center" vertical="center" wrapText="1"/>
    </xf>
    <xf numFmtId="0" fontId="5" fillId="32" borderId="0" xfId="0" applyFont="1" applyFill="1" applyAlignment="1">
      <alignment horizontal="center" vertical="center" wrapText="1"/>
    </xf>
    <xf numFmtId="2" fontId="16" fillId="32" borderId="5" xfId="0" applyNumberFormat="1" applyFont="1" applyFill="1" applyBorder="1" applyAlignment="1">
      <alignment horizontal="right" vertical="center"/>
    </xf>
    <xf numFmtId="2" fontId="16" fillId="32" borderId="10" xfId="0" applyNumberFormat="1" applyFont="1" applyFill="1" applyBorder="1" applyAlignment="1">
      <alignment horizontal="center" vertical="center"/>
    </xf>
    <xf numFmtId="2" fontId="16" fillId="32" borderId="25" xfId="0" applyNumberFormat="1" applyFont="1" applyFill="1" applyBorder="1" applyAlignment="1">
      <alignment horizontal="center" vertical="center"/>
    </xf>
    <xf numFmtId="2" fontId="16" fillId="32" borderId="8" xfId="0" applyNumberFormat="1" applyFont="1" applyFill="1" applyBorder="1" applyAlignment="1">
      <alignment horizontal="right" vertical="center"/>
    </xf>
    <xf numFmtId="0" fontId="5" fillId="34" borderId="0" xfId="0" applyFont="1" applyFill="1" applyAlignment="1">
      <alignment horizontal="center" vertical="center" wrapText="1"/>
    </xf>
    <xf numFmtId="0" fontId="5" fillId="29" borderId="0" xfId="0" applyFont="1" applyFill="1" applyAlignment="1">
      <alignment horizontal="center" vertical="center" wrapText="1"/>
    </xf>
    <xf numFmtId="2" fontId="16" fillId="34" borderId="10" xfId="0" applyNumberFormat="1" applyFont="1" applyFill="1" applyBorder="1" applyAlignment="1">
      <alignment horizontal="center" vertical="center"/>
    </xf>
    <xf numFmtId="2" fontId="16" fillId="34" borderId="25" xfId="0" applyNumberFormat="1" applyFont="1" applyFill="1" applyBorder="1" applyAlignment="1">
      <alignment horizontal="center" vertical="center"/>
    </xf>
    <xf numFmtId="2" fontId="16" fillId="34" borderId="5" xfId="0" applyNumberFormat="1" applyFont="1" applyFill="1" applyBorder="1" applyAlignment="1">
      <alignment horizontal="right" vertical="center"/>
    </xf>
    <xf numFmtId="2" fontId="16" fillId="34" borderId="8" xfId="0" applyNumberFormat="1" applyFont="1" applyFill="1" applyBorder="1" applyAlignment="1">
      <alignment horizontal="right" vertical="center"/>
    </xf>
    <xf numFmtId="2" fontId="16" fillId="29" borderId="10" xfId="0" applyNumberFormat="1" applyFont="1" applyFill="1" applyBorder="1" applyAlignment="1">
      <alignment horizontal="center" vertical="center"/>
    </xf>
    <xf numFmtId="2" fontId="16" fillId="29" borderId="5" xfId="0" applyNumberFormat="1" applyFont="1" applyFill="1" applyBorder="1" applyAlignment="1">
      <alignment horizontal="right" vertical="center"/>
    </xf>
    <xf numFmtId="2" fontId="16" fillId="29" borderId="25" xfId="0" applyNumberFormat="1" applyFont="1" applyFill="1" applyBorder="1" applyAlignment="1">
      <alignment horizontal="center" vertical="center"/>
    </xf>
    <xf numFmtId="0" fontId="5" fillId="28" borderId="0" xfId="0" applyFont="1" applyFill="1" applyAlignment="1">
      <alignment horizontal="center" vertical="center" wrapText="1"/>
    </xf>
    <xf numFmtId="2" fontId="16" fillId="28" borderId="10" xfId="0" applyNumberFormat="1" applyFont="1" applyFill="1" applyBorder="1" applyAlignment="1">
      <alignment horizontal="center" vertical="center"/>
    </xf>
    <xf numFmtId="2" fontId="16" fillId="28" borderId="25" xfId="0" applyNumberFormat="1" applyFont="1" applyFill="1" applyBorder="1" applyAlignment="1">
      <alignment horizontal="center" vertical="center"/>
    </xf>
    <xf numFmtId="2" fontId="16" fillId="28" borderId="5" xfId="0" applyNumberFormat="1" applyFont="1" applyFill="1" applyBorder="1" applyAlignment="1">
      <alignment horizontal="right" vertical="center"/>
    </xf>
    <xf numFmtId="2" fontId="16" fillId="28" borderId="8" xfId="0" applyNumberFormat="1" applyFont="1" applyFill="1" applyBorder="1" applyAlignment="1">
      <alignment horizontal="right" vertical="center"/>
    </xf>
    <xf numFmtId="2" fontId="16" fillId="30" borderId="10" xfId="0" applyNumberFormat="1" applyFont="1" applyFill="1" applyBorder="1" applyAlignment="1">
      <alignment horizontal="center" vertical="center"/>
    </xf>
    <xf numFmtId="2" fontId="16" fillId="30" borderId="25" xfId="0" applyNumberFormat="1" applyFont="1" applyFill="1" applyBorder="1" applyAlignment="1">
      <alignment horizontal="center" vertical="center"/>
    </xf>
    <xf numFmtId="2" fontId="16" fillId="30" borderId="5" xfId="0" applyNumberFormat="1" applyFont="1" applyFill="1" applyBorder="1" applyAlignment="1">
      <alignment horizontal="right" vertical="center"/>
    </xf>
    <xf numFmtId="2" fontId="16" fillId="30" borderId="8" xfId="0" applyNumberFormat="1" applyFont="1" applyFill="1" applyBorder="1" applyAlignment="1">
      <alignment horizontal="right" vertical="center"/>
    </xf>
    <xf numFmtId="2" fontId="16" fillId="35" borderId="10" xfId="0" applyNumberFormat="1" applyFont="1" applyFill="1" applyBorder="1" applyAlignment="1">
      <alignment horizontal="center" vertical="center"/>
    </xf>
    <xf numFmtId="2" fontId="16" fillId="35" borderId="25" xfId="0" applyNumberFormat="1" applyFont="1" applyFill="1" applyBorder="1" applyAlignment="1">
      <alignment horizontal="center" vertical="center"/>
    </xf>
    <xf numFmtId="2" fontId="16" fillId="35" borderId="5" xfId="0" applyNumberFormat="1" applyFont="1" applyFill="1" applyBorder="1" applyAlignment="1">
      <alignment horizontal="right" vertical="center"/>
    </xf>
    <xf numFmtId="2" fontId="5" fillId="23" borderId="25" xfId="0" applyNumberFormat="1" applyFont="1" applyFill="1" applyBorder="1" applyAlignment="1">
      <alignment horizontal="center" vertical="center"/>
    </xf>
    <xf numFmtId="2" fontId="4" fillId="23" borderId="10" xfId="0" applyNumberFormat="1" applyFont="1" applyFill="1" applyBorder="1" applyAlignment="1">
      <alignment horizontal="center" vertical="center"/>
    </xf>
    <xf numFmtId="0" fontId="5" fillId="35" borderId="0" xfId="0" applyFont="1" applyFill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2" fontId="7" fillId="16" borderId="2" xfId="0" applyNumberFormat="1" applyFont="1" applyFill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43" fontId="6" fillId="17" borderId="30" xfId="1" applyFont="1" applyFill="1" applyBorder="1" applyAlignment="1">
      <alignment horizontal="center" vertical="center"/>
    </xf>
    <xf numFmtId="43" fontId="6" fillId="17" borderId="0" xfId="1" applyFont="1" applyFill="1" applyBorder="1"/>
    <xf numFmtId="43" fontId="6" fillId="17" borderId="35" xfId="1" applyFont="1" applyFill="1" applyBorder="1"/>
    <xf numFmtId="43" fontId="6" fillId="0" borderId="13" xfId="1" applyFont="1" applyBorder="1" applyAlignment="1">
      <alignment horizontal="center" vertical="center"/>
    </xf>
    <xf numFmtId="43" fontId="6" fillId="0" borderId="10" xfId="1" applyFont="1" applyBorder="1" applyAlignment="1">
      <alignment horizontal="center" vertical="center"/>
    </xf>
    <xf numFmtId="43" fontId="15" fillId="17" borderId="3" xfId="1" applyFont="1" applyFill="1" applyBorder="1" applyAlignment="1">
      <alignment horizontal="center" vertical="center"/>
    </xf>
    <xf numFmtId="43" fontId="6" fillId="17" borderId="3" xfId="1" applyFont="1" applyFill="1" applyBorder="1" applyAlignment="1">
      <alignment horizontal="center" vertical="center"/>
    </xf>
    <xf numFmtId="43" fontId="6" fillId="17" borderId="3" xfId="1" applyFont="1" applyFill="1" applyBorder="1"/>
    <xf numFmtId="43" fontId="6" fillId="17" borderId="4" xfId="1" applyFont="1" applyFill="1" applyBorder="1"/>
    <xf numFmtId="43" fontId="7" fillId="9" borderId="0" xfId="0" applyNumberFormat="1" applyFont="1" applyFill="1" applyAlignment="1">
      <alignment horizontal="center" vertical="center" wrapText="1"/>
    </xf>
    <xf numFmtId="43" fontId="7" fillId="10" borderId="0" xfId="0" applyNumberFormat="1" applyFont="1" applyFill="1" applyAlignment="1">
      <alignment horizontal="center" vertical="center" wrapText="1"/>
    </xf>
    <xf numFmtId="43" fontId="7" fillId="11" borderId="0" xfId="0" applyNumberFormat="1" applyFont="1" applyFill="1" applyAlignment="1">
      <alignment horizontal="center" vertical="center" wrapText="1"/>
    </xf>
    <xf numFmtId="43" fontId="7" fillId="12" borderId="0" xfId="0" applyNumberFormat="1" applyFont="1" applyFill="1" applyAlignment="1">
      <alignment horizontal="center" vertical="center" wrapText="1"/>
    </xf>
    <xf numFmtId="43" fontId="7" fillId="7" borderId="0" xfId="0" applyNumberFormat="1" applyFont="1" applyFill="1" applyAlignment="1">
      <alignment horizontal="center" vertical="center" wrapText="1"/>
    </xf>
    <xf numFmtId="43" fontId="7" fillId="13" borderId="0" xfId="0" applyNumberFormat="1" applyFont="1" applyFill="1" applyAlignment="1">
      <alignment horizontal="center" vertical="center" wrapText="1"/>
    </xf>
    <xf numFmtId="43" fontId="7" fillId="8" borderId="0" xfId="0" applyNumberFormat="1" applyFont="1" applyFill="1" applyAlignment="1">
      <alignment horizontal="center" vertical="center" wrapText="1"/>
    </xf>
    <xf numFmtId="43" fontId="7" fillId="3" borderId="0" xfId="0" applyNumberFormat="1" applyFont="1" applyFill="1" applyAlignment="1">
      <alignment horizontal="center" vertical="center" wrapText="1"/>
    </xf>
    <xf numFmtId="43" fontId="7" fillId="4" borderId="0" xfId="0" applyNumberFormat="1" applyFont="1" applyFill="1" applyAlignment="1">
      <alignment horizontal="center" vertical="center" wrapText="1"/>
    </xf>
    <xf numFmtId="43" fontId="7" fillId="6" borderId="0" xfId="0" applyNumberFormat="1" applyFont="1" applyFill="1" applyAlignment="1">
      <alignment horizontal="center" vertical="center" wrapText="1"/>
    </xf>
    <xf numFmtId="43" fontId="17" fillId="36" borderId="0" xfId="0" applyNumberFormat="1" applyFont="1" applyFill="1" applyAlignment="1">
      <alignment horizontal="center" vertical="center" wrapText="1"/>
    </xf>
    <xf numFmtId="43" fontId="17" fillId="27" borderId="0" xfId="0" applyNumberFormat="1" applyFont="1" applyFill="1" applyAlignment="1">
      <alignment horizontal="center" vertical="center" wrapText="1"/>
    </xf>
    <xf numFmtId="43" fontId="17" fillId="38" borderId="0" xfId="0" applyNumberFormat="1" applyFont="1" applyFill="1" applyAlignment="1">
      <alignment horizontal="center" vertical="center" wrapText="1"/>
    </xf>
    <xf numFmtId="43" fontId="17" fillId="9" borderId="0" xfId="0" applyNumberFormat="1" applyFont="1" applyFill="1" applyAlignment="1">
      <alignment horizontal="center" vertical="center" wrapText="1"/>
    </xf>
    <xf numFmtId="43" fontId="17" fillId="37" borderId="0" xfId="0" applyNumberFormat="1" applyFont="1" applyFill="1" applyAlignment="1">
      <alignment horizontal="center" vertical="center" wrapText="1"/>
    </xf>
    <xf numFmtId="43" fontId="17" fillId="31" borderId="0" xfId="0" applyNumberFormat="1" applyFont="1" applyFill="1" applyAlignment="1">
      <alignment horizontal="center" vertical="center" wrapText="1"/>
    </xf>
    <xf numFmtId="43" fontId="17" fillId="33" borderId="0" xfId="0" applyNumberFormat="1" applyFont="1" applyFill="1" applyAlignment="1">
      <alignment horizontal="center" vertical="center" wrapText="1"/>
    </xf>
    <xf numFmtId="43" fontId="17" fillId="32" borderId="0" xfId="0" applyNumberFormat="1" applyFont="1" applyFill="1" applyAlignment="1">
      <alignment horizontal="center" vertical="center" wrapText="1"/>
    </xf>
    <xf numFmtId="43" fontId="17" fillId="34" borderId="0" xfId="0" applyNumberFormat="1" applyFont="1" applyFill="1" applyAlignment="1">
      <alignment horizontal="center" vertical="center" wrapText="1"/>
    </xf>
    <xf numFmtId="43" fontId="17" fillId="29" borderId="0" xfId="0" applyNumberFormat="1" applyFont="1" applyFill="1" applyAlignment="1">
      <alignment horizontal="center" vertical="center" wrapText="1"/>
    </xf>
    <xf numFmtId="43" fontId="17" fillId="23" borderId="0" xfId="0" applyNumberFormat="1" applyFont="1" applyFill="1" applyAlignment="1">
      <alignment horizontal="center" vertical="center" wrapText="1"/>
    </xf>
    <xf numFmtId="43" fontId="17" fillId="35" borderId="0" xfId="0" applyNumberFormat="1" applyFont="1" applyFill="1" applyAlignment="1">
      <alignment horizontal="center" vertical="center" wrapText="1"/>
    </xf>
    <xf numFmtId="43" fontId="17" fillId="30" borderId="0" xfId="0" applyNumberFormat="1" applyFont="1" applyFill="1" applyAlignment="1">
      <alignment horizontal="center" vertical="center" wrapText="1"/>
    </xf>
    <xf numFmtId="43" fontId="17" fillId="28" borderId="0" xfId="0" applyNumberFormat="1" applyFont="1" applyFill="1" applyAlignment="1">
      <alignment horizontal="center" vertical="center" wrapText="1"/>
    </xf>
    <xf numFmtId="43" fontId="17" fillId="8" borderId="0" xfId="0" applyNumberFormat="1" applyFont="1" applyFill="1" applyAlignment="1">
      <alignment horizontal="center" vertical="center" wrapText="1"/>
    </xf>
    <xf numFmtId="43" fontId="7" fillId="0" borderId="1" xfId="0" applyNumberFormat="1" applyFont="1" applyBorder="1" applyAlignment="1">
      <alignment horizontal="center" vertical="center" wrapText="1"/>
    </xf>
    <xf numFmtId="2" fontId="16" fillId="39" borderId="10" xfId="0" applyNumberFormat="1" applyFont="1" applyFill="1" applyBorder="1" applyAlignment="1">
      <alignment horizontal="center" vertical="center"/>
    </xf>
    <xf numFmtId="2" fontId="16" fillId="39" borderId="5" xfId="0" applyNumberFormat="1" applyFont="1" applyFill="1" applyBorder="1" applyAlignment="1">
      <alignment horizontal="right" vertical="center"/>
    </xf>
    <xf numFmtId="2" fontId="16" fillId="39" borderId="25" xfId="0" applyNumberFormat="1" applyFont="1" applyFill="1" applyBorder="1" applyAlignment="1">
      <alignment horizontal="center" vertical="center"/>
    </xf>
    <xf numFmtId="0" fontId="5" fillId="0" borderId="0" xfId="1" applyNumberFormat="1" applyFont="1" applyAlignment="1">
      <alignment vertical="center"/>
    </xf>
    <xf numFmtId="2" fontId="3" fillId="0" borderId="39" xfId="0" applyNumberFormat="1" applyFont="1" applyBorder="1" applyAlignment="1">
      <alignment vertical="center"/>
    </xf>
    <xf numFmtId="2" fontId="3" fillId="16" borderId="15" xfId="0" applyNumberFormat="1" applyFont="1" applyFill="1" applyBorder="1" applyAlignment="1">
      <alignment vertical="center"/>
    </xf>
    <xf numFmtId="2" fontId="3" fillId="14" borderId="15" xfId="0" applyNumberFormat="1" applyFont="1" applyFill="1" applyBorder="1" applyAlignment="1">
      <alignment vertical="center"/>
    </xf>
    <xf numFmtId="2" fontId="3" fillId="2" borderId="15" xfId="0" applyNumberFormat="1" applyFont="1" applyFill="1" applyBorder="1" applyAlignment="1">
      <alignment vertical="center"/>
    </xf>
    <xf numFmtId="2" fontId="3" fillId="22" borderId="15" xfId="0" applyNumberFormat="1" applyFont="1" applyFill="1" applyBorder="1" applyAlignment="1">
      <alignment vertical="center"/>
    </xf>
    <xf numFmtId="1" fontId="5" fillId="0" borderId="0" xfId="0" applyNumberFormat="1" applyFont="1" applyAlignment="1">
      <alignment vertical="center"/>
    </xf>
    <xf numFmtId="2" fontId="3" fillId="23" borderId="15" xfId="0" applyNumberFormat="1" applyFont="1" applyFill="1" applyBorder="1" applyAlignment="1">
      <alignment vertical="center"/>
    </xf>
    <xf numFmtId="2" fontId="3" fillId="20" borderId="15" xfId="0" applyNumberFormat="1" applyFont="1" applyFill="1" applyBorder="1" applyAlignment="1">
      <alignment vertical="center"/>
    </xf>
    <xf numFmtId="2" fontId="3" fillId="21" borderId="15" xfId="0" applyNumberFormat="1" applyFont="1" applyFill="1" applyBorder="1" applyAlignment="1">
      <alignment vertical="center"/>
    </xf>
    <xf numFmtId="0" fontId="6" fillId="0" borderId="0" xfId="0" applyFont="1" applyAlignment="1">
      <alignment wrapText="1"/>
    </xf>
    <xf numFmtId="0" fontId="13" fillId="0" borderId="0" xfId="0" applyFont="1" applyAlignment="1">
      <alignment wrapText="1"/>
    </xf>
    <xf numFmtId="49" fontId="6" fillId="0" borderId="5" xfId="1" applyNumberFormat="1" applyFont="1" applyFill="1" applyBorder="1" applyAlignment="1">
      <alignment horizontal="center" vertical="center" wrapText="1"/>
    </xf>
    <xf numFmtId="49" fontId="7" fillId="0" borderId="34" xfId="1" applyNumberFormat="1" applyFont="1" applyBorder="1" applyAlignment="1">
      <alignment horizontal="center" vertical="center" wrapText="1"/>
    </xf>
    <xf numFmtId="49" fontId="7" fillId="0" borderId="0" xfId="1" applyNumberFormat="1" applyFont="1" applyBorder="1" applyAlignment="1">
      <alignment horizontal="center" vertical="center" wrapText="1"/>
    </xf>
    <xf numFmtId="49" fontId="7" fillId="17" borderId="35" xfId="1" applyNumberFormat="1" applyFont="1" applyFill="1" applyBorder="1" applyAlignment="1">
      <alignment horizontal="center" vertical="center" wrapText="1"/>
    </xf>
    <xf numFmtId="14" fontId="6" fillId="0" borderId="0" xfId="0" applyNumberFormat="1" applyFont="1" applyAlignment="1">
      <alignment wrapText="1"/>
    </xf>
    <xf numFmtId="0" fontId="6" fillId="18" borderId="5" xfId="0" applyFont="1" applyFill="1" applyBorder="1" applyAlignment="1">
      <alignment wrapText="1"/>
    </xf>
    <xf numFmtId="0" fontId="6" fillId="11" borderId="5" xfId="0" applyFont="1" applyFill="1" applyBorder="1" applyAlignment="1">
      <alignment wrapText="1"/>
    </xf>
    <xf numFmtId="0" fontId="6" fillId="7" borderId="5" xfId="0" applyFont="1" applyFill="1" applyBorder="1" applyAlignment="1">
      <alignment wrapText="1"/>
    </xf>
    <xf numFmtId="0" fontId="6" fillId="19" borderId="5" xfId="0" applyFont="1" applyFill="1" applyBorder="1" applyAlignment="1">
      <alignment wrapText="1"/>
    </xf>
    <xf numFmtId="0" fontId="6" fillId="22" borderId="5" xfId="0" applyFont="1" applyFill="1" applyBorder="1" applyAlignment="1">
      <alignment wrapText="1"/>
    </xf>
    <xf numFmtId="0" fontId="6" fillId="24" borderId="5" xfId="0" applyFont="1" applyFill="1" applyBorder="1" applyAlignment="1">
      <alignment wrapText="1"/>
    </xf>
    <xf numFmtId="0" fontId="6" fillId="6" borderId="5" xfId="0" applyFont="1" applyFill="1" applyBorder="1" applyAlignment="1">
      <alignment wrapText="1"/>
    </xf>
    <xf numFmtId="0" fontId="6" fillId="12" borderId="5" xfId="0" applyFont="1" applyFill="1" applyBorder="1" applyAlignment="1">
      <alignment wrapText="1"/>
    </xf>
    <xf numFmtId="0" fontId="6" fillId="18" borderId="6" xfId="0" applyFont="1" applyFill="1" applyBorder="1" applyAlignment="1">
      <alignment wrapText="1"/>
    </xf>
    <xf numFmtId="0" fontId="6" fillId="11" borderId="6" xfId="0" applyFont="1" applyFill="1" applyBorder="1" applyAlignment="1">
      <alignment wrapText="1"/>
    </xf>
    <xf numFmtId="0" fontId="6" fillId="7" borderId="6" xfId="0" applyFont="1" applyFill="1" applyBorder="1" applyAlignment="1">
      <alignment wrapText="1"/>
    </xf>
    <xf numFmtId="0" fontId="6" fillId="19" borderId="6" xfId="0" applyFont="1" applyFill="1" applyBorder="1" applyAlignment="1">
      <alignment wrapText="1"/>
    </xf>
    <xf numFmtId="0" fontId="6" fillId="22" borderId="6" xfId="0" applyFont="1" applyFill="1" applyBorder="1" applyAlignment="1">
      <alignment wrapText="1"/>
    </xf>
    <xf numFmtId="0" fontId="6" fillId="24" borderId="6" xfId="0" applyFont="1" applyFill="1" applyBorder="1" applyAlignment="1">
      <alignment wrapText="1"/>
    </xf>
    <xf numFmtId="0" fontId="6" fillId="6" borderId="6" xfId="0" applyFont="1" applyFill="1" applyBorder="1" applyAlignment="1">
      <alignment wrapText="1"/>
    </xf>
    <xf numFmtId="0" fontId="6" fillId="12" borderId="6" xfId="0" applyFont="1" applyFill="1" applyBorder="1" applyAlignment="1">
      <alignment wrapText="1"/>
    </xf>
    <xf numFmtId="0" fontId="5" fillId="39" borderId="0" xfId="0" applyFont="1" applyFill="1" applyAlignment="1">
      <alignment vertical="center"/>
    </xf>
    <xf numFmtId="0" fontId="3" fillId="39" borderId="0" xfId="0" applyFont="1" applyFill="1" applyAlignment="1">
      <alignment vertical="center"/>
    </xf>
    <xf numFmtId="0" fontId="5" fillId="15" borderId="0" xfId="0" applyFont="1" applyFill="1" applyAlignment="1">
      <alignment vertical="center"/>
    </xf>
    <xf numFmtId="0" fontId="3" fillId="15" borderId="0" xfId="0" applyFont="1" applyFill="1" applyAlignment="1">
      <alignment vertical="center"/>
    </xf>
    <xf numFmtId="0" fontId="4" fillId="39" borderId="0" xfId="0" applyFont="1" applyFill="1" applyAlignment="1">
      <alignment vertical="center"/>
    </xf>
    <xf numFmtId="0" fontId="3" fillId="40" borderId="0" xfId="0" applyFont="1" applyFill="1" applyAlignment="1">
      <alignment vertical="center"/>
    </xf>
    <xf numFmtId="0" fontId="5" fillId="40" borderId="0" xfId="0" applyFont="1" applyFill="1" applyAlignment="1">
      <alignment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3" fillId="17" borderId="0" xfId="0" applyFont="1" applyFill="1" applyAlignment="1">
      <alignment vertical="center"/>
    </xf>
    <xf numFmtId="0" fontId="5" fillId="17" borderId="0" xfId="0" applyFont="1" applyFill="1" applyAlignment="1">
      <alignment vertical="center"/>
    </xf>
    <xf numFmtId="2" fontId="3" fillId="0" borderId="5" xfId="0" applyNumberFormat="1" applyFont="1" applyBorder="1" applyAlignment="1">
      <alignment horizontal="left" vertical="center"/>
    </xf>
    <xf numFmtId="43" fontId="26" fillId="0" borderId="5" xfId="2" applyFont="1" applyBorder="1" applyAlignment="1">
      <alignment vertical="center"/>
    </xf>
    <xf numFmtId="0" fontId="26" fillId="0" borderId="28" xfId="0" applyFont="1" applyBorder="1" applyAlignment="1">
      <alignment vertical="center"/>
    </xf>
    <xf numFmtId="43" fontId="26" fillId="0" borderId="5" xfId="1" applyFont="1" applyBorder="1" applyAlignment="1">
      <alignment vertical="center"/>
    </xf>
    <xf numFmtId="43" fontId="26" fillId="0" borderId="5" xfId="1" applyFont="1" applyFill="1" applyBorder="1" applyAlignment="1">
      <alignment horizontal="center" vertical="center" wrapText="1"/>
    </xf>
    <xf numFmtId="43" fontId="26" fillId="0" borderId="5" xfId="1" applyFont="1" applyBorder="1" applyAlignment="1">
      <alignment horizontal="center" vertical="center" wrapText="1"/>
    </xf>
    <xf numFmtId="43" fontId="26" fillId="0" borderId="0" xfId="1" applyFont="1" applyBorder="1" applyAlignment="1">
      <alignment vertical="center"/>
    </xf>
    <xf numFmtId="43" fontId="26" fillId="0" borderId="0" xfId="1" applyFont="1" applyAlignment="1">
      <alignment vertical="center"/>
    </xf>
    <xf numFmtId="43" fontId="26" fillId="0" borderId="5" xfId="1" applyFont="1" applyFill="1" applyBorder="1" applyAlignment="1">
      <alignment horizontal="center"/>
    </xf>
    <xf numFmtId="43" fontId="26" fillId="0" borderId="5" xfId="1" applyFont="1" applyBorder="1" applyAlignment="1">
      <alignment horizontal="center"/>
    </xf>
    <xf numFmtId="43" fontId="27" fillId="0" borderId="0" xfId="1" applyFont="1" applyAlignment="1">
      <alignment horizontal="left" vertical="center"/>
    </xf>
    <xf numFmtId="43" fontId="28" fillId="0" borderId="5" xfId="1" applyFont="1" applyBorder="1"/>
    <xf numFmtId="43" fontId="29" fillId="0" borderId="5" xfId="1" applyFont="1" applyBorder="1" applyAlignment="1">
      <alignment horizontal="left" vertical="center" indent="2"/>
    </xf>
    <xf numFmtId="43" fontId="26" fillId="0" borderId="5" xfId="1" applyFont="1" applyBorder="1"/>
    <xf numFmtId="43" fontId="27" fillId="0" borderId="5" xfId="1" applyFont="1" applyBorder="1" applyAlignment="1">
      <alignment horizontal="left" vertical="center"/>
    </xf>
    <xf numFmtId="165" fontId="26" fillId="0" borderId="5" xfId="1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43" fontId="2" fillId="0" borderId="0" xfId="1" applyFont="1"/>
    <xf numFmtId="0" fontId="26" fillId="0" borderId="5" xfId="1" applyNumberFormat="1" applyFont="1" applyBorder="1" applyAlignment="1">
      <alignment horizontal="left"/>
    </xf>
    <xf numFmtId="0" fontId="2" fillId="0" borderId="0" xfId="1" applyNumberFormat="1" applyFont="1" applyAlignment="1">
      <alignment horizontal="left"/>
    </xf>
    <xf numFmtId="43" fontId="26" fillId="0" borderId="5" xfId="0" applyNumberFormat="1" applyFont="1" applyBorder="1"/>
    <xf numFmtId="0" fontId="26" fillId="0" borderId="5" xfId="0" applyFont="1" applyBorder="1" applyAlignment="1">
      <alignment horizontal="center" vertical="center"/>
    </xf>
    <xf numFmtId="43" fontId="26" fillId="0" borderId="5" xfId="2" applyFont="1" applyBorder="1" applyAlignment="1">
      <alignment horizontal="center" vertical="center"/>
    </xf>
    <xf numFmtId="43" fontId="26" fillId="0" borderId="5" xfId="1" applyFont="1" applyBorder="1" applyAlignment="1">
      <alignment horizontal="center" vertical="center"/>
    </xf>
    <xf numFmtId="43" fontId="26" fillId="0" borderId="0" xfId="1" applyFont="1" applyBorder="1" applyAlignment="1">
      <alignment horizontal="center" vertical="center"/>
    </xf>
    <xf numFmtId="43" fontId="26" fillId="0" borderId="0" xfId="1" applyFont="1" applyAlignment="1">
      <alignment horizontal="center" vertical="center"/>
    </xf>
    <xf numFmtId="0" fontId="26" fillId="0" borderId="5" xfId="1" applyNumberFormat="1" applyFont="1" applyBorder="1" applyAlignment="1">
      <alignment horizontal="center"/>
    </xf>
    <xf numFmtId="165" fontId="2" fillId="0" borderId="0" xfId="1" applyNumberFormat="1" applyFont="1" applyAlignment="1">
      <alignment horizontal="center"/>
    </xf>
    <xf numFmtId="2" fontId="3" fillId="5" borderId="5" xfId="0" applyNumberFormat="1" applyFont="1" applyFill="1" applyBorder="1" applyAlignment="1">
      <alignment horizontal="right" vertical="center"/>
    </xf>
    <xf numFmtId="0" fontId="5" fillId="15" borderId="0" xfId="0" applyFont="1" applyFill="1" applyAlignment="1">
      <alignment horizontal="left" vertical="center"/>
    </xf>
    <xf numFmtId="0" fontId="5" fillId="9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left" vertical="center"/>
    </xf>
    <xf numFmtId="2" fontId="3" fillId="0" borderId="1" xfId="0" applyNumberFormat="1" applyFont="1" applyBorder="1" applyAlignment="1">
      <alignment horizontal="left" vertical="center"/>
    </xf>
    <xf numFmtId="2" fontId="4" fillId="0" borderId="16" xfId="0" applyNumberFormat="1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" fontId="3" fillId="0" borderId="5" xfId="0" applyNumberFormat="1" applyFont="1" applyBorder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2" fontId="3" fillId="0" borderId="11" xfId="0" applyNumberFormat="1" applyFont="1" applyBorder="1" applyAlignment="1">
      <alignment horizontal="left" vertical="center"/>
    </xf>
    <xf numFmtId="2" fontId="5" fillId="0" borderId="16" xfId="0" applyNumberFormat="1" applyFont="1" applyBorder="1" applyAlignment="1">
      <alignment horizontal="left" vertical="center"/>
    </xf>
    <xf numFmtId="0" fontId="1" fillId="0" borderId="0" xfId="0" applyFont="1"/>
    <xf numFmtId="2" fontId="30" fillId="0" borderId="5" xfId="0" applyNumberFormat="1" applyFont="1" applyBorder="1" applyAlignment="1">
      <alignment vertical="center"/>
    </xf>
    <xf numFmtId="43" fontId="2" fillId="0" borderId="0" xfId="1" applyFont="1" applyAlignment="1">
      <alignment horizontal="center"/>
    </xf>
    <xf numFmtId="49" fontId="5" fillId="0" borderId="0" xfId="1" applyNumberFormat="1" applyFont="1" applyBorder="1" applyAlignment="1">
      <alignment horizontal="center" vertical="center" wrapText="1"/>
    </xf>
    <xf numFmtId="49" fontId="31" fillId="0" borderId="0" xfId="1" applyNumberFormat="1" applyFont="1" applyBorder="1" applyAlignment="1">
      <alignment horizontal="center" vertical="center" wrapText="1"/>
    </xf>
    <xf numFmtId="2" fontId="16" fillId="27" borderId="36" xfId="0" applyNumberFormat="1" applyFont="1" applyFill="1" applyBorder="1" applyAlignment="1">
      <alignment horizontal="right" vertical="center"/>
    </xf>
    <xf numFmtId="2" fontId="16" fillId="27" borderId="6" xfId="0" applyNumberFormat="1" applyFont="1" applyFill="1" applyBorder="1" applyAlignment="1">
      <alignment horizontal="right" vertical="center"/>
    </xf>
    <xf numFmtId="43" fontId="1" fillId="0" borderId="5" xfId="1" applyFont="1" applyBorder="1"/>
    <xf numFmtId="43" fontId="26" fillId="0" borderId="0" xfId="1" applyFont="1" applyAlignment="1">
      <alignment horizontal="center"/>
    </xf>
    <xf numFmtId="0" fontId="1" fillId="0" borderId="5" xfId="0" applyFont="1" applyBorder="1" applyAlignment="1">
      <alignment horizontal="center"/>
    </xf>
    <xf numFmtId="43" fontId="1" fillId="0" borderId="0" xfId="1" applyFont="1"/>
    <xf numFmtId="2" fontId="34" fillId="0" borderId="5" xfId="0" applyNumberFormat="1" applyFont="1" applyBorder="1" applyAlignment="1">
      <alignment horizontal="right" vertical="center"/>
    </xf>
    <xf numFmtId="2" fontId="7" fillId="44" borderId="1" xfId="0" applyNumberFormat="1" applyFont="1" applyFill="1" applyBorder="1" applyAlignment="1">
      <alignment horizontal="center" vertical="center"/>
    </xf>
    <xf numFmtId="2" fontId="3" fillId="44" borderId="15" xfId="0" applyNumberFormat="1" applyFont="1" applyFill="1" applyBorder="1" applyAlignment="1">
      <alignment vertical="center"/>
    </xf>
    <xf numFmtId="2" fontId="3" fillId="43" borderId="15" xfId="0" applyNumberFormat="1" applyFont="1" applyFill="1" applyBorder="1" applyAlignment="1">
      <alignment vertical="center"/>
    </xf>
    <xf numFmtId="43" fontId="1" fillId="0" borderId="0" xfId="1" applyFont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166" fontId="3" fillId="0" borderId="5" xfId="0" applyNumberFormat="1" applyFont="1" applyBorder="1" applyAlignment="1">
      <alignment horizontal="right" vertical="center"/>
    </xf>
    <xf numFmtId="164" fontId="3" fillId="0" borderId="5" xfId="0" applyNumberFormat="1" applyFont="1" applyBorder="1" applyAlignment="1">
      <alignment horizontal="center" vertical="center"/>
    </xf>
    <xf numFmtId="2" fontId="3" fillId="43" borderId="41" xfId="0" applyNumberFormat="1" applyFont="1" applyFill="1" applyBorder="1" applyAlignment="1">
      <alignment vertical="center"/>
    </xf>
    <xf numFmtId="2" fontId="3" fillId="21" borderId="41" xfId="0" applyNumberFormat="1" applyFont="1" applyFill="1" applyBorder="1" applyAlignment="1">
      <alignment vertical="center"/>
    </xf>
    <xf numFmtId="43" fontId="7" fillId="21" borderId="1" xfId="0" applyNumberFormat="1" applyFont="1" applyFill="1" applyBorder="1" applyAlignment="1">
      <alignment horizontal="center" vertical="center" wrapText="1"/>
    </xf>
    <xf numFmtId="0" fontId="22" fillId="10" borderId="43" xfId="0" applyFont="1" applyFill="1" applyBorder="1" applyAlignment="1">
      <alignment horizontal="left" vertical="center" wrapText="1"/>
    </xf>
    <xf numFmtId="2" fontId="3" fillId="43" borderId="42" xfId="0" applyNumberFormat="1" applyFont="1" applyFill="1" applyBorder="1" applyAlignment="1">
      <alignment vertical="center"/>
    </xf>
    <xf numFmtId="2" fontId="3" fillId="0" borderId="44" xfId="0" applyNumberFormat="1" applyFont="1" applyBorder="1" applyAlignment="1">
      <alignment vertical="center"/>
    </xf>
    <xf numFmtId="2" fontId="3" fillId="44" borderId="37" xfId="0" applyNumberFormat="1" applyFont="1" applyFill="1" applyBorder="1" applyAlignment="1">
      <alignment vertical="center"/>
    </xf>
    <xf numFmtId="2" fontId="3" fillId="0" borderId="45" xfId="0" applyNumberFormat="1" applyFont="1" applyBorder="1" applyAlignment="1">
      <alignment vertical="center"/>
    </xf>
    <xf numFmtId="43" fontId="1" fillId="0" borderId="6" xfId="1" applyFont="1" applyBorder="1"/>
    <xf numFmtId="2" fontId="3" fillId="0" borderId="46" xfId="0" applyNumberFormat="1" applyFont="1" applyBorder="1" applyAlignment="1">
      <alignment vertical="center"/>
    </xf>
    <xf numFmtId="0" fontId="22" fillId="20" borderId="47" xfId="0" applyFont="1" applyFill="1" applyBorder="1" applyAlignment="1">
      <alignment horizontal="left" vertical="center" wrapText="1"/>
    </xf>
    <xf numFmtId="0" fontId="22" fillId="21" borderId="47" xfId="0" applyFont="1" applyFill="1" applyBorder="1" applyAlignment="1">
      <alignment horizontal="left" vertical="center" wrapText="1"/>
    </xf>
    <xf numFmtId="2" fontId="3" fillId="20" borderId="37" xfId="0" applyNumberFormat="1" applyFont="1" applyFill="1" applyBorder="1" applyAlignment="1">
      <alignment vertical="center"/>
    </xf>
    <xf numFmtId="2" fontId="36" fillId="0" borderId="5" xfId="0" applyNumberFormat="1" applyFont="1" applyBorder="1" applyAlignment="1">
      <alignment horizontal="left" vertical="center"/>
    </xf>
    <xf numFmtId="2" fontId="3" fillId="14" borderId="41" xfId="0" applyNumberFormat="1" applyFont="1" applyFill="1" applyBorder="1" applyAlignment="1">
      <alignment vertical="center"/>
    </xf>
    <xf numFmtId="0" fontId="22" fillId="9" borderId="47" xfId="0" applyFont="1" applyFill="1" applyBorder="1" applyAlignment="1">
      <alignment horizontal="left" vertical="center" wrapText="1"/>
    </xf>
    <xf numFmtId="0" fontId="22" fillId="9" borderId="48" xfId="0" applyFont="1" applyFill="1" applyBorder="1" applyAlignment="1">
      <alignment horizontal="left" vertical="center" wrapText="1"/>
    </xf>
    <xf numFmtId="0" fontId="22" fillId="9" borderId="48" xfId="0" applyFont="1" applyFill="1" applyBorder="1" applyAlignment="1">
      <alignment vertical="center"/>
    </xf>
    <xf numFmtId="0" fontId="22" fillId="22" borderId="48" xfId="0" applyFont="1" applyFill="1" applyBorder="1" applyAlignment="1">
      <alignment vertical="center"/>
    </xf>
    <xf numFmtId="0" fontId="22" fillId="10" borderId="49" xfId="0" applyFont="1" applyFill="1" applyBorder="1" applyAlignment="1">
      <alignment vertical="center"/>
    </xf>
    <xf numFmtId="0" fontId="22" fillId="10" borderId="43" xfId="0" applyFont="1" applyFill="1" applyBorder="1" applyAlignment="1">
      <alignment vertical="center"/>
    </xf>
    <xf numFmtId="0" fontId="23" fillId="17" borderId="43" xfId="0" applyFont="1" applyFill="1" applyBorder="1" applyAlignment="1">
      <alignment horizontal="center" vertical="center"/>
    </xf>
    <xf numFmtId="2" fontId="3" fillId="9" borderId="42" xfId="0" applyNumberFormat="1" applyFont="1" applyFill="1" applyBorder="1" applyAlignment="1">
      <alignment vertical="center"/>
    </xf>
    <xf numFmtId="2" fontId="3" fillId="0" borderId="50" xfId="0" applyNumberFormat="1" applyFont="1" applyBorder="1" applyAlignment="1">
      <alignment vertical="center"/>
    </xf>
    <xf numFmtId="2" fontId="3" fillId="9" borderId="15" xfId="0" applyNumberFormat="1" applyFont="1" applyFill="1" applyBorder="1" applyAlignment="1">
      <alignment vertical="center"/>
    </xf>
    <xf numFmtId="0" fontId="22" fillId="16" borderId="47" xfId="0" applyFont="1" applyFill="1" applyBorder="1" applyAlignment="1">
      <alignment horizontal="left" vertical="center" wrapText="1"/>
    </xf>
    <xf numFmtId="0" fontId="22" fillId="22" borderId="47" xfId="0" applyFont="1" applyFill="1" applyBorder="1" applyAlignment="1">
      <alignment horizontal="left" vertical="center" wrapText="1"/>
    </xf>
    <xf numFmtId="2" fontId="3" fillId="16" borderId="42" xfId="0" applyNumberFormat="1" applyFont="1" applyFill="1" applyBorder="1" applyAlignment="1">
      <alignment vertical="center"/>
    </xf>
    <xf numFmtId="0" fontId="22" fillId="14" borderId="43" xfId="0" applyFont="1" applyFill="1" applyBorder="1" applyAlignment="1">
      <alignment horizontal="left" vertical="center" wrapText="1"/>
    </xf>
    <xf numFmtId="0" fontId="22" fillId="22" borderId="43" xfId="0" applyFont="1" applyFill="1" applyBorder="1" applyAlignment="1">
      <alignment horizontal="left" vertical="center" wrapText="1"/>
    </xf>
    <xf numFmtId="2" fontId="3" fillId="14" borderId="42" xfId="0" applyNumberFormat="1" applyFont="1" applyFill="1" applyBorder="1" applyAlignment="1">
      <alignment vertical="center"/>
    </xf>
    <xf numFmtId="167" fontId="3" fillId="0" borderId="44" xfId="0" applyNumberFormat="1" applyFont="1" applyBorder="1" applyAlignment="1">
      <alignment vertical="center"/>
    </xf>
    <xf numFmtId="167" fontId="3" fillId="0" borderId="26" xfId="0" applyNumberFormat="1" applyFont="1" applyBorder="1" applyAlignment="1">
      <alignment vertical="center"/>
    </xf>
    <xf numFmtId="14" fontId="3" fillId="0" borderId="0" xfId="0" applyNumberFormat="1" applyFont="1" applyAlignment="1">
      <alignment horizontal="right" vertical="center"/>
    </xf>
    <xf numFmtId="43" fontId="15" fillId="0" borderId="0" xfId="1" applyFont="1" applyFill="1" applyBorder="1" applyAlignment="1">
      <alignment horizontal="center" vertical="center"/>
    </xf>
    <xf numFmtId="43" fontId="6" fillId="0" borderId="51" xfId="1" applyFont="1" applyFill="1" applyBorder="1"/>
    <xf numFmtId="0" fontId="22" fillId="10" borderId="17" xfId="0" applyFont="1" applyFill="1" applyBorder="1" applyAlignment="1">
      <alignment vertical="center"/>
    </xf>
    <xf numFmtId="43" fontId="6" fillId="0" borderId="17" xfId="1" applyFont="1" applyBorder="1"/>
    <xf numFmtId="0" fontId="25" fillId="22" borderId="43" xfId="0" applyFont="1" applyFill="1" applyBorder="1" applyAlignment="1">
      <alignment horizontal="left" vertical="center" wrapText="1"/>
    </xf>
    <xf numFmtId="43" fontId="7" fillId="42" borderId="1" xfId="0" applyNumberFormat="1" applyFont="1" applyFill="1" applyBorder="1" applyAlignment="1">
      <alignment horizontal="center" vertical="center" wrapText="1"/>
    </xf>
    <xf numFmtId="43" fontId="7" fillId="23" borderId="1" xfId="0" applyNumberFormat="1" applyFont="1" applyFill="1" applyBorder="1" applyAlignment="1">
      <alignment horizontal="center" vertical="center" wrapText="1"/>
    </xf>
    <xf numFmtId="43" fontId="7" fillId="18" borderId="1" xfId="0" applyNumberFormat="1" applyFont="1" applyFill="1" applyBorder="1" applyAlignment="1">
      <alignment horizontal="center" vertical="center" wrapText="1"/>
    </xf>
    <xf numFmtId="43" fontId="7" fillId="27" borderId="1" xfId="0" applyNumberFormat="1" applyFont="1" applyFill="1" applyBorder="1" applyAlignment="1">
      <alignment horizontal="center" vertical="center" wrapText="1"/>
    </xf>
    <xf numFmtId="43" fontId="7" fillId="8" borderId="1" xfId="0" applyNumberFormat="1" applyFont="1" applyFill="1" applyBorder="1" applyAlignment="1">
      <alignment horizontal="center" vertical="center" wrapText="1"/>
    </xf>
    <xf numFmtId="43" fontId="7" fillId="7" borderId="1" xfId="0" applyNumberFormat="1" applyFont="1" applyFill="1" applyBorder="1" applyAlignment="1">
      <alignment horizontal="center" vertical="center" wrapText="1"/>
    </xf>
    <xf numFmtId="0" fontId="22" fillId="22" borderId="34" xfId="0" applyFont="1" applyFill="1" applyBorder="1" applyAlignment="1">
      <alignment horizontal="left" vertical="center" wrapText="1"/>
    </xf>
    <xf numFmtId="2" fontId="3" fillId="21" borderId="37" xfId="0" applyNumberFormat="1" applyFont="1" applyFill="1" applyBorder="1" applyAlignment="1">
      <alignment vertical="center"/>
    </xf>
    <xf numFmtId="2" fontId="3" fillId="21" borderId="42" xfId="0" applyNumberFormat="1" applyFont="1" applyFill="1" applyBorder="1" applyAlignment="1">
      <alignment vertical="center"/>
    </xf>
    <xf numFmtId="0" fontId="22" fillId="21" borderId="43" xfId="0" applyFont="1" applyFill="1" applyBorder="1" applyAlignment="1">
      <alignment horizontal="left" vertical="center" wrapText="1"/>
    </xf>
    <xf numFmtId="2" fontId="3" fillId="20" borderId="42" xfId="0" applyNumberFormat="1" applyFont="1" applyFill="1" applyBorder="1" applyAlignment="1">
      <alignment vertical="center"/>
    </xf>
    <xf numFmtId="2" fontId="3" fillId="23" borderId="42" xfId="0" applyNumberFormat="1" applyFont="1" applyFill="1" applyBorder="1" applyAlignment="1">
      <alignment vertical="center"/>
    </xf>
    <xf numFmtId="0" fontId="22" fillId="7" borderId="47" xfId="0" applyFont="1" applyFill="1" applyBorder="1" applyAlignment="1">
      <alignment horizontal="left" vertical="center" wrapText="1"/>
    </xf>
    <xf numFmtId="0" fontId="22" fillId="23" borderId="47" xfId="0" applyFont="1" applyFill="1" applyBorder="1" applyAlignment="1">
      <alignment horizontal="left" vertical="center" wrapText="1"/>
    </xf>
    <xf numFmtId="0" fontId="22" fillId="23" borderId="43" xfId="0" applyFont="1" applyFill="1" applyBorder="1" applyAlignment="1">
      <alignment horizontal="left" vertical="center" wrapText="1"/>
    </xf>
    <xf numFmtId="167" fontId="3" fillId="0" borderId="39" xfId="0" applyNumberFormat="1" applyFont="1" applyBorder="1" applyAlignment="1">
      <alignment vertical="center"/>
    </xf>
    <xf numFmtId="0" fontId="22" fillId="44" borderId="47" xfId="0" applyFont="1" applyFill="1" applyBorder="1" applyAlignment="1">
      <alignment horizontal="left" vertical="center" wrapText="1"/>
    </xf>
    <xf numFmtId="0" fontId="22" fillId="43" borderId="43" xfId="0" applyFont="1" applyFill="1" applyBorder="1" applyAlignment="1">
      <alignment horizontal="left" vertical="center" wrapText="1"/>
    </xf>
    <xf numFmtId="2" fontId="3" fillId="2" borderId="42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left" vertical="center" wrapText="1"/>
    </xf>
    <xf numFmtId="2" fontId="3" fillId="14" borderId="37" xfId="0" applyNumberFormat="1" applyFont="1" applyFill="1" applyBorder="1" applyAlignment="1">
      <alignment vertical="center"/>
    </xf>
    <xf numFmtId="166" fontId="3" fillId="0" borderId="26" xfId="0" applyNumberFormat="1" applyFont="1" applyBorder="1" applyAlignment="1">
      <alignment vertical="center"/>
    </xf>
    <xf numFmtId="166" fontId="3" fillId="0" borderId="44" xfId="0" applyNumberFormat="1" applyFont="1" applyBorder="1" applyAlignment="1">
      <alignment vertical="center"/>
    </xf>
    <xf numFmtId="2" fontId="3" fillId="16" borderId="37" xfId="0" applyNumberFormat="1" applyFont="1" applyFill="1" applyBorder="1" applyAlignment="1">
      <alignment vertical="center"/>
    </xf>
    <xf numFmtId="2" fontId="3" fillId="9" borderId="37" xfId="0" applyNumberFormat="1" applyFont="1" applyFill="1" applyBorder="1" applyAlignment="1">
      <alignment vertical="center"/>
    </xf>
    <xf numFmtId="43" fontId="6" fillId="0" borderId="1" xfId="1" applyFont="1" applyFill="1" applyBorder="1"/>
    <xf numFmtId="43" fontId="1" fillId="0" borderId="5" xfId="0" applyNumberFormat="1" applyFont="1" applyBorder="1"/>
    <xf numFmtId="0" fontId="22" fillId="9" borderId="17" xfId="0" applyFont="1" applyFill="1" applyBorder="1" applyAlignment="1">
      <alignment horizontal="left" vertical="center" wrapText="1"/>
    </xf>
    <xf numFmtId="0" fontId="22" fillId="9" borderId="17" xfId="0" applyFont="1" applyFill="1" applyBorder="1" applyAlignment="1">
      <alignment vertical="center"/>
    </xf>
    <xf numFmtId="0" fontId="22" fillId="22" borderId="17" xfId="0" applyFont="1" applyFill="1" applyBorder="1" applyAlignment="1">
      <alignment vertical="center"/>
    </xf>
    <xf numFmtId="0" fontId="22" fillId="22" borderId="51" xfId="0" applyFont="1" applyFill="1" applyBorder="1" applyAlignment="1">
      <alignment vertical="center"/>
    </xf>
    <xf numFmtId="0" fontId="37" fillId="0" borderId="0" xfId="0" applyFont="1"/>
    <xf numFmtId="4" fontId="4" fillId="0" borderId="8" xfId="0" applyNumberFormat="1" applyFont="1" applyBorder="1" applyAlignment="1">
      <alignment horizontal="center" vertical="center"/>
    </xf>
    <xf numFmtId="4" fontId="4" fillId="0" borderId="27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4" fontId="3" fillId="0" borderId="5" xfId="0" applyNumberFormat="1" applyFont="1" applyBorder="1" applyAlignment="1">
      <alignment horizontal="right" vertical="center"/>
    </xf>
    <xf numFmtId="4" fontId="5" fillId="9" borderId="5" xfId="0" applyNumberFormat="1" applyFont="1" applyFill="1" applyBorder="1" applyAlignment="1">
      <alignment horizontal="right" vertical="center"/>
    </xf>
    <xf numFmtId="4" fontId="5" fillId="9" borderId="8" xfId="0" applyNumberFormat="1" applyFont="1" applyFill="1" applyBorder="1" applyAlignment="1">
      <alignment horizontal="right" vertical="center"/>
    </xf>
    <xf numFmtId="4" fontId="3" fillId="0" borderId="6" xfId="0" applyNumberFormat="1" applyFont="1" applyBorder="1" applyAlignment="1">
      <alignment horizontal="right" vertical="center"/>
    </xf>
    <xf numFmtId="4" fontId="5" fillId="2" borderId="13" xfId="0" applyNumberFormat="1" applyFont="1" applyFill="1" applyBorder="1" applyAlignment="1">
      <alignment vertical="center"/>
    </xf>
    <xf numFmtId="4" fontId="5" fillId="2" borderId="10" xfId="0" applyNumberFormat="1" applyFont="1" applyFill="1" applyBorder="1" applyAlignment="1">
      <alignment vertical="center"/>
    </xf>
    <xf numFmtId="4" fontId="5" fillId="2" borderId="11" xfId="0" applyNumberFormat="1" applyFont="1" applyFill="1" applyBorder="1" applyAlignment="1">
      <alignment vertical="center"/>
    </xf>
    <xf numFmtId="4" fontId="5" fillId="0" borderId="8" xfId="0" applyNumberFormat="1" applyFont="1" applyBorder="1" applyAlignment="1">
      <alignment horizontal="center" vertical="center"/>
    </xf>
    <xf numFmtId="4" fontId="5" fillId="0" borderId="27" xfId="0" applyNumberFormat="1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4" fontId="3" fillId="0" borderId="33" xfId="0" applyNumberFormat="1" applyFont="1" applyBorder="1" applyAlignment="1">
      <alignment horizontal="right" vertical="center"/>
    </xf>
    <xf numFmtId="4" fontId="3" fillId="0" borderId="36" xfId="0" applyNumberFormat="1" applyFont="1" applyBorder="1" applyAlignment="1">
      <alignment horizontal="right" vertical="center"/>
    </xf>
    <xf numFmtId="4" fontId="3" fillId="5" borderId="5" xfId="0" applyNumberFormat="1" applyFont="1" applyFill="1" applyBorder="1" applyAlignment="1">
      <alignment horizontal="right" vertical="center"/>
    </xf>
    <xf numFmtId="4" fontId="5" fillId="2" borderId="13" xfId="0" applyNumberFormat="1" applyFont="1" applyFill="1" applyBorder="1" applyAlignment="1">
      <alignment horizontal="right" vertical="center"/>
    </xf>
    <xf numFmtId="4" fontId="5" fillId="2" borderId="10" xfId="0" applyNumberFormat="1" applyFont="1" applyFill="1" applyBorder="1" applyAlignment="1">
      <alignment horizontal="right" vertical="center"/>
    </xf>
    <xf numFmtId="4" fontId="5" fillId="2" borderId="11" xfId="0" applyNumberFormat="1" applyFont="1" applyFill="1" applyBorder="1" applyAlignment="1">
      <alignment horizontal="right" vertical="center"/>
    </xf>
    <xf numFmtId="4" fontId="5" fillId="10" borderId="5" xfId="0" applyNumberFormat="1" applyFont="1" applyFill="1" applyBorder="1" applyAlignment="1">
      <alignment horizontal="right" vertical="center"/>
    </xf>
    <xf numFmtId="4" fontId="5" fillId="10" borderId="8" xfId="0" applyNumberFormat="1" applyFont="1" applyFill="1" applyBorder="1" applyAlignment="1">
      <alignment horizontal="right" vertical="center"/>
    </xf>
    <xf numFmtId="4" fontId="5" fillId="11" borderId="5" xfId="0" applyNumberFormat="1" applyFont="1" applyFill="1" applyBorder="1" applyAlignment="1">
      <alignment horizontal="right" vertical="center"/>
    </xf>
    <xf numFmtId="4" fontId="5" fillId="11" borderId="8" xfId="0" applyNumberFormat="1" applyFont="1" applyFill="1" applyBorder="1" applyAlignment="1">
      <alignment horizontal="right" vertical="center"/>
    </xf>
    <xf numFmtId="4" fontId="5" fillId="12" borderId="5" xfId="0" applyNumberFormat="1" applyFont="1" applyFill="1" applyBorder="1" applyAlignment="1">
      <alignment horizontal="right" vertical="center"/>
    </xf>
    <xf numFmtId="4" fontId="5" fillId="12" borderId="8" xfId="0" applyNumberFormat="1" applyFont="1" applyFill="1" applyBorder="1" applyAlignment="1">
      <alignment horizontal="right" vertical="center"/>
    </xf>
    <xf numFmtId="4" fontId="5" fillId="7" borderId="5" xfId="0" applyNumberFormat="1" applyFont="1" applyFill="1" applyBorder="1" applyAlignment="1">
      <alignment horizontal="right" vertical="center"/>
    </xf>
    <xf numFmtId="4" fontId="5" fillId="7" borderId="8" xfId="0" applyNumberFormat="1" applyFont="1" applyFill="1" applyBorder="1" applyAlignment="1">
      <alignment horizontal="right" vertical="center"/>
    </xf>
    <xf numFmtId="4" fontId="5" fillId="13" borderId="5" xfId="0" applyNumberFormat="1" applyFont="1" applyFill="1" applyBorder="1" applyAlignment="1">
      <alignment horizontal="right" vertical="center"/>
    </xf>
    <xf numFmtId="4" fontId="5" fillId="13" borderId="8" xfId="0" applyNumberFormat="1" applyFont="1" applyFill="1" applyBorder="1" applyAlignment="1">
      <alignment horizontal="right" vertical="center"/>
    </xf>
    <xf numFmtId="4" fontId="5" fillId="8" borderId="5" xfId="0" applyNumberFormat="1" applyFont="1" applyFill="1" applyBorder="1" applyAlignment="1">
      <alignment horizontal="right" vertical="center"/>
    </xf>
    <xf numFmtId="4" fontId="5" fillId="8" borderId="8" xfId="0" applyNumberFormat="1" applyFont="1" applyFill="1" applyBorder="1" applyAlignment="1">
      <alignment horizontal="right" vertical="center"/>
    </xf>
    <xf numFmtId="4" fontId="5" fillId="3" borderId="5" xfId="0" applyNumberFormat="1" applyFont="1" applyFill="1" applyBorder="1" applyAlignment="1">
      <alignment horizontal="right" vertical="center"/>
    </xf>
    <xf numFmtId="4" fontId="5" fillId="3" borderId="8" xfId="0" applyNumberFormat="1" applyFont="1" applyFill="1" applyBorder="1" applyAlignment="1">
      <alignment horizontal="right" vertical="center"/>
    </xf>
    <xf numFmtId="4" fontId="16" fillId="29" borderId="5" xfId="0" applyNumberFormat="1" applyFont="1" applyFill="1" applyBorder="1" applyAlignment="1">
      <alignment horizontal="right" vertical="center"/>
    </xf>
    <xf numFmtId="4" fontId="16" fillId="29" borderId="8" xfId="0" applyNumberFormat="1" applyFont="1" applyFill="1" applyBorder="1" applyAlignment="1">
      <alignment horizontal="right" vertical="center"/>
    </xf>
    <xf numFmtId="4" fontId="5" fillId="23" borderId="5" xfId="0" applyNumberFormat="1" applyFont="1" applyFill="1" applyBorder="1" applyAlignment="1">
      <alignment horizontal="right" vertical="center"/>
    </xf>
    <xf numFmtId="4" fontId="5" fillId="23" borderId="8" xfId="0" applyNumberFormat="1" applyFont="1" applyFill="1" applyBorder="1" applyAlignment="1">
      <alignment horizontal="right" vertical="center"/>
    </xf>
    <xf numFmtId="4" fontId="16" fillId="35" borderId="5" xfId="0" applyNumberFormat="1" applyFont="1" applyFill="1" applyBorder="1" applyAlignment="1">
      <alignment horizontal="right" vertical="center"/>
    </xf>
    <xf numFmtId="4" fontId="16" fillId="35" borderId="8" xfId="0" applyNumberFormat="1" applyFont="1" applyFill="1" applyBorder="1" applyAlignment="1">
      <alignment horizontal="right" vertical="center"/>
    </xf>
    <xf numFmtId="0" fontId="19" fillId="0" borderId="0" xfId="0" applyFont="1" applyAlignment="1">
      <alignment horizontal="center" vertical="center"/>
    </xf>
    <xf numFmtId="1" fontId="5" fillId="0" borderId="5" xfId="0" applyNumberFormat="1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1" fontId="5" fillId="0" borderId="5" xfId="0" applyNumberFormat="1" applyFont="1" applyBorder="1" applyAlignment="1">
      <alignment horizontal="right" vertical="center"/>
    </xf>
    <xf numFmtId="1" fontId="5" fillId="0" borderId="16" xfId="0" applyNumberFormat="1" applyFont="1" applyBorder="1" applyAlignment="1">
      <alignment horizontal="right" vertical="center"/>
    </xf>
    <xf numFmtId="1" fontId="3" fillId="0" borderId="5" xfId="0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1" fontId="3" fillId="0" borderId="16" xfId="0" applyNumberFormat="1" applyFont="1" applyBorder="1" applyAlignment="1">
      <alignment horizontal="right" vertical="center"/>
    </xf>
    <xf numFmtId="0" fontId="3" fillId="39" borderId="0" xfId="0" applyFont="1" applyFill="1" applyAlignment="1">
      <alignment horizontal="center" vertical="center"/>
    </xf>
    <xf numFmtId="0" fontId="26" fillId="0" borderId="5" xfId="0" applyFont="1" applyBorder="1"/>
    <xf numFmtId="43" fontId="27" fillId="0" borderId="5" xfId="1" applyFont="1" applyBorder="1"/>
    <xf numFmtId="43" fontId="26" fillId="0" borderId="52" xfId="1" applyFont="1" applyBorder="1"/>
    <xf numFmtId="4" fontId="16" fillId="36" borderId="5" xfId="0" applyNumberFormat="1" applyFont="1" applyFill="1" applyBorder="1" applyAlignment="1">
      <alignment horizontal="right" vertical="center"/>
    </xf>
    <xf numFmtId="4" fontId="16" fillId="36" borderId="8" xfId="0" applyNumberFormat="1" applyFont="1" applyFill="1" applyBorder="1" applyAlignment="1">
      <alignment horizontal="right" vertical="center"/>
    </xf>
    <xf numFmtId="0" fontId="26" fillId="0" borderId="0" xfId="0" applyFont="1"/>
    <xf numFmtId="43" fontId="1" fillId="0" borderId="0" xfId="1" applyFont="1" applyAlignment="1">
      <alignment horizontal="center"/>
    </xf>
    <xf numFmtId="0" fontId="1" fillId="0" borderId="5" xfId="0" applyFont="1" applyBorder="1"/>
    <xf numFmtId="43" fontId="1" fillId="0" borderId="5" xfId="1" applyFont="1" applyBorder="1" applyAlignment="1">
      <alignment horizontal="center"/>
    </xf>
    <xf numFmtId="43" fontId="26" fillId="0" borderId="0" xfId="1" applyFont="1" applyAlignment="1">
      <alignment horizontal="right"/>
    </xf>
    <xf numFmtId="43" fontId="1" fillId="0" borderId="0" xfId="1" applyFont="1" applyBorder="1" applyAlignment="1">
      <alignment horizontal="center"/>
    </xf>
    <xf numFmtId="3" fontId="3" fillId="0" borderId="0" xfId="0" applyNumberFormat="1" applyFont="1" applyAlignment="1">
      <alignment horizontal="center" vertical="center"/>
    </xf>
    <xf numFmtId="3" fontId="19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6" fillId="27" borderId="0" xfId="0" applyFont="1" applyFill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0" fontId="5" fillId="10" borderId="0" xfId="0" applyFont="1" applyFill="1" applyAlignment="1">
      <alignment horizontal="center" vertical="center" wrapText="1"/>
    </xf>
    <xf numFmtId="0" fontId="5" fillId="11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5" fillId="12" borderId="0" xfId="0" applyFont="1" applyFill="1" applyAlignment="1">
      <alignment horizontal="center" vertical="center" wrapText="1"/>
    </xf>
    <xf numFmtId="0" fontId="5" fillId="13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43" fontId="7" fillId="0" borderId="0" xfId="1" applyFont="1" applyFill="1" applyBorder="1" applyAlignment="1">
      <alignment horizontal="center" vertical="center"/>
    </xf>
    <xf numFmtId="43" fontId="10" fillId="0" borderId="0" xfId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43" fontId="1" fillId="0" borderId="0" xfId="1" applyFont="1" applyFill="1" applyAlignment="1">
      <alignment horizontal="center" vertical="center"/>
    </xf>
    <xf numFmtId="43" fontId="1" fillId="0" borderId="0" xfId="1" applyFont="1" applyBorder="1" applyAlignment="1">
      <alignment horizontal="right" vertical="center"/>
    </xf>
    <xf numFmtId="165" fontId="1" fillId="0" borderId="5" xfId="1" applyNumberFormat="1" applyFont="1" applyBorder="1" applyAlignment="1">
      <alignment horizontal="center"/>
    </xf>
    <xf numFmtId="0" fontId="1" fillId="0" borderId="5" xfId="1" applyNumberFormat="1" applyFont="1" applyBorder="1" applyAlignment="1">
      <alignment horizontal="left"/>
    </xf>
    <xf numFmtId="43" fontId="1" fillId="0" borderId="0" xfId="0" applyNumberFormat="1" applyFont="1"/>
    <xf numFmtId="2" fontId="1" fillId="0" borderId="0" xfId="0" applyNumberFormat="1" applyFont="1"/>
    <xf numFmtId="43" fontId="1" fillId="0" borderId="5" xfId="1" applyFont="1" applyFill="1" applyBorder="1" applyAlignment="1">
      <alignment horizontal="center"/>
    </xf>
    <xf numFmtId="165" fontId="1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43" fontId="1" fillId="0" borderId="33" xfId="1" applyFont="1" applyBorder="1"/>
    <xf numFmtId="43" fontId="1" fillId="41" borderId="33" xfId="1" applyFont="1" applyFill="1" applyBorder="1"/>
    <xf numFmtId="43" fontId="1" fillId="0" borderId="5" xfId="1" applyFont="1" applyFill="1" applyBorder="1"/>
    <xf numFmtId="165" fontId="1" fillId="0" borderId="0" xfId="1" applyNumberFormat="1" applyFont="1" applyAlignment="1">
      <alignment horizontal="center"/>
    </xf>
    <xf numFmtId="0" fontId="1" fillId="0" borderId="0" xfId="1" applyNumberFormat="1" applyFont="1" applyAlignment="1">
      <alignment horizontal="left"/>
    </xf>
    <xf numFmtId="43" fontId="1" fillId="2" borderId="5" xfId="1" applyFont="1" applyFill="1" applyBorder="1"/>
    <xf numFmtId="43" fontId="1" fillId="0" borderId="0" xfId="1" applyFont="1" applyFill="1"/>
    <xf numFmtId="165" fontId="1" fillId="0" borderId="5" xfId="1" applyNumberFormat="1" applyFont="1" applyFill="1" applyBorder="1" applyAlignment="1">
      <alignment horizontal="center"/>
    </xf>
    <xf numFmtId="0" fontId="1" fillId="0" borderId="5" xfId="1" applyNumberFormat="1" applyFont="1" applyFill="1" applyBorder="1" applyAlignment="1">
      <alignment horizontal="left"/>
    </xf>
    <xf numFmtId="43" fontId="1" fillId="0" borderId="0" xfId="1" applyFont="1" applyBorder="1"/>
    <xf numFmtId="43" fontId="1" fillId="0" borderId="6" xfId="1" applyFont="1" applyBorder="1" applyAlignment="1">
      <alignment horizontal="center"/>
    </xf>
    <xf numFmtId="0" fontId="3" fillId="40" borderId="0" xfId="0" applyFont="1" applyFill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3" fontId="1" fillId="0" borderId="0" xfId="1" applyFont="1" applyAlignment="1">
      <alignment horizontal="right"/>
    </xf>
    <xf numFmtId="43" fontId="27" fillId="2" borderId="5" xfId="1" applyFont="1" applyFill="1" applyBorder="1"/>
    <xf numFmtId="43" fontId="27" fillId="0" borderId="5" xfId="1" applyFont="1" applyFill="1" applyBorder="1"/>
    <xf numFmtId="43" fontId="1" fillId="2" borderId="0" xfId="1" applyFont="1" applyFill="1"/>
    <xf numFmtId="4" fontId="5" fillId="4" borderId="5" xfId="0" applyNumberFormat="1" applyFont="1" applyFill="1" applyBorder="1" applyAlignment="1">
      <alignment horizontal="right" vertical="center"/>
    </xf>
    <xf numFmtId="4" fontId="5" fillId="6" borderId="5" xfId="0" applyNumberFormat="1" applyFont="1" applyFill="1" applyBorder="1" applyAlignment="1">
      <alignment horizontal="right" vertical="center"/>
    </xf>
    <xf numFmtId="4" fontId="16" fillId="27" borderId="5" xfId="0" applyNumberFormat="1" applyFont="1" applyFill="1" applyBorder="1" applyAlignment="1">
      <alignment horizontal="right" vertical="center"/>
    </xf>
    <xf numFmtId="4" fontId="4" fillId="38" borderId="5" xfId="0" applyNumberFormat="1" applyFont="1" applyFill="1" applyBorder="1" applyAlignment="1">
      <alignment horizontal="right" vertical="center"/>
    </xf>
    <xf numFmtId="4" fontId="4" fillId="2" borderId="10" xfId="0" applyNumberFormat="1" applyFont="1" applyFill="1" applyBorder="1" applyAlignment="1">
      <alignment vertical="center"/>
    </xf>
    <xf numFmtId="4" fontId="4" fillId="2" borderId="11" xfId="0" applyNumberFormat="1" applyFont="1" applyFill="1" applyBorder="1" applyAlignment="1">
      <alignment vertical="center"/>
    </xf>
    <xf numFmtId="49" fontId="6" fillId="2" borderId="5" xfId="1" applyNumberFormat="1" applyFont="1" applyFill="1" applyBorder="1" applyAlignment="1">
      <alignment horizontal="center" vertical="center" wrapText="1"/>
    </xf>
    <xf numFmtId="4" fontId="6" fillId="0" borderId="0" xfId="0" applyNumberFormat="1" applyFont="1"/>
    <xf numFmtId="4" fontId="3" fillId="0" borderId="0" xfId="0" applyNumberFormat="1" applyFont="1"/>
    <xf numFmtId="4" fontId="6" fillId="45" borderId="0" xfId="0" applyNumberFormat="1" applyFont="1" applyFill="1"/>
    <xf numFmtId="4" fontId="3" fillId="45" borderId="0" xfId="0" applyNumberFormat="1" applyFont="1" applyFill="1"/>
    <xf numFmtId="4" fontId="7" fillId="0" borderId="0" xfId="0" applyNumberFormat="1" applyFont="1"/>
    <xf numFmtId="4" fontId="5" fillId="0" borderId="0" xfId="0" applyNumberFormat="1" applyFont="1"/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10" fillId="0" borderId="0" xfId="0" applyFont="1" applyAlignment="1">
      <alignment vertical="center"/>
    </xf>
    <xf numFmtId="0" fontId="9" fillId="15" borderId="0" xfId="0" applyFont="1" applyFill="1" applyAlignment="1">
      <alignment horizontal="center"/>
    </xf>
    <xf numFmtId="4" fontId="16" fillId="39" borderId="5" xfId="0" applyNumberFormat="1" applyFont="1" applyFill="1" applyBorder="1" applyAlignment="1">
      <alignment horizontal="right" vertical="center"/>
    </xf>
    <xf numFmtId="49" fontId="3" fillId="0" borderId="5" xfId="1" applyNumberFormat="1" applyFont="1" applyFill="1" applyBorder="1" applyAlignment="1">
      <alignment horizontal="center" vertical="center" wrapText="1"/>
    </xf>
    <xf numFmtId="2" fontId="3" fillId="2" borderId="5" xfId="0" applyNumberFormat="1" applyFont="1" applyFill="1" applyBorder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4" fontId="3" fillId="26" borderId="5" xfId="0" applyNumberFormat="1" applyFont="1" applyFill="1" applyBorder="1" applyAlignment="1">
      <alignment horizontal="right" vertical="center"/>
    </xf>
    <xf numFmtId="4" fontId="3" fillId="46" borderId="5" xfId="0" applyNumberFormat="1" applyFont="1" applyFill="1" applyBorder="1" applyAlignment="1">
      <alignment horizontal="right" vertical="center"/>
    </xf>
    <xf numFmtId="4" fontId="4" fillId="2" borderId="13" xfId="0" applyNumberFormat="1" applyFont="1" applyFill="1" applyBorder="1" applyAlignment="1">
      <alignment vertical="center"/>
    </xf>
    <xf numFmtId="2" fontId="3" fillId="0" borderId="0" xfId="0" applyNumberFormat="1" applyFont="1" applyAlignment="1">
      <alignment horizontal="right" vertical="center"/>
    </xf>
    <xf numFmtId="4" fontId="3" fillId="2" borderId="5" xfId="0" applyNumberFormat="1" applyFont="1" applyFill="1" applyBorder="1" applyAlignment="1">
      <alignment horizontal="right" vertical="center"/>
    </xf>
    <xf numFmtId="0" fontId="46" fillId="0" borderId="0" xfId="0" applyFont="1" applyAlignment="1">
      <alignment horizontal="right" vertical="center"/>
    </xf>
    <xf numFmtId="14" fontId="46" fillId="0" borderId="5" xfId="0" applyNumberFormat="1" applyFont="1" applyBorder="1" applyAlignment="1">
      <alignment horizontal="right" vertical="center"/>
    </xf>
    <xf numFmtId="2" fontId="46" fillId="0" borderId="5" xfId="0" applyNumberFormat="1" applyFont="1" applyBorder="1" applyAlignment="1">
      <alignment horizontal="right" vertical="center"/>
    </xf>
    <xf numFmtId="2" fontId="47" fillId="8" borderId="5" xfId="0" applyNumberFormat="1" applyFont="1" applyFill="1" applyBorder="1" applyAlignment="1">
      <alignment horizontal="right" vertical="center"/>
    </xf>
    <xf numFmtId="43" fontId="1" fillId="0" borderId="0" xfId="1" applyFont="1" applyAlignment="1">
      <alignment horizontal="left"/>
    </xf>
    <xf numFmtId="0" fontId="6" fillId="0" borderId="0" xfId="1" applyNumberFormat="1" applyFont="1" applyAlignment="1">
      <alignment horizontal="center" vertical="center" wrapText="1"/>
    </xf>
    <xf numFmtId="0" fontId="6" fillId="0" borderId="5" xfId="1" applyNumberFormat="1" applyFont="1" applyFill="1" applyBorder="1" applyAlignment="1">
      <alignment horizontal="center" vertical="center" wrapText="1"/>
    </xf>
    <xf numFmtId="0" fontId="7" fillId="0" borderId="5" xfId="1" applyNumberFormat="1" applyFont="1" applyFill="1" applyBorder="1" applyAlignment="1">
      <alignment horizontal="center" vertical="center" wrapText="1"/>
    </xf>
    <xf numFmtId="0" fontId="6" fillId="0" borderId="0" xfId="1" applyNumberFormat="1" applyFont="1" applyAlignment="1">
      <alignment horizontal="center" vertical="center"/>
    </xf>
    <xf numFmtId="0" fontId="7" fillId="0" borderId="1" xfId="1" applyNumberFormat="1" applyFont="1" applyBorder="1" applyAlignment="1">
      <alignment horizontal="center" vertical="center" wrapText="1"/>
    </xf>
    <xf numFmtId="0" fontId="7" fillId="0" borderId="34" xfId="1" applyNumberFormat="1" applyFont="1" applyBorder="1" applyAlignment="1">
      <alignment horizontal="center" vertical="center" wrapText="1"/>
    </xf>
    <xf numFmtId="0" fontId="7" fillId="0" borderId="0" xfId="1" applyNumberFormat="1" applyFont="1" applyBorder="1" applyAlignment="1">
      <alignment horizontal="center" vertical="center" wrapText="1"/>
    </xf>
    <xf numFmtId="0" fontId="7" fillId="17" borderId="35" xfId="1" applyNumberFormat="1" applyFont="1" applyFill="1" applyBorder="1" applyAlignment="1">
      <alignment horizontal="center" vertical="center" wrapText="1"/>
    </xf>
    <xf numFmtId="0" fontId="7" fillId="0" borderId="0" xfId="1" applyNumberFormat="1" applyFont="1" applyAlignment="1">
      <alignment horizontal="center" vertical="center"/>
    </xf>
    <xf numFmtId="0" fontId="14" fillId="17" borderId="24" xfId="1" applyNumberFormat="1" applyFont="1" applyFill="1" applyBorder="1" applyAlignment="1">
      <alignment horizontal="center" vertical="center" wrapText="1"/>
    </xf>
    <xf numFmtId="0" fontId="7" fillId="17" borderId="24" xfId="1" applyNumberFormat="1" applyFont="1" applyFill="1" applyBorder="1" applyAlignment="1">
      <alignment horizontal="center" vertical="center" wrapText="1"/>
    </xf>
    <xf numFmtId="0" fontId="6" fillId="17" borderId="0" xfId="1" applyNumberFormat="1" applyFont="1" applyFill="1" applyBorder="1" applyAlignment="1">
      <alignment wrapText="1"/>
    </xf>
    <xf numFmtId="0" fontId="6" fillId="17" borderId="35" xfId="1" applyNumberFormat="1" applyFont="1" applyFill="1" applyBorder="1" applyAlignment="1">
      <alignment wrapText="1"/>
    </xf>
    <xf numFmtId="0" fontId="14" fillId="17" borderId="20" xfId="1" applyNumberFormat="1" applyFont="1" applyFill="1" applyBorder="1" applyAlignment="1">
      <alignment horizontal="center" vertical="center" wrapText="1"/>
    </xf>
    <xf numFmtId="0" fontId="7" fillId="17" borderId="20" xfId="1" applyNumberFormat="1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43" fontId="4" fillId="0" borderId="2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5" borderId="38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43" fontId="4" fillId="27" borderId="2" xfId="0" applyNumberFormat="1" applyFont="1" applyFill="1" applyBorder="1" applyAlignment="1">
      <alignment horizontal="center" vertical="center" wrapText="1"/>
    </xf>
    <xf numFmtId="0" fontId="4" fillId="27" borderId="3" xfId="0" applyFont="1" applyFill="1" applyBorder="1" applyAlignment="1">
      <alignment horizontal="center" vertical="center" wrapText="1"/>
    </xf>
    <xf numFmtId="0" fontId="4" fillId="27" borderId="4" xfId="0" applyFont="1" applyFill="1" applyBorder="1" applyAlignment="1">
      <alignment horizontal="center" vertical="center" wrapText="1"/>
    </xf>
    <xf numFmtId="43" fontId="4" fillId="21" borderId="2" xfId="0" applyNumberFormat="1" applyFont="1" applyFill="1" applyBorder="1" applyAlignment="1">
      <alignment horizontal="center" vertical="center" wrapText="1"/>
    </xf>
    <xf numFmtId="0" fontId="4" fillId="21" borderId="3" xfId="0" applyFont="1" applyFill="1" applyBorder="1" applyAlignment="1">
      <alignment horizontal="center" vertical="center" wrapText="1"/>
    </xf>
    <xf numFmtId="0" fontId="4" fillId="21" borderId="4" xfId="0" applyFont="1" applyFill="1" applyBorder="1" applyAlignment="1">
      <alignment horizontal="center" vertical="center" wrapText="1"/>
    </xf>
    <xf numFmtId="43" fontId="4" fillId="18" borderId="2" xfId="0" applyNumberFormat="1" applyFont="1" applyFill="1" applyBorder="1" applyAlignment="1">
      <alignment horizontal="center" vertical="center" wrapText="1"/>
    </xf>
    <xf numFmtId="0" fontId="4" fillId="18" borderId="3" xfId="0" applyFont="1" applyFill="1" applyBorder="1" applyAlignment="1">
      <alignment horizontal="center" vertical="center" wrapText="1"/>
    </xf>
    <xf numFmtId="0" fontId="4" fillId="18" borderId="4" xfId="0" applyFont="1" applyFill="1" applyBorder="1" applyAlignment="1">
      <alignment horizontal="center" vertical="center" wrapText="1"/>
    </xf>
    <xf numFmtId="43" fontId="4" fillId="0" borderId="3" xfId="0" applyNumberFormat="1" applyFont="1" applyBorder="1" applyAlignment="1">
      <alignment horizontal="center" vertical="center" wrapText="1"/>
    </xf>
    <xf numFmtId="43" fontId="4" fillId="0" borderId="4" xfId="0" applyNumberFormat="1" applyFont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43" fontId="4" fillId="5" borderId="2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8" fillId="40" borderId="0" xfId="0" applyFont="1" applyFill="1" applyAlignment="1">
      <alignment horizontal="center" vertical="center"/>
    </xf>
    <xf numFmtId="43" fontId="16" fillId="8" borderId="0" xfId="0" applyNumberFormat="1" applyFont="1" applyFill="1" applyAlignment="1">
      <alignment horizontal="center" vertical="center" wrapText="1"/>
    </xf>
    <xf numFmtId="0" fontId="16" fillId="8" borderId="0" xfId="0" applyFont="1" applyFill="1" applyAlignment="1">
      <alignment horizontal="center" vertical="center" wrapText="1"/>
    </xf>
    <xf numFmtId="43" fontId="16" fillId="23" borderId="0" xfId="0" applyNumberFormat="1" applyFont="1" applyFill="1" applyAlignment="1">
      <alignment horizontal="center" vertical="center" wrapText="1"/>
    </xf>
    <xf numFmtId="0" fontId="16" fillId="23" borderId="0" xfId="0" applyFont="1" applyFill="1" applyAlignment="1">
      <alignment horizontal="center" vertical="center" wrapText="1"/>
    </xf>
    <xf numFmtId="43" fontId="16" fillId="35" borderId="0" xfId="0" applyNumberFormat="1" applyFont="1" applyFill="1" applyAlignment="1">
      <alignment horizontal="center" vertical="center" wrapText="1"/>
    </xf>
    <xf numFmtId="0" fontId="16" fillId="35" borderId="0" xfId="0" applyFont="1" applyFill="1" applyAlignment="1">
      <alignment horizontal="center" vertical="center" wrapText="1"/>
    </xf>
    <xf numFmtId="43" fontId="16" fillId="30" borderId="0" xfId="0" applyNumberFormat="1" applyFont="1" applyFill="1" applyAlignment="1">
      <alignment horizontal="center" vertical="center" wrapText="1"/>
    </xf>
    <xf numFmtId="0" fontId="16" fillId="30" borderId="0" xfId="0" applyFont="1" applyFill="1" applyAlignment="1">
      <alignment horizontal="center" vertical="center" wrapText="1"/>
    </xf>
    <xf numFmtId="43" fontId="16" fillId="28" borderId="0" xfId="0" applyNumberFormat="1" applyFont="1" applyFill="1" applyAlignment="1">
      <alignment horizontal="center" vertical="center" wrapText="1"/>
    </xf>
    <xf numFmtId="0" fontId="16" fillId="28" borderId="0" xfId="0" applyFont="1" applyFill="1" applyAlignment="1">
      <alignment horizontal="center" vertical="center" wrapText="1"/>
    </xf>
    <xf numFmtId="43" fontId="16" fillId="31" borderId="0" xfId="0" applyNumberFormat="1" applyFont="1" applyFill="1" applyAlignment="1">
      <alignment horizontal="center" vertical="center" wrapText="1"/>
    </xf>
    <xf numFmtId="0" fontId="16" fillId="31" borderId="0" xfId="0" applyFont="1" applyFill="1" applyAlignment="1">
      <alignment horizontal="center" vertical="center" wrapText="1"/>
    </xf>
    <xf numFmtId="43" fontId="16" fillId="33" borderId="0" xfId="0" applyNumberFormat="1" applyFont="1" applyFill="1" applyAlignment="1">
      <alignment horizontal="center" vertical="center" wrapText="1"/>
    </xf>
    <xf numFmtId="0" fontId="16" fillId="33" borderId="0" xfId="0" applyFont="1" applyFill="1" applyAlignment="1">
      <alignment horizontal="center" vertical="center" wrapText="1"/>
    </xf>
    <xf numFmtId="43" fontId="16" fillId="32" borderId="0" xfId="0" applyNumberFormat="1" applyFont="1" applyFill="1" applyAlignment="1">
      <alignment horizontal="center" vertical="center" wrapText="1"/>
    </xf>
    <xf numFmtId="0" fontId="16" fillId="32" borderId="0" xfId="0" applyFont="1" applyFill="1" applyAlignment="1">
      <alignment horizontal="center" vertical="center" wrapText="1"/>
    </xf>
    <xf numFmtId="43" fontId="16" fillId="34" borderId="0" xfId="0" applyNumberFormat="1" applyFont="1" applyFill="1" applyAlignment="1">
      <alignment horizontal="center" vertical="center" wrapText="1"/>
    </xf>
    <xf numFmtId="0" fontId="16" fillId="34" borderId="0" xfId="0" applyFont="1" applyFill="1" applyAlignment="1">
      <alignment horizontal="center" vertical="center" wrapText="1"/>
    </xf>
    <xf numFmtId="43" fontId="16" fillId="29" borderId="0" xfId="0" applyNumberFormat="1" applyFont="1" applyFill="1" applyAlignment="1">
      <alignment horizontal="center" vertical="center" wrapText="1"/>
    </xf>
    <xf numFmtId="0" fontId="16" fillId="29" borderId="0" xfId="0" applyFont="1" applyFill="1" applyAlignment="1">
      <alignment horizontal="center" vertical="center" wrapText="1"/>
    </xf>
    <xf numFmtId="43" fontId="16" fillId="37" borderId="0" xfId="0" applyNumberFormat="1" applyFont="1" applyFill="1" applyAlignment="1">
      <alignment horizontal="center" vertical="center" wrapText="1"/>
    </xf>
    <xf numFmtId="0" fontId="16" fillId="37" borderId="0" xfId="0" applyFont="1" applyFill="1" applyAlignment="1">
      <alignment horizontal="center" vertical="center" wrapText="1"/>
    </xf>
    <xf numFmtId="43" fontId="16" fillId="38" borderId="0" xfId="0" applyNumberFormat="1" applyFont="1" applyFill="1" applyAlignment="1">
      <alignment horizontal="center" vertical="center" wrapText="1"/>
    </xf>
    <xf numFmtId="0" fontId="16" fillId="38" borderId="0" xfId="0" applyFont="1" applyFill="1" applyAlignment="1">
      <alignment horizontal="center" vertical="center" wrapText="1"/>
    </xf>
    <xf numFmtId="43" fontId="16" fillId="9" borderId="0" xfId="0" applyNumberFormat="1" applyFont="1" applyFill="1" applyAlignment="1">
      <alignment horizontal="center" vertical="center" wrapText="1"/>
    </xf>
    <xf numFmtId="0" fontId="16" fillId="9" borderId="0" xfId="0" applyFont="1" applyFill="1" applyAlignment="1">
      <alignment horizontal="center" vertical="center" wrapText="1"/>
    </xf>
    <xf numFmtId="43" fontId="16" fillId="27" borderId="0" xfId="0" applyNumberFormat="1" applyFont="1" applyFill="1" applyAlignment="1">
      <alignment horizontal="center" vertical="center" wrapText="1"/>
    </xf>
    <xf numFmtId="0" fontId="16" fillId="27" borderId="0" xfId="0" applyFont="1" applyFill="1" applyAlignment="1">
      <alignment horizontal="center" vertical="center" wrapText="1"/>
    </xf>
    <xf numFmtId="43" fontId="16" fillId="36" borderId="0" xfId="0" applyNumberFormat="1" applyFont="1" applyFill="1" applyAlignment="1">
      <alignment horizontal="center" vertical="center" wrapText="1"/>
    </xf>
    <xf numFmtId="0" fontId="16" fillId="36" borderId="0" xfId="0" applyFont="1" applyFill="1" applyAlignment="1">
      <alignment horizontal="center" vertical="center" wrapText="1"/>
    </xf>
    <xf numFmtId="43" fontId="5" fillId="9" borderId="0" xfId="0" applyNumberFormat="1" applyFont="1" applyFill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43" fontId="5" fillId="10" borderId="0" xfId="0" applyNumberFormat="1" applyFont="1" applyFill="1" applyAlignment="1">
      <alignment horizontal="center" vertical="center" wrapText="1"/>
    </xf>
    <xf numFmtId="0" fontId="5" fillId="10" borderId="0" xfId="0" applyFont="1" applyFill="1" applyAlignment="1">
      <alignment horizontal="center" vertical="center" wrapText="1"/>
    </xf>
    <xf numFmtId="43" fontId="5" fillId="11" borderId="0" xfId="0" applyNumberFormat="1" applyFont="1" applyFill="1" applyAlignment="1">
      <alignment horizontal="center" vertical="center" wrapText="1"/>
    </xf>
    <xf numFmtId="0" fontId="5" fillId="11" borderId="0" xfId="0" applyFont="1" applyFill="1" applyAlignment="1">
      <alignment horizontal="center" vertical="center" wrapText="1"/>
    </xf>
    <xf numFmtId="43" fontId="5" fillId="8" borderId="0" xfId="0" applyNumberFormat="1" applyFont="1" applyFill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43" fontId="5" fillId="12" borderId="0" xfId="0" applyNumberFormat="1" applyFont="1" applyFill="1" applyAlignment="1">
      <alignment horizontal="center" vertical="center" wrapText="1"/>
    </xf>
    <xf numFmtId="0" fontId="5" fillId="12" borderId="0" xfId="0" applyFont="1" applyFill="1" applyAlignment="1">
      <alignment horizontal="center" vertical="center" wrapText="1"/>
    </xf>
    <xf numFmtId="43" fontId="5" fillId="13" borderId="0" xfId="0" applyNumberFormat="1" applyFont="1" applyFill="1" applyAlignment="1">
      <alignment horizontal="center" vertical="center" wrapText="1"/>
    </xf>
    <xf numFmtId="0" fontId="5" fillId="13" borderId="0" xfId="0" applyFont="1" applyFill="1" applyAlignment="1">
      <alignment horizontal="center" vertical="center" wrapText="1"/>
    </xf>
    <xf numFmtId="43" fontId="5" fillId="7" borderId="0" xfId="0" applyNumberFormat="1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43" fontId="5" fillId="4" borderId="0" xfId="0" applyNumberFormat="1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43" fontId="5" fillId="6" borderId="0" xfId="0" applyNumberFormat="1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43" fontId="5" fillId="3" borderId="0" xfId="0" applyNumberFormat="1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18" fillId="15" borderId="0" xfId="0" applyFont="1" applyFill="1" applyAlignment="1">
      <alignment horizontal="center" vertical="center"/>
    </xf>
    <xf numFmtId="43" fontId="4" fillId="42" borderId="2" xfId="0" applyNumberFormat="1" applyFont="1" applyFill="1" applyBorder="1" applyAlignment="1">
      <alignment horizontal="center" vertical="center" wrapText="1"/>
    </xf>
    <xf numFmtId="0" fontId="4" fillId="42" borderId="3" xfId="0" applyFont="1" applyFill="1" applyBorder="1" applyAlignment="1">
      <alignment horizontal="center" vertical="center" wrapText="1"/>
    </xf>
    <xf numFmtId="0" fontId="4" fillId="42" borderId="4" xfId="0" applyFont="1" applyFill="1" applyBorder="1" applyAlignment="1">
      <alignment horizontal="center" vertical="center" wrapText="1"/>
    </xf>
    <xf numFmtId="43" fontId="4" fillId="8" borderId="2" xfId="0" applyNumberFormat="1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43" fontId="4" fillId="14" borderId="2" xfId="0" applyNumberFormat="1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0" fontId="11" fillId="9" borderId="22" xfId="0" applyFont="1" applyFill="1" applyBorder="1" applyAlignment="1">
      <alignment horizontal="center" vertical="center"/>
    </xf>
    <xf numFmtId="0" fontId="11" fillId="9" borderId="34" xfId="0" applyFont="1" applyFill="1" applyBorder="1" applyAlignment="1">
      <alignment horizontal="center" vertical="center"/>
    </xf>
    <xf numFmtId="0" fontId="11" fillId="9" borderId="21" xfId="0" applyFont="1" applyFill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49" fontId="5" fillId="9" borderId="2" xfId="1" applyNumberFormat="1" applyFont="1" applyFill="1" applyBorder="1" applyAlignment="1">
      <alignment horizontal="center" vertical="center"/>
    </xf>
    <xf numFmtId="49" fontId="5" fillId="9" borderId="4" xfId="1" applyNumberFormat="1" applyFont="1" applyFill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0" fontId="24" fillId="16" borderId="22" xfId="0" applyFont="1" applyFill="1" applyBorder="1" applyAlignment="1">
      <alignment horizontal="center" vertical="center"/>
    </xf>
    <xf numFmtId="0" fontId="24" fillId="16" borderId="34" xfId="0" applyFont="1" applyFill="1" applyBorder="1" applyAlignment="1">
      <alignment horizontal="center" vertical="center"/>
    </xf>
    <xf numFmtId="0" fontId="24" fillId="16" borderId="21" xfId="0" applyFont="1" applyFill="1" applyBorder="1" applyAlignment="1">
      <alignment horizontal="center" vertical="center"/>
    </xf>
    <xf numFmtId="49" fontId="5" fillId="16" borderId="2" xfId="0" applyNumberFormat="1" applyFont="1" applyFill="1" applyBorder="1" applyAlignment="1">
      <alignment horizontal="center" vertical="center"/>
    </xf>
    <xf numFmtId="49" fontId="5" fillId="16" borderId="4" xfId="0" applyNumberFormat="1" applyFont="1" applyFill="1" applyBorder="1" applyAlignment="1">
      <alignment horizontal="center" vertical="center"/>
    </xf>
    <xf numFmtId="0" fontId="24" fillId="14" borderId="22" xfId="0" applyFont="1" applyFill="1" applyBorder="1" applyAlignment="1">
      <alignment horizontal="center" vertical="center"/>
    </xf>
    <xf numFmtId="0" fontId="24" fillId="14" borderId="34" xfId="0" applyFont="1" applyFill="1" applyBorder="1" applyAlignment="1">
      <alignment horizontal="center" vertical="center"/>
    </xf>
    <xf numFmtId="49" fontId="5" fillId="14" borderId="2" xfId="0" applyNumberFormat="1" applyFont="1" applyFill="1" applyBorder="1" applyAlignment="1">
      <alignment horizontal="center" vertical="center" wrapText="1"/>
    </xf>
    <xf numFmtId="49" fontId="5" fillId="14" borderId="4" xfId="0" applyNumberFormat="1" applyFont="1" applyFill="1" applyBorder="1" applyAlignment="1">
      <alignment horizontal="center" vertical="center" wrapText="1"/>
    </xf>
    <xf numFmtId="49" fontId="5" fillId="14" borderId="3" xfId="0" applyNumberFormat="1" applyFont="1" applyFill="1" applyBorder="1" applyAlignment="1">
      <alignment horizontal="center" vertical="center"/>
    </xf>
    <xf numFmtId="49" fontId="5" fillId="14" borderId="4" xfId="0" applyNumberFormat="1" applyFont="1" applyFill="1" applyBorder="1" applyAlignment="1">
      <alignment horizontal="center" vertical="center"/>
    </xf>
    <xf numFmtId="49" fontId="5" fillId="14" borderId="2" xfId="0" applyNumberFormat="1" applyFont="1" applyFill="1" applyBorder="1" applyAlignment="1">
      <alignment horizontal="center" vertical="center"/>
    </xf>
    <xf numFmtId="0" fontId="24" fillId="2" borderId="14" xfId="0" applyFont="1" applyFill="1" applyBorder="1" applyAlignment="1">
      <alignment horizontal="center" vertical="center"/>
    </xf>
    <xf numFmtId="0" fontId="24" fillId="2" borderId="19" xfId="0" applyFont="1" applyFill="1" applyBorder="1" applyAlignment="1">
      <alignment horizontal="center" vertical="center"/>
    </xf>
    <xf numFmtId="0" fontId="24" fillId="2" borderId="21" xfId="0" applyFont="1" applyFill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  <xf numFmtId="49" fontId="5" fillId="2" borderId="4" xfId="0" applyNumberFormat="1" applyFont="1" applyFill="1" applyBorder="1" applyAlignment="1">
      <alignment horizontal="center" vertical="center"/>
    </xf>
    <xf numFmtId="0" fontId="24" fillId="44" borderId="22" xfId="0" applyFont="1" applyFill="1" applyBorder="1" applyAlignment="1">
      <alignment horizontal="center" vertical="center"/>
    </xf>
    <xf numFmtId="0" fontId="24" fillId="44" borderId="34" xfId="0" applyFont="1" applyFill="1" applyBorder="1" applyAlignment="1">
      <alignment horizontal="center" vertical="center"/>
    </xf>
    <xf numFmtId="0" fontId="24" fillId="44" borderId="21" xfId="0" applyFont="1" applyFill="1" applyBorder="1" applyAlignment="1">
      <alignment horizontal="center" vertical="center"/>
    </xf>
    <xf numFmtId="49" fontId="5" fillId="44" borderId="2" xfId="0" applyNumberFormat="1" applyFont="1" applyFill="1" applyBorder="1" applyAlignment="1">
      <alignment horizontal="center" vertical="center"/>
    </xf>
    <xf numFmtId="49" fontId="5" fillId="44" borderId="4" xfId="0" applyNumberFormat="1" applyFont="1" applyFill="1" applyBorder="1" applyAlignment="1">
      <alignment horizontal="center" vertical="center"/>
    </xf>
    <xf numFmtId="49" fontId="5" fillId="44" borderId="3" xfId="0" applyNumberFormat="1" applyFont="1" applyFill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10" fillId="23" borderId="14" xfId="0" applyFont="1" applyFill="1" applyBorder="1" applyAlignment="1">
      <alignment horizontal="center" vertical="center"/>
    </xf>
    <xf numFmtId="0" fontId="10" fillId="23" borderId="19" xfId="0" applyFont="1" applyFill="1" applyBorder="1" applyAlignment="1">
      <alignment horizontal="center" vertical="center"/>
    </xf>
    <xf numFmtId="0" fontId="10" fillId="23" borderId="7" xfId="0" applyFont="1" applyFill="1" applyBorder="1" applyAlignment="1">
      <alignment horizontal="center" vertical="center"/>
    </xf>
    <xf numFmtId="49" fontId="5" fillId="23" borderId="3" xfId="0" applyNumberFormat="1" applyFont="1" applyFill="1" applyBorder="1" applyAlignment="1">
      <alignment horizontal="center" vertical="center"/>
    </xf>
    <xf numFmtId="49" fontId="5" fillId="23" borderId="4" xfId="0" applyNumberFormat="1" applyFont="1" applyFill="1" applyBorder="1" applyAlignment="1">
      <alignment horizontal="center" vertical="center"/>
    </xf>
    <xf numFmtId="0" fontId="11" fillId="20" borderId="14" xfId="0" applyFont="1" applyFill="1" applyBorder="1" applyAlignment="1">
      <alignment horizontal="center" vertical="center"/>
    </xf>
    <xf numFmtId="0" fontId="11" fillId="20" borderId="19" xfId="0" applyFont="1" applyFill="1" applyBorder="1" applyAlignment="1">
      <alignment horizontal="center" vertical="center"/>
    </xf>
    <xf numFmtId="0" fontId="11" fillId="20" borderId="7" xfId="0" applyFont="1" applyFill="1" applyBorder="1" applyAlignment="1">
      <alignment horizontal="center" vertical="center"/>
    </xf>
    <xf numFmtId="49" fontId="5" fillId="20" borderId="2" xfId="0" applyNumberFormat="1" applyFont="1" applyFill="1" applyBorder="1" applyAlignment="1">
      <alignment horizontal="center" vertical="center"/>
    </xf>
    <xf numFmtId="49" fontId="5" fillId="20" borderId="4" xfId="0" applyNumberFormat="1" applyFont="1" applyFill="1" applyBorder="1" applyAlignment="1">
      <alignment horizontal="center" vertical="center"/>
    </xf>
    <xf numFmtId="0" fontId="11" fillId="21" borderId="14" xfId="0" applyFont="1" applyFill="1" applyBorder="1" applyAlignment="1">
      <alignment horizontal="center" vertical="center"/>
    </xf>
    <xf numFmtId="0" fontId="11" fillId="21" borderId="19" xfId="0" applyFont="1" applyFill="1" applyBorder="1" applyAlignment="1">
      <alignment horizontal="center" vertical="center"/>
    </xf>
    <xf numFmtId="0" fontId="11" fillId="21" borderId="7" xfId="0" applyFont="1" applyFill="1" applyBorder="1" applyAlignment="1">
      <alignment horizontal="center" vertical="center"/>
    </xf>
    <xf numFmtId="49" fontId="5" fillId="21" borderId="2" xfId="0" applyNumberFormat="1" applyFont="1" applyFill="1" applyBorder="1" applyAlignment="1">
      <alignment horizontal="center" vertical="center"/>
    </xf>
    <xf numFmtId="49" fontId="5" fillId="21" borderId="4" xfId="0" applyNumberFormat="1" applyFont="1" applyFill="1" applyBorder="1" applyAlignment="1">
      <alignment horizontal="center" vertical="center"/>
    </xf>
    <xf numFmtId="49" fontId="5" fillId="21" borderId="3" xfId="0" applyNumberFormat="1" applyFont="1" applyFill="1" applyBorder="1" applyAlignment="1">
      <alignment horizontal="center" vertical="center"/>
    </xf>
    <xf numFmtId="49" fontId="7" fillId="9" borderId="23" xfId="1" applyNumberFormat="1" applyFont="1" applyFill="1" applyBorder="1" applyAlignment="1">
      <alignment horizontal="center" vertical="center" wrapText="1"/>
    </xf>
    <xf numFmtId="0" fontId="7" fillId="9" borderId="32" xfId="1" applyNumberFormat="1" applyFont="1" applyFill="1" applyBorder="1" applyAlignment="1">
      <alignment horizontal="center" vertical="center" wrapText="1"/>
    </xf>
    <xf numFmtId="0" fontId="7" fillId="12" borderId="34" xfId="1" applyNumberFormat="1" applyFont="1" applyFill="1" applyBorder="1" applyAlignment="1">
      <alignment horizontal="center" vertical="center" wrapText="1"/>
    </xf>
    <xf numFmtId="0" fontId="7" fillId="12" borderId="21" xfId="1" applyNumberFormat="1" applyFont="1" applyFill="1" applyBorder="1" applyAlignment="1">
      <alignment horizontal="center" vertical="center" wrapText="1"/>
    </xf>
    <xf numFmtId="0" fontId="7" fillId="6" borderId="34" xfId="1" applyNumberFormat="1" applyFont="1" applyFill="1" applyBorder="1" applyAlignment="1">
      <alignment horizontal="center" vertical="center" wrapText="1"/>
    </xf>
    <xf numFmtId="0" fontId="7" fillId="6" borderId="21" xfId="1" applyNumberFormat="1" applyFont="1" applyFill="1" applyBorder="1" applyAlignment="1">
      <alignment horizontal="center" vertical="center" wrapText="1"/>
    </xf>
    <xf numFmtId="43" fontId="7" fillId="0" borderId="0" xfId="1" applyFont="1" applyFill="1" applyBorder="1" applyAlignment="1">
      <alignment horizontal="center" vertical="center"/>
    </xf>
    <xf numFmtId="0" fontId="7" fillId="2" borderId="34" xfId="1" applyNumberFormat="1" applyFont="1" applyFill="1" applyBorder="1" applyAlignment="1">
      <alignment horizontal="center" vertical="center" wrapText="1"/>
    </xf>
    <xf numFmtId="0" fontId="7" fillId="2" borderId="21" xfId="1" applyNumberFormat="1" applyFont="1" applyFill="1" applyBorder="1" applyAlignment="1">
      <alignment horizontal="center" vertical="center" wrapText="1"/>
    </xf>
    <xf numFmtId="0" fontId="7" fillId="22" borderId="34" xfId="1" applyNumberFormat="1" applyFont="1" applyFill="1" applyBorder="1" applyAlignment="1">
      <alignment horizontal="center" vertical="center" wrapText="1"/>
    </xf>
    <xf numFmtId="0" fontId="7" fillId="22" borderId="21" xfId="1" applyNumberFormat="1" applyFont="1" applyFill="1" applyBorder="1" applyAlignment="1">
      <alignment horizontal="center" vertical="center" wrapText="1"/>
    </xf>
    <xf numFmtId="0" fontId="7" fillId="26" borderId="34" xfId="1" applyNumberFormat="1" applyFont="1" applyFill="1" applyBorder="1" applyAlignment="1">
      <alignment horizontal="center" vertical="center" wrapText="1"/>
    </xf>
    <xf numFmtId="0" fontId="7" fillId="26" borderId="21" xfId="1" applyNumberFormat="1" applyFont="1" applyFill="1" applyBorder="1" applyAlignment="1">
      <alignment horizontal="center" vertical="center" wrapText="1"/>
    </xf>
    <xf numFmtId="43" fontId="10" fillId="0" borderId="0" xfId="1" applyFont="1" applyFill="1" applyBorder="1" applyAlignment="1">
      <alignment horizontal="center" vertical="center"/>
    </xf>
    <xf numFmtId="0" fontId="7" fillId="2" borderId="0" xfId="1" applyNumberFormat="1" applyFont="1" applyFill="1" applyBorder="1" applyAlignment="1">
      <alignment horizontal="center" vertical="center" wrapText="1"/>
    </xf>
    <xf numFmtId="0" fontId="7" fillId="2" borderId="20" xfId="1" applyNumberFormat="1" applyFont="1" applyFill="1" applyBorder="1" applyAlignment="1">
      <alignment horizontal="center" vertical="center" wrapText="1"/>
    </xf>
    <xf numFmtId="49" fontId="10" fillId="0" borderId="14" xfId="1" applyNumberFormat="1" applyFont="1" applyFill="1" applyBorder="1" applyAlignment="1">
      <alignment horizontal="center" vertical="center"/>
    </xf>
    <xf numFmtId="49" fontId="10" fillId="0" borderId="19" xfId="1" applyNumberFormat="1" applyFont="1" applyFill="1" applyBorder="1" applyAlignment="1">
      <alignment horizontal="center" vertical="center"/>
    </xf>
    <xf numFmtId="49" fontId="10" fillId="0" borderId="7" xfId="1" applyNumberFormat="1" applyFont="1" applyFill="1" applyBorder="1" applyAlignment="1">
      <alignment horizontal="center" vertical="center"/>
    </xf>
    <xf numFmtId="0" fontId="7" fillId="16" borderId="14" xfId="1" applyNumberFormat="1" applyFont="1" applyFill="1" applyBorder="1" applyAlignment="1">
      <alignment horizontal="center" vertical="center" wrapText="1"/>
    </xf>
    <xf numFmtId="0" fontId="7" fillId="16" borderId="7" xfId="1" applyNumberFormat="1" applyFont="1" applyFill="1" applyBorder="1" applyAlignment="1">
      <alignment horizontal="center" vertical="center" wrapText="1"/>
    </xf>
    <xf numFmtId="0" fontId="7" fillId="14" borderId="14" xfId="1" applyNumberFormat="1" applyFont="1" applyFill="1" applyBorder="1" applyAlignment="1">
      <alignment horizontal="center" vertical="center" wrapText="1"/>
    </xf>
    <xf numFmtId="0" fontId="7" fillId="14" borderId="7" xfId="1" applyNumberFormat="1" applyFont="1" applyFill="1" applyBorder="1" applyAlignment="1">
      <alignment horizontal="center" vertical="center" wrapText="1"/>
    </xf>
    <xf numFmtId="0" fontId="7" fillId="14" borderId="22" xfId="1" applyNumberFormat="1" applyFont="1" applyFill="1" applyBorder="1" applyAlignment="1">
      <alignment horizontal="center" vertical="center" wrapText="1"/>
    </xf>
    <xf numFmtId="0" fontId="7" fillId="14" borderId="21" xfId="1" applyNumberFormat="1" applyFont="1" applyFill="1" applyBorder="1" applyAlignment="1">
      <alignment horizontal="center" vertical="center" wrapText="1"/>
    </xf>
    <xf numFmtId="0" fontId="7" fillId="9" borderId="23" xfId="1" applyNumberFormat="1" applyFont="1" applyFill="1" applyBorder="1" applyAlignment="1">
      <alignment horizontal="center" vertical="center" wrapText="1"/>
    </xf>
    <xf numFmtId="0" fontId="7" fillId="9" borderId="22" xfId="1" applyNumberFormat="1" applyFont="1" applyFill="1" applyBorder="1" applyAlignment="1">
      <alignment horizontal="center" vertical="center" wrapText="1"/>
    </xf>
    <xf numFmtId="0" fontId="7" fillId="9" borderId="21" xfId="1" applyNumberFormat="1" applyFont="1" applyFill="1" applyBorder="1" applyAlignment="1">
      <alignment horizontal="center" vertical="center" wrapText="1"/>
    </xf>
    <xf numFmtId="0" fontId="7" fillId="9" borderId="14" xfId="1" applyNumberFormat="1" applyFont="1" applyFill="1" applyBorder="1" applyAlignment="1">
      <alignment horizontal="center" vertical="center" wrapText="1"/>
    </xf>
    <xf numFmtId="0" fontId="7" fillId="9" borderId="7" xfId="1" applyNumberFormat="1" applyFont="1" applyFill="1" applyBorder="1" applyAlignment="1">
      <alignment horizontal="center" vertical="center" wrapText="1"/>
    </xf>
    <xf numFmtId="0" fontId="7" fillId="16" borderId="22" xfId="1" applyNumberFormat="1" applyFont="1" applyFill="1" applyBorder="1" applyAlignment="1">
      <alignment horizontal="center" vertical="center" wrapText="1"/>
    </xf>
    <xf numFmtId="0" fontId="7" fillId="16" borderId="21" xfId="1" applyNumberFormat="1" applyFont="1" applyFill="1" applyBorder="1" applyAlignment="1">
      <alignment horizontal="center" vertical="center" wrapText="1"/>
    </xf>
    <xf numFmtId="49" fontId="7" fillId="16" borderId="14" xfId="1" applyNumberFormat="1" applyFont="1" applyFill="1" applyBorder="1" applyAlignment="1">
      <alignment horizontal="center" vertical="center" wrapText="1"/>
    </xf>
    <xf numFmtId="49" fontId="7" fillId="16" borderId="23" xfId="1" applyNumberFormat="1" applyFont="1" applyFill="1" applyBorder="1" applyAlignment="1">
      <alignment horizontal="center" vertical="center" wrapText="1"/>
    </xf>
    <xf numFmtId="0" fontId="7" fillId="16" borderId="32" xfId="1" applyNumberFormat="1" applyFont="1" applyFill="1" applyBorder="1" applyAlignment="1">
      <alignment horizontal="center" vertical="center" wrapText="1"/>
    </xf>
    <xf numFmtId="0" fontId="6" fillId="0" borderId="20" xfId="0" applyFont="1" applyBorder="1" applyAlignment="1">
      <alignment horizontal="center" wrapText="1"/>
    </xf>
    <xf numFmtId="0" fontId="13" fillId="9" borderId="22" xfId="0" applyFont="1" applyFill="1" applyBorder="1" applyAlignment="1">
      <alignment horizontal="center" wrapText="1"/>
    </xf>
    <xf numFmtId="0" fontId="13" fillId="9" borderId="24" xfId="0" applyFont="1" applyFill="1" applyBorder="1" applyAlignment="1">
      <alignment horizontal="center" wrapText="1"/>
    </xf>
    <xf numFmtId="0" fontId="13" fillId="9" borderId="23" xfId="0" applyFont="1" applyFill="1" applyBorder="1" applyAlignment="1">
      <alignment horizontal="center" wrapText="1"/>
    </xf>
    <xf numFmtId="0" fontId="13" fillId="16" borderId="22" xfId="0" applyFont="1" applyFill="1" applyBorder="1" applyAlignment="1">
      <alignment horizontal="center" wrapText="1"/>
    </xf>
    <xf numFmtId="0" fontId="13" fillId="16" borderId="24" xfId="0" applyFont="1" applyFill="1" applyBorder="1" applyAlignment="1">
      <alignment horizontal="center" wrapText="1"/>
    </xf>
    <xf numFmtId="0" fontId="13" fillId="16" borderId="23" xfId="0" applyFont="1" applyFill="1" applyBorder="1" applyAlignment="1">
      <alignment horizontal="center" wrapText="1"/>
    </xf>
    <xf numFmtId="0" fontId="13" fillId="14" borderId="22" xfId="0" applyFont="1" applyFill="1" applyBorder="1" applyAlignment="1">
      <alignment horizontal="center" wrapText="1"/>
    </xf>
    <xf numFmtId="0" fontId="13" fillId="14" borderId="24" xfId="0" applyFont="1" applyFill="1" applyBorder="1" applyAlignment="1">
      <alignment horizontal="center" wrapText="1"/>
    </xf>
    <xf numFmtId="0" fontId="13" fillId="14" borderId="23" xfId="0" applyFont="1" applyFill="1" applyBorder="1" applyAlignment="1">
      <alignment horizontal="center" wrapText="1"/>
    </xf>
    <xf numFmtId="0" fontId="13" fillId="2" borderId="22" xfId="0" applyFont="1" applyFill="1" applyBorder="1" applyAlignment="1">
      <alignment horizontal="center" wrapText="1"/>
    </xf>
    <xf numFmtId="0" fontId="13" fillId="2" borderId="24" xfId="0" applyFont="1" applyFill="1" applyBorder="1" applyAlignment="1">
      <alignment horizontal="center" wrapText="1"/>
    </xf>
    <xf numFmtId="0" fontId="13" fillId="2" borderId="23" xfId="0" applyFont="1" applyFill="1" applyBorder="1" applyAlignment="1">
      <alignment horizontal="center" wrapText="1"/>
    </xf>
    <xf numFmtId="0" fontId="7" fillId="14" borderId="23" xfId="1" applyNumberFormat="1" applyFont="1" applyFill="1" applyBorder="1" applyAlignment="1">
      <alignment horizontal="center" vertical="center" wrapText="1"/>
    </xf>
    <xf numFmtId="0" fontId="7" fillId="14" borderId="32" xfId="1" applyNumberFormat="1" applyFont="1" applyFill="1" applyBorder="1" applyAlignment="1">
      <alignment horizontal="center" vertical="center" wrapText="1"/>
    </xf>
    <xf numFmtId="0" fontId="13" fillId="25" borderId="22" xfId="0" applyFont="1" applyFill="1" applyBorder="1" applyAlignment="1">
      <alignment horizontal="center" wrapText="1"/>
    </xf>
    <xf numFmtId="0" fontId="13" fillId="25" borderId="24" xfId="0" applyFont="1" applyFill="1" applyBorder="1" applyAlignment="1">
      <alignment horizontal="center" wrapText="1"/>
    </xf>
    <xf numFmtId="0" fontId="13" fillId="25" borderId="23" xfId="0" applyFont="1" applyFill="1" applyBorder="1" applyAlignment="1">
      <alignment horizontal="center" wrapText="1"/>
    </xf>
    <xf numFmtId="0" fontId="13" fillId="23" borderId="22" xfId="0" applyFont="1" applyFill="1" applyBorder="1" applyAlignment="1">
      <alignment horizontal="center" wrapText="1"/>
    </xf>
    <xf numFmtId="0" fontId="13" fillId="23" borderId="24" xfId="0" applyFont="1" applyFill="1" applyBorder="1" applyAlignment="1">
      <alignment horizontal="center" wrapText="1"/>
    </xf>
    <xf numFmtId="0" fontId="13" fillId="23" borderId="23" xfId="0" applyFont="1" applyFill="1" applyBorder="1" applyAlignment="1">
      <alignment horizontal="center" wrapText="1"/>
    </xf>
    <xf numFmtId="0" fontId="13" fillId="20" borderId="22" xfId="0" applyFont="1" applyFill="1" applyBorder="1" applyAlignment="1">
      <alignment horizontal="center" wrapText="1"/>
    </xf>
    <xf numFmtId="0" fontId="13" fillId="20" borderId="24" xfId="0" applyFont="1" applyFill="1" applyBorder="1" applyAlignment="1">
      <alignment horizontal="center" wrapText="1"/>
    </xf>
    <xf numFmtId="0" fontId="13" fillId="20" borderId="23" xfId="0" applyFont="1" applyFill="1" applyBorder="1" applyAlignment="1">
      <alignment horizontal="center" wrapText="1"/>
    </xf>
    <xf numFmtId="0" fontId="13" fillId="21" borderId="22" xfId="0" applyFont="1" applyFill="1" applyBorder="1" applyAlignment="1">
      <alignment horizontal="center" wrapText="1"/>
    </xf>
    <xf numFmtId="0" fontId="13" fillId="21" borderId="24" xfId="0" applyFont="1" applyFill="1" applyBorder="1" applyAlignment="1">
      <alignment horizontal="center" wrapText="1"/>
    </xf>
    <xf numFmtId="0" fontId="13" fillId="21" borderId="23" xfId="0" applyFont="1" applyFill="1" applyBorder="1" applyAlignment="1">
      <alignment horizontal="center" wrapText="1"/>
    </xf>
    <xf numFmtId="0" fontId="7" fillId="22" borderId="0" xfId="1" applyNumberFormat="1" applyFont="1" applyFill="1" applyBorder="1" applyAlignment="1">
      <alignment horizontal="center" vertical="center" wrapText="1"/>
    </xf>
    <xf numFmtId="0" fontId="7" fillId="22" borderId="20" xfId="1" applyNumberFormat="1" applyFont="1" applyFill="1" applyBorder="1" applyAlignment="1">
      <alignment horizontal="center" vertical="center" wrapText="1"/>
    </xf>
    <xf numFmtId="0" fontId="0" fillId="0" borderId="21" xfId="0" applyBorder="1" applyAlignment="1">
      <alignment wrapText="1"/>
    </xf>
    <xf numFmtId="49" fontId="13" fillId="9" borderId="24" xfId="1" applyNumberFormat="1" applyFont="1" applyFill="1" applyBorder="1" applyAlignment="1">
      <alignment horizontal="center" vertical="center"/>
    </xf>
    <xf numFmtId="49" fontId="13" fillId="9" borderId="23" xfId="1" applyNumberFormat="1" applyFont="1" applyFill="1" applyBorder="1" applyAlignment="1">
      <alignment horizontal="center" vertical="center"/>
    </xf>
    <xf numFmtId="49" fontId="13" fillId="9" borderId="0" xfId="1" applyNumberFormat="1" applyFont="1" applyFill="1" applyBorder="1" applyAlignment="1">
      <alignment horizontal="center" vertical="center"/>
    </xf>
    <xf numFmtId="49" fontId="13" fillId="9" borderId="35" xfId="1" applyNumberFormat="1" applyFont="1" applyFill="1" applyBorder="1" applyAlignment="1">
      <alignment horizontal="center" vertical="center"/>
    </xf>
    <xf numFmtId="49" fontId="13" fillId="9" borderId="20" xfId="1" applyNumberFormat="1" applyFont="1" applyFill="1" applyBorder="1" applyAlignment="1">
      <alignment horizontal="center" vertical="center"/>
    </xf>
    <xf numFmtId="49" fontId="13" fillId="9" borderId="32" xfId="1" applyNumberFormat="1" applyFont="1" applyFill="1" applyBorder="1" applyAlignment="1">
      <alignment horizontal="center" vertical="center"/>
    </xf>
    <xf numFmtId="49" fontId="13" fillId="16" borderId="22" xfId="1" applyNumberFormat="1" applyFont="1" applyFill="1" applyBorder="1" applyAlignment="1">
      <alignment horizontal="center" vertical="center"/>
    </xf>
    <xf numFmtId="49" fontId="13" fillId="16" borderId="24" xfId="1" applyNumberFormat="1" applyFont="1" applyFill="1" applyBorder="1" applyAlignment="1">
      <alignment horizontal="center" vertical="center"/>
    </xf>
    <xf numFmtId="49" fontId="13" fillId="16" borderId="23" xfId="1" applyNumberFormat="1" applyFont="1" applyFill="1" applyBorder="1" applyAlignment="1">
      <alignment horizontal="center" vertical="center"/>
    </xf>
    <xf numFmtId="49" fontId="13" fillId="16" borderId="34" xfId="1" applyNumberFormat="1" applyFont="1" applyFill="1" applyBorder="1" applyAlignment="1">
      <alignment horizontal="center" vertical="center"/>
    </xf>
    <xf numFmtId="49" fontId="13" fillId="16" borderId="0" xfId="1" applyNumberFormat="1" applyFont="1" applyFill="1" applyBorder="1" applyAlignment="1">
      <alignment horizontal="center" vertical="center"/>
    </xf>
    <xf numFmtId="49" fontId="13" fillId="16" borderId="35" xfId="1" applyNumberFormat="1" applyFont="1" applyFill="1" applyBorder="1" applyAlignment="1">
      <alignment horizontal="center" vertical="center"/>
    </xf>
    <xf numFmtId="49" fontId="13" fillId="16" borderId="21" xfId="1" applyNumberFormat="1" applyFont="1" applyFill="1" applyBorder="1" applyAlignment="1">
      <alignment horizontal="center" vertical="center"/>
    </xf>
    <xf numFmtId="49" fontId="13" fillId="16" borderId="20" xfId="1" applyNumberFormat="1" applyFont="1" applyFill="1" applyBorder="1" applyAlignment="1">
      <alignment horizontal="center" vertical="center"/>
    </xf>
    <xf numFmtId="49" fontId="13" fillId="16" borderId="32" xfId="1" applyNumberFormat="1" applyFont="1" applyFill="1" applyBorder="1" applyAlignment="1">
      <alignment horizontal="center" vertical="center"/>
    </xf>
    <xf numFmtId="49" fontId="13" fillId="14" borderId="22" xfId="1" applyNumberFormat="1" applyFont="1" applyFill="1" applyBorder="1" applyAlignment="1">
      <alignment horizontal="center" vertical="center"/>
    </xf>
    <xf numFmtId="49" fontId="13" fillId="14" borderId="24" xfId="1" applyNumberFormat="1" applyFont="1" applyFill="1" applyBorder="1" applyAlignment="1">
      <alignment horizontal="center" vertical="center"/>
    </xf>
    <xf numFmtId="49" fontId="13" fillId="14" borderId="23" xfId="1" applyNumberFormat="1" applyFont="1" applyFill="1" applyBorder="1" applyAlignment="1">
      <alignment horizontal="center" vertical="center"/>
    </xf>
    <xf numFmtId="49" fontId="13" fillId="14" borderId="34" xfId="1" applyNumberFormat="1" applyFont="1" applyFill="1" applyBorder="1" applyAlignment="1">
      <alignment horizontal="center" vertical="center"/>
    </xf>
    <xf numFmtId="49" fontId="13" fillId="14" borderId="0" xfId="1" applyNumberFormat="1" applyFont="1" applyFill="1" applyBorder="1" applyAlignment="1">
      <alignment horizontal="center" vertical="center"/>
    </xf>
    <xf numFmtId="49" fontId="13" fillId="14" borderId="35" xfId="1" applyNumberFormat="1" applyFont="1" applyFill="1" applyBorder="1" applyAlignment="1">
      <alignment horizontal="center" vertical="center"/>
    </xf>
    <xf numFmtId="49" fontId="13" fillId="14" borderId="21" xfId="1" applyNumberFormat="1" applyFont="1" applyFill="1" applyBorder="1" applyAlignment="1">
      <alignment horizontal="center" vertical="center"/>
    </xf>
    <xf numFmtId="49" fontId="13" fillId="14" borderId="20" xfId="1" applyNumberFormat="1" applyFont="1" applyFill="1" applyBorder="1" applyAlignment="1">
      <alignment horizontal="center" vertical="center"/>
    </xf>
    <xf numFmtId="49" fontId="13" fillId="14" borderId="32" xfId="1" applyNumberFormat="1" applyFont="1" applyFill="1" applyBorder="1" applyAlignment="1">
      <alignment horizontal="center" vertical="center"/>
    </xf>
    <xf numFmtId="49" fontId="13" fillId="2" borderId="22" xfId="1" applyNumberFormat="1" applyFont="1" applyFill="1" applyBorder="1" applyAlignment="1">
      <alignment horizontal="center" vertical="center"/>
    </xf>
    <xf numFmtId="49" fontId="13" fillId="2" borderId="24" xfId="1" applyNumberFormat="1" applyFont="1" applyFill="1" applyBorder="1" applyAlignment="1">
      <alignment horizontal="center" vertical="center"/>
    </xf>
    <xf numFmtId="49" fontId="13" fillId="2" borderId="23" xfId="1" applyNumberFormat="1" applyFont="1" applyFill="1" applyBorder="1" applyAlignment="1">
      <alignment horizontal="center" vertical="center"/>
    </xf>
    <xf numFmtId="49" fontId="13" fillId="2" borderId="34" xfId="1" applyNumberFormat="1" applyFont="1" applyFill="1" applyBorder="1" applyAlignment="1">
      <alignment horizontal="center" vertical="center"/>
    </xf>
    <xf numFmtId="49" fontId="13" fillId="2" borderId="0" xfId="1" applyNumberFormat="1" applyFont="1" applyFill="1" applyBorder="1" applyAlignment="1">
      <alignment horizontal="center" vertical="center"/>
    </xf>
    <xf numFmtId="49" fontId="13" fillId="2" borderId="35" xfId="1" applyNumberFormat="1" applyFont="1" applyFill="1" applyBorder="1" applyAlignment="1">
      <alignment horizontal="center" vertical="center"/>
    </xf>
    <xf numFmtId="49" fontId="13" fillId="2" borderId="21" xfId="1" applyNumberFormat="1" applyFont="1" applyFill="1" applyBorder="1" applyAlignment="1">
      <alignment horizontal="center" vertical="center"/>
    </xf>
    <xf numFmtId="49" fontId="13" fillId="2" borderId="20" xfId="1" applyNumberFormat="1" applyFont="1" applyFill="1" applyBorder="1" applyAlignment="1">
      <alignment horizontal="center" vertical="center"/>
    </xf>
    <xf numFmtId="49" fontId="13" fillId="2" borderId="32" xfId="1" applyNumberFormat="1" applyFont="1" applyFill="1" applyBorder="1" applyAlignment="1">
      <alignment horizontal="center" vertical="center"/>
    </xf>
    <xf numFmtId="49" fontId="13" fillId="25" borderId="22" xfId="1" applyNumberFormat="1" applyFont="1" applyFill="1" applyBorder="1" applyAlignment="1">
      <alignment horizontal="center" vertical="center"/>
    </xf>
    <xf numFmtId="49" fontId="13" fillId="25" borderId="24" xfId="1" applyNumberFormat="1" applyFont="1" applyFill="1" applyBorder="1" applyAlignment="1">
      <alignment horizontal="center" vertical="center"/>
    </xf>
    <xf numFmtId="49" fontId="13" fillId="25" borderId="23" xfId="1" applyNumberFormat="1" applyFont="1" applyFill="1" applyBorder="1" applyAlignment="1">
      <alignment horizontal="center" vertical="center"/>
    </xf>
    <xf numFmtId="49" fontId="13" fillId="25" borderId="34" xfId="1" applyNumberFormat="1" applyFont="1" applyFill="1" applyBorder="1" applyAlignment="1">
      <alignment horizontal="center" vertical="center"/>
    </xf>
    <xf numFmtId="49" fontId="13" fillId="25" borderId="0" xfId="1" applyNumberFormat="1" applyFont="1" applyFill="1" applyBorder="1" applyAlignment="1">
      <alignment horizontal="center" vertical="center"/>
    </xf>
    <xf numFmtId="49" fontId="13" fillId="25" borderId="35" xfId="1" applyNumberFormat="1" applyFont="1" applyFill="1" applyBorder="1" applyAlignment="1">
      <alignment horizontal="center" vertical="center"/>
    </xf>
    <xf numFmtId="49" fontId="13" fillId="25" borderId="21" xfId="1" applyNumberFormat="1" applyFont="1" applyFill="1" applyBorder="1" applyAlignment="1">
      <alignment horizontal="center" vertical="center"/>
    </xf>
    <xf numFmtId="49" fontId="13" fillId="25" borderId="20" xfId="1" applyNumberFormat="1" applyFont="1" applyFill="1" applyBorder="1" applyAlignment="1">
      <alignment horizontal="center" vertical="center"/>
    </xf>
    <xf numFmtId="49" fontId="13" fillId="25" borderId="32" xfId="1" applyNumberFormat="1" applyFont="1" applyFill="1" applyBorder="1" applyAlignment="1">
      <alignment horizontal="center" vertical="center"/>
    </xf>
    <xf numFmtId="49" fontId="13" fillId="23" borderId="22" xfId="1" applyNumberFormat="1" applyFont="1" applyFill="1" applyBorder="1" applyAlignment="1">
      <alignment horizontal="center" vertical="center"/>
    </xf>
    <xf numFmtId="49" fontId="13" fillId="23" borderId="24" xfId="1" applyNumberFormat="1" applyFont="1" applyFill="1" applyBorder="1" applyAlignment="1">
      <alignment horizontal="center" vertical="center"/>
    </xf>
    <xf numFmtId="49" fontId="13" fillId="23" borderId="23" xfId="1" applyNumberFormat="1" applyFont="1" applyFill="1" applyBorder="1" applyAlignment="1">
      <alignment horizontal="center" vertical="center"/>
    </xf>
    <xf numFmtId="49" fontId="13" fillId="23" borderId="34" xfId="1" applyNumberFormat="1" applyFont="1" applyFill="1" applyBorder="1" applyAlignment="1">
      <alignment horizontal="center" vertical="center"/>
    </xf>
    <xf numFmtId="49" fontId="13" fillId="23" borderId="0" xfId="1" applyNumberFormat="1" applyFont="1" applyFill="1" applyBorder="1" applyAlignment="1">
      <alignment horizontal="center" vertical="center"/>
    </xf>
    <xf numFmtId="49" fontId="13" fillId="23" borderId="35" xfId="1" applyNumberFormat="1" applyFont="1" applyFill="1" applyBorder="1" applyAlignment="1">
      <alignment horizontal="center" vertical="center"/>
    </xf>
    <xf numFmtId="49" fontId="13" fillId="23" borderId="21" xfId="1" applyNumberFormat="1" applyFont="1" applyFill="1" applyBorder="1" applyAlignment="1">
      <alignment horizontal="center" vertical="center"/>
    </xf>
    <xf numFmtId="49" fontId="13" fillId="23" borderId="20" xfId="1" applyNumberFormat="1" applyFont="1" applyFill="1" applyBorder="1" applyAlignment="1">
      <alignment horizontal="center" vertical="center"/>
    </xf>
    <xf numFmtId="49" fontId="13" fillId="23" borderId="32" xfId="1" applyNumberFormat="1" applyFont="1" applyFill="1" applyBorder="1" applyAlignment="1">
      <alignment horizontal="center" vertical="center"/>
    </xf>
    <xf numFmtId="49" fontId="13" fillId="20" borderId="22" xfId="1" applyNumberFormat="1" applyFont="1" applyFill="1" applyBorder="1" applyAlignment="1">
      <alignment horizontal="center" vertical="center"/>
    </xf>
    <xf numFmtId="49" fontId="13" fillId="20" borderId="24" xfId="1" applyNumberFormat="1" applyFont="1" applyFill="1" applyBorder="1" applyAlignment="1">
      <alignment horizontal="center" vertical="center"/>
    </xf>
    <xf numFmtId="49" fontId="13" fillId="20" borderId="23" xfId="1" applyNumberFormat="1" applyFont="1" applyFill="1" applyBorder="1" applyAlignment="1">
      <alignment horizontal="center" vertical="center"/>
    </xf>
    <xf numFmtId="49" fontId="13" fillId="20" borderId="34" xfId="1" applyNumberFormat="1" applyFont="1" applyFill="1" applyBorder="1" applyAlignment="1">
      <alignment horizontal="center" vertical="center"/>
    </xf>
    <xf numFmtId="49" fontId="13" fillId="20" borderId="0" xfId="1" applyNumberFormat="1" applyFont="1" applyFill="1" applyBorder="1" applyAlignment="1">
      <alignment horizontal="center" vertical="center"/>
    </xf>
    <xf numFmtId="49" fontId="13" fillId="20" borderId="35" xfId="1" applyNumberFormat="1" applyFont="1" applyFill="1" applyBorder="1" applyAlignment="1">
      <alignment horizontal="center" vertical="center"/>
    </xf>
    <xf numFmtId="49" fontId="13" fillId="20" borderId="21" xfId="1" applyNumberFormat="1" applyFont="1" applyFill="1" applyBorder="1" applyAlignment="1">
      <alignment horizontal="center" vertical="center"/>
    </xf>
    <xf numFmtId="49" fontId="13" fillId="20" borderId="20" xfId="1" applyNumberFormat="1" applyFont="1" applyFill="1" applyBorder="1" applyAlignment="1">
      <alignment horizontal="center" vertical="center"/>
    </xf>
    <xf numFmtId="49" fontId="13" fillId="20" borderId="32" xfId="1" applyNumberFormat="1" applyFont="1" applyFill="1" applyBorder="1" applyAlignment="1">
      <alignment horizontal="center" vertical="center"/>
    </xf>
    <xf numFmtId="49" fontId="13" fillId="21" borderId="22" xfId="1" applyNumberFormat="1" applyFont="1" applyFill="1" applyBorder="1" applyAlignment="1">
      <alignment horizontal="center" vertical="center"/>
    </xf>
    <xf numFmtId="49" fontId="13" fillId="21" borderId="24" xfId="1" applyNumberFormat="1" applyFont="1" applyFill="1" applyBorder="1" applyAlignment="1">
      <alignment horizontal="center" vertical="center"/>
    </xf>
    <xf numFmtId="49" fontId="13" fillId="21" borderId="23" xfId="1" applyNumberFormat="1" applyFont="1" applyFill="1" applyBorder="1" applyAlignment="1">
      <alignment horizontal="center" vertical="center"/>
    </xf>
    <xf numFmtId="49" fontId="13" fillId="21" borderId="34" xfId="1" applyNumberFormat="1" applyFont="1" applyFill="1" applyBorder="1" applyAlignment="1">
      <alignment horizontal="center" vertical="center"/>
    </xf>
    <xf numFmtId="49" fontId="13" fillId="21" borderId="0" xfId="1" applyNumberFormat="1" applyFont="1" applyFill="1" applyBorder="1" applyAlignment="1">
      <alignment horizontal="center" vertical="center"/>
    </xf>
    <xf numFmtId="49" fontId="13" fillId="21" borderId="35" xfId="1" applyNumberFormat="1" applyFont="1" applyFill="1" applyBorder="1" applyAlignment="1">
      <alignment horizontal="center" vertical="center"/>
    </xf>
    <xf numFmtId="49" fontId="13" fillId="21" borderId="21" xfId="1" applyNumberFormat="1" applyFont="1" applyFill="1" applyBorder="1" applyAlignment="1">
      <alignment horizontal="center" vertical="center"/>
    </xf>
    <xf numFmtId="49" fontId="13" fillId="21" borderId="20" xfId="1" applyNumberFormat="1" applyFont="1" applyFill="1" applyBorder="1" applyAlignment="1">
      <alignment horizontal="center" vertical="center"/>
    </xf>
    <xf numFmtId="49" fontId="13" fillId="21" borderId="32" xfId="1" applyNumberFormat="1" applyFont="1" applyFill="1" applyBorder="1" applyAlignment="1">
      <alignment horizontal="center" vertical="center"/>
    </xf>
    <xf numFmtId="0" fontId="7" fillId="12" borderId="0" xfId="1" applyNumberFormat="1" applyFont="1" applyFill="1" applyBorder="1" applyAlignment="1">
      <alignment horizontal="center" vertical="center" wrapText="1"/>
    </xf>
    <xf numFmtId="0" fontId="7" fillId="12" borderId="20" xfId="1" applyNumberFormat="1" applyFont="1" applyFill="1" applyBorder="1" applyAlignment="1">
      <alignment horizontal="center" vertical="center" wrapText="1"/>
    </xf>
    <xf numFmtId="0" fontId="7" fillId="6" borderId="0" xfId="1" applyNumberFormat="1" applyFont="1" applyFill="1" applyBorder="1" applyAlignment="1">
      <alignment horizontal="center" vertical="center" wrapText="1"/>
    </xf>
    <xf numFmtId="0" fontId="7" fillId="6" borderId="20" xfId="1" applyNumberFormat="1" applyFont="1" applyFill="1" applyBorder="1" applyAlignment="1">
      <alignment horizontal="center" vertical="center" wrapText="1"/>
    </xf>
    <xf numFmtId="0" fontId="7" fillId="26" borderId="0" xfId="1" applyNumberFormat="1" applyFont="1" applyFill="1" applyBorder="1" applyAlignment="1">
      <alignment horizontal="center" vertical="center" wrapText="1"/>
    </xf>
    <xf numFmtId="0" fontId="7" fillId="26" borderId="20" xfId="1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43" fontId="1" fillId="0" borderId="28" xfId="1" applyFont="1" applyBorder="1" applyAlignment="1">
      <alignment horizontal="right" vertical="center"/>
    </xf>
    <xf numFmtId="43" fontId="1" fillId="0" borderId="5" xfId="1" applyFont="1" applyBorder="1" applyAlignment="1">
      <alignment horizontal="center"/>
    </xf>
  </cellXfs>
  <cellStyles count="3">
    <cellStyle name="Comma" xfId="1" builtinId="3"/>
    <cellStyle name="Comma 2" xfId="2" xr:uid="{00000000-0005-0000-0000-000001000000}"/>
    <cellStyle name="Normal" xfId="0" builtinId="0"/>
  </cellStyles>
  <dxfs count="0"/>
  <tableStyles count="0" defaultTableStyle="TableStyleMedium9" defaultPivotStyle="PivotStyleLight16"/>
  <colors>
    <mruColors>
      <color rgb="FFFFDE75"/>
      <color rgb="FFFDF4B1"/>
      <color rgb="FFFFF39B"/>
      <color rgb="FFE86EA2"/>
      <color rgb="FFFFFF99"/>
      <color rgb="FF98A4FA"/>
      <color rgb="FFF1A5C6"/>
      <color rgb="FFC35855"/>
      <color rgb="FF7786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68"/>
  <sheetViews>
    <sheetView topLeftCell="A404" zoomScale="80" zoomScaleNormal="80" workbookViewId="0">
      <pane xSplit="1" topLeftCell="B95" activePane="topRight" state="frozen"/>
      <selection pane="topRight" activeCell="D3" sqref="D3:E3"/>
    </sheetView>
  </sheetViews>
  <sheetFormatPr defaultColWidth="9.28515625" defaultRowHeight="19.149999999999999" outlineLevelRow="1" outlineLevelCol="1"/>
  <cols>
    <col min="1" max="1" width="72.85546875" style="285" bestFit="1" customWidth="1"/>
    <col min="2" max="2" width="15.7109375" style="76" customWidth="1" outlineLevel="1"/>
    <col min="3" max="3" width="15.7109375" style="76" customWidth="1"/>
    <col min="4" max="4" width="15.7109375" style="76" customWidth="1" outlineLevel="1"/>
    <col min="5" max="5" width="15.7109375" style="76" customWidth="1"/>
    <col min="6" max="6" width="15.7109375" style="76" customWidth="1" outlineLevel="1"/>
    <col min="7" max="7" width="15.7109375" style="76" customWidth="1"/>
    <col min="8" max="8" width="15.7109375" style="76" customWidth="1" outlineLevel="1"/>
    <col min="9" max="9" width="15.7109375" style="76" customWidth="1"/>
    <col min="10" max="10" width="15.7109375" style="76" customWidth="1" outlineLevel="1"/>
    <col min="11" max="11" width="15.7109375" style="76" customWidth="1"/>
    <col min="12" max="12" width="15.7109375" style="76" customWidth="1" outlineLevel="1"/>
    <col min="13" max="13" width="15.7109375" style="76" customWidth="1"/>
    <col min="14" max="14" width="15.7109375" style="76" customWidth="1" outlineLevel="1"/>
    <col min="15" max="15" width="15.7109375" style="76" customWidth="1"/>
    <col min="16" max="16" width="15.7109375" style="76" customWidth="1" outlineLevel="1"/>
    <col min="17" max="17" width="15.7109375" style="76" customWidth="1"/>
    <col min="18" max="18" width="15.7109375" style="76" customWidth="1" outlineLevel="1"/>
    <col min="19" max="19" width="15.7109375" style="76" customWidth="1"/>
    <col min="20" max="20" width="15.7109375" style="76" customWidth="1" outlineLevel="1"/>
    <col min="21" max="21" width="15.7109375" style="76" customWidth="1"/>
    <col min="22" max="22" width="15.7109375" style="21" customWidth="1" outlineLevel="1"/>
    <col min="23" max="23" width="15.7109375" style="21" customWidth="1"/>
    <col min="24" max="24" width="15.7109375" style="21" customWidth="1" outlineLevel="1"/>
    <col min="25" max="25" width="15.7109375" style="21" customWidth="1"/>
    <col min="26" max="26" width="15.7109375" style="21" customWidth="1" outlineLevel="1"/>
    <col min="27" max="27" width="15.7109375" style="21" customWidth="1"/>
    <col min="28" max="28" width="15.7109375" style="21" customWidth="1" outlineLevel="1"/>
    <col min="29" max="29" width="15.7109375" style="21" customWidth="1"/>
    <col min="30" max="30" width="15.7109375" style="21" customWidth="1" outlineLevel="1"/>
    <col min="31" max="47" width="15.7109375" style="21" customWidth="1"/>
    <col min="48" max="16384" width="9.28515625" style="21"/>
  </cols>
  <sheetData>
    <row r="1" spans="1:31" ht="30.4" customHeight="1" thickBot="1">
      <c r="A1" s="284" t="s">
        <v>0</v>
      </c>
    </row>
    <row r="2" spans="1:31" s="6" customFormat="1" ht="15" customHeight="1" thickBot="1">
      <c r="A2" s="659" t="s">
        <v>1</v>
      </c>
      <c r="B2" s="657">
        <v>1</v>
      </c>
      <c r="C2" s="658"/>
      <c r="D2" s="662">
        <v>2</v>
      </c>
      <c r="E2" s="658"/>
      <c r="F2" s="657">
        <v>3</v>
      </c>
      <c r="G2" s="658"/>
      <c r="H2" s="657">
        <v>4</v>
      </c>
      <c r="I2" s="658"/>
      <c r="J2" s="657">
        <v>5</v>
      </c>
      <c r="K2" s="658"/>
      <c r="L2" s="657">
        <v>6</v>
      </c>
      <c r="M2" s="658"/>
      <c r="N2" s="657">
        <v>7</v>
      </c>
      <c r="O2" s="658"/>
      <c r="P2" s="657">
        <v>8</v>
      </c>
      <c r="Q2" s="658"/>
      <c r="R2" s="657">
        <v>9</v>
      </c>
      <c r="S2" s="658"/>
      <c r="T2" s="657">
        <v>10</v>
      </c>
      <c r="U2" s="658"/>
      <c r="V2" s="657">
        <v>11</v>
      </c>
      <c r="W2" s="658"/>
      <c r="X2" s="657">
        <v>12</v>
      </c>
      <c r="Y2" s="658"/>
      <c r="Z2" s="657">
        <v>13</v>
      </c>
      <c r="AA2" s="658"/>
      <c r="AB2" s="657">
        <v>14</v>
      </c>
      <c r="AC2" s="658"/>
      <c r="AD2" s="657">
        <v>15</v>
      </c>
      <c r="AE2" s="658"/>
    </row>
    <row r="3" spans="1:31" s="6" customFormat="1" ht="15" customHeight="1" thickBot="1">
      <c r="A3" s="660"/>
      <c r="B3" s="665" t="s">
        <v>2</v>
      </c>
      <c r="C3" s="666"/>
      <c r="D3" s="665" t="s">
        <v>3</v>
      </c>
      <c r="E3" s="666"/>
      <c r="F3" s="665"/>
      <c r="G3" s="666"/>
      <c r="H3" s="665"/>
      <c r="I3" s="666"/>
      <c r="J3" s="665"/>
      <c r="K3" s="666"/>
      <c r="L3" s="665"/>
      <c r="M3" s="666"/>
      <c r="N3" s="665"/>
      <c r="O3" s="666"/>
      <c r="P3" s="665"/>
      <c r="Q3" s="666"/>
      <c r="R3" s="665"/>
      <c r="S3" s="666"/>
      <c r="T3" s="665"/>
      <c r="U3" s="666"/>
      <c r="V3" s="665"/>
      <c r="W3" s="666"/>
      <c r="X3" s="665"/>
      <c r="Y3" s="666"/>
      <c r="Z3" s="665"/>
      <c r="AA3" s="666"/>
      <c r="AB3" s="665"/>
      <c r="AC3" s="666"/>
      <c r="AD3" s="665"/>
      <c r="AE3" s="666"/>
    </row>
    <row r="4" spans="1:31" s="244" customFormat="1" ht="25.35" customHeight="1" thickBot="1">
      <c r="A4" s="660"/>
      <c r="B4" s="663" t="s">
        <v>4</v>
      </c>
      <c r="C4" s="664"/>
      <c r="D4" s="663"/>
      <c r="E4" s="664"/>
      <c r="F4" s="663"/>
      <c r="G4" s="664"/>
      <c r="H4" s="663"/>
      <c r="I4" s="664"/>
      <c r="J4" s="663"/>
      <c r="K4" s="664"/>
      <c r="L4" s="663"/>
      <c r="M4" s="664"/>
      <c r="N4" s="663"/>
      <c r="O4" s="664"/>
      <c r="P4" s="663"/>
      <c r="Q4" s="664"/>
      <c r="R4" s="663"/>
      <c r="S4" s="664"/>
      <c r="T4" s="663"/>
      <c r="U4" s="664"/>
      <c r="V4" s="663"/>
      <c r="W4" s="664"/>
      <c r="X4" s="663"/>
      <c r="Y4" s="664"/>
      <c r="Z4" s="663"/>
      <c r="AA4" s="664"/>
      <c r="AB4" s="663"/>
      <c r="AC4" s="664"/>
      <c r="AD4" s="663"/>
      <c r="AE4" s="664"/>
    </row>
    <row r="5" spans="1:31" s="6" customFormat="1" ht="25.35" customHeight="1" outlineLevel="1" thickBot="1">
      <c r="A5" s="661"/>
      <c r="B5" s="203" t="s">
        <v>5</v>
      </c>
      <c r="C5" s="7" t="s">
        <v>6</v>
      </c>
      <c r="D5" s="203" t="s">
        <v>5</v>
      </c>
      <c r="E5" s="7" t="s">
        <v>6</v>
      </c>
      <c r="F5" s="203" t="s">
        <v>5</v>
      </c>
      <c r="G5" s="7" t="s">
        <v>6</v>
      </c>
      <c r="H5" s="203" t="s">
        <v>5</v>
      </c>
      <c r="I5" s="7" t="s">
        <v>6</v>
      </c>
      <c r="J5" s="203" t="s">
        <v>5</v>
      </c>
      <c r="K5" s="7" t="s">
        <v>6</v>
      </c>
      <c r="L5" s="203" t="s">
        <v>5</v>
      </c>
      <c r="M5" s="7" t="s">
        <v>6</v>
      </c>
      <c r="N5" s="203" t="s">
        <v>5</v>
      </c>
      <c r="O5" s="7" t="s">
        <v>6</v>
      </c>
      <c r="P5" s="203" t="s">
        <v>5</v>
      </c>
      <c r="Q5" s="7" t="s">
        <v>6</v>
      </c>
      <c r="R5" s="203" t="s">
        <v>5</v>
      </c>
      <c r="S5" s="7" t="s">
        <v>6</v>
      </c>
      <c r="T5" s="203" t="s">
        <v>5</v>
      </c>
      <c r="U5" s="7" t="s">
        <v>6</v>
      </c>
      <c r="V5" s="203" t="s">
        <v>5</v>
      </c>
      <c r="W5" s="7" t="s">
        <v>6</v>
      </c>
      <c r="X5" s="203" t="s">
        <v>5</v>
      </c>
      <c r="Y5" s="7" t="s">
        <v>6</v>
      </c>
      <c r="Z5" s="203" t="s">
        <v>5</v>
      </c>
      <c r="AA5" s="7" t="s">
        <v>6</v>
      </c>
      <c r="AB5" s="203" t="s">
        <v>5</v>
      </c>
      <c r="AC5" s="7" t="s">
        <v>6</v>
      </c>
      <c r="AD5" s="203" t="s">
        <v>5</v>
      </c>
      <c r="AE5" s="7" t="s">
        <v>6</v>
      </c>
    </row>
    <row r="6" spans="1:31" ht="19.149999999999999" customHeight="1" outlineLevel="1">
      <c r="A6" s="363" t="s">
        <v>7</v>
      </c>
      <c r="B6" s="245">
        <f>1070.2/20</f>
        <v>53.510000000000005</v>
      </c>
      <c r="C6" s="372">
        <f>(B6/100)*1000</f>
        <v>535.1</v>
      </c>
      <c r="D6" s="353">
        <f>1136.8/20</f>
        <v>56.839999999999996</v>
      </c>
      <c r="E6" s="411">
        <f>(D6/100)*1000</f>
        <v>568.4</v>
      </c>
      <c r="F6" s="353"/>
      <c r="G6" s="411">
        <f>(F6/100)*1000</f>
        <v>0</v>
      </c>
      <c r="H6" s="353"/>
      <c r="I6" s="411">
        <f>(H6/100)*1000</f>
        <v>0</v>
      </c>
      <c r="J6" s="353"/>
      <c r="K6" s="411">
        <f>(J6/100)*1000</f>
        <v>0</v>
      </c>
      <c r="L6" s="353"/>
      <c r="M6" s="411">
        <f>(L6/100)*1000</f>
        <v>0</v>
      </c>
      <c r="N6" s="353"/>
      <c r="O6" s="411">
        <f>(N6/100)*1000</f>
        <v>0</v>
      </c>
      <c r="P6" s="353"/>
      <c r="Q6" s="411">
        <f>(P6/100)*1000</f>
        <v>0</v>
      </c>
      <c r="R6" s="353"/>
      <c r="S6" s="411">
        <f>(R6/100)*1000</f>
        <v>0</v>
      </c>
      <c r="T6" s="353"/>
      <c r="U6" s="411">
        <f>(T6/100)*1000</f>
        <v>0</v>
      </c>
      <c r="V6" s="353"/>
      <c r="W6" s="411">
        <f>(V6/100)*1000</f>
        <v>0</v>
      </c>
      <c r="X6" s="353"/>
      <c r="Y6" s="411">
        <f>(X6/100)*1000</f>
        <v>0</v>
      </c>
      <c r="Z6" s="353"/>
      <c r="AA6" s="411">
        <f>(Z6/100)*1000</f>
        <v>0</v>
      </c>
      <c r="AB6" s="353"/>
      <c r="AC6" s="411">
        <f>(AB6/100)*1000</f>
        <v>0</v>
      </c>
      <c r="AD6" s="353"/>
      <c r="AE6" s="411">
        <f>(AD6/100)*1000</f>
        <v>0</v>
      </c>
    </row>
    <row r="7" spans="1:31" ht="19.149999999999999" customHeight="1" outlineLevel="1">
      <c r="A7" s="364" t="s">
        <v>8</v>
      </c>
      <c r="B7" s="74">
        <f>652.5/20</f>
        <v>32.625</v>
      </c>
      <c r="C7" s="370">
        <f t="shared" ref="C7:C69" si="0">(B7/100)*1000</f>
        <v>326.25</v>
      </c>
      <c r="D7" s="74">
        <f>655.6/20</f>
        <v>32.78</v>
      </c>
      <c r="E7" s="370">
        <f t="shared" ref="E7:G71" si="1">(D7/100)*1000</f>
        <v>327.8</v>
      </c>
      <c r="F7" s="74"/>
      <c r="G7" s="370">
        <f t="shared" ref="G7:AE57" si="2">(F7/100)*1000</f>
        <v>0</v>
      </c>
      <c r="H7" s="74"/>
      <c r="I7" s="370">
        <f t="shared" ref="I7" si="3">(H7/100)*1000</f>
        <v>0</v>
      </c>
      <c r="J7" s="74"/>
      <c r="K7" s="370">
        <f t="shared" ref="K7" si="4">(J7/100)*1000</f>
        <v>0</v>
      </c>
      <c r="L7" s="74"/>
      <c r="M7" s="370">
        <f t="shared" ref="M7" si="5">(L7/100)*1000</f>
        <v>0</v>
      </c>
      <c r="N7" s="74"/>
      <c r="O7" s="370">
        <f t="shared" ref="O7" si="6">(N7/100)*1000</f>
        <v>0</v>
      </c>
      <c r="P7" s="74"/>
      <c r="Q7" s="370">
        <f t="shared" ref="Q7" si="7">(P7/100)*1000</f>
        <v>0</v>
      </c>
      <c r="R7" s="74"/>
      <c r="S7" s="370">
        <f t="shared" ref="S7" si="8">(R7/100)*1000</f>
        <v>0</v>
      </c>
      <c r="T7" s="74"/>
      <c r="U7" s="370">
        <f t="shared" ref="U7" si="9">(T7/100)*1000</f>
        <v>0</v>
      </c>
      <c r="V7" s="74"/>
      <c r="W7" s="370">
        <f t="shared" ref="W7" si="10">(V7/100)*1000</f>
        <v>0</v>
      </c>
      <c r="X7" s="74"/>
      <c r="Y7" s="370">
        <f t="shared" ref="Y7" si="11">(X7/100)*1000</f>
        <v>0</v>
      </c>
      <c r="Z7" s="74"/>
      <c r="AA7" s="370">
        <f t="shared" ref="AA7" si="12">(Z7/100)*1000</f>
        <v>0</v>
      </c>
      <c r="AB7" s="74"/>
      <c r="AC7" s="370">
        <f t="shared" ref="AC7" si="13">(AB7/100)*1000</f>
        <v>0</v>
      </c>
      <c r="AD7" s="74"/>
      <c r="AE7" s="370">
        <f t="shared" ref="AE7" si="14">(AD7/100)*1000</f>
        <v>0</v>
      </c>
    </row>
    <row r="8" spans="1:31" ht="19.149999999999999" customHeight="1" outlineLevel="1">
      <c r="A8" s="414" t="s">
        <v>9</v>
      </c>
      <c r="B8" s="74">
        <f>50/20</f>
        <v>2.5</v>
      </c>
      <c r="C8" s="370">
        <f t="shared" si="0"/>
        <v>25</v>
      </c>
      <c r="D8" s="74">
        <v>2.5</v>
      </c>
      <c r="E8" s="370">
        <f t="shared" si="1"/>
        <v>25</v>
      </c>
      <c r="F8" s="74"/>
      <c r="G8" s="370">
        <f t="shared" si="2"/>
        <v>0</v>
      </c>
      <c r="H8" s="74"/>
      <c r="I8" s="370">
        <f t="shared" ref="I8" si="15">(H8/100)*1000</f>
        <v>0</v>
      </c>
      <c r="J8" s="74"/>
      <c r="K8" s="370">
        <f t="shared" ref="K8" si="16">(J8/100)*1000</f>
        <v>0</v>
      </c>
      <c r="L8" s="74"/>
      <c r="M8" s="370">
        <f t="shared" ref="M8" si="17">(L8/100)*1000</f>
        <v>0</v>
      </c>
      <c r="N8" s="74"/>
      <c r="O8" s="370">
        <f t="shared" ref="O8" si="18">(N8/100)*1000</f>
        <v>0</v>
      </c>
      <c r="P8" s="74"/>
      <c r="Q8" s="370">
        <f t="shared" ref="Q8" si="19">(P8/100)*1000</f>
        <v>0</v>
      </c>
      <c r="R8" s="74"/>
      <c r="S8" s="370">
        <f t="shared" ref="S8" si="20">(R8/100)*1000</f>
        <v>0</v>
      </c>
      <c r="T8" s="74"/>
      <c r="U8" s="370">
        <f t="shared" ref="U8" si="21">(T8/100)*1000</f>
        <v>0</v>
      </c>
      <c r="V8" s="74"/>
      <c r="W8" s="370">
        <f t="shared" ref="W8" si="22">(V8/100)*1000</f>
        <v>0</v>
      </c>
      <c r="X8" s="74"/>
      <c r="Y8" s="370">
        <f t="shared" ref="Y8" si="23">(X8/100)*1000</f>
        <v>0</v>
      </c>
      <c r="Z8" s="74"/>
      <c r="AA8" s="370">
        <f t="shared" ref="AA8" si="24">(Z8/100)*1000</f>
        <v>0</v>
      </c>
      <c r="AB8" s="74"/>
      <c r="AC8" s="370">
        <f t="shared" ref="AC8" si="25">(AB8/100)*1000</f>
        <v>0</v>
      </c>
      <c r="AD8" s="74"/>
      <c r="AE8" s="370">
        <f t="shared" ref="AE8" si="26">(AD8/100)*1000</f>
        <v>0</v>
      </c>
    </row>
    <row r="9" spans="1:31" ht="19.149999999999999" customHeight="1" outlineLevel="1">
      <c r="A9" s="414" t="s">
        <v>10</v>
      </c>
      <c r="B9" s="74">
        <f>100/20</f>
        <v>5</v>
      </c>
      <c r="C9" s="370">
        <f t="shared" si="0"/>
        <v>50</v>
      </c>
      <c r="D9" s="74"/>
      <c r="E9" s="370">
        <f t="shared" si="1"/>
        <v>0</v>
      </c>
      <c r="F9" s="74"/>
      <c r="G9" s="370">
        <f t="shared" si="2"/>
        <v>0</v>
      </c>
      <c r="H9" s="74"/>
      <c r="I9" s="370">
        <f t="shared" ref="I9" si="27">(H9/100)*1000</f>
        <v>0</v>
      </c>
      <c r="J9" s="74"/>
      <c r="K9" s="370">
        <f t="shared" ref="K9" si="28">(J9/100)*1000</f>
        <v>0</v>
      </c>
      <c r="L9" s="74"/>
      <c r="M9" s="370">
        <f t="shared" ref="M9" si="29">(L9/100)*1000</f>
        <v>0</v>
      </c>
      <c r="N9" s="74"/>
      <c r="O9" s="370">
        <f t="shared" ref="O9" si="30">(N9/100)*1000</f>
        <v>0</v>
      </c>
      <c r="P9" s="74"/>
      <c r="Q9" s="370">
        <f t="shared" ref="Q9" si="31">(P9/100)*1000</f>
        <v>0</v>
      </c>
      <c r="R9" s="74"/>
      <c r="S9" s="370">
        <f t="shared" ref="S9" si="32">(R9/100)*1000</f>
        <v>0</v>
      </c>
      <c r="T9" s="74"/>
      <c r="U9" s="370">
        <f t="shared" ref="U9" si="33">(T9/100)*1000</f>
        <v>0</v>
      </c>
      <c r="V9" s="74"/>
      <c r="W9" s="370">
        <f t="shared" ref="W9" si="34">(V9/100)*1000</f>
        <v>0</v>
      </c>
      <c r="X9" s="74"/>
      <c r="Y9" s="370">
        <f t="shared" ref="Y9" si="35">(X9/100)*1000</f>
        <v>0</v>
      </c>
      <c r="Z9" s="74"/>
      <c r="AA9" s="370">
        <f t="shared" ref="AA9" si="36">(Z9/100)*1000</f>
        <v>0</v>
      </c>
      <c r="AB9" s="74"/>
      <c r="AC9" s="370">
        <f t="shared" ref="AC9" si="37">(AB9/100)*1000</f>
        <v>0</v>
      </c>
      <c r="AD9" s="74"/>
      <c r="AE9" s="370">
        <f t="shared" ref="AE9" si="38">(AD9/100)*1000</f>
        <v>0</v>
      </c>
    </row>
    <row r="10" spans="1:31" ht="19.149999999999999" customHeight="1" outlineLevel="1">
      <c r="A10" s="414" t="s">
        <v>11</v>
      </c>
      <c r="B10" s="74"/>
      <c r="C10" s="370">
        <f t="shared" si="0"/>
        <v>0</v>
      </c>
      <c r="D10" s="74"/>
      <c r="E10" s="370">
        <f t="shared" si="1"/>
        <v>0</v>
      </c>
      <c r="F10" s="74"/>
      <c r="G10" s="370">
        <f t="shared" si="2"/>
        <v>0</v>
      </c>
      <c r="H10" s="74"/>
      <c r="I10" s="370">
        <f t="shared" ref="I10" si="39">(H10/100)*1000</f>
        <v>0</v>
      </c>
      <c r="J10" s="74"/>
      <c r="K10" s="370">
        <f t="shared" ref="K10" si="40">(J10/100)*1000</f>
        <v>0</v>
      </c>
      <c r="L10" s="74"/>
      <c r="M10" s="370">
        <f t="shared" ref="M10" si="41">(L10/100)*1000</f>
        <v>0</v>
      </c>
      <c r="N10" s="74"/>
      <c r="O10" s="370">
        <f t="shared" ref="O10" si="42">(N10/100)*1000</f>
        <v>0</v>
      </c>
      <c r="P10" s="74"/>
      <c r="Q10" s="370">
        <f t="shared" ref="Q10" si="43">(P10/100)*1000</f>
        <v>0</v>
      </c>
      <c r="R10" s="74"/>
      <c r="S10" s="370">
        <f t="shared" ref="S10" si="44">(R10/100)*1000</f>
        <v>0</v>
      </c>
      <c r="T10" s="74"/>
      <c r="U10" s="370">
        <f t="shared" ref="U10" si="45">(T10/100)*1000</f>
        <v>0</v>
      </c>
      <c r="V10" s="74"/>
      <c r="W10" s="370">
        <f t="shared" ref="W10" si="46">(V10/100)*1000</f>
        <v>0</v>
      </c>
      <c r="X10" s="74"/>
      <c r="Y10" s="370">
        <f t="shared" ref="Y10" si="47">(X10/100)*1000</f>
        <v>0</v>
      </c>
      <c r="Z10" s="74"/>
      <c r="AA10" s="370">
        <f t="shared" ref="AA10" si="48">(Z10/100)*1000</f>
        <v>0</v>
      </c>
      <c r="AB10" s="74"/>
      <c r="AC10" s="370">
        <f t="shared" ref="AC10" si="49">(AB10/100)*1000</f>
        <v>0</v>
      </c>
      <c r="AD10" s="74"/>
      <c r="AE10" s="370">
        <f t="shared" ref="AE10" si="50">(AD10/100)*1000</f>
        <v>0</v>
      </c>
    </row>
    <row r="11" spans="1:31" ht="19.149999999999999" customHeight="1" outlineLevel="1">
      <c r="A11" s="414" t="s">
        <v>12</v>
      </c>
      <c r="B11" s="74">
        <f>40/20</f>
        <v>2</v>
      </c>
      <c r="C11" s="370">
        <f t="shared" si="0"/>
        <v>20</v>
      </c>
      <c r="D11" s="74">
        <f>40.4/20</f>
        <v>2.02</v>
      </c>
      <c r="E11" s="370">
        <f t="shared" si="1"/>
        <v>20.2</v>
      </c>
      <c r="F11" s="74"/>
      <c r="G11" s="370">
        <f t="shared" si="2"/>
        <v>0</v>
      </c>
      <c r="H11" s="74"/>
      <c r="I11" s="370">
        <f t="shared" ref="I11" si="51">(H11/100)*1000</f>
        <v>0</v>
      </c>
      <c r="J11" s="74"/>
      <c r="K11" s="370">
        <f t="shared" ref="K11" si="52">(J11/100)*1000</f>
        <v>0</v>
      </c>
      <c r="L11" s="74"/>
      <c r="M11" s="370">
        <f t="shared" ref="M11" si="53">(L11/100)*1000</f>
        <v>0</v>
      </c>
      <c r="N11" s="74"/>
      <c r="O11" s="370">
        <f t="shared" ref="O11" si="54">(N11/100)*1000</f>
        <v>0</v>
      </c>
      <c r="P11" s="74"/>
      <c r="Q11" s="370">
        <f t="shared" ref="Q11" si="55">(P11/100)*1000</f>
        <v>0</v>
      </c>
      <c r="R11" s="74"/>
      <c r="S11" s="370">
        <f t="shared" ref="S11" si="56">(R11/100)*1000</f>
        <v>0</v>
      </c>
      <c r="T11" s="74"/>
      <c r="U11" s="370">
        <f t="shared" ref="U11" si="57">(T11/100)*1000</f>
        <v>0</v>
      </c>
      <c r="V11" s="74"/>
      <c r="W11" s="370">
        <f t="shared" ref="W11" si="58">(V11/100)*1000</f>
        <v>0</v>
      </c>
      <c r="X11" s="74"/>
      <c r="Y11" s="370">
        <f t="shared" ref="Y11" si="59">(X11/100)*1000</f>
        <v>0</v>
      </c>
      <c r="Z11" s="74"/>
      <c r="AA11" s="370">
        <f t="shared" ref="AA11" si="60">(Z11/100)*1000</f>
        <v>0</v>
      </c>
      <c r="AB11" s="74"/>
      <c r="AC11" s="370">
        <f t="shared" ref="AC11" si="61">(AB11/100)*1000</f>
        <v>0</v>
      </c>
      <c r="AD11" s="74"/>
      <c r="AE11" s="370">
        <f t="shared" ref="AE11" si="62">(AD11/100)*1000</f>
        <v>0</v>
      </c>
    </row>
    <row r="12" spans="1:31" ht="19.149999999999999" customHeight="1" outlineLevel="1">
      <c r="A12" s="414" t="s">
        <v>13</v>
      </c>
      <c r="B12" s="74"/>
      <c r="C12" s="370">
        <f t="shared" si="0"/>
        <v>0</v>
      </c>
      <c r="D12" s="74"/>
      <c r="E12" s="370">
        <f t="shared" si="1"/>
        <v>0</v>
      </c>
      <c r="F12" s="74"/>
      <c r="G12" s="370">
        <f t="shared" si="2"/>
        <v>0</v>
      </c>
      <c r="H12" s="74"/>
      <c r="I12" s="370">
        <f t="shared" ref="I12" si="63">(H12/100)*1000</f>
        <v>0</v>
      </c>
      <c r="J12" s="74"/>
      <c r="K12" s="370">
        <f t="shared" ref="K12" si="64">(J12/100)*1000</f>
        <v>0</v>
      </c>
      <c r="L12" s="74"/>
      <c r="M12" s="370">
        <f t="shared" ref="M12" si="65">(L12/100)*1000</f>
        <v>0</v>
      </c>
      <c r="N12" s="74"/>
      <c r="O12" s="370">
        <f t="shared" ref="O12" si="66">(N12/100)*1000</f>
        <v>0</v>
      </c>
      <c r="P12" s="74"/>
      <c r="Q12" s="370">
        <f t="shared" ref="Q12" si="67">(P12/100)*1000</f>
        <v>0</v>
      </c>
      <c r="R12" s="74"/>
      <c r="S12" s="370">
        <f t="shared" ref="S12" si="68">(R12/100)*1000</f>
        <v>0</v>
      </c>
      <c r="T12" s="74"/>
      <c r="U12" s="370">
        <f t="shared" ref="U12" si="69">(T12/100)*1000</f>
        <v>0</v>
      </c>
      <c r="V12" s="74"/>
      <c r="W12" s="370">
        <f t="shared" ref="W12" si="70">(V12/100)*1000</f>
        <v>0</v>
      </c>
      <c r="X12" s="74"/>
      <c r="Y12" s="370">
        <f t="shared" ref="Y12" si="71">(X12/100)*1000</f>
        <v>0</v>
      </c>
      <c r="Z12" s="74"/>
      <c r="AA12" s="370">
        <f t="shared" ref="AA12" si="72">(Z12/100)*1000</f>
        <v>0</v>
      </c>
      <c r="AB12" s="74"/>
      <c r="AC12" s="370">
        <f t="shared" ref="AC12" si="73">(AB12/100)*1000</f>
        <v>0</v>
      </c>
      <c r="AD12" s="74"/>
      <c r="AE12" s="370">
        <f t="shared" ref="AE12" si="74">(AD12/100)*1000</f>
        <v>0</v>
      </c>
    </row>
    <row r="13" spans="1:31" ht="19.149999999999999" customHeight="1" outlineLevel="1">
      <c r="A13" s="414" t="s">
        <v>14</v>
      </c>
      <c r="B13" s="74">
        <f>40/20</f>
        <v>2</v>
      </c>
      <c r="C13" s="370">
        <f t="shared" si="0"/>
        <v>20</v>
      </c>
      <c r="D13" s="74">
        <f>23/20</f>
        <v>1.1499999999999999</v>
      </c>
      <c r="E13" s="370">
        <f t="shared" si="1"/>
        <v>11.5</v>
      </c>
      <c r="F13" s="74"/>
      <c r="G13" s="370">
        <f t="shared" si="2"/>
        <v>0</v>
      </c>
      <c r="H13" s="74"/>
      <c r="I13" s="370">
        <f t="shared" ref="I13" si="75">(H13/100)*1000</f>
        <v>0</v>
      </c>
      <c r="J13" s="74"/>
      <c r="K13" s="370">
        <f t="shared" ref="K13" si="76">(J13/100)*1000</f>
        <v>0</v>
      </c>
      <c r="L13" s="74"/>
      <c r="M13" s="370">
        <f t="shared" ref="M13" si="77">(L13/100)*1000</f>
        <v>0</v>
      </c>
      <c r="N13" s="74"/>
      <c r="O13" s="370">
        <f t="shared" ref="O13" si="78">(N13/100)*1000</f>
        <v>0</v>
      </c>
      <c r="P13" s="74"/>
      <c r="Q13" s="370">
        <f t="shared" ref="Q13" si="79">(P13/100)*1000</f>
        <v>0</v>
      </c>
      <c r="R13" s="74"/>
      <c r="S13" s="370">
        <f t="shared" ref="S13" si="80">(R13/100)*1000</f>
        <v>0</v>
      </c>
      <c r="T13" s="74"/>
      <c r="U13" s="370">
        <f t="shared" ref="U13" si="81">(T13/100)*1000</f>
        <v>0</v>
      </c>
      <c r="V13" s="74"/>
      <c r="W13" s="370">
        <f t="shared" ref="W13" si="82">(V13/100)*1000</f>
        <v>0</v>
      </c>
      <c r="X13" s="74"/>
      <c r="Y13" s="370">
        <f t="shared" ref="Y13" si="83">(X13/100)*1000</f>
        <v>0</v>
      </c>
      <c r="Z13" s="74"/>
      <c r="AA13" s="370">
        <f t="shared" ref="AA13" si="84">(Z13/100)*1000</f>
        <v>0</v>
      </c>
      <c r="AB13" s="74"/>
      <c r="AC13" s="370">
        <f t="shared" ref="AC13" si="85">(AB13/100)*1000</f>
        <v>0</v>
      </c>
      <c r="AD13" s="74"/>
      <c r="AE13" s="370">
        <f t="shared" ref="AE13" si="86">(AD13/100)*1000</f>
        <v>0</v>
      </c>
    </row>
    <row r="14" spans="1:31" ht="19.149999999999999" customHeight="1" outlineLevel="1">
      <c r="A14" s="414" t="s">
        <v>15</v>
      </c>
      <c r="B14" s="74">
        <f>4.5/20</f>
        <v>0.22500000000000001</v>
      </c>
      <c r="C14" s="370">
        <f t="shared" si="0"/>
        <v>2.2500000000000004</v>
      </c>
      <c r="D14" s="74"/>
      <c r="E14" s="370">
        <f t="shared" si="1"/>
        <v>0</v>
      </c>
      <c r="F14" s="74"/>
      <c r="G14" s="370">
        <f t="shared" si="2"/>
        <v>0</v>
      </c>
      <c r="H14" s="74"/>
      <c r="I14" s="370">
        <f t="shared" ref="I14" si="87">(H14/100)*1000</f>
        <v>0</v>
      </c>
      <c r="J14" s="74"/>
      <c r="K14" s="370">
        <f t="shared" ref="K14" si="88">(J14/100)*1000</f>
        <v>0</v>
      </c>
      <c r="L14" s="74"/>
      <c r="M14" s="370">
        <f t="shared" ref="M14" si="89">(L14/100)*1000</f>
        <v>0</v>
      </c>
      <c r="N14" s="74"/>
      <c r="O14" s="370">
        <f t="shared" ref="O14" si="90">(N14/100)*1000</f>
        <v>0</v>
      </c>
      <c r="P14" s="74"/>
      <c r="Q14" s="370">
        <f t="shared" ref="Q14" si="91">(P14/100)*1000</f>
        <v>0</v>
      </c>
      <c r="R14" s="74"/>
      <c r="S14" s="370">
        <f t="shared" ref="S14" si="92">(R14/100)*1000</f>
        <v>0</v>
      </c>
      <c r="T14" s="74"/>
      <c r="U14" s="370">
        <f t="shared" ref="U14" si="93">(T14/100)*1000</f>
        <v>0</v>
      </c>
      <c r="V14" s="74"/>
      <c r="W14" s="370">
        <f t="shared" ref="W14" si="94">(V14/100)*1000</f>
        <v>0</v>
      </c>
      <c r="X14" s="74"/>
      <c r="Y14" s="370">
        <f t="shared" ref="Y14" si="95">(X14/100)*1000</f>
        <v>0</v>
      </c>
      <c r="Z14" s="74"/>
      <c r="AA14" s="370">
        <f t="shared" ref="AA14" si="96">(Z14/100)*1000</f>
        <v>0</v>
      </c>
      <c r="AB14" s="74"/>
      <c r="AC14" s="370">
        <f t="shared" ref="AC14" si="97">(AB14/100)*1000</f>
        <v>0</v>
      </c>
      <c r="AD14" s="74"/>
      <c r="AE14" s="370">
        <f t="shared" ref="AE14" si="98">(AD14/100)*1000</f>
        <v>0</v>
      </c>
    </row>
    <row r="15" spans="1:31" ht="19.149999999999999" customHeight="1" outlineLevel="1">
      <c r="A15" s="415" t="s">
        <v>16</v>
      </c>
      <c r="B15" s="74">
        <f>1.8/20</f>
        <v>0.09</v>
      </c>
      <c r="C15" s="370">
        <f t="shared" si="0"/>
        <v>0.9</v>
      </c>
      <c r="D15" s="74"/>
      <c r="E15" s="370">
        <f t="shared" si="1"/>
        <v>0</v>
      </c>
      <c r="F15" s="74"/>
      <c r="G15" s="370">
        <f t="shared" si="2"/>
        <v>0</v>
      </c>
      <c r="H15" s="74"/>
      <c r="I15" s="370">
        <f t="shared" ref="I15" si="99">(H15/100)*1000</f>
        <v>0</v>
      </c>
      <c r="J15" s="74"/>
      <c r="K15" s="370">
        <f t="shared" ref="K15" si="100">(J15/100)*1000</f>
        <v>0</v>
      </c>
      <c r="L15" s="74"/>
      <c r="M15" s="370">
        <f t="shared" ref="M15" si="101">(L15/100)*1000</f>
        <v>0</v>
      </c>
      <c r="N15" s="74"/>
      <c r="O15" s="370">
        <f t="shared" ref="O15" si="102">(N15/100)*1000</f>
        <v>0</v>
      </c>
      <c r="P15" s="74"/>
      <c r="Q15" s="370">
        <f t="shared" ref="Q15" si="103">(P15/100)*1000</f>
        <v>0</v>
      </c>
      <c r="R15" s="74"/>
      <c r="S15" s="370">
        <f t="shared" ref="S15" si="104">(R15/100)*1000</f>
        <v>0</v>
      </c>
      <c r="T15" s="74"/>
      <c r="U15" s="370">
        <f t="shared" ref="U15" si="105">(T15/100)*1000</f>
        <v>0</v>
      </c>
      <c r="V15" s="74"/>
      <c r="W15" s="370">
        <f t="shared" ref="W15" si="106">(V15/100)*1000</f>
        <v>0</v>
      </c>
      <c r="X15" s="74"/>
      <c r="Y15" s="370">
        <f t="shared" ref="Y15" si="107">(X15/100)*1000</f>
        <v>0</v>
      </c>
      <c r="Z15" s="74"/>
      <c r="AA15" s="370">
        <f t="shared" ref="AA15" si="108">(Z15/100)*1000</f>
        <v>0</v>
      </c>
      <c r="AB15" s="74"/>
      <c r="AC15" s="370">
        <f t="shared" ref="AC15" si="109">(AB15/100)*1000</f>
        <v>0</v>
      </c>
      <c r="AD15" s="74"/>
      <c r="AE15" s="370">
        <f t="shared" ref="AE15" si="110">(AD15/100)*1000</f>
        <v>0</v>
      </c>
    </row>
    <row r="16" spans="1:31" ht="19.149999999999999" customHeight="1" outlineLevel="1">
      <c r="A16" s="414" t="s">
        <v>17</v>
      </c>
      <c r="B16" s="74"/>
      <c r="C16" s="370">
        <f t="shared" si="0"/>
        <v>0</v>
      </c>
      <c r="D16" s="74"/>
      <c r="E16" s="370">
        <f t="shared" si="1"/>
        <v>0</v>
      </c>
      <c r="F16" s="74"/>
      <c r="G16" s="370">
        <f t="shared" si="2"/>
        <v>0</v>
      </c>
      <c r="H16" s="74"/>
      <c r="I16" s="370">
        <f t="shared" ref="I16" si="111">(H16/100)*1000</f>
        <v>0</v>
      </c>
      <c r="J16" s="74"/>
      <c r="K16" s="370">
        <f t="shared" ref="K16" si="112">(J16/100)*1000</f>
        <v>0</v>
      </c>
      <c r="L16" s="74"/>
      <c r="M16" s="370">
        <f t="shared" ref="M16" si="113">(L16/100)*1000</f>
        <v>0</v>
      </c>
      <c r="N16" s="74"/>
      <c r="O16" s="370">
        <f t="shared" ref="O16" si="114">(N16/100)*1000</f>
        <v>0</v>
      </c>
      <c r="P16" s="74"/>
      <c r="Q16" s="370">
        <f t="shared" ref="Q16" si="115">(P16/100)*1000</f>
        <v>0</v>
      </c>
      <c r="R16" s="74"/>
      <c r="S16" s="370">
        <f t="shared" ref="S16" si="116">(R16/100)*1000</f>
        <v>0</v>
      </c>
      <c r="T16" s="74"/>
      <c r="U16" s="370">
        <f t="shared" ref="U16" si="117">(T16/100)*1000</f>
        <v>0</v>
      </c>
      <c r="V16" s="74"/>
      <c r="W16" s="370">
        <f t="shared" ref="W16" si="118">(V16/100)*1000</f>
        <v>0</v>
      </c>
      <c r="X16" s="74"/>
      <c r="Y16" s="370">
        <f t="shared" ref="Y16" si="119">(X16/100)*1000</f>
        <v>0</v>
      </c>
      <c r="Z16" s="74"/>
      <c r="AA16" s="370">
        <f t="shared" ref="AA16" si="120">(Z16/100)*1000</f>
        <v>0</v>
      </c>
      <c r="AB16" s="74"/>
      <c r="AC16" s="370">
        <f t="shared" ref="AC16" si="121">(AB16/100)*1000</f>
        <v>0</v>
      </c>
      <c r="AD16" s="74"/>
      <c r="AE16" s="370">
        <f t="shared" ref="AE16" si="122">(AD16/100)*1000</f>
        <v>0</v>
      </c>
    </row>
    <row r="17" spans="1:31" ht="19.149999999999999" customHeight="1" outlineLevel="1">
      <c r="A17" s="415" t="s">
        <v>18</v>
      </c>
      <c r="B17" s="74"/>
      <c r="C17" s="370">
        <f t="shared" si="0"/>
        <v>0</v>
      </c>
      <c r="D17" s="74"/>
      <c r="E17" s="370">
        <f t="shared" si="1"/>
        <v>0</v>
      </c>
      <c r="F17" s="74"/>
      <c r="G17" s="370">
        <f t="shared" si="2"/>
        <v>0</v>
      </c>
      <c r="H17" s="74"/>
      <c r="I17" s="370">
        <f t="shared" ref="I17" si="123">(H17/100)*1000</f>
        <v>0</v>
      </c>
      <c r="J17" s="74"/>
      <c r="K17" s="370">
        <f t="shared" ref="K17" si="124">(J17/100)*1000</f>
        <v>0</v>
      </c>
      <c r="L17" s="74"/>
      <c r="M17" s="370">
        <f t="shared" ref="M17" si="125">(L17/100)*1000</f>
        <v>0</v>
      </c>
      <c r="N17" s="74"/>
      <c r="O17" s="370">
        <f t="shared" ref="O17" si="126">(N17/100)*1000</f>
        <v>0</v>
      </c>
      <c r="P17" s="74"/>
      <c r="Q17" s="370">
        <f t="shared" ref="Q17" si="127">(P17/100)*1000</f>
        <v>0</v>
      </c>
      <c r="R17" s="74"/>
      <c r="S17" s="370">
        <f t="shared" ref="S17" si="128">(R17/100)*1000</f>
        <v>0</v>
      </c>
      <c r="T17" s="74"/>
      <c r="U17" s="370">
        <f t="shared" ref="U17" si="129">(T17/100)*1000</f>
        <v>0</v>
      </c>
      <c r="V17" s="74"/>
      <c r="W17" s="370">
        <f t="shared" ref="W17" si="130">(V17/100)*1000</f>
        <v>0</v>
      </c>
      <c r="X17" s="74"/>
      <c r="Y17" s="370">
        <f t="shared" ref="Y17" si="131">(X17/100)*1000</f>
        <v>0</v>
      </c>
      <c r="Z17" s="74"/>
      <c r="AA17" s="370">
        <f t="shared" ref="AA17" si="132">(Z17/100)*1000</f>
        <v>0</v>
      </c>
      <c r="AB17" s="74"/>
      <c r="AC17" s="370">
        <f t="shared" ref="AC17" si="133">(AB17/100)*1000</f>
        <v>0</v>
      </c>
      <c r="AD17" s="74"/>
      <c r="AE17" s="370">
        <f t="shared" ref="AE17" si="134">(AD17/100)*1000</f>
        <v>0</v>
      </c>
    </row>
    <row r="18" spans="1:31" ht="19.149999999999999" customHeight="1" outlineLevel="1">
      <c r="A18" s="365" t="s">
        <v>19</v>
      </c>
      <c r="B18" s="74"/>
      <c r="C18" s="370">
        <f t="shared" si="0"/>
        <v>0</v>
      </c>
      <c r="D18" s="74">
        <f>50/20</f>
        <v>2.5</v>
      </c>
      <c r="E18" s="370">
        <f t="shared" si="1"/>
        <v>25</v>
      </c>
      <c r="F18" s="74"/>
      <c r="G18" s="370">
        <f t="shared" si="2"/>
        <v>0</v>
      </c>
      <c r="H18" s="74"/>
      <c r="I18" s="370">
        <f t="shared" ref="I18" si="135">(H18/100)*1000</f>
        <v>0</v>
      </c>
      <c r="J18" s="74"/>
      <c r="K18" s="370">
        <f t="shared" ref="K18" si="136">(J18/100)*1000</f>
        <v>0</v>
      </c>
      <c r="L18" s="74"/>
      <c r="M18" s="370">
        <f t="shared" ref="M18" si="137">(L18/100)*1000</f>
        <v>0</v>
      </c>
      <c r="N18" s="74"/>
      <c r="O18" s="370">
        <f t="shared" ref="O18" si="138">(N18/100)*1000</f>
        <v>0</v>
      </c>
      <c r="P18" s="74"/>
      <c r="Q18" s="370">
        <f t="shared" ref="Q18" si="139">(P18/100)*1000</f>
        <v>0</v>
      </c>
      <c r="R18" s="74"/>
      <c r="S18" s="370">
        <f t="shared" ref="S18" si="140">(R18/100)*1000</f>
        <v>0</v>
      </c>
      <c r="T18" s="74"/>
      <c r="U18" s="370">
        <f t="shared" ref="U18" si="141">(T18/100)*1000</f>
        <v>0</v>
      </c>
      <c r="V18" s="74"/>
      <c r="W18" s="370">
        <f t="shared" ref="W18" si="142">(V18/100)*1000</f>
        <v>0</v>
      </c>
      <c r="X18" s="74"/>
      <c r="Y18" s="370">
        <f t="shared" ref="Y18" si="143">(X18/100)*1000</f>
        <v>0</v>
      </c>
      <c r="Z18" s="74"/>
      <c r="AA18" s="370">
        <f t="shared" ref="AA18" si="144">(Z18/100)*1000</f>
        <v>0</v>
      </c>
      <c r="AB18" s="74"/>
      <c r="AC18" s="370">
        <f t="shared" ref="AC18" si="145">(AB18/100)*1000</f>
        <v>0</v>
      </c>
      <c r="AD18" s="74"/>
      <c r="AE18" s="370">
        <f t="shared" ref="AE18" si="146">(AD18/100)*1000</f>
        <v>0</v>
      </c>
    </row>
    <row r="19" spans="1:31" ht="19.149999999999999" customHeight="1" outlineLevel="1">
      <c r="A19" s="365" t="s">
        <v>20</v>
      </c>
      <c r="B19" s="74"/>
      <c r="C19" s="370">
        <f>(B19/100)*1000</f>
        <v>0</v>
      </c>
      <c r="D19" s="74"/>
      <c r="E19" s="370">
        <f>(D19/100)*1000</f>
        <v>0</v>
      </c>
      <c r="F19" s="74"/>
      <c r="G19" s="370">
        <f>(F19/100)*1000</f>
        <v>0</v>
      </c>
      <c r="H19" s="74"/>
      <c r="I19" s="370">
        <f t="shared" ref="I19" si="147">(H19/100)*1000</f>
        <v>0</v>
      </c>
      <c r="J19" s="74"/>
      <c r="K19" s="370">
        <f t="shared" ref="K19" si="148">(J19/100)*1000</f>
        <v>0</v>
      </c>
      <c r="L19" s="74"/>
      <c r="M19" s="370">
        <f t="shared" ref="M19" si="149">(L19/100)*1000</f>
        <v>0</v>
      </c>
      <c r="N19" s="74"/>
      <c r="O19" s="370">
        <f t="shared" ref="O19" si="150">(N19/100)*1000</f>
        <v>0</v>
      </c>
      <c r="P19" s="74"/>
      <c r="Q19" s="370">
        <f t="shared" ref="Q19" si="151">(P19/100)*1000</f>
        <v>0</v>
      </c>
      <c r="R19" s="74"/>
      <c r="S19" s="370">
        <f t="shared" ref="S19" si="152">(R19/100)*1000</f>
        <v>0</v>
      </c>
      <c r="T19" s="74"/>
      <c r="U19" s="370">
        <f t="shared" ref="U19" si="153">(T19/100)*1000</f>
        <v>0</v>
      </c>
      <c r="V19" s="74"/>
      <c r="W19" s="370">
        <f t="shared" ref="W19" si="154">(V19/100)*1000</f>
        <v>0</v>
      </c>
      <c r="X19" s="74"/>
      <c r="Y19" s="370">
        <f t="shared" ref="Y19" si="155">(X19/100)*1000</f>
        <v>0</v>
      </c>
      <c r="Z19" s="74"/>
      <c r="AA19" s="370">
        <f t="shared" ref="AA19" si="156">(Z19/100)*1000</f>
        <v>0</v>
      </c>
      <c r="AB19" s="74"/>
      <c r="AC19" s="370">
        <f t="shared" ref="AC19" si="157">(AB19/100)*1000</f>
        <v>0</v>
      </c>
      <c r="AD19" s="74"/>
      <c r="AE19" s="370">
        <f t="shared" ref="AE19" si="158">(AD19/100)*1000</f>
        <v>0</v>
      </c>
    </row>
    <row r="20" spans="1:31" ht="19.149999999999999" customHeight="1" outlineLevel="1">
      <c r="A20" s="365" t="s">
        <v>21</v>
      </c>
      <c r="B20" s="74"/>
      <c r="C20" s="370">
        <f t="shared" si="0"/>
        <v>0</v>
      </c>
      <c r="D20" s="74"/>
      <c r="E20" s="370">
        <f t="shared" si="1"/>
        <v>0</v>
      </c>
      <c r="F20" s="74"/>
      <c r="G20" s="370">
        <f t="shared" si="2"/>
        <v>0</v>
      </c>
      <c r="H20" s="74"/>
      <c r="I20" s="370">
        <f t="shared" ref="I20" si="159">(H20/100)*1000</f>
        <v>0</v>
      </c>
      <c r="J20" s="74"/>
      <c r="K20" s="370">
        <f t="shared" ref="K20" si="160">(J20/100)*1000</f>
        <v>0</v>
      </c>
      <c r="L20" s="74"/>
      <c r="M20" s="370">
        <f t="shared" ref="M20" si="161">(L20/100)*1000</f>
        <v>0</v>
      </c>
      <c r="N20" s="74"/>
      <c r="O20" s="370">
        <f t="shared" ref="O20" si="162">(N20/100)*1000</f>
        <v>0</v>
      </c>
      <c r="P20" s="74"/>
      <c r="Q20" s="370">
        <f t="shared" ref="Q20" si="163">(P20/100)*1000</f>
        <v>0</v>
      </c>
      <c r="R20" s="74"/>
      <c r="S20" s="370">
        <f t="shared" ref="S20" si="164">(R20/100)*1000</f>
        <v>0</v>
      </c>
      <c r="T20" s="74"/>
      <c r="U20" s="370">
        <f t="shared" ref="U20" si="165">(T20/100)*1000</f>
        <v>0</v>
      </c>
      <c r="V20" s="74"/>
      <c r="W20" s="370">
        <f t="shared" ref="W20" si="166">(V20/100)*1000</f>
        <v>0</v>
      </c>
      <c r="X20" s="74"/>
      <c r="Y20" s="370">
        <f t="shared" ref="Y20" si="167">(X20/100)*1000</f>
        <v>0</v>
      </c>
      <c r="Z20" s="74"/>
      <c r="AA20" s="370">
        <f t="shared" ref="AA20" si="168">(Z20/100)*1000</f>
        <v>0</v>
      </c>
      <c r="AB20" s="74"/>
      <c r="AC20" s="370">
        <f t="shared" ref="AC20" si="169">(AB20/100)*1000</f>
        <v>0</v>
      </c>
      <c r="AD20" s="74"/>
      <c r="AE20" s="370">
        <f t="shared" ref="AE20" si="170">(AD20/100)*1000</f>
        <v>0</v>
      </c>
    </row>
    <row r="21" spans="1:31" ht="19.149999999999999" customHeight="1" outlineLevel="1">
      <c r="A21" s="365" t="s">
        <v>22</v>
      </c>
      <c r="B21" s="74"/>
      <c r="C21" s="370">
        <f t="shared" si="0"/>
        <v>0</v>
      </c>
      <c r="D21" s="74"/>
      <c r="E21" s="370">
        <f t="shared" si="1"/>
        <v>0</v>
      </c>
      <c r="F21" s="74"/>
      <c r="G21" s="370">
        <f t="shared" si="2"/>
        <v>0</v>
      </c>
      <c r="H21" s="74"/>
      <c r="I21" s="370">
        <f t="shared" ref="I21" si="171">(H21/100)*1000</f>
        <v>0</v>
      </c>
      <c r="J21" s="74"/>
      <c r="K21" s="370">
        <f t="shared" ref="K21" si="172">(J21/100)*1000</f>
        <v>0</v>
      </c>
      <c r="L21" s="74"/>
      <c r="M21" s="370">
        <f t="shared" ref="M21" si="173">(L21/100)*1000</f>
        <v>0</v>
      </c>
      <c r="N21" s="74"/>
      <c r="O21" s="370">
        <f t="shared" ref="O21" si="174">(N21/100)*1000</f>
        <v>0</v>
      </c>
      <c r="P21" s="74"/>
      <c r="Q21" s="370">
        <f t="shared" ref="Q21" si="175">(P21/100)*1000</f>
        <v>0</v>
      </c>
      <c r="R21" s="74"/>
      <c r="S21" s="370">
        <f t="shared" ref="S21" si="176">(R21/100)*1000</f>
        <v>0</v>
      </c>
      <c r="T21" s="74"/>
      <c r="U21" s="370">
        <f t="shared" ref="U21" si="177">(T21/100)*1000</f>
        <v>0</v>
      </c>
      <c r="V21" s="74"/>
      <c r="W21" s="370">
        <f t="shared" ref="W21" si="178">(V21/100)*1000</f>
        <v>0</v>
      </c>
      <c r="X21" s="74"/>
      <c r="Y21" s="370">
        <f t="shared" ref="Y21" si="179">(X21/100)*1000</f>
        <v>0</v>
      </c>
      <c r="Z21" s="74"/>
      <c r="AA21" s="370">
        <f t="shared" ref="AA21" si="180">(Z21/100)*1000</f>
        <v>0</v>
      </c>
      <c r="AB21" s="74"/>
      <c r="AC21" s="370">
        <f t="shared" ref="AC21" si="181">(AB21/100)*1000</f>
        <v>0</v>
      </c>
      <c r="AD21" s="74"/>
      <c r="AE21" s="370">
        <f t="shared" ref="AE21" si="182">(AD21/100)*1000</f>
        <v>0</v>
      </c>
    </row>
    <row r="22" spans="1:31" ht="19.149999999999999" customHeight="1" outlineLevel="1">
      <c r="A22" s="365">
        <v>1</v>
      </c>
      <c r="B22" s="74"/>
      <c r="C22" s="370">
        <f t="shared" si="0"/>
        <v>0</v>
      </c>
      <c r="D22" s="74"/>
      <c r="E22" s="370">
        <f t="shared" si="1"/>
        <v>0</v>
      </c>
      <c r="F22" s="74"/>
      <c r="G22" s="370">
        <f t="shared" si="2"/>
        <v>0</v>
      </c>
      <c r="H22" s="74"/>
      <c r="I22" s="370">
        <f t="shared" ref="I22" si="183">(H22/100)*1000</f>
        <v>0</v>
      </c>
      <c r="J22" s="74"/>
      <c r="K22" s="370">
        <f t="shared" ref="K22" si="184">(J22/100)*1000</f>
        <v>0</v>
      </c>
      <c r="L22" s="74"/>
      <c r="M22" s="370">
        <f t="shared" ref="M22" si="185">(L22/100)*1000</f>
        <v>0</v>
      </c>
      <c r="N22" s="74"/>
      <c r="O22" s="370">
        <f t="shared" ref="O22" si="186">(N22/100)*1000</f>
        <v>0</v>
      </c>
      <c r="P22" s="74"/>
      <c r="Q22" s="370">
        <f t="shared" ref="Q22" si="187">(P22/100)*1000</f>
        <v>0</v>
      </c>
      <c r="R22" s="74"/>
      <c r="S22" s="370">
        <f t="shared" ref="S22" si="188">(R22/100)*1000</f>
        <v>0</v>
      </c>
      <c r="T22" s="74"/>
      <c r="U22" s="370">
        <f t="shared" ref="U22" si="189">(T22/100)*1000</f>
        <v>0</v>
      </c>
      <c r="V22" s="74"/>
      <c r="W22" s="370">
        <f t="shared" ref="W22" si="190">(V22/100)*1000</f>
        <v>0</v>
      </c>
      <c r="X22" s="74"/>
      <c r="Y22" s="370">
        <f t="shared" ref="Y22" si="191">(X22/100)*1000</f>
        <v>0</v>
      </c>
      <c r="Z22" s="74"/>
      <c r="AA22" s="370">
        <f t="shared" ref="AA22" si="192">(Z22/100)*1000</f>
        <v>0</v>
      </c>
      <c r="AB22" s="74"/>
      <c r="AC22" s="370">
        <f t="shared" ref="AC22" si="193">(AB22/100)*1000</f>
        <v>0</v>
      </c>
      <c r="AD22" s="74"/>
      <c r="AE22" s="370">
        <f t="shared" ref="AE22" si="194">(AD22/100)*1000</f>
        <v>0</v>
      </c>
    </row>
    <row r="23" spans="1:31" ht="19.149999999999999" customHeight="1" outlineLevel="1">
      <c r="A23" s="365">
        <v>2</v>
      </c>
      <c r="B23" s="74"/>
      <c r="C23" s="370">
        <f t="shared" si="0"/>
        <v>0</v>
      </c>
      <c r="D23" s="74"/>
      <c r="E23" s="370">
        <f t="shared" si="1"/>
        <v>0</v>
      </c>
      <c r="F23" s="74"/>
      <c r="G23" s="370">
        <f t="shared" si="2"/>
        <v>0</v>
      </c>
      <c r="H23" s="74"/>
      <c r="I23" s="370">
        <f t="shared" ref="I23" si="195">(H23/100)*1000</f>
        <v>0</v>
      </c>
      <c r="J23" s="74"/>
      <c r="K23" s="370">
        <f t="shared" ref="K23" si="196">(J23/100)*1000</f>
        <v>0</v>
      </c>
      <c r="L23" s="74"/>
      <c r="M23" s="370">
        <f t="shared" ref="M23" si="197">(L23/100)*1000</f>
        <v>0</v>
      </c>
      <c r="N23" s="74"/>
      <c r="O23" s="370">
        <f t="shared" ref="O23" si="198">(N23/100)*1000</f>
        <v>0</v>
      </c>
      <c r="P23" s="74"/>
      <c r="Q23" s="370">
        <f t="shared" ref="Q23" si="199">(P23/100)*1000</f>
        <v>0</v>
      </c>
      <c r="R23" s="74"/>
      <c r="S23" s="370">
        <f t="shared" ref="S23" si="200">(R23/100)*1000</f>
        <v>0</v>
      </c>
      <c r="T23" s="74"/>
      <c r="U23" s="370">
        <f t="shared" ref="U23" si="201">(T23/100)*1000</f>
        <v>0</v>
      </c>
      <c r="V23" s="74"/>
      <c r="W23" s="370">
        <f t="shared" ref="W23" si="202">(V23/100)*1000</f>
        <v>0</v>
      </c>
      <c r="X23" s="74"/>
      <c r="Y23" s="370">
        <f t="shared" ref="Y23" si="203">(X23/100)*1000</f>
        <v>0</v>
      </c>
      <c r="Z23" s="74"/>
      <c r="AA23" s="370">
        <f t="shared" ref="AA23" si="204">(Z23/100)*1000</f>
        <v>0</v>
      </c>
      <c r="AB23" s="74"/>
      <c r="AC23" s="370">
        <f t="shared" ref="AC23" si="205">(AB23/100)*1000</f>
        <v>0</v>
      </c>
      <c r="AD23" s="74"/>
      <c r="AE23" s="370">
        <f t="shared" ref="AE23" si="206">(AD23/100)*1000</f>
        <v>0</v>
      </c>
    </row>
    <row r="24" spans="1:31" ht="19.149999999999999" customHeight="1" outlineLevel="1">
      <c r="A24" s="365">
        <v>3</v>
      </c>
      <c r="B24" s="74"/>
      <c r="C24" s="370">
        <f t="shared" si="0"/>
        <v>0</v>
      </c>
      <c r="D24" s="74"/>
      <c r="E24" s="370">
        <f t="shared" si="1"/>
        <v>0</v>
      </c>
      <c r="F24" s="74"/>
      <c r="G24" s="370">
        <f t="shared" si="2"/>
        <v>0</v>
      </c>
      <c r="H24" s="74"/>
      <c r="I24" s="370">
        <f t="shared" ref="I24" si="207">(H24/100)*1000</f>
        <v>0</v>
      </c>
      <c r="J24" s="74"/>
      <c r="K24" s="370">
        <f t="shared" ref="K24" si="208">(J24/100)*1000</f>
        <v>0</v>
      </c>
      <c r="L24" s="74"/>
      <c r="M24" s="370">
        <f t="shared" ref="M24" si="209">(L24/100)*1000</f>
        <v>0</v>
      </c>
      <c r="N24" s="74"/>
      <c r="O24" s="370">
        <f t="shared" ref="O24" si="210">(N24/100)*1000</f>
        <v>0</v>
      </c>
      <c r="P24" s="74"/>
      <c r="Q24" s="370">
        <f t="shared" ref="Q24" si="211">(P24/100)*1000</f>
        <v>0</v>
      </c>
      <c r="R24" s="74"/>
      <c r="S24" s="370">
        <f t="shared" ref="S24" si="212">(R24/100)*1000</f>
        <v>0</v>
      </c>
      <c r="T24" s="74"/>
      <c r="U24" s="370">
        <f t="shared" ref="U24" si="213">(T24/100)*1000</f>
        <v>0</v>
      </c>
      <c r="V24" s="74"/>
      <c r="W24" s="370">
        <f t="shared" ref="W24" si="214">(V24/100)*1000</f>
        <v>0</v>
      </c>
      <c r="X24" s="74"/>
      <c r="Y24" s="370">
        <f t="shared" ref="Y24" si="215">(X24/100)*1000</f>
        <v>0</v>
      </c>
      <c r="Z24" s="74"/>
      <c r="AA24" s="370">
        <f t="shared" ref="AA24" si="216">(Z24/100)*1000</f>
        <v>0</v>
      </c>
      <c r="AB24" s="74"/>
      <c r="AC24" s="370">
        <f t="shared" ref="AC24" si="217">(AB24/100)*1000</f>
        <v>0</v>
      </c>
      <c r="AD24" s="74"/>
      <c r="AE24" s="370">
        <f t="shared" ref="AE24" si="218">(AD24/100)*1000</f>
        <v>0</v>
      </c>
    </row>
    <row r="25" spans="1:31" ht="19.149999999999999" customHeight="1" outlineLevel="1">
      <c r="A25" s="366" t="s">
        <v>23</v>
      </c>
      <c r="B25" s="74">
        <v>2</v>
      </c>
      <c r="C25" s="370">
        <f t="shared" si="0"/>
        <v>20</v>
      </c>
      <c r="D25" s="74"/>
      <c r="E25" s="370">
        <f t="shared" si="1"/>
        <v>0</v>
      </c>
      <c r="F25" s="74"/>
      <c r="G25" s="370">
        <f t="shared" si="2"/>
        <v>0</v>
      </c>
      <c r="H25" s="74"/>
      <c r="I25" s="370">
        <f t="shared" ref="I25" si="219">(H25/100)*1000</f>
        <v>0</v>
      </c>
      <c r="J25" s="74"/>
      <c r="K25" s="370">
        <f t="shared" ref="K25" si="220">(J25/100)*1000</f>
        <v>0</v>
      </c>
      <c r="L25" s="74"/>
      <c r="M25" s="370">
        <f t="shared" ref="M25" si="221">(L25/100)*1000</f>
        <v>0</v>
      </c>
      <c r="N25" s="74"/>
      <c r="O25" s="370">
        <f t="shared" ref="O25" si="222">(N25/100)*1000</f>
        <v>0</v>
      </c>
      <c r="P25" s="74"/>
      <c r="Q25" s="370">
        <f t="shared" ref="Q25" si="223">(P25/100)*1000</f>
        <v>0</v>
      </c>
      <c r="R25" s="74"/>
      <c r="S25" s="370">
        <f t="shared" ref="S25" si="224">(R25/100)*1000</f>
        <v>0</v>
      </c>
      <c r="T25" s="74"/>
      <c r="U25" s="370">
        <f t="shared" ref="U25" si="225">(T25/100)*1000</f>
        <v>0</v>
      </c>
      <c r="V25" s="74"/>
      <c r="W25" s="370">
        <f t="shared" ref="W25" si="226">(V25/100)*1000</f>
        <v>0</v>
      </c>
      <c r="X25" s="74"/>
      <c r="Y25" s="370">
        <f t="shared" ref="Y25" si="227">(X25/100)*1000</f>
        <v>0</v>
      </c>
      <c r="Z25" s="74"/>
      <c r="AA25" s="370">
        <f t="shared" ref="AA25" si="228">(Z25/100)*1000</f>
        <v>0</v>
      </c>
      <c r="AB25" s="74"/>
      <c r="AC25" s="370">
        <f t="shared" ref="AC25" si="229">(AB25/100)*1000</f>
        <v>0</v>
      </c>
      <c r="AD25" s="74"/>
      <c r="AE25" s="370">
        <f t="shared" ref="AE25" si="230">(AD25/100)*1000</f>
        <v>0</v>
      </c>
    </row>
    <row r="26" spans="1:31" ht="19.149999999999999" customHeight="1" outlineLevel="1">
      <c r="A26" s="366" t="s">
        <v>24</v>
      </c>
      <c r="B26" s="74"/>
      <c r="C26" s="370">
        <f t="shared" si="0"/>
        <v>0</v>
      </c>
      <c r="D26" s="74"/>
      <c r="E26" s="370">
        <f t="shared" si="1"/>
        <v>0</v>
      </c>
      <c r="F26" s="74"/>
      <c r="G26" s="370">
        <f t="shared" si="2"/>
        <v>0</v>
      </c>
      <c r="H26" s="74"/>
      <c r="I26" s="370">
        <f t="shared" ref="I26" si="231">(H26/100)*1000</f>
        <v>0</v>
      </c>
      <c r="J26" s="74"/>
      <c r="K26" s="370">
        <f t="shared" ref="K26" si="232">(J26/100)*1000</f>
        <v>0</v>
      </c>
      <c r="L26" s="74"/>
      <c r="M26" s="370">
        <f t="shared" ref="M26" si="233">(L26/100)*1000</f>
        <v>0</v>
      </c>
      <c r="N26" s="74"/>
      <c r="O26" s="370">
        <f t="shared" ref="O26" si="234">(N26/100)*1000</f>
        <v>0</v>
      </c>
      <c r="P26" s="74"/>
      <c r="Q26" s="370">
        <f t="shared" ref="Q26" si="235">(P26/100)*1000</f>
        <v>0</v>
      </c>
      <c r="R26" s="74"/>
      <c r="S26" s="370">
        <f t="shared" ref="S26" si="236">(R26/100)*1000</f>
        <v>0</v>
      </c>
      <c r="T26" s="74"/>
      <c r="U26" s="370">
        <f t="shared" ref="U26" si="237">(T26/100)*1000</f>
        <v>0</v>
      </c>
      <c r="V26" s="74"/>
      <c r="W26" s="370">
        <f t="shared" ref="W26" si="238">(V26/100)*1000</f>
        <v>0</v>
      </c>
      <c r="X26" s="74"/>
      <c r="Y26" s="370">
        <f t="shared" ref="Y26" si="239">(X26/100)*1000</f>
        <v>0</v>
      </c>
      <c r="Z26" s="74"/>
      <c r="AA26" s="370">
        <f t="shared" ref="AA26" si="240">(Z26/100)*1000</f>
        <v>0</v>
      </c>
      <c r="AB26" s="74"/>
      <c r="AC26" s="370">
        <f t="shared" ref="AC26" si="241">(AB26/100)*1000</f>
        <v>0</v>
      </c>
      <c r="AD26" s="74"/>
      <c r="AE26" s="370">
        <f t="shared" ref="AE26" si="242">(AD26/100)*1000</f>
        <v>0</v>
      </c>
    </row>
    <row r="27" spans="1:31" ht="19.149999999999999" customHeight="1" outlineLevel="1">
      <c r="A27" s="366" t="s">
        <v>25</v>
      </c>
      <c r="B27" s="74"/>
      <c r="C27" s="370">
        <f t="shared" si="0"/>
        <v>0</v>
      </c>
      <c r="D27" s="74"/>
      <c r="E27" s="370">
        <f t="shared" si="1"/>
        <v>0</v>
      </c>
      <c r="F27" s="74"/>
      <c r="G27" s="370">
        <f t="shared" si="2"/>
        <v>0</v>
      </c>
      <c r="H27" s="74"/>
      <c r="I27" s="370">
        <f t="shared" ref="I27" si="243">(H27/100)*1000</f>
        <v>0</v>
      </c>
      <c r="J27" s="74"/>
      <c r="K27" s="370">
        <f t="shared" ref="K27" si="244">(J27/100)*1000</f>
        <v>0</v>
      </c>
      <c r="L27" s="74"/>
      <c r="M27" s="370">
        <f t="shared" ref="M27" si="245">(L27/100)*1000</f>
        <v>0</v>
      </c>
      <c r="N27" s="74"/>
      <c r="O27" s="370">
        <f t="shared" ref="O27" si="246">(N27/100)*1000</f>
        <v>0</v>
      </c>
      <c r="P27" s="74"/>
      <c r="Q27" s="370">
        <f t="shared" ref="Q27" si="247">(P27/100)*1000</f>
        <v>0</v>
      </c>
      <c r="R27" s="74"/>
      <c r="S27" s="370">
        <f t="shared" ref="S27" si="248">(R27/100)*1000</f>
        <v>0</v>
      </c>
      <c r="T27" s="74"/>
      <c r="U27" s="370">
        <f t="shared" ref="U27" si="249">(T27/100)*1000</f>
        <v>0</v>
      </c>
      <c r="V27" s="74"/>
      <c r="W27" s="370">
        <f t="shared" ref="W27" si="250">(V27/100)*1000</f>
        <v>0</v>
      </c>
      <c r="X27" s="74"/>
      <c r="Y27" s="370">
        <f t="shared" ref="Y27" si="251">(X27/100)*1000</f>
        <v>0</v>
      </c>
      <c r="Z27" s="74"/>
      <c r="AA27" s="370">
        <f t="shared" ref="AA27" si="252">(Z27/100)*1000</f>
        <v>0</v>
      </c>
      <c r="AB27" s="74"/>
      <c r="AC27" s="370">
        <f t="shared" ref="AC27" si="253">(AB27/100)*1000</f>
        <v>0</v>
      </c>
      <c r="AD27" s="74"/>
      <c r="AE27" s="370">
        <f t="shared" ref="AE27" si="254">(AD27/100)*1000</f>
        <v>0</v>
      </c>
    </row>
    <row r="28" spans="1:31" ht="19.149999999999999" customHeight="1" outlineLevel="1">
      <c r="A28" s="366" t="s">
        <v>26</v>
      </c>
      <c r="B28" s="74"/>
      <c r="C28" s="370">
        <f t="shared" si="0"/>
        <v>0</v>
      </c>
      <c r="D28" s="74"/>
      <c r="E28" s="370">
        <f t="shared" si="1"/>
        <v>0</v>
      </c>
      <c r="F28" s="74"/>
      <c r="G28" s="370">
        <f t="shared" si="2"/>
        <v>0</v>
      </c>
      <c r="H28" s="74"/>
      <c r="I28" s="370">
        <f t="shared" ref="I28" si="255">(H28/100)*1000</f>
        <v>0</v>
      </c>
      <c r="J28" s="74"/>
      <c r="K28" s="370">
        <f t="shared" ref="K28" si="256">(J28/100)*1000</f>
        <v>0</v>
      </c>
      <c r="L28" s="74"/>
      <c r="M28" s="370">
        <f t="shared" ref="M28" si="257">(L28/100)*1000</f>
        <v>0</v>
      </c>
      <c r="N28" s="74"/>
      <c r="O28" s="370">
        <f t="shared" ref="O28" si="258">(N28/100)*1000</f>
        <v>0</v>
      </c>
      <c r="P28" s="74"/>
      <c r="Q28" s="370">
        <f t="shared" ref="Q28" si="259">(P28/100)*1000</f>
        <v>0</v>
      </c>
      <c r="R28" s="74"/>
      <c r="S28" s="370">
        <f t="shared" ref="S28" si="260">(R28/100)*1000</f>
        <v>0</v>
      </c>
      <c r="T28" s="74"/>
      <c r="U28" s="370">
        <f t="shared" ref="U28" si="261">(T28/100)*1000</f>
        <v>0</v>
      </c>
      <c r="V28" s="74"/>
      <c r="W28" s="370">
        <f t="shared" ref="W28" si="262">(V28/100)*1000</f>
        <v>0</v>
      </c>
      <c r="X28" s="74"/>
      <c r="Y28" s="370">
        <f t="shared" ref="Y28" si="263">(X28/100)*1000</f>
        <v>0</v>
      </c>
      <c r="Z28" s="74"/>
      <c r="AA28" s="370">
        <f t="shared" ref="AA28" si="264">(Z28/100)*1000</f>
        <v>0</v>
      </c>
      <c r="AB28" s="74"/>
      <c r="AC28" s="370">
        <f t="shared" ref="AC28" si="265">(AB28/100)*1000</f>
        <v>0</v>
      </c>
      <c r="AD28" s="74"/>
      <c r="AE28" s="370">
        <f t="shared" ref="AE28" si="266">(AD28/100)*1000</f>
        <v>0</v>
      </c>
    </row>
    <row r="29" spans="1:31" ht="19.149999999999999" customHeight="1" outlineLevel="1">
      <c r="A29" s="366" t="s">
        <v>27</v>
      </c>
      <c r="B29" s="74"/>
      <c r="C29" s="370">
        <f t="shared" si="0"/>
        <v>0</v>
      </c>
      <c r="D29" s="74"/>
      <c r="E29" s="370">
        <f t="shared" si="1"/>
        <v>0</v>
      </c>
      <c r="F29" s="74"/>
      <c r="G29" s="370">
        <f t="shared" si="2"/>
        <v>0</v>
      </c>
      <c r="H29" s="74"/>
      <c r="I29" s="370">
        <f t="shared" ref="I29" si="267">(H29/100)*1000</f>
        <v>0</v>
      </c>
      <c r="J29" s="74"/>
      <c r="K29" s="370">
        <f t="shared" ref="K29" si="268">(J29/100)*1000</f>
        <v>0</v>
      </c>
      <c r="L29" s="74"/>
      <c r="M29" s="370">
        <f t="shared" ref="M29" si="269">(L29/100)*1000</f>
        <v>0</v>
      </c>
      <c r="N29" s="74"/>
      <c r="O29" s="370">
        <f t="shared" ref="O29" si="270">(N29/100)*1000</f>
        <v>0</v>
      </c>
      <c r="P29" s="74"/>
      <c r="Q29" s="370">
        <f t="shared" ref="Q29" si="271">(P29/100)*1000</f>
        <v>0</v>
      </c>
      <c r="R29" s="74"/>
      <c r="S29" s="370">
        <f t="shared" ref="S29" si="272">(R29/100)*1000</f>
        <v>0</v>
      </c>
      <c r="T29" s="74"/>
      <c r="U29" s="370">
        <f t="shared" ref="U29" si="273">(T29/100)*1000</f>
        <v>0</v>
      </c>
      <c r="V29" s="74"/>
      <c r="W29" s="370">
        <f t="shared" ref="W29" si="274">(V29/100)*1000</f>
        <v>0</v>
      </c>
      <c r="X29" s="74"/>
      <c r="Y29" s="370">
        <f t="shared" ref="Y29" si="275">(X29/100)*1000</f>
        <v>0</v>
      </c>
      <c r="Z29" s="74"/>
      <c r="AA29" s="370">
        <f t="shared" ref="AA29" si="276">(Z29/100)*1000</f>
        <v>0</v>
      </c>
      <c r="AB29" s="74"/>
      <c r="AC29" s="370">
        <f t="shared" ref="AC29" si="277">(AB29/100)*1000</f>
        <v>0</v>
      </c>
      <c r="AD29" s="74"/>
      <c r="AE29" s="370">
        <f t="shared" ref="AE29" si="278">(AD29/100)*1000</f>
        <v>0</v>
      </c>
    </row>
    <row r="30" spans="1:31" ht="19.149999999999999" customHeight="1" outlineLevel="1">
      <c r="A30" s="366">
        <v>1</v>
      </c>
      <c r="B30" s="74"/>
      <c r="C30" s="370">
        <f t="shared" si="0"/>
        <v>0</v>
      </c>
      <c r="D30" s="74"/>
      <c r="E30" s="370">
        <f t="shared" si="1"/>
        <v>0</v>
      </c>
      <c r="F30" s="74"/>
      <c r="G30" s="370">
        <f t="shared" si="2"/>
        <v>0</v>
      </c>
      <c r="H30" s="74"/>
      <c r="I30" s="370">
        <f t="shared" ref="I30" si="279">(H30/100)*1000</f>
        <v>0</v>
      </c>
      <c r="J30" s="74"/>
      <c r="K30" s="370">
        <f t="shared" ref="K30" si="280">(J30/100)*1000</f>
        <v>0</v>
      </c>
      <c r="L30" s="74"/>
      <c r="M30" s="370">
        <f t="shared" ref="M30" si="281">(L30/100)*1000</f>
        <v>0</v>
      </c>
      <c r="N30" s="74"/>
      <c r="O30" s="370">
        <f t="shared" ref="O30" si="282">(N30/100)*1000</f>
        <v>0</v>
      </c>
      <c r="P30" s="74"/>
      <c r="Q30" s="370">
        <f t="shared" ref="Q30" si="283">(P30/100)*1000</f>
        <v>0</v>
      </c>
      <c r="R30" s="74"/>
      <c r="S30" s="370">
        <f t="shared" ref="S30" si="284">(R30/100)*1000</f>
        <v>0</v>
      </c>
      <c r="T30" s="74"/>
      <c r="U30" s="370">
        <f t="shared" ref="U30" si="285">(T30/100)*1000</f>
        <v>0</v>
      </c>
      <c r="V30" s="74"/>
      <c r="W30" s="370">
        <f t="shared" ref="W30" si="286">(V30/100)*1000</f>
        <v>0</v>
      </c>
      <c r="X30" s="74"/>
      <c r="Y30" s="370">
        <f t="shared" ref="Y30" si="287">(X30/100)*1000</f>
        <v>0</v>
      </c>
      <c r="Z30" s="74"/>
      <c r="AA30" s="370">
        <f t="shared" ref="AA30" si="288">(Z30/100)*1000</f>
        <v>0</v>
      </c>
      <c r="AB30" s="74"/>
      <c r="AC30" s="370">
        <f t="shared" ref="AC30" si="289">(AB30/100)*1000</f>
        <v>0</v>
      </c>
      <c r="AD30" s="74"/>
      <c r="AE30" s="370">
        <f t="shared" ref="AE30" si="290">(AD30/100)*1000</f>
        <v>0</v>
      </c>
    </row>
    <row r="31" spans="1:31" ht="19.149999999999999" customHeight="1" outlineLevel="1">
      <c r="A31" s="366" t="s">
        <v>28</v>
      </c>
      <c r="B31" s="74"/>
      <c r="C31" s="370">
        <f t="shared" si="0"/>
        <v>0</v>
      </c>
      <c r="D31" s="74"/>
      <c r="E31" s="370">
        <f t="shared" si="1"/>
        <v>0</v>
      </c>
      <c r="F31" s="74"/>
      <c r="G31" s="370">
        <f t="shared" si="2"/>
        <v>0</v>
      </c>
      <c r="H31" s="74"/>
      <c r="I31" s="370">
        <f t="shared" ref="I31" si="291">(H31/100)*1000</f>
        <v>0</v>
      </c>
      <c r="J31" s="74"/>
      <c r="K31" s="370">
        <f t="shared" ref="K31" si="292">(J31/100)*1000</f>
        <v>0</v>
      </c>
      <c r="L31" s="74"/>
      <c r="M31" s="370">
        <f t="shared" ref="M31" si="293">(L31/100)*1000</f>
        <v>0</v>
      </c>
      <c r="N31" s="74"/>
      <c r="O31" s="370">
        <f t="shared" ref="O31" si="294">(N31/100)*1000</f>
        <v>0</v>
      </c>
      <c r="P31" s="74"/>
      <c r="Q31" s="370">
        <f t="shared" ref="Q31" si="295">(P31/100)*1000</f>
        <v>0</v>
      </c>
      <c r="R31" s="74"/>
      <c r="S31" s="370">
        <f t="shared" ref="S31" si="296">(R31/100)*1000</f>
        <v>0</v>
      </c>
      <c r="T31" s="74"/>
      <c r="U31" s="370">
        <f t="shared" ref="U31" si="297">(T31/100)*1000</f>
        <v>0</v>
      </c>
      <c r="V31" s="74"/>
      <c r="W31" s="370">
        <f t="shared" ref="W31" si="298">(V31/100)*1000</f>
        <v>0</v>
      </c>
      <c r="X31" s="74"/>
      <c r="Y31" s="370">
        <f t="shared" ref="Y31" si="299">(X31/100)*1000</f>
        <v>0</v>
      </c>
      <c r="Z31" s="74"/>
      <c r="AA31" s="370">
        <f t="shared" ref="AA31" si="300">(Z31/100)*1000</f>
        <v>0</v>
      </c>
      <c r="AB31" s="74"/>
      <c r="AC31" s="370">
        <f t="shared" ref="AC31" si="301">(AB31/100)*1000</f>
        <v>0</v>
      </c>
      <c r="AD31" s="74"/>
      <c r="AE31" s="370">
        <f t="shared" ref="AE31" si="302">(AD31/100)*1000</f>
        <v>0</v>
      </c>
    </row>
    <row r="32" spans="1:31" ht="19.149999999999999" customHeight="1" outlineLevel="1">
      <c r="A32" s="366" t="s">
        <v>29</v>
      </c>
      <c r="B32" s="74"/>
      <c r="C32" s="370">
        <f t="shared" si="0"/>
        <v>0</v>
      </c>
      <c r="D32" s="74"/>
      <c r="E32" s="370">
        <f t="shared" si="1"/>
        <v>0</v>
      </c>
      <c r="F32" s="74"/>
      <c r="G32" s="370">
        <f t="shared" si="2"/>
        <v>0</v>
      </c>
      <c r="H32" s="74"/>
      <c r="I32" s="370">
        <f t="shared" ref="I32" si="303">(H32/100)*1000</f>
        <v>0</v>
      </c>
      <c r="J32" s="74"/>
      <c r="K32" s="370">
        <f t="shared" ref="K32" si="304">(J32/100)*1000</f>
        <v>0</v>
      </c>
      <c r="L32" s="74"/>
      <c r="M32" s="370">
        <f t="shared" ref="M32" si="305">(L32/100)*1000</f>
        <v>0</v>
      </c>
      <c r="N32" s="74"/>
      <c r="O32" s="370">
        <f t="shared" ref="O32" si="306">(N32/100)*1000</f>
        <v>0</v>
      </c>
      <c r="P32" s="74"/>
      <c r="Q32" s="370">
        <f t="shared" ref="Q32" si="307">(P32/100)*1000</f>
        <v>0</v>
      </c>
      <c r="R32" s="74"/>
      <c r="S32" s="370">
        <f t="shared" ref="S32" si="308">(R32/100)*1000</f>
        <v>0</v>
      </c>
      <c r="T32" s="74"/>
      <c r="U32" s="370">
        <f t="shared" ref="U32" si="309">(T32/100)*1000</f>
        <v>0</v>
      </c>
      <c r="V32" s="74"/>
      <c r="W32" s="370">
        <f t="shared" ref="W32" si="310">(V32/100)*1000</f>
        <v>0</v>
      </c>
      <c r="X32" s="74"/>
      <c r="Y32" s="370">
        <f t="shared" ref="Y32" si="311">(X32/100)*1000</f>
        <v>0</v>
      </c>
      <c r="Z32" s="74"/>
      <c r="AA32" s="370">
        <f t="shared" ref="AA32" si="312">(Z32/100)*1000</f>
        <v>0</v>
      </c>
      <c r="AB32" s="74"/>
      <c r="AC32" s="370">
        <f t="shared" ref="AC32" si="313">(AB32/100)*1000</f>
        <v>0</v>
      </c>
      <c r="AD32" s="74"/>
      <c r="AE32" s="370">
        <f t="shared" ref="AE32" si="314">(AD32/100)*1000</f>
        <v>0</v>
      </c>
    </row>
    <row r="33" spans="1:31" ht="19.149999999999999" customHeight="1" outlineLevel="1">
      <c r="A33" s="366" t="s">
        <v>30</v>
      </c>
      <c r="B33" s="74"/>
      <c r="C33" s="370">
        <f t="shared" si="0"/>
        <v>0</v>
      </c>
      <c r="D33" s="74"/>
      <c r="E33" s="370">
        <f t="shared" si="1"/>
        <v>0</v>
      </c>
      <c r="F33" s="74"/>
      <c r="G33" s="370">
        <f t="shared" si="2"/>
        <v>0</v>
      </c>
      <c r="H33" s="74"/>
      <c r="I33" s="370">
        <f t="shared" ref="I33" si="315">(H33/100)*1000</f>
        <v>0</v>
      </c>
      <c r="J33" s="74"/>
      <c r="K33" s="370">
        <f t="shared" ref="K33" si="316">(J33/100)*1000</f>
        <v>0</v>
      </c>
      <c r="L33" s="74"/>
      <c r="M33" s="370">
        <f t="shared" ref="M33" si="317">(L33/100)*1000</f>
        <v>0</v>
      </c>
      <c r="N33" s="74"/>
      <c r="O33" s="370">
        <f t="shared" ref="O33" si="318">(N33/100)*1000</f>
        <v>0</v>
      </c>
      <c r="P33" s="74"/>
      <c r="Q33" s="370">
        <f t="shared" ref="Q33" si="319">(P33/100)*1000</f>
        <v>0</v>
      </c>
      <c r="R33" s="74"/>
      <c r="S33" s="370">
        <f t="shared" ref="S33" si="320">(R33/100)*1000</f>
        <v>0</v>
      </c>
      <c r="T33" s="74"/>
      <c r="U33" s="370">
        <f t="shared" ref="U33" si="321">(T33/100)*1000</f>
        <v>0</v>
      </c>
      <c r="V33" s="74"/>
      <c r="W33" s="370">
        <f t="shared" ref="W33" si="322">(V33/100)*1000</f>
        <v>0</v>
      </c>
      <c r="X33" s="74"/>
      <c r="Y33" s="370">
        <f t="shared" ref="Y33" si="323">(X33/100)*1000</f>
        <v>0</v>
      </c>
      <c r="Z33" s="74"/>
      <c r="AA33" s="370">
        <f t="shared" ref="AA33" si="324">(Z33/100)*1000</f>
        <v>0</v>
      </c>
      <c r="AB33" s="74"/>
      <c r="AC33" s="370">
        <f t="shared" ref="AC33" si="325">(AB33/100)*1000</f>
        <v>0</v>
      </c>
      <c r="AD33" s="74"/>
      <c r="AE33" s="370">
        <f t="shared" ref="AE33" si="326">(AD33/100)*1000</f>
        <v>0</v>
      </c>
    </row>
    <row r="34" spans="1:31" ht="19.149999999999999" customHeight="1" outlineLevel="1">
      <c r="A34" s="366" t="s">
        <v>31</v>
      </c>
      <c r="B34" s="74"/>
      <c r="C34" s="370">
        <f t="shared" si="0"/>
        <v>0</v>
      </c>
      <c r="D34" s="74"/>
      <c r="E34" s="370">
        <f t="shared" si="1"/>
        <v>0</v>
      </c>
      <c r="F34" s="74"/>
      <c r="G34" s="370">
        <f t="shared" si="2"/>
        <v>0</v>
      </c>
      <c r="H34" s="74"/>
      <c r="I34" s="370">
        <f t="shared" ref="I34" si="327">(H34/100)*1000</f>
        <v>0</v>
      </c>
      <c r="J34" s="74"/>
      <c r="K34" s="370">
        <f t="shared" ref="K34" si="328">(J34/100)*1000</f>
        <v>0</v>
      </c>
      <c r="L34" s="74"/>
      <c r="M34" s="370">
        <f t="shared" ref="M34" si="329">(L34/100)*1000</f>
        <v>0</v>
      </c>
      <c r="N34" s="74"/>
      <c r="O34" s="370">
        <f t="shared" ref="O34" si="330">(N34/100)*1000</f>
        <v>0</v>
      </c>
      <c r="P34" s="74"/>
      <c r="Q34" s="370">
        <f t="shared" ref="Q34" si="331">(P34/100)*1000</f>
        <v>0</v>
      </c>
      <c r="R34" s="74"/>
      <c r="S34" s="370">
        <f t="shared" ref="S34" si="332">(R34/100)*1000</f>
        <v>0</v>
      </c>
      <c r="T34" s="74"/>
      <c r="U34" s="370">
        <f t="shared" ref="U34" si="333">(T34/100)*1000</f>
        <v>0</v>
      </c>
      <c r="V34" s="74"/>
      <c r="W34" s="370">
        <f t="shared" ref="W34" si="334">(V34/100)*1000</f>
        <v>0</v>
      </c>
      <c r="X34" s="74"/>
      <c r="Y34" s="370">
        <f t="shared" ref="Y34" si="335">(X34/100)*1000</f>
        <v>0</v>
      </c>
      <c r="Z34" s="74"/>
      <c r="AA34" s="370">
        <f t="shared" ref="AA34" si="336">(Z34/100)*1000</f>
        <v>0</v>
      </c>
      <c r="AB34" s="74"/>
      <c r="AC34" s="370">
        <f t="shared" ref="AC34" si="337">(AB34/100)*1000</f>
        <v>0</v>
      </c>
      <c r="AD34" s="74"/>
      <c r="AE34" s="370">
        <f t="shared" ref="AE34" si="338">(AD34/100)*1000</f>
        <v>0</v>
      </c>
    </row>
    <row r="35" spans="1:31" ht="19.149999999999999" customHeight="1" outlineLevel="1">
      <c r="A35" s="366" t="s">
        <v>32</v>
      </c>
      <c r="B35" s="74"/>
      <c r="C35" s="370">
        <f t="shared" si="0"/>
        <v>0</v>
      </c>
      <c r="D35" s="74"/>
      <c r="E35" s="370">
        <f t="shared" si="1"/>
        <v>0</v>
      </c>
      <c r="F35" s="74"/>
      <c r="G35" s="370">
        <f t="shared" si="2"/>
        <v>0</v>
      </c>
      <c r="H35" s="74"/>
      <c r="I35" s="370">
        <f t="shared" ref="I35" si="339">(H35/100)*1000</f>
        <v>0</v>
      </c>
      <c r="J35" s="74"/>
      <c r="K35" s="370">
        <f t="shared" ref="K35" si="340">(J35/100)*1000</f>
        <v>0</v>
      </c>
      <c r="L35" s="74"/>
      <c r="M35" s="370">
        <f t="shared" ref="M35" si="341">(L35/100)*1000</f>
        <v>0</v>
      </c>
      <c r="N35" s="74"/>
      <c r="O35" s="370">
        <f t="shared" ref="O35" si="342">(N35/100)*1000</f>
        <v>0</v>
      </c>
      <c r="P35" s="74"/>
      <c r="Q35" s="370">
        <f t="shared" ref="Q35" si="343">(P35/100)*1000</f>
        <v>0</v>
      </c>
      <c r="R35" s="74"/>
      <c r="S35" s="370">
        <f t="shared" ref="S35" si="344">(R35/100)*1000</f>
        <v>0</v>
      </c>
      <c r="T35" s="74"/>
      <c r="U35" s="370">
        <f t="shared" ref="U35" si="345">(T35/100)*1000</f>
        <v>0</v>
      </c>
      <c r="V35" s="74"/>
      <c r="W35" s="370">
        <f t="shared" ref="W35" si="346">(V35/100)*1000</f>
        <v>0</v>
      </c>
      <c r="X35" s="74"/>
      <c r="Y35" s="370">
        <f t="shared" ref="Y35" si="347">(X35/100)*1000</f>
        <v>0</v>
      </c>
      <c r="Z35" s="74"/>
      <c r="AA35" s="370">
        <f t="shared" ref="AA35" si="348">(Z35/100)*1000</f>
        <v>0</v>
      </c>
      <c r="AB35" s="74"/>
      <c r="AC35" s="370">
        <f t="shared" ref="AC35" si="349">(AB35/100)*1000</f>
        <v>0</v>
      </c>
      <c r="AD35" s="74"/>
      <c r="AE35" s="370">
        <f t="shared" ref="AE35" si="350">(AD35/100)*1000</f>
        <v>0</v>
      </c>
    </row>
    <row r="36" spans="1:31" ht="19.149999999999999" customHeight="1" outlineLevel="1">
      <c r="A36" s="366" t="s">
        <v>33</v>
      </c>
      <c r="B36" s="74"/>
      <c r="C36" s="370">
        <f t="shared" si="0"/>
        <v>0</v>
      </c>
      <c r="D36" s="74"/>
      <c r="E36" s="370">
        <f t="shared" si="1"/>
        <v>0</v>
      </c>
      <c r="F36" s="74"/>
      <c r="G36" s="370">
        <f t="shared" si="2"/>
        <v>0</v>
      </c>
      <c r="H36" s="74"/>
      <c r="I36" s="370">
        <f t="shared" ref="I36" si="351">(H36/100)*1000</f>
        <v>0</v>
      </c>
      <c r="J36" s="74"/>
      <c r="K36" s="370">
        <f t="shared" ref="K36" si="352">(J36/100)*1000</f>
        <v>0</v>
      </c>
      <c r="L36" s="74"/>
      <c r="M36" s="370">
        <f t="shared" ref="M36" si="353">(L36/100)*1000</f>
        <v>0</v>
      </c>
      <c r="N36" s="74"/>
      <c r="O36" s="370">
        <f t="shared" ref="O36" si="354">(N36/100)*1000</f>
        <v>0</v>
      </c>
      <c r="P36" s="74"/>
      <c r="Q36" s="370">
        <f t="shared" ref="Q36" si="355">(P36/100)*1000</f>
        <v>0</v>
      </c>
      <c r="R36" s="74"/>
      <c r="S36" s="370">
        <f t="shared" ref="S36" si="356">(R36/100)*1000</f>
        <v>0</v>
      </c>
      <c r="T36" s="74"/>
      <c r="U36" s="370">
        <f t="shared" ref="U36" si="357">(T36/100)*1000</f>
        <v>0</v>
      </c>
      <c r="V36" s="74"/>
      <c r="W36" s="370">
        <f t="shared" ref="W36" si="358">(V36/100)*1000</f>
        <v>0</v>
      </c>
      <c r="X36" s="74"/>
      <c r="Y36" s="370">
        <f t="shared" ref="Y36" si="359">(X36/100)*1000</f>
        <v>0</v>
      </c>
      <c r="Z36" s="74"/>
      <c r="AA36" s="370">
        <f t="shared" ref="AA36" si="360">(Z36/100)*1000</f>
        <v>0</v>
      </c>
      <c r="AB36" s="74"/>
      <c r="AC36" s="370">
        <f t="shared" ref="AC36" si="361">(AB36/100)*1000</f>
        <v>0</v>
      </c>
      <c r="AD36" s="74"/>
      <c r="AE36" s="370">
        <f t="shared" ref="AE36" si="362">(AD36/100)*1000</f>
        <v>0</v>
      </c>
    </row>
    <row r="37" spans="1:31" ht="19.149999999999999" customHeight="1" outlineLevel="1">
      <c r="A37" s="366" t="s">
        <v>34</v>
      </c>
      <c r="B37" s="74"/>
      <c r="C37" s="370">
        <f t="shared" si="0"/>
        <v>0</v>
      </c>
      <c r="D37" s="74"/>
      <c r="E37" s="370">
        <f t="shared" si="1"/>
        <v>0</v>
      </c>
      <c r="F37" s="74"/>
      <c r="G37" s="370">
        <f t="shared" si="2"/>
        <v>0</v>
      </c>
      <c r="H37" s="74"/>
      <c r="I37" s="370">
        <f t="shared" ref="I37" si="363">(H37/100)*1000</f>
        <v>0</v>
      </c>
      <c r="J37" s="74"/>
      <c r="K37" s="370">
        <f t="shared" ref="K37" si="364">(J37/100)*1000</f>
        <v>0</v>
      </c>
      <c r="L37" s="74"/>
      <c r="M37" s="370">
        <f t="shared" ref="M37" si="365">(L37/100)*1000</f>
        <v>0</v>
      </c>
      <c r="N37" s="74"/>
      <c r="O37" s="370">
        <f t="shared" ref="O37" si="366">(N37/100)*1000</f>
        <v>0</v>
      </c>
      <c r="P37" s="74"/>
      <c r="Q37" s="370">
        <f t="shared" ref="Q37" si="367">(P37/100)*1000</f>
        <v>0</v>
      </c>
      <c r="R37" s="74"/>
      <c r="S37" s="370">
        <f t="shared" ref="S37" si="368">(R37/100)*1000</f>
        <v>0</v>
      </c>
      <c r="T37" s="74"/>
      <c r="U37" s="370">
        <f t="shared" ref="U37" si="369">(T37/100)*1000</f>
        <v>0</v>
      </c>
      <c r="V37" s="74"/>
      <c r="W37" s="370">
        <f t="shared" ref="W37" si="370">(V37/100)*1000</f>
        <v>0</v>
      </c>
      <c r="X37" s="74"/>
      <c r="Y37" s="370">
        <f t="shared" ref="Y37" si="371">(X37/100)*1000</f>
        <v>0</v>
      </c>
      <c r="Z37" s="74"/>
      <c r="AA37" s="370">
        <f t="shared" ref="AA37" si="372">(Z37/100)*1000</f>
        <v>0</v>
      </c>
      <c r="AB37" s="74"/>
      <c r="AC37" s="370">
        <f t="shared" ref="AC37" si="373">(AB37/100)*1000</f>
        <v>0</v>
      </c>
      <c r="AD37" s="74"/>
      <c r="AE37" s="370">
        <f t="shared" ref="AE37" si="374">(AD37/100)*1000</f>
        <v>0</v>
      </c>
    </row>
    <row r="38" spans="1:31" ht="19.149999999999999" customHeight="1" outlineLevel="1">
      <c r="A38" s="366" t="s">
        <v>35</v>
      </c>
      <c r="B38" s="74"/>
      <c r="C38" s="370">
        <f t="shared" si="0"/>
        <v>0</v>
      </c>
      <c r="D38" s="74"/>
      <c r="E38" s="370">
        <f t="shared" si="1"/>
        <v>0</v>
      </c>
      <c r="F38" s="74"/>
      <c r="G38" s="370">
        <f t="shared" si="2"/>
        <v>0</v>
      </c>
      <c r="H38" s="74"/>
      <c r="I38" s="370">
        <f t="shared" ref="I38" si="375">(H38/100)*1000</f>
        <v>0</v>
      </c>
      <c r="J38" s="74"/>
      <c r="K38" s="370">
        <f t="shared" ref="K38" si="376">(J38/100)*1000</f>
        <v>0</v>
      </c>
      <c r="L38" s="74"/>
      <c r="M38" s="370">
        <f t="shared" ref="M38" si="377">(L38/100)*1000</f>
        <v>0</v>
      </c>
      <c r="N38" s="74"/>
      <c r="O38" s="370">
        <f t="shared" ref="O38" si="378">(N38/100)*1000</f>
        <v>0</v>
      </c>
      <c r="P38" s="74"/>
      <c r="Q38" s="370">
        <f t="shared" ref="Q38" si="379">(P38/100)*1000</f>
        <v>0</v>
      </c>
      <c r="R38" s="74"/>
      <c r="S38" s="370">
        <f t="shared" ref="S38" si="380">(R38/100)*1000</f>
        <v>0</v>
      </c>
      <c r="T38" s="74"/>
      <c r="U38" s="370">
        <f t="shared" ref="U38" si="381">(T38/100)*1000</f>
        <v>0</v>
      </c>
      <c r="V38" s="74"/>
      <c r="W38" s="370">
        <f t="shared" ref="W38" si="382">(V38/100)*1000</f>
        <v>0</v>
      </c>
      <c r="X38" s="74"/>
      <c r="Y38" s="370">
        <f t="shared" ref="Y38" si="383">(X38/100)*1000</f>
        <v>0</v>
      </c>
      <c r="Z38" s="74"/>
      <c r="AA38" s="370">
        <f t="shared" ref="AA38" si="384">(Z38/100)*1000</f>
        <v>0</v>
      </c>
      <c r="AB38" s="74"/>
      <c r="AC38" s="370">
        <f t="shared" ref="AC38" si="385">(AB38/100)*1000</f>
        <v>0</v>
      </c>
      <c r="AD38" s="74"/>
      <c r="AE38" s="370">
        <f t="shared" ref="AE38" si="386">(AD38/100)*1000</f>
        <v>0</v>
      </c>
    </row>
    <row r="39" spans="1:31" ht="19.149999999999999" customHeight="1" outlineLevel="1">
      <c r="A39" s="366" t="s">
        <v>36</v>
      </c>
      <c r="B39" s="74"/>
      <c r="C39" s="370">
        <f t="shared" si="0"/>
        <v>0</v>
      </c>
      <c r="D39" s="74"/>
      <c r="E39" s="370">
        <f t="shared" si="1"/>
        <v>0</v>
      </c>
      <c r="F39" s="74"/>
      <c r="G39" s="370">
        <f t="shared" si="2"/>
        <v>0</v>
      </c>
      <c r="H39" s="74"/>
      <c r="I39" s="370">
        <f t="shared" ref="I39" si="387">(H39/100)*1000</f>
        <v>0</v>
      </c>
      <c r="J39" s="74"/>
      <c r="K39" s="370">
        <f t="shared" ref="K39" si="388">(J39/100)*1000</f>
        <v>0</v>
      </c>
      <c r="L39" s="74"/>
      <c r="M39" s="370">
        <f t="shared" ref="M39" si="389">(L39/100)*1000</f>
        <v>0</v>
      </c>
      <c r="N39" s="74"/>
      <c r="O39" s="370">
        <f t="shared" ref="O39" si="390">(N39/100)*1000</f>
        <v>0</v>
      </c>
      <c r="P39" s="74"/>
      <c r="Q39" s="370">
        <f t="shared" ref="Q39" si="391">(P39/100)*1000</f>
        <v>0</v>
      </c>
      <c r="R39" s="74"/>
      <c r="S39" s="370">
        <f t="shared" ref="S39" si="392">(R39/100)*1000</f>
        <v>0</v>
      </c>
      <c r="T39" s="74"/>
      <c r="U39" s="370">
        <f t="shared" ref="U39" si="393">(T39/100)*1000</f>
        <v>0</v>
      </c>
      <c r="V39" s="74"/>
      <c r="W39" s="370">
        <f t="shared" ref="W39" si="394">(V39/100)*1000</f>
        <v>0</v>
      </c>
      <c r="X39" s="74"/>
      <c r="Y39" s="370">
        <f t="shared" ref="Y39" si="395">(X39/100)*1000</f>
        <v>0</v>
      </c>
      <c r="Z39" s="74"/>
      <c r="AA39" s="370">
        <f t="shared" ref="AA39" si="396">(Z39/100)*1000</f>
        <v>0</v>
      </c>
      <c r="AB39" s="74"/>
      <c r="AC39" s="370">
        <f t="shared" ref="AC39" si="397">(AB39/100)*1000</f>
        <v>0</v>
      </c>
      <c r="AD39" s="74"/>
      <c r="AE39" s="370">
        <f t="shared" ref="AE39" si="398">(AD39/100)*1000</f>
        <v>0</v>
      </c>
    </row>
    <row r="40" spans="1:31" ht="19.149999999999999" customHeight="1" outlineLevel="1">
      <c r="A40" s="366" t="s">
        <v>37</v>
      </c>
      <c r="B40" s="74"/>
      <c r="C40" s="370">
        <f t="shared" si="0"/>
        <v>0</v>
      </c>
      <c r="D40" s="74"/>
      <c r="E40" s="370">
        <f t="shared" si="1"/>
        <v>0</v>
      </c>
      <c r="F40" s="74"/>
      <c r="G40" s="370">
        <f t="shared" si="2"/>
        <v>0</v>
      </c>
      <c r="H40" s="74"/>
      <c r="I40" s="370">
        <f t="shared" ref="I40" si="399">(H40/100)*1000</f>
        <v>0</v>
      </c>
      <c r="J40" s="74"/>
      <c r="K40" s="370">
        <f t="shared" ref="K40" si="400">(J40/100)*1000</f>
        <v>0</v>
      </c>
      <c r="L40" s="74"/>
      <c r="M40" s="370">
        <f t="shared" ref="M40" si="401">(L40/100)*1000</f>
        <v>0</v>
      </c>
      <c r="N40" s="74"/>
      <c r="O40" s="370">
        <f t="shared" ref="O40" si="402">(N40/100)*1000</f>
        <v>0</v>
      </c>
      <c r="P40" s="74"/>
      <c r="Q40" s="370">
        <f t="shared" ref="Q40" si="403">(P40/100)*1000</f>
        <v>0</v>
      </c>
      <c r="R40" s="74"/>
      <c r="S40" s="370">
        <f t="shared" ref="S40" si="404">(R40/100)*1000</f>
        <v>0</v>
      </c>
      <c r="T40" s="74"/>
      <c r="U40" s="370">
        <f t="shared" ref="U40" si="405">(T40/100)*1000</f>
        <v>0</v>
      </c>
      <c r="V40" s="74"/>
      <c r="W40" s="370">
        <f t="shared" ref="W40" si="406">(V40/100)*1000</f>
        <v>0</v>
      </c>
      <c r="X40" s="74"/>
      <c r="Y40" s="370">
        <f t="shared" ref="Y40" si="407">(X40/100)*1000</f>
        <v>0</v>
      </c>
      <c r="Z40" s="74"/>
      <c r="AA40" s="370">
        <f t="shared" ref="AA40" si="408">(Z40/100)*1000</f>
        <v>0</v>
      </c>
      <c r="AB40" s="74"/>
      <c r="AC40" s="370">
        <f t="shared" ref="AC40" si="409">(AB40/100)*1000</f>
        <v>0</v>
      </c>
      <c r="AD40" s="74"/>
      <c r="AE40" s="370">
        <f t="shared" ref="AE40" si="410">(AD40/100)*1000</f>
        <v>0</v>
      </c>
    </row>
    <row r="41" spans="1:31" ht="19.149999999999999" customHeight="1" outlineLevel="1">
      <c r="A41" s="366" t="s">
        <v>38</v>
      </c>
      <c r="B41" s="74"/>
      <c r="C41" s="370">
        <f t="shared" si="0"/>
        <v>0</v>
      </c>
      <c r="D41" s="74"/>
      <c r="E41" s="370">
        <f t="shared" si="1"/>
        <v>0</v>
      </c>
      <c r="F41" s="74"/>
      <c r="G41" s="370">
        <f t="shared" si="2"/>
        <v>0</v>
      </c>
      <c r="H41" s="74"/>
      <c r="I41" s="370">
        <f t="shared" si="2"/>
        <v>0</v>
      </c>
      <c r="J41" s="74"/>
      <c r="K41" s="370">
        <f t="shared" si="2"/>
        <v>0</v>
      </c>
      <c r="L41" s="74"/>
      <c r="M41" s="370">
        <f t="shared" si="2"/>
        <v>0</v>
      </c>
      <c r="N41" s="74"/>
      <c r="O41" s="370">
        <f t="shared" si="2"/>
        <v>0</v>
      </c>
      <c r="P41" s="74"/>
      <c r="Q41" s="370">
        <f t="shared" si="2"/>
        <v>0</v>
      </c>
      <c r="R41" s="74"/>
      <c r="S41" s="370">
        <f t="shared" si="2"/>
        <v>0</v>
      </c>
      <c r="T41" s="74"/>
      <c r="U41" s="370">
        <f t="shared" si="2"/>
        <v>0</v>
      </c>
      <c r="V41" s="74"/>
      <c r="W41" s="370">
        <f t="shared" si="2"/>
        <v>0</v>
      </c>
      <c r="X41" s="74"/>
      <c r="Y41" s="370">
        <f t="shared" si="2"/>
        <v>0</v>
      </c>
      <c r="Z41" s="74"/>
      <c r="AA41" s="370">
        <f t="shared" si="2"/>
        <v>0</v>
      </c>
      <c r="AB41" s="74"/>
      <c r="AC41" s="370">
        <f t="shared" si="2"/>
        <v>0</v>
      </c>
      <c r="AD41" s="74"/>
      <c r="AE41" s="370">
        <f t="shared" si="2"/>
        <v>0</v>
      </c>
    </row>
    <row r="42" spans="1:31" ht="19.149999999999999" customHeight="1" outlineLevel="1">
      <c r="A42" s="416">
        <v>1</v>
      </c>
      <c r="B42" s="74"/>
      <c r="C42" s="370">
        <f t="shared" si="0"/>
        <v>0</v>
      </c>
      <c r="D42" s="74"/>
      <c r="E42" s="370">
        <f t="shared" si="1"/>
        <v>0</v>
      </c>
      <c r="F42" s="74"/>
      <c r="G42" s="370">
        <f t="shared" si="2"/>
        <v>0</v>
      </c>
      <c r="H42" s="74"/>
      <c r="I42" s="370">
        <f t="shared" si="2"/>
        <v>0</v>
      </c>
      <c r="J42" s="74"/>
      <c r="K42" s="370">
        <f t="shared" si="2"/>
        <v>0</v>
      </c>
      <c r="L42" s="74"/>
      <c r="M42" s="370">
        <f t="shared" si="2"/>
        <v>0</v>
      </c>
      <c r="N42" s="74"/>
      <c r="O42" s="370">
        <f t="shared" si="2"/>
        <v>0</v>
      </c>
      <c r="P42" s="74"/>
      <c r="Q42" s="370">
        <f t="shared" si="2"/>
        <v>0</v>
      </c>
      <c r="R42" s="74"/>
      <c r="S42" s="370">
        <f t="shared" si="2"/>
        <v>0</v>
      </c>
      <c r="T42" s="74"/>
      <c r="U42" s="370">
        <f t="shared" si="2"/>
        <v>0</v>
      </c>
      <c r="V42" s="74"/>
      <c r="W42" s="370">
        <f t="shared" si="2"/>
        <v>0</v>
      </c>
      <c r="X42" s="74"/>
      <c r="Y42" s="370">
        <f t="shared" si="2"/>
        <v>0</v>
      </c>
      <c r="Z42" s="74"/>
      <c r="AA42" s="370">
        <f t="shared" si="2"/>
        <v>0</v>
      </c>
      <c r="AB42" s="74"/>
      <c r="AC42" s="370">
        <f t="shared" si="2"/>
        <v>0</v>
      </c>
      <c r="AD42" s="74"/>
      <c r="AE42" s="370">
        <f t="shared" si="2"/>
        <v>0</v>
      </c>
    </row>
    <row r="43" spans="1:31" ht="19.149999999999999" customHeight="1" outlineLevel="1">
      <c r="A43" s="417">
        <v>2</v>
      </c>
      <c r="B43" s="74"/>
      <c r="C43" s="370">
        <f t="shared" si="0"/>
        <v>0</v>
      </c>
      <c r="D43" s="74"/>
      <c r="E43" s="370">
        <f t="shared" si="1"/>
        <v>0</v>
      </c>
      <c r="F43" s="74"/>
      <c r="G43" s="370">
        <f t="shared" si="2"/>
        <v>0</v>
      </c>
      <c r="H43" s="74"/>
      <c r="I43" s="370">
        <f t="shared" si="2"/>
        <v>0</v>
      </c>
      <c r="J43" s="74"/>
      <c r="K43" s="370">
        <f t="shared" si="2"/>
        <v>0</v>
      </c>
      <c r="L43" s="74"/>
      <c r="M43" s="370">
        <f t="shared" si="2"/>
        <v>0</v>
      </c>
      <c r="N43" s="74"/>
      <c r="O43" s="370">
        <f t="shared" si="2"/>
        <v>0</v>
      </c>
      <c r="P43" s="74"/>
      <c r="Q43" s="370">
        <f t="shared" si="2"/>
        <v>0</v>
      </c>
      <c r="R43" s="74"/>
      <c r="S43" s="370">
        <f t="shared" si="2"/>
        <v>0</v>
      </c>
      <c r="T43" s="74"/>
      <c r="U43" s="370">
        <f t="shared" si="2"/>
        <v>0</v>
      </c>
      <c r="V43" s="74"/>
      <c r="W43" s="370">
        <f t="shared" si="2"/>
        <v>0</v>
      </c>
      <c r="X43" s="74"/>
      <c r="Y43" s="370">
        <f t="shared" si="2"/>
        <v>0</v>
      </c>
      <c r="Z43" s="74"/>
      <c r="AA43" s="370">
        <f t="shared" si="2"/>
        <v>0</v>
      </c>
      <c r="AB43" s="74"/>
      <c r="AC43" s="370">
        <f t="shared" si="2"/>
        <v>0</v>
      </c>
      <c r="AD43" s="74"/>
      <c r="AE43" s="370">
        <f t="shared" si="2"/>
        <v>0</v>
      </c>
    </row>
    <row r="44" spans="1:31" ht="19.149999999999999" customHeight="1" outlineLevel="1">
      <c r="A44" s="417">
        <v>3</v>
      </c>
      <c r="B44" s="74"/>
      <c r="C44" s="370">
        <f t="shared" si="0"/>
        <v>0</v>
      </c>
      <c r="D44" s="74"/>
      <c r="E44" s="370">
        <f t="shared" si="1"/>
        <v>0</v>
      </c>
      <c r="F44" s="74"/>
      <c r="G44" s="370">
        <f t="shared" si="2"/>
        <v>0</v>
      </c>
      <c r="H44" s="74"/>
      <c r="I44" s="370">
        <f t="shared" si="2"/>
        <v>0</v>
      </c>
      <c r="J44" s="74"/>
      <c r="K44" s="370">
        <f t="shared" si="2"/>
        <v>0</v>
      </c>
      <c r="L44" s="74"/>
      <c r="M44" s="370">
        <f t="shared" si="2"/>
        <v>0</v>
      </c>
      <c r="N44" s="74"/>
      <c r="O44" s="370">
        <f t="shared" si="2"/>
        <v>0</v>
      </c>
      <c r="P44" s="74"/>
      <c r="Q44" s="370">
        <f t="shared" si="2"/>
        <v>0</v>
      </c>
      <c r="R44" s="74"/>
      <c r="S44" s="370">
        <f t="shared" si="2"/>
        <v>0</v>
      </c>
      <c r="T44" s="74"/>
      <c r="U44" s="370">
        <f t="shared" si="2"/>
        <v>0</v>
      </c>
      <c r="V44" s="74"/>
      <c r="W44" s="370">
        <f t="shared" si="2"/>
        <v>0</v>
      </c>
      <c r="X44" s="74"/>
      <c r="Y44" s="370">
        <f t="shared" si="2"/>
        <v>0</v>
      </c>
      <c r="Z44" s="74"/>
      <c r="AA44" s="370">
        <f t="shared" si="2"/>
        <v>0</v>
      </c>
      <c r="AB44" s="74"/>
      <c r="AC44" s="370">
        <f t="shared" si="2"/>
        <v>0</v>
      </c>
      <c r="AD44" s="74"/>
      <c r="AE44" s="370">
        <f t="shared" si="2"/>
        <v>0</v>
      </c>
    </row>
    <row r="45" spans="1:31" ht="19.149999999999999" customHeight="1" outlineLevel="1">
      <c r="A45" s="416" t="s">
        <v>39</v>
      </c>
      <c r="B45" s="71">
        <f>1/20</f>
        <v>0.05</v>
      </c>
      <c r="C45" s="370">
        <f t="shared" si="0"/>
        <v>0.5</v>
      </c>
      <c r="D45" s="74"/>
      <c r="E45" s="370">
        <f t="shared" si="1"/>
        <v>0</v>
      </c>
      <c r="F45" s="74"/>
      <c r="G45" s="370">
        <f t="shared" si="2"/>
        <v>0</v>
      </c>
      <c r="H45" s="74"/>
      <c r="I45" s="370">
        <f t="shared" si="2"/>
        <v>0</v>
      </c>
      <c r="J45" s="74"/>
      <c r="K45" s="370">
        <f t="shared" si="2"/>
        <v>0</v>
      </c>
      <c r="L45" s="74"/>
      <c r="M45" s="370">
        <f t="shared" si="2"/>
        <v>0</v>
      </c>
      <c r="N45" s="74"/>
      <c r="O45" s="370">
        <f t="shared" si="2"/>
        <v>0</v>
      </c>
      <c r="P45" s="74"/>
      <c r="Q45" s="370">
        <f t="shared" si="2"/>
        <v>0</v>
      </c>
      <c r="R45" s="74"/>
      <c r="S45" s="370">
        <f t="shared" si="2"/>
        <v>0</v>
      </c>
      <c r="T45" s="74"/>
      <c r="U45" s="370">
        <f t="shared" si="2"/>
        <v>0</v>
      </c>
      <c r="V45" s="74"/>
      <c r="W45" s="370">
        <f t="shared" si="2"/>
        <v>0</v>
      </c>
      <c r="X45" s="74"/>
      <c r="Y45" s="370">
        <f t="shared" si="2"/>
        <v>0</v>
      </c>
      <c r="Z45" s="74"/>
      <c r="AA45" s="370">
        <f t="shared" si="2"/>
        <v>0</v>
      </c>
      <c r="AB45" s="74"/>
      <c r="AC45" s="370">
        <f t="shared" si="2"/>
        <v>0</v>
      </c>
      <c r="AD45" s="74"/>
      <c r="AE45" s="370">
        <f t="shared" si="2"/>
        <v>0</v>
      </c>
    </row>
    <row r="46" spans="1:31" ht="19.149999999999999" customHeight="1" outlineLevel="1">
      <c r="A46" s="417" t="s">
        <v>40</v>
      </c>
      <c r="B46" s="74"/>
      <c r="C46" s="370">
        <f t="shared" si="0"/>
        <v>0</v>
      </c>
      <c r="D46" s="74"/>
      <c r="E46" s="370">
        <f t="shared" si="1"/>
        <v>0</v>
      </c>
      <c r="F46" s="74"/>
      <c r="G46" s="370">
        <f t="shared" si="2"/>
        <v>0</v>
      </c>
      <c r="H46" s="74"/>
      <c r="I46" s="370">
        <f t="shared" si="2"/>
        <v>0</v>
      </c>
      <c r="J46" s="74"/>
      <c r="K46" s="370">
        <f t="shared" si="2"/>
        <v>0</v>
      </c>
      <c r="L46" s="74"/>
      <c r="M46" s="370">
        <f t="shared" si="2"/>
        <v>0</v>
      </c>
      <c r="N46" s="74"/>
      <c r="O46" s="370">
        <f t="shared" si="2"/>
        <v>0</v>
      </c>
      <c r="P46" s="74"/>
      <c r="Q46" s="370">
        <f t="shared" si="2"/>
        <v>0</v>
      </c>
      <c r="R46" s="74"/>
      <c r="S46" s="370">
        <f t="shared" ref="S46" si="411">(R46/100)*1000</f>
        <v>0</v>
      </c>
      <c r="T46" s="74"/>
      <c r="U46" s="370">
        <f t="shared" ref="U46" si="412">(T46/100)*1000</f>
        <v>0</v>
      </c>
      <c r="V46" s="74"/>
      <c r="W46" s="370">
        <f t="shared" ref="W46" si="413">(V46/100)*1000</f>
        <v>0</v>
      </c>
      <c r="X46" s="74"/>
      <c r="Y46" s="370">
        <f t="shared" ref="Y46" si="414">(X46/100)*1000</f>
        <v>0</v>
      </c>
      <c r="Z46" s="74"/>
      <c r="AA46" s="370">
        <f t="shared" ref="AA46" si="415">(Z46/100)*1000</f>
        <v>0</v>
      </c>
      <c r="AB46" s="74"/>
      <c r="AC46" s="370">
        <f t="shared" ref="AC46" si="416">(AB46/100)*1000</f>
        <v>0</v>
      </c>
      <c r="AD46" s="74"/>
      <c r="AE46" s="370">
        <f t="shared" ref="AE46" si="417">(AD46/100)*1000</f>
        <v>0</v>
      </c>
    </row>
    <row r="47" spans="1:31" ht="19.149999999999999" customHeight="1" outlineLevel="1">
      <c r="A47" s="417" t="s">
        <v>41</v>
      </c>
      <c r="B47" s="74"/>
      <c r="C47" s="370">
        <f t="shared" si="0"/>
        <v>0</v>
      </c>
      <c r="D47" s="74"/>
      <c r="E47" s="370">
        <f t="shared" si="1"/>
        <v>0</v>
      </c>
      <c r="F47" s="74"/>
      <c r="G47" s="370">
        <f t="shared" si="2"/>
        <v>0</v>
      </c>
      <c r="H47" s="74"/>
      <c r="I47" s="370">
        <f t="shared" ref="I47" si="418">(H47/100)*1000</f>
        <v>0</v>
      </c>
      <c r="J47" s="74"/>
      <c r="K47" s="370">
        <f t="shared" ref="K47" si="419">(J47/100)*1000</f>
        <v>0</v>
      </c>
      <c r="L47" s="74"/>
      <c r="M47" s="370">
        <f t="shared" ref="M47" si="420">(L47/100)*1000</f>
        <v>0</v>
      </c>
      <c r="N47" s="74"/>
      <c r="O47" s="370">
        <f t="shared" ref="O47" si="421">(N47/100)*1000</f>
        <v>0</v>
      </c>
      <c r="P47" s="74"/>
      <c r="Q47" s="370">
        <f t="shared" ref="Q47" si="422">(P47/100)*1000</f>
        <v>0</v>
      </c>
      <c r="R47" s="74"/>
      <c r="S47" s="370">
        <f t="shared" ref="S47" si="423">(R47/100)*1000</f>
        <v>0</v>
      </c>
      <c r="T47" s="74"/>
      <c r="U47" s="370">
        <f t="shared" ref="U47" si="424">(T47/100)*1000</f>
        <v>0</v>
      </c>
      <c r="V47" s="74"/>
      <c r="W47" s="370">
        <f t="shared" ref="W47" si="425">(V47/100)*1000</f>
        <v>0</v>
      </c>
      <c r="X47" s="74"/>
      <c r="Y47" s="370">
        <f t="shared" ref="Y47" si="426">(X47/100)*1000</f>
        <v>0</v>
      </c>
      <c r="Z47" s="74"/>
      <c r="AA47" s="370">
        <f t="shared" ref="AA47" si="427">(Z47/100)*1000</f>
        <v>0</v>
      </c>
      <c r="AB47" s="74"/>
      <c r="AC47" s="370">
        <f t="shared" ref="AC47" si="428">(AB47/100)*1000</f>
        <v>0</v>
      </c>
      <c r="AD47" s="74"/>
      <c r="AE47" s="370">
        <f t="shared" ref="AE47" si="429">(AD47/100)*1000</f>
        <v>0</v>
      </c>
    </row>
    <row r="48" spans="1:31" ht="19.149999999999999" customHeight="1" outlineLevel="1">
      <c r="A48" s="417" t="s">
        <v>42</v>
      </c>
      <c r="B48" s="74"/>
      <c r="C48" s="370">
        <f t="shared" ref="C48" si="430">(B48/100)*1000</f>
        <v>0</v>
      </c>
      <c r="D48" s="74"/>
      <c r="E48" s="370">
        <f t="shared" ref="E48" si="431">(D48/100)*1000</f>
        <v>0</v>
      </c>
      <c r="F48" s="74"/>
      <c r="G48" s="370">
        <f t="shared" ref="G48" si="432">(F48/100)*1000</f>
        <v>0</v>
      </c>
      <c r="H48" s="74"/>
      <c r="I48" s="370">
        <f t="shared" ref="I48" si="433">(H48/100)*1000</f>
        <v>0</v>
      </c>
      <c r="J48" s="74"/>
      <c r="K48" s="370">
        <f t="shared" ref="K48" si="434">(J48/100)*1000</f>
        <v>0</v>
      </c>
      <c r="L48" s="74"/>
      <c r="M48" s="370">
        <f t="shared" ref="M48" si="435">(L48/100)*1000</f>
        <v>0</v>
      </c>
      <c r="N48" s="74"/>
      <c r="O48" s="370">
        <f t="shared" ref="O48" si="436">(N48/100)*1000</f>
        <v>0</v>
      </c>
      <c r="P48" s="74"/>
      <c r="Q48" s="370">
        <f t="shared" ref="Q48" si="437">(P48/100)*1000</f>
        <v>0</v>
      </c>
      <c r="R48" s="74"/>
      <c r="S48" s="370">
        <f t="shared" ref="S48" si="438">(R48/100)*1000</f>
        <v>0</v>
      </c>
      <c r="T48" s="74"/>
      <c r="U48" s="370">
        <f t="shared" ref="U48" si="439">(T48/100)*1000</f>
        <v>0</v>
      </c>
      <c r="V48" s="74"/>
      <c r="W48" s="370">
        <f t="shared" ref="W48" si="440">(V48/100)*1000</f>
        <v>0</v>
      </c>
      <c r="X48" s="74"/>
      <c r="Y48" s="370">
        <f t="shared" ref="Y48" si="441">(X48/100)*1000</f>
        <v>0</v>
      </c>
      <c r="Z48" s="74"/>
      <c r="AA48" s="370">
        <f t="shared" ref="AA48" si="442">(Z48/100)*1000</f>
        <v>0</v>
      </c>
      <c r="AB48" s="74"/>
      <c r="AC48" s="370">
        <f t="shared" ref="AC48" si="443">(AB48/100)*1000</f>
        <v>0</v>
      </c>
      <c r="AD48" s="74"/>
      <c r="AE48" s="370">
        <f t="shared" ref="AE48" si="444">(AD48/100)*1000</f>
        <v>0</v>
      </c>
    </row>
    <row r="49" spans="1:31" ht="19.149999999999999" customHeight="1" outlineLevel="1">
      <c r="A49" s="416" t="s">
        <v>43</v>
      </c>
      <c r="B49" s="74"/>
      <c r="C49" s="370">
        <f t="shared" si="0"/>
        <v>0</v>
      </c>
      <c r="D49" s="74"/>
      <c r="E49" s="370">
        <f t="shared" si="1"/>
        <v>0</v>
      </c>
      <c r="F49" s="74"/>
      <c r="G49" s="370">
        <f t="shared" si="2"/>
        <v>0</v>
      </c>
      <c r="H49" s="74"/>
      <c r="I49" s="370">
        <f t="shared" ref="I49" si="445">(H49/100)*1000</f>
        <v>0</v>
      </c>
      <c r="J49" s="74"/>
      <c r="K49" s="370">
        <f t="shared" ref="K49" si="446">(J49/100)*1000</f>
        <v>0</v>
      </c>
      <c r="L49" s="74"/>
      <c r="M49" s="370">
        <f t="shared" ref="M49" si="447">(L49/100)*1000</f>
        <v>0</v>
      </c>
      <c r="N49" s="74"/>
      <c r="O49" s="370">
        <f t="shared" ref="O49" si="448">(N49/100)*1000</f>
        <v>0</v>
      </c>
      <c r="P49" s="74"/>
      <c r="Q49" s="370">
        <f t="shared" ref="Q49" si="449">(P49/100)*1000</f>
        <v>0</v>
      </c>
      <c r="R49" s="74"/>
      <c r="S49" s="370">
        <f t="shared" ref="S49" si="450">(R49/100)*1000</f>
        <v>0</v>
      </c>
      <c r="T49" s="74"/>
      <c r="U49" s="370">
        <f t="shared" ref="U49" si="451">(T49/100)*1000</f>
        <v>0</v>
      </c>
      <c r="V49" s="74"/>
      <c r="W49" s="370">
        <f t="shared" ref="W49" si="452">(V49/100)*1000</f>
        <v>0</v>
      </c>
      <c r="X49" s="74"/>
      <c r="Y49" s="370">
        <f t="shared" ref="Y49" si="453">(X49/100)*1000</f>
        <v>0</v>
      </c>
      <c r="Z49" s="74"/>
      <c r="AA49" s="370">
        <f t="shared" ref="AA49" si="454">(Z49/100)*1000</f>
        <v>0</v>
      </c>
      <c r="AB49" s="74"/>
      <c r="AC49" s="370">
        <f t="shared" ref="AC49" si="455">(AB49/100)*1000</f>
        <v>0</v>
      </c>
      <c r="AD49" s="74"/>
      <c r="AE49" s="370">
        <f t="shared" ref="AE49" si="456">(AD49/100)*1000</f>
        <v>0</v>
      </c>
    </row>
    <row r="50" spans="1:31" ht="19.149999999999999" customHeight="1" outlineLevel="1">
      <c r="A50" s="416" t="s">
        <v>44</v>
      </c>
      <c r="B50" s="74"/>
      <c r="C50" s="370">
        <f t="shared" si="0"/>
        <v>0</v>
      </c>
      <c r="D50" s="74"/>
      <c r="E50" s="370">
        <f t="shared" si="1"/>
        <v>0</v>
      </c>
      <c r="F50" s="74"/>
      <c r="G50" s="370">
        <f t="shared" si="2"/>
        <v>0</v>
      </c>
      <c r="H50" s="74"/>
      <c r="I50" s="370">
        <f t="shared" ref="I50" si="457">(H50/100)*1000</f>
        <v>0</v>
      </c>
      <c r="J50" s="74"/>
      <c r="K50" s="370">
        <f t="shared" ref="K50" si="458">(J50/100)*1000</f>
        <v>0</v>
      </c>
      <c r="L50" s="74"/>
      <c r="M50" s="370">
        <f t="shared" ref="M50" si="459">(L50/100)*1000</f>
        <v>0</v>
      </c>
      <c r="N50" s="74"/>
      <c r="O50" s="370">
        <f t="shared" ref="O50" si="460">(N50/100)*1000</f>
        <v>0</v>
      </c>
      <c r="P50" s="74"/>
      <c r="Q50" s="370">
        <f t="shared" ref="Q50" si="461">(P50/100)*1000</f>
        <v>0</v>
      </c>
      <c r="R50" s="74"/>
      <c r="S50" s="370">
        <f t="shared" ref="S50" si="462">(R50/100)*1000</f>
        <v>0</v>
      </c>
      <c r="T50" s="74"/>
      <c r="U50" s="370">
        <f t="shared" ref="U50" si="463">(T50/100)*1000</f>
        <v>0</v>
      </c>
      <c r="V50" s="74"/>
      <c r="W50" s="370">
        <f t="shared" ref="W50" si="464">(V50/100)*1000</f>
        <v>0</v>
      </c>
      <c r="X50" s="74"/>
      <c r="Y50" s="370">
        <f t="shared" ref="Y50" si="465">(X50/100)*1000</f>
        <v>0</v>
      </c>
      <c r="Z50" s="74"/>
      <c r="AA50" s="370">
        <f t="shared" ref="AA50" si="466">(Z50/100)*1000</f>
        <v>0</v>
      </c>
      <c r="AB50" s="74"/>
      <c r="AC50" s="370">
        <f t="shared" ref="AC50" si="467">(AB50/100)*1000</f>
        <v>0</v>
      </c>
      <c r="AD50" s="74"/>
      <c r="AE50" s="370">
        <f t="shared" ref="AE50" si="468">(AD50/100)*1000</f>
        <v>0</v>
      </c>
    </row>
    <row r="51" spans="1:31" ht="19.149999999999999" customHeight="1" outlineLevel="1">
      <c r="A51" s="417" t="s">
        <v>45</v>
      </c>
      <c r="B51" s="74"/>
      <c r="C51" s="370">
        <f t="shared" si="0"/>
        <v>0</v>
      </c>
      <c r="D51" s="74"/>
      <c r="E51" s="370">
        <f t="shared" si="1"/>
        <v>0</v>
      </c>
      <c r="F51" s="74"/>
      <c r="G51" s="370">
        <f t="shared" si="2"/>
        <v>0</v>
      </c>
      <c r="H51" s="74"/>
      <c r="I51" s="370">
        <f t="shared" ref="I51" si="469">(H51/100)*1000</f>
        <v>0</v>
      </c>
      <c r="J51" s="74"/>
      <c r="K51" s="370">
        <f t="shared" ref="K51" si="470">(J51/100)*1000</f>
        <v>0</v>
      </c>
      <c r="L51" s="74"/>
      <c r="M51" s="370">
        <f t="shared" ref="M51" si="471">(L51/100)*1000</f>
        <v>0</v>
      </c>
      <c r="N51" s="74"/>
      <c r="O51" s="370">
        <f t="shared" ref="O51" si="472">(N51/100)*1000</f>
        <v>0</v>
      </c>
      <c r="P51" s="74"/>
      <c r="Q51" s="370">
        <f t="shared" ref="Q51" si="473">(P51/100)*1000</f>
        <v>0</v>
      </c>
      <c r="R51" s="74"/>
      <c r="S51" s="370">
        <f t="shared" ref="S51" si="474">(R51/100)*1000</f>
        <v>0</v>
      </c>
      <c r="T51" s="74"/>
      <c r="U51" s="370">
        <f t="shared" ref="U51" si="475">(T51/100)*1000</f>
        <v>0</v>
      </c>
      <c r="V51" s="74"/>
      <c r="W51" s="370">
        <f t="shared" ref="W51" si="476">(V51/100)*1000</f>
        <v>0</v>
      </c>
      <c r="X51" s="74"/>
      <c r="Y51" s="370">
        <f t="shared" ref="Y51" si="477">(X51/100)*1000</f>
        <v>0</v>
      </c>
      <c r="Z51" s="74"/>
      <c r="AA51" s="370">
        <f t="shared" ref="AA51" si="478">(Z51/100)*1000</f>
        <v>0</v>
      </c>
      <c r="AB51" s="74"/>
      <c r="AC51" s="370">
        <f t="shared" ref="AC51" si="479">(AB51/100)*1000</f>
        <v>0</v>
      </c>
      <c r="AD51" s="74"/>
      <c r="AE51" s="370">
        <f t="shared" ref="AE51" si="480">(AD51/100)*1000</f>
        <v>0</v>
      </c>
    </row>
    <row r="52" spans="1:31" ht="19.149999999999999" customHeight="1" outlineLevel="1">
      <c r="A52" s="417" t="s">
        <v>46</v>
      </c>
      <c r="B52" s="74"/>
      <c r="C52" s="370">
        <f t="shared" si="0"/>
        <v>0</v>
      </c>
      <c r="D52" s="74"/>
      <c r="E52" s="370">
        <f t="shared" si="1"/>
        <v>0</v>
      </c>
      <c r="F52" s="74"/>
      <c r="G52" s="370">
        <f t="shared" si="2"/>
        <v>0</v>
      </c>
      <c r="H52" s="74"/>
      <c r="I52" s="370">
        <f t="shared" ref="I52" si="481">(H52/100)*1000</f>
        <v>0</v>
      </c>
      <c r="J52" s="74"/>
      <c r="K52" s="370">
        <f t="shared" ref="K52" si="482">(J52/100)*1000</f>
        <v>0</v>
      </c>
      <c r="L52" s="74"/>
      <c r="M52" s="370">
        <f t="shared" ref="M52" si="483">(L52/100)*1000</f>
        <v>0</v>
      </c>
      <c r="N52" s="74"/>
      <c r="O52" s="370">
        <f t="shared" ref="O52" si="484">(N52/100)*1000</f>
        <v>0</v>
      </c>
      <c r="P52" s="74"/>
      <c r="Q52" s="370">
        <f t="shared" ref="Q52" si="485">(P52/100)*1000</f>
        <v>0</v>
      </c>
      <c r="R52" s="74"/>
      <c r="S52" s="370">
        <f t="shared" ref="S52" si="486">(R52/100)*1000</f>
        <v>0</v>
      </c>
      <c r="T52" s="74"/>
      <c r="U52" s="370">
        <f t="shared" ref="U52" si="487">(T52/100)*1000</f>
        <v>0</v>
      </c>
      <c r="V52" s="74"/>
      <c r="W52" s="370">
        <f t="shared" ref="W52" si="488">(V52/100)*1000</f>
        <v>0</v>
      </c>
      <c r="X52" s="74"/>
      <c r="Y52" s="370">
        <f t="shared" ref="Y52" si="489">(X52/100)*1000</f>
        <v>0</v>
      </c>
      <c r="Z52" s="74"/>
      <c r="AA52" s="370">
        <f t="shared" ref="AA52" si="490">(Z52/100)*1000</f>
        <v>0</v>
      </c>
      <c r="AB52" s="74"/>
      <c r="AC52" s="370">
        <f t="shared" ref="AC52" si="491">(AB52/100)*1000</f>
        <v>0</v>
      </c>
      <c r="AD52" s="74"/>
      <c r="AE52" s="370">
        <f t="shared" ref="AE52" si="492">(AD52/100)*1000</f>
        <v>0</v>
      </c>
    </row>
    <row r="53" spans="1:31" ht="19.149999999999999" customHeight="1" outlineLevel="1">
      <c r="A53" s="417" t="s">
        <v>47</v>
      </c>
      <c r="B53" s="74"/>
      <c r="C53" s="370">
        <f t="shared" si="0"/>
        <v>0</v>
      </c>
      <c r="D53" s="74"/>
      <c r="E53" s="370">
        <f t="shared" si="1"/>
        <v>0</v>
      </c>
      <c r="F53" s="74"/>
      <c r="G53" s="370">
        <f t="shared" si="2"/>
        <v>0</v>
      </c>
      <c r="H53" s="74"/>
      <c r="I53" s="370">
        <f t="shared" ref="I53" si="493">(H53/100)*1000</f>
        <v>0</v>
      </c>
      <c r="J53" s="74"/>
      <c r="K53" s="370">
        <f t="shared" ref="K53" si="494">(J53/100)*1000</f>
        <v>0</v>
      </c>
      <c r="L53" s="74"/>
      <c r="M53" s="370">
        <f t="shared" ref="M53" si="495">(L53/100)*1000</f>
        <v>0</v>
      </c>
      <c r="N53" s="74"/>
      <c r="O53" s="370">
        <f t="shared" ref="O53" si="496">(N53/100)*1000</f>
        <v>0</v>
      </c>
      <c r="P53" s="74"/>
      <c r="Q53" s="370">
        <f t="shared" ref="Q53" si="497">(P53/100)*1000</f>
        <v>0</v>
      </c>
      <c r="R53" s="74"/>
      <c r="S53" s="370">
        <f t="shared" ref="S53" si="498">(R53/100)*1000</f>
        <v>0</v>
      </c>
      <c r="T53" s="74"/>
      <c r="U53" s="370">
        <f t="shared" ref="U53" si="499">(T53/100)*1000</f>
        <v>0</v>
      </c>
      <c r="V53" s="74"/>
      <c r="W53" s="370">
        <f t="shared" ref="W53" si="500">(V53/100)*1000</f>
        <v>0</v>
      </c>
      <c r="X53" s="74"/>
      <c r="Y53" s="370">
        <f t="shared" ref="Y53" si="501">(X53/100)*1000</f>
        <v>0</v>
      </c>
      <c r="Z53" s="74"/>
      <c r="AA53" s="370">
        <f t="shared" ref="AA53" si="502">(Z53/100)*1000</f>
        <v>0</v>
      </c>
      <c r="AB53" s="74"/>
      <c r="AC53" s="370">
        <f t="shared" ref="AC53" si="503">(AB53/100)*1000</f>
        <v>0</v>
      </c>
      <c r="AD53" s="74"/>
      <c r="AE53" s="370">
        <f t="shared" ref="AE53" si="504">(AD53/100)*1000</f>
        <v>0</v>
      </c>
    </row>
    <row r="54" spans="1:31" ht="19.149999999999999" customHeight="1" outlineLevel="1">
      <c r="A54" s="366" t="s">
        <v>48</v>
      </c>
      <c r="B54" s="74"/>
      <c r="C54" s="370">
        <f t="shared" si="0"/>
        <v>0</v>
      </c>
      <c r="D54" s="74"/>
      <c r="E54" s="370">
        <f t="shared" si="1"/>
        <v>0</v>
      </c>
      <c r="F54" s="74"/>
      <c r="G54" s="370">
        <f t="shared" si="2"/>
        <v>0</v>
      </c>
      <c r="H54" s="74"/>
      <c r="I54" s="370">
        <f t="shared" ref="I54" si="505">(H54/100)*1000</f>
        <v>0</v>
      </c>
      <c r="J54" s="74"/>
      <c r="K54" s="370">
        <f t="shared" ref="K54" si="506">(J54/100)*1000</f>
        <v>0</v>
      </c>
      <c r="L54" s="74"/>
      <c r="M54" s="370">
        <f t="shared" ref="M54" si="507">(L54/100)*1000</f>
        <v>0</v>
      </c>
      <c r="N54" s="74"/>
      <c r="O54" s="370">
        <f t="shared" ref="O54" si="508">(N54/100)*1000</f>
        <v>0</v>
      </c>
      <c r="P54" s="74"/>
      <c r="Q54" s="370">
        <f t="shared" ref="Q54" si="509">(P54/100)*1000</f>
        <v>0</v>
      </c>
      <c r="R54" s="74"/>
      <c r="S54" s="370">
        <f t="shared" ref="S54" si="510">(R54/100)*1000</f>
        <v>0</v>
      </c>
      <c r="T54" s="74"/>
      <c r="U54" s="370">
        <f t="shared" ref="U54" si="511">(T54/100)*1000</f>
        <v>0</v>
      </c>
      <c r="V54" s="74"/>
      <c r="W54" s="370">
        <f t="shared" ref="W54" si="512">(V54/100)*1000</f>
        <v>0</v>
      </c>
      <c r="X54" s="74"/>
      <c r="Y54" s="370">
        <f t="shared" ref="Y54" si="513">(X54/100)*1000</f>
        <v>0</v>
      </c>
      <c r="Z54" s="74"/>
      <c r="AA54" s="370">
        <f t="shared" ref="AA54" si="514">(Z54/100)*1000</f>
        <v>0</v>
      </c>
      <c r="AB54" s="74"/>
      <c r="AC54" s="370">
        <f t="shared" ref="AC54" si="515">(AB54/100)*1000</f>
        <v>0</v>
      </c>
      <c r="AD54" s="74"/>
      <c r="AE54" s="370">
        <f t="shared" ref="AE54" si="516">(AD54/100)*1000</f>
        <v>0</v>
      </c>
    </row>
    <row r="55" spans="1:31" ht="19.149999999999999" customHeight="1" outlineLevel="1">
      <c r="A55" s="417" t="s">
        <v>49</v>
      </c>
      <c r="B55" s="74"/>
      <c r="C55" s="370">
        <f t="shared" si="0"/>
        <v>0</v>
      </c>
      <c r="D55" s="74"/>
      <c r="E55" s="370">
        <f t="shared" si="1"/>
        <v>0</v>
      </c>
      <c r="F55" s="74"/>
      <c r="G55" s="370">
        <f t="shared" si="2"/>
        <v>0</v>
      </c>
      <c r="H55" s="74"/>
      <c r="I55" s="370">
        <f t="shared" ref="I55" si="517">(H55/100)*1000</f>
        <v>0</v>
      </c>
      <c r="J55" s="74"/>
      <c r="K55" s="370">
        <f t="shared" ref="K55" si="518">(J55/100)*1000</f>
        <v>0</v>
      </c>
      <c r="L55" s="74"/>
      <c r="M55" s="370">
        <f t="shared" ref="M55" si="519">(L55/100)*1000</f>
        <v>0</v>
      </c>
      <c r="N55" s="74"/>
      <c r="O55" s="370">
        <f t="shared" ref="O55" si="520">(N55/100)*1000</f>
        <v>0</v>
      </c>
      <c r="P55" s="74"/>
      <c r="Q55" s="370">
        <f t="shared" ref="Q55" si="521">(P55/100)*1000</f>
        <v>0</v>
      </c>
      <c r="R55" s="74"/>
      <c r="S55" s="370">
        <f t="shared" ref="S55" si="522">(R55/100)*1000</f>
        <v>0</v>
      </c>
      <c r="T55" s="74"/>
      <c r="U55" s="370">
        <f t="shared" ref="U55" si="523">(T55/100)*1000</f>
        <v>0</v>
      </c>
      <c r="V55" s="74"/>
      <c r="W55" s="370">
        <f t="shared" ref="W55" si="524">(V55/100)*1000</f>
        <v>0</v>
      </c>
      <c r="X55" s="74"/>
      <c r="Y55" s="370">
        <f t="shared" ref="Y55" si="525">(X55/100)*1000</f>
        <v>0</v>
      </c>
      <c r="Z55" s="74"/>
      <c r="AA55" s="370">
        <f t="shared" ref="AA55" si="526">(Z55/100)*1000</f>
        <v>0</v>
      </c>
      <c r="AB55" s="74"/>
      <c r="AC55" s="370">
        <f t="shared" ref="AC55" si="527">(AB55/100)*1000</f>
        <v>0</v>
      </c>
      <c r="AD55" s="74"/>
      <c r="AE55" s="370">
        <f t="shared" ref="AE55" si="528">(AD55/100)*1000</f>
        <v>0</v>
      </c>
    </row>
    <row r="56" spans="1:31" ht="19.149999999999999" customHeight="1" outlineLevel="1">
      <c r="A56" s="417" t="s">
        <v>50</v>
      </c>
      <c r="B56" s="74"/>
      <c r="C56" s="370">
        <f t="shared" si="0"/>
        <v>0</v>
      </c>
      <c r="D56" s="74"/>
      <c r="E56" s="370">
        <f t="shared" si="1"/>
        <v>0</v>
      </c>
      <c r="F56" s="74"/>
      <c r="G56" s="370">
        <f t="shared" si="2"/>
        <v>0</v>
      </c>
      <c r="H56" s="74"/>
      <c r="I56" s="370">
        <f t="shared" ref="I56:I70" si="529">(H56/100)*1000</f>
        <v>0</v>
      </c>
      <c r="J56" s="74"/>
      <c r="K56" s="370">
        <f t="shared" ref="K56:K70" si="530">(J56/100)*1000</f>
        <v>0</v>
      </c>
      <c r="L56" s="74"/>
      <c r="M56" s="370">
        <f t="shared" ref="M56:M70" si="531">(L56/100)*1000</f>
        <v>0</v>
      </c>
      <c r="N56" s="74"/>
      <c r="O56" s="370">
        <f t="shared" ref="O56:O70" si="532">(N56/100)*1000</f>
        <v>0</v>
      </c>
      <c r="P56" s="74"/>
      <c r="Q56" s="370">
        <f t="shared" ref="Q56:Q70" si="533">(P56/100)*1000</f>
        <v>0</v>
      </c>
      <c r="R56" s="74"/>
      <c r="S56" s="370">
        <f t="shared" ref="S56:S70" si="534">(R56/100)*1000</f>
        <v>0</v>
      </c>
      <c r="T56" s="74"/>
      <c r="U56" s="370">
        <f t="shared" ref="U56:U70" si="535">(T56/100)*1000</f>
        <v>0</v>
      </c>
      <c r="V56" s="74"/>
      <c r="W56" s="370">
        <f t="shared" ref="W56:W58" si="536">(V56/100)*1000</f>
        <v>0</v>
      </c>
      <c r="X56" s="74"/>
      <c r="Y56" s="370">
        <f t="shared" ref="Y56:Y70" si="537">(X56/100)*1000</f>
        <v>0</v>
      </c>
      <c r="Z56" s="74"/>
      <c r="AA56" s="370">
        <f t="shared" ref="AA56:AA70" si="538">(Z56/100)*1000</f>
        <v>0</v>
      </c>
      <c r="AB56" s="74"/>
      <c r="AC56" s="370">
        <f t="shared" ref="AC56:AC70" si="539">(AB56/100)*1000</f>
        <v>0</v>
      </c>
      <c r="AD56" s="74"/>
      <c r="AE56" s="370">
        <f t="shared" ref="AE56:AE70" si="540">(AD56/100)*1000</f>
        <v>0</v>
      </c>
    </row>
    <row r="57" spans="1:31" ht="19.149999999999999" customHeight="1" outlineLevel="1">
      <c r="A57" s="416" t="s">
        <v>51</v>
      </c>
      <c r="B57" s="74"/>
      <c r="C57" s="370">
        <f t="shared" si="0"/>
        <v>0</v>
      </c>
      <c r="D57" s="74"/>
      <c r="E57" s="370">
        <f t="shared" si="1"/>
        <v>0</v>
      </c>
      <c r="F57" s="74"/>
      <c r="G57" s="370">
        <f t="shared" si="2"/>
        <v>0</v>
      </c>
      <c r="H57" s="74"/>
      <c r="I57" s="370">
        <f t="shared" si="529"/>
        <v>0</v>
      </c>
      <c r="J57" s="74"/>
      <c r="K57" s="370">
        <f t="shared" si="530"/>
        <v>0</v>
      </c>
      <c r="L57" s="74"/>
      <c r="M57" s="370">
        <f t="shared" si="531"/>
        <v>0</v>
      </c>
      <c r="N57" s="74"/>
      <c r="O57" s="370">
        <f t="shared" si="532"/>
        <v>0</v>
      </c>
      <c r="P57" s="74"/>
      <c r="Q57" s="370">
        <f t="shared" si="533"/>
        <v>0</v>
      </c>
      <c r="R57" s="74"/>
      <c r="S57" s="370">
        <f t="shared" si="534"/>
        <v>0</v>
      </c>
      <c r="T57" s="74"/>
      <c r="U57" s="370">
        <f t="shared" si="535"/>
        <v>0</v>
      </c>
      <c r="V57" s="74"/>
      <c r="W57" s="370">
        <f t="shared" si="536"/>
        <v>0</v>
      </c>
      <c r="X57" s="74"/>
      <c r="Y57" s="370">
        <f t="shared" si="537"/>
        <v>0</v>
      </c>
      <c r="Z57" s="74"/>
      <c r="AA57" s="370">
        <f t="shared" si="538"/>
        <v>0</v>
      </c>
      <c r="AB57" s="74"/>
      <c r="AC57" s="370">
        <f t="shared" si="539"/>
        <v>0</v>
      </c>
      <c r="AD57" s="74"/>
      <c r="AE57" s="370">
        <f t="shared" si="540"/>
        <v>0</v>
      </c>
    </row>
    <row r="58" spans="1:31" ht="19.149999999999999" customHeight="1" outlineLevel="1">
      <c r="A58" s="416" t="s">
        <v>52</v>
      </c>
      <c r="B58" s="74"/>
      <c r="C58" s="370">
        <f t="shared" si="0"/>
        <v>0</v>
      </c>
      <c r="D58" s="74"/>
      <c r="E58" s="370">
        <f t="shared" si="1"/>
        <v>0</v>
      </c>
      <c r="F58" s="74"/>
      <c r="G58" s="370">
        <f t="shared" ref="G58" si="541">(F58/100)*1000</f>
        <v>0</v>
      </c>
      <c r="H58" s="74"/>
      <c r="I58" s="370">
        <f t="shared" si="529"/>
        <v>0</v>
      </c>
      <c r="J58" s="74"/>
      <c r="K58" s="370">
        <f t="shared" si="530"/>
        <v>0</v>
      </c>
      <c r="L58" s="74"/>
      <c r="M58" s="370">
        <f t="shared" si="531"/>
        <v>0</v>
      </c>
      <c r="N58" s="74"/>
      <c r="O58" s="370">
        <f t="shared" si="532"/>
        <v>0</v>
      </c>
      <c r="P58" s="74"/>
      <c r="Q58" s="370">
        <f t="shared" si="533"/>
        <v>0</v>
      </c>
      <c r="R58" s="74"/>
      <c r="S58" s="370">
        <f t="shared" si="534"/>
        <v>0</v>
      </c>
      <c r="T58" s="74"/>
      <c r="U58" s="370">
        <f t="shared" si="535"/>
        <v>0</v>
      </c>
      <c r="V58" s="74"/>
      <c r="W58" s="370">
        <f t="shared" si="536"/>
        <v>0</v>
      </c>
      <c r="X58" s="74"/>
      <c r="Y58" s="370">
        <f t="shared" si="537"/>
        <v>0</v>
      </c>
      <c r="Z58" s="74"/>
      <c r="AA58" s="370">
        <f t="shared" si="538"/>
        <v>0</v>
      </c>
      <c r="AB58" s="74"/>
      <c r="AC58" s="370">
        <f t="shared" si="539"/>
        <v>0</v>
      </c>
      <c r="AD58" s="74"/>
      <c r="AE58" s="370">
        <f t="shared" si="540"/>
        <v>0</v>
      </c>
    </row>
    <row r="59" spans="1:31" ht="19.149999999999999" customHeight="1" outlineLevel="1">
      <c r="A59" s="416" t="s">
        <v>53</v>
      </c>
      <c r="B59" s="74"/>
      <c r="C59" s="370">
        <f t="shared" si="0"/>
        <v>0</v>
      </c>
      <c r="D59" s="74"/>
      <c r="E59" s="370">
        <f t="shared" si="1"/>
        <v>0</v>
      </c>
      <c r="F59" s="74"/>
      <c r="G59" s="370">
        <f t="shared" si="1"/>
        <v>0</v>
      </c>
      <c r="H59" s="74"/>
      <c r="I59" s="370">
        <f t="shared" si="529"/>
        <v>0</v>
      </c>
      <c r="J59" s="74"/>
      <c r="K59" s="370">
        <f t="shared" si="530"/>
        <v>0</v>
      </c>
      <c r="L59" s="74"/>
      <c r="M59" s="370">
        <f t="shared" si="531"/>
        <v>0</v>
      </c>
      <c r="N59" s="74"/>
      <c r="O59" s="370">
        <f t="shared" si="532"/>
        <v>0</v>
      </c>
      <c r="P59" s="74"/>
      <c r="Q59" s="370">
        <f t="shared" si="533"/>
        <v>0</v>
      </c>
      <c r="R59" s="74"/>
      <c r="S59" s="370">
        <f t="shared" si="534"/>
        <v>0</v>
      </c>
      <c r="T59" s="74"/>
      <c r="U59" s="370">
        <f t="shared" si="535"/>
        <v>0</v>
      </c>
      <c r="V59" s="74"/>
      <c r="W59" s="370">
        <f>(V59/100)*1000</f>
        <v>0</v>
      </c>
      <c r="X59" s="74"/>
      <c r="Y59" s="370">
        <f t="shared" si="537"/>
        <v>0</v>
      </c>
      <c r="Z59" s="74"/>
      <c r="AA59" s="370">
        <f t="shared" si="538"/>
        <v>0</v>
      </c>
      <c r="AB59" s="74"/>
      <c r="AC59" s="370">
        <f t="shared" si="539"/>
        <v>0</v>
      </c>
      <c r="AD59" s="74"/>
      <c r="AE59" s="370">
        <f t="shared" si="540"/>
        <v>0</v>
      </c>
    </row>
    <row r="60" spans="1:31" ht="19.149999999999999" customHeight="1" outlineLevel="1">
      <c r="A60" s="417" t="s">
        <v>54</v>
      </c>
      <c r="B60" s="74"/>
      <c r="C60" s="370">
        <f t="shared" si="0"/>
        <v>0</v>
      </c>
      <c r="D60" s="74"/>
      <c r="E60" s="370">
        <f t="shared" si="1"/>
        <v>0</v>
      </c>
      <c r="F60" s="74"/>
      <c r="G60" s="370">
        <f t="shared" si="1"/>
        <v>0</v>
      </c>
      <c r="H60" s="74"/>
      <c r="I60" s="370">
        <f t="shared" si="529"/>
        <v>0</v>
      </c>
      <c r="J60" s="74"/>
      <c r="K60" s="370">
        <f t="shared" si="530"/>
        <v>0</v>
      </c>
      <c r="L60" s="74"/>
      <c r="M60" s="370">
        <f t="shared" si="531"/>
        <v>0</v>
      </c>
      <c r="N60" s="74"/>
      <c r="O60" s="370">
        <f t="shared" si="532"/>
        <v>0</v>
      </c>
      <c r="P60" s="74"/>
      <c r="Q60" s="370">
        <f t="shared" si="533"/>
        <v>0</v>
      </c>
      <c r="R60" s="74"/>
      <c r="S60" s="370">
        <f t="shared" si="534"/>
        <v>0</v>
      </c>
      <c r="T60" s="74"/>
      <c r="U60" s="370">
        <f t="shared" si="535"/>
        <v>0</v>
      </c>
      <c r="V60" s="74"/>
      <c r="W60" s="370">
        <f t="shared" ref="W60:W71" si="542">(V60/100)*1000</f>
        <v>0</v>
      </c>
      <c r="X60" s="74"/>
      <c r="Y60" s="370">
        <f t="shared" si="537"/>
        <v>0</v>
      </c>
      <c r="Z60" s="74"/>
      <c r="AA60" s="370">
        <f t="shared" si="538"/>
        <v>0</v>
      </c>
      <c r="AB60" s="74"/>
      <c r="AC60" s="370">
        <f t="shared" si="539"/>
        <v>0</v>
      </c>
      <c r="AD60" s="74"/>
      <c r="AE60" s="370">
        <f t="shared" si="540"/>
        <v>0</v>
      </c>
    </row>
    <row r="61" spans="1:31" ht="19.149999999999999" customHeight="1" outlineLevel="1">
      <c r="A61" s="416" t="s">
        <v>55</v>
      </c>
      <c r="B61" s="74"/>
      <c r="C61" s="370">
        <f t="shared" si="0"/>
        <v>0</v>
      </c>
      <c r="D61" s="74"/>
      <c r="E61" s="370">
        <f t="shared" si="1"/>
        <v>0</v>
      </c>
      <c r="F61" s="74"/>
      <c r="G61" s="370">
        <f t="shared" si="1"/>
        <v>0</v>
      </c>
      <c r="H61" s="74"/>
      <c r="I61" s="370">
        <f t="shared" si="529"/>
        <v>0</v>
      </c>
      <c r="J61" s="74"/>
      <c r="K61" s="370">
        <f t="shared" si="530"/>
        <v>0</v>
      </c>
      <c r="L61" s="74"/>
      <c r="M61" s="370">
        <f t="shared" si="531"/>
        <v>0</v>
      </c>
      <c r="N61" s="74"/>
      <c r="O61" s="370">
        <f t="shared" si="532"/>
        <v>0</v>
      </c>
      <c r="P61" s="74"/>
      <c r="Q61" s="370">
        <f t="shared" si="533"/>
        <v>0</v>
      </c>
      <c r="R61" s="74"/>
      <c r="S61" s="370">
        <f t="shared" si="534"/>
        <v>0</v>
      </c>
      <c r="T61" s="74"/>
      <c r="U61" s="370">
        <f t="shared" si="535"/>
        <v>0</v>
      </c>
      <c r="V61" s="74"/>
      <c r="W61" s="370">
        <f t="shared" si="542"/>
        <v>0</v>
      </c>
      <c r="X61" s="74"/>
      <c r="Y61" s="370">
        <f t="shared" si="537"/>
        <v>0</v>
      </c>
      <c r="Z61" s="74"/>
      <c r="AA61" s="370">
        <f t="shared" si="538"/>
        <v>0</v>
      </c>
      <c r="AB61" s="74"/>
      <c r="AC61" s="370">
        <f t="shared" si="539"/>
        <v>0</v>
      </c>
      <c r="AD61" s="74"/>
      <c r="AE61" s="370">
        <f t="shared" si="540"/>
        <v>0</v>
      </c>
    </row>
    <row r="62" spans="1:31" ht="19.149999999999999" customHeight="1" outlineLevel="1">
      <c r="A62" s="417" t="s">
        <v>56</v>
      </c>
      <c r="B62" s="74"/>
      <c r="C62" s="370">
        <f t="shared" si="0"/>
        <v>0</v>
      </c>
      <c r="D62" s="74"/>
      <c r="E62" s="370">
        <f t="shared" si="1"/>
        <v>0</v>
      </c>
      <c r="F62" s="74"/>
      <c r="G62" s="370">
        <f t="shared" si="1"/>
        <v>0</v>
      </c>
      <c r="H62" s="74"/>
      <c r="I62" s="370">
        <f t="shared" si="529"/>
        <v>0</v>
      </c>
      <c r="J62" s="74"/>
      <c r="K62" s="370">
        <f t="shared" si="530"/>
        <v>0</v>
      </c>
      <c r="L62" s="74"/>
      <c r="M62" s="370">
        <f t="shared" si="531"/>
        <v>0</v>
      </c>
      <c r="N62" s="74"/>
      <c r="O62" s="370">
        <f t="shared" si="532"/>
        <v>0</v>
      </c>
      <c r="P62" s="74"/>
      <c r="Q62" s="370">
        <f t="shared" si="533"/>
        <v>0</v>
      </c>
      <c r="R62" s="74"/>
      <c r="S62" s="370">
        <f t="shared" si="534"/>
        <v>0</v>
      </c>
      <c r="T62" s="74"/>
      <c r="U62" s="370">
        <f t="shared" si="535"/>
        <v>0</v>
      </c>
      <c r="V62" s="74"/>
      <c r="W62" s="370">
        <f t="shared" si="542"/>
        <v>0</v>
      </c>
      <c r="X62" s="74"/>
      <c r="Y62" s="370">
        <f t="shared" si="537"/>
        <v>0</v>
      </c>
      <c r="Z62" s="74"/>
      <c r="AA62" s="370">
        <f t="shared" si="538"/>
        <v>0</v>
      </c>
      <c r="AB62" s="74"/>
      <c r="AC62" s="370">
        <f t="shared" si="539"/>
        <v>0</v>
      </c>
      <c r="AD62" s="74"/>
      <c r="AE62" s="370">
        <f t="shared" si="540"/>
        <v>0</v>
      </c>
    </row>
    <row r="63" spans="1:31" ht="19.149999999999999" customHeight="1" outlineLevel="1">
      <c r="A63" s="366" t="s">
        <v>57</v>
      </c>
      <c r="B63" s="74"/>
      <c r="C63" s="370">
        <f t="shared" si="0"/>
        <v>0</v>
      </c>
      <c r="D63" s="74"/>
      <c r="E63" s="370">
        <f t="shared" si="1"/>
        <v>0</v>
      </c>
      <c r="F63" s="74"/>
      <c r="G63" s="370">
        <f t="shared" si="1"/>
        <v>0</v>
      </c>
      <c r="H63" s="74"/>
      <c r="I63" s="370">
        <f t="shared" si="529"/>
        <v>0</v>
      </c>
      <c r="J63" s="74"/>
      <c r="K63" s="370">
        <f t="shared" si="530"/>
        <v>0</v>
      </c>
      <c r="L63" s="74"/>
      <c r="M63" s="370">
        <f t="shared" si="531"/>
        <v>0</v>
      </c>
      <c r="N63" s="74"/>
      <c r="O63" s="370">
        <f t="shared" si="532"/>
        <v>0</v>
      </c>
      <c r="P63" s="74"/>
      <c r="Q63" s="370">
        <f t="shared" si="533"/>
        <v>0</v>
      </c>
      <c r="R63" s="74"/>
      <c r="S63" s="370">
        <f t="shared" si="534"/>
        <v>0</v>
      </c>
      <c r="T63" s="74"/>
      <c r="U63" s="370">
        <f t="shared" si="535"/>
        <v>0</v>
      </c>
      <c r="V63" s="74"/>
      <c r="W63" s="370">
        <f t="shared" si="542"/>
        <v>0</v>
      </c>
      <c r="X63" s="74"/>
      <c r="Y63" s="370">
        <f t="shared" si="537"/>
        <v>0</v>
      </c>
      <c r="Z63" s="74"/>
      <c r="AA63" s="370">
        <f t="shared" si="538"/>
        <v>0</v>
      </c>
      <c r="AB63" s="74"/>
      <c r="AC63" s="370">
        <f t="shared" si="539"/>
        <v>0</v>
      </c>
      <c r="AD63" s="74"/>
      <c r="AE63" s="370">
        <f t="shared" si="540"/>
        <v>0</v>
      </c>
    </row>
    <row r="64" spans="1:31" ht="19.149999999999999" customHeight="1" outlineLevel="1">
      <c r="A64" s="416" t="s">
        <v>58</v>
      </c>
      <c r="B64" s="74"/>
      <c r="C64" s="370">
        <f t="shared" si="0"/>
        <v>0</v>
      </c>
      <c r="D64" s="74"/>
      <c r="E64" s="370">
        <f t="shared" si="1"/>
        <v>0</v>
      </c>
      <c r="F64" s="74"/>
      <c r="G64" s="370">
        <f t="shared" si="1"/>
        <v>0</v>
      </c>
      <c r="H64" s="74"/>
      <c r="I64" s="370">
        <f t="shared" si="529"/>
        <v>0</v>
      </c>
      <c r="J64" s="74"/>
      <c r="K64" s="370">
        <f t="shared" si="530"/>
        <v>0</v>
      </c>
      <c r="L64" s="74"/>
      <c r="M64" s="370">
        <f t="shared" si="531"/>
        <v>0</v>
      </c>
      <c r="N64" s="74"/>
      <c r="O64" s="370">
        <f t="shared" si="532"/>
        <v>0</v>
      </c>
      <c r="P64" s="74"/>
      <c r="Q64" s="370">
        <f t="shared" si="533"/>
        <v>0</v>
      </c>
      <c r="R64" s="74"/>
      <c r="S64" s="370">
        <f t="shared" si="534"/>
        <v>0</v>
      </c>
      <c r="T64" s="74"/>
      <c r="U64" s="370">
        <f t="shared" si="535"/>
        <v>0</v>
      </c>
      <c r="V64" s="74"/>
      <c r="W64" s="370">
        <f t="shared" si="542"/>
        <v>0</v>
      </c>
      <c r="X64" s="74"/>
      <c r="Y64" s="370">
        <f t="shared" si="537"/>
        <v>0</v>
      </c>
      <c r="Z64" s="74"/>
      <c r="AA64" s="370">
        <f t="shared" si="538"/>
        <v>0</v>
      </c>
      <c r="AB64" s="74"/>
      <c r="AC64" s="370">
        <f t="shared" si="539"/>
        <v>0</v>
      </c>
      <c r="AD64" s="74"/>
      <c r="AE64" s="370">
        <f t="shared" si="540"/>
        <v>0</v>
      </c>
    </row>
    <row r="65" spans="1:31" ht="19.149999999999999" customHeight="1" outlineLevel="1">
      <c r="A65" s="417" t="s">
        <v>59</v>
      </c>
      <c r="B65" s="74"/>
      <c r="C65" s="370">
        <f t="shared" si="0"/>
        <v>0</v>
      </c>
      <c r="D65" s="74"/>
      <c r="E65" s="370">
        <f t="shared" si="1"/>
        <v>0</v>
      </c>
      <c r="F65" s="74"/>
      <c r="G65" s="370">
        <f t="shared" si="1"/>
        <v>0</v>
      </c>
      <c r="H65" s="74"/>
      <c r="I65" s="370">
        <f t="shared" si="529"/>
        <v>0</v>
      </c>
      <c r="J65" s="74"/>
      <c r="K65" s="370">
        <f t="shared" si="530"/>
        <v>0</v>
      </c>
      <c r="L65" s="74"/>
      <c r="M65" s="370">
        <f t="shared" si="531"/>
        <v>0</v>
      </c>
      <c r="N65" s="74"/>
      <c r="O65" s="370">
        <f t="shared" si="532"/>
        <v>0</v>
      </c>
      <c r="P65" s="74"/>
      <c r="Q65" s="370">
        <f t="shared" si="533"/>
        <v>0</v>
      </c>
      <c r="R65" s="74"/>
      <c r="S65" s="370">
        <f t="shared" si="534"/>
        <v>0</v>
      </c>
      <c r="T65" s="74"/>
      <c r="U65" s="370">
        <f t="shared" si="535"/>
        <v>0</v>
      </c>
      <c r="V65" s="74"/>
      <c r="W65" s="370">
        <f t="shared" si="542"/>
        <v>0</v>
      </c>
      <c r="X65" s="74"/>
      <c r="Y65" s="370">
        <f t="shared" si="537"/>
        <v>0</v>
      </c>
      <c r="Z65" s="74"/>
      <c r="AA65" s="370">
        <f t="shared" si="538"/>
        <v>0</v>
      </c>
      <c r="AB65" s="74"/>
      <c r="AC65" s="370">
        <f t="shared" si="539"/>
        <v>0</v>
      </c>
      <c r="AD65" s="74"/>
      <c r="AE65" s="370">
        <f t="shared" si="540"/>
        <v>0</v>
      </c>
    </row>
    <row r="66" spans="1:31" ht="19.149999999999999" customHeight="1" outlineLevel="1">
      <c r="A66" s="416" t="s">
        <v>60</v>
      </c>
      <c r="B66" s="74"/>
      <c r="C66" s="370">
        <f t="shared" si="0"/>
        <v>0</v>
      </c>
      <c r="D66" s="74"/>
      <c r="E66" s="370">
        <f t="shared" si="1"/>
        <v>0</v>
      </c>
      <c r="F66" s="74"/>
      <c r="G66" s="370">
        <f t="shared" si="1"/>
        <v>0</v>
      </c>
      <c r="H66" s="74"/>
      <c r="I66" s="370">
        <f t="shared" si="529"/>
        <v>0</v>
      </c>
      <c r="J66" s="74"/>
      <c r="K66" s="370">
        <f t="shared" si="530"/>
        <v>0</v>
      </c>
      <c r="L66" s="74"/>
      <c r="M66" s="370">
        <f t="shared" si="531"/>
        <v>0</v>
      </c>
      <c r="N66" s="74"/>
      <c r="O66" s="370">
        <f t="shared" si="532"/>
        <v>0</v>
      </c>
      <c r="P66" s="74"/>
      <c r="Q66" s="370">
        <f t="shared" si="533"/>
        <v>0</v>
      </c>
      <c r="R66" s="74"/>
      <c r="S66" s="370">
        <f t="shared" si="534"/>
        <v>0</v>
      </c>
      <c r="T66" s="74"/>
      <c r="U66" s="370">
        <f t="shared" si="535"/>
        <v>0</v>
      </c>
      <c r="V66" s="74"/>
      <c r="W66" s="370">
        <f t="shared" si="542"/>
        <v>0</v>
      </c>
      <c r="X66" s="74"/>
      <c r="Y66" s="370">
        <f t="shared" si="537"/>
        <v>0</v>
      </c>
      <c r="Z66" s="74"/>
      <c r="AA66" s="370">
        <f t="shared" si="538"/>
        <v>0</v>
      </c>
      <c r="AB66" s="74"/>
      <c r="AC66" s="370">
        <f t="shared" si="539"/>
        <v>0</v>
      </c>
      <c r="AD66" s="74"/>
      <c r="AE66" s="370">
        <f t="shared" si="540"/>
        <v>0</v>
      </c>
    </row>
    <row r="67" spans="1:31" ht="19.149999999999999" customHeight="1" outlineLevel="1">
      <c r="A67" s="416" t="s">
        <v>61</v>
      </c>
      <c r="B67" s="74"/>
      <c r="C67" s="370">
        <f t="shared" si="0"/>
        <v>0</v>
      </c>
      <c r="D67" s="74"/>
      <c r="E67" s="370">
        <f t="shared" si="1"/>
        <v>0</v>
      </c>
      <c r="F67" s="74"/>
      <c r="G67" s="370">
        <f t="shared" si="1"/>
        <v>0</v>
      </c>
      <c r="H67" s="74"/>
      <c r="I67" s="370">
        <f t="shared" si="529"/>
        <v>0</v>
      </c>
      <c r="J67" s="74"/>
      <c r="K67" s="370">
        <f t="shared" si="530"/>
        <v>0</v>
      </c>
      <c r="L67" s="74"/>
      <c r="M67" s="370">
        <f t="shared" si="531"/>
        <v>0</v>
      </c>
      <c r="N67" s="74"/>
      <c r="O67" s="370">
        <f t="shared" si="532"/>
        <v>0</v>
      </c>
      <c r="P67" s="74"/>
      <c r="Q67" s="370">
        <f t="shared" si="533"/>
        <v>0</v>
      </c>
      <c r="R67" s="74"/>
      <c r="S67" s="370">
        <f t="shared" si="534"/>
        <v>0</v>
      </c>
      <c r="T67" s="74"/>
      <c r="U67" s="370">
        <f t="shared" si="535"/>
        <v>0</v>
      </c>
      <c r="V67" s="74"/>
      <c r="W67" s="370">
        <f t="shared" si="542"/>
        <v>0</v>
      </c>
      <c r="X67" s="74"/>
      <c r="Y67" s="370">
        <f t="shared" si="537"/>
        <v>0</v>
      </c>
      <c r="Z67" s="74"/>
      <c r="AA67" s="370">
        <f t="shared" si="538"/>
        <v>0</v>
      </c>
      <c r="AB67" s="74"/>
      <c r="AC67" s="370">
        <f t="shared" si="539"/>
        <v>0</v>
      </c>
      <c r="AD67" s="74"/>
      <c r="AE67" s="370">
        <f t="shared" si="540"/>
        <v>0</v>
      </c>
    </row>
    <row r="68" spans="1:31" ht="19.149999999999999" customHeight="1" outlineLevel="1">
      <c r="A68" s="416" t="s">
        <v>62</v>
      </c>
      <c r="B68" s="74"/>
      <c r="C68" s="370">
        <f t="shared" si="0"/>
        <v>0</v>
      </c>
      <c r="D68" s="74"/>
      <c r="E68" s="370">
        <f t="shared" si="1"/>
        <v>0</v>
      </c>
      <c r="F68" s="74"/>
      <c r="G68" s="370">
        <f t="shared" si="1"/>
        <v>0</v>
      </c>
      <c r="H68" s="74"/>
      <c r="I68" s="370">
        <f t="shared" si="529"/>
        <v>0</v>
      </c>
      <c r="J68" s="74"/>
      <c r="K68" s="370">
        <f t="shared" si="530"/>
        <v>0</v>
      </c>
      <c r="L68" s="74"/>
      <c r="M68" s="370">
        <f t="shared" si="531"/>
        <v>0</v>
      </c>
      <c r="N68" s="74"/>
      <c r="O68" s="370">
        <f t="shared" si="532"/>
        <v>0</v>
      </c>
      <c r="P68" s="74"/>
      <c r="Q68" s="370">
        <f t="shared" si="533"/>
        <v>0</v>
      </c>
      <c r="R68" s="74"/>
      <c r="S68" s="370">
        <f t="shared" si="534"/>
        <v>0</v>
      </c>
      <c r="T68" s="74"/>
      <c r="U68" s="370">
        <f t="shared" si="535"/>
        <v>0</v>
      </c>
      <c r="V68" s="74"/>
      <c r="W68" s="370">
        <f t="shared" si="542"/>
        <v>0</v>
      </c>
      <c r="X68" s="74"/>
      <c r="Y68" s="370">
        <f t="shared" si="537"/>
        <v>0</v>
      </c>
      <c r="Z68" s="74"/>
      <c r="AA68" s="370">
        <f t="shared" si="538"/>
        <v>0</v>
      </c>
      <c r="AB68" s="74"/>
      <c r="AC68" s="370">
        <f t="shared" si="539"/>
        <v>0</v>
      </c>
      <c r="AD68" s="74"/>
      <c r="AE68" s="370">
        <f t="shared" si="540"/>
        <v>0</v>
      </c>
    </row>
    <row r="69" spans="1:31" ht="19.149999999999999" customHeight="1" outlineLevel="1">
      <c r="A69" s="416" t="s">
        <v>63</v>
      </c>
      <c r="B69" s="74"/>
      <c r="C69" s="370">
        <f t="shared" si="0"/>
        <v>0</v>
      </c>
      <c r="D69" s="74"/>
      <c r="E69" s="370">
        <f t="shared" si="1"/>
        <v>0</v>
      </c>
      <c r="F69" s="74"/>
      <c r="G69" s="370">
        <f t="shared" si="1"/>
        <v>0</v>
      </c>
      <c r="H69" s="74"/>
      <c r="I69" s="370">
        <f t="shared" si="529"/>
        <v>0</v>
      </c>
      <c r="J69" s="74"/>
      <c r="K69" s="370">
        <f t="shared" si="530"/>
        <v>0</v>
      </c>
      <c r="L69" s="74"/>
      <c r="M69" s="370">
        <f t="shared" si="531"/>
        <v>0</v>
      </c>
      <c r="N69" s="74"/>
      <c r="O69" s="370">
        <f t="shared" si="532"/>
        <v>0</v>
      </c>
      <c r="P69" s="74"/>
      <c r="Q69" s="370">
        <f t="shared" si="533"/>
        <v>0</v>
      </c>
      <c r="R69" s="74"/>
      <c r="S69" s="370">
        <f t="shared" si="534"/>
        <v>0</v>
      </c>
      <c r="T69" s="74"/>
      <c r="U69" s="370">
        <f t="shared" si="535"/>
        <v>0</v>
      </c>
      <c r="V69" s="74"/>
      <c r="W69" s="370">
        <f t="shared" si="542"/>
        <v>0</v>
      </c>
      <c r="X69" s="74"/>
      <c r="Y69" s="370">
        <f t="shared" si="537"/>
        <v>0</v>
      </c>
      <c r="Z69" s="74"/>
      <c r="AA69" s="370">
        <f t="shared" si="538"/>
        <v>0</v>
      </c>
      <c r="AB69" s="74"/>
      <c r="AC69" s="370">
        <f t="shared" si="539"/>
        <v>0</v>
      </c>
      <c r="AD69" s="74"/>
      <c r="AE69" s="370">
        <f t="shared" si="540"/>
        <v>0</v>
      </c>
    </row>
    <row r="70" spans="1:31" ht="19.149999999999999" customHeight="1" outlineLevel="1">
      <c r="A70" s="417" t="s">
        <v>64</v>
      </c>
      <c r="B70" s="74"/>
      <c r="C70" s="370">
        <f>(B70/100)*1000</f>
        <v>0</v>
      </c>
      <c r="D70" s="74"/>
      <c r="E70" s="370">
        <f t="shared" si="1"/>
        <v>0</v>
      </c>
      <c r="F70" s="74"/>
      <c r="G70" s="370">
        <f t="shared" si="1"/>
        <v>0</v>
      </c>
      <c r="H70" s="74"/>
      <c r="I70" s="370">
        <f t="shared" si="529"/>
        <v>0</v>
      </c>
      <c r="J70" s="74"/>
      <c r="K70" s="370">
        <f t="shared" si="530"/>
        <v>0</v>
      </c>
      <c r="L70" s="74"/>
      <c r="M70" s="370">
        <f t="shared" si="531"/>
        <v>0</v>
      </c>
      <c r="N70" s="74"/>
      <c r="O70" s="370">
        <f t="shared" si="532"/>
        <v>0</v>
      </c>
      <c r="P70" s="74"/>
      <c r="Q70" s="370">
        <f t="shared" si="533"/>
        <v>0</v>
      </c>
      <c r="R70" s="74"/>
      <c r="S70" s="370">
        <f t="shared" si="534"/>
        <v>0</v>
      </c>
      <c r="T70" s="74"/>
      <c r="U70" s="370">
        <f t="shared" si="535"/>
        <v>0</v>
      </c>
      <c r="V70" s="74"/>
      <c r="W70" s="370">
        <f t="shared" si="542"/>
        <v>0</v>
      </c>
      <c r="X70" s="74"/>
      <c r="Y70" s="370">
        <f t="shared" si="537"/>
        <v>0</v>
      </c>
      <c r="Z70" s="74"/>
      <c r="AA70" s="370">
        <f t="shared" si="538"/>
        <v>0</v>
      </c>
      <c r="AB70" s="74"/>
      <c r="AC70" s="370">
        <f t="shared" si="539"/>
        <v>0</v>
      </c>
      <c r="AD70" s="74"/>
      <c r="AE70" s="370">
        <f t="shared" si="540"/>
        <v>0</v>
      </c>
    </row>
    <row r="71" spans="1:31" ht="19.149999999999999" customHeight="1" outlineLevel="1">
      <c r="A71" s="416">
        <v>3</v>
      </c>
      <c r="B71" s="74"/>
      <c r="C71" s="370">
        <f t="shared" ref="C71:C85" si="543">(B71/100)*1000</f>
        <v>0</v>
      </c>
      <c r="D71" s="74"/>
      <c r="E71" s="370">
        <f t="shared" ref="E71:E85" si="544">(D71/100)*1000</f>
        <v>0</v>
      </c>
      <c r="F71" s="74"/>
      <c r="G71" s="370">
        <f t="shared" si="1"/>
        <v>0</v>
      </c>
      <c r="H71" s="74"/>
      <c r="I71" s="370">
        <f t="shared" ref="I71:I85" si="545">(H71/100)*1000</f>
        <v>0</v>
      </c>
      <c r="J71" s="74"/>
      <c r="K71" s="370">
        <f t="shared" ref="K71:K85" si="546">(J71/100)*1000</f>
        <v>0</v>
      </c>
      <c r="L71" s="74"/>
      <c r="M71" s="370">
        <f t="shared" ref="M71:M85" si="547">(L71/100)*1000</f>
        <v>0</v>
      </c>
      <c r="N71" s="74"/>
      <c r="O71" s="370">
        <f t="shared" ref="O71:O85" si="548">(N71/100)*1000</f>
        <v>0</v>
      </c>
      <c r="P71" s="74"/>
      <c r="Q71" s="370">
        <f t="shared" ref="Q71:Q85" si="549">(P71/100)*1000</f>
        <v>0</v>
      </c>
      <c r="R71" s="74"/>
      <c r="S71" s="370">
        <f t="shared" ref="S71:S85" si="550">(R71/100)*1000</f>
        <v>0</v>
      </c>
      <c r="T71" s="74"/>
      <c r="U71" s="370">
        <f t="shared" ref="U71:U85" si="551">(T71/100)*1000</f>
        <v>0</v>
      </c>
      <c r="V71" s="74"/>
      <c r="W71" s="370">
        <f t="shared" si="542"/>
        <v>0</v>
      </c>
      <c r="X71" s="74"/>
      <c r="Y71" s="370">
        <f t="shared" ref="Y71:Y85" si="552">(X71/100)*1000</f>
        <v>0</v>
      </c>
      <c r="Z71" s="74"/>
      <c r="AA71" s="370">
        <f t="shared" ref="AA71:AA85" si="553">(Z71/100)*1000</f>
        <v>0</v>
      </c>
      <c r="AB71" s="74"/>
      <c r="AC71" s="370">
        <f t="shared" ref="AC71:AC85" si="554">(AB71/100)*1000</f>
        <v>0</v>
      </c>
      <c r="AD71" s="74"/>
      <c r="AE71" s="370">
        <f t="shared" ref="AE71:AE85" si="555">(AD71/100)*1000</f>
        <v>0</v>
      </c>
    </row>
    <row r="72" spans="1:31" ht="19.149999999999999" customHeight="1" outlineLevel="1">
      <c r="A72" s="416">
        <v>4</v>
      </c>
      <c r="B72" s="74"/>
      <c r="C72" s="370">
        <f t="shared" si="543"/>
        <v>0</v>
      </c>
      <c r="D72" s="74"/>
      <c r="E72" s="370">
        <f t="shared" si="544"/>
        <v>0</v>
      </c>
      <c r="F72" s="74"/>
      <c r="G72" s="370">
        <f t="shared" ref="G72:G85" si="556">(F72/100)*1000</f>
        <v>0</v>
      </c>
      <c r="H72" s="74"/>
      <c r="I72" s="370">
        <f t="shared" si="545"/>
        <v>0</v>
      </c>
      <c r="J72" s="74"/>
      <c r="K72" s="370">
        <f t="shared" si="546"/>
        <v>0</v>
      </c>
      <c r="L72" s="74"/>
      <c r="M72" s="370">
        <f t="shared" si="547"/>
        <v>0</v>
      </c>
      <c r="N72" s="74"/>
      <c r="O72" s="370">
        <f t="shared" si="548"/>
        <v>0</v>
      </c>
      <c r="P72" s="74"/>
      <c r="Q72" s="370">
        <f t="shared" si="549"/>
        <v>0</v>
      </c>
      <c r="R72" s="74"/>
      <c r="S72" s="370">
        <f t="shared" si="550"/>
        <v>0</v>
      </c>
      <c r="T72" s="74"/>
      <c r="U72" s="370">
        <f t="shared" si="551"/>
        <v>0</v>
      </c>
      <c r="V72" s="74"/>
      <c r="W72" s="370">
        <f>(V72/100)*1000</f>
        <v>0</v>
      </c>
      <c r="X72" s="74"/>
      <c r="Y72" s="370">
        <f t="shared" si="552"/>
        <v>0</v>
      </c>
      <c r="Z72" s="74"/>
      <c r="AA72" s="370">
        <f t="shared" si="553"/>
        <v>0</v>
      </c>
      <c r="AB72" s="74"/>
      <c r="AC72" s="370">
        <f t="shared" si="554"/>
        <v>0</v>
      </c>
      <c r="AD72" s="74"/>
      <c r="AE72" s="370">
        <f t="shared" si="555"/>
        <v>0</v>
      </c>
    </row>
    <row r="73" spans="1:31" ht="19.149999999999999" customHeight="1" outlineLevel="1">
      <c r="A73" s="367" t="s">
        <v>65</v>
      </c>
      <c r="B73" s="74"/>
      <c r="C73" s="370">
        <f t="shared" si="543"/>
        <v>0</v>
      </c>
      <c r="D73" s="74"/>
      <c r="E73" s="370">
        <f t="shared" si="544"/>
        <v>0</v>
      </c>
      <c r="F73" s="74"/>
      <c r="G73" s="370">
        <f t="shared" si="556"/>
        <v>0</v>
      </c>
      <c r="H73" s="74"/>
      <c r="I73" s="370">
        <f t="shared" si="545"/>
        <v>0</v>
      </c>
      <c r="J73" s="74"/>
      <c r="K73" s="370">
        <f t="shared" si="546"/>
        <v>0</v>
      </c>
      <c r="L73" s="74"/>
      <c r="M73" s="370">
        <f t="shared" si="547"/>
        <v>0</v>
      </c>
      <c r="N73" s="74"/>
      <c r="O73" s="370">
        <f t="shared" si="548"/>
        <v>0</v>
      </c>
      <c r="P73" s="74"/>
      <c r="Q73" s="370">
        <f t="shared" si="549"/>
        <v>0</v>
      </c>
      <c r="R73" s="74"/>
      <c r="S73" s="370">
        <f t="shared" si="550"/>
        <v>0</v>
      </c>
      <c r="T73" s="74"/>
      <c r="U73" s="370">
        <f t="shared" si="551"/>
        <v>0</v>
      </c>
      <c r="V73" s="74"/>
      <c r="W73" s="370">
        <f t="shared" ref="W73:W76" si="557">(V73/100)*1000</f>
        <v>0</v>
      </c>
      <c r="X73" s="74"/>
      <c r="Y73" s="370">
        <f t="shared" si="552"/>
        <v>0</v>
      </c>
      <c r="Z73" s="74"/>
      <c r="AA73" s="370">
        <f t="shared" si="553"/>
        <v>0</v>
      </c>
      <c r="AB73" s="74"/>
      <c r="AC73" s="370">
        <f t="shared" si="554"/>
        <v>0</v>
      </c>
      <c r="AD73" s="74"/>
      <c r="AE73" s="370">
        <f t="shared" si="555"/>
        <v>0</v>
      </c>
    </row>
    <row r="74" spans="1:31" ht="19.149999999999999" customHeight="1" outlineLevel="1">
      <c r="A74" s="367" t="s">
        <v>66</v>
      </c>
      <c r="B74" s="74"/>
      <c r="C74" s="370">
        <f t="shared" si="543"/>
        <v>0</v>
      </c>
      <c r="D74" s="74"/>
      <c r="E74" s="370">
        <f t="shared" si="544"/>
        <v>0</v>
      </c>
      <c r="F74" s="74"/>
      <c r="G74" s="370">
        <f t="shared" si="556"/>
        <v>0</v>
      </c>
      <c r="H74" s="74"/>
      <c r="I74" s="370">
        <f t="shared" si="545"/>
        <v>0</v>
      </c>
      <c r="J74" s="74"/>
      <c r="K74" s="370">
        <f t="shared" si="546"/>
        <v>0</v>
      </c>
      <c r="L74" s="74"/>
      <c r="M74" s="370">
        <f t="shared" si="547"/>
        <v>0</v>
      </c>
      <c r="N74" s="74"/>
      <c r="O74" s="370">
        <f t="shared" si="548"/>
        <v>0</v>
      </c>
      <c r="P74" s="74"/>
      <c r="Q74" s="370">
        <f t="shared" si="549"/>
        <v>0</v>
      </c>
      <c r="R74" s="74"/>
      <c r="S74" s="370">
        <f t="shared" si="550"/>
        <v>0</v>
      </c>
      <c r="T74" s="74"/>
      <c r="U74" s="370">
        <f t="shared" si="551"/>
        <v>0</v>
      </c>
      <c r="V74" s="74"/>
      <c r="W74" s="370">
        <f t="shared" si="557"/>
        <v>0</v>
      </c>
      <c r="X74" s="74"/>
      <c r="Y74" s="370">
        <f t="shared" si="552"/>
        <v>0</v>
      </c>
      <c r="Z74" s="74"/>
      <c r="AA74" s="370">
        <f t="shared" si="553"/>
        <v>0</v>
      </c>
      <c r="AB74" s="74"/>
      <c r="AC74" s="370">
        <f t="shared" si="554"/>
        <v>0</v>
      </c>
      <c r="AD74" s="74"/>
      <c r="AE74" s="370">
        <f t="shared" si="555"/>
        <v>0</v>
      </c>
    </row>
    <row r="75" spans="1:31" ht="19.149999999999999" customHeight="1" outlineLevel="1">
      <c r="A75" s="367" t="s">
        <v>67</v>
      </c>
      <c r="B75" s="74"/>
      <c r="C75" s="370">
        <f t="shared" si="543"/>
        <v>0</v>
      </c>
      <c r="D75" s="74"/>
      <c r="E75" s="370">
        <f t="shared" si="544"/>
        <v>0</v>
      </c>
      <c r="F75" s="74"/>
      <c r="G75" s="370">
        <f t="shared" si="556"/>
        <v>0</v>
      </c>
      <c r="H75" s="74"/>
      <c r="I75" s="370">
        <f t="shared" si="545"/>
        <v>0</v>
      </c>
      <c r="J75" s="74"/>
      <c r="K75" s="370">
        <f t="shared" si="546"/>
        <v>0</v>
      </c>
      <c r="L75" s="74"/>
      <c r="M75" s="370">
        <f t="shared" si="547"/>
        <v>0</v>
      </c>
      <c r="N75" s="74"/>
      <c r="O75" s="370">
        <f t="shared" si="548"/>
        <v>0</v>
      </c>
      <c r="P75" s="74"/>
      <c r="Q75" s="370">
        <f t="shared" si="549"/>
        <v>0</v>
      </c>
      <c r="R75" s="74"/>
      <c r="S75" s="370">
        <f t="shared" si="550"/>
        <v>0</v>
      </c>
      <c r="T75" s="74"/>
      <c r="U75" s="370">
        <f t="shared" si="551"/>
        <v>0</v>
      </c>
      <c r="V75" s="74"/>
      <c r="W75" s="370">
        <f t="shared" si="557"/>
        <v>0</v>
      </c>
      <c r="X75" s="74"/>
      <c r="Y75" s="370">
        <f t="shared" si="552"/>
        <v>0</v>
      </c>
      <c r="Z75" s="74"/>
      <c r="AA75" s="370">
        <f t="shared" si="553"/>
        <v>0</v>
      </c>
      <c r="AB75" s="74"/>
      <c r="AC75" s="370">
        <f t="shared" si="554"/>
        <v>0</v>
      </c>
      <c r="AD75" s="74"/>
      <c r="AE75" s="370">
        <f t="shared" si="555"/>
        <v>0</v>
      </c>
    </row>
    <row r="76" spans="1:31" ht="19.149999999999999" customHeight="1" outlineLevel="1">
      <c r="A76" s="384" t="s">
        <v>68</v>
      </c>
      <c r="B76" s="74"/>
      <c r="C76" s="370">
        <f t="shared" si="543"/>
        <v>0</v>
      </c>
      <c r="D76" s="74"/>
      <c r="E76" s="370">
        <f t="shared" si="544"/>
        <v>0</v>
      </c>
      <c r="F76" s="74"/>
      <c r="G76" s="370">
        <f t="shared" si="556"/>
        <v>0</v>
      </c>
      <c r="H76" s="74"/>
      <c r="I76" s="370">
        <f t="shared" si="545"/>
        <v>0</v>
      </c>
      <c r="J76" s="74"/>
      <c r="K76" s="370">
        <f t="shared" si="546"/>
        <v>0</v>
      </c>
      <c r="L76" s="74"/>
      <c r="M76" s="370">
        <f t="shared" si="547"/>
        <v>0</v>
      </c>
      <c r="N76" s="74"/>
      <c r="O76" s="370">
        <f t="shared" si="548"/>
        <v>0</v>
      </c>
      <c r="P76" s="74"/>
      <c r="Q76" s="370">
        <f t="shared" si="549"/>
        <v>0</v>
      </c>
      <c r="R76" s="74"/>
      <c r="S76" s="370">
        <f t="shared" si="550"/>
        <v>0</v>
      </c>
      <c r="T76" s="74"/>
      <c r="U76" s="370">
        <f t="shared" si="551"/>
        <v>0</v>
      </c>
      <c r="V76" s="74"/>
      <c r="W76" s="370">
        <f t="shared" si="557"/>
        <v>0</v>
      </c>
      <c r="X76" s="74"/>
      <c r="Y76" s="370">
        <f t="shared" si="552"/>
        <v>0</v>
      </c>
      <c r="Z76" s="74"/>
      <c r="AA76" s="370">
        <f t="shared" si="553"/>
        <v>0</v>
      </c>
      <c r="AB76" s="74"/>
      <c r="AC76" s="370">
        <f t="shared" si="554"/>
        <v>0</v>
      </c>
      <c r="AD76" s="74"/>
      <c r="AE76" s="370">
        <f t="shared" si="555"/>
        <v>0</v>
      </c>
    </row>
    <row r="77" spans="1:31" ht="19.149999999999999" customHeight="1" outlineLevel="1">
      <c r="A77" s="384" t="s">
        <v>69</v>
      </c>
      <c r="B77" s="74"/>
      <c r="C77" s="370">
        <f t="shared" si="543"/>
        <v>0</v>
      </c>
      <c r="D77" s="74"/>
      <c r="E77" s="370">
        <f t="shared" si="544"/>
        <v>0</v>
      </c>
      <c r="F77" s="74"/>
      <c r="G77" s="370">
        <f t="shared" si="556"/>
        <v>0</v>
      </c>
      <c r="H77" s="74"/>
      <c r="I77" s="370">
        <f t="shared" si="545"/>
        <v>0</v>
      </c>
      <c r="J77" s="74"/>
      <c r="K77" s="370">
        <f t="shared" si="546"/>
        <v>0</v>
      </c>
      <c r="L77" s="74"/>
      <c r="M77" s="370">
        <f t="shared" si="547"/>
        <v>0</v>
      </c>
      <c r="N77" s="74"/>
      <c r="O77" s="370">
        <f t="shared" si="548"/>
        <v>0</v>
      </c>
      <c r="P77" s="74"/>
      <c r="Q77" s="370">
        <f t="shared" si="549"/>
        <v>0</v>
      </c>
      <c r="R77" s="74"/>
      <c r="S77" s="370">
        <f t="shared" si="550"/>
        <v>0</v>
      </c>
      <c r="T77" s="74"/>
      <c r="U77" s="370">
        <f t="shared" si="551"/>
        <v>0</v>
      </c>
      <c r="V77" s="74"/>
      <c r="W77" s="370">
        <f>(V77/100)*1000</f>
        <v>0</v>
      </c>
      <c r="X77" s="74"/>
      <c r="Y77" s="370">
        <f t="shared" si="552"/>
        <v>0</v>
      </c>
      <c r="Z77" s="74"/>
      <c r="AA77" s="370">
        <f t="shared" si="553"/>
        <v>0</v>
      </c>
      <c r="AB77" s="74"/>
      <c r="AC77" s="370">
        <f t="shared" si="554"/>
        <v>0</v>
      </c>
      <c r="AD77" s="74"/>
      <c r="AE77" s="370">
        <f t="shared" si="555"/>
        <v>0</v>
      </c>
    </row>
    <row r="78" spans="1:31" ht="19.149999999999999" customHeight="1" outlineLevel="1">
      <c r="A78" s="384" t="s">
        <v>70</v>
      </c>
      <c r="B78" s="74"/>
      <c r="C78" s="370">
        <f t="shared" si="543"/>
        <v>0</v>
      </c>
      <c r="D78" s="74"/>
      <c r="E78" s="370">
        <f t="shared" si="544"/>
        <v>0</v>
      </c>
      <c r="F78" s="74"/>
      <c r="G78" s="370">
        <f t="shared" si="556"/>
        <v>0</v>
      </c>
      <c r="H78" s="74"/>
      <c r="I78" s="370">
        <f t="shared" si="545"/>
        <v>0</v>
      </c>
      <c r="J78" s="74"/>
      <c r="K78" s="370">
        <f t="shared" si="546"/>
        <v>0</v>
      </c>
      <c r="L78" s="74"/>
      <c r="M78" s="370">
        <f t="shared" si="547"/>
        <v>0</v>
      </c>
      <c r="N78" s="74"/>
      <c r="O78" s="370">
        <f t="shared" si="548"/>
        <v>0</v>
      </c>
      <c r="P78" s="74"/>
      <c r="Q78" s="370">
        <f t="shared" si="549"/>
        <v>0</v>
      </c>
      <c r="R78" s="74"/>
      <c r="S78" s="370">
        <f t="shared" si="550"/>
        <v>0</v>
      </c>
      <c r="T78" s="74"/>
      <c r="U78" s="370">
        <f t="shared" si="551"/>
        <v>0</v>
      </c>
      <c r="V78" s="74"/>
      <c r="W78" s="370">
        <f t="shared" ref="W78:W81" si="558">(V78/100)*1000</f>
        <v>0</v>
      </c>
      <c r="X78" s="74"/>
      <c r="Y78" s="370">
        <f t="shared" si="552"/>
        <v>0</v>
      </c>
      <c r="Z78" s="74"/>
      <c r="AA78" s="370">
        <f t="shared" si="553"/>
        <v>0</v>
      </c>
      <c r="AB78" s="74"/>
      <c r="AC78" s="370">
        <f t="shared" si="554"/>
        <v>0</v>
      </c>
      <c r="AD78" s="74"/>
      <c r="AE78" s="370">
        <f t="shared" si="555"/>
        <v>0</v>
      </c>
    </row>
    <row r="79" spans="1:31" ht="19.149999999999999" customHeight="1" outlineLevel="1">
      <c r="A79" s="384" t="s">
        <v>71</v>
      </c>
      <c r="B79" s="74"/>
      <c r="C79" s="370">
        <f t="shared" si="543"/>
        <v>0</v>
      </c>
      <c r="D79" s="74"/>
      <c r="E79" s="370">
        <f t="shared" si="544"/>
        <v>0</v>
      </c>
      <c r="F79" s="74"/>
      <c r="G79" s="370">
        <f t="shared" si="556"/>
        <v>0</v>
      </c>
      <c r="H79" s="74"/>
      <c r="I79" s="370">
        <f t="shared" si="545"/>
        <v>0</v>
      </c>
      <c r="J79" s="74"/>
      <c r="K79" s="370">
        <f t="shared" si="546"/>
        <v>0</v>
      </c>
      <c r="L79" s="74"/>
      <c r="M79" s="370">
        <f t="shared" si="547"/>
        <v>0</v>
      </c>
      <c r="N79" s="74"/>
      <c r="O79" s="370">
        <f t="shared" si="548"/>
        <v>0</v>
      </c>
      <c r="P79" s="74"/>
      <c r="Q79" s="370">
        <f t="shared" si="549"/>
        <v>0</v>
      </c>
      <c r="R79" s="74"/>
      <c r="S79" s="370">
        <f t="shared" si="550"/>
        <v>0</v>
      </c>
      <c r="T79" s="74"/>
      <c r="U79" s="370">
        <f t="shared" si="551"/>
        <v>0</v>
      </c>
      <c r="V79" s="74"/>
      <c r="W79" s="370">
        <f t="shared" si="558"/>
        <v>0</v>
      </c>
      <c r="X79" s="74"/>
      <c r="Y79" s="370">
        <f t="shared" si="552"/>
        <v>0</v>
      </c>
      <c r="Z79" s="74"/>
      <c r="AA79" s="370">
        <f t="shared" si="553"/>
        <v>0</v>
      </c>
      <c r="AB79" s="74"/>
      <c r="AC79" s="370">
        <f t="shared" si="554"/>
        <v>0</v>
      </c>
      <c r="AD79" s="74"/>
      <c r="AE79" s="370">
        <f t="shared" si="555"/>
        <v>0</v>
      </c>
    </row>
    <row r="80" spans="1:31" ht="19.149999999999999" customHeight="1" outlineLevel="1">
      <c r="A80" s="367">
        <v>1</v>
      </c>
      <c r="B80" s="74"/>
      <c r="C80" s="370">
        <f t="shared" si="543"/>
        <v>0</v>
      </c>
      <c r="D80" s="74"/>
      <c r="E80" s="370">
        <f t="shared" si="544"/>
        <v>0</v>
      </c>
      <c r="F80" s="74"/>
      <c r="G80" s="370">
        <f t="shared" si="556"/>
        <v>0</v>
      </c>
      <c r="H80" s="74"/>
      <c r="I80" s="370">
        <f t="shared" si="545"/>
        <v>0</v>
      </c>
      <c r="J80" s="74"/>
      <c r="K80" s="370">
        <f t="shared" si="546"/>
        <v>0</v>
      </c>
      <c r="L80" s="74"/>
      <c r="M80" s="370">
        <f t="shared" si="547"/>
        <v>0</v>
      </c>
      <c r="N80" s="74"/>
      <c r="O80" s="370">
        <f t="shared" si="548"/>
        <v>0</v>
      </c>
      <c r="P80" s="74"/>
      <c r="Q80" s="370">
        <f t="shared" si="549"/>
        <v>0</v>
      </c>
      <c r="R80" s="74"/>
      <c r="S80" s="370">
        <f t="shared" si="550"/>
        <v>0</v>
      </c>
      <c r="T80" s="74"/>
      <c r="U80" s="370">
        <f t="shared" si="551"/>
        <v>0</v>
      </c>
      <c r="V80" s="74"/>
      <c r="W80" s="370">
        <f t="shared" si="558"/>
        <v>0</v>
      </c>
      <c r="X80" s="74"/>
      <c r="Y80" s="370">
        <f t="shared" si="552"/>
        <v>0</v>
      </c>
      <c r="Z80" s="74"/>
      <c r="AA80" s="370">
        <f t="shared" si="553"/>
        <v>0</v>
      </c>
      <c r="AB80" s="74"/>
      <c r="AC80" s="370">
        <f t="shared" si="554"/>
        <v>0</v>
      </c>
      <c r="AD80" s="74"/>
      <c r="AE80" s="370">
        <f t="shared" si="555"/>
        <v>0</v>
      </c>
    </row>
    <row r="81" spans="1:31" ht="19.149999999999999" customHeight="1" outlineLevel="1">
      <c r="A81" s="367">
        <v>2</v>
      </c>
      <c r="B81" s="74"/>
      <c r="C81" s="370">
        <f t="shared" si="543"/>
        <v>0</v>
      </c>
      <c r="D81" s="74"/>
      <c r="E81" s="370">
        <f t="shared" si="544"/>
        <v>0</v>
      </c>
      <c r="F81" s="74"/>
      <c r="G81" s="370">
        <f t="shared" si="556"/>
        <v>0</v>
      </c>
      <c r="H81" s="74"/>
      <c r="I81" s="370">
        <f t="shared" si="545"/>
        <v>0</v>
      </c>
      <c r="J81" s="74"/>
      <c r="K81" s="370">
        <f t="shared" si="546"/>
        <v>0</v>
      </c>
      <c r="L81" s="74"/>
      <c r="M81" s="370">
        <f t="shared" si="547"/>
        <v>0</v>
      </c>
      <c r="N81" s="74"/>
      <c r="O81" s="370">
        <f t="shared" si="548"/>
        <v>0</v>
      </c>
      <c r="P81" s="74"/>
      <c r="Q81" s="370">
        <f t="shared" si="549"/>
        <v>0</v>
      </c>
      <c r="R81" s="74"/>
      <c r="S81" s="370">
        <f t="shared" si="550"/>
        <v>0</v>
      </c>
      <c r="T81" s="74"/>
      <c r="U81" s="370">
        <f t="shared" si="551"/>
        <v>0</v>
      </c>
      <c r="V81" s="74"/>
      <c r="W81" s="370">
        <f t="shared" si="558"/>
        <v>0</v>
      </c>
      <c r="X81" s="74"/>
      <c r="Y81" s="370">
        <f t="shared" si="552"/>
        <v>0</v>
      </c>
      <c r="Z81" s="74"/>
      <c r="AA81" s="370">
        <f t="shared" si="553"/>
        <v>0</v>
      </c>
      <c r="AB81" s="74"/>
      <c r="AC81" s="370">
        <f t="shared" si="554"/>
        <v>0</v>
      </c>
      <c r="AD81" s="74"/>
      <c r="AE81" s="370">
        <f t="shared" si="555"/>
        <v>0</v>
      </c>
    </row>
    <row r="82" spans="1:31" ht="19.149999999999999" customHeight="1" outlineLevel="1">
      <c r="A82" s="368">
        <v>3</v>
      </c>
      <c r="B82" s="74"/>
      <c r="C82" s="370">
        <f t="shared" si="543"/>
        <v>0</v>
      </c>
      <c r="D82" s="74"/>
      <c r="E82" s="370">
        <f t="shared" si="544"/>
        <v>0</v>
      </c>
      <c r="F82" s="74"/>
      <c r="G82" s="370">
        <f t="shared" si="556"/>
        <v>0</v>
      </c>
      <c r="H82" s="74"/>
      <c r="I82" s="370">
        <f t="shared" si="545"/>
        <v>0</v>
      </c>
      <c r="J82" s="74"/>
      <c r="K82" s="370">
        <f t="shared" si="546"/>
        <v>0</v>
      </c>
      <c r="L82" s="74"/>
      <c r="M82" s="370">
        <f t="shared" si="547"/>
        <v>0</v>
      </c>
      <c r="N82" s="74"/>
      <c r="O82" s="370">
        <f t="shared" si="548"/>
        <v>0</v>
      </c>
      <c r="P82" s="74"/>
      <c r="Q82" s="370">
        <f t="shared" si="549"/>
        <v>0</v>
      </c>
      <c r="R82" s="74"/>
      <c r="S82" s="370">
        <f t="shared" si="550"/>
        <v>0</v>
      </c>
      <c r="T82" s="74"/>
      <c r="U82" s="370">
        <f t="shared" si="551"/>
        <v>0</v>
      </c>
      <c r="V82" s="74"/>
      <c r="W82" s="370">
        <f>(V82/100)*1000</f>
        <v>0</v>
      </c>
      <c r="X82" s="74"/>
      <c r="Y82" s="370">
        <f t="shared" si="552"/>
        <v>0</v>
      </c>
      <c r="Z82" s="74"/>
      <c r="AA82" s="370">
        <f t="shared" si="553"/>
        <v>0</v>
      </c>
      <c r="AB82" s="74"/>
      <c r="AC82" s="370">
        <f t="shared" si="554"/>
        <v>0</v>
      </c>
      <c r="AD82" s="74"/>
      <c r="AE82" s="370">
        <f t="shared" si="555"/>
        <v>0</v>
      </c>
    </row>
    <row r="83" spans="1:31" ht="19.149999999999999" customHeight="1" outlineLevel="1">
      <c r="A83" s="368">
        <v>4</v>
      </c>
      <c r="B83" s="74"/>
      <c r="C83" s="370">
        <f t="shared" si="543"/>
        <v>0</v>
      </c>
      <c r="D83" s="74"/>
      <c r="E83" s="370">
        <f t="shared" si="544"/>
        <v>0</v>
      </c>
      <c r="F83" s="74"/>
      <c r="G83" s="370">
        <f t="shared" si="556"/>
        <v>0</v>
      </c>
      <c r="H83" s="74"/>
      <c r="I83" s="370">
        <f t="shared" si="545"/>
        <v>0</v>
      </c>
      <c r="J83" s="74"/>
      <c r="K83" s="370">
        <f t="shared" si="546"/>
        <v>0</v>
      </c>
      <c r="L83" s="74"/>
      <c r="M83" s="370">
        <f t="shared" si="547"/>
        <v>0</v>
      </c>
      <c r="N83" s="74"/>
      <c r="O83" s="370">
        <f t="shared" si="548"/>
        <v>0</v>
      </c>
      <c r="P83" s="74"/>
      <c r="Q83" s="370">
        <f t="shared" si="549"/>
        <v>0</v>
      </c>
      <c r="R83" s="74"/>
      <c r="S83" s="370">
        <f t="shared" si="550"/>
        <v>0</v>
      </c>
      <c r="T83" s="74"/>
      <c r="U83" s="370">
        <f t="shared" si="551"/>
        <v>0</v>
      </c>
      <c r="V83" s="74"/>
      <c r="W83" s="370">
        <f t="shared" ref="W83:W85" si="559">(V83/100)*1000</f>
        <v>0</v>
      </c>
      <c r="X83" s="74"/>
      <c r="Y83" s="370">
        <f t="shared" si="552"/>
        <v>0</v>
      </c>
      <c r="Z83" s="74"/>
      <c r="AA83" s="370">
        <f t="shared" si="553"/>
        <v>0</v>
      </c>
      <c r="AB83" s="74"/>
      <c r="AC83" s="370">
        <f t="shared" si="554"/>
        <v>0</v>
      </c>
      <c r="AD83" s="74"/>
      <c r="AE83" s="370">
        <f t="shared" si="555"/>
        <v>0</v>
      </c>
    </row>
    <row r="84" spans="1:31" ht="19.149999999999999" customHeight="1" outlineLevel="1">
      <c r="A84" s="368">
        <v>5</v>
      </c>
      <c r="B84" s="74"/>
      <c r="C84" s="370">
        <f t="shared" si="543"/>
        <v>0</v>
      </c>
      <c r="D84" s="74"/>
      <c r="E84" s="370">
        <f t="shared" si="544"/>
        <v>0</v>
      </c>
      <c r="F84" s="74"/>
      <c r="G84" s="370">
        <f t="shared" si="556"/>
        <v>0</v>
      </c>
      <c r="H84" s="74"/>
      <c r="I84" s="370">
        <f t="shared" si="545"/>
        <v>0</v>
      </c>
      <c r="J84" s="74"/>
      <c r="K84" s="370">
        <f t="shared" si="546"/>
        <v>0</v>
      </c>
      <c r="L84" s="74"/>
      <c r="M84" s="370">
        <f t="shared" si="547"/>
        <v>0</v>
      </c>
      <c r="N84" s="74"/>
      <c r="O84" s="370">
        <f t="shared" si="548"/>
        <v>0</v>
      </c>
      <c r="P84" s="74"/>
      <c r="Q84" s="370">
        <f t="shared" si="549"/>
        <v>0</v>
      </c>
      <c r="R84" s="74"/>
      <c r="S84" s="370">
        <f t="shared" si="550"/>
        <v>0</v>
      </c>
      <c r="T84" s="74"/>
      <c r="U84" s="370">
        <f t="shared" si="551"/>
        <v>0</v>
      </c>
      <c r="V84" s="74"/>
      <c r="W84" s="370">
        <f t="shared" si="559"/>
        <v>0</v>
      </c>
      <c r="X84" s="74"/>
      <c r="Y84" s="370">
        <f t="shared" si="552"/>
        <v>0</v>
      </c>
      <c r="Z84" s="74"/>
      <c r="AA84" s="370">
        <f t="shared" si="553"/>
        <v>0</v>
      </c>
      <c r="AB84" s="74"/>
      <c r="AC84" s="370">
        <f t="shared" si="554"/>
        <v>0</v>
      </c>
      <c r="AD84" s="74"/>
      <c r="AE84" s="370">
        <f t="shared" si="555"/>
        <v>0</v>
      </c>
    </row>
    <row r="85" spans="1:31" ht="19.149999999999999" customHeight="1" outlineLevel="1">
      <c r="A85" s="368">
        <v>6</v>
      </c>
      <c r="B85" s="74"/>
      <c r="C85" s="370">
        <f t="shared" si="543"/>
        <v>0</v>
      </c>
      <c r="D85" s="74"/>
      <c r="E85" s="370">
        <f t="shared" si="544"/>
        <v>0</v>
      </c>
      <c r="F85" s="74"/>
      <c r="G85" s="370">
        <f t="shared" si="556"/>
        <v>0</v>
      </c>
      <c r="H85" s="74"/>
      <c r="I85" s="370">
        <f t="shared" si="545"/>
        <v>0</v>
      </c>
      <c r="J85" s="74"/>
      <c r="K85" s="370">
        <f t="shared" si="546"/>
        <v>0</v>
      </c>
      <c r="L85" s="74"/>
      <c r="M85" s="370">
        <f t="shared" si="547"/>
        <v>0</v>
      </c>
      <c r="N85" s="74"/>
      <c r="O85" s="370">
        <f t="shared" si="548"/>
        <v>0</v>
      </c>
      <c r="P85" s="74"/>
      <c r="Q85" s="370">
        <f t="shared" si="549"/>
        <v>0</v>
      </c>
      <c r="R85" s="74"/>
      <c r="S85" s="370">
        <f t="shared" si="550"/>
        <v>0</v>
      </c>
      <c r="T85" s="74"/>
      <c r="U85" s="370">
        <f t="shared" si="551"/>
        <v>0</v>
      </c>
      <c r="V85" s="74"/>
      <c r="W85" s="370">
        <f t="shared" si="559"/>
        <v>0</v>
      </c>
      <c r="X85" s="74"/>
      <c r="Y85" s="370">
        <f t="shared" si="552"/>
        <v>0</v>
      </c>
      <c r="Z85" s="74"/>
      <c r="AA85" s="370">
        <f t="shared" si="553"/>
        <v>0</v>
      </c>
      <c r="AB85" s="74"/>
      <c r="AC85" s="370">
        <f t="shared" si="554"/>
        <v>0</v>
      </c>
      <c r="AD85" s="74"/>
      <c r="AE85" s="370">
        <f t="shared" si="555"/>
        <v>0</v>
      </c>
    </row>
    <row r="86" spans="1:31" ht="19.149999999999999" customHeight="1" outlineLevel="1">
      <c r="A86" s="368">
        <v>7</v>
      </c>
      <c r="B86" s="74"/>
      <c r="C86" s="370">
        <f t="shared" ref="C86:C87" si="560">(B86/100)*1000</f>
        <v>0</v>
      </c>
      <c r="D86" s="74"/>
      <c r="E86" s="370">
        <f t="shared" ref="E86:E87" si="561">(D86/100)*1000</f>
        <v>0</v>
      </c>
      <c r="F86" s="74"/>
      <c r="G86" s="370">
        <f t="shared" ref="G86:G87" si="562">(F86/100)*1000</f>
        <v>0</v>
      </c>
      <c r="H86" s="74"/>
      <c r="I86" s="370">
        <f t="shared" ref="I86:I87" si="563">(H86/100)*1000</f>
        <v>0</v>
      </c>
      <c r="J86" s="74"/>
      <c r="K86" s="370">
        <f t="shared" ref="K86:K87" si="564">(J86/100)*1000</f>
        <v>0</v>
      </c>
      <c r="L86" s="74"/>
      <c r="M86" s="370">
        <f t="shared" ref="M86:M87" si="565">(L86/100)*1000</f>
        <v>0</v>
      </c>
      <c r="N86" s="74"/>
      <c r="O86" s="370">
        <f t="shared" ref="O86:O87" si="566">(N86/100)*1000</f>
        <v>0</v>
      </c>
      <c r="P86" s="74"/>
      <c r="Q86" s="370">
        <f t="shared" ref="Q86:Q87" si="567">(P86/100)*1000</f>
        <v>0</v>
      </c>
      <c r="R86" s="74"/>
      <c r="S86" s="370">
        <f t="shared" ref="S86:S87" si="568">(R86/100)*1000</f>
        <v>0</v>
      </c>
      <c r="T86" s="74"/>
      <c r="U86" s="370">
        <f t="shared" ref="U86:U87" si="569">(T86/100)*1000</f>
        <v>0</v>
      </c>
      <c r="V86" s="74"/>
      <c r="W86" s="370">
        <f t="shared" ref="W86:W87" si="570">(V86/100)*1000</f>
        <v>0</v>
      </c>
      <c r="X86" s="74"/>
      <c r="Y86" s="370">
        <f t="shared" ref="Y86:Y87" si="571">(X86/100)*1000</f>
        <v>0</v>
      </c>
      <c r="Z86" s="74"/>
      <c r="AA86" s="370">
        <f t="shared" ref="AA86:AA87" si="572">(Z86/100)*1000</f>
        <v>0</v>
      </c>
      <c r="AB86" s="74"/>
      <c r="AC86" s="370">
        <f t="shared" ref="AC86:AC87" si="573">(AB86/100)*1000</f>
        <v>0</v>
      </c>
      <c r="AD86" s="74"/>
      <c r="AE86" s="370">
        <f t="shared" ref="AE86:AE87" si="574">(AD86/100)*1000</f>
        <v>0</v>
      </c>
    </row>
    <row r="87" spans="1:31" ht="19.149999999999999" customHeight="1" outlineLevel="1">
      <c r="A87" s="368">
        <v>8</v>
      </c>
      <c r="B87" s="74"/>
      <c r="C87" s="370">
        <f t="shared" si="560"/>
        <v>0</v>
      </c>
      <c r="D87" s="74"/>
      <c r="E87" s="370">
        <f t="shared" si="561"/>
        <v>0</v>
      </c>
      <c r="F87" s="74"/>
      <c r="G87" s="370">
        <f t="shared" si="562"/>
        <v>0</v>
      </c>
      <c r="H87" s="74"/>
      <c r="I87" s="370">
        <f t="shared" si="563"/>
        <v>0</v>
      </c>
      <c r="J87" s="74"/>
      <c r="K87" s="370">
        <f t="shared" si="564"/>
        <v>0</v>
      </c>
      <c r="L87" s="74"/>
      <c r="M87" s="370">
        <f t="shared" si="565"/>
        <v>0</v>
      </c>
      <c r="N87" s="74"/>
      <c r="O87" s="370">
        <f t="shared" si="566"/>
        <v>0</v>
      </c>
      <c r="P87" s="74"/>
      <c r="Q87" s="370">
        <f t="shared" si="567"/>
        <v>0</v>
      </c>
      <c r="R87" s="74"/>
      <c r="S87" s="370">
        <f t="shared" si="568"/>
        <v>0</v>
      </c>
      <c r="T87" s="74"/>
      <c r="U87" s="370">
        <f t="shared" si="569"/>
        <v>0</v>
      </c>
      <c r="V87" s="74"/>
      <c r="W87" s="370">
        <f t="shared" si="570"/>
        <v>0</v>
      </c>
      <c r="X87" s="74"/>
      <c r="Y87" s="370">
        <f t="shared" si="571"/>
        <v>0</v>
      </c>
      <c r="Z87" s="74"/>
      <c r="AA87" s="370">
        <f t="shared" si="572"/>
        <v>0</v>
      </c>
      <c r="AB87" s="74"/>
      <c r="AC87" s="370">
        <f t="shared" si="573"/>
        <v>0</v>
      </c>
      <c r="AD87" s="74"/>
      <c r="AE87" s="370">
        <f t="shared" si="574"/>
        <v>0</v>
      </c>
    </row>
    <row r="88" spans="1:31" ht="19.149999999999999" customHeight="1" outlineLevel="1" thickBot="1">
      <c r="A88" s="369" t="s">
        <v>72</v>
      </c>
      <c r="B88" s="355">
        <f t="shared" ref="B88:AE88" si="575">SUM(B6:B87)</f>
        <v>100</v>
      </c>
      <c r="C88" s="371">
        <f t="shared" si="575"/>
        <v>1000</v>
      </c>
      <c r="D88" s="355">
        <f t="shared" si="575"/>
        <v>97.79</v>
      </c>
      <c r="E88" s="371">
        <f t="shared" si="575"/>
        <v>977.90000000000009</v>
      </c>
      <c r="F88" s="355">
        <f t="shared" si="575"/>
        <v>0</v>
      </c>
      <c r="G88" s="371">
        <f t="shared" si="575"/>
        <v>0</v>
      </c>
      <c r="H88" s="355">
        <f t="shared" si="575"/>
        <v>0</v>
      </c>
      <c r="I88" s="371">
        <f t="shared" si="575"/>
        <v>0</v>
      </c>
      <c r="J88" s="355">
        <f t="shared" si="575"/>
        <v>0</v>
      </c>
      <c r="K88" s="371">
        <f t="shared" si="575"/>
        <v>0</v>
      </c>
      <c r="L88" s="355">
        <f t="shared" si="575"/>
        <v>0</v>
      </c>
      <c r="M88" s="371">
        <f t="shared" si="575"/>
        <v>0</v>
      </c>
      <c r="N88" s="355">
        <f t="shared" si="575"/>
        <v>0</v>
      </c>
      <c r="O88" s="371">
        <f t="shared" si="575"/>
        <v>0</v>
      </c>
      <c r="P88" s="355">
        <f t="shared" si="575"/>
        <v>0</v>
      </c>
      <c r="Q88" s="371">
        <f t="shared" si="575"/>
        <v>0</v>
      </c>
      <c r="R88" s="355">
        <f t="shared" si="575"/>
        <v>0</v>
      </c>
      <c r="S88" s="371">
        <f t="shared" si="575"/>
        <v>0</v>
      </c>
      <c r="T88" s="355">
        <f t="shared" si="575"/>
        <v>0</v>
      </c>
      <c r="U88" s="371">
        <f t="shared" si="575"/>
        <v>0</v>
      </c>
      <c r="V88" s="355">
        <f t="shared" si="575"/>
        <v>0</v>
      </c>
      <c r="W88" s="371">
        <f t="shared" si="575"/>
        <v>0</v>
      </c>
      <c r="X88" s="355">
        <f t="shared" si="575"/>
        <v>0</v>
      </c>
      <c r="Y88" s="371">
        <f t="shared" si="575"/>
        <v>0</v>
      </c>
      <c r="Z88" s="355">
        <f t="shared" si="575"/>
        <v>0</v>
      </c>
      <c r="AA88" s="371">
        <f t="shared" si="575"/>
        <v>0</v>
      </c>
      <c r="AB88" s="355">
        <f t="shared" si="575"/>
        <v>0</v>
      </c>
      <c r="AC88" s="371">
        <f t="shared" si="575"/>
        <v>0</v>
      </c>
      <c r="AD88" s="355">
        <f t="shared" si="575"/>
        <v>0</v>
      </c>
      <c r="AE88" s="371">
        <f t="shared" si="575"/>
        <v>0</v>
      </c>
    </row>
    <row r="89" spans="1:31" ht="19.899999999999999" thickBot="1">
      <c r="V89" s="76"/>
      <c r="W89" s="76"/>
      <c r="X89" s="76"/>
      <c r="Y89" s="76"/>
      <c r="Z89" s="76"/>
      <c r="AA89" s="76"/>
      <c r="AB89" s="76"/>
      <c r="AC89" s="76"/>
      <c r="AD89" s="76"/>
      <c r="AE89" s="76"/>
    </row>
    <row r="90" spans="1:31" s="6" customFormat="1" ht="15" customHeight="1" thickBot="1">
      <c r="A90" s="667" t="s">
        <v>73</v>
      </c>
      <c r="B90" s="657">
        <v>1</v>
      </c>
      <c r="C90" s="658"/>
      <c r="D90" s="657">
        <v>2</v>
      </c>
      <c r="E90" s="658"/>
      <c r="F90" s="662">
        <v>3</v>
      </c>
      <c r="G90" s="658"/>
      <c r="H90" s="657">
        <v>4</v>
      </c>
      <c r="I90" s="658"/>
      <c r="J90" s="657">
        <v>5</v>
      </c>
      <c r="K90" s="662"/>
      <c r="L90" s="657">
        <v>6</v>
      </c>
      <c r="M90" s="658"/>
      <c r="N90" s="657">
        <v>7</v>
      </c>
      <c r="O90" s="658"/>
      <c r="P90" s="657">
        <v>8</v>
      </c>
      <c r="Q90" s="658"/>
      <c r="R90" s="657">
        <v>9</v>
      </c>
      <c r="S90" s="658"/>
      <c r="T90" s="657">
        <v>10</v>
      </c>
      <c r="U90" s="658"/>
      <c r="V90" s="657">
        <v>11</v>
      </c>
      <c r="W90" s="658"/>
      <c r="X90" s="657">
        <v>12</v>
      </c>
      <c r="Y90" s="658"/>
      <c r="Z90" s="657">
        <v>13</v>
      </c>
      <c r="AA90" s="658"/>
      <c r="AB90" s="657">
        <v>14</v>
      </c>
      <c r="AC90" s="658"/>
      <c r="AD90" s="657">
        <v>15</v>
      </c>
      <c r="AE90" s="658"/>
    </row>
    <row r="91" spans="1:31" s="6" customFormat="1" ht="15" customHeight="1" thickBot="1">
      <c r="A91" s="668"/>
      <c r="B91" s="665" t="s">
        <v>74</v>
      </c>
      <c r="C91" s="666"/>
      <c r="D91" s="665"/>
      <c r="E91" s="666"/>
      <c r="F91" s="665"/>
      <c r="G91" s="666"/>
      <c r="H91" s="665"/>
      <c r="I91" s="666"/>
      <c r="J91" s="665"/>
      <c r="K91" s="666"/>
      <c r="L91" s="665"/>
      <c r="M91" s="666"/>
      <c r="N91" s="665"/>
      <c r="O91" s="666"/>
      <c r="P91" s="665"/>
      <c r="Q91" s="666"/>
      <c r="R91" s="665"/>
      <c r="S91" s="666"/>
      <c r="T91" s="665"/>
      <c r="U91" s="666"/>
      <c r="V91" s="665"/>
      <c r="W91" s="666"/>
      <c r="X91" s="665"/>
      <c r="Y91" s="666"/>
      <c r="Z91" s="665"/>
      <c r="AA91" s="666"/>
      <c r="AB91" s="665"/>
      <c r="AC91" s="666"/>
      <c r="AD91" s="665"/>
      <c r="AE91" s="666"/>
    </row>
    <row r="92" spans="1:31" ht="33" customHeight="1" thickBot="1">
      <c r="A92" s="668"/>
      <c r="B92" s="670" t="s">
        <v>75</v>
      </c>
      <c r="C92" s="671"/>
      <c r="D92" s="670"/>
      <c r="E92" s="671"/>
      <c r="F92" s="670"/>
      <c r="G92" s="671"/>
      <c r="H92" s="670"/>
      <c r="I92" s="671"/>
      <c r="J92" s="670"/>
      <c r="K92" s="671"/>
      <c r="L92" s="670"/>
      <c r="M92" s="671"/>
      <c r="N92" s="670"/>
      <c r="O92" s="671"/>
      <c r="P92" s="670"/>
      <c r="Q92" s="671"/>
      <c r="R92" s="670"/>
      <c r="S92" s="671"/>
      <c r="T92" s="670"/>
      <c r="U92" s="671"/>
      <c r="V92" s="670"/>
      <c r="W92" s="671"/>
      <c r="X92" s="670"/>
      <c r="Y92" s="671"/>
      <c r="Z92" s="670"/>
      <c r="AA92" s="671"/>
      <c r="AB92" s="670"/>
      <c r="AC92" s="671"/>
      <c r="AD92" s="670"/>
      <c r="AE92" s="671"/>
    </row>
    <row r="93" spans="1:31" ht="25.35" customHeight="1" outlineLevel="1" thickBot="1">
      <c r="A93" s="669"/>
      <c r="B93" s="205" t="s">
        <v>5</v>
      </c>
      <c r="C93" s="8" t="s">
        <v>6</v>
      </c>
      <c r="D93" s="205" t="s">
        <v>5</v>
      </c>
      <c r="E93" s="8" t="s">
        <v>6</v>
      </c>
      <c r="F93" s="18" t="s">
        <v>5</v>
      </c>
      <c r="G93" s="8" t="s">
        <v>6</v>
      </c>
      <c r="H93" s="18" t="s">
        <v>5</v>
      </c>
      <c r="I93" s="8" t="s">
        <v>6</v>
      </c>
      <c r="J93" s="18" t="s">
        <v>5</v>
      </c>
      <c r="K93" s="204" t="s">
        <v>6</v>
      </c>
      <c r="L93" s="205" t="s">
        <v>5</v>
      </c>
      <c r="M93" s="8" t="s">
        <v>6</v>
      </c>
      <c r="N93" s="205" t="s">
        <v>5</v>
      </c>
      <c r="O93" s="8" t="s">
        <v>6</v>
      </c>
      <c r="P93" s="205" t="s">
        <v>5</v>
      </c>
      <c r="Q93" s="8" t="s">
        <v>6</v>
      </c>
      <c r="R93" s="205" t="s">
        <v>5</v>
      </c>
      <c r="S93" s="8" t="s">
        <v>6</v>
      </c>
      <c r="T93" s="205" t="s">
        <v>5</v>
      </c>
      <c r="U93" s="8" t="s">
        <v>6</v>
      </c>
      <c r="V93" s="205" t="s">
        <v>5</v>
      </c>
      <c r="W93" s="8" t="s">
        <v>6</v>
      </c>
      <c r="X93" s="205" t="s">
        <v>5</v>
      </c>
      <c r="Y93" s="8" t="s">
        <v>6</v>
      </c>
      <c r="Z93" s="205" t="s">
        <v>5</v>
      </c>
      <c r="AA93" s="8" t="s">
        <v>6</v>
      </c>
      <c r="AB93" s="205" t="s">
        <v>5</v>
      </c>
      <c r="AC93" s="8" t="s">
        <v>6</v>
      </c>
      <c r="AD93" s="205" t="s">
        <v>5</v>
      </c>
      <c r="AE93" s="8" t="s">
        <v>6</v>
      </c>
    </row>
    <row r="94" spans="1:31" ht="18.75" customHeight="1" outlineLevel="1">
      <c r="A94" s="373" t="str">
        <f t="shared" ref="A94:A125" si="576">A6</f>
        <v>MAIZE/CORN</v>
      </c>
      <c r="B94" s="353">
        <f>1171/20</f>
        <v>58.55</v>
      </c>
      <c r="C94" s="246">
        <f>(B94/100)*1000</f>
        <v>585.5</v>
      </c>
      <c r="D94" s="353"/>
      <c r="E94" s="410">
        <f>(D94/100)*1000</f>
        <v>0</v>
      </c>
      <c r="F94" s="353"/>
      <c r="G94" s="410">
        <f>(F94/100)*1000</f>
        <v>0</v>
      </c>
      <c r="H94" s="353"/>
      <c r="I94" s="410">
        <f>(H94/100)*1000</f>
        <v>0</v>
      </c>
      <c r="J94" s="353"/>
      <c r="K94" s="410">
        <f>(J94/100)*1000</f>
        <v>0</v>
      </c>
      <c r="L94" s="353"/>
      <c r="M94" s="410">
        <f>(L94/100)*1000</f>
        <v>0</v>
      </c>
      <c r="N94" s="353"/>
      <c r="O94" s="410">
        <f>(N94/100)*1000</f>
        <v>0</v>
      </c>
      <c r="P94" s="353"/>
      <c r="Q94" s="410">
        <f>(P94/100)*1000</f>
        <v>0</v>
      </c>
      <c r="R94" s="353"/>
      <c r="S94" s="410">
        <f>(R94/100)*1000</f>
        <v>0</v>
      </c>
      <c r="T94" s="353"/>
      <c r="U94" s="410">
        <f>(T94/100)*1000</f>
        <v>0</v>
      </c>
      <c r="V94" s="353"/>
      <c r="W94" s="410">
        <f>(V94/100)*1000</f>
        <v>0</v>
      </c>
      <c r="X94" s="353"/>
      <c r="Y94" s="410">
        <f>(X94/100)*1000</f>
        <v>0</v>
      </c>
      <c r="Z94" s="353"/>
      <c r="AA94" s="410">
        <f>(Z94/100)*1000</f>
        <v>0</v>
      </c>
      <c r="AB94" s="353"/>
      <c r="AC94" s="410">
        <f>(AB94/100)*1000</f>
        <v>0</v>
      </c>
      <c r="AD94" s="245"/>
      <c r="AE94" s="410">
        <f>(AD94/100)*1000</f>
        <v>0</v>
      </c>
    </row>
    <row r="95" spans="1:31" ht="18.75" customHeight="1" outlineLevel="1">
      <c r="A95" s="373" t="str">
        <f t="shared" si="576"/>
        <v>SOYBEAN MEAL (ARG)</v>
      </c>
      <c r="B95" s="74">
        <f>508/20</f>
        <v>25.4</v>
      </c>
      <c r="C95" s="246">
        <f t="shared" ref="C95:AE146" si="577">(B95/100)*1000</f>
        <v>254</v>
      </c>
      <c r="D95" s="74"/>
      <c r="E95" s="246">
        <f t="shared" si="577"/>
        <v>0</v>
      </c>
      <c r="F95" s="74"/>
      <c r="G95" s="246">
        <f t="shared" ref="G95:G144" si="578">(F95/100)*1000</f>
        <v>0</v>
      </c>
      <c r="H95" s="74"/>
      <c r="I95" s="246">
        <f t="shared" ref="I95:I144" si="579">(H95/100)*1000</f>
        <v>0</v>
      </c>
      <c r="J95" s="74"/>
      <c r="K95" s="246">
        <f t="shared" ref="K95:K144" si="580">(J95/100)*1000</f>
        <v>0</v>
      </c>
      <c r="L95" s="74"/>
      <c r="M95" s="246">
        <f t="shared" ref="M95:M144" si="581">(L95/100)*1000</f>
        <v>0</v>
      </c>
      <c r="N95" s="74"/>
      <c r="O95" s="246">
        <f t="shared" ref="O95:O144" si="582">(N95/100)*1000</f>
        <v>0</v>
      </c>
      <c r="P95" s="74"/>
      <c r="Q95" s="246">
        <f t="shared" ref="Q95" si="583">(P95/100)*1000</f>
        <v>0</v>
      </c>
      <c r="R95" s="74"/>
      <c r="S95" s="246">
        <f t="shared" ref="S95" si="584">(R95/100)*1000</f>
        <v>0</v>
      </c>
      <c r="T95" s="74"/>
      <c r="U95" s="246">
        <f t="shared" ref="U95" si="585">(T95/100)*1000</f>
        <v>0</v>
      </c>
      <c r="V95" s="74"/>
      <c r="W95" s="246">
        <f t="shared" ref="W95" si="586">(V95/100)*1000</f>
        <v>0</v>
      </c>
      <c r="X95" s="74"/>
      <c r="Y95" s="246">
        <f t="shared" ref="Y95" si="587">(X95/100)*1000</f>
        <v>0</v>
      </c>
      <c r="Z95" s="74"/>
      <c r="AA95" s="246">
        <f t="shared" ref="AA95" si="588">(Z95/100)*1000</f>
        <v>0</v>
      </c>
      <c r="AB95" s="74"/>
      <c r="AC95" s="246">
        <f t="shared" ref="AC95" si="589">(AB95/100)*1000</f>
        <v>0</v>
      </c>
      <c r="AD95" s="74"/>
      <c r="AE95" s="246">
        <f t="shared" ref="AE95" si="590">(AD95/100)*1000</f>
        <v>0</v>
      </c>
    </row>
    <row r="96" spans="1:31" ht="18.75" customHeight="1" outlineLevel="1">
      <c r="A96" s="373" t="str">
        <f t="shared" si="576"/>
        <v>SOYBEAN FULL FAT</v>
      </c>
      <c r="B96" s="74">
        <f>50/20</f>
        <v>2.5</v>
      </c>
      <c r="C96" s="246">
        <f t="shared" si="577"/>
        <v>25</v>
      </c>
      <c r="D96" s="74"/>
      <c r="E96" s="246">
        <f t="shared" si="577"/>
        <v>0</v>
      </c>
      <c r="F96" s="74"/>
      <c r="G96" s="246">
        <f t="shared" si="578"/>
        <v>0</v>
      </c>
      <c r="H96" s="74"/>
      <c r="I96" s="246">
        <f t="shared" si="579"/>
        <v>0</v>
      </c>
      <c r="J96" s="74"/>
      <c r="K96" s="246">
        <f t="shared" si="580"/>
        <v>0</v>
      </c>
      <c r="L96" s="74"/>
      <c r="M96" s="246">
        <f t="shared" si="581"/>
        <v>0</v>
      </c>
      <c r="N96" s="74"/>
      <c r="O96" s="246">
        <f t="shared" si="582"/>
        <v>0</v>
      </c>
      <c r="P96" s="74"/>
      <c r="Q96" s="246">
        <f t="shared" ref="Q96" si="591">(P96/100)*1000</f>
        <v>0</v>
      </c>
      <c r="R96" s="74"/>
      <c r="S96" s="246">
        <f t="shared" ref="S96" si="592">(R96/100)*1000</f>
        <v>0</v>
      </c>
      <c r="T96" s="74"/>
      <c r="U96" s="246">
        <f t="shared" ref="U96" si="593">(T96/100)*1000</f>
        <v>0</v>
      </c>
      <c r="V96" s="74"/>
      <c r="W96" s="246">
        <f t="shared" ref="W96" si="594">(V96/100)*1000</f>
        <v>0</v>
      </c>
      <c r="X96" s="74"/>
      <c r="Y96" s="246">
        <f t="shared" ref="Y96" si="595">(X96/100)*1000</f>
        <v>0</v>
      </c>
      <c r="Z96" s="74"/>
      <c r="AA96" s="246">
        <f t="shared" ref="AA96" si="596">(Z96/100)*1000</f>
        <v>0</v>
      </c>
      <c r="AB96" s="74"/>
      <c r="AC96" s="246">
        <f t="shared" ref="AC96" si="597">(AB96/100)*1000</f>
        <v>0</v>
      </c>
      <c r="AD96" s="74"/>
      <c r="AE96" s="246">
        <f t="shared" ref="AE96" si="598">(AD96/100)*1000</f>
        <v>0</v>
      </c>
    </row>
    <row r="97" spans="1:31" ht="18.75" customHeight="1" outlineLevel="1">
      <c r="A97" s="373" t="str">
        <f t="shared" si="576"/>
        <v>WHEAT POLLARD</v>
      </c>
      <c r="B97" s="74">
        <f>100/20</f>
        <v>5</v>
      </c>
      <c r="C97" s="246">
        <f t="shared" si="577"/>
        <v>50</v>
      </c>
      <c r="D97" s="74"/>
      <c r="E97" s="246">
        <f t="shared" si="577"/>
        <v>0</v>
      </c>
      <c r="F97" s="74"/>
      <c r="G97" s="246">
        <f t="shared" si="578"/>
        <v>0</v>
      </c>
      <c r="H97" s="74"/>
      <c r="I97" s="246">
        <f t="shared" si="579"/>
        <v>0</v>
      </c>
      <c r="J97" s="74"/>
      <c r="K97" s="246">
        <f t="shared" si="580"/>
        <v>0</v>
      </c>
      <c r="L97" s="74"/>
      <c r="M97" s="246">
        <f t="shared" si="581"/>
        <v>0</v>
      </c>
      <c r="N97" s="74"/>
      <c r="O97" s="246">
        <f t="shared" si="582"/>
        <v>0</v>
      </c>
      <c r="P97" s="74"/>
      <c r="Q97" s="246">
        <f t="shared" ref="Q97" si="599">(P97/100)*1000</f>
        <v>0</v>
      </c>
      <c r="R97" s="74"/>
      <c r="S97" s="246">
        <f t="shared" ref="S97" si="600">(R97/100)*1000</f>
        <v>0</v>
      </c>
      <c r="T97" s="74"/>
      <c r="U97" s="246">
        <f t="shared" ref="U97" si="601">(T97/100)*1000</f>
        <v>0</v>
      </c>
      <c r="V97" s="74"/>
      <c r="W97" s="246">
        <f t="shared" ref="W97" si="602">(V97/100)*1000</f>
        <v>0</v>
      </c>
      <c r="X97" s="74"/>
      <c r="Y97" s="246">
        <f t="shared" ref="Y97" si="603">(X97/100)*1000</f>
        <v>0</v>
      </c>
      <c r="Z97" s="74"/>
      <c r="AA97" s="246">
        <f t="shared" ref="AA97" si="604">(Z97/100)*1000</f>
        <v>0</v>
      </c>
      <c r="AB97" s="74"/>
      <c r="AC97" s="246">
        <f t="shared" ref="AC97" si="605">(AB97/100)*1000</f>
        <v>0</v>
      </c>
      <c r="AD97" s="74"/>
      <c r="AE97" s="246">
        <f t="shared" ref="AE97" si="606">(AD97/100)*1000</f>
        <v>0</v>
      </c>
    </row>
    <row r="98" spans="1:31" ht="18.75" customHeight="1" outlineLevel="1">
      <c r="A98" s="373" t="str">
        <f t="shared" si="576"/>
        <v>WHEAT</v>
      </c>
      <c r="B98" s="74"/>
      <c r="C98" s="246">
        <f t="shared" si="577"/>
        <v>0</v>
      </c>
      <c r="D98" s="74"/>
      <c r="E98" s="246">
        <f t="shared" si="577"/>
        <v>0</v>
      </c>
      <c r="F98" s="74"/>
      <c r="G98" s="246">
        <f t="shared" si="578"/>
        <v>0</v>
      </c>
      <c r="H98" s="74"/>
      <c r="I98" s="246">
        <f t="shared" si="579"/>
        <v>0</v>
      </c>
      <c r="J98" s="74"/>
      <c r="K98" s="246">
        <f t="shared" si="580"/>
        <v>0</v>
      </c>
      <c r="L98" s="74"/>
      <c r="M98" s="246">
        <f t="shared" si="581"/>
        <v>0</v>
      </c>
      <c r="N98" s="74"/>
      <c r="O98" s="246">
        <f t="shared" si="582"/>
        <v>0</v>
      </c>
      <c r="P98" s="74"/>
      <c r="Q98" s="246">
        <f t="shared" ref="Q98" si="607">(P98/100)*1000</f>
        <v>0</v>
      </c>
      <c r="R98" s="74"/>
      <c r="S98" s="246">
        <f t="shared" ref="S98" si="608">(R98/100)*1000</f>
        <v>0</v>
      </c>
      <c r="T98" s="74"/>
      <c r="U98" s="246">
        <f t="shared" ref="U98" si="609">(T98/100)*1000</f>
        <v>0</v>
      </c>
      <c r="V98" s="74"/>
      <c r="W98" s="246">
        <f t="shared" ref="W98" si="610">(V98/100)*1000</f>
        <v>0</v>
      </c>
      <c r="X98" s="74"/>
      <c r="Y98" s="246">
        <f t="shared" ref="Y98" si="611">(X98/100)*1000</f>
        <v>0</v>
      </c>
      <c r="Z98" s="74"/>
      <c r="AA98" s="246">
        <f t="shared" ref="AA98" si="612">(Z98/100)*1000</f>
        <v>0</v>
      </c>
      <c r="AB98" s="74"/>
      <c r="AC98" s="246">
        <f t="shared" ref="AC98" si="613">(AB98/100)*1000</f>
        <v>0</v>
      </c>
      <c r="AD98" s="74"/>
      <c r="AE98" s="246">
        <f t="shared" ref="AE98" si="614">(AD98/100)*1000</f>
        <v>0</v>
      </c>
    </row>
    <row r="99" spans="1:31" ht="18.75" customHeight="1" outlineLevel="1">
      <c r="A99" s="373" t="str">
        <f t="shared" si="576"/>
        <v>MEAT AND BONE MEAL</v>
      </c>
      <c r="B99" s="74">
        <f>20/20</f>
        <v>1</v>
      </c>
      <c r="C99" s="246">
        <f t="shared" si="577"/>
        <v>10</v>
      </c>
      <c r="D99" s="74"/>
      <c r="E99" s="246">
        <f t="shared" si="577"/>
        <v>0</v>
      </c>
      <c r="F99" s="74"/>
      <c r="G99" s="246">
        <f t="shared" si="578"/>
        <v>0</v>
      </c>
      <c r="H99" s="74"/>
      <c r="I99" s="246">
        <f t="shared" si="579"/>
        <v>0</v>
      </c>
      <c r="J99" s="74"/>
      <c r="K99" s="246">
        <f t="shared" si="580"/>
        <v>0</v>
      </c>
      <c r="L99" s="74"/>
      <c r="M99" s="246">
        <f t="shared" si="581"/>
        <v>0</v>
      </c>
      <c r="N99" s="74"/>
      <c r="O99" s="246">
        <f t="shared" si="582"/>
        <v>0</v>
      </c>
      <c r="P99" s="74"/>
      <c r="Q99" s="246">
        <f t="shared" ref="Q99" si="615">(P99/100)*1000</f>
        <v>0</v>
      </c>
      <c r="R99" s="74"/>
      <c r="S99" s="246">
        <f t="shared" ref="S99" si="616">(R99/100)*1000</f>
        <v>0</v>
      </c>
      <c r="T99" s="74"/>
      <c r="U99" s="246">
        <f t="shared" ref="U99" si="617">(T99/100)*1000</f>
        <v>0</v>
      </c>
      <c r="V99" s="74"/>
      <c r="W99" s="246">
        <f t="shared" ref="W99" si="618">(V99/100)*1000</f>
        <v>0</v>
      </c>
      <c r="X99" s="74"/>
      <c r="Y99" s="246">
        <f t="shared" ref="Y99" si="619">(X99/100)*1000</f>
        <v>0</v>
      </c>
      <c r="Z99" s="74"/>
      <c r="AA99" s="246">
        <f t="shared" ref="AA99" si="620">(Z99/100)*1000</f>
        <v>0</v>
      </c>
      <c r="AB99" s="74"/>
      <c r="AC99" s="246">
        <f t="shared" ref="AC99" si="621">(AB99/100)*1000</f>
        <v>0</v>
      </c>
      <c r="AD99" s="74"/>
      <c r="AE99" s="246">
        <f t="shared" ref="AE99" si="622">(AD99/100)*1000</f>
        <v>0</v>
      </c>
    </row>
    <row r="100" spans="1:31" ht="18.75" customHeight="1" outlineLevel="1">
      <c r="A100" s="373" t="str">
        <f t="shared" si="576"/>
        <v>CORN GLUTEN MEAL</v>
      </c>
      <c r="B100" s="74">
        <f>50/20</f>
        <v>2.5</v>
      </c>
      <c r="C100" s="246">
        <f t="shared" si="577"/>
        <v>25</v>
      </c>
      <c r="D100" s="74"/>
      <c r="E100" s="246">
        <f t="shared" si="577"/>
        <v>0</v>
      </c>
      <c r="F100" s="74"/>
      <c r="G100" s="246">
        <f t="shared" si="578"/>
        <v>0</v>
      </c>
      <c r="H100" s="74"/>
      <c r="I100" s="246">
        <f t="shared" si="579"/>
        <v>0</v>
      </c>
      <c r="J100" s="74"/>
      <c r="K100" s="246">
        <f t="shared" si="580"/>
        <v>0</v>
      </c>
      <c r="L100" s="74"/>
      <c r="M100" s="246">
        <f t="shared" si="581"/>
        <v>0</v>
      </c>
      <c r="N100" s="74"/>
      <c r="O100" s="246">
        <f t="shared" si="582"/>
        <v>0</v>
      </c>
      <c r="P100" s="74"/>
      <c r="Q100" s="246">
        <f t="shared" ref="Q100" si="623">(P100/100)*1000</f>
        <v>0</v>
      </c>
      <c r="R100" s="74"/>
      <c r="S100" s="246">
        <f t="shared" ref="S100" si="624">(R100/100)*1000</f>
        <v>0</v>
      </c>
      <c r="T100" s="74"/>
      <c r="U100" s="246">
        <f t="shared" ref="U100" si="625">(T100/100)*1000</f>
        <v>0</v>
      </c>
      <c r="V100" s="74"/>
      <c r="W100" s="246">
        <f t="shared" ref="W100" si="626">(V100/100)*1000</f>
        <v>0</v>
      </c>
      <c r="X100" s="74"/>
      <c r="Y100" s="246">
        <f t="shared" ref="Y100" si="627">(X100/100)*1000</f>
        <v>0</v>
      </c>
      <c r="Z100" s="74"/>
      <c r="AA100" s="246">
        <f t="shared" ref="AA100" si="628">(Z100/100)*1000</f>
        <v>0</v>
      </c>
      <c r="AB100" s="74"/>
      <c r="AC100" s="246">
        <f t="shared" ref="AC100" si="629">(AB100/100)*1000</f>
        <v>0</v>
      </c>
      <c r="AD100" s="74"/>
      <c r="AE100" s="246">
        <f t="shared" ref="AE100" si="630">(AD100/100)*1000</f>
        <v>0</v>
      </c>
    </row>
    <row r="101" spans="1:31" ht="18.75" customHeight="1" outlineLevel="1">
      <c r="A101" s="373" t="str">
        <f t="shared" si="576"/>
        <v>MEGAFAT (HARUMI)</v>
      </c>
      <c r="B101" s="74">
        <f>50/20</f>
        <v>2.5</v>
      </c>
      <c r="C101" s="246">
        <f t="shared" si="577"/>
        <v>25</v>
      </c>
      <c r="D101" s="74"/>
      <c r="E101" s="246">
        <f t="shared" si="577"/>
        <v>0</v>
      </c>
      <c r="F101" s="74"/>
      <c r="G101" s="246">
        <f t="shared" si="578"/>
        <v>0</v>
      </c>
      <c r="H101" s="74"/>
      <c r="I101" s="246">
        <f t="shared" si="579"/>
        <v>0</v>
      </c>
      <c r="J101" s="74"/>
      <c r="K101" s="246">
        <f t="shared" si="580"/>
        <v>0</v>
      </c>
      <c r="L101" s="74"/>
      <c r="M101" s="246">
        <f t="shared" si="581"/>
        <v>0</v>
      </c>
      <c r="N101" s="74"/>
      <c r="O101" s="246">
        <f t="shared" si="582"/>
        <v>0</v>
      </c>
      <c r="P101" s="74"/>
      <c r="Q101" s="246">
        <f t="shared" ref="Q101" si="631">(P101/100)*1000</f>
        <v>0</v>
      </c>
      <c r="R101" s="74"/>
      <c r="S101" s="246">
        <f t="shared" ref="S101" si="632">(R101/100)*1000</f>
        <v>0</v>
      </c>
      <c r="T101" s="74"/>
      <c r="U101" s="246">
        <f t="shared" ref="U101" si="633">(T101/100)*1000</f>
        <v>0</v>
      </c>
      <c r="V101" s="74"/>
      <c r="W101" s="246">
        <f t="shared" ref="W101" si="634">(V101/100)*1000</f>
        <v>0</v>
      </c>
      <c r="X101" s="74"/>
      <c r="Y101" s="246">
        <f t="shared" ref="Y101" si="635">(X101/100)*1000</f>
        <v>0</v>
      </c>
      <c r="Z101" s="74"/>
      <c r="AA101" s="246">
        <f t="shared" ref="AA101" si="636">(Z101/100)*1000</f>
        <v>0</v>
      </c>
      <c r="AB101" s="74"/>
      <c r="AC101" s="246">
        <f t="shared" ref="AC101" si="637">(AB101/100)*1000</f>
        <v>0</v>
      </c>
      <c r="AD101" s="74"/>
      <c r="AE101" s="246">
        <f t="shared" ref="AE101" si="638">(AD101/100)*1000</f>
        <v>0</v>
      </c>
    </row>
    <row r="102" spans="1:31" ht="18.75" customHeight="1" outlineLevel="1">
      <c r="A102" s="373" t="str">
        <f t="shared" si="576"/>
        <v>DCP 18%</v>
      </c>
      <c r="B102" s="74"/>
      <c r="C102" s="246">
        <f t="shared" si="577"/>
        <v>0</v>
      </c>
      <c r="D102" s="74"/>
      <c r="E102" s="246">
        <f t="shared" si="577"/>
        <v>0</v>
      </c>
      <c r="F102" s="74"/>
      <c r="G102" s="246">
        <f t="shared" si="578"/>
        <v>0</v>
      </c>
      <c r="H102" s="74"/>
      <c r="I102" s="246">
        <f t="shared" si="579"/>
        <v>0</v>
      </c>
      <c r="J102" s="74"/>
      <c r="K102" s="246">
        <f t="shared" si="580"/>
        <v>0</v>
      </c>
      <c r="L102" s="74"/>
      <c r="M102" s="246">
        <f t="shared" si="581"/>
        <v>0</v>
      </c>
      <c r="N102" s="74"/>
      <c r="O102" s="246">
        <f t="shared" si="582"/>
        <v>0</v>
      </c>
      <c r="P102" s="74"/>
      <c r="Q102" s="246">
        <f t="shared" ref="Q102" si="639">(P102/100)*1000</f>
        <v>0</v>
      </c>
      <c r="R102" s="74"/>
      <c r="S102" s="246">
        <f t="shared" ref="S102" si="640">(R102/100)*1000</f>
        <v>0</v>
      </c>
      <c r="T102" s="74"/>
      <c r="U102" s="246">
        <f t="shared" ref="U102" si="641">(T102/100)*1000</f>
        <v>0</v>
      </c>
      <c r="V102" s="74"/>
      <c r="W102" s="246">
        <f t="shared" ref="W102" si="642">(V102/100)*1000</f>
        <v>0</v>
      </c>
      <c r="X102" s="74"/>
      <c r="Y102" s="246">
        <f t="shared" ref="Y102" si="643">(X102/100)*1000</f>
        <v>0</v>
      </c>
      <c r="Z102" s="74"/>
      <c r="AA102" s="246">
        <f t="shared" ref="AA102" si="644">(Z102/100)*1000</f>
        <v>0</v>
      </c>
      <c r="AB102" s="74"/>
      <c r="AC102" s="246">
        <f t="shared" ref="AC102" si="645">(AB102/100)*1000</f>
        <v>0</v>
      </c>
      <c r="AD102" s="74"/>
      <c r="AE102" s="246">
        <f t="shared" ref="AE102" si="646">(AD102/100)*1000</f>
        <v>0</v>
      </c>
    </row>
    <row r="103" spans="1:31" ht="18.75" customHeight="1" outlineLevel="1">
      <c r="A103" s="373" t="str">
        <f t="shared" si="576"/>
        <v>LIMESTONE POWDER (HARUMI)</v>
      </c>
      <c r="B103" s="74">
        <f>10/20</f>
        <v>0.5</v>
      </c>
      <c r="C103" s="246">
        <f t="shared" si="577"/>
        <v>5</v>
      </c>
      <c r="D103" s="74"/>
      <c r="E103" s="246">
        <f t="shared" si="577"/>
        <v>0</v>
      </c>
      <c r="F103" s="74"/>
      <c r="G103" s="246">
        <f t="shared" si="578"/>
        <v>0</v>
      </c>
      <c r="H103" s="74"/>
      <c r="I103" s="246">
        <f t="shared" si="579"/>
        <v>0</v>
      </c>
      <c r="J103" s="74"/>
      <c r="K103" s="246">
        <f t="shared" si="580"/>
        <v>0</v>
      </c>
      <c r="L103" s="74"/>
      <c r="M103" s="246">
        <f t="shared" si="581"/>
        <v>0</v>
      </c>
      <c r="N103" s="74"/>
      <c r="O103" s="246">
        <f t="shared" si="582"/>
        <v>0</v>
      </c>
      <c r="P103" s="74"/>
      <c r="Q103" s="246">
        <f t="shared" ref="Q103" si="647">(P103/100)*1000</f>
        <v>0</v>
      </c>
      <c r="R103" s="74"/>
      <c r="S103" s="246">
        <f t="shared" ref="S103" si="648">(R103/100)*1000</f>
        <v>0</v>
      </c>
      <c r="T103" s="74"/>
      <c r="U103" s="246">
        <f t="shared" ref="U103" si="649">(T103/100)*1000</f>
        <v>0</v>
      </c>
      <c r="V103" s="74"/>
      <c r="W103" s="246">
        <f t="shared" ref="W103" si="650">(V103/100)*1000</f>
        <v>0</v>
      </c>
      <c r="X103" s="74"/>
      <c r="Y103" s="246">
        <f t="shared" ref="Y103" si="651">(X103/100)*1000</f>
        <v>0</v>
      </c>
      <c r="Z103" s="74"/>
      <c r="AA103" s="246">
        <f t="shared" ref="AA103" si="652">(Z103/100)*1000</f>
        <v>0</v>
      </c>
      <c r="AB103" s="74"/>
      <c r="AC103" s="246">
        <f t="shared" ref="AC103" si="653">(AB103/100)*1000</f>
        <v>0</v>
      </c>
      <c r="AD103" s="74"/>
      <c r="AE103" s="246">
        <f t="shared" ref="AE103" si="654">(AD103/100)*1000</f>
        <v>0</v>
      </c>
    </row>
    <row r="104" spans="1:31" ht="18.75" customHeight="1" outlineLevel="1">
      <c r="A104" s="373" t="str">
        <f t="shared" si="576"/>
        <v>CHOLINE CHLORIDE 60%</v>
      </c>
      <c r="B104" s="74"/>
      <c r="C104" s="246">
        <f t="shared" si="577"/>
        <v>0</v>
      </c>
      <c r="D104" s="74"/>
      <c r="E104" s="246">
        <f t="shared" si="577"/>
        <v>0</v>
      </c>
      <c r="F104" s="74"/>
      <c r="G104" s="246">
        <f t="shared" si="578"/>
        <v>0</v>
      </c>
      <c r="H104" s="74"/>
      <c r="I104" s="246">
        <f t="shared" si="579"/>
        <v>0</v>
      </c>
      <c r="J104" s="74"/>
      <c r="K104" s="246">
        <f t="shared" si="580"/>
        <v>0</v>
      </c>
      <c r="L104" s="74"/>
      <c r="M104" s="246">
        <f t="shared" si="581"/>
        <v>0</v>
      </c>
      <c r="N104" s="74"/>
      <c r="O104" s="246">
        <f t="shared" si="582"/>
        <v>0</v>
      </c>
      <c r="P104" s="74"/>
      <c r="Q104" s="246">
        <f t="shared" ref="Q104" si="655">(P104/100)*1000</f>
        <v>0</v>
      </c>
      <c r="R104" s="74"/>
      <c r="S104" s="246">
        <f t="shared" ref="S104" si="656">(R104/100)*1000</f>
        <v>0</v>
      </c>
      <c r="T104" s="74"/>
      <c r="U104" s="246">
        <f t="shared" ref="U104" si="657">(T104/100)*1000</f>
        <v>0</v>
      </c>
      <c r="V104" s="74"/>
      <c r="W104" s="246">
        <f t="shared" ref="W104" si="658">(V104/100)*1000</f>
        <v>0</v>
      </c>
      <c r="X104" s="74"/>
      <c r="Y104" s="246">
        <f t="shared" ref="Y104" si="659">(X104/100)*1000</f>
        <v>0</v>
      </c>
      <c r="Z104" s="74"/>
      <c r="AA104" s="246">
        <f t="shared" ref="AA104" si="660">(Z104/100)*1000</f>
        <v>0</v>
      </c>
      <c r="AB104" s="74"/>
      <c r="AC104" s="246">
        <f t="shared" ref="AC104" si="661">(AB104/100)*1000</f>
        <v>0</v>
      </c>
      <c r="AD104" s="74"/>
      <c r="AE104" s="246">
        <f t="shared" ref="AE104" si="662">(AD104/100)*1000</f>
        <v>0</v>
      </c>
    </row>
    <row r="105" spans="1:31" ht="18.75" customHeight="1" outlineLevel="1">
      <c r="A105" s="373" t="str">
        <f t="shared" si="576"/>
        <v>INDUSTRY FLOUR</v>
      </c>
      <c r="B105" s="74"/>
      <c r="C105" s="246">
        <f t="shared" si="577"/>
        <v>0</v>
      </c>
      <c r="D105" s="74"/>
      <c r="E105" s="246">
        <f t="shared" si="577"/>
        <v>0</v>
      </c>
      <c r="F105" s="74"/>
      <c r="G105" s="246">
        <f t="shared" si="578"/>
        <v>0</v>
      </c>
      <c r="H105" s="74"/>
      <c r="I105" s="246">
        <f t="shared" si="579"/>
        <v>0</v>
      </c>
      <c r="J105" s="74"/>
      <c r="K105" s="246">
        <f t="shared" si="580"/>
        <v>0</v>
      </c>
      <c r="L105" s="74"/>
      <c r="M105" s="246">
        <f t="shared" si="581"/>
        <v>0</v>
      </c>
      <c r="N105" s="74"/>
      <c r="O105" s="246">
        <f t="shared" si="582"/>
        <v>0</v>
      </c>
      <c r="P105" s="74"/>
      <c r="Q105" s="246">
        <f t="shared" ref="Q105" si="663">(P105/100)*1000</f>
        <v>0</v>
      </c>
      <c r="R105" s="74"/>
      <c r="S105" s="246">
        <f t="shared" ref="S105" si="664">(R105/100)*1000</f>
        <v>0</v>
      </c>
      <c r="T105" s="74"/>
      <c r="U105" s="246">
        <f t="shared" ref="U105" si="665">(T105/100)*1000</f>
        <v>0</v>
      </c>
      <c r="V105" s="74"/>
      <c r="W105" s="246">
        <f t="shared" ref="W105" si="666">(V105/100)*1000</f>
        <v>0</v>
      </c>
      <c r="X105" s="74"/>
      <c r="Y105" s="246">
        <f t="shared" ref="Y105" si="667">(X105/100)*1000</f>
        <v>0</v>
      </c>
      <c r="Z105" s="74"/>
      <c r="AA105" s="246">
        <f t="shared" ref="AA105" si="668">(Z105/100)*1000</f>
        <v>0</v>
      </c>
      <c r="AB105" s="74"/>
      <c r="AC105" s="246">
        <f t="shared" ref="AC105" si="669">(AB105/100)*1000</f>
        <v>0</v>
      </c>
      <c r="AD105" s="74"/>
      <c r="AE105" s="246">
        <f t="shared" ref="AE105" si="670">(AD105/100)*1000</f>
        <v>0</v>
      </c>
    </row>
    <row r="106" spans="1:31" ht="18.75" customHeight="1" outlineLevel="1">
      <c r="A106" s="373" t="str">
        <f t="shared" si="576"/>
        <v>RICE BRAN</v>
      </c>
      <c r="B106" s="74"/>
      <c r="C106" s="246">
        <f t="shared" si="577"/>
        <v>0</v>
      </c>
      <c r="D106" s="74"/>
      <c r="E106" s="246">
        <f t="shared" si="577"/>
        <v>0</v>
      </c>
      <c r="F106" s="74"/>
      <c r="G106" s="246">
        <f t="shared" si="578"/>
        <v>0</v>
      </c>
      <c r="H106" s="74"/>
      <c r="I106" s="246">
        <f t="shared" si="579"/>
        <v>0</v>
      </c>
      <c r="J106" s="74"/>
      <c r="K106" s="246">
        <f t="shared" si="580"/>
        <v>0</v>
      </c>
      <c r="L106" s="74"/>
      <c r="M106" s="246">
        <f t="shared" si="581"/>
        <v>0</v>
      </c>
      <c r="N106" s="74"/>
      <c r="O106" s="246">
        <f t="shared" si="582"/>
        <v>0</v>
      </c>
      <c r="P106" s="74"/>
      <c r="Q106" s="246">
        <f t="shared" ref="Q106" si="671">(P106/100)*1000</f>
        <v>0</v>
      </c>
      <c r="R106" s="74"/>
      <c r="S106" s="246">
        <f t="shared" ref="S106" si="672">(R106/100)*1000</f>
        <v>0</v>
      </c>
      <c r="T106" s="74"/>
      <c r="U106" s="246">
        <f t="shared" ref="U106" si="673">(T106/100)*1000</f>
        <v>0</v>
      </c>
      <c r="V106" s="74"/>
      <c r="W106" s="246">
        <f t="shared" ref="W106" si="674">(V106/100)*1000</f>
        <v>0</v>
      </c>
      <c r="X106" s="74"/>
      <c r="Y106" s="246">
        <f t="shared" ref="Y106" si="675">(X106/100)*1000</f>
        <v>0</v>
      </c>
      <c r="Z106" s="74"/>
      <c r="AA106" s="246">
        <f t="shared" ref="AA106" si="676">(Z106/100)*1000</f>
        <v>0</v>
      </c>
      <c r="AB106" s="74"/>
      <c r="AC106" s="246">
        <f t="shared" ref="AC106" si="677">(AB106/100)*1000</f>
        <v>0</v>
      </c>
      <c r="AD106" s="74"/>
      <c r="AE106" s="246">
        <f t="shared" ref="AE106" si="678">(AD106/100)*1000</f>
        <v>0</v>
      </c>
    </row>
    <row r="107" spans="1:31" ht="18.75" customHeight="1" outlineLevel="1">
      <c r="A107" s="373" t="str">
        <f t="shared" si="576"/>
        <v>EP 200</v>
      </c>
      <c r="B107" s="74"/>
      <c r="C107" s="246">
        <f t="shared" si="577"/>
        <v>0</v>
      </c>
      <c r="D107" s="74"/>
      <c r="E107" s="246">
        <f t="shared" si="577"/>
        <v>0</v>
      </c>
      <c r="F107" s="74"/>
      <c r="G107" s="246">
        <f t="shared" si="578"/>
        <v>0</v>
      </c>
      <c r="H107" s="74"/>
      <c r="I107" s="246">
        <f t="shared" si="579"/>
        <v>0</v>
      </c>
      <c r="J107" s="74"/>
      <c r="K107" s="246">
        <f t="shared" si="580"/>
        <v>0</v>
      </c>
      <c r="L107" s="74"/>
      <c r="M107" s="246">
        <f t="shared" si="581"/>
        <v>0</v>
      </c>
      <c r="N107" s="74"/>
      <c r="O107" s="246">
        <f t="shared" si="582"/>
        <v>0</v>
      </c>
      <c r="P107" s="74"/>
      <c r="Q107" s="246">
        <f t="shared" ref="Q107" si="679">(P107/100)*1000</f>
        <v>0</v>
      </c>
      <c r="R107" s="74"/>
      <c r="S107" s="246">
        <f t="shared" ref="S107" si="680">(R107/100)*1000</f>
        <v>0</v>
      </c>
      <c r="T107" s="74"/>
      <c r="U107" s="246">
        <f t="shared" ref="U107" si="681">(T107/100)*1000</f>
        <v>0</v>
      </c>
      <c r="V107" s="74"/>
      <c r="W107" s="246">
        <f t="shared" ref="W107" si="682">(V107/100)*1000</f>
        <v>0</v>
      </c>
      <c r="X107" s="74"/>
      <c r="Y107" s="246">
        <f t="shared" ref="Y107" si="683">(X107/100)*1000</f>
        <v>0</v>
      </c>
      <c r="Z107" s="74"/>
      <c r="AA107" s="246">
        <f t="shared" ref="AA107" si="684">(Z107/100)*1000</f>
        <v>0</v>
      </c>
      <c r="AB107" s="74"/>
      <c r="AC107" s="246">
        <f t="shared" ref="AC107" si="685">(AB107/100)*1000</f>
        <v>0</v>
      </c>
      <c r="AD107" s="74"/>
      <c r="AE107" s="246">
        <f t="shared" ref="AE107" si="686">(AD107/100)*1000</f>
        <v>0</v>
      </c>
    </row>
    <row r="108" spans="1:31" ht="18.75" customHeight="1" outlineLevel="1">
      <c r="A108" s="373" t="str">
        <f t="shared" si="576"/>
        <v>SOYTIDE</v>
      </c>
      <c r="B108" s="74"/>
      <c r="C108" s="246">
        <f t="shared" si="577"/>
        <v>0</v>
      </c>
      <c r="D108" s="74"/>
      <c r="E108" s="246">
        <f t="shared" si="577"/>
        <v>0</v>
      </c>
      <c r="F108" s="74"/>
      <c r="G108" s="246">
        <f t="shared" si="578"/>
        <v>0</v>
      </c>
      <c r="H108" s="74"/>
      <c r="I108" s="246">
        <f t="shared" si="579"/>
        <v>0</v>
      </c>
      <c r="J108" s="74"/>
      <c r="K108" s="246">
        <f t="shared" si="580"/>
        <v>0</v>
      </c>
      <c r="L108" s="74"/>
      <c r="M108" s="246">
        <f t="shared" si="581"/>
        <v>0</v>
      </c>
      <c r="N108" s="74"/>
      <c r="O108" s="246">
        <f t="shared" si="582"/>
        <v>0</v>
      </c>
      <c r="P108" s="74"/>
      <c r="Q108" s="246">
        <f t="shared" ref="Q108" si="687">(P108/100)*1000</f>
        <v>0</v>
      </c>
      <c r="R108" s="74"/>
      <c r="S108" s="246">
        <f t="shared" ref="S108" si="688">(R108/100)*1000</f>
        <v>0</v>
      </c>
      <c r="T108" s="74"/>
      <c r="U108" s="246">
        <f t="shared" ref="U108" si="689">(T108/100)*1000</f>
        <v>0</v>
      </c>
      <c r="V108" s="74"/>
      <c r="W108" s="246">
        <f t="shared" ref="W108" si="690">(V108/100)*1000</f>
        <v>0</v>
      </c>
      <c r="X108" s="74"/>
      <c r="Y108" s="246">
        <f t="shared" ref="Y108" si="691">(X108/100)*1000</f>
        <v>0</v>
      </c>
      <c r="Z108" s="74"/>
      <c r="AA108" s="246">
        <f t="shared" ref="AA108" si="692">(Z108/100)*1000</f>
        <v>0</v>
      </c>
      <c r="AB108" s="74"/>
      <c r="AC108" s="246">
        <f t="shared" ref="AC108" si="693">(AB108/100)*1000</f>
        <v>0</v>
      </c>
      <c r="AD108" s="74"/>
      <c r="AE108" s="246">
        <f t="shared" ref="AE108" si="694">(AD108/100)*1000</f>
        <v>0</v>
      </c>
    </row>
    <row r="109" spans="1:31" ht="18.75" customHeight="1" outlineLevel="1">
      <c r="A109" s="373" t="str">
        <f t="shared" si="576"/>
        <v>DCP 18% (HARUMI)</v>
      </c>
      <c r="B109" s="74"/>
      <c r="C109" s="246">
        <f t="shared" si="577"/>
        <v>0</v>
      </c>
      <c r="D109" s="74"/>
      <c r="E109" s="246">
        <f t="shared" si="577"/>
        <v>0</v>
      </c>
      <c r="F109" s="74"/>
      <c r="G109" s="246">
        <f t="shared" si="578"/>
        <v>0</v>
      </c>
      <c r="H109" s="74"/>
      <c r="I109" s="246">
        <f t="shared" si="579"/>
        <v>0</v>
      </c>
      <c r="J109" s="74"/>
      <c r="K109" s="246">
        <f t="shared" si="580"/>
        <v>0</v>
      </c>
      <c r="L109" s="74"/>
      <c r="M109" s="246">
        <f t="shared" si="581"/>
        <v>0</v>
      </c>
      <c r="N109" s="74"/>
      <c r="O109" s="246">
        <f t="shared" si="582"/>
        <v>0</v>
      </c>
      <c r="P109" s="74"/>
      <c r="Q109" s="246">
        <f t="shared" ref="Q109" si="695">(P109/100)*1000</f>
        <v>0</v>
      </c>
      <c r="R109" s="74"/>
      <c r="S109" s="246">
        <f t="shared" ref="S109" si="696">(R109/100)*1000</f>
        <v>0</v>
      </c>
      <c r="T109" s="74"/>
      <c r="U109" s="246">
        <f t="shared" ref="U109" si="697">(T109/100)*1000</f>
        <v>0</v>
      </c>
      <c r="V109" s="74"/>
      <c r="W109" s="246">
        <f t="shared" ref="W109" si="698">(V109/100)*1000</f>
        <v>0</v>
      </c>
      <c r="X109" s="74"/>
      <c r="Y109" s="246">
        <f t="shared" ref="Y109" si="699">(X109/100)*1000</f>
        <v>0</v>
      </c>
      <c r="Z109" s="74"/>
      <c r="AA109" s="246">
        <f t="shared" ref="AA109" si="700">(Z109/100)*1000</f>
        <v>0</v>
      </c>
      <c r="AB109" s="74"/>
      <c r="AC109" s="246">
        <f t="shared" ref="AC109" si="701">(AB109/100)*1000</f>
        <v>0</v>
      </c>
      <c r="AD109" s="74"/>
      <c r="AE109" s="246">
        <f t="shared" ref="AE109" si="702">(AD109/100)*1000</f>
        <v>0</v>
      </c>
    </row>
    <row r="110" spans="1:31" ht="18.75" customHeight="1" outlineLevel="1">
      <c r="A110" s="373">
        <f t="shared" si="576"/>
        <v>1</v>
      </c>
      <c r="B110" s="74"/>
      <c r="C110" s="246">
        <f t="shared" si="577"/>
        <v>0</v>
      </c>
      <c r="D110" s="74"/>
      <c r="E110" s="246">
        <f t="shared" si="577"/>
        <v>0</v>
      </c>
      <c r="F110" s="74"/>
      <c r="G110" s="246">
        <f t="shared" si="578"/>
        <v>0</v>
      </c>
      <c r="H110" s="74"/>
      <c r="I110" s="246">
        <f t="shared" si="579"/>
        <v>0</v>
      </c>
      <c r="J110" s="74"/>
      <c r="K110" s="246">
        <f t="shared" si="580"/>
        <v>0</v>
      </c>
      <c r="L110" s="74"/>
      <c r="M110" s="246">
        <f t="shared" si="581"/>
        <v>0</v>
      </c>
      <c r="N110" s="74"/>
      <c r="O110" s="246">
        <f t="shared" si="582"/>
        <v>0</v>
      </c>
      <c r="P110" s="74"/>
      <c r="Q110" s="246">
        <f t="shared" ref="Q110" si="703">(P110/100)*1000</f>
        <v>0</v>
      </c>
      <c r="R110" s="74"/>
      <c r="S110" s="246">
        <f t="shared" ref="S110" si="704">(R110/100)*1000</f>
        <v>0</v>
      </c>
      <c r="T110" s="74"/>
      <c r="U110" s="246">
        <f t="shared" ref="U110" si="705">(T110/100)*1000</f>
        <v>0</v>
      </c>
      <c r="V110" s="74"/>
      <c r="W110" s="246">
        <f t="shared" ref="W110" si="706">(V110/100)*1000</f>
        <v>0</v>
      </c>
      <c r="X110" s="74"/>
      <c r="Y110" s="246">
        <f t="shared" ref="Y110" si="707">(X110/100)*1000</f>
        <v>0</v>
      </c>
      <c r="Z110" s="74"/>
      <c r="AA110" s="246">
        <f t="shared" ref="AA110" si="708">(Z110/100)*1000</f>
        <v>0</v>
      </c>
      <c r="AB110" s="74"/>
      <c r="AC110" s="246">
        <f t="shared" ref="AC110" si="709">(AB110/100)*1000</f>
        <v>0</v>
      </c>
      <c r="AD110" s="74"/>
      <c r="AE110" s="246">
        <f t="shared" ref="AE110" si="710">(AD110/100)*1000</f>
        <v>0</v>
      </c>
    </row>
    <row r="111" spans="1:31" ht="18.75" customHeight="1" outlineLevel="1">
      <c r="A111" s="373">
        <f t="shared" si="576"/>
        <v>2</v>
      </c>
      <c r="B111" s="74"/>
      <c r="C111" s="246">
        <f t="shared" si="577"/>
        <v>0</v>
      </c>
      <c r="D111" s="74"/>
      <c r="E111" s="246">
        <f t="shared" si="577"/>
        <v>0</v>
      </c>
      <c r="F111" s="74"/>
      <c r="G111" s="246">
        <f t="shared" si="578"/>
        <v>0</v>
      </c>
      <c r="H111" s="74"/>
      <c r="I111" s="246">
        <f t="shared" si="579"/>
        <v>0</v>
      </c>
      <c r="J111" s="74"/>
      <c r="K111" s="246">
        <f t="shared" si="580"/>
        <v>0</v>
      </c>
      <c r="L111" s="74"/>
      <c r="M111" s="246">
        <f t="shared" si="581"/>
        <v>0</v>
      </c>
      <c r="N111" s="74"/>
      <c r="O111" s="246">
        <f t="shared" si="582"/>
        <v>0</v>
      </c>
      <c r="P111" s="74"/>
      <c r="Q111" s="246">
        <f t="shared" ref="Q111" si="711">(P111/100)*1000</f>
        <v>0</v>
      </c>
      <c r="R111" s="74"/>
      <c r="S111" s="246">
        <f t="shared" ref="S111" si="712">(R111/100)*1000</f>
        <v>0</v>
      </c>
      <c r="T111" s="74"/>
      <c r="U111" s="246">
        <f t="shared" ref="U111" si="713">(T111/100)*1000</f>
        <v>0</v>
      </c>
      <c r="V111" s="74"/>
      <c r="W111" s="246">
        <f t="shared" ref="W111" si="714">(V111/100)*1000</f>
        <v>0</v>
      </c>
      <c r="X111" s="74"/>
      <c r="Y111" s="246">
        <f t="shared" ref="Y111" si="715">(X111/100)*1000</f>
        <v>0</v>
      </c>
      <c r="Z111" s="74"/>
      <c r="AA111" s="246">
        <f t="shared" ref="AA111" si="716">(Z111/100)*1000</f>
        <v>0</v>
      </c>
      <c r="AB111" s="74"/>
      <c r="AC111" s="246">
        <f t="shared" ref="AC111" si="717">(AB111/100)*1000</f>
        <v>0</v>
      </c>
      <c r="AD111" s="74"/>
      <c r="AE111" s="246">
        <f t="shared" ref="AE111" si="718">(AD111/100)*1000</f>
        <v>0</v>
      </c>
    </row>
    <row r="112" spans="1:31" ht="18.75" customHeight="1" outlineLevel="1">
      <c r="A112" s="373">
        <f t="shared" si="576"/>
        <v>3</v>
      </c>
      <c r="B112" s="74"/>
      <c r="C112" s="246">
        <f t="shared" si="577"/>
        <v>0</v>
      </c>
      <c r="D112" s="74"/>
      <c r="E112" s="246">
        <f t="shared" si="577"/>
        <v>0</v>
      </c>
      <c r="F112" s="74"/>
      <c r="G112" s="246">
        <f t="shared" si="578"/>
        <v>0</v>
      </c>
      <c r="H112" s="74"/>
      <c r="I112" s="246">
        <f t="shared" si="579"/>
        <v>0</v>
      </c>
      <c r="J112" s="74"/>
      <c r="K112" s="246">
        <f t="shared" si="580"/>
        <v>0</v>
      </c>
      <c r="L112" s="74"/>
      <c r="M112" s="246">
        <f t="shared" si="581"/>
        <v>0</v>
      </c>
      <c r="N112" s="74"/>
      <c r="O112" s="246">
        <f t="shared" si="582"/>
        <v>0</v>
      </c>
      <c r="P112" s="74"/>
      <c r="Q112" s="246">
        <f t="shared" ref="Q112" si="719">(P112/100)*1000</f>
        <v>0</v>
      </c>
      <c r="R112" s="74"/>
      <c r="S112" s="246">
        <f t="shared" ref="S112" si="720">(R112/100)*1000</f>
        <v>0</v>
      </c>
      <c r="T112" s="74"/>
      <c r="U112" s="246">
        <f t="shared" ref="U112" si="721">(T112/100)*1000</f>
        <v>0</v>
      </c>
      <c r="V112" s="74"/>
      <c r="W112" s="246">
        <f t="shared" ref="W112" si="722">(V112/100)*1000</f>
        <v>0</v>
      </c>
      <c r="X112" s="74"/>
      <c r="Y112" s="246">
        <f t="shared" ref="Y112" si="723">(X112/100)*1000</f>
        <v>0</v>
      </c>
      <c r="Z112" s="74"/>
      <c r="AA112" s="246">
        <f t="shared" ref="AA112" si="724">(Z112/100)*1000</f>
        <v>0</v>
      </c>
      <c r="AB112" s="74"/>
      <c r="AC112" s="246">
        <f t="shared" ref="AC112" si="725">(AB112/100)*1000</f>
        <v>0</v>
      </c>
      <c r="AD112" s="74"/>
      <c r="AE112" s="246">
        <f t="shared" ref="AE112" si="726">(AD112/100)*1000</f>
        <v>0</v>
      </c>
    </row>
    <row r="113" spans="1:31" ht="18.75" customHeight="1" outlineLevel="1">
      <c r="A113" s="374" t="str">
        <f t="shared" si="576"/>
        <v>PREMIX 1101 (20KG)</v>
      </c>
      <c r="B113" s="74"/>
      <c r="C113" s="246">
        <f t="shared" si="577"/>
        <v>0</v>
      </c>
      <c r="D113" s="74"/>
      <c r="E113" s="246">
        <f t="shared" si="577"/>
        <v>0</v>
      </c>
      <c r="F113" s="74"/>
      <c r="G113" s="246">
        <f t="shared" si="578"/>
        <v>0</v>
      </c>
      <c r="H113" s="74"/>
      <c r="I113" s="246">
        <f t="shared" si="579"/>
        <v>0</v>
      </c>
      <c r="J113" s="74"/>
      <c r="K113" s="246">
        <f t="shared" si="580"/>
        <v>0</v>
      </c>
      <c r="L113" s="74"/>
      <c r="M113" s="246">
        <f t="shared" si="581"/>
        <v>0</v>
      </c>
      <c r="N113" s="74"/>
      <c r="O113" s="246">
        <f t="shared" si="582"/>
        <v>0</v>
      </c>
      <c r="P113" s="74"/>
      <c r="Q113" s="246">
        <f t="shared" ref="Q113" si="727">(P113/100)*1000</f>
        <v>0</v>
      </c>
      <c r="R113" s="74"/>
      <c r="S113" s="246">
        <f t="shared" ref="S113" si="728">(R113/100)*1000</f>
        <v>0</v>
      </c>
      <c r="T113" s="74"/>
      <c r="U113" s="246">
        <f t="shared" ref="U113" si="729">(T113/100)*1000</f>
        <v>0</v>
      </c>
      <c r="V113" s="74"/>
      <c r="W113" s="246">
        <f t="shared" ref="W113" si="730">(V113/100)*1000</f>
        <v>0</v>
      </c>
      <c r="X113" s="74"/>
      <c r="Y113" s="246">
        <f t="shared" ref="Y113" si="731">(X113/100)*1000</f>
        <v>0</v>
      </c>
      <c r="Z113" s="74"/>
      <c r="AA113" s="246">
        <f t="shared" ref="AA113" si="732">(Z113/100)*1000</f>
        <v>0</v>
      </c>
      <c r="AB113" s="74"/>
      <c r="AC113" s="246">
        <f t="shared" ref="AC113" si="733">(AB113/100)*1000</f>
        <v>0</v>
      </c>
      <c r="AD113" s="74"/>
      <c r="AE113" s="246">
        <f t="shared" ref="AE113" si="734">(AD113/100)*1000</f>
        <v>0</v>
      </c>
    </row>
    <row r="114" spans="1:31" ht="18.75" customHeight="1" outlineLevel="1">
      <c r="A114" s="374" t="str">
        <f t="shared" si="576"/>
        <v>PREMIX 1102 (20KG)</v>
      </c>
      <c r="B114" s="74">
        <v>2</v>
      </c>
      <c r="C114" s="246">
        <f t="shared" si="577"/>
        <v>20</v>
      </c>
      <c r="D114" s="74"/>
      <c r="E114" s="246">
        <f t="shared" si="577"/>
        <v>0</v>
      </c>
      <c r="F114" s="74"/>
      <c r="G114" s="246">
        <f t="shared" si="578"/>
        <v>0</v>
      </c>
      <c r="H114" s="74"/>
      <c r="I114" s="246">
        <f t="shared" si="579"/>
        <v>0</v>
      </c>
      <c r="J114" s="74"/>
      <c r="K114" s="246">
        <f t="shared" si="580"/>
        <v>0</v>
      </c>
      <c r="L114" s="74"/>
      <c r="M114" s="246">
        <f t="shared" si="581"/>
        <v>0</v>
      </c>
      <c r="N114" s="74"/>
      <c r="O114" s="246">
        <f t="shared" si="582"/>
        <v>0</v>
      </c>
      <c r="P114" s="74"/>
      <c r="Q114" s="246">
        <f t="shared" ref="Q114" si="735">(P114/100)*1000</f>
        <v>0</v>
      </c>
      <c r="R114" s="74"/>
      <c r="S114" s="246">
        <f t="shared" ref="S114" si="736">(R114/100)*1000</f>
        <v>0</v>
      </c>
      <c r="T114" s="74"/>
      <c r="U114" s="246">
        <f t="shared" ref="U114" si="737">(T114/100)*1000</f>
        <v>0</v>
      </c>
      <c r="V114" s="74"/>
      <c r="W114" s="246">
        <f t="shared" ref="W114" si="738">(V114/100)*1000</f>
        <v>0</v>
      </c>
      <c r="X114" s="74"/>
      <c r="Y114" s="246">
        <f t="shared" ref="Y114" si="739">(X114/100)*1000</f>
        <v>0</v>
      </c>
      <c r="Z114" s="74"/>
      <c r="AA114" s="246">
        <f t="shared" ref="AA114" si="740">(Z114/100)*1000</f>
        <v>0</v>
      </c>
      <c r="AB114" s="74"/>
      <c r="AC114" s="246">
        <f t="shared" ref="AC114" si="741">(AB114/100)*1000</f>
        <v>0</v>
      </c>
      <c r="AD114" s="74"/>
      <c r="AE114" s="246">
        <f t="shared" ref="AE114" si="742">(AD114/100)*1000</f>
        <v>0</v>
      </c>
    </row>
    <row r="115" spans="1:31" ht="18.75" customHeight="1" outlineLevel="1">
      <c r="A115" s="374" t="str">
        <f t="shared" si="576"/>
        <v>PREMIX 1103 (20KG)</v>
      </c>
      <c r="B115" s="74"/>
      <c r="C115" s="246">
        <f t="shared" si="577"/>
        <v>0</v>
      </c>
      <c r="D115" s="74"/>
      <c r="E115" s="246">
        <f t="shared" si="577"/>
        <v>0</v>
      </c>
      <c r="F115" s="74"/>
      <c r="G115" s="246">
        <f t="shared" si="578"/>
        <v>0</v>
      </c>
      <c r="H115" s="74"/>
      <c r="I115" s="246">
        <f t="shared" si="579"/>
        <v>0</v>
      </c>
      <c r="J115" s="74"/>
      <c r="K115" s="246">
        <f t="shared" si="580"/>
        <v>0</v>
      </c>
      <c r="L115" s="74"/>
      <c r="M115" s="246">
        <f t="shared" si="581"/>
        <v>0</v>
      </c>
      <c r="N115" s="74"/>
      <c r="O115" s="246">
        <f t="shared" si="582"/>
        <v>0</v>
      </c>
      <c r="P115" s="74"/>
      <c r="Q115" s="246">
        <f t="shared" ref="Q115" si="743">(P115/100)*1000</f>
        <v>0</v>
      </c>
      <c r="R115" s="74"/>
      <c r="S115" s="246">
        <f t="shared" ref="S115" si="744">(R115/100)*1000</f>
        <v>0</v>
      </c>
      <c r="T115" s="74"/>
      <c r="U115" s="246">
        <f t="shared" ref="U115" si="745">(T115/100)*1000</f>
        <v>0</v>
      </c>
      <c r="V115" s="74"/>
      <c r="W115" s="246">
        <f t="shared" ref="W115" si="746">(V115/100)*1000</f>
        <v>0</v>
      </c>
      <c r="X115" s="74"/>
      <c r="Y115" s="246">
        <f t="shared" ref="Y115" si="747">(X115/100)*1000</f>
        <v>0</v>
      </c>
      <c r="Z115" s="74"/>
      <c r="AA115" s="246">
        <f t="shared" ref="AA115" si="748">(Z115/100)*1000</f>
        <v>0</v>
      </c>
      <c r="AB115" s="74"/>
      <c r="AC115" s="246">
        <f t="shared" ref="AC115" si="749">(AB115/100)*1000</f>
        <v>0</v>
      </c>
      <c r="AD115" s="74"/>
      <c r="AE115" s="246">
        <f t="shared" ref="AE115" si="750">(AD115/100)*1000</f>
        <v>0</v>
      </c>
    </row>
    <row r="116" spans="1:31" ht="18.75" customHeight="1" outlineLevel="1">
      <c r="A116" s="374" t="str">
        <f t="shared" si="576"/>
        <v>PREMIX 311 (20KG)</v>
      </c>
      <c r="B116" s="74"/>
      <c r="C116" s="246">
        <f t="shared" si="577"/>
        <v>0</v>
      </c>
      <c r="D116" s="74"/>
      <c r="E116" s="246">
        <f t="shared" si="577"/>
        <v>0</v>
      </c>
      <c r="F116" s="74"/>
      <c r="G116" s="246">
        <f t="shared" si="578"/>
        <v>0</v>
      </c>
      <c r="H116" s="74"/>
      <c r="I116" s="246">
        <f t="shared" si="579"/>
        <v>0</v>
      </c>
      <c r="J116" s="74"/>
      <c r="K116" s="246">
        <f t="shared" si="580"/>
        <v>0</v>
      </c>
      <c r="L116" s="74"/>
      <c r="M116" s="246">
        <f t="shared" si="581"/>
        <v>0</v>
      </c>
      <c r="N116" s="74"/>
      <c r="O116" s="246">
        <f t="shared" si="582"/>
        <v>0</v>
      </c>
      <c r="P116" s="74"/>
      <c r="Q116" s="246">
        <f t="shared" ref="Q116" si="751">(P116/100)*1000</f>
        <v>0</v>
      </c>
      <c r="R116" s="74"/>
      <c r="S116" s="246">
        <f t="shared" ref="S116" si="752">(R116/100)*1000</f>
        <v>0</v>
      </c>
      <c r="T116" s="74"/>
      <c r="U116" s="246">
        <f t="shared" ref="U116" si="753">(T116/100)*1000</f>
        <v>0</v>
      </c>
      <c r="V116" s="74"/>
      <c r="W116" s="246">
        <f t="shared" ref="W116" si="754">(V116/100)*1000</f>
        <v>0</v>
      </c>
      <c r="X116" s="74"/>
      <c r="Y116" s="246">
        <f t="shared" ref="Y116" si="755">(X116/100)*1000</f>
        <v>0</v>
      </c>
      <c r="Z116" s="74"/>
      <c r="AA116" s="246">
        <f t="shared" ref="AA116" si="756">(Z116/100)*1000</f>
        <v>0</v>
      </c>
      <c r="AB116" s="74"/>
      <c r="AC116" s="246">
        <f t="shared" ref="AC116" si="757">(AB116/100)*1000</f>
        <v>0</v>
      </c>
      <c r="AD116" s="74"/>
      <c r="AE116" s="246">
        <f t="shared" ref="AE116" si="758">(AD116/100)*1000</f>
        <v>0</v>
      </c>
    </row>
    <row r="117" spans="1:31" ht="18.75" customHeight="1" outlineLevel="1">
      <c r="A117" s="374" t="str">
        <f t="shared" si="576"/>
        <v>PREMIX 312 (20KG)</v>
      </c>
      <c r="B117" s="74"/>
      <c r="C117" s="246">
        <f t="shared" si="577"/>
        <v>0</v>
      </c>
      <c r="D117" s="74"/>
      <c r="E117" s="246">
        <f t="shared" si="577"/>
        <v>0</v>
      </c>
      <c r="F117" s="74"/>
      <c r="G117" s="246">
        <f t="shared" si="578"/>
        <v>0</v>
      </c>
      <c r="H117" s="74"/>
      <c r="I117" s="246">
        <f t="shared" si="579"/>
        <v>0</v>
      </c>
      <c r="J117" s="74"/>
      <c r="K117" s="246">
        <f t="shared" si="580"/>
        <v>0</v>
      </c>
      <c r="L117" s="74"/>
      <c r="M117" s="246">
        <f t="shared" si="581"/>
        <v>0</v>
      </c>
      <c r="N117" s="74"/>
      <c r="O117" s="246">
        <f t="shared" si="582"/>
        <v>0</v>
      </c>
      <c r="P117" s="74"/>
      <c r="Q117" s="246">
        <f t="shared" ref="Q117" si="759">(P117/100)*1000</f>
        <v>0</v>
      </c>
      <c r="R117" s="74"/>
      <c r="S117" s="246">
        <f t="shared" ref="S117" si="760">(R117/100)*1000</f>
        <v>0</v>
      </c>
      <c r="T117" s="74"/>
      <c r="U117" s="246">
        <f t="shared" ref="U117" si="761">(T117/100)*1000</f>
        <v>0</v>
      </c>
      <c r="V117" s="74"/>
      <c r="W117" s="246">
        <f t="shared" ref="W117" si="762">(V117/100)*1000</f>
        <v>0</v>
      </c>
      <c r="X117" s="74"/>
      <c r="Y117" s="246">
        <f t="shared" ref="Y117" si="763">(X117/100)*1000</f>
        <v>0</v>
      </c>
      <c r="Z117" s="74"/>
      <c r="AA117" s="246">
        <f t="shared" ref="AA117" si="764">(Z117/100)*1000</f>
        <v>0</v>
      </c>
      <c r="AB117" s="74"/>
      <c r="AC117" s="246">
        <f t="shared" ref="AC117" si="765">(AB117/100)*1000</f>
        <v>0</v>
      </c>
      <c r="AD117" s="74"/>
      <c r="AE117" s="246">
        <f t="shared" ref="AE117" si="766">(AD117/100)*1000</f>
        <v>0</v>
      </c>
    </row>
    <row r="118" spans="1:31" ht="18.75" customHeight="1" outlineLevel="1">
      <c r="A118" s="374">
        <f t="shared" si="576"/>
        <v>1</v>
      </c>
      <c r="B118" s="74"/>
      <c r="C118" s="246">
        <f t="shared" si="577"/>
        <v>0</v>
      </c>
      <c r="D118" s="74"/>
      <c r="E118" s="246">
        <f t="shared" si="577"/>
        <v>0</v>
      </c>
      <c r="F118" s="74"/>
      <c r="G118" s="246">
        <f t="shared" si="578"/>
        <v>0</v>
      </c>
      <c r="H118" s="74"/>
      <c r="I118" s="246">
        <f t="shared" si="579"/>
        <v>0</v>
      </c>
      <c r="J118" s="74"/>
      <c r="K118" s="246">
        <f t="shared" si="580"/>
        <v>0</v>
      </c>
      <c r="L118" s="74"/>
      <c r="M118" s="246">
        <f t="shared" si="581"/>
        <v>0</v>
      </c>
      <c r="N118" s="74"/>
      <c r="O118" s="246">
        <f t="shared" si="582"/>
        <v>0</v>
      </c>
      <c r="P118" s="74"/>
      <c r="Q118" s="246">
        <f t="shared" ref="Q118" si="767">(P118/100)*1000</f>
        <v>0</v>
      </c>
      <c r="R118" s="74"/>
      <c r="S118" s="246">
        <f t="shared" ref="S118" si="768">(R118/100)*1000</f>
        <v>0</v>
      </c>
      <c r="T118" s="74"/>
      <c r="U118" s="246">
        <f t="shared" ref="U118" si="769">(T118/100)*1000</f>
        <v>0</v>
      </c>
      <c r="V118" s="74"/>
      <c r="W118" s="246">
        <f t="shared" ref="W118" si="770">(V118/100)*1000</f>
        <v>0</v>
      </c>
      <c r="X118" s="74"/>
      <c r="Y118" s="246">
        <f t="shared" ref="Y118" si="771">(X118/100)*1000</f>
        <v>0</v>
      </c>
      <c r="Z118" s="74"/>
      <c r="AA118" s="246">
        <f t="shared" ref="AA118" si="772">(Z118/100)*1000</f>
        <v>0</v>
      </c>
      <c r="AB118" s="74"/>
      <c r="AC118" s="246">
        <f t="shared" ref="AC118" si="773">(AB118/100)*1000</f>
        <v>0</v>
      </c>
      <c r="AD118" s="74"/>
      <c r="AE118" s="246">
        <f t="shared" ref="AE118" si="774">(AD118/100)*1000</f>
        <v>0</v>
      </c>
    </row>
    <row r="119" spans="1:31" ht="18.75" customHeight="1" outlineLevel="1">
      <c r="A119" s="374" t="str">
        <f t="shared" si="576"/>
        <v>PREMIX 8100 (20KG)</v>
      </c>
      <c r="B119" s="74"/>
      <c r="C119" s="246">
        <f t="shared" si="577"/>
        <v>0</v>
      </c>
      <c r="D119" s="74"/>
      <c r="E119" s="246">
        <f t="shared" si="577"/>
        <v>0</v>
      </c>
      <c r="F119" s="74"/>
      <c r="G119" s="246">
        <f t="shared" si="578"/>
        <v>0</v>
      </c>
      <c r="H119" s="74"/>
      <c r="I119" s="246">
        <f t="shared" si="579"/>
        <v>0</v>
      </c>
      <c r="J119" s="74"/>
      <c r="K119" s="246">
        <f t="shared" si="580"/>
        <v>0</v>
      </c>
      <c r="L119" s="74"/>
      <c r="M119" s="246">
        <f t="shared" si="581"/>
        <v>0</v>
      </c>
      <c r="N119" s="74"/>
      <c r="O119" s="246">
        <f t="shared" si="582"/>
        <v>0</v>
      </c>
      <c r="P119" s="74"/>
      <c r="Q119" s="246">
        <f t="shared" ref="Q119" si="775">(P119/100)*1000</f>
        <v>0</v>
      </c>
      <c r="R119" s="74"/>
      <c r="S119" s="246">
        <f t="shared" ref="S119" si="776">(R119/100)*1000</f>
        <v>0</v>
      </c>
      <c r="T119" s="74"/>
      <c r="U119" s="246">
        <f t="shared" ref="U119" si="777">(T119/100)*1000</f>
        <v>0</v>
      </c>
      <c r="V119" s="74"/>
      <c r="W119" s="246">
        <f t="shared" ref="W119" si="778">(V119/100)*1000</f>
        <v>0</v>
      </c>
      <c r="X119" s="74"/>
      <c r="Y119" s="246">
        <f t="shared" ref="Y119" si="779">(X119/100)*1000</f>
        <v>0</v>
      </c>
      <c r="Z119" s="74"/>
      <c r="AA119" s="246">
        <f t="shared" ref="AA119" si="780">(Z119/100)*1000</f>
        <v>0</v>
      </c>
      <c r="AB119" s="74"/>
      <c r="AC119" s="246">
        <f t="shared" ref="AC119" si="781">(AB119/100)*1000</f>
        <v>0</v>
      </c>
      <c r="AD119" s="74"/>
      <c r="AE119" s="246">
        <f t="shared" ref="AE119" si="782">(AD119/100)*1000</f>
        <v>0</v>
      </c>
    </row>
    <row r="120" spans="1:31" ht="18.75" customHeight="1" outlineLevel="1">
      <c r="A120" s="374" t="str">
        <f t="shared" si="576"/>
        <v>PREMIX 8101 (20KG)</v>
      </c>
      <c r="B120" s="74"/>
      <c r="C120" s="246">
        <f t="shared" si="577"/>
        <v>0</v>
      </c>
      <c r="D120" s="74"/>
      <c r="E120" s="246">
        <f t="shared" si="577"/>
        <v>0</v>
      </c>
      <c r="F120" s="74"/>
      <c r="G120" s="246">
        <f t="shared" si="578"/>
        <v>0</v>
      </c>
      <c r="H120" s="74"/>
      <c r="I120" s="246">
        <f t="shared" si="579"/>
        <v>0</v>
      </c>
      <c r="J120" s="74"/>
      <c r="K120" s="246">
        <f t="shared" si="580"/>
        <v>0</v>
      </c>
      <c r="L120" s="74"/>
      <c r="M120" s="246">
        <f t="shared" si="581"/>
        <v>0</v>
      </c>
      <c r="N120" s="74"/>
      <c r="O120" s="246">
        <f t="shared" si="582"/>
        <v>0</v>
      </c>
      <c r="P120" s="74"/>
      <c r="Q120" s="246">
        <f t="shared" ref="Q120" si="783">(P120/100)*1000</f>
        <v>0</v>
      </c>
      <c r="R120" s="74"/>
      <c r="S120" s="246">
        <f t="shared" ref="S120" si="784">(R120/100)*1000</f>
        <v>0</v>
      </c>
      <c r="T120" s="74"/>
      <c r="U120" s="246">
        <f t="shared" ref="U120" si="785">(T120/100)*1000</f>
        <v>0</v>
      </c>
      <c r="V120" s="74"/>
      <c r="W120" s="246">
        <f t="shared" ref="W120" si="786">(V120/100)*1000</f>
        <v>0</v>
      </c>
      <c r="X120" s="74"/>
      <c r="Y120" s="246">
        <f t="shared" ref="Y120" si="787">(X120/100)*1000</f>
        <v>0</v>
      </c>
      <c r="Z120" s="74"/>
      <c r="AA120" s="246">
        <f t="shared" ref="AA120" si="788">(Z120/100)*1000</f>
        <v>0</v>
      </c>
      <c r="AB120" s="74"/>
      <c r="AC120" s="246">
        <f t="shared" ref="AC120" si="789">(AB120/100)*1000</f>
        <v>0</v>
      </c>
      <c r="AD120" s="74"/>
      <c r="AE120" s="246">
        <f t="shared" ref="AE120" si="790">(AD120/100)*1000</f>
        <v>0</v>
      </c>
    </row>
    <row r="121" spans="1:31" ht="18.75" customHeight="1" outlineLevel="1">
      <c r="A121" s="374" t="str">
        <f t="shared" si="576"/>
        <v>PREMIX 8102 (20KG)</v>
      </c>
      <c r="B121" s="74"/>
      <c r="C121" s="246">
        <f t="shared" si="577"/>
        <v>0</v>
      </c>
      <c r="D121" s="74"/>
      <c r="E121" s="246">
        <f t="shared" si="577"/>
        <v>0</v>
      </c>
      <c r="F121" s="74"/>
      <c r="G121" s="246">
        <f t="shared" si="578"/>
        <v>0</v>
      </c>
      <c r="H121" s="74"/>
      <c r="I121" s="246">
        <f t="shared" si="579"/>
        <v>0</v>
      </c>
      <c r="J121" s="74"/>
      <c r="K121" s="246">
        <f t="shared" si="580"/>
        <v>0</v>
      </c>
      <c r="L121" s="74"/>
      <c r="M121" s="246">
        <f t="shared" si="581"/>
        <v>0</v>
      </c>
      <c r="N121" s="74"/>
      <c r="O121" s="246">
        <f t="shared" si="582"/>
        <v>0</v>
      </c>
      <c r="P121" s="74"/>
      <c r="Q121" s="246">
        <f t="shared" ref="Q121" si="791">(P121/100)*1000</f>
        <v>0</v>
      </c>
      <c r="R121" s="74"/>
      <c r="S121" s="246">
        <f t="shared" ref="S121" si="792">(R121/100)*1000</f>
        <v>0</v>
      </c>
      <c r="T121" s="74"/>
      <c r="U121" s="246">
        <f t="shared" ref="U121" si="793">(T121/100)*1000</f>
        <v>0</v>
      </c>
      <c r="V121" s="74"/>
      <c r="W121" s="246">
        <f t="shared" ref="W121" si="794">(V121/100)*1000</f>
        <v>0</v>
      </c>
      <c r="X121" s="74"/>
      <c r="Y121" s="246">
        <f t="shared" ref="Y121" si="795">(X121/100)*1000</f>
        <v>0</v>
      </c>
      <c r="Z121" s="74"/>
      <c r="AA121" s="246">
        <f t="shared" ref="AA121" si="796">(Z121/100)*1000</f>
        <v>0</v>
      </c>
      <c r="AB121" s="74"/>
      <c r="AC121" s="246">
        <f t="shared" ref="AC121" si="797">(AB121/100)*1000</f>
        <v>0</v>
      </c>
      <c r="AD121" s="74"/>
      <c r="AE121" s="246">
        <f t="shared" ref="AE121" si="798">(AD121/100)*1000</f>
        <v>0</v>
      </c>
    </row>
    <row r="122" spans="1:31" ht="18.75" customHeight="1" outlineLevel="1">
      <c r="A122" s="374" t="str">
        <f t="shared" si="576"/>
        <v>PREMIX 8103 (20KG)</v>
      </c>
      <c r="B122" s="74"/>
      <c r="C122" s="246">
        <f t="shared" si="577"/>
        <v>0</v>
      </c>
      <c r="D122" s="74"/>
      <c r="E122" s="246">
        <f t="shared" si="577"/>
        <v>0</v>
      </c>
      <c r="F122" s="74"/>
      <c r="G122" s="246">
        <f t="shared" si="578"/>
        <v>0</v>
      </c>
      <c r="H122" s="74"/>
      <c r="I122" s="246">
        <f t="shared" si="579"/>
        <v>0</v>
      </c>
      <c r="J122" s="74"/>
      <c r="K122" s="246">
        <f t="shared" si="580"/>
        <v>0</v>
      </c>
      <c r="L122" s="74"/>
      <c r="M122" s="246">
        <f t="shared" si="581"/>
        <v>0</v>
      </c>
      <c r="N122" s="74"/>
      <c r="O122" s="246">
        <f t="shared" si="582"/>
        <v>0</v>
      </c>
      <c r="P122" s="74"/>
      <c r="Q122" s="246">
        <f t="shared" ref="Q122" si="799">(P122/100)*1000</f>
        <v>0</v>
      </c>
      <c r="R122" s="74"/>
      <c r="S122" s="246">
        <f t="shared" ref="S122" si="800">(R122/100)*1000</f>
        <v>0</v>
      </c>
      <c r="T122" s="74"/>
      <c r="U122" s="246">
        <f t="shared" ref="U122" si="801">(T122/100)*1000</f>
        <v>0</v>
      </c>
      <c r="V122" s="74"/>
      <c r="W122" s="246">
        <f t="shared" ref="W122" si="802">(V122/100)*1000</f>
        <v>0</v>
      </c>
      <c r="X122" s="74"/>
      <c r="Y122" s="246">
        <f t="shared" ref="Y122" si="803">(X122/100)*1000</f>
        <v>0</v>
      </c>
      <c r="Z122" s="74"/>
      <c r="AA122" s="246">
        <f t="shared" ref="AA122" si="804">(Z122/100)*1000</f>
        <v>0</v>
      </c>
      <c r="AB122" s="74"/>
      <c r="AC122" s="246">
        <f t="shared" ref="AC122" si="805">(AB122/100)*1000</f>
        <v>0</v>
      </c>
      <c r="AD122" s="74"/>
      <c r="AE122" s="246">
        <f t="shared" ref="AE122" si="806">(AD122/100)*1000</f>
        <v>0</v>
      </c>
    </row>
    <row r="123" spans="1:31" ht="18.75" customHeight="1" outlineLevel="1">
      <c r="A123" s="374" t="str">
        <f t="shared" si="576"/>
        <v>PREMIX 8108 (20KG)</v>
      </c>
      <c r="B123" s="74"/>
      <c r="C123" s="246">
        <f t="shared" si="577"/>
        <v>0</v>
      </c>
      <c r="D123" s="74"/>
      <c r="E123" s="246">
        <f t="shared" si="577"/>
        <v>0</v>
      </c>
      <c r="F123" s="74"/>
      <c r="G123" s="246">
        <f t="shared" si="578"/>
        <v>0</v>
      </c>
      <c r="H123" s="74"/>
      <c r="I123" s="246">
        <f t="shared" si="579"/>
        <v>0</v>
      </c>
      <c r="J123" s="74"/>
      <c r="K123" s="246">
        <f t="shared" si="580"/>
        <v>0</v>
      </c>
      <c r="L123" s="74"/>
      <c r="M123" s="246">
        <f t="shared" si="581"/>
        <v>0</v>
      </c>
      <c r="N123" s="74"/>
      <c r="O123" s="246">
        <f t="shared" si="582"/>
        <v>0</v>
      </c>
      <c r="P123" s="74"/>
      <c r="Q123" s="246">
        <f t="shared" ref="Q123" si="807">(P123/100)*1000</f>
        <v>0</v>
      </c>
      <c r="R123" s="74"/>
      <c r="S123" s="246">
        <f t="shared" ref="S123" si="808">(R123/100)*1000</f>
        <v>0</v>
      </c>
      <c r="T123" s="74"/>
      <c r="U123" s="246">
        <f t="shared" ref="U123" si="809">(T123/100)*1000</f>
        <v>0</v>
      </c>
      <c r="V123" s="74"/>
      <c r="W123" s="246">
        <f t="shared" ref="W123" si="810">(V123/100)*1000</f>
        <v>0</v>
      </c>
      <c r="X123" s="74"/>
      <c r="Y123" s="246">
        <f t="shared" ref="Y123" si="811">(X123/100)*1000</f>
        <v>0</v>
      </c>
      <c r="Z123" s="74"/>
      <c r="AA123" s="246">
        <f t="shared" ref="AA123" si="812">(Z123/100)*1000</f>
        <v>0</v>
      </c>
      <c r="AB123" s="74"/>
      <c r="AC123" s="246">
        <f t="shared" ref="AC123" si="813">(AB123/100)*1000</f>
        <v>0</v>
      </c>
      <c r="AD123" s="74"/>
      <c r="AE123" s="246">
        <f t="shared" ref="AE123" si="814">(AD123/100)*1000</f>
        <v>0</v>
      </c>
    </row>
    <row r="124" spans="1:31" ht="18.75" customHeight="1" outlineLevel="1">
      <c r="A124" s="374" t="str">
        <f t="shared" si="576"/>
        <v>PREMIX 8109 (20KG)</v>
      </c>
      <c r="B124" s="74"/>
      <c r="C124" s="246">
        <f t="shared" si="577"/>
        <v>0</v>
      </c>
      <c r="D124" s="74"/>
      <c r="E124" s="246">
        <f t="shared" si="577"/>
        <v>0</v>
      </c>
      <c r="F124" s="74"/>
      <c r="G124" s="246">
        <f t="shared" si="578"/>
        <v>0</v>
      </c>
      <c r="H124" s="74"/>
      <c r="I124" s="246">
        <f t="shared" si="579"/>
        <v>0</v>
      </c>
      <c r="J124" s="74"/>
      <c r="K124" s="246">
        <f t="shared" si="580"/>
        <v>0</v>
      </c>
      <c r="L124" s="74"/>
      <c r="M124" s="246">
        <f t="shared" si="581"/>
        <v>0</v>
      </c>
      <c r="N124" s="74"/>
      <c r="O124" s="246">
        <f t="shared" si="582"/>
        <v>0</v>
      </c>
      <c r="P124" s="74"/>
      <c r="Q124" s="246">
        <f t="shared" ref="Q124" si="815">(P124/100)*1000</f>
        <v>0</v>
      </c>
      <c r="R124" s="74"/>
      <c r="S124" s="246">
        <f t="shared" ref="S124" si="816">(R124/100)*1000</f>
        <v>0</v>
      </c>
      <c r="T124" s="74"/>
      <c r="U124" s="246">
        <f t="shared" ref="U124" si="817">(T124/100)*1000</f>
        <v>0</v>
      </c>
      <c r="V124" s="74"/>
      <c r="W124" s="246">
        <f t="shared" ref="W124" si="818">(V124/100)*1000</f>
        <v>0</v>
      </c>
      <c r="X124" s="74"/>
      <c r="Y124" s="246">
        <f t="shared" ref="Y124" si="819">(X124/100)*1000</f>
        <v>0</v>
      </c>
      <c r="Z124" s="74"/>
      <c r="AA124" s="246">
        <f t="shared" ref="AA124" si="820">(Z124/100)*1000</f>
        <v>0</v>
      </c>
      <c r="AB124" s="74"/>
      <c r="AC124" s="246">
        <f t="shared" ref="AC124" si="821">(AB124/100)*1000</f>
        <v>0</v>
      </c>
      <c r="AD124" s="74"/>
      <c r="AE124" s="246">
        <f t="shared" ref="AE124" si="822">(AD124/100)*1000</f>
        <v>0</v>
      </c>
    </row>
    <row r="125" spans="1:31" ht="18.75" customHeight="1" outlineLevel="1">
      <c r="A125" s="374" t="str">
        <f t="shared" si="576"/>
        <v>YENMIX 121 (20KG)</v>
      </c>
      <c r="B125" s="74"/>
      <c r="C125" s="246">
        <f t="shared" si="577"/>
        <v>0</v>
      </c>
      <c r="D125" s="74"/>
      <c r="E125" s="246">
        <f t="shared" si="577"/>
        <v>0</v>
      </c>
      <c r="F125" s="74"/>
      <c r="G125" s="246">
        <f t="shared" si="578"/>
        <v>0</v>
      </c>
      <c r="H125" s="74"/>
      <c r="I125" s="246">
        <f t="shared" si="579"/>
        <v>0</v>
      </c>
      <c r="J125" s="74"/>
      <c r="K125" s="246">
        <f t="shared" si="580"/>
        <v>0</v>
      </c>
      <c r="L125" s="74"/>
      <c r="M125" s="246">
        <f t="shared" si="581"/>
        <v>0</v>
      </c>
      <c r="N125" s="74"/>
      <c r="O125" s="246">
        <f t="shared" si="582"/>
        <v>0</v>
      </c>
      <c r="P125" s="74"/>
      <c r="Q125" s="246">
        <f t="shared" ref="Q125" si="823">(P125/100)*1000</f>
        <v>0</v>
      </c>
      <c r="R125" s="74"/>
      <c r="S125" s="246">
        <f t="shared" ref="S125" si="824">(R125/100)*1000</f>
        <v>0</v>
      </c>
      <c r="T125" s="74"/>
      <c r="U125" s="246">
        <f t="shared" ref="U125" si="825">(T125/100)*1000</f>
        <v>0</v>
      </c>
      <c r="V125" s="74"/>
      <c r="W125" s="246">
        <f t="shared" ref="W125" si="826">(V125/100)*1000</f>
        <v>0</v>
      </c>
      <c r="X125" s="74"/>
      <c r="Y125" s="246">
        <f t="shared" ref="Y125" si="827">(X125/100)*1000</f>
        <v>0</v>
      </c>
      <c r="Z125" s="74"/>
      <c r="AA125" s="246">
        <f t="shared" ref="AA125" si="828">(Z125/100)*1000</f>
        <v>0</v>
      </c>
      <c r="AB125" s="74"/>
      <c r="AC125" s="246">
        <f t="shared" ref="AC125" si="829">(AB125/100)*1000</f>
        <v>0</v>
      </c>
      <c r="AD125" s="74"/>
      <c r="AE125" s="246">
        <f t="shared" ref="AE125" si="830">(AD125/100)*1000</f>
        <v>0</v>
      </c>
    </row>
    <row r="126" spans="1:31" ht="18.75" customHeight="1" outlineLevel="1">
      <c r="A126" s="374" t="str">
        <f t="shared" ref="A126:A157" si="831">A38</f>
        <v>YENMIX 122 (19.50KG)</v>
      </c>
      <c r="B126" s="74"/>
      <c r="C126" s="246">
        <f t="shared" si="577"/>
        <v>0</v>
      </c>
      <c r="D126" s="74"/>
      <c r="E126" s="246">
        <f t="shared" si="577"/>
        <v>0</v>
      </c>
      <c r="F126" s="74"/>
      <c r="G126" s="246">
        <f t="shared" si="578"/>
        <v>0</v>
      </c>
      <c r="H126" s="74"/>
      <c r="I126" s="246">
        <f t="shared" si="579"/>
        <v>0</v>
      </c>
      <c r="J126" s="74"/>
      <c r="K126" s="246">
        <f t="shared" si="580"/>
        <v>0</v>
      </c>
      <c r="L126" s="74"/>
      <c r="M126" s="246">
        <f t="shared" si="581"/>
        <v>0</v>
      </c>
      <c r="N126" s="74"/>
      <c r="O126" s="246">
        <f t="shared" si="582"/>
        <v>0</v>
      </c>
      <c r="P126" s="74"/>
      <c r="Q126" s="246">
        <f t="shared" ref="Q126" si="832">(P126/100)*1000</f>
        <v>0</v>
      </c>
      <c r="R126" s="74"/>
      <c r="S126" s="246">
        <f t="shared" ref="S126" si="833">(R126/100)*1000</f>
        <v>0</v>
      </c>
      <c r="T126" s="74"/>
      <c r="U126" s="246">
        <f t="shared" ref="U126" si="834">(T126/100)*1000</f>
        <v>0</v>
      </c>
      <c r="V126" s="74"/>
      <c r="W126" s="246">
        <f t="shared" ref="W126" si="835">(V126/100)*1000</f>
        <v>0</v>
      </c>
      <c r="X126" s="74"/>
      <c r="Y126" s="246">
        <f t="shared" ref="Y126" si="836">(X126/100)*1000</f>
        <v>0</v>
      </c>
      <c r="Z126" s="74"/>
      <c r="AA126" s="246">
        <f t="shared" ref="AA126" si="837">(Z126/100)*1000</f>
        <v>0</v>
      </c>
      <c r="AB126" s="74"/>
      <c r="AC126" s="246">
        <f t="shared" ref="AC126" si="838">(AB126/100)*1000</f>
        <v>0</v>
      </c>
      <c r="AD126" s="74"/>
      <c r="AE126" s="246">
        <f t="shared" ref="AE126" si="839">(AD126/100)*1000</f>
        <v>0</v>
      </c>
    </row>
    <row r="127" spans="1:31" ht="18.75" customHeight="1" outlineLevel="1">
      <c r="A127" s="374" t="str">
        <f t="shared" si="831"/>
        <v>YENMIX 123 (18.90KG)</v>
      </c>
      <c r="B127" s="74"/>
      <c r="C127" s="246">
        <f t="shared" si="577"/>
        <v>0</v>
      </c>
      <c r="D127" s="74"/>
      <c r="E127" s="246">
        <f t="shared" si="577"/>
        <v>0</v>
      </c>
      <c r="F127" s="74"/>
      <c r="G127" s="246">
        <f t="shared" si="578"/>
        <v>0</v>
      </c>
      <c r="H127" s="74"/>
      <c r="I127" s="246">
        <f t="shared" si="579"/>
        <v>0</v>
      </c>
      <c r="J127" s="74"/>
      <c r="K127" s="246">
        <f t="shared" si="580"/>
        <v>0</v>
      </c>
      <c r="L127" s="74"/>
      <c r="M127" s="246">
        <f t="shared" si="581"/>
        <v>0</v>
      </c>
      <c r="N127" s="74"/>
      <c r="O127" s="246">
        <f t="shared" si="582"/>
        <v>0</v>
      </c>
      <c r="P127" s="74"/>
      <c r="Q127" s="246">
        <f t="shared" ref="Q127" si="840">(P127/100)*1000</f>
        <v>0</v>
      </c>
      <c r="R127" s="74"/>
      <c r="S127" s="246">
        <f t="shared" ref="S127" si="841">(R127/100)*1000</f>
        <v>0</v>
      </c>
      <c r="T127" s="74"/>
      <c r="U127" s="246">
        <f t="shared" ref="U127" si="842">(T127/100)*1000</f>
        <v>0</v>
      </c>
      <c r="V127" s="74"/>
      <c r="W127" s="246">
        <f t="shared" ref="W127" si="843">(V127/100)*1000</f>
        <v>0</v>
      </c>
      <c r="X127" s="74"/>
      <c r="Y127" s="246">
        <f t="shared" ref="Y127" si="844">(X127/100)*1000</f>
        <v>0</v>
      </c>
      <c r="Z127" s="74"/>
      <c r="AA127" s="246">
        <f t="shared" ref="AA127" si="845">(Z127/100)*1000</f>
        <v>0</v>
      </c>
      <c r="AB127" s="74"/>
      <c r="AC127" s="246">
        <f t="shared" ref="AC127" si="846">(AB127/100)*1000</f>
        <v>0</v>
      </c>
      <c r="AD127" s="74"/>
      <c r="AE127" s="246">
        <f t="shared" ref="AE127" si="847">(AD127/100)*1000</f>
        <v>0</v>
      </c>
    </row>
    <row r="128" spans="1:31" ht="18.75" customHeight="1" outlineLevel="1">
      <c r="A128" s="374" t="str">
        <f t="shared" si="831"/>
        <v>YENMIX 122 (20.50KG)</v>
      </c>
      <c r="B128" s="74"/>
      <c r="C128" s="246">
        <f t="shared" si="577"/>
        <v>0</v>
      </c>
      <c r="D128" s="74"/>
      <c r="E128" s="246">
        <f t="shared" si="577"/>
        <v>0</v>
      </c>
      <c r="F128" s="74"/>
      <c r="G128" s="246">
        <f t="shared" si="578"/>
        <v>0</v>
      </c>
      <c r="H128" s="74"/>
      <c r="I128" s="246">
        <f t="shared" si="579"/>
        <v>0</v>
      </c>
      <c r="J128" s="74"/>
      <c r="K128" s="246">
        <f t="shared" si="580"/>
        <v>0</v>
      </c>
      <c r="L128" s="74"/>
      <c r="M128" s="246">
        <f t="shared" si="581"/>
        <v>0</v>
      </c>
      <c r="N128" s="74"/>
      <c r="O128" s="246">
        <f t="shared" si="582"/>
        <v>0</v>
      </c>
      <c r="P128" s="74"/>
      <c r="Q128" s="246">
        <f t="shared" ref="Q128" si="848">(P128/100)*1000</f>
        <v>0</v>
      </c>
      <c r="R128" s="74"/>
      <c r="S128" s="246">
        <f t="shared" ref="S128" si="849">(R128/100)*1000</f>
        <v>0</v>
      </c>
      <c r="T128" s="74"/>
      <c r="U128" s="246">
        <f t="shared" ref="U128" si="850">(T128/100)*1000</f>
        <v>0</v>
      </c>
      <c r="V128" s="74"/>
      <c r="W128" s="246">
        <f t="shared" ref="W128" si="851">(V128/100)*1000</f>
        <v>0</v>
      </c>
      <c r="X128" s="74"/>
      <c r="Y128" s="246">
        <f t="shared" ref="Y128" si="852">(X128/100)*1000</f>
        <v>0</v>
      </c>
      <c r="Z128" s="74"/>
      <c r="AA128" s="246">
        <f t="shared" ref="AA128" si="853">(Z128/100)*1000</f>
        <v>0</v>
      </c>
      <c r="AB128" s="74"/>
      <c r="AC128" s="246">
        <f t="shared" ref="AC128" si="854">(AB128/100)*1000</f>
        <v>0</v>
      </c>
      <c r="AD128" s="74"/>
      <c r="AE128" s="246">
        <f t="shared" ref="AE128" si="855">(AD128/100)*1000</f>
        <v>0</v>
      </c>
    </row>
    <row r="129" spans="1:31" ht="18.75" customHeight="1" outlineLevel="1">
      <c r="A129" s="374" t="str">
        <f t="shared" si="831"/>
        <v>YENMIX 123 (20.00KG)</v>
      </c>
      <c r="B129" s="74"/>
      <c r="C129" s="246">
        <f t="shared" si="577"/>
        <v>0</v>
      </c>
      <c r="D129" s="74"/>
      <c r="E129" s="246">
        <f t="shared" si="577"/>
        <v>0</v>
      </c>
      <c r="F129" s="74"/>
      <c r="G129" s="246">
        <f t="shared" si="578"/>
        <v>0</v>
      </c>
      <c r="H129" s="74"/>
      <c r="I129" s="246">
        <f t="shared" si="579"/>
        <v>0</v>
      </c>
      <c r="J129" s="74"/>
      <c r="K129" s="246">
        <f t="shared" si="580"/>
        <v>0</v>
      </c>
      <c r="L129" s="74"/>
      <c r="M129" s="246">
        <f t="shared" si="581"/>
        <v>0</v>
      </c>
      <c r="N129" s="74"/>
      <c r="O129" s="246">
        <f t="shared" si="582"/>
        <v>0</v>
      </c>
      <c r="P129" s="74"/>
      <c r="Q129" s="246">
        <f t="shared" ref="Q129" si="856">(P129/100)*1000</f>
        <v>0</v>
      </c>
      <c r="R129" s="74"/>
      <c r="S129" s="246">
        <f t="shared" ref="S129" si="857">(R129/100)*1000</f>
        <v>0</v>
      </c>
      <c r="T129" s="74"/>
      <c r="U129" s="246">
        <f t="shared" ref="U129" si="858">(T129/100)*1000</f>
        <v>0</v>
      </c>
      <c r="V129" s="74"/>
      <c r="W129" s="246">
        <f t="shared" ref="W129" si="859">(V129/100)*1000</f>
        <v>0</v>
      </c>
      <c r="X129" s="74"/>
      <c r="Y129" s="246">
        <f t="shared" ref="Y129" si="860">(X129/100)*1000</f>
        <v>0</v>
      </c>
      <c r="Z129" s="74"/>
      <c r="AA129" s="246">
        <f t="shared" ref="AA129" si="861">(Z129/100)*1000</f>
        <v>0</v>
      </c>
      <c r="AB129" s="74"/>
      <c r="AC129" s="246">
        <f t="shared" ref="AC129" si="862">(AB129/100)*1000</f>
        <v>0</v>
      </c>
      <c r="AD129" s="74"/>
      <c r="AE129" s="246">
        <f t="shared" ref="AE129" si="863">(AD129/100)*1000</f>
        <v>0</v>
      </c>
    </row>
    <row r="130" spans="1:31" ht="18.75" customHeight="1" outlineLevel="1">
      <c r="A130" s="374">
        <f t="shared" si="831"/>
        <v>1</v>
      </c>
      <c r="B130" s="74"/>
      <c r="C130" s="246">
        <f t="shared" si="577"/>
        <v>0</v>
      </c>
      <c r="D130" s="74"/>
      <c r="E130" s="246">
        <f t="shared" si="577"/>
        <v>0</v>
      </c>
      <c r="F130" s="74"/>
      <c r="G130" s="246">
        <f t="shared" si="578"/>
        <v>0</v>
      </c>
      <c r="H130" s="74"/>
      <c r="I130" s="246">
        <f t="shared" si="579"/>
        <v>0</v>
      </c>
      <c r="J130" s="74"/>
      <c r="K130" s="246">
        <f t="shared" si="580"/>
        <v>0</v>
      </c>
      <c r="L130" s="74"/>
      <c r="M130" s="246">
        <f t="shared" si="581"/>
        <v>0</v>
      </c>
      <c r="N130" s="74"/>
      <c r="O130" s="246">
        <f t="shared" si="582"/>
        <v>0</v>
      </c>
      <c r="P130" s="74"/>
      <c r="Q130" s="246">
        <f t="shared" si="577"/>
        <v>0</v>
      </c>
      <c r="R130" s="74"/>
      <c r="S130" s="246">
        <f t="shared" si="577"/>
        <v>0</v>
      </c>
      <c r="T130" s="74"/>
      <c r="U130" s="246">
        <f t="shared" si="577"/>
        <v>0</v>
      </c>
      <c r="V130" s="74"/>
      <c r="W130" s="246">
        <f t="shared" si="577"/>
        <v>0</v>
      </c>
      <c r="X130" s="74"/>
      <c r="Y130" s="246">
        <f t="shared" si="577"/>
        <v>0</v>
      </c>
      <c r="Z130" s="74"/>
      <c r="AA130" s="246">
        <f t="shared" si="577"/>
        <v>0</v>
      </c>
      <c r="AB130" s="74"/>
      <c r="AC130" s="246">
        <f t="shared" si="577"/>
        <v>0</v>
      </c>
      <c r="AD130" s="74"/>
      <c r="AE130" s="246">
        <f t="shared" si="577"/>
        <v>0</v>
      </c>
    </row>
    <row r="131" spans="1:31" ht="18.75" customHeight="1" outlineLevel="1">
      <c r="A131" s="374">
        <f t="shared" si="831"/>
        <v>2</v>
      </c>
      <c r="B131" s="74"/>
      <c r="C131" s="246">
        <f t="shared" si="577"/>
        <v>0</v>
      </c>
      <c r="D131" s="74"/>
      <c r="E131" s="246">
        <f t="shared" si="577"/>
        <v>0</v>
      </c>
      <c r="F131" s="74"/>
      <c r="G131" s="246">
        <f t="shared" si="578"/>
        <v>0</v>
      </c>
      <c r="H131" s="74"/>
      <c r="I131" s="246">
        <f t="shared" si="579"/>
        <v>0</v>
      </c>
      <c r="J131" s="74"/>
      <c r="K131" s="246">
        <f t="shared" si="580"/>
        <v>0</v>
      </c>
      <c r="L131" s="74"/>
      <c r="M131" s="246">
        <f t="shared" si="581"/>
        <v>0</v>
      </c>
      <c r="N131" s="74"/>
      <c r="O131" s="246">
        <f t="shared" si="582"/>
        <v>0</v>
      </c>
      <c r="P131" s="74"/>
      <c r="Q131" s="246">
        <f t="shared" si="577"/>
        <v>0</v>
      </c>
      <c r="R131" s="74"/>
      <c r="S131" s="246">
        <f t="shared" si="577"/>
        <v>0</v>
      </c>
      <c r="T131" s="74"/>
      <c r="U131" s="246">
        <f t="shared" si="577"/>
        <v>0</v>
      </c>
      <c r="V131" s="74"/>
      <c r="W131" s="246">
        <f t="shared" si="577"/>
        <v>0</v>
      </c>
      <c r="X131" s="74"/>
      <c r="Y131" s="246">
        <f t="shared" si="577"/>
        <v>0</v>
      </c>
      <c r="Z131" s="74"/>
      <c r="AA131" s="246">
        <f t="shared" si="577"/>
        <v>0</v>
      </c>
      <c r="AB131" s="74"/>
      <c r="AC131" s="246">
        <f t="shared" si="577"/>
        <v>0</v>
      </c>
      <c r="AD131" s="74"/>
      <c r="AE131" s="246">
        <f t="shared" si="577"/>
        <v>0</v>
      </c>
    </row>
    <row r="132" spans="1:31" ht="18.75" customHeight="1" outlineLevel="1">
      <c r="A132" s="374">
        <f t="shared" si="831"/>
        <v>3</v>
      </c>
      <c r="B132" s="74"/>
      <c r="C132" s="246">
        <f t="shared" si="577"/>
        <v>0</v>
      </c>
      <c r="D132" s="74"/>
      <c r="E132" s="246">
        <f t="shared" si="577"/>
        <v>0</v>
      </c>
      <c r="F132" s="74"/>
      <c r="G132" s="246">
        <f t="shared" si="578"/>
        <v>0</v>
      </c>
      <c r="H132" s="74"/>
      <c r="I132" s="246">
        <f t="shared" si="579"/>
        <v>0</v>
      </c>
      <c r="J132" s="74"/>
      <c r="K132" s="246">
        <f t="shared" si="580"/>
        <v>0</v>
      </c>
      <c r="L132" s="74"/>
      <c r="M132" s="246">
        <f t="shared" si="581"/>
        <v>0</v>
      </c>
      <c r="N132" s="74"/>
      <c r="O132" s="246">
        <f t="shared" si="582"/>
        <v>0</v>
      </c>
      <c r="P132" s="74"/>
      <c r="Q132" s="246">
        <f t="shared" si="577"/>
        <v>0</v>
      </c>
      <c r="R132" s="74"/>
      <c r="S132" s="246">
        <f t="shared" si="577"/>
        <v>0</v>
      </c>
      <c r="T132" s="74"/>
      <c r="U132" s="246">
        <f t="shared" si="577"/>
        <v>0</v>
      </c>
      <c r="V132" s="74"/>
      <c r="W132" s="246">
        <f t="shared" si="577"/>
        <v>0</v>
      </c>
      <c r="X132" s="74"/>
      <c r="Y132" s="246">
        <f t="shared" si="577"/>
        <v>0</v>
      </c>
      <c r="Z132" s="74"/>
      <c r="AA132" s="246">
        <f t="shared" si="577"/>
        <v>0</v>
      </c>
      <c r="AB132" s="74"/>
      <c r="AC132" s="246">
        <f t="shared" si="577"/>
        <v>0</v>
      </c>
      <c r="AD132" s="74"/>
      <c r="AE132" s="246">
        <f t="shared" si="577"/>
        <v>0</v>
      </c>
    </row>
    <row r="133" spans="1:31" ht="18.75" customHeight="1" outlineLevel="1">
      <c r="A133" s="374" t="str">
        <f t="shared" si="831"/>
        <v>TOXISORB PREMIUM</v>
      </c>
      <c r="B133" s="74">
        <f>1/20</f>
        <v>0.05</v>
      </c>
      <c r="C133" s="246">
        <f t="shared" si="577"/>
        <v>0.5</v>
      </c>
      <c r="D133" s="74"/>
      <c r="E133" s="246">
        <f t="shared" si="577"/>
        <v>0</v>
      </c>
      <c r="F133" s="74"/>
      <c r="G133" s="246">
        <f t="shared" si="578"/>
        <v>0</v>
      </c>
      <c r="H133" s="74"/>
      <c r="I133" s="246">
        <f t="shared" si="579"/>
        <v>0</v>
      </c>
      <c r="J133" s="74"/>
      <c r="K133" s="246">
        <f t="shared" si="580"/>
        <v>0</v>
      </c>
      <c r="L133" s="74"/>
      <c r="M133" s="246">
        <f t="shared" si="581"/>
        <v>0</v>
      </c>
      <c r="N133" s="74"/>
      <c r="O133" s="246">
        <f t="shared" si="582"/>
        <v>0</v>
      </c>
      <c r="P133" s="74"/>
      <c r="Q133" s="246">
        <f t="shared" si="577"/>
        <v>0</v>
      </c>
      <c r="R133" s="74"/>
      <c r="S133" s="246">
        <f t="shared" si="577"/>
        <v>0</v>
      </c>
      <c r="T133" s="74"/>
      <c r="U133" s="246">
        <f t="shared" si="577"/>
        <v>0</v>
      </c>
      <c r="V133" s="74"/>
      <c r="W133" s="246">
        <f t="shared" si="577"/>
        <v>0</v>
      </c>
      <c r="X133" s="74"/>
      <c r="Y133" s="246">
        <f t="shared" si="577"/>
        <v>0</v>
      </c>
      <c r="Z133" s="74"/>
      <c r="AA133" s="246">
        <f t="shared" si="577"/>
        <v>0</v>
      </c>
      <c r="AB133" s="74"/>
      <c r="AC133" s="246">
        <f t="shared" si="577"/>
        <v>0</v>
      </c>
      <c r="AD133" s="74"/>
      <c r="AE133" s="246">
        <f t="shared" si="577"/>
        <v>0</v>
      </c>
    </row>
    <row r="134" spans="1:31" ht="18.75" customHeight="1" outlineLevel="1">
      <c r="A134" s="374" t="str">
        <f t="shared" si="831"/>
        <v>SODIUM HUMATE 3.8% (HARUMI)</v>
      </c>
      <c r="B134" s="74"/>
      <c r="C134" s="246">
        <f t="shared" si="577"/>
        <v>0</v>
      </c>
      <c r="D134" s="74"/>
      <c r="E134" s="246">
        <f t="shared" si="577"/>
        <v>0</v>
      </c>
      <c r="F134" s="74"/>
      <c r="G134" s="246">
        <f t="shared" si="578"/>
        <v>0</v>
      </c>
      <c r="H134" s="74"/>
      <c r="I134" s="246">
        <f t="shared" si="579"/>
        <v>0</v>
      </c>
      <c r="J134" s="74"/>
      <c r="K134" s="246">
        <f t="shared" si="580"/>
        <v>0</v>
      </c>
      <c r="L134" s="74"/>
      <c r="M134" s="246">
        <f t="shared" si="581"/>
        <v>0</v>
      </c>
      <c r="N134" s="74"/>
      <c r="O134" s="246">
        <f t="shared" si="582"/>
        <v>0</v>
      </c>
      <c r="P134" s="74"/>
      <c r="Q134" s="246">
        <f t="shared" si="577"/>
        <v>0</v>
      </c>
      <c r="R134" s="74"/>
      <c r="S134" s="246">
        <f t="shared" si="577"/>
        <v>0</v>
      </c>
      <c r="T134" s="74"/>
      <c r="U134" s="246">
        <f t="shared" si="577"/>
        <v>0</v>
      </c>
      <c r="V134" s="74"/>
      <c r="W134" s="246">
        <f t="shared" si="577"/>
        <v>0</v>
      </c>
      <c r="X134" s="74"/>
      <c r="Y134" s="246">
        <f t="shared" si="577"/>
        <v>0</v>
      </c>
      <c r="Z134" s="74"/>
      <c r="AA134" s="246">
        <f t="shared" si="577"/>
        <v>0</v>
      </c>
      <c r="AB134" s="74"/>
      <c r="AC134" s="246">
        <f t="shared" si="577"/>
        <v>0</v>
      </c>
      <c r="AD134" s="74"/>
      <c r="AE134" s="246">
        <f t="shared" si="577"/>
        <v>0</v>
      </c>
    </row>
    <row r="135" spans="1:31" ht="18.75" customHeight="1" outlineLevel="1">
      <c r="A135" s="374" t="str">
        <f t="shared" si="831"/>
        <v>TOXIWALL</v>
      </c>
      <c r="B135" s="74"/>
      <c r="C135" s="246">
        <f t="shared" si="577"/>
        <v>0</v>
      </c>
      <c r="D135" s="74"/>
      <c r="E135" s="246">
        <f t="shared" si="577"/>
        <v>0</v>
      </c>
      <c r="F135" s="74"/>
      <c r="G135" s="246">
        <f t="shared" si="578"/>
        <v>0</v>
      </c>
      <c r="H135" s="74"/>
      <c r="I135" s="246">
        <f t="shared" si="579"/>
        <v>0</v>
      </c>
      <c r="J135" s="74"/>
      <c r="K135" s="246">
        <f t="shared" si="580"/>
        <v>0</v>
      </c>
      <c r="L135" s="74"/>
      <c r="M135" s="246">
        <f t="shared" si="581"/>
        <v>0</v>
      </c>
      <c r="N135" s="74"/>
      <c r="O135" s="246">
        <f t="shared" si="582"/>
        <v>0</v>
      </c>
      <c r="P135" s="74"/>
      <c r="Q135" s="246">
        <f t="shared" si="577"/>
        <v>0</v>
      </c>
      <c r="R135" s="74"/>
      <c r="S135" s="246">
        <f t="shared" si="577"/>
        <v>0</v>
      </c>
      <c r="T135" s="74"/>
      <c r="U135" s="246">
        <f t="shared" si="577"/>
        <v>0</v>
      </c>
      <c r="V135" s="74"/>
      <c r="W135" s="246">
        <f t="shared" si="577"/>
        <v>0</v>
      </c>
      <c r="X135" s="74"/>
      <c r="Y135" s="246">
        <f t="shared" si="577"/>
        <v>0</v>
      </c>
      <c r="Z135" s="74"/>
      <c r="AA135" s="246">
        <f t="shared" si="577"/>
        <v>0</v>
      </c>
      <c r="AB135" s="74"/>
      <c r="AC135" s="246">
        <f t="shared" si="577"/>
        <v>0</v>
      </c>
      <c r="AD135" s="74"/>
      <c r="AE135" s="246">
        <f t="shared" si="577"/>
        <v>0</v>
      </c>
    </row>
    <row r="136" spans="1:31" ht="18.75" customHeight="1" outlineLevel="1">
      <c r="A136" s="374" t="str">
        <f t="shared" si="831"/>
        <v>SODIUM BICARBONATE</v>
      </c>
      <c r="B136" s="74"/>
      <c r="C136" s="246">
        <f t="shared" ref="C136" si="864">(B136/100)*1000</f>
        <v>0</v>
      </c>
      <c r="D136" s="74"/>
      <c r="E136" s="246">
        <f t="shared" ref="E136" si="865">(D136/100)*1000</f>
        <v>0</v>
      </c>
      <c r="F136" s="74"/>
      <c r="G136" s="246">
        <f t="shared" si="578"/>
        <v>0</v>
      </c>
      <c r="H136" s="408"/>
      <c r="I136" s="246">
        <f t="shared" si="579"/>
        <v>0</v>
      </c>
      <c r="J136" s="74"/>
      <c r="K136" s="246">
        <f t="shared" si="580"/>
        <v>0</v>
      </c>
      <c r="L136" s="408"/>
      <c r="M136" s="246">
        <f t="shared" si="581"/>
        <v>0</v>
      </c>
      <c r="N136" s="74"/>
      <c r="O136" s="246">
        <f t="shared" si="582"/>
        <v>0</v>
      </c>
      <c r="P136" s="74"/>
      <c r="Q136" s="246">
        <f t="shared" si="577"/>
        <v>0</v>
      </c>
      <c r="R136" s="74"/>
      <c r="S136" s="246">
        <f t="shared" si="577"/>
        <v>0</v>
      </c>
      <c r="T136" s="74"/>
      <c r="U136" s="246">
        <f t="shared" si="577"/>
        <v>0</v>
      </c>
      <c r="V136" s="408"/>
      <c r="W136" s="246">
        <f t="shared" si="577"/>
        <v>0</v>
      </c>
      <c r="X136" s="74"/>
      <c r="Y136" s="246">
        <f t="shared" si="577"/>
        <v>0</v>
      </c>
      <c r="Z136" s="74"/>
      <c r="AA136" s="246">
        <f t="shared" si="577"/>
        <v>0</v>
      </c>
      <c r="AB136" s="74"/>
      <c r="AC136" s="246">
        <f t="shared" si="577"/>
        <v>0</v>
      </c>
      <c r="AD136" s="74"/>
      <c r="AE136" s="246">
        <f t="shared" si="577"/>
        <v>0</v>
      </c>
    </row>
    <row r="137" spans="1:31" ht="18.75" customHeight="1" outlineLevel="1">
      <c r="A137" s="374" t="str">
        <f t="shared" si="831"/>
        <v>BMD 10%</v>
      </c>
      <c r="B137" s="74"/>
      <c r="C137" s="246">
        <f t="shared" si="577"/>
        <v>0</v>
      </c>
      <c r="D137" s="74"/>
      <c r="E137" s="246">
        <f t="shared" si="577"/>
        <v>0</v>
      </c>
      <c r="F137" s="74"/>
      <c r="G137" s="246">
        <f t="shared" si="578"/>
        <v>0</v>
      </c>
      <c r="H137" s="74"/>
      <c r="I137" s="246">
        <f t="shared" si="579"/>
        <v>0</v>
      </c>
      <c r="J137" s="74"/>
      <c r="K137" s="246">
        <f t="shared" si="580"/>
        <v>0</v>
      </c>
      <c r="L137" s="74"/>
      <c r="M137" s="246">
        <f t="shared" si="581"/>
        <v>0</v>
      </c>
      <c r="N137" s="74"/>
      <c r="O137" s="246">
        <f t="shared" si="582"/>
        <v>0</v>
      </c>
      <c r="P137" s="74"/>
      <c r="Q137" s="246">
        <f t="shared" ref="Q137" si="866">(P137/100)*1000</f>
        <v>0</v>
      </c>
      <c r="R137" s="74"/>
      <c r="S137" s="246">
        <f t="shared" ref="S137" si="867">(R137/100)*1000</f>
        <v>0</v>
      </c>
      <c r="T137" s="74"/>
      <c r="U137" s="246">
        <f t="shared" ref="U137" si="868">(T137/100)*1000</f>
        <v>0</v>
      </c>
      <c r="V137" s="74"/>
      <c r="W137" s="246">
        <f t="shared" ref="W137" si="869">(V137/100)*1000</f>
        <v>0</v>
      </c>
      <c r="X137" s="74"/>
      <c r="Y137" s="246">
        <f t="shared" ref="Y137" si="870">(X137/100)*1000</f>
        <v>0</v>
      </c>
      <c r="Z137" s="74"/>
      <c r="AA137" s="246">
        <f t="shared" ref="AA137" si="871">(Z137/100)*1000</f>
        <v>0</v>
      </c>
      <c r="AB137" s="74"/>
      <c r="AC137" s="246">
        <f t="shared" ref="AC137" si="872">(AB137/100)*1000</f>
        <v>0</v>
      </c>
      <c r="AD137" s="74"/>
      <c r="AE137" s="246">
        <f t="shared" ref="AE137" si="873">(AD137/100)*1000</f>
        <v>0</v>
      </c>
    </row>
    <row r="138" spans="1:31" ht="18.75" customHeight="1" outlineLevel="1">
      <c r="A138" s="374" t="str">
        <f t="shared" si="831"/>
        <v>SALT (HARUMI)</v>
      </c>
      <c r="B138" s="74"/>
      <c r="C138" s="246">
        <f t="shared" si="577"/>
        <v>0</v>
      </c>
      <c r="D138" s="74"/>
      <c r="E138" s="246">
        <f t="shared" si="577"/>
        <v>0</v>
      </c>
      <c r="F138" s="74"/>
      <c r="G138" s="246">
        <f t="shared" si="578"/>
        <v>0</v>
      </c>
      <c r="H138" s="74"/>
      <c r="I138" s="246">
        <f t="shared" si="579"/>
        <v>0</v>
      </c>
      <c r="J138" s="74"/>
      <c r="K138" s="246">
        <f t="shared" si="580"/>
        <v>0</v>
      </c>
      <c r="L138" s="74"/>
      <c r="M138" s="246">
        <f t="shared" si="581"/>
        <v>0</v>
      </c>
      <c r="N138" s="74"/>
      <c r="O138" s="246">
        <f t="shared" si="582"/>
        <v>0</v>
      </c>
      <c r="P138" s="74"/>
      <c r="Q138" s="246">
        <f t="shared" ref="Q138" si="874">(P138/100)*1000</f>
        <v>0</v>
      </c>
      <c r="R138" s="74"/>
      <c r="S138" s="246">
        <f t="shared" ref="S138" si="875">(R138/100)*1000</f>
        <v>0</v>
      </c>
      <c r="T138" s="74"/>
      <c r="U138" s="246">
        <f t="shared" ref="U138" si="876">(T138/100)*1000</f>
        <v>0</v>
      </c>
      <c r="V138" s="74"/>
      <c r="W138" s="246">
        <f t="shared" ref="W138" si="877">(V138/100)*1000</f>
        <v>0</v>
      </c>
      <c r="X138" s="74"/>
      <c r="Y138" s="246">
        <f t="shared" ref="Y138" si="878">(X138/100)*1000</f>
        <v>0</v>
      </c>
      <c r="Z138" s="74"/>
      <c r="AA138" s="246">
        <f t="shared" ref="AA138" si="879">(Z138/100)*1000</f>
        <v>0</v>
      </c>
      <c r="AB138" s="74"/>
      <c r="AC138" s="246">
        <f t="shared" ref="AC138" si="880">(AB138/100)*1000</f>
        <v>0</v>
      </c>
      <c r="AD138" s="74"/>
      <c r="AE138" s="246">
        <f t="shared" ref="AE138" si="881">(AD138/100)*1000</f>
        <v>0</v>
      </c>
    </row>
    <row r="139" spans="1:31" ht="18.75" customHeight="1" outlineLevel="1">
      <c r="A139" s="374" t="str">
        <f t="shared" si="831"/>
        <v>VISTABET 91</v>
      </c>
      <c r="B139" s="74"/>
      <c r="C139" s="246">
        <f t="shared" si="577"/>
        <v>0</v>
      </c>
      <c r="D139" s="74"/>
      <c r="E139" s="246">
        <f t="shared" si="577"/>
        <v>0</v>
      </c>
      <c r="F139" s="74"/>
      <c r="G139" s="246">
        <f t="shared" si="578"/>
        <v>0</v>
      </c>
      <c r="H139" s="74"/>
      <c r="I139" s="246">
        <f t="shared" si="579"/>
        <v>0</v>
      </c>
      <c r="J139" s="74"/>
      <c r="K139" s="246">
        <f t="shared" si="580"/>
        <v>0</v>
      </c>
      <c r="L139" s="74"/>
      <c r="M139" s="246">
        <f t="shared" si="581"/>
        <v>0</v>
      </c>
      <c r="N139" s="74"/>
      <c r="O139" s="246">
        <f t="shared" si="582"/>
        <v>0</v>
      </c>
      <c r="P139" s="74"/>
      <c r="Q139" s="246">
        <f t="shared" ref="Q139" si="882">(P139/100)*1000</f>
        <v>0</v>
      </c>
      <c r="R139" s="74"/>
      <c r="S139" s="246">
        <f t="shared" ref="S139" si="883">(R139/100)*1000</f>
        <v>0</v>
      </c>
      <c r="T139" s="74"/>
      <c r="U139" s="246">
        <f t="shared" ref="U139" si="884">(T139/100)*1000</f>
        <v>0</v>
      </c>
      <c r="V139" s="74"/>
      <c r="W139" s="246">
        <f t="shared" ref="W139" si="885">(V139/100)*1000</f>
        <v>0</v>
      </c>
      <c r="X139" s="74"/>
      <c r="Y139" s="246">
        <f t="shared" ref="Y139" si="886">(X139/100)*1000</f>
        <v>0</v>
      </c>
      <c r="Z139" s="74"/>
      <c r="AA139" s="246">
        <f t="shared" ref="AA139" si="887">(Z139/100)*1000</f>
        <v>0</v>
      </c>
      <c r="AB139" s="74"/>
      <c r="AC139" s="246">
        <f t="shared" ref="AC139" si="888">(AB139/100)*1000</f>
        <v>0</v>
      </c>
      <c r="AD139" s="74"/>
      <c r="AE139" s="246">
        <f t="shared" ref="AE139" si="889">(AD139/100)*1000</f>
        <v>0</v>
      </c>
    </row>
    <row r="140" spans="1:31" ht="18.75" customHeight="1" outlineLevel="1">
      <c r="A140" s="374" t="str">
        <f t="shared" si="831"/>
        <v>BETAFIN</v>
      </c>
      <c r="B140" s="74"/>
      <c r="C140" s="246">
        <f t="shared" si="577"/>
        <v>0</v>
      </c>
      <c r="D140" s="74"/>
      <c r="E140" s="246">
        <f t="shared" si="577"/>
        <v>0</v>
      </c>
      <c r="F140" s="74"/>
      <c r="G140" s="246">
        <f t="shared" si="578"/>
        <v>0</v>
      </c>
      <c r="H140" s="74"/>
      <c r="I140" s="246">
        <f t="shared" si="579"/>
        <v>0</v>
      </c>
      <c r="J140" s="74"/>
      <c r="K140" s="246">
        <f t="shared" si="580"/>
        <v>0</v>
      </c>
      <c r="L140" s="74"/>
      <c r="M140" s="246">
        <f t="shared" si="581"/>
        <v>0</v>
      </c>
      <c r="N140" s="74"/>
      <c r="O140" s="246">
        <f t="shared" si="582"/>
        <v>0</v>
      </c>
      <c r="P140" s="74"/>
      <c r="Q140" s="246">
        <f t="shared" ref="Q140" si="890">(P140/100)*1000</f>
        <v>0</v>
      </c>
      <c r="R140" s="74"/>
      <c r="S140" s="246">
        <f t="shared" ref="S140" si="891">(R140/100)*1000</f>
        <v>0</v>
      </c>
      <c r="T140" s="74"/>
      <c r="U140" s="246">
        <f t="shared" ref="U140" si="892">(T140/100)*1000</f>
        <v>0</v>
      </c>
      <c r="V140" s="74"/>
      <c r="W140" s="246">
        <f t="shared" ref="W140" si="893">(V140/100)*1000</f>
        <v>0</v>
      </c>
      <c r="X140" s="74"/>
      <c r="Y140" s="246">
        <f t="shared" ref="Y140" si="894">(X140/100)*1000</f>
        <v>0</v>
      </c>
      <c r="Z140" s="74"/>
      <c r="AA140" s="246">
        <f t="shared" ref="AA140" si="895">(Z140/100)*1000</f>
        <v>0</v>
      </c>
      <c r="AB140" s="74"/>
      <c r="AC140" s="246">
        <f t="shared" ref="AC140" si="896">(AB140/100)*1000</f>
        <v>0</v>
      </c>
      <c r="AD140" s="74"/>
      <c r="AE140" s="246">
        <f t="shared" ref="AE140" si="897">(AD140/100)*1000</f>
        <v>0</v>
      </c>
    </row>
    <row r="141" spans="1:31" ht="18.75" customHeight="1" outlineLevel="1">
      <c r="A141" s="374" t="str">
        <f t="shared" si="831"/>
        <v>8101 TOP UP</v>
      </c>
      <c r="B141" s="74"/>
      <c r="C141" s="246">
        <f t="shared" si="577"/>
        <v>0</v>
      </c>
      <c r="D141" s="74"/>
      <c r="E141" s="246">
        <f t="shared" si="577"/>
        <v>0</v>
      </c>
      <c r="F141" s="74"/>
      <c r="G141" s="246">
        <f t="shared" si="578"/>
        <v>0</v>
      </c>
      <c r="H141" s="74"/>
      <c r="I141" s="246">
        <f t="shared" si="579"/>
        <v>0</v>
      </c>
      <c r="J141" s="74"/>
      <c r="K141" s="246">
        <f t="shared" si="580"/>
        <v>0</v>
      </c>
      <c r="L141" s="74"/>
      <c r="M141" s="246">
        <f t="shared" si="581"/>
        <v>0</v>
      </c>
      <c r="N141" s="74"/>
      <c r="O141" s="246">
        <f t="shared" si="582"/>
        <v>0</v>
      </c>
      <c r="P141" s="74"/>
      <c r="Q141" s="246">
        <f t="shared" ref="Q141" si="898">(P141/100)*1000</f>
        <v>0</v>
      </c>
      <c r="R141" s="74"/>
      <c r="S141" s="246">
        <f t="shared" ref="S141" si="899">(R141/100)*1000</f>
        <v>0</v>
      </c>
      <c r="T141" s="74"/>
      <c r="U141" s="246">
        <f t="shared" ref="U141" si="900">(T141/100)*1000</f>
        <v>0</v>
      </c>
      <c r="V141" s="74"/>
      <c r="W141" s="246">
        <f t="shared" ref="W141" si="901">(V141/100)*1000</f>
        <v>0</v>
      </c>
      <c r="X141" s="74"/>
      <c r="Y141" s="246">
        <f t="shared" ref="Y141" si="902">(X141/100)*1000</f>
        <v>0</v>
      </c>
      <c r="Z141" s="74"/>
      <c r="AA141" s="246">
        <f t="shared" ref="AA141" si="903">(Z141/100)*1000</f>
        <v>0</v>
      </c>
      <c r="AB141" s="74"/>
      <c r="AC141" s="246">
        <f t="shared" ref="AC141" si="904">(AB141/100)*1000</f>
        <v>0</v>
      </c>
      <c r="AD141" s="74"/>
      <c r="AE141" s="246">
        <f t="shared" ref="AE141" si="905">(AD141/100)*1000</f>
        <v>0</v>
      </c>
    </row>
    <row r="142" spans="1:31" ht="18.75" customHeight="1" outlineLevel="1">
      <c r="A142" s="374" t="str">
        <f t="shared" si="831"/>
        <v>NORPONIN X03 (8102 TOP UP)</v>
      </c>
      <c r="B142" s="74"/>
      <c r="C142" s="246">
        <f t="shared" si="577"/>
        <v>0</v>
      </c>
      <c r="D142" s="74"/>
      <c r="E142" s="246">
        <f t="shared" si="577"/>
        <v>0</v>
      </c>
      <c r="F142" s="74"/>
      <c r="G142" s="246">
        <f t="shared" si="578"/>
        <v>0</v>
      </c>
      <c r="H142" s="74"/>
      <c r="I142" s="246">
        <f t="shared" si="579"/>
        <v>0</v>
      </c>
      <c r="J142" s="74"/>
      <c r="K142" s="246">
        <f t="shared" si="580"/>
        <v>0</v>
      </c>
      <c r="L142" s="74"/>
      <c r="M142" s="246">
        <f t="shared" si="581"/>
        <v>0</v>
      </c>
      <c r="N142" s="74"/>
      <c r="O142" s="246">
        <f t="shared" si="582"/>
        <v>0</v>
      </c>
      <c r="P142" s="74"/>
      <c r="Q142" s="246">
        <f t="shared" ref="Q142" si="906">(P142/100)*1000</f>
        <v>0</v>
      </c>
      <c r="R142" s="74"/>
      <c r="S142" s="246">
        <f t="shared" ref="S142" si="907">(R142/100)*1000</f>
        <v>0</v>
      </c>
      <c r="T142" s="74"/>
      <c r="U142" s="246">
        <f t="shared" ref="U142" si="908">(T142/100)*1000</f>
        <v>0</v>
      </c>
      <c r="V142" s="74"/>
      <c r="W142" s="246">
        <f t="shared" ref="W142" si="909">(V142/100)*1000</f>
        <v>0</v>
      </c>
      <c r="X142" s="74"/>
      <c r="Y142" s="246">
        <f t="shared" ref="Y142" si="910">(X142/100)*1000</f>
        <v>0</v>
      </c>
      <c r="Z142" s="74"/>
      <c r="AA142" s="246">
        <f t="shared" ref="AA142" si="911">(Z142/100)*1000</f>
        <v>0</v>
      </c>
      <c r="AB142" s="74"/>
      <c r="AC142" s="246">
        <f t="shared" ref="AC142" si="912">(AB142/100)*1000</f>
        <v>0</v>
      </c>
      <c r="AD142" s="74"/>
      <c r="AE142" s="246">
        <f t="shared" ref="AE142" si="913">(AD142/100)*1000</f>
        <v>0</v>
      </c>
    </row>
    <row r="143" spans="1:31" ht="18.75" customHeight="1" outlineLevel="1">
      <c r="A143" s="374" t="str">
        <f t="shared" si="831"/>
        <v>8102 TOP UP (4KG)</v>
      </c>
      <c r="B143" s="74"/>
      <c r="C143" s="246">
        <f t="shared" si="577"/>
        <v>0</v>
      </c>
      <c r="D143" s="74"/>
      <c r="E143" s="246">
        <f t="shared" si="577"/>
        <v>0</v>
      </c>
      <c r="F143" s="74"/>
      <c r="G143" s="246">
        <f t="shared" si="578"/>
        <v>0</v>
      </c>
      <c r="H143" s="74"/>
      <c r="I143" s="246">
        <f t="shared" si="579"/>
        <v>0</v>
      </c>
      <c r="J143" s="74"/>
      <c r="K143" s="246">
        <f t="shared" si="580"/>
        <v>0</v>
      </c>
      <c r="L143" s="74"/>
      <c r="M143" s="246">
        <f t="shared" si="581"/>
        <v>0</v>
      </c>
      <c r="N143" s="74"/>
      <c r="O143" s="246">
        <f t="shared" si="582"/>
        <v>0</v>
      </c>
      <c r="P143" s="74"/>
      <c r="Q143" s="246">
        <f t="shared" ref="Q143" si="914">(P143/100)*1000</f>
        <v>0</v>
      </c>
      <c r="R143" s="74"/>
      <c r="S143" s="246">
        <f t="shared" ref="S143" si="915">(R143/100)*1000</f>
        <v>0</v>
      </c>
      <c r="T143" s="74"/>
      <c r="U143" s="246">
        <f t="shared" ref="U143" si="916">(T143/100)*1000</f>
        <v>0</v>
      </c>
      <c r="V143" s="74"/>
      <c r="W143" s="246">
        <f t="shared" ref="W143" si="917">(V143/100)*1000</f>
        <v>0</v>
      </c>
      <c r="X143" s="74"/>
      <c r="Y143" s="246">
        <f t="shared" ref="Y143" si="918">(X143/100)*1000</f>
        <v>0</v>
      </c>
      <c r="Z143" s="74"/>
      <c r="AA143" s="246">
        <f t="shared" ref="AA143" si="919">(Z143/100)*1000</f>
        <v>0</v>
      </c>
      <c r="AB143" s="74"/>
      <c r="AC143" s="246">
        <f t="shared" ref="AC143" si="920">(AB143/100)*1000</f>
        <v>0</v>
      </c>
      <c r="AD143" s="74"/>
      <c r="AE143" s="246">
        <f t="shared" ref="AE143" si="921">(AD143/100)*1000</f>
        <v>0</v>
      </c>
    </row>
    <row r="144" spans="1:31" ht="18.75" customHeight="1" outlineLevel="1">
      <c r="A144" s="377" t="str">
        <f t="shared" si="831"/>
        <v>8103 TOP UP (5KG)</v>
      </c>
      <c r="B144" s="74"/>
      <c r="C144" s="375">
        <f t="shared" si="577"/>
        <v>0</v>
      </c>
      <c r="D144" s="74"/>
      <c r="E144" s="375">
        <f t="shared" si="577"/>
        <v>0</v>
      </c>
      <c r="F144" s="74"/>
      <c r="G144" s="375">
        <f t="shared" si="578"/>
        <v>0</v>
      </c>
      <c r="H144" s="74"/>
      <c r="I144" s="375">
        <f t="shared" si="579"/>
        <v>0</v>
      </c>
      <c r="J144" s="74"/>
      <c r="K144" s="375">
        <f t="shared" si="580"/>
        <v>0</v>
      </c>
      <c r="L144" s="74"/>
      <c r="M144" s="375">
        <f t="shared" si="581"/>
        <v>0</v>
      </c>
      <c r="N144" s="74"/>
      <c r="O144" s="375">
        <f t="shared" si="582"/>
        <v>0</v>
      </c>
      <c r="P144" s="74"/>
      <c r="Q144" s="375">
        <f t="shared" ref="Q144:Q165" si="922">(P144/100)*1000</f>
        <v>0</v>
      </c>
      <c r="R144" s="74"/>
      <c r="S144" s="375">
        <f t="shared" ref="S144:S165" si="923">(R144/100)*1000</f>
        <v>0</v>
      </c>
      <c r="T144" s="74"/>
      <c r="U144" s="375">
        <f t="shared" ref="U144:U165" si="924">(T144/100)*1000</f>
        <v>0</v>
      </c>
      <c r="V144" s="74"/>
      <c r="W144" s="375">
        <f t="shared" ref="W144:W165" si="925">(V144/100)*1000</f>
        <v>0</v>
      </c>
      <c r="X144" s="74"/>
      <c r="Y144" s="375">
        <f t="shared" ref="Y144:Y165" si="926">(X144/100)*1000</f>
        <v>0</v>
      </c>
      <c r="Z144" s="74"/>
      <c r="AA144" s="375">
        <f t="shared" ref="AA144:AA165" si="927">(Z144/100)*1000</f>
        <v>0</v>
      </c>
      <c r="AB144" s="74"/>
      <c r="AC144" s="375">
        <f t="shared" ref="AC144:AC165" si="928">(AB144/100)*1000</f>
        <v>0</v>
      </c>
      <c r="AD144" s="74"/>
      <c r="AE144" s="375">
        <f t="shared" ref="AE144:AE165" si="929">(AD144/100)*1000</f>
        <v>0</v>
      </c>
    </row>
    <row r="145" spans="1:31" ht="18.75" customHeight="1" outlineLevel="1">
      <c r="A145" s="377" t="str">
        <f t="shared" si="831"/>
        <v>L-ARGININE</v>
      </c>
      <c r="B145" s="74"/>
      <c r="C145" s="375">
        <f t="shared" si="577"/>
        <v>0</v>
      </c>
      <c r="D145" s="74"/>
      <c r="E145" s="375">
        <f t="shared" si="577"/>
        <v>0</v>
      </c>
      <c r="F145" s="74"/>
      <c r="G145" s="375">
        <f t="shared" si="577"/>
        <v>0</v>
      </c>
      <c r="H145" s="74"/>
      <c r="I145" s="375">
        <f t="shared" si="577"/>
        <v>0</v>
      </c>
      <c r="J145" s="74"/>
      <c r="K145" s="375">
        <f t="shared" ref="K145:K166" si="930">(J145/100)*1000</f>
        <v>0</v>
      </c>
      <c r="L145" s="74"/>
      <c r="M145" s="375">
        <f t="shared" ref="M145:M166" si="931">(L145/100)*1000</f>
        <v>0</v>
      </c>
      <c r="N145" s="74"/>
      <c r="O145" s="375">
        <f t="shared" ref="O145:O166" si="932">(N145/100)*1000</f>
        <v>0</v>
      </c>
      <c r="P145" s="74"/>
      <c r="Q145" s="375">
        <f t="shared" si="922"/>
        <v>0</v>
      </c>
      <c r="R145" s="74"/>
      <c r="S145" s="375">
        <f t="shared" si="923"/>
        <v>0</v>
      </c>
      <c r="T145" s="74"/>
      <c r="U145" s="375">
        <f t="shared" si="924"/>
        <v>0</v>
      </c>
      <c r="V145" s="74"/>
      <c r="W145" s="375">
        <f t="shared" si="925"/>
        <v>0</v>
      </c>
      <c r="X145" s="74"/>
      <c r="Y145" s="375">
        <f t="shared" si="926"/>
        <v>0</v>
      </c>
      <c r="Z145" s="74"/>
      <c r="AA145" s="375">
        <f t="shared" si="927"/>
        <v>0</v>
      </c>
      <c r="AB145" s="74"/>
      <c r="AC145" s="375">
        <f t="shared" si="928"/>
        <v>0</v>
      </c>
      <c r="AD145" s="74"/>
      <c r="AE145" s="375">
        <f t="shared" si="929"/>
        <v>0</v>
      </c>
    </row>
    <row r="146" spans="1:31" ht="18.75" customHeight="1" outlineLevel="1">
      <c r="A146" s="377" t="str">
        <f t="shared" si="831"/>
        <v>DL-METHIONINE</v>
      </c>
      <c r="B146" s="74"/>
      <c r="C146" s="375">
        <f t="shared" ref="C146:C167" si="933">(B146/100)*1000</f>
        <v>0</v>
      </c>
      <c r="D146" s="74"/>
      <c r="E146" s="375">
        <f t="shared" si="577"/>
        <v>0</v>
      </c>
      <c r="F146" s="74"/>
      <c r="G146" s="375">
        <f t="shared" si="577"/>
        <v>0</v>
      </c>
      <c r="H146" s="74"/>
      <c r="I146" s="375">
        <f t="shared" si="577"/>
        <v>0</v>
      </c>
      <c r="J146" s="74"/>
      <c r="K146" s="375">
        <f t="shared" si="930"/>
        <v>0</v>
      </c>
      <c r="L146" s="74"/>
      <c r="M146" s="375">
        <f t="shared" si="931"/>
        <v>0</v>
      </c>
      <c r="N146" s="74"/>
      <c r="O146" s="375">
        <f t="shared" si="932"/>
        <v>0</v>
      </c>
      <c r="P146" s="74"/>
      <c r="Q146" s="375">
        <f t="shared" si="922"/>
        <v>0</v>
      </c>
      <c r="R146" s="74"/>
      <c r="S146" s="375">
        <f t="shared" si="923"/>
        <v>0</v>
      </c>
      <c r="T146" s="74"/>
      <c r="U146" s="375">
        <f t="shared" si="924"/>
        <v>0</v>
      </c>
      <c r="V146" s="74"/>
      <c r="W146" s="375">
        <f t="shared" si="925"/>
        <v>0</v>
      </c>
      <c r="X146" s="74"/>
      <c r="Y146" s="375">
        <f t="shared" si="926"/>
        <v>0</v>
      </c>
      <c r="Z146" s="74"/>
      <c r="AA146" s="375">
        <f t="shared" si="927"/>
        <v>0</v>
      </c>
      <c r="AB146" s="74"/>
      <c r="AC146" s="375">
        <f t="shared" si="928"/>
        <v>0</v>
      </c>
      <c r="AD146" s="74"/>
      <c r="AE146" s="375">
        <f t="shared" si="929"/>
        <v>0</v>
      </c>
    </row>
    <row r="147" spans="1:31" ht="18.75" customHeight="1" outlineLevel="1">
      <c r="A147" s="377" t="str">
        <f t="shared" si="831"/>
        <v>L-THREONINE</v>
      </c>
      <c r="B147" s="74"/>
      <c r="C147" s="375">
        <f t="shared" si="933"/>
        <v>0</v>
      </c>
      <c r="D147" s="74"/>
      <c r="E147" s="375">
        <f t="shared" ref="E147:E168" si="934">(D147/100)*1000</f>
        <v>0</v>
      </c>
      <c r="F147" s="74"/>
      <c r="G147" s="375">
        <f t="shared" ref="G147:G168" si="935">(F147/100)*1000</f>
        <v>0</v>
      </c>
      <c r="H147" s="74"/>
      <c r="I147" s="375">
        <f t="shared" ref="I147:I168" si="936">(H147/100)*1000</f>
        <v>0</v>
      </c>
      <c r="J147" s="74"/>
      <c r="K147" s="375">
        <f t="shared" si="930"/>
        <v>0</v>
      </c>
      <c r="L147" s="74"/>
      <c r="M147" s="375">
        <f t="shared" si="931"/>
        <v>0</v>
      </c>
      <c r="N147" s="74"/>
      <c r="O147" s="375">
        <f t="shared" si="932"/>
        <v>0</v>
      </c>
      <c r="P147" s="74"/>
      <c r="Q147" s="375">
        <f t="shared" si="922"/>
        <v>0</v>
      </c>
      <c r="R147" s="74"/>
      <c r="S147" s="375">
        <f t="shared" si="923"/>
        <v>0</v>
      </c>
      <c r="T147" s="74"/>
      <c r="U147" s="375">
        <f t="shared" si="924"/>
        <v>0</v>
      </c>
      <c r="V147" s="74"/>
      <c r="W147" s="375">
        <f t="shared" si="925"/>
        <v>0</v>
      </c>
      <c r="X147" s="74"/>
      <c r="Y147" s="375">
        <f t="shared" si="926"/>
        <v>0</v>
      </c>
      <c r="Z147" s="74"/>
      <c r="AA147" s="375">
        <f t="shared" si="927"/>
        <v>0</v>
      </c>
      <c r="AB147" s="74"/>
      <c r="AC147" s="375">
        <f t="shared" si="928"/>
        <v>0</v>
      </c>
      <c r="AD147" s="74"/>
      <c r="AE147" s="375">
        <f t="shared" si="929"/>
        <v>0</v>
      </c>
    </row>
    <row r="148" spans="1:31" ht="18.75" customHeight="1" outlineLevel="1">
      <c r="A148" s="377" t="str">
        <f t="shared" si="831"/>
        <v>L-LYSINE</v>
      </c>
      <c r="B148" s="74"/>
      <c r="C148" s="375">
        <f t="shared" si="933"/>
        <v>0</v>
      </c>
      <c r="D148" s="74"/>
      <c r="E148" s="375">
        <f t="shared" si="934"/>
        <v>0</v>
      </c>
      <c r="F148" s="74"/>
      <c r="G148" s="375">
        <f t="shared" si="935"/>
        <v>0</v>
      </c>
      <c r="H148" s="74"/>
      <c r="I148" s="375">
        <f t="shared" si="936"/>
        <v>0</v>
      </c>
      <c r="J148" s="74"/>
      <c r="K148" s="375">
        <f t="shared" si="930"/>
        <v>0</v>
      </c>
      <c r="L148" s="74"/>
      <c r="M148" s="375">
        <f t="shared" si="931"/>
        <v>0</v>
      </c>
      <c r="N148" s="74"/>
      <c r="O148" s="375">
        <f t="shared" si="932"/>
        <v>0</v>
      </c>
      <c r="P148" s="74"/>
      <c r="Q148" s="375">
        <f t="shared" si="922"/>
        <v>0</v>
      </c>
      <c r="R148" s="74"/>
      <c r="S148" s="375">
        <f t="shared" si="923"/>
        <v>0</v>
      </c>
      <c r="T148" s="74"/>
      <c r="U148" s="375">
        <f t="shared" si="924"/>
        <v>0</v>
      </c>
      <c r="V148" s="74"/>
      <c r="W148" s="375">
        <f t="shared" si="925"/>
        <v>0</v>
      </c>
      <c r="X148" s="74"/>
      <c r="Y148" s="375">
        <f t="shared" si="926"/>
        <v>0</v>
      </c>
      <c r="Z148" s="74"/>
      <c r="AA148" s="375">
        <f t="shared" si="927"/>
        <v>0</v>
      </c>
      <c r="AB148" s="74"/>
      <c r="AC148" s="375">
        <f t="shared" si="928"/>
        <v>0</v>
      </c>
      <c r="AD148" s="74"/>
      <c r="AE148" s="375">
        <f t="shared" si="929"/>
        <v>0</v>
      </c>
    </row>
    <row r="149" spans="1:31" ht="18.75" customHeight="1" outlineLevel="1">
      <c r="A149" s="377" t="str">
        <f t="shared" si="831"/>
        <v>FAECES DRY</v>
      </c>
      <c r="B149" s="74"/>
      <c r="C149" s="375">
        <f t="shared" si="933"/>
        <v>0</v>
      </c>
      <c r="D149" s="74"/>
      <c r="E149" s="375">
        <f t="shared" si="934"/>
        <v>0</v>
      </c>
      <c r="F149" s="74"/>
      <c r="G149" s="375">
        <f t="shared" si="935"/>
        <v>0</v>
      </c>
      <c r="H149" s="74"/>
      <c r="I149" s="375">
        <f t="shared" si="936"/>
        <v>0</v>
      </c>
      <c r="J149" s="74"/>
      <c r="K149" s="375">
        <f t="shared" si="930"/>
        <v>0</v>
      </c>
      <c r="L149" s="74"/>
      <c r="M149" s="375">
        <f t="shared" si="931"/>
        <v>0</v>
      </c>
      <c r="N149" s="74"/>
      <c r="O149" s="375">
        <f t="shared" si="932"/>
        <v>0</v>
      </c>
      <c r="P149" s="74"/>
      <c r="Q149" s="375">
        <f t="shared" si="922"/>
        <v>0</v>
      </c>
      <c r="R149" s="74"/>
      <c r="S149" s="375">
        <f t="shared" si="923"/>
        <v>0</v>
      </c>
      <c r="T149" s="74"/>
      <c r="U149" s="375">
        <f t="shared" si="924"/>
        <v>0</v>
      </c>
      <c r="V149" s="74"/>
      <c r="W149" s="375">
        <f t="shared" si="925"/>
        <v>0</v>
      </c>
      <c r="X149" s="74"/>
      <c r="Y149" s="375">
        <f t="shared" si="926"/>
        <v>0</v>
      </c>
      <c r="Z149" s="74"/>
      <c r="AA149" s="375">
        <f t="shared" si="927"/>
        <v>0</v>
      </c>
      <c r="AB149" s="74"/>
      <c r="AC149" s="375">
        <f t="shared" si="928"/>
        <v>0</v>
      </c>
      <c r="AD149" s="74"/>
      <c r="AE149" s="375">
        <f t="shared" si="929"/>
        <v>0</v>
      </c>
    </row>
    <row r="150" spans="1:31" ht="18.75" customHeight="1" outlineLevel="1">
      <c r="A150" s="377" t="str">
        <f t="shared" si="831"/>
        <v>ECOBIOL</v>
      </c>
      <c r="B150" s="74"/>
      <c r="C150" s="375">
        <f t="shared" si="933"/>
        <v>0</v>
      </c>
      <c r="D150" s="74"/>
      <c r="E150" s="375">
        <f t="shared" si="934"/>
        <v>0</v>
      </c>
      <c r="F150" s="74"/>
      <c r="G150" s="375">
        <f t="shared" si="935"/>
        <v>0</v>
      </c>
      <c r="H150" s="74"/>
      <c r="I150" s="375">
        <f t="shared" si="936"/>
        <v>0</v>
      </c>
      <c r="J150" s="74"/>
      <c r="K150" s="375">
        <f t="shared" si="930"/>
        <v>0</v>
      </c>
      <c r="L150" s="74"/>
      <c r="M150" s="375">
        <f t="shared" si="931"/>
        <v>0</v>
      </c>
      <c r="N150" s="74"/>
      <c r="O150" s="375">
        <f t="shared" si="932"/>
        <v>0</v>
      </c>
      <c r="P150" s="74"/>
      <c r="Q150" s="375">
        <f t="shared" si="922"/>
        <v>0</v>
      </c>
      <c r="R150" s="74"/>
      <c r="S150" s="375">
        <f t="shared" si="923"/>
        <v>0</v>
      </c>
      <c r="T150" s="74"/>
      <c r="U150" s="375">
        <f t="shared" si="924"/>
        <v>0</v>
      </c>
      <c r="V150" s="74"/>
      <c r="W150" s="375">
        <f t="shared" si="925"/>
        <v>0</v>
      </c>
      <c r="X150" s="74"/>
      <c r="Y150" s="375">
        <f t="shared" si="926"/>
        <v>0</v>
      </c>
      <c r="Z150" s="74"/>
      <c r="AA150" s="375">
        <f t="shared" si="927"/>
        <v>0</v>
      </c>
      <c r="AB150" s="74"/>
      <c r="AC150" s="375">
        <f t="shared" si="928"/>
        <v>0</v>
      </c>
      <c r="AD150" s="74"/>
      <c r="AE150" s="375">
        <f t="shared" si="929"/>
        <v>0</v>
      </c>
    </row>
    <row r="151" spans="1:31" ht="18.75" customHeight="1" outlineLevel="1">
      <c r="A151" s="377" t="str">
        <f t="shared" si="831"/>
        <v>ADDITIVE BROILER IMMUNE</v>
      </c>
      <c r="B151" s="74"/>
      <c r="C151" s="375">
        <f t="shared" si="933"/>
        <v>0</v>
      </c>
      <c r="D151" s="74"/>
      <c r="E151" s="375">
        <f t="shared" si="934"/>
        <v>0</v>
      </c>
      <c r="F151" s="74"/>
      <c r="G151" s="375">
        <f t="shared" si="935"/>
        <v>0</v>
      </c>
      <c r="H151" s="74"/>
      <c r="I151" s="375">
        <f t="shared" si="936"/>
        <v>0</v>
      </c>
      <c r="J151" s="74"/>
      <c r="K151" s="375">
        <f t="shared" si="930"/>
        <v>0</v>
      </c>
      <c r="L151" s="74"/>
      <c r="M151" s="375">
        <f t="shared" si="931"/>
        <v>0</v>
      </c>
      <c r="N151" s="74"/>
      <c r="O151" s="375">
        <f t="shared" si="932"/>
        <v>0</v>
      </c>
      <c r="P151" s="74"/>
      <c r="Q151" s="375">
        <f t="shared" si="922"/>
        <v>0</v>
      </c>
      <c r="R151" s="74"/>
      <c r="S151" s="375">
        <f t="shared" si="923"/>
        <v>0</v>
      </c>
      <c r="T151" s="74"/>
      <c r="U151" s="375">
        <f t="shared" si="924"/>
        <v>0</v>
      </c>
      <c r="V151" s="74"/>
      <c r="W151" s="375">
        <f t="shared" si="925"/>
        <v>0</v>
      </c>
      <c r="X151" s="74"/>
      <c r="Y151" s="375">
        <f t="shared" si="926"/>
        <v>0</v>
      </c>
      <c r="Z151" s="74"/>
      <c r="AA151" s="375">
        <f t="shared" si="927"/>
        <v>0</v>
      </c>
      <c r="AB151" s="74"/>
      <c r="AC151" s="375">
        <f t="shared" si="928"/>
        <v>0</v>
      </c>
      <c r="AD151" s="74"/>
      <c r="AE151" s="375">
        <f t="shared" si="929"/>
        <v>0</v>
      </c>
    </row>
    <row r="152" spans="1:31" ht="18.75" customHeight="1" outlineLevel="1">
      <c r="A152" s="377" t="str">
        <f t="shared" si="831"/>
        <v>MASTER CUBE (HARUMI)</v>
      </c>
      <c r="B152" s="74"/>
      <c r="C152" s="375">
        <f t="shared" si="933"/>
        <v>0</v>
      </c>
      <c r="D152" s="74"/>
      <c r="E152" s="375">
        <f t="shared" si="934"/>
        <v>0</v>
      </c>
      <c r="F152" s="74"/>
      <c r="G152" s="375">
        <f t="shared" si="935"/>
        <v>0</v>
      </c>
      <c r="H152" s="74"/>
      <c r="I152" s="375">
        <f t="shared" si="936"/>
        <v>0</v>
      </c>
      <c r="J152" s="74"/>
      <c r="K152" s="375">
        <f t="shared" si="930"/>
        <v>0</v>
      </c>
      <c r="L152" s="74"/>
      <c r="M152" s="375">
        <f t="shared" si="931"/>
        <v>0</v>
      </c>
      <c r="N152" s="74"/>
      <c r="O152" s="375">
        <f t="shared" si="932"/>
        <v>0</v>
      </c>
      <c r="P152" s="74"/>
      <c r="Q152" s="375">
        <f t="shared" si="922"/>
        <v>0</v>
      </c>
      <c r="R152" s="74"/>
      <c r="S152" s="375">
        <f t="shared" si="923"/>
        <v>0</v>
      </c>
      <c r="T152" s="74"/>
      <c r="U152" s="375">
        <f t="shared" si="924"/>
        <v>0</v>
      </c>
      <c r="V152" s="74"/>
      <c r="W152" s="375">
        <f t="shared" si="925"/>
        <v>0</v>
      </c>
      <c r="X152" s="74"/>
      <c r="Y152" s="375">
        <f t="shared" si="926"/>
        <v>0</v>
      </c>
      <c r="Z152" s="74"/>
      <c r="AA152" s="375">
        <f t="shared" si="927"/>
        <v>0</v>
      </c>
      <c r="AB152" s="74"/>
      <c r="AC152" s="375">
        <f t="shared" si="928"/>
        <v>0</v>
      </c>
      <c r="AD152" s="74"/>
      <c r="AE152" s="375">
        <f t="shared" si="929"/>
        <v>0</v>
      </c>
    </row>
    <row r="153" spans="1:31" ht="18.75" customHeight="1" outlineLevel="1">
      <c r="A153" s="377" t="str">
        <f t="shared" si="831"/>
        <v>1101 TOP UP (0.40KG)</v>
      </c>
      <c r="B153" s="74"/>
      <c r="C153" s="375">
        <f t="shared" si="933"/>
        <v>0</v>
      </c>
      <c r="D153" s="74"/>
      <c r="E153" s="375">
        <f t="shared" si="934"/>
        <v>0</v>
      </c>
      <c r="F153" s="74"/>
      <c r="G153" s="375">
        <f t="shared" si="935"/>
        <v>0</v>
      </c>
      <c r="H153" s="74"/>
      <c r="I153" s="375">
        <f t="shared" si="936"/>
        <v>0</v>
      </c>
      <c r="J153" s="74"/>
      <c r="K153" s="375">
        <f t="shared" si="930"/>
        <v>0</v>
      </c>
      <c r="L153" s="74"/>
      <c r="M153" s="375">
        <f t="shared" si="931"/>
        <v>0</v>
      </c>
      <c r="N153" s="74"/>
      <c r="O153" s="375">
        <f t="shared" si="932"/>
        <v>0</v>
      </c>
      <c r="P153" s="74"/>
      <c r="Q153" s="375">
        <f t="shared" si="922"/>
        <v>0</v>
      </c>
      <c r="R153" s="74"/>
      <c r="S153" s="375">
        <f t="shared" si="923"/>
        <v>0</v>
      </c>
      <c r="T153" s="74"/>
      <c r="U153" s="375">
        <f t="shared" si="924"/>
        <v>0</v>
      </c>
      <c r="V153" s="74"/>
      <c r="W153" s="375">
        <f t="shared" si="925"/>
        <v>0</v>
      </c>
      <c r="X153" s="74"/>
      <c r="Y153" s="375">
        <f t="shared" si="926"/>
        <v>0</v>
      </c>
      <c r="Z153" s="74"/>
      <c r="AA153" s="375">
        <f t="shared" si="927"/>
        <v>0</v>
      </c>
      <c r="AB153" s="74"/>
      <c r="AC153" s="375">
        <f t="shared" si="928"/>
        <v>0</v>
      </c>
      <c r="AD153" s="74"/>
      <c r="AE153" s="375">
        <f t="shared" si="929"/>
        <v>0</v>
      </c>
    </row>
    <row r="154" spans="1:31" ht="18.75" customHeight="1" outlineLevel="1">
      <c r="A154" s="377" t="str">
        <f t="shared" si="831"/>
        <v>1102 TOP UP (0.60KG)</v>
      </c>
      <c r="B154" s="74"/>
      <c r="C154" s="375">
        <f t="shared" si="933"/>
        <v>0</v>
      </c>
      <c r="D154" s="74"/>
      <c r="E154" s="375">
        <f t="shared" si="934"/>
        <v>0</v>
      </c>
      <c r="F154" s="74"/>
      <c r="G154" s="375">
        <f t="shared" si="935"/>
        <v>0</v>
      </c>
      <c r="H154" s="74"/>
      <c r="I154" s="375">
        <f t="shared" si="936"/>
        <v>0</v>
      </c>
      <c r="J154" s="74"/>
      <c r="K154" s="375">
        <f t="shared" si="930"/>
        <v>0</v>
      </c>
      <c r="L154" s="74"/>
      <c r="M154" s="375">
        <f t="shared" si="931"/>
        <v>0</v>
      </c>
      <c r="N154" s="74"/>
      <c r="O154" s="375">
        <f t="shared" si="932"/>
        <v>0</v>
      </c>
      <c r="P154" s="74"/>
      <c r="Q154" s="375">
        <f t="shared" si="922"/>
        <v>0</v>
      </c>
      <c r="R154" s="74"/>
      <c r="S154" s="375">
        <f t="shared" si="923"/>
        <v>0</v>
      </c>
      <c r="T154" s="74"/>
      <c r="U154" s="375">
        <f t="shared" si="924"/>
        <v>0</v>
      </c>
      <c r="V154" s="74"/>
      <c r="W154" s="375">
        <f t="shared" si="925"/>
        <v>0</v>
      </c>
      <c r="X154" s="74"/>
      <c r="Y154" s="375">
        <f t="shared" si="926"/>
        <v>0</v>
      </c>
      <c r="Z154" s="74"/>
      <c r="AA154" s="375">
        <f t="shared" si="927"/>
        <v>0</v>
      </c>
      <c r="AB154" s="74"/>
      <c r="AC154" s="375">
        <f t="shared" si="928"/>
        <v>0</v>
      </c>
      <c r="AD154" s="74"/>
      <c r="AE154" s="375">
        <f t="shared" si="929"/>
        <v>0</v>
      </c>
    </row>
    <row r="155" spans="1:31" ht="18.75" customHeight="1" outlineLevel="1">
      <c r="A155" s="377" t="str">
        <f t="shared" si="831"/>
        <v>1103 TOP UP (2.00KG)</v>
      </c>
      <c r="B155" s="74"/>
      <c r="C155" s="375">
        <f t="shared" si="933"/>
        <v>0</v>
      </c>
      <c r="D155" s="74"/>
      <c r="E155" s="375">
        <f t="shared" si="934"/>
        <v>0</v>
      </c>
      <c r="F155" s="74"/>
      <c r="G155" s="375">
        <f t="shared" si="935"/>
        <v>0</v>
      </c>
      <c r="H155" s="74"/>
      <c r="I155" s="375">
        <f t="shared" si="936"/>
        <v>0</v>
      </c>
      <c r="J155" s="74"/>
      <c r="K155" s="375">
        <f t="shared" si="930"/>
        <v>0</v>
      </c>
      <c r="L155" s="74"/>
      <c r="M155" s="375">
        <f t="shared" si="931"/>
        <v>0</v>
      </c>
      <c r="N155" s="74"/>
      <c r="O155" s="375">
        <f t="shared" si="932"/>
        <v>0</v>
      </c>
      <c r="P155" s="74"/>
      <c r="Q155" s="375">
        <f t="shared" si="922"/>
        <v>0</v>
      </c>
      <c r="R155" s="74"/>
      <c r="S155" s="375">
        <f t="shared" si="923"/>
        <v>0</v>
      </c>
      <c r="T155" s="74"/>
      <c r="U155" s="375">
        <f t="shared" si="924"/>
        <v>0</v>
      </c>
      <c r="V155" s="74"/>
      <c r="W155" s="375">
        <f t="shared" si="925"/>
        <v>0</v>
      </c>
      <c r="X155" s="74"/>
      <c r="Y155" s="375">
        <f t="shared" si="926"/>
        <v>0</v>
      </c>
      <c r="Z155" s="74"/>
      <c r="AA155" s="375">
        <f t="shared" si="927"/>
        <v>0</v>
      </c>
      <c r="AB155" s="74"/>
      <c r="AC155" s="375">
        <f t="shared" si="928"/>
        <v>0</v>
      </c>
      <c r="AD155" s="74"/>
      <c r="AE155" s="375">
        <f t="shared" si="929"/>
        <v>0</v>
      </c>
    </row>
    <row r="156" spans="1:31" ht="18.75" customHeight="1" outlineLevel="1">
      <c r="A156" s="377" t="str">
        <f t="shared" si="831"/>
        <v>QUANTUM GLO 4%</v>
      </c>
      <c r="B156" s="74"/>
      <c r="C156" s="375">
        <f t="shared" si="933"/>
        <v>0</v>
      </c>
      <c r="D156" s="74"/>
      <c r="E156" s="375">
        <f t="shared" si="934"/>
        <v>0</v>
      </c>
      <c r="F156" s="74"/>
      <c r="G156" s="375">
        <f t="shared" si="935"/>
        <v>0</v>
      </c>
      <c r="H156" s="74"/>
      <c r="I156" s="375">
        <f t="shared" si="936"/>
        <v>0</v>
      </c>
      <c r="J156" s="74"/>
      <c r="K156" s="375">
        <f t="shared" si="930"/>
        <v>0</v>
      </c>
      <c r="L156" s="74"/>
      <c r="M156" s="375">
        <f t="shared" si="931"/>
        <v>0</v>
      </c>
      <c r="N156" s="74"/>
      <c r="O156" s="375">
        <f t="shared" si="932"/>
        <v>0</v>
      </c>
      <c r="P156" s="74"/>
      <c r="Q156" s="375">
        <f t="shared" si="922"/>
        <v>0</v>
      </c>
      <c r="R156" s="74"/>
      <c r="S156" s="375">
        <f t="shared" si="923"/>
        <v>0</v>
      </c>
      <c r="T156" s="74"/>
      <c r="U156" s="375">
        <f t="shared" si="924"/>
        <v>0</v>
      </c>
      <c r="V156" s="74"/>
      <c r="W156" s="375">
        <f t="shared" si="925"/>
        <v>0</v>
      </c>
      <c r="X156" s="74"/>
      <c r="Y156" s="375">
        <f t="shared" si="926"/>
        <v>0</v>
      </c>
      <c r="Z156" s="74"/>
      <c r="AA156" s="375">
        <f t="shared" si="927"/>
        <v>0</v>
      </c>
      <c r="AB156" s="74"/>
      <c r="AC156" s="375">
        <f t="shared" si="928"/>
        <v>0</v>
      </c>
      <c r="AD156" s="74"/>
      <c r="AE156" s="375">
        <f t="shared" si="929"/>
        <v>0</v>
      </c>
    </row>
    <row r="157" spans="1:31" ht="18.75" customHeight="1" outlineLevel="1">
      <c r="A157" s="377" t="str">
        <f t="shared" si="831"/>
        <v>SALT</v>
      </c>
      <c r="B157" s="74"/>
      <c r="C157" s="375">
        <f t="shared" si="933"/>
        <v>0</v>
      </c>
      <c r="D157" s="74"/>
      <c r="E157" s="375">
        <f t="shared" si="934"/>
        <v>0</v>
      </c>
      <c r="F157" s="74"/>
      <c r="G157" s="375">
        <f t="shared" si="935"/>
        <v>0</v>
      </c>
      <c r="H157" s="74"/>
      <c r="I157" s="375">
        <f t="shared" si="936"/>
        <v>0</v>
      </c>
      <c r="J157" s="74"/>
      <c r="K157" s="375">
        <f t="shared" si="930"/>
        <v>0</v>
      </c>
      <c r="L157" s="74"/>
      <c r="M157" s="375">
        <f t="shared" si="931"/>
        <v>0</v>
      </c>
      <c r="N157" s="74"/>
      <c r="O157" s="375">
        <f t="shared" si="932"/>
        <v>0</v>
      </c>
      <c r="P157" s="74"/>
      <c r="Q157" s="375">
        <f t="shared" si="922"/>
        <v>0</v>
      </c>
      <c r="R157" s="74"/>
      <c r="S157" s="375">
        <f t="shared" si="923"/>
        <v>0</v>
      </c>
      <c r="T157" s="74"/>
      <c r="U157" s="375">
        <f t="shared" si="924"/>
        <v>0</v>
      </c>
      <c r="V157" s="74"/>
      <c r="W157" s="375">
        <f t="shared" si="925"/>
        <v>0</v>
      </c>
      <c r="X157" s="74"/>
      <c r="Y157" s="375">
        <f t="shared" si="926"/>
        <v>0</v>
      </c>
      <c r="Z157" s="74"/>
      <c r="AA157" s="375">
        <f t="shared" si="927"/>
        <v>0</v>
      </c>
      <c r="AB157" s="74"/>
      <c r="AC157" s="375">
        <f t="shared" si="928"/>
        <v>0</v>
      </c>
      <c r="AD157" s="74"/>
      <c r="AE157" s="375">
        <f t="shared" si="929"/>
        <v>0</v>
      </c>
    </row>
    <row r="158" spans="1:31" ht="17.649999999999999" customHeight="1" outlineLevel="1">
      <c r="A158" s="377" t="str">
        <f t="shared" ref="A158:A170" si="937">A70</f>
        <v>OC 200 - OXYTET 20%</v>
      </c>
      <c r="B158" s="74"/>
      <c r="C158" s="375">
        <f t="shared" si="933"/>
        <v>0</v>
      </c>
      <c r="D158" s="74"/>
      <c r="E158" s="375">
        <f t="shared" si="934"/>
        <v>0</v>
      </c>
      <c r="F158" s="74"/>
      <c r="G158" s="375">
        <f t="shared" si="935"/>
        <v>0</v>
      </c>
      <c r="H158" s="74"/>
      <c r="I158" s="375">
        <f t="shared" si="936"/>
        <v>0</v>
      </c>
      <c r="J158" s="74"/>
      <c r="K158" s="375">
        <f t="shared" si="930"/>
        <v>0</v>
      </c>
      <c r="L158" s="74"/>
      <c r="M158" s="375">
        <f t="shared" si="931"/>
        <v>0</v>
      </c>
      <c r="N158" s="74"/>
      <c r="O158" s="375">
        <f t="shared" si="932"/>
        <v>0</v>
      </c>
      <c r="P158" s="74"/>
      <c r="Q158" s="375">
        <f t="shared" si="922"/>
        <v>0</v>
      </c>
      <c r="R158" s="74"/>
      <c r="S158" s="375">
        <f t="shared" si="923"/>
        <v>0</v>
      </c>
      <c r="T158" s="74"/>
      <c r="U158" s="375">
        <f t="shared" si="924"/>
        <v>0</v>
      </c>
      <c r="V158" s="74"/>
      <c r="W158" s="375">
        <f t="shared" si="925"/>
        <v>0</v>
      </c>
      <c r="X158" s="74"/>
      <c r="Y158" s="375">
        <f t="shared" si="926"/>
        <v>0</v>
      </c>
      <c r="Z158" s="74"/>
      <c r="AA158" s="375">
        <f t="shared" si="927"/>
        <v>0</v>
      </c>
      <c r="AB158" s="74"/>
      <c r="AC158" s="375">
        <f t="shared" si="928"/>
        <v>0</v>
      </c>
      <c r="AD158" s="74"/>
      <c r="AE158" s="375">
        <f t="shared" si="929"/>
        <v>0</v>
      </c>
    </row>
    <row r="159" spans="1:31" ht="17.649999999999999" customHeight="1" outlineLevel="1">
      <c r="A159" s="377">
        <f t="shared" si="937"/>
        <v>3</v>
      </c>
      <c r="B159" s="74"/>
      <c r="C159" s="246">
        <f t="shared" si="933"/>
        <v>0</v>
      </c>
      <c r="D159" s="74"/>
      <c r="E159" s="246">
        <f t="shared" si="934"/>
        <v>0</v>
      </c>
      <c r="F159" s="74"/>
      <c r="G159" s="246">
        <f t="shared" si="935"/>
        <v>0</v>
      </c>
      <c r="H159" s="74"/>
      <c r="I159" s="246">
        <f t="shared" si="936"/>
        <v>0</v>
      </c>
      <c r="J159" s="74"/>
      <c r="K159" s="246">
        <f t="shared" si="930"/>
        <v>0</v>
      </c>
      <c r="L159" s="74"/>
      <c r="M159" s="246">
        <f t="shared" si="931"/>
        <v>0</v>
      </c>
      <c r="N159" s="74"/>
      <c r="O159" s="246">
        <f t="shared" si="932"/>
        <v>0</v>
      </c>
      <c r="P159" s="74"/>
      <c r="Q159" s="246">
        <f t="shared" si="922"/>
        <v>0</v>
      </c>
      <c r="R159" s="74"/>
      <c r="S159" s="246">
        <f t="shared" si="923"/>
        <v>0</v>
      </c>
      <c r="T159" s="74"/>
      <c r="U159" s="246">
        <f t="shared" si="924"/>
        <v>0</v>
      </c>
      <c r="V159" s="74"/>
      <c r="W159" s="246">
        <f t="shared" si="925"/>
        <v>0</v>
      </c>
      <c r="X159" s="74"/>
      <c r="Y159" s="246">
        <f t="shared" si="926"/>
        <v>0</v>
      </c>
      <c r="Z159" s="74"/>
      <c r="AA159" s="246">
        <f t="shared" si="927"/>
        <v>0</v>
      </c>
      <c r="AB159" s="74"/>
      <c r="AC159" s="246">
        <f t="shared" si="928"/>
        <v>0</v>
      </c>
      <c r="AD159" s="74"/>
      <c r="AE159" s="246">
        <f t="shared" si="929"/>
        <v>0</v>
      </c>
    </row>
    <row r="160" spans="1:31" ht="17.649999999999999" customHeight="1" outlineLevel="1">
      <c r="A160" s="351">
        <f t="shared" si="937"/>
        <v>4</v>
      </c>
      <c r="B160" s="74"/>
      <c r="C160" s="246">
        <f t="shared" si="933"/>
        <v>0</v>
      </c>
      <c r="D160" s="74"/>
      <c r="E160" s="246">
        <f t="shared" si="934"/>
        <v>0</v>
      </c>
      <c r="F160" s="74"/>
      <c r="G160" s="246">
        <f t="shared" si="935"/>
        <v>0</v>
      </c>
      <c r="H160" s="74"/>
      <c r="I160" s="246">
        <f t="shared" si="936"/>
        <v>0</v>
      </c>
      <c r="J160" s="74"/>
      <c r="K160" s="246">
        <f t="shared" si="930"/>
        <v>0</v>
      </c>
      <c r="L160" s="74"/>
      <c r="M160" s="246">
        <f t="shared" si="931"/>
        <v>0</v>
      </c>
      <c r="N160" s="74"/>
      <c r="O160" s="246">
        <f t="shared" si="932"/>
        <v>0</v>
      </c>
      <c r="P160" s="74"/>
      <c r="Q160" s="246">
        <f t="shared" si="922"/>
        <v>0</v>
      </c>
      <c r="R160" s="74"/>
      <c r="S160" s="246">
        <f t="shared" si="923"/>
        <v>0</v>
      </c>
      <c r="T160" s="74"/>
      <c r="U160" s="246">
        <f t="shared" si="924"/>
        <v>0</v>
      </c>
      <c r="V160" s="74"/>
      <c r="W160" s="246">
        <f t="shared" si="925"/>
        <v>0</v>
      </c>
      <c r="X160" s="74"/>
      <c r="Y160" s="246">
        <f t="shared" si="926"/>
        <v>0</v>
      </c>
      <c r="Z160" s="74"/>
      <c r="AA160" s="246">
        <f t="shared" si="927"/>
        <v>0</v>
      </c>
      <c r="AB160" s="74"/>
      <c r="AC160" s="246">
        <f t="shared" si="928"/>
        <v>0</v>
      </c>
      <c r="AD160" s="74"/>
      <c r="AE160" s="246">
        <f t="shared" si="929"/>
        <v>0</v>
      </c>
    </row>
    <row r="161" spans="1:31" ht="17.649999999999999" customHeight="1" outlineLevel="1">
      <c r="A161" s="351" t="str">
        <f t="shared" si="937"/>
        <v>WOVEN BAG (1101) - BLUE 50KG</v>
      </c>
      <c r="B161" s="74"/>
      <c r="C161" s="246">
        <f t="shared" si="933"/>
        <v>0</v>
      </c>
      <c r="D161" s="74"/>
      <c r="E161" s="246">
        <f t="shared" si="934"/>
        <v>0</v>
      </c>
      <c r="F161" s="74"/>
      <c r="G161" s="246">
        <f t="shared" si="935"/>
        <v>0</v>
      </c>
      <c r="H161" s="74"/>
      <c r="I161" s="246">
        <f t="shared" si="936"/>
        <v>0</v>
      </c>
      <c r="J161" s="74"/>
      <c r="K161" s="246">
        <f t="shared" si="930"/>
        <v>0</v>
      </c>
      <c r="L161" s="74"/>
      <c r="M161" s="246">
        <f t="shared" si="931"/>
        <v>0</v>
      </c>
      <c r="N161" s="74"/>
      <c r="O161" s="246">
        <f t="shared" si="932"/>
        <v>0</v>
      </c>
      <c r="P161" s="74"/>
      <c r="Q161" s="246">
        <f t="shared" si="922"/>
        <v>0</v>
      </c>
      <c r="R161" s="74"/>
      <c r="S161" s="246">
        <f t="shared" si="923"/>
        <v>0</v>
      </c>
      <c r="T161" s="74"/>
      <c r="U161" s="246">
        <f t="shared" si="924"/>
        <v>0</v>
      </c>
      <c r="V161" s="74"/>
      <c r="W161" s="246">
        <f t="shared" si="925"/>
        <v>0</v>
      </c>
      <c r="X161" s="74"/>
      <c r="Y161" s="246">
        <f t="shared" si="926"/>
        <v>0</v>
      </c>
      <c r="Z161" s="74"/>
      <c r="AA161" s="246">
        <f t="shared" si="927"/>
        <v>0</v>
      </c>
      <c r="AB161" s="74"/>
      <c r="AC161" s="246">
        <f t="shared" si="928"/>
        <v>0</v>
      </c>
      <c r="AD161" s="74"/>
      <c r="AE161" s="246">
        <f t="shared" si="929"/>
        <v>0</v>
      </c>
    </row>
    <row r="162" spans="1:31" ht="17.649999999999999" customHeight="1" outlineLevel="1">
      <c r="A162" s="351" t="str">
        <f t="shared" si="937"/>
        <v>WOVEN BAG (1102) - GREEN 50KG</v>
      </c>
      <c r="B162" s="74"/>
      <c r="C162" s="246">
        <f t="shared" si="933"/>
        <v>0</v>
      </c>
      <c r="D162" s="74"/>
      <c r="E162" s="246">
        <f t="shared" si="934"/>
        <v>0</v>
      </c>
      <c r="F162" s="74"/>
      <c r="G162" s="246">
        <f t="shared" si="935"/>
        <v>0</v>
      </c>
      <c r="H162" s="74"/>
      <c r="I162" s="246">
        <f t="shared" si="936"/>
        <v>0</v>
      </c>
      <c r="J162" s="74"/>
      <c r="K162" s="246">
        <f t="shared" si="930"/>
        <v>0</v>
      </c>
      <c r="L162" s="74"/>
      <c r="M162" s="246">
        <f t="shared" si="931"/>
        <v>0</v>
      </c>
      <c r="N162" s="74"/>
      <c r="O162" s="246">
        <f t="shared" si="932"/>
        <v>0</v>
      </c>
      <c r="P162" s="74"/>
      <c r="Q162" s="246">
        <f t="shared" si="922"/>
        <v>0</v>
      </c>
      <c r="R162" s="74"/>
      <c r="S162" s="246">
        <f t="shared" si="923"/>
        <v>0</v>
      </c>
      <c r="T162" s="74"/>
      <c r="U162" s="246">
        <f t="shared" si="924"/>
        <v>0</v>
      </c>
      <c r="V162" s="74"/>
      <c r="W162" s="246">
        <f t="shared" si="925"/>
        <v>0</v>
      </c>
      <c r="X162" s="74"/>
      <c r="Y162" s="246">
        <f t="shared" si="926"/>
        <v>0</v>
      </c>
      <c r="Z162" s="74"/>
      <c r="AA162" s="246">
        <f t="shared" si="927"/>
        <v>0</v>
      </c>
      <c r="AB162" s="74"/>
      <c r="AC162" s="246">
        <f t="shared" si="928"/>
        <v>0</v>
      </c>
      <c r="AD162" s="74"/>
      <c r="AE162" s="246">
        <f t="shared" si="929"/>
        <v>0</v>
      </c>
    </row>
    <row r="163" spans="1:31" ht="17.649999999999999" customHeight="1" outlineLevel="1">
      <c r="A163" s="351" t="str">
        <f t="shared" si="937"/>
        <v>WOVEN BAG (1103) - RED 50KG</v>
      </c>
      <c r="B163" s="74"/>
      <c r="C163" s="246">
        <f t="shared" si="933"/>
        <v>0</v>
      </c>
      <c r="D163" s="74"/>
      <c r="E163" s="246">
        <f t="shared" si="934"/>
        <v>0</v>
      </c>
      <c r="F163" s="74"/>
      <c r="G163" s="246">
        <f t="shared" si="935"/>
        <v>0</v>
      </c>
      <c r="H163" s="74"/>
      <c r="I163" s="246">
        <f t="shared" si="936"/>
        <v>0</v>
      </c>
      <c r="J163" s="74"/>
      <c r="K163" s="246">
        <f t="shared" si="930"/>
        <v>0</v>
      </c>
      <c r="L163" s="74"/>
      <c r="M163" s="246">
        <f t="shared" si="931"/>
        <v>0</v>
      </c>
      <c r="N163" s="74"/>
      <c r="O163" s="246">
        <f t="shared" si="932"/>
        <v>0</v>
      </c>
      <c r="P163" s="74"/>
      <c r="Q163" s="246">
        <f t="shared" si="922"/>
        <v>0</v>
      </c>
      <c r="R163" s="74"/>
      <c r="S163" s="246">
        <f t="shared" si="923"/>
        <v>0</v>
      </c>
      <c r="T163" s="74"/>
      <c r="U163" s="246">
        <f t="shared" si="924"/>
        <v>0</v>
      </c>
      <c r="V163" s="74"/>
      <c r="W163" s="246">
        <f t="shared" si="925"/>
        <v>0</v>
      </c>
      <c r="X163" s="74"/>
      <c r="Y163" s="246">
        <f t="shared" si="926"/>
        <v>0</v>
      </c>
      <c r="Z163" s="74"/>
      <c r="AA163" s="246">
        <f t="shared" si="927"/>
        <v>0</v>
      </c>
      <c r="AB163" s="74"/>
      <c r="AC163" s="246">
        <f t="shared" si="928"/>
        <v>0</v>
      </c>
      <c r="AD163" s="74"/>
      <c r="AE163" s="246">
        <f t="shared" si="929"/>
        <v>0</v>
      </c>
    </row>
    <row r="164" spans="1:31" ht="17.649999999999999" customHeight="1" outlineLevel="1">
      <c r="A164" s="351" t="str">
        <f t="shared" si="937"/>
        <v>PLAIN BAG 26" X 39" (50KG)</v>
      </c>
      <c r="B164" s="74"/>
      <c r="C164" s="246">
        <f t="shared" si="933"/>
        <v>0</v>
      </c>
      <c r="D164" s="74"/>
      <c r="E164" s="246">
        <f t="shared" si="934"/>
        <v>0</v>
      </c>
      <c r="F164" s="74"/>
      <c r="G164" s="246">
        <f t="shared" si="935"/>
        <v>0</v>
      </c>
      <c r="H164" s="74"/>
      <c r="I164" s="246">
        <f t="shared" si="936"/>
        <v>0</v>
      </c>
      <c r="J164" s="74"/>
      <c r="K164" s="246">
        <f t="shared" si="930"/>
        <v>0</v>
      </c>
      <c r="L164" s="74"/>
      <c r="M164" s="246">
        <f t="shared" si="931"/>
        <v>0</v>
      </c>
      <c r="N164" s="74"/>
      <c r="O164" s="246">
        <f t="shared" si="932"/>
        <v>0</v>
      </c>
      <c r="P164" s="74"/>
      <c r="Q164" s="246">
        <f t="shared" si="922"/>
        <v>0</v>
      </c>
      <c r="R164" s="74"/>
      <c r="S164" s="246">
        <f t="shared" si="923"/>
        <v>0</v>
      </c>
      <c r="T164" s="74"/>
      <c r="U164" s="246">
        <f t="shared" si="924"/>
        <v>0</v>
      </c>
      <c r="V164" s="74"/>
      <c r="W164" s="246">
        <f t="shared" si="925"/>
        <v>0</v>
      </c>
      <c r="X164" s="74"/>
      <c r="Y164" s="246">
        <f t="shared" si="926"/>
        <v>0</v>
      </c>
      <c r="Z164" s="74"/>
      <c r="AA164" s="246">
        <f t="shared" si="927"/>
        <v>0</v>
      </c>
      <c r="AB164" s="74"/>
      <c r="AC164" s="246">
        <f t="shared" si="928"/>
        <v>0</v>
      </c>
      <c r="AD164" s="74"/>
      <c r="AE164" s="246">
        <f t="shared" si="929"/>
        <v>0</v>
      </c>
    </row>
    <row r="165" spans="1:31" ht="17.649999999999999" customHeight="1" outlineLevel="1">
      <c r="A165" s="351" t="str">
        <f t="shared" si="937"/>
        <v>WOVEN BAG (8101) - KHAKI 50KG</v>
      </c>
      <c r="B165" s="74"/>
      <c r="C165" s="246">
        <f t="shared" si="933"/>
        <v>0</v>
      </c>
      <c r="D165" s="74"/>
      <c r="E165" s="246">
        <f t="shared" si="934"/>
        <v>0</v>
      </c>
      <c r="F165" s="74"/>
      <c r="G165" s="246">
        <f t="shared" si="935"/>
        <v>0</v>
      </c>
      <c r="H165" s="74"/>
      <c r="I165" s="246">
        <f t="shared" si="936"/>
        <v>0</v>
      </c>
      <c r="J165" s="74"/>
      <c r="K165" s="246">
        <f t="shared" si="930"/>
        <v>0</v>
      </c>
      <c r="L165" s="74"/>
      <c r="M165" s="246">
        <f t="shared" si="931"/>
        <v>0</v>
      </c>
      <c r="N165" s="74"/>
      <c r="O165" s="246">
        <f t="shared" si="932"/>
        <v>0</v>
      </c>
      <c r="P165" s="74"/>
      <c r="Q165" s="246">
        <f t="shared" si="922"/>
        <v>0</v>
      </c>
      <c r="R165" s="74"/>
      <c r="S165" s="246">
        <f t="shared" si="923"/>
        <v>0</v>
      </c>
      <c r="T165" s="74"/>
      <c r="U165" s="246">
        <f t="shared" si="924"/>
        <v>0</v>
      </c>
      <c r="V165" s="74"/>
      <c r="W165" s="246">
        <f t="shared" si="925"/>
        <v>0</v>
      </c>
      <c r="X165" s="74"/>
      <c r="Y165" s="246">
        <f t="shared" si="926"/>
        <v>0</v>
      </c>
      <c r="Z165" s="74"/>
      <c r="AA165" s="246">
        <f t="shared" si="927"/>
        <v>0</v>
      </c>
      <c r="AB165" s="74"/>
      <c r="AC165" s="246">
        <f t="shared" si="928"/>
        <v>0</v>
      </c>
      <c r="AD165" s="74"/>
      <c r="AE165" s="246">
        <f t="shared" si="929"/>
        <v>0</v>
      </c>
    </row>
    <row r="166" spans="1:31" ht="17.649999999999999" customHeight="1" outlineLevel="1">
      <c r="A166" s="351" t="str">
        <f t="shared" si="937"/>
        <v>WOVEN BAG (8102) - SKY BLUE 50KG</v>
      </c>
      <c r="B166" s="74"/>
      <c r="C166" s="375">
        <f t="shared" si="933"/>
        <v>0</v>
      </c>
      <c r="D166" s="74"/>
      <c r="E166" s="375">
        <f t="shared" si="934"/>
        <v>0</v>
      </c>
      <c r="F166" s="74"/>
      <c r="G166" s="375">
        <f t="shared" si="935"/>
        <v>0</v>
      </c>
      <c r="H166" s="74"/>
      <c r="I166" s="375">
        <f t="shared" si="936"/>
        <v>0</v>
      </c>
      <c r="J166" s="74"/>
      <c r="K166" s="375">
        <f t="shared" si="930"/>
        <v>0</v>
      </c>
      <c r="L166" s="74"/>
      <c r="M166" s="375">
        <f t="shared" si="931"/>
        <v>0</v>
      </c>
      <c r="N166" s="74"/>
      <c r="O166" s="375">
        <f t="shared" si="932"/>
        <v>0</v>
      </c>
      <c r="P166" s="74"/>
      <c r="Q166" s="375">
        <f t="shared" ref="Q166:Q175" si="938">(P166/100)*1000</f>
        <v>0</v>
      </c>
      <c r="R166" s="74"/>
      <c r="S166" s="375">
        <f t="shared" ref="S166:S175" si="939">(R166/100)*1000</f>
        <v>0</v>
      </c>
      <c r="T166" s="74"/>
      <c r="U166" s="375">
        <f t="shared" ref="U166:U175" si="940">(T166/100)*1000</f>
        <v>0</v>
      </c>
      <c r="V166" s="74"/>
      <c r="W166" s="375">
        <f t="shared" ref="W166:W175" si="941">(V166/100)*1000</f>
        <v>0</v>
      </c>
      <c r="X166" s="74"/>
      <c r="Y166" s="375">
        <f t="shared" ref="Y166:Y175" si="942">(X166/100)*1000</f>
        <v>0</v>
      </c>
      <c r="Z166" s="74"/>
      <c r="AA166" s="375">
        <f t="shared" ref="AA166:AA175" si="943">(Z166/100)*1000</f>
        <v>0</v>
      </c>
      <c r="AB166" s="74"/>
      <c r="AC166" s="375">
        <f t="shared" ref="AC166:AC175" si="944">(AB166/100)*1000</f>
        <v>0</v>
      </c>
      <c r="AD166" s="74"/>
      <c r="AE166" s="375">
        <f t="shared" ref="AE166:AE175" si="945">(AD166/100)*1000</f>
        <v>0</v>
      </c>
    </row>
    <row r="167" spans="1:31" ht="17.649999999999999" customHeight="1" outlineLevel="1">
      <c r="A167" s="351" t="str">
        <f t="shared" si="937"/>
        <v>WOVEN BAG (8103) - BROWN 50KG</v>
      </c>
      <c r="B167" s="74"/>
      <c r="C167" s="375">
        <f t="shared" si="933"/>
        <v>0</v>
      </c>
      <c r="D167" s="74"/>
      <c r="E167" s="375">
        <f t="shared" si="934"/>
        <v>0</v>
      </c>
      <c r="F167" s="74"/>
      <c r="G167" s="375">
        <f t="shared" si="935"/>
        <v>0</v>
      </c>
      <c r="H167" s="74"/>
      <c r="I167" s="375">
        <f t="shared" si="936"/>
        <v>0</v>
      </c>
      <c r="J167" s="74"/>
      <c r="K167" s="375">
        <f t="shared" ref="K167:K175" si="946">(J167/100)*1000</f>
        <v>0</v>
      </c>
      <c r="L167" s="74"/>
      <c r="M167" s="375">
        <f t="shared" ref="M167:M175" si="947">(L167/100)*1000</f>
        <v>0</v>
      </c>
      <c r="N167" s="74"/>
      <c r="O167" s="375">
        <f t="shared" ref="O167:O175" si="948">(N167/100)*1000</f>
        <v>0</v>
      </c>
      <c r="P167" s="74"/>
      <c r="Q167" s="375">
        <f t="shared" si="938"/>
        <v>0</v>
      </c>
      <c r="R167" s="74"/>
      <c r="S167" s="375">
        <f t="shared" si="939"/>
        <v>0</v>
      </c>
      <c r="T167" s="74"/>
      <c r="U167" s="375">
        <f t="shared" si="940"/>
        <v>0</v>
      </c>
      <c r="V167" s="74"/>
      <c r="W167" s="375">
        <f t="shared" si="941"/>
        <v>0</v>
      </c>
      <c r="X167" s="74"/>
      <c r="Y167" s="375">
        <f t="shared" si="942"/>
        <v>0</v>
      </c>
      <c r="Z167" s="74"/>
      <c r="AA167" s="375">
        <f t="shared" si="943"/>
        <v>0</v>
      </c>
      <c r="AB167" s="74"/>
      <c r="AC167" s="375">
        <f t="shared" si="944"/>
        <v>0</v>
      </c>
      <c r="AD167" s="74"/>
      <c r="AE167" s="375">
        <f t="shared" si="945"/>
        <v>0</v>
      </c>
    </row>
    <row r="168" spans="1:31" ht="17.649999999999999" customHeight="1" outlineLevel="1">
      <c r="A168" s="351">
        <f t="shared" si="937"/>
        <v>1</v>
      </c>
      <c r="B168" s="74"/>
      <c r="C168" s="375">
        <f t="shared" ref="C168:C175" si="949">(B168/100)*1000</f>
        <v>0</v>
      </c>
      <c r="D168" s="74"/>
      <c r="E168" s="375">
        <f t="shared" si="934"/>
        <v>0</v>
      </c>
      <c r="F168" s="74"/>
      <c r="G168" s="375">
        <f t="shared" si="935"/>
        <v>0</v>
      </c>
      <c r="H168" s="74"/>
      <c r="I168" s="375">
        <f t="shared" si="936"/>
        <v>0</v>
      </c>
      <c r="J168" s="74"/>
      <c r="K168" s="375">
        <f t="shared" si="946"/>
        <v>0</v>
      </c>
      <c r="L168" s="74"/>
      <c r="M168" s="375">
        <f t="shared" si="947"/>
        <v>0</v>
      </c>
      <c r="N168" s="74"/>
      <c r="O168" s="375">
        <f t="shared" si="948"/>
        <v>0</v>
      </c>
      <c r="P168" s="74"/>
      <c r="Q168" s="375">
        <f t="shared" si="938"/>
        <v>0</v>
      </c>
      <c r="R168" s="74"/>
      <c r="S168" s="375">
        <f t="shared" si="939"/>
        <v>0</v>
      </c>
      <c r="T168" s="74"/>
      <c r="U168" s="375">
        <f t="shared" si="940"/>
        <v>0</v>
      </c>
      <c r="V168" s="74"/>
      <c r="W168" s="375">
        <f t="shared" si="941"/>
        <v>0</v>
      </c>
      <c r="X168" s="74"/>
      <c r="Y168" s="375">
        <f t="shared" si="942"/>
        <v>0</v>
      </c>
      <c r="Z168" s="74"/>
      <c r="AA168" s="375">
        <f t="shared" si="943"/>
        <v>0</v>
      </c>
      <c r="AB168" s="74"/>
      <c r="AC168" s="375">
        <f t="shared" si="944"/>
        <v>0</v>
      </c>
      <c r="AD168" s="74"/>
      <c r="AE168" s="375">
        <f t="shared" si="945"/>
        <v>0</v>
      </c>
    </row>
    <row r="169" spans="1:31" ht="17.649999999999999" customHeight="1" outlineLevel="1">
      <c r="A169" s="351">
        <f t="shared" si="937"/>
        <v>2</v>
      </c>
      <c r="B169" s="74"/>
      <c r="C169" s="375">
        <f t="shared" si="949"/>
        <v>0</v>
      </c>
      <c r="D169" s="74"/>
      <c r="E169" s="375">
        <f t="shared" ref="E169:E175" si="950">(D169/100)*1000</f>
        <v>0</v>
      </c>
      <c r="F169" s="74"/>
      <c r="G169" s="375">
        <f t="shared" ref="G169:G175" si="951">(F169/100)*1000</f>
        <v>0</v>
      </c>
      <c r="H169" s="74"/>
      <c r="I169" s="375">
        <f t="shared" ref="I169:I175" si="952">(H169/100)*1000</f>
        <v>0</v>
      </c>
      <c r="J169" s="74"/>
      <c r="K169" s="375">
        <f t="shared" si="946"/>
        <v>0</v>
      </c>
      <c r="L169" s="74"/>
      <c r="M169" s="375">
        <f t="shared" si="947"/>
        <v>0</v>
      </c>
      <c r="N169" s="74"/>
      <c r="O169" s="375">
        <f t="shared" si="948"/>
        <v>0</v>
      </c>
      <c r="P169" s="74"/>
      <c r="Q169" s="375">
        <f t="shared" si="938"/>
        <v>0</v>
      </c>
      <c r="R169" s="74"/>
      <c r="S169" s="375">
        <f t="shared" si="939"/>
        <v>0</v>
      </c>
      <c r="T169" s="74"/>
      <c r="U169" s="375">
        <f t="shared" si="940"/>
        <v>0</v>
      </c>
      <c r="V169" s="74"/>
      <c r="W169" s="375">
        <f t="shared" si="941"/>
        <v>0</v>
      </c>
      <c r="X169" s="74"/>
      <c r="Y169" s="375">
        <f t="shared" si="942"/>
        <v>0</v>
      </c>
      <c r="Z169" s="74"/>
      <c r="AA169" s="375">
        <f t="shared" si="943"/>
        <v>0</v>
      </c>
      <c r="AB169" s="74"/>
      <c r="AC169" s="375">
        <f t="shared" si="944"/>
        <v>0</v>
      </c>
      <c r="AD169" s="74"/>
      <c r="AE169" s="375">
        <f t="shared" si="945"/>
        <v>0</v>
      </c>
    </row>
    <row r="170" spans="1:31" ht="17.649999999999999" customHeight="1" outlineLevel="1">
      <c r="A170" s="351">
        <f t="shared" si="937"/>
        <v>3</v>
      </c>
      <c r="B170" s="74"/>
      <c r="C170" s="375">
        <f t="shared" si="949"/>
        <v>0</v>
      </c>
      <c r="D170" s="74"/>
      <c r="E170" s="375">
        <f t="shared" si="950"/>
        <v>0</v>
      </c>
      <c r="F170" s="74"/>
      <c r="G170" s="375">
        <f t="shared" si="951"/>
        <v>0</v>
      </c>
      <c r="H170" s="74"/>
      <c r="I170" s="375">
        <f t="shared" si="952"/>
        <v>0</v>
      </c>
      <c r="J170" s="74"/>
      <c r="K170" s="375">
        <f t="shared" si="946"/>
        <v>0</v>
      </c>
      <c r="L170" s="74"/>
      <c r="M170" s="375">
        <f t="shared" si="947"/>
        <v>0</v>
      </c>
      <c r="N170" s="74"/>
      <c r="O170" s="375">
        <f t="shared" si="948"/>
        <v>0</v>
      </c>
      <c r="P170" s="74"/>
      <c r="Q170" s="375">
        <f t="shared" si="938"/>
        <v>0</v>
      </c>
      <c r="R170" s="74"/>
      <c r="S170" s="375">
        <f t="shared" si="939"/>
        <v>0</v>
      </c>
      <c r="T170" s="74"/>
      <c r="U170" s="375">
        <f t="shared" si="940"/>
        <v>0</v>
      </c>
      <c r="V170" s="74"/>
      <c r="W170" s="375">
        <f t="shared" si="941"/>
        <v>0</v>
      </c>
      <c r="X170" s="74"/>
      <c r="Y170" s="375">
        <f t="shared" si="942"/>
        <v>0</v>
      </c>
      <c r="Z170" s="74"/>
      <c r="AA170" s="375">
        <f t="shared" si="943"/>
        <v>0</v>
      </c>
      <c r="AB170" s="74"/>
      <c r="AC170" s="375">
        <f t="shared" si="944"/>
        <v>0</v>
      </c>
      <c r="AD170" s="74"/>
      <c r="AE170" s="375">
        <f t="shared" si="945"/>
        <v>0</v>
      </c>
    </row>
    <row r="171" spans="1:31" ht="17.649999999999999" customHeight="1" outlineLevel="1">
      <c r="A171" s="351">
        <f t="shared" ref="A171:A175" si="953">A83</f>
        <v>4</v>
      </c>
      <c r="B171" s="74"/>
      <c r="C171" s="375">
        <f t="shared" si="949"/>
        <v>0</v>
      </c>
      <c r="D171" s="74"/>
      <c r="E171" s="375">
        <f t="shared" si="950"/>
        <v>0</v>
      </c>
      <c r="F171" s="74"/>
      <c r="G171" s="375">
        <f t="shared" si="951"/>
        <v>0</v>
      </c>
      <c r="H171" s="74"/>
      <c r="I171" s="375">
        <f t="shared" si="952"/>
        <v>0</v>
      </c>
      <c r="J171" s="74"/>
      <c r="K171" s="375">
        <f t="shared" si="946"/>
        <v>0</v>
      </c>
      <c r="L171" s="74"/>
      <c r="M171" s="375">
        <f t="shared" si="947"/>
        <v>0</v>
      </c>
      <c r="N171" s="74"/>
      <c r="O171" s="375">
        <f t="shared" si="948"/>
        <v>0</v>
      </c>
      <c r="P171" s="74"/>
      <c r="Q171" s="375">
        <f t="shared" si="938"/>
        <v>0</v>
      </c>
      <c r="R171" s="74"/>
      <c r="S171" s="375">
        <f t="shared" si="939"/>
        <v>0</v>
      </c>
      <c r="T171" s="74"/>
      <c r="U171" s="375">
        <f t="shared" si="940"/>
        <v>0</v>
      </c>
      <c r="V171" s="74"/>
      <c r="W171" s="375">
        <f t="shared" si="941"/>
        <v>0</v>
      </c>
      <c r="X171" s="74"/>
      <c r="Y171" s="375">
        <f t="shared" si="942"/>
        <v>0</v>
      </c>
      <c r="Z171" s="74"/>
      <c r="AA171" s="375">
        <f t="shared" si="943"/>
        <v>0</v>
      </c>
      <c r="AB171" s="74"/>
      <c r="AC171" s="375">
        <f t="shared" si="944"/>
        <v>0</v>
      </c>
      <c r="AD171" s="74"/>
      <c r="AE171" s="375">
        <f t="shared" si="945"/>
        <v>0</v>
      </c>
    </row>
    <row r="172" spans="1:31" ht="17.649999999999999" customHeight="1" outlineLevel="1">
      <c r="A172" s="351">
        <f t="shared" si="953"/>
        <v>5</v>
      </c>
      <c r="B172" s="74"/>
      <c r="C172" s="375">
        <f t="shared" si="949"/>
        <v>0</v>
      </c>
      <c r="D172" s="74"/>
      <c r="E172" s="375">
        <f t="shared" si="950"/>
        <v>0</v>
      </c>
      <c r="F172" s="74"/>
      <c r="G172" s="375">
        <f t="shared" si="951"/>
        <v>0</v>
      </c>
      <c r="H172" s="74"/>
      <c r="I172" s="375">
        <f t="shared" si="952"/>
        <v>0</v>
      </c>
      <c r="J172" s="74"/>
      <c r="K172" s="375">
        <f t="shared" si="946"/>
        <v>0</v>
      </c>
      <c r="L172" s="74"/>
      <c r="M172" s="375">
        <f t="shared" si="947"/>
        <v>0</v>
      </c>
      <c r="N172" s="74"/>
      <c r="O172" s="375">
        <f t="shared" si="948"/>
        <v>0</v>
      </c>
      <c r="P172" s="74"/>
      <c r="Q172" s="375">
        <f t="shared" si="938"/>
        <v>0</v>
      </c>
      <c r="R172" s="74"/>
      <c r="S172" s="375">
        <f t="shared" si="939"/>
        <v>0</v>
      </c>
      <c r="T172" s="74"/>
      <c r="U172" s="375">
        <f t="shared" si="940"/>
        <v>0</v>
      </c>
      <c r="V172" s="74"/>
      <c r="W172" s="375">
        <f t="shared" si="941"/>
        <v>0</v>
      </c>
      <c r="X172" s="74"/>
      <c r="Y172" s="375">
        <f t="shared" si="942"/>
        <v>0</v>
      </c>
      <c r="Z172" s="74"/>
      <c r="AA172" s="375">
        <f t="shared" si="943"/>
        <v>0</v>
      </c>
      <c r="AB172" s="74"/>
      <c r="AC172" s="375">
        <f t="shared" si="944"/>
        <v>0</v>
      </c>
      <c r="AD172" s="74"/>
      <c r="AE172" s="375">
        <f t="shared" si="945"/>
        <v>0</v>
      </c>
    </row>
    <row r="173" spans="1:31" ht="17.649999999999999" customHeight="1" outlineLevel="1">
      <c r="A173" s="351">
        <f t="shared" si="953"/>
        <v>6</v>
      </c>
      <c r="B173" s="74"/>
      <c r="C173" s="375">
        <f t="shared" si="949"/>
        <v>0</v>
      </c>
      <c r="D173" s="74"/>
      <c r="E173" s="375">
        <f t="shared" si="950"/>
        <v>0</v>
      </c>
      <c r="F173" s="74"/>
      <c r="G173" s="375">
        <f t="shared" si="951"/>
        <v>0</v>
      </c>
      <c r="H173" s="74"/>
      <c r="I173" s="375">
        <f t="shared" si="952"/>
        <v>0</v>
      </c>
      <c r="J173" s="74"/>
      <c r="K173" s="375">
        <f t="shared" si="946"/>
        <v>0</v>
      </c>
      <c r="L173" s="74"/>
      <c r="M173" s="375">
        <f t="shared" si="947"/>
        <v>0</v>
      </c>
      <c r="N173" s="74"/>
      <c r="O173" s="375">
        <f t="shared" si="948"/>
        <v>0</v>
      </c>
      <c r="P173" s="74"/>
      <c r="Q173" s="375">
        <f t="shared" si="938"/>
        <v>0</v>
      </c>
      <c r="R173" s="74"/>
      <c r="S173" s="375">
        <f t="shared" si="939"/>
        <v>0</v>
      </c>
      <c r="T173" s="74"/>
      <c r="U173" s="375">
        <f t="shared" si="940"/>
        <v>0</v>
      </c>
      <c r="V173" s="74"/>
      <c r="W173" s="375">
        <f t="shared" si="941"/>
        <v>0</v>
      </c>
      <c r="X173" s="74"/>
      <c r="Y173" s="375">
        <f t="shared" si="942"/>
        <v>0</v>
      </c>
      <c r="Z173" s="74"/>
      <c r="AA173" s="375">
        <f t="shared" si="943"/>
        <v>0</v>
      </c>
      <c r="AB173" s="74"/>
      <c r="AC173" s="375">
        <f t="shared" si="944"/>
        <v>0</v>
      </c>
      <c r="AD173" s="74"/>
      <c r="AE173" s="375">
        <f t="shared" si="945"/>
        <v>0</v>
      </c>
    </row>
    <row r="174" spans="1:31" ht="17.649999999999999" customHeight="1" outlineLevel="1">
      <c r="A174" s="351">
        <f t="shared" si="953"/>
        <v>7</v>
      </c>
      <c r="B174" s="74"/>
      <c r="C174" s="375">
        <f t="shared" si="949"/>
        <v>0</v>
      </c>
      <c r="D174" s="74"/>
      <c r="E174" s="375">
        <f t="shared" si="950"/>
        <v>0</v>
      </c>
      <c r="F174" s="74"/>
      <c r="G174" s="375">
        <f t="shared" si="951"/>
        <v>0</v>
      </c>
      <c r="H174" s="74"/>
      <c r="I174" s="375">
        <f t="shared" si="952"/>
        <v>0</v>
      </c>
      <c r="J174" s="74"/>
      <c r="K174" s="375">
        <f t="shared" si="946"/>
        <v>0</v>
      </c>
      <c r="L174" s="74"/>
      <c r="M174" s="375">
        <f t="shared" si="947"/>
        <v>0</v>
      </c>
      <c r="N174" s="74"/>
      <c r="O174" s="375">
        <f t="shared" si="948"/>
        <v>0</v>
      </c>
      <c r="P174" s="74"/>
      <c r="Q174" s="375">
        <f t="shared" si="938"/>
        <v>0</v>
      </c>
      <c r="R174" s="74"/>
      <c r="S174" s="375">
        <f t="shared" si="939"/>
        <v>0</v>
      </c>
      <c r="T174" s="74"/>
      <c r="U174" s="375">
        <f t="shared" si="940"/>
        <v>0</v>
      </c>
      <c r="V174" s="74"/>
      <c r="W174" s="375">
        <f t="shared" si="941"/>
        <v>0</v>
      </c>
      <c r="X174" s="74"/>
      <c r="Y174" s="375">
        <f t="shared" si="942"/>
        <v>0</v>
      </c>
      <c r="Z174" s="74"/>
      <c r="AA174" s="375">
        <f t="shared" si="943"/>
        <v>0</v>
      </c>
      <c r="AB174" s="74"/>
      <c r="AC174" s="375">
        <f t="shared" si="944"/>
        <v>0</v>
      </c>
      <c r="AD174" s="74"/>
      <c r="AE174" s="375">
        <f t="shared" si="945"/>
        <v>0</v>
      </c>
    </row>
    <row r="175" spans="1:31" ht="17.649999999999999" customHeight="1" outlineLevel="1">
      <c r="A175" s="351">
        <f t="shared" si="953"/>
        <v>8</v>
      </c>
      <c r="B175" s="74"/>
      <c r="C175" s="375">
        <f t="shared" si="949"/>
        <v>0</v>
      </c>
      <c r="D175" s="74"/>
      <c r="E175" s="375">
        <f t="shared" si="950"/>
        <v>0</v>
      </c>
      <c r="F175" s="74"/>
      <c r="G175" s="375">
        <f t="shared" si="951"/>
        <v>0</v>
      </c>
      <c r="H175" s="74"/>
      <c r="I175" s="375">
        <f t="shared" si="952"/>
        <v>0</v>
      </c>
      <c r="J175" s="74"/>
      <c r="K175" s="375">
        <f t="shared" si="946"/>
        <v>0</v>
      </c>
      <c r="L175" s="74"/>
      <c r="M175" s="375">
        <f t="shared" si="947"/>
        <v>0</v>
      </c>
      <c r="N175" s="74"/>
      <c r="O175" s="375">
        <f t="shared" si="948"/>
        <v>0</v>
      </c>
      <c r="P175" s="74"/>
      <c r="Q175" s="375">
        <f t="shared" si="938"/>
        <v>0</v>
      </c>
      <c r="R175" s="74"/>
      <c r="S175" s="375">
        <f t="shared" si="939"/>
        <v>0</v>
      </c>
      <c r="T175" s="74"/>
      <c r="U175" s="375">
        <f t="shared" si="940"/>
        <v>0</v>
      </c>
      <c r="V175" s="74"/>
      <c r="W175" s="375">
        <f t="shared" si="941"/>
        <v>0</v>
      </c>
      <c r="X175" s="74"/>
      <c r="Y175" s="375">
        <f t="shared" si="942"/>
        <v>0</v>
      </c>
      <c r="Z175" s="74"/>
      <c r="AA175" s="375">
        <f t="shared" si="943"/>
        <v>0</v>
      </c>
      <c r="AB175" s="74"/>
      <c r="AC175" s="375">
        <f t="shared" si="944"/>
        <v>0</v>
      </c>
      <c r="AD175" s="74"/>
      <c r="AE175" s="375">
        <f t="shared" si="945"/>
        <v>0</v>
      </c>
    </row>
    <row r="176" spans="1:31" ht="18.75" customHeight="1" outlineLevel="1" thickBot="1">
      <c r="A176" s="369" t="s">
        <v>72</v>
      </c>
      <c r="B176" s="355">
        <f t="shared" ref="B176:AE176" si="954">SUM(B94:B175)</f>
        <v>99.999999999999986</v>
      </c>
      <c r="C176" s="371">
        <f t="shared" si="954"/>
        <v>1000</v>
      </c>
      <c r="D176" s="355">
        <f t="shared" si="954"/>
        <v>0</v>
      </c>
      <c r="E176" s="371">
        <f t="shared" si="954"/>
        <v>0</v>
      </c>
      <c r="F176" s="355">
        <f t="shared" si="954"/>
        <v>0</v>
      </c>
      <c r="G176" s="371">
        <f t="shared" si="954"/>
        <v>0</v>
      </c>
      <c r="H176" s="355">
        <f t="shared" si="954"/>
        <v>0</v>
      </c>
      <c r="I176" s="371">
        <f t="shared" si="954"/>
        <v>0</v>
      </c>
      <c r="J176" s="355">
        <f t="shared" si="954"/>
        <v>0</v>
      </c>
      <c r="K176" s="371">
        <f t="shared" si="954"/>
        <v>0</v>
      </c>
      <c r="L176" s="355">
        <f t="shared" si="954"/>
        <v>0</v>
      </c>
      <c r="M176" s="371">
        <f t="shared" si="954"/>
        <v>0</v>
      </c>
      <c r="N176" s="355">
        <f t="shared" si="954"/>
        <v>0</v>
      </c>
      <c r="O176" s="371">
        <f t="shared" si="954"/>
        <v>0</v>
      </c>
      <c r="P176" s="355">
        <f t="shared" si="954"/>
        <v>0</v>
      </c>
      <c r="Q176" s="371">
        <f t="shared" si="954"/>
        <v>0</v>
      </c>
      <c r="R176" s="355">
        <f t="shared" si="954"/>
        <v>0</v>
      </c>
      <c r="S176" s="371">
        <f t="shared" si="954"/>
        <v>0</v>
      </c>
      <c r="T176" s="355">
        <f t="shared" si="954"/>
        <v>0</v>
      </c>
      <c r="U176" s="371">
        <f t="shared" si="954"/>
        <v>0</v>
      </c>
      <c r="V176" s="355">
        <f t="shared" si="954"/>
        <v>0</v>
      </c>
      <c r="W176" s="371">
        <f t="shared" si="954"/>
        <v>0</v>
      </c>
      <c r="X176" s="355">
        <f t="shared" si="954"/>
        <v>0</v>
      </c>
      <c r="Y176" s="371">
        <f t="shared" si="954"/>
        <v>0</v>
      </c>
      <c r="Z176" s="355">
        <f t="shared" si="954"/>
        <v>0</v>
      </c>
      <c r="AA176" s="371">
        <f t="shared" si="954"/>
        <v>0</v>
      </c>
      <c r="AB176" s="355">
        <f t="shared" si="954"/>
        <v>0</v>
      </c>
      <c r="AC176" s="371">
        <f t="shared" si="954"/>
        <v>0</v>
      </c>
      <c r="AD176" s="355">
        <f t="shared" si="954"/>
        <v>0</v>
      </c>
      <c r="AE176" s="371">
        <f t="shared" si="954"/>
        <v>0</v>
      </c>
    </row>
    <row r="177" spans="1:31" ht="19.899999999999999" thickBot="1">
      <c r="V177" s="76"/>
      <c r="W177" s="76"/>
      <c r="X177" s="76"/>
      <c r="Y177" s="76"/>
      <c r="Z177" s="76"/>
      <c r="AA177" s="76"/>
      <c r="AB177" s="76"/>
      <c r="AC177" s="76"/>
      <c r="AD177" s="76"/>
      <c r="AE177" s="76"/>
    </row>
    <row r="178" spans="1:31" s="6" customFormat="1" ht="15" customHeight="1" thickBot="1">
      <c r="A178" s="672" t="s">
        <v>76</v>
      </c>
      <c r="B178" s="657">
        <v>1</v>
      </c>
      <c r="C178" s="658"/>
      <c r="D178" s="662">
        <v>2</v>
      </c>
      <c r="E178" s="658"/>
      <c r="F178" s="657">
        <v>3</v>
      </c>
      <c r="G178" s="658"/>
      <c r="H178" s="657">
        <v>4</v>
      </c>
      <c r="I178" s="658"/>
      <c r="J178" s="657">
        <v>5</v>
      </c>
      <c r="K178" s="658"/>
      <c r="L178" s="657">
        <v>6</v>
      </c>
      <c r="M178" s="658"/>
      <c r="N178" s="657">
        <v>7</v>
      </c>
      <c r="O178" s="658"/>
      <c r="P178" s="657">
        <v>8</v>
      </c>
      <c r="Q178" s="658"/>
      <c r="R178" s="657">
        <v>9</v>
      </c>
      <c r="S178" s="658"/>
      <c r="T178" s="657">
        <v>10</v>
      </c>
      <c r="U178" s="658"/>
      <c r="V178" s="657">
        <v>11</v>
      </c>
      <c r="W178" s="658"/>
      <c r="X178" s="657">
        <v>12</v>
      </c>
      <c r="Y178" s="658"/>
      <c r="Z178" s="657">
        <v>13</v>
      </c>
      <c r="AA178" s="658"/>
      <c r="AB178" s="657">
        <v>14</v>
      </c>
      <c r="AC178" s="658"/>
      <c r="AD178" s="657">
        <v>15</v>
      </c>
      <c r="AE178" s="658"/>
    </row>
    <row r="179" spans="1:31" s="6" customFormat="1" ht="15" customHeight="1" thickBot="1">
      <c r="A179" s="673"/>
      <c r="B179" s="665" t="s">
        <v>77</v>
      </c>
      <c r="C179" s="666"/>
      <c r="D179" s="665" t="s">
        <v>78</v>
      </c>
      <c r="E179" s="666"/>
      <c r="F179" s="665"/>
      <c r="G179" s="666"/>
      <c r="H179" s="665"/>
      <c r="I179" s="666"/>
      <c r="J179" s="665"/>
      <c r="K179" s="666"/>
      <c r="L179" s="665"/>
      <c r="M179" s="666"/>
      <c r="N179" s="665"/>
      <c r="O179" s="666"/>
      <c r="P179" s="665"/>
      <c r="Q179" s="666"/>
      <c r="R179" s="665"/>
      <c r="S179" s="666"/>
      <c r="T179" s="665"/>
      <c r="U179" s="666"/>
      <c r="V179" s="665"/>
      <c r="W179" s="666"/>
      <c r="X179" s="665"/>
      <c r="Y179" s="666"/>
      <c r="Z179" s="665"/>
      <c r="AA179" s="666"/>
      <c r="AB179" s="665"/>
      <c r="AC179" s="666"/>
      <c r="AD179" s="665"/>
      <c r="AE179" s="666"/>
    </row>
    <row r="180" spans="1:31" ht="33" customHeight="1" thickBot="1">
      <c r="A180" s="673"/>
      <c r="B180" s="674" t="s">
        <v>79</v>
      </c>
      <c r="C180" s="675"/>
      <c r="D180" s="676" t="s">
        <v>80</v>
      </c>
      <c r="E180" s="677"/>
      <c r="F180" s="676"/>
      <c r="G180" s="677"/>
      <c r="H180" s="676"/>
      <c r="I180" s="677"/>
      <c r="J180" s="678"/>
      <c r="K180" s="677"/>
      <c r="L180" s="676"/>
      <c r="M180" s="677"/>
      <c r="N180" s="676"/>
      <c r="O180" s="677"/>
      <c r="P180" s="676"/>
      <c r="Q180" s="677"/>
      <c r="R180" s="676"/>
      <c r="S180" s="677"/>
      <c r="T180" s="676"/>
      <c r="U180" s="677"/>
      <c r="V180" s="676"/>
      <c r="W180" s="677"/>
      <c r="X180" s="678"/>
      <c r="Y180" s="677"/>
      <c r="Z180" s="676"/>
      <c r="AA180" s="677"/>
      <c r="AB180" s="676"/>
      <c r="AC180" s="677"/>
      <c r="AD180" s="676"/>
      <c r="AE180" s="677"/>
    </row>
    <row r="181" spans="1:31" ht="25.35" customHeight="1" outlineLevel="1" thickBot="1">
      <c r="A181" s="673"/>
      <c r="B181" s="205" t="s">
        <v>5</v>
      </c>
      <c r="C181" s="9" t="s">
        <v>6</v>
      </c>
      <c r="D181" s="205" t="s">
        <v>5</v>
      </c>
      <c r="E181" s="9" t="s">
        <v>6</v>
      </c>
      <c r="F181" s="18" t="s">
        <v>5</v>
      </c>
      <c r="G181" s="9" t="s">
        <v>6</v>
      </c>
      <c r="H181" s="18" t="s">
        <v>5</v>
      </c>
      <c r="I181" s="9" t="s">
        <v>6</v>
      </c>
      <c r="J181" s="18" t="s">
        <v>5</v>
      </c>
      <c r="K181" s="9" t="s">
        <v>6</v>
      </c>
      <c r="L181" s="18" t="s">
        <v>5</v>
      </c>
      <c r="M181" s="9" t="s">
        <v>6</v>
      </c>
      <c r="N181" s="18" t="s">
        <v>5</v>
      </c>
      <c r="O181" s="9" t="s">
        <v>6</v>
      </c>
      <c r="P181" s="18" t="s">
        <v>5</v>
      </c>
      <c r="Q181" s="9" t="s">
        <v>6</v>
      </c>
      <c r="R181" s="18" t="s">
        <v>5</v>
      </c>
      <c r="S181" s="9" t="s">
        <v>6</v>
      </c>
      <c r="T181" s="18" t="s">
        <v>5</v>
      </c>
      <c r="U181" s="9" t="s">
        <v>6</v>
      </c>
      <c r="V181" s="18" t="s">
        <v>5</v>
      </c>
      <c r="W181" s="9" t="s">
        <v>6</v>
      </c>
      <c r="X181" s="18" t="s">
        <v>5</v>
      </c>
      <c r="Y181" s="9" t="s">
        <v>6</v>
      </c>
      <c r="Z181" s="18" t="s">
        <v>5</v>
      </c>
      <c r="AA181" s="9" t="s">
        <v>6</v>
      </c>
      <c r="AB181" s="18" t="s">
        <v>5</v>
      </c>
      <c r="AC181" s="9" t="s">
        <v>6</v>
      </c>
      <c r="AD181" s="18" t="s">
        <v>5</v>
      </c>
      <c r="AE181" s="9" t="s">
        <v>6</v>
      </c>
    </row>
    <row r="182" spans="1:31" ht="18.75" customHeight="1" outlineLevel="1">
      <c r="A182" s="376" t="str">
        <f t="shared" ref="A182:A213" si="955">A6</f>
        <v>MAIZE/CORN</v>
      </c>
      <c r="B182" s="353">
        <f>1255/20</f>
        <v>62.75</v>
      </c>
      <c r="C182" s="247">
        <f>(B182/100)*1000</f>
        <v>627.5</v>
      </c>
      <c r="D182" s="245">
        <f>1298.4/20</f>
        <v>64.92</v>
      </c>
      <c r="E182" s="247">
        <f>(D182/100)*1000</f>
        <v>649.20000000000005</v>
      </c>
      <c r="F182" s="353"/>
      <c r="G182" s="407">
        <f>(F182/100)*1000</f>
        <v>0</v>
      </c>
      <c r="H182" s="353"/>
      <c r="I182" s="407">
        <f>(H182/100)*1000</f>
        <v>0</v>
      </c>
      <c r="J182" s="353"/>
      <c r="K182" s="407">
        <f>(J182/100)*1000</f>
        <v>0</v>
      </c>
      <c r="L182" s="353"/>
      <c r="M182" s="407">
        <f>(L182/100)*1000</f>
        <v>0</v>
      </c>
      <c r="N182" s="409"/>
      <c r="O182" s="407">
        <f>(N182/100)*1000</f>
        <v>0</v>
      </c>
      <c r="P182" s="353"/>
      <c r="Q182" s="407">
        <f>(P182/100)*1000</f>
        <v>0</v>
      </c>
      <c r="R182" s="353"/>
      <c r="S182" s="407">
        <f>(R182/100)*1000</f>
        <v>0</v>
      </c>
      <c r="T182" s="353"/>
      <c r="U182" s="407">
        <f>(T182/100)*1000</f>
        <v>0</v>
      </c>
      <c r="V182" s="353"/>
      <c r="W182" s="407">
        <f>(V182/100)*1000</f>
        <v>0</v>
      </c>
      <c r="X182" s="353"/>
      <c r="Y182" s="407">
        <f>(X182/100)*1000</f>
        <v>0</v>
      </c>
      <c r="Z182" s="353"/>
      <c r="AA182" s="407">
        <f>(Z182/100)*1000</f>
        <v>0</v>
      </c>
      <c r="AB182" s="409"/>
      <c r="AC182" s="407">
        <f>(AB182/100)*1000</f>
        <v>0</v>
      </c>
      <c r="AD182" s="353"/>
      <c r="AE182" s="407">
        <f>(AD182/100)*1000</f>
        <v>0</v>
      </c>
    </row>
    <row r="183" spans="1:31" ht="18.75" customHeight="1" outlineLevel="1">
      <c r="A183" s="376" t="str">
        <f t="shared" si="955"/>
        <v>SOYBEAN MEAL (ARG)</v>
      </c>
      <c r="B183" s="74">
        <f>273/20</f>
        <v>13.65</v>
      </c>
      <c r="C183" s="247">
        <f t="shared" ref="C183:AE233" si="956">(B183/100)*1000</f>
        <v>136.5</v>
      </c>
      <c r="D183" s="74">
        <f>323.1/20</f>
        <v>16.155000000000001</v>
      </c>
      <c r="E183" s="247">
        <f t="shared" ref="E183:E246" si="957">(D183/100)*1000</f>
        <v>161.55000000000001</v>
      </c>
      <c r="F183" s="74"/>
      <c r="G183" s="247">
        <f t="shared" ref="G183:G246" si="958">(F183/100)*1000</f>
        <v>0</v>
      </c>
      <c r="H183" s="74"/>
      <c r="I183" s="247">
        <f t="shared" ref="I183:I246" si="959">(H183/100)*1000</f>
        <v>0</v>
      </c>
      <c r="J183" s="74"/>
      <c r="K183" s="247">
        <f t="shared" ref="K183:K246" si="960">(J183/100)*1000</f>
        <v>0</v>
      </c>
      <c r="L183" s="74"/>
      <c r="M183" s="247">
        <f t="shared" ref="M183:M246" si="961">(L183/100)*1000</f>
        <v>0</v>
      </c>
      <c r="N183" s="408"/>
      <c r="O183" s="247">
        <f t="shared" ref="O183:O246" si="962">(N183/100)*1000</f>
        <v>0</v>
      </c>
      <c r="P183" s="408"/>
      <c r="Q183" s="247">
        <f t="shared" ref="Q183" si="963">(P183/100)*1000</f>
        <v>0</v>
      </c>
      <c r="R183" s="74"/>
      <c r="S183" s="247">
        <f t="shared" ref="S183" si="964">(R183/100)*1000</f>
        <v>0</v>
      </c>
      <c r="T183" s="74"/>
      <c r="U183" s="247">
        <f t="shared" ref="U183" si="965">(T183/100)*1000</f>
        <v>0</v>
      </c>
      <c r="V183" s="74"/>
      <c r="W183" s="247">
        <f t="shared" ref="W183" si="966">(V183/100)*1000</f>
        <v>0</v>
      </c>
      <c r="X183" s="74"/>
      <c r="Y183" s="247">
        <f t="shared" ref="Y183" si="967">(X183/100)*1000</f>
        <v>0</v>
      </c>
      <c r="Z183" s="74"/>
      <c r="AA183" s="247">
        <f t="shared" ref="AA183" si="968">(Z183/100)*1000</f>
        <v>0</v>
      </c>
      <c r="AB183" s="408"/>
      <c r="AC183" s="247">
        <f t="shared" ref="AC183" si="969">(AB183/100)*1000</f>
        <v>0</v>
      </c>
      <c r="AD183" s="74"/>
      <c r="AE183" s="247">
        <f t="shared" ref="AE183" si="970">(AD183/100)*1000</f>
        <v>0</v>
      </c>
    </row>
    <row r="184" spans="1:31" ht="18.75" customHeight="1" outlineLevel="1">
      <c r="A184" s="376" t="str">
        <f t="shared" si="955"/>
        <v>SOYBEAN FULL FAT</v>
      </c>
      <c r="B184" s="74">
        <f>160/20</f>
        <v>8</v>
      </c>
      <c r="C184" s="247">
        <f t="shared" si="956"/>
        <v>80</v>
      </c>
      <c r="D184" s="74">
        <f>150/20</f>
        <v>7.5</v>
      </c>
      <c r="E184" s="247">
        <f t="shared" si="957"/>
        <v>75</v>
      </c>
      <c r="F184" s="74"/>
      <c r="G184" s="247">
        <f t="shared" si="958"/>
        <v>0</v>
      </c>
      <c r="H184" s="74"/>
      <c r="I184" s="247">
        <f t="shared" si="959"/>
        <v>0</v>
      </c>
      <c r="J184" s="74"/>
      <c r="K184" s="247">
        <f t="shared" si="960"/>
        <v>0</v>
      </c>
      <c r="L184" s="74"/>
      <c r="M184" s="247">
        <f t="shared" si="961"/>
        <v>0</v>
      </c>
      <c r="N184" s="74"/>
      <c r="O184" s="247">
        <f t="shared" si="962"/>
        <v>0</v>
      </c>
      <c r="P184" s="74"/>
      <c r="Q184" s="247">
        <f t="shared" ref="Q184" si="971">(P184/100)*1000</f>
        <v>0</v>
      </c>
      <c r="R184" s="74"/>
      <c r="S184" s="247">
        <f t="shared" ref="S184" si="972">(R184/100)*1000</f>
        <v>0</v>
      </c>
      <c r="T184" s="74"/>
      <c r="U184" s="247">
        <f t="shared" ref="U184" si="973">(T184/100)*1000</f>
        <v>0</v>
      </c>
      <c r="V184" s="74"/>
      <c r="W184" s="247">
        <f t="shared" ref="W184" si="974">(V184/100)*1000</f>
        <v>0</v>
      </c>
      <c r="X184" s="74"/>
      <c r="Y184" s="247">
        <f t="shared" ref="Y184" si="975">(X184/100)*1000</f>
        <v>0</v>
      </c>
      <c r="Z184" s="74"/>
      <c r="AA184" s="247">
        <f t="shared" ref="AA184" si="976">(Z184/100)*1000</f>
        <v>0</v>
      </c>
      <c r="AB184" s="74"/>
      <c r="AC184" s="247">
        <f t="shared" ref="AC184" si="977">(AB184/100)*1000</f>
        <v>0</v>
      </c>
      <c r="AD184" s="74"/>
      <c r="AE184" s="247">
        <f t="shared" ref="AE184" si="978">(AD184/100)*1000</f>
        <v>0</v>
      </c>
    </row>
    <row r="185" spans="1:31" ht="18.75" customHeight="1" outlineLevel="1">
      <c r="A185" s="376" t="str">
        <f t="shared" si="955"/>
        <v>WHEAT POLLARD</v>
      </c>
      <c r="B185" s="74">
        <f>140/20</f>
        <v>7</v>
      </c>
      <c r="C185" s="247">
        <f t="shared" si="956"/>
        <v>70</v>
      </c>
      <c r="D185" s="74"/>
      <c r="E185" s="247">
        <f t="shared" si="957"/>
        <v>0</v>
      </c>
      <c r="F185" s="74"/>
      <c r="G185" s="247">
        <f t="shared" si="958"/>
        <v>0</v>
      </c>
      <c r="H185" s="74"/>
      <c r="I185" s="247">
        <f t="shared" si="959"/>
        <v>0</v>
      </c>
      <c r="J185" s="74"/>
      <c r="K185" s="247">
        <f t="shared" si="960"/>
        <v>0</v>
      </c>
      <c r="L185" s="74"/>
      <c r="M185" s="247">
        <f t="shared" si="961"/>
        <v>0</v>
      </c>
      <c r="N185" s="74"/>
      <c r="O185" s="247">
        <f t="shared" si="962"/>
        <v>0</v>
      </c>
      <c r="P185" s="74"/>
      <c r="Q185" s="247">
        <f t="shared" ref="Q185" si="979">(P185/100)*1000</f>
        <v>0</v>
      </c>
      <c r="R185" s="74"/>
      <c r="S185" s="247">
        <f t="shared" ref="S185" si="980">(R185/100)*1000</f>
        <v>0</v>
      </c>
      <c r="T185" s="74"/>
      <c r="U185" s="247">
        <f t="shared" ref="U185" si="981">(T185/100)*1000</f>
        <v>0</v>
      </c>
      <c r="V185" s="74"/>
      <c r="W185" s="247">
        <f t="shared" ref="W185" si="982">(V185/100)*1000</f>
        <v>0</v>
      </c>
      <c r="X185" s="74"/>
      <c r="Y185" s="247">
        <f t="shared" ref="Y185" si="983">(X185/100)*1000</f>
        <v>0</v>
      </c>
      <c r="Z185" s="74"/>
      <c r="AA185" s="247">
        <f t="shared" ref="AA185" si="984">(Z185/100)*1000</f>
        <v>0</v>
      </c>
      <c r="AB185" s="74"/>
      <c r="AC185" s="247">
        <f t="shared" ref="AC185" si="985">(AB185/100)*1000</f>
        <v>0</v>
      </c>
      <c r="AD185" s="74"/>
      <c r="AE185" s="247">
        <f t="shared" ref="AE185" si="986">(AD185/100)*1000</f>
        <v>0</v>
      </c>
    </row>
    <row r="186" spans="1:31" ht="18.75" customHeight="1" outlineLevel="1">
      <c r="A186" s="376" t="str">
        <f t="shared" si="955"/>
        <v>WHEAT</v>
      </c>
      <c r="B186" s="74"/>
      <c r="C186" s="247">
        <f t="shared" si="956"/>
        <v>0</v>
      </c>
      <c r="D186" s="74"/>
      <c r="E186" s="247">
        <f t="shared" si="957"/>
        <v>0</v>
      </c>
      <c r="F186" s="74"/>
      <c r="G186" s="247">
        <f t="shared" si="958"/>
        <v>0</v>
      </c>
      <c r="H186" s="74"/>
      <c r="I186" s="247">
        <f t="shared" si="959"/>
        <v>0</v>
      </c>
      <c r="J186" s="74"/>
      <c r="K186" s="247">
        <f t="shared" si="960"/>
        <v>0</v>
      </c>
      <c r="L186" s="74"/>
      <c r="M186" s="247">
        <f t="shared" si="961"/>
        <v>0</v>
      </c>
      <c r="N186" s="74"/>
      <c r="O186" s="247">
        <f t="shared" si="962"/>
        <v>0</v>
      </c>
      <c r="P186" s="74"/>
      <c r="Q186" s="247">
        <f t="shared" ref="Q186" si="987">(P186/100)*1000</f>
        <v>0</v>
      </c>
      <c r="R186" s="74"/>
      <c r="S186" s="247">
        <f t="shared" ref="S186" si="988">(R186/100)*1000</f>
        <v>0</v>
      </c>
      <c r="T186" s="74"/>
      <c r="U186" s="247">
        <f t="shared" ref="U186" si="989">(T186/100)*1000</f>
        <v>0</v>
      </c>
      <c r="V186" s="74"/>
      <c r="W186" s="247">
        <f t="shared" ref="W186" si="990">(V186/100)*1000</f>
        <v>0</v>
      </c>
      <c r="X186" s="74"/>
      <c r="Y186" s="247">
        <f t="shared" ref="Y186" si="991">(X186/100)*1000</f>
        <v>0</v>
      </c>
      <c r="Z186" s="74"/>
      <c r="AA186" s="247">
        <f t="shared" ref="AA186" si="992">(Z186/100)*1000</f>
        <v>0</v>
      </c>
      <c r="AB186" s="74"/>
      <c r="AC186" s="247">
        <f t="shared" ref="AC186" si="993">(AB186/100)*1000</f>
        <v>0</v>
      </c>
      <c r="AD186" s="74"/>
      <c r="AE186" s="247">
        <f t="shared" ref="AE186" si="994">(AD186/100)*1000</f>
        <v>0</v>
      </c>
    </row>
    <row r="187" spans="1:31" ht="18.75" customHeight="1" outlineLevel="1">
      <c r="A187" s="376" t="str">
        <f t="shared" si="955"/>
        <v>MEAT AND BONE MEAL</v>
      </c>
      <c r="B187" s="74">
        <f>31/20</f>
        <v>1.55</v>
      </c>
      <c r="C187" s="247">
        <f t="shared" si="956"/>
        <v>15.5</v>
      </c>
      <c r="D187" s="74">
        <f>30/20</f>
        <v>1.5</v>
      </c>
      <c r="E187" s="247">
        <f t="shared" si="957"/>
        <v>15</v>
      </c>
      <c r="F187" s="74"/>
      <c r="G187" s="247">
        <f t="shared" si="958"/>
        <v>0</v>
      </c>
      <c r="H187" s="74"/>
      <c r="I187" s="247">
        <f t="shared" si="959"/>
        <v>0</v>
      </c>
      <c r="J187" s="74"/>
      <c r="K187" s="247">
        <f t="shared" si="960"/>
        <v>0</v>
      </c>
      <c r="L187" s="74"/>
      <c r="M187" s="247">
        <f t="shared" si="961"/>
        <v>0</v>
      </c>
      <c r="N187" s="74"/>
      <c r="O187" s="247">
        <f t="shared" si="962"/>
        <v>0</v>
      </c>
      <c r="P187" s="74"/>
      <c r="Q187" s="247">
        <f t="shared" ref="Q187" si="995">(P187/100)*1000</f>
        <v>0</v>
      </c>
      <c r="R187" s="74"/>
      <c r="S187" s="247">
        <f t="shared" ref="S187" si="996">(R187/100)*1000</f>
        <v>0</v>
      </c>
      <c r="T187" s="74"/>
      <c r="U187" s="247">
        <f t="shared" ref="U187" si="997">(T187/100)*1000</f>
        <v>0</v>
      </c>
      <c r="V187" s="74"/>
      <c r="W187" s="247">
        <f t="shared" ref="W187" si="998">(V187/100)*1000</f>
        <v>0</v>
      </c>
      <c r="X187" s="74"/>
      <c r="Y187" s="247">
        <f t="shared" ref="Y187" si="999">(X187/100)*1000</f>
        <v>0</v>
      </c>
      <c r="Z187" s="74"/>
      <c r="AA187" s="247">
        <f t="shared" ref="AA187" si="1000">(Z187/100)*1000</f>
        <v>0</v>
      </c>
      <c r="AB187" s="74"/>
      <c r="AC187" s="247">
        <f t="shared" ref="AC187" si="1001">(AB187/100)*1000</f>
        <v>0</v>
      </c>
      <c r="AD187" s="74"/>
      <c r="AE187" s="247">
        <f t="shared" ref="AE187" si="1002">(AD187/100)*1000</f>
        <v>0</v>
      </c>
    </row>
    <row r="188" spans="1:31" ht="18.75" customHeight="1" outlineLevel="1">
      <c r="A188" s="376" t="str">
        <f t="shared" si="955"/>
        <v>CORN GLUTEN MEAL</v>
      </c>
      <c r="B188" s="74">
        <f>50/20</f>
        <v>2.5</v>
      </c>
      <c r="C188" s="247">
        <f t="shared" si="956"/>
        <v>25</v>
      </c>
      <c r="D188" s="74">
        <f>40/20</f>
        <v>2</v>
      </c>
      <c r="E188" s="247">
        <f t="shared" si="957"/>
        <v>20</v>
      </c>
      <c r="F188" s="74"/>
      <c r="G188" s="247">
        <f t="shared" si="958"/>
        <v>0</v>
      </c>
      <c r="H188" s="74"/>
      <c r="I188" s="247">
        <f t="shared" si="959"/>
        <v>0</v>
      </c>
      <c r="J188" s="74"/>
      <c r="K188" s="247">
        <f t="shared" si="960"/>
        <v>0</v>
      </c>
      <c r="L188" s="74"/>
      <c r="M188" s="247">
        <f t="shared" si="961"/>
        <v>0</v>
      </c>
      <c r="N188" s="74"/>
      <c r="O188" s="247">
        <f t="shared" si="962"/>
        <v>0</v>
      </c>
      <c r="P188" s="74"/>
      <c r="Q188" s="247">
        <f t="shared" ref="Q188" si="1003">(P188/100)*1000</f>
        <v>0</v>
      </c>
      <c r="R188" s="74"/>
      <c r="S188" s="247">
        <f t="shared" ref="S188" si="1004">(R188/100)*1000</f>
        <v>0</v>
      </c>
      <c r="T188" s="74"/>
      <c r="U188" s="247">
        <f t="shared" ref="U188" si="1005">(T188/100)*1000</f>
        <v>0</v>
      </c>
      <c r="V188" s="74"/>
      <c r="W188" s="247">
        <f t="shared" ref="W188" si="1006">(V188/100)*1000</f>
        <v>0</v>
      </c>
      <c r="X188" s="74"/>
      <c r="Y188" s="247">
        <f t="shared" ref="Y188" si="1007">(X188/100)*1000</f>
        <v>0</v>
      </c>
      <c r="Z188" s="74"/>
      <c r="AA188" s="247">
        <f t="shared" ref="AA188" si="1008">(Z188/100)*1000</f>
        <v>0</v>
      </c>
      <c r="AB188" s="74"/>
      <c r="AC188" s="247">
        <f t="shared" ref="AC188" si="1009">(AB188/100)*1000</f>
        <v>0</v>
      </c>
      <c r="AD188" s="74"/>
      <c r="AE188" s="247">
        <f t="shared" ref="AE188" si="1010">(AD188/100)*1000</f>
        <v>0</v>
      </c>
    </row>
    <row r="189" spans="1:31" ht="18.75" customHeight="1" outlineLevel="1">
      <c r="A189" s="376" t="str">
        <f t="shared" si="955"/>
        <v>MEGAFAT (HARUMI)</v>
      </c>
      <c r="B189" s="74">
        <f>50/20</f>
        <v>2.5</v>
      </c>
      <c r="C189" s="247">
        <f t="shared" si="956"/>
        <v>25</v>
      </c>
      <c r="D189" s="74">
        <f>54/20</f>
        <v>2.7</v>
      </c>
      <c r="E189" s="247">
        <f t="shared" si="957"/>
        <v>27.000000000000004</v>
      </c>
      <c r="F189" s="74"/>
      <c r="G189" s="247">
        <f t="shared" si="958"/>
        <v>0</v>
      </c>
      <c r="H189" s="74"/>
      <c r="I189" s="247">
        <f t="shared" si="959"/>
        <v>0</v>
      </c>
      <c r="J189" s="74"/>
      <c r="K189" s="247">
        <f t="shared" si="960"/>
        <v>0</v>
      </c>
      <c r="L189" s="74"/>
      <c r="M189" s="247">
        <f t="shared" si="961"/>
        <v>0</v>
      </c>
      <c r="N189" s="74"/>
      <c r="O189" s="247">
        <f t="shared" si="962"/>
        <v>0</v>
      </c>
      <c r="P189" s="74"/>
      <c r="Q189" s="247">
        <f t="shared" ref="Q189" si="1011">(P189/100)*1000</f>
        <v>0</v>
      </c>
      <c r="R189" s="74"/>
      <c r="S189" s="247">
        <f t="shared" ref="S189" si="1012">(R189/100)*1000</f>
        <v>0</v>
      </c>
      <c r="T189" s="74"/>
      <c r="U189" s="247">
        <f t="shared" ref="U189" si="1013">(T189/100)*1000</f>
        <v>0</v>
      </c>
      <c r="V189" s="74"/>
      <c r="W189" s="247">
        <f t="shared" ref="W189" si="1014">(V189/100)*1000</f>
        <v>0</v>
      </c>
      <c r="X189" s="74"/>
      <c r="Y189" s="247">
        <f t="shared" ref="Y189" si="1015">(X189/100)*1000</f>
        <v>0</v>
      </c>
      <c r="Z189" s="74"/>
      <c r="AA189" s="247">
        <f t="shared" ref="AA189" si="1016">(Z189/100)*1000</f>
        <v>0</v>
      </c>
      <c r="AB189" s="74"/>
      <c r="AC189" s="247">
        <f t="shared" ref="AC189" si="1017">(AB189/100)*1000</f>
        <v>0</v>
      </c>
      <c r="AD189" s="74"/>
      <c r="AE189" s="247">
        <f t="shared" ref="AE189" si="1018">(AD189/100)*1000</f>
        <v>0</v>
      </c>
    </row>
    <row r="190" spans="1:31" ht="18.75" customHeight="1" outlineLevel="1">
      <c r="A190" s="376" t="str">
        <f t="shared" si="955"/>
        <v>DCP 18%</v>
      </c>
      <c r="B190" s="74"/>
      <c r="C190" s="247">
        <f t="shared" si="956"/>
        <v>0</v>
      </c>
      <c r="D190" s="74"/>
      <c r="E190" s="247">
        <f t="shared" si="957"/>
        <v>0</v>
      </c>
      <c r="F190" s="74"/>
      <c r="G190" s="247">
        <f t="shared" si="958"/>
        <v>0</v>
      </c>
      <c r="H190" s="74"/>
      <c r="I190" s="247">
        <f t="shared" si="959"/>
        <v>0</v>
      </c>
      <c r="J190" s="74"/>
      <c r="K190" s="247">
        <f t="shared" si="960"/>
        <v>0</v>
      </c>
      <c r="L190" s="74"/>
      <c r="M190" s="247">
        <f t="shared" si="961"/>
        <v>0</v>
      </c>
      <c r="N190" s="74"/>
      <c r="O190" s="247">
        <f t="shared" si="962"/>
        <v>0</v>
      </c>
      <c r="P190" s="74"/>
      <c r="Q190" s="247">
        <f t="shared" ref="Q190" si="1019">(P190/100)*1000</f>
        <v>0</v>
      </c>
      <c r="R190" s="74"/>
      <c r="S190" s="247">
        <f t="shared" ref="S190" si="1020">(R190/100)*1000</f>
        <v>0</v>
      </c>
      <c r="T190" s="74"/>
      <c r="U190" s="247">
        <f t="shared" ref="U190" si="1021">(T190/100)*1000</f>
        <v>0</v>
      </c>
      <c r="V190" s="74"/>
      <c r="W190" s="247">
        <f t="shared" ref="W190" si="1022">(V190/100)*1000</f>
        <v>0</v>
      </c>
      <c r="X190" s="74"/>
      <c r="Y190" s="247">
        <f t="shared" ref="Y190" si="1023">(X190/100)*1000</f>
        <v>0</v>
      </c>
      <c r="Z190" s="74"/>
      <c r="AA190" s="247">
        <f t="shared" ref="AA190" si="1024">(Z190/100)*1000</f>
        <v>0</v>
      </c>
      <c r="AB190" s="74"/>
      <c r="AC190" s="247">
        <f t="shared" ref="AC190" si="1025">(AB190/100)*1000</f>
        <v>0</v>
      </c>
      <c r="AD190" s="74"/>
      <c r="AE190" s="247">
        <f t="shared" ref="AE190" si="1026">(AD190/100)*1000</f>
        <v>0</v>
      </c>
    </row>
    <row r="191" spans="1:31" ht="18.75" customHeight="1" outlineLevel="1">
      <c r="A191" s="376" t="str">
        <f t="shared" si="955"/>
        <v>LIMESTONE POWDER (HARUMI)</v>
      </c>
      <c r="B191" s="74"/>
      <c r="C191" s="247">
        <f t="shared" si="956"/>
        <v>0</v>
      </c>
      <c r="D191" s="74">
        <f>0.5/20</f>
        <v>2.5000000000000001E-2</v>
      </c>
      <c r="E191" s="247">
        <f t="shared" si="957"/>
        <v>0.25</v>
      </c>
      <c r="F191" s="74"/>
      <c r="G191" s="247">
        <f t="shared" si="958"/>
        <v>0</v>
      </c>
      <c r="H191" s="74"/>
      <c r="I191" s="247">
        <f t="shared" si="959"/>
        <v>0</v>
      </c>
      <c r="J191" s="74"/>
      <c r="K191" s="247">
        <f t="shared" si="960"/>
        <v>0</v>
      </c>
      <c r="L191" s="74"/>
      <c r="M191" s="247">
        <f t="shared" si="961"/>
        <v>0</v>
      </c>
      <c r="N191" s="74"/>
      <c r="O191" s="247">
        <f t="shared" si="962"/>
        <v>0</v>
      </c>
      <c r="P191" s="74"/>
      <c r="Q191" s="247">
        <f t="shared" ref="Q191" si="1027">(P191/100)*1000</f>
        <v>0</v>
      </c>
      <c r="R191" s="74"/>
      <c r="S191" s="247">
        <f t="shared" ref="S191" si="1028">(R191/100)*1000</f>
        <v>0</v>
      </c>
      <c r="T191" s="74"/>
      <c r="U191" s="247">
        <f t="shared" ref="U191" si="1029">(T191/100)*1000</f>
        <v>0</v>
      </c>
      <c r="V191" s="74"/>
      <c r="W191" s="247">
        <f t="shared" ref="W191" si="1030">(V191/100)*1000</f>
        <v>0</v>
      </c>
      <c r="X191" s="74"/>
      <c r="Y191" s="247">
        <f t="shared" ref="Y191" si="1031">(X191/100)*1000</f>
        <v>0</v>
      </c>
      <c r="Z191" s="74"/>
      <c r="AA191" s="247">
        <f t="shared" ref="AA191" si="1032">(Z191/100)*1000</f>
        <v>0</v>
      </c>
      <c r="AB191" s="74"/>
      <c r="AC191" s="247">
        <f t="shared" ref="AC191" si="1033">(AB191/100)*1000</f>
        <v>0</v>
      </c>
      <c r="AD191" s="74"/>
      <c r="AE191" s="247">
        <f t="shared" ref="AE191" si="1034">(AD191/100)*1000</f>
        <v>0</v>
      </c>
    </row>
    <row r="192" spans="1:31" ht="18.75" customHeight="1" outlineLevel="1">
      <c r="A192" s="376" t="str">
        <f t="shared" si="955"/>
        <v>CHOLINE CHLORIDE 60%</v>
      </c>
      <c r="B192" s="74"/>
      <c r="C192" s="247">
        <f t="shared" si="956"/>
        <v>0</v>
      </c>
      <c r="D192" s="74"/>
      <c r="E192" s="247">
        <f t="shared" si="957"/>
        <v>0</v>
      </c>
      <c r="F192" s="74"/>
      <c r="G192" s="247">
        <f t="shared" si="958"/>
        <v>0</v>
      </c>
      <c r="H192" s="74"/>
      <c r="I192" s="247">
        <f t="shared" si="959"/>
        <v>0</v>
      </c>
      <c r="J192" s="74"/>
      <c r="K192" s="247">
        <f t="shared" si="960"/>
        <v>0</v>
      </c>
      <c r="L192" s="74"/>
      <c r="M192" s="247">
        <f t="shared" si="961"/>
        <v>0</v>
      </c>
      <c r="N192" s="74"/>
      <c r="O192" s="247">
        <f t="shared" si="962"/>
        <v>0</v>
      </c>
      <c r="P192" s="74"/>
      <c r="Q192" s="247">
        <f t="shared" ref="Q192" si="1035">(P192/100)*1000</f>
        <v>0</v>
      </c>
      <c r="R192" s="74"/>
      <c r="S192" s="247">
        <f t="shared" ref="S192" si="1036">(R192/100)*1000</f>
        <v>0</v>
      </c>
      <c r="T192" s="74"/>
      <c r="U192" s="247">
        <f t="shared" ref="U192" si="1037">(T192/100)*1000</f>
        <v>0</v>
      </c>
      <c r="V192" s="74"/>
      <c r="W192" s="247">
        <f t="shared" ref="W192" si="1038">(V192/100)*1000</f>
        <v>0</v>
      </c>
      <c r="X192" s="74"/>
      <c r="Y192" s="247">
        <f t="shared" ref="Y192" si="1039">(X192/100)*1000</f>
        <v>0</v>
      </c>
      <c r="Z192" s="74"/>
      <c r="AA192" s="247">
        <f t="shared" ref="AA192" si="1040">(Z192/100)*1000</f>
        <v>0</v>
      </c>
      <c r="AB192" s="74"/>
      <c r="AC192" s="247">
        <f t="shared" ref="AC192" si="1041">(AB192/100)*1000</f>
        <v>0</v>
      </c>
      <c r="AD192" s="74"/>
      <c r="AE192" s="247">
        <f t="shared" ref="AE192" si="1042">(AD192/100)*1000</f>
        <v>0</v>
      </c>
    </row>
    <row r="193" spans="1:31" ht="18.75" customHeight="1" outlineLevel="1">
      <c r="A193" s="376" t="str">
        <f t="shared" si="955"/>
        <v>INDUSTRY FLOUR</v>
      </c>
      <c r="B193" s="74"/>
      <c r="C193" s="247">
        <f t="shared" si="956"/>
        <v>0</v>
      </c>
      <c r="D193" s="74"/>
      <c r="E193" s="247">
        <f t="shared" si="957"/>
        <v>0</v>
      </c>
      <c r="F193" s="74"/>
      <c r="G193" s="247">
        <f t="shared" si="958"/>
        <v>0</v>
      </c>
      <c r="H193" s="74"/>
      <c r="I193" s="247">
        <f t="shared" si="959"/>
        <v>0</v>
      </c>
      <c r="J193" s="74"/>
      <c r="K193" s="247">
        <f t="shared" si="960"/>
        <v>0</v>
      </c>
      <c r="L193" s="74"/>
      <c r="M193" s="247">
        <f t="shared" si="961"/>
        <v>0</v>
      </c>
      <c r="N193" s="74"/>
      <c r="O193" s="247">
        <f t="shared" si="962"/>
        <v>0</v>
      </c>
      <c r="P193" s="74"/>
      <c r="Q193" s="247">
        <f t="shared" ref="Q193" si="1043">(P193/100)*1000</f>
        <v>0</v>
      </c>
      <c r="R193" s="74"/>
      <c r="S193" s="247">
        <f t="shared" ref="S193" si="1044">(R193/100)*1000</f>
        <v>0</v>
      </c>
      <c r="T193" s="74"/>
      <c r="U193" s="247">
        <f t="shared" ref="U193" si="1045">(T193/100)*1000</f>
        <v>0</v>
      </c>
      <c r="V193" s="74"/>
      <c r="W193" s="247">
        <f t="shared" ref="W193" si="1046">(V193/100)*1000</f>
        <v>0</v>
      </c>
      <c r="X193" s="74"/>
      <c r="Y193" s="247">
        <f t="shared" ref="Y193" si="1047">(X193/100)*1000</f>
        <v>0</v>
      </c>
      <c r="Z193" s="74"/>
      <c r="AA193" s="247">
        <f t="shared" ref="AA193" si="1048">(Z193/100)*1000</f>
        <v>0</v>
      </c>
      <c r="AB193" s="74"/>
      <c r="AC193" s="247">
        <f t="shared" ref="AC193" si="1049">(AB193/100)*1000</f>
        <v>0</v>
      </c>
      <c r="AD193" s="74"/>
      <c r="AE193" s="247">
        <f t="shared" ref="AE193" si="1050">(AD193/100)*1000</f>
        <v>0</v>
      </c>
    </row>
    <row r="194" spans="1:31" ht="18.75" customHeight="1" outlineLevel="1">
      <c r="A194" s="376" t="str">
        <f t="shared" si="955"/>
        <v>RICE BRAN</v>
      </c>
      <c r="B194" s="74"/>
      <c r="C194" s="247">
        <f t="shared" si="956"/>
        <v>0</v>
      </c>
      <c r="D194" s="74">
        <f>60/20</f>
        <v>3</v>
      </c>
      <c r="E194" s="247">
        <f t="shared" si="957"/>
        <v>30</v>
      </c>
      <c r="F194" s="74"/>
      <c r="G194" s="247">
        <f t="shared" si="958"/>
        <v>0</v>
      </c>
      <c r="H194" s="74"/>
      <c r="I194" s="247">
        <f t="shared" si="959"/>
        <v>0</v>
      </c>
      <c r="J194" s="74"/>
      <c r="K194" s="247">
        <f t="shared" si="960"/>
        <v>0</v>
      </c>
      <c r="L194" s="74"/>
      <c r="M194" s="247">
        <f t="shared" si="961"/>
        <v>0</v>
      </c>
      <c r="N194" s="74"/>
      <c r="O194" s="247">
        <f t="shared" si="962"/>
        <v>0</v>
      </c>
      <c r="P194" s="74"/>
      <c r="Q194" s="247">
        <f t="shared" ref="Q194" si="1051">(P194/100)*1000</f>
        <v>0</v>
      </c>
      <c r="R194" s="74"/>
      <c r="S194" s="247">
        <f t="shared" ref="S194" si="1052">(R194/100)*1000</f>
        <v>0</v>
      </c>
      <c r="T194" s="74"/>
      <c r="U194" s="247">
        <f t="shared" ref="U194" si="1053">(T194/100)*1000</f>
        <v>0</v>
      </c>
      <c r="V194" s="74"/>
      <c r="W194" s="247">
        <f t="shared" ref="W194" si="1054">(V194/100)*1000</f>
        <v>0</v>
      </c>
      <c r="X194" s="74"/>
      <c r="Y194" s="247">
        <f t="shared" ref="Y194" si="1055">(X194/100)*1000</f>
        <v>0</v>
      </c>
      <c r="Z194" s="74"/>
      <c r="AA194" s="247">
        <f t="shared" ref="AA194" si="1056">(Z194/100)*1000</f>
        <v>0</v>
      </c>
      <c r="AB194" s="74"/>
      <c r="AC194" s="247">
        <f t="shared" ref="AC194" si="1057">(AB194/100)*1000</f>
        <v>0</v>
      </c>
      <c r="AD194" s="74"/>
      <c r="AE194" s="247">
        <f t="shared" ref="AE194" si="1058">(AD194/100)*1000</f>
        <v>0</v>
      </c>
    </row>
    <row r="195" spans="1:31" ht="18.75" customHeight="1" outlineLevel="1">
      <c r="A195" s="376" t="str">
        <f t="shared" si="955"/>
        <v>EP 200</v>
      </c>
      <c r="B195" s="74"/>
      <c r="C195" s="247">
        <f t="shared" si="956"/>
        <v>0</v>
      </c>
      <c r="D195" s="74"/>
      <c r="E195" s="247">
        <f t="shared" si="957"/>
        <v>0</v>
      </c>
      <c r="F195" s="74"/>
      <c r="G195" s="247">
        <f t="shared" si="958"/>
        <v>0</v>
      </c>
      <c r="H195" s="74"/>
      <c r="I195" s="247">
        <f t="shared" si="959"/>
        <v>0</v>
      </c>
      <c r="J195" s="74"/>
      <c r="K195" s="247">
        <f t="shared" si="960"/>
        <v>0</v>
      </c>
      <c r="L195" s="74"/>
      <c r="M195" s="247">
        <f t="shared" si="961"/>
        <v>0</v>
      </c>
      <c r="N195" s="74"/>
      <c r="O195" s="247">
        <f t="shared" si="962"/>
        <v>0</v>
      </c>
      <c r="P195" s="74"/>
      <c r="Q195" s="247">
        <f t="shared" ref="Q195" si="1059">(P195/100)*1000</f>
        <v>0</v>
      </c>
      <c r="R195" s="74"/>
      <c r="S195" s="247">
        <f t="shared" ref="S195" si="1060">(R195/100)*1000</f>
        <v>0</v>
      </c>
      <c r="T195" s="74"/>
      <c r="U195" s="247">
        <f t="shared" ref="U195" si="1061">(T195/100)*1000</f>
        <v>0</v>
      </c>
      <c r="V195" s="74"/>
      <c r="W195" s="247">
        <f t="shared" ref="W195" si="1062">(V195/100)*1000</f>
        <v>0</v>
      </c>
      <c r="X195" s="74"/>
      <c r="Y195" s="247">
        <f t="shared" ref="Y195" si="1063">(X195/100)*1000</f>
        <v>0</v>
      </c>
      <c r="Z195" s="74"/>
      <c r="AA195" s="247">
        <f t="shared" ref="AA195" si="1064">(Z195/100)*1000</f>
        <v>0</v>
      </c>
      <c r="AB195" s="74"/>
      <c r="AC195" s="247">
        <f t="shared" ref="AC195" si="1065">(AB195/100)*1000</f>
        <v>0</v>
      </c>
      <c r="AD195" s="74"/>
      <c r="AE195" s="247">
        <f t="shared" ref="AE195" si="1066">(AD195/100)*1000</f>
        <v>0</v>
      </c>
    </row>
    <row r="196" spans="1:31" ht="18.75" customHeight="1" outlineLevel="1">
      <c r="A196" s="376" t="str">
        <f t="shared" si="955"/>
        <v>SOYTIDE</v>
      </c>
      <c r="B196" s="74"/>
      <c r="C196" s="247">
        <f t="shared" si="956"/>
        <v>0</v>
      </c>
      <c r="D196" s="74"/>
      <c r="E196" s="247">
        <f t="shared" si="957"/>
        <v>0</v>
      </c>
      <c r="F196" s="74"/>
      <c r="G196" s="247">
        <f t="shared" si="958"/>
        <v>0</v>
      </c>
      <c r="H196" s="74"/>
      <c r="I196" s="247">
        <f t="shared" si="959"/>
        <v>0</v>
      </c>
      <c r="J196" s="74"/>
      <c r="K196" s="247">
        <f t="shared" si="960"/>
        <v>0</v>
      </c>
      <c r="L196" s="74"/>
      <c r="M196" s="247">
        <f t="shared" si="961"/>
        <v>0</v>
      </c>
      <c r="N196" s="74"/>
      <c r="O196" s="247">
        <f t="shared" si="962"/>
        <v>0</v>
      </c>
      <c r="P196" s="74"/>
      <c r="Q196" s="247">
        <f t="shared" ref="Q196" si="1067">(P196/100)*1000</f>
        <v>0</v>
      </c>
      <c r="R196" s="74"/>
      <c r="S196" s="247">
        <f t="shared" ref="S196" si="1068">(R196/100)*1000</f>
        <v>0</v>
      </c>
      <c r="T196" s="74"/>
      <c r="U196" s="247">
        <f t="shared" ref="U196" si="1069">(T196/100)*1000</f>
        <v>0</v>
      </c>
      <c r="V196" s="74"/>
      <c r="W196" s="247">
        <f t="shared" ref="W196" si="1070">(V196/100)*1000</f>
        <v>0</v>
      </c>
      <c r="X196" s="74"/>
      <c r="Y196" s="247">
        <f t="shared" ref="Y196" si="1071">(X196/100)*1000</f>
        <v>0</v>
      </c>
      <c r="Z196" s="74"/>
      <c r="AA196" s="247">
        <f t="shared" ref="AA196" si="1072">(Z196/100)*1000</f>
        <v>0</v>
      </c>
      <c r="AB196" s="74"/>
      <c r="AC196" s="247">
        <f t="shared" ref="AC196" si="1073">(AB196/100)*1000</f>
        <v>0</v>
      </c>
      <c r="AD196" s="74"/>
      <c r="AE196" s="247">
        <f t="shared" ref="AE196" si="1074">(AD196/100)*1000</f>
        <v>0</v>
      </c>
    </row>
    <row r="197" spans="1:31" ht="18.75" customHeight="1" outlineLevel="1">
      <c r="A197" s="376" t="str">
        <f t="shared" si="955"/>
        <v>DCP 18% (HARUMI)</v>
      </c>
      <c r="B197" s="74"/>
      <c r="C197" s="247">
        <f t="shared" si="956"/>
        <v>0</v>
      </c>
      <c r="D197" s="74"/>
      <c r="E197" s="247">
        <f t="shared" si="957"/>
        <v>0</v>
      </c>
      <c r="F197" s="74"/>
      <c r="G197" s="247">
        <f t="shared" si="958"/>
        <v>0</v>
      </c>
      <c r="H197" s="74"/>
      <c r="I197" s="247">
        <f t="shared" si="959"/>
        <v>0</v>
      </c>
      <c r="J197" s="74"/>
      <c r="K197" s="247">
        <f t="shared" si="960"/>
        <v>0</v>
      </c>
      <c r="L197" s="74"/>
      <c r="M197" s="247">
        <f t="shared" si="961"/>
        <v>0</v>
      </c>
      <c r="N197" s="74"/>
      <c r="O197" s="247">
        <f t="shared" si="962"/>
        <v>0</v>
      </c>
      <c r="P197" s="74"/>
      <c r="Q197" s="247">
        <f t="shared" ref="Q197" si="1075">(P197/100)*1000</f>
        <v>0</v>
      </c>
      <c r="R197" s="74"/>
      <c r="S197" s="247">
        <f t="shared" ref="S197" si="1076">(R197/100)*1000</f>
        <v>0</v>
      </c>
      <c r="T197" s="74"/>
      <c r="U197" s="247">
        <f t="shared" ref="U197" si="1077">(T197/100)*1000</f>
        <v>0</v>
      </c>
      <c r="V197" s="74"/>
      <c r="W197" s="247">
        <f t="shared" ref="W197" si="1078">(V197/100)*1000</f>
        <v>0</v>
      </c>
      <c r="X197" s="74"/>
      <c r="Y197" s="247">
        <f t="shared" ref="Y197" si="1079">(X197/100)*1000</f>
        <v>0</v>
      </c>
      <c r="Z197" s="74"/>
      <c r="AA197" s="247">
        <f t="shared" ref="AA197" si="1080">(Z197/100)*1000</f>
        <v>0</v>
      </c>
      <c r="AB197" s="74"/>
      <c r="AC197" s="247">
        <f t="shared" ref="AC197" si="1081">(AB197/100)*1000</f>
        <v>0</v>
      </c>
      <c r="AD197" s="74"/>
      <c r="AE197" s="247">
        <f t="shared" ref="AE197" si="1082">(AD197/100)*1000</f>
        <v>0</v>
      </c>
    </row>
    <row r="198" spans="1:31" ht="18.75" customHeight="1" outlineLevel="1">
      <c r="A198" s="376">
        <f t="shared" si="955"/>
        <v>1</v>
      </c>
      <c r="B198" s="74"/>
      <c r="C198" s="247">
        <f t="shared" si="956"/>
        <v>0</v>
      </c>
      <c r="D198" s="74"/>
      <c r="E198" s="247">
        <f t="shared" si="957"/>
        <v>0</v>
      </c>
      <c r="F198" s="74"/>
      <c r="G198" s="247">
        <f t="shared" si="958"/>
        <v>0</v>
      </c>
      <c r="H198" s="74"/>
      <c r="I198" s="247">
        <f t="shared" si="959"/>
        <v>0</v>
      </c>
      <c r="J198" s="74"/>
      <c r="K198" s="247">
        <f t="shared" si="960"/>
        <v>0</v>
      </c>
      <c r="L198" s="74"/>
      <c r="M198" s="247">
        <f t="shared" si="961"/>
        <v>0</v>
      </c>
      <c r="N198" s="74"/>
      <c r="O198" s="247">
        <f t="shared" si="962"/>
        <v>0</v>
      </c>
      <c r="P198" s="74"/>
      <c r="Q198" s="247">
        <f t="shared" ref="Q198" si="1083">(P198/100)*1000</f>
        <v>0</v>
      </c>
      <c r="R198" s="74"/>
      <c r="S198" s="247">
        <f t="shared" ref="S198" si="1084">(R198/100)*1000</f>
        <v>0</v>
      </c>
      <c r="T198" s="74"/>
      <c r="U198" s="247">
        <f t="shared" ref="U198" si="1085">(T198/100)*1000</f>
        <v>0</v>
      </c>
      <c r="V198" s="74"/>
      <c r="W198" s="247">
        <f t="shared" ref="W198" si="1086">(V198/100)*1000</f>
        <v>0</v>
      </c>
      <c r="X198" s="74"/>
      <c r="Y198" s="247">
        <f t="shared" ref="Y198" si="1087">(X198/100)*1000</f>
        <v>0</v>
      </c>
      <c r="Z198" s="74"/>
      <c r="AA198" s="247">
        <f t="shared" ref="AA198" si="1088">(Z198/100)*1000</f>
        <v>0</v>
      </c>
      <c r="AB198" s="74"/>
      <c r="AC198" s="247">
        <f t="shared" ref="AC198" si="1089">(AB198/100)*1000</f>
        <v>0</v>
      </c>
      <c r="AD198" s="74"/>
      <c r="AE198" s="247">
        <f t="shared" ref="AE198" si="1090">(AD198/100)*1000</f>
        <v>0</v>
      </c>
    </row>
    <row r="199" spans="1:31" ht="18.75" customHeight="1" outlineLevel="1">
      <c r="A199" s="376">
        <f t="shared" si="955"/>
        <v>2</v>
      </c>
      <c r="B199" s="74"/>
      <c r="C199" s="247">
        <f t="shared" si="956"/>
        <v>0</v>
      </c>
      <c r="D199" s="74"/>
      <c r="E199" s="247">
        <f t="shared" si="957"/>
        <v>0</v>
      </c>
      <c r="F199" s="74"/>
      <c r="G199" s="247">
        <f t="shared" si="958"/>
        <v>0</v>
      </c>
      <c r="H199" s="74"/>
      <c r="I199" s="247">
        <f t="shared" si="959"/>
        <v>0</v>
      </c>
      <c r="J199" s="74"/>
      <c r="K199" s="247">
        <f t="shared" si="960"/>
        <v>0</v>
      </c>
      <c r="L199" s="74"/>
      <c r="M199" s="247">
        <f t="shared" si="961"/>
        <v>0</v>
      </c>
      <c r="N199" s="74"/>
      <c r="O199" s="247">
        <f t="shared" si="962"/>
        <v>0</v>
      </c>
      <c r="P199" s="74"/>
      <c r="Q199" s="247">
        <f t="shared" ref="Q199" si="1091">(P199/100)*1000</f>
        <v>0</v>
      </c>
      <c r="R199" s="74"/>
      <c r="S199" s="247">
        <f t="shared" ref="S199" si="1092">(R199/100)*1000</f>
        <v>0</v>
      </c>
      <c r="T199" s="74"/>
      <c r="U199" s="247">
        <f t="shared" ref="U199" si="1093">(T199/100)*1000</f>
        <v>0</v>
      </c>
      <c r="V199" s="74"/>
      <c r="W199" s="247">
        <f t="shared" ref="W199" si="1094">(V199/100)*1000</f>
        <v>0</v>
      </c>
      <c r="X199" s="74"/>
      <c r="Y199" s="247">
        <f t="shared" ref="Y199" si="1095">(X199/100)*1000</f>
        <v>0</v>
      </c>
      <c r="Z199" s="74"/>
      <c r="AA199" s="247">
        <f t="shared" ref="AA199" si="1096">(Z199/100)*1000</f>
        <v>0</v>
      </c>
      <c r="AB199" s="74"/>
      <c r="AC199" s="247">
        <f t="shared" ref="AC199" si="1097">(AB199/100)*1000</f>
        <v>0</v>
      </c>
      <c r="AD199" s="74"/>
      <c r="AE199" s="247">
        <f t="shared" ref="AE199" si="1098">(AD199/100)*1000</f>
        <v>0</v>
      </c>
    </row>
    <row r="200" spans="1:31" ht="18.75" customHeight="1" outlineLevel="1">
      <c r="A200" s="376">
        <f t="shared" si="955"/>
        <v>3</v>
      </c>
      <c r="B200" s="74"/>
      <c r="C200" s="247">
        <f t="shared" si="956"/>
        <v>0</v>
      </c>
      <c r="D200" s="74"/>
      <c r="E200" s="247">
        <f t="shared" si="957"/>
        <v>0</v>
      </c>
      <c r="F200" s="74"/>
      <c r="G200" s="247">
        <f t="shared" si="958"/>
        <v>0</v>
      </c>
      <c r="H200" s="74"/>
      <c r="I200" s="247">
        <f t="shared" si="959"/>
        <v>0</v>
      </c>
      <c r="J200" s="74"/>
      <c r="K200" s="247">
        <f t="shared" si="960"/>
        <v>0</v>
      </c>
      <c r="L200" s="74"/>
      <c r="M200" s="247">
        <f t="shared" si="961"/>
        <v>0</v>
      </c>
      <c r="N200" s="74"/>
      <c r="O200" s="247">
        <f t="shared" si="962"/>
        <v>0</v>
      </c>
      <c r="P200" s="74"/>
      <c r="Q200" s="247">
        <f t="shared" ref="Q200" si="1099">(P200/100)*1000</f>
        <v>0</v>
      </c>
      <c r="R200" s="74"/>
      <c r="S200" s="247">
        <f t="shared" ref="S200" si="1100">(R200/100)*1000</f>
        <v>0</v>
      </c>
      <c r="T200" s="74"/>
      <c r="U200" s="247">
        <f t="shared" ref="U200" si="1101">(T200/100)*1000</f>
        <v>0</v>
      </c>
      <c r="V200" s="74"/>
      <c r="W200" s="247">
        <f t="shared" ref="W200" si="1102">(V200/100)*1000</f>
        <v>0</v>
      </c>
      <c r="X200" s="74"/>
      <c r="Y200" s="247">
        <f t="shared" ref="Y200" si="1103">(X200/100)*1000</f>
        <v>0</v>
      </c>
      <c r="Z200" s="74"/>
      <c r="AA200" s="247">
        <f t="shared" ref="AA200" si="1104">(Z200/100)*1000</f>
        <v>0</v>
      </c>
      <c r="AB200" s="74"/>
      <c r="AC200" s="247">
        <f t="shared" ref="AC200" si="1105">(AB200/100)*1000</f>
        <v>0</v>
      </c>
      <c r="AD200" s="74"/>
      <c r="AE200" s="247">
        <f t="shared" ref="AE200" si="1106">(AD200/100)*1000</f>
        <v>0</v>
      </c>
    </row>
    <row r="201" spans="1:31" ht="18.75" customHeight="1" outlineLevel="1">
      <c r="A201" s="377" t="str">
        <f t="shared" si="955"/>
        <v>PREMIX 1101 (20KG)</v>
      </c>
      <c r="B201" s="74"/>
      <c r="C201" s="247">
        <f t="shared" si="956"/>
        <v>0</v>
      </c>
      <c r="D201" s="74"/>
      <c r="E201" s="247">
        <f t="shared" si="957"/>
        <v>0</v>
      </c>
      <c r="F201" s="74"/>
      <c r="G201" s="247">
        <f t="shared" si="958"/>
        <v>0</v>
      </c>
      <c r="H201" s="74"/>
      <c r="I201" s="247">
        <f t="shared" si="959"/>
        <v>0</v>
      </c>
      <c r="J201" s="74"/>
      <c r="K201" s="247">
        <f t="shared" si="960"/>
        <v>0</v>
      </c>
      <c r="L201" s="74"/>
      <c r="M201" s="247">
        <f t="shared" si="961"/>
        <v>0</v>
      </c>
      <c r="N201" s="74"/>
      <c r="O201" s="247">
        <f t="shared" si="962"/>
        <v>0</v>
      </c>
      <c r="P201" s="74"/>
      <c r="Q201" s="247">
        <f t="shared" ref="Q201" si="1107">(P201/100)*1000</f>
        <v>0</v>
      </c>
      <c r="R201" s="74"/>
      <c r="S201" s="247">
        <f t="shared" ref="S201" si="1108">(R201/100)*1000</f>
        <v>0</v>
      </c>
      <c r="T201" s="74"/>
      <c r="U201" s="247">
        <f t="shared" ref="U201" si="1109">(T201/100)*1000</f>
        <v>0</v>
      </c>
      <c r="V201" s="74"/>
      <c r="W201" s="247">
        <f t="shared" ref="W201" si="1110">(V201/100)*1000</f>
        <v>0</v>
      </c>
      <c r="X201" s="74"/>
      <c r="Y201" s="247">
        <f t="shared" ref="Y201" si="1111">(X201/100)*1000</f>
        <v>0</v>
      </c>
      <c r="Z201" s="74"/>
      <c r="AA201" s="247">
        <f t="shared" ref="AA201" si="1112">(Z201/100)*1000</f>
        <v>0</v>
      </c>
      <c r="AB201" s="74"/>
      <c r="AC201" s="247">
        <f t="shared" ref="AC201" si="1113">(AB201/100)*1000</f>
        <v>0</v>
      </c>
      <c r="AD201" s="74"/>
      <c r="AE201" s="247">
        <f t="shared" ref="AE201" si="1114">(AD201/100)*1000</f>
        <v>0</v>
      </c>
    </row>
    <row r="202" spans="1:31" ht="18.75" customHeight="1" outlineLevel="1">
      <c r="A202" s="377" t="str">
        <f t="shared" si="955"/>
        <v>PREMIX 1102 (20KG)</v>
      </c>
      <c r="B202" s="74"/>
      <c r="C202" s="247">
        <f t="shared" si="956"/>
        <v>0</v>
      </c>
      <c r="D202" s="74"/>
      <c r="E202" s="247">
        <f t="shared" si="957"/>
        <v>0</v>
      </c>
      <c r="F202" s="74"/>
      <c r="G202" s="247">
        <f t="shared" si="958"/>
        <v>0</v>
      </c>
      <c r="H202" s="74"/>
      <c r="I202" s="247">
        <f t="shared" si="959"/>
        <v>0</v>
      </c>
      <c r="J202" s="74"/>
      <c r="K202" s="247">
        <f t="shared" si="960"/>
        <v>0</v>
      </c>
      <c r="L202" s="74"/>
      <c r="M202" s="247">
        <f t="shared" si="961"/>
        <v>0</v>
      </c>
      <c r="N202" s="74"/>
      <c r="O202" s="247">
        <f t="shared" si="962"/>
        <v>0</v>
      </c>
      <c r="P202" s="74"/>
      <c r="Q202" s="247">
        <f t="shared" ref="Q202" si="1115">(P202/100)*1000</f>
        <v>0</v>
      </c>
      <c r="R202" s="74"/>
      <c r="S202" s="247">
        <f t="shared" ref="S202" si="1116">(R202/100)*1000</f>
        <v>0</v>
      </c>
      <c r="T202" s="74"/>
      <c r="U202" s="247">
        <f t="shared" ref="U202" si="1117">(T202/100)*1000</f>
        <v>0</v>
      </c>
      <c r="V202" s="74"/>
      <c r="W202" s="247">
        <f t="shared" ref="W202" si="1118">(V202/100)*1000</f>
        <v>0</v>
      </c>
      <c r="X202" s="74"/>
      <c r="Y202" s="247">
        <f t="shared" ref="Y202" si="1119">(X202/100)*1000</f>
        <v>0</v>
      </c>
      <c r="Z202" s="74"/>
      <c r="AA202" s="247">
        <f t="shared" ref="AA202" si="1120">(Z202/100)*1000</f>
        <v>0</v>
      </c>
      <c r="AB202" s="74"/>
      <c r="AC202" s="247">
        <f t="shared" ref="AC202" si="1121">(AB202/100)*1000</f>
        <v>0</v>
      </c>
      <c r="AD202" s="74"/>
      <c r="AE202" s="247">
        <f t="shared" ref="AE202" si="1122">(AD202/100)*1000</f>
        <v>0</v>
      </c>
    </row>
    <row r="203" spans="1:31" ht="18.75" customHeight="1" outlineLevel="1">
      <c r="A203" s="377" t="str">
        <f t="shared" si="955"/>
        <v>PREMIX 1103 (20KG)</v>
      </c>
      <c r="B203" s="74">
        <v>2</v>
      </c>
      <c r="C203" s="247">
        <f t="shared" si="956"/>
        <v>20</v>
      </c>
      <c r="D203" s="74">
        <v>2</v>
      </c>
      <c r="E203" s="247">
        <f t="shared" si="957"/>
        <v>20</v>
      </c>
      <c r="F203" s="74"/>
      <c r="G203" s="247">
        <f t="shared" si="958"/>
        <v>0</v>
      </c>
      <c r="H203" s="74"/>
      <c r="I203" s="247">
        <f t="shared" si="959"/>
        <v>0</v>
      </c>
      <c r="J203" s="74"/>
      <c r="K203" s="247">
        <f t="shared" si="960"/>
        <v>0</v>
      </c>
      <c r="L203" s="74"/>
      <c r="M203" s="247">
        <f t="shared" si="961"/>
        <v>0</v>
      </c>
      <c r="N203" s="74"/>
      <c r="O203" s="247">
        <f t="shared" si="962"/>
        <v>0</v>
      </c>
      <c r="P203" s="74"/>
      <c r="Q203" s="247">
        <f t="shared" ref="Q203" si="1123">(P203/100)*1000</f>
        <v>0</v>
      </c>
      <c r="R203" s="74"/>
      <c r="S203" s="247">
        <f t="shared" ref="S203" si="1124">(R203/100)*1000</f>
        <v>0</v>
      </c>
      <c r="T203" s="74"/>
      <c r="U203" s="247">
        <f t="shared" ref="U203" si="1125">(T203/100)*1000</f>
        <v>0</v>
      </c>
      <c r="V203" s="74"/>
      <c r="W203" s="247">
        <f t="shared" ref="W203" si="1126">(V203/100)*1000</f>
        <v>0</v>
      </c>
      <c r="X203" s="74"/>
      <c r="Y203" s="247">
        <f t="shared" ref="Y203" si="1127">(X203/100)*1000</f>
        <v>0</v>
      </c>
      <c r="Z203" s="74"/>
      <c r="AA203" s="247">
        <f t="shared" ref="AA203" si="1128">(Z203/100)*1000</f>
        <v>0</v>
      </c>
      <c r="AB203" s="74"/>
      <c r="AC203" s="247">
        <f t="shared" ref="AC203" si="1129">(AB203/100)*1000</f>
        <v>0</v>
      </c>
      <c r="AD203" s="74"/>
      <c r="AE203" s="247">
        <f t="shared" ref="AE203" si="1130">(AD203/100)*1000</f>
        <v>0</v>
      </c>
    </row>
    <row r="204" spans="1:31" ht="18.75" customHeight="1" outlineLevel="1">
      <c r="A204" s="377" t="str">
        <f t="shared" si="955"/>
        <v>PREMIX 311 (20KG)</v>
      </c>
      <c r="B204" s="74"/>
      <c r="C204" s="247">
        <f t="shared" si="956"/>
        <v>0</v>
      </c>
      <c r="D204" s="74"/>
      <c r="E204" s="247">
        <f t="shared" si="957"/>
        <v>0</v>
      </c>
      <c r="F204" s="74"/>
      <c r="G204" s="247">
        <f t="shared" si="958"/>
        <v>0</v>
      </c>
      <c r="H204" s="74"/>
      <c r="I204" s="247">
        <f t="shared" si="959"/>
        <v>0</v>
      </c>
      <c r="J204" s="74"/>
      <c r="K204" s="247">
        <f t="shared" si="960"/>
        <v>0</v>
      </c>
      <c r="L204" s="74"/>
      <c r="M204" s="247">
        <f t="shared" si="961"/>
        <v>0</v>
      </c>
      <c r="N204" s="74"/>
      <c r="O204" s="247">
        <f t="shared" si="962"/>
        <v>0</v>
      </c>
      <c r="P204" s="74"/>
      <c r="Q204" s="247">
        <f t="shared" ref="Q204" si="1131">(P204/100)*1000</f>
        <v>0</v>
      </c>
      <c r="R204" s="74"/>
      <c r="S204" s="247">
        <f t="shared" ref="S204" si="1132">(R204/100)*1000</f>
        <v>0</v>
      </c>
      <c r="T204" s="74"/>
      <c r="U204" s="247">
        <f t="shared" ref="U204" si="1133">(T204/100)*1000</f>
        <v>0</v>
      </c>
      <c r="V204" s="74"/>
      <c r="W204" s="247">
        <f t="shared" ref="W204" si="1134">(V204/100)*1000</f>
        <v>0</v>
      </c>
      <c r="X204" s="74"/>
      <c r="Y204" s="247">
        <f t="shared" ref="Y204" si="1135">(X204/100)*1000</f>
        <v>0</v>
      </c>
      <c r="Z204" s="74"/>
      <c r="AA204" s="247">
        <f t="shared" ref="AA204" si="1136">(Z204/100)*1000</f>
        <v>0</v>
      </c>
      <c r="AB204" s="74"/>
      <c r="AC204" s="247">
        <f t="shared" ref="AC204" si="1137">(AB204/100)*1000</f>
        <v>0</v>
      </c>
      <c r="AD204" s="74"/>
      <c r="AE204" s="247">
        <f t="shared" ref="AE204" si="1138">(AD204/100)*1000</f>
        <v>0</v>
      </c>
    </row>
    <row r="205" spans="1:31" ht="18.75" customHeight="1" outlineLevel="1">
      <c r="A205" s="377" t="str">
        <f t="shared" si="955"/>
        <v>PREMIX 312 (20KG)</v>
      </c>
      <c r="B205" s="74"/>
      <c r="C205" s="247">
        <f t="shared" si="956"/>
        <v>0</v>
      </c>
      <c r="D205" s="74"/>
      <c r="E205" s="247">
        <f t="shared" si="957"/>
        <v>0</v>
      </c>
      <c r="F205" s="74"/>
      <c r="G205" s="247">
        <f t="shared" si="958"/>
        <v>0</v>
      </c>
      <c r="H205" s="74"/>
      <c r="I205" s="247">
        <f t="shared" si="959"/>
        <v>0</v>
      </c>
      <c r="J205" s="74"/>
      <c r="K205" s="247">
        <f t="shared" si="960"/>
        <v>0</v>
      </c>
      <c r="L205" s="74"/>
      <c r="M205" s="247">
        <f t="shared" si="961"/>
        <v>0</v>
      </c>
      <c r="N205" s="74"/>
      <c r="O205" s="247">
        <f t="shared" si="962"/>
        <v>0</v>
      </c>
      <c r="P205" s="74"/>
      <c r="Q205" s="247">
        <f t="shared" ref="Q205" si="1139">(P205/100)*1000</f>
        <v>0</v>
      </c>
      <c r="R205" s="74"/>
      <c r="S205" s="247">
        <f t="shared" ref="S205" si="1140">(R205/100)*1000</f>
        <v>0</v>
      </c>
      <c r="T205" s="74"/>
      <c r="U205" s="247">
        <f t="shared" ref="U205" si="1141">(T205/100)*1000</f>
        <v>0</v>
      </c>
      <c r="V205" s="74"/>
      <c r="W205" s="247">
        <f t="shared" ref="W205" si="1142">(V205/100)*1000</f>
        <v>0</v>
      </c>
      <c r="X205" s="74"/>
      <c r="Y205" s="247">
        <f t="shared" ref="Y205" si="1143">(X205/100)*1000</f>
        <v>0</v>
      </c>
      <c r="Z205" s="74"/>
      <c r="AA205" s="247">
        <f t="shared" ref="AA205" si="1144">(Z205/100)*1000</f>
        <v>0</v>
      </c>
      <c r="AB205" s="74"/>
      <c r="AC205" s="247">
        <f t="shared" ref="AC205" si="1145">(AB205/100)*1000</f>
        <v>0</v>
      </c>
      <c r="AD205" s="74"/>
      <c r="AE205" s="247">
        <f t="shared" ref="AE205" si="1146">(AD205/100)*1000</f>
        <v>0</v>
      </c>
    </row>
    <row r="206" spans="1:31" ht="18.75" customHeight="1" outlineLevel="1">
      <c r="A206" s="377">
        <f t="shared" si="955"/>
        <v>1</v>
      </c>
      <c r="B206" s="74"/>
      <c r="C206" s="247">
        <f t="shared" si="956"/>
        <v>0</v>
      </c>
      <c r="D206" s="74"/>
      <c r="E206" s="247">
        <f t="shared" si="957"/>
        <v>0</v>
      </c>
      <c r="F206" s="74"/>
      <c r="G206" s="247">
        <f t="shared" si="958"/>
        <v>0</v>
      </c>
      <c r="H206" s="74"/>
      <c r="I206" s="247">
        <f t="shared" si="959"/>
        <v>0</v>
      </c>
      <c r="J206" s="74"/>
      <c r="K206" s="247">
        <f t="shared" si="960"/>
        <v>0</v>
      </c>
      <c r="L206" s="74"/>
      <c r="M206" s="247">
        <f t="shared" si="961"/>
        <v>0</v>
      </c>
      <c r="N206" s="74"/>
      <c r="O206" s="247">
        <f t="shared" si="962"/>
        <v>0</v>
      </c>
      <c r="P206" s="74"/>
      <c r="Q206" s="247">
        <f t="shared" ref="Q206" si="1147">(P206/100)*1000</f>
        <v>0</v>
      </c>
      <c r="R206" s="74"/>
      <c r="S206" s="247">
        <f t="shared" ref="S206" si="1148">(R206/100)*1000</f>
        <v>0</v>
      </c>
      <c r="T206" s="74"/>
      <c r="U206" s="247">
        <f t="shared" ref="U206" si="1149">(T206/100)*1000</f>
        <v>0</v>
      </c>
      <c r="V206" s="74"/>
      <c r="W206" s="247">
        <f t="shared" ref="W206" si="1150">(V206/100)*1000</f>
        <v>0</v>
      </c>
      <c r="X206" s="74"/>
      <c r="Y206" s="247">
        <f t="shared" ref="Y206" si="1151">(X206/100)*1000</f>
        <v>0</v>
      </c>
      <c r="Z206" s="74"/>
      <c r="AA206" s="247">
        <f t="shared" ref="AA206" si="1152">(Z206/100)*1000</f>
        <v>0</v>
      </c>
      <c r="AB206" s="74"/>
      <c r="AC206" s="247">
        <f t="shared" ref="AC206" si="1153">(AB206/100)*1000</f>
        <v>0</v>
      </c>
      <c r="AD206" s="74"/>
      <c r="AE206" s="247">
        <f t="shared" ref="AE206" si="1154">(AD206/100)*1000</f>
        <v>0</v>
      </c>
    </row>
    <row r="207" spans="1:31" ht="18.75" customHeight="1" outlineLevel="1">
      <c r="A207" s="377" t="str">
        <f t="shared" si="955"/>
        <v>PREMIX 8100 (20KG)</v>
      </c>
      <c r="B207" s="74"/>
      <c r="C207" s="247">
        <f t="shared" si="956"/>
        <v>0</v>
      </c>
      <c r="D207" s="74"/>
      <c r="E207" s="247">
        <f t="shared" si="957"/>
        <v>0</v>
      </c>
      <c r="F207" s="74"/>
      <c r="G207" s="247">
        <f t="shared" si="958"/>
        <v>0</v>
      </c>
      <c r="H207" s="74"/>
      <c r="I207" s="247">
        <f t="shared" si="959"/>
        <v>0</v>
      </c>
      <c r="J207" s="74"/>
      <c r="K207" s="247">
        <f t="shared" si="960"/>
        <v>0</v>
      </c>
      <c r="L207" s="74"/>
      <c r="M207" s="247">
        <f t="shared" si="961"/>
        <v>0</v>
      </c>
      <c r="N207" s="74"/>
      <c r="O207" s="247">
        <f t="shared" si="962"/>
        <v>0</v>
      </c>
      <c r="P207" s="74"/>
      <c r="Q207" s="247">
        <f t="shared" ref="Q207" si="1155">(P207/100)*1000</f>
        <v>0</v>
      </c>
      <c r="R207" s="74"/>
      <c r="S207" s="247">
        <f t="shared" ref="S207" si="1156">(R207/100)*1000</f>
        <v>0</v>
      </c>
      <c r="T207" s="74"/>
      <c r="U207" s="247">
        <f t="shared" ref="U207" si="1157">(T207/100)*1000</f>
        <v>0</v>
      </c>
      <c r="V207" s="74"/>
      <c r="W207" s="247">
        <f t="shared" ref="W207" si="1158">(V207/100)*1000</f>
        <v>0</v>
      </c>
      <c r="X207" s="74"/>
      <c r="Y207" s="247">
        <f t="shared" ref="Y207" si="1159">(X207/100)*1000</f>
        <v>0</v>
      </c>
      <c r="Z207" s="74"/>
      <c r="AA207" s="247">
        <f t="shared" ref="AA207" si="1160">(Z207/100)*1000</f>
        <v>0</v>
      </c>
      <c r="AB207" s="74"/>
      <c r="AC207" s="247">
        <f t="shared" ref="AC207" si="1161">(AB207/100)*1000</f>
        <v>0</v>
      </c>
      <c r="AD207" s="74"/>
      <c r="AE207" s="247">
        <f t="shared" ref="AE207" si="1162">(AD207/100)*1000</f>
        <v>0</v>
      </c>
    </row>
    <row r="208" spans="1:31" ht="18.75" customHeight="1" outlineLevel="1">
      <c r="A208" s="377" t="str">
        <f t="shared" si="955"/>
        <v>PREMIX 8101 (20KG)</v>
      </c>
      <c r="B208" s="74"/>
      <c r="C208" s="247">
        <f t="shared" si="956"/>
        <v>0</v>
      </c>
      <c r="D208" s="74"/>
      <c r="E208" s="247">
        <f t="shared" si="957"/>
        <v>0</v>
      </c>
      <c r="F208" s="74"/>
      <c r="G208" s="247">
        <f t="shared" si="958"/>
        <v>0</v>
      </c>
      <c r="H208" s="74"/>
      <c r="I208" s="247">
        <f t="shared" si="959"/>
        <v>0</v>
      </c>
      <c r="J208" s="74"/>
      <c r="K208" s="247">
        <f t="shared" si="960"/>
        <v>0</v>
      </c>
      <c r="L208" s="74"/>
      <c r="M208" s="247">
        <f t="shared" si="961"/>
        <v>0</v>
      </c>
      <c r="N208" s="74"/>
      <c r="O208" s="247">
        <f t="shared" si="962"/>
        <v>0</v>
      </c>
      <c r="P208" s="74"/>
      <c r="Q208" s="247">
        <f t="shared" ref="Q208" si="1163">(P208/100)*1000</f>
        <v>0</v>
      </c>
      <c r="R208" s="74"/>
      <c r="S208" s="247">
        <f t="shared" ref="S208" si="1164">(R208/100)*1000</f>
        <v>0</v>
      </c>
      <c r="T208" s="74"/>
      <c r="U208" s="247">
        <f t="shared" ref="U208" si="1165">(T208/100)*1000</f>
        <v>0</v>
      </c>
      <c r="V208" s="74"/>
      <c r="W208" s="247">
        <f t="shared" ref="W208" si="1166">(V208/100)*1000</f>
        <v>0</v>
      </c>
      <c r="X208" s="74"/>
      <c r="Y208" s="247">
        <f t="shared" ref="Y208" si="1167">(X208/100)*1000</f>
        <v>0</v>
      </c>
      <c r="Z208" s="74"/>
      <c r="AA208" s="247">
        <f t="shared" ref="AA208" si="1168">(Z208/100)*1000</f>
        <v>0</v>
      </c>
      <c r="AB208" s="74"/>
      <c r="AC208" s="247">
        <f t="shared" ref="AC208" si="1169">(AB208/100)*1000</f>
        <v>0</v>
      </c>
      <c r="AD208" s="74"/>
      <c r="AE208" s="247">
        <f t="shared" ref="AE208" si="1170">(AD208/100)*1000</f>
        <v>0</v>
      </c>
    </row>
    <row r="209" spans="1:31" ht="18.75" customHeight="1" outlineLevel="1">
      <c r="A209" s="377" t="str">
        <f t="shared" si="955"/>
        <v>PREMIX 8102 (20KG)</v>
      </c>
      <c r="B209" s="74"/>
      <c r="C209" s="247">
        <f t="shared" si="956"/>
        <v>0</v>
      </c>
      <c r="D209" s="74"/>
      <c r="E209" s="247">
        <f t="shared" si="957"/>
        <v>0</v>
      </c>
      <c r="F209" s="74"/>
      <c r="G209" s="247">
        <f t="shared" si="958"/>
        <v>0</v>
      </c>
      <c r="H209" s="74"/>
      <c r="I209" s="247">
        <f t="shared" si="959"/>
        <v>0</v>
      </c>
      <c r="J209" s="74"/>
      <c r="K209" s="247">
        <f t="shared" si="960"/>
        <v>0</v>
      </c>
      <c r="L209" s="74"/>
      <c r="M209" s="247">
        <f t="shared" si="961"/>
        <v>0</v>
      </c>
      <c r="N209" s="74"/>
      <c r="O209" s="247">
        <f t="shared" si="962"/>
        <v>0</v>
      </c>
      <c r="P209" s="74"/>
      <c r="Q209" s="247">
        <f t="shared" ref="Q209" si="1171">(P209/100)*1000</f>
        <v>0</v>
      </c>
      <c r="R209" s="74"/>
      <c r="S209" s="247">
        <f t="shared" ref="S209" si="1172">(R209/100)*1000</f>
        <v>0</v>
      </c>
      <c r="T209" s="74"/>
      <c r="U209" s="247">
        <f t="shared" ref="U209" si="1173">(T209/100)*1000</f>
        <v>0</v>
      </c>
      <c r="V209" s="74"/>
      <c r="W209" s="247">
        <f t="shared" ref="W209" si="1174">(V209/100)*1000</f>
        <v>0</v>
      </c>
      <c r="X209" s="74"/>
      <c r="Y209" s="247">
        <f t="shared" ref="Y209" si="1175">(X209/100)*1000</f>
        <v>0</v>
      </c>
      <c r="Z209" s="74"/>
      <c r="AA209" s="247">
        <f t="shared" ref="AA209" si="1176">(Z209/100)*1000</f>
        <v>0</v>
      </c>
      <c r="AB209" s="74"/>
      <c r="AC209" s="247">
        <f t="shared" ref="AC209" si="1177">(AB209/100)*1000</f>
        <v>0</v>
      </c>
      <c r="AD209" s="74"/>
      <c r="AE209" s="247">
        <f t="shared" ref="AE209" si="1178">(AD209/100)*1000</f>
        <v>0</v>
      </c>
    </row>
    <row r="210" spans="1:31" ht="18.75" customHeight="1" outlineLevel="1">
      <c r="A210" s="377" t="str">
        <f t="shared" si="955"/>
        <v>PREMIX 8103 (20KG)</v>
      </c>
      <c r="B210" s="74"/>
      <c r="C210" s="247">
        <f t="shared" si="956"/>
        <v>0</v>
      </c>
      <c r="D210" s="74"/>
      <c r="E210" s="247">
        <f t="shared" si="957"/>
        <v>0</v>
      </c>
      <c r="F210" s="74"/>
      <c r="G210" s="247">
        <f t="shared" si="958"/>
        <v>0</v>
      </c>
      <c r="H210" s="74"/>
      <c r="I210" s="247">
        <f t="shared" si="959"/>
        <v>0</v>
      </c>
      <c r="J210" s="408"/>
      <c r="K210" s="247">
        <f t="shared" si="960"/>
        <v>0</v>
      </c>
      <c r="L210" s="408"/>
      <c r="M210" s="247">
        <f t="shared" si="961"/>
        <v>0</v>
      </c>
      <c r="N210" s="74"/>
      <c r="O210" s="247">
        <f t="shared" si="962"/>
        <v>0</v>
      </c>
      <c r="P210" s="74"/>
      <c r="Q210" s="247">
        <f t="shared" ref="Q210" si="1179">(P210/100)*1000</f>
        <v>0</v>
      </c>
      <c r="R210" s="74"/>
      <c r="S210" s="247">
        <f t="shared" ref="S210" si="1180">(R210/100)*1000</f>
        <v>0</v>
      </c>
      <c r="T210" s="74"/>
      <c r="U210" s="247">
        <f t="shared" ref="U210" si="1181">(T210/100)*1000</f>
        <v>0</v>
      </c>
      <c r="V210" s="74"/>
      <c r="W210" s="247">
        <f t="shared" ref="W210" si="1182">(V210/100)*1000</f>
        <v>0</v>
      </c>
      <c r="X210" s="408"/>
      <c r="Y210" s="247">
        <f t="shared" ref="Y210" si="1183">(X210/100)*1000</f>
        <v>0</v>
      </c>
      <c r="Z210" s="408"/>
      <c r="AA210" s="247">
        <f t="shared" ref="AA210" si="1184">(Z210/100)*1000</f>
        <v>0</v>
      </c>
      <c r="AB210" s="74"/>
      <c r="AC210" s="247">
        <f t="shared" ref="AC210" si="1185">(AB210/100)*1000</f>
        <v>0</v>
      </c>
      <c r="AD210" s="74"/>
      <c r="AE210" s="247">
        <f t="shared" ref="AE210" si="1186">(AD210/100)*1000</f>
        <v>0</v>
      </c>
    </row>
    <row r="211" spans="1:31" ht="18.75" customHeight="1" outlineLevel="1">
      <c r="A211" s="377" t="str">
        <f t="shared" si="955"/>
        <v>PREMIX 8108 (20KG)</v>
      </c>
      <c r="B211" s="74"/>
      <c r="C211" s="247">
        <f t="shared" si="956"/>
        <v>0</v>
      </c>
      <c r="D211" s="74"/>
      <c r="E211" s="247">
        <f t="shared" si="957"/>
        <v>0</v>
      </c>
      <c r="F211" s="74"/>
      <c r="G211" s="247">
        <f t="shared" si="958"/>
        <v>0</v>
      </c>
      <c r="H211" s="74"/>
      <c r="I211" s="247">
        <f t="shared" si="959"/>
        <v>0</v>
      </c>
      <c r="J211" s="408"/>
      <c r="K211" s="247">
        <f t="shared" si="960"/>
        <v>0</v>
      </c>
      <c r="L211" s="74"/>
      <c r="M211" s="247">
        <f t="shared" si="961"/>
        <v>0</v>
      </c>
      <c r="N211" s="74"/>
      <c r="O211" s="247">
        <f t="shared" si="962"/>
        <v>0</v>
      </c>
      <c r="P211" s="74"/>
      <c r="Q211" s="247">
        <f t="shared" ref="Q211" si="1187">(P211/100)*1000</f>
        <v>0</v>
      </c>
      <c r="R211" s="74"/>
      <c r="S211" s="247">
        <f t="shared" ref="S211" si="1188">(R211/100)*1000</f>
        <v>0</v>
      </c>
      <c r="T211" s="74"/>
      <c r="U211" s="247">
        <f t="shared" ref="U211" si="1189">(T211/100)*1000</f>
        <v>0</v>
      </c>
      <c r="V211" s="74"/>
      <c r="W211" s="247">
        <f t="shared" ref="W211" si="1190">(V211/100)*1000</f>
        <v>0</v>
      </c>
      <c r="X211" s="408"/>
      <c r="Y211" s="247">
        <f t="shared" ref="Y211" si="1191">(X211/100)*1000</f>
        <v>0</v>
      </c>
      <c r="Z211" s="74"/>
      <c r="AA211" s="247">
        <f t="shared" ref="AA211" si="1192">(Z211/100)*1000</f>
        <v>0</v>
      </c>
      <c r="AB211" s="74"/>
      <c r="AC211" s="247">
        <f t="shared" ref="AC211" si="1193">(AB211/100)*1000</f>
        <v>0</v>
      </c>
      <c r="AD211" s="74"/>
      <c r="AE211" s="247">
        <f t="shared" ref="AE211" si="1194">(AD211/100)*1000</f>
        <v>0</v>
      </c>
    </row>
    <row r="212" spans="1:31" ht="18.75" customHeight="1" outlineLevel="1">
      <c r="A212" s="377" t="str">
        <f t="shared" si="955"/>
        <v>PREMIX 8109 (20KG)</v>
      </c>
      <c r="B212" s="74"/>
      <c r="C212" s="247">
        <f t="shared" si="956"/>
        <v>0</v>
      </c>
      <c r="D212" s="74"/>
      <c r="E212" s="247">
        <f t="shared" si="957"/>
        <v>0</v>
      </c>
      <c r="F212" s="74"/>
      <c r="G212" s="247">
        <f t="shared" si="958"/>
        <v>0</v>
      </c>
      <c r="H212" s="74"/>
      <c r="I212" s="247">
        <f t="shared" si="959"/>
        <v>0</v>
      </c>
      <c r="J212" s="74"/>
      <c r="K212" s="247">
        <f t="shared" si="960"/>
        <v>0</v>
      </c>
      <c r="L212" s="74"/>
      <c r="M212" s="247">
        <f t="shared" si="961"/>
        <v>0</v>
      </c>
      <c r="N212" s="74"/>
      <c r="O212" s="247">
        <f t="shared" si="962"/>
        <v>0</v>
      </c>
      <c r="P212" s="74"/>
      <c r="Q212" s="247">
        <f t="shared" ref="Q212" si="1195">(P212/100)*1000</f>
        <v>0</v>
      </c>
      <c r="R212" s="74"/>
      <c r="S212" s="247">
        <f t="shared" ref="S212" si="1196">(R212/100)*1000</f>
        <v>0</v>
      </c>
      <c r="T212" s="74"/>
      <c r="U212" s="247">
        <f t="shared" ref="U212" si="1197">(T212/100)*1000</f>
        <v>0</v>
      </c>
      <c r="V212" s="74"/>
      <c r="W212" s="247">
        <f t="shared" ref="W212" si="1198">(V212/100)*1000</f>
        <v>0</v>
      </c>
      <c r="X212" s="74"/>
      <c r="Y212" s="247">
        <f t="shared" ref="Y212" si="1199">(X212/100)*1000</f>
        <v>0</v>
      </c>
      <c r="Z212" s="74"/>
      <c r="AA212" s="247">
        <f t="shared" ref="AA212" si="1200">(Z212/100)*1000</f>
        <v>0</v>
      </c>
      <c r="AB212" s="74"/>
      <c r="AC212" s="247">
        <f t="shared" ref="AC212" si="1201">(AB212/100)*1000</f>
        <v>0</v>
      </c>
      <c r="AD212" s="74"/>
      <c r="AE212" s="247">
        <f t="shared" ref="AE212" si="1202">(AD212/100)*1000</f>
        <v>0</v>
      </c>
    </row>
    <row r="213" spans="1:31" ht="18.75" customHeight="1" outlineLevel="1">
      <c r="A213" s="377" t="str">
        <f t="shared" si="955"/>
        <v>YENMIX 121 (20KG)</v>
      </c>
      <c r="B213" s="74"/>
      <c r="C213" s="247">
        <f t="shared" si="956"/>
        <v>0</v>
      </c>
      <c r="D213" s="74"/>
      <c r="E213" s="247">
        <f t="shared" si="957"/>
        <v>0</v>
      </c>
      <c r="F213" s="74"/>
      <c r="G213" s="247">
        <f t="shared" si="958"/>
        <v>0</v>
      </c>
      <c r="H213" s="74"/>
      <c r="I213" s="247">
        <f t="shared" si="959"/>
        <v>0</v>
      </c>
      <c r="J213" s="74"/>
      <c r="K213" s="247">
        <f t="shared" si="960"/>
        <v>0</v>
      </c>
      <c r="L213" s="74"/>
      <c r="M213" s="247">
        <f t="shared" si="961"/>
        <v>0</v>
      </c>
      <c r="N213" s="74"/>
      <c r="O213" s="247">
        <f t="shared" si="962"/>
        <v>0</v>
      </c>
      <c r="P213" s="74"/>
      <c r="Q213" s="247">
        <f t="shared" ref="Q213" si="1203">(P213/100)*1000</f>
        <v>0</v>
      </c>
      <c r="R213" s="74"/>
      <c r="S213" s="247">
        <f t="shared" ref="S213" si="1204">(R213/100)*1000</f>
        <v>0</v>
      </c>
      <c r="T213" s="74"/>
      <c r="U213" s="247">
        <f t="shared" ref="U213" si="1205">(T213/100)*1000</f>
        <v>0</v>
      </c>
      <c r="V213" s="74"/>
      <c r="W213" s="247">
        <f t="shared" ref="W213" si="1206">(V213/100)*1000</f>
        <v>0</v>
      </c>
      <c r="X213" s="74"/>
      <c r="Y213" s="247">
        <f t="shared" ref="Y213" si="1207">(X213/100)*1000</f>
        <v>0</v>
      </c>
      <c r="Z213" s="74"/>
      <c r="AA213" s="247">
        <f t="shared" ref="AA213" si="1208">(Z213/100)*1000</f>
        <v>0</v>
      </c>
      <c r="AB213" s="74"/>
      <c r="AC213" s="247">
        <f t="shared" ref="AC213" si="1209">(AB213/100)*1000</f>
        <v>0</v>
      </c>
      <c r="AD213" s="74"/>
      <c r="AE213" s="247">
        <f t="shared" ref="AE213" si="1210">(AD213/100)*1000</f>
        <v>0</v>
      </c>
    </row>
    <row r="214" spans="1:31" ht="18.75" customHeight="1" outlineLevel="1">
      <c r="A214" s="377" t="str">
        <f t="shared" ref="A214:A232" si="1211">A38</f>
        <v>YENMIX 122 (19.50KG)</v>
      </c>
      <c r="B214" s="74"/>
      <c r="C214" s="247">
        <f t="shared" si="956"/>
        <v>0</v>
      </c>
      <c r="D214" s="74"/>
      <c r="E214" s="247">
        <f t="shared" si="957"/>
        <v>0</v>
      </c>
      <c r="F214" s="74"/>
      <c r="G214" s="247">
        <f t="shared" si="958"/>
        <v>0</v>
      </c>
      <c r="H214" s="74"/>
      <c r="I214" s="247">
        <f t="shared" si="959"/>
        <v>0</v>
      </c>
      <c r="J214" s="74"/>
      <c r="K214" s="247">
        <f t="shared" si="960"/>
        <v>0</v>
      </c>
      <c r="L214" s="74"/>
      <c r="M214" s="247">
        <f t="shared" si="961"/>
        <v>0</v>
      </c>
      <c r="N214" s="74"/>
      <c r="O214" s="247">
        <f t="shared" si="962"/>
        <v>0</v>
      </c>
      <c r="P214" s="74"/>
      <c r="Q214" s="247">
        <f t="shared" ref="Q214" si="1212">(P214/100)*1000</f>
        <v>0</v>
      </c>
      <c r="R214" s="74"/>
      <c r="S214" s="247">
        <f t="shared" ref="S214" si="1213">(R214/100)*1000</f>
        <v>0</v>
      </c>
      <c r="T214" s="74"/>
      <c r="U214" s="247">
        <f t="shared" ref="U214" si="1214">(T214/100)*1000</f>
        <v>0</v>
      </c>
      <c r="V214" s="74"/>
      <c r="W214" s="247">
        <f t="shared" ref="W214" si="1215">(V214/100)*1000</f>
        <v>0</v>
      </c>
      <c r="X214" s="74"/>
      <c r="Y214" s="247">
        <f t="shared" ref="Y214" si="1216">(X214/100)*1000</f>
        <v>0</v>
      </c>
      <c r="Z214" s="74"/>
      <c r="AA214" s="247">
        <f t="shared" ref="AA214" si="1217">(Z214/100)*1000</f>
        <v>0</v>
      </c>
      <c r="AB214" s="74"/>
      <c r="AC214" s="247">
        <f t="shared" ref="AC214" si="1218">(AB214/100)*1000</f>
        <v>0</v>
      </c>
      <c r="AD214" s="74"/>
      <c r="AE214" s="247">
        <f t="shared" ref="AE214" si="1219">(AD214/100)*1000</f>
        <v>0</v>
      </c>
    </row>
    <row r="215" spans="1:31" ht="18.75" customHeight="1" outlineLevel="1">
      <c r="A215" s="377" t="str">
        <f t="shared" si="1211"/>
        <v>YENMIX 123 (18.90KG)</v>
      </c>
      <c r="B215" s="74"/>
      <c r="C215" s="247">
        <f t="shared" si="956"/>
        <v>0</v>
      </c>
      <c r="D215" s="74"/>
      <c r="E215" s="247">
        <f t="shared" si="957"/>
        <v>0</v>
      </c>
      <c r="F215" s="74"/>
      <c r="G215" s="247">
        <f t="shared" si="958"/>
        <v>0</v>
      </c>
      <c r="H215" s="74"/>
      <c r="I215" s="247">
        <f t="shared" si="959"/>
        <v>0</v>
      </c>
      <c r="J215" s="74"/>
      <c r="K215" s="247">
        <f t="shared" si="960"/>
        <v>0</v>
      </c>
      <c r="L215" s="74"/>
      <c r="M215" s="247">
        <f t="shared" si="961"/>
        <v>0</v>
      </c>
      <c r="N215" s="74"/>
      <c r="O215" s="247">
        <f t="shared" si="962"/>
        <v>0</v>
      </c>
      <c r="P215" s="74"/>
      <c r="Q215" s="247">
        <f t="shared" ref="Q215" si="1220">(P215/100)*1000</f>
        <v>0</v>
      </c>
      <c r="R215" s="74"/>
      <c r="S215" s="247">
        <f t="shared" ref="S215" si="1221">(R215/100)*1000</f>
        <v>0</v>
      </c>
      <c r="T215" s="74"/>
      <c r="U215" s="247">
        <f t="shared" ref="U215" si="1222">(T215/100)*1000</f>
        <v>0</v>
      </c>
      <c r="V215" s="74"/>
      <c r="W215" s="247">
        <f t="shared" ref="W215" si="1223">(V215/100)*1000</f>
        <v>0</v>
      </c>
      <c r="X215" s="74"/>
      <c r="Y215" s="247">
        <f t="shared" ref="Y215" si="1224">(X215/100)*1000</f>
        <v>0</v>
      </c>
      <c r="Z215" s="74"/>
      <c r="AA215" s="247">
        <f t="shared" ref="AA215" si="1225">(Z215/100)*1000</f>
        <v>0</v>
      </c>
      <c r="AB215" s="74"/>
      <c r="AC215" s="247">
        <f t="shared" ref="AC215" si="1226">(AB215/100)*1000</f>
        <v>0</v>
      </c>
      <c r="AD215" s="74"/>
      <c r="AE215" s="247">
        <f t="shared" ref="AE215" si="1227">(AD215/100)*1000</f>
        <v>0</v>
      </c>
    </row>
    <row r="216" spans="1:31" ht="18.75" customHeight="1" outlineLevel="1">
      <c r="A216" s="377" t="str">
        <f t="shared" si="1211"/>
        <v>YENMIX 122 (20.50KG)</v>
      </c>
      <c r="B216" s="74"/>
      <c r="C216" s="247">
        <f t="shared" si="956"/>
        <v>0</v>
      </c>
      <c r="D216" s="74"/>
      <c r="E216" s="247">
        <f t="shared" si="957"/>
        <v>0</v>
      </c>
      <c r="F216" s="74"/>
      <c r="G216" s="247">
        <f t="shared" si="958"/>
        <v>0</v>
      </c>
      <c r="H216" s="74"/>
      <c r="I216" s="247">
        <f t="shared" si="959"/>
        <v>0</v>
      </c>
      <c r="J216" s="74"/>
      <c r="K216" s="247">
        <f t="shared" si="960"/>
        <v>0</v>
      </c>
      <c r="L216" s="74"/>
      <c r="M216" s="247">
        <f t="shared" si="961"/>
        <v>0</v>
      </c>
      <c r="N216" s="74"/>
      <c r="O216" s="247">
        <f t="shared" si="962"/>
        <v>0</v>
      </c>
      <c r="P216" s="74"/>
      <c r="Q216" s="247">
        <f t="shared" ref="Q216" si="1228">(P216/100)*1000</f>
        <v>0</v>
      </c>
      <c r="R216" s="74"/>
      <c r="S216" s="247">
        <f t="shared" ref="S216" si="1229">(R216/100)*1000</f>
        <v>0</v>
      </c>
      <c r="T216" s="74"/>
      <c r="U216" s="247">
        <f t="shared" ref="U216" si="1230">(T216/100)*1000</f>
        <v>0</v>
      </c>
      <c r="V216" s="74"/>
      <c r="W216" s="247">
        <f t="shared" ref="W216" si="1231">(V216/100)*1000</f>
        <v>0</v>
      </c>
      <c r="X216" s="74"/>
      <c r="Y216" s="247">
        <f t="shared" ref="Y216" si="1232">(X216/100)*1000</f>
        <v>0</v>
      </c>
      <c r="Z216" s="74"/>
      <c r="AA216" s="247">
        <f t="shared" ref="AA216" si="1233">(Z216/100)*1000</f>
        <v>0</v>
      </c>
      <c r="AB216" s="74"/>
      <c r="AC216" s="247">
        <f t="shared" ref="AC216" si="1234">(AB216/100)*1000</f>
        <v>0</v>
      </c>
      <c r="AD216" s="74"/>
      <c r="AE216" s="247">
        <f t="shared" ref="AE216" si="1235">(AD216/100)*1000</f>
        <v>0</v>
      </c>
    </row>
    <row r="217" spans="1:31" ht="18.75" customHeight="1" outlineLevel="1">
      <c r="A217" s="377" t="str">
        <f t="shared" si="1211"/>
        <v>YENMIX 123 (20.00KG)</v>
      </c>
      <c r="B217" s="74"/>
      <c r="C217" s="247">
        <f t="shared" si="956"/>
        <v>0</v>
      </c>
      <c r="D217" s="74"/>
      <c r="E217" s="247">
        <f t="shared" si="957"/>
        <v>0</v>
      </c>
      <c r="F217" s="74"/>
      <c r="G217" s="247">
        <f t="shared" si="958"/>
        <v>0</v>
      </c>
      <c r="H217" s="74"/>
      <c r="I217" s="247">
        <f t="shared" si="959"/>
        <v>0</v>
      </c>
      <c r="J217" s="74"/>
      <c r="K217" s="247">
        <f t="shared" si="960"/>
        <v>0</v>
      </c>
      <c r="L217" s="74"/>
      <c r="M217" s="247">
        <f t="shared" si="961"/>
        <v>0</v>
      </c>
      <c r="N217" s="74"/>
      <c r="O217" s="247">
        <f t="shared" si="962"/>
        <v>0</v>
      </c>
      <c r="P217" s="74"/>
      <c r="Q217" s="247">
        <f t="shared" ref="Q217" si="1236">(P217/100)*1000</f>
        <v>0</v>
      </c>
      <c r="R217" s="74"/>
      <c r="S217" s="247">
        <f t="shared" ref="S217" si="1237">(R217/100)*1000</f>
        <v>0</v>
      </c>
      <c r="T217" s="74"/>
      <c r="U217" s="247">
        <f t="shared" ref="U217" si="1238">(T217/100)*1000</f>
        <v>0</v>
      </c>
      <c r="V217" s="74"/>
      <c r="W217" s="247">
        <f t="shared" ref="W217" si="1239">(V217/100)*1000</f>
        <v>0</v>
      </c>
      <c r="X217" s="74"/>
      <c r="Y217" s="247">
        <f t="shared" ref="Y217" si="1240">(X217/100)*1000</f>
        <v>0</v>
      </c>
      <c r="Z217" s="74"/>
      <c r="AA217" s="247">
        <f t="shared" ref="AA217" si="1241">(Z217/100)*1000</f>
        <v>0</v>
      </c>
      <c r="AB217" s="74"/>
      <c r="AC217" s="247">
        <f t="shared" ref="AC217" si="1242">(AB217/100)*1000</f>
        <v>0</v>
      </c>
      <c r="AD217" s="74"/>
      <c r="AE217" s="247">
        <f t="shared" ref="AE217" si="1243">(AD217/100)*1000</f>
        <v>0</v>
      </c>
    </row>
    <row r="218" spans="1:31" ht="18.75" customHeight="1" outlineLevel="1">
      <c r="A218" s="377">
        <f t="shared" si="1211"/>
        <v>1</v>
      </c>
      <c r="B218" s="74"/>
      <c r="C218" s="247">
        <f t="shared" si="956"/>
        <v>0</v>
      </c>
      <c r="D218" s="74"/>
      <c r="E218" s="247">
        <f t="shared" si="957"/>
        <v>0</v>
      </c>
      <c r="F218" s="74"/>
      <c r="G218" s="247">
        <f t="shared" si="958"/>
        <v>0</v>
      </c>
      <c r="H218" s="74"/>
      <c r="I218" s="247">
        <f t="shared" si="959"/>
        <v>0</v>
      </c>
      <c r="J218" s="74"/>
      <c r="K218" s="247">
        <f t="shared" si="960"/>
        <v>0</v>
      </c>
      <c r="L218" s="74"/>
      <c r="M218" s="247">
        <f t="shared" si="961"/>
        <v>0</v>
      </c>
      <c r="N218" s="74"/>
      <c r="O218" s="247">
        <f t="shared" si="962"/>
        <v>0</v>
      </c>
      <c r="P218" s="74"/>
      <c r="Q218" s="247">
        <f t="shared" si="956"/>
        <v>0</v>
      </c>
      <c r="R218" s="74"/>
      <c r="S218" s="247">
        <f t="shared" si="956"/>
        <v>0</v>
      </c>
      <c r="T218" s="74"/>
      <c r="U218" s="247">
        <f t="shared" si="956"/>
        <v>0</v>
      </c>
      <c r="V218" s="74"/>
      <c r="W218" s="247">
        <f t="shared" si="956"/>
        <v>0</v>
      </c>
      <c r="X218" s="74"/>
      <c r="Y218" s="247">
        <f t="shared" si="956"/>
        <v>0</v>
      </c>
      <c r="Z218" s="74"/>
      <c r="AA218" s="247">
        <f t="shared" si="956"/>
        <v>0</v>
      </c>
      <c r="AB218" s="74"/>
      <c r="AC218" s="247">
        <f t="shared" si="956"/>
        <v>0</v>
      </c>
      <c r="AD218" s="74"/>
      <c r="AE218" s="247">
        <f t="shared" si="956"/>
        <v>0</v>
      </c>
    </row>
    <row r="219" spans="1:31" ht="18.75" customHeight="1" outlineLevel="1">
      <c r="A219" s="377">
        <f t="shared" si="1211"/>
        <v>2</v>
      </c>
      <c r="B219" s="74"/>
      <c r="C219" s="247">
        <f t="shared" si="956"/>
        <v>0</v>
      </c>
      <c r="D219" s="74"/>
      <c r="E219" s="247">
        <f t="shared" si="957"/>
        <v>0</v>
      </c>
      <c r="F219" s="74"/>
      <c r="G219" s="247">
        <f t="shared" si="958"/>
        <v>0</v>
      </c>
      <c r="H219" s="74"/>
      <c r="I219" s="247">
        <f t="shared" si="959"/>
        <v>0</v>
      </c>
      <c r="J219" s="74"/>
      <c r="K219" s="247">
        <f t="shared" si="960"/>
        <v>0</v>
      </c>
      <c r="L219" s="74"/>
      <c r="M219" s="247">
        <f t="shared" si="961"/>
        <v>0</v>
      </c>
      <c r="N219" s="74"/>
      <c r="O219" s="247">
        <f t="shared" si="962"/>
        <v>0</v>
      </c>
      <c r="P219" s="74"/>
      <c r="Q219" s="247">
        <f t="shared" si="956"/>
        <v>0</v>
      </c>
      <c r="R219" s="74"/>
      <c r="S219" s="247">
        <f t="shared" si="956"/>
        <v>0</v>
      </c>
      <c r="T219" s="74"/>
      <c r="U219" s="247">
        <f t="shared" si="956"/>
        <v>0</v>
      </c>
      <c r="V219" s="74"/>
      <c r="W219" s="247">
        <f t="shared" si="956"/>
        <v>0</v>
      </c>
      <c r="X219" s="74"/>
      <c r="Y219" s="247">
        <f t="shared" si="956"/>
        <v>0</v>
      </c>
      <c r="Z219" s="74"/>
      <c r="AA219" s="247">
        <f t="shared" si="956"/>
        <v>0</v>
      </c>
      <c r="AB219" s="74"/>
      <c r="AC219" s="247">
        <f t="shared" si="956"/>
        <v>0</v>
      </c>
      <c r="AD219" s="74"/>
      <c r="AE219" s="247">
        <f t="shared" si="956"/>
        <v>0</v>
      </c>
    </row>
    <row r="220" spans="1:31" ht="18.75" customHeight="1" outlineLevel="1">
      <c r="A220" s="377">
        <f t="shared" si="1211"/>
        <v>3</v>
      </c>
      <c r="B220" s="74"/>
      <c r="C220" s="247">
        <f t="shared" si="956"/>
        <v>0</v>
      </c>
      <c r="D220" s="74"/>
      <c r="E220" s="247">
        <f t="shared" si="957"/>
        <v>0</v>
      </c>
      <c r="F220" s="74"/>
      <c r="G220" s="247">
        <f t="shared" si="958"/>
        <v>0</v>
      </c>
      <c r="H220" s="74"/>
      <c r="I220" s="247">
        <f t="shared" si="959"/>
        <v>0</v>
      </c>
      <c r="J220" s="74"/>
      <c r="K220" s="247">
        <f t="shared" si="960"/>
        <v>0</v>
      </c>
      <c r="L220" s="74"/>
      <c r="M220" s="247">
        <f t="shared" si="961"/>
        <v>0</v>
      </c>
      <c r="N220" s="74"/>
      <c r="O220" s="247">
        <f t="shared" si="962"/>
        <v>0</v>
      </c>
      <c r="P220" s="74"/>
      <c r="Q220" s="247">
        <f t="shared" si="956"/>
        <v>0</v>
      </c>
      <c r="R220" s="74"/>
      <c r="S220" s="247">
        <f t="shared" si="956"/>
        <v>0</v>
      </c>
      <c r="T220" s="74"/>
      <c r="U220" s="247">
        <f t="shared" si="956"/>
        <v>0</v>
      </c>
      <c r="V220" s="74"/>
      <c r="W220" s="247">
        <f t="shared" si="956"/>
        <v>0</v>
      </c>
      <c r="X220" s="74"/>
      <c r="Y220" s="247">
        <f t="shared" si="956"/>
        <v>0</v>
      </c>
      <c r="Z220" s="74"/>
      <c r="AA220" s="247">
        <f t="shared" si="956"/>
        <v>0</v>
      </c>
      <c r="AB220" s="74"/>
      <c r="AC220" s="247">
        <f t="shared" si="956"/>
        <v>0</v>
      </c>
      <c r="AD220" s="74"/>
      <c r="AE220" s="247">
        <f t="shared" si="956"/>
        <v>0</v>
      </c>
    </row>
    <row r="221" spans="1:31" ht="18.75" customHeight="1" outlineLevel="1">
      <c r="A221" s="377" t="str">
        <f t="shared" si="1211"/>
        <v>TOXISORB PREMIUM</v>
      </c>
      <c r="B221" s="74">
        <f>1/20</f>
        <v>0.05</v>
      </c>
      <c r="C221" s="247">
        <f t="shared" si="956"/>
        <v>0.5</v>
      </c>
      <c r="D221" s="74"/>
      <c r="E221" s="247">
        <f t="shared" si="957"/>
        <v>0</v>
      </c>
      <c r="F221" s="74"/>
      <c r="G221" s="247">
        <f t="shared" si="958"/>
        <v>0</v>
      </c>
      <c r="H221" s="74"/>
      <c r="I221" s="247">
        <f t="shared" si="959"/>
        <v>0</v>
      </c>
      <c r="J221" s="74"/>
      <c r="K221" s="247">
        <f t="shared" si="960"/>
        <v>0</v>
      </c>
      <c r="L221" s="74"/>
      <c r="M221" s="247">
        <f t="shared" si="961"/>
        <v>0</v>
      </c>
      <c r="N221" s="74"/>
      <c r="O221" s="247">
        <f t="shared" si="962"/>
        <v>0</v>
      </c>
      <c r="P221" s="74"/>
      <c r="Q221" s="247">
        <f t="shared" si="956"/>
        <v>0</v>
      </c>
      <c r="R221" s="74"/>
      <c r="S221" s="247">
        <f t="shared" si="956"/>
        <v>0</v>
      </c>
      <c r="T221" s="74"/>
      <c r="U221" s="247">
        <f t="shared" si="956"/>
        <v>0</v>
      </c>
      <c r="V221" s="74"/>
      <c r="W221" s="247">
        <f t="shared" si="956"/>
        <v>0</v>
      </c>
      <c r="X221" s="74"/>
      <c r="Y221" s="247">
        <f t="shared" si="956"/>
        <v>0</v>
      </c>
      <c r="Z221" s="74"/>
      <c r="AA221" s="247">
        <f t="shared" si="956"/>
        <v>0</v>
      </c>
      <c r="AB221" s="74"/>
      <c r="AC221" s="247">
        <f t="shared" si="956"/>
        <v>0</v>
      </c>
      <c r="AD221" s="74"/>
      <c r="AE221" s="247">
        <f t="shared" si="956"/>
        <v>0</v>
      </c>
    </row>
    <row r="222" spans="1:31" ht="18.75" customHeight="1" outlineLevel="1">
      <c r="A222" s="377" t="str">
        <f t="shared" si="1211"/>
        <v>SODIUM HUMATE 3.8% (HARUMI)</v>
      </c>
      <c r="B222" s="74"/>
      <c r="C222" s="247">
        <f t="shared" si="956"/>
        <v>0</v>
      </c>
      <c r="D222" s="74"/>
      <c r="E222" s="247">
        <f t="shared" si="957"/>
        <v>0</v>
      </c>
      <c r="F222" s="74"/>
      <c r="G222" s="247">
        <f t="shared" si="958"/>
        <v>0</v>
      </c>
      <c r="H222" s="74"/>
      <c r="I222" s="247">
        <f t="shared" si="959"/>
        <v>0</v>
      </c>
      <c r="J222" s="74"/>
      <c r="K222" s="247">
        <f t="shared" si="960"/>
        <v>0</v>
      </c>
      <c r="L222" s="74"/>
      <c r="M222" s="247">
        <f t="shared" si="961"/>
        <v>0</v>
      </c>
      <c r="N222" s="74"/>
      <c r="O222" s="247">
        <f t="shared" si="962"/>
        <v>0</v>
      </c>
      <c r="P222" s="74"/>
      <c r="Q222" s="247">
        <f t="shared" si="956"/>
        <v>0</v>
      </c>
      <c r="R222" s="74"/>
      <c r="S222" s="247">
        <f t="shared" si="956"/>
        <v>0</v>
      </c>
      <c r="T222" s="74"/>
      <c r="U222" s="247">
        <f t="shared" si="956"/>
        <v>0</v>
      </c>
      <c r="V222" s="74"/>
      <c r="W222" s="247">
        <f t="shared" si="956"/>
        <v>0</v>
      </c>
      <c r="X222" s="74"/>
      <c r="Y222" s="247">
        <f t="shared" si="956"/>
        <v>0</v>
      </c>
      <c r="Z222" s="74"/>
      <c r="AA222" s="247">
        <f t="shared" si="956"/>
        <v>0</v>
      </c>
      <c r="AB222" s="74"/>
      <c r="AC222" s="247">
        <f t="shared" si="956"/>
        <v>0</v>
      </c>
      <c r="AD222" s="74"/>
      <c r="AE222" s="247">
        <f t="shared" si="956"/>
        <v>0</v>
      </c>
    </row>
    <row r="223" spans="1:31" ht="18.75" customHeight="1" outlineLevel="1">
      <c r="A223" s="377" t="str">
        <f t="shared" si="1211"/>
        <v>TOXIWALL</v>
      </c>
      <c r="B223" s="74"/>
      <c r="C223" s="247">
        <f t="shared" si="956"/>
        <v>0</v>
      </c>
      <c r="D223" s="74"/>
      <c r="E223" s="247">
        <f t="shared" si="957"/>
        <v>0</v>
      </c>
      <c r="F223" s="74"/>
      <c r="G223" s="247">
        <f t="shared" si="958"/>
        <v>0</v>
      </c>
      <c r="H223" s="74"/>
      <c r="I223" s="247">
        <f t="shared" si="959"/>
        <v>0</v>
      </c>
      <c r="J223" s="74"/>
      <c r="K223" s="247">
        <f t="shared" si="960"/>
        <v>0</v>
      </c>
      <c r="L223" s="74"/>
      <c r="M223" s="247">
        <f t="shared" si="961"/>
        <v>0</v>
      </c>
      <c r="N223" s="74"/>
      <c r="O223" s="247">
        <f t="shared" si="962"/>
        <v>0</v>
      </c>
      <c r="P223" s="74"/>
      <c r="Q223" s="247">
        <f t="shared" ref="Q223:Q224" si="1244">(P223/100)*1000</f>
        <v>0</v>
      </c>
      <c r="R223" s="74"/>
      <c r="S223" s="247">
        <f t="shared" ref="S223:S224" si="1245">(R223/100)*1000</f>
        <v>0</v>
      </c>
      <c r="T223" s="74"/>
      <c r="U223" s="247">
        <f t="shared" ref="U223:U224" si="1246">(T223/100)*1000</f>
        <v>0</v>
      </c>
      <c r="V223" s="74"/>
      <c r="W223" s="247">
        <f t="shared" ref="W223:W224" si="1247">(V223/100)*1000</f>
        <v>0</v>
      </c>
      <c r="X223" s="74"/>
      <c r="Y223" s="247">
        <f t="shared" ref="Y223:Y224" si="1248">(X223/100)*1000</f>
        <v>0</v>
      </c>
      <c r="Z223" s="74"/>
      <c r="AA223" s="247">
        <f t="shared" ref="AA223:AA224" si="1249">(Z223/100)*1000</f>
        <v>0</v>
      </c>
      <c r="AB223" s="74"/>
      <c r="AC223" s="247">
        <f t="shared" ref="AC223:AC224" si="1250">(AB223/100)*1000</f>
        <v>0</v>
      </c>
      <c r="AD223" s="74"/>
      <c r="AE223" s="247">
        <f t="shared" ref="AE223:AE224" si="1251">(AD223/100)*1000</f>
        <v>0</v>
      </c>
    </row>
    <row r="224" spans="1:31" ht="18.75" customHeight="1" outlineLevel="1">
      <c r="A224" s="377" t="str">
        <f t="shared" si="1211"/>
        <v>SODIUM BICARBONATE</v>
      </c>
      <c r="B224" s="74"/>
      <c r="C224" s="247">
        <f t="shared" ref="C224" si="1252">(B224/100)*1000</f>
        <v>0</v>
      </c>
      <c r="D224" s="74"/>
      <c r="E224" s="247">
        <f t="shared" si="957"/>
        <v>0</v>
      </c>
      <c r="F224" s="74"/>
      <c r="G224" s="247">
        <f t="shared" si="958"/>
        <v>0</v>
      </c>
      <c r="H224" s="74"/>
      <c r="I224" s="247">
        <f t="shared" si="959"/>
        <v>0</v>
      </c>
      <c r="J224" s="74"/>
      <c r="K224" s="247">
        <f t="shared" si="960"/>
        <v>0</v>
      </c>
      <c r="L224" s="408"/>
      <c r="M224" s="247">
        <f t="shared" si="961"/>
        <v>0</v>
      </c>
      <c r="N224" s="74"/>
      <c r="O224" s="247">
        <f t="shared" si="962"/>
        <v>0</v>
      </c>
      <c r="P224" s="74"/>
      <c r="Q224" s="247">
        <f t="shared" si="1244"/>
        <v>0</v>
      </c>
      <c r="R224" s="74"/>
      <c r="S224" s="247">
        <f t="shared" si="1245"/>
        <v>0</v>
      </c>
      <c r="T224" s="74"/>
      <c r="U224" s="247">
        <f t="shared" si="1246"/>
        <v>0</v>
      </c>
      <c r="V224" s="74"/>
      <c r="W224" s="247">
        <f t="shared" si="1247"/>
        <v>0</v>
      </c>
      <c r="X224" s="74"/>
      <c r="Y224" s="247">
        <f t="shared" si="1248"/>
        <v>0</v>
      </c>
      <c r="Z224" s="408"/>
      <c r="AA224" s="247">
        <f t="shared" si="1249"/>
        <v>0</v>
      </c>
      <c r="AB224" s="74"/>
      <c r="AC224" s="247">
        <f t="shared" si="1250"/>
        <v>0</v>
      </c>
      <c r="AD224" s="74"/>
      <c r="AE224" s="247">
        <f t="shared" si="1251"/>
        <v>0</v>
      </c>
    </row>
    <row r="225" spans="1:31" ht="18.75" customHeight="1" outlineLevel="1">
      <c r="A225" s="377" t="str">
        <f t="shared" si="1211"/>
        <v>BMD 10%</v>
      </c>
      <c r="B225" s="74"/>
      <c r="C225" s="247">
        <f t="shared" si="956"/>
        <v>0</v>
      </c>
      <c r="D225" s="74"/>
      <c r="E225" s="247">
        <f t="shared" si="957"/>
        <v>0</v>
      </c>
      <c r="F225" s="74"/>
      <c r="G225" s="247">
        <f t="shared" si="958"/>
        <v>0</v>
      </c>
      <c r="H225" s="74"/>
      <c r="I225" s="247">
        <f t="shared" si="959"/>
        <v>0</v>
      </c>
      <c r="J225" s="74"/>
      <c r="K225" s="247">
        <f t="shared" si="960"/>
        <v>0</v>
      </c>
      <c r="L225" s="74"/>
      <c r="M225" s="247">
        <f t="shared" si="961"/>
        <v>0</v>
      </c>
      <c r="N225" s="74"/>
      <c r="O225" s="247">
        <f t="shared" si="962"/>
        <v>0</v>
      </c>
      <c r="P225" s="74"/>
      <c r="Q225" s="247">
        <f t="shared" ref="Q225" si="1253">(P225/100)*1000</f>
        <v>0</v>
      </c>
      <c r="R225" s="74"/>
      <c r="S225" s="247">
        <f t="shared" ref="S225" si="1254">(R225/100)*1000</f>
        <v>0</v>
      </c>
      <c r="T225" s="74"/>
      <c r="U225" s="247">
        <f t="shared" ref="U225" si="1255">(T225/100)*1000</f>
        <v>0</v>
      </c>
      <c r="V225" s="74"/>
      <c r="W225" s="247">
        <f t="shared" ref="W225" si="1256">(V225/100)*1000</f>
        <v>0</v>
      </c>
      <c r="X225" s="74"/>
      <c r="Y225" s="247">
        <f t="shared" ref="Y225" si="1257">(X225/100)*1000</f>
        <v>0</v>
      </c>
      <c r="Z225" s="74"/>
      <c r="AA225" s="247">
        <f t="shared" ref="AA225" si="1258">(Z225/100)*1000</f>
        <v>0</v>
      </c>
      <c r="AB225" s="74"/>
      <c r="AC225" s="247">
        <f t="shared" ref="AC225" si="1259">(AB225/100)*1000</f>
        <v>0</v>
      </c>
      <c r="AD225" s="74"/>
      <c r="AE225" s="247">
        <f t="shared" ref="AE225" si="1260">(AD225/100)*1000</f>
        <v>0</v>
      </c>
    </row>
    <row r="226" spans="1:31" ht="18.75" customHeight="1" outlineLevel="1">
      <c r="A226" s="377" t="str">
        <f t="shared" si="1211"/>
        <v>SALT (HARUMI)</v>
      </c>
      <c r="B226" s="74"/>
      <c r="C226" s="247">
        <f t="shared" si="956"/>
        <v>0</v>
      </c>
      <c r="D226" s="74"/>
      <c r="E226" s="247">
        <f t="shared" si="957"/>
        <v>0</v>
      </c>
      <c r="F226" s="74"/>
      <c r="G226" s="247">
        <f t="shared" si="958"/>
        <v>0</v>
      </c>
      <c r="H226" s="74"/>
      <c r="I226" s="247">
        <f t="shared" si="959"/>
        <v>0</v>
      </c>
      <c r="J226" s="74"/>
      <c r="K226" s="247">
        <f t="shared" si="960"/>
        <v>0</v>
      </c>
      <c r="L226" s="74"/>
      <c r="M226" s="247">
        <f t="shared" si="961"/>
        <v>0</v>
      </c>
      <c r="N226" s="74"/>
      <c r="O226" s="247">
        <f t="shared" si="962"/>
        <v>0</v>
      </c>
      <c r="P226" s="74"/>
      <c r="Q226" s="247">
        <f t="shared" ref="Q226" si="1261">(P226/100)*1000</f>
        <v>0</v>
      </c>
      <c r="R226" s="74"/>
      <c r="S226" s="247">
        <f t="shared" ref="S226" si="1262">(R226/100)*1000</f>
        <v>0</v>
      </c>
      <c r="T226" s="74"/>
      <c r="U226" s="247">
        <f t="shared" ref="U226" si="1263">(T226/100)*1000</f>
        <v>0</v>
      </c>
      <c r="V226" s="74"/>
      <c r="W226" s="247">
        <f t="shared" ref="W226" si="1264">(V226/100)*1000</f>
        <v>0</v>
      </c>
      <c r="X226" s="74"/>
      <c r="Y226" s="247">
        <f t="shared" ref="Y226" si="1265">(X226/100)*1000</f>
        <v>0</v>
      </c>
      <c r="Z226" s="74"/>
      <c r="AA226" s="247">
        <f t="shared" ref="AA226" si="1266">(Z226/100)*1000</f>
        <v>0</v>
      </c>
      <c r="AB226" s="74"/>
      <c r="AC226" s="247">
        <f t="shared" ref="AC226" si="1267">(AB226/100)*1000</f>
        <v>0</v>
      </c>
      <c r="AD226" s="74"/>
      <c r="AE226" s="247">
        <f t="shared" ref="AE226" si="1268">(AD226/100)*1000</f>
        <v>0</v>
      </c>
    </row>
    <row r="227" spans="1:31" ht="18.75" customHeight="1" outlineLevel="1">
      <c r="A227" s="386" t="str">
        <f t="shared" si="1211"/>
        <v>VISTABET 91</v>
      </c>
      <c r="B227" s="74"/>
      <c r="C227" s="247">
        <f t="shared" si="956"/>
        <v>0</v>
      </c>
      <c r="D227" s="74"/>
      <c r="E227" s="247">
        <f t="shared" si="957"/>
        <v>0</v>
      </c>
      <c r="F227" s="74"/>
      <c r="G227" s="247">
        <f t="shared" si="958"/>
        <v>0</v>
      </c>
      <c r="H227" s="74"/>
      <c r="I227" s="247">
        <f t="shared" si="959"/>
        <v>0</v>
      </c>
      <c r="J227" s="74"/>
      <c r="K227" s="247">
        <f t="shared" si="960"/>
        <v>0</v>
      </c>
      <c r="L227" s="74"/>
      <c r="M227" s="247">
        <f t="shared" si="961"/>
        <v>0</v>
      </c>
      <c r="N227" s="74"/>
      <c r="O227" s="247">
        <f t="shared" si="962"/>
        <v>0</v>
      </c>
      <c r="P227" s="74"/>
      <c r="Q227" s="247">
        <f t="shared" ref="Q227" si="1269">(P227/100)*1000</f>
        <v>0</v>
      </c>
      <c r="R227" s="74"/>
      <c r="S227" s="247">
        <f t="shared" ref="S227" si="1270">(R227/100)*1000</f>
        <v>0</v>
      </c>
      <c r="T227" s="74"/>
      <c r="U227" s="247">
        <f t="shared" ref="U227" si="1271">(T227/100)*1000</f>
        <v>0</v>
      </c>
      <c r="V227" s="74"/>
      <c r="W227" s="247">
        <f t="shared" ref="W227" si="1272">(V227/100)*1000</f>
        <v>0</v>
      </c>
      <c r="X227" s="74"/>
      <c r="Y227" s="247">
        <f t="shared" ref="Y227" si="1273">(X227/100)*1000</f>
        <v>0</v>
      </c>
      <c r="Z227" s="74"/>
      <c r="AA227" s="247">
        <f t="shared" ref="AA227" si="1274">(Z227/100)*1000</f>
        <v>0</v>
      </c>
      <c r="AB227" s="74"/>
      <c r="AC227" s="247">
        <f t="shared" ref="AC227" si="1275">(AB227/100)*1000</f>
        <v>0</v>
      </c>
      <c r="AD227" s="74"/>
      <c r="AE227" s="247">
        <f t="shared" ref="AE227" si="1276">(AD227/100)*1000</f>
        <v>0</v>
      </c>
    </row>
    <row r="228" spans="1:31" ht="18.75" customHeight="1" outlineLevel="1">
      <c r="A228" s="386" t="str">
        <f t="shared" si="1211"/>
        <v>BETAFIN</v>
      </c>
      <c r="B228" s="74"/>
      <c r="C228" s="247">
        <f t="shared" si="956"/>
        <v>0</v>
      </c>
      <c r="D228" s="74"/>
      <c r="E228" s="247">
        <f t="shared" si="957"/>
        <v>0</v>
      </c>
      <c r="F228" s="74"/>
      <c r="G228" s="247">
        <f t="shared" si="958"/>
        <v>0</v>
      </c>
      <c r="H228" s="74"/>
      <c r="I228" s="247">
        <f t="shared" si="959"/>
        <v>0</v>
      </c>
      <c r="J228" s="74"/>
      <c r="K228" s="247">
        <f t="shared" si="960"/>
        <v>0</v>
      </c>
      <c r="L228" s="74"/>
      <c r="M228" s="247">
        <f t="shared" si="961"/>
        <v>0</v>
      </c>
      <c r="N228" s="74"/>
      <c r="O228" s="247">
        <f t="shared" si="962"/>
        <v>0</v>
      </c>
      <c r="P228" s="74"/>
      <c r="Q228" s="247">
        <f t="shared" ref="Q228" si="1277">(P228/100)*1000</f>
        <v>0</v>
      </c>
      <c r="R228" s="74"/>
      <c r="S228" s="247">
        <f t="shared" ref="S228" si="1278">(R228/100)*1000</f>
        <v>0</v>
      </c>
      <c r="T228" s="74"/>
      <c r="U228" s="247">
        <f t="shared" ref="U228" si="1279">(T228/100)*1000</f>
        <v>0</v>
      </c>
      <c r="V228" s="74"/>
      <c r="W228" s="247">
        <f t="shared" ref="W228" si="1280">(V228/100)*1000</f>
        <v>0</v>
      </c>
      <c r="X228" s="74"/>
      <c r="Y228" s="247">
        <f t="shared" ref="Y228" si="1281">(X228/100)*1000</f>
        <v>0</v>
      </c>
      <c r="Z228" s="74"/>
      <c r="AA228" s="247">
        <f t="shared" ref="AA228" si="1282">(Z228/100)*1000</f>
        <v>0</v>
      </c>
      <c r="AB228" s="74"/>
      <c r="AC228" s="247">
        <f t="shared" ref="AC228" si="1283">(AB228/100)*1000</f>
        <v>0</v>
      </c>
      <c r="AD228" s="74"/>
      <c r="AE228" s="247">
        <f t="shared" ref="AE228" si="1284">(AD228/100)*1000</f>
        <v>0</v>
      </c>
    </row>
    <row r="229" spans="1:31" ht="18.75" customHeight="1" outlineLevel="1">
      <c r="A229" s="386" t="str">
        <f t="shared" si="1211"/>
        <v>8101 TOP UP</v>
      </c>
      <c r="B229" s="74"/>
      <c r="C229" s="247">
        <f t="shared" si="956"/>
        <v>0</v>
      </c>
      <c r="D229" s="74"/>
      <c r="E229" s="247">
        <f t="shared" si="957"/>
        <v>0</v>
      </c>
      <c r="F229" s="74"/>
      <c r="G229" s="247">
        <f t="shared" si="958"/>
        <v>0</v>
      </c>
      <c r="H229" s="74"/>
      <c r="I229" s="247">
        <f t="shared" si="959"/>
        <v>0</v>
      </c>
      <c r="J229" s="74"/>
      <c r="K229" s="247">
        <f t="shared" si="960"/>
        <v>0</v>
      </c>
      <c r="L229" s="74"/>
      <c r="M229" s="247">
        <f t="shared" si="961"/>
        <v>0</v>
      </c>
      <c r="N229" s="74"/>
      <c r="O229" s="247">
        <f t="shared" si="962"/>
        <v>0</v>
      </c>
      <c r="P229" s="74"/>
      <c r="Q229" s="247">
        <f t="shared" ref="Q229" si="1285">(P229/100)*1000</f>
        <v>0</v>
      </c>
      <c r="R229" s="74"/>
      <c r="S229" s="247">
        <f t="shared" ref="S229" si="1286">(R229/100)*1000</f>
        <v>0</v>
      </c>
      <c r="T229" s="74"/>
      <c r="U229" s="247">
        <f t="shared" ref="U229" si="1287">(T229/100)*1000</f>
        <v>0</v>
      </c>
      <c r="V229" s="74"/>
      <c r="W229" s="247">
        <f t="shared" ref="W229" si="1288">(V229/100)*1000</f>
        <v>0</v>
      </c>
      <c r="X229" s="74"/>
      <c r="Y229" s="247">
        <f t="shared" ref="Y229" si="1289">(X229/100)*1000</f>
        <v>0</v>
      </c>
      <c r="Z229" s="74"/>
      <c r="AA229" s="247">
        <f t="shared" ref="AA229" si="1290">(Z229/100)*1000</f>
        <v>0</v>
      </c>
      <c r="AB229" s="74"/>
      <c r="AC229" s="247">
        <f t="shared" ref="AC229" si="1291">(AB229/100)*1000</f>
        <v>0</v>
      </c>
      <c r="AD229" s="74"/>
      <c r="AE229" s="247">
        <f t="shared" ref="AE229" si="1292">(AD229/100)*1000</f>
        <v>0</v>
      </c>
    </row>
    <row r="230" spans="1:31" ht="18.75" customHeight="1" outlineLevel="1">
      <c r="A230" s="386" t="str">
        <f t="shared" si="1211"/>
        <v>NORPONIN X03 (8102 TOP UP)</v>
      </c>
      <c r="B230" s="74"/>
      <c r="C230" s="247">
        <f t="shared" si="956"/>
        <v>0</v>
      </c>
      <c r="D230" s="74"/>
      <c r="E230" s="247">
        <f t="shared" si="957"/>
        <v>0</v>
      </c>
      <c r="F230" s="74"/>
      <c r="G230" s="247">
        <f t="shared" si="958"/>
        <v>0</v>
      </c>
      <c r="H230" s="74"/>
      <c r="I230" s="247">
        <f t="shared" si="959"/>
        <v>0</v>
      </c>
      <c r="J230" s="74"/>
      <c r="K230" s="247">
        <f t="shared" si="960"/>
        <v>0</v>
      </c>
      <c r="L230" s="74"/>
      <c r="M230" s="247">
        <f t="shared" si="961"/>
        <v>0</v>
      </c>
      <c r="N230" s="74"/>
      <c r="O230" s="247">
        <f t="shared" si="962"/>
        <v>0</v>
      </c>
      <c r="P230" s="74"/>
      <c r="Q230" s="247">
        <f t="shared" ref="Q230" si="1293">(P230/100)*1000</f>
        <v>0</v>
      </c>
      <c r="R230" s="74"/>
      <c r="S230" s="247">
        <f t="shared" ref="S230" si="1294">(R230/100)*1000</f>
        <v>0</v>
      </c>
      <c r="T230" s="74"/>
      <c r="U230" s="247">
        <f t="shared" ref="U230" si="1295">(T230/100)*1000</f>
        <v>0</v>
      </c>
      <c r="V230" s="74"/>
      <c r="W230" s="247">
        <f t="shared" ref="W230" si="1296">(V230/100)*1000</f>
        <v>0</v>
      </c>
      <c r="X230" s="74"/>
      <c r="Y230" s="247">
        <f t="shared" ref="Y230" si="1297">(X230/100)*1000</f>
        <v>0</v>
      </c>
      <c r="Z230" s="74"/>
      <c r="AA230" s="247">
        <f t="shared" ref="AA230" si="1298">(Z230/100)*1000</f>
        <v>0</v>
      </c>
      <c r="AB230" s="74"/>
      <c r="AC230" s="247">
        <f t="shared" ref="AC230" si="1299">(AB230/100)*1000</f>
        <v>0</v>
      </c>
      <c r="AD230" s="74"/>
      <c r="AE230" s="247">
        <f t="shared" ref="AE230" si="1300">(AD230/100)*1000</f>
        <v>0</v>
      </c>
    </row>
    <row r="231" spans="1:31" ht="18.75" customHeight="1" outlineLevel="1">
      <c r="A231" s="386" t="str">
        <f t="shared" si="1211"/>
        <v>8102 TOP UP (4KG)</v>
      </c>
      <c r="B231" s="357"/>
      <c r="C231" s="362">
        <f t="shared" si="956"/>
        <v>0</v>
      </c>
      <c r="D231" s="357"/>
      <c r="E231" s="362">
        <f t="shared" si="957"/>
        <v>0</v>
      </c>
      <c r="F231" s="357"/>
      <c r="G231" s="362">
        <f t="shared" si="958"/>
        <v>0</v>
      </c>
      <c r="H231" s="357"/>
      <c r="I231" s="362">
        <f t="shared" si="959"/>
        <v>0</v>
      </c>
      <c r="J231" s="357"/>
      <c r="K231" s="362">
        <f t="shared" si="960"/>
        <v>0</v>
      </c>
      <c r="L231" s="357"/>
      <c r="M231" s="362">
        <f t="shared" si="961"/>
        <v>0</v>
      </c>
      <c r="N231" s="357"/>
      <c r="O231" s="362">
        <f t="shared" si="962"/>
        <v>0</v>
      </c>
      <c r="P231" s="357"/>
      <c r="Q231" s="362">
        <f t="shared" ref="Q231" si="1301">(P231/100)*1000</f>
        <v>0</v>
      </c>
      <c r="R231" s="357"/>
      <c r="S231" s="362">
        <f t="shared" ref="S231" si="1302">(R231/100)*1000</f>
        <v>0</v>
      </c>
      <c r="T231" s="357"/>
      <c r="U231" s="362">
        <f t="shared" ref="U231" si="1303">(T231/100)*1000</f>
        <v>0</v>
      </c>
      <c r="V231" s="357"/>
      <c r="W231" s="362">
        <f t="shared" ref="W231" si="1304">(V231/100)*1000</f>
        <v>0</v>
      </c>
      <c r="X231" s="357"/>
      <c r="Y231" s="362">
        <f t="shared" ref="Y231" si="1305">(X231/100)*1000</f>
        <v>0</v>
      </c>
      <c r="Z231" s="357"/>
      <c r="AA231" s="362">
        <f t="shared" ref="AA231" si="1306">(Z231/100)*1000</f>
        <v>0</v>
      </c>
      <c r="AB231" s="357"/>
      <c r="AC231" s="362">
        <f t="shared" ref="AC231" si="1307">(AB231/100)*1000</f>
        <v>0</v>
      </c>
      <c r="AD231" s="357"/>
      <c r="AE231" s="362">
        <f t="shared" ref="AE231" si="1308">(AD231/100)*1000</f>
        <v>0</v>
      </c>
    </row>
    <row r="232" spans="1:31" ht="18.75" customHeight="1" outlineLevel="1">
      <c r="A232" s="386" t="str">
        <f t="shared" si="1211"/>
        <v>8103 TOP UP (5KG)</v>
      </c>
      <c r="B232" s="74"/>
      <c r="C232" s="378">
        <f t="shared" si="956"/>
        <v>0</v>
      </c>
      <c r="D232" s="74"/>
      <c r="E232" s="378">
        <f t="shared" si="957"/>
        <v>0</v>
      </c>
      <c r="F232" s="74"/>
      <c r="G232" s="378">
        <f t="shared" si="958"/>
        <v>0</v>
      </c>
      <c r="H232" s="74"/>
      <c r="I232" s="378">
        <f t="shared" si="959"/>
        <v>0</v>
      </c>
      <c r="J232" s="74"/>
      <c r="K232" s="378">
        <f t="shared" si="960"/>
        <v>0</v>
      </c>
      <c r="L232" s="74"/>
      <c r="M232" s="378">
        <f t="shared" si="961"/>
        <v>0</v>
      </c>
      <c r="N232" s="74"/>
      <c r="O232" s="378">
        <f t="shared" si="962"/>
        <v>0</v>
      </c>
      <c r="P232" s="74"/>
      <c r="Q232" s="378">
        <f t="shared" ref="Q232:Q256" si="1309">(P232/100)*1000</f>
        <v>0</v>
      </c>
      <c r="R232" s="74"/>
      <c r="S232" s="378">
        <f t="shared" ref="S232:S256" si="1310">(R232/100)*1000</f>
        <v>0</v>
      </c>
      <c r="T232" s="74"/>
      <c r="U232" s="378">
        <f t="shared" ref="U232:U256" si="1311">(T232/100)*1000</f>
        <v>0</v>
      </c>
      <c r="V232" s="74"/>
      <c r="W232" s="378">
        <f t="shared" ref="W232:W256" si="1312">(V232/100)*1000</f>
        <v>0</v>
      </c>
      <c r="X232" s="74"/>
      <c r="Y232" s="378">
        <f t="shared" ref="Y232:Y256" si="1313">(X232/100)*1000</f>
        <v>0</v>
      </c>
      <c r="Z232" s="74"/>
      <c r="AA232" s="378">
        <f t="shared" ref="AA232:AA256" si="1314">(Z232/100)*1000</f>
        <v>0</v>
      </c>
      <c r="AB232" s="74"/>
      <c r="AC232" s="378">
        <f t="shared" ref="AC232:AC256" si="1315">(AB232/100)*1000</f>
        <v>0</v>
      </c>
      <c r="AD232" s="74"/>
      <c r="AE232" s="378">
        <f t="shared" ref="AE232:AE256" si="1316">(AD232/100)*1000</f>
        <v>0</v>
      </c>
    </row>
    <row r="233" spans="1:31" ht="18.75" customHeight="1" outlineLevel="1">
      <c r="A233" s="377" t="str">
        <f>A145</f>
        <v>L-ARGININE</v>
      </c>
      <c r="B233" s="74"/>
      <c r="C233" s="378">
        <f t="shared" si="956"/>
        <v>0</v>
      </c>
      <c r="D233" s="74"/>
      <c r="E233" s="378">
        <f t="shared" si="957"/>
        <v>0</v>
      </c>
      <c r="F233" s="74"/>
      <c r="G233" s="378">
        <f t="shared" si="958"/>
        <v>0</v>
      </c>
      <c r="H233" s="74"/>
      <c r="I233" s="378">
        <f t="shared" si="959"/>
        <v>0</v>
      </c>
      <c r="J233" s="74"/>
      <c r="K233" s="378">
        <f t="shared" si="960"/>
        <v>0</v>
      </c>
      <c r="L233" s="74"/>
      <c r="M233" s="378">
        <f t="shared" si="961"/>
        <v>0</v>
      </c>
      <c r="N233" s="74"/>
      <c r="O233" s="378">
        <f t="shared" si="962"/>
        <v>0</v>
      </c>
      <c r="P233" s="74"/>
      <c r="Q233" s="378">
        <f t="shared" si="1309"/>
        <v>0</v>
      </c>
      <c r="R233" s="74"/>
      <c r="S233" s="378">
        <f t="shared" si="1310"/>
        <v>0</v>
      </c>
      <c r="T233" s="74"/>
      <c r="U233" s="378">
        <f t="shared" si="1311"/>
        <v>0</v>
      </c>
      <c r="V233" s="74"/>
      <c r="W233" s="378">
        <f t="shared" si="1312"/>
        <v>0</v>
      </c>
      <c r="X233" s="74"/>
      <c r="Y233" s="378">
        <f t="shared" si="1313"/>
        <v>0</v>
      </c>
      <c r="Z233" s="74"/>
      <c r="AA233" s="378">
        <f t="shared" si="1314"/>
        <v>0</v>
      </c>
      <c r="AB233" s="74"/>
      <c r="AC233" s="378">
        <f t="shared" si="1315"/>
        <v>0</v>
      </c>
      <c r="AD233" s="74"/>
      <c r="AE233" s="378">
        <f t="shared" si="1316"/>
        <v>0</v>
      </c>
    </row>
    <row r="234" spans="1:31" ht="18.75" customHeight="1" outlineLevel="1">
      <c r="A234" s="377" t="str">
        <f>A146</f>
        <v>DL-METHIONINE</v>
      </c>
      <c r="B234" s="74"/>
      <c r="C234" s="378">
        <f t="shared" ref="C234:C245" si="1317">(B234/100)*1000</f>
        <v>0</v>
      </c>
      <c r="D234" s="74"/>
      <c r="E234" s="378">
        <f t="shared" si="957"/>
        <v>0</v>
      </c>
      <c r="F234" s="74"/>
      <c r="G234" s="378">
        <f t="shared" si="958"/>
        <v>0</v>
      </c>
      <c r="H234" s="74"/>
      <c r="I234" s="378">
        <f t="shared" si="959"/>
        <v>0</v>
      </c>
      <c r="J234" s="74"/>
      <c r="K234" s="378">
        <f t="shared" si="960"/>
        <v>0</v>
      </c>
      <c r="L234" s="74"/>
      <c r="M234" s="378">
        <f t="shared" si="961"/>
        <v>0</v>
      </c>
      <c r="N234" s="74"/>
      <c r="O234" s="378">
        <f t="shared" si="962"/>
        <v>0</v>
      </c>
      <c r="P234" s="74"/>
      <c r="Q234" s="378">
        <f t="shared" si="1309"/>
        <v>0</v>
      </c>
      <c r="R234" s="74"/>
      <c r="S234" s="378">
        <f t="shared" si="1310"/>
        <v>0</v>
      </c>
      <c r="T234" s="74"/>
      <c r="U234" s="378">
        <f t="shared" si="1311"/>
        <v>0</v>
      </c>
      <c r="V234" s="74"/>
      <c r="W234" s="378">
        <f t="shared" si="1312"/>
        <v>0</v>
      </c>
      <c r="X234" s="74"/>
      <c r="Y234" s="378">
        <f t="shared" si="1313"/>
        <v>0</v>
      </c>
      <c r="Z234" s="74"/>
      <c r="AA234" s="378">
        <f t="shared" si="1314"/>
        <v>0</v>
      </c>
      <c r="AB234" s="74"/>
      <c r="AC234" s="378">
        <f t="shared" si="1315"/>
        <v>0</v>
      </c>
      <c r="AD234" s="74"/>
      <c r="AE234" s="378">
        <f t="shared" si="1316"/>
        <v>0</v>
      </c>
    </row>
    <row r="235" spans="1:31" ht="18.75" customHeight="1" outlineLevel="1">
      <c r="A235" s="377" t="str">
        <f>A147</f>
        <v>L-THREONINE</v>
      </c>
      <c r="B235" s="74"/>
      <c r="C235" s="378">
        <f t="shared" si="1317"/>
        <v>0</v>
      </c>
      <c r="D235" s="74"/>
      <c r="E235" s="378">
        <f t="shared" si="957"/>
        <v>0</v>
      </c>
      <c r="F235" s="74"/>
      <c r="G235" s="378">
        <f t="shared" si="958"/>
        <v>0</v>
      </c>
      <c r="H235" s="74"/>
      <c r="I235" s="378">
        <f t="shared" si="959"/>
        <v>0</v>
      </c>
      <c r="J235" s="74"/>
      <c r="K235" s="378">
        <f t="shared" si="960"/>
        <v>0</v>
      </c>
      <c r="L235" s="74"/>
      <c r="M235" s="378">
        <f t="shared" si="961"/>
        <v>0</v>
      </c>
      <c r="N235" s="74"/>
      <c r="O235" s="378">
        <f t="shared" si="962"/>
        <v>0</v>
      </c>
      <c r="P235" s="74"/>
      <c r="Q235" s="378">
        <f t="shared" si="1309"/>
        <v>0</v>
      </c>
      <c r="R235" s="74"/>
      <c r="S235" s="378">
        <f t="shared" si="1310"/>
        <v>0</v>
      </c>
      <c r="T235" s="74"/>
      <c r="U235" s="378">
        <f t="shared" si="1311"/>
        <v>0</v>
      </c>
      <c r="V235" s="74"/>
      <c r="W235" s="378">
        <f t="shared" si="1312"/>
        <v>0</v>
      </c>
      <c r="X235" s="74"/>
      <c r="Y235" s="378">
        <f t="shared" si="1313"/>
        <v>0</v>
      </c>
      <c r="Z235" s="74"/>
      <c r="AA235" s="378">
        <f t="shared" si="1314"/>
        <v>0</v>
      </c>
      <c r="AB235" s="74"/>
      <c r="AC235" s="378">
        <f t="shared" si="1315"/>
        <v>0</v>
      </c>
      <c r="AD235" s="74"/>
      <c r="AE235" s="378">
        <f t="shared" si="1316"/>
        <v>0</v>
      </c>
    </row>
    <row r="236" spans="1:31" ht="18.75" customHeight="1" outlineLevel="1">
      <c r="A236" s="377" t="str">
        <f>A148</f>
        <v>L-LYSINE</v>
      </c>
      <c r="B236" s="74"/>
      <c r="C236" s="378">
        <f t="shared" si="1317"/>
        <v>0</v>
      </c>
      <c r="D236" s="74"/>
      <c r="E236" s="378">
        <f t="shared" si="957"/>
        <v>0</v>
      </c>
      <c r="F236" s="74"/>
      <c r="G236" s="378">
        <f t="shared" si="958"/>
        <v>0</v>
      </c>
      <c r="H236" s="74"/>
      <c r="I236" s="378">
        <f t="shared" si="959"/>
        <v>0</v>
      </c>
      <c r="J236" s="74"/>
      <c r="K236" s="378">
        <f t="shared" si="960"/>
        <v>0</v>
      </c>
      <c r="L236" s="74"/>
      <c r="M236" s="378">
        <f t="shared" si="961"/>
        <v>0</v>
      </c>
      <c r="N236" s="74"/>
      <c r="O236" s="378">
        <f t="shared" si="962"/>
        <v>0</v>
      </c>
      <c r="P236" s="74"/>
      <c r="Q236" s="378">
        <f t="shared" si="1309"/>
        <v>0</v>
      </c>
      <c r="R236" s="74"/>
      <c r="S236" s="378">
        <f t="shared" si="1310"/>
        <v>0</v>
      </c>
      <c r="T236" s="74"/>
      <c r="U236" s="378">
        <f t="shared" si="1311"/>
        <v>0</v>
      </c>
      <c r="V236" s="74"/>
      <c r="W236" s="378">
        <f t="shared" si="1312"/>
        <v>0</v>
      </c>
      <c r="X236" s="74"/>
      <c r="Y236" s="378">
        <f t="shared" si="1313"/>
        <v>0</v>
      </c>
      <c r="Z236" s="74"/>
      <c r="AA236" s="378">
        <f t="shared" si="1314"/>
        <v>0</v>
      </c>
      <c r="AB236" s="74"/>
      <c r="AC236" s="378">
        <f t="shared" si="1315"/>
        <v>0</v>
      </c>
      <c r="AD236" s="74"/>
      <c r="AE236" s="378">
        <f t="shared" si="1316"/>
        <v>0</v>
      </c>
    </row>
    <row r="237" spans="1:31" ht="18.75" customHeight="1" outlineLevel="1">
      <c r="A237" s="377" t="str">
        <f>A149</f>
        <v>FAECES DRY</v>
      </c>
      <c r="B237" s="74"/>
      <c r="C237" s="378">
        <f t="shared" si="1317"/>
        <v>0</v>
      </c>
      <c r="D237" s="74"/>
      <c r="E237" s="378">
        <f t="shared" si="957"/>
        <v>0</v>
      </c>
      <c r="F237" s="74"/>
      <c r="G237" s="378">
        <f t="shared" si="958"/>
        <v>0</v>
      </c>
      <c r="H237" s="74"/>
      <c r="I237" s="378">
        <f t="shared" si="959"/>
        <v>0</v>
      </c>
      <c r="J237" s="74"/>
      <c r="K237" s="378">
        <f t="shared" si="960"/>
        <v>0</v>
      </c>
      <c r="L237" s="74"/>
      <c r="M237" s="378">
        <f t="shared" si="961"/>
        <v>0</v>
      </c>
      <c r="N237" s="74"/>
      <c r="O237" s="378">
        <f t="shared" si="962"/>
        <v>0</v>
      </c>
      <c r="P237" s="74"/>
      <c r="Q237" s="378">
        <f t="shared" si="1309"/>
        <v>0</v>
      </c>
      <c r="R237" s="74"/>
      <c r="S237" s="378">
        <f t="shared" si="1310"/>
        <v>0</v>
      </c>
      <c r="T237" s="74"/>
      <c r="U237" s="378">
        <f t="shared" si="1311"/>
        <v>0</v>
      </c>
      <c r="V237" s="74"/>
      <c r="W237" s="378">
        <f t="shared" si="1312"/>
        <v>0</v>
      </c>
      <c r="X237" s="74"/>
      <c r="Y237" s="378">
        <f t="shared" si="1313"/>
        <v>0</v>
      </c>
      <c r="Z237" s="74"/>
      <c r="AA237" s="378">
        <f t="shared" si="1314"/>
        <v>0</v>
      </c>
      <c r="AB237" s="74"/>
      <c r="AC237" s="378">
        <f t="shared" si="1315"/>
        <v>0</v>
      </c>
      <c r="AD237" s="74"/>
      <c r="AE237" s="378">
        <f t="shared" si="1316"/>
        <v>0</v>
      </c>
    </row>
    <row r="238" spans="1:31" ht="18.75" customHeight="1" outlineLevel="1">
      <c r="A238" s="386" t="str">
        <f>A62</f>
        <v>ECOBIOL</v>
      </c>
      <c r="B238" s="74"/>
      <c r="C238" s="378">
        <f t="shared" si="1317"/>
        <v>0</v>
      </c>
      <c r="D238" s="74"/>
      <c r="E238" s="378">
        <f t="shared" si="957"/>
        <v>0</v>
      </c>
      <c r="F238" s="74"/>
      <c r="G238" s="378">
        <f t="shared" si="958"/>
        <v>0</v>
      </c>
      <c r="H238" s="74"/>
      <c r="I238" s="378">
        <f t="shared" si="959"/>
        <v>0</v>
      </c>
      <c r="J238" s="74"/>
      <c r="K238" s="378">
        <f t="shared" si="960"/>
        <v>0</v>
      </c>
      <c r="L238" s="74"/>
      <c r="M238" s="378">
        <f t="shared" si="961"/>
        <v>0</v>
      </c>
      <c r="N238" s="74"/>
      <c r="O238" s="378">
        <f t="shared" si="962"/>
        <v>0</v>
      </c>
      <c r="P238" s="74"/>
      <c r="Q238" s="378">
        <f t="shared" si="1309"/>
        <v>0</v>
      </c>
      <c r="R238" s="74"/>
      <c r="S238" s="378">
        <f t="shared" si="1310"/>
        <v>0</v>
      </c>
      <c r="T238" s="74"/>
      <c r="U238" s="378">
        <f t="shared" si="1311"/>
        <v>0</v>
      </c>
      <c r="V238" s="74"/>
      <c r="W238" s="378">
        <f t="shared" si="1312"/>
        <v>0</v>
      </c>
      <c r="X238" s="74"/>
      <c r="Y238" s="378">
        <f t="shared" si="1313"/>
        <v>0</v>
      </c>
      <c r="Z238" s="74"/>
      <c r="AA238" s="378">
        <f t="shared" si="1314"/>
        <v>0</v>
      </c>
      <c r="AB238" s="74"/>
      <c r="AC238" s="378">
        <f t="shared" si="1315"/>
        <v>0</v>
      </c>
      <c r="AD238" s="74"/>
      <c r="AE238" s="378">
        <f t="shared" si="1316"/>
        <v>0</v>
      </c>
    </row>
    <row r="239" spans="1:31" ht="18.75" customHeight="1" outlineLevel="1">
      <c r="A239" s="377" t="str">
        <f>A151</f>
        <v>ADDITIVE BROILER IMMUNE</v>
      </c>
      <c r="B239" s="74"/>
      <c r="C239" s="378">
        <f t="shared" si="1317"/>
        <v>0</v>
      </c>
      <c r="D239" s="74"/>
      <c r="E239" s="378">
        <f t="shared" si="957"/>
        <v>0</v>
      </c>
      <c r="F239" s="74"/>
      <c r="G239" s="378">
        <f t="shared" si="958"/>
        <v>0</v>
      </c>
      <c r="H239" s="74"/>
      <c r="I239" s="378">
        <f t="shared" si="959"/>
        <v>0</v>
      </c>
      <c r="J239" s="74"/>
      <c r="K239" s="378">
        <f t="shared" si="960"/>
        <v>0</v>
      </c>
      <c r="L239" s="74"/>
      <c r="M239" s="378">
        <f t="shared" si="961"/>
        <v>0</v>
      </c>
      <c r="N239" s="74"/>
      <c r="O239" s="378">
        <f t="shared" si="962"/>
        <v>0</v>
      </c>
      <c r="P239" s="74"/>
      <c r="Q239" s="378">
        <f t="shared" si="1309"/>
        <v>0</v>
      </c>
      <c r="R239" s="74"/>
      <c r="S239" s="378">
        <f t="shared" si="1310"/>
        <v>0</v>
      </c>
      <c r="T239" s="74"/>
      <c r="U239" s="378">
        <f t="shared" si="1311"/>
        <v>0</v>
      </c>
      <c r="V239" s="74"/>
      <c r="W239" s="378">
        <f t="shared" si="1312"/>
        <v>0</v>
      </c>
      <c r="X239" s="74"/>
      <c r="Y239" s="378">
        <f t="shared" si="1313"/>
        <v>0</v>
      </c>
      <c r="Z239" s="74"/>
      <c r="AA239" s="378">
        <f t="shared" si="1314"/>
        <v>0</v>
      </c>
      <c r="AB239" s="74"/>
      <c r="AC239" s="378">
        <f t="shared" si="1315"/>
        <v>0</v>
      </c>
      <c r="AD239" s="74"/>
      <c r="AE239" s="378">
        <f t="shared" si="1316"/>
        <v>0</v>
      </c>
    </row>
    <row r="240" spans="1:31" ht="18.75" customHeight="1" outlineLevel="1">
      <c r="A240" s="377" t="str">
        <f>A152</f>
        <v>MASTER CUBE (HARUMI)</v>
      </c>
      <c r="B240" s="74"/>
      <c r="C240" s="378">
        <f t="shared" si="1317"/>
        <v>0</v>
      </c>
      <c r="D240" s="74"/>
      <c r="E240" s="378">
        <f t="shared" si="957"/>
        <v>0</v>
      </c>
      <c r="F240" s="74"/>
      <c r="G240" s="378">
        <f t="shared" si="958"/>
        <v>0</v>
      </c>
      <c r="H240" s="74"/>
      <c r="I240" s="378">
        <f t="shared" si="959"/>
        <v>0</v>
      </c>
      <c r="J240" s="74"/>
      <c r="K240" s="378">
        <f t="shared" si="960"/>
        <v>0</v>
      </c>
      <c r="L240" s="74"/>
      <c r="M240" s="378">
        <f t="shared" si="961"/>
        <v>0</v>
      </c>
      <c r="N240" s="74"/>
      <c r="O240" s="378">
        <f t="shared" si="962"/>
        <v>0</v>
      </c>
      <c r="P240" s="74"/>
      <c r="Q240" s="378">
        <f t="shared" si="1309"/>
        <v>0</v>
      </c>
      <c r="R240" s="74"/>
      <c r="S240" s="378">
        <f t="shared" si="1310"/>
        <v>0</v>
      </c>
      <c r="T240" s="74"/>
      <c r="U240" s="378">
        <f t="shared" si="1311"/>
        <v>0</v>
      </c>
      <c r="V240" s="74"/>
      <c r="W240" s="378">
        <f t="shared" si="1312"/>
        <v>0</v>
      </c>
      <c r="X240" s="74"/>
      <c r="Y240" s="378">
        <f t="shared" si="1313"/>
        <v>0</v>
      </c>
      <c r="Z240" s="74"/>
      <c r="AA240" s="378">
        <f t="shared" si="1314"/>
        <v>0</v>
      </c>
      <c r="AB240" s="74"/>
      <c r="AC240" s="378">
        <f t="shared" si="1315"/>
        <v>0</v>
      </c>
      <c r="AD240" s="74"/>
      <c r="AE240" s="378">
        <f t="shared" si="1316"/>
        <v>0</v>
      </c>
    </row>
    <row r="241" spans="1:31" ht="18.75" customHeight="1" outlineLevel="1">
      <c r="A241" s="377" t="str">
        <f>A153</f>
        <v>1101 TOP UP (0.40KG)</v>
      </c>
      <c r="B241" s="74"/>
      <c r="C241" s="378">
        <f t="shared" si="1317"/>
        <v>0</v>
      </c>
      <c r="D241" s="74"/>
      <c r="E241" s="378">
        <f t="shared" si="957"/>
        <v>0</v>
      </c>
      <c r="F241" s="74"/>
      <c r="G241" s="378">
        <f t="shared" si="958"/>
        <v>0</v>
      </c>
      <c r="H241" s="74"/>
      <c r="I241" s="378">
        <f t="shared" si="959"/>
        <v>0</v>
      </c>
      <c r="J241" s="74"/>
      <c r="K241" s="378">
        <f t="shared" si="960"/>
        <v>0</v>
      </c>
      <c r="L241" s="74"/>
      <c r="M241" s="378">
        <f t="shared" si="961"/>
        <v>0</v>
      </c>
      <c r="N241" s="74"/>
      <c r="O241" s="378">
        <f t="shared" si="962"/>
        <v>0</v>
      </c>
      <c r="P241" s="74"/>
      <c r="Q241" s="378">
        <f t="shared" si="1309"/>
        <v>0</v>
      </c>
      <c r="R241" s="74"/>
      <c r="S241" s="378">
        <f t="shared" si="1310"/>
        <v>0</v>
      </c>
      <c r="T241" s="74"/>
      <c r="U241" s="378">
        <f t="shared" si="1311"/>
        <v>0</v>
      </c>
      <c r="V241" s="74"/>
      <c r="W241" s="378">
        <f t="shared" si="1312"/>
        <v>0</v>
      </c>
      <c r="X241" s="74"/>
      <c r="Y241" s="378">
        <f t="shared" si="1313"/>
        <v>0</v>
      </c>
      <c r="Z241" s="74"/>
      <c r="AA241" s="378">
        <f t="shared" si="1314"/>
        <v>0</v>
      </c>
      <c r="AB241" s="74"/>
      <c r="AC241" s="378">
        <f t="shared" si="1315"/>
        <v>0</v>
      </c>
      <c r="AD241" s="74"/>
      <c r="AE241" s="378">
        <f t="shared" si="1316"/>
        <v>0</v>
      </c>
    </row>
    <row r="242" spans="1:31" ht="18.75" customHeight="1" outlineLevel="1">
      <c r="A242" s="377" t="str">
        <f>A154</f>
        <v>1102 TOP UP (0.60KG)</v>
      </c>
      <c r="B242" s="74"/>
      <c r="C242" s="378">
        <f t="shared" si="1317"/>
        <v>0</v>
      </c>
      <c r="D242" s="74"/>
      <c r="E242" s="378">
        <f t="shared" si="957"/>
        <v>0</v>
      </c>
      <c r="F242" s="74"/>
      <c r="G242" s="378">
        <f t="shared" si="958"/>
        <v>0</v>
      </c>
      <c r="H242" s="74"/>
      <c r="I242" s="378">
        <f t="shared" si="959"/>
        <v>0</v>
      </c>
      <c r="J242" s="74"/>
      <c r="K242" s="378">
        <f t="shared" si="960"/>
        <v>0</v>
      </c>
      <c r="L242" s="74"/>
      <c r="M242" s="378">
        <f t="shared" si="961"/>
        <v>0</v>
      </c>
      <c r="N242" s="74"/>
      <c r="O242" s="378">
        <f t="shared" si="962"/>
        <v>0</v>
      </c>
      <c r="P242" s="74"/>
      <c r="Q242" s="378">
        <f t="shared" si="1309"/>
        <v>0</v>
      </c>
      <c r="R242" s="74"/>
      <c r="S242" s="378">
        <f t="shared" si="1310"/>
        <v>0</v>
      </c>
      <c r="T242" s="74"/>
      <c r="U242" s="378">
        <f t="shared" si="1311"/>
        <v>0</v>
      </c>
      <c r="V242" s="74"/>
      <c r="W242" s="378">
        <f t="shared" si="1312"/>
        <v>0</v>
      </c>
      <c r="X242" s="74"/>
      <c r="Y242" s="378">
        <f t="shared" si="1313"/>
        <v>0</v>
      </c>
      <c r="Z242" s="74"/>
      <c r="AA242" s="378">
        <f t="shared" si="1314"/>
        <v>0</v>
      </c>
      <c r="AB242" s="74"/>
      <c r="AC242" s="378">
        <f t="shared" si="1315"/>
        <v>0</v>
      </c>
      <c r="AD242" s="74"/>
      <c r="AE242" s="378">
        <f t="shared" si="1316"/>
        <v>0</v>
      </c>
    </row>
    <row r="243" spans="1:31" ht="18.75" customHeight="1" outlineLevel="1">
      <c r="A243" s="377" t="str">
        <f>A155</f>
        <v>1103 TOP UP (2.00KG)</v>
      </c>
      <c r="B243" s="74"/>
      <c r="C243" s="378">
        <f t="shared" si="1317"/>
        <v>0</v>
      </c>
      <c r="D243" s="74">
        <f>4/20</f>
        <v>0.2</v>
      </c>
      <c r="E243" s="378">
        <f t="shared" si="957"/>
        <v>2</v>
      </c>
      <c r="F243" s="74"/>
      <c r="G243" s="378">
        <f t="shared" si="958"/>
        <v>0</v>
      </c>
      <c r="H243" s="74"/>
      <c r="I243" s="378">
        <f t="shared" si="959"/>
        <v>0</v>
      </c>
      <c r="J243" s="74"/>
      <c r="K243" s="378">
        <f t="shared" si="960"/>
        <v>0</v>
      </c>
      <c r="L243" s="74"/>
      <c r="M243" s="378">
        <f t="shared" si="961"/>
        <v>0</v>
      </c>
      <c r="N243" s="74"/>
      <c r="O243" s="378">
        <f t="shared" si="962"/>
        <v>0</v>
      </c>
      <c r="P243" s="74"/>
      <c r="Q243" s="378">
        <f t="shared" si="1309"/>
        <v>0</v>
      </c>
      <c r="R243" s="74"/>
      <c r="S243" s="378">
        <f t="shared" si="1310"/>
        <v>0</v>
      </c>
      <c r="T243" s="74"/>
      <c r="U243" s="378">
        <f t="shared" si="1311"/>
        <v>0</v>
      </c>
      <c r="V243" s="74"/>
      <c r="W243" s="378">
        <f t="shared" si="1312"/>
        <v>0</v>
      </c>
      <c r="X243" s="74"/>
      <c r="Y243" s="378">
        <f t="shared" si="1313"/>
        <v>0</v>
      </c>
      <c r="Z243" s="74"/>
      <c r="AA243" s="378">
        <f t="shared" si="1314"/>
        <v>0</v>
      </c>
      <c r="AB243" s="74"/>
      <c r="AC243" s="378">
        <f t="shared" si="1315"/>
        <v>0</v>
      </c>
      <c r="AD243" s="74"/>
      <c r="AE243" s="378">
        <f t="shared" si="1316"/>
        <v>0</v>
      </c>
    </row>
    <row r="244" spans="1:31" ht="18.75" customHeight="1" outlineLevel="1">
      <c r="A244" s="386" t="str">
        <f>A68</f>
        <v>QUANTUM GLO 4%</v>
      </c>
      <c r="B244" s="74"/>
      <c r="C244" s="378">
        <f t="shared" si="1317"/>
        <v>0</v>
      </c>
      <c r="D244" s="74"/>
      <c r="E244" s="378">
        <f t="shared" si="957"/>
        <v>0</v>
      </c>
      <c r="F244" s="74"/>
      <c r="G244" s="378">
        <f t="shared" si="958"/>
        <v>0</v>
      </c>
      <c r="H244" s="74"/>
      <c r="I244" s="378">
        <f t="shared" si="959"/>
        <v>0</v>
      </c>
      <c r="J244" s="74"/>
      <c r="K244" s="378">
        <f t="shared" si="960"/>
        <v>0</v>
      </c>
      <c r="L244" s="74"/>
      <c r="M244" s="378">
        <f t="shared" si="961"/>
        <v>0</v>
      </c>
      <c r="N244" s="74"/>
      <c r="O244" s="378">
        <f t="shared" si="962"/>
        <v>0</v>
      </c>
      <c r="P244" s="74"/>
      <c r="Q244" s="378">
        <f t="shared" si="1309"/>
        <v>0</v>
      </c>
      <c r="R244" s="74"/>
      <c r="S244" s="378">
        <f t="shared" si="1310"/>
        <v>0</v>
      </c>
      <c r="T244" s="74"/>
      <c r="U244" s="378">
        <f t="shared" si="1311"/>
        <v>0</v>
      </c>
      <c r="V244" s="74"/>
      <c r="W244" s="378">
        <f t="shared" si="1312"/>
        <v>0</v>
      </c>
      <c r="X244" s="74"/>
      <c r="Y244" s="378">
        <f t="shared" si="1313"/>
        <v>0</v>
      </c>
      <c r="Z244" s="74"/>
      <c r="AA244" s="378">
        <f t="shared" si="1314"/>
        <v>0</v>
      </c>
      <c r="AB244" s="74"/>
      <c r="AC244" s="378">
        <f t="shared" si="1315"/>
        <v>0</v>
      </c>
      <c r="AD244" s="74"/>
      <c r="AE244" s="378">
        <f t="shared" si="1316"/>
        <v>0</v>
      </c>
    </row>
    <row r="245" spans="1:31" ht="18.75" customHeight="1" outlineLevel="1">
      <c r="A245" s="377" t="str">
        <f>A69</f>
        <v>SALT</v>
      </c>
      <c r="B245" s="74"/>
      <c r="C245" s="378">
        <f t="shared" si="1317"/>
        <v>0</v>
      </c>
      <c r="D245" s="74"/>
      <c r="E245" s="378">
        <f t="shared" si="957"/>
        <v>0</v>
      </c>
      <c r="F245" s="74"/>
      <c r="G245" s="378">
        <f t="shared" si="958"/>
        <v>0</v>
      </c>
      <c r="H245" s="74"/>
      <c r="I245" s="378">
        <f t="shared" si="959"/>
        <v>0</v>
      </c>
      <c r="J245" s="74"/>
      <c r="K245" s="378">
        <f t="shared" si="960"/>
        <v>0</v>
      </c>
      <c r="L245" s="74"/>
      <c r="M245" s="378">
        <f t="shared" si="961"/>
        <v>0</v>
      </c>
      <c r="N245" s="74"/>
      <c r="O245" s="378">
        <f t="shared" si="962"/>
        <v>0</v>
      </c>
      <c r="P245" s="74"/>
      <c r="Q245" s="378">
        <f t="shared" si="1309"/>
        <v>0</v>
      </c>
      <c r="R245" s="74"/>
      <c r="S245" s="378">
        <f t="shared" si="1310"/>
        <v>0</v>
      </c>
      <c r="T245" s="74"/>
      <c r="U245" s="378">
        <f t="shared" si="1311"/>
        <v>0</v>
      </c>
      <c r="V245" s="74"/>
      <c r="W245" s="378">
        <f t="shared" si="1312"/>
        <v>0</v>
      </c>
      <c r="X245" s="74"/>
      <c r="Y245" s="378">
        <f t="shared" si="1313"/>
        <v>0</v>
      </c>
      <c r="Z245" s="74"/>
      <c r="AA245" s="378">
        <f t="shared" si="1314"/>
        <v>0</v>
      </c>
      <c r="AB245" s="74"/>
      <c r="AC245" s="378">
        <f t="shared" si="1315"/>
        <v>0</v>
      </c>
      <c r="AD245" s="74"/>
      <c r="AE245" s="378">
        <f t="shared" si="1316"/>
        <v>0</v>
      </c>
    </row>
    <row r="246" spans="1:31" ht="18.75" customHeight="1" outlineLevel="1">
      <c r="A246" s="377" t="str">
        <f>A70</f>
        <v>OC 200 - OXYTET 20%</v>
      </c>
      <c r="B246" s="74"/>
      <c r="C246" s="378">
        <f>(B246/100)*1000</f>
        <v>0</v>
      </c>
      <c r="D246" s="74"/>
      <c r="E246" s="378">
        <f t="shared" si="957"/>
        <v>0</v>
      </c>
      <c r="F246" s="74"/>
      <c r="G246" s="378">
        <f t="shared" si="958"/>
        <v>0</v>
      </c>
      <c r="H246" s="74"/>
      <c r="I246" s="378">
        <f t="shared" si="959"/>
        <v>0</v>
      </c>
      <c r="J246" s="74"/>
      <c r="K246" s="378">
        <f t="shared" si="960"/>
        <v>0</v>
      </c>
      <c r="L246" s="74"/>
      <c r="M246" s="378">
        <f t="shared" si="961"/>
        <v>0</v>
      </c>
      <c r="N246" s="74"/>
      <c r="O246" s="378">
        <f t="shared" si="962"/>
        <v>0</v>
      </c>
      <c r="P246" s="74"/>
      <c r="Q246" s="378">
        <f t="shared" si="1309"/>
        <v>0</v>
      </c>
      <c r="R246" s="74"/>
      <c r="S246" s="378">
        <f t="shared" si="1310"/>
        <v>0</v>
      </c>
      <c r="T246" s="74"/>
      <c r="U246" s="378">
        <f t="shared" si="1311"/>
        <v>0</v>
      </c>
      <c r="V246" s="74"/>
      <c r="W246" s="378">
        <f t="shared" si="1312"/>
        <v>0</v>
      </c>
      <c r="X246" s="74"/>
      <c r="Y246" s="378">
        <f t="shared" si="1313"/>
        <v>0</v>
      </c>
      <c r="Z246" s="74"/>
      <c r="AA246" s="378">
        <f t="shared" si="1314"/>
        <v>0</v>
      </c>
      <c r="AB246" s="74"/>
      <c r="AC246" s="378">
        <f t="shared" si="1315"/>
        <v>0</v>
      </c>
      <c r="AD246" s="74"/>
      <c r="AE246" s="378">
        <f t="shared" si="1316"/>
        <v>0</v>
      </c>
    </row>
    <row r="247" spans="1:31" ht="18.75" customHeight="1" outlineLevel="1">
      <c r="A247" s="377">
        <f>A71</f>
        <v>3</v>
      </c>
      <c r="B247" s="74"/>
      <c r="C247" s="247">
        <f t="shared" ref="C247:C263" si="1318">(B247/100)*1000</f>
        <v>0</v>
      </c>
      <c r="D247" s="74"/>
      <c r="E247" s="247">
        <f t="shared" ref="E247:E263" si="1319">(D247/100)*1000</f>
        <v>0</v>
      </c>
      <c r="F247" s="74"/>
      <c r="G247" s="247">
        <f t="shared" ref="G247:G263" si="1320">(F247/100)*1000</f>
        <v>0</v>
      </c>
      <c r="H247" s="74"/>
      <c r="I247" s="247">
        <f t="shared" ref="I247:I263" si="1321">(H247/100)*1000</f>
        <v>0</v>
      </c>
      <c r="J247" s="74"/>
      <c r="K247" s="247">
        <f t="shared" ref="K247:K263" si="1322">(J247/100)*1000</f>
        <v>0</v>
      </c>
      <c r="L247" s="74"/>
      <c r="M247" s="247">
        <f t="shared" ref="M247:M263" si="1323">(L247/100)*1000</f>
        <v>0</v>
      </c>
      <c r="N247" s="74"/>
      <c r="O247" s="247">
        <f t="shared" ref="O247:O263" si="1324">(N247/100)*1000</f>
        <v>0</v>
      </c>
      <c r="P247" s="74"/>
      <c r="Q247" s="247">
        <f t="shared" si="1309"/>
        <v>0</v>
      </c>
      <c r="R247" s="74"/>
      <c r="S247" s="247">
        <f t="shared" si="1310"/>
        <v>0</v>
      </c>
      <c r="T247" s="74"/>
      <c r="U247" s="247">
        <f t="shared" si="1311"/>
        <v>0</v>
      </c>
      <c r="V247" s="74"/>
      <c r="W247" s="247">
        <f t="shared" si="1312"/>
        <v>0</v>
      </c>
      <c r="X247" s="74"/>
      <c r="Y247" s="247">
        <f t="shared" si="1313"/>
        <v>0</v>
      </c>
      <c r="Z247" s="74"/>
      <c r="AA247" s="247">
        <f t="shared" si="1314"/>
        <v>0</v>
      </c>
      <c r="AB247" s="74"/>
      <c r="AC247" s="247">
        <f t="shared" si="1315"/>
        <v>0</v>
      </c>
      <c r="AD247" s="74"/>
      <c r="AE247" s="247">
        <f t="shared" si="1316"/>
        <v>0</v>
      </c>
    </row>
    <row r="248" spans="1:31" ht="18.75" customHeight="1" outlineLevel="1">
      <c r="A248" s="351">
        <f>A72</f>
        <v>4</v>
      </c>
      <c r="B248" s="74"/>
      <c r="C248" s="247">
        <f t="shared" si="1318"/>
        <v>0</v>
      </c>
      <c r="D248" s="74"/>
      <c r="E248" s="247">
        <f t="shared" si="1319"/>
        <v>0</v>
      </c>
      <c r="F248" s="74"/>
      <c r="G248" s="247">
        <f t="shared" si="1320"/>
        <v>0</v>
      </c>
      <c r="H248" s="74"/>
      <c r="I248" s="247">
        <f t="shared" si="1321"/>
        <v>0</v>
      </c>
      <c r="J248" s="74"/>
      <c r="K248" s="247">
        <f t="shared" si="1322"/>
        <v>0</v>
      </c>
      <c r="L248" s="74"/>
      <c r="M248" s="247">
        <f t="shared" si="1323"/>
        <v>0</v>
      </c>
      <c r="N248" s="74"/>
      <c r="O248" s="247">
        <f t="shared" si="1324"/>
        <v>0</v>
      </c>
      <c r="P248" s="74"/>
      <c r="Q248" s="247">
        <f t="shared" si="1309"/>
        <v>0</v>
      </c>
      <c r="R248" s="74"/>
      <c r="S248" s="247">
        <f t="shared" si="1310"/>
        <v>0</v>
      </c>
      <c r="T248" s="74"/>
      <c r="U248" s="247">
        <f t="shared" si="1311"/>
        <v>0</v>
      </c>
      <c r="V248" s="74"/>
      <c r="W248" s="247">
        <f t="shared" si="1312"/>
        <v>0</v>
      </c>
      <c r="X248" s="74"/>
      <c r="Y248" s="247">
        <f t="shared" si="1313"/>
        <v>0</v>
      </c>
      <c r="Z248" s="74"/>
      <c r="AA248" s="247">
        <f t="shared" si="1314"/>
        <v>0</v>
      </c>
      <c r="AB248" s="74"/>
      <c r="AC248" s="247">
        <f t="shared" si="1315"/>
        <v>0</v>
      </c>
      <c r="AD248" s="74"/>
      <c r="AE248" s="247">
        <f t="shared" si="1316"/>
        <v>0</v>
      </c>
    </row>
    <row r="249" spans="1:31" ht="18.75" customHeight="1" outlineLevel="1">
      <c r="A249" s="351" t="str">
        <f t="shared" ref="A249:A263" si="1325">A73</f>
        <v>WOVEN BAG (1101) - BLUE 50KG</v>
      </c>
      <c r="B249" s="74"/>
      <c r="C249" s="247">
        <f t="shared" si="1318"/>
        <v>0</v>
      </c>
      <c r="D249" s="74"/>
      <c r="E249" s="247">
        <f t="shared" si="1319"/>
        <v>0</v>
      </c>
      <c r="F249" s="74"/>
      <c r="G249" s="247">
        <f t="shared" si="1320"/>
        <v>0</v>
      </c>
      <c r="H249" s="74"/>
      <c r="I249" s="247">
        <f t="shared" si="1321"/>
        <v>0</v>
      </c>
      <c r="J249" s="74"/>
      <c r="K249" s="247">
        <f t="shared" si="1322"/>
        <v>0</v>
      </c>
      <c r="L249" s="408"/>
      <c r="M249" s="247">
        <f t="shared" si="1323"/>
        <v>0</v>
      </c>
      <c r="N249" s="74"/>
      <c r="O249" s="247">
        <f t="shared" si="1324"/>
        <v>0</v>
      </c>
      <c r="P249" s="74"/>
      <c r="Q249" s="247">
        <f t="shared" si="1309"/>
        <v>0</v>
      </c>
      <c r="R249" s="74"/>
      <c r="S249" s="247">
        <f t="shared" si="1310"/>
        <v>0</v>
      </c>
      <c r="T249" s="74"/>
      <c r="U249" s="247">
        <f t="shared" si="1311"/>
        <v>0</v>
      </c>
      <c r="V249" s="74"/>
      <c r="W249" s="247">
        <f t="shared" si="1312"/>
        <v>0</v>
      </c>
      <c r="X249" s="74"/>
      <c r="Y249" s="247">
        <f t="shared" si="1313"/>
        <v>0</v>
      </c>
      <c r="Z249" s="408"/>
      <c r="AA249" s="247">
        <f t="shared" si="1314"/>
        <v>0</v>
      </c>
      <c r="AB249" s="74"/>
      <c r="AC249" s="247">
        <f t="shared" si="1315"/>
        <v>0</v>
      </c>
      <c r="AD249" s="74"/>
      <c r="AE249" s="247">
        <f t="shared" si="1316"/>
        <v>0</v>
      </c>
    </row>
    <row r="250" spans="1:31" ht="18.75" customHeight="1" outlineLevel="1">
      <c r="A250" s="351" t="str">
        <f t="shared" si="1325"/>
        <v>WOVEN BAG (1102) - GREEN 50KG</v>
      </c>
      <c r="B250" s="74"/>
      <c r="C250" s="247">
        <f t="shared" si="1318"/>
        <v>0</v>
      </c>
      <c r="D250" s="74"/>
      <c r="E250" s="247">
        <f t="shared" si="1319"/>
        <v>0</v>
      </c>
      <c r="F250" s="74"/>
      <c r="G250" s="247">
        <f t="shared" si="1320"/>
        <v>0</v>
      </c>
      <c r="H250" s="74"/>
      <c r="I250" s="247">
        <f t="shared" si="1321"/>
        <v>0</v>
      </c>
      <c r="J250" s="74"/>
      <c r="K250" s="247">
        <f t="shared" si="1322"/>
        <v>0</v>
      </c>
      <c r="L250" s="74"/>
      <c r="M250" s="247">
        <f t="shared" si="1323"/>
        <v>0</v>
      </c>
      <c r="N250" s="74"/>
      <c r="O250" s="247">
        <f t="shared" si="1324"/>
        <v>0</v>
      </c>
      <c r="P250" s="74"/>
      <c r="Q250" s="247">
        <f t="shared" si="1309"/>
        <v>0</v>
      </c>
      <c r="R250" s="74"/>
      <c r="S250" s="247">
        <f t="shared" si="1310"/>
        <v>0</v>
      </c>
      <c r="T250" s="74"/>
      <c r="U250" s="247">
        <f t="shared" si="1311"/>
        <v>0</v>
      </c>
      <c r="V250" s="74"/>
      <c r="W250" s="247">
        <f t="shared" si="1312"/>
        <v>0</v>
      </c>
      <c r="X250" s="74"/>
      <c r="Y250" s="247">
        <f t="shared" si="1313"/>
        <v>0</v>
      </c>
      <c r="Z250" s="74"/>
      <c r="AA250" s="247">
        <f t="shared" si="1314"/>
        <v>0</v>
      </c>
      <c r="AB250" s="74"/>
      <c r="AC250" s="247">
        <f t="shared" si="1315"/>
        <v>0</v>
      </c>
      <c r="AD250" s="74"/>
      <c r="AE250" s="247">
        <f t="shared" si="1316"/>
        <v>0</v>
      </c>
    </row>
    <row r="251" spans="1:31" ht="18.75" customHeight="1" outlineLevel="1">
      <c r="A251" s="351" t="str">
        <f t="shared" si="1325"/>
        <v>WOVEN BAG (1103) - RED 50KG</v>
      </c>
      <c r="B251" s="74"/>
      <c r="C251" s="247">
        <f t="shared" si="1318"/>
        <v>0</v>
      </c>
      <c r="D251" s="74"/>
      <c r="E251" s="247">
        <f t="shared" si="1319"/>
        <v>0</v>
      </c>
      <c r="F251" s="74"/>
      <c r="G251" s="247">
        <f t="shared" si="1320"/>
        <v>0</v>
      </c>
      <c r="H251" s="74"/>
      <c r="I251" s="247">
        <f t="shared" si="1321"/>
        <v>0</v>
      </c>
      <c r="J251" s="74"/>
      <c r="K251" s="247">
        <f t="shared" si="1322"/>
        <v>0</v>
      </c>
      <c r="L251" s="74"/>
      <c r="M251" s="247">
        <f t="shared" si="1323"/>
        <v>0</v>
      </c>
      <c r="N251" s="74"/>
      <c r="O251" s="247">
        <f t="shared" si="1324"/>
        <v>0</v>
      </c>
      <c r="P251" s="74"/>
      <c r="Q251" s="247">
        <f t="shared" si="1309"/>
        <v>0</v>
      </c>
      <c r="R251" s="74"/>
      <c r="S251" s="247">
        <f t="shared" si="1310"/>
        <v>0</v>
      </c>
      <c r="T251" s="74"/>
      <c r="U251" s="247">
        <f t="shared" si="1311"/>
        <v>0</v>
      </c>
      <c r="V251" s="74"/>
      <c r="W251" s="247">
        <f t="shared" si="1312"/>
        <v>0</v>
      </c>
      <c r="X251" s="74"/>
      <c r="Y251" s="247">
        <f t="shared" si="1313"/>
        <v>0</v>
      </c>
      <c r="Z251" s="74"/>
      <c r="AA251" s="247">
        <f t="shared" si="1314"/>
        <v>0</v>
      </c>
      <c r="AB251" s="74"/>
      <c r="AC251" s="247">
        <f t="shared" si="1315"/>
        <v>0</v>
      </c>
      <c r="AD251" s="74"/>
      <c r="AE251" s="247">
        <f t="shared" si="1316"/>
        <v>0</v>
      </c>
    </row>
    <row r="252" spans="1:31" ht="18.75" customHeight="1" outlineLevel="1">
      <c r="A252" s="351" t="str">
        <f t="shared" si="1325"/>
        <v>PLAIN BAG 26" X 39" (50KG)</v>
      </c>
      <c r="B252" s="74"/>
      <c r="C252" s="247">
        <f t="shared" si="1318"/>
        <v>0</v>
      </c>
      <c r="D252" s="74"/>
      <c r="E252" s="247">
        <f t="shared" si="1319"/>
        <v>0</v>
      </c>
      <c r="F252" s="74"/>
      <c r="G252" s="247">
        <f t="shared" si="1320"/>
        <v>0</v>
      </c>
      <c r="H252" s="74"/>
      <c r="I252" s="247">
        <f t="shared" si="1321"/>
        <v>0</v>
      </c>
      <c r="J252" s="74"/>
      <c r="K252" s="247">
        <f t="shared" si="1322"/>
        <v>0</v>
      </c>
      <c r="L252" s="74"/>
      <c r="M252" s="247">
        <f t="shared" si="1323"/>
        <v>0</v>
      </c>
      <c r="N252" s="74"/>
      <c r="O252" s="247">
        <f t="shared" si="1324"/>
        <v>0</v>
      </c>
      <c r="P252" s="74"/>
      <c r="Q252" s="247">
        <f t="shared" si="1309"/>
        <v>0</v>
      </c>
      <c r="R252" s="74"/>
      <c r="S252" s="247">
        <f t="shared" si="1310"/>
        <v>0</v>
      </c>
      <c r="T252" s="74"/>
      <c r="U252" s="247">
        <f t="shared" si="1311"/>
        <v>0</v>
      </c>
      <c r="V252" s="74"/>
      <c r="W252" s="247">
        <f t="shared" si="1312"/>
        <v>0</v>
      </c>
      <c r="X252" s="74"/>
      <c r="Y252" s="247">
        <f t="shared" si="1313"/>
        <v>0</v>
      </c>
      <c r="Z252" s="74"/>
      <c r="AA252" s="247">
        <f t="shared" si="1314"/>
        <v>0</v>
      </c>
      <c r="AB252" s="74"/>
      <c r="AC252" s="247">
        <f t="shared" si="1315"/>
        <v>0</v>
      </c>
      <c r="AD252" s="74"/>
      <c r="AE252" s="247">
        <f t="shared" si="1316"/>
        <v>0</v>
      </c>
    </row>
    <row r="253" spans="1:31" ht="18.75" customHeight="1" outlineLevel="1">
      <c r="A253" s="351" t="str">
        <f t="shared" si="1325"/>
        <v>WOVEN BAG (8101) - KHAKI 50KG</v>
      </c>
      <c r="B253" s="74"/>
      <c r="C253" s="247">
        <f t="shared" si="1318"/>
        <v>0</v>
      </c>
      <c r="D253" s="74"/>
      <c r="E253" s="247">
        <f t="shared" si="1319"/>
        <v>0</v>
      </c>
      <c r="F253" s="74"/>
      <c r="G253" s="247">
        <f t="shared" si="1320"/>
        <v>0</v>
      </c>
      <c r="H253" s="74"/>
      <c r="I253" s="247">
        <f t="shared" si="1321"/>
        <v>0</v>
      </c>
      <c r="J253" s="74"/>
      <c r="K253" s="247">
        <f t="shared" si="1322"/>
        <v>0</v>
      </c>
      <c r="L253" s="74"/>
      <c r="M253" s="247">
        <f t="shared" si="1323"/>
        <v>0</v>
      </c>
      <c r="N253" s="74"/>
      <c r="O253" s="247">
        <f t="shared" si="1324"/>
        <v>0</v>
      </c>
      <c r="P253" s="74"/>
      <c r="Q253" s="247">
        <f t="shared" si="1309"/>
        <v>0</v>
      </c>
      <c r="R253" s="74"/>
      <c r="S253" s="247">
        <f t="shared" si="1310"/>
        <v>0</v>
      </c>
      <c r="T253" s="74"/>
      <c r="U253" s="247">
        <f t="shared" si="1311"/>
        <v>0</v>
      </c>
      <c r="V253" s="74"/>
      <c r="W253" s="247">
        <f t="shared" si="1312"/>
        <v>0</v>
      </c>
      <c r="X253" s="74"/>
      <c r="Y253" s="247">
        <f t="shared" si="1313"/>
        <v>0</v>
      </c>
      <c r="Z253" s="74"/>
      <c r="AA253" s="247">
        <f t="shared" si="1314"/>
        <v>0</v>
      </c>
      <c r="AB253" s="74"/>
      <c r="AC253" s="247">
        <f t="shared" si="1315"/>
        <v>0</v>
      </c>
      <c r="AD253" s="74"/>
      <c r="AE253" s="247">
        <f t="shared" si="1316"/>
        <v>0</v>
      </c>
    </row>
    <row r="254" spans="1:31" ht="18.75" customHeight="1" outlineLevel="1">
      <c r="A254" s="351" t="str">
        <f t="shared" si="1325"/>
        <v>WOVEN BAG (8102) - SKY BLUE 50KG</v>
      </c>
      <c r="B254" s="74"/>
      <c r="C254" s="247">
        <f t="shared" si="1318"/>
        <v>0</v>
      </c>
      <c r="D254" s="74"/>
      <c r="E254" s="247">
        <f t="shared" si="1319"/>
        <v>0</v>
      </c>
      <c r="F254" s="74"/>
      <c r="G254" s="247">
        <f t="shared" si="1320"/>
        <v>0</v>
      </c>
      <c r="H254" s="74"/>
      <c r="I254" s="247">
        <f t="shared" si="1321"/>
        <v>0</v>
      </c>
      <c r="J254" s="74"/>
      <c r="K254" s="247">
        <f t="shared" si="1322"/>
        <v>0</v>
      </c>
      <c r="L254" s="74"/>
      <c r="M254" s="247">
        <f t="shared" si="1323"/>
        <v>0</v>
      </c>
      <c r="N254" s="74"/>
      <c r="O254" s="247">
        <f t="shared" si="1324"/>
        <v>0</v>
      </c>
      <c r="P254" s="74"/>
      <c r="Q254" s="247">
        <f t="shared" si="1309"/>
        <v>0</v>
      </c>
      <c r="R254" s="74"/>
      <c r="S254" s="247">
        <f t="shared" si="1310"/>
        <v>0</v>
      </c>
      <c r="T254" s="74"/>
      <c r="U254" s="247">
        <f t="shared" si="1311"/>
        <v>0</v>
      </c>
      <c r="V254" s="74"/>
      <c r="W254" s="247">
        <f t="shared" si="1312"/>
        <v>0</v>
      </c>
      <c r="X254" s="74"/>
      <c r="Y254" s="247">
        <f t="shared" si="1313"/>
        <v>0</v>
      </c>
      <c r="Z254" s="74"/>
      <c r="AA254" s="247">
        <f t="shared" si="1314"/>
        <v>0</v>
      </c>
      <c r="AB254" s="74"/>
      <c r="AC254" s="247">
        <f t="shared" si="1315"/>
        <v>0</v>
      </c>
      <c r="AD254" s="74"/>
      <c r="AE254" s="247">
        <f t="shared" si="1316"/>
        <v>0</v>
      </c>
    </row>
    <row r="255" spans="1:31" ht="18.75" customHeight="1" outlineLevel="1">
      <c r="A255" s="351" t="str">
        <f t="shared" si="1325"/>
        <v>WOVEN BAG (8103) - BROWN 50KG</v>
      </c>
      <c r="B255" s="74"/>
      <c r="C255" s="247">
        <f t="shared" si="1318"/>
        <v>0</v>
      </c>
      <c r="D255" s="74"/>
      <c r="E255" s="247">
        <f t="shared" si="1319"/>
        <v>0</v>
      </c>
      <c r="F255" s="74"/>
      <c r="G255" s="247">
        <f t="shared" si="1320"/>
        <v>0</v>
      </c>
      <c r="H255" s="74"/>
      <c r="I255" s="247">
        <f t="shared" si="1321"/>
        <v>0</v>
      </c>
      <c r="J255" s="74"/>
      <c r="K255" s="247">
        <f t="shared" si="1322"/>
        <v>0</v>
      </c>
      <c r="L255" s="74"/>
      <c r="M255" s="247">
        <f t="shared" si="1323"/>
        <v>0</v>
      </c>
      <c r="N255" s="74"/>
      <c r="O255" s="247">
        <f t="shared" si="1324"/>
        <v>0</v>
      </c>
      <c r="P255" s="74"/>
      <c r="Q255" s="247">
        <f t="shared" si="1309"/>
        <v>0</v>
      </c>
      <c r="R255" s="74"/>
      <c r="S255" s="247">
        <f t="shared" si="1310"/>
        <v>0</v>
      </c>
      <c r="T255" s="74"/>
      <c r="U255" s="247">
        <f t="shared" si="1311"/>
        <v>0</v>
      </c>
      <c r="V255" s="74"/>
      <c r="W255" s="247">
        <f t="shared" si="1312"/>
        <v>0</v>
      </c>
      <c r="X255" s="74"/>
      <c r="Y255" s="247">
        <f t="shared" si="1313"/>
        <v>0</v>
      </c>
      <c r="Z255" s="74"/>
      <c r="AA255" s="247">
        <f t="shared" si="1314"/>
        <v>0</v>
      </c>
      <c r="AB255" s="74"/>
      <c r="AC255" s="247">
        <f t="shared" si="1315"/>
        <v>0</v>
      </c>
      <c r="AD255" s="74"/>
      <c r="AE255" s="247">
        <f t="shared" si="1316"/>
        <v>0</v>
      </c>
    </row>
    <row r="256" spans="1:31" ht="18.75" customHeight="1" outlineLevel="1">
      <c r="A256" s="351">
        <f t="shared" si="1325"/>
        <v>1</v>
      </c>
      <c r="B256" s="357"/>
      <c r="C256" s="362">
        <f t="shared" si="1318"/>
        <v>0</v>
      </c>
      <c r="D256" s="357"/>
      <c r="E256" s="362">
        <f t="shared" si="1319"/>
        <v>0</v>
      </c>
      <c r="F256" s="357"/>
      <c r="G256" s="362">
        <f t="shared" si="1320"/>
        <v>0</v>
      </c>
      <c r="H256" s="357"/>
      <c r="I256" s="362">
        <f t="shared" si="1321"/>
        <v>0</v>
      </c>
      <c r="J256" s="357"/>
      <c r="K256" s="362">
        <f t="shared" si="1322"/>
        <v>0</v>
      </c>
      <c r="L256" s="357"/>
      <c r="M256" s="362">
        <f t="shared" si="1323"/>
        <v>0</v>
      </c>
      <c r="N256" s="357"/>
      <c r="O256" s="362">
        <f t="shared" si="1324"/>
        <v>0</v>
      </c>
      <c r="P256" s="357"/>
      <c r="Q256" s="362">
        <f t="shared" si="1309"/>
        <v>0</v>
      </c>
      <c r="R256" s="357"/>
      <c r="S256" s="362">
        <f t="shared" si="1310"/>
        <v>0</v>
      </c>
      <c r="T256" s="357"/>
      <c r="U256" s="362">
        <f t="shared" si="1311"/>
        <v>0</v>
      </c>
      <c r="V256" s="357"/>
      <c r="W256" s="362">
        <f t="shared" si="1312"/>
        <v>0</v>
      </c>
      <c r="X256" s="357"/>
      <c r="Y256" s="362">
        <f t="shared" si="1313"/>
        <v>0</v>
      </c>
      <c r="Z256" s="357"/>
      <c r="AA256" s="362">
        <f t="shared" si="1314"/>
        <v>0</v>
      </c>
      <c r="AB256" s="357"/>
      <c r="AC256" s="362">
        <f t="shared" si="1315"/>
        <v>0</v>
      </c>
      <c r="AD256" s="357"/>
      <c r="AE256" s="362">
        <f t="shared" si="1316"/>
        <v>0</v>
      </c>
    </row>
    <row r="257" spans="1:31" ht="18.75" customHeight="1" outlineLevel="1">
      <c r="A257" s="351">
        <f t="shared" si="1325"/>
        <v>2</v>
      </c>
      <c r="B257" s="74"/>
      <c r="C257" s="378">
        <f t="shared" si="1318"/>
        <v>0</v>
      </c>
      <c r="D257" s="74"/>
      <c r="E257" s="378">
        <f t="shared" si="1319"/>
        <v>0</v>
      </c>
      <c r="F257" s="74"/>
      <c r="G257" s="378">
        <f t="shared" si="1320"/>
        <v>0</v>
      </c>
      <c r="H257" s="74"/>
      <c r="I257" s="378">
        <f t="shared" si="1321"/>
        <v>0</v>
      </c>
      <c r="J257" s="74"/>
      <c r="K257" s="378">
        <f t="shared" si="1322"/>
        <v>0</v>
      </c>
      <c r="L257" s="74"/>
      <c r="M257" s="378">
        <f t="shared" si="1323"/>
        <v>0</v>
      </c>
      <c r="N257" s="74"/>
      <c r="O257" s="378">
        <f t="shared" si="1324"/>
        <v>0</v>
      </c>
      <c r="P257" s="74"/>
      <c r="Q257" s="378">
        <f t="shared" ref="Q257:Q263" si="1326">(P257/100)*1000</f>
        <v>0</v>
      </c>
      <c r="R257" s="74"/>
      <c r="S257" s="378">
        <f t="shared" ref="S257:S263" si="1327">(R257/100)*1000</f>
        <v>0</v>
      </c>
      <c r="T257" s="74"/>
      <c r="U257" s="378">
        <f t="shared" ref="U257:U263" si="1328">(T257/100)*1000</f>
        <v>0</v>
      </c>
      <c r="V257" s="74"/>
      <c r="W257" s="378">
        <f t="shared" ref="W257:W263" si="1329">(V257/100)*1000</f>
        <v>0</v>
      </c>
      <c r="X257" s="74"/>
      <c r="Y257" s="378">
        <f t="shared" ref="Y257:Y263" si="1330">(X257/100)*1000</f>
        <v>0</v>
      </c>
      <c r="Z257" s="74"/>
      <c r="AA257" s="378">
        <f t="shared" ref="AA257:AA263" si="1331">(Z257/100)*1000</f>
        <v>0</v>
      </c>
      <c r="AB257" s="74"/>
      <c r="AC257" s="378">
        <f t="shared" ref="AC257:AC263" si="1332">(AB257/100)*1000</f>
        <v>0</v>
      </c>
      <c r="AD257" s="74"/>
      <c r="AE257" s="378">
        <f t="shared" ref="AE257:AE263" si="1333">(AD257/100)*1000</f>
        <v>0</v>
      </c>
    </row>
    <row r="258" spans="1:31" ht="18.75" customHeight="1" outlineLevel="1">
      <c r="A258" s="351">
        <f t="shared" si="1325"/>
        <v>3</v>
      </c>
      <c r="B258" s="74"/>
      <c r="C258" s="378">
        <f t="shared" si="1318"/>
        <v>0</v>
      </c>
      <c r="D258" s="74"/>
      <c r="E258" s="378">
        <f t="shared" si="1319"/>
        <v>0</v>
      </c>
      <c r="F258" s="74"/>
      <c r="G258" s="378">
        <f t="shared" si="1320"/>
        <v>0</v>
      </c>
      <c r="H258" s="74"/>
      <c r="I258" s="378">
        <f t="shared" si="1321"/>
        <v>0</v>
      </c>
      <c r="J258" s="74"/>
      <c r="K258" s="378">
        <f t="shared" si="1322"/>
        <v>0</v>
      </c>
      <c r="L258" s="74"/>
      <c r="M258" s="378">
        <f t="shared" si="1323"/>
        <v>0</v>
      </c>
      <c r="N258" s="74"/>
      <c r="O258" s="378">
        <f t="shared" si="1324"/>
        <v>0</v>
      </c>
      <c r="P258" s="74"/>
      <c r="Q258" s="378">
        <f t="shared" si="1326"/>
        <v>0</v>
      </c>
      <c r="R258" s="74"/>
      <c r="S258" s="378">
        <f t="shared" si="1327"/>
        <v>0</v>
      </c>
      <c r="T258" s="74"/>
      <c r="U258" s="378">
        <f t="shared" si="1328"/>
        <v>0</v>
      </c>
      <c r="V258" s="74"/>
      <c r="W258" s="378">
        <f t="shared" si="1329"/>
        <v>0</v>
      </c>
      <c r="X258" s="74"/>
      <c r="Y258" s="378">
        <f t="shared" si="1330"/>
        <v>0</v>
      </c>
      <c r="Z258" s="74"/>
      <c r="AA258" s="378">
        <f t="shared" si="1331"/>
        <v>0</v>
      </c>
      <c r="AB258" s="74"/>
      <c r="AC258" s="378">
        <f t="shared" si="1332"/>
        <v>0</v>
      </c>
      <c r="AD258" s="74"/>
      <c r="AE258" s="378">
        <f t="shared" si="1333"/>
        <v>0</v>
      </c>
    </row>
    <row r="259" spans="1:31" ht="18.75" customHeight="1" outlineLevel="1">
      <c r="A259" s="351">
        <f t="shared" si="1325"/>
        <v>4</v>
      </c>
      <c r="B259" s="74"/>
      <c r="C259" s="378">
        <f t="shared" si="1318"/>
        <v>0</v>
      </c>
      <c r="D259" s="74"/>
      <c r="E259" s="378">
        <f t="shared" si="1319"/>
        <v>0</v>
      </c>
      <c r="F259" s="74"/>
      <c r="G259" s="378">
        <f t="shared" si="1320"/>
        <v>0</v>
      </c>
      <c r="H259" s="74"/>
      <c r="I259" s="378">
        <f t="shared" si="1321"/>
        <v>0</v>
      </c>
      <c r="J259" s="74"/>
      <c r="K259" s="378">
        <f t="shared" si="1322"/>
        <v>0</v>
      </c>
      <c r="L259" s="74"/>
      <c r="M259" s="378">
        <f t="shared" si="1323"/>
        <v>0</v>
      </c>
      <c r="N259" s="74"/>
      <c r="O259" s="378">
        <f t="shared" si="1324"/>
        <v>0</v>
      </c>
      <c r="P259" s="74"/>
      <c r="Q259" s="378">
        <f t="shared" si="1326"/>
        <v>0</v>
      </c>
      <c r="R259" s="74"/>
      <c r="S259" s="378">
        <f t="shared" si="1327"/>
        <v>0</v>
      </c>
      <c r="T259" s="74"/>
      <c r="U259" s="378">
        <f t="shared" si="1328"/>
        <v>0</v>
      </c>
      <c r="V259" s="74"/>
      <c r="W259" s="378">
        <f t="shared" si="1329"/>
        <v>0</v>
      </c>
      <c r="X259" s="74"/>
      <c r="Y259" s="378">
        <f t="shared" si="1330"/>
        <v>0</v>
      </c>
      <c r="Z259" s="74"/>
      <c r="AA259" s="378">
        <f t="shared" si="1331"/>
        <v>0</v>
      </c>
      <c r="AB259" s="74"/>
      <c r="AC259" s="378">
        <f t="shared" si="1332"/>
        <v>0</v>
      </c>
      <c r="AD259" s="74"/>
      <c r="AE259" s="378">
        <f t="shared" si="1333"/>
        <v>0</v>
      </c>
    </row>
    <row r="260" spans="1:31" ht="18.75" customHeight="1" outlineLevel="1">
      <c r="A260" s="351">
        <f t="shared" si="1325"/>
        <v>5</v>
      </c>
      <c r="B260" s="74"/>
      <c r="C260" s="378">
        <f t="shared" si="1318"/>
        <v>0</v>
      </c>
      <c r="D260" s="74"/>
      <c r="E260" s="378">
        <f t="shared" si="1319"/>
        <v>0</v>
      </c>
      <c r="F260" s="74"/>
      <c r="G260" s="378">
        <f t="shared" si="1320"/>
        <v>0</v>
      </c>
      <c r="H260" s="74"/>
      <c r="I260" s="378">
        <f t="shared" si="1321"/>
        <v>0</v>
      </c>
      <c r="J260" s="74"/>
      <c r="K260" s="378">
        <f t="shared" si="1322"/>
        <v>0</v>
      </c>
      <c r="L260" s="74"/>
      <c r="M260" s="378">
        <f t="shared" si="1323"/>
        <v>0</v>
      </c>
      <c r="N260" s="74"/>
      <c r="O260" s="378">
        <f t="shared" si="1324"/>
        <v>0</v>
      </c>
      <c r="P260" s="74"/>
      <c r="Q260" s="378">
        <f t="shared" si="1326"/>
        <v>0</v>
      </c>
      <c r="R260" s="74"/>
      <c r="S260" s="378">
        <f t="shared" si="1327"/>
        <v>0</v>
      </c>
      <c r="T260" s="74"/>
      <c r="U260" s="378">
        <f t="shared" si="1328"/>
        <v>0</v>
      </c>
      <c r="V260" s="74"/>
      <c r="W260" s="378">
        <f t="shared" si="1329"/>
        <v>0</v>
      </c>
      <c r="X260" s="74"/>
      <c r="Y260" s="378">
        <f t="shared" si="1330"/>
        <v>0</v>
      </c>
      <c r="Z260" s="74"/>
      <c r="AA260" s="378">
        <f t="shared" si="1331"/>
        <v>0</v>
      </c>
      <c r="AB260" s="74"/>
      <c r="AC260" s="378">
        <f t="shared" si="1332"/>
        <v>0</v>
      </c>
      <c r="AD260" s="74"/>
      <c r="AE260" s="378">
        <f t="shared" si="1333"/>
        <v>0</v>
      </c>
    </row>
    <row r="261" spans="1:31" ht="18.75" customHeight="1" outlineLevel="1">
      <c r="A261" s="351">
        <f t="shared" si="1325"/>
        <v>6</v>
      </c>
      <c r="B261" s="74"/>
      <c r="C261" s="378">
        <f t="shared" si="1318"/>
        <v>0</v>
      </c>
      <c r="D261" s="74"/>
      <c r="E261" s="378">
        <f t="shared" si="1319"/>
        <v>0</v>
      </c>
      <c r="F261" s="74"/>
      <c r="G261" s="378">
        <f t="shared" si="1320"/>
        <v>0</v>
      </c>
      <c r="H261" s="74"/>
      <c r="I261" s="378">
        <f t="shared" si="1321"/>
        <v>0</v>
      </c>
      <c r="J261" s="74"/>
      <c r="K261" s="378">
        <f t="shared" si="1322"/>
        <v>0</v>
      </c>
      <c r="L261" s="74"/>
      <c r="M261" s="378">
        <f t="shared" si="1323"/>
        <v>0</v>
      </c>
      <c r="N261" s="74"/>
      <c r="O261" s="378">
        <f t="shared" si="1324"/>
        <v>0</v>
      </c>
      <c r="P261" s="74"/>
      <c r="Q261" s="378">
        <f t="shared" si="1326"/>
        <v>0</v>
      </c>
      <c r="R261" s="74"/>
      <c r="S261" s="378">
        <f t="shared" si="1327"/>
        <v>0</v>
      </c>
      <c r="T261" s="74"/>
      <c r="U261" s="378">
        <f t="shared" si="1328"/>
        <v>0</v>
      </c>
      <c r="V261" s="74"/>
      <c r="W261" s="378">
        <f t="shared" si="1329"/>
        <v>0</v>
      </c>
      <c r="X261" s="74"/>
      <c r="Y261" s="378">
        <f t="shared" si="1330"/>
        <v>0</v>
      </c>
      <c r="Z261" s="74"/>
      <c r="AA261" s="378">
        <f t="shared" si="1331"/>
        <v>0</v>
      </c>
      <c r="AB261" s="74"/>
      <c r="AC261" s="378">
        <f t="shared" si="1332"/>
        <v>0</v>
      </c>
      <c r="AD261" s="74"/>
      <c r="AE261" s="378">
        <f t="shared" si="1333"/>
        <v>0</v>
      </c>
    </row>
    <row r="262" spans="1:31" ht="18.75" customHeight="1" outlineLevel="1">
      <c r="A262" s="351">
        <f t="shared" si="1325"/>
        <v>7</v>
      </c>
      <c r="B262" s="74"/>
      <c r="C262" s="378">
        <f t="shared" si="1318"/>
        <v>0</v>
      </c>
      <c r="D262" s="74"/>
      <c r="E262" s="378">
        <f t="shared" si="1319"/>
        <v>0</v>
      </c>
      <c r="F262" s="74"/>
      <c r="G262" s="378">
        <f t="shared" si="1320"/>
        <v>0</v>
      </c>
      <c r="H262" s="74"/>
      <c r="I262" s="378">
        <f t="shared" si="1321"/>
        <v>0</v>
      </c>
      <c r="J262" s="74"/>
      <c r="K262" s="378">
        <f t="shared" si="1322"/>
        <v>0</v>
      </c>
      <c r="L262" s="74"/>
      <c r="M262" s="378">
        <f t="shared" si="1323"/>
        <v>0</v>
      </c>
      <c r="N262" s="74"/>
      <c r="O262" s="378">
        <f t="shared" si="1324"/>
        <v>0</v>
      </c>
      <c r="P262" s="74"/>
      <c r="Q262" s="378">
        <f t="shared" si="1326"/>
        <v>0</v>
      </c>
      <c r="R262" s="74"/>
      <c r="S262" s="378">
        <f t="shared" si="1327"/>
        <v>0</v>
      </c>
      <c r="T262" s="74"/>
      <c r="U262" s="378">
        <f t="shared" si="1328"/>
        <v>0</v>
      </c>
      <c r="V262" s="74"/>
      <c r="W262" s="378">
        <f t="shared" si="1329"/>
        <v>0</v>
      </c>
      <c r="X262" s="74"/>
      <c r="Y262" s="378">
        <f t="shared" si="1330"/>
        <v>0</v>
      </c>
      <c r="Z262" s="74"/>
      <c r="AA262" s="378">
        <f t="shared" si="1331"/>
        <v>0</v>
      </c>
      <c r="AB262" s="74"/>
      <c r="AC262" s="378">
        <f t="shared" si="1332"/>
        <v>0</v>
      </c>
      <c r="AD262" s="74"/>
      <c r="AE262" s="378">
        <f t="shared" si="1333"/>
        <v>0</v>
      </c>
    </row>
    <row r="263" spans="1:31" ht="18.75" customHeight="1" outlineLevel="1">
      <c r="A263" s="351">
        <f t="shared" si="1325"/>
        <v>8</v>
      </c>
      <c r="B263" s="74"/>
      <c r="C263" s="378">
        <f t="shared" si="1318"/>
        <v>0</v>
      </c>
      <c r="D263" s="74"/>
      <c r="E263" s="378">
        <f t="shared" si="1319"/>
        <v>0</v>
      </c>
      <c r="F263" s="74"/>
      <c r="G263" s="378">
        <f t="shared" si="1320"/>
        <v>0</v>
      </c>
      <c r="H263" s="74"/>
      <c r="I263" s="378">
        <f t="shared" si="1321"/>
        <v>0</v>
      </c>
      <c r="J263" s="74"/>
      <c r="K263" s="378">
        <f t="shared" si="1322"/>
        <v>0</v>
      </c>
      <c r="L263" s="74"/>
      <c r="M263" s="378">
        <f t="shared" si="1323"/>
        <v>0</v>
      </c>
      <c r="N263" s="74"/>
      <c r="O263" s="378">
        <f t="shared" si="1324"/>
        <v>0</v>
      </c>
      <c r="P263" s="74"/>
      <c r="Q263" s="378">
        <f t="shared" si="1326"/>
        <v>0</v>
      </c>
      <c r="R263" s="74"/>
      <c r="S263" s="378">
        <f t="shared" si="1327"/>
        <v>0</v>
      </c>
      <c r="T263" s="74"/>
      <c r="U263" s="378">
        <f t="shared" si="1328"/>
        <v>0</v>
      </c>
      <c r="V263" s="74"/>
      <c r="W263" s="378">
        <f t="shared" si="1329"/>
        <v>0</v>
      </c>
      <c r="X263" s="74"/>
      <c r="Y263" s="378">
        <f t="shared" si="1330"/>
        <v>0</v>
      </c>
      <c r="Z263" s="74"/>
      <c r="AA263" s="378">
        <f t="shared" si="1331"/>
        <v>0</v>
      </c>
      <c r="AB263" s="74"/>
      <c r="AC263" s="378">
        <f t="shared" si="1332"/>
        <v>0</v>
      </c>
      <c r="AD263" s="74"/>
      <c r="AE263" s="378">
        <f t="shared" si="1333"/>
        <v>0</v>
      </c>
    </row>
    <row r="264" spans="1:31" ht="18.75" customHeight="1" outlineLevel="1" thickBot="1">
      <c r="A264" s="369" t="s">
        <v>72</v>
      </c>
      <c r="B264" s="355">
        <f t="shared" ref="B264:AE264" si="1334">SUM(B182:B263)</f>
        <v>100</v>
      </c>
      <c r="C264" s="371">
        <f t="shared" si="1334"/>
        <v>1000</v>
      </c>
      <c r="D264" s="355">
        <f t="shared" si="1334"/>
        <v>100.00000000000001</v>
      </c>
      <c r="E264" s="371">
        <f t="shared" si="1334"/>
        <v>1000</v>
      </c>
      <c r="F264" s="355">
        <f t="shared" si="1334"/>
        <v>0</v>
      </c>
      <c r="G264" s="371">
        <f t="shared" si="1334"/>
        <v>0</v>
      </c>
      <c r="H264" s="355">
        <f t="shared" si="1334"/>
        <v>0</v>
      </c>
      <c r="I264" s="371">
        <f t="shared" si="1334"/>
        <v>0</v>
      </c>
      <c r="J264" s="355">
        <f t="shared" si="1334"/>
        <v>0</v>
      </c>
      <c r="K264" s="371">
        <f t="shared" si="1334"/>
        <v>0</v>
      </c>
      <c r="L264" s="355">
        <f t="shared" si="1334"/>
        <v>0</v>
      </c>
      <c r="M264" s="371">
        <f t="shared" si="1334"/>
        <v>0</v>
      </c>
      <c r="N264" s="355">
        <f t="shared" si="1334"/>
        <v>0</v>
      </c>
      <c r="O264" s="371">
        <f t="shared" si="1334"/>
        <v>0</v>
      </c>
      <c r="P264" s="355">
        <f t="shared" si="1334"/>
        <v>0</v>
      </c>
      <c r="Q264" s="371">
        <f t="shared" si="1334"/>
        <v>0</v>
      </c>
      <c r="R264" s="355">
        <f t="shared" si="1334"/>
        <v>0</v>
      </c>
      <c r="S264" s="371">
        <f t="shared" si="1334"/>
        <v>0</v>
      </c>
      <c r="T264" s="355">
        <f t="shared" si="1334"/>
        <v>0</v>
      </c>
      <c r="U264" s="371">
        <f t="shared" si="1334"/>
        <v>0</v>
      </c>
      <c r="V264" s="355">
        <f t="shared" si="1334"/>
        <v>0</v>
      </c>
      <c r="W264" s="371">
        <f t="shared" si="1334"/>
        <v>0</v>
      </c>
      <c r="X264" s="355">
        <f t="shared" si="1334"/>
        <v>0</v>
      </c>
      <c r="Y264" s="371">
        <f t="shared" si="1334"/>
        <v>0</v>
      </c>
      <c r="Z264" s="355">
        <f t="shared" si="1334"/>
        <v>0</v>
      </c>
      <c r="AA264" s="371">
        <f t="shared" si="1334"/>
        <v>0</v>
      </c>
      <c r="AB264" s="355">
        <f t="shared" si="1334"/>
        <v>0</v>
      </c>
      <c r="AC264" s="371">
        <f t="shared" si="1334"/>
        <v>0</v>
      </c>
      <c r="AD264" s="355">
        <f t="shared" si="1334"/>
        <v>0</v>
      </c>
      <c r="AE264" s="371">
        <f t="shared" si="1334"/>
        <v>0</v>
      </c>
    </row>
    <row r="265" spans="1:31" ht="19.899999999999999" thickBot="1">
      <c r="V265" s="76"/>
      <c r="W265" s="76"/>
      <c r="X265" s="76"/>
      <c r="Y265" s="76"/>
      <c r="Z265" s="76"/>
      <c r="AA265" s="76"/>
      <c r="AB265" s="76"/>
      <c r="AC265" s="76"/>
      <c r="AD265" s="76"/>
      <c r="AE265" s="76"/>
    </row>
    <row r="266" spans="1:31" s="6" customFormat="1" ht="15" customHeight="1" thickBot="1">
      <c r="A266" s="679" t="s">
        <v>81</v>
      </c>
      <c r="B266" s="662">
        <v>1</v>
      </c>
      <c r="C266" s="658"/>
      <c r="D266" s="657">
        <v>2</v>
      </c>
      <c r="E266" s="658"/>
      <c r="F266" s="657">
        <v>3</v>
      </c>
      <c r="G266" s="658"/>
      <c r="H266" s="657">
        <v>4</v>
      </c>
      <c r="I266" s="658"/>
      <c r="J266" s="657">
        <v>5</v>
      </c>
      <c r="K266" s="658"/>
      <c r="L266" s="657">
        <v>6</v>
      </c>
      <c r="M266" s="658"/>
      <c r="N266" s="657">
        <v>7</v>
      </c>
      <c r="O266" s="658"/>
      <c r="P266" s="657">
        <v>8</v>
      </c>
      <c r="Q266" s="658"/>
      <c r="R266" s="657">
        <v>9</v>
      </c>
      <c r="S266" s="658"/>
      <c r="T266" s="657">
        <v>10</v>
      </c>
      <c r="U266" s="658"/>
      <c r="V266" s="657">
        <v>11</v>
      </c>
      <c r="W266" s="658"/>
      <c r="X266" s="657">
        <v>12</v>
      </c>
      <c r="Y266" s="658"/>
      <c r="Z266" s="657">
        <v>13</v>
      </c>
      <c r="AA266" s="658"/>
      <c r="AB266" s="657">
        <v>14</v>
      </c>
      <c r="AC266" s="658"/>
      <c r="AD266" s="657">
        <v>15</v>
      </c>
      <c r="AE266" s="658"/>
    </row>
    <row r="267" spans="1:31" s="6" customFormat="1" ht="15" customHeight="1" thickBot="1">
      <c r="A267" s="680"/>
      <c r="B267" s="682"/>
      <c r="C267" s="666"/>
      <c r="D267" s="665"/>
      <c r="E267" s="666"/>
      <c r="F267" s="665"/>
      <c r="G267" s="666"/>
      <c r="H267" s="665"/>
      <c r="I267" s="666"/>
      <c r="J267" s="665"/>
      <c r="K267" s="666"/>
      <c r="L267" s="665"/>
      <c r="M267" s="666"/>
      <c r="N267" s="665"/>
      <c r="O267" s="666"/>
      <c r="P267" s="665"/>
      <c r="Q267" s="666"/>
      <c r="R267" s="665"/>
      <c r="S267" s="666"/>
      <c r="T267" s="665"/>
      <c r="U267" s="666"/>
      <c r="V267" s="665"/>
      <c r="W267" s="666"/>
      <c r="X267" s="665"/>
      <c r="Y267" s="666"/>
      <c r="Z267" s="665"/>
      <c r="AA267" s="666"/>
      <c r="AB267" s="665"/>
      <c r="AC267" s="666"/>
      <c r="AD267" s="665"/>
      <c r="AE267" s="666"/>
    </row>
    <row r="268" spans="1:31" ht="25.35" customHeight="1" thickBot="1">
      <c r="A268" s="680"/>
      <c r="B268" s="683"/>
      <c r="C268" s="684"/>
      <c r="D268" s="683"/>
      <c r="E268" s="684"/>
      <c r="F268" s="683"/>
      <c r="G268" s="684"/>
      <c r="H268" s="683"/>
      <c r="I268" s="684"/>
      <c r="J268" s="683"/>
      <c r="K268" s="684"/>
      <c r="L268" s="683"/>
      <c r="M268" s="684"/>
      <c r="N268" s="683"/>
      <c r="O268" s="684"/>
      <c r="P268" s="683"/>
      <c r="Q268" s="684"/>
      <c r="R268" s="683"/>
      <c r="S268" s="684"/>
      <c r="T268" s="683"/>
      <c r="U268" s="684"/>
      <c r="V268" s="683"/>
      <c r="W268" s="684"/>
      <c r="X268" s="683"/>
      <c r="Y268" s="684"/>
      <c r="Z268" s="683"/>
      <c r="AA268" s="684"/>
      <c r="AB268" s="683"/>
      <c r="AC268" s="684"/>
      <c r="AD268" s="683"/>
      <c r="AE268" s="684"/>
    </row>
    <row r="269" spans="1:31" ht="25.35" customHeight="1" outlineLevel="1" thickBot="1">
      <c r="A269" s="681"/>
      <c r="B269" s="205" t="s">
        <v>5</v>
      </c>
      <c r="C269" s="10" t="s">
        <v>6</v>
      </c>
      <c r="D269" s="205" t="s">
        <v>5</v>
      </c>
      <c r="E269" s="10" t="s">
        <v>6</v>
      </c>
      <c r="F269" s="205" t="s">
        <v>5</v>
      </c>
      <c r="G269" s="10" t="s">
        <v>6</v>
      </c>
      <c r="H269" s="205" t="s">
        <v>5</v>
      </c>
      <c r="I269" s="10" t="s">
        <v>6</v>
      </c>
      <c r="J269" s="205" t="s">
        <v>5</v>
      </c>
      <c r="K269" s="10" t="s">
        <v>6</v>
      </c>
      <c r="L269" s="205" t="s">
        <v>5</v>
      </c>
      <c r="M269" s="10" t="s">
        <v>6</v>
      </c>
      <c r="N269" s="205" t="s">
        <v>5</v>
      </c>
      <c r="O269" s="10" t="s">
        <v>6</v>
      </c>
      <c r="P269" s="205" t="s">
        <v>5</v>
      </c>
      <c r="Q269" s="10" t="s">
        <v>6</v>
      </c>
      <c r="R269" s="205" t="s">
        <v>5</v>
      </c>
      <c r="S269" s="10" t="s">
        <v>6</v>
      </c>
      <c r="T269" s="205" t="s">
        <v>5</v>
      </c>
      <c r="U269" s="10" t="s">
        <v>6</v>
      </c>
      <c r="V269" s="205" t="s">
        <v>5</v>
      </c>
      <c r="W269" s="10" t="s">
        <v>6</v>
      </c>
      <c r="X269" s="205" t="s">
        <v>5</v>
      </c>
      <c r="Y269" s="10" t="s">
        <v>6</v>
      </c>
      <c r="Z269" s="205" t="s">
        <v>5</v>
      </c>
      <c r="AA269" s="10" t="s">
        <v>6</v>
      </c>
      <c r="AB269" s="205" t="s">
        <v>5</v>
      </c>
      <c r="AC269" s="10" t="s">
        <v>6</v>
      </c>
      <c r="AD269" s="205" t="s">
        <v>5</v>
      </c>
      <c r="AE269" s="10" t="s">
        <v>6</v>
      </c>
    </row>
    <row r="270" spans="1:31" ht="18.75" customHeight="1" outlineLevel="1">
      <c r="A270" s="406" t="str">
        <f t="shared" ref="A270:A301" si="1335">A6</f>
        <v>MAIZE/CORN</v>
      </c>
      <c r="B270" s="245"/>
      <c r="C270" s="248">
        <f>(B270/100)*1000</f>
        <v>0</v>
      </c>
      <c r="D270" s="245"/>
      <c r="E270" s="248">
        <f>(D270/100)*1000</f>
        <v>0</v>
      </c>
      <c r="F270" s="245"/>
      <c r="G270" s="248">
        <f>(F270/100)*1000</f>
        <v>0</v>
      </c>
      <c r="H270" s="245"/>
      <c r="I270" s="248">
        <f>(H270/100)*1000</f>
        <v>0</v>
      </c>
      <c r="J270" s="245"/>
      <c r="K270" s="248">
        <f>(J270/100)*1000</f>
        <v>0</v>
      </c>
      <c r="L270" s="245"/>
      <c r="M270" s="248">
        <f>(L270/100)*1000</f>
        <v>0</v>
      </c>
      <c r="N270" s="245"/>
      <c r="O270" s="248">
        <f>(N270/100)*1000</f>
        <v>0</v>
      </c>
      <c r="P270" s="245"/>
      <c r="Q270" s="248">
        <f>(P270/100)*1000</f>
        <v>0</v>
      </c>
      <c r="R270" s="245"/>
      <c r="S270" s="248">
        <f>(R270/100)*1000</f>
        <v>0</v>
      </c>
      <c r="T270" s="245"/>
      <c r="U270" s="248">
        <f>(T270/100)*1000</f>
        <v>0</v>
      </c>
      <c r="V270" s="245"/>
      <c r="W270" s="248">
        <f>(V270/100)*1000</f>
        <v>0</v>
      </c>
      <c r="X270" s="245"/>
      <c r="Y270" s="248">
        <f>(X270/100)*1000</f>
        <v>0</v>
      </c>
      <c r="Z270" s="245"/>
      <c r="AA270" s="248">
        <f>(Z270/100)*1000</f>
        <v>0</v>
      </c>
      <c r="AB270" s="245"/>
      <c r="AC270" s="248">
        <f>(AB270/100)*1000</f>
        <v>0</v>
      </c>
      <c r="AD270" s="245"/>
      <c r="AE270" s="248">
        <f>(AD270/100)*1000</f>
        <v>0</v>
      </c>
    </row>
    <row r="271" spans="1:31" ht="18.75" customHeight="1" outlineLevel="1">
      <c r="A271" s="406" t="str">
        <f t="shared" si="1335"/>
        <v>SOYBEAN MEAL (ARG)</v>
      </c>
      <c r="B271" s="74"/>
      <c r="C271" s="248">
        <f t="shared" ref="C271:AE321" si="1336">(B271/100)*1000</f>
        <v>0</v>
      </c>
      <c r="D271" s="74"/>
      <c r="E271" s="248">
        <f t="shared" si="1336"/>
        <v>0</v>
      </c>
      <c r="F271" s="74"/>
      <c r="G271" s="248">
        <f t="shared" ref="G271" si="1337">(F271/100)*1000</f>
        <v>0</v>
      </c>
      <c r="H271" s="74"/>
      <c r="I271" s="248">
        <f t="shared" ref="I271" si="1338">(H271/100)*1000</f>
        <v>0</v>
      </c>
      <c r="J271" s="74"/>
      <c r="K271" s="248">
        <f t="shared" ref="K271" si="1339">(J271/100)*1000</f>
        <v>0</v>
      </c>
      <c r="L271" s="74"/>
      <c r="M271" s="248">
        <f t="shared" ref="M271" si="1340">(L271/100)*1000</f>
        <v>0</v>
      </c>
      <c r="N271" s="74"/>
      <c r="O271" s="248">
        <f t="shared" ref="O271" si="1341">(N271/100)*1000</f>
        <v>0</v>
      </c>
      <c r="P271" s="74"/>
      <c r="Q271" s="248">
        <f t="shared" ref="Q271" si="1342">(P271/100)*1000</f>
        <v>0</v>
      </c>
      <c r="R271" s="74"/>
      <c r="S271" s="248">
        <f t="shared" ref="S271" si="1343">(R271/100)*1000</f>
        <v>0</v>
      </c>
      <c r="T271" s="74"/>
      <c r="U271" s="248">
        <f t="shared" ref="U271" si="1344">(T271/100)*1000</f>
        <v>0</v>
      </c>
      <c r="V271" s="74"/>
      <c r="W271" s="248">
        <f t="shared" ref="W271" si="1345">(V271/100)*1000</f>
        <v>0</v>
      </c>
      <c r="X271" s="74"/>
      <c r="Y271" s="248">
        <f t="shared" ref="Y271" si="1346">(X271/100)*1000</f>
        <v>0</v>
      </c>
      <c r="Z271" s="74"/>
      <c r="AA271" s="248">
        <f t="shared" ref="AA271" si="1347">(Z271/100)*1000</f>
        <v>0</v>
      </c>
      <c r="AB271" s="74"/>
      <c r="AC271" s="248">
        <f t="shared" ref="AC271" si="1348">(AB271/100)*1000</f>
        <v>0</v>
      </c>
      <c r="AD271" s="74"/>
      <c r="AE271" s="248">
        <f t="shared" ref="AE271" si="1349">(AD271/100)*1000</f>
        <v>0</v>
      </c>
    </row>
    <row r="272" spans="1:31" ht="18.75" customHeight="1" outlineLevel="1">
      <c r="A272" s="406" t="str">
        <f t="shared" si="1335"/>
        <v>SOYBEAN FULL FAT</v>
      </c>
      <c r="B272" s="74"/>
      <c r="C272" s="248">
        <f t="shared" si="1336"/>
        <v>0</v>
      </c>
      <c r="D272" s="74"/>
      <c r="E272" s="248">
        <f t="shared" si="1336"/>
        <v>0</v>
      </c>
      <c r="F272" s="74"/>
      <c r="G272" s="248">
        <f t="shared" ref="G272" si="1350">(F272/100)*1000</f>
        <v>0</v>
      </c>
      <c r="H272" s="74"/>
      <c r="I272" s="248">
        <f t="shared" ref="I272" si="1351">(H272/100)*1000</f>
        <v>0</v>
      </c>
      <c r="J272" s="74"/>
      <c r="K272" s="248">
        <f t="shared" ref="K272" si="1352">(J272/100)*1000</f>
        <v>0</v>
      </c>
      <c r="L272" s="74"/>
      <c r="M272" s="248">
        <f t="shared" ref="M272" si="1353">(L272/100)*1000</f>
        <v>0</v>
      </c>
      <c r="N272" s="74"/>
      <c r="O272" s="248">
        <f t="shared" ref="O272" si="1354">(N272/100)*1000</f>
        <v>0</v>
      </c>
      <c r="P272" s="74"/>
      <c r="Q272" s="248">
        <f t="shared" ref="Q272" si="1355">(P272/100)*1000</f>
        <v>0</v>
      </c>
      <c r="R272" s="74"/>
      <c r="S272" s="248">
        <f t="shared" ref="S272" si="1356">(R272/100)*1000</f>
        <v>0</v>
      </c>
      <c r="T272" s="74"/>
      <c r="U272" s="248">
        <f t="shared" ref="U272" si="1357">(T272/100)*1000</f>
        <v>0</v>
      </c>
      <c r="V272" s="74"/>
      <c r="W272" s="248">
        <f t="shared" ref="W272" si="1358">(V272/100)*1000</f>
        <v>0</v>
      </c>
      <c r="X272" s="74"/>
      <c r="Y272" s="248">
        <f t="shared" ref="Y272" si="1359">(X272/100)*1000</f>
        <v>0</v>
      </c>
      <c r="Z272" s="74"/>
      <c r="AA272" s="248">
        <f t="shared" ref="AA272" si="1360">(Z272/100)*1000</f>
        <v>0</v>
      </c>
      <c r="AB272" s="74"/>
      <c r="AC272" s="248">
        <f t="shared" ref="AC272" si="1361">(AB272/100)*1000</f>
        <v>0</v>
      </c>
      <c r="AD272" s="74"/>
      <c r="AE272" s="248">
        <f t="shared" ref="AE272" si="1362">(AD272/100)*1000</f>
        <v>0</v>
      </c>
    </row>
    <row r="273" spans="1:31" ht="18.75" customHeight="1" outlineLevel="1">
      <c r="A273" s="406" t="str">
        <f t="shared" si="1335"/>
        <v>WHEAT POLLARD</v>
      </c>
      <c r="B273" s="74"/>
      <c r="C273" s="248">
        <f t="shared" si="1336"/>
        <v>0</v>
      </c>
      <c r="D273" s="74"/>
      <c r="E273" s="248">
        <f t="shared" si="1336"/>
        <v>0</v>
      </c>
      <c r="F273" s="74"/>
      <c r="G273" s="248">
        <f t="shared" ref="G273" si="1363">(F273/100)*1000</f>
        <v>0</v>
      </c>
      <c r="H273" s="74"/>
      <c r="I273" s="248">
        <f t="shared" ref="I273" si="1364">(H273/100)*1000</f>
        <v>0</v>
      </c>
      <c r="J273" s="74"/>
      <c r="K273" s="248">
        <f t="shared" ref="K273" si="1365">(J273/100)*1000</f>
        <v>0</v>
      </c>
      <c r="L273" s="74"/>
      <c r="M273" s="248">
        <f t="shared" ref="M273" si="1366">(L273/100)*1000</f>
        <v>0</v>
      </c>
      <c r="N273" s="74"/>
      <c r="O273" s="248">
        <f t="shared" ref="O273" si="1367">(N273/100)*1000</f>
        <v>0</v>
      </c>
      <c r="P273" s="74"/>
      <c r="Q273" s="248">
        <f t="shared" ref="Q273" si="1368">(P273/100)*1000</f>
        <v>0</v>
      </c>
      <c r="R273" s="74"/>
      <c r="S273" s="248">
        <f t="shared" ref="S273" si="1369">(R273/100)*1000</f>
        <v>0</v>
      </c>
      <c r="T273" s="74"/>
      <c r="U273" s="248">
        <f t="shared" ref="U273" si="1370">(T273/100)*1000</f>
        <v>0</v>
      </c>
      <c r="V273" s="74"/>
      <c r="W273" s="248">
        <f t="shared" ref="W273" si="1371">(V273/100)*1000</f>
        <v>0</v>
      </c>
      <c r="X273" s="74"/>
      <c r="Y273" s="248">
        <f t="shared" ref="Y273" si="1372">(X273/100)*1000</f>
        <v>0</v>
      </c>
      <c r="Z273" s="74"/>
      <c r="AA273" s="248">
        <f t="shared" ref="AA273" si="1373">(Z273/100)*1000</f>
        <v>0</v>
      </c>
      <c r="AB273" s="74"/>
      <c r="AC273" s="248">
        <f t="shared" ref="AC273" si="1374">(AB273/100)*1000</f>
        <v>0</v>
      </c>
      <c r="AD273" s="74"/>
      <c r="AE273" s="248">
        <f t="shared" ref="AE273" si="1375">(AD273/100)*1000</f>
        <v>0</v>
      </c>
    </row>
    <row r="274" spans="1:31" ht="18.75" customHeight="1" outlineLevel="1">
      <c r="A274" s="406" t="str">
        <f t="shared" si="1335"/>
        <v>WHEAT</v>
      </c>
      <c r="B274" s="74"/>
      <c r="C274" s="248">
        <f t="shared" si="1336"/>
        <v>0</v>
      </c>
      <c r="D274" s="74"/>
      <c r="E274" s="248">
        <f t="shared" si="1336"/>
        <v>0</v>
      </c>
      <c r="F274" s="74"/>
      <c r="G274" s="248">
        <f t="shared" ref="G274" si="1376">(F274/100)*1000</f>
        <v>0</v>
      </c>
      <c r="H274" s="74"/>
      <c r="I274" s="248">
        <f t="shared" ref="I274" si="1377">(H274/100)*1000</f>
        <v>0</v>
      </c>
      <c r="J274" s="74"/>
      <c r="K274" s="248">
        <f t="shared" ref="K274" si="1378">(J274/100)*1000</f>
        <v>0</v>
      </c>
      <c r="L274" s="74"/>
      <c r="M274" s="248">
        <f t="shared" ref="M274" si="1379">(L274/100)*1000</f>
        <v>0</v>
      </c>
      <c r="N274" s="74"/>
      <c r="O274" s="248">
        <f t="shared" ref="O274" si="1380">(N274/100)*1000</f>
        <v>0</v>
      </c>
      <c r="P274" s="74"/>
      <c r="Q274" s="248">
        <f t="shared" ref="Q274" si="1381">(P274/100)*1000</f>
        <v>0</v>
      </c>
      <c r="R274" s="74"/>
      <c r="S274" s="248">
        <f t="shared" ref="S274" si="1382">(R274/100)*1000</f>
        <v>0</v>
      </c>
      <c r="T274" s="74"/>
      <c r="U274" s="248">
        <f t="shared" ref="U274" si="1383">(T274/100)*1000</f>
        <v>0</v>
      </c>
      <c r="V274" s="74"/>
      <c r="W274" s="248">
        <f t="shared" ref="W274" si="1384">(V274/100)*1000</f>
        <v>0</v>
      </c>
      <c r="X274" s="74"/>
      <c r="Y274" s="248">
        <f t="shared" ref="Y274" si="1385">(X274/100)*1000</f>
        <v>0</v>
      </c>
      <c r="Z274" s="74"/>
      <c r="AA274" s="248">
        <f t="shared" ref="AA274" si="1386">(Z274/100)*1000</f>
        <v>0</v>
      </c>
      <c r="AB274" s="74"/>
      <c r="AC274" s="248">
        <f t="shared" ref="AC274" si="1387">(AB274/100)*1000</f>
        <v>0</v>
      </c>
      <c r="AD274" s="74"/>
      <c r="AE274" s="248">
        <f t="shared" ref="AE274" si="1388">(AD274/100)*1000</f>
        <v>0</v>
      </c>
    </row>
    <row r="275" spans="1:31" ht="18.75" customHeight="1" outlineLevel="1">
      <c r="A275" s="406" t="str">
        <f t="shared" si="1335"/>
        <v>MEAT AND BONE MEAL</v>
      </c>
      <c r="B275" s="74"/>
      <c r="C275" s="248">
        <f t="shared" si="1336"/>
        <v>0</v>
      </c>
      <c r="D275" s="74"/>
      <c r="E275" s="248">
        <f t="shared" si="1336"/>
        <v>0</v>
      </c>
      <c r="F275" s="74"/>
      <c r="G275" s="248">
        <f t="shared" ref="G275" si="1389">(F275/100)*1000</f>
        <v>0</v>
      </c>
      <c r="H275" s="74"/>
      <c r="I275" s="248">
        <f t="shared" ref="I275" si="1390">(H275/100)*1000</f>
        <v>0</v>
      </c>
      <c r="J275" s="74"/>
      <c r="K275" s="248">
        <f t="shared" ref="K275" si="1391">(J275/100)*1000</f>
        <v>0</v>
      </c>
      <c r="L275" s="74"/>
      <c r="M275" s="248">
        <f t="shared" ref="M275" si="1392">(L275/100)*1000</f>
        <v>0</v>
      </c>
      <c r="N275" s="74"/>
      <c r="O275" s="248">
        <f t="shared" ref="O275" si="1393">(N275/100)*1000</f>
        <v>0</v>
      </c>
      <c r="P275" s="74"/>
      <c r="Q275" s="248">
        <f t="shared" ref="Q275" si="1394">(P275/100)*1000</f>
        <v>0</v>
      </c>
      <c r="R275" s="74"/>
      <c r="S275" s="248">
        <f t="shared" ref="S275" si="1395">(R275/100)*1000</f>
        <v>0</v>
      </c>
      <c r="T275" s="74"/>
      <c r="U275" s="248">
        <f t="shared" ref="U275" si="1396">(T275/100)*1000</f>
        <v>0</v>
      </c>
      <c r="V275" s="74"/>
      <c r="W275" s="248">
        <f t="shared" ref="W275" si="1397">(V275/100)*1000</f>
        <v>0</v>
      </c>
      <c r="X275" s="74"/>
      <c r="Y275" s="248">
        <f t="shared" ref="Y275" si="1398">(X275/100)*1000</f>
        <v>0</v>
      </c>
      <c r="Z275" s="74"/>
      <c r="AA275" s="248">
        <f t="shared" ref="AA275" si="1399">(Z275/100)*1000</f>
        <v>0</v>
      </c>
      <c r="AB275" s="74"/>
      <c r="AC275" s="248">
        <f t="shared" ref="AC275" si="1400">(AB275/100)*1000</f>
        <v>0</v>
      </c>
      <c r="AD275" s="74"/>
      <c r="AE275" s="248">
        <f t="shared" ref="AE275" si="1401">(AD275/100)*1000</f>
        <v>0</v>
      </c>
    </row>
    <row r="276" spans="1:31" ht="18.75" customHeight="1" outlineLevel="1">
      <c r="A276" s="406" t="str">
        <f t="shared" si="1335"/>
        <v>CORN GLUTEN MEAL</v>
      </c>
      <c r="B276" s="74"/>
      <c r="C276" s="248">
        <f t="shared" si="1336"/>
        <v>0</v>
      </c>
      <c r="D276" s="74"/>
      <c r="E276" s="248">
        <f t="shared" si="1336"/>
        <v>0</v>
      </c>
      <c r="F276" s="74"/>
      <c r="G276" s="248">
        <f t="shared" ref="G276" si="1402">(F276/100)*1000</f>
        <v>0</v>
      </c>
      <c r="H276" s="74"/>
      <c r="I276" s="248">
        <f t="shared" ref="I276" si="1403">(H276/100)*1000</f>
        <v>0</v>
      </c>
      <c r="J276" s="74"/>
      <c r="K276" s="248">
        <f t="shared" ref="K276" si="1404">(J276/100)*1000</f>
        <v>0</v>
      </c>
      <c r="L276" s="74"/>
      <c r="M276" s="248">
        <f t="shared" ref="M276" si="1405">(L276/100)*1000</f>
        <v>0</v>
      </c>
      <c r="N276" s="74"/>
      <c r="O276" s="248">
        <f t="shared" ref="O276" si="1406">(N276/100)*1000</f>
        <v>0</v>
      </c>
      <c r="P276" s="74"/>
      <c r="Q276" s="248">
        <f t="shared" ref="Q276" si="1407">(P276/100)*1000</f>
        <v>0</v>
      </c>
      <c r="R276" s="74"/>
      <c r="S276" s="248">
        <f t="shared" ref="S276" si="1408">(R276/100)*1000</f>
        <v>0</v>
      </c>
      <c r="T276" s="74"/>
      <c r="U276" s="248">
        <f t="shared" ref="U276" si="1409">(T276/100)*1000</f>
        <v>0</v>
      </c>
      <c r="V276" s="74"/>
      <c r="W276" s="248">
        <f t="shared" ref="W276" si="1410">(V276/100)*1000</f>
        <v>0</v>
      </c>
      <c r="X276" s="74"/>
      <c r="Y276" s="248">
        <f t="shared" ref="Y276" si="1411">(X276/100)*1000</f>
        <v>0</v>
      </c>
      <c r="Z276" s="74"/>
      <c r="AA276" s="248">
        <f t="shared" ref="AA276" si="1412">(Z276/100)*1000</f>
        <v>0</v>
      </c>
      <c r="AB276" s="74"/>
      <c r="AC276" s="248">
        <f t="shared" ref="AC276" si="1413">(AB276/100)*1000</f>
        <v>0</v>
      </c>
      <c r="AD276" s="74"/>
      <c r="AE276" s="248">
        <f t="shared" ref="AE276" si="1414">(AD276/100)*1000</f>
        <v>0</v>
      </c>
    </row>
    <row r="277" spans="1:31" ht="18.75" customHeight="1" outlineLevel="1">
      <c r="A277" s="406" t="str">
        <f t="shared" si="1335"/>
        <v>MEGAFAT (HARUMI)</v>
      </c>
      <c r="B277" s="74"/>
      <c r="C277" s="248">
        <f t="shared" si="1336"/>
        <v>0</v>
      </c>
      <c r="D277" s="74"/>
      <c r="E277" s="248">
        <f t="shared" si="1336"/>
        <v>0</v>
      </c>
      <c r="F277" s="74"/>
      <c r="G277" s="248">
        <f t="shared" ref="G277" si="1415">(F277/100)*1000</f>
        <v>0</v>
      </c>
      <c r="H277" s="74"/>
      <c r="I277" s="248">
        <f t="shared" ref="I277" si="1416">(H277/100)*1000</f>
        <v>0</v>
      </c>
      <c r="J277" s="74"/>
      <c r="K277" s="248">
        <f t="shared" ref="K277" si="1417">(J277/100)*1000</f>
        <v>0</v>
      </c>
      <c r="L277" s="74"/>
      <c r="M277" s="248">
        <f t="shared" ref="M277" si="1418">(L277/100)*1000</f>
        <v>0</v>
      </c>
      <c r="N277" s="74"/>
      <c r="O277" s="248">
        <f t="shared" ref="O277" si="1419">(N277/100)*1000</f>
        <v>0</v>
      </c>
      <c r="P277" s="74"/>
      <c r="Q277" s="248">
        <f t="shared" ref="Q277" si="1420">(P277/100)*1000</f>
        <v>0</v>
      </c>
      <c r="R277" s="74"/>
      <c r="S277" s="248">
        <f t="shared" ref="S277" si="1421">(R277/100)*1000</f>
        <v>0</v>
      </c>
      <c r="T277" s="74"/>
      <c r="U277" s="248">
        <f t="shared" ref="U277" si="1422">(T277/100)*1000</f>
        <v>0</v>
      </c>
      <c r="V277" s="74"/>
      <c r="W277" s="248">
        <f t="shared" ref="W277" si="1423">(V277/100)*1000</f>
        <v>0</v>
      </c>
      <c r="X277" s="74"/>
      <c r="Y277" s="248">
        <f t="shared" ref="Y277" si="1424">(X277/100)*1000</f>
        <v>0</v>
      </c>
      <c r="Z277" s="74"/>
      <c r="AA277" s="248">
        <f t="shared" ref="AA277" si="1425">(Z277/100)*1000</f>
        <v>0</v>
      </c>
      <c r="AB277" s="74"/>
      <c r="AC277" s="248">
        <f t="shared" ref="AC277" si="1426">(AB277/100)*1000</f>
        <v>0</v>
      </c>
      <c r="AD277" s="74"/>
      <c r="AE277" s="248">
        <f t="shared" ref="AE277" si="1427">(AD277/100)*1000</f>
        <v>0</v>
      </c>
    </row>
    <row r="278" spans="1:31" ht="18.75" customHeight="1" outlineLevel="1">
      <c r="A278" s="406" t="str">
        <f t="shared" si="1335"/>
        <v>DCP 18%</v>
      </c>
      <c r="B278" s="74"/>
      <c r="C278" s="248">
        <f t="shared" si="1336"/>
        <v>0</v>
      </c>
      <c r="D278" s="74"/>
      <c r="E278" s="248">
        <f t="shared" si="1336"/>
        <v>0</v>
      </c>
      <c r="F278" s="74"/>
      <c r="G278" s="248">
        <f t="shared" ref="G278" si="1428">(F278/100)*1000</f>
        <v>0</v>
      </c>
      <c r="H278" s="74"/>
      <c r="I278" s="248">
        <f t="shared" ref="I278" si="1429">(H278/100)*1000</f>
        <v>0</v>
      </c>
      <c r="J278" s="74"/>
      <c r="K278" s="248">
        <f t="shared" ref="K278" si="1430">(J278/100)*1000</f>
        <v>0</v>
      </c>
      <c r="L278" s="74"/>
      <c r="M278" s="248">
        <f t="shared" ref="M278" si="1431">(L278/100)*1000</f>
        <v>0</v>
      </c>
      <c r="N278" s="74"/>
      <c r="O278" s="248">
        <f t="shared" ref="O278" si="1432">(N278/100)*1000</f>
        <v>0</v>
      </c>
      <c r="P278" s="74"/>
      <c r="Q278" s="248">
        <f t="shared" ref="Q278" si="1433">(P278/100)*1000</f>
        <v>0</v>
      </c>
      <c r="R278" s="74"/>
      <c r="S278" s="248">
        <f t="shared" ref="S278" si="1434">(R278/100)*1000</f>
        <v>0</v>
      </c>
      <c r="T278" s="74"/>
      <c r="U278" s="248">
        <f t="shared" ref="U278" si="1435">(T278/100)*1000</f>
        <v>0</v>
      </c>
      <c r="V278" s="74"/>
      <c r="W278" s="248">
        <f t="shared" ref="W278" si="1436">(V278/100)*1000</f>
        <v>0</v>
      </c>
      <c r="X278" s="74"/>
      <c r="Y278" s="248">
        <f t="shared" ref="Y278" si="1437">(X278/100)*1000</f>
        <v>0</v>
      </c>
      <c r="Z278" s="74"/>
      <c r="AA278" s="248">
        <f t="shared" ref="AA278" si="1438">(Z278/100)*1000</f>
        <v>0</v>
      </c>
      <c r="AB278" s="74"/>
      <c r="AC278" s="248">
        <f t="shared" ref="AC278" si="1439">(AB278/100)*1000</f>
        <v>0</v>
      </c>
      <c r="AD278" s="74"/>
      <c r="AE278" s="248">
        <f t="shared" ref="AE278" si="1440">(AD278/100)*1000</f>
        <v>0</v>
      </c>
    </row>
    <row r="279" spans="1:31" ht="18.75" customHeight="1" outlineLevel="1">
      <c r="A279" s="406" t="str">
        <f t="shared" si="1335"/>
        <v>LIMESTONE POWDER (HARUMI)</v>
      </c>
      <c r="B279" s="74"/>
      <c r="C279" s="248">
        <f t="shared" si="1336"/>
        <v>0</v>
      </c>
      <c r="D279" s="74"/>
      <c r="E279" s="248">
        <f t="shared" si="1336"/>
        <v>0</v>
      </c>
      <c r="F279" s="74"/>
      <c r="G279" s="248">
        <f t="shared" ref="G279" si="1441">(F279/100)*1000</f>
        <v>0</v>
      </c>
      <c r="H279" s="74"/>
      <c r="I279" s="248">
        <f t="shared" ref="I279" si="1442">(H279/100)*1000</f>
        <v>0</v>
      </c>
      <c r="J279" s="74"/>
      <c r="K279" s="248">
        <f t="shared" ref="K279" si="1443">(J279/100)*1000</f>
        <v>0</v>
      </c>
      <c r="L279" s="74"/>
      <c r="M279" s="248">
        <f t="shared" ref="M279" si="1444">(L279/100)*1000</f>
        <v>0</v>
      </c>
      <c r="N279" s="74"/>
      <c r="O279" s="248">
        <f t="shared" ref="O279" si="1445">(N279/100)*1000</f>
        <v>0</v>
      </c>
      <c r="P279" s="74"/>
      <c r="Q279" s="248">
        <f t="shared" ref="Q279" si="1446">(P279/100)*1000</f>
        <v>0</v>
      </c>
      <c r="R279" s="74"/>
      <c r="S279" s="248">
        <f t="shared" ref="S279" si="1447">(R279/100)*1000</f>
        <v>0</v>
      </c>
      <c r="T279" s="74"/>
      <c r="U279" s="248">
        <f t="shared" ref="U279" si="1448">(T279/100)*1000</f>
        <v>0</v>
      </c>
      <c r="V279" s="74"/>
      <c r="W279" s="248">
        <f t="shared" ref="W279" si="1449">(V279/100)*1000</f>
        <v>0</v>
      </c>
      <c r="X279" s="74"/>
      <c r="Y279" s="248">
        <f t="shared" ref="Y279" si="1450">(X279/100)*1000</f>
        <v>0</v>
      </c>
      <c r="Z279" s="74"/>
      <c r="AA279" s="248">
        <f t="shared" ref="AA279" si="1451">(Z279/100)*1000</f>
        <v>0</v>
      </c>
      <c r="AB279" s="74"/>
      <c r="AC279" s="248">
        <f t="shared" ref="AC279" si="1452">(AB279/100)*1000</f>
        <v>0</v>
      </c>
      <c r="AD279" s="74"/>
      <c r="AE279" s="248">
        <f t="shared" ref="AE279" si="1453">(AD279/100)*1000</f>
        <v>0</v>
      </c>
    </row>
    <row r="280" spans="1:31" ht="18.75" customHeight="1" outlineLevel="1">
      <c r="A280" s="406" t="str">
        <f t="shared" si="1335"/>
        <v>CHOLINE CHLORIDE 60%</v>
      </c>
      <c r="B280" s="74"/>
      <c r="C280" s="248">
        <f t="shared" si="1336"/>
        <v>0</v>
      </c>
      <c r="D280" s="74"/>
      <c r="E280" s="248">
        <f t="shared" si="1336"/>
        <v>0</v>
      </c>
      <c r="F280" s="74"/>
      <c r="G280" s="248">
        <f t="shared" ref="G280" si="1454">(F280/100)*1000</f>
        <v>0</v>
      </c>
      <c r="H280" s="74"/>
      <c r="I280" s="248">
        <f t="shared" ref="I280" si="1455">(H280/100)*1000</f>
        <v>0</v>
      </c>
      <c r="J280" s="74"/>
      <c r="K280" s="248">
        <f t="shared" ref="K280" si="1456">(J280/100)*1000</f>
        <v>0</v>
      </c>
      <c r="L280" s="74"/>
      <c r="M280" s="248">
        <f t="shared" ref="M280" si="1457">(L280/100)*1000</f>
        <v>0</v>
      </c>
      <c r="N280" s="74"/>
      <c r="O280" s="248">
        <f t="shared" ref="O280" si="1458">(N280/100)*1000</f>
        <v>0</v>
      </c>
      <c r="P280" s="74"/>
      <c r="Q280" s="248">
        <f t="shared" ref="Q280" si="1459">(P280/100)*1000</f>
        <v>0</v>
      </c>
      <c r="R280" s="74"/>
      <c r="S280" s="248">
        <f t="shared" ref="S280" si="1460">(R280/100)*1000</f>
        <v>0</v>
      </c>
      <c r="T280" s="74"/>
      <c r="U280" s="248">
        <f t="shared" ref="U280" si="1461">(T280/100)*1000</f>
        <v>0</v>
      </c>
      <c r="V280" s="74"/>
      <c r="W280" s="248">
        <f t="shared" ref="W280" si="1462">(V280/100)*1000</f>
        <v>0</v>
      </c>
      <c r="X280" s="74"/>
      <c r="Y280" s="248">
        <f t="shared" ref="Y280" si="1463">(X280/100)*1000</f>
        <v>0</v>
      </c>
      <c r="Z280" s="74"/>
      <c r="AA280" s="248">
        <f t="shared" ref="AA280" si="1464">(Z280/100)*1000</f>
        <v>0</v>
      </c>
      <c r="AB280" s="74"/>
      <c r="AC280" s="248">
        <f t="shared" ref="AC280" si="1465">(AB280/100)*1000</f>
        <v>0</v>
      </c>
      <c r="AD280" s="74"/>
      <c r="AE280" s="248">
        <f t="shared" ref="AE280" si="1466">(AD280/100)*1000</f>
        <v>0</v>
      </c>
    </row>
    <row r="281" spans="1:31" ht="18.75" customHeight="1" outlineLevel="1">
      <c r="A281" s="406" t="str">
        <f t="shared" si="1335"/>
        <v>INDUSTRY FLOUR</v>
      </c>
      <c r="B281" s="74"/>
      <c r="C281" s="248">
        <f t="shared" si="1336"/>
        <v>0</v>
      </c>
      <c r="D281" s="74"/>
      <c r="E281" s="248">
        <f t="shared" si="1336"/>
        <v>0</v>
      </c>
      <c r="F281" s="74"/>
      <c r="G281" s="248">
        <f t="shared" ref="G281" si="1467">(F281/100)*1000</f>
        <v>0</v>
      </c>
      <c r="H281" s="74"/>
      <c r="I281" s="248">
        <f t="shared" ref="I281" si="1468">(H281/100)*1000</f>
        <v>0</v>
      </c>
      <c r="J281" s="74"/>
      <c r="K281" s="248">
        <f t="shared" ref="K281" si="1469">(J281/100)*1000</f>
        <v>0</v>
      </c>
      <c r="L281" s="74"/>
      <c r="M281" s="248">
        <f t="shared" ref="M281" si="1470">(L281/100)*1000</f>
        <v>0</v>
      </c>
      <c r="N281" s="74"/>
      <c r="O281" s="248">
        <f t="shared" ref="O281" si="1471">(N281/100)*1000</f>
        <v>0</v>
      </c>
      <c r="P281" s="74"/>
      <c r="Q281" s="248">
        <f t="shared" ref="Q281" si="1472">(P281/100)*1000</f>
        <v>0</v>
      </c>
      <c r="R281" s="74"/>
      <c r="S281" s="248">
        <f t="shared" ref="S281" si="1473">(R281/100)*1000</f>
        <v>0</v>
      </c>
      <c r="T281" s="74"/>
      <c r="U281" s="248">
        <f t="shared" ref="U281" si="1474">(T281/100)*1000</f>
        <v>0</v>
      </c>
      <c r="V281" s="74"/>
      <c r="W281" s="248">
        <f t="shared" ref="W281" si="1475">(V281/100)*1000</f>
        <v>0</v>
      </c>
      <c r="X281" s="74"/>
      <c r="Y281" s="248">
        <f t="shared" ref="Y281" si="1476">(X281/100)*1000</f>
        <v>0</v>
      </c>
      <c r="Z281" s="74"/>
      <c r="AA281" s="248">
        <f t="shared" ref="AA281" si="1477">(Z281/100)*1000</f>
        <v>0</v>
      </c>
      <c r="AB281" s="74"/>
      <c r="AC281" s="248">
        <f t="shared" ref="AC281" si="1478">(AB281/100)*1000</f>
        <v>0</v>
      </c>
      <c r="AD281" s="74"/>
      <c r="AE281" s="248">
        <f t="shared" ref="AE281" si="1479">(AD281/100)*1000</f>
        <v>0</v>
      </c>
    </row>
    <row r="282" spans="1:31" ht="18.75" customHeight="1" outlineLevel="1">
      <c r="A282" s="406" t="str">
        <f t="shared" si="1335"/>
        <v>RICE BRAN</v>
      </c>
      <c r="B282" s="74"/>
      <c r="C282" s="248">
        <f t="shared" si="1336"/>
        <v>0</v>
      </c>
      <c r="D282" s="74"/>
      <c r="E282" s="248">
        <f t="shared" si="1336"/>
        <v>0</v>
      </c>
      <c r="F282" s="74"/>
      <c r="G282" s="248">
        <f t="shared" ref="G282" si="1480">(F282/100)*1000</f>
        <v>0</v>
      </c>
      <c r="H282" s="74"/>
      <c r="I282" s="248">
        <f t="shared" ref="I282" si="1481">(H282/100)*1000</f>
        <v>0</v>
      </c>
      <c r="J282" s="74"/>
      <c r="K282" s="248">
        <f t="shared" ref="K282" si="1482">(J282/100)*1000</f>
        <v>0</v>
      </c>
      <c r="L282" s="74"/>
      <c r="M282" s="248">
        <f t="shared" ref="M282" si="1483">(L282/100)*1000</f>
        <v>0</v>
      </c>
      <c r="N282" s="74"/>
      <c r="O282" s="248">
        <f t="shared" ref="O282" si="1484">(N282/100)*1000</f>
        <v>0</v>
      </c>
      <c r="P282" s="74"/>
      <c r="Q282" s="248">
        <f t="shared" ref="Q282" si="1485">(P282/100)*1000</f>
        <v>0</v>
      </c>
      <c r="R282" s="74"/>
      <c r="S282" s="248">
        <f t="shared" ref="S282" si="1486">(R282/100)*1000</f>
        <v>0</v>
      </c>
      <c r="T282" s="74"/>
      <c r="U282" s="248">
        <f t="shared" ref="U282" si="1487">(T282/100)*1000</f>
        <v>0</v>
      </c>
      <c r="V282" s="74"/>
      <c r="W282" s="248">
        <f t="shared" ref="W282" si="1488">(V282/100)*1000</f>
        <v>0</v>
      </c>
      <c r="X282" s="74"/>
      <c r="Y282" s="248">
        <f t="shared" ref="Y282" si="1489">(X282/100)*1000</f>
        <v>0</v>
      </c>
      <c r="Z282" s="74"/>
      <c r="AA282" s="248">
        <f t="shared" ref="AA282" si="1490">(Z282/100)*1000</f>
        <v>0</v>
      </c>
      <c r="AB282" s="74"/>
      <c r="AC282" s="248">
        <f t="shared" ref="AC282" si="1491">(AB282/100)*1000</f>
        <v>0</v>
      </c>
      <c r="AD282" s="74"/>
      <c r="AE282" s="248">
        <f t="shared" ref="AE282" si="1492">(AD282/100)*1000</f>
        <v>0</v>
      </c>
    </row>
    <row r="283" spans="1:31" ht="18.75" customHeight="1" outlineLevel="1">
      <c r="A283" s="406" t="str">
        <f t="shared" si="1335"/>
        <v>EP 200</v>
      </c>
      <c r="B283" s="74"/>
      <c r="C283" s="248">
        <f t="shared" si="1336"/>
        <v>0</v>
      </c>
      <c r="D283" s="74"/>
      <c r="E283" s="248">
        <f t="shared" si="1336"/>
        <v>0</v>
      </c>
      <c r="F283" s="74"/>
      <c r="G283" s="248">
        <f t="shared" ref="G283" si="1493">(F283/100)*1000</f>
        <v>0</v>
      </c>
      <c r="H283" s="74"/>
      <c r="I283" s="248">
        <f t="shared" ref="I283" si="1494">(H283/100)*1000</f>
        <v>0</v>
      </c>
      <c r="J283" s="74"/>
      <c r="K283" s="248">
        <f t="shared" ref="K283" si="1495">(J283/100)*1000</f>
        <v>0</v>
      </c>
      <c r="L283" s="74"/>
      <c r="M283" s="248">
        <f t="shared" ref="M283" si="1496">(L283/100)*1000</f>
        <v>0</v>
      </c>
      <c r="N283" s="74"/>
      <c r="O283" s="248">
        <f t="shared" ref="O283" si="1497">(N283/100)*1000</f>
        <v>0</v>
      </c>
      <c r="P283" s="74"/>
      <c r="Q283" s="248">
        <f t="shared" ref="Q283" si="1498">(P283/100)*1000</f>
        <v>0</v>
      </c>
      <c r="R283" s="74"/>
      <c r="S283" s="248">
        <f t="shared" ref="S283" si="1499">(R283/100)*1000</f>
        <v>0</v>
      </c>
      <c r="T283" s="74"/>
      <c r="U283" s="248">
        <f t="shared" ref="U283" si="1500">(T283/100)*1000</f>
        <v>0</v>
      </c>
      <c r="V283" s="74"/>
      <c r="W283" s="248">
        <f t="shared" ref="W283" si="1501">(V283/100)*1000</f>
        <v>0</v>
      </c>
      <c r="X283" s="74"/>
      <c r="Y283" s="248">
        <f t="shared" ref="Y283" si="1502">(X283/100)*1000</f>
        <v>0</v>
      </c>
      <c r="Z283" s="74"/>
      <c r="AA283" s="248">
        <f t="shared" ref="AA283" si="1503">(Z283/100)*1000</f>
        <v>0</v>
      </c>
      <c r="AB283" s="74"/>
      <c r="AC283" s="248">
        <f t="shared" ref="AC283" si="1504">(AB283/100)*1000</f>
        <v>0</v>
      </c>
      <c r="AD283" s="74"/>
      <c r="AE283" s="248">
        <f t="shared" ref="AE283" si="1505">(AD283/100)*1000</f>
        <v>0</v>
      </c>
    </row>
    <row r="284" spans="1:31" ht="18.75" customHeight="1" outlineLevel="1">
      <c r="A284" s="406" t="str">
        <f t="shared" si="1335"/>
        <v>SOYTIDE</v>
      </c>
      <c r="B284" s="74"/>
      <c r="C284" s="248">
        <f t="shared" si="1336"/>
        <v>0</v>
      </c>
      <c r="D284" s="74"/>
      <c r="E284" s="248">
        <f t="shared" si="1336"/>
        <v>0</v>
      </c>
      <c r="F284" s="74"/>
      <c r="G284" s="248">
        <f t="shared" ref="G284" si="1506">(F284/100)*1000</f>
        <v>0</v>
      </c>
      <c r="H284" s="74"/>
      <c r="I284" s="248">
        <f t="shared" ref="I284" si="1507">(H284/100)*1000</f>
        <v>0</v>
      </c>
      <c r="J284" s="74"/>
      <c r="K284" s="248">
        <f t="shared" ref="K284" si="1508">(J284/100)*1000</f>
        <v>0</v>
      </c>
      <c r="L284" s="74"/>
      <c r="M284" s="248">
        <f t="shared" ref="M284" si="1509">(L284/100)*1000</f>
        <v>0</v>
      </c>
      <c r="N284" s="74"/>
      <c r="O284" s="248">
        <f t="shared" ref="O284" si="1510">(N284/100)*1000</f>
        <v>0</v>
      </c>
      <c r="P284" s="74"/>
      <c r="Q284" s="248">
        <f t="shared" ref="Q284" si="1511">(P284/100)*1000</f>
        <v>0</v>
      </c>
      <c r="R284" s="74"/>
      <c r="S284" s="248">
        <f t="shared" ref="S284" si="1512">(R284/100)*1000</f>
        <v>0</v>
      </c>
      <c r="T284" s="74"/>
      <c r="U284" s="248">
        <f t="shared" ref="U284" si="1513">(T284/100)*1000</f>
        <v>0</v>
      </c>
      <c r="V284" s="74"/>
      <c r="W284" s="248">
        <f t="shared" ref="W284" si="1514">(V284/100)*1000</f>
        <v>0</v>
      </c>
      <c r="X284" s="74"/>
      <c r="Y284" s="248">
        <f t="shared" ref="Y284" si="1515">(X284/100)*1000</f>
        <v>0</v>
      </c>
      <c r="Z284" s="74"/>
      <c r="AA284" s="248">
        <f t="shared" ref="AA284" si="1516">(Z284/100)*1000</f>
        <v>0</v>
      </c>
      <c r="AB284" s="74"/>
      <c r="AC284" s="248">
        <f t="shared" ref="AC284" si="1517">(AB284/100)*1000</f>
        <v>0</v>
      </c>
      <c r="AD284" s="74"/>
      <c r="AE284" s="248">
        <f t="shared" ref="AE284" si="1518">(AD284/100)*1000</f>
        <v>0</v>
      </c>
    </row>
    <row r="285" spans="1:31" ht="18.75" customHeight="1" outlineLevel="1">
      <c r="A285" s="406" t="str">
        <f t="shared" si="1335"/>
        <v>DCP 18% (HARUMI)</v>
      </c>
      <c r="B285" s="74"/>
      <c r="C285" s="248">
        <f t="shared" si="1336"/>
        <v>0</v>
      </c>
      <c r="D285" s="74"/>
      <c r="E285" s="248">
        <f t="shared" si="1336"/>
        <v>0</v>
      </c>
      <c r="F285" s="74"/>
      <c r="G285" s="248">
        <f t="shared" ref="G285" si="1519">(F285/100)*1000</f>
        <v>0</v>
      </c>
      <c r="H285" s="74"/>
      <c r="I285" s="248">
        <f t="shared" ref="I285" si="1520">(H285/100)*1000</f>
        <v>0</v>
      </c>
      <c r="J285" s="74"/>
      <c r="K285" s="248">
        <f t="shared" ref="K285" si="1521">(J285/100)*1000</f>
        <v>0</v>
      </c>
      <c r="L285" s="74"/>
      <c r="M285" s="248">
        <f t="shared" ref="M285" si="1522">(L285/100)*1000</f>
        <v>0</v>
      </c>
      <c r="N285" s="74"/>
      <c r="O285" s="248">
        <f t="shared" ref="O285" si="1523">(N285/100)*1000</f>
        <v>0</v>
      </c>
      <c r="P285" s="74"/>
      <c r="Q285" s="248">
        <f t="shared" ref="Q285" si="1524">(P285/100)*1000</f>
        <v>0</v>
      </c>
      <c r="R285" s="74"/>
      <c r="S285" s="248">
        <f t="shared" ref="S285" si="1525">(R285/100)*1000</f>
        <v>0</v>
      </c>
      <c r="T285" s="74"/>
      <c r="U285" s="248">
        <f t="shared" ref="U285" si="1526">(T285/100)*1000</f>
        <v>0</v>
      </c>
      <c r="V285" s="74"/>
      <c r="W285" s="248">
        <f t="shared" ref="W285" si="1527">(V285/100)*1000</f>
        <v>0</v>
      </c>
      <c r="X285" s="74"/>
      <c r="Y285" s="248">
        <f t="shared" ref="Y285" si="1528">(X285/100)*1000</f>
        <v>0</v>
      </c>
      <c r="Z285" s="74"/>
      <c r="AA285" s="248">
        <f t="shared" ref="AA285" si="1529">(Z285/100)*1000</f>
        <v>0</v>
      </c>
      <c r="AB285" s="74"/>
      <c r="AC285" s="248">
        <f t="shared" ref="AC285" si="1530">(AB285/100)*1000</f>
        <v>0</v>
      </c>
      <c r="AD285" s="74"/>
      <c r="AE285" s="248">
        <f t="shared" ref="AE285" si="1531">(AD285/100)*1000</f>
        <v>0</v>
      </c>
    </row>
    <row r="286" spans="1:31" ht="18.75" customHeight="1" outlineLevel="1">
      <c r="A286" s="406">
        <f t="shared" si="1335"/>
        <v>1</v>
      </c>
      <c r="B286" s="74"/>
      <c r="C286" s="248">
        <f t="shared" si="1336"/>
        <v>0</v>
      </c>
      <c r="D286" s="74"/>
      <c r="E286" s="248">
        <f t="shared" si="1336"/>
        <v>0</v>
      </c>
      <c r="F286" s="74"/>
      <c r="G286" s="248">
        <f t="shared" ref="G286" si="1532">(F286/100)*1000</f>
        <v>0</v>
      </c>
      <c r="H286" s="74"/>
      <c r="I286" s="248">
        <f t="shared" ref="I286" si="1533">(H286/100)*1000</f>
        <v>0</v>
      </c>
      <c r="J286" s="74"/>
      <c r="K286" s="248">
        <f t="shared" ref="K286" si="1534">(J286/100)*1000</f>
        <v>0</v>
      </c>
      <c r="L286" s="74"/>
      <c r="M286" s="248">
        <f t="shared" ref="M286" si="1535">(L286/100)*1000</f>
        <v>0</v>
      </c>
      <c r="N286" s="74"/>
      <c r="O286" s="248">
        <f t="shared" ref="O286" si="1536">(N286/100)*1000</f>
        <v>0</v>
      </c>
      <c r="P286" s="74"/>
      <c r="Q286" s="248">
        <f t="shared" ref="Q286" si="1537">(P286/100)*1000</f>
        <v>0</v>
      </c>
      <c r="R286" s="74"/>
      <c r="S286" s="248">
        <f t="shared" ref="S286" si="1538">(R286/100)*1000</f>
        <v>0</v>
      </c>
      <c r="T286" s="74"/>
      <c r="U286" s="248">
        <f t="shared" ref="U286" si="1539">(T286/100)*1000</f>
        <v>0</v>
      </c>
      <c r="V286" s="74"/>
      <c r="W286" s="248">
        <f t="shared" ref="W286" si="1540">(V286/100)*1000</f>
        <v>0</v>
      </c>
      <c r="X286" s="74"/>
      <c r="Y286" s="248">
        <f t="shared" ref="Y286" si="1541">(X286/100)*1000</f>
        <v>0</v>
      </c>
      <c r="Z286" s="74"/>
      <c r="AA286" s="248">
        <f t="shared" ref="AA286" si="1542">(Z286/100)*1000</f>
        <v>0</v>
      </c>
      <c r="AB286" s="74"/>
      <c r="AC286" s="248">
        <f t="shared" ref="AC286" si="1543">(AB286/100)*1000</f>
        <v>0</v>
      </c>
      <c r="AD286" s="74"/>
      <c r="AE286" s="248">
        <f t="shared" ref="AE286" si="1544">(AD286/100)*1000</f>
        <v>0</v>
      </c>
    </row>
    <row r="287" spans="1:31" ht="18.75" customHeight="1" outlineLevel="1">
      <c r="A287" s="406">
        <f t="shared" si="1335"/>
        <v>2</v>
      </c>
      <c r="B287" s="74"/>
      <c r="C287" s="248">
        <f t="shared" si="1336"/>
        <v>0</v>
      </c>
      <c r="D287" s="74"/>
      <c r="E287" s="248">
        <f t="shared" si="1336"/>
        <v>0</v>
      </c>
      <c r="F287" s="74"/>
      <c r="G287" s="248">
        <f t="shared" ref="G287" si="1545">(F287/100)*1000</f>
        <v>0</v>
      </c>
      <c r="H287" s="74"/>
      <c r="I287" s="248">
        <f t="shared" ref="I287" si="1546">(H287/100)*1000</f>
        <v>0</v>
      </c>
      <c r="J287" s="74"/>
      <c r="K287" s="248">
        <f t="shared" ref="K287" si="1547">(J287/100)*1000</f>
        <v>0</v>
      </c>
      <c r="L287" s="74"/>
      <c r="M287" s="248">
        <f t="shared" ref="M287" si="1548">(L287/100)*1000</f>
        <v>0</v>
      </c>
      <c r="N287" s="74"/>
      <c r="O287" s="248">
        <f t="shared" ref="O287" si="1549">(N287/100)*1000</f>
        <v>0</v>
      </c>
      <c r="P287" s="74"/>
      <c r="Q287" s="248">
        <f t="shared" ref="Q287" si="1550">(P287/100)*1000</f>
        <v>0</v>
      </c>
      <c r="R287" s="74"/>
      <c r="S287" s="248">
        <f t="shared" ref="S287" si="1551">(R287/100)*1000</f>
        <v>0</v>
      </c>
      <c r="T287" s="74"/>
      <c r="U287" s="248">
        <f t="shared" ref="U287" si="1552">(T287/100)*1000</f>
        <v>0</v>
      </c>
      <c r="V287" s="74"/>
      <c r="W287" s="248">
        <f t="shared" ref="W287" si="1553">(V287/100)*1000</f>
        <v>0</v>
      </c>
      <c r="X287" s="74"/>
      <c r="Y287" s="248">
        <f t="shared" ref="Y287" si="1554">(X287/100)*1000</f>
        <v>0</v>
      </c>
      <c r="Z287" s="74"/>
      <c r="AA287" s="248">
        <f t="shared" ref="AA287" si="1555">(Z287/100)*1000</f>
        <v>0</v>
      </c>
      <c r="AB287" s="74"/>
      <c r="AC287" s="248">
        <f t="shared" ref="AC287" si="1556">(AB287/100)*1000</f>
        <v>0</v>
      </c>
      <c r="AD287" s="74"/>
      <c r="AE287" s="248">
        <f t="shared" ref="AE287" si="1557">(AD287/100)*1000</f>
        <v>0</v>
      </c>
    </row>
    <row r="288" spans="1:31" ht="18.75" customHeight="1" outlineLevel="1">
      <c r="A288" s="406">
        <f t="shared" si="1335"/>
        <v>3</v>
      </c>
      <c r="B288" s="74"/>
      <c r="C288" s="248">
        <f t="shared" si="1336"/>
        <v>0</v>
      </c>
      <c r="D288" s="74"/>
      <c r="E288" s="248">
        <f t="shared" si="1336"/>
        <v>0</v>
      </c>
      <c r="F288" s="74"/>
      <c r="G288" s="248">
        <f t="shared" ref="G288" si="1558">(F288/100)*1000</f>
        <v>0</v>
      </c>
      <c r="H288" s="74"/>
      <c r="I288" s="248">
        <f t="shared" ref="I288" si="1559">(H288/100)*1000</f>
        <v>0</v>
      </c>
      <c r="J288" s="74"/>
      <c r="K288" s="248">
        <f t="shared" ref="K288" si="1560">(J288/100)*1000</f>
        <v>0</v>
      </c>
      <c r="L288" s="74"/>
      <c r="M288" s="248">
        <f t="shared" ref="M288" si="1561">(L288/100)*1000</f>
        <v>0</v>
      </c>
      <c r="N288" s="74"/>
      <c r="O288" s="248">
        <f t="shared" ref="O288" si="1562">(N288/100)*1000</f>
        <v>0</v>
      </c>
      <c r="P288" s="74"/>
      <c r="Q288" s="248">
        <f t="shared" ref="Q288" si="1563">(P288/100)*1000</f>
        <v>0</v>
      </c>
      <c r="R288" s="74"/>
      <c r="S288" s="248">
        <f t="shared" ref="S288" si="1564">(R288/100)*1000</f>
        <v>0</v>
      </c>
      <c r="T288" s="74"/>
      <c r="U288" s="248">
        <f t="shared" ref="U288" si="1565">(T288/100)*1000</f>
        <v>0</v>
      </c>
      <c r="V288" s="74"/>
      <c r="W288" s="248">
        <f t="shared" ref="W288" si="1566">(V288/100)*1000</f>
        <v>0</v>
      </c>
      <c r="X288" s="74"/>
      <c r="Y288" s="248">
        <f t="shared" ref="Y288" si="1567">(X288/100)*1000</f>
        <v>0</v>
      </c>
      <c r="Z288" s="74"/>
      <c r="AA288" s="248">
        <f t="shared" ref="AA288" si="1568">(Z288/100)*1000</f>
        <v>0</v>
      </c>
      <c r="AB288" s="74"/>
      <c r="AC288" s="248">
        <f t="shared" ref="AC288" si="1569">(AB288/100)*1000</f>
        <v>0</v>
      </c>
      <c r="AD288" s="74"/>
      <c r="AE288" s="248">
        <f t="shared" ref="AE288" si="1570">(AD288/100)*1000</f>
        <v>0</v>
      </c>
    </row>
    <row r="289" spans="1:31" ht="18.75" customHeight="1" outlineLevel="1">
      <c r="A289" s="374" t="str">
        <f t="shared" si="1335"/>
        <v>PREMIX 1101 (20KG)</v>
      </c>
      <c r="B289" s="74"/>
      <c r="C289" s="248">
        <f t="shared" si="1336"/>
        <v>0</v>
      </c>
      <c r="D289" s="74"/>
      <c r="E289" s="248">
        <f t="shared" si="1336"/>
        <v>0</v>
      </c>
      <c r="F289" s="74"/>
      <c r="G289" s="248">
        <f t="shared" ref="G289" si="1571">(F289/100)*1000</f>
        <v>0</v>
      </c>
      <c r="H289" s="74"/>
      <c r="I289" s="248">
        <f t="shared" ref="I289" si="1572">(H289/100)*1000</f>
        <v>0</v>
      </c>
      <c r="J289" s="74"/>
      <c r="K289" s="248">
        <f t="shared" ref="K289" si="1573">(J289/100)*1000</f>
        <v>0</v>
      </c>
      <c r="L289" s="74"/>
      <c r="M289" s="248">
        <f t="shared" ref="M289" si="1574">(L289/100)*1000</f>
        <v>0</v>
      </c>
      <c r="N289" s="74"/>
      <c r="O289" s="248">
        <f t="shared" ref="O289" si="1575">(N289/100)*1000</f>
        <v>0</v>
      </c>
      <c r="P289" s="74"/>
      <c r="Q289" s="248">
        <f t="shared" ref="Q289" si="1576">(P289/100)*1000</f>
        <v>0</v>
      </c>
      <c r="R289" s="74"/>
      <c r="S289" s="248">
        <f t="shared" ref="S289" si="1577">(R289/100)*1000</f>
        <v>0</v>
      </c>
      <c r="T289" s="74"/>
      <c r="U289" s="248">
        <f t="shared" ref="U289" si="1578">(T289/100)*1000</f>
        <v>0</v>
      </c>
      <c r="V289" s="74"/>
      <c r="W289" s="248">
        <f t="shared" ref="W289" si="1579">(V289/100)*1000</f>
        <v>0</v>
      </c>
      <c r="X289" s="74"/>
      <c r="Y289" s="248">
        <f t="shared" ref="Y289" si="1580">(X289/100)*1000</f>
        <v>0</v>
      </c>
      <c r="Z289" s="74"/>
      <c r="AA289" s="248">
        <f t="shared" ref="AA289" si="1581">(Z289/100)*1000</f>
        <v>0</v>
      </c>
      <c r="AB289" s="74"/>
      <c r="AC289" s="248">
        <f t="shared" ref="AC289" si="1582">(AB289/100)*1000</f>
        <v>0</v>
      </c>
      <c r="AD289" s="74"/>
      <c r="AE289" s="248">
        <f t="shared" ref="AE289" si="1583">(AD289/100)*1000</f>
        <v>0</v>
      </c>
    </row>
    <row r="290" spans="1:31" ht="18.75" customHeight="1" outlineLevel="1">
      <c r="A290" s="374" t="str">
        <f t="shared" si="1335"/>
        <v>PREMIX 1102 (20KG)</v>
      </c>
      <c r="B290" s="74"/>
      <c r="C290" s="248">
        <f t="shared" si="1336"/>
        <v>0</v>
      </c>
      <c r="D290" s="74"/>
      <c r="E290" s="248">
        <f t="shared" si="1336"/>
        <v>0</v>
      </c>
      <c r="F290" s="74"/>
      <c r="G290" s="248">
        <f t="shared" ref="G290" si="1584">(F290/100)*1000</f>
        <v>0</v>
      </c>
      <c r="H290" s="74"/>
      <c r="I290" s="248">
        <f t="shared" ref="I290" si="1585">(H290/100)*1000</f>
        <v>0</v>
      </c>
      <c r="J290" s="74"/>
      <c r="K290" s="248">
        <f t="shared" ref="K290" si="1586">(J290/100)*1000</f>
        <v>0</v>
      </c>
      <c r="L290" s="74"/>
      <c r="M290" s="248">
        <f t="shared" ref="M290" si="1587">(L290/100)*1000</f>
        <v>0</v>
      </c>
      <c r="N290" s="74"/>
      <c r="O290" s="248">
        <f t="shared" ref="O290" si="1588">(N290/100)*1000</f>
        <v>0</v>
      </c>
      <c r="P290" s="74"/>
      <c r="Q290" s="248">
        <f t="shared" ref="Q290" si="1589">(P290/100)*1000</f>
        <v>0</v>
      </c>
      <c r="R290" s="74"/>
      <c r="S290" s="248">
        <f t="shared" ref="S290" si="1590">(R290/100)*1000</f>
        <v>0</v>
      </c>
      <c r="T290" s="74"/>
      <c r="U290" s="248">
        <f t="shared" ref="U290" si="1591">(T290/100)*1000</f>
        <v>0</v>
      </c>
      <c r="V290" s="74"/>
      <c r="W290" s="248">
        <f t="shared" ref="W290" si="1592">(V290/100)*1000</f>
        <v>0</v>
      </c>
      <c r="X290" s="74"/>
      <c r="Y290" s="248">
        <f t="shared" ref="Y290" si="1593">(X290/100)*1000</f>
        <v>0</v>
      </c>
      <c r="Z290" s="74"/>
      <c r="AA290" s="248">
        <f t="shared" ref="AA290" si="1594">(Z290/100)*1000</f>
        <v>0</v>
      </c>
      <c r="AB290" s="74"/>
      <c r="AC290" s="248">
        <f t="shared" ref="AC290" si="1595">(AB290/100)*1000</f>
        <v>0</v>
      </c>
      <c r="AD290" s="74"/>
      <c r="AE290" s="248">
        <f t="shared" ref="AE290" si="1596">(AD290/100)*1000</f>
        <v>0</v>
      </c>
    </row>
    <row r="291" spans="1:31" ht="18.75" customHeight="1" outlineLevel="1">
      <c r="A291" s="374" t="str">
        <f t="shared" si="1335"/>
        <v>PREMIX 1103 (20KG)</v>
      </c>
      <c r="B291" s="74"/>
      <c r="C291" s="248">
        <f t="shared" si="1336"/>
        <v>0</v>
      </c>
      <c r="D291" s="74"/>
      <c r="E291" s="248">
        <f t="shared" si="1336"/>
        <v>0</v>
      </c>
      <c r="F291" s="74"/>
      <c r="G291" s="248">
        <f t="shared" ref="G291" si="1597">(F291/100)*1000</f>
        <v>0</v>
      </c>
      <c r="H291" s="74"/>
      <c r="I291" s="248">
        <f t="shared" ref="I291" si="1598">(H291/100)*1000</f>
        <v>0</v>
      </c>
      <c r="J291" s="74"/>
      <c r="K291" s="248">
        <f t="shared" ref="K291" si="1599">(J291/100)*1000</f>
        <v>0</v>
      </c>
      <c r="L291" s="74"/>
      <c r="M291" s="248">
        <f t="shared" ref="M291" si="1600">(L291/100)*1000</f>
        <v>0</v>
      </c>
      <c r="N291" s="74"/>
      <c r="O291" s="248">
        <f t="shared" ref="O291" si="1601">(N291/100)*1000</f>
        <v>0</v>
      </c>
      <c r="P291" s="74"/>
      <c r="Q291" s="248">
        <f t="shared" ref="Q291" si="1602">(P291/100)*1000</f>
        <v>0</v>
      </c>
      <c r="R291" s="74"/>
      <c r="S291" s="248">
        <f t="shared" ref="S291" si="1603">(R291/100)*1000</f>
        <v>0</v>
      </c>
      <c r="T291" s="74"/>
      <c r="U291" s="248">
        <f t="shared" ref="U291" si="1604">(T291/100)*1000</f>
        <v>0</v>
      </c>
      <c r="V291" s="74"/>
      <c r="W291" s="248">
        <f t="shared" ref="W291" si="1605">(V291/100)*1000</f>
        <v>0</v>
      </c>
      <c r="X291" s="74"/>
      <c r="Y291" s="248">
        <f t="shared" ref="Y291" si="1606">(X291/100)*1000</f>
        <v>0</v>
      </c>
      <c r="Z291" s="74"/>
      <c r="AA291" s="248">
        <f t="shared" ref="AA291" si="1607">(Z291/100)*1000</f>
        <v>0</v>
      </c>
      <c r="AB291" s="74"/>
      <c r="AC291" s="248">
        <f t="shared" ref="AC291" si="1608">(AB291/100)*1000</f>
        <v>0</v>
      </c>
      <c r="AD291" s="74"/>
      <c r="AE291" s="248">
        <f t="shared" ref="AE291" si="1609">(AD291/100)*1000</f>
        <v>0</v>
      </c>
    </row>
    <row r="292" spans="1:31" ht="18.75" customHeight="1" outlineLevel="1">
      <c r="A292" s="374" t="str">
        <f t="shared" si="1335"/>
        <v>PREMIX 311 (20KG)</v>
      </c>
      <c r="B292" s="74"/>
      <c r="C292" s="248">
        <f t="shared" si="1336"/>
        <v>0</v>
      </c>
      <c r="D292" s="74"/>
      <c r="E292" s="248">
        <f t="shared" si="1336"/>
        <v>0</v>
      </c>
      <c r="F292" s="74"/>
      <c r="G292" s="248">
        <f t="shared" ref="G292" si="1610">(F292/100)*1000</f>
        <v>0</v>
      </c>
      <c r="H292" s="74"/>
      <c r="I292" s="248">
        <f t="shared" ref="I292" si="1611">(H292/100)*1000</f>
        <v>0</v>
      </c>
      <c r="J292" s="74"/>
      <c r="K292" s="248">
        <f t="shared" ref="K292" si="1612">(J292/100)*1000</f>
        <v>0</v>
      </c>
      <c r="L292" s="74"/>
      <c r="M292" s="248">
        <f t="shared" ref="M292" si="1613">(L292/100)*1000</f>
        <v>0</v>
      </c>
      <c r="N292" s="74"/>
      <c r="O292" s="248">
        <f t="shared" ref="O292" si="1614">(N292/100)*1000</f>
        <v>0</v>
      </c>
      <c r="P292" s="74"/>
      <c r="Q292" s="248">
        <f t="shared" ref="Q292" si="1615">(P292/100)*1000</f>
        <v>0</v>
      </c>
      <c r="R292" s="74"/>
      <c r="S292" s="248">
        <f t="shared" ref="S292" si="1616">(R292/100)*1000</f>
        <v>0</v>
      </c>
      <c r="T292" s="74"/>
      <c r="U292" s="248">
        <f t="shared" ref="U292" si="1617">(T292/100)*1000</f>
        <v>0</v>
      </c>
      <c r="V292" s="74"/>
      <c r="W292" s="248">
        <f t="shared" ref="W292" si="1618">(V292/100)*1000</f>
        <v>0</v>
      </c>
      <c r="X292" s="74"/>
      <c r="Y292" s="248">
        <f t="shared" ref="Y292" si="1619">(X292/100)*1000</f>
        <v>0</v>
      </c>
      <c r="Z292" s="74"/>
      <c r="AA292" s="248">
        <f t="shared" ref="AA292" si="1620">(Z292/100)*1000</f>
        <v>0</v>
      </c>
      <c r="AB292" s="74"/>
      <c r="AC292" s="248">
        <f t="shared" ref="AC292" si="1621">(AB292/100)*1000</f>
        <v>0</v>
      </c>
      <c r="AD292" s="74"/>
      <c r="AE292" s="248">
        <f t="shared" ref="AE292" si="1622">(AD292/100)*1000</f>
        <v>0</v>
      </c>
    </row>
    <row r="293" spans="1:31" ht="18.75" customHeight="1" outlineLevel="1">
      <c r="A293" s="374" t="str">
        <f t="shared" si="1335"/>
        <v>PREMIX 312 (20KG)</v>
      </c>
      <c r="B293" s="74"/>
      <c r="C293" s="248">
        <f t="shared" si="1336"/>
        <v>0</v>
      </c>
      <c r="D293" s="74"/>
      <c r="E293" s="248">
        <f t="shared" si="1336"/>
        <v>0</v>
      </c>
      <c r="F293" s="74"/>
      <c r="G293" s="248">
        <f t="shared" ref="G293" si="1623">(F293/100)*1000</f>
        <v>0</v>
      </c>
      <c r="H293" s="74"/>
      <c r="I293" s="248">
        <f t="shared" ref="I293" si="1624">(H293/100)*1000</f>
        <v>0</v>
      </c>
      <c r="J293" s="74"/>
      <c r="K293" s="248">
        <f t="shared" ref="K293" si="1625">(J293/100)*1000</f>
        <v>0</v>
      </c>
      <c r="L293" s="74"/>
      <c r="M293" s="248">
        <f t="shared" ref="M293" si="1626">(L293/100)*1000</f>
        <v>0</v>
      </c>
      <c r="N293" s="74"/>
      <c r="O293" s="248">
        <f t="shared" ref="O293" si="1627">(N293/100)*1000</f>
        <v>0</v>
      </c>
      <c r="P293" s="74"/>
      <c r="Q293" s="248">
        <f t="shared" ref="Q293" si="1628">(P293/100)*1000</f>
        <v>0</v>
      </c>
      <c r="R293" s="74"/>
      <c r="S293" s="248">
        <f t="shared" ref="S293" si="1629">(R293/100)*1000</f>
        <v>0</v>
      </c>
      <c r="T293" s="74"/>
      <c r="U293" s="248">
        <f t="shared" ref="U293" si="1630">(T293/100)*1000</f>
        <v>0</v>
      </c>
      <c r="V293" s="74"/>
      <c r="W293" s="248">
        <f t="shared" ref="W293" si="1631">(V293/100)*1000</f>
        <v>0</v>
      </c>
      <c r="X293" s="74"/>
      <c r="Y293" s="248">
        <f t="shared" ref="Y293" si="1632">(X293/100)*1000</f>
        <v>0</v>
      </c>
      <c r="Z293" s="74"/>
      <c r="AA293" s="248">
        <f t="shared" ref="AA293" si="1633">(Z293/100)*1000</f>
        <v>0</v>
      </c>
      <c r="AB293" s="74"/>
      <c r="AC293" s="248">
        <f t="shared" ref="AC293" si="1634">(AB293/100)*1000</f>
        <v>0</v>
      </c>
      <c r="AD293" s="74"/>
      <c r="AE293" s="248">
        <f t="shared" ref="AE293" si="1635">(AD293/100)*1000</f>
        <v>0</v>
      </c>
    </row>
    <row r="294" spans="1:31" ht="18.75" customHeight="1" outlineLevel="1">
      <c r="A294" s="374">
        <f t="shared" si="1335"/>
        <v>1</v>
      </c>
      <c r="B294" s="74"/>
      <c r="C294" s="248">
        <f t="shared" si="1336"/>
        <v>0</v>
      </c>
      <c r="D294" s="74"/>
      <c r="E294" s="248">
        <f t="shared" si="1336"/>
        <v>0</v>
      </c>
      <c r="F294" s="74"/>
      <c r="G294" s="248">
        <f t="shared" ref="G294" si="1636">(F294/100)*1000</f>
        <v>0</v>
      </c>
      <c r="H294" s="74"/>
      <c r="I294" s="248">
        <f t="shared" ref="I294" si="1637">(H294/100)*1000</f>
        <v>0</v>
      </c>
      <c r="J294" s="74"/>
      <c r="K294" s="248">
        <f t="shared" ref="K294" si="1638">(J294/100)*1000</f>
        <v>0</v>
      </c>
      <c r="L294" s="74"/>
      <c r="M294" s="248">
        <f t="shared" ref="M294" si="1639">(L294/100)*1000</f>
        <v>0</v>
      </c>
      <c r="N294" s="74"/>
      <c r="O294" s="248">
        <f t="shared" ref="O294" si="1640">(N294/100)*1000</f>
        <v>0</v>
      </c>
      <c r="P294" s="74"/>
      <c r="Q294" s="248">
        <f t="shared" ref="Q294" si="1641">(P294/100)*1000</f>
        <v>0</v>
      </c>
      <c r="R294" s="74"/>
      <c r="S294" s="248">
        <f t="shared" ref="S294" si="1642">(R294/100)*1000</f>
        <v>0</v>
      </c>
      <c r="T294" s="74"/>
      <c r="U294" s="248">
        <f t="shared" ref="U294" si="1643">(T294/100)*1000</f>
        <v>0</v>
      </c>
      <c r="V294" s="74"/>
      <c r="W294" s="248">
        <f t="shared" ref="W294" si="1644">(V294/100)*1000</f>
        <v>0</v>
      </c>
      <c r="X294" s="74"/>
      <c r="Y294" s="248">
        <f t="shared" ref="Y294" si="1645">(X294/100)*1000</f>
        <v>0</v>
      </c>
      <c r="Z294" s="74"/>
      <c r="AA294" s="248">
        <f t="shared" ref="AA294" si="1646">(Z294/100)*1000</f>
        <v>0</v>
      </c>
      <c r="AB294" s="74"/>
      <c r="AC294" s="248">
        <f t="shared" ref="AC294" si="1647">(AB294/100)*1000</f>
        <v>0</v>
      </c>
      <c r="AD294" s="74"/>
      <c r="AE294" s="248">
        <f t="shared" ref="AE294" si="1648">(AD294/100)*1000</f>
        <v>0</v>
      </c>
    </row>
    <row r="295" spans="1:31" ht="18.75" customHeight="1" outlineLevel="1">
      <c r="A295" s="374" t="str">
        <f t="shared" si="1335"/>
        <v>PREMIX 8100 (20KG)</v>
      </c>
      <c r="B295" s="74"/>
      <c r="C295" s="248">
        <f t="shared" si="1336"/>
        <v>0</v>
      </c>
      <c r="D295" s="74"/>
      <c r="E295" s="248">
        <f t="shared" si="1336"/>
        <v>0</v>
      </c>
      <c r="F295" s="74"/>
      <c r="G295" s="248">
        <f t="shared" ref="G295" si="1649">(F295/100)*1000</f>
        <v>0</v>
      </c>
      <c r="H295" s="74"/>
      <c r="I295" s="248">
        <f t="shared" ref="I295" si="1650">(H295/100)*1000</f>
        <v>0</v>
      </c>
      <c r="J295" s="74"/>
      <c r="K295" s="248">
        <f t="shared" ref="K295" si="1651">(J295/100)*1000</f>
        <v>0</v>
      </c>
      <c r="L295" s="74"/>
      <c r="M295" s="248">
        <f t="shared" ref="M295" si="1652">(L295/100)*1000</f>
        <v>0</v>
      </c>
      <c r="N295" s="74"/>
      <c r="O295" s="248">
        <f t="shared" ref="O295" si="1653">(N295/100)*1000</f>
        <v>0</v>
      </c>
      <c r="P295" s="74"/>
      <c r="Q295" s="248">
        <f t="shared" ref="Q295" si="1654">(P295/100)*1000</f>
        <v>0</v>
      </c>
      <c r="R295" s="74"/>
      <c r="S295" s="248">
        <f t="shared" ref="S295" si="1655">(R295/100)*1000</f>
        <v>0</v>
      </c>
      <c r="T295" s="74"/>
      <c r="U295" s="248">
        <f t="shared" ref="U295" si="1656">(T295/100)*1000</f>
        <v>0</v>
      </c>
      <c r="V295" s="74"/>
      <c r="W295" s="248">
        <f t="shared" ref="W295" si="1657">(V295/100)*1000</f>
        <v>0</v>
      </c>
      <c r="X295" s="74"/>
      <c r="Y295" s="248">
        <f t="shared" ref="Y295" si="1658">(X295/100)*1000</f>
        <v>0</v>
      </c>
      <c r="Z295" s="74"/>
      <c r="AA295" s="248">
        <f t="shared" ref="AA295" si="1659">(Z295/100)*1000</f>
        <v>0</v>
      </c>
      <c r="AB295" s="74"/>
      <c r="AC295" s="248">
        <f t="shared" ref="AC295" si="1660">(AB295/100)*1000</f>
        <v>0</v>
      </c>
      <c r="AD295" s="74"/>
      <c r="AE295" s="248">
        <f t="shared" ref="AE295" si="1661">(AD295/100)*1000</f>
        <v>0</v>
      </c>
    </row>
    <row r="296" spans="1:31" ht="18.75" customHeight="1" outlineLevel="1">
      <c r="A296" s="374" t="str">
        <f t="shared" si="1335"/>
        <v>PREMIX 8101 (20KG)</v>
      </c>
      <c r="B296" s="74"/>
      <c r="C296" s="248">
        <f t="shared" si="1336"/>
        <v>0</v>
      </c>
      <c r="D296" s="74"/>
      <c r="E296" s="248">
        <f t="shared" si="1336"/>
        <v>0</v>
      </c>
      <c r="F296" s="74"/>
      <c r="G296" s="248">
        <f t="shared" ref="G296" si="1662">(F296/100)*1000</f>
        <v>0</v>
      </c>
      <c r="H296" s="74"/>
      <c r="I296" s="248">
        <f t="shared" ref="I296" si="1663">(H296/100)*1000</f>
        <v>0</v>
      </c>
      <c r="J296" s="74"/>
      <c r="K296" s="248">
        <f t="shared" ref="K296" si="1664">(J296/100)*1000</f>
        <v>0</v>
      </c>
      <c r="L296" s="74"/>
      <c r="M296" s="248">
        <f t="shared" ref="M296" si="1665">(L296/100)*1000</f>
        <v>0</v>
      </c>
      <c r="N296" s="74"/>
      <c r="O296" s="248">
        <f t="shared" ref="O296" si="1666">(N296/100)*1000</f>
        <v>0</v>
      </c>
      <c r="P296" s="74"/>
      <c r="Q296" s="248">
        <f t="shared" ref="Q296" si="1667">(P296/100)*1000</f>
        <v>0</v>
      </c>
      <c r="R296" s="74"/>
      <c r="S296" s="248">
        <f t="shared" ref="S296" si="1668">(R296/100)*1000</f>
        <v>0</v>
      </c>
      <c r="T296" s="74"/>
      <c r="U296" s="248">
        <f t="shared" ref="U296" si="1669">(T296/100)*1000</f>
        <v>0</v>
      </c>
      <c r="V296" s="74"/>
      <c r="W296" s="248">
        <f t="shared" ref="W296" si="1670">(V296/100)*1000</f>
        <v>0</v>
      </c>
      <c r="X296" s="74"/>
      <c r="Y296" s="248">
        <f t="shared" ref="Y296" si="1671">(X296/100)*1000</f>
        <v>0</v>
      </c>
      <c r="Z296" s="74"/>
      <c r="AA296" s="248">
        <f t="shared" ref="AA296" si="1672">(Z296/100)*1000</f>
        <v>0</v>
      </c>
      <c r="AB296" s="74"/>
      <c r="AC296" s="248">
        <f t="shared" ref="AC296" si="1673">(AB296/100)*1000</f>
        <v>0</v>
      </c>
      <c r="AD296" s="74"/>
      <c r="AE296" s="248">
        <f t="shared" ref="AE296" si="1674">(AD296/100)*1000</f>
        <v>0</v>
      </c>
    </row>
    <row r="297" spans="1:31" ht="18.75" customHeight="1" outlineLevel="1">
      <c r="A297" s="374" t="str">
        <f t="shared" si="1335"/>
        <v>PREMIX 8102 (20KG)</v>
      </c>
      <c r="B297" s="74"/>
      <c r="C297" s="248">
        <f t="shared" si="1336"/>
        <v>0</v>
      </c>
      <c r="D297" s="74"/>
      <c r="E297" s="248">
        <f t="shared" si="1336"/>
        <v>0</v>
      </c>
      <c r="F297" s="74"/>
      <c r="G297" s="248">
        <f t="shared" ref="G297" si="1675">(F297/100)*1000</f>
        <v>0</v>
      </c>
      <c r="H297" s="74"/>
      <c r="I297" s="248">
        <f t="shared" ref="I297" si="1676">(H297/100)*1000</f>
        <v>0</v>
      </c>
      <c r="J297" s="74"/>
      <c r="K297" s="248">
        <f t="shared" ref="K297" si="1677">(J297/100)*1000</f>
        <v>0</v>
      </c>
      <c r="L297" s="74"/>
      <c r="M297" s="248">
        <f t="shared" ref="M297" si="1678">(L297/100)*1000</f>
        <v>0</v>
      </c>
      <c r="N297" s="74"/>
      <c r="O297" s="248">
        <f t="shared" ref="O297" si="1679">(N297/100)*1000</f>
        <v>0</v>
      </c>
      <c r="P297" s="74"/>
      <c r="Q297" s="248">
        <f t="shared" ref="Q297" si="1680">(P297/100)*1000</f>
        <v>0</v>
      </c>
      <c r="R297" s="74"/>
      <c r="S297" s="248">
        <f t="shared" ref="S297" si="1681">(R297/100)*1000</f>
        <v>0</v>
      </c>
      <c r="T297" s="74"/>
      <c r="U297" s="248">
        <f t="shared" ref="U297" si="1682">(T297/100)*1000</f>
        <v>0</v>
      </c>
      <c r="V297" s="74"/>
      <c r="W297" s="248">
        <f t="shared" ref="W297" si="1683">(V297/100)*1000</f>
        <v>0</v>
      </c>
      <c r="X297" s="74"/>
      <c r="Y297" s="248">
        <f t="shared" ref="Y297" si="1684">(X297/100)*1000</f>
        <v>0</v>
      </c>
      <c r="Z297" s="74"/>
      <c r="AA297" s="248">
        <f t="shared" ref="AA297" si="1685">(Z297/100)*1000</f>
        <v>0</v>
      </c>
      <c r="AB297" s="74"/>
      <c r="AC297" s="248">
        <f t="shared" ref="AC297" si="1686">(AB297/100)*1000</f>
        <v>0</v>
      </c>
      <c r="AD297" s="74"/>
      <c r="AE297" s="248">
        <f t="shared" ref="AE297" si="1687">(AD297/100)*1000</f>
        <v>0</v>
      </c>
    </row>
    <row r="298" spans="1:31" ht="18.75" customHeight="1" outlineLevel="1">
      <c r="A298" s="374" t="str">
        <f t="shared" si="1335"/>
        <v>PREMIX 8103 (20KG)</v>
      </c>
      <c r="B298" s="74"/>
      <c r="C298" s="248">
        <f t="shared" si="1336"/>
        <v>0</v>
      </c>
      <c r="D298" s="74"/>
      <c r="E298" s="248">
        <f t="shared" si="1336"/>
        <v>0</v>
      </c>
      <c r="F298" s="74"/>
      <c r="G298" s="248">
        <f t="shared" ref="G298" si="1688">(F298/100)*1000</f>
        <v>0</v>
      </c>
      <c r="H298" s="74"/>
      <c r="I298" s="248">
        <f t="shared" ref="I298" si="1689">(H298/100)*1000</f>
        <v>0</v>
      </c>
      <c r="J298" s="74"/>
      <c r="K298" s="248">
        <f t="shared" ref="K298" si="1690">(J298/100)*1000</f>
        <v>0</v>
      </c>
      <c r="L298" s="74"/>
      <c r="M298" s="248">
        <f t="shared" ref="M298" si="1691">(L298/100)*1000</f>
        <v>0</v>
      </c>
      <c r="N298" s="74"/>
      <c r="O298" s="248">
        <f t="shared" ref="O298" si="1692">(N298/100)*1000</f>
        <v>0</v>
      </c>
      <c r="P298" s="74"/>
      <c r="Q298" s="248">
        <f t="shared" ref="Q298" si="1693">(P298/100)*1000</f>
        <v>0</v>
      </c>
      <c r="R298" s="74"/>
      <c r="S298" s="248">
        <f t="shared" ref="S298" si="1694">(R298/100)*1000</f>
        <v>0</v>
      </c>
      <c r="T298" s="74"/>
      <c r="U298" s="248">
        <f t="shared" ref="U298" si="1695">(T298/100)*1000</f>
        <v>0</v>
      </c>
      <c r="V298" s="74"/>
      <c r="W298" s="248">
        <f t="shared" ref="W298" si="1696">(V298/100)*1000</f>
        <v>0</v>
      </c>
      <c r="X298" s="74"/>
      <c r="Y298" s="248">
        <f t="shared" ref="Y298" si="1697">(X298/100)*1000</f>
        <v>0</v>
      </c>
      <c r="Z298" s="74"/>
      <c r="AA298" s="248">
        <f t="shared" ref="AA298" si="1698">(Z298/100)*1000</f>
        <v>0</v>
      </c>
      <c r="AB298" s="74"/>
      <c r="AC298" s="248">
        <f t="shared" ref="AC298" si="1699">(AB298/100)*1000</f>
        <v>0</v>
      </c>
      <c r="AD298" s="74"/>
      <c r="AE298" s="248">
        <f t="shared" ref="AE298" si="1700">(AD298/100)*1000</f>
        <v>0</v>
      </c>
    </row>
    <row r="299" spans="1:31" ht="18.75" customHeight="1" outlineLevel="1">
      <c r="A299" s="374" t="str">
        <f t="shared" si="1335"/>
        <v>PREMIX 8108 (20KG)</v>
      </c>
      <c r="B299" s="74"/>
      <c r="C299" s="248">
        <f t="shared" si="1336"/>
        <v>0</v>
      </c>
      <c r="D299" s="74"/>
      <c r="E299" s="248">
        <f t="shared" si="1336"/>
        <v>0</v>
      </c>
      <c r="F299" s="74"/>
      <c r="G299" s="248">
        <f t="shared" ref="G299" si="1701">(F299/100)*1000</f>
        <v>0</v>
      </c>
      <c r="H299" s="74"/>
      <c r="I299" s="248">
        <f t="shared" ref="I299" si="1702">(H299/100)*1000</f>
        <v>0</v>
      </c>
      <c r="J299" s="74"/>
      <c r="K299" s="248">
        <f t="shared" ref="K299" si="1703">(J299/100)*1000</f>
        <v>0</v>
      </c>
      <c r="L299" s="74"/>
      <c r="M299" s="248">
        <f t="shared" ref="M299" si="1704">(L299/100)*1000</f>
        <v>0</v>
      </c>
      <c r="N299" s="74"/>
      <c r="O299" s="248">
        <f t="shared" ref="O299" si="1705">(N299/100)*1000</f>
        <v>0</v>
      </c>
      <c r="P299" s="74"/>
      <c r="Q299" s="248">
        <f t="shared" ref="Q299" si="1706">(P299/100)*1000</f>
        <v>0</v>
      </c>
      <c r="R299" s="74"/>
      <c r="S299" s="248">
        <f t="shared" ref="S299" si="1707">(R299/100)*1000</f>
        <v>0</v>
      </c>
      <c r="T299" s="74"/>
      <c r="U299" s="248">
        <f t="shared" ref="U299" si="1708">(T299/100)*1000</f>
        <v>0</v>
      </c>
      <c r="V299" s="74"/>
      <c r="W299" s="248">
        <f t="shared" ref="W299" si="1709">(V299/100)*1000</f>
        <v>0</v>
      </c>
      <c r="X299" s="74"/>
      <c r="Y299" s="248">
        <f t="shared" ref="Y299" si="1710">(X299/100)*1000</f>
        <v>0</v>
      </c>
      <c r="Z299" s="74"/>
      <c r="AA299" s="248">
        <f t="shared" ref="AA299" si="1711">(Z299/100)*1000</f>
        <v>0</v>
      </c>
      <c r="AB299" s="74"/>
      <c r="AC299" s="248">
        <f t="shared" ref="AC299" si="1712">(AB299/100)*1000</f>
        <v>0</v>
      </c>
      <c r="AD299" s="74"/>
      <c r="AE299" s="248">
        <f t="shared" ref="AE299" si="1713">(AD299/100)*1000</f>
        <v>0</v>
      </c>
    </row>
    <row r="300" spans="1:31" ht="18.75" customHeight="1" outlineLevel="1">
      <c r="A300" s="374" t="str">
        <f t="shared" si="1335"/>
        <v>PREMIX 8109 (20KG)</v>
      </c>
      <c r="B300" s="74"/>
      <c r="C300" s="248">
        <f t="shared" si="1336"/>
        <v>0</v>
      </c>
      <c r="D300" s="74"/>
      <c r="E300" s="248">
        <f t="shared" si="1336"/>
        <v>0</v>
      </c>
      <c r="F300" s="74"/>
      <c r="G300" s="248">
        <f t="shared" ref="G300" si="1714">(F300/100)*1000</f>
        <v>0</v>
      </c>
      <c r="H300" s="74"/>
      <c r="I300" s="248">
        <f t="shared" ref="I300" si="1715">(H300/100)*1000</f>
        <v>0</v>
      </c>
      <c r="J300" s="74"/>
      <c r="K300" s="248">
        <f t="shared" ref="K300" si="1716">(J300/100)*1000</f>
        <v>0</v>
      </c>
      <c r="L300" s="74"/>
      <c r="M300" s="248">
        <f t="shared" ref="M300" si="1717">(L300/100)*1000</f>
        <v>0</v>
      </c>
      <c r="N300" s="74"/>
      <c r="O300" s="248">
        <f t="shared" ref="O300" si="1718">(N300/100)*1000</f>
        <v>0</v>
      </c>
      <c r="P300" s="74"/>
      <c r="Q300" s="248">
        <f t="shared" ref="Q300" si="1719">(P300/100)*1000</f>
        <v>0</v>
      </c>
      <c r="R300" s="74"/>
      <c r="S300" s="248">
        <f t="shared" ref="S300" si="1720">(R300/100)*1000</f>
        <v>0</v>
      </c>
      <c r="T300" s="74"/>
      <c r="U300" s="248">
        <f t="shared" ref="U300" si="1721">(T300/100)*1000</f>
        <v>0</v>
      </c>
      <c r="V300" s="74"/>
      <c r="W300" s="248">
        <f t="shared" ref="W300" si="1722">(V300/100)*1000</f>
        <v>0</v>
      </c>
      <c r="X300" s="74"/>
      <c r="Y300" s="248">
        <f t="shared" ref="Y300" si="1723">(X300/100)*1000</f>
        <v>0</v>
      </c>
      <c r="Z300" s="74"/>
      <c r="AA300" s="248">
        <f t="shared" ref="AA300" si="1724">(Z300/100)*1000</f>
        <v>0</v>
      </c>
      <c r="AB300" s="74"/>
      <c r="AC300" s="248">
        <f t="shared" ref="AC300" si="1725">(AB300/100)*1000</f>
        <v>0</v>
      </c>
      <c r="AD300" s="74"/>
      <c r="AE300" s="248">
        <f t="shared" ref="AE300" si="1726">(AD300/100)*1000</f>
        <v>0</v>
      </c>
    </row>
    <row r="301" spans="1:31" ht="18.75" customHeight="1" outlineLevel="1">
      <c r="A301" s="374" t="str">
        <f t="shared" si="1335"/>
        <v>YENMIX 121 (20KG)</v>
      </c>
      <c r="B301" s="74"/>
      <c r="C301" s="248">
        <f t="shared" si="1336"/>
        <v>0</v>
      </c>
      <c r="D301" s="74"/>
      <c r="E301" s="248">
        <f t="shared" si="1336"/>
        <v>0</v>
      </c>
      <c r="F301" s="74"/>
      <c r="G301" s="248">
        <f t="shared" ref="G301" si="1727">(F301/100)*1000</f>
        <v>0</v>
      </c>
      <c r="H301" s="74"/>
      <c r="I301" s="248">
        <f t="shared" ref="I301" si="1728">(H301/100)*1000</f>
        <v>0</v>
      </c>
      <c r="J301" s="74"/>
      <c r="K301" s="248">
        <f t="shared" ref="K301" si="1729">(J301/100)*1000</f>
        <v>0</v>
      </c>
      <c r="L301" s="74"/>
      <c r="M301" s="248">
        <f t="shared" ref="M301" si="1730">(L301/100)*1000</f>
        <v>0</v>
      </c>
      <c r="N301" s="74"/>
      <c r="O301" s="248">
        <f t="shared" ref="O301" si="1731">(N301/100)*1000</f>
        <v>0</v>
      </c>
      <c r="P301" s="74"/>
      <c r="Q301" s="248">
        <f t="shared" ref="Q301" si="1732">(P301/100)*1000</f>
        <v>0</v>
      </c>
      <c r="R301" s="74"/>
      <c r="S301" s="248">
        <f t="shared" ref="S301" si="1733">(R301/100)*1000</f>
        <v>0</v>
      </c>
      <c r="T301" s="74"/>
      <c r="U301" s="248">
        <f t="shared" ref="U301" si="1734">(T301/100)*1000</f>
        <v>0</v>
      </c>
      <c r="V301" s="74"/>
      <c r="W301" s="248">
        <f t="shared" ref="W301" si="1735">(V301/100)*1000</f>
        <v>0</v>
      </c>
      <c r="X301" s="74"/>
      <c r="Y301" s="248">
        <f t="shared" ref="Y301" si="1736">(X301/100)*1000</f>
        <v>0</v>
      </c>
      <c r="Z301" s="74"/>
      <c r="AA301" s="248">
        <f t="shared" ref="AA301" si="1737">(Z301/100)*1000</f>
        <v>0</v>
      </c>
      <c r="AB301" s="74"/>
      <c r="AC301" s="248">
        <f t="shared" ref="AC301" si="1738">(AB301/100)*1000</f>
        <v>0</v>
      </c>
      <c r="AD301" s="74"/>
      <c r="AE301" s="248">
        <f t="shared" ref="AE301" si="1739">(AD301/100)*1000</f>
        <v>0</v>
      </c>
    </row>
    <row r="302" spans="1:31" ht="18.75" customHeight="1" outlineLevel="1">
      <c r="A302" s="374" t="str">
        <f t="shared" ref="A302:A320" si="1740">A38</f>
        <v>YENMIX 122 (19.50KG)</v>
      </c>
      <c r="B302" s="74"/>
      <c r="C302" s="248">
        <f t="shared" si="1336"/>
        <v>0</v>
      </c>
      <c r="D302" s="74"/>
      <c r="E302" s="248">
        <f t="shared" si="1336"/>
        <v>0</v>
      </c>
      <c r="F302" s="74"/>
      <c r="G302" s="248">
        <f t="shared" ref="G302" si="1741">(F302/100)*1000</f>
        <v>0</v>
      </c>
      <c r="H302" s="74"/>
      <c r="I302" s="248">
        <f t="shared" ref="I302" si="1742">(H302/100)*1000</f>
        <v>0</v>
      </c>
      <c r="J302" s="74"/>
      <c r="K302" s="248">
        <f t="shared" ref="K302" si="1743">(J302/100)*1000</f>
        <v>0</v>
      </c>
      <c r="L302" s="74"/>
      <c r="M302" s="248">
        <f t="shared" ref="M302" si="1744">(L302/100)*1000</f>
        <v>0</v>
      </c>
      <c r="N302" s="74"/>
      <c r="O302" s="248">
        <f t="shared" ref="O302" si="1745">(N302/100)*1000</f>
        <v>0</v>
      </c>
      <c r="P302" s="74"/>
      <c r="Q302" s="248">
        <f t="shared" ref="Q302" si="1746">(P302/100)*1000</f>
        <v>0</v>
      </c>
      <c r="R302" s="74"/>
      <c r="S302" s="248">
        <f t="shared" ref="S302" si="1747">(R302/100)*1000</f>
        <v>0</v>
      </c>
      <c r="T302" s="74"/>
      <c r="U302" s="248">
        <f t="shared" ref="U302" si="1748">(T302/100)*1000</f>
        <v>0</v>
      </c>
      <c r="V302" s="74"/>
      <c r="W302" s="248">
        <f t="shared" ref="W302" si="1749">(V302/100)*1000</f>
        <v>0</v>
      </c>
      <c r="X302" s="74"/>
      <c r="Y302" s="248">
        <f t="shared" ref="Y302" si="1750">(X302/100)*1000</f>
        <v>0</v>
      </c>
      <c r="Z302" s="74"/>
      <c r="AA302" s="248">
        <f t="shared" ref="AA302" si="1751">(Z302/100)*1000</f>
        <v>0</v>
      </c>
      <c r="AB302" s="74"/>
      <c r="AC302" s="248">
        <f t="shared" ref="AC302" si="1752">(AB302/100)*1000</f>
        <v>0</v>
      </c>
      <c r="AD302" s="74"/>
      <c r="AE302" s="248">
        <f t="shared" ref="AE302" si="1753">(AD302/100)*1000</f>
        <v>0</v>
      </c>
    </row>
    <row r="303" spans="1:31" ht="18.75" customHeight="1" outlineLevel="1">
      <c r="A303" s="374" t="str">
        <f t="shared" si="1740"/>
        <v>YENMIX 123 (18.90KG)</v>
      </c>
      <c r="B303" s="74"/>
      <c r="C303" s="248">
        <f t="shared" si="1336"/>
        <v>0</v>
      </c>
      <c r="D303" s="74"/>
      <c r="E303" s="248">
        <f t="shared" si="1336"/>
        <v>0</v>
      </c>
      <c r="F303" s="74"/>
      <c r="G303" s="248">
        <f t="shared" ref="G303" si="1754">(F303/100)*1000</f>
        <v>0</v>
      </c>
      <c r="H303" s="74"/>
      <c r="I303" s="248">
        <f t="shared" ref="I303" si="1755">(H303/100)*1000</f>
        <v>0</v>
      </c>
      <c r="J303" s="74"/>
      <c r="K303" s="248">
        <f t="shared" ref="K303" si="1756">(J303/100)*1000</f>
        <v>0</v>
      </c>
      <c r="L303" s="74"/>
      <c r="M303" s="248">
        <f t="shared" ref="M303" si="1757">(L303/100)*1000</f>
        <v>0</v>
      </c>
      <c r="N303" s="74"/>
      <c r="O303" s="248">
        <f t="shared" ref="O303" si="1758">(N303/100)*1000</f>
        <v>0</v>
      </c>
      <c r="P303" s="74"/>
      <c r="Q303" s="248">
        <f t="shared" ref="Q303" si="1759">(P303/100)*1000</f>
        <v>0</v>
      </c>
      <c r="R303" s="74"/>
      <c r="S303" s="248">
        <f t="shared" ref="S303" si="1760">(R303/100)*1000</f>
        <v>0</v>
      </c>
      <c r="T303" s="74"/>
      <c r="U303" s="248">
        <f t="shared" ref="U303" si="1761">(T303/100)*1000</f>
        <v>0</v>
      </c>
      <c r="V303" s="74"/>
      <c r="W303" s="248">
        <f t="shared" ref="W303" si="1762">(V303/100)*1000</f>
        <v>0</v>
      </c>
      <c r="X303" s="74"/>
      <c r="Y303" s="248">
        <f t="shared" ref="Y303" si="1763">(X303/100)*1000</f>
        <v>0</v>
      </c>
      <c r="Z303" s="74"/>
      <c r="AA303" s="248">
        <f t="shared" ref="AA303" si="1764">(Z303/100)*1000</f>
        <v>0</v>
      </c>
      <c r="AB303" s="74"/>
      <c r="AC303" s="248">
        <f t="shared" ref="AC303" si="1765">(AB303/100)*1000</f>
        <v>0</v>
      </c>
      <c r="AD303" s="74"/>
      <c r="AE303" s="248">
        <f t="shared" ref="AE303" si="1766">(AD303/100)*1000</f>
        <v>0</v>
      </c>
    </row>
    <row r="304" spans="1:31" ht="18.75" customHeight="1" outlineLevel="1">
      <c r="A304" s="374" t="str">
        <f t="shared" si="1740"/>
        <v>YENMIX 122 (20.50KG)</v>
      </c>
      <c r="B304" s="74"/>
      <c r="C304" s="248">
        <f t="shared" si="1336"/>
        <v>0</v>
      </c>
      <c r="D304" s="74"/>
      <c r="E304" s="248">
        <f t="shared" si="1336"/>
        <v>0</v>
      </c>
      <c r="F304" s="74"/>
      <c r="G304" s="248">
        <f t="shared" ref="G304" si="1767">(F304/100)*1000</f>
        <v>0</v>
      </c>
      <c r="H304" s="74"/>
      <c r="I304" s="248">
        <f t="shared" ref="I304" si="1768">(H304/100)*1000</f>
        <v>0</v>
      </c>
      <c r="J304" s="74"/>
      <c r="K304" s="248">
        <f t="shared" ref="K304" si="1769">(J304/100)*1000</f>
        <v>0</v>
      </c>
      <c r="L304" s="74"/>
      <c r="M304" s="248">
        <f t="shared" ref="M304" si="1770">(L304/100)*1000</f>
        <v>0</v>
      </c>
      <c r="N304" s="74"/>
      <c r="O304" s="248">
        <f t="shared" ref="O304" si="1771">(N304/100)*1000</f>
        <v>0</v>
      </c>
      <c r="P304" s="74"/>
      <c r="Q304" s="248">
        <f t="shared" ref="Q304" si="1772">(P304/100)*1000</f>
        <v>0</v>
      </c>
      <c r="R304" s="74"/>
      <c r="S304" s="248">
        <f t="shared" ref="S304" si="1773">(R304/100)*1000</f>
        <v>0</v>
      </c>
      <c r="T304" s="74"/>
      <c r="U304" s="248">
        <f t="shared" ref="U304" si="1774">(T304/100)*1000</f>
        <v>0</v>
      </c>
      <c r="V304" s="74"/>
      <c r="W304" s="248">
        <f t="shared" ref="W304" si="1775">(V304/100)*1000</f>
        <v>0</v>
      </c>
      <c r="X304" s="74"/>
      <c r="Y304" s="248">
        <f t="shared" ref="Y304" si="1776">(X304/100)*1000</f>
        <v>0</v>
      </c>
      <c r="Z304" s="74"/>
      <c r="AA304" s="248">
        <f t="shared" ref="AA304" si="1777">(Z304/100)*1000</f>
        <v>0</v>
      </c>
      <c r="AB304" s="74"/>
      <c r="AC304" s="248">
        <f t="shared" ref="AC304" si="1778">(AB304/100)*1000</f>
        <v>0</v>
      </c>
      <c r="AD304" s="74"/>
      <c r="AE304" s="248">
        <f t="shared" ref="AE304" si="1779">(AD304/100)*1000</f>
        <v>0</v>
      </c>
    </row>
    <row r="305" spans="1:31" ht="18.75" customHeight="1" outlineLevel="1">
      <c r="A305" s="374" t="str">
        <f t="shared" si="1740"/>
        <v>YENMIX 123 (20.00KG)</v>
      </c>
      <c r="B305" s="74"/>
      <c r="C305" s="248">
        <f t="shared" si="1336"/>
        <v>0</v>
      </c>
      <c r="D305" s="74"/>
      <c r="E305" s="248">
        <f t="shared" si="1336"/>
        <v>0</v>
      </c>
      <c r="F305" s="74"/>
      <c r="G305" s="248">
        <f t="shared" si="1336"/>
        <v>0</v>
      </c>
      <c r="H305" s="74"/>
      <c r="I305" s="248">
        <f t="shared" si="1336"/>
        <v>0</v>
      </c>
      <c r="J305" s="74"/>
      <c r="K305" s="248">
        <f t="shared" si="1336"/>
        <v>0</v>
      </c>
      <c r="L305" s="74"/>
      <c r="M305" s="248">
        <f t="shared" si="1336"/>
        <v>0</v>
      </c>
      <c r="N305" s="74"/>
      <c r="O305" s="248">
        <f t="shared" si="1336"/>
        <v>0</v>
      </c>
      <c r="P305" s="74"/>
      <c r="Q305" s="248">
        <f t="shared" si="1336"/>
        <v>0</v>
      </c>
      <c r="R305" s="74"/>
      <c r="S305" s="248">
        <f t="shared" si="1336"/>
        <v>0</v>
      </c>
      <c r="T305" s="74"/>
      <c r="U305" s="248">
        <f t="shared" si="1336"/>
        <v>0</v>
      </c>
      <c r="V305" s="74"/>
      <c r="W305" s="248">
        <f t="shared" si="1336"/>
        <v>0</v>
      </c>
      <c r="X305" s="74"/>
      <c r="Y305" s="248">
        <f t="shared" si="1336"/>
        <v>0</v>
      </c>
      <c r="Z305" s="74"/>
      <c r="AA305" s="248">
        <f t="shared" si="1336"/>
        <v>0</v>
      </c>
      <c r="AB305" s="74"/>
      <c r="AC305" s="248">
        <f t="shared" si="1336"/>
        <v>0</v>
      </c>
      <c r="AD305" s="74"/>
      <c r="AE305" s="248">
        <f t="shared" si="1336"/>
        <v>0</v>
      </c>
    </row>
    <row r="306" spans="1:31" ht="18.75" customHeight="1" outlineLevel="1">
      <c r="A306" s="374">
        <f t="shared" si="1740"/>
        <v>1</v>
      </c>
      <c r="B306" s="74"/>
      <c r="C306" s="248">
        <f t="shared" si="1336"/>
        <v>0</v>
      </c>
      <c r="D306" s="74"/>
      <c r="E306" s="248">
        <f t="shared" si="1336"/>
        <v>0</v>
      </c>
      <c r="F306" s="74"/>
      <c r="G306" s="248">
        <f t="shared" si="1336"/>
        <v>0</v>
      </c>
      <c r="H306" s="74"/>
      <c r="I306" s="248">
        <f t="shared" si="1336"/>
        <v>0</v>
      </c>
      <c r="J306" s="74"/>
      <c r="K306" s="248">
        <f t="shared" si="1336"/>
        <v>0</v>
      </c>
      <c r="L306" s="74"/>
      <c r="M306" s="248">
        <f t="shared" si="1336"/>
        <v>0</v>
      </c>
      <c r="N306" s="74"/>
      <c r="O306" s="248">
        <f t="shared" si="1336"/>
        <v>0</v>
      </c>
      <c r="P306" s="74"/>
      <c r="Q306" s="248">
        <f t="shared" si="1336"/>
        <v>0</v>
      </c>
      <c r="R306" s="74"/>
      <c r="S306" s="248">
        <f t="shared" si="1336"/>
        <v>0</v>
      </c>
      <c r="T306" s="74"/>
      <c r="U306" s="248">
        <f t="shared" si="1336"/>
        <v>0</v>
      </c>
      <c r="V306" s="74"/>
      <c r="W306" s="248">
        <f t="shared" si="1336"/>
        <v>0</v>
      </c>
      <c r="X306" s="74"/>
      <c r="Y306" s="248">
        <f t="shared" si="1336"/>
        <v>0</v>
      </c>
      <c r="Z306" s="74"/>
      <c r="AA306" s="248">
        <f t="shared" si="1336"/>
        <v>0</v>
      </c>
      <c r="AB306" s="74"/>
      <c r="AC306" s="248">
        <f t="shared" si="1336"/>
        <v>0</v>
      </c>
      <c r="AD306" s="74"/>
      <c r="AE306" s="248">
        <f t="shared" si="1336"/>
        <v>0</v>
      </c>
    </row>
    <row r="307" spans="1:31" ht="18.75" customHeight="1" outlineLevel="1">
      <c r="A307" s="374">
        <f t="shared" si="1740"/>
        <v>2</v>
      </c>
      <c r="B307" s="74"/>
      <c r="C307" s="248">
        <f t="shared" si="1336"/>
        <v>0</v>
      </c>
      <c r="D307" s="74"/>
      <c r="E307" s="248">
        <f t="shared" si="1336"/>
        <v>0</v>
      </c>
      <c r="F307" s="74"/>
      <c r="G307" s="248">
        <f t="shared" si="1336"/>
        <v>0</v>
      </c>
      <c r="H307" s="74"/>
      <c r="I307" s="248">
        <f t="shared" si="1336"/>
        <v>0</v>
      </c>
      <c r="J307" s="74"/>
      <c r="K307" s="248">
        <f t="shared" si="1336"/>
        <v>0</v>
      </c>
      <c r="L307" s="74"/>
      <c r="M307" s="248">
        <f t="shared" si="1336"/>
        <v>0</v>
      </c>
      <c r="N307" s="74"/>
      <c r="O307" s="248">
        <f t="shared" si="1336"/>
        <v>0</v>
      </c>
      <c r="P307" s="74"/>
      <c r="Q307" s="248">
        <f t="shared" si="1336"/>
        <v>0</v>
      </c>
      <c r="R307" s="74"/>
      <c r="S307" s="248">
        <f t="shared" si="1336"/>
        <v>0</v>
      </c>
      <c r="T307" s="74"/>
      <c r="U307" s="248">
        <f t="shared" si="1336"/>
        <v>0</v>
      </c>
      <c r="V307" s="74"/>
      <c r="W307" s="248">
        <f t="shared" si="1336"/>
        <v>0</v>
      </c>
      <c r="X307" s="74"/>
      <c r="Y307" s="248">
        <f t="shared" si="1336"/>
        <v>0</v>
      </c>
      <c r="Z307" s="74"/>
      <c r="AA307" s="248">
        <f t="shared" si="1336"/>
        <v>0</v>
      </c>
      <c r="AB307" s="74"/>
      <c r="AC307" s="248">
        <f t="shared" si="1336"/>
        <v>0</v>
      </c>
      <c r="AD307" s="74"/>
      <c r="AE307" s="248">
        <f t="shared" si="1336"/>
        <v>0</v>
      </c>
    </row>
    <row r="308" spans="1:31" ht="18.75" customHeight="1" outlineLevel="1">
      <c r="A308" s="374">
        <f t="shared" si="1740"/>
        <v>3</v>
      </c>
      <c r="B308" s="74"/>
      <c r="C308" s="248">
        <f t="shared" si="1336"/>
        <v>0</v>
      </c>
      <c r="D308" s="74"/>
      <c r="E308" s="248">
        <f t="shared" si="1336"/>
        <v>0</v>
      </c>
      <c r="F308" s="74"/>
      <c r="G308" s="248">
        <f t="shared" si="1336"/>
        <v>0</v>
      </c>
      <c r="H308" s="74"/>
      <c r="I308" s="248">
        <f t="shared" si="1336"/>
        <v>0</v>
      </c>
      <c r="J308" s="74"/>
      <c r="K308" s="248">
        <f t="shared" si="1336"/>
        <v>0</v>
      </c>
      <c r="L308" s="74"/>
      <c r="M308" s="248">
        <f t="shared" si="1336"/>
        <v>0</v>
      </c>
      <c r="N308" s="74"/>
      <c r="O308" s="248">
        <f t="shared" si="1336"/>
        <v>0</v>
      </c>
      <c r="P308" s="74"/>
      <c r="Q308" s="248">
        <f t="shared" si="1336"/>
        <v>0</v>
      </c>
      <c r="R308" s="74"/>
      <c r="S308" s="248">
        <f t="shared" si="1336"/>
        <v>0</v>
      </c>
      <c r="T308" s="74"/>
      <c r="U308" s="248">
        <f t="shared" si="1336"/>
        <v>0</v>
      </c>
      <c r="V308" s="74"/>
      <c r="W308" s="248">
        <f t="shared" si="1336"/>
        <v>0</v>
      </c>
      <c r="X308" s="74"/>
      <c r="Y308" s="248">
        <f t="shared" si="1336"/>
        <v>0</v>
      </c>
      <c r="Z308" s="74"/>
      <c r="AA308" s="248">
        <f t="shared" si="1336"/>
        <v>0</v>
      </c>
      <c r="AB308" s="74"/>
      <c r="AC308" s="248">
        <f t="shared" si="1336"/>
        <v>0</v>
      </c>
      <c r="AD308" s="74"/>
      <c r="AE308" s="248">
        <f t="shared" si="1336"/>
        <v>0</v>
      </c>
    </row>
    <row r="309" spans="1:31" ht="18.75" customHeight="1" outlineLevel="1">
      <c r="A309" s="374" t="str">
        <f t="shared" si="1740"/>
        <v>TOXISORB PREMIUM</v>
      </c>
      <c r="B309" s="74"/>
      <c r="C309" s="248">
        <f t="shared" si="1336"/>
        <v>0</v>
      </c>
      <c r="D309" s="74"/>
      <c r="E309" s="248">
        <f t="shared" si="1336"/>
        <v>0</v>
      </c>
      <c r="F309" s="74"/>
      <c r="G309" s="248">
        <f t="shared" si="1336"/>
        <v>0</v>
      </c>
      <c r="H309" s="74"/>
      <c r="I309" s="248">
        <f t="shared" si="1336"/>
        <v>0</v>
      </c>
      <c r="J309" s="74"/>
      <c r="K309" s="248">
        <f t="shared" si="1336"/>
        <v>0</v>
      </c>
      <c r="L309" s="74"/>
      <c r="M309" s="248">
        <f t="shared" si="1336"/>
        <v>0</v>
      </c>
      <c r="N309" s="74"/>
      <c r="O309" s="248">
        <f t="shared" si="1336"/>
        <v>0</v>
      </c>
      <c r="P309" s="74"/>
      <c r="Q309" s="248">
        <f t="shared" si="1336"/>
        <v>0</v>
      </c>
      <c r="R309" s="74"/>
      <c r="S309" s="248">
        <f t="shared" si="1336"/>
        <v>0</v>
      </c>
      <c r="T309" s="74"/>
      <c r="U309" s="248">
        <f t="shared" si="1336"/>
        <v>0</v>
      </c>
      <c r="V309" s="74"/>
      <c r="W309" s="248">
        <f t="shared" si="1336"/>
        <v>0</v>
      </c>
      <c r="X309" s="74"/>
      <c r="Y309" s="248">
        <f t="shared" si="1336"/>
        <v>0</v>
      </c>
      <c r="Z309" s="74"/>
      <c r="AA309" s="248">
        <f t="shared" si="1336"/>
        <v>0</v>
      </c>
      <c r="AB309" s="74"/>
      <c r="AC309" s="248">
        <f t="shared" si="1336"/>
        <v>0</v>
      </c>
      <c r="AD309" s="74"/>
      <c r="AE309" s="248">
        <f t="shared" si="1336"/>
        <v>0</v>
      </c>
    </row>
    <row r="310" spans="1:31" ht="18.75" customHeight="1" outlineLevel="1">
      <c r="A310" s="374" t="str">
        <f t="shared" si="1740"/>
        <v>SODIUM HUMATE 3.8% (HARUMI)</v>
      </c>
      <c r="B310" s="74"/>
      <c r="C310" s="248">
        <f t="shared" si="1336"/>
        <v>0</v>
      </c>
      <c r="D310" s="74"/>
      <c r="E310" s="248">
        <f t="shared" si="1336"/>
        <v>0</v>
      </c>
      <c r="F310" s="74"/>
      <c r="G310" s="248">
        <f t="shared" si="1336"/>
        <v>0</v>
      </c>
      <c r="H310" s="74"/>
      <c r="I310" s="248">
        <f t="shared" si="1336"/>
        <v>0</v>
      </c>
      <c r="J310" s="74"/>
      <c r="K310" s="248">
        <f t="shared" si="1336"/>
        <v>0</v>
      </c>
      <c r="L310" s="74"/>
      <c r="M310" s="248">
        <f t="shared" si="1336"/>
        <v>0</v>
      </c>
      <c r="N310" s="74"/>
      <c r="O310" s="248">
        <f t="shared" si="1336"/>
        <v>0</v>
      </c>
      <c r="P310" s="74"/>
      <c r="Q310" s="248">
        <f t="shared" si="1336"/>
        <v>0</v>
      </c>
      <c r="R310" s="74"/>
      <c r="S310" s="248">
        <f t="shared" si="1336"/>
        <v>0</v>
      </c>
      <c r="T310" s="74"/>
      <c r="U310" s="248">
        <f t="shared" si="1336"/>
        <v>0</v>
      </c>
      <c r="V310" s="74"/>
      <c r="W310" s="248">
        <f t="shared" si="1336"/>
        <v>0</v>
      </c>
      <c r="X310" s="74"/>
      <c r="Y310" s="248">
        <f t="shared" si="1336"/>
        <v>0</v>
      </c>
      <c r="Z310" s="74"/>
      <c r="AA310" s="248">
        <f t="shared" si="1336"/>
        <v>0</v>
      </c>
      <c r="AB310" s="74"/>
      <c r="AC310" s="248">
        <f t="shared" si="1336"/>
        <v>0</v>
      </c>
      <c r="AD310" s="74"/>
      <c r="AE310" s="248">
        <f t="shared" si="1336"/>
        <v>0</v>
      </c>
    </row>
    <row r="311" spans="1:31" ht="18.75" customHeight="1" outlineLevel="1">
      <c r="A311" s="374" t="str">
        <f t="shared" si="1740"/>
        <v>TOXIWALL</v>
      </c>
      <c r="B311" s="74"/>
      <c r="C311" s="248">
        <f t="shared" si="1336"/>
        <v>0</v>
      </c>
      <c r="D311" s="74"/>
      <c r="E311" s="248">
        <f t="shared" si="1336"/>
        <v>0</v>
      </c>
      <c r="F311" s="74"/>
      <c r="G311" s="248">
        <f t="shared" ref="G311:G312" si="1780">(F311/100)*1000</f>
        <v>0</v>
      </c>
      <c r="H311" s="74"/>
      <c r="I311" s="248">
        <f t="shared" ref="I311:I312" si="1781">(H311/100)*1000</f>
        <v>0</v>
      </c>
      <c r="J311" s="74"/>
      <c r="K311" s="248">
        <f t="shared" ref="K311:K312" si="1782">(J311/100)*1000</f>
        <v>0</v>
      </c>
      <c r="L311" s="74"/>
      <c r="M311" s="248">
        <f t="shared" ref="M311:M312" si="1783">(L311/100)*1000</f>
        <v>0</v>
      </c>
      <c r="N311" s="74"/>
      <c r="O311" s="248">
        <f t="shared" ref="O311:O312" si="1784">(N311/100)*1000</f>
        <v>0</v>
      </c>
      <c r="P311" s="74"/>
      <c r="Q311" s="248">
        <f t="shared" ref="Q311:Q312" si="1785">(P311/100)*1000</f>
        <v>0</v>
      </c>
      <c r="R311" s="74"/>
      <c r="S311" s="248">
        <f t="shared" ref="S311:S312" si="1786">(R311/100)*1000</f>
        <v>0</v>
      </c>
      <c r="T311" s="74"/>
      <c r="U311" s="248">
        <f t="shared" ref="U311:U312" si="1787">(T311/100)*1000</f>
        <v>0</v>
      </c>
      <c r="V311" s="74"/>
      <c r="W311" s="248">
        <f t="shared" ref="W311:W312" si="1788">(V311/100)*1000</f>
        <v>0</v>
      </c>
      <c r="X311" s="74"/>
      <c r="Y311" s="248">
        <f t="shared" ref="Y311:Y312" si="1789">(X311/100)*1000</f>
        <v>0</v>
      </c>
      <c r="Z311" s="74"/>
      <c r="AA311" s="248">
        <f t="shared" ref="AA311:AA312" si="1790">(Z311/100)*1000</f>
        <v>0</v>
      </c>
      <c r="AB311" s="74"/>
      <c r="AC311" s="248">
        <f t="shared" ref="AC311:AC312" si="1791">(AB311/100)*1000</f>
        <v>0</v>
      </c>
      <c r="AD311" s="74"/>
      <c r="AE311" s="248">
        <f t="shared" ref="AE311:AE312" si="1792">(AD311/100)*1000</f>
        <v>0</v>
      </c>
    </row>
    <row r="312" spans="1:31" ht="18.75" customHeight="1" outlineLevel="1">
      <c r="A312" s="374" t="str">
        <f t="shared" si="1740"/>
        <v>SODIUM BICARBONATE</v>
      </c>
      <c r="B312" s="74"/>
      <c r="C312" s="248">
        <f t="shared" ref="C312" si="1793">(B312/100)*1000</f>
        <v>0</v>
      </c>
      <c r="D312" s="74"/>
      <c r="E312" s="248">
        <f t="shared" ref="E312" si="1794">(D312/100)*1000</f>
        <v>0</v>
      </c>
      <c r="F312" s="74"/>
      <c r="G312" s="248">
        <f t="shared" si="1780"/>
        <v>0</v>
      </c>
      <c r="H312" s="74"/>
      <c r="I312" s="248">
        <f t="shared" si="1781"/>
        <v>0</v>
      </c>
      <c r="J312" s="74"/>
      <c r="K312" s="248">
        <f t="shared" si="1782"/>
        <v>0</v>
      </c>
      <c r="L312" s="74"/>
      <c r="M312" s="248">
        <f t="shared" si="1783"/>
        <v>0</v>
      </c>
      <c r="N312" s="74"/>
      <c r="O312" s="248">
        <f t="shared" si="1784"/>
        <v>0</v>
      </c>
      <c r="P312" s="74"/>
      <c r="Q312" s="248">
        <f t="shared" si="1785"/>
        <v>0</v>
      </c>
      <c r="R312" s="74"/>
      <c r="S312" s="248">
        <f t="shared" si="1786"/>
        <v>0</v>
      </c>
      <c r="T312" s="74"/>
      <c r="U312" s="248">
        <f t="shared" si="1787"/>
        <v>0</v>
      </c>
      <c r="V312" s="74"/>
      <c r="W312" s="248">
        <f t="shared" si="1788"/>
        <v>0</v>
      </c>
      <c r="X312" s="74"/>
      <c r="Y312" s="248">
        <f t="shared" si="1789"/>
        <v>0</v>
      </c>
      <c r="Z312" s="74"/>
      <c r="AA312" s="248">
        <f t="shared" si="1790"/>
        <v>0</v>
      </c>
      <c r="AB312" s="74"/>
      <c r="AC312" s="248">
        <f t="shared" si="1791"/>
        <v>0</v>
      </c>
      <c r="AD312" s="74"/>
      <c r="AE312" s="248">
        <f t="shared" si="1792"/>
        <v>0</v>
      </c>
    </row>
    <row r="313" spans="1:31" ht="18.75" customHeight="1" outlineLevel="1">
      <c r="A313" s="374" t="str">
        <f t="shared" si="1740"/>
        <v>BMD 10%</v>
      </c>
      <c r="B313" s="74"/>
      <c r="C313" s="248">
        <f t="shared" si="1336"/>
        <v>0</v>
      </c>
      <c r="D313" s="74"/>
      <c r="E313" s="248">
        <f t="shared" si="1336"/>
        <v>0</v>
      </c>
      <c r="F313" s="74"/>
      <c r="G313" s="248">
        <f t="shared" ref="G313" si="1795">(F313/100)*1000</f>
        <v>0</v>
      </c>
      <c r="H313" s="74"/>
      <c r="I313" s="248">
        <f t="shared" ref="I313" si="1796">(H313/100)*1000</f>
        <v>0</v>
      </c>
      <c r="J313" s="74"/>
      <c r="K313" s="248">
        <f t="shared" ref="K313" si="1797">(J313/100)*1000</f>
        <v>0</v>
      </c>
      <c r="L313" s="74"/>
      <c r="M313" s="248">
        <f t="shared" ref="M313" si="1798">(L313/100)*1000</f>
        <v>0</v>
      </c>
      <c r="N313" s="74"/>
      <c r="O313" s="248">
        <f t="shared" ref="O313" si="1799">(N313/100)*1000</f>
        <v>0</v>
      </c>
      <c r="P313" s="74"/>
      <c r="Q313" s="248">
        <f t="shared" ref="Q313" si="1800">(P313/100)*1000</f>
        <v>0</v>
      </c>
      <c r="R313" s="74"/>
      <c r="S313" s="248">
        <f t="shared" ref="S313" si="1801">(R313/100)*1000</f>
        <v>0</v>
      </c>
      <c r="T313" s="74"/>
      <c r="U313" s="248">
        <f t="shared" ref="U313" si="1802">(T313/100)*1000</f>
        <v>0</v>
      </c>
      <c r="V313" s="74"/>
      <c r="W313" s="248">
        <f t="shared" ref="W313" si="1803">(V313/100)*1000</f>
        <v>0</v>
      </c>
      <c r="X313" s="74"/>
      <c r="Y313" s="248">
        <f t="shared" ref="Y313" si="1804">(X313/100)*1000</f>
        <v>0</v>
      </c>
      <c r="Z313" s="74"/>
      <c r="AA313" s="248">
        <f t="shared" ref="AA313" si="1805">(Z313/100)*1000</f>
        <v>0</v>
      </c>
      <c r="AB313" s="74"/>
      <c r="AC313" s="248">
        <f t="shared" ref="AC313" si="1806">(AB313/100)*1000</f>
        <v>0</v>
      </c>
      <c r="AD313" s="74"/>
      <c r="AE313" s="248">
        <f t="shared" ref="AE313" si="1807">(AD313/100)*1000</f>
        <v>0</v>
      </c>
    </row>
    <row r="314" spans="1:31" ht="18.75" customHeight="1" outlineLevel="1">
      <c r="A314" s="374" t="str">
        <f t="shared" si="1740"/>
        <v>SALT (HARUMI)</v>
      </c>
      <c r="B314" s="74"/>
      <c r="C314" s="248">
        <f t="shared" si="1336"/>
        <v>0</v>
      </c>
      <c r="D314" s="74"/>
      <c r="E314" s="248">
        <f t="shared" si="1336"/>
        <v>0</v>
      </c>
      <c r="F314" s="74"/>
      <c r="G314" s="248">
        <f t="shared" ref="G314" si="1808">(F314/100)*1000</f>
        <v>0</v>
      </c>
      <c r="H314" s="74"/>
      <c r="I314" s="248">
        <f t="shared" ref="I314" si="1809">(H314/100)*1000</f>
        <v>0</v>
      </c>
      <c r="J314" s="74"/>
      <c r="K314" s="248">
        <f t="shared" ref="K314" si="1810">(J314/100)*1000</f>
        <v>0</v>
      </c>
      <c r="L314" s="74"/>
      <c r="M314" s="248">
        <f t="shared" ref="M314" si="1811">(L314/100)*1000</f>
        <v>0</v>
      </c>
      <c r="N314" s="74"/>
      <c r="O314" s="248">
        <f t="shared" ref="O314" si="1812">(N314/100)*1000</f>
        <v>0</v>
      </c>
      <c r="P314" s="74"/>
      <c r="Q314" s="248">
        <f t="shared" ref="Q314" si="1813">(P314/100)*1000</f>
        <v>0</v>
      </c>
      <c r="R314" s="74"/>
      <c r="S314" s="248">
        <f t="shared" ref="S314" si="1814">(R314/100)*1000</f>
        <v>0</v>
      </c>
      <c r="T314" s="74"/>
      <c r="U314" s="248">
        <f t="shared" ref="U314" si="1815">(T314/100)*1000</f>
        <v>0</v>
      </c>
      <c r="V314" s="74"/>
      <c r="W314" s="248">
        <f t="shared" ref="W314" si="1816">(V314/100)*1000</f>
        <v>0</v>
      </c>
      <c r="X314" s="74"/>
      <c r="Y314" s="248">
        <f t="shared" ref="Y314" si="1817">(X314/100)*1000</f>
        <v>0</v>
      </c>
      <c r="Z314" s="74"/>
      <c r="AA314" s="248">
        <f t="shared" ref="AA314" si="1818">(Z314/100)*1000</f>
        <v>0</v>
      </c>
      <c r="AB314" s="74"/>
      <c r="AC314" s="248">
        <f t="shared" ref="AC314" si="1819">(AB314/100)*1000</f>
        <v>0</v>
      </c>
      <c r="AD314" s="74"/>
      <c r="AE314" s="248">
        <f t="shared" ref="AE314" si="1820">(AD314/100)*1000</f>
        <v>0</v>
      </c>
    </row>
    <row r="315" spans="1:31" ht="18.75" customHeight="1" outlineLevel="1">
      <c r="A315" s="374" t="str">
        <f t="shared" si="1740"/>
        <v>VISTABET 91</v>
      </c>
      <c r="B315" s="74"/>
      <c r="C315" s="248">
        <f t="shared" si="1336"/>
        <v>0</v>
      </c>
      <c r="D315" s="74"/>
      <c r="E315" s="248">
        <f t="shared" si="1336"/>
        <v>0</v>
      </c>
      <c r="F315" s="74"/>
      <c r="G315" s="248">
        <f t="shared" ref="G315" si="1821">(F315/100)*1000</f>
        <v>0</v>
      </c>
      <c r="H315" s="74"/>
      <c r="I315" s="248">
        <f t="shared" ref="I315" si="1822">(H315/100)*1000</f>
        <v>0</v>
      </c>
      <c r="J315" s="74"/>
      <c r="K315" s="248">
        <f t="shared" ref="K315" si="1823">(J315/100)*1000</f>
        <v>0</v>
      </c>
      <c r="L315" s="74"/>
      <c r="M315" s="248">
        <f t="shared" ref="M315" si="1824">(L315/100)*1000</f>
        <v>0</v>
      </c>
      <c r="N315" s="74"/>
      <c r="O315" s="248">
        <f t="shared" ref="O315" si="1825">(N315/100)*1000</f>
        <v>0</v>
      </c>
      <c r="P315" s="74"/>
      <c r="Q315" s="248">
        <f t="shared" ref="Q315" si="1826">(P315/100)*1000</f>
        <v>0</v>
      </c>
      <c r="R315" s="74"/>
      <c r="S315" s="248">
        <f t="shared" ref="S315" si="1827">(R315/100)*1000</f>
        <v>0</v>
      </c>
      <c r="T315" s="74"/>
      <c r="U315" s="248">
        <f t="shared" ref="U315" si="1828">(T315/100)*1000</f>
        <v>0</v>
      </c>
      <c r="V315" s="74"/>
      <c r="W315" s="248">
        <f t="shared" ref="W315" si="1829">(V315/100)*1000</f>
        <v>0</v>
      </c>
      <c r="X315" s="74"/>
      <c r="Y315" s="248">
        <f t="shared" ref="Y315" si="1830">(X315/100)*1000</f>
        <v>0</v>
      </c>
      <c r="Z315" s="74"/>
      <c r="AA315" s="248">
        <f t="shared" ref="AA315" si="1831">(Z315/100)*1000</f>
        <v>0</v>
      </c>
      <c r="AB315" s="74"/>
      <c r="AC315" s="248">
        <f t="shared" ref="AC315" si="1832">(AB315/100)*1000</f>
        <v>0</v>
      </c>
      <c r="AD315" s="74"/>
      <c r="AE315" s="248">
        <f t="shared" ref="AE315" si="1833">(AD315/100)*1000</f>
        <v>0</v>
      </c>
    </row>
    <row r="316" spans="1:31" ht="18.75" customHeight="1" outlineLevel="1">
      <c r="A316" s="374" t="str">
        <f t="shared" si="1740"/>
        <v>BETAFIN</v>
      </c>
      <c r="B316" s="74"/>
      <c r="C316" s="248">
        <f t="shared" si="1336"/>
        <v>0</v>
      </c>
      <c r="D316" s="74"/>
      <c r="E316" s="248">
        <f t="shared" si="1336"/>
        <v>0</v>
      </c>
      <c r="F316" s="74"/>
      <c r="G316" s="248">
        <f t="shared" ref="G316" si="1834">(F316/100)*1000</f>
        <v>0</v>
      </c>
      <c r="H316" s="74"/>
      <c r="I316" s="248">
        <f t="shared" ref="I316" si="1835">(H316/100)*1000</f>
        <v>0</v>
      </c>
      <c r="J316" s="74"/>
      <c r="K316" s="248">
        <f t="shared" ref="K316" si="1836">(J316/100)*1000</f>
        <v>0</v>
      </c>
      <c r="L316" s="74"/>
      <c r="M316" s="248">
        <f t="shared" ref="M316" si="1837">(L316/100)*1000</f>
        <v>0</v>
      </c>
      <c r="N316" s="74"/>
      <c r="O316" s="248">
        <f t="shared" ref="O316" si="1838">(N316/100)*1000</f>
        <v>0</v>
      </c>
      <c r="P316" s="74"/>
      <c r="Q316" s="248">
        <f t="shared" ref="Q316" si="1839">(P316/100)*1000</f>
        <v>0</v>
      </c>
      <c r="R316" s="74"/>
      <c r="S316" s="248">
        <f t="shared" ref="S316" si="1840">(R316/100)*1000</f>
        <v>0</v>
      </c>
      <c r="T316" s="74"/>
      <c r="U316" s="248">
        <f t="shared" ref="U316" si="1841">(T316/100)*1000</f>
        <v>0</v>
      </c>
      <c r="V316" s="74"/>
      <c r="W316" s="248">
        <f t="shared" ref="W316" si="1842">(V316/100)*1000</f>
        <v>0</v>
      </c>
      <c r="X316" s="74"/>
      <c r="Y316" s="248">
        <f t="shared" ref="Y316" si="1843">(X316/100)*1000</f>
        <v>0</v>
      </c>
      <c r="Z316" s="74"/>
      <c r="AA316" s="248">
        <f t="shared" ref="AA316" si="1844">(Z316/100)*1000</f>
        <v>0</v>
      </c>
      <c r="AB316" s="74"/>
      <c r="AC316" s="248">
        <f t="shared" ref="AC316" si="1845">(AB316/100)*1000</f>
        <v>0</v>
      </c>
      <c r="AD316" s="74"/>
      <c r="AE316" s="248">
        <f t="shared" ref="AE316" si="1846">(AD316/100)*1000</f>
        <v>0</v>
      </c>
    </row>
    <row r="317" spans="1:31" ht="18.75" customHeight="1" outlineLevel="1">
      <c r="A317" s="374" t="str">
        <f t="shared" si="1740"/>
        <v>8101 TOP UP</v>
      </c>
      <c r="B317" s="74"/>
      <c r="C317" s="248">
        <f t="shared" si="1336"/>
        <v>0</v>
      </c>
      <c r="D317" s="74"/>
      <c r="E317" s="248">
        <f t="shared" si="1336"/>
        <v>0</v>
      </c>
      <c r="F317" s="74"/>
      <c r="G317" s="248">
        <f t="shared" ref="G317" si="1847">(F317/100)*1000</f>
        <v>0</v>
      </c>
      <c r="H317" s="74"/>
      <c r="I317" s="248">
        <f t="shared" ref="I317" si="1848">(H317/100)*1000</f>
        <v>0</v>
      </c>
      <c r="J317" s="74"/>
      <c r="K317" s="248">
        <f t="shared" ref="K317" si="1849">(J317/100)*1000</f>
        <v>0</v>
      </c>
      <c r="L317" s="74"/>
      <c r="M317" s="248">
        <f t="shared" ref="M317" si="1850">(L317/100)*1000</f>
        <v>0</v>
      </c>
      <c r="N317" s="74"/>
      <c r="O317" s="248">
        <f t="shared" ref="O317" si="1851">(N317/100)*1000</f>
        <v>0</v>
      </c>
      <c r="P317" s="74"/>
      <c r="Q317" s="248">
        <f t="shared" ref="Q317" si="1852">(P317/100)*1000</f>
        <v>0</v>
      </c>
      <c r="R317" s="74"/>
      <c r="S317" s="248">
        <f t="shared" ref="S317" si="1853">(R317/100)*1000</f>
        <v>0</v>
      </c>
      <c r="T317" s="74"/>
      <c r="U317" s="248">
        <f t="shared" ref="U317" si="1854">(T317/100)*1000</f>
        <v>0</v>
      </c>
      <c r="V317" s="74"/>
      <c r="W317" s="248">
        <f t="shared" ref="W317" si="1855">(V317/100)*1000</f>
        <v>0</v>
      </c>
      <c r="X317" s="74"/>
      <c r="Y317" s="248">
        <f t="shared" ref="Y317" si="1856">(X317/100)*1000</f>
        <v>0</v>
      </c>
      <c r="Z317" s="74"/>
      <c r="AA317" s="248">
        <f t="shared" ref="AA317" si="1857">(Z317/100)*1000</f>
        <v>0</v>
      </c>
      <c r="AB317" s="74"/>
      <c r="AC317" s="248">
        <f t="shared" ref="AC317" si="1858">(AB317/100)*1000</f>
        <v>0</v>
      </c>
      <c r="AD317" s="74"/>
      <c r="AE317" s="248">
        <f t="shared" ref="AE317" si="1859">(AD317/100)*1000</f>
        <v>0</v>
      </c>
    </row>
    <row r="318" spans="1:31" ht="18.75" customHeight="1" outlineLevel="1">
      <c r="A318" s="374" t="str">
        <f t="shared" si="1740"/>
        <v>NORPONIN X03 (8102 TOP UP)</v>
      </c>
      <c r="B318" s="74"/>
      <c r="C318" s="248">
        <f t="shared" si="1336"/>
        <v>0</v>
      </c>
      <c r="D318" s="74"/>
      <c r="E318" s="248">
        <f t="shared" si="1336"/>
        <v>0</v>
      </c>
      <c r="F318" s="74"/>
      <c r="G318" s="248">
        <f t="shared" ref="G318" si="1860">(F318/100)*1000</f>
        <v>0</v>
      </c>
      <c r="H318" s="74"/>
      <c r="I318" s="248">
        <f t="shared" ref="I318" si="1861">(H318/100)*1000</f>
        <v>0</v>
      </c>
      <c r="J318" s="74"/>
      <c r="K318" s="248">
        <f t="shared" ref="K318" si="1862">(J318/100)*1000</f>
        <v>0</v>
      </c>
      <c r="L318" s="74"/>
      <c r="M318" s="248">
        <f t="shared" ref="M318" si="1863">(L318/100)*1000</f>
        <v>0</v>
      </c>
      <c r="N318" s="74"/>
      <c r="O318" s="248">
        <f t="shared" ref="O318" si="1864">(N318/100)*1000</f>
        <v>0</v>
      </c>
      <c r="P318" s="74"/>
      <c r="Q318" s="248">
        <f t="shared" ref="Q318" si="1865">(P318/100)*1000</f>
        <v>0</v>
      </c>
      <c r="R318" s="74"/>
      <c r="S318" s="248">
        <f t="shared" ref="S318" si="1866">(R318/100)*1000</f>
        <v>0</v>
      </c>
      <c r="T318" s="74"/>
      <c r="U318" s="248">
        <f t="shared" ref="U318" si="1867">(T318/100)*1000</f>
        <v>0</v>
      </c>
      <c r="V318" s="74"/>
      <c r="W318" s="248">
        <f t="shared" ref="W318" si="1868">(V318/100)*1000</f>
        <v>0</v>
      </c>
      <c r="X318" s="74"/>
      <c r="Y318" s="248">
        <f t="shared" ref="Y318" si="1869">(X318/100)*1000</f>
        <v>0</v>
      </c>
      <c r="Z318" s="74"/>
      <c r="AA318" s="248">
        <f t="shared" ref="AA318" si="1870">(Z318/100)*1000</f>
        <v>0</v>
      </c>
      <c r="AB318" s="74"/>
      <c r="AC318" s="248">
        <f t="shared" ref="AC318" si="1871">(AB318/100)*1000</f>
        <v>0</v>
      </c>
      <c r="AD318" s="74"/>
      <c r="AE318" s="248">
        <f t="shared" ref="AE318" si="1872">(AD318/100)*1000</f>
        <v>0</v>
      </c>
    </row>
    <row r="319" spans="1:31" ht="18.75" customHeight="1" outlineLevel="1">
      <c r="A319" s="374" t="str">
        <f t="shared" si="1740"/>
        <v>8102 TOP UP (4KG)</v>
      </c>
      <c r="B319" s="74"/>
      <c r="C319" s="248">
        <f t="shared" si="1336"/>
        <v>0</v>
      </c>
      <c r="D319" s="74"/>
      <c r="E319" s="248">
        <f t="shared" si="1336"/>
        <v>0</v>
      </c>
      <c r="F319" s="74"/>
      <c r="G319" s="248">
        <f t="shared" ref="G319" si="1873">(F319/100)*1000</f>
        <v>0</v>
      </c>
      <c r="H319" s="74"/>
      <c r="I319" s="248">
        <f t="shared" ref="I319" si="1874">(H319/100)*1000</f>
        <v>0</v>
      </c>
      <c r="J319" s="74"/>
      <c r="K319" s="248">
        <f t="shared" ref="K319" si="1875">(J319/100)*1000</f>
        <v>0</v>
      </c>
      <c r="L319" s="74"/>
      <c r="M319" s="248">
        <f t="shared" ref="M319" si="1876">(L319/100)*1000</f>
        <v>0</v>
      </c>
      <c r="N319" s="74"/>
      <c r="O319" s="248">
        <f t="shared" ref="O319" si="1877">(N319/100)*1000</f>
        <v>0</v>
      </c>
      <c r="P319" s="74"/>
      <c r="Q319" s="248">
        <f t="shared" ref="Q319" si="1878">(P319/100)*1000</f>
        <v>0</v>
      </c>
      <c r="R319" s="74"/>
      <c r="S319" s="248">
        <f t="shared" ref="S319" si="1879">(R319/100)*1000</f>
        <v>0</v>
      </c>
      <c r="T319" s="74"/>
      <c r="U319" s="248">
        <f t="shared" ref="U319" si="1880">(T319/100)*1000</f>
        <v>0</v>
      </c>
      <c r="V319" s="74"/>
      <c r="W319" s="248">
        <f t="shared" ref="W319" si="1881">(V319/100)*1000</f>
        <v>0</v>
      </c>
      <c r="X319" s="74"/>
      <c r="Y319" s="248">
        <f t="shared" ref="Y319" si="1882">(X319/100)*1000</f>
        <v>0</v>
      </c>
      <c r="Z319" s="74"/>
      <c r="AA319" s="248">
        <f t="shared" ref="AA319" si="1883">(Z319/100)*1000</f>
        <v>0</v>
      </c>
      <c r="AB319" s="74"/>
      <c r="AC319" s="248">
        <f t="shared" ref="AC319" si="1884">(AB319/100)*1000</f>
        <v>0</v>
      </c>
      <c r="AD319" s="74"/>
      <c r="AE319" s="248">
        <f t="shared" ref="AE319" si="1885">(AD319/100)*1000</f>
        <v>0</v>
      </c>
    </row>
    <row r="320" spans="1:31" ht="18.75" customHeight="1" outlineLevel="1">
      <c r="A320" s="377" t="str">
        <f t="shared" si="1740"/>
        <v>8103 TOP UP (5KG)</v>
      </c>
      <c r="B320" s="74"/>
      <c r="C320" s="405">
        <f t="shared" si="1336"/>
        <v>0</v>
      </c>
      <c r="D320" s="74"/>
      <c r="E320" s="248">
        <f t="shared" si="1336"/>
        <v>0</v>
      </c>
      <c r="F320" s="74"/>
      <c r="G320" s="405">
        <f t="shared" ref="G320:G346" si="1886">(F320/100)*1000</f>
        <v>0</v>
      </c>
      <c r="H320" s="74"/>
      <c r="I320" s="405">
        <f t="shared" ref="I320:I346" si="1887">(H320/100)*1000</f>
        <v>0</v>
      </c>
      <c r="J320" s="74"/>
      <c r="K320" s="405">
        <f t="shared" ref="K320:K346" si="1888">(J320/100)*1000</f>
        <v>0</v>
      </c>
      <c r="L320" s="74"/>
      <c r="M320" s="405">
        <f t="shared" ref="M320:M346" si="1889">(L320/100)*1000</f>
        <v>0</v>
      </c>
      <c r="N320" s="74"/>
      <c r="O320" s="405">
        <f t="shared" ref="O320:O346" si="1890">(N320/100)*1000</f>
        <v>0</v>
      </c>
      <c r="P320" s="74"/>
      <c r="Q320" s="405">
        <f t="shared" ref="Q320:Q346" si="1891">(P320/100)*1000</f>
        <v>0</v>
      </c>
      <c r="R320" s="74"/>
      <c r="S320" s="405">
        <f t="shared" ref="S320:S346" si="1892">(R320/100)*1000</f>
        <v>0</v>
      </c>
      <c r="T320" s="74"/>
      <c r="U320" s="405">
        <f t="shared" ref="U320:U346" si="1893">(T320/100)*1000</f>
        <v>0</v>
      </c>
      <c r="V320" s="74"/>
      <c r="W320" s="405">
        <f t="shared" ref="W320:W346" si="1894">(V320/100)*1000</f>
        <v>0</v>
      </c>
      <c r="X320" s="74"/>
      <c r="Y320" s="405">
        <f t="shared" ref="Y320:Y346" si="1895">(X320/100)*1000</f>
        <v>0</v>
      </c>
      <c r="Z320" s="74"/>
      <c r="AA320" s="405">
        <f>(Z320/100)*1000</f>
        <v>0</v>
      </c>
      <c r="AB320" s="74"/>
      <c r="AC320" s="405">
        <f t="shared" ref="AC320:AC346" si="1896">(AB320/100)*1000</f>
        <v>0</v>
      </c>
      <c r="AD320" s="74"/>
      <c r="AE320" s="405">
        <f t="shared" ref="AE320:AE346" si="1897">(AD320/100)*1000</f>
        <v>0</v>
      </c>
    </row>
    <row r="321" spans="1:31" ht="18.75" customHeight="1" outlineLevel="1">
      <c r="A321" s="377" t="str">
        <f>A233</f>
        <v>L-ARGININE</v>
      </c>
      <c r="B321" s="74"/>
      <c r="C321" s="405">
        <f t="shared" si="1336"/>
        <v>0</v>
      </c>
      <c r="D321" s="74"/>
      <c r="E321" s="248">
        <f t="shared" si="1336"/>
        <v>0</v>
      </c>
      <c r="F321" s="74"/>
      <c r="G321" s="405">
        <f t="shared" si="1886"/>
        <v>0</v>
      </c>
      <c r="H321" s="74"/>
      <c r="I321" s="405">
        <f t="shared" si="1887"/>
        <v>0</v>
      </c>
      <c r="J321" s="74"/>
      <c r="K321" s="405">
        <f t="shared" si="1888"/>
        <v>0</v>
      </c>
      <c r="L321" s="74"/>
      <c r="M321" s="405">
        <f t="shared" si="1889"/>
        <v>0</v>
      </c>
      <c r="N321" s="74"/>
      <c r="O321" s="405">
        <f t="shared" si="1890"/>
        <v>0</v>
      </c>
      <c r="P321" s="74"/>
      <c r="Q321" s="405">
        <f t="shared" si="1891"/>
        <v>0</v>
      </c>
      <c r="R321" s="74"/>
      <c r="S321" s="405">
        <f t="shared" si="1892"/>
        <v>0</v>
      </c>
      <c r="T321" s="74"/>
      <c r="U321" s="405">
        <f t="shared" si="1893"/>
        <v>0</v>
      </c>
      <c r="V321" s="74"/>
      <c r="W321" s="405">
        <f t="shared" si="1894"/>
        <v>0</v>
      </c>
      <c r="X321" s="74"/>
      <c r="Y321" s="405">
        <f t="shared" si="1895"/>
        <v>0</v>
      </c>
      <c r="Z321" s="74"/>
      <c r="AA321" s="405">
        <f t="shared" ref="AA321:AA346" si="1898">(Z321/100)*1000</f>
        <v>0</v>
      </c>
      <c r="AB321" s="74"/>
      <c r="AC321" s="405">
        <f t="shared" si="1896"/>
        <v>0</v>
      </c>
      <c r="AD321" s="74"/>
      <c r="AE321" s="405">
        <f t="shared" si="1897"/>
        <v>0</v>
      </c>
    </row>
    <row r="322" spans="1:31" ht="18.75" customHeight="1" outlineLevel="1">
      <c r="A322" s="377" t="str">
        <f>A234</f>
        <v>DL-METHIONINE</v>
      </c>
      <c r="B322" s="74"/>
      <c r="C322" s="405">
        <f t="shared" ref="C322:C348" si="1899">(B322/100)*1000</f>
        <v>0</v>
      </c>
      <c r="D322" s="74"/>
      <c r="E322" s="248">
        <f t="shared" ref="E322:E348" si="1900">(D322/100)*1000</f>
        <v>0</v>
      </c>
      <c r="F322" s="74"/>
      <c r="G322" s="405">
        <f t="shared" si="1886"/>
        <v>0</v>
      </c>
      <c r="H322" s="74"/>
      <c r="I322" s="405">
        <f t="shared" si="1887"/>
        <v>0</v>
      </c>
      <c r="J322" s="74"/>
      <c r="K322" s="405">
        <f t="shared" si="1888"/>
        <v>0</v>
      </c>
      <c r="L322" s="74"/>
      <c r="M322" s="405">
        <f t="shared" si="1889"/>
        <v>0</v>
      </c>
      <c r="N322" s="74"/>
      <c r="O322" s="405">
        <f t="shared" si="1890"/>
        <v>0</v>
      </c>
      <c r="P322" s="74"/>
      <c r="Q322" s="405">
        <f t="shared" si="1891"/>
        <v>0</v>
      </c>
      <c r="R322" s="74"/>
      <c r="S322" s="405">
        <f t="shared" si="1892"/>
        <v>0</v>
      </c>
      <c r="T322" s="74"/>
      <c r="U322" s="405">
        <f t="shared" si="1893"/>
        <v>0</v>
      </c>
      <c r="V322" s="74"/>
      <c r="W322" s="405">
        <f t="shared" si="1894"/>
        <v>0</v>
      </c>
      <c r="X322" s="74"/>
      <c r="Y322" s="405">
        <f t="shared" si="1895"/>
        <v>0</v>
      </c>
      <c r="Z322" s="74"/>
      <c r="AA322" s="405">
        <f t="shared" si="1898"/>
        <v>0</v>
      </c>
      <c r="AB322" s="74"/>
      <c r="AC322" s="405">
        <f t="shared" si="1896"/>
        <v>0</v>
      </c>
      <c r="AD322" s="74"/>
      <c r="AE322" s="405">
        <f t="shared" si="1897"/>
        <v>0</v>
      </c>
    </row>
    <row r="323" spans="1:31" ht="18.75" customHeight="1" outlineLevel="1">
      <c r="A323" s="377" t="str">
        <f>A235</f>
        <v>L-THREONINE</v>
      </c>
      <c r="B323" s="74"/>
      <c r="C323" s="405">
        <f t="shared" si="1899"/>
        <v>0</v>
      </c>
      <c r="D323" s="74"/>
      <c r="E323" s="248">
        <f t="shared" si="1900"/>
        <v>0</v>
      </c>
      <c r="F323" s="74"/>
      <c r="G323" s="405">
        <f t="shared" si="1886"/>
        <v>0</v>
      </c>
      <c r="H323" s="74"/>
      <c r="I323" s="405">
        <f t="shared" si="1887"/>
        <v>0</v>
      </c>
      <c r="J323" s="74"/>
      <c r="K323" s="405">
        <f t="shared" si="1888"/>
        <v>0</v>
      </c>
      <c r="L323" s="74"/>
      <c r="M323" s="405">
        <f t="shared" si="1889"/>
        <v>0</v>
      </c>
      <c r="N323" s="74"/>
      <c r="O323" s="405">
        <f t="shared" si="1890"/>
        <v>0</v>
      </c>
      <c r="P323" s="74"/>
      <c r="Q323" s="405">
        <f t="shared" si="1891"/>
        <v>0</v>
      </c>
      <c r="R323" s="74"/>
      <c r="S323" s="405">
        <f t="shared" si="1892"/>
        <v>0</v>
      </c>
      <c r="T323" s="74"/>
      <c r="U323" s="405">
        <f t="shared" si="1893"/>
        <v>0</v>
      </c>
      <c r="V323" s="74"/>
      <c r="W323" s="405">
        <f t="shared" si="1894"/>
        <v>0</v>
      </c>
      <c r="X323" s="74"/>
      <c r="Y323" s="405">
        <f t="shared" si="1895"/>
        <v>0</v>
      </c>
      <c r="Z323" s="74"/>
      <c r="AA323" s="405">
        <f t="shared" si="1898"/>
        <v>0</v>
      </c>
      <c r="AB323" s="74"/>
      <c r="AC323" s="405">
        <f t="shared" si="1896"/>
        <v>0</v>
      </c>
      <c r="AD323" s="74"/>
      <c r="AE323" s="405">
        <f t="shared" si="1897"/>
        <v>0</v>
      </c>
    </row>
    <row r="324" spans="1:31" ht="18.75" customHeight="1" outlineLevel="1">
      <c r="A324" s="377" t="str">
        <f>A236</f>
        <v>L-LYSINE</v>
      </c>
      <c r="B324" s="74"/>
      <c r="C324" s="405">
        <f t="shared" si="1899"/>
        <v>0</v>
      </c>
      <c r="D324" s="74"/>
      <c r="E324" s="248">
        <f t="shared" si="1900"/>
        <v>0</v>
      </c>
      <c r="F324" s="74"/>
      <c r="G324" s="405">
        <f t="shared" si="1886"/>
        <v>0</v>
      </c>
      <c r="H324" s="74"/>
      <c r="I324" s="405">
        <f t="shared" si="1887"/>
        <v>0</v>
      </c>
      <c r="J324" s="74"/>
      <c r="K324" s="405">
        <f t="shared" si="1888"/>
        <v>0</v>
      </c>
      <c r="L324" s="74"/>
      <c r="M324" s="405">
        <f t="shared" si="1889"/>
        <v>0</v>
      </c>
      <c r="N324" s="74"/>
      <c r="O324" s="405">
        <f t="shared" si="1890"/>
        <v>0</v>
      </c>
      <c r="P324" s="74"/>
      <c r="Q324" s="405">
        <f t="shared" si="1891"/>
        <v>0</v>
      </c>
      <c r="R324" s="74"/>
      <c r="S324" s="405">
        <f t="shared" si="1892"/>
        <v>0</v>
      </c>
      <c r="T324" s="74"/>
      <c r="U324" s="405">
        <f t="shared" si="1893"/>
        <v>0</v>
      </c>
      <c r="V324" s="74"/>
      <c r="W324" s="405">
        <f t="shared" si="1894"/>
        <v>0</v>
      </c>
      <c r="X324" s="74"/>
      <c r="Y324" s="405">
        <f t="shared" si="1895"/>
        <v>0</v>
      </c>
      <c r="Z324" s="74"/>
      <c r="AA324" s="405">
        <f t="shared" si="1898"/>
        <v>0</v>
      </c>
      <c r="AB324" s="74"/>
      <c r="AC324" s="405">
        <f t="shared" si="1896"/>
        <v>0</v>
      </c>
      <c r="AD324" s="74"/>
      <c r="AE324" s="405">
        <f t="shared" si="1897"/>
        <v>0</v>
      </c>
    </row>
    <row r="325" spans="1:31" ht="18.75" customHeight="1" outlineLevel="1">
      <c r="A325" s="377" t="str">
        <f>A237</f>
        <v>FAECES DRY</v>
      </c>
      <c r="B325" s="74"/>
      <c r="C325" s="405">
        <f t="shared" si="1899"/>
        <v>0</v>
      </c>
      <c r="D325" s="74"/>
      <c r="E325" s="248">
        <f t="shared" si="1900"/>
        <v>0</v>
      </c>
      <c r="F325" s="74"/>
      <c r="G325" s="405">
        <f t="shared" si="1886"/>
        <v>0</v>
      </c>
      <c r="H325" s="74"/>
      <c r="I325" s="405">
        <f t="shared" si="1887"/>
        <v>0</v>
      </c>
      <c r="J325" s="74"/>
      <c r="K325" s="405">
        <f t="shared" si="1888"/>
        <v>0</v>
      </c>
      <c r="L325" s="74"/>
      <c r="M325" s="405">
        <f t="shared" si="1889"/>
        <v>0</v>
      </c>
      <c r="N325" s="74"/>
      <c r="O325" s="405">
        <f t="shared" si="1890"/>
        <v>0</v>
      </c>
      <c r="P325" s="74"/>
      <c r="Q325" s="405">
        <f t="shared" si="1891"/>
        <v>0</v>
      </c>
      <c r="R325" s="74"/>
      <c r="S325" s="405">
        <f t="shared" si="1892"/>
        <v>0</v>
      </c>
      <c r="T325" s="74"/>
      <c r="U325" s="405">
        <f t="shared" si="1893"/>
        <v>0</v>
      </c>
      <c r="V325" s="74"/>
      <c r="W325" s="405">
        <f t="shared" si="1894"/>
        <v>0</v>
      </c>
      <c r="X325" s="74"/>
      <c r="Y325" s="405">
        <f t="shared" si="1895"/>
        <v>0</v>
      </c>
      <c r="Z325" s="74"/>
      <c r="AA325" s="405">
        <f t="shared" si="1898"/>
        <v>0</v>
      </c>
      <c r="AB325" s="74"/>
      <c r="AC325" s="405">
        <f t="shared" si="1896"/>
        <v>0</v>
      </c>
      <c r="AD325" s="74"/>
      <c r="AE325" s="405">
        <f t="shared" si="1897"/>
        <v>0</v>
      </c>
    </row>
    <row r="326" spans="1:31" ht="18.75" customHeight="1" outlineLevel="1">
      <c r="A326" s="377" t="str">
        <f>A62</f>
        <v>ECOBIOL</v>
      </c>
      <c r="B326" s="74"/>
      <c r="C326" s="405">
        <f t="shared" si="1899"/>
        <v>0</v>
      </c>
      <c r="D326" s="74"/>
      <c r="E326" s="248">
        <f t="shared" si="1900"/>
        <v>0</v>
      </c>
      <c r="F326" s="74"/>
      <c r="G326" s="405">
        <f t="shared" si="1886"/>
        <v>0</v>
      </c>
      <c r="H326" s="74"/>
      <c r="I326" s="405">
        <f t="shared" si="1887"/>
        <v>0</v>
      </c>
      <c r="J326" s="74"/>
      <c r="K326" s="405">
        <f t="shared" si="1888"/>
        <v>0</v>
      </c>
      <c r="L326" s="74"/>
      <c r="M326" s="405">
        <f t="shared" si="1889"/>
        <v>0</v>
      </c>
      <c r="N326" s="74"/>
      <c r="O326" s="405">
        <f t="shared" si="1890"/>
        <v>0</v>
      </c>
      <c r="P326" s="74"/>
      <c r="Q326" s="405">
        <f t="shared" si="1891"/>
        <v>0</v>
      </c>
      <c r="R326" s="74"/>
      <c r="S326" s="405">
        <f t="shared" si="1892"/>
        <v>0</v>
      </c>
      <c r="T326" s="74"/>
      <c r="U326" s="405">
        <f t="shared" si="1893"/>
        <v>0</v>
      </c>
      <c r="V326" s="74"/>
      <c r="W326" s="405">
        <f t="shared" si="1894"/>
        <v>0</v>
      </c>
      <c r="X326" s="74"/>
      <c r="Y326" s="405">
        <f t="shared" si="1895"/>
        <v>0</v>
      </c>
      <c r="Z326" s="74"/>
      <c r="AA326" s="405">
        <f t="shared" si="1898"/>
        <v>0</v>
      </c>
      <c r="AB326" s="74"/>
      <c r="AC326" s="405">
        <f t="shared" si="1896"/>
        <v>0</v>
      </c>
      <c r="AD326" s="74"/>
      <c r="AE326" s="405">
        <f t="shared" si="1897"/>
        <v>0</v>
      </c>
    </row>
    <row r="327" spans="1:31" ht="18.75" customHeight="1" outlineLevel="1">
      <c r="A327" s="377" t="str">
        <f>A239</f>
        <v>ADDITIVE BROILER IMMUNE</v>
      </c>
      <c r="B327" s="74"/>
      <c r="C327" s="405">
        <f t="shared" si="1899"/>
        <v>0</v>
      </c>
      <c r="D327" s="74"/>
      <c r="E327" s="248">
        <f t="shared" si="1900"/>
        <v>0</v>
      </c>
      <c r="F327" s="74"/>
      <c r="G327" s="405">
        <f t="shared" si="1886"/>
        <v>0</v>
      </c>
      <c r="H327" s="74"/>
      <c r="I327" s="405">
        <f t="shared" si="1887"/>
        <v>0</v>
      </c>
      <c r="J327" s="74"/>
      <c r="K327" s="405">
        <f t="shared" si="1888"/>
        <v>0</v>
      </c>
      <c r="L327" s="74"/>
      <c r="M327" s="405">
        <f t="shared" si="1889"/>
        <v>0</v>
      </c>
      <c r="N327" s="74"/>
      <c r="O327" s="405">
        <f t="shared" si="1890"/>
        <v>0</v>
      </c>
      <c r="P327" s="74"/>
      <c r="Q327" s="405">
        <f t="shared" si="1891"/>
        <v>0</v>
      </c>
      <c r="R327" s="74"/>
      <c r="S327" s="405">
        <f t="shared" si="1892"/>
        <v>0</v>
      </c>
      <c r="T327" s="74"/>
      <c r="U327" s="405">
        <f t="shared" si="1893"/>
        <v>0</v>
      </c>
      <c r="V327" s="74"/>
      <c r="W327" s="405">
        <f t="shared" si="1894"/>
        <v>0</v>
      </c>
      <c r="X327" s="74"/>
      <c r="Y327" s="405">
        <f t="shared" si="1895"/>
        <v>0</v>
      </c>
      <c r="Z327" s="74"/>
      <c r="AA327" s="405">
        <f t="shared" si="1898"/>
        <v>0</v>
      </c>
      <c r="AB327" s="74"/>
      <c r="AC327" s="405">
        <f t="shared" si="1896"/>
        <v>0</v>
      </c>
      <c r="AD327" s="74"/>
      <c r="AE327" s="405">
        <f t="shared" si="1897"/>
        <v>0</v>
      </c>
    </row>
    <row r="328" spans="1:31" ht="18.75" customHeight="1" outlineLevel="1">
      <c r="A328" s="377" t="str">
        <f>A240</f>
        <v>MASTER CUBE (HARUMI)</v>
      </c>
      <c r="B328" s="74"/>
      <c r="C328" s="405">
        <f t="shared" si="1899"/>
        <v>0</v>
      </c>
      <c r="D328" s="74"/>
      <c r="E328" s="248">
        <f t="shared" si="1900"/>
        <v>0</v>
      </c>
      <c r="F328" s="74"/>
      <c r="G328" s="405">
        <f t="shared" si="1886"/>
        <v>0</v>
      </c>
      <c r="H328" s="74"/>
      <c r="I328" s="405">
        <f t="shared" si="1887"/>
        <v>0</v>
      </c>
      <c r="J328" s="74"/>
      <c r="K328" s="405">
        <f t="shared" si="1888"/>
        <v>0</v>
      </c>
      <c r="L328" s="74"/>
      <c r="M328" s="405">
        <f t="shared" si="1889"/>
        <v>0</v>
      </c>
      <c r="N328" s="74"/>
      <c r="O328" s="405">
        <f t="shared" si="1890"/>
        <v>0</v>
      </c>
      <c r="P328" s="74"/>
      <c r="Q328" s="405">
        <f t="shared" si="1891"/>
        <v>0</v>
      </c>
      <c r="R328" s="74"/>
      <c r="S328" s="405">
        <f t="shared" si="1892"/>
        <v>0</v>
      </c>
      <c r="T328" s="74"/>
      <c r="U328" s="405">
        <f t="shared" si="1893"/>
        <v>0</v>
      </c>
      <c r="V328" s="74"/>
      <c r="W328" s="405">
        <f t="shared" si="1894"/>
        <v>0</v>
      </c>
      <c r="X328" s="74"/>
      <c r="Y328" s="405">
        <f t="shared" si="1895"/>
        <v>0</v>
      </c>
      <c r="Z328" s="74"/>
      <c r="AA328" s="405">
        <f t="shared" si="1898"/>
        <v>0</v>
      </c>
      <c r="AB328" s="74"/>
      <c r="AC328" s="405">
        <f t="shared" si="1896"/>
        <v>0</v>
      </c>
      <c r="AD328" s="74"/>
      <c r="AE328" s="405">
        <f t="shared" si="1897"/>
        <v>0</v>
      </c>
    </row>
    <row r="329" spans="1:31" ht="18.75" customHeight="1" outlineLevel="1">
      <c r="A329" s="377" t="str">
        <f>A241</f>
        <v>1101 TOP UP (0.40KG)</v>
      </c>
      <c r="B329" s="74"/>
      <c r="C329" s="405">
        <f t="shared" si="1899"/>
        <v>0</v>
      </c>
      <c r="D329" s="74"/>
      <c r="E329" s="248">
        <f t="shared" si="1900"/>
        <v>0</v>
      </c>
      <c r="F329" s="74"/>
      <c r="G329" s="405">
        <f t="shared" si="1886"/>
        <v>0</v>
      </c>
      <c r="H329" s="74"/>
      <c r="I329" s="405">
        <f t="shared" si="1887"/>
        <v>0</v>
      </c>
      <c r="J329" s="74"/>
      <c r="K329" s="405">
        <f t="shared" si="1888"/>
        <v>0</v>
      </c>
      <c r="L329" s="74"/>
      <c r="M329" s="405">
        <f t="shared" si="1889"/>
        <v>0</v>
      </c>
      <c r="N329" s="74"/>
      <c r="O329" s="405">
        <f t="shared" si="1890"/>
        <v>0</v>
      </c>
      <c r="P329" s="74"/>
      <c r="Q329" s="405">
        <f t="shared" si="1891"/>
        <v>0</v>
      </c>
      <c r="R329" s="74"/>
      <c r="S329" s="405">
        <f t="shared" si="1892"/>
        <v>0</v>
      </c>
      <c r="T329" s="74"/>
      <c r="U329" s="405">
        <f t="shared" si="1893"/>
        <v>0</v>
      </c>
      <c r="V329" s="74"/>
      <c r="W329" s="405">
        <f t="shared" si="1894"/>
        <v>0</v>
      </c>
      <c r="X329" s="74"/>
      <c r="Y329" s="405">
        <f t="shared" si="1895"/>
        <v>0</v>
      </c>
      <c r="Z329" s="74"/>
      <c r="AA329" s="405">
        <f t="shared" si="1898"/>
        <v>0</v>
      </c>
      <c r="AB329" s="74"/>
      <c r="AC329" s="405">
        <f t="shared" si="1896"/>
        <v>0</v>
      </c>
      <c r="AD329" s="74"/>
      <c r="AE329" s="405">
        <f t="shared" si="1897"/>
        <v>0</v>
      </c>
    </row>
    <row r="330" spans="1:31" ht="18.75" customHeight="1" outlineLevel="1">
      <c r="A330" s="377" t="str">
        <f>A242</f>
        <v>1102 TOP UP (0.60KG)</v>
      </c>
      <c r="B330" s="74"/>
      <c r="C330" s="405">
        <f t="shared" si="1899"/>
        <v>0</v>
      </c>
      <c r="D330" s="74"/>
      <c r="E330" s="248">
        <f t="shared" si="1900"/>
        <v>0</v>
      </c>
      <c r="F330" s="74"/>
      <c r="G330" s="405">
        <f t="shared" si="1886"/>
        <v>0</v>
      </c>
      <c r="H330" s="74"/>
      <c r="I330" s="405">
        <f t="shared" si="1887"/>
        <v>0</v>
      </c>
      <c r="J330" s="74"/>
      <c r="K330" s="405">
        <f t="shared" si="1888"/>
        <v>0</v>
      </c>
      <c r="L330" s="74"/>
      <c r="M330" s="405">
        <f t="shared" si="1889"/>
        <v>0</v>
      </c>
      <c r="N330" s="74"/>
      <c r="O330" s="405">
        <f t="shared" si="1890"/>
        <v>0</v>
      </c>
      <c r="P330" s="74"/>
      <c r="Q330" s="405">
        <f t="shared" si="1891"/>
        <v>0</v>
      </c>
      <c r="R330" s="74"/>
      <c r="S330" s="405">
        <f t="shared" si="1892"/>
        <v>0</v>
      </c>
      <c r="T330" s="74"/>
      <c r="U330" s="405">
        <f t="shared" si="1893"/>
        <v>0</v>
      </c>
      <c r="V330" s="74"/>
      <c r="W330" s="405">
        <f t="shared" si="1894"/>
        <v>0</v>
      </c>
      <c r="X330" s="74"/>
      <c r="Y330" s="405">
        <f t="shared" si="1895"/>
        <v>0</v>
      </c>
      <c r="Z330" s="74"/>
      <c r="AA330" s="405">
        <f t="shared" si="1898"/>
        <v>0</v>
      </c>
      <c r="AB330" s="74"/>
      <c r="AC330" s="405">
        <f t="shared" si="1896"/>
        <v>0</v>
      </c>
      <c r="AD330" s="74"/>
      <c r="AE330" s="405">
        <f t="shared" si="1897"/>
        <v>0</v>
      </c>
    </row>
    <row r="331" spans="1:31" ht="18.75" customHeight="1" outlineLevel="1">
      <c r="A331" s="377" t="str">
        <f>A243</f>
        <v>1103 TOP UP (2.00KG)</v>
      </c>
      <c r="B331" s="74"/>
      <c r="C331" s="405">
        <f t="shared" si="1899"/>
        <v>0</v>
      </c>
      <c r="D331" s="74"/>
      <c r="E331" s="248">
        <f t="shared" si="1900"/>
        <v>0</v>
      </c>
      <c r="F331" s="74"/>
      <c r="G331" s="405">
        <f t="shared" si="1886"/>
        <v>0</v>
      </c>
      <c r="H331" s="74"/>
      <c r="I331" s="405">
        <f t="shared" si="1887"/>
        <v>0</v>
      </c>
      <c r="J331" s="74"/>
      <c r="K331" s="405">
        <f t="shared" si="1888"/>
        <v>0</v>
      </c>
      <c r="L331" s="74"/>
      <c r="M331" s="405">
        <f t="shared" si="1889"/>
        <v>0</v>
      </c>
      <c r="N331" s="74"/>
      <c r="O331" s="405">
        <f t="shared" si="1890"/>
        <v>0</v>
      </c>
      <c r="P331" s="74"/>
      <c r="Q331" s="405">
        <f t="shared" si="1891"/>
        <v>0</v>
      </c>
      <c r="R331" s="74"/>
      <c r="S331" s="405">
        <f t="shared" si="1892"/>
        <v>0</v>
      </c>
      <c r="T331" s="74"/>
      <c r="U331" s="405">
        <f t="shared" si="1893"/>
        <v>0</v>
      </c>
      <c r="V331" s="74"/>
      <c r="W331" s="405">
        <f t="shared" si="1894"/>
        <v>0</v>
      </c>
      <c r="X331" s="74"/>
      <c r="Y331" s="405">
        <f t="shared" si="1895"/>
        <v>0</v>
      </c>
      <c r="Z331" s="74"/>
      <c r="AA331" s="405">
        <f t="shared" si="1898"/>
        <v>0</v>
      </c>
      <c r="AB331" s="74"/>
      <c r="AC331" s="405">
        <f t="shared" si="1896"/>
        <v>0</v>
      </c>
      <c r="AD331" s="74"/>
      <c r="AE331" s="405">
        <f t="shared" si="1897"/>
        <v>0</v>
      </c>
    </row>
    <row r="332" spans="1:31" ht="18.75" customHeight="1" outlineLevel="1">
      <c r="A332" s="377" t="str">
        <f>A68</f>
        <v>QUANTUM GLO 4%</v>
      </c>
      <c r="B332" s="74"/>
      <c r="C332" s="405">
        <f t="shared" si="1899"/>
        <v>0</v>
      </c>
      <c r="D332" s="74"/>
      <c r="E332" s="248">
        <f t="shared" si="1900"/>
        <v>0</v>
      </c>
      <c r="F332" s="74"/>
      <c r="G332" s="405">
        <f t="shared" si="1886"/>
        <v>0</v>
      </c>
      <c r="H332" s="74"/>
      <c r="I332" s="405">
        <f t="shared" si="1887"/>
        <v>0</v>
      </c>
      <c r="J332" s="74"/>
      <c r="K332" s="405">
        <f t="shared" si="1888"/>
        <v>0</v>
      </c>
      <c r="L332" s="74"/>
      <c r="M332" s="405">
        <f t="shared" si="1889"/>
        <v>0</v>
      </c>
      <c r="N332" s="74"/>
      <c r="O332" s="405">
        <f t="shared" si="1890"/>
        <v>0</v>
      </c>
      <c r="P332" s="74"/>
      <c r="Q332" s="405">
        <f t="shared" si="1891"/>
        <v>0</v>
      </c>
      <c r="R332" s="74"/>
      <c r="S332" s="405">
        <f t="shared" si="1892"/>
        <v>0</v>
      </c>
      <c r="T332" s="74"/>
      <c r="U332" s="405">
        <f t="shared" si="1893"/>
        <v>0</v>
      </c>
      <c r="V332" s="74"/>
      <c r="W332" s="405">
        <f t="shared" si="1894"/>
        <v>0</v>
      </c>
      <c r="X332" s="74"/>
      <c r="Y332" s="405">
        <f t="shared" si="1895"/>
        <v>0</v>
      </c>
      <c r="Z332" s="74"/>
      <c r="AA332" s="405">
        <f t="shared" si="1898"/>
        <v>0</v>
      </c>
      <c r="AB332" s="74"/>
      <c r="AC332" s="405">
        <f t="shared" si="1896"/>
        <v>0</v>
      </c>
      <c r="AD332" s="74"/>
      <c r="AE332" s="405">
        <f t="shared" si="1897"/>
        <v>0</v>
      </c>
    </row>
    <row r="333" spans="1:31" ht="18.75" customHeight="1" outlineLevel="1">
      <c r="A333" s="377" t="str">
        <f>A69</f>
        <v>SALT</v>
      </c>
      <c r="B333" s="74"/>
      <c r="C333" s="405">
        <f t="shared" si="1899"/>
        <v>0</v>
      </c>
      <c r="D333" s="74"/>
      <c r="E333" s="248">
        <f t="shared" si="1900"/>
        <v>0</v>
      </c>
      <c r="F333" s="74"/>
      <c r="G333" s="405">
        <f t="shared" si="1886"/>
        <v>0</v>
      </c>
      <c r="H333" s="74"/>
      <c r="I333" s="405">
        <f t="shared" si="1887"/>
        <v>0</v>
      </c>
      <c r="J333" s="74"/>
      <c r="K333" s="405">
        <f t="shared" si="1888"/>
        <v>0</v>
      </c>
      <c r="L333" s="74"/>
      <c r="M333" s="405">
        <f t="shared" si="1889"/>
        <v>0</v>
      </c>
      <c r="N333" s="74"/>
      <c r="O333" s="405">
        <f t="shared" si="1890"/>
        <v>0</v>
      </c>
      <c r="P333" s="74"/>
      <c r="Q333" s="405">
        <f t="shared" si="1891"/>
        <v>0</v>
      </c>
      <c r="R333" s="74"/>
      <c r="S333" s="405">
        <f t="shared" si="1892"/>
        <v>0</v>
      </c>
      <c r="T333" s="74"/>
      <c r="U333" s="405">
        <f t="shared" si="1893"/>
        <v>0</v>
      </c>
      <c r="V333" s="74"/>
      <c r="W333" s="405">
        <f t="shared" si="1894"/>
        <v>0</v>
      </c>
      <c r="X333" s="74"/>
      <c r="Y333" s="405">
        <f t="shared" si="1895"/>
        <v>0</v>
      </c>
      <c r="Z333" s="74"/>
      <c r="AA333" s="405">
        <f t="shared" si="1898"/>
        <v>0</v>
      </c>
      <c r="AB333" s="74"/>
      <c r="AC333" s="405">
        <f t="shared" si="1896"/>
        <v>0</v>
      </c>
      <c r="AD333" s="74"/>
      <c r="AE333" s="405">
        <f t="shared" si="1897"/>
        <v>0</v>
      </c>
    </row>
    <row r="334" spans="1:31" ht="18.75" customHeight="1" outlineLevel="1">
      <c r="A334" s="377" t="str">
        <f>A70</f>
        <v>OC 200 - OXYTET 20%</v>
      </c>
      <c r="B334" s="74"/>
      <c r="C334" s="405">
        <f t="shared" si="1899"/>
        <v>0</v>
      </c>
      <c r="D334" s="74"/>
      <c r="E334" s="248">
        <f t="shared" si="1900"/>
        <v>0</v>
      </c>
      <c r="F334" s="74"/>
      <c r="G334" s="405">
        <f t="shared" si="1886"/>
        <v>0</v>
      </c>
      <c r="H334" s="74"/>
      <c r="I334" s="405">
        <f t="shared" si="1887"/>
        <v>0</v>
      </c>
      <c r="J334" s="74"/>
      <c r="K334" s="405">
        <f t="shared" si="1888"/>
        <v>0</v>
      </c>
      <c r="L334" s="74"/>
      <c r="M334" s="405">
        <f t="shared" si="1889"/>
        <v>0</v>
      </c>
      <c r="N334" s="74"/>
      <c r="O334" s="405">
        <f t="shared" si="1890"/>
        <v>0</v>
      </c>
      <c r="P334" s="74"/>
      <c r="Q334" s="405">
        <f t="shared" si="1891"/>
        <v>0</v>
      </c>
      <c r="R334" s="74"/>
      <c r="S334" s="405">
        <f t="shared" si="1892"/>
        <v>0</v>
      </c>
      <c r="T334" s="74"/>
      <c r="U334" s="405">
        <f t="shared" si="1893"/>
        <v>0</v>
      </c>
      <c r="V334" s="74"/>
      <c r="W334" s="405">
        <f t="shared" si="1894"/>
        <v>0</v>
      </c>
      <c r="X334" s="74"/>
      <c r="Y334" s="405">
        <f t="shared" si="1895"/>
        <v>0</v>
      </c>
      <c r="Z334" s="74"/>
      <c r="AA334" s="405">
        <f t="shared" si="1898"/>
        <v>0</v>
      </c>
      <c r="AB334" s="74"/>
      <c r="AC334" s="405">
        <f t="shared" si="1896"/>
        <v>0</v>
      </c>
      <c r="AD334" s="74"/>
      <c r="AE334" s="405">
        <f t="shared" si="1897"/>
        <v>0</v>
      </c>
    </row>
    <row r="335" spans="1:31" ht="18.75" customHeight="1" outlineLevel="1">
      <c r="A335" s="377">
        <f>A71</f>
        <v>3</v>
      </c>
      <c r="B335" s="74"/>
      <c r="C335" s="248">
        <f t="shared" si="1899"/>
        <v>0</v>
      </c>
      <c r="D335" s="74"/>
      <c r="E335" s="248">
        <f t="shared" si="1900"/>
        <v>0</v>
      </c>
      <c r="F335" s="74"/>
      <c r="G335" s="248">
        <f t="shared" si="1886"/>
        <v>0</v>
      </c>
      <c r="H335" s="74"/>
      <c r="I335" s="248">
        <f t="shared" si="1887"/>
        <v>0</v>
      </c>
      <c r="J335" s="74"/>
      <c r="K335" s="248">
        <f t="shared" si="1888"/>
        <v>0</v>
      </c>
      <c r="L335" s="74"/>
      <c r="M335" s="248">
        <f t="shared" si="1889"/>
        <v>0</v>
      </c>
      <c r="N335" s="74"/>
      <c r="O335" s="248">
        <f t="shared" si="1890"/>
        <v>0</v>
      </c>
      <c r="P335" s="74"/>
      <c r="Q335" s="248">
        <f t="shared" si="1891"/>
        <v>0</v>
      </c>
      <c r="R335" s="74"/>
      <c r="S335" s="248">
        <f t="shared" si="1892"/>
        <v>0</v>
      </c>
      <c r="T335" s="74"/>
      <c r="U335" s="248">
        <f t="shared" si="1893"/>
        <v>0</v>
      </c>
      <c r="V335" s="74"/>
      <c r="W335" s="248">
        <f t="shared" si="1894"/>
        <v>0</v>
      </c>
      <c r="X335" s="74"/>
      <c r="Y335" s="248">
        <f t="shared" si="1895"/>
        <v>0</v>
      </c>
      <c r="Z335" s="74"/>
      <c r="AA335" s="248">
        <f t="shared" si="1898"/>
        <v>0</v>
      </c>
      <c r="AB335" s="74"/>
      <c r="AC335" s="248">
        <f t="shared" si="1896"/>
        <v>0</v>
      </c>
      <c r="AD335" s="74"/>
      <c r="AE335" s="248">
        <f t="shared" si="1897"/>
        <v>0</v>
      </c>
    </row>
    <row r="336" spans="1:31" ht="18.75" customHeight="1" outlineLevel="1">
      <c r="A336" s="351">
        <f>A72</f>
        <v>4</v>
      </c>
      <c r="B336" s="74"/>
      <c r="C336" s="248">
        <f t="shared" si="1899"/>
        <v>0</v>
      </c>
      <c r="D336" s="74"/>
      <c r="E336" s="248">
        <f t="shared" si="1900"/>
        <v>0</v>
      </c>
      <c r="F336" s="74"/>
      <c r="G336" s="248">
        <f t="shared" si="1886"/>
        <v>0</v>
      </c>
      <c r="H336" s="74"/>
      <c r="I336" s="248">
        <f t="shared" si="1887"/>
        <v>0</v>
      </c>
      <c r="J336" s="74"/>
      <c r="K336" s="248">
        <f t="shared" si="1888"/>
        <v>0</v>
      </c>
      <c r="L336" s="74"/>
      <c r="M336" s="248">
        <f t="shared" si="1889"/>
        <v>0</v>
      </c>
      <c r="N336" s="74"/>
      <c r="O336" s="248">
        <f t="shared" si="1890"/>
        <v>0</v>
      </c>
      <c r="P336" s="74"/>
      <c r="Q336" s="248">
        <f t="shared" si="1891"/>
        <v>0</v>
      </c>
      <c r="R336" s="74"/>
      <c r="S336" s="248">
        <f t="shared" si="1892"/>
        <v>0</v>
      </c>
      <c r="T336" s="74"/>
      <c r="U336" s="248">
        <f t="shared" si="1893"/>
        <v>0</v>
      </c>
      <c r="V336" s="74"/>
      <c r="W336" s="248">
        <f t="shared" si="1894"/>
        <v>0</v>
      </c>
      <c r="X336" s="74"/>
      <c r="Y336" s="248">
        <f t="shared" si="1895"/>
        <v>0</v>
      </c>
      <c r="Z336" s="74"/>
      <c r="AA336" s="248">
        <f t="shared" si="1898"/>
        <v>0</v>
      </c>
      <c r="AB336" s="74"/>
      <c r="AC336" s="248">
        <f t="shared" si="1896"/>
        <v>0</v>
      </c>
      <c r="AD336" s="74"/>
      <c r="AE336" s="248">
        <f t="shared" si="1897"/>
        <v>0</v>
      </c>
    </row>
    <row r="337" spans="1:31" ht="18.75" customHeight="1" outlineLevel="1">
      <c r="A337" s="351" t="str">
        <f t="shared" ref="A337:A351" si="1901">A73</f>
        <v>WOVEN BAG (1101) - BLUE 50KG</v>
      </c>
      <c r="B337" s="74"/>
      <c r="C337" s="248">
        <f t="shared" si="1899"/>
        <v>0</v>
      </c>
      <c r="D337" s="74"/>
      <c r="E337" s="248">
        <f t="shared" si="1900"/>
        <v>0</v>
      </c>
      <c r="F337" s="74"/>
      <c r="G337" s="248">
        <f t="shared" si="1886"/>
        <v>0</v>
      </c>
      <c r="H337" s="74"/>
      <c r="I337" s="248">
        <f t="shared" si="1887"/>
        <v>0</v>
      </c>
      <c r="J337" s="74"/>
      <c r="K337" s="248">
        <f t="shared" si="1888"/>
        <v>0</v>
      </c>
      <c r="L337" s="74"/>
      <c r="M337" s="248">
        <f t="shared" si="1889"/>
        <v>0</v>
      </c>
      <c r="N337" s="74"/>
      <c r="O337" s="248">
        <f t="shared" si="1890"/>
        <v>0</v>
      </c>
      <c r="P337" s="74"/>
      <c r="Q337" s="248">
        <f t="shared" si="1891"/>
        <v>0</v>
      </c>
      <c r="R337" s="74"/>
      <c r="S337" s="248">
        <f t="shared" si="1892"/>
        <v>0</v>
      </c>
      <c r="T337" s="74"/>
      <c r="U337" s="248">
        <f t="shared" si="1893"/>
        <v>0</v>
      </c>
      <c r="V337" s="74"/>
      <c r="W337" s="248">
        <f t="shared" si="1894"/>
        <v>0</v>
      </c>
      <c r="X337" s="74"/>
      <c r="Y337" s="248">
        <f t="shared" si="1895"/>
        <v>0</v>
      </c>
      <c r="Z337" s="74"/>
      <c r="AA337" s="248">
        <f t="shared" si="1898"/>
        <v>0</v>
      </c>
      <c r="AB337" s="74"/>
      <c r="AC337" s="248">
        <f t="shared" si="1896"/>
        <v>0</v>
      </c>
      <c r="AD337" s="74"/>
      <c r="AE337" s="248">
        <f t="shared" si="1897"/>
        <v>0</v>
      </c>
    </row>
    <row r="338" spans="1:31" ht="18.75" customHeight="1" outlineLevel="1">
      <c r="A338" s="351" t="str">
        <f t="shared" si="1901"/>
        <v>WOVEN BAG (1102) - GREEN 50KG</v>
      </c>
      <c r="B338" s="74"/>
      <c r="C338" s="248">
        <f t="shared" si="1899"/>
        <v>0</v>
      </c>
      <c r="D338" s="74"/>
      <c r="E338" s="248">
        <f t="shared" si="1900"/>
        <v>0</v>
      </c>
      <c r="F338" s="74"/>
      <c r="G338" s="248">
        <f t="shared" si="1886"/>
        <v>0</v>
      </c>
      <c r="H338" s="74"/>
      <c r="I338" s="248">
        <f t="shared" si="1887"/>
        <v>0</v>
      </c>
      <c r="J338" s="74"/>
      <c r="K338" s="248">
        <f t="shared" si="1888"/>
        <v>0</v>
      </c>
      <c r="L338" s="74"/>
      <c r="M338" s="248">
        <f t="shared" si="1889"/>
        <v>0</v>
      </c>
      <c r="N338" s="74"/>
      <c r="O338" s="248">
        <f t="shared" si="1890"/>
        <v>0</v>
      </c>
      <c r="P338" s="74"/>
      <c r="Q338" s="248">
        <f t="shared" si="1891"/>
        <v>0</v>
      </c>
      <c r="R338" s="74"/>
      <c r="S338" s="248">
        <f t="shared" si="1892"/>
        <v>0</v>
      </c>
      <c r="T338" s="74"/>
      <c r="U338" s="248">
        <f t="shared" si="1893"/>
        <v>0</v>
      </c>
      <c r="V338" s="74"/>
      <c r="W338" s="248">
        <f t="shared" si="1894"/>
        <v>0</v>
      </c>
      <c r="X338" s="74"/>
      <c r="Y338" s="248">
        <f t="shared" si="1895"/>
        <v>0</v>
      </c>
      <c r="Z338" s="74"/>
      <c r="AA338" s="248">
        <f t="shared" si="1898"/>
        <v>0</v>
      </c>
      <c r="AB338" s="74"/>
      <c r="AC338" s="248">
        <f t="shared" si="1896"/>
        <v>0</v>
      </c>
      <c r="AD338" s="74"/>
      <c r="AE338" s="248">
        <f t="shared" si="1897"/>
        <v>0</v>
      </c>
    </row>
    <row r="339" spans="1:31" ht="18.75" customHeight="1" outlineLevel="1">
      <c r="A339" s="351" t="str">
        <f t="shared" si="1901"/>
        <v>WOVEN BAG (1103) - RED 50KG</v>
      </c>
      <c r="B339" s="74"/>
      <c r="C339" s="248">
        <f t="shared" si="1899"/>
        <v>0</v>
      </c>
      <c r="D339" s="74"/>
      <c r="E339" s="248">
        <f t="shared" si="1900"/>
        <v>0</v>
      </c>
      <c r="F339" s="74"/>
      <c r="G339" s="248">
        <f t="shared" si="1886"/>
        <v>0</v>
      </c>
      <c r="H339" s="74"/>
      <c r="I339" s="248">
        <f t="shared" si="1887"/>
        <v>0</v>
      </c>
      <c r="J339" s="74"/>
      <c r="K339" s="248">
        <f t="shared" si="1888"/>
        <v>0</v>
      </c>
      <c r="L339" s="74"/>
      <c r="M339" s="248">
        <f t="shared" si="1889"/>
        <v>0</v>
      </c>
      <c r="N339" s="74"/>
      <c r="O339" s="248">
        <f t="shared" si="1890"/>
        <v>0</v>
      </c>
      <c r="P339" s="74"/>
      <c r="Q339" s="248">
        <f t="shared" si="1891"/>
        <v>0</v>
      </c>
      <c r="R339" s="74"/>
      <c r="S339" s="248">
        <f t="shared" si="1892"/>
        <v>0</v>
      </c>
      <c r="T339" s="74"/>
      <c r="U339" s="248">
        <f t="shared" si="1893"/>
        <v>0</v>
      </c>
      <c r="V339" s="74"/>
      <c r="W339" s="248">
        <f t="shared" si="1894"/>
        <v>0</v>
      </c>
      <c r="X339" s="74"/>
      <c r="Y339" s="248">
        <f t="shared" si="1895"/>
        <v>0</v>
      </c>
      <c r="Z339" s="74"/>
      <c r="AA339" s="248">
        <f t="shared" si="1898"/>
        <v>0</v>
      </c>
      <c r="AB339" s="74"/>
      <c r="AC339" s="248">
        <f t="shared" si="1896"/>
        <v>0</v>
      </c>
      <c r="AD339" s="74"/>
      <c r="AE339" s="248">
        <f t="shared" si="1897"/>
        <v>0</v>
      </c>
    </row>
    <row r="340" spans="1:31" ht="18.75" customHeight="1" outlineLevel="1">
      <c r="A340" s="351" t="str">
        <f t="shared" si="1901"/>
        <v>PLAIN BAG 26" X 39" (50KG)</v>
      </c>
      <c r="B340" s="74"/>
      <c r="C340" s="248">
        <f t="shared" si="1899"/>
        <v>0</v>
      </c>
      <c r="D340" s="74"/>
      <c r="E340" s="248">
        <f t="shared" si="1900"/>
        <v>0</v>
      </c>
      <c r="F340" s="74"/>
      <c r="G340" s="248">
        <f t="shared" si="1886"/>
        <v>0</v>
      </c>
      <c r="H340" s="74"/>
      <c r="I340" s="248">
        <f t="shared" si="1887"/>
        <v>0</v>
      </c>
      <c r="J340" s="74"/>
      <c r="K340" s="248">
        <f t="shared" si="1888"/>
        <v>0</v>
      </c>
      <c r="L340" s="74"/>
      <c r="M340" s="248">
        <f t="shared" si="1889"/>
        <v>0</v>
      </c>
      <c r="N340" s="74"/>
      <c r="O340" s="248">
        <f t="shared" si="1890"/>
        <v>0</v>
      </c>
      <c r="P340" s="74"/>
      <c r="Q340" s="248">
        <f t="shared" si="1891"/>
        <v>0</v>
      </c>
      <c r="R340" s="74"/>
      <c r="S340" s="248">
        <f t="shared" si="1892"/>
        <v>0</v>
      </c>
      <c r="T340" s="74"/>
      <c r="U340" s="248">
        <f t="shared" si="1893"/>
        <v>0</v>
      </c>
      <c r="V340" s="74"/>
      <c r="W340" s="248">
        <f t="shared" si="1894"/>
        <v>0</v>
      </c>
      <c r="X340" s="74"/>
      <c r="Y340" s="248">
        <f t="shared" si="1895"/>
        <v>0</v>
      </c>
      <c r="Z340" s="74"/>
      <c r="AA340" s="248">
        <f t="shared" si="1898"/>
        <v>0</v>
      </c>
      <c r="AB340" s="74"/>
      <c r="AC340" s="248">
        <f t="shared" si="1896"/>
        <v>0</v>
      </c>
      <c r="AD340" s="74"/>
      <c r="AE340" s="248">
        <f t="shared" si="1897"/>
        <v>0</v>
      </c>
    </row>
    <row r="341" spans="1:31" ht="18.75" customHeight="1" outlineLevel="1">
      <c r="A341" s="351" t="str">
        <f t="shared" si="1901"/>
        <v>WOVEN BAG (8101) - KHAKI 50KG</v>
      </c>
      <c r="B341" s="74"/>
      <c r="C341" s="248">
        <f t="shared" si="1899"/>
        <v>0</v>
      </c>
      <c r="D341" s="74"/>
      <c r="E341" s="248">
        <f t="shared" si="1900"/>
        <v>0</v>
      </c>
      <c r="F341" s="74"/>
      <c r="G341" s="248">
        <f t="shared" si="1886"/>
        <v>0</v>
      </c>
      <c r="H341" s="74"/>
      <c r="I341" s="248">
        <f t="shared" si="1887"/>
        <v>0</v>
      </c>
      <c r="J341" s="74"/>
      <c r="K341" s="248">
        <f t="shared" si="1888"/>
        <v>0</v>
      </c>
      <c r="L341" s="74"/>
      <c r="M341" s="248">
        <f t="shared" si="1889"/>
        <v>0</v>
      </c>
      <c r="N341" s="74"/>
      <c r="O341" s="248">
        <f t="shared" si="1890"/>
        <v>0</v>
      </c>
      <c r="P341" s="74"/>
      <c r="Q341" s="248">
        <f t="shared" si="1891"/>
        <v>0</v>
      </c>
      <c r="R341" s="74"/>
      <c r="S341" s="248">
        <f t="shared" si="1892"/>
        <v>0</v>
      </c>
      <c r="T341" s="74"/>
      <c r="U341" s="248">
        <f t="shared" si="1893"/>
        <v>0</v>
      </c>
      <c r="V341" s="74"/>
      <c r="W341" s="248">
        <f t="shared" si="1894"/>
        <v>0</v>
      </c>
      <c r="X341" s="74"/>
      <c r="Y341" s="248">
        <f t="shared" si="1895"/>
        <v>0</v>
      </c>
      <c r="Z341" s="74"/>
      <c r="AA341" s="248">
        <f t="shared" si="1898"/>
        <v>0</v>
      </c>
      <c r="AB341" s="74"/>
      <c r="AC341" s="248">
        <f t="shared" si="1896"/>
        <v>0</v>
      </c>
      <c r="AD341" s="74"/>
      <c r="AE341" s="248">
        <f t="shared" si="1897"/>
        <v>0</v>
      </c>
    </row>
    <row r="342" spans="1:31" ht="18.75" customHeight="1" outlineLevel="1">
      <c r="A342" s="351" t="str">
        <f t="shared" si="1901"/>
        <v>WOVEN BAG (8102) - SKY BLUE 50KG</v>
      </c>
      <c r="B342" s="74"/>
      <c r="C342" s="248">
        <f t="shared" si="1899"/>
        <v>0</v>
      </c>
      <c r="D342" s="74"/>
      <c r="E342" s="248">
        <f t="shared" si="1900"/>
        <v>0</v>
      </c>
      <c r="F342" s="74"/>
      <c r="G342" s="248">
        <f t="shared" si="1886"/>
        <v>0</v>
      </c>
      <c r="H342" s="74"/>
      <c r="I342" s="248">
        <f t="shared" si="1887"/>
        <v>0</v>
      </c>
      <c r="J342" s="74"/>
      <c r="K342" s="248">
        <f t="shared" si="1888"/>
        <v>0</v>
      </c>
      <c r="L342" s="74"/>
      <c r="M342" s="248">
        <f t="shared" si="1889"/>
        <v>0</v>
      </c>
      <c r="N342" s="74"/>
      <c r="O342" s="248">
        <f t="shared" si="1890"/>
        <v>0</v>
      </c>
      <c r="P342" s="74"/>
      <c r="Q342" s="248">
        <f t="shared" si="1891"/>
        <v>0</v>
      </c>
      <c r="R342" s="74"/>
      <c r="S342" s="248">
        <f t="shared" si="1892"/>
        <v>0</v>
      </c>
      <c r="T342" s="74"/>
      <c r="U342" s="248">
        <f t="shared" si="1893"/>
        <v>0</v>
      </c>
      <c r="V342" s="74"/>
      <c r="W342" s="248">
        <f t="shared" si="1894"/>
        <v>0</v>
      </c>
      <c r="X342" s="74"/>
      <c r="Y342" s="248">
        <f t="shared" si="1895"/>
        <v>0</v>
      </c>
      <c r="Z342" s="74"/>
      <c r="AA342" s="248">
        <f t="shared" si="1898"/>
        <v>0</v>
      </c>
      <c r="AB342" s="74"/>
      <c r="AC342" s="248">
        <f t="shared" si="1896"/>
        <v>0</v>
      </c>
      <c r="AD342" s="74"/>
      <c r="AE342" s="248">
        <f t="shared" si="1897"/>
        <v>0</v>
      </c>
    </row>
    <row r="343" spans="1:31" ht="18.75" customHeight="1" outlineLevel="1">
      <c r="A343" s="351" t="str">
        <f t="shared" si="1901"/>
        <v>WOVEN BAG (8103) - BROWN 50KG</v>
      </c>
      <c r="B343" s="74"/>
      <c r="C343" s="248">
        <f t="shared" si="1899"/>
        <v>0</v>
      </c>
      <c r="D343" s="74"/>
      <c r="E343" s="248">
        <f t="shared" si="1900"/>
        <v>0</v>
      </c>
      <c r="F343" s="74"/>
      <c r="G343" s="248">
        <f t="shared" si="1886"/>
        <v>0</v>
      </c>
      <c r="H343" s="74"/>
      <c r="I343" s="248">
        <f t="shared" si="1887"/>
        <v>0</v>
      </c>
      <c r="J343" s="74"/>
      <c r="K343" s="248">
        <f t="shared" si="1888"/>
        <v>0</v>
      </c>
      <c r="L343" s="74"/>
      <c r="M343" s="248">
        <f t="shared" si="1889"/>
        <v>0</v>
      </c>
      <c r="N343" s="74"/>
      <c r="O343" s="248">
        <f t="shared" si="1890"/>
        <v>0</v>
      </c>
      <c r="P343" s="74"/>
      <c r="Q343" s="248">
        <f t="shared" si="1891"/>
        <v>0</v>
      </c>
      <c r="R343" s="74"/>
      <c r="S343" s="248">
        <f t="shared" si="1892"/>
        <v>0</v>
      </c>
      <c r="T343" s="74"/>
      <c r="U343" s="248">
        <f t="shared" si="1893"/>
        <v>0</v>
      </c>
      <c r="V343" s="74"/>
      <c r="W343" s="248">
        <f t="shared" si="1894"/>
        <v>0</v>
      </c>
      <c r="X343" s="74"/>
      <c r="Y343" s="248">
        <f t="shared" si="1895"/>
        <v>0</v>
      </c>
      <c r="Z343" s="74"/>
      <c r="AA343" s="248">
        <f t="shared" si="1898"/>
        <v>0</v>
      </c>
      <c r="AB343" s="74"/>
      <c r="AC343" s="248">
        <f t="shared" si="1896"/>
        <v>0</v>
      </c>
      <c r="AD343" s="74"/>
      <c r="AE343" s="248">
        <f t="shared" si="1897"/>
        <v>0</v>
      </c>
    </row>
    <row r="344" spans="1:31" ht="18.75" customHeight="1" outlineLevel="1">
      <c r="A344" s="351">
        <f t="shared" si="1901"/>
        <v>1</v>
      </c>
      <c r="B344" s="74"/>
      <c r="C344" s="248">
        <f t="shared" si="1899"/>
        <v>0</v>
      </c>
      <c r="D344" s="74"/>
      <c r="E344" s="248">
        <f t="shared" si="1900"/>
        <v>0</v>
      </c>
      <c r="F344" s="74"/>
      <c r="G344" s="248">
        <f t="shared" si="1886"/>
        <v>0</v>
      </c>
      <c r="H344" s="74"/>
      <c r="I344" s="248">
        <f t="shared" si="1887"/>
        <v>0</v>
      </c>
      <c r="J344" s="74"/>
      <c r="K344" s="248">
        <f t="shared" si="1888"/>
        <v>0</v>
      </c>
      <c r="L344" s="74"/>
      <c r="M344" s="248">
        <f t="shared" si="1889"/>
        <v>0</v>
      </c>
      <c r="N344" s="74"/>
      <c r="O344" s="248">
        <f t="shared" si="1890"/>
        <v>0</v>
      </c>
      <c r="P344" s="74"/>
      <c r="Q344" s="248">
        <f t="shared" si="1891"/>
        <v>0</v>
      </c>
      <c r="R344" s="74"/>
      <c r="S344" s="248">
        <f t="shared" si="1892"/>
        <v>0</v>
      </c>
      <c r="T344" s="74"/>
      <c r="U344" s="248">
        <f t="shared" si="1893"/>
        <v>0</v>
      </c>
      <c r="V344" s="74"/>
      <c r="W344" s="248">
        <f t="shared" si="1894"/>
        <v>0</v>
      </c>
      <c r="X344" s="74"/>
      <c r="Y344" s="248">
        <f t="shared" si="1895"/>
        <v>0</v>
      </c>
      <c r="Z344" s="74"/>
      <c r="AA344" s="248">
        <f t="shared" si="1898"/>
        <v>0</v>
      </c>
      <c r="AB344" s="74"/>
      <c r="AC344" s="248">
        <f t="shared" si="1896"/>
        <v>0</v>
      </c>
      <c r="AD344" s="74"/>
      <c r="AE344" s="248">
        <f t="shared" si="1897"/>
        <v>0</v>
      </c>
    </row>
    <row r="345" spans="1:31" ht="18.75" customHeight="1" outlineLevel="1">
      <c r="A345" s="351">
        <f t="shared" si="1901"/>
        <v>2</v>
      </c>
      <c r="B345" s="74"/>
      <c r="C345" s="248">
        <f t="shared" si="1899"/>
        <v>0</v>
      </c>
      <c r="D345" s="74"/>
      <c r="E345" s="248">
        <f t="shared" si="1900"/>
        <v>0</v>
      </c>
      <c r="F345" s="74"/>
      <c r="G345" s="248">
        <f t="shared" si="1886"/>
        <v>0</v>
      </c>
      <c r="H345" s="74"/>
      <c r="I345" s="248">
        <f t="shared" si="1887"/>
        <v>0</v>
      </c>
      <c r="J345" s="74"/>
      <c r="K345" s="248">
        <f t="shared" si="1888"/>
        <v>0</v>
      </c>
      <c r="L345" s="74"/>
      <c r="M345" s="248">
        <f t="shared" si="1889"/>
        <v>0</v>
      </c>
      <c r="N345" s="74"/>
      <c r="O345" s="248">
        <f t="shared" si="1890"/>
        <v>0</v>
      </c>
      <c r="P345" s="74"/>
      <c r="Q345" s="248">
        <f t="shared" si="1891"/>
        <v>0</v>
      </c>
      <c r="R345" s="74"/>
      <c r="S345" s="248">
        <f t="shared" si="1892"/>
        <v>0</v>
      </c>
      <c r="T345" s="74"/>
      <c r="U345" s="248">
        <f t="shared" si="1893"/>
        <v>0</v>
      </c>
      <c r="V345" s="74"/>
      <c r="W345" s="248">
        <f t="shared" si="1894"/>
        <v>0</v>
      </c>
      <c r="X345" s="74"/>
      <c r="Y345" s="248">
        <f t="shared" si="1895"/>
        <v>0</v>
      </c>
      <c r="Z345" s="74"/>
      <c r="AA345" s="248">
        <f t="shared" si="1898"/>
        <v>0</v>
      </c>
      <c r="AB345" s="74"/>
      <c r="AC345" s="248">
        <f t="shared" si="1896"/>
        <v>0</v>
      </c>
      <c r="AD345" s="74"/>
      <c r="AE345" s="248">
        <f t="shared" si="1897"/>
        <v>0</v>
      </c>
    </row>
    <row r="346" spans="1:31" ht="18.75" customHeight="1" outlineLevel="1">
      <c r="A346" s="351">
        <f t="shared" si="1901"/>
        <v>3</v>
      </c>
      <c r="B346" s="74"/>
      <c r="C346" s="248">
        <f t="shared" si="1899"/>
        <v>0</v>
      </c>
      <c r="D346" s="74"/>
      <c r="E346" s="248">
        <f t="shared" si="1900"/>
        <v>0</v>
      </c>
      <c r="F346" s="74"/>
      <c r="G346" s="248">
        <f t="shared" si="1886"/>
        <v>0</v>
      </c>
      <c r="H346" s="74"/>
      <c r="I346" s="248">
        <f t="shared" si="1887"/>
        <v>0</v>
      </c>
      <c r="J346" s="74"/>
      <c r="K346" s="248">
        <f t="shared" si="1888"/>
        <v>0</v>
      </c>
      <c r="L346" s="74"/>
      <c r="M346" s="248">
        <f t="shared" si="1889"/>
        <v>0</v>
      </c>
      <c r="N346" s="74"/>
      <c r="O346" s="248">
        <f t="shared" si="1890"/>
        <v>0</v>
      </c>
      <c r="P346" s="74"/>
      <c r="Q346" s="248">
        <f t="shared" si="1891"/>
        <v>0</v>
      </c>
      <c r="R346" s="74"/>
      <c r="S346" s="248">
        <f t="shared" si="1892"/>
        <v>0</v>
      </c>
      <c r="T346" s="74"/>
      <c r="U346" s="248">
        <f t="shared" si="1893"/>
        <v>0</v>
      </c>
      <c r="V346" s="74"/>
      <c r="W346" s="248">
        <f t="shared" si="1894"/>
        <v>0</v>
      </c>
      <c r="X346" s="74"/>
      <c r="Y346" s="248">
        <f t="shared" si="1895"/>
        <v>0</v>
      </c>
      <c r="Z346" s="74"/>
      <c r="AA346" s="248">
        <f t="shared" si="1898"/>
        <v>0</v>
      </c>
      <c r="AB346" s="74"/>
      <c r="AC346" s="248">
        <f t="shared" si="1896"/>
        <v>0</v>
      </c>
      <c r="AD346" s="74"/>
      <c r="AE346" s="248">
        <f t="shared" si="1897"/>
        <v>0</v>
      </c>
    </row>
    <row r="347" spans="1:31" ht="18.75" customHeight="1" outlineLevel="1">
      <c r="A347" s="351">
        <f t="shared" si="1901"/>
        <v>4</v>
      </c>
      <c r="B347" s="74"/>
      <c r="C347" s="405">
        <f t="shared" si="1899"/>
        <v>0</v>
      </c>
      <c r="D347" s="74"/>
      <c r="E347" s="248">
        <f t="shared" si="1900"/>
        <v>0</v>
      </c>
      <c r="F347" s="74"/>
      <c r="G347" s="405">
        <f t="shared" ref="G347:G351" si="1902">(F347/100)*1000</f>
        <v>0</v>
      </c>
      <c r="H347" s="74"/>
      <c r="I347" s="405">
        <f t="shared" ref="I347:I351" si="1903">(H347/100)*1000</f>
        <v>0</v>
      </c>
      <c r="J347" s="74"/>
      <c r="K347" s="405">
        <f t="shared" ref="K347:K351" si="1904">(J347/100)*1000</f>
        <v>0</v>
      </c>
      <c r="L347" s="74"/>
      <c r="M347" s="405">
        <f t="shared" ref="M347:M351" si="1905">(L347/100)*1000</f>
        <v>0</v>
      </c>
      <c r="N347" s="74"/>
      <c r="O347" s="405">
        <f t="shared" ref="O347:O351" si="1906">(N347/100)*1000</f>
        <v>0</v>
      </c>
      <c r="P347" s="74"/>
      <c r="Q347" s="405">
        <f t="shared" ref="Q347:Q351" si="1907">(P347/100)*1000</f>
        <v>0</v>
      </c>
      <c r="R347" s="74"/>
      <c r="S347" s="405">
        <f t="shared" ref="S347:S351" si="1908">(R347/100)*1000</f>
        <v>0</v>
      </c>
      <c r="T347" s="74"/>
      <c r="U347" s="405">
        <f t="shared" ref="U347:U351" si="1909">(T347/100)*1000</f>
        <v>0</v>
      </c>
      <c r="V347" s="74"/>
      <c r="W347" s="405">
        <f t="shared" ref="W347:W351" si="1910">(V347/100)*1000</f>
        <v>0</v>
      </c>
      <c r="X347" s="74"/>
      <c r="Y347" s="405">
        <f t="shared" ref="Y347:Y351" si="1911">(X347/100)*1000</f>
        <v>0</v>
      </c>
      <c r="Z347" s="74"/>
      <c r="AA347" s="405">
        <f>(Z347/100)*1000</f>
        <v>0</v>
      </c>
      <c r="AB347" s="74"/>
      <c r="AC347" s="405">
        <f t="shared" ref="AC347:AC351" si="1912">(AB347/100)*1000</f>
        <v>0</v>
      </c>
      <c r="AD347" s="74"/>
      <c r="AE347" s="405">
        <f t="shared" ref="AE347:AE351" si="1913">(AD347/100)*1000</f>
        <v>0</v>
      </c>
    </row>
    <row r="348" spans="1:31" ht="18.75" customHeight="1" outlineLevel="1">
      <c r="A348" s="351">
        <f t="shared" si="1901"/>
        <v>5</v>
      </c>
      <c r="B348" s="74"/>
      <c r="C348" s="405">
        <f t="shared" si="1899"/>
        <v>0</v>
      </c>
      <c r="D348" s="74"/>
      <c r="E348" s="248">
        <f t="shared" si="1900"/>
        <v>0</v>
      </c>
      <c r="F348" s="74"/>
      <c r="G348" s="405">
        <f t="shared" si="1902"/>
        <v>0</v>
      </c>
      <c r="H348" s="74"/>
      <c r="I348" s="405">
        <f t="shared" si="1903"/>
        <v>0</v>
      </c>
      <c r="J348" s="74"/>
      <c r="K348" s="405">
        <f t="shared" si="1904"/>
        <v>0</v>
      </c>
      <c r="L348" s="74"/>
      <c r="M348" s="405">
        <f t="shared" si="1905"/>
        <v>0</v>
      </c>
      <c r="N348" s="74"/>
      <c r="O348" s="405">
        <f t="shared" si="1906"/>
        <v>0</v>
      </c>
      <c r="P348" s="74"/>
      <c r="Q348" s="405">
        <f t="shared" si="1907"/>
        <v>0</v>
      </c>
      <c r="R348" s="74"/>
      <c r="S348" s="405">
        <f t="shared" si="1908"/>
        <v>0</v>
      </c>
      <c r="T348" s="74"/>
      <c r="U348" s="405">
        <f t="shared" si="1909"/>
        <v>0</v>
      </c>
      <c r="V348" s="74"/>
      <c r="W348" s="405">
        <f t="shared" si="1910"/>
        <v>0</v>
      </c>
      <c r="X348" s="74"/>
      <c r="Y348" s="405">
        <f t="shared" si="1911"/>
        <v>0</v>
      </c>
      <c r="Z348" s="74"/>
      <c r="AA348" s="405">
        <f t="shared" ref="AA348:AA351" si="1914">(Z348/100)*1000</f>
        <v>0</v>
      </c>
      <c r="AB348" s="74"/>
      <c r="AC348" s="405">
        <f t="shared" si="1912"/>
        <v>0</v>
      </c>
      <c r="AD348" s="74"/>
      <c r="AE348" s="405">
        <f t="shared" si="1913"/>
        <v>0</v>
      </c>
    </row>
    <row r="349" spans="1:31" ht="18.75" customHeight="1" outlineLevel="1">
      <c r="A349" s="351">
        <f t="shared" si="1901"/>
        <v>6</v>
      </c>
      <c r="B349" s="74"/>
      <c r="C349" s="405">
        <f t="shared" ref="C349:C351" si="1915">(B349/100)*1000</f>
        <v>0</v>
      </c>
      <c r="D349" s="74"/>
      <c r="E349" s="248">
        <f t="shared" ref="E349:E351" si="1916">(D349/100)*1000</f>
        <v>0</v>
      </c>
      <c r="F349" s="74"/>
      <c r="G349" s="405">
        <f t="shared" si="1902"/>
        <v>0</v>
      </c>
      <c r="H349" s="74"/>
      <c r="I349" s="405">
        <f t="shared" si="1903"/>
        <v>0</v>
      </c>
      <c r="J349" s="74"/>
      <c r="K349" s="405">
        <f t="shared" si="1904"/>
        <v>0</v>
      </c>
      <c r="L349" s="74"/>
      <c r="M349" s="405">
        <f t="shared" si="1905"/>
        <v>0</v>
      </c>
      <c r="N349" s="74"/>
      <c r="O349" s="405">
        <f t="shared" si="1906"/>
        <v>0</v>
      </c>
      <c r="P349" s="74"/>
      <c r="Q349" s="405">
        <f t="shared" si="1907"/>
        <v>0</v>
      </c>
      <c r="R349" s="74"/>
      <c r="S349" s="405">
        <f t="shared" si="1908"/>
        <v>0</v>
      </c>
      <c r="T349" s="74"/>
      <c r="U349" s="405">
        <f t="shared" si="1909"/>
        <v>0</v>
      </c>
      <c r="V349" s="74"/>
      <c r="W349" s="405">
        <f t="shared" si="1910"/>
        <v>0</v>
      </c>
      <c r="X349" s="74"/>
      <c r="Y349" s="405">
        <f t="shared" si="1911"/>
        <v>0</v>
      </c>
      <c r="Z349" s="74"/>
      <c r="AA349" s="405">
        <f t="shared" si="1914"/>
        <v>0</v>
      </c>
      <c r="AB349" s="74"/>
      <c r="AC349" s="405">
        <f t="shared" si="1912"/>
        <v>0</v>
      </c>
      <c r="AD349" s="74"/>
      <c r="AE349" s="405">
        <f t="shared" si="1913"/>
        <v>0</v>
      </c>
    </row>
    <row r="350" spans="1:31" ht="18.75" customHeight="1" outlineLevel="1">
      <c r="A350" s="351">
        <f t="shared" si="1901"/>
        <v>7</v>
      </c>
      <c r="B350" s="74"/>
      <c r="C350" s="405">
        <f t="shared" si="1915"/>
        <v>0</v>
      </c>
      <c r="D350" s="74"/>
      <c r="E350" s="248">
        <f t="shared" si="1916"/>
        <v>0</v>
      </c>
      <c r="F350" s="74"/>
      <c r="G350" s="405">
        <f t="shared" si="1902"/>
        <v>0</v>
      </c>
      <c r="H350" s="74"/>
      <c r="I350" s="405">
        <f t="shared" si="1903"/>
        <v>0</v>
      </c>
      <c r="J350" s="74"/>
      <c r="K350" s="405">
        <f t="shared" si="1904"/>
        <v>0</v>
      </c>
      <c r="L350" s="74"/>
      <c r="M350" s="405">
        <f t="shared" si="1905"/>
        <v>0</v>
      </c>
      <c r="N350" s="74"/>
      <c r="O350" s="405">
        <f t="shared" si="1906"/>
        <v>0</v>
      </c>
      <c r="P350" s="74"/>
      <c r="Q350" s="405">
        <f t="shared" si="1907"/>
        <v>0</v>
      </c>
      <c r="R350" s="74"/>
      <c r="S350" s="405">
        <f t="shared" si="1908"/>
        <v>0</v>
      </c>
      <c r="T350" s="74"/>
      <c r="U350" s="405">
        <f t="shared" si="1909"/>
        <v>0</v>
      </c>
      <c r="V350" s="74"/>
      <c r="W350" s="405">
        <f t="shared" si="1910"/>
        <v>0</v>
      </c>
      <c r="X350" s="74"/>
      <c r="Y350" s="405">
        <f t="shared" si="1911"/>
        <v>0</v>
      </c>
      <c r="Z350" s="74"/>
      <c r="AA350" s="405">
        <f t="shared" si="1914"/>
        <v>0</v>
      </c>
      <c r="AB350" s="74"/>
      <c r="AC350" s="405">
        <f t="shared" si="1912"/>
        <v>0</v>
      </c>
      <c r="AD350" s="74"/>
      <c r="AE350" s="405">
        <f t="shared" si="1913"/>
        <v>0</v>
      </c>
    </row>
    <row r="351" spans="1:31" ht="18.75" customHeight="1" outlineLevel="1">
      <c r="A351" s="351">
        <f t="shared" si="1901"/>
        <v>8</v>
      </c>
      <c r="B351" s="74"/>
      <c r="C351" s="405">
        <f t="shared" si="1915"/>
        <v>0</v>
      </c>
      <c r="D351" s="74"/>
      <c r="E351" s="248">
        <f t="shared" si="1916"/>
        <v>0</v>
      </c>
      <c r="F351" s="74"/>
      <c r="G351" s="405">
        <f t="shared" si="1902"/>
        <v>0</v>
      </c>
      <c r="H351" s="74"/>
      <c r="I351" s="405">
        <f t="shared" si="1903"/>
        <v>0</v>
      </c>
      <c r="J351" s="74"/>
      <c r="K351" s="405">
        <f t="shared" si="1904"/>
        <v>0</v>
      </c>
      <c r="L351" s="74"/>
      <c r="M351" s="405">
        <f t="shared" si="1905"/>
        <v>0</v>
      </c>
      <c r="N351" s="74"/>
      <c r="O351" s="405">
        <f t="shared" si="1906"/>
        <v>0</v>
      </c>
      <c r="P351" s="74"/>
      <c r="Q351" s="405">
        <f t="shared" si="1907"/>
        <v>0</v>
      </c>
      <c r="R351" s="74"/>
      <c r="S351" s="405">
        <f t="shared" si="1908"/>
        <v>0</v>
      </c>
      <c r="T351" s="74"/>
      <c r="U351" s="405">
        <f t="shared" si="1909"/>
        <v>0</v>
      </c>
      <c r="V351" s="74"/>
      <c r="W351" s="405">
        <f t="shared" si="1910"/>
        <v>0</v>
      </c>
      <c r="X351" s="74"/>
      <c r="Y351" s="405">
        <f t="shared" si="1911"/>
        <v>0</v>
      </c>
      <c r="Z351" s="74"/>
      <c r="AA351" s="405">
        <f t="shared" si="1914"/>
        <v>0</v>
      </c>
      <c r="AB351" s="74"/>
      <c r="AC351" s="405">
        <f t="shared" si="1912"/>
        <v>0</v>
      </c>
      <c r="AD351" s="74"/>
      <c r="AE351" s="405">
        <f t="shared" si="1913"/>
        <v>0</v>
      </c>
    </row>
    <row r="352" spans="1:31" ht="18.75" customHeight="1" outlineLevel="1" thickBot="1">
      <c r="A352" s="369" t="s">
        <v>72</v>
      </c>
      <c r="B352" s="355">
        <f t="shared" ref="B352:AE352" si="1917">SUM(B270:B320)</f>
        <v>0</v>
      </c>
      <c r="C352" s="371">
        <f t="shared" si="1917"/>
        <v>0</v>
      </c>
      <c r="D352" s="355">
        <f t="shared" si="1917"/>
        <v>0</v>
      </c>
      <c r="E352" s="371">
        <f t="shared" si="1917"/>
        <v>0</v>
      </c>
      <c r="F352" s="355">
        <f t="shared" si="1917"/>
        <v>0</v>
      </c>
      <c r="G352" s="371">
        <f t="shared" si="1917"/>
        <v>0</v>
      </c>
      <c r="H352" s="355">
        <f t="shared" si="1917"/>
        <v>0</v>
      </c>
      <c r="I352" s="371">
        <f t="shared" si="1917"/>
        <v>0</v>
      </c>
      <c r="J352" s="355">
        <f t="shared" si="1917"/>
        <v>0</v>
      </c>
      <c r="K352" s="371">
        <f t="shared" si="1917"/>
        <v>0</v>
      </c>
      <c r="L352" s="355">
        <f t="shared" si="1917"/>
        <v>0</v>
      </c>
      <c r="M352" s="371">
        <f t="shared" si="1917"/>
        <v>0</v>
      </c>
      <c r="N352" s="355">
        <f t="shared" si="1917"/>
        <v>0</v>
      </c>
      <c r="O352" s="371">
        <f t="shared" si="1917"/>
        <v>0</v>
      </c>
      <c r="P352" s="355">
        <f t="shared" si="1917"/>
        <v>0</v>
      </c>
      <c r="Q352" s="371">
        <f t="shared" si="1917"/>
        <v>0</v>
      </c>
      <c r="R352" s="355">
        <f t="shared" si="1917"/>
        <v>0</v>
      </c>
      <c r="S352" s="371">
        <f t="shared" si="1917"/>
        <v>0</v>
      </c>
      <c r="T352" s="355">
        <f t="shared" si="1917"/>
        <v>0</v>
      </c>
      <c r="U352" s="371">
        <f t="shared" si="1917"/>
        <v>0</v>
      </c>
      <c r="V352" s="355">
        <f t="shared" si="1917"/>
        <v>0</v>
      </c>
      <c r="W352" s="371">
        <f t="shared" si="1917"/>
        <v>0</v>
      </c>
      <c r="X352" s="355">
        <f t="shared" si="1917"/>
        <v>0</v>
      </c>
      <c r="Y352" s="371">
        <f t="shared" si="1917"/>
        <v>0</v>
      </c>
      <c r="Z352" s="355">
        <f t="shared" si="1917"/>
        <v>0</v>
      </c>
      <c r="AA352" s="371">
        <f t="shared" si="1917"/>
        <v>0</v>
      </c>
      <c r="AB352" s="355">
        <f t="shared" si="1917"/>
        <v>0</v>
      </c>
      <c r="AC352" s="371">
        <f t="shared" si="1917"/>
        <v>0</v>
      </c>
      <c r="AD352" s="355">
        <f t="shared" si="1917"/>
        <v>0</v>
      </c>
      <c r="AE352" s="371">
        <f t="shared" si="1917"/>
        <v>0</v>
      </c>
    </row>
    <row r="353" spans="1:31" ht="19.899999999999999" thickBot="1">
      <c r="V353" s="76"/>
      <c r="W353" s="76"/>
      <c r="X353" s="76"/>
      <c r="Y353" s="76"/>
      <c r="Z353" s="76"/>
      <c r="AA353" s="76"/>
      <c r="AB353" s="76"/>
      <c r="AC353" s="76"/>
      <c r="AD353" s="76"/>
      <c r="AE353" s="76"/>
    </row>
    <row r="354" spans="1:31" ht="15" customHeight="1" thickBot="1">
      <c r="A354" s="685" t="s">
        <v>82</v>
      </c>
      <c r="B354" s="657">
        <v>1</v>
      </c>
      <c r="C354" s="658"/>
      <c r="D354" s="657">
        <v>2</v>
      </c>
      <c r="E354" s="658"/>
      <c r="F354" s="657">
        <v>3</v>
      </c>
      <c r="G354" s="658"/>
      <c r="H354" s="657">
        <v>4</v>
      </c>
      <c r="I354" s="658"/>
      <c r="J354" s="657">
        <v>5</v>
      </c>
      <c r="K354" s="658"/>
      <c r="L354" s="657">
        <v>6</v>
      </c>
      <c r="M354" s="658"/>
      <c r="N354" s="657">
        <v>7</v>
      </c>
      <c r="O354" s="658"/>
      <c r="P354" s="657">
        <v>8</v>
      </c>
      <c r="Q354" s="658"/>
      <c r="R354" s="657">
        <v>9</v>
      </c>
      <c r="S354" s="658"/>
      <c r="T354" s="657">
        <v>10</v>
      </c>
      <c r="U354" s="658"/>
      <c r="V354" s="657">
        <v>11</v>
      </c>
      <c r="W354" s="658"/>
      <c r="X354" s="657">
        <v>12</v>
      </c>
      <c r="Y354" s="658"/>
      <c r="Z354" s="657">
        <v>13</v>
      </c>
      <c r="AA354" s="658"/>
      <c r="AB354" s="657">
        <v>14</v>
      </c>
      <c r="AC354" s="658"/>
      <c r="AD354" s="657">
        <v>15</v>
      </c>
      <c r="AE354" s="658"/>
    </row>
    <row r="355" spans="1:31" ht="15" customHeight="1" thickBot="1">
      <c r="A355" s="686"/>
      <c r="B355" s="665" t="s">
        <v>83</v>
      </c>
      <c r="C355" s="666"/>
      <c r="D355" s="665" t="s">
        <v>84</v>
      </c>
      <c r="E355" s="666"/>
      <c r="F355" s="665"/>
      <c r="G355" s="666"/>
      <c r="H355" s="665" t="s">
        <v>85</v>
      </c>
      <c r="I355" s="666"/>
      <c r="J355" s="665" t="s">
        <v>86</v>
      </c>
      <c r="K355" s="666"/>
      <c r="L355" s="665" t="s">
        <v>87</v>
      </c>
      <c r="M355" s="666"/>
      <c r="N355" s="665" t="s">
        <v>87</v>
      </c>
      <c r="O355" s="666"/>
      <c r="P355" s="665" t="s">
        <v>88</v>
      </c>
      <c r="Q355" s="666"/>
      <c r="R355" s="665" t="s">
        <v>88</v>
      </c>
      <c r="S355" s="666"/>
      <c r="T355" s="665" t="s">
        <v>89</v>
      </c>
      <c r="U355" s="666"/>
      <c r="V355" s="665" t="s">
        <v>90</v>
      </c>
      <c r="W355" s="666"/>
      <c r="X355" s="665" t="s">
        <v>91</v>
      </c>
      <c r="Y355" s="666"/>
      <c r="Z355" s="665" t="s">
        <v>92</v>
      </c>
      <c r="AA355" s="666"/>
      <c r="AB355" s="665" t="s">
        <v>93</v>
      </c>
      <c r="AC355" s="666"/>
      <c r="AD355" s="665" t="s">
        <v>94</v>
      </c>
      <c r="AE355" s="666"/>
    </row>
    <row r="356" spans="1:31" ht="25.35" customHeight="1" thickBot="1">
      <c r="A356" s="686"/>
      <c r="B356" s="688" t="s">
        <v>95</v>
      </c>
      <c r="C356" s="689"/>
      <c r="D356" s="690"/>
      <c r="E356" s="689"/>
      <c r="F356" s="690"/>
      <c r="G356" s="689"/>
      <c r="H356" s="690" t="s">
        <v>96</v>
      </c>
      <c r="I356" s="689"/>
      <c r="J356" s="690" t="s">
        <v>97</v>
      </c>
      <c r="K356" s="689"/>
      <c r="L356" s="690" t="s">
        <v>98</v>
      </c>
      <c r="M356" s="689"/>
      <c r="N356" s="690" t="s">
        <v>99</v>
      </c>
      <c r="O356" s="689"/>
      <c r="P356" s="690" t="s">
        <v>99</v>
      </c>
      <c r="Q356" s="689"/>
      <c r="R356" s="690" t="s">
        <v>98</v>
      </c>
      <c r="S356" s="689"/>
      <c r="T356" s="690" t="s">
        <v>100</v>
      </c>
      <c r="U356" s="689"/>
      <c r="V356" s="690" t="s">
        <v>101</v>
      </c>
      <c r="W356" s="689"/>
      <c r="X356" s="688" t="s">
        <v>102</v>
      </c>
      <c r="Y356" s="689"/>
      <c r="Z356" s="688" t="s">
        <v>102</v>
      </c>
      <c r="AA356" s="689"/>
      <c r="AB356" s="690" t="s">
        <v>103</v>
      </c>
      <c r="AC356" s="689"/>
      <c r="AD356" s="690" t="s">
        <v>104</v>
      </c>
      <c r="AE356" s="689"/>
    </row>
    <row r="357" spans="1:31" ht="25.35" customHeight="1" outlineLevel="1" thickBot="1">
      <c r="A357" s="687"/>
      <c r="B357" s="205" t="s">
        <v>5</v>
      </c>
      <c r="C357" s="341" t="s">
        <v>6</v>
      </c>
      <c r="D357" s="18" t="s">
        <v>5</v>
      </c>
      <c r="E357" s="341" t="s">
        <v>6</v>
      </c>
      <c r="F357" s="18" t="s">
        <v>5</v>
      </c>
      <c r="G357" s="341" t="s">
        <v>6</v>
      </c>
      <c r="H357" s="18" t="s">
        <v>5</v>
      </c>
      <c r="I357" s="341" t="s">
        <v>6</v>
      </c>
      <c r="J357" s="18" t="s">
        <v>5</v>
      </c>
      <c r="K357" s="341" t="s">
        <v>6</v>
      </c>
      <c r="L357" s="18" t="s">
        <v>5</v>
      </c>
      <c r="M357" s="341" t="s">
        <v>6</v>
      </c>
      <c r="N357" s="18" t="s">
        <v>5</v>
      </c>
      <c r="O357" s="341" t="s">
        <v>6</v>
      </c>
      <c r="P357" s="18" t="s">
        <v>5</v>
      </c>
      <c r="Q357" s="341" t="s">
        <v>6</v>
      </c>
      <c r="R357" s="18" t="s">
        <v>5</v>
      </c>
      <c r="S357" s="341" t="s">
        <v>6</v>
      </c>
      <c r="T357" s="18" t="s">
        <v>5</v>
      </c>
      <c r="U357" s="341" t="s">
        <v>6</v>
      </c>
      <c r="V357" s="18" t="s">
        <v>5</v>
      </c>
      <c r="W357" s="341" t="s">
        <v>6</v>
      </c>
      <c r="X357" s="18" t="s">
        <v>5</v>
      </c>
      <c r="Y357" s="341" t="s">
        <v>6</v>
      </c>
      <c r="Z357" s="18" t="s">
        <v>5</v>
      </c>
      <c r="AA357" s="341" t="s">
        <v>6</v>
      </c>
      <c r="AB357" s="18" t="s">
        <v>5</v>
      </c>
      <c r="AC357" s="341" t="s">
        <v>6</v>
      </c>
      <c r="AD357" s="18" t="s">
        <v>5</v>
      </c>
      <c r="AE357" s="341" t="s">
        <v>6</v>
      </c>
    </row>
    <row r="358" spans="1:31" ht="19.149999999999999" customHeight="1" outlineLevel="1">
      <c r="A358" s="403" t="str">
        <f t="shared" ref="A358:A389" si="1918">A6</f>
        <v>MAIZE/CORN</v>
      </c>
      <c r="B358" s="245">
        <f>1078.2/20</f>
        <v>53.910000000000004</v>
      </c>
      <c r="C358" s="354">
        <f>(B358/100)*1000</f>
        <v>539.1</v>
      </c>
      <c r="D358" s="353">
        <f>1076.64/20</f>
        <v>53.832000000000008</v>
      </c>
      <c r="E358" s="354">
        <f>(D358/100)*1000</f>
        <v>538.32000000000016</v>
      </c>
      <c r="F358" s="353"/>
      <c r="G358" s="354">
        <f>(F358/100)*1000</f>
        <v>0</v>
      </c>
      <c r="H358" s="353">
        <f>1075/20</f>
        <v>53.75</v>
      </c>
      <c r="I358" s="354">
        <f>(H358/100)*1000</f>
        <v>537.5</v>
      </c>
      <c r="J358" s="353">
        <f>1073/20</f>
        <v>53.65</v>
      </c>
      <c r="K358" s="354">
        <f>(J358/100)*1000</f>
        <v>536.5</v>
      </c>
      <c r="L358" s="353">
        <f>1012.76/20</f>
        <v>50.637999999999998</v>
      </c>
      <c r="M358" s="354">
        <f>(L358/100)*1000</f>
        <v>506.37999999999994</v>
      </c>
      <c r="N358" s="353">
        <f>1012.76/20</f>
        <v>50.637999999999998</v>
      </c>
      <c r="O358" s="354">
        <f>(N358/100)*1000</f>
        <v>506.37999999999994</v>
      </c>
      <c r="P358" s="353">
        <f>1112.76/20</f>
        <v>55.637999999999998</v>
      </c>
      <c r="Q358" s="354">
        <f>(P358/100)*1000</f>
        <v>556.38</v>
      </c>
      <c r="R358" s="353">
        <f>1112.76/20</f>
        <v>55.637999999999998</v>
      </c>
      <c r="S358" s="354">
        <f>(R358/100)*1000</f>
        <v>556.38</v>
      </c>
      <c r="T358" s="353">
        <f>1115.76/20</f>
        <v>55.787999999999997</v>
      </c>
      <c r="U358" s="354">
        <f>(T358/100)*1000</f>
        <v>557.87999999999988</v>
      </c>
      <c r="V358" s="353">
        <f>1115.76/20</f>
        <v>55.787999999999997</v>
      </c>
      <c r="W358" s="354">
        <f>(V358/100)*1000</f>
        <v>557.87999999999988</v>
      </c>
      <c r="X358" s="353">
        <f>1240.5/20</f>
        <v>62.024999999999999</v>
      </c>
      <c r="Y358" s="354">
        <f>(X358/100)*1000</f>
        <v>620.25</v>
      </c>
      <c r="Z358" s="353">
        <f>1241/20</f>
        <v>62.05</v>
      </c>
      <c r="AA358" s="354">
        <f>(Z358/100)*1000</f>
        <v>620.49999999999989</v>
      </c>
      <c r="AB358" s="353">
        <f>1110.76/20</f>
        <v>55.537999999999997</v>
      </c>
      <c r="AC358" s="354">
        <f>(AB358/100)*1000</f>
        <v>555.38</v>
      </c>
      <c r="AD358" s="353">
        <f>1111.76/20</f>
        <v>55.588000000000001</v>
      </c>
      <c r="AE358" s="354">
        <f>(AD358/100)*1000</f>
        <v>555.88</v>
      </c>
    </row>
    <row r="359" spans="1:31" ht="19.149999999999999" customHeight="1" outlineLevel="1">
      <c r="A359" s="403" t="str">
        <f t="shared" si="1918"/>
        <v>SOYBEAN MEAL (ARG)</v>
      </c>
      <c r="B359" s="74">
        <f>604/20</f>
        <v>30.2</v>
      </c>
      <c r="C359" s="342">
        <f t="shared" ref="C359:AE409" si="1919">(B359/100)*1000</f>
        <v>302</v>
      </c>
      <c r="D359" s="74">
        <f>571.2/20</f>
        <v>28.560000000000002</v>
      </c>
      <c r="E359" s="342">
        <f t="shared" si="1919"/>
        <v>285.60000000000002</v>
      </c>
      <c r="F359" s="74"/>
      <c r="G359" s="342">
        <f t="shared" ref="G359" si="1920">(F359/100)*1000</f>
        <v>0</v>
      </c>
      <c r="H359" s="74">
        <f>558/20</f>
        <v>27.9</v>
      </c>
      <c r="I359" s="342">
        <f t="shared" ref="I359" si="1921">(H359/100)*1000</f>
        <v>278.99999999999994</v>
      </c>
      <c r="J359" s="74">
        <f>558/20</f>
        <v>27.9</v>
      </c>
      <c r="K359" s="342">
        <f t="shared" ref="K359" si="1922">(J359/100)*1000</f>
        <v>278.99999999999994</v>
      </c>
      <c r="L359" s="74">
        <f>634.4/20</f>
        <v>31.72</v>
      </c>
      <c r="M359" s="342">
        <f t="shared" ref="M359" si="1923">(L359/100)*1000</f>
        <v>317.2</v>
      </c>
      <c r="N359" s="74">
        <f>634.4/20</f>
        <v>31.72</v>
      </c>
      <c r="O359" s="342">
        <f t="shared" ref="O359" si="1924">(N359/100)*1000</f>
        <v>317.2</v>
      </c>
      <c r="P359" s="74">
        <f>634.4/20</f>
        <v>31.72</v>
      </c>
      <c r="Q359" s="342">
        <f t="shared" ref="Q359" si="1925">(P359/100)*1000</f>
        <v>317.2</v>
      </c>
      <c r="R359" s="74">
        <f>634.4/20</f>
        <v>31.72</v>
      </c>
      <c r="S359" s="342">
        <f t="shared" ref="S359" si="1926">(R359/100)*1000</f>
        <v>317.2</v>
      </c>
      <c r="T359" s="74">
        <f>634.4/20</f>
        <v>31.72</v>
      </c>
      <c r="U359" s="342">
        <f t="shared" ref="U359" si="1927">(T359/100)*1000</f>
        <v>317.2</v>
      </c>
      <c r="V359" s="74">
        <f>634.4/20</f>
        <v>31.72</v>
      </c>
      <c r="W359" s="342">
        <f t="shared" ref="W359" si="1928">(V359/100)*1000</f>
        <v>317.2</v>
      </c>
      <c r="X359" s="74">
        <f>403.5/20</f>
        <v>20.175000000000001</v>
      </c>
      <c r="Y359" s="342">
        <f t="shared" ref="Y359" si="1929">(X359/100)*1000</f>
        <v>201.75</v>
      </c>
      <c r="Z359" s="74">
        <f>403/20</f>
        <v>20.149999999999999</v>
      </c>
      <c r="AA359" s="342">
        <f t="shared" ref="AA359" si="1930">(Z359/100)*1000</f>
        <v>201.49999999999997</v>
      </c>
      <c r="AB359" s="74">
        <f>634.4/20</f>
        <v>31.72</v>
      </c>
      <c r="AC359" s="342">
        <f t="shared" ref="AC359" si="1931">(AB359/100)*1000</f>
        <v>317.2</v>
      </c>
      <c r="AD359" s="74">
        <f>634.4/20</f>
        <v>31.72</v>
      </c>
      <c r="AE359" s="342">
        <f t="shared" ref="AE359" si="1932">(AD359/100)*1000</f>
        <v>317.2</v>
      </c>
    </row>
    <row r="360" spans="1:31" ht="19.149999999999999" customHeight="1" outlineLevel="1">
      <c r="A360" s="403" t="str">
        <f t="shared" si="1918"/>
        <v>SOYBEAN FULL FAT</v>
      </c>
      <c r="B360" s="74">
        <f>100/20</f>
        <v>5</v>
      </c>
      <c r="C360" s="342">
        <f t="shared" si="1919"/>
        <v>50</v>
      </c>
      <c r="D360" s="74">
        <f>100/20</f>
        <v>5</v>
      </c>
      <c r="E360" s="342">
        <f t="shared" si="1919"/>
        <v>50</v>
      </c>
      <c r="F360" s="74"/>
      <c r="G360" s="342">
        <f t="shared" ref="G360" si="1933">(F360/100)*1000</f>
        <v>0</v>
      </c>
      <c r="H360" s="74">
        <f>100/20</f>
        <v>5</v>
      </c>
      <c r="I360" s="342">
        <f t="shared" ref="I360" si="1934">(H360/100)*1000</f>
        <v>50</v>
      </c>
      <c r="J360" s="74">
        <f>100/20</f>
        <v>5</v>
      </c>
      <c r="K360" s="342">
        <f t="shared" ref="K360" si="1935">(J360/100)*1000</f>
        <v>50</v>
      </c>
      <c r="L360" s="74">
        <f>100/20</f>
        <v>5</v>
      </c>
      <c r="M360" s="342">
        <f t="shared" ref="M360" si="1936">(L360/100)*1000</f>
        <v>50</v>
      </c>
      <c r="N360" s="74">
        <f>100/20</f>
        <v>5</v>
      </c>
      <c r="O360" s="342">
        <f t="shared" ref="O360" si="1937">(N360/100)*1000</f>
        <v>50</v>
      </c>
      <c r="P360" s="74">
        <f>100/20</f>
        <v>5</v>
      </c>
      <c r="Q360" s="342">
        <f t="shared" ref="Q360" si="1938">(P360/100)*1000</f>
        <v>50</v>
      </c>
      <c r="R360" s="74">
        <f>100/20</f>
        <v>5</v>
      </c>
      <c r="S360" s="342">
        <f t="shared" ref="S360" si="1939">(R360/100)*1000</f>
        <v>50</v>
      </c>
      <c r="T360" s="74">
        <f>100/20</f>
        <v>5</v>
      </c>
      <c r="U360" s="342">
        <f t="shared" ref="U360" si="1940">(T360/100)*1000</f>
        <v>50</v>
      </c>
      <c r="V360" s="74">
        <f>100/20</f>
        <v>5</v>
      </c>
      <c r="W360" s="342">
        <f t="shared" ref="W360" si="1941">(V360/100)*1000</f>
        <v>50</v>
      </c>
      <c r="X360" s="74">
        <f>90/20</f>
        <v>4.5</v>
      </c>
      <c r="Y360" s="342">
        <f t="shared" ref="Y360" si="1942">(X360/100)*1000</f>
        <v>45</v>
      </c>
      <c r="Z360" s="74">
        <f>90/20</f>
        <v>4.5</v>
      </c>
      <c r="AA360" s="342">
        <f t="shared" ref="AA360" si="1943">(Z360/100)*1000</f>
        <v>45</v>
      </c>
      <c r="AB360" s="74">
        <f>100/20</f>
        <v>5</v>
      </c>
      <c r="AC360" s="342">
        <f t="shared" ref="AC360" si="1944">(AB360/100)*1000</f>
        <v>50</v>
      </c>
      <c r="AD360" s="74">
        <f>100/20</f>
        <v>5</v>
      </c>
      <c r="AE360" s="342">
        <f t="shared" ref="AE360" si="1945">(AD360/100)*1000</f>
        <v>50</v>
      </c>
    </row>
    <row r="361" spans="1:31" ht="19.149999999999999" customHeight="1" outlineLevel="1">
      <c r="A361" s="403" t="str">
        <f t="shared" si="1918"/>
        <v>WHEAT POLLARD</v>
      </c>
      <c r="B361" s="74">
        <f>50/20</f>
        <v>2.5</v>
      </c>
      <c r="C361" s="342">
        <f t="shared" si="1919"/>
        <v>25</v>
      </c>
      <c r="D361" s="74"/>
      <c r="E361" s="342">
        <f t="shared" si="1919"/>
        <v>0</v>
      </c>
      <c r="F361" s="74"/>
      <c r="G361" s="342">
        <f t="shared" ref="G361" si="1946">(F361/100)*1000</f>
        <v>0</v>
      </c>
      <c r="H361" s="74">
        <f>100/20</f>
        <v>5</v>
      </c>
      <c r="I361" s="342">
        <f t="shared" ref="I361" si="1947">(H361/100)*1000</f>
        <v>50</v>
      </c>
      <c r="J361" s="74">
        <f>100/20</f>
        <v>5</v>
      </c>
      <c r="K361" s="342">
        <f t="shared" ref="K361" si="1948">(J361/100)*1000</f>
        <v>50</v>
      </c>
      <c r="L361" s="74">
        <f>100/20</f>
        <v>5</v>
      </c>
      <c r="M361" s="342">
        <f t="shared" ref="M361" si="1949">(L361/100)*1000</f>
        <v>50</v>
      </c>
      <c r="N361" s="74">
        <f>100/20</f>
        <v>5</v>
      </c>
      <c r="O361" s="342">
        <f t="shared" ref="O361" si="1950">(N361/100)*1000</f>
        <v>50</v>
      </c>
      <c r="P361" s="74"/>
      <c r="Q361" s="342">
        <f t="shared" ref="Q361" si="1951">(P361/100)*1000</f>
        <v>0</v>
      </c>
      <c r="R361" s="74"/>
      <c r="S361" s="342">
        <f t="shared" ref="S361" si="1952">(R361/100)*1000</f>
        <v>0</v>
      </c>
      <c r="T361" s="74"/>
      <c r="U361" s="342">
        <f t="shared" ref="U361" si="1953">(T361/100)*1000</f>
        <v>0</v>
      </c>
      <c r="V361" s="74"/>
      <c r="W361" s="342">
        <f t="shared" ref="W361" si="1954">(V361/100)*1000</f>
        <v>0</v>
      </c>
      <c r="X361" s="74">
        <f>40/20</f>
        <v>2</v>
      </c>
      <c r="Y361" s="342">
        <f t="shared" ref="Y361" si="1955">(X361/100)*1000</f>
        <v>20</v>
      </c>
      <c r="Z361" s="74">
        <f>40/20</f>
        <v>2</v>
      </c>
      <c r="AA361" s="342">
        <f t="shared" ref="AA361" si="1956">(Z361/100)*1000</f>
        <v>20</v>
      </c>
      <c r="AB361" s="74"/>
      <c r="AC361" s="342">
        <f t="shared" ref="AC361" si="1957">(AB361/100)*1000</f>
        <v>0</v>
      </c>
      <c r="AD361" s="74"/>
      <c r="AE361" s="342">
        <f t="shared" ref="AE361" si="1958">(AD361/100)*1000</f>
        <v>0</v>
      </c>
    </row>
    <row r="362" spans="1:31" ht="19.149999999999999" customHeight="1" outlineLevel="1">
      <c r="A362" s="403" t="str">
        <f t="shared" si="1918"/>
        <v>WHEAT</v>
      </c>
      <c r="B362" s="74"/>
      <c r="C362" s="342">
        <f t="shared" si="1919"/>
        <v>0</v>
      </c>
      <c r="D362" s="74"/>
      <c r="E362" s="342">
        <f t="shared" si="1919"/>
        <v>0</v>
      </c>
      <c r="F362" s="74"/>
      <c r="G362" s="342">
        <f t="shared" ref="G362" si="1959">(F362/100)*1000</f>
        <v>0</v>
      </c>
      <c r="H362" s="74"/>
      <c r="I362" s="342">
        <f t="shared" ref="I362" si="1960">(H362/100)*1000</f>
        <v>0</v>
      </c>
      <c r="J362" s="74"/>
      <c r="K362" s="342">
        <f t="shared" ref="K362" si="1961">(J362/100)*1000</f>
        <v>0</v>
      </c>
      <c r="L362" s="74"/>
      <c r="M362" s="342">
        <f t="shared" ref="M362" si="1962">(L362/100)*1000</f>
        <v>0</v>
      </c>
      <c r="N362" s="74"/>
      <c r="O362" s="342">
        <f t="shared" ref="O362" si="1963">(N362/100)*1000</f>
        <v>0</v>
      </c>
      <c r="P362" s="74"/>
      <c r="Q362" s="342">
        <f t="shared" ref="Q362" si="1964">(P362/100)*1000</f>
        <v>0</v>
      </c>
      <c r="R362" s="74"/>
      <c r="S362" s="342">
        <f t="shared" ref="S362" si="1965">(R362/100)*1000</f>
        <v>0</v>
      </c>
      <c r="T362" s="74"/>
      <c r="U362" s="342">
        <f t="shared" ref="U362" si="1966">(T362/100)*1000</f>
        <v>0</v>
      </c>
      <c r="V362" s="74"/>
      <c r="W362" s="342">
        <f t="shared" ref="W362" si="1967">(V362/100)*1000</f>
        <v>0</v>
      </c>
      <c r="X362" s="74"/>
      <c r="Y362" s="342">
        <f t="shared" ref="Y362" si="1968">(X362/100)*1000</f>
        <v>0</v>
      </c>
      <c r="Z362" s="74"/>
      <c r="AA362" s="342">
        <f t="shared" ref="AA362" si="1969">(Z362/100)*1000</f>
        <v>0</v>
      </c>
      <c r="AB362" s="74"/>
      <c r="AC362" s="342">
        <f t="shared" ref="AC362" si="1970">(AB362/100)*1000</f>
        <v>0</v>
      </c>
      <c r="AD362" s="74"/>
      <c r="AE362" s="342">
        <f t="shared" ref="AE362" si="1971">(AD362/100)*1000</f>
        <v>0</v>
      </c>
    </row>
    <row r="363" spans="1:31" ht="19.149999999999999" customHeight="1" outlineLevel="1">
      <c r="A363" s="403" t="str">
        <f t="shared" si="1918"/>
        <v>MEAT AND BONE MEAL</v>
      </c>
      <c r="B363" s="74">
        <f>40/20</f>
        <v>2</v>
      </c>
      <c r="C363" s="342">
        <f t="shared" si="1919"/>
        <v>20</v>
      </c>
      <c r="D363" s="74">
        <f>40/20</f>
        <v>2</v>
      </c>
      <c r="E363" s="342">
        <f t="shared" si="1919"/>
        <v>20</v>
      </c>
      <c r="F363" s="74"/>
      <c r="G363" s="342">
        <f t="shared" ref="G363" si="1972">(F363/100)*1000</f>
        <v>0</v>
      </c>
      <c r="H363" s="74">
        <f>40/20</f>
        <v>2</v>
      </c>
      <c r="I363" s="342">
        <f t="shared" ref="I363" si="1973">(H363/100)*1000</f>
        <v>20</v>
      </c>
      <c r="J363" s="74">
        <f>40/20</f>
        <v>2</v>
      </c>
      <c r="K363" s="342">
        <f t="shared" ref="K363" si="1974">(J363/100)*1000</f>
        <v>20</v>
      </c>
      <c r="L363" s="74"/>
      <c r="M363" s="342">
        <f t="shared" ref="M363" si="1975">(L363/100)*1000</f>
        <v>0</v>
      </c>
      <c r="N363" s="74"/>
      <c r="O363" s="342">
        <f t="shared" ref="O363" si="1976">(N363/100)*1000</f>
        <v>0</v>
      </c>
      <c r="P363" s="74"/>
      <c r="Q363" s="342">
        <f t="shared" ref="Q363" si="1977">(P363/100)*1000</f>
        <v>0</v>
      </c>
      <c r="R363" s="74"/>
      <c r="S363" s="342">
        <f t="shared" ref="S363" si="1978">(R363/100)*1000</f>
        <v>0</v>
      </c>
      <c r="T363" s="74"/>
      <c r="U363" s="342">
        <f t="shared" ref="U363" si="1979">(T363/100)*1000</f>
        <v>0</v>
      </c>
      <c r="V363" s="74"/>
      <c r="W363" s="342">
        <f t="shared" ref="W363" si="1980">(V363/100)*1000</f>
        <v>0</v>
      </c>
      <c r="X363" s="74">
        <f>40/20</f>
        <v>2</v>
      </c>
      <c r="Y363" s="342">
        <f t="shared" ref="Y363" si="1981">(X363/100)*1000</f>
        <v>20</v>
      </c>
      <c r="Z363" s="74">
        <f>40/20</f>
        <v>2</v>
      </c>
      <c r="AA363" s="342">
        <f t="shared" ref="AA363" si="1982">(Z363/100)*1000</f>
        <v>20</v>
      </c>
      <c r="AB363" s="74"/>
      <c r="AC363" s="342">
        <f t="shared" ref="AC363" si="1983">(AB363/100)*1000</f>
        <v>0</v>
      </c>
      <c r="AD363" s="74"/>
      <c r="AE363" s="342">
        <f t="shared" ref="AE363" si="1984">(AD363/100)*1000</f>
        <v>0</v>
      </c>
    </row>
    <row r="364" spans="1:31" ht="19.149999999999999" customHeight="1" outlineLevel="1">
      <c r="A364" s="403" t="str">
        <f t="shared" si="1918"/>
        <v>CORN GLUTEN MEAL</v>
      </c>
      <c r="B364" s="74">
        <f>40/20</f>
        <v>2</v>
      </c>
      <c r="C364" s="342">
        <f t="shared" si="1919"/>
        <v>20</v>
      </c>
      <c r="D364" s="74">
        <f>30/20</f>
        <v>1.5</v>
      </c>
      <c r="E364" s="342">
        <f t="shared" si="1919"/>
        <v>15</v>
      </c>
      <c r="F364" s="74"/>
      <c r="G364" s="342">
        <f t="shared" ref="G364" si="1985">(F364/100)*1000</f>
        <v>0</v>
      </c>
      <c r="H364" s="74">
        <f>40/20</f>
        <v>2</v>
      </c>
      <c r="I364" s="342">
        <f t="shared" ref="I364" si="1986">(H364/100)*1000</f>
        <v>20</v>
      </c>
      <c r="J364" s="74">
        <f>40/20</f>
        <v>2</v>
      </c>
      <c r="K364" s="342">
        <f t="shared" ref="K364" si="1987">(J364/100)*1000</f>
        <v>20</v>
      </c>
      <c r="L364" s="74">
        <f>39/20</f>
        <v>1.95</v>
      </c>
      <c r="M364" s="342">
        <f t="shared" ref="M364" si="1988">(L364/100)*1000</f>
        <v>19.5</v>
      </c>
      <c r="N364" s="74">
        <f>39/20</f>
        <v>1.95</v>
      </c>
      <c r="O364" s="342">
        <f t="shared" ref="O364" si="1989">(N364/100)*1000</f>
        <v>19.5</v>
      </c>
      <c r="P364" s="74">
        <f>39/20</f>
        <v>1.95</v>
      </c>
      <c r="Q364" s="342">
        <f t="shared" ref="Q364" si="1990">(P364/100)*1000</f>
        <v>19.5</v>
      </c>
      <c r="R364" s="74">
        <f>39/20</f>
        <v>1.95</v>
      </c>
      <c r="S364" s="342">
        <f t="shared" ref="S364" si="1991">(R364/100)*1000</f>
        <v>19.5</v>
      </c>
      <c r="T364" s="74">
        <f>39/20</f>
        <v>1.95</v>
      </c>
      <c r="U364" s="342">
        <f t="shared" ref="U364" si="1992">(T364/100)*1000</f>
        <v>19.5</v>
      </c>
      <c r="V364" s="74">
        <f>39/20</f>
        <v>1.95</v>
      </c>
      <c r="W364" s="342">
        <f t="shared" ref="W364" si="1993">(V364/100)*1000</f>
        <v>19.5</v>
      </c>
      <c r="X364" s="74">
        <f>40/20</f>
        <v>2</v>
      </c>
      <c r="Y364" s="342">
        <f t="shared" ref="Y364" si="1994">(X364/100)*1000</f>
        <v>20</v>
      </c>
      <c r="Z364" s="74">
        <f>40/20</f>
        <v>2</v>
      </c>
      <c r="AA364" s="342">
        <f t="shared" ref="AA364" si="1995">(Z364/100)*1000</f>
        <v>20</v>
      </c>
      <c r="AB364" s="74">
        <f>39/20</f>
        <v>1.95</v>
      </c>
      <c r="AC364" s="342">
        <f t="shared" ref="AC364" si="1996">(AB364/100)*1000</f>
        <v>19.5</v>
      </c>
      <c r="AD364" s="74">
        <f>39/20</f>
        <v>1.95</v>
      </c>
      <c r="AE364" s="342">
        <f t="shared" ref="AE364" si="1997">(AD364/100)*1000</f>
        <v>19.5</v>
      </c>
    </row>
    <row r="365" spans="1:31" ht="19.149999999999999" customHeight="1" outlineLevel="1">
      <c r="A365" s="403" t="str">
        <f t="shared" si="1918"/>
        <v>MEGAFAT (HARUMI)</v>
      </c>
      <c r="B365" s="74">
        <f>26/20</f>
        <v>1.3</v>
      </c>
      <c r="C365" s="342">
        <f t="shared" si="1919"/>
        <v>13.000000000000002</v>
      </c>
      <c r="D365" s="74">
        <f>20/20</f>
        <v>1</v>
      </c>
      <c r="E365" s="342">
        <f t="shared" si="1919"/>
        <v>10</v>
      </c>
      <c r="F365" s="74"/>
      <c r="G365" s="342">
        <f t="shared" ref="G365" si="1998">(F365/100)*1000</f>
        <v>0</v>
      </c>
      <c r="H365" s="74">
        <f>40/20</f>
        <v>2</v>
      </c>
      <c r="I365" s="342">
        <f t="shared" ref="I365" si="1999">(H365/100)*1000</f>
        <v>20</v>
      </c>
      <c r="J365" s="74">
        <f>40/20</f>
        <v>2</v>
      </c>
      <c r="K365" s="342">
        <f t="shared" ref="K365" si="2000">(J365/100)*1000</f>
        <v>20</v>
      </c>
      <c r="L365" s="74">
        <f>47/20</f>
        <v>2.35</v>
      </c>
      <c r="M365" s="342">
        <f t="shared" ref="M365" si="2001">(L365/100)*1000</f>
        <v>23.5</v>
      </c>
      <c r="N365" s="74">
        <f>47/20</f>
        <v>2.35</v>
      </c>
      <c r="O365" s="342">
        <f t="shared" ref="O365" si="2002">(N365/100)*1000</f>
        <v>23.5</v>
      </c>
      <c r="P365" s="74">
        <f>47/20</f>
        <v>2.35</v>
      </c>
      <c r="Q365" s="342">
        <f t="shared" ref="Q365" si="2003">(P365/100)*1000</f>
        <v>23.5</v>
      </c>
      <c r="R365" s="74">
        <f>47/20</f>
        <v>2.35</v>
      </c>
      <c r="S365" s="342">
        <f t="shared" ref="S365" si="2004">(R365/100)*1000</f>
        <v>23.5</v>
      </c>
      <c r="T365" s="74">
        <f>47/20</f>
        <v>2.35</v>
      </c>
      <c r="U365" s="342">
        <f t="shared" ref="U365" si="2005">(T365/100)*1000</f>
        <v>23.5</v>
      </c>
      <c r="V365" s="74">
        <f>47/20</f>
        <v>2.35</v>
      </c>
      <c r="W365" s="342">
        <f t="shared" ref="W365" si="2006">(V365/100)*1000</f>
        <v>23.5</v>
      </c>
      <c r="X365" s="74">
        <f>30/20</f>
        <v>1.5</v>
      </c>
      <c r="Y365" s="342">
        <f t="shared" ref="Y365" si="2007">(X365/100)*1000</f>
        <v>15</v>
      </c>
      <c r="Z365" s="74">
        <f>30/20</f>
        <v>1.5</v>
      </c>
      <c r="AA365" s="342">
        <f t="shared" ref="AA365" si="2008">(Z365/100)*1000</f>
        <v>15</v>
      </c>
      <c r="AB365" s="74">
        <f>47/20</f>
        <v>2.35</v>
      </c>
      <c r="AC365" s="342">
        <f t="shared" ref="AC365" si="2009">(AB365/100)*1000</f>
        <v>23.5</v>
      </c>
      <c r="AD365" s="74">
        <f>47/20</f>
        <v>2.35</v>
      </c>
      <c r="AE365" s="342">
        <f t="shared" ref="AE365" si="2010">(AD365/100)*1000</f>
        <v>23.5</v>
      </c>
    </row>
    <row r="366" spans="1:31" ht="19.149999999999999" customHeight="1" outlineLevel="1">
      <c r="A366" s="403" t="str">
        <f t="shared" si="1918"/>
        <v>DCP 18%</v>
      </c>
      <c r="B366" s="74">
        <f>3/20</f>
        <v>0.15</v>
      </c>
      <c r="C366" s="342">
        <f t="shared" si="1919"/>
        <v>1.5</v>
      </c>
      <c r="D366" s="74">
        <f>3/20</f>
        <v>0.15</v>
      </c>
      <c r="E366" s="342">
        <f t="shared" si="1919"/>
        <v>1.5</v>
      </c>
      <c r="F366" s="74"/>
      <c r="G366" s="342">
        <f t="shared" ref="G366" si="2011">(F366/100)*1000</f>
        <v>0</v>
      </c>
      <c r="H366" s="74"/>
      <c r="I366" s="342">
        <f t="shared" ref="I366" si="2012">(H366/100)*1000</f>
        <v>0</v>
      </c>
      <c r="J366" s="74"/>
      <c r="K366" s="342">
        <f t="shared" ref="K366" si="2013">(J366/100)*1000</f>
        <v>0</v>
      </c>
      <c r="L366" s="74"/>
      <c r="M366" s="342">
        <f t="shared" ref="M366" si="2014">(L366/100)*1000</f>
        <v>0</v>
      </c>
      <c r="N366" s="74"/>
      <c r="O366" s="342">
        <f t="shared" ref="O366" si="2015">(N366/100)*1000</f>
        <v>0</v>
      </c>
      <c r="P366" s="74"/>
      <c r="Q366" s="342">
        <f t="shared" ref="Q366" si="2016">(P366/100)*1000</f>
        <v>0</v>
      </c>
      <c r="R366" s="74"/>
      <c r="S366" s="342">
        <f t="shared" ref="S366" si="2017">(R366/100)*1000</f>
        <v>0</v>
      </c>
      <c r="T366" s="74"/>
      <c r="U366" s="342">
        <f t="shared" ref="U366" si="2018">(T366/100)*1000</f>
        <v>0</v>
      </c>
      <c r="V366" s="74"/>
      <c r="W366" s="342">
        <f t="shared" ref="W366" si="2019">(V366/100)*1000</f>
        <v>0</v>
      </c>
      <c r="X366" s="74"/>
      <c r="Y366" s="342">
        <f t="shared" ref="Y366" si="2020">(X366/100)*1000</f>
        <v>0</v>
      </c>
      <c r="Z366" s="74"/>
      <c r="AA366" s="342">
        <f t="shared" ref="AA366" si="2021">(Z366/100)*1000</f>
        <v>0</v>
      </c>
      <c r="AB366" s="74"/>
      <c r="AC366" s="342">
        <f t="shared" ref="AC366" si="2022">(AB366/100)*1000</f>
        <v>0</v>
      </c>
      <c r="AD366" s="74"/>
      <c r="AE366" s="342">
        <f t="shared" ref="AE366" si="2023">(AD366/100)*1000</f>
        <v>0</v>
      </c>
    </row>
    <row r="367" spans="1:31" ht="19.149999999999999" customHeight="1" outlineLevel="1">
      <c r="A367" s="403" t="str">
        <f t="shared" si="1918"/>
        <v>LIMESTONE POWDER (HARUMI)</v>
      </c>
      <c r="B367" s="74">
        <f>11.8/20</f>
        <v>0.59000000000000008</v>
      </c>
      <c r="C367" s="342">
        <f t="shared" si="1919"/>
        <v>5.9</v>
      </c>
      <c r="D367" s="74">
        <f>12.16/20</f>
        <v>0.60799999999999998</v>
      </c>
      <c r="E367" s="342">
        <f t="shared" si="1919"/>
        <v>6.0799999999999992</v>
      </c>
      <c r="F367" s="74"/>
      <c r="G367" s="342">
        <f t="shared" ref="G367" si="2024">(F367/100)*1000</f>
        <v>0</v>
      </c>
      <c r="H367" s="74"/>
      <c r="I367" s="342">
        <f t="shared" ref="I367" si="2025">(H367/100)*1000</f>
        <v>0</v>
      </c>
      <c r="J367" s="74"/>
      <c r="K367" s="342">
        <f t="shared" ref="K367" si="2026">(J367/100)*1000</f>
        <v>0</v>
      </c>
      <c r="L367" s="74">
        <f>12.84/20</f>
        <v>0.64200000000000002</v>
      </c>
      <c r="M367" s="342">
        <f t="shared" ref="M367" si="2027">(L367/100)*1000</f>
        <v>6.42</v>
      </c>
      <c r="N367" s="74">
        <f>12.84/20</f>
        <v>0.64200000000000002</v>
      </c>
      <c r="O367" s="342">
        <f t="shared" ref="O367" si="2028">(N367/100)*1000</f>
        <v>6.42</v>
      </c>
      <c r="P367" s="74">
        <f>12.84/20</f>
        <v>0.64200000000000002</v>
      </c>
      <c r="Q367" s="342">
        <f t="shared" ref="Q367" si="2029">(P367/100)*1000</f>
        <v>6.42</v>
      </c>
      <c r="R367" s="74">
        <f>12.84/20</f>
        <v>0.64200000000000002</v>
      </c>
      <c r="S367" s="342">
        <f t="shared" ref="S367" si="2030">(R367/100)*1000</f>
        <v>6.42</v>
      </c>
      <c r="T367" s="74">
        <f>12.84/20</f>
        <v>0.64200000000000002</v>
      </c>
      <c r="U367" s="342">
        <f t="shared" ref="U367" si="2031">(T367/100)*1000</f>
        <v>6.42</v>
      </c>
      <c r="V367" s="74">
        <f>12.84/20</f>
        <v>0.64200000000000002</v>
      </c>
      <c r="W367" s="342">
        <f t="shared" ref="W367" si="2032">(V367/100)*1000</f>
        <v>6.42</v>
      </c>
      <c r="X367" s="74"/>
      <c r="Y367" s="342">
        <f t="shared" ref="Y367" si="2033">(X367/100)*1000</f>
        <v>0</v>
      </c>
      <c r="Z367" s="74"/>
      <c r="AA367" s="342">
        <f t="shared" ref="AA367" si="2034">(Z367/100)*1000</f>
        <v>0</v>
      </c>
      <c r="AB367" s="74">
        <f>12.84/20</f>
        <v>0.64200000000000002</v>
      </c>
      <c r="AC367" s="342">
        <f t="shared" ref="AC367" si="2035">(AB367/100)*1000</f>
        <v>6.42</v>
      </c>
      <c r="AD367" s="74">
        <f>12.84/20</f>
        <v>0.64200000000000002</v>
      </c>
      <c r="AE367" s="342">
        <f t="shared" ref="AE367" si="2036">(AD367/100)*1000</f>
        <v>6.42</v>
      </c>
    </row>
    <row r="368" spans="1:31" ht="19.149999999999999" customHeight="1" outlineLevel="1">
      <c r="A368" s="403" t="str">
        <f t="shared" si="1918"/>
        <v>CHOLINE CHLORIDE 60%</v>
      </c>
      <c r="B368" s="74"/>
      <c r="C368" s="342">
        <f t="shared" si="1919"/>
        <v>0</v>
      </c>
      <c r="D368" s="74"/>
      <c r="E368" s="342">
        <f t="shared" si="1919"/>
        <v>0</v>
      </c>
      <c r="F368" s="74"/>
      <c r="G368" s="342">
        <f t="shared" ref="G368" si="2037">(F368/100)*1000</f>
        <v>0</v>
      </c>
      <c r="H368" s="74"/>
      <c r="I368" s="342">
        <f t="shared" ref="I368" si="2038">(H368/100)*1000</f>
        <v>0</v>
      </c>
      <c r="J368" s="74"/>
      <c r="K368" s="342">
        <f t="shared" ref="K368" si="2039">(J368/100)*1000</f>
        <v>0</v>
      </c>
      <c r="L368" s="74"/>
      <c r="M368" s="342">
        <f t="shared" ref="M368" si="2040">(L368/100)*1000</f>
        <v>0</v>
      </c>
      <c r="N368" s="74"/>
      <c r="O368" s="342">
        <f t="shared" ref="O368" si="2041">(N368/100)*1000</f>
        <v>0</v>
      </c>
      <c r="P368" s="74"/>
      <c r="Q368" s="342">
        <f t="shared" ref="Q368" si="2042">(P368/100)*1000</f>
        <v>0</v>
      </c>
      <c r="R368" s="74"/>
      <c r="S368" s="342">
        <f t="shared" ref="S368" si="2043">(R368/100)*1000</f>
        <v>0</v>
      </c>
      <c r="T368" s="74"/>
      <c r="U368" s="342">
        <f t="shared" ref="U368" si="2044">(T368/100)*1000</f>
        <v>0</v>
      </c>
      <c r="V368" s="74"/>
      <c r="W368" s="342">
        <f t="shared" ref="W368" si="2045">(V368/100)*1000</f>
        <v>0</v>
      </c>
      <c r="X368" s="74"/>
      <c r="Y368" s="342">
        <f t="shared" ref="Y368" si="2046">(X368/100)*1000</f>
        <v>0</v>
      </c>
      <c r="Z368" s="74"/>
      <c r="AA368" s="342">
        <f t="shared" ref="AA368" si="2047">(Z368/100)*1000</f>
        <v>0</v>
      </c>
      <c r="AB368" s="74"/>
      <c r="AC368" s="342">
        <f t="shared" ref="AC368" si="2048">(AB368/100)*1000</f>
        <v>0</v>
      </c>
      <c r="AD368" s="74"/>
      <c r="AE368" s="342">
        <f t="shared" ref="AE368" si="2049">(AD368/100)*1000</f>
        <v>0</v>
      </c>
    </row>
    <row r="369" spans="1:31" ht="19.149999999999999" customHeight="1" outlineLevel="1">
      <c r="A369" s="403" t="str">
        <f t="shared" si="1918"/>
        <v>INDUSTRY FLOUR</v>
      </c>
      <c r="B369" s="74"/>
      <c r="C369" s="342">
        <f t="shared" si="1919"/>
        <v>0</v>
      </c>
      <c r="D369" s="74"/>
      <c r="E369" s="342">
        <f t="shared" si="1919"/>
        <v>0</v>
      </c>
      <c r="F369" s="74"/>
      <c r="G369" s="342">
        <f t="shared" ref="G369" si="2050">(F369/100)*1000</f>
        <v>0</v>
      </c>
      <c r="H369" s="74"/>
      <c r="I369" s="342">
        <f t="shared" ref="I369" si="2051">(H369/100)*1000</f>
        <v>0</v>
      </c>
      <c r="J369" s="74"/>
      <c r="K369" s="342">
        <f t="shared" ref="K369" si="2052">(J369/100)*1000</f>
        <v>0</v>
      </c>
      <c r="L369" s="74"/>
      <c r="M369" s="342">
        <f t="shared" ref="M369" si="2053">(L369/100)*1000</f>
        <v>0</v>
      </c>
      <c r="N369" s="74"/>
      <c r="O369" s="342">
        <f t="shared" ref="O369" si="2054">(N369/100)*1000</f>
        <v>0</v>
      </c>
      <c r="P369" s="74"/>
      <c r="Q369" s="342">
        <f t="shared" ref="Q369" si="2055">(P369/100)*1000</f>
        <v>0</v>
      </c>
      <c r="R369" s="74"/>
      <c r="S369" s="342">
        <f t="shared" ref="S369" si="2056">(R369/100)*1000</f>
        <v>0</v>
      </c>
      <c r="T369" s="74"/>
      <c r="U369" s="342">
        <f t="shared" ref="U369" si="2057">(T369/100)*1000</f>
        <v>0</v>
      </c>
      <c r="V369" s="74"/>
      <c r="W369" s="342">
        <f t="shared" ref="W369" si="2058">(V369/100)*1000</f>
        <v>0</v>
      </c>
      <c r="X369" s="74"/>
      <c r="Y369" s="342">
        <f t="shared" ref="Y369" si="2059">(X369/100)*1000</f>
        <v>0</v>
      </c>
      <c r="Z369" s="74"/>
      <c r="AA369" s="342">
        <f t="shared" ref="AA369" si="2060">(Z369/100)*1000</f>
        <v>0</v>
      </c>
      <c r="AB369" s="74"/>
      <c r="AC369" s="342">
        <f t="shared" ref="AC369" si="2061">(AB369/100)*1000</f>
        <v>0</v>
      </c>
      <c r="AD369" s="74"/>
      <c r="AE369" s="342">
        <f t="shared" ref="AE369" si="2062">(AD369/100)*1000</f>
        <v>0</v>
      </c>
    </row>
    <row r="370" spans="1:31" ht="19.149999999999999" customHeight="1" outlineLevel="1">
      <c r="A370" s="403" t="str">
        <f t="shared" si="1918"/>
        <v>RICE BRAN</v>
      </c>
      <c r="B370" s="74"/>
      <c r="C370" s="342">
        <f t="shared" si="1919"/>
        <v>0</v>
      </c>
      <c r="D370" s="74">
        <f>100/20</f>
        <v>5</v>
      </c>
      <c r="E370" s="342">
        <f t="shared" si="1919"/>
        <v>50</v>
      </c>
      <c r="F370" s="74"/>
      <c r="G370" s="342">
        <f t="shared" ref="G370" si="2063">(F370/100)*1000</f>
        <v>0</v>
      </c>
      <c r="H370" s="74"/>
      <c r="I370" s="342">
        <f t="shared" ref="I370" si="2064">(H370/100)*1000</f>
        <v>0</v>
      </c>
      <c r="J370" s="74"/>
      <c r="K370" s="342">
        <f t="shared" ref="K370" si="2065">(J370/100)*1000</f>
        <v>0</v>
      </c>
      <c r="L370" s="74"/>
      <c r="M370" s="342">
        <f t="shared" ref="M370" si="2066">(L370/100)*1000</f>
        <v>0</v>
      </c>
      <c r="N370" s="74"/>
      <c r="O370" s="342">
        <f t="shared" ref="O370" si="2067">(N370/100)*1000</f>
        <v>0</v>
      </c>
      <c r="P370" s="74"/>
      <c r="Q370" s="342">
        <f t="shared" ref="Q370" si="2068">(P370/100)*1000</f>
        <v>0</v>
      </c>
      <c r="R370" s="74"/>
      <c r="S370" s="342">
        <f t="shared" ref="S370" si="2069">(R370/100)*1000</f>
        <v>0</v>
      </c>
      <c r="T370" s="74"/>
      <c r="U370" s="342">
        <f t="shared" ref="U370" si="2070">(T370/100)*1000</f>
        <v>0</v>
      </c>
      <c r="V370" s="74"/>
      <c r="W370" s="342">
        <f t="shared" ref="W370" si="2071">(V370/100)*1000</f>
        <v>0</v>
      </c>
      <c r="X370" s="74">
        <f>70/20</f>
        <v>3.5</v>
      </c>
      <c r="Y370" s="342">
        <f t="shared" ref="Y370" si="2072">(X370/100)*1000</f>
        <v>35</v>
      </c>
      <c r="Z370" s="74">
        <f>70/20</f>
        <v>3.5</v>
      </c>
      <c r="AA370" s="342">
        <f t="shared" ref="AA370" si="2073">(Z370/100)*1000</f>
        <v>35</v>
      </c>
      <c r="AB370" s="74"/>
      <c r="AC370" s="342">
        <f t="shared" ref="AC370" si="2074">(AB370/100)*1000</f>
        <v>0</v>
      </c>
      <c r="AD370" s="74"/>
      <c r="AE370" s="342">
        <f t="shared" ref="AE370" si="2075">(AD370/100)*1000</f>
        <v>0</v>
      </c>
    </row>
    <row r="371" spans="1:31" ht="19.149999999999999" customHeight="1" outlineLevel="1">
      <c r="A371" s="403" t="str">
        <f t="shared" si="1918"/>
        <v>EP 200</v>
      </c>
      <c r="B371" s="74"/>
      <c r="C371" s="342">
        <f t="shared" si="1919"/>
        <v>0</v>
      </c>
      <c r="D371" s="74"/>
      <c r="E371" s="342">
        <f t="shared" si="1919"/>
        <v>0</v>
      </c>
      <c r="F371" s="74"/>
      <c r="G371" s="342">
        <f t="shared" ref="G371" si="2076">(F371/100)*1000</f>
        <v>0</v>
      </c>
      <c r="H371" s="74"/>
      <c r="I371" s="342">
        <f t="shared" ref="I371" si="2077">(H371/100)*1000</f>
        <v>0</v>
      </c>
      <c r="J371" s="74"/>
      <c r="K371" s="342">
        <f t="shared" ref="K371" si="2078">(J371/100)*1000</f>
        <v>0</v>
      </c>
      <c r="L371" s="74"/>
      <c r="M371" s="342">
        <f t="shared" ref="M371" si="2079">(L371/100)*1000</f>
        <v>0</v>
      </c>
      <c r="N371" s="74"/>
      <c r="O371" s="342">
        <f t="shared" ref="O371" si="2080">(N371/100)*1000</f>
        <v>0</v>
      </c>
      <c r="P371" s="74"/>
      <c r="Q371" s="342">
        <f t="shared" ref="Q371" si="2081">(P371/100)*1000</f>
        <v>0</v>
      </c>
      <c r="R371" s="74"/>
      <c r="S371" s="342">
        <f t="shared" ref="S371" si="2082">(R371/100)*1000</f>
        <v>0</v>
      </c>
      <c r="T371" s="74"/>
      <c r="U371" s="342">
        <f t="shared" ref="U371" si="2083">(T371/100)*1000</f>
        <v>0</v>
      </c>
      <c r="V371" s="74"/>
      <c r="W371" s="342">
        <f t="shared" ref="W371" si="2084">(V371/100)*1000</f>
        <v>0</v>
      </c>
      <c r="X371" s="74"/>
      <c r="Y371" s="342">
        <f t="shared" ref="Y371" si="2085">(X371/100)*1000</f>
        <v>0</v>
      </c>
      <c r="Z371" s="74"/>
      <c r="AA371" s="342">
        <f t="shared" ref="AA371" si="2086">(Z371/100)*1000</f>
        <v>0</v>
      </c>
      <c r="AB371" s="74"/>
      <c r="AC371" s="342">
        <f t="shared" ref="AC371" si="2087">(AB371/100)*1000</f>
        <v>0</v>
      </c>
      <c r="AD371" s="74"/>
      <c r="AE371" s="342">
        <f t="shared" ref="AE371" si="2088">(AD371/100)*1000</f>
        <v>0</v>
      </c>
    </row>
    <row r="372" spans="1:31" ht="19.149999999999999" customHeight="1" outlineLevel="1">
      <c r="A372" s="403" t="str">
        <f t="shared" si="1918"/>
        <v>SOYTIDE</v>
      </c>
      <c r="B372" s="74"/>
      <c r="C372" s="342">
        <f t="shared" si="1919"/>
        <v>0</v>
      </c>
      <c r="D372" s="74"/>
      <c r="E372" s="342">
        <f t="shared" si="1919"/>
        <v>0</v>
      </c>
      <c r="F372" s="74"/>
      <c r="G372" s="342">
        <f t="shared" ref="G372" si="2089">(F372/100)*1000</f>
        <v>0</v>
      </c>
      <c r="H372" s="74"/>
      <c r="I372" s="342">
        <f t="shared" ref="I372" si="2090">(H372/100)*1000</f>
        <v>0</v>
      </c>
      <c r="J372" s="74"/>
      <c r="K372" s="342">
        <f t="shared" ref="K372" si="2091">(J372/100)*1000</f>
        <v>0</v>
      </c>
      <c r="L372" s="74"/>
      <c r="M372" s="342">
        <f t="shared" ref="M372" si="2092">(L372/100)*1000</f>
        <v>0</v>
      </c>
      <c r="N372" s="74"/>
      <c r="O372" s="342">
        <f t="shared" ref="O372" si="2093">(N372/100)*1000</f>
        <v>0</v>
      </c>
      <c r="P372" s="74"/>
      <c r="Q372" s="342">
        <f t="shared" ref="Q372" si="2094">(P372/100)*1000</f>
        <v>0</v>
      </c>
      <c r="R372" s="74"/>
      <c r="S372" s="342">
        <f t="shared" ref="S372" si="2095">(R372/100)*1000</f>
        <v>0</v>
      </c>
      <c r="T372" s="74"/>
      <c r="U372" s="342">
        <f t="shared" ref="U372" si="2096">(T372/100)*1000</f>
        <v>0</v>
      </c>
      <c r="V372" s="74"/>
      <c r="W372" s="342">
        <f t="shared" ref="W372" si="2097">(V372/100)*1000</f>
        <v>0</v>
      </c>
      <c r="X372" s="74"/>
      <c r="Y372" s="342">
        <f t="shared" ref="Y372" si="2098">(X372/100)*1000</f>
        <v>0</v>
      </c>
      <c r="Z372" s="74"/>
      <c r="AA372" s="342">
        <f t="shared" ref="AA372" si="2099">(Z372/100)*1000</f>
        <v>0</v>
      </c>
      <c r="AB372" s="74"/>
      <c r="AC372" s="342">
        <f t="shared" ref="AC372" si="2100">(AB372/100)*1000</f>
        <v>0</v>
      </c>
      <c r="AD372" s="74"/>
      <c r="AE372" s="342">
        <f t="shared" ref="AE372" si="2101">(AD372/100)*1000</f>
        <v>0</v>
      </c>
    </row>
    <row r="373" spans="1:31" ht="19.149999999999999" customHeight="1" outlineLevel="1">
      <c r="A373" s="403" t="str">
        <f t="shared" si="1918"/>
        <v>DCP 18% (HARUMI)</v>
      </c>
      <c r="B373" s="74"/>
      <c r="C373" s="249">
        <f t="shared" si="1919"/>
        <v>0</v>
      </c>
      <c r="D373" s="74"/>
      <c r="E373" s="249">
        <f t="shared" si="1919"/>
        <v>0</v>
      </c>
      <c r="F373" s="74"/>
      <c r="G373" s="249">
        <f t="shared" ref="G373" si="2102">(F373/100)*1000</f>
        <v>0</v>
      </c>
      <c r="H373" s="74"/>
      <c r="I373" s="249">
        <f t="shared" ref="I373" si="2103">(H373/100)*1000</f>
        <v>0</v>
      </c>
      <c r="J373" s="74"/>
      <c r="K373" s="249">
        <f t="shared" ref="K373" si="2104">(J373/100)*1000</f>
        <v>0</v>
      </c>
      <c r="L373" s="74"/>
      <c r="M373" s="249">
        <f t="shared" ref="M373" si="2105">(L373/100)*1000</f>
        <v>0</v>
      </c>
      <c r="N373" s="74"/>
      <c r="O373" s="249">
        <f t="shared" ref="O373" si="2106">(N373/100)*1000</f>
        <v>0</v>
      </c>
      <c r="P373" s="74"/>
      <c r="Q373" s="249">
        <f t="shared" ref="Q373" si="2107">(P373/100)*1000</f>
        <v>0</v>
      </c>
      <c r="R373" s="74"/>
      <c r="S373" s="249">
        <f t="shared" ref="S373" si="2108">(R373/100)*1000</f>
        <v>0</v>
      </c>
      <c r="T373" s="74"/>
      <c r="U373" s="249">
        <f t="shared" ref="U373" si="2109">(T373/100)*1000</f>
        <v>0</v>
      </c>
      <c r="V373" s="74"/>
      <c r="W373" s="249">
        <f t="shared" ref="W373" si="2110">(V373/100)*1000</f>
        <v>0</v>
      </c>
      <c r="X373" s="74"/>
      <c r="Y373" s="249">
        <f t="shared" ref="Y373" si="2111">(X373/100)*1000</f>
        <v>0</v>
      </c>
      <c r="Z373" s="74"/>
      <c r="AA373" s="249">
        <f t="shared" ref="AA373" si="2112">(Z373/100)*1000</f>
        <v>0</v>
      </c>
      <c r="AB373" s="74"/>
      <c r="AC373" s="249">
        <f t="shared" ref="AC373" si="2113">(AB373/100)*1000</f>
        <v>0</v>
      </c>
      <c r="AD373" s="74"/>
      <c r="AE373" s="249">
        <f t="shared" ref="AE373" si="2114">(AD373/100)*1000</f>
        <v>0</v>
      </c>
    </row>
    <row r="374" spans="1:31" ht="19.149999999999999" customHeight="1" outlineLevel="1">
      <c r="A374" s="403">
        <f t="shared" si="1918"/>
        <v>1</v>
      </c>
      <c r="B374" s="74"/>
      <c r="C374" s="249">
        <f t="shared" si="1919"/>
        <v>0</v>
      </c>
      <c r="D374" s="74"/>
      <c r="E374" s="249">
        <f t="shared" si="1919"/>
        <v>0</v>
      </c>
      <c r="F374" s="74"/>
      <c r="G374" s="249">
        <f t="shared" ref="G374" si="2115">(F374/100)*1000</f>
        <v>0</v>
      </c>
      <c r="H374" s="74"/>
      <c r="I374" s="249">
        <f t="shared" ref="I374" si="2116">(H374/100)*1000</f>
        <v>0</v>
      </c>
      <c r="J374" s="74"/>
      <c r="K374" s="249">
        <f t="shared" ref="K374" si="2117">(J374/100)*1000</f>
        <v>0</v>
      </c>
      <c r="L374" s="74"/>
      <c r="M374" s="249">
        <f t="shared" ref="M374" si="2118">(L374/100)*1000</f>
        <v>0</v>
      </c>
      <c r="N374" s="74"/>
      <c r="O374" s="249">
        <f t="shared" ref="O374" si="2119">(N374/100)*1000</f>
        <v>0</v>
      </c>
      <c r="P374" s="74"/>
      <c r="Q374" s="249">
        <f t="shared" ref="Q374" si="2120">(P374/100)*1000</f>
        <v>0</v>
      </c>
      <c r="R374" s="74"/>
      <c r="S374" s="249">
        <f t="shared" ref="S374" si="2121">(R374/100)*1000</f>
        <v>0</v>
      </c>
      <c r="T374" s="74"/>
      <c r="U374" s="249">
        <f t="shared" ref="U374" si="2122">(T374/100)*1000</f>
        <v>0</v>
      </c>
      <c r="V374" s="74"/>
      <c r="W374" s="249">
        <f t="shared" ref="W374" si="2123">(V374/100)*1000</f>
        <v>0</v>
      </c>
      <c r="X374" s="74"/>
      <c r="Y374" s="249">
        <f t="shared" ref="Y374" si="2124">(X374/100)*1000</f>
        <v>0</v>
      </c>
      <c r="Z374" s="74"/>
      <c r="AA374" s="249">
        <f t="shared" ref="AA374" si="2125">(Z374/100)*1000</f>
        <v>0</v>
      </c>
      <c r="AB374" s="74"/>
      <c r="AC374" s="249">
        <f t="shared" ref="AC374" si="2126">(AB374/100)*1000</f>
        <v>0</v>
      </c>
      <c r="AD374" s="74"/>
      <c r="AE374" s="249">
        <f t="shared" ref="AE374" si="2127">(AD374/100)*1000</f>
        <v>0</v>
      </c>
    </row>
    <row r="375" spans="1:31" ht="19.149999999999999" customHeight="1" outlineLevel="1">
      <c r="A375" s="403">
        <f t="shared" si="1918"/>
        <v>2</v>
      </c>
      <c r="B375" s="74"/>
      <c r="C375" s="249">
        <f t="shared" si="1919"/>
        <v>0</v>
      </c>
      <c r="D375" s="74"/>
      <c r="E375" s="249">
        <f t="shared" si="1919"/>
        <v>0</v>
      </c>
      <c r="F375" s="74"/>
      <c r="G375" s="249">
        <f t="shared" ref="G375" si="2128">(F375/100)*1000</f>
        <v>0</v>
      </c>
      <c r="H375" s="74"/>
      <c r="I375" s="249">
        <f t="shared" ref="I375" si="2129">(H375/100)*1000</f>
        <v>0</v>
      </c>
      <c r="J375" s="74"/>
      <c r="K375" s="249">
        <f t="shared" ref="K375" si="2130">(J375/100)*1000</f>
        <v>0</v>
      </c>
      <c r="L375" s="74"/>
      <c r="M375" s="249">
        <f t="shared" ref="M375" si="2131">(L375/100)*1000</f>
        <v>0</v>
      </c>
      <c r="N375" s="74"/>
      <c r="O375" s="249">
        <f t="shared" ref="O375" si="2132">(N375/100)*1000</f>
        <v>0</v>
      </c>
      <c r="P375" s="74"/>
      <c r="Q375" s="249">
        <f t="shared" ref="Q375" si="2133">(P375/100)*1000</f>
        <v>0</v>
      </c>
      <c r="R375" s="74"/>
      <c r="S375" s="249">
        <f t="shared" ref="S375" si="2134">(R375/100)*1000</f>
        <v>0</v>
      </c>
      <c r="T375" s="74"/>
      <c r="U375" s="249">
        <f t="shared" ref="U375" si="2135">(T375/100)*1000</f>
        <v>0</v>
      </c>
      <c r="V375" s="74"/>
      <c r="W375" s="249">
        <f t="shared" ref="W375" si="2136">(V375/100)*1000</f>
        <v>0</v>
      </c>
      <c r="X375" s="74"/>
      <c r="Y375" s="249">
        <f t="shared" ref="Y375" si="2137">(X375/100)*1000</f>
        <v>0</v>
      </c>
      <c r="Z375" s="74"/>
      <c r="AA375" s="249">
        <f t="shared" ref="AA375" si="2138">(Z375/100)*1000</f>
        <v>0</v>
      </c>
      <c r="AB375" s="74"/>
      <c r="AC375" s="249">
        <f t="shared" ref="AC375" si="2139">(AB375/100)*1000</f>
        <v>0</v>
      </c>
      <c r="AD375" s="74"/>
      <c r="AE375" s="249">
        <f t="shared" ref="AE375" si="2140">(AD375/100)*1000</f>
        <v>0</v>
      </c>
    </row>
    <row r="376" spans="1:31" ht="19.149999999999999" customHeight="1" outlineLevel="1">
      <c r="A376" s="403">
        <f t="shared" si="1918"/>
        <v>3</v>
      </c>
      <c r="B376" s="74"/>
      <c r="C376" s="249">
        <f t="shared" si="1919"/>
        <v>0</v>
      </c>
      <c r="D376" s="74"/>
      <c r="E376" s="249">
        <f t="shared" si="1919"/>
        <v>0</v>
      </c>
      <c r="F376" s="74"/>
      <c r="G376" s="249">
        <f t="shared" ref="G376" si="2141">(F376/100)*1000</f>
        <v>0</v>
      </c>
      <c r="H376" s="74"/>
      <c r="I376" s="249">
        <f t="shared" ref="I376" si="2142">(H376/100)*1000</f>
        <v>0</v>
      </c>
      <c r="J376" s="74"/>
      <c r="K376" s="249">
        <f t="shared" ref="K376" si="2143">(J376/100)*1000</f>
        <v>0</v>
      </c>
      <c r="L376" s="74"/>
      <c r="M376" s="249">
        <f t="shared" ref="M376" si="2144">(L376/100)*1000</f>
        <v>0</v>
      </c>
      <c r="N376" s="74"/>
      <c r="O376" s="249">
        <f t="shared" ref="O376" si="2145">(N376/100)*1000</f>
        <v>0</v>
      </c>
      <c r="P376" s="74"/>
      <c r="Q376" s="249">
        <f t="shared" ref="Q376" si="2146">(P376/100)*1000</f>
        <v>0</v>
      </c>
      <c r="R376" s="74"/>
      <c r="S376" s="249">
        <f t="shared" ref="S376" si="2147">(R376/100)*1000</f>
        <v>0</v>
      </c>
      <c r="T376" s="74"/>
      <c r="U376" s="249">
        <f t="shared" ref="U376" si="2148">(T376/100)*1000</f>
        <v>0</v>
      </c>
      <c r="V376" s="74"/>
      <c r="W376" s="249">
        <f t="shared" ref="W376" si="2149">(V376/100)*1000</f>
        <v>0</v>
      </c>
      <c r="X376" s="74"/>
      <c r="Y376" s="249">
        <f t="shared" ref="Y376" si="2150">(X376/100)*1000</f>
        <v>0</v>
      </c>
      <c r="Z376" s="74"/>
      <c r="AA376" s="249">
        <f t="shared" ref="AA376" si="2151">(Z376/100)*1000</f>
        <v>0</v>
      </c>
      <c r="AB376" s="74"/>
      <c r="AC376" s="249">
        <f t="shared" ref="AC376" si="2152">(AB376/100)*1000</f>
        <v>0</v>
      </c>
      <c r="AD376" s="74"/>
      <c r="AE376" s="249">
        <f t="shared" ref="AE376" si="2153">(AD376/100)*1000</f>
        <v>0</v>
      </c>
    </row>
    <row r="377" spans="1:31" ht="19.149999999999999" customHeight="1" outlineLevel="1">
      <c r="A377" s="374" t="str">
        <f t="shared" si="1918"/>
        <v>PREMIX 1101 (20KG)</v>
      </c>
      <c r="B377" s="74"/>
      <c r="C377" s="249">
        <f t="shared" si="1919"/>
        <v>0</v>
      </c>
      <c r="D377" s="74"/>
      <c r="E377" s="249">
        <f t="shared" si="1919"/>
        <v>0</v>
      </c>
      <c r="F377" s="74"/>
      <c r="G377" s="249">
        <f t="shared" ref="G377" si="2154">(F377/100)*1000</f>
        <v>0</v>
      </c>
      <c r="H377" s="74"/>
      <c r="I377" s="249">
        <f t="shared" ref="I377" si="2155">(H377/100)*1000</f>
        <v>0</v>
      </c>
      <c r="J377" s="74"/>
      <c r="K377" s="249">
        <f t="shared" ref="K377" si="2156">(J377/100)*1000</f>
        <v>0</v>
      </c>
      <c r="L377" s="74"/>
      <c r="M377" s="249">
        <f t="shared" ref="M377" si="2157">(L377/100)*1000</f>
        <v>0</v>
      </c>
      <c r="N377" s="74"/>
      <c r="O377" s="249">
        <f t="shared" ref="O377" si="2158">(N377/100)*1000</f>
        <v>0</v>
      </c>
      <c r="P377" s="74"/>
      <c r="Q377" s="249">
        <f t="shared" ref="Q377" si="2159">(P377/100)*1000</f>
        <v>0</v>
      </c>
      <c r="R377" s="74"/>
      <c r="S377" s="249">
        <f t="shared" ref="S377" si="2160">(R377/100)*1000</f>
        <v>0</v>
      </c>
      <c r="T377" s="74"/>
      <c r="U377" s="249">
        <f t="shared" ref="U377" si="2161">(T377/100)*1000</f>
        <v>0</v>
      </c>
      <c r="V377" s="74"/>
      <c r="W377" s="249">
        <f t="shared" ref="W377" si="2162">(V377/100)*1000</f>
        <v>0</v>
      </c>
      <c r="X377" s="74"/>
      <c r="Y377" s="249">
        <f t="shared" ref="Y377" si="2163">(X377/100)*1000</f>
        <v>0</v>
      </c>
      <c r="Z377" s="74"/>
      <c r="AA377" s="249">
        <f t="shared" ref="AA377" si="2164">(Z377/100)*1000</f>
        <v>0</v>
      </c>
      <c r="AB377" s="74"/>
      <c r="AC377" s="249">
        <f t="shared" ref="AC377" si="2165">(AB377/100)*1000</f>
        <v>0</v>
      </c>
      <c r="AD377" s="74"/>
      <c r="AE377" s="249">
        <f t="shared" ref="AE377" si="2166">(AD377/100)*1000</f>
        <v>0</v>
      </c>
    </row>
    <row r="378" spans="1:31" ht="19.149999999999999" customHeight="1" outlineLevel="1">
      <c r="A378" s="374" t="str">
        <f t="shared" si="1918"/>
        <v>PREMIX 1102 (20KG)</v>
      </c>
      <c r="B378" s="74"/>
      <c r="C378" s="249">
        <f t="shared" si="1919"/>
        <v>0</v>
      </c>
      <c r="D378" s="74"/>
      <c r="E378" s="249">
        <f t="shared" si="1919"/>
        <v>0</v>
      </c>
      <c r="F378" s="74"/>
      <c r="G378" s="249">
        <f t="shared" ref="G378" si="2167">(F378/100)*1000</f>
        <v>0</v>
      </c>
      <c r="H378" s="74"/>
      <c r="I378" s="249">
        <f t="shared" ref="I378" si="2168">(H378/100)*1000</f>
        <v>0</v>
      </c>
      <c r="J378" s="74"/>
      <c r="K378" s="249">
        <f t="shared" ref="K378" si="2169">(J378/100)*1000</f>
        <v>0</v>
      </c>
      <c r="L378" s="74"/>
      <c r="M378" s="249">
        <f t="shared" ref="M378" si="2170">(L378/100)*1000</f>
        <v>0</v>
      </c>
      <c r="N378" s="74"/>
      <c r="O378" s="249">
        <f t="shared" ref="O378" si="2171">(N378/100)*1000</f>
        <v>0</v>
      </c>
      <c r="P378" s="74"/>
      <c r="Q378" s="249">
        <f t="shared" ref="Q378" si="2172">(P378/100)*1000</f>
        <v>0</v>
      </c>
      <c r="R378" s="74"/>
      <c r="S378" s="249">
        <f t="shared" ref="S378" si="2173">(R378/100)*1000</f>
        <v>0</v>
      </c>
      <c r="T378" s="74"/>
      <c r="U378" s="249">
        <f t="shared" ref="U378" si="2174">(T378/100)*1000</f>
        <v>0</v>
      </c>
      <c r="V378" s="74"/>
      <c r="W378" s="249">
        <f t="shared" ref="W378" si="2175">(V378/100)*1000</f>
        <v>0</v>
      </c>
      <c r="X378" s="74"/>
      <c r="Y378" s="249">
        <f t="shared" ref="Y378" si="2176">(X378/100)*1000</f>
        <v>0</v>
      </c>
      <c r="Z378" s="74"/>
      <c r="AA378" s="249">
        <f t="shared" ref="AA378" si="2177">(Z378/100)*1000</f>
        <v>0</v>
      </c>
      <c r="AB378" s="74"/>
      <c r="AC378" s="249">
        <f t="shared" ref="AC378" si="2178">(AB378/100)*1000</f>
        <v>0</v>
      </c>
      <c r="AD378" s="74"/>
      <c r="AE378" s="249">
        <f t="shared" ref="AE378" si="2179">(AD378/100)*1000</f>
        <v>0</v>
      </c>
    </row>
    <row r="379" spans="1:31" ht="19.149999999999999" customHeight="1" outlineLevel="1">
      <c r="A379" s="374" t="str">
        <f t="shared" si="1918"/>
        <v>PREMIX 1103 (20KG)</v>
      </c>
      <c r="B379" s="74"/>
      <c r="C379" s="249">
        <f t="shared" si="1919"/>
        <v>0</v>
      </c>
      <c r="D379" s="74"/>
      <c r="E379" s="249">
        <f t="shared" si="1919"/>
        <v>0</v>
      </c>
      <c r="F379" s="74"/>
      <c r="G379" s="249">
        <f t="shared" ref="G379" si="2180">(F379/100)*1000</f>
        <v>0</v>
      </c>
      <c r="H379" s="74"/>
      <c r="I379" s="249">
        <f t="shared" ref="I379" si="2181">(H379/100)*1000</f>
        <v>0</v>
      </c>
      <c r="J379" s="74"/>
      <c r="K379" s="249">
        <f t="shared" ref="K379" si="2182">(J379/100)*1000</f>
        <v>0</v>
      </c>
      <c r="L379" s="74"/>
      <c r="M379" s="249">
        <f t="shared" ref="M379" si="2183">(L379/100)*1000</f>
        <v>0</v>
      </c>
      <c r="N379" s="74"/>
      <c r="O379" s="249">
        <f t="shared" ref="O379" si="2184">(N379/100)*1000</f>
        <v>0</v>
      </c>
      <c r="P379" s="74"/>
      <c r="Q379" s="249">
        <f t="shared" ref="Q379" si="2185">(P379/100)*1000</f>
        <v>0</v>
      </c>
      <c r="R379" s="74"/>
      <c r="S379" s="249">
        <f t="shared" ref="S379" si="2186">(R379/100)*1000</f>
        <v>0</v>
      </c>
      <c r="T379" s="74"/>
      <c r="U379" s="249">
        <f t="shared" ref="U379" si="2187">(T379/100)*1000</f>
        <v>0</v>
      </c>
      <c r="V379" s="74"/>
      <c r="W379" s="249">
        <f t="shared" ref="W379" si="2188">(V379/100)*1000</f>
        <v>0</v>
      </c>
      <c r="X379" s="74"/>
      <c r="Y379" s="249">
        <f t="shared" ref="Y379" si="2189">(X379/100)*1000</f>
        <v>0</v>
      </c>
      <c r="Z379" s="74"/>
      <c r="AA379" s="249">
        <f t="shared" ref="AA379" si="2190">(Z379/100)*1000</f>
        <v>0</v>
      </c>
      <c r="AB379" s="74"/>
      <c r="AC379" s="249">
        <f t="shared" ref="AC379" si="2191">(AB379/100)*1000</f>
        <v>0</v>
      </c>
      <c r="AD379" s="74"/>
      <c r="AE379" s="249">
        <f t="shared" ref="AE379" si="2192">(AD379/100)*1000</f>
        <v>0</v>
      </c>
    </row>
    <row r="380" spans="1:31" ht="19.149999999999999" customHeight="1" outlineLevel="1">
      <c r="A380" s="374" t="str">
        <f t="shared" si="1918"/>
        <v>PREMIX 311 (20KG)</v>
      </c>
      <c r="B380" s="74"/>
      <c r="C380" s="249">
        <f t="shared" si="1919"/>
        <v>0</v>
      </c>
      <c r="D380" s="74"/>
      <c r="E380" s="249">
        <f t="shared" si="1919"/>
        <v>0</v>
      </c>
      <c r="F380" s="74"/>
      <c r="G380" s="249">
        <f t="shared" ref="G380" si="2193">(F380/100)*1000</f>
        <v>0</v>
      </c>
      <c r="H380" s="74"/>
      <c r="I380" s="249">
        <f t="shared" ref="I380" si="2194">(H380/100)*1000</f>
        <v>0</v>
      </c>
      <c r="J380" s="74"/>
      <c r="K380" s="249">
        <f t="shared" ref="K380" si="2195">(J380/100)*1000</f>
        <v>0</v>
      </c>
      <c r="L380" s="74"/>
      <c r="M380" s="249">
        <f t="shared" ref="M380" si="2196">(L380/100)*1000</f>
        <v>0</v>
      </c>
      <c r="N380" s="74"/>
      <c r="O380" s="249">
        <f t="shared" ref="O380" si="2197">(N380/100)*1000</f>
        <v>0</v>
      </c>
      <c r="P380" s="74"/>
      <c r="Q380" s="249">
        <f t="shared" ref="Q380" si="2198">(P380/100)*1000</f>
        <v>0</v>
      </c>
      <c r="R380" s="74"/>
      <c r="S380" s="249">
        <f t="shared" ref="S380" si="2199">(R380/100)*1000</f>
        <v>0</v>
      </c>
      <c r="T380" s="74"/>
      <c r="U380" s="249">
        <f t="shared" ref="U380" si="2200">(T380/100)*1000</f>
        <v>0</v>
      </c>
      <c r="V380" s="74"/>
      <c r="W380" s="249">
        <f t="shared" ref="W380" si="2201">(V380/100)*1000</f>
        <v>0</v>
      </c>
      <c r="X380" s="74"/>
      <c r="Y380" s="249">
        <f t="shared" ref="Y380" si="2202">(X380/100)*1000</f>
        <v>0</v>
      </c>
      <c r="Z380" s="74"/>
      <c r="AA380" s="249">
        <f t="shared" ref="AA380" si="2203">(Z380/100)*1000</f>
        <v>0</v>
      </c>
      <c r="AB380" s="74"/>
      <c r="AC380" s="249">
        <f t="shared" ref="AC380" si="2204">(AB380/100)*1000</f>
        <v>0</v>
      </c>
      <c r="AD380" s="74"/>
      <c r="AE380" s="249">
        <f t="shared" ref="AE380" si="2205">(AD380/100)*1000</f>
        <v>0</v>
      </c>
    </row>
    <row r="381" spans="1:31" ht="19.149999999999999" customHeight="1" outlineLevel="1">
      <c r="A381" s="374" t="str">
        <f t="shared" si="1918"/>
        <v>PREMIX 312 (20KG)</v>
      </c>
      <c r="B381" s="74"/>
      <c r="C381" s="249">
        <f t="shared" si="1919"/>
        <v>0</v>
      </c>
      <c r="D381" s="74"/>
      <c r="E381" s="249">
        <f t="shared" si="1919"/>
        <v>0</v>
      </c>
      <c r="F381" s="74"/>
      <c r="G381" s="249">
        <f t="shared" ref="G381" si="2206">(F381/100)*1000</f>
        <v>0</v>
      </c>
      <c r="H381" s="74"/>
      <c r="I381" s="249">
        <f t="shared" ref="I381" si="2207">(H381/100)*1000</f>
        <v>0</v>
      </c>
      <c r="J381" s="74"/>
      <c r="K381" s="249">
        <f t="shared" ref="K381" si="2208">(J381/100)*1000</f>
        <v>0</v>
      </c>
      <c r="L381" s="74"/>
      <c r="M381" s="249">
        <f t="shared" ref="M381" si="2209">(L381/100)*1000</f>
        <v>0</v>
      </c>
      <c r="N381" s="74"/>
      <c r="O381" s="249">
        <f t="shared" ref="O381" si="2210">(N381/100)*1000</f>
        <v>0</v>
      </c>
      <c r="P381" s="74"/>
      <c r="Q381" s="249">
        <f t="shared" ref="Q381" si="2211">(P381/100)*1000</f>
        <v>0</v>
      </c>
      <c r="R381" s="74"/>
      <c r="S381" s="249">
        <f t="shared" ref="S381" si="2212">(R381/100)*1000</f>
        <v>0</v>
      </c>
      <c r="T381" s="74"/>
      <c r="U381" s="249">
        <f t="shared" ref="U381" si="2213">(T381/100)*1000</f>
        <v>0</v>
      </c>
      <c r="V381" s="74"/>
      <c r="W381" s="249">
        <f t="shared" ref="W381" si="2214">(V381/100)*1000</f>
        <v>0</v>
      </c>
      <c r="X381" s="74"/>
      <c r="Y381" s="249">
        <f t="shared" ref="Y381" si="2215">(X381/100)*1000</f>
        <v>0</v>
      </c>
      <c r="Z381" s="74"/>
      <c r="AA381" s="249">
        <f t="shared" ref="AA381" si="2216">(Z381/100)*1000</f>
        <v>0</v>
      </c>
      <c r="AB381" s="74"/>
      <c r="AC381" s="249">
        <f t="shared" ref="AC381" si="2217">(AB381/100)*1000</f>
        <v>0</v>
      </c>
      <c r="AD381" s="74"/>
      <c r="AE381" s="249">
        <f t="shared" ref="AE381" si="2218">(AD381/100)*1000</f>
        <v>0</v>
      </c>
    </row>
    <row r="382" spans="1:31" ht="19.149999999999999" customHeight="1" outlineLevel="1">
      <c r="A382" s="374">
        <f t="shared" si="1918"/>
        <v>1</v>
      </c>
      <c r="B382" s="74"/>
      <c r="C382" s="249">
        <f t="shared" si="1919"/>
        <v>0</v>
      </c>
      <c r="D382" s="74"/>
      <c r="E382" s="249">
        <f t="shared" si="1919"/>
        <v>0</v>
      </c>
      <c r="F382" s="74"/>
      <c r="G382" s="249">
        <f t="shared" ref="G382" si="2219">(F382/100)*1000</f>
        <v>0</v>
      </c>
      <c r="H382" s="74"/>
      <c r="I382" s="249">
        <f t="shared" ref="I382" si="2220">(H382/100)*1000</f>
        <v>0</v>
      </c>
      <c r="J382" s="74"/>
      <c r="K382" s="249">
        <f t="shared" ref="K382" si="2221">(J382/100)*1000</f>
        <v>0</v>
      </c>
      <c r="L382" s="74"/>
      <c r="M382" s="249">
        <f t="shared" ref="M382" si="2222">(L382/100)*1000</f>
        <v>0</v>
      </c>
      <c r="N382" s="74"/>
      <c r="O382" s="249">
        <f t="shared" ref="O382" si="2223">(N382/100)*1000</f>
        <v>0</v>
      </c>
      <c r="P382" s="74"/>
      <c r="Q382" s="249">
        <f t="shared" ref="Q382" si="2224">(P382/100)*1000</f>
        <v>0</v>
      </c>
      <c r="R382" s="74"/>
      <c r="S382" s="249">
        <f t="shared" ref="S382" si="2225">(R382/100)*1000</f>
        <v>0</v>
      </c>
      <c r="T382" s="74"/>
      <c r="U382" s="249">
        <f t="shared" ref="U382" si="2226">(T382/100)*1000</f>
        <v>0</v>
      </c>
      <c r="V382" s="74"/>
      <c r="W382" s="249">
        <f t="shared" ref="W382" si="2227">(V382/100)*1000</f>
        <v>0</v>
      </c>
      <c r="X382" s="74"/>
      <c r="Y382" s="249">
        <f t="shared" ref="Y382" si="2228">(X382/100)*1000</f>
        <v>0</v>
      </c>
      <c r="Z382" s="74"/>
      <c r="AA382" s="249">
        <f t="shared" ref="AA382" si="2229">(Z382/100)*1000</f>
        <v>0</v>
      </c>
      <c r="AB382" s="74"/>
      <c r="AC382" s="249">
        <f t="shared" ref="AC382" si="2230">(AB382/100)*1000</f>
        <v>0</v>
      </c>
      <c r="AD382" s="74"/>
      <c r="AE382" s="249">
        <f t="shared" ref="AE382" si="2231">(AD382/100)*1000</f>
        <v>0</v>
      </c>
    </row>
    <row r="383" spans="1:31" ht="19.149999999999999" customHeight="1" outlineLevel="1">
      <c r="A383" s="374" t="str">
        <f t="shared" si="1918"/>
        <v>PREMIX 8100 (20KG)</v>
      </c>
      <c r="B383" s="74">
        <v>2</v>
      </c>
      <c r="C383" s="249">
        <f t="shared" si="1919"/>
        <v>20</v>
      </c>
      <c r="D383" s="74">
        <v>2</v>
      </c>
      <c r="E383" s="249">
        <f t="shared" si="1919"/>
        <v>20</v>
      </c>
      <c r="F383" s="74"/>
      <c r="G383" s="249">
        <f t="shared" ref="G383" si="2232">(F383/100)*1000</f>
        <v>0</v>
      </c>
      <c r="H383" s="74"/>
      <c r="I383" s="249">
        <f t="shared" ref="I383" si="2233">(H383/100)*1000</f>
        <v>0</v>
      </c>
      <c r="J383" s="74"/>
      <c r="K383" s="249">
        <f t="shared" ref="K383" si="2234">(J383/100)*1000</f>
        <v>0</v>
      </c>
      <c r="L383" s="74"/>
      <c r="M383" s="249">
        <f t="shared" ref="M383" si="2235">(L383/100)*1000</f>
        <v>0</v>
      </c>
      <c r="N383" s="74"/>
      <c r="O383" s="249">
        <f t="shared" ref="O383" si="2236">(N383/100)*1000</f>
        <v>0</v>
      </c>
      <c r="P383" s="74"/>
      <c r="Q383" s="249">
        <f t="shared" ref="Q383" si="2237">(P383/100)*1000</f>
        <v>0</v>
      </c>
      <c r="R383" s="74"/>
      <c r="S383" s="249">
        <f t="shared" ref="S383" si="2238">(R383/100)*1000</f>
        <v>0</v>
      </c>
      <c r="T383" s="74"/>
      <c r="U383" s="249">
        <f t="shared" ref="U383" si="2239">(T383/100)*1000</f>
        <v>0</v>
      </c>
      <c r="V383" s="74"/>
      <c r="W383" s="249">
        <f t="shared" ref="W383" si="2240">(V383/100)*1000</f>
        <v>0</v>
      </c>
      <c r="X383" s="74"/>
      <c r="Y383" s="249">
        <f t="shared" ref="Y383" si="2241">(X383/100)*1000</f>
        <v>0</v>
      </c>
      <c r="Z383" s="74"/>
      <c r="AA383" s="249">
        <f t="shared" ref="AA383" si="2242">(Z383/100)*1000</f>
        <v>0</v>
      </c>
      <c r="AB383" s="74"/>
      <c r="AC383" s="249">
        <f t="shared" ref="AC383" si="2243">(AB383/100)*1000</f>
        <v>0</v>
      </c>
      <c r="AD383" s="74"/>
      <c r="AE383" s="249">
        <f t="shared" ref="AE383" si="2244">(AD383/100)*1000</f>
        <v>0</v>
      </c>
    </row>
    <row r="384" spans="1:31" ht="19.149999999999999" customHeight="1" outlineLevel="1">
      <c r="A384" s="374" t="str">
        <f t="shared" si="1918"/>
        <v>PREMIX 8101 (20KG)</v>
      </c>
      <c r="B384" s="74"/>
      <c r="C384" s="249">
        <f t="shared" si="1919"/>
        <v>0</v>
      </c>
      <c r="D384" s="74"/>
      <c r="E384" s="249">
        <f t="shared" si="1919"/>
        <v>0</v>
      </c>
      <c r="F384" s="74"/>
      <c r="G384" s="249">
        <f t="shared" ref="G384" si="2245">(F384/100)*1000</f>
        <v>0</v>
      </c>
      <c r="H384" s="74"/>
      <c r="I384" s="249">
        <f t="shared" ref="I384" si="2246">(H384/100)*1000</f>
        <v>0</v>
      </c>
      <c r="J384" s="74"/>
      <c r="K384" s="249">
        <f t="shared" ref="K384" si="2247">(J384/100)*1000</f>
        <v>0</v>
      </c>
      <c r="L384" s="74"/>
      <c r="M384" s="249">
        <f t="shared" ref="M384" si="2248">(L384/100)*1000</f>
        <v>0</v>
      </c>
      <c r="N384" s="74"/>
      <c r="O384" s="249">
        <f t="shared" ref="O384" si="2249">(N384/100)*1000</f>
        <v>0</v>
      </c>
      <c r="P384" s="74"/>
      <c r="Q384" s="249">
        <f t="shared" ref="Q384" si="2250">(P384/100)*1000</f>
        <v>0</v>
      </c>
      <c r="R384" s="74"/>
      <c r="S384" s="249">
        <f t="shared" ref="S384" si="2251">(R384/100)*1000</f>
        <v>0</v>
      </c>
      <c r="T384" s="74"/>
      <c r="U384" s="249">
        <f t="shared" ref="U384" si="2252">(T384/100)*1000</f>
        <v>0</v>
      </c>
      <c r="V384" s="74"/>
      <c r="W384" s="249">
        <f t="shared" ref="W384" si="2253">(V384/100)*1000</f>
        <v>0</v>
      </c>
      <c r="X384" s="74"/>
      <c r="Y384" s="249">
        <f t="shared" ref="Y384" si="2254">(X384/100)*1000</f>
        <v>0</v>
      </c>
      <c r="Z384" s="74"/>
      <c r="AA384" s="249">
        <f t="shared" ref="AA384" si="2255">(Z384/100)*1000</f>
        <v>0</v>
      </c>
      <c r="AB384" s="74"/>
      <c r="AC384" s="249">
        <f t="shared" ref="AC384" si="2256">(AB384/100)*1000</f>
        <v>0</v>
      </c>
      <c r="AD384" s="74"/>
      <c r="AE384" s="249">
        <f t="shared" ref="AE384" si="2257">(AD384/100)*1000</f>
        <v>0</v>
      </c>
    </row>
    <row r="385" spans="1:31" ht="19.149999999999999" customHeight="1" outlineLevel="1">
      <c r="A385" s="374" t="str">
        <f t="shared" si="1918"/>
        <v>PREMIX 8102 (20KG)</v>
      </c>
      <c r="B385" s="74"/>
      <c r="C385" s="249">
        <f t="shared" si="1919"/>
        <v>0</v>
      </c>
      <c r="D385" s="74"/>
      <c r="E385" s="249">
        <f t="shared" si="1919"/>
        <v>0</v>
      </c>
      <c r="F385" s="74"/>
      <c r="G385" s="249">
        <f t="shared" ref="G385" si="2258">(F385/100)*1000</f>
        <v>0</v>
      </c>
      <c r="H385" s="74">
        <v>2</v>
      </c>
      <c r="I385" s="249">
        <f t="shared" ref="I385" si="2259">(H385/100)*1000</f>
        <v>20</v>
      </c>
      <c r="J385" s="74">
        <v>2</v>
      </c>
      <c r="K385" s="249">
        <f t="shared" ref="K385" si="2260">(J385/100)*1000</f>
        <v>20</v>
      </c>
      <c r="L385" s="74"/>
      <c r="M385" s="249">
        <f t="shared" ref="M385" si="2261">(L385/100)*1000</f>
        <v>0</v>
      </c>
      <c r="N385" s="74">
        <v>2</v>
      </c>
      <c r="O385" s="249">
        <f t="shared" ref="O385" si="2262">(N385/100)*1000</f>
        <v>20</v>
      </c>
      <c r="P385" s="74">
        <v>2</v>
      </c>
      <c r="Q385" s="249">
        <f t="shared" ref="Q385" si="2263">(P385/100)*1000</f>
        <v>20</v>
      </c>
      <c r="R385" s="74"/>
      <c r="S385" s="249">
        <f t="shared" ref="S385" si="2264">(R385/100)*1000</f>
        <v>0</v>
      </c>
      <c r="T385" s="74"/>
      <c r="U385" s="249">
        <f t="shared" ref="U385" si="2265">(T385/100)*1000</f>
        <v>0</v>
      </c>
      <c r="V385" s="74"/>
      <c r="W385" s="249">
        <f t="shared" ref="W385" si="2266">(V385/100)*1000</f>
        <v>0</v>
      </c>
      <c r="X385" s="74"/>
      <c r="Y385" s="249">
        <f t="shared" ref="Y385" si="2267">(X385/100)*1000</f>
        <v>0</v>
      </c>
      <c r="Z385" s="74"/>
      <c r="AA385" s="249">
        <f t="shared" ref="AA385" si="2268">(Z385/100)*1000</f>
        <v>0</v>
      </c>
      <c r="AB385" s="74"/>
      <c r="AC385" s="249">
        <f t="shared" ref="AC385" si="2269">(AB385/100)*1000</f>
        <v>0</v>
      </c>
      <c r="AD385" s="74"/>
      <c r="AE385" s="249">
        <f t="shared" ref="AE385" si="2270">(AD385/100)*1000</f>
        <v>0</v>
      </c>
    </row>
    <row r="386" spans="1:31" ht="19.149999999999999" customHeight="1" outlineLevel="1">
      <c r="A386" s="374" t="str">
        <f t="shared" si="1918"/>
        <v>PREMIX 8103 (20KG)</v>
      </c>
      <c r="B386" s="74"/>
      <c r="C386" s="249">
        <f t="shared" si="1919"/>
        <v>0</v>
      </c>
      <c r="D386" s="74"/>
      <c r="E386" s="249">
        <f t="shared" si="1919"/>
        <v>0</v>
      </c>
      <c r="F386" s="74"/>
      <c r="G386" s="249">
        <f t="shared" ref="G386" si="2271">(F386/100)*1000</f>
        <v>0</v>
      </c>
      <c r="H386" s="74"/>
      <c r="I386" s="249">
        <f t="shared" ref="I386" si="2272">(H386/100)*1000</f>
        <v>0</v>
      </c>
      <c r="J386" s="74"/>
      <c r="K386" s="249">
        <f t="shared" ref="K386" si="2273">(J386/100)*1000</f>
        <v>0</v>
      </c>
      <c r="L386" s="74"/>
      <c r="M386" s="249">
        <f t="shared" ref="M386" si="2274">(L386/100)*1000</f>
        <v>0</v>
      </c>
      <c r="N386" s="74"/>
      <c r="O386" s="249">
        <f t="shared" ref="O386" si="2275">(N386/100)*1000</f>
        <v>0</v>
      </c>
      <c r="P386" s="74"/>
      <c r="Q386" s="249">
        <f t="shared" ref="Q386" si="2276">(P386/100)*1000</f>
        <v>0</v>
      </c>
      <c r="R386" s="74"/>
      <c r="S386" s="249">
        <f t="shared" ref="S386" si="2277">(R386/100)*1000</f>
        <v>0</v>
      </c>
      <c r="T386" s="74">
        <v>2</v>
      </c>
      <c r="U386" s="249">
        <f t="shared" ref="U386" si="2278">(T386/100)*1000</f>
        <v>20</v>
      </c>
      <c r="V386" s="74"/>
      <c r="W386" s="249">
        <f t="shared" ref="W386" si="2279">(V386/100)*1000</f>
        <v>0</v>
      </c>
      <c r="X386" s="74">
        <v>2</v>
      </c>
      <c r="Y386" s="249">
        <f t="shared" ref="Y386" si="2280">(X386/100)*1000</f>
        <v>20</v>
      </c>
      <c r="Z386" s="74">
        <v>2</v>
      </c>
      <c r="AA386" s="249">
        <f t="shared" ref="AA386" si="2281">(Z386/100)*1000</f>
        <v>20</v>
      </c>
      <c r="AB386" s="74"/>
      <c r="AC386" s="249">
        <f t="shared" ref="AC386" si="2282">(AB386/100)*1000</f>
        <v>0</v>
      </c>
      <c r="AD386" s="74"/>
      <c r="AE386" s="249">
        <f t="shared" ref="AE386" si="2283">(AD386/100)*1000</f>
        <v>0</v>
      </c>
    </row>
    <row r="387" spans="1:31" ht="19.149999999999999" customHeight="1" outlineLevel="1">
      <c r="A387" s="374" t="str">
        <f t="shared" si="1918"/>
        <v>PREMIX 8108 (20KG)</v>
      </c>
      <c r="B387" s="74"/>
      <c r="C387" s="249">
        <f t="shared" si="1919"/>
        <v>0</v>
      </c>
      <c r="D387" s="74"/>
      <c r="E387" s="249">
        <f t="shared" si="1919"/>
        <v>0</v>
      </c>
      <c r="F387" s="74"/>
      <c r="G387" s="249">
        <f t="shared" ref="G387" si="2284">(F387/100)*1000</f>
        <v>0</v>
      </c>
      <c r="H387" s="74"/>
      <c r="I387" s="249">
        <f t="shared" ref="I387" si="2285">(H387/100)*1000</f>
        <v>0</v>
      </c>
      <c r="J387" s="74"/>
      <c r="K387" s="249">
        <f t="shared" ref="K387" si="2286">(J387/100)*1000</f>
        <v>0</v>
      </c>
      <c r="L387" s="74">
        <v>2</v>
      </c>
      <c r="M387" s="249">
        <f t="shared" ref="M387" si="2287">(L387/100)*1000</f>
        <v>20</v>
      </c>
      <c r="N387" s="74"/>
      <c r="O387" s="249">
        <f t="shared" ref="O387" si="2288">(N387/100)*1000</f>
        <v>0</v>
      </c>
      <c r="P387" s="74"/>
      <c r="Q387" s="249">
        <f t="shared" ref="Q387" si="2289">(P387/100)*1000</f>
        <v>0</v>
      </c>
      <c r="R387" s="74">
        <v>2</v>
      </c>
      <c r="S387" s="249">
        <f t="shared" ref="S387" si="2290">(R387/100)*1000</f>
        <v>20</v>
      </c>
      <c r="T387" s="74"/>
      <c r="U387" s="249">
        <f t="shared" ref="U387" si="2291">(T387/100)*1000</f>
        <v>0</v>
      </c>
      <c r="V387" s="74"/>
      <c r="W387" s="249">
        <f t="shared" ref="W387" si="2292">(V387/100)*1000</f>
        <v>0</v>
      </c>
      <c r="X387" s="74"/>
      <c r="Y387" s="249">
        <f t="shared" ref="Y387" si="2293">(X387/100)*1000</f>
        <v>0</v>
      </c>
      <c r="Z387" s="74"/>
      <c r="AA387" s="249">
        <f t="shared" ref="AA387" si="2294">(Z387/100)*1000</f>
        <v>0</v>
      </c>
      <c r="AB387" s="74">
        <v>2</v>
      </c>
      <c r="AC387" s="249">
        <f t="shared" ref="AC387" si="2295">(AB387/100)*1000</f>
        <v>20</v>
      </c>
      <c r="AD387" s="74">
        <v>2</v>
      </c>
      <c r="AE387" s="249">
        <f t="shared" ref="AE387" si="2296">(AD387/100)*1000</f>
        <v>20</v>
      </c>
    </row>
    <row r="388" spans="1:31" ht="19.149999999999999" customHeight="1" outlineLevel="1">
      <c r="A388" s="374" t="str">
        <f t="shared" si="1918"/>
        <v>PREMIX 8109 (20KG)</v>
      </c>
      <c r="B388" s="74"/>
      <c r="C388" s="249">
        <f t="shared" si="1919"/>
        <v>0</v>
      </c>
      <c r="D388" s="74"/>
      <c r="E388" s="249">
        <f t="shared" si="1919"/>
        <v>0</v>
      </c>
      <c r="F388" s="74"/>
      <c r="G388" s="249">
        <f t="shared" ref="G388" si="2297">(F388/100)*1000</f>
        <v>0</v>
      </c>
      <c r="H388" s="74"/>
      <c r="I388" s="249">
        <f t="shared" ref="I388" si="2298">(H388/100)*1000</f>
        <v>0</v>
      </c>
      <c r="J388" s="74"/>
      <c r="K388" s="249">
        <f t="shared" ref="K388" si="2299">(J388/100)*1000</f>
        <v>0</v>
      </c>
      <c r="L388" s="74"/>
      <c r="M388" s="249">
        <f t="shared" ref="M388" si="2300">(L388/100)*1000</f>
        <v>0</v>
      </c>
      <c r="N388" s="74"/>
      <c r="O388" s="249">
        <f t="shared" ref="O388" si="2301">(N388/100)*1000</f>
        <v>0</v>
      </c>
      <c r="P388" s="74"/>
      <c r="Q388" s="249">
        <f t="shared" ref="Q388" si="2302">(P388/100)*1000</f>
        <v>0</v>
      </c>
      <c r="R388" s="74"/>
      <c r="S388" s="249">
        <f t="shared" ref="S388" si="2303">(R388/100)*1000</f>
        <v>0</v>
      </c>
      <c r="T388" s="74"/>
      <c r="U388" s="249">
        <f t="shared" ref="U388" si="2304">(T388/100)*1000</f>
        <v>0</v>
      </c>
      <c r="V388" s="74">
        <v>2</v>
      </c>
      <c r="W388" s="249">
        <f t="shared" ref="W388" si="2305">(V388/100)*1000</f>
        <v>20</v>
      </c>
      <c r="X388" s="74"/>
      <c r="Y388" s="249">
        <f t="shared" ref="Y388" si="2306">(X388/100)*1000</f>
        <v>0</v>
      </c>
      <c r="Z388" s="74"/>
      <c r="AA388" s="249">
        <f t="shared" ref="AA388" si="2307">(Z388/100)*1000</f>
        <v>0</v>
      </c>
      <c r="AB388" s="74"/>
      <c r="AC388" s="249">
        <f t="shared" ref="AC388" si="2308">(AB388/100)*1000</f>
        <v>0</v>
      </c>
      <c r="AD388" s="74"/>
      <c r="AE388" s="249">
        <f t="shared" ref="AE388" si="2309">(AD388/100)*1000</f>
        <v>0</v>
      </c>
    </row>
    <row r="389" spans="1:31" ht="19.149999999999999" customHeight="1" outlineLevel="1">
      <c r="A389" s="374" t="str">
        <f t="shared" si="1918"/>
        <v>YENMIX 121 (20KG)</v>
      </c>
      <c r="B389" s="74"/>
      <c r="C389" s="249">
        <f t="shared" si="1919"/>
        <v>0</v>
      </c>
      <c r="D389" s="74"/>
      <c r="E389" s="249">
        <f t="shared" si="1919"/>
        <v>0</v>
      </c>
      <c r="F389" s="74"/>
      <c r="G389" s="249">
        <f t="shared" ref="G389" si="2310">(F389/100)*1000</f>
        <v>0</v>
      </c>
      <c r="H389" s="74"/>
      <c r="I389" s="249">
        <f t="shared" ref="I389" si="2311">(H389/100)*1000</f>
        <v>0</v>
      </c>
      <c r="J389" s="74"/>
      <c r="K389" s="249">
        <f t="shared" ref="K389" si="2312">(J389/100)*1000</f>
        <v>0</v>
      </c>
      <c r="L389" s="74"/>
      <c r="M389" s="249">
        <f t="shared" ref="M389" si="2313">(L389/100)*1000</f>
        <v>0</v>
      </c>
      <c r="N389" s="74"/>
      <c r="O389" s="249">
        <f t="shared" ref="O389" si="2314">(N389/100)*1000</f>
        <v>0</v>
      </c>
      <c r="P389" s="74"/>
      <c r="Q389" s="249">
        <f t="shared" ref="Q389" si="2315">(P389/100)*1000</f>
        <v>0</v>
      </c>
      <c r="R389" s="74"/>
      <c r="S389" s="249">
        <f t="shared" ref="S389" si="2316">(R389/100)*1000</f>
        <v>0</v>
      </c>
      <c r="T389" s="74"/>
      <c r="U389" s="249">
        <f t="shared" ref="U389" si="2317">(T389/100)*1000</f>
        <v>0</v>
      </c>
      <c r="V389" s="74"/>
      <c r="W389" s="249">
        <f t="shared" ref="W389" si="2318">(V389/100)*1000</f>
        <v>0</v>
      </c>
      <c r="X389" s="74"/>
      <c r="Y389" s="249">
        <f t="shared" ref="Y389" si="2319">(X389/100)*1000</f>
        <v>0</v>
      </c>
      <c r="Z389" s="74"/>
      <c r="AA389" s="249">
        <f t="shared" ref="AA389" si="2320">(Z389/100)*1000</f>
        <v>0</v>
      </c>
      <c r="AB389" s="74"/>
      <c r="AC389" s="249">
        <f t="shared" ref="AC389" si="2321">(AB389/100)*1000</f>
        <v>0</v>
      </c>
      <c r="AD389" s="74"/>
      <c r="AE389" s="249">
        <f t="shared" ref="AE389" si="2322">(AD389/100)*1000</f>
        <v>0</v>
      </c>
    </row>
    <row r="390" spans="1:31" ht="19.149999999999999" customHeight="1" outlineLevel="1">
      <c r="A390" s="374" t="str">
        <f t="shared" ref="A390:A408" si="2323">A38</f>
        <v>YENMIX 122 (19.50KG)</v>
      </c>
      <c r="B390" s="74"/>
      <c r="C390" s="249">
        <f t="shared" si="1919"/>
        <v>0</v>
      </c>
      <c r="D390" s="74"/>
      <c r="E390" s="249">
        <f t="shared" si="1919"/>
        <v>0</v>
      </c>
      <c r="F390" s="74"/>
      <c r="G390" s="249">
        <f t="shared" ref="G390" si="2324">(F390/100)*1000</f>
        <v>0</v>
      </c>
      <c r="H390" s="74"/>
      <c r="I390" s="249">
        <f t="shared" ref="I390" si="2325">(H390/100)*1000</f>
        <v>0</v>
      </c>
      <c r="J390" s="74"/>
      <c r="K390" s="249">
        <f t="shared" ref="K390" si="2326">(J390/100)*1000</f>
        <v>0</v>
      </c>
      <c r="L390" s="74"/>
      <c r="M390" s="249">
        <f t="shared" ref="M390" si="2327">(L390/100)*1000</f>
        <v>0</v>
      </c>
      <c r="N390" s="74"/>
      <c r="O390" s="249">
        <f t="shared" ref="O390" si="2328">(N390/100)*1000</f>
        <v>0</v>
      </c>
      <c r="P390" s="74"/>
      <c r="Q390" s="249">
        <f t="shared" ref="Q390" si="2329">(P390/100)*1000</f>
        <v>0</v>
      </c>
      <c r="R390" s="74"/>
      <c r="S390" s="249">
        <f t="shared" ref="S390" si="2330">(R390/100)*1000</f>
        <v>0</v>
      </c>
      <c r="T390" s="74"/>
      <c r="U390" s="249">
        <f t="shared" ref="U390" si="2331">(T390/100)*1000</f>
        <v>0</v>
      </c>
      <c r="V390" s="74"/>
      <c r="W390" s="249">
        <f t="shared" ref="W390" si="2332">(V390/100)*1000</f>
        <v>0</v>
      </c>
      <c r="X390" s="74"/>
      <c r="Y390" s="249">
        <f t="shared" ref="Y390" si="2333">(X390/100)*1000</f>
        <v>0</v>
      </c>
      <c r="Z390" s="74"/>
      <c r="AA390" s="249">
        <f t="shared" ref="AA390" si="2334">(Z390/100)*1000</f>
        <v>0</v>
      </c>
      <c r="AB390" s="74"/>
      <c r="AC390" s="249">
        <f t="shared" ref="AC390" si="2335">(AB390/100)*1000</f>
        <v>0</v>
      </c>
      <c r="AD390" s="74"/>
      <c r="AE390" s="249">
        <f t="shared" ref="AE390" si="2336">(AD390/100)*1000</f>
        <v>0</v>
      </c>
    </row>
    <row r="391" spans="1:31" ht="19.149999999999999" customHeight="1" outlineLevel="1">
      <c r="A391" s="374" t="str">
        <f t="shared" si="2323"/>
        <v>YENMIX 123 (18.90KG)</v>
      </c>
      <c r="B391" s="74"/>
      <c r="C391" s="249">
        <f t="shared" si="1919"/>
        <v>0</v>
      </c>
      <c r="D391" s="74"/>
      <c r="E391" s="249">
        <f t="shared" si="1919"/>
        <v>0</v>
      </c>
      <c r="F391" s="74"/>
      <c r="G391" s="249">
        <f t="shared" ref="G391" si="2337">(F391/100)*1000</f>
        <v>0</v>
      </c>
      <c r="H391" s="74"/>
      <c r="I391" s="249">
        <f t="shared" ref="I391" si="2338">(H391/100)*1000</f>
        <v>0</v>
      </c>
      <c r="J391" s="74"/>
      <c r="K391" s="249">
        <f t="shared" ref="K391" si="2339">(J391/100)*1000</f>
        <v>0</v>
      </c>
      <c r="L391" s="74"/>
      <c r="M391" s="249">
        <f t="shared" ref="M391" si="2340">(L391/100)*1000</f>
        <v>0</v>
      </c>
      <c r="N391" s="74"/>
      <c r="O391" s="249">
        <f t="shared" ref="O391" si="2341">(N391/100)*1000</f>
        <v>0</v>
      </c>
      <c r="P391" s="74"/>
      <c r="Q391" s="249">
        <f t="shared" ref="Q391" si="2342">(P391/100)*1000</f>
        <v>0</v>
      </c>
      <c r="R391" s="74"/>
      <c r="S391" s="249">
        <f t="shared" ref="S391" si="2343">(R391/100)*1000</f>
        <v>0</v>
      </c>
      <c r="T391" s="74"/>
      <c r="U391" s="249">
        <f t="shared" ref="U391" si="2344">(T391/100)*1000</f>
        <v>0</v>
      </c>
      <c r="V391" s="74"/>
      <c r="W391" s="249">
        <f t="shared" ref="W391" si="2345">(V391/100)*1000</f>
        <v>0</v>
      </c>
      <c r="X391" s="74"/>
      <c r="Y391" s="249">
        <f t="shared" ref="Y391" si="2346">(X391/100)*1000</f>
        <v>0</v>
      </c>
      <c r="Z391" s="74"/>
      <c r="AA391" s="249">
        <f t="shared" ref="AA391" si="2347">(Z391/100)*1000</f>
        <v>0</v>
      </c>
      <c r="AB391" s="74"/>
      <c r="AC391" s="249">
        <f t="shared" ref="AC391" si="2348">(AB391/100)*1000</f>
        <v>0</v>
      </c>
      <c r="AD391" s="74"/>
      <c r="AE391" s="249">
        <f t="shared" ref="AE391" si="2349">(AD391/100)*1000</f>
        <v>0</v>
      </c>
    </row>
    <row r="392" spans="1:31" ht="19.149999999999999" customHeight="1" outlineLevel="1">
      <c r="A392" s="374" t="str">
        <f t="shared" si="2323"/>
        <v>YENMIX 122 (20.50KG)</v>
      </c>
      <c r="B392" s="74"/>
      <c r="C392" s="249">
        <f t="shared" si="1919"/>
        <v>0</v>
      </c>
      <c r="D392" s="74"/>
      <c r="E392" s="249">
        <f t="shared" si="1919"/>
        <v>0</v>
      </c>
      <c r="F392" s="74"/>
      <c r="G392" s="249">
        <f t="shared" ref="G392" si="2350">(F392/100)*1000</f>
        <v>0</v>
      </c>
      <c r="H392" s="74"/>
      <c r="I392" s="249">
        <f t="shared" ref="I392" si="2351">(H392/100)*1000</f>
        <v>0</v>
      </c>
      <c r="J392" s="74"/>
      <c r="K392" s="249">
        <f t="shared" ref="K392" si="2352">(J392/100)*1000</f>
        <v>0</v>
      </c>
      <c r="L392" s="74"/>
      <c r="M392" s="249">
        <f t="shared" ref="M392" si="2353">(L392/100)*1000</f>
        <v>0</v>
      </c>
      <c r="N392" s="74"/>
      <c r="O392" s="249">
        <f t="shared" ref="O392" si="2354">(N392/100)*1000</f>
        <v>0</v>
      </c>
      <c r="P392" s="74"/>
      <c r="Q392" s="249">
        <f t="shared" ref="Q392" si="2355">(P392/100)*1000</f>
        <v>0</v>
      </c>
      <c r="R392" s="74"/>
      <c r="S392" s="249">
        <f t="shared" ref="S392" si="2356">(R392/100)*1000</f>
        <v>0</v>
      </c>
      <c r="T392" s="74"/>
      <c r="U392" s="249">
        <f t="shared" ref="U392" si="2357">(T392/100)*1000</f>
        <v>0</v>
      </c>
      <c r="V392" s="74"/>
      <c r="W392" s="249">
        <f t="shared" ref="W392" si="2358">(V392/100)*1000</f>
        <v>0</v>
      </c>
      <c r="X392" s="74"/>
      <c r="Y392" s="249">
        <f t="shared" ref="Y392" si="2359">(X392/100)*1000</f>
        <v>0</v>
      </c>
      <c r="Z392" s="74"/>
      <c r="AA392" s="249">
        <f t="shared" ref="AA392" si="2360">(Z392/100)*1000</f>
        <v>0</v>
      </c>
      <c r="AB392" s="74"/>
      <c r="AC392" s="249">
        <f t="shared" ref="AC392" si="2361">(AB392/100)*1000</f>
        <v>0</v>
      </c>
      <c r="AD392" s="74"/>
      <c r="AE392" s="249">
        <f t="shared" ref="AE392" si="2362">(AD392/100)*1000</f>
        <v>0</v>
      </c>
    </row>
    <row r="393" spans="1:31" ht="19.149999999999999" customHeight="1" outlineLevel="1">
      <c r="A393" s="374" t="str">
        <f t="shared" si="2323"/>
        <v>YENMIX 123 (20.00KG)</v>
      </c>
      <c r="B393" s="74"/>
      <c r="C393" s="249">
        <f t="shared" si="1919"/>
        <v>0</v>
      </c>
      <c r="D393" s="74"/>
      <c r="E393" s="249">
        <f t="shared" si="1919"/>
        <v>0</v>
      </c>
      <c r="F393" s="74"/>
      <c r="G393" s="249">
        <f t="shared" si="1919"/>
        <v>0</v>
      </c>
      <c r="H393" s="74"/>
      <c r="I393" s="249">
        <f t="shared" si="1919"/>
        <v>0</v>
      </c>
      <c r="J393" s="74"/>
      <c r="K393" s="249">
        <f t="shared" si="1919"/>
        <v>0</v>
      </c>
      <c r="L393" s="74"/>
      <c r="M393" s="249">
        <f t="shared" si="1919"/>
        <v>0</v>
      </c>
      <c r="N393" s="74"/>
      <c r="O393" s="249">
        <f t="shared" si="1919"/>
        <v>0</v>
      </c>
      <c r="P393" s="74"/>
      <c r="Q393" s="249">
        <f t="shared" si="1919"/>
        <v>0</v>
      </c>
      <c r="R393" s="74"/>
      <c r="S393" s="249">
        <f t="shared" si="1919"/>
        <v>0</v>
      </c>
      <c r="T393" s="74"/>
      <c r="U393" s="249">
        <f t="shared" si="1919"/>
        <v>0</v>
      </c>
      <c r="V393" s="74"/>
      <c r="W393" s="249">
        <f t="shared" si="1919"/>
        <v>0</v>
      </c>
      <c r="X393" s="74"/>
      <c r="Y393" s="249">
        <f t="shared" si="1919"/>
        <v>0</v>
      </c>
      <c r="Z393" s="74"/>
      <c r="AA393" s="249">
        <f t="shared" si="1919"/>
        <v>0</v>
      </c>
      <c r="AB393" s="74"/>
      <c r="AC393" s="249">
        <f t="shared" si="1919"/>
        <v>0</v>
      </c>
      <c r="AD393" s="74"/>
      <c r="AE393" s="249">
        <f t="shared" si="1919"/>
        <v>0</v>
      </c>
    </row>
    <row r="394" spans="1:31" ht="19.149999999999999" customHeight="1" outlineLevel="1">
      <c r="A394" s="374">
        <f t="shared" si="2323"/>
        <v>1</v>
      </c>
      <c r="B394" s="74"/>
      <c r="C394" s="249">
        <f t="shared" si="1919"/>
        <v>0</v>
      </c>
      <c r="D394" s="74"/>
      <c r="E394" s="249">
        <f t="shared" si="1919"/>
        <v>0</v>
      </c>
      <c r="F394" s="74"/>
      <c r="G394" s="249">
        <f t="shared" si="1919"/>
        <v>0</v>
      </c>
      <c r="H394" s="74"/>
      <c r="I394" s="249">
        <f t="shared" si="1919"/>
        <v>0</v>
      </c>
      <c r="J394" s="74"/>
      <c r="K394" s="249">
        <f t="shared" si="1919"/>
        <v>0</v>
      </c>
      <c r="L394" s="74"/>
      <c r="M394" s="249">
        <f t="shared" si="1919"/>
        <v>0</v>
      </c>
      <c r="N394" s="74"/>
      <c r="O394" s="249">
        <f t="shared" si="1919"/>
        <v>0</v>
      </c>
      <c r="P394" s="74"/>
      <c r="Q394" s="249">
        <f t="shared" si="1919"/>
        <v>0</v>
      </c>
      <c r="R394" s="74"/>
      <c r="S394" s="249">
        <f t="shared" si="1919"/>
        <v>0</v>
      </c>
      <c r="T394" s="74"/>
      <c r="U394" s="249">
        <f t="shared" si="1919"/>
        <v>0</v>
      </c>
      <c r="V394" s="74"/>
      <c r="W394" s="249">
        <f t="shared" si="1919"/>
        <v>0</v>
      </c>
      <c r="X394" s="74"/>
      <c r="Y394" s="249">
        <f t="shared" si="1919"/>
        <v>0</v>
      </c>
      <c r="Z394" s="74"/>
      <c r="AA394" s="249">
        <f t="shared" si="1919"/>
        <v>0</v>
      </c>
      <c r="AB394" s="74"/>
      <c r="AC394" s="249">
        <f t="shared" si="1919"/>
        <v>0</v>
      </c>
      <c r="AD394" s="74"/>
      <c r="AE394" s="249">
        <f t="shared" si="1919"/>
        <v>0</v>
      </c>
    </row>
    <row r="395" spans="1:31" ht="19.149999999999999" customHeight="1" outlineLevel="1">
      <c r="A395" s="374">
        <f t="shared" si="2323"/>
        <v>2</v>
      </c>
      <c r="B395" s="74"/>
      <c r="C395" s="249">
        <f t="shared" si="1919"/>
        <v>0</v>
      </c>
      <c r="D395" s="74"/>
      <c r="E395" s="249">
        <f t="shared" si="1919"/>
        <v>0</v>
      </c>
      <c r="F395" s="74"/>
      <c r="G395" s="249">
        <f t="shared" si="1919"/>
        <v>0</v>
      </c>
      <c r="H395" s="74"/>
      <c r="I395" s="249">
        <f t="shared" si="1919"/>
        <v>0</v>
      </c>
      <c r="J395" s="74"/>
      <c r="K395" s="249">
        <f t="shared" si="1919"/>
        <v>0</v>
      </c>
      <c r="L395" s="74"/>
      <c r="M395" s="249">
        <f t="shared" si="1919"/>
        <v>0</v>
      </c>
      <c r="N395" s="74"/>
      <c r="O395" s="249">
        <f t="shared" si="1919"/>
        <v>0</v>
      </c>
      <c r="P395" s="74"/>
      <c r="Q395" s="249">
        <f t="shared" si="1919"/>
        <v>0</v>
      </c>
      <c r="R395" s="74"/>
      <c r="S395" s="249">
        <f t="shared" si="1919"/>
        <v>0</v>
      </c>
      <c r="T395" s="74"/>
      <c r="U395" s="249">
        <f t="shared" si="1919"/>
        <v>0</v>
      </c>
      <c r="V395" s="74"/>
      <c r="W395" s="249">
        <f t="shared" si="1919"/>
        <v>0</v>
      </c>
      <c r="X395" s="74"/>
      <c r="Y395" s="249">
        <f t="shared" si="1919"/>
        <v>0</v>
      </c>
      <c r="Z395" s="74"/>
      <c r="AA395" s="249">
        <f t="shared" si="1919"/>
        <v>0</v>
      </c>
      <c r="AB395" s="74"/>
      <c r="AC395" s="249">
        <f t="shared" si="1919"/>
        <v>0</v>
      </c>
      <c r="AD395" s="74"/>
      <c r="AE395" s="249">
        <f t="shared" si="1919"/>
        <v>0</v>
      </c>
    </row>
    <row r="396" spans="1:31" ht="19.149999999999999" customHeight="1" outlineLevel="1">
      <c r="A396" s="374">
        <f t="shared" si="2323"/>
        <v>3</v>
      </c>
      <c r="B396" s="74"/>
      <c r="C396" s="249">
        <f t="shared" si="1919"/>
        <v>0</v>
      </c>
      <c r="D396" s="74"/>
      <c r="E396" s="249">
        <f t="shared" si="1919"/>
        <v>0</v>
      </c>
      <c r="F396" s="74"/>
      <c r="G396" s="249">
        <f t="shared" si="1919"/>
        <v>0</v>
      </c>
      <c r="H396" s="74"/>
      <c r="I396" s="249">
        <f t="shared" si="1919"/>
        <v>0</v>
      </c>
      <c r="J396" s="74"/>
      <c r="K396" s="249">
        <f t="shared" si="1919"/>
        <v>0</v>
      </c>
      <c r="L396" s="74"/>
      <c r="M396" s="249">
        <f t="shared" si="1919"/>
        <v>0</v>
      </c>
      <c r="N396" s="74"/>
      <c r="O396" s="249">
        <f t="shared" si="1919"/>
        <v>0</v>
      </c>
      <c r="P396" s="74"/>
      <c r="Q396" s="249">
        <f t="shared" si="1919"/>
        <v>0</v>
      </c>
      <c r="R396" s="74"/>
      <c r="S396" s="249">
        <f t="shared" si="1919"/>
        <v>0</v>
      </c>
      <c r="T396" s="74"/>
      <c r="U396" s="249">
        <f t="shared" si="1919"/>
        <v>0</v>
      </c>
      <c r="V396" s="74"/>
      <c r="W396" s="249">
        <f t="shared" si="1919"/>
        <v>0</v>
      </c>
      <c r="X396" s="74"/>
      <c r="Y396" s="249">
        <f t="shared" si="1919"/>
        <v>0</v>
      </c>
      <c r="Z396" s="74"/>
      <c r="AA396" s="249">
        <f t="shared" si="1919"/>
        <v>0</v>
      </c>
      <c r="AB396" s="74"/>
      <c r="AC396" s="249">
        <f t="shared" si="1919"/>
        <v>0</v>
      </c>
      <c r="AD396" s="74"/>
      <c r="AE396" s="249">
        <f t="shared" si="1919"/>
        <v>0</v>
      </c>
    </row>
    <row r="397" spans="1:31" ht="19.149999999999999" customHeight="1" outlineLevel="1">
      <c r="A397" s="374" t="str">
        <f t="shared" si="2323"/>
        <v>TOXISORB PREMIUM</v>
      </c>
      <c r="B397" s="74">
        <f>1/20</f>
        <v>0.05</v>
      </c>
      <c r="C397" s="249">
        <f t="shared" si="1919"/>
        <v>0.5</v>
      </c>
      <c r="D397" s="74">
        <f>1/20</f>
        <v>0.05</v>
      </c>
      <c r="E397" s="249">
        <f t="shared" si="1919"/>
        <v>0.5</v>
      </c>
      <c r="F397" s="74"/>
      <c r="G397" s="249">
        <f t="shared" si="1919"/>
        <v>0</v>
      </c>
      <c r="H397" s="74">
        <f>1/20</f>
        <v>0.05</v>
      </c>
      <c r="I397" s="249">
        <f t="shared" si="1919"/>
        <v>0.5</v>
      </c>
      <c r="J397" s="74">
        <f>1/20</f>
        <v>0.05</v>
      </c>
      <c r="K397" s="249">
        <f t="shared" si="1919"/>
        <v>0.5</v>
      </c>
      <c r="L397" s="74"/>
      <c r="M397" s="249">
        <f t="shared" si="1919"/>
        <v>0</v>
      </c>
      <c r="N397" s="74"/>
      <c r="O397" s="249">
        <f t="shared" si="1919"/>
        <v>0</v>
      </c>
      <c r="P397" s="74"/>
      <c r="Q397" s="249">
        <f t="shared" si="1919"/>
        <v>0</v>
      </c>
      <c r="R397" s="74"/>
      <c r="S397" s="249">
        <f t="shared" si="1919"/>
        <v>0</v>
      </c>
      <c r="T397" s="74"/>
      <c r="U397" s="249">
        <f t="shared" si="1919"/>
        <v>0</v>
      </c>
      <c r="V397" s="74"/>
      <c r="W397" s="249">
        <f t="shared" si="1919"/>
        <v>0</v>
      </c>
      <c r="X397" s="74"/>
      <c r="Y397" s="249">
        <f t="shared" si="1919"/>
        <v>0</v>
      </c>
      <c r="Z397" s="74"/>
      <c r="AA397" s="249">
        <f t="shared" si="1919"/>
        <v>0</v>
      </c>
      <c r="AB397" s="74"/>
      <c r="AC397" s="249">
        <f t="shared" si="1919"/>
        <v>0</v>
      </c>
      <c r="AD397" s="74"/>
      <c r="AE397" s="249">
        <f t="shared" si="1919"/>
        <v>0</v>
      </c>
    </row>
    <row r="398" spans="1:31" ht="19.149999999999999" customHeight="1" outlineLevel="1">
      <c r="A398" s="374" t="str">
        <f t="shared" si="2323"/>
        <v>SODIUM HUMATE 3.8% (HARUMI)</v>
      </c>
      <c r="B398" s="74">
        <f>6/20</f>
        <v>0.3</v>
      </c>
      <c r="C398" s="249">
        <f t="shared" si="1919"/>
        <v>3</v>
      </c>
      <c r="D398" s="74">
        <f>6/20</f>
        <v>0.3</v>
      </c>
      <c r="E398" s="249">
        <f t="shared" si="1919"/>
        <v>3</v>
      </c>
      <c r="F398" s="74"/>
      <c r="G398" s="249">
        <f t="shared" si="1919"/>
        <v>0</v>
      </c>
      <c r="H398" s="74">
        <f>6/20</f>
        <v>0.3</v>
      </c>
      <c r="I398" s="249">
        <f t="shared" si="1919"/>
        <v>3</v>
      </c>
      <c r="J398" s="74">
        <f>6/20</f>
        <v>0.3</v>
      </c>
      <c r="K398" s="249">
        <f t="shared" si="1919"/>
        <v>3</v>
      </c>
      <c r="L398" s="74">
        <f>6/20</f>
        <v>0.3</v>
      </c>
      <c r="M398" s="249">
        <f t="shared" si="1919"/>
        <v>3</v>
      </c>
      <c r="N398" s="74">
        <f>6/20</f>
        <v>0.3</v>
      </c>
      <c r="O398" s="249">
        <f t="shared" si="1919"/>
        <v>3</v>
      </c>
      <c r="P398" s="74">
        <f>6/20</f>
        <v>0.3</v>
      </c>
      <c r="Q398" s="249">
        <f t="shared" si="1919"/>
        <v>3</v>
      </c>
      <c r="R398" s="74">
        <f>6/20</f>
        <v>0.3</v>
      </c>
      <c r="S398" s="249">
        <f t="shared" si="1919"/>
        <v>3</v>
      </c>
      <c r="T398" s="74">
        <f>6/20</f>
        <v>0.3</v>
      </c>
      <c r="U398" s="249">
        <f t="shared" si="1919"/>
        <v>3</v>
      </c>
      <c r="V398" s="74">
        <f>6/20</f>
        <v>0.3</v>
      </c>
      <c r="W398" s="249">
        <f t="shared" si="1919"/>
        <v>3</v>
      </c>
      <c r="X398" s="74">
        <f>6/20</f>
        <v>0.3</v>
      </c>
      <c r="Y398" s="249">
        <f t="shared" si="1919"/>
        <v>3</v>
      </c>
      <c r="Z398" s="74">
        <f>6/20</f>
        <v>0.3</v>
      </c>
      <c r="AA398" s="249">
        <f t="shared" si="1919"/>
        <v>3</v>
      </c>
      <c r="AB398" s="74">
        <f>6/20</f>
        <v>0.3</v>
      </c>
      <c r="AC398" s="249">
        <f t="shared" si="1919"/>
        <v>3</v>
      </c>
      <c r="AD398" s="74">
        <f>6/20</f>
        <v>0.3</v>
      </c>
      <c r="AE398" s="249">
        <f t="shared" si="1919"/>
        <v>3</v>
      </c>
    </row>
    <row r="399" spans="1:31" ht="19.149999999999999" customHeight="1" outlineLevel="1">
      <c r="A399" s="374" t="str">
        <f t="shared" si="2323"/>
        <v>TOXIWALL</v>
      </c>
      <c r="B399" s="74"/>
      <c r="C399" s="249">
        <f t="shared" si="1919"/>
        <v>0</v>
      </c>
      <c r="D399" s="74"/>
      <c r="E399" s="249">
        <f t="shared" si="1919"/>
        <v>0</v>
      </c>
      <c r="F399" s="74"/>
      <c r="G399" s="249">
        <f t="shared" si="1919"/>
        <v>0</v>
      </c>
      <c r="H399" s="74"/>
      <c r="I399" s="249">
        <f t="shared" si="1919"/>
        <v>0</v>
      </c>
      <c r="J399" s="74"/>
      <c r="K399" s="249">
        <f t="shared" si="1919"/>
        <v>0</v>
      </c>
      <c r="L399" s="74"/>
      <c r="M399" s="249">
        <f t="shared" si="1919"/>
        <v>0</v>
      </c>
      <c r="N399" s="74"/>
      <c r="O399" s="249">
        <f t="shared" si="1919"/>
        <v>0</v>
      </c>
      <c r="P399" s="74"/>
      <c r="Q399" s="249">
        <f t="shared" si="1919"/>
        <v>0</v>
      </c>
      <c r="R399" s="74"/>
      <c r="S399" s="249">
        <f t="shared" si="1919"/>
        <v>0</v>
      </c>
      <c r="T399" s="74"/>
      <c r="U399" s="249">
        <f t="shared" si="1919"/>
        <v>0</v>
      </c>
      <c r="V399" s="74"/>
      <c r="W399" s="249">
        <f t="shared" si="1919"/>
        <v>0</v>
      </c>
      <c r="X399" s="74"/>
      <c r="Y399" s="249">
        <f t="shared" si="1919"/>
        <v>0</v>
      </c>
      <c r="Z399" s="74"/>
      <c r="AA399" s="249">
        <f t="shared" si="1919"/>
        <v>0</v>
      </c>
      <c r="AB399" s="74"/>
      <c r="AC399" s="249">
        <f t="shared" si="1919"/>
        <v>0</v>
      </c>
      <c r="AD399" s="74"/>
      <c r="AE399" s="249">
        <f t="shared" si="1919"/>
        <v>0</v>
      </c>
    </row>
    <row r="400" spans="1:31" ht="19.149999999999999" customHeight="1" outlineLevel="1">
      <c r="A400" s="374" t="str">
        <f t="shared" si="2323"/>
        <v>SODIUM BICARBONATE</v>
      </c>
      <c r="B400" s="74"/>
      <c r="C400" s="249">
        <f t="shared" ref="C400" si="2363">(B400/100)*1000</f>
        <v>0</v>
      </c>
      <c r="D400" s="74"/>
      <c r="E400" s="249">
        <f t="shared" ref="E400" si="2364">(D400/100)*1000</f>
        <v>0</v>
      </c>
      <c r="F400" s="74"/>
      <c r="G400" s="249">
        <f t="shared" ref="G400" si="2365">(F400/100)*1000</f>
        <v>0</v>
      </c>
      <c r="H400" s="74"/>
      <c r="I400" s="249">
        <f t="shared" ref="I400" si="2366">(H400/100)*1000</f>
        <v>0</v>
      </c>
      <c r="J400" s="74"/>
      <c r="K400" s="249">
        <f t="shared" ref="K400" si="2367">(J400/100)*1000</f>
        <v>0</v>
      </c>
      <c r="L400" s="74"/>
      <c r="M400" s="249">
        <f t="shared" ref="M400" si="2368">(L400/100)*1000</f>
        <v>0</v>
      </c>
      <c r="N400" s="74"/>
      <c r="O400" s="249">
        <f t="shared" ref="O400" si="2369">(N400/100)*1000</f>
        <v>0</v>
      </c>
      <c r="P400" s="74"/>
      <c r="Q400" s="249">
        <f t="shared" ref="Q400" si="2370">(P400/100)*1000</f>
        <v>0</v>
      </c>
      <c r="R400" s="74"/>
      <c r="S400" s="249">
        <f t="shared" ref="S400" si="2371">(R400/100)*1000</f>
        <v>0</v>
      </c>
      <c r="T400" s="74"/>
      <c r="U400" s="249">
        <f t="shared" ref="U400" si="2372">(T400/100)*1000</f>
        <v>0</v>
      </c>
      <c r="V400" s="74"/>
      <c r="W400" s="249">
        <f t="shared" ref="W400" si="2373">(V400/100)*1000</f>
        <v>0</v>
      </c>
      <c r="X400" s="74"/>
      <c r="Y400" s="249">
        <f t="shared" ref="Y400" si="2374">(X400/100)*1000</f>
        <v>0</v>
      </c>
      <c r="Z400" s="74"/>
      <c r="AA400" s="249">
        <f t="shared" ref="AA400" si="2375">(Z400/100)*1000</f>
        <v>0</v>
      </c>
      <c r="AB400" s="74"/>
      <c r="AC400" s="249">
        <f t="shared" ref="AC400" si="2376">(AB400/100)*1000</f>
        <v>0</v>
      </c>
      <c r="AD400" s="74"/>
      <c r="AE400" s="249">
        <f t="shared" ref="AE400" si="2377">(AD400/100)*1000</f>
        <v>0</v>
      </c>
    </row>
    <row r="401" spans="1:31" ht="19.149999999999999" customHeight="1" outlineLevel="1">
      <c r="A401" s="374" t="str">
        <f t="shared" si="2323"/>
        <v>BMD 10%</v>
      </c>
      <c r="B401" s="74"/>
      <c r="C401" s="343">
        <f t="shared" si="1919"/>
        <v>0</v>
      </c>
      <c r="D401" s="74"/>
      <c r="E401" s="343">
        <f t="shared" si="1919"/>
        <v>0</v>
      </c>
      <c r="F401" s="74"/>
      <c r="G401" s="343">
        <f t="shared" si="1919"/>
        <v>0</v>
      </c>
      <c r="H401" s="74"/>
      <c r="I401" s="343">
        <f t="shared" si="1919"/>
        <v>0</v>
      </c>
      <c r="J401" s="74">
        <f>2/20</f>
        <v>0.1</v>
      </c>
      <c r="K401" s="343">
        <f t="shared" si="1919"/>
        <v>1</v>
      </c>
      <c r="L401" s="74"/>
      <c r="M401" s="343">
        <f t="shared" si="1919"/>
        <v>0</v>
      </c>
      <c r="N401" s="74"/>
      <c r="O401" s="343">
        <f t="shared" si="1919"/>
        <v>0</v>
      </c>
      <c r="P401" s="74"/>
      <c r="Q401" s="343">
        <f t="shared" si="1919"/>
        <v>0</v>
      </c>
      <c r="R401" s="74"/>
      <c r="S401" s="343">
        <f t="shared" si="1919"/>
        <v>0</v>
      </c>
      <c r="T401" s="74"/>
      <c r="U401" s="343">
        <f t="shared" si="1919"/>
        <v>0</v>
      </c>
      <c r="V401" s="74"/>
      <c r="W401" s="343">
        <f t="shared" si="1919"/>
        <v>0</v>
      </c>
      <c r="X401" s="74"/>
      <c r="Y401" s="343">
        <f t="shared" si="1919"/>
        <v>0</v>
      </c>
      <c r="Z401" s="74"/>
      <c r="AA401" s="343">
        <f t="shared" si="1919"/>
        <v>0</v>
      </c>
      <c r="AB401" s="74"/>
      <c r="AC401" s="343">
        <f t="shared" si="1919"/>
        <v>0</v>
      </c>
      <c r="AD401" s="74">
        <f>2/20</f>
        <v>0.1</v>
      </c>
      <c r="AE401" s="343">
        <f t="shared" si="1919"/>
        <v>1</v>
      </c>
    </row>
    <row r="402" spans="1:31" ht="19.149999999999999" customHeight="1" outlineLevel="1">
      <c r="A402" s="374" t="str">
        <f t="shared" si="2323"/>
        <v>SALT (HARUMI)</v>
      </c>
      <c r="B402" s="74"/>
      <c r="C402" s="343">
        <f t="shared" si="1919"/>
        <v>0</v>
      </c>
      <c r="D402" s="74"/>
      <c r="E402" s="343">
        <f t="shared" si="1919"/>
        <v>0</v>
      </c>
      <c r="F402" s="74"/>
      <c r="G402" s="343">
        <f t="shared" ref="G402" si="2378">(F402/100)*1000</f>
        <v>0</v>
      </c>
      <c r="H402" s="74"/>
      <c r="I402" s="343">
        <f t="shared" ref="I402" si="2379">(H402/100)*1000</f>
        <v>0</v>
      </c>
      <c r="J402" s="74"/>
      <c r="K402" s="343">
        <f t="shared" ref="K402" si="2380">(J402/100)*1000</f>
        <v>0</v>
      </c>
      <c r="L402" s="74"/>
      <c r="M402" s="343">
        <f t="shared" ref="M402" si="2381">(L402/100)*1000</f>
        <v>0</v>
      </c>
      <c r="N402" s="74"/>
      <c r="O402" s="343">
        <f t="shared" ref="O402" si="2382">(N402/100)*1000</f>
        <v>0</v>
      </c>
      <c r="P402" s="74"/>
      <c r="Q402" s="343">
        <f t="shared" ref="Q402" si="2383">(P402/100)*1000</f>
        <v>0</v>
      </c>
      <c r="R402" s="74"/>
      <c r="S402" s="343">
        <f t="shared" ref="S402" si="2384">(R402/100)*1000</f>
        <v>0</v>
      </c>
      <c r="T402" s="74"/>
      <c r="U402" s="343">
        <f t="shared" ref="U402" si="2385">(T402/100)*1000</f>
        <v>0</v>
      </c>
      <c r="V402" s="74"/>
      <c r="W402" s="343">
        <f t="shared" ref="W402" si="2386">(V402/100)*1000</f>
        <v>0</v>
      </c>
      <c r="X402" s="74"/>
      <c r="Y402" s="343">
        <f t="shared" ref="Y402" si="2387">(X402/100)*1000</f>
        <v>0</v>
      </c>
      <c r="Z402" s="74"/>
      <c r="AA402" s="343">
        <f t="shared" ref="AA402" si="2388">(Z402/100)*1000</f>
        <v>0</v>
      </c>
      <c r="AB402" s="74"/>
      <c r="AC402" s="343">
        <f t="shared" ref="AC402" si="2389">(AB402/100)*1000</f>
        <v>0</v>
      </c>
      <c r="AD402" s="74"/>
      <c r="AE402" s="343">
        <f t="shared" ref="AE402" si="2390">(AD402/100)*1000</f>
        <v>0</v>
      </c>
    </row>
    <row r="403" spans="1:31" ht="19.149999999999999" customHeight="1" outlineLevel="1">
      <c r="A403" s="374" t="str">
        <f t="shared" si="2323"/>
        <v>VISTABET 91</v>
      </c>
      <c r="B403" s="74"/>
      <c r="C403" s="343">
        <f t="shared" si="1919"/>
        <v>0</v>
      </c>
      <c r="D403" s="74"/>
      <c r="E403" s="343">
        <f t="shared" si="1919"/>
        <v>0</v>
      </c>
      <c r="F403" s="74"/>
      <c r="G403" s="343">
        <f t="shared" ref="G403" si="2391">(F403/100)*1000</f>
        <v>0</v>
      </c>
      <c r="H403" s="74"/>
      <c r="I403" s="343">
        <f t="shared" ref="I403" si="2392">(H403/100)*1000</f>
        <v>0</v>
      </c>
      <c r="J403" s="74"/>
      <c r="K403" s="343">
        <f t="shared" ref="K403" si="2393">(J403/100)*1000</f>
        <v>0</v>
      </c>
      <c r="L403" s="74"/>
      <c r="M403" s="343">
        <f t="shared" ref="M403" si="2394">(L403/100)*1000</f>
        <v>0</v>
      </c>
      <c r="N403" s="74"/>
      <c r="O403" s="343">
        <f t="shared" ref="O403" si="2395">(N403/100)*1000</f>
        <v>0</v>
      </c>
      <c r="P403" s="74"/>
      <c r="Q403" s="343">
        <f t="shared" ref="Q403" si="2396">(P403/100)*1000</f>
        <v>0</v>
      </c>
      <c r="R403" s="74"/>
      <c r="S403" s="343">
        <f t="shared" ref="S403" si="2397">(R403/100)*1000</f>
        <v>0</v>
      </c>
      <c r="T403" s="74"/>
      <c r="U403" s="343">
        <f t="shared" ref="U403" si="2398">(T403/100)*1000</f>
        <v>0</v>
      </c>
      <c r="V403" s="74"/>
      <c r="W403" s="343">
        <f t="shared" ref="W403" si="2399">(V403/100)*1000</f>
        <v>0</v>
      </c>
      <c r="X403" s="74"/>
      <c r="Y403" s="343">
        <f t="shared" ref="Y403" si="2400">(X403/100)*1000</f>
        <v>0</v>
      </c>
      <c r="Z403" s="74"/>
      <c r="AA403" s="343">
        <f t="shared" ref="AA403" si="2401">(Z403/100)*1000</f>
        <v>0</v>
      </c>
      <c r="AB403" s="74">
        <f>2/20</f>
        <v>0.1</v>
      </c>
      <c r="AC403" s="343">
        <f t="shared" ref="AC403" si="2402">(AB403/100)*1000</f>
        <v>1</v>
      </c>
      <c r="AD403" s="74">
        <f>2/20</f>
        <v>0.1</v>
      </c>
      <c r="AE403" s="343">
        <f t="shared" ref="AE403" si="2403">(AD403/100)*1000</f>
        <v>1</v>
      </c>
    </row>
    <row r="404" spans="1:31" ht="19.149999999999999" customHeight="1" outlineLevel="1">
      <c r="A404" s="374" t="str">
        <f t="shared" si="2323"/>
        <v>BETAFIN</v>
      </c>
      <c r="B404" s="74"/>
      <c r="C404" s="343">
        <f t="shared" si="1919"/>
        <v>0</v>
      </c>
      <c r="D404" s="74"/>
      <c r="E404" s="343">
        <f t="shared" si="1919"/>
        <v>0</v>
      </c>
      <c r="F404" s="74"/>
      <c r="G404" s="343">
        <f t="shared" ref="G404" si="2404">(F404/100)*1000</f>
        <v>0</v>
      </c>
      <c r="H404" s="74"/>
      <c r="I404" s="343">
        <f t="shared" ref="I404" si="2405">(H404/100)*1000</f>
        <v>0</v>
      </c>
      <c r="J404" s="74"/>
      <c r="K404" s="343">
        <f t="shared" ref="K404" si="2406">(J404/100)*1000</f>
        <v>0</v>
      </c>
      <c r="L404" s="74"/>
      <c r="M404" s="343">
        <f t="shared" ref="M404" si="2407">(L404/100)*1000</f>
        <v>0</v>
      </c>
      <c r="N404" s="74"/>
      <c r="O404" s="343">
        <f t="shared" ref="O404" si="2408">(N404/100)*1000</f>
        <v>0</v>
      </c>
      <c r="P404" s="74"/>
      <c r="Q404" s="343">
        <f t="shared" ref="Q404" si="2409">(P404/100)*1000</f>
        <v>0</v>
      </c>
      <c r="R404" s="74"/>
      <c r="S404" s="343">
        <f t="shared" ref="S404" si="2410">(R404/100)*1000</f>
        <v>0</v>
      </c>
      <c r="T404" s="74"/>
      <c r="U404" s="343">
        <f t="shared" ref="U404" si="2411">(T404/100)*1000</f>
        <v>0</v>
      </c>
      <c r="V404" s="74"/>
      <c r="W404" s="343">
        <f t="shared" ref="W404" si="2412">(V404/100)*1000</f>
        <v>0</v>
      </c>
      <c r="X404" s="74"/>
      <c r="Y404" s="343">
        <f t="shared" ref="Y404" si="2413">(X404/100)*1000</f>
        <v>0</v>
      </c>
      <c r="Z404" s="74"/>
      <c r="AA404" s="343">
        <f t="shared" ref="AA404" si="2414">(Z404/100)*1000</f>
        <v>0</v>
      </c>
      <c r="AB404" s="74"/>
      <c r="AC404" s="343">
        <f t="shared" ref="AC404" si="2415">(AB404/100)*1000</f>
        <v>0</v>
      </c>
      <c r="AD404" s="74"/>
      <c r="AE404" s="343">
        <f t="shared" ref="AE404" si="2416">(AD404/100)*1000</f>
        <v>0</v>
      </c>
    </row>
    <row r="405" spans="1:31" ht="19.149999999999999" customHeight="1" outlineLevel="1">
      <c r="A405" s="374" t="str">
        <f t="shared" si="2323"/>
        <v>8101 TOP UP</v>
      </c>
      <c r="B405" s="74"/>
      <c r="C405" s="343">
        <f t="shared" si="1919"/>
        <v>0</v>
      </c>
      <c r="D405" s="74"/>
      <c r="E405" s="343">
        <f t="shared" si="1919"/>
        <v>0</v>
      </c>
      <c r="F405" s="74"/>
      <c r="G405" s="343">
        <f t="shared" ref="G405" si="2417">(F405/100)*1000</f>
        <v>0</v>
      </c>
      <c r="H405" s="74"/>
      <c r="I405" s="343">
        <f t="shared" ref="I405" si="2418">(H405/100)*1000</f>
        <v>0</v>
      </c>
      <c r="J405" s="74"/>
      <c r="K405" s="343">
        <f t="shared" ref="K405" si="2419">(J405/100)*1000</f>
        <v>0</v>
      </c>
      <c r="L405" s="74"/>
      <c r="M405" s="343">
        <f t="shared" ref="M405" si="2420">(L405/100)*1000</f>
        <v>0</v>
      </c>
      <c r="N405" s="74"/>
      <c r="O405" s="343">
        <f t="shared" ref="O405" si="2421">(N405/100)*1000</f>
        <v>0</v>
      </c>
      <c r="P405" s="74"/>
      <c r="Q405" s="343">
        <f t="shared" ref="Q405" si="2422">(P405/100)*1000</f>
        <v>0</v>
      </c>
      <c r="R405" s="74"/>
      <c r="S405" s="343">
        <f t="shared" ref="S405" si="2423">(R405/100)*1000</f>
        <v>0</v>
      </c>
      <c r="T405" s="74"/>
      <c r="U405" s="343">
        <f t="shared" ref="U405" si="2424">(T405/100)*1000</f>
        <v>0</v>
      </c>
      <c r="V405" s="74"/>
      <c r="W405" s="343">
        <f t="shared" ref="W405" si="2425">(V405/100)*1000</f>
        <v>0</v>
      </c>
      <c r="X405" s="74"/>
      <c r="Y405" s="343">
        <f t="shared" ref="Y405" si="2426">(X405/100)*1000</f>
        <v>0</v>
      </c>
      <c r="Z405" s="74"/>
      <c r="AA405" s="343">
        <f t="shared" ref="AA405" si="2427">(Z405/100)*1000</f>
        <v>0</v>
      </c>
      <c r="AB405" s="74"/>
      <c r="AC405" s="343">
        <f t="shared" ref="AC405" si="2428">(AB405/100)*1000</f>
        <v>0</v>
      </c>
      <c r="AD405" s="74"/>
      <c r="AE405" s="343">
        <f t="shared" ref="AE405" si="2429">(AD405/100)*1000</f>
        <v>0</v>
      </c>
    </row>
    <row r="406" spans="1:31" ht="19.149999999999999" customHeight="1" outlineLevel="1">
      <c r="A406" s="374" t="str">
        <f t="shared" si="2323"/>
        <v>NORPONIN X03 (8102 TOP UP)</v>
      </c>
      <c r="B406" s="74"/>
      <c r="C406" s="343">
        <f t="shared" si="1919"/>
        <v>0</v>
      </c>
      <c r="D406" s="74"/>
      <c r="E406" s="343">
        <f t="shared" si="1919"/>
        <v>0</v>
      </c>
      <c r="F406" s="74"/>
      <c r="G406" s="343">
        <f t="shared" ref="G406" si="2430">(F406/100)*1000</f>
        <v>0</v>
      </c>
      <c r="H406" s="74"/>
      <c r="I406" s="343">
        <f t="shared" ref="I406" si="2431">(H406/100)*1000</f>
        <v>0</v>
      </c>
      <c r="J406" s="74"/>
      <c r="K406" s="343">
        <f t="shared" ref="K406" si="2432">(J406/100)*1000</f>
        <v>0</v>
      </c>
      <c r="L406" s="74"/>
      <c r="M406" s="343">
        <f t="shared" ref="M406" si="2433">(L406/100)*1000</f>
        <v>0</v>
      </c>
      <c r="N406" s="74"/>
      <c r="O406" s="343">
        <f t="shared" ref="O406" si="2434">(N406/100)*1000</f>
        <v>0</v>
      </c>
      <c r="P406" s="74"/>
      <c r="Q406" s="343">
        <f t="shared" ref="Q406" si="2435">(P406/100)*1000</f>
        <v>0</v>
      </c>
      <c r="R406" s="74"/>
      <c r="S406" s="343">
        <f t="shared" ref="S406" si="2436">(R406/100)*1000</f>
        <v>0</v>
      </c>
      <c r="T406" s="74"/>
      <c r="U406" s="343">
        <f t="shared" ref="U406" si="2437">(T406/100)*1000</f>
        <v>0</v>
      </c>
      <c r="V406" s="74"/>
      <c r="W406" s="343">
        <f t="shared" ref="W406" si="2438">(V406/100)*1000</f>
        <v>0</v>
      </c>
      <c r="X406" s="74"/>
      <c r="Y406" s="343">
        <f t="shared" ref="Y406" si="2439">(X406/100)*1000</f>
        <v>0</v>
      </c>
      <c r="Z406" s="74"/>
      <c r="AA406" s="343">
        <f t="shared" ref="AA406" si="2440">(Z406/100)*1000</f>
        <v>0</v>
      </c>
      <c r="AB406" s="74"/>
      <c r="AC406" s="343">
        <f t="shared" ref="AC406" si="2441">(AB406/100)*1000</f>
        <v>0</v>
      </c>
      <c r="AD406" s="74"/>
      <c r="AE406" s="343">
        <f t="shared" ref="AE406" si="2442">(AD406/100)*1000</f>
        <v>0</v>
      </c>
    </row>
    <row r="407" spans="1:31" ht="19.149999999999999" customHeight="1" outlineLevel="1">
      <c r="A407" s="374" t="str">
        <f t="shared" si="2323"/>
        <v>8102 TOP UP (4KG)</v>
      </c>
      <c r="B407" s="74"/>
      <c r="C407" s="348">
        <f>(B407/100)*1000</f>
        <v>0</v>
      </c>
      <c r="D407" s="74"/>
      <c r="E407" s="343">
        <f>(D407/100)*1000</f>
        <v>0</v>
      </c>
      <c r="F407" s="74"/>
      <c r="G407" s="343">
        <f>(F407/100)*1000</f>
        <v>0</v>
      </c>
      <c r="H407" s="74"/>
      <c r="I407" s="343">
        <f>(H407/100)*1000</f>
        <v>0</v>
      </c>
      <c r="J407" s="74"/>
      <c r="K407" s="343">
        <f>(J407/100)*1000</f>
        <v>0</v>
      </c>
      <c r="L407" s="74">
        <f>8/20</f>
        <v>0.4</v>
      </c>
      <c r="M407" s="343">
        <f>(L407/100)*1000</f>
        <v>4</v>
      </c>
      <c r="N407" s="74">
        <f>8/20</f>
        <v>0.4</v>
      </c>
      <c r="O407" s="343">
        <f>(N407/100)*1000</f>
        <v>4</v>
      </c>
      <c r="P407" s="74">
        <f>8/20</f>
        <v>0.4</v>
      </c>
      <c r="Q407" s="343">
        <f>(P407/100)*1000</f>
        <v>4</v>
      </c>
      <c r="R407" s="74">
        <f>8/20</f>
        <v>0.4</v>
      </c>
      <c r="S407" s="343">
        <f>(R407/100)*1000</f>
        <v>4</v>
      </c>
      <c r="T407" s="74"/>
      <c r="U407" s="343">
        <f>(T407/100)*1000</f>
        <v>0</v>
      </c>
      <c r="V407" s="74"/>
      <c r="W407" s="343">
        <f>(V407/100)*1000</f>
        <v>0</v>
      </c>
      <c r="X407" s="74"/>
      <c r="Y407" s="343">
        <f>(X407/100)*1000</f>
        <v>0</v>
      </c>
      <c r="Z407" s="74"/>
      <c r="AA407" s="343">
        <f>(Z407/100)*1000</f>
        <v>0</v>
      </c>
      <c r="AB407" s="74">
        <f>8/20</f>
        <v>0.4</v>
      </c>
      <c r="AC407" s="343">
        <f>(AB407/100)*1000</f>
        <v>4</v>
      </c>
      <c r="AD407" s="74"/>
      <c r="AE407" s="343">
        <f>(AD407/100)*1000</f>
        <v>0</v>
      </c>
    </row>
    <row r="408" spans="1:31" ht="19.149999999999999" customHeight="1" outlineLevel="1">
      <c r="A408" s="377" t="str">
        <f t="shared" si="2323"/>
        <v>8103 TOP UP (5KG)</v>
      </c>
      <c r="B408" s="74"/>
      <c r="C408" s="352">
        <f t="shared" si="1919"/>
        <v>0</v>
      </c>
      <c r="D408" s="74"/>
      <c r="E408" s="352">
        <f t="shared" si="1919"/>
        <v>0</v>
      </c>
      <c r="F408" s="74"/>
      <c r="G408" s="343">
        <f t="shared" ref="C408:G419" si="2443">(F408/100)*1000</f>
        <v>0</v>
      </c>
      <c r="H408" s="74"/>
      <c r="I408" s="343">
        <f t="shared" ref="I408:I419" si="2444">(H408/100)*1000</f>
        <v>0</v>
      </c>
      <c r="J408" s="74"/>
      <c r="K408" s="343">
        <f t="shared" ref="K408:K419" si="2445">(J408/100)*1000</f>
        <v>0</v>
      </c>
      <c r="L408" s="74"/>
      <c r="M408" s="343">
        <f t="shared" ref="M408:M419" si="2446">(L408/100)*1000</f>
        <v>0</v>
      </c>
      <c r="N408" s="74"/>
      <c r="O408" s="343">
        <f t="shared" ref="O408:O419" si="2447">(N408/100)*1000</f>
        <v>0</v>
      </c>
      <c r="P408" s="74"/>
      <c r="Q408" s="343">
        <f t="shared" ref="Q408:Q419" si="2448">(P408/100)*1000</f>
        <v>0</v>
      </c>
      <c r="R408" s="74"/>
      <c r="S408" s="343">
        <f t="shared" ref="S408:S419" si="2449">(R408/100)*1000</f>
        <v>0</v>
      </c>
      <c r="T408" s="74">
        <f>5/20</f>
        <v>0.25</v>
      </c>
      <c r="U408" s="343">
        <f t="shared" ref="U408:U419" si="2450">(T408/100)*1000</f>
        <v>2.5</v>
      </c>
      <c r="V408" s="74">
        <f>5/20</f>
        <v>0.25</v>
      </c>
      <c r="W408" s="343">
        <f t="shared" ref="W408:W419" si="2451">(V408/100)*1000</f>
        <v>2.5</v>
      </c>
      <c r="X408" s="74"/>
      <c r="Y408" s="343">
        <f t="shared" ref="Y408:Y419" si="2452">(X408/100)*1000</f>
        <v>0</v>
      </c>
      <c r="Z408" s="74"/>
      <c r="AA408" s="343">
        <f t="shared" ref="AA408:AA419" si="2453">(Z408/100)*1000</f>
        <v>0</v>
      </c>
      <c r="AB408" s="74"/>
      <c r="AC408" s="343">
        <f t="shared" ref="AC408:AC419" si="2454">(AB408/100)*1000</f>
        <v>0</v>
      </c>
      <c r="AD408" s="74">
        <f>5/20</f>
        <v>0.25</v>
      </c>
      <c r="AE408" s="343">
        <f t="shared" ref="AE408:AE419" si="2455">(AD408/100)*1000</f>
        <v>2.5</v>
      </c>
    </row>
    <row r="409" spans="1:31" ht="19.149999999999999" customHeight="1" outlineLevel="1">
      <c r="A409" s="377" t="str">
        <f>A321</f>
        <v>L-ARGININE</v>
      </c>
      <c r="B409" s="74"/>
      <c r="C409" s="352">
        <f t="shared" si="1919"/>
        <v>0</v>
      </c>
      <c r="D409" s="74"/>
      <c r="E409" s="352">
        <f t="shared" si="1919"/>
        <v>0</v>
      </c>
      <c r="F409" s="74"/>
      <c r="G409" s="343">
        <f t="shared" si="2443"/>
        <v>0</v>
      </c>
      <c r="H409" s="74"/>
      <c r="I409" s="343">
        <f t="shared" si="2444"/>
        <v>0</v>
      </c>
      <c r="J409" s="74"/>
      <c r="K409" s="343">
        <f t="shared" si="2445"/>
        <v>0</v>
      </c>
      <c r="L409" s="74"/>
      <c r="M409" s="343">
        <f t="shared" si="2446"/>
        <v>0</v>
      </c>
      <c r="N409" s="74"/>
      <c r="O409" s="343">
        <f t="shared" si="2447"/>
        <v>0</v>
      </c>
      <c r="P409" s="74"/>
      <c r="Q409" s="343">
        <f t="shared" si="2448"/>
        <v>0</v>
      </c>
      <c r="R409" s="74"/>
      <c r="S409" s="343">
        <f t="shared" si="2449"/>
        <v>0</v>
      </c>
      <c r="T409" s="74"/>
      <c r="U409" s="343">
        <f t="shared" si="2450"/>
        <v>0</v>
      </c>
      <c r="V409" s="74"/>
      <c r="W409" s="343">
        <f t="shared" si="2451"/>
        <v>0</v>
      </c>
      <c r="X409" s="74"/>
      <c r="Y409" s="343">
        <f t="shared" si="2452"/>
        <v>0</v>
      </c>
      <c r="Z409" s="74"/>
      <c r="AA409" s="343">
        <f t="shared" si="2453"/>
        <v>0</v>
      </c>
      <c r="AB409" s="74"/>
      <c r="AC409" s="343">
        <f t="shared" si="2454"/>
        <v>0</v>
      </c>
      <c r="AD409" s="74"/>
      <c r="AE409" s="343">
        <f t="shared" si="2455"/>
        <v>0</v>
      </c>
    </row>
    <row r="410" spans="1:31" ht="19.149999999999999" customHeight="1" outlineLevel="1">
      <c r="A410" s="377" t="str">
        <f>A322</f>
        <v>DL-METHIONINE</v>
      </c>
      <c r="B410" s="74"/>
      <c r="C410" s="352">
        <f t="shared" ref="C410:C411" si="2456">(B410/100)*1000</f>
        <v>0</v>
      </c>
      <c r="D410" s="74"/>
      <c r="E410" s="352">
        <f t="shared" ref="E410:E411" si="2457">(D410/100)*1000</f>
        <v>0</v>
      </c>
      <c r="F410" s="74"/>
      <c r="G410" s="343">
        <f t="shared" si="2443"/>
        <v>0</v>
      </c>
      <c r="H410" s="74"/>
      <c r="I410" s="343">
        <f t="shared" si="2444"/>
        <v>0</v>
      </c>
      <c r="J410" s="74"/>
      <c r="K410" s="343">
        <f t="shared" si="2445"/>
        <v>0</v>
      </c>
      <c r="L410" s="74"/>
      <c r="M410" s="343">
        <f t="shared" si="2446"/>
        <v>0</v>
      </c>
      <c r="N410" s="74"/>
      <c r="O410" s="343">
        <f t="shared" si="2447"/>
        <v>0</v>
      </c>
      <c r="P410" s="74"/>
      <c r="Q410" s="343">
        <f t="shared" si="2448"/>
        <v>0</v>
      </c>
      <c r="R410" s="74"/>
      <c r="S410" s="343">
        <f t="shared" si="2449"/>
        <v>0</v>
      </c>
      <c r="T410" s="74"/>
      <c r="U410" s="343">
        <f t="shared" si="2450"/>
        <v>0</v>
      </c>
      <c r="V410" s="74"/>
      <c r="W410" s="343">
        <f t="shared" si="2451"/>
        <v>0</v>
      </c>
      <c r="X410" s="74"/>
      <c r="Y410" s="343">
        <f t="shared" si="2452"/>
        <v>0</v>
      </c>
      <c r="Z410" s="74"/>
      <c r="AA410" s="343">
        <f t="shared" si="2453"/>
        <v>0</v>
      </c>
      <c r="AB410" s="74"/>
      <c r="AC410" s="343">
        <f t="shared" si="2454"/>
        <v>0</v>
      </c>
      <c r="AD410" s="74"/>
      <c r="AE410" s="343">
        <f t="shared" si="2455"/>
        <v>0</v>
      </c>
    </row>
    <row r="411" spans="1:31" ht="19.149999999999999" customHeight="1" outlineLevel="1">
      <c r="A411" s="377" t="str">
        <f>A323</f>
        <v>L-THREONINE</v>
      </c>
      <c r="B411" s="74"/>
      <c r="C411" s="352">
        <f t="shared" si="2456"/>
        <v>0</v>
      </c>
      <c r="D411" s="74"/>
      <c r="E411" s="352">
        <f t="shared" si="2457"/>
        <v>0</v>
      </c>
      <c r="F411" s="74"/>
      <c r="G411" s="343">
        <f t="shared" si="2443"/>
        <v>0</v>
      </c>
      <c r="H411" s="74"/>
      <c r="I411" s="343">
        <f t="shared" si="2444"/>
        <v>0</v>
      </c>
      <c r="J411" s="74"/>
      <c r="K411" s="343">
        <f t="shared" si="2445"/>
        <v>0</v>
      </c>
      <c r="L411" s="74"/>
      <c r="M411" s="343">
        <f t="shared" si="2446"/>
        <v>0</v>
      </c>
      <c r="N411" s="74"/>
      <c r="O411" s="343">
        <f t="shared" si="2447"/>
        <v>0</v>
      </c>
      <c r="P411" s="74"/>
      <c r="Q411" s="343">
        <f t="shared" si="2448"/>
        <v>0</v>
      </c>
      <c r="R411" s="74"/>
      <c r="S411" s="343">
        <f t="shared" si="2449"/>
        <v>0</v>
      </c>
      <c r="T411" s="74"/>
      <c r="U411" s="343">
        <f t="shared" si="2450"/>
        <v>0</v>
      </c>
      <c r="V411" s="74"/>
      <c r="W411" s="343">
        <f t="shared" si="2451"/>
        <v>0</v>
      </c>
      <c r="X411" s="74"/>
      <c r="Y411" s="343">
        <f t="shared" si="2452"/>
        <v>0</v>
      </c>
      <c r="Z411" s="74"/>
      <c r="AA411" s="343">
        <f t="shared" si="2453"/>
        <v>0</v>
      </c>
      <c r="AB411" s="74"/>
      <c r="AC411" s="343">
        <f t="shared" si="2454"/>
        <v>0</v>
      </c>
      <c r="AD411" s="74"/>
      <c r="AE411" s="343">
        <f t="shared" si="2455"/>
        <v>0</v>
      </c>
    </row>
    <row r="412" spans="1:31" ht="19.149999999999999" customHeight="1" outlineLevel="1">
      <c r="A412" s="377" t="str">
        <f>A324</f>
        <v>L-LYSINE</v>
      </c>
      <c r="B412" s="74"/>
      <c r="C412" s="343">
        <f t="shared" si="2443"/>
        <v>0</v>
      </c>
      <c r="D412" s="74"/>
      <c r="E412" s="343">
        <f t="shared" si="2443"/>
        <v>0</v>
      </c>
      <c r="F412" s="74"/>
      <c r="G412" s="343">
        <f t="shared" si="2443"/>
        <v>0</v>
      </c>
      <c r="H412" s="74"/>
      <c r="I412" s="343">
        <f t="shared" si="2444"/>
        <v>0</v>
      </c>
      <c r="J412" s="74"/>
      <c r="K412" s="343">
        <f t="shared" si="2445"/>
        <v>0</v>
      </c>
      <c r="L412" s="74"/>
      <c r="M412" s="343">
        <f t="shared" si="2446"/>
        <v>0</v>
      </c>
      <c r="N412" s="74"/>
      <c r="O412" s="343">
        <f t="shared" si="2447"/>
        <v>0</v>
      </c>
      <c r="P412" s="74"/>
      <c r="Q412" s="343">
        <f t="shared" si="2448"/>
        <v>0</v>
      </c>
      <c r="R412" s="74"/>
      <c r="S412" s="343">
        <f t="shared" si="2449"/>
        <v>0</v>
      </c>
      <c r="T412" s="74"/>
      <c r="U412" s="343">
        <f t="shared" si="2450"/>
        <v>0</v>
      </c>
      <c r="V412" s="74"/>
      <c r="W412" s="343">
        <f t="shared" si="2451"/>
        <v>0</v>
      </c>
      <c r="X412" s="74"/>
      <c r="Y412" s="343">
        <f t="shared" si="2452"/>
        <v>0</v>
      </c>
      <c r="Z412" s="74"/>
      <c r="AA412" s="343">
        <f t="shared" si="2453"/>
        <v>0</v>
      </c>
      <c r="AB412" s="74"/>
      <c r="AC412" s="343">
        <f t="shared" si="2454"/>
        <v>0</v>
      </c>
      <c r="AD412" s="74"/>
      <c r="AE412" s="343">
        <f t="shared" si="2455"/>
        <v>0</v>
      </c>
    </row>
    <row r="413" spans="1:31" ht="19.149999999999999" customHeight="1" outlineLevel="1">
      <c r="A413" s="377" t="str">
        <f>A325</f>
        <v>FAECES DRY</v>
      </c>
      <c r="B413" s="74"/>
      <c r="C413" s="352">
        <f t="shared" si="2443"/>
        <v>0</v>
      </c>
      <c r="D413" s="74"/>
      <c r="E413" s="352">
        <f t="shared" si="2443"/>
        <v>0</v>
      </c>
      <c r="F413" s="74"/>
      <c r="G413" s="352">
        <f t="shared" si="2443"/>
        <v>0</v>
      </c>
      <c r="H413" s="74"/>
      <c r="I413" s="352">
        <f t="shared" si="2444"/>
        <v>0</v>
      </c>
      <c r="J413" s="74"/>
      <c r="K413" s="352">
        <f t="shared" si="2445"/>
        <v>0</v>
      </c>
      <c r="L413" s="74"/>
      <c r="M413" s="352">
        <f t="shared" si="2446"/>
        <v>0</v>
      </c>
      <c r="N413" s="74"/>
      <c r="O413" s="352">
        <f t="shared" si="2447"/>
        <v>0</v>
      </c>
      <c r="P413" s="74"/>
      <c r="Q413" s="352">
        <f t="shared" si="2448"/>
        <v>0</v>
      </c>
      <c r="R413" s="74"/>
      <c r="S413" s="352">
        <f t="shared" si="2449"/>
        <v>0</v>
      </c>
      <c r="T413" s="74"/>
      <c r="U413" s="352">
        <f t="shared" si="2450"/>
        <v>0</v>
      </c>
      <c r="V413" s="74"/>
      <c r="W413" s="352">
        <f t="shared" si="2451"/>
        <v>0</v>
      </c>
      <c r="X413" s="74"/>
      <c r="Y413" s="352">
        <f t="shared" si="2452"/>
        <v>0</v>
      </c>
      <c r="Z413" s="74"/>
      <c r="AA413" s="352">
        <f t="shared" si="2453"/>
        <v>0</v>
      </c>
      <c r="AB413" s="74"/>
      <c r="AC413" s="352">
        <f t="shared" si="2454"/>
        <v>0</v>
      </c>
      <c r="AD413" s="74"/>
      <c r="AE413" s="352">
        <f t="shared" si="2455"/>
        <v>0</v>
      </c>
    </row>
    <row r="414" spans="1:31" ht="19.149999999999999" customHeight="1" outlineLevel="1">
      <c r="A414" s="377" t="str">
        <f>A62</f>
        <v>ECOBIOL</v>
      </c>
      <c r="B414" s="74"/>
      <c r="C414" s="343">
        <f t="shared" si="2443"/>
        <v>0</v>
      </c>
      <c r="D414" s="74"/>
      <c r="E414" s="343">
        <f t="shared" si="2443"/>
        <v>0</v>
      </c>
      <c r="F414" s="74"/>
      <c r="G414" s="343">
        <f t="shared" si="2443"/>
        <v>0</v>
      </c>
      <c r="H414" s="74"/>
      <c r="I414" s="343">
        <f t="shared" si="2444"/>
        <v>0</v>
      </c>
      <c r="J414" s="74"/>
      <c r="K414" s="343">
        <f t="shared" si="2445"/>
        <v>0</v>
      </c>
      <c r="L414" s="74"/>
      <c r="M414" s="343">
        <f t="shared" si="2446"/>
        <v>0</v>
      </c>
      <c r="N414" s="74"/>
      <c r="O414" s="343">
        <f t="shared" si="2447"/>
        <v>0</v>
      </c>
      <c r="P414" s="74"/>
      <c r="Q414" s="343">
        <f t="shared" si="2448"/>
        <v>0</v>
      </c>
      <c r="R414" s="74"/>
      <c r="S414" s="343">
        <f t="shared" si="2449"/>
        <v>0</v>
      </c>
      <c r="T414" s="74"/>
      <c r="U414" s="343">
        <f t="shared" si="2450"/>
        <v>0</v>
      </c>
      <c r="V414" s="74"/>
      <c r="W414" s="343">
        <f t="shared" si="2451"/>
        <v>0</v>
      </c>
      <c r="X414" s="74"/>
      <c r="Y414" s="343">
        <f t="shared" si="2452"/>
        <v>0</v>
      </c>
      <c r="Z414" s="74"/>
      <c r="AA414" s="343">
        <f t="shared" si="2453"/>
        <v>0</v>
      </c>
      <c r="AB414" s="74"/>
      <c r="AC414" s="343">
        <f t="shared" si="2454"/>
        <v>0</v>
      </c>
      <c r="AD414" s="74"/>
      <c r="AE414" s="343">
        <f t="shared" si="2455"/>
        <v>0</v>
      </c>
    </row>
    <row r="415" spans="1:31" ht="19.149999999999999" customHeight="1" outlineLevel="1">
      <c r="A415" s="377" t="str">
        <f>A327</f>
        <v>ADDITIVE BROILER IMMUNE</v>
      </c>
      <c r="B415" s="74"/>
      <c r="C415" s="343">
        <f t="shared" si="2443"/>
        <v>0</v>
      </c>
      <c r="D415" s="74"/>
      <c r="E415" s="343">
        <f t="shared" si="2443"/>
        <v>0</v>
      </c>
      <c r="F415" s="74"/>
      <c r="G415" s="343">
        <f t="shared" si="2443"/>
        <v>0</v>
      </c>
      <c r="H415" s="74"/>
      <c r="I415" s="343">
        <f t="shared" si="2444"/>
        <v>0</v>
      </c>
      <c r="J415" s="74"/>
      <c r="K415" s="343">
        <f t="shared" si="2445"/>
        <v>0</v>
      </c>
      <c r="L415" s="74"/>
      <c r="M415" s="343">
        <f t="shared" si="2446"/>
        <v>0</v>
      </c>
      <c r="N415" s="74"/>
      <c r="O415" s="343">
        <f t="shared" si="2447"/>
        <v>0</v>
      </c>
      <c r="P415" s="74"/>
      <c r="Q415" s="343">
        <f t="shared" si="2448"/>
        <v>0</v>
      </c>
      <c r="R415" s="74"/>
      <c r="S415" s="343">
        <f t="shared" si="2449"/>
        <v>0</v>
      </c>
      <c r="T415" s="74"/>
      <c r="U415" s="343">
        <f t="shared" si="2450"/>
        <v>0</v>
      </c>
      <c r="V415" s="74"/>
      <c r="W415" s="343">
        <f t="shared" si="2451"/>
        <v>0</v>
      </c>
      <c r="X415" s="74"/>
      <c r="Y415" s="343">
        <f t="shared" si="2452"/>
        <v>0</v>
      </c>
      <c r="Z415" s="74"/>
      <c r="AA415" s="343">
        <f t="shared" si="2453"/>
        <v>0</v>
      </c>
      <c r="AB415" s="74"/>
      <c r="AC415" s="343">
        <f t="shared" si="2454"/>
        <v>0</v>
      </c>
      <c r="AD415" s="74"/>
      <c r="AE415" s="343">
        <f t="shared" si="2455"/>
        <v>0</v>
      </c>
    </row>
    <row r="416" spans="1:31" ht="19.149999999999999" customHeight="1" outlineLevel="1">
      <c r="A416" s="377" t="str">
        <f>A328</f>
        <v>MASTER CUBE (HARUMI)</v>
      </c>
      <c r="B416" s="74"/>
      <c r="C416" s="343">
        <f t="shared" si="2443"/>
        <v>0</v>
      </c>
      <c r="D416" s="74"/>
      <c r="E416" s="343">
        <f t="shared" si="2443"/>
        <v>0</v>
      </c>
      <c r="F416" s="74"/>
      <c r="G416" s="343">
        <f t="shared" si="2443"/>
        <v>0</v>
      </c>
      <c r="H416" s="74"/>
      <c r="I416" s="343">
        <f t="shared" si="2444"/>
        <v>0</v>
      </c>
      <c r="J416" s="74"/>
      <c r="K416" s="343">
        <f t="shared" si="2445"/>
        <v>0</v>
      </c>
      <c r="L416" s="74"/>
      <c r="M416" s="343">
        <f t="shared" si="2446"/>
        <v>0</v>
      </c>
      <c r="N416" s="74"/>
      <c r="O416" s="343">
        <f t="shared" si="2447"/>
        <v>0</v>
      </c>
      <c r="P416" s="74"/>
      <c r="Q416" s="343">
        <f t="shared" si="2448"/>
        <v>0</v>
      </c>
      <c r="R416" s="74"/>
      <c r="S416" s="343">
        <f t="shared" si="2449"/>
        <v>0</v>
      </c>
      <c r="T416" s="74"/>
      <c r="U416" s="343">
        <f t="shared" si="2450"/>
        <v>0</v>
      </c>
      <c r="V416" s="74"/>
      <c r="W416" s="343">
        <f t="shared" si="2451"/>
        <v>0</v>
      </c>
      <c r="X416" s="74"/>
      <c r="Y416" s="343">
        <f t="shared" si="2452"/>
        <v>0</v>
      </c>
      <c r="Z416" s="74"/>
      <c r="AA416" s="343">
        <f t="shared" si="2453"/>
        <v>0</v>
      </c>
      <c r="AB416" s="74"/>
      <c r="AC416" s="343">
        <f t="shared" si="2454"/>
        <v>0</v>
      </c>
      <c r="AD416" s="74"/>
      <c r="AE416" s="343">
        <f t="shared" si="2455"/>
        <v>0</v>
      </c>
    </row>
    <row r="417" spans="1:31" ht="19.149999999999999" customHeight="1" outlineLevel="1">
      <c r="A417" s="377" t="str">
        <f>A329</f>
        <v>1101 TOP UP (0.40KG)</v>
      </c>
      <c r="B417" s="74"/>
      <c r="C417" s="343">
        <f t="shared" si="2443"/>
        <v>0</v>
      </c>
      <c r="D417" s="74"/>
      <c r="E417" s="343">
        <f t="shared" si="2443"/>
        <v>0</v>
      </c>
      <c r="F417" s="74"/>
      <c r="G417" s="343">
        <f t="shared" si="2443"/>
        <v>0</v>
      </c>
      <c r="H417" s="74"/>
      <c r="I417" s="343">
        <f t="shared" si="2444"/>
        <v>0</v>
      </c>
      <c r="J417" s="74"/>
      <c r="K417" s="343">
        <f t="shared" si="2445"/>
        <v>0</v>
      </c>
      <c r="L417" s="74"/>
      <c r="M417" s="343">
        <f t="shared" si="2446"/>
        <v>0</v>
      </c>
      <c r="N417" s="74"/>
      <c r="O417" s="343">
        <f t="shared" si="2447"/>
        <v>0</v>
      </c>
      <c r="P417" s="74"/>
      <c r="Q417" s="343">
        <f t="shared" si="2448"/>
        <v>0</v>
      </c>
      <c r="R417" s="74"/>
      <c r="S417" s="343">
        <f t="shared" si="2449"/>
        <v>0</v>
      </c>
      <c r="T417" s="74"/>
      <c r="U417" s="343">
        <f t="shared" si="2450"/>
        <v>0</v>
      </c>
      <c r="V417" s="74"/>
      <c r="W417" s="343">
        <f t="shared" si="2451"/>
        <v>0</v>
      </c>
      <c r="X417" s="74"/>
      <c r="Y417" s="343">
        <f t="shared" si="2452"/>
        <v>0</v>
      </c>
      <c r="Z417" s="74"/>
      <c r="AA417" s="343">
        <f t="shared" si="2453"/>
        <v>0</v>
      </c>
      <c r="AB417" s="74"/>
      <c r="AC417" s="343">
        <f t="shared" si="2454"/>
        <v>0</v>
      </c>
      <c r="AD417" s="74"/>
      <c r="AE417" s="343">
        <f t="shared" si="2455"/>
        <v>0</v>
      </c>
    </row>
    <row r="418" spans="1:31" ht="19.149999999999999" customHeight="1" outlineLevel="1">
      <c r="A418" s="377" t="str">
        <f>A330</f>
        <v>1102 TOP UP (0.60KG)</v>
      </c>
      <c r="B418" s="74"/>
      <c r="C418" s="343">
        <f t="shared" si="2443"/>
        <v>0</v>
      </c>
      <c r="D418" s="74"/>
      <c r="E418" s="343">
        <f t="shared" si="2443"/>
        <v>0</v>
      </c>
      <c r="F418" s="74"/>
      <c r="G418" s="343">
        <f t="shared" si="2443"/>
        <v>0</v>
      </c>
      <c r="H418" s="74"/>
      <c r="I418" s="343">
        <f t="shared" si="2444"/>
        <v>0</v>
      </c>
      <c r="J418" s="74"/>
      <c r="K418" s="343">
        <f t="shared" si="2445"/>
        <v>0</v>
      </c>
      <c r="L418" s="74"/>
      <c r="M418" s="343">
        <f t="shared" si="2446"/>
        <v>0</v>
      </c>
      <c r="N418" s="74"/>
      <c r="O418" s="343">
        <f t="shared" si="2447"/>
        <v>0</v>
      </c>
      <c r="P418" s="74"/>
      <c r="Q418" s="343">
        <f t="shared" si="2448"/>
        <v>0</v>
      </c>
      <c r="R418" s="74"/>
      <c r="S418" s="343">
        <f t="shared" si="2449"/>
        <v>0</v>
      </c>
      <c r="T418" s="74"/>
      <c r="U418" s="343">
        <f t="shared" si="2450"/>
        <v>0</v>
      </c>
      <c r="V418" s="74"/>
      <c r="W418" s="343">
        <f t="shared" si="2451"/>
        <v>0</v>
      </c>
      <c r="X418" s="74"/>
      <c r="Y418" s="343">
        <f t="shared" si="2452"/>
        <v>0</v>
      </c>
      <c r="Z418" s="74"/>
      <c r="AA418" s="343">
        <f t="shared" si="2453"/>
        <v>0</v>
      </c>
      <c r="AB418" s="74"/>
      <c r="AC418" s="343">
        <f t="shared" si="2454"/>
        <v>0</v>
      </c>
      <c r="AD418" s="74"/>
      <c r="AE418" s="343">
        <f t="shared" si="2455"/>
        <v>0</v>
      </c>
    </row>
    <row r="419" spans="1:31" ht="19.149999999999999" customHeight="1" outlineLevel="1">
      <c r="A419" s="377" t="str">
        <f>A331</f>
        <v>1103 TOP UP (2.00KG)</v>
      </c>
      <c r="B419" s="74"/>
      <c r="C419" s="343">
        <f t="shared" si="2443"/>
        <v>0</v>
      </c>
      <c r="D419" s="74"/>
      <c r="E419" s="343">
        <f t="shared" si="2443"/>
        <v>0</v>
      </c>
      <c r="F419" s="74"/>
      <c r="G419" s="343">
        <f t="shared" si="2443"/>
        <v>0</v>
      </c>
      <c r="H419" s="74"/>
      <c r="I419" s="343">
        <f t="shared" si="2444"/>
        <v>0</v>
      </c>
      <c r="J419" s="74"/>
      <c r="K419" s="343">
        <f t="shared" si="2445"/>
        <v>0</v>
      </c>
      <c r="L419" s="74"/>
      <c r="M419" s="343">
        <f t="shared" si="2446"/>
        <v>0</v>
      </c>
      <c r="N419" s="74"/>
      <c r="O419" s="343">
        <f t="shared" si="2447"/>
        <v>0</v>
      </c>
      <c r="P419" s="74"/>
      <c r="Q419" s="343">
        <f t="shared" si="2448"/>
        <v>0</v>
      </c>
      <c r="R419" s="74"/>
      <c r="S419" s="343">
        <f t="shared" si="2449"/>
        <v>0</v>
      </c>
      <c r="T419" s="74"/>
      <c r="U419" s="343">
        <f t="shared" si="2450"/>
        <v>0</v>
      </c>
      <c r="V419" s="74"/>
      <c r="W419" s="343">
        <f t="shared" si="2451"/>
        <v>0</v>
      </c>
      <c r="X419" s="74"/>
      <c r="Y419" s="343">
        <f t="shared" si="2452"/>
        <v>0</v>
      </c>
      <c r="Z419" s="74"/>
      <c r="AA419" s="343">
        <f t="shared" si="2453"/>
        <v>0</v>
      </c>
      <c r="AB419" s="74"/>
      <c r="AC419" s="343">
        <f t="shared" si="2454"/>
        <v>0</v>
      </c>
      <c r="AD419" s="74"/>
      <c r="AE419" s="343">
        <f t="shared" si="2455"/>
        <v>0</v>
      </c>
    </row>
    <row r="420" spans="1:31" ht="19.149999999999999" customHeight="1" outlineLevel="1">
      <c r="A420" s="377" t="str">
        <f>A68</f>
        <v>QUANTUM GLO 4%</v>
      </c>
      <c r="B420" s="74"/>
      <c r="C420" s="348">
        <f>(B420/100)*1000</f>
        <v>0</v>
      </c>
      <c r="D420" s="74"/>
      <c r="E420" s="343">
        <f>(D420/100)*1000</f>
        <v>0</v>
      </c>
      <c r="F420" s="74"/>
      <c r="G420" s="343">
        <f>(F420/100)*1000</f>
        <v>0</v>
      </c>
      <c r="H420" s="74"/>
      <c r="I420" s="343">
        <f>(H420/100)*1000</f>
        <v>0</v>
      </c>
      <c r="J420" s="74"/>
      <c r="K420" s="343">
        <f>(J420/100)*1000</f>
        <v>0</v>
      </c>
      <c r="L420" s="74"/>
      <c r="M420" s="343">
        <f>(L420/100)*1000</f>
        <v>0</v>
      </c>
      <c r="N420" s="74"/>
      <c r="O420" s="343">
        <f>(N420/100)*1000</f>
        <v>0</v>
      </c>
      <c r="P420" s="74"/>
      <c r="Q420" s="343">
        <f>(P420/100)*1000</f>
        <v>0</v>
      </c>
      <c r="R420" s="74"/>
      <c r="S420" s="343">
        <f>(R420/100)*1000</f>
        <v>0</v>
      </c>
      <c r="T420" s="74"/>
      <c r="U420" s="343">
        <f>(T420/100)*1000</f>
        <v>0</v>
      </c>
      <c r="V420" s="74"/>
      <c r="W420" s="343">
        <f>(V420/100)*1000</f>
        <v>0</v>
      </c>
      <c r="X420" s="74"/>
      <c r="Y420" s="343">
        <f>(X420/100)*1000</f>
        <v>0</v>
      </c>
      <c r="Z420" s="74"/>
      <c r="AA420" s="343">
        <f>(Z420/100)*1000</f>
        <v>0</v>
      </c>
      <c r="AB420" s="74"/>
      <c r="AC420" s="343">
        <f>(AB420/100)*1000</f>
        <v>0</v>
      </c>
      <c r="AD420" s="74"/>
      <c r="AE420" s="343">
        <f>(AD420/100)*1000</f>
        <v>0</v>
      </c>
    </row>
    <row r="421" spans="1:31" ht="19.149999999999999" customHeight="1" outlineLevel="1">
      <c r="A421" s="377" t="str">
        <f>A69</f>
        <v>SALT</v>
      </c>
      <c r="B421" s="74"/>
      <c r="C421" s="352">
        <f t="shared" ref="C421:C432" si="2458">(B421/100)*1000</f>
        <v>0</v>
      </c>
      <c r="D421" s="74"/>
      <c r="E421" s="352">
        <f t="shared" ref="E421:E432" si="2459">(D421/100)*1000</f>
        <v>0</v>
      </c>
      <c r="F421" s="74"/>
      <c r="G421" s="343">
        <f t="shared" ref="G421:G432" si="2460">(F421/100)*1000</f>
        <v>0</v>
      </c>
      <c r="H421" s="74"/>
      <c r="I421" s="343">
        <f t="shared" ref="I421:I432" si="2461">(H421/100)*1000</f>
        <v>0</v>
      </c>
      <c r="J421" s="74"/>
      <c r="K421" s="343">
        <f t="shared" ref="K421:K432" si="2462">(J421/100)*1000</f>
        <v>0</v>
      </c>
      <c r="L421" s="74"/>
      <c r="M421" s="343">
        <f t="shared" ref="M421:M432" si="2463">(L421/100)*1000</f>
        <v>0</v>
      </c>
      <c r="N421" s="74"/>
      <c r="O421" s="343">
        <f t="shared" ref="O421:O432" si="2464">(N421/100)*1000</f>
        <v>0</v>
      </c>
      <c r="P421" s="74"/>
      <c r="Q421" s="343">
        <f t="shared" ref="Q421:Q432" si="2465">(P421/100)*1000</f>
        <v>0</v>
      </c>
      <c r="R421" s="74"/>
      <c r="S421" s="343">
        <f t="shared" ref="S421:S432" si="2466">(R421/100)*1000</f>
        <v>0</v>
      </c>
      <c r="T421" s="74"/>
      <c r="U421" s="343">
        <f t="shared" ref="U421:U432" si="2467">(T421/100)*1000</f>
        <v>0</v>
      </c>
      <c r="V421" s="74"/>
      <c r="W421" s="343">
        <f t="shared" ref="W421:W432" si="2468">(V421/100)*1000</f>
        <v>0</v>
      </c>
      <c r="X421" s="74"/>
      <c r="Y421" s="343">
        <f t="shared" ref="Y421:Y432" si="2469">(X421/100)*1000</f>
        <v>0</v>
      </c>
      <c r="Z421" s="74"/>
      <c r="AA421" s="343">
        <f t="shared" ref="AA421:AA432" si="2470">(Z421/100)*1000</f>
        <v>0</v>
      </c>
      <c r="AB421" s="74"/>
      <c r="AC421" s="343">
        <f t="shared" ref="AC421:AC432" si="2471">(AB421/100)*1000</f>
        <v>0</v>
      </c>
      <c r="AD421" s="74"/>
      <c r="AE421" s="343">
        <f t="shared" ref="AE421:AE432" si="2472">(AD421/100)*1000</f>
        <v>0</v>
      </c>
    </row>
    <row r="422" spans="1:31" ht="19.149999999999999" customHeight="1" outlineLevel="1">
      <c r="A422" s="377" t="str">
        <f>A70</f>
        <v>OC 200 - OXYTET 20%</v>
      </c>
      <c r="B422" s="74"/>
      <c r="C422" s="352">
        <f t="shared" si="2458"/>
        <v>0</v>
      </c>
      <c r="D422" s="74"/>
      <c r="E422" s="352">
        <f t="shared" si="2459"/>
        <v>0</v>
      </c>
      <c r="F422" s="74"/>
      <c r="G422" s="343">
        <f t="shared" si="2460"/>
        <v>0</v>
      </c>
      <c r="H422" s="74"/>
      <c r="I422" s="343">
        <f t="shared" si="2461"/>
        <v>0</v>
      </c>
      <c r="J422" s="74"/>
      <c r="K422" s="343">
        <f t="shared" si="2462"/>
        <v>0</v>
      </c>
      <c r="L422" s="74"/>
      <c r="M422" s="343">
        <f t="shared" si="2463"/>
        <v>0</v>
      </c>
      <c r="N422" s="74"/>
      <c r="O422" s="343">
        <f t="shared" si="2464"/>
        <v>0</v>
      </c>
      <c r="P422" s="74"/>
      <c r="Q422" s="343">
        <f t="shared" si="2465"/>
        <v>0</v>
      </c>
      <c r="R422" s="74"/>
      <c r="S422" s="343">
        <f t="shared" si="2466"/>
        <v>0</v>
      </c>
      <c r="T422" s="74"/>
      <c r="U422" s="343">
        <f t="shared" si="2467"/>
        <v>0</v>
      </c>
      <c r="V422" s="74"/>
      <c r="W422" s="343">
        <f t="shared" si="2468"/>
        <v>0</v>
      </c>
      <c r="X422" s="74"/>
      <c r="Y422" s="343">
        <f t="shared" si="2469"/>
        <v>0</v>
      </c>
      <c r="Z422" s="74"/>
      <c r="AA422" s="343">
        <f t="shared" si="2470"/>
        <v>0</v>
      </c>
      <c r="AB422" s="74"/>
      <c r="AC422" s="343">
        <f t="shared" si="2471"/>
        <v>0</v>
      </c>
      <c r="AD422" s="74"/>
      <c r="AE422" s="343">
        <f t="shared" si="2472"/>
        <v>0</v>
      </c>
    </row>
    <row r="423" spans="1:31" ht="19.149999999999999" customHeight="1" outlineLevel="1">
      <c r="A423" s="377">
        <f>A71</f>
        <v>3</v>
      </c>
      <c r="B423" s="74"/>
      <c r="C423" s="352">
        <f t="shared" si="2458"/>
        <v>0</v>
      </c>
      <c r="D423" s="74"/>
      <c r="E423" s="352">
        <f t="shared" si="2459"/>
        <v>0</v>
      </c>
      <c r="F423" s="74"/>
      <c r="G423" s="343">
        <f t="shared" si="2460"/>
        <v>0</v>
      </c>
      <c r="H423" s="74"/>
      <c r="I423" s="343">
        <f t="shared" si="2461"/>
        <v>0</v>
      </c>
      <c r="J423" s="74"/>
      <c r="K423" s="343">
        <f t="shared" si="2462"/>
        <v>0</v>
      </c>
      <c r="L423" s="74"/>
      <c r="M423" s="343">
        <f t="shared" si="2463"/>
        <v>0</v>
      </c>
      <c r="N423" s="74"/>
      <c r="O423" s="343">
        <f t="shared" si="2464"/>
        <v>0</v>
      </c>
      <c r="P423" s="74"/>
      <c r="Q423" s="343">
        <f t="shared" si="2465"/>
        <v>0</v>
      </c>
      <c r="R423" s="74"/>
      <c r="S423" s="343">
        <f t="shared" si="2466"/>
        <v>0</v>
      </c>
      <c r="T423" s="74"/>
      <c r="U423" s="343">
        <f t="shared" si="2467"/>
        <v>0</v>
      </c>
      <c r="V423" s="74"/>
      <c r="W423" s="343">
        <f t="shared" si="2468"/>
        <v>0</v>
      </c>
      <c r="X423" s="74"/>
      <c r="Y423" s="343">
        <f t="shared" si="2469"/>
        <v>0</v>
      </c>
      <c r="Z423" s="74"/>
      <c r="AA423" s="343">
        <f t="shared" si="2470"/>
        <v>0</v>
      </c>
      <c r="AB423" s="74"/>
      <c r="AC423" s="343">
        <f t="shared" si="2471"/>
        <v>0</v>
      </c>
      <c r="AD423" s="74"/>
      <c r="AE423" s="343">
        <f t="shared" si="2472"/>
        <v>0</v>
      </c>
    </row>
    <row r="424" spans="1:31" ht="19.149999999999999" customHeight="1" outlineLevel="1">
      <c r="A424" s="404">
        <f>A72</f>
        <v>4</v>
      </c>
      <c r="B424" s="74"/>
      <c r="C424" s="352">
        <f t="shared" si="2458"/>
        <v>0</v>
      </c>
      <c r="D424" s="74"/>
      <c r="E424" s="352">
        <f t="shared" si="2459"/>
        <v>0</v>
      </c>
      <c r="F424" s="74"/>
      <c r="G424" s="343">
        <f t="shared" si="2460"/>
        <v>0</v>
      </c>
      <c r="H424" s="74"/>
      <c r="I424" s="343">
        <f t="shared" si="2461"/>
        <v>0</v>
      </c>
      <c r="J424" s="74"/>
      <c r="K424" s="343">
        <f t="shared" si="2462"/>
        <v>0</v>
      </c>
      <c r="L424" s="74"/>
      <c r="M424" s="343">
        <f t="shared" si="2463"/>
        <v>0</v>
      </c>
      <c r="N424" s="74"/>
      <c r="O424" s="343">
        <f t="shared" si="2464"/>
        <v>0</v>
      </c>
      <c r="P424" s="74"/>
      <c r="Q424" s="343">
        <f t="shared" si="2465"/>
        <v>0</v>
      </c>
      <c r="R424" s="74"/>
      <c r="S424" s="343">
        <f t="shared" si="2466"/>
        <v>0</v>
      </c>
      <c r="T424" s="74"/>
      <c r="U424" s="343">
        <f t="shared" si="2467"/>
        <v>0</v>
      </c>
      <c r="V424" s="74"/>
      <c r="W424" s="343">
        <f t="shared" si="2468"/>
        <v>0</v>
      </c>
      <c r="X424" s="74"/>
      <c r="Y424" s="343">
        <f t="shared" si="2469"/>
        <v>0</v>
      </c>
      <c r="Z424" s="74"/>
      <c r="AA424" s="343">
        <f t="shared" si="2470"/>
        <v>0</v>
      </c>
      <c r="AB424" s="74"/>
      <c r="AC424" s="343">
        <f t="shared" si="2471"/>
        <v>0</v>
      </c>
      <c r="AD424" s="74"/>
      <c r="AE424" s="343">
        <f t="shared" si="2472"/>
        <v>0</v>
      </c>
    </row>
    <row r="425" spans="1:31" ht="19.149999999999999" customHeight="1" outlineLevel="1">
      <c r="A425" s="404" t="str">
        <f t="shared" ref="A425:A439" si="2473">A73</f>
        <v>WOVEN BAG (1101) - BLUE 50KG</v>
      </c>
      <c r="B425" s="74"/>
      <c r="C425" s="343">
        <f t="shared" si="2458"/>
        <v>0</v>
      </c>
      <c r="D425" s="74"/>
      <c r="E425" s="343">
        <f t="shared" si="2459"/>
        <v>0</v>
      </c>
      <c r="F425" s="74"/>
      <c r="G425" s="343">
        <f t="shared" si="2460"/>
        <v>0</v>
      </c>
      <c r="H425" s="74"/>
      <c r="I425" s="343">
        <f t="shared" si="2461"/>
        <v>0</v>
      </c>
      <c r="J425" s="74"/>
      <c r="K425" s="343">
        <f t="shared" si="2462"/>
        <v>0</v>
      </c>
      <c r="L425" s="74"/>
      <c r="M425" s="343">
        <f t="shared" si="2463"/>
        <v>0</v>
      </c>
      <c r="N425" s="74"/>
      <c r="O425" s="343">
        <f t="shared" si="2464"/>
        <v>0</v>
      </c>
      <c r="P425" s="74"/>
      <c r="Q425" s="343">
        <f t="shared" si="2465"/>
        <v>0</v>
      </c>
      <c r="R425" s="74"/>
      <c r="S425" s="343">
        <f t="shared" si="2466"/>
        <v>0</v>
      </c>
      <c r="T425" s="74"/>
      <c r="U425" s="343">
        <f t="shared" si="2467"/>
        <v>0</v>
      </c>
      <c r="V425" s="74"/>
      <c r="W425" s="343">
        <f t="shared" si="2468"/>
        <v>0</v>
      </c>
      <c r="X425" s="74"/>
      <c r="Y425" s="343">
        <f t="shared" si="2469"/>
        <v>0</v>
      </c>
      <c r="Z425" s="74"/>
      <c r="AA425" s="343">
        <f t="shared" si="2470"/>
        <v>0</v>
      </c>
      <c r="AB425" s="74"/>
      <c r="AC425" s="343">
        <f t="shared" si="2471"/>
        <v>0</v>
      </c>
      <c r="AD425" s="74"/>
      <c r="AE425" s="343">
        <f t="shared" si="2472"/>
        <v>0</v>
      </c>
    </row>
    <row r="426" spans="1:31" ht="19.149999999999999" customHeight="1" outlineLevel="1">
      <c r="A426" s="404" t="str">
        <f t="shared" si="2473"/>
        <v>WOVEN BAG (1102) - GREEN 50KG</v>
      </c>
      <c r="B426" s="74"/>
      <c r="C426" s="352">
        <f t="shared" si="2458"/>
        <v>0</v>
      </c>
      <c r="D426" s="74"/>
      <c r="E426" s="352">
        <f t="shared" si="2459"/>
        <v>0</v>
      </c>
      <c r="F426" s="74"/>
      <c r="G426" s="352">
        <f t="shared" si="2460"/>
        <v>0</v>
      </c>
      <c r="H426" s="74"/>
      <c r="I426" s="352">
        <f t="shared" si="2461"/>
        <v>0</v>
      </c>
      <c r="J426" s="74"/>
      <c r="K426" s="352">
        <f t="shared" si="2462"/>
        <v>0</v>
      </c>
      <c r="L426" s="74"/>
      <c r="M426" s="352">
        <f t="shared" si="2463"/>
        <v>0</v>
      </c>
      <c r="N426" s="74"/>
      <c r="O426" s="352">
        <f t="shared" si="2464"/>
        <v>0</v>
      </c>
      <c r="P426" s="74"/>
      <c r="Q426" s="352">
        <f t="shared" si="2465"/>
        <v>0</v>
      </c>
      <c r="R426" s="74"/>
      <c r="S426" s="352">
        <f t="shared" si="2466"/>
        <v>0</v>
      </c>
      <c r="T426" s="74"/>
      <c r="U426" s="352">
        <f t="shared" si="2467"/>
        <v>0</v>
      </c>
      <c r="V426" s="74"/>
      <c r="W426" s="352">
        <f t="shared" si="2468"/>
        <v>0</v>
      </c>
      <c r="X426" s="74"/>
      <c r="Y426" s="352">
        <f t="shared" si="2469"/>
        <v>0</v>
      </c>
      <c r="Z426" s="74"/>
      <c r="AA426" s="352">
        <f t="shared" si="2470"/>
        <v>0</v>
      </c>
      <c r="AB426" s="74"/>
      <c r="AC426" s="352">
        <f t="shared" si="2471"/>
        <v>0</v>
      </c>
      <c r="AD426" s="74"/>
      <c r="AE426" s="352">
        <f t="shared" si="2472"/>
        <v>0</v>
      </c>
    </row>
    <row r="427" spans="1:31" ht="19.149999999999999" customHeight="1" outlineLevel="1">
      <c r="A427" s="404" t="str">
        <f t="shared" si="2473"/>
        <v>WOVEN BAG (1103) - RED 50KG</v>
      </c>
      <c r="B427" s="74"/>
      <c r="C427" s="343">
        <f t="shared" si="2458"/>
        <v>0</v>
      </c>
      <c r="D427" s="74"/>
      <c r="E427" s="343">
        <f t="shared" si="2459"/>
        <v>0</v>
      </c>
      <c r="F427" s="74"/>
      <c r="G427" s="343">
        <f t="shared" si="2460"/>
        <v>0</v>
      </c>
      <c r="H427" s="74"/>
      <c r="I427" s="343">
        <f t="shared" si="2461"/>
        <v>0</v>
      </c>
      <c r="J427" s="74"/>
      <c r="K427" s="343">
        <f t="shared" si="2462"/>
        <v>0</v>
      </c>
      <c r="L427" s="74"/>
      <c r="M427" s="343">
        <f t="shared" si="2463"/>
        <v>0</v>
      </c>
      <c r="N427" s="74"/>
      <c r="O427" s="343">
        <f t="shared" si="2464"/>
        <v>0</v>
      </c>
      <c r="P427" s="74"/>
      <c r="Q427" s="343">
        <f t="shared" si="2465"/>
        <v>0</v>
      </c>
      <c r="R427" s="74"/>
      <c r="S427" s="343">
        <f t="shared" si="2466"/>
        <v>0</v>
      </c>
      <c r="T427" s="74"/>
      <c r="U427" s="343">
        <f t="shared" si="2467"/>
        <v>0</v>
      </c>
      <c r="V427" s="74"/>
      <c r="W427" s="343">
        <f t="shared" si="2468"/>
        <v>0</v>
      </c>
      <c r="X427" s="74"/>
      <c r="Y427" s="343">
        <f t="shared" si="2469"/>
        <v>0</v>
      </c>
      <c r="Z427" s="74"/>
      <c r="AA427" s="343">
        <f t="shared" si="2470"/>
        <v>0</v>
      </c>
      <c r="AB427" s="74"/>
      <c r="AC427" s="343">
        <f t="shared" si="2471"/>
        <v>0</v>
      </c>
      <c r="AD427" s="74"/>
      <c r="AE427" s="343">
        <f t="shared" si="2472"/>
        <v>0</v>
      </c>
    </row>
    <row r="428" spans="1:31" ht="19.149999999999999" customHeight="1" outlineLevel="1">
      <c r="A428" s="404" t="str">
        <f t="shared" si="2473"/>
        <v>PLAIN BAG 26" X 39" (50KG)</v>
      </c>
      <c r="B428" s="74"/>
      <c r="C428" s="343">
        <f t="shared" si="2458"/>
        <v>0</v>
      </c>
      <c r="D428" s="74"/>
      <c r="E428" s="343">
        <f t="shared" si="2459"/>
        <v>0</v>
      </c>
      <c r="F428" s="74"/>
      <c r="G428" s="343">
        <f t="shared" si="2460"/>
        <v>0</v>
      </c>
      <c r="H428" s="74"/>
      <c r="I428" s="343">
        <f t="shared" si="2461"/>
        <v>0</v>
      </c>
      <c r="J428" s="74"/>
      <c r="K428" s="343">
        <f t="shared" si="2462"/>
        <v>0</v>
      </c>
      <c r="L428" s="74"/>
      <c r="M428" s="343">
        <f t="shared" si="2463"/>
        <v>0</v>
      </c>
      <c r="N428" s="74"/>
      <c r="O428" s="343">
        <f t="shared" si="2464"/>
        <v>0</v>
      </c>
      <c r="P428" s="74"/>
      <c r="Q428" s="343">
        <f t="shared" si="2465"/>
        <v>0</v>
      </c>
      <c r="R428" s="74"/>
      <c r="S428" s="343">
        <f t="shared" si="2466"/>
        <v>0</v>
      </c>
      <c r="T428" s="74"/>
      <c r="U428" s="343">
        <f t="shared" si="2467"/>
        <v>0</v>
      </c>
      <c r="V428" s="74"/>
      <c r="W428" s="343">
        <f t="shared" si="2468"/>
        <v>0</v>
      </c>
      <c r="X428" s="74"/>
      <c r="Y428" s="343">
        <f t="shared" si="2469"/>
        <v>0</v>
      </c>
      <c r="Z428" s="74"/>
      <c r="AA428" s="343">
        <f t="shared" si="2470"/>
        <v>0</v>
      </c>
      <c r="AB428" s="74"/>
      <c r="AC428" s="343">
        <f t="shared" si="2471"/>
        <v>0</v>
      </c>
      <c r="AD428" s="74"/>
      <c r="AE428" s="343">
        <f t="shared" si="2472"/>
        <v>0</v>
      </c>
    </row>
    <row r="429" spans="1:31" ht="19.149999999999999" customHeight="1" outlineLevel="1">
      <c r="A429" s="404" t="str">
        <f t="shared" si="2473"/>
        <v>WOVEN BAG (8101) - KHAKI 50KG</v>
      </c>
      <c r="B429" s="74"/>
      <c r="C429" s="343">
        <f t="shared" si="2458"/>
        <v>0</v>
      </c>
      <c r="D429" s="74"/>
      <c r="E429" s="343">
        <f t="shared" si="2459"/>
        <v>0</v>
      </c>
      <c r="F429" s="74"/>
      <c r="G429" s="343">
        <f t="shared" si="2460"/>
        <v>0</v>
      </c>
      <c r="H429" s="74"/>
      <c r="I429" s="343">
        <f t="shared" si="2461"/>
        <v>0</v>
      </c>
      <c r="J429" s="74"/>
      <c r="K429" s="343">
        <f t="shared" si="2462"/>
        <v>0</v>
      </c>
      <c r="L429" s="74"/>
      <c r="M429" s="343">
        <f t="shared" si="2463"/>
        <v>0</v>
      </c>
      <c r="N429" s="74"/>
      <c r="O429" s="343">
        <f t="shared" si="2464"/>
        <v>0</v>
      </c>
      <c r="P429" s="74"/>
      <c r="Q429" s="343">
        <f t="shared" si="2465"/>
        <v>0</v>
      </c>
      <c r="R429" s="74"/>
      <c r="S429" s="343">
        <f t="shared" si="2466"/>
        <v>0</v>
      </c>
      <c r="T429" s="74"/>
      <c r="U429" s="343">
        <f t="shared" si="2467"/>
        <v>0</v>
      </c>
      <c r="V429" s="74"/>
      <c r="W429" s="343">
        <f t="shared" si="2468"/>
        <v>0</v>
      </c>
      <c r="X429" s="74"/>
      <c r="Y429" s="343">
        <f t="shared" si="2469"/>
        <v>0</v>
      </c>
      <c r="Z429" s="74"/>
      <c r="AA429" s="343">
        <f t="shared" si="2470"/>
        <v>0</v>
      </c>
      <c r="AB429" s="74"/>
      <c r="AC429" s="343">
        <f t="shared" si="2471"/>
        <v>0</v>
      </c>
      <c r="AD429" s="74"/>
      <c r="AE429" s="343">
        <f t="shared" si="2472"/>
        <v>0</v>
      </c>
    </row>
    <row r="430" spans="1:31" ht="19.149999999999999" customHeight="1" outlineLevel="1">
      <c r="A430" s="404" t="str">
        <f t="shared" si="2473"/>
        <v>WOVEN BAG (8102) - SKY BLUE 50KG</v>
      </c>
      <c r="B430" s="74"/>
      <c r="C430" s="343">
        <f t="shared" si="2458"/>
        <v>0</v>
      </c>
      <c r="D430" s="74"/>
      <c r="E430" s="343">
        <f t="shared" si="2459"/>
        <v>0</v>
      </c>
      <c r="F430" s="74"/>
      <c r="G430" s="343">
        <f t="shared" si="2460"/>
        <v>0</v>
      </c>
      <c r="H430" s="74"/>
      <c r="I430" s="343">
        <f t="shared" si="2461"/>
        <v>0</v>
      </c>
      <c r="J430" s="74"/>
      <c r="K430" s="343">
        <f t="shared" si="2462"/>
        <v>0</v>
      </c>
      <c r="L430" s="74"/>
      <c r="M430" s="343">
        <f t="shared" si="2463"/>
        <v>0</v>
      </c>
      <c r="N430" s="74"/>
      <c r="O430" s="343">
        <f t="shared" si="2464"/>
        <v>0</v>
      </c>
      <c r="P430" s="74"/>
      <c r="Q430" s="343">
        <f t="shared" si="2465"/>
        <v>0</v>
      </c>
      <c r="R430" s="74"/>
      <c r="S430" s="343">
        <f t="shared" si="2466"/>
        <v>0</v>
      </c>
      <c r="T430" s="74"/>
      <c r="U430" s="343">
        <f t="shared" si="2467"/>
        <v>0</v>
      </c>
      <c r="V430" s="74"/>
      <c r="W430" s="343">
        <f t="shared" si="2468"/>
        <v>0</v>
      </c>
      <c r="X430" s="74"/>
      <c r="Y430" s="343">
        <f t="shared" si="2469"/>
        <v>0</v>
      </c>
      <c r="Z430" s="74"/>
      <c r="AA430" s="343">
        <f t="shared" si="2470"/>
        <v>0</v>
      </c>
      <c r="AB430" s="74"/>
      <c r="AC430" s="343">
        <f t="shared" si="2471"/>
        <v>0</v>
      </c>
      <c r="AD430" s="74"/>
      <c r="AE430" s="343">
        <f t="shared" si="2472"/>
        <v>0</v>
      </c>
    </row>
    <row r="431" spans="1:31" ht="19.149999999999999" customHeight="1" outlineLevel="1">
      <c r="A431" s="404" t="str">
        <f t="shared" si="2473"/>
        <v>WOVEN BAG (8103) - BROWN 50KG</v>
      </c>
      <c r="B431" s="74"/>
      <c r="C431" s="343">
        <f t="shared" si="2458"/>
        <v>0</v>
      </c>
      <c r="D431" s="74"/>
      <c r="E431" s="343">
        <f t="shared" si="2459"/>
        <v>0</v>
      </c>
      <c r="F431" s="74"/>
      <c r="G431" s="343">
        <f t="shared" si="2460"/>
        <v>0</v>
      </c>
      <c r="H431" s="74"/>
      <c r="I431" s="343">
        <f t="shared" si="2461"/>
        <v>0</v>
      </c>
      <c r="J431" s="74"/>
      <c r="K431" s="343">
        <f t="shared" si="2462"/>
        <v>0</v>
      </c>
      <c r="L431" s="74"/>
      <c r="M431" s="343">
        <f t="shared" si="2463"/>
        <v>0</v>
      </c>
      <c r="N431" s="74"/>
      <c r="O431" s="343">
        <f t="shared" si="2464"/>
        <v>0</v>
      </c>
      <c r="P431" s="74"/>
      <c r="Q431" s="343">
        <f t="shared" si="2465"/>
        <v>0</v>
      </c>
      <c r="R431" s="74"/>
      <c r="S431" s="343">
        <f t="shared" si="2466"/>
        <v>0</v>
      </c>
      <c r="T431" s="74"/>
      <c r="U431" s="343">
        <f t="shared" si="2467"/>
        <v>0</v>
      </c>
      <c r="V431" s="74"/>
      <c r="W431" s="343">
        <f t="shared" si="2468"/>
        <v>0</v>
      </c>
      <c r="X431" s="74"/>
      <c r="Y431" s="343">
        <f t="shared" si="2469"/>
        <v>0</v>
      </c>
      <c r="Z431" s="74"/>
      <c r="AA431" s="343">
        <f t="shared" si="2470"/>
        <v>0</v>
      </c>
      <c r="AB431" s="74"/>
      <c r="AC431" s="343">
        <f t="shared" si="2471"/>
        <v>0</v>
      </c>
      <c r="AD431" s="74"/>
      <c r="AE431" s="343">
        <f t="shared" si="2472"/>
        <v>0</v>
      </c>
    </row>
    <row r="432" spans="1:31" ht="19.149999999999999" customHeight="1" outlineLevel="1">
      <c r="A432" s="404">
        <f t="shared" si="2473"/>
        <v>1</v>
      </c>
      <c r="B432" s="74"/>
      <c r="C432" s="343">
        <f t="shared" si="2458"/>
        <v>0</v>
      </c>
      <c r="D432" s="74"/>
      <c r="E432" s="343">
        <f t="shared" si="2459"/>
        <v>0</v>
      </c>
      <c r="F432" s="74"/>
      <c r="G432" s="343">
        <f t="shared" si="2460"/>
        <v>0</v>
      </c>
      <c r="H432" s="74"/>
      <c r="I432" s="343">
        <f t="shared" si="2461"/>
        <v>0</v>
      </c>
      <c r="J432" s="74"/>
      <c r="K432" s="343">
        <f t="shared" si="2462"/>
        <v>0</v>
      </c>
      <c r="L432" s="74"/>
      <c r="M432" s="343">
        <f t="shared" si="2463"/>
        <v>0</v>
      </c>
      <c r="N432" s="74"/>
      <c r="O432" s="343">
        <f t="shared" si="2464"/>
        <v>0</v>
      </c>
      <c r="P432" s="74"/>
      <c r="Q432" s="343">
        <f t="shared" si="2465"/>
        <v>0</v>
      </c>
      <c r="R432" s="74"/>
      <c r="S432" s="343">
        <f t="shared" si="2466"/>
        <v>0</v>
      </c>
      <c r="T432" s="74"/>
      <c r="U432" s="343">
        <f t="shared" si="2467"/>
        <v>0</v>
      </c>
      <c r="V432" s="74"/>
      <c r="W432" s="343">
        <f t="shared" si="2468"/>
        <v>0</v>
      </c>
      <c r="X432" s="74"/>
      <c r="Y432" s="343">
        <f t="shared" si="2469"/>
        <v>0</v>
      </c>
      <c r="Z432" s="74"/>
      <c r="AA432" s="343">
        <f t="shared" si="2470"/>
        <v>0</v>
      </c>
      <c r="AB432" s="74"/>
      <c r="AC432" s="343">
        <f t="shared" si="2471"/>
        <v>0</v>
      </c>
      <c r="AD432" s="74"/>
      <c r="AE432" s="343">
        <f t="shared" si="2472"/>
        <v>0</v>
      </c>
    </row>
    <row r="433" spans="1:33" ht="19.149999999999999" customHeight="1" outlineLevel="1">
      <c r="A433" s="404">
        <f t="shared" si="2473"/>
        <v>2</v>
      </c>
      <c r="B433" s="74"/>
      <c r="C433" s="348">
        <f>(B433/100)*1000</f>
        <v>0</v>
      </c>
      <c r="D433" s="74"/>
      <c r="E433" s="343">
        <f>(D433/100)*1000</f>
        <v>0</v>
      </c>
      <c r="F433" s="74"/>
      <c r="G433" s="343">
        <f>(F433/100)*1000</f>
        <v>0</v>
      </c>
      <c r="H433" s="74"/>
      <c r="I433" s="343">
        <f>(H433/100)*1000</f>
        <v>0</v>
      </c>
      <c r="J433" s="74"/>
      <c r="K433" s="343">
        <f>(J433/100)*1000</f>
        <v>0</v>
      </c>
      <c r="L433" s="74"/>
      <c r="M433" s="343">
        <f>(L433/100)*1000</f>
        <v>0</v>
      </c>
      <c r="N433" s="74"/>
      <c r="O433" s="343">
        <f>(N433/100)*1000</f>
        <v>0</v>
      </c>
      <c r="P433" s="74"/>
      <c r="Q433" s="343">
        <f>(P433/100)*1000</f>
        <v>0</v>
      </c>
      <c r="R433" s="74"/>
      <c r="S433" s="343">
        <f>(R433/100)*1000</f>
        <v>0</v>
      </c>
      <c r="T433" s="74"/>
      <c r="U433" s="343">
        <f>(T433/100)*1000</f>
        <v>0</v>
      </c>
      <c r="V433" s="74"/>
      <c r="W433" s="343">
        <f>(V433/100)*1000</f>
        <v>0</v>
      </c>
      <c r="X433" s="74"/>
      <c r="Y433" s="343">
        <f>(X433/100)*1000</f>
        <v>0</v>
      </c>
      <c r="Z433" s="74"/>
      <c r="AA433" s="343">
        <f>(Z433/100)*1000</f>
        <v>0</v>
      </c>
      <c r="AB433" s="74"/>
      <c r="AC433" s="343">
        <f>(AB433/100)*1000</f>
        <v>0</v>
      </c>
      <c r="AD433" s="74"/>
      <c r="AE433" s="343">
        <f>(AD433/100)*1000</f>
        <v>0</v>
      </c>
    </row>
    <row r="434" spans="1:33" ht="19.149999999999999" customHeight="1" outlineLevel="1">
      <c r="A434" s="404">
        <f t="shared" si="2473"/>
        <v>3</v>
      </c>
      <c r="B434" s="74"/>
      <c r="C434" s="352">
        <f t="shared" ref="C434:C439" si="2474">(B434/100)*1000</f>
        <v>0</v>
      </c>
      <c r="D434" s="74"/>
      <c r="E434" s="352">
        <f t="shared" ref="E434:E439" si="2475">(D434/100)*1000</f>
        <v>0</v>
      </c>
      <c r="F434" s="74"/>
      <c r="G434" s="343">
        <f t="shared" ref="G434:G439" si="2476">(F434/100)*1000</f>
        <v>0</v>
      </c>
      <c r="H434" s="74"/>
      <c r="I434" s="343">
        <f t="shared" ref="I434:I439" si="2477">(H434/100)*1000</f>
        <v>0</v>
      </c>
      <c r="J434" s="74"/>
      <c r="K434" s="343">
        <f t="shared" ref="K434:K439" si="2478">(J434/100)*1000</f>
        <v>0</v>
      </c>
      <c r="L434" s="74"/>
      <c r="M434" s="343">
        <f t="shared" ref="M434:M439" si="2479">(L434/100)*1000</f>
        <v>0</v>
      </c>
      <c r="N434" s="74"/>
      <c r="O434" s="343">
        <f t="shared" ref="O434:O439" si="2480">(N434/100)*1000</f>
        <v>0</v>
      </c>
      <c r="P434" s="74"/>
      <c r="Q434" s="343">
        <f t="shared" ref="Q434:Q439" si="2481">(P434/100)*1000</f>
        <v>0</v>
      </c>
      <c r="R434" s="74"/>
      <c r="S434" s="343">
        <f t="shared" ref="S434:S439" si="2482">(R434/100)*1000</f>
        <v>0</v>
      </c>
      <c r="T434" s="74"/>
      <c r="U434" s="343">
        <f t="shared" ref="U434:U439" si="2483">(T434/100)*1000</f>
        <v>0</v>
      </c>
      <c r="V434" s="74"/>
      <c r="W434" s="343">
        <f t="shared" ref="W434:W439" si="2484">(V434/100)*1000</f>
        <v>0</v>
      </c>
      <c r="X434" s="74"/>
      <c r="Y434" s="343">
        <f t="shared" ref="Y434:Y439" si="2485">(X434/100)*1000</f>
        <v>0</v>
      </c>
      <c r="Z434" s="74"/>
      <c r="AA434" s="343">
        <f t="shared" ref="AA434:AA439" si="2486">(Z434/100)*1000</f>
        <v>0</v>
      </c>
      <c r="AB434" s="74"/>
      <c r="AC434" s="343">
        <f t="shared" ref="AC434:AC439" si="2487">(AB434/100)*1000</f>
        <v>0</v>
      </c>
      <c r="AD434" s="74"/>
      <c r="AE434" s="343">
        <f t="shared" ref="AE434:AE439" si="2488">(AD434/100)*1000</f>
        <v>0</v>
      </c>
    </row>
    <row r="435" spans="1:33" ht="19.149999999999999" customHeight="1" outlineLevel="1">
      <c r="A435" s="404">
        <f t="shared" si="2473"/>
        <v>4</v>
      </c>
      <c r="B435" s="74"/>
      <c r="C435" s="352">
        <f t="shared" si="2474"/>
        <v>0</v>
      </c>
      <c r="D435" s="74"/>
      <c r="E435" s="352">
        <f t="shared" si="2475"/>
        <v>0</v>
      </c>
      <c r="F435" s="74"/>
      <c r="G435" s="343">
        <f t="shared" si="2476"/>
        <v>0</v>
      </c>
      <c r="H435" s="74"/>
      <c r="I435" s="343">
        <f t="shared" si="2477"/>
        <v>0</v>
      </c>
      <c r="J435" s="74"/>
      <c r="K435" s="343">
        <f t="shared" si="2478"/>
        <v>0</v>
      </c>
      <c r="L435" s="74"/>
      <c r="M435" s="343">
        <f t="shared" si="2479"/>
        <v>0</v>
      </c>
      <c r="N435" s="74"/>
      <c r="O435" s="343">
        <f t="shared" si="2480"/>
        <v>0</v>
      </c>
      <c r="P435" s="74"/>
      <c r="Q435" s="343">
        <f t="shared" si="2481"/>
        <v>0</v>
      </c>
      <c r="R435" s="74"/>
      <c r="S435" s="343">
        <f t="shared" si="2482"/>
        <v>0</v>
      </c>
      <c r="T435" s="74"/>
      <c r="U435" s="343">
        <f t="shared" si="2483"/>
        <v>0</v>
      </c>
      <c r="V435" s="74"/>
      <c r="W435" s="343">
        <f t="shared" si="2484"/>
        <v>0</v>
      </c>
      <c r="X435" s="74"/>
      <c r="Y435" s="343">
        <f t="shared" si="2485"/>
        <v>0</v>
      </c>
      <c r="Z435" s="74"/>
      <c r="AA435" s="343">
        <f t="shared" si="2486"/>
        <v>0</v>
      </c>
      <c r="AB435" s="74"/>
      <c r="AC435" s="343">
        <f t="shared" si="2487"/>
        <v>0</v>
      </c>
      <c r="AD435" s="74"/>
      <c r="AE435" s="343">
        <f t="shared" si="2488"/>
        <v>0</v>
      </c>
    </row>
    <row r="436" spans="1:33" ht="19.149999999999999" customHeight="1" outlineLevel="1">
      <c r="A436" s="404">
        <f t="shared" si="2473"/>
        <v>5</v>
      </c>
      <c r="B436" s="74"/>
      <c r="C436" s="352">
        <f t="shared" si="2474"/>
        <v>0</v>
      </c>
      <c r="D436" s="74"/>
      <c r="E436" s="352">
        <f t="shared" si="2475"/>
        <v>0</v>
      </c>
      <c r="F436" s="74"/>
      <c r="G436" s="343">
        <f t="shared" si="2476"/>
        <v>0</v>
      </c>
      <c r="H436" s="74"/>
      <c r="I436" s="343">
        <f t="shared" si="2477"/>
        <v>0</v>
      </c>
      <c r="J436" s="74"/>
      <c r="K436" s="343">
        <f t="shared" si="2478"/>
        <v>0</v>
      </c>
      <c r="L436" s="74"/>
      <c r="M436" s="343">
        <f t="shared" si="2479"/>
        <v>0</v>
      </c>
      <c r="N436" s="74"/>
      <c r="O436" s="343">
        <f t="shared" si="2480"/>
        <v>0</v>
      </c>
      <c r="P436" s="74"/>
      <c r="Q436" s="343">
        <f t="shared" si="2481"/>
        <v>0</v>
      </c>
      <c r="R436" s="74"/>
      <c r="S436" s="343">
        <f t="shared" si="2482"/>
        <v>0</v>
      </c>
      <c r="T436" s="74"/>
      <c r="U436" s="343">
        <f t="shared" si="2483"/>
        <v>0</v>
      </c>
      <c r="V436" s="74"/>
      <c r="W436" s="343">
        <f t="shared" si="2484"/>
        <v>0</v>
      </c>
      <c r="X436" s="74"/>
      <c r="Y436" s="343">
        <f t="shared" si="2485"/>
        <v>0</v>
      </c>
      <c r="Z436" s="74"/>
      <c r="AA436" s="343">
        <f t="shared" si="2486"/>
        <v>0</v>
      </c>
      <c r="AB436" s="74"/>
      <c r="AC436" s="343">
        <f t="shared" si="2487"/>
        <v>0</v>
      </c>
      <c r="AD436" s="74"/>
      <c r="AE436" s="343">
        <f t="shared" si="2488"/>
        <v>0</v>
      </c>
    </row>
    <row r="437" spans="1:33" ht="19.149999999999999" customHeight="1" outlineLevel="1">
      <c r="A437" s="404">
        <f t="shared" si="2473"/>
        <v>6</v>
      </c>
      <c r="B437" s="74"/>
      <c r="C437" s="352">
        <f t="shared" si="2474"/>
        <v>0</v>
      </c>
      <c r="D437" s="74"/>
      <c r="E437" s="352">
        <f t="shared" si="2475"/>
        <v>0</v>
      </c>
      <c r="F437" s="74"/>
      <c r="G437" s="343">
        <f t="shared" si="2476"/>
        <v>0</v>
      </c>
      <c r="H437" s="74"/>
      <c r="I437" s="343">
        <f t="shared" si="2477"/>
        <v>0</v>
      </c>
      <c r="J437" s="74"/>
      <c r="K437" s="343">
        <f t="shared" si="2478"/>
        <v>0</v>
      </c>
      <c r="L437" s="74"/>
      <c r="M437" s="343">
        <f t="shared" si="2479"/>
        <v>0</v>
      </c>
      <c r="N437" s="74"/>
      <c r="O437" s="343">
        <f t="shared" si="2480"/>
        <v>0</v>
      </c>
      <c r="P437" s="74"/>
      <c r="Q437" s="343">
        <f t="shared" si="2481"/>
        <v>0</v>
      </c>
      <c r="R437" s="74"/>
      <c r="S437" s="343">
        <f t="shared" si="2482"/>
        <v>0</v>
      </c>
      <c r="T437" s="74"/>
      <c r="U437" s="343">
        <f t="shared" si="2483"/>
        <v>0</v>
      </c>
      <c r="V437" s="74"/>
      <c r="W437" s="343">
        <f t="shared" si="2484"/>
        <v>0</v>
      </c>
      <c r="X437" s="74"/>
      <c r="Y437" s="343">
        <f t="shared" si="2485"/>
        <v>0</v>
      </c>
      <c r="Z437" s="74"/>
      <c r="AA437" s="343">
        <f t="shared" si="2486"/>
        <v>0</v>
      </c>
      <c r="AB437" s="74"/>
      <c r="AC437" s="343">
        <f t="shared" si="2487"/>
        <v>0</v>
      </c>
      <c r="AD437" s="74"/>
      <c r="AE437" s="343">
        <f t="shared" si="2488"/>
        <v>0</v>
      </c>
    </row>
    <row r="438" spans="1:33" ht="19.149999999999999" customHeight="1" outlineLevel="1">
      <c r="A438" s="404">
        <f t="shared" si="2473"/>
        <v>7</v>
      </c>
      <c r="B438" s="74"/>
      <c r="C438" s="343">
        <f t="shared" si="2474"/>
        <v>0</v>
      </c>
      <c r="D438" s="74"/>
      <c r="E438" s="343">
        <f t="shared" si="2475"/>
        <v>0</v>
      </c>
      <c r="F438" s="74"/>
      <c r="G438" s="343">
        <f t="shared" si="2476"/>
        <v>0</v>
      </c>
      <c r="H438" s="74"/>
      <c r="I438" s="343">
        <f t="shared" si="2477"/>
        <v>0</v>
      </c>
      <c r="J438" s="74"/>
      <c r="K438" s="343">
        <f t="shared" si="2478"/>
        <v>0</v>
      </c>
      <c r="L438" s="74"/>
      <c r="M438" s="343">
        <f t="shared" si="2479"/>
        <v>0</v>
      </c>
      <c r="N438" s="74"/>
      <c r="O438" s="343">
        <f t="shared" si="2480"/>
        <v>0</v>
      </c>
      <c r="P438" s="74"/>
      <c r="Q438" s="343">
        <f t="shared" si="2481"/>
        <v>0</v>
      </c>
      <c r="R438" s="74"/>
      <c r="S438" s="343">
        <f t="shared" si="2482"/>
        <v>0</v>
      </c>
      <c r="T438" s="74"/>
      <c r="U438" s="343">
        <f t="shared" si="2483"/>
        <v>0</v>
      </c>
      <c r="V438" s="74"/>
      <c r="W438" s="343">
        <f t="shared" si="2484"/>
        <v>0</v>
      </c>
      <c r="X438" s="74"/>
      <c r="Y438" s="343">
        <f t="shared" si="2485"/>
        <v>0</v>
      </c>
      <c r="Z438" s="74"/>
      <c r="AA438" s="343">
        <f t="shared" si="2486"/>
        <v>0</v>
      </c>
      <c r="AB438" s="74"/>
      <c r="AC438" s="343">
        <f t="shared" si="2487"/>
        <v>0</v>
      </c>
      <c r="AD438" s="74"/>
      <c r="AE438" s="343">
        <f t="shared" si="2488"/>
        <v>0</v>
      </c>
    </row>
    <row r="439" spans="1:33" ht="19.149999999999999" customHeight="1" outlineLevel="1">
      <c r="A439" s="404">
        <f t="shared" si="2473"/>
        <v>8</v>
      </c>
      <c r="B439" s="74"/>
      <c r="C439" s="352">
        <f t="shared" si="2474"/>
        <v>0</v>
      </c>
      <c r="D439" s="74"/>
      <c r="E439" s="352">
        <f t="shared" si="2475"/>
        <v>0</v>
      </c>
      <c r="F439" s="74"/>
      <c r="G439" s="352">
        <f t="shared" si="2476"/>
        <v>0</v>
      </c>
      <c r="H439" s="74"/>
      <c r="I439" s="352">
        <f t="shared" si="2477"/>
        <v>0</v>
      </c>
      <c r="J439" s="74"/>
      <c r="K439" s="352">
        <f t="shared" si="2478"/>
        <v>0</v>
      </c>
      <c r="L439" s="74"/>
      <c r="M439" s="352">
        <f t="shared" si="2479"/>
        <v>0</v>
      </c>
      <c r="N439" s="74"/>
      <c r="O439" s="352">
        <f t="shared" si="2480"/>
        <v>0</v>
      </c>
      <c r="P439" s="74"/>
      <c r="Q439" s="352">
        <f t="shared" si="2481"/>
        <v>0</v>
      </c>
      <c r="R439" s="74"/>
      <c r="S439" s="352">
        <f t="shared" si="2482"/>
        <v>0</v>
      </c>
      <c r="T439" s="74"/>
      <c r="U439" s="352">
        <f t="shared" si="2483"/>
        <v>0</v>
      </c>
      <c r="V439" s="74"/>
      <c r="W439" s="352">
        <f t="shared" si="2484"/>
        <v>0</v>
      </c>
      <c r="X439" s="74"/>
      <c r="Y439" s="352">
        <f t="shared" si="2485"/>
        <v>0</v>
      </c>
      <c r="Z439" s="74"/>
      <c r="AA439" s="352">
        <f t="shared" si="2486"/>
        <v>0</v>
      </c>
      <c r="AB439" s="74"/>
      <c r="AC439" s="352">
        <f t="shared" si="2487"/>
        <v>0</v>
      </c>
      <c r="AD439" s="74"/>
      <c r="AE439" s="352">
        <f t="shared" si="2488"/>
        <v>0</v>
      </c>
    </row>
    <row r="440" spans="1:33" ht="19.149999999999999" customHeight="1" outlineLevel="1" thickBot="1">
      <c r="A440" s="369" t="s">
        <v>72</v>
      </c>
      <c r="B440" s="355">
        <f t="shared" ref="B440:AE440" si="2489">SUM(B358:B439)</f>
        <v>100</v>
      </c>
      <c r="C440" s="371">
        <f t="shared" si="2489"/>
        <v>1000</v>
      </c>
      <c r="D440" s="355">
        <f t="shared" si="2489"/>
        <v>100.00000000000001</v>
      </c>
      <c r="E440" s="371">
        <f t="shared" si="2489"/>
        <v>1000.0000000000002</v>
      </c>
      <c r="F440" s="355">
        <f t="shared" si="2489"/>
        <v>0</v>
      </c>
      <c r="G440" s="371">
        <f t="shared" si="2489"/>
        <v>0</v>
      </c>
      <c r="H440" s="355">
        <f t="shared" si="2489"/>
        <v>100</v>
      </c>
      <c r="I440" s="371">
        <f t="shared" si="2489"/>
        <v>1000</v>
      </c>
      <c r="J440" s="355">
        <f t="shared" si="2489"/>
        <v>99.999999999999986</v>
      </c>
      <c r="K440" s="371">
        <f t="shared" si="2489"/>
        <v>1000</v>
      </c>
      <c r="L440" s="355">
        <f t="shared" si="2489"/>
        <v>100</v>
      </c>
      <c r="M440" s="371">
        <f t="shared" si="2489"/>
        <v>999.99999999999989</v>
      </c>
      <c r="N440" s="355">
        <f t="shared" si="2489"/>
        <v>100</v>
      </c>
      <c r="O440" s="371">
        <f t="shared" si="2489"/>
        <v>999.99999999999989</v>
      </c>
      <c r="P440" s="355">
        <f t="shared" si="2489"/>
        <v>100</v>
      </c>
      <c r="Q440" s="371">
        <f t="shared" si="2489"/>
        <v>999.99999999999989</v>
      </c>
      <c r="R440" s="355">
        <f t="shared" si="2489"/>
        <v>100</v>
      </c>
      <c r="S440" s="371">
        <f t="shared" si="2489"/>
        <v>999.99999999999989</v>
      </c>
      <c r="T440" s="355">
        <f t="shared" si="2489"/>
        <v>99.999999999999986</v>
      </c>
      <c r="U440" s="371">
        <f t="shared" si="2489"/>
        <v>999.99999999999989</v>
      </c>
      <c r="V440" s="355">
        <f t="shared" si="2489"/>
        <v>99.999999999999986</v>
      </c>
      <c r="W440" s="371">
        <f t="shared" si="2489"/>
        <v>999.99999999999989</v>
      </c>
      <c r="X440" s="355">
        <f t="shared" si="2489"/>
        <v>100</v>
      </c>
      <c r="Y440" s="371">
        <f t="shared" si="2489"/>
        <v>1000</v>
      </c>
      <c r="Z440" s="355">
        <f t="shared" si="2489"/>
        <v>99.999999999999986</v>
      </c>
      <c r="AA440" s="371">
        <f t="shared" si="2489"/>
        <v>999.99999999999989</v>
      </c>
      <c r="AB440" s="355">
        <f t="shared" si="2489"/>
        <v>99.999999999999986</v>
      </c>
      <c r="AC440" s="371">
        <f t="shared" si="2489"/>
        <v>999.99999999999989</v>
      </c>
      <c r="AD440" s="355">
        <f t="shared" si="2489"/>
        <v>99.999999999999972</v>
      </c>
      <c r="AE440" s="371">
        <f t="shared" si="2489"/>
        <v>999.99999999999989</v>
      </c>
    </row>
    <row r="441" spans="1:33" ht="15" customHeight="1" thickBot="1">
      <c r="A441" s="286"/>
      <c r="B441" s="250"/>
      <c r="C441" s="250"/>
      <c r="D441" s="250"/>
      <c r="E441" s="250"/>
      <c r="F441" s="250"/>
      <c r="G441" s="250"/>
      <c r="H441" s="250"/>
      <c r="I441" s="250"/>
      <c r="J441" s="250"/>
      <c r="K441" s="250"/>
      <c r="L441" s="250"/>
      <c r="M441" s="250"/>
      <c r="N441" s="250"/>
      <c r="O441" s="250"/>
      <c r="P441" s="250"/>
      <c r="Q441" s="250"/>
      <c r="R441" s="691"/>
      <c r="S441" s="691"/>
      <c r="T441" s="691"/>
      <c r="U441" s="691"/>
      <c r="V441" s="691"/>
      <c r="W441" s="691"/>
      <c r="X441" s="691"/>
      <c r="Y441" s="691"/>
      <c r="Z441" s="691"/>
      <c r="AA441" s="691"/>
      <c r="AB441" s="691"/>
      <c r="AC441" s="691"/>
      <c r="AD441" s="691"/>
      <c r="AE441" s="691"/>
    </row>
    <row r="442" spans="1:33" ht="15" customHeight="1" thickBot="1">
      <c r="A442" s="692" t="s">
        <v>105</v>
      </c>
      <c r="B442" s="662">
        <v>1</v>
      </c>
      <c r="C442" s="658"/>
      <c r="D442" s="657">
        <v>2</v>
      </c>
      <c r="E442" s="658"/>
      <c r="F442" s="657">
        <v>3</v>
      </c>
      <c r="G442" s="658"/>
      <c r="H442" s="657">
        <v>4</v>
      </c>
      <c r="I442" s="658"/>
      <c r="J442" s="657">
        <v>5</v>
      </c>
      <c r="K442" s="658"/>
      <c r="L442" s="657">
        <v>6</v>
      </c>
      <c r="M442" s="658"/>
      <c r="N442" s="657">
        <v>7</v>
      </c>
      <c r="O442" s="658"/>
      <c r="P442" s="657">
        <v>8</v>
      </c>
      <c r="Q442" s="658"/>
      <c r="R442" s="657">
        <v>9</v>
      </c>
      <c r="S442" s="658"/>
      <c r="T442" s="657">
        <v>10</v>
      </c>
      <c r="U442" s="658"/>
      <c r="V442" s="657">
        <v>11</v>
      </c>
      <c r="W442" s="658"/>
      <c r="X442" s="657">
        <v>12</v>
      </c>
      <c r="Y442" s="658"/>
      <c r="Z442" s="657">
        <v>13</v>
      </c>
      <c r="AA442" s="658"/>
      <c r="AB442" s="657">
        <v>14</v>
      </c>
      <c r="AC442" s="658"/>
      <c r="AD442" s="657">
        <v>15</v>
      </c>
      <c r="AE442" s="658"/>
      <c r="AF442" s="98"/>
      <c r="AG442" s="98"/>
    </row>
    <row r="443" spans="1:33" ht="15.75" customHeight="1" thickBot="1">
      <c r="A443" s="693"/>
      <c r="B443" s="665" t="s">
        <v>106</v>
      </c>
      <c r="C443" s="666"/>
      <c r="D443" s="665" t="s">
        <v>107</v>
      </c>
      <c r="E443" s="666"/>
      <c r="F443" s="665" t="s">
        <v>108</v>
      </c>
      <c r="G443" s="666"/>
      <c r="H443" s="665"/>
      <c r="I443" s="666"/>
      <c r="J443" s="665"/>
      <c r="K443" s="666"/>
      <c r="L443" s="665"/>
      <c r="M443" s="666"/>
      <c r="N443" s="665"/>
      <c r="O443" s="666"/>
      <c r="P443" s="665"/>
      <c r="Q443" s="666"/>
      <c r="R443" s="665"/>
      <c r="S443" s="666"/>
      <c r="T443" s="665" t="s">
        <v>109</v>
      </c>
      <c r="U443" s="666"/>
      <c r="V443" s="665" t="s">
        <v>110</v>
      </c>
      <c r="W443" s="666"/>
      <c r="X443" s="665"/>
      <c r="Y443" s="666"/>
      <c r="Z443" s="665"/>
      <c r="AA443" s="666"/>
      <c r="AB443" s="665"/>
      <c r="AC443" s="666"/>
      <c r="AD443" s="665"/>
      <c r="AE443" s="666"/>
      <c r="AF443" s="98"/>
      <c r="AG443" s="98"/>
    </row>
    <row r="444" spans="1:33" ht="25.35" customHeight="1" thickBot="1">
      <c r="A444" s="693"/>
      <c r="B444" s="695" t="s">
        <v>111</v>
      </c>
      <c r="C444" s="696"/>
      <c r="D444" s="695" t="s">
        <v>112</v>
      </c>
      <c r="E444" s="696"/>
      <c r="F444" s="695" t="s">
        <v>113</v>
      </c>
      <c r="G444" s="696"/>
      <c r="H444" s="695"/>
      <c r="I444" s="696"/>
      <c r="J444" s="695"/>
      <c r="K444" s="696"/>
      <c r="L444" s="695"/>
      <c r="M444" s="696"/>
      <c r="N444" s="695"/>
      <c r="O444" s="696"/>
      <c r="P444" s="695"/>
      <c r="Q444" s="696"/>
      <c r="R444" s="695"/>
      <c r="S444" s="696"/>
      <c r="T444" s="695"/>
      <c r="U444" s="696"/>
      <c r="V444" s="695"/>
      <c r="W444" s="696"/>
      <c r="X444" s="695"/>
      <c r="Y444" s="696"/>
      <c r="Z444" s="695"/>
      <c r="AA444" s="696"/>
      <c r="AB444" s="695"/>
      <c r="AC444" s="696"/>
      <c r="AD444" s="695"/>
      <c r="AE444" s="696"/>
      <c r="AF444" s="98"/>
      <c r="AG444" s="98"/>
    </row>
    <row r="445" spans="1:33" ht="25.35" customHeight="1" outlineLevel="1" thickBot="1">
      <c r="A445" s="694"/>
      <c r="B445" s="205" t="s">
        <v>5</v>
      </c>
      <c r="C445" s="99" t="s">
        <v>6</v>
      </c>
      <c r="D445" s="205" t="s">
        <v>5</v>
      </c>
      <c r="E445" s="99" t="s">
        <v>6</v>
      </c>
      <c r="F445" s="205" t="s">
        <v>5</v>
      </c>
      <c r="G445" s="99" t="s">
        <v>6</v>
      </c>
      <c r="H445" s="205" t="s">
        <v>5</v>
      </c>
      <c r="I445" s="99" t="s">
        <v>6</v>
      </c>
      <c r="J445" s="205" t="s">
        <v>5</v>
      </c>
      <c r="K445" s="99" t="s">
        <v>6</v>
      </c>
      <c r="L445" s="205" t="s">
        <v>5</v>
      </c>
      <c r="M445" s="99" t="s">
        <v>6</v>
      </c>
      <c r="N445" s="205" t="s">
        <v>5</v>
      </c>
      <c r="O445" s="99" t="s">
        <v>6</v>
      </c>
      <c r="P445" s="205" t="s">
        <v>5</v>
      </c>
      <c r="Q445" s="99" t="s">
        <v>6</v>
      </c>
      <c r="R445" s="205" t="s">
        <v>5</v>
      </c>
      <c r="S445" s="99" t="s">
        <v>6</v>
      </c>
      <c r="T445" s="205" t="s">
        <v>5</v>
      </c>
      <c r="U445" s="99" t="s">
        <v>6</v>
      </c>
      <c r="V445" s="205" t="s">
        <v>5</v>
      </c>
      <c r="W445" s="99" t="s">
        <v>6</v>
      </c>
      <c r="X445" s="205" t="s">
        <v>5</v>
      </c>
      <c r="Y445" s="99" t="s">
        <v>6</v>
      </c>
      <c r="Z445" s="205" t="s">
        <v>5</v>
      </c>
      <c r="AA445" s="99" t="s">
        <v>6</v>
      </c>
      <c r="AB445" s="205" t="s">
        <v>5</v>
      </c>
      <c r="AC445" s="99" t="s">
        <v>6</v>
      </c>
      <c r="AD445" s="205" t="s">
        <v>5</v>
      </c>
      <c r="AE445" s="99" t="s">
        <v>6</v>
      </c>
      <c r="AF445" s="98"/>
      <c r="AG445" s="98"/>
    </row>
    <row r="446" spans="1:33" ht="19.149999999999999" customHeight="1" outlineLevel="1">
      <c r="A446" s="399" t="str">
        <f t="shared" ref="A446:A477" si="2490">A6</f>
        <v>MAIZE/CORN</v>
      </c>
      <c r="B446" s="402">
        <f>1031.1/20</f>
        <v>51.554999999999993</v>
      </c>
      <c r="C446" s="251">
        <f>(B446/100)*1000</f>
        <v>515.54999999999995</v>
      </c>
      <c r="D446" s="402">
        <f>1033.1/20</f>
        <v>51.654999999999994</v>
      </c>
      <c r="E446" s="251">
        <f>(D446/100)*1000</f>
        <v>516.54999999999995</v>
      </c>
      <c r="F446" s="245">
        <f>1038.13/20</f>
        <v>51.906500000000008</v>
      </c>
      <c r="G446" s="251">
        <f>(F446/100)*1000</f>
        <v>519.06500000000005</v>
      </c>
      <c r="H446" s="245"/>
      <c r="I446" s="251">
        <f>(H446/100)*1000</f>
        <v>0</v>
      </c>
      <c r="J446" s="245"/>
      <c r="K446" s="251">
        <f>(J446/100)*1000</f>
        <v>0</v>
      </c>
      <c r="L446" s="245"/>
      <c r="M446" s="251">
        <f>(L446/100)*1000</f>
        <v>0</v>
      </c>
      <c r="N446" s="245"/>
      <c r="O446" s="251">
        <f>(N446/100)*1000</f>
        <v>0</v>
      </c>
      <c r="P446" s="245"/>
      <c r="Q446" s="251">
        <f>(P446/100)*1000</f>
        <v>0</v>
      </c>
      <c r="R446" s="245"/>
      <c r="S446" s="251">
        <f>(R446/100)*1000</f>
        <v>0</v>
      </c>
      <c r="T446" s="245">
        <f>1154/20</f>
        <v>57.7</v>
      </c>
      <c r="U446" s="251">
        <f>(T446/100)*1000</f>
        <v>577.00000000000011</v>
      </c>
      <c r="V446" s="245">
        <f>1232/20</f>
        <v>61.6</v>
      </c>
      <c r="W446" s="251">
        <f>(V446/100)*1000</f>
        <v>616</v>
      </c>
      <c r="X446" s="245"/>
      <c r="Y446" s="251">
        <f>(X446/100)*1000</f>
        <v>0</v>
      </c>
      <c r="Z446" s="245"/>
      <c r="AA446" s="251">
        <f>(Z446/100)*1000</f>
        <v>0</v>
      </c>
      <c r="AB446" s="245"/>
      <c r="AC446" s="251">
        <f>(AB446/100)*1000</f>
        <v>0</v>
      </c>
      <c r="AD446" s="245"/>
      <c r="AE446" s="251">
        <f>(AD446/100)*1000</f>
        <v>0</v>
      </c>
      <c r="AF446" s="98"/>
      <c r="AG446" s="98"/>
    </row>
    <row r="447" spans="1:33" ht="19.149999999999999" customHeight="1" outlineLevel="1">
      <c r="A447" s="399" t="str">
        <f t="shared" si="2490"/>
        <v>SOYBEAN MEAL (ARG)</v>
      </c>
      <c r="B447" s="74">
        <f>477/20</f>
        <v>23.85</v>
      </c>
      <c r="C447" s="251">
        <f t="shared" ref="C447:C496" si="2491">(B447/100)*1000</f>
        <v>238.50000000000003</v>
      </c>
      <c r="D447" s="74">
        <f>477/20</f>
        <v>23.85</v>
      </c>
      <c r="E447" s="251">
        <f t="shared" ref="E447:AE496" si="2492">(D447/100)*1000</f>
        <v>238.50000000000003</v>
      </c>
      <c r="F447" s="74">
        <f>464.67/20</f>
        <v>23.233499999999999</v>
      </c>
      <c r="G447" s="251">
        <f t="shared" ref="G447" si="2493">(F447/100)*1000</f>
        <v>232.33499999999998</v>
      </c>
      <c r="H447" s="74"/>
      <c r="I447" s="251">
        <f t="shared" ref="I447" si="2494">(H447/100)*1000</f>
        <v>0</v>
      </c>
      <c r="J447" s="74"/>
      <c r="K447" s="251">
        <f t="shared" ref="K447" si="2495">(J447/100)*1000</f>
        <v>0</v>
      </c>
      <c r="L447" s="74"/>
      <c r="M447" s="251">
        <f t="shared" ref="M447" si="2496">(L447/100)*1000</f>
        <v>0</v>
      </c>
      <c r="N447" s="74"/>
      <c r="O447" s="251">
        <f t="shared" ref="O447" si="2497">(N447/100)*1000</f>
        <v>0</v>
      </c>
      <c r="P447" s="74"/>
      <c r="Q447" s="251">
        <f t="shared" ref="Q447" si="2498">(P447/100)*1000</f>
        <v>0</v>
      </c>
      <c r="R447" s="74"/>
      <c r="S447" s="251">
        <f t="shared" ref="S447" si="2499">(R447/100)*1000</f>
        <v>0</v>
      </c>
      <c r="T447" s="74">
        <f>514/20</f>
        <v>25.7</v>
      </c>
      <c r="U447" s="251">
        <f t="shared" ref="U447" si="2500">(T447/100)*1000</f>
        <v>257</v>
      </c>
      <c r="V447" s="74">
        <f>400/20</f>
        <v>20</v>
      </c>
      <c r="W447" s="251">
        <f t="shared" ref="W447" si="2501">(V447/100)*1000</f>
        <v>200</v>
      </c>
      <c r="X447" s="74"/>
      <c r="Y447" s="251">
        <f t="shared" ref="Y447" si="2502">(X447/100)*1000</f>
        <v>0</v>
      </c>
      <c r="Z447" s="74"/>
      <c r="AA447" s="251">
        <f t="shared" ref="AA447" si="2503">(Z447/100)*1000</f>
        <v>0</v>
      </c>
      <c r="AB447" s="74"/>
      <c r="AC447" s="251">
        <f t="shared" ref="AC447" si="2504">(AB447/100)*1000</f>
        <v>0</v>
      </c>
      <c r="AD447" s="74"/>
      <c r="AE447" s="251">
        <f t="shared" ref="AE447" si="2505">(AD447/100)*1000</f>
        <v>0</v>
      </c>
      <c r="AF447" s="98"/>
      <c r="AG447" s="98"/>
    </row>
    <row r="448" spans="1:33" ht="19.149999999999999" customHeight="1" outlineLevel="1">
      <c r="A448" s="399" t="str">
        <f t="shared" si="2490"/>
        <v>SOYBEAN FULL FAT</v>
      </c>
      <c r="B448" s="74">
        <f>133/20</f>
        <v>6.65</v>
      </c>
      <c r="C448" s="251">
        <f t="shared" si="2491"/>
        <v>66.5</v>
      </c>
      <c r="D448" s="74">
        <f>133/20</f>
        <v>6.65</v>
      </c>
      <c r="E448" s="251">
        <f t="shared" si="2492"/>
        <v>66.5</v>
      </c>
      <c r="F448" s="74">
        <f>133.33/20</f>
        <v>6.666500000000001</v>
      </c>
      <c r="G448" s="251">
        <f t="shared" ref="G448" si="2506">(F448/100)*1000</f>
        <v>66.66500000000002</v>
      </c>
      <c r="H448" s="74"/>
      <c r="I448" s="251">
        <f t="shared" ref="I448" si="2507">(H448/100)*1000</f>
        <v>0</v>
      </c>
      <c r="J448" s="74"/>
      <c r="K448" s="251">
        <f t="shared" ref="K448" si="2508">(J448/100)*1000</f>
        <v>0</v>
      </c>
      <c r="L448" s="74"/>
      <c r="M448" s="251">
        <f t="shared" ref="M448" si="2509">(L448/100)*1000</f>
        <v>0</v>
      </c>
      <c r="N448" s="74"/>
      <c r="O448" s="251">
        <f t="shared" ref="O448" si="2510">(N448/100)*1000</f>
        <v>0</v>
      </c>
      <c r="P448" s="74"/>
      <c r="Q448" s="251">
        <f t="shared" ref="Q448" si="2511">(P448/100)*1000</f>
        <v>0</v>
      </c>
      <c r="R448" s="74"/>
      <c r="S448" s="251">
        <f t="shared" ref="S448" si="2512">(R448/100)*1000</f>
        <v>0</v>
      </c>
      <c r="T448" s="74">
        <f>60/20</f>
        <v>3</v>
      </c>
      <c r="U448" s="251">
        <f t="shared" ref="U448" si="2513">(T448/100)*1000</f>
        <v>30</v>
      </c>
      <c r="V448" s="74">
        <f>80/20</f>
        <v>4</v>
      </c>
      <c r="W448" s="251">
        <f t="shared" ref="W448" si="2514">(V448/100)*1000</f>
        <v>40</v>
      </c>
      <c r="X448" s="74"/>
      <c r="Y448" s="251">
        <f t="shared" ref="Y448" si="2515">(X448/100)*1000</f>
        <v>0</v>
      </c>
      <c r="Z448" s="74"/>
      <c r="AA448" s="251">
        <f t="shared" ref="AA448" si="2516">(Z448/100)*1000</f>
        <v>0</v>
      </c>
      <c r="AB448" s="74"/>
      <c r="AC448" s="251">
        <f t="shared" ref="AC448" si="2517">(AB448/100)*1000</f>
        <v>0</v>
      </c>
      <c r="AD448" s="74"/>
      <c r="AE448" s="251">
        <f t="shared" ref="AE448" si="2518">(AD448/100)*1000</f>
        <v>0</v>
      </c>
      <c r="AF448" s="98"/>
      <c r="AG448" s="98"/>
    </row>
    <row r="449" spans="1:33" ht="19.149999999999999" customHeight="1" outlineLevel="1">
      <c r="A449" s="399" t="str">
        <f t="shared" si="2490"/>
        <v>WHEAT POLLARD</v>
      </c>
      <c r="B449" s="74">
        <f>20/20</f>
        <v>1</v>
      </c>
      <c r="C449" s="251">
        <f t="shared" si="2491"/>
        <v>10</v>
      </c>
      <c r="D449" s="74">
        <f>20/20</f>
        <v>1</v>
      </c>
      <c r="E449" s="251">
        <f t="shared" si="2492"/>
        <v>10</v>
      </c>
      <c r="F449" s="74">
        <f>24/20</f>
        <v>1.2</v>
      </c>
      <c r="G449" s="251">
        <f t="shared" ref="G449" si="2519">(F449/100)*1000</f>
        <v>12</v>
      </c>
      <c r="H449" s="74"/>
      <c r="I449" s="251">
        <f t="shared" ref="I449" si="2520">(H449/100)*1000</f>
        <v>0</v>
      </c>
      <c r="J449" s="74"/>
      <c r="K449" s="251">
        <f t="shared" ref="K449" si="2521">(J449/100)*1000</f>
        <v>0</v>
      </c>
      <c r="L449" s="74"/>
      <c r="M449" s="251">
        <f t="shared" ref="M449" si="2522">(L449/100)*1000</f>
        <v>0</v>
      </c>
      <c r="N449" s="74"/>
      <c r="O449" s="251">
        <f t="shared" ref="O449" si="2523">(N449/100)*1000</f>
        <v>0</v>
      </c>
      <c r="P449" s="74"/>
      <c r="Q449" s="251">
        <f t="shared" ref="Q449" si="2524">(P449/100)*1000</f>
        <v>0</v>
      </c>
      <c r="R449" s="74"/>
      <c r="S449" s="251">
        <f t="shared" ref="S449" si="2525">(R449/100)*1000</f>
        <v>0</v>
      </c>
      <c r="T449" s="74">
        <f>40/20</f>
        <v>2</v>
      </c>
      <c r="U449" s="251">
        <f t="shared" ref="U449" si="2526">(T449/100)*1000</f>
        <v>20</v>
      </c>
      <c r="V449" s="74">
        <f>40/20</f>
        <v>2</v>
      </c>
      <c r="W449" s="251">
        <f t="shared" ref="W449" si="2527">(V449/100)*1000</f>
        <v>20</v>
      </c>
      <c r="X449" s="74"/>
      <c r="Y449" s="251">
        <f t="shared" ref="Y449" si="2528">(X449/100)*1000</f>
        <v>0</v>
      </c>
      <c r="Z449" s="74"/>
      <c r="AA449" s="251">
        <f t="shared" ref="AA449" si="2529">(Z449/100)*1000</f>
        <v>0</v>
      </c>
      <c r="AB449" s="74"/>
      <c r="AC449" s="251">
        <f t="shared" ref="AC449" si="2530">(AB449/100)*1000</f>
        <v>0</v>
      </c>
      <c r="AD449" s="74"/>
      <c r="AE449" s="251">
        <f t="shared" ref="AE449" si="2531">(AD449/100)*1000</f>
        <v>0</v>
      </c>
      <c r="AF449" s="98"/>
      <c r="AG449" s="98"/>
    </row>
    <row r="450" spans="1:33" ht="19.149999999999999" customHeight="1" outlineLevel="1">
      <c r="A450" s="399" t="str">
        <f t="shared" si="2490"/>
        <v>WHEAT</v>
      </c>
      <c r="B450" s="74"/>
      <c r="C450" s="251">
        <f t="shared" si="2491"/>
        <v>0</v>
      </c>
      <c r="D450" s="74"/>
      <c r="E450" s="251">
        <f t="shared" si="2492"/>
        <v>0</v>
      </c>
      <c r="F450" s="74"/>
      <c r="G450" s="251">
        <f t="shared" ref="G450" si="2532">(F450/100)*1000</f>
        <v>0</v>
      </c>
      <c r="H450" s="74"/>
      <c r="I450" s="251">
        <f t="shared" ref="I450" si="2533">(H450/100)*1000</f>
        <v>0</v>
      </c>
      <c r="J450" s="74"/>
      <c r="K450" s="251">
        <f t="shared" ref="K450" si="2534">(J450/100)*1000</f>
        <v>0</v>
      </c>
      <c r="L450" s="74"/>
      <c r="M450" s="251">
        <f t="shared" ref="M450" si="2535">(L450/100)*1000</f>
        <v>0</v>
      </c>
      <c r="N450" s="74"/>
      <c r="O450" s="251">
        <f t="shared" ref="O450" si="2536">(N450/100)*1000</f>
        <v>0</v>
      </c>
      <c r="P450" s="74"/>
      <c r="Q450" s="251">
        <f t="shared" ref="Q450" si="2537">(P450/100)*1000</f>
        <v>0</v>
      </c>
      <c r="R450" s="74"/>
      <c r="S450" s="251">
        <f t="shared" ref="S450" si="2538">(R450/100)*1000</f>
        <v>0</v>
      </c>
      <c r="T450" s="74"/>
      <c r="U450" s="251">
        <f t="shared" ref="U450" si="2539">(T450/100)*1000</f>
        <v>0</v>
      </c>
      <c r="V450" s="74"/>
      <c r="W450" s="251">
        <f t="shared" ref="W450" si="2540">(V450/100)*1000</f>
        <v>0</v>
      </c>
      <c r="X450" s="74"/>
      <c r="Y450" s="251">
        <f t="shared" ref="Y450" si="2541">(X450/100)*1000</f>
        <v>0</v>
      </c>
      <c r="Z450" s="74"/>
      <c r="AA450" s="251">
        <f t="shared" ref="AA450" si="2542">(Z450/100)*1000</f>
        <v>0</v>
      </c>
      <c r="AB450" s="74"/>
      <c r="AC450" s="251">
        <f t="shared" ref="AC450" si="2543">(AB450/100)*1000</f>
        <v>0</v>
      </c>
      <c r="AD450" s="74"/>
      <c r="AE450" s="251">
        <f t="shared" ref="AE450" si="2544">(AD450/100)*1000</f>
        <v>0</v>
      </c>
      <c r="AF450" s="98"/>
      <c r="AG450" s="98"/>
    </row>
    <row r="451" spans="1:33" ht="19.149999999999999" customHeight="1" outlineLevel="1">
      <c r="A451" s="399" t="str">
        <f t="shared" si="2490"/>
        <v>MEAT AND BONE MEAL</v>
      </c>
      <c r="B451" s="74">
        <f>50/20</f>
        <v>2.5</v>
      </c>
      <c r="C451" s="251">
        <f t="shared" si="2491"/>
        <v>25</v>
      </c>
      <c r="D451" s="74">
        <f>50/20</f>
        <v>2.5</v>
      </c>
      <c r="E451" s="251">
        <f t="shared" si="2492"/>
        <v>25</v>
      </c>
      <c r="F451" s="74">
        <f>50/20</f>
        <v>2.5</v>
      </c>
      <c r="G451" s="251">
        <f t="shared" ref="G451" si="2545">(F451/100)*1000</f>
        <v>25</v>
      </c>
      <c r="H451" s="74"/>
      <c r="I451" s="251">
        <f t="shared" ref="I451" si="2546">(H451/100)*1000</f>
        <v>0</v>
      </c>
      <c r="J451" s="74"/>
      <c r="K451" s="251">
        <f t="shared" ref="K451" si="2547">(J451/100)*1000</f>
        <v>0</v>
      </c>
      <c r="L451" s="74"/>
      <c r="M451" s="251">
        <f t="shared" ref="M451" si="2548">(L451/100)*1000</f>
        <v>0</v>
      </c>
      <c r="N451" s="74"/>
      <c r="O451" s="251">
        <f t="shared" ref="O451" si="2549">(N451/100)*1000</f>
        <v>0</v>
      </c>
      <c r="P451" s="74"/>
      <c r="Q451" s="251">
        <f t="shared" ref="Q451" si="2550">(P451/100)*1000</f>
        <v>0</v>
      </c>
      <c r="R451" s="74"/>
      <c r="S451" s="251">
        <f t="shared" ref="S451" si="2551">(R451/100)*1000</f>
        <v>0</v>
      </c>
      <c r="T451" s="74">
        <f>150/20</f>
        <v>7.5</v>
      </c>
      <c r="U451" s="251">
        <f t="shared" ref="U451" si="2552">(T451/100)*1000</f>
        <v>75</v>
      </c>
      <c r="V451" s="74">
        <f>130/20</f>
        <v>6.5</v>
      </c>
      <c r="W451" s="251">
        <f t="shared" ref="W451" si="2553">(V451/100)*1000</f>
        <v>65</v>
      </c>
      <c r="X451" s="74"/>
      <c r="Y451" s="251">
        <f t="shared" ref="Y451" si="2554">(X451/100)*1000</f>
        <v>0</v>
      </c>
      <c r="Z451" s="74"/>
      <c r="AA451" s="251">
        <f t="shared" ref="AA451" si="2555">(Z451/100)*1000</f>
        <v>0</v>
      </c>
      <c r="AB451" s="74"/>
      <c r="AC451" s="251">
        <f t="shared" ref="AC451" si="2556">(AB451/100)*1000</f>
        <v>0</v>
      </c>
      <c r="AD451" s="74"/>
      <c r="AE451" s="251">
        <f t="shared" ref="AE451" si="2557">(AD451/100)*1000</f>
        <v>0</v>
      </c>
      <c r="AF451" s="98"/>
      <c r="AG451" s="98"/>
    </row>
    <row r="452" spans="1:33" ht="19.149999999999999" customHeight="1" outlineLevel="1">
      <c r="A452" s="399" t="str">
        <f t="shared" si="2490"/>
        <v>CORN GLUTEN MEAL</v>
      </c>
      <c r="B452" s="74">
        <f>56/20</f>
        <v>2.8</v>
      </c>
      <c r="C452" s="251">
        <f t="shared" si="2491"/>
        <v>27.999999999999996</v>
      </c>
      <c r="D452" s="74">
        <f>56/20</f>
        <v>2.8</v>
      </c>
      <c r="E452" s="251">
        <f t="shared" si="2492"/>
        <v>27.999999999999996</v>
      </c>
      <c r="F452" s="74">
        <f>68/20</f>
        <v>3.4</v>
      </c>
      <c r="G452" s="251">
        <f t="shared" ref="G452" si="2558">(F452/100)*1000</f>
        <v>34</v>
      </c>
      <c r="H452" s="74"/>
      <c r="I452" s="251">
        <f t="shared" ref="I452" si="2559">(H452/100)*1000</f>
        <v>0</v>
      </c>
      <c r="J452" s="74"/>
      <c r="K452" s="251">
        <f t="shared" ref="K452" si="2560">(J452/100)*1000</f>
        <v>0</v>
      </c>
      <c r="L452" s="74"/>
      <c r="M452" s="251">
        <f t="shared" ref="M452" si="2561">(L452/100)*1000</f>
        <v>0</v>
      </c>
      <c r="N452" s="74"/>
      <c r="O452" s="251">
        <f t="shared" ref="O452" si="2562">(N452/100)*1000</f>
        <v>0</v>
      </c>
      <c r="P452" s="74"/>
      <c r="Q452" s="251">
        <f t="shared" ref="Q452" si="2563">(P452/100)*1000</f>
        <v>0</v>
      </c>
      <c r="R452" s="74"/>
      <c r="S452" s="251">
        <f t="shared" ref="S452" si="2564">(R452/100)*1000</f>
        <v>0</v>
      </c>
      <c r="T452" s="74"/>
      <c r="U452" s="251">
        <f t="shared" ref="U452" si="2565">(T452/100)*1000</f>
        <v>0</v>
      </c>
      <c r="V452" s="74">
        <f>20/20</f>
        <v>1</v>
      </c>
      <c r="W452" s="251">
        <f t="shared" ref="W452" si="2566">(V452/100)*1000</f>
        <v>10</v>
      </c>
      <c r="X452" s="74"/>
      <c r="Y452" s="251">
        <f t="shared" ref="Y452" si="2567">(X452/100)*1000</f>
        <v>0</v>
      </c>
      <c r="Z452" s="74"/>
      <c r="AA452" s="251">
        <f t="shared" ref="AA452" si="2568">(Z452/100)*1000</f>
        <v>0</v>
      </c>
      <c r="AB452" s="74"/>
      <c r="AC452" s="251">
        <f t="shared" ref="AC452" si="2569">(AB452/100)*1000</f>
        <v>0</v>
      </c>
      <c r="AD452" s="74"/>
      <c r="AE452" s="251">
        <f t="shared" ref="AE452" si="2570">(AD452/100)*1000</f>
        <v>0</v>
      </c>
      <c r="AF452" s="98"/>
      <c r="AG452" s="98"/>
    </row>
    <row r="453" spans="1:33" ht="19.149999999999999" customHeight="1" outlineLevel="1">
      <c r="A453" s="399" t="str">
        <f t="shared" si="2490"/>
        <v>MEGAFAT (HARUMI)</v>
      </c>
      <c r="B453" s="380">
        <f>30/20</f>
        <v>1.5</v>
      </c>
      <c r="C453" s="251">
        <f t="shared" si="2491"/>
        <v>15</v>
      </c>
      <c r="D453" s="380">
        <f>30/20</f>
        <v>1.5</v>
      </c>
      <c r="E453" s="251">
        <f t="shared" si="2492"/>
        <v>15</v>
      </c>
      <c r="F453" s="74">
        <f>29.33/20</f>
        <v>1.4664999999999999</v>
      </c>
      <c r="G453" s="251">
        <f t="shared" ref="G453" si="2571">(F453/100)*1000</f>
        <v>14.664999999999999</v>
      </c>
      <c r="H453" s="74"/>
      <c r="I453" s="251">
        <f t="shared" ref="I453" si="2572">(H453/100)*1000</f>
        <v>0</v>
      </c>
      <c r="J453" s="74"/>
      <c r="K453" s="251">
        <f t="shared" ref="K453" si="2573">(J453/100)*1000</f>
        <v>0</v>
      </c>
      <c r="L453" s="74"/>
      <c r="M453" s="251">
        <f t="shared" ref="M453" si="2574">(L453/100)*1000</f>
        <v>0</v>
      </c>
      <c r="N453" s="74"/>
      <c r="O453" s="251">
        <f t="shared" ref="O453" si="2575">(N453/100)*1000</f>
        <v>0</v>
      </c>
      <c r="P453" s="74"/>
      <c r="Q453" s="251">
        <f t="shared" ref="Q453" si="2576">(P453/100)*1000</f>
        <v>0</v>
      </c>
      <c r="R453" s="74"/>
      <c r="S453" s="251">
        <f t="shared" ref="S453" si="2577">(R453/100)*1000</f>
        <v>0</v>
      </c>
      <c r="T453" s="74">
        <f>26/20</f>
        <v>1.3</v>
      </c>
      <c r="U453" s="251">
        <f t="shared" ref="U453" si="2578">(T453/100)*1000</f>
        <v>13.000000000000002</v>
      </c>
      <c r="V453" s="74">
        <f>46/20</f>
        <v>2.2999999999999998</v>
      </c>
      <c r="W453" s="251">
        <f t="shared" ref="W453" si="2579">(V453/100)*1000</f>
        <v>23</v>
      </c>
      <c r="X453" s="74"/>
      <c r="Y453" s="251">
        <f t="shared" ref="Y453" si="2580">(X453/100)*1000</f>
        <v>0</v>
      </c>
      <c r="Z453" s="74"/>
      <c r="AA453" s="251">
        <f t="shared" ref="AA453" si="2581">(Z453/100)*1000</f>
        <v>0</v>
      </c>
      <c r="AB453" s="74"/>
      <c r="AC453" s="251">
        <f t="shared" ref="AC453" si="2582">(AB453/100)*1000</f>
        <v>0</v>
      </c>
      <c r="AD453" s="74"/>
      <c r="AE453" s="251">
        <f t="shared" ref="AE453" si="2583">(AD453/100)*1000</f>
        <v>0</v>
      </c>
      <c r="AF453" s="98"/>
      <c r="AG453" s="98"/>
    </row>
    <row r="454" spans="1:33" ht="19.149999999999999" customHeight="1" outlineLevel="1">
      <c r="A454" s="399" t="str">
        <f t="shared" si="2490"/>
        <v>DCP 18%</v>
      </c>
      <c r="B454" s="74">
        <f>9/20</f>
        <v>0.45</v>
      </c>
      <c r="C454" s="251">
        <f t="shared" si="2491"/>
        <v>4.5000000000000009</v>
      </c>
      <c r="D454" s="74">
        <f>9/20</f>
        <v>0.45</v>
      </c>
      <c r="E454" s="251">
        <f t="shared" si="2492"/>
        <v>4.5000000000000009</v>
      </c>
      <c r="F454" s="74">
        <f>8/20</f>
        <v>0.4</v>
      </c>
      <c r="G454" s="251">
        <f t="shared" ref="G454" si="2584">(F454/100)*1000</f>
        <v>4</v>
      </c>
      <c r="H454" s="74"/>
      <c r="I454" s="251">
        <f t="shared" ref="I454" si="2585">(H454/100)*1000</f>
        <v>0</v>
      </c>
      <c r="J454" s="74"/>
      <c r="K454" s="251">
        <f t="shared" ref="K454" si="2586">(J454/100)*1000</f>
        <v>0</v>
      </c>
      <c r="L454" s="74"/>
      <c r="M454" s="251">
        <f t="shared" ref="M454" si="2587">(L454/100)*1000</f>
        <v>0</v>
      </c>
      <c r="N454" s="74"/>
      <c r="O454" s="251">
        <f t="shared" ref="O454" si="2588">(N454/100)*1000</f>
        <v>0</v>
      </c>
      <c r="P454" s="74"/>
      <c r="Q454" s="251">
        <f t="shared" ref="Q454" si="2589">(P454/100)*1000</f>
        <v>0</v>
      </c>
      <c r="R454" s="74"/>
      <c r="S454" s="251">
        <f t="shared" ref="S454" si="2590">(R454/100)*1000</f>
        <v>0</v>
      </c>
      <c r="T454" s="74"/>
      <c r="U454" s="251">
        <f t="shared" ref="U454" si="2591">(T454/100)*1000</f>
        <v>0</v>
      </c>
      <c r="V454" s="74"/>
      <c r="W454" s="251">
        <f t="shared" ref="W454" si="2592">(V454/100)*1000</f>
        <v>0</v>
      </c>
      <c r="X454" s="74"/>
      <c r="Y454" s="251">
        <f t="shared" ref="Y454" si="2593">(X454/100)*1000</f>
        <v>0</v>
      </c>
      <c r="Z454" s="74"/>
      <c r="AA454" s="251">
        <f t="shared" ref="AA454" si="2594">(Z454/100)*1000</f>
        <v>0</v>
      </c>
      <c r="AB454" s="74"/>
      <c r="AC454" s="251">
        <f t="shared" ref="AC454" si="2595">(AB454/100)*1000</f>
        <v>0</v>
      </c>
      <c r="AD454" s="74"/>
      <c r="AE454" s="251">
        <f t="shared" ref="AE454" si="2596">(AD454/100)*1000</f>
        <v>0</v>
      </c>
      <c r="AF454" s="98"/>
      <c r="AG454" s="98"/>
    </row>
    <row r="455" spans="1:33" ht="19.149999999999999" customHeight="1" outlineLevel="1">
      <c r="A455" s="399" t="str">
        <f t="shared" si="2490"/>
        <v>LIMESTONE POWDER (HARUMI)</v>
      </c>
      <c r="B455" s="74">
        <f>14/20</f>
        <v>0.7</v>
      </c>
      <c r="C455" s="251">
        <f t="shared" si="2491"/>
        <v>6.9999999999999991</v>
      </c>
      <c r="D455" s="74">
        <f>14/20</f>
        <v>0.7</v>
      </c>
      <c r="E455" s="251">
        <f t="shared" si="2492"/>
        <v>6.9999999999999991</v>
      </c>
      <c r="F455" s="74">
        <f>14/20</f>
        <v>0.7</v>
      </c>
      <c r="G455" s="251">
        <f t="shared" ref="G455" si="2597">(F455/100)*1000</f>
        <v>6.9999999999999991</v>
      </c>
      <c r="H455" s="74"/>
      <c r="I455" s="251">
        <f t="shared" ref="I455" si="2598">(H455/100)*1000</f>
        <v>0</v>
      </c>
      <c r="J455" s="74"/>
      <c r="K455" s="251">
        <f t="shared" ref="K455" si="2599">(J455/100)*1000</f>
        <v>0</v>
      </c>
      <c r="L455" s="74"/>
      <c r="M455" s="251">
        <f t="shared" ref="M455" si="2600">(L455/100)*1000</f>
        <v>0</v>
      </c>
      <c r="N455" s="74"/>
      <c r="O455" s="251">
        <f t="shared" ref="O455" si="2601">(N455/100)*1000</f>
        <v>0</v>
      </c>
      <c r="P455" s="74"/>
      <c r="Q455" s="251">
        <f t="shared" ref="Q455" si="2602">(P455/100)*1000</f>
        <v>0</v>
      </c>
      <c r="R455" s="74"/>
      <c r="S455" s="251">
        <f t="shared" ref="S455" si="2603">(R455/100)*1000</f>
        <v>0</v>
      </c>
      <c r="T455" s="74"/>
      <c r="U455" s="251">
        <f t="shared" ref="U455" si="2604">(T455/100)*1000</f>
        <v>0</v>
      </c>
      <c r="V455" s="74"/>
      <c r="W455" s="251">
        <f t="shared" ref="W455" si="2605">(V455/100)*1000</f>
        <v>0</v>
      </c>
      <c r="X455" s="74"/>
      <c r="Y455" s="251">
        <f t="shared" ref="Y455" si="2606">(X455/100)*1000</f>
        <v>0</v>
      </c>
      <c r="Z455" s="74"/>
      <c r="AA455" s="251">
        <f t="shared" ref="AA455" si="2607">(Z455/100)*1000</f>
        <v>0</v>
      </c>
      <c r="AB455" s="74"/>
      <c r="AC455" s="251">
        <f t="shared" ref="AC455" si="2608">(AB455/100)*1000</f>
        <v>0</v>
      </c>
      <c r="AD455" s="74"/>
      <c r="AE455" s="251">
        <f t="shared" ref="AE455" si="2609">(AD455/100)*1000</f>
        <v>0</v>
      </c>
      <c r="AF455" s="98"/>
      <c r="AG455" s="98"/>
    </row>
    <row r="456" spans="1:33" ht="19.149999999999999" customHeight="1" outlineLevel="1">
      <c r="A456" s="399" t="str">
        <f t="shared" si="2490"/>
        <v>CHOLINE CHLORIDE 60%</v>
      </c>
      <c r="B456" s="74"/>
      <c r="C456" s="251">
        <f t="shared" si="2491"/>
        <v>0</v>
      </c>
      <c r="D456" s="74"/>
      <c r="E456" s="251">
        <f t="shared" si="2492"/>
        <v>0</v>
      </c>
      <c r="F456" s="74"/>
      <c r="G456" s="251">
        <f t="shared" ref="G456" si="2610">(F456/100)*1000</f>
        <v>0</v>
      </c>
      <c r="H456" s="74"/>
      <c r="I456" s="251">
        <f t="shared" ref="I456" si="2611">(H456/100)*1000</f>
        <v>0</v>
      </c>
      <c r="J456" s="74"/>
      <c r="K456" s="251">
        <f t="shared" ref="K456" si="2612">(J456/100)*1000</f>
        <v>0</v>
      </c>
      <c r="L456" s="74"/>
      <c r="M456" s="251">
        <f t="shared" ref="M456" si="2613">(L456/100)*1000</f>
        <v>0</v>
      </c>
      <c r="N456" s="74"/>
      <c r="O456" s="251">
        <f t="shared" ref="O456" si="2614">(N456/100)*1000</f>
        <v>0</v>
      </c>
      <c r="P456" s="74"/>
      <c r="Q456" s="251">
        <f t="shared" ref="Q456" si="2615">(P456/100)*1000</f>
        <v>0</v>
      </c>
      <c r="R456" s="74"/>
      <c r="S456" s="251">
        <f t="shared" ref="S456" si="2616">(R456/100)*1000</f>
        <v>0</v>
      </c>
      <c r="T456" s="74"/>
      <c r="U456" s="251">
        <f t="shared" ref="U456" si="2617">(T456/100)*1000</f>
        <v>0</v>
      </c>
      <c r="V456" s="74"/>
      <c r="W456" s="251">
        <f t="shared" ref="W456" si="2618">(V456/100)*1000</f>
        <v>0</v>
      </c>
      <c r="X456" s="74"/>
      <c r="Y456" s="251">
        <f t="shared" ref="Y456" si="2619">(X456/100)*1000</f>
        <v>0</v>
      </c>
      <c r="Z456" s="74"/>
      <c r="AA456" s="251">
        <f t="shared" ref="AA456" si="2620">(Z456/100)*1000</f>
        <v>0</v>
      </c>
      <c r="AB456" s="74"/>
      <c r="AC456" s="251">
        <f t="shared" ref="AC456" si="2621">(AB456/100)*1000</f>
        <v>0</v>
      </c>
      <c r="AD456" s="74"/>
      <c r="AE456" s="251">
        <f t="shared" ref="AE456" si="2622">(AD456/100)*1000</f>
        <v>0</v>
      </c>
      <c r="AF456" s="98"/>
      <c r="AG456" s="98"/>
    </row>
    <row r="457" spans="1:33" ht="19.149999999999999" customHeight="1" outlineLevel="1">
      <c r="A457" s="399" t="str">
        <f t="shared" si="2490"/>
        <v>INDUSTRY FLOUR</v>
      </c>
      <c r="B457" s="74">
        <f>67/20</f>
        <v>3.35</v>
      </c>
      <c r="C457" s="251">
        <f t="shared" si="2491"/>
        <v>33.5</v>
      </c>
      <c r="D457" s="74">
        <f>67/20</f>
        <v>3.35</v>
      </c>
      <c r="E457" s="251">
        <f t="shared" si="2492"/>
        <v>33.5</v>
      </c>
      <c r="F457" s="74">
        <f>66.67/20</f>
        <v>3.3334999999999999</v>
      </c>
      <c r="G457" s="251">
        <f t="shared" ref="G457" si="2623">(F457/100)*1000</f>
        <v>33.334999999999994</v>
      </c>
      <c r="H457" s="74"/>
      <c r="I457" s="251">
        <f t="shared" ref="I457" si="2624">(H457/100)*1000</f>
        <v>0</v>
      </c>
      <c r="J457" s="74"/>
      <c r="K457" s="251">
        <f t="shared" ref="K457" si="2625">(J457/100)*1000</f>
        <v>0</v>
      </c>
      <c r="L457" s="74"/>
      <c r="M457" s="251">
        <f t="shared" ref="M457" si="2626">(L457/100)*1000</f>
        <v>0</v>
      </c>
      <c r="N457" s="74"/>
      <c r="O457" s="251">
        <f t="shared" ref="O457" si="2627">(N457/100)*1000</f>
        <v>0</v>
      </c>
      <c r="P457" s="74"/>
      <c r="Q457" s="251">
        <f t="shared" ref="Q457" si="2628">(P457/100)*1000</f>
        <v>0</v>
      </c>
      <c r="R457" s="74"/>
      <c r="S457" s="251">
        <f t="shared" ref="S457" si="2629">(R457/100)*1000</f>
        <v>0</v>
      </c>
      <c r="T457" s="74"/>
      <c r="U457" s="251">
        <f t="shared" ref="U457" si="2630">(T457/100)*1000</f>
        <v>0</v>
      </c>
      <c r="V457" s="74"/>
      <c r="W457" s="251">
        <f t="shared" ref="W457" si="2631">(V457/100)*1000</f>
        <v>0</v>
      </c>
      <c r="X457" s="74"/>
      <c r="Y457" s="251">
        <f t="shared" ref="Y457" si="2632">(X457/100)*1000</f>
        <v>0</v>
      </c>
      <c r="Z457" s="74"/>
      <c r="AA457" s="251">
        <f t="shared" ref="AA457" si="2633">(Z457/100)*1000</f>
        <v>0</v>
      </c>
      <c r="AB457" s="74"/>
      <c r="AC457" s="251">
        <f t="shared" ref="AC457" si="2634">(AB457/100)*1000</f>
        <v>0</v>
      </c>
      <c r="AD457" s="74"/>
      <c r="AE457" s="251">
        <f t="shared" ref="AE457" si="2635">(AD457/100)*1000</f>
        <v>0</v>
      </c>
      <c r="AF457" s="98"/>
      <c r="AG457" s="98"/>
    </row>
    <row r="458" spans="1:33" ht="19.149999999999999" customHeight="1" outlineLevel="1">
      <c r="A458" s="399" t="str">
        <f t="shared" si="2490"/>
        <v>RICE BRAN</v>
      </c>
      <c r="B458" s="74">
        <f>7/20</f>
        <v>0.35</v>
      </c>
      <c r="C458" s="251">
        <f t="shared" si="2491"/>
        <v>3.4999999999999996</v>
      </c>
      <c r="D458" s="74">
        <f>7/20</f>
        <v>0.35</v>
      </c>
      <c r="E458" s="251">
        <f t="shared" si="2492"/>
        <v>3.4999999999999996</v>
      </c>
      <c r="F458" s="74"/>
      <c r="G458" s="251">
        <f t="shared" ref="G458" si="2636">(F458/100)*1000</f>
        <v>0</v>
      </c>
      <c r="H458" s="74"/>
      <c r="I458" s="251">
        <f t="shared" ref="I458" si="2637">(H458/100)*1000</f>
        <v>0</v>
      </c>
      <c r="J458" s="74"/>
      <c r="K458" s="251">
        <f t="shared" ref="K458" si="2638">(J458/100)*1000</f>
        <v>0</v>
      </c>
      <c r="L458" s="74"/>
      <c r="M458" s="251">
        <f t="shared" ref="M458" si="2639">(L458/100)*1000</f>
        <v>0</v>
      </c>
      <c r="N458" s="74"/>
      <c r="O458" s="251">
        <f t="shared" ref="O458" si="2640">(N458/100)*1000</f>
        <v>0</v>
      </c>
      <c r="P458" s="74"/>
      <c r="Q458" s="251">
        <f t="shared" ref="Q458" si="2641">(P458/100)*1000</f>
        <v>0</v>
      </c>
      <c r="R458" s="74"/>
      <c r="S458" s="251">
        <f t="shared" ref="S458" si="2642">(R458/100)*1000</f>
        <v>0</v>
      </c>
      <c r="T458" s="74"/>
      <c r="U458" s="251">
        <f t="shared" ref="U458" si="2643">(T458/100)*1000</f>
        <v>0</v>
      </c>
      <c r="V458" s="74"/>
      <c r="W458" s="251">
        <f t="shared" ref="W458" si="2644">(V458/100)*1000</f>
        <v>0</v>
      </c>
      <c r="X458" s="74"/>
      <c r="Y458" s="251">
        <f t="shared" ref="Y458" si="2645">(X458/100)*1000</f>
        <v>0</v>
      </c>
      <c r="Z458" s="74"/>
      <c r="AA458" s="251">
        <f t="shared" ref="AA458" si="2646">(Z458/100)*1000</f>
        <v>0</v>
      </c>
      <c r="AB458" s="74"/>
      <c r="AC458" s="251">
        <f t="shared" ref="AC458" si="2647">(AB458/100)*1000</f>
        <v>0</v>
      </c>
      <c r="AD458" s="74"/>
      <c r="AE458" s="251">
        <f t="shared" ref="AE458" si="2648">(AD458/100)*1000</f>
        <v>0</v>
      </c>
      <c r="AF458" s="98"/>
      <c r="AG458" s="98"/>
    </row>
    <row r="459" spans="1:33" ht="19.149999999999999" customHeight="1" outlineLevel="1">
      <c r="A459" s="399" t="str">
        <f t="shared" si="2490"/>
        <v>EP 200</v>
      </c>
      <c r="B459" s="74"/>
      <c r="C459" s="251">
        <f t="shared" si="2491"/>
        <v>0</v>
      </c>
      <c r="D459" s="74"/>
      <c r="E459" s="251">
        <f t="shared" si="2492"/>
        <v>0</v>
      </c>
      <c r="F459" s="74">
        <f>50/20</f>
        <v>2.5</v>
      </c>
      <c r="G459" s="251">
        <f t="shared" ref="G459" si="2649">(F459/100)*1000</f>
        <v>25</v>
      </c>
      <c r="H459" s="74"/>
      <c r="I459" s="251">
        <f t="shared" ref="I459" si="2650">(H459/100)*1000</f>
        <v>0</v>
      </c>
      <c r="J459" s="74"/>
      <c r="K459" s="251">
        <f t="shared" ref="K459" si="2651">(J459/100)*1000</f>
        <v>0</v>
      </c>
      <c r="L459" s="74"/>
      <c r="M459" s="251">
        <f t="shared" ref="M459" si="2652">(L459/100)*1000</f>
        <v>0</v>
      </c>
      <c r="N459" s="74"/>
      <c r="O459" s="251">
        <f t="shared" ref="O459" si="2653">(N459/100)*1000</f>
        <v>0</v>
      </c>
      <c r="P459" s="74"/>
      <c r="Q459" s="251">
        <f t="shared" ref="Q459" si="2654">(P459/100)*1000</f>
        <v>0</v>
      </c>
      <c r="R459" s="74"/>
      <c r="S459" s="251">
        <f t="shared" ref="S459" si="2655">(R459/100)*1000</f>
        <v>0</v>
      </c>
      <c r="T459" s="74"/>
      <c r="U459" s="251">
        <f t="shared" ref="U459" si="2656">(T459/100)*1000</f>
        <v>0</v>
      </c>
      <c r="V459" s="74"/>
      <c r="W459" s="251">
        <f t="shared" ref="W459" si="2657">(V459/100)*1000</f>
        <v>0</v>
      </c>
      <c r="X459" s="74"/>
      <c r="Y459" s="251">
        <f t="shared" ref="Y459" si="2658">(X459/100)*1000</f>
        <v>0</v>
      </c>
      <c r="Z459" s="74"/>
      <c r="AA459" s="251">
        <f t="shared" ref="AA459" si="2659">(Z459/100)*1000</f>
        <v>0</v>
      </c>
      <c r="AB459" s="74"/>
      <c r="AC459" s="251">
        <f t="shared" ref="AC459" si="2660">(AB459/100)*1000</f>
        <v>0</v>
      </c>
      <c r="AD459" s="74"/>
      <c r="AE459" s="251">
        <f t="shared" ref="AE459" si="2661">(AD459/100)*1000</f>
        <v>0</v>
      </c>
      <c r="AF459" s="98"/>
      <c r="AG459" s="98"/>
    </row>
    <row r="460" spans="1:33" ht="19.149999999999999" customHeight="1" outlineLevel="1">
      <c r="A460" s="399" t="str">
        <f t="shared" si="2490"/>
        <v>SOYTIDE</v>
      </c>
      <c r="B460" s="74">
        <f>50/20</f>
        <v>2.5</v>
      </c>
      <c r="C460" s="251">
        <f t="shared" si="2491"/>
        <v>25</v>
      </c>
      <c r="D460" s="74">
        <f>50/20</f>
        <v>2.5</v>
      </c>
      <c r="E460" s="251">
        <f t="shared" si="2492"/>
        <v>25</v>
      </c>
      <c r="F460" s="74"/>
      <c r="G460" s="251">
        <f t="shared" ref="G460" si="2662">(F460/100)*1000</f>
        <v>0</v>
      </c>
      <c r="H460" s="74"/>
      <c r="I460" s="251">
        <f t="shared" ref="I460" si="2663">(H460/100)*1000</f>
        <v>0</v>
      </c>
      <c r="J460" s="74"/>
      <c r="K460" s="251">
        <f t="shared" ref="K460" si="2664">(J460/100)*1000</f>
        <v>0</v>
      </c>
      <c r="L460" s="74"/>
      <c r="M460" s="251">
        <f t="shared" ref="M460" si="2665">(L460/100)*1000</f>
        <v>0</v>
      </c>
      <c r="N460" s="74"/>
      <c r="O460" s="251">
        <f t="shared" ref="O460" si="2666">(N460/100)*1000</f>
        <v>0</v>
      </c>
      <c r="P460" s="74"/>
      <c r="Q460" s="251">
        <f t="shared" ref="Q460" si="2667">(P460/100)*1000</f>
        <v>0</v>
      </c>
      <c r="R460" s="74"/>
      <c r="S460" s="251">
        <f t="shared" ref="S460" si="2668">(R460/100)*1000</f>
        <v>0</v>
      </c>
      <c r="T460" s="74"/>
      <c r="U460" s="251">
        <f t="shared" ref="U460" si="2669">(T460/100)*1000</f>
        <v>0</v>
      </c>
      <c r="V460" s="74"/>
      <c r="W460" s="251">
        <f t="shared" ref="W460" si="2670">(V460/100)*1000</f>
        <v>0</v>
      </c>
      <c r="X460" s="74"/>
      <c r="Y460" s="251">
        <f t="shared" ref="Y460" si="2671">(X460/100)*1000</f>
        <v>0</v>
      </c>
      <c r="Z460" s="74"/>
      <c r="AA460" s="251">
        <f t="shared" ref="AA460" si="2672">(Z460/100)*1000</f>
        <v>0</v>
      </c>
      <c r="AB460" s="74"/>
      <c r="AC460" s="251">
        <f t="shared" ref="AC460" si="2673">(AB460/100)*1000</f>
        <v>0</v>
      </c>
      <c r="AD460" s="74"/>
      <c r="AE460" s="251">
        <f t="shared" ref="AE460" si="2674">(AD460/100)*1000</f>
        <v>0</v>
      </c>
      <c r="AF460" s="98"/>
      <c r="AG460" s="98"/>
    </row>
    <row r="461" spans="1:33" ht="19.149999999999999" customHeight="1" outlineLevel="1">
      <c r="A461" s="399" t="str">
        <f t="shared" si="2490"/>
        <v>DCP 18% (HARUMI)</v>
      </c>
      <c r="B461" s="74"/>
      <c r="C461" s="251">
        <f t="shared" si="2491"/>
        <v>0</v>
      </c>
      <c r="D461" s="74"/>
      <c r="E461" s="251">
        <f t="shared" si="2492"/>
        <v>0</v>
      </c>
      <c r="F461" s="74"/>
      <c r="G461" s="251">
        <f t="shared" ref="G461" si="2675">(F461/100)*1000</f>
        <v>0</v>
      </c>
      <c r="H461" s="74"/>
      <c r="I461" s="251">
        <f t="shared" ref="I461" si="2676">(H461/100)*1000</f>
        <v>0</v>
      </c>
      <c r="J461" s="74"/>
      <c r="K461" s="251">
        <f t="shared" ref="K461" si="2677">(J461/100)*1000</f>
        <v>0</v>
      </c>
      <c r="L461" s="74"/>
      <c r="M461" s="251">
        <f t="shared" ref="M461" si="2678">(L461/100)*1000</f>
        <v>0</v>
      </c>
      <c r="N461" s="74"/>
      <c r="O461" s="251">
        <f t="shared" ref="O461" si="2679">(N461/100)*1000</f>
        <v>0</v>
      </c>
      <c r="P461" s="74"/>
      <c r="Q461" s="251">
        <f t="shared" ref="Q461" si="2680">(P461/100)*1000</f>
        <v>0</v>
      </c>
      <c r="R461" s="74"/>
      <c r="S461" s="251">
        <f t="shared" ref="S461" si="2681">(R461/100)*1000</f>
        <v>0</v>
      </c>
      <c r="T461" s="74"/>
      <c r="U461" s="251">
        <f t="shared" ref="U461" si="2682">(T461/100)*1000</f>
        <v>0</v>
      </c>
      <c r="V461" s="74"/>
      <c r="W461" s="251">
        <f t="shared" ref="W461" si="2683">(V461/100)*1000</f>
        <v>0</v>
      </c>
      <c r="X461" s="74"/>
      <c r="Y461" s="251">
        <f t="shared" ref="Y461" si="2684">(X461/100)*1000</f>
        <v>0</v>
      </c>
      <c r="Z461" s="74"/>
      <c r="AA461" s="251">
        <f t="shared" ref="AA461" si="2685">(Z461/100)*1000</f>
        <v>0</v>
      </c>
      <c r="AB461" s="74"/>
      <c r="AC461" s="251">
        <f t="shared" ref="AC461" si="2686">(AB461/100)*1000</f>
        <v>0</v>
      </c>
      <c r="AD461" s="74"/>
      <c r="AE461" s="251">
        <f t="shared" ref="AE461" si="2687">(AD461/100)*1000</f>
        <v>0</v>
      </c>
      <c r="AF461" s="98"/>
      <c r="AG461" s="98"/>
    </row>
    <row r="462" spans="1:33" ht="19.149999999999999" customHeight="1" outlineLevel="1">
      <c r="A462" s="399">
        <f t="shared" si="2490"/>
        <v>1</v>
      </c>
      <c r="B462" s="74"/>
      <c r="C462" s="251">
        <f t="shared" si="2491"/>
        <v>0</v>
      </c>
      <c r="D462" s="74"/>
      <c r="E462" s="251">
        <f t="shared" si="2492"/>
        <v>0</v>
      </c>
      <c r="F462" s="74"/>
      <c r="G462" s="251">
        <f t="shared" ref="G462" si="2688">(F462/100)*1000</f>
        <v>0</v>
      </c>
      <c r="H462" s="74"/>
      <c r="I462" s="251">
        <f t="shared" ref="I462" si="2689">(H462/100)*1000</f>
        <v>0</v>
      </c>
      <c r="J462" s="74"/>
      <c r="K462" s="251">
        <f t="shared" ref="K462" si="2690">(J462/100)*1000</f>
        <v>0</v>
      </c>
      <c r="L462" s="74"/>
      <c r="M462" s="251">
        <f t="shared" ref="M462" si="2691">(L462/100)*1000</f>
        <v>0</v>
      </c>
      <c r="N462" s="74"/>
      <c r="O462" s="251">
        <f t="shared" ref="O462" si="2692">(N462/100)*1000</f>
        <v>0</v>
      </c>
      <c r="P462" s="74"/>
      <c r="Q462" s="251">
        <f t="shared" ref="Q462" si="2693">(P462/100)*1000</f>
        <v>0</v>
      </c>
      <c r="R462" s="74"/>
      <c r="S462" s="251">
        <f t="shared" ref="S462" si="2694">(R462/100)*1000</f>
        <v>0</v>
      </c>
      <c r="T462" s="74"/>
      <c r="U462" s="251">
        <f t="shared" ref="U462" si="2695">(T462/100)*1000</f>
        <v>0</v>
      </c>
      <c r="V462" s="74"/>
      <c r="W462" s="251">
        <f t="shared" ref="W462" si="2696">(V462/100)*1000</f>
        <v>0</v>
      </c>
      <c r="X462" s="74"/>
      <c r="Y462" s="251">
        <f t="shared" ref="Y462" si="2697">(X462/100)*1000</f>
        <v>0</v>
      </c>
      <c r="Z462" s="74"/>
      <c r="AA462" s="251">
        <f t="shared" ref="AA462" si="2698">(Z462/100)*1000</f>
        <v>0</v>
      </c>
      <c r="AB462" s="74"/>
      <c r="AC462" s="251">
        <f t="shared" ref="AC462" si="2699">(AB462/100)*1000</f>
        <v>0</v>
      </c>
      <c r="AD462" s="74"/>
      <c r="AE462" s="251">
        <f t="shared" ref="AE462" si="2700">(AD462/100)*1000</f>
        <v>0</v>
      </c>
      <c r="AF462" s="98"/>
      <c r="AG462" s="98"/>
    </row>
    <row r="463" spans="1:33" ht="19.149999999999999" customHeight="1" outlineLevel="1">
      <c r="A463" s="399">
        <f t="shared" si="2490"/>
        <v>2</v>
      </c>
      <c r="B463" s="74"/>
      <c r="C463" s="251">
        <f t="shared" si="2491"/>
        <v>0</v>
      </c>
      <c r="D463" s="74"/>
      <c r="E463" s="251">
        <f t="shared" si="2492"/>
        <v>0</v>
      </c>
      <c r="F463" s="74"/>
      <c r="G463" s="251">
        <f t="shared" ref="G463" si="2701">(F463/100)*1000</f>
        <v>0</v>
      </c>
      <c r="H463" s="74"/>
      <c r="I463" s="251">
        <f t="shared" ref="I463" si="2702">(H463/100)*1000</f>
        <v>0</v>
      </c>
      <c r="J463" s="74"/>
      <c r="K463" s="251">
        <f t="shared" ref="K463" si="2703">(J463/100)*1000</f>
        <v>0</v>
      </c>
      <c r="L463" s="74"/>
      <c r="M463" s="251">
        <f t="shared" ref="M463" si="2704">(L463/100)*1000</f>
        <v>0</v>
      </c>
      <c r="N463" s="74"/>
      <c r="O463" s="251">
        <f t="shared" ref="O463" si="2705">(N463/100)*1000</f>
        <v>0</v>
      </c>
      <c r="P463" s="74"/>
      <c r="Q463" s="251">
        <f t="shared" ref="Q463" si="2706">(P463/100)*1000</f>
        <v>0</v>
      </c>
      <c r="R463" s="74"/>
      <c r="S463" s="251">
        <f t="shared" ref="S463" si="2707">(R463/100)*1000</f>
        <v>0</v>
      </c>
      <c r="T463" s="74"/>
      <c r="U463" s="251">
        <f t="shared" ref="U463" si="2708">(T463/100)*1000</f>
        <v>0</v>
      </c>
      <c r="V463" s="74"/>
      <c r="W463" s="251">
        <f t="shared" ref="W463" si="2709">(V463/100)*1000</f>
        <v>0</v>
      </c>
      <c r="X463" s="74"/>
      <c r="Y463" s="251">
        <f t="shared" ref="Y463" si="2710">(X463/100)*1000</f>
        <v>0</v>
      </c>
      <c r="Z463" s="74"/>
      <c r="AA463" s="251">
        <f t="shared" ref="AA463" si="2711">(Z463/100)*1000</f>
        <v>0</v>
      </c>
      <c r="AB463" s="74"/>
      <c r="AC463" s="251">
        <f t="shared" ref="AC463" si="2712">(AB463/100)*1000</f>
        <v>0</v>
      </c>
      <c r="AD463" s="74"/>
      <c r="AE463" s="251">
        <f t="shared" ref="AE463" si="2713">(AD463/100)*1000</f>
        <v>0</v>
      </c>
      <c r="AF463" s="98"/>
      <c r="AG463" s="98"/>
    </row>
    <row r="464" spans="1:33" ht="19.149999999999999" customHeight="1" outlineLevel="1">
      <c r="A464" s="399">
        <f t="shared" si="2490"/>
        <v>3</v>
      </c>
      <c r="B464" s="74"/>
      <c r="C464" s="251">
        <f t="shared" si="2491"/>
        <v>0</v>
      </c>
      <c r="D464" s="74"/>
      <c r="E464" s="251">
        <f t="shared" si="2492"/>
        <v>0</v>
      </c>
      <c r="F464" s="74"/>
      <c r="G464" s="251">
        <f t="shared" ref="G464" si="2714">(F464/100)*1000</f>
        <v>0</v>
      </c>
      <c r="H464" s="74"/>
      <c r="I464" s="251">
        <f t="shared" ref="I464" si="2715">(H464/100)*1000</f>
        <v>0</v>
      </c>
      <c r="J464" s="74"/>
      <c r="K464" s="251">
        <f t="shared" ref="K464" si="2716">(J464/100)*1000</f>
        <v>0</v>
      </c>
      <c r="L464" s="74"/>
      <c r="M464" s="251">
        <f t="shared" ref="M464" si="2717">(L464/100)*1000</f>
        <v>0</v>
      </c>
      <c r="N464" s="74"/>
      <c r="O464" s="251">
        <f t="shared" ref="O464" si="2718">(N464/100)*1000</f>
        <v>0</v>
      </c>
      <c r="P464" s="74"/>
      <c r="Q464" s="251">
        <f t="shared" ref="Q464" si="2719">(P464/100)*1000</f>
        <v>0</v>
      </c>
      <c r="R464" s="74"/>
      <c r="S464" s="251">
        <f t="shared" ref="S464" si="2720">(R464/100)*1000</f>
        <v>0</v>
      </c>
      <c r="T464" s="74"/>
      <c r="U464" s="251">
        <f t="shared" ref="U464" si="2721">(T464/100)*1000</f>
        <v>0</v>
      </c>
      <c r="V464" s="74"/>
      <c r="W464" s="251">
        <f t="shared" ref="W464" si="2722">(V464/100)*1000</f>
        <v>0</v>
      </c>
      <c r="X464" s="74"/>
      <c r="Y464" s="251">
        <f t="shared" ref="Y464" si="2723">(X464/100)*1000</f>
        <v>0</v>
      </c>
      <c r="Z464" s="74"/>
      <c r="AA464" s="251">
        <f t="shared" ref="AA464" si="2724">(Z464/100)*1000</f>
        <v>0</v>
      </c>
      <c r="AB464" s="74"/>
      <c r="AC464" s="251">
        <f t="shared" ref="AC464" si="2725">(AB464/100)*1000</f>
        <v>0</v>
      </c>
      <c r="AD464" s="74"/>
      <c r="AE464" s="251">
        <f t="shared" ref="AE464" si="2726">(AD464/100)*1000</f>
        <v>0</v>
      </c>
      <c r="AF464" s="98"/>
      <c r="AG464" s="98"/>
    </row>
    <row r="465" spans="1:33" ht="19.149999999999999" customHeight="1" outlineLevel="1">
      <c r="A465" s="400" t="str">
        <f t="shared" si="2490"/>
        <v>PREMIX 1101 (20KG)</v>
      </c>
      <c r="B465" s="74"/>
      <c r="C465" s="251">
        <f t="shared" si="2491"/>
        <v>0</v>
      </c>
      <c r="D465" s="74"/>
      <c r="E465" s="251">
        <f t="shared" si="2492"/>
        <v>0</v>
      </c>
      <c r="F465" s="74"/>
      <c r="G465" s="251">
        <f t="shared" ref="G465" si="2727">(F465/100)*1000</f>
        <v>0</v>
      </c>
      <c r="H465" s="74"/>
      <c r="I465" s="251">
        <f t="shared" ref="I465" si="2728">(H465/100)*1000</f>
        <v>0</v>
      </c>
      <c r="J465" s="74"/>
      <c r="K465" s="251">
        <f t="shared" ref="K465" si="2729">(J465/100)*1000</f>
        <v>0</v>
      </c>
      <c r="L465" s="74"/>
      <c r="M465" s="251">
        <f t="shared" ref="M465" si="2730">(L465/100)*1000</f>
        <v>0</v>
      </c>
      <c r="N465" s="74"/>
      <c r="O465" s="251">
        <f t="shared" ref="O465" si="2731">(N465/100)*1000</f>
        <v>0</v>
      </c>
      <c r="P465" s="74"/>
      <c r="Q465" s="251">
        <f t="shared" ref="Q465" si="2732">(P465/100)*1000</f>
        <v>0</v>
      </c>
      <c r="R465" s="74"/>
      <c r="S465" s="251">
        <f t="shared" ref="S465" si="2733">(R465/100)*1000</f>
        <v>0</v>
      </c>
      <c r="T465" s="74"/>
      <c r="U465" s="251">
        <f t="shared" ref="U465" si="2734">(T465/100)*1000</f>
        <v>0</v>
      </c>
      <c r="V465" s="74"/>
      <c r="W465" s="251">
        <f t="shared" ref="W465" si="2735">(V465/100)*1000</f>
        <v>0</v>
      </c>
      <c r="X465" s="74"/>
      <c r="Y465" s="251">
        <f t="shared" ref="Y465" si="2736">(X465/100)*1000</f>
        <v>0</v>
      </c>
      <c r="Z465" s="74"/>
      <c r="AA465" s="251">
        <f t="shared" ref="AA465" si="2737">(Z465/100)*1000</f>
        <v>0</v>
      </c>
      <c r="AB465" s="74"/>
      <c r="AC465" s="251">
        <f t="shared" ref="AC465" si="2738">(AB465/100)*1000</f>
        <v>0</v>
      </c>
      <c r="AD465" s="74"/>
      <c r="AE465" s="251">
        <f t="shared" ref="AE465" si="2739">(AD465/100)*1000</f>
        <v>0</v>
      </c>
      <c r="AF465" s="98"/>
      <c r="AG465" s="98"/>
    </row>
    <row r="466" spans="1:33" ht="19.149999999999999" customHeight="1" outlineLevel="1">
      <c r="A466" s="400" t="str">
        <f t="shared" si="2490"/>
        <v>PREMIX 1102 (20KG)</v>
      </c>
      <c r="B466" s="74"/>
      <c r="C466" s="251">
        <f t="shared" si="2491"/>
        <v>0</v>
      </c>
      <c r="D466" s="74"/>
      <c r="E466" s="251">
        <f t="shared" si="2492"/>
        <v>0</v>
      </c>
      <c r="F466" s="74"/>
      <c r="G466" s="251">
        <f t="shared" ref="G466" si="2740">(F466/100)*1000</f>
        <v>0</v>
      </c>
      <c r="H466" s="74"/>
      <c r="I466" s="251">
        <f t="shared" ref="I466" si="2741">(H466/100)*1000</f>
        <v>0</v>
      </c>
      <c r="J466" s="74"/>
      <c r="K466" s="251">
        <f t="shared" ref="K466" si="2742">(J466/100)*1000</f>
        <v>0</v>
      </c>
      <c r="L466" s="74"/>
      <c r="M466" s="251">
        <f t="shared" ref="M466" si="2743">(L466/100)*1000</f>
        <v>0</v>
      </c>
      <c r="N466" s="74"/>
      <c r="O466" s="251">
        <f t="shared" ref="O466" si="2744">(N466/100)*1000</f>
        <v>0</v>
      </c>
      <c r="P466" s="74"/>
      <c r="Q466" s="251">
        <f t="shared" ref="Q466" si="2745">(P466/100)*1000</f>
        <v>0</v>
      </c>
      <c r="R466" s="74"/>
      <c r="S466" s="251">
        <f t="shared" ref="S466" si="2746">(R466/100)*1000</f>
        <v>0</v>
      </c>
      <c r="T466" s="74"/>
      <c r="U466" s="251">
        <f t="shared" ref="U466" si="2747">(T466/100)*1000</f>
        <v>0</v>
      </c>
      <c r="V466" s="74"/>
      <c r="W466" s="251">
        <f t="shared" ref="W466" si="2748">(V466/100)*1000</f>
        <v>0</v>
      </c>
      <c r="X466" s="74"/>
      <c r="Y466" s="251">
        <f t="shared" ref="Y466" si="2749">(X466/100)*1000</f>
        <v>0</v>
      </c>
      <c r="Z466" s="74"/>
      <c r="AA466" s="251">
        <f t="shared" ref="AA466" si="2750">(Z466/100)*1000</f>
        <v>0</v>
      </c>
      <c r="AB466" s="74"/>
      <c r="AC466" s="251">
        <f t="shared" ref="AC466" si="2751">(AB466/100)*1000</f>
        <v>0</v>
      </c>
      <c r="AD466" s="74"/>
      <c r="AE466" s="251">
        <f t="shared" ref="AE466" si="2752">(AD466/100)*1000</f>
        <v>0</v>
      </c>
      <c r="AF466" s="98"/>
      <c r="AG466" s="98"/>
    </row>
    <row r="467" spans="1:33" ht="19.149999999999999" customHeight="1" outlineLevel="1">
      <c r="A467" s="400" t="str">
        <f t="shared" si="2490"/>
        <v>PREMIX 1103 (20KG)</v>
      </c>
      <c r="B467" s="74"/>
      <c r="C467" s="251">
        <f t="shared" si="2491"/>
        <v>0</v>
      </c>
      <c r="D467" s="74"/>
      <c r="E467" s="251">
        <f t="shared" si="2492"/>
        <v>0</v>
      </c>
      <c r="F467" s="74"/>
      <c r="G467" s="251">
        <f t="shared" ref="G467" si="2753">(F467/100)*1000</f>
        <v>0</v>
      </c>
      <c r="H467" s="74"/>
      <c r="I467" s="251">
        <f t="shared" ref="I467" si="2754">(H467/100)*1000</f>
        <v>0</v>
      </c>
      <c r="J467" s="74"/>
      <c r="K467" s="251">
        <f t="shared" ref="K467" si="2755">(J467/100)*1000</f>
        <v>0</v>
      </c>
      <c r="L467" s="74"/>
      <c r="M467" s="251">
        <f t="shared" ref="M467" si="2756">(L467/100)*1000</f>
        <v>0</v>
      </c>
      <c r="N467" s="74"/>
      <c r="O467" s="251">
        <f t="shared" ref="O467" si="2757">(N467/100)*1000</f>
        <v>0</v>
      </c>
      <c r="P467" s="74"/>
      <c r="Q467" s="251">
        <f t="shared" ref="Q467" si="2758">(P467/100)*1000</f>
        <v>0</v>
      </c>
      <c r="R467" s="74"/>
      <c r="S467" s="251">
        <f t="shared" ref="S467" si="2759">(R467/100)*1000</f>
        <v>0</v>
      </c>
      <c r="T467" s="74"/>
      <c r="U467" s="251">
        <f t="shared" ref="U467" si="2760">(T467/100)*1000</f>
        <v>0</v>
      </c>
      <c r="V467" s="74"/>
      <c r="W467" s="251">
        <f t="shared" ref="W467" si="2761">(V467/100)*1000</f>
        <v>0</v>
      </c>
      <c r="X467" s="74"/>
      <c r="Y467" s="251">
        <f t="shared" ref="Y467" si="2762">(X467/100)*1000</f>
        <v>0</v>
      </c>
      <c r="Z467" s="74"/>
      <c r="AA467" s="251">
        <f t="shared" ref="AA467" si="2763">(Z467/100)*1000</f>
        <v>0</v>
      </c>
      <c r="AB467" s="74"/>
      <c r="AC467" s="251">
        <f t="shared" ref="AC467" si="2764">(AB467/100)*1000</f>
        <v>0</v>
      </c>
      <c r="AD467" s="74"/>
      <c r="AE467" s="251">
        <f t="shared" ref="AE467" si="2765">(AD467/100)*1000</f>
        <v>0</v>
      </c>
      <c r="AF467" s="98"/>
      <c r="AG467" s="98"/>
    </row>
    <row r="468" spans="1:33" ht="19.149999999999999" customHeight="1" outlineLevel="1">
      <c r="A468" s="400" t="str">
        <f t="shared" si="2490"/>
        <v>PREMIX 311 (20KG)</v>
      </c>
      <c r="B468" s="74"/>
      <c r="C468" s="251">
        <f t="shared" si="2491"/>
        <v>0</v>
      </c>
      <c r="D468" s="74"/>
      <c r="E468" s="251">
        <f t="shared" si="2492"/>
        <v>0</v>
      </c>
      <c r="F468" s="74"/>
      <c r="G468" s="251">
        <f t="shared" ref="G468" si="2766">(F468/100)*1000</f>
        <v>0</v>
      </c>
      <c r="H468" s="74"/>
      <c r="I468" s="251">
        <f t="shared" ref="I468" si="2767">(H468/100)*1000</f>
        <v>0</v>
      </c>
      <c r="J468" s="74"/>
      <c r="K468" s="251">
        <f t="shared" ref="K468" si="2768">(J468/100)*1000</f>
        <v>0</v>
      </c>
      <c r="L468" s="74"/>
      <c r="M468" s="251">
        <f t="shared" ref="M468" si="2769">(L468/100)*1000</f>
        <v>0</v>
      </c>
      <c r="N468" s="74"/>
      <c r="O468" s="251">
        <f t="shared" ref="O468" si="2770">(N468/100)*1000</f>
        <v>0</v>
      </c>
      <c r="P468" s="74"/>
      <c r="Q468" s="251">
        <f t="shared" ref="Q468" si="2771">(P468/100)*1000</f>
        <v>0</v>
      </c>
      <c r="R468" s="74"/>
      <c r="S468" s="251">
        <f t="shared" ref="S468" si="2772">(R468/100)*1000</f>
        <v>0</v>
      </c>
      <c r="T468" s="74">
        <f>40/20</f>
        <v>2</v>
      </c>
      <c r="U468" s="251">
        <f t="shared" ref="U468" si="2773">(T468/100)*1000</f>
        <v>20</v>
      </c>
      <c r="V468" s="74"/>
      <c r="W468" s="251">
        <f t="shared" ref="W468" si="2774">(V468/100)*1000</f>
        <v>0</v>
      </c>
      <c r="X468" s="74"/>
      <c r="Y468" s="251">
        <f t="shared" ref="Y468" si="2775">(X468/100)*1000</f>
        <v>0</v>
      </c>
      <c r="Z468" s="74"/>
      <c r="AA468" s="251">
        <f t="shared" ref="AA468" si="2776">(Z468/100)*1000</f>
        <v>0</v>
      </c>
      <c r="AB468" s="74"/>
      <c r="AC468" s="251">
        <f t="shared" ref="AC468" si="2777">(AB468/100)*1000</f>
        <v>0</v>
      </c>
      <c r="AD468" s="74"/>
      <c r="AE468" s="251">
        <f t="shared" ref="AE468" si="2778">(AD468/100)*1000</f>
        <v>0</v>
      </c>
      <c r="AF468" s="98"/>
      <c r="AG468" s="98"/>
    </row>
    <row r="469" spans="1:33" ht="19.149999999999999" customHeight="1" outlineLevel="1">
      <c r="A469" s="400" t="str">
        <f t="shared" si="2490"/>
        <v>PREMIX 312 (20KG)</v>
      </c>
      <c r="B469" s="74"/>
      <c r="C469" s="251">
        <f t="shared" si="2491"/>
        <v>0</v>
      </c>
      <c r="D469" s="74"/>
      <c r="E469" s="251">
        <f t="shared" si="2492"/>
        <v>0</v>
      </c>
      <c r="F469" s="74"/>
      <c r="G469" s="251">
        <f t="shared" ref="G469" si="2779">(F469/100)*1000</f>
        <v>0</v>
      </c>
      <c r="H469" s="74"/>
      <c r="I469" s="251">
        <f t="shared" ref="I469" si="2780">(H469/100)*1000</f>
        <v>0</v>
      </c>
      <c r="J469" s="74"/>
      <c r="K469" s="251">
        <f t="shared" ref="K469" si="2781">(J469/100)*1000</f>
        <v>0</v>
      </c>
      <c r="L469" s="74"/>
      <c r="M469" s="251">
        <f t="shared" ref="M469" si="2782">(L469/100)*1000</f>
        <v>0</v>
      </c>
      <c r="N469" s="74"/>
      <c r="O469" s="251">
        <f t="shared" ref="O469" si="2783">(N469/100)*1000</f>
        <v>0</v>
      </c>
      <c r="P469" s="74"/>
      <c r="Q469" s="251">
        <f t="shared" ref="Q469" si="2784">(P469/100)*1000</f>
        <v>0</v>
      </c>
      <c r="R469" s="74"/>
      <c r="S469" s="251">
        <f t="shared" ref="S469" si="2785">(R469/100)*1000</f>
        <v>0</v>
      </c>
      <c r="T469" s="74"/>
      <c r="U469" s="251">
        <f t="shared" ref="U469" si="2786">(T469/100)*1000</f>
        <v>0</v>
      </c>
      <c r="V469" s="74">
        <v>2</v>
      </c>
      <c r="W469" s="251">
        <f t="shared" ref="W469" si="2787">(V469/100)*1000</f>
        <v>20</v>
      </c>
      <c r="X469" s="74"/>
      <c r="Y469" s="251">
        <f t="shared" ref="Y469" si="2788">(X469/100)*1000</f>
        <v>0</v>
      </c>
      <c r="Z469" s="74"/>
      <c r="AA469" s="251">
        <f t="shared" ref="AA469" si="2789">(Z469/100)*1000</f>
        <v>0</v>
      </c>
      <c r="AB469" s="74"/>
      <c r="AC469" s="251">
        <f t="shared" ref="AC469" si="2790">(AB469/100)*1000</f>
        <v>0</v>
      </c>
      <c r="AD469" s="74"/>
      <c r="AE469" s="251">
        <f t="shared" ref="AE469" si="2791">(AD469/100)*1000</f>
        <v>0</v>
      </c>
      <c r="AF469" s="98"/>
      <c r="AG469" s="98"/>
    </row>
    <row r="470" spans="1:33" ht="19.149999999999999" customHeight="1" outlineLevel="1">
      <c r="A470" s="400">
        <f t="shared" si="2490"/>
        <v>1</v>
      </c>
      <c r="B470" s="74"/>
      <c r="C470" s="251">
        <f t="shared" si="2491"/>
        <v>0</v>
      </c>
      <c r="D470" s="74"/>
      <c r="E470" s="251">
        <f t="shared" si="2492"/>
        <v>0</v>
      </c>
      <c r="F470" s="74"/>
      <c r="G470" s="251">
        <f t="shared" ref="G470" si="2792">(F470/100)*1000</f>
        <v>0</v>
      </c>
      <c r="H470" s="74"/>
      <c r="I470" s="251">
        <f t="shared" ref="I470" si="2793">(H470/100)*1000</f>
        <v>0</v>
      </c>
      <c r="J470" s="74"/>
      <c r="K470" s="251">
        <f t="shared" ref="K470" si="2794">(J470/100)*1000</f>
        <v>0</v>
      </c>
      <c r="L470" s="74"/>
      <c r="M470" s="251">
        <f t="shared" ref="M470" si="2795">(L470/100)*1000</f>
        <v>0</v>
      </c>
      <c r="N470" s="74"/>
      <c r="O470" s="251">
        <f t="shared" ref="O470" si="2796">(N470/100)*1000</f>
        <v>0</v>
      </c>
      <c r="P470" s="74"/>
      <c r="Q470" s="251">
        <f t="shared" ref="Q470" si="2797">(P470/100)*1000</f>
        <v>0</v>
      </c>
      <c r="R470" s="74"/>
      <c r="S470" s="251">
        <f t="shared" ref="S470" si="2798">(R470/100)*1000</f>
        <v>0</v>
      </c>
      <c r="T470" s="74"/>
      <c r="U470" s="251">
        <f t="shared" ref="U470" si="2799">(T470/100)*1000</f>
        <v>0</v>
      </c>
      <c r="V470" s="74"/>
      <c r="W470" s="251">
        <f t="shared" ref="W470" si="2800">(V470/100)*1000</f>
        <v>0</v>
      </c>
      <c r="X470" s="74"/>
      <c r="Y470" s="251">
        <f t="shared" ref="Y470" si="2801">(X470/100)*1000</f>
        <v>0</v>
      </c>
      <c r="Z470" s="74"/>
      <c r="AA470" s="251">
        <f t="shared" ref="AA470" si="2802">(Z470/100)*1000</f>
        <v>0</v>
      </c>
      <c r="AB470" s="74"/>
      <c r="AC470" s="251">
        <f t="shared" ref="AC470" si="2803">(AB470/100)*1000</f>
        <v>0</v>
      </c>
      <c r="AD470" s="74"/>
      <c r="AE470" s="251">
        <f t="shared" ref="AE470" si="2804">(AD470/100)*1000</f>
        <v>0</v>
      </c>
      <c r="AF470" s="98"/>
      <c r="AG470" s="98"/>
    </row>
    <row r="471" spans="1:33" ht="19.149999999999999" customHeight="1" outlineLevel="1">
      <c r="A471" s="400" t="str">
        <f t="shared" si="2490"/>
        <v>PREMIX 8100 (20KG)</v>
      </c>
      <c r="B471" s="74"/>
      <c r="C471" s="251">
        <f t="shared" si="2491"/>
        <v>0</v>
      </c>
      <c r="D471" s="74"/>
      <c r="E471" s="251">
        <f t="shared" si="2492"/>
        <v>0</v>
      </c>
      <c r="F471" s="74"/>
      <c r="G471" s="251">
        <f t="shared" ref="G471" si="2805">(F471/100)*1000</f>
        <v>0</v>
      </c>
      <c r="H471" s="74"/>
      <c r="I471" s="251">
        <f t="shared" ref="I471" si="2806">(H471/100)*1000</f>
        <v>0</v>
      </c>
      <c r="J471" s="74"/>
      <c r="K471" s="251">
        <f t="shared" ref="K471" si="2807">(J471/100)*1000</f>
        <v>0</v>
      </c>
      <c r="L471" s="74"/>
      <c r="M471" s="251">
        <f t="shared" ref="M471" si="2808">(L471/100)*1000</f>
        <v>0</v>
      </c>
      <c r="N471" s="74"/>
      <c r="O471" s="251">
        <f t="shared" ref="O471" si="2809">(N471/100)*1000</f>
        <v>0</v>
      </c>
      <c r="P471" s="74"/>
      <c r="Q471" s="251">
        <f t="shared" ref="Q471" si="2810">(P471/100)*1000</f>
        <v>0</v>
      </c>
      <c r="R471" s="74"/>
      <c r="S471" s="251">
        <f t="shared" ref="S471" si="2811">(R471/100)*1000</f>
        <v>0</v>
      </c>
      <c r="T471" s="74"/>
      <c r="U471" s="251">
        <f t="shared" ref="U471" si="2812">(T471/100)*1000</f>
        <v>0</v>
      </c>
      <c r="V471" s="74"/>
      <c r="W471" s="251">
        <f t="shared" ref="W471" si="2813">(V471/100)*1000</f>
        <v>0</v>
      </c>
      <c r="X471" s="74"/>
      <c r="Y471" s="251">
        <f t="shared" ref="Y471" si="2814">(X471/100)*1000</f>
        <v>0</v>
      </c>
      <c r="Z471" s="74"/>
      <c r="AA471" s="251">
        <f t="shared" ref="AA471" si="2815">(Z471/100)*1000</f>
        <v>0</v>
      </c>
      <c r="AB471" s="74"/>
      <c r="AC471" s="251">
        <f t="shared" ref="AC471" si="2816">(AB471/100)*1000</f>
        <v>0</v>
      </c>
      <c r="AD471" s="74"/>
      <c r="AE471" s="251">
        <f t="shared" ref="AE471" si="2817">(AD471/100)*1000</f>
        <v>0</v>
      </c>
      <c r="AF471" s="98"/>
      <c r="AG471" s="98"/>
    </row>
    <row r="472" spans="1:33" ht="19.149999999999999" customHeight="1" outlineLevel="1">
      <c r="A472" s="400" t="str">
        <f t="shared" si="2490"/>
        <v>PREMIX 8101 (20KG)</v>
      </c>
      <c r="B472" s="74"/>
      <c r="C472" s="251">
        <f t="shared" si="2491"/>
        <v>0</v>
      </c>
      <c r="D472" s="74"/>
      <c r="E472" s="251">
        <f t="shared" si="2492"/>
        <v>0</v>
      </c>
      <c r="F472" s="74"/>
      <c r="G472" s="251">
        <f t="shared" ref="G472" si="2818">(F472/100)*1000</f>
        <v>0</v>
      </c>
      <c r="H472" s="74"/>
      <c r="I472" s="251">
        <f t="shared" ref="I472" si="2819">(H472/100)*1000</f>
        <v>0</v>
      </c>
      <c r="J472" s="74"/>
      <c r="K472" s="251">
        <f t="shared" ref="K472" si="2820">(J472/100)*1000</f>
        <v>0</v>
      </c>
      <c r="L472" s="74"/>
      <c r="M472" s="251">
        <f t="shared" ref="M472" si="2821">(L472/100)*1000</f>
        <v>0</v>
      </c>
      <c r="N472" s="74"/>
      <c r="O472" s="251">
        <f t="shared" ref="O472" si="2822">(N472/100)*1000</f>
        <v>0</v>
      </c>
      <c r="P472" s="74"/>
      <c r="Q472" s="251">
        <f t="shared" ref="Q472" si="2823">(P472/100)*1000</f>
        <v>0</v>
      </c>
      <c r="R472" s="74"/>
      <c r="S472" s="251">
        <f t="shared" ref="S472" si="2824">(R472/100)*1000</f>
        <v>0</v>
      </c>
      <c r="T472" s="74"/>
      <c r="U472" s="251">
        <f t="shared" ref="U472" si="2825">(T472/100)*1000</f>
        <v>0</v>
      </c>
      <c r="V472" s="74"/>
      <c r="W472" s="251">
        <f t="shared" ref="W472" si="2826">(V472/100)*1000</f>
        <v>0</v>
      </c>
      <c r="X472" s="74"/>
      <c r="Y472" s="251">
        <f t="shared" ref="Y472" si="2827">(X472/100)*1000</f>
        <v>0</v>
      </c>
      <c r="Z472" s="74"/>
      <c r="AA472" s="251">
        <f t="shared" ref="AA472" si="2828">(Z472/100)*1000</f>
        <v>0</v>
      </c>
      <c r="AB472" s="74"/>
      <c r="AC472" s="251">
        <f t="shared" ref="AC472" si="2829">(AB472/100)*1000</f>
        <v>0</v>
      </c>
      <c r="AD472" s="74"/>
      <c r="AE472" s="251">
        <f t="shared" ref="AE472" si="2830">(AD472/100)*1000</f>
        <v>0</v>
      </c>
      <c r="AF472" s="98"/>
      <c r="AG472" s="98"/>
    </row>
    <row r="473" spans="1:33" ht="19.149999999999999" customHeight="1" outlineLevel="1">
      <c r="A473" s="400" t="str">
        <f t="shared" si="2490"/>
        <v>PREMIX 8102 (20KG)</v>
      </c>
      <c r="B473" s="74"/>
      <c r="C473" s="251">
        <f t="shared" si="2491"/>
        <v>0</v>
      </c>
      <c r="D473" s="74"/>
      <c r="E473" s="251">
        <f t="shared" si="2492"/>
        <v>0</v>
      </c>
      <c r="F473" s="74"/>
      <c r="G473" s="251">
        <f t="shared" ref="G473" si="2831">(F473/100)*1000</f>
        <v>0</v>
      </c>
      <c r="H473" s="74"/>
      <c r="I473" s="251">
        <f t="shared" ref="I473" si="2832">(H473/100)*1000</f>
        <v>0</v>
      </c>
      <c r="J473" s="74"/>
      <c r="K473" s="251">
        <f t="shared" ref="K473" si="2833">(J473/100)*1000</f>
        <v>0</v>
      </c>
      <c r="L473" s="74"/>
      <c r="M473" s="251">
        <f t="shared" ref="M473" si="2834">(L473/100)*1000</f>
        <v>0</v>
      </c>
      <c r="N473" s="74"/>
      <c r="O473" s="251">
        <f t="shared" ref="O473" si="2835">(N473/100)*1000</f>
        <v>0</v>
      </c>
      <c r="P473" s="74"/>
      <c r="Q473" s="251">
        <f t="shared" ref="Q473" si="2836">(P473/100)*1000</f>
        <v>0</v>
      </c>
      <c r="R473" s="74"/>
      <c r="S473" s="251">
        <f t="shared" ref="S473" si="2837">(R473/100)*1000</f>
        <v>0</v>
      </c>
      <c r="T473" s="74"/>
      <c r="U473" s="251">
        <f t="shared" ref="U473" si="2838">(T473/100)*1000</f>
        <v>0</v>
      </c>
      <c r="V473" s="74"/>
      <c r="W473" s="251">
        <f t="shared" ref="W473" si="2839">(V473/100)*1000</f>
        <v>0</v>
      </c>
      <c r="X473" s="74"/>
      <c r="Y473" s="251">
        <f t="shared" ref="Y473" si="2840">(X473/100)*1000</f>
        <v>0</v>
      </c>
      <c r="Z473" s="74"/>
      <c r="AA473" s="251">
        <f t="shared" ref="AA473" si="2841">(Z473/100)*1000</f>
        <v>0</v>
      </c>
      <c r="AB473" s="74"/>
      <c r="AC473" s="251">
        <f t="shared" ref="AC473" si="2842">(AB473/100)*1000</f>
        <v>0</v>
      </c>
      <c r="AD473" s="74"/>
      <c r="AE473" s="251">
        <f t="shared" ref="AE473" si="2843">(AD473/100)*1000</f>
        <v>0</v>
      </c>
      <c r="AF473" s="98"/>
      <c r="AG473" s="98"/>
    </row>
    <row r="474" spans="1:33" ht="19.149999999999999" customHeight="1" outlineLevel="1">
      <c r="A474" s="400" t="str">
        <f t="shared" si="2490"/>
        <v>PREMIX 8103 (20KG)</v>
      </c>
      <c r="B474" s="74"/>
      <c r="C474" s="251">
        <f t="shared" si="2491"/>
        <v>0</v>
      </c>
      <c r="D474" s="74"/>
      <c r="E474" s="251">
        <f t="shared" si="2492"/>
        <v>0</v>
      </c>
      <c r="F474" s="74"/>
      <c r="G474" s="251">
        <f t="shared" ref="G474" si="2844">(F474/100)*1000</f>
        <v>0</v>
      </c>
      <c r="H474" s="74"/>
      <c r="I474" s="251">
        <f t="shared" ref="I474" si="2845">(H474/100)*1000</f>
        <v>0</v>
      </c>
      <c r="J474" s="74"/>
      <c r="K474" s="251">
        <f t="shared" ref="K474" si="2846">(J474/100)*1000</f>
        <v>0</v>
      </c>
      <c r="L474" s="74"/>
      <c r="M474" s="251">
        <f t="shared" ref="M474" si="2847">(L474/100)*1000</f>
        <v>0</v>
      </c>
      <c r="N474" s="74"/>
      <c r="O474" s="251">
        <f t="shared" ref="O474" si="2848">(N474/100)*1000</f>
        <v>0</v>
      </c>
      <c r="P474" s="74"/>
      <c r="Q474" s="251">
        <f t="shared" ref="Q474" si="2849">(P474/100)*1000</f>
        <v>0</v>
      </c>
      <c r="R474" s="74"/>
      <c r="S474" s="251">
        <f t="shared" ref="S474" si="2850">(R474/100)*1000</f>
        <v>0</v>
      </c>
      <c r="T474" s="74"/>
      <c r="U474" s="251">
        <f t="shared" ref="U474" si="2851">(T474/100)*1000</f>
        <v>0</v>
      </c>
      <c r="V474" s="74"/>
      <c r="W474" s="251">
        <f t="shared" ref="W474" si="2852">(V474/100)*1000</f>
        <v>0</v>
      </c>
      <c r="X474" s="74"/>
      <c r="Y474" s="251">
        <f t="shared" ref="Y474" si="2853">(X474/100)*1000</f>
        <v>0</v>
      </c>
      <c r="Z474" s="74"/>
      <c r="AA474" s="251">
        <f t="shared" ref="AA474" si="2854">(Z474/100)*1000</f>
        <v>0</v>
      </c>
      <c r="AB474" s="74"/>
      <c r="AC474" s="251">
        <f t="shared" ref="AC474" si="2855">(AB474/100)*1000</f>
        <v>0</v>
      </c>
      <c r="AD474" s="74"/>
      <c r="AE474" s="251">
        <f t="shared" ref="AE474" si="2856">(AD474/100)*1000</f>
        <v>0</v>
      </c>
      <c r="AF474" s="98"/>
      <c r="AG474" s="98"/>
    </row>
    <row r="475" spans="1:33" ht="19.149999999999999" customHeight="1" outlineLevel="1">
      <c r="A475" s="400" t="str">
        <f t="shared" si="2490"/>
        <v>PREMIX 8108 (20KG)</v>
      </c>
      <c r="B475" s="74"/>
      <c r="C475" s="251">
        <f t="shared" si="2491"/>
        <v>0</v>
      </c>
      <c r="D475" s="74"/>
      <c r="E475" s="251">
        <f t="shared" si="2492"/>
        <v>0</v>
      </c>
      <c r="F475" s="74"/>
      <c r="G475" s="251">
        <f t="shared" ref="G475" si="2857">(F475/100)*1000</f>
        <v>0</v>
      </c>
      <c r="H475" s="74"/>
      <c r="I475" s="251">
        <f t="shared" ref="I475" si="2858">(H475/100)*1000</f>
        <v>0</v>
      </c>
      <c r="J475" s="74"/>
      <c r="K475" s="251">
        <f t="shared" ref="K475" si="2859">(J475/100)*1000</f>
        <v>0</v>
      </c>
      <c r="L475" s="74"/>
      <c r="M475" s="251">
        <f t="shared" ref="M475" si="2860">(L475/100)*1000</f>
        <v>0</v>
      </c>
      <c r="N475" s="74"/>
      <c r="O475" s="251">
        <f t="shared" ref="O475" si="2861">(N475/100)*1000</f>
        <v>0</v>
      </c>
      <c r="P475" s="74"/>
      <c r="Q475" s="251">
        <f t="shared" ref="Q475" si="2862">(P475/100)*1000</f>
        <v>0</v>
      </c>
      <c r="R475" s="74"/>
      <c r="S475" s="251">
        <f t="shared" ref="S475" si="2863">(R475/100)*1000</f>
        <v>0</v>
      </c>
      <c r="T475" s="74"/>
      <c r="U475" s="251">
        <f t="shared" ref="U475" si="2864">(T475/100)*1000</f>
        <v>0</v>
      </c>
      <c r="V475" s="74"/>
      <c r="W475" s="251">
        <f t="shared" ref="W475" si="2865">(V475/100)*1000</f>
        <v>0</v>
      </c>
      <c r="X475" s="74"/>
      <c r="Y475" s="251">
        <f t="shared" ref="Y475" si="2866">(X475/100)*1000</f>
        <v>0</v>
      </c>
      <c r="Z475" s="74"/>
      <c r="AA475" s="251">
        <f t="shared" ref="AA475" si="2867">(Z475/100)*1000</f>
        <v>0</v>
      </c>
      <c r="AB475" s="74"/>
      <c r="AC475" s="251">
        <f t="shared" ref="AC475" si="2868">(AB475/100)*1000</f>
        <v>0</v>
      </c>
      <c r="AD475" s="74"/>
      <c r="AE475" s="251">
        <f t="shared" ref="AE475" si="2869">(AD475/100)*1000</f>
        <v>0</v>
      </c>
      <c r="AF475" s="98"/>
      <c r="AG475" s="98"/>
    </row>
    <row r="476" spans="1:33" ht="19.149999999999999" customHeight="1" outlineLevel="1">
      <c r="A476" s="400" t="str">
        <f t="shared" si="2490"/>
        <v>PREMIX 8109 (20KG)</v>
      </c>
      <c r="B476" s="74"/>
      <c r="C476" s="251">
        <f t="shared" si="2491"/>
        <v>0</v>
      </c>
      <c r="D476" s="74"/>
      <c r="E476" s="251">
        <f t="shared" si="2492"/>
        <v>0</v>
      </c>
      <c r="F476" s="74"/>
      <c r="G476" s="251">
        <f t="shared" ref="G476" si="2870">(F476/100)*1000</f>
        <v>0</v>
      </c>
      <c r="H476" s="74"/>
      <c r="I476" s="251">
        <f t="shared" ref="I476" si="2871">(H476/100)*1000</f>
        <v>0</v>
      </c>
      <c r="J476" s="74"/>
      <c r="K476" s="251">
        <f t="shared" ref="K476" si="2872">(J476/100)*1000</f>
        <v>0</v>
      </c>
      <c r="L476" s="74"/>
      <c r="M476" s="251">
        <f t="shared" ref="M476" si="2873">(L476/100)*1000</f>
        <v>0</v>
      </c>
      <c r="N476" s="74"/>
      <c r="O476" s="251">
        <f t="shared" ref="O476" si="2874">(N476/100)*1000</f>
        <v>0</v>
      </c>
      <c r="P476" s="74"/>
      <c r="Q476" s="251">
        <f t="shared" ref="Q476" si="2875">(P476/100)*1000</f>
        <v>0</v>
      </c>
      <c r="R476" s="74"/>
      <c r="S476" s="251">
        <f t="shared" ref="S476" si="2876">(R476/100)*1000</f>
        <v>0</v>
      </c>
      <c r="T476" s="74"/>
      <c r="U476" s="251">
        <f t="shared" ref="U476" si="2877">(T476/100)*1000</f>
        <v>0</v>
      </c>
      <c r="V476" s="74"/>
      <c r="W476" s="251">
        <f t="shared" ref="W476" si="2878">(V476/100)*1000</f>
        <v>0</v>
      </c>
      <c r="X476" s="74"/>
      <c r="Y476" s="251">
        <f t="shared" ref="Y476" si="2879">(X476/100)*1000</f>
        <v>0</v>
      </c>
      <c r="Z476" s="74"/>
      <c r="AA476" s="251">
        <f t="shared" ref="AA476" si="2880">(Z476/100)*1000</f>
        <v>0</v>
      </c>
      <c r="AB476" s="74"/>
      <c r="AC476" s="251">
        <f t="shared" ref="AC476" si="2881">(AB476/100)*1000</f>
        <v>0</v>
      </c>
      <c r="AD476" s="74"/>
      <c r="AE476" s="251">
        <f t="shared" ref="AE476" si="2882">(AD476/100)*1000</f>
        <v>0</v>
      </c>
      <c r="AF476" s="98"/>
      <c r="AG476" s="98"/>
    </row>
    <row r="477" spans="1:33" ht="19.149999999999999" customHeight="1" outlineLevel="1">
      <c r="A477" s="400" t="str">
        <f t="shared" si="2490"/>
        <v>YENMIX 121 (20KG)</v>
      </c>
      <c r="B477" s="74">
        <f>40/20</f>
        <v>2</v>
      </c>
      <c r="C477" s="251">
        <f t="shared" si="2491"/>
        <v>20</v>
      </c>
      <c r="D477" s="74">
        <f>40/20</f>
        <v>2</v>
      </c>
      <c r="E477" s="251">
        <f t="shared" si="2492"/>
        <v>20</v>
      </c>
      <c r="F477" s="74">
        <f>40/20</f>
        <v>2</v>
      </c>
      <c r="G477" s="251">
        <f t="shared" ref="G477" si="2883">(F477/100)*1000</f>
        <v>20</v>
      </c>
      <c r="H477" s="74"/>
      <c r="I477" s="251">
        <f t="shared" ref="I477" si="2884">(H477/100)*1000</f>
        <v>0</v>
      </c>
      <c r="J477" s="74"/>
      <c r="K477" s="251">
        <f t="shared" ref="K477" si="2885">(J477/100)*1000</f>
        <v>0</v>
      </c>
      <c r="L477" s="74"/>
      <c r="M477" s="251">
        <f t="shared" ref="M477" si="2886">(L477/100)*1000</f>
        <v>0</v>
      </c>
      <c r="N477" s="74"/>
      <c r="O477" s="251">
        <f t="shared" ref="O477" si="2887">(N477/100)*1000</f>
        <v>0</v>
      </c>
      <c r="P477" s="74"/>
      <c r="Q477" s="251">
        <f t="shared" ref="Q477" si="2888">(P477/100)*1000</f>
        <v>0</v>
      </c>
      <c r="R477" s="74"/>
      <c r="S477" s="251">
        <f t="shared" ref="S477" si="2889">(R477/100)*1000</f>
        <v>0</v>
      </c>
      <c r="T477" s="74"/>
      <c r="U477" s="251">
        <f t="shared" ref="U477" si="2890">(T477/100)*1000</f>
        <v>0</v>
      </c>
      <c r="V477" s="74"/>
      <c r="W477" s="251">
        <f t="shared" ref="W477" si="2891">(V477/100)*1000</f>
        <v>0</v>
      </c>
      <c r="X477" s="74"/>
      <c r="Y477" s="251">
        <f t="shared" ref="Y477" si="2892">(X477/100)*1000</f>
        <v>0</v>
      </c>
      <c r="Z477" s="74"/>
      <c r="AA477" s="251">
        <f t="shared" ref="AA477" si="2893">(Z477/100)*1000</f>
        <v>0</v>
      </c>
      <c r="AB477" s="74"/>
      <c r="AC477" s="251">
        <f t="shared" ref="AC477" si="2894">(AB477/100)*1000</f>
        <v>0</v>
      </c>
      <c r="AD477" s="74"/>
      <c r="AE477" s="251">
        <f t="shared" ref="AE477" si="2895">(AD477/100)*1000</f>
        <v>0</v>
      </c>
      <c r="AF477" s="98"/>
      <c r="AG477" s="98"/>
    </row>
    <row r="478" spans="1:33" ht="19.149999999999999" customHeight="1" outlineLevel="1">
      <c r="A478" s="400" t="str">
        <f t="shared" ref="A478:A496" si="2896">A38</f>
        <v>YENMIX 122 (19.50KG)</v>
      </c>
      <c r="B478" s="74"/>
      <c r="C478" s="251">
        <f t="shared" si="2491"/>
        <v>0</v>
      </c>
      <c r="D478" s="74"/>
      <c r="E478" s="251">
        <f t="shared" si="2492"/>
        <v>0</v>
      </c>
      <c r="F478" s="74"/>
      <c r="G478" s="251">
        <f t="shared" ref="G478" si="2897">(F478/100)*1000</f>
        <v>0</v>
      </c>
      <c r="H478" s="74"/>
      <c r="I478" s="251">
        <f t="shared" ref="I478" si="2898">(H478/100)*1000</f>
        <v>0</v>
      </c>
      <c r="J478" s="74"/>
      <c r="K478" s="251">
        <f t="shared" ref="K478" si="2899">(J478/100)*1000</f>
        <v>0</v>
      </c>
      <c r="L478" s="74"/>
      <c r="M478" s="251">
        <f t="shared" ref="M478" si="2900">(L478/100)*1000</f>
        <v>0</v>
      </c>
      <c r="N478" s="74"/>
      <c r="O478" s="251">
        <f t="shared" ref="O478" si="2901">(N478/100)*1000</f>
        <v>0</v>
      </c>
      <c r="P478" s="74"/>
      <c r="Q478" s="251">
        <f t="shared" ref="Q478" si="2902">(P478/100)*1000</f>
        <v>0</v>
      </c>
      <c r="R478" s="74"/>
      <c r="S478" s="251">
        <f t="shared" ref="S478" si="2903">(R478/100)*1000</f>
        <v>0</v>
      </c>
      <c r="T478" s="74"/>
      <c r="U478" s="251">
        <f t="shared" ref="U478" si="2904">(T478/100)*1000</f>
        <v>0</v>
      </c>
      <c r="V478" s="74"/>
      <c r="W478" s="251">
        <f t="shared" ref="W478" si="2905">(V478/100)*1000</f>
        <v>0</v>
      </c>
      <c r="X478" s="74"/>
      <c r="Y478" s="251">
        <f t="shared" ref="Y478" si="2906">(X478/100)*1000</f>
        <v>0</v>
      </c>
      <c r="Z478" s="74"/>
      <c r="AA478" s="251">
        <f t="shared" ref="AA478" si="2907">(Z478/100)*1000</f>
        <v>0</v>
      </c>
      <c r="AB478" s="74"/>
      <c r="AC478" s="251">
        <f t="shared" ref="AC478" si="2908">(AB478/100)*1000</f>
        <v>0</v>
      </c>
      <c r="AD478" s="74"/>
      <c r="AE478" s="251">
        <f t="shared" ref="AE478" si="2909">(AD478/100)*1000</f>
        <v>0</v>
      </c>
      <c r="AF478" s="98"/>
      <c r="AG478" s="98"/>
    </row>
    <row r="479" spans="1:33" ht="19.149999999999999" customHeight="1" outlineLevel="1">
      <c r="A479" s="400" t="str">
        <f t="shared" si="2896"/>
        <v>YENMIX 123 (18.90KG)</v>
      </c>
      <c r="B479" s="74"/>
      <c r="C479" s="251">
        <f t="shared" si="2491"/>
        <v>0</v>
      </c>
      <c r="D479" s="74"/>
      <c r="E479" s="251">
        <f t="shared" si="2492"/>
        <v>0</v>
      </c>
      <c r="F479" s="74"/>
      <c r="G479" s="251">
        <f t="shared" ref="G479" si="2910">(F479/100)*1000</f>
        <v>0</v>
      </c>
      <c r="H479" s="74"/>
      <c r="I479" s="251">
        <f t="shared" ref="I479" si="2911">(H479/100)*1000</f>
        <v>0</v>
      </c>
      <c r="J479" s="74"/>
      <c r="K479" s="251">
        <f t="shared" ref="K479" si="2912">(J479/100)*1000</f>
        <v>0</v>
      </c>
      <c r="L479" s="74"/>
      <c r="M479" s="251">
        <f t="shared" ref="M479" si="2913">(L479/100)*1000</f>
        <v>0</v>
      </c>
      <c r="N479" s="74"/>
      <c r="O479" s="251">
        <f t="shared" ref="O479" si="2914">(N479/100)*1000</f>
        <v>0</v>
      </c>
      <c r="P479" s="74"/>
      <c r="Q479" s="251">
        <f t="shared" ref="Q479" si="2915">(P479/100)*1000</f>
        <v>0</v>
      </c>
      <c r="R479" s="74"/>
      <c r="S479" s="251">
        <f t="shared" ref="S479" si="2916">(R479/100)*1000</f>
        <v>0</v>
      </c>
      <c r="T479" s="74"/>
      <c r="U479" s="251">
        <f t="shared" ref="U479" si="2917">(T479/100)*1000</f>
        <v>0</v>
      </c>
      <c r="V479" s="74"/>
      <c r="W479" s="251">
        <f t="shared" ref="W479" si="2918">(V479/100)*1000</f>
        <v>0</v>
      </c>
      <c r="X479" s="74"/>
      <c r="Y479" s="251">
        <f t="shared" ref="Y479" si="2919">(X479/100)*1000</f>
        <v>0</v>
      </c>
      <c r="Z479" s="74"/>
      <c r="AA479" s="251">
        <f t="shared" ref="AA479" si="2920">(Z479/100)*1000</f>
        <v>0</v>
      </c>
      <c r="AB479" s="74"/>
      <c r="AC479" s="251">
        <f t="shared" ref="AC479" si="2921">(AB479/100)*1000</f>
        <v>0</v>
      </c>
      <c r="AD479" s="74"/>
      <c r="AE479" s="251">
        <f t="shared" ref="AE479" si="2922">(AD479/100)*1000</f>
        <v>0</v>
      </c>
      <c r="AF479" s="98"/>
      <c r="AG479" s="98"/>
    </row>
    <row r="480" spans="1:33" ht="19.149999999999999" customHeight="1" outlineLevel="1">
      <c r="A480" s="400" t="str">
        <f t="shared" si="2896"/>
        <v>YENMIX 122 (20.50KG)</v>
      </c>
      <c r="B480" s="74"/>
      <c r="C480" s="251">
        <f t="shared" si="2491"/>
        <v>0</v>
      </c>
      <c r="D480" s="74"/>
      <c r="E480" s="251">
        <f t="shared" si="2492"/>
        <v>0</v>
      </c>
      <c r="F480" s="74"/>
      <c r="G480" s="251">
        <f t="shared" ref="G480" si="2923">(F480/100)*1000</f>
        <v>0</v>
      </c>
      <c r="H480" s="74"/>
      <c r="I480" s="251">
        <f t="shared" ref="I480" si="2924">(H480/100)*1000</f>
        <v>0</v>
      </c>
      <c r="J480" s="74"/>
      <c r="K480" s="251">
        <f t="shared" ref="K480" si="2925">(J480/100)*1000</f>
        <v>0</v>
      </c>
      <c r="L480" s="74"/>
      <c r="M480" s="251">
        <f t="shared" ref="M480" si="2926">(L480/100)*1000</f>
        <v>0</v>
      </c>
      <c r="N480" s="74"/>
      <c r="O480" s="251">
        <f t="shared" ref="O480" si="2927">(N480/100)*1000</f>
        <v>0</v>
      </c>
      <c r="P480" s="74"/>
      <c r="Q480" s="251">
        <f t="shared" ref="Q480" si="2928">(P480/100)*1000</f>
        <v>0</v>
      </c>
      <c r="R480" s="74"/>
      <c r="S480" s="251">
        <f t="shared" ref="S480" si="2929">(R480/100)*1000</f>
        <v>0</v>
      </c>
      <c r="T480" s="74"/>
      <c r="U480" s="251">
        <f t="shared" ref="U480" si="2930">(T480/100)*1000</f>
        <v>0</v>
      </c>
      <c r="V480" s="74"/>
      <c r="W480" s="251">
        <f t="shared" ref="W480" si="2931">(V480/100)*1000</f>
        <v>0</v>
      </c>
      <c r="X480" s="74"/>
      <c r="Y480" s="251">
        <f t="shared" ref="Y480" si="2932">(X480/100)*1000</f>
        <v>0</v>
      </c>
      <c r="Z480" s="74"/>
      <c r="AA480" s="251">
        <f t="shared" ref="AA480" si="2933">(Z480/100)*1000</f>
        <v>0</v>
      </c>
      <c r="AB480" s="74"/>
      <c r="AC480" s="251">
        <f t="shared" ref="AC480" si="2934">(AB480/100)*1000</f>
        <v>0</v>
      </c>
      <c r="AD480" s="74"/>
      <c r="AE480" s="251">
        <f t="shared" ref="AE480" si="2935">(AD480/100)*1000</f>
        <v>0</v>
      </c>
      <c r="AF480" s="98"/>
      <c r="AG480" s="98"/>
    </row>
    <row r="481" spans="1:33" ht="19.149999999999999" customHeight="1" outlineLevel="1">
      <c r="A481" s="400" t="str">
        <f t="shared" si="2896"/>
        <v>YENMIX 123 (20.00KG)</v>
      </c>
      <c r="B481" s="74"/>
      <c r="C481" s="251">
        <f t="shared" si="2491"/>
        <v>0</v>
      </c>
      <c r="D481" s="74"/>
      <c r="E481" s="251">
        <f t="shared" si="2492"/>
        <v>0</v>
      </c>
      <c r="F481" s="74"/>
      <c r="G481" s="251">
        <f t="shared" si="2492"/>
        <v>0</v>
      </c>
      <c r="H481" s="74"/>
      <c r="I481" s="251">
        <f t="shared" si="2492"/>
        <v>0</v>
      </c>
      <c r="J481" s="74"/>
      <c r="K481" s="251">
        <f t="shared" si="2492"/>
        <v>0</v>
      </c>
      <c r="L481" s="74"/>
      <c r="M481" s="251">
        <f t="shared" si="2492"/>
        <v>0</v>
      </c>
      <c r="N481" s="74"/>
      <c r="O481" s="251">
        <f t="shared" si="2492"/>
        <v>0</v>
      </c>
      <c r="P481" s="74"/>
      <c r="Q481" s="251">
        <f t="shared" si="2492"/>
        <v>0</v>
      </c>
      <c r="R481" s="74"/>
      <c r="S481" s="251">
        <f t="shared" si="2492"/>
        <v>0</v>
      </c>
      <c r="T481" s="74"/>
      <c r="U481" s="251">
        <f t="shared" si="2492"/>
        <v>0</v>
      </c>
      <c r="V481" s="74"/>
      <c r="W481" s="251">
        <f t="shared" si="2492"/>
        <v>0</v>
      </c>
      <c r="X481" s="74"/>
      <c r="Y481" s="251">
        <f t="shared" si="2492"/>
        <v>0</v>
      </c>
      <c r="Z481" s="74"/>
      <c r="AA481" s="251">
        <f t="shared" si="2492"/>
        <v>0</v>
      </c>
      <c r="AB481" s="74"/>
      <c r="AC481" s="251">
        <f t="shared" si="2492"/>
        <v>0</v>
      </c>
      <c r="AD481" s="74"/>
      <c r="AE481" s="251">
        <f t="shared" si="2492"/>
        <v>0</v>
      </c>
      <c r="AF481" s="98"/>
      <c r="AG481" s="98"/>
    </row>
    <row r="482" spans="1:33" ht="19.149999999999999" customHeight="1" outlineLevel="1">
      <c r="A482" s="400">
        <f t="shared" si="2896"/>
        <v>1</v>
      </c>
      <c r="B482" s="74"/>
      <c r="C482" s="251">
        <f t="shared" si="2491"/>
        <v>0</v>
      </c>
      <c r="D482" s="74"/>
      <c r="E482" s="251">
        <f t="shared" si="2492"/>
        <v>0</v>
      </c>
      <c r="F482" s="74"/>
      <c r="G482" s="251">
        <f t="shared" si="2492"/>
        <v>0</v>
      </c>
      <c r="H482" s="74"/>
      <c r="I482" s="251">
        <f t="shared" si="2492"/>
        <v>0</v>
      </c>
      <c r="J482" s="74"/>
      <c r="K482" s="251">
        <f t="shared" si="2492"/>
        <v>0</v>
      </c>
      <c r="L482" s="74"/>
      <c r="M482" s="251">
        <f t="shared" si="2492"/>
        <v>0</v>
      </c>
      <c r="N482" s="74"/>
      <c r="O482" s="251">
        <f t="shared" si="2492"/>
        <v>0</v>
      </c>
      <c r="P482" s="74"/>
      <c r="Q482" s="251">
        <f t="shared" si="2492"/>
        <v>0</v>
      </c>
      <c r="R482" s="74"/>
      <c r="S482" s="251">
        <f t="shared" si="2492"/>
        <v>0</v>
      </c>
      <c r="T482" s="74"/>
      <c r="U482" s="251">
        <f t="shared" si="2492"/>
        <v>0</v>
      </c>
      <c r="V482" s="74"/>
      <c r="W482" s="251">
        <f t="shared" si="2492"/>
        <v>0</v>
      </c>
      <c r="X482" s="74"/>
      <c r="Y482" s="251">
        <f t="shared" si="2492"/>
        <v>0</v>
      </c>
      <c r="Z482" s="74"/>
      <c r="AA482" s="251">
        <f t="shared" si="2492"/>
        <v>0</v>
      </c>
      <c r="AB482" s="74"/>
      <c r="AC482" s="251">
        <f t="shared" si="2492"/>
        <v>0</v>
      </c>
      <c r="AD482" s="74"/>
      <c r="AE482" s="251">
        <f t="shared" si="2492"/>
        <v>0</v>
      </c>
      <c r="AF482" s="98"/>
      <c r="AG482" s="98"/>
    </row>
    <row r="483" spans="1:33" ht="19.149999999999999" customHeight="1" outlineLevel="1">
      <c r="A483" s="400">
        <f t="shared" si="2896"/>
        <v>2</v>
      </c>
      <c r="B483" s="74"/>
      <c r="C483" s="251">
        <f t="shared" si="2491"/>
        <v>0</v>
      </c>
      <c r="D483" s="74"/>
      <c r="E483" s="251">
        <f t="shared" si="2492"/>
        <v>0</v>
      </c>
      <c r="F483" s="74"/>
      <c r="G483" s="251">
        <f t="shared" si="2492"/>
        <v>0</v>
      </c>
      <c r="H483" s="74"/>
      <c r="I483" s="251">
        <f t="shared" si="2492"/>
        <v>0</v>
      </c>
      <c r="J483" s="74"/>
      <c r="K483" s="251">
        <f t="shared" si="2492"/>
        <v>0</v>
      </c>
      <c r="L483" s="74"/>
      <c r="M483" s="251">
        <f t="shared" si="2492"/>
        <v>0</v>
      </c>
      <c r="N483" s="74"/>
      <c r="O483" s="251">
        <f t="shared" si="2492"/>
        <v>0</v>
      </c>
      <c r="P483" s="74"/>
      <c r="Q483" s="251">
        <f t="shared" si="2492"/>
        <v>0</v>
      </c>
      <c r="R483" s="74"/>
      <c r="S483" s="251">
        <f t="shared" si="2492"/>
        <v>0</v>
      </c>
      <c r="T483" s="74"/>
      <c r="U483" s="251">
        <f t="shared" si="2492"/>
        <v>0</v>
      </c>
      <c r="V483" s="74"/>
      <c r="W483" s="251">
        <f t="shared" si="2492"/>
        <v>0</v>
      </c>
      <c r="X483" s="74"/>
      <c r="Y483" s="251">
        <f t="shared" si="2492"/>
        <v>0</v>
      </c>
      <c r="Z483" s="74"/>
      <c r="AA483" s="251">
        <f t="shared" si="2492"/>
        <v>0</v>
      </c>
      <c r="AB483" s="74"/>
      <c r="AC483" s="251">
        <f t="shared" si="2492"/>
        <v>0</v>
      </c>
      <c r="AD483" s="74"/>
      <c r="AE483" s="251">
        <f t="shared" si="2492"/>
        <v>0</v>
      </c>
      <c r="AF483" s="98"/>
      <c r="AG483" s="98"/>
    </row>
    <row r="484" spans="1:33" ht="19.149999999999999" customHeight="1" outlineLevel="1">
      <c r="A484" s="400">
        <f t="shared" si="2896"/>
        <v>3</v>
      </c>
      <c r="B484" s="74"/>
      <c r="C484" s="251">
        <f t="shared" si="2491"/>
        <v>0</v>
      </c>
      <c r="D484" s="74"/>
      <c r="E484" s="251">
        <f t="shared" si="2492"/>
        <v>0</v>
      </c>
      <c r="F484" s="74"/>
      <c r="G484" s="251">
        <f t="shared" si="2492"/>
        <v>0</v>
      </c>
      <c r="H484" s="74"/>
      <c r="I484" s="251">
        <f t="shared" si="2492"/>
        <v>0</v>
      </c>
      <c r="J484" s="74"/>
      <c r="K484" s="251">
        <f t="shared" si="2492"/>
        <v>0</v>
      </c>
      <c r="L484" s="74"/>
      <c r="M484" s="251">
        <f t="shared" si="2492"/>
        <v>0</v>
      </c>
      <c r="N484" s="74"/>
      <c r="O484" s="251">
        <f t="shared" si="2492"/>
        <v>0</v>
      </c>
      <c r="P484" s="74"/>
      <c r="Q484" s="251">
        <f t="shared" si="2492"/>
        <v>0</v>
      </c>
      <c r="R484" s="74"/>
      <c r="S484" s="251">
        <f t="shared" si="2492"/>
        <v>0</v>
      </c>
      <c r="T484" s="74"/>
      <c r="U484" s="251">
        <f t="shared" si="2492"/>
        <v>0</v>
      </c>
      <c r="V484" s="74"/>
      <c r="W484" s="251">
        <f t="shared" si="2492"/>
        <v>0</v>
      </c>
      <c r="X484" s="74"/>
      <c r="Y484" s="251">
        <f t="shared" si="2492"/>
        <v>0</v>
      </c>
      <c r="Z484" s="74"/>
      <c r="AA484" s="251">
        <f t="shared" si="2492"/>
        <v>0</v>
      </c>
      <c r="AB484" s="74"/>
      <c r="AC484" s="251">
        <f t="shared" si="2492"/>
        <v>0</v>
      </c>
      <c r="AD484" s="74"/>
      <c r="AE484" s="251">
        <f t="shared" si="2492"/>
        <v>0</v>
      </c>
      <c r="AF484" s="98"/>
      <c r="AG484" s="98"/>
    </row>
    <row r="485" spans="1:33" ht="19.149999999999999" customHeight="1" outlineLevel="1">
      <c r="A485" s="400" t="str">
        <f t="shared" si="2896"/>
        <v>TOXISORB PREMIUM</v>
      </c>
      <c r="B485" s="74">
        <f>4/20</f>
        <v>0.2</v>
      </c>
      <c r="C485" s="251">
        <f t="shared" si="2491"/>
        <v>2</v>
      </c>
      <c r="D485" s="74"/>
      <c r="E485" s="251">
        <f t="shared" si="2492"/>
        <v>0</v>
      </c>
      <c r="F485" s="74"/>
      <c r="G485" s="251">
        <f t="shared" si="2492"/>
        <v>0</v>
      </c>
      <c r="H485" s="74"/>
      <c r="I485" s="251">
        <f t="shared" si="2492"/>
        <v>0</v>
      </c>
      <c r="J485" s="74"/>
      <c r="K485" s="251">
        <f t="shared" si="2492"/>
        <v>0</v>
      </c>
      <c r="L485" s="74"/>
      <c r="M485" s="251">
        <f t="shared" si="2492"/>
        <v>0</v>
      </c>
      <c r="N485" s="74"/>
      <c r="O485" s="251">
        <f t="shared" si="2492"/>
        <v>0</v>
      </c>
      <c r="P485" s="74"/>
      <c r="Q485" s="251">
        <f t="shared" si="2492"/>
        <v>0</v>
      </c>
      <c r="R485" s="74"/>
      <c r="S485" s="251">
        <f t="shared" si="2492"/>
        <v>0</v>
      </c>
      <c r="T485" s="74"/>
      <c r="U485" s="251">
        <f t="shared" si="2492"/>
        <v>0</v>
      </c>
      <c r="V485" s="74"/>
      <c r="W485" s="251">
        <f t="shared" si="2492"/>
        <v>0</v>
      </c>
      <c r="X485" s="74"/>
      <c r="Y485" s="251">
        <f t="shared" si="2492"/>
        <v>0</v>
      </c>
      <c r="Z485" s="74"/>
      <c r="AA485" s="251">
        <f t="shared" si="2492"/>
        <v>0</v>
      </c>
      <c r="AB485" s="74"/>
      <c r="AC485" s="251">
        <f t="shared" si="2492"/>
        <v>0</v>
      </c>
      <c r="AD485" s="74"/>
      <c r="AE485" s="251">
        <f t="shared" si="2492"/>
        <v>0</v>
      </c>
      <c r="AF485" s="98"/>
      <c r="AG485" s="98"/>
    </row>
    <row r="486" spans="1:33" ht="19.149999999999999" customHeight="1" outlineLevel="1">
      <c r="A486" s="400" t="str">
        <f t="shared" si="2896"/>
        <v>SODIUM HUMATE 3.8% (HARUMI)</v>
      </c>
      <c r="B486" s="74">
        <f>6/20</f>
        <v>0.3</v>
      </c>
      <c r="C486" s="251">
        <f t="shared" si="2491"/>
        <v>3</v>
      </c>
      <c r="D486" s="74">
        <f>6/20</f>
        <v>0.3</v>
      </c>
      <c r="E486" s="251">
        <f t="shared" si="2492"/>
        <v>3</v>
      </c>
      <c r="F486" s="74">
        <f>6/20</f>
        <v>0.3</v>
      </c>
      <c r="G486" s="251">
        <f t="shared" si="2492"/>
        <v>3</v>
      </c>
      <c r="H486" s="74"/>
      <c r="I486" s="251">
        <f t="shared" si="2492"/>
        <v>0</v>
      </c>
      <c r="J486" s="74"/>
      <c r="K486" s="251">
        <f t="shared" si="2492"/>
        <v>0</v>
      </c>
      <c r="L486" s="74"/>
      <c r="M486" s="251">
        <f t="shared" si="2492"/>
        <v>0</v>
      </c>
      <c r="N486" s="74"/>
      <c r="O486" s="251">
        <f t="shared" si="2492"/>
        <v>0</v>
      </c>
      <c r="P486" s="74"/>
      <c r="Q486" s="251">
        <f t="shared" si="2492"/>
        <v>0</v>
      </c>
      <c r="R486" s="74"/>
      <c r="S486" s="251">
        <f t="shared" si="2492"/>
        <v>0</v>
      </c>
      <c r="T486" s="74">
        <f>10/20</f>
        <v>0.5</v>
      </c>
      <c r="U486" s="251">
        <f t="shared" si="2492"/>
        <v>5</v>
      </c>
      <c r="V486" s="74">
        <f>10/20</f>
        <v>0.5</v>
      </c>
      <c r="W486" s="251">
        <f t="shared" si="2492"/>
        <v>5</v>
      </c>
      <c r="X486" s="74"/>
      <c r="Y486" s="251">
        <f t="shared" si="2492"/>
        <v>0</v>
      </c>
      <c r="Z486" s="74"/>
      <c r="AA486" s="251">
        <f t="shared" si="2492"/>
        <v>0</v>
      </c>
      <c r="AB486" s="74"/>
      <c r="AC486" s="251">
        <f t="shared" si="2492"/>
        <v>0</v>
      </c>
      <c r="AD486" s="74"/>
      <c r="AE486" s="251">
        <f t="shared" si="2492"/>
        <v>0</v>
      </c>
      <c r="AF486" s="98"/>
      <c r="AG486" s="98"/>
    </row>
    <row r="487" spans="1:33" ht="19.149999999999999" customHeight="1" outlineLevel="1">
      <c r="A487" s="400" t="str">
        <f t="shared" si="2896"/>
        <v>TOXIWALL</v>
      </c>
      <c r="B487" s="74"/>
      <c r="C487" s="251">
        <f t="shared" si="2491"/>
        <v>0</v>
      </c>
      <c r="D487" s="74">
        <f>2/20</f>
        <v>0.1</v>
      </c>
      <c r="E487" s="251">
        <f t="shared" si="2492"/>
        <v>1</v>
      </c>
      <c r="F487" s="74">
        <f>2/20</f>
        <v>0.1</v>
      </c>
      <c r="G487" s="251">
        <f t="shared" si="2492"/>
        <v>1</v>
      </c>
      <c r="H487" s="74"/>
      <c r="I487" s="251">
        <f t="shared" si="2492"/>
        <v>0</v>
      </c>
      <c r="J487" s="74"/>
      <c r="K487" s="251">
        <f t="shared" si="2492"/>
        <v>0</v>
      </c>
      <c r="L487" s="74"/>
      <c r="M487" s="251">
        <f t="shared" si="2492"/>
        <v>0</v>
      </c>
      <c r="N487" s="74"/>
      <c r="O487" s="251">
        <f t="shared" si="2492"/>
        <v>0</v>
      </c>
      <c r="P487" s="74"/>
      <c r="Q487" s="251">
        <f t="shared" si="2492"/>
        <v>0</v>
      </c>
      <c r="R487" s="74"/>
      <c r="S487" s="251">
        <f t="shared" si="2492"/>
        <v>0</v>
      </c>
      <c r="T487" s="74"/>
      <c r="U487" s="251">
        <f t="shared" si="2492"/>
        <v>0</v>
      </c>
      <c r="V487" s="74"/>
      <c r="W487" s="251">
        <f t="shared" si="2492"/>
        <v>0</v>
      </c>
      <c r="X487" s="74"/>
      <c r="Y487" s="251">
        <f t="shared" si="2492"/>
        <v>0</v>
      </c>
      <c r="Z487" s="74"/>
      <c r="AA487" s="251">
        <f t="shared" si="2492"/>
        <v>0</v>
      </c>
      <c r="AB487" s="74"/>
      <c r="AC487" s="251">
        <f t="shared" si="2492"/>
        <v>0</v>
      </c>
      <c r="AD487" s="74"/>
      <c r="AE487" s="251">
        <f t="shared" si="2492"/>
        <v>0</v>
      </c>
      <c r="AF487" s="98"/>
      <c r="AG487" s="98"/>
    </row>
    <row r="488" spans="1:33" ht="19.149999999999999" customHeight="1" outlineLevel="1">
      <c r="A488" s="400" t="str">
        <f t="shared" si="2896"/>
        <v>SODIUM BICARBONATE</v>
      </c>
      <c r="B488" s="74">
        <f>0.4/20</f>
        <v>0.02</v>
      </c>
      <c r="C488" s="251">
        <f t="shared" ref="C488" si="2936">(B488/100)*1000</f>
        <v>0.2</v>
      </c>
      <c r="D488" s="74">
        <f>0.4/20</f>
        <v>0.02</v>
      </c>
      <c r="E488" s="251">
        <f t="shared" ref="E488" si="2937">(D488/100)*1000</f>
        <v>0.2</v>
      </c>
      <c r="F488" s="74">
        <f>0.4/20</f>
        <v>0.02</v>
      </c>
      <c r="G488" s="251">
        <f t="shared" si="2492"/>
        <v>0.2</v>
      </c>
      <c r="H488" s="74"/>
      <c r="I488" s="251">
        <f t="shared" si="2492"/>
        <v>0</v>
      </c>
      <c r="J488" s="74"/>
      <c r="K488" s="251">
        <f t="shared" si="2492"/>
        <v>0</v>
      </c>
      <c r="L488" s="74"/>
      <c r="M488" s="251">
        <f t="shared" si="2492"/>
        <v>0</v>
      </c>
      <c r="N488" s="74"/>
      <c r="O488" s="251">
        <f t="shared" si="2492"/>
        <v>0</v>
      </c>
      <c r="P488" s="74"/>
      <c r="Q488" s="251">
        <f t="shared" si="2492"/>
        <v>0</v>
      </c>
      <c r="R488" s="74"/>
      <c r="S488" s="251">
        <f t="shared" si="2492"/>
        <v>0</v>
      </c>
      <c r="T488" s="74"/>
      <c r="U488" s="251">
        <f t="shared" si="2492"/>
        <v>0</v>
      </c>
      <c r="V488" s="74"/>
      <c r="W488" s="251">
        <f t="shared" si="2492"/>
        <v>0</v>
      </c>
      <c r="X488" s="74"/>
      <c r="Y488" s="251">
        <f t="shared" si="2492"/>
        <v>0</v>
      </c>
      <c r="Z488" s="74"/>
      <c r="AA488" s="251">
        <f t="shared" si="2492"/>
        <v>0</v>
      </c>
      <c r="AB488" s="74"/>
      <c r="AC488" s="251">
        <f t="shared" si="2492"/>
        <v>0</v>
      </c>
      <c r="AD488" s="74"/>
      <c r="AE488" s="251">
        <f t="shared" si="2492"/>
        <v>0</v>
      </c>
      <c r="AF488" s="98"/>
      <c r="AG488" s="98"/>
    </row>
    <row r="489" spans="1:33" ht="19.149999999999999" customHeight="1" outlineLevel="1">
      <c r="A489" s="400" t="str">
        <f t="shared" si="2896"/>
        <v>BMD 10%</v>
      </c>
      <c r="B489" s="74"/>
      <c r="C489" s="251">
        <f t="shared" si="2491"/>
        <v>0</v>
      </c>
      <c r="D489" s="74"/>
      <c r="E489" s="251">
        <f t="shared" si="2492"/>
        <v>0</v>
      </c>
      <c r="F489" s="74"/>
      <c r="G489" s="251">
        <f t="shared" ref="G489" si="2938">(F489/100)*1000</f>
        <v>0</v>
      </c>
      <c r="H489" s="74"/>
      <c r="I489" s="251">
        <f t="shared" ref="I489" si="2939">(H489/100)*1000</f>
        <v>0</v>
      </c>
      <c r="J489" s="74"/>
      <c r="K489" s="251">
        <f t="shared" ref="K489" si="2940">(J489/100)*1000</f>
        <v>0</v>
      </c>
      <c r="L489" s="74"/>
      <c r="M489" s="251">
        <f t="shared" ref="M489" si="2941">(L489/100)*1000</f>
        <v>0</v>
      </c>
      <c r="N489" s="74"/>
      <c r="O489" s="251">
        <f t="shared" ref="O489" si="2942">(N489/100)*1000</f>
        <v>0</v>
      </c>
      <c r="P489" s="74"/>
      <c r="Q489" s="251">
        <f t="shared" ref="Q489" si="2943">(P489/100)*1000</f>
        <v>0</v>
      </c>
      <c r="R489" s="74"/>
      <c r="S489" s="251">
        <f t="shared" ref="S489" si="2944">(R489/100)*1000</f>
        <v>0</v>
      </c>
      <c r="T489" s="74"/>
      <c r="U489" s="251">
        <f t="shared" ref="U489" si="2945">(T489/100)*1000</f>
        <v>0</v>
      </c>
      <c r="V489" s="74"/>
      <c r="W489" s="251">
        <f t="shared" ref="W489" si="2946">(V489/100)*1000</f>
        <v>0</v>
      </c>
      <c r="X489" s="74"/>
      <c r="Y489" s="251">
        <f t="shared" ref="Y489" si="2947">(X489/100)*1000</f>
        <v>0</v>
      </c>
      <c r="Z489" s="74"/>
      <c r="AA489" s="251">
        <f t="shared" ref="AA489" si="2948">(Z489/100)*1000</f>
        <v>0</v>
      </c>
      <c r="AB489" s="74"/>
      <c r="AC489" s="251">
        <f t="shared" ref="AC489" si="2949">(AB489/100)*1000</f>
        <v>0</v>
      </c>
      <c r="AD489" s="74"/>
      <c r="AE489" s="251">
        <f t="shared" ref="AE489" si="2950">(AD489/100)*1000</f>
        <v>0</v>
      </c>
      <c r="AF489" s="98"/>
      <c r="AG489" s="98"/>
    </row>
    <row r="490" spans="1:33" ht="19.149999999999999" customHeight="1" outlineLevel="1">
      <c r="A490" s="400" t="str">
        <f t="shared" si="2896"/>
        <v>SALT (HARUMI)</v>
      </c>
      <c r="B490" s="74">
        <f>5.5/20</f>
        <v>0.27500000000000002</v>
      </c>
      <c r="C490" s="251">
        <f t="shared" si="2491"/>
        <v>2.7500000000000004</v>
      </c>
      <c r="D490" s="74">
        <f>5.5/20</f>
        <v>0.27500000000000002</v>
      </c>
      <c r="E490" s="251">
        <f t="shared" si="2492"/>
        <v>2.7500000000000004</v>
      </c>
      <c r="F490" s="74">
        <f>5.47/20</f>
        <v>0.27349999999999997</v>
      </c>
      <c r="G490" s="251">
        <f t="shared" ref="G490" si="2951">(F490/100)*1000</f>
        <v>2.7349999999999994</v>
      </c>
      <c r="H490" s="74"/>
      <c r="I490" s="251">
        <f t="shared" ref="I490" si="2952">(H490/100)*1000</f>
        <v>0</v>
      </c>
      <c r="J490" s="74"/>
      <c r="K490" s="251">
        <f t="shared" ref="K490" si="2953">(J490/100)*1000</f>
        <v>0</v>
      </c>
      <c r="L490" s="74"/>
      <c r="M490" s="251">
        <f t="shared" ref="M490" si="2954">(L490/100)*1000</f>
        <v>0</v>
      </c>
      <c r="N490" s="74"/>
      <c r="O490" s="251">
        <f t="shared" ref="O490" si="2955">(N490/100)*1000</f>
        <v>0</v>
      </c>
      <c r="P490" s="74"/>
      <c r="Q490" s="251">
        <f t="shared" ref="Q490" si="2956">(P490/100)*1000</f>
        <v>0</v>
      </c>
      <c r="R490" s="74"/>
      <c r="S490" s="251">
        <f t="shared" ref="S490" si="2957">(R490/100)*1000</f>
        <v>0</v>
      </c>
      <c r="T490" s="74">
        <f>4/20</f>
        <v>0.2</v>
      </c>
      <c r="U490" s="251">
        <f t="shared" ref="U490" si="2958">(T490/100)*1000</f>
        <v>2</v>
      </c>
      <c r="V490" s="74"/>
      <c r="W490" s="251">
        <f t="shared" ref="W490" si="2959">(V490/100)*1000</f>
        <v>0</v>
      </c>
      <c r="X490" s="74"/>
      <c r="Y490" s="251">
        <f t="shared" ref="Y490" si="2960">(X490/100)*1000</f>
        <v>0</v>
      </c>
      <c r="Z490" s="74"/>
      <c r="AA490" s="251">
        <f t="shared" ref="AA490" si="2961">(Z490/100)*1000</f>
        <v>0</v>
      </c>
      <c r="AB490" s="74"/>
      <c r="AC490" s="251">
        <f t="shared" ref="AC490" si="2962">(AB490/100)*1000</f>
        <v>0</v>
      </c>
      <c r="AD490" s="74"/>
      <c r="AE490" s="251">
        <f t="shared" ref="AE490" si="2963">(AD490/100)*1000</f>
        <v>0</v>
      </c>
      <c r="AF490" s="98"/>
      <c r="AG490" s="98"/>
    </row>
    <row r="491" spans="1:33" ht="19.149999999999999" customHeight="1" outlineLevel="1">
      <c r="A491" s="400" t="str">
        <f t="shared" si="2896"/>
        <v>VISTABET 91</v>
      </c>
      <c r="B491" s="74"/>
      <c r="C491" s="251">
        <f t="shared" si="2491"/>
        <v>0</v>
      </c>
      <c r="D491" s="74"/>
      <c r="E491" s="251">
        <f t="shared" si="2492"/>
        <v>0</v>
      </c>
      <c r="F491" s="74"/>
      <c r="G491" s="251">
        <f t="shared" ref="G491" si="2964">(F491/100)*1000</f>
        <v>0</v>
      </c>
      <c r="H491" s="74"/>
      <c r="I491" s="251">
        <f t="shared" ref="I491" si="2965">(H491/100)*1000</f>
        <v>0</v>
      </c>
      <c r="J491" s="74"/>
      <c r="K491" s="251">
        <f t="shared" ref="K491" si="2966">(J491/100)*1000</f>
        <v>0</v>
      </c>
      <c r="L491" s="74"/>
      <c r="M491" s="251">
        <f t="shared" ref="M491" si="2967">(L491/100)*1000</f>
        <v>0</v>
      </c>
      <c r="N491" s="74"/>
      <c r="O491" s="251">
        <f t="shared" ref="O491" si="2968">(N491/100)*1000</f>
        <v>0</v>
      </c>
      <c r="P491" s="74"/>
      <c r="Q491" s="251">
        <f t="shared" ref="Q491" si="2969">(P491/100)*1000</f>
        <v>0</v>
      </c>
      <c r="R491" s="74"/>
      <c r="S491" s="251">
        <f t="shared" ref="S491" si="2970">(R491/100)*1000</f>
        <v>0</v>
      </c>
      <c r="T491" s="74"/>
      <c r="U491" s="251">
        <f t="shared" ref="U491" si="2971">(T491/100)*1000</f>
        <v>0</v>
      </c>
      <c r="V491" s="74"/>
      <c r="W491" s="251">
        <f t="shared" ref="W491" si="2972">(V491/100)*1000</f>
        <v>0</v>
      </c>
      <c r="X491" s="74"/>
      <c r="Y491" s="251">
        <f t="shared" ref="Y491" si="2973">(X491/100)*1000</f>
        <v>0</v>
      </c>
      <c r="Z491" s="74"/>
      <c r="AA491" s="251">
        <f t="shared" ref="AA491" si="2974">(Z491/100)*1000</f>
        <v>0</v>
      </c>
      <c r="AB491" s="74"/>
      <c r="AC491" s="251">
        <f t="shared" ref="AC491" si="2975">(AB491/100)*1000</f>
        <v>0</v>
      </c>
      <c r="AD491" s="74"/>
      <c r="AE491" s="251">
        <f t="shared" ref="AE491" si="2976">(AD491/100)*1000</f>
        <v>0</v>
      </c>
      <c r="AF491" s="98"/>
      <c r="AG491" s="98"/>
    </row>
    <row r="492" spans="1:33" ht="19.149999999999999" customHeight="1" outlineLevel="1">
      <c r="A492" s="400" t="str">
        <f t="shared" si="2896"/>
        <v>BETAFIN</v>
      </c>
      <c r="B492" s="74"/>
      <c r="C492" s="251">
        <f t="shared" si="2491"/>
        <v>0</v>
      </c>
      <c r="D492" s="74"/>
      <c r="E492" s="251">
        <f t="shared" si="2492"/>
        <v>0</v>
      </c>
      <c r="F492" s="74"/>
      <c r="G492" s="251">
        <f t="shared" ref="G492" si="2977">(F492/100)*1000</f>
        <v>0</v>
      </c>
      <c r="H492" s="74"/>
      <c r="I492" s="251">
        <f t="shared" ref="I492" si="2978">(H492/100)*1000</f>
        <v>0</v>
      </c>
      <c r="J492" s="74"/>
      <c r="K492" s="251">
        <f t="shared" ref="K492" si="2979">(J492/100)*1000</f>
        <v>0</v>
      </c>
      <c r="L492" s="74"/>
      <c r="M492" s="251">
        <f t="shared" ref="M492" si="2980">(L492/100)*1000</f>
        <v>0</v>
      </c>
      <c r="N492" s="74"/>
      <c r="O492" s="251">
        <f t="shared" ref="O492" si="2981">(N492/100)*1000</f>
        <v>0</v>
      </c>
      <c r="P492" s="74"/>
      <c r="Q492" s="251">
        <f t="shared" ref="Q492" si="2982">(P492/100)*1000</f>
        <v>0</v>
      </c>
      <c r="R492" s="74"/>
      <c r="S492" s="251">
        <f t="shared" ref="S492" si="2983">(R492/100)*1000</f>
        <v>0</v>
      </c>
      <c r="T492" s="74"/>
      <c r="U492" s="251">
        <f t="shared" ref="U492" si="2984">(T492/100)*1000</f>
        <v>0</v>
      </c>
      <c r="V492" s="74"/>
      <c r="W492" s="251">
        <f t="shared" ref="W492" si="2985">(V492/100)*1000</f>
        <v>0</v>
      </c>
      <c r="X492" s="74"/>
      <c r="Y492" s="251">
        <f t="shared" ref="Y492" si="2986">(X492/100)*1000</f>
        <v>0</v>
      </c>
      <c r="Z492" s="74"/>
      <c r="AA492" s="251">
        <f t="shared" ref="AA492" si="2987">(Z492/100)*1000</f>
        <v>0</v>
      </c>
      <c r="AB492" s="74"/>
      <c r="AC492" s="251">
        <f t="shared" ref="AC492" si="2988">(AB492/100)*1000</f>
        <v>0</v>
      </c>
      <c r="AD492" s="74"/>
      <c r="AE492" s="251">
        <f t="shared" ref="AE492" si="2989">(AD492/100)*1000</f>
        <v>0</v>
      </c>
      <c r="AF492" s="98"/>
      <c r="AG492" s="98"/>
    </row>
    <row r="493" spans="1:33" ht="19.149999999999999" customHeight="1" outlineLevel="1">
      <c r="A493" s="400" t="str">
        <f t="shared" si="2896"/>
        <v>8101 TOP UP</v>
      </c>
      <c r="B493" s="74"/>
      <c r="C493" s="251">
        <f t="shared" si="2491"/>
        <v>0</v>
      </c>
      <c r="D493" s="74"/>
      <c r="E493" s="251">
        <f t="shared" si="2492"/>
        <v>0</v>
      </c>
      <c r="F493" s="74"/>
      <c r="G493" s="251">
        <f t="shared" ref="G493" si="2990">(F493/100)*1000</f>
        <v>0</v>
      </c>
      <c r="H493" s="74"/>
      <c r="I493" s="251">
        <f t="shared" ref="I493" si="2991">(H493/100)*1000</f>
        <v>0</v>
      </c>
      <c r="J493" s="74"/>
      <c r="K493" s="251">
        <f t="shared" ref="K493" si="2992">(J493/100)*1000</f>
        <v>0</v>
      </c>
      <c r="L493" s="74"/>
      <c r="M493" s="251">
        <f t="shared" ref="M493" si="2993">(L493/100)*1000</f>
        <v>0</v>
      </c>
      <c r="N493" s="74"/>
      <c r="O493" s="251">
        <f t="shared" ref="O493" si="2994">(N493/100)*1000</f>
        <v>0</v>
      </c>
      <c r="P493" s="74"/>
      <c r="Q493" s="251">
        <f t="shared" ref="Q493" si="2995">(P493/100)*1000</f>
        <v>0</v>
      </c>
      <c r="R493" s="74"/>
      <c r="S493" s="251">
        <f t="shared" ref="S493" si="2996">(R493/100)*1000</f>
        <v>0</v>
      </c>
      <c r="T493" s="74"/>
      <c r="U493" s="251">
        <f t="shared" ref="U493" si="2997">(T493/100)*1000</f>
        <v>0</v>
      </c>
      <c r="V493" s="74"/>
      <c r="W493" s="251">
        <f t="shared" ref="W493" si="2998">(V493/100)*1000</f>
        <v>0</v>
      </c>
      <c r="X493" s="74"/>
      <c r="Y493" s="251">
        <f t="shared" ref="Y493" si="2999">(X493/100)*1000</f>
        <v>0</v>
      </c>
      <c r="Z493" s="74"/>
      <c r="AA493" s="251">
        <f t="shared" ref="AA493" si="3000">(Z493/100)*1000</f>
        <v>0</v>
      </c>
      <c r="AB493" s="74"/>
      <c r="AC493" s="251">
        <f t="shared" ref="AC493" si="3001">(AB493/100)*1000</f>
        <v>0</v>
      </c>
      <c r="AD493" s="74"/>
      <c r="AE493" s="251">
        <f t="shared" ref="AE493" si="3002">(AD493/100)*1000</f>
        <v>0</v>
      </c>
      <c r="AF493" s="98"/>
      <c r="AG493" s="98"/>
    </row>
    <row r="494" spans="1:33" ht="19.149999999999999" customHeight="1" outlineLevel="1">
      <c r="A494" s="401" t="str">
        <f t="shared" si="2896"/>
        <v>NORPONIN X03 (8102 TOP UP)</v>
      </c>
      <c r="B494" s="74"/>
      <c r="C494" s="398">
        <f t="shared" si="2491"/>
        <v>0</v>
      </c>
      <c r="D494" s="74"/>
      <c r="E494" s="398">
        <f t="shared" si="2492"/>
        <v>0</v>
      </c>
      <c r="F494" s="74"/>
      <c r="G494" s="398">
        <f t="shared" ref="G494" si="3003">(F494/100)*1000</f>
        <v>0</v>
      </c>
      <c r="H494" s="74"/>
      <c r="I494" s="398">
        <f t="shared" ref="I494" si="3004">(H494/100)*1000</f>
        <v>0</v>
      </c>
      <c r="J494" s="74"/>
      <c r="K494" s="398">
        <f t="shared" ref="K494" si="3005">(J494/100)*1000</f>
        <v>0</v>
      </c>
      <c r="L494" s="74"/>
      <c r="M494" s="398">
        <f t="shared" ref="M494" si="3006">(L494/100)*1000</f>
        <v>0</v>
      </c>
      <c r="N494" s="74"/>
      <c r="O494" s="398">
        <f t="shared" ref="O494" si="3007">(N494/100)*1000</f>
        <v>0</v>
      </c>
      <c r="P494" s="74"/>
      <c r="Q494" s="398">
        <f t="shared" ref="Q494" si="3008">(P494/100)*1000</f>
        <v>0</v>
      </c>
      <c r="R494" s="74"/>
      <c r="S494" s="398">
        <f t="shared" ref="S494" si="3009">(R494/100)*1000</f>
        <v>0</v>
      </c>
      <c r="T494" s="74"/>
      <c r="U494" s="398">
        <f t="shared" ref="U494" si="3010">(T494/100)*1000</f>
        <v>0</v>
      </c>
      <c r="V494" s="74"/>
      <c r="W494" s="398">
        <f t="shared" ref="W494" si="3011">(V494/100)*1000</f>
        <v>0</v>
      </c>
      <c r="X494" s="74"/>
      <c r="Y494" s="398">
        <f t="shared" ref="Y494" si="3012">(X494/100)*1000</f>
        <v>0</v>
      </c>
      <c r="Z494" s="74"/>
      <c r="AA494" s="398">
        <f t="shared" ref="AA494" si="3013">(Z494/100)*1000</f>
        <v>0</v>
      </c>
      <c r="AB494" s="74"/>
      <c r="AC494" s="398">
        <f t="shared" ref="AC494" si="3014">(AB494/100)*1000</f>
        <v>0</v>
      </c>
      <c r="AD494" s="74"/>
      <c r="AE494" s="398">
        <f t="shared" ref="AE494" si="3015">(AD494/100)*1000</f>
        <v>0</v>
      </c>
      <c r="AF494" s="98"/>
      <c r="AG494" s="98"/>
    </row>
    <row r="495" spans="1:33" ht="19.149999999999999" customHeight="1" outlineLevel="1">
      <c r="A495" s="401" t="str">
        <f t="shared" si="2896"/>
        <v>8102 TOP UP (4KG)</v>
      </c>
      <c r="B495" s="74"/>
      <c r="C495" s="398">
        <f t="shared" si="2491"/>
        <v>0</v>
      </c>
      <c r="D495" s="74"/>
      <c r="E495" s="398">
        <f t="shared" si="2492"/>
        <v>0</v>
      </c>
      <c r="F495" s="74"/>
      <c r="G495" s="398">
        <f t="shared" ref="G495" si="3016">(F495/100)*1000</f>
        <v>0</v>
      </c>
      <c r="H495" s="74"/>
      <c r="I495" s="398">
        <f t="shared" ref="I495" si="3017">(H495/100)*1000</f>
        <v>0</v>
      </c>
      <c r="J495" s="74"/>
      <c r="K495" s="398">
        <f t="shared" ref="K495" si="3018">(J495/100)*1000</f>
        <v>0</v>
      </c>
      <c r="L495" s="74"/>
      <c r="M495" s="398">
        <f t="shared" ref="M495" si="3019">(L495/100)*1000</f>
        <v>0</v>
      </c>
      <c r="N495" s="74"/>
      <c r="O495" s="398">
        <f t="shared" ref="O495" si="3020">(N495/100)*1000</f>
        <v>0</v>
      </c>
      <c r="P495" s="74"/>
      <c r="Q495" s="398">
        <f t="shared" ref="Q495" si="3021">(P495/100)*1000</f>
        <v>0</v>
      </c>
      <c r="R495" s="74"/>
      <c r="S495" s="398">
        <f t="shared" ref="S495" si="3022">(R495/100)*1000</f>
        <v>0</v>
      </c>
      <c r="T495" s="74"/>
      <c r="U495" s="398">
        <f t="shared" ref="U495" si="3023">(T495/100)*1000</f>
        <v>0</v>
      </c>
      <c r="V495" s="74"/>
      <c r="W495" s="398">
        <f t="shared" ref="W495" si="3024">(V495/100)*1000</f>
        <v>0</v>
      </c>
      <c r="X495" s="74"/>
      <c r="Y495" s="398">
        <f t="shared" ref="Y495" si="3025">(X495/100)*1000</f>
        <v>0</v>
      </c>
      <c r="Z495" s="74"/>
      <c r="AA495" s="398">
        <f t="shared" ref="AA495" si="3026">(Z495/100)*1000</f>
        <v>0</v>
      </c>
      <c r="AB495" s="74"/>
      <c r="AC495" s="398">
        <f t="shared" ref="AC495" si="3027">(AB495/100)*1000</f>
        <v>0</v>
      </c>
      <c r="AD495" s="74"/>
      <c r="AE495" s="398">
        <f t="shared" ref="AE495" si="3028">(AD495/100)*1000</f>
        <v>0</v>
      </c>
      <c r="AF495" s="98"/>
      <c r="AG495" s="98"/>
    </row>
    <row r="496" spans="1:33" ht="19.149999999999999" customHeight="1" outlineLevel="1">
      <c r="A496" s="401" t="str">
        <f t="shared" si="2896"/>
        <v>8103 TOP UP (5KG)</v>
      </c>
      <c r="B496" s="74"/>
      <c r="C496" s="398">
        <f t="shared" si="2491"/>
        <v>0</v>
      </c>
      <c r="D496" s="74"/>
      <c r="E496" s="398">
        <f t="shared" si="2492"/>
        <v>0</v>
      </c>
      <c r="F496" s="74"/>
      <c r="G496" s="398">
        <f t="shared" ref="G496:G526" si="3029">(F496/100)*1000</f>
        <v>0</v>
      </c>
      <c r="H496" s="74"/>
      <c r="I496" s="398">
        <f t="shared" ref="I496:I526" si="3030">(H496/100)*1000</f>
        <v>0</v>
      </c>
      <c r="J496" s="74"/>
      <c r="K496" s="398">
        <f t="shared" ref="K496:K526" si="3031">(J496/100)*1000</f>
        <v>0</v>
      </c>
      <c r="L496" s="74"/>
      <c r="M496" s="398">
        <f t="shared" ref="M496:M526" si="3032">(L496/100)*1000</f>
        <v>0</v>
      </c>
      <c r="N496" s="74"/>
      <c r="O496" s="398">
        <f t="shared" ref="O496:O526" si="3033">(N496/100)*1000</f>
        <v>0</v>
      </c>
      <c r="P496" s="74"/>
      <c r="Q496" s="398">
        <f t="shared" ref="Q496:Q526" si="3034">(P496/100)*1000</f>
        <v>0</v>
      </c>
      <c r="R496" s="74"/>
      <c r="S496" s="398">
        <f t="shared" ref="S496:S526" si="3035">(R496/100)*1000</f>
        <v>0</v>
      </c>
      <c r="T496" s="74"/>
      <c r="U496" s="398">
        <f t="shared" ref="U496:U526" si="3036">(T496/100)*1000</f>
        <v>0</v>
      </c>
      <c r="V496" s="74"/>
      <c r="W496" s="398">
        <f t="shared" ref="W496:W526" si="3037">(V496/100)*1000</f>
        <v>0</v>
      </c>
      <c r="X496" s="74"/>
      <c r="Y496" s="398">
        <f t="shared" ref="Y496:Y526" si="3038">(X496/100)*1000</f>
        <v>0</v>
      </c>
      <c r="Z496" s="74"/>
      <c r="AA496" s="398">
        <f t="shared" ref="AA496:AA526" si="3039">(Z496/100)*1000</f>
        <v>0</v>
      </c>
      <c r="AB496" s="74"/>
      <c r="AC496" s="398">
        <f t="shared" ref="AC496:AC526" si="3040">(AB496/100)*1000</f>
        <v>0</v>
      </c>
      <c r="AD496" s="74"/>
      <c r="AE496" s="398">
        <f t="shared" ref="AE496:AE526" si="3041">(AD496/100)*1000</f>
        <v>0</v>
      </c>
      <c r="AF496" s="98"/>
      <c r="AG496" s="98"/>
    </row>
    <row r="497" spans="1:33" ht="19.149999999999999" customHeight="1" outlineLevel="1">
      <c r="A497" s="401" t="str">
        <f>A409</f>
        <v>L-ARGININE</v>
      </c>
      <c r="B497" s="74"/>
      <c r="C497" s="251">
        <f t="shared" ref="C497:C526" si="3042">(B497/100)*1000</f>
        <v>0</v>
      </c>
      <c r="D497" s="74"/>
      <c r="E497" s="251">
        <f t="shared" ref="E497:E526" si="3043">(D497/100)*1000</f>
        <v>0</v>
      </c>
      <c r="F497" s="74"/>
      <c r="G497" s="251">
        <f t="shared" si="3029"/>
        <v>0</v>
      </c>
      <c r="H497" s="74"/>
      <c r="I497" s="251">
        <f t="shared" si="3030"/>
        <v>0</v>
      </c>
      <c r="J497" s="74"/>
      <c r="K497" s="251">
        <f t="shared" si="3031"/>
        <v>0</v>
      </c>
      <c r="L497" s="74"/>
      <c r="M497" s="251">
        <f t="shared" si="3032"/>
        <v>0</v>
      </c>
      <c r="N497" s="74"/>
      <c r="O497" s="251">
        <f t="shared" si="3033"/>
        <v>0</v>
      </c>
      <c r="P497" s="74"/>
      <c r="Q497" s="251">
        <f t="shared" si="3034"/>
        <v>0</v>
      </c>
      <c r="R497" s="74"/>
      <c r="S497" s="251">
        <f t="shared" si="3035"/>
        <v>0</v>
      </c>
      <c r="T497" s="74"/>
      <c r="U497" s="251">
        <f t="shared" si="3036"/>
        <v>0</v>
      </c>
      <c r="V497" s="74"/>
      <c r="W497" s="251">
        <f t="shared" si="3037"/>
        <v>0</v>
      </c>
      <c r="X497" s="74"/>
      <c r="Y497" s="251">
        <f t="shared" si="3038"/>
        <v>0</v>
      </c>
      <c r="Z497" s="74"/>
      <c r="AA497" s="251">
        <f t="shared" si="3039"/>
        <v>0</v>
      </c>
      <c r="AB497" s="74"/>
      <c r="AC497" s="251">
        <f t="shared" si="3040"/>
        <v>0</v>
      </c>
      <c r="AD497" s="74"/>
      <c r="AE497" s="251">
        <f t="shared" si="3041"/>
        <v>0</v>
      </c>
      <c r="AF497" s="98"/>
      <c r="AG497" s="98"/>
    </row>
    <row r="498" spans="1:33" ht="19.149999999999999" customHeight="1" outlineLevel="1">
      <c r="A498" s="401" t="str">
        <f>A410</f>
        <v>DL-METHIONINE</v>
      </c>
      <c r="B498" s="74"/>
      <c r="C498" s="251">
        <f t="shared" si="3042"/>
        <v>0</v>
      </c>
      <c r="D498" s="74"/>
      <c r="E498" s="251">
        <f t="shared" si="3043"/>
        <v>0</v>
      </c>
      <c r="F498" s="74"/>
      <c r="G498" s="251">
        <f t="shared" si="3029"/>
        <v>0</v>
      </c>
      <c r="H498" s="74"/>
      <c r="I498" s="251">
        <f t="shared" si="3030"/>
        <v>0</v>
      </c>
      <c r="J498" s="74"/>
      <c r="K498" s="251">
        <f t="shared" si="3031"/>
        <v>0</v>
      </c>
      <c r="L498" s="74"/>
      <c r="M498" s="251">
        <f t="shared" si="3032"/>
        <v>0</v>
      </c>
      <c r="N498" s="74"/>
      <c r="O498" s="251">
        <f t="shared" si="3033"/>
        <v>0</v>
      </c>
      <c r="P498" s="74"/>
      <c r="Q498" s="251">
        <f t="shared" si="3034"/>
        <v>0</v>
      </c>
      <c r="R498" s="74"/>
      <c r="S498" s="251">
        <f t="shared" si="3035"/>
        <v>0</v>
      </c>
      <c r="T498" s="74"/>
      <c r="U498" s="251">
        <f t="shared" si="3036"/>
        <v>0</v>
      </c>
      <c r="V498" s="74"/>
      <c r="W498" s="251">
        <f t="shared" si="3037"/>
        <v>0</v>
      </c>
      <c r="X498" s="74"/>
      <c r="Y498" s="251">
        <f t="shared" si="3038"/>
        <v>0</v>
      </c>
      <c r="Z498" s="74"/>
      <c r="AA498" s="251">
        <f t="shared" si="3039"/>
        <v>0</v>
      </c>
      <c r="AB498" s="74"/>
      <c r="AC498" s="251">
        <f t="shared" si="3040"/>
        <v>0</v>
      </c>
      <c r="AD498" s="74"/>
      <c r="AE498" s="251">
        <f t="shared" si="3041"/>
        <v>0</v>
      </c>
      <c r="AF498" s="98"/>
      <c r="AG498" s="98"/>
    </row>
    <row r="499" spans="1:33" ht="19.149999999999999" customHeight="1" outlineLevel="1">
      <c r="A499" s="401" t="str">
        <f>A411</f>
        <v>L-THREONINE</v>
      </c>
      <c r="B499" s="74"/>
      <c r="C499" s="251">
        <f t="shared" si="3042"/>
        <v>0</v>
      </c>
      <c r="D499" s="74"/>
      <c r="E499" s="251">
        <f t="shared" si="3043"/>
        <v>0</v>
      </c>
      <c r="F499" s="74"/>
      <c r="G499" s="251">
        <f t="shared" si="3029"/>
        <v>0</v>
      </c>
      <c r="H499" s="74"/>
      <c r="I499" s="251">
        <f t="shared" si="3030"/>
        <v>0</v>
      </c>
      <c r="J499" s="74"/>
      <c r="K499" s="251">
        <f t="shared" si="3031"/>
        <v>0</v>
      </c>
      <c r="L499" s="74"/>
      <c r="M499" s="251">
        <f t="shared" si="3032"/>
        <v>0</v>
      </c>
      <c r="N499" s="74"/>
      <c r="O499" s="251">
        <f t="shared" si="3033"/>
        <v>0</v>
      </c>
      <c r="P499" s="74"/>
      <c r="Q499" s="251">
        <f t="shared" si="3034"/>
        <v>0</v>
      </c>
      <c r="R499" s="74"/>
      <c r="S499" s="251">
        <f t="shared" si="3035"/>
        <v>0</v>
      </c>
      <c r="T499" s="74"/>
      <c r="U499" s="251">
        <f t="shared" si="3036"/>
        <v>0</v>
      </c>
      <c r="V499" s="74"/>
      <c r="W499" s="251">
        <f t="shared" si="3037"/>
        <v>0</v>
      </c>
      <c r="X499" s="74"/>
      <c r="Y499" s="251">
        <f t="shared" si="3038"/>
        <v>0</v>
      </c>
      <c r="Z499" s="74"/>
      <c r="AA499" s="251">
        <f t="shared" si="3039"/>
        <v>0</v>
      </c>
      <c r="AB499" s="74"/>
      <c r="AC499" s="251">
        <f t="shared" si="3040"/>
        <v>0</v>
      </c>
      <c r="AD499" s="74"/>
      <c r="AE499" s="251">
        <f t="shared" si="3041"/>
        <v>0</v>
      </c>
      <c r="AF499" s="98"/>
      <c r="AG499" s="98"/>
    </row>
    <row r="500" spans="1:33" ht="19.149999999999999" customHeight="1" outlineLevel="1">
      <c r="A500" s="401" t="str">
        <f>A412</f>
        <v>L-LYSINE</v>
      </c>
      <c r="B500" s="74"/>
      <c r="C500" s="251">
        <f t="shared" si="3042"/>
        <v>0</v>
      </c>
      <c r="D500" s="74"/>
      <c r="E500" s="251">
        <f t="shared" si="3043"/>
        <v>0</v>
      </c>
      <c r="F500" s="74"/>
      <c r="G500" s="251">
        <f t="shared" si="3029"/>
        <v>0</v>
      </c>
      <c r="H500" s="74"/>
      <c r="I500" s="251">
        <f t="shared" si="3030"/>
        <v>0</v>
      </c>
      <c r="J500" s="74"/>
      <c r="K500" s="251">
        <f t="shared" si="3031"/>
        <v>0</v>
      </c>
      <c r="L500" s="74"/>
      <c r="M500" s="251">
        <f t="shared" si="3032"/>
        <v>0</v>
      </c>
      <c r="N500" s="74"/>
      <c r="O500" s="251">
        <f t="shared" si="3033"/>
        <v>0</v>
      </c>
      <c r="P500" s="74"/>
      <c r="Q500" s="251">
        <f t="shared" si="3034"/>
        <v>0</v>
      </c>
      <c r="R500" s="74"/>
      <c r="S500" s="251">
        <f t="shared" si="3035"/>
        <v>0</v>
      </c>
      <c r="T500" s="74"/>
      <c r="U500" s="251">
        <f t="shared" si="3036"/>
        <v>0</v>
      </c>
      <c r="V500" s="74"/>
      <c r="W500" s="251">
        <f t="shared" si="3037"/>
        <v>0</v>
      </c>
      <c r="X500" s="74"/>
      <c r="Y500" s="251">
        <f t="shared" si="3038"/>
        <v>0</v>
      </c>
      <c r="Z500" s="74"/>
      <c r="AA500" s="251">
        <f t="shared" si="3039"/>
        <v>0</v>
      </c>
      <c r="AB500" s="74"/>
      <c r="AC500" s="251">
        <f t="shared" si="3040"/>
        <v>0</v>
      </c>
      <c r="AD500" s="74"/>
      <c r="AE500" s="251">
        <f t="shared" si="3041"/>
        <v>0</v>
      </c>
      <c r="AF500" s="98"/>
      <c r="AG500" s="98"/>
    </row>
    <row r="501" spans="1:33" ht="19.149999999999999" customHeight="1" outlineLevel="1">
      <c r="A501" s="401" t="str">
        <f>A413</f>
        <v>FAECES DRY</v>
      </c>
      <c r="B501" s="74"/>
      <c r="C501" s="251">
        <f t="shared" si="3042"/>
        <v>0</v>
      </c>
      <c r="D501" s="74"/>
      <c r="E501" s="251">
        <f t="shared" si="3043"/>
        <v>0</v>
      </c>
      <c r="F501" s="74"/>
      <c r="G501" s="251">
        <f t="shared" si="3029"/>
        <v>0</v>
      </c>
      <c r="H501" s="74"/>
      <c r="I501" s="251">
        <f t="shared" si="3030"/>
        <v>0</v>
      </c>
      <c r="J501" s="74"/>
      <c r="K501" s="251">
        <f t="shared" si="3031"/>
        <v>0</v>
      </c>
      <c r="L501" s="74"/>
      <c r="M501" s="251">
        <f t="shared" si="3032"/>
        <v>0</v>
      </c>
      <c r="N501" s="74"/>
      <c r="O501" s="251">
        <f t="shared" si="3033"/>
        <v>0</v>
      </c>
      <c r="P501" s="74"/>
      <c r="Q501" s="251">
        <f t="shared" si="3034"/>
        <v>0</v>
      </c>
      <c r="R501" s="74"/>
      <c r="S501" s="251">
        <f t="shared" si="3035"/>
        <v>0</v>
      </c>
      <c r="T501" s="74"/>
      <c r="U501" s="251">
        <f t="shared" si="3036"/>
        <v>0</v>
      </c>
      <c r="V501" s="74"/>
      <c r="W501" s="251">
        <f t="shared" si="3037"/>
        <v>0</v>
      </c>
      <c r="X501" s="74"/>
      <c r="Y501" s="251">
        <f t="shared" si="3038"/>
        <v>0</v>
      </c>
      <c r="Z501" s="74"/>
      <c r="AA501" s="251">
        <f t="shared" si="3039"/>
        <v>0</v>
      </c>
      <c r="AB501" s="74"/>
      <c r="AC501" s="251">
        <f t="shared" si="3040"/>
        <v>0</v>
      </c>
      <c r="AD501" s="74"/>
      <c r="AE501" s="251">
        <f t="shared" si="3041"/>
        <v>0</v>
      </c>
      <c r="AF501" s="98"/>
      <c r="AG501" s="98"/>
    </row>
    <row r="502" spans="1:33" ht="19.149999999999999" customHeight="1" outlineLevel="1">
      <c r="A502" s="401" t="str">
        <f>A62</f>
        <v>ECOBIOL</v>
      </c>
      <c r="B502" s="74"/>
      <c r="C502" s="251">
        <f t="shared" si="3042"/>
        <v>0</v>
      </c>
      <c r="D502" s="74"/>
      <c r="E502" s="251">
        <f t="shared" si="3043"/>
        <v>0</v>
      </c>
      <c r="F502" s="74"/>
      <c r="G502" s="251">
        <f t="shared" si="3029"/>
        <v>0</v>
      </c>
      <c r="H502" s="74"/>
      <c r="I502" s="251">
        <f t="shared" si="3030"/>
        <v>0</v>
      </c>
      <c r="J502" s="74"/>
      <c r="K502" s="251">
        <f t="shared" si="3031"/>
        <v>0</v>
      </c>
      <c r="L502" s="74"/>
      <c r="M502" s="251">
        <f t="shared" si="3032"/>
        <v>0</v>
      </c>
      <c r="N502" s="74"/>
      <c r="O502" s="251">
        <f t="shared" si="3033"/>
        <v>0</v>
      </c>
      <c r="P502" s="74"/>
      <c r="Q502" s="251">
        <f t="shared" si="3034"/>
        <v>0</v>
      </c>
      <c r="R502" s="74"/>
      <c r="S502" s="251">
        <f t="shared" si="3035"/>
        <v>0</v>
      </c>
      <c r="T502" s="74"/>
      <c r="U502" s="251">
        <f t="shared" si="3036"/>
        <v>0</v>
      </c>
      <c r="V502" s="74"/>
      <c r="W502" s="251">
        <f t="shared" si="3037"/>
        <v>0</v>
      </c>
      <c r="X502" s="74"/>
      <c r="Y502" s="251">
        <f t="shared" si="3038"/>
        <v>0</v>
      </c>
      <c r="Z502" s="74"/>
      <c r="AA502" s="251">
        <f t="shared" si="3039"/>
        <v>0</v>
      </c>
      <c r="AB502" s="74"/>
      <c r="AC502" s="251">
        <f t="shared" si="3040"/>
        <v>0</v>
      </c>
      <c r="AD502" s="74"/>
      <c r="AE502" s="251">
        <f t="shared" si="3041"/>
        <v>0</v>
      </c>
      <c r="AF502" s="98"/>
      <c r="AG502" s="98"/>
    </row>
    <row r="503" spans="1:33" ht="19.149999999999999" customHeight="1" outlineLevel="1">
      <c r="A503" s="401" t="str">
        <f>A415</f>
        <v>ADDITIVE BROILER IMMUNE</v>
      </c>
      <c r="B503" s="74"/>
      <c r="C503" s="251">
        <f t="shared" si="3042"/>
        <v>0</v>
      </c>
      <c r="D503" s="74"/>
      <c r="E503" s="251">
        <f t="shared" si="3043"/>
        <v>0</v>
      </c>
      <c r="F503" s="74"/>
      <c r="G503" s="251">
        <f t="shared" si="3029"/>
        <v>0</v>
      </c>
      <c r="H503" s="74"/>
      <c r="I503" s="251">
        <f t="shared" si="3030"/>
        <v>0</v>
      </c>
      <c r="J503" s="74"/>
      <c r="K503" s="251">
        <f t="shared" si="3031"/>
        <v>0</v>
      </c>
      <c r="L503" s="74"/>
      <c r="M503" s="251">
        <f t="shared" si="3032"/>
        <v>0</v>
      </c>
      <c r="N503" s="74"/>
      <c r="O503" s="251">
        <f t="shared" si="3033"/>
        <v>0</v>
      </c>
      <c r="P503" s="74"/>
      <c r="Q503" s="251">
        <f t="shared" si="3034"/>
        <v>0</v>
      </c>
      <c r="R503" s="74"/>
      <c r="S503" s="251">
        <f t="shared" si="3035"/>
        <v>0</v>
      </c>
      <c r="T503" s="74"/>
      <c r="U503" s="251">
        <f t="shared" si="3036"/>
        <v>0</v>
      </c>
      <c r="V503" s="74"/>
      <c r="W503" s="251">
        <f t="shared" si="3037"/>
        <v>0</v>
      </c>
      <c r="X503" s="74"/>
      <c r="Y503" s="251">
        <f t="shared" si="3038"/>
        <v>0</v>
      </c>
      <c r="Z503" s="74"/>
      <c r="AA503" s="251">
        <f t="shared" si="3039"/>
        <v>0</v>
      </c>
      <c r="AB503" s="74"/>
      <c r="AC503" s="251">
        <f t="shared" si="3040"/>
        <v>0</v>
      </c>
      <c r="AD503" s="74"/>
      <c r="AE503" s="251">
        <f t="shared" si="3041"/>
        <v>0</v>
      </c>
      <c r="AF503" s="98"/>
      <c r="AG503" s="98"/>
    </row>
    <row r="504" spans="1:33" ht="19.149999999999999" customHeight="1" outlineLevel="1">
      <c r="A504" s="401" t="str">
        <f>A416</f>
        <v>MASTER CUBE (HARUMI)</v>
      </c>
      <c r="B504" s="74"/>
      <c r="C504" s="251">
        <f t="shared" si="3042"/>
        <v>0</v>
      </c>
      <c r="D504" s="74"/>
      <c r="E504" s="251">
        <f t="shared" si="3043"/>
        <v>0</v>
      </c>
      <c r="F504" s="74"/>
      <c r="G504" s="251">
        <f t="shared" si="3029"/>
        <v>0</v>
      </c>
      <c r="H504" s="74"/>
      <c r="I504" s="251">
        <f t="shared" si="3030"/>
        <v>0</v>
      </c>
      <c r="J504" s="74"/>
      <c r="K504" s="251">
        <f t="shared" si="3031"/>
        <v>0</v>
      </c>
      <c r="L504" s="74"/>
      <c r="M504" s="251">
        <f t="shared" si="3032"/>
        <v>0</v>
      </c>
      <c r="N504" s="74"/>
      <c r="O504" s="251">
        <f t="shared" si="3033"/>
        <v>0</v>
      </c>
      <c r="P504" s="74"/>
      <c r="Q504" s="251">
        <f t="shared" si="3034"/>
        <v>0</v>
      </c>
      <c r="R504" s="74"/>
      <c r="S504" s="251">
        <f t="shared" si="3035"/>
        <v>0</v>
      </c>
      <c r="T504" s="74">
        <f>2/20</f>
        <v>0.1</v>
      </c>
      <c r="U504" s="251">
        <f t="shared" si="3036"/>
        <v>1</v>
      </c>
      <c r="V504" s="74">
        <f>2/20</f>
        <v>0.1</v>
      </c>
      <c r="W504" s="251">
        <f t="shared" si="3037"/>
        <v>1</v>
      </c>
      <c r="X504" s="74"/>
      <c r="Y504" s="251">
        <f t="shared" si="3038"/>
        <v>0</v>
      </c>
      <c r="Z504" s="74"/>
      <c r="AA504" s="251">
        <f t="shared" si="3039"/>
        <v>0</v>
      </c>
      <c r="AB504" s="74"/>
      <c r="AC504" s="251">
        <f t="shared" si="3040"/>
        <v>0</v>
      </c>
      <c r="AD504" s="74"/>
      <c r="AE504" s="251">
        <f t="shared" si="3041"/>
        <v>0</v>
      </c>
      <c r="AF504" s="98"/>
      <c r="AG504" s="98"/>
    </row>
    <row r="505" spans="1:33" ht="19.149999999999999" customHeight="1" outlineLevel="1">
      <c r="A505" s="401" t="str">
        <f>A417</f>
        <v>1101 TOP UP (0.40KG)</v>
      </c>
      <c r="B505" s="74"/>
      <c r="C505" s="251">
        <f t="shared" si="3042"/>
        <v>0</v>
      </c>
      <c r="D505" s="74"/>
      <c r="E505" s="251">
        <f t="shared" si="3043"/>
        <v>0</v>
      </c>
      <c r="F505" s="74"/>
      <c r="G505" s="251">
        <f t="shared" si="3029"/>
        <v>0</v>
      </c>
      <c r="H505" s="74"/>
      <c r="I505" s="251">
        <f t="shared" si="3030"/>
        <v>0</v>
      </c>
      <c r="J505" s="74"/>
      <c r="K505" s="251">
        <f t="shared" si="3031"/>
        <v>0</v>
      </c>
      <c r="L505" s="74"/>
      <c r="M505" s="251">
        <f t="shared" si="3032"/>
        <v>0</v>
      </c>
      <c r="N505" s="74"/>
      <c r="O505" s="251">
        <f t="shared" si="3033"/>
        <v>0</v>
      </c>
      <c r="P505" s="74"/>
      <c r="Q505" s="251">
        <f t="shared" si="3034"/>
        <v>0</v>
      </c>
      <c r="R505" s="74"/>
      <c r="S505" s="251">
        <f t="shared" si="3035"/>
        <v>0</v>
      </c>
      <c r="T505" s="74"/>
      <c r="U505" s="251">
        <f t="shared" si="3036"/>
        <v>0</v>
      </c>
      <c r="V505" s="74"/>
      <c r="W505" s="251">
        <f t="shared" si="3037"/>
        <v>0</v>
      </c>
      <c r="X505" s="74"/>
      <c r="Y505" s="251">
        <f t="shared" si="3038"/>
        <v>0</v>
      </c>
      <c r="Z505" s="74"/>
      <c r="AA505" s="251">
        <f t="shared" si="3039"/>
        <v>0</v>
      </c>
      <c r="AB505" s="74"/>
      <c r="AC505" s="251">
        <f t="shared" si="3040"/>
        <v>0</v>
      </c>
      <c r="AD505" s="74"/>
      <c r="AE505" s="251">
        <f t="shared" si="3041"/>
        <v>0</v>
      </c>
      <c r="AF505" s="98"/>
      <c r="AG505" s="98"/>
    </row>
    <row r="506" spans="1:33" ht="19.149999999999999" customHeight="1" outlineLevel="1">
      <c r="A506" s="401" t="str">
        <f>A418</f>
        <v>1102 TOP UP (0.60KG)</v>
      </c>
      <c r="B506" s="74"/>
      <c r="C506" s="251">
        <f t="shared" si="3042"/>
        <v>0</v>
      </c>
      <c r="D506" s="74"/>
      <c r="E506" s="251">
        <f t="shared" si="3043"/>
        <v>0</v>
      </c>
      <c r="F506" s="74"/>
      <c r="G506" s="251">
        <f t="shared" si="3029"/>
        <v>0</v>
      </c>
      <c r="H506" s="74"/>
      <c r="I506" s="251">
        <f t="shared" si="3030"/>
        <v>0</v>
      </c>
      <c r="J506" s="74"/>
      <c r="K506" s="251">
        <f t="shared" si="3031"/>
        <v>0</v>
      </c>
      <c r="L506" s="74"/>
      <c r="M506" s="251">
        <f t="shared" si="3032"/>
        <v>0</v>
      </c>
      <c r="N506" s="74"/>
      <c r="O506" s="251">
        <f t="shared" si="3033"/>
        <v>0</v>
      </c>
      <c r="P506" s="74"/>
      <c r="Q506" s="251">
        <f t="shared" si="3034"/>
        <v>0</v>
      </c>
      <c r="R506" s="74"/>
      <c r="S506" s="251">
        <f t="shared" si="3035"/>
        <v>0</v>
      </c>
      <c r="T506" s="74"/>
      <c r="U506" s="251">
        <f t="shared" si="3036"/>
        <v>0</v>
      </c>
      <c r="V506" s="74"/>
      <c r="W506" s="251">
        <f t="shared" si="3037"/>
        <v>0</v>
      </c>
      <c r="X506" s="74"/>
      <c r="Y506" s="251">
        <f t="shared" si="3038"/>
        <v>0</v>
      </c>
      <c r="Z506" s="74"/>
      <c r="AA506" s="251">
        <f t="shared" si="3039"/>
        <v>0</v>
      </c>
      <c r="AB506" s="74"/>
      <c r="AC506" s="251">
        <f t="shared" si="3040"/>
        <v>0</v>
      </c>
      <c r="AD506" s="74"/>
      <c r="AE506" s="251">
        <f t="shared" si="3041"/>
        <v>0</v>
      </c>
      <c r="AF506" s="98"/>
      <c r="AG506" s="98"/>
    </row>
    <row r="507" spans="1:33" ht="19.149999999999999" customHeight="1" outlineLevel="1">
      <c r="A507" s="401" t="str">
        <f>A419</f>
        <v>1103 TOP UP (2.00KG)</v>
      </c>
      <c r="B507" s="74"/>
      <c r="C507" s="251">
        <f t="shared" si="3042"/>
        <v>0</v>
      </c>
      <c r="D507" s="74"/>
      <c r="E507" s="251">
        <f t="shared" si="3043"/>
        <v>0</v>
      </c>
      <c r="F507" s="74"/>
      <c r="G507" s="251">
        <f t="shared" si="3029"/>
        <v>0</v>
      </c>
      <c r="H507" s="74"/>
      <c r="I507" s="251">
        <f t="shared" si="3030"/>
        <v>0</v>
      </c>
      <c r="J507" s="74"/>
      <c r="K507" s="251">
        <f t="shared" si="3031"/>
        <v>0</v>
      </c>
      <c r="L507" s="74"/>
      <c r="M507" s="251">
        <f t="shared" si="3032"/>
        <v>0</v>
      </c>
      <c r="N507" s="74"/>
      <c r="O507" s="251">
        <f t="shared" si="3033"/>
        <v>0</v>
      </c>
      <c r="P507" s="74"/>
      <c r="Q507" s="251">
        <f t="shared" si="3034"/>
        <v>0</v>
      </c>
      <c r="R507" s="74"/>
      <c r="S507" s="251">
        <f t="shared" si="3035"/>
        <v>0</v>
      </c>
      <c r="T507" s="74"/>
      <c r="U507" s="251">
        <f t="shared" si="3036"/>
        <v>0</v>
      </c>
      <c r="V507" s="74"/>
      <c r="W507" s="251">
        <f t="shared" si="3037"/>
        <v>0</v>
      </c>
      <c r="X507" s="74"/>
      <c r="Y507" s="251">
        <f t="shared" si="3038"/>
        <v>0</v>
      </c>
      <c r="Z507" s="74"/>
      <c r="AA507" s="251">
        <f t="shared" si="3039"/>
        <v>0</v>
      </c>
      <c r="AB507" s="74"/>
      <c r="AC507" s="251">
        <f t="shared" si="3040"/>
        <v>0</v>
      </c>
      <c r="AD507" s="74"/>
      <c r="AE507" s="251">
        <f t="shared" si="3041"/>
        <v>0</v>
      </c>
      <c r="AF507" s="98"/>
      <c r="AG507" s="98"/>
    </row>
    <row r="508" spans="1:33" ht="19.149999999999999" customHeight="1" outlineLevel="1">
      <c r="A508" s="401" t="str">
        <f>A68</f>
        <v>QUANTUM GLO 4%</v>
      </c>
      <c r="B508" s="74"/>
      <c r="C508" s="251">
        <f t="shared" si="3042"/>
        <v>0</v>
      </c>
      <c r="D508" s="74"/>
      <c r="E508" s="251">
        <f t="shared" si="3043"/>
        <v>0</v>
      </c>
      <c r="F508" s="74"/>
      <c r="G508" s="251">
        <f t="shared" si="3029"/>
        <v>0</v>
      </c>
      <c r="H508" s="74"/>
      <c r="I508" s="251">
        <f t="shared" si="3030"/>
        <v>0</v>
      </c>
      <c r="J508" s="74"/>
      <c r="K508" s="251">
        <f t="shared" si="3031"/>
        <v>0</v>
      </c>
      <c r="L508" s="74"/>
      <c r="M508" s="251">
        <f t="shared" si="3032"/>
        <v>0</v>
      </c>
      <c r="N508" s="74"/>
      <c r="O508" s="251">
        <f t="shared" si="3033"/>
        <v>0</v>
      </c>
      <c r="P508" s="74"/>
      <c r="Q508" s="251">
        <f t="shared" si="3034"/>
        <v>0</v>
      </c>
      <c r="R508" s="74"/>
      <c r="S508" s="251">
        <f t="shared" si="3035"/>
        <v>0</v>
      </c>
      <c r="T508" s="74"/>
      <c r="U508" s="251">
        <f t="shared" si="3036"/>
        <v>0</v>
      </c>
      <c r="V508" s="74"/>
      <c r="W508" s="251">
        <f t="shared" si="3037"/>
        <v>0</v>
      </c>
      <c r="X508" s="74"/>
      <c r="Y508" s="251">
        <f t="shared" si="3038"/>
        <v>0</v>
      </c>
      <c r="Z508" s="74"/>
      <c r="AA508" s="251">
        <f t="shared" si="3039"/>
        <v>0</v>
      </c>
      <c r="AB508" s="74"/>
      <c r="AC508" s="251">
        <f t="shared" si="3040"/>
        <v>0</v>
      </c>
      <c r="AD508" s="74"/>
      <c r="AE508" s="251">
        <f t="shared" si="3041"/>
        <v>0</v>
      </c>
      <c r="AF508" s="98"/>
      <c r="AG508" s="98"/>
    </row>
    <row r="509" spans="1:33" ht="19.149999999999999" customHeight="1" outlineLevel="1">
      <c r="A509" s="401" t="str">
        <f>A69</f>
        <v>SALT</v>
      </c>
      <c r="B509" s="74"/>
      <c r="C509" s="251">
        <f t="shared" si="3042"/>
        <v>0</v>
      </c>
      <c r="D509" s="74"/>
      <c r="E509" s="251">
        <f t="shared" si="3043"/>
        <v>0</v>
      </c>
      <c r="F509" s="74"/>
      <c r="G509" s="251">
        <f t="shared" si="3029"/>
        <v>0</v>
      </c>
      <c r="H509" s="74"/>
      <c r="I509" s="251">
        <f t="shared" si="3030"/>
        <v>0</v>
      </c>
      <c r="J509" s="74"/>
      <c r="K509" s="251">
        <f t="shared" si="3031"/>
        <v>0</v>
      </c>
      <c r="L509" s="74"/>
      <c r="M509" s="251">
        <f t="shared" si="3032"/>
        <v>0</v>
      </c>
      <c r="N509" s="74"/>
      <c r="O509" s="251">
        <f t="shared" si="3033"/>
        <v>0</v>
      </c>
      <c r="P509" s="74"/>
      <c r="Q509" s="251">
        <f t="shared" si="3034"/>
        <v>0</v>
      </c>
      <c r="R509" s="74"/>
      <c r="S509" s="251">
        <f t="shared" si="3035"/>
        <v>0</v>
      </c>
      <c r="T509" s="74"/>
      <c r="U509" s="251">
        <f t="shared" si="3036"/>
        <v>0</v>
      </c>
      <c r="V509" s="74"/>
      <c r="W509" s="251">
        <f t="shared" si="3037"/>
        <v>0</v>
      </c>
      <c r="X509" s="74"/>
      <c r="Y509" s="251">
        <f t="shared" si="3038"/>
        <v>0</v>
      </c>
      <c r="Z509" s="74"/>
      <c r="AA509" s="251">
        <f t="shared" si="3039"/>
        <v>0</v>
      </c>
      <c r="AB509" s="74"/>
      <c r="AC509" s="251">
        <f t="shared" si="3040"/>
        <v>0</v>
      </c>
      <c r="AD509" s="74"/>
      <c r="AE509" s="251">
        <f t="shared" si="3041"/>
        <v>0</v>
      </c>
      <c r="AF509" s="98"/>
      <c r="AG509" s="98"/>
    </row>
    <row r="510" spans="1:33" ht="19.149999999999999" customHeight="1" outlineLevel="1">
      <c r="A510" s="401" t="str">
        <f>A70</f>
        <v>OC 200 - OXYTET 20%</v>
      </c>
      <c r="B510" s="74"/>
      <c r="C510" s="251">
        <f t="shared" si="3042"/>
        <v>0</v>
      </c>
      <c r="D510" s="74"/>
      <c r="E510" s="251">
        <f t="shared" si="3043"/>
        <v>0</v>
      </c>
      <c r="F510" s="74"/>
      <c r="G510" s="251">
        <f t="shared" si="3029"/>
        <v>0</v>
      </c>
      <c r="H510" s="74"/>
      <c r="I510" s="251">
        <f t="shared" si="3030"/>
        <v>0</v>
      </c>
      <c r="J510" s="74"/>
      <c r="K510" s="251">
        <f t="shared" si="3031"/>
        <v>0</v>
      </c>
      <c r="L510" s="74"/>
      <c r="M510" s="251">
        <f t="shared" si="3032"/>
        <v>0</v>
      </c>
      <c r="N510" s="74"/>
      <c r="O510" s="251">
        <f t="shared" si="3033"/>
        <v>0</v>
      </c>
      <c r="P510" s="74"/>
      <c r="Q510" s="251">
        <f t="shared" si="3034"/>
        <v>0</v>
      </c>
      <c r="R510" s="74"/>
      <c r="S510" s="251">
        <f t="shared" si="3035"/>
        <v>0</v>
      </c>
      <c r="T510" s="74"/>
      <c r="U510" s="251">
        <f t="shared" si="3036"/>
        <v>0</v>
      </c>
      <c r="V510" s="74"/>
      <c r="W510" s="251">
        <f t="shared" si="3037"/>
        <v>0</v>
      </c>
      <c r="X510" s="74"/>
      <c r="Y510" s="251">
        <f t="shared" si="3038"/>
        <v>0</v>
      </c>
      <c r="Z510" s="74"/>
      <c r="AA510" s="251">
        <f t="shared" si="3039"/>
        <v>0</v>
      </c>
      <c r="AB510" s="74"/>
      <c r="AC510" s="251">
        <f t="shared" si="3040"/>
        <v>0</v>
      </c>
      <c r="AD510" s="74"/>
      <c r="AE510" s="251">
        <f t="shared" si="3041"/>
        <v>0</v>
      </c>
      <c r="AF510" s="98"/>
      <c r="AG510" s="98"/>
    </row>
    <row r="511" spans="1:33" ht="19.149999999999999" customHeight="1" outlineLevel="1">
      <c r="A511" s="401">
        <f>A71</f>
        <v>3</v>
      </c>
      <c r="B511" s="74"/>
      <c r="C511" s="251">
        <f t="shared" si="3042"/>
        <v>0</v>
      </c>
      <c r="D511" s="74"/>
      <c r="E511" s="251">
        <f t="shared" si="3043"/>
        <v>0</v>
      </c>
      <c r="F511" s="74"/>
      <c r="G511" s="251">
        <f t="shared" si="3029"/>
        <v>0</v>
      </c>
      <c r="H511" s="74"/>
      <c r="I511" s="251">
        <f t="shared" si="3030"/>
        <v>0</v>
      </c>
      <c r="J511" s="74"/>
      <c r="K511" s="251">
        <f t="shared" si="3031"/>
        <v>0</v>
      </c>
      <c r="L511" s="74"/>
      <c r="M511" s="251">
        <f t="shared" si="3032"/>
        <v>0</v>
      </c>
      <c r="N511" s="74"/>
      <c r="O511" s="251">
        <f t="shared" si="3033"/>
        <v>0</v>
      </c>
      <c r="P511" s="74"/>
      <c r="Q511" s="251">
        <f t="shared" si="3034"/>
        <v>0</v>
      </c>
      <c r="R511" s="74"/>
      <c r="S511" s="251">
        <f t="shared" si="3035"/>
        <v>0</v>
      </c>
      <c r="T511" s="74"/>
      <c r="U511" s="251">
        <f t="shared" si="3036"/>
        <v>0</v>
      </c>
      <c r="V511" s="74"/>
      <c r="W511" s="251">
        <f t="shared" si="3037"/>
        <v>0</v>
      </c>
      <c r="X511" s="74"/>
      <c r="Y511" s="251">
        <f t="shared" si="3038"/>
        <v>0</v>
      </c>
      <c r="Z511" s="74"/>
      <c r="AA511" s="251">
        <f t="shared" si="3039"/>
        <v>0</v>
      </c>
      <c r="AB511" s="74"/>
      <c r="AC511" s="251">
        <f t="shared" si="3040"/>
        <v>0</v>
      </c>
      <c r="AD511" s="74"/>
      <c r="AE511" s="251">
        <f t="shared" si="3041"/>
        <v>0</v>
      </c>
      <c r="AF511" s="98"/>
      <c r="AG511" s="98"/>
    </row>
    <row r="512" spans="1:33" ht="19.149999999999999" customHeight="1" outlineLevel="1">
      <c r="A512" s="351">
        <f>A72</f>
        <v>4</v>
      </c>
      <c r="B512" s="74"/>
      <c r="C512" s="251">
        <f t="shared" si="3042"/>
        <v>0</v>
      </c>
      <c r="D512" s="74"/>
      <c r="E512" s="251">
        <f t="shared" si="3043"/>
        <v>0</v>
      </c>
      <c r="F512" s="74"/>
      <c r="G512" s="251">
        <f t="shared" si="3029"/>
        <v>0</v>
      </c>
      <c r="H512" s="74"/>
      <c r="I512" s="251">
        <f t="shared" si="3030"/>
        <v>0</v>
      </c>
      <c r="J512" s="74"/>
      <c r="K512" s="251">
        <f t="shared" si="3031"/>
        <v>0</v>
      </c>
      <c r="L512" s="74"/>
      <c r="M512" s="251">
        <f t="shared" si="3032"/>
        <v>0</v>
      </c>
      <c r="N512" s="74"/>
      <c r="O512" s="251">
        <f t="shared" si="3033"/>
        <v>0</v>
      </c>
      <c r="P512" s="74"/>
      <c r="Q512" s="251">
        <f t="shared" si="3034"/>
        <v>0</v>
      </c>
      <c r="R512" s="74"/>
      <c r="S512" s="251">
        <f t="shared" si="3035"/>
        <v>0</v>
      </c>
      <c r="T512" s="74"/>
      <c r="U512" s="251">
        <f t="shared" si="3036"/>
        <v>0</v>
      </c>
      <c r="V512" s="74"/>
      <c r="W512" s="251">
        <f t="shared" si="3037"/>
        <v>0</v>
      </c>
      <c r="X512" s="74"/>
      <c r="Y512" s="251">
        <f t="shared" si="3038"/>
        <v>0</v>
      </c>
      <c r="Z512" s="74"/>
      <c r="AA512" s="251">
        <f t="shared" si="3039"/>
        <v>0</v>
      </c>
      <c r="AB512" s="74"/>
      <c r="AC512" s="251">
        <f t="shared" si="3040"/>
        <v>0</v>
      </c>
      <c r="AD512" s="74"/>
      <c r="AE512" s="251">
        <f t="shared" si="3041"/>
        <v>0</v>
      </c>
      <c r="AF512" s="98"/>
      <c r="AG512" s="98"/>
    </row>
    <row r="513" spans="1:33" ht="19.149999999999999" customHeight="1" outlineLevel="1">
      <c r="A513" s="351" t="str">
        <f t="shared" ref="A513:A527" si="3044">A73</f>
        <v>WOVEN BAG (1101) - BLUE 50KG</v>
      </c>
      <c r="B513" s="74"/>
      <c r="C513" s="251">
        <f t="shared" si="3042"/>
        <v>0</v>
      </c>
      <c r="D513" s="74"/>
      <c r="E513" s="251">
        <f t="shared" si="3043"/>
        <v>0</v>
      </c>
      <c r="F513" s="74"/>
      <c r="G513" s="251">
        <f t="shared" si="3029"/>
        <v>0</v>
      </c>
      <c r="H513" s="74"/>
      <c r="I513" s="251">
        <f t="shared" si="3030"/>
        <v>0</v>
      </c>
      <c r="J513" s="74"/>
      <c r="K513" s="251">
        <f t="shared" si="3031"/>
        <v>0</v>
      </c>
      <c r="L513" s="74"/>
      <c r="M513" s="251">
        <f t="shared" si="3032"/>
        <v>0</v>
      </c>
      <c r="N513" s="74"/>
      <c r="O513" s="251">
        <f t="shared" si="3033"/>
        <v>0</v>
      </c>
      <c r="P513" s="74"/>
      <c r="Q513" s="251">
        <f t="shared" si="3034"/>
        <v>0</v>
      </c>
      <c r="R513" s="74"/>
      <c r="S513" s="251">
        <f t="shared" si="3035"/>
        <v>0</v>
      </c>
      <c r="T513" s="74"/>
      <c r="U513" s="251">
        <f t="shared" si="3036"/>
        <v>0</v>
      </c>
      <c r="V513" s="74"/>
      <c r="W513" s="251">
        <f t="shared" si="3037"/>
        <v>0</v>
      </c>
      <c r="X513" s="74"/>
      <c r="Y513" s="251">
        <f t="shared" si="3038"/>
        <v>0</v>
      </c>
      <c r="Z513" s="74"/>
      <c r="AA513" s="251">
        <f t="shared" si="3039"/>
        <v>0</v>
      </c>
      <c r="AB513" s="74"/>
      <c r="AC513" s="251">
        <f t="shared" si="3040"/>
        <v>0</v>
      </c>
      <c r="AD513" s="74"/>
      <c r="AE513" s="251">
        <f t="shared" si="3041"/>
        <v>0</v>
      </c>
      <c r="AF513" s="98"/>
      <c r="AG513" s="98"/>
    </row>
    <row r="514" spans="1:33" ht="19.149999999999999" customHeight="1" outlineLevel="1">
      <c r="A514" s="351" t="str">
        <f t="shared" si="3044"/>
        <v>WOVEN BAG (1102) - GREEN 50KG</v>
      </c>
      <c r="B514" s="74"/>
      <c r="C514" s="251">
        <f t="shared" si="3042"/>
        <v>0</v>
      </c>
      <c r="D514" s="74"/>
      <c r="E514" s="251">
        <f t="shared" si="3043"/>
        <v>0</v>
      </c>
      <c r="F514" s="74"/>
      <c r="G514" s="251">
        <f t="shared" si="3029"/>
        <v>0</v>
      </c>
      <c r="H514" s="74"/>
      <c r="I514" s="251">
        <f t="shared" si="3030"/>
        <v>0</v>
      </c>
      <c r="J514" s="74"/>
      <c r="K514" s="251">
        <f t="shared" si="3031"/>
        <v>0</v>
      </c>
      <c r="L514" s="74"/>
      <c r="M514" s="251">
        <f t="shared" si="3032"/>
        <v>0</v>
      </c>
      <c r="N514" s="74"/>
      <c r="O514" s="251">
        <f t="shared" si="3033"/>
        <v>0</v>
      </c>
      <c r="P514" s="74"/>
      <c r="Q514" s="251">
        <f t="shared" si="3034"/>
        <v>0</v>
      </c>
      <c r="R514" s="74"/>
      <c r="S514" s="251">
        <f t="shared" si="3035"/>
        <v>0</v>
      </c>
      <c r="T514" s="74"/>
      <c r="U514" s="251">
        <f t="shared" si="3036"/>
        <v>0</v>
      </c>
      <c r="V514" s="74"/>
      <c r="W514" s="251">
        <f t="shared" si="3037"/>
        <v>0</v>
      </c>
      <c r="X514" s="74"/>
      <c r="Y514" s="251">
        <f t="shared" si="3038"/>
        <v>0</v>
      </c>
      <c r="Z514" s="74"/>
      <c r="AA514" s="251">
        <f t="shared" si="3039"/>
        <v>0</v>
      </c>
      <c r="AB514" s="74"/>
      <c r="AC514" s="251">
        <f t="shared" si="3040"/>
        <v>0</v>
      </c>
      <c r="AD514" s="74"/>
      <c r="AE514" s="251">
        <f t="shared" si="3041"/>
        <v>0</v>
      </c>
      <c r="AF514" s="98"/>
      <c r="AG514" s="98"/>
    </row>
    <row r="515" spans="1:33" ht="19.149999999999999" customHeight="1" outlineLevel="1">
      <c r="A515" s="351" t="str">
        <f t="shared" si="3044"/>
        <v>WOVEN BAG (1103) - RED 50KG</v>
      </c>
      <c r="B515" s="74"/>
      <c r="C515" s="251">
        <f t="shared" si="3042"/>
        <v>0</v>
      </c>
      <c r="D515" s="74"/>
      <c r="E515" s="251">
        <f t="shared" si="3043"/>
        <v>0</v>
      </c>
      <c r="F515" s="74"/>
      <c r="G515" s="251">
        <f t="shared" si="3029"/>
        <v>0</v>
      </c>
      <c r="H515" s="74"/>
      <c r="I515" s="251">
        <f t="shared" si="3030"/>
        <v>0</v>
      </c>
      <c r="J515" s="74"/>
      <c r="K515" s="251">
        <f t="shared" si="3031"/>
        <v>0</v>
      </c>
      <c r="L515" s="74"/>
      <c r="M515" s="251">
        <f t="shared" si="3032"/>
        <v>0</v>
      </c>
      <c r="N515" s="74"/>
      <c r="O515" s="251">
        <f t="shared" si="3033"/>
        <v>0</v>
      </c>
      <c r="P515" s="74"/>
      <c r="Q515" s="251">
        <f t="shared" si="3034"/>
        <v>0</v>
      </c>
      <c r="R515" s="74"/>
      <c r="S515" s="251">
        <f t="shared" si="3035"/>
        <v>0</v>
      </c>
      <c r="T515" s="74"/>
      <c r="U515" s="251">
        <f t="shared" si="3036"/>
        <v>0</v>
      </c>
      <c r="V515" s="74"/>
      <c r="W515" s="251">
        <f t="shared" si="3037"/>
        <v>0</v>
      </c>
      <c r="X515" s="74"/>
      <c r="Y515" s="251">
        <f t="shared" si="3038"/>
        <v>0</v>
      </c>
      <c r="Z515" s="74"/>
      <c r="AA515" s="251">
        <f t="shared" si="3039"/>
        <v>0</v>
      </c>
      <c r="AB515" s="74"/>
      <c r="AC515" s="251">
        <f t="shared" si="3040"/>
        <v>0</v>
      </c>
      <c r="AD515" s="74"/>
      <c r="AE515" s="251">
        <f t="shared" si="3041"/>
        <v>0</v>
      </c>
      <c r="AF515" s="98"/>
      <c r="AG515" s="98"/>
    </row>
    <row r="516" spans="1:33" ht="19.149999999999999" customHeight="1" outlineLevel="1">
      <c r="A516" s="351" t="str">
        <f t="shared" si="3044"/>
        <v>PLAIN BAG 26" X 39" (50KG)</v>
      </c>
      <c r="B516" s="74"/>
      <c r="C516" s="251">
        <f t="shared" si="3042"/>
        <v>0</v>
      </c>
      <c r="D516" s="74"/>
      <c r="E516" s="251">
        <f t="shared" si="3043"/>
        <v>0</v>
      </c>
      <c r="F516" s="74"/>
      <c r="G516" s="251">
        <f t="shared" si="3029"/>
        <v>0</v>
      </c>
      <c r="H516" s="74"/>
      <c r="I516" s="251">
        <f t="shared" si="3030"/>
        <v>0</v>
      </c>
      <c r="J516" s="74"/>
      <c r="K516" s="251">
        <f t="shared" si="3031"/>
        <v>0</v>
      </c>
      <c r="L516" s="74"/>
      <c r="M516" s="251">
        <f t="shared" si="3032"/>
        <v>0</v>
      </c>
      <c r="N516" s="74"/>
      <c r="O516" s="251">
        <f t="shared" si="3033"/>
        <v>0</v>
      </c>
      <c r="P516" s="74"/>
      <c r="Q516" s="251">
        <f t="shared" si="3034"/>
        <v>0</v>
      </c>
      <c r="R516" s="74"/>
      <c r="S516" s="251">
        <f t="shared" si="3035"/>
        <v>0</v>
      </c>
      <c r="T516" s="74"/>
      <c r="U516" s="251">
        <f t="shared" si="3036"/>
        <v>0</v>
      </c>
      <c r="V516" s="74"/>
      <c r="W516" s="251">
        <f t="shared" si="3037"/>
        <v>0</v>
      </c>
      <c r="X516" s="74"/>
      <c r="Y516" s="251">
        <f t="shared" si="3038"/>
        <v>0</v>
      </c>
      <c r="Z516" s="74"/>
      <c r="AA516" s="251">
        <f t="shared" si="3039"/>
        <v>0</v>
      </c>
      <c r="AB516" s="74"/>
      <c r="AC516" s="251">
        <f t="shared" si="3040"/>
        <v>0</v>
      </c>
      <c r="AD516" s="74"/>
      <c r="AE516" s="251">
        <f t="shared" si="3041"/>
        <v>0</v>
      </c>
      <c r="AF516" s="98"/>
      <c r="AG516" s="98"/>
    </row>
    <row r="517" spans="1:33" ht="19.149999999999999" customHeight="1" outlineLevel="1">
      <c r="A517" s="351" t="str">
        <f t="shared" si="3044"/>
        <v>WOVEN BAG (8101) - KHAKI 50KG</v>
      </c>
      <c r="B517" s="74"/>
      <c r="C517" s="251">
        <f t="shared" si="3042"/>
        <v>0</v>
      </c>
      <c r="D517" s="74"/>
      <c r="E517" s="251">
        <f t="shared" si="3043"/>
        <v>0</v>
      </c>
      <c r="F517" s="74"/>
      <c r="G517" s="251">
        <f t="shared" si="3029"/>
        <v>0</v>
      </c>
      <c r="H517" s="74"/>
      <c r="I517" s="251">
        <f t="shared" si="3030"/>
        <v>0</v>
      </c>
      <c r="J517" s="74"/>
      <c r="K517" s="251">
        <f t="shared" si="3031"/>
        <v>0</v>
      </c>
      <c r="L517" s="74"/>
      <c r="M517" s="251">
        <f t="shared" si="3032"/>
        <v>0</v>
      </c>
      <c r="N517" s="74"/>
      <c r="O517" s="251">
        <f t="shared" si="3033"/>
        <v>0</v>
      </c>
      <c r="P517" s="74"/>
      <c r="Q517" s="251">
        <f t="shared" si="3034"/>
        <v>0</v>
      </c>
      <c r="R517" s="74"/>
      <c r="S517" s="251">
        <f t="shared" si="3035"/>
        <v>0</v>
      </c>
      <c r="T517" s="74"/>
      <c r="U517" s="251">
        <f t="shared" si="3036"/>
        <v>0</v>
      </c>
      <c r="V517" s="74"/>
      <c r="W517" s="251">
        <f t="shared" si="3037"/>
        <v>0</v>
      </c>
      <c r="X517" s="74"/>
      <c r="Y517" s="251">
        <f t="shared" si="3038"/>
        <v>0</v>
      </c>
      <c r="Z517" s="74"/>
      <c r="AA517" s="251">
        <f t="shared" si="3039"/>
        <v>0</v>
      </c>
      <c r="AB517" s="74"/>
      <c r="AC517" s="251">
        <f t="shared" si="3040"/>
        <v>0</v>
      </c>
      <c r="AD517" s="74"/>
      <c r="AE517" s="251">
        <f t="shared" si="3041"/>
        <v>0</v>
      </c>
      <c r="AF517" s="98"/>
      <c r="AG517" s="98"/>
    </row>
    <row r="518" spans="1:33" ht="19.149999999999999" customHeight="1" outlineLevel="1">
      <c r="A518" s="351" t="str">
        <f t="shared" si="3044"/>
        <v>WOVEN BAG (8102) - SKY BLUE 50KG</v>
      </c>
      <c r="B518" s="74"/>
      <c r="C518" s="251">
        <f t="shared" si="3042"/>
        <v>0</v>
      </c>
      <c r="D518" s="74"/>
      <c r="E518" s="251">
        <f t="shared" si="3043"/>
        <v>0</v>
      </c>
      <c r="F518" s="74"/>
      <c r="G518" s="251">
        <f t="shared" si="3029"/>
        <v>0</v>
      </c>
      <c r="H518" s="74"/>
      <c r="I518" s="251">
        <f t="shared" si="3030"/>
        <v>0</v>
      </c>
      <c r="J518" s="74"/>
      <c r="K518" s="251">
        <f t="shared" si="3031"/>
        <v>0</v>
      </c>
      <c r="L518" s="74"/>
      <c r="M518" s="251">
        <f t="shared" si="3032"/>
        <v>0</v>
      </c>
      <c r="N518" s="74"/>
      <c r="O518" s="251">
        <f t="shared" si="3033"/>
        <v>0</v>
      </c>
      <c r="P518" s="74"/>
      <c r="Q518" s="251">
        <f t="shared" si="3034"/>
        <v>0</v>
      </c>
      <c r="R518" s="74"/>
      <c r="S518" s="251">
        <f t="shared" si="3035"/>
        <v>0</v>
      </c>
      <c r="T518" s="74"/>
      <c r="U518" s="251">
        <f t="shared" si="3036"/>
        <v>0</v>
      </c>
      <c r="V518" s="74"/>
      <c r="W518" s="251">
        <f t="shared" si="3037"/>
        <v>0</v>
      </c>
      <c r="X518" s="74"/>
      <c r="Y518" s="251">
        <f t="shared" si="3038"/>
        <v>0</v>
      </c>
      <c r="Z518" s="74"/>
      <c r="AA518" s="251">
        <f t="shared" si="3039"/>
        <v>0</v>
      </c>
      <c r="AB518" s="74"/>
      <c r="AC518" s="251">
        <f t="shared" si="3040"/>
        <v>0</v>
      </c>
      <c r="AD518" s="74"/>
      <c r="AE518" s="251">
        <f t="shared" si="3041"/>
        <v>0</v>
      </c>
      <c r="AF518" s="98"/>
      <c r="AG518" s="98"/>
    </row>
    <row r="519" spans="1:33" ht="19.149999999999999" customHeight="1" outlineLevel="1">
      <c r="A519" s="351" t="str">
        <f t="shared" si="3044"/>
        <v>WOVEN BAG (8103) - BROWN 50KG</v>
      </c>
      <c r="B519" s="74"/>
      <c r="C519" s="251">
        <f t="shared" si="3042"/>
        <v>0</v>
      </c>
      <c r="D519" s="74"/>
      <c r="E519" s="251">
        <f t="shared" si="3043"/>
        <v>0</v>
      </c>
      <c r="F519" s="74"/>
      <c r="G519" s="251">
        <f t="shared" si="3029"/>
        <v>0</v>
      </c>
      <c r="H519" s="74"/>
      <c r="I519" s="251">
        <f t="shared" si="3030"/>
        <v>0</v>
      </c>
      <c r="J519" s="74"/>
      <c r="K519" s="251">
        <f t="shared" si="3031"/>
        <v>0</v>
      </c>
      <c r="L519" s="74"/>
      <c r="M519" s="251">
        <f t="shared" si="3032"/>
        <v>0</v>
      </c>
      <c r="N519" s="74"/>
      <c r="O519" s="251">
        <f t="shared" si="3033"/>
        <v>0</v>
      </c>
      <c r="P519" s="74"/>
      <c r="Q519" s="251">
        <f t="shared" si="3034"/>
        <v>0</v>
      </c>
      <c r="R519" s="74"/>
      <c r="S519" s="251">
        <f t="shared" si="3035"/>
        <v>0</v>
      </c>
      <c r="T519" s="74"/>
      <c r="U519" s="251">
        <f t="shared" si="3036"/>
        <v>0</v>
      </c>
      <c r="V519" s="74"/>
      <c r="W519" s="251">
        <f t="shared" si="3037"/>
        <v>0</v>
      </c>
      <c r="X519" s="74"/>
      <c r="Y519" s="251">
        <f t="shared" si="3038"/>
        <v>0</v>
      </c>
      <c r="Z519" s="74"/>
      <c r="AA519" s="251">
        <f t="shared" si="3039"/>
        <v>0</v>
      </c>
      <c r="AB519" s="74"/>
      <c r="AC519" s="251">
        <f t="shared" si="3040"/>
        <v>0</v>
      </c>
      <c r="AD519" s="74"/>
      <c r="AE519" s="251">
        <f t="shared" si="3041"/>
        <v>0</v>
      </c>
      <c r="AF519" s="98"/>
      <c r="AG519" s="98"/>
    </row>
    <row r="520" spans="1:33" ht="19.149999999999999" customHeight="1" outlineLevel="1">
      <c r="A520" s="351">
        <f t="shared" si="3044"/>
        <v>1</v>
      </c>
      <c r="B520" s="74"/>
      <c r="C520" s="251">
        <f t="shared" si="3042"/>
        <v>0</v>
      </c>
      <c r="D520" s="74"/>
      <c r="E520" s="251">
        <f t="shared" si="3043"/>
        <v>0</v>
      </c>
      <c r="F520" s="74"/>
      <c r="G520" s="251">
        <f t="shared" si="3029"/>
        <v>0</v>
      </c>
      <c r="H520" s="74"/>
      <c r="I520" s="251">
        <f t="shared" si="3030"/>
        <v>0</v>
      </c>
      <c r="J520" s="74"/>
      <c r="K520" s="251">
        <f t="shared" si="3031"/>
        <v>0</v>
      </c>
      <c r="L520" s="74"/>
      <c r="M520" s="251">
        <f t="shared" si="3032"/>
        <v>0</v>
      </c>
      <c r="N520" s="74"/>
      <c r="O520" s="251">
        <f t="shared" si="3033"/>
        <v>0</v>
      </c>
      <c r="P520" s="74"/>
      <c r="Q520" s="251">
        <f t="shared" si="3034"/>
        <v>0</v>
      </c>
      <c r="R520" s="74"/>
      <c r="S520" s="251">
        <f t="shared" si="3035"/>
        <v>0</v>
      </c>
      <c r="T520" s="74"/>
      <c r="U520" s="251">
        <f t="shared" si="3036"/>
        <v>0</v>
      </c>
      <c r="V520" s="74"/>
      <c r="W520" s="251">
        <f t="shared" si="3037"/>
        <v>0</v>
      </c>
      <c r="X520" s="74"/>
      <c r="Y520" s="251">
        <f t="shared" si="3038"/>
        <v>0</v>
      </c>
      <c r="Z520" s="74"/>
      <c r="AA520" s="251">
        <f t="shared" si="3039"/>
        <v>0</v>
      </c>
      <c r="AB520" s="74"/>
      <c r="AC520" s="251">
        <f t="shared" si="3040"/>
        <v>0</v>
      </c>
      <c r="AD520" s="74"/>
      <c r="AE520" s="251">
        <f t="shared" si="3041"/>
        <v>0</v>
      </c>
      <c r="AF520" s="98"/>
      <c r="AG520" s="98"/>
    </row>
    <row r="521" spans="1:33" ht="19.149999999999999" customHeight="1" outlineLevel="1">
      <c r="A521" s="351">
        <f t="shared" si="3044"/>
        <v>2</v>
      </c>
      <c r="B521" s="74"/>
      <c r="C521" s="251">
        <f t="shared" si="3042"/>
        <v>0</v>
      </c>
      <c r="D521" s="74"/>
      <c r="E521" s="251">
        <f t="shared" si="3043"/>
        <v>0</v>
      </c>
      <c r="F521" s="74"/>
      <c r="G521" s="251">
        <f t="shared" si="3029"/>
        <v>0</v>
      </c>
      <c r="H521" s="74"/>
      <c r="I521" s="251">
        <f t="shared" si="3030"/>
        <v>0</v>
      </c>
      <c r="J521" s="74"/>
      <c r="K521" s="251">
        <f t="shared" si="3031"/>
        <v>0</v>
      </c>
      <c r="L521" s="74"/>
      <c r="M521" s="251">
        <f t="shared" si="3032"/>
        <v>0</v>
      </c>
      <c r="N521" s="74"/>
      <c r="O521" s="251">
        <f t="shared" si="3033"/>
        <v>0</v>
      </c>
      <c r="P521" s="74"/>
      <c r="Q521" s="251">
        <f t="shared" si="3034"/>
        <v>0</v>
      </c>
      <c r="R521" s="74"/>
      <c r="S521" s="251">
        <f t="shared" si="3035"/>
        <v>0</v>
      </c>
      <c r="T521" s="74"/>
      <c r="U521" s="251">
        <f t="shared" si="3036"/>
        <v>0</v>
      </c>
      <c r="V521" s="74"/>
      <c r="W521" s="251">
        <f t="shared" si="3037"/>
        <v>0</v>
      </c>
      <c r="X521" s="74"/>
      <c r="Y521" s="251">
        <f t="shared" si="3038"/>
        <v>0</v>
      </c>
      <c r="Z521" s="74"/>
      <c r="AA521" s="251">
        <f t="shared" si="3039"/>
        <v>0</v>
      </c>
      <c r="AB521" s="74"/>
      <c r="AC521" s="251">
        <f t="shared" si="3040"/>
        <v>0</v>
      </c>
      <c r="AD521" s="74"/>
      <c r="AE521" s="251">
        <f t="shared" si="3041"/>
        <v>0</v>
      </c>
      <c r="AF521" s="98"/>
      <c r="AG521" s="98"/>
    </row>
    <row r="522" spans="1:33" ht="19.149999999999999" customHeight="1" outlineLevel="1">
      <c r="A522" s="351">
        <f t="shared" si="3044"/>
        <v>3</v>
      </c>
      <c r="B522" s="74"/>
      <c r="C522" s="251">
        <f t="shared" si="3042"/>
        <v>0</v>
      </c>
      <c r="D522" s="74"/>
      <c r="E522" s="251">
        <f t="shared" si="3043"/>
        <v>0</v>
      </c>
      <c r="F522" s="74"/>
      <c r="G522" s="251">
        <f t="shared" si="3029"/>
        <v>0</v>
      </c>
      <c r="H522" s="74"/>
      <c r="I522" s="251">
        <f t="shared" si="3030"/>
        <v>0</v>
      </c>
      <c r="J522" s="74"/>
      <c r="K522" s="251">
        <f t="shared" si="3031"/>
        <v>0</v>
      </c>
      <c r="L522" s="74"/>
      <c r="M522" s="251">
        <f t="shared" si="3032"/>
        <v>0</v>
      </c>
      <c r="N522" s="74"/>
      <c r="O522" s="251">
        <f t="shared" si="3033"/>
        <v>0</v>
      </c>
      <c r="P522" s="74"/>
      <c r="Q522" s="251">
        <f t="shared" si="3034"/>
        <v>0</v>
      </c>
      <c r="R522" s="74"/>
      <c r="S522" s="251">
        <f t="shared" si="3035"/>
        <v>0</v>
      </c>
      <c r="T522" s="74"/>
      <c r="U522" s="251">
        <f t="shared" si="3036"/>
        <v>0</v>
      </c>
      <c r="V522" s="74"/>
      <c r="W522" s="251">
        <f t="shared" si="3037"/>
        <v>0</v>
      </c>
      <c r="X522" s="74"/>
      <c r="Y522" s="251">
        <f t="shared" si="3038"/>
        <v>0</v>
      </c>
      <c r="Z522" s="74"/>
      <c r="AA522" s="251">
        <f t="shared" si="3039"/>
        <v>0</v>
      </c>
      <c r="AB522" s="74"/>
      <c r="AC522" s="251">
        <f t="shared" si="3040"/>
        <v>0</v>
      </c>
      <c r="AD522" s="74"/>
      <c r="AE522" s="251">
        <f t="shared" si="3041"/>
        <v>0</v>
      </c>
      <c r="AF522" s="98"/>
      <c r="AG522" s="98"/>
    </row>
    <row r="523" spans="1:33" ht="19.149999999999999" customHeight="1" outlineLevel="1">
      <c r="A523" s="351">
        <f t="shared" si="3044"/>
        <v>4</v>
      </c>
      <c r="B523" s="74"/>
      <c r="C523" s="251">
        <f t="shared" si="3042"/>
        <v>0</v>
      </c>
      <c r="D523" s="74"/>
      <c r="E523" s="251">
        <f t="shared" si="3043"/>
        <v>0</v>
      </c>
      <c r="F523" s="74"/>
      <c r="G523" s="251">
        <f t="shared" si="3029"/>
        <v>0</v>
      </c>
      <c r="H523" s="74"/>
      <c r="I523" s="251">
        <f t="shared" si="3030"/>
        <v>0</v>
      </c>
      <c r="J523" s="74"/>
      <c r="K523" s="251">
        <f t="shared" si="3031"/>
        <v>0</v>
      </c>
      <c r="L523" s="74"/>
      <c r="M523" s="251">
        <f t="shared" si="3032"/>
        <v>0</v>
      </c>
      <c r="N523" s="74"/>
      <c r="O523" s="251">
        <f t="shared" si="3033"/>
        <v>0</v>
      </c>
      <c r="P523" s="74"/>
      <c r="Q523" s="251">
        <f t="shared" si="3034"/>
        <v>0</v>
      </c>
      <c r="R523" s="74"/>
      <c r="S523" s="251">
        <f t="shared" si="3035"/>
        <v>0</v>
      </c>
      <c r="T523" s="74"/>
      <c r="U523" s="251">
        <f t="shared" si="3036"/>
        <v>0</v>
      </c>
      <c r="V523" s="74"/>
      <c r="W523" s="251">
        <f t="shared" si="3037"/>
        <v>0</v>
      </c>
      <c r="X523" s="74"/>
      <c r="Y523" s="251">
        <f t="shared" si="3038"/>
        <v>0</v>
      </c>
      <c r="Z523" s="74"/>
      <c r="AA523" s="251">
        <f t="shared" si="3039"/>
        <v>0</v>
      </c>
      <c r="AB523" s="74"/>
      <c r="AC523" s="251">
        <f t="shared" si="3040"/>
        <v>0</v>
      </c>
      <c r="AD523" s="74"/>
      <c r="AE523" s="251">
        <f t="shared" si="3041"/>
        <v>0</v>
      </c>
      <c r="AF523" s="98"/>
      <c r="AG523" s="98"/>
    </row>
    <row r="524" spans="1:33" ht="19.149999999999999" customHeight="1" outlineLevel="1">
      <c r="A524" s="351">
        <f t="shared" si="3044"/>
        <v>5</v>
      </c>
      <c r="B524" s="74"/>
      <c r="C524" s="251">
        <f t="shared" si="3042"/>
        <v>0</v>
      </c>
      <c r="D524" s="74"/>
      <c r="E524" s="251">
        <f t="shared" si="3043"/>
        <v>0</v>
      </c>
      <c r="F524" s="74"/>
      <c r="G524" s="251">
        <f t="shared" si="3029"/>
        <v>0</v>
      </c>
      <c r="H524" s="74"/>
      <c r="I524" s="251">
        <f t="shared" si="3030"/>
        <v>0</v>
      </c>
      <c r="J524" s="74"/>
      <c r="K524" s="251">
        <f t="shared" si="3031"/>
        <v>0</v>
      </c>
      <c r="L524" s="74"/>
      <c r="M524" s="251">
        <f t="shared" si="3032"/>
        <v>0</v>
      </c>
      <c r="N524" s="74"/>
      <c r="O524" s="251">
        <f t="shared" si="3033"/>
        <v>0</v>
      </c>
      <c r="P524" s="74"/>
      <c r="Q524" s="251">
        <f t="shared" si="3034"/>
        <v>0</v>
      </c>
      <c r="R524" s="74"/>
      <c r="S524" s="251">
        <f t="shared" si="3035"/>
        <v>0</v>
      </c>
      <c r="T524" s="74"/>
      <c r="U524" s="251">
        <f t="shared" si="3036"/>
        <v>0</v>
      </c>
      <c r="V524" s="74"/>
      <c r="W524" s="251">
        <f t="shared" si="3037"/>
        <v>0</v>
      </c>
      <c r="X524" s="74"/>
      <c r="Y524" s="251">
        <f t="shared" si="3038"/>
        <v>0</v>
      </c>
      <c r="Z524" s="74"/>
      <c r="AA524" s="251">
        <f t="shared" si="3039"/>
        <v>0</v>
      </c>
      <c r="AB524" s="74"/>
      <c r="AC524" s="251">
        <f t="shared" si="3040"/>
        <v>0</v>
      </c>
      <c r="AD524" s="74"/>
      <c r="AE524" s="251">
        <f t="shared" si="3041"/>
        <v>0</v>
      </c>
      <c r="AF524" s="98"/>
      <c r="AG524" s="98"/>
    </row>
    <row r="525" spans="1:33" ht="19.149999999999999" customHeight="1" outlineLevel="1">
      <c r="A525" s="351">
        <f t="shared" si="3044"/>
        <v>6</v>
      </c>
      <c r="B525" s="74"/>
      <c r="C525" s="251">
        <f t="shared" si="3042"/>
        <v>0</v>
      </c>
      <c r="D525" s="74"/>
      <c r="E525" s="251">
        <f t="shared" si="3043"/>
        <v>0</v>
      </c>
      <c r="F525" s="74"/>
      <c r="G525" s="251">
        <f t="shared" si="3029"/>
        <v>0</v>
      </c>
      <c r="H525" s="74"/>
      <c r="I525" s="251">
        <f t="shared" si="3030"/>
        <v>0</v>
      </c>
      <c r="J525" s="74"/>
      <c r="K525" s="251">
        <f t="shared" si="3031"/>
        <v>0</v>
      </c>
      <c r="L525" s="74"/>
      <c r="M525" s="251">
        <f t="shared" si="3032"/>
        <v>0</v>
      </c>
      <c r="N525" s="74"/>
      <c r="O525" s="251">
        <f t="shared" si="3033"/>
        <v>0</v>
      </c>
      <c r="P525" s="74"/>
      <c r="Q525" s="251">
        <f t="shared" si="3034"/>
        <v>0</v>
      </c>
      <c r="R525" s="74"/>
      <c r="S525" s="251">
        <f t="shared" si="3035"/>
        <v>0</v>
      </c>
      <c r="T525" s="74"/>
      <c r="U525" s="251">
        <f t="shared" si="3036"/>
        <v>0</v>
      </c>
      <c r="V525" s="74"/>
      <c r="W525" s="251">
        <f t="shared" si="3037"/>
        <v>0</v>
      </c>
      <c r="X525" s="74"/>
      <c r="Y525" s="251">
        <f t="shared" si="3038"/>
        <v>0</v>
      </c>
      <c r="Z525" s="74"/>
      <c r="AA525" s="251">
        <f t="shared" si="3039"/>
        <v>0</v>
      </c>
      <c r="AB525" s="74"/>
      <c r="AC525" s="251">
        <f t="shared" si="3040"/>
        <v>0</v>
      </c>
      <c r="AD525" s="74"/>
      <c r="AE525" s="251">
        <f t="shared" si="3041"/>
        <v>0</v>
      </c>
      <c r="AF525" s="98"/>
      <c r="AG525" s="98"/>
    </row>
    <row r="526" spans="1:33" ht="19.149999999999999" customHeight="1" outlineLevel="1">
      <c r="A526" s="351">
        <f t="shared" si="3044"/>
        <v>7</v>
      </c>
      <c r="B526" s="74"/>
      <c r="C526" s="251">
        <f t="shared" si="3042"/>
        <v>0</v>
      </c>
      <c r="D526" s="74"/>
      <c r="E526" s="251">
        <f t="shared" si="3043"/>
        <v>0</v>
      </c>
      <c r="F526" s="74"/>
      <c r="G526" s="251">
        <f t="shared" si="3029"/>
        <v>0</v>
      </c>
      <c r="H526" s="74"/>
      <c r="I526" s="251">
        <f t="shared" si="3030"/>
        <v>0</v>
      </c>
      <c r="J526" s="74"/>
      <c r="K526" s="251">
        <f t="shared" si="3031"/>
        <v>0</v>
      </c>
      <c r="L526" s="74"/>
      <c r="M526" s="251">
        <f t="shared" si="3032"/>
        <v>0</v>
      </c>
      <c r="N526" s="74"/>
      <c r="O526" s="251">
        <f t="shared" si="3033"/>
        <v>0</v>
      </c>
      <c r="P526" s="74"/>
      <c r="Q526" s="251">
        <f t="shared" si="3034"/>
        <v>0</v>
      </c>
      <c r="R526" s="74"/>
      <c r="S526" s="251">
        <f t="shared" si="3035"/>
        <v>0</v>
      </c>
      <c r="T526" s="74"/>
      <c r="U526" s="251">
        <f t="shared" si="3036"/>
        <v>0</v>
      </c>
      <c r="V526" s="74"/>
      <c r="W526" s="251">
        <f t="shared" si="3037"/>
        <v>0</v>
      </c>
      <c r="X526" s="74"/>
      <c r="Y526" s="251">
        <f t="shared" si="3038"/>
        <v>0</v>
      </c>
      <c r="Z526" s="74"/>
      <c r="AA526" s="251">
        <f t="shared" si="3039"/>
        <v>0</v>
      </c>
      <c r="AB526" s="74"/>
      <c r="AC526" s="251">
        <f t="shared" si="3040"/>
        <v>0</v>
      </c>
      <c r="AD526" s="74"/>
      <c r="AE526" s="251">
        <f t="shared" si="3041"/>
        <v>0</v>
      </c>
      <c r="AF526" s="98"/>
      <c r="AG526" s="98"/>
    </row>
    <row r="527" spans="1:33" ht="19.149999999999999" customHeight="1" outlineLevel="1">
      <c r="A527" s="351">
        <f t="shared" si="3044"/>
        <v>8</v>
      </c>
      <c r="B527" s="74"/>
      <c r="C527" s="251">
        <f t="shared" ref="C527" si="3045">(B527/100)*1000</f>
        <v>0</v>
      </c>
      <c r="D527" s="74"/>
      <c r="E527" s="251">
        <f t="shared" ref="E527" si="3046">(D527/100)*1000</f>
        <v>0</v>
      </c>
      <c r="F527" s="74"/>
      <c r="G527" s="251">
        <f t="shared" ref="G527" si="3047">(F527/100)*1000</f>
        <v>0</v>
      </c>
      <c r="H527" s="74"/>
      <c r="I527" s="251">
        <f t="shared" ref="I527" si="3048">(H527/100)*1000</f>
        <v>0</v>
      </c>
      <c r="J527" s="74"/>
      <c r="K527" s="251">
        <f t="shared" ref="K527" si="3049">(J527/100)*1000</f>
        <v>0</v>
      </c>
      <c r="L527" s="74"/>
      <c r="M527" s="251">
        <f t="shared" ref="M527" si="3050">(L527/100)*1000</f>
        <v>0</v>
      </c>
      <c r="N527" s="74"/>
      <c r="O527" s="251">
        <f t="shared" ref="O527" si="3051">(N527/100)*1000</f>
        <v>0</v>
      </c>
      <c r="P527" s="74"/>
      <c r="Q527" s="251">
        <f t="shared" ref="Q527" si="3052">(P527/100)*1000</f>
        <v>0</v>
      </c>
      <c r="R527" s="74"/>
      <c r="S527" s="251">
        <f t="shared" ref="S527" si="3053">(R527/100)*1000</f>
        <v>0</v>
      </c>
      <c r="T527" s="74"/>
      <c r="U527" s="251">
        <f t="shared" ref="U527" si="3054">(T527/100)*1000</f>
        <v>0</v>
      </c>
      <c r="V527" s="74"/>
      <c r="W527" s="251">
        <f t="shared" ref="W527" si="3055">(V527/100)*1000</f>
        <v>0</v>
      </c>
      <c r="X527" s="74"/>
      <c r="Y527" s="251">
        <f t="shared" ref="Y527" si="3056">(X527/100)*1000</f>
        <v>0</v>
      </c>
      <c r="Z527" s="74"/>
      <c r="AA527" s="251">
        <f t="shared" ref="AA527" si="3057">(Z527/100)*1000</f>
        <v>0</v>
      </c>
      <c r="AB527" s="74"/>
      <c r="AC527" s="251">
        <f t="shared" ref="AC527" si="3058">(AB527/100)*1000</f>
        <v>0</v>
      </c>
      <c r="AD527" s="74"/>
      <c r="AE527" s="251">
        <f t="shared" ref="AE527" si="3059">(AD527/100)*1000</f>
        <v>0</v>
      </c>
      <c r="AF527" s="98"/>
      <c r="AG527" s="98"/>
    </row>
    <row r="528" spans="1:33" ht="19.149999999999999" customHeight="1" outlineLevel="1" thickBot="1">
      <c r="A528" s="369" t="s">
        <v>72</v>
      </c>
      <c r="B528" s="355">
        <f t="shared" ref="B528:AE528" si="3060">SUM(B446:B527)</f>
        <v>100</v>
      </c>
      <c r="C528" s="371">
        <f t="shared" si="3060"/>
        <v>1000</v>
      </c>
      <c r="D528" s="355">
        <f t="shared" si="3060"/>
        <v>99.999999999999986</v>
      </c>
      <c r="E528" s="371">
        <f t="shared" si="3060"/>
        <v>1000</v>
      </c>
      <c r="F528" s="355">
        <f t="shared" si="3060"/>
        <v>100.00000000000001</v>
      </c>
      <c r="G528" s="371">
        <f t="shared" si="3060"/>
        <v>1000.0000000000001</v>
      </c>
      <c r="H528" s="355">
        <f t="shared" si="3060"/>
        <v>0</v>
      </c>
      <c r="I528" s="371">
        <f t="shared" si="3060"/>
        <v>0</v>
      </c>
      <c r="J528" s="355">
        <f t="shared" si="3060"/>
        <v>0</v>
      </c>
      <c r="K528" s="371">
        <f t="shared" si="3060"/>
        <v>0</v>
      </c>
      <c r="L528" s="355">
        <f t="shared" si="3060"/>
        <v>0</v>
      </c>
      <c r="M528" s="371">
        <f t="shared" si="3060"/>
        <v>0</v>
      </c>
      <c r="N528" s="355">
        <f t="shared" si="3060"/>
        <v>0</v>
      </c>
      <c r="O528" s="371">
        <f t="shared" si="3060"/>
        <v>0</v>
      </c>
      <c r="P528" s="355">
        <f t="shared" si="3060"/>
        <v>0</v>
      </c>
      <c r="Q528" s="371">
        <f t="shared" si="3060"/>
        <v>0</v>
      </c>
      <c r="R528" s="355">
        <f t="shared" si="3060"/>
        <v>0</v>
      </c>
      <c r="S528" s="371">
        <f t="shared" si="3060"/>
        <v>0</v>
      </c>
      <c r="T528" s="355">
        <f t="shared" si="3060"/>
        <v>100</v>
      </c>
      <c r="U528" s="371">
        <f t="shared" si="3060"/>
        <v>1000.0000000000001</v>
      </c>
      <c r="V528" s="355">
        <f t="shared" si="3060"/>
        <v>99.999999999999986</v>
      </c>
      <c r="W528" s="371">
        <f t="shared" si="3060"/>
        <v>1000</v>
      </c>
      <c r="X528" s="355">
        <f t="shared" si="3060"/>
        <v>0</v>
      </c>
      <c r="Y528" s="371">
        <f t="shared" si="3060"/>
        <v>0</v>
      </c>
      <c r="Z528" s="355">
        <f t="shared" si="3060"/>
        <v>0</v>
      </c>
      <c r="AA528" s="371">
        <f t="shared" si="3060"/>
        <v>0</v>
      </c>
      <c r="AB528" s="355">
        <f t="shared" si="3060"/>
        <v>0</v>
      </c>
      <c r="AC528" s="371">
        <f t="shared" si="3060"/>
        <v>0</v>
      </c>
      <c r="AD528" s="355">
        <f t="shared" si="3060"/>
        <v>0</v>
      </c>
      <c r="AE528" s="371">
        <f t="shared" si="3060"/>
        <v>0</v>
      </c>
      <c r="AF528" s="98"/>
      <c r="AG528" s="98"/>
    </row>
    <row r="529" spans="1:33" ht="15" customHeight="1" thickBot="1">
      <c r="A529" s="286"/>
      <c r="B529" s="98"/>
      <c r="C529" s="98"/>
      <c r="D529" s="98"/>
      <c r="E529" s="98"/>
      <c r="F529" s="98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8"/>
      <c r="V529" s="98"/>
      <c r="W529" s="98"/>
      <c r="X529" s="98"/>
      <c r="Y529" s="98"/>
      <c r="Z529" s="98"/>
      <c r="AA529" s="98"/>
      <c r="AB529" s="98"/>
      <c r="AC529" s="98"/>
      <c r="AD529" s="98"/>
      <c r="AE529" s="98"/>
      <c r="AF529" s="98"/>
      <c r="AG529" s="98"/>
    </row>
    <row r="530" spans="1:33" ht="15.75" customHeight="1" thickBot="1">
      <c r="A530" s="697" t="s">
        <v>114</v>
      </c>
      <c r="B530" s="657">
        <v>1</v>
      </c>
      <c r="C530" s="658"/>
      <c r="D530" s="657">
        <v>2</v>
      </c>
      <c r="E530" s="658"/>
      <c r="F530" s="657">
        <v>3</v>
      </c>
      <c r="G530" s="658"/>
      <c r="H530" s="657">
        <v>4</v>
      </c>
      <c r="I530" s="658"/>
      <c r="J530" s="657">
        <v>5</v>
      </c>
      <c r="K530" s="658"/>
      <c r="L530" s="657">
        <v>6</v>
      </c>
      <c r="M530" s="658"/>
      <c r="N530" s="657">
        <v>7</v>
      </c>
      <c r="O530" s="658"/>
      <c r="P530" s="657">
        <v>8</v>
      </c>
      <c r="Q530" s="658"/>
      <c r="R530" s="657">
        <v>9</v>
      </c>
      <c r="S530" s="658"/>
      <c r="T530" s="657">
        <v>10</v>
      </c>
      <c r="U530" s="658"/>
      <c r="V530" s="657">
        <v>11</v>
      </c>
      <c r="W530" s="658"/>
      <c r="X530" s="657">
        <v>12</v>
      </c>
      <c r="Y530" s="658"/>
      <c r="Z530" s="657">
        <v>13</v>
      </c>
      <c r="AA530" s="658"/>
      <c r="AB530" s="657">
        <v>14</v>
      </c>
      <c r="AC530" s="658"/>
      <c r="AD530" s="657">
        <v>15</v>
      </c>
      <c r="AE530" s="658"/>
      <c r="AF530" s="98"/>
      <c r="AG530" s="98"/>
    </row>
    <row r="531" spans="1:33" ht="15.75" customHeight="1" thickBot="1">
      <c r="A531" s="698"/>
      <c r="B531" s="665" t="s">
        <v>115</v>
      </c>
      <c r="C531" s="666"/>
      <c r="D531" s="665" t="s">
        <v>116</v>
      </c>
      <c r="E531" s="666"/>
      <c r="F531" s="665" t="s">
        <v>117</v>
      </c>
      <c r="G531" s="666"/>
      <c r="H531" s="665"/>
      <c r="I531" s="666"/>
      <c r="J531" s="665"/>
      <c r="K531" s="666"/>
      <c r="L531" s="665"/>
      <c r="M531" s="666"/>
      <c r="N531" s="665" t="s">
        <v>118</v>
      </c>
      <c r="O531" s="666"/>
      <c r="P531" s="665" t="s">
        <v>118</v>
      </c>
      <c r="Q531" s="666"/>
      <c r="R531" s="665"/>
      <c r="S531" s="666"/>
      <c r="T531" s="665" t="s">
        <v>119</v>
      </c>
      <c r="U531" s="666"/>
      <c r="V531" s="665" t="s">
        <v>119</v>
      </c>
      <c r="W531" s="666"/>
      <c r="X531" s="665"/>
      <c r="Y531" s="666"/>
      <c r="Z531" s="665" t="s">
        <v>120</v>
      </c>
      <c r="AA531" s="666"/>
      <c r="AB531" s="665" t="s">
        <v>120</v>
      </c>
      <c r="AC531" s="666"/>
      <c r="AD531" s="665"/>
      <c r="AE531" s="666"/>
      <c r="AF531" s="98"/>
      <c r="AG531" s="98"/>
    </row>
    <row r="532" spans="1:33" ht="25.35" customHeight="1" thickBot="1">
      <c r="A532" s="698"/>
      <c r="B532" s="700" t="s">
        <v>121</v>
      </c>
      <c r="C532" s="701"/>
      <c r="D532" s="700" t="s">
        <v>122</v>
      </c>
      <c r="E532" s="701"/>
      <c r="F532" s="700" t="s">
        <v>123</v>
      </c>
      <c r="G532" s="701"/>
      <c r="H532" s="700"/>
      <c r="I532" s="701"/>
      <c r="J532" s="700"/>
      <c r="K532" s="701"/>
      <c r="L532" s="700"/>
      <c r="M532" s="701"/>
      <c r="N532" s="700"/>
      <c r="O532" s="701"/>
      <c r="P532" s="700" t="s">
        <v>124</v>
      </c>
      <c r="Q532" s="701"/>
      <c r="R532" s="700"/>
      <c r="S532" s="701"/>
      <c r="T532" s="700"/>
      <c r="U532" s="701"/>
      <c r="V532" s="700" t="s">
        <v>125</v>
      </c>
      <c r="W532" s="701"/>
      <c r="X532" s="700"/>
      <c r="Y532" s="701"/>
      <c r="Z532" s="700" t="s">
        <v>126</v>
      </c>
      <c r="AA532" s="701"/>
      <c r="AB532" s="700" t="s">
        <v>127</v>
      </c>
      <c r="AC532" s="701"/>
      <c r="AD532" s="700"/>
      <c r="AE532" s="701"/>
      <c r="AF532" s="98"/>
      <c r="AG532" s="98"/>
    </row>
    <row r="533" spans="1:33" ht="25.35" customHeight="1" outlineLevel="1" thickBot="1">
      <c r="A533" s="699"/>
      <c r="B533" s="18" t="s">
        <v>5</v>
      </c>
      <c r="C533" s="100" t="s">
        <v>6</v>
      </c>
      <c r="D533" s="205" t="s">
        <v>5</v>
      </c>
      <c r="E533" s="100" t="s">
        <v>6</v>
      </c>
      <c r="F533" s="205" t="s">
        <v>5</v>
      </c>
      <c r="G533" s="100" t="s">
        <v>6</v>
      </c>
      <c r="H533" s="18" t="s">
        <v>5</v>
      </c>
      <c r="I533" s="100" t="s">
        <v>6</v>
      </c>
      <c r="J533" s="18" t="s">
        <v>5</v>
      </c>
      <c r="K533" s="100" t="s">
        <v>6</v>
      </c>
      <c r="L533" s="18" t="s">
        <v>5</v>
      </c>
      <c r="M533" s="100" t="s">
        <v>6</v>
      </c>
      <c r="N533" s="18" t="s">
        <v>5</v>
      </c>
      <c r="O533" s="100" t="s">
        <v>6</v>
      </c>
      <c r="P533" s="18" t="s">
        <v>5</v>
      </c>
      <c r="Q533" s="100" t="s">
        <v>6</v>
      </c>
      <c r="R533" s="18" t="s">
        <v>5</v>
      </c>
      <c r="S533" s="100" t="s">
        <v>6</v>
      </c>
      <c r="T533" s="18" t="s">
        <v>5</v>
      </c>
      <c r="U533" s="100" t="s">
        <v>6</v>
      </c>
      <c r="V533" s="18" t="s">
        <v>5</v>
      </c>
      <c r="W533" s="100" t="s">
        <v>6</v>
      </c>
      <c r="X533" s="18" t="s">
        <v>5</v>
      </c>
      <c r="Y533" s="100" t="s">
        <v>6</v>
      </c>
      <c r="Z533" s="18" t="s">
        <v>5</v>
      </c>
      <c r="AA533" s="100" t="s">
        <v>6</v>
      </c>
      <c r="AB533" s="18" t="s">
        <v>5</v>
      </c>
      <c r="AC533" s="100" t="s">
        <v>6</v>
      </c>
      <c r="AD533" s="18" t="s">
        <v>5</v>
      </c>
      <c r="AE533" s="100" t="s">
        <v>6</v>
      </c>
      <c r="AF533" s="98"/>
      <c r="AG533" s="98"/>
    </row>
    <row r="534" spans="1:33" ht="18.75" customHeight="1" outlineLevel="1">
      <c r="A534" s="358" t="str">
        <f t="shared" ref="A534:A565" si="3061">A6</f>
        <v>MAIZE/CORN</v>
      </c>
      <c r="B534" s="379">
        <f>1002.7/20</f>
        <v>50.135000000000005</v>
      </c>
      <c r="C534" s="360">
        <f>(B534/100)*1000</f>
        <v>501.35000000000008</v>
      </c>
      <c r="D534" s="379">
        <f>1004.7/20</f>
        <v>50.234999999999999</v>
      </c>
      <c r="E534" s="252">
        <f>(D534/100)*1000</f>
        <v>502.34999999999997</v>
      </c>
      <c r="F534" s="379">
        <f>1002.7/20</f>
        <v>50.135000000000005</v>
      </c>
      <c r="G534" s="252">
        <f>(F534/100)*1000</f>
        <v>501.35000000000008</v>
      </c>
      <c r="H534" s="353"/>
      <c r="I534" s="360">
        <f>(H534/100)*1000</f>
        <v>0</v>
      </c>
      <c r="J534" s="353"/>
      <c r="K534" s="360">
        <f>(J534/100)*1000</f>
        <v>0</v>
      </c>
      <c r="L534" s="353"/>
      <c r="M534" s="360">
        <f>(L534/100)*1000</f>
        <v>0</v>
      </c>
      <c r="N534" s="353">
        <f>1049.7/20</f>
        <v>52.484999999999999</v>
      </c>
      <c r="O534" s="360">
        <f>(N534/100)*1000</f>
        <v>524.85</v>
      </c>
      <c r="P534" s="353">
        <f>1022.5/20</f>
        <v>51.125</v>
      </c>
      <c r="Q534" s="360">
        <f>(P534/100)*1000</f>
        <v>511.25</v>
      </c>
      <c r="R534" s="353"/>
      <c r="S534" s="360">
        <f>(R534/100)*1000</f>
        <v>0</v>
      </c>
      <c r="T534" s="353">
        <f>1090.29/20</f>
        <v>54.514499999999998</v>
      </c>
      <c r="U534" s="360">
        <f>(T534/100)*1000</f>
        <v>545.14499999999998</v>
      </c>
      <c r="V534" s="353">
        <f>1087.9/20</f>
        <v>54.395000000000003</v>
      </c>
      <c r="W534" s="360">
        <f>(V534/100)*1000</f>
        <v>543.95000000000005</v>
      </c>
      <c r="X534" s="353"/>
      <c r="Y534" s="360">
        <f>(X534/100)*1000</f>
        <v>0</v>
      </c>
      <c r="Z534" s="353">
        <f>1228.8/20</f>
        <v>61.44</v>
      </c>
      <c r="AA534" s="360">
        <f>(Z534/100)*1000</f>
        <v>614.4</v>
      </c>
      <c r="AB534" s="353">
        <f>1213.4/20</f>
        <v>60.67</v>
      </c>
      <c r="AC534" s="360">
        <f>(AB534/100)*1000</f>
        <v>606.70000000000005</v>
      </c>
      <c r="AD534" s="353"/>
      <c r="AE534" s="360">
        <f>(AD534/100)*1000</f>
        <v>0</v>
      </c>
      <c r="AF534" s="98"/>
      <c r="AG534" s="98"/>
    </row>
    <row r="535" spans="1:33" ht="18.75" customHeight="1" outlineLevel="1">
      <c r="A535" s="358" t="str">
        <f t="shared" si="3061"/>
        <v>SOYBEAN MEAL (ARG)</v>
      </c>
      <c r="B535" s="380">
        <f>410/20</f>
        <v>20.5</v>
      </c>
      <c r="C535" s="252">
        <f t="shared" ref="C535:AE584" si="3062">(B535/100)*1000</f>
        <v>205</v>
      </c>
      <c r="D535" s="380">
        <f>410/20</f>
        <v>20.5</v>
      </c>
      <c r="E535" s="252">
        <f t="shared" si="3062"/>
        <v>205</v>
      </c>
      <c r="F535" s="380">
        <f>410/20</f>
        <v>20.5</v>
      </c>
      <c r="G535" s="252">
        <f t="shared" ref="G535" si="3063">(F535/100)*1000</f>
        <v>205</v>
      </c>
      <c r="H535" s="74"/>
      <c r="I535" s="252">
        <f t="shared" ref="I535" si="3064">(H535/100)*1000</f>
        <v>0</v>
      </c>
      <c r="J535" s="74"/>
      <c r="K535" s="252">
        <f t="shared" ref="K535" si="3065">(J535/100)*1000</f>
        <v>0</v>
      </c>
      <c r="L535" s="74"/>
      <c r="M535" s="252">
        <f t="shared" ref="M535" si="3066">(L535/100)*1000</f>
        <v>0</v>
      </c>
      <c r="N535" s="74">
        <f>672.14/20</f>
        <v>33.606999999999999</v>
      </c>
      <c r="O535" s="252">
        <f t="shared" ref="O535" si="3067">(N535/100)*1000</f>
        <v>336.07</v>
      </c>
      <c r="P535" s="74">
        <f>672.14/20</f>
        <v>33.606999999999999</v>
      </c>
      <c r="Q535" s="252">
        <f t="shared" ref="Q535" si="3068">(P535/100)*1000</f>
        <v>336.07</v>
      </c>
      <c r="R535" s="74"/>
      <c r="S535" s="252">
        <f t="shared" ref="S535" si="3069">(R535/100)*1000</f>
        <v>0</v>
      </c>
      <c r="T535" s="74">
        <f>594.97/20</f>
        <v>29.7485</v>
      </c>
      <c r="U535" s="252">
        <f t="shared" ref="U535" si="3070">(T535/100)*1000</f>
        <v>297.48500000000001</v>
      </c>
      <c r="V535" s="74">
        <f>595/20</f>
        <v>29.75</v>
      </c>
      <c r="W535" s="252">
        <f t="shared" ref="W535" si="3071">(V535/100)*1000</f>
        <v>297.5</v>
      </c>
      <c r="X535" s="74"/>
      <c r="Y535" s="252">
        <f t="shared" ref="Y535" si="3072">(X535/100)*1000</f>
        <v>0</v>
      </c>
      <c r="Z535" s="74">
        <f>447.6/20</f>
        <v>22.380000000000003</v>
      </c>
      <c r="AA535" s="252">
        <f t="shared" ref="AA535" si="3073">(Z535/100)*1000</f>
        <v>223.80000000000004</v>
      </c>
      <c r="AB535" s="74">
        <f>431.2/20</f>
        <v>21.56</v>
      </c>
      <c r="AC535" s="252">
        <f t="shared" ref="AC535" si="3074">(AB535/100)*1000</f>
        <v>215.6</v>
      </c>
      <c r="AD535" s="74"/>
      <c r="AE535" s="252">
        <f t="shared" ref="AE535" si="3075">(AD535/100)*1000</f>
        <v>0</v>
      </c>
      <c r="AF535" s="98"/>
      <c r="AG535" s="98"/>
    </row>
    <row r="536" spans="1:33" ht="18.75" customHeight="1" outlineLevel="1">
      <c r="A536" s="358" t="str">
        <f t="shared" si="3061"/>
        <v>SOYBEAN FULL FAT</v>
      </c>
      <c r="B536" s="74">
        <f>167/20</f>
        <v>8.35</v>
      </c>
      <c r="C536" s="252">
        <f t="shared" si="3062"/>
        <v>83.499999999999986</v>
      </c>
      <c r="D536" s="74">
        <f>167/20</f>
        <v>8.35</v>
      </c>
      <c r="E536" s="252">
        <f t="shared" si="3062"/>
        <v>83.499999999999986</v>
      </c>
      <c r="F536" s="74">
        <f>167/20</f>
        <v>8.35</v>
      </c>
      <c r="G536" s="252">
        <f t="shared" ref="G536" si="3076">(F536/100)*1000</f>
        <v>83.499999999999986</v>
      </c>
      <c r="H536" s="74"/>
      <c r="I536" s="252">
        <f t="shared" ref="I536" si="3077">(H536/100)*1000</f>
        <v>0</v>
      </c>
      <c r="J536" s="74"/>
      <c r="K536" s="252">
        <f t="shared" ref="K536" si="3078">(J536/100)*1000</f>
        <v>0</v>
      </c>
      <c r="L536" s="74"/>
      <c r="M536" s="252">
        <f t="shared" ref="M536" si="3079">(L536/100)*1000</f>
        <v>0</v>
      </c>
      <c r="N536" s="74">
        <f>100/20</f>
        <v>5</v>
      </c>
      <c r="O536" s="252">
        <f t="shared" ref="O536" si="3080">(N536/100)*1000</f>
        <v>50</v>
      </c>
      <c r="P536" s="74">
        <f>100/20</f>
        <v>5</v>
      </c>
      <c r="Q536" s="252">
        <f t="shared" ref="Q536" si="3081">(P536/100)*1000</f>
        <v>50</v>
      </c>
      <c r="R536" s="74"/>
      <c r="S536" s="252">
        <f t="shared" ref="S536" si="3082">(R536/100)*1000</f>
        <v>0</v>
      </c>
      <c r="T536" s="74">
        <f>120/20</f>
        <v>6</v>
      </c>
      <c r="U536" s="252">
        <f t="shared" ref="U536" si="3083">(T536/100)*1000</f>
        <v>60</v>
      </c>
      <c r="V536" s="74">
        <f>120/20</f>
        <v>6</v>
      </c>
      <c r="W536" s="252">
        <f t="shared" ref="W536" si="3084">(V536/100)*1000</f>
        <v>60</v>
      </c>
      <c r="X536" s="74"/>
      <c r="Y536" s="252">
        <f t="shared" ref="Y536" si="3085">(X536/100)*1000</f>
        <v>0</v>
      </c>
      <c r="Z536" s="74">
        <f>140/20</f>
        <v>7</v>
      </c>
      <c r="AA536" s="252">
        <f t="shared" ref="AA536" si="3086">(Z536/100)*1000</f>
        <v>70</v>
      </c>
      <c r="AB536" s="74">
        <f>140/20</f>
        <v>7</v>
      </c>
      <c r="AC536" s="252">
        <f t="shared" ref="AC536" si="3087">(AB536/100)*1000</f>
        <v>70</v>
      </c>
      <c r="AD536" s="74"/>
      <c r="AE536" s="252">
        <f t="shared" ref="AE536" si="3088">(AD536/100)*1000</f>
        <v>0</v>
      </c>
      <c r="AF536" s="98"/>
      <c r="AG536" s="98"/>
    </row>
    <row r="537" spans="1:33" ht="18.75" customHeight="1" outlineLevel="1">
      <c r="A537" s="358" t="str">
        <f t="shared" si="3061"/>
        <v>WHEAT POLLARD</v>
      </c>
      <c r="B537" s="74">
        <f>26/20</f>
        <v>1.3</v>
      </c>
      <c r="C537" s="252">
        <f t="shared" si="3062"/>
        <v>13.000000000000002</v>
      </c>
      <c r="D537" s="74">
        <f>26/20</f>
        <v>1.3</v>
      </c>
      <c r="E537" s="252">
        <f t="shared" si="3062"/>
        <v>13.000000000000002</v>
      </c>
      <c r="F537" s="74">
        <f>26/20</f>
        <v>1.3</v>
      </c>
      <c r="G537" s="252">
        <f t="shared" ref="G537" si="3089">(F537/100)*1000</f>
        <v>13.000000000000002</v>
      </c>
      <c r="H537" s="74"/>
      <c r="I537" s="252">
        <f t="shared" ref="I537" si="3090">(H537/100)*1000</f>
        <v>0</v>
      </c>
      <c r="J537" s="74"/>
      <c r="K537" s="252">
        <f t="shared" ref="K537" si="3091">(J537/100)*1000</f>
        <v>0</v>
      </c>
      <c r="L537" s="74"/>
      <c r="M537" s="252">
        <f t="shared" ref="M537" si="3092">(L537/100)*1000</f>
        <v>0</v>
      </c>
      <c r="N537" s="74"/>
      <c r="O537" s="252">
        <f t="shared" ref="O537" si="3093">(N537/100)*1000</f>
        <v>0</v>
      </c>
      <c r="P537" s="74"/>
      <c r="Q537" s="252">
        <f t="shared" ref="Q537" si="3094">(P537/100)*1000</f>
        <v>0</v>
      </c>
      <c r="R537" s="74"/>
      <c r="S537" s="252">
        <f t="shared" ref="S537" si="3095">(R537/100)*1000</f>
        <v>0</v>
      </c>
      <c r="T537" s="74"/>
      <c r="U537" s="252">
        <f t="shared" ref="U537" si="3096">(T537/100)*1000</f>
        <v>0</v>
      </c>
      <c r="V537" s="74"/>
      <c r="W537" s="252">
        <f t="shared" ref="W537" si="3097">(V537/100)*1000</f>
        <v>0</v>
      </c>
      <c r="X537" s="74"/>
      <c r="Y537" s="252">
        <f t="shared" ref="Y537" si="3098">(X537/100)*1000</f>
        <v>0</v>
      </c>
      <c r="Z537" s="74"/>
      <c r="AA537" s="252">
        <f t="shared" ref="AA537" si="3099">(Z537/100)*1000</f>
        <v>0</v>
      </c>
      <c r="AB537" s="74"/>
      <c r="AC537" s="252">
        <f t="shared" ref="AC537" si="3100">(AB537/100)*1000</f>
        <v>0</v>
      </c>
      <c r="AD537" s="74"/>
      <c r="AE537" s="252">
        <f t="shared" ref="AE537" si="3101">(AD537/100)*1000</f>
        <v>0</v>
      </c>
      <c r="AF537" s="98"/>
      <c r="AG537" s="98"/>
    </row>
    <row r="538" spans="1:33" ht="18.75" customHeight="1" outlineLevel="1">
      <c r="A538" s="358" t="str">
        <f t="shared" si="3061"/>
        <v>WHEAT</v>
      </c>
      <c r="B538" s="74"/>
      <c r="C538" s="252">
        <f t="shared" si="3062"/>
        <v>0</v>
      </c>
      <c r="D538" s="74"/>
      <c r="E538" s="252">
        <f t="shared" si="3062"/>
        <v>0</v>
      </c>
      <c r="F538" s="74"/>
      <c r="G538" s="252">
        <f t="shared" ref="G538" si="3102">(F538/100)*1000</f>
        <v>0</v>
      </c>
      <c r="H538" s="74"/>
      <c r="I538" s="252">
        <f t="shared" ref="I538" si="3103">(H538/100)*1000</f>
        <v>0</v>
      </c>
      <c r="J538" s="74"/>
      <c r="K538" s="252">
        <f t="shared" ref="K538" si="3104">(J538/100)*1000</f>
        <v>0</v>
      </c>
      <c r="L538" s="74"/>
      <c r="M538" s="252">
        <f t="shared" ref="M538" si="3105">(L538/100)*1000</f>
        <v>0</v>
      </c>
      <c r="N538" s="74"/>
      <c r="O538" s="252">
        <f t="shared" ref="O538" si="3106">(N538/100)*1000</f>
        <v>0</v>
      </c>
      <c r="P538" s="74"/>
      <c r="Q538" s="252">
        <f t="shared" ref="Q538" si="3107">(P538/100)*1000</f>
        <v>0</v>
      </c>
      <c r="R538" s="74"/>
      <c r="S538" s="252">
        <f t="shared" ref="S538" si="3108">(R538/100)*1000</f>
        <v>0</v>
      </c>
      <c r="T538" s="74"/>
      <c r="U538" s="252">
        <f t="shared" ref="U538" si="3109">(T538/100)*1000</f>
        <v>0</v>
      </c>
      <c r="V538" s="74"/>
      <c r="W538" s="252">
        <f t="shared" ref="W538" si="3110">(V538/100)*1000</f>
        <v>0</v>
      </c>
      <c r="X538" s="74"/>
      <c r="Y538" s="252">
        <f t="shared" ref="Y538" si="3111">(X538/100)*1000</f>
        <v>0</v>
      </c>
      <c r="Z538" s="74"/>
      <c r="AA538" s="252">
        <f t="shared" ref="AA538" si="3112">(Z538/100)*1000</f>
        <v>0</v>
      </c>
      <c r="AB538" s="74"/>
      <c r="AC538" s="252">
        <f t="shared" ref="AC538" si="3113">(AB538/100)*1000</f>
        <v>0</v>
      </c>
      <c r="AD538" s="74"/>
      <c r="AE538" s="252">
        <f t="shared" ref="AE538" si="3114">(AD538/100)*1000</f>
        <v>0</v>
      </c>
      <c r="AF538" s="98"/>
      <c r="AG538" s="98"/>
    </row>
    <row r="539" spans="1:33" ht="18.75" customHeight="1" outlineLevel="1">
      <c r="A539" s="358" t="str">
        <f t="shared" si="3061"/>
        <v>MEAT AND BONE MEAL</v>
      </c>
      <c r="B539" s="74"/>
      <c r="C539" s="252">
        <f t="shared" si="3062"/>
        <v>0</v>
      </c>
      <c r="D539" s="74"/>
      <c r="E539" s="252">
        <f t="shared" si="3062"/>
        <v>0</v>
      </c>
      <c r="F539" s="74"/>
      <c r="G539" s="252">
        <f t="shared" ref="G539" si="3115">(F539/100)*1000</f>
        <v>0</v>
      </c>
      <c r="H539" s="74"/>
      <c r="I539" s="252">
        <f t="shared" ref="I539" si="3116">(H539/100)*1000</f>
        <v>0</v>
      </c>
      <c r="J539" s="74"/>
      <c r="K539" s="252">
        <f t="shared" ref="K539" si="3117">(J539/100)*1000</f>
        <v>0</v>
      </c>
      <c r="L539" s="74"/>
      <c r="M539" s="252">
        <f t="shared" ref="M539" si="3118">(L539/100)*1000</f>
        <v>0</v>
      </c>
      <c r="N539" s="74"/>
      <c r="O539" s="252">
        <f t="shared" ref="O539" si="3119">(N539/100)*1000</f>
        <v>0</v>
      </c>
      <c r="P539" s="74"/>
      <c r="Q539" s="252">
        <f t="shared" ref="Q539" si="3120">(P539/100)*1000</f>
        <v>0</v>
      </c>
      <c r="R539" s="74"/>
      <c r="S539" s="252">
        <f t="shared" ref="S539" si="3121">(R539/100)*1000</f>
        <v>0</v>
      </c>
      <c r="T539" s="74"/>
      <c r="U539" s="252">
        <f t="shared" ref="U539" si="3122">(T539/100)*1000</f>
        <v>0</v>
      </c>
      <c r="V539" s="74"/>
      <c r="W539" s="252">
        <f t="shared" ref="W539" si="3123">(V539/100)*1000</f>
        <v>0</v>
      </c>
      <c r="X539" s="74"/>
      <c r="Y539" s="252">
        <f t="shared" ref="Y539" si="3124">(X539/100)*1000</f>
        <v>0</v>
      </c>
      <c r="Z539" s="74"/>
      <c r="AA539" s="252">
        <f t="shared" ref="AA539" si="3125">(Z539/100)*1000</f>
        <v>0</v>
      </c>
      <c r="AB539" s="74"/>
      <c r="AC539" s="252">
        <f t="shared" ref="AC539" si="3126">(AB539/100)*1000</f>
        <v>0</v>
      </c>
      <c r="AD539" s="74"/>
      <c r="AE539" s="252">
        <f t="shared" ref="AE539" si="3127">(AD539/100)*1000</f>
        <v>0</v>
      </c>
      <c r="AF539" s="98"/>
      <c r="AG539" s="98"/>
    </row>
    <row r="540" spans="1:33" ht="18.75" customHeight="1" outlineLevel="1">
      <c r="A540" s="358" t="str">
        <f t="shared" si="3061"/>
        <v>CORN GLUTEN MEAL</v>
      </c>
      <c r="B540" s="74">
        <f>84/20</f>
        <v>4.2</v>
      </c>
      <c r="C540" s="252">
        <f t="shared" si="3062"/>
        <v>42</v>
      </c>
      <c r="D540" s="74">
        <f>84/20</f>
        <v>4.2</v>
      </c>
      <c r="E540" s="252">
        <f t="shared" si="3062"/>
        <v>42</v>
      </c>
      <c r="F540" s="74">
        <f>84/20</f>
        <v>4.2</v>
      </c>
      <c r="G540" s="252">
        <f t="shared" ref="G540" si="3128">(F540/100)*1000</f>
        <v>42</v>
      </c>
      <c r="H540" s="74"/>
      <c r="I540" s="252">
        <f t="shared" ref="I540" si="3129">(H540/100)*1000</f>
        <v>0</v>
      </c>
      <c r="J540" s="74"/>
      <c r="K540" s="252">
        <f t="shared" ref="K540" si="3130">(J540/100)*1000</f>
        <v>0</v>
      </c>
      <c r="L540" s="74"/>
      <c r="M540" s="252">
        <f t="shared" ref="M540" si="3131">(L540/100)*1000</f>
        <v>0</v>
      </c>
      <c r="N540" s="74"/>
      <c r="O540" s="252">
        <f t="shared" ref="O540" si="3132">(N540/100)*1000</f>
        <v>0</v>
      </c>
      <c r="P540" s="74"/>
      <c r="Q540" s="252">
        <f t="shared" ref="Q540" si="3133">(P540/100)*1000</f>
        <v>0</v>
      </c>
      <c r="R540" s="74"/>
      <c r="S540" s="252">
        <f t="shared" ref="S540" si="3134">(R540/100)*1000</f>
        <v>0</v>
      </c>
      <c r="T540" s="74"/>
      <c r="U540" s="252">
        <f t="shared" ref="U540" si="3135">(T540/100)*1000</f>
        <v>0</v>
      </c>
      <c r="V540" s="74"/>
      <c r="W540" s="252">
        <f t="shared" ref="W540" si="3136">(V540/100)*1000</f>
        <v>0</v>
      </c>
      <c r="X540" s="74"/>
      <c r="Y540" s="252">
        <f t="shared" ref="Y540" si="3137">(X540/100)*1000</f>
        <v>0</v>
      </c>
      <c r="Z540" s="74">
        <f>20/20</f>
        <v>1</v>
      </c>
      <c r="AA540" s="252">
        <f t="shared" ref="AA540" si="3138">(Z540/100)*1000</f>
        <v>10</v>
      </c>
      <c r="AB540" s="74">
        <f>20/20</f>
        <v>1</v>
      </c>
      <c r="AC540" s="252">
        <f t="shared" ref="AC540" si="3139">(AB540/100)*1000</f>
        <v>10</v>
      </c>
      <c r="AD540" s="74"/>
      <c r="AE540" s="252">
        <f t="shared" ref="AE540" si="3140">(AD540/100)*1000</f>
        <v>0</v>
      </c>
      <c r="AF540" s="98"/>
      <c r="AG540" s="98"/>
    </row>
    <row r="541" spans="1:33" ht="18.75" customHeight="1" outlineLevel="1">
      <c r="A541" s="358" t="str">
        <f t="shared" si="3061"/>
        <v>MEGAFAT (HARUMI)</v>
      </c>
      <c r="B541" s="74">
        <f>40/20</f>
        <v>2</v>
      </c>
      <c r="C541" s="252">
        <f t="shared" si="3062"/>
        <v>20</v>
      </c>
      <c r="D541" s="74">
        <f>40/20</f>
        <v>2</v>
      </c>
      <c r="E541" s="252">
        <f t="shared" si="3062"/>
        <v>20</v>
      </c>
      <c r="F541" s="74">
        <f>40/20</f>
        <v>2</v>
      </c>
      <c r="G541" s="252">
        <f t="shared" ref="G541" si="3141">(F541/100)*1000</f>
        <v>20</v>
      </c>
      <c r="H541" s="74"/>
      <c r="I541" s="252">
        <f t="shared" ref="I541" si="3142">(H541/100)*1000</f>
        <v>0</v>
      </c>
      <c r="J541" s="74"/>
      <c r="K541" s="252">
        <f t="shared" ref="K541" si="3143">(J541/100)*1000</f>
        <v>0</v>
      </c>
      <c r="L541" s="74"/>
      <c r="M541" s="252">
        <f t="shared" ref="M541" si="3144">(L541/100)*1000</f>
        <v>0</v>
      </c>
      <c r="N541" s="74"/>
      <c r="O541" s="252">
        <f t="shared" ref="O541" si="3145">(N541/100)*1000</f>
        <v>0</v>
      </c>
      <c r="P541" s="74"/>
      <c r="Q541" s="252">
        <f t="shared" ref="Q541" si="3146">(P541/100)*1000</f>
        <v>0</v>
      </c>
      <c r="R541" s="74"/>
      <c r="S541" s="252">
        <f t="shared" ref="S541" si="3147">(R541/100)*1000</f>
        <v>0</v>
      </c>
      <c r="T541" s="74">
        <f>10/20</f>
        <v>0.5</v>
      </c>
      <c r="U541" s="252">
        <f t="shared" ref="U541" si="3148">(T541/100)*1000</f>
        <v>5</v>
      </c>
      <c r="V541" s="74">
        <f>10/20</f>
        <v>0.5</v>
      </c>
      <c r="W541" s="252">
        <f t="shared" ref="W541" si="3149">(V541/100)*1000</f>
        <v>5</v>
      </c>
      <c r="X541" s="74"/>
      <c r="Y541" s="252">
        <f t="shared" ref="Y541" si="3150">(X541/100)*1000</f>
        <v>0</v>
      </c>
      <c r="Z541" s="74">
        <f>10/20</f>
        <v>0.5</v>
      </c>
      <c r="AA541" s="252">
        <f t="shared" ref="AA541" si="3151">(Z541/100)*1000</f>
        <v>5</v>
      </c>
      <c r="AB541" s="74">
        <f>10/20</f>
        <v>0.5</v>
      </c>
      <c r="AC541" s="252">
        <f t="shared" ref="AC541" si="3152">(AB541/100)*1000</f>
        <v>5</v>
      </c>
      <c r="AD541" s="74"/>
      <c r="AE541" s="252">
        <f t="shared" ref="AE541" si="3153">(AD541/100)*1000</f>
        <v>0</v>
      </c>
      <c r="AF541" s="98"/>
      <c r="AG541" s="98"/>
    </row>
    <row r="542" spans="1:33" ht="18.75" customHeight="1" outlineLevel="1">
      <c r="A542" s="358" t="str">
        <f t="shared" si="3061"/>
        <v>DCP 18%</v>
      </c>
      <c r="B542" s="74">
        <f>13.3/20</f>
        <v>0.66500000000000004</v>
      </c>
      <c r="C542" s="252">
        <f t="shared" si="3062"/>
        <v>6.65</v>
      </c>
      <c r="D542" s="74">
        <f>13.3/20</f>
        <v>0.66500000000000004</v>
      </c>
      <c r="E542" s="252">
        <f t="shared" si="3062"/>
        <v>6.65</v>
      </c>
      <c r="F542" s="74">
        <f>13.3/20</f>
        <v>0.66500000000000004</v>
      </c>
      <c r="G542" s="252">
        <f t="shared" ref="G542" si="3154">(F542/100)*1000</f>
        <v>6.65</v>
      </c>
      <c r="H542" s="74"/>
      <c r="I542" s="252">
        <f t="shared" ref="I542" si="3155">(H542/100)*1000</f>
        <v>0</v>
      </c>
      <c r="J542" s="74"/>
      <c r="K542" s="252">
        <f t="shared" ref="K542" si="3156">(J542/100)*1000</f>
        <v>0</v>
      </c>
      <c r="L542" s="74"/>
      <c r="M542" s="252">
        <f t="shared" ref="M542" si="3157">(L542/100)*1000</f>
        <v>0</v>
      </c>
      <c r="N542" s="74">
        <f>23.55/20</f>
        <v>1.1775</v>
      </c>
      <c r="O542" s="252">
        <f t="shared" ref="O542" si="3158">(N542/100)*1000</f>
        <v>11.775</v>
      </c>
      <c r="P542" s="74">
        <f>23.55/20</f>
        <v>1.1775</v>
      </c>
      <c r="Q542" s="252">
        <f t="shared" ref="Q542" si="3159">(P542/100)*1000</f>
        <v>11.775</v>
      </c>
      <c r="R542" s="74"/>
      <c r="S542" s="252">
        <f t="shared" ref="S542" si="3160">(R542/100)*1000</f>
        <v>0</v>
      </c>
      <c r="T542" s="74">
        <f>14.71/20</f>
        <v>0.73550000000000004</v>
      </c>
      <c r="U542" s="252">
        <f t="shared" ref="U542" si="3161">(T542/100)*1000</f>
        <v>7.3550000000000004</v>
      </c>
      <c r="V542" s="74">
        <f>14.71/20</f>
        <v>0.73550000000000004</v>
      </c>
      <c r="W542" s="252">
        <f t="shared" ref="W542" si="3162">(V542/100)*1000</f>
        <v>7.3550000000000004</v>
      </c>
      <c r="X542" s="74"/>
      <c r="Y542" s="252">
        <f t="shared" ref="Y542" si="3163">(X542/100)*1000</f>
        <v>0</v>
      </c>
      <c r="Z542" s="74">
        <f>8.61/20</f>
        <v>0.43049999999999999</v>
      </c>
      <c r="AA542" s="252">
        <f t="shared" ref="AA542" si="3164">(Z542/100)*1000</f>
        <v>4.3049999999999997</v>
      </c>
      <c r="AB542" s="74">
        <f>8.61/20</f>
        <v>0.43049999999999999</v>
      </c>
      <c r="AC542" s="252">
        <f t="shared" ref="AC542" si="3165">(AB542/100)*1000</f>
        <v>4.3049999999999997</v>
      </c>
      <c r="AD542" s="74"/>
      <c r="AE542" s="252">
        <f t="shared" ref="AE542" si="3166">(AD542/100)*1000</f>
        <v>0</v>
      </c>
      <c r="AF542" s="98"/>
      <c r="AG542" s="98"/>
    </row>
    <row r="543" spans="1:33" ht="18.75" customHeight="1" outlineLevel="1">
      <c r="A543" s="358" t="str">
        <f t="shared" si="3061"/>
        <v>LIMESTONE POWDER (HARUMI)</v>
      </c>
      <c r="B543" s="74">
        <f>20/20</f>
        <v>1</v>
      </c>
      <c r="C543" s="252">
        <f t="shared" si="3062"/>
        <v>10</v>
      </c>
      <c r="D543" s="74">
        <f>20/20</f>
        <v>1</v>
      </c>
      <c r="E543" s="252">
        <f t="shared" si="3062"/>
        <v>10</v>
      </c>
      <c r="F543" s="74">
        <f>20/20</f>
        <v>1</v>
      </c>
      <c r="G543" s="252">
        <f t="shared" ref="G543" si="3167">(F543/100)*1000</f>
        <v>10</v>
      </c>
      <c r="H543" s="74"/>
      <c r="I543" s="252">
        <f t="shared" ref="I543" si="3168">(H543/100)*1000</f>
        <v>0</v>
      </c>
      <c r="J543" s="74"/>
      <c r="K543" s="252">
        <f t="shared" ref="K543" si="3169">(J543/100)*1000</f>
        <v>0</v>
      </c>
      <c r="L543" s="74"/>
      <c r="M543" s="252">
        <f t="shared" ref="M543" si="3170">(L543/100)*1000</f>
        <v>0</v>
      </c>
      <c r="N543" s="74"/>
      <c r="O543" s="252">
        <f t="shared" ref="O543" si="3171">(N543/100)*1000</f>
        <v>0</v>
      </c>
      <c r="P543" s="74"/>
      <c r="Q543" s="252">
        <f t="shared" ref="Q543" si="3172">(P543/100)*1000</f>
        <v>0</v>
      </c>
      <c r="R543" s="74"/>
      <c r="S543" s="252">
        <f t="shared" ref="S543" si="3173">(R543/100)*1000</f>
        <v>0</v>
      </c>
      <c r="T543" s="74"/>
      <c r="U543" s="252">
        <f t="shared" ref="U543" si="3174">(T543/100)*1000</f>
        <v>0</v>
      </c>
      <c r="V543" s="74"/>
      <c r="W543" s="252">
        <f t="shared" ref="W543" si="3175">(V543/100)*1000</f>
        <v>0</v>
      </c>
      <c r="X543" s="74"/>
      <c r="Y543" s="252">
        <f t="shared" ref="Y543" si="3176">(X543/100)*1000</f>
        <v>0</v>
      </c>
      <c r="Z543" s="74"/>
      <c r="AA543" s="252">
        <f t="shared" ref="AA543" si="3177">(Z543/100)*1000</f>
        <v>0</v>
      </c>
      <c r="AB543" s="74"/>
      <c r="AC543" s="252">
        <f t="shared" ref="AC543" si="3178">(AB543/100)*1000</f>
        <v>0</v>
      </c>
      <c r="AD543" s="74"/>
      <c r="AE543" s="252">
        <f t="shared" ref="AE543" si="3179">(AD543/100)*1000</f>
        <v>0</v>
      </c>
      <c r="AF543" s="98"/>
      <c r="AG543" s="98"/>
    </row>
    <row r="544" spans="1:33" ht="18.75" customHeight="1" outlineLevel="1">
      <c r="A544" s="358" t="str">
        <f t="shared" si="3061"/>
        <v>CHOLINE CHLORIDE 60%</v>
      </c>
      <c r="B544" s="74"/>
      <c r="C544" s="252">
        <f t="shared" si="3062"/>
        <v>0</v>
      </c>
      <c r="D544" s="74"/>
      <c r="E544" s="252">
        <f t="shared" si="3062"/>
        <v>0</v>
      </c>
      <c r="F544" s="74"/>
      <c r="G544" s="252">
        <f t="shared" ref="G544" si="3180">(F544/100)*1000</f>
        <v>0</v>
      </c>
      <c r="H544" s="74"/>
      <c r="I544" s="252">
        <f t="shared" ref="I544" si="3181">(H544/100)*1000</f>
        <v>0</v>
      </c>
      <c r="J544" s="74"/>
      <c r="K544" s="252">
        <f t="shared" ref="K544" si="3182">(J544/100)*1000</f>
        <v>0</v>
      </c>
      <c r="L544" s="74"/>
      <c r="M544" s="252">
        <f t="shared" ref="M544" si="3183">(L544/100)*1000</f>
        <v>0</v>
      </c>
      <c r="N544" s="74"/>
      <c r="O544" s="252">
        <f t="shared" ref="O544" si="3184">(N544/100)*1000</f>
        <v>0</v>
      </c>
      <c r="P544" s="74"/>
      <c r="Q544" s="252">
        <f t="shared" ref="Q544" si="3185">(P544/100)*1000</f>
        <v>0</v>
      </c>
      <c r="R544" s="74"/>
      <c r="S544" s="252">
        <f t="shared" ref="S544" si="3186">(R544/100)*1000</f>
        <v>0</v>
      </c>
      <c r="T544" s="74"/>
      <c r="U544" s="252">
        <f t="shared" ref="U544" si="3187">(T544/100)*1000</f>
        <v>0</v>
      </c>
      <c r="V544" s="74"/>
      <c r="W544" s="252">
        <f t="shared" ref="W544" si="3188">(V544/100)*1000</f>
        <v>0</v>
      </c>
      <c r="X544" s="74"/>
      <c r="Y544" s="252">
        <f t="shared" ref="Y544" si="3189">(X544/100)*1000</f>
        <v>0</v>
      </c>
      <c r="Z544" s="74"/>
      <c r="AA544" s="252">
        <f t="shared" ref="AA544" si="3190">(Z544/100)*1000</f>
        <v>0</v>
      </c>
      <c r="AB544" s="74"/>
      <c r="AC544" s="252">
        <f t="shared" ref="AC544" si="3191">(AB544/100)*1000</f>
        <v>0</v>
      </c>
      <c r="AD544" s="74"/>
      <c r="AE544" s="252">
        <f t="shared" ref="AE544" si="3192">(AD544/100)*1000</f>
        <v>0</v>
      </c>
      <c r="AF544" s="98"/>
      <c r="AG544" s="98"/>
    </row>
    <row r="545" spans="1:33" ht="18.75" customHeight="1" outlineLevel="1">
      <c r="A545" s="358" t="str">
        <f t="shared" si="3061"/>
        <v>INDUSTRY FLOUR</v>
      </c>
      <c r="B545" s="74">
        <f>100/20</f>
        <v>5</v>
      </c>
      <c r="C545" s="252">
        <f t="shared" si="3062"/>
        <v>50</v>
      </c>
      <c r="D545" s="74">
        <f>100/20</f>
        <v>5</v>
      </c>
      <c r="E545" s="252">
        <f t="shared" si="3062"/>
        <v>50</v>
      </c>
      <c r="F545" s="74">
        <f>100/20</f>
        <v>5</v>
      </c>
      <c r="G545" s="252">
        <f t="shared" ref="G545" si="3193">(F545/100)*1000</f>
        <v>50</v>
      </c>
      <c r="H545" s="74"/>
      <c r="I545" s="252">
        <f t="shared" ref="I545" si="3194">(H545/100)*1000</f>
        <v>0</v>
      </c>
      <c r="J545" s="74"/>
      <c r="K545" s="252">
        <f t="shared" ref="K545" si="3195">(J545/100)*1000</f>
        <v>0</v>
      </c>
      <c r="L545" s="74"/>
      <c r="M545" s="252">
        <f t="shared" ref="M545" si="3196">(L545/100)*1000</f>
        <v>0</v>
      </c>
      <c r="N545" s="74">
        <f>40/20</f>
        <v>2</v>
      </c>
      <c r="O545" s="252">
        <f t="shared" ref="O545" si="3197">(N545/100)*1000</f>
        <v>20</v>
      </c>
      <c r="P545" s="74">
        <f>40/20</f>
        <v>2</v>
      </c>
      <c r="Q545" s="252">
        <f t="shared" ref="Q545" si="3198">(P545/100)*1000</f>
        <v>20</v>
      </c>
      <c r="R545" s="74"/>
      <c r="S545" s="252">
        <f t="shared" ref="S545" si="3199">(R545/100)*1000</f>
        <v>0</v>
      </c>
      <c r="T545" s="74">
        <f>40/20</f>
        <v>2</v>
      </c>
      <c r="U545" s="252">
        <f t="shared" ref="U545" si="3200">(T545/100)*1000</f>
        <v>20</v>
      </c>
      <c r="V545" s="74">
        <f>40/20</f>
        <v>2</v>
      </c>
      <c r="W545" s="252">
        <f t="shared" ref="W545" si="3201">(V545/100)*1000</f>
        <v>20</v>
      </c>
      <c r="X545" s="74"/>
      <c r="Y545" s="252">
        <f t="shared" ref="Y545" si="3202">(X545/100)*1000</f>
        <v>0</v>
      </c>
      <c r="Z545" s="74">
        <f>40/20</f>
        <v>2</v>
      </c>
      <c r="AA545" s="252">
        <f t="shared" ref="AA545" si="3203">(Z545/100)*1000</f>
        <v>20</v>
      </c>
      <c r="AB545" s="74">
        <f>40/20</f>
        <v>2</v>
      </c>
      <c r="AC545" s="252">
        <f t="shared" ref="AC545" si="3204">(AB545/100)*1000</f>
        <v>20</v>
      </c>
      <c r="AD545" s="74"/>
      <c r="AE545" s="252">
        <f t="shared" ref="AE545" si="3205">(AD545/100)*1000</f>
        <v>0</v>
      </c>
      <c r="AF545" s="98"/>
      <c r="AG545" s="98"/>
    </row>
    <row r="546" spans="1:33" ht="18.75" customHeight="1" outlineLevel="1">
      <c r="A546" s="358" t="str">
        <f t="shared" si="3061"/>
        <v>RICE BRAN</v>
      </c>
      <c r="B546" s="74">
        <f>80/20</f>
        <v>4</v>
      </c>
      <c r="C546" s="252">
        <f t="shared" si="3062"/>
        <v>40</v>
      </c>
      <c r="D546" s="74">
        <f>80/20</f>
        <v>4</v>
      </c>
      <c r="E546" s="252">
        <f t="shared" si="3062"/>
        <v>40</v>
      </c>
      <c r="F546" s="74">
        <f>80/20</f>
        <v>4</v>
      </c>
      <c r="G546" s="252">
        <f t="shared" ref="G546" si="3206">(F546/100)*1000</f>
        <v>40</v>
      </c>
      <c r="H546" s="74"/>
      <c r="I546" s="252">
        <f t="shared" ref="I546" si="3207">(H546/100)*1000</f>
        <v>0</v>
      </c>
      <c r="J546" s="74"/>
      <c r="K546" s="252">
        <f t="shared" ref="K546" si="3208">(J546/100)*1000</f>
        <v>0</v>
      </c>
      <c r="L546" s="74"/>
      <c r="M546" s="252">
        <f t="shared" ref="M546" si="3209">(L546/100)*1000</f>
        <v>0</v>
      </c>
      <c r="N546" s="74"/>
      <c r="O546" s="252">
        <f t="shared" ref="O546" si="3210">(N546/100)*1000</f>
        <v>0</v>
      </c>
      <c r="P546" s="74"/>
      <c r="Q546" s="252">
        <f t="shared" ref="Q546" si="3211">(P546/100)*1000</f>
        <v>0</v>
      </c>
      <c r="R546" s="74"/>
      <c r="S546" s="252">
        <f t="shared" ref="S546" si="3212">(R546/100)*1000</f>
        <v>0</v>
      </c>
      <c r="T546" s="74"/>
      <c r="U546" s="252">
        <f t="shared" ref="U546" si="3213">(T546/100)*1000</f>
        <v>0</v>
      </c>
      <c r="V546" s="74"/>
      <c r="W546" s="252">
        <f t="shared" ref="W546" si="3214">(V546/100)*1000</f>
        <v>0</v>
      </c>
      <c r="X546" s="74"/>
      <c r="Y546" s="252">
        <f t="shared" ref="Y546" si="3215">(X546/100)*1000</f>
        <v>0</v>
      </c>
      <c r="Z546" s="74"/>
      <c r="AA546" s="252">
        <f t="shared" ref="AA546" si="3216">(Z546/100)*1000</f>
        <v>0</v>
      </c>
      <c r="AB546" s="74"/>
      <c r="AC546" s="252">
        <f t="shared" ref="AC546" si="3217">(AB546/100)*1000</f>
        <v>0</v>
      </c>
      <c r="AD546" s="74"/>
      <c r="AE546" s="252">
        <f t="shared" ref="AE546" si="3218">(AD546/100)*1000</f>
        <v>0</v>
      </c>
      <c r="AF546" s="98"/>
      <c r="AG546" s="98"/>
    </row>
    <row r="547" spans="1:33" ht="18.75" customHeight="1" outlineLevel="1">
      <c r="A547" s="358" t="str">
        <f t="shared" si="3061"/>
        <v>EP 200</v>
      </c>
      <c r="B547" s="74"/>
      <c r="C547" s="252">
        <f t="shared" si="3062"/>
        <v>0</v>
      </c>
      <c r="D547" s="74"/>
      <c r="E547" s="252">
        <f t="shared" si="3062"/>
        <v>0</v>
      </c>
      <c r="F547" s="74"/>
      <c r="G547" s="252">
        <f t="shared" ref="G547" si="3219">(F547/100)*1000</f>
        <v>0</v>
      </c>
      <c r="H547" s="74"/>
      <c r="I547" s="252">
        <f t="shared" ref="I547" si="3220">(H547/100)*1000</f>
        <v>0</v>
      </c>
      <c r="J547" s="74"/>
      <c r="K547" s="252">
        <f t="shared" ref="K547" si="3221">(J547/100)*1000</f>
        <v>0</v>
      </c>
      <c r="L547" s="74"/>
      <c r="M547" s="252">
        <f t="shared" ref="M547" si="3222">(L547/100)*1000</f>
        <v>0</v>
      </c>
      <c r="N547" s="74"/>
      <c r="O547" s="252">
        <f t="shared" ref="O547" si="3223">(N547/100)*1000</f>
        <v>0</v>
      </c>
      <c r="P547" s="74"/>
      <c r="Q547" s="252">
        <f t="shared" ref="Q547" si="3224">(P547/100)*1000</f>
        <v>0</v>
      </c>
      <c r="R547" s="74"/>
      <c r="S547" s="252">
        <f t="shared" ref="S547" si="3225">(R547/100)*1000</f>
        <v>0</v>
      </c>
      <c r="T547" s="74"/>
      <c r="U547" s="252">
        <f t="shared" ref="U547" si="3226">(T547/100)*1000</f>
        <v>0</v>
      </c>
      <c r="V547" s="74"/>
      <c r="W547" s="252">
        <f t="shared" ref="W547" si="3227">(V547/100)*1000</f>
        <v>0</v>
      </c>
      <c r="X547" s="74"/>
      <c r="Y547" s="252">
        <f t="shared" ref="Y547" si="3228">(X547/100)*1000</f>
        <v>0</v>
      </c>
      <c r="Z547" s="74"/>
      <c r="AA547" s="252">
        <f t="shared" ref="AA547" si="3229">(Z547/100)*1000</f>
        <v>0</v>
      </c>
      <c r="AB547" s="74"/>
      <c r="AC547" s="252">
        <f t="shared" ref="AC547" si="3230">(AB547/100)*1000</f>
        <v>0</v>
      </c>
      <c r="AD547" s="74"/>
      <c r="AE547" s="252">
        <f t="shared" ref="AE547" si="3231">(AD547/100)*1000</f>
        <v>0</v>
      </c>
      <c r="AF547" s="98"/>
      <c r="AG547" s="98"/>
    </row>
    <row r="548" spans="1:33" ht="18.75" customHeight="1" outlineLevel="1">
      <c r="A548" s="358" t="str">
        <f t="shared" si="3061"/>
        <v>SOYTIDE</v>
      </c>
      <c r="B548" s="74"/>
      <c r="C548" s="252">
        <f t="shared" si="3062"/>
        <v>0</v>
      </c>
      <c r="D548" s="74"/>
      <c r="E548" s="252">
        <f t="shared" si="3062"/>
        <v>0</v>
      </c>
      <c r="F548" s="74"/>
      <c r="G548" s="252">
        <f t="shared" ref="G548" si="3232">(F548/100)*1000</f>
        <v>0</v>
      </c>
      <c r="H548" s="74"/>
      <c r="I548" s="252">
        <f t="shared" ref="I548" si="3233">(H548/100)*1000</f>
        <v>0</v>
      </c>
      <c r="J548" s="74"/>
      <c r="K548" s="252">
        <f t="shared" ref="K548" si="3234">(J548/100)*1000</f>
        <v>0</v>
      </c>
      <c r="L548" s="74"/>
      <c r="M548" s="252">
        <f t="shared" ref="M548" si="3235">(L548/100)*1000</f>
        <v>0</v>
      </c>
      <c r="N548" s="74"/>
      <c r="O548" s="252">
        <f t="shared" ref="O548" si="3236">(N548/100)*1000</f>
        <v>0</v>
      </c>
      <c r="P548" s="74"/>
      <c r="Q548" s="252">
        <f t="shared" ref="Q548" si="3237">(P548/100)*1000</f>
        <v>0</v>
      </c>
      <c r="R548" s="74"/>
      <c r="S548" s="252">
        <f t="shared" ref="S548" si="3238">(R548/100)*1000</f>
        <v>0</v>
      </c>
      <c r="T548" s="74"/>
      <c r="U548" s="252">
        <f t="shared" ref="U548" si="3239">(T548/100)*1000</f>
        <v>0</v>
      </c>
      <c r="V548" s="74"/>
      <c r="W548" s="252">
        <f t="shared" ref="W548" si="3240">(V548/100)*1000</f>
        <v>0</v>
      </c>
      <c r="X548" s="74"/>
      <c r="Y548" s="252">
        <f t="shared" ref="Y548" si="3241">(X548/100)*1000</f>
        <v>0</v>
      </c>
      <c r="Z548" s="74"/>
      <c r="AA548" s="252">
        <f t="shared" ref="AA548" si="3242">(Z548/100)*1000</f>
        <v>0</v>
      </c>
      <c r="AB548" s="74"/>
      <c r="AC548" s="252">
        <f t="shared" ref="AC548" si="3243">(AB548/100)*1000</f>
        <v>0</v>
      </c>
      <c r="AD548" s="74"/>
      <c r="AE548" s="252">
        <f t="shared" ref="AE548" si="3244">(AD548/100)*1000</f>
        <v>0</v>
      </c>
      <c r="AF548" s="98"/>
      <c r="AG548" s="98"/>
    </row>
    <row r="549" spans="1:33" ht="18.75" customHeight="1" outlineLevel="1">
      <c r="A549" s="358" t="str">
        <f t="shared" si="3061"/>
        <v>DCP 18% (HARUMI)</v>
      </c>
      <c r="B549" s="74"/>
      <c r="C549" s="252">
        <f t="shared" si="3062"/>
        <v>0</v>
      </c>
      <c r="D549" s="74"/>
      <c r="E549" s="252">
        <f t="shared" si="3062"/>
        <v>0</v>
      </c>
      <c r="F549" s="74"/>
      <c r="G549" s="252">
        <f t="shared" ref="G549" si="3245">(F549/100)*1000</f>
        <v>0</v>
      </c>
      <c r="H549" s="74"/>
      <c r="I549" s="252">
        <f t="shared" ref="I549" si="3246">(H549/100)*1000</f>
        <v>0</v>
      </c>
      <c r="J549" s="74"/>
      <c r="K549" s="252">
        <f t="shared" ref="K549" si="3247">(J549/100)*1000</f>
        <v>0</v>
      </c>
      <c r="L549" s="74"/>
      <c r="M549" s="252">
        <f t="shared" ref="M549" si="3248">(L549/100)*1000</f>
        <v>0</v>
      </c>
      <c r="N549" s="74"/>
      <c r="O549" s="252">
        <f t="shared" ref="O549" si="3249">(N549/100)*1000</f>
        <v>0</v>
      </c>
      <c r="P549" s="74"/>
      <c r="Q549" s="252">
        <f t="shared" ref="Q549" si="3250">(P549/100)*1000</f>
        <v>0</v>
      </c>
      <c r="R549" s="74"/>
      <c r="S549" s="252">
        <f t="shared" ref="S549" si="3251">(R549/100)*1000</f>
        <v>0</v>
      </c>
      <c r="T549" s="74"/>
      <c r="U549" s="252">
        <f t="shared" ref="U549" si="3252">(T549/100)*1000</f>
        <v>0</v>
      </c>
      <c r="V549" s="74"/>
      <c r="W549" s="252">
        <f t="shared" ref="W549" si="3253">(V549/100)*1000</f>
        <v>0</v>
      </c>
      <c r="X549" s="74"/>
      <c r="Y549" s="252">
        <f t="shared" ref="Y549" si="3254">(X549/100)*1000</f>
        <v>0</v>
      </c>
      <c r="Z549" s="74"/>
      <c r="AA549" s="252">
        <f t="shared" ref="AA549" si="3255">(Z549/100)*1000</f>
        <v>0</v>
      </c>
      <c r="AB549" s="74"/>
      <c r="AC549" s="252">
        <f t="shared" ref="AC549" si="3256">(AB549/100)*1000</f>
        <v>0</v>
      </c>
      <c r="AD549" s="74"/>
      <c r="AE549" s="252">
        <f t="shared" ref="AE549" si="3257">(AD549/100)*1000</f>
        <v>0</v>
      </c>
      <c r="AF549" s="98"/>
      <c r="AG549" s="98"/>
    </row>
    <row r="550" spans="1:33" ht="18.75" customHeight="1" outlineLevel="1">
      <c r="A550" s="358">
        <f t="shared" si="3061"/>
        <v>1</v>
      </c>
      <c r="B550" s="74"/>
      <c r="C550" s="252">
        <f t="shared" si="3062"/>
        <v>0</v>
      </c>
      <c r="D550" s="74"/>
      <c r="E550" s="252">
        <f t="shared" si="3062"/>
        <v>0</v>
      </c>
      <c r="F550" s="74"/>
      <c r="G550" s="252">
        <f t="shared" ref="G550" si="3258">(F550/100)*1000</f>
        <v>0</v>
      </c>
      <c r="H550" s="74"/>
      <c r="I550" s="252">
        <f t="shared" ref="I550" si="3259">(H550/100)*1000</f>
        <v>0</v>
      </c>
      <c r="J550" s="74"/>
      <c r="K550" s="252">
        <f t="shared" ref="K550" si="3260">(J550/100)*1000</f>
        <v>0</v>
      </c>
      <c r="L550" s="74"/>
      <c r="M550" s="252">
        <f t="shared" ref="M550" si="3261">(L550/100)*1000</f>
        <v>0</v>
      </c>
      <c r="N550" s="74"/>
      <c r="O550" s="252">
        <f t="shared" ref="O550" si="3262">(N550/100)*1000</f>
        <v>0</v>
      </c>
      <c r="P550" s="74"/>
      <c r="Q550" s="252">
        <f t="shared" ref="Q550" si="3263">(P550/100)*1000</f>
        <v>0</v>
      </c>
      <c r="R550" s="74"/>
      <c r="S550" s="252">
        <f t="shared" ref="S550" si="3264">(R550/100)*1000</f>
        <v>0</v>
      </c>
      <c r="T550" s="74"/>
      <c r="U550" s="252">
        <f t="shared" ref="U550" si="3265">(T550/100)*1000</f>
        <v>0</v>
      </c>
      <c r="V550" s="74"/>
      <c r="W550" s="252">
        <f t="shared" ref="W550" si="3266">(V550/100)*1000</f>
        <v>0</v>
      </c>
      <c r="X550" s="74"/>
      <c r="Y550" s="252">
        <f t="shared" ref="Y550" si="3267">(X550/100)*1000</f>
        <v>0</v>
      </c>
      <c r="Z550" s="74"/>
      <c r="AA550" s="252">
        <f t="shared" ref="AA550" si="3268">(Z550/100)*1000</f>
        <v>0</v>
      </c>
      <c r="AB550" s="74"/>
      <c r="AC550" s="252">
        <f t="shared" ref="AC550" si="3269">(AB550/100)*1000</f>
        <v>0</v>
      </c>
      <c r="AD550" s="74"/>
      <c r="AE550" s="252">
        <f t="shared" ref="AE550" si="3270">(AD550/100)*1000</f>
        <v>0</v>
      </c>
      <c r="AF550" s="98"/>
      <c r="AG550" s="98"/>
    </row>
    <row r="551" spans="1:33" ht="18.75" customHeight="1" outlineLevel="1">
      <c r="A551" s="358">
        <f t="shared" si="3061"/>
        <v>2</v>
      </c>
      <c r="B551" s="74"/>
      <c r="C551" s="252">
        <f t="shared" si="3062"/>
        <v>0</v>
      </c>
      <c r="D551" s="74"/>
      <c r="E551" s="252">
        <f t="shared" si="3062"/>
        <v>0</v>
      </c>
      <c r="F551" s="74"/>
      <c r="G551" s="252">
        <f t="shared" ref="G551" si="3271">(F551/100)*1000</f>
        <v>0</v>
      </c>
      <c r="H551" s="74"/>
      <c r="I551" s="252">
        <f t="shared" ref="I551" si="3272">(H551/100)*1000</f>
        <v>0</v>
      </c>
      <c r="J551" s="74"/>
      <c r="K551" s="252">
        <f t="shared" ref="K551" si="3273">(J551/100)*1000</f>
        <v>0</v>
      </c>
      <c r="L551" s="74"/>
      <c r="M551" s="252">
        <f t="shared" ref="M551" si="3274">(L551/100)*1000</f>
        <v>0</v>
      </c>
      <c r="N551" s="74"/>
      <c r="O551" s="252">
        <f t="shared" ref="O551" si="3275">(N551/100)*1000</f>
        <v>0</v>
      </c>
      <c r="P551" s="74"/>
      <c r="Q551" s="252">
        <f t="shared" ref="Q551" si="3276">(P551/100)*1000</f>
        <v>0</v>
      </c>
      <c r="R551" s="74"/>
      <c r="S551" s="252">
        <f t="shared" ref="S551" si="3277">(R551/100)*1000</f>
        <v>0</v>
      </c>
      <c r="T551" s="74"/>
      <c r="U551" s="252">
        <f t="shared" ref="U551" si="3278">(T551/100)*1000</f>
        <v>0</v>
      </c>
      <c r="V551" s="74"/>
      <c r="W551" s="252">
        <f t="shared" ref="W551" si="3279">(V551/100)*1000</f>
        <v>0</v>
      </c>
      <c r="X551" s="74"/>
      <c r="Y551" s="252">
        <f t="shared" ref="Y551" si="3280">(X551/100)*1000</f>
        <v>0</v>
      </c>
      <c r="Z551" s="74"/>
      <c r="AA551" s="252">
        <f t="shared" ref="AA551" si="3281">(Z551/100)*1000</f>
        <v>0</v>
      </c>
      <c r="AB551" s="74"/>
      <c r="AC551" s="252">
        <f t="shared" ref="AC551" si="3282">(AB551/100)*1000</f>
        <v>0</v>
      </c>
      <c r="AD551" s="74"/>
      <c r="AE551" s="252">
        <f t="shared" ref="AE551" si="3283">(AD551/100)*1000</f>
        <v>0</v>
      </c>
      <c r="AF551" s="98"/>
      <c r="AG551" s="98"/>
    </row>
    <row r="552" spans="1:33" ht="18.75" customHeight="1" outlineLevel="1">
      <c r="A552" s="358">
        <f t="shared" si="3061"/>
        <v>3</v>
      </c>
      <c r="B552" s="74"/>
      <c r="C552" s="252">
        <f t="shared" si="3062"/>
        <v>0</v>
      </c>
      <c r="D552" s="74"/>
      <c r="E552" s="252">
        <f t="shared" si="3062"/>
        <v>0</v>
      </c>
      <c r="F552" s="74"/>
      <c r="G552" s="252">
        <f t="shared" ref="G552" si="3284">(F552/100)*1000</f>
        <v>0</v>
      </c>
      <c r="H552" s="74"/>
      <c r="I552" s="252">
        <f t="shared" ref="I552" si="3285">(H552/100)*1000</f>
        <v>0</v>
      </c>
      <c r="J552" s="74"/>
      <c r="K552" s="252">
        <f t="shared" ref="K552" si="3286">(J552/100)*1000</f>
        <v>0</v>
      </c>
      <c r="L552" s="74"/>
      <c r="M552" s="252">
        <f t="shared" ref="M552" si="3287">(L552/100)*1000</f>
        <v>0</v>
      </c>
      <c r="N552" s="74"/>
      <c r="O552" s="252">
        <f t="shared" ref="O552" si="3288">(N552/100)*1000</f>
        <v>0</v>
      </c>
      <c r="P552" s="74"/>
      <c r="Q552" s="252">
        <f t="shared" ref="Q552" si="3289">(P552/100)*1000</f>
        <v>0</v>
      </c>
      <c r="R552" s="74"/>
      <c r="S552" s="252">
        <f t="shared" ref="S552" si="3290">(R552/100)*1000</f>
        <v>0</v>
      </c>
      <c r="T552" s="74"/>
      <c r="U552" s="252">
        <f t="shared" ref="U552" si="3291">(T552/100)*1000</f>
        <v>0</v>
      </c>
      <c r="V552" s="74"/>
      <c r="W552" s="252">
        <f t="shared" ref="W552" si="3292">(V552/100)*1000</f>
        <v>0</v>
      </c>
      <c r="X552" s="74"/>
      <c r="Y552" s="252">
        <f t="shared" ref="Y552" si="3293">(X552/100)*1000</f>
        <v>0</v>
      </c>
      <c r="Z552" s="74"/>
      <c r="AA552" s="252">
        <f t="shared" ref="AA552" si="3294">(Z552/100)*1000</f>
        <v>0</v>
      </c>
      <c r="AB552" s="74"/>
      <c r="AC552" s="252">
        <f t="shared" ref="AC552" si="3295">(AB552/100)*1000</f>
        <v>0</v>
      </c>
      <c r="AD552" s="74"/>
      <c r="AE552" s="252">
        <f t="shared" ref="AE552" si="3296">(AD552/100)*1000</f>
        <v>0</v>
      </c>
      <c r="AF552" s="98"/>
      <c r="AG552" s="98"/>
    </row>
    <row r="553" spans="1:33" ht="18.75" customHeight="1" outlineLevel="1">
      <c r="A553" s="359" t="str">
        <f t="shared" si="3061"/>
        <v>PREMIX 1101 (20KG)</v>
      </c>
      <c r="B553" s="74"/>
      <c r="C553" s="252">
        <f t="shared" si="3062"/>
        <v>0</v>
      </c>
      <c r="D553" s="74"/>
      <c r="E553" s="252">
        <f t="shared" si="3062"/>
        <v>0</v>
      </c>
      <c r="F553" s="74"/>
      <c r="G553" s="252">
        <f t="shared" ref="G553" si="3297">(F553/100)*1000</f>
        <v>0</v>
      </c>
      <c r="H553" s="74"/>
      <c r="I553" s="252">
        <f t="shared" ref="I553" si="3298">(H553/100)*1000</f>
        <v>0</v>
      </c>
      <c r="J553" s="74"/>
      <c r="K553" s="252">
        <f t="shared" ref="K553" si="3299">(J553/100)*1000</f>
        <v>0</v>
      </c>
      <c r="L553" s="74"/>
      <c r="M553" s="252">
        <f t="shared" ref="M553" si="3300">(L553/100)*1000</f>
        <v>0</v>
      </c>
      <c r="N553" s="74"/>
      <c r="O553" s="252">
        <f t="shared" ref="O553" si="3301">(N553/100)*1000</f>
        <v>0</v>
      </c>
      <c r="P553" s="74"/>
      <c r="Q553" s="252">
        <f t="shared" ref="Q553" si="3302">(P553/100)*1000</f>
        <v>0</v>
      </c>
      <c r="R553" s="74"/>
      <c r="S553" s="252">
        <f t="shared" ref="S553" si="3303">(R553/100)*1000</f>
        <v>0</v>
      </c>
      <c r="T553" s="74"/>
      <c r="U553" s="252">
        <f t="shared" ref="U553" si="3304">(T553/100)*1000</f>
        <v>0</v>
      </c>
      <c r="V553" s="74"/>
      <c r="W553" s="252">
        <f t="shared" ref="W553" si="3305">(V553/100)*1000</f>
        <v>0</v>
      </c>
      <c r="X553" s="74"/>
      <c r="Y553" s="252">
        <f t="shared" ref="Y553" si="3306">(X553/100)*1000</f>
        <v>0</v>
      </c>
      <c r="Z553" s="74"/>
      <c r="AA553" s="252">
        <f t="shared" ref="AA553" si="3307">(Z553/100)*1000</f>
        <v>0</v>
      </c>
      <c r="AB553" s="74"/>
      <c r="AC553" s="252">
        <f t="shared" ref="AC553" si="3308">(AB553/100)*1000</f>
        <v>0</v>
      </c>
      <c r="AD553" s="74"/>
      <c r="AE553" s="252">
        <f t="shared" ref="AE553" si="3309">(AD553/100)*1000</f>
        <v>0</v>
      </c>
      <c r="AF553" s="98"/>
      <c r="AG553" s="98"/>
    </row>
    <row r="554" spans="1:33" ht="18.75" customHeight="1" outlineLevel="1">
      <c r="A554" s="359" t="str">
        <f t="shared" si="3061"/>
        <v>PREMIX 1102 (20KG)</v>
      </c>
      <c r="B554" s="74"/>
      <c r="C554" s="252">
        <f t="shared" si="3062"/>
        <v>0</v>
      </c>
      <c r="D554" s="74"/>
      <c r="E554" s="252">
        <f t="shared" si="3062"/>
        <v>0</v>
      </c>
      <c r="F554" s="74"/>
      <c r="G554" s="252">
        <f t="shared" ref="G554" si="3310">(F554/100)*1000</f>
        <v>0</v>
      </c>
      <c r="H554" s="74"/>
      <c r="I554" s="252">
        <f t="shared" ref="I554" si="3311">(H554/100)*1000</f>
        <v>0</v>
      </c>
      <c r="J554" s="74"/>
      <c r="K554" s="252">
        <f t="shared" ref="K554" si="3312">(J554/100)*1000</f>
        <v>0</v>
      </c>
      <c r="L554" s="74"/>
      <c r="M554" s="252">
        <f t="shared" ref="M554" si="3313">(L554/100)*1000</f>
        <v>0</v>
      </c>
      <c r="N554" s="74"/>
      <c r="O554" s="252">
        <f t="shared" ref="O554" si="3314">(N554/100)*1000</f>
        <v>0</v>
      </c>
      <c r="P554" s="74"/>
      <c r="Q554" s="252">
        <f t="shared" ref="Q554" si="3315">(P554/100)*1000</f>
        <v>0</v>
      </c>
      <c r="R554" s="74"/>
      <c r="S554" s="252">
        <f t="shared" ref="S554" si="3316">(R554/100)*1000</f>
        <v>0</v>
      </c>
      <c r="T554" s="74"/>
      <c r="U554" s="252">
        <f t="shared" ref="U554" si="3317">(T554/100)*1000</f>
        <v>0</v>
      </c>
      <c r="V554" s="74"/>
      <c r="W554" s="252">
        <f t="shared" ref="W554" si="3318">(V554/100)*1000</f>
        <v>0</v>
      </c>
      <c r="X554" s="74"/>
      <c r="Y554" s="252">
        <f t="shared" ref="Y554" si="3319">(X554/100)*1000</f>
        <v>0</v>
      </c>
      <c r="Z554" s="74"/>
      <c r="AA554" s="252">
        <f t="shared" ref="AA554" si="3320">(Z554/100)*1000</f>
        <v>0</v>
      </c>
      <c r="AB554" s="74"/>
      <c r="AC554" s="252">
        <f t="shared" ref="AC554" si="3321">(AB554/100)*1000</f>
        <v>0</v>
      </c>
      <c r="AD554" s="74"/>
      <c r="AE554" s="252">
        <f t="shared" ref="AE554" si="3322">(AD554/100)*1000</f>
        <v>0</v>
      </c>
      <c r="AF554" s="98"/>
      <c r="AG554" s="98"/>
    </row>
    <row r="555" spans="1:33" ht="18.75" customHeight="1" outlineLevel="1">
      <c r="A555" s="359" t="str">
        <f t="shared" si="3061"/>
        <v>PREMIX 1103 (20KG)</v>
      </c>
      <c r="B555" s="74"/>
      <c r="C555" s="252">
        <f t="shared" si="3062"/>
        <v>0</v>
      </c>
      <c r="D555" s="74"/>
      <c r="E555" s="252">
        <f t="shared" si="3062"/>
        <v>0</v>
      </c>
      <c r="F555" s="74"/>
      <c r="G555" s="252">
        <f t="shared" ref="G555" si="3323">(F555/100)*1000</f>
        <v>0</v>
      </c>
      <c r="H555" s="74"/>
      <c r="I555" s="252">
        <f t="shared" ref="I555" si="3324">(H555/100)*1000</f>
        <v>0</v>
      </c>
      <c r="J555" s="74"/>
      <c r="K555" s="252">
        <f t="shared" ref="K555" si="3325">(J555/100)*1000</f>
        <v>0</v>
      </c>
      <c r="L555" s="74"/>
      <c r="M555" s="252">
        <f t="shared" ref="M555" si="3326">(L555/100)*1000</f>
        <v>0</v>
      </c>
      <c r="N555" s="74"/>
      <c r="O555" s="252">
        <f t="shared" ref="O555" si="3327">(N555/100)*1000</f>
        <v>0</v>
      </c>
      <c r="P555" s="74"/>
      <c r="Q555" s="252">
        <f t="shared" ref="Q555" si="3328">(P555/100)*1000</f>
        <v>0</v>
      </c>
      <c r="R555" s="74"/>
      <c r="S555" s="252">
        <f t="shared" ref="S555" si="3329">(R555/100)*1000</f>
        <v>0</v>
      </c>
      <c r="T555" s="74"/>
      <c r="U555" s="252">
        <f t="shared" ref="U555" si="3330">(T555/100)*1000</f>
        <v>0</v>
      </c>
      <c r="V555" s="74"/>
      <c r="W555" s="252">
        <f t="shared" ref="W555" si="3331">(V555/100)*1000</f>
        <v>0</v>
      </c>
      <c r="X555" s="74"/>
      <c r="Y555" s="252">
        <f t="shared" ref="Y555" si="3332">(X555/100)*1000</f>
        <v>0</v>
      </c>
      <c r="Z555" s="74"/>
      <c r="AA555" s="252">
        <f t="shared" ref="AA555" si="3333">(Z555/100)*1000</f>
        <v>0</v>
      </c>
      <c r="AB555" s="74"/>
      <c r="AC555" s="252">
        <f t="shared" ref="AC555" si="3334">(AB555/100)*1000</f>
        <v>0</v>
      </c>
      <c r="AD555" s="74"/>
      <c r="AE555" s="252">
        <f t="shared" ref="AE555" si="3335">(AD555/100)*1000</f>
        <v>0</v>
      </c>
      <c r="AF555" s="98"/>
      <c r="AG555" s="98"/>
    </row>
    <row r="556" spans="1:33" ht="18.75" customHeight="1" outlineLevel="1">
      <c r="A556" s="359" t="str">
        <f t="shared" si="3061"/>
        <v>PREMIX 311 (20KG)</v>
      </c>
      <c r="B556" s="74"/>
      <c r="C556" s="252">
        <f t="shared" si="3062"/>
        <v>0</v>
      </c>
      <c r="D556" s="74"/>
      <c r="E556" s="252">
        <f t="shared" si="3062"/>
        <v>0</v>
      </c>
      <c r="F556" s="74"/>
      <c r="G556" s="252">
        <f t="shared" ref="G556" si="3336">(F556/100)*1000</f>
        <v>0</v>
      </c>
      <c r="H556" s="74"/>
      <c r="I556" s="252">
        <f t="shared" ref="I556" si="3337">(H556/100)*1000</f>
        <v>0</v>
      </c>
      <c r="J556" s="74"/>
      <c r="K556" s="252">
        <f t="shared" ref="K556" si="3338">(J556/100)*1000</f>
        <v>0</v>
      </c>
      <c r="L556" s="74"/>
      <c r="M556" s="252">
        <f t="shared" ref="M556" si="3339">(L556/100)*1000</f>
        <v>0</v>
      </c>
      <c r="N556" s="74"/>
      <c r="O556" s="252">
        <f t="shared" ref="O556" si="3340">(N556/100)*1000</f>
        <v>0</v>
      </c>
      <c r="P556" s="74"/>
      <c r="Q556" s="252">
        <f t="shared" ref="Q556" si="3341">(P556/100)*1000</f>
        <v>0</v>
      </c>
      <c r="R556" s="74"/>
      <c r="S556" s="252">
        <f t="shared" ref="S556" si="3342">(R556/100)*1000</f>
        <v>0</v>
      </c>
      <c r="T556" s="74"/>
      <c r="U556" s="252">
        <f t="shared" ref="U556" si="3343">(T556/100)*1000</f>
        <v>0</v>
      </c>
      <c r="V556" s="74"/>
      <c r="W556" s="252">
        <f t="shared" ref="W556" si="3344">(V556/100)*1000</f>
        <v>0</v>
      </c>
      <c r="X556" s="74"/>
      <c r="Y556" s="252">
        <f t="shared" ref="Y556" si="3345">(X556/100)*1000</f>
        <v>0</v>
      </c>
      <c r="Z556" s="74"/>
      <c r="AA556" s="252">
        <f t="shared" ref="AA556" si="3346">(Z556/100)*1000</f>
        <v>0</v>
      </c>
      <c r="AB556" s="74"/>
      <c r="AC556" s="252">
        <f t="shared" ref="AC556" si="3347">(AB556/100)*1000</f>
        <v>0</v>
      </c>
      <c r="AD556" s="74"/>
      <c r="AE556" s="252">
        <f t="shared" ref="AE556" si="3348">(AD556/100)*1000</f>
        <v>0</v>
      </c>
      <c r="AF556" s="98"/>
      <c r="AG556" s="98"/>
    </row>
    <row r="557" spans="1:33" ht="18.75" customHeight="1" outlineLevel="1">
      <c r="A557" s="359" t="str">
        <f t="shared" si="3061"/>
        <v>PREMIX 312 (20KG)</v>
      </c>
      <c r="B557" s="74"/>
      <c r="C557" s="252">
        <f t="shared" si="3062"/>
        <v>0</v>
      </c>
      <c r="D557" s="74"/>
      <c r="E557" s="252">
        <f t="shared" si="3062"/>
        <v>0</v>
      </c>
      <c r="F557" s="74"/>
      <c r="G557" s="252">
        <f t="shared" ref="G557" si="3349">(F557/100)*1000</f>
        <v>0</v>
      </c>
      <c r="H557" s="74"/>
      <c r="I557" s="252">
        <f t="shared" ref="I557" si="3350">(H557/100)*1000</f>
        <v>0</v>
      </c>
      <c r="J557" s="74"/>
      <c r="K557" s="252">
        <f t="shared" ref="K557" si="3351">(J557/100)*1000</f>
        <v>0</v>
      </c>
      <c r="L557" s="74"/>
      <c r="M557" s="252">
        <f t="shared" ref="M557" si="3352">(L557/100)*1000</f>
        <v>0</v>
      </c>
      <c r="N557" s="74"/>
      <c r="O557" s="252">
        <f t="shared" ref="O557" si="3353">(N557/100)*1000</f>
        <v>0</v>
      </c>
      <c r="P557" s="74"/>
      <c r="Q557" s="252">
        <f t="shared" ref="Q557" si="3354">(P557/100)*1000</f>
        <v>0</v>
      </c>
      <c r="R557" s="74"/>
      <c r="S557" s="252">
        <f t="shared" ref="S557" si="3355">(R557/100)*1000</f>
        <v>0</v>
      </c>
      <c r="T557" s="74"/>
      <c r="U557" s="252">
        <f t="shared" ref="U557" si="3356">(T557/100)*1000</f>
        <v>0</v>
      </c>
      <c r="V557" s="74"/>
      <c r="W557" s="252">
        <f t="shared" ref="W557" si="3357">(V557/100)*1000</f>
        <v>0</v>
      </c>
      <c r="X557" s="74"/>
      <c r="Y557" s="252">
        <f t="shared" ref="Y557" si="3358">(X557/100)*1000</f>
        <v>0</v>
      </c>
      <c r="Z557" s="74"/>
      <c r="AA557" s="252">
        <f t="shared" ref="AA557" si="3359">(Z557/100)*1000</f>
        <v>0</v>
      </c>
      <c r="AB557" s="74"/>
      <c r="AC557" s="252">
        <f t="shared" ref="AC557" si="3360">(AB557/100)*1000</f>
        <v>0</v>
      </c>
      <c r="AD557" s="74"/>
      <c r="AE557" s="252">
        <f t="shared" ref="AE557" si="3361">(AD557/100)*1000</f>
        <v>0</v>
      </c>
      <c r="AF557" s="98"/>
      <c r="AG557" s="98"/>
    </row>
    <row r="558" spans="1:33" ht="18.75" customHeight="1" outlineLevel="1">
      <c r="A558" s="359">
        <f t="shared" si="3061"/>
        <v>1</v>
      </c>
      <c r="B558" s="74"/>
      <c r="C558" s="252">
        <f t="shared" si="3062"/>
        <v>0</v>
      </c>
      <c r="D558" s="74"/>
      <c r="E558" s="252">
        <f t="shared" si="3062"/>
        <v>0</v>
      </c>
      <c r="F558" s="74"/>
      <c r="G558" s="252">
        <f t="shared" ref="G558" si="3362">(F558/100)*1000</f>
        <v>0</v>
      </c>
      <c r="H558" s="74"/>
      <c r="I558" s="252">
        <f t="shared" ref="I558" si="3363">(H558/100)*1000</f>
        <v>0</v>
      </c>
      <c r="J558" s="74"/>
      <c r="K558" s="252">
        <f t="shared" ref="K558" si="3364">(J558/100)*1000</f>
        <v>0</v>
      </c>
      <c r="L558" s="74"/>
      <c r="M558" s="252">
        <f t="shared" ref="M558" si="3365">(L558/100)*1000</f>
        <v>0</v>
      </c>
      <c r="N558" s="74"/>
      <c r="O558" s="252">
        <f t="shared" ref="O558" si="3366">(N558/100)*1000</f>
        <v>0</v>
      </c>
      <c r="P558" s="74"/>
      <c r="Q558" s="252">
        <f t="shared" ref="Q558" si="3367">(P558/100)*1000</f>
        <v>0</v>
      </c>
      <c r="R558" s="74"/>
      <c r="S558" s="252">
        <f t="shared" ref="S558" si="3368">(R558/100)*1000</f>
        <v>0</v>
      </c>
      <c r="T558" s="74"/>
      <c r="U558" s="252">
        <f t="shared" ref="U558" si="3369">(T558/100)*1000</f>
        <v>0</v>
      </c>
      <c r="V558" s="74"/>
      <c r="W558" s="252">
        <f t="shared" ref="W558" si="3370">(V558/100)*1000</f>
        <v>0</v>
      </c>
      <c r="X558" s="74"/>
      <c r="Y558" s="252">
        <f t="shared" ref="Y558" si="3371">(X558/100)*1000</f>
        <v>0</v>
      </c>
      <c r="Z558" s="74"/>
      <c r="AA558" s="252">
        <f t="shared" ref="AA558" si="3372">(Z558/100)*1000</f>
        <v>0</v>
      </c>
      <c r="AB558" s="74"/>
      <c r="AC558" s="252">
        <f t="shared" ref="AC558" si="3373">(AB558/100)*1000</f>
        <v>0</v>
      </c>
      <c r="AD558" s="74"/>
      <c r="AE558" s="252">
        <f t="shared" ref="AE558" si="3374">(AD558/100)*1000</f>
        <v>0</v>
      </c>
      <c r="AF558" s="98"/>
      <c r="AG558" s="98"/>
    </row>
    <row r="559" spans="1:33" ht="18.75" customHeight="1" outlineLevel="1">
      <c r="A559" s="359" t="str">
        <f t="shared" si="3061"/>
        <v>PREMIX 8100 (20KG)</v>
      </c>
      <c r="B559" s="74"/>
      <c r="C559" s="252">
        <f t="shared" si="3062"/>
        <v>0</v>
      </c>
      <c r="D559" s="74"/>
      <c r="E559" s="252">
        <f t="shared" si="3062"/>
        <v>0</v>
      </c>
      <c r="F559" s="74"/>
      <c r="G559" s="252">
        <f t="shared" ref="G559" si="3375">(F559/100)*1000</f>
        <v>0</v>
      </c>
      <c r="H559" s="74"/>
      <c r="I559" s="252">
        <f t="shared" ref="I559" si="3376">(H559/100)*1000</f>
        <v>0</v>
      </c>
      <c r="J559" s="74"/>
      <c r="K559" s="252">
        <f t="shared" ref="K559" si="3377">(J559/100)*1000</f>
        <v>0</v>
      </c>
      <c r="L559" s="74"/>
      <c r="M559" s="252">
        <f t="shared" ref="M559" si="3378">(L559/100)*1000</f>
        <v>0</v>
      </c>
      <c r="N559" s="74"/>
      <c r="O559" s="252">
        <f t="shared" ref="O559" si="3379">(N559/100)*1000</f>
        <v>0</v>
      </c>
      <c r="P559" s="74"/>
      <c r="Q559" s="252">
        <f t="shared" ref="Q559" si="3380">(P559/100)*1000</f>
        <v>0</v>
      </c>
      <c r="R559" s="74"/>
      <c r="S559" s="252">
        <f t="shared" ref="S559" si="3381">(R559/100)*1000</f>
        <v>0</v>
      </c>
      <c r="T559" s="74"/>
      <c r="U559" s="252">
        <f t="shared" ref="U559" si="3382">(T559/100)*1000</f>
        <v>0</v>
      </c>
      <c r="V559" s="74"/>
      <c r="W559" s="252">
        <f t="shared" ref="W559" si="3383">(V559/100)*1000</f>
        <v>0</v>
      </c>
      <c r="X559" s="74"/>
      <c r="Y559" s="252">
        <f t="shared" ref="Y559" si="3384">(X559/100)*1000</f>
        <v>0</v>
      </c>
      <c r="Z559" s="74"/>
      <c r="AA559" s="252">
        <f t="shared" ref="AA559" si="3385">(Z559/100)*1000</f>
        <v>0</v>
      </c>
      <c r="AB559" s="74"/>
      <c r="AC559" s="252">
        <f t="shared" ref="AC559" si="3386">(AB559/100)*1000</f>
        <v>0</v>
      </c>
      <c r="AD559" s="74"/>
      <c r="AE559" s="252">
        <f t="shared" ref="AE559" si="3387">(AD559/100)*1000</f>
        <v>0</v>
      </c>
      <c r="AF559" s="98"/>
      <c r="AG559" s="98"/>
    </row>
    <row r="560" spans="1:33" ht="18.75" customHeight="1" outlineLevel="1">
      <c r="A560" s="359" t="str">
        <f t="shared" si="3061"/>
        <v>PREMIX 8101 (20KG)</v>
      </c>
      <c r="B560" s="74"/>
      <c r="C560" s="252">
        <f t="shared" si="3062"/>
        <v>0</v>
      </c>
      <c r="D560" s="74"/>
      <c r="E560" s="252">
        <f t="shared" si="3062"/>
        <v>0</v>
      </c>
      <c r="F560" s="74"/>
      <c r="G560" s="252">
        <f t="shared" ref="G560" si="3388">(F560/100)*1000</f>
        <v>0</v>
      </c>
      <c r="H560" s="74"/>
      <c r="I560" s="252">
        <f t="shared" ref="I560" si="3389">(H560/100)*1000</f>
        <v>0</v>
      </c>
      <c r="J560" s="74"/>
      <c r="K560" s="252">
        <f t="shared" ref="K560" si="3390">(J560/100)*1000</f>
        <v>0</v>
      </c>
      <c r="L560" s="74"/>
      <c r="M560" s="252">
        <f t="shared" ref="M560" si="3391">(L560/100)*1000</f>
        <v>0</v>
      </c>
      <c r="N560" s="74"/>
      <c r="O560" s="252">
        <f t="shared" ref="O560" si="3392">(N560/100)*1000</f>
        <v>0</v>
      </c>
      <c r="P560" s="74"/>
      <c r="Q560" s="252">
        <f t="shared" ref="Q560" si="3393">(P560/100)*1000</f>
        <v>0</v>
      </c>
      <c r="R560" s="74"/>
      <c r="S560" s="252">
        <f t="shared" ref="S560" si="3394">(R560/100)*1000</f>
        <v>0</v>
      </c>
      <c r="T560" s="74"/>
      <c r="U560" s="252">
        <f t="shared" ref="U560" si="3395">(T560/100)*1000</f>
        <v>0</v>
      </c>
      <c r="V560" s="74"/>
      <c r="W560" s="252">
        <f t="shared" ref="W560" si="3396">(V560/100)*1000</f>
        <v>0</v>
      </c>
      <c r="X560" s="74"/>
      <c r="Y560" s="252">
        <f t="shared" ref="Y560" si="3397">(X560/100)*1000</f>
        <v>0</v>
      </c>
      <c r="Z560" s="74"/>
      <c r="AA560" s="252">
        <f t="shared" ref="AA560" si="3398">(Z560/100)*1000</f>
        <v>0</v>
      </c>
      <c r="AB560" s="74"/>
      <c r="AC560" s="252">
        <f t="shared" ref="AC560" si="3399">(AB560/100)*1000</f>
        <v>0</v>
      </c>
      <c r="AD560" s="74"/>
      <c r="AE560" s="252">
        <f t="shared" ref="AE560" si="3400">(AD560/100)*1000</f>
        <v>0</v>
      </c>
      <c r="AF560" s="98"/>
      <c r="AG560" s="98"/>
    </row>
    <row r="561" spans="1:33" ht="18.75" customHeight="1" outlineLevel="1">
      <c r="A561" s="359" t="str">
        <f t="shared" si="3061"/>
        <v>PREMIX 8102 (20KG)</v>
      </c>
      <c r="B561" s="74"/>
      <c r="C561" s="252">
        <f t="shared" si="3062"/>
        <v>0</v>
      </c>
      <c r="D561" s="74"/>
      <c r="E561" s="252">
        <f t="shared" si="3062"/>
        <v>0</v>
      </c>
      <c r="F561" s="74"/>
      <c r="G561" s="252">
        <f t="shared" ref="G561" si="3401">(F561/100)*1000</f>
        <v>0</v>
      </c>
      <c r="H561" s="74"/>
      <c r="I561" s="252">
        <f t="shared" ref="I561" si="3402">(H561/100)*1000</f>
        <v>0</v>
      </c>
      <c r="J561" s="74"/>
      <c r="K561" s="252">
        <f t="shared" ref="K561" si="3403">(J561/100)*1000</f>
        <v>0</v>
      </c>
      <c r="L561" s="74"/>
      <c r="M561" s="252">
        <f t="shared" ref="M561" si="3404">(L561/100)*1000</f>
        <v>0</v>
      </c>
      <c r="N561" s="74"/>
      <c r="O561" s="252">
        <f t="shared" ref="O561" si="3405">(N561/100)*1000</f>
        <v>0</v>
      </c>
      <c r="P561" s="74"/>
      <c r="Q561" s="252">
        <f t="shared" ref="Q561" si="3406">(P561/100)*1000</f>
        <v>0</v>
      </c>
      <c r="R561" s="74"/>
      <c r="S561" s="252">
        <f t="shared" ref="S561" si="3407">(R561/100)*1000</f>
        <v>0</v>
      </c>
      <c r="T561" s="74"/>
      <c r="U561" s="252">
        <f t="shared" ref="U561" si="3408">(T561/100)*1000</f>
        <v>0</v>
      </c>
      <c r="V561" s="74"/>
      <c r="W561" s="252">
        <f t="shared" ref="W561" si="3409">(V561/100)*1000</f>
        <v>0</v>
      </c>
      <c r="X561" s="74"/>
      <c r="Y561" s="252">
        <f t="shared" ref="Y561" si="3410">(X561/100)*1000</f>
        <v>0</v>
      </c>
      <c r="Z561" s="74"/>
      <c r="AA561" s="252">
        <f t="shared" ref="AA561" si="3411">(Z561/100)*1000</f>
        <v>0</v>
      </c>
      <c r="AB561" s="74"/>
      <c r="AC561" s="252">
        <f t="shared" ref="AC561" si="3412">(AB561/100)*1000</f>
        <v>0</v>
      </c>
      <c r="AD561" s="74"/>
      <c r="AE561" s="252">
        <f t="shared" ref="AE561" si="3413">(AD561/100)*1000</f>
        <v>0</v>
      </c>
      <c r="AF561" s="98"/>
      <c r="AG561" s="98"/>
    </row>
    <row r="562" spans="1:33" ht="18.75" customHeight="1" outlineLevel="1">
      <c r="A562" s="359" t="str">
        <f t="shared" si="3061"/>
        <v>PREMIX 8103 (20KG)</v>
      </c>
      <c r="B562" s="74"/>
      <c r="C562" s="252">
        <f t="shared" si="3062"/>
        <v>0</v>
      </c>
      <c r="D562" s="74"/>
      <c r="E562" s="252">
        <f t="shared" si="3062"/>
        <v>0</v>
      </c>
      <c r="F562" s="74"/>
      <c r="G562" s="252">
        <f t="shared" ref="G562" si="3414">(F562/100)*1000</f>
        <v>0</v>
      </c>
      <c r="H562" s="74"/>
      <c r="I562" s="252">
        <f t="shared" ref="I562" si="3415">(H562/100)*1000</f>
        <v>0</v>
      </c>
      <c r="J562" s="74"/>
      <c r="K562" s="252">
        <f t="shared" ref="K562" si="3416">(J562/100)*1000</f>
        <v>0</v>
      </c>
      <c r="L562" s="74"/>
      <c r="M562" s="252">
        <f t="shared" ref="M562" si="3417">(L562/100)*1000</f>
        <v>0</v>
      </c>
      <c r="N562" s="74"/>
      <c r="O562" s="252">
        <f t="shared" ref="O562" si="3418">(N562/100)*1000</f>
        <v>0</v>
      </c>
      <c r="P562" s="74"/>
      <c r="Q562" s="252">
        <f t="shared" ref="Q562" si="3419">(P562/100)*1000</f>
        <v>0</v>
      </c>
      <c r="R562" s="74"/>
      <c r="S562" s="252">
        <f t="shared" ref="S562" si="3420">(R562/100)*1000</f>
        <v>0</v>
      </c>
      <c r="T562" s="74"/>
      <c r="U562" s="252">
        <f t="shared" ref="U562" si="3421">(T562/100)*1000</f>
        <v>0</v>
      </c>
      <c r="V562" s="74"/>
      <c r="W562" s="252">
        <f t="shared" ref="W562" si="3422">(V562/100)*1000</f>
        <v>0</v>
      </c>
      <c r="X562" s="74"/>
      <c r="Y562" s="252">
        <f t="shared" ref="Y562" si="3423">(X562/100)*1000</f>
        <v>0</v>
      </c>
      <c r="Z562" s="74"/>
      <c r="AA562" s="252">
        <f t="shared" ref="AA562" si="3424">(Z562/100)*1000</f>
        <v>0</v>
      </c>
      <c r="AB562" s="74"/>
      <c r="AC562" s="252">
        <f t="shared" ref="AC562" si="3425">(AB562/100)*1000</f>
        <v>0</v>
      </c>
      <c r="AD562" s="74"/>
      <c r="AE562" s="252">
        <f t="shared" ref="AE562" si="3426">(AD562/100)*1000</f>
        <v>0</v>
      </c>
      <c r="AF562" s="98"/>
      <c r="AG562" s="98"/>
    </row>
    <row r="563" spans="1:33" ht="18.75" customHeight="1" outlineLevel="1">
      <c r="A563" s="359" t="str">
        <f t="shared" si="3061"/>
        <v>PREMIX 8108 (20KG)</v>
      </c>
      <c r="B563" s="74"/>
      <c r="C563" s="252">
        <f t="shared" si="3062"/>
        <v>0</v>
      </c>
      <c r="D563" s="74"/>
      <c r="E563" s="252">
        <f t="shared" si="3062"/>
        <v>0</v>
      </c>
      <c r="F563" s="74"/>
      <c r="G563" s="252">
        <f t="shared" ref="G563" si="3427">(F563/100)*1000</f>
        <v>0</v>
      </c>
      <c r="H563" s="74"/>
      <c r="I563" s="252">
        <f t="shared" ref="I563" si="3428">(H563/100)*1000</f>
        <v>0</v>
      </c>
      <c r="J563" s="74"/>
      <c r="K563" s="252">
        <f t="shared" ref="K563" si="3429">(J563/100)*1000</f>
        <v>0</v>
      </c>
      <c r="L563" s="74"/>
      <c r="M563" s="252">
        <f t="shared" ref="M563" si="3430">(L563/100)*1000</f>
        <v>0</v>
      </c>
      <c r="N563" s="74"/>
      <c r="O563" s="252">
        <f t="shared" ref="O563" si="3431">(N563/100)*1000</f>
        <v>0</v>
      </c>
      <c r="P563" s="74"/>
      <c r="Q563" s="252">
        <f t="shared" ref="Q563" si="3432">(P563/100)*1000</f>
        <v>0</v>
      </c>
      <c r="R563" s="74"/>
      <c r="S563" s="252">
        <f t="shared" ref="S563" si="3433">(R563/100)*1000</f>
        <v>0</v>
      </c>
      <c r="T563" s="74"/>
      <c r="U563" s="252">
        <f t="shared" ref="U563" si="3434">(T563/100)*1000</f>
        <v>0</v>
      </c>
      <c r="V563" s="74"/>
      <c r="W563" s="252">
        <f t="shared" ref="W563" si="3435">(V563/100)*1000</f>
        <v>0</v>
      </c>
      <c r="X563" s="74"/>
      <c r="Y563" s="252">
        <f t="shared" ref="Y563" si="3436">(X563/100)*1000</f>
        <v>0</v>
      </c>
      <c r="Z563" s="74"/>
      <c r="AA563" s="252">
        <f t="shared" ref="AA563" si="3437">(Z563/100)*1000</f>
        <v>0</v>
      </c>
      <c r="AB563" s="74"/>
      <c r="AC563" s="252">
        <f t="shared" ref="AC563" si="3438">(AB563/100)*1000</f>
        <v>0</v>
      </c>
      <c r="AD563" s="74"/>
      <c r="AE563" s="252">
        <f t="shared" ref="AE563" si="3439">(AD563/100)*1000</f>
        <v>0</v>
      </c>
      <c r="AF563" s="98"/>
      <c r="AG563" s="98"/>
    </row>
    <row r="564" spans="1:33" ht="18.75" customHeight="1" outlineLevel="1">
      <c r="A564" s="359" t="str">
        <f t="shared" si="3061"/>
        <v>PREMIX 8109 (20KG)</v>
      </c>
      <c r="B564" s="74"/>
      <c r="C564" s="252">
        <f t="shared" si="3062"/>
        <v>0</v>
      </c>
      <c r="D564" s="74"/>
      <c r="E564" s="252">
        <f t="shared" si="3062"/>
        <v>0</v>
      </c>
      <c r="F564" s="74"/>
      <c r="G564" s="252">
        <f t="shared" ref="G564" si="3440">(F564/100)*1000</f>
        <v>0</v>
      </c>
      <c r="H564" s="74"/>
      <c r="I564" s="252">
        <f t="shared" ref="I564" si="3441">(H564/100)*1000</f>
        <v>0</v>
      </c>
      <c r="J564" s="74"/>
      <c r="K564" s="252">
        <f t="shared" ref="K564" si="3442">(J564/100)*1000</f>
        <v>0</v>
      </c>
      <c r="L564" s="74"/>
      <c r="M564" s="252">
        <f t="shared" ref="M564" si="3443">(L564/100)*1000</f>
        <v>0</v>
      </c>
      <c r="N564" s="74"/>
      <c r="O564" s="252">
        <f t="shared" ref="O564" si="3444">(N564/100)*1000</f>
        <v>0</v>
      </c>
      <c r="P564" s="74"/>
      <c r="Q564" s="252">
        <f t="shared" ref="Q564" si="3445">(P564/100)*1000</f>
        <v>0</v>
      </c>
      <c r="R564" s="74"/>
      <c r="S564" s="252">
        <f t="shared" ref="S564" si="3446">(R564/100)*1000</f>
        <v>0</v>
      </c>
      <c r="T564" s="74"/>
      <c r="U564" s="252">
        <f t="shared" ref="U564" si="3447">(T564/100)*1000</f>
        <v>0</v>
      </c>
      <c r="V564" s="74"/>
      <c r="W564" s="252">
        <f t="shared" ref="W564" si="3448">(V564/100)*1000</f>
        <v>0</v>
      </c>
      <c r="X564" s="74"/>
      <c r="Y564" s="252">
        <f t="shared" ref="Y564" si="3449">(X564/100)*1000</f>
        <v>0</v>
      </c>
      <c r="Z564" s="74"/>
      <c r="AA564" s="252">
        <f t="shared" ref="AA564" si="3450">(Z564/100)*1000</f>
        <v>0</v>
      </c>
      <c r="AB564" s="74"/>
      <c r="AC564" s="252">
        <f t="shared" ref="AC564" si="3451">(AB564/100)*1000</f>
        <v>0</v>
      </c>
      <c r="AD564" s="74"/>
      <c r="AE564" s="252">
        <f t="shared" ref="AE564" si="3452">(AD564/100)*1000</f>
        <v>0</v>
      </c>
      <c r="AF564" s="98"/>
      <c r="AG564" s="98"/>
    </row>
    <row r="565" spans="1:33" ht="18.75" customHeight="1" outlineLevel="1">
      <c r="A565" s="359" t="str">
        <f t="shared" si="3061"/>
        <v>YENMIX 121 (20KG)</v>
      </c>
      <c r="B565" s="74"/>
      <c r="C565" s="252">
        <f t="shared" si="3062"/>
        <v>0</v>
      </c>
      <c r="D565" s="74"/>
      <c r="E565" s="252">
        <f t="shared" si="3062"/>
        <v>0</v>
      </c>
      <c r="F565" s="74"/>
      <c r="G565" s="252">
        <f t="shared" ref="G565" si="3453">(F565/100)*1000</f>
        <v>0</v>
      </c>
      <c r="H565" s="74"/>
      <c r="I565" s="252">
        <f t="shared" ref="I565" si="3454">(H565/100)*1000</f>
        <v>0</v>
      </c>
      <c r="J565" s="74"/>
      <c r="K565" s="252">
        <f t="shared" ref="K565" si="3455">(J565/100)*1000</f>
        <v>0</v>
      </c>
      <c r="L565" s="74"/>
      <c r="M565" s="252">
        <f t="shared" ref="M565" si="3456">(L565/100)*1000</f>
        <v>0</v>
      </c>
      <c r="N565" s="74"/>
      <c r="O565" s="252">
        <f t="shared" ref="O565" si="3457">(N565/100)*1000</f>
        <v>0</v>
      </c>
      <c r="P565" s="74"/>
      <c r="Q565" s="252">
        <f t="shared" ref="Q565" si="3458">(P565/100)*1000</f>
        <v>0</v>
      </c>
      <c r="R565" s="74"/>
      <c r="S565" s="252">
        <f t="shared" ref="S565" si="3459">(R565/100)*1000</f>
        <v>0</v>
      </c>
      <c r="T565" s="74"/>
      <c r="U565" s="252">
        <f t="shared" ref="U565" si="3460">(T565/100)*1000</f>
        <v>0</v>
      </c>
      <c r="V565" s="74"/>
      <c r="W565" s="252">
        <f t="shared" ref="W565" si="3461">(V565/100)*1000</f>
        <v>0</v>
      </c>
      <c r="X565" s="74"/>
      <c r="Y565" s="252">
        <f t="shared" ref="Y565" si="3462">(X565/100)*1000</f>
        <v>0</v>
      </c>
      <c r="Z565" s="74"/>
      <c r="AA565" s="252">
        <f t="shared" ref="AA565" si="3463">(Z565/100)*1000</f>
        <v>0</v>
      </c>
      <c r="AB565" s="74"/>
      <c r="AC565" s="252">
        <f t="shared" ref="AC565" si="3464">(AB565/100)*1000</f>
        <v>0</v>
      </c>
      <c r="AD565" s="74"/>
      <c r="AE565" s="252">
        <f t="shared" ref="AE565" si="3465">(AD565/100)*1000</f>
        <v>0</v>
      </c>
      <c r="AF565" s="98"/>
      <c r="AG565" s="98"/>
    </row>
    <row r="566" spans="1:33" ht="18.75" customHeight="1" outlineLevel="1">
      <c r="A566" s="359" t="str">
        <f t="shared" ref="A566:A584" si="3466">A38</f>
        <v>YENMIX 122 (19.50KG)</v>
      </c>
      <c r="B566" s="74">
        <f>39/20</f>
        <v>1.95</v>
      </c>
      <c r="C566" s="252">
        <f t="shared" si="3062"/>
        <v>19.5</v>
      </c>
      <c r="D566" s="74">
        <f>39/20</f>
        <v>1.95</v>
      </c>
      <c r="E566" s="252">
        <f t="shared" si="3062"/>
        <v>19.5</v>
      </c>
      <c r="F566" s="74"/>
      <c r="G566" s="252">
        <f t="shared" ref="G566" si="3467">(F566/100)*1000</f>
        <v>0</v>
      </c>
      <c r="H566" s="74"/>
      <c r="I566" s="252">
        <f t="shared" ref="I566" si="3468">(H566/100)*1000</f>
        <v>0</v>
      </c>
      <c r="J566" s="74"/>
      <c r="K566" s="252">
        <f t="shared" ref="K566" si="3469">(J566/100)*1000</f>
        <v>0</v>
      </c>
      <c r="L566" s="74"/>
      <c r="M566" s="252">
        <f t="shared" ref="M566" si="3470">(L566/100)*1000</f>
        <v>0</v>
      </c>
      <c r="N566" s="74"/>
      <c r="O566" s="252">
        <f t="shared" ref="O566" si="3471">(N566/100)*1000</f>
        <v>0</v>
      </c>
      <c r="P566" s="74"/>
      <c r="Q566" s="252">
        <f t="shared" ref="Q566" si="3472">(P566/100)*1000</f>
        <v>0</v>
      </c>
      <c r="R566" s="74"/>
      <c r="S566" s="252">
        <f t="shared" ref="S566" si="3473">(R566/100)*1000</f>
        <v>0</v>
      </c>
      <c r="T566" s="74"/>
      <c r="U566" s="252">
        <f t="shared" ref="U566" si="3474">(T566/100)*1000</f>
        <v>0</v>
      </c>
      <c r="V566" s="74"/>
      <c r="W566" s="252">
        <f t="shared" ref="W566" si="3475">(V566/100)*1000</f>
        <v>0</v>
      </c>
      <c r="X566" s="74"/>
      <c r="Y566" s="252">
        <f t="shared" ref="Y566" si="3476">(X566/100)*1000</f>
        <v>0</v>
      </c>
      <c r="Z566" s="74"/>
      <c r="AA566" s="252">
        <f t="shared" ref="AA566" si="3477">(Z566/100)*1000</f>
        <v>0</v>
      </c>
      <c r="AB566" s="74"/>
      <c r="AC566" s="252">
        <f t="shared" ref="AC566" si="3478">(AB566/100)*1000</f>
        <v>0</v>
      </c>
      <c r="AD566" s="74"/>
      <c r="AE566" s="252">
        <f t="shared" ref="AE566" si="3479">(AD566/100)*1000</f>
        <v>0</v>
      </c>
      <c r="AF566" s="98"/>
      <c r="AG566" s="98"/>
    </row>
    <row r="567" spans="1:33" ht="18.75" customHeight="1" outlineLevel="1">
      <c r="A567" s="359" t="str">
        <f t="shared" si="3466"/>
        <v>YENMIX 123 (18.90KG)</v>
      </c>
      <c r="B567" s="74"/>
      <c r="C567" s="252">
        <f t="shared" si="3062"/>
        <v>0</v>
      </c>
      <c r="D567" s="74"/>
      <c r="E567" s="252">
        <f t="shared" si="3062"/>
        <v>0</v>
      </c>
      <c r="F567" s="74"/>
      <c r="G567" s="252">
        <f t="shared" ref="G567" si="3480">(F567/100)*1000</f>
        <v>0</v>
      </c>
      <c r="H567" s="74"/>
      <c r="I567" s="252">
        <f t="shared" ref="I567" si="3481">(H567/100)*1000</f>
        <v>0</v>
      </c>
      <c r="J567" s="74"/>
      <c r="K567" s="252">
        <f t="shared" ref="K567" si="3482">(J567/100)*1000</f>
        <v>0</v>
      </c>
      <c r="L567" s="74"/>
      <c r="M567" s="252">
        <f t="shared" ref="M567" si="3483">(L567/100)*1000</f>
        <v>0</v>
      </c>
      <c r="N567" s="74"/>
      <c r="O567" s="252">
        <f t="shared" ref="O567" si="3484">(N567/100)*1000</f>
        <v>0</v>
      </c>
      <c r="P567" s="74"/>
      <c r="Q567" s="252">
        <f t="shared" ref="Q567" si="3485">(P567/100)*1000</f>
        <v>0</v>
      </c>
      <c r="R567" s="74"/>
      <c r="S567" s="252">
        <f t="shared" ref="S567" si="3486">(R567/100)*1000</f>
        <v>0</v>
      </c>
      <c r="T567" s="74"/>
      <c r="U567" s="252">
        <f t="shared" ref="U567" si="3487">(T567/100)*1000</f>
        <v>0</v>
      </c>
      <c r="V567" s="74"/>
      <c r="W567" s="252">
        <f t="shared" ref="W567" si="3488">(V567/100)*1000</f>
        <v>0</v>
      </c>
      <c r="X567" s="74"/>
      <c r="Y567" s="252">
        <f t="shared" ref="Y567" si="3489">(X567/100)*1000</f>
        <v>0</v>
      </c>
      <c r="Z567" s="74"/>
      <c r="AA567" s="252">
        <f t="shared" ref="AA567" si="3490">(Z567/100)*1000</f>
        <v>0</v>
      </c>
      <c r="AB567" s="74"/>
      <c r="AC567" s="252">
        <f t="shared" ref="AC567" si="3491">(AB567/100)*1000</f>
        <v>0</v>
      </c>
      <c r="AD567" s="74"/>
      <c r="AE567" s="252">
        <f t="shared" ref="AE567" si="3492">(AD567/100)*1000</f>
        <v>0</v>
      </c>
      <c r="AF567" s="98"/>
      <c r="AG567" s="98"/>
    </row>
    <row r="568" spans="1:33" ht="18.75" customHeight="1" outlineLevel="1">
      <c r="A568" s="359" t="str">
        <f t="shared" si="3466"/>
        <v>YENMIX 122 (20.50KG)</v>
      </c>
      <c r="B568" s="74"/>
      <c r="C568" s="252">
        <f t="shared" si="3062"/>
        <v>0</v>
      </c>
      <c r="D568" s="74"/>
      <c r="E568" s="252">
        <f t="shared" si="3062"/>
        <v>0</v>
      </c>
      <c r="F568" s="74">
        <f>41/20</f>
        <v>2.0499999999999998</v>
      </c>
      <c r="G568" s="252">
        <f t="shared" ref="G568" si="3493">(F568/100)*1000</f>
        <v>20.499999999999996</v>
      </c>
      <c r="H568" s="74"/>
      <c r="I568" s="252">
        <f t="shared" ref="I568" si="3494">(H568/100)*1000</f>
        <v>0</v>
      </c>
      <c r="J568" s="74"/>
      <c r="K568" s="252">
        <f t="shared" ref="K568" si="3495">(J568/100)*1000</f>
        <v>0</v>
      </c>
      <c r="L568" s="74"/>
      <c r="M568" s="252">
        <f t="shared" ref="M568" si="3496">(L568/100)*1000</f>
        <v>0</v>
      </c>
      <c r="N568" s="74"/>
      <c r="O568" s="252">
        <f t="shared" ref="O568" si="3497">(N568/100)*1000</f>
        <v>0</v>
      </c>
      <c r="P568" s="74"/>
      <c r="Q568" s="252">
        <f t="shared" ref="Q568" si="3498">(P568/100)*1000</f>
        <v>0</v>
      </c>
      <c r="R568" s="74"/>
      <c r="S568" s="252">
        <f t="shared" ref="S568" si="3499">(R568/100)*1000</f>
        <v>0</v>
      </c>
      <c r="T568" s="74"/>
      <c r="U568" s="252">
        <f t="shared" ref="U568" si="3500">(T568/100)*1000</f>
        <v>0</v>
      </c>
      <c r="V568" s="74"/>
      <c r="W568" s="252">
        <f t="shared" ref="W568" si="3501">(V568/100)*1000</f>
        <v>0</v>
      </c>
      <c r="X568" s="74"/>
      <c r="Y568" s="252">
        <f t="shared" ref="Y568" si="3502">(X568/100)*1000</f>
        <v>0</v>
      </c>
      <c r="Z568" s="74"/>
      <c r="AA568" s="252">
        <f t="shared" ref="AA568" si="3503">(Z568/100)*1000</f>
        <v>0</v>
      </c>
      <c r="AB568" s="74"/>
      <c r="AC568" s="252">
        <f t="shared" ref="AC568" si="3504">(AB568/100)*1000</f>
        <v>0</v>
      </c>
      <c r="AD568" s="74"/>
      <c r="AE568" s="252">
        <f t="shared" ref="AE568" si="3505">(AD568/100)*1000</f>
        <v>0</v>
      </c>
      <c r="AF568" s="98"/>
      <c r="AG568" s="98"/>
    </row>
    <row r="569" spans="1:33" ht="18.75" customHeight="1" outlineLevel="1">
      <c r="A569" s="359" t="str">
        <f t="shared" si="3466"/>
        <v>YENMIX 123 (20.00KG)</v>
      </c>
      <c r="B569" s="74"/>
      <c r="C569" s="252">
        <f t="shared" si="3062"/>
        <v>0</v>
      </c>
      <c r="D569" s="74"/>
      <c r="E569" s="252">
        <f t="shared" si="3062"/>
        <v>0</v>
      </c>
      <c r="F569" s="74"/>
      <c r="G569" s="252">
        <f t="shared" si="3062"/>
        <v>0</v>
      </c>
      <c r="H569" s="74"/>
      <c r="I569" s="252">
        <f t="shared" si="3062"/>
        <v>0</v>
      </c>
      <c r="J569" s="74"/>
      <c r="K569" s="252">
        <f t="shared" si="3062"/>
        <v>0</v>
      </c>
      <c r="L569" s="74"/>
      <c r="M569" s="252">
        <f t="shared" ref="M569" si="3506">(L569/100)*1000</f>
        <v>0</v>
      </c>
      <c r="N569" s="74"/>
      <c r="O569" s="252">
        <f t="shared" ref="O569" si="3507">(N569/100)*1000</f>
        <v>0</v>
      </c>
      <c r="P569" s="74"/>
      <c r="Q569" s="252">
        <f t="shared" ref="Q569" si="3508">(P569/100)*1000</f>
        <v>0</v>
      </c>
      <c r="R569" s="74"/>
      <c r="S569" s="252">
        <f t="shared" ref="S569" si="3509">(R569/100)*1000</f>
        <v>0</v>
      </c>
      <c r="T569" s="74"/>
      <c r="U569" s="252">
        <f t="shared" ref="U569" si="3510">(T569/100)*1000</f>
        <v>0</v>
      </c>
      <c r="V569" s="74"/>
      <c r="W569" s="252">
        <f t="shared" ref="W569" si="3511">(V569/100)*1000</f>
        <v>0</v>
      </c>
      <c r="X569" s="74"/>
      <c r="Y569" s="252">
        <f t="shared" ref="Y569" si="3512">(X569/100)*1000</f>
        <v>0</v>
      </c>
      <c r="Z569" s="74"/>
      <c r="AA569" s="252">
        <f t="shared" ref="AA569" si="3513">(Z569/100)*1000</f>
        <v>0</v>
      </c>
      <c r="AB569" s="74"/>
      <c r="AC569" s="252">
        <f t="shared" ref="AC569" si="3514">(AB569/100)*1000</f>
        <v>0</v>
      </c>
      <c r="AD569" s="74"/>
      <c r="AE569" s="252">
        <f t="shared" ref="AE569" si="3515">(AD569/100)*1000</f>
        <v>0</v>
      </c>
      <c r="AF569" s="98"/>
      <c r="AG569" s="98"/>
    </row>
    <row r="570" spans="1:33" ht="18.75" customHeight="1" outlineLevel="1">
      <c r="A570" s="359">
        <f t="shared" si="3466"/>
        <v>1</v>
      </c>
      <c r="B570" s="74"/>
      <c r="C570" s="252">
        <f t="shared" si="3062"/>
        <v>0</v>
      </c>
      <c r="D570" s="74"/>
      <c r="E570" s="252">
        <f t="shared" si="3062"/>
        <v>0</v>
      </c>
      <c r="F570" s="74"/>
      <c r="G570" s="252">
        <f t="shared" si="3062"/>
        <v>0</v>
      </c>
      <c r="H570" s="74"/>
      <c r="I570" s="252">
        <f t="shared" si="3062"/>
        <v>0</v>
      </c>
      <c r="J570" s="74"/>
      <c r="K570" s="252">
        <f t="shared" si="3062"/>
        <v>0</v>
      </c>
      <c r="L570" s="74"/>
      <c r="M570" s="252">
        <f t="shared" si="3062"/>
        <v>0</v>
      </c>
      <c r="N570" s="74"/>
      <c r="O570" s="252">
        <f t="shared" si="3062"/>
        <v>0</v>
      </c>
      <c r="P570" s="74"/>
      <c r="Q570" s="252">
        <f t="shared" si="3062"/>
        <v>0</v>
      </c>
      <c r="R570" s="74"/>
      <c r="S570" s="252">
        <f t="shared" si="3062"/>
        <v>0</v>
      </c>
      <c r="T570" s="74"/>
      <c r="U570" s="252">
        <f t="shared" si="3062"/>
        <v>0</v>
      </c>
      <c r="V570" s="74"/>
      <c r="W570" s="252">
        <f t="shared" si="3062"/>
        <v>0</v>
      </c>
      <c r="X570" s="74"/>
      <c r="Y570" s="252">
        <f t="shared" si="3062"/>
        <v>0</v>
      </c>
      <c r="Z570" s="74"/>
      <c r="AA570" s="252">
        <f t="shared" si="3062"/>
        <v>0</v>
      </c>
      <c r="AB570" s="74"/>
      <c r="AC570" s="252">
        <f t="shared" si="3062"/>
        <v>0</v>
      </c>
      <c r="AD570" s="74"/>
      <c r="AE570" s="252">
        <f t="shared" si="3062"/>
        <v>0</v>
      </c>
      <c r="AF570" s="98"/>
      <c r="AG570" s="98"/>
    </row>
    <row r="571" spans="1:33" ht="18.75" customHeight="1" outlineLevel="1">
      <c r="A571" s="359">
        <f t="shared" si="3466"/>
        <v>2</v>
      </c>
      <c r="B571" s="74"/>
      <c r="C571" s="252">
        <f t="shared" si="3062"/>
        <v>0</v>
      </c>
      <c r="D571" s="74"/>
      <c r="E571" s="252">
        <f t="shared" si="3062"/>
        <v>0</v>
      </c>
      <c r="F571" s="74"/>
      <c r="G571" s="252">
        <f t="shared" si="3062"/>
        <v>0</v>
      </c>
      <c r="H571" s="74"/>
      <c r="I571" s="252">
        <f t="shared" si="3062"/>
        <v>0</v>
      </c>
      <c r="J571" s="74"/>
      <c r="K571" s="252">
        <f t="shared" si="3062"/>
        <v>0</v>
      </c>
      <c r="L571" s="74"/>
      <c r="M571" s="252">
        <f t="shared" si="3062"/>
        <v>0</v>
      </c>
      <c r="N571" s="74"/>
      <c r="O571" s="252">
        <f t="shared" si="3062"/>
        <v>0</v>
      </c>
      <c r="P571" s="74"/>
      <c r="Q571" s="252">
        <f t="shared" si="3062"/>
        <v>0</v>
      </c>
      <c r="R571" s="74"/>
      <c r="S571" s="252">
        <f t="shared" si="3062"/>
        <v>0</v>
      </c>
      <c r="T571" s="74"/>
      <c r="U571" s="252">
        <f t="shared" si="3062"/>
        <v>0</v>
      </c>
      <c r="V571" s="74"/>
      <c r="W571" s="252">
        <f t="shared" si="3062"/>
        <v>0</v>
      </c>
      <c r="X571" s="74"/>
      <c r="Y571" s="252">
        <f t="shared" si="3062"/>
        <v>0</v>
      </c>
      <c r="Z571" s="74"/>
      <c r="AA571" s="252">
        <f t="shared" si="3062"/>
        <v>0</v>
      </c>
      <c r="AB571" s="74"/>
      <c r="AC571" s="252">
        <f t="shared" si="3062"/>
        <v>0</v>
      </c>
      <c r="AD571" s="74"/>
      <c r="AE571" s="252">
        <f t="shared" si="3062"/>
        <v>0</v>
      </c>
      <c r="AF571" s="98"/>
      <c r="AG571" s="98"/>
    </row>
    <row r="572" spans="1:33" ht="18.75" customHeight="1" outlineLevel="1">
      <c r="A572" s="359">
        <f t="shared" si="3466"/>
        <v>3</v>
      </c>
      <c r="B572" s="74"/>
      <c r="C572" s="252">
        <f t="shared" si="3062"/>
        <v>0</v>
      </c>
      <c r="D572" s="74"/>
      <c r="E572" s="252">
        <f t="shared" si="3062"/>
        <v>0</v>
      </c>
      <c r="F572" s="74"/>
      <c r="G572" s="252">
        <f t="shared" si="3062"/>
        <v>0</v>
      </c>
      <c r="H572" s="74"/>
      <c r="I572" s="252">
        <f t="shared" si="3062"/>
        <v>0</v>
      </c>
      <c r="J572" s="74"/>
      <c r="K572" s="252">
        <f t="shared" si="3062"/>
        <v>0</v>
      </c>
      <c r="L572" s="74"/>
      <c r="M572" s="252">
        <f t="shared" si="3062"/>
        <v>0</v>
      </c>
      <c r="N572" s="74"/>
      <c r="O572" s="252">
        <f t="shared" si="3062"/>
        <v>0</v>
      </c>
      <c r="P572" s="74"/>
      <c r="Q572" s="252">
        <f t="shared" si="3062"/>
        <v>0</v>
      </c>
      <c r="R572" s="74"/>
      <c r="S572" s="252">
        <f t="shared" si="3062"/>
        <v>0</v>
      </c>
      <c r="T572" s="74"/>
      <c r="U572" s="252">
        <f t="shared" si="3062"/>
        <v>0</v>
      </c>
      <c r="V572" s="74"/>
      <c r="W572" s="252">
        <f t="shared" si="3062"/>
        <v>0</v>
      </c>
      <c r="X572" s="74"/>
      <c r="Y572" s="252">
        <f t="shared" si="3062"/>
        <v>0</v>
      </c>
      <c r="Z572" s="74"/>
      <c r="AA572" s="252">
        <f t="shared" si="3062"/>
        <v>0</v>
      </c>
      <c r="AB572" s="74"/>
      <c r="AC572" s="252">
        <f t="shared" si="3062"/>
        <v>0</v>
      </c>
      <c r="AD572" s="74"/>
      <c r="AE572" s="252">
        <f t="shared" si="3062"/>
        <v>0</v>
      </c>
      <c r="AF572" s="98"/>
      <c r="AG572" s="98"/>
    </row>
    <row r="573" spans="1:33" ht="18.75" customHeight="1" outlineLevel="1">
      <c r="A573" s="359" t="str">
        <f t="shared" si="3466"/>
        <v>TOXISORB PREMIUM</v>
      </c>
      <c r="B573" s="74">
        <f>4/20</f>
        <v>0.2</v>
      </c>
      <c r="C573" s="252">
        <f t="shared" si="3062"/>
        <v>2</v>
      </c>
      <c r="D573" s="74"/>
      <c r="E573" s="252">
        <f t="shared" si="3062"/>
        <v>0</v>
      </c>
      <c r="F573" s="74"/>
      <c r="G573" s="252">
        <f t="shared" si="3062"/>
        <v>0</v>
      </c>
      <c r="H573" s="74"/>
      <c r="I573" s="252">
        <f t="shared" si="3062"/>
        <v>0</v>
      </c>
      <c r="J573" s="74"/>
      <c r="K573" s="252">
        <f t="shared" si="3062"/>
        <v>0</v>
      </c>
      <c r="L573" s="74"/>
      <c r="M573" s="252">
        <f t="shared" si="3062"/>
        <v>0</v>
      </c>
      <c r="N573" s="74"/>
      <c r="O573" s="252">
        <f t="shared" si="3062"/>
        <v>0</v>
      </c>
      <c r="P573" s="74"/>
      <c r="Q573" s="252">
        <f t="shared" si="3062"/>
        <v>0</v>
      </c>
      <c r="R573" s="74"/>
      <c r="S573" s="252">
        <f t="shared" si="3062"/>
        <v>0</v>
      </c>
      <c r="T573" s="74"/>
      <c r="U573" s="252">
        <f t="shared" si="3062"/>
        <v>0</v>
      </c>
      <c r="V573" s="74"/>
      <c r="W573" s="252">
        <f t="shared" si="3062"/>
        <v>0</v>
      </c>
      <c r="X573" s="74"/>
      <c r="Y573" s="252">
        <f t="shared" si="3062"/>
        <v>0</v>
      </c>
      <c r="Z573" s="74"/>
      <c r="AA573" s="252">
        <f t="shared" si="3062"/>
        <v>0</v>
      </c>
      <c r="AB573" s="74"/>
      <c r="AC573" s="252">
        <f t="shared" si="3062"/>
        <v>0</v>
      </c>
      <c r="AD573" s="74"/>
      <c r="AE573" s="252">
        <f t="shared" si="3062"/>
        <v>0</v>
      </c>
      <c r="AF573" s="98"/>
      <c r="AG573" s="98"/>
    </row>
    <row r="574" spans="1:33" ht="18.75" customHeight="1" outlineLevel="1">
      <c r="A574" s="359" t="str">
        <f t="shared" si="3466"/>
        <v>SODIUM HUMATE 3.8% (HARUMI)</v>
      </c>
      <c r="B574" s="74">
        <f>6/20</f>
        <v>0.3</v>
      </c>
      <c r="C574" s="252">
        <f t="shared" si="3062"/>
        <v>3</v>
      </c>
      <c r="D574" s="74">
        <f>6/20</f>
        <v>0.3</v>
      </c>
      <c r="E574" s="252">
        <f t="shared" si="3062"/>
        <v>3</v>
      </c>
      <c r="F574" s="74">
        <f>6/20</f>
        <v>0.3</v>
      </c>
      <c r="G574" s="252">
        <f t="shared" si="3062"/>
        <v>3</v>
      </c>
      <c r="H574" s="74"/>
      <c r="I574" s="252">
        <f t="shared" si="3062"/>
        <v>0</v>
      </c>
      <c r="J574" s="74"/>
      <c r="K574" s="252">
        <f t="shared" si="3062"/>
        <v>0</v>
      </c>
      <c r="L574" s="74"/>
      <c r="M574" s="252">
        <f t="shared" si="3062"/>
        <v>0</v>
      </c>
      <c r="N574" s="74"/>
      <c r="O574" s="252">
        <f t="shared" si="3062"/>
        <v>0</v>
      </c>
      <c r="P574" s="74"/>
      <c r="Q574" s="252">
        <f t="shared" si="3062"/>
        <v>0</v>
      </c>
      <c r="R574" s="74"/>
      <c r="S574" s="252">
        <f t="shared" si="3062"/>
        <v>0</v>
      </c>
      <c r="T574" s="74"/>
      <c r="U574" s="252">
        <f t="shared" si="3062"/>
        <v>0</v>
      </c>
      <c r="V574" s="74"/>
      <c r="W574" s="252">
        <f t="shared" si="3062"/>
        <v>0</v>
      </c>
      <c r="X574" s="74"/>
      <c r="Y574" s="252">
        <f t="shared" si="3062"/>
        <v>0</v>
      </c>
      <c r="Z574" s="74"/>
      <c r="AA574" s="252">
        <f t="shared" si="3062"/>
        <v>0</v>
      </c>
      <c r="AB574" s="74"/>
      <c r="AC574" s="252">
        <f t="shared" si="3062"/>
        <v>0</v>
      </c>
      <c r="AD574" s="74"/>
      <c r="AE574" s="252">
        <f t="shared" si="3062"/>
        <v>0</v>
      </c>
      <c r="AF574" s="98"/>
      <c r="AG574" s="98"/>
    </row>
    <row r="575" spans="1:33" ht="18.75" customHeight="1" outlineLevel="1">
      <c r="A575" s="359" t="str">
        <f t="shared" si="3466"/>
        <v>TOXIWALL</v>
      </c>
      <c r="B575" s="74"/>
      <c r="C575" s="252">
        <f t="shared" si="3062"/>
        <v>0</v>
      </c>
      <c r="D575" s="74">
        <f>2/20</f>
        <v>0.1</v>
      </c>
      <c r="E575" s="252">
        <f t="shared" si="3062"/>
        <v>1</v>
      </c>
      <c r="F575" s="74">
        <f>2/20</f>
        <v>0.1</v>
      </c>
      <c r="G575" s="252">
        <f t="shared" si="3062"/>
        <v>1</v>
      </c>
      <c r="H575" s="74"/>
      <c r="I575" s="252">
        <f t="shared" si="3062"/>
        <v>0</v>
      </c>
      <c r="J575" s="74"/>
      <c r="K575" s="252">
        <f t="shared" si="3062"/>
        <v>0</v>
      </c>
      <c r="L575" s="74"/>
      <c r="M575" s="252">
        <f t="shared" si="3062"/>
        <v>0</v>
      </c>
      <c r="N575" s="74"/>
      <c r="O575" s="252">
        <f t="shared" si="3062"/>
        <v>0</v>
      </c>
      <c r="P575" s="74"/>
      <c r="Q575" s="252">
        <f t="shared" si="3062"/>
        <v>0</v>
      </c>
      <c r="R575" s="74"/>
      <c r="S575" s="252">
        <f t="shared" si="3062"/>
        <v>0</v>
      </c>
      <c r="T575" s="74"/>
      <c r="U575" s="252">
        <f t="shared" si="3062"/>
        <v>0</v>
      </c>
      <c r="V575" s="74"/>
      <c r="W575" s="252">
        <f t="shared" si="3062"/>
        <v>0</v>
      </c>
      <c r="X575" s="74"/>
      <c r="Y575" s="252">
        <f t="shared" si="3062"/>
        <v>0</v>
      </c>
      <c r="Z575" s="74"/>
      <c r="AA575" s="252">
        <f t="shared" si="3062"/>
        <v>0</v>
      </c>
      <c r="AB575" s="74"/>
      <c r="AC575" s="252">
        <f t="shared" si="3062"/>
        <v>0</v>
      </c>
      <c r="AD575" s="74"/>
      <c r="AE575" s="252">
        <f t="shared" si="3062"/>
        <v>0</v>
      </c>
      <c r="AF575" s="98"/>
      <c r="AG575" s="98"/>
    </row>
    <row r="576" spans="1:33" ht="18.75" customHeight="1" outlineLevel="1">
      <c r="A576" s="359" t="str">
        <f t="shared" si="3466"/>
        <v>SODIUM BICARBONATE</v>
      </c>
      <c r="B576" s="74">
        <f>2.4/20</f>
        <v>0.12</v>
      </c>
      <c r="C576" s="252">
        <f t="shared" ref="C576" si="3516">(B576/100)*1000</f>
        <v>1.2</v>
      </c>
      <c r="D576" s="74">
        <f>2.4/20</f>
        <v>0.12</v>
      </c>
      <c r="E576" s="252">
        <f t="shared" ref="E576" si="3517">(D576/100)*1000</f>
        <v>1.2</v>
      </c>
      <c r="F576" s="74">
        <f>2.4/20</f>
        <v>0.12</v>
      </c>
      <c r="G576" s="252">
        <f t="shared" si="3062"/>
        <v>1.2</v>
      </c>
      <c r="H576" s="74"/>
      <c r="I576" s="252">
        <f t="shared" si="3062"/>
        <v>0</v>
      </c>
      <c r="J576" s="74"/>
      <c r="K576" s="252">
        <f t="shared" si="3062"/>
        <v>0</v>
      </c>
      <c r="L576" s="74"/>
      <c r="M576" s="252">
        <f t="shared" si="3062"/>
        <v>0</v>
      </c>
      <c r="N576" s="74"/>
      <c r="O576" s="252">
        <f t="shared" si="3062"/>
        <v>0</v>
      </c>
      <c r="P576" s="74"/>
      <c r="Q576" s="252">
        <f t="shared" si="3062"/>
        <v>0</v>
      </c>
      <c r="R576" s="74"/>
      <c r="S576" s="252">
        <f t="shared" si="3062"/>
        <v>0</v>
      </c>
      <c r="T576" s="74"/>
      <c r="U576" s="252">
        <f t="shared" si="3062"/>
        <v>0</v>
      </c>
      <c r="V576" s="74"/>
      <c r="W576" s="252">
        <f t="shared" si="3062"/>
        <v>0</v>
      </c>
      <c r="X576" s="74"/>
      <c r="Y576" s="252">
        <f t="shared" si="3062"/>
        <v>0</v>
      </c>
      <c r="Z576" s="74"/>
      <c r="AA576" s="252">
        <f t="shared" si="3062"/>
        <v>0</v>
      </c>
      <c r="AB576" s="74"/>
      <c r="AC576" s="252">
        <f t="shared" si="3062"/>
        <v>0</v>
      </c>
      <c r="AD576" s="74"/>
      <c r="AE576" s="252">
        <f t="shared" si="3062"/>
        <v>0</v>
      </c>
      <c r="AF576" s="98"/>
      <c r="AG576" s="98"/>
    </row>
    <row r="577" spans="1:33" ht="18.75" customHeight="1" outlineLevel="1">
      <c r="A577" s="359" t="str">
        <f t="shared" si="3466"/>
        <v>BMD 10%</v>
      </c>
      <c r="B577" s="74"/>
      <c r="C577" s="252">
        <f t="shared" si="3062"/>
        <v>0</v>
      </c>
      <c r="D577" s="74"/>
      <c r="E577" s="252">
        <f t="shared" si="3062"/>
        <v>0</v>
      </c>
      <c r="F577" s="74"/>
      <c r="G577" s="252">
        <f t="shared" ref="G577" si="3518">(F577/100)*1000</f>
        <v>0</v>
      </c>
      <c r="H577" s="74"/>
      <c r="I577" s="252">
        <f t="shared" ref="I577" si="3519">(H577/100)*1000</f>
        <v>0</v>
      </c>
      <c r="J577" s="74"/>
      <c r="K577" s="252">
        <f t="shared" ref="K577:AE577" si="3520">(J577/100)*1000</f>
        <v>0</v>
      </c>
      <c r="L577" s="74"/>
      <c r="M577" s="252">
        <f t="shared" si="3520"/>
        <v>0</v>
      </c>
      <c r="N577" s="74"/>
      <c r="O577" s="252">
        <f t="shared" si="3520"/>
        <v>0</v>
      </c>
      <c r="P577" s="74"/>
      <c r="Q577" s="252">
        <f t="shared" si="3520"/>
        <v>0</v>
      </c>
      <c r="R577" s="74"/>
      <c r="S577" s="252">
        <f t="shared" si="3520"/>
        <v>0</v>
      </c>
      <c r="T577" s="74"/>
      <c r="U577" s="252">
        <f t="shared" si="3520"/>
        <v>0</v>
      </c>
      <c r="V577" s="74"/>
      <c r="W577" s="252">
        <f t="shared" si="3520"/>
        <v>0</v>
      </c>
      <c r="X577" s="74"/>
      <c r="Y577" s="252">
        <f t="shared" si="3520"/>
        <v>0</v>
      </c>
      <c r="Z577" s="74"/>
      <c r="AA577" s="252">
        <f t="shared" si="3520"/>
        <v>0</v>
      </c>
      <c r="AB577" s="74"/>
      <c r="AC577" s="252">
        <f t="shared" si="3520"/>
        <v>0</v>
      </c>
      <c r="AD577" s="74"/>
      <c r="AE577" s="252">
        <f t="shared" si="3520"/>
        <v>0</v>
      </c>
      <c r="AF577" s="98"/>
      <c r="AG577" s="98"/>
    </row>
    <row r="578" spans="1:33" ht="18.75" customHeight="1" outlineLevel="1">
      <c r="A578" s="359" t="str">
        <f t="shared" si="3466"/>
        <v>SALT (HARUMI)</v>
      </c>
      <c r="B578" s="74">
        <f>5.6/20</f>
        <v>0.27999999999999997</v>
      </c>
      <c r="C578" s="252">
        <f t="shared" si="3062"/>
        <v>2.7999999999999994</v>
      </c>
      <c r="D578" s="74">
        <f>5.6/20</f>
        <v>0.27999999999999997</v>
      </c>
      <c r="E578" s="252">
        <f t="shared" si="3062"/>
        <v>2.7999999999999994</v>
      </c>
      <c r="F578" s="74">
        <f>5.6/20</f>
        <v>0.27999999999999997</v>
      </c>
      <c r="G578" s="252">
        <f t="shared" ref="G578" si="3521">(F578/100)*1000</f>
        <v>2.7999999999999994</v>
      </c>
      <c r="H578" s="74"/>
      <c r="I578" s="252">
        <f t="shared" ref="I578" si="3522">(H578/100)*1000</f>
        <v>0</v>
      </c>
      <c r="J578" s="74"/>
      <c r="K578" s="252">
        <f t="shared" ref="K578" si="3523">(J578/100)*1000</f>
        <v>0</v>
      </c>
      <c r="L578" s="74"/>
      <c r="M578" s="252">
        <f t="shared" ref="M578" si="3524">(L578/100)*1000</f>
        <v>0</v>
      </c>
      <c r="N578" s="74"/>
      <c r="O578" s="252">
        <f t="shared" ref="O578" si="3525">(N578/100)*1000</f>
        <v>0</v>
      </c>
      <c r="P578" s="74"/>
      <c r="Q578" s="252">
        <f t="shared" ref="Q578" si="3526">(P578/100)*1000</f>
        <v>0</v>
      </c>
      <c r="R578" s="74"/>
      <c r="S578" s="252">
        <f t="shared" ref="S578" si="3527">(R578/100)*1000</f>
        <v>0</v>
      </c>
      <c r="T578" s="74"/>
      <c r="U578" s="252">
        <f t="shared" ref="U578" si="3528">(T578/100)*1000</f>
        <v>0</v>
      </c>
      <c r="V578" s="74"/>
      <c r="W578" s="252">
        <f t="shared" ref="W578" si="3529">(V578/100)*1000</f>
        <v>0</v>
      </c>
      <c r="X578" s="74"/>
      <c r="Y578" s="252">
        <f t="shared" ref="Y578" si="3530">(X578/100)*1000</f>
        <v>0</v>
      </c>
      <c r="Z578" s="74"/>
      <c r="AA578" s="252">
        <f t="shared" ref="AA578" si="3531">(Z578/100)*1000</f>
        <v>0</v>
      </c>
      <c r="AB578" s="74"/>
      <c r="AC578" s="252">
        <f t="shared" ref="AC578" si="3532">(AB578/100)*1000</f>
        <v>0</v>
      </c>
      <c r="AD578" s="74"/>
      <c r="AE578" s="252">
        <f t="shared" ref="AE578" si="3533">(AD578/100)*1000</f>
        <v>0</v>
      </c>
      <c r="AF578" s="98"/>
      <c r="AG578" s="98"/>
    </row>
    <row r="579" spans="1:33" ht="18.75" customHeight="1" outlineLevel="1">
      <c r="A579" s="359" t="str">
        <f t="shared" si="3466"/>
        <v>VISTABET 91</v>
      </c>
      <c r="B579" s="74"/>
      <c r="C579" s="252">
        <f t="shared" si="3062"/>
        <v>0</v>
      </c>
      <c r="D579" s="74"/>
      <c r="E579" s="252">
        <f t="shared" si="3062"/>
        <v>0</v>
      </c>
      <c r="F579" s="74"/>
      <c r="G579" s="252">
        <f t="shared" ref="G579" si="3534">(F579/100)*1000</f>
        <v>0</v>
      </c>
      <c r="H579" s="74"/>
      <c r="I579" s="252">
        <f t="shared" ref="I579" si="3535">(H579/100)*1000</f>
        <v>0</v>
      </c>
      <c r="J579" s="74"/>
      <c r="K579" s="252">
        <f t="shared" ref="K579" si="3536">(J579/100)*1000</f>
        <v>0</v>
      </c>
      <c r="L579" s="74"/>
      <c r="M579" s="252">
        <f t="shared" ref="M579" si="3537">(L579/100)*1000</f>
        <v>0</v>
      </c>
      <c r="N579" s="74"/>
      <c r="O579" s="252">
        <f t="shared" ref="O579" si="3538">(N579/100)*1000</f>
        <v>0</v>
      </c>
      <c r="P579" s="74"/>
      <c r="Q579" s="252">
        <f t="shared" ref="Q579" si="3539">(P579/100)*1000</f>
        <v>0</v>
      </c>
      <c r="R579" s="74"/>
      <c r="S579" s="252">
        <f t="shared" ref="S579" si="3540">(R579/100)*1000</f>
        <v>0</v>
      </c>
      <c r="T579" s="74"/>
      <c r="U579" s="252">
        <f t="shared" ref="U579" si="3541">(T579/100)*1000</f>
        <v>0</v>
      </c>
      <c r="V579" s="74"/>
      <c r="W579" s="252">
        <f t="shared" ref="W579" si="3542">(V579/100)*1000</f>
        <v>0</v>
      </c>
      <c r="X579" s="74"/>
      <c r="Y579" s="252">
        <f t="shared" ref="Y579" si="3543">(X579/100)*1000</f>
        <v>0</v>
      </c>
      <c r="Z579" s="74"/>
      <c r="AA579" s="252">
        <f t="shared" ref="AA579" si="3544">(Z579/100)*1000</f>
        <v>0</v>
      </c>
      <c r="AB579" s="74"/>
      <c r="AC579" s="252">
        <f t="shared" ref="AC579" si="3545">(AB579/100)*1000</f>
        <v>0</v>
      </c>
      <c r="AD579" s="74"/>
      <c r="AE579" s="252">
        <f t="shared" ref="AE579" si="3546">(AD579/100)*1000</f>
        <v>0</v>
      </c>
      <c r="AF579" s="98"/>
      <c r="AG579" s="98"/>
    </row>
    <row r="580" spans="1:33" ht="18.75" customHeight="1" outlineLevel="1">
      <c r="A580" s="359" t="str">
        <f t="shared" si="3466"/>
        <v>BETAFIN</v>
      </c>
      <c r="B580" s="74"/>
      <c r="C580" s="252">
        <f t="shared" si="3062"/>
        <v>0</v>
      </c>
      <c r="D580" s="74"/>
      <c r="E580" s="252">
        <f t="shared" si="3062"/>
        <v>0</v>
      </c>
      <c r="F580" s="74"/>
      <c r="G580" s="252">
        <f t="shared" ref="G580" si="3547">(F580/100)*1000</f>
        <v>0</v>
      </c>
      <c r="H580" s="74"/>
      <c r="I580" s="252">
        <f t="shared" ref="I580" si="3548">(H580/100)*1000</f>
        <v>0</v>
      </c>
      <c r="J580" s="74"/>
      <c r="K580" s="252">
        <f t="shared" ref="K580" si="3549">(J580/100)*1000</f>
        <v>0</v>
      </c>
      <c r="L580" s="74"/>
      <c r="M580" s="252">
        <f t="shared" ref="M580" si="3550">(L580/100)*1000</f>
        <v>0</v>
      </c>
      <c r="N580" s="74"/>
      <c r="O580" s="252">
        <f t="shared" ref="O580" si="3551">(N580/100)*1000</f>
        <v>0</v>
      </c>
      <c r="P580" s="74"/>
      <c r="Q580" s="252">
        <f t="shared" ref="Q580" si="3552">(P580/100)*1000</f>
        <v>0</v>
      </c>
      <c r="R580" s="74"/>
      <c r="S580" s="252">
        <f t="shared" ref="S580" si="3553">(R580/100)*1000</f>
        <v>0</v>
      </c>
      <c r="T580" s="74"/>
      <c r="U580" s="252">
        <f t="shared" ref="U580" si="3554">(T580/100)*1000</f>
        <v>0</v>
      </c>
      <c r="V580" s="74"/>
      <c r="W580" s="252">
        <f t="shared" ref="W580" si="3555">(V580/100)*1000</f>
        <v>0</v>
      </c>
      <c r="X580" s="74"/>
      <c r="Y580" s="252">
        <f t="shared" ref="Y580" si="3556">(X580/100)*1000</f>
        <v>0</v>
      </c>
      <c r="Z580" s="74"/>
      <c r="AA580" s="252">
        <f t="shared" ref="AA580" si="3557">(Z580/100)*1000</f>
        <v>0</v>
      </c>
      <c r="AB580" s="74"/>
      <c r="AC580" s="252">
        <f t="shared" ref="AC580" si="3558">(AB580/100)*1000</f>
        <v>0</v>
      </c>
      <c r="AD580" s="74"/>
      <c r="AE580" s="252">
        <f t="shared" ref="AE580" si="3559">(AD580/100)*1000</f>
        <v>0</v>
      </c>
      <c r="AF580" s="98"/>
      <c r="AG580" s="98"/>
    </row>
    <row r="581" spans="1:33" ht="18.75" customHeight="1" outlineLevel="1">
      <c r="A581" s="359" t="str">
        <f t="shared" si="3466"/>
        <v>8101 TOP UP</v>
      </c>
      <c r="B581" s="74"/>
      <c r="C581" s="252">
        <f t="shared" si="3062"/>
        <v>0</v>
      </c>
      <c r="D581" s="74"/>
      <c r="E581" s="252">
        <f t="shared" si="3062"/>
        <v>0</v>
      </c>
      <c r="F581" s="74"/>
      <c r="G581" s="252">
        <f t="shared" ref="G581" si="3560">(F581/100)*1000</f>
        <v>0</v>
      </c>
      <c r="H581" s="74"/>
      <c r="I581" s="252">
        <f t="shared" ref="I581" si="3561">(H581/100)*1000</f>
        <v>0</v>
      </c>
      <c r="J581" s="74"/>
      <c r="K581" s="252">
        <f t="shared" ref="K581" si="3562">(J581/100)*1000</f>
        <v>0</v>
      </c>
      <c r="L581" s="74"/>
      <c r="M581" s="252">
        <f t="shared" ref="M581" si="3563">(L581/100)*1000</f>
        <v>0</v>
      </c>
      <c r="N581" s="74"/>
      <c r="O581" s="252">
        <f t="shared" ref="O581" si="3564">(N581/100)*1000</f>
        <v>0</v>
      </c>
      <c r="P581" s="74"/>
      <c r="Q581" s="252">
        <f t="shared" ref="Q581" si="3565">(P581/100)*1000</f>
        <v>0</v>
      </c>
      <c r="R581" s="74"/>
      <c r="S581" s="252">
        <f t="shared" ref="S581" si="3566">(R581/100)*1000</f>
        <v>0</v>
      </c>
      <c r="T581" s="74"/>
      <c r="U581" s="252">
        <f t="shared" ref="U581" si="3567">(T581/100)*1000</f>
        <v>0</v>
      </c>
      <c r="V581" s="74"/>
      <c r="W581" s="252">
        <f t="shared" ref="W581" si="3568">(V581/100)*1000</f>
        <v>0</v>
      </c>
      <c r="X581" s="74"/>
      <c r="Y581" s="252">
        <f t="shared" ref="Y581" si="3569">(X581/100)*1000</f>
        <v>0</v>
      </c>
      <c r="Z581" s="74"/>
      <c r="AA581" s="252">
        <f t="shared" ref="AA581" si="3570">(Z581/100)*1000</f>
        <v>0</v>
      </c>
      <c r="AB581" s="74"/>
      <c r="AC581" s="252">
        <f t="shared" ref="AC581" si="3571">(AB581/100)*1000</f>
        <v>0</v>
      </c>
      <c r="AD581" s="74"/>
      <c r="AE581" s="252">
        <f t="shared" ref="AE581" si="3572">(AD581/100)*1000</f>
        <v>0</v>
      </c>
      <c r="AF581" s="98"/>
      <c r="AG581" s="98"/>
    </row>
    <row r="582" spans="1:33" ht="18.75" customHeight="1" outlineLevel="1">
      <c r="A582" s="359" t="str">
        <f t="shared" si="3466"/>
        <v>NORPONIN X03 (8102 TOP UP)</v>
      </c>
      <c r="B582" s="74"/>
      <c r="C582" s="252">
        <f t="shared" si="3062"/>
        <v>0</v>
      </c>
      <c r="D582" s="74"/>
      <c r="E582" s="252">
        <f t="shared" si="3062"/>
        <v>0</v>
      </c>
      <c r="F582" s="74"/>
      <c r="G582" s="252">
        <f t="shared" ref="G582" si="3573">(F582/100)*1000</f>
        <v>0</v>
      </c>
      <c r="H582" s="74"/>
      <c r="I582" s="252">
        <f t="shared" ref="I582" si="3574">(H582/100)*1000</f>
        <v>0</v>
      </c>
      <c r="J582" s="74"/>
      <c r="K582" s="252">
        <f t="shared" ref="K582" si="3575">(J582/100)*1000</f>
        <v>0</v>
      </c>
      <c r="L582" s="74"/>
      <c r="M582" s="252">
        <f t="shared" ref="M582" si="3576">(L582/100)*1000</f>
        <v>0</v>
      </c>
      <c r="N582" s="74"/>
      <c r="O582" s="252">
        <f t="shared" ref="O582" si="3577">(N582/100)*1000</f>
        <v>0</v>
      </c>
      <c r="P582" s="74"/>
      <c r="Q582" s="252">
        <f t="shared" ref="Q582" si="3578">(P582/100)*1000</f>
        <v>0</v>
      </c>
      <c r="R582" s="74"/>
      <c r="S582" s="252">
        <f t="shared" ref="S582" si="3579">(R582/100)*1000</f>
        <v>0</v>
      </c>
      <c r="T582" s="74"/>
      <c r="U582" s="252">
        <f t="shared" ref="U582" si="3580">(T582/100)*1000</f>
        <v>0</v>
      </c>
      <c r="V582" s="74"/>
      <c r="W582" s="252">
        <f t="shared" ref="W582" si="3581">(V582/100)*1000</f>
        <v>0</v>
      </c>
      <c r="X582" s="74"/>
      <c r="Y582" s="252">
        <f t="shared" ref="Y582" si="3582">(X582/100)*1000</f>
        <v>0</v>
      </c>
      <c r="Z582" s="74"/>
      <c r="AA582" s="252">
        <f t="shared" ref="AA582" si="3583">(Z582/100)*1000</f>
        <v>0</v>
      </c>
      <c r="AB582" s="74"/>
      <c r="AC582" s="252">
        <f t="shared" ref="AC582" si="3584">(AB582/100)*1000</f>
        <v>0</v>
      </c>
      <c r="AD582" s="74"/>
      <c r="AE582" s="252">
        <f t="shared" ref="AE582" si="3585">(AD582/100)*1000</f>
        <v>0</v>
      </c>
      <c r="AF582" s="98"/>
      <c r="AG582" s="98"/>
    </row>
    <row r="583" spans="1:33" ht="18.75" customHeight="1" outlineLevel="1">
      <c r="A583" s="396" t="str">
        <f t="shared" si="3466"/>
        <v>8102 TOP UP (4KG)</v>
      </c>
      <c r="B583" s="74"/>
      <c r="C583" s="397">
        <f t="shared" si="3062"/>
        <v>0</v>
      </c>
      <c r="D583" s="74"/>
      <c r="E583" s="397">
        <f t="shared" si="3062"/>
        <v>0</v>
      </c>
      <c r="F583" s="74"/>
      <c r="G583" s="397">
        <f t="shared" ref="G583" si="3586">(F583/100)*1000</f>
        <v>0</v>
      </c>
      <c r="H583" s="74"/>
      <c r="I583" s="397">
        <f t="shared" ref="I583" si="3587">(H583/100)*1000</f>
        <v>0</v>
      </c>
      <c r="J583" s="74"/>
      <c r="K583" s="397">
        <f t="shared" ref="K583" si="3588">(J583/100)*1000</f>
        <v>0</v>
      </c>
      <c r="L583" s="74"/>
      <c r="M583" s="397">
        <f t="shared" ref="M583" si="3589">(L583/100)*1000</f>
        <v>0</v>
      </c>
      <c r="N583" s="74"/>
      <c r="O583" s="397">
        <f t="shared" ref="O583" si="3590">(N583/100)*1000</f>
        <v>0</v>
      </c>
      <c r="P583" s="74"/>
      <c r="Q583" s="397">
        <f t="shared" ref="Q583" si="3591">(P583/100)*1000</f>
        <v>0</v>
      </c>
      <c r="R583" s="74"/>
      <c r="S583" s="397">
        <f t="shared" ref="S583" si="3592">(R583/100)*1000</f>
        <v>0</v>
      </c>
      <c r="T583" s="74"/>
      <c r="U583" s="397">
        <f t="shared" ref="U583" si="3593">(T583/100)*1000</f>
        <v>0</v>
      </c>
      <c r="V583" s="74"/>
      <c r="W583" s="397">
        <f t="shared" ref="W583" si="3594">(V583/100)*1000</f>
        <v>0</v>
      </c>
      <c r="X583" s="74"/>
      <c r="Y583" s="397">
        <f t="shared" ref="Y583" si="3595">(X583/100)*1000</f>
        <v>0</v>
      </c>
      <c r="Z583" s="74"/>
      <c r="AA583" s="397">
        <f t="shared" ref="AA583" si="3596">(Z583/100)*1000</f>
        <v>0</v>
      </c>
      <c r="AB583" s="74"/>
      <c r="AC583" s="397">
        <f t="shared" ref="AC583" si="3597">(AB583/100)*1000</f>
        <v>0</v>
      </c>
      <c r="AD583" s="74"/>
      <c r="AE583" s="397">
        <f t="shared" ref="AE583" si="3598">(AD583/100)*1000</f>
        <v>0</v>
      </c>
      <c r="AF583" s="98"/>
      <c r="AG583" s="98"/>
    </row>
    <row r="584" spans="1:33" ht="18.75" customHeight="1" outlineLevel="1">
      <c r="A584" s="396" t="str">
        <f t="shared" si="3466"/>
        <v>8103 TOP UP (5KG)</v>
      </c>
      <c r="B584" s="74"/>
      <c r="C584" s="397">
        <f t="shared" si="3062"/>
        <v>0</v>
      </c>
      <c r="D584" s="74"/>
      <c r="E584" s="397">
        <f t="shared" si="3062"/>
        <v>0</v>
      </c>
      <c r="F584" s="74"/>
      <c r="G584" s="397">
        <f t="shared" ref="G584:G595" si="3599">(F584/100)*1000</f>
        <v>0</v>
      </c>
      <c r="H584" s="74"/>
      <c r="I584" s="397">
        <f t="shared" ref="I584:I595" si="3600">(H584/100)*1000</f>
        <v>0</v>
      </c>
      <c r="J584" s="74"/>
      <c r="K584" s="397">
        <f t="shared" ref="K584:K595" si="3601">(J584/100)*1000</f>
        <v>0</v>
      </c>
      <c r="L584" s="74"/>
      <c r="M584" s="397">
        <f t="shared" ref="M584:M595" si="3602">(L584/100)*1000</f>
        <v>0</v>
      </c>
      <c r="N584" s="74"/>
      <c r="O584" s="397">
        <f t="shared" ref="O584:O595" si="3603">(N584/100)*1000</f>
        <v>0</v>
      </c>
      <c r="P584" s="74"/>
      <c r="Q584" s="397">
        <f t="shared" ref="Q584:Q595" si="3604">(P584/100)*1000</f>
        <v>0</v>
      </c>
      <c r="R584" s="74"/>
      <c r="S584" s="397">
        <f t="shared" ref="S584:S595" si="3605">(R584/100)*1000</f>
        <v>0</v>
      </c>
      <c r="T584" s="74"/>
      <c r="U584" s="397">
        <f t="shared" ref="U584:U595" si="3606">(T584/100)*1000</f>
        <v>0</v>
      </c>
      <c r="V584" s="74"/>
      <c r="W584" s="397">
        <f t="shared" ref="W584:W595" si="3607">(V584/100)*1000</f>
        <v>0</v>
      </c>
      <c r="X584" s="74"/>
      <c r="Y584" s="397">
        <f t="shared" ref="Y584:Y595" si="3608">(X584/100)*1000</f>
        <v>0</v>
      </c>
      <c r="Z584" s="74"/>
      <c r="AA584" s="397">
        <f t="shared" ref="AA584:AA595" si="3609">(Z584/100)*1000</f>
        <v>0</v>
      </c>
      <c r="AB584" s="74"/>
      <c r="AC584" s="397">
        <f t="shared" ref="AC584:AC595" si="3610">(AB584/100)*1000</f>
        <v>0</v>
      </c>
      <c r="AD584" s="74"/>
      <c r="AE584" s="397">
        <f t="shared" ref="AE584:AE595" si="3611">(AD584/100)*1000</f>
        <v>0</v>
      </c>
      <c r="AF584" s="98"/>
      <c r="AG584" s="98"/>
    </row>
    <row r="585" spans="1:33" ht="18.75" customHeight="1" outlineLevel="1">
      <c r="A585" s="396" t="str">
        <f>A497</f>
        <v>L-ARGININE</v>
      </c>
      <c r="B585" s="74"/>
      <c r="C585" s="252">
        <f t="shared" ref="C585:C608" si="3612">(B585/100)*1000</f>
        <v>0</v>
      </c>
      <c r="D585" s="74"/>
      <c r="E585" s="252">
        <f t="shared" ref="E585:E608" si="3613">(D585/100)*1000</f>
        <v>0</v>
      </c>
      <c r="F585" s="74"/>
      <c r="G585" s="252">
        <f t="shared" si="3599"/>
        <v>0</v>
      </c>
      <c r="H585" s="74"/>
      <c r="I585" s="252">
        <f t="shared" si="3600"/>
        <v>0</v>
      </c>
      <c r="J585" s="74"/>
      <c r="K585" s="252">
        <f t="shared" si="3601"/>
        <v>0</v>
      </c>
      <c r="L585" s="74"/>
      <c r="M585" s="252">
        <f t="shared" si="3602"/>
        <v>0</v>
      </c>
      <c r="N585" s="74"/>
      <c r="O585" s="252">
        <f t="shared" si="3603"/>
        <v>0</v>
      </c>
      <c r="P585" s="74"/>
      <c r="Q585" s="252">
        <f t="shared" si="3604"/>
        <v>0</v>
      </c>
      <c r="R585" s="74"/>
      <c r="S585" s="252">
        <f t="shared" si="3605"/>
        <v>0</v>
      </c>
      <c r="T585" s="74"/>
      <c r="U585" s="252">
        <f t="shared" si="3606"/>
        <v>0</v>
      </c>
      <c r="V585" s="74"/>
      <c r="W585" s="252">
        <f t="shared" si="3607"/>
        <v>0</v>
      </c>
      <c r="X585" s="74"/>
      <c r="Y585" s="252">
        <f t="shared" si="3608"/>
        <v>0</v>
      </c>
      <c r="Z585" s="74"/>
      <c r="AA585" s="252">
        <f t="shared" si="3609"/>
        <v>0</v>
      </c>
      <c r="AB585" s="74"/>
      <c r="AC585" s="252">
        <f t="shared" si="3610"/>
        <v>0</v>
      </c>
      <c r="AD585" s="74"/>
      <c r="AE585" s="252">
        <f t="shared" si="3611"/>
        <v>0</v>
      </c>
      <c r="AF585" s="98"/>
      <c r="AG585" s="98"/>
    </row>
    <row r="586" spans="1:33" ht="18.75" customHeight="1" outlineLevel="1">
      <c r="A586" s="396" t="str">
        <f>A498</f>
        <v>DL-METHIONINE</v>
      </c>
      <c r="B586" s="74"/>
      <c r="C586" s="252">
        <f t="shared" si="3612"/>
        <v>0</v>
      </c>
      <c r="D586" s="74"/>
      <c r="E586" s="252">
        <f t="shared" si="3613"/>
        <v>0</v>
      </c>
      <c r="F586" s="74"/>
      <c r="G586" s="252">
        <f t="shared" si="3599"/>
        <v>0</v>
      </c>
      <c r="H586" s="74"/>
      <c r="I586" s="252">
        <f t="shared" si="3600"/>
        <v>0</v>
      </c>
      <c r="J586" s="74"/>
      <c r="K586" s="252">
        <f t="shared" si="3601"/>
        <v>0</v>
      </c>
      <c r="L586" s="74"/>
      <c r="M586" s="252">
        <f t="shared" si="3602"/>
        <v>0</v>
      </c>
      <c r="N586" s="74"/>
      <c r="O586" s="252">
        <f t="shared" si="3603"/>
        <v>0</v>
      </c>
      <c r="P586" s="74"/>
      <c r="Q586" s="252">
        <f t="shared" si="3604"/>
        <v>0</v>
      </c>
      <c r="R586" s="74"/>
      <c r="S586" s="252">
        <f t="shared" si="3605"/>
        <v>0</v>
      </c>
      <c r="T586" s="74"/>
      <c r="U586" s="252">
        <f t="shared" si="3606"/>
        <v>0</v>
      </c>
      <c r="V586" s="74"/>
      <c r="W586" s="252">
        <f t="shared" si="3607"/>
        <v>0</v>
      </c>
      <c r="X586" s="74"/>
      <c r="Y586" s="252">
        <f t="shared" si="3608"/>
        <v>0</v>
      </c>
      <c r="Z586" s="74"/>
      <c r="AA586" s="252">
        <f t="shared" si="3609"/>
        <v>0</v>
      </c>
      <c r="AB586" s="74"/>
      <c r="AC586" s="252">
        <f t="shared" si="3610"/>
        <v>0</v>
      </c>
      <c r="AD586" s="74"/>
      <c r="AE586" s="252">
        <f t="shared" si="3611"/>
        <v>0</v>
      </c>
      <c r="AF586" s="98"/>
      <c r="AG586" s="98"/>
    </row>
    <row r="587" spans="1:33" ht="18.75" customHeight="1" outlineLevel="1">
      <c r="A587" s="396" t="str">
        <f>A499</f>
        <v>L-THREONINE</v>
      </c>
      <c r="B587" s="74"/>
      <c r="C587" s="252">
        <f t="shared" si="3612"/>
        <v>0</v>
      </c>
      <c r="D587" s="74"/>
      <c r="E587" s="252">
        <f t="shared" si="3613"/>
        <v>0</v>
      </c>
      <c r="F587" s="74"/>
      <c r="G587" s="252">
        <f t="shared" si="3599"/>
        <v>0</v>
      </c>
      <c r="H587" s="74"/>
      <c r="I587" s="252">
        <f t="shared" si="3600"/>
        <v>0</v>
      </c>
      <c r="J587" s="74"/>
      <c r="K587" s="252">
        <f t="shared" si="3601"/>
        <v>0</v>
      </c>
      <c r="L587" s="74"/>
      <c r="M587" s="252">
        <f t="shared" si="3602"/>
        <v>0</v>
      </c>
      <c r="N587" s="74"/>
      <c r="O587" s="252">
        <f t="shared" si="3603"/>
        <v>0</v>
      </c>
      <c r="P587" s="74"/>
      <c r="Q587" s="252">
        <f t="shared" si="3604"/>
        <v>0</v>
      </c>
      <c r="R587" s="74"/>
      <c r="S587" s="252">
        <f t="shared" si="3605"/>
        <v>0</v>
      </c>
      <c r="T587" s="74"/>
      <c r="U587" s="252">
        <f t="shared" si="3606"/>
        <v>0</v>
      </c>
      <c r="V587" s="74"/>
      <c r="W587" s="252">
        <f t="shared" si="3607"/>
        <v>0</v>
      </c>
      <c r="X587" s="74"/>
      <c r="Y587" s="252">
        <f t="shared" si="3608"/>
        <v>0</v>
      </c>
      <c r="Z587" s="74"/>
      <c r="AA587" s="252">
        <f t="shared" si="3609"/>
        <v>0</v>
      </c>
      <c r="AB587" s="74"/>
      <c r="AC587" s="252">
        <f t="shared" si="3610"/>
        <v>0</v>
      </c>
      <c r="AD587" s="74"/>
      <c r="AE587" s="252">
        <f t="shared" si="3611"/>
        <v>0</v>
      </c>
      <c r="AF587" s="98"/>
      <c r="AG587" s="98"/>
    </row>
    <row r="588" spans="1:33" ht="18.75" customHeight="1" outlineLevel="1">
      <c r="A588" s="396" t="str">
        <f>A500</f>
        <v>L-LYSINE</v>
      </c>
      <c r="B588" s="74"/>
      <c r="C588" s="252">
        <f t="shared" si="3612"/>
        <v>0</v>
      </c>
      <c r="D588" s="74"/>
      <c r="E588" s="252">
        <f t="shared" si="3613"/>
        <v>0</v>
      </c>
      <c r="F588" s="74"/>
      <c r="G588" s="252">
        <f t="shared" si="3599"/>
        <v>0</v>
      </c>
      <c r="H588" s="74"/>
      <c r="I588" s="252">
        <f t="shared" si="3600"/>
        <v>0</v>
      </c>
      <c r="J588" s="74"/>
      <c r="K588" s="252">
        <f t="shared" si="3601"/>
        <v>0</v>
      </c>
      <c r="L588" s="74"/>
      <c r="M588" s="252">
        <f t="shared" si="3602"/>
        <v>0</v>
      </c>
      <c r="N588" s="74"/>
      <c r="O588" s="252">
        <f t="shared" si="3603"/>
        <v>0</v>
      </c>
      <c r="P588" s="74"/>
      <c r="Q588" s="252">
        <f t="shared" si="3604"/>
        <v>0</v>
      </c>
      <c r="R588" s="74"/>
      <c r="S588" s="252">
        <f t="shared" si="3605"/>
        <v>0</v>
      </c>
      <c r="T588" s="74"/>
      <c r="U588" s="252">
        <f t="shared" si="3606"/>
        <v>0</v>
      </c>
      <c r="V588" s="74"/>
      <c r="W588" s="252">
        <f t="shared" si="3607"/>
        <v>0</v>
      </c>
      <c r="X588" s="74"/>
      <c r="Y588" s="252">
        <f t="shared" si="3608"/>
        <v>0</v>
      </c>
      <c r="Z588" s="74"/>
      <c r="AA588" s="252">
        <f t="shared" si="3609"/>
        <v>0</v>
      </c>
      <c r="AB588" s="74"/>
      <c r="AC588" s="252">
        <f t="shared" si="3610"/>
        <v>0</v>
      </c>
      <c r="AD588" s="74"/>
      <c r="AE588" s="252">
        <f t="shared" si="3611"/>
        <v>0</v>
      </c>
      <c r="AF588" s="98"/>
      <c r="AG588" s="98"/>
    </row>
    <row r="589" spans="1:33" ht="18.75" customHeight="1" outlineLevel="1">
      <c r="A589" s="396" t="str">
        <f>A501</f>
        <v>FAECES DRY</v>
      </c>
      <c r="B589" s="74"/>
      <c r="C589" s="252">
        <f t="shared" si="3612"/>
        <v>0</v>
      </c>
      <c r="D589" s="74"/>
      <c r="E589" s="252">
        <f t="shared" si="3613"/>
        <v>0</v>
      </c>
      <c r="F589" s="74"/>
      <c r="G589" s="252">
        <f t="shared" si="3599"/>
        <v>0</v>
      </c>
      <c r="H589" s="74"/>
      <c r="I589" s="252">
        <f t="shared" si="3600"/>
        <v>0</v>
      </c>
      <c r="J589" s="74"/>
      <c r="K589" s="252">
        <f t="shared" si="3601"/>
        <v>0</v>
      </c>
      <c r="L589" s="74"/>
      <c r="M589" s="252">
        <f t="shared" si="3602"/>
        <v>0</v>
      </c>
      <c r="N589" s="74"/>
      <c r="O589" s="252">
        <f t="shared" si="3603"/>
        <v>0</v>
      </c>
      <c r="P589" s="74"/>
      <c r="Q589" s="252">
        <f t="shared" si="3604"/>
        <v>0</v>
      </c>
      <c r="R589" s="74"/>
      <c r="S589" s="252">
        <f t="shared" si="3605"/>
        <v>0</v>
      </c>
      <c r="T589" s="74"/>
      <c r="U589" s="252">
        <f t="shared" si="3606"/>
        <v>0</v>
      </c>
      <c r="V589" s="74"/>
      <c r="W589" s="252">
        <f t="shared" si="3607"/>
        <v>0</v>
      </c>
      <c r="X589" s="74"/>
      <c r="Y589" s="252">
        <f t="shared" si="3608"/>
        <v>0</v>
      </c>
      <c r="Z589" s="74"/>
      <c r="AA589" s="252">
        <f t="shared" si="3609"/>
        <v>0</v>
      </c>
      <c r="AB589" s="74"/>
      <c r="AC589" s="252">
        <f t="shared" si="3610"/>
        <v>0</v>
      </c>
      <c r="AD589" s="74"/>
      <c r="AE589" s="252">
        <f t="shared" si="3611"/>
        <v>0</v>
      </c>
      <c r="AF589" s="98"/>
      <c r="AG589" s="98"/>
    </row>
    <row r="590" spans="1:33" ht="18.75" customHeight="1" outlineLevel="1">
      <c r="A590" s="396" t="str">
        <f>A62</f>
        <v>ECOBIOL</v>
      </c>
      <c r="B590" s="74"/>
      <c r="C590" s="252">
        <f t="shared" si="3612"/>
        <v>0</v>
      </c>
      <c r="D590" s="74"/>
      <c r="E590" s="252">
        <f t="shared" si="3613"/>
        <v>0</v>
      </c>
      <c r="F590" s="74"/>
      <c r="G590" s="252">
        <f t="shared" si="3599"/>
        <v>0</v>
      </c>
      <c r="H590" s="74"/>
      <c r="I590" s="252">
        <f t="shared" si="3600"/>
        <v>0</v>
      </c>
      <c r="J590" s="74"/>
      <c r="K590" s="252">
        <f t="shared" si="3601"/>
        <v>0</v>
      </c>
      <c r="L590" s="74"/>
      <c r="M590" s="252">
        <f t="shared" si="3602"/>
        <v>0</v>
      </c>
      <c r="N590" s="74"/>
      <c r="O590" s="252">
        <f t="shared" si="3603"/>
        <v>0</v>
      </c>
      <c r="P590" s="74"/>
      <c r="Q590" s="252">
        <f t="shared" si="3604"/>
        <v>0</v>
      </c>
      <c r="R590" s="74"/>
      <c r="S590" s="252">
        <f t="shared" si="3605"/>
        <v>0</v>
      </c>
      <c r="T590" s="74"/>
      <c r="U590" s="252">
        <f t="shared" si="3606"/>
        <v>0</v>
      </c>
      <c r="V590" s="74"/>
      <c r="W590" s="252">
        <f t="shared" si="3607"/>
        <v>0</v>
      </c>
      <c r="X590" s="74"/>
      <c r="Y590" s="252">
        <f t="shared" si="3608"/>
        <v>0</v>
      </c>
      <c r="Z590" s="74"/>
      <c r="AA590" s="252">
        <f t="shared" si="3609"/>
        <v>0</v>
      </c>
      <c r="AB590" s="74"/>
      <c r="AC590" s="252">
        <f t="shared" si="3610"/>
        <v>0</v>
      </c>
      <c r="AD590" s="74"/>
      <c r="AE590" s="252">
        <f t="shared" si="3611"/>
        <v>0</v>
      </c>
      <c r="AF590" s="98"/>
      <c r="AG590" s="98"/>
    </row>
    <row r="591" spans="1:33" ht="18.75" customHeight="1" outlineLevel="1">
      <c r="A591" s="396" t="str">
        <f>A503</f>
        <v>ADDITIVE BROILER IMMUNE</v>
      </c>
      <c r="B591" s="74"/>
      <c r="C591" s="252">
        <f t="shared" si="3612"/>
        <v>0</v>
      </c>
      <c r="D591" s="74"/>
      <c r="E591" s="252">
        <f t="shared" si="3613"/>
        <v>0</v>
      </c>
      <c r="F591" s="74"/>
      <c r="G591" s="252">
        <f t="shared" si="3599"/>
        <v>0</v>
      </c>
      <c r="H591" s="74"/>
      <c r="I591" s="252">
        <f t="shared" si="3600"/>
        <v>0</v>
      </c>
      <c r="J591" s="74"/>
      <c r="K591" s="252">
        <f t="shared" si="3601"/>
        <v>0</v>
      </c>
      <c r="L591" s="74"/>
      <c r="M591" s="252">
        <f t="shared" si="3602"/>
        <v>0</v>
      </c>
      <c r="N591" s="74"/>
      <c r="O591" s="252">
        <f t="shared" si="3603"/>
        <v>0</v>
      </c>
      <c r="P591" s="74"/>
      <c r="Q591" s="252">
        <f t="shared" si="3604"/>
        <v>0</v>
      </c>
      <c r="R591" s="74"/>
      <c r="S591" s="252">
        <f t="shared" si="3605"/>
        <v>0</v>
      </c>
      <c r="T591" s="74"/>
      <c r="U591" s="252">
        <f t="shared" si="3606"/>
        <v>0</v>
      </c>
      <c r="V591" s="74"/>
      <c r="W591" s="252">
        <f t="shared" si="3607"/>
        <v>0</v>
      </c>
      <c r="X591" s="74"/>
      <c r="Y591" s="252">
        <f t="shared" si="3608"/>
        <v>0</v>
      </c>
      <c r="Z591" s="74"/>
      <c r="AA591" s="252">
        <f t="shared" si="3609"/>
        <v>0</v>
      </c>
      <c r="AB591" s="74"/>
      <c r="AC591" s="252">
        <f t="shared" si="3610"/>
        <v>0</v>
      </c>
      <c r="AD591" s="74"/>
      <c r="AE591" s="252">
        <f t="shared" si="3611"/>
        <v>0</v>
      </c>
      <c r="AF591" s="98"/>
      <c r="AG591" s="98"/>
    </row>
    <row r="592" spans="1:33" ht="18.75" customHeight="1" outlineLevel="1">
      <c r="A592" s="396" t="str">
        <f>A504</f>
        <v>MASTER CUBE (HARUMI)</v>
      </c>
      <c r="B592" s="74"/>
      <c r="C592" s="252">
        <f t="shared" si="3612"/>
        <v>0</v>
      </c>
      <c r="D592" s="74"/>
      <c r="E592" s="252">
        <f t="shared" si="3613"/>
        <v>0</v>
      </c>
      <c r="F592" s="74"/>
      <c r="G592" s="252">
        <f t="shared" si="3599"/>
        <v>0</v>
      </c>
      <c r="H592" s="74"/>
      <c r="I592" s="252">
        <f t="shared" si="3600"/>
        <v>0</v>
      </c>
      <c r="J592" s="74"/>
      <c r="K592" s="252">
        <f t="shared" si="3601"/>
        <v>0</v>
      </c>
      <c r="L592" s="74"/>
      <c r="M592" s="252">
        <f t="shared" si="3602"/>
        <v>0</v>
      </c>
      <c r="N592" s="74"/>
      <c r="O592" s="252">
        <f t="shared" si="3603"/>
        <v>0</v>
      </c>
      <c r="P592" s="74"/>
      <c r="Q592" s="252">
        <f t="shared" si="3604"/>
        <v>0</v>
      </c>
      <c r="R592" s="74"/>
      <c r="S592" s="252">
        <f t="shared" si="3605"/>
        <v>0</v>
      </c>
      <c r="T592" s="74"/>
      <c r="U592" s="252">
        <f t="shared" si="3606"/>
        <v>0</v>
      </c>
      <c r="V592" s="74"/>
      <c r="W592" s="252">
        <f t="shared" si="3607"/>
        <v>0</v>
      </c>
      <c r="X592" s="74"/>
      <c r="Y592" s="252">
        <f t="shared" si="3608"/>
        <v>0</v>
      </c>
      <c r="Z592" s="74"/>
      <c r="AA592" s="252">
        <f t="shared" si="3609"/>
        <v>0</v>
      </c>
      <c r="AB592" s="74"/>
      <c r="AC592" s="252">
        <f t="shared" si="3610"/>
        <v>0</v>
      </c>
      <c r="AD592" s="74"/>
      <c r="AE592" s="252">
        <f t="shared" si="3611"/>
        <v>0</v>
      </c>
      <c r="AF592" s="98"/>
      <c r="AG592" s="98"/>
    </row>
    <row r="593" spans="1:33" ht="18.75" customHeight="1" outlineLevel="1">
      <c r="A593" s="396" t="str">
        <f>A505</f>
        <v>1101 TOP UP (0.40KG)</v>
      </c>
      <c r="B593" s="74"/>
      <c r="C593" s="252">
        <f t="shared" si="3612"/>
        <v>0</v>
      </c>
      <c r="D593" s="74"/>
      <c r="E593" s="252">
        <f t="shared" si="3613"/>
        <v>0</v>
      </c>
      <c r="F593" s="74"/>
      <c r="G593" s="252">
        <f t="shared" si="3599"/>
        <v>0</v>
      </c>
      <c r="H593" s="74"/>
      <c r="I593" s="252">
        <f t="shared" si="3600"/>
        <v>0</v>
      </c>
      <c r="J593" s="74"/>
      <c r="K593" s="252">
        <f t="shared" si="3601"/>
        <v>0</v>
      </c>
      <c r="L593" s="74"/>
      <c r="M593" s="252">
        <f t="shared" si="3602"/>
        <v>0</v>
      </c>
      <c r="N593" s="74"/>
      <c r="O593" s="252">
        <f t="shared" si="3603"/>
        <v>0</v>
      </c>
      <c r="P593" s="74"/>
      <c r="Q593" s="252">
        <f t="shared" si="3604"/>
        <v>0</v>
      </c>
      <c r="R593" s="74"/>
      <c r="S593" s="252">
        <f t="shared" si="3605"/>
        <v>0</v>
      </c>
      <c r="T593" s="74"/>
      <c r="U593" s="252">
        <f t="shared" si="3606"/>
        <v>0</v>
      </c>
      <c r="V593" s="74"/>
      <c r="W593" s="252">
        <f t="shared" si="3607"/>
        <v>0</v>
      </c>
      <c r="X593" s="74"/>
      <c r="Y593" s="252">
        <f t="shared" si="3608"/>
        <v>0</v>
      </c>
      <c r="Z593" s="74"/>
      <c r="AA593" s="252">
        <f t="shared" si="3609"/>
        <v>0</v>
      </c>
      <c r="AB593" s="74"/>
      <c r="AC593" s="252">
        <f t="shared" si="3610"/>
        <v>0</v>
      </c>
      <c r="AD593" s="74"/>
      <c r="AE593" s="252">
        <f t="shared" si="3611"/>
        <v>0</v>
      </c>
      <c r="AF593" s="98"/>
      <c r="AG593" s="98"/>
    </row>
    <row r="594" spans="1:33" ht="18.75" customHeight="1" outlineLevel="1">
      <c r="A594" s="396" t="str">
        <f>A506</f>
        <v>1102 TOP UP (0.60KG)</v>
      </c>
      <c r="B594" s="74"/>
      <c r="C594" s="252">
        <f t="shared" si="3612"/>
        <v>0</v>
      </c>
      <c r="D594" s="74"/>
      <c r="E594" s="252">
        <f t="shared" si="3613"/>
        <v>0</v>
      </c>
      <c r="F594" s="74"/>
      <c r="G594" s="252">
        <f t="shared" si="3599"/>
        <v>0</v>
      </c>
      <c r="H594" s="74"/>
      <c r="I594" s="252">
        <f t="shared" si="3600"/>
        <v>0</v>
      </c>
      <c r="J594" s="74"/>
      <c r="K594" s="252">
        <f t="shared" si="3601"/>
        <v>0</v>
      </c>
      <c r="L594" s="74"/>
      <c r="M594" s="252">
        <f t="shared" si="3602"/>
        <v>0</v>
      </c>
      <c r="N594" s="74"/>
      <c r="O594" s="252">
        <f t="shared" si="3603"/>
        <v>0</v>
      </c>
      <c r="P594" s="74"/>
      <c r="Q594" s="252">
        <f t="shared" si="3604"/>
        <v>0</v>
      </c>
      <c r="R594" s="74"/>
      <c r="S594" s="252">
        <f t="shared" si="3605"/>
        <v>0</v>
      </c>
      <c r="T594" s="74"/>
      <c r="U594" s="252">
        <f t="shared" si="3606"/>
        <v>0</v>
      </c>
      <c r="V594" s="74"/>
      <c r="W594" s="252">
        <f t="shared" si="3607"/>
        <v>0</v>
      </c>
      <c r="X594" s="74"/>
      <c r="Y594" s="252">
        <f t="shared" si="3608"/>
        <v>0</v>
      </c>
      <c r="Z594" s="74"/>
      <c r="AA594" s="252">
        <f t="shared" si="3609"/>
        <v>0</v>
      </c>
      <c r="AB594" s="74"/>
      <c r="AC594" s="252">
        <f t="shared" si="3610"/>
        <v>0</v>
      </c>
      <c r="AD594" s="74"/>
      <c r="AE594" s="252">
        <f t="shared" si="3611"/>
        <v>0</v>
      </c>
      <c r="AF594" s="98"/>
      <c r="AG594" s="98"/>
    </row>
    <row r="595" spans="1:33" ht="18.75" customHeight="1" outlineLevel="1">
      <c r="A595" s="396" t="str">
        <f>A507</f>
        <v>1103 TOP UP (2.00KG)</v>
      </c>
      <c r="B595" s="74"/>
      <c r="C595" s="397">
        <f t="shared" si="3612"/>
        <v>0</v>
      </c>
      <c r="D595" s="74"/>
      <c r="E595" s="397">
        <f t="shared" si="3613"/>
        <v>0</v>
      </c>
      <c r="F595" s="74"/>
      <c r="G595" s="397">
        <f t="shared" si="3599"/>
        <v>0</v>
      </c>
      <c r="H595" s="74"/>
      <c r="I595" s="397">
        <f t="shared" si="3600"/>
        <v>0</v>
      </c>
      <c r="J595" s="74"/>
      <c r="K595" s="397">
        <f t="shared" si="3601"/>
        <v>0</v>
      </c>
      <c r="L595" s="74"/>
      <c r="M595" s="397">
        <f t="shared" si="3602"/>
        <v>0</v>
      </c>
      <c r="N595" s="74"/>
      <c r="O595" s="397">
        <f t="shared" si="3603"/>
        <v>0</v>
      </c>
      <c r="P595" s="74"/>
      <c r="Q595" s="397">
        <f t="shared" si="3604"/>
        <v>0</v>
      </c>
      <c r="R595" s="74"/>
      <c r="S595" s="397">
        <f t="shared" si="3605"/>
        <v>0</v>
      </c>
      <c r="T595" s="74"/>
      <c r="U595" s="397">
        <f t="shared" si="3606"/>
        <v>0</v>
      </c>
      <c r="V595" s="74"/>
      <c r="W595" s="397">
        <f t="shared" si="3607"/>
        <v>0</v>
      </c>
      <c r="X595" s="74"/>
      <c r="Y595" s="397">
        <f t="shared" si="3608"/>
        <v>0</v>
      </c>
      <c r="Z595" s="74"/>
      <c r="AA595" s="397">
        <f t="shared" si="3609"/>
        <v>0</v>
      </c>
      <c r="AB595" s="74"/>
      <c r="AC595" s="397">
        <f t="shared" si="3610"/>
        <v>0</v>
      </c>
      <c r="AD595" s="74"/>
      <c r="AE595" s="397">
        <f t="shared" si="3611"/>
        <v>0</v>
      </c>
      <c r="AF595" s="98"/>
      <c r="AG595" s="98"/>
    </row>
    <row r="596" spans="1:33" ht="18.75" customHeight="1" outlineLevel="1">
      <c r="A596" s="396" t="str">
        <f>A68</f>
        <v>QUANTUM GLO 4%</v>
      </c>
      <c r="B596" s="74"/>
      <c r="C596" s="397">
        <f t="shared" si="3612"/>
        <v>0</v>
      </c>
      <c r="D596" s="74"/>
      <c r="E596" s="397">
        <f t="shared" si="3613"/>
        <v>0</v>
      </c>
      <c r="F596" s="74"/>
      <c r="G596" s="397">
        <f t="shared" ref="G596:G608" si="3614">(F596/100)*1000</f>
        <v>0</v>
      </c>
      <c r="H596" s="74"/>
      <c r="I596" s="397">
        <f t="shared" ref="I596:I608" si="3615">(H596/100)*1000</f>
        <v>0</v>
      </c>
      <c r="J596" s="74"/>
      <c r="K596" s="397">
        <f t="shared" ref="K596:K608" si="3616">(J596/100)*1000</f>
        <v>0</v>
      </c>
      <c r="L596" s="74"/>
      <c r="M596" s="397">
        <f t="shared" ref="M596:M608" si="3617">(L596/100)*1000</f>
        <v>0</v>
      </c>
      <c r="N596" s="74"/>
      <c r="O596" s="397">
        <f t="shared" ref="O596:O608" si="3618">(N596/100)*1000</f>
        <v>0</v>
      </c>
      <c r="P596" s="74"/>
      <c r="Q596" s="397">
        <f t="shared" ref="Q596:Q608" si="3619">(P596/100)*1000</f>
        <v>0</v>
      </c>
      <c r="R596" s="74"/>
      <c r="S596" s="397">
        <f t="shared" ref="S596:S608" si="3620">(R596/100)*1000</f>
        <v>0</v>
      </c>
      <c r="T596" s="74"/>
      <c r="U596" s="397">
        <f t="shared" ref="U596:U608" si="3621">(T596/100)*1000</f>
        <v>0</v>
      </c>
      <c r="V596" s="74"/>
      <c r="W596" s="397">
        <f t="shared" ref="W596:W608" si="3622">(V596/100)*1000</f>
        <v>0</v>
      </c>
      <c r="X596" s="74"/>
      <c r="Y596" s="397">
        <f t="shared" ref="Y596:Y608" si="3623">(X596/100)*1000</f>
        <v>0</v>
      </c>
      <c r="Z596" s="74"/>
      <c r="AA596" s="397">
        <f t="shared" ref="AA596:AA608" si="3624">(Z596/100)*1000</f>
        <v>0</v>
      </c>
      <c r="AB596" s="74"/>
      <c r="AC596" s="397">
        <f t="shared" ref="AC596:AC608" si="3625">(AB596/100)*1000</f>
        <v>0</v>
      </c>
      <c r="AD596" s="74"/>
      <c r="AE596" s="397">
        <f t="shared" ref="AE596:AE608" si="3626">(AD596/100)*1000</f>
        <v>0</v>
      </c>
      <c r="AF596" s="98"/>
      <c r="AG596" s="98"/>
    </row>
    <row r="597" spans="1:33" ht="18.75" customHeight="1" outlineLevel="1">
      <c r="A597" s="396" t="str">
        <f>A69</f>
        <v>SALT</v>
      </c>
      <c r="B597" s="74"/>
      <c r="C597" s="252">
        <f t="shared" si="3612"/>
        <v>0</v>
      </c>
      <c r="D597" s="74"/>
      <c r="E597" s="252">
        <f t="shared" si="3613"/>
        <v>0</v>
      </c>
      <c r="F597" s="74"/>
      <c r="G597" s="252">
        <f t="shared" si="3614"/>
        <v>0</v>
      </c>
      <c r="H597" s="74"/>
      <c r="I597" s="252">
        <f t="shared" si="3615"/>
        <v>0</v>
      </c>
      <c r="J597" s="74"/>
      <c r="K597" s="252">
        <f t="shared" si="3616"/>
        <v>0</v>
      </c>
      <c r="L597" s="74"/>
      <c r="M597" s="252">
        <f t="shared" si="3617"/>
        <v>0</v>
      </c>
      <c r="N597" s="74"/>
      <c r="O597" s="252">
        <f t="shared" si="3618"/>
        <v>0</v>
      </c>
      <c r="P597" s="74"/>
      <c r="Q597" s="252">
        <f t="shared" si="3619"/>
        <v>0</v>
      </c>
      <c r="R597" s="74"/>
      <c r="S597" s="252">
        <f t="shared" si="3620"/>
        <v>0</v>
      </c>
      <c r="T597" s="74"/>
      <c r="U597" s="252">
        <f t="shared" si="3621"/>
        <v>0</v>
      </c>
      <c r="V597" s="74"/>
      <c r="W597" s="252">
        <f t="shared" si="3622"/>
        <v>0</v>
      </c>
      <c r="X597" s="74"/>
      <c r="Y597" s="252">
        <f t="shared" si="3623"/>
        <v>0</v>
      </c>
      <c r="Z597" s="74"/>
      <c r="AA597" s="252">
        <f t="shared" si="3624"/>
        <v>0</v>
      </c>
      <c r="AB597" s="74"/>
      <c r="AC597" s="252">
        <f t="shared" si="3625"/>
        <v>0</v>
      </c>
      <c r="AD597" s="74"/>
      <c r="AE597" s="252">
        <f t="shared" si="3626"/>
        <v>0</v>
      </c>
      <c r="AF597" s="98"/>
      <c r="AG597" s="98"/>
    </row>
    <row r="598" spans="1:33" ht="18.75" customHeight="1" outlineLevel="1">
      <c r="A598" s="396" t="s">
        <v>128</v>
      </c>
      <c r="B598" s="74"/>
      <c r="C598" s="252">
        <f t="shared" si="3612"/>
        <v>0</v>
      </c>
      <c r="D598" s="74"/>
      <c r="E598" s="252">
        <f t="shared" si="3613"/>
        <v>0</v>
      </c>
      <c r="F598" s="74"/>
      <c r="G598" s="252">
        <f t="shared" si="3614"/>
        <v>0</v>
      </c>
      <c r="H598" s="74"/>
      <c r="I598" s="252">
        <f t="shared" si="3615"/>
        <v>0</v>
      </c>
      <c r="J598" s="74"/>
      <c r="K598" s="252">
        <f t="shared" si="3616"/>
        <v>0</v>
      </c>
      <c r="L598" s="74"/>
      <c r="M598" s="252">
        <f t="shared" si="3617"/>
        <v>0</v>
      </c>
      <c r="N598" s="74"/>
      <c r="O598" s="252">
        <f t="shared" si="3618"/>
        <v>0</v>
      </c>
      <c r="P598" s="74"/>
      <c r="Q598" s="252">
        <f t="shared" si="3619"/>
        <v>0</v>
      </c>
      <c r="R598" s="74"/>
      <c r="S598" s="252">
        <f t="shared" si="3620"/>
        <v>0</v>
      </c>
      <c r="T598" s="74"/>
      <c r="U598" s="252">
        <f t="shared" si="3621"/>
        <v>0</v>
      </c>
      <c r="V598" s="74"/>
      <c r="W598" s="252">
        <f t="shared" si="3622"/>
        <v>0</v>
      </c>
      <c r="X598" s="74"/>
      <c r="Y598" s="252">
        <f t="shared" si="3623"/>
        <v>0</v>
      </c>
      <c r="Z598" s="74"/>
      <c r="AA598" s="252">
        <f t="shared" si="3624"/>
        <v>0</v>
      </c>
      <c r="AB598" s="74"/>
      <c r="AC598" s="252">
        <f t="shared" si="3625"/>
        <v>0</v>
      </c>
      <c r="AD598" s="74"/>
      <c r="AE598" s="252">
        <f t="shared" si="3626"/>
        <v>0</v>
      </c>
      <c r="AF598" s="98"/>
      <c r="AG598" s="98"/>
    </row>
    <row r="599" spans="1:33" ht="18.75" customHeight="1" outlineLevel="1">
      <c r="A599" s="396">
        <f>A71</f>
        <v>3</v>
      </c>
      <c r="B599" s="74"/>
      <c r="C599" s="252">
        <f t="shared" si="3612"/>
        <v>0</v>
      </c>
      <c r="D599" s="74"/>
      <c r="E599" s="252">
        <f t="shared" si="3613"/>
        <v>0</v>
      </c>
      <c r="F599" s="74"/>
      <c r="G599" s="252">
        <f t="shared" si="3614"/>
        <v>0</v>
      </c>
      <c r="H599" s="74"/>
      <c r="I599" s="252">
        <f t="shared" si="3615"/>
        <v>0</v>
      </c>
      <c r="J599" s="74"/>
      <c r="K599" s="252">
        <f t="shared" si="3616"/>
        <v>0</v>
      </c>
      <c r="L599" s="74"/>
      <c r="M599" s="252">
        <f t="shared" si="3617"/>
        <v>0</v>
      </c>
      <c r="N599" s="74"/>
      <c r="O599" s="252">
        <f t="shared" si="3618"/>
        <v>0</v>
      </c>
      <c r="P599" s="74"/>
      <c r="Q599" s="252">
        <f t="shared" si="3619"/>
        <v>0</v>
      </c>
      <c r="R599" s="74"/>
      <c r="S599" s="252">
        <f t="shared" si="3620"/>
        <v>0</v>
      </c>
      <c r="T599" s="74"/>
      <c r="U599" s="252">
        <f t="shared" si="3621"/>
        <v>0</v>
      </c>
      <c r="V599" s="74"/>
      <c r="W599" s="252">
        <f t="shared" si="3622"/>
        <v>0</v>
      </c>
      <c r="X599" s="74"/>
      <c r="Y599" s="252">
        <f t="shared" si="3623"/>
        <v>0</v>
      </c>
      <c r="Z599" s="74"/>
      <c r="AA599" s="252">
        <f t="shared" si="3624"/>
        <v>0</v>
      </c>
      <c r="AB599" s="74"/>
      <c r="AC599" s="252">
        <f t="shared" si="3625"/>
        <v>0</v>
      </c>
      <c r="AD599" s="74"/>
      <c r="AE599" s="252">
        <f t="shared" si="3626"/>
        <v>0</v>
      </c>
      <c r="AF599" s="98"/>
      <c r="AG599" s="98"/>
    </row>
    <row r="600" spans="1:33" ht="18.75" customHeight="1" outlineLevel="1">
      <c r="A600" s="351">
        <f>A72</f>
        <v>4</v>
      </c>
      <c r="B600" s="74"/>
      <c r="C600" s="252">
        <f t="shared" si="3612"/>
        <v>0</v>
      </c>
      <c r="D600" s="74"/>
      <c r="E600" s="252">
        <f t="shared" si="3613"/>
        <v>0</v>
      </c>
      <c r="F600" s="74"/>
      <c r="G600" s="252">
        <f t="shared" si="3614"/>
        <v>0</v>
      </c>
      <c r="H600" s="74"/>
      <c r="I600" s="252">
        <f t="shared" si="3615"/>
        <v>0</v>
      </c>
      <c r="J600" s="74"/>
      <c r="K600" s="252">
        <f t="shared" si="3616"/>
        <v>0</v>
      </c>
      <c r="L600" s="74"/>
      <c r="M600" s="252">
        <f t="shared" si="3617"/>
        <v>0</v>
      </c>
      <c r="N600" s="74"/>
      <c r="O600" s="252">
        <f t="shared" si="3618"/>
        <v>0</v>
      </c>
      <c r="P600" s="74"/>
      <c r="Q600" s="252">
        <f t="shared" si="3619"/>
        <v>0</v>
      </c>
      <c r="R600" s="74"/>
      <c r="S600" s="252">
        <f t="shared" si="3620"/>
        <v>0</v>
      </c>
      <c r="T600" s="74"/>
      <c r="U600" s="252">
        <f t="shared" si="3621"/>
        <v>0</v>
      </c>
      <c r="V600" s="74"/>
      <c r="W600" s="252">
        <f t="shared" si="3622"/>
        <v>0</v>
      </c>
      <c r="X600" s="74"/>
      <c r="Y600" s="252">
        <f t="shared" si="3623"/>
        <v>0</v>
      </c>
      <c r="Z600" s="74"/>
      <c r="AA600" s="252">
        <f t="shared" si="3624"/>
        <v>0</v>
      </c>
      <c r="AB600" s="74"/>
      <c r="AC600" s="252">
        <f t="shared" si="3625"/>
        <v>0</v>
      </c>
      <c r="AD600" s="74"/>
      <c r="AE600" s="252">
        <f t="shared" si="3626"/>
        <v>0</v>
      </c>
      <c r="AF600" s="98"/>
      <c r="AG600" s="98"/>
    </row>
    <row r="601" spans="1:33" ht="18.75" customHeight="1" outlineLevel="1">
      <c r="A601" s="351" t="str">
        <f t="shared" ref="A601:A615" si="3627">A73</f>
        <v>WOVEN BAG (1101) - BLUE 50KG</v>
      </c>
      <c r="B601" s="74"/>
      <c r="C601" s="252">
        <f t="shared" si="3612"/>
        <v>0</v>
      </c>
      <c r="D601" s="74"/>
      <c r="E601" s="252">
        <f t="shared" si="3613"/>
        <v>0</v>
      </c>
      <c r="F601" s="74"/>
      <c r="G601" s="252">
        <f t="shared" si="3614"/>
        <v>0</v>
      </c>
      <c r="H601" s="74"/>
      <c r="I601" s="252">
        <f t="shared" si="3615"/>
        <v>0</v>
      </c>
      <c r="J601" s="74"/>
      <c r="K601" s="252">
        <f t="shared" si="3616"/>
        <v>0</v>
      </c>
      <c r="L601" s="74"/>
      <c r="M601" s="252">
        <f t="shared" si="3617"/>
        <v>0</v>
      </c>
      <c r="N601" s="74"/>
      <c r="O601" s="252">
        <f t="shared" si="3618"/>
        <v>0</v>
      </c>
      <c r="P601" s="74"/>
      <c r="Q601" s="252">
        <f t="shared" si="3619"/>
        <v>0</v>
      </c>
      <c r="R601" s="74"/>
      <c r="S601" s="252">
        <f t="shared" si="3620"/>
        <v>0</v>
      </c>
      <c r="T601" s="74"/>
      <c r="U601" s="252">
        <f t="shared" si="3621"/>
        <v>0</v>
      </c>
      <c r="V601" s="74"/>
      <c r="W601" s="252">
        <f t="shared" si="3622"/>
        <v>0</v>
      </c>
      <c r="X601" s="74"/>
      <c r="Y601" s="252">
        <f t="shared" si="3623"/>
        <v>0</v>
      </c>
      <c r="Z601" s="74"/>
      <c r="AA601" s="252">
        <f t="shared" si="3624"/>
        <v>0</v>
      </c>
      <c r="AB601" s="74"/>
      <c r="AC601" s="252">
        <f t="shared" si="3625"/>
        <v>0</v>
      </c>
      <c r="AD601" s="74"/>
      <c r="AE601" s="252">
        <f t="shared" si="3626"/>
        <v>0</v>
      </c>
      <c r="AF601" s="98"/>
      <c r="AG601" s="98"/>
    </row>
    <row r="602" spans="1:33" ht="18.75" customHeight="1" outlineLevel="1">
      <c r="A602" s="351" t="str">
        <f t="shared" si="3627"/>
        <v>WOVEN BAG (1102) - GREEN 50KG</v>
      </c>
      <c r="B602" s="74"/>
      <c r="C602" s="252">
        <f t="shared" si="3612"/>
        <v>0</v>
      </c>
      <c r="D602" s="74"/>
      <c r="E602" s="252">
        <f t="shared" si="3613"/>
        <v>0</v>
      </c>
      <c r="F602" s="74"/>
      <c r="G602" s="252">
        <f t="shared" si="3614"/>
        <v>0</v>
      </c>
      <c r="H602" s="74"/>
      <c r="I602" s="252">
        <f t="shared" si="3615"/>
        <v>0</v>
      </c>
      <c r="J602" s="74"/>
      <c r="K602" s="252">
        <f t="shared" si="3616"/>
        <v>0</v>
      </c>
      <c r="L602" s="74"/>
      <c r="M602" s="252">
        <f t="shared" si="3617"/>
        <v>0</v>
      </c>
      <c r="N602" s="74"/>
      <c r="O602" s="252">
        <f t="shared" si="3618"/>
        <v>0</v>
      </c>
      <c r="P602" s="74"/>
      <c r="Q602" s="252">
        <f t="shared" si="3619"/>
        <v>0</v>
      </c>
      <c r="R602" s="74"/>
      <c r="S602" s="252">
        <f t="shared" si="3620"/>
        <v>0</v>
      </c>
      <c r="T602" s="74"/>
      <c r="U602" s="252">
        <f t="shared" si="3621"/>
        <v>0</v>
      </c>
      <c r="V602" s="74"/>
      <c r="W602" s="252">
        <f t="shared" si="3622"/>
        <v>0</v>
      </c>
      <c r="X602" s="74"/>
      <c r="Y602" s="252">
        <f t="shared" si="3623"/>
        <v>0</v>
      </c>
      <c r="Z602" s="74"/>
      <c r="AA602" s="252">
        <f t="shared" si="3624"/>
        <v>0</v>
      </c>
      <c r="AB602" s="74"/>
      <c r="AC602" s="252">
        <f t="shared" si="3625"/>
        <v>0</v>
      </c>
      <c r="AD602" s="74"/>
      <c r="AE602" s="252">
        <f t="shared" si="3626"/>
        <v>0</v>
      </c>
      <c r="AF602" s="98"/>
      <c r="AG602" s="98"/>
    </row>
    <row r="603" spans="1:33" ht="18.75" customHeight="1" outlineLevel="1">
      <c r="A603" s="351" t="str">
        <f t="shared" si="3627"/>
        <v>WOVEN BAG (1103) - RED 50KG</v>
      </c>
      <c r="B603" s="74"/>
      <c r="C603" s="252">
        <f t="shared" si="3612"/>
        <v>0</v>
      </c>
      <c r="D603" s="74"/>
      <c r="E603" s="252">
        <f t="shared" si="3613"/>
        <v>0</v>
      </c>
      <c r="F603" s="74"/>
      <c r="G603" s="252">
        <f t="shared" si="3614"/>
        <v>0</v>
      </c>
      <c r="H603" s="74"/>
      <c r="I603" s="252">
        <f t="shared" si="3615"/>
        <v>0</v>
      </c>
      <c r="J603" s="74"/>
      <c r="K603" s="252">
        <f t="shared" si="3616"/>
        <v>0</v>
      </c>
      <c r="L603" s="74"/>
      <c r="M603" s="252">
        <f t="shared" si="3617"/>
        <v>0</v>
      </c>
      <c r="N603" s="74"/>
      <c r="O603" s="252">
        <f t="shared" si="3618"/>
        <v>0</v>
      </c>
      <c r="P603" s="74"/>
      <c r="Q603" s="252">
        <f t="shared" si="3619"/>
        <v>0</v>
      </c>
      <c r="R603" s="74"/>
      <c r="S603" s="252">
        <f t="shared" si="3620"/>
        <v>0</v>
      </c>
      <c r="T603" s="74"/>
      <c r="U603" s="252">
        <f t="shared" si="3621"/>
        <v>0</v>
      </c>
      <c r="V603" s="74"/>
      <c r="W603" s="252">
        <f t="shared" si="3622"/>
        <v>0</v>
      </c>
      <c r="X603" s="74"/>
      <c r="Y603" s="252">
        <f t="shared" si="3623"/>
        <v>0</v>
      </c>
      <c r="Z603" s="74"/>
      <c r="AA603" s="252">
        <f t="shared" si="3624"/>
        <v>0</v>
      </c>
      <c r="AB603" s="74"/>
      <c r="AC603" s="252">
        <f t="shared" si="3625"/>
        <v>0</v>
      </c>
      <c r="AD603" s="74"/>
      <c r="AE603" s="252">
        <f t="shared" si="3626"/>
        <v>0</v>
      </c>
      <c r="AF603" s="98"/>
      <c r="AG603" s="98"/>
    </row>
    <row r="604" spans="1:33" ht="18.75" customHeight="1" outlineLevel="1">
      <c r="A604" s="351" t="str">
        <f t="shared" si="3627"/>
        <v>PLAIN BAG 26" X 39" (50KG)</v>
      </c>
      <c r="B604" s="74"/>
      <c r="C604" s="252">
        <f t="shared" si="3612"/>
        <v>0</v>
      </c>
      <c r="D604" s="74"/>
      <c r="E604" s="252">
        <f t="shared" si="3613"/>
        <v>0</v>
      </c>
      <c r="F604" s="74"/>
      <c r="G604" s="252">
        <f t="shared" si="3614"/>
        <v>0</v>
      </c>
      <c r="H604" s="74"/>
      <c r="I604" s="252">
        <f t="shared" si="3615"/>
        <v>0</v>
      </c>
      <c r="J604" s="74"/>
      <c r="K604" s="252">
        <f t="shared" si="3616"/>
        <v>0</v>
      </c>
      <c r="L604" s="74"/>
      <c r="M604" s="252">
        <f t="shared" si="3617"/>
        <v>0</v>
      </c>
      <c r="N604" s="74"/>
      <c r="O604" s="252">
        <f t="shared" si="3618"/>
        <v>0</v>
      </c>
      <c r="P604" s="74"/>
      <c r="Q604" s="252">
        <f t="shared" si="3619"/>
        <v>0</v>
      </c>
      <c r="R604" s="74"/>
      <c r="S604" s="252">
        <f t="shared" si="3620"/>
        <v>0</v>
      </c>
      <c r="T604" s="74"/>
      <c r="U604" s="252">
        <f t="shared" si="3621"/>
        <v>0</v>
      </c>
      <c r="V604" s="74"/>
      <c r="W604" s="252">
        <f t="shared" si="3622"/>
        <v>0</v>
      </c>
      <c r="X604" s="74"/>
      <c r="Y604" s="252">
        <f t="shared" si="3623"/>
        <v>0</v>
      </c>
      <c r="Z604" s="74"/>
      <c r="AA604" s="252">
        <f t="shared" si="3624"/>
        <v>0</v>
      </c>
      <c r="AB604" s="74"/>
      <c r="AC604" s="252">
        <f t="shared" si="3625"/>
        <v>0</v>
      </c>
      <c r="AD604" s="74"/>
      <c r="AE604" s="252">
        <f t="shared" si="3626"/>
        <v>0</v>
      </c>
      <c r="AF604" s="98"/>
      <c r="AG604" s="98"/>
    </row>
    <row r="605" spans="1:33" ht="18.75" customHeight="1" outlineLevel="1">
      <c r="A605" s="351" t="str">
        <f t="shared" si="3627"/>
        <v>WOVEN BAG (8101) - KHAKI 50KG</v>
      </c>
      <c r="B605" s="74"/>
      <c r="C605" s="252">
        <f t="shared" si="3612"/>
        <v>0</v>
      </c>
      <c r="D605" s="74"/>
      <c r="E605" s="252">
        <f t="shared" si="3613"/>
        <v>0</v>
      </c>
      <c r="F605" s="74"/>
      <c r="G605" s="252">
        <f t="shared" si="3614"/>
        <v>0</v>
      </c>
      <c r="H605" s="74"/>
      <c r="I605" s="252">
        <f t="shared" si="3615"/>
        <v>0</v>
      </c>
      <c r="J605" s="74"/>
      <c r="K605" s="252">
        <f t="shared" si="3616"/>
        <v>0</v>
      </c>
      <c r="L605" s="74"/>
      <c r="M605" s="252">
        <f t="shared" si="3617"/>
        <v>0</v>
      </c>
      <c r="N605" s="74"/>
      <c r="O605" s="252">
        <f t="shared" si="3618"/>
        <v>0</v>
      </c>
      <c r="P605" s="74"/>
      <c r="Q605" s="252">
        <f t="shared" si="3619"/>
        <v>0</v>
      </c>
      <c r="R605" s="74"/>
      <c r="S605" s="252">
        <f t="shared" si="3620"/>
        <v>0</v>
      </c>
      <c r="T605" s="74"/>
      <c r="U605" s="252">
        <f t="shared" si="3621"/>
        <v>0</v>
      </c>
      <c r="V605" s="74"/>
      <c r="W605" s="252">
        <f t="shared" si="3622"/>
        <v>0</v>
      </c>
      <c r="X605" s="74"/>
      <c r="Y605" s="252">
        <f t="shared" si="3623"/>
        <v>0</v>
      </c>
      <c r="Z605" s="74"/>
      <c r="AA605" s="252">
        <f t="shared" si="3624"/>
        <v>0</v>
      </c>
      <c r="AB605" s="74"/>
      <c r="AC605" s="252">
        <f t="shared" si="3625"/>
        <v>0</v>
      </c>
      <c r="AD605" s="74"/>
      <c r="AE605" s="252">
        <f t="shared" si="3626"/>
        <v>0</v>
      </c>
      <c r="AF605" s="98"/>
      <c r="AG605" s="98"/>
    </row>
    <row r="606" spans="1:33" ht="18.75" customHeight="1" outlineLevel="1">
      <c r="A606" s="351" t="str">
        <f t="shared" si="3627"/>
        <v>WOVEN BAG (8102) - SKY BLUE 50KG</v>
      </c>
      <c r="B606" s="74"/>
      <c r="C606" s="252">
        <f t="shared" si="3612"/>
        <v>0</v>
      </c>
      <c r="D606" s="74"/>
      <c r="E606" s="252">
        <f t="shared" si="3613"/>
        <v>0</v>
      </c>
      <c r="F606" s="74"/>
      <c r="G606" s="252">
        <f t="shared" si="3614"/>
        <v>0</v>
      </c>
      <c r="H606" s="74"/>
      <c r="I606" s="252">
        <f t="shared" si="3615"/>
        <v>0</v>
      </c>
      <c r="J606" s="74"/>
      <c r="K606" s="252">
        <f t="shared" si="3616"/>
        <v>0</v>
      </c>
      <c r="L606" s="74"/>
      <c r="M606" s="252">
        <f t="shared" si="3617"/>
        <v>0</v>
      </c>
      <c r="N606" s="74"/>
      <c r="O606" s="252">
        <f t="shared" si="3618"/>
        <v>0</v>
      </c>
      <c r="P606" s="74"/>
      <c r="Q606" s="252">
        <f t="shared" si="3619"/>
        <v>0</v>
      </c>
      <c r="R606" s="74"/>
      <c r="S606" s="252">
        <f t="shared" si="3620"/>
        <v>0</v>
      </c>
      <c r="T606" s="74"/>
      <c r="U606" s="252">
        <f t="shared" si="3621"/>
        <v>0</v>
      </c>
      <c r="V606" s="74"/>
      <c r="W606" s="252">
        <f t="shared" si="3622"/>
        <v>0</v>
      </c>
      <c r="X606" s="74"/>
      <c r="Y606" s="252">
        <f t="shared" si="3623"/>
        <v>0</v>
      </c>
      <c r="Z606" s="74"/>
      <c r="AA606" s="252">
        <f t="shared" si="3624"/>
        <v>0</v>
      </c>
      <c r="AB606" s="74"/>
      <c r="AC606" s="252">
        <f t="shared" si="3625"/>
        <v>0</v>
      </c>
      <c r="AD606" s="74"/>
      <c r="AE606" s="252">
        <f t="shared" si="3626"/>
        <v>0</v>
      </c>
      <c r="AF606" s="98"/>
      <c r="AG606" s="98"/>
    </row>
    <row r="607" spans="1:33" ht="18.75" customHeight="1" outlineLevel="1">
      <c r="A607" s="351" t="str">
        <f t="shared" si="3627"/>
        <v>WOVEN BAG (8103) - BROWN 50KG</v>
      </c>
      <c r="B607" s="74"/>
      <c r="C607" s="397">
        <f t="shared" si="3612"/>
        <v>0</v>
      </c>
      <c r="D607" s="74"/>
      <c r="E607" s="397">
        <f t="shared" si="3613"/>
        <v>0</v>
      </c>
      <c r="F607" s="74"/>
      <c r="G607" s="397">
        <f t="shared" si="3614"/>
        <v>0</v>
      </c>
      <c r="H607" s="74"/>
      <c r="I607" s="397">
        <f t="shared" si="3615"/>
        <v>0</v>
      </c>
      <c r="J607" s="74"/>
      <c r="K607" s="397">
        <f t="shared" si="3616"/>
        <v>0</v>
      </c>
      <c r="L607" s="74"/>
      <c r="M607" s="397">
        <f t="shared" si="3617"/>
        <v>0</v>
      </c>
      <c r="N607" s="74"/>
      <c r="O607" s="397">
        <f t="shared" si="3618"/>
        <v>0</v>
      </c>
      <c r="P607" s="74"/>
      <c r="Q607" s="397">
        <f t="shared" si="3619"/>
        <v>0</v>
      </c>
      <c r="R607" s="74"/>
      <c r="S607" s="397">
        <f t="shared" si="3620"/>
        <v>0</v>
      </c>
      <c r="T607" s="74"/>
      <c r="U607" s="397">
        <f t="shared" si="3621"/>
        <v>0</v>
      </c>
      <c r="V607" s="74"/>
      <c r="W607" s="397">
        <f t="shared" si="3622"/>
        <v>0</v>
      </c>
      <c r="X607" s="74"/>
      <c r="Y607" s="397">
        <f t="shared" si="3623"/>
        <v>0</v>
      </c>
      <c r="Z607" s="74"/>
      <c r="AA607" s="397">
        <f t="shared" si="3624"/>
        <v>0</v>
      </c>
      <c r="AB607" s="74"/>
      <c r="AC607" s="397">
        <f t="shared" si="3625"/>
        <v>0</v>
      </c>
      <c r="AD607" s="74"/>
      <c r="AE607" s="397">
        <f t="shared" si="3626"/>
        <v>0</v>
      </c>
      <c r="AF607" s="98"/>
      <c r="AG607" s="98"/>
    </row>
    <row r="608" spans="1:33" ht="18.75" customHeight="1" outlineLevel="1">
      <c r="A608" s="351">
        <f t="shared" si="3627"/>
        <v>1</v>
      </c>
      <c r="B608" s="74"/>
      <c r="C608" s="397">
        <f t="shared" si="3612"/>
        <v>0</v>
      </c>
      <c r="D608" s="74"/>
      <c r="E608" s="397">
        <f t="shared" si="3613"/>
        <v>0</v>
      </c>
      <c r="F608" s="74"/>
      <c r="G608" s="397">
        <f t="shared" si="3614"/>
        <v>0</v>
      </c>
      <c r="H608" s="74"/>
      <c r="I608" s="397">
        <f t="shared" si="3615"/>
        <v>0</v>
      </c>
      <c r="J608" s="74"/>
      <c r="K608" s="397">
        <f t="shared" si="3616"/>
        <v>0</v>
      </c>
      <c r="L608" s="74"/>
      <c r="M608" s="397">
        <f t="shared" si="3617"/>
        <v>0</v>
      </c>
      <c r="N608" s="74"/>
      <c r="O608" s="397">
        <f t="shared" si="3618"/>
        <v>0</v>
      </c>
      <c r="P608" s="74"/>
      <c r="Q608" s="397">
        <f t="shared" si="3619"/>
        <v>0</v>
      </c>
      <c r="R608" s="74"/>
      <c r="S608" s="397">
        <f t="shared" si="3620"/>
        <v>0</v>
      </c>
      <c r="T608" s="74"/>
      <c r="U608" s="397">
        <f t="shared" si="3621"/>
        <v>0</v>
      </c>
      <c r="V608" s="74"/>
      <c r="W608" s="397">
        <f t="shared" si="3622"/>
        <v>0</v>
      </c>
      <c r="X608" s="74"/>
      <c r="Y608" s="397">
        <f t="shared" si="3623"/>
        <v>0</v>
      </c>
      <c r="Z608" s="74"/>
      <c r="AA608" s="397">
        <f t="shared" si="3624"/>
        <v>0</v>
      </c>
      <c r="AB608" s="74"/>
      <c r="AC608" s="397">
        <f t="shared" si="3625"/>
        <v>0</v>
      </c>
      <c r="AD608" s="74"/>
      <c r="AE608" s="397">
        <f t="shared" si="3626"/>
        <v>0</v>
      </c>
      <c r="AF608" s="98"/>
      <c r="AG608" s="98"/>
    </row>
    <row r="609" spans="1:33" ht="18.75" customHeight="1" outlineLevel="1">
      <c r="A609" s="351">
        <f t="shared" si="3627"/>
        <v>2</v>
      </c>
      <c r="B609" s="74"/>
      <c r="C609" s="252">
        <f t="shared" ref="C609:C615" si="3628">(B609/100)*1000</f>
        <v>0</v>
      </c>
      <c r="D609" s="74"/>
      <c r="E609" s="252">
        <f t="shared" ref="E609:E615" si="3629">(D609/100)*1000</f>
        <v>0</v>
      </c>
      <c r="F609" s="74"/>
      <c r="G609" s="252">
        <f t="shared" ref="G609:G615" si="3630">(F609/100)*1000</f>
        <v>0</v>
      </c>
      <c r="H609" s="74"/>
      <c r="I609" s="252">
        <f t="shared" ref="I609:I615" si="3631">(H609/100)*1000</f>
        <v>0</v>
      </c>
      <c r="J609" s="74"/>
      <c r="K609" s="252">
        <f t="shared" ref="K609:K615" si="3632">(J609/100)*1000</f>
        <v>0</v>
      </c>
      <c r="L609" s="74"/>
      <c r="M609" s="252">
        <f t="shared" ref="M609:M615" si="3633">(L609/100)*1000</f>
        <v>0</v>
      </c>
      <c r="N609" s="74"/>
      <c r="O609" s="252">
        <f t="shared" ref="O609:O615" si="3634">(N609/100)*1000</f>
        <v>0</v>
      </c>
      <c r="P609" s="74"/>
      <c r="Q609" s="252">
        <f t="shared" ref="Q609:Q615" si="3635">(P609/100)*1000</f>
        <v>0</v>
      </c>
      <c r="R609" s="74"/>
      <c r="S609" s="252">
        <f t="shared" ref="S609:S615" si="3636">(R609/100)*1000</f>
        <v>0</v>
      </c>
      <c r="T609" s="74"/>
      <c r="U609" s="252">
        <f t="shared" ref="U609:U615" si="3637">(T609/100)*1000</f>
        <v>0</v>
      </c>
      <c r="V609" s="74"/>
      <c r="W609" s="252">
        <f t="shared" ref="W609:W615" si="3638">(V609/100)*1000</f>
        <v>0</v>
      </c>
      <c r="X609" s="74"/>
      <c r="Y609" s="252">
        <f t="shared" ref="Y609:Y615" si="3639">(X609/100)*1000</f>
        <v>0</v>
      </c>
      <c r="Z609" s="74"/>
      <c r="AA609" s="252">
        <f t="shared" ref="AA609:AA615" si="3640">(Z609/100)*1000</f>
        <v>0</v>
      </c>
      <c r="AB609" s="74"/>
      <c r="AC609" s="252">
        <f t="shared" ref="AC609:AC615" si="3641">(AB609/100)*1000</f>
        <v>0</v>
      </c>
      <c r="AD609" s="74"/>
      <c r="AE609" s="252">
        <f t="shared" ref="AE609:AE615" si="3642">(AD609/100)*1000</f>
        <v>0</v>
      </c>
      <c r="AF609" s="98"/>
      <c r="AG609" s="98"/>
    </row>
    <row r="610" spans="1:33" ht="18.75" customHeight="1" outlineLevel="1">
      <c r="A610" s="351">
        <f t="shared" si="3627"/>
        <v>3</v>
      </c>
      <c r="B610" s="74"/>
      <c r="C610" s="252">
        <f t="shared" si="3628"/>
        <v>0</v>
      </c>
      <c r="D610" s="74"/>
      <c r="E610" s="252">
        <f t="shared" si="3629"/>
        <v>0</v>
      </c>
      <c r="F610" s="74"/>
      <c r="G610" s="252">
        <f t="shared" si="3630"/>
        <v>0</v>
      </c>
      <c r="H610" s="74"/>
      <c r="I610" s="252">
        <f t="shared" si="3631"/>
        <v>0</v>
      </c>
      <c r="J610" s="74"/>
      <c r="K610" s="252">
        <f t="shared" si="3632"/>
        <v>0</v>
      </c>
      <c r="L610" s="74"/>
      <c r="M610" s="252">
        <f t="shared" si="3633"/>
        <v>0</v>
      </c>
      <c r="N610" s="74"/>
      <c r="O610" s="252">
        <f t="shared" si="3634"/>
        <v>0</v>
      </c>
      <c r="P610" s="74"/>
      <c r="Q610" s="252">
        <f t="shared" si="3635"/>
        <v>0</v>
      </c>
      <c r="R610" s="74"/>
      <c r="S610" s="252">
        <f t="shared" si="3636"/>
        <v>0</v>
      </c>
      <c r="T610" s="74"/>
      <c r="U610" s="252">
        <f t="shared" si="3637"/>
        <v>0</v>
      </c>
      <c r="V610" s="74"/>
      <c r="W610" s="252">
        <f t="shared" si="3638"/>
        <v>0</v>
      </c>
      <c r="X610" s="74"/>
      <c r="Y610" s="252">
        <f t="shared" si="3639"/>
        <v>0</v>
      </c>
      <c r="Z610" s="74"/>
      <c r="AA610" s="252">
        <f t="shared" si="3640"/>
        <v>0</v>
      </c>
      <c r="AB610" s="74"/>
      <c r="AC610" s="252">
        <f t="shared" si="3641"/>
        <v>0</v>
      </c>
      <c r="AD610" s="74"/>
      <c r="AE610" s="252">
        <f t="shared" si="3642"/>
        <v>0</v>
      </c>
      <c r="AF610" s="98"/>
      <c r="AG610" s="98"/>
    </row>
    <row r="611" spans="1:33" ht="18.75" customHeight="1" outlineLevel="1">
      <c r="A611" s="351">
        <f t="shared" si="3627"/>
        <v>4</v>
      </c>
      <c r="B611" s="74"/>
      <c r="C611" s="252">
        <f t="shared" si="3628"/>
        <v>0</v>
      </c>
      <c r="D611" s="74"/>
      <c r="E611" s="252">
        <f t="shared" si="3629"/>
        <v>0</v>
      </c>
      <c r="F611" s="74"/>
      <c r="G611" s="252">
        <f t="shared" si="3630"/>
        <v>0</v>
      </c>
      <c r="H611" s="74"/>
      <c r="I611" s="252">
        <f t="shared" si="3631"/>
        <v>0</v>
      </c>
      <c r="J611" s="74"/>
      <c r="K611" s="252">
        <f t="shared" si="3632"/>
        <v>0</v>
      </c>
      <c r="L611" s="74"/>
      <c r="M611" s="252">
        <f t="shared" si="3633"/>
        <v>0</v>
      </c>
      <c r="N611" s="74"/>
      <c r="O611" s="252">
        <f t="shared" si="3634"/>
        <v>0</v>
      </c>
      <c r="P611" s="74"/>
      <c r="Q611" s="252">
        <f t="shared" si="3635"/>
        <v>0</v>
      </c>
      <c r="R611" s="74"/>
      <c r="S611" s="252">
        <f t="shared" si="3636"/>
        <v>0</v>
      </c>
      <c r="T611" s="74"/>
      <c r="U611" s="252">
        <f t="shared" si="3637"/>
        <v>0</v>
      </c>
      <c r="V611" s="74"/>
      <c r="W611" s="252">
        <f t="shared" si="3638"/>
        <v>0</v>
      </c>
      <c r="X611" s="74"/>
      <c r="Y611" s="252">
        <f t="shared" si="3639"/>
        <v>0</v>
      </c>
      <c r="Z611" s="74"/>
      <c r="AA611" s="252">
        <f t="shared" si="3640"/>
        <v>0</v>
      </c>
      <c r="AB611" s="74"/>
      <c r="AC611" s="252">
        <f t="shared" si="3641"/>
        <v>0</v>
      </c>
      <c r="AD611" s="74"/>
      <c r="AE611" s="252">
        <f t="shared" si="3642"/>
        <v>0</v>
      </c>
      <c r="AF611" s="98"/>
      <c r="AG611" s="98"/>
    </row>
    <row r="612" spans="1:33" ht="18.75" customHeight="1" outlineLevel="1">
      <c r="A612" s="351">
        <f t="shared" si="3627"/>
        <v>5</v>
      </c>
      <c r="B612" s="74"/>
      <c r="C612" s="252">
        <f t="shared" si="3628"/>
        <v>0</v>
      </c>
      <c r="D612" s="74"/>
      <c r="E612" s="252">
        <f t="shared" si="3629"/>
        <v>0</v>
      </c>
      <c r="F612" s="74"/>
      <c r="G612" s="252">
        <f t="shared" si="3630"/>
        <v>0</v>
      </c>
      <c r="H612" s="74"/>
      <c r="I612" s="252">
        <f t="shared" si="3631"/>
        <v>0</v>
      </c>
      <c r="J612" s="74"/>
      <c r="K612" s="252">
        <f t="shared" si="3632"/>
        <v>0</v>
      </c>
      <c r="L612" s="74"/>
      <c r="M612" s="252">
        <f t="shared" si="3633"/>
        <v>0</v>
      </c>
      <c r="N612" s="74"/>
      <c r="O612" s="252">
        <f t="shared" si="3634"/>
        <v>0</v>
      </c>
      <c r="P612" s="74"/>
      <c r="Q612" s="252">
        <f t="shared" si="3635"/>
        <v>0</v>
      </c>
      <c r="R612" s="74"/>
      <c r="S612" s="252">
        <f t="shared" si="3636"/>
        <v>0</v>
      </c>
      <c r="T612" s="74"/>
      <c r="U612" s="252">
        <f t="shared" si="3637"/>
        <v>0</v>
      </c>
      <c r="V612" s="74"/>
      <c r="W612" s="252">
        <f t="shared" si="3638"/>
        <v>0</v>
      </c>
      <c r="X612" s="74"/>
      <c r="Y612" s="252">
        <f t="shared" si="3639"/>
        <v>0</v>
      </c>
      <c r="Z612" s="74"/>
      <c r="AA612" s="252">
        <f t="shared" si="3640"/>
        <v>0</v>
      </c>
      <c r="AB612" s="74"/>
      <c r="AC612" s="252">
        <f t="shared" si="3641"/>
        <v>0</v>
      </c>
      <c r="AD612" s="74"/>
      <c r="AE612" s="252">
        <f t="shared" si="3642"/>
        <v>0</v>
      </c>
      <c r="AF612" s="98"/>
      <c r="AG612" s="98"/>
    </row>
    <row r="613" spans="1:33" ht="18.75" customHeight="1" outlineLevel="1">
      <c r="A613" s="351">
        <f t="shared" si="3627"/>
        <v>6</v>
      </c>
      <c r="B613" s="74"/>
      <c r="C613" s="252">
        <f t="shared" si="3628"/>
        <v>0</v>
      </c>
      <c r="D613" s="74"/>
      <c r="E613" s="252">
        <f t="shared" si="3629"/>
        <v>0</v>
      </c>
      <c r="F613" s="74"/>
      <c r="G613" s="252">
        <f t="shared" si="3630"/>
        <v>0</v>
      </c>
      <c r="H613" s="74"/>
      <c r="I613" s="252">
        <f t="shared" si="3631"/>
        <v>0</v>
      </c>
      <c r="J613" s="74"/>
      <c r="K613" s="252">
        <f t="shared" si="3632"/>
        <v>0</v>
      </c>
      <c r="L613" s="74"/>
      <c r="M613" s="252">
        <f t="shared" si="3633"/>
        <v>0</v>
      </c>
      <c r="N613" s="74"/>
      <c r="O613" s="252">
        <f t="shared" si="3634"/>
        <v>0</v>
      </c>
      <c r="P613" s="74"/>
      <c r="Q613" s="252">
        <f t="shared" si="3635"/>
        <v>0</v>
      </c>
      <c r="R613" s="74"/>
      <c r="S613" s="252">
        <f t="shared" si="3636"/>
        <v>0</v>
      </c>
      <c r="T613" s="74"/>
      <c r="U613" s="252">
        <f t="shared" si="3637"/>
        <v>0</v>
      </c>
      <c r="V613" s="74"/>
      <c r="W613" s="252">
        <f t="shared" si="3638"/>
        <v>0</v>
      </c>
      <c r="X613" s="74"/>
      <c r="Y613" s="252">
        <f t="shared" si="3639"/>
        <v>0</v>
      </c>
      <c r="Z613" s="74"/>
      <c r="AA613" s="252">
        <f t="shared" si="3640"/>
        <v>0</v>
      </c>
      <c r="AB613" s="74"/>
      <c r="AC613" s="252">
        <f t="shared" si="3641"/>
        <v>0</v>
      </c>
      <c r="AD613" s="74"/>
      <c r="AE613" s="252">
        <f t="shared" si="3642"/>
        <v>0</v>
      </c>
      <c r="AF613" s="98"/>
      <c r="AG613" s="98"/>
    </row>
    <row r="614" spans="1:33" ht="18.75" customHeight="1" outlineLevel="1">
      <c r="A614" s="351">
        <f t="shared" si="3627"/>
        <v>7</v>
      </c>
      <c r="B614" s="74"/>
      <c r="C614" s="252">
        <f t="shared" si="3628"/>
        <v>0</v>
      </c>
      <c r="D614" s="74"/>
      <c r="E614" s="252">
        <f t="shared" si="3629"/>
        <v>0</v>
      </c>
      <c r="F614" s="74"/>
      <c r="G614" s="252">
        <f t="shared" si="3630"/>
        <v>0</v>
      </c>
      <c r="H614" s="74"/>
      <c r="I614" s="252">
        <f t="shared" si="3631"/>
        <v>0</v>
      </c>
      <c r="J614" s="74"/>
      <c r="K614" s="252">
        <f t="shared" si="3632"/>
        <v>0</v>
      </c>
      <c r="L614" s="74"/>
      <c r="M614" s="252">
        <f t="shared" si="3633"/>
        <v>0</v>
      </c>
      <c r="N614" s="74"/>
      <c r="O614" s="252">
        <f t="shared" si="3634"/>
        <v>0</v>
      </c>
      <c r="P614" s="74"/>
      <c r="Q614" s="252">
        <f t="shared" si="3635"/>
        <v>0</v>
      </c>
      <c r="R614" s="74"/>
      <c r="S614" s="252">
        <f t="shared" si="3636"/>
        <v>0</v>
      </c>
      <c r="T614" s="74"/>
      <c r="U614" s="252">
        <f t="shared" si="3637"/>
        <v>0</v>
      </c>
      <c r="V614" s="74"/>
      <c r="W614" s="252">
        <f t="shared" si="3638"/>
        <v>0</v>
      </c>
      <c r="X614" s="74"/>
      <c r="Y614" s="252">
        <f t="shared" si="3639"/>
        <v>0</v>
      </c>
      <c r="Z614" s="74"/>
      <c r="AA614" s="252">
        <f t="shared" si="3640"/>
        <v>0</v>
      </c>
      <c r="AB614" s="74"/>
      <c r="AC614" s="252">
        <f t="shared" si="3641"/>
        <v>0</v>
      </c>
      <c r="AD614" s="74"/>
      <c r="AE614" s="252">
        <f t="shared" si="3642"/>
        <v>0</v>
      </c>
      <c r="AF614" s="98"/>
      <c r="AG614" s="98"/>
    </row>
    <row r="615" spans="1:33" ht="18.75" customHeight="1" outlineLevel="1">
      <c r="A615" s="351">
        <f t="shared" si="3627"/>
        <v>8</v>
      </c>
      <c r="B615" s="74"/>
      <c r="C615" s="252">
        <f t="shared" si="3628"/>
        <v>0</v>
      </c>
      <c r="D615" s="74"/>
      <c r="E615" s="252">
        <f t="shared" si="3629"/>
        <v>0</v>
      </c>
      <c r="F615" s="74"/>
      <c r="G615" s="252">
        <f t="shared" si="3630"/>
        <v>0</v>
      </c>
      <c r="H615" s="74"/>
      <c r="I615" s="252">
        <f t="shared" si="3631"/>
        <v>0</v>
      </c>
      <c r="J615" s="74"/>
      <c r="K615" s="252">
        <f t="shared" si="3632"/>
        <v>0</v>
      </c>
      <c r="L615" s="74"/>
      <c r="M615" s="252">
        <f t="shared" si="3633"/>
        <v>0</v>
      </c>
      <c r="N615" s="74"/>
      <c r="O615" s="252">
        <f t="shared" si="3634"/>
        <v>0</v>
      </c>
      <c r="P615" s="74"/>
      <c r="Q615" s="252">
        <f t="shared" si="3635"/>
        <v>0</v>
      </c>
      <c r="R615" s="74"/>
      <c r="S615" s="252">
        <f t="shared" si="3636"/>
        <v>0</v>
      </c>
      <c r="T615" s="74"/>
      <c r="U615" s="252">
        <f t="shared" si="3637"/>
        <v>0</v>
      </c>
      <c r="V615" s="74"/>
      <c r="W615" s="252">
        <f t="shared" si="3638"/>
        <v>0</v>
      </c>
      <c r="X615" s="74"/>
      <c r="Y615" s="252">
        <f t="shared" si="3639"/>
        <v>0</v>
      </c>
      <c r="Z615" s="74"/>
      <c r="AA615" s="252">
        <f t="shared" si="3640"/>
        <v>0</v>
      </c>
      <c r="AB615" s="74"/>
      <c r="AC615" s="252">
        <f t="shared" si="3641"/>
        <v>0</v>
      </c>
      <c r="AD615" s="74"/>
      <c r="AE615" s="252">
        <f t="shared" si="3642"/>
        <v>0</v>
      </c>
      <c r="AF615" s="98"/>
      <c r="AG615" s="98"/>
    </row>
    <row r="616" spans="1:33" ht="18.75" customHeight="1" outlineLevel="1" thickBot="1">
      <c r="A616" s="369" t="s">
        <v>72</v>
      </c>
      <c r="B616" s="355">
        <f t="shared" ref="B616:AE616" si="3643">SUM(B534:B615)</f>
        <v>100.00000000000001</v>
      </c>
      <c r="C616" s="371">
        <f t="shared" si="3643"/>
        <v>1000.0000000000001</v>
      </c>
      <c r="D616" s="355">
        <f t="shared" si="3643"/>
        <v>100</v>
      </c>
      <c r="E616" s="371">
        <f t="shared" si="3643"/>
        <v>999.99999999999989</v>
      </c>
      <c r="F616" s="355">
        <f t="shared" si="3643"/>
        <v>100</v>
      </c>
      <c r="G616" s="371">
        <f t="shared" si="3643"/>
        <v>1000.0000000000001</v>
      </c>
      <c r="H616" s="355">
        <f t="shared" si="3643"/>
        <v>0</v>
      </c>
      <c r="I616" s="371">
        <f t="shared" si="3643"/>
        <v>0</v>
      </c>
      <c r="J616" s="355">
        <f t="shared" si="3643"/>
        <v>0</v>
      </c>
      <c r="K616" s="371">
        <f t="shared" si="3643"/>
        <v>0</v>
      </c>
      <c r="L616" s="355">
        <f t="shared" si="3643"/>
        <v>0</v>
      </c>
      <c r="M616" s="371">
        <f t="shared" si="3643"/>
        <v>0</v>
      </c>
      <c r="N616" s="355">
        <f t="shared" si="3643"/>
        <v>94.269499999999994</v>
      </c>
      <c r="O616" s="371">
        <f t="shared" si="3643"/>
        <v>942.69500000000005</v>
      </c>
      <c r="P616" s="355">
        <f t="shared" si="3643"/>
        <v>92.909499999999994</v>
      </c>
      <c r="Q616" s="371">
        <f t="shared" si="3643"/>
        <v>929.09499999999991</v>
      </c>
      <c r="R616" s="355">
        <f t="shared" si="3643"/>
        <v>0</v>
      </c>
      <c r="S616" s="371">
        <f t="shared" si="3643"/>
        <v>0</v>
      </c>
      <c r="T616" s="355">
        <f t="shared" si="3643"/>
        <v>93.498500000000007</v>
      </c>
      <c r="U616" s="371">
        <f t="shared" si="3643"/>
        <v>934.98500000000001</v>
      </c>
      <c r="V616" s="355">
        <f t="shared" si="3643"/>
        <v>93.380500000000012</v>
      </c>
      <c r="W616" s="371">
        <f t="shared" si="3643"/>
        <v>933.80500000000006</v>
      </c>
      <c r="X616" s="355">
        <f t="shared" si="3643"/>
        <v>0</v>
      </c>
      <c r="Y616" s="371">
        <f t="shared" si="3643"/>
        <v>0</v>
      </c>
      <c r="Z616" s="355">
        <f t="shared" si="3643"/>
        <v>94.750499999999988</v>
      </c>
      <c r="AA616" s="371">
        <f t="shared" si="3643"/>
        <v>947.505</v>
      </c>
      <c r="AB616" s="355">
        <f t="shared" si="3643"/>
        <v>93.160499999999999</v>
      </c>
      <c r="AC616" s="371">
        <f t="shared" si="3643"/>
        <v>931.60500000000002</v>
      </c>
      <c r="AD616" s="355">
        <f t="shared" si="3643"/>
        <v>0</v>
      </c>
      <c r="AE616" s="371">
        <f t="shared" si="3643"/>
        <v>0</v>
      </c>
      <c r="AF616" s="98"/>
      <c r="AG616" s="98"/>
    </row>
    <row r="617" spans="1:33" ht="15.75" customHeight="1" thickBot="1">
      <c r="A617" s="286"/>
      <c r="B617" s="98"/>
      <c r="C617" s="98"/>
      <c r="D617" s="98"/>
      <c r="E617" s="98"/>
      <c r="F617" s="98"/>
      <c r="G617" s="98"/>
      <c r="H617" s="98"/>
      <c r="I617" s="98"/>
      <c r="J617" s="98"/>
      <c r="K617" s="98"/>
      <c r="L617" s="98"/>
      <c r="M617" s="98"/>
      <c r="N617" s="98"/>
      <c r="O617" s="98"/>
      <c r="P617" s="98"/>
      <c r="Q617" s="98"/>
      <c r="R617" s="98"/>
      <c r="S617" s="98"/>
      <c r="T617" s="98"/>
      <c r="U617" s="98"/>
      <c r="V617" s="98"/>
      <c r="W617" s="98"/>
      <c r="X617" s="98"/>
      <c r="Y617" s="98"/>
      <c r="Z617" s="98"/>
      <c r="AA617" s="98"/>
      <c r="AB617" s="98"/>
      <c r="AC617" s="98"/>
      <c r="AD617" s="98"/>
      <c r="AE617" s="98"/>
      <c r="AF617" s="98"/>
      <c r="AG617" s="98"/>
    </row>
    <row r="618" spans="1:33" ht="15.75" customHeight="1" thickBot="1">
      <c r="A618" s="702" t="s">
        <v>129</v>
      </c>
      <c r="B618" s="662">
        <v>1</v>
      </c>
      <c r="C618" s="658"/>
      <c r="D618" s="657">
        <v>2</v>
      </c>
      <c r="E618" s="658"/>
      <c r="F618" s="657">
        <v>3</v>
      </c>
      <c r="G618" s="658"/>
      <c r="H618" s="657">
        <v>4</v>
      </c>
      <c r="I618" s="658"/>
      <c r="J618" s="657">
        <v>5</v>
      </c>
      <c r="K618" s="658"/>
      <c r="L618" s="657">
        <v>6</v>
      </c>
      <c r="M618" s="658"/>
      <c r="N618" s="657">
        <v>7</v>
      </c>
      <c r="O618" s="658"/>
      <c r="P618" s="657">
        <v>8</v>
      </c>
      <c r="Q618" s="658"/>
      <c r="R618" s="657">
        <v>9</v>
      </c>
      <c r="S618" s="658"/>
      <c r="T618" s="657">
        <v>10</v>
      </c>
      <c r="U618" s="658"/>
      <c r="V618" s="657">
        <v>11</v>
      </c>
      <c r="W618" s="658"/>
      <c r="X618" s="657">
        <v>12</v>
      </c>
      <c r="Y618" s="658"/>
      <c r="Z618" s="657">
        <v>13</v>
      </c>
      <c r="AA618" s="658"/>
      <c r="AB618" s="657">
        <v>14</v>
      </c>
      <c r="AC618" s="658"/>
      <c r="AD618" s="657">
        <v>15</v>
      </c>
      <c r="AE618" s="658"/>
      <c r="AF618" s="98"/>
      <c r="AG618" s="98"/>
    </row>
    <row r="619" spans="1:33" ht="15.75" customHeight="1" thickBot="1">
      <c r="A619" s="703"/>
      <c r="B619" s="665" t="s">
        <v>130</v>
      </c>
      <c r="C619" s="666"/>
      <c r="D619" s="665" t="s">
        <v>131</v>
      </c>
      <c r="E619" s="666"/>
      <c r="F619" s="665" t="s">
        <v>132</v>
      </c>
      <c r="G619" s="666"/>
      <c r="H619" s="665" t="s">
        <v>133</v>
      </c>
      <c r="I619" s="666"/>
      <c r="J619" s="665"/>
      <c r="K619" s="666"/>
      <c r="L619" s="665"/>
      <c r="M619" s="666"/>
      <c r="N619" s="665"/>
      <c r="O619" s="666"/>
      <c r="P619" s="665"/>
      <c r="Q619" s="666"/>
      <c r="R619" s="665"/>
      <c r="S619" s="666"/>
      <c r="T619" s="665"/>
      <c r="U619" s="666"/>
      <c r="V619" s="665"/>
      <c r="W619" s="666"/>
      <c r="X619" s="665"/>
      <c r="Y619" s="666"/>
      <c r="Z619" s="665"/>
      <c r="AA619" s="666"/>
      <c r="AB619" s="665"/>
      <c r="AC619" s="666"/>
      <c r="AD619" s="665"/>
      <c r="AE619" s="666"/>
      <c r="AF619" s="98"/>
      <c r="AG619" s="98"/>
    </row>
    <row r="620" spans="1:33" ht="25.35" customHeight="1" thickBot="1">
      <c r="A620" s="703"/>
      <c r="B620" s="705" t="s">
        <v>121</v>
      </c>
      <c r="C620" s="706"/>
      <c r="D620" s="705" t="s">
        <v>134</v>
      </c>
      <c r="E620" s="706"/>
      <c r="F620" s="705" t="s">
        <v>122</v>
      </c>
      <c r="G620" s="706"/>
      <c r="H620" s="705" t="s">
        <v>135</v>
      </c>
      <c r="I620" s="706"/>
      <c r="J620" s="707"/>
      <c r="K620" s="706"/>
      <c r="L620" s="707"/>
      <c r="M620" s="706"/>
      <c r="N620" s="707"/>
      <c r="O620" s="706"/>
      <c r="P620" s="707"/>
      <c r="Q620" s="706"/>
      <c r="R620" s="707"/>
      <c r="S620" s="706"/>
      <c r="T620" s="707"/>
      <c r="U620" s="706"/>
      <c r="V620" s="707"/>
      <c r="W620" s="706"/>
      <c r="X620" s="707"/>
      <c r="Y620" s="706"/>
      <c r="Z620" s="707"/>
      <c r="AA620" s="706"/>
      <c r="AB620" s="707"/>
      <c r="AC620" s="706"/>
      <c r="AD620" s="707"/>
      <c r="AE620" s="706"/>
      <c r="AF620" s="98"/>
      <c r="AG620" s="98"/>
    </row>
    <row r="621" spans="1:33" ht="25.35" customHeight="1" outlineLevel="1" thickBot="1">
      <c r="A621" s="704"/>
      <c r="B621" s="18" t="s">
        <v>5</v>
      </c>
      <c r="C621" s="101" t="s">
        <v>6</v>
      </c>
      <c r="D621" s="18" t="s">
        <v>5</v>
      </c>
      <c r="E621" s="101" t="s">
        <v>6</v>
      </c>
      <c r="F621" s="205" t="s">
        <v>5</v>
      </c>
      <c r="G621" s="101" t="s">
        <v>6</v>
      </c>
      <c r="H621" s="18" t="s">
        <v>5</v>
      </c>
      <c r="I621" s="101" t="s">
        <v>6</v>
      </c>
      <c r="J621" s="205" t="s">
        <v>5</v>
      </c>
      <c r="K621" s="101" t="s">
        <v>6</v>
      </c>
      <c r="L621" s="205" t="s">
        <v>5</v>
      </c>
      <c r="M621" s="101" t="s">
        <v>6</v>
      </c>
      <c r="N621" s="205" t="s">
        <v>5</v>
      </c>
      <c r="O621" s="101" t="s">
        <v>6</v>
      </c>
      <c r="P621" s="18" t="s">
        <v>5</v>
      </c>
      <c r="Q621" s="101" t="s">
        <v>6</v>
      </c>
      <c r="R621" s="205" t="s">
        <v>5</v>
      </c>
      <c r="S621" s="101" t="s">
        <v>6</v>
      </c>
      <c r="T621" s="18" t="s">
        <v>5</v>
      </c>
      <c r="U621" s="101" t="s">
        <v>6</v>
      </c>
      <c r="V621" s="18" t="s">
        <v>5</v>
      </c>
      <c r="W621" s="101" t="s">
        <v>6</v>
      </c>
      <c r="X621" s="18" t="s">
        <v>5</v>
      </c>
      <c r="Y621" s="101" t="s">
        <v>6</v>
      </c>
      <c r="Z621" s="18" t="s">
        <v>5</v>
      </c>
      <c r="AA621" s="101" t="s">
        <v>6</v>
      </c>
      <c r="AB621" s="18" t="s">
        <v>5</v>
      </c>
      <c r="AC621" s="101" t="s">
        <v>6</v>
      </c>
      <c r="AD621" s="18" t="s">
        <v>5</v>
      </c>
      <c r="AE621" s="101" t="s">
        <v>6</v>
      </c>
      <c r="AF621" s="98"/>
      <c r="AG621" s="98"/>
    </row>
    <row r="622" spans="1:33" ht="18.75" customHeight="1" outlineLevel="1">
      <c r="A622" s="359" t="str">
        <f t="shared" ref="A622:A653" si="3644">A6</f>
        <v>MAIZE/CORN</v>
      </c>
      <c r="B622" s="379">
        <f>1069.2/20</f>
        <v>53.46</v>
      </c>
      <c r="C622" s="394">
        <f>(B622/100)*1000</f>
        <v>534.59999999999991</v>
      </c>
      <c r="D622" s="353">
        <f>1002.06/20</f>
        <v>50.102999999999994</v>
      </c>
      <c r="E622" s="394">
        <f>(D622/100)*1000</f>
        <v>501.03</v>
      </c>
      <c r="F622" s="379">
        <f>1071.2/20</f>
        <v>53.56</v>
      </c>
      <c r="G622" s="253">
        <f>(F622/100)*1000</f>
        <v>535.6</v>
      </c>
      <c r="H622" s="379">
        <f>1069/20</f>
        <v>53.45</v>
      </c>
      <c r="I622" s="394">
        <f>(H622/100)*1000</f>
        <v>534.5</v>
      </c>
      <c r="J622" s="245"/>
      <c r="K622" s="253">
        <f>(J622/100)*1000</f>
        <v>0</v>
      </c>
      <c r="L622" s="245"/>
      <c r="M622" s="253">
        <f>(L622/100)*1000</f>
        <v>0</v>
      </c>
      <c r="N622" s="245"/>
      <c r="O622" s="253">
        <f>(N622/100)*1000</f>
        <v>0</v>
      </c>
      <c r="P622" s="353"/>
      <c r="Q622" s="394">
        <f>(P622/100)*1000</f>
        <v>0</v>
      </c>
      <c r="R622" s="245"/>
      <c r="S622" s="253">
        <f>(R622/100)*1000</f>
        <v>0</v>
      </c>
      <c r="T622" s="353"/>
      <c r="U622" s="394">
        <f>(T622/100)*1000</f>
        <v>0</v>
      </c>
      <c r="V622" s="353"/>
      <c r="W622" s="394">
        <f>(V622/100)*1000</f>
        <v>0</v>
      </c>
      <c r="X622" s="353"/>
      <c r="Y622" s="394">
        <f>(X622/100)*1000</f>
        <v>0</v>
      </c>
      <c r="Z622" s="353"/>
      <c r="AA622" s="394">
        <f>(Z622/100)*1000</f>
        <v>0</v>
      </c>
      <c r="AB622" s="353"/>
      <c r="AC622" s="394">
        <f>(AB622/100)*1000</f>
        <v>0</v>
      </c>
      <c r="AD622" s="353"/>
      <c r="AE622" s="394">
        <f>(AD622/100)*1000</f>
        <v>0</v>
      </c>
      <c r="AF622" s="98"/>
      <c r="AG622" s="98"/>
    </row>
    <row r="623" spans="1:33" ht="18.75" customHeight="1" outlineLevel="1">
      <c r="A623" s="359" t="str">
        <f t="shared" si="3644"/>
        <v>SOYBEAN MEAL (ARG)</v>
      </c>
      <c r="B623" s="380">
        <f>343/20</f>
        <v>17.149999999999999</v>
      </c>
      <c r="C623" s="253">
        <f t="shared" ref="C623:AE672" si="3645">(B623/100)*1000</f>
        <v>171.5</v>
      </c>
      <c r="D623" s="74">
        <f>390/20</f>
        <v>19.5</v>
      </c>
      <c r="E623" s="253">
        <f t="shared" si="3645"/>
        <v>195</v>
      </c>
      <c r="F623" s="380">
        <f>343/20</f>
        <v>17.149999999999999</v>
      </c>
      <c r="G623" s="253">
        <f t="shared" ref="G623" si="3646">(F623/100)*1000</f>
        <v>171.5</v>
      </c>
      <c r="H623" s="380">
        <f>343/20</f>
        <v>17.149999999999999</v>
      </c>
      <c r="I623" s="253">
        <f t="shared" ref="I623" si="3647">(H623/100)*1000</f>
        <v>171.5</v>
      </c>
      <c r="J623" s="74"/>
      <c r="K623" s="253">
        <f t="shared" ref="K623" si="3648">(J623/100)*1000</f>
        <v>0</v>
      </c>
      <c r="L623" s="74"/>
      <c r="M623" s="253">
        <f t="shared" ref="M623" si="3649">(L623/100)*1000</f>
        <v>0</v>
      </c>
      <c r="N623" s="74"/>
      <c r="O623" s="253">
        <f t="shared" ref="O623" si="3650">(N623/100)*1000</f>
        <v>0</v>
      </c>
      <c r="P623" s="74"/>
      <c r="Q623" s="253">
        <f t="shared" ref="Q623" si="3651">(P623/100)*1000</f>
        <v>0</v>
      </c>
      <c r="R623" s="74"/>
      <c r="S623" s="253">
        <f t="shared" ref="S623" si="3652">(R623/100)*1000</f>
        <v>0</v>
      </c>
      <c r="T623" s="74"/>
      <c r="U623" s="253">
        <f t="shared" ref="U623" si="3653">(T623/100)*1000</f>
        <v>0</v>
      </c>
      <c r="V623" s="74"/>
      <c r="W623" s="253">
        <f t="shared" ref="W623" si="3654">(V623/100)*1000</f>
        <v>0</v>
      </c>
      <c r="X623" s="74"/>
      <c r="Y623" s="253">
        <f t="shared" ref="Y623" si="3655">(X623/100)*1000</f>
        <v>0</v>
      </c>
      <c r="Z623" s="74"/>
      <c r="AA623" s="253">
        <f t="shared" ref="AA623" si="3656">(Z623/100)*1000</f>
        <v>0</v>
      </c>
      <c r="AB623" s="74"/>
      <c r="AC623" s="253">
        <f t="shared" ref="AC623" si="3657">(AB623/100)*1000</f>
        <v>0</v>
      </c>
      <c r="AD623" s="74"/>
      <c r="AE623" s="253">
        <f t="shared" ref="AE623" si="3658">(AD623/100)*1000</f>
        <v>0</v>
      </c>
      <c r="AF623" s="98"/>
      <c r="AG623" s="98"/>
    </row>
    <row r="624" spans="1:33" ht="18.75" customHeight="1" outlineLevel="1">
      <c r="A624" s="359" t="str">
        <f t="shared" si="3644"/>
        <v>SOYBEAN FULL FAT</v>
      </c>
      <c r="B624" s="74">
        <f>170/20</f>
        <v>8.5</v>
      </c>
      <c r="C624" s="253">
        <f t="shared" si="3645"/>
        <v>85</v>
      </c>
      <c r="D624" s="74">
        <f>200/20</f>
        <v>10</v>
      </c>
      <c r="E624" s="253">
        <f t="shared" si="3645"/>
        <v>100</v>
      </c>
      <c r="F624" s="74">
        <f>170/20</f>
        <v>8.5</v>
      </c>
      <c r="G624" s="253">
        <f t="shared" ref="G624" si="3659">(F624/100)*1000</f>
        <v>85</v>
      </c>
      <c r="H624" s="74">
        <f>170/20</f>
        <v>8.5</v>
      </c>
      <c r="I624" s="253">
        <f t="shared" ref="I624" si="3660">(H624/100)*1000</f>
        <v>85</v>
      </c>
      <c r="J624" s="74"/>
      <c r="K624" s="253">
        <f t="shared" ref="K624" si="3661">(J624/100)*1000</f>
        <v>0</v>
      </c>
      <c r="L624" s="74"/>
      <c r="M624" s="253">
        <f t="shared" ref="M624" si="3662">(L624/100)*1000</f>
        <v>0</v>
      </c>
      <c r="N624" s="74"/>
      <c r="O624" s="253">
        <f t="shared" ref="O624" si="3663">(N624/100)*1000</f>
        <v>0</v>
      </c>
      <c r="P624" s="74"/>
      <c r="Q624" s="253">
        <f t="shared" ref="Q624" si="3664">(P624/100)*1000</f>
        <v>0</v>
      </c>
      <c r="R624" s="74"/>
      <c r="S624" s="253">
        <f t="shared" ref="S624" si="3665">(R624/100)*1000</f>
        <v>0</v>
      </c>
      <c r="T624" s="74"/>
      <c r="U624" s="253">
        <f t="shared" ref="U624" si="3666">(T624/100)*1000</f>
        <v>0</v>
      </c>
      <c r="V624" s="74"/>
      <c r="W624" s="253">
        <f t="shared" ref="W624" si="3667">(V624/100)*1000</f>
        <v>0</v>
      </c>
      <c r="X624" s="74"/>
      <c r="Y624" s="253">
        <f t="shared" ref="Y624" si="3668">(X624/100)*1000</f>
        <v>0</v>
      </c>
      <c r="Z624" s="74"/>
      <c r="AA624" s="253">
        <f t="shared" ref="AA624" si="3669">(Z624/100)*1000</f>
        <v>0</v>
      </c>
      <c r="AB624" s="74"/>
      <c r="AC624" s="253">
        <f t="shared" ref="AC624" si="3670">(AB624/100)*1000</f>
        <v>0</v>
      </c>
      <c r="AD624" s="74"/>
      <c r="AE624" s="253">
        <f t="shared" ref="AE624" si="3671">(AD624/100)*1000</f>
        <v>0</v>
      </c>
      <c r="AF624" s="98"/>
      <c r="AG624" s="98"/>
    </row>
    <row r="625" spans="1:33" ht="18.75" customHeight="1" outlineLevel="1">
      <c r="A625" s="359" t="str">
        <f t="shared" si="3644"/>
        <v>WHEAT POLLARD</v>
      </c>
      <c r="B625" s="74">
        <f>24/20</f>
        <v>1.2</v>
      </c>
      <c r="C625" s="253">
        <f t="shared" si="3645"/>
        <v>12</v>
      </c>
      <c r="D625" s="74"/>
      <c r="E625" s="253">
        <f t="shared" si="3645"/>
        <v>0</v>
      </c>
      <c r="F625" s="74">
        <f>24/20</f>
        <v>1.2</v>
      </c>
      <c r="G625" s="253">
        <f t="shared" ref="G625" si="3672">(F625/100)*1000</f>
        <v>12</v>
      </c>
      <c r="H625" s="74">
        <f>24/20</f>
        <v>1.2</v>
      </c>
      <c r="I625" s="253">
        <f t="shared" ref="I625" si="3673">(H625/100)*1000</f>
        <v>12</v>
      </c>
      <c r="J625" s="74"/>
      <c r="K625" s="253">
        <f t="shared" ref="K625" si="3674">(J625/100)*1000</f>
        <v>0</v>
      </c>
      <c r="L625" s="74"/>
      <c r="M625" s="253">
        <f t="shared" ref="M625" si="3675">(L625/100)*1000</f>
        <v>0</v>
      </c>
      <c r="N625" s="74"/>
      <c r="O625" s="253">
        <f t="shared" ref="O625" si="3676">(N625/100)*1000</f>
        <v>0</v>
      </c>
      <c r="P625" s="74"/>
      <c r="Q625" s="253">
        <f t="shared" ref="Q625" si="3677">(P625/100)*1000</f>
        <v>0</v>
      </c>
      <c r="R625" s="74"/>
      <c r="S625" s="253">
        <f t="shared" ref="S625" si="3678">(R625/100)*1000</f>
        <v>0</v>
      </c>
      <c r="T625" s="74"/>
      <c r="U625" s="253">
        <f t="shared" ref="U625" si="3679">(T625/100)*1000</f>
        <v>0</v>
      </c>
      <c r="V625" s="74"/>
      <c r="W625" s="253">
        <f t="shared" ref="W625" si="3680">(V625/100)*1000</f>
        <v>0</v>
      </c>
      <c r="X625" s="74"/>
      <c r="Y625" s="253">
        <f t="shared" ref="Y625" si="3681">(X625/100)*1000</f>
        <v>0</v>
      </c>
      <c r="Z625" s="74"/>
      <c r="AA625" s="253">
        <f t="shared" ref="AA625" si="3682">(Z625/100)*1000</f>
        <v>0</v>
      </c>
      <c r="AB625" s="74"/>
      <c r="AC625" s="253">
        <f t="shared" ref="AC625" si="3683">(AB625/100)*1000</f>
        <v>0</v>
      </c>
      <c r="AD625" s="74"/>
      <c r="AE625" s="253">
        <f t="shared" ref="AE625" si="3684">(AD625/100)*1000</f>
        <v>0</v>
      </c>
      <c r="AF625" s="98"/>
      <c r="AG625" s="98"/>
    </row>
    <row r="626" spans="1:33" ht="18.75" customHeight="1" outlineLevel="1">
      <c r="A626" s="359" t="str">
        <f t="shared" si="3644"/>
        <v>WHEAT</v>
      </c>
      <c r="B626" s="74"/>
      <c r="C626" s="253">
        <f t="shared" si="3645"/>
        <v>0</v>
      </c>
      <c r="D626" s="74"/>
      <c r="E626" s="253">
        <f t="shared" si="3645"/>
        <v>0</v>
      </c>
      <c r="F626" s="74"/>
      <c r="G626" s="253">
        <f t="shared" ref="G626" si="3685">(F626/100)*1000</f>
        <v>0</v>
      </c>
      <c r="H626" s="74"/>
      <c r="I626" s="253">
        <f t="shared" ref="I626" si="3686">(H626/100)*1000</f>
        <v>0</v>
      </c>
      <c r="J626" s="74"/>
      <c r="K626" s="253">
        <f t="shared" ref="K626" si="3687">(J626/100)*1000</f>
        <v>0</v>
      </c>
      <c r="L626" s="74"/>
      <c r="M626" s="253">
        <f t="shared" ref="M626" si="3688">(L626/100)*1000</f>
        <v>0</v>
      </c>
      <c r="N626" s="74"/>
      <c r="O626" s="253">
        <f t="shared" ref="O626" si="3689">(N626/100)*1000</f>
        <v>0</v>
      </c>
      <c r="P626" s="74"/>
      <c r="Q626" s="253">
        <f t="shared" ref="Q626" si="3690">(P626/100)*1000</f>
        <v>0</v>
      </c>
      <c r="R626" s="74"/>
      <c r="S626" s="253">
        <f t="shared" ref="S626" si="3691">(R626/100)*1000</f>
        <v>0</v>
      </c>
      <c r="T626" s="74"/>
      <c r="U626" s="253">
        <f t="shared" ref="U626" si="3692">(T626/100)*1000</f>
        <v>0</v>
      </c>
      <c r="V626" s="74"/>
      <c r="W626" s="253">
        <f t="shared" ref="W626" si="3693">(V626/100)*1000</f>
        <v>0</v>
      </c>
      <c r="X626" s="74"/>
      <c r="Y626" s="253">
        <f t="shared" ref="Y626" si="3694">(X626/100)*1000</f>
        <v>0</v>
      </c>
      <c r="Z626" s="74"/>
      <c r="AA626" s="253">
        <f t="shared" ref="AA626" si="3695">(Z626/100)*1000</f>
        <v>0</v>
      </c>
      <c r="AB626" s="74"/>
      <c r="AC626" s="253">
        <f t="shared" ref="AC626" si="3696">(AB626/100)*1000</f>
        <v>0</v>
      </c>
      <c r="AD626" s="74"/>
      <c r="AE626" s="253">
        <f t="shared" ref="AE626" si="3697">(AD626/100)*1000</f>
        <v>0</v>
      </c>
      <c r="AF626" s="98"/>
      <c r="AG626" s="98"/>
    </row>
    <row r="627" spans="1:33" ht="18.75" customHeight="1" outlineLevel="1">
      <c r="A627" s="359" t="str">
        <f t="shared" si="3644"/>
        <v>MEAT AND BONE MEAL</v>
      </c>
      <c r="B627" s="74"/>
      <c r="C627" s="253">
        <f t="shared" si="3645"/>
        <v>0</v>
      </c>
      <c r="D627" s="74"/>
      <c r="E627" s="253">
        <f t="shared" si="3645"/>
        <v>0</v>
      </c>
      <c r="F627" s="74"/>
      <c r="G627" s="253">
        <f t="shared" ref="G627" si="3698">(F627/100)*1000</f>
        <v>0</v>
      </c>
      <c r="H627" s="74"/>
      <c r="I627" s="253">
        <f t="shared" ref="I627" si="3699">(H627/100)*1000</f>
        <v>0</v>
      </c>
      <c r="J627" s="74"/>
      <c r="K627" s="253">
        <f t="shared" ref="K627" si="3700">(J627/100)*1000</f>
        <v>0</v>
      </c>
      <c r="L627" s="74"/>
      <c r="M627" s="253">
        <f t="shared" ref="M627" si="3701">(L627/100)*1000</f>
        <v>0</v>
      </c>
      <c r="N627" s="74"/>
      <c r="O627" s="253">
        <f t="shared" ref="O627" si="3702">(N627/100)*1000</f>
        <v>0</v>
      </c>
      <c r="P627" s="74"/>
      <c r="Q627" s="253">
        <f t="shared" ref="Q627" si="3703">(P627/100)*1000</f>
        <v>0</v>
      </c>
      <c r="R627" s="74"/>
      <c r="S627" s="253">
        <f t="shared" ref="S627" si="3704">(R627/100)*1000</f>
        <v>0</v>
      </c>
      <c r="T627" s="74"/>
      <c r="U627" s="253">
        <f t="shared" ref="U627" si="3705">(T627/100)*1000</f>
        <v>0</v>
      </c>
      <c r="V627" s="74"/>
      <c r="W627" s="253">
        <f t="shared" ref="W627" si="3706">(V627/100)*1000</f>
        <v>0</v>
      </c>
      <c r="X627" s="74"/>
      <c r="Y627" s="253">
        <f t="shared" ref="Y627" si="3707">(X627/100)*1000</f>
        <v>0</v>
      </c>
      <c r="Z627" s="74"/>
      <c r="AA627" s="253">
        <f t="shared" ref="AA627" si="3708">(Z627/100)*1000</f>
        <v>0</v>
      </c>
      <c r="AB627" s="74"/>
      <c r="AC627" s="253">
        <f t="shared" ref="AC627" si="3709">(AB627/100)*1000</f>
        <v>0</v>
      </c>
      <c r="AD627" s="74"/>
      <c r="AE627" s="253">
        <f t="shared" ref="AE627" si="3710">(AD627/100)*1000</f>
        <v>0</v>
      </c>
      <c r="AF627" s="98"/>
      <c r="AG627" s="98"/>
    </row>
    <row r="628" spans="1:33" ht="18.75" customHeight="1" outlineLevel="1">
      <c r="A628" s="359" t="str">
        <f t="shared" si="3644"/>
        <v>CORN GLUTEN MEAL</v>
      </c>
      <c r="B628" s="74">
        <f>90/20</f>
        <v>4.5</v>
      </c>
      <c r="C628" s="253">
        <f t="shared" si="3645"/>
        <v>45</v>
      </c>
      <c r="D628" s="74"/>
      <c r="E628" s="253">
        <f t="shared" si="3645"/>
        <v>0</v>
      </c>
      <c r="F628" s="74">
        <f>90/20</f>
        <v>4.5</v>
      </c>
      <c r="G628" s="253">
        <f t="shared" ref="G628" si="3711">(F628/100)*1000</f>
        <v>45</v>
      </c>
      <c r="H628" s="74">
        <f>90/20</f>
        <v>4.5</v>
      </c>
      <c r="I628" s="253">
        <f t="shared" ref="I628" si="3712">(H628/100)*1000</f>
        <v>45</v>
      </c>
      <c r="J628" s="74"/>
      <c r="K628" s="253">
        <f t="shared" ref="K628" si="3713">(J628/100)*1000</f>
        <v>0</v>
      </c>
      <c r="L628" s="74"/>
      <c r="M628" s="253">
        <f t="shared" ref="M628" si="3714">(L628/100)*1000</f>
        <v>0</v>
      </c>
      <c r="N628" s="74"/>
      <c r="O628" s="253">
        <f t="shared" ref="O628" si="3715">(N628/100)*1000</f>
        <v>0</v>
      </c>
      <c r="P628" s="74"/>
      <c r="Q628" s="253">
        <f t="shared" ref="Q628" si="3716">(P628/100)*1000</f>
        <v>0</v>
      </c>
      <c r="R628" s="74"/>
      <c r="S628" s="253">
        <f t="shared" ref="S628" si="3717">(R628/100)*1000</f>
        <v>0</v>
      </c>
      <c r="T628" s="74"/>
      <c r="U628" s="253">
        <f t="shared" ref="U628" si="3718">(T628/100)*1000</f>
        <v>0</v>
      </c>
      <c r="V628" s="74"/>
      <c r="W628" s="253">
        <f t="shared" ref="W628" si="3719">(V628/100)*1000</f>
        <v>0</v>
      </c>
      <c r="X628" s="74"/>
      <c r="Y628" s="253">
        <f t="shared" ref="Y628" si="3720">(X628/100)*1000</f>
        <v>0</v>
      </c>
      <c r="Z628" s="74"/>
      <c r="AA628" s="253">
        <f t="shared" ref="AA628" si="3721">(Z628/100)*1000</f>
        <v>0</v>
      </c>
      <c r="AB628" s="74"/>
      <c r="AC628" s="253">
        <f t="shared" ref="AC628" si="3722">(AB628/100)*1000</f>
        <v>0</v>
      </c>
      <c r="AD628" s="74"/>
      <c r="AE628" s="253">
        <f t="shared" ref="AE628" si="3723">(AD628/100)*1000</f>
        <v>0</v>
      </c>
      <c r="AF628" s="98"/>
      <c r="AG628" s="98"/>
    </row>
    <row r="629" spans="1:33" ht="18.75" customHeight="1" outlineLevel="1">
      <c r="A629" s="359" t="str">
        <f t="shared" si="3644"/>
        <v>MEGAFAT (HARUMI)</v>
      </c>
      <c r="B629" s="74">
        <f>39/20</f>
        <v>1.95</v>
      </c>
      <c r="C629" s="253">
        <f t="shared" si="3645"/>
        <v>19.5</v>
      </c>
      <c r="D629" s="74">
        <f>50/20</f>
        <v>2.5</v>
      </c>
      <c r="E629" s="253">
        <f t="shared" si="3645"/>
        <v>25</v>
      </c>
      <c r="F629" s="74">
        <f>39/20</f>
        <v>1.95</v>
      </c>
      <c r="G629" s="253">
        <f t="shared" ref="G629" si="3724">(F629/100)*1000</f>
        <v>19.5</v>
      </c>
      <c r="H629" s="74">
        <f>39/20</f>
        <v>1.95</v>
      </c>
      <c r="I629" s="253">
        <f t="shared" ref="I629" si="3725">(H629/100)*1000</f>
        <v>19.5</v>
      </c>
      <c r="J629" s="74"/>
      <c r="K629" s="253">
        <f t="shared" ref="K629" si="3726">(J629/100)*1000</f>
        <v>0</v>
      </c>
      <c r="L629" s="74"/>
      <c r="M629" s="253">
        <f t="shared" ref="M629" si="3727">(L629/100)*1000</f>
        <v>0</v>
      </c>
      <c r="N629" s="74"/>
      <c r="O629" s="253">
        <f t="shared" ref="O629" si="3728">(N629/100)*1000</f>
        <v>0</v>
      </c>
      <c r="P629" s="74"/>
      <c r="Q629" s="253">
        <f t="shared" ref="Q629" si="3729">(P629/100)*1000</f>
        <v>0</v>
      </c>
      <c r="R629" s="74"/>
      <c r="S629" s="253">
        <f t="shared" ref="S629" si="3730">(R629/100)*1000</f>
        <v>0</v>
      </c>
      <c r="T629" s="74"/>
      <c r="U629" s="253">
        <f t="shared" ref="U629" si="3731">(T629/100)*1000</f>
        <v>0</v>
      </c>
      <c r="V629" s="74"/>
      <c r="W629" s="253">
        <f t="shared" ref="W629" si="3732">(V629/100)*1000</f>
        <v>0</v>
      </c>
      <c r="X629" s="74"/>
      <c r="Y629" s="253">
        <f t="shared" ref="Y629" si="3733">(X629/100)*1000</f>
        <v>0</v>
      </c>
      <c r="Z629" s="74"/>
      <c r="AA629" s="253">
        <f t="shared" ref="AA629" si="3734">(Z629/100)*1000</f>
        <v>0</v>
      </c>
      <c r="AB629" s="74"/>
      <c r="AC629" s="253">
        <f t="shared" ref="AC629" si="3735">(AB629/100)*1000</f>
        <v>0</v>
      </c>
      <c r="AD629" s="74"/>
      <c r="AE629" s="253">
        <f t="shared" ref="AE629" si="3736">(AD629/100)*1000</f>
        <v>0</v>
      </c>
      <c r="AF629" s="98"/>
      <c r="AG629" s="98"/>
    </row>
    <row r="630" spans="1:33" ht="18.75" customHeight="1" outlineLevel="1">
      <c r="A630" s="359" t="str">
        <f t="shared" si="3644"/>
        <v>DCP 18%</v>
      </c>
      <c r="B630" s="74">
        <f>11/20</f>
        <v>0.55000000000000004</v>
      </c>
      <c r="C630" s="253">
        <f t="shared" si="3645"/>
        <v>5.5000000000000009</v>
      </c>
      <c r="D630" s="74">
        <f>11/20</f>
        <v>0.55000000000000004</v>
      </c>
      <c r="E630" s="253">
        <f t="shared" si="3645"/>
        <v>5.5000000000000009</v>
      </c>
      <c r="F630" s="74">
        <f>11/20</f>
        <v>0.55000000000000004</v>
      </c>
      <c r="G630" s="253">
        <f t="shared" ref="G630" si="3737">(F630/100)*1000</f>
        <v>5.5000000000000009</v>
      </c>
      <c r="H630" s="74">
        <f>11/20</f>
        <v>0.55000000000000004</v>
      </c>
      <c r="I630" s="253">
        <f t="shared" ref="I630" si="3738">(H630/100)*1000</f>
        <v>5.5000000000000009</v>
      </c>
      <c r="J630" s="74"/>
      <c r="K630" s="253">
        <f t="shared" ref="K630" si="3739">(J630/100)*1000</f>
        <v>0</v>
      </c>
      <c r="L630" s="74"/>
      <c r="M630" s="253">
        <f t="shared" ref="M630" si="3740">(L630/100)*1000</f>
        <v>0</v>
      </c>
      <c r="N630" s="74"/>
      <c r="O630" s="253">
        <f t="shared" ref="O630" si="3741">(N630/100)*1000</f>
        <v>0</v>
      </c>
      <c r="P630" s="74"/>
      <c r="Q630" s="253">
        <f t="shared" ref="Q630" si="3742">(P630/100)*1000</f>
        <v>0</v>
      </c>
      <c r="R630" s="74"/>
      <c r="S630" s="253">
        <f t="shared" ref="S630" si="3743">(R630/100)*1000</f>
        <v>0</v>
      </c>
      <c r="T630" s="74"/>
      <c r="U630" s="253">
        <f t="shared" ref="U630" si="3744">(T630/100)*1000</f>
        <v>0</v>
      </c>
      <c r="V630" s="74"/>
      <c r="W630" s="253">
        <f t="shared" ref="W630" si="3745">(V630/100)*1000</f>
        <v>0</v>
      </c>
      <c r="X630" s="74"/>
      <c r="Y630" s="253">
        <f t="shared" ref="Y630" si="3746">(X630/100)*1000</f>
        <v>0</v>
      </c>
      <c r="Z630" s="74"/>
      <c r="AA630" s="253">
        <f t="shared" ref="AA630" si="3747">(Z630/100)*1000</f>
        <v>0</v>
      </c>
      <c r="AB630" s="74"/>
      <c r="AC630" s="253">
        <f t="shared" ref="AC630" si="3748">(AB630/100)*1000</f>
        <v>0</v>
      </c>
      <c r="AD630" s="74"/>
      <c r="AE630" s="253">
        <f t="shared" ref="AE630" si="3749">(AD630/100)*1000</f>
        <v>0</v>
      </c>
      <c r="AF630" s="98"/>
      <c r="AG630" s="98"/>
    </row>
    <row r="631" spans="1:33" ht="18.75" customHeight="1" outlineLevel="1">
      <c r="A631" s="359" t="str">
        <f t="shared" si="3644"/>
        <v>LIMESTONE POWDER (HARUMI)</v>
      </c>
      <c r="B631" s="74">
        <f>18/20</f>
        <v>0.9</v>
      </c>
      <c r="C631" s="253">
        <f t="shared" si="3645"/>
        <v>9.0000000000000018</v>
      </c>
      <c r="D631" s="74">
        <f>18/20</f>
        <v>0.9</v>
      </c>
      <c r="E631" s="253">
        <f t="shared" si="3645"/>
        <v>9.0000000000000018</v>
      </c>
      <c r="F631" s="74">
        <f>18/20</f>
        <v>0.9</v>
      </c>
      <c r="G631" s="253">
        <f t="shared" ref="G631" si="3750">(F631/100)*1000</f>
        <v>9.0000000000000018</v>
      </c>
      <c r="H631" s="74">
        <f>18/20</f>
        <v>0.9</v>
      </c>
      <c r="I631" s="253">
        <f t="shared" ref="I631" si="3751">(H631/100)*1000</f>
        <v>9.0000000000000018</v>
      </c>
      <c r="J631" s="74"/>
      <c r="K631" s="253">
        <f t="shared" ref="K631" si="3752">(J631/100)*1000</f>
        <v>0</v>
      </c>
      <c r="L631" s="74"/>
      <c r="M631" s="253">
        <f t="shared" ref="M631" si="3753">(L631/100)*1000</f>
        <v>0</v>
      </c>
      <c r="N631" s="74"/>
      <c r="O631" s="253">
        <f t="shared" ref="O631" si="3754">(N631/100)*1000</f>
        <v>0</v>
      </c>
      <c r="P631" s="74"/>
      <c r="Q631" s="253">
        <f t="shared" ref="Q631" si="3755">(P631/100)*1000</f>
        <v>0</v>
      </c>
      <c r="R631" s="74"/>
      <c r="S631" s="253">
        <f t="shared" ref="S631" si="3756">(R631/100)*1000</f>
        <v>0</v>
      </c>
      <c r="T631" s="74"/>
      <c r="U631" s="253">
        <f t="shared" ref="U631" si="3757">(T631/100)*1000</f>
        <v>0</v>
      </c>
      <c r="V631" s="74"/>
      <c r="W631" s="253">
        <f t="shared" ref="W631" si="3758">(V631/100)*1000</f>
        <v>0</v>
      </c>
      <c r="X631" s="74"/>
      <c r="Y631" s="253">
        <f t="shared" ref="Y631" si="3759">(X631/100)*1000</f>
        <v>0</v>
      </c>
      <c r="Z631" s="74"/>
      <c r="AA631" s="253">
        <f t="shared" ref="AA631" si="3760">(Z631/100)*1000</f>
        <v>0</v>
      </c>
      <c r="AB631" s="74"/>
      <c r="AC631" s="253">
        <f t="shared" ref="AC631" si="3761">(AB631/100)*1000</f>
        <v>0</v>
      </c>
      <c r="AD631" s="74"/>
      <c r="AE631" s="253">
        <f t="shared" ref="AE631" si="3762">(AD631/100)*1000</f>
        <v>0</v>
      </c>
      <c r="AF631" s="98"/>
      <c r="AG631" s="98"/>
    </row>
    <row r="632" spans="1:33" ht="18.75" customHeight="1" outlineLevel="1">
      <c r="A632" s="359" t="str">
        <f t="shared" si="3644"/>
        <v>CHOLINE CHLORIDE 60%</v>
      </c>
      <c r="B632" s="74"/>
      <c r="C632" s="253">
        <f t="shared" si="3645"/>
        <v>0</v>
      </c>
      <c r="D632" s="74"/>
      <c r="E632" s="253">
        <f t="shared" si="3645"/>
        <v>0</v>
      </c>
      <c r="F632" s="74"/>
      <c r="G632" s="253">
        <f t="shared" ref="G632" si="3763">(F632/100)*1000</f>
        <v>0</v>
      </c>
      <c r="H632" s="74"/>
      <c r="I632" s="253">
        <f t="shared" ref="I632" si="3764">(H632/100)*1000</f>
        <v>0</v>
      </c>
      <c r="J632" s="74"/>
      <c r="K632" s="253">
        <f t="shared" ref="K632" si="3765">(J632/100)*1000</f>
        <v>0</v>
      </c>
      <c r="L632" s="74"/>
      <c r="M632" s="253">
        <f t="shared" ref="M632" si="3766">(L632/100)*1000</f>
        <v>0</v>
      </c>
      <c r="N632" s="74"/>
      <c r="O632" s="253">
        <f t="shared" ref="O632" si="3767">(N632/100)*1000</f>
        <v>0</v>
      </c>
      <c r="P632" s="74"/>
      <c r="Q632" s="253">
        <f t="shared" ref="Q632" si="3768">(P632/100)*1000</f>
        <v>0</v>
      </c>
      <c r="R632" s="74"/>
      <c r="S632" s="253">
        <f t="shared" ref="S632" si="3769">(R632/100)*1000</f>
        <v>0</v>
      </c>
      <c r="T632" s="74"/>
      <c r="U632" s="253">
        <f t="shared" ref="U632" si="3770">(T632/100)*1000</f>
        <v>0</v>
      </c>
      <c r="V632" s="74"/>
      <c r="W632" s="253">
        <f t="shared" ref="W632" si="3771">(V632/100)*1000</f>
        <v>0</v>
      </c>
      <c r="X632" s="74"/>
      <c r="Y632" s="253">
        <f t="shared" ref="Y632" si="3772">(X632/100)*1000</f>
        <v>0</v>
      </c>
      <c r="Z632" s="74"/>
      <c r="AA632" s="253">
        <f t="shared" ref="AA632" si="3773">(Z632/100)*1000</f>
        <v>0</v>
      </c>
      <c r="AB632" s="74"/>
      <c r="AC632" s="253">
        <f t="shared" ref="AC632" si="3774">(AB632/100)*1000</f>
        <v>0</v>
      </c>
      <c r="AD632" s="74"/>
      <c r="AE632" s="253">
        <f t="shared" ref="AE632" si="3775">(AD632/100)*1000</f>
        <v>0</v>
      </c>
      <c r="AF632" s="98"/>
      <c r="AG632" s="98"/>
    </row>
    <row r="633" spans="1:33" ht="18.75" customHeight="1" outlineLevel="1">
      <c r="A633" s="359" t="str">
        <f t="shared" si="3644"/>
        <v>INDUSTRY FLOUR</v>
      </c>
      <c r="B633" s="74">
        <f>100/20</f>
        <v>5</v>
      </c>
      <c r="C633" s="253">
        <f t="shared" si="3645"/>
        <v>50</v>
      </c>
      <c r="D633" s="74">
        <f>194/20</f>
        <v>9.6999999999999993</v>
      </c>
      <c r="E633" s="253">
        <f t="shared" si="3645"/>
        <v>96.999999999999986</v>
      </c>
      <c r="F633" s="74">
        <f>100/20</f>
        <v>5</v>
      </c>
      <c r="G633" s="253">
        <f t="shared" ref="G633" si="3776">(F633/100)*1000</f>
        <v>50</v>
      </c>
      <c r="H633" s="74">
        <f>100/20</f>
        <v>5</v>
      </c>
      <c r="I633" s="253">
        <f t="shared" ref="I633" si="3777">(H633/100)*1000</f>
        <v>50</v>
      </c>
      <c r="J633" s="74"/>
      <c r="K633" s="253">
        <f t="shared" ref="K633" si="3778">(J633/100)*1000</f>
        <v>0</v>
      </c>
      <c r="L633" s="74"/>
      <c r="M633" s="253">
        <f t="shared" ref="M633" si="3779">(L633/100)*1000</f>
        <v>0</v>
      </c>
      <c r="N633" s="74"/>
      <c r="O633" s="253">
        <f t="shared" ref="O633" si="3780">(N633/100)*1000</f>
        <v>0</v>
      </c>
      <c r="P633" s="74"/>
      <c r="Q633" s="253">
        <f t="shared" ref="Q633" si="3781">(P633/100)*1000</f>
        <v>0</v>
      </c>
      <c r="R633" s="74"/>
      <c r="S633" s="253">
        <f t="shared" ref="S633" si="3782">(R633/100)*1000</f>
        <v>0</v>
      </c>
      <c r="T633" s="74"/>
      <c r="U633" s="253">
        <f t="shared" ref="U633" si="3783">(T633/100)*1000</f>
        <v>0</v>
      </c>
      <c r="V633" s="74"/>
      <c r="W633" s="253">
        <f t="shared" ref="W633" si="3784">(V633/100)*1000</f>
        <v>0</v>
      </c>
      <c r="X633" s="74"/>
      <c r="Y633" s="253">
        <f t="shared" ref="Y633" si="3785">(X633/100)*1000</f>
        <v>0</v>
      </c>
      <c r="Z633" s="74"/>
      <c r="AA633" s="253">
        <f t="shared" ref="AA633" si="3786">(Z633/100)*1000</f>
        <v>0</v>
      </c>
      <c r="AB633" s="74"/>
      <c r="AC633" s="253">
        <f t="shared" ref="AC633" si="3787">(AB633/100)*1000</f>
        <v>0</v>
      </c>
      <c r="AD633" s="74"/>
      <c r="AE633" s="253">
        <f t="shared" ref="AE633" si="3788">(AD633/100)*1000</f>
        <v>0</v>
      </c>
      <c r="AF633" s="98"/>
      <c r="AG633" s="98"/>
    </row>
    <row r="634" spans="1:33" ht="18.75" customHeight="1" outlineLevel="1">
      <c r="A634" s="359" t="str">
        <f t="shared" si="3644"/>
        <v>RICE BRAN</v>
      </c>
      <c r="B634" s="74">
        <f>80/20</f>
        <v>4</v>
      </c>
      <c r="C634" s="253">
        <f t="shared" si="3645"/>
        <v>40</v>
      </c>
      <c r="D634" s="74">
        <f>80/20</f>
        <v>4</v>
      </c>
      <c r="E634" s="253">
        <f t="shared" si="3645"/>
        <v>40</v>
      </c>
      <c r="F634" s="74">
        <f>80/20</f>
        <v>4</v>
      </c>
      <c r="G634" s="253">
        <f t="shared" ref="G634" si="3789">(F634/100)*1000</f>
        <v>40</v>
      </c>
      <c r="H634" s="74">
        <f>80/20</f>
        <v>4</v>
      </c>
      <c r="I634" s="253">
        <f t="shared" ref="I634" si="3790">(H634/100)*1000</f>
        <v>40</v>
      </c>
      <c r="J634" s="74"/>
      <c r="K634" s="253">
        <f t="shared" ref="K634" si="3791">(J634/100)*1000</f>
        <v>0</v>
      </c>
      <c r="L634" s="74"/>
      <c r="M634" s="253">
        <f t="shared" ref="M634" si="3792">(L634/100)*1000</f>
        <v>0</v>
      </c>
      <c r="N634" s="74"/>
      <c r="O634" s="253">
        <f t="shared" ref="O634" si="3793">(N634/100)*1000</f>
        <v>0</v>
      </c>
      <c r="P634" s="74"/>
      <c r="Q634" s="253">
        <f t="shared" ref="Q634" si="3794">(P634/100)*1000</f>
        <v>0</v>
      </c>
      <c r="R634" s="74"/>
      <c r="S634" s="253">
        <f t="shared" ref="S634" si="3795">(R634/100)*1000</f>
        <v>0</v>
      </c>
      <c r="T634" s="74"/>
      <c r="U634" s="253">
        <f t="shared" ref="U634" si="3796">(T634/100)*1000</f>
        <v>0</v>
      </c>
      <c r="V634" s="74"/>
      <c r="W634" s="253">
        <f t="shared" ref="W634" si="3797">(V634/100)*1000</f>
        <v>0</v>
      </c>
      <c r="X634" s="74"/>
      <c r="Y634" s="253">
        <f t="shared" ref="Y634" si="3798">(X634/100)*1000</f>
        <v>0</v>
      </c>
      <c r="Z634" s="74"/>
      <c r="AA634" s="253">
        <f t="shared" ref="AA634" si="3799">(Z634/100)*1000</f>
        <v>0</v>
      </c>
      <c r="AB634" s="74"/>
      <c r="AC634" s="253">
        <f t="shared" ref="AC634" si="3800">(AB634/100)*1000</f>
        <v>0</v>
      </c>
      <c r="AD634" s="74"/>
      <c r="AE634" s="253">
        <f t="shared" ref="AE634" si="3801">(AD634/100)*1000</f>
        <v>0</v>
      </c>
      <c r="AF634" s="98"/>
      <c r="AG634" s="98"/>
    </row>
    <row r="635" spans="1:33" ht="18.75" customHeight="1" outlineLevel="1">
      <c r="A635" s="359" t="str">
        <f t="shared" si="3644"/>
        <v>EP 200</v>
      </c>
      <c r="B635" s="74"/>
      <c r="C635" s="253">
        <f t="shared" si="3645"/>
        <v>0</v>
      </c>
      <c r="D635" s="74"/>
      <c r="E635" s="253">
        <f t="shared" si="3645"/>
        <v>0</v>
      </c>
      <c r="F635" s="74"/>
      <c r="G635" s="253">
        <f t="shared" ref="G635" si="3802">(F635/100)*1000</f>
        <v>0</v>
      </c>
      <c r="H635" s="74"/>
      <c r="I635" s="253">
        <f t="shared" ref="I635" si="3803">(H635/100)*1000</f>
        <v>0</v>
      </c>
      <c r="J635" s="74"/>
      <c r="K635" s="253">
        <f t="shared" ref="K635" si="3804">(J635/100)*1000</f>
        <v>0</v>
      </c>
      <c r="L635" s="74"/>
      <c r="M635" s="253">
        <f t="shared" ref="M635" si="3805">(L635/100)*1000</f>
        <v>0</v>
      </c>
      <c r="N635" s="74"/>
      <c r="O635" s="253">
        <f t="shared" ref="O635" si="3806">(N635/100)*1000</f>
        <v>0</v>
      </c>
      <c r="P635" s="74"/>
      <c r="Q635" s="253">
        <f t="shared" ref="Q635" si="3807">(P635/100)*1000</f>
        <v>0</v>
      </c>
      <c r="R635" s="74"/>
      <c r="S635" s="253">
        <f t="shared" ref="S635" si="3808">(R635/100)*1000</f>
        <v>0</v>
      </c>
      <c r="T635" s="74"/>
      <c r="U635" s="253">
        <f t="shared" ref="U635" si="3809">(T635/100)*1000</f>
        <v>0</v>
      </c>
      <c r="V635" s="74"/>
      <c r="W635" s="253">
        <f t="shared" ref="W635" si="3810">(V635/100)*1000</f>
        <v>0</v>
      </c>
      <c r="X635" s="74"/>
      <c r="Y635" s="253">
        <f t="shared" ref="Y635" si="3811">(X635/100)*1000</f>
        <v>0</v>
      </c>
      <c r="Z635" s="74"/>
      <c r="AA635" s="253">
        <f t="shared" ref="AA635" si="3812">(Z635/100)*1000</f>
        <v>0</v>
      </c>
      <c r="AB635" s="74"/>
      <c r="AC635" s="253">
        <f t="shared" ref="AC635" si="3813">(AB635/100)*1000</f>
        <v>0</v>
      </c>
      <c r="AD635" s="74"/>
      <c r="AE635" s="253">
        <f t="shared" ref="AE635" si="3814">(AD635/100)*1000</f>
        <v>0</v>
      </c>
      <c r="AF635" s="98"/>
      <c r="AG635" s="98"/>
    </row>
    <row r="636" spans="1:33" ht="18.75" customHeight="1" outlineLevel="1">
      <c r="A636" s="359" t="str">
        <f t="shared" si="3644"/>
        <v>SOYTIDE</v>
      </c>
      <c r="B636" s="74"/>
      <c r="C636" s="253">
        <f t="shared" si="3645"/>
        <v>0</v>
      </c>
      <c r="D636" s="74"/>
      <c r="E636" s="253">
        <f t="shared" si="3645"/>
        <v>0</v>
      </c>
      <c r="F636" s="74"/>
      <c r="G636" s="253">
        <f t="shared" ref="G636" si="3815">(F636/100)*1000</f>
        <v>0</v>
      </c>
      <c r="H636" s="74"/>
      <c r="I636" s="253">
        <f t="shared" ref="I636" si="3816">(H636/100)*1000</f>
        <v>0</v>
      </c>
      <c r="J636" s="74"/>
      <c r="K636" s="253">
        <f t="shared" ref="K636" si="3817">(J636/100)*1000</f>
        <v>0</v>
      </c>
      <c r="L636" s="74"/>
      <c r="M636" s="253">
        <f t="shared" ref="M636" si="3818">(L636/100)*1000</f>
        <v>0</v>
      </c>
      <c r="N636" s="74"/>
      <c r="O636" s="253">
        <f t="shared" ref="O636" si="3819">(N636/100)*1000</f>
        <v>0</v>
      </c>
      <c r="P636" s="74"/>
      <c r="Q636" s="253">
        <f t="shared" ref="Q636" si="3820">(P636/100)*1000</f>
        <v>0</v>
      </c>
      <c r="R636" s="74"/>
      <c r="S636" s="253">
        <f t="shared" ref="S636" si="3821">(R636/100)*1000</f>
        <v>0</v>
      </c>
      <c r="T636" s="74"/>
      <c r="U636" s="253">
        <f t="shared" ref="U636" si="3822">(T636/100)*1000</f>
        <v>0</v>
      </c>
      <c r="V636" s="74"/>
      <c r="W636" s="253">
        <f t="shared" ref="W636" si="3823">(V636/100)*1000</f>
        <v>0</v>
      </c>
      <c r="X636" s="74"/>
      <c r="Y636" s="253">
        <f t="shared" ref="Y636" si="3824">(X636/100)*1000</f>
        <v>0</v>
      </c>
      <c r="Z636" s="74"/>
      <c r="AA636" s="253">
        <f t="shared" ref="AA636" si="3825">(Z636/100)*1000</f>
        <v>0</v>
      </c>
      <c r="AB636" s="74"/>
      <c r="AC636" s="253">
        <f t="shared" ref="AC636" si="3826">(AB636/100)*1000</f>
        <v>0</v>
      </c>
      <c r="AD636" s="74"/>
      <c r="AE636" s="253">
        <f t="shared" ref="AE636" si="3827">(AD636/100)*1000</f>
        <v>0</v>
      </c>
      <c r="AF636" s="98"/>
      <c r="AG636" s="98"/>
    </row>
    <row r="637" spans="1:33" ht="18.75" customHeight="1" outlineLevel="1">
      <c r="A637" s="359" t="str">
        <f t="shared" si="3644"/>
        <v>DCP 18% (HARUMI)</v>
      </c>
      <c r="B637" s="74"/>
      <c r="C637" s="253">
        <f t="shared" si="3645"/>
        <v>0</v>
      </c>
      <c r="D637" s="74"/>
      <c r="E637" s="253">
        <f t="shared" si="3645"/>
        <v>0</v>
      </c>
      <c r="F637" s="74"/>
      <c r="G637" s="253">
        <f t="shared" ref="G637" si="3828">(F637/100)*1000</f>
        <v>0</v>
      </c>
      <c r="H637" s="74"/>
      <c r="I637" s="253">
        <f t="shared" ref="I637" si="3829">(H637/100)*1000</f>
        <v>0</v>
      </c>
      <c r="J637" s="74"/>
      <c r="K637" s="253">
        <f t="shared" ref="K637" si="3830">(J637/100)*1000</f>
        <v>0</v>
      </c>
      <c r="L637" s="74"/>
      <c r="M637" s="253">
        <f t="shared" ref="M637" si="3831">(L637/100)*1000</f>
        <v>0</v>
      </c>
      <c r="N637" s="74"/>
      <c r="O637" s="253">
        <f t="shared" ref="O637" si="3832">(N637/100)*1000</f>
        <v>0</v>
      </c>
      <c r="P637" s="74"/>
      <c r="Q637" s="253">
        <f t="shared" ref="Q637" si="3833">(P637/100)*1000</f>
        <v>0</v>
      </c>
      <c r="R637" s="74"/>
      <c r="S637" s="253">
        <f t="shared" ref="S637" si="3834">(R637/100)*1000</f>
        <v>0</v>
      </c>
      <c r="T637" s="74"/>
      <c r="U637" s="253">
        <f t="shared" ref="U637" si="3835">(T637/100)*1000</f>
        <v>0</v>
      </c>
      <c r="V637" s="74"/>
      <c r="W637" s="253">
        <f t="shared" ref="W637" si="3836">(V637/100)*1000</f>
        <v>0</v>
      </c>
      <c r="X637" s="74"/>
      <c r="Y637" s="253">
        <f t="shared" ref="Y637" si="3837">(X637/100)*1000</f>
        <v>0</v>
      </c>
      <c r="Z637" s="74"/>
      <c r="AA637" s="253">
        <f t="shared" ref="AA637" si="3838">(Z637/100)*1000</f>
        <v>0</v>
      </c>
      <c r="AB637" s="74"/>
      <c r="AC637" s="253">
        <f t="shared" ref="AC637" si="3839">(AB637/100)*1000</f>
        <v>0</v>
      </c>
      <c r="AD637" s="74"/>
      <c r="AE637" s="253">
        <f t="shared" ref="AE637" si="3840">(AD637/100)*1000</f>
        <v>0</v>
      </c>
      <c r="AF637" s="98"/>
      <c r="AG637" s="98"/>
    </row>
    <row r="638" spans="1:33" ht="18.75" customHeight="1" outlineLevel="1">
      <c r="A638" s="359">
        <f t="shared" si="3644"/>
        <v>1</v>
      </c>
      <c r="B638" s="74"/>
      <c r="C638" s="253">
        <f t="shared" si="3645"/>
        <v>0</v>
      </c>
      <c r="D638" s="74"/>
      <c r="E638" s="253">
        <f t="shared" si="3645"/>
        <v>0</v>
      </c>
      <c r="F638" s="74"/>
      <c r="G638" s="253">
        <f t="shared" ref="G638" si="3841">(F638/100)*1000</f>
        <v>0</v>
      </c>
      <c r="H638" s="74"/>
      <c r="I638" s="253">
        <f t="shared" ref="I638" si="3842">(H638/100)*1000</f>
        <v>0</v>
      </c>
      <c r="J638" s="74"/>
      <c r="K638" s="253">
        <f t="shared" ref="K638" si="3843">(J638/100)*1000</f>
        <v>0</v>
      </c>
      <c r="L638" s="74"/>
      <c r="M638" s="253">
        <f t="shared" ref="M638" si="3844">(L638/100)*1000</f>
        <v>0</v>
      </c>
      <c r="N638" s="74"/>
      <c r="O638" s="253">
        <f t="shared" ref="O638" si="3845">(N638/100)*1000</f>
        <v>0</v>
      </c>
      <c r="P638" s="74"/>
      <c r="Q638" s="253">
        <f t="shared" ref="Q638" si="3846">(P638/100)*1000</f>
        <v>0</v>
      </c>
      <c r="R638" s="74"/>
      <c r="S638" s="253">
        <f t="shared" ref="S638" si="3847">(R638/100)*1000</f>
        <v>0</v>
      </c>
      <c r="T638" s="74"/>
      <c r="U638" s="253">
        <f t="shared" ref="U638" si="3848">(T638/100)*1000</f>
        <v>0</v>
      </c>
      <c r="V638" s="74"/>
      <c r="W638" s="253">
        <f t="shared" ref="W638" si="3849">(V638/100)*1000</f>
        <v>0</v>
      </c>
      <c r="X638" s="74"/>
      <c r="Y638" s="253">
        <f t="shared" ref="Y638" si="3850">(X638/100)*1000</f>
        <v>0</v>
      </c>
      <c r="Z638" s="74"/>
      <c r="AA638" s="253">
        <f t="shared" ref="AA638" si="3851">(Z638/100)*1000</f>
        <v>0</v>
      </c>
      <c r="AB638" s="74"/>
      <c r="AC638" s="253">
        <f t="shared" ref="AC638" si="3852">(AB638/100)*1000</f>
        <v>0</v>
      </c>
      <c r="AD638" s="74"/>
      <c r="AE638" s="253">
        <f t="shared" ref="AE638" si="3853">(AD638/100)*1000</f>
        <v>0</v>
      </c>
      <c r="AF638" s="98"/>
      <c r="AG638" s="98"/>
    </row>
    <row r="639" spans="1:33" ht="18.75" customHeight="1" outlineLevel="1">
      <c r="A639" s="359">
        <f t="shared" si="3644"/>
        <v>2</v>
      </c>
      <c r="B639" s="74"/>
      <c r="C639" s="253">
        <f t="shared" si="3645"/>
        <v>0</v>
      </c>
      <c r="D639" s="74"/>
      <c r="E639" s="253">
        <f t="shared" si="3645"/>
        <v>0</v>
      </c>
      <c r="F639" s="74"/>
      <c r="G639" s="253">
        <f t="shared" ref="G639" si="3854">(F639/100)*1000</f>
        <v>0</v>
      </c>
      <c r="H639" s="74"/>
      <c r="I639" s="253">
        <f t="shared" ref="I639" si="3855">(H639/100)*1000</f>
        <v>0</v>
      </c>
      <c r="J639" s="74"/>
      <c r="K639" s="253">
        <f t="shared" ref="K639" si="3856">(J639/100)*1000</f>
        <v>0</v>
      </c>
      <c r="L639" s="74"/>
      <c r="M639" s="253">
        <f t="shared" ref="M639" si="3857">(L639/100)*1000</f>
        <v>0</v>
      </c>
      <c r="N639" s="74"/>
      <c r="O639" s="253">
        <f t="shared" ref="O639" si="3858">(N639/100)*1000</f>
        <v>0</v>
      </c>
      <c r="P639" s="74"/>
      <c r="Q639" s="253">
        <f t="shared" ref="Q639" si="3859">(P639/100)*1000</f>
        <v>0</v>
      </c>
      <c r="R639" s="74"/>
      <c r="S639" s="253">
        <f t="shared" ref="S639" si="3860">(R639/100)*1000</f>
        <v>0</v>
      </c>
      <c r="T639" s="74"/>
      <c r="U639" s="253">
        <f t="shared" ref="U639" si="3861">(T639/100)*1000</f>
        <v>0</v>
      </c>
      <c r="V639" s="74"/>
      <c r="W639" s="253">
        <f t="shared" ref="W639" si="3862">(V639/100)*1000</f>
        <v>0</v>
      </c>
      <c r="X639" s="74"/>
      <c r="Y639" s="253">
        <f t="shared" ref="Y639" si="3863">(X639/100)*1000</f>
        <v>0</v>
      </c>
      <c r="Z639" s="74"/>
      <c r="AA639" s="253">
        <f t="shared" ref="AA639" si="3864">(Z639/100)*1000</f>
        <v>0</v>
      </c>
      <c r="AB639" s="74"/>
      <c r="AC639" s="253">
        <f t="shared" ref="AC639" si="3865">(AB639/100)*1000</f>
        <v>0</v>
      </c>
      <c r="AD639" s="74"/>
      <c r="AE639" s="253">
        <f t="shared" ref="AE639" si="3866">(AD639/100)*1000</f>
        <v>0</v>
      </c>
      <c r="AF639" s="98"/>
      <c r="AG639" s="98"/>
    </row>
    <row r="640" spans="1:33" ht="18.75" customHeight="1" outlineLevel="1">
      <c r="A640" s="359">
        <f t="shared" si="3644"/>
        <v>3</v>
      </c>
      <c r="B640" s="74"/>
      <c r="C640" s="253">
        <f t="shared" si="3645"/>
        <v>0</v>
      </c>
      <c r="D640" s="74"/>
      <c r="E640" s="253">
        <f t="shared" si="3645"/>
        <v>0</v>
      </c>
      <c r="F640" s="74"/>
      <c r="G640" s="253">
        <f t="shared" ref="G640" si="3867">(F640/100)*1000</f>
        <v>0</v>
      </c>
      <c r="H640" s="74"/>
      <c r="I640" s="253">
        <f t="shared" ref="I640" si="3868">(H640/100)*1000</f>
        <v>0</v>
      </c>
      <c r="J640" s="74"/>
      <c r="K640" s="253">
        <f t="shared" ref="K640" si="3869">(J640/100)*1000</f>
        <v>0</v>
      </c>
      <c r="L640" s="74"/>
      <c r="M640" s="253">
        <f t="shared" ref="M640" si="3870">(L640/100)*1000</f>
        <v>0</v>
      </c>
      <c r="N640" s="74"/>
      <c r="O640" s="253">
        <f t="shared" ref="O640" si="3871">(N640/100)*1000</f>
        <v>0</v>
      </c>
      <c r="P640" s="74"/>
      <c r="Q640" s="253">
        <f t="shared" ref="Q640" si="3872">(P640/100)*1000</f>
        <v>0</v>
      </c>
      <c r="R640" s="74"/>
      <c r="S640" s="253">
        <f t="shared" ref="S640" si="3873">(R640/100)*1000</f>
        <v>0</v>
      </c>
      <c r="T640" s="74"/>
      <c r="U640" s="253">
        <f t="shared" ref="U640" si="3874">(T640/100)*1000</f>
        <v>0</v>
      </c>
      <c r="V640" s="74"/>
      <c r="W640" s="253">
        <f t="shared" ref="W640" si="3875">(V640/100)*1000</f>
        <v>0</v>
      </c>
      <c r="X640" s="74"/>
      <c r="Y640" s="253">
        <f t="shared" ref="Y640" si="3876">(X640/100)*1000</f>
        <v>0</v>
      </c>
      <c r="Z640" s="74"/>
      <c r="AA640" s="253">
        <f t="shared" ref="AA640" si="3877">(Z640/100)*1000</f>
        <v>0</v>
      </c>
      <c r="AB640" s="74"/>
      <c r="AC640" s="253">
        <f t="shared" ref="AC640" si="3878">(AB640/100)*1000</f>
        <v>0</v>
      </c>
      <c r="AD640" s="74"/>
      <c r="AE640" s="253">
        <f t="shared" ref="AE640" si="3879">(AD640/100)*1000</f>
        <v>0</v>
      </c>
      <c r="AF640" s="98"/>
      <c r="AG640" s="98"/>
    </row>
    <row r="641" spans="1:33" ht="18.75" customHeight="1" outlineLevel="1">
      <c r="A641" s="374" t="str">
        <f t="shared" si="3644"/>
        <v>PREMIX 1101 (20KG)</v>
      </c>
      <c r="B641" s="74"/>
      <c r="C641" s="253">
        <f t="shared" si="3645"/>
        <v>0</v>
      </c>
      <c r="D641" s="74"/>
      <c r="E641" s="253">
        <f t="shared" si="3645"/>
        <v>0</v>
      </c>
      <c r="F641" s="74"/>
      <c r="G641" s="253">
        <f t="shared" ref="G641" si="3880">(F641/100)*1000</f>
        <v>0</v>
      </c>
      <c r="H641" s="74"/>
      <c r="I641" s="253">
        <f t="shared" ref="I641" si="3881">(H641/100)*1000</f>
        <v>0</v>
      </c>
      <c r="J641" s="74"/>
      <c r="K641" s="253">
        <f t="shared" ref="K641" si="3882">(J641/100)*1000</f>
        <v>0</v>
      </c>
      <c r="L641" s="74"/>
      <c r="M641" s="253">
        <f t="shared" ref="M641" si="3883">(L641/100)*1000</f>
        <v>0</v>
      </c>
      <c r="N641" s="74"/>
      <c r="O641" s="253">
        <f t="shared" ref="O641" si="3884">(N641/100)*1000</f>
        <v>0</v>
      </c>
      <c r="P641" s="74"/>
      <c r="Q641" s="253">
        <f t="shared" ref="Q641" si="3885">(P641/100)*1000</f>
        <v>0</v>
      </c>
      <c r="R641" s="74"/>
      <c r="S641" s="253">
        <f t="shared" ref="S641" si="3886">(R641/100)*1000</f>
        <v>0</v>
      </c>
      <c r="T641" s="74"/>
      <c r="U641" s="253">
        <f t="shared" ref="U641" si="3887">(T641/100)*1000</f>
        <v>0</v>
      </c>
      <c r="V641" s="74"/>
      <c r="W641" s="253">
        <f t="shared" ref="W641" si="3888">(V641/100)*1000</f>
        <v>0</v>
      </c>
      <c r="X641" s="74"/>
      <c r="Y641" s="253">
        <f t="shared" ref="Y641" si="3889">(X641/100)*1000</f>
        <v>0</v>
      </c>
      <c r="Z641" s="74"/>
      <c r="AA641" s="253">
        <f t="shared" ref="AA641" si="3890">(Z641/100)*1000</f>
        <v>0</v>
      </c>
      <c r="AB641" s="74"/>
      <c r="AC641" s="253">
        <f t="shared" ref="AC641" si="3891">(AB641/100)*1000</f>
        <v>0</v>
      </c>
      <c r="AD641" s="74"/>
      <c r="AE641" s="253">
        <f t="shared" ref="AE641" si="3892">(AD641/100)*1000</f>
        <v>0</v>
      </c>
      <c r="AF641" s="98"/>
      <c r="AG641" s="98"/>
    </row>
    <row r="642" spans="1:33" ht="18.75" customHeight="1" outlineLevel="1">
      <c r="A642" s="374" t="str">
        <f t="shared" si="3644"/>
        <v>PREMIX 1102 (20KG)</v>
      </c>
      <c r="B642" s="74"/>
      <c r="C642" s="253">
        <f t="shared" si="3645"/>
        <v>0</v>
      </c>
      <c r="D642" s="74"/>
      <c r="E642" s="253">
        <f t="shared" si="3645"/>
        <v>0</v>
      </c>
      <c r="F642" s="74"/>
      <c r="G642" s="253">
        <f t="shared" ref="G642" si="3893">(F642/100)*1000</f>
        <v>0</v>
      </c>
      <c r="H642" s="74"/>
      <c r="I642" s="253">
        <f t="shared" ref="I642" si="3894">(H642/100)*1000</f>
        <v>0</v>
      </c>
      <c r="J642" s="74"/>
      <c r="K642" s="253">
        <f t="shared" ref="K642" si="3895">(J642/100)*1000</f>
        <v>0</v>
      </c>
      <c r="L642" s="74"/>
      <c r="M642" s="253">
        <f t="shared" ref="M642" si="3896">(L642/100)*1000</f>
        <v>0</v>
      </c>
      <c r="N642" s="74"/>
      <c r="O642" s="253">
        <f t="shared" ref="O642" si="3897">(N642/100)*1000</f>
        <v>0</v>
      </c>
      <c r="P642" s="74"/>
      <c r="Q642" s="253">
        <f t="shared" ref="Q642" si="3898">(P642/100)*1000</f>
        <v>0</v>
      </c>
      <c r="R642" s="74"/>
      <c r="S642" s="253">
        <f t="shared" ref="S642" si="3899">(R642/100)*1000</f>
        <v>0</v>
      </c>
      <c r="T642" s="74"/>
      <c r="U642" s="253">
        <f t="shared" ref="U642" si="3900">(T642/100)*1000</f>
        <v>0</v>
      </c>
      <c r="V642" s="74"/>
      <c r="W642" s="253">
        <f t="shared" ref="W642" si="3901">(V642/100)*1000</f>
        <v>0</v>
      </c>
      <c r="X642" s="74"/>
      <c r="Y642" s="253">
        <f t="shared" ref="Y642" si="3902">(X642/100)*1000</f>
        <v>0</v>
      </c>
      <c r="Z642" s="74"/>
      <c r="AA642" s="253">
        <f t="shared" ref="AA642" si="3903">(Z642/100)*1000</f>
        <v>0</v>
      </c>
      <c r="AB642" s="74"/>
      <c r="AC642" s="253">
        <f t="shared" ref="AC642" si="3904">(AB642/100)*1000</f>
        <v>0</v>
      </c>
      <c r="AD642" s="74"/>
      <c r="AE642" s="253">
        <f t="shared" ref="AE642" si="3905">(AD642/100)*1000</f>
        <v>0</v>
      </c>
      <c r="AF642" s="98"/>
      <c r="AG642" s="98"/>
    </row>
    <row r="643" spans="1:33" ht="18.75" customHeight="1" outlineLevel="1">
      <c r="A643" s="374" t="str">
        <f t="shared" si="3644"/>
        <v>PREMIX 1103 (20KG)</v>
      </c>
      <c r="B643" s="74"/>
      <c r="C643" s="253">
        <f t="shared" si="3645"/>
        <v>0</v>
      </c>
      <c r="D643" s="74"/>
      <c r="E643" s="253">
        <f t="shared" si="3645"/>
        <v>0</v>
      </c>
      <c r="F643" s="74"/>
      <c r="G643" s="253">
        <f t="shared" ref="G643" si="3906">(F643/100)*1000</f>
        <v>0</v>
      </c>
      <c r="H643" s="74"/>
      <c r="I643" s="253">
        <f t="shared" ref="I643" si="3907">(H643/100)*1000</f>
        <v>0</v>
      </c>
      <c r="J643" s="74"/>
      <c r="K643" s="253">
        <f t="shared" ref="K643" si="3908">(J643/100)*1000</f>
        <v>0</v>
      </c>
      <c r="L643" s="74"/>
      <c r="M643" s="253">
        <f t="shared" ref="M643" si="3909">(L643/100)*1000</f>
        <v>0</v>
      </c>
      <c r="N643" s="74"/>
      <c r="O643" s="253">
        <f t="shared" ref="O643" si="3910">(N643/100)*1000</f>
        <v>0</v>
      </c>
      <c r="P643" s="74"/>
      <c r="Q643" s="253">
        <f t="shared" ref="Q643" si="3911">(P643/100)*1000</f>
        <v>0</v>
      </c>
      <c r="R643" s="74"/>
      <c r="S643" s="253">
        <f t="shared" ref="S643" si="3912">(R643/100)*1000</f>
        <v>0</v>
      </c>
      <c r="T643" s="74"/>
      <c r="U643" s="253">
        <f t="shared" ref="U643" si="3913">(T643/100)*1000</f>
        <v>0</v>
      </c>
      <c r="V643" s="74"/>
      <c r="W643" s="253">
        <f t="shared" ref="W643" si="3914">(V643/100)*1000</f>
        <v>0</v>
      </c>
      <c r="X643" s="74"/>
      <c r="Y643" s="253">
        <f t="shared" ref="Y643" si="3915">(X643/100)*1000</f>
        <v>0</v>
      </c>
      <c r="Z643" s="74"/>
      <c r="AA643" s="253">
        <f t="shared" ref="AA643" si="3916">(Z643/100)*1000</f>
        <v>0</v>
      </c>
      <c r="AB643" s="74"/>
      <c r="AC643" s="253">
        <f t="shared" ref="AC643" si="3917">(AB643/100)*1000</f>
        <v>0</v>
      </c>
      <c r="AD643" s="74"/>
      <c r="AE643" s="253">
        <f t="shared" ref="AE643" si="3918">(AD643/100)*1000</f>
        <v>0</v>
      </c>
      <c r="AF643" s="98"/>
      <c r="AG643" s="98"/>
    </row>
    <row r="644" spans="1:33" ht="18.75" customHeight="1" outlineLevel="1">
      <c r="A644" s="374" t="str">
        <f t="shared" si="3644"/>
        <v>PREMIX 311 (20KG)</v>
      </c>
      <c r="B644" s="74"/>
      <c r="C644" s="253">
        <f t="shared" si="3645"/>
        <v>0</v>
      </c>
      <c r="D644" s="74"/>
      <c r="E644" s="253">
        <f t="shared" si="3645"/>
        <v>0</v>
      </c>
      <c r="F644" s="74"/>
      <c r="G644" s="253">
        <f t="shared" ref="G644" si="3919">(F644/100)*1000</f>
        <v>0</v>
      </c>
      <c r="H644" s="74"/>
      <c r="I644" s="253">
        <f t="shared" ref="I644" si="3920">(H644/100)*1000</f>
        <v>0</v>
      </c>
      <c r="J644" s="74"/>
      <c r="K644" s="253">
        <f t="shared" ref="K644" si="3921">(J644/100)*1000</f>
        <v>0</v>
      </c>
      <c r="L644" s="74"/>
      <c r="M644" s="253">
        <f t="shared" ref="M644" si="3922">(L644/100)*1000</f>
        <v>0</v>
      </c>
      <c r="N644" s="74"/>
      <c r="O644" s="253">
        <f t="shared" ref="O644" si="3923">(N644/100)*1000</f>
        <v>0</v>
      </c>
      <c r="P644" s="74"/>
      <c r="Q644" s="253">
        <f t="shared" ref="Q644" si="3924">(P644/100)*1000</f>
        <v>0</v>
      </c>
      <c r="R644" s="74"/>
      <c r="S644" s="253">
        <f t="shared" ref="S644" si="3925">(R644/100)*1000</f>
        <v>0</v>
      </c>
      <c r="T644" s="74"/>
      <c r="U644" s="253">
        <f t="shared" ref="U644" si="3926">(T644/100)*1000</f>
        <v>0</v>
      </c>
      <c r="V644" s="74"/>
      <c r="W644" s="253">
        <f t="shared" ref="W644" si="3927">(V644/100)*1000</f>
        <v>0</v>
      </c>
      <c r="X644" s="74"/>
      <c r="Y644" s="253">
        <f t="shared" ref="Y644" si="3928">(X644/100)*1000</f>
        <v>0</v>
      </c>
      <c r="Z644" s="74"/>
      <c r="AA644" s="253">
        <f t="shared" ref="AA644" si="3929">(Z644/100)*1000</f>
        <v>0</v>
      </c>
      <c r="AB644" s="74"/>
      <c r="AC644" s="253">
        <f t="shared" ref="AC644" si="3930">(AB644/100)*1000</f>
        <v>0</v>
      </c>
      <c r="AD644" s="74"/>
      <c r="AE644" s="253">
        <f t="shared" ref="AE644" si="3931">(AD644/100)*1000</f>
        <v>0</v>
      </c>
      <c r="AF644" s="98"/>
      <c r="AG644" s="98"/>
    </row>
    <row r="645" spans="1:33" ht="18.75" customHeight="1" outlineLevel="1">
      <c r="A645" s="374" t="str">
        <f t="shared" si="3644"/>
        <v>PREMIX 312 (20KG)</v>
      </c>
      <c r="B645" s="74"/>
      <c r="C645" s="253">
        <f t="shared" si="3645"/>
        <v>0</v>
      </c>
      <c r="D645" s="74"/>
      <c r="E645" s="253">
        <f t="shared" si="3645"/>
        <v>0</v>
      </c>
      <c r="F645" s="74"/>
      <c r="G645" s="253">
        <f t="shared" ref="G645" si="3932">(F645/100)*1000</f>
        <v>0</v>
      </c>
      <c r="H645" s="74"/>
      <c r="I645" s="253">
        <f t="shared" ref="I645" si="3933">(H645/100)*1000</f>
        <v>0</v>
      </c>
      <c r="J645" s="74"/>
      <c r="K645" s="253">
        <f t="shared" ref="K645" si="3934">(J645/100)*1000</f>
        <v>0</v>
      </c>
      <c r="L645" s="74"/>
      <c r="M645" s="253">
        <f t="shared" ref="M645" si="3935">(L645/100)*1000</f>
        <v>0</v>
      </c>
      <c r="N645" s="74"/>
      <c r="O645" s="253">
        <f t="shared" ref="O645" si="3936">(N645/100)*1000</f>
        <v>0</v>
      </c>
      <c r="P645" s="74"/>
      <c r="Q645" s="253">
        <f t="shared" ref="Q645" si="3937">(P645/100)*1000</f>
        <v>0</v>
      </c>
      <c r="R645" s="74"/>
      <c r="S645" s="253">
        <f t="shared" ref="S645" si="3938">(R645/100)*1000</f>
        <v>0</v>
      </c>
      <c r="T645" s="74"/>
      <c r="U645" s="253">
        <f t="shared" ref="U645" si="3939">(T645/100)*1000</f>
        <v>0</v>
      </c>
      <c r="V645" s="74"/>
      <c r="W645" s="253">
        <f t="shared" ref="W645" si="3940">(V645/100)*1000</f>
        <v>0</v>
      </c>
      <c r="X645" s="74"/>
      <c r="Y645" s="253">
        <f t="shared" ref="Y645" si="3941">(X645/100)*1000</f>
        <v>0</v>
      </c>
      <c r="Z645" s="74"/>
      <c r="AA645" s="253">
        <f t="shared" ref="AA645" si="3942">(Z645/100)*1000</f>
        <v>0</v>
      </c>
      <c r="AB645" s="74"/>
      <c r="AC645" s="253">
        <f t="shared" ref="AC645" si="3943">(AB645/100)*1000</f>
        <v>0</v>
      </c>
      <c r="AD645" s="74"/>
      <c r="AE645" s="253">
        <f t="shared" ref="AE645" si="3944">(AD645/100)*1000</f>
        <v>0</v>
      </c>
      <c r="AF645" s="98"/>
      <c r="AG645" s="98"/>
    </row>
    <row r="646" spans="1:33" ht="18.75" customHeight="1" outlineLevel="1">
      <c r="A646" s="374">
        <f t="shared" si="3644"/>
        <v>1</v>
      </c>
      <c r="B646" s="74"/>
      <c r="C646" s="253">
        <f t="shared" si="3645"/>
        <v>0</v>
      </c>
      <c r="D646" s="74"/>
      <c r="E646" s="253">
        <f t="shared" si="3645"/>
        <v>0</v>
      </c>
      <c r="F646" s="74"/>
      <c r="G646" s="253">
        <f t="shared" ref="G646" si="3945">(F646/100)*1000</f>
        <v>0</v>
      </c>
      <c r="H646" s="74"/>
      <c r="I646" s="253">
        <f t="shared" ref="I646" si="3946">(H646/100)*1000</f>
        <v>0</v>
      </c>
      <c r="J646" s="74"/>
      <c r="K646" s="253">
        <f t="shared" ref="K646" si="3947">(J646/100)*1000</f>
        <v>0</v>
      </c>
      <c r="L646" s="74"/>
      <c r="M646" s="253">
        <f t="shared" ref="M646" si="3948">(L646/100)*1000</f>
        <v>0</v>
      </c>
      <c r="N646" s="74"/>
      <c r="O646" s="253">
        <f t="shared" ref="O646" si="3949">(N646/100)*1000</f>
        <v>0</v>
      </c>
      <c r="P646" s="74"/>
      <c r="Q646" s="253">
        <f t="shared" ref="Q646" si="3950">(P646/100)*1000</f>
        <v>0</v>
      </c>
      <c r="R646" s="74"/>
      <c r="S646" s="253">
        <f t="shared" ref="S646" si="3951">(R646/100)*1000</f>
        <v>0</v>
      </c>
      <c r="T646" s="74"/>
      <c r="U646" s="253">
        <f t="shared" ref="U646" si="3952">(T646/100)*1000</f>
        <v>0</v>
      </c>
      <c r="V646" s="74"/>
      <c r="W646" s="253">
        <f t="shared" ref="W646" si="3953">(V646/100)*1000</f>
        <v>0</v>
      </c>
      <c r="X646" s="74"/>
      <c r="Y646" s="253">
        <f t="shared" ref="Y646" si="3954">(X646/100)*1000</f>
        <v>0</v>
      </c>
      <c r="Z646" s="74"/>
      <c r="AA646" s="253">
        <f t="shared" ref="AA646" si="3955">(Z646/100)*1000</f>
        <v>0</v>
      </c>
      <c r="AB646" s="74"/>
      <c r="AC646" s="253">
        <f t="shared" ref="AC646" si="3956">(AB646/100)*1000</f>
        <v>0</v>
      </c>
      <c r="AD646" s="74"/>
      <c r="AE646" s="253">
        <f t="shared" ref="AE646" si="3957">(AD646/100)*1000</f>
        <v>0</v>
      </c>
      <c r="AF646" s="98"/>
      <c r="AG646" s="98"/>
    </row>
    <row r="647" spans="1:33" ht="18.75" customHeight="1" outlineLevel="1">
      <c r="A647" s="374" t="str">
        <f t="shared" si="3644"/>
        <v>PREMIX 8100 (20KG)</v>
      </c>
      <c r="B647" s="74"/>
      <c r="C647" s="253">
        <f t="shared" si="3645"/>
        <v>0</v>
      </c>
      <c r="D647" s="74"/>
      <c r="E647" s="253">
        <f t="shared" si="3645"/>
        <v>0</v>
      </c>
      <c r="F647" s="74"/>
      <c r="G647" s="253">
        <f t="shared" ref="G647" si="3958">(F647/100)*1000</f>
        <v>0</v>
      </c>
      <c r="H647" s="74"/>
      <c r="I647" s="253">
        <f t="shared" ref="I647" si="3959">(H647/100)*1000</f>
        <v>0</v>
      </c>
      <c r="J647" s="74"/>
      <c r="K647" s="253">
        <f t="shared" ref="K647" si="3960">(J647/100)*1000</f>
        <v>0</v>
      </c>
      <c r="L647" s="74"/>
      <c r="M647" s="253">
        <f t="shared" ref="M647" si="3961">(L647/100)*1000</f>
        <v>0</v>
      </c>
      <c r="N647" s="74"/>
      <c r="O647" s="253">
        <f t="shared" ref="O647" si="3962">(N647/100)*1000</f>
        <v>0</v>
      </c>
      <c r="P647" s="74"/>
      <c r="Q647" s="253">
        <f t="shared" ref="Q647" si="3963">(P647/100)*1000</f>
        <v>0</v>
      </c>
      <c r="R647" s="74"/>
      <c r="S647" s="253">
        <f t="shared" ref="S647" si="3964">(R647/100)*1000</f>
        <v>0</v>
      </c>
      <c r="T647" s="74"/>
      <c r="U647" s="253">
        <f t="shared" ref="U647" si="3965">(T647/100)*1000</f>
        <v>0</v>
      </c>
      <c r="V647" s="74"/>
      <c r="W647" s="253">
        <f t="shared" ref="W647" si="3966">(V647/100)*1000</f>
        <v>0</v>
      </c>
      <c r="X647" s="74"/>
      <c r="Y647" s="253">
        <f t="shared" ref="Y647" si="3967">(X647/100)*1000</f>
        <v>0</v>
      </c>
      <c r="Z647" s="74"/>
      <c r="AA647" s="253">
        <f t="shared" ref="AA647" si="3968">(Z647/100)*1000</f>
        <v>0</v>
      </c>
      <c r="AB647" s="74"/>
      <c r="AC647" s="253">
        <f t="shared" ref="AC647" si="3969">(AB647/100)*1000</f>
        <v>0</v>
      </c>
      <c r="AD647" s="74"/>
      <c r="AE647" s="253">
        <f t="shared" ref="AE647" si="3970">(AD647/100)*1000</f>
        <v>0</v>
      </c>
      <c r="AF647" s="98"/>
      <c r="AG647" s="98"/>
    </row>
    <row r="648" spans="1:33" ht="18.75" customHeight="1" outlineLevel="1">
      <c r="A648" s="374" t="str">
        <f t="shared" si="3644"/>
        <v>PREMIX 8101 (20KG)</v>
      </c>
      <c r="B648" s="74"/>
      <c r="C648" s="253">
        <f t="shared" si="3645"/>
        <v>0</v>
      </c>
      <c r="D648" s="74"/>
      <c r="E648" s="253">
        <f t="shared" si="3645"/>
        <v>0</v>
      </c>
      <c r="F648" s="74"/>
      <c r="G648" s="253">
        <f t="shared" ref="G648" si="3971">(F648/100)*1000</f>
        <v>0</v>
      </c>
      <c r="H648" s="74"/>
      <c r="I648" s="253">
        <f t="shared" ref="I648" si="3972">(H648/100)*1000</f>
        <v>0</v>
      </c>
      <c r="J648" s="74"/>
      <c r="K648" s="253">
        <f t="shared" ref="K648" si="3973">(J648/100)*1000</f>
        <v>0</v>
      </c>
      <c r="L648" s="74"/>
      <c r="M648" s="253">
        <f t="shared" ref="M648" si="3974">(L648/100)*1000</f>
        <v>0</v>
      </c>
      <c r="N648" s="74"/>
      <c r="O648" s="253">
        <f t="shared" ref="O648" si="3975">(N648/100)*1000</f>
        <v>0</v>
      </c>
      <c r="P648" s="74"/>
      <c r="Q648" s="253">
        <f t="shared" ref="Q648" si="3976">(P648/100)*1000</f>
        <v>0</v>
      </c>
      <c r="R648" s="74"/>
      <c r="S648" s="253">
        <f t="shared" ref="S648" si="3977">(R648/100)*1000</f>
        <v>0</v>
      </c>
      <c r="T648" s="74"/>
      <c r="U648" s="253">
        <f t="shared" ref="U648" si="3978">(T648/100)*1000</f>
        <v>0</v>
      </c>
      <c r="V648" s="74"/>
      <c r="W648" s="253">
        <f t="shared" ref="W648" si="3979">(V648/100)*1000</f>
        <v>0</v>
      </c>
      <c r="X648" s="74"/>
      <c r="Y648" s="253">
        <f t="shared" ref="Y648" si="3980">(X648/100)*1000</f>
        <v>0</v>
      </c>
      <c r="Z648" s="74"/>
      <c r="AA648" s="253">
        <f t="shared" ref="AA648" si="3981">(Z648/100)*1000</f>
        <v>0</v>
      </c>
      <c r="AB648" s="74"/>
      <c r="AC648" s="253">
        <f t="shared" ref="AC648" si="3982">(AB648/100)*1000</f>
        <v>0</v>
      </c>
      <c r="AD648" s="74"/>
      <c r="AE648" s="253">
        <f t="shared" ref="AE648" si="3983">(AD648/100)*1000</f>
        <v>0</v>
      </c>
      <c r="AF648" s="98"/>
      <c r="AG648" s="98"/>
    </row>
    <row r="649" spans="1:33" ht="18.75" customHeight="1" outlineLevel="1">
      <c r="A649" s="374" t="str">
        <f t="shared" si="3644"/>
        <v>PREMIX 8102 (20KG)</v>
      </c>
      <c r="B649" s="74"/>
      <c r="C649" s="253">
        <f t="shared" si="3645"/>
        <v>0</v>
      </c>
      <c r="D649" s="74"/>
      <c r="E649" s="253">
        <f t="shared" si="3645"/>
        <v>0</v>
      </c>
      <c r="F649" s="74"/>
      <c r="G649" s="253">
        <f t="shared" ref="G649" si="3984">(F649/100)*1000</f>
        <v>0</v>
      </c>
      <c r="H649" s="74"/>
      <c r="I649" s="253">
        <f t="shared" ref="I649" si="3985">(H649/100)*1000</f>
        <v>0</v>
      </c>
      <c r="J649" s="74"/>
      <c r="K649" s="253">
        <f t="shared" ref="K649" si="3986">(J649/100)*1000</f>
        <v>0</v>
      </c>
      <c r="L649" s="74"/>
      <c r="M649" s="253">
        <f t="shared" ref="M649" si="3987">(L649/100)*1000</f>
        <v>0</v>
      </c>
      <c r="N649" s="74"/>
      <c r="O649" s="253">
        <f t="shared" ref="O649" si="3988">(N649/100)*1000</f>
        <v>0</v>
      </c>
      <c r="P649" s="74"/>
      <c r="Q649" s="253">
        <f t="shared" ref="Q649" si="3989">(P649/100)*1000</f>
        <v>0</v>
      </c>
      <c r="R649" s="74"/>
      <c r="S649" s="253">
        <f t="shared" ref="S649" si="3990">(R649/100)*1000</f>
        <v>0</v>
      </c>
      <c r="T649" s="74"/>
      <c r="U649" s="253">
        <f t="shared" ref="U649" si="3991">(T649/100)*1000</f>
        <v>0</v>
      </c>
      <c r="V649" s="74"/>
      <c r="W649" s="253">
        <f t="shared" ref="W649" si="3992">(V649/100)*1000</f>
        <v>0</v>
      </c>
      <c r="X649" s="74"/>
      <c r="Y649" s="253">
        <f t="shared" ref="Y649" si="3993">(X649/100)*1000</f>
        <v>0</v>
      </c>
      <c r="Z649" s="74"/>
      <c r="AA649" s="253">
        <f t="shared" ref="AA649" si="3994">(Z649/100)*1000</f>
        <v>0</v>
      </c>
      <c r="AB649" s="74"/>
      <c r="AC649" s="253">
        <f t="shared" ref="AC649" si="3995">(AB649/100)*1000</f>
        <v>0</v>
      </c>
      <c r="AD649" s="74"/>
      <c r="AE649" s="253">
        <f t="shared" ref="AE649" si="3996">(AD649/100)*1000</f>
        <v>0</v>
      </c>
      <c r="AF649" s="98"/>
      <c r="AG649" s="98"/>
    </row>
    <row r="650" spans="1:33" ht="18.75" customHeight="1" outlineLevel="1">
      <c r="A650" s="374" t="str">
        <f t="shared" si="3644"/>
        <v>PREMIX 8103 (20KG)</v>
      </c>
      <c r="B650" s="74"/>
      <c r="C650" s="253">
        <f t="shared" si="3645"/>
        <v>0</v>
      </c>
      <c r="D650" s="74"/>
      <c r="E650" s="253">
        <f t="shared" si="3645"/>
        <v>0</v>
      </c>
      <c r="F650" s="74"/>
      <c r="G650" s="253">
        <f t="shared" ref="G650" si="3997">(F650/100)*1000</f>
        <v>0</v>
      </c>
      <c r="H650" s="74"/>
      <c r="I650" s="253">
        <f t="shared" ref="I650" si="3998">(H650/100)*1000</f>
        <v>0</v>
      </c>
      <c r="J650" s="74"/>
      <c r="K650" s="253">
        <f t="shared" ref="K650" si="3999">(J650/100)*1000</f>
        <v>0</v>
      </c>
      <c r="L650" s="74"/>
      <c r="M650" s="253">
        <f t="shared" ref="M650" si="4000">(L650/100)*1000</f>
        <v>0</v>
      </c>
      <c r="N650" s="74"/>
      <c r="O650" s="253">
        <f t="shared" ref="O650" si="4001">(N650/100)*1000</f>
        <v>0</v>
      </c>
      <c r="P650" s="74"/>
      <c r="Q650" s="253">
        <f t="shared" ref="Q650" si="4002">(P650/100)*1000</f>
        <v>0</v>
      </c>
      <c r="R650" s="74"/>
      <c r="S650" s="253">
        <f t="shared" ref="S650" si="4003">(R650/100)*1000</f>
        <v>0</v>
      </c>
      <c r="T650" s="74"/>
      <c r="U650" s="253">
        <f t="shared" ref="U650" si="4004">(T650/100)*1000</f>
        <v>0</v>
      </c>
      <c r="V650" s="74"/>
      <c r="W650" s="253">
        <f t="shared" ref="W650" si="4005">(V650/100)*1000</f>
        <v>0</v>
      </c>
      <c r="X650" s="74"/>
      <c r="Y650" s="253">
        <f t="shared" ref="Y650" si="4006">(X650/100)*1000</f>
        <v>0</v>
      </c>
      <c r="Z650" s="74"/>
      <c r="AA650" s="253">
        <f t="shared" ref="AA650" si="4007">(Z650/100)*1000</f>
        <v>0</v>
      </c>
      <c r="AB650" s="74"/>
      <c r="AC650" s="253">
        <f t="shared" ref="AC650" si="4008">(AB650/100)*1000</f>
        <v>0</v>
      </c>
      <c r="AD650" s="74"/>
      <c r="AE650" s="253">
        <f t="shared" ref="AE650" si="4009">(AD650/100)*1000</f>
        <v>0</v>
      </c>
      <c r="AF650" s="98"/>
      <c r="AG650" s="98"/>
    </row>
    <row r="651" spans="1:33" ht="18.75" customHeight="1" outlineLevel="1">
      <c r="A651" s="374" t="str">
        <f t="shared" si="3644"/>
        <v>PREMIX 8108 (20KG)</v>
      </c>
      <c r="B651" s="74"/>
      <c r="C651" s="253">
        <f t="shared" si="3645"/>
        <v>0</v>
      </c>
      <c r="D651" s="74"/>
      <c r="E651" s="253">
        <f t="shared" si="3645"/>
        <v>0</v>
      </c>
      <c r="F651" s="74"/>
      <c r="G651" s="253">
        <f t="shared" ref="G651" si="4010">(F651/100)*1000</f>
        <v>0</v>
      </c>
      <c r="H651" s="74"/>
      <c r="I651" s="253">
        <f t="shared" ref="I651" si="4011">(H651/100)*1000</f>
        <v>0</v>
      </c>
      <c r="J651" s="74"/>
      <c r="K651" s="253">
        <f t="shared" ref="K651" si="4012">(J651/100)*1000</f>
        <v>0</v>
      </c>
      <c r="L651" s="74"/>
      <c r="M651" s="253">
        <f t="shared" ref="M651" si="4013">(L651/100)*1000</f>
        <v>0</v>
      </c>
      <c r="N651" s="74"/>
      <c r="O651" s="253">
        <f t="shared" ref="O651" si="4014">(N651/100)*1000</f>
        <v>0</v>
      </c>
      <c r="P651" s="74"/>
      <c r="Q651" s="253">
        <f t="shared" ref="Q651" si="4015">(P651/100)*1000</f>
        <v>0</v>
      </c>
      <c r="R651" s="74"/>
      <c r="S651" s="253">
        <f t="shared" ref="S651" si="4016">(R651/100)*1000</f>
        <v>0</v>
      </c>
      <c r="T651" s="74"/>
      <c r="U651" s="253">
        <f t="shared" ref="U651" si="4017">(T651/100)*1000</f>
        <v>0</v>
      </c>
      <c r="V651" s="74"/>
      <c r="W651" s="253">
        <f t="shared" ref="W651" si="4018">(V651/100)*1000</f>
        <v>0</v>
      </c>
      <c r="X651" s="74"/>
      <c r="Y651" s="253">
        <f t="shared" ref="Y651" si="4019">(X651/100)*1000</f>
        <v>0</v>
      </c>
      <c r="Z651" s="74"/>
      <c r="AA651" s="253">
        <f t="shared" ref="AA651" si="4020">(Z651/100)*1000</f>
        <v>0</v>
      </c>
      <c r="AB651" s="74"/>
      <c r="AC651" s="253">
        <f t="shared" ref="AC651" si="4021">(AB651/100)*1000</f>
        <v>0</v>
      </c>
      <c r="AD651" s="74"/>
      <c r="AE651" s="253">
        <f t="shared" ref="AE651" si="4022">(AD651/100)*1000</f>
        <v>0</v>
      </c>
      <c r="AF651" s="98"/>
      <c r="AG651" s="98"/>
    </row>
    <row r="652" spans="1:33" ht="18.75" customHeight="1" outlineLevel="1">
      <c r="A652" s="374" t="str">
        <f t="shared" si="3644"/>
        <v>PREMIX 8109 (20KG)</v>
      </c>
      <c r="B652" s="74"/>
      <c r="C652" s="253">
        <f t="shared" si="3645"/>
        <v>0</v>
      </c>
      <c r="D652" s="74"/>
      <c r="E652" s="253">
        <f t="shared" si="3645"/>
        <v>0</v>
      </c>
      <c r="F652" s="74"/>
      <c r="G652" s="253">
        <f t="shared" ref="G652" si="4023">(F652/100)*1000</f>
        <v>0</v>
      </c>
      <c r="H652" s="74"/>
      <c r="I652" s="253">
        <f t="shared" ref="I652" si="4024">(H652/100)*1000</f>
        <v>0</v>
      </c>
      <c r="J652" s="74"/>
      <c r="K652" s="253">
        <f t="shared" ref="K652" si="4025">(J652/100)*1000</f>
        <v>0</v>
      </c>
      <c r="L652" s="74"/>
      <c r="M652" s="253">
        <f t="shared" ref="M652" si="4026">(L652/100)*1000</f>
        <v>0</v>
      </c>
      <c r="N652" s="74"/>
      <c r="O652" s="253">
        <f t="shared" ref="O652" si="4027">(N652/100)*1000</f>
        <v>0</v>
      </c>
      <c r="P652" s="74"/>
      <c r="Q652" s="253">
        <f t="shared" ref="Q652" si="4028">(P652/100)*1000</f>
        <v>0</v>
      </c>
      <c r="R652" s="74"/>
      <c r="S652" s="253">
        <f t="shared" ref="S652" si="4029">(R652/100)*1000</f>
        <v>0</v>
      </c>
      <c r="T652" s="74"/>
      <c r="U652" s="253">
        <f t="shared" ref="U652" si="4030">(T652/100)*1000</f>
        <v>0</v>
      </c>
      <c r="V652" s="74"/>
      <c r="W652" s="253">
        <f t="shared" ref="W652" si="4031">(V652/100)*1000</f>
        <v>0</v>
      </c>
      <c r="X652" s="74"/>
      <c r="Y652" s="253">
        <f t="shared" ref="Y652" si="4032">(X652/100)*1000</f>
        <v>0</v>
      </c>
      <c r="Z652" s="74"/>
      <c r="AA652" s="253">
        <f t="shared" ref="AA652" si="4033">(Z652/100)*1000</f>
        <v>0</v>
      </c>
      <c r="AB652" s="74"/>
      <c r="AC652" s="253">
        <f t="shared" ref="AC652" si="4034">(AB652/100)*1000</f>
        <v>0</v>
      </c>
      <c r="AD652" s="74"/>
      <c r="AE652" s="253">
        <f t="shared" ref="AE652" si="4035">(AD652/100)*1000</f>
        <v>0</v>
      </c>
      <c r="AF652" s="98"/>
      <c r="AG652" s="98"/>
    </row>
    <row r="653" spans="1:33" ht="18.75" customHeight="1" outlineLevel="1">
      <c r="A653" s="374" t="str">
        <f t="shared" si="3644"/>
        <v>YENMIX 121 (20KG)</v>
      </c>
      <c r="B653" s="74"/>
      <c r="C653" s="253">
        <f t="shared" si="3645"/>
        <v>0</v>
      </c>
      <c r="D653" s="74"/>
      <c r="E653" s="253">
        <f t="shared" si="3645"/>
        <v>0</v>
      </c>
      <c r="F653" s="74"/>
      <c r="G653" s="253">
        <f t="shared" ref="G653" si="4036">(F653/100)*1000</f>
        <v>0</v>
      </c>
      <c r="H653" s="74"/>
      <c r="I653" s="253">
        <f t="shared" ref="I653" si="4037">(H653/100)*1000</f>
        <v>0</v>
      </c>
      <c r="J653" s="74"/>
      <c r="K653" s="253">
        <f t="shared" ref="K653" si="4038">(J653/100)*1000</f>
        <v>0</v>
      </c>
      <c r="L653" s="74"/>
      <c r="M653" s="253">
        <f t="shared" ref="M653" si="4039">(L653/100)*1000</f>
        <v>0</v>
      </c>
      <c r="N653" s="74"/>
      <c r="O653" s="253">
        <f t="shared" ref="O653" si="4040">(N653/100)*1000</f>
        <v>0</v>
      </c>
      <c r="P653" s="74"/>
      <c r="Q653" s="253">
        <f t="shared" ref="Q653" si="4041">(P653/100)*1000</f>
        <v>0</v>
      </c>
      <c r="R653" s="74"/>
      <c r="S653" s="253">
        <f t="shared" ref="S653" si="4042">(R653/100)*1000</f>
        <v>0</v>
      </c>
      <c r="T653" s="74"/>
      <c r="U653" s="253">
        <f t="shared" ref="U653" si="4043">(T653/100)*1000</f>
        <v>0</v>
      </c>
      <c r="V653" s="74"/>
      <c r="W653" s="253">
        <f t="shared" ref="W653" si="4044">(V653/100)*1000</f>
        <v>0</v>
      </c>
      <c r="X653" s="74"/>
      <c r="Y653" s="253">
        <f t="shared" ref="Y653" si="4045">(X653/100)*1000</f>
        <v>0</v>
      </c>
      <c r="Z653" s="74"/>
      <c r="AA653" s="253">
        <f t="shared" ref="AA653" si="4046">(Z653/100)*1000</f>
        <v>0</v>
      </c>
      <c r="AB653" s="74"/>
      <c r="AC653" s="253">
        <f t="shared" ref="AC653" si="4047">(AB653/100)*1000</f>
        <v>0</v>
      </c>
      <c r="AD653" s="74"/>
      <c r="AE653" s="253">
        <f t="shared" ref="AE653" si="4048">(AD653/100)*1000</f>
        <v>0</v>
      </c>
      <c r="AF653" s="98"/>
      <c r="AG653" s="98"/>
    </row>
    <row r="654" spans="1:33" ht="18.75" customHeight="1" outlineLevel="1">
      <c r="A654" s="374" t="str">
        <f t="shared" ref="A654:A672" si="4049">A38</f>
        <v>YENMIX 122 (19.50KG)</v>
      </c>
      <c r="B654" s="74"/>
      <c r="C654" s="253">
        <f t="shared" si="3645"/>
        <v>0</v>
      </c>
      <c r="D654" s="74"/>
      <c r="E654" s="253">
        <f t="shared" si="3645"/>
        <v>0</v>
      </c>
      <c r="F654" s="74"/>
      <c r="G654" s="253">
        <f t="shared" ref="G654" si="4050">(F654/100)*1000</f>
        <v>0</v>
      </c>
      <c r="H654" s="74"/>
      <c r="I654" s="253">
        <f t="shared" ref="I654" si="4051">(H654/100)*1000</f>
        <v>0</v>
      </c>
      <c r="J654" s="74"/>
      <c r="K654" s="253">
        <f t="shared" ref="K654" si="4052">(J654/100)*1000</f>
        <v>0</v>
      </c>
      <c r="L654" s="74"/>
      <c r="M654" s="253">
        <f t="shared" ref="M654" si="4053">(L654/100)*1000</f>
        <v>0</v>
      </c>
      <c r="N654" s="74"/>
      <c r="O654" s="253">
        <f t="shared" ref="O654" si="4054">(N654/100)*1000</f>
        <v>0</v>
      </c>
      <c r="P654" s="74"/>
      <c r="Q654" s="253">
        <f t="shared" ref="Q654" si="4055">(P654/100)*1000</f>
        <v>0</v>
      </c>
      <c r="R654" s="74"/>
      <c r="S654" s="253">
        <f t="shared" ref="S654" si="4056">(R654/100)*1000</f>
        <v>0</v>
      </c>
      <c r="T654" s="74"/>
      <c r="U654" s="253">
        <f t="shared" ref="U654" si="4057">(T654/100)*1000</f>
        <v>0</v>
      </c>
      <c r="V654" s="74"/>
      <c r="W654" s="253">
        <f t="shared" ref="W654" si="4058">(V654/100)*1000</f>
        <v>0</v>
      </c>
      <c r="X654" s="74"/>
      <c r="Y654" s="253">
        <f t="shared" ref="Y654" si="4059">(X654/100)*1000</f>
        <v>0</v>
      </c>
      <c r="Z654" s="74"/>
      <c r="AA654" s="253">
        <f t="shared" ref="AA654" si="4060">(Z654/100)*1000</f>
        <v>0</v>
      </c>
      <c r="AB654" s="74"/>
      <c r="AC654" s="253">
        <f t="shared" ref="AC654" si="4061">(AB654/100)*1000</f>
        <v>0</v>
      </c>
      <c r="AD654" s="74"/>
      <c r="AE654" s="253">
        <f t="shared" ref="AE654" si="4062">(AD654/100)*1000</f>
        <v>0</v>
      </c>
      <c r="AF654" s="98"/>
      <c r="AG654" s="98"/>
    </row>
    <row r="655" spans="1:33" ht="18.75" customHeight="1" outlineLevel="1">
      <c r="A655" s="374" t="str">
        <f t="shared" si="4049"/>
        <v>YENMIX 123 (18.90KG)</v>
      </c>
      <c r="B655" s="74">
        <f>37.8/20</f>
        <v>1.89</v>
      </c>
      <c r="C655" s="253">
        <f t="shared" si="3645"/>
        <v>18.899999999999999</v>
      </c>
      <c r="D655" s="74">
        <f>37.8/20</f>
        <v>1.89</v>
      </c>
      <c r="E655" s="253">
        <f t="shared" si="3645"/>
        <v>18.899999999999999</v>
      </c>
      <c r="F655" s="74">
        <f>37.8/20</f>
        <v>1.89</v>
      </c>
      <c r="G655" s="253">
        <f t="shared" ref="G655" si="4063">(F655/100)*1000</f>
        <v>18.899999999999999</v>
      </c>
      <c r="H655" s="74"/>
      <c r="I655" s="253">
        <f t="shared" ref="I655" si="4064">(H655/100)*1000</f>
        <v>0</v>
      </c>
      <c r="J655" s="74"/>
      <c r="K655" s="253">
        <f t="shared" ref="K655" si="4065">(J655/100)*1000</f>
        <v>0</v>
      </c>
      <c r="L655" s="74"/>
      <c r="M655" s="253">
        <f t="shared" ref="M655" si="4066">(L655/100)*1000</f>
        <v>0</v>
      </c>
      <c r="N655" s="74"/>
      <c r="O655" s="253">
        <f t="shared" ref="O655" si="4067">(N655/100)*1000</f>
        <v>0</v>
      </c>
      <c r="P655" s="74"/>
      <c r="Q655" s="253">
        <f t="shared" ref="Q655" si="4068">(P655/100)*1000</f>
        <v>0</v>
      </c>
      <c r="R655" s="74"/>
      <c r="S655" s="253">
        <f t="shared" ref="S655" si="4069">(R655/100)*1000</f>
        <v>0</v>
      </c>
      <c r="T655" s="74"/>
      <c r="U655" s="253">
        <f t="shared" ref="U655" si="4070">(T655/100)*1000</f>
        <v>0</v>
      </c>
      <c r="V655" s="74"/>
      <c r="W655" s="253">
        <f t="shared" ref="W655" si="4071">(V655/100)*1000</f>
        <v>0</v>
      </c>
      <c r="X655" s="74"/>
      <c r="Y655" s="253">
        <f t="shared" ref="Y655" si="4072">(X655/100)*1000</f>
        <v>0</v>
      </c>
      <c r="Z655" s="74"/>
      <c r="AA655" s="253">
        <f t="shared" ref="AA655" si="4073">(Z655/100)*1000</f>
        <v>0</v>
      </c>
      <c r="AB655" s="74"/>
      <c r="AC655" s="253">
        <f t="shared" ref="AC655" si="4074">(AB655/100)*1000</f>
        <v>0</v>
      </c>
      <c r="AD655" s="74"/>
      <c r="AE655" s="253">
        <f t="shared" ref="AE655" si="4075">(AD655/100)*1000</f>
        <v>0</v>
      </c>
      <c r="AF655" s="98"/>
      <c r="AG655" s="98"/>
    </row>
    <row r="656" spans="1:33" ht="18.75" customHeight="1" outlineLevel="1">
      <c r="A656" s="374" t="str">
        <f t="shared" si="4049"/>
        <v>YENMIX 122 (20.50KG)</v>
      </c>
      <c r="B656" s="74"/>
      <c r="C656" s="253">
        <f t="shared" si="3645"/>
        <v>0</v>
      </c>
      <c r="D656" s="74"/>
      <c r="E656" s="253">
        <f t="shared" si="3645"/>
        <v>0</v>
      </c>
      <c r="F656" s="74"/>
      <c r="G656" s="253">
        <f t="shared" ref="G656" si="4076">(F656/100)*1000</f>
        <v>0</v>
      </c>
      <c r="H656" s="74"/>
      <c r="I656" s="253">
        <f t="shared" ref="I656" si="4077">(H656/100)*1000</f>
        <v>0</v>
      </c>
      <c r="J656" s="74"/>
      <c r="K656" s="253">
        <f t="shared" ref="K656" si="4078">(J656/100)*1000</f>
        <v>0</v>
      </c>
      <c r="L656" s="74"/>
      <c r="M656" s="253">
        <f t="shared" ref="M656" si="4079">(L656/100)*1000</f>
        <v>0</v>
      </c>
      <c r="N656" s="74"/>
      <c r="O656" s="253">
        <f t="shared" ref="O656" si="4080">(N656/100)*1000</f>
        <v>0</v>
      </c>
      <c r="P656" s="74"/>
      <c r="Q656" s="253">
        <f t="shared" ref="Q656" si="4081">(P656/100)*1000</f>
        <v>0</v>
      </c>
      <c r="R656" s="74"/>
      <c r="S656" s="253">
        <f t="shared" ref="S656" si="4082">(R656/100)*1000</f>
        <v>0</v>
      </c>
      <c r="T656" s="74"/>
      <c r="U656" s="253">
        <f t="shared" ref="U656" si="4083">(T656/100)*1000</f>
        <v>0</v>
      </c>
      <c r="V656" s="74"/>
      <c r="W656" s="253">
        <f t="shared" ref="W656" si="4084">(V656/100)*1000</f>
        <v>0</v>
      </c>
      <c r="X656" s="74"/>
      <c r="Y656" s="253">
        <f t="shared" ref="Y656" si="4085">(X656/100)*1000</f>
        <v>0</v>
      </c>
      <c r="Z656" s="74"/>
      <c r="AA656" s="253">
        <f t="shared" ref="AA656" si="4086">(Z656/100)*1000</f>
        <v>0</v>
      </c>
      <c r="AB656" s="74"/>
      <c r="AC656" s="253">
        <f t="shared" ref="AC656" si="4087">(AB656/100)*1000</f>
        <v>0</v>
      </c>
      <c r="AD656" s="74"/>
      <c r="AE656" s="253">
        <f t="shared" ref="AE656" si="4088">(AD656/100)*1000</f>
        <v>0</v>
      </c>
      <c r="AF656" s="98"/>
      <c r="AG656" s="98"/>
    </row>
    <row r="657" spans="1:33" ht="18.75" customHeight="1" outlineLevel="1">
      <c r="A657" s="374" t="str">
        <f t="shared" si="4049"/>
        <v>YENMIX 123 (20.00KG)</v>
      </c>
      <c r="B657" s="74"/>
      <c r="C657" s="253">
        <f t="shared" si="3645"/>
        <v>0</v>
      </c>
      <c r="D657" s="74"/>
      <c r="E657" s="253">
        <f t="shared" si="3645"/>
        <v>0</v>
      </c>
      <c r="F657" s="74"/>
      <c r="G657" s="253">
        <f t="shared" si="3645"/>
        <v>0</v>
      </c>
      <c r="H657" s="74">
        <f>40/20</f>
        <v>2</v>
      </c>
      <c r="I657" s="253">
        <f t="shared" si="3645"/>
        <v>20</v>
      </c>
      <c r="J657" s="74"/>
      <c r="K657" s="253">
        <f t="shared" si="3645"/>
        <v>0</v>
      </c>
      <c r="L657" s="74"/>
      <c r="M657" s="253">
        <f t="shared" si="3645"/>
        <v>0</v>
      </c>
      <c r="N657" s="74"/>
      <c r="O657" s="253">
        <f t="shared" si="3645"/>
        <v>0</v>
      </c>
      <c r="P657" s="74"/>
      <c r="Q657" s="253">
        <f t="shared" si="3645"/>
        <v>0</v>
      </c>
      <c r="R657" s="74"/>
      <c r="S657" s="253">
        <f t="shared" si="3645"/>
        <v>0</v>
      </c>
      <c r="T657" s="74"/>
      <c r="U657" s="253">
        <f t="shared" si="3645"/>
        <v>0</v>
      </c>
      <c r="V657" s="74"/>
      <c r="W657" s="253">
        <f t="shared" si="3645"/>
        <v>0</v>
      </c>
      <c r="X657" s="74"/>
      <c r="Y657" s="253">
        <f t="shared" si="3645"/>
        <v>0</v>
      </c>
      <c r="Z657" s="74"/>
      <c r="AA657" s="253">
        <f t="shared" si="3645"/>
        <v>0</v>
      </c>
      <c r="AB657" s="74"/>
      <c r="AC657" s="253">
        <f t="shared" si="3645"/>
        <v>0</v>
      </c>
      <c r="AD657" s="74"/>
      <c r="AE657" s="253">
        <f t="shared" si="3645"/>
        <v>0</v>
      </c>
      <c r="AF657" s="98"/>
      <c r="AG657" s="98"/>
    </row>
    <row r="658" spans="1:33" ht="18.75" customHeight="1" outlineLevel="1">
      <c r="A658" s="374">
        <f t="shared" si="4049"/>
        <v>1</v>
      </c>
      <c r="B658" s="74"/>
      <c r="C658" s="253">
        <f t="shared" si="3645"/>
        <v>0</v>
      </c>
      <c r="D658" s="74"/>
      <c r="E658" s="253">
        <f t="shared" si="3645"/>
        <v>0</v>
      </c>
      <c r="F658" s="74"/>
      <c r="G658" s="253">
        <f t="shared" si="3645"/>
        <v>0</v>
      </c>
      <c r="H658" s="74"/>
      <c r="I658" s="253">
        <f t="shared" si="3645"/>
        <v>0</v>
      </c>
      <c r="J658" s="74"/>
      <c r="K658" s="253">
        <f t="shared" si="3645"/>
        <v>0</v>
      </c>
      <c r="L658" s="74"/>
      <c r="M658" s="253">
        <f t="shared" si="3645"/>
        <v>0</v>
      </c>
      <c r="N658" s="74"/>
      <c r="O658" s="253">
        <f t="shared" si="3645"/>
        <v>0</v>
      </c>
      <c r="P658" s="74"/>
      <c r="Q658" s="253">
        <f t="shared" si="3645"/>
        <v>0</v>
      </c>
      <c r="R658" s="74"/>
      <c r="S658" s="253">
        <f t="shared" si="3645"/>
        <v>0</v>
      </c>
      <c r="T658" s="74"/>
      <c r="U658" s="253">
        <f t="shared" si="3645"/>
        <v>0</v>
      </c>
      <c r="V658" s="74"/>
      <c r="W658" s="253">
        <f t="shared" si="3645"/>
        <v>0</v>
      </c>
      <c r="X658" s="74"/>
      <c r="Y658" s="253">
        <f t="shared" si="3645"/>
        <v>0</v>
      </c>
      <c r="Z658" s="74"/>
      <c r="AA658" s="253">
        <f t="shared" si="3645"/>
        <v>0</v>
      </c>
      <c r="AB658" s="74"/>
      <c r="AC658" s="253">
        <f t="shared" si="3645"/>
        <v>0</v>
      </c>
      <c r="AD658" s="74"/>
      <c r="AE658" s="253">
        <f t="shared" si="3645"/>
        <v>0</v>
      </c>
      <c r="AF658" s="98"/>
      <c r="AG658" s="98"/>
    </row>
    <row r="659" spans="1:33" ht="18.75" customHeight="1" outlineLevel="1">
      <c r="A659" s="374">
        <f t="shared" si="4049"/>
        <v>2</v>
      </c>
      <c r="B659" s="74"/>
      <c r="C659" s="253">
        <f t="shared" si="3645"/>
        <v>0</v>
      </c>
      <c r="D659" s="74"/>
      <c r="E659" s="253">
        <f t="shared" si="3645"/>
        <v>0</v>
      </c>
      <c r="F659" s="74"/>
      <c r="G659" s="253">
        <f t="shared" si="3645"/>
        <v>0</v>
      </c>
      <c r="H659" s="74"/>
      <c r="I659" s="253">
        <f t="shared" si="3645"/>
        <v>0</v>
      </c>
      <c r="J659" s="74"/>
      <c r="K659" s="253">
        <f t="shared" si="3645"/>
        <v>0</v>
      </c>
      <c r="L659" s="74"/>
      <c r="M659" s="253">
        <f t="shared" si="3645"/>
        <v>0</v>
      </c>
      <c r="N659" s="74"/>
      <c r="O659" s="253">
        <f t="shared" si="3645"/>
        <v>0</v>
      </c>
      <c r="P659" s="74"/>
      <c r="Q659" s="253">
        <f t="shared" si="3645"/>
        <v>0</v>
      </c>
      <c r="R659" s="74"/>
      <c r="S659" s="253">
        <f t="shared" si="3645"/>
        <v>0</v>
      </c>
      <c r="T659" s="74"/>
      <c r="U659" s="253">
        <f t="shared" si="3645"/>
        <v>0</v>
      </c>
      <c r="V659" s="74"/>
      <c r="W659" s="253">
        <f t="shared" si="3645"/>
        <v>0</v>
      </c>
      <c r="X659" s="74"/>
      <c r="Y659" s="253">
        <f t="shared" si="3645"/>
        <v>0</v>
      </c>
      <c r="Z659" s="74"/>
      <c r="AA659" s="253">
        <f t="shared" si="3645"/>
        <v>0</v>
      </c>
      <c r="AB659" s="74"/>
      <c r="AC659" s="253">
        <f t="shared" si="3645"/>
        <v>0</v>
      </c>
      <c r="AD659" s="74"/>
      <c r="AE659" s="253">
        <f t="shared" si="3645"/>
        <v>0</v>
      </c>
      <c r="AF659" s="98"/>
      <c r="AG659" s="98"/>
    </row>
    <row r="660" spans="1:33" ht="18.75" customHeight="1" outlineLevel="1">
      <c r="A660" s="374">
        <f t="shared" si="4049"/>
        <v>3</v>
      </c>
      <c r="B660" s="74"/>
      <c r="C660" s="253">
        <f t="shared" si="3645"/>
        <v>0</v>
      </c>
      <c r="D660" s="74"/>
      <c r="E660" s="253">
        <f t="shared" si="3645"/>
        <v>0</v>
      </c>
      <c r="F660" s="74"/>
      <c r="G660" s="253">
        <f t="shared" si="3645"/>
        <v>0</v>
      </c>
      <c r="H660" s="74"/>
      <c r="I660" s="253">
        <f t="shared" si="3645"/>
        <v>0</v>
      </c>
      <c r="J660" s="74"/>
      <c r="K660" s="253">
        <f t="shared" si="3645"/>
        <v>0</v>
      </c>
      <c r="L660" s="74"/>
      <c r="M660" s="253">
        <f t="shared" si="3645"/>
        <v>0</v>
      </c>
      <c r="N660" s="74"/>
      <c r="O660" s="253">
        <f t="shared" si="3645"/>
        <v>0</v>
      </c>
      <c r="P660" s="74"/>
      <c r="Q660" s="253">
        <f t="shared" si="3645"/>
        <v>0</v>
      </c>
      <c r="R660" s="74"/>
      <c r="S660" s="253">
        <f t="shared" si="3645"/>
        <v>0</v>
      </c>
      <c r="T660" s="74"/>
      <c r="U660" s="253">
        <f t="shared" si="3645"/>
        <v>0</v>
      </c>
      <c r="V660" s="74"/>
      <c r="W660" s="253">
        <f t="shared" si="3645"/>
        <v>0</v>
      </c>
      <c r="X660" s="74"/>
      <c r="Y660" s="253">
        <f t="shared" si="3645"/>
        <v>0</v>
      </c>
      <c r="Z660" s="74"/>
      <c r="AA660" s="253">
        <f t="shared" si="3645"/>
        <v>0</v>
      </c>
      <c r="AB660" s="74"/>
      <c r="AC660" s="253">
        <f t="shared" si="3645"/>
        <v>0</v>
      </c>
      <c r="AD660" s="74"/>
      <c r="AE660" s="253">
        <f t="shared" si="3645"/>
        <v>0</v>
      </c>
      <c r="AF660" s="98"/>
      <c r="AG660" s="98"/>
    </row>
    <row r="661" spans="1:33" ht="18.75" customHeight="1" outlineLevel="1">
      <c r="A661" s="374" t="str">
        <f t="shared" si="4049"/>
        <v>TOXISORB PREMIUM</v>
      </c>
      <c r="B661" s="74">
        <f>4/20</f>
        <v>0.2</v>
      </c>
      <c r="C661" s="253">
        <f t="shared" si="3645"/>
        <v>2</v>
      </c>
      <c r="D661" s="74"/>
      <c r="E661" s="253">
        <f t="shared" si="3645"/>
        <v>0</v>
      </c>
      <c r="F661" s="74"/>
      <c r="G661" s="253">
        <f t="shared" si="3645"/>
        <v>0</v>
      </c>
      <c r="H661" s="74"/>
      <c r="I661" s="253">
        <f t="shared" si="3645"/>
        <v>0</v>
      </c>
      <c r="J661" s="74"/>
      <c r="K661" s="253">
        <f t="shared" si="3645"/>
        <v>0</v>
      </c>
      <c r="L661" s="74"/>
      <c r="M661" s="253">
        <f t="shared" si="3645"/>
        <v>0</v>
      </c>
      <c r="N661" s="74"/>
      <c r="O661" s="253">
        <f t="shared" si="3645"/>
        <v>0</v>
      </c>
      <c r="P661" s="74"/>
      <c r="Q661" s="253">
        <f t="shared" si="3645"/>
        <v>0</v>
      </c>
      <c r="R661" s="74"/>
      <c r="S661" s="253">
        <f t="shared" si="3645"/>
        <v>0</v>
      </c>
      <c r="T661" s="74"/>
      <c r="U661" s="253">
        <f t="shared" si="3645"/>
        <v>0</v>
      </c>
      <c r="V661" s="74"/>
      <c r="W661" s="253">
        <f t="shared" si="3645"/>
        <v>0</v>
      </c>
      <c r="X661" s="74"/>
      <c r="Y661" s="253">
        <f t="shared" si="3645"/>
        <v>0</v>
      </c>
      <c r="Z661" s="74"/>
      <c r="AA661" s="253">
        <f t="shared" si="3645"/>
        <v>0</v>
      </c>
      <c r="AB661" s="74"/>
      <c r="AC661" s="253">
        <f t="shared" si="3645"/>
        <v>0</v>
      </c>
      <c r="AD661" s="74"/>
      <c r="AE661" s="253">
        <f t="shared" si="3645"/>
        <v>0</v>
      </c>
      <c r="AF661" s="98"/>
      <c r="AG661" s="98"/>
    </row>
    <row r="662" spans="1:33" ht="18.75" customHeight="1" outlineLevel="1">
      <c r="A662" s="374" t="str">
        <f t="shared" si="4049"/>
        <v>SODIUM HUMATE 3.8% (HARUMI)</v>
      </c>
      <c r="B662" s="74">
        <f>6/20</f>
        <v>0.3</v>
      </c>
      <c r="C662" s="253">
        <f t="shared" si="3645"/>
        <v>3</v>
      </c>
      <c r="D662" s="74">
        <f>6/20</f>
        <v>0.3</v>
      </c>
      <c r="E662" s="253">
        <f t="shared" si="3645"/>
        <v>3</v>
      </c>
      <c r="F662" s="74">
        <f>6/20</f>
        <v>0.3</v>
      </c>
      <c r="G662" s="253">
        <f t="shared" si="3645"/>
        <v>3</v>
      </c>
      <c r="H662" s="74">
        <f>6/20</f>
        <v>0.3</v>
      </c>
      <c r="I662" s="253">
        <f t="shared" si="3645"/>
        <v>3</v>
      </c>
      <c r="J662" s="74"/>
      <c r="K662" s="253">
        <f t="shared" si="3645"/>
        <v>0</v>
      </c>
      <c r="L662" s="74"/>
      <c r="M662" s="253">
        <f t="shared" si="3645"/>
        <v>0</v>
      </c>
      <c r="N662" s="74"/>
      <c r="O662" s="253">
        <f t="shared" si="3645"/>
        <v>0</v>
      </c>
      <c r="P662" s="74"/>
      <c r="Q662" s="253">
        <f t="shared" si="3645"/>
        <v>0</v>
      </c>
      <c r="R662" s="74"/>
      <c r="S662" s="253">
        <f t="shared" si="3645"/>
        <v>0</v>
      </c>
      <c r="T662" s="74"/>
      <c r="U662" s="253">
        <f t="shared" si="3645"/>
        <v>0</v>
      </c>
      <c r="V662" s="74"/>
      <c r="W662" s="253">
        <f t="shared" si="3645"/>
        <v>0</v>
      </c>
      <c r="X662" s="74"/>
      <c r="Y662" s="253">
        <f t="shared" si="3645"/>
        <v>0</v>
      </c>
      <c r="Z662" s="74"/>
      <c r="AA662" s="253">
        <f t="shared" si="3645"/>
        <v>0</v>
      </c>
      <c r="AB662" s="74"/>
      <c r="AC662" s="253">
        <f t="shared" si="3645"/>
        <v>0</v>
      </c>
      <c r="AD662" s="74"/>
      <c r="AE662" s="253">
        <f t="shared" si="3645"/>
        <v>0</v>
      </c>
      <c r="AF662" s="98"/>
      <c r="AG662" s="98"/>
    </row>
    <row r="663" spans="1:33" ht="18.75" customHeight="1" outlineLevel="1">
      <c r="A663" s="374" t="str">
        <f t="shared" si="4049"/>
        <v>TOXIWALL</v>
      </c>
      <c r="B663" s="74"/>
      <c r="C663" s="253">
        <f t="shared" si="3645"/>
        <v>0</v>
      </c>
      <c r="D663" s="74">
        <f>1/20</f>
        <v>0.05</v>
      </c>
      <c r="E663" s="253">
        <f t="shared" si="3645"/>
        <v>0.5</v>
      </c>
      <c r="F663" s="74">
        <f>2/20</f>
        <v>0.1</v>
      </c>
      <c r="G663" s="253">
        <f t="shared" ref="G663:G664" si="4089">(F663/100)*1000</f>
        <v>1</v>
      </c>
      <c r="H663" s="74">
        <f>2/20</f>
        <v>0.1</v>
      </c>
      <c r="I663" s="253">
        <f t="shared" ref="I663:I664" si="4090">(H663/100)*1000</f>
        <v>1</v>
      </c>
      <c r="J663" s="74"/>
      <c r="K663" s="253">
        <f t="shared" ref="K663:K664" si="4091">(J663/100)*1000</f>
        <v>0</v>
      </c>
      <c r="L663" s="74"/>
      <c r="M663" s="253">
        <f t="shared" ref="M663:M664" si="4092">(L663/100)*1000</f>
        <v>0</v>
      </c>
      <c r="N663" s="74"/>
      <c r="O663" s="253">
        <f t="shared" ref="O663:O664" si="4093">(N663/100)*1000</f>
        <v>0</v>
      </c>
      <c r="P663" s="74"/>
      <c r="Q663" s="253">
        <f t="shared" ref="Q663:Q664" si="4094">(P663/100)*1000</f>
        <v>0</v>
      </c>
      <c r="R663" s="74"/>
      <c r="S663" s="253">
        <f t="shared" ref="S663:S664" si="4095">(R663/100)*1000</f>
        <v>0</v>
      </c>
      <c r="T663" s="74"/>
      <c r="U663" s="253">
        <f t="shared" ref="U663:U664" si="4096">(T663/100)*1000</f>
        <v>0</v>
      </c>
      <c r="V663" s="74"/>
      <c r="W663" s="253">
        <f t="shared" ref="W663:W664" si="4097">(V663/100)*1000</f>
        <v>0</v>
      </c>
      <c r="X663" s="74"/>
      <c r="Y663" s="253">
        <f t="shared" ref="Y663:Y664" si="4098">(X663/100)*1000</f>
        <v>0</v>
      </c>
      <c r="Z663" s="74"/>
      <c r="AA663" s="253">
        <f t="shared" ref="AA663:AA664" si="4099">(Z663/100)*1000</f>
        <v>0</v>
      </c>
      <c r="AB663" s="74"/>
      <c r="AC663" s="253">
        <f t="shared" ref="AC663:AC664" si="4100">(AB663/100)*1000</f>
        <v>0</v>
      </c>
      <c r="AD663" s="74"/>
      <c r="AE663" s="253">
        <f t="shared" ref="AE663:AE664" si="4101">(AD663/100)*1000</f>
        <v>0</v>
      </c>
      <c r="AF663" s="98"/>
      <c r="AG663" s="98"/>
    </row>
    <row r="664" spans="1:33" ht="18.75" customHeight="1" outlineLevel="1">
      <c r="A664" s="374" t="str">
        <f t="shared" si="4049"/>
        <v>SODIUM BICARBONATE</v>
      </c>
      <c r="B664" s="74">
        <f>2.4/20</f>
        <v>0.12</v>
      </c>
      <c r="C664" s="253">
        <f t="shared" ref="C664" si="4102">(B664/100)*1000</f>
        <v>1.2</v>
      </c>
      <c r="D664" s="74">
        <f>2.3/20</f>
        <v>0.11499999999999999</v>
      </c>
      <c r="E664" s="253">
        <f t="shared" ref="E664" si="4103">(D664/100)*1000</f>
        <v>1.1499999999999999</v>
      </c>
      <c r="F664" s="74">
        <f>2.4/20</f>
        <v>0.12</v>
      </c>
      <c r="G664" s="253">
        <f t="shared" si="4089"/>
        <v>1.2</v>
      </c>
      <c r="H664" s="74">
        <f>2.4/20</f>
        <v>0.12</v>
      </c>
      <c r="I664" s="253">
        <f t="shared" si="4090"/>
        <v>1.2</v>
      </c>
      <c r="J664" s="74"/>
      <c r="K664" s="253">
        <f t="shared" si="4091"/>
        <v>0</v>
      </c>
      <c r="L664" s="74"/>
      <c r="M664" s="253">
        <f t="shared" si="4092"/>
        <v>0</v>
      </c>
      <c r="N664" s="74"/>
      <c r="O664" s="253">
        <f t="shared" si="4093"/>
        <v>0</v>
      </c>
      <c r="P664" s="74"/>
      <c r="Q664" s="253">
        <f t="shared" si="4094"/>
        <v>0</v>
      </c>
      <c r="R664" s="74"/>
      <c r="S664" s="253">
        <f t="shared" si="4095"/>
        <v>0</v>
      </c>
      <c r="T664" s="74"/>
      <c r="U664" s="253">
        <f t="shared" si="4096"/>
        <v>0</v>
      </c>
      <c r="V664" s="74"/>
      <c r="W664" s="253">
        <f t="shared" si="4097"/>
        <v>0</v>
      </c>
      <c r="X664" s="74"/>
      <c r="Y664" s="253">
        <f t="shared" si="4098"/>
        <v>0</v>
      </c>
      <c r="Z664" s="74"/>
      <c r="AA664" s="253">
        <f t="shared" si="4099"/>
        <v>0</v>
      </c>
      <c r="AB664" s="74"/>
      <c r="AC664" s="253">
        <f t="shared" si="4100"/>
        <v>0</v>
      </c>
      <c r="AD664" s="74"/>
      <c r="AE664" s="253">
        <f t="shared" si="4101"/>
        <v>0</v>
      </c>
      <c r="AF664" s="98"/>
      <c r="AG664" s="98"/>
    </row>
    <row r="665" spans="1:33" ht="18.75" customHeight="1" outlineLevel="1">
      <c r="A665" s="374" t="str">
        <f t="shared" si="4049"/>
        <v>BMD 10%</v>
      </c>
      <c r="B665" s="74"/>
      <c r="C665" s="253">
        <f t="shared" si="3645"/>
        <v>0</v>
      </c>
      <c r="D665" s="74"/>
      <c r="E665" s="253">
        <f t="shared" si="3645"/>
        <v>0</v>
      </c>
      <c r="F665" s="74"/>
      <c r="G665" s="253">
        <f t="shared" ref="G665" si="4104">(F665/100)*1000</f>
        <v>0</v>
      </c>
      <c r="H665" s="74"/>
      <c r="I665" s="253">
        <f t="shared" ref="I665" si="4105">(H665/100)*1000</f>
        <v>0</v>
      </c>
      <c r="J665" s="74"/>
      <c r="K665" s="253">
        <f t="shared" ref="K665" si="4106">(J665/100)*1000</f>
        <v>0</v>
      </c>
      <c r="L665" s="74"/>
      <c r="M665" s="253">
        <f t="shared" ref="M665" si="4107">(L665/100)*1000</f>
        <v>0</v>
      </c>
      <c r="N665" s="74"/>
      <c r="O665" s="253">
        <f t="shared" ref="O665" si="4108">(N665/100)*1000</f>
        <v>0</v>
      </c>
      <c r="P665" s="74"/>
      <c r="Q665" s="253">
        <f t="shared" ref="Q665" si="4109">(P665/100)*1000</f>
        <v>0</v>
      </c>
      <c r="R665" s="74"/>
      <c r="S665" s="253">
        <f t="shared" ref="S665" si="4110">(R665/100)*1000</f>
        <v>0</v>
      </c>
      <c r="T665" s="74"/>
      <c r="U665" s="253">
        <f t="shared" ref="U665" si="4111">(T665/100)*1000</f>
        <v>0</v>
      </c>
      <c r="V665" s="74"/>
      <c r="W665" s="253">
        <f t="shared" ref="W665" si="4112">(V665/100)*1000</f>
        <v>0</v>
      </c>
      <c r="X665" s="74"/>
      <c r="Y665" s="253">
        <f t="shared" ref="Y665" si="4113">(X665/100)*1000</f>
        <v>0</v>
      </c>
      <c r="Z665" s="74"/>
      <c r="AA665" s="253">
        <f t="shared" ref="AA665" si="4114">(Z665/100)*1000</f>
        <v>0</v>
      </c>
      <c r="AB665" s="74"/>
      <c r="AC665" s="253">
        <f t="shared" ref="AC665" si="4115">(AB665/100)*1000</f>
        <v>0</v>
      </c>
      <c r="AD665" s="74"/>
      <c r="AE665" s="253">
        <f t="shared" ref="AE665" si="4116">(AD665/100)*1000</f>
        <v>0</v>
      </c>
      <c r="AF665" s="98"/>
      <c r="AG665" s="98"/>
    </row>
    <row r="666" spans="1:33" ht="18.75" customHeight="1" outlineLevel="1">
      <c r="A666" s="374" t="str">
        <f t="shared" si="4049"/>
        <v>SALT (HARUMI)</v>
      </c>
      <c r="B666" s="74">
        <f>5.6/20</f>
        <v>0.27999999999999997</v>
      </c>
      <c r="C666" s="253">
        <f t="shared" si="3645"/>
        <v>2.7999999999999994</v>
      </c>
      <c r="D666" s="74">
        <f>5.5/20</f>
        <v>0.27500000000000002</v>
      </c>
      <c r="E666" s="253">
        <f t="shared" si="3645"/>
        <v>2.7500000000000004</v>
      </c>
      <c r="F666" s="74">
        <f>5.6/20</f>
        <v>0.27999999999999997</v>
      </c>
      <c r="G666" s="253">
        <f t="shared" ref="G666" si="4117">(F666/100)*1000</f>
        <v>2.7999999999999994</v>
      </c>
      <c r="H666" s="74">
        <f>5.6/20</f>
        <v>0.27999999999999997</v>
      </c>
      <c r="I666" s="253">
        <f t="shared" ref="I666" si="4118">(H666/100)*1000</f>
        <v>2.7999999999999994</v>
      </c>
      <c r="J666" s="74"/>
      <c r="K666" s="253">
        <f t="shared" ref="K666" si="4119">(J666/100)*1000</f>
        <v>0</v>
      </c>
      <c r="L666" s="74"/>
      <c r="M666" s="253">
        <f t="shared" ref="M666" si="4120">(L666/100)*1000</f>
        <v>0</v>
      </c>
      <c r="N666" s="74"/>
      <c r="O666" s="253">
        <f t="shared" ref="O666" si="4121">(N666/100)*1000</f>
        <v>0</v>
      </c>
      <c r="P666" s="74"/>
      <c r="Q666" s="253">
        <f t="shared" ref="Q666" si="4122">(P666/100)*1000</f>
        <v>0</v>
      </c>
      <c r="R666" s="74"/>
      <c r="S666" s="253">
        <f t="shared" ref="S666" si="4123">(R666/100)*1000</f>
        <v>0</v>
      </c>
      <c r="T666" s="74"/>
      <c r="U666" s="253">
        <f t="shared" ref="U666" si="4124">(T666/100)*1000</f>
        <v>0</v>
      </c>
      <c r="V666" s="74"/>
      <c r="W666" s="253">
        <f t="shared" ref="W666" si="4125">(V666/100)*1000</f>
        <v>0</v>
      </c>
      <c r="X666" s="74"/>
      <c r="Y666" s="253">
        <f t="shared" ref="Y666" si="4126">(X666/100)*1000</f>
        <v>0</v>
      </c>
      <c r="Z666" s="74"/>
      <c r="AA666" s="253">
        <f t="shared" ref="AA666" si="4127">(Z666/100)*1000</f>
        <v>0</v>
      </c>
      <c r="AB666" s="74"/>
      <c r="AC666" s="253">
        <f t="shared" ref="AC666" si="4128">(AB666/100)*1000</f>
        <v>0</v>
      </c>
      <c r="AD666" s="74"/>
      <c r="AE666" s="253">
        <f t="shared" ref="AE666" si="4129">(AD666/100)*1000</f>
        <v>0</v>
      </c>
      <c r="AF666" s="98"/>
      <c r="AG666" s="98"/>
    </row>
    <row r="667" spans="1:33" ht="18.75" customHeight="1" outlineLevel="1">
      <c r="A667" s="374" t="str">
        <f t="shared" si="4049"/>
        <v>VISTABET 91</v>
      </c>
      <c r="B667" s="74"/>
      <c r="C667" s="253">
        <f t="shared" si="3645"/>
        <v>0</v>
      </c>
      <c r="D667" s="74"/>
      <c r="E667" s="253">
        <f t="shared" si="3645"/>
        <v>0</v>
      </c>
      <c r="F667" s="74"/>
      <c r="G667" s="253">
        <f t="shared" ref="G667" si="4130">(F667/100)*1000</f>
        <v>0</v>
      </c>
      <c r="H667" s="74"/>
      <c r="I667" s="253">
        <f t="shared" ref="I667" si="4131">(H667/100)*1000</f>
        <v>0</v>
      </c>
      <c r="J667" s="74"/>
      <c r="K667" s="253">
        <f t="shared" ref="K667" si="4132">(J667/100)*1000</f>
        <v>0</v>
      </c>
      <c r="L667" s="74"/>
      <c r="M667" s="253">
        <f t="shared" ref="M667" si="4133">(L667/100)*1000</f>
        <v>0</v>
      </c>
      <c r="N667" s="74"/>
      <c r="O667" s="253">
        <f t="shared" ref="O667" si="4134">(N667/100)*1000</f>
        <v>0</v>
      </c>
      <c r="P667" s="74"/>
      <c r="Q667" s="253">
        <f t="shared" ref="Q667" si="4135">(P667/100)*1000</f>
        <v>0</v>
      </c>
      <c r="R667" s="74"/>
      <c r="S667" s="253">
        <f t="shared" ref="S667" si="4136">(R667/100)*1000</f>
        <v>0</v>
      </c>
      <c r="T667" s="74"/>
      <c r="U667" s="253">
        <f t="shared" ref="U667" si="4137">(T667/100)*1000</f>
        <v>0</v>
      </c>
      <c r="V667" s="74"/>
      <c r="W667" s="253">
        <f t="shared" ref="W667" si="4138">(V667/100)*1000</f>
        <v>0</v>
      </c>
      <c r="X667" s="74"/>
      <c r="Y667" s="253">
        <f t="shared" ref="Y667" si="4139">(X667/100)*1000</f>
        <v>0</v>
      </c>
      <c r="Z667" s="74"/>
      <c r="AA667" s="253">
        <f t="shared" ref="AA667" si="4140">(Z667/100)*1000</f>
        <v>0</v>
      </c>
      <c r="AB667" s="74"/>
      <c r="AC667" s="253">
        <f t="shared" ref="AC667" si="4141">(AB667/100)*1000</f>
        <v>0</v>
      </c>
      <c r="AD667" s="74"/>
      <c r="AE667" s="253">
        <f t="shared" ref="AE667" si="4142">(AD667/100)*1000</f>
        <v>0</v>
      </c>
      <c r="AF667" s="98"/>
      <c r="AG667" s="98"/>
    </row>
    <row r="668" spans="1:33" ht="18.75" customHeight="1" outlineLevel="1">
      <c r="A668" s="374" t="str">
        <f t="shared" si="4049"/>
        <v>BETAFIN</v>
      </c>
      <c r="B668" s="74"/>
      <c r="C668" s="253">
        <f t="shared" si="3645"/>
        <v>0</v>
      </c>
      <c r="D668" s="74"/>
      <c r="E668" s="253">
        <f t="shared" si="3645"/>
        <v>0</v>
      </c>
      <c r="F668" s="74"/>
      <c r="G668" s="253">
        <f t="shared" ref="G668" si="4143">(F668/100)*1000</f>
        <v>0</v>
      </c>
      <c r="H668" s="74"/>
      <c r="I668" s="253">
        <f t="shared" ref="I668" si="4144">(H668/100)*1000</f>
        <v>0</v>
      </c>
      <c r="J668" s="74"/>
      <c r="K668" s="253">
        <f t="shared" ref="K668" si="4145">(J668/100)*1000</f>
        <v>0</v>
      </c>
      <c r="L668" s="74"/>
      <c r="M668" s="253">
        <f t="shared" ref="M668" si="4146">(L668/100)*1000</f>
        <v>0</v>
      </c>
      <c r="N668" s="74"/>
      <c r="O668" s="253">
        <f t="shared" ref="O668" si="4147">(N668/100)*1000</f>
        <v>0</v>
      </c>
      <c r="P668" s="74"/>
      <c r="Q668" s="253">
        <f t="shared" ref="Q668" si="4148">(P668/100)*1000</f>
        <v>0</v>
      </c>
      <c r="R668" s="74"/>
      <c r="S668" s="253">
        <f t="shared" ref="S668" si="4149">(R668/100)*1000</f>
        <v>0</v>
      </c>
      <c r="T668" s="74"/>
      <c r="U668" s="253">
        <f t="shared" ref="U668" si="4150">(T668/100)*1000</f>
        <v>0</v>
      </c>
      <c r="V668" s="74"/>
      <c r="W668" s="253">
        <f t="shared" ref="W668" si="4151">(V668/100)*1000</f>
        <v>0</v>
      </c>
      <c r="X668" s="74"/>
      <c r="Y668" s="253">
        <f t="shared" ref="Y668" si="4152">(X668/100)*1000</f>
        <v>0</v>
      </c>
      <c r="Z668" s="74"/>
      <c r="AA668" s="253">
        <f t="shared" ref="AA668" si="4153">(Z668/100)*1000</f>
        <v>0</v>
      </c>
      <c r="AB668" s="74"/>
      <c r="AC668" s="253">
        <f t="shared" ref="AC668" si="4154">(AB668/100)*1000</f>
        <v>0</v>
      </c>
      <c r="AD668" s="74"/>
      <c r="AE668" s="253">
        <f t="shared" ref="AE668" si="4155">(AD668/100)*1000</f>
        <v>0</v>
      </c>
      <c r="AF668" s="98"/>
      <c r="AG668" s="98"/>
    </row>
    <row r="669" spans="1:33" ht="18.75" customHeight="1" outlineLevel="1">
      <c r="A669" s="374" t="str">
        <f t="shared" si="4049"/>
        <v>8101 TOP UP</v>
      </c>
      <c r="B669" s="74"/>
      <c r="C669" s="253">
        <f t="shared" si="3645"/>
        <v>0</v>
      </c>
      <c r="D669" s="74"/>
      <c r="E669" s="253">
        <f t="shared" si="3645"/>
        <v>0</v>
      </c>
      <c r="F669" s="74"/>
      <c r="G669" s="253">
        <f t="shared" ref="G669" si="4156">(F669/100)*1000</f>
        <v>0</v>
      </c>
      <c r="H669" s="74"/>
      <c r="I669" s="253">
        <f t="shared" ref="I669" si="4157">(H669/100)*1000</f>
        <v>0</v>
      </c>
      <c r="J669" s="74"/>
      <c r="K669" s="253">
        <f t="shared" ref="K669" si="4158">(J669/100)*1000</f>
        <v>0</v>
      </c>
      <c r="L669" s="74"/>
      <c r="M669" s="253">
        <f t="shared" ref="M669" si="4159">(L669/100)*1000</f>
        <v>0</v>
      </c>
      <c r="N669" s="74"/>
      <c r="O669" s="253">
        <f t="shared" ref="O669" si="4160">(N669/100)*1000</f>
        <v>0</v>
      </c>
      <c r="P669" s="74"/>
      <c r="Q669" s="253">
        <f t="shared" ref="Q669" si="4161">(P669/100)*1000</f>
        <v>0</v>
      </c>
      <c r="R669" s="74"/>
      <c r="S669" s="253">
        <f t="shared" ref="S669" si="4162">(R669/100)*1000</f>
        <v>0</v>
      </c>
      <c r="T669" s="74"/>
      <c r="U669" s="253">
        <f t="shared" ref="U669" si="4163">(T669/100)*1000</f>
        <v>0</v>
      </c>
      <c r="V669" s="74"/>
      <c r="W669" s="253">
        <f t="shared" ref="W669" si="4164">(V669/100)*1000</f>
        <v>0</v>
      </c>
      <c r="X669" s="74"/>
      <c r="Y669" s="253">
        <f t="shared" ref="Y669" si="4165">(X669/100)*1000</f>
        <v>0</v>
      </c>
      <c r="Z669" s="74"/>
      <c r="AA669" s="253">
        <f t="shared" ref="AA669" si="4166">(Z669/100)*1000</f>
        <v>0</v>
      </c>
      <c r="AB669" s="74"/>
      <c r="AC669" s="253">
        <f t="shared" ref="AC669" si="4167">(AB669/100)*1000</f>
        <v>0</v>
      </c>
      <c r="AD669" s="74"/>
      <c r="AE669" s="253">
        <f t="shared" ref="AE669" si="4168">(AD669/100)*1000</f>
        <v>0</v>
      </c>
      <c r="AF669" s="98"/>
      <c r="AG669" s="98"/>
    </row>
    <row r="670" spans="1:33" ht="18.75" customHeight="1" outlineLevel="1">
      <c r="A670" s="374" t="str">
        <f t="shared" si="4049"/>
        <v>NORPONIN X03 (8102 TOP UP)</v>
      </c>
      <c r="B670" s="74"/>
      <c r="C670" s="253">
        <f t="shared" si="3645"/>
        <v>0</v>
      </c>
      <c r="D670" s="74"/>
      <c r="E670" s="253">
        <f t="shared" si="3645"/>
        <v>0</v>
      </c>
      <c r="F670" s="74"/>
      <c r="G670" s="253">
        <f t="shared" ref="G670" si="4169">(F670/100)*1000</f>
        <v>0</v>
      </c>
      <c r="H670" s="74"/>
      <c r="I670" s="253">
        <f t="shared" ref="I670" si="4170">(H670/100)*1000</f>
        <v>0</v>
      </c>
      <c r="J670" s="74"/>
      <c r="K670" s="253">
        <f t="shared" ref="K670" si="4171">(J670/100)*1000</f>
        <v>0</v>
      </c>
      <c r="L670" s="74"/>
      <c r="M670" s="253">
        <f t="shared" ref="M670" si="4172">(L670/100)*1000</f>
        <v>0</v>
      </c>
      <c r="N670" s="74"/>
      <c r="O670" s="253">
        <f t="shared" ref="O670" si="4173">(N670/100)*1000</f>
        <v>0</v>
      </c>
      <c r="P670" s="74"/>
      <c r="Q670" s="253">
        <f t="shared" ref="Q670" si="4174">(P670/100)*1000</f>
        <v>0</v>
      </c>
      <c r="R670" s="74"/>
      <c r="S670" s="253">
        <f t="shared" ref="S670" si="4175">(R670/100)*1000</f>
        <v>0</v>
      </c>
      <c r="T670" s="74"/>
      <c r="U670" s="253">
        <f t="shared" ref="U670" si="4176">(T670/100)*1000</f>
        <v>0</v>
      </c>
      <c r="V670" s="74"/>
      <c r="W670" s="253">
        <f t="shared" ref="W670" si="4177">(V670/100)*1000</f>
        <v>0</v>
      </c>
      <c r="X670" s="74"/>
      <c r="Y670" s="253">
        <f t="shared" ref="Y670" si="4178">(X670/100)*1000</f>
        <v>0</v>
      </c>
      <c r="Z670" s="74"/>
      <c r="AA670" s="253">
        <f t="shared" ref="AA670" si="4179">(Z670/100)*1000</f>
        <v>0</v>
      </c>
      <c r="AB670" s="74"/>
      <c r="AC670" s="253">
        <f t="shared" ref="AC670" si="4180">(AB670/100)*1000</f>
        <v>0</v>
      </c>
      <c r="AD670" s="74"/>
      <c r="AE670" s="253">
        <f t="shared" ref="AE670" si="4181">(AD670/100)*1000</f>
        <v>0</v>
      </c>
      <c r="AF670" s="98"/>
      <c r="AG670" s="98"/>
    </row>
    <row r="671" spans="1:33" ht="18.75" customHeight="1" outlineLevel="1">
      <c r="A671" s="374" t="str">
        <f t="shared" si="4049"/>
        <v>8102 TOP UP (4KG)</v>
      </c>
      <c r="B671" s="74"/>
      <c r="C671" s="253">
        <f t="shared" si="3645"/>
        <v>0</v>
      </c>
      <c r="D671" s="74"/>
      <c r="E671" s="253">
        <f t="shared" si="3645"/>
        <v>0</v>
      </c>
      <c r="F671" s="74"/>
      <c r="G671" s="253">
        <f t="shared" ref="G671" si="4182">(F671/100)*1000</f>
        <v>0</v>
      </c>
      <c r="H671" s="74"/>
      <c r="I671" s="253">
        <f t="shared" ref="I671" si="4183">(H671/100)*1000</f>
        <v>0</v>
      </c>
      <c r="J671" s="74"/>
      <c r="K671" s="253">
        <f t="shared" ref="K671" si="4184">(J671/100)*1000</f>
        <v>0</v>
      </c>
      <c r="L671" s="74"/>
      <c r="M671" s="253">
        <f t="shared" ref="M671" si="4185">(L671/100)*1000</f>
        <v>0</v>
      </c>
      <c r="N671" s="74"/>
      <c r="O671" s="253">
        <f t="shared" ref="O671" si="4186">(N671/100)*1000</f>
        <v>0</v>
      </c>
      <c r="P671" s="74"/>
      <c r="Q671" s="253">
        <f t="shared" ref="Q671" si="4187">(P671/100)*1000</f>
        <v>0</v>
      </c>
      <c r="R671" s="74"/>
      <c r="S671" s="253">
        <f t="shared" ref="S671" si="4188">(R671/100)*1000</f>
        <v>0</v>
      </c>
      <c r="T671" s="74"/>
      <c r="U671" s="253">
        <f t="shared" ref="U671" si="4189">(T671/100)*1000</f>
        <v>0</v>
      </c>
      <c r="V671" s="74"/>
      <c r="W671" s="253">
        <f t="shared" ref="W671" si="4190">(V671/100)*1000</f>
        <v>0</v>
      </c>
      <c r="X671" s="74"/>
      <c r="Y671" s="253">
        <f t="shared" ref="Y671" si="4191">(X671/100)*1000</f>
        <v>0</v>
      </c>
      <c r="Z671" s="74"/>
      <c r="AA671" s="253">
        <f t="shared" ref="AA671" si="4192">(Z671/100)*1000</f>
        <v>0</v>
      </c>
      <c r="AB671" s="74"/>
      <c r="AC671" s="253">
        <f t="shared" ref="AC671" si="4193">(AB671/100)*1000</f>
        <v>0</v>
      </c>
      <c r="AD671" s="74"/>
      <c r="AE671" s="253">
        <f t="shared" ref="AE671" si="4194">(AD671/100)*1000</f>
        <v>0</v>
      </c>
      <c r="AF671" s="98"/>
      <c r="AG671" s="98"/>
    </row>
    <row r="672" spans="1:33" ht="18.75" customHeight="1" outlineLevel="1">
      <c r="A672" s="393" t="str">
        <f t="shared" si="4049"/>
        <v>8103 TOP UP (5KG)</v>
      </c>
      <c r="B672" s="357"/>
      <c r="C672" s="395">
        <f t="shared" si="3645"/>
        <v>0</v>
      </c>
      <c r="D672" s="357"/>
      <c r="E672" s="395">
        <f t="shared" si="3645"/>
        <v>0</v>
      </c>
      <c r="F672" s="357"/>
      <c r="G672" s="395">
        <f t="shared" ref="G672:G702" si="4195">(F672/100)*1000</f>
        <v>0</v>
      </c>
      <c r="H672" s="357"/>
      <c r="I672" s="395">
        <f t="shared" ref="I672:I702" si="4196">(H672/100)*1000</f>
        <v>0</v>
      </c>
      <c r="J672" s="357"/>
      <c r="K672" s="395">
        <f t="shared" ref="K672:K702" si="4197">(J672/100)*1000</f>
        <v>0</v>
      </c>
      <c r="L672" s="357"/>
      <c r="M672" s="395">
        <f t="shared" ref="M672:M702" si="4198">(L672/100)*1000</f>
        <v>0</v>
      </c>
      <c r="N672" s="357"/>
      <c r="O672" s="395">
        <f t="shared" ref="O672:O702" si="4199">(N672/100)*1000</f>
        <v>0</v>
      </c>
      <c r="P672" s="357"/>
      <c r="Q672" s="395">
        <f t="shared" ref="Q672:Q702" si="4200">(P672/100)*1000</f>
        <v>0</v>
      </c>
      <c r="R672" s="357"/>
      <c r="S672" s="395">
        <f t="shared" ref="S672:S702" si="4201">(R672/100)*1000</f>
        <v>0</v>
      </c>
      <c r="T672" s="357"/>
      <c r="U672" s="395">
        <f t="shared" ref="U672:U702" si="4202">(T672/100)*1000</f>
        <v>0</v>
      </c>
      <c r="V672" s="357"/>
      <c r="W672" s="395">
        <f t="shared" ref="W672:W702" si="4203">(V672/100)*1000</f>
        <v>0</v>
      </c>
      <c r="X672" s="357"/>
      <c r="Y672" s="395">
        <f t="shared" ref="Y672:Y702" si="4204">(X672/100)*1000</f>
        <v>0</v>
      </c>
      <c r="Z672" s="357"/>
      <c r="AA672" s="395">
        <f t="shared" ref="AA672:AA702" si="4205">(Z672/100)*1000</f>
        <v>0</v>
      </c>
      <c r="AB672" s="357"/>
      <c r="AC672" s="395">
        <f t="shared" ref="AC672:AC702" si="4206">(AB672/100)*1000</f>
        <v>0</v>
      </c>
      <c r="AD672" s="357"/>
      <c r="AE672" s="395">
        <f t="shared" ref="AE672:AE702" si="4207">(AD672/100)*1000</f>
        <v>0</v>
      </c>
      <c r="AF672" s="98"/>
      <c r="AG672" s="98"/>
    </row>
    <row r="673" spans="1:33" ht="18.75" customHeight="1" outlineLevel="1">
      <c r="A673" s="377" t="str">
        <f t="shared" ref="A673:A684" si="4208">A585</f>
        <v>L-ARGININE</v>
      </c>
      <c r="B673" s="74"/>
      <c r="C673" s="253">
        <f t="shared" ref="C673:C703" si="4209">(B673/100)*1000</f>
        <v>0</v>
      </c>
      <c r="D673" s="74"/>
      <c r="E673" s="253">
        <f t="shared" ref="E673:E703" si="4210">(D673/100)*1000</f>
        <v>0</v>
      </c>
      <c r="F673" s="74"/>
      <c r="G673" s="253">
        <f t="shared" si="4195"/>
        <v>0</v>
      </c>
      <c r="H673" s="74"/>
      <c r="I673" s="253">
        <f t="shared" si="4196"/>
        <v>0</v>
      </c>
      <c r="J673" s="74"/>
      <c r="K673" s="253">
        <f t="shared" si="4197"/>
        <v>0</v>
      </c>
      <c r="L673" s="74"/>
      <c r="M673" s="253">
        <f t="shared" si="4198"/>
        <v>0</v>
      </c>
      <c r="N673" s="74"/>
      <c r="O673" s="253">
        <f t="shared" si="4199"/>
        <v>0</v>
      </c>
      <c r="P673" s="74"/>
      <c r="Q673" s="253">
        <f t="shared" si="4200"/>
        <v>0</v>
      </c>
      <c r="R673" s="74"/>
      <c r="S673" s="253">
        <f t="shared" si="4201"/>
        <v>0</v>
      </c>
      <c r="T673" s="74"/>
      <c r="U673" s="253">
        <f t="shared" si="4202"/>
        <v>0</v>
      </c>
      <c r="V673" s="74"/>
      <c r="W673" s="253">
        <f t="shared" si="4203"/>
        <v>0</v>
      </c>
      <c r="X673" s="74"/>
      <c r="Y673" s="253">
        <f t="shared" si="4204"/>
        <v>0</v>
      </c>
      <c r="Z673" s="74"/>
      <c r="AA673" s="253">
        <f t="shared" si="4205"/>
        <v>0</v>
      </c>
      <c r="AB673" s="74"/>
      <c r="AC673" s="253">
        <f t="shared" si="4206"/>
        <v>0</v>
      </c>
      <c r="AD673" s="74"/>
      <c r="AE673" s="253">
        <f t="shared" si="4207"/>
        <v>0</v>
      </c>
      <c r="AF673" s="98"/>
      <c r="AG673" s="98"/>
    </row>
    <row r="674" spans="1:33" ht="18.75" customHeight="1" outlineLevel="1">
      <c r="A674" s="377" t="str">
        <f t="shared" si="4208"/>
        <v>DL-METHIONINE</v>
      </c>
      <c r="B674" s="74"/>
      <c r="C674" s="253">
        <f t="shared" si="4209"/>
        <v>0</v>
      </c>
      <c r="D674" s="74">
        <f>1/20</f>
        <v>0.05</v>
      </c>
      <c r="E674" s="253">
        <f t="shared" si="4210"/>
        <v>0.5</v>
      </c>
      <c r="F674" s="74"/>
      <c r="G674" s="253">
        <f t="shared" si="4195"/>
        <v>0</v>
      </c>
      <c r="H674" s="74"/>
      <c r="I674" s="253">
        <f t="shared" si="4196"/>
        <v>0</v>
      </c>
      <c r="J674" s="74"/>
      <c r="K674" s="253">
        <f t="shared" si="4197"/>
        <v>0</v>
      </c>
      <c r="L674" s="74"/>
      <c r="M674" s="253">
        <f t="shared" si="4198"/>
        <v>0</v>
      </c>
      <c r="N674" s="74"/>
      <c r="O674" s="253">
        <f t="shared" si="4199"/>
        <v>0</v>
      </c>
      <c r="P674" s="74"/>
      <c r="Q674" s="253">
        <f t="shared" si="4200"/>
        <v>0</v>
      </c>
      <c r="R674" s="74"/>
      <c r="S674" s="253">
        <f t="shared" si="4201"/>
        <v>0</v>
      </c>
      <c r="T674" s="74"/>
      <c r="U674" s="253">
        <f t="shared" si="4202"/>
        <v>0</v>
      </c>
      <c r="V674" s="74"/>
      <c r="W674" s="253">
        <f t="shared" si="4203"/>
        <v>0</v>
      </c>
      <c r="X674" s="74"/>
      <c r="Y674" s="253">
        <f t="shared" si="4204"/>
        <v>0</v>
      </c>
      <c r="Z674" s="74"/>
      <c r="AA674" s="253">
        <f t="shared" si="4205"/>
        <v>0</v>
      </c>
      <c r="AB674" s="74"/>
      <c r="AC674" s="253">
        <f t="shared" si="4206"/>
        <v>0</v>
      </c>
      <c r="AD674" s="74"/>
      <c r="AE674" s="253">
        <f t="shared" si="4207"/>
        <v>0</v>
      </c>
      <c r="AF674" s="98"/>
      <c r="AG674" s="98"/>
    </row>
    <row r="675" spans="1:33" ht="18.75" customHeight="1" outlineLevel="1">
      <c r="A675" s="377" t="str">
        <f t="shared" si="4208"/>
        <v>L-THREONINE</v>
      </c>
      <c r="B675" s="74"/>
      <c r="C675" s="253">
        <f t="shared" si="4209"/>
        <v>0</v>
      </c>
      <c r="D675" s="74">
        <f>0.34/20</f>
        <v>1.7000000000000001E-2</v>
      </c>
      <c r="E675" s="253">
        <f t="shared" si="4210"/>
        <v>0.17</v>
      </c>
      <c r="F675" s="74"/>
      <c r="G675" s="253">
        <f t="shared" si="4195"/>
        <v>0</v>
      </c>
      <c r="H675" s="74"/>
      <c r="I675" s="253">
        <f t="shared" si="4196"/>
        <v>0</v>
      </c>
      <c r="J675" s="74"/>
      <c r="K675" s="253">
        <f t="shared" si="4197"/>
        <v>0</v>
      </c>
      <c r="L675" s="74"/>
      <c r="M675" s="253">
        <f t="shared" si="4198"/>
        <v>0</v>
      </c>
      <c r="N675" s="74"/>
      <c r="O675" s="253">
        <f t="shared" si="4199"/>
        <v>0</v>
      </c>
      <c r="P675" s="74"/>
      <c r="Q675" s="253">
        <f t="shared" si="4200"/>
        <v>0</v>
      </c>
      <c r="R675" s="74"/>
      <c r="S675" s="253">
        <f t="shared" si="4201"/>
        <v>0</v>
      </c>
      <c r="T675" s="74"/>
      <c r="U675" s="253">
        <f t="shared" si="4202"/>
        <v>0</v>
      </c>
      <c r="V675" s="74"/>
      <c r="W675" s="253">
        <f t="shared" si="4203"/>
        <v>0</v>
      </c>
      <c r="X675" s="74"/>
      <c r="Y675" s="253">
        <f t="shared" si="4204"/>
        <v>0</v>
      </c>
      <c r="Z675" s="74"/>
      <c r="AA675" s="253">
        <f t="shared" si="4205"/>
        <v>0</v>
      </c>
      <c r="AB675" s="74"/>
      <c r="AC675" s="253">
        <f t="shared" si="4206"/>
        <v>0</v>
      </c>
      <c r="AD675" s="74"/>
      <c r="AE675" s="253">
        <f t="shared" si="4207"/>
        <v>0</v>
      </c>
      <c r="AF675" s="98"/>
      <c r="AG675" s="98"/>
    </row>
    <row r="676" spans="1:33" ht="18.75" customHeight="1" outlineLevel="1">
      <c r="A676" s="377" t="str">
        <f t="shared" si="4208"/>
        <v>L-LYSINE</v>
      </c>
      <c r="B676" s="74"/>
      <c r="C676" s="253">
        <f t="shared" si="4209"/>
        <v>0</v>
      </c>
      <c r="D676" s="74"/>
      <c r="E676" s="253">
        <f t="shared" si="4210"/>
        <v>0</v>
      </c>
      <c r="F676" s="74"/>
      <c r="G676" s="253">
        <f t="shared" si="4195"/>
        <v>0</v>
      </c>
      <c r="H676" s="74"/>
      <c r="I676" s="253">
        <f t="shared" si="4196"/>
        <v>0</v>
      </c>
      <c r="J676" s="74"/>
      <c r="K676" s="253">
        <f t="shared" si="4197"/>
        <v>0</v>
      </c>
      <c r="L676" s="74"/>
      <c r="M676" s="253">
        <f t="shared" si="4198"/>
        <v>0</v>
      </c>
      <c r="N676" s="74"/>
      <c r="O676" s="253">
        <f t="shared" si="4199"/>
        <v>0</v>
      </c>
      <c r="P676" s="74"/>
      <c r="Q676" s="253">
        <f t="shared" si="4200"/>
        <v>0</v>
      </c>
      <c r="R676" s="74"/>
      <c r="S676" s="253">
        <f t="shared" si="4201"/>
        <v>0</v>
      </c>
      <c r="T676" s="74"/>
      <c r="U676" s="253">
        <f t="shared" si="4202"/>
        <v>0</v>
      </c>
      <c r="V676" s="74"/>
      <c r="W676" s="253">
        <f t="shared" si="4203"/>
        <v>0</v>
      </c>
      <c r="X676" s="74"/>
      <c r="Y676" s="253">
        <f t="shared" si="4204"/>
        <v>0</v>
      </c>
      <c r="Z676" s="74"/>
      <c r="AA676" s="253">
        <f t="shared" si="4205"/>
        <v>0</v>
      </c>
      <c r="AB676" s="74"/>
      <c r="AC676" s="253">
        <f t="shared" si="4206"/>
        <v>0</v>
      </c>
      <c r="AD676" s="74"/>
      <c r="AE676" s="253">
        <f t="shared" si="4207"/>
        <v>0</v>
      </c>
      <c r="AF676" s="98"/>
      <c r="AG676" s="98"/>
    </row>
    <row r="677" spans="1:33" ht="18.75" customHeight="1" outlineLevel="1">
      <c r="A677" s="377" t="str">
        <f t="shared" si="4208"/>
        <v>FAECES DRY</v>
      </c>
      <c r="B677" s="74"/>
      <c r="C677" s="253">
        <f t="shared" si="4209"/>
        <v>0</v>
      </c>
      <c r="D677" s="74"/>
      <c r="E677" s="253">
        <f t="shared" si="4210"/>
        <v>0</v>
      </c>
      <c r="F677" s="74"/>
      <c r="G677" s="253">
        <f t="shared" si="4195"/>
        <v>0</v>
      </c>
      <c r="H677" s="74"/>
      <c r="I677" s="253">
        <f t="shared" si="4196"/>
        <v>0</v>
      </c>
      <c r="J677" s="74"/>
      <c r="K677" s="253">
        <f t="shared" si="4197"/>
        <v>0</v>
      </c>
      <c r="L677" s="74"/>
      <c r="M677" s="253">
        <f t="shared" si="4198"/>
        <v>0</v>
      </c>
      <c r="N677" s="74"/>
      <c r="O677" s="253">
        <f t="shared" si="4199"/>
        <v>0</v>
      </c>
      <c r="P677" s="74"/>
      <c r="Q677" s="253">
        <f t="shared" si="4200"/>
        <v>0</v>
      </c>
      <c r="R677" s="74"/>
      <c r="S677" s="253">
        <f t="shared" si="4201"/>
        <v>0</v>
      </c>
      <c r="T677" s="74"/>
      <c r="U677" s="253">
        <f t="shared" si="4202"/>
        <v>0</v>
      </c>
      <c r="V677" s="74"/>
      <c r="W677" s="253">
        <f t="shared" si="4203"/>
        <v>0</v>
      </c>
      <c r="X677" s="74"/>
      <c r="Y677" s="253">
        <f t="shared" si="4204"/>
        <v>0</v>
      </c>
      <c r="Z677" s="74"/>
      <c r="AA677" s="253">
        <f t="shared" si="4205"/>
        <v>0</v>
      </c>
      <c r="AB677" s="74"/>
      <c r="AC677" s="253">
        <f t="shared" si="4206"/>
        <v>0</v>
      </c>
      <c r="AD677" s="74"/>
      <c r="AE677" s="253">
        <f t="shared" si="4207"/>
        <v>0</v>
      </c>
      <c r="AF677" s="98"/>
      <c r="AG677" s="98"/>
    </row>
    <row r="678" spans="1:33" ht="18.75" customHeight="1" outlineLevel="1">
      <c r="A678" s="377" t="str">
        <f t="shared" si="4208"/>
        <v>ECOBIOL</v>
      </c>
      <c r="B678" s="74"/>
      <c r="C678" s="253">
        <f t="shared" si="4209"/>
        <v>0</v>
      </c>
      <c r="D678" s="74"/>
      <c r="E678" s="253">
        <f t="shared" si="4210"/>
        <v>0</v>
      </c>
      <c r="F678" s="74"/>
      <c r="G678" s="253">
        <f t="shared" si="4195"/>
        <v>0</v>
      </c>
      <c r="H678" s="74"/>
      <c r="I678" s="253">
        <f t="shared" si="4196"/>
        <v>0</v>
      </c>
      <c r="J678" s="74"/>
      <c r="K678" s="253">
        <f t="shared" si="4197"/>
        <v>0</v>
      </c>
      <c r="L678" s="74"/>
      <c r="M678" s="253">
        <f t="shared" si="4198"/>
        <v>0</v>
      </c>
      <c r="N678" s="74"/>
      <c r="O678" s="253">
        <f t="shared" si="4199"/>
        <v>0</v>
      </c>
      <c r="P678" s="74"/>
      <c r="Q678" s="253">
        <f t="shared" si="4200"/>
        <v>0</v>
      </c>
      <c r="R678" s="74"/>
      <c r="S678" s="253">
        <f t="shared" si="4201"/>
        <v>0</v>
      </c>
      <c r="T678" s="74"/>
      <c r="U678" s="253">
        <f t="shared" si="4202"/>
        <v>0</v>
      </c>
      <c r="V678" s="74"/>
      <c r="W678" s="253">
        <f t="shared" si="4203"/>
        <v>0</v>
      </c>
      <c r="X678" s="74"/>
      <c r="Y678" s="253">
        <f t="shared" si="4204"/>
        <v>0</v>
      </c>
      <c r="Z678" s="74"/>
      <c r="AA678" s="253">
        <f t="shared" si="4205"/>
        <v>0</v>
      </c>
      <c r="AB678" s="74"/>
      <c r="AC678" s="253">
        <f t="shared" si="4206"/>
        <v>0</v>
      </c>
      <c r="AD678" s="74"/>
      <c r="AE678" s="253">
        <f t="shared" si="4207"/>
        <v>0</v>
      </c>
      <c r="AF678" s="98"/>
      <c r="AG678" s="98"/>
    </row>
    <row r="679" spans="1:33" ht="18.75" customHeight="1" outlineLevel="1">
      <c r="A679" s="377" t="str">
        <f t="shared" si="4208"/>
        <v>ADDITIVE BROILER IMMUNE</v>
      </c>
      <c r="B679" s="74"/>
      <c r="C679" s="253">
        <f t="shared" si="4209"/>
        <v>0</v>
      </c>
      <c r="D679" s="74"/>
      <c r="E679" s="253">
        <f t="shared" si="4210"/>
        <v>0</v>
      </c>
      <c r="F679" s="74"/>
      <c r="G679" s="253">
        <f t="shared" si="4195"/>
        <v>0</v>
      </c>
      <c r="H679" s="74"/>
      <c r="I679" s="253">
        <f t="shared" si="4196"/>
        <v>0</v>
      </c>
      <c r="J679" s="74"/>
      <c r="K679" s="253">
        <f t="shared" si="4197"/>
        <v>0</v>
      </c>
      <c r="L679" s="74"/>
      <c r="M679" s="253">
        <f t="shared" si="4198"/>
        <v>0</v>
      </c>
      <c r="N679" s="74"/>
      <c r="O679" s="253">
        <f t="shared" si="4199"/>
        <v>0</v>
      </c>
      <c r="P679" s="74"/>
      <c r="Q679" s="253">
        <f t="shared" si="4200"/>
        <v>0</v>
      </c>
      <c r="R679" s="74"/>
      <c r="S679" s="253">
        <f t="shared" si="4201"/>
        <v>0</v>
      </c>
      <c r="T679" s="74"/>
      <c r="U679" s="253">
        <f t="shared" si="4202"/>
        <v>0</v>
      </c>
      <c r="V679" s="74"/>
      <c r="W679" s="253">
        <f t="shared" si="4203"/>
        <v>0</v>
      </c>
      <c r="X679" s="74"/>
      <c r="Y679" s="253">
        <f t="shared" si="4204"/>
        <v>0</v>
      </c>
      <c r="Z679" s="74"/>
      <c r="AA679" s="253">
        <f t="shared" si="4205"/>
        <v>0</v>
      </c>
      <c r="AB679" s="74"/>
      <c r="AC679" s="253">
        <f t="shared" si="4206"/>
        <v>0</v>
      </c>
      <c r="AD679" s="74"/>
      <c r="AE679" s="253">
        <f t="shared" si="4207"/>
        <v>0</v>
      </c>
      <c r="AF679" s="98"/>
      <c r="AG679" s="98"/>
    </row>
    <row r="680" spans="1:33" ht="18.75" customHeight="1" outlineLevel="1">
      <c r="A680" s="377" t="s">
        <v>136</v>
      </c>
      <c r="B680" s="74"/>
      <c r="C680" s="253">
        <f t="shared" si="4209"/>
        <v>0</v>
      </c>
      <c r="D680" s="74">
        <f>0.6/20</f>
        <v>0.03</v>
      </c>
      <c r="E680" s="253">
        <f t="shared" si="4210"/>
        <v>0.3</v>
      </c>
      <c r="F680" s="74"/>
      <c r="G680" s="253">
        <f t="shared" si="4195"/>
        <v>0</v>
      </c>
      <c r="H680" s="74"/>
      <c r="I680" s="253">
        <f t="shared" si="4196"/>
        <v>0</v>
      </c>
      <c r="J680" s="74"/>
      <c r="K680" s="253">
        <f t="shared" si="4197"/>
        <v>0</v>
      </c>
      <c r="L680" s="74"/>
      <c r="M680" s="253">
        <f t="shared" si="4198"/>
        <v>0</v>
      </c>
      <c r="N680" s="74"/>
      <c r="O680" s="253">
        <f t="shared" si="4199"/>
        <v>0</v>
      </c>
      <c r="P680" s="74"/>
      <c r="Q680" s="253">
        <f t="shared" si="4200"/>
        <v>0</v>
      </c>
      <c r="R680" s="74"/>
      <c r="S680" s="253">
        <f t="shared" si="4201"/>
        <v>0</v>
      </c>
      <c r="T680" s="74"/>
      <c r="U680" s="253">
        <f t="shared" si="4202"/>
        <v>0</v>
      </c>
      <c r="V680" s="74"/>
      <c r="W680" s="253">
        <f t="shared" si="4203"/>
        <v>0</v>
      </c>
      <c r="X680" s="74"/>
      <c r="Y680" s="253">
        <f t="shared" si="4204"/>
        <v>0</v>
      </c>
      <c r="Z680" s="74"/>
      <c r="AA680" s="253">
        <f t="shared" si="4205"/>
        <v>0</v>
      </c>
      <c r="AB680" s="74"/>
      <c r="AC680" s="253">
        <f t="shared" si="4206"/>
        <v>0</v>
      </c>
      <c r="AD680" s="74"/>
      <c r="AE680" s="253">
        <f t="shared" si="4207"/>
        <v>0</v>
      </c>
      <c r="AF680" s="98"/>
      <c r="AG680" s="98"/>
    </row>
    <row r="681" spans="1:33" ht="18.75" customHeight="1" outlineLevel="1">
      <c r="A681" s="377" t="s">
        <v>137</v>
      </c>
      <c r="B681" s="74"/>
      <c r="C681" s="253">
        <f t="shared" si="4209"/>
        <v>0</v>
      </c>
      <c r="D681" s="74">
        <f>0.4/20</f>
        <v>0.02</v>
      </c>
      <c r="E681" s="253">
        <f t="shared" si="4210"/>
        <v>0.2</v>
      </c>
      <c r="F681" s="74"/>
      <c r="G681" s="253">
        <f t="shared" si="4195"/>
        <v>0</v>
      </c>
      <c r="H681" s="74"/>
      <c r="I681" s="253">
        <f t="shared" si="4196"/>
        <v>0</v>
      </c>
      <c r="J681" s="74"/>
      <c r="K681" s="253">
        <f t="shared" si="4197"/>
        <v>0</v>
      </c>
      <c r="L681" s="74"/>
      <c r="M681" s="253">
        <f t="shared" si="4198"/>
        <v>0</v>
      </c>
      <c r="N681" s="74"/>
      <c r="O681" s="253">
        <f t="shared" si="4199"/>
        <v>0</v>
      </c>
      <c r="P681" s="74"/>
      <c r="Q681" s="253">
        <f t="shared" si="4200"/>
        <v>0</v>
      </c>
      <c r="R681" s="74"/>
      <c r="S681" s="253">
        <f t="shared" si="4201"/>
        <v>0</v>
      </c>
      <c r="T681" s="74"/>
      <c r="U681" s="253">
        <f t="shared" si="4202"/>
        <v>0</v>
      </c>
      <c r="V681" s="74"/>
      <c r="W681" s="253">
        <f t="shared" si="4203"/>
        <v>0</v>
      </c>
      <c r="X681" s="74"/>
      <c r="Y681" s="253">
        <f t="shared" si="4204"/>
        <v>0</v>
      </c>
      <c r="Z681" s="74"/>
      <c r="AA681" s="253">
        <f t="shared" si="4205"/>
        <v>0</v>
      </c>
      <c r="AB681" s="74"/>
      <c r="AC681" s="253">
        <f t="shared" si="4206"/>
        <v>0</v>
      </c>
      <c r="AD681" s="74"/>
      <c r="AE681" s="253">
        <f t="shared" si="4207"/>
        <v>0</v>
      </c>
      <c r="AF681" s="98"/>
      <c r="AG681" s="98"/>
    </row>
    <row r="682" spans="1:33" ht="18.75" customHeight="1" outlineLevel="1">
      <c r="A682" s="377" t="str">
        <f t="shared" si="4208"/>
        <v>1102 TOP UP (0.60KG)</v>
      </c>
      <c r="B682" s="74"/>
      <c r="C682" s="253">
        <f t="shared" si="4209"/>
        <v>0</v>
      </c>
      <c r="D682" s="74"/>
      <c r="E682" s="253">
        <f t="shared" si="4210"/>
        <v>0</v>
      </c>
      <c r="F682" s="74"/>
      <c r="G682" s="253">
        <f t="shared" si="4195"/>
        <v>0</v>
      </c>
      <c r="H682" s="74"/>
      <c r="I682" s="253">
        <f t="shared" si="4196"/>
        <v>0</v>
      </c>
      <c r="J682" s="74"/>
      <c r="K682" s="253">
        <f t="shared" si="4197"/>
        <v>0</v>
      </c>
      <c r="L682" s="74"/>
      <c r="M682" s="253">
        <f t="shared" si="4198"/>
        <v>0</v>
      </c>
      <c r="N682" s="74"/>
      <c r="O682" s="253">
        <f t="shared" si="4199"/>
        <v>0</v>
      </c>
      <c r="P682" s="74"/>
      <c r="Q682" s="253">
        <f t="shared" si="4200"/>
        <v>0</v>
      </c>
      <c r="R682" s="74"/>
      <c r="S682" s="253">
        <f t="shared" si="4201"/>
        <v>0</v>
      </c>
      <c r="T682" s="74"/>
      <c r="U682" s="253">
        <f t="shared" si="4202"/>
        <v>0</v>
      </c>
      <c r="V682" s="74"/>
      <c r="W682" s="253">
        <f t="shared" si="4203"/>
        <v>0</v>
      </c>
      <c r="X682" s="74"/>
      <c r="Y682" s="253">
        <f t="shared" si="4204"/>
        <v>0</v>
      </c>
      <c r="Z682" s="74"/>
      <c r="AA682" s="253">
        <f t="shared" si="4205"/>
        <v>0</v>
      </c>
      <c r="AB682" s="74"/>
      <c r="AC682" s="253">
        <f t="shared" si="4206"/>
        <v>0</v>
      </c>
      <c r="AD682" s="74"/>
      <c r="AE682" s="253">
        <f t="shared" si="4207"/>
        <v>0</v>
      </c>
      <c r="AF682" s="98"/>
      <c r="AG682" s="98"/>
    </row>
    <row r="683" spans="1:33" ht="18.75" customHeight="1" outlineLevel="1">
      <c r="A683" s="377" t="str">
        <f t="shared" si="4208"/>
        <v>1103 TOP UP (2.00KG)</v>
      </c>
      <c r="B683" s="74"/>
      <c r="C683" s="253">
        <f t="shared" si="4209"/>
        <v>0</v>
      </c>
      <c r="D683" s="74"/>
      <c r="E683" s="253">
        <f t="shared" si="4210"/>
        <v>0</v>
      </c>
      <c r="F683" s="74"/>
      <c r="G683" s="253">
        <f t="shared" si="4195"/>
        <v>0</v>
      </c>
      <c r="H683" s="74"/>
      <c r="I683" s="253">
        <f t="shared" si="4196"/>
        <v>0</v>
      </c>
      <c r="J683" s="74"/>
      <c r="K683" s="253">
        <f t="shared" si="4197"/>
        <v>0</v>
      </c>
      <c r="L683" s="74"/>
      <c r="M683" s="253">
        <f t="shared" si="4198"/>
        <v>0</v>
      </c>
      <c r="N683" s="74"/>
      <c r="O683" s="253">
        <f t="shared" si="4199"/>
        <v>0</v>
      </c>
      <c r="P683" s="74"/>
      <c r="Q683" s="253">
        <f t="shared" si="4200"/>
        <v>0</v>
      </c>
      <c r="R683" s="74"/>
      <c r="S683" s="253">
        <f t="shared" si="4201"/>
        <v>0</v>
      </c>
      <c r="T683" s="74"/>
      <c r="U683" s="253">
        <f t="shared" si="4202"/>
        <v>0</v>
      </c>
      <c r="V683" s="74"/>
      <c r="W683" s="253">
        <f t="shared" si="4203"/>
        <v>0</v>
      </c>
      <c r="X683" s="74"/>
      <c r="Y683" s="253">
        <f t="shared" si="4204"/>
        <v>0</v>
      </c>
      <c r="Z683" s="74"/>
      <c r="AA683" s="253">
        <f t="shared" si="4205"/>
        <v>0</v>
      </c>
      <c r="AB683" s="74"/>
      <c r="AC683" s="253">
        <f t="shared" si="4206"/>
        <v>0</v>
      </c>
      <c r="AD683" s="74"/>
      <c r="AE683" s="253">
        <f t="shared" si="4207"/>
        <v>0</v>
      </c>
      <c r="AF683" s="98"/>
      <c r="AG683" s="98"/>
    </row>
    <row r="684" spans="1:33" ht="18.75" customHeight="1" outlineLevel="1">
      <c r="A684" s="377" t="str">
        <f t="shared" si="4208"/>
        <v>QUANTUM GLO 4%</v>
      </c>
      <c r="B684" s="74"/>
      <c r="C684" s="253">
        <f t="shared" si="4209"/>
        <v>0</v>
      </c>
      <c r="D684" s="74"/>
      <c r="E684" s="253">
        <f t="shared" si="4210"/>
        <v>0</v>
      </c>
      <c r="F684" s="74"/>
      <c r="G684" s="253">
        <f t="shared" si="4195"/>
        <v>0</v>
      </c>
      <c r="H684" s="74"/>
      <c r="I684" s="253">
        <f t="shared" si="4196"/>
        <v>0</v>
      </c>
      <c r="J684" s="74"/>
      <c r="K684" s="253">
        <f t="shared" si="4197"/>
        <v>0</v>
      </c>
      <c r="L684" s="74"/>
      <c r="M684" s="253">
        <f t="shared" si="4198"/>
        <v>0</v>
      </c>
      <c r="N684" s="74"/>
      <c r="O684" s="253">
        <f t="shared" si="4199"/>
        <v>0</v>
      </c>
      <c r="P684" s="74"/>
      <c r="Q684" s="253">
        <f t="shared" si="4200"/>
        <v>0</v>
      </c>
      <c r="R684" s="74"/>
      <c r="S684" s="253">
        <f t="shared" si="4201"/>
        <v>0</v>
      </c>
      <c r="T684" s="74"/>
      <c r="U684" s="253">
        <f t="shared" si="4202"/>
        <v>0</v>
      </c>
      <c r="V684" s="74"/>
      <c r="W684" s="253">
        <f t="shared" si="4203"/>
        <v>0</v>
      </c>
      <c r="X684" s="74"/>
      <c r="Y684" s="253">
        <f t="shared" si="4204"/>
        <v>0</v>
      </c>
      <c r="Z684" s="74"/>
      <c r="AA684" s="253">
        <f t="shared" si="4205"/>
        <v>0</v>
      </c>
      <c r="AB684" s="74"/>
      <c r="AC684" s="253">
        <f t="shared" si="4206"/>
        <v>0</v>
      </c>
      <c r="AD684" s="74"/>
      <c r="AE684" s="253">
        <f t="shared" si="4207"/>
        <v>0</v>
      </c>
      <c r="AF684" s="98"/>
      <c r="AG684" s="98"/>
    </row>
    <row r="685" spans="1:33" ht="18.75" customHeight="1" outlineLevel="1">
      <c r="A685" s="377" t="str">
        <f>A69</f>
        <v>SALT</v>
      </c>
      <c r="B685" s="74"/>
      <c r="C685" s="253">
        <f t="shared" si="4209"/>
        <v>0</v>
      </c>
      <c r="D685" s="74"/>
      <c r="E685" s="253">
        <f t="shared" si="4210"/>
        <v>0</v>
      </c>
      <c r="F685" s="74"/>
      <c r="G685" s="253">
        <f t="shared" si="4195"/>
        <v>0</v>
      </c>
      <c r="H685" s="74"/>
      <c r="I685" s="253">
        <f t="shared" si="4196"/>
        <v>0</v>
      </c>
      <c r="J685" s="74"/>
      <c r="K685" s="253">
        <f t="shared" si="4197"/>
        <v>0</v>
      </c>
      <c r="L685" s="74"/>
      <c r="M685" s="253">
        <f t="shared" si="4198"/>
        <v>0</v>
      </c>
      <c r="N685" s="74"/>
      <c r="O685" s="253">
        <f t="shared" si="4199"/>
        <v>0</v>
      </c>
      <c r="P685" s="74"/>
      <c r="Q685" s="253">
        <f t="shared" si="4200"/>
        <v>0</v>
      </c>
      <c r="R685" s="74"/>
      <c r="S685" s="253">
        <f t="shared" si="4201"/>
        <v>0</v>
      </c>
      <c r="T685" s="74"/>
      <c r="U685" s="253">
        <f t="shared" si="4202"/>
        <v>0</v>
      </c>
      <c r="V685" s="74"/>
      <c r="W685" s="253">
        <f t="shared" si="4203"/>
        <v>0</v>
      </c>
      <c r="X685" s="74"/>
      <c r="Y685" s="253">
        <f t="shared" si="4204"/>
        <v>0</v>
      </c>
      <c r="Z685" s="74"/>
      <c r="AA685" s="253">
        <f t="shared" si="4205"/>
        <v>0</v>
      </c>
      <c r="AB685" s="74"/>
      <c r="AC685" s="253">
        <f t="shared" si="4206"/>
        <v>0</v>
      </c>
      <c r="AD685" s="74"/>
      <c r="AE685" s="253">
        <f t="shared" si="4207"/>
        <v>0</v>
      </c>
      <c r="AF685" s="98"/>
      <c r="AG685" s="98"/>
    </row>
    <row r="686" spans="1:33" ht="18.75" customHeight="1" outlineLevel="1">
      <c r="A686" s="377" t="str">
        <f>A70</f>
        <v>OC 200 - OXYTET 20%</v>
      </c>
      <c r="B686" s="74"/>
      <c r="C686" s="253">
        <f t="shared" si="4209"/>
        <v>0</v>
      </c>
      <c r="D686" s="74"/>
      <c r="E686" s="253">
        <f t="shared" si="4210"/>
        <v>0</v>
      </c>
      <c r="F686" s="74"/>
      <c r="G686" s="253">
        <f t="shared" si="4195"/>
        <v>0</v>
      </c>
      <c r="H686" s="74"/>
      <c r="I686" s="253">
        <f t="shared" si="4196"/>
        <v>0</v>
      </c>
      <c r="J686" s="74"/>
      <c r="K686" s="253">
        <f t="shared" si="4197"/>
        <v>0</v>
      </c>
      <c r="L686" s="74"/>
      <c r="M686" s="253">
        <f t="shared" si="4198"/>
        <v>0</v>
      </c>
      <c r="N686" s="74"/>
      <c r="O686" s="253">
        <f t="shared" si="4199"/>
        <v>0</v>
      </c>
      <c r="P686" s="74"/>
      <c r="Q686" s="253">
        <f t="shared" si="4200"/>
        <v>0</v>
      </c>
      <c r="R686" s="74"/>
      <c r="S686" s="253">
        <f t="shared" si="4201"/>
        <v>0</v>
      </c>
      <c r="T686" s="74"/>
      <c r="U686" s="253">
        <f t="shared" si="4202"/>
        <v>0</v>
      </c>
      <c r="V686" s="74"/>
      <c r="W686" s="253">
        <f t="shared" si="4203"/>
        <v>0</v>
      </c>
      <c r="X686" s="74"/>
      <c r="Y686" s="253">
        <f t="shared" si="4204"/>
        <v>0</v>
      </c>
      <c r="Z686" s="74"/>
      <c r="AA686" s="253">
        <f t="shared" si="4205"/>
        <v>0</v>
      </c>
      <c r="AB686" s="74"/>
      <c r="AC686" s="253">
        <f t="shared" si="4206"/>
        <v>0</v>
      </c>
      <c r="AD686" s="74"/>
      <c r="AE686" s="253">
        <f t="shared" si="4207"/>
        <v>0</v>
      </c>
      <c r="AF686" s="98"/>
      <c r="AG686" s="98"/>
    </row>
    <row r="687" spans="1:33" ht="18.75" customHeight="1" outlineLevel="1">
      <c r="A687" s="377">
        <f>A71</f>
        <v>3</v>
      </c>
      <c r="B687" s="74"/>
      <c r="C687" s="253">
        <f t="shared" si="4209"/>
        <v>0</v>
      </c>
      <c r="D687" s="74"/>
      <c r="E687" s="253">
        <f t="shared" si="4210"/>
        <v>0</v>
      </c>
      <c r="F687" s="74"/>
      <c r="G687" s="253">
        <f t="shared" si="4195"/>
        <v>0</v>
      </c>
      <c r="H687" s="74"/>
      <c r="I687" s="253">
        <f t="shared" si="4196"/>
        <v>0</v>
      </c>
      <c r="J687" s="74"/>
      <c r="K687" s="253">
        <f t="shared" si="4197"/>
        <v>0</v>
      </c>
      <c r="L687" s="74"/>
      <c r="M687" s="253">
        <f t="shared" si="4198"/>
        <v>0</v>
      </c>
      <c r="N687" s="74"/>
      <c r="O687" s="253">
        <f t="shared" si="4199"/>
        <v>0</v>
      </c>
      <c r="P687" s="74"/>
      <c r="Q687" s="253">
        <f t="shared" si="4200"/>
        <v>0</v>
      </c>
      <c r="R687" s="74"/>
      <c r="S687" s="253">
        <f t="shared" si="4201"/>
        <v>0</v>
      </c>
      <c r="T687" s="74"/>
      <c r="U687" s="253">
        <f t="shared" si="4202"/>
        <v>0</v>
      </c>
      <c r="V687" s="74"/>
      <c r="W687" s="253">
        <f t="shared" si="4203"/>
        <v>0</v>
      </c>
      <c r="X687" s="74"/>
      <c r="Y687" s="253">
        <f t="shared" si="4204"/>
        <v>0</v>
      </c>
      <c r="Z687" s="74"/>
      <c r="AA687" s="253">
        <f t="shared" si="4205"/>
        <v>0</v>
      </c>
      <c r="AB687" s="74"/>
      <c r="AC687" s="253">
        <f t="shared" si="4206"/>
        <v>0</v>
      </c>
      <c r="AD687" s="74"/>
      <c r="AE687" s="253">
        <f t="shared" si="4207"/>
        <v>0</v>
      </c>
      <c r="AF687" s="98"/>
      <c r="AG687" s="98"/>
    </row>
    <row r="688" spans="1:33" ht="18.75" customHeight="1" outlineLevel="1">
      <c r="A688" s="351">
        <f>A72</f>
        <v>4</v>
      </c>
      <c r="B688" s="74"/>
      <c r="C688" s="253">
        <f t="shared" si="4209"/>
        <v>0</v>
      </c>
      <c r="D688" s="74"/>
      <c r="E688" s="253">
        <f t="shared" si="4210"/>
        <v>0</v>
      </c>
      <c r="F688" s="74"/>
      <c r="G688" s="253">
        <f t="shared" si="4195"/>
        <v>0</v>
      </c>
      <c r="H688" s="74"/>
      <c r="I688" s="253">
        <f t="shared" si="4196"/>
        <v>0</v>
      </c>
      <c r="J688" s="74"/>
      <c r="K688" s="253">
        <f t="shared" si="4197"/>
        <v>0</v>
      </c>
      <c r="L688" s="74"/>
      <c r="M688" s="253">
        <f t="shared" si="4198"/>
        <v>0</v>
      </c>
      <c r="N688" s="74"/>
      <c r="O688" s="253">
        <f t="shared" si="4199"/>
        <v>0</v>
      </c>
      <c r="P688" s="74"/>
      <c r="Q688" s="253">
        <f t="shared" si="4200"/>
        <v>0</v>
      </c>
      <c r="R688" s="74"/>
      <c r="S688" s="253">
        <f t="shared" si="4201"/>
        <v>0</v>
      </c>
      <c r="T688" s="74"/>
      <c r="U688" s="253">
        <f t="shared" si="4202"/>
        <v>0</v>
      </c>
      <c r="V688" s="74"/>
      <c r="W688" s="253">
        <f t="shared" si="4203"/>
        <v>0</v>
      </c>
      <c r="X688" s="74"/>
      <c r="Y688" s="253">
        <f t="shared" si="4204"/>
        <v>0</v>
      </c>
      <c r="Z688" s="74"/>
      <c r="AA688" s="253">
        <f t="shared" si="4205"/>
        <v>0</v>
      </c>
      <c r="AB688" s="74"/>
      <c r="AC688" s="253">
        <f t="shared" si="4206"/>
        <v>0</v>
      </c>
      <c r="AD688" s="74"/>
      <c r="AE688" s="253">
        <f t="shared" si="4207"/>
        <v>0</v>
      </c>
      <c r="AF688" s="98"/>
      <c r="AG688" s="98"/>
    </row>
    <row r="689" spans="1:33" ht="18.75" customHeight="1" outlineLevel="1">
      <c r="A689" s="351" t="str">
        <f t="shared" ref="A689:A703" si="4211">A73</f>
        <v>WOVEN BAG (1101) - BLUE 50KG</v>
      </c>
      <c r="B689" s="74"/>
      <c r="C689" s="253">
        <f t="shared" si="4209"/>
        <v>0</v>
      </c>
      <c r="D689" s="74"/>
      <c r="E689" s="253">
        <f t="shared" si="4210"/>
        <v>0</v>
      </c>
      <c r="F689" s="74"/>
      <c r="G689" s="253">
        <f t="shared" si="4195"/>
        <v>0</v>
      </c>
      <c r="H689" s="74"/>
      <c r="I689" s="253">
        <f t="shared" si="4196"/>
        <v>0</v>
      </c>
      <c r="J689" s="74"/>
      <c r="K689" s="253">
        <f t="shared" si="4197"/>
        <v>0</v>
      </c>
      <c r="L689" s="74"/>
      <c r="M689" s="253">
        <f t="shared" si="4198"/>
        <v>0</v>
      </c>
      <c r="N689" s="74"/>
      <c r="O689" s="253">
        <f t="shared" si="4199"/>
        <v>0</v>
      </c>
      <c r="P689" s="74"/>
      <c r="Q689" s="253">
        <f t="shared" si="4200"/>
        <v>0</v>
      </c>
      <c r="R689" s="74"/>
      <c r="S689" s="253">
        <f t="shared" si="4201"/>
        <v>0</v>
      </c>
      <c r="T689" s="74"/>
      <c r="U689" s="253">
        <f t="shared" si="4202"/>
        <v>0</v>
      </c>
      <c r="V689" s="74"/>
      <c r="W689" s="253">
        <f t="shared" si="4203"/>
        <v>0</v>
      </c>
      <c r="X689" s="74"/>
      <c r="Y689" s="253">
        <f t="shared" si="4204"/>
        <v>0</v>
      </c>
      <c r="Z689" s="74"/>
      <c r="AA689" s="253">
        <f t="shared" si="4205"/>
        <v>0</v>
      </c>
      <c r="AB689" s="74"/>
      <c r="AC689" s="253">
        <f t="shared" si="4206"/>
        <v>0</v>
      </c>
      <c r="AD689" s="74"/>
      <c r="AE689" s="253">
        <f t="shared" si="4207"/>
        <v>0</v>
      </c>
      <c r="AF689" s="98"/>
      <c r="AG689" s="98"/>
    </row>
    <row r="690" spans="1:33" ht="18.75" customHeight="1" outlineLevel="1">
      <c r="A690" s="351" t="str">
        <f t="shared" si="4211"/>
        <v>WOVEN BAG (1102) - GREEN 50KG</v>
      </c>
      <c r="B690" s="74"/>
      <c r="C690" s="253">
        <f t="shared" si="4209"/>
        <v>0</v>
      </c>
      <c r="D690" s="74"/>
      <c r="E690" s="253">
        <f t="shared" si="4210"/>
        <v>0</v>
      </c>
      <c r="F690" s="74"/>
      <c r="G690" s="253">
        <f t="shared" si="4195"/>
        <v>0</v>
      </c>
      <c r="H690" s="74"/>
      <c r="I690" s="253">
        <f t="shared" si="4196"/>
        <v>0</v>
      </c>
      <c r="J690" s="74"/>
      <c r="K690" s="253">
        <f t="shared" si="4197"/>
        <v>0</v>
      </c>
      <c r="L690" s="74"/>
      <c r="M690" s="253">
        <f t="shared" si="4198"/>
        <v>0</v>
      </c>
      <c r="N690" s="74"/>
      <c r="O690" s="253">
        <f t="shared" si="4199"/>
        <v>0</v>
      </c>
      <c r="P690" s="74"/>
      <c r="Q690" s="253">
        <f t="shared" si="4200"/>
        <v>0</v>
      </c>
      <c r="R690" s="74"/>
      <c r="S690" s="253">
        <f t="shared" si="4201"/>
        <v>0</v>
      </c>
      <c r="T690" s="74"/>
      <c r="U690" s="253">
        <f t="shared" si="4202"/>
        <v>0</v>
      </c>
      <c r="V690" s="74"/>
      <c r="W690" s="253">
        <f t="shared" si="4203"/>
        <v>0</v>
      </c>
      <c r="X690" s="74"/>
      <c r="Y690" s="253">
        <f t="shared" si="4204"/>
        <v>0</v>
      </c>
      <c r="Z690" s="74"/>
      <c r="AA690" s="253">
        <f t="shared" si="4205"/>
        <v>0</v>
      </c>
      <c r="AB690" s="74"/>
      <c r="AC690" s="253">
        <f t="shared" si="4206"/>
        <v>0</v>
      </c>
      <c r="AD690" s="74"/>
      <c r="AE690" s="253">
        <f t="shared" si="4207"/>
        <v>0</v>
      </c>
      <c r="AF690" s="98"/>
      <c r="AG690" s="98"/>
    </row>
    <row r="691" spans="1:33" ht="18.75" customHeight="1" outlineLevel="1">
      <c r="A691" s="351" t="str">
        <f t="shared" si="4211"/>
        <v>WOVEN BAG (1103) - RED 50KG</v>
      </c>
      <c r="B691" s="74"/>
      <c r="C691" s="253">
        <f t="shared" si="4209"/>
        <v>0</v>
      </c>
      <c r="D691" s="74"/>
      <c r="E691" s="253">
        <f t="shared" si="4210"/>
        <v>0</v>
      </c>
      <c r="F691" s="74"/>
      <c r="G691" s="253">
        <f t="shared" si="4195"/>
        <v>0</v>
      </c>
      <c r="H691" s="74"/>
      <c r="I691" s="253">
        <f t="shared" si="4196"/>
        <v>0</v>
      </c>
      <c r="J691" s="74"/>
      <c r="K691" s="253">
        <f t="shared" si="4197"/>
        <v>0</v>
      </c>
      <c r="L691" s="74"/>
      <c r="M691" s="253">
        <f t="shared" si="4198"/>
        <v>0</v>
      </c>
      <c r="N691" s="74"/>
      <c r="O691" s="253">
        <f t="shared" si="4199"/>
        <v>0</v>
      </c>
      <c r="P691" s="74"/>
      <c r="Q691" s="253">
        <f t="shared" si="4200"/>
        <v>0</v>
      </c>
      <c r="R691" s="74"/>
      <c r="S691" s="253">
        <f t="shared" si="4201"/>
        <v>0</v>
      </c>
      <c r="T691" s="74"/>
      <c r="U691" s="253">
        <f t="shared" si="4202"/>
        <v>0</v>
      </c>
      <c r="V691" s="74"/>
      <c r="W691" s="253">
        <f t="shared" si="4203"/>
        <v>0</v>
      </c>
      <c r="X691" s="74"/>
      <c r="Y691" s="253">
        <f t="shared" si="4204"/>
        <v>0</v>
      </c>
      <c r="Z691" s="74"/>
      <c r="AA691" s="253">
        <f t="shared" si="4205"/>
        <v>0</v>
      </c>
      <c r="AB691" s="74"/>
      <c r="AC691" s="253">
        <f t="shared" si="4206"/>
        <v>0</v>
      </c>
      <c r="AD691" s="74"/>
      <c r="AE691" s="253">
        <f t="shared" si="4207"/>
        <v>0</v>
      </c>
      <c r="AF691" s="98"/>
      <c r="AG691" s="98"/>
    </row>
    <row r="692" spans="1:33" ht="18.75" customHeight="1" outlineLevel="1">
      <c r="A692" s="351" t="str">
        <f t="shared" si="4211"/>
        <v>PLAIN BAG 26" X 39" (50KG)</v>
      </c>
      <c r="B692" s="74"/>
      <c r="C692" s="253">
        <f t="shared" si="4209"/>
        <v>0</v>
      </c>
      <c r="D692" s="74"/>
      <c r="E692" s="253">
        <f t="shared" si="4210"/>
        <v>0</v>
      </c>
      <c r="F692" s="74"/>
      <c r="G692" s="253">
        <f t="shared" si="4195"/>
        <v>0</v>
      </c>
      <c r="H692" s="74"/>
      <c r="I692" s="253">
        <f t="shared" si="4196"/>
        <v>0</v>
      </c>
      <c r="J692" s="74"/>
      <c r="K692" s="253">
        <f t="shared" si="4197"/>
        <v>0</v>
      </c>
      <c r="L692" s="74"/>
      <c r="M692" s="253">
        <f t="shared" si="4198"/>
        <v>0</v>
      </c>
      <c r="N692" s="74"/>
      <c r="O692" s="253">
        <f t="shared" si="4199"/>
        <v>0</v>
      </c>
      <c r="P692" s="74"/>
      <c r="Q692" s="253">
        <f t="shared" si="4200"/>
        <v>0</v>
      </c>
      <c r="R692" s="74"/>
      <c r="S692" s="253">
        <f t="shared" si="4201"/>
        <v>0</v>
      </c>
      <c r="T692" s="74"/>
      <c r="U692" s="253">
        <f t="shared" si="4202"/>
        <v>0</v>
      </c>
      <c r="V692" s="74"/>
      <c r="W692" s="253">
        <f t="shared" si="4203"/>
        <v>0</v>
      </c>
      <c r="X692" s="74"/>
      <c r="Y692" s="253">
        <f t="shared" si="4204"/>
        <v>0</v>
      </c>
      <c r="Z692" s="74"/>
      <c r="AA692" s="253">
        <f t="shared" si="4205"/>
        <v>0</v>
      </c>
      <c r="AB692" s="74"/>
      <c r="AC692" s="253">
        <f t="shared" si="4206"/>
        <v>0</v>
      </c>
      <c r="AD692" s="74"/>
      <c r="AE692" s="253">
        <f t="shared" si="4207"/>
        <v>0</v>
      </c>
      <c r="AF692" s="98"/>
      <c r="AG692" s="98"/>
    </row>
    <row r="693" spans="1:33" ht="18.75" customHeight="1" outlineLevel="1">
      <c r="A693" s="351" t="str">
        <f t="shared" si="4211"/>
        <v>WOVEN BAG (8101) - KHAKI 50KG</v>
      </c>
      <c r="B693" s="74"/>
      <c r="C693" s="253">
        <f t="shared" si="4209"/>
        <v>0</v>
      </c>
      <c r="D693" s="74"/>
      <c r="E693" s="253">
        <f t="shared" si="4210"/>
        <v>0</v>
      </c>
      <c r="F693" s="74"/>
      <c r="G693" s="253">
        <f t="shared" si="4195"/>
        <v>0</v>
      </c>
      <c r="H693" s="74"/>
      <c r="I693" s="253">
        <f t="shared" si="4196"/>
        <v>0</v>
      </c>
      <c r="J693" s="74"/>
      <c r="K693" s="253">
        <f t="shared" si="4197"/>
        <v>0</v>
      </c>
      <c r="L693" s="74"/>
      <c r="M693" s="253">
        <f t="shared" si="4198"/>
        <v>0</v>
      </c>
      <c r="N693" s="74"/>
      <c r="O693" s="253">
        <f t="shared" si="4199"/>
        <v>0</v>
      </c>
      <c r="P693" s="74"/>
      <c r="Q693" s="253">
        <f t="shared" si="4200"/>
        <v>0</v>
      </c>
      <c r="R693" s="74"/>
      <c r="S693" s="253">
        <f t="shared" si="4201"/>
        <v>0</v>
      </c>
      <c r="T693" s="74"/>
      <c r="U693" s="253">
        <f t="shared" si="4202"/>
        <v>0</v>
      </c>
      <c r="V693" s="74"/>
      <c r="W693" s="253">
        <f t="shared" si="4203"/>
        <v>0</v>
      </c>
      <c r="X693" s="74"/>
      <c r="Y693" s="253">
        <f t="shared" si="4204"/>
        <v>0</v>
      </c>
      <c r="Z693" s="74"/>
      <c r="AA693" s="253">
        <f t="shared" si="4205"/>
        <v>0</v>
      </c>
      <c r="AB693" s="74"/>
      <c r="AC693" s="253">
        <f t="shared" si="4206"/>
        <v>0</v>
      </c>
      <c r="AD693" s="74"/>
      <c r="AE693" s="253">
        <f t="shared" si="4207"/>
        <v>0</v>
      </c>
      <c r="AF693" s="98"/>
      <c r="AG693" s="98"/>
    </row>
    <row r="694" spans="1:33" ht="18.75" customHeight="1" outlineLevel="1">
      <c r="A694" s="351" t="str">
        <f t="shared" si="4211"/>
        <v>WOVEN BAG (8102) - SKY BLUE 50KG</v>
      </c>
      <c r="B694" s="74"/>
      <c r="C694" s="253">
        <f t="shared" si="4209"/>
        <v>0</v>
      </c>
      <c r="D694" s="74"/>
      <c r="E694" s="253">
        <f t="shared" si="4210"/>
        <v>0</v>
      </c>
      <c r="F694" s="74"/>
      <c r="G694" s="253">
        <f t="shared" si="4195"/>
        <v>0</v>
      </c>
      <c r="H694" s="74"/>
      <c r="I694" s="253">
        <f t="shared" si="4196"/>
        <v>0</v>
      </c>
      <c r="J694" s="74"/>
      <c r="K694" s="253">
        <f t="shared" si="4197"/>
        <v>0</v>
      </c>
      <c r="L694" s="74"/>
      <c r="M694" s="253">
        <f t="shared" si="4198"/>
        <v>0</v>
      </c>
      <c r="N694" s="74"/>
      <c r="O694" s="253">
        <f t="shared" si="4199"/>
        <v>0</v>
      </c>
      <c r="P694" s="74"/>
      <c r="Q694" s="253">
        <f t="shared" si="4200"/>
        <v>0</v>
      </c>
      <c r="R694" s="74"/>
      <c r="S694" s="253">
        <f t="shared" si="4201"/>
        <v>0</v>
      </c>
      <c r="T694" s="74"/>
      <c r="U694" s="253">
        <f t="shared" si="4202"/>
        <v>0</v>
      </c>
      <c r="V694" s="74"/>
      <c r="W694" s="253">
        <f t="shared" si="4203"/>
        <v>0</v>
      </c>
      <c r="X694" s="74"/>
      <c r="Y694" s="253">
        <f t="shared" si="4204"/>
        <v>0</v>
      </c>
      <c r="Z694" s="74"/>
      <c r="AA694" s="253">
        <f t="shared" si="4205"/>
        <v>0</v>
      </c>
      <c r="AB694" s="74"/>
      <c r="AC694" s="253">
        <f t="shared" si="4206"/>
        <v>0</v>
      </c>
      <c r="AD694" s="74"/>
      <c r="AE694" s="253">
        <f t="shared" si="4207"/>
        <v>0</v>
      </c>
      <c r="AF694" s="98"/>
      <c r="AG694" s="98"/>
    </row>
    <row r="695" spans="1:33" ht="18.75" customHeight="1" outlineLevel="1">
      <c r="A695" s="351" t="str">
        <f t="shared" si="4211"/>
        <v>WOVEN BAG (8103) - BROWN 50KG</v>
      </c>
      <c r="B695" s="74"/>
      <c r="C695" s="253">
        <f t="shared" si="4209"/>
        <v>0</v>
      </c>
      <c r="D695" s="74"/>
      <c r="E695" s="253">
        <f t="shared" si="4210"/>
        <v>0</v>
      </c>
      <c r="F695" s="74"/>
      <c r="G695" s="253">
        <f t="shared" si="4195"/>
        <v>0</v>
      </c>
      <c r="H695" s="74"/>
      <c r="I695" s="253">
        <f t="shared" si="4196"/>
        <v>0</v>
      </c>
      <c r="J695" s="74"/>
      <c r="K695" s="253">
        <f t="shared" si="4197"/>
        <v>0</v>
      </c>
      <c r="L695" s="74"/>
      <c r="M695" s="253">
        <f t="shared" si="4198"/>
        <v>0</v>
      </c>
      <c r="N695" s="74"/>
      <c r="O695" s="253">
        <f t="shared" si="4199"/>
        <v>0</v>
      </c>
      <c r="P695" s="74"/>
      <c r="Q695" s="253">
        <f t="shared" si="4200"/>
        <v>0</v>
      </c>
      <c r="R695" s="74"/>
      <c r="S695" s="253">
        <f t="shared" si="4201"/>
        <v>0</v>
      </c>
      <c r="T695" s="74"/>
      <c r="U695" s="253">
        <f t="shared" si="4202"/>
        <v>0</v>
      </c>
      <c r="V695" s="74"/>
      <c r="W695" s="253">
        <f t="shared" si="4203"/>
        <v>0</v>
      </c>
      <c r="X695" s="74"/>
      <c r="Y695" s="253">
        <f t="shared" si="4204"/>
        <v>0</v>
      </c>
      <c r="Z695" s="74"/>
      <c r="AA695" s="253">
        <f t="shared" si="4205"/>
        <v>0</v>
      </c>
      <c r="AB695" s="74"/>
      <c r="AC695" s="253">
        <f t="shared" si="4206"/>
        <v>0</v>
      </c>
      <c r="AD695" s="74"/>
      <c r="AE695" s="253">
        <f t="shared" si="4207"/>
        <v>0</v>
      </c>
      <c r="AF695" s="98"/>
      <c r="AG695" s="98"/>
    </row>
    <row r="696" spans="1:33" ht="18.75" customHeight="1" outlineLevel="1">
      <c r="A696" s="351">
        <f t="shared" si="4211"/>
        <v>1</v>
      </c>
      <c r="B696" s="74"/>
      <c r="C696" s="253">
        <f t="shared" si="4209"/>
        <v>0</v>
      </c>
      <c r="D696" s="74"/>
      <c r="E696" s="253">
        <f t="shared" si="4210"/>
        <v>0</v>
      </c>
      <c r="F696" s="74"/>
      <c r="G696" s="253">
        <f t="shared" si="4195"/>
        <v>0</v>
      </c>
      <c r="H696" s="74"/>
      <c r="I696" s="253">
        <f t="shared" si="4196"/>
        <v>0</v>
      </c>
      <c r="J696" s="74"/>
      <c r="K696" s="253">
        <f t="shared" si="4197"/>
        <v>0</v>
      </c>
      <c r="L696" s="74"/>
      <c r="M696" s="253">
        <f t="shared" si="4198"/>
        <v>0</v>
      </c>
      <c r="N696" s="74"/>
      <c r="O696" s="253">
        <f t="shared" si="4199"/>
        <v>0</v>
      </c>
      <c r="P696" s="74"/>
      <c r="Q696" s="253">
        <f t="shared" si="4200"/>
        <v>0</v>
      </c>
      <c r="R696" s="74"/>
      <c r="S696" s="253">
        <f t="shared" si="4201"/>
        <v>0</v>
      </c>
      <c r="T696" s="74"/>
      <c r="U696" s="253">
        <f t="shared" si="4202"/>
        <v>0</v>
      </c>
      <c r="V696" s="74"/>
      <c r="W696" s="253">
        <f t="shared" si="4203"/>
        <v>0</v>
      </c>
      <c r="X696" s="74"/>
      <c r="Y696" s="253">
        <f t="shared" si="4204"/>
        <v>0</v>
      </c>
      <c r="Z696" s="74"/>
      <c r="AA696" s="253">
        <f t="shared" si="4205"/>
        <v>0</v>
      </c>
      <c r="AB696" s="74"/>
      <c r="AC696" s="253">
        <f t="shared" si="4206"/>
        <v>0</v>
      </c>
      <c r="AD696" s="74"/>
      <c r="AE696" s="253">
        <f t="shared" si="4207"/>
        <v>0</v>
      </c>
      <c r="AF696" s="98"/>
      <c r="AG696" s="98"/>
    </row>
    <row r="697" spans="1:33" ht="18.75" customHeight="1" outlineLevel="1">
      <c r="A697" s="351">
        <f t="shared" si="4211"/>
        <v>2</v>
      </c>
      <c r="B697" s="74"/>
      <c r="C697" s="253">
        <f t="shared" si="4209"/>
        <v>0</v>
      </c>
      <c r="D697" s="74"/>
      <c r="E697" s="253">
        <f t="shared" si="4210"/>
        <v>0</v>
      </c>
      <c r="F697" s="74"/>
      <c r="G697" s="253">
        <f t="shared" si="4195"/>
        <v>0</v>
      </c>
      <c r="H697" s="74"/>
      <c r="I697" s="253">
        <f t="shared" si="4196"/>
        <v>0</v>
      </c>
      <c r="J697" s="74"/>
      <c r="K697" s="253">
        <f t="shared" si="4197"/>
        <v>0</v>
      </c>
      <c r="L697" s="74"/>
      <c r="M697" s="253">
        <f t="shared" si="4198"/>
        <v>0</v>
      </c>
      <c r="N697" s="74"/>
      <c r="O697" s="253">
        <f t="shared" si="4199"/>
        <v>0</v>
      </c>
      <c r="P697" s="74"/>
      <c r="Q697" s="253">
        <f t="shared" si="4200"/>
        <v>0</v>
      </c>
      <c r="R697" s="74"/>
      <c r="S697" s="253">
        <f t="shared" si="4201"/>
        <v>0</v>
      </c>
      <c r="T697" s="74"/>
      <c r="U697" s="253">
        <f t="shared" si="4202"/>
        <v>0</v>
      </c>
      <c r="V697" s="74"/>
      <c r="W697" s="253">
        <f t="shared" si="4203"/>
        <v>0</v>
      </c>
      <c r="X697" s="74"/>
      <c r="Y697" s="253">
        <f t="shared" si="4204"/>
        <v>0</v>
      </c>
      <c r="Z697" s="74"/>
      <c r="AA697" s="253">
        <f t="shared" si="4205"/>
        <v>0</v>
      </c>
      <c r="AB697" s="74"/>
      <c r="AC697" s="253">
        <f t="shared" si="4206"/>
        <v>0</v>
      </c>
      <c r="AD697" s="74"/>
      <c r="AE697" s="253">
        <f t="shared" si="4207"/>
        <v>0</v>
      </c>
      <c r="AF697" s="98"/>
      <c r="AG697" s="98"/>
    </row>
    <row r="698" spans="1:33" ht="18.75" customHeight="1" outlineLevel="1">
      <c r="A698" s="351">
        <f t="shared" si="4211"/>
        <v>3</v>
      </c>
      <c r="B698" s="74"/>
      <c r="C698" s="253">
        <f t="shared" si="4209"/>
        <v>0</v>
      </c>
      <c r="D698" s="74"/>
      <c r="E698" s="253">
        <f t="shared" si="4210"/>
        <v>0</v>
      </c>
      <c r="F698" s="74"/>
      <c r="G698" s="253">
        <f t="shared" si="4195"/>
        <v>0</v>
      </c>
      <c r="H698" s="74"/>
      <c r="I698" s="253">
        <f t="shared" si="4196"/>
        <v>0</v>
      </c>
      <c r="J698" s="74"/>
      <c r="K698" s="253">
        <f t="shared" si="4197"/>
        <v>0</v>
      </c>
      <c r="L698" s="74"/>
      <c r="M698" s="253">
        <f t="shared" si="4198"/>
        <v>0</v>
      </c>
      <c r="N698" s="74"/>
      <c r="O698" s="253">
        <f t="shared" si="4199"/>
        <v>0</v>
      </c>
      <c r="P698" s="74"/>
      <c r="Q698" s="253">
        <f t="shared" si="4200"/>
        <v>0</v>
      </c>
      <c r="R698" s="74"/>
      <c r="S698" s="253">
        <f t="shared" si="4201"/>
        <v>0</v>
      </c>
      <c r="T698" s="74"/>
      <c r="U698" s="253">
        <f t="shared" si="4202"/>
        <v>0</v>
      </c>
      <c r="V698" s="74"/>
      <c r="W698" s="253">
        <f t="shared" si="4203"/>
        <v>0</v>
      </c>
      <c r="X698" s="74"/>
      <c r="Y698" s="253">
        <f t="shared" si="4204"/>
        <v>0</v>
      </c>
      <c r="Z698" s="74"/>
      <c r="AA698" s="253">
        <f t="shared" si="4205"/>
        <v>0</v>
      </c>
      <c r="AB698" s="74"/>
      <c r="AC698" s="253">
        <f t="shared" si="4206"/>
        <v>0</v>
      </c>
      <c r="AD698" s="74"/>
      <c r="AE698" s="253">
        <f t="shared" si="4207"/>
        <v>0</v>
      </c>
      <c r="AF698" s="98"/>
      <c r="AG698" s="98"/>
    </row>
    <row r="699" spans="1:33" ht="18.75" customHeight="1" outlineLevel="1">
      <c r="A699" s="351">
        <f t="shared" si="4211"/>
        <v>4</v>
      </c>
      <c r="B699" s="74"/>
      <c r="C699" s="253">
        <f t="shared" si="4209"/>
        <v>0</v>
      </c>
      <c r="D699" s="74"/>
      <c r="E699" s="253">
        <f t="shared" si="4210"/>
        <v>0</v>
      </c>
      <c r="F699" s="74"/>
      <c r="G699" s="253">
        <f t="shared" si="4195"/>
        <v>0</v>
      </c>
      <c r="H699" s="74"/>
      <c r="I699" s="253">
        <f t="shared" si="4196"/>
        <v>0</v>
      </c>
      <c r="J699" s="74"/>
      <c r="K699" s="253">
        <f t="shared" si="4197"/>
        <v>0</v>
      </c>
      <c r="L699" s="74"/>
      <c r="M699" s="253">
        <f t="shared" si="4198"/>
        <v>0</v>
      </c>
      <c r="N699" s="74"/>
      <c r="O699" s="253">
        <f t="shared" si="4199"/>
        <v>0</v>
      </c>
      <c r="P699" s="74"/>
      <c r="Q699" s="253">
        <f t="shared" si="4200"/>
        <v>0</v>
      </c>
      <c r="R699" s="74"/>
      <c r="S699" s="253">
        <f t="shared" si="4201"/>
        <v>0</v>
      </c>
      <c r="T699" s="74"/>
      <c r="U699" s="253">
        <f t="shared" si="4202"/>
        <v>0</v>
      </c>
      <c r="V699" s="74"/>
      <c r="W699" s="253">
        <f t="shared" si="4203"/>
        <v>0</v>
      </c>
      <c r="X699" s="74"/>
      <c r="Y699" s="253">
        <f t="shared" si="4204"/>
        <v>0</v>
      </c>
      <c r="Z699" s="74"/>
      <c r="AA699" s="253">
        <f t="shared" si="4205"/>
        <v>0</v>
      </c>
      <c r="AB699" s="74"/>
      <c r="AC699" s="253">
        <f t="shared" si="4206"/>
        <v>0</v>
      </c>
      <c r="AD699" s="74"/>
      <c r="AE699" s="253">
        <f t="shared" si="4207"/>
        <v>0</v>
      </c>
      <c r="AF699" s="98"/>
      <c r="AG699" s="98"/>
    </row>
    <row r="700" spans="1:33" ht="18.75" customHeight="1" outlineLevel="1">
      <c r="A700" s="351">
        <f t="shared" si="4211"/>
        <v>5</v>
      </c>
      <c r="B700" s="74"/>
      <c r="C700" s="253">
        <f t="shared" si="4209"/>
        <v>0</v>
      </c>
      <c r="D700" s="74"/>
      <c r="E700" s="253">
        <f t="shared" si="4210"/>
        <v>0</v>
      </c>
      <c r="F700" s="74"/>
      <c r="G700" s="253">
        <f t="shared" si="4195"/>
        <v>0</v>
      </c>
      <c r="H700" s="74"/>
      <c r="I700" s="253">
        <f t="shared" si="4196"/>
        <v>0</v>
      </c>
      <c r="J700" s="74"/>
      <c r="K700" s="253">
        <f t="shared" si="4197"/>
        <v>0</v>
      </c>
      <c r="L700" s="74"/>
      <c r="M700" s="253">
        <f t="shared" si="4198"/>
        <v>0</v>
      </c>
      <c r="N700" s="74"/>
      <c r="O700" s="253">
        <f t="shared" si="4199"/>
        <v>0</v>
      </c>
      <c r="P700" s="74"/>
      <c r="Q700" s="253">
        <f t="shared" si="4200"/>
        <v>0</v>
      </c>
      <c r="R700" s="74"/>
      <c r="S700" s="253">
        <f t="shared" si="4201"/>
        <v>0</v>
      </c>
      <c r="T700" s="74"/>
      <c r="U700" s="253">
        <f t="shared" si="4202"/>
        <v>0</v>
      </c>
      <c r="V700" s="74"/>
      <c r="W700" s="253">
        <f t="shared" si="4203"/>
        <v>0</v>
      </c>
      <c r="X700" s="74"/>
      <c r="Y700" s="253">
        <f t="shared" si="4204"/>
        <v>0</v>
      </c>
      <c r="Z700" s="74"/>
      <c r="AA700" s="253">
        <f t="shared" si="4205"/>
        <v>0</v>
      </c>
      <c r="AB700" s="74"/>
      <c r="AC700" s="253">
        <f t="shared" si="4206"/>
        <v>0</v>
      </c>
      <c r="AD700" s="74"/>
      <c r="AE700" s="253">
        <f t="shared" si="4207"/>
        <v>0</v>
      </c>
      <c r="AF700" s="98"/>
      <c r="AG700" s="98"/>
    </row>
    <row r="701" spans="1:33" ht="18.75" customHeight="1" outlineLevel="1">
      <c r="A701" s="351">
        <f t="shared" si="4211"/>
        <v>6</v>
      </c>
      <c r="B701" s="74"/>
      <c r="C701" s="253">
        <f t="shared" si="4209"/>
        <v>0</v>
      </c>
      <c r="D701" s="74"/>
      <c r="E701" s="253">
        <f t="shared" si="4210"/>
        <v>0</v>
      </c>
      <c r="F701" s="74"/>
      <c r="G701" s="253">
        <f t="shared" si="4195"/>
        <v>0</v>
      </c>
      <c r="H701" s="74"/>
      <c r="I701" s="253">
        <f t="shared" si="4196"/>
        <v>0</v>
      </c>
      <c r="J701" s="74"/>
      <c r="K701" s="253">
        <f t="shared" si="4197"/>
        <v>0</v>
      </c>
      <c r="L701" s="74"/>
      <c r="M701" s="253">
        <f t="shared" si="4198"/>
        <v>0</v>
      </c>
      <c r="N701" s="74"/>
      <c r="O701" s="253">
        <f t="shared" si="4199"/>
        <v>0</v>
      </c>
      <c r="P701" s="74"/>
      <c r="Q701" s="253">
        <f t="shared" si="4200"/>
        <v>0</v>
      </c>
      <c r="R701" s="74"/>
      <c r="S701" s="253">
        <f t="shared" si="4201"/>
        <v>0</v>
      </c>
      <c r="T701" s="74"/>
      <c r="U701" s="253">
        <f t="shared" si="4202"/>
        <v>0</v>
      </c>
      <c r="V701" s="74"/>
      <c r="W701" s="253">
        <f t="shared" si="4203"/>
        <v>0</v>
      </c>
      <c r="X701" s="74"/>
      <c r="Y701" s="253">
        <f t="shared" si="4204"/>
        <v>0</v>
      </c>
      <c r="Z701" s="74"/>
      <c r="AA701" s="253">
        <f t="shared" si="4205"/>
        <v>0</v>
      </c>
      <c r="AB701" s="74"/>
      <c r="AC701" s="253">
        <f t="shared" si="4206"/>
        <v>0</v>
      </c>
      <c r="AD701" s="74"/>
      <c r="AE701" s="253">
        <f t="shared" si="4207"/>
        <v>0</v>
      </c>
      <c r="AF701" s="98"/>
      <c r="AG701" s="98"/>
    </row>
    <row r="702" spans="1:33" ht="18.75" customHeight="1" outlineLevel="1">
      <c r="A702" s="351">
        <f t="shared" si="4211"/>
        <v>7</v>
      </c>
      <c r="B702" s="74"/>
      <c r="C702" s="253">
        <f t="shared" si="4209"/>
        <v>0</v>
      </c>
      <c r="D702" s="74"/>
      <c r="E702" s="253">
        <f t="shared" si="4210"/>
        <v>0</v>
      </c>
      <c r="F702" s="74"/>
      <c r="G702" s="253">
        <f t="shared" si="4195"/>
        <v>0</v>
      </c>
      <c r="H702" s="74"/>
      <c r="I702" s="253">
        <f t="shared" si="4196"/>
        <v>0</v>
      </c>
      <c r="J702" s="74"/>
      <c r="K702" s="253">
        <f t="shared" si="4197"/>
        <v>0</v>
      </c>
      <c r="L702" s="74"/>
      <c r="M702" s="253">
        <f t="shared" si="4198"/>
        <v>0</v>
      </c>
      <c r="N702" s="74"/>
      <c r="O702" s="253">
        <f t="shared" si="4199"/>
        <v>0</v>
      </c>
      <c r="P702" s="74"/>
      <c r="Q702" s="253">
        <f t="shared" si="4200"/>
        <v>0</v>
      </c>
      <c r="R702" s="74"/>
      <c r="S702" s="253">
        <f t="shared" si="4201"/>
        <v>0</v>
      </c>
      <c r="T702" s="74"/>
      <c r="U702" s="253">
        <f t="shared" si="4202"/>
        <v>0</v>
      </c>
      <c r="V702" s="74"/>
      <c r="W702" s="253">
        <f t="shared" si="4203"/>
        <v>0</v>
      </c>
      <c r="X702" s="74"/>
      <c r="Y702" s="253">
        <f t="shared" si="4204"/>
        <v>0</v>
      </c>
      <c r="Z702" s="74"/>
      <c r="AA702" s="253">
        <f t="shared" si="4205"/>
        <v>0</v>
      </c>
      <c r="AB702" s="74"/>
      <c r="AC702" s="253">
        <f t="shared" si="4206"/>
        <v>0</v>
      </c>
      <c r="AD702" s="74"/>
      <c r="AE702" s="253">
        <f t="shared" si="4207"/>
        <v>0</v>
      </c>
      <c r="AF702" s="98"/>
      <c r="AG702" s="98"/>
    </row>
    <row r="703" spans="1:33" ht="18.75" customHeight="1" outlineLevel="1">
      <c r="A703" s="351">
        <f t="shared" si="4211"/>
        <v>8</v>
      </c>
      <c r="B703" s="357"/>
      <c r="C703" s="349">
        <f t="shared" si="4209"/>
        <v>0</v>
      </c>
      <c r="D703" s="357"/>
      <c r="E703" s="349">
        <f t="shared" si="4210"/>
        <v>0</v>
      </c>
      <c r="F703" s="357"/>
      <c r="G703" s="349">
        <f t="shared" ref="G703" si="4212">(F703/100)*1000</f>
        <v>0</v>
      </c>
      <c r="H703" s="357"/>
      <c r="I703" s="349">
        <f t="shared" ref="I703" si="4213">(H703/100)*1000</f>
        <v>0</v>
      </c>
      <c r="J703" s="357"/>
      <c r="K703" s="349">
        <f t="shared" ref="K703" si="4214">(J703/100)*1000</f>
        <v>0</v>
      </c>
      <c r="L703" s="357"/>
      <c r="M703" s="349">
        <f t="shared" ref="M703" si="4215">(L703/100)*1000</f>
        <v>0</v>
      </c>
      <c r="N703" s="357"/>
      <c r="O703" s="349">
        <f t="shared" ref="O703" si="4216">(N703/100)*1000</f>
        <v>0</v>
      </c>
      <c r="P703" s="357"/>
      <c r="Q703" s="349">
        <f t="shared" ref="Q703" si="4217">(P703/100)*1000</f>
        <v>0</v>
      </c>
      <c r="R703" s="357"/>
      <c r="S703" s="349">
        <f t="shared" ref="S703" si="4218">(R703/100)*1000</f>
        <v>0</v>
      </c>
      <c r="T703" s="357"/>
      <c r="U703" s="349">
        <f t="shared" ref="U703" si="4219">(T703/100)*1000</f>
        <v>0</v>
      </c>
      <c r="V703" s="357"/>
      <c r="W703" s="349">
        <f t="shared" ref="W703" si="4220">(V703/100)*1000</f>
        <v>0</v>
      </c>
      <c r="X703" s="357"/>
      <c r="Y703" s="349">
        <f t="shared" ref="Y703" si="4221">(X703/100)*1000</f>
        <v>0</v>
      </c>
      <c r="Z703" s="357"/>
      <c r="AA703" s="349">
        <f t="shared" ref="AA703" si="4222">(Z703/100)*1000</f>
        <v>0</v>
      </c>
      <c r="AB703" s="357"/>
      <c r="AC703" s="349">
        <f t="shared" ref="AC703" si="4223">(AB703/100)*1000</f>
        <v>0</v>
      </c>
      <c r="AD703" s="357"/>
      <c r="AE703" s="349">
        <f t="shared" ref="AE703" si="4224">(AD703/100)*1000</f>
        <v>0</v>
      </c>
      <c r="AF703" s="98"/>
      <c r="AG703" s="98"/>
    </row>
    <row r="704" spans="1:33" ht="18.75" customHeight="1" outlineLevel="1" thickBot="1">
      <c r="A704" s="369" t="s">
        <v>72</v>
      </c>
      <c r="B704" s="355">
        <f>SUM(B622:B703)</f>
        <v>100.00000000000001</v>
      </c>
      <c r="C704" s="371">
        <f>SUM(C622:C703)</f>
        <v>999.99999999999989</v>
      </c>
      <c r="D704" s="355">
        <f>SUM(D622:D703)</f>
        <v>99.999999999999986</v>
      </c>
      <c r="E704" s="371">
        <f>SUM(E622:E703)</f>
        <v>999.99999999999989</v>
      </c>
      <c r="F704" s="355">
        <f t="shared" ref="F704:AE704" si="4225">SUM(F622:F672)</f>
        <v>100.00000000000001</v>
      </c>
      <c r="G704" s="371">
        <f t="shared" si="4225"/>
        <v>1000</v>
      </c>
      <c r="H704" s="355">
        <f t="shared" si="4225"/>
        <v>100</v>
      </c>
      <c r="I704" s="371">
        <f t="shared" si="4225"/>
        <v>1000</v>
      </c>
      <c r="J704" s="355">
        <f t="shared" si="4225"/>
        <v>0</v>
      </c>
      <c r="K704" s="371">
        <f t="shared" si="4225"/>
        <v>0</v>
      </c>
      <c r="L704" s="355">
        <f t="shared" si="4225"/>
        <v>0</v>
      </c>
      <c r="M704" s="371">
        <f t="shared" si="4225"/>
        <v>0</v>
      </c>
      <c r="N704" s="355">
        <f t="shared" si="4225"/>
        <v>0</v>
      </c>
      <c r="O704" s="371">
        <f t="shared" si="4225"/>
        <v>0</v>
      </c>
      <c r="P704" s="355">
        <f t="shared" si="4225"/>
        <v>0</v>
      </c>
      <c r="Q704" s="371">
        <f t="shared" si="4225"/>
        <v>0</v>
      </c>
      <c r="R704" s="355">
        <f t="shared" si="4225"/>
        <v>0</v>
      </c>
      <c r="S704" s="371">
        <f t="shared" si="4225"/>
        <v>0</v>
      </c>
      <c r="T704" s="355">
        <f t="shared" si="4225"/>
        <v>0</v>
      </c>
      <c r="U704" s="371">
        <f t="shared" si="4225"/>
        <v>0</v>
      </c>
      <c r="V704" s="355">
        <f t="shared" si="4225"/>
        <v>0</v>
      </c>
      <c r="W704" s="371">
        <f t="shared" si="4225"/>
        <v>0</v>
      </c>
      <c r="X704" s="355">
        <f t="shared" si="4225"/>
        <v>0</v>
      </c>
      <c r="Y704" s="371">
        <f t="shared" si="4225"/>
        <v>0</v>
      </c>
      <c r="Z704" s="355">
        <f t="shared" si="4225"/>
        <v>0</v>
      </c>
      <c r="AA704" s="371">
        <f t="shared" si="4225"/>
        <v>0</v>
      </c>
      <c r="AB704" s="355">
        <f t="shared" si="4225"/>
        <v>0</v>
      </c>
      <c r="AC704" s="371">
        <f t="shared" si="4225"/>
        <v>0</v>
      </c>
      <c r="AD704" s="355">
        <f t="shared" si="4225"/>
        <v>0</v>
      </c>
      <c r="AE704" s="371">
        <f t="shared" si="4225"/>
        <v>0</v>
      </c>
      <c r="AF704" s="98"/>
      <c r="AG704" s="98"/>
    </row>
    <row r="705" spans="1:33" ht="15" customHeight="1">
      <c r="A705" s="286"/>
      <c r="B705" s="98"/>
      <c r="C705" s="98"/>
      <c r="D705" s="98"/>
      <c r="E705" s="98"/>
      <c r="F705" s="98"/>
      <c r="G705" s="98"/>
      <c r="H705" s="98"/>
      <c r="I705" s="98"/>
      <c r="J705" s="98"/>
      <c r="K705" s="98"/>
      <c r="L705" s="98"/>
      <c r="M705" s="98"/>
      <c r="N705" s="98"/>
      <c r="O705" s="98"/>
      <c r="P705" s="98"/>
      <c r="Q705" s="98"/>
      <c r="R705" s="98"/>
      <c r="S705" s="98"/>
      <c r="T705" s="98"/>
      <c r="U705" s="98"/>
      <c r="V705" s="98"/>
      <c r="W705" s="98"/>
      <c r="X705" s="98"/>
      <c r="Y705" s="98"/>
      <c r="Z705" s="98"/>
      <c r="AA705" s="98"/>
      <c r="AB705" s="98"/>
      <c r="AC705" s="98"/>
      <c r="AD705" s="98"/>
      <c r="AE705" s="98"/>
      <c r="AF705" s="98"/>
      <c r="AG705" s="98"/>
    </row>
    <row r="706" spans="1:33" ht="15" customHeight="1">
      <c r="A706" s="286"/>
      <c r="B706" s="98"/>
      <c r="C706" s="98"/>
      <c r="D706" s="98"/>
      <c r="E706" s="98"/>
      <c r="F706" s="98"/>
      <c r="G706" s="98"/>
      <c r="H706" s="98"/>
      <c r="I706" s="98"/>
      <c r="J706" s="98"/>
      <c r="K706" s="98"/>
      <c r="L706" s="98"/>
      <c r="M706" s="98"/>
      <c r="N706" s="98"/>
      <c r="O706" s="98"/>
      <c r="P706" s="98"/>
      <c r="Q706" s="98"/>
      <c r="R706" s="98"/>
      <c r="S706" s="98"/>
      <c r="T706" s="98"/>
      <c r="U706" s="98"/>
      <c r="V706" s="98"/>
      <c r="W706" s="98"/>
      <c r="X706" s="98"/>
      <c r="Y706" s="98"/>
      <c r="Z706" s="98"/>
      <c r="AA706" s="98"/>
      <c r="AB706" s="98"/>
      <c r="AC706" s="98"/>
      <c r="AD706" s="98"/>
      <c r="AE706" s="98"/>
      <c r="AF706" s="98"/>
      <c r="AG706" s="98"/>
    </row>
    <row r="707" spans="1:33" ht="15" customHeight="1">
      <c r="A707" s="286"/>
      <c r="B707" s="98"/>
      <c r="C707" s="98"/>
      <c r="D707" s="98"/>
      <c r="E707" s="98"/>
      <c r="F707" s="98"/>
      <c r="G707" s="98"/>
      <c r="H707" s="98"/>
      <c r="I707" s="98"/>
      <c r="J707" s="98"/>
      <c r="K707" s="98"/>
      <c r="L707" s="98"/>
      <c r="M707" s="98"/>
      <c r="N707" s="98"/>
      <c r="O707" s="98"/>
      <c r="P707" s="98"/>
      <c r="Q707" s="98"/>
      <c r="R707" s="98"/>
      <c r="S707" s="98"/>
      <c r="T707" s="98"/>
      <c r="U707" s="98"/>
      <c r="V707" s="98"/>
      <c r="W707" s="98"/>
      <c r="X707" s="98"/>
      <c r="Y707" s="98"/>
      <c r="Z707" s="98"/>
      <c r="AA707" s="98"/>
      <c r="AB707" s="98"/>
      <c r="AC707" s="98"/>
      <c r="AD707" s="98"/>
      <c r="AE707" s="98"/>
      <c r="AF707" s="98"/>
      <c r="AG707" s="98"/>
    </row>
    <row r="708" spans="1:33" ht="15" customHeight="1">
      <c r="A708" s="286"/>
      <c r="B708" s="98"/>
      <c r="C708" s="98"/>
      <c r="D708" s="98"/>
      <c r="E708" s="98"/>
      <c r="F708" s="98"/>
      <c r="G708" s="98"/>
      <c r="H708" s="98"/>
      <c r="I708" s="98"/>
      <c r="J708" s="98"/>
      <c r="K708" s="98"/>
      <c r="L708" s="98"/>
      <c r="M708" s="98"/>
      <c r="N708" s="98"/>
      <c r="O708" s="98"/>
      <c r="P708" s="98"/>
      <c r="Q708" s="98"/>
      <c r="R708" s="98"/>
      <c r="S708" s="98"/>
      <c r="T708" s="98"/>
      <c r="U708" s="98"/>
      <c r="V708" s="98"/>
      <c r="W708" s="98"/>
      <c r="X708" s="98"/>
      <c r="Y708" s="98"/>
      <c r="Z708" s="98"/>
      <c r="AA708" s="98"/>
      <c r="AB708" s="98"/>
      <c r="AC708" s="98"/>
      <c r="AD708" s="98"/>
      <c r="AE708" s="98"/>
      <c r="AF708" s="98"/>
      <c r="AG708" s="98"/>
    </row>
    <row r="709" spans="1:33" ht="15" customHeight="1">
      <c r="A709" s="286"/>
      <c r="B709" s="98"/>
      <c r="C709" s="98"/>
      <c r="D709" s="98"/>
      <c r="E709" s="98"/>
      <c r="F709" s="98"/>
      <c r="G709" s="98"/>
      <c r="H709" s="98"/>
      <c r="I709" s="98"/>
      <c r="J709" s="98"/>
      <c r="K709" s="98"/>
      <c r="L709" s="98"/>
      <c r="M709" s="98"/>
      <c r="N709" s="98"/>
      <c r="O709" s="98"/>
      <c r="P709" s="98"/>
      <c r="Q709" s="98"/>
      <c r="R709" s="98"/>
      <c r="S709" s="98"/>
      <c r="T709" s="98"/>
      <c r="U709" s="98"/>
      <c r="V709" s="98"/>
      <c r="W709" s="98"/>
      <c r="X709" s="98"/>
      <c r="Y709" s="98"/>
      <c r="Z709" s="98"/>
      <c r="AA709" s="98"/>
      <c r="AB709" s="98"/>
      <c r="AC709" s="98"/>
      <c r="AD709" s="98"/>
      <c r="AE709" s="98"/>
      <c r="AF709" s="98"/>
      <c r="AG709" s="98"/>
    </row>
    <row r="710" spans="1:33" ht="15" customHeight="1">
      <c r="A710" s="286"/>
      <c r="B710" s="98"/>
      <c r="C710" s="98"/>
      <c r="D710" s="98"/>
      <c r="E710" s="98"/>
      <c r="F710" s="98"/>
      <c r="G710" s="98"/>
      <c r="H710" s="98"/>
      <c r="I710" s="98"/>
      <c r="J710" s="98"/>
      <c r="K710" s="98"/>
      <c r="L710" s="98"/>
      <c r="M710" s="98"/>
      <c r="N710" s="98"/>
      <c r="O710" s="98"/>
      <c r="P710" s="98"/>
      <c r="Q710" s="98"/>
      <c r="R710" s="98"/>
      <c r="S710" s="98"/>
      <c r="T710" s="98"/>
      <c r="U710" s="98"/>
      <c r="V710" s="98"/>
      <c r="W710" s="98"/>
      <c r="X710" s="98"/>
      <c r="Y710" s="98"/>
      <c r="Z710" s="98"/>
      <c r="AA710" s="98"/>
      <c r="AB710" s="98"/>
      <c r="AC710" s="98"/>
      <c r="AD710" s="98"/>
      <c r="AE710" s="98"/>
      <c r="AF710" s="98"/>
      <c r="AG710" s="98"/>
    </row>
    <row r="711" spans="1:33" ht="15" customHeight="1">
      <c r="A711" s="286"/>
      <c r="B711" s="98"/>
      <c r="C711" s="98"/>
      <c r="D711" s="98"/>
      <c r="E711" s="98"/>
      <c r="F711" s="98"/>
      <c r="G711" s="98"/>
      <c r="H711" s="98"/>
      <c r="I711" s="98"/>
      <c r="J711" s="98"/>
      <c r="K711" s="98"/>
      <c r="L711" s="98"/>
      <c r="M711" s="98"/>
      <c r="N711" s="98"/>
      <c r="O711" s="98"/>
      <c r="P711" s="98"/>
      <c r="Q711" s="98"/>
      <c r="R711" s="98"/>
      <c r="S711" s="98"/>
      <c r="T711" s="98"/>
      <c r="U711" s="98"/>
      <c r="V711" s="98"/>
      <c r="W711" s="98"/>
      <c r="X711" s="98"/>
      <c r="Y711" s="98"/>
      <c r="Z711" s="98"/>
      <c r="AA711" s="98"/>
      <c r="AB711" s="98"/>
      <c r="AC711" s="98"/>
      <c r="AD711" s="98"/>
      <c r="AE711" s="98"/>
      <c r="AF711" s="98"/>
      <c r="AG711" s="98"/>
    </row>
    <row r="712" spans="1:33" ht="15" customHeight="1">
      <c r="A712" s="286"/>
      <c r="B712" s="98"/>
      <c r="C712" s="98"/>
      <c r="D712" s="98"/>
      <c r="E712" s="98"/>
      <c r="F712" s="98"/>
      <c r="G712" s="98"/>
      <c r="H712" s="98"/>
      <c r="I712" s="98"/>
      <c r="J712" s="98"/>
      <c r="K712" s="98"/>
      <c r="L712" s="98"/>
      <c r="M712" s="98"/>
      <c r="N712" s="98"/>
      <c r="O712" s="98"/>
      <c r="P712" s="98"/>
      <c r="Q712" s="98"/>
      <c r="R712" s="98"/>
      <c r="S712" s="98"/>
      <c r="T712" s="98"/>
      <c r="U712" s="98"/>
      <c r="V712" s="98"/>
      <c r="W712" s="98"/>
      <c r="X712" s="98"/>
      <c r="Y712" s="98"/>
      <c r="Z712" s="98"/>
      <c r="AA712" s="98"/>
      <c r="AB712" s="98"/>
      <c r="AC712" s="98"/>
      <c r="AD712" s="98"/>
      <c r="AE712" s="98"/>
      <c r="AF712" s="98"/>
      <c r="AG712" s="98"/>
    </row>
    <row r="713" spans="1:33" ht="15" customHeight="1">
      <c r="A713" s="286"/>
      <c r="B713" s="98"/>
      <c r="C713" s="98"/>
      <c r="D713" s="98"/>
      <c r="E713" s="98"/>
      <c r="F713" s="98"/>
      <c r="G713" s="98"/>
      <c r="H713" s="98"/>
      <c r="I713" s="98"/>
      <c r="J713" s="98"/>
      <c r="K713" s="98"/>
      <c r="L713" s="98"/>
      <c r="M713" s="98"/>
      <c r="N713" s="98"/>
      <c r="O713" s="98"/>
      <c r="P713" s="98"/>
      <c r="Q713" s="98"/>
      <c r="R713" s="98"/>
      <c r="S713" s="98"/>
      <c r="T713" s="98"/>
      <c r="U713" s="98"/>
      <c r="V713" s="98"/>
      <c r="W713" s="98"/>
      <c r="X713" s="98"/>
      <c r="Y713" s="98"/>
      <c r="Z713" s="98"/>
      <c r="AA713" s="98"/>
      <c r="AB713" s="98"/>
      <c r="AC713" s="98"/>
      <c r="AD713" s="98"/>
      <c r="AE713" s="98"/>
      <c r="AF713" s="98"/>
      <c r="AG713" s="98"/>
    </row>
    <row r="714" spans="1:33" ht="15" customHeight="1">
      <c r="A714" s="286"/>
      <c r="B714" s="98"/>
      <c r="C714" s="98"/>
      <c r="D714" s="98"/>
      <c r="E714" s="98"/>
      <c r="F714" s="98"/>
      <c r="G714" s="98"/>
      <c r="H714" s="98"/>
      <c r="I714" s="98"/>
      <c r="J714" s="98"/>
      <c r="K714" s="98"/>
      <c r="L714" s="98"/>
      <c r="M714" s="98"/>
      <c r="N714" s="98"/>
      <c r="O714" s="98"/>
      <c r="P714" s="98"/>
      <c r="Q714" s="98"/>
      <c r="R714" s="98"/>
      <c r="S714" s="98"/>
      <c r="T714" s="98"/>
      <c r="U714" s="98"/>
      <c r="V714" s="98"/>
      <c r="W714" s="98"/>
      <c r="X714" s="98"/>
      <c r="Y714" s="98"/>
      <c r="Z714" s="98"/>
      <c r="AA714" s="98"/>
      <c r="AB714" s="98"/>
      <c r="AC714" s="98"/>
      <c r="AD714" s="98"/>
      <c r="AE714" s="98"/>
      <c r="AF714" s="98"/>
      <c r="AG714" s="98"/>
    </row>
    <row r="715" spans="1:33" ht="15" customHeight="1">
      <c r="A715" s="286"/>
      <c r="B715" s="98"/>
      <c r="C715" s="98"/>
      <c r="D715" s="98"/>
      <c r="E715" s="98"/>
      <c r="F715" s="98"/>
      <c r="G715" s="98"/>
      <c r="H715" s="98"/>
      <c r="I715" s="98"/>
      <c r="J715" s="98"/>
      <c r="K715" s="98"/>
      <c r="L715" s="98"/>
      <c r="M715" s="98"/>
      <c r="N715" s="98"/>
      <c r="O715" s="98"/>
      <c r="P715" s="98"/>
      <c r="Q715" s="98"/>
      <c r="R715" s="98"/>
      <c r="S715" s="98"/>
      <c r="T715" s="98"/>
      <c r="U715" s="98"/>
      <c r="V715" s="98"/>
      <c r="W715" s="98"/>
      <c r="X715" s="98"/>
      <c r="Y715" s="98"/>
      <c r="Z715" s="98"/>
      <c r="AA715" s="98"/>
      <c r="AB715" s="98"/>
      <c r="AC715" s="98"/>
      <c r="AD715" s="98"/>
      <c r="AE715" s="98"/>
      <c r="AF715" s="98"/>
      <c r="AG715" s="98"/>
    </row>
    <row r="716" spans="1:33" ht="15" customHeight="1">
      <c r="A716" s="286"/>
      <c r="B716" s="98"/>
      <c r="C716" s="98"/>
      <c r="D716" s="98"/>
      <c r="E716" s="98"/>
      <c r="F716" s="98"/>
      <c r="G716" s="98"/>
      <c r="H716" s="98"/>
      <c r="I716" s="98"/>
      <c r="J716" s="98"/>
      <c r="K716" s="98"/>
      <c r="L716" s="98"/>
      <c r="M716" s="98"/>
      <c r="N716" s="98"/>
      <c r="O716" s="98"/>
      <c r="P716" s="98"/>
      <c r="Q716" s="98"/>
      <c r="R716" s="98"/>
      <c r="S716" s="98"/>
      <c r="T716" s="98"/>
      <c r="U716" s="98"/>
      <c r="V716" s="98"/>
      <c r="W716" s="98"/>
      <c r="X716" s="98"/>
      <c r="Y716" s="98"/>
      <c r="Z716" s="98"/>
      <c r="AA716" s="98"/>
      <c r="AB716" s="98"/>
      <c r="AC716" s="98"/>
      <c r="AD716" s="98"/>
      <c r="AE716" s="98"/>
      <c r="AF716" s="98"/>
      <c r="AG716" s="98"/>
    </row>
    <row r="717" spans="1:33" ht="15" customHeight="1">
      <c r="A717" s="286"/>
      <c r="B717" s="98"/>
      <c r="C717" s="98"/>
      <c r="D717" s="98"/>
      <c r="E717" s="98"/>
      <c r="F717" s="98"/>
      <c r="G717" s="98"/>
      <c r="H717" s="98"/>
      <c r="I717" s="98"/>
      <c r="J717" s="98"/>
      <c r="K717" s="98"/>
      <c r="L717" s="98"/>
      <c r="M717" s="98"/>
      <c r="N717" s="98"/>
      <c r="O717" s="98"/>
      <c r="P717" s="98"/>
      <c r="Q717" s="98"/>
      <c r="R717" s="98"/>
      <c r="S717" s="98"/>
      <c r="T717" s="98"/>
      <c r="U717" s="98"/>
      <c r="V717" s="98"/>
      <c r="W717" s="98"/>
      <c r="X717" s="98"/>
      <c r="Y717" s="98"/>
      <c r="Z717" s="98"/>
      <c r="AA717" s="98"/>
      <c r="AB717" s="98"/>
      <c r="AC717" s="98"/>
      <c r="AD717" s="98"/>
      <c r="AE717" s="98"/>
      <c r="AF717" s="98"/>
      <c r="AG717" s="98"/>
    </row>
    <row r="718" spans="1:33" ht="15" customHeight="1">
      <c r="A718" s="286"/>
      <c r="B718" s="98"/>
      <c r="C718" s="98"/>
      <c r="D718" s="98"/>
      <c r="E718" s="98"/>
      <c r="F718" s="98"/>
      <c r="G718" s="98"/>
      <c r="H718" s="98"/>
      <c r="I718" s="98"/>
      <c r="J718" s="98"/>
      <c r="K718" s="98"/>
      <c r="L718" s="98"/>
      <c r="M718" s="98"/>
      <c r="N718" s="98"/>
      <c r="O718" s="98"/>
      <c r="P718" s="98"/>
      <c r="Q718" s="98"/>
      <c r="R718" s="98"/>
      <c r="S718" s="98"/>
      <c r="T718" s="98"/>
      <c r="U718" s="98"/>
      <c r="V718" s="98"/>
      <c r="W718" s="98"/>
      <c r="X718" s="98"/>
      <c r="Y718" s="98"/>
      <c r="Z718" s="98"/>
      <c r="AA718" s="98"/>
      <c r="AB718" s="98"/>
      <c r="AC718" s="98"/>
      <c r="AD718" s="98"/>
      <c r="AE718" s="98"/>
      <c r="AF718" s="98"/>
      <c r="AG718" s="98"/>
    </row>
    <row r="719" spans="1:33" ht="15" customHeight="1">
      <c r="A719" s="286"/>
      <c r="B719" s="98"/>
      <c r="C719" s="98"/>
      <c r="D719" s="98"/>
      <c r="E719" s="98"/>
      <c r="F719" s="98"/>
      <c r="G719" s="98"/>
      <c r="H719" s="98"/>
      <c r="I719" s="98"/>
      <c r="J719" s="98"/>
      <c r="K719" s="98"/>
      <c r="L719" s="98"/>
      <c r="M719" s="98"/>
      <c r="N719" s="98"/>
      <c r="O719" s="98"/>
      <c r="P719" s="98"/>
      <c r="Q719" s="98"/>
      <c r="R719" s="98"/>
      <c r="S719" s="98"/>
      <c r="T719" s="98"/>
      <c r="U719" s="98"/>
      <c r="V719" s="98"/>
      <c r="W719" s="98"/>
      <c r="X719" s="98"/>
      <c r="Y719" s="98"/>
      <c r="Z719" s="98"/>
      <c r="AA719" s="98"/>
      <c r="AB719" s="98"/>
      <c r="AC719" s="98"/>
      <c r="AD719" s="98"/>
      <c r="AE719" s="98"/>
      <c r="AF719" s="98"/>
      <c r="AG719" s="98"/>
    </row>
    <row r="720" spans="1:33" ht="15" customHeight="1">
      <c r="A720" s="286"/>
      <c r="B720" s="98"/>
      <c r="C720" s="98"/>
      <c r="D720" s="98"/>
      <c r="E720" s="98"/>
      <c r="F720" s="98"/>
      <c r="G720" s="98"/>
      <c r="H720" s="98"/>
      <c r="I720" s="98"/>
      <c r="J720" s="98"/>
      <c r="K720" s="98"/>
      <c r="L720" s="98"/>
      <c r="M720" s="98"/>
      <c r="N720" s="98"/>
      <c r="O720" s="98"/>
      <c r="P720" s="98"/>
      <c r="Q720" s="98"/>
      <c r="R720" s="98"/>
      <c r="S720" s="98"/>
      <c r="T720" s="98"/>
      <c r="U720" s="98"/>
      <c r="V720" s="98"/>
      <c r="W720" s="98"/>
      <c r="X720" s="98"/>
      <c r="Y720" s="98"/>
      <c r="Z720" s="98"/>
      <c r="AA720" s="98"/>
      <c r="AB720" s="98"/>
      <c r="AC720" s="98"/>
      <c r="AD720" s="98"/>
      <c r="AE720" s="98"/>
      <c r="AF720" s="98"/>
      <c r="AG720" s="98"/>
    </row>
    <row r="721" spans="1:33" ht="15" customHeight="1">
      <c r="A721" s="286"/>
      <c r="B721" s="98"/>
      <c r="C721" s="98"/>
      <c r="D721" s="98"/>
      <c r="E721" s="98"/>
      <c r="F721" s="98"/>
      <c r="G721" s="98"/>
      <c r="H721" s="98"/>
      <c r="I721" s="98"/>
      <c r="J721" s="98"/>
      <c r="K721" s="98"/>
      <c r="L721" s="98"/>
      <c r="M721" s="98"/>
      <c r="N721" s="98"/>
      <c r="O721" s="98"/>
      <c r="P721" s="98"/>
      <c r="Q721" s="98"/>
      <c r="R721" s="98"/>
      <c r="S721" s="98"/>
      <c r="T721" s="98"/>
      <c r="U721" s="98"/>
      <c r="V721" s="98"/>
      <c r="W721" s="98"/>
      <c r="X721" s="98"/>
      <c r="Y721" s="98"/>
      <c r="Z721" s="98"/>
      <c r="AA721" s="98"/>
      <c r="AB721" s="98"/>
      <c r="AC721" s="98"/>
      <c r="AD721" s="98"/>
      <c r="AE721" s="98"/>
      <c r="AF721" s="98"/>
      <c r="AG721" s="98"/>
    </row>
    <row r="722" spans="1:33" ht="15" customHeight="1">
      <c r="A722" s="286"/>
      <c r="B722" s="98"/>
      <c r="C722" s="98"/>
      <c r="D722" s="98"/>
      <c r="E722" s="98"/>
      <c r="F722" s="98"/>
      <c r="G722" s="98"/>
      <c r="H722" s="98"/>
      <c r="I722" s="98"/>
      <c r="J722" s="98"/>
      <c r="K722" s="98"/>
      <c r="L722" s="98"/>
      <c r="M722" s="98"/>
      <c r="N722" s="98"/>
      <c r="O722" s="98"/>
      <c r="P722" s="98"/>
      <c r="Q722" s="98"/>
      <c r="R722" s="98"/>
      <c r="S722" s="98"/>
      <c r="T722" s="98"/>
      <c r="U722" s="98"/>
      <c r="V722" s="98"/>
      <c r="W722" s="98"/>
      <c r="X722" s="98"/>
      <c r="Y722" s="98"/>
      <c r="Z722" s="98"/>
      <c r="AA722" s="98"/>
      <c r="AB722" s="98"/>
      <c r="AC722" s="98"/>
      <c r="AD722" s="98"/>
      <c r="AE722" s="98"/>
      <c r="AF722" s="98"/>
      <c r="AG722" s="98"/>
    </row>
    <row r="723" spans="1:33" ht="15" customHeight="1">
      <c r="A723" s="286"/>
      <c r="B723" s="98"/>
      <c r="C723" s="98"/>
      <c r="D723" s="98"/>
      <c r="E723" s="98"/>
      <c r="F723" s="98"/>
      <c r="G723" s="98"/>
      <c r="H723" s="98"/>
      <c r="I723" s="98"/>
      <c r="J723" s="98"/>
      <c r="K723" s="98"/>
      <c r="L723" s="98"/>
      <c r="M723" s="98"/>
      <c r="N723" s="98"/>
      <c r="O723" s="98"/>
      <c r="P723" s="98"/>
      <c r="Q723" s="98"/>
      <c r="R723" s="98"/>
      <c r="S723" s="98"/>
      <c r="T723" s="98"/>
      <c r="U723" s="98"/>
      <c r="V723" s="98"/>
      <c r="W723" s="98"/>
      <c r="X723" s="98"/>
      <c r="Y723" s="98"/>
      <c r="Z723" s="98"/>
      <c r="AA723" s="98"/>
      <c r="AB723" s="98"/>
      <c r="AC723" s="98"/>
      <c r="AD723" s="98"/>
      <c r="AE723" s="98"/>
      <c r="AF723" s="98"/>
      <c r="AG723" s="98"/>
    </row>
    <row r="724" spans="1:33" ht="15" customHeight="1">
      <c r="A724" s="286"/>
      <c r="B724" s="98"/>
      <c r="C724" s="98"/>
      <c r="D724" s="98"/>
      <c r="E724" s="98"/>
      <c r="F724" s="98"/>
      <c r="G724" s="98"/>
      <c r="H724" s="98"/>
      <c r="I724" s="98"/>
      <c r="J724" s="98"/>
      <c r="K724" s="98"/>
      <c r="L724" s="98"/>
      <c r="M724" s="98"/>
      <c r="N724" s="98"/>
      <c r="O724" s="98"/>
      <c r="P724" s="98"/>
      <c r="Q724" s="98"/>
      <c r="R724" s="98"/>
      <c r="S724" s="98"/>
      <c r="T724" s="98"/>
      <c r="U724" s="98"/>
      <c r="V724" s="98"/>
      <c r="W724" s="98"/>
      <c r="X724" s="98"/>
      <c r="Y724" s="98"/>
      <c r="Z724" s="98"/>
      <c r="AA724" s="98"/>
      <c r="AB724" s="98"/>
      <c r="AC724" s="98"/>
      <c r="AD724" s="98"/>
      <c r="AE724" s="98"/>
      <c r="AF724" s="98"/>
      <c r="AG724" s="98"/>
    </row>
    <row r="725" spans="1:33" ht="15" customHeight="1">
      <c r="A725" s="286"/>
      <c r="B725" s="98"/>
      <c r="C725" s="98"/>
      <c r="D725" s="98"/>
      <c r="E725" s="98"/>
      <c r="F725" s="98"/>
      <c r="G725" s="98"/>
      <c r="H725" s="98"/>
      <c r="I725" s="98"/>
      <c r="J725" s="98"/>
      <c r="K725" s="98"/>
      <c r="L725" s="98"/>
      <c r="M725" s="98"/>
      <c r="N725" s="98"/>
      <c r="O725" s="98"/>
      <c r="P725" s="98"/>
      <c r="Q725" s="98"/>
      <c r="R725" s="98"/>
      <c r="S725" s="98"/>
      <c r="T725" s="98"/>
      <c r="U725" s="98"/>
      <c r="V725" s="98"/>
      <c r="W725" s="98"/>
      <c r="X725" s="98"/>
      <c r="Y725" s="98"/>
      <c r="Z725" s="98"/>
      <c r="AA725" s="98"/>
      <c r="AB725" s="98"/>
      <c r="AC725" s="98"/>
      <c r="AD725" s="98"/>
      <c r="AE725" s="98"/>
      <c r="AF725" s="98"/>
      <c r="AG725" s="98"/>
    </row>
    <row r="726" spans="1:33" ht="15" customHeight="1">
      <c r="A726" s="286"/>
      <c r="B726" s="98"/>
      <c r="C726" s="98"/>
      <c r="D726" s="98"/>
      <c r="E726" s="98"/>
      <c r="F726" s="98"/>
      <c r="G726" s="98"/>
      <c r="H726" s="98"/>
      <c r="I726" s="98"/>
      <c r="J726" s="98"/>
      <c r="K726" s="98"/>
      <c r="L726" s="98"/>
      <c r="M726" s="98"/>
      <c r="N726" s="98"/>
      <c r="O726" s="98"/>
      <c r="P726" s="98"/>
      <c r="Q726" s="98"/>
      <c r="R726" s="98"/>
      <c r="S726" s="98"/>
      <c r="T726" s="98"/>
      <c r="U726" s="98"/>
      <c r="V726" s="98"/>
      <c r="W726" s="98"/>
      <c r="X726" s="98"/>
      <c r="Y726" s="98"/>
      <c r="Z726" s="98"/>
      <c r="AA726" s="98"/>
      <c r="AB726" s="98"/>
      <c r="AC726" s="98"/>
      <c r="AD726" s="98"/>
      <c r="AE726" s="98"/>
      <c r="AF726" s="98"/>
      <c r="AG726" s="98"/>
    </row>
    <row r="727" spans="1:33" ht="15" customHeight="1">
      <c r="A727" s="286"/>
      <c r="B727" s="98"/>
      <c r="C727" s="98"/>
      <c r="D727" s="98"/>
      <c r="E727" s="98"/>
      <c r="F727" s="98"/>
      <c r="G727" s="98"/>
      <c r="H727" s="98"/>
      <c r="I727" s="98"/>
      <c r="J727" s="98"/>
      <c r="K727" s="98"/>
      <c r="L727" s="98"/>
      <c r="M727" s="98"/>
      <c r="N727" s="98"/>
      <c r="O727" s="98"/>
      <c r="P727" s="98"/>
      <c r="Q727" s="98"/>
      <c r="R727" s="98"/>
      <c r="S727" s="98"/>
      <c r="T727" s="98"/>
      <c r="U727" s="98"/>
      <c r="V727" s="98"/>
      <c r="W727" s="98"/>
      <c r="X727" s="98"/>
      <c r="Y727" s="98"/>
      <c r="Z727" s="98"/>
      <c r="AA727" s="98"/>
      <c r="AB727" s="98"/>
      <c r="AC727" s="98"/>
      <c r="AD727" s="98"/>
      <c r="AE727" s="98"/>
      <c r="AF727" s="98"/>
      <c r="AG727" s="98"/>
    </row>
    <row r="728" spans="1:33" ht="15" customHeight="1">
      <c r="A728" s="286"/>
      <c r="B728" s="98"/>
      <c r="C728" s="98"/>
      <c r="D728" s="98"/>
      <c r="E728" s="98"/>
      <c r="F728" s="98"/>
      <c r="G728" s="98"/>
      <c r="H728" s="98"/>
      <c r="I728" s="98"/>
      <c r="J728" s="98"/>
      <c r="K728" s="98"/>
      <c r="L728" s="98"/>
      <c r="M728" s="98"/>
      <c r="N728" s="98"/>
      <c r="O728" s="98"/>
      <c r="P728" s="98"/>
      <c r="Q728" s="98"/>
      <c r="R728" s="98"/>
      <c r="S728" s="98"/>
      <c r="T728" s="98"/>
      <c r="U728" s="98"/>
      <c r="V728" s="98"/>
      <c r="W728" s="98"/>
      <c r="X728" s="98"/>
      <c r="Y728" s="98"/>
      <c r="Z728" s="98"/>
      <c r="AA728" s="98"/>
      <c r="AB728" s="98"/>
      <c r="AC728" s="98"/>
      <c r="AD728" s="98"/>
      <c r="AE728" s="98"/>
      <c r="AF728" s="98"/>
      <c r="AG728" s="98"/>
    </row>
    <row r="729" spans="1:33" ht="15" customHeight="1">
      <c r="A729" s="286"/>
      <c r="B729" s="98"/>
      <c r="C729" s="98"/>
      <c r="D729" s="98"/>
      <c r="E729" s="98"/>
      <c r="F729" s="98"/>
      <c r="G729" s="98"/>
      <c r="H729" s="98"/>
      <c r="I729" s="98"/>
      <c r="J729" s="98"/>
      <c r="K729" s="98"/>
      <c r="L729" s="98"/>
      <c r="M729" s="98"/>
      <c r="N729" s="98"/>
      <c r="O729" s="98"/>
      <c r="P729" s="98"/>
      <c r="Q729" s="98"/>
      <c r="R729" s="98"/>
      <c r="S729" s="98"/>
      <c r="T729" s="98"/>
      <c r="U729" s="98"/>
      <c r="V729" s="98"/>
      <c r="W729" s="98"/>
      <c r="X729" s="98"/>
      <c r="Y729" s="98"/>
      <c r="Z729" s="98"/>
      <c r="AA729" s="98"/>
      <c r="AB729" s="98"/>
      <c r="AC729" s="98"/>
      <c r="AD729" s="98"/>
      <c r="AE729" s="98"/>
      <c r="AF729" s="98"/>
      <c r="AG729" s="98"/>
    </row>
    <row r="730" spans="1:33" ht="15" customHeight="1">
      <c r="A730" s="286"/>
      <c r="B730" s="98"/>
      <c r="C730" s="98"/>
      <c r="D730" s="98"/>
      <c r="E730" s="98"/>
      <c r="F730" s="98"/>
      <c r="G730" s="98"/>
      <c r="H730" s="98"/>
      <c r="I730" s="98"/>
      <c r="J730" s="98"/>
      <c r="K730" s="98"/>
      <c r="L730" s="98"/>
      <c r="M730" s="98"/>
      <c r="N730" s="98"/>
      <c r="O730" s="98"/>
      <c r="P730" s="98"/>
      <c r="Q730" s="98"/>
      <c r="R730" s="98"/>
      <c r="S730" s="98"/>
      <c r="T730" s="98"/>
      <c r="U730" s="98"/>
      <c r="V730" s="98"/>
      <c r="W730" s="98"/>
      <c r="X730" s="98"/>
      <c r="Y730" s="98"/>
      <c r="Z730" s="98"/>
      <c r="AA730" s="98"/>
      <c r="AB730" s="98"/>
      <c r="AC730" s="98"/>
      <c r="AD730" s="98"/>
      <c r="AE730" s="98"/>
      <c r="AF730" s="98"/>
      <c r="AG730" s="98"/>
    </row>
    <row r="731" spans="1:33" ht="15" customHeight="1">
      <c r="A731" s="286"/>
      <c r="B731" s="98"/>
      <c r="C731" s="98"/>
      <c r="D731" s="98"/>
      <c r="E731" s="98"/>
      <c r="F731" s="98"/>
      <c r="G731" s="98"/>
      <c r="H731" s="98"/>
      <c r="I731" s="98"/>
      <c r="J731" s="98"/>
      <c r="K731" s="98"/>
      <c r="L731" s="98"/>
      <c r="M731" s="98"/>
      <c r="N731" s="98"/>
      <c r="O731" s="98"/>
      <c r="P731" s="98"/>
      <c r="Q731" s="98"/>
      <c r="R731" s="98"/>
      <c r="S731" s="98"/>
      <c r="T731" s="98"/>
      <c r="U731" s="98"/>
      <c r="V731" s="98"/>
      <c r="W731" s="98"/>
      <c r="X731" s="98"/>
      <c r="Y731" s="98"/>
      <c r="Z731" s="98"/>
      <c r="AA731" s="98"/>
      <c r="AB731" s="98"/>
      <c r="AC731" s="98"/>
      <c r="AD731" s="98"/>
      <c r="AE731" s="98"/>
      <c r="AF731" s="98"/>
      <c r="AG731" s="98"/>
    </row>
    <row r="732" spans="1:33" ht="15" customHeight="1">
      <c r="A732" s="286"/>
      <c r="B732" s="98"/>
      <c r="C732" s="98"/>
      <c r="D732" s="98"/>
      <c r="E732" s="98"/>
      <c r="F732" s="98"/>
      <c r="G732" s="98"/>
      <c r="H732" s="98"/>
      <c r="I732" s="98"/>
      <c r="J732" s="98"/>
      <c r="K732" s="98"/>
      <c r="L732" s="98"/>
      <c r="M732" s="98"/>
      <c r="N732" s="98"/>
      <c r="O732" s="98"/>
      <c r="P732" s="98"/>
      <c r="Q732" s="98"/>
      <c r="R732" s="98"/>
      <c r="S732" s="98"/>
      <c r="T732" s="98"/>
      <c r="U732" s="98"/>
      <c r="V732" s="98"/>
      <c r="W732" s="98"/>
      <c r="X732" s="98"/>
      <c r="Y732" s="98"/>
      <c r="Z732" s="98"/>
      <c r="AA732" s="98"/>
      <c r="AB732" s="98"/>
      <c r="AC732" s="98"/>
      <c r="AD732" s="98"/>
      <c r="AE732" s="98"/>
      <c r="AF732" s="98"/>
      <c r="AG732" s="98"/>
    </row>
    <row r="733" spans="1:33" ht="15" customHeight="1">
      <c r="A733" s="286"/>
      <c r="B733" s="98"/>
      <c r="C733" s="98"/>
      <c r="D733" s="98"/>
      <c r="E733" s="98"/>
      <c r="F733" s="98"/>
      <c r="G733" s="98"/>
      <c r="H733" s="98"/>
      <c r="I733" s="98"/>
      <c r="J733" s="98"/>
      <c r="K733" s="98"/>
      <c r="L733" s="98"/>
      <c r="M733" s="98"/>
      <c r="N733" s="98"/>
      <c r="O733" s="98"/>
      <c r="P733" s="98"/>
      <c r="Q733" s="98"/>
      <c r="R733" s="98"/>
      <c r="S733" s="98"/>
      <c r="T733" s="98"/>
      <c r="U733" s="98"/>
      <c r="V733" s="98"/>
      <c r="W733" s="98"/>
      <c r="X733" s="98"/>
      <c r="Y733" s="98"/>
      <c r="Z733" s="98"/>
      <c r="AA733" s="98"/>
      <c r="AB733" s="98"/>
      <c r="AC733" s="98"/>
      <c r="AD733" s="98"/>
      <c r="AE733" s="98"/>
      <c r="AF733" s="98"/>
      <c r="AG733" s="98"/>
    </row>
    <row r="734" spans="1:33" ht="15" customHeight="1">
      <c r="A734" s="286"/>
      <c r="B734" s="98"/>
      <c r="C734" s="98"/>
      <c r="D734" s="98"/>
      <c r="E734" s="98"/>
      <c r="F734" s="98"/>
      <c r="G734" s="98"/>
      <c r="H734" s="98"/>
      <c r="I734" s="98"/>
      <c r="J734" s="98"/>
      <c r="K734" s="98"/>
      <c r="L734" s="98"/>
      <c r="M734" s="98"/>
      <c r="N734" s="98"/>
      <c r="O734" s="98"/>
      <c r="P734" s="98"/>
      <c r="Q734" s="98"/>
      <c r="R734" s="98"/>
      <c r="S734" s="98"/>
      <c r="T734" s="98"/>
      <c r="U734" s="98"/>
      <c r="V734" s="98"/>
      <c r="W734" s="98"/>
      <c r="X734" s="98"/>
      <c r="Y734" s="98"/>
      <c r="Z734" s="98"/>
      <c r="AA734" s="98"/>
      <c r="AB734" s="98"/>
      <c r="AC734" s="98"/>
      <c r="AD734" s="98"/>
      <c r="AE734" s="98"/>
      <c r="AF734" s="98"/>
      <c r="AG734" s="98"/>
    </row>
    <row r="735" spans="1:33" ht="15" customHeight="1">
      <c r="A735" s="286"/>
      <c r="B735" s="98"/>
      <c r="C735" s="98"/>
      <c r="D735" s="98"/>
      <c r="E735" s="98"/>
      <c r="F735" s="98"/>
      <c r="G735" s="98"/>
      <c r="H735" s="98"/>
      <c r="I735" s="98"/>
      <c r="J735" s="98"/>
      <c r="K735" s="98"/>
      <c r="L735" s="98"/>
      <c r="M735" s="98"/>
      <c r="N735" s="98"/>
      <c r="O735" s="98"/>
      <c r="P735" s="98"/>
      <c r="Q735" s="98"/>
      <c r="R735" s="98"/>
      <c r="S735" s="98"/>
      <c r="T735" s="98"/>
      <c r="U735" s="98"/>
      <c r="V735" s="98"/>
      <c r="W735" s="98"/>
      <c r="X735" s="98"/>
      <c r="Y735" s="98"/>
      <c r="Z735" s="98"/>
      <c r="AA735" s="98"/>
      <c r="AB735" s="98"/>
      <c r="AC735" s="98"/>
      <c r="AD735" s="98"/>
      <c r="AE735" s="98"/>
      <c r="AF735" s="98"/>
      <c r="AG735" s="98"/>
    </row>
    <row r="736" spans="1:33" ht="15" customHeight="1">
      <c r="A736" s="286"/>
      <c r="B736" s="98"/>
      <c r="C736" s="98"/>
      <c r="D736" s="98"/>
      <c r="E736" s="98"/>
      <c r="F736" s="98"/>
      <c r="G736" s="98"/>
      <c r="H736" s="98"/>
      <c r="I736" s="98"/>
      <c r="J736" s="98"/>
      <c r="K736" s="98"/>
      <c r="L736" s="98"/>
      <c r="M736" s="98"/>
      <c r="N736" s="98"/>
      <c r="O736" s="98"/>
      <c r="P736" s="98"/>
      <c r="Q736" s="98"/>
      <c r="R736" s="98"/>
      <c r="S736" s="98"/>
      <c r="T736" s="98"/>
      <c r="U736" s="98"/>
      <c r="V736" s="98"/>
      <c r="W736" s="98"/>
      <c r="X736" s="98"/>
      <c r="Y736" s="98"/>
      <c r="Z736" s="98"/>
      <c r="AA736" s="98"/>
      <c r="AB736" s="98"/>
      <c r="AC736" s="98"/>
      <c r="AD736" s="98"/>
      <c r="AE736" s="98"/>
      <c r="AF736" s="98"/>
      <c r="AG736" s="98"/>
    </row>
    <row r="737" spans="1:33" ht="15" customHeight="1">
      <c r="A737" s="286"/>
      <c r="B737" s="98"/>
      <c r="C737" s="98"/>
      <c r="D737" s="98"/>
      <c r="E737" s="98"/>
      <c r="F737" s="98"/>
      <c r="G737" s="98"/>
      <c r="H737" s="98"/>
      <c r="I737" s="98"/>
      <c r="J737" s="98"/>
      <c r="K737" s="98"/>
      <c r="L737" s="98"/>
      <c r="M737" s="98"/>
      <c r="N737" s="98"/>
      <c r="O737" s="98"/>
      <c r="P737" s="98"/>
      <c r="Q737" s="98"/>
      <c r="R737" s="98"/>
      <c r="S737" s="98"/>
      <c r="T737" s="98"/>
      <c r="U737" s="98"/>
      <c r="V737" s="98"/>
      <c r="W737" s="98"/>
      <c r="X737" s="98"/>
      <c r="Y737" s="98"/>
      <c r="Z737" s="98"/>
      <c r="AA737" s="98"/>
      <c r="AB737" s="98"/>
      <c r="AC737" s="98"/>
      <c r="AD737" s="98"/>
      <c r="AE737" s="98"/>
      <c r="AF737" s="98"/>
      <c r="AG737" s="98"/>
    </row>
    <row r="738" spans="1:33" ht="15" customHeight="1">
      <c r="A738" s="286"/>
      <c r="B738" s="98"/>
      <c r="C738" s="98"/>
      <c r="D738" s="98"/>
      <c r="E738" s="98"/>
      <c r="F738" s="98"/>
      <c r="G738" s="98"/>
      <c r="H738" s="98"/>
      <c r="I738" s="98"/>
      <c r="J738" s="98"/>
      <c r="K738" s="98"/>
      <c r="L738" s="98"/>
      <c r="M738" s="98"/>
      <c r="N738" s="98"/>
      <c r="O738" s="98"/>
      <c r="P738" s="98"/>
      <c r="Q738" s="98"/>
      <c r="R738" s="98"/>
      <c r="S738" s="98"/>
      <c r="T738" s="98"/>
      <c r="U738" s="98"/>
      <c r="V738" s="98"/>
      <c r="W738" s="98"/>
      <c r="X738" s="98"/>
      <c r="Y738" s="98"/>
      <c r="Z738" s="98"/>
      <c r="AA738" s="98"/>
      <c r="AB738" s="98"/>
      <c r="AC738" s="98"/>
      <c r="AD738" s="98"/>
      <c r="AE738" s="98"/>
      <c r="AF738" s="98"/>
      <c r="AG738" s="98"/>
    </row>
    <row r="739" spans="1:33" ht="15" customHeight="1">
      <c r="A739" s="286"/>
      <c r="B739" s="98"/>
      <c r="C739" s="98"/>
      <c r="D739" s="98"/>
      <c r="E739" s="98"/>
      <c r="F739" s="98"/>
      <c r="G739" s="98"/>
      <c r="H739" s="98"/>
      <c r="I739" s="98"/>
      <c r="J739" s="98"/>
      <c r="K739" s="98"/>
      <c r="L739" s="98"/>
      <c r="M739" s="98"/>
      <c r="N739" s="98"/>
      <c r="O739" s="98"/>
      <c r="P739" s="98"/>
      <c r="Q739" s="98"/>
      <c r="R739" s="98"/>
      <c r="S739" s="98"/>
      <c r="T739" s="98"/>
      <c r="U739" s="98"/>
      <c r="V739" s="98"/>
      <c r="W739" s="98"/>
      <c r="X739" s="98"/>
      <c r="Y739" s="98"/>
      <c r="Z739" s="98"/>
      <c r="AA739" s="98"/>
      <c r="AB739" s="98"/>
      <c r="AC739" s="98"/>
      <c r="AD739" s="98"/>
      <c r="AE739" s="98"/>
      <c r="AF739" s="98"/>
      <c r="AG739" s="98"/>
    </row>
    <row r="740" spans="1:33" ht="15" customHeight="1">
      <c r="A740" s="286"/>
      <c r="B740" s="98"/>
      <c r="C740" s="98"/>
      <c r="D740" s="98"/>
      <c r="E740" s="98"/>
      <c r="F740" s="98"/>
      <c r="G740" s="98"/>
      <c r="H740" s="98"/>
      <c r="I740" s="98"/>
      <c r="J740" s="98"/>
      <c r="K740" s="98"/>
      <c r="L740" s="98"/>
      <c r="M740" s="98"/>
      <c r="N740" s="98"/>
      <c r="O740" s="98"/>
      <c r="P740" s="98"/>
      <c r="Q740" s="98"/>
      <c r="R740" s="98"/>
      <c r="S740" s="98"/>
      <c r="T740" s="98"/>
      <c r="U740" s="98"/>
      <c r="V740" s="98"/>
      <c r="W740" s="98"/>
      <c r="X740" s="98"/>
      <c r="Y740" s="98"/>
      <c r="Z740" s="98"/>
      <c r="AA740" s="98"/>
      <c r="AB740" s="98"/>
      <c r="AC740" s="98"/>
      <c r="AD740" s="98"/>
      <c r="AE740" s="98"/>
      <c r="AF740" s="98"/>
      <c r="AG740" s="98"/>
    </row>
    <row r="741" spans="1:33" ht="15" customHeight="1">
      <c r="A741" s="286"/>
      <c r="B741" s="98"/>
      <c r="C741" s="98"/>
      <c r="D741" s="98"/>
      <c r="E741" s="98"/>
      <c r="F741" s="98"/>
      <c r="G741" s="98"/>
      <c r="H741" s="98"/>
      <c r="I741" s="98"/>
      <c r="J741" s="98"/>
      <c r="K741" s="98"/>
      <c r="L741" s="98"/>
      <c r="M741" s="98"/>
      <c r="N741" s="98"/>
      <c r="O741" s="98"/>
      <c r="P741" s="98"/>
      <c r="Q741" s="98"/>
      <c r="R741" s="98"/>
      <c r="S741" s="98"/>
      <c r="T741" s="98"/>
      <c r="U741" s="98"/>
      <c r="V741" s="98"/>
      <c r="W741" s="98"/>
      <c r="X741" s="98"/>
      <c r="Y741" s="98"/>
      <c r="Z741" s="98"/>
      <c r="AA741" s="98"/>
      <c r="AB741" s="98"/>
      <c r="AC741" s="98"/>
      <c r="AD741" s="98"/>
      <c r="AE741" s="98"/>
      <c r="AF741" s="98"/>
      <c r="AG741" s="98"/>
    </row>
    <row r="742" spans="1:33" ht="15" customHeight="1">
      <c r="A742" s="286"/>
      <c r="B742" s="98"/>
      <c r="C742" s="98"/>
      <c r="D742" s="98"/>
      <c r="E742" s="98"/>
      <c r="F742" s="98"/>
      <c r="G742" s="98"/>
      <c r="H742" s="98"/>
      <c r="I742" s="98"/>
      <c r="J742" s="98"/>
      <c r="K742" s="98"/>
      <c r="L742" s="98"/>
      <c r="M742" s="98"/>
      <c r="N742" s="98"/>
      <c r="O742" s="98"/>
      <c r="P742" s="98"/>
      <c r="Q742" s="98"/>
      <c r="R742" s="98"/>
      <c r="S742" s="98"/>
      <c r="T742" s="98"/>
      <c r="U742" s="98"/>
      <c r="V742" s="98"/>
      <c r="W742" s="98"/>
      <c r="X742" s="98"/>
      <c r="Y742" s="98"/>
      <c r="Z742" s="98"/>
      <c r="AA742" s="98"/>
      <c r="AB742" s="98"/>
      <c r="AC742" s="98"/>
      <c r="AD742" s="98"/>
      <c r="AE742" s="98"/>
      <c r="AF742" s="98"/>
      <c r="AG742" s="98"/>
    </row>
    <row r="743" spans="1:33" ht="15" customHeight="1">
      <c r="A743" s="286"/>
      <c r="B743" s="98"/>
      <c r="C743" s="98"/>
      <c r="D743" s="98"/>
      <c r="E743" s="98"/>
      <c r="F743" s="98"/>
      <c r="G743" s="98"/>
      <c r="H743" s="98"/>
      <c r="I743" s="98"/>
      <c r="J743" s="98"/>
      <c r="K743" s="98"/>
      <c r="L743" s="98"/>
      <c r="M743" s="98"/>
      <c r="N743" s="98"/>
      <c r="O743" s="98"/>
      <c r="P743" s="98"/>
      <c r="Q743" s="98"/>
      <c r="R743" s="98"/>
      <c r="S743" s="98"/>
      <c r="T743" s="98"/>
      <c r="U743" s="98"/>
      <c r="V743" s="98"/>
      <c r="W743" s="98"/>
      <c r="X743" s="98"/>
      <c r="Y743" s="98"/>
      <c r="Z743" s="98"/>
      <c r="AA743" s="98"/>
      <c r="AB743" s="98"/>
      <c r="AC743" s="98"/>
      <c r="AD743" s="98"/>
      <c r="AE743" s="98"/>
      <c r="AF743" s="98"/>
      <c r="AG743" s="98"/>
    </row>
    <row r="744" spans="1:33" ht="15" customHeight="1">
      <c r="A744" s="286"/>
      <c r="B744" s="98"/>
      <c r="C744" s="98"/>
      <c r="D744" s="98"/>
      <c r="E744" s="98"/>
      <c r="F744" s="98"/>
      <c r="G744" s="98"/>
      <c r="H744" s="98"/>
      <c r="I744" s="98"/>
      <c r="J744" s="98"/>
      <c r="K744" s="98"/>
      <c r="L744" s="98"/>
      <c r="M744" s="98"/>
      <c r="N744" s="98"/>
      <c r="O744" s="98"/>
      <c r="P744" s="98"/>
      <c r="Q744" s="98"/>
      <c r="R744" s="98"/>
      <c r="S744" s="98"/>
      <c r="T744" s="98"/>
      <c r="U744" s="98"/>
      <c r="V744" s="98"/>
      <c r="W744" s="98"/>
      <c r="X744" s="98"/>
      <c r="Y744" s="98"/>
      <c r="Z744" s="98"/>
      <c r="AA744" s="98"/>
      <c r="AB744" s="98"/>
      <c r="AC744" s="98"/>
      <c r="AD744" s="98"/>
      <c r="AE744" s="98"/>
      <c r="AF744" s="98"/>
      <c r="AG744" s="98"/>
    </row>
    <row r="745" spans="1:33" ht="15" customHeight="1">
      <c r="A745" s="286"/>
      <c r="B745" s="98"/>
      <c r="C745" s="98"/>
      <c r="D745" s="98"/>
      <c r="E745" s="98"/>
      <c r="F745" s="98"/>
      <c r="G745" s="98"/>
      <c r="H745" s="98"/>
      <c r="I745" s="98"/>
      <c r="J745" s="98"/>
      <c r="K745" s="98"/>
      <c r="L745" s="98"/>
      <c r="M745" s="98"/>
      <c r="N745" s="98"/>
      <c r="O745" s="98"/>
      <c r="P745" s="98"/>
      <c r="Q745" s="98"/>
      <c r="R745" s="98"/>
      <c r="S745" s="98"/>
      <c r="T745" s="98"/>
      <c r="U745" s="98"/>
      <c r="V745" s="98"/>
      <c r="W745" s="98"/>
      <c r="X745" s="98"/>
      <c r="Y745" s="98"/>
      <c r="Z745" s="98"/>
      <c r="AA745" s="98"/>
      <c r="AB745" s="98"/>
      <c r="AC745" s="98"/>
      <c r="AD745" s="98"/>
      <c r="AE745" s="98"/>
      <c r="AF745" s="98"/>
      <c r="AG745" s="98"/>
    </row>
    <row r="746" spans="1:33" ht="15" customHeight="1">
      <c r="A746" s="286"/>
      <c r="B746" s="98"/>
      <c r="C746" s="98"/>
      <c r="D746" s="98"/>
      <c r="E746" s="98"/>
      <c r="F746" s="98"/>
      <c r="G746" s="98"/>
      <c r="H746" s="98"/>
      <c r="I746" s="98"/>
      <c r="J746" s="98"/>
      <c r="K746" s="98"/>
      <c r="L746" s="98"/>
      <c r="M746" s="98"/>
      <c r="N746" s="98"/>
      <c r="O746" s="98"/>
      <c r="P746" s="98"/>
      <c r="Q746" s="98"/>
      <c r="R746" s="98"/>
      <c r="S746" s="98"/>
      <c r="T746" s="98"/>
      <c r="U746" s="98"/>
      <c r="V746" s="98"/>
      <c r="W746" s="98"/>
      <c r="X746" s="98"/>
      <c r="Y746" s="98"/>
      <c r="Z746" s="98"/>
      <c r="AA746" s="98"/>
      <c r="AB746" s="98"/>
      <c r="AC746" s="98"/>
      <c r="AD746" s="98"/>
      <c r="AE746" s="98"/>
      <c r="AF746" s="98"/>
      <c r="AG746" s="98"/>
    </row>
    <row r="747" spans="1:33" ht="15" customHeight="1">
      <c r="A747" s="286"/>
      <c r="B747" s="98"/>
      <c r="C747" s="98"/>
      <c r="D747" s="98"/>
      <c r="E747" s="98"/>
      <c r="F747" s="98"/>
      <c r="G747" s="98"/>
      <c r="H747" s="98"/>
      <c r="I747" s="98"/>
      <c r="J747" s="98"/>
      <c r="K747" s="98"/>
      <c r="L747" s="98"/>
      <c r="M747" s="98"/>
      <c r="N747" s="98"/>
      <c r="O747" s="98"/>
      <c r="P747" s="98"/>
      <c r="Q747" s="98"/>
      <c r="R747" s="98"/>
      <c r="S747" s="98"/>
      <c r="T747" s="98"/>
      <c r="U747" s="98"/>
      <c r="V747" s="98"/>
      <c r="W747" s="98"/>
      <c r="X747" s="98"/>
      <c r="Y747" s="98"/>
      <c r="Z747" s="98"/>
      <c r="AA747" s="98"/>
      <c r="AB747" s="98"/>
      <c r="AC747" s="98"/>
      <c r="AD747" s="98"/>
      <c r="AE747" s="98"/>
      <c r="AF747" s="98"/>
      <c r="AG747" s="98"/>
    </row>
    <row r="748" spans="1:33" ht="15" customHeight="1">
      <c r="A748" s="286"/>
      <c r="B748" s="98"/>
      <c r="C748" s="98"/>
      <c r="D748" s="98"/>
      <c r="E748" s="98"/>
      <c r="F748" s="98"/>
      <c r="G748" s="98"/>
      <c r="H748" s="98"/>
      <c r="I748" s="98"/>
      <c r="J748" s="98"/>
      <c r="K748" s="98"/>
      <c r="L748" s="98"/>
      <c r="M748" s="98"/>
      <c r="N748" s="98"/>
      <c r="O748" s="98"/>
      <c r="P748" s="98"/>
      <c r="Q748" s="98"/>
      <c r="R748" s="98"/>
      <c r="S748" s="98"/>
      <c r="T748" s="98"/>
      <c r="U748" s="98"/>
      <c r="V748" s="98"/>
      <c r="W748" s="98"/>
      <c r="X748" s="98"/>
      <c r="Y748" s="98"/>
      <c r="Z748" s="98"/>
      <c r="AA748" s="98"/>
      <c r="AB748" s="98"/>
      <c r="AC748" s="98"/>
      <c r="AD748" s="98"/>
      <c r="AE748" s="98"/>
      <c r="AF748" s="98"/>
      <c r="AG748" s="98"/>
    </row>
    <row r="749" spans="1:33" ht="15" customHeight="1">
      <c r="A749" s="286"/>
      <c r="B749" s="98"/>
      <c r="C749" s="98"/>
      <c r="D749" s="98"/>
      <c r="E749" s="98"/>
      <c r="F749" s="98"/>
      <c r="G749" s="98"/>
      <c r="H749" s="98"/>
      <c r="I749" s="98"/>
      <c r="J749" s="98"/>
      <c r="K749" s="98"/>
      <c r="L749" s="98"/>
      <c r="M749" s="98"/>
      <c r="N749" s="98"/>
      <c r="O749" s="98"/>
      <c r="P749" s="98"/>
      <c r="Q749" s="98"/>
      <c r="R749" s="98"/>
      <c r="S749" s="98"/>
      <c r="T749" s="98"/>
      <c r="U749" s="98"/>
      <c r="V749" s="98"/>
      <c r="W749" s="98"/>
      <c r="X749" s="98"/>
      <c r="Y749" s="98"/>
      <c r="Z749" s="98"/>
      <c r="AA749" s="98"/>
      <c r="AB749" s="98"/>
      <c r="AC749" s="98"/>
      <c r="AD749" s="98"/>
      <c r="AE749" s="98"/>
      <c r="AF749" s="98"/>
      <c r="AG749" s="98"/>
    </row>
    <row r="750" spans="1:33" ht="15" customHeight="1">
      <c r="A750" s="286"/>
      <c r="B750" s="98"/>
      <c r="C750" s="98"/>
      <c r="D750" s="98"/>
      <c r="E750" s="98"/>
      <c r="F750" s="98"/>
      <c r="G750" s="98"/>
      <c r="H750" s="98"/>
      <c r="I750" s="98"/>
      <c r="J750" s="98"/>
      <c r="K750" s="98"/>
      <c r="L750" s="98"/>
      <c r="M750" s="98"/>
      <c r="N750" s="98"/>
      <c r="O750" s="98"/>
      <c r="P750" s="98"/>
      <c r="Q750" s="98"/>
      <c r="R750" s="98"/>
      <c r="S750" s="98"/>
      <c r="T750" s="98"/>
      <c r="U750" s="98"/>
      <c r="V750" s="98"/>
      <c r="W750" s="98"/>
      <c r="X750" s="98"/>
      <c r="Y750" s="98"/>
      <c r="Z750" s="98"/>
      <c r="AA750" s="98"/>
      <c r="AB750" s="98"/>
      <c r="AC750" s="98"/>
      <c r="AD750" s="98"/>
      <c r="AE750" s="98"/>
      <c r="AF750" s="98"/>
      <c r="AG750" s="98"/>
    </row>
    <row r="751" spans="1:33" ht="15" customHeight="1">
      <c r="A751" s="286"/>
      <c r="B751" s="98"/>
      <c r="C751" s="98"/>
      <c r="D751" s="98"/>
      <c r="E751" s="98"/>
      <c r="F751" s="98"/>
      <c r="G751" s="98"/>
      <c r="H751" s="98"/>
      <c r="I751" s="98"/>
      <c r="J751" s="98"/>
      <c r="K751" s="98"/>
      <c r="L751" s="98"/>
      <c r="M751" s="98"/>
      <c r="N751" s="98"/>
      <c r="O751" s="98"/>
      <c r="P751" s="98"/>
      <c r="Q751" s="98"/>
      <c r="R751" s="98"/>
      <c r="S751" s="98"/>
      <c r="T751" s="98"/>
      <c r="U751" s="98"/>
      <c r="V751" s="98"/>
      <c r="W751" s="98"/>
      <c r="X751" s="98"/>
      <c r="Y751" s="98"/>
      <c r="Z751" s="98"/>
      <c r="AA751" s="98"/>
      <c r="AB751" s="98"/>
      <c r="AC751" s="98"/>
      <c r="AD751" s="98"/>
      <c r="AE751" s="98"/>
      <c r="AF751" s="98"/>
      <c r="AG751" s="98"/>
    </row>
    <row r="752" spans="1:33" ht="15" customHeight="1">
      <c r="A752" s="286"/>
      <c r="B752" s="98"/>
      <c r="C752" s="98"/>
      <c r="D752" s="98"/>
      <c r="E752" s="98"/>
      <c r="F752" s="98"/>
      <c r="G752" s="98"/>
      <c r="H752" s="98"/>
      <c r="I752" s="98"/>
      <c r="J752" s="98"/>
      <c r="K752" s="98"/>
      <c r="L752" s="98"/>
      <c r="M752" s="98"/>
      <c r="N752" s="98"/>
      <c r="O752" s="98"/>
      <c r="P752" s="98"/>
      <c r="Q752" s="98"/>
      <c r="R752" s="98"/>
      <c r="S752" s="98"/>
      <c r="T752" s="98"/>
      <c r="U752" s="98"/>
      <c r="V752" s="98"/>
      <c r="W752" s="98"/>
      <c r="X752" s="98"/>
      <c r="Y752" s="98"/>
      <c r="Z752" s="98"/>
      <c r="AA752" s="98"/>
      <c r="AB752" s="98"/>
      <c r="AC752" s="98"/>
      <c r="AD752" s="98"/>
      <c r="AE752" s="98"/>
      <c r="AF752" s="98"/>
      <c r="AG752" s="98"/>
    </row>
    <row r="753" spans="1:33" ht="15" customHeight="1">
      <c r="A753" s="286"/>
      <c r="B753" s="98"/>
      <c r="C753" s="98"/>
      <c r="D753" s="98"/>
      <c r="E753" s="98"/>
      <c r="F753" s="98"/>
      <c r="G753" s="98"/>
      <c r="H753" s="98"/>
      <c r="I753" s="98"/>
      <c r="J753" s="98"/>
      <c r="K753" s="98"/>
      <c r="L753" s="98"/>
      <c r="M753" s="98"/>
      <c r="N753" s="98"/>
      <c r="O753" s="98"/>
      <c r="P753" s="98"/>
      <c r="Q753" s="98"/>
      <c r="R753" s="98"/>
      <c r="S753" s="98"/>
      <c r="T753" s="98"/>
      <c r="U753" s="98"/>
      <c r="V753" s="98"/>
      <c r="W753" s="98"/>
      <c r="X753" s="98"/>
      <c r="Y753" s="98"/>
      <c r="Z753" s="98"/>
      <c r="AA753" s="98"/>
      <c r="AB753" s="98"/>
      <c r="AC753" s="98"/>
      <c r="AD753" s="98"/>
      <c r="AE753" s="98"/>
      <c r="AF753" s="98"/>
      <c r="AG753" s="98"/>
    </row>
    <row r="754" spans="1:33" ht="15" customHeight="1">
      <c r="A754" s="286"/>
      <c r="B754" s="98"/>
      <c r="C754" s="98"/>
      <c r="D754" s="98"/>
      <c r="E754" s="98"/>
      <c r="F754" s="98"/>
      <c r="G754" s="98"/>
      <c r="H754" s="98"/>
      <c r="I754" s="98"/>
      <c r="J754" s="98"/>
      <c r="K754" s="98"/>
      <c r="L754" s="98"/>
      <c r="M754" s="98"/>
      <c r="N754" s="98"/>
      <c r="O754" s="98"/>
      <c r="P754" s="98"/>
      <c r="Q754" s="98"/>
      <c r="R754" s="98"/>
      <c r="S754" s="98"/>
      <c r="T754" s="98"/>
      <c r="U754" s="98"/>
      <c r="V754" s="98"/>
      <c r="W754" s="98"/>
      <c r="X754" s="98"/>
      <c r="Y754" s="98"/>
      <c r="Z754" s="98"/>
      <c r="AA754" s="98"/>
      <c r="AB754" s="98"/>
      <c r="AC754" s="98"/>
      <c r="AD754" s="98"/>
      <c r="AE754" s="98"/>
      <c r="AF754" s="98"/>
      <c r="AG754" s="98"/>
    </row>
    <row r="755" spans="1:33" ht="15" customHeight="1">
      <c r="A755" s="286"/>
      <c r="B755" s="98"/>
      <c r="C755" s="98"/>
      <c r="D755" s="98"/>
      <c r="E755" s="98"/>
      <c r="F755" s="98"/>
      <c r="G755" s="98"/>
      <c r="H755" s="98"/>
      <c r="I755" s="98"/>
      <c r="J755" s="98"/>
      <c r="K755" s="98"/>
      <c r="L755" s="98"/>
      <c r="M755" s="98"/>
      <c r="N755" s="98"/>
      <c r="O755" s="98"/>
      <c r="P755" s="98"/>
      <c r="Q755" s="98"/>
      <c r="R755" s="98"/>
      <c r="S755" s="98"/>
      <c r="T755" s="98"/>
      <c r="U755" s="98"/>
      <c r="V755" s="98"/>
      <c r="W755" s="98"/>
      <c r="X755" s="98"/>
      <c r="Y755" s="98"/>
      <c r="Z755" s="98"/>
      <c r="AA755" s="98"/>
      <c r="AB755" s="98"/>
      <c r="AC755" s="98"/>
      <c r="AD755" s="98"/>
      <c r="AE755" s="98"/>
      <c r="AF755" s="98"/>
      <c r="AG755" s="98"/>
    </row>
    <row r="756" spans="1:33" ht="15" customHeight="1">
      <c r="A756" s="286"/>
      <c r="B756" s="98"/>
      <c r="C756" s="98"/>
      <c r="D756" s="98"/>
      <c r="E756" s="98"/>
      <c r="F756" s="98"/>
      <c r="G756" s="98"/>
      <c r="H756" s="98"/>
      <c r="I756" s="98"/>
      <c r="J756" s="98"/>
      <c r="K756" s="98"/>
      <c r="L756" s="98"/>
      <c r="M756" s="98"/>
      <c r="N756" s="98"/>
      <c r="O756" s="98"/>
      <c r="P756" s="98"/>
      <c r="Q756" s="98"/>
      <c r="R756" s="98"/>
      <c r="S756" s="98"/>
      <c r="T756" s="98"/>
      <c r="U756" s="98"/>
      <c r="V756" s="98"/>
      <c r="W756" s="98"/>
      <c r="X756" s="98"/>
      <c r="Y756" s="98"/>
      <c r="Z756" s="98"/>
      <c r="AA756" s="98"/>
      <c r="AB756" s="98"/>
      <c r="AC756" s="98"/>
      <c r="AD756" s="98"/>
      <c r="AE756" s="98"/>
      <c r="AF756" s="98"/>
      <c r="AG756" s="98"/>
    </row>
    <row r="757" spans="1:33" ht="15" customHeight="1">
      <c r="A757" s="286"/>
      <c r="B757" s="98"/>
      <c r="C757" s="98"/>
      <c r="D757" s="98"/>
      <c r="E757" s="98"/>
      <c r="F757" s="98"/>
      <c r="G757" s="98"/>
      <c r="H757" s="98"/>
      <c r="I757" s="98"/>
      <c r="J757" s="98"/>
      <c r="K757" s="98"/>
      <c r="L757" s="98"/>
      <c r="M757" s="98"/>
      <c r="N757" s="98"/>
      <c r="O757" s="98"/>
      <c r="P757" s="98"/>
      <c r="Q757" s="98"/>
      <c r="R757" s="98"/>
      <c r="S757" s="98"/>
      <c r="T757" s="98"/>
      <c r="U757" s="98"/>
      <c r="V757" s="98"/>
      <c r="W757" s="98"/>
      <c r="X757" s="98"/>
      <c r="Y757" s="98"/>
      <c r="Z757" s="98"/>
      <c r="AA757" s="98"/>
      <c r="AB757" s="98"/>
      <c r="AC757" s="98"/>
      <c r="AD757" s="98"/>
      <c r="AE757" s="98"/>
      <c r="AF757" s="98"/>
      <c r="AG757" s="98"/>
    </row>
    <row r="758" spans="1:33" ht="15" customHeight="1">
      <c r="A758" s="286"/>
      <c r="B758" s="98"/>
      <c r="C758" s="98"/>
      <c r="D758" s="98"/>
      <c r="E758" s="98"/>
      <c r="F758" s="98"/>
      <c r="G758" s="98"/>
      <c r="H758" s="98"/>
      <c r="I758" s="98"/>
      <c r="J758" s="98"/>
      <c r="K758" s="98"/>
      <c r="L758" s="98"/>
      <c r="M758" s="98"/>
      <c r="N758" s="98"/>
      <c r="O758" s="98"/>
      <c r="P758" s="98"/>
      <c r="Q758" s="98"/>
      <c r="R758" s="98"/>
      <c r="S758" s="98"/>
      <c r="T758" s="98"/>
      <c r="U758" s="98"/>
      <c r="V758" s="98"/>
      <c r="W758" s="98"/>
      <c r="X758" s="98"/>
      <c r="Y758" s="98"/>
      <c r="Z758" s="98"/>
      <c r="AA758" s="98"/>
      <c r="AB758" s="98"/>
      <c r="AC758" s="98"/>
      <c r="AD758" s="98"/>
      <c r="AE758" s="98"/>
      <c r="AF758" s="98"/>
      <c r="AG758" s="98"/>
    </row>
    <row r="759" spans="1:33" ht="15" customHeight="1">
      <c r="A759" s="286"/>
      <c r="B759" s="98"/>
      <c r="C759" s="98"/>
      <c r="D759" s="98"/>
      <c r="E759" s="98"/>
      <c r="F759" s="98"/>
      <c r="G759" s="98"/>
      <c r="H759" s="98"/>
      <c r="I759" s="98"/>
      <c r="J759" s="98"/>
      <c r="K759" s="98"/>
      <c r="L759" s="98"/>
      <c r="M759" s="98"/>
      <c r="N759" s="98"/>
      <c r="O759" s="98"/>
      <c r="P759" s="98"/>
      <c r="Q759" s="98"/>
      <c r="R759" s="98"/>
      <c r="S759" s="98"/>
      <c r="T759" s="98"/>
      <c r="U759" s="98"/>
      <c r="V759" s="98"/>
      <c r="W759" s="98"/>
      <c r="X759" s="98"/>
      <c r="Y759" s="98"/>
      <c r="Z759" s="98"/>
      <c r="AA759" s="98"/>
      <c r="AB759" s="98"/>
      <c r="AC759" s="98"/>
      <c r="AD759" s="98"/>
      <c r="AE759" s="98"/>
      <c r="AF759" s="98"/>
      <c r="AG759" s="98"/>
    </row>
    <row r="760" spans="1:33" ht="15" customHeight="1">
      <c r="A760" s="286"/>
      <c r="B760" s="98"/>
      <c r="C760" s="98"/>
      <c r="D760" s="98"/>
      <c r="E760" s="98"/>
      <c r="F760" s="98"/>
      <c r="G760" s="98"/>
      <c r="H760" s="98"/>
      <c r="I760" s="98"/>
      <c r="J760" s="98"/>
      <c r="K760" s="98"/>
      <c r="L760" s="98"/>
      <c r="M760" s="98"/>
      <c r="N760" s="98"/>
      <c r="O760" s="98"/>
      <c r="P760" s="98"/>
      <c r="Q760" s="98"/>
      <c r="R760" s="98"/>
      <c r="S760" s="98"/>
      <c r="T760" s="98"/>
      <c r="U760" s="98"/>
      <c r="V760" s="98"/>
      <c r="W760" s="98"/>
      <c r="X760" s="98"/>
      <c r="Y760" s="98"/>
      <c r="Z760" s="98"/>
      <c r="AA760" s="98"/>
      <c r="AB760" s="98"/>
      <c r="AC760" s="98"/>
      <c r="AD760" s="98"/>
      <c r="AE760" s="98"/>
      <c r="AF760" s="98"/>
      <c r="AG760" s="98"/>
    </row>
    <row r="761" spans="1:33" ht="15" customHeight="1">
      <c r="A761" s="286"/>
      <c r="B761" s="98"/>
      <c r="C761" s="98"/>
      <c r="D761" s="98"/>
      <c r="E761" s="98"/>
      <c r="F761" s="98"/>
      <c r="G761" s="98"/>
      <c r="H761" s="98"/>
      <c r="I761" s="98"/>
      <c r="J761" s="98"/>
      <c r="K761" s="98"/>
      <c r="L761" s="98"/>
      <c r="M761" s="98"/>
      <c r="N761" s="98"/>
      <c r="O761" s="98"/>
      <c r="P761" s="98"/>
      <c r="Q761" s="98"/>
      <c r="R761" s="98"/>
      <c r="S761" s="98"/>
      <c r="T761" s="98"/>
      <c r="U761" s="98"/>
      <c r="V761" s="98"/>
      <c r="W761" s="98"/>
      <c r="X761" s="98"/>
      <c r="Y761" s="98"/>
      <c r="Z761" s="98"/>
      <c r="AA761" s="98"/>
      <c r="AB761" s="98"/>
      <c r="AC761" s="98"/>
      <c r="AD761" s="98"/>
      <c r="AE761" s="98"/>
      <c r="AF761" s="98"/>
      <c r="AG761" s="98"/>
    </row>
    <row r="762" spans="1:33" ht="15" customHeight="1">
      <c r="A762" s="286"/>
      <c r="B762" s="98"/>
      <c r="C762" s="98"/>
      <c r="D762" s="98"/>
      <c r="E762" s="98"/>
      <c r="F762" s="98"/>
      <c r="G762" s="98"/>
      <c r="H762" s="98"/>
      <c r="I762" s="98"/>
      <c r="J762" s="98"/>
      <c r="K762" s="98"/>
      <c r="L762" s="98"/>
      <c r="M762" s="98"/>
      <c r="N762" s="98"/>
      <c r="O762" s="98"/>
      <c r="P762" s="98"/>
      <c r="Q762" s="98"/>
      <c r="R762" s="98"/>
      <c r="S762" s="98"/>
      <c r="T762" s="98"/>
      <c r="U762" s="98"/>
      <c r="V762" s="98"/>
      <c r="W762" s="98"/>
      <c r="X762" s="98"/>
      <c r="Y762" s="98"/>
      <c r="Z762" s="98"/>
      <c r="AA762" s="98"/>
      <c r="AB762" s="98"/>
      <c r="AC762" s="98"/>
      <c r="AD762" s="98"/>
      <c r="AE762" s="98"/>
      <c r="AF762" s="98"/>
      <c r="AG762" s="98"/>
    </row>
    <row r="763" spans="1:33" ht="15" customHeight="1">
      <c r="A763" s="286"/>
      <c r="B763" s="98"/>
      <c r="C763" s="98"/>
      <c r="D763" s="98"/>
      <c r="E763" s="98"/>
      <c r="F763" s="98"/>
      <c r="G763" s="98"/>
      <c r="H763" s="98"/>
      <c r="I763" s="98"/>
      <c r="J763" s="98"/>
      <c r="K763" s="98"/>
      <c r="L763" s="98"/>
      <c r="M763" s="98"/>
      <c r="N763" s="98"/>
      <c r="O763" s="98"/>
      <c r="P763" s="98"/>
      <c r="Q763" s="98"/>
      <c r="R763" s="98"/>
      <c r="S763" s="98"/>
      <c r="T763" s="98"/>
      <c r="U763" s="98"/>
      <c r="V763" s="98"/>
      <c r="W763" s="98"/>
      <c r="X763" s="98"/>
      <c r="Y763" s="98"/>
      <c r="Z763" s="98"/>
      <c r="AA763" s="98"/>
      <c r="AB763" s="98"/>
      <c r="AC763" s="98"/>
      <c r="AD763" s="98"/>
      <c r="AE763" s="98"/>
      <c r="AF763" s="98"/>
      <c r="AG763" s="98"/>
    </row>
    <row r="764" spans="1:33" ht="15" customHeight="1">
      <c r="A764" s="286"/>
      <c r="B764" s="98"/>
      <c r="C764" s="98"/>
      <c r="D764" s="98"/>
      <c r="E764" s="98"/>
      <c r="F764" s="98"/>
      <c r="G764" s="98"/>
      <c r="H764" s="98"/>
      <c r="I764" s="98"/>
      <c r="J764" s="98"/>
      <c r="K764" s="98"/>
      <c r="L764" s="98"/>
      <c r="M764" s="98"/>
      <c r="N764" s="98"/>
      <c r="O764" s="98"/>
      <c r="P764" s="98"/>
      <c r="Q764" s="98"/>
      <c r="R764" s="98"/>
      <c r="S764" s="98"/>
      <c r="T764" s="98"/>
      <c r="U764" s="98"/>
      <c r="V764" s="98"/>
      <c r="W764" s="98"/>
      <c r="X764" s="98"/>
      <c r="Y764" s="98"/>
      <c r="Z764" s="98"/>
      <c r="AA764" s="98"/>
      <c r="AB764" s="98"/>
      <c r="AC764" s="98"/>
      <c r="AD764" s="98"/>
      <c r="AE764" s="98"/>
      <c r="AF764" s="98"/>
      <c r="AG764" s="98"/>
    </row>
    <row r="765" spans="1:33" ht="15" customHeight="1">
      <c r="A765" s="286"/>
      <c r="B765" s="98"/>
      <c r="C765" s="98"/>
      <c r="D765" s="98"/>
      <c r="E765" s="98"/>
      <c r="F765" s="98"/>
      <c r="G765" s="98"/>
      <c r="H765" s="98"/>
      <c r="I765" s="98"/>
      <c r="J765" s="98"/>
      <c r="K765" s="98"/>
      <c r="L765" s="98"/>
      <c r="M765" s="98"/>
      <c r="N765" s="98"/>
      <c r="O765" s="98"/>
      <c r="P765" s="98"/>
      <c r="Q765" s="98"/>
      <c r="R765" s="98"/>
      <c r="S765" s="98"/>
      <c r="T765" s="98"/>
      <c r="U765" s="98"/>
      <c r="V765" s="98"/>
      <c r="W765" s="98"/>
      <c r="X765" s="98"/>
      <c r="Y765" s="98"/>
      <c r="Z765" s="98"/>
      <c r="AA765" s="98"/>
      <c r="AB765" s="98"/>
      <c r="AC765" s="98"/>
      <c r="AD765" s="98"/>
      <c r="AE765" s="98"/>
      <c r="AF765" s="98"/>
      <c r="AG765" s="98"/>
    </row>
    <row r="766" spans="1:33" ht="15" customHeight="1">
      <c r="A766" s="286"/>
      <c r="B766" s="98"/>
      <c r="C766" s="98"/>
      <c r="D766" s="98"/>
      <c r="E766" s="98"/>
      <c r="F766" s="98"/>
      <c r="G766" s="98"/>
      <c r="H766" s="98"/>
      <c r="I766" s="98"/>
      <c r="J766" s="98"/>
      <c r="K766" s="98"/>
      <c r="L766" s="98"/>
      <c r="M766" s="98"/>
      <c r="N766" s="98"/>
      <c r="O766" s="98"/>
      <c r="P766" s="98"/>
      <c r="Q766" s="98"/>
      <c r="R766" s="98"/>
      <c r="S766" s="98"/>
      <c r="T766" s="98"/>
      <c r="U766" s="98"/>
      <c r="V766" s="98"/>
      <c r="W766" s="98"/>
      <c r="X766" s="98"/>
      <c r="Y766" s="98"/>
      <c r="Z766" s="98"/>
      <c r="AA766" s="98"/>
      <c r="AB766" s="98"/>
      <c r="AC766" s="98"/>
      <c r="AD766" s="98"/>
      <c r="AE766" s="98"/>
      <c r="AF766" s="98"/>
      <c r="AG766" s="98"/>
    </row>
    <row r="767" spans="1:33" ht="15" customHeight="1">
      <c r="A767" s="286"/>
      <c r="B767" s="98"/>
      <c r="C767" s="98"/>
      <c r="D767" s="98"/>
      <c r="E767" s="98"/>
      <c r="F767" s="98"/>
      <c r="G767" s="98"/>
      <c r="H767" s="98"/>
      <c r="I767" s="98"/>
      <c r="J767" s="98"/>
      <c r="K767" s="98"/>
      <c r="L767" s="98"/>
      <c r="M767" s="98"/>
      <c r="N767" s="98"/>
      <c r="O767" s="98"/>
      <c r="P767" s="98"/>
      <c r="Q767" s="98"/>
      <c r="R767" s="98"/>
      <c r="S767" s="98"/>
      <c r="T767" s="98"/>
      <c r="U767" s="98"/>
      <c r="V767" s="98"/>
      <c r="W767" s="98"/>
      <c r="X767" s="98"/>
      <c r="Y767" s="98"/>
      <c r="Z767" s="98"/>
      <c r="AA767" s="98"/>
      <c r="AB767" s="98"/>
      <c r="AC767" s="98"/>
      <c r="AD767" s="98"/>
      <c r="AE767" s="98"/>
      <c r="AF767" s="98"/>
      <c r="AG767" s="98"/>
    </row>
    <row r="768" spans="1:33" ht="15" customHeight="1">
      <c r="A768" s="286"/>
      <c r="B768" s="98"/>
      <c r="C768" s="98"/>
      <c r="D768" s="98"/>
      <c r="E768" s="98"/>
      <c r="F768" s="98"/>
      <c r="G768" s="98"/>
      <c r="H768" s="98"/>
      <c r="I768" s="98"/>
      <c r="J768" s="98"/>
      <c r="K768" s="98"/>
      <c r="L768" s="98"/>
      <c r="M768" s="98"/>
      <c r="N768" s="98"/>
      <c r="O768" s="98"/>
      <c r="P768" s="98"/>
      <c r="Q768" s="98"/>
      <c r="R768" s="98"/>
      <c r="S768" s="98"/>
      <c r="T768" s="98"/>
      <c r="U768" s="98"/>
      <c r="V768" s="98"/>
      <c r="W768" s="98"/>
      <c r="X768" s="98"/>
      <c r="Y768" s="98"/>
      <c r="Z768" s="98"/>
      <c r="AA768" s="98"/>
      <c r="AB768" s="98"/>
      <c r="AC768" s="98"/>
      <c r="AD768" s="98"/>
      <c r="AE768" s="98"/>
      <c r="AF768" s="98"/>
      <c r="AG768" s="98"/>
    </row>
    <row r="769" spans="1:33" ht="15" customHeight="1">
      <c r="A769" s="286"/>
      <c r="B769" s="98"/>
      <c r="C769" s="98"/>
      <c r="D769" s="98"/>
      <c r="E769" s="98"/>
      <c r="F769" s="98"/>
      <c r="G769" s="98"/>
      <c r="H769" s="98"/>
      <c r="I769" s="98"/>
      <c r="J769" s="98"/>
      <c r="K769" s="98"/>
      <c r="L769" s="98"/>
      <c r="M769" s="98"/>
      <c r="N769" s="98"/>
      <c r="O769" s="98"/>
      <c r="P769" s="98"/>
      <c r="Q769" s="98"/>
      <c r="R769" s="98"/>
      <c r="S769" s="98"/>
      <c r="T769" s="98"/>
      <c r="U769" s="98"/>
      <c r="V769" s="98"/>
      <c r="W769" s="98"/>
      <c r="X769" s="98"/>
      <c r="Y769" s="98"/>
      <c r="Z769" s="98"/>
      <c r="AA769" s="98"/>
      <c r="AB769" s="98"/>
      <c r="AC769" s="98"/>
      <c r="AD769" s="98"/>
      <c r="AE769" s="98"/>
      <c r="AF769" s="98"/>
      <c r="AG769" s="98"/>
    </row>
    <row r="770" spans="1:33" ht="15" customHeight="1">
      <c r="A770" s="286"/>
      <c r="B770" s="98"/>
      <c r="C770" s="98"/>
      <c r="D770" s="98"/>
      <c r="E770" s="98"/>
      <c r="F770" s="98"/>
      <c r="G770" s="98"/>
      <c r="H770" s="98"/>
      <c r="I770" s="98"/>
      <c r="J770" s="98"/>
      <c r="K770" s="98"/>
      <c r="L770" s="98"/>
      <c r="M770" s="98"/>
      <c r="N770" s="98"/>
      <c r="O770" s="98"/>
      <c r="P770" s="98"/>
      <c r="Q770" s="98"/>
      <c r="R770" s="98"/>
      <c r="S770" s="98"/>
      <c r="T770" s="98"/>
      <c r="U770" s="98"/>
      <c r="V770" s="98"/>
      <c r="W770" s="98"/>
      <c r="X770" s="98"/>
      <c r="Y770" s="98"/>
      <c r="Z770" s="98"/>
      <c r="AA770" s="98"/>
      <c r="AB770" s="98"/>
      <c r="AC770" s="98"/>
      <c r="AD770" s="98"/>
      <c r="AE770" s="98"/>
      <c r="AF770" s="98"/>
      <c r="AG770" s="98"/>
    </row>
    <row r="771" spans="1:33" ht="15" customHeight="1">
      <c r="A771" s="286"/>
      <c r="B771" s="98"/>
      <c r="C771" s="98"/>
      <c r="D771" s="98"/>
      <c r="E771" s="98"/>
      <c r="F771" s="98"/>
      <c r="G771" s="98"/>
      <c r="H771" s="98"/>
      <c r="I771" s="98"/>
      <c r="J771" s="98"/>
      <c r="K771" s="98"/>
      <c r="L771" s="98"/>
      <c r="M771" s="98"/>
      <c r="N771" s="98"/>
      <c r="O771" s="98"/>
      <c r="P771" s="98"/>
      <c r="Q771" s="98"/>
      <c r="R771" s="98"/>
      <c r="S771" s="98"/>
      <c r="T771" s="98"/>
      <c r="U771" s="98"/>
      <c r="V771" s="98"/>
      <c r="W771" s="98"/>
      <c r="X771" s="98"/>
      <c r="Y771" s="98"/>
      <c r="Z771" s="98"/>
      <c r="AA771" s="98"/>
      <c r="AB771" s="98"/>
      <c r="AC771" s="98"/>
      <c r="AD771" s="98"/>
      <c r="AE771" s="98"/>
      <c r="AF771" s="98"/>
      <c r="AG771" s="98"/>
    </row>
    <row r="772" spans="1:33" ht="15" customHeight="1">
      <c r="A772" s="286"/>
      <c r="B772" s="98"/>
      <c r="C772" s="98"/>
      <c r="D772" s="98"/>
      <c r="E772" s="98"/>
      <c r="F772" s="98"/>
      <c r="G772" s="98"/>
      <c r="H772" s="98"/>
      <c r="I772" s="98"/>
      <c r="J772" s="98"/>
      <c r="K772" s="98"/>
      <c r="L772" s="98"/>
      <c r="M772" s="98"/>
      <c r="N772" s="98"/>
      <c r="O772" s="98"/>
      <c r="P772" s="98"/>
      <c r="Q772" s="98"/>
      <c r="R772" s="98"/>
      <c r="S772" s="98"/>
      <c r="T772" s="98"/>
      <c r="U772" s="98"/>
      <c r="V772" s="98"/>
      <c r="W772" s="98"/>
      <c r="X772" s="98"/>
      <c r="Y772" s="98"/>
      <c r="Z772" s="98"/>
      <c r="AA772" s="98"/>
      <c r="AB772" s="98"/>
      <c r="AC772" s="98"/>
      <c r="AD772" s="98"/>
      <c r="AE772" s="98"/>
      <c r="AF772" s="98"/>
      <c r="AG772" s="98"/>
    </row>
    <row r="773" spans="1:33" ht="15" customHeight="1">
      <c r="A773" s="286"/>
      <c r="B773" s="98"/>
      <c r="C773" s="98"/>
      <c r="D773" s="98"/>
      <c r="E773" s="98"/>
      <c r="F773" s="98"/>
      <c r="G773" s="98"/>
      <c r="H773" s="98"/>
      <c r="I773" s="98"/>
      <c r="J773" s="98"/>
      <c r="K773" s="98"/>
      <c r="L773" s="98"/>
      <c r="M773" s="98"/>
      <c r="N773" s="98"/>
      <c r="O773" s="98"/>
      <c r="P773" s="98"/>
      <c r="Q773" s="98"/>
      <c r="R773" s="98"/>
      <c r="S773" s="98"/>
      <c r="T773" s="98"/>
      <c r="U773" s="98"/>
      <c r="V773" s="98"/>
      <c r="W773" s="98"/>
      <c r="X773" s="98"/>
      <c r="Y773" s="98"/>
      <c r="Z773" s="98"/>
      <c r="AA773" s="98"/>
      <c r="AB773" s="98"/>
      <c r="AC773" s="98"/>
      <c r="AD773" s="98"/>
      <c r="AE773" s="98"/>
      <c r="AF773" s="98"/>
      <c r="AG773" s="98"/>
    </row>
    <row r="774" spans="1:33" ht="15" customHeight="1">
      <c r="A774" s="286"/>
      <c r="B774" s="98"/>
      <c r="C774" s="98"/>
      <c r="D774" s="98"/>
      <c r="E774" s="98"/>
      <c r="F774" s="98"/>
      <c r="G774" s="98"/>
      <c r="H774" s="98"/>
      <c r="I774" s="98"/>
      <c r="J774" s="98"/>
      <c r="K774" s="98"/>
      <c r="L774" s="98"/>
      <c r="M774" s="98"/>
      <c r="N774" s="98"/>
      <c r="O774" s="98"/>
      <c r="P774" s="98"/>
      <c r="Q774" s="98"/>
      <c r="R774" s="98"/>
      <c r="S774" s="98"/>
      <c r="T774" s="98"/>
      <c r="U774" s="98"/>
      <c r="V774" s="98"/>
      <c r="W774" s="98"/>
      <c r="X774" s="98"/>
      <c r="Y774" s="98"/>
      <c r="Z774" s="98"/>
      <c r="AA774" s="98"/>
      <c r="AB774" s="98"/>
      <c r="AC774" s="98"/>
      <c r="AD774" s="98"/>
      <c r="AE774" s="98"/>
      <c r="AF774" s="98"/>
      <c r="AG774" s="98"/>
    </row>
    <row r="775" spans="1:33" ht="15" customHeight="1">
      <c r="A775" s="286"/>
      <c r="B775" s="98"/>
      <c r="C775" s="98"/>
      <c r="D775" s="98"/>
      <c r="E775" s="98"/>
      <c r="F775" s="98"/>
      <c r="G775" s="98"/>
      <c r="H775" s="98"/>
      <c r="I775" s="98"/>
      <c r="J775" s="98"/>
      <c r="K775" s="98"/>
      <c r="L775" s="98"/>
      <c r="M775" s="98"/>
      <c r="N775" s="98"/>
      <c r="O775" s="98"/>
      <c r="P775" s="98"/>
      <c r="Q775" s="98"/>
      <c r="R775" s="98"/>
      <c r="S775" s="98"/>
      <c r="T775" s="98"/>
      <c r="U775" s="98"/>
      <c r="V775" s="98"/>
      <c r="W775" s="98"/>
      <c r="X775" s="98"/>
      <c r="Y775" s="98"/>
      <c r="Z775" s="98"/>
      <c r="AA775" s="98"/>
      <c r="AB775" s="98"/>
      <c r="AC775" s="98"/>
      <c r="AD775" s="98"/>
      <c r="AE775" s="98"/>
      <c r="AF775" s="98"/>
      <c r="AG775" s="98"/>
    </row>
    <row r="776" spans="1:33" ht="15" customHeight="1">
      <c r="A776" s="286"/>
      <c r="B776" s="98"/>
      <c r="C776" s="98"/>
      <c r="D776" s="98"/>
      <c r="E776" s="98"/>
      <c r="F776" s="98"/>
      <c r="G776" s="98"/>
      <c r="H776" s="98"/>
      <c r="I776" s="98"/>
      <c r="J776" s="98"/>
      <c r="K776" s="98"/>
      <c r="L776" s="98"/>
      <c r="M776" s="98"/>
      <c r="N776" s="98"/>
      <c r="O776" s="98"/>
      <c r="P776" s="98"/>
      <c r="Q776" s="98"/>
      <c r="R776" s="98"/>
      <c r="S776" s="98"/>
      <c r="T776" s="98"/>
      <c r="U776" s="98"/>
      <c r="V776" s="98"/>
      <c r="W776" s="98"/>
      <c r="X776" s="98"/>
      <c r="Y776" s="98"/>
      <c r="Z776" s="98"/>
      <c r="AA776" s="98"/>
      <c r="AB776" s="98"/>
      <c r="AC776" s="98"/>
      <c r="AD776" s="98"/>
      <c r="AE776" s="98"/>
      <c r="AF776" s="98"/>
      <c r="AG776" s="98"/>
    </row>
    <row r="777" spans="1:33" ht="15" customHeight="1">
      <c r="A777" s="286"/>
      <c r="B777" s="98"/>
      <c r="C777" s="98"/>
      <c r="D777" s="98"/>
      <c r="E777" s="98"/>
      <c r="F777" s="98"/>
      <c r="G777" s="98"/>
      <c r="H777" s="98"/>
      <c r="I777" s="98"/>
      <c r="J777" s="98"/>
      <c r="K777" s="98"/>
      <c r="L777" s="98"/>
      <c r="M777" s="98"/>
      <c r="N777" s="98"/>
      <c r="O777" s="98"/>
      <c r="P777" s="98"/>
      <c r="Q777" s="98"/>
      <c r="R777" s="98"/>
      <c r="S777" s="98"/>
      <c r="T777" s="98"/>
      <c r="U777" s="98"/>
      <c r="V777" s="98"/>
      <c r="W777" s="98"/>
      <c r="X777" s="98"/>
      <c r="Y777" s="98"/>
      <c r="Z777" s="98"/>
      <c r="AA777" s="98"/>
      <c r="AB777" s="98"/>
      <c r="AC777" s="98"/>
      <c r="AD777" s="98"/>
      <c r="AE777" s="98"/>
      <c r="AF777" s="98"/>
      <c r="AG777" s="98"/>
    </row>
    <row r="778" spans="1:33" ht="15" customHeight="1">
      <c r="A778" s="286"/>
      <c r="B778" s="98"/>
      <c r="C778" s="98"/>
      <c r="D778" s="98"/>
      <c r="E778" s="98"/>
      <c r="F778" s="98"/>
      <c r="G778" s="98"/>
      <c r="H778" s="98"/>
      <c r="I778" s="98"/>
      <c r="J778" s="98"/>
      <c r="K778" s="98"/>
      <c r="L778" s="98"/>
      <c r="M778" s="98"/>
      <c r="N778" s="98"/>
      <c r="O778" s="98"/>
      <c r="P778" s="98"/>
      <c r="Q778" s="98"/>
      <c r="R778" s="98"/>
      <c r="S778" s="98"/>
      <c r="T778" s="98"/>
      <c r="U778" s="98"/>
      <c r="V778" s="98"/>
      <c r="W778" s="98"/>
      <c r="X778" s="98"/>
      <c r="Y778" s="98"/>
      <c r="Z778" s="98"/>
      <c r="AA778" s="98"/>
      <c r="AB778" s="98"/>
      <c r="AC778" s="98"/>
      <c r="AD778" s="98"/>
      <c r="AE778" s="98"/>
      <c r="AF778" s="98"/>
      <c r="AG778" s="98"/>
    </row>
    <row r="779" spans="1:33" ht="15" customHeight="1">
      <c r="A779" s="286"/>
      <c r="B779" s="98"/>
      <c r="C779" s="98"/>
      <c r="D779" s="98"/>
      <c r="E779" s="98"/>
      <c r="F779" s="98"/>
      <c r="G779" s="98"/>
      <c r="H779" s="98"/>
      <c r="I779" s="98"/>
      <c r="J779" s="98"/>
      <c r="K779" s="98"/>
      <c r="L779" s="98"/>
      <c r="M779" s="98"/>
      <c r="N779" s="98"/>
      <c r="O779" s="98"/>
      <c r="P779" s="98"/>
      <c r="Q779" s="98"/>
      <c r="R779" s="98"/>
      <c r="S779" s="98"/>
      <c r="T779" s="98"/>
      <c r="U779" s="98"/>
      <c r="V779" s="98"/>
      <c r="W779" s="98"/>
      <c r="X779" s="98"/>
      <c r="Y779" s="98"/>
      <c r="Z779" s="98"/>
      <c r="AA779" s="98"/>
      <c r="AB779" s="98"/>
      <c r="AC779" s="98"/>
      <c r="AD779" s="98"/>
      <c r="AE779" s="98"/>
      <c r="AF779" s="98"/>
      <c r="AG779" s="98"/>
    </row>
    <row r="780" spans="1:33" ht="15" customHeight="1">
      <c r="A780" s="286"/>
      <c r="B780" s="98"/>
      <c r="C780" s="98"/>
      <c r="D780" s="98"/>
      <c r="E780" s="98"/>
      <c r="F780" s="98"/>
      <c r="G780" s="98"/>
      <c r="H780" s="98"/>
      <c r="I780" s="98"/>
      <c r="J780" s="98"/>
      <c r="K780" s="98"/>
      <c r="L780" s="98"/>
      <c r="M780" s="98"/>
      <c r="N780" s="98"/>
      <c r="O780" s="98"/>
      <c r="P780" s="98"/>
      <c r="Q780" s="98"/>
      <c r="R780" s="98"/>
      <c r="S780" s="98"/>
      <c r="T780" s="98"/>
      <c r="U780" s="98"/>
      <c r="V780" s="98"/>
      <c r="W780" s="98"/>
      <c r="X780" s="98"/>
      <c r="Y780" s="98"/>
      <c r="Z780" s="98"/>
      <c r="AA780" s="98"/>
      <c r="AB780" s="98"/>
      <c r="AC780" s="98"/>
      <c r="AD780" s="98"/>
      <c r="AE780" s="98"/>
      <c r="AF780" s="98"/>
      <c r="AG780" s="98"/>
    </row>
    <row r="781" spans="1:33" ht="15" customHeight="1">
      <c r="A781" s="286"/>
      <c r="B781" s="98"/>
      <c r="C781" s="98"/>
      <c r="D781" s="98"/>
      <c r="E781" s="98"/>
      <c r="F781" s="98"/>
      <c r="G781" s="98"/>
      <c r="H781" s="98"/>
      <c r="I781" s="98"/>
      <c r="J781" s="98"/>
      <c r="K781" s="98"/>
      <c r="L781" s="98"/>
      <c r="M781" s="98"/>
      <c r="N781" s="98"/>
      <c r="O781" s="98"/>
      <c r="P781" s="98"/>
      <c r="Q781" s="98"/>
      <c r="R781" s="98"/>
      <c r="S781" s="98"/>
      <c r="T781" s="98"/>
      <c r="U781" s="98"/>
      <c r="V781" s="98"/>
      <c r="W781" s="98"/>
      <c r="X781" s="98"/>
      <c r="Y781" s="98"/>
      <c r="Z781" s="98"/>
      <c r="AA781" s="98"/>
      <c r="AB781" s="98"/>
      <c r="AC781" s="98"/>
      <c r="AD781" s="98"/>
      <c r="AE781" s="98"/>
      <c r="AF781" s="98"/>
      <c r="AG781" s="98"/>
    </row>
    <row r="782" spans="1:33" ht="15" customHeight="1">
      <c r="A782" s="286"/>
      <c r="B782" s="98"/>
      <c r="C782" s="98"/>
      <c r="D782" s="98"/>
      <c r="E782" s="98"/>
      <c r="F782" s="98"/>
      <c r="G782" s="98"/>
      <c r="H782" s="98"/>
      <c r="I782" s="98"/>
      <c r="J782" s="98"/>
      <c r="K782" s="98"/>
      <c r="L782" s="98"/>
      <c r="M782" s="98"/>
      <c r="N782" s="98"/>
      <c r="O782" s="98"/>
      <c r="P782" s="98"/>
      <c r="Q782" s="98"/>
      <c r="R782" s="98"/>
      <c r="S782" s="98"/>
      <c r="T782" s="98"/>
      <c r="U782" s="98"/>
      <c r="V782" s="98"/>
      <c r="W782" s="98"/>
      <c r="X782" s="98"/>
      <c r="Y782" s="98"/>
      <c r="Z782" s="98"/>
      <c r="AA782" s="98"/>
      <c r="AB782" s="98"/>
      <c r="AC782" s="98"/>
      <c r="AD782" s="98"/>
      <c r="AE782" s="98"/>
      <c r="AF782" s="98"/>
      <c r="AG782" s="98"/>
    </row>
    <row r="783" spans="1:33" ht="15" customHeight="1">
      <c r="A783" s="286"/>
      <c r="B783" s="98"/>
      <c r="C783" s="98"/>
      <c r="D783" s="98"/>
      <c r="E783" s="98"/>
      <c r="F783" s="98"/>
      <c r="G783" s="98"/>
      <c r="H783" s="98"/>
      <c r="I783" s="98"/>
      <c r="J783" s="98"/>
      <c r="K783" s="98"/>
      <c r="L783" s="98"/>
      <c r="M783" s="98"/>
      <c r="N783" s="98"/>
      <c r="O783" s="98"/>
      <c r="P783" s="98"/>
      <c r="Q783" s="98"/>
      <c r="R783" s="98"/>
      <c r="S783" s="98"/>
      <c r="T783" s="98"/>
      <c r="U783" s="98"/>
      <c r="V783" s="98"/>
      <c r="W783" s="98"/>
      <c r="X783" s="98"/>
      <c r="Y783" s="98"/>
      <c r="Z783" s="98"/>
      <c r="AA783" s="98"/>
      <c r="AB783" s="98"/>
      <c r="AC783" s="98"/>
      <c r="AD783" s="98"/>
      <c r="AE783" s="98"/>
      <c r="AF783" s="98"/>
      <c r="AG783" s="98"/>
    </row>
    <row r="784" spans="1:33" ht="15" customHeight="1">
      <c r="A784" s="286"/>
      <c r="B784" s="98"/>
      <c r="C784" s="98"/>
      <c r="D784" s="98"/>
      <c r="E784" s="98"/>
      <c r="F784" s="98"/>
      <c r="G784" s="98"/>
      <c r="H784" s="98"/>
      <c r="I784" s="98"/>
      <c r="J784" s="98"/>
      <c r="K784" s="98"/>
      <c r="L784" s="98"/>
      <c r="M784" s="98"/>
      <c r="N784" s="98"/>
      <c r="O784" s="98"/>
      <c r="P784" s="98"/>
      <c r="Q784" s="98"/>
      <c r="R784" s="98"/>
      <c r="S784" s="98"/>
      <c r="T784" s="98"/>
      <c r="U784" s="98"/>
      <c r="V784" s="98"/>
      <c r="W784" s="98"/>
      <c r="X784" s="98"/>
      <c r="Y784" s="98"/>
      <c r="Z784" s="98"/>
      <c r="AA784" s="98"/>
      <c r="AB784" s="98"/>
      <c r="AC784" s="98"/>
      <c r="AD784" s="98"/>
      <c r="AE784" s="98"/>
      <c r="AF784" s="98"/>
      <c r="AG784" s="98"/>
    </row>
    <row r="785" spans="1:33" ht="15" customHeight="1">
      <c r="A785" s="286"/>
      <c r="B785" s="98"/>
      <c r="C785" s="98"/>
      <c r="D785" s="98"/>
      <c r="E785" s="98"/>
      <c r="F785" s="98"/>
      <c r="G785" s="98"/>
      <c r="H785" s="98"/>
      <c r="I785" s="98"/>
      <c r="J785" s="98"/>
      <c r="K785" s="98"/>
      <c r="L785" s="98"/>
      <c r="M785" s="98"/>
      <c r="N785" s="98"/>
      <c r="O785" s="98"/>
      <c r="P785" s="98"/>
      <c r="Q785" s="98"/>
      <c r="R785" s="98"/>
      <c r="S785" s="98"/>
      <c r="T785" s="98"/>
      <c r="U785" s="98"/>
      <c r="V785" s="98"/>
      <c r="W785" s="98"/>
      <c r="X785" s="98"/>
      <c r="Y785" s="98"/>
      <c r="Z785" s="98"/>
      <c r="AA785" s="98"/>
      <c r="AB785" s="98"/>
      <c r="AC785" s="98"/>
      <c r="AD785" s="98"/>
      <c r="AE785" s="98"/>
      <c r="AF785" s="98"/>
      <c r="AG785" s="98"/>
    </row>
    <row r="786" spans="1:33" ht="15" customHeight="1">
      <c r="A786" s="286"/>
      <c r="B786" s="98"/>
      <c r="C786" s="98"/>
      <c r="D786" s="98"/>
      <c r="E786" s="98"/>
      <c r="F786" s="98"/>
      <c r="G786" s="98"/>
      <c r="H786" s="98"/>
      <c r="I786" s="98"/>
      <c r="J786" s="98"/>
      <c r="K786" s="98"/>
      <c r="L786" s="98"/>
      <c r="M786" s="98"/>
      <c r="N786" s="98"/>
      <c r="O786" s="98"/>
      <c r="P786" s="98"/>
      <c r="Q786" s="98"/>
      <c r="R786" s="98"/>
      <c r="S786" s="98"/>
      <c r="T786" s="98"/>
      <c r="U786" s="98"/>
      <c r="V786" s="98"/>
      <c r="W786" s="98"/>
      <c r="X786" s="98"/>
      <c r="Y786" s="98"/>
      <c r="Z786" s="98"/>
      <c r="AA786" s="98"/>
      <c r="AB786" s="98"/>
      <c r="AC786" s="98"/>
      <c r="AD786" s="98"/>
      <c r="AE786" s="98"/>
      <c r="AF786" s="98"/>
      <c r="AG786" s="98"/>
    </row>
    <row r="787" spans="1:33" ht="15" customHeight="1">
      <c r="A787" s="286"/>
      <c r="B787" s="98"/>
      <c r="C787" s="98"/>
      <c r="D787" s="98"/>
      <c r="E787" s="98"/>
      <c r="F787" s="98"/>
      <c r="G787" s="98"/>
      <c r="H787" s="98"/>
      <c r="I787" s="98"/>
      <c r="J787" s="98"/>
      <c r="K787" s="98"/>
      <c r="L787" s="98"/>
      <c r="M787" s="98"/>
      <c r="N787" s="98"/>
      <c r="O787" s="98"/>
      <c r="P787" s="98"/>
      <c r="Q787" s="98"/>
      <c r="R787" s="98"/>
      <c r="S787" s="98"/>
      <c r="T787" s="98"/>
      <c r="U787" s="98"/>
      <c r="V787" s="98"/>
      <c r="W787" s="98"/>
      <c r="X787" s="98"/>
      <c r="Y787" s="98"/>
      <c r="Z787" s="98"/>
      <c r="AA787" s="98"/>
      <c r="AB787" s="98"/>
      <c r="AC787" s="98"/>
      <c r="AD787" s="98"/>
      <c r="AE787" s="98"/>
      <c r="AF787" s="98"/>
      <c r="AG787" s="98"/>
    </row>
    <row r="788" spans="1:33" ht="15" customHeight="1">
      <c r="A788" s="286"/>
      <c r="B788" s="98"/>
      <c r="C788" s="98"/>
      <c r="D788" s="98"/>
      <c r="E788" s="98"/>
      <c r="F788" s="98"/>
      <c r="G788" s="98"/>
      <c r="H788" s="98"/>
      <c r="I788" s="98"/>
      <c r="J788" s="98"/>
      <c r="K788" s="98"/>
      <c r="L788" s="98"/>
      <c r="M788" s="98"/>
      <c r="N788" s="98"/>
      <c r="O788" s="98"/>
      <c r="P788" s="98"/>
      <c r="Q788" s="98"/>
      <c r="R788" s="98"/>
      <c r="S788" s="98"/>
      <c r="T788" s="98"/>
      <c r="U788" s="98"/>
      <c r="V788" s="98"/>
      <c r="W788" s="98"/>
      <c r="X788" s="98"/>
      <c r="Y788" s="98"/>
      <c r="Z788" s="98"/>
      <c r="AA788" s="98"/>
      <c r="AB788" s="98"/>
      <c r="AC788" s="98"/>
      <c r="AD788" s="98"/>
      <c r="AE788" s="98"/>
      <c r="AF788" s="98"/>
      <c r="AG788" s="98"/>
    </row>
    <row r="789" spans="1:33" ht="15" customHeight="1">
      <c r="A789" s="286"/>
      <c r="B789" s="98"/>
      <c r="C789" s="98"/>
      <c r="D789" s="98"/>
      <c r="E789" s="98"/>
      <c r="F789" s="98"/>
      <c r="G789" s="98"/>
      <c r="H789" s="98"/>
      <c r="I789" s="98"/>
      <c r="J789" s="98"/>
      <c r="K789" s="98"/>
      <c r="L789" s="98"/>
      <c r="M789" s="98"/>
      <c r="N789" s="98"/>
      <c r="O789" s="98"/>
      <c r="P789" s="98"/>
      <c r="Q789" s="98"/>
      <c r="R789" s="98"/>
      <c r="S789" s="98"/>
      <c r="T789" s="98"/>
      <c r="U789" s="98"/>
      <c r="V789" s="98"/>
      <c r="W789" s="98"/>
      <c r="X789" s="98"/>
      <c r="Y789" s="98"/>
      <c r="Z789" s="98"/>
      <c r="AA789" s="98"/>
      <c r="AB789" s="98"/>
      <c r="AC789" s="98"/>
      <c r="AD789" s="98"/>
      <c r="AE789" s="98"/>
      <c r="AF789" s="98"/>
      <c r="AG789" s="98"/>
    </row>
    <row r="790" spans="1:33" ht="15" customHeight="1">
      <c r="A790" s="286"/>
      <c r="B790" s="98"/>
      <c r="C790" s="98"/>
      <c r="D790" s="98"/>
      <c r="E790" s="98"/>
      <c r="F790" s="98"/>
      <c r="G790" s="98"/>
      <c r="H790" s="98"/>
      <c r="I790" s="98"/>
      <c r="J790" s="98"/>
      <c r="K790" s="98"/>
      <c r="L790" s="98"/>
      <c r="M790" s="98"/>
      <c r="N790" s="98"/>
      <c r="O790" s="98"/>
      <c r="P790" s="98"/>
      <c r="Q790" s="98"/>
      <c r="R790" s="98"/>
      <c r="S790" s="98"/>
      <c r="T790" s="98"/>
      <c r="U790" s="98"/>
      <c r="V790" s="98"/>
      <c r="W790" s="98"/>
      <c r="X790" s="98"/>
      <c r="Y790" s="98"/>
      <c r="Z790" s="98"/>
      <c r="AA790" s="98"/>
      <c r="AB790" s="98"/>
      <c r="AC790" s="98"/>
      <c r="AD790" s="98"/>
      <c r="AE790" s="98"/>
      <c r="AF790" s="98"/>
      <c r="AG790" s="98"/>
    </row>
    <row r="791" spans="1:33" ht="15" customHeight="1">
      <c r="A791" s="286"/>
      <c r="B791" s="98"/>
      <c r="C791" s="98"/>
      <c r="D791" s="98"/>
      <c r="E791" s="98"/>
      <c r="F791" s="98"/>
      <c r="G791" s="98"/>
      <c r="H791" s="98"/>
      <c r="I791" s="98"/>
      <c r="J791" s="98"/>
      <c r="K791" s="98"/>
      <c r="L791" s="98"/>
      <c r="M791" s="98"/>
      <c r="N791" s="98"/>
      <c r="O791" s="98"/>
      <c r="P791" s="98"/>
      <c r="Q791" s="98"/>
      <c r="R791" s="98"/>
      <c r="S791" s="98"/>
      <c r="T791" s="98"/>
      <c r="U791" s="98"/>
      <c r="V791" s="98"/>
      <c r="W791" s="98"/>
      <c r="X791" s="98"/>
      <c r="Y791" s="98"/>
      <c r="Z791" s="98"/>
      <c r="AA791" s="98"/>
      <c r="AB791" s="98"/>
      <c r="AC791" s="98"/>
      <c r="AD791" s="98"/>
      <c r="AE791" s="98"/>
      <c r="AF791" s="98"/>
      <c r="AG791" s="98"/>
    </row>
    <row r="792" spans="1:33" ht="15" customHeight="1">
      <c r="A792" s="286"/>
      <c r="B792" s="98"/>
      <c r="C792" s="98"/>
      <c r="D792" s="98"/>
      <c r="E792" s="98"/>
      <c r="F792" s="98"/>
      <c r="G792" s="98"/>
      <c r="H792" s="98"/>
      <c r="I792" s="98"/>
      <c r="J792" s="98"/>
      <c r="K792" s="98"/>
      <c r="L792" s="98"/>
      <c r="M792" s="98"/>
      <c r="N792" s="98"/>
      <c r="O792" s="98"/>
      <c r="P792" s="98"/>
      <c r="Q792" s="98"/>
      <c r="R792" s="98"/>
      <c r="S792" s="98"/>
      <c r="T792" s="98"/>
      <c r="U792" s="98"/>
      <c r="V792" s="98"/>
      <c r="W792" s="98"/>
      <c r="X792" s="98"/>
      <c r="Y792" s="98"/>
      <c r="Z792" s="98"/>
      <c r="AA792" s="98"/>
      <c r="AB792" s="98"/>
      <c r="AC792" s="98"/>
      <c r="AD792" s="98"/>
      <c r="AE792" s="98"/>
      <c r="AF792" s="98"/>
      <c r="AG792" s="98"/>
    </row>
    <row r="793" spans="1:33" ht="15" customHeight="1">
      <c r="A793" s="286"/>
      <c r="B793" s="98"/>
      <c r="C793" s="98"/>
      <c r="D793" s="98"/>
      <c r="E793" s="98"/>
      <c r="F793" s="98"/>
      <c r="G793" s="98"/>
      <c r="H793" s="98"/>
      <c r="I793" s="98"/>
      <c r="J793" s="98"/>
      <c r="K793" s="98"/>
      <c r="L793" s="98"/>
      <c r="M793" s="98"/>
      <c r="N793" s="98"/>
      <c r="O793" s="98"/>
      <c r="P793" s="98"/>
      <c r="Q793" s="98"/>
      <c r="R793" s="98"/>
      <c r="S793" s="98"/>
      <c r="T793" s="98"/>
      <c r="U793" s="98"/>
      <c r="V793" s="98"/>
      <c r="W793" s="98"/>
      <c r="X793" s="98"/>
      <c r="Y793" s="98"/>
      <c r="Z793" s="98"/>
      <c r="AA793" s="98"/>
      <c r="AB793" s="98"/>
      <c r="AC793" s="98"/>
      <c r="AD793" s="98"/>
      <c r="AE793" s="98"/>
      <c r="AF793" s="98"/>
      <c r="AG793" s="98"/>
    </row>
    <row r="794" spans="1:33" ht="15" customHeight="1">
      <c r="A794" s="286"/>
      <c r="B794" s="98"/>
      <c r="C794" s="98"/>
      <c r="D794" s="98"/>
      <c r="E794" s="98"/>
      <c r="F794" s="98"/>
      <c r="G794" s="98"/>
      <c r="H794" s="98"/>
      <c r="I794" s="98"/>
      <c r="J794" s="98"/>
      <c r="K794" s="98"/>
      <c r="L794" s="98"/>
      <c r="M794" s="98"/>
      <c r="N794" s="98"/>
      <c r="O794" s="98"/>
      <c r="P794" s="98"/>
      <c r="Q794" s="98"/>
      <c r="R794" s="98"/>
      <c r="S794" s="98"/>
      <c r="T794" s="98"/>
      <c r="U794" s="98"/>
      <c r="V794" s="98"/>
      <c r="W794" s="98"/>
      <c r="X794" s="98"/>
      <c r="Y794" s="98"/>
      <c r="Z794" s="98"/>
      <c r="AA794" s="98"/>
      <c r="AB794" s="98"/>
      <c r="AC794" s="98"/>
      <c r="AD794" s="98"/>
      <c r="AE794" s="98"/>
      <c r="AF794" s="98"/>
      <c r="AG794" s="98"/>
    </row>
    <row r="795" spans="1:33" ht="15" customHeight="1">
      <c r="A795" s="286"/>
      <c r="B795" s="98"/>
      <c r="C795" s="98"/>
      <c r="D795" s="98"/>
      <c r="E795" s="98"/>
      <c r="F795" s="98"/>
      <c r="G795" s="98"/>
      <c r="H795" s="98"/>
      <c r="I795" s="98"/>
      <c r="J795" s="98"/>
      <c r="K795" s="98"/>
      <c r="L795" s="98"/>
      <c r="M795" s="98"/>
      <c r="N795" s="98"/>
      <c r="O795" s="98"/>
      <c r="P795" s="98"/>
      <c r="Q795" s="98"/>
      <c r="R795" s="98"/>
      <c r="S795" s="98"/>
      <c r="T795" s="98"/>
      <c r="U795" s="98"/>
      <c r="V795" s="98"/>
      <c r="W795" s="98"/>
      <c r="X795" s="98"/>
      <c r="Y795" s="98"/>
      <c r="Z795" s="98"/>
      <c r="AA795" s="98"/>
      <c r="AB795" s="98"/>
      <c r="AC795" s="98"/>
      <c r="AD795" s="98"/>
      <c r="AE795" s="98"/>
      <c r="AF795" s="98"/>
      <c r="AG795" s="98"/>
    </row>
    <row r="796" spans="1:33" ht="15" customHeight="1">
      <c r="A796" s="286"/>
      <c r="B796" s="98"/>
      <c r="C796" s="98"/>
      <c r="D796" s="98"/>
      <c r="E796" s="98"/>
      <c r="F796" s="98"/>
      <c r="G796" s="98"/>
      <c r="H796" s="98"/>
      <c r="I796" s="98"/>
      <c r="J796" s="98"/>
      <c r="K796" s="98"/>
      <c r="L796" s="98"/>
      <c r="M796" s="98"/>
      <c r="N796" s="98"/>
      <c r="O796" s="98"/>
      <c r="P796" s="98"/>
      <c r="Q796" s="98"/>
      <c r="R796" s="98"/>
      <c r="S796" s="98"/>
      <c r="T796" s="98"/>
      <c r="U796" s="98"/>
      <c r="V796" s="98"/>
      <c r="W796" s="98"/>
      <c r="X796" s="98"/>
      <c r="Y796" s="98"/>
      <c r="Z796" s="98"/>
      <c r="AA796" s="98"/>
      <c r="AB796" s="98"/>
      <c r="AC796" s="98"/>
      <c r="AD796" s="98"/>
      <c r="AE796" s="98"/>
      <c r="AF796" s="98"/>
      <c r="AG796" s="98"/>
    </row>
    <row r="797" spans="1:33" ht="15" customHeight="1">
      <c r="A797" s="286"/>
      <c r="B797" s="98"/>
      <c r="C797" s="98"/>
      <c r="D797" s="98"/>
      <c r="E797" s="98"/>
      <c r="F797" s="98"/>
      <c r="G797" s="98"/>
      <c r="H797" s="98"/>
      <c r="I797" s="98"/>
      <c r="J797" s="98"/>
      <c r="K797" s="98"/>
      <c r="L797" s="98"/>
      <c r="M797" s="98"/>
      <c r="N797" s="98"/>
      <c r="O797" s="98"/>
      <c r="P797" s="98"/>
      <c r="Q797" s="98"/>
      <c r="R797" s="98"/>
      <c r="S797" s="98"/>
      <c r="T797" s="98"/>
      <c r="U797" s="98"/>
      <c r="V797" s="98"/>
      <c r="W797" s="98"/>
      <c r="X797" s="98"/>
      <c r="Y797" s="98"/>
      <c r="Z797" s="98"/>
      <c r="AA797" s="98"/>
      <c r="AB797" s="98"/>
      <c r="AC797" s="98"/>
      <c r="AD797" s="98"/>
      <c r="AE797" s="98"/>
      <c r="AF797" s="98"/>
      <c r="AG797" s="98"/>
    </row>
    <row r="798" spans="1:33" ht="15" customHeight="1">
      <c r="A798" s="286"/>
      <c r="B798" s="98"/>
      <c r="C798" s="98"/>
      <c r="D798" s="98"/>
      <c r="E798" s="98"/>
      <c r="F798" s="98"/>
      <c r="G798" s="98"/>
      <c r="H798" s="98"/>
      <c r="I798" s="98"/>
      <c r="J798" s="98"/>
      <c r="K798" s="98"/>
      <c r="L798" s="98"/>
      <c r="M798" s="98"/>
      <c r="N798" s="98"/>
      <c r="O798" s="98"/>
      <c r="P798" s="98"/>
      <c r="Q798" s="98"/>
      <c r="R798" s="98"/>
      <c r="S798" s="98"/>
      <c r="T798" s="98"/>
      <c r="U798" s="98"/>
      <c r="V798" s="98"/>
      <c r="W798" s="98"/>
      <c r="X798" s="98"/>
      <c r="Y798" s="98"/>
      <c r="Z798" s="98"/>
      <c r="AA798" s="98"/>
      <c r="AB798" s="98"/>
      <c r="AC798" s="98"/>
      <c r="AD798" s="98"/>
      <c r="AE798" s="98"/>
      <c r="AF798" s="98"/>
      <c r="AG798" s="98"/>
    </row>
    <row r="799" spans="1:33" ht="15" customHeight="1">
      <c r="A799" s="286"/>
      <c r="B799" s="98"/>
      <c r="C799" s="98"/>
      <c r="D799" s="98"/>
      <c r="E799" s="98"/>
      <c r="F799" s="98"/>
      <c r="G799" s="98"/>
      <c r="H799" s="98"/>
      <c r="I799" s="98"/>
      <c r="J799" s="98"/>
      <c r="K799" s="98"/>
      <c r="L799" s="98"/>
      <c r="M799" s="98"/>
      <c r="N799" s="98"/>
      <c r="O799" s="98"/>
      <c r="P799" s="98"/>
      <c r="Q799" s="98"/>
      <c r="R799" s="98"/>
      <c r="S799" s="98"/>
      <c r="T799" s="98"/>
      <c r="U799" s="98"/>
      <c r="V799" s="98"/>
      <c r="W799" s="98"/>
      <c r="X799" s="98"/>
      <c r="Y799" s="98"/>
      <c r="Z799" s="98"/>
      <c r="AA799" s="98"/>
      <c r="AB799" s="98"/>
      <c r="AC799" s="98"/>
      <c r="AD799" s="98"/>
      <c r="AE799" s="98"/>
      <c r="AF799" s="98"/>
      <c r="AG799" s="98"/>
    </row>
    <row r="800" spans="1:33" ht="15" customHeight="1">
      <c r="A800" s="286"/>
      <c r="B800" s="98"/>
      <c r="C800" s="98"/>
      <c r="D800" s="98"/>
      <c r="E800" s="98"/>
      <c r="F800" s="98"/>
      <c r="G800" s="98"/>
      <c r="H800" s="98"/>
      <c r="I800" s="98"/>
      <c r="J800" s="98"/>
      <c r="K800" s="98"/>
      <c r="L800" s="98"/>
      <c r="M800" s="98"/>
      <c r="N800" s="98"/>
      <c r="O800" s="98"/>
      <c r="P800" s="98"/>
      <c r="Q800" s="98"/>
      <c r="R800" s="98"/>
      <c r="S800" s="98"/>
      <c r="T800" s="98"/>
      <c r="U800" s="98"/>
      <c r="V800" s="98"/>
      <c r="W800" s="98"/>
      <c r="X800" s="98"/>
      <c r="Y800" s="98"/>
      <c r="Z800" s="98"/>
      <c r="AA800" s="98"/>
      <c r="AB800" s="98"/>
      <c r="AC800" s="98"/>
      <c r="AD800" s="98"/>
      <c r="AE800" s="98"/>
      <c r="AF800" s="98"/>
      <c r="AG800" s="98"/>
    </row>
    <row r="801" spans="1:33" ht="15" customHeight="1">
      <c r="A801" s="286"/>
      <c r="B801" s="98"/>
      <c r="C801" s="98"/>
      <c r="D801" s="98"/>
      <c r="E801" s="98"/>
      <c r="F801" s="98"/>
      <c r="G801" s="98"/>
      <c r="H801" s="98"/>
      <c r="I801" s="98"/>
      <c r="J801" s="98"/>
      <c r="K801" s="98"/>
      <c r="L801" s="98"/>
      <c r="M801" s="98"/>
      <c r="N801" s="98"/>
      <c r="O801" s="98"/>
      <c r="P801" s="98"/>
      <c r="Q801" s="98"/>
      <c r="R801" s="98"/>
      <c r="S801" s="98"/>
      <c r="T801" s="98"/>
      <c r="U801" s="98"/>
      <c r="V801" s="98"/>
      <c r="W801" s="98"/>
      <c r="X801" s="98"/>
      <c r="Y801" s="98"/>
      <c r="Z801" s="98"/>
      <c r="AA801" s="98"/>
      <c r="AB801" s="98"/>
      <c r="AC801" s="98"/>
      <c r="AD801" s="98"/>
      <c r="AE801" s="98"/>
      <c r="AF801" s="98"/>
      <c r="AG801" s="98"/>
    </row>
    <row r="802" spans="1:33" ht="15" customHeight="1">
      <c r="A802" s="286"/>
      <c r="B802" s="98"/>
      <c r="C802" s="98"/>
      <c r="D802" s="98"/>
      <c r="E802" s="98"/>
      <c r="F802" s="98"/>
      <c r="G802" s="98"/>
      <c r="H802" s="98"/>
      <c r="I802" s="98"/>
      <c r="J802" s="98"/>
      <c r="K802" s="98"/>
      <c r="L802" s="98"/>
      <c r="M802" s="98"/>
      <c r="N802" s="98"/>
      <c r="O802" s="98"/>
      <c r="P802" s="98"/>
      <c r="Q802" s="98"/>
      <c r="R802" s="98"/>
      <c r="S802" s="98"/>
      <c r="T802" s="98"/>
      <c r="U802" s="98"/>
      <c r="V802" s="98"/>
      <c r="W802" s="98"/>
      <c r="X802" s="98"/>
      <c r="Y802" s="98"/>
      <c r="Z802" s="98"/>
      <c r="AA802" s="98"/>
      <c r="AB802" s="98"/>
      <c r="AC802" s="98"/>
      <c r="AD802" s="98"/>
      <c r="AE802" s="98"/>
      <c r="AF802" s="98"/>
      <c r="AG802" s="98"/>
    </row>
    <row r="803" spans="1:33" ht="15" customHeight="1">
      <c r="A803" s="286"/>
      <c r="B803" s="98"/>
      <c r="C803" s="98"/>
      <c r="D803" s="98"/>
      <c r="E803" s="98"/>
      <c r="F803" s="98"/>
      <c r="G803" s="98"/>
      <c r="H803" s="98"/>
      <c r="I803" s="98"/>
      <c r="J803" s="98"/>
      <c r="K803" s="98"/>
      <c r="L803" s="98"/>
      <c r="M803" s="98"/>
      <c r="N803" s="98"/>
      <c r="O803" s="98"/>
      <c r="P803" s="98"/>
      <c r="Q803" s="98"/>
      <c r="R803" s="98"/>
      <c r="S803" s="98"/>
      <c r="T803" s="98"/>
      <c r="U803" s="98"/>
      <c r="V803" s="98"/>
      <c r="W803" s="98"/>
      <c r="X803" s="98"/>
      <c r="Y803" s="98"/>
      <c r="Z803" s="98"/>
      <c r="AA803" s="98"/>
      <c r="AB803" s="98"/>
      <c r="AC803" s="98"/>
      <c r="AD803" s="98"/>
      <c r="AE803" s="98"/>
      <c r="AF803" s="98"/>
      <c r="AG803" s="98"/>
    </row>
    <row r="804" spans="1:33" ht="15" customHeight="1">
      <c r="A804" s="286"/>
      <c r="B804" s="98"/>
      <c r="C804" s="98"/>
      <c r="D804" s="98"/>
      <c r="E804" s="98"/>
      <c r="F804" s="98"/>
      <c r="G804" s="98"/>
      <c r="H804" s="98"/>
      <c r="I804" s="98"/>
      <c r="J804" s="98"/>
      <c r="K804" s="98"/>
      <c r="L804" s="98"/>
      <c r="M804" s="98"/>
      <c r="N804" s="98"/>
      <c r="O804" s="98"/>
      <c r="P804" s="98"/>
      <c r="Q804" s="98"/>
      <c r="R804" s="98"/>
      <c r="S804" s="98"/>
      <c r="T804" s="98"/>
      <c r="U804" s="98"/>
      <c r="V804" s="98"/>
      <c r="W804" s="98"/>
      <c r="X804" s="98"/>
      <c r="Y804" s="98"/>
      <c r="Z804" s="98"/>
      <c r="AA804" s="98"/>
      <c r="AB804" s="98"/>
      <c r="AC804" s="98"/>
      <c r="AD804" s="98"/>
      <c r="AE804" s="98"/>
      <c r="AF804" s="98"/>
      <c r="AG804" s="98"/>
    </row>
    <row r="805" spans="1:33" ht="15" customHeight="1">
      <c r="A805" s="286"/>
      <c r="B805" s="98"/>
      <c r="C805" s="98"/>
      <c r="D805" s="98"/>
      <c r="E805" s="98"/>
      <c r="F805" s="98"/>
      <c r="G805" s="98"/>
      <c r="H805" s="98"/>
      <c r="I805" s="98"/>
      <c r="J805" s="98"/>
      <c r="K805" s="98"/>
      <c r="L805" s="98"/>
      <c r="M805" s="98"/>
      <c r="N805" s="98"/>
      <c r="O805" s="98"/>
      <c r="P805" s="98"/>
      <c r="Q805" s="98"/>
      <c r="R805" s="98"/>
      <c r="S805" s="98"/>
      <c r="T805" s="98"/>
      <c r="U805" s="98"/>
      <c r="V805" s="98"/>
      <c r="W805" s="98"/>
      <c r="X805" s="98"/>
      <c r="Y805" s="98"/>
      <c r="Z805" s="98"/>
      <c r="AA805" s="98"/>
      <c r="AB805" s="98"/>
      <c r="AC805" s="98"/>
      <c r="AD805" s="98"/>
      <c r="AE805" s="98"/>
      <c r="AF805" s="98"/>
      <c r="AG805" s="98"/>
    </row>
    <row r="806" spans="1:33" ht="15" customHeight="1">
      <c r="A806" s="286"/>
      <c r="B806" s="98"/>
      <c r="C806" s="98"/>
      <c r="D806" s="98"/>
      <c r="E806" s="98"/>
      <c r="F806" s="98"/>
      <c r="G806" s="98"/>
      <c r="H806" s="98"/>
      <c r="I806" s="98"/>
      <c r="J806" s="98"/>
      <c r="K806" s="98"/>
      <c r="L806" s="98"/>
      <c r="M806" s="98"/>
      <c r="N806" s="98"/>
      <c r="O806" s="98"/>
      <c r="P806" s="98"/>
      <c r="Q806" s="98"/>
      <c r="R806" s="98"/>
      <c r="S806" s="98"/>
      <c r="T806" s="98"/>
      <c r="U806" s="98"/>
      <c r="V806" s="98"/>
      <c r="W806" s="98"/>
      <c r="X806" s="98"/>
      <c r="Y806" s="98"/>
      <c r="Z806" s="98"/>
      <c r="AA806" s="98"/>
      <c r="AB806" s="98"/>
      <c r="AC806" s="98"/>
      <c r="AD806" s="98"/>
      <c r="AE806" s="98"/>
      <c r="AF806" s="98"/>
      <c r="AG806" s="98"/>
    </row>
    <row r="807" spans="1:33" ht="15" customHeight="1">
      <c r="A807" s="286"/>
      <c r="B807" s="98"/>
      <c r="C807" s="98"/>
      <c r="D807" s="98"/>
      <c r="E807" s="98"/>
      <c r="F807" s="98"/>
      <c r="G807" s="98"/>
      <c r="H807" s="98"/>
      <c r="I807" s="98"/>
      <c r="J807" s="98"/>
      <c r="K807" s="98"/>
      <c r="L807" s="98"/>
      <c r="M807" s="98"/>
      <c r="N807" s="98"/>
      <c r="O807" s="98"/>
      <c r="P807" s="98"/>
      <c r="Q807" s="98"/>
      <c r="R807" s="98"/>
      <c r="S807" s="98"/>
      <c r="T807" s="98"/>
      <c r="U807" s="98"/>
      <c r="V807" s="98"/>
      <c r="W807" s="98"/>
      <c r="X807" s="98"/>
      <c r="Y807" s="98"/>
      <c r="Z807" s="98"/>
      <c r="AA807" s="98"/>
      <c r="AB807" s="98"/>
      <c r="AC807" s="98"/>
      <c r="AD807" s="98"/>
      <c r="AE807" s="98"/>
      <c r="AF807" s="98"/>
      <c r="AG807" s="98"/>
    </row>
    <row r="808" spans="1:33" ht="15" customHeight="1">
      <c r="A808" s="286"/>
      <c r="B808" s="98"/>
      <c r="C808" s="98"/>
      <c r="D808" s="98"/>
      <c r="E808" s="98"/>
      <c r="F808" s="98"/>
      <c r="G808" s="98"/>
      <c r="H808" s="98"/>
      <c r="I808" s="98"/>
      <c r="J808" s="98"/>
      <c r="K808" s="98"/>
      <c r="L808" s="98"/>
      <c r="M808" s="98"/>
      <c r="N808" s="98"/>
      <c r="O808" s="98"/>
      <c r="P808" s="98"/>
      <c r="Q808" s="98"/>
      <c r="R808" s="98"/>
      <c r="S808" s="98"/>
      <c r="T808" s="98"/>
      <c r="U808" s="98"/>
      <c r="V808" s="98"/>
      <c r="W808" s="98"/>
      <c r="X808" s="98"/>
      <c r="Y808" s="98"/>
      <c r="Z808" s="98"/>
      <c r="AA808" s="98"/>
      <c r="AB808" s="98"/>
      <c r="AC808" s="98"/>
      <c r="AD808" s="98"/>
      <c r="AE808" s="98"/>
      <c r="AF808" s="98"/>
      <c r="AG808" s="98"/>
    </row>
    <row r="809" spans="1:33" ht="15" customHeight="1">
      <c r="A809" s="286"/>
      <c r="B809" s="98"/>
      <c r="C809" s="98"/>
      <c r="D809" s="98"/>
      <c r="E809" s="98"/>
      <c r="F809" s="98"/>
      <c r="G809" s="98"/>
      <c r="H809" s="98"/>
      <c r="I809" s="98"/>
      <c r="J809" s="98"/>
      <c r="K809" s="98"/>
      <c r="L809" s="98"/>
      <c r="M809" s="98"/>
      <c r="N809" s="98"/>
      <c r="O809" s="98"/>
      <c r="P809" s="98"/>
      <c r="Q809" s="98"/>
      <c r="R809" s="98"/>
      <c r="S809" s="98"/>
      <c r="T809" s="98"/>
      <c r="U809" s="98"/>
      <c r="V809" s="98"/>
      <c r="W809" s="98"/>
      <c r="X809" s="98"/>
      <c r="Y809" s="98"/>
      <c r="Z809" s="98"/>
      <c r="AA809" s="98"/>
      <c r="AB809" s="98"/>
      <c r="AC809" s="98"/>
      <c r="AD809" s="98"/>
      <c r="AE809" s="98"/>
      <c r="AF809" s="98"/>
      <c r="AG809" s="98"/>
    </row>
    <row r="810" spans="1:33" ht="15" customHeight="1">
      <c r="A810" s="286"/>
      <c r="B810" s="98"/>
      <c r="C810" s="98"/>
      <c r="D810" s="98"/>
      <c r="E810" s="98"/>
      <c r="F810" s="98"/>
      <c r="G810" s="98"/>
      <c r="H810" s="98"/>
      <c r="I810" s="98"/>
      <c r="J810" s="98"/>
      <c r="K810" s="98"/>
      <c r="L810" s="98"/>
      <c r="M810" s="98"/>
      <c r="N810" s="98"/>
      <c r="O810" s="98"/>
      <c r="P810" s="98"/>
      <c r="Q810" s="98"/>
      <c r="R810" s="98"/>
      <c r="S810" s="98"/>
      <c r="T810" s="98"/>
      <c r="U810" s="98"/>
      <c r="V810" s="98"/>
      <c r="W810" s="98"/>
      <c r="X810" s="98"/>
      <c r="Y810" s="98"/>
      <c r="Z810" s="98"/>
      <c r="AA810" s="98"/>
      <c r="AB810" s="98"/>
      <c r="AC810" s="98"/>
      <c r="AD810" s="98"/>
      <c r="AE810" s="98"/>
      <c r="AF810" s="98"/>
      <c r="AG810" s="98"/>
    </row>
    <row r="811" spans="1:33" ht="15" customHeight="1">
      <c r="A811" s="286"/>
      <c r="B811" s="98"/>
      <c r="C811" s="98"/>
      <c r="D811" s="98"/>
      <c r="E811" s="98"/>
      <c r="F811" s="98"/>
      <c r="G811" s="98"/>
      <c r="H811" s="98"/>
      <c r="I811" s="98"/>
      <c r="J811" s="98"/>
      <c r="K811" s="98"/>
      <c r="L811" s="98"/>
      <c r="M811" s="98"/>
      <c r="N811" s="98"/>
      <c r="O811" s="98"/>
      <c r="P811" s="98"/>
      <c r="Q811" s="98"/>
      <c r="R811" s="98"/>
      <c r="S811" s="98"/>
      <c r="T811" s="98"/>
      <c r="U811" s="98"/>
      <c r="V811" s="98"/>
      <c r="W811" s="98"/>
      <c r="X811" s="98"/>
      <c r="Y811" s="98"/>
      <c r="Z811" s="98"/>
      <c r="AA811" s="98"/>
      <c r="AB811" s="98"/>
      <c r="AC811" s="98"/>
      <c r="AD811" s="98"/>
      <c r="AE811" s="98"/>
      <c r="AF811" s="98"/>
      <c r="AG811" s="98"/>
    </row>
    <row r="812" spans="1:33" ht="15" customHeight="1">
      <c r="A812" s="286"/>
      <c r="B812" s="98"/>
      <c r="C812" s="98"/>
      <c r="D812" s="98"/>
      <c r="E812" s="98"/>
      <c r="F812" s="98"/>
      <c r="G812" s="98"/>
      <c r="H812" s="98"/>
      <c r="I812" s="98"/>
      <c r="J812" s="98"/>
      <c r="K812" s="98"/>
      <c r="L812" s="98"/>
      <c r="M812" s="98"/>
      <c r="N812" s="98"/>
      <c r="O812" s="98"/>
      <c r="P812" s="98"/>
      <c r="Q812" s="98"/>
      <c r="R812" s="98"/>
      <c r="S812" s="98"/>
      <c r="T812" s="98"/>
      <c r="U812" s="98"/>
      <c r="V812" s="98"/>
      <c r="W812" s="98"/>
      <c r="X812" s="98"/>
      <c r="Y812" s="98"/>
      <c r="Z812" s="98"/>
      <c r="AA812" s="98"/>
      <c r="AB812" s="98"/>
      <c r="AC812" s="98"/>
      <c r="AD812" s="98"/>
      <c r="AE812" s="98"/>
      <c r="AF812" s="98"/>
      <c r="AG812" s="98"/>
    </row>
    <row r="813" spans="1:33" ht="15" customHeight="1">
      <c r="A813" s="286"/>
      <c r="B813" s="98"/>
      <c r="C813" s="98"/>
      <c r="D813" s="98"/>
      <c r="E813" s="98"/>
      <c r="F813" s="98"/>
      <c r="G813" s="98"/>
      <c r="H813" s="98"/>
      <c r="I813" s="98"/>
      <c r="J813" s="98"/>
      <c r="K813" s="98"/>
      <c r="L813" s="98"/>
      <c r="M813" s="98"/>
      <c r="N813" s="98"/>
      <c r="O813" s="98"/>
      <c r="P813" s="98"/>
      <c r="Q813" s="98"/>
      <c r="R813" s="98"/>
      <c r="S813" s="98"/>
      <c r="T813" s="98"/>
      <c r="U813" s="98"/>
      <c r="V813" s="98"/>
      <c r="W813" s="98"/>
      <c r="X813" s="98"/>
      <c r="Y813" s="98"/>
      <c r="Z813" s="98"/>
      <c r="AA813" s="98"/>
      <c r="AB813" s="98"/>
      <c r="AC813" s="98"/>
      <c r="AD813" s="98"/>
      <c r="AE813" s="98"/>
      <c r="AF813" s="98"/>
      <c r="AG813" s="98"/>
    </row>
    <row r="814" spans="1:33" ht="15" customHeight="1">
      <c r="A814" s="286"/>
      <c r="B814" s="98"/>
      <c r="C814" s="98"/>
      <c r="D814" s="98"/>
      <c r="E814" s="98"/>
      <c r="F814" s="98"/>
      <c r="G814" s="98"/>
      <c r="H814" s="98"/>
      <c r="I814" s="98"/>
      <c r="J814" s="98"/>
      <c r="K814" s="98"/>
      <c r="L814" s="98"/>
      <c r="M814" s="98"/>
      <c r="N814" s="98"/>
      <c r="O814" s="98"/>
      <c r="P814" s="98"/>
      <c r="Q814" s="98"/>
      <c r="R814" s="98"/>
      <c r="S814" s="98"/>
      <c r="T814" s="98"/>
      <c r="U814" s="98"/>
      <c r="V814" s="98"/>
      <c r="W814" s="98"/>
      <c r="X814" s="98"/>
      <c r="Y814" s="98"/>
      <c r="Z814" s="98"/>
      <c r="AA814" s="98"/>
      <c r="AB814" s="98"/>
      <c r="AC814" s="98"/>
      <c r="AD814" s="98"/>
      <c r="AE814" s="98"/>
      <c r="AF814" s="98"/>
      <c r="AG814" s="98"/>
    </row>
    <row r="815" spans="1:33" ht="15" customHeight="1">
      <c r="A815" s="286"/>
      <c r="B815" s="98"/>
      <c r="C815" s="98"/>
      <c r="D815" s="98"/>
      <c r="E815" s="98"/>
      <c r="F815" s="98"/>
      <c r="G815" s="98"/>
      <c r="H815" s="98"/>
      <c r="I815" s="98"/>
      <c r="J815" s="98"/>
      <c r="K815" s="98"/>
      <c r="L815" s="98"/>
      <c r="M815" s="98"/>
      <c r="N815" s="98"/>
      <c r="O815" s="98"/>
      <c r="P815" s="98"/>
      <c r="Q815" s="98"/>
      <c r="R815" s="98"/>
      <c r="S815" s="98"/>
      <c r="T815" s="98"/>
      <c r="U815" s="98"/>
      <c r="V815" s="98"/>
      <c r="W815" s="98"/>
      <c r="X815" s="98"/>
      <c r="Y815" s="98"/>
      <c r="Z815" s="98"/>
      <c r="AA815" s="98"/>
      <c r="AB815" s="98"/>
      <c r="AC815" s="98"/>
      <c r="AD815" s="98"/>
      <c r="AE815" s="98"/>
      <c r="AF815" s="98"/>
      <c r="AG815" s="98"/>
    </row>
    <row r="816" spans="1:33" ht="15" customHeight="1">
      <c r="A816" s="286"/>
      <c r="B816" s="98"/>
      <c r="C816" s="98"/>
      <c r="D816" s="98"/>
      <c r="E816" s="98"/>
      <c r="F816" s="98"/>
      <c r="G816" s="98"/>
      <c r="H816" s="98"/>
      <c r="I816" s="98"/>
      <c r="J816" s="98"/>
      <c r="K816" s="98"/>
      <c r="L816" s="98"/>
      <c r="M816" s="98"/>
      <c r="N816" s="98"/>
      <c r="O816" s="98"/>
      <c r="P816" s="98"/>
      <c r="Q816" s="98"/>
      <c r="R816" s="98"/>
      <c r="S816" s="98"/>
      <c r="T816" s="98"/>
      <c r="U816" s="98"/>
      <c r="V816" s="98"/>
      <c r="W816" s="98"/>
      <c r="X816" s="98"/>
      <c r="Y816" s="98"/>
      <c r="Z816" s="98"/>
      <c r="AA816" s="98"/>
      <c r="AB816" s="98"/>
      <c r="AC816" s="98"/>
      <c r="AD816" s="98"/>
      <c r="AE816" s="98"/>
      <c r="AF816" s="98"/>
      <c r="AG816" s="98"/>
    </row>
    <row r="817" spans="1:33" ht="15" customHeight="1">
      <c r="A817" s="286"/>
      <c r="B817" s="98"/>
      <c r="C817" s="98"/>
      <c r="D817" s="98"/>
      <c r="E817" s="98"/>
      <c r="F817" s="98"/>
      <c r="G817" s="98"/>
      <c r="H817" s="98"/>
      <c r="I817" s="98"/>
      <c r="J817" s="98"/>
      <c r="K817" s="98"/>
      <c r="L817" s="98"/>
      <c r="M817" s="98"/>
      <c r="N817" s="98"/>
      <c r="O817" s="98"/>
      <c r="P817" s="98"/>
      <c r="Q817" s="98"/>
      <c r="R817" s="98"/>
      <c r="S817" s="98"/>
      <c r="T817" s="98"/>
      <c r="U817" s="98"/>
      <c r="V817" s="98"/>
      <c r="W817" s="98"/>
      <c r="X817" s="98"/>
      <c r="Y817" s="98"/>
      <c r="Z817" s="98"/>
      <c r="AA817" s="98"/>
      <c r="AB817" s="98"/>
      <c r="AC817" s="98"/>
      <c r="AD817" s="98"/>
      <c r="AE817" s="98"/>
      <c r="AF817" s="98"/>
      <c r="AG817" s="98"/>
    </row>
    <row r="818" spans="1:33" ht="15" customHeight="1">
      <c r="A818" s="286"/>
      <c r="B818" s="98"/>
      <c r="C818" s="98"/>
      <c r="D818" s="98"/>
      <c r="E818" s="98"/>
      <c r="F818" s="98"/>
      <c r="G818" s="98"/>
      <c r="H818" s="98"/>
      <c r="I818" s="98"/>
      <c r="J818" s="98"/>
      <c r="K818" s="98"/>
      <c r="L818" s="98"/>
      <c r="M818" s="98"/>
      <c r="N818" s="98"/>
      <c r="O818" s="98"/>
      <c r="P818" s="98"/>
      <c r="Q818" s="98"/>
      <c r="R818" s="98"/>
      <c r="S818" s="98"/>
      <c r="T818" s="98"/>
      <c r="U818" s="98"/>
      <c r="V818" s="98"/>
      <c r="W818" s="98"/>
      <c r="X818" s="98"/>
      <c r="Y818" s="98"/>
      <c r="Z818" s="98"/>
      <c r="AA818" s="98"/>
      <c r="AB818" s="98"/>
      <c r="AC818" s="98"/>
      <c r="AD818" s="98"/>
      <c r="AE818" s="98"/>
      <c r="AF818" s="98"/>
      <c r="AG818" s="98"/>
    </row>
    <row r="819" spans="1:33" ht="15" customHeight="1">
      <c r="A819" s="286"/>
      <c r="B819" s="98"/>
      <c r="C819" s="98"/>
      <c r="D819" s="98"/>
      <c r="E819" s="98"/>
      <c r="F819" s="98"/>
      <c r="G819" s="98"/>
      <c r="H819" s="98"/>
      <c r="I819" s="98"/>
      <c r="J819" s="98"/>
      <c r="K819" s="98"/>
      <c r="L819" s="98"/>
      <c r="M819" s="98"/>
      <c r="N819" s="98"/>
      <c r="O819" s="98"/>
      <c r="P819" s="98"/>
      <c r="Q819" s="98"/>
      <c r="R819" s="98"/>
      <c r="S819" s="98"/>
      <c r="T819" s="98"/>
      <c r="U819" s="98"/>
      <c r="V819" s="98"/>
      <c r="W819" s="98"/>
      <c r="X819" s="98"/>
      <c r="Y819" s="98"/>
      <c r="Z819" s="98"/>
      <c r="AA819" s="98"/>
      <c r="AB819" s="98"/>
      <c r="AC819" s="98"/>
      <c r="AD819" s="98"/>
      <c r="AE819" s="98"/>
      <c r="AF819" s="98"/>
      <c r="AG819" s="98"/>
    </row>
    <row r="820" spans="1:33" ht="15" customHeight="1">
      <c r="A820" s="286"/>
      <c r="B820" s="98"/>
      <c r="C820" s="98"/>
      <c r="D820" s="98"/>
      <c r="E820" s="98"/>
      <c r="F820" s="98"/>
      <c r="G820" s="98"/>
      <c r="H820" s="98"/>
      <c r="I820" s="98"/>
      <c r="J820" s="98"/>
      <c r="K820" s="98"/>
      <c r="L820" s="98"/>
      <c r="M820" s="98"/>
      <c r="N820" s="98"/>
      <c r="O820" s="98"/>
      <c r="P820" s="98"/>
      <c r="Q820" s="98"/>
      <c r="R820" s="98"/>
      <c r="S820" s="98"/>
      <c r="T820" s="98"/>
      <c r="U820" s="98"/>
      <c r="V820" s="98"/>
      <c r="W820" s="98"/>
      <c r="X820" s="98"/>
      <c r="Y820" s="98"/>
      <c r="Z820" s="98"/>
      <c r="AA820" s="98"/>
      <c r="AB820" s="98"/>
      <c r="AC820" s="98"/>
      <c r="AD820" s="98"/>
      <c r="AE820" s="98"/>
      <c r="AF820" s="98"/>
      <c r="AG820" s="98"/>
    </row>
    <row r="821" spans="1:33" ht="15" customHeight="1">
      <c r="A821" s="286"/>
      <c r="B821" s="98"/>
      <c r="C821" s="98"/>
      <c r="D821" s="98"/>
      <c r="E821" s="98"/>
      <c r="F821" s="98"/>
      <c r="G821" s="98"/>
      <c r="H821" s="98"/>
      <c r="I821" s="98"/>
      <c r="J821" s="98"/>
      <c r="K821" s="98"/>
      <c r="L821" s="98"/>
      <c r="M821" s="98"/>
      <c r="N821" s="98"/>
      <c r="O821" s="98"/>
      <c r="P821" s="98"/>
      <c r="Q821" s="98"/>
      <c r="R821" s="98"/>
      <c r="S821" s="98"/>
      <c r="T821" s="98"/>
      <c r="U821" s="98"/>
      <c r="V821" s="98"/>
      <c r="W821" s="98"/>
      <c r="X821" s="98"/>
      <c r="Y821" s="98"/>
      <c r="Z821" s="98"/>
      <c r="AA821" s="98"/>
      <c r="AB821" s="98"/>
      <c r="AC821" s="98"/>
      <c r="AD821" s="98"/>
      <c r="AE821" s="98"/>
      <c r="AF821" s="98"/>
      <c r="AG821" s="98"/>
    </row>
    <row r="822" spans="1:33" ht="15" customHeight="1">
      <c r="A822" s="286"/>
      <c r="B822" s="98"/>
      <c r="C822" s="98"/>
      <c r="D822" s="98"/>
      <c r="E822" s="98"/>
      <c r="F822" s="98"/>
      <c r="G822" s="98"/>
      <c r="H822" s="98"/>
      <c r="I822" s="98"/>
      <c r="J822" s="98"/>
      <c r="K822" s="98"/>
      <c r="L822" s="98"/>
      <c r="M822" s="98"/>
      <c r="N822" s="98"/>
      <c r="O822" s="98"/>
      <c r="P822" s="98"/>
      <c r="Q822" s="98"/>
      <c r="R822" s="98"/>
      <c r="S822" s="98"/>
      <c r="T822" s="98"/>
      <c r="U822" s="98"/>
      <c r="V822" s="98"/>
      <c r="W822" s="98"/>
      <c r="X822" s="98"/>
      <c r="Y822" s="98"/>
      <c r="Z822" s="98"/>
      <c r="AA822" s="98"/>
      <c r="AB822" s="98"/>
      <c r="AC822" s="98"/>
      <c r="AD822" s="98"/>
      <c r="AE822" s="98"/>
      <c r="AF822" s="98"/>
      <c r="AG822" s="98"/>
    </row>
    <row r="823" spans="1:33" ht="15" customHeight="1">
      <c r="A823" s="286"/>
      <c r="B823" s="98"/>
      <c r="C823" s="98"/>
      <c r="D823" s="98"/>
      <c r="E823" s="98"/>
      <c r="F823" s="98"/>
      <c r="G823" s="98"/>
      <c r="H823" s="98"/>
      <c r="I823" s="98"/>
      <c r="J823" s="98"/>
      <c r="K823" s="98"/>
      <c r="L823" s="98"/>
      <c r="M823" s="98"/>
      <c r="N823" s="98"/>
      <c r="O823" s="98"/>
      <c r="P823" s="98"/>
      <c r="Q823" s="98"/>
      <c r="R823" s="98"/>
      <c r="S823" s="98"/>
      <c r="T823" s="98"/>
      <c r="U823" s="98"/>
      <c r="V823" s="98"/>
      <c r="W823" s="98"/>
      <c r="X823" s="98"/>
      <c r="Y823" s="98"/>
      <c r="Z823" s="98"/>
      <c r="AA823" s="98"/>
      <c r="AB823" s="98"/>
      <c r="AC823" s="98"/>
      <c r="AD823" s="98"/>
      <c r="AE823" s="98"/>
      <c r="AF823" s="98"/>
      <c r="AG823" s="98"/>
    </row>
    <row r="824" spans="1:33" ht="15" customHeight="1">
      <c r="A824" s="286"/>
      <c r="B824" s="98"/>
      <c r="C824" s="98"/>
      <c r="D824" s="98"/>
      <c r="E824" s="98"/>
      <c r="F824" s="98"/>
      <c r="G824" s="98"/>
      <c r="H824" s="98"/>
      <c r="I824" s="98"/>
      <c r="J824" s="98"/>
      <c r="K824" s="98"/>
      <c r="L824" s="98"/>
      <c r="M824" s="98"/>
      <c r="N824" s="98"/>
      <c r="O824" s="98"/>
      <c r="P824" s="98"/>
      <c r="Q824" s="98"/>
      <c r="R824" s="98"/>
      <c r="S824" s="98"/>
      <c r="T824" s="98"/>
      <c r="U824" s="98"/>
      <c r="V824" s="98"/>
      <c r="W824" s="98"/>
      <c r="X824" s="98"/>
      <c r="Y824" s="98"/>
      <c r="Z824" s="98"/>
      <c r="AA824" s="98"/>
      <c r="AB824" s="98"/>
      <c r="AC824" s="98"/>
      <c r="AD824" s="98"/>
      <c r="AE824" s="98"/>
      <c r="AF824" s="98"/>
      <c r="AG824" s="98"/>
    </row>
    <row r="825" spans="1:33" ht="15" customHeight="1">
      <c r="A825" s="286"/>
      <c r="B825" s="98"/>
      <c r="C825" s="98"/>
      <c r="D825" s="98"/>
      <c r="E825" s="98"/>
      <c r="F825" s="98"/>
      <c r="G825" s="98"/>
      <c r="H825" s="98"/>
      <c r="I825" s="98"/>
      <c r="J825" s="98"/>
      <c r="K825" s="98"/>
      <c r="L825" s="98"/>
      <c r="M825" s="98"/>
      <c r="N825" s="98"/>
      <c r="O825" s="98"/>
      <c r="P825" s="98"/>
      <c r="Q825" s="98"/>
      <c r="R825" s="98"/>
      <c r="S825" s="98"/>
      <c r="T825" s="98"/>
      <c r="U825" s="98"/>
      <c r="V825" s="98"/>
      <c r="W825" s="98"/>
      <c r="X825" s="98"/>
      <c r="Y825" s="98"/>
      <c r="Z825" s="98"/>
      <c r="AA825" s="98"/>
      <c r="AB825" s="98"/>
      <c r="AC825" s="98"/>
      <c r="AD825" s="98"/>
      <c r="AE825" s="98"/>
      <c r="AF825" s="98"/>
      <c r="AG825" s="98"/>
    </row>
    <row r="826" spans="1:33" ht="15" customHeight="1">
      <c r="A826" s="286"/>
      <c r="B826" s="98"/>
      <c r="C826" s="98"/>
      <c r="D826" s="98"/>
      <c r="E826" s="98"/>
      <c r="F826" s="98"/>
      <c r="G826" s="98"/>
      <c r="H826" s="98"/>
      <c r="I826" s="98"/>
      <c r="J826" s="98"/>
      <c r="K826" s="98"/>
      <c r="L826" s="98"/>
      <c r="M826" s="98"/>
      <c r="N826" s="98"/>
      <c r="O826" s="98"/>
      <c r="P826" s="98"/>
      <c r="Q826" s="98"/>
      <c r="R826" s="98"/>
      <c r="S826" s="98"/>
      <c r="T826" s="98"/>
      <c r="U826" s="98"/>
      <c r="V826" s="98"/>
      <c r="W826" s="98"/>
      <c r="X826" s="98"/>
      <c r="Y826" s="98"/>
      <c r="Z826" s="98"/>
      <c r="AA826" s="98"/>
      <c r="AB826" s="98"/>
      <c r="AC826" s="98"/>
      <c r="AD826" s="98"/>
      <c r="AE826" s="98"/>
      <c r="AF826" s="98"/>
      <c r="AG826" s="98"/>
    </row>
    <row r="827" spans="1:33" ht="15" customHeight="1">
      <c r="A827" s="286"/>
      <c r="B827" s="98"/>
      <c r="C827" s="98"/>
      <c r="D827" s="98"/>
      <c r="E827" s="98"/>
      <c r="F827" s="98"/>
      <c r="G827" s="98"/>
      <c r="H827" s="98"/>
      <c r="I827" s="98"/>
      <c r="J827" s="98"/>
      <c r="K827" s="98"/>
      <c r="L827" s="98"/>
      <c r="M827" s="98"/>
      <c r="N827" s="98"/>
      <c r="O827" s="98"/>
      <c r="P827" s="98"/>
      <c r="Q827" s="98"/>
      <c r="R827" s="98"/>
      <c r="S827" s="98"/>
      <c r="T827" s="98"/>
      <c r="U827" s="98"/>
      <c r="V827" s="98"/>
      <c r="W827" s="98"/>
      <c r="X827" s="98"/>
      <c r="Y827" s="98"/>
      <c r="Z827" s="98"/>
      <c r="AA827" s="98"/>
      <c r="AB827" s="98"/>
      <c r="AC827" s="98"/>
      <c r="AD827" s="98"/>
      <c r="AE827" s="98"/>
      <c r="AF827" s="98"/>
      <c r="AG827" s="98"/>
    </row>
    <row r="828" spans="1:33" ht="15" customHeight="1">
      <c r="A828" s="286"/>
      <c r="B828" s="98"/>
      <c r="C828" s="98"/>
      <c r="D828" s="98"/>
      <c r="E828" s="98"/>
      <c r="F828" s="98"/>
      <c r="G828" s="98"/>
      <c r="H828" s="98"/>
      <c r="I828" s="98"/>
      <c r="J828" s="98"/>
      <c r="K828" s="98"/>
      <c r="L828" s="98"/>
      <c r="M828" s="98"/>
      <c r="N828" s="98"/>
      <c r="O828" s="98"/>
      <c r="P828" s="98"/>
      <c r="Q828" s="98"/>
      <c r="R828" s="98"/>
      <c r="S828" s="98"/>
      <c r="T828" s="98"/>
      <c r="U828" s="98"/>
      <c r="V828" s="98"/>
      <c r="W828" s="98"/>
      <c r="X828" s="98"/>
      <c r="Y828" s="98"/>
      <c r="Z828" s="98"/>
      <c r="AA828" s="98"/>
      <c r="AB828" s="98"/>
      <c r="AC828" s="98"/>
      <c r="AD828" s="98"/>
      <c r="AE828" s="98"/>
      <c r="AF828" s="98"/>
      <c r="AG828" s="98"/>
    </row>
    <row r="829" spans="1:33" ht="15" customHeight="1">
      <c r="A829" s="286"/>
      <c r="B829" s="98"/>
      <c r="C829" s="98"/>
      <c r="D829" s="98"/>
      <c r="E829" s="98"/>
      <c r="F829" s="98"/>
      <c r="G829" s="98"/>
      <c r="H829" s="98"/>
      <c r="I829" s="98"/>
      <c r="J829" s="98"/>
      <c r="K829" s="98"/>
      <c r="L829" s="98"/>
      <c r="M829" s="98"/>
      <c r="N829" s="98"/>
      <c r="O829" s="98"/>
      <c r="P829" s="98"/>
      <c r="Q829" s="98"/>
      <c r="R829" s="98"/>
      <c r="S829" s="98"/>
      <c r="T829" s="98"/>
      <c r="U829" s="98"/>
      <c r="V829" s="98"/>
      <c r="W829" s="98"/>
      <c r="X829" s="98"/>
      <c r="Y829" s="98"/>
      <c r="Z829" s="98"/>
      <c r="AA829" s="98"/>
      <c r="AB829" s="98"/>
      <c r="AC829" s="98"/>
      <c r="AD829" s="98"/>
      <c r="AE829" s="98"/>
      <c r="AF829" s="98"/>
      <c r="AG829" s="98"/>
    </row>
    <row r="830" spans="1:33" ht="15" customHeight="1">
      <c r="A830" s="286"/>
      <c r="B830" s="98"/>
      <c r="C830" s="98"/>
      <c r="D830" s="98"/>
      <c r="E830" s="98"/>
      <c r="F830" s="98"/>
      <c r="G830" s="98"/>
      <c r="H830" s="98"/>
      <c r="I830" s="98"/>
      <c r="J830" s="98"/>
      <c r="K830" s="98"/>
      <c r="L830" s="98"/>
      <c r="M830" s="98"/>
      <c r="N830" s="98"/>
      <c r="O830" s="98"/>
      <c r="P830" s="98"/>
      <c r="Q830" s="98"/>
      <c r="R830" s="98"/>
      <c r="S830" s="98"/>
      <c r="T830" s="98"/>
      <c r="U830" s="98"/>
      <c r="V830" s="98"/>
      <c r="W830" s="98"/>
      <c r="X830" s="98"/>
      <c r="Y830" s="98"/>
      <c r="Z830" s="98"/>
      <c r="AA830" s="98"/>
      <c r="AB830" s="98"/>
      <c r="AC830" s="98"/>
      <c r="AD830" s="98"/>
      <c r="AE830" s="98"/>
      <c r="AF830" s="98"/>
      <c r="AG830" s="98"/>
    </row>
    <row r="831" spans="1:33" ht="15" customHeight="1">
      <c r="A831" s="286"/>
      <c r="B831" s="98"/>
      <c r="C831" s="98"/>
      <c r="D831" s="98"/>
      <c r="E831" s="98"/>
      <c r="F831" s="98"/>
      <c r="G831" s="98"/>
      <c r="H831" s="98"/>
      <c r="I831" s="98"/>
      <c r="J831" s="98"/>
      <c r="K831" s="98"/>
      <c r="L831" s="98"/>
      <c r="M831" s="98"/>
      <c r="N831" s="98"/>
      <c r="O831" s="98"/>
      <c r="P831" s="98"/>
      <c r="Q831" s="98"/>
      <c r="R831" s="98"/>
      <c r="S831" s="98"/>
      <c r="T831" s="98"/>
      <c r="U831" s="98"/>
      <c r="V831" s="98"/>
      <c r="W831" s="98"/>
      <c r="X831" s="98"/>
      <c r="Y831" s="98"/>
      <c r="Z831" s="98"/>
      <c r="AA831" s="98"/>
      <c r="AB831" s="98"/>
      <c r="AC831" s="98"/>
      <c r="AD831" s="98"/>
      <c r="AE831" s="98"/>
      <c r="AF831" s="98"/>
      <c r="AG831" s="98"/>
    </row>
    <row r="832" spans="1:33" ht="15" customHeight="1">
      <c r="A832" s="286"/>
      <c r="B832" s="98"/>
      <c r="C832" s="98"/>
      <c r="D832" s="98"/>
      <c r="E832" s="98"/>
      <c r="F832" s="98"/>
      <c r="G832" s="98"/>
      <c r="H832" s="98"/>
      <c r="I832" s="98"/>
      <c r="J832" s="98"/>
      <c r="K832" s="98"/>
      <c r="L832" s="98"/>
      <c r="M832" s="98"/>
      <c r="N832" s="98"/>
      <c r="O832" s="98"/>
      <c r="P832" s="98"/>
      <c r="Q832" s="98"/>
      <c r="R832" s="98"/>
      <c r="S832" s="98"/>
      <c r="T832" s="98"/>
      <c r="U832" s="98"/>
      <c r="V832" s="98"/>
      <c r="W832" s="98"/>
      <c r="X832" s="98"/>
      <c r="Y832" s="98"/>
      <c r="Z832" s="98"/>
      <c r="AA832" s="98"/>
      <c r="AB832" s="98"/>
      <c r="AC832" s="98"/>
      <c r="AD832" s="98"/>
      <c r="AE832" s="98"/>
      <c r="AF832" s="98"/>
      <c r="AG832" s="98"/>
    </row>
    <row r="833" spans="1:33" ht="15" customHeight="1">
      <c r="A833" s="286"/>
      <c r="B833" s="98"/>
      <c r="C833" s="98"/>
      <c r="D833" s="98"/>
      <c r="E833" s="98"/>
      <c r="F833" s="98"/>
      <c r="G833" s="98"/>
      <c r="H833" s="98"/>
      <c r="I833" s="98"/>
      <c r="J833" s="98"/>
      <c r="K833" s="98"/>
      <c r="L833" s="98"/>
      <c r="M833" s="98"/>
      <c r="N833" s="98"/>
      <c r="O833" s="98"/>
      <c r="P833" s="98"/>
      <c r="Q833" s="98"/>
      <c r="R833" s="98"/>
      <c r="S833" s="98"/>
      <c r="T833" s="98"/>
      <c r="U833" s="98"/>
      <c r="V833" s="98"/>
      <c r="W833" s="98"/>
      <c r="X833" s="98"/>
      <c r="Y833" s="98"/>
      <c r="Z833" s="98"/>
      <c r="AA833" s="98"/>
      <c r="AB833" s="98"/>
      <c r="AC833" s="98"/>
      <c r="AD833" s="98"/>
      <c r="AE833" s="98"/>
      <c r="AF833" s="98"/>
      <c r="AG833" s="98"/>
    </row>
    <row r="834" spans="1:33" ht="15" customHeight="1">
      <c r="A834" s="286"/>
      <c r="B834" s="98"/>
      <c r="C834" s="98"/>
      <c r="D834" s="98"/>
      <c r="E834" s="98"/>
      <c r="F834" s="98"/>
      <c r="G834" s="98"/>
      <c r="H834" s="98"/>
      <c r="I834" s="98"/>
      <c r="J834" s="98"/>
      <c r="K834" s="98"/>
      <c r="L834" s="98"/>
      <c r="M834" s="98"/>
      <c r="N834" s="98"/>
      <c r="O834" s="98"/>
      <c r="P834" s="98"/>
      <c r="Q834" s="98"/>
      <c r="R834" s="98"/>
      <c r="S834" s="98"/>
      <c r="T834" s="98"/>
      <c r="U834" s="98"/>
      <c r="V834" s="98"/>
      <c r="W834" s="98"/>
      <c r="X834" s="98"/>
      <c r="Y834" s="98"/>
      <c r="Z834" s="98"/>
      <c r="AA834" s="98"/>
      <c r="AB834" s="98"/>
      <c r="AC834" s="98"/>
      <c r="AD834" s="98"/>
      <c r="AE834" s="98"/>
      <c r="AF834" s="98"/>
      <c r="AG834" s="98"/>
    </row>
    <row r="835" spans="1:33" ht="15" customHeight="1">
      <c r="A835" s="286"/>
      <c r="B835" s="98"/>
      <c r="C835" s="98"/>
      <c r="D835" s="98"/>
      <c r="E835" s="98"/>
      <c r="F835" s="98"/>
      <c r="G835" s="98"/>
      <c r="H835" s="98"/>
      <c r="I835" s="98"/>
      <c r="J835" s="98"/>
      <c r="K835" s="98"/>
      <c r="L835" s="98"/>
      <c r="M835" s="98"/>
      <c r="N835" s="98"/>
      <c r="O835" s="98"/>
      <c r="P835" s="98"/>
      <c r="Q835" s="98"/>
      <c r="R835" s="98"/>
      <c r="S835" s="98"/>
      <c r="T835" s="98"/>
      <c r="U835" s="98"/>
      <c r="V835" s="98"/>
      <c r="W835" s="98"/>
      <c r="X835" s="98"/>
      <c r="Y835" s="98"/>
      <c r="Z835" s="98"/>
      <c r="AA835" s="98"/>
      <c r="AB835" s="98"/>
      <c r="AC835" s="98"/>
      <c r="AD835" s="98"/>
      <c r="AE835" s="98"/>
      <c r="AF835" s="98"/>
      <c r="AG835" s="98"/>
    </row>
    <row r="836" spans="1:33" ht="15" customHeight="1">
      <c r="A836" s="286"/>
      <c r="B836" s="98"/>
      <c r="C836" s="98"/>
      <c r="D836" s="98"/>
      <c r="E836" s="98"/>
      <c r="F836" s="98"/>
      <c r="G836" s="98"/>
      <c r="H836" s="98"/>
      <c r="I836" s="98"/>
      <c r="J836" s="98"/>
      <c r="K836" s="98"/>
      <c r="L836" s="98"/>
      <c r="M836" s="98"/>
      <c r="N836" s="98"/>
      <c r="O836" s="98"/>
      <c r="P836" s="98"/>
      <c r="Q836" s="98"/>
      <c r="R836" s="98"/>
      <c r="S836" s="98"/>
      <c r="T836" s="98"/>
      <c r="U836" s="98"/>
      <c r="V836" s="98"/>
      <c r="W836" s="98"/>
      <c r="X836" s="98"/>
      <c r="Y836" s="98"/>
      <c r="Z836" s="98"/>
      <c r="AA836" s="98"/>
      <c r="AB836" s="98"/>
      <c r="AC836" s="98"/>
      <c r="AD836" s="98"/>
      <c r="AE836" s="98"/>
      <c r="AF836" s="98"/>
      <c r="AG836" s="98"/>
    </row>
    <row r="837" spans="1:33" ht="15" customHeight="1">
      <c r="A837" s="286"/>
      <c r="B837" s="98"/>
      <c r="C837" s="98"/>
      <c r="D837" s="98"/>
      <c r="E837" s="98"/>
      <c r="F837" s="98"/>
      <c r="G837" s="98"/>
      <c r="H837" s="98"/>
      <c r="I837" s="98"/>
      <c r="J837" s="98"/>
      <c r="K837" s="98"/>
      <c r="L837" s="98"/>
      <c r="M837" s="98"/>
      <c r="N837" s="98"/>
      <c r="O837" s="98"/>
      <c r="P837" s="98"/>
      <c r="Q837" s="98"/>
      <c r="R837" s="98"/>
      <c r="S837" s="98"/>
      <c r="T837" s="98"/>
      <c r="U837" s="98"/>
      <c r="V837" s="98"/>
      <c r="W837" s="98"/>
      <c r="X837" s="98"/>
      <c r="Y837" s="98"/>
      <c r="Z837" s="98"/>
      <c r="AA837" s="98"/>
      <c r="AB837" s="98"/>
      <c r="AC837" s="98"/>
      <c r="AD837" s="98"/>
      <c r="AE837" s="98"/>
      <c r="AF837" s="98"/>
      <c r="AG837" s="98"/>
    </row>
    <row r="838" spans="1:33" ht="15" customHeight="1">
      <c r="A838" s="286"/>
      <c r="B838" s="98"/>
      <c r="C838" s="98"/>
      <c r="D838" s="98"/>
      <c r="E838" s="98"/>
      <c r="F838" s="98"/>
      <c r="G838" s="98"/>
      <c r="H838" s="98"/>
      <c r="I838" s="98"/>
      <c r="J838" s="98"/>
      <c r="K838" s="98"/>
      <c r="L838" s="98"/>
      <c r="M838" s="98"/>
      <c r="N838" s="98"/>
      <c r="O838" s="98"/>
      <c r="P838" s="98"/>
      <c r="Q838" s="98"/>
      <c r="R838" s="98"/>
      <c r="S838" s="98"/>
      <c r="T838" s="98"/>
      <c r="U838" s="98"/>
      <c r="V838" s="98"/>
      <c r="W838" s="98"/>
      <c r="X838" s="98"/>
      <c r="Y838" s="98"/>
      <c r="Z838" s="98"/>
      <c r="AA838" s="98"/>
      <c r="AB838" s="98"/>
      <c r="AC838" s="98"/>
      <c r="AD838" s="98"/>
      <c r="AE838" s="98"/>
      <c r="AF838" s="98"/>
      <c r="AG838" s="98"/>
    </row>
    <row r="839" spans="1:33" ht="15" customHeight="1">
      <c r="A839" s="286"/>
      <c r="B839" s="98"/>
      <c r="C839" s="98"/>
      <c r="D839" s="98"/>
      <c r="E839" s="98"/>
      <c r="F839" s="98"/>
      <c r="G839" s="98"/>
      <c r="H839" s="98"/>
      <c r="I839" s="98"/>
      <c r="J839" s="98"/>
      <c r="K839" s="98"/>
      <c r="L839" s="98"/>
      <c r="M839" s="98"/>
      <c r="N839" s="98"/>
      <c r="O839" s="98"/>
      <c r="P839" s="98"/>
      <c r="Q839" s="98"/>
      <c r="R839" s="98"/>
      <c r="S839" s="98"/>
      <c r="T839" s="98"/>
      <c r="U839" s="98"/>
      <c r="V839" s="98"/>
      <c r="W839" s="98"/>
      <c r="X839" s="98"/>
      <c r="Y839" s="98"/>
      <c r="Z839" s="98"/>
      <c r="AA839" s="98"/>
      <c r="AB839" s="98"/>
      <c r="AC839" s="98"/>
      <c r="AD839" s="98"/>
      <c r="AE839" s="98"/>
      <c r="AF839" s="98"/>
      <c r="AG839" s="98"/>
    </row>
    <row r="840" spans="1:33" ht="15" customHeight="1">
      <c r="A840" s="286"/>
      <c r="B840" s="98"/>
      <c r="C840" s="98"/>
      <c r="D840" s="98"/>
      <c r="E840" s="98"/>
      <c r="F840" s="98"/>
      <c r="G840" s="98"/>
      <c r="H840" s="98"/>
      <c r="I840" s="98"/>
      <c r="J840" s="98"/>
      <c r="K840" s="98"/>
      <c r="L840" s="98"/>
      <c r="M840" s="98"/>
      <c r="N840" s="98"/>
      <c r="O840" s="98"/>
      <c r="P840" s="98"/>
      <c r="Q840" s="98"/>
      <c r="R840" s="98"/>
      <c r="S840" s="98"/>
      <c r="T840" s="98"/>
      <c r="U840" s="98"/>
      <c r="V840" s="98"/>
      <c r="W840" s="98"/>
      <c r="X840" s="98"/>
      <c r="Y840" s="98"/>
      <c r="Z840" s="98"/>
      <c r="AA840" s="98"/>
      <c r="AB840" s="98"/>
      <c r="AC840" s="98"/>
      <c r="AD840" s="98"/>
      <c r="AE840" s="98"/>
      <c r="AF840" s="98"/>
      <c r="AG840" s="98"/>
    </row>
    <row r="841" spans="1:33" ht="15" customHeight="1">
      <c r="A841" s="286"/>
      <c r="B841" s="98"/>
      <c r="C841" s="98"/>
      <c r="D841" s="98"/>
      <c r="E841" s="98"/>
      <c r="F841" s="98"/>
      <c r="G841" s="98"/>
      <c r="H841" s="98"/>
      <c r="I841" s="98"/>
      <c r="J841" s="98"/>
      <c r="K841" s="98"/>
      <c r="L841" s="98"/>
      <c r="M841" s="98"/>
      <c r="N841" s="98"/>
      <c r="O841" s="98"/>
      <c r="P841" s="98"/>
      <c r="Q841" s="98"/>
      <c r="R841" s="98"/>
      <c r="S841" s="98"/>
      <c r="T841" s="98"/>
      <c r="U841" s="98"/>
      <c r="V841" s="98"/>
      <c r="W841" s="98"/>
      <c r="X841" s="98"/>
      <c r="Y841" s="98"/>
      <c r="Z841" s="98"/>
      <c r="AA841" s="98"/>
      <c r="AB841" s="98"/>
      <c r="AC841" s="98"/>
      <c r="AD841" s="98"/>
      <c r="AE841" s="98"/>
      <c r="AF841" s="98"/>
      <c r="AG841" s="98"/>
    </row>
    <row r="842" spans="1:33" ht="15" customHeight="1">
      <c r="A842" s="286"/>
      <c r="B842" s="98"/>
      <c r="C842" s="98"/>
      <c r="D842" s="98"/>
      <c r="E842" s="98"/>
      <c r="F842" s="98"/>
      <c r="G842" s="98"/>
      <c r="H842" s="98"/>
      <c r="I842" s="98"/>
      <c r="J842" s="98"/>
      <c r="K842" s="98"/>
      <c r="L842" s="98"/>
      <c r="M842" s="98"/>
      <c r="N842" s="98"/>
      <c r="O842" s="98"/>
      <c r="P842" s="98"/>
      <c r="Q842" s="98"/>
      <c r="R842" s="98"/>
      <c r="S842" s="98"/>
      <c r="T842" s="98"/>
      <c r="U842" s="98"/>
      <c r="V842" s="98"/>
      <c r="W842" s="98"/>
      <c r="X842" s="98"/>
      <c r="Y842" s="98"/>
      <c r="Z842" s="98"/>
      <c r="AA842" s="98"/>
      <c r="AB842" s="98"/>
      <c r="AC842" s="98"/>
      <c r="AD842" s="98"/>
      <c r="AE842" s="98"/>
      <c r="AF842" s="98"/>
      <c r="AG842" s="98"/>
    </row>
    <row r="843" spans="1:33" ht="15" customHeight="1">
      <c r="A843" s="286"/>
      <c r="B843" s="98"/>
      <c r="C843" s="98"/>
      <c r="D843" s="98"/>
      <c r="E843" s="98"/>
      <c r="F843" s="98"/>
      <c r="G843" s="98"/>
      <c r="H843" s="98"/>
      <c r="I843" s="98"/>
      <c r="J843" s="98"/>
      <c r="K843" s="98"/>
      <c r="L843" s="98"/>
      <c r="M843" s="98"/>
      <c r="N843" s="98"/>
      <c r="O843" s="98"/>
      <c r="P843" s="98"/>
      <c r="Q843" s="98"/>
      <c r="R843" s="98"/>
      <c r="S843" s="98"/>
      <c r="T843" s="98"/>
      <c r="U843" s="98"/>
      <c r="V843" s="98"/>
      <c r="W843" s="98"/>
      <c r="X843" s="98"/>
      <c r="Y843" s="98"/>
      <c r="Z843" s="98"/>
      <c r="AA843" s="98"/>
      <c r="AB843" s="98"/>
      <c r="AC843" s="98"/>
      <c r="AD843" s="98"/>
      <c r="AE843" s="98"/>
      <c r="AF843" s="98"/>
      <c r="AG843" s="98"/>
    </row>
    <row r="844" spans="1:33" ht="15" customHeight="1">
      <c r="A844" s="286"/>
      <c r="B844" s="98"/>
      <c r="C844" s="98"/>
      <c r="D844" s="98"/>
      <c r="E844" s="98"/>
      <c r="F844" s="98"/>
      <c r="G844" s="98"/>
      <c r="H844" s="98"/>
      <c r="I844" s="98"/>
      <c r="J844" s="98"/>
      <c r="K844" s="98"/>
      <c r="L844" s="98"/>
      <c r="M844" s="98"/>
      <c r="N844" s="98"/>
      <c r="O844" s="98"/>
      <c r="P844" s="98"/>
      <c r="Q844" s="98"/>
      <c r="R844" s="98"/>
      <c r="S844" s="98"/>
      <c r="T844" s="98"/>
      <c r="U844" s="98"/>
      <c r="V844" s="98"/>
      <c r="W844" s="98"/>
      <c r="X844" s="98"/>
      <c r="Y844" s="98"/>
      <c r="Z844" s="98"/>
      <c r="AA844" s="98"/>
      <c r="AB844" s="98"/>
      <c r="AC844" s="98"/>
      <c r="AD844" s="98"/>
      <c r="AE844" s="98"/>
      <c r="AF844" s="98"/>
      <c r="AG844" s="98"/>
    </row>
    <row r="845" spans="1:33" ht="15" customHeight="1">
      <c r="A845" s="286"/>
      <c r="B845" s="98"/>
      <c r="C845" s="98"/>
      <c r="D845" s="98"/>
      <c r="E845" s="98"/>
      <c r="F845" s="98"/>
      <c r="G845" s="98"/>
      <c r="H845" s="98"/>
      <c r="I845" s="98"/>
      <c r="J845" s="98"/>
      <c r="K845" s="98"/>
      <c r="L845" s="98"/>
      <c r="M845" s="98"/>
      <c r="N845" s="98"/>
      <c r="O845" s="98"/>
      <c r="P845" s="98"/>
      <c r="Q845" s="98"/>
      <c r="R845" s="98"/>
      <c r="S845" s="98"/>
      <c r="T845" s="98"/>
      <c r="U845" s="98"/>
      <c r="V845" s="98"/>
      <c r="W845" s="98"/>
      <c r="X845" s="98"/>
      <c r="Y845" s="98"/>
      <c r="Z845" s="98"/>
      <c r="AA845" s="98"/>
      <c r="AB845" s="98"/>
      <c r="AC845" s="98"/>
      <c r="AD845" s="98"/>
      <c r="AE845" s="98"/>
      <c r="AF845" s="98"/>
      <c r="AG845" s="98"/>
    </row>
    <row r="846" spans="1:33" ht="15" customHeight="1">
      <c r="A846" s="286"/>
      <c r="B846" s="98"/>
      <c r="C846" s="98"/>
      <c r="D846" s="98"/>
      <c r="E846" s="98"/>
      <c r="F846" s="98"/>
      <c r="G846" s="98"/>
      <c r="H846" s="98"/>
      <c r="I846" s="98"/>
      <c r="J846" s="98"/>
      <c r="K846" s="98"/>
      <c r="L846" s="98"/>
      <c r="M846" s="98"/>
      <c r="N846" s="98"/>
      <c r="O846" s="98"/>
      <c r="P846" s="98"/>
      <c r="Q846" s="98"/>
      <c r="R846" s="98"/>
      <c r="S846" s="98"/>
      <c r="T846" s="98"/>
      <c r="U846" s="98"/>
      <c r="V846" s="98"/>
      <c r="W846" s="98"/>
      <c r="X846" s="98"/>
      <c r="Y846" s="98"/>
      <c r="Z846" s="98"/>
      <c r="AA846" s="98"/>
      <c r="AB846" s="98"/>
      <c r="AC846" s="98"/>
      <c r="AD846" s="98"/>
      <c r="AE846" s="98"/>
      <c r="AF846" s="98"/>
      <c r="AG846" s="98"/>
    </row>
    <row r="847" spans="1:33" ht="15" customHeight="1">
      <c r="A847" s="286"/>
      <c r="B847" s="98"/>
      <c r="C847" s="98"/>
      <c r="D847" s="98"/>
      <c r="E847" s="98"/>
      <c r="F847" s="98"/>
      <c r="G847" s="98"/>
      <c r="H847" s="98"/>
      <c r="I847" s="98"/>
      <c r="J847" s="98"/>
      <c r="K847" s="98"/>
      <c r="L847" s="98"/>
      <c r="M847" s="98"/>
      <c r="N847" s="98"/>
      <c r="O847" s="98"/>
      <c r="P847" s="98"/>
      <c r="Q847" s="98"/>
      <c r="R847" s="98"/>
      <c r="S847" s="98"/>
      <c r="T847" s="98"/>
      <c r="U847" s="98"/>
      <c r="V847" s="98"/>
      <c r="W847" s="98"/>
      <c r="X847" s="98"/>
      <c r="Y847" s="98"/>
      <c r="Z847" s="98"/>
      <c r="AA847" s="98"/>
      <c r="AB847" s="98"/>
      <c r="AC847" s="98"/>
      <c r="AD847" s="98"/>
      <c r="AE847" s="98"/>
      <c r="AF847" s="98"/>
      <c r="AG847" s="98"/>
    </row>
    <row r="848" spans="1:33" ht="15" customHeight="1">
      <c r="A848" s="286"/>
      <c r="B848" s="98"/>
      <c r="C848" s="98"/>
      <c r="D848" s="98"/>
      <c r="E848" s="98"/>
      <c r="F848" s="98"/>
      <c r="G848" s="98"/>
      <c r="H848" s="98"/>
      <c r="I848" s="98"/>
      <c r="J848" s="98"/>
      <c r="K848" s="98"/>
      <c r="L848" s="98"/>
      <c r="M848" s="98"/>
      <c r="N848" s="98"/>
      <c r="O848" s="98"/>
      <c r="P848" s="98"/>
      <c r="Q848" s="98"/>
      <c r="R848" s="98"/>
      <c r="S848" s="98"/>
      <c r="T848" s="98"/>
      <c r="U848" s="98"/>
      <c r="V848" s="98"/>
      <c r="W848" s="98"/>
      <c r="X848" s="98"/>
      <c r="Y848" s="98"/>
      <c r="Z848" s="98"/>
      <c r="AA848" s="98"/>
      <c r="AB848" s="98"/>
      <c r="AC848" s="98"/>
      <c r="AD848" s="98"/>
      <c r="AE848" s="98"/>
      <c r="AF848" s="98"/>
      <c r="AG848" s="98"/>
    </row>
    <row r="849" spans="1:33" ht="15" customHeight="1">
      <c r="A849" s="286"/>
      <c r="B849" s="98"/>
      <c r="C849" s="98"/>
      <c r="D849" s="98"/>
      <c r="E849" s="98"/>
      <c r="F849" s="98"/>
      <c r="G849" s="98"/>
      <c r="H849" s="98"/>
      <c r="I849" s="98"/>
      <c r="J849" s="98"/>
      <c r="K849" s="98"/>
      <c r="L849" s="98"/>
      <c r="M849" s="98"/>
      <c r="N849" s="98"/>
      <c r="O849" s="98"/>
      <c r="P849" s="98"/>
      <c r="Q849" s="98"/>
      <c r="R849" s="98"/>
      <c r="S849" s="98"/>
      <c r="T849" s="98"/>
      <c r="U849" s="98"/>
      <c r="V849" s="98"/>
      <c r="W849" s="98"/>
      <c r="X849" s="98"/>
      <c r="Y849" s="98"/>
      <c r="Z849" s="98"/>
      <c r="AA849" s="98"/>
      <c r="AB849" s="98"/>
      <c r="AC849" s="98"/>
      <c r="AD849" s="98"/>
      <c r="AE849" s="98"/>
      <c r="AF849" s="98"/>
      <c r="AG849" s="98"/>
    </row>
    <row r="850" spans="1:33" ht="15" customHeight="1">
      <c r="A850" s="286"/>
      <c r="B850" s="98"/>
      <c r="C850" s="98"/>
      <c r="D850" s="98"/>
      <c r="E850" s="98"/>
      <c r="F850" s="98"/>
      <c r="G850" s="98"/>
      <c r="H850" s="98"/>
      <c r="I850" s="98"/>
      <c r="J850" s="98"/>
      <c r="K850" s="98"/>
      <c r="L850" s="98"/>
      <c r="M850" s="98"/>
      <c r="N850" s="98"/>
      <c r="O850" s="98"/>
      <c r="P850" s="98"/>
      <c r="Q850" s="98"/>
      <c r="R850" s="98"/>
      <c r="S850" s="98"/>
      <c r="T850" s="98"/>
      <c r="U850" s="98"/>
      <c r="V850" s="98"/>
      <c r="W850" s="98"/>
      <c r="X850" s="98"/>
      <c r="Y850" s="98"/>
      <c r="Z850" s="98"/>
      <c r="AA850" s="98"/>
      <c r="AB850" s="98"/>
      <c r="AC850" s="98"/>
      <c r="AD850" s="98"/>
      <c r="AE850" s="98"/>
      <c r="AF850" s="98"/>
      <c r="AG850" s="98"/>
    </row>
    <row r="851" spans="1:33" ht="15" customHeight="1">
      <c r="A851" s="286"/>
      <c r="B851" s="98"/>
      <c r="C851" s="98"/>
      <c r="D851" s="98"/>
      <c r="E851" s="98"/>
      <c r="F851" s="98"/>
      <c r="G851" s="98"/>
      <c r="H851" s="98"/>
      <c r="I851" s="98"/>
      <c r="J851" s="98"/>
      <c r="K851" s="98"/>
      <c r="L851" s="98"/>
      <c r="M851" s="98"/>
      <c r="N851" s="98"/>
      <c r="O851" s="98"/>
      <c r="P851" s="98"/>
      <c r="Q851" s="98"/>
      <c r="R851" s="98"/>
      <c r="S851" s="98"/>
      <c r="T851" s="98"/>
      <c r="U851" s="98"/>
      <c r="V851" s="98"/>
      <c r="W851" s="98"/>
      <c r="X851" s="98"/>
      <c r="Y851" s="98"/>
      <c r="Z851" s="98"/>
      <c r="AA851" s="98"/>
      <c r="AB851" s="98"/>
      <c r="AC851" s="98"/>
      <c r="AD851" s="98"/>
      <c r="AE851" s="98"/>
      <c r="AF851" s="98"/>
      <c r="AG851" s="98"/>
    </row>
    <row r="852" spans="1:33" ht="15" customHeight="1">
      <c r="A852" s="286"/>
      <c r="B852" s="98"/>
      <c r="C852" s="98"/>
      <c r="D852" s="98"/>
      <c r="E852" s="98"/>
      <c r="F852" s="98"/>
      <c r="G852" s="98"/>
      <c r="H852" s="98"/>
      <c r="I852" s="98"/>
      <c r="J852" s="98"/>
      <c r="K852" s="98"/>
      <c r="L852" s="98"/>
      <c r="M852" s="98"/>
      <c r="N852" s="98"/>
      <c r="O852" s="98"/>
      <c r="P852" s="98"/>
      <c r="Q852" s="98"/>
      <c r="R852" s="98"/>
      <c r="S852" s="98"/>
      <c r="T852" s="98"/>
      <c r="U852" s="98"/>
      <c r="V852" s="98"/>
      <c r="W852" s="98"/>
      <c r="X852" s="98"/>
      <c r="Y852" s="98"/>
      <c r="Z852" s="98"/>
      <c r="AA852" s="98"/>
      <c r="AB852" s="98"/>
      <c r="AC852" s="98"/>
      <c r="AD852" s="98"/>
      <c r="AE852" s="98"/>
      <c r="AF852" s="98"/>
      <c r="AG852" s="98"/>
    </row>
    <row r="853" spans="1:33" ht="15" customHeight="1">
      <c r="A853" s="286"/>
      <c r="B853" s="98"/>
      <c r="C853" s="98"/>
      <c r="D853" s="98"/>
      <c r="E853" s="98"/>
      <c r="F853" s="98"/>
      <c r="G853" s="98"/>
      <c r="H853" s="98"/>
      <c r="I853" s="98"/>
      <c r="J853" s="98"/>
      <c r="K853" s="98"/>
      <c r="L853" s="98"/>
      <c r="M853" s="98"/>
      <c r="N853" s="98"/>
      <c r="O853" s="98"/>
      <c r="P853" s="98"/>
      <c r="Q853" s="98"/>
      <c r="R853" s="98"/>
      <c r="S853" s="98"/>
      <c r="T853" s="98"/>
      <c r="U853" s="98"/>
      <c r="V853" s="98"/>
      <c r="W853" s="98"/>
      <c r="X853" s="98"/>
      <c r="Y853" s="98"/>
      <c r="Z853" s="98"/>
      <c r="AA853" s="98"/>
      <c r="AB853" s="98"/>
      <c r="AC853" s="98"/>
      <c r="AD853" s="98"/>
      <c r="AE853" s="98"/>
      <c r="AF853" s="98"/>
      <c r="AG853" s="98"/>
    </row>
    <row r="854" spans="1:33" ht="15" customHeight="1">
      <c r="A854" s="286"/>
      <c r="B854" s="98"/>
      <c r="C854" s="98"/>
      <c r="D854" s="98"/>
      <c r="E854" s="98"/>
      <c r="F854" s="98"/>
      <c r="G854" s="98"/>
      <c r="H854" s="98"/>
      <c r="I854" s="98"/>
      <c r="J854" s="98"/>
      <c r="K854" s="98"/>
      <c r="L854" s="98"/>
      <c r="M854" s="98"/>
      <c r="N854" s="98"/>
      <c r="O854" s="98"/>
      <c r="P854" s="98"/>
      <c r="Q854" s="98"/>
      <c r="R854" s="98"/>
      <c r="S854" s="98"/>
      <c r="T854" s="98"/>
      <c r="U854" s="98"/>
      <c r="V854" s="98"/>
      <c r="W854" s="98"/>
      <c r="X854" s="98"/>
      <c r="Y854" s="98"/>
      <c r="Z854" s="98"/>
      <c r="AA854" s="98"/>
      <c r="AB854" s="98"/>
      <c r="AC854" s="98"/>
      <c r="AD854" s="98"/>
      <c r="AE854" s="98"/>
      <c r="AF854" s="98"/>
      <c r="AG854" s="98"/>
    </row>
    <row r="855" spans="1:33" ht="15" customHeight="1">
      <c r="A855" s="286"/>
      <c r="B855" s="98"/>
      <c r="C855" s="98"/>
      <c r="D855" s="98"/>
      <c r="E855" s="98"/>
      <c r="F855" s="98"/>
      <c r="G855" s="98"/>
      <c r="H855" s="98"/>
      <c r="I855" s="98"/>
      <c r="J855" s="98"/>
      <c r="K855" s="98"/>
      <c r="L855" s="98"/>
      <c r="M855" s="98"/>
      <c r="N855" s="98"/>
      <c r="O855" s="98"/>
      <c r="P855" s="98"/>
      <c r="Q855" s="98"/>
      <c r="R855" s="98"/>
      <c r="S855" s="98"/>
      <c r="T855" s="98"/>
      <c r="U855" s="98"/>
      <c r="V855" s="98"/>
      <c r="W855" s="98"/>
      <c r="X855" s="98"/>
      <c r="Y855" s="98"/>
      <c r="Z855" s="98"/>
      <c r="AA855" s="98"/>
      <c r="AB855" s="98"/>
      <c r="AC855" s="98"/>
      <c r="AD855" s="98"/>
      <c r="AE855" s="98"/>
      <c r="AF855" s="98"/>
      <c r="AG855" s="98"/>
    </row>
    <row r="856" spans="1:33" ht="15" customHeight="1">
      <c r="A856" s="286"/>
      <c r="B856" s="98"/>
      <c r="C856" s="98"/>
      <c r="D856" s="98"/>
      <c r="E856" s="98"/>
      <c r="F856" s="98"/>
      <c r="G856" s="98"/>
      <c r="H856" s="98"/>
      <c r="I856" s="98"/>
      <c r="J856" s="98"/>
      <c r="K856" s="98"/>
      <c r="L856" s="98"/>
      <c r="M856" s="98"/>
      <c r="N856" s="98"/>
      <c r="O856" s="98"/>
      <c r="P856" s="98"/>
      <c r="Q856" s="98"/>
      <c r="R856" s="98"/>
      <c r="S856" s="98"/>
      <c r="T856" s="98"/>
      <c r="U856" s="98"/>
      <c r="V856" s="98"/>
      <c r="W856" s="98"/>
      <c r="X856" s="98"/>
      <c r="Y856" s="98"/>
      <c r="Z856" s="98"/>
      <c r="AA856" s="98"/>
      <c r="AB856" s="98"/>
      <c r="AC856" s="98"/>
      <c r="AD856" s="98"/>
      <c r="AE856" s="98"/>
      <c r="AF856" s="98"/>
      <c r="AG856" s="98"/>
    </row>
    <row r="857" spans="1:33" ht="15" customHeight="1">
      <c r="A857" s="286"/>
      <c r="B857" s="98"/>
      <c r="C857" s="98"/>
      <c r="D857" s="98"/>
      <c r="E857" s="98"/>
      <c r="F857" s="98"/>
      <c r="G857" s="98"/>
      <c r="H857" s="98"/>
      <c r="I857" s="98"/>
      <c r="J857" s="98"/>
      <c r="K857" s="98"/>
      <c r="L857" s="98"/>
      <c r="M857" s="98"/>
      <c r="N857" s="98"/>
      <c r="O857" s="98"/>
      <c r="P857" s="98"/>
      <c r="Q857" s="98"/>
      <c r="R857" s="98"/>
      <c r="S857" s="98"/>
      <c r="T857" s="98"/>
      <c r="U857" s="98"/>
      <c r="V857" s="98"/>
      <c r="W857" s="98"/>
      <c r="X857" s="98"/>
      <c r="Y857" s="98"/>
      <c r="Z857" s="98"/>
      <c r="AA857" s="98"/>
      <c r="AB857" s="98"/>
      <c r="AC857" s="98"/>
      <c r="AD857" s="98"/>
      <c r="AE857" s="98"/>
      <c r="AF857" s="98"/>
      <c r="AG857" s="98"/>
    </row>
    <row r="858" spans="1:33" ht="15" customHeight="1">
      <c r="A858" s="286"/>
      <c r="B858" s="98"/>
      <c r="C858" s="98"/>
      <c r="D858" s="98"/>
      <c r="E858" s="98"/>
      <c r="F858" s="98"/>
      <c r="G858" s="98"/>
      <c r="H858" s="98"/>
      <c r="I858" s="98"/>
      <c r="J858" s="98"/>
      <c r="K858" s="98"/>
      <c r="L858" s="98"/>
      <c r="M858" s="98"/>
      <c r="N858" s="98"/>
      <c r="O858" s="98"/>
      <c r="P858" s="98"/>
      <c r="Q858" s="98"/>
      <c r="R858" s="98"/>
      <c r="S858" s="98"/>
      <c r="T858" s="98"/>
      <c r="U858" s="98"/>
      <c r="V858" s="98"/>
      <c r="W858" s="98"/>
      <c r="X858" s="98"/>
      <c r="Y858" s="98"/>
      <c r="Z858" s="98"/>
      <c r="AA858" s="98"/>
      <c r="AB858" s="98"/>
      <c r="AC858" s="98"/>
      <c r="AD858" s="98"/>
      <c r="AE858" s="98"/>
      <c r="AF858" s="98"/>
      <c r="AG858" s="98"/>
    </row>
    <row r="859" spans="1:33" ht="15" customHeight="1">
      <c r="A859" s="286"/>
      <c r="B859" s="98"/>
      <c r="C859" s="98"/>
      <c r="D859" s="98"/>
      <c r="E859" s="98"/>
      <c r="F859" s="98"/>
      <c r="G859" s="98"/>
      <c r="H859" s="98"/>
      <c r="I859" s="98"/>
      <c r="J859" s="98"/>
      <c r="K859" s="98"/>
      <c r="L859" s="98"/>
      <c r="M859" s="98"/>
      <c r="N859" s="98"/>
      <c r="O859" s="98"/>
      <c r="P859" s="98"/>
      <c r="Q859" s="98"/>
      <c r="R859" s="98"/>
      <c r="S859" s="98"/>
      <c r="T859" s="98"/>
      <c r="U859" s="98"/>
      <c r="V859" s="98"/>
      <c r="W859" s="98"/>
      <c r="X859" s="98"/>
      <c r="Y859" s="98"/>
      <c r="Z859" s="98"/>
      <c r="AA859" s="98"/>
      <c r="AB859" s="98"/>
      <c r="AC859" s="98"/>
      <c r="AD859" s="98"/>
      <c r="AE859" s="98"/>
      <c r="AF859" s="98"/>
      <c r="AG859" s="98"/>
    </row>
    <row r="860" spans="1:33" ht="15" customHeight="1">
      <c r="A860" s="286"/>
      <c r="B860" s="98"/>
      <c r="C860" s="98"/>
      <c r="D860" s="98"/>
      <c r="E860" s="98"/>
      <c r="F860" s="98"/>
      <c r="G860" s="98"/>
      <c r="H860" s="98"/>
      <c r="I860" s="98"/>
      <c r="J860" s="98"/>
      <c r="K860" s="98"/>
      <c r="L860" s="98"/>
      <c r="M860" s="98"/>
      <c r="N860" s="98"/>
      <c r="O860" s="98"/>
      <c r="P860" s="98"/>
      <c r="Q860" s="98"/>
      <c r="R860" s="98"/>
      <c r="S860" s="98"/>
      <c r="T860" s="98"/>
      <c r="U860" s="98"/>
      <c r="V860" s="98"/>
      <c r="W860" s="98"/>
      <c r="X860" s="98"/>
      <c r="Y860" s="98"/>
      <c r="Z860" s="98"/>
      <c r="AA860" s="98"/>
      <c r="AB860" s="98"/>
      <c r="AC860" s="98"/>
      <c r="AD860" s="98"/>
      <c r="AE860" s="98"/>
      <c r="AF860" s="98"/>
      <c r="AG860" s="98"/>
    </row>
    <row r="861" spans="1:33" ht="15" customHeight="1">
      <c r="A861" s="286"/>
      <c r="B861" s="98"/>
      <c r="C861" s="98"/>
      <c r="D861" s="98"/>
      <c r="E861" s="98"/>
      <c r="F861" s="98"/>
      <c r="G861" s="98"/>
      <c r="H861" s="98"/>
      <c r="I861" s="98"/>
      <c r="J861" s="98"/>
      <c r="K861" s="98"/>
      <c r="L861" s="98"/>
      <c r="M861" s="98"/>
      <c r="N861" s="98"/>
      <c r="O861" s="98"/>
      <c r="P861" s="98"/>
      <c r="Q861" s="98"/>
      <c r="R861" s="98"/>
      <c r="S861" s="98"/>
      <c r="T861" s="98"/>
      <c r="U861" s="98"/>
      <c r="V861" s="98"/>
      <c r="W861" s="98"/>
      <c r="X861" s="98"/>
      <c r="Y861" s="98"/>
      <c r="Z861" s="98"/>
      <c r="AA861" s="98"/>
      <c r="AB861" s="98"/>
      <c r="AC861" s="98"/>
      <c r="AD861" s="98"/>
      <c r="AE861" s="98"/>
      <c r="AF861" s="98"/>
      <c r="AG861" s="98"/>
    </row>
    <row r="862" spans="1:33" ht="15" customHeight="1">
      <c r="A862" s="286"/>
      <c r="B862" s="98"/>
      <c r="C862" s="98"/>
      <c r="D862" s="98"/>
      <c r="E862" s="98"/>
      <c r="F862" s="98"/>
      <c r="G862" s="98"/>
      <c r="H862" s="98"/>
      <c r="I862" s="98"/>
      <c r="J862" s="98"/>
      <c r="K862" s="98"/>
      <c r="L862" s="98"/>
      <c r="M862" s="98"/>
      <c r="N862" s="98"/>
      <c r="O862" s="98"/>
      <c r="P862" s="98"/>
      <c r="Q862" s="98"/>
      <c r="R862" s="98"/>
      <c r="S862" s="98"/>
      <c r="T862" s="98"/>
      <c r="U862" s="98"/>
      <c r="V862" s="98"/>
      <c r="W862" s="98"/>
      <c r="X862" s="98"/>
      <c r="Y862" s="98"/>
      <c r="Z862" s="98"/>
      <c r="AA862" s="98"/>
      <c r="AB862" s="98"/>
      <c r="AC862" s="98"/>
      <c r="AD862" s="98"/>
      <c r="AE862" s="98"/>
      <c r="AF862" s="98"/>
      <c r="AG862" s="98"/>
    </row>
    <row r="863" spans="1:33" ht="15" customHeight="1">
      <c r="A863" s="286"/>
      <c r="B863" s="98"/>
      <c r="C863" s="98"/>
      <c r="D863" s="98"/>
      <c r="E863" s="98"/>
      <c r="F863" s="98"/>
      <c r="G863" s="98"/>
      <c r="H863" s="98"/>
      <c r="I863" s="98"/>
      <c r="J863" s="98"/>
      <c r="K863" s="98"/>
      <c r="L863" s="98"/>
      <c r="M863" s="98"/>
      <c r="N863" s="98"/>
      <c r="O863" s="98"/>
      <c r="P863" s="98"/>
      <c r="Q863" s="98"/>
      <c r="R863" s="98"/>
      <c r="S863" s="98"/>
      <c r="T863" s="98"/>
      <c r="U863" s="98"/>
      <c r="V863" s="98"/>
      <c r="W863" s="98"/>
      <c r="X863" s="98"/>
      <c r="Y863" s="98"/>
      <c r="Z863" s="98"/>
      <c r="AA863" s="98"/>
      <c r="AB863" s="98"/>
      <c r="AC863" s="98"/>
      <c r="AD863" s="98"/>
      <c r="AE863" s="98"/>
      <c r="AF863" s="98"/>
      <c r="AG863" s="98"/>
    </row>
    <row r="864" spans="1:33" ht="15" customHeight="1">
      <c r="A864" s="286"/>
      <c r="B864" s="98"/>
      <c r="C864" s="98"/>
      <c r="D864" s="98"/>
      <c r="E864" s="98"/>
      <c r="F864" s="98"/>
      <c r="G864" s="98"/>
      <c r="H864" s="98"/>
      <c r="I864" s="98"/>
      <c r="J864" s="98"/>
      <c r="K864" s="98"/>
      <c r="L864" s="98"/>
      <c r="M864" s="98"/>
      <c r="N864" s="98"/>
      <c r="O864" s="98"/>
      <c r="P864" s="98"/>
      <c r="Q864" s="98"/>
      <c r="R864" s="98"/>
      <c r="S864" s="98"/>
      <c r="T864" s="98"/>
      <c r="U864" s="98"/>
      <c r="V864" s="98"/>
      <c r="W864" s="98"/>
      <c r="X864" s="98"/>
      <c r="Y864" s="98"/>
      <c r="Z864" s="98"/>
      <c r="AA864" s="98"/>
      <c r="AB864" s="98"/>
      <c r="AC864" s="98"/>
      <c r="AD864" s="98"/>
      <c r="AE864" s="98"/>
      <c r="AF864" s="98"/>
      <c r="AG864" s="98"/>
    </row>
    <row r="865" spans="1:33" ht="15" customHeight="1">
      <c r="A865" s="286"/>
      <c r="B865" s="98"/>
      <c r="C865" s="98"/>
      <c r="D865" s="98"/>
      <c r="E865" s="98"/>
      <c r="F865" s="98"/>
      <c r="G865" s="98"/>
      <c r="H865" s="98"/>
      <c r="I865" s="98"/>
      <c r="J865" s="98"/>
      <c r="K865" s="98"/>
      <c r="L865" s="98"/>
      <c r="M865" s="98"/>
      <c r="N865" s="98"/>
      <c r="O865" s="98"/>
      <c r="P865" s="98"/>
      <c r="Q865" s="98"/>
      <c r="R865" s="98"/>
      <c r="S865" s="98"/>
      <c r="T865" s="98"/>
      <c r="U865" s="98"/>
      <c r="V865" s="98"/>
      <c r="W865" s="98"/>
      <c r="X865" s="98"/>
      <c r="Y865" s="98"/>
      <c r="Z865" s="98"/>
      <c r="AA865" s="98"/>
      <c r="AB865" s="98"/>
      <c r="AC865" s="98"/>
      <c r="AD865" s="98"/>
      <c r="AE865" s="98"/>
      <c r="AF865" s="98"/>
      <c r="AG865" s="98"/>
    </row>
    <row r="866" spans="1:33" ht="15" customHeight="1">
      <c r="A866" s="286"/>
      <c r="B866" s="98"/>
      <c r="C866" s="98"/>
      <c r="D866" s="98"/>
      <c r="E866" s="98"/>
      <c r="F866" s="98"/>
      <c r="G866" s="98"/>
      <c r="H866" s="98"/>
      <c r="I866" s="98"/>
      <c r="J866" s="98"/>
      <c r="K866" s="98"/>
      <c r="L866" s="98"/>
      <c r="M866" s="98"/>
      <c r="N866" s="98"/>
      <c r="O866" s="98"/>
      <c r="P866" s="98"/>
      <c r="Q866" s="98"/>
      <c r="R866" s="98"/>
      <c r="S866" s="98"/>
      <c r="T866" s="98"/>
      <c r="U866" s="98"/>
      <c r="V866" s="98"/>
      <c r="W866" s="98"/>
      <c r="X866" s="98"/>
      <c r="Y866" s="98"/>
      <c r="Z866" s="98"/>
      <c r="AA866" s="98"/>
      <c r="AB866" s="98"/>
      <c r="AC866" s="98"/>
      <c r="AD866" s="98"/>
      <c r="AE866" s="98"/>
      <c r="AF866" s="98"/>
      <c r="AG866" s="98"/>
    </row>
    <row r="867" spans="1:33" ht="15" customHeight="1">
      <c r="A867" s="286"/>
      <c r="B867" s="98"/>
      <c r="C867" s="98"/>
      <c r="D867" s="98"/>
      <c r="E867" s="98"/>
      <c r="F867" s="98"/>
      <c r="G867" s="98"/>
      <c r="H867" s="98"/>
      <c r="I867" s="98"/>
      <c r="J867" s="98"/>
      <c r="K867" s="98"/>
      <c r="L867" s="98"/>
      <c r="M867" s="98"/>
      <c r="N867" s="98"/>
      <c r="O867" s="98"/>
      <c r="P867" s="98"/>
      <c r="Q867" s="98"/>
      <c r="R867" s="98"/>
      <c r="S867" s="98"/>
      <c r="T867" s="98"/>
      <c r="U867" s="98"/>
      <c r="V867" s="98"/>
      <c r="W867" s="98"/>
      <c r="X867" s="98"/>
      <c r="Y867" s="98"/>
      <c r="Z867" s="98"/>
      <c r="AA867" s="98"/>
      <c r="AB867" s="98"/>
      <c r="AC867" s="98"/>
      <c r="AD867" s="98"/>
      <c r="AE867" s="98"/>
      <c r="AF867" s="98"/>
      <c r="AG867" s="98"/>
    </row>
    <row r="868" spans="1:33" ht="15" customHeight="1">
      <c r="A868" s="286"/>
      <c r="B868" s="98"/>
      <c r="C868" s="98"/>
      <c r="D868" s="98"/>
      <c r="E868" s="98"/>
      <c r="F868" s="98"/>
      <c r="G868" s="98"/>
      <c r="H868" s="98"/>
      <c r="I868" s="98"/>
      <c r="J868" s="98"/>
      <c r="K868" s="98"/>
      <c r="L868" s="98"/>
      <c r="M868" s="98"/>
      <c r="N868" s="98"/>
      <c r="O868" s="98"/>
      <c r="P868" s="98"/>
      <c r="Q868" s="98"/>
      <c r="R868" s="98"/>
      <c r="S868" s="98"/>
      <c r="T868" s="98"/>
      <c r="U868" s="98"/>
      <c r="V868" s="98"/>
      <c r="W868" s="98"/>
      <c r="X868" s="98"/>
      <c r="Y868" s="98"/>
      <c r="Z868" s="98"/>
      <c r="AA868" s="98"/>
      <c r="AB868" s="98"/>
      <c r="AC868" s="98"/>
      <c r="AD868" s="98"/>
      <c r="AE868" s="98"/>
      <c r="AF868" s="98"/>
      <c r="AG868" s="98"/>
    </row>
    <row r="869" spans="1:33" ht="15" customHeight="1">
      <c r="A869" s="286"/>
      <c r="B869" s="98"/>
      <c r="C869" s="98"/>
      <c r="D869" s="98"/>
      <c r="E869" s="98"/>
      <c r="F869" s="98"/>
      <c r="G869" s="98"/>
      <c r="H869" s="98"/>
      <c r="I869" s="98"/>
      <c r="J869" s="98"/>
      <c r="K869" s="98"/>
      <c r="L869" s="98"/>
      <c r="M869" s="98"/>
      <c r="N869" s="98"/>
      <c r="O869" s="98"/>
      <c r="P869" s="98"/>
      <c r="Q869" s="98"/>
      <c r="R869" s="98"/>
      <c r="S869" s="98"/>
      <c r="T869" s="98"/>
      <c r="U869" s="98"/>
      <c r="V869" s="98"/>
      <c r="W869" s="98"/>
      <c r="X869" s="98"/>
      <c r="Y869" s="98"/>
      <c r="Z869" s="98"/>
      <c r="AA869" s="98"/>
      <c r="AB869" s="98"/>
      <c r="AC869" s="98"/>
      <c r="AD869" s="98"/>
      <c r="AE869" s="98"/>
      <c r="AF869" s="98"/>
      <c r="AG869" s="98"/>
    </row>
    <row r="870" spans="1:33" ht="15" customHeight="1">
      <c r="A870" s="286"/>
      <c r="B870" s="98"/>
      <c r="C870" s="98"/>
      <c r="D870" s="98"/>
      <c r="E870" s="98"/>
      <c r="F870" s="98"/>
      <c r="G870" s="98"/>
      <c r="H870" s="98"/>
      <c r="I870" s="98"/>
      <c r="J870" s="98"/>
      <c r="K870" s="98"/>
      <c r="L870" s="98"/>
      <c r="M870" s="98"/>
      <c r="N870" s="98"/>
      <c r="O870" s="98"/>
      <c r="P870" s="98"/>
      <c r="Q870" s="98"/>
      <c r="R870" s="98"/>
      <c r="S870" s="98"/>
      <c r="T870" s="98"/>
      <c r="U870" s="98"/>
      <c r="V870" s="98"/>
      <c r="W870" s="98"/>
      <c r="X870" s="98"/>
      <c r="Y870" s="98"/>
      <c r="Z870" s="98"/>
      <c r="AA870" s="98"/>
      <c r="AB870" s="98"/>
      <c r="AC870" s="98"/>
      <c r="AD870" s="98"/>
      <c r="AE870" s="98"/>
      <c r="AF870" s="98"/>
      <c r="AG870" s="98"/>
    </row>
    <row r="871" spans="1:33" ht="15" customHeight="1">
      <c r="A871" s="286"/>
      <c r="B871" s="98"/>
      <c r="C871" s="98"/>
      <c r="D871" s="98"/>
      <c r="E871" s="98"/>
      <c r="F871" s="98"/>
      <c r="G871" s="98"/>
      <c r="H871" s="98"/>
      <c r="I871" s="98"/>
      <c r="J871" s="98"/>
      <c r="K871" s="98"/>
      <c r="L871" s="98"/>
      <c r="M871" s="98"/>
      <c r="N871" s="98"/>
      <c r="O871" s="98"/>
      <c r="P871" s="98"/>
      <c r="Q871" s="98"/>
      <c r="R871" s="98"/>
      <c r="S871" s="98"/>
      <c r="T871" s="98"/>
      <c r="U871" s="98"/>
      <c r="V871" s="98"/>
      <c r="W871" s="98"/>
      <c r="X871" s="98"/>
      <c r="Y871" s="98"/>
      <c r="Z871" s="98"/>
      <c r="AA871" s="98"/>
      <c r="AB871" s="98"/>
      <c r="AC871" s="98"/>
      <c r="AD871" s="98"/>
      <c r="AE871" s="98"/>
      <c r="AF871" s="98"/>
      <c r="AG871" s="98"/>
    </row>
    <row r="872" spans="1:33" ht="15" customHeight="1">
      <c r="A872" s="286"/>
      <c r="B872" s="98"/>
      <c r="C872" s="98"/>
      <c r="D872" s="98"/>
      <c r="E872" s="98"/>
      <c r="F872" s="98"/>
      <c r="G872" s="98"/>
      <c r="H872" s="98"/>
      <c r="I872" s="98"/>
      <c r="J872" s="98"/>
      <c r="K872" s="98"/>
      <c r="L872" s="98"/>
      <c r="M872" s="98"/>
      <c r="N872" s="98"/>
      <c r="O872" s="98"/>
      <c r="P872" s="98"/>
      <c r="Q872" s="98"/>
      <c r="R872" s="98"/>
      <c r="S872" s="98"/>
      <c r="T872" s="98"/>
      <c r="U872" s="98"/>
      <c r="V872" s="98"/>
      <c r="W872" s="98"/>
      <c r="X872" s="98"/>
      <c r="Y872" s="98"/>
      <c r="Z872" s="98"/>
      <c r="AA872" s="98"/>
      <c r="AB872" s="98"/>
      <c r="AC872" s="98"/>
      <c r="AD872" s="98"/>
      <c r="AE872" s="98"/>
      <c r="AF872" s="98"/>
      <c r="AG872" s="98"/>
    </row>
    <row r="873" spans="1:33" ht="15" customHeight="1">
      <c r="A873" s="286"/>
      <c r="B873" s="98"/>
      <c r="C873" s="98"/>
      <c r="D873" s="98"/>
      <c r="E873" s="98"/>
      <c r="F873" s="98"/>
      <c r="G873" s="98"/>
      <c r="H873" s="98"/>
      <c r="I873" s="98"/>
      <c r="J873" s="98"/>
      <c r="K873" s="98"/>
      <c r="L873" s="98"/>
      <c r="M873" s="98"/>
      <c r="N873" s="98"/>
      <c r="O873" s="98"/>
      <c r="P873" s="98"/>
      <c r="Q873" s="98"/>
      <c r="R873" s="98"/>
      <c r="S873" s="98"/>
      <c r="T873" s="98"/>
      <c r="U873" s="98"/>
      <c r="V873" s="98"/>
      <c r="W873" s="98"/>
      <c r="X873" s="98"/>
      <c r="Y873" s="98"/>
      <c r="Z873" s="98"/>
      <c r="AA873" s="98"/>
      <c r="AB873" s="98"/>
      <c r="AC873" s="98"/>
      <c r="AD873" s="98"/>
      <c r="AE873" s="98"/>
      <c r="AF873" s="98"/>
      <c r="AG873" s="98"/>
    </row>
    <row r="874" spans="1:33" ht="15" customHeight="1">
      <c r="A874" s="286"/>
      <c r="B874" s="98"/>
      <c r="C874" s="98"/>
      <c r="D874" s="98"/>
      <c r="E874" s="98"/>
      <c r="F874" s="98"/>
      <c r="G874" s="98"/>
      <c r="H874" s="98"/>
      <c r="I874" s="98"/>
      <c r="J874" s="98"/>
      <c r="K874" s="98"/>
      <c r="L874" s="98"/>
      <c r="M874" s="98"/>
      <c r="N874" s="98"/>
      <c r="O874" s="98"/>
      <c r="P874" s="98"/>
      <c r="Q874" s="98"/>
      <c r="R874" s="98"/>
      <c r="S874" s="98"/>
      <c r="T874" s="98"/>
      <c r="U874" s="98"/>
      <c r="V874" s="98"/>
      <c r="W874" s="98"/>
      <c r="X874" s="98"/>
      <c r="Y874" s="98"/>
      <c r="Z874" s="98"/>
      <c r="AA874" s="98"/>
      <c r="AB874" s="98"/>
      <c r="AC874" s="98"/>
      <c r="AD874" s="98"/>
      <c r="AE874" s="98"/>
      <c r="AF874" s="98"/>
      <c r="AG874" s="98"/>
    </row>
    <row r="875" spans="1:33" ht="15" customHeight="1">
      <c r="A875" s="286"/>
      <c r="B875" s="98"/>
      <c r="C875" s="98"/>
      <c r="D875" s="98"/>
      <c r="E875" s="98"/>
      <c r="F875" s="98"/>
      <c r="G875" s="98"/>
      <c r="H875" s="98"/>
      <c r="I875" s="98"/>
      <c r="J875" s="98"/>
      <c r="K875" s="98"/>
      <c r="L875" s="98"/>
      <c r="M875" s="98"/>
      <c r="N875" s="98"/>
      <c r="O875" s="98"/>
      <c r="P875" s="98"/>
      <c r="Q875" s="98"/>
      <c r="R875" s="98"/>
      <c r="S875" s="98"/>
      <c r="T875" s="98"/>
      <c r="U875" s="98"/>
      <c r="V875" s="98"/>
      <c r="W875" s="98"/>
      <c r="X875" s="98"/>
      <c r="Y875" s="98"/>
      <c r="Z875" s="98"/>
      <c r="AA875" s="98"/>
      <c r="AB875" s="98"/>
      <c r="AC875" s="98"/>
      <c r="AD875" s="98"/>
      <c r="AE875" s="98"/>
      <c r="AF875" s="98"/>
      <c r="AG875" s="98"/>
    </row>
    <row r="876" spans="1:33" ht="15" customHeight="1">
      <c r="A876" s="286"/>
      <c r="B876" s="98"/>
      <c r="C876" s="98"/>
      <c r="D876" s="98"/>
      <c r="E876" s="98"/>
      <c r="F876" s="98"/>
      <c r="G876" s="98"/>
      <c r="H876" s="98"/>
      <c r="I876" s="98"/>
      <c r="J876" s="98"/>
      <c r="K876" s="98"/>
      <c r="L876" s="98"/>
      <c r="M876" s="98"/>
      <c r="N876" s="98"/>
      <c r="O876" s="98"/>
      <c r="P876" s="98"/>
      <c r="Q876" s="98"/>
      <c r="R876" s="98"/>
      <c r="S876" s="98"/>
      <c r="T876" s="98"/>
      <c r="U876" s="98"/>
      <c r="V876" s="98"/>
      <c r="W876" s="98"/>
      <c r="X876" s="98"/>
      <c r="Y876" s="98"/>
      <c r="Z876" s="98"/>
      <c r="AA876" s="98"/>
      <c r="AB876" s="98"/>
      <c r="AC876" s="98"/>
      <c r="AD876" s="98"/>
      <c r="AE876" s="98"/>
      <c r="AF876" s="98"/>
      <c r="AG876" s="98"/>
    </row>
    <row r="877" spans="1:33" ht="15" customHeight="1">
      <c r="A877" s="286"/>
      <c r="B877" s="98"/>
      <c r="C877" s="98"/>
      <c r="D877" s="98"/>
      <c r="E877" s="98"/>
      <c r="F877" s="98"/>
      <c r="G877" s="98"/>
      <c r="H877" s="98"/>
      <c r="I877" s="98"/>
      <c r="J877" s="98"/>
      <c r="K877" s="98"/>
      <c r="L877" s="98"/>
      <c r="M877" s="98"/>
      <c r="N877" s="98"/>
      <c r="O877" s="98"/>
      <c r="P877" s="98"/>
      <c r="Q877" s="98"/>
      <c r="R877" s="98"/>
      <c r="S877" s="98"/>
      <c r="T877" s="98"/>
      <c r="U877" s="98"/>
      <c r="V877" s="98"/>
      <c r="W877" s="98"/>
      <c r="X877" s="98"/>
      <c r="Y877" s="98"/>
      <c r="Z877" s="98"/>
      <c r="AA877" s="98"/>
      <c r="AB877" s="98"/>
      <c r="AC877" s="98"/>
      <c r="AD877" s="98"/>
      <c r="AE877" s="98"/>
      <c r="AF877" s="98"/>
      <c r="AG877" s="98"/>
    </row>
    <row r="878" spans="1:33" ht="15" customHeight="1">
      <c r="A878" s="286"/>
      <c r="B878" s="98"/>
      <c r="C878" s="98"/>
      <c r="D878" s="98"/>
      <c r="E878" s="98"/>
      <c r="F878" s="98"/>
      <c r="G878" s="98"/>
      <c r="H878" s="98"/>
      <c r="I878" s="98"/>
      <c r="J878" s="98"/>
      <c r="K878" s="98"/>
      <c r="L878" s="98"/>
      <c r="M878" s="98"/>
      <c r="N878" s="98"/>
      <c r="O878" s="98"/>
      <c r="P878" s="98"/>
      <c r="Q878" s="98"/>
      <c r="R878" s="98"/>
      <c r="S878" s="98"/>
      <c r="T878" s="98"/>
      <c r="U878" s="98"/>
      <c r="V878" s="98"/>
      <c r="W878" s="98"/>
      <c r="X878" s="98"/>
      <c r="Y878" s="98"/>
      <c r="Z878" s="98"/>
      <c r="AA878" s="98"/>
      <c r="AB878" s="98"/>
      <c r="AC878" s="98"/>
      <c r="AD878" s="98"/>
      <c r="AE878" s="98"/>
      <c r="AF878" s="98"/>
      <c r="AG878" s="98"/>
    </row>
    <row r="879" spans="1:33" ht="15" customHeight="1">
      <c r="A879" s="286"/>
      <c r="B879" s="98"/>
      <c r="C879" s="98"/>
      <c r="D879" s="98"/>
      <c r="E879" s="98"/>
      <c r="F879" s="98"/>
      <c r="G879" s="98"/>
      <c r="H879" s="98"/>
      <c r="I879" s="98"/>
      <c r="J879" s="98"/>
      <c r="K879" s="98"/>
      <c r="L879" s="98"/>
      <c r="M879" s="98"/>
      <c r="N879" s="98"/>
      <c r="O879" s="98"/>
      <c r="P879" s="98"/>
      <c r="Q879" s="98"/>
      <c r="R879" s="98"/>
      <c r="S879" s="98"/>
      <c r="T879" s="98"/>
      <c r="U879" s="98"/>
      <c r="V879" s="98"/>
      <c r="W879" s="98"/>
      <c r="X879" s="98"/>
      <c r="Y879" s="98"/>
      <c r="Z879" s="98"/>
      <c r="AA879" s="98"/>
      <c r="AB879" s="98"/>
      <c r="AC879" s="98"/>
      <c r="AD879" s="98"/>
      <c r="AE879" s="98"/>
      <c r="AF879" s="98"/>
      <c r="AG879" s="98"/>
    </row>
    <row r="880" spans="1:33" ht="15" customHeight="1">
      <c r="A880" s="286"/>
      <c r="B880" s="98"/>
      <c r="C880" s="98"/>
      <c r="D880" s="98"/>
      <c r="E880" s="98"/>
      <c r="F880" s="98"/>
      <c r="G880" s="98"/>
      <c r="H880" s="98"/>
      <c r="I880" s="98"/>
      <c r="J880" s="98"/>
      <c r="K880" s="98"/>
      <c r="L880" s="98"/>
      <c r="M880" s="98"/>
      <c r="N880" s="98"/>
      <c r="O880" s="98"/>
      <c r="P880" s="98"/>
      <c r="Q880" s="98"/>
      <c r="R880" s="98"/>
      <c r="S880" s="98"/>
      <c r="T880" s="98"/>
      <c r="U880" s="98"/>
      <c r="V880" s="98"/>
      <c r="W880" s="98"/>
      <c r="X880" s="98"/>
      <c r="Y880" s="98"/>
      <c r="Z880" s="98"/>
      <c r="AA880" s="98"/>
      <c r="AB880" s="98"/>
      <c r="AC880" s="98"/>
      <c r="AD880" s="98"/>
      <c r="AE880" s="98"/>
      <c r="AF880" s="98"/>
      <c r="AG880" s="98"/>
    </row>
    <row r="881" spans="1:33" ht="15" customHeight="1">
      <c r="A881" s="286"/>
      <c r="B881" s="98"/>
      <c r="C881" s="98"/>
      <c r="D881" s="98"/>
      <c r="E881" s="98"/>
      <c r="F881" s="98"/>
      <c r="G881" s="98"/>
      <c r="H881" s="98"/>
      <c r="I881" s="98"/>
      <c r="J881" s="98"/>
      <c r="K881" s="98"/>
      <c r="L881" s="98"/>
      <c r="M881" s="98"/>
      <c r="N881" s="98"/>
      <c r="O881" s="98"/>
      <c r="P881" s="98"/>
      <c r="Q881" s="98"/>
      <c r="R881" s="98"/>
      <c r="S881" s="98"/>
      <c r="T881" s="98"/>
      <c r="U881" s="98"/>
      <c r="V881" s="98"/>
      <c r="W881" s="98"/>
      <c r="X881" s="98"/>
      <c r="Y881" s="98"/>
      <c r="Z881" s="98"/>
      <c r="AA881" s="98"/>
      <c r="AB881" s="98"/>
      <c r="AC881" s="98"/>
      <c r="AD881" s="98"/>
      <c r="AE881" s="98"/>
      <c r="AF881" s="98"/>
      <c r="AG881" s="98"/>
    </row>
    <row r="882" spans="1:33" ht="15" customHeight="1">
      <c r="A882" s="286"/>
      <c r="B882" s="98"/>
      <c r="C882" s="98"/>
      <c r="D882" s="98"/>
      <c r="E882" s="98"/>
      <c r="F882" s="98"/>
      <c r="G882" s="98"/>
      <c r="H882" s="98"/>
      <c r="I882" s="98"/>
      <c r="J882" s="98"/>
      <c r="K882" s="98"/>
      <c r="L882" s="98"/>
      <c r="M882" s="98"/>
      <c r="N882" s="98"/>
      <c r="O882" s="98"/>
      <c r="P882" s="98"/>
      <c r="Q882" s="98"/>
      <c r="R882" s="98"/>
      <c r="S882" s="98"/>
      <c r="T882" s="98"/>
      <c r="U882" s="98"/>
      <c r="V882" s="98"/>
      <c r="W882" s="98"/>
      <c r="X882" s="98"/>
      <c r="Y882" s="98"/>
      <c r="Z882" s="98"/>
      <c r="AA882" s="98"/>
      <c r="AB882" s="98"/>
      <c r="AC882" s="98"/>
      <c r="AD882" s="98"/>
      <c r="AE882" s="98"/>
      <c r="AF882" s="98"/>
      <c r="AG882" s="98"/>
    </row>
    <row r="883" spans="1:33" ht="15" customHeight="1">
      <c r="A883" s="286"/>
      <c r="B883" s="98"/>
      <c r="C883" s="98"/>
      <c r="D883" s="98"/>
      <c r="E883" s="98"/>
      <c r="F883" s="98"/>
      <c r="G883" s="98"/>
      <c r="H883" s="98"/>
      <c r="I883" s="98"/>
      <c r="J883" s="98"/>
      <c r="K883" s="98"/>
      <c r="L883" s="98"/>
      <c r="M883" s="98"/>
      <c r="N883" s="98"/>
      <c r="O883" s="98"/>
      <c r="P883" s="98"/>
      <c r="Q883" s="98"/>
      <c r="R883" s="98"/>
      <c r="S883" s="98"/>
      <c r="T883" s="98"/>
      <c r="U883" s="98"/>
      <c r="V883" s="98"/>
      <c r="W883" s="98"/>
      <c r="X883" s="98"/>
      <c r="Y883" s="98"/>
      <c r="Z883" s="98"/>
      <c r="AA883" s="98"/>
      <c r="AB883" s="98"/>
      <c r="AC883" s="98"/>
      <c r="AD883" s="98"/>
      <c r="AE883" s="98"/>
      <c r="AF883" s="98"/>
      <c r="AG883" s="98"/>
    </row>
    <row r="884" spans="1:33" ht="15" customHeight="1">
      <c r="A884" s="286"/>
      <c r="B884" s="98"/>
      <c r="C884" s="98"/>
      <c r="D884" s="98"/>
      <c r="E884" s="98"/>
      <c r="F884" s="98"/>
      <c r="G884" s="98"/>
      <c r="H884" s="98"/>
      <c r="I884" s="98"/>
      <c r="J884" s="98"/>
      <c r="K884" s="98"/>
      <c r="L884" s="98"/>
      <c r="M884" s="98"/>
      <c r="N884" s="98"/>
      <c r="O884" s="98"/>
      <c r="P884" s="98"/>
      <c r="Q884" s="98"/>
      <c r="R884" s="98"/>
      <c r="S884" s="98"/>
      <c r="T884" s="98"/>
      <c r="U884" s="98"/>
      <c r="V884" s="98"/>
      <c r="W884" s="98"/>
      <c r="X884" s="98"/>
      <c r="Y884" s="98"/>
      <c r="Z884" s="98"/>
      <c r="AA884" s="98"/>
      <c r="AB884" s="98"/>
      <c r="AC884" s="98"/>
      <c r="AD884" s="98"/>
      <c r="AE884" s="98"/>
      <c r="AF884" s="98"/>
      <c r="AG884" s="98"/>
    </row>
    <row r="885" spans="1:33" ht="15" customHeight="1">
      <c r="A885" s="286"/>
      <c r="B885" s="98"/>
      <c r="C885" s="98"/>
      <c r="D885" s="98"/>
      <c r="E885" s="98"/>
      <c r="F885" s="98"/>
      <c r="G885" s="98"/>
      <c r="H885" s="98"/>
      <c r="I885" s="98"/>
      <c r="J885" s="98"/>
      <c r="K885" s="98"/>
      <c r="L885" s="98"/>
      <c r="M885" s="98"/>
      <c r="N885" s="98"/>
      <c r="O885" s="98"/>
      <c r="P885" s="98"/>
      <c r="Q885" s="98"/>
      <c r="R885" s="98"/>
      <c r="S885" s="98"/>
      <c r="T885" s="98"/>
      <c r="U885" s="98"/>
      <c r="V885" s="98"/>
      <c r="W885" s="98"/>
      <c r="X885" s="98"/>
      <c r="Y885" s="98"/>
      <c r="Z885" s="98"/>
      <c r="AA885" s="98"/>
      <c r="AB885" s="98"/>
      <c r="AC885" s="98"/>
      <c r="AD885" s="98"/>
      <c r="AE885" s="98"/>
      <c r="AF885" s="98"/>
      <c r="AG885" s="98"/>
    </row>
    <row r="886" spans="1:33" ht="15" customHeight="1">
      <c r="A886" s="286"/>
      <c r="B886" s="98"/>
      <c r="C886" s="98"/>
      <c r="D886" s="98"/>
      <c r="E886" s="98"/>
      <c r="F886" s="98"/>
      <c r="G886" s="98"/>
      <c r="H886" s="98"/>
      <c r="I886" s="98"/>
      <c r="J886" s="98"/>
      <c r="K886" s="98"/>
      <c r="L886" s="98"/>
      <c r="M886" s="98"/>
      <c r="N886" s="98"/>
      <c r="O886" s="98"/>
      <c r="P886" s="98"/>
      <c r="Q886" s="98"/>
      <c r="R886" s="98"/>
      <c r="S886" s="98"/>
      <c r="T886" s="98"/>
      <c r="U886" s="98"/>
      <c r="V886" s="98"/>
      <c r="W886" s="98"/>
      <c r="X886" s="98"/>
      <c r="Y886" s="98"/>
      <c r="Z886" s="98"/>
      <c r="AA886" s="98"/>
      <c r="AB886" s="98"/>
      <c r="AC886" s="98"/>
      <c r="AD886" s="98"/>
      <c r="AE886" s="98"/>
      <c r="AF886" s="98"/>
      <c r="AG886" s="98"/>
    </row>
    <row r="887" spans="1:33" ht="15" customHeight="1">
      <c r="A887" s="286"/>
      <c r="B887" s="98"/>
      <c r="C887" s="98"/>
      <c r="D887" s="98"/>
      <c r="E887" s="98"/>
      <c r="F887" s="98"/>
      <c r="G887" s="98"/>
      <c r="H887" s="98"/>
      <c r="I887" s="98"/>
      <c r="J887" s="98"/>
      <c r="K887" s="98"/>
      <c r="L887" s="98"/>
      <c r="M887" s="98"/>
      <c r="N887" s="98"/>
      <c r="O887" s="98"/>
      <c r="P887" s="98"/>
      <c r="Q887" s="98"/>
      <c r="R887" s="98"/>
      <c r="S887" s="98"/>
      <c r="T887" s="98"/>
      <c r="U887" s="98"/>
      <c r="V887" s="98"/>
      <c r="W887" s="98"/>
      <c r="X887" s="98"/>
      <c r="Y887" s="98"/>
      <c r="Z887" s="98"/>
      <c r="AA887" s="98"/>
      <c r="AB887" s="98"/>
      <c r="AC887" s="98"/>
      <c r="AD887" s="98"/>
      <c r="AE887" s="98"/>
      <c r="AF887" s="98"/>
      <c r="AG887" s="98"/>
    </row>
    <row r="888" spans="1:33" ht="15" customHeight="1">
      <c r="A888" s="286"/>
      <c r="B888" s="98"/>
      <c r="C888" s="98"/>
      <c r="D888" s="98"/>
      <c r="E888" s="98"/>
      <c r="F888" s="98"/>
      <c r="G888" s="98"/>
      <c r="H888" s="98"/>
      <c r="I888" s="98"/>
      <c r="J888" s="98"/>
      <c r="K888" s="98"/>
      <c r="L888" s="98"/>
      <c r="M888" s="98"/>
      <c r="N888" s="98"/>
      <c r="O888" s="98"/>
      <c r="P888" s="98"/>
      <c r="Q888" s="98"/>
      <c r="R888" s="98"/>
      <c r="S888" s="98"/>
      <c r="T888" s="98"/>
      <c r="U888" s="98"/>
      <c r="V888" s="98"/>
      <c r="W888" s="98"/>
      <c r="X888" s="98"/>
      <c r="Y888" s="98"/>
      <c r="Z888" s="98"/>
      <c r="AA888" s="98"/>
      <c r="AB888" s="98"/>
      <c r="AC888" s="98"/>
      <c r="AD888" s="98"/>
      <c r="AE888" s="98"/>
      <c r="AF888" s="98"/>
      <c r="AG888" s="98"/>
    </row>
    <row r="889" spans="1:33" ht="15" customHeight="1">
      <c r="A889" s="286"/>
      <c r="B889" s="98"/>
      <c r="C889" s="98"/>
      <c r="D889" s="98"/>
      <c r="E889" s="98"/>
      <c r="F889" s="98"/>
      <c r="G889" s="98"/>
      <c r="H889" s="98"/>
      <c r="I889" s="98"/>
      <c r="J889" s="98"/>
      <c r="K889" s="98"/>
      <c r="L889" s="98"/>
      <c r="M889" s="98"/>
      <c r="N889" s="98"/>
      <c r="O889" s="98"/>
      <c r="P889" s="98"/>
      <c r="Q889" s="98"/>
      <c r="R889" s="98"/>
      <c r="S889" s="98"/>
      <c r="T889" s="98"/>
      <c r="U889" s="98"/>
      <c r="V889" s="98"/>
      <c r="W889" s="98"/>
      <c r="X889" s="98"/>
      <c r="Y889" s="98"/>
      <c r="Z889" s="98"/>
      <c r="AA889" s="98"/>
      <c r="AB889" s="98"/>
      <c r="AC889" s="98"/>
      <c r="AD889" s="98"/>
      <c r="AE889" s="98"/>
      <c r="AF889" s="98"/>
      <c r="AG889" s="98"/>
    </row>
    <row r="890" spans="1:33" ht="15" customHeight="1">
      <c r="A890" s="286"/>
      <c r="B890" s="98"/>
      <c r="C890" s="98"/>
      <c r="D890" s="98"/>
      <c r="E890" s="98"/>
      <c r="F890" s="98"/>
      <c r="G890" s="98"/>
      <c r="H890" s="98"/>
      <c r="I890" s="98"/>
      <c r="J890" s="98"/>
      <c r="K890" s="98"/>
      <c r="L890" s="98"/>
      <c r="M890" s="98"/>
      <c r="N890" s="98"/>
      <c r="O890" s="98"/>
      <c r="P890" s="98"/>
      <c r="Q890" s="98"/>
      <c r="R890" s="98"/>
      <c r="S890" s="98"/>
      <c r="T890" s="98"/>
      <c r="U890" s="98"/>
      <c r="V890" s="98"/>
      <c r="W890" s="98"/>
      <c r="X890" s="98"/>
      <c r="Y890" s="98"/>
      <c r="Z890" s="98"/>
      <c r="AA890" s="98"/>
      <c r="AB890" s="98"/>
      <c r="AC890" s="98"/>
      <c r="AD890" s="98"/>
      <c r="AE890" s="98"/>
      <c r="AF890" s="98"/>
      <c r="AG890" s="98"/>
    </row>
    <row r="891" spans="1:33" ht="15" customHeight="1">
      <c r="A891" s="286"/>
      <c r="B891" s="98"/>
      <c r="C891" s="98"/>
      <c r="D891" s="98"/>
      <c r="E891" s="98"/>
      <c r="F891" s="98"/>
      <c r="G891" s="98"/>
      <c r="H891" s="98"/>
      <c r="I891" s="98"/>
      <c r="J891" s="98"/>
      <c r="K891" s="98"/>
      <c r="L891" s="98"/>
      <c r="M891" s="98"/>
      <c r="N891" s="98"/>
      <c r="O891" s="98"/>
      <c r="P891" s="98"/>
      <c r="Q891" s="98"/>
      <c r="R891" s="98"/>
      <c r="S891" s="98"/>
      <c r="T891" s="98"/>
      <c r="U891" s="98"/>
      <c r="V891" s="98"/>
      <c r="W891" s="98"/>
      <c r="X891" s="98"/>
      <c r="Y891" s="98"/>
      <c r="Z891" s="98"/>
      <c r="AA891" s="98"/>
      <c r="AB891" s="98"/>
      <c r="AC891" s="98"/>
      <c r="AD891" s="98"/>
      <c r="AE891" s="98"/>
      <c r="AF891" s="98"/>
      <c r="AG891" s="98"/>
    </row>
    <row r="892" spans="1:33" ht="15" customHeight="1">
      <c r="A892" s="286"/>
      <c r="B892" s="98"/>
      <c r="C892" s="98"/>
      <c r="D892" s="98"/>
      <c r="E892" s="98"/>
      <c r="F892" s="98"/>
      <c r="G892" s="98"/>
      <c r="H892" s="98"/>
      <c r="I892" s="98"/>
      <c r="J892" s="98"/>
      <c r="K892" s="98"/>
      <c r="L892" s="98"/>
      <c r="M892" s="98"/>
      <c r="N892" s="98"/>
      <c r="O892" s="98"/>
      <c r="P892" s="98"/>
      <c r="Q892" s="98"/>
      <c r="R892" s="98"/>
      <c r="S892" s="98"/>
      <c r="T892" s="98"/>
      <c r="U892" s="98"/>
      <c r="V892" s="98"/>
      <c r="W892" s="98"/>
      <c r="X892" s="98"/>
      <c r="Y892" s="98"/>
      <c r="Z892" s="98"/>
      <c r="AA892" s="98"/>
      <c r="AB892" s="98"/>
      <c r="AC892" s="98"/>
      <c r="AD892" s="98"/>
      <c r="AE892" s="98"/>
      <c r="AF892" s="98"/>
      <c r="AG892" s="98"/>
    </row>
    <row r="893" spans="1:33" ht="15" customHeight="1">
      <c r="A893" s="286"/>
      <c r="B893" s="98"/>
      <c r="C893" s="98"/>
      <c r="D893" s="98"/>
      <c r="E893" s="98"/>
      <c r="F893" s="98"/>
      <c r="G893" s="98"/>
      <c r="H893" s="98"/>
      <c r="I893" s="98"/>
      <c r="J893" s="98"/>
      <c r="K893" s="98"/>
      <c r="L893" s="98"/>
      <c r="M893" s="98"/>
      <c r="N893" s="98"/>
      <c r="O893" s="98"/>
      <c r="P893" s="98"/>
      <c r="Q893" s="98"/>
      <c r="R893" s="98"/>
      <c r="S893" s="98"/>
      <c r="T893" s="98"/>
      <c r="U893" s="98"/>
      <c r="V893" s="98"/>
      <c r="W893" s="98"/>
      <c r="X893" s="98"/>
      <c r="Y893" s="98"/>
      <c r="Z893" s="98"/>
      <c r="AA893" s="98"/>
      <c r="AB893" s="98"/>
      <c r="AC893" s="98"/>
      <c r="AD893" s="98"/>
      <c r="AE893" s="98"/>
      <c r="AF893" s="98"/>
      <c r="AG893" s="98"/>
    </row>
    <row r="894" spans="1:33" ht="15" customHeight="1">
      <c r="A894" s="286"/>
      <c r="B894" s="98"/>
      <c r="C894" s="98"/>
      <c r="D894" s="98"/>
      <c r="E894" s="98"/>
      <c r="F894" s="98"/>
      <c r="G894" s="98"/>
      <c r="H894" s="98"/>
      <c r="I894" s="98"/>
      <c r="J894" s="98"/>
      <c r="K894" s="98"/>
      <c r="L894" s="98"/>
      <c r="M894" s="98"/>
      <c r="N894" s="98"/>
      <c r="O894" s="98"/>
      <c r="P894" s="98"/>
      <c r="Q894" s="98"/>
      <c r="R894" s="98"/>
      <c r="S894" s="98"/>
      <c r="T894" s="98"/>
      <c r="U894" s="98"/>
      <c r="V894" s="98"/>
      <c r="W894" s="98"/>
      <c r="X894" s="98"/>
      <c r="Y894" s="98"/>
      <c r="Z894" s="98"/>
      <c r="AA894" s="98"/>
      <c r="AB894" s="98"/>
      <c r="AC894" s="98"/>
      <c r="AD894" s="98"/>
      <c r="AE894" s="98"/>
      <c r="AF894" s="98"/>
      <c r="AG894" s="98"/>
    </row>
    <row r="895" spans="1:33" ht="15" customHeight="1">
      <c r="A895" s="286"/>
      <c r="B895" s="98"/>
      <c r="C895" s="98"/>
      <c r="D895" s="98"/>
      <c r="E895" s="98"/>
      <c r="F895" s="98"/>
      <c r="G895" s="98"/>
      <c r="H895" s="98"/>
      <c r="I895" s="98"/>
      <c r="J895" s="98"/>
      <c r="K895" s="98"/>
      <c r="L895" s="98"/>
      <c r="M895" s="98"/>
      <c r="N895" s="98"/>
      <c r="O895" s="98"/>
      <c r="P895" s="98"/>
      <c r="Q895" s="98"/>
      <c r="R895" s="98"/>
      <c r="S895" s="98"/>
      <c r="T895" s="98"/>
      <c r="U895" s="98"/>
      <c r="V895" s="98"/>
      <c r="W895" s="98"/>
      <c r="X895" s="98"/>
      <c r="Y895" s="98"/>
      <c r="Z895" s="98"/>
      <c r="AA895" s="98"/>
      <c r="AB895" s="98"/>
      <c r="AC895" s="98"/>
      <c r="AD895" s="98"/>
      <c r="AE895" s="98"/>
      <c r="AF895" s="98"/>
      <c r="AG895" s="98"/>
    </row>
    <row r="896" spans="1:33" ht="15" customHeight="1">
      <c r="A896" s="286"/>
      <c r="B896" s="98"/>
      <c r="C896" s="98"/>
      <c r="D896" s="98"/>
      <c r="E896" s="98"/>
      <c r="F896" s="98"/>
      <c r="G896" s="98"/>
      <c r="H896" s="98"/>
      <c r="I896" s="98"/>
      <c r="J896" s="98"/>
      <c r="K896" s="98"/>
      <c r="L896" s="98"/>
      <c r="M896" s="98"/>
      <c r="N896" s="98"/>
      <c r="O896" s="98"/>
      <c r="P896" s="98"/>
      <c r="Q896" s="98"/>
      <c r="R896" s="98"/>
      <c r="S896" s="98"/>
      <c r="T896" s="98"/>
      <c r="U896" s="98"/>
      <c r="V896" s="98"/>
      <c r="W896" s="98"/>
      <c r="X896" s="98"/>
      <c r="Y896" s="98"/>
      <c r="Z896" s="98"/>
      <c r="AA896" s="98"/>
      <c r="AB896" s="98"/>
      <c r="AC896" s="98"/>
      <c r="AD896" s="98"/>
      <c r="AE896" s="98"/>
      <c r="AF896" s="98"/>
      <c r="AG896" s="98"/>
    </row>
    <row r="897" spans="1:33" ht="15" customHeight="1">
      <c r="A897" s="286"/>
      <c r="B897" s="98"/>
      <c r="C897" s="98"/>
      <c r="D897" s="98"/>
      <c r="E897" s="98"/>
      <c r="F897" s="98"/>
      <c r="G897" s="98"/>
      <c r="H897" s="98"/>
      <c r="I897" s="98"/>
      <c r="J897" s="98"/>
      <c r="K897" s="98"/>
      <c r="L897" s="98"/>
      <c r="M897" s="98"/>
      <c r="N897" s="98"/>
      <c r="O897" s="98"/>
      <c r="P897" s="98"/>
      <c r="Q897" s="98"/>
      <c r="R897" s="98"/>
      <c r="S897" s="98"/>
      <c r="T897" s="98"/>
      <c r="U897" s="98"/>
      <c r="V897" s="98"/>
      <c r="W897" s="98"/>
      <c r="X897" s="98"/>
      <c r="Y897" s="98"/>
      <c r="Z897" s="98"/>
      <c r="AA897" s="98"/>
      <c r="AB897" s="98"/>
      <c r="AC897" s="98"/>
      <c r="AD897" s="98"/>
      <c r="AE897" s="98"/>
      <c r="AF897" s="98"/>
      <c r="AG897" s="98"/>
    </row>
    <row r="898" spans="1:33" ht="15" customHeight="1">
      <c r="A898" s="286"/>
      <c r="B898" s="98"/>
      <c r="C898" s="98"/>
      <c r="D898" s="98"/>
      <c r="E898" s="98"/>
      <c r="F898" s="98"/>
      <c r="G898" s="98"/>
      <c r="H898" s="98"/>
      <c r="I898" s="98"/>
      <c r="J898" s="98"/>
      <c r="K898" s="98"/>
      <c r="L898" s="98"/>
      <c r="M898" s="98"/>
      <c r="N898" s="98"/>
      <c r="O898" s="98"/>
      <c r="P898" s="98"/>
      <c r="Q898" s="98"/>
      <c r="R898" s="98"/>
      <c r="S898" s="98"/>
      <c r="T898" s="98"/>
      <c r="U898" s="98"/>
      <c r="V898" s="98"/>
      <c r="W898" s="98"/>
      <c r="X898" s="98"/>
      <c r="Y898" s="98"/>
      <c r="Z898" s="98"/>
      <c r="AA898" s="98"/>
      <c r="AB898" s="98"/>
      <c r="AC898" s="98"/>
      <c r="AD898" s="98"/>
      <c r="AE898" s="98"/>
      <c r="AF898" s="98"/>
      <c r="AG898" s="98"/>
    </row>
    <row r="899" spans="1:33" ht="15" customHeight="1">
      <c r="A899" s="286"/>
      <c r="B899" s="98"/>
      <c r="C899" s="98"/>
      <c r="D899" s="98"/>
      <c r="E899" s="98"/>
      <c r="F899" s="98"/>
      <c r="G899" s="98"/>
      <c r="H899" s="98"/>
      <c r="I899" s="98"/>
      <c r="J899" s="98"/>
      <c r="K899" s="98"/>
      <c r="L899" s="98"/>
      <c r="M899" s="98"/>
      <c r="N899" s="98"/>
      <c r="O899" s="98"/>
      <c r="P899" s="98"/>
      <c r="Q899" s="98"/>
      <c r="R899" s="98"/>
      <c r="S899" s="98"/>
      <c r="T899" s="98"/>
      <c r="U899" s="98"/>
      <c r="V899" s="98"/>
      <c r="W899" s="98"/>
      <c r="X899" s="98"/>
      <c r="Y899" s="98"/>
      <c r="Z899" s="98"/>
      <c r="AA899" s="98"/>
      <c r="AB899" s="98"/>
      <c r="AC899" s="98"/>
      <c r="AD899" s="98"/>
      <c r="AE899" s="98"/>
      <c r="AF899" s="98"/>
      <c r="AG899" s="98"/>
    </row>
    <row r="900" spans="1:33" ht="15" customHeight="1">
      <c r="A900" s="286"/>
      <c r="B900" s="98"/>
      <c r="C900" s="98"/>
      <c r="D900" s="98"/>
      <c r="E900" s="98"/>
      <c r="F900" s="98"/>
      <c r="G900" s="98"/>
      <c r="H900" s="98"/>
      <c r="I900" s="98"/>
      <c r="J900" s="98"/>
      <c r="K900" s="98"/>
      <c r="L900" s="98"/>
      <c r="M900" s="98"/>
      <c r="N900" s="98"/>
      <c r="O900" s="98"/>
      <c r="P900" s="98"/>
      <c r="Q900" s="98"/>
      <c r="R900" s="98"/>
      <c r="S900" s="98"/>
      <c r="T900" s="98"/>
      <c r="U900" s="98"/>
      <c r="V900" s="98"/>
      <c r="W900" s="98"/>
      <c r="X900" s="98"/>
      <c r="Y900" s="98"/>
      <c r="Z900" s="98"/>
      <c r="AA900" s="98"/>
      <c r="AB900" s="98"/>
      <c r="AC900" s="98"/>
      <c r="AD900" s="98"/>
      <c r="AE900" s="98"/>
      <c r="AF900" s="98"/>
      <c r="AG900" s="98"/>
    </row>
    <row r="901" spans="1:33" ht="15" customHeight="1">
      <c r="A901" s="286"/>
      <c r="B901" s="98"/>
      <c r="C901" s="98"/>
      <c r="D901" s="98"/>
      <c r="E901" s="98"/>
      <c r="F901" s="98"/>
      <c r="G901" s="98"/>
      <c r="H901" s="98"/>
      <c r="I901" s="98"/>
      <c r="J901" s="98"/>
      <c r="K901" s="98"/>
      <c r="L901" s="98"/>
      <c r="M901" s="98"/>
      <c r="N901" s="98"/>
      <c r="O901" s="98"/>
      <c r="P901" s="98"/>
      <c r="Q901" s="98"/>
      <c r="R901" s="98"/>
      <c r="S901" s="98"/>
      <c r="T901" s="98"/>
      <c r="U901" s="98"/>
      <c r="V901" s="98"/>
      <c r="W901" s="98"/>
      <c r="X901" s="98"/>
      <c r="Y901" s="98"/>
      <c r="Z901" s="98"/>
      <c r="AA901" s="98"/>
      <c r="AB901" s="98"/>
      <c r="AC901" s="98"/>
      <c r="AD901" s="98"/>
      <c r="AE901" s="98"/>
      <c r="AF901" s="98"/>
      <c r="AG901" s="98"/>
    </row>
    <row r="902" spans="1:33" ht="15" customHeight="1">
      <c r="A902" s="286"/>
      <c r="B902" s="98"/>
      <c r="C902" s="98"/>
      <c r="D902" s="98"/>
      <c r="E902" s="98"/>
      <c r="F902" s="98"/>
      <c r="G902" s="98"/>
      <c r="H902" s="98"/>
      <c r="I902" s="98"/>
      <c r="J902" s="98"/>
      <c r="K902" s="98"/>
      <c r="L902" s="98"/>
      <c r="M902" s="98"/>
      <c r="N902" s="98"/>
      <c r="O902" s="98"/>
      <c r="P902" s="98"/>
      <c r="Q902" s="98"/>
      <c r="R902" s="98"/>
      <c r="S902" s="98"/>
      <c r="T902" s="98"/>
      <c r="U902" s="98"/>
      <c r="V902" s="98"/>
      <c r="W902" s="98"/>
      <c r="X902" s="98"/>
      <c r="Y902" s="98"/>
      <c r="Z902" s="98"/>
      <c r="AA902" s="98"/>
      <c r="AB902" s="98"/>
      <c r="AC902" s="98"/>
      <c r="AD902" s="98"/>
      <c r="AE902" s="98"/>
      <c r="AF902" s="98"/>
      <c r="AG902" s="98"/>
    </row>
    <row r="903" spans="1:33" ht="15" customHeight="1">
      <c r="A903" s="286"/>
      <c r="B903" s="98"/>
      <c r="C903" s="98"/>
      <c r="D903" s="98"/>
      <c r="E903" s="98"/>
      <c r="F903" s="98"/>
      <c r="G903" s="98"/>
      <c r="H903" s="98"/>
      <c r="I903" s="98"/>
      <c r="J903" s="98"/>
      <c r="K903" s="98"/>
      <c r="L903" s="98"/>
      <c r="M903" s="98"/>
      <c r="N903" s="98"/>
      <c r="O903" s="98"/>
      <c r="P903" s="98"/>
      <c r="Q903" s="98"/>
      <c r="R903" s="98"/>
      <c r="S903" s="98"/>
      <c r="T903" s="98"/>
      <c r="U903" s="98"/>
      <c r="V903" s="98"/>
      <c r="W903" s="98"/>
      <c r="X903" s="98"/>
      <c r="Y903" s="98"/>
      <c r="Z903" s="98"/>
      <c r="AA903" s="98"/>
      <c r="AB903" s="98"/>
      <c r="AC903" s="98"/>
      <c r="AD903" s="98"/>
      <c r="AE903" s="98"/>
      <c r="AF903" s="98"/>
      <c r="AG903" s="98"/>
    </row>
    <row r="904" spans="1:33" ht="15" customHeight="1">
      <c r="A904" s="286"/>
      <c r="B904" s="98"/>
      <c r="C904" s="98"/>
      <c r="D904" s="98"/>
      <c r="E904" s="98"/>
      <c r="F904" s="98"/>
      <c r="G904" s="98"/>
      <c r="H904" s="98"/>
      <c r="I904" s="98"/>
      <c r="J904" s="98"/>
      <c r="K904" s="98"/>
      <c r="L904" s="98"/>
      <c r="M904" s="98"/>
      <c r="N904" s="98"/>
      <c r="O904" s="98"/>
      <c r="P904" s="98"/>
      <c r="Q904" s="98"/>
      <c r="R904" s="98"/>
      <c r="S904" s="98"/>
      <c r="T904" s="98"/>
      <c r="U904" s="98"/>
      <c r="V904" s="98"/>
      <c r="W904" s="98"/>
      <c r="X904" s="98"/>
      <c r="Y904" s="98"/>
      <c r="Z904" s="98"/>
      <c r="AA904" s="98"/>
      <c r="AB904" s="98"/>
      <c r="AC904" s="98"/>
      <c r="AD904" s="98"/>
      <c r="AE904" s="98"/>
      <c r="AF904" s="98"/>
      <c r="AG904" s="98"/>
    </row>
    <row r="905" spans="1:33" ht="15" customHeight="1">
      <c r="A905" s="286"/>
      <c r="B905" s="98"/>
      <c r="C905" s="98"/>
      <c r="D905" s="98"/>
      <c r="E905" s="98"/>
      <c r="F905" s="98"/>
      <c r="G905" s="98"/>
      <c r="H905" s="98"/>
      <c r="I905" s="98"/>
      <c r="J905" s="98"/>
      <c r="K905" s="98"/>
      <c r="L905" s="98"/>
      <c r="M905" s="98"/>
      <c r="N905" s="98"/>
      <c r="O905" s="98"/>
      <c r="P905" s="98"/>
      <c r="Q905" s="98"/>
      <c r="R905" s="98"/>
      <c r="S905" s="98"/>
      <c r="T905" s="98"/>
      <c r="U905" s="98"/>
      <c r="V905" s="98"/>
      <c r="W905" s="98"/>
      <c r="X905" s="98"/>
      <c r="Y905" s="98"/>
      <c r="Z905" s="98"/>
      <c r="AA905" s="98"/>
      <c r="AB905" s="98"/>
      <c r="AC905" s="98"/>
      <c r="AD905" s="98"/>
      <c r="AE905" s="98"/>
      <c r="AF905" s="98"/>
      <c r="AG905" s="98"/>
    </row>
    <row r="906" spans="1:33" ht="15" customHeight="1">
      <c r="A906" s="286"/>
      <c r="B906" s="98"/>
      <c r="C906" s="98"/>
      <c r="D906" s="98"/>
      <c r="E906" s="98"/>
      <c r="F906" s="98"/>
      <c r="G906" s="98"/>
      <c r="H906" s="98"/>
      <c r="I906" s="98"/>
      <c r="J906" s="98"/>
      <c r="K906" s="98"/>
      <c r="L906" s="98"/>
      <c r="M906" s="98"/>
      <c r="N906" s="98"/>
      <c r="O906" s="98"/>
      <c r="P906" s="98"/>
      <c r="Q906" s="98"/>
      <c r="R906" s="98"/>
      <c r="S906" s="98"/>
      <c r="T906" s="98"/>
      <c r="U906" s="98"/>
      <c r="V906" s="98"/>
      <c r="W906" s="98"/>
      <c r="X906" s="98"/>
      <c r="Y906" s="98"/>
      <c r="Z906" s="98"/>
      <c r="AA906" s="98"/>
      <c r="AB906" s="98"/>
      <c r="AC906" s="98"/>
      <c r="AD906" s="98"/>
      <c r="AE906" s="98"/>
      <c r="AF906" s="98"/>
      <c r="AG906" s="98"/>
    </row>
    <row r="907" spans="1:33" ht="15" customHeight="1">
      <c r="A907" s="286"/>
      <c r="B907" s="98"/>
      <c r="C907" s="98"/>
      <c r="D907" s="98"/>
      <c r="E907" s="98"/>
      <c r="F907" s="98"/>
      <c r="G907" s="98"/>
      <c r="H907" s="98"/>
      <c r="I907" s="98"/>
      <c r="J907" s="98"/>
      <c r="K907" s="98"/>
      <c r="L907" s="98"/>
      <c r="M907" s="98"/>
      <c r="N907" s="98"/>
      <c r="O907" s="98"/>
      <c r="P907" s="98"/>
      <c r="Q907" s="98"/>
      <c r="R907" s="98"/>
      <c r="S907" s="98"/>
      <c r="T907" s="98"/>
      <c r="U907" s="98"/>
      <c r="V907" s="98"/>
      <c r="W907" s="98"/>
      <c r="X907" s="98"/>
      <c r="Y907" s="98"/>
      <c r="Z907" s="98"/>
      <c r="AA907" s="98"/>
      <c r="AB907" s="98"/>
      <c r="AC907" s="98"/>
      <c r="AD907" s="98"/>
      <c r="AE907" s="98"/>
      <c r="AF907" s="98"/>
      <c r="AG907" s="98"/>
    </row>
    <row r="908" spans="1:33" ht="15" customHeight="1">
      <c r="A908" s="286"/>
      <c r="B908" s="98"/>
      <c r="C908" s="98"/>
      <c r="D908" s="98"/>
      <c r="E908" s="98"/>
      <c r="F908" s="98"/>
      <c r="G908" s="98"/>
      <c r="H908" s="98"/>
      <c r="I908" s="98"/>
      <c r="J908" s="98"/>
      <c r="K908" s="98"/>
      <c r="L908" s="98"/>
      <c r="M908" s="98"/>
      <c r="N908" s="98"/>
      <c r="O908" s="98"/>
      <c r="P908" s="98"/>
      <c r="Q908" s="98"/>
      <c r="R908" s="98"/>
      <c r="S908" s="98"/>
      <c r="T908" s="98"/>
      <c r="U908" s="98"/>
      <c r="V908" s="98"/>
      <c r="W908" s="98"/>
      <c r="X908" s="98"/>
      <c r="Y908" s="98"/>
      <c r="Z908" s="98"/>
      <c r="AA908" s="98"/>
      <c r="AB908" s="98"/>
      <c r="AC908" s="98"/>
      <c r="AD908" s="98"/>
      <c r="AE908" s="98"/>
      <c r="AF908" s="98"/>
      <c r="AG908" s="98"/>
    </row>
    <row r="909" spans="1:33" ht="15" customHeight="1">
      <c r="A909" s="286"/>
      <c r="B909" s="98"/>
      <c r="C909" s="98"/>
      <c r="D909" s="98"/>
      <c r="E909" s="98"/>
      <c r="F909" s="98"/>
      <c r="G909" s="98"/>
      <c r="H909" s="98"/>
      <c r="I909" s="98"/>
      <c r="J909" s="98"/>
      <c r="K909" s="98"/>
      <c r="L909" s="98"/>
      <c r="M909" s="98"/>
      <c r="N909" s="98"/>
      <c r="O909" s="98"/>
      <c r="P909" s="98"/>
      <c r="Q909" s="98"/>
      <c r="R909" s="98"/>
      <c r="S909" s="98"/>
      <c r="T909" s="98"/>
      <c r="U909" s="98"/>
      <c r="V909" s="98"/>
      <c r="W909" s="98"/>
      <c r="X909" s="98"/>
      <c r="Y909" s="98"/>
      <c r="Z909" s="98"/>
      <c r="AA909" s="98"/>
      <c r="AB909" s="98"/>
      <c r="AC909" s="98"/>
      <c r="AD909" s="98"/>
      <c r="AE909" s="98"/>
      <c r="AF909" s="98"/>
      <c r="AG909" s="98"/>
    </row>
    <row r="910" spans="1:33" ht="15" customHeight="1">
      <c r="A910" s="286"/>
      <c r="B910" s="98"/>
      <c r="C910" s="98"/>
      <c r="D910" s="98"/>
      <c r="E910" s="98"/>
      <c r="F910" s="98"/>
      <c r="G910" s="98"/>
      <c r="H910" s="98"/>
      <c r="I910" s="98"/>
      <c r="J910" s="98"/>
      <c r="K910" s="98"/>
      <c r="L910" s="98"/>
      <c r="M910" s="98"/>
      <c r="N910" s="98"/>
      <c r="O910" s="98"/>
      <c r="P910" s="98"/>
      <c r="Q910" s="98"/>
      <c r="R910" s="98"/>
      <c r="S910" s="98"/>
      <c r="T910" s="98"/>
      <c r="U910" s="98"/>
      <c r="V910" s="98"/>
      <c r="W910" s="98"/>
      <c r="X910" s="98"/>
      <c r="Y910" s="98"/>
      <c r="Z910" s="98"/>
      <c r="AA910" s="98"/>
      <c r="AB910" s="98"/>
      <c r="AC910" s="98"/>
      <c r="AD910" s="98"/>
      <c r="AE910" s="98"/>
      <c r="AF910" s="98"/>
      <c r="AG910" s="98"/>
    </row>
    <row r="911" spans="1:33" ht="15" customHeight="1">
      <c r="A911" s="286"/>
      <c r="B911" s="98"/>
      <c r="C911" s="98"/>
      <c r="D911" s="98"/>
      <c r="E911" s="98"/>
      <c r="F911" s="98"/>
      <c r="G911" s="98"/>
      <c r="H911" s="98"/>
      <c r="I911" s="98"/>
      <c r="J911" s="98"/>
      <c r="K911" s="98"/>
      <c r="L911" s="98"/>
      <c r="M911" s="98"/>
      <c r="N911" s="98"/>
      <c r="O911" s="98"/>
      <c r="P911" s="98"/>
      <c r="Q911" s="98"/>
      <c r="R911" s="98"/>
      <c r="S911" s="98"/>
      <c r="T911" s="98"/>
      <c r="U911" s="98"/>
      <c r="V911" s="98"/>
      <c r="W911" s="98"/>
      <c r="X911" s="98"/>
      <c r="Y911" s="98"/>
      <c r="Z911" s="98"/>
      <c r="AA911" s="98"/>
      <c r="AB911" s="98"/>
      <c r="AC911" s="98"/>
      <c r="AD911" s="98"/>
      <c r="AE911" s="98"/>
      <c r="AF911" s="98"/>
      <c r="AG911" s="98"/>
    </row>
    <row r="912" spans="1:33" ht="15" customHeight="1">
      <c r="A912" s="286"/>
      <c r="B912" s="98"/>
      <c r="C912" s="98"/>
      <c r="D912" s="98"/>
      <c r="E912" s="98"/>
      <c r="F912" s="98"/>
      <c r="G912" s="98"/>
      <c r="H912" s="98"/>
      <c r="I912" s="98"/>
      <c r="J912" s="98"/>
      <c r="K912" s="98"/>
      <c r="L912" s="98"/>
      <c r="M912" s="98"/>
      <c r="N912" s="98"/>
      <c r="O912" s="98"/>
      <c r="P912" s="98"/>
      <c r="Q912" s="98"/>
      <c r="R912" s="98"/>
      <c r="S912" s="98"/>
      <c r="T912" s="98"/>
      <c r="U912" s="98"/>
      <c r="V912" s="98"/>
      <c r="W912" s="98"/>
      <c r="X912" s="98"/>
      <c r="Y912" s="98"/>
      <c r="Z912" s="98"/>
      <c r="AA912" s="98"/>
      <c r="AB912" s="98"/>
      <c r="AC912" s="98"/>
      <c r="AD912" s="98"/>
      <c r="AE912" s="98"/>
      <c r="AF912" s="98"/>
      <c r="AG912" s="98"/>
    </row>
    <row r="913" spans="1:33" ht="15" customHeight="1">
      <c r="A913" s="286"/>
      <c r="B913" s="98"/>
      <c r="C913" s="98"/>
      <c r="D913" s="98"/>
      <c r="E913" s="98"/>
      <c r="F913" s="98"/>
      <c r="G913" s="98"/>
      <c r="H913" s="98"/>
      <c r="I913" s="98"/>
      <c r="J913" s="98"/>
      <c r="K913" s="98"/>
      <c r="L913" s="98"/>
      <c r="M913" s="98"/>
      <c r="N913" s="98"/>
      <c r="O913" s="98"/>
      <c r="P913" s="98"/>
      <c r="Q913" s="98"/>
      <c r="R913" s="98"/>
      <c r="S913" s="98"/>
      <c r="T913" s="98"/>
      <c r="U913" s="98"/>
      <c r="V913" s="98"/>
      <c r="W913" s="98"/>
      <c r="X913" s="98"/>
      <c r="Y913" s="98"/>
      <c r="Z913" s="98"/>
      <c r="AA913" s="98"/>
      <c r="AB913" s="98"/>
      <c r="AC913" s="98"/>
      <c r="AD913" s="98"/>
      <c r="AE913" s="98"/>
      <c r="AF913" s="98"/>
      <c r="AG913" s="98"/>
    </row>
    <row r="914" spans="1:33" ht="15" customHeight="1">
      <c r="A914" s="286"/>
      <c r="B914" s="98"/>
      <c r="C914" s="98"/>
      <c r="D914" s="98"/>
      <c r="E914" s="98"/>
      <c r="F914" s="98"/>
      <c r="G914" s="98"/>
      <c r="H914" s="98"/>
      <c r="I914" s="98"/>
      <c r="J914" s="98"/>
      <c r="K914" s="98"/>
      <c r="L914" s="98"/>
      <c r="M914" s="98"/>
      <c r="N914" s="98"/>
      <c r="O914" s="98"/>
      <c r="P914" s="98"/>
      <c r="Q914" s="98"/>
      <c r="R914" s="98"/>
      <c r="S914" s="98"/>
      <c r="T914" s="98"/>
      <c r="U914" s="98"/>
      <c r="V914" s="98"/>
      <c r="W914" s="98"/>
      <c r="X914" s="98"/>
      <c r="Y914" s="98"/>
      <c r="Z914" s="98"/>
      <c r="AA914" s="98"/>
      <c r="AB914" s="98"/>
      <c r="AC914" s="98"/>
      <c r="AD914" s="98"/>
      <c r="AE914" s="98"/>
      <c r="AF914" s="98"/>
      <c r="AG914" s="98"/>
    </row>
    <row r="915" spans="1:33" ht="15" customHeight="1">
      <c r="A915" s="286"/>
      <c r="B915" s="98"/>
      <c r="C915" s="98"/>
      <c r="D915" s="98"/>
      <c r="E915" s="98"/>
      <c r="F915" s="98"/>
      <c r="G915" s="98"/>
      <c r="H915" s="98"/>
      <c r="I915" s="98"/>
      <c r="J915" s="98"/>
      <c r="K915" s="98"/>
      <c r="L915" s="98"/>
      <c r="M915" s="98"/>
      <c r="N915" s="98"/>
      <c r="O915" s="98"/>
      <c r="P915" s="98"/>
      <c r="Q915" s="98"/>
      <c r="R915" s="98"/>
      <c r="S915" s="98"/>
      <c r="T915" s="98"/>
      <c r="U915" s="98"/>
      <c r="V915" s="98"/>
      <c r="W915" s="98"/>
      <c r="X915" s="98"/>
      <c r="Y915" s="98"/>
      <c r="Z915" s="98"/>
      <c r="AA915" s="98"/>
      <c r="AB915" s="98"/>
      <c r="AC915" s="98"/>
      <c r="AD915" s="98"/>
      <c r="AE915" s="98"/>
      <c r="AF915" s="98"/>
      <c r="AG915" s="98"/>
    </row>
    <row r="916" spans="1:33" ht="15" customHeight="1">
      <c r="A916" s="286"/>
      <c r="B916" s="98"/>
      <c r="C916" s="98"/>
      <c r="D916" s="98"/>
      <c r="E916" s="98"/>
      <c r="F916" s="98"/>
      <c r="G916" s="98"/>
      <c r="H916" s="98"/>
      <c r="I916" s="98"/>
      <c r="J916" s="98"/>
      <c r="K916" s="98"/>
      <c r="L916" s="98"/>
      <c r="M916" s="98"/>
      <c r="N916" s="98"/>
      <c r="O916" s="98"/>
      <c r="P916" s="98"/>
      <c r="Q916" s="98"/>
      <c r="R916" s="98"/>
      <c r="S916" s="98"/>
      <c r="T916" s="98"/>
      <c r="U916" s="98"/>
      <c r="V916" s="98"/>
      <c r="W916" s="98"/>
      <c r="X916" s="98"/>
      <c r="Y916" s="98"/>
      <c r="Z916" s="98"/>
      <c r="AA916" s="98"/>
      <c r="AB916" s="98"/>
      <c r="AC916" s="98"/>
      <c r="AD916" s="98"/>
      <c r="AE916" s="98"/>
      <c r="AF916" s="98"/>
      <c r="AG916" s="98"/>
    </row>
    <row r="917" spans="1:33" ht="15" customHeight="1">
      <c r="A917" s="286"/>
      <c r="B917" s="98"/>
      <c r="C917" s="98"/>
      <c r="D917" s="98"/>
      <c r="E917" s="98"/>
      <c r="F917" s="98"/>
      <c r="G917" s="98"/>
      <c r="H917" s="98"/>
      <c r="I917" s="98"/>
      <c r="J917" s="98"/>
      <c r="K917" s="98"/>
      <c r="L917" s="98"/>
      <c r="M917" s="98"/>
      <c r="N917" s="98"/>
      <c r="O917" s="98"/>
      <c r="P917" s="98"/>
      <c r="Q917" s="98"/>
      <c r="R917" s="98"/>
      <c r="S917" s="98"/>
      <c r="T917" s="98"/>
      <c r="U917" s="98"/>
      <c r="V917" s="98"/>
      <c r="W917" s="98"/>
      <c r="X917" s="98"/>
      <c r="Y917" s="98"/>
      <c r="Z917" s="98"/>
      <c r="AA917" s="98"/>
      <c r="AB917" s="98"/>
      <c r="AC917" s="98"/>
      <c r="AD917" s="98"/>
      <c r="AE917" s="98"/>
      <c r="AF917" s="98"/>
      <c r="AG917" s="98"/>
    </row>
    <row r="918" spans="1:33" ht="15" customHeight="1">
      <c r="A918" s="286"/>
      <c r="B918" s="98"/>
      <c r="C918" s="98"/>
      <c r="D918" s="98"/>
      <c r="E918" s="98"/>
      <c r="F918" s="98"/>
      <c r="G918" s="98"/>
      <c r="H918" s="98"/>
      <c r="I918" s="98"/>
      <c r="J918" s="98"/>
      <c r="K918" s="98"/>
      <c r="L918" s="98"/>
      <c r="M918" s="98"/>
      <c r="N918" s="98"/>
      <c r="O918" s="98"/>
      <c r="P918" s="98"/>
      <c r="Q918" s="98"/>
      <c r="R918" s="98"/>
      <c r="S918" s="98"/>
      <c r="T918" s="98"/>
      <c r="U918" s="98"/>
      <c r="V918" s="98"/>
      <c r="W918" s="98"/>
      <c r="X918" s="98"/>
      <c r="Y918" s="98"/>
      <c r="Z918" s="98"/>
      <c r="AA918" s="98"/>
      <c r="AB918" s="98"/>
      <c r="AC918" s="98"/>
      <c r="AD918" s="98"/>
      <c r="AE918" s="98"/>
      <c r="AF918" s="98"/>
      <c r="AG918" s="98"/>
    </row>
    <row r="919" spans="1:33" ht="15" customHeight="1">
      <c r="A919" s="286"/>
      <c r="B919" s="98"/>
      <c r="C919" s="98"/>
      <c r="D919" s="98"/>
      <c r="E919" s="98"/>
      <c r="F919" s="98"/>
      <c r="G919" s="98"/>
      <c r="H919" s="98"/>
      <c r="I919" s="98"/>
      <c r="J919" s="98"/>
      <c r="K919" s="98"/>
      <c r="L919" s="98"/>
      <c r="M919" s="98"/>
      <c r="N919" s="98"/>
      <c r="O919" s="98"/>
      <c r="P919" s="98"/>
      <c r="Q919" s="98"/>
      <c r="R919" s="98"/>
      <c r="S919" s="98"/>
      <c r="T919" s="98"/>
      <c r="U919" s="98"/>
      <c r="V919" s="98"/>
      <c r="W919" s="98"/>
      <c r="X919" s="98"/>
      <c r="Y919" s="98"/>
      <c r="Z919" s="98"/>
      <c r="AA919" s="98"/>
      <c r="AB919" s="98"/>
      <c r="AC919" s="98"/>
      <c r="AD919" s="98"/>
      <c r="AE919" s="98"/>
      <c r="AF919" s="98"/>
      <c r="AG919" s="98"/>
    </row>
    <row r="920" spans="1:33" ht="15" customHeight="1">
      <c r="A920" s="286"/>
      <c r="B920" s="98"/>
      <c r="C920" s="98"/>
      <c r="D920" s="98"/>
      <c r="E920" s="98"/>
      <c r="F920" s="98"/>
      <c r="G920" s="98"/>
      <c r="H920" s="98"/>
      <c r="I920" s="98"/>
      <c r="J920" s="98"/>
      <c r="K920" s="98"/>
      <c r="L920" s="98"/>
      <c r="M920" s="98"/>
      <c r="N920" s="98"/>
      <c r="O920" s="98"/>
      <c r="P920" s="98"/>
      <c r="Q920" s="98"/>
      <c r="R920" s="98"/>
      <c r="S920" s="98"/>
      <c r="T920" s="98"/>
      <c r="U920" s="98"/>
      <c r="V920" s="98"/>
      <c r="W920" s="98"/>
      <c r="X920" s="98"/>
      <c r="Y920" s="98"/>
      <c r="Z920" s="98"/>
      <c r="AA920" s="98"/>
      <c r="AB920" s="98"/>
      <c r="AC920" s="98"/>
      <c r="AD920" s="98"/>
      <c r="AE920" s="98"/>
      <c r="AF920" s="98"/>
      <c r="AG920" s="98"/>
    </row>
    <row r="921" spans="1:33" ht="15" customHeight="1">
      <c r="A921" s="286"/>
      <c r="B921" s="98"/>
      <c r="C921" s="98"/>
      <c r="D921" s="98"/>
      <c r="E921" s="98"/>
      <c r="F921" s="98"/>
      <c r="G921" s="98"/>
      <c r="H921" s="98"/>
      <c r="I921" s="98"/>
      <c r="J921" s="98"/>
      <c r="K921" s="98"/>
      <c r="L921" s="98"/>
      <c r="M921" s="98"/>
      <c r="N921" s="98"/>
      <c r="O921" s="98"/>
      <c r="P921" s="98"/>
      <c r="Q921" s="98"/>
      <c r="R921" s="98"/>
      <c r="S921" s="98"/>
      <c r="T921" s="98"/>
      <c r="U921" s="98"/>
      <c r="V921" s="98"/>
      <c r="W921" s="98"/>
      <c r="X921" s="98"/>
      <c r="Y921" s="98"/>
      <c r="Z921" s="98"/>
      <c r="AA921" s="98"/>
      <c r="AB921" s="98"/>
      <c r="AC921" s="98"/>
      <c r="AD921" s="98"/>
      <c r="AE921" s="98"/>
      <c r="AF921" s="98"/>
      <c r="AG921" s="98"/>
    </row>
    <row r="922" spans="1:33" ht="15" customHeight="1">
      <c r="A922" s="286"/>
      <c r="B922" s="98"/>
      <c r="C922" s="98"/>
      <c r="D922" s="98"/>
      <c r="E922" s="98"/>
      <c r="F922" s="98"/>
      <c r="G922" s="98"/>
      <c r="H922" s="98"/>
      <c r="I922" s="98"/>
      <c r="J922" s="98"/>
      <c r="K922" s="98"/>
      <c r="L922" s="98"/>
      <c r="M922" s="98"/>
      <c r="N922" s="98"/>
      <c r="O922" s="98"/>
      <c r="P922" s="98"/>
      <c r="Q922" s="98"/>
      <c r="R922" s="98"/>
      <c r="S922" s="98"/>
      <c r="T922" s="98"/>
      <c r="U922" s="98"/>
      <c r="V922" s="98"/>
      <c r="W922" s="98"/>
      <c r="X922" s="98"/>
      <c r="Y922" s="98"/>
      <c r="Z922" s="98"/>
      <c r="AA922" s="98"/>
      <c r="AB922" s="98"/>
      <c r="AC922" s="98"/>
      <c r="AD922" s="98"/>
      <c r="AE922" s="98"/>
      <c r="AF922" s="98"/>
      <c r="AG922" s="98"/>
    </row>
    <row r="923" spans="1:33" ht="15" customHeight="1">
      <c r="A923" s="286"/>
      <c r="B923" s="98"/>
      <c r="C923" s="98"/>
      <c r="D923" s="98"/>
      <c r="E923" s="98"/>
      <c r="F923" s="98"/>
      <c r="G923" s="98"/>
      <c r="H923" s="98"/>
      <c r="I923" s="98"/>
      <c r="J923" s="98"/>
      <c r="K923" s="98"/>
      <c r="L923" s="98"/>
      <c r="M923" s="98"/>
      <c r="N923" s="98"/>
      <c r="O923" s="98"/>
      <c r="P923" s="98"/>
      <c r="Q923" s="98"/>
      <c r="R923" s="98"/>
      <c r="S923" s="98"/>
      <c r="T923" s="98"/>
      <c r="U923" s="98"/>
      <c r="V923" s="98"/>
      <c r="W923" s="98"/>
      <c r="X923" s="98"/>
      <c r="Y923" s="98"/>
      <c r="Z923" s="98"/>
      <c r="AA923" s="98"/>
      <c r="AB923" s="98"/>
      <c r="AC923" s="98"/>
      <c r="AD923" s="98"/>
      <c r="AE923" s="98"/>
      <c r="AF923" s="98"/>
      <c r="AG923" s="98"/>
    </row>
    <row r="924" spans="1:33" ht="15" customHeight="1">
      <c r="A924" s="286"/>
      <c r="B924" s="98"/>
      <c r="C924" s="98"/>
      <c r="D924" s="98"/>
      <c r="E924" s="98"/>
      <c r="F924" s="98"/>
      <c r="G924" s="98"/>
      <c r="H924" s="98"/>
      <c r="I924" s="98"/>
      <c r="J924" s="98"/>
      <c r="K924" s="98"/>
      <c r="L924" s="98"/>
      <c r="M924" s="98"/>
      <c r="N924" s="98"/>
      <c r="O924" s="98"/>
      <c r="P924" s="98"/>
      <c r="Q924" s="98"/>
      <c r="R924" s="98"/>
      <c r="S924" s="98"/>
      <c r="T924" s="98"/>
      <c r="U924" s="98"/>
      <c r="V924" s="98"/>
      <c r="W924" s="98"/>
      <c r="X924" s="98"/>
      <c r="Y924" s="98"/>
      <c r="Z924" s="98"/>
      <c r="AA924" s="98"/>
      <c r="AB924" s="98"/>
      <c r="AC924" s="98"/>
      <c r="AD924" s="98"/>
      <c r="AE924" s="98"/>
      <c r="AF924" s="98"/>
      <c r="AG924" s="98"/>
    </row>
    <row r="925" spans="1:33" ht="15" customHeight="1">
      <c r="A925" s="286"/>
      <c r="B925" s="98"/>
      <c r="C925" s="98"/>
      <c r="D925" s="98"/>
      <c r="E925" s="98"/>
      <c r="F925" s="98"/>
      <c r="G925" s="98"/>
      <c r="H925" s="98"/>
      <c r="I925" s="98"/>
      <c r="J925" s="98"/>
      <c r="K925" s="98"/>
      <c r="L925" s="98"/>
      <c r="M925" s="98"/>
      <c r="N925" s="98"/>
      <c r="O925" s="98"/>
      <c r="P925" s="98"/>
      <c r="Q925" s="98"/>
      <c r="R925" s="98"/>
      <c r="S925" s="98"/>
      <c r="T925" s="98"/>
      <c r="U925" s="98"/>
      <c r="V925" s="98"/>
      <c r="W925" s="98"/>
      <c r="X925" s="98"/>
      <c r="Y925" s="98"/>
      <c r="Z925" s="98"/>
      <c r="AA925" s="98"/>
      <c r="AB925" s="98"/>
      <c r="AC925" s="98"/>
      <c r="AD925" s="98"/>
      <c r="AE925" s="98"/>
      <c r="AF925" s="98"/>
      <c r="AG925" s="98"/>
    </row>
    <row r="926" spans="1:33" ht="15" customHeight="1">
      <c r="A926" s="286"/>
      <c r="B926" s="98"/>
      <c r="C926" s="98"/>
      <c r="D926" s="98"/>
      <c r="E926" s="98"/>
      <c r="F926" s="98"/>
      <c r="G926" s="98"/>
      <c r="H926" s="98"/>
      <c r="I926" s="98"/>
      <c r="J926" s="98"/>
      <c r="K926" s="98"/>
      <c r="L926" s="98"/>
      <c r="M926" s="98"/>
      <c r="N926" s="98"/>
      <c r="O926" s="98"/>
      <c r="P926" s="98"/>
      <c r="Q926" s="98"/>
      <c r="R926" s="98"/>
      <c r="S926" s="98"/>
      <c r="T926" s="98"/>
      <c r="U926" s="98"/>
      <c r="V926" s="98"/>
      <c r="W926" s="98"/>
      <c r="X926" s="98"/>
      <c r="Y926" s="98"/>
      <c r="Z926" s="98"/>
      <c r="AA926" s="98"/>
      <c r="AB926" s="98"/>
      <c r="AC926" s="98"/>
      <c r="AD926" s="98"/>
      <c r="AE926" s="98"/>
      <c r="AF926" s="98"/>
      <c r="AG926" s="98"/>
    </row>
    <row r="927" spans="1:33" ht="15" customHeight="1">
      <c r="A927" s="286"/>
      <c r="B927" s="98"/>
      <c r="C927" s="98"/>
      <c r="D927" s="98"/>
      <c r="E927" s="98"/>
      <c r="F927" s="98"/>
      <c r="G927" s="98"/>
      <c r="H927" s="98"/>
      <c r="I927" s="98"/>
      <c r="J927" s="98"/>
      <c r="K927" s="98"/>
      <c r="L927" s="98"/>
      <c r="M927" s="98"/>
      <c r="N927" s="98"/>
      <c r="O927" s="98"/>
      <c r="P927" s="98"/>
      <c r="Q927" s="98"/>
      <c r="R927" s="98"/>
      <c r="S927" s="98"/>
      <c r="T927" s="98"/>
      <c r="U927" s="98"/>
      <c r="V927" s="98"/>
      <c r="W927" s="98"/>
      <c r="X927" s="98"/>
      <c r="Y927" s="98"/>
      <c r="Z927" s="98"/>
      <c r="AA927" s="98"/>
      <c r="AB927" s="98"/>
      <c r="AC927" s="98"/>
      <c r="AD927" s="98"/>
      <c r="AE927" s="98"/>
      <c r="AF927" s="98"/>
      <c r="AG927" s="98"/>
    </row>
    <row r="928" spans="1:33" ht="15" customHeight="1">
      <c r="A928" s="286"/>
      <c r="B928" s="98"/>
      <c r="C928" s="98"/>
      <c r="D928" s="98"/>
      <c r="E928" s="98"/>
      <c r="F928" s="98"/>
      <c r="G928" s="98"/>
      <c r="H928" s="98"/>
      <c r="I928" s="98"/>
      <c r="J928" s="98"/>
      <c r="K928" s="98"/>
      <c r="L928" s="98"/>
      <c r="M928" s="98"/>
      <c r="N928" s="98"/>
      <c r="O928" s="98"/>
      <c r="P928" s="98"/>
      <c r="Q928" s="98"/>
      <c r="R928" s="98"/>
      <c r="S928" s="98"/>
      <c r="T928" s="98"/>
      <c r="U928" s="98"/>
      <c r="V928" s="98"/>
      <c r="W928" s="98"/>
      <c r="X928" s="98"/>
      <c r="Y928" s="98"/>
      <c r="Z928" s="98"/>
      <c r="AA928" s="98"/>
      <c r="AB928" s="98"/>
      <c r="AC928" s="98"/>
      <c r="AD928" s="98"/>
      <c r="AE928" s="98"/>
      <c r="AF928" s="98"/>
      <c r="AG928" s="98"/>
    </row>
    <row r="929" spans="1:33" ht="15" customHeight="1">
      <c r="A929" s="286"/>
      <c r="B929" s="98"/>
      <c r="C929" s="98"/>
      <c r="D929" s="98"/>
      <c r="E929" s="98"/>
      <c r="F929" s="98"/>
      <c r="G929" s="98"/>
      <c r="H929" s="98"/>
      <c r="I929" s="98"/>
      <c r="J929" s="98"/>
      <c r="K929" s="98"/>
      <c r="L929" s="98"/>
      <c r="M929" s="98"/>
      <c r="N929" s="98"/>
      <c r="O929" s="98"/>
      <c r="P929" s="98"/>
      <c r="Q929" s="98"/>
      <c r="R929" s="98"/>
      <c r="S929" s="98"/>
      <c r="T929" s="98"/>
      <c r="U929" s="98"/>
      <c r="V929" s="98"/>
      <c r="W929" s="98"/>
      <c r="X929" s="98"/>
      <c r="Y929" s="98"/>
      <c r="Z929" s="98"/>
      <c r="AA929" s="98"/>
      <c r="AB929" s="98"/>
      <c r="AC929" s="98"/>
      <c r="AD929" s="98"/>
      <c r="AE929" s="98"/>
      <c r="AF929" s="98"/>
      <c r="AG929" s="98"/>
    </row>
    <row r="930" spans="1:33" ht="15" customHeight="1">
      <c r="A930" s="286"/>
      <c r="B930" s="98"/>
      <c r="C930" s="98"/>
      <c r="D930" s="98"/>
      <c r="E930" s="98"/>
      <c r="F930" s="98"/>
      <c r="G930" s="98"/>
      <c r="H930" s="98"/>
      <c r="I930" s="98"/>
      <c r="J930" s="98"/>
      <c r="K930" s="98"/>
      <c r="L930" s="98"/>
      <c r="M930" s="98"/>
      <c r="N930" s="98"/>
      <c r="O930" s="98"/>
      <c r="P930" s="98"/>
      <c r="Q930" s="98"/>
      <c r="R930" s="98"/>
      <c r="S930" s="98"/>
      <c r="T930" s="98"/>
      <c r="U930" s="98"/>
      <c r="V930" s="98"/>
      <c r="W930" s="98"/>
      <c r="X930" s="98"/>
      <c r="Y930" s="98"/>
      <c r="Z930" s="98"/>
      <c r="AA930" s="98"/>
      <c r="AB930" s="98"/>
      <c r="AC930" s="98"/>
      <c r="AD930" s="98"/>
      <c r="AE930" s="98"/>
      <c r="AF930" s="98"/>
      <c r="AG930" s="98"/>
    </row>
    <row r="931" spans="1:33" ht="15" customHeight="1">
      <c r="A931" s="286"/>
      <c r="B931" s="98"/>
      <c r="C931" s="98"/>
      <c r="D931" s="98"/>
      <c r="E931" s="98"/>
      <c r="F931" s="98"/>
      <c r="G931" s="98"/>
      <c r="H931" s="98"/>
      <c r="I931" s="98"/>
      <c r="J931" s="98"/>
      <c r="K931" s="98"/>
      <c r="L931" s="98"/>
      <c r="M931" s="98"/>
      <c r="N931" s="98"/>
      <c r="O931" s="98"/>
      <c r="P931" s="98"/>
      <c r="Q931" s="98"/>
      <c r="R931" s="98"/>
      <c r="S931" s="98"/>
      <c r="T931" s="98"/>
      <c r="U931" s="98"/>
      <c r="V931" s="98"/>
      <c r="W931" s="98"/>
      <c r="X931" s="98"/>
      <c r="Y931" s="98"/>
      <c r="Z931" s="98"/>
      <c r="AA931" s="98"/>
      <c r="AB931" s="98"/>
      <c r="AC931" s="98"/>
      <c r="AD931" s="98"/>
      <c r="AE931" s="98"/>
      <c r="AF931" s="98"/>
      <c r="AG931" s="98"/>
    </row>
    <row r="932" spans="1:33" ht="15" customHeight="1">
      <c r="A932" s="286"/>
      <c r="B932" s="98"/>
      <c r="C932" s="98"/>
      <c r="D932" s="98"/>
      <c r="E932" s="98"/>
      <c r="F932" s="98"/>
      <c r="G932" s="98"/>
      <c r="H932" s="98"/>
      <c r="I932" s="98"/>
      <c r="J932" s="98"/>
      <c r="K932" s="98"/>
      <c r="L932" s="98"/>
      <c r="M932" s="98"/>
      <c r="N932" s="98"/>
      <c r="O932" s="98"/>
      <c r="P932" s="98"/>
      <c r="Q932" s="98"/>
      <c r="R932" s="98"/>
      <c r="S932" s="98"/>
      <c r="T932" s="98"/>
      <c r="U932" s="98"/>
      <c r="V932" s="98"/>
      <c r="W932" s="98"/>
      <c r="X932" s="98"/>
      <c r="Y932" s="98"/>
      <c r="Z932" s="98"/>
      <c r="AA932" s="98"/>
      <c r="AB932" s="98"/>
      <c r="AC932" s="98"/>
      <c r="AD932" s="98"/>
      <c r="AE932" s="98"/>
      <c r="AF932" s="98"/>
      <c r="AG932" s="98"/>
    </row>
    <row r="933" spans="1:33" ht="15" customHeight="1">
      <c r="A933" s="286"/>
      <c r="B933" s="98"/>
      <c r="C933" s="98"/>
      <c r="D933" s="98"/>
      <c r="E933" s="98"/>
      <c r="F933" s="98"/>
      <c r="G933" s="98"/>
      <c r="H933" s="98"/>
      <c r="I933" s="98"/>
      <c r="J933" s="98"/>
      <c r="K933" s="98"/>
      <c r="L933" s="98"/>
      <c r="M933" s="98"/>
      <c r="N933" s="98"/>
      <c r="O933" s="98"/>
      <c r="P933" s="98"/>
      <c r="Q933" s="98"/>
      <c r="R933" s="98"/>
      <c r="S933" s="98"/>
      <c r="T933" s="98"/>
      <c r="U933" s="98"/>
      <c r="V933" s="98"/>
      <c r="W933" s="98"/>
      <c r="X933" s="98"/>
      <c r="Y933" s="98"/>
      <c r="Z933" s="98"/>
      <c r="AA933" s="98"/>
      <c r="AB933" s="98"/>
      <c r="AC933" s="98"/>
      <c r="AD933" s="98"/>
      <c r="AE933" s="98"/>
      <c r="AF933" s="98"/>
      <c r="AG933" s="98"/>
    </row>
    <row r="934" spans="1:33" ht="15" customHeight="1">
      <c r="A934" s="286"/>
      <c r="B934" s="98"/>
      <c r="C934" s="98"/>
      <c r="D934" s="98"/>
      <c r="E934" s="98"/>
      <c r="F934" s="98"/>
      <c r="G934" s="98"/>
      <c r="H934" s="98"/>
      <c r="I934" s="98"/>
      <c r="J934" s="98"/>
      <c r="K934" s="98"/>
      <c r="L934" s="98"/>
      <c r="M934" s="98"/>
      <c r="N934" s="98"/>
      <c r="O934" s="98"/>
      <c r="P934" s="98"/>
      <c r="Q934" s="98"/>
      <c r="R934" s="98"/>
      <c r="S934" s="98"/>
      <c r="T934" s="98"/>
      <c r="U934" s="98"/>
      <c r="V934" s="98"/>
      <c r="W934" s="98"/>
      <c r="X934" s="98"/>
      <c r="Y934" s="98"/>
      <c r="Z934" s="98"/>
      <c r="AA934" s="98"/>
      <c r="AB934" s="98"/>
      <c r="AC934" s="98"/>
      <c r="AD934" s="98"/>
      <c r="AE934" s="98"/>
      <c r="AF934" s="98"/>
      <c r="AG934" s="98"/>
    </row>
    <row r="935" spans="1:33" ht="15" customHeight="1">
      <c r="A935" s="286"/>
      <c r="B935" s="98"/>
      <c r="C935" s="98"/>
      <c r="D935" s="98"/>
      <c r="E935" s="98"/>
      <c r="F935" s="98"/>
      <c r="G935" s="98"/>
      <c r="H935" s="98"/>
      <c r="I935" s="98"/>
      <c r="J935" s="98"/>
      <c r="K935" s="98"/>
      <c r="L935" s="98"/>
      <c r="M935" s="98"/>
      <c r="N935" s="98"/>
      <c r="O935" s="98"/>
      <c r="P935" s="98"/>
      <c r="Q935" s="98"/>
      <c r="R935" s="98"/>
      <c r="S935" s="98"/>
      <c r="T935" s="98"/>
      <c r="U935" s="98"/>
      <c r="V935" s="98"/>
      <c r="W935" s="98"/>
      <c r="X935" s="98"/>
      <c r="Y935" s="98"/>
      <c r="Z935" s="98"/>
      <c r="AA935" s="98"/>
      <c r="AB935" s="98"/>
      <c r="AC935" s="98"/>
      <c r="AD935" s="98"/>
      <c r="AE935" s="98"/>
      <c r="AF935" s="98"/>
      <c r="AG935" s="98"/>
    </row>
    <row r="936" spans="1:33" ht="15" customHeight="1">
      <c r="A936" s="286"/>
      <c r="B936" s="98"/>
      <c r="C936" s="98"/>
      <c r="D936" s="98"/>
      <c r="E936" s="98"/>
      <c r="F936" s="98"/>
      <c r="G936" s="98"/>
      <c r="H936" s="98"/>
      <c r="I936" s="98"/>
      <c r="J936" s="98"/>
      <c r="K936" s="98"/>
      <c r="L936" s="98"/>
      <c r="M936" s="98"/>
      <c r="N936" s="98"/>
      <c r="O936" s="98"/>
      <c r="P936" s="98"/>
      <c r="Q936" s="98"/>
      <c r="R936" s="98"/>
      <c r="S936" s="98"/>
      <c r="T936" s="98"/>
      <c r="U936" s="98"/>
      <c r="V936" s="98"/>
      <c r="W936" s="98"/>
      <c r="X936" s="98"/>
      <c r="Y936" s="98"/>
      <c r="Z936" s="98"/>
      <c r="AA936" s="98"/>
      <c r="AB936" s="98"/>
      <c r="AC936" s="98"/>
      <c r="AD936" s="98"/>
      <c r="AE936" s="98"/>
      <c r="AF936" s="98"/>
      <c r="AG936" s="98"/>
    </row>
    <row r="937" spans="1:33" ht="15" customHeight="1">
      <c r="A937" s="286"/>
      <c r="B937" s="98"/>
      <c r="C937" s="98"/>
      <c r="D937" s="98"/>
      <c r="E937" s="98"/>
      <c r="F937" s="98"/>
      <c r="G937" s="98"/>
      <c r="H937" s="98"/>
      <c r="I937" s="98"/>
      <c r="J937" s="98"/>
      <c r="K937" s="98"/>
      <c r="L937" s="98"/>
      <c r="M937" s="98"/>
      <c r="N937" s="98"/>
      <c r="O937" s="98"/>
      <c r="P937" s="98"/>
      <c r="Q937" s="98"/>
      <c r="R937" s="98"/>
      <c r="S937" s="98"/>
      <c r="T937" s="98"/>
      <c r="U937" s="98"/>
      <c r="V937" s="98"/>
      <c r="W937" s="98"/>
      <c r="X937" s="98"/>
      <c r="Y937" s="98"/>
      <c r="Z937" s="98"/>
      <c r="AA937" s="98"/>
      <c r="AB937" s="98"/>
      <c r="AC937" s="98"/>
      <c r="AD937" s="98"/>
      <c r="AE937" s="98"/>
      <c r="AF937" s="98"/>
      <c r="AG937" s="98"/>
    </row>
    <row r="938" spans="1:33" ht="15" customHeight="1">
      <c r="A938" s="286"/>
      <c r="B938" s="98"/>
      <c r="C938" s="98"/>
      <c r="D938" s="98"/>
      <c r="E938" s="98"/>
      <c r="F938" s="98"/>
      <c r="G938" s="98"/>
      <c r="H938" s="98"/>
      <c r="I938" s="98"/>
      <c r="J938" s="98"/>
      <c r="K938" s="98"/>
      <c r="L938" s="98"/>
      <c r="M938" s="98"/>
      <c r="N938" s="98"/>
      <c r="O938" s="98"/>
      <c r="P938" s="98"/>
      <c r="Q938" s="98"/>
      <c r="R938" s="98"/>
      <c r="S938" s="98"/>
      <c r="T938" s="98"/>
      <c r="U938" s="98"/>
      <c r="V938" s="98"/>
      <c r="W938" s="98"/>
      <c r="X938" s="98"/>
      <c r="Y938" s="98"/>
      <c r="Z938" s="98"/>
      <c r="AA938" s="98"/>
      <c r="AB938" s="98"/>
      <c r="AC938" s="98"/>
      <c r="AD938" s="98"/>
      <c r="AE938" s="98"/>
      <c r="AF938" s="98"/>
      <c r="AG938" s="98"/>
    </row>
    <row r="939" spans="1:33" ht="15" customHeight="1">
      <c r="A939" s="286"/>
      <c r="B939" s="98"/>
      <c r="C939" s="98"/>
      <c r="D939" s="98"/>
      <c r="E939" s="98"/>
      <c r="F939" s="98"/>
      <c r="G939" s="98"/>
      <c r="H939" s="98"/>
      <c r="I939" s="98"/>
      <c r="J939" s="98"/>
      <c r="K939" s="98"/>
      <c r="L939" s="98"/>
      <c r="M939" s="98"/>
      <c r="N939" s="98"/>
      <c r="O939" s="98"/>
      <c r="P939" s="98"/>
      <c r="Q939" s="98"/>
      <c r="R939" s="98"/>
      <c r="S939" s="98"/>
      <c r="T939" s="98"/>
      <c r="U939" s="98"/>
      <c r="V939" s="98"/>
      <c r="W939" s="98"/>
      <c r="X939" s="98"/>
      <c r="Y939" s="98"/>
      <c r="Z939" s="98"/>
      <c r="AA939" s="98"/>
      <c r="AB939" s="98"/>
      <c r="AC939" s="98"/>
      <c r="AD939" s="98"/>
      <c r="AE939" s="98"/>
      <c r="AF939" s="98"/>
      <c r="AG939" s="98"/>
    </row>
    <row r="940" spans="1:33" ht="15" customHeight="1">
      <c r="A940" s="286"/>
      <c r="B940" s="98"/>
      <c r="C940" s="98"/>
      <c r="D940" s="98"/>
      <c r="E940" s="98"/>
      <c r="F940" s="98"/>
      <c r="G940" s="98"/>
      <c r="H940" s="98"/>
      <c r="I940" s="98"/>
      <c r="J940" s="98"/>
      <c r="K940" s="98"/>
      <c r="L940" s="98"/>
      <c r="M940" s="98"/>
      <c r="N940" s="98"/>
      <c r="O940" s="98"/>
      <c r="P940" s="98"/>
      <c r="Q940" s="98"/>
      <c r="R940" s="98"/>
      <c r="S940" s="98"/>
      <c r="T940" s="98"/>
      <c r="U940" s="98"/>
      <c r="V940" s="98"/>
      <c r="W940" s="98"/>
      <c r="X940" s="98"/>
      <c r="Y940" s="98"/>
      <c r="Z940" s="98"/>
      <c r="AA940" s="98"/>
      <c r="AB940" s="98"/>
      <c r="AC940" s="98"/>
      <c r="AD940" s="98"/>
      <c r="AE940" s="98"/>
      <c r="AF940" s="98"/>
      <c r="AG940" s="98"/>
    </row>
    <row r="941" spans="1:33" ht="15" customHeight="1">
      <c r="A941" s="286"/>
      <c r="B941" s="98"/>
      <c r="C941" s="98"/>
      <c r="D941" s="98"/>
      <c r="E941" s="98"/>
      <c r="F941" s="98"/>
      <c r="G941" s="98"/>
      <c r="H941" s="98"/>
      <c r="I941" s="98"/>
      <c r="J941" s="98"/>
      <c r="K941" s="98"/>
      <c r="L941" s="98"/>
      <c r="M941" s="98"/>
      <c r="N941" s="98"/>
      <c r="O941" s="98"/>
      <c r="P941" s="98"/>
      <c r="Q941" s="98"/>
      <c r="R941" s="98"/>
      <c r="S941" s="98"/>
      <c r="T941" s="98"/>
      <c r="U941" s="98"/>
      <c r="V941" s="98"/>
      <c r="W941" s="98"/>
      <c r="X941" s="98"/>
      <c r="Y941" s="98"/>
      <c r="Z941" s="98"/>
      <c r="AA941" s="98"/>
      <c r="AB941" s="98"/>
      <c r="AC941" s="98"/>
      <c r="AD941" s="98"/>
      <c r="AE941" s="98"/>
      <c r="AF941" s="98"/>
      <c r="AG941" s="98"/>
    </row>
    <row r="942" spans="1:33" ht="15" customHeight="1">
      <c r="A942" s="286"/>
      <c r="B942" s="98"/>
      <c r="C942" s="98"/>
      <c r="D942" s="98"/>
      <c r="E942" s="98"/>
      <c r="F942" s="98"/>
      <c r="G942" s="98"/>
      <c r="H942" s="98"/>
      <c r="I942" s="98"/>
      <c r="J942" s="98"/>
      <c r="K942" s="98"/>
      <c r="L942" s="98"/>
      <c r="M942" s="98"/>
      <c r="N942" s="98"/>
      <c r="O942" s="98"/>
      <c r="P942" s="98"/>
      <c r="Q942" s="98"/>
      <c r="R942" s="98"/>
      <c r="S942" s="98"/>
      <c r="T942" s="98"/>
      <c r="U942" s="98"/>
      <c r="V942" s="98"/>
      <c r="W942" s="98"/>
      <c r="X942" s="98"/>
      <c r="Y942" s="98"/>
      <c r="Z942" s="98"/>
      <c r="AA942" s="98"/>
      <c r="AB942" s="98"/>
      <c r="AC942" s="98"/>
      <c r="AD942" s="98"/>
      <c r="AE942" s="98"/>
      <c r="AF942" s="98"/>
      <c r="AG942" s="98"/>
    </row>
    <row r="943" spans="1:33" ht="15" customHeight="1">
      <c r="A943" s="286"/>
      <c r="B943" s="98"/>
      <c r="C943" s="98"/>
      <c r="D943" s="98"/>
      <c r="E943" s="98"/>
      <c r="F943" s="98"/>
      <c r="G943" s="98"/>
      <c r="H943" s="98"/>
      <c r="I943" s="98"/>
      <c r="J943" s="98"/>
      <c r="K943" s="98"/>
      <c r="L943" s="98"/>
      <c r="M943" s="98"/>
      <c r="N943" s="98"/>
      <c r="O943" s="98"/>
      <c r="P943" s="98"/>
      <c r="Q943" s="98"/>
      <c r="R943" s="98"/>
      <c r="S943" s="98"/>
      <c r="T943" s="98"/>
      <c r="U943" s="98"/>
      <c r="V943" s="98"/>
      <c r="W943" s="98"/>
      <c r="X943" s="98"/>
      <c r="Y943" s="98"/>
      <c r="Z943" s="98"/>
      <c r="AA943" s="98"/>
      <c r="AB943" s="98"/>
      <c r="AC943" s="98"/>
      <c r="AD943" s="98"/>
      <c r="AE943" s="98"/>
      <c r="AF943" s="98"/>
      <c r="AG943" s="98"/>
    </row>
    <row r="944" spans="1:33" ht="15" customHeight="1">
      <c r="A944" s="286"/>
      <c r="B944" s="98"/>
      <c r="C944" s="98"/>
      <c r="D944" s="98"/>
      <c r="E944" s="98"/>
      <c r="F944" s="98"/>
      <c r="G944" s="98"/>
      <c r="H944" s="98"/>
      <c r="I944" s="98"/>
      <c r="J944" s="98"/>
      <c r="K944" s="98"/>
      <c r="L944" s="98"/>
      <c r="M944" s="98"/>
      <c r="N944" s="98"/>
      <c r="O944" s="98"/>
      <c r="P944" s="98"/>
      <c r="Q944" s="98"/>
      <c r="R944" s="98"/>
      <c r="S944" s="98"/>
      <c r="T944" s="98"/>
      <c r="U944" s="98"/>
      <c r="V944" s="98"/>
      <c r="W944" s="98"/>
      <c r="X944" s="98"/>
      <c r="Y944" s="98"/>
      <c r="Z944" s="98"/>
      <c r="AA944" s="98"/>
      <c r="AB944" s="98"/>
      <c r="AC944" s="98"/>
      <c r="AD944" s="98"/>
      <c r="AE944" s="98"/>
      <c r="AF944" s="98"/>
      <c r="AG944" s="98"/>
    </row>
    <row r="945" spans="1:33" ht="15" customHeight="1">
      <c r="A945" s="286"/>
      <c r="B945" s="98"/>
      <c r="C945" s="98"/>
      <c r="D945" s="98"/>
      <c r="E945" s="98"/>
      <c r="F945" s="98"/>
      <c r="G945" s="98"/>
      <c r="H945" s="98"/>
      <c r="I945" s="98"/>
      <c r="J945" s="98"/>
      <c r="K945" s="98"/>
      <c r="L945" s="98"/>
      <c r="M945" s="98"/>
      <c r="N945" s="98"/>
      <c r="O945" s="98"/>
      <c r="P945" s="98"/>
      <c r="Q945" s="98"/>
      <c r="R945" s="98"/>
      <c r="S945" s="98"/>
      <c r="T945" s="98"/>
      <c r="U945" s="98"/>
      <c r="V945" s="98"/>
      <c r="W945" s="98"/>
      <c r="X945" s="98"/>
      <c r="Y945" s="98"/>
      <c r="Z945" s="98"/>
      <c r="AA945" s="98"/>
      <c r="AB945" s="98"/>
      <c r="AC945" s="98"/>
      <c r="AD945" s="98"/>
      <c r="AE945" s="98"/>
      <c r="AF945" s="98"/>
      <c r="AG945" s="98"/>
    </row>
    <row r="946" spans="1:33" ht="15" customHeight="1">
      <c r="A946" s="286"/>
      <c r="B946" s="98"/>
      <c r="C946" s="98"/>
      <c r="D946" s="98"/>
      <c r="E946" s="98"/>
      <c r="F946" s="98"/>
      <c r="G946" s="98"/>
      <c r="H946" s="98"/>
      <c r="I946" s="98"/>
      <c r="J946" s="98"/>
      <c r="K946" s="98"/>
      <c r="L946" s="98"/>
      <c r="M946" s="98"/>
      <c r="N946" s="98"/>
      <c r="O946" s="98"/>
      <c r="P946" s="98"/>
      <c r="Q946" s="98"/>
      <c r="R946" s="98"/>
      <c r="S946" s="98"/>
      <c r="T946" s="98"/>
      <c r="U946" s="98"/>
      <c r="V946" s="98"/>
      <c r="W946" s="98"/>
      <c r="X946" s="98"/>
      <c r="Y946" s="98"/>
      <c r="Z946" s="98"/>
      <c r="AA946" s="98"/>
      <c r="AB946" s="98"/>
      <c r="AC946" s="98"/>
      <c r="AD946" s="98"/>
      <c r="AE946" s="98"/>
      <c r="AF946" s="98"/>
      <c r="AG946" s="98"/>
    </row>
    <row r="947" spans="1:33" ht="15" customHeight="1">
      <c r="A947" s="286"/>
      <c r="B947" s="98"/>
      <c r="C947" s="98"/>
      <c r="D947" s="98"/>
      <c r="E947" s="98"/>
      <c r="F947" s="98"/>
      <c r="G947" s="98"/>
      <c r="H947" s="98"/>
      <c r="I947" s="98"/>
      <c r="J947" s="98"/>
      <c r="K947" s="98"/>
      <c r="L947" s="98"/>
      <c r="M947" s="98"/>
      <c r="N947" s="98"/>
      <c r="O947" s="98"/>
      <c r="P947" s="98"/>
      <c r="Q947" s="98"/>
      <c r="R947" s="98"/>
      <c r="S947" s="98"/>
      <c r="T947" s="98"/>
      <c r="U947" s="98"/>
      <c r="V947" s="98"/>
      <c r="W947" s="98"/>
      <c r="X947" s="98"/>
      <c r="Y947" s="98"/>
      <c r="Z947" s="98"/>
      <c r="AA947" s="98"/>
      <c r="AB947" s="98"/>
      <c r="AC947" s="98"/>
      <c r="AD947" s="98"/>
      <c r="AE947" s="98"/>
      <c r="AF947" s="98"/>
      <c r="AG947" s="98"/>
    </row>
    <row r="948" spans="1:33" ht="15" customHeight="1">
      <c r="A948" s="286"/>
      <c r="B948" s="98"/>
      <c r="C948" s="98"/>
      <c r="D948" s="98"/>
      <c r="E948" s="98"/>
      <c r="F948" s="98"/>
      <c r="G948" s="98"/>
      <c r="H948" s="98"/>
      <c r="I948" s="98"/>
      <c r="J948" s="98"/>
      <c r="K948" s="98"/>
      <c r="L948" s="98"/>
      <c r="M948" s="98"/>
      <c r="N948" s="98"/>
      <c r="O948" s="98"/>
      <c r="P948" s="98"/>
      <c r="Q948" s="98"/>
      <c r="R948" s="98"/>
      <c r="S948" s="98"/>
      <c r="T948" s="98"/>
      <c r="U948" s="98"/>
      <c r="V948" s="98"/>
      <c r="W948" s="98"/>
      <c r="X948" s="98"/>
      <c r="Y948" s="98"/>
      <c r="Z948" s="98"/>
      <c r="AA948" s="98"/>
      <c r="AB948" s="98"/>
      <c r="AC948" s="98"/>
      <c r="AD948" s="98"/>
      <c r="AE948" s="98"/>
      <c r="AF948" s="98"/>
      <c r="AG948" s="98"/>
    </row>
    <row r="949" spans="1:33" ht="15" customHeight="1">
      <c r="A949" s="286"/>
      <c r="B949" s="98"/>
      <c r="C949" s="98"/>
      <c r="D949" s="98"/>
      <c r="E949" s="98"/>
      <c r="F949" s="98"/>
      <c r="G949" s="98"/>
      <c r="H949" s="98"/>
      <c r="I949" s="98"/>
      <c r="J949" s="98"/>
      <c r="K949" s="98"/>
      <c r="L949" s="98"/>
      <c r="M949" s="98"/>
      <c r="N949" s="98"/>
      <c r="O949" s="98"/>
      <c r="P949" s="98"/>
      <c r="Q949" s="98"/>
      <c r="R949" s="98"/>
      <c r="S949" s="98"/>
      <c r="T949" s="98"/>
      <c r="U949" s="98"/>
      <c r="V949" s="98"/>
      <c r="W949" s="98"/>
      <c r="X949" s="98"/>
      <c r="Y949" s="98"/>
      <c r="Z949" s="98"/>
      <c r="AA949" s="98"/>
      <c r="AB949" s="98"/>
      <c r="AC949" s="98"/>
      <c r="AD949" s="98"/>
      <c r="AE949" s="98"/>
      <c r="AF949" s="98"/>
      <c r="AG949" s="98"/>
    </row>
    <row r="950" spans="1:33" ht="15" customHeight="1">
      <c r="A950" s="286"/>
      <c r="B950" s="98"/>
      <c r="C950" s="98"/>
      <c r="D950" s="98"/>
      <c r="E950" s="98"/>
      <c r="F950" s="98"/>
      <c r="G950" s="98"/>
      <c r="H950" s="98"/>
      <c r="I950" s="98"/>
      <c r="J950" s="98"/>
      <c r="K950" s="98"/>
      <c r="L950" s="98"/>
      <c r="M950" s="98"/>
      <c r="N950" s="98"/>
      <c r="O950" s="98"/>
      <c r="P950" s="98"/>
      <c r="Q950" s="98"/>
      <c r="R950" s="98"/>
      <c r="S950" s="98"/>
      <c r="T950" s="98"/>
      <c r="U950" s="98"/>
      <c r="V950" s="98"/>
      <c r="W950" s="98"/>
      <c r="X950" s="98"/>
      <c r="Y950" s="98"/>
      <c r="Z950" s="98"/>
      <c r="AA950" s="98"/>
      <c r="AB950" s="98"/>
      <c r="AC950" s="98"/>
      <c r="AD950" s="98"/>
      <c r="AE950" s="98"/>
      <c r="AF950" s="98"/>
      <c r="AG950" s="98"/>
    </row>
    <row r="951" spans="1:33" ht="15" customHeight="1">
      <c r="A951" s="286"/>
      <c r="B951" s="98"/>
      <c r="C951" s="98"/>
      <c r="D951" s="98"/>
      <c r="E951" s="98"/>
      <c r="F951" s="98"/>
      <c r="G951" s="98"/>
      <c r="H951" s="98"/>
      <c r="I951" s="98"/>
      <c r="J951" s="98"/>
      <c r="K951" s="98"/>
      <c r="L951" s="98"/>
      <c r="M951" s="98"/>
      <c r="N951" s="98"/>
      <c r="O951" s="98"/>
      <c r="P951" s="98"/>
      <c r="Q951" s="98"/>
      <c r="R951" s="98"/>
      <c r="S951" s="98"/>
      <c r="T951" s="98"/>
      <c r="U951" s="98"/>
      <c r="V951" s="98"/>
      <c r="W951" s="98"/>
      <c r="X951" s="98"/>
      <c r="Y951" s="98"/>
      <c r="Z951" s="98"/>
      <c r="AA951" s="98"/>
      <c r="AB951" s="98"/>
      <c r="AC951" s="98"/>
      <c r="AD951" s="98"/>
      <c r="AE951" s="98"/>
      <c r="AF951" s="98"/>
      <c r="AG951" s="98"/>
    </row>
    <row r="952" spans="1:33" ht="15" customHeight="1">
      <c r="A952" s="286"/>
      <c r="B952" s="98"/>
      <c r="C952" s="98"/>
      <c r="D952" s="98"/>
      <c r="E952" s="98"/>
      <c r="F952" s="98"/>
      <c r="G952" s="98"/>
      <c r="H952" s="98"/>
      <c r="I952" s="98"/>
      <c r="J952" s="98"/>
      <c r="K952" s="98"/>
      <c r="L952" s="98"/>
      <c r="M952" s="98"/>
      <c r="N952" s="98"/>
      <c r="O952" s="98"/>
      <c r="P952" s="98"/>
      <c r="Q952" s="98"/>
      <c r="R952" s="98"/>
      <c r="S952" s="98"/>
      <c r="T952" s="98"/>
      <c r="U952" s="98"/>
      <c r="V952" s="98"/>
      <c r="W952" s="98"/>
      <c r="X952" s="98"/>
      <c r="Y952" s="98"/>
      <c r="Z952" s="98"/>
      <c r="AA952" s="98"/>
      <c r="AB952" s="98"/>
      <c r="AC952" s="98"/>
      <c r="AD952" s="98"/>
      <c r="AE952" s="98"/>
      <c r="AF952" s="98"/>
      <c r="AG952" s="98"/>
    </row>
    <row r="953" spans="1:33" ht="15" customHeight="1">
      <c r="A953" s="286"/>
      <c r="B953" s="98"/>
      <c r="C953" s="98"/>
      <c r="D953" s="98"/>
      <c r="E953" s="98"/>
      <c r="F953" s="98"/>
      <c r="G953" s="98"/>
      <c r="H953" s="98"/>
      <c r="I953" s="98"/>
      <c r="J953" s="98"/>
      <c r="K953" s="98"/>
      <c r="L953" s="98"/>
      <c r="M953" s="98"/>
      <c r="N953" s="98"/>
      <c r="O953" s="98"/>
      <c r="P953" s="98"/>
      <c r="Q953" s="98"/>
      <c r="R953" s="98"/>
      <c r="S953" s="98"/>
      <c r="T953" s="98"/>
      <c r="U953" s="98"/>
      <c r="V953" s="98"/>
      <c r="W953" s="98"/>
      <c r="X953" s="98"/>
      <c r="Y953" s="98"/>
      <c r="Z953" s="98"/>
      <c r="AA953" s="98"/>
      <c r="AB953" s="98"/>
      <c r="AC953" s="98"/>
      <c r="AD953" s="98"/>
      <c r="AE953" s="98"/>
      <c r="AF953" s="98"/>
      <c r="AG953" s="98"/>
    </row>
    <row r="954" spans="1:33" ht="15" customHeight="1">
      <c r="A954" s="286"/>
      <c r="B954" s="98"/>
      <c r="C954" s="98"/>
      <c r="D954" s="98"/>
      <c r="E954" s="98"/>
      <c r="F954" s="98"/>
      <c r="G954" s="98"/>
      <c r="H954" s="98"/>
      <c r="I954" s="98"/>
      <c r="J954" s="98"/>
      <c r="K954" s="98"/>
      <c r="L954" s="98"/>
      <c r="M954" s="98"/>
      <c r="N954" s="98"/>
      <c r="O954" s="98"/>
      <c r="P954" s="98"/>
      <c r="Q954" s="98"/>
      <c r="R954" s="98"/>
      <c r="S954" s="98"/>
      <c r="T954" s="98"/>
      <c r="U954" s="98"/>
      <c r="V954" s="98"/>
      <c r="W954" s="98"/>
      <c r="X954" s="98"/>
      <c r="Y954" s="98"/>
      <c r="Z954" s="98"/>
      <c r="AA954" s="98"/>
      <c r="AB954" s="98"/>
      <c r="AC954" s="98"/>
      <c r="AD954" s="98"/>
      <c r="AE954" s="98"/>
      <c r="AF954" s="98"/>
      <c r="AG954" s="98"/>
    </row>
    <row r="955" spans="1:33" ht="15" customHeight="1">
      <c r="A955" s="286"/>
      <c r="B955" s="98"/>
      <c r="C955" s="98"/>
      <c r="D955" s="98"/>
      <c r="E955" s="98"/>
      <c r="F955" s="98"/>
      <c r="G955" s="98"/>
      <c r="H955" s="98"/>
      <c r="I955" s="98"/>
      <c r="J955" s="98"/>
      <c r="K955" s="98"/>
      <c r="L955" s="98"/>
      <c r="M955" s="98"/>
      <c r="N955" s="98"/>
      <c r="O955" s="98"/>
      <c r="P955" s="98"/>
      <c r="Q955" s="98"/>
      <c r="R955" s="98"/>
      <c r="S955" s="98"/>
      <c r="T955" s="98"/>
      <c r="U955" s="98"/>
      <c r="V955" s="98"/>
      <c r="W955" s="98"/>
      <c r="X955" s="98"/>
      <c r="Y955" s="98"/>
      <c r="Z955" s="98"/>
      <c r="AA955" s="98"/>
      <c r="AB955" s="98"/>
      <c r="AC955" s="98"/>
      <c r="AD955" s="98"/>
      <c r="AE955" s="98"/>
      <c r="AF955" s="98"/>
      <c r="AG955" s="98"/>
    </row>
    <row r="956" spans="1:33" ht="15" customHeight="1">
      <c r="A956" s="286"/>
      <c r="B956" s="98"/>
      <c r="C956" s="98"/>
      <c r="D956" s="98"/>
      <c r="E956" s="98"/>
      <c r="F956" s="98"/>
      <c r="G956" s="98"/>
      <c r="H956" s="98"/>
      <c r="I956" s="98"/>
      <c r="J956" s="98"/>
      <c r="K956" s="98"/>
      <c r="L956" s="98"/>
      <c r="M956" s="98"/>
      <c r="N956" s="98"/>
      <c r="O956" s="98"/>
      <c r="P956" s="98"/>
      <c r="Q956" s="98"/>
      <c r="R956" s="98"/>
      <c r="S956" s="98"/>
      <c r="T956" s="98"/>
      <c r="U956" s="98"/>
      <c r="V956" s="98"/>
      <c r="W956" s="98"/>
      <c r="X956" s="98"/>
      <c r="Y956" s="98"/>
      <c r="Z956" s="98"/>
      <c r="AA956" s="98"/>
      <c r="AB956" s="98"/>
      <c r="AC956" s="98"/>
      <c r="AD956" s="98"/>
      <c r="AE956" s="98"/>
      <c r="AF956" s="98"/>
      <c r="AG956" s="98"/>
    </row>
    <row r="957" spans="1:33" ht="15" customHeight="1">
      <c r="A957" s="286"/>
      <c r="B957" s="98"/>
      <c r="C957" s="98"/>
      <c r="D957" s="98"/>
      <c r="E957" s="98"/>
      <c r="F957" s="98"/>
      <c r="G957" s="98"/>
      <c r="H957" s="98"/>
      <c r="I957" s="98"/>
      <c r="J957" s="98"/>
      <c r="K957" s="98"/>
      <c r="L957" s="98"/>
      <c r="M957" s="98"/>
      <c r="N957" s="98"/>
      <c r="O957" s="98"/>
      <c r="P957" s="98"/>
      <c r="Q957" s="98"/>
      <c r="R957" s="98"/>
      <c r="S957" s="98"/>
      <c r="T957" s="98"/>
      <c r="U957" s="98"/>
      <c r="V957" s="98"/>
      <c r="W957" s="98"/>
      <c r="X957" s="98"/>
      <c r="Y957" s="98"/>
      <c r="Z957" s="98"/>
      <c r="AA957" s="98"/>
      <c r="AB957" s="98"/>
      <c r="AC957" s="98"/>
      <c r="AD957" s="98"/>
      <c r="AE957" s="98"/>
      <c r="AF957" s="98"/>
      <c r="AG957" s="98"/>
    </row>
    <row r="958" spans="1:33" ht="15" customHeight="1">
      <c r="A958" s="286"/>
      <c r="B958" s="98"/>
      <c r="C958" s="98"/>
      <c r="D958" s="98"/>
      <c r="E958" s="98"/>
      <c r="F958" s="98"/>
      <c r="G958" s="98"/>
      <c r="H958" s="98"/>
      <c r="I958" s="98"/>
      <c r="J958" s="98"/>
      <c r="K958" s="98"/>
      <c r="L958" s="98"/>
      <c r="M958" s="98"/>
      <c r="N958" s="98"/>
      <c r="O958" s="98"/>
      <c r="P958" s="98"/>
      <c r="Q958" s="98"/>
      <c r="R958" s="98"/>
      <c r="S958" s="98"/>
      <c r="T958" s="98"/>
      <c r="U958" s="98"/>
      <c r="V958" s="98"/>
      <c r="W958" s="98"/>
      <c r="X958" s="98"/>
      <c r="Y958" s="98"/>
      <c r="Z958" s="98"/>
      <c r="AA958" s="98"/>
      <c r="AB958" s="98"/>
      <c r="AC958" s="98"/>
      <c r="AD958" s="98"/>
      <c r="AE958" s="98"/>
      <c r="AF958" s="98"/>
      <c r="AG958" s="98"/>
    </row>
    <row r="959" spans="1:33" ht="15" customHeight="1">
      <c r="A959" s="286"/>
      <c r="B959" s="98"/>
      <c r="C959" s="98"/>
      <c r="D959" s="98"/>
      <c r="E959" s="98"/>
      <c r="F959" s="98"/>
      <c r="G959" s="98"/>
      <c r="H959" s="98"/>
      <c r="I959" s="98"/>
      <c r="J959" s="98"/>
      <c r="K959" s="98"/>
      <c r="L959" s="98"/>
      <c r="M959" s="98"/>
      <c r="N959" s="98"/>
      <c r="O959" s="98"/>
      <c r="P959" s="98"/>
      <c r="Q959" s="98"/>
      <c r="R959" s="98"/>
      <c r="S959" s="98"/>
      <c r="T959" s="98"/>
      <c r="U959" s="98"/>
      <c r="V959" s="98"/>
      <c r="W959" s="98"/>
      <c r="X959" s="98"/>
      <c r="Y959" s="98"/>
      <c r="Z959" s="98"/>
      <c r="AA959" s="98"/>
      <c r="AB959" s="98"/>
      <c r="AC959" s="98"/>
      <c r="AD959" s="98"/>
      <c r="AE959" s="98"/>
      <c r="AF959" s="98"/>
      <c r="AG959" s="98"/>
    </row>
    <row r="960" spans="1:33" ht="15" customHeight="1">
      <c r="A960" s="286"/>
      <c r="B960" s="98"/>
      <c r="C960" s="98"/>
      <c r="D960" s="98"/>
      <c r="E960" s="98"/>
      <c r="F960" s="98"/>
      <c r="G960" s="98"/>
      <c r="H960" s="98"/>
      <c r="I960" s="98"/>
      <c r="J960" s="98"/>
      <c r="K960" s="98"/>
      <c r="L960" s="98"/>
      <c r="M960" s="98"/>
      <c r="N960" s="98"/>
      <c r="O960" s="98"/>
      <c r="P960" s="98"/>
      <c r="Q960" s="98"/>
      <c r="R960" s="98"/>
      <c r="S960" s="98"/>
      <c r="T960" s="98"/>
      <c r="U960" s="98"/>
      <c r="V960" s="98"/>
      <c r="W960" s="98"/>
      <c r="X960" s="98"/>
      <c r="Y960" s="98"/>
      <c r="Z960" s="98"/>
      <c r="AA960" s="98"/>
      <c r="AB960" s="98"/>
      <c r="AC960" s="98"/>
      <c r="AD960" s="98"/>
      <c r="AE960" s="98"/>
      <c r="AF960" s="98"/>
      <c r="AG960" s="98"/>
    </row>
    <row r="961" spans="1:33" ht="15" customHeight="1">
      <c r="A961" s="286"/>
      <c r="B961" s="98"/>
      <c r="C961" s="98"/>
      <c r="D961" s="98"/>
      <c r="E961" s="98"/>
      <c r="F961" s="98"/>
      <c r="G961" s="98"/>
      <c r="H961" s="98"/>
      <c r="I961" s="98"/>
      <c r="J961" s="98"/>
      <c r="K961" s="98"/>
      <c r="L961" s="98"/>
      <c r="M961" s="98"/>
      <c r="N961" s="98"/>
      <c r="O961" s="98"/>
      <c r="P961" s="98"/>
      <c r="Q961" s="98"/>
      <c r="R961" s="98"/>
      <c r="S961" s="98"/>
      <c r="T961" s="98"/>
      <c r="U961" s="98"/>
      <c r="V961" s="98"/>
      <c r="W961" s="98"/>
      <c r="X961" s="98"/>
      <c r="Y961" s="98"/>
      <c r="Z961" s="98"/>
      <c r="AA961" s="98"/>
      <c r="AB961" s="98"/>
      <c r="AC961" s="98"/>
      <c r="AD961" s="98"/>
      <c r="AE961" s="98"/>
      <c r="AF961" s="98"/>
      <c r="AG961" s="98"/>
    </row>
    <row r="962" spans="1:33" ht="15" customHeight="1">
      <c r="A962" s="286"/>
      <c r="B962" s="98"/>
      <c r="C962" s="98"/>
      <c r="D962" s="98"/>
      <c r="E962" s="98"/>
      <c r="F962" s="98"/>
      <c r="G962" s="98"/>
      <c r="H962" s="98"/>
      <c r="I962" s="98"/>
      <c r="J962" s="98"/>
      <c r="K962" s="98"/>
      <c r="L962" s="98"/>
      <c r="M962" s="98"/>
      <c r="N962" s="98"/>
      <c r="O962" s="98"/>
      <c r="P962" s="98"/>
      <c r="Q962" s="98"/>
      <c r="R962" s="98"/>
      <c r="S962" s="98"/>
      <c r="T962" s="98"/>
      <c r="U962" s="98"/>
      <c r="V962" s="98"/>
      <c r="W962" s="98"/>
      <c r="X962" s="98"/>
      <c r="Y962" s="98"/>
      <c r="Z962" s="98"/>
      <c r="AA962" s="98"/>
      <c r="AB962" s="98"/>
      <c r="AC962" s="98"/>
      <c r="AD962" s="98"/>
      <c r="AE962" s="98"/>
      <c r="AF962" s="98"/>
      <c r="AG962" s="98"/>
    </row>
    <row r="963" spans="1:33" ht="15" customHeight="1">
      <c r="A963" s="286"/>
      <c r="B963" s="98"/>
      <c r="C963" s="98"/>
      <c r="D963" s="98"/>
      <c r="E963" s="98"/>
      <c r="F963" s="98"/>
      <c r="G963" s="98"/>
      <c r="H963" s="98"/>
      <c r="I963" s="98"/>
      <c r="J963" s="98"/>
      <c r="K963" s="98"/>
      <c r="L963" s="98"/>
      <c r="M963" s="98"/>
      <c r="N963" s="98"/>
      <c r="O963" s="98"/>
      <c r="P963" s="98"/>
      <c r="Q963" s="98"/>
      <c r="R963" s="98"/>
      <c r="S963" s="98"/>
      <c r="T963" s="98"/>
      <c r="U963" s="98"/>
      <c r="V963" s="98"/>
      <c r="W963" s="98"/>
      <c r="X963" s="98"/>
      <c r="Y963" s="98"/>
      <c r="Z963" s="98"/>
      <c r="AA963" s="98"/>
      <c r="AB963" s="98"/>
      <c r="AC963" s="98"/>
      <c r="AD963" s="98"/>
      <c r="AE963" s="98"/>
      <c r="AF963" s="98"/>
      <c r="AG963" s="98"/>
    </row>
    <row r="964" spans="1:33" ht="15" customHeight="1">
      <c r="A964" s="286"/>
      <c r="B964" s="98"/>
      <c r="C964" s="98"/>
      <c r="D964" s="98"/>
      <c r="E964" s="98"/>
      <c r="F964" s="98"/>
      <c r="G964" s="98"/>
      <c r="H964" s="98"/>
      <c r="I964" s="98"/>
      <c r="J964" s="98"/>
      <c r="K964" s="98"/>
      <c r="L964" s="98"/>
      <c r="M964" s="98"/>
      <c r="N964" s="98"/>
      <c r="O964" s="98"/>
      <c r="P964" s="98"/>
      <c r="Q964" s="98"/>
      <c r="R964" s="98"/>
      <c r="S964" s="98"/>
      <c r="T964" s="98"/>
      <c r="U964" s="98"/>
      <c r="V964" s="98"/>
      <c r="W964" s="98"/>
      <c r="X964" s="98"/>
      <c r="Y964" s="98"/>
      <c r="Z964" s="98"/>
      <c r="AA964" s="98"/>
      <c r="AB964" s="98"/>
      <c r="AC964" s="98"/>
      <c r="AD964" s="98"/>
      <c r="AE964" s="98"/>
      <c r="AF964" s="98"/>
      <c r="AG964" s="98"/>
    </row>
    <row r="965" spans="1:33" ht="15" customHeight="1">
      <c r="A965" s="286"/>
      <c r="B965" s="98"/>
      <c r="C965" s="98"/>
      <c r="D965" s="98"/>
      <c r="E965" s="98"/>
      <c r="F965" s="98"/>
      <c r="G965" s="98"/>
      <c r="H965" s="98"/>
      <c r="I965" s="98"/>
      <c r="J965" s="98"/>
      <c r="K965" s="98"/>
      <c r="L965" s="98"/>
      <c r="M965" s="98"/>
      <c r="N965" s="98"/>
      <c r="O965" s="98"/>
      <c r="P965" s="98"/>
      <c r="Q965" s="98"/>
      <c r="R965" s="98"/>
      <c r="S965" s="98"/>
      <c r="T965" s="98"/>
      <c r="U965" s="98"/>
      <c r="V965" s="98"/>
      <c r="W965" s="98"/>
      <c r="X965" s="98"/>
      <c r="Y965" s="98"/>
      <c r="Z965" s="98"/>
      <c r="AA965" s="98"/>
      <c r="AB965" s="98"/>
      <c r="AC965" s="98"/>
      <c r="AD965" s="98"/>
      <c r="AE965" s="98"/>
      <c r="AF965" s="98"/>
      <c r="AG965" s="98"/>
    </row>
    <row r="966" spans="1:33" ht="15" customHeight="1">
      <c r="A966" s="286"/>
      <c r="B966" s="98"/>
      <c r="C966" s="98"/>
      <c r="D966" s="98"/>
      <c r="E966" s="98"/>
      <c r="F966" s="98"/>
      <c r="G966" s="98"/>
      <c r="H966" s="98"/>
      <c r="I966" s="98"/>
      <c r="J966" s="98"/>
      <c r="K966" s="98"/>
      <c r="L966" s="98"/>
      <c r="M966" s="98"/>
      <c r="N966" s="98"/>
      <c r="O966" s="98"/>
      <c r="P966" s="98"/>
      <c r="Q966" s="98"/>
      <c r="R966" s="98"/>
      <c r="S966" s="98"/>
      <c r="T966" s="98"/>
      <c r="U966" s="98"/>
      <c r="V966" s="98"/>
      <c r="W966" s="98"/>
      <c r="X966" s="98"/>
      <c r="Y966" s="98"/>
      <c r="Z966" s="98"/>
      <c r="AA966" s="98"/>
      <c r="AB966" s="98"/>
      <c r="AC966" s="98"/>
      <c r="AD966" s="98"/>
      <c r="AE966" s="98"/>
      <c r="AF966" s="98"/>
      <c r="AG966" s="98"/>
    </row>
    <row r="967" spans="1:33" ht="15" customHeight="1">
      <c r="A967" s="286"/>
      <c r="B967" s="98"/>
      <c r="C967" s="98"/>
      <c r="D967" s="98"/>
      <c r="E967" s="98"/>
      <c r="F967" s="98"/>
      <c r="G967" s="98"/>
      <c r="H967" s="98"/>
      <c r="I967" s="98"/>
      <c r="J967" s="98"/>
      <c r="K967" s="98"/>
      <c r="L967" s="98"/>
      <c r="M967" s="98"/>
      <c r="N967" s="98"/>
      <c r="O967" s="98"/>
      <c r="P967" s="98"/>
      <c r="Q967" s="98"/>
      <c r="R967" s="98"/>
      <c r="S967" s="98"/>
      <c r="T967" s="98"/>
      <c r="U967" s="98"/>
      <c r="V967" s="98"/>
      <c r="W967" s="98"/>
      <c r="X967" s="98"/>
      <c r="Y967" s="98"/>
      <c r="Z967" s="98"/>
      <c r="AA967" s="98"/>
      <c r="AB967" s="98"/>
      <c r="AC967" s="98"/>
      <c r="AD967" s="98"/>
      <c r="AE967" s="98"/>
      <c r="AF967" s="98"/>
      <c r="AG967" s="98"/>
    </row>
    <row r="968" spans="1:33" ht="15" customHeight="1">
      <c r="A968" s="286"/>
      <c r="B968" s="98"/>
      <c r="C968" s="98"/>
      <c r="D968" s="98"/>
      <c r="E968" s="98"/>
      <c r="F968" s="98"/>
      <c r="G968" s="98"/>
      <c r="H968" s="98"/>
      <c r="I968" s="98"/>
      <c r="J968" s="98"/>
      <c r="K968" s="98"/>
      <c r="L968" s="98"/>
      <c r="M968" s="98"/>
      <c r="N968" s="98"/>
      <c r="O968" s="98"/>
      <c r="P968" s="98"/>
      <c r="Q968" s="98"/>
      <c r="R968" s="98"/>
      <c r="S968" s="98"/>
      <c r="T968" s="98"/>
      <c r="U968" s="98"/>
      <c r="V968" s="98"/>
      <c r="W968" s="98"/>
      <c r="X968" s="98"/>
      <c r="Y968" s="98"/>
      <c r="Z968" s="98"/>
      <c r="AA968" s="98"/>
      <c r="AB968" s="98"/>
      <c r="AC968" s="98"/>
      <c r="AD968" s="98"/>
      <c r="AE968" s="98"/>
      <c r="AF968" s="98"/>
      <c r="AG968" s="98"/>
    </row>
    <row r="969" spans="1:33" ht="15" customHeight="1">
      <c r="A969" s="286"/>
      <c r="B969" s="98"/>
      <c r="C969" s="98"/>
      <c r="D969" s="98"/>
      <c r="E969" s="98"/>
      <c r="F969" s="98"/>
      <c r="G969" s="98"/>
      <c r="H969" s="98"/>
      <c r="I969" s="98"/>
      <c r="J969" s="98"/>
      <c r="K969" s="98"/>
      <c r="L969" s="98"/>
      <c r="M969" s="98"/>
      <c r="N969" s="98"/>
      <c r="O969" s="98"/>
      <c r="P969" s="98"/>
      <c r="Q969" s="98"/>
      <c r="R969" s="98"/>
      <c r="S969" s="98"/>
      <c r="T969" s="98"/>
      <c r="U969" s="98"/>
      <c r="V969" s="98"/>
      <c r="W969" s="98"/>
      <c r="X969" s="98"/>
      <c r="Y969" s="98"/>
      <c r="Z969" s="98"/>
      <c r="AA969" s="98"/>
      <c r="AB969" s="98"/>
      <c r="AC969" s="98"/>
      <c r="AD969" s="98"/>
      <c r="AE969" s="98"/>
      <c r="AF969" s="98"/>
      <c r="AG969" s="98"/>
    </row>
    <row r="970" spans="1:33" ht="15" customHeight="1">
      <c r="A970" s="286"/>
      <c r="B970" s="98"/>
      <c r="C970" s="98"/>
      <c r="D970" s="98"/>
      <c r="E970" s="98"/>
      <c r="F970" s="98"/>
      <c r="G970" s="98"/>
      <c r="H970" s="98"/>
      <c r="I970" s="98"/>
      <c r="J970" s="98"/>
      <c r="K970" s="98"/>
      <c r="L970" s="98"/>
      <c r="M970" s="98"/>
      <c r="N970" s="98"/>
      <c r="O970" s="98"/>
      <c r="P970" s="98"/>
      <c r="Q970" s="98"/>
      <c r="R970" s="98"/>
      <c r="S970" s="98"/>
      <c r="T970" s="98"/>
      <c r="U970" s="98"/>
      <c r="V970" s="98"/>
      <c r="W970" s="98"/>
      <c r="X970" s="98"/>
      <c r="Y970" s="98"/>
      <c r="Z970" s="98"/>
      <c r="AA970" s="98"/>
      <c r="AB970" s="98"/>
      <c r="AC970" s="98"/>
      <c r="AD970" s="98"/>
      <c r="AE970" s="98"/>
      <c r="AF970" s="98"/>
      <c r="AG970" s="98"/>
    </row>
    <row r="971" spans="1:33" ht="15" customHeight="1">
      <c r="A971" s="286"/>
      <c r="B971" s="98"/>
      <c r="C971" s="98"/>
      <c r="D971" s="98"/>
      <c r="E971" s="98"/>
      <c r="F971" s="98"/>
      <c r="G971" s="98"/>
      <c r="H971" s="98"/>
      <c r="I971" s="98"/>
      <c r="J971" s="98"/>
      <c r="K971" s="98"/>
      <c r="L971" s="98"/>
      <c r="M971" s="98"/>
      <c r="N971" s="98"/>
      <c r="O971" s="98"/>
      <c r="P971" s="98"/>
      <c r="Q971" s="98"/>
      <c r="R971" s="98"/>
      <c r="S971" s="98"/>
      <c r="T971" s="98"/>
      <c r="U971" s="98"/>
      <c r="V971" s="98"/>
      <c r="W971" s="98"/>
      <c r="X971" s="98"/>
      <c r="Y971" s="98"/>
      <c r="Z971" s="98"/>
      <c r="AA971" s="98"/>
      <c r="AB971" s="98"/>
      <c r="AC971" s="98"/>
      <c r="AD971" s="98"/>
      <c r="AE971" s="98"/>
      <c r="AF971" s="98"/>
      <c r="AG971" s="98"/>
    </row>
    <row r="972" spans="1:33" ht="15" customHeight="1">
      <c r="A972" s="286"/>
      <c r="B972" s="98"/>
      <c r="C972" s="98"/>
      <c r="D972" s="98"/>
      <c r="E972" s="98"/>
      <c r="F972" s="98"/>
      <c r="G972" s="98"/>
      <c r="H972" s="98"/>
      <c r="I972" s="98"/>
      <c r="J972" s="98"/>
      <c r="K972" s="98"/>
      <c r="L972" s="98"/>
      <c r="M972" s="98"/>
      <c r="N972" s="98"/>
      <c r="O972" s="98"/>
      <c r="P972" s="98"/>
      <c r="Q972" s="98"/>
      <c r="R972" s="98"/>
      <c r="S972" s="98"/>
      <c r="T972" s="98"/>
      <c r="U972" s="98"/>
      <c r="V972" s="98"/>
      <c r="W972" s="98"/>
      <c r="X972" s="98"/>
      <c r="Y972" s="98"/>
      <c r="Z972" s="98"/>
      <c r="AA972" s="98"/>
      <c r="AB972" s="98"/>
      <c r="AC972" s="98"/>
      <c r="AD972" s="98"/>
      <c r="AE972" s="98"/>
      <c r="AF972" s="98"/>
      <c r="AG972" s="98"/>
    </row>
    <row r="973" spans="1:33" ht="15" customHeight="1">
      <c r="A973" s="286"/>
      <c r="B973" s="98"/>
      <c r="C973" s="98"/>
      <c r="D973" s="98"/>
      <c r="E973" s="98"/>
      <c r="F973" s="98"/>
      <c r="G973" s="98"/>
      <c r="H973" s="98"/>
      <c r="I973" s="98"/>
      <c r="J973" s="98"/>
      <c r="K973" s="98"/>
      <c r="L973" s="98"/>
      <c r="M973" s="98"/>
      <c r="N973" s="98"/>
      <c r="O973" s="98"/>
      <c r="P973" s="98"/>
      <c r="Q973" s="98"/>
      <c r="R973" s="98"/>
      <c r="S973" s="98"/>
      <c r="T973" s="98"/>
      <c r="U973" s="98"/>
      <c r="V973" s="98"/>
      <c r="W973" s="98"/>
      <c r="X973" s="98"/>
      <c r="Y973" s="98"/>
      <c r="Z973" s="98"/>
      <c r="AA973" s="98"/>
      <c r="AB973" s="98"/>
      <c r="AC973" s="98"/>
      <c r="AD973" s="98"/>
      <c r="AE973" s="98"/>
      <c r="AF973" s="98"/>
      <c r="AG973" s="98"/>
    </row>
    <row r="974" spans="1:33" ht="15" customHeight="1">
      <c r="A974" s="286"/>
      <c r="B974" s="98"/>
      <c r="C974" s="98"/>
      <c r="D974" s="98"/>
      <c r="E974" s="98"/>
      <c r="F974" s="98"/>
      <c r="G974" s="98"/>
      <c r="H974" s="98"/>
      <c r="I974" s="98"/>
      <c r="J974" s="98"/>
      <c r="K974" s="98"/>
      <c r="L974" s="98"/>
      <c r="M974" s="98"/>
      <c r="N974" s="98"/>
      <c r="O974" s="98"/>
      <c r="P974" s="98"/>
      <c r="Q974" s="98"/>
      <c r="R974" s="98"/>
      <c r="S974" s="98"/>
      <c r="T974" s="98"/>
      <c r="U974" s="98"/>
      <c r="V974" s="98"/>
      <c r="W974" s="98"/>
      <c r="X974" s="98"/>
      <c r="Y974" s="98"/>
      <c r="Z974" s="98"/>
      <c r="AA974" s="98"/>
      <c r="AB974" s="98"/>
      <c r="AC974" s="98"/>
      <c r="AD974" s="98"/>
      <c r="AE974" s="98"/>
      <c r="AF974" s="98"/>
      <c r="AG974" s="98"/>
    </row>
    <row r="975" spans="1:33" ht="15" customHeight="1">
      <c r="A975" s="286"/>
      <c r="B975" s="98"/>
      <c r="C975" s="98"/>
      <c r="D975" s="98"/>
      <c r="E975" s="98"/>
      <c r="F975" s="98"/>
      <c r="G975" s="98"/>
      <c r="H975" s="98"/>
      <c r="I975" s="98"/>
      <c r="J975" s="98"/>
      <c r="K975" s="98"/>
      <c r="L975" s="98"/>
      <c r="M975" s="98"/>
      <c r="N975" s="98"/>
      <c r="O975" s="98"/>
      <c r="P975" s="98"/>
      <c r="Q975" s="98"/>
      <c r="R975" s="98"/>
      <c r="S975" s="98"/>
      <c r="T975" s="98"/>
      <c r="U975" s="98"/>
      <c r="V975" s="98"/>
      <c r="W975" s="98"/>
      <c r="X975" s="98"/>
      <c r="Y975" s="98"/>
      <c r="Z975" s="98"/>
      <c r="AA975" s="98"/>
      <c r="AB975" s="98"/>
      <c r="AC975" s="98"/>
      <c r="AD975" s="98"/>
      <c r="AE975" s="98"/>
      <c r="AF975" s="98"/>
      <c r="AG975" s="98"/>
    </row>
    <row r="976" spans="1:33" ht="15" customHeight="1">
      <c r="A976" s="286"/>
      <c r="B976" s="98"/>
      <c r="C976" s="98"/>
      <c r="D976" s="98"/>
      <c r="E976" s="98"/>
      <c r="F976" s="98"/>
      <c r="G976" s="98"/>
      <c r="H976" s="98"/>
      <c r="I976" s="98"/>
      <c r="J976" s="98"/>
      <c r="K976" s="98"/>
      <c r="L976" s="98"/>
      <c r="M976" s="98"/>
      <c r="N976" s="98"/>
      <c r="O976" s="98"/>
      <c r="P976" s="98"/>
      <c r="Q976" s="98"/>
      <c r="R976" s="98"/>
      <c r="S976" s="98"/>
      <c r="T976" s="98"/>
      <c r="U976" s="98"/>
      <c r="V976" s="98"/>
      <c r="W976" s="98"/>
      <c r="X976" s="98"/>
      <c r="Y976" s="98"/>
      <c r="Z976" s="98"/>
      <c r="AA976" s="98"/>
      <c r="AB976" s="98"/>
      <c r="AC976" s="98"/>
      <c r="AD976" s="98"/>
      <c r="AE976" s="98"/>
      <c r="AF976" s="98"/>
      <c r="AG976" s="98"/>
    </row>
    <row r="977" spans="1:33" ht="15" customHeight="1">
      <c r="A977" s="286"/>
      <c r="B977" s="98"/>
      <c r="C977" s="98"/>
      <c r="D977" s="98"/>
      <c r="E977" s="98"/>
      <c r="F977" s="98"/>
      <c r="G977" s="98"/>
      <c r="H977" s="98"/>
      <c r="I977" s="98"/>
      <c r="J977" s="98"/>
      <c r="K977" s="98"/>
      <c r="L977" s="98"/>
      <c r="M977" s="98"/>
      <c r="N977" s="98"/>
      <c r="O977" s="98"/>
      <c r="P977" s="98"/>
      <c r="Q977" s="98"/>
      <c r="R977" s="98"/>
      <c r="S977" s="98"/>
      <c r="T977" s="98"/>
      <c r="U977" s="98"/>
      <c r="V977" s="98"/>
      <c r="W977" s="98"/>
      <c r="X977" s="98"/>
      <c r="Y977" s="98"/>
      <c r="Z977" s="98"/>
      <c r="AA977" s="98"/>
      <c r="AB977" s="98"/>
      <c r="AC977" s="98"/>
      <c r="AD977" s="98"/>
      <c r="AE977" s="98"/>
      <c r="AF977" s="98"/>
      <c r="AG977" s="98"/>
    </row>
    <row r="978" spans="1:33" ht="15" customHeight="1">
      <c r="A978" s="286"/>
      <c r="B978" s="98"/>
      <c r="C978" s="98"/>
      <c r="D978" s="98"/>
      <c r="E978" s="98"/>
      <c r="F978" s="98"/>
      <c r="G978" s="98"/>
      <c r="H978" s="98"/>
      <c r="I978" s="98"/>
      <c r="J978" s="98"/>
      <c r="K978" s="98"/>
      <c r="L978" s="98"/>
      <c r="M978" s="98"/>
      <c r="N978" s="98"/>
      <c r="O978" s="98"/>
      <c r="P978" s="98"/>
      <c r="Q978" s="98"/>
      <c r="R978" s="98"/>
      <c r="S978" s="98"/>
      <c r="T978" s="98"/>
      <c r="U978" s="98"/>
      <c r="V978" s="98"/>
      <c r="W978" s="98"/>
      <c r="X978" s="98"/>
      <c r="Y978" s="98"/>
      <c r="Z978" s="98"/>
      <c r="AA978" s="98"/>
      <c r="AB978" s="98"/>
      <c r="AC978" s="98"/>
      <c r="AD978" s="98"/>
      <c r="AE978" s="98"/>
      <c r="AF978" s="98"/>
      <c r="AG978" s="98"/>
    </row>
    <row r="979" spans="1:33" ht="15" customHeight="1">
      <c r="A979" s="286"/>
      <c r="B979" s="98"/>
      <c r="C979" s="98"/>
      <c r="D979" s="98"/>
      <c r="E979" s="98"/>
      <c r="F979" s="98"/>
      <c r="G979" s="98"/>
      <c r="H979" s="98"/>
      <c r="I979" s="98"/>
      <c r="J979" s="98"/>
      <c r="K979" s="98"/>
      <c r="L979" s="98"/>
      <c r="M979" s="98"/>
      <c r="N979" s="98"/>
      <c r="O979" s="98"/>
      <c r="P979" s="98"/>
      <c r="Q979" s="98"/>
      <c r="R979" s="98"/>
      <c r="S979" s="98"/>
      <c r="T979" s="98"/>
      <c r="U979" s="98"/>
      <c r="V979" s="98"/>
      <c r="W979" s="98"/>
      <c r="X979" s="98"/>
      <c r="Y979" s="98"/>
      <c r="Z979" s="98"/>
      <c r="AA979" s="98"/>
      <c r="AB979" s="98"/>
      <c r="AC979" s="98"/>
      <c r="AD979" s="98"/>
      <c r="AE979" s="98"/>
      <c r="AF979" s="98"/>
      <c r="AG979" s="98"/>
    </row>
    <row r="980" spans="1:33" ht="15" customHeight="1">
      <c r="A980" s="286"/>
      <c r="B980" s="98"/>
      <c r="C980" s="98"/>
      <c r="D980" s="98"/>
      <c r="E980" s="98"/>
      <c r="F980" s="98"/>
      <c r="G980" s="98"/>
      <c r="H980" s="98"/>
      <c r="I980" s="98"/>
      <c r="J980" s="98"/>
      <c r="K980" s="98"/>
      <c r="L980" s="98"/>
      <c r="M980" s="98"/>
      <c r="N980" s="98"/>
      <c r="O980" s="98"/>
      <c r="P980" s="98"/>
      <c r="Q980" s="98"/>
      <c r="R980" s="98"/>
      <c r="S980" s="98"/>
      <c r="T980" s="98"/>
      <c r="U980" s="98"/>
      <c r="V980" s="98"/>
      <c r="W980" s="98"/>
      <c r="X980" s="98"/>
      <c r="Y980" s="98"/>
      <c r="Z980" s="98"/>
      <c r="AA980" s="98"/>
      <c r="AB980" s="98"/>
      <c r="AC980" s="98"/>
      <c r="AD980" s="98"/>
      <c r="AE980" s="98"/>
      <c r="AF980" s="98"/>
      <c r="AG980" s="98"/>
    </row>
    <row r="981" spans="1:33" ht="15" customHeight="1">
      <c r="A981" s="286"/>
      <c r="B981" s="98"/>
      <c r="C981" s="98"/>
      <c r="D981" s="98"/>
      <c r="E981" s="98"/>
      <c r="F981" s="98"/>
      <c r="G981" s="98"/>
      <c r="H981" s="98"/>
      <c r="I981" s="98"/>
      <c r="J981" s="98"/>
      <c r="K981" s="98"/>
      <c r="L981" s="98"/>
      <c r="M981" s="98"/>
      <c r="N981" s="98"/>
      <c r="O981" s="98"/>
      <c r="P981" s="98"/>
      <c r="Q981" s="98"/>
      <c r="R981" s="98"/>
      <c r="S981" s="98"/>
      <c r="T981" s="98"/>
      <c r="U981" s="98"/>
      <c r="V981" s="98"/>
      <c r="W981" s="98"/>
      <c r="X981" s="98"/>
      <c r="Y981" s="98"/>
      <c r="Z981" s="98"/>
      <c r="AA981" s="98"/>
      <c r="AB981" s="98"/>
      <c r="AC981" s="98"/>
      <c r="AD981" s="98"/>
      <c r="AE981" s="98"/>
      <c r="AF981" s="98"/>
      <c r="AG981" s="98"/>
    </row>
    <row r="982" spans="1:33" ht="15" customHeight="1">
      <c r="A982" s="286"/>
      <c r="B982" s="98"/>
      <c r="C982" s="98"/>
      <c r="D982" s="98"/>
      <c r="E982" s="98"/>
      <c r="F982" s="98"/>
      <c r="G982" s="98"/>
      <c r="H982" s="98"/>
      <c r="I982" s="98"/>
      <c r="J982" s="98"/>
      <c r="K982" s="98"/>
      <c r="L982" s="98"/>
      <c r="M982" s="98"/>
      <c r="N982" s="98"/>
      <c r="O982" s="98"/>
      <c r="P982" s="98"/>
      <c r="Q982" s="98"/>
      <c r="R982" s="98"/>
      <c r="S982" s="98"/>
      <c r="T982" s="98"/>
      <c r="U982" s="98"/>
      <c r="V982" s="98"/>
      <c r="W982" s="98"/>
      <c r="X982" s="98"/>
      <c r="Y982" s="98"/>
      <c r="Z982" s="98"/>
      <c r="AA982" s="98"/>
      <c r="AB982" s="98"/>
      <c r="AC982" s="98"/>
      <c r="AD982" s="98"/>
      <c r="AE982" s="98"/>
      <c r="AF982" s="98"/>
      <c r="AG982" s="98"/>
    </row>
    <row r="983" spans="1:33" ht="15" customHeight="1">
      <c r="A983" s="286"/>
      <c r="B983" s="98"/>
      <c r="C983" s="98"/>
      <c r="D983" s="98"/>
      <c r="E983" s="98"/>
      <c r="F983" s="98"/>
      <c r="G983" s="98"/>
      <c r="H983" s="98"/>
      <c r="I983" s="98"/>
      <c r="J983" s="98"/>
      <c r="K983" s="98"/>
      <c r="L983" s="98"/>
      <c r="M983" s="98"/>
      <c r="N983" s="98"/>
      <c r="O983" s="98"/>
      <c r="P983" s="98"/>
      <c r="Q983" s="98"/>
      <c r="R983" s="98"/>
      <c r="S983" s="98"/>
      <c r="T983" s="98"/>
      <c r="U983" s="98"/>
      <c r="V983" s="98"/>
      <c r="W983" s="98"/>
      <c r="X983" s="98"/>
      <c r="Y983" s="98"/>
      <c r="Z983" s="98"/>
      <c r="AA983" s="98"/>
      <c r="AB983" s="98"/>
      <c r="AC983" s="98"/>
      <c r="AD983" s="98"/>
      <c r="AE983" s="98"/>
      <c r="AF983" s="98"/>
      <c r="AG983" s="98"/>
    </row>
    <row r="984" spans="1:33" ht="15" customHeight="1">
      <c r="A984" s="286"/>
      <c r="B984" s="98"/>
      <c r="C984" s="98"/>
      <c r="D984" s="98"/>
      <c r="E984" s="98"/>
      <c r="F984" s="98"/>
      <c r="G984" s="98"/>
      <c r="H984" s="98"/>
      <c r="I984" s="98"/>
      <c r="J984" s="98"/>
      <c r="K984" s="98"/>
      <c r="L984" s="98"/>
      <c r="M984" s="98"/>
      <c r="N984" s="98"/>
      <c r="O984" s="98"/>
      <c r="P984" s="98"/>
      <c r="Q984" s="98"/>
      <c r="R984" s="98"/>
      <c r="S984" s="98"/>
      <c r="T984" s="98"/>
      <c r="U984" s="98"/>
      <c r="V984" s="98"/>
      <c r="W984" s="98"/>
      <c r="X984" s="98"/>
      <c r="Y984" s="98"/>
      <c r="Z984" s="98"/>
      <c r="AA984" s="98"/>
      <c r="AB984" s="98"/>
      <c r="AC984" s="98"/>
      <c r="AD984" s="98"/>
      <c r="AE984" s="98"/>
      <c r="AF984" s="98"/>
      <c r="AG984" s="98"/>
    </row>
    <row r="985" spans="1:33" ht="15" customHeight="1">
      <c r="A985" s="286"/>
      <c r="B985" s="98"/>
      <c r="C985" s="98"/>
      <c r="D985" s="98"/>
      <c r="E985" s="98"/>
      <c r="F985" s="98"/>
      <c r="G985" s="98"/>
      <c r="H985" s="98"/>
      <c r="I985" s="98"/>
      <c r="J985" s="98"/>
      <c r="K985" s="98"/>
      <c r="L985" s="98"/>
      <c r="M985" s="98"/>
      <c r="N985" s="98"/>
      <c r="O985" s="98"/>
      <c r="P985" s="98"/>
      <c r="Q985" s="98"/>
      <c r="R985" s="98"/>
      <c r="S985" s="98"/>
      <c r="T985" s="98"/>
      <c r="U985" s="98"/>
      <c r="V985" s="98"/>
      <c r="W985" s="98"/>
      <c r="X985" s="98"/>
      <c r="Y985" s="98"/>
      <c r="Z985" s="98"/>
      <c r="AA985" s="98"/>
      <c r="AB985" s="98"/>
      <c r="AC985" s="98"/>
      <c r="AD985" s="98"/>
      <c r="AE985" s="98"/>
      <c r="AF985" s="98"/>
      <c r="AG985" s="98"/>
    </row>
    <row r="986" spans="1:33" ht="15" customHeight="1">
      <c r="A986" s="286"/>
      <c r="B986" s="98"/>
      <c r="C986" s="98"/>
      <c r="D986" s="98"/>
      <c r="E986" s="98"/>
      <c r="F986" s="98"/>
      <c r="G986" s="98"/>
      <c r="H986" s="98"/>
      <c r="I986" s="98"/>
      <c r="J986" s="98"/>
      <c r="K986" s="98"/>
      <c r="L986" s="98"/>
      <c r="M986" s="98"/>
      <c r="N986" s="98"/>
      <c r="O986" s="98"/>
      <c r="P986" s="98"/>
      <c r="Q986" s="98"/>
      <c r="R986" s="98"/>
      <c r="S986" s="98"/>
      <c r="T986" s="98"/>
      <c r="U986" s="98"/>
      <c r="V986" s="98"/>
      <c r="W986" s="98"/>
      <c r="X986" s="98"/>
      <c r="Y986" s="98"/>
      <c r="Z986" s="98"/>
      <c r="AA986" s="98"/>
      <c r="AB986" s="98"/>
      <c r="AC986" s="98"/>
      <c r="AD986" s="98"/>
      <c r="AE986" s="98"/>
      <c r="AF986" s="98"/>
      <c r="AG986" s="98"/>
    </row>
    <row r="987" spans="1:33" ht="15" customHeight="1">
      <c r="A987" s="286"/>
      <c r="B987" s="98"/>
      <c r="C987" s="98"/>
      <c r="D987" s="98"/>
      <c r="E987" s="98"/>
      <c r="F987" s="98"/>
      <c r="G987" s="98"/>
      <c r="H987" s="98"/>
      <c r="I987" s="98"/>
      <c r="J987" s="98"/>
      <c r="K987" s="98"/>
      <c r="L987" s="98"/>
      <c r="M987" s="98"/>
      <c r="N987" s="98"/>
      <c r="O987" s="98"/>
      <c r="P987" s="98"/>
      <c r="Q987" s="98"/>
      <c r="R987" s="98"/>
      <c r="S987" s="98"/>
      <c r="T987" s="98"/>
      <c r="U987" s="98"/>
      <c r="V987" s="98"/>
      <c r="W987" s="98"/>
      <c r="X987" s="98"/>
      <c r="Y987" s="98"/>
      <c r="Z987" s="98"/>
      <c r="AA987" s="98"/>
      <c r="AB987" s="98"/>
      <c r="AC987" s="98"/>
      <c r="AD987" s="98"/>
      <c r="AE987" s="98"/>
      <c r="AF987" s="98"/>
      <c r="AG987" s="98"/>
    </row>
    <row r="988" spans="1:33" ht="15" customHeight="1">
      <c r="A988" s="286"/>
      <c r="B988" s="98"/>
      <c r="C988" s="98"/>
      <c r="D988" s="98"/>
      <c r="E988" s="98"/>
      <c r="F988" s="98"/>
      <c r="G988" s="98"/>
      <c r="H988" s="98"/>
      <c r="I988" s="98"/>
      <c r="J988" s="98"/>
      <c r="K988" s="98"/>
      <c r="L988" s="98"/>
      <c r="M988" s="98"/>
      <c r="N988" s="98"/>
      <c r="O988" s="98"/>
      <c r="P988" s="98"/>
      <c r="Q988" s="98"/>
      <c r="R988" s="98"/>
      <c r="S988" s="98"/>
      <c r="T988" s="98"/>
      <c r="U988" s="98"/>
      <c r="V988" s="98"/>
      <c r="W988" s="98"/>
      <c r="X988" s="98"/>
      <c r="Y988" s="98"/>
      <c r="Z988" s="98"/>
      <c r="AA988" s="98"/>
      <c r="AB988" s="98"/>
      <c r="AC988" s="98"/>
      <c r="AD988" s="98"/>
      <c r="AE988" s="98"/>
      <c r="AF988" s="98"/>
      <c r="AG988" s="98"/>
    </row>
    <row r="989" spans="1:33" ht="15" customHeight="1">
      <c r="A989" s="286"/>
      <c r="B989" s="98"/>
      <c r="C989" s="98"/>
      <c r="D989" s="98"/>
      <c r="E989" s="98"/>
      <c r="F989" s="98"/>
      <c r="G989" s="98"/>
      <c r="H989" s="98"/>
      <c r="I989" s="98"/>
      <c r="J989" s="98"/>
      <c r="K989" s="98"/>
      <c r="L989" s="98"/>
      <c r="M989" s="98"/>
      <c r="N989" s="98"/>
      <c r="O989" s="98"/>
      <c r="P989" s="98"/>
      <c r="Q989" s="98"/>
      <c r="R989" s="98"/>
      <c r="S989" s="98"/>
      <c r="T989" s="98"/>
      <c r="U989" s="98"/>
      <c r="V989" s="98"/>
      <c r="W989" s="98"/>
      <c r="X989" s="98"/>
      <c r="Y989" s="98"/>
      <c r="Z989" s="98"/>
      <c r="AA989" s="98"/>
      <c r="AB989" s="98"/>
      <c r="AC989" s="98"/>
      <c r="AD989" s="98"/>
      <c r="AE989" s="98"/>
      <c r="AF989" s="98"/>
      <c r="AG989" s="98"/>
    </row>
    <row r="990" spans="1:33" ht="15" customHeight="1">
      <c r="A990" s="286"/>
      <c r="B990" s="98"/>
      <c r="C990" s="98"/>
      <c r="D990" s="98"/>
      <c r="E990" s="98"/>
      <c r="F990" s="98"/>
      <c r="G990" s="98"/>
      <c r="H990" s="98"/>
      <c r="I990" s="98"/>
      <c r="J990" s="98"/>
      <c r="K990" s="98"/>
      <c r="L990" s="98"/>
      <c r="M990" s="98"/>
      <c r="N990" s="98"/>
      <c r="O990" s="98"/>
      <c r="P990" s="98"/>
      <c r="Q990" s="98"/>
      <c r="R990" s="98"/>
      <c r="S990" s="98"/>
      <c r="T990" s="98"/>
      <c r="U990" s="98"/>
      <c r="V990" s="98"/>
      <c r="W990" s="98"/>
      <c r="X990" s="98"/>
      <c r="Y990" s="98"/>
      <c r="Z990" s="98"/>
      <c r="AA990" s="98"/>
      <c r="AB990" s="98"/>
      <c r="AC990" s="98"/>
      <c r="AD990" s="98"/>
      <c r="AE990" s="98"/>
      <c r="AF990" s="98"/>
      <c r="AG990" s="98"/>
    </row>
    <row r="991" spans="1:33" ht="15" customHeight="1">
      <c r="A991" s="286"/>
      <c r="B991" s="98"/>
      <c r="C991" s="98"/>
      <c r="D991" s="98"/>
      <c r="E991" s="98"/>
      <c r="F991" s="98"/>
      <c r="G991" s="98"/>
      <c r="H991" s="98"/>
      <c r="I991" s="98"/>
      <c r="J991" s="98"/>
      <c r="K991" s="98"/>
      <c r="L991" s="98"/>
      <c r="M991" s="98"/>
      <c r="N991" s="98"/>
      <c r="O991" s="98"/>
      <c r="P991" s="98"/>
      <c r="Q991" s="98"/>
      <c r="R991" s="98"/>
      <c r="S991" s="98"/>
      <c r="T991" s="98"/>
      <c r="U991" s="98"/>
      <c r="V991" s="98"/>
      <c r="W991" s="98"/>
      <c r="X991" s="98"/>
      <c r="Y991" s="98"/>
      <c r="Z991" s="98"/>
      <c r="AA991" s="98"/>
      <c r="AB991" s="98"/>
      <c r="AC991" s="98"/>
      <c r="AD991" s="98"/>
      <c r="AE991" s="98"/>
      <c r="AF991" s="98"/>
      <c r="AG991" s="98"/>
    </row>
    <row r="992" spans="1:33" ht="15" customHeight="1">
      <c r="A992" s="286"/>
      <c r="B992" s="98"/>
      <c r="C992" s="98"/>
      <c r="D992" s="98"/>
      <c r="E992" s="98"/>
      <c r="F992" s="98"/>
      <c r="G992" s="98"/>
      <c r="H992" s="98"/>
      <c r="I992" s="98"/>
      <c r="J992" s="98"/>
      <c r="K992" s="98"/>
      <c r="L992" s="98"/>
      <c r="M992" s="98"/>
      <c r="N992" s="98"/>
      <c r="O992" s="98"/>
      <c r="P992" s="98"/>
      <c r="Q992" s="98"/>
      <c r="R992" s="98"/>
      <c r="S992" s="98"/>
      <c r="T992" s="98"/>
      <c r="U992" s="98"/>
      <c r="V992" s="98"/>
      <c r="W992" s="98"/>
      <c r="X992" s="98"/>
      <c r="Y992" s="98"/>
      <c r="Z992" s="98"/>
      <c r="AA992" s="98"/>
      <c r="AB992" s="98"/>
      <c r="AC992" s="98"/>
      <c r="AD992" s="98"/>
      <c r="AE992" s="98"/>
      <c r="AF992" s="98"/>
      <c r="AG992" s="98"/>
    </row>
    <row r="993" spans="1:33" ht="15" customHeight="1">
      <c r="A993" s="286"/>
      <c r="B993" s="98"/>
      <c r="C993" s="98"/>
      <c r="D993" s="98"/>
      <c r="E993" s="98"/>
      <c r="F993" s="98"/>
      <c r="G993" s="98"/>
      <c r="H993" s="98"/>
      <c r="I993" s="98"/>
      <c r="J993" s="98"/>
      <c r="K993" s="98"/>
      <c r="L993" s="98"/>
      <c r="M993" s="98"/>
      <c r="N993" s="98"/>
      <c r="O993" s="98"/>
      <c r="P993" s="98"/>
      <c r="Q993" s="98"/>
      <c r="R993" s="98"/>
      <c r="S993" s="98"/>
      <c r="T993" s="98"/>
      <c r="U993" s="98"/>
      <c r="V993" s="98"/>
      <c r="W993" s="98"/>
      <c r="X993" s="98"/>
      <c r="Y993" s="98"/>
      <c r="Z993" s="98"/>
      <c r="AA993" s="98"/>
      <c r="AB993" s="98"/>
      <c r="AC993" s="98"/>
      <c r="AD993" s="98"/>
      <c r="AE993" s="98"/>
      <c r="AF993" s="98"/>
      <c r="AG993" s="98"/>
    </row>
    <row r="994" spans="1:33" ht="15" customHeight="1">
      <c r="A994" s="286"/>
      <c r="B994" s="98"/>
      <c r="C994" s="98"/>
      <c r="D994" s="98"/>
      <c r="E994" s="98"/>
      <c r="F994" s="98"/>
      <c r="G994" s="98"/>
      <c r="H994" s="98"/>
      <c r="I994" s="98"/>
      <c r="J994" s="98"/>
      <c r="K994" s="98"/>
      <c r="L994" s="98"/>
      <c r="M994" s="98"/>
      <c r="N994" s="98"/>
      <c r="O994" s="98"/>
      <c r="P994" s="98"/>
      <c r="Q994" s="98"/>
      <c r="R994" s="98"/>
      <c r="S994" s="98"/>
      <c r="T994" s="98"/>
      <c r="U994" s="98"/>
      <c r="V994" s="98"/>
      <c r="W994" s="98"/>
      <c r="X994" s="98"/>
      <c r="Y994" s="98"/>
      <c r="Z994" s="98"/>
      <c r="AA994" s="98"/>
      <c r="AB994" s="98"/>
      <c r="AC994" s="98"/>
      <c r="AD994" s="98"/>
      <c r="AE994" s="98"/>
      <c r="AF994" s="98"/>
      <c r="AG994" s="98"/>
    </row>
    <row r="995" spans="1:33" ht="15" customHeight="1">
      <c r="A995" s="286"/>
      <c r="B995" s="98"/>
      <c r="C995" s="98"/>
      <c r="D995" s="98"/>
      <c r="E995" s="98"/>
      <c r="F995" s="98"/>
      <c r="G995" s="98"/>
      <c r="H995" s="98"/>
      <c r="I995" s="98"/>
      <c r="J995" s="98"/>
      <c r="K995" s="98"/>
      <c r="L995" s="98"/>
      <c r="M995" s="98"/>
      <c r="N995" s="98"/>
      <c r="O995" s="98"/>
      <c r="P995" s="98"/>
      <c r="Q995" s="98"/>
      <c r="R995" s="98"/>
      <c r="S995" s="98"/>
      <c r="T995" s="98"/>
      <c r="U995" s="98"/>
      <c r="V995" s="98"/>
      <c r="W995" s="98"/>
      <c r="X995" s="98"/>
      <c r="Y995" s="98"/>
      <c r="Z995" s="98"/>
      <c r="AA995" s="98"/>
      <c r="AB995" s="98"/>
      <c r="AC995" s="98"/>
      <c r="AD995" s="98"/>
      <c r="AE995" s="98"/>
      <c r="AF995" s="98"/>
      <c r="AG995" s="98"/>
    </row>
    <row r="996" spans="1:33" ht="15" customHeight="1">
      <c r="A996" s="286"/>
      <c r="B996" s="98"/>
      <c r="C996" s="98"/>
      <c r="D996" s="98"/>
      <c r="E996" s="98"/>
      <c r="F996" s="98"/>
      <c r="G996" s="98"/>
      <c r="H996" s="98"/>
      <c r="I996" s="98"/>
      <c r="J996" s="98"/>
      <c r="K996" s="98"/>
      <c r="L996" s="98"/>
      <c r="M996" s="98"/>
      <c r="N996" s="98"/>
      <c r="O996" s="98"/>
      <c r="P996" s="98"/>
      <c r="Q996" s="98"/>
      <c r="R996" s="98"/>
      <c r="S996" s="98"/>
      <c r="T996" s="98"/>
      <c r="U996" s="98"/>
      <c r="V996" s="98"/>
      <c r="W996" s="98"/>
      <c r="X996" s="98"/>
      <c r="Y996" s="98"/>
      <c r="Z996" s="98"/>
      <c r="AA996" s="98"/>
      <c r="AB996" s="98"/>
      <c r="AC996" s="98"/>
      <c r="AD996" s="98"/>
      <c r="AE996" s="98"/>
      <c r="AF996" s="98"/>
      <c r="AG996" s="98"/>
    </row>
    <row r="997" spans="1:33" ht="15" customHeight="1">
      <c r="A997" s="286"/>
      <c r="B997" s="98"/>
      <c r="C997" s="98"/>
      <c r="D997" s="98"/>
      <c r="E997" s="98"/>
      <c r="F997" s="98"/>
      <c r="G997" s="98"/>
      <c r="H997" s="98"/>
      <c r="I997" s="98"/>
      <c r="J997" s="98"/>
      <c r="K997" s="98"/>
      <c r="L997" s="98"/>
      <c r="M997" s="98"/>
      <c r="N997" s="98"/>
      <c r="O997" s="98"/>
      <c r="P997" s="98"/>
      <c r="Q997" s="98"/>
      <c r="R997" s="98"/>
      <c r="S997" s="98"/>
      <c r="T997" s="98"/>
      <c r="U997" s="98"/>
      <c r="V997" s="98"/>
      <c r="W997" s="98"/>
      <c r="X997" s="98"/>
      <c r="Y997" s="98"/>
      <c r="Z997" s="98"/>
      <c r="AA997" s="98"/>
      <c r="AB997" s="98"/>
      <c r="AC997" s="98"/>
      <c r="AD997" s="98"/>
      <c r="AE997" s="98"/>
      <c r="AF997" s="98"/>
      <c r="AG997" s="98"/>
    </row>
    <row r="998" spans="1:33" ht="15" customHeight="1">
      <c r="A998" s="286"/>
      <c r="B998" s="98"/>
      <c r="C998" s="98"/>
      <c r="D998" s="98"/>
      <c r="E998" s="98"/>
      <c r="F998" s="98"/>
      <c r="G998" s="98"/>
      <c r="H998" s="98"/>
      <c r="I998" s="98"/>
      <c r="J998" s="98"/>
      <c r="K998" s="98"/>
      <c r="L998" s="98"/>
      <c r="M998" s="98"/>
      <c r="N998" s="98"/>
      <c r="O998" s="98"/>
      <c r="P998" s="98"/>
      <c r="Q998" s="98"/>
      <c r="R998" s="98"/>
      <c r="S998" s="98"/>
      <c r="T998" s="98"/>
      <c r="U998" s="98"/>
      <c r="V998" s="98"/>
      <c r="W998" s="98"/>
      <c r="X998" s="98"/>
      <c r="Y998" s="98"/>
      <c r="Z998" s="98"/>
      <c r="AA998" s="98"/>
      <c r="AB998" s="98"/>
      <c r="AC998" s="98"/>
      <c r="AD998" s="98"/>
      <c r="AE998" s="98"/>
      <c r="AF998" s="98"/>
      <c r="AG998" s="98"/>
    </row>
    <row r="999" spans="1:33" ht="15" customHeight="1">
      <c r="A999" s="286"/>
      <c r="B999" s="98"/>
      <c r="C999" s="98"/>
      <c r="D999" s="98"/>
      <c r="E999" s="98"/>
      <c r="F999" s="98"/>
      <c r="G999" s="98"/>
      <c r="H999" s="98"/>
      <c r="I999" s="98"/>
      <c r="J999" s="98"/>
      <c r="K999" s="98"/>
      <c r="L999" s="98"/>
      <c r="M999" s="98"/>
      <c r="N999" s="98"/>
      <c r="O999" s="98"/>
      <c r="P999" s="98"/>
      <c r="Q999" s="98"/>
      <c r="R999" s="98"/>
      <c r="S999" s="98"/>
      <c r="T999" s="98"/>
      <c r="U999" s="98"/>
      <c r="V999" s="98"/>
      <c r="W999" s="98"/>
      <c r="X999" s="98"/>
      <c r="Y999" s="98"/>
      <c r="Z999" s="98"/>
      <c r="AA999" s="98"/>
      <c r="AB999" s="98"/>
      <c r="AC999" s="98"/>
      <c r="AD999" s="98"/>
      <c r="AE999" s="98"/>
      <c r="AF999" s="98"/>
      <c r="AG999" s="98"/>
    </row>
    <row r="1000" spans="1:33" ht="15" customHeight="1">
      <c r="A1000" s="286"/>
      <c r="B1000" s="98"/>
      <c r="C1000" s="98"/>
      <c r="D1000" s="98"/>
      <c r="E1000" s="98"/>
      <c r="F1000" s="98"/>
      <c r="G1000" s="98"/>
      <c r="H1000" s="98"/>
      <c r="I1000" s="98"/>
      <c r="J1000" s="98"/>
      <c r="K1000" s="98"/>
      <c r="L1000" s="98"/>
      <c r="M1000" s="98"/>
      <c r="N1000" s="98"/>
      <c r="O1000" s="98"/>
      <c r="P1000" s="98"/>
      <c r="Q1000" s="98"/>
      <c r="R1000" s="98"/>
      <c r="S1000" s="98"/>
      <c r="T1000" s="98"/>
      <c r="U1000" s="98"/>
      <c r="V1000" s="98"/>
      <c r="W1000" s="98"/>
      <c r="X1000" s="98"/>
      <c r="Y1000" s="98"/>
      <c r="Z1000" s="98"/>
      <c r="AA1000" s="98"/>
      <c r="AB1000" s="98"/>
      <c r="AC1000" s="98"/>
      <c r="AD1000" s="98"/>
      <c r="AE1000" s="98"/>
      <c r="AF1000" s="98"/>
      <c r="AG1000" s="98"/>
    </row>
    <row r="1001" spans="1:33" ht="15" customHeight="1">
      <c r="A1001" s="286"/>
      <c r="B1001" s="98"/>
      <c r="C1001" s="98"/>
      <c r="D1001" s="98"/>
      <c r="E1001" s="98"/>
      <c r="F1001" s="98"/>
      <c r="G1001" s="98"/>
      <c r="H1001" s="98"/>
      <c r="I1001" s="98"/>
      <c r="J1001" s="98"/>
      <c r="K1001" s="98"/>
      <c r="L1001" s="98"/>
      <c r="M1001" s="98"/>
      <c r="N1001" s="98"/>
      <c r="O1001" s="98"/>
      <c r="P1001" s="98"/>
      <c r="Q1001" s="98"/>
      <c r="R1001" s="98"/>
      <c r="S1001" s="98"/>
      <c r="T1001" s="98"/>
      <c r="U1001" s="98"/>
      <c r="V1001" s="98"/>
      <c r="W1001" s="98"/>
      <c r="X1001" s="98"/>
      <c r="Y1001" s="98"/>
      <c r="Z1001" s="98"/>
      <c r="AA1001" s="98"/>
      <c r="AB1001" s="98"/>
      <c r="AC1001" s="98"/>
      <c r="AD1001" s="98"/>
      <c r="AE1001" s="98"/>
      <c r="AF1001" s="98"/>
      <c r="AG1001" s="98"/>
    </row>
    <row r="1002" spans="1:33" ht="15" customHeight="1">
      <c r="A1002" s="286"/>
      <c r="B1002" s="98"/>
      <c r="C1002" s="98"/>
      <c r="D1002" s="98"/>
      <c r="E1002" s="98"/>
      <c r="F1002" s="98"/>
      <c r="G1002" s="98"/>
      <c r="H1002" s="98"/>
      <c r="I1002" s="98"/>
      <c r="J1002" s="98"/>
      <c r="K1002" s="98"/>
      <c r="L1002" s="98"/>
      <c r="M1002" s="98"/>
      <c r="N1002" s="98"/>
      <c r="O1002" s="98"/>
      <c r="P1002" s="98"/>
      <c r="Q1002" s="98"/>
      <c r="R1002" s="98"/>
      <c r="S1002" s="98"/>
      <c r="T1002" s="98"/>
      <c r="U1002" s="98"/>
      <c r="V1002" s="98"/>
      <c r="W1002" s="98"/>
      <c r="X1002" s="98"/>
      <c r="Y1002" s="98"/>
      <c r="Z1002" s="98"/>
      <c r="AA1002" s="98"/>
      <c r="AB1002" s="98"/>
      <c r="AC1002" s="98"/>
      <c r="AD1002" s="98"/>
      <c r="AE1002" s="98"/>
      <c r="AF1002" s="98"/>
      <c r="AG1002" s="98"/>
    </row>
    <row r="1003" spans="1:33" ht="15" customHeight="1">
      <c r="A1003" s="286"/>
      <c r="B1003" s="98"/>
      <c r="C1003" s="98"/>
      <c r="D1003" s="98"/>
      <c r="E1003" s="98"/>
      <c r="F1003" s="98"/>
      <c r="G1003" s="98"/>
      <c r="H1003" s="98"/>
      <c r="I1003" s="98"/>
      <c r="J1003" s="98"/>
      <c r="K1003" s="98"/>
      <c r="L1003" s="98"/>
      <c r="M1003" s="98"/>
      <c r="N1003" s="98"/>
      <c r="O1003" s="98"/>
      <c r="P1003" s="98"/>
      <c r="Q1003" s="98"/>
      <c r="R1003" s="98"/>
      <c r="S1003" s="98"/>
      <c r="T1003" s="98"/>
      <c r="U1003" s="98"/>
      <c r="V1003" s="98"/>
      <c r="W1003" s="98"/>
      <c r="X1003" s="98"/>
      <c r="Y1003" s="98"/>
      <c r="Z1003" s="98"/>
      <c r="AA1003" s="98"/>
      <c r="AB1003" s="98"/>
      <c r="AC1003" s="98"/>
      <c r="AD1003" s="98"/>
      <c r="AE1003" s="98"/>
      <c r="AF1003" s="98"/>
      <c r="AG1003" s="98"/>
    </row>
    <row r="1004" spans="1:33" ht="15" customHeight="1">
      <c r="A1004" s="286"/>
      <c r="B1004" s="98"/>
      <c r="C1004" s="98"/>
      <c r="D1004" s="98"/>
      <c r="E1004" s="98"/>
      <c r="F1004" s="98"/>
      <c r="G1004" s="98"/>
      <c r="H1004" s="98"/>
      <c r="I1004" s="98"/>
      <c r="J1004" s="98"/>
      <c r="K1004" s="98"/>
      <c r="L1004" s="98"/>
      <c r="M1004" s="98"/>
      <c r="N1004" s="98"/>
      <c r="O1004" s="98"/>
      <c r="P1004" s="98"/>
      <c r="Q1004" s="98"/>
      <c r="R1004" s="98"/>
      <c r="S1004" s="98"/>
      <c r="T1004" s="98"/>
      <c r="U1004" s="98"/>
      <c r="V1004" s="98"/>
      <c r="W1004" s="98"/>
      <c r="X1004" s="98"/>
      <c r="Y1004" s="98"/>
      <c r="Z1004" s="98"/>
      <c r="AA1004" s="98"/>
      <c r="AB1004" s="98"/>
      <c r="AC1004" s="98"/>
      <c r="AD1004" s="98"/>
      <c r="AE1004" s="98"/>
      <c r="AF1004" s="98"/>
      <c r="AG1004" s="98"/>
    </row>
    <row r="1005" spans="1:33" ht="15" customHeight="1">
      <c r="A1005" s="286"/>
      <c r="B1005" s="98"/>
      <c r="C1005" s="98"/>
      <c r="D1005" s="98"/>
      <c r="E1005" s="98"/>
      <c r="F1005" s="98"/>
      <c r="G1005" s="98"/>
      <c r="H1005" s="98"/>
      <c r="I1005" s="98"/>
      <c r="J1005" s="98"/>
      <c r="K1005" s="98"/>
      <c r="L1005" s="98"/>
      <c r="M1005" s="98"/>
      <c r="N1005" s="98"/>
      <c r="O1005" s="98"/>
      <c r="P1005" s="98"/>
      <c r="Q1005" s="98"/>
      <c r="R1005" s="98"/>
      <c r="S1005" s="98"/>
      <c r="T1005" s="98"/>
      <c r="U1005" s="98"/>
      <c r="V1005" s="98"/>
      <c r="W1005" s="98"/>
      <c r="X1005" s="98"/>
      <c r="Y1005" s="98"/>
      <c r="Z1005" s="98"/>
      <c r="AA1005" s="98"/>
      <c r="AB1005" s="98"/>
      <c r="AC1005" s="98"/>
      <c r="AD1005" s="98"/>
      <c r="AE1005" s="98"/>
      <c r="AF1005" s="98"/>
      <c r="AG1005" s="98"/>
    </row>
    <row r="1006" spans="1:33" ht="15" customHeight="1">
      <c r="A1006" s="286"/>
      <c r="B1006" s="98"/>
      <c r="C1006" s="98"/>
      <c r="D1006" s="98"/>
      <c r="E1006" s="98"/>
      <c r="F1006" s="98"/>
      <c r="G1006" s="98"/>
      <c r="H1006" s="98"/>
      <c r="I1006" s="98"/>
      <c r="J1006" s="98"/>
      <c r="K1006" s="98"/>
      <c r="L1006" s="98"/>
      <c r="M1006" s="98"/>
      <c r="N1006" s="98"/>
      <c r="O1006" s="98"/>
      <c r="P1006" s="98"/>
      <c r="Q1006" s="98"/>
      <c r="R1006" s="98"/>
      <c r="S1006" s="98"/>
      <c r="T1006" s="98"/>
      <c r="U1006" s="98"/>
      <c r="V1006" s="98"/>
      <c r="W1006" s="98"/>
      <c r="X1006" s="98"/>
      <c r="Y1006" s="98"/>
      <c r="Z1006" s="98"/>
      <c r="AA1006" s="98"/>
      <c r="AB1006" s="98"/>
      <c r="AC1006" s="98"/>
      <c r="AD1006" s="98"/>
      <c r="AE1006" s="98"/>
      <c r="AF1006" s="98"/>
      <c r="AG1006" s="98"/>
    </row>
    <row r="1007" spans="1:33" ht="15" customHeight="1">
      <c r="A1007" s="286"/>
      <c r="B1007" s="98"/>
      <c r="C1007" s="98"/>
      <c r="D1007" s="98"/>
      <c r="E1007" s="98"/>
      <c r="F1007" s="98"/>
      <c r="G1007" s="98"/>
      <c r="H1007" s="98"/>
      <c r="I1007" s="98"/>
      <c r="J1007" s="98"/>
      <c r="K1007" s="98"/>
      <c r="L1007" s="98"/>
      <c r="M1007" s="98"/>
      <c r="N1007" s="98"/>
      <c r="O1007" s="98"/>
      <c r="P1007" s="98"/>
      <c r="Q1007" s="98"/>
      <c r="R1007" s="98"/>
      <c r="S1007" s="98"/>
      <c r="T1007" s="98"/>
      <c r="U1007" s="98"/>
      <c r="V1007" s="98"/>
      <c r="W1007" s="98"/>
      <c r="X1007" s="98"/>
      <c r="Y1007" s="98"/>
      <c r="Z1007" s="98"/>
      <c r="AA1007" s="98"/>
      <c r="AB1007" s="98"/>
      <c r="AC1007" s="98"/>
      <c r="AD1007" s="98"/>
      <c r="AE1007" s="98"/>
      <c r="AF1007" s="98"/>
      <c r="AG1007" s="98"/>
    </row>
    <row r="1008" spans="1:33" ht="15" customHeight="1">
      <c r="A1008" s="286"/>
      <c r="B1008" s="98"/>
      <c r="C1008" s="98"/>
      <c r="D1008" s="98"/>
      <c r="E1008" s="98"/>
      <c r="F1008" s="98"/>
      <c r="G1008" s="98"/>
      <c r="H1008" s="98"/>
      <c r="I1008" s="98"/>
      <c r="J1008" s="98"/>
      <c r="K1008" s="98"/>
      <c r="L1008" s="98"/>
      <c r="M1008" s="98"/>
      <c r="N1008" s="98"/>
      <c r="O1008" s="98"/>
      <c r="P1008" s="98"/>
      <c r="Q1008" s="98"/>
      <c r="R1008" s="98"/>
      <c r="S1008" s="98"/>
      <c r="T1008" s="98"/>
      <c r="U1008" s="98"/>
      <c r="V1008" s="98"/>
      <c r="W1008" s="98"/>
      <c r="X1008" s="98"/>
      <c r="Y1008" s="98"/>
      <c r="Z1008" s="98"/>
      <c r="AA1008" s="98"/>
      <c r="AB1008" s="98"/>
      <c r="AC1008" s="98"/>
      <c r="AD1008" s="98"/>
      <c r="AE1008" s="98"/>
      <c r="AF1008" s="98"/>
      <c r="AG1008" s="98"/>
    </row>
    <row r="1009" spans="1:33" ht="15" customHeight="1">
      <c r="A1009" s="286"/>
      <c r="B1009" s="98"/>
      <c r="C1009" s="98"/>
      <c r="D1009" s="98"/>
      <c r="E1009" s="98"/>
      <c r="F1009" s="98"/>
      <c r="G1009" s="98"/>
      <c r="H1009" s="98"/>
      <c r="I1009" s="98"/>
      <c r="J1009" s="98"/>
      <c r="K1009" s="98"/>
      <c r="L1009" s="98"/>
      <c r="M1009" s="98"/>
      <c r="N1009" s="98"/>
      <c r="O1009" s="98"/>
      <c r="P1009" s="98"/>
      <c r="Q1009" s="98"/>
      <c r="R1009" s="98"/>
      <c r="S1009" s="98"/>
      <c r="T1009" s="98"/>
      <c r="U1009" s="98"/>
      <c r="V1009" s="98"/>
      <c r="W1009" s="98"/>
      <c r="X1009" s="98"/>
      <c r="Y1009" s="98"/>
      <c r="Z1009" s="98"/>
      <c r="AA1009" s="98"/>
      <c r="AB1009" s="98"/>
      <c r="AC1009" s="98"/>
      <c r="AD1009" s="98"/>
      <c r="AE1009" s="98"/>
      <c r="AF1009" s="98"/>
      <c r="AG1009" s="98"/>
    </row>
    <row r="1010" spans="1:33" ht="15" customHeight="1">
      <c r="A1010" s="286"/>
      <c r="B1010" s="98"/>
      <c r="C1010" s="98"/>
      <c r="D1010" s="98"/>
      <c r="E1010" s="98"/>
      <c r="F1010" s="98"/>
      <c r="G1010" s="98"/>
      <c r="H1010" s="98"/>
      <c r="I1010" s="98"/>
      <c r="J1010" s="98"/>
      <c r="K1010" s="98"/>
      <c r="L1010" s="98"/>
      <c r="M1010" s="98"/>
      <c r="N1010" s="98"/>
      <c r="O1010" s="98"/>
      <c r="P1010" s="98"/>
      <c r="Q1010" s="98"/>
      <c r="R1010" s="98"/>
      <c r="S1010" s="98"/>
      <c r="T1010" s="98"/>
      <c r="U1010" s="98"/>
      <c r="V1010" s="98"/>
      <c r="W1010" s="98"/>
      <c r="X1010" s="98"/>
      <c r="Y1010" s="98"/>
      <c r="Z1010" s="98"/>
      <c r="AA1010" s="98"/>
      <c r="AB1010" s="98"/>
      <c r="AC1010" s="98"/>
      <c r="AD1010" s="98"/>
      <c r="AE1010" s="98"/>
      <c r="AF1010" s="98"/>
      <c r="AG1010" s="98"/>
    </row>
    <row r="1011" spans="1:33" ht="15" customHeight="1">
      <c r="A1011" s="286"/>
      <c r="B1011" s="98"/>
      <c r="C1011" s="98"/>
      <c r="D1011" s="98"/>
      <c r="E1011" s="98"/>
      <c r="F1011" s="98"/>
      <c r="G1011" s="98"/>
      <c r="H1011" s="98"/>
      <c r="I1011" s="98"/>
      <c r="J1011" s="98"/>
      <c r="K1011" s="98"/>
      <c r="L1011" s="98"/>
      <c r="M1011" s="98"/>
      <c r="N1011" s="98"/>
      <c r="O1011" s="98"/>
      <c r="P1011" s="98"/>
      <c r="Q1011" s="98"/>
      <c r="R1011" s="98"/>
      <c r="S1011" s="98"/>
      <c r="T1011" s="98"/>
      <c r="U1011" s="98"/>
      <c r="V1011" s="98"/>
      <c r="W1011" s="98"/>
      <c r="X1011" s="98"/>
      <c r="Y1011" s="98"/>
      <c r="Z1011" s="98"/>
      <c r="AA1011" s="98"/>
      <c r="AB1011" s="98"/>
      <c r="AC1011" s="98"/>
      <c r="AD1011" s="98"/>
      <c r="AE1011" s="98"/>
      <c r="AF1011" s="98"/>
      <c r="AG1011" s="98"/>
    </row>
    <row r="1012" spans="1:33" ht="15" customHeight="1">
      <c r="A1012" s="286"/>
      <c r="B1012" s="98"/>
      <c r="C1012" s="98"/>
      <c r="D1012" s="98"/>
      <c r="E1012" s="98"/>
      <c r="F1012" s="98"/>
      <c r="G1012" s="98"/>
      <c r="H1012" s="98"/>
      <c r="I1012" s="98"/>
      <c r="J1012" s="98"/>
      <c r="K1012" s="98"/>
      <c r="L1012" s="98"/>
      <c r="M1012" s="98"/>
      <c r="N1012" s="98"/>
      <c r="O1012" s="98"/>
      <c r="P1012" s="98"/>
      <c r="Q1012" s="98"/>
      <c r="R1012" s="98"/>
      <c r="S1012" s="98"/>
      <c r="T1012" s="98"/>
      <c r="U1012" s="98"/>
      <c r="V1012" s="98"/>
      <c r="W1012" s="98"/>
      <c r="X1012" s="98"/>
      <c r="Y1012" s="98"/>
      <c r="Z1012" s="98"/>
      <c r="AA1012" s="98"/>
      <c r="AB1012" s="98"/>
      <c r="AC1012" s="98"/>
      <c r="AD1012" s="98"/>
      <c r="AE1012" s="98"/>
      <c r="AF1012" s="98"/>
      <c r="AG1012" s="98"/>
    </row>
    <row r="1013" spans="1:33" ht="15" customHeight="1">
      <c r="A1013" s="286"/>
      <c r="B1013" s="98"/>
      <c r="C1013" s="98"/>
      <c r="D1013" s="98"/>
      <c r="E1013" s="98"/>
      <c r="F1013" s="98"/>
      <c r="G1013" s="98"/>
      <c r="H1013" s="98"/>
      <c r="I1013" s="98"/>
      <c r="J1013" s="98"/>
      <c r="K1013" s="98"/>
      <c r="L1013" s="98"/>
      <c r="M1013" s="98"/>
      <c r="N1013" s="98"/>
      <c r="O1013" s="98"/>
      <c r="P1013" s="98"/>
      <c r="Q1013" s="98"/>
      <c r="R1013" s="98"/>
      <c r="S1013" s="98"/>
      <c r="T1013" s="98"/>
      <c r="U1013" s="98"/>
      <c r="V1013" s="98"/>
      <c r="W1013" s="98"/>
      <c r="X1013" s="98"/>
      <c r="Y1013" s="98"/>
      <c r="Z1013" s="98"/>
      <c r="AA1013" s="98"/>
      <c r="AB1013" s="98"/>
      <c r="AC1013" s="98"/>
      <c r="AD1013" s="98"/>
      <c r="AE1013" s="98"/>
      <c r="AF1013" s="98"/>
      <c r="AG1013" s="98"/>
    </row>
    <row r="1014" spans="1:33" ht="15" customHeight="1">
      <c r="A1014" s="286"/>
      <c r="B1014" s="98"/>
      <c r="C1014" s="98"/>
      <c r="D1014" s="98"/>
      <c r="E1014" s="98"/>
      <c r="F1014" s="98"/>
      <c r="G1014" s="98"/>
      <c r="H1014" s="98"/>
      <c r="I1014" s="98"/>
      <c r="J1014" s="98"/>
      <c r="K1014" s="98"/>
      <c r="L1014" s="98"/>
      <c r="M1014" s="98"/>
      <c r="N1014" s="98"/>
      <c r="O1014" s="98"/>
      <c r="P1014" s="98"/>
      <c r="Q1014" s="98"/>
      <c r="R1014" s="98"/>
      <c r="S1014" s="98"/>
      <c r="T1014" s="98"/>
      <c r="U1014" s="98"/>
      <c r="V1014" s="98"/>
      <c r="W1014" s="98"/>
      <c r="X1014" s="98"/>
      <c r="Y1014" s="98"/>
      <c r="Z1014" s="98"/>
      <c r="AA1014" s="98"/>
      <c r="AB1014" s="98"/>
      <c r="AC1014" s="98"/>
      <c r="AD1014" s="98"/>
      <c r="AE1014" s="98"/>
      <c r="AF1014" s="98"/>
      <c r="AG1014" s="98"/>
    </row>
    <row r="1015" spans="1:33" ht="15" customHeight="1">
      <c r="A1015" s="286"/>
      <c r="B1015" s="98"/>
      <c r="C1015" s="98"/>
      <c r="D1015" s="98"/>
      <c r="E1015" s="98"/>
      <c r="F1015" s="98"/>
      <c r="G1015" s="98"/>
      <c r="H1015" s="98"/>
      <c r="I1015" s="98"/>
      <c r="J1015" s="98"/>
      <c r="K1015" s="98"/>
      <c r="L1015" s="98"/>
      <c r="M1015" s="98"/>
      <c r="N1015" s="98"/>
      <c r="O1015" s="98"/>
      <c r="P1015" s="98"/>
      <c r="Q1015" s="98"/>
      <c r="R1015" s="98"/>
      <c r="S1015" s="98"/>
      <c r="T1015" s="98"/>
      <c r="U1015" s="98"/>
      <c r="V1015" s="98"/>
      <c r="W1015" s="98"/>
      <c r="X1015" s="98"/>
      <c r="Y1015" s="98"/>
      <c r="Z1015" s="98"/>
      <c r="AA1015" s="98"/>
      <c r="AB1015" s="98"/>
      <c r="AC1015" s="98"/>
      <c r="AD1015" s="98"/>
      <c r="AE1015" s="98"/>
      <c r="AF1015" s="98"/>
      <c r="AG1015" s="98"/>
    </row>
    <row r="1016" spans="1:33" ht="15" customHeight="1">
      <c r="A1016" s="286"/>
      <c r="B1016" s="98"/>
      <c r="C1016" s="98"/>
      <c r="D1016" s="98"/>
      <c r="E1016" s="98"/>
      <c r="F1016" s="98"/>
      <c r="G1016" s="98"/>
      <c r="H1016" s="98"/>
      <c r="I1016" s="98"/>
      <c r="J1016" s="98"/>
      <c r="K1016" s="98"/>
      <c r="L1016" s="98"/>
      <c r="M1016" s="98"/>
      <c r="N1016" s="98"/>
      <c r="O1016" s="98"/>
      <c r="P1016" s="98"/>
      <c r="Q1016" s="98"/>
      <c r="R1016" s="98"/>
      <c r="S1016" s="98"/>
      <c r="T1016" s="98"/>
      <c r="U1016" s="98"/>
      <c r="V1016" s="98"/>
      <c r="W1016" s="98"/>
      <c r="X1016" s="98"/>
      <c r="Y1016" s="98"/>
      <c r="Z1016" s="98"/>
      <c r="AA1016" s="98"/>
      <c r="AB1016" s="98"/>
      <c r="AC1016" s="98"/>
      <c r="AD1016" s="98"/>
      <c r="AE1016" s="98"/>
      <c r="AF1016" s="98"/>
      <c r="AG1016" s="98"/>
    </row>
    <row r="1017" spans="1:33" ht="15" customHeight="1">
      <c r="A1017" s="286"/>
      <c r="B1017" s="98"/>
      <c r="C1017" s="98"/>
      <c r="D1017" s="98"/>
      <c r="E1017" s="98"/>
      <c r="F1017" s="98"/>
      <c r="G1017" s="98"/>
      <c r="H1017" s="98"/>
      <c r="I1017" s="98"/>
      <c r="J1017" s="98"/>
      <c r="K1017" s="98"/>
      <c r="L1017" s="98"/>
      <c r="M1017" s="98"/>
      <c r="N1017" s="98"/>
      <c r="O1017" s="98"/>
      <c r="P1017" s="98"/>
      <c r="Q1017" s="98"/>
      <c r="R1017" s="98"/>
      <c r="S1017" s="98"/>
      <c r="T1017" s="98"/>
      <c r="U1017" s="98"/>
      <c r="V1017" s="98"/>
      <c r="W1017" s="98"/>
      <c r="X1017" s="98"/>
      <c r="Y1017" s="98"/>
      <c r="Z1017" s="98"/>
      <c r="AA1017" s="98"/>
      <c r="AB1017" s="98"/>
      <c r="AC1017" s="98"/>
      <c r="AD1017" s="98"/>
      <c r="AE1017" s="98"/>
      <c r="AF1017" s="98"/>
      <c r="AG1017" s="98"/>
    </row>
    <row r="1018" spans="1:33" ht="15" customHeight="1">
      <c r="A1018" s="286"/>
      <c r="B1018" s="98"/>
      <c r="C1018" s="98"/>
      <c r="D1018" s="98"/>
      <c r="E1018" s="98"/>
      <c r="F1018" s="98"/>
      <c r="G1018" s="98"/>
      <c r="H1018" s="98"/>
      <c r="I1018" s="98"/>
      <c r="J1018" s="98"/>
      <c r="K1018" s="98"/>
      <c r="L1018" s="98"/>
      <c r="M1018" s="98"/>
      <c r="N1018" s="98"/>
      <c r="O1018" s="98"/>
      <c r="P1018" s="98"/>
      <c r="Q1018" s="98"/>
      <c r="R1018" s="98"/>
      <c r="S1018" s="98"/>
      <c r="T1018" s="98"/>
      <c r="U1018" s="98"/>
      <c r="V1018" s="98"/>
      <c r="W1018" s="98"/>
      <c r="X1018" s="98"/>
      <c r="Y1018" s="98"/>
      <c r="Z1018" s="98"/>
      <c r="AA1018" s="98"/>
      <c r="AB1018" s="98"/>
      <c r="AC1018" s="98"/>
      <c r="AD1018" s="98"/>
      <c r="AE1018" s="98"/>
      <c r="AF1018" s="98"/>
      <c r="AG1018" s="98"/>
    </row>
    <row r="1019" spans="1:33" ht="15" customHeight="1">
      <c r="A1019" s="286"/>
      <c r="B1019" s="98"/>
      <c r="C1019" s="98"/>
      <c r="D1019" s="98"/>
      <c r="E1019" s="98"/>
      <c r="F1019" s="98"/>
      <c r="G1019" s="98"/>
      <c r="H1019" s="98"/>
      <c r="I1019" s="98"/>
      <c r="J1019" s="98"/>
      <c r="K1019" s="98"/>
      <c r="L1019" s="98"/>
      <c r="M1019" s="98"/>
      <c r="N1019" s="98"/>
      <c r="O1019" s="98"/>
      <c r="P1019" s="98"/>
      <c r="Q1019" s="98"/>
      <c r="R1019" s="98"/>
      <c r="S1019" s="98"/>
      <c r="T1019" s="98"/>
      <c r="U1019" s="98"/>
      <c r="V1019" s="98"/>
      <c r="W1019" s="98"/>
      <c r="X1019" s="98"/>
      <c r="Y1019" s="98"/>
      <c r="Z1019" s="98"/>
      <c r="AA1019" s="98"/>
      <c r="AB1019" s="98"/>
      <c r="AC1019" s="98"/>
      <c r="AD1019" s="98"/>
      <c r="AE1019" s="98"/>
      <c r="AF1019" s="98"/>
      <c r="AG1019" s="98"/>
    </row>
    <row r="1020" spans="1:33" ht="15" customHeight="1">
      <c r="A1020" s="286"/>
      <c r="B1020" s="98"/>
      <c r="C1020" s="98"/>
      <c r="D1020" s="98"/>
      <c r="E1020" s="98"/>
      <c r="F1020" s="98"/>
      <c r="G1020" s="98"/>
      <c r="H1020" s="98"/>
      <c r="I1020" s="98"/>
      <c r="J1020" s="98"/>
      <c r="K1020" s="98"/>
      <c r="L1020" s="98"/>
      <c r="M1020" s="98"/>
      <c r="N1020" s="98"/>
      <c r="O1020" s="98"/>
      <c r="P1020" s="98"/>
      <c r="Q1020" s="98"/>
      <c r="R1020" s="98"/>
      <c r="S1020" s="98"/>
      <c r="T1020" s="98"/>
      <c r="U1020" s="98"/>
      <c r="V1020" s="98"/>
      <c r="W1020" s="98"/>
      <c r="X1020" s="98"/>
      <c r="Y1020" s="98"/>
      <c r="Z1020" s="98"/>
      <c r="AA1020" s="98"/>
      <c r="AB1020" s="98"/>
      <c r="AC1020" s="98"/>
      <c r="AD1020" s="98"/>
      <c r="AE1020" s="98"/>
      <c r="AF1020" s="98"/>
      <c r="AG1020" s="98"/>
    </row>
    <row r="1021" spans="1:33" ht="15" customHeight="1">
      <c r="A1021" s="286"/>
      <c r="B1021" s="98"/>
      <c r="C1021" s="98"/>
      <c r="D1021" s="98"/>
      <c r="E1021" s="98"/>
      <c r="F1021" s="98"/>
      <c r="G1021" s="98"/>
      <c r="H1021" s="98"/>
      <c r="I1021" s="98"/>
      <c r="J1021" s="98"/>
      <c r="K1021" s="98"/>
      <c r="L1021" s="98"/>
      <c r="M1021" s="98"/>
      <c r="N1021" s="98"/>
      <c r="O1021" s="98"/>
      <c r="P1021" s="98"/>
      <c r="Q1021" s="98"/>
      <c r="R1021" s="98"/>
      <c r="S1021" s="98"/>
      <c r="T1021" s="98"/>
      <c r="U1021" s="98"/>
      <c r="V1021" s="98"/>
      <c r="W1021" s="98"/>
      <c r="X1021" s="98"/>
      <c r="Y1021" s="98"/>
      <c r="Z1021" s="98"/>
      <c r="AA1021" s="98"/>
      <c r="AB1021" s="98"/>
      <c r="AC1021" s="98"/>
      <c r="AD1021" s="98"/>
      <c r="AE1021" s="98"/>
      <c r="AF1021" s="98"/>
      <c r="AG1021" s="98"/>
    </row>
    <row r="1022" spans="1:33" ht="15" customHeight="1">
      <c r="A1022" s="286"/>
      <c r="B1022" s="98"/>
      <c r="C1022" s="98"/>
      <c r="D1022" s="98"/>
      <c r="E1022" s="98"/>
      <c r="F1022" s="98"/>
      <c r="G1022" s="98"/>
      <c r="H1022" s="98"/>
      <c r="I1022" s="98"/>
      <c r="J1022" s="98"/>
      <c r="K1022" s="98"/>
      <c r="L1022" s="98"/>
      <c r="M1022" s="98"/>
      <c r="N1022" s="98"/>
      <c r="O1022" s="98"/>
      <c r="P1022" s="98"/>
      <c r="Q1022" s="98"/>
      <c r="R1022" s="98"/>
      <c r="S1022" s="98"/>
      <c r="T1022" s="98"/>
      <c r="U1022" s="98"/>
      <c r="V1022" s="98"/>
      <c r="W1022" s="98"/>
      <c r="X1022" s="98"/>
      <c r="Y1022" s="98"/>
      <c r="Z1022" s="98"/>
      <c r="AA1022" s="98"/>
      <c r="AB1022" s="98"/>
      <c r="AC1022" s="98"/>
      <c r="AD1022" s="98"/>
      <c r="AE1022" s="98"/>
      <c r="AF1022" s="98"/>
      <c r="AG1022" s="98"/>
    </row>
    <row r="1023" spans="1:33" ht="15" customHeight="1">
      <c r="A1023" s="286"/>
      <c r="B1023" s="98"/>
      <c r="C1023" s="98"/>
      <c r="D1023" s="98"/>
      <c r="E1023" s="98"/>
      <c r="F1023" s="98"/>
      <c r="G1023" s="98"/>
      <c r="H1023" s="98"/>
      <c r="I1023" s="98"/>
      <c r="J1023" s="98"/>
      <c r="K1023" s="98"/>
      <c r="L1023" s="98"/>
      <c r="M1023" s="98"/>
      <c r="N1023" s="98"/>
      <c r="O1023" s="98"/>
      <c r="P1023" s="98"/>
      <c r="Q1023" s="98"/>
      <c r="R1023" s="98"/>
      <c r="S1023" s="98"/>
      <c r="T1023" s="98"/>
      <c r="U1023" s="98"/>
      <c r="V1023" s="98"/>
      <c r="W1023" s="98"/>
      <c r="X1023" s="98"/>
      <c r="Y1023" s="98"/>
      <c r="Z1023" s="98"/>
      <c r="AA1023" s="98"/>
      <c r="AB1023" s="98"/>
      <c r="AC1023" s="98"/>
      <c r="AD1023" s="98"/>
      <c r="AE1023" s="98"/>
      <c r="AF1023" s="98"/>
      <c r="AG1023" s="98"/>
    </row>
    <row r="1024" spans="1:33" ht="15" customHeight="1">
      <c r="A1024" s="286"/>
      <c r="B1024" s="98"/>
      <c r="C1024" s="98"/>
      <c r="D1024" s="98"/>
      <c r="E1024" s="98"/>
      <c r="F1024" s="98"/>
      <c r="G1024" s="98"/>
      <c r="H1024" s="98"/>
      <c r="I1024" s="98"/>
      <c r="J1024" s="98"/>
      <c r="K1024" s="98"/>
      <c r="L1024" s="98"/>
      <c r="M1024" s="98"/>
      <c r="N1024" s="98"/>
      <c r="O1024" s="98"/>
      <c r="P1024" s="98"/>
      <c r="Q1024" s="98"/>
      <c r="R1024" s="98"/>
      <c r="S1024" s="98"/>
      <c r="T1024" s="98"/>
      <c r="U1024" s="98"/>
      <c r="V1024" s="98"/>
      <c r="W1024" s="98"/>
      <c r="X1024" s="98"/>
      <c r="Y1024" s="98"/>
      <c r="Z1024" s="98"/>
      <c r="AA1024" s="98"/>
      <c r="AB1024" s="98"/>
      <c r="AC1024" s="98"/>
      <c r="AD1024" s="98"/>
      <c r="AE1024" s="98"/>
      <c r="AF1024" s="98"/>
      <c r="AG1024" s="98"/>
    </row>
    <row r="1025" spans="1:33" ht="15" customHeight="1">
      <c r="A1025" s="286"/>
      <c r="B1025" s="98"/>
      <c r="C1025" s="98"/>
      <c r="D1025" s="98"/>
      <c r="E1025" s="98"/>
      <c r="F1025" s="98"/>
      <c r="G1025" s="98"/>
      <c r="H1025" s="98"/>
      <c r="I1025" s="98"/>
      <c r="J1025" s="98"/>
      <c r="K1025" s="98"/>
      <c r="L1025" s="98"/>
      <c r="M1025" s="98"/>
      <c r="N1025" s="98"/>
      <c r="O1025" s="98"/>
      <c r="P1025" s="98"/>
      <c r="Q1025" s="98"/>
      <c r="R1025" s="98"/>
      <c r="S1025" s="98"/>
      <c r="T1025" s="98"/>
      <c r="U1025" s="98"/>
      <c r="V1025" s="98"/>
      <c r="W1025" s="98"/>
      <c r="X1025" s="98"/>
      <c r="Y1025" s="98"/>
      <c r="Z1025" s="98"/>
      <c r="AA1025" s="98"/>
      <c r="AB1025" s="98"/>
      <c r="AC1025" s="98"/>
      <c r="AD1025" s="98"/>
      <c r="AE1025" s="98"/>
      <c r="AF1025" s="98"/>
      <c r="AG1025" s="98"/>
    </row>
    <row r="1026" spans="1:33" ht="15" customHeight="1">
      <c r="A1026" s="286"/>
      <c r="B1026" s="98"/>
      <c r="C1026" s="98"/>
      <c r="D1026" s="98"/>
      <c r="E1026" s="98"/>
      <c r="F1026" s="98"/>
      <c r="G1026" s="98"/>
      <c r="H1026" s="98"/>
      <c r="I1026" s="98"/>
      <c r="J1026" s="98"/>
      <c r="K1026" s="98"/>
      <c r="L1026" s="98"/>
      <c r="M1026" s="98"/>
      <c r="N1026" s="98"/>
      <c r="O1026" s="98"/>
      <c r="P1026" s="98"/>
      <c r="Q1026" s="98"/>
      <c r="R1026" s="98"/>
      <c r="S1026" s="98"/>
      <c r="T1026" s="98"/>
      <c r="U1026" s="98"/>
      <c r="V1026" s="98"/>
      <c r="W1026" s="98"/>
      <c r="X1026" s="98"/>
      <c r="Y1026" s="98"/>
      <c r="Z1026" s="98"/>
      <c r="AA1026" s="98"/>
      <c r="AB1026" s="98"/>
      <c r="AC1026" s="98"/>
      <c r="AD1026" s="98"/>
      <c r="AE1026" s="98"/>
      <c r="AF1026" s="98"/>
      <c r="AG1026" s="98"/>
    </row>
    <row r="1027" spans="1:33" ht="15" customHeight="1">
      <c r="A1027" s="286"/>
      <c r="B1027" s="98"/>
      <c r="C1027" s="98"/>
      <c r="D1027" s="98"/>
      <c r="E1027" s="98"/>
      <c r="F1027" s="98"/>
      <c r="G1027" s="98"/>
      <c r="H1027" s="98"/>
      <c r="I1027" s="98"/>
      <c r="J1027" s="98"/>
      <c r="K1027" s="98"/>
      <c r="L1027" s="98"/>
      <c r="M1027" s="98"/>
      <c r="N1027" s="98"/>
      <c r="O1027" s="98"/>
      <c r="P1027" s="98"/>
      <c r="Q1027" s="98"/>
      <c r="R1027" s="98"/>
      <c r="S1027" s="98"/>
      <c r="T1027" s="98"/>
      <c r="U1027" s="98"/>
      <c r="V1027" s="98"/>
      <c r="W1027" s="98"/>
      <c r="X1027" s="98"/>
      <c r="Y1027" s="98"/>
      <c r="Z1027" s="98"/>
      <c r="AA1027" s="98"/>
      <c r="AB1027" s="98"/>
      <c r="AC1027" s="98"/>
      <c r="AD1027" s="98"/>
      <c r="AE1027" s="98"/>
      <c r="AF1027" s="98"/>
      <c r="AG1027" s="98"/>
    </row>
    <row r="1028" spans="1:33" ht="15" customHeight="1">
      <c r="A1028" s="286"/>
      <c r="B1028" s="98"/>
      <c r="C1028" s="98"/>
      <c r="D1028" s="98"/>
      <c r="E1028" s="98"/>
      <c r="F1028" s="98"/>
      <c r="G1028" s="98"/>
      <c r="H1028" s="98"/>
      <c r="I1028" s="98"/>
      <c r="J1028" s="98"/>
      <c r="K1028" s="98"/>
      <c r="L1028" s="98"/>
      <c r="M1028" s="98"/>
      <c r="N1028" s="98"/>
      <c r="O1028" s="98"/>
      <c r="P1028" s="98"/>
      <c r="Q1028" s="98"/>
      <c r="R1028" s="98"/>
      <c r="S1028" s="98"/>
      <c r="T1028" s="98"/>
      <c r="U1028" s="98"/>
      <c r="V1028" s="98"/>
      <c r="W1028" s="98"/>
      <c r="X1028" s="98"/>
      <c r="Y1028" s="98"/>
      <c r="Z1028" s="98"/>
      <c r="AA1028" s="98"/>
      <c r="AB1028" s="98"/>
      <c r="AC1028" s="98"/>
      <c r="AD1028" s="98"/>
      <c r="AE1028" s="98"/>
      <c r="AF1028" s="98"/>
      <c r="AG1028" s="98"/>
    </row>
    <row r="1029" spans="1:33" ht="15" customHeight="1">
      <c r="A1029" s="286"/>
      <c r="B1029" s="98"/>
      <c r="C1029" s="98"/>
      <c r="D1029" s="98"/>
      <c r="E1029" s="98"/>
      <c r="F1029" s="98"/>
      <c r="G1029" s="98"/>
      <c r="H1029" s="98"/>
      <c r="I1029" s="98"/>
      <c r="J1029" s="98"/>
      <c r="K1029" s="98"/>
      <c r="L1029" s="98"/>
      <c r="M1029" s="98"/>
      <c r="N1029" s="98"/>
      <c r="O1029" s="98"/>
      <c r="P1029" s="98"/>
      <c r="Q1029" s="98"/>
      <c r="R1029" s="98"/>
      <c r="S1029" s="98"/>
      <c r="T1029" s="98"/>
      <c r="U1029" s="98"/>
      <c r="V1029" s="98"/>
      <c r="W1029" s="98"/>
      <c r="X1029" s="98"/>
      <c r="Y1029" s="98"/>
      <c r="Z1029" s="98"/>
      <c r="AA1029" s="98"/>
      <c r="AB1029" s="98"/>
      <c r="AC1029" s="98"/>
      <c r="AD1029" s="98"/>
      <c r="AE1029" s="98"/>
      <c r="AF1029" s="98"/>
      <c r="AG1029" s="98"/>
    </row>
    <row r="1030" spans="1:33" ht="15" customHeight="1">
      <c r="A1030" s="286"/>
      <c r="B1030" s="98"/>
      <c r="C1030" s="98"/>
      <c r="D1030" s="98"/>
      <c r="E1030" s="98"/>
      <c r="F1030" s="98"/>
      <c r="G1030" s="98"/>
      <c r="H1030" s="98"/>
      <c r="I1030" s="98"/>
      <c r="J1030" s="98"/>
      <c r="K1030" s="98"/>
      <c r="L1030" s="98"/>
      <c r="M1030" s="98"/>
      <c r="N1030" s="98"/>
      <c r="O1030" s="98"/>
      <c r="P1030" s="98"/>
      <c r="Q1030" s="98"/>
      <c r="R1030" s="98"/>
      <c r="S1030" s="98"/>
      <c r="T1030" s="98"/>
      <c r="U1030" s="98"/>
      <c r="V1030" s="98"/>
      <c r="W1030" s="98"/>
      <c r="X1030" s="98"/>
      <c r="Y1030" s="98"/>
      <c r="Z1030" s="98"/>
      <c r="AA1030" s="98"/>
      <c r="AB1030" s="98"/>
      <c r="AC1030" s="98"/>
      <c r="AD1030" s="98"/>
      <c r="AE1030" s="98"/>
      <c r="AF1030" s="98"/>
      <c r="AG1030" s="98"/>
    </row>
    <row r="1031" spans="1:33" ht="15" customHeight="1">
      <c r="A1031" s="286"/>
      <c r="B1031" s="98"/>
      <c r="C1031" s="98"/>
      <c r="D1031" s="98"/>
      <c r="E1031" s="98"/>
      <c r="F1031" s="98"/>
      <c r="G1031" s="98"/>
      <c r="H1031" s="98"/>
      <c r="I1031" s="98"/>
      <c r="J1031" s="98"/>
      <c r="K1031" s="98"/>
      <c r="L1031" s="98"/>
      <c r="M1031" s="98"/>
      <c r="N1031" s="98"/>
      <c r="O1031" s="98"/>
      <c r="P1031" s="98"/>
      <c r="Q1031" s="98"/>
      <c r="R1031" s="98"/>
      <c r="S1031" s="98"/>
      <c r="T1031" s="98"/>
      <c r="U1031" s="98"/>
      <c r="V1031" s="98"/>
      <c r="W1031" s="98"/>
      <c r="X1031" s="98"/>
      <c r="Y1031" s="98"/>
      <c r="Z1031" s="98"/>
      <c r="AA1031" s="98"/>
      <c r="AB1031" s="98"/>
      <c r="AC1031" s="98"/>
      <c r="AD1031" s="98"/>
      <c r="AE1031" s="98"/>
      <c r="AF1031" s="98"/>
      <c r="AG1031" s="98"/>
    </row>
    <row r="1032" spans="1:33" ht="15" customHeight="1">
      <c r="A1032" s="286"/>
      <c r="B1032" s="98"/>
      <c r="C1032" s="98"/>
      <c r="D1032" s="98"/>
      <c r="E1032" s="98"/>
      <c r="F1032" s="98"/>
      <c r="G1032" s="98"/>
      <c r="H1032" s="98"/>
      <c r="I1032" s="98"/>
      <c r="J1032" s="98"/>
      <c r="K1032" s="98"/>
      <c r="L1032" s="98"/>
      <c r="M1032" s="98"/>
      <c r="N1032" s="98"/>
      <c r="O1032" s="98"/>
      <c r="P1032" s="98"/>
      <c r="Q1032" s="98"/>
      <c r="R1032" s="98"/>
      <c r="S1032" s="98"/>
      <c r="T1032" s="98"/>
      <c r="U1032" s="98"/>
      <c r="V1032" s="98"/>
      <c r="W1032" s="98"/>
      <c r="X1032" s="98"/>
      <c r="Y1032" s="98"/>
      <c r="Z1032" s="98"/>
      <c r="AA1032" s="98"/>
      <c r="AB1032" s="98"/>
      <c r="AC1032" s="98"/>
      <c r="AD1032" s="98"/>
      <c r="AE1032" s="98"/>
      <c r="AF1032" s="98"/>
      <c r="AG1032" s="98"/>
    </row>
    <row r="1033" spans="1:33" ht="15" customHeight="1">
      <c r="A1033" s="286"/>
      <c r="B1033" s="98"/>
      <c r="C1033" s="98"/>
      <c r="D1033" s="98"/>
      <c r="E1033" s="98"/>
      <c r="F1033" s="98"/>
      <c r="G1033" s="98"/>
      <c r="H1033" s="98"/>
      <c r="I1033" s="98"/>
      <c r="J1033" s="98"/>
      <c r="K1033" s="98"/>
      <c r="L1033" s="98"/>
      <c r="M1033" s="98"/>
      <c r="N1033" s="98"/>
      <c r="O1033" s="98"/>
      <c r="P1033" s="98"/>
      <c r="Q1033" s="98"/>
      <c r="R1033" s="98"/>
      <c r="S1033" s="98"/>
      <c r="T1033" s="98"/>
      <c r="U1033" s="98"/>
      <c r="V1033" s="98"/>
      <c r="W1033" s="98"/>
      <c r="X1033" s="98"/>
      <c r="Y1033" s="98"/>
      <c r="Z1033" s="98"/>
      <c r="AA1033" s="98"/>
      <c r="AB1033" s="98"/>
      <c r="AC1033" s="98"/>
      <c r="AD1033" s="98"/>
      <c r="AE1033" s="98"/>
      <c r="AF1033" s="98"/>
      <c r="AG1033" s="98"/>
    </row>
    <row r="1034" spans="1:33" ht="15" customHeight="1">
      <c r="A1034" s="286"/>
      <c r="B1034" s="98"/>
      <c r="C1034" s="98"/>
      <c r="D1034" s="98"/>
      <c r="E1034" s="98"/>
      <c r="F1034" s="98"/>
      <c r="G1034" s="98"/>
      <c r="H1034" s="98"/>
      <c r="I1034" s="98"/>
      <c r="J1034" s="98"/>
      <c r="K1034" s="98"/>
      <c r="L1034" s="98"/>
      <c r="M1034" s="98"/>
      <c r="N1034" s="98"/>
      <c r="O1034" s="98"/>
      <c r="P1034" s="98"/>
      <c r="Q1034" s="98"/>
      <c r="R1034" s="98"/>
      <c r="S1034" s="98"/>
      <c r="T1034" s="98"/>
      <c r="U1034" s="98"/>
      <c r="V1034" s="98"/>
      <c r="W1034" s="98"/>
      <c r="X1034" s="98"/>
      <c r="Y1034" s="98"/>
      <c r="Z1034" s="98"/>
      <c r="AA1034" s="98"/>
      <c r="AB1034" s="98"/>
      <c r="AC1034" s="98"/>
      <c r="AD1034" s="98"/>
      <c r="AE1034" s="98"/>
      <c r="AF1034" s="98"/>
      <c r="AG1034" s="98"/>
    </row>
    <row r="1035" spans="1:33" ht="15" customHeight="1">
      <c r="A1035" s="286"/>
      <c r="B1035" s="98"/>
      <c r="C1035" s="98"/>
      <c r="D1035" s="98"/>
      <c r="E1035" s="98"/>
      <c r="F1035" s="98"/>
      <c r="G1035" s="98"/>
      <c r="H1035" s="98"/>
      <c r="I1035" s="98"/>
      <c r="J1035" s="98"/>
      <c r="K1035" s="98"/>
      <c r="L1035" s="98"/>
      <c r="M1035" s="98"/>
      <c r="N1035" s="98"/>
      <c r="O1035" s="98"/>
      <c r="P1035" s="98"/>
      <c r="Q1035" s="98"/>
      <c r="R1035" s="98"/>
      <c r="S1035" s="98"/>
      <c r="T1035" s="98"/>
      <c r="U1035" s="98"/>
      <c r="V1035" s="98"/>
      <c r="W1035" s="98"/>
      <c r="X1035" s="98"/>
      <c r="Y1035" s="98"/>
      <c r="Z1035" s="98"/>
      <c r="AA1035" s="98"/>
      <c r="AB1035" s="98"/>
      <c r="AC1035" s="98"/>
      <c r="AD1035" s="98"/>
      <c r="AE1035" s="98"/>
      <c r="AF1035" s="98"/>
      <c r="AG1035" s="98"/>
    </row>
    <row r="1036" spans="1:33" ht="15" customHeight="1">
      <c r="A1036" s="286"/>
      <c r="B1036" s="98"/>
      <c r="C1036" s="98"/>
      <c r="D1036" s="98"/>
      <c r="E1036" s="98"/>
      <c r="F1036" s="98"/>
      <c r="G1036" s="98"/>
      <c r="H1036" s="98"/>
      <c r="I1036" s="98"/>
      <c r="J1036" s="98"/>
      <c r="K1036" s="98"/>
      <c r="L1036" s="98"/>
      <c r="M1036" s="98"/>
      <c r="N1036" s="98"/>
      <c r="O1036" s="98"/>
      <c r="P1036" s="98"/>
      <c r="Q1036" s="98"/>
      <c r="R1036" s="98"/>
      <c r="S1036" s="98"/>
      <c r="T1036" s="98"/>
      <c r="U1036" s="98"/>
      <c r="V1036" s="98"/>
      <c r="W1036" s="98"/>
      <c r="X1036" s="98"/>
      <c r="Y1036" s="98"/>
      <c r="Z1036" s="98"/>
      <c r="AA1036" s="98"/>
      <c r="AB1036" s="98"/>
      <c r="AC1036" s="98"/>
      <c r="AD1036" s="98"/>
      <c r="AE1036" s="98"/>
      <c r="AF1036" s="98"/>
      <c r="AG1036" s="98"/>
    </row>
    <row r="1037" spans="1:33" ht="15" customHeight="1">
      <c r="A1037" s="286"/>
      <c r="B1037" s="98"/>
      <c r="C1037" s="98"/>
      <c r="D1037" s="98"/>
      <c r="E1037" s="98"/>
      <c r="F1037" s="98"/>
      <c r="G1037" s="98"/>
      <c r="H1037" s="98"/>
      <c r="I1037" s="98"/>
      <c r="J1037" s="98"/>
      <c r="K1037" s="98"/>
      <c r="L1037" s="98"/>
      <c r="M1037" s="98"/>
      <c r="N1037" s="98"/>
      <c r="O1037" s="98"/>
      <c r="P1037" s="98"/>
      <c r="Q1037" s="98"/>
      <c r="R1037" s="98"/>
      <c r="S1037" s="98"/>
      <c r="T1037" s="98"/>
      <c r="U1037" s="98"/>
      <c r="V1037" s="98"/>
      <c r="W1037" s="98"/>
      <c r="X1037" s="98"/>
      <c r="Y1037" s="98"/>
      <c r="Z1037" s="98"/>
      <c r="AA1037" s="98"/>
      <c r="AB1037" s="98"/>
      <c r="AC1037" s="98"/>
      <c r="AD1037" s="98"/>
      <c r="AE1037" s="98"/>
      <c r="AF1037" s="98"/>
      <c r="AG1037" s="98"/>
    </row>
    <row r="1038" spans="1:33" ht="15" customHeight="1">
      <c r="A1038" s="286"/>
      <c r="B1038" s="98"/>
      <c r="C1038" s="98"/>
      <c r="D1038" s="98"/>
      <c r="E1038" s="98"/>
      <c r="F1038" s="98"/>
      <c r="G1038" s="98"/>
      <c r="H1038" s="98"/>
      <c r="I1038" s="98"/>
      <c r="J1038" s="98"/>
      <c r="K1038" s="98"/>
      <c r="L1038" s="98"/>
      <c r="M1038" s="98"/>
      <c r="N1038" s="98"/>
      <c r="O1038" s="98"/>
      <c r="P1038" s="98"/>
      <c r="Q1038" s="98"/>
      <c r="R1038" s="98"/>
      <c r="S1038" s="98"/>
      <c r="T1038" s="98"/>
      <c r="U1038" s="98"/>
      <c r="V1038" s="98"/>
      <c r="W1038" s="98"/>
      <c r="X1038" s="98"/>
      <c r="Y1038" s="98"/>
      <c r="Z1038" s="98"/>
      <c r="AA1038" s="98"/>
      <c r="AB1038" s="98"/>
      <c r="AC1038" s="98"/>
      <c r="AD1038" s="98"/>
      <c r="AE1038" s="98"/>
      <c r="AF1038" s="98"/>
      <c r="AG1038" s="98"/>
    </row>
    <row r="1039" spans="1:33" ht="15" customHeight="1">
      <c r="A1039" s="286"/>
      <c r="B1039" s="98"/>
      <c r="C1039" s="98"/>
      <c r="D1039" s="98"/>
      <c r="E1039" s="98"/>
      <c r="F1039" s="98"/>
      <c r="G1039" s="98"/>
      <c r="H1039" s="98"/>
      <c r="I1039" s="98"/>
      <c r="J1039" s="98"/>
      <c r="K1039" s="98"/>
      <c r="L1039" s="98"/>
      <c r="M1039" s="98"/>
      <c r="N1039" s="98"/>
      <c r="O1039" s="98"/>
      <c r="P1039" s="98"/>
      <c r="Q1039" s="98"/>
      <c r="R1039" s="98"/>
      <c r="S1039" s="98"/>
      <c r="T1039" s="98"/>
      <c r="U1039" s="98"/>
      <c r="V1039" s="98"/>
      <c r="W1039" s="98"/>
      <c r="X1039" s="98"/>
      <c r="Y1039" s="98"/>
      <c r="Z1039" s="98"/>
      <c r="AA1039" s="98"/>
      <c r="AB1039" s="98"/>
      <c r="AC1039" s="98"/>
      <c r="AD1039" s="98"/>
      <c r="AE1039" s="98"/>
      <c r="AF1039" s="98"/>
      <c r="AG1039" s="98"/>
    </row>
    <row r="1040" spans="1:33" ht="15" customHeight="1">
      <c r="A1040" s="286"/>
      <c r="B1040" s="98"/>
      <c r="C1040" s="98"/>
      <c r="D1040" s="98"/>
      <c r="E1040" s="98"/>
      <c r="F1040" s="98"/>
      <c r="G1040" s="98"/>
      <c r="H1040" s="98"/>
      <c r="I1040" s="98"/>
      <c r="J1040" s="98"/>
      <c r="K1040" s="98"/>
      <c r="L1040" s="98"/>
      <c r="M1040" s="98"/>
      <c r="N1040" s="98"/>
      <c r="O1040" s="98"/>
      <c r="P1040" s="98"/>
      <c r="Q1040" s="98"/>
      <c r="R1040" s="98"/>
      <c r="S1040" s="98"/>
      <c r="T1040" s="98"/>
      <c r="U1040" s="98"/>
      <c r="V1040" s="98"/>
      <c r="W1040" s="98"/>
      <c r="X1040" s="98"/>
      <c r="Y1040" s="98"/>
      <c r="Z1040" s="98"/>
      <c r="AA1040" s="98"/>
      <c r="AB1040" s="98"/>
      <c r="AC1040" s="98"/>
      <c r="AD1040" s="98"/>
      <c r="AE1040" s="98"/>
      <c r="AF1040" s="98"/>
      <c r="AG1040" s="98"/>
    </row>
    <row r="1041" spans="1:33" ht="15" customHeight="1">
      <c r="A1041" s="286"/>
      <c r="B1041" s="98"/>
      <c r="C1041" s="98"/>
      <c r="D1041" s="98"/>
      <c r="E1041" s="98"/>
      <c r="F1041" s="98"/>
      <c r="G1041" s="98"/>
      <c r="H1041" s="98"/>
      <c r="I1041" s="98"/>
      <c r="J1041" s="98"/>
      <c r="K1041" s="98"/>
      <c r="L1041" s="98"/>
      <c r="M1041" s="98"/>
      <c r="N1041" s="98"/>
      <c r="O1041" s="98"/>
      <c r="P1041" s="98"/>
      <c r="Q1041" s="98"/>
      <c r="R1041" s="98"/>
      <c r="S1041" s="98"/>
      <c r="T1041" s="98"/>
      <c r="U1041" s="98"/>
      <c r="V1041" s="98"/>
      <c r="W1041" s="98"/>
      <c r="X1041" s="98"/>
      <c r="Y1041" s="98"/>
      <c r="Z1041" s="98"/>
      <c r="AA1041" s="98"/>
      <c r="AB1041" s="98"/>
      <c r="AC1041" s="98"/>
      <c r="AD1041" s="98"/>
      <c r="AE1041" s="98"/>
      <c r="AF1041" s="98"/>
      <c r="AG1041" s="98"/>
    </row>
    <row r="1042" spans="1:33" ht="15" customHeight="1">
      <c r="A1042" s="286"/>
      <c r="B1042" s="98"/>
      <c r="C1042" s="98"/>
      <c r="D1042" s="98"/>
      <c r="E1042" s="98"/>
      <c r="F1042" s="98"/>
      <c r="G1042" s="98"/>
      <c r="H1042" s="98"/>
      <c r="I1042" s="98"/>
      <c r="J1042" s="98"/>
      <c r="K1042" s="98"/>
      <c r="L1042" s="98"/>
      <c r="M1042" s="98"/>
      <c r="N1042" s="98"/>
      <c r="O1042" s="98"/>
      <c r="P1042" s="98"/>
      <c r="Q1042" s="98"/>
      <c r="R1042" s="98"/>
      <c r="S1042" s="98"/>
      <c r="T1042" s="98"/>
      <c r="U1042" s="98"/>
      <c r="V1042" s="98"/>
      <c r="W1042" s="98"/>
      <c r="X1042" s="98"/>
      <c r="Y1042" s="98"/>
      <c r="Z1042" s="98"/>
      <c r="AA1042" s="98"/>
      <c r="AB1042" s="98"/>
      <c r="AC1042" s="98"/>
      <c r="AD1042" s="98"/>
      <c r="AE1042" s="98"/>
      <c r="AF1042" s="98"/>
      <c r="AG1042" s="98"/>
    </row>
    <row r="1043" spans="1:33" ht="15" customHeight="1">
      <c r="A1043" s="286"/>
      <c r="B1043" s="98"/>
      <c r="C1043" s="98"/>
      <c r="D1043" s="98"/>
      <c r="E1043" s="98"/>
      <c r="F1043" s="98"/>
      <c r="G1043" s="98"/>
      <c r="H1043" s="98"/>
      <c r="I1043" s="98"/>
      <c r="J1043" s="98"/>
      <c r="K1043" s="98"/>
      <c r="L1043" s="98"/>
      <c r="M1043" s="98"/>
      <c r="N1043" s="98"/>
      <c r="O1043" s="98"/>
      <c r="P1043" s="98"/>
      <c r="Q1043" s="98"/>
      <c r="R1043" s="98"/>
      <c r="S1043" s="98"/>
      <c r="T1043" s="98"/>
      <c r="U1043" s="98"/>
      <c r="V1043" s="98"/>
      <c r="W1043" s="98"/>
      <c r="X1043" s="98"/>
      <c r="Y1043" s="98"/>
      <c r="Z1043" s="98"/>
      <c r="AA1043" s="98"/>
      <c r="AB1043" s="98"/>
      <c r="AC1043" s="98"/>
      <c r="AD1043" s="98"/>
      <c r="AE1043" s="98"/>
      <c r="AF1043" s="98"/>
      <c r="AG1043" s="98"/>
    </row>
    <row r="1044" spans="1:33" ht="15" customHeight="1">
      <c r="A1044" s="286"/>
      <c r="B1044" s="98"/>
      <c r="C1044" s="98"/>
      <c r="D1044" s="98"/>
      <c r="E1044" s="98"/>
      <c r="F1044" s="98"/>
      <c r="G1044" s="98"/>
      <c r="H1044" s="98"/>
      <c r="I1044" s="98"/>
      <c r="J1044" s="98"/>
      <c r="K1044" s="98"/>
      <c r="L1044" s="98"/>
      <c r="M1044" s="98"/>
      <c r="N1044" s="98"/>
      <c r="O1044" s="98"/>
      <c r="P1044" s="98"/>
      <c r="Q1044" s="98"/>
      <c r="R1044" s="98"/>
      <c r="S1044" s="98"/>
      <c r="T1044" s="98"/>
      <c r="U1044" s="98"/>
      <c r="V1044" s="98"/>
      <c r="W1044" s="98"/>
      <c r="X1044" s="98"/>
      <c r="Y1044" s="98"/>
      <c r="Z1044" s="98"/>
      <c r="AA1044" s="98"/>
      <c r="AB1044" s="98"/>
      <c r="AC1044" s="98"/>
      <c r="AD1044" s="98"/>
      <c r="AE1044" s="98"/>
      <c r="AF1044" s="98"/>
      <c r="AG1044" s="98"/>
    </row>
    <row r="1045" spans="1:33" ht="15" customHeight="1">
      <c r="A1045" s="286"/>
      <c r="B1045" s="98"/>
      <c r="C1045" s="98"/>
      <c r="D1045" s="98"/>
      <c r="E1045" s="98"/>
      <c r="F1045" s="98"/>
      <c r="G1045" s="98"/>
      <c r="H1045" s="98"/>
      <c r="I1045" s="98"/>
      <c r="J1045" s="98"/>
      <c r="K1045" s="98"/>
      <c r="L1045" s="98"/>
      <c r="M1045" s="98"/>
      <c r="N1045" s="98"/>
      <c r="O1045" s="98"/>
      <c r="P1045" s="98"/>
      <c r="Q1045" s="98"/>
      <c r="R1045" s="98"/>
      <c r="S1045" s="98"/>
      <c r="T1045" s="98"/>
      <c r="U1045" s="98"/>
      <c r="V1045" s="98"/>
      <c r="W1045" s="98"/>
      <c r="X1045" s="98"/>
      <c r="Y1045" s="98"/>
      <c r="Z1045" s="98"/>
      <c r="AA1045" s="98"/>
      <c r="AB1045" s="98"/>
      <c r="AC1045" s="98"/>
      <c r="AD1045" s="98"/>
      <c r="AE1045" s="98"/>
      <c r="AF1045" s="98"/>
      <c r="AG1045" s="98"/>
    </row>
    <row r="1046" spans="1:33" ht="15" customHeight="1">
      <c r="A1046" s="286"/>
      <c r="B1046" s="98"/>
      <c r="C1046" s="98"/>
      <c r="D1046" s="98"/>
      <c r="E1046" s="98"/>
      <c r="F1046" s="98"/>
      <c r="G1046" s="98"/>
      <c r="H1046" s="98"/>
      <c r="I1046" s="98"/>
      <c r="J1046" s="98"/>
      <c r="K1046" s="98"/>
      <c r="L1046" s="98"/>
      <c r="M1046" s="98"/>
      <c r="N1046" s="98"/>
      <c r="O1046" s="98"/>
      <c r="P1046" s="98"/>
      <c r="Q1046" s="98"/>
      <c r="R1046" s="98"/>
      <c r="S1046" s="98"/>
      <c r="T1046" s="98"/>
      <c r="U1046" s="98"/>
      <c r="V1046" s="98"/>
      <c r="W1046" s="98"/>
      <c r="X1046" s="98"/>
      <c r="Y1046" s="98"/>
      <c r="Z1046" s="98"/>
      <c r="AA1046" s="98"/>
      <c r="AB1046" s="98"/>
      <c r="AC1046" s="98"/>
      <c r="AD1046" s="98"/>
      <c r="AE1046" s="98"/>
      <c r="AF1046" s="98"/>
      <c r="AG1046" s="98"/>
    </row>
    <row r="1047" spans="1:33" ht="15" customHeight="1">
      <c r="A1047" s="286"/>
      <c r="B1047" s="98"/>
      <c r="C1047" s="98"/>
      <c r="D1047" s="98"/>
      <c r="E1047" s="98"/>
      <c r="F1047" s="98"/>
      <c r="G1047" s="98"/>
      <c r="H1047" s="98"/>
      <c r="I1047" s="98"/>
      <c r="J1047" s="98"/>
      <c r="K1047" s="98"/>
      <c r="L1047" s="98"/>
      <c r="M1047" s="98"/>
      <c r="N1047" s="98"/>
      <c r="O1047" s="98"/>
      <c r="P1047" s="98"/>
      <c r="Q1047" s="98"/>
      <c r="R1047" s="98"/>
      <c r="S1047" s="98"/>
      <c r="T1047" s="98"/>
      <c r="U1047" s="98"/>
      <c r="V1047" s="98"/>
      <c r="W1047" s="98"/>
      <c r="X1047" s="98"/>
      <c r="Y1047" s="98"/>
      <c r="Z1047" s="98"/>
      <c r="AA1047" s="98"/>
      <c r="AB1047" s="98"/>
      <c r="AC1047" s="98"/>
      <c r="AD1047" s="98"/>
      <c r="AE1047" s="98"/>
      <c r="AF1047" s="98"/>
      <c r="AG1047" s="98"/>
    </row>
    <row r="1048" spans="1:33" ht="15" customHeight="1">
      <c r="A1048" s="286"/>
      <c r="B1048" s="98"/>
      <c r="C1048" s="98"/>
      <c r="D1048" s="98"/>
      <c r="E1048" s="98"/>
      <c r="F1048" s="98"/>
      <c r="G1048" s="98"/>
      <c r="H1048" s="98"/>
      <c r="I1048" s="98"/>
      <c r="J1048" s="98"/>
      <c r="K1048" s="98"/>
      <c r="L1048" s="98"/>
      <c r="M1048" s="98"/>
      <c r="N1048" s="98"/>
      <c r="O1048" s="98"/>
      <c r="P1048" s="98"/>
      <c r="Q1048" s="98"/>
      <c r="R1048" s="98"/>
      <c r="S1048" s="98"/>
      <c r="T1048" s="98"/>
      <c r="U1048" s="98"/>
      <c r="V1048" s="98"/>
      <c r="W1048" s="98"/>
      <c r="X1048" s="98"/>
      <c r="Y1048" s="98"/>
      <c r="Z1048" s="98"/>
      <c r="AA1048" s="98"/>
      <c r="AB1048" s="98"/>
      <c r="AC1048" s="98"/>
      <c r="AD1048" s="98"/>
      <c r="AE1048" s="98"/>
      <c r="AF1048" s="98"/>
      <c r="AG1048" s="98"/>
    </row>
    <row r="1049" spans="1:33" ht="15" customHeight="1">
      <c r="A1049" s="286"/>
      <c r="B1049" s="98"/>
      <c r="C1049" s="98"/>
      <c r="D1049" s="98"/>
      <c r="E1049" s="98"/>
      <c r="F1049" s="98"/>
      <c r="G1049" s="98"/>
      <c r="H1049" s="98"/>
      <c r="I1049" s="98"/>
      <c r="J1049" s="98"/>
      <c r="K1049" s="98"/>
      <c r="L1049" s="98"/>
      <c r="M1049" s="98"/>
      <c r="N1049" s="98"/>
      <c r="O1049" s="98"/>
      <c r="P1049" s="98"/>
      <c r="Q1049" s="98"/>
      <c r="R1049" s="98"/>
      <c r="S1049" s="98"/>
      <c r="T1049" s="98"/>
      <c r="U1049" s="98"/>
      <c r="V1049" s="98"/>
      <c r="W1049" s="98"/>
      <c r="X1049" s="98"/>
      <c r="Y1049" s="98"/>
      <c r="Z1049" s="98"/>
      <c r="AA1049" s="98"/>
      <c r="AB1049" s="98"/>
      <c r="AC1049" s="98"/>
      <c r="AD1049" s="98"/>
      <c r="AE1049" s="98"/>
      <c r="AF1049" s="98"/>
      <c r="AG1049" s="98"/>
    </row>
    <row r="1050" spans="1:33" ht="15" customHeight="1">
      <c r="A1050" s="286"/>
      <c r="B1050" s="98"/>
      <c r="C1050" s="98"/>
      <c r="D1050" s="98"/>
      <c r="E1050" s="98"/>
      <c r="F1050" s="98"/>
      <c r="G1050" s="98"/>
      <c r="H1050" s="98"/>
      <c r="I1050" s="98"/>
      <c r="J1050" s="98"/>
      <c r="K1050" s="98"/>
      <c r="L1050" s="98"/>
      <c r="M1050" s="98"/>
      <c r="N1050" s="98"/>
      <c r="O1050" s="98"/>
      <c r="P1050" s="98"/>
      <c r="Q1050" s="98"/>
      <c r="R1050" s="98"/>
      <c r="S1050" s="98"/>
      <c r="T1050" s="98"/>
      <c r="U1050" s="98"/>
      <c r="V1050" s="98"/>
      <c r="W1050" s="98"/>
      <c r="X1050" s="98"/>
      <c r="Y1050" s="98"/>
      <c r="Z1050" s="98"/>
      <c r="AA1050" s="98"/>
      <c r="AB1050" s="98"/>
      <c r="AC1050" s="98"/>
      <c r="AD1050" s="98"/>
      <c r="AE1050" s="98"/>
      <c r="AF1050" s="98"/>
      <c r="AG1050" s="98"/>
    </row>
    <row r="1051" spans="1:33" ht="15" customHeight="1">
      <c r="A1051" s="286"/>
      <c r="B1051" s="98"/>
      <c r="C1051" s="98"/>
      <c r="D1051" s="98"/>
      <c r="E1051" s="98"/>
      <c r="F1051" s="98"/>
      <c r="G1051" s="98"/>
      <c r="H1051" s="98"/>
      <c r="I1051" s="98"/>
      <c r="J1051" s="98"/>
      <c r="K1051" s="98"/>
      <c r="L1051" s="98"/>
      <c r="M1051" s="98"/>
      <c r="N1051" s="98"/>
      <c r="O1051" s="98"/>
      <c r="P1051" s="98"/>
      <c r="Q1051" s="98"/>
      <c r="R1051" s="98"/>
      <c r="S1051" s="98"/>
      <c r="T1051" s="98"/>
      <c r="U1051" s="98"/>
      <c r="V1051" s="98"/>
      <c r="W1051" s="98"/>
      <c r="X1051" s="98"/>
      <c r="Y1051" s="98"/>
      <c r="Z1051" s="98"/>
      <c r="AA1051" s="98"/>
      <c r="AB1051" s="98"/>
      <c r="AC1051" s="98"/>
      <c r="AD1051" s="98"/>
      <c r="AE1051" s="98"/>
      <c r="AF1051" s="98"/>
      <c r="AG1051" s="98"/>
    </row>
    <row r="1052" spans="1:33" ht="15" customHeight="1">
      <c r="A1052" s="286"/>
      <c r="B1052" s="98"/>
      <c r="C1052" s="98"/>
      <c r="D1052" s="98"/>
      <c r="E1052" s="98"/>
      <c r="F1052" s="98"/>
      <c r="G1052" s="98"/>
      <c r="H1052" s="98"/>
      <c r="I1052" s="98"/>
      <c r="J1052" s="98"/>
      <c r="K1052" s="98"/>
      <c r="L1052" s="98"/>
      <c r="M1052" s="98"/>
      <c r="N1052" s="98"/>
      <c r="O1052" s="98"/>
      <c r="P1052" s="98"/>
      <c r="Q1052" s="98"/>
      <c r="R1052" s="98"/>
      <c r="S1052" s="98"/>
      <c r="T1052" s="98"/>
      <c r="U1052" s="98"/>
      <c r="V1052" s="98"/>
      <c r="W1052" s="98"/>
      <c r="X1052" s="98"/>
      <c r="Y1052" s="98"/>
      <c r="Z1052" s="98"/>
      <c r="AA1052" s="98"/>
      <c r="AB1052" s="98"/>
      <c r="AC1052" s="98"/>
      <c r="AD1052" s="98"/>
      <c r="AE1052" s="98"/>
      <c r="AF1052" s="98"/>
      <c r="AG1052" s="98"/>
    </row>
    <row r="1053" spans="1:33" ht="15" customHeight="1">
      <c r="A1053" s="286"/>
      <c r="B1053" s="98"/>
      <c r="C1053" s="98"/>
      <c r="D1053" s="98"/>
      <c r="E1053" s="98"/>
      <c r="F1053" s="98"/>
      <c r="G1053" s="98"/>
      <c r="H1053" s="98"/>
      <c r="I1053" s="98"/>
      <c r="J1053" s="98"/>
      <c r="K1053" s="98"/>
      <c r="L1053" s="98"/>
      <c r="M1053" s="98"/>
      <c r="N1053" s="98"/>
      <c r="O1053" s="98"/>
      <c r="P1053" s="98"/>
      <c r="Q1053" s="98"/>
      <c r="R1053" s="98"/>
      <c r="S1053" s="98"/>
      <c r="T1053" s="98"/>
      <c r="U1053" s="98"/>
      <c r="V1053" s="98"/>
      <c r="W1053" s="98"/>
      <c r="X1053" s="98"/>
      <c r="Y1053" s="98"/>
      <c r="Z1053" s="98"/>
      <c r="AA1053" s="98"/>
      <c r="AB1053" s="98"/>
      <c r="AC1053" s="98"/>
      <c r="AD1053" s="98"/>
      <c r="AE1053" s="98"/>
      <c r="AF1053" s="98"/>
      <c r="AG1053" s="98"/>
    </row>
    <row r="1054" spans="1:33" ht="15" customHeight="1">
      <c r="A1054" s="286"/>
      <c r="B1054" s="98"/>
      <c r="C1054" s="98"/>
      <c r="D1054" s="98"/>
      <c r="E1054" s="98"/>
      <c r="F1054" s="98"/>
      <c r="G1054" s="98"/>
      <c r="H1054" s="98"/>
      <c r="I1054" s="98"/>
      <c r="J1054" s="98"/>
      <c r="K1054" s="98"/>
      <c r="L1054" s="98"/>
      <c r="M1054" s="98"/>
      <c r="N1054" s="98"/>
      <c r="O1054" s="98"/>
      <c r="P1054" s="98"/>
      <c r="Q1054" s="98"/>
      <c r="R1054" s="98"/>
      <c r="S1054" s="98"/>
      <c r="T1054" s="98"/>
      <c r="U1054" s="98"/>
      <c r="V1054" s="98"/>
      <c r="W1054" s="98"/>
      <c r="X1054" s="98"/>
      <c r="Y1054" s="98"/>
      <c r="Z1054" s="98"/>
      <c r="AA1054" s="98"/>
      <c r="AB1054" s="98"/>
      <c r="AC1054" s="98"/>
      <c r="AD1054" s="98"/>
      <c r="AE1054" s="98"/>
      <c r="AF1054" s="98"/>
      <c r="AG1054" s="98"/>
    </row>
    <row r="1055" spans="1:33" ht="15" customHeight="1">
      <c r="A1055" s="286"/>
      <c r="B1055" s="98"/>
      <c r="C1055" s="98"/>
      <c r="D1055" s="98"/>
      <c r="E1055" s="98"/>
      <c r="F1055" s="98"/>
      <c r="G1055" s="98"/>
      <c r="H1055" s="98"/>
      <c r="I1055" s="98"/>
      <c r="J1055" s="98"/>
      <c r="K1055" s="98"/>
      <c r="L1055" s="98"/>
      <c r="M1055" s="98"/>
      <c r="N1055" s="98"/>
      <c r="O1055" s="98"/>
      <c r="P1055" s="98"/>
      <c r="Q1055" s="98"/>
      <c r="R1055" s="98"/>
      <c r="S1055" s="98"/>
      <c r="T1055" s="98"/>
      <c r="U1055" s="98"/>
      <c r="V1055" s="98"/>
      <c r="W1055" s="98"/>
      <c r="X1055" s="98"/>
      <c r="Y1055" s="98"/>
      <c r="Z1055" s="98"/>
      <c r="AA1055" s="98"/>
      <c r="AB1055" s="98"/>
      <c r="AC1055" s="98"/>
      <c r="AD1055" s="98"/>
      <c r="AE1055" s="98"/>
      <c r="AF1055" s="98"/>
      <c r="AG1055" s="98"/>
    </row>
    <row r="1056" spans="1:33" ht="15" customHeight="1">
      <c r="A1056" s="286"/>
      <c r="B1056" s="98"/>
      <c r="C1056" s="98"/>
      <c r="D1056" s="98"/>
      <c r="E1056" s="98"/>
      <c r="F1056" s="98"/>
      <c r="G1056" s="98"/>
      <c r="H1056" s="98"/>
      <c r="I1056" s="98"/>
      <c r="J1056" s="98"/>
      <c r="K1056" s="98"/>
      <c r="L1056" s="98"/>
      <c r="M1056" s="98"/>
      <c r="N1056" s="98"/>
      <c r="O1056" s="98"/>
      <c r="P1056" s="98"/>
      <c r="Q1056" s="98"/>
      <c r="R1056" s="98"/>
      <c r="S1056" s="98"/>
      <c r="T1056" s="98"/>
      <c r="U1056" s="98"/>
      <c r="V1056" s="98"/>
      <c r="W1056" s="98"/>
      <c r="X1056" s="98"/>
      <c r="Y1056" s="98"/>
      <c r="Z1056" s="98"/>
      <c r="AA1056" s="98"/>
      <c r="AB1056" s="98"/>
      <c r="AC1056" s="98"/>
      <c r="AD1056" s="98"/>
      <c r="AE1056" s="98"/>
      <c r="AF1056" s="98"/>
      <c r="AG1056" s="98"/>
    </row>
    <row r="1057" spans="1:33" ht="15" customHeight="1">
      <c r="A1057" s="286"/>
      <c r="B1057" s="98"/>
      <c r="C1057" s="98"/>
      <c r="D1057" s="98"/>
      <c r="E1057" s="98"/>
      <c r="F1057" s="98"/>
      <c r="G1057" s="98"/>
      <c r="H1057" s="98"/>
      <c r="I1057" s="98"/>
      <c r="J1057" s="98"/>
      <c r="K1057" s="98"/>
      <c r="L1057" s="98"/>
      <c r="M1057" s="98"/>
      <c r="N1057" s="98"/>
      <c r="O1057" s="98"/>
      <c r="P1057" s="98"/>
      <c r="Q1057" s="98"/>
      <c r="R1057" s="98"/>
      <c r="S1057" s="98"/>
      <c r="T1057" s="98"/>
      <c r="U1057" s="98"/>
      <c r="V1057" s="98"/>
      <c r="W1057" s="98"/>
      <c r="X1057" s="98"/>
      <c r="Y1057" s="98"/>
      <c r="Z1057" s="98"/>
      <c r="AA1057" s="98"/>
      <c r="AB1057" s="98"/>
      <c r="AC1057" s="98"/>
      <c r="AD1057" s="98"/>
      <c r="AE1057" s="98"/>
      <c r="AF1057" s="98"/>
      <c r="AG1057" s="98"/>
    </row>
    <row r="1058" spans="1:33" ht="15" customHeight="1">
      <c r="A1058" s="286"/>
      <c r="B1058" s="98"/>
      <c r="C1058" s="98"/>
      <c r="D1058" s="98"/>
      <c r="E1058" s="98"/>
      <c r="F1058" s="98"/>
      <c r="G1058" s="98"/>
      <c r="H1058" s="98"/>
      <c r="I1058" s="98"/>
      <c r="J1058" s="98"/>
      <c r="K1058" s="98"/>
      <c r="L1058" s="98"/>
      <c r="M1058" s="98"/>
      <c r="N1058" s="98"/>
      <c r="O1058" s="98"/>
      <c r="P1058" s="98"/>
      <c r="Q1058" s="98"/>
      <c r="R1058" s="98"/>
      <c r="S1058" s="98"/>
      <c r="T1058" s="98"/>
      <c r="U1058" s="98"/>
      <c r="V1058" s="98"/>
      <c r="W1058" s="98"/>
      <c r="X1058" s="98"/>
      <c r="Y1058" s="98"/>
      <c r="Z1058" s="98"/>
      <c r="AA1058" s="98"/>
      <c r="AB1058" s="98"/>
      <c r="AC1058" s="98"/>
      <c r="AD1058" s="98"/>
      <c r="AE1058" s="98"/>
      <c r="AF1058" s="98"/>
      <c r="AG1058" s="98"/>
    </row>
    <row r="1059" spans="1:33" ht="15" customHeight="1">
      <c r="A1059" s="286"/>
      <c r="B1059" s="98"/>
      <c r="C1059" s="98"/>
      <c r="D1059" s="98"/>
      <c r="E1059" s="98"/>
      <c r="F1059" s="98"/>
      <c r="G1059" s="98"/>
      <c r="H1059" s="98"/>
      <c r="I1059" s="98"/>
      <c r="J1059" s="98"/>
      <c r="K1059" s="98"/>
      <c r="L1059" s="98"/>
      <c r="M1059" s="98"/>
      <c r="N1059" s="98"/>
      <c r="O1059" s="98"/>
      <c r="P1059" s="98"/>
      <c r="Q1059" s="98"/>
      <c r="R1059" s="98"/>
      <c r="S1059" s="98"/>
      <c r="T1059" s="98"/>
      <c r="U1059" s="98"/>
      <c r="V1059" s="98"/>
      <c r="W1059" s="98"/>
      <c r="X1059" s="98"/>
      <c r="Y1059" s="98"/>
      <c r="Z1059" s="98"/>
      <c r="AA1059" s="98"/>
      <c r="AB1059" s="98"/>
      <c r="AC1059" s="98"/>
      <c r="AD1059" s="98"/>
      <c r="AE1059" s="98"/>
      <c r="AF1059" s="98"/>
      <c r="AG1059" s="98"/>
    </row>
    <row r="1060" spans="1:33" ht="15" customHeight="1">
      <c r="A1060" s="286"/>
      <c r="B1060" s="98"/>
      <c r="C1060" s="98"/>
      <c r="D1060" s="98"/>
      <c r="E1060" s="98"/>
      <c r="F1060" s="98"/>
      <c r="G1060" s="98"/>
      <c r="H1060" s="98"/>
      <c r="I1060" s="98"/>
      <c r="J1060" s="98"/>
      <c r="K1060" s="98"/>
      <c r="L1060" s="98"/>
      <c r="M1060" s="98"/>
      <c r="N1060" s="98"/>
      <c r="O1060" s="98"/>
      <c r="P1060" s="98"/>
      <c r="Q1060" s="98"/>
      <c r="R1060" s="98"/>
      <c r="S1060" s="98"/>
      <c r="T1060" s="98"/>
      <c r="U1060" s="98"/>
      <c r="V1060" s="98"/>
      <c r="W1060" s="98"/>
      <c r="X1060" s="98"/>
      <c r="Y1060" s="98"/>
      <c r="Z1060" s="98"/>
      <c r="AA1060" s="98"/>
      <c r="AB1060" s="98"/>
      <c r="AC1060" s="98"/>
      <c r="AD1060" s="98"/>
      <c r="AE1060" s="98"/>
      <c r="AF1060" s="98"/>
      <c r="AG1060" s="98"/>
    </row>
    <row r="1061" spans="1:33" ht="15" customHeight="1">
      <c r="A1061" s="286"/>
      <c r="B1061" s="98"/>
      <c r="C1061" s="98"/>
      <c r="D1061" s="98"/>
      <c r="E1061" s="98"/>
      <c r="F1061" s="98"/>
      <c r="G1061" s="98"/>
      <c r="H1061" s="98"/>
      <c r="I1061" s="98"/>
      <c r="J1061" s="98"/>
      <c r="K1061" s="98"/>
      <c r="L1061" s="98"/>
      <c r="M1061" s="98"/>
      <c r="N1061" s="98"/>
      <c r="O1061" s="98"/>
      <c r="P1061" s="98"/>
      <c r="Q1061" s="98"/>
      <c r="R1061" s="98"/>
      <c r="S1061" s="98"/>
      <c r="T1061" s="98"/>
      <c r="U1061" s="98"/>
      <c r="V1061" s="98"/>
      <c r="W1061" s="98"/>
      <c r="X1061" s="98"/>
      <c r="Y1061" s="98"/>
      <c r="Z1061" s="98"/>
      <c r="AA1061" s="98"/>
      <c r="AB1061" s="98"/>
      <c r="AC1061" s="98"/>
      <c r="AD1061" s="98"/>
      <c r="AE1061" s="98"/>
      <c r="AF1061" s="98"/>
      <c r="AG1061" s="98"/>
    </row>
    <row r="1062" spans="1:33" ht="15" customHeight="1">
      <c r="A1062" s="286"/>
      <c r="B1062" s="98"/>
      <c r="C1062" s="98"/>
      <c r="D1062" s="98"/>
      <c r="E1062" s="98"/>
      <c r="F1062" s="98"/>
      <c r="G1062" s="98"/>
      <c r="H1062" s="98"/>
      <c r="I1062" s="98"/>
      <c r="J1062" s="98"/>
      <c r="K1062" s="98"/>
      <c r="L1062" s="98"/>
      <c r="M1062" s="98"/>
      <c r="N1062" s="98"/>
      <c r="O1062" s="98"/>
      <c r="P1062" s="98"/>
      <c r="Q1062" s="98"/>
      <c r="R1062" s="98"/>
      <c r="S1062" s="98"/>
      <c r="T1062" s="98"/>
      <c r="U1062" s="98"/>
      <c r="V1062" s="98"/>
      <c r="W1062" s="98"/>
      <c r="X1062" s="98"/>
      <c r="Y1062" s="98"/>
      <c r="Z1062" s="98"/>
      <c r="AA1062" s="98"/>
      <c r="AB1062" s="98"/>
      <c r="AC1062" s="98"/>
      <c r="AD1062" s="98"/>
      <c r="AE1062" s="98"/>
      <c r="AF1062" s="98"/>
      <c r="AG1062" s="98"/>
    </row>
    <row r="1063" spans="1:33" ht="15" customHeight="1">
      <c r="A1063" s="286"/>
      <c r="B1063" s="98"/>
      <c r="C1063" s="98"/>
      <c r="D1063" s="98"/>
      <c r="E1063" s="98"/>
      <c r="F1063" s="98"/>
      <c r="G1063" s="98"/>
      <c r="H1063" s="98"/>
      <c r="I1063" s="98"/>
      <c r="J1063" s="98"/>
      <c r="K1063" s="98"/>
      <c r="L1063" s="98"/>
      <c r="M1063" s="98"/>
      <c r="N1063" s="98"/>
      <c r="O1063" s="98"/>
      <c r="P1063" s="98"/>
      <c r="Q1063" s="98"/>
      <c r="R1063" s="98"/>
      <c r="S1063" s="98"/>
      <c r="T1063" s="98"/>
      <c r="U1063" s="98"/>
      <c r="V1063" s="98"/>
      <c r="W1063" s="98"/>
      <c r="X1063" s="98"/>
      <c r="Y1063" s="98"/>
      <c r="Z1063" s="98"/>
      <c r="AA1063" s="98"/>
      <c r="AB1063" s="98"/>
      <c r="AC1063" s="98"/>
      <c r="AD1063" s="98"/>
      <c r="AE1063" s="98"/>
      <c r="AF1063" s="98"/>
      <c r="AG1063" s="98"/>
    </row>
    <row r="1064" spans="1:33" ht="15" customHeight="1">
      <c r="A1064" s="286"/>
      <c r="B1064" s="98"/>
      <c r="C1064" s="98"/>
      <c r="D1064" s="98"/>
      <c r="E1064" s="98"/>
      <c r="F1064" s="98"/>
      <c r="G1064" s="98"/>
      <c r="H1064" s="98"/>
      <c r="I1064" s="98"/>
      <c r="J1064" s="98"/>
      <c r="K1064" s="98"/>
      <c r="L1064" s="98"/>
      <c r="M1064" s="98"/>
      <c r="N1064" s="98"/>
      <c r="O1064" s="98"/>
      <c r="P1064" s="98"/>
      <c r="Q1064" s="98"/>
      <c r="R1064" s="98"/>
      <c r="S1064" s="98"/>
      <c r="T1064" s="98"/>
      <c r="U1064" s="98"/>
      <c r="V1064" s="98"/>
      <c r="W1064" s="98"/>
      <c r="X1064" s="98"/>
      <c r="Y1064" s="98"/>
      <c r="Z1064" s="98"/>
      <c r="AA1064" s="98"/>
      <c r="AB1064" s="98"/>
      <c r="AC1064" s="98"/>
      <c r="AD1064" s="98"/>
      <c r="AE1064" s="98"/>
      <c r="AF1064" s="98"/>
      <c r="AG1064" s="98"/>
    </row>
    <row r="1065" spans="1:33" ht="15" customHeight="1">
      <c r="A1065" s="286"/>
      <c r="B1065" s="98"/>
      <c r="C1065" s="98"/>
      <c r="D1065" s="98"/>
      <c r="E1065" s="98"/>
      <c r="F1065" s="98"/>
      <c r="G1065" s="98"/>
      <c r="H1065" s="98"/>
      <c r="I1065" s="98"/>
      <c r="J1065" s="98"/>
      <c r="K1065" s="98"/>
      <c r="L1065" s="98"/>
      <c r="M1065" s="98"/>
      <c r="N1065" s="98"/>
      <c r="O1065" s="98"/>
      <c r="P1065" s="98"/>
      <c r="Q1065" s="98"/>
      <c r="R1065" s="98"/>
      <c r="S1065" s="98"/>
      <c r="T1065" s="98"/>
      <c r="U1065" s="98"/>
      <c r="V1065" s="98"/>
      <c r="W1065" s="98"/>
      <c r="X1065" s="98"/>
      <c r="Y1065" s="98"/>
      <c r="Z1065" s="98"/>
      <c r="AA1065" s="98"/>
      <c r="AB1065" s="98"/>
      <c r="AC1065" s="98"/>
      <c r="AD1065" s="98"/>
      <c r="AE1065" s="98"/>
      <c r="AF1065" s="98"/>
      <c r="AG1065" s="98"/>
    </row>
    <row r="1066" spans="1:33" ht="15" customHeight="1">
      <c r="A1066" s="286"/>
      <c r="B1066" s="98"/>
      <c r="C1066" s="98"/>
      <c r="D1066" s="98"/>
      <c r="E1066" s="98"/>
      <c r="F1066" s="98"/>
      <c r="G1066" s="98"/>
      <c r="H1066" s="98"/>
      <c r="I1066" s="98"/>
      <c r="J1066" s="98"/>
      <c r="K1066" s="98"/>
      <c r="L1066" s="98"/>
      <c r="M1066" s="98"/>
      <c r="N1066" s="98"/>
      <c r="O1066" s="98"/>
      <c r="P1066" s="98"/>
      <c r="Q1066" s="98"/>
      <c r="R1066" s="98"/>
      <c r="S1066" s="98"/>
      <c r="T1066" s="98"/>
      <c r="U1066" s="98"/>
      <c r="V1066" s="98"/>
      <c r="W1066" s="98"/>
      <c r="X1066" s="98"/>
      <c r="Y1066" s="98"/>
      <c r="Z1066" s="98"/>
      <c r="AA1066" s="98"/>
      <c r="AB1066" s="98"/>
      <c r="AC1066" s="98"/>
      <c r="AD1066" s="98"/>
      <c r="AE1066" s="98"/>
      <c r="AF1066" s="98"/>
      <c r="AG1066" s="98"/>
    </row>
    <row r="1067" spans="1:33" ht="15" customHeight="1">
      <c r="A1067" s="286"/>
      <c r="B1067" s="98"/>
      <c r="C1067" s="98"/>
      <c r="D1067" s="98"/>
      <c r="E1067" s="98"/>
      <c r="F1067" s="98"/>
      <c r="G1067" s="98"/>
      <c r="H1067" s="98"/>
      <c r="I1067" s="98"/>
      <c r="J1067" s="98"/>
      <c r="K1067" s="98"/>
      <c r="L1067" s="98"/>
      <c r="M1067" s="98"/>
      <c r="N1067" s="98"/>
      <c r="O1067" s="98"/>
      <c r="P1067" s="98"/>
      <c r="Q1067" s="98"/>
      <c r="R1067" s="98"/>
      <c r="S1067" s="98"/>
      <c r="T1067" s="98"/>
      <c r="U1067" s="98"/>
      <c r="V1067" s="98"/>
      <c r="W1067" s="98"/>
      <c r="X1067" s="98"/>
      <c r="Y1067" s="98"/>
      <c r="Z1067" s="98"/>
      <c r="AA1067" s="98"/>
      <c r="AB1067" s="98"/>
      <c r="AC1067" s="98"/>
      <c r="AD1067" s="98"/>
      <c r="AE1067" s="98"/>
      <c r="AF1067" s="98"/>
      <c r="AG1067" s="98"/>
    </row>
    <row r="1068" spans="1:33" ht="15" customHeight="1">
      <c r="A1068" s="286"/>
      <c r="B1068" s="98"/>
      <c r="C1068" s="98"/>
      <c r="D1068" s="98"/>
      <c r="E1068" s="98"/>
      <c r="F1068" s="98"/>
      <c r="G1068" s="98"/>
      <c r="H1068" s="98"/>
      <c r="I1068" s="98"/>
      <c r="J1068" s="98"/>
      <c r="K1068" s="98"/>
      <c r="L1068" s="98"/>
      <c r="M1068" s="98"/>
      <c r="N1068" s="98"/>
      <c r="O1068" s="98"/>
      <c r="P1068" s="98"/>
      <c r="Q1068" s="98"/>
      <c r="R1068" s="98"/>
      <c r="S1068" s="98"/>
      <c r="T1068" s="98"/>
      <c r="U1068" s="98"/>
      <c r="V1068" s="98"/>
      <c r="W1068" s="98"/>
      <c r="X1068" s="98"/>
      <c r="Y1068" s="98"/>
      <c r="Z1068" s="98"/>
      <c r="AA1068" s="98"/>
      <c r="AB1068" s="98"/>
      <c r="AC1068" s="98"/>
      <c r="AD1068" s="98"/>
      <c r="AE1068" s="98"/>
      <c r="AF1068" s="98"/>
      <c r="AG1068" s="98"/>
    </row>
  </sheetData>
  <mergeCells count="375">
    <mergeCell ref="J620:K620"/>
    <mergeCell ref="L620:M620"/>
    <mergeCell ref="N620:O620"/>
    <mergeCell ref="P620:Q620"/>
    <mergeCell ref="R620:S620"/>
    <mergeCell ref="N619:O619"/>
    <mergeCell ref="P619:Q619"/>
    <mergeCell ref="R619:S619"/>
    <mergeCell ref="T619:U619"/>
    <mergeCell ref="AB532:AC532"/>
    <mergeCell ref="AD620:AE620"/>
    <mergeCell ref="T620:U620"/>
    <mergeCell ref="V620:W620"/>
    <mergeCell ref="X620:Y620"/>
    <mergeCell ref="Z620:AA620"/>
    <mergeCell ref="AB620:AC620"/>
    <mergeCell ref="X619:Y619"/>
    <mergeCell ref="Z619:AA619"/>
    <mergeCell ref="AB619:AC619"/>
    <mergeCell ref="J618:K618"/>
    <mergeCell ref="V532:W532"/>
    <mergeCell ref="X532:Y532"/>
    <mergeCell ref="Z532:AA532"/>
    <mergeCell ref="AD619:AE619"/>
    <mergeCell ref="AD532:AE532"/>
    <mergeCell ref="L532:M532"/>
    <mergeCell ref="N532:O532"/>
    <mergeCell ref="P532:Q532"/>
    <mergeCell ref="R532:S532"/>
    <mergeCell ref="T532:U532"/>
    <mergeCell ref="P618:Q618"/>
    <mergeCell ref="R618:S618"/>
    <mergeCell ref="AD618:AE618"/>
    <mergeCell ref="T618:U618"/>
    <mergeCell ref="V618:W618"/>
    <mergeCell ref="X618:Y618"/>
    <mergeCell ref="Z618:AA618"/>
    <mergeCell ref="AB618:AC618"/>
    <mergeCell ref="L618:M618"/>
    <mergeCell ref="N618:O618"/>
    <mergeCell ref="J619:K619"/>
    <mergeCell ref="L619:M619"/>
    <mergeCell ref="V619:W619"/>
    <mergeCell ref="A618:A621"/>
    <mergeCell ref="B618:C618"/>
    <mergeCell ref="D618:E618"/>
    <mergeCell ref="F618:G618"/>
    <mergeCell ref="H618:I618"/>
    <mergeCell ref="B620:C620"/>
    <mergeCell ref="D620:E620"/>
    <mergeCell ref="F620:G620"/>
    <mergeCell ref="H620:I620"/>
    <mergeCell ref="B619:C619"/>
    <mergeCell ref="D619:E619"/>
    <mergeCell ref="F619:G619"/>
    <mergeCell ref="H619:I619"/>
    <mergeCell ref="AD530:AE530"/>
    <mergeCell ref="B531:C531"/>
    <mergeCell ref="D531:E531"/>
    <mergeCell ref="F531:G531"/>
    <mergeCell ref="H531:I531"/>
    <mergeCell ref="J531:K531"/>
    <mergeCell ref="L531:M531"/>
    <mergeCell ref="N531:O531"/>
    <mergeCell ref="P531:Q531"/>
    <mergeCell ref="R531:S531"/>
    <mergeCell ref="T531:U531"/>
    <mergeCell ref="V531:W531"/>
    <mergeCell ref="X531:Y531"/>
    <mergeCell ref="Z531:AA531"/>
    <mergeCell ref="AB531:AC531"/>
    <mergeCell ref="AD531:AE531"/>
    <mergeCell ref="R530:S530"/>
    <mergeCell ref="T530:U530"/>
    <mergeCell ref="V530:W530"/>
    <mergeCell ref="X530:Y530"/>
    <mergeCell ref="Z530:AA530"/>
    <mergeCell ref="AB530:AC530"/>
    <mergeCell ref="A530:A533"/>
    <mergeCell ref="B530:C530"/>
    <mergeCell ref="D530:E530"/>
    <mergeCell ref="F530:G530"/>
    <mergeCell ref="H530:I530"/>
    <mergeCell ref="J530:K530"/>
    <mergeCell ref="L530:M530"/>
    <mergeCell ref="N530:O530"/>
    <mergeCell ref="P530:Q530"/>
    <mergeCell ref="B532:C532"/>
    <mergeCell ref="D532:E532"/>
    <mergeCell ref="F532:G532"/>
    <mergeCell ref="H532:I532"/>
    <mergeCell ref="J532:K532"/>
    <mergeCell ref="AB443:AC443"/>
    <mergeCell ref="AD443:AE443"/>
    <mergeCell ref="B444:C444"/>
    <mergeCell ref="D444:E444"/>
    <mergeCell ref="F444:G444"/>
    <mergeCell ref="H444:I444"/>
    <mergeCell ref="J444:K444"/>
    <mergeCell ref="L444:M444"/>
    <mergeCell ref="N444:O444"/>
    <mergeCell ref="P444:Q444"/>
    <mergeCell ref="R444:S444"/>
    <mergeCell ref="T444:U444"/>
    <mergeCell ref="V444:W444"/>
    <mergeCell ref="X444:Y444"/>
    <mergeCell ref="Z444:AA444"/>
    <mergeCell ref="AB444:AC444"/>
    <mergeCell ref="R443:S443"/>
    <mergeCell ref="T443:U443"/>
    <mergeCell ref="V443:W443"/>
    <mergeCell ref="X443:Y443"/>
    <mergeCell ref="Z443:AA443"/>
    <mergeCell ref="AD444:AE444"/>
    <mergeCell ref="T356:U356"/>
    <mergeCell ref="V356:W356"/>
    <mergeCell ref="X356:Y356"/>
    <mergeCell ref="Z356:AA356"/>
    <mergeCell ref="AB356:AC356"/>
    <mergeCell ref="J356:K356"/>
    <mergeCell ref="L356:M356"/>
    <mergeCell ref="N356:O356"/>
    <mergeCell ref="P356:Q356"/>
    <mergeCell ref="R356:S356"/>
    <mergeCell ref="V91:W91"/>
    <mergeCell ref="X91:Y91"/>
    <mergeCell ref="Z91:AA91"/>
    <mergeCell ref="AB91:AC91"/>
    <mergeCell ref="J91:K91"/>
    <mergeCell ref="L91:M91"/>
    <mergeCell ref="N91:O91"/>
    <mergeCell ref="T267:U267"/>
    <mergeCell ref="V267:W267"/>
    <mergeCell ref="X267:Y267"/>
    <mergeCell ref="Z267:AA267"/>
    <mergeCell ref="AB267:AC267"/>
    <mergeCell ref="J267:K267"/>
    <mergeCell ref="L267:M267"/>
    <mergeCell ref="N267:O267"/>
    <mergeCell ref="P267:Q267"/>
    <mergeCell ref="R267:S267"/>
    <mergeCell ref="J266:K266"/>
    <mergeCell ref="P180:Q180"/>
    <mergeCell ref="R180:S180"/>
    <mergeCell ref="T180:U180"/>
    <mergeCell ref="P266:Q266"/>
    <mergeCell ref="R266:S266"/>
    <mergeCell ref="T266:U266"/>
    <mergeCell ref="H179:I179"/>
    <mergeCell ref="J179:K179"/>
    <mergeCell ref="L179:M179"/>
    <mergeCell ref="N179:O179"/>
    <mergeCell ref="P179:Q179"/>
    <mergeCell ref="R179:S179"/>
    <mergeCell ref="T179:U179"/>
    <mergeCell ref="V179:W179"/>
    <mergeCell ref="X179:Y179"/>
    <mergeCell ref="F3:G3"/>
    <mergeCell ref="H3:I3"/>
    <mergeCell ref="J3:K3"/>
    <mergeCell ref="L3:M3"/>
    <mergeCell ref="N3:O3"/>
    <mergeCell ref="P3:Q3"/>
    <mergeCell ref="R3:S3"/>
    <mergeCell ref="L90:M90"/>
    <mergeCell ref="N90:O90"/>
    <mergeCell ref="P90:Q90"/>
    <mergeCell ref="R90:S90"/>
    <mergeCell ref="V3:W3"/>
    <mergeCell ref="X3:Y3"/>
    <mergeCell ref="Z3:AA3"/>
    <mergeCell ref="AB3:AC3"/>
    <mergeCell ref="A442:A445"/>
    <mergeCell ref="B443:C443"/>
    <mergeCell ref="D443:E443"/>
    <mergeCell ref="F443:G443"/>
    <mergeCell ref="H443:I443"/>
    <mergeCell ref="J443:K443"/>
    <mergeCell ref="L443:M443"/>
    <mergeCell ref="N443:O443"/>
    <mergeCell ref="P443:Q443"/>
    <mergeCell ref="AB355:AC355"/>
    <mergeCell ref="AB92:AC92"/>
    <mergeCell ref="X441:Y441"/>
    <mergeCell ref="Z441:AA441"/>
    <mergeCell ref="X442:Y442"/>
    <mergeCell ref="Z442:AA442"/>
    <mergeCell ref="Z268:AA268"/>
    <mergeCell ref="X354:Y354"/>
    <mergeCell ref="Z354:AA354"/>
    <mergeCell ref="X355:Y355"/>
    <mergeCell ref="P91:Q91"/>
    <mergeCell ref="AD355:AE355"/>
    <mergeCell ref="AB441:AC441"/>
    <mergeCell ref="AD441:AE441"/>
    <mergeCell ref="AB442:AC442"/>
    <mergeCell ref="AD442:AE442"/>
    <mergeCell ref="AD356:AE356"/>
    <mergeCell ref="AB266:AC266"/>
    <mergeCell ref="AD266:AE266"/>
    <mergeCell ref="AB268:AC268"/>
    <mergeCell ref="AD268:AE268"/>
    <mergeCell ref="AB354:AC354"/>
    <mergeCell ref="AD354:AE354"/>
    <mergeCell ref="AD267:AE267"/>
    <mergeCell ref="AD92:AE92"/>
    <mergeCell ref="AB178:AC178"/>
    <mergeCell ref="AD178:AE178"/>
    <mergeCell ref="AB180:AC180"/>
    <mergeCell ref="AD180:AE180"/>
    <mergeCell ref="AB2:AC2"/>
    <mergeCell ref="AD2:AE2"/>
    <mergeCell ref="AB4:AC4"/>
    <mergeCell ref="AD4:AE4"/>
    <mergeCell ref="AB90:AC90"/>
    <mergeCell ref="AD90:AE90"/>
    <mergeCell ref="AD3:AE3"/>
    <mergeCell ref="AD91:AE91"/>
    <mergeCell ref="AB179:AC179"/>
    <mergeCell ref="AD179:AE179"/>
    <mergeCell ref="Z355:AA355"/>
    <mergeCell ref="X2:Y2"/>
    <mergeCell ref="Z2:AA2"/>
    <mergeCell ref="X90:Y90"/>
    <mergeCell ref="Z90:AA90"/>
    <mergeCell ref="X92:Y92"/>
    <mergeCell ref="Z92:AA92"/>
    <mergeCell ref="X178:Y178"/>
    <mergeCell ref="Z178:AA178"/>
    <mergeCell ref="X180:Y180"/>
    <mergeCell ref="Z180:AA180"/>
    <mergeCell ref="X266:Y266"/>
    <mergeCell ref="Z266:AA266"/>
    <mergeCell ref="X268:Y268"/>
    <mergeCell ref="Z179:AA179"/>
    <mergeCell ref="V354:W354"/>
    <mergeCell ref="V355:W355"/>
    <mergeCell ref="V441:W441"/>
    <mergeCell ref="V442:W442"/>
    <mergeCell ref="V92:W92"/>
    <mergeCell ref="V178:W178"/>
    <mergeCell ref="V180:W180"/>
    <mergeCell ref="V266:W266"/>
    <mergeCell ref="V268:W268"/>
    <mergeCell ref="V4:W4"/>
    <mergeCell ref="X4:Y4"/>
    <mergeCell ref="Z4:AA4"/>
    <mergeCell ref="V2:W2"/>
    <mergeCell ref="V90:W90"/>
    <mergeCell ref="T441:U441"/>
    <mergeCell ref="B442:C442"/>
    <mergeCell ref="D442:E442"/>
    <mergeCell ref="F442:G442"/>
    <mergeCell ref="H442:I442"/>
    <mergeCell ref="J442:K442"/>
    <mergeCell ref="L442:M442"/>
    <mergeCell ref="N442:O442"/>
    <mergeCell ref="P442:Q442"/>
    <mergeCell ref="R442:S442"/>
    <mergeCell ref="T442:U442"/>
    <mergeCell ref="R441:S441"/>
    <mergeCell ref="T354:U354"/>
    <mergeCell ref="B355:C355"/>
    <mergeCell ref="D355:E355"/>
    <mergeCell ref="F355:G355"/>
    <mergeCell ref="H355:I355"/>
    <mergeCell ref="J355:K355"/>
    <mergeCell ref="L355:M355"/>
    <mergeCell ref="N355:O355"/>
    <mergeCell ref="P355:Q355"/>
    <mergeCell ref="R355:S355"/>
    <mergeCell ref="T355:U355"/>
    <mergeCell ref="J354:K354"/>
    <mergeCell ref="L354:M354"/>
    <mergeCell ref="N354:O354"/>
    <mergeCell ref="P354:Q354"/>
    <mergeCell ref="R354:S354"/>
    <mergeCell ref="B354:C354"/>
    <mergeCell ref="D354:E354"/>
    <mergeCell ref="F354:G354"/>
    <mergeCell ref="H354:I354"/>
    <mergeCell ref="A354:A357"/>
    <mergeCell ref="B356:C356"/>
    <mergeCell ref="D356:E356"/>
    <mergeCell ref="F356:G356"/>
    <mergeCell ref="H356:I356"/>
    <mergeCell ref="R268:S268"/>
    <mergeCell ref="T268:U268"/>
    <mergeCell ref="B268:C268"/>
    <mergeCell ref="D268:E268"/>
    <mergeCell ref="F268:G268"/>
    <mergeCell ref="H268:I268"/>
    <mergeCell ref="J268:K268"/>
    <mergeCell ref="L268:M268"/>
    <mergeCell ref="N268:O268"/>
    <mergeCell ref="P268:Q268"/>
    <mergeCell ref="A266:A269"/>
    <mergeCell ref="B266:C266"/>
    <mergeCell ref="D266:E266"/>
    <mergeCell ref="F266:G266"/>
    <mergeCell ref="H266:I266"/>
    <mergeCell ref="B267:C267"/>
    <mergeCell ref="D267:E267"/>
    <mergeCell ref="F267:G267"/>
    <mergeCell ref="H267:I267"/>
    <mergeCell ref="B180:C180"/>
    <mergeCell ref="D180:E180"/>
    <mergeCell ref="F180:G180"/>
    <mergeCell ref="H180:I180"/>
    <mergeCell ref="J180:K180"/>
    <mergeCell ref="L180:M180"/>
    <mergeCell ref="N180:O180"/>
    <mergeCell ref="L266:M266"/>
    <mergeCell ref="N266:O266"/>
    <mergeCell ref="J178:K178"/>
    <mergeCell ref="L178:M178"/>
    <mergeCell ref="N178:O178"/>
    <mergeCell ref="P178:Q178"/>
    <mergeCell ref="R178:S178"/>
    <mergeCell ref="T178:U178"/>
    <mergeCell ref="R92:S92"/>
    <mergeCell ref="T92:U92"/>
    <mergeCell ref="A178:A181"/>
    <mergeCell ref="B178:C178"/>
    <mergeCell ref="D178:E178"/>
    <mergeCell ref="F178:G178"/>
    <mergeCell ref="H178:I178"/>
    <mergeCell ref="B92:C92"/>
    <mergeCell ref="D92:E92"/>
    <mergeCell ref="F92:G92"/>
    <mergeCell ref="H92:I92"/>
    <mergeCell ref="J92:K92"/>
    <mergeCell ref="L92:M92"/>
    <mergeCell ref="N92:O92"/>
    <mergeCell ref="P92:Q92"/>
    <mergeCell ref="B179:C179"/>
    <mergeCell ref="D179:E179"/>
    <mergeCell ref="F179:G179"/>
    <mergeCell ref="T90:U90"/>
    <mergeCell ref="A90:A93"/>
    <mergeCell ref="B90:C90"/>
    <mergeCell ref="D90:E90"/>
    <mergeCell ref="F90:G90"/>
    <mergeCell ref="H90:I90"/>
    <mergeCell ref="B91:C91"/>
    <mergeCell ref="D91:E91"/>
    <mergeCell ref="F91:G91"/>
    <mergeCell ref="H91:I91"/>
    <mergeCell ref="J90:K90"/>
    <mergeCell ref="R91:S91"/>
    <mergeCell ref="T91:U91"/>
    <mergeCell ref="P2:Q2"/>
    <mergeCell ref="R2:S2"/>
    <mergeCell ref="T2:U2"/>
    <mergeCell ref="A2:A5"/>
    <mergeCell ref="B2:C2"/>
    <mergeCell ref="D2:E2"/>
    <mergeCell ref="F2:G2"/>
    <mergeCell ref="H2:I2"/>
    <mergeCell ref="J2:K2"/>
    <mergeCell ref="L2:M2"/>
    <mergeCell ref="N2:O2"/>
    <mergeCell ref="L4:M4"/>
    <mergeCell ref="N4:O4"/>
    <mergeCell ref="P4:Q4"/>
    <mergeCell ref="R4:S4"/>
    <mergeCell ref="T4:U4"/>
    <mergeCell ref="B4:C4"/>
    <mergeCell ref="D4:E4"/>
    <mergeCell ref="F4:G4"/>
    <mergeCell ref="H4:I4"/>
    <mergeCell ref="J4:K4"/>
    <mergeCell ref="T3:U3"/>
    <mergeCell ref="B3:C3"/>
    <mergeCell ref="D3:E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R420"/>
  <sheetViews>
    <sheetView zoomScale="80" zoomScaleNormal="80" workbookViewId="0">
      <pane xSplit="1" ySplit="2" topLeftCell="HA3" activePane="bottomRight" state="frozen"/>
      <selection pane="bottomRight" activeCell="ET7" sqref="ET7"/>
      <selection pane="bottomLeft" activeCell="A3" sqref="A3"/>
      <selection pane="topRight" activeCell="B1" sqref="B1"/>
    </sheetView>
  </sheetViews>
  <sheetFormatPr defaultColWidth="9.28515625" defaultRowHeight="15.75" customHeight="1" outlineLevelRow="1" outlineLevelCol="1"/>
  <cols>
    <col min="1" max="1" width="25.7109375" style="4" customWidth="1"/>
    <col min="2" max="3" width="15.7109375" style="4" customWidth="1" outlineLevel="1"/>
    <col min="4" max="16" width="15.7109375" style="4" hidden="1" customWidth="1" outlineLevel="1"/>
    <col min="17" max="17" width="15.7109375" style="4" customWidth="1"/>
    <col min="18" max="19" width="15.7109375" style="4" customWidth="1" outlineLevel="1"/>
    <col min="20" max="32" width="15.7109375" style="4" hidden="1" customWidth="1" outlineLevel="1"/>
    <col min="33" max="33" width="15.7109375" style="4" customWidth="1"/>
    <col min="34" max="35" width="15.7109375" style="4" customWidth="1" outlineLevel="1"/>
    <col min="36" max="48" width="15.7109375" style="4" hidden="1" customWidth="1" outlineLevel="1"/>
    <col min="49" max="49" width="15.7109375" style="4" customWidth="1"/>
    <col min="50" max="64" width="15.7109375" style="4" hidden="1" customWidth="1" outlineLevel="1"/>
    <col min="65" max="65" width="15.7109375" style="4" customWidth="1" collapsed="1"/>
    <col min="66" max="80" width="15.7109375" style="4" customWidth="1" outlineLevel="1"/>
    <col min="81" max="81" width="20.42578125" style="4" customWidth="1"/>
    <col min="82" max="84" width="15.7109375" style="4" customWidth="1" outlineLevel="1"/>
    <col min="85" max="90" width="15.7109375" style="4" hidden="1" customWidth="1" outlineLevel="1"/>
    <col min="91" max="92" width="15.7109375" style="4" customWidth="1" outlineLevel="1"/>
    <col min="93" max="96" width="15.7109375" style="4" hidden="1" customWidth="1" outlineLevel="1"/>
    <col min="97" max="97" width="15.7109375" style="4" customWidth="1"/>
    <col min="98" max="100" width="15.7109375" style="4" customWidth="1" outlineLevel="1"/>
    <col min="101" max="103" width="15.7109375" style="4" hidden="1" customWidth="1" outlineLevel="1"/>
    <col min="104" max="105" width="15.7109375" style="4" customWidth="1" outlineLevel="1"/>
    <col min="106" max="106" width="15.7109375" style="4" hidden="1" customWidth="1" outlineLevel="1"/>
    <col min="107" max="112" width="15.7109375" style="4" customWidth="1" outlineLevel="1"/>
    <col min="113" max="113" width="15.7109375" style="4" customWidth="1"/>
    <col min="114" max="117" width="15.7109375" style="4" customWidth="1" outlineLevel="1"/>
    <col min="118" max="128" width="15.7109375" style="4" hidden="1" customWidth="1" outlineLevel="1"/>
    <col min="129" max="129" width="15.7109375" style="4" customWidth="1"/>
    <col min="130" max="130" width="9.28515625" style="4"/>
    <col min="131" max="131" width="32.7109375" style="12" customWidth="1"/>
    <col min="132" max="146" width="15.7109375" style="97" customWidth="1" outlineLevel="1"/>
    <col min="147" max="147" width="15.7109375" style="97" customWidth="1"/>
    <col min="148" max="162" width="15.7109375" style="12" customWidth="1" outlineLevel="1"/>
    <col min="163" max="163" width="15.7109375" style="12" customWidth="1"/>
    <col min="164" max="178" width="15.7109375" style="12" customWidth="1" outlineLevel="1"/>
    <col min="179" max="179" width="15.7109375" style="12" customWidth="1"/>
    <col min="180" max="194" width="15.7109375" style="12" customWidth="1" outlineLevel="1"/>
    <col min="195" max="195" width="15.7109375" style="12" customWidth="1"/>
    <col min="196" max="210" width="15.7109375" style="12" customWidth="1" outlineLevel="1"/>
    <col min="211" max="211" width="15.7109375" style="12" customWidth="1"/>
    <col min="212" max="226" width="15.7109375" style="12" customWidth="1" outlineLevel="1"/>
    <col min="227" max="227" width="15.7109375" style="12" customWidth="1"/>
    <col min="228" max="242" width="15.7109375" style="12" customWidth="1" outlineLevel="1"/>
    <col min="243" max="243" width="15.7109375" style="12" customWidth="1"/>
    <col min="244" max="258" width="15.7109375" style="12" customWidth="1" outlineLevel="1"/>
    <col min="259" max="259" width="15.7109375" style="12" customWidth="1"/>
    <col min="260" max="16384" width="9.28515625" style="4"/>
  </cols>
  <sheetData>
    <row r="1" spans="1:259">
      <c r="A1" s="254"/>
      <c r="B1" s="743" t="s">
        <v>138</v>
      </c>
      <c r="C1" s="743"/>
      <c r="D1" s="743"/>
      <c r="E1" s="743"/>
      <c r="F1" s="743"/>
      <c r="G1" s="743"/>
      <c r="H1" s="743"/>
      <c r="I1" s="743"/>
      <c r="J1" s="743"/>
      <c r="K1" s="743"/>
      <c r="L1" s="743"/>
      <c r="M1" s="743"/>
      <c r="N1" s="743"/>
      <c r="O1" s="743"/>
      <c r="P1" s="743"/>
      <c r="Q1" s="743"/>
      <c r="R1" s="743"/>
      <c r="S1" s="743"/>
      <c r="T1" s="743"/>
      <c r="U1" s="743"/>
      <c r="V1" s="743"/>
      <c r="W1" s="743"/>
      <c r="X1" s="743"/>
      <c r="Y1" s="743"/>
      <c r="Z1" s="743"/>
      <c r="AA1" s="743"/>
      <c r="AB1" s="743"/>
      <c r="AC1" s="743"/>
      <c r="AD1" s="743"/>
      <c r="AE1" s="743"/>
      <c r="AF1" s="743"/>
      <c r="AG1" s="743"/>
      <c r="AH1" s="743"/>
      <c r="AI1" s="743"/>
      <c r="AJ1" s="743"/>
      <c r="AK1" s="743"/>
      <c r="AL1" s="743"/>
      <c r="AM1" s="743"/>
      <c r="AN1" s="743"/>
      <c r="AO1" s="743"/>
      <c r="AP1" s="743"/>
      <c r="AQ1" s="743"/>
      <c r="AR1" s="743"/>
      <c r="AS1" s="743"/>
      <c r="AT1" s="743"/>
      <c r="AU1" s="743"/>
      <c r="AV1" s="743"/>
      <c r="AW1" s="743"/>
      <c r="AX1" s="743"/>
      <c r="AY1" s="743"/>
      <c r="AZ1" s="743"/>
      <c r="BA1" s="743"/>
      <c r="BB1" s="743"/>
      <c r="BC1" s="743"/>
      <c r="BD1" s="743"/>
      <c r="BE1" s="743"/>
      <c r="BF1" s="743"/>
      <c r="BG1" s="743"/>
      <c r="BH1" s="743"/>
      <c r="BI1" s="743"/>
      <c r="BJ1" s="743"/>
      <c r="BK1" s="743"/>
      <c r="BL1" s="743"/>
      <c r="BM1" s="743"/>
      <c r="BN1" s="254"/>
      <c r="BO1" s="254"/>
      <c r="BP1" s="254"/>
      <c r="BQ1" s="254"/>
      <c r="BR1" s="254"/>
      <c r="BS1" s="254"/>
      <c r="BT1" s="254"/>
      <c r="BU1" s="254"/>
      <c r="BV1" s="254"/>
      <c r="BW1" s="254"/>
      <c r="BX1" s="254"/>
      <c r="BY1" s="254"/>
      <c r="BZ1" s="254"/>
      <c r="CA1" s="254"/>
      <c r="CB1" s="254"/>
      <c r="CC1" s="254"/>
      <c r="CD1" s="254"/>
      <c r="CE1" s="254"/>
      <c r="CF1" s="254"/>
      <c r="CG1" s="254"/>
      <c r="CH1" s="254"/>
      <c r="CI1" s="254"/>
      <c r="CJ1" s="254"/>
      <c r="CK1" s="254"/>
      <c r="CL1" s="254"/>
      <c r="CM1" s="254"/>
      <c r="CN1" s="254"/>
      <c r="CO1" s="254"/>
      <c r="CP1" s="254"/>
      <c r="CQ1" s="254"/>
      <c r="CR1" s="254"/>
      <c r="CS1" s="254"/>
      <c r="CT1" s="254"/>
      <c r="CU1" s="254"/>
      <c r="CV1" s="254"/>
      <c r="CW1" s="254"/>
      <c r="CX1" s="254"/>
      <c r="CY1" s="254"/>
      <c r="CZ1" s="254"/>
      <c r="DA1" s="254"/>
      <c r="DB1" s="254"/>
      <c r="DC1" s="254"/>
      <c r="DD1" s="254"/>
      <c r="DE1" s="254"/>
      <c r="DF1" s="254"/>
      <c r="DG1" s="254"/>
      <c r="DH1" s="254"/>
      <c r="DI1" s="254"/>
      <c r="DJ1" s="254"/>
      <c r="DK1" s="254"/>
      <c r="DL1" s="254"/>
      <c r="DM1" s="254"/>
      <c r="DN1" s="254"/>
      <c r="DO1" s="254"/>
      <c r="DP1" s="254"/>
      <c r="DQ1" s="254"/>
      <c r="DR1" s="254"/>
      <c r="DS1" s="254"/>
      <c r="DT1" s="254"/>
      <c r="DU1" s="254"/>
      <c r="DV1" s="254"/>
      <c r="DW1" s="254"/>
      <c r="DX1" s="254"/>
      <c r="DY1" s="254"/>
      <c r="EB1" s="90"/>
      <c r="EC1" s="90"/>
      <c r="ED1" s="90"/>
      <c r="EE1" s="90"/>
      <c r="EF1" s="90"/>
      <c r="EG1" s="90"/>
      <c r="EH1" s="90"/>
      <c r="EI1" s="90"/>
      <c r="EJ1" s="90"/>
      <c r="EK1" s="90"/>
      <c r="EL1" s="90"/>
      <c r="EM1" s="90"/>
      <c r="EN1" s="90"/>
      <c r="EO1" s="90"/>
      <c r="EP1" s="90"/>
      <c r="EQ1" s="90"/>
    </row>
    <row r="2" spans="1:259" s="110" customFormat="1" ht="30.75" customHeight="1">
      <c r="A2" s="255"/>
      <c r="B2" s="744" t="str">
        <f>FORMULA!A2</f>
        <v>1101 C (STARTER)</v>
      </c>
      <c r="C2" s="745"/>
      <c r="D2" s="745"/>
      <c r="E2" s="745"/>
      <c r="F2" s="745"/>
      <c r="G2" s="745"/>
      <c r="H2" s="745"/>
      <c r="I2" s="745"/>
      <c r="J2" s="745"/>
      <c r="K2" s="745"/>
      <c r="L2" s="745"/>
      <c r="M2" s="745"/>
      <c r="N2" s="745"/>
      <c r="O2" s="745"/>
      <c r="P2" s="745"/>
      <c r="Q2" s="746"/>
      <c r="R2" s="747" t="str">
        <f>FORMULA!A90</f>
        <v>1102 C/P (GROWER)</v>
      </c>
      <c r="S2" s="748"/>
      <c r="T2" s="748"/>
      <c r="U2" s="748"/>
      <c r="V2" s="748"/>
      <c r="W2" s="748"/>
      <c r="X2" s="748"/>
      <c r="Y2" s="748"/>
      <c r="Z2" s="748"/>
      <c r="AA2" s="748"/>
      <c r="AB2" s="748"/>
      <c r="AC2" s="748"/>
      <c r="AD2" s="748"/>
      <c r="AE2" s="748"/>
      <c r="AF2" s="748"/>
      <c r="AG2" s="749"/>
      <c r="AH2" s="750" t="str">
        <f>FORMULA!A178</f>
        <v>1103 P (FINISHER 1)</v>
      </c>
      <c r="AI2" s="751"/>
      <c r="AJ2" s="751"/>
      <c r="AK2" s="751"/>
      <c r="AL2" s="751"/>
      <c r="AM2" s="751"/>
      <c r="AN2" s="751"/>
      <c r="AO2" s="751"/>
      <c r="AP2" s="751"/>
      <c r="AQ2" s="751"/>
      <c r="AR2" s="751"/>
      <c r="AS2" s="751"/>
      <c r="AT2" s="751"/>
      <c r="AU2" s="751"/>
      <c r="AV2" s="751"/>
      <c r="AW2" s="752"/>
      <c r="AX2" s="753" t="str">
        <f>FORMULA!A266</f>
        <v>1104 P (FINISHER 2)</v>
      </c>
      <c r="AY2" s="754"/>
      <c r="AZ2" s="754"/>
      <c r="BA2" s="754"/>
      <c r="BB2" s="754"/>
      <c r="BC2" s="754"/>
      <c r="BD2" s="754"/>
      <c r="BE2" s="754"/>
      <c r="BF2" s="754"/>
      <c r="BG2" s="754"/>
      <c r="BH2" s="754"/>
      <c r="BI2" s="754"/>
      <c r="BJ2" s="754"/>
      <c r="BK2" s="754"/>
      <c r="BL2" s="754"/>
      <c r="BM2" s="755"/>
      <c r="BN2" s="758" t="str">
        <f>FORMULA!A354</f>
        <v>8100&amp;8101&amp;8102&amp;8103 (BROILER)</v>
      </c>
      <c r="BO2" s="759"/>
      <c r="BP2" s="759"/>
      <c r="BQ2" s="759"/>
      <c r="BR2" s="759"/>
      <c r="BS2" s="759"/>
      <c r="BT2" s="759"/>
      <c r="BU2" s="759"/>
      <c r="BV2" s="759"/>
      <c r="BW2" s="759"/>
      <c r="BX2" s="759"/>
      <c r="BY2" s="759"/>
      <c r="BZ2" s="759"/>
      <c r="CA2" s="759"/>
      <c r="CB2" s="759"/>
      <c r="CC2" s="760"/>
      <c r="CD2" s="761" t="str">
        <f>FORMULA!A442</f>
        <v>121 (BROILER), 311, 312</v>
      </c>
      <c r="CE2" s="762"/>
      <c r="CF2" s="762"/>
      <c r="CG2" s="762"/>
      <c r="CH2" s="762"/>
      <c r="CI2" s="762"/>
      <c r="CJ2" s="762"/>
      <c r="CK2" s="762"/>
      <c r="CL2" s="762"/>
      <c r="CM2" s="762"/>
      <c r="CN2" s="762"/>
      <c r="CO2" s="762"/>
      <c r="CP2" s="762"/>
      <c r="CQ2" s="762"/>
      <c r="CR2" s="762"/>
      <c r="CS2" s="763"/>
      <c r="CT2" s="764" t="str">
        <f>FORMULA!A530</f>
        <v>122 (BROILER), 5201, 5202</v>
      </c>
      <c r="CU2" s="765"/>
      <c r="CV2" s="765"/>
      <c r="CW2" s="765"/>
      <c r="CX2" s="765"/>
      <c r="CY2" s="765"/>
      <c r="CZ2" s="765"/>
      <c r="DA2" s="765"/>
      <c r="DB2" s="765"/>
      <c r="DC2" s="765"/>
      <c r="DD2" s="765"/>
      <c r="DE2" s="765"/>
      <c r="DF2" s="765"/>
      <c r="DG2" s="765"/>
      <c r="DH2" s="765"/>
      <c r="DI2" s="766"/>
      <c r="DJ2" s="767" t="str">
        <f>FORMULA!A618</f>
        <v>123 (BROILER)</v>
      </c>
      <c r="DK2" s="768"/>
      <c r="DL2" s="768"/>
      <c r="DM2" s="768"/>
      <c r="DN2" s="768"/>
      <c r="DO2" s="768"/>
      <c r="DP2" s="768"/>
      <c r="DQ2" s="768"/>
      <c r="DR2" s="768"/>
      <c r="DS2" s="768"/>
      <c r="DT2" s="768"/>
      <c r="DU2" s="768"/>
      <c r="DV2" s="768"/>
      <c r="DW2" s="768"/>
      <c r="DX2" s="768"/>
      <c r="DY2" s="769"/>
      <c r="EA2" s="724" t="s">
        <v>139</v>
      </c>
      <c r="EB2" s="773" t="str">
        <f>B2</f>
        <v>1101 C (STARTER)</v>
      </c>
      <c r="EC2" s="773"/>
      <c r="ED2" s="773"/>
      <c r="EE2" s="773"/>
      <c r="EF2" s="773"/>
      <c r="EG2" s="773"/>
      <c r="EH2" s="773"/>
      <c r="EI2" s="773"/>
      <c r="EJ2" s="773"/>
      <c r="EK2" s="773"/>
      <c r="EL2" s="773"/>
      <c r="EM2" s="773"/>
      <c r="EN2" s="773"/>
      <c r="EO2" s="773"/>
      <c r="EP2" s="773"/>
      <c r="EQ2" s="774"/>
      <c r="ER2" s="779" t="str">
        <f>R2</f>
        <v>1102 C/P (GROWER)</v>
      </c>
      <c r="ES2" s="780"/>
      <c r="ET2" s="780"/>
      <c r="EU2" s="780"/>
      <c r="EV2" s="780"/>
      <c r="EW2" s="780"/>
      <c r="EX2" s="780"/>
      <c r="EY2" s="780"/>
      <c r="EZ2" s="780"/>
      <c r="FA2" s="780"/>
      <c r="FB2" s="780"/>
      <c r="FC2" s="780"/>
      <c r="FD2" s="780"/>
      <c r="FE2" s="780"/>
      <c r="FF2" s="780"/>
      <c r="FG2" s="781"/>
      <c r="FH2" s="788" t="str">
        <f>AH2</f>
        <v>1103 P (FINISHER 1)</v>
      </c>
      <c r="FI2" s="789"/>
      <c r="FJ2" s="789"/>
      <c r="FK2" s="789"/>
      <c r="FL2" s="789"/>
      <c r="FM2" s="789"/>
      <c r="FN2" s="789"/>
      <c r="FO2" s="789"/>
      <c r="FP2" s="789"/>
      <c r="FQ2" s="789"/>
      <c r="FR2" s="789"/>
      <c r="FS2" s="789"/>
      <c r="FT2" s="789"/>
      <c r="FU2" s="789"/>
      <c r="FV2" s="789"/>
      <c r="FW2" s="790"/>
      <c r="FX2" s="797" t="str">
        <f>AX2</f>
        <v>1104 P (FINISHER 2)</v>
      </c>
      <c r="FY2" s="798"/>
      <c r="FZ2" s="798"/>
      <c r="GA2" s="798"/>
      <c r="GB2" s="798"/>
      <c r="GC2" s="798"/>
      <c r="GD2" s="798"/>
      <c r="GE2" s="798"/>
      <c r="GF2" s="798"/>
      <c r="GG2" s="798"/>
      <c r="GH2" s="798"/>
      <c r="GI2" s="798"/>
      <c r="GJ2" s="798"/>
      <c r="GK2" s="798"/>
      <c r="GL2" s="798"/>
      <c r="GM2" s="799"/>
      <c r="GN2" s="806" t="str">
        <f>BN2</f>
        <v>8100&amp;8101&amp;8102&amp;8103 (BROILER)</v>
      </c>
      <c r="GO2" s="807"/>
      <c r="GP2" s="807"/>
      <c r="GQ2" s="807"/>
      <c r="GR2" s="807"/>
      <c r="GS2" s="807"/>
      <c r="GT2" s="807"/>
      <c r="GU2" s="807"/>
      <c r="GV2" s="807"/>
      <c r="GW2" s="807"/>
      <c r="GX2" s="807"/>
      <c r="GY2" s="807"/>
      <c r="GZ2" s="807"/>
      <c r="HA2" s="807"/>
      <c r="HB2" s="807"/>
      <c r="HC2" s="808"/>
      <c r="HD2" s="815" t="str">
        <f>CD2</f>
        <v>121 (BROILER), 311, 312</v>
      </c>
      <c r="HE2" s="816"/>
      <c r="HF2" s="816"/>
      <c r="HG2" s="816"/>
      <c r="HH2" s="816"/>
      <c r="HI2" s="816"/>
      <c r="HJ2" s="816"/>
      <c r="HK2" s="816"/>
      <c r="HL2" s="816"/>
      <c r="HM2" s="816"/>
      <c r="HN2" s="816"/>
      <c r="HO2" s="816"/>
      <c r="HP2" s="816"/>
      <c r="HQ2" s="816"/>
      <c r="HR2" s="816"/>
      <c r="HS2" s="817"/>
      <c r="HT2" s="824" t="str">
        <f>CT2</f>
        <v>122 (BROILER), 5201, 5202</v>
      </c>
      <c r="HU2" s="825"/>
      <c r="HV2" s="825"/>
      <c r="HW2" s="825"/>
      <c r="HX2" s="825"/>
      <c r="HY2" s="825"/>
      <c r="HZ2" s="825"/>
      <c r="IA2" s="825"/>
      <c r="IB2" s="825"/>
      <c r="IC2" s="825"/>
      <c r="ID2" s="825"/>
      <c r="IE2" s="825"/>
      <c r="IF2" s="825"/>
      <c r="IG2" s="825"/>
      <c r="IH2" s="825"/>
      <c r="II2" s="826"/>
      <c r="IJ2" s="833" t="str">
        <f>DJ2</f>
        <v>123 (BROILER)</v>
      </c>
      <c r="IK2" s="834"/>
      <c r="IL2" s="834"/>
      <c r="IM2" s="834"/>
      <c r="IN2" s="834"/>
      <c r="IO2" s="834"/>
      <c r="IP2" s="834"/>
      <c r="IQ2" s="834"/>
      <c r="IR2" s="834"/>
      <c r="IS2" s="834"/>
      <c r="IT2" s="834"/>
      <c r="IU2" s="834"/>
      <c r="IV2" s="834"/>
      <c r="IW2" s="834"/>
      <c r="IX2" s="834"/>
      <c r="IY2" s="835"/>
    </row>
    <row r="3" spans="1:259" s="557" customFormat="1" ht="30.75" customHeight="1" thickBot="1">
      <c r="A3" s="554"/>
      <c r="B3" s="555" t="str">
        <f>FORMULA!$B$3</f>
        <v>WS 1101 (251124)</v>
      </c>
      <c r="C3" s="555" t="str">
        <f>FORMULA!$D$3</f>
        <v>WS 1101 (220526)</v>
      </c>
      <c r="D3" s="555">
        <f>FORMULA!$F$3</f>
        <v>0</v>
      </c>
      <c r="E3" s="555">
        <f>FORMULA!$H$3</f>
        <v>0</v>
      </c>
      <c r="F3" s="555">
        <f>FORMULA!$J$3</f>
        <v>0</v>
      </c>
      <c r="G3" s="555">
        <f>FORMULA!$L$3</f>
        <v>0</v>
      </c>
      <c r="H3" s="555">
        <f>FORMULA!$N$3</f>
        <v>0</v>
      </c>
      <c r="I3" s="555">
        <f>FORMULA!$P$3</f>
        <v>0</v>
      </c>
      <c r="J3" s="555">
        <f>FORMULA!$R$3</f>
        <v>0</v>
      </c>
      <c r="K3" s="555">
        <f>FORMULA!$T$3</f>
        <v>0</v>
      </c>
      <c r="L3" s="555">
        <f>FORMULA!$V$3</f>
        <v>0</v>
      </c>
      <c r="M3" s="555">
        <f>FORMULA!$X$3</f>
        <v>0</v>
      </c>
      <c r="N3" s="555">
        <f>FORMULA!$Z$3</f>
        <v>0</v>
      </c>
      <c r="O3" s="555">
        <f>FORMULA!$AB$3</f>
        <v>0</v>
      </c>
      <c r="P3" s="555">
        <f>FORMULA!$AD$3</f>
        <v>0</v>
      </c>
      <c r="Q3" s="555"/>
      <c r="R3" s="555" t="str">
        <f>FORMULA!$B$91</f>
        <v>WS 1102 (290825)</v>
      </c>
      <c r="S3" s="555">
        <f>FORMULA!$D$91</f>
        <v>0</v>
      </c>
      <c r="T3" s="555">
        <f>FORMULA!$F$91</f>
        <v>0</v>
      </c>
      <c r="U3" s="555">
        <f>FORMULA!$H$91</f>
        <v>0</v>
      </c>
      <c r="V3" s="555">
        <f>FORMULA!$J$91</f>
        <v>0</v>
      </c>
      <c r="W3" s="555">
        <f>FORMULA!$L$91</f>
        <v>0</v>
      </c>
      <c r="X3" s="555">
        <f>FORMULA!$N$91</f>
        <v>0</v>
      </c>
      <c r="Y3" s="555">
        <f>FORMULA!$P$91</f>
        <v>0</v>
      </c>
      <c r="Z3" s="555">
        <f>FORMULA!$R$91</f>
        <v>0</v>
      </c>
      <c r="AA3" s="555">
        <f>FORMULA!$T$91</f>
        <v>0</v>
      </c>
      <c r="AB3" s="555">
        <f>FORMULA!$V$91</f>
        <v>0</v>
      </c>
      <c r="AC3" s="555">
        <f>FORMULA!$X$91</f>
        <v>0</v>
      </c>
      <c r="AD3" s="555">
        <f>FORMULA!$Z$91</f>
        <v>0</v>
      </c>
      <c r="AE3" s="555">
        <f>FORMULA!$AB$91</f>
        <v>0</v>
      </c>
      <c r="AF3" s="555">
        <f>FORMULA!$AD$91</f>
        <v>0</v>
      </c>
      <c r="AG3" s="555"/>
      <c r="AH3" s="555" t="str">
        <f>FORMULA!$B$179</f>
        <v>WS 1103 (290825)</v>
      </c>
      <c r="AI3" s="555" t="str">
        <f>FORMULA!$D$179</f>
        <v>WS 1103 (220526)</v>
      </c>
      <c r="AJ3" s="555">
        <f>FORMULA!$F$179</f>
        <v>0</v>
      </c>
      <c r="AK3" s="555">
        <f>FORMULA!$H$179</f>
        <v>0</v>
      </c>
      <c r="AL3" s="555">
        <f>FORMULA!$J$179</f>
        <v>0</v>
      </c>
      <c r="AM3" s="555">
        <f>FORMULA!$L$179</f>
        <v>0</v>
      </c>
      <c r="AN3" s="555">
        <f>FORMULA!$N$179</f>
        <v>0</v>
      </c>
      <c r="AO3" s="555">
        <f>FORMULA!$P$179</f>
        <v>0</v>
      </c>
      <c r="AP3" s="555">
        <f>FORMULA!$R$179</f>
        <v>0</v>
      </c>
      <c r="AQ3" s="555">
        <f>FORMULA!$T$179</f>
        <v>0</v>
      </c>
      <c r="AR3" s="555">
        <f>FORMULA!$V$179</f>
        <v>0</v>
      </c>
      <c r="AS3" s="555">
        <f>FORMULA!$X$179</f>
        <v>0</v>
      </c>
      <c r="AT3" s="555">
        <f>FORMULA!$Z$179</f>
        <v>0</v>
      </c>
      <c r="AU3" s="555">
        <f>FORMULA!$AB$179</f>
        <v>0</v>
      </c>
      <c r="AV3" s="555">
        <f>FORMULA!$AD$179</f>
        <v>0</v>
      </c>
      <c r="AW3" s="555"/>
      <c r="AX3" s="555">
        <f>FORMULA!$B$267</f>
        <v>0</v>
      </c>
      <c r="AY3" s="555">
        <f>FORMULA!$D$267</f>
        <v>0</v>
      </c>
      <c r="AZ3" s="555">
        <f>FORMULA!$F$267</f>
        <v>0</v>
      </c>
      <c r="BA3" s="555">
        <f>FORMULA!$H$267</f>
        <v>0</v>
      </c>
      <c r="BB3" s="555">
        <f>FORMULA!$J$267</f>
        <v>0</v>
      </c>
      <c r="BC3" s="555">
        <f>FORMULA!$L$267</f>
        <v>0</v>
      </c>
      <c r="BD3" s="555">
        <f>FORMULA!$N$267</f>
        <v>0</v>
      </c>
      <c r="BE3" s="555">
        <f>FORMULA!$P$267</f>
        <v>0</v>
      </c>
      <c r="BF3" s="555">
        <f>FORMULA!$R$267</f>
        <v>0</v>
      </c>
      <c r="BG3" s="555">
        <f>FORMULA!$T$267</f>
        <v>0</v>
      </c>
      <c r="BH3" s="555">
        <f>FORMULA!$V$267</f>
        <v>0</v>
      </c>
      <c r="BI3" s="555">
        <f>FORMULA!$X$267</f>
        <v>0</v>
      </c>
      <c r="BJ3" s="555">
        <f>FORMULA!$Z$267</f>
        <v>0</v>
      </c>
      <c r="BK3" s="555">
        <f>FORMULA!$AB$267</f>
        <v>0</v>
      </c>
      <c r="BL3" s="555">
        <f>FORMULA!$AD$267</f>
        <v>0</v>
      </c>
      <c r="BM3" s="555"/>
      <c r="BN3" s="555" t="str">
        <f>FORMULA!$B$355</f>
        <v>WS 8100 (290825)</v>
      </c>
      <c r="BO3" s="555" t="str">
        <f>FORMULA!$D$355</f>
        <v>WS 8100 (280426)</v>
      </c>
      <c r="BP3" s="555">
        <f>FORMULA!$F$355</f>
        <v>0</v>
      </c>
      <c r="BQ3" s="555" t="str">
        <f>FORMULA!$H$355</f>
        <v>WS 8102 (290825)</v>
      </c>
      <c r="BR3" s="555" t="str">
        <f>FORMULA!$J$355</f>
        <v>WS 8102 (121225)</v>
      </c>
      <c r="BS3" s="555" t="str">
        <f>FORMULA!$L$355</f>
        <v>WS 8102 (020326)</v>
      </c>
      <c r="BT3" s="555" t="str">
        <f>FORMULA!$N$355</f>
        <v>WS 8102 (020326)</v>
      </c>
      <c r="BU3" s="555" t="str">
        <f>FORMULA!$P$355</f>
        <v>WS 8102 (060526)</v>
      </c>
      <c r="BV3" s="555" t="str">
        <f>FORMULA!$R$355</f>
        <v>WS 8102 (060526)</v>
      </c>
      <c r="BW3" s="555" t="str">
        <f>FORMULA!$T$355</f>
        <v>WS 8103 (070526)</v>
      </c>
      <c r="BX3" s="555" t="str">
        <f>FORMULA!$V$355</f>
        <v>WS 8102 (070526)</v>
      </c>
      <c r="BY3" s="555" t="str">
        <f>FORMULA!$X$355</f>
        <v>WS 8103 (061125)</v>
      </c>
      <c r="BZ3" s="555" t="str">
        <f>FORMULA!$Z$355</f>
        <v>WS 8103 (250226)</v>
      </c>
      <c r="CA3" s="555" t="str">
        <f>FORMULA!$AB$355</f>
        <v>WS 8102 (080526)</v>
      </c>
      <c r="CB3" s="555" t="str">
        <f>FORMULA!$AD$355</f>
        <v>WS 8109 (080526)</v>
      </c>
      <c r="CC3" s="555"/>
      <c r="CD3" s="555" t="str">
        <f>FORMULA!$B$443</f>
        <v>YH 121 (050226)</v>
      </c>
      <c r="CE3" s="555" t="str">
        <f>FORMULA!$D$443</f>
        <v>YH 121 (190326)</v>
      </c>
      <c r="CF3" s="555" t="str">
        <f>FORMULA!$F$443</f>
        <v>YH 121 (020426)</v>
      </c>
      <c r="CG3" s="555">
        <f>FORMULA!$H$443</f>
        <v>0</v>
      </c>
      <c r="CH3" s="555">
        <f>FORMULA!$J$443</f>
        <v>0</v>
      </c>
      <c r="CI3" s="555">
        <f>FORMULA!$L$443</f>
        <v>0</v>
      </c>
      <c r="CJ3" s="555">
        <f>FORMULA!$N$443</f>
        <v>0</v>
      </c>
      <c r="CK3" s="555">
        <f>FORMULA!$P$443</f>
        <v>0</v>
      </c>
      <c r="CL3" s="555">
        <f>FORMULA!$R$443</f>
        <v>0</v>
      </c>
      <c r="CM3" s="555" t="str">
        <f>FORMULA!$T$443</f>
        <v>311 (130526)</v>
      </c>
      <c r="CN3" s="555" t="str">
        <f>FORMULA!$V$443</f>
        <v>312 (130526)</v>
      </c>
      <c r="CO3" s="555">
        <f>FORMULA!$X$443</f>
        <v>0</v>
      </c>
      <c r="CP3" s="555">
        <f>FORMULA!$Z$443</f>
        <v>0</v>
      </c>
      <c r="CQ3" s="555">
        <f>FORMULA!$AB$443</f>
        <v>0</v>
      </c>
      <c r="CR3" s="555">
        <f>FORMULA!$AD$443</f>
        <v>0</v>
      </c>
      <c r="CS3" s="555"/>
      <c r="CT3" s="555" t="str">
        <f>FORMULA!$B$531</f>
        <v>YH 122 (050226)</v>
      </c>
      <c r="CU3" s="556" t="str">
        <f>FORMULA!$D$531</f>
        <v>YH 122 (190326)</v>
      </c>
      <c r="CV3" s="555" t="str">
        <f>FORMULA!$F$531</f>
        <v>YH 122 (200426)</v>
      </c>
      <c r="CW3" s="555">
        <f>FORMULA!$H$531</f>
        <v>0</v>
      </c>
      <c r="CX3" s="555">
        <f>FORMULA!$J$531</f>
        <v>0</v>
      </c>
      <c r="CY3" s="555">
        <f>FORMULA!$L$531</f>
        <v>0</v>
      </c>
      <c r="CZ3" s="555" t="str">
        <f>FORMULA!$N$531</f>
        <v>5201 (090426)</v>
      </c>
      <c r="DA3" s="555" t="str">
        <f>FORMULA!$P$531</f>
        <v>5201 (090426)</v>
      </c>
      <c r="DB3" s="555">
        <f>FORMULA!$R$531</f>
        <v>0</v>
      </c>
      <c r="DC3" s="555" t="str">
        <f>FORMULA!$T$531</f>
        <v>5202 (090426)</v>
      </c>
      <c r="DD3" s="555" t="str">
        <f>FORMULA!$V$531</f>
        <v>5202 (090426)</v>
      </c>
      <c r="DE3" s="555">
        <f>FORMULA!$X$531</f>
        <v>0</v>
      </c>
      <c r="DF3" s="555" t="str">
        <f>FORMULA!$Z$531</f>
        <v>5203 (090426)</v>
      </c>
      <c r="DG3" s="555" t="str">
        <f>FORMULA!$AB$531</f>
        <v>5203 (090426)</v>
      </c>
      <c r="DH3" s="555">
        <f>FORMULA!$AD$531</f>
        <v>0</v>
      </c>
      <c r="DI3" s="555"/>
      <c r="DJ3" s="555" t="str">
        <f>FORMULA!$B$619</f>
        <v>YH 123 (050226)</v>
      </c>
      <c r="DK3" s="555" t="str">
        <f>FORMULA!$D$619</f>
        <v>YH 123 (130326)</v>
      </c>
      <c r="DL3" s="555" t="str">
        <f>FORMULA!$F$619</f>
        <v>YH 123 (190326)</v>
      </c>
      <c r="DM3" s="555" t="str">
        <f>FORMULA!$H$619</f>
        <v>YH 123 (200426)</v>
      </c>
      <c r="DN3" s="555">
        <f>FORMULA!$J$619</f>
        <v>0</v>
      </c>
      <c r="DO3" s="555">
        <f>FORMULA!$L$619</f>
        <v>0</v>
      </c>
      <c r="DP3" s="555">
        <f>FORMULA!$N$619</f>
        <v>0</v>
      </c>
      <c r="DQ3" s="555">
        <f>FORMULA!$P$619</f>
        <v>0</v>
      </c>
      <c r="DR3" s="555">
        <f>FORMULA!$R$619</f>
        <v>0</v>
      </c>
      <c r="DS3" s="555">
        <f>FORMULA!$T$619</f>
        <v>0</v>
      </c>
      <c r="DT3" s="555">
        <f>FORMULA!$V$619</f>
        <v>0</v>
      </c>
      <c r="DU3" s="555">
        <f>FORMULA!$X$619</f>
        <v>0</v>
      </c>
      <c r="DV3" s="555">
        <f>FORMULA!$Z$619</f>
        <v>0</v>
      </c>
      <c r="DW3" s="555">
        <f>FORMULA!$AB$619</f>
        <v>0</v>
      </c>
      <c r="DX3" s="555">
        <f>FORMULA!$AD$619</f>
        <v>0</v>
      </c>
      <c r="DY3" s="555"/>
      <c r="EA3" s="725"/>
      <c r="EB3" s="775"/>
      <c r="EC3" s="775"/>
      <c r="ED3" s="775"/>
      <c r="EE3" s="775"/>
      <c r="EF3" s="775"/>
      <c r="EG3" s="775"/>
      <c r="EH3" s="775"/>
      <c r="EI3" s="775"/>
      <c r="EJ3" s="775"/>
      <c r="EK3" s="775"/>
      <c r="EL3" s="775"/>
      <c r="EM3" s="775"/>
      <c r="EN3" s="775"/>
      <c r="EO3" s="775"/>
      <c r="EP3" s="775"/>
      <c r="EQ3" s="776"/>
      <c r="ER3" s="782"/>
      <c r="ES3" s="783"/>
      <c r="ET3" s="783"/>
      <c r="EU3" s="783"/>
      <c r="EV3" s="783"/>
      <c r="EW3" s="783"/>
      <c r="EX3" s="783"/>
      <c r="EY3" s="783"/>
      <c r="EZ3" s="783"/>
      <c r="FA3" s="783"/>
      <c r="FB3" s="783"/>
      <c r="FC3" s="783"/>
      <c r="FD3" s="783"/>
      <c r="FE3" s="783"/>
      <c r="FF3" s="783"/>
      <c r="FG3" s="784"/>
      <c r="FH3" s="791"/>
      <c r="FI3" s="792"/>
      <c r="FJ3" s="792"/>
      <c r="FK3" s="792"/>
      <c r="FL3" s="792"/>
      <c r="FM3" s="792"/>
      <c r="FN3" s="792"/>
      <c r="FO3" s="792"/>
      <c r="FP3" s="792"/>
      <c r="FQ3" s="792"/>
      <c r="FR3" s="792"/>
      <c r="FS3" s="792"/>
      <c r="FT3" s="792"/>
      <c r="FU3" s="792"/>
      <c r="FV3" s="792"/>
      <c r="FW3" s="793"/>
      <c r="FX3" s="800"/>
      <c r="FY3" s="801"/>
      <c r="FZ3" s="801"/>
      <c r="GA3" s="801"/>
      <c r="GB3" s="801"/>
      <c r="GC3" s="801"/>
      <c r="GD3" s="801"/>
      <c r="GE3" s="801"/>
      <c r="GF3" s="801"/>
      <c r="GG3" s="801"/>
      <c r="GH3" s="801"/>
      <c r="GI3" s="801"/>
      <c r="GJ3" s="801"/>
      <c r="GK3" s="801"/>
      <c r="GL3" s="801"/>
      <c r="GM3" s="802"/>
      <c r="GN3" s="809"/>
      <c r="GO3" s="810"/>
      <c r="GP3" s="810"/>
      <c r="GQ3" s="810"/>
      <c r="GR3" s="810"/>
      <c r="GS3" s="810"/>
      <c r="GT3" s="810"/>
      <c r="GU3" s="810"/>
      <c r="GV3" s="810"/>
      <c r="GW3" s="810"/>
      <c r="GX3" s="810"/>
      <c r="GY3" s="810"/>
      <c r="GZ3" s="810"/>
      <c r="HA3" s="810"/>
      <c r="HB3" s="810"/>
      <c r="HC3" s="811"/>
      <c r="HD3" s="818"/>
      <c r="HE3" s="819"/>
      <c r="HF3" s="819"/>
      <c r="HG3" s="819"/>
      <c r="HH3" s="819"/>
      <c r="HI3" s="819"/>
      <c r="HJ3" s="819"/>
      <c r="HK3" s="819"/>
      <c r="HL3" s="819"/>
      <c r="HM3" s="819"/>
      <c r="HN3" s="819"/>
      <c r="HO3" s="819"/>
      <c r="HP3" s="819"/>
      <c r="HQ3" s="819"/>
      <c r="HR3" s="819"/>
      <c r="HS3" s="820"/>
      <c r="HT3" s="827"/>
      <c r="HU3" s="828"/>
      <c r="HV3" s="828"/>
      <c r="HW3" s="828"/>
      <c r="HX3" s="828"/>
      <c r="HY3" s="828"/>
      <c r="HZ3" s="828"/>
      <c r="IA3" s="828"/>
      <c r="IB3" s="828"/>
      <c r="IC3" s="828"/>
      <c r="ID3" s="828"/>
      <c r="IE3" s="828"/>
      <c r="IF3" s="828"/>
      <c r="IG3" s="828"/>
      <c r="IH3" s="828"/>
      <c r="II3" s="829"/>
      <c r="IJ3" s="836"/>
      <c r="IK3" s="837"/>
      <c r="IL3" s="837"/>
      <c r="IM3" s="837"/>
      <c r="IN3" s="837"/>
      <c r="IO3" s="837"/>
      <c r="IP3" s="837"/>
      <c r="IQ3" s="837"/>
      <c r="IR3" s="837"/>
      <c r="IS3" s="837"/>
      <c r="IT3" s="837"/>
      <c r="IU3" s="837"/>
      <c r="IV3" s="837"/>
      <c r="IW3" s="837"/>
      <c r="IX3" s="837"/>
      <c r="IY3" s="838"/>
    </row>
    <row r="4" spans="1:259" s="562" customFormat="1" ht="30.4" customHeight="1">
      <c r="A4" s="558" t="s">
        <v>140</v>
      </c>
      <c r="B4" s="559" t="str">
        <f>FORMULA!$B$4</f>
        <v>N01309AY</v>
      </c>
      <c r="C4" s="560">
        <f>FORMULA!$D$4</f>
        <v>0</v>
      </c>
      <c r="D4" s="560">
        <f>FORMULA!$F$4</f>
        <v>0</v>
      </c>
      <c r="E4" s="560">
        <f>FORMULA!$H$4</f>
        <v>0</v>
      </c>
      <c r="F4" s="560">
        <f>FORMULA!$J$4</f>
        <v>0</v>
      </c>
      <c r="G4" s="560">
        <f>FORMULA!$L$4</f>
        <v>0</v>
      </c>
      <c r="H4" s="560">
        <f>FORMULA!$N$4</f>
        <v>0</v>
      </c>
      <c r="I4" s="560">
        <f>FORMULA!$P$4</f>
        <v>0</v>
      </c>
      <c r="J4" s="560">
        <f>FORMULA!$R$4</f>
        <v>0</v>
      </c>
      <c r="K4" s="560">
        <f>FORMULA!$T$4</f>
        <v>0</v>
      </c>
      <c r="L4" s="560">
        <f>FORMULA!$V$4</f>
        <v>0</v>
      </c>
      <c r="M4" s="560">
        <f>FORMULA!$X$4</f>
        <v>0</v>
      </c>
      <c r="N4" s="560">
        <f>FORMULA!$Z$4</f>
        <v>0</v>
      </c>
      <c r="O4" s="560">
        <f>FORMULA!$AB$4</f>
        <v>0</v>
      </c>
      <c r="P4" s="560">
        <f>FORMULA!$AD$4</f>
        <v>0</v>
      </c>
      <c r="Q4" s="561"/>
      <c r="R4" s="559" t="str">
        <f>FORMULA!$B$92</f>
        <v>N025-06</v>
      </c>
      <c r="S4" s="560">
        <f>FORMULA!$D$92</f>
        <v>0</v>
      </c>
      <c r="T4" s="560">
        <f>FORMULA!$F$92</f>
        <v>0</v>
      </c>
      <c r="U4" s="560">
        <f>FORMULA!$H$92</f>
        <v>0</v>
      </c>
      <c r="V4" s="560">
        <f>FORMULA!$J$92</f>
        <v>0</v>
      </c>
      <c r="W4" s="560">
        <f>FORMULA!$L$92</f>
        <v>0</v>
      </c>
      <c r="X4" s="560">
        <f>FORMULA!$N$92</f>
        <v>0</v>
      </c>
      <c r="Y4" s="560">
        <f>FORMULA!$P$92</f>
        <v>0</v>
      </c>
      <c r="Z4" s="560">
        <f>FORMULA!$R$92</f>
        <v>0</v>
      </c>
      <c r="AA4" s="560">
        <f>FORMULA!$T$92</f>
        <v>0</v>
      </c>
      <c r="AB4" s="560">
        <f>FORMULA!$V$92</f>
        <v>0</v>
      </c>
      <c r="AC4" s="560">
        <f>FORMULA!$X$92</f>
        <v>0</v>
      </c>
      <c r="AD4" s="560">
        <f>FORMULA!$Z$92</f>
        <v>0</v>
      </c>
      <c r="AE4" s="560">
        <f>FORMULA!$AB$92</f>
        <v>0</v>
      </c>
      <c r="AF4" s="560">
        <f>FORMULA!$AD$92</f>
        <v>0</v>
      </c>
      <c r="AG4" s="561"/>
      <c r="AH4" s="559" t="str">
        <f>FORMULA!$B$180</f>
        <v>N035-06</v>
      </c>
      <c r="AI4" s="560" t="str">
        <f>FORMULA!$D$180</f>
        <v>WITH 1103 TOP UP</v>
      </c>
      <c r="AJ4" s="560">
        <f>FORMULA!$F$180</f>
        <v>0</v>
      </c>
      <c r="AK4" s="560">
        <f>FORMULA!$H$180</f>
        <v>0</v>
      </c>
      <c r="AL4" s="560">
        <f>FORMULA!$J$180</f>
        <v>0</v>
      </c>
      <c r="AM4" s="560">
        <f>FORMULA!$L$180</f>
        <v>0</v>
      </c>
      <c r="AN4" s="560">
        <f>FORMULA!$N$180</f>
        <v>0</v>
      </c>
      <c r="AO4" s="560">
        <f>FORMULA!$P$180</f>
        <v>0</v>
      </c>
      <c r="AP4" s="560">
        <f>FORMULA!$R$180</f>
        <v>0</v>
      </c>
      <c r="AQ4" s="560">
        <f>FORMULA!$T$180</f>
        <v>0</v>
      </c>
      <c r="AR4" s="560">
        <f>FORMULA!$V$180</f>
        <v>0</v>
      </c>
      <c r="AS4" s="560">
        <f>FORMULA!$X$180</f>
        <v>0</v>
      </c>
      <c r="AT4" s="560">
        <f>FORMULA!$Z$180</f>
        <v>0</v>
      </c>
      <c r="AU4" s="560">
        <f>FORMULA!$AB$180</f>
        <v>0</v>
      </c>
      <c r="AV4" s="560">
        <f>FORMULA!$AD$180</f>
        <v>0</v>
      </c>
      <c r="AW4" s="561"/>
      <c r="AX4" s="559">
        <f>FORMULA!$B$268</f>
        <v>0</v>
      </c>
      <c r="AY4" s="560">
        <f>FORMULA!$D$268</f>
        <v>0</v>
      </c>
      <c r="AZ4" s="560">
        <f>FORMULA!$F$268</f>
        <v>0</v>
      </c>
      <c r="BA4" s="560">
        <f>FORMULA!$H$268</f>
        <v>0</v>
      </c>
      <c r="BB4" s="560">
        <f>FORMULA!$J$268</f>
        <v>0</v>
      </c>
      <c r="BC4" s="560">
        <f>FORMULA!$L$268</f>
        <v>0</v>
      </c>
      <c r="BD4" s="560">
        <f>FORMULA!$N$268</f>
        <v>0</v>
      </c>
      <c r="BE4" s="560">
        <f>FORMULA!$P$268</f>
        <v>0</v>
      </c>
      <c r="BF4" s="560">
        <f>FORMULA!$R$268</f>
        <v>0</v>
      </c>
      <c r="BG4" s="560">
        <f>FORMULA!$T$268</f>
        <v>0</v>
      </c>
      <c r="BH4" s="560">
        <f>FORMULA!$V$268</f>
        <v>0</v>
      </c>
      <c r="BI4" s="560">
        <f>FORMULA!$X$268</f>
        <v>0</v>
      </c>
      <c r="BJ4" s="560">
        <f>FORMULA!$Z$268</f>
        <v>0</v>
      </c>
      <c r="BK4" s="560">
        <f>FORMULA!$AB$268</f>
        <v>0</v>
      </c>
      <c r="BL4" s="560">
        <f>FORMULA!$AD$268</f>
        <v>0</v>
      </c>
      <c r="BM4" s="561"/>
      <c r="BN4" s="555" t="str">
        <f>FORMULA!$B$356</f>
        <v>NR 14-04</v>
      </c>
      <c r="BO4" s="555">
        <f>FORMULA!$D$356</f>
        <v>0</v>
      </c>
      <c r="BP4" s="555">
        <f>FORMULA!$F$356</f>
        <v>0</v>
      </c>
      <c r="BQ4" s="555" t="str">
        <f>FORMULA!$H$356</f>
        <v>NR 24-04Z</v>
      </c>
      <c r="BR4" s="555" t="str">
        <f>FORMULA!$J$356</f>
        <v>WITH BMD</v>
      </c>
      <c r="BS4" s="555" t="str">
        <f>FORMULA!$L$356</f>
        <v>8102 Top Up&amp;PM 8108</v>
      </c>
      <c r="BT4" s="555" t="str">
        <f>FORMULA!$N$356</f>
        <v>8102 Top Up&amp;PM 8102</v>
      </c>
      <c r="BU4" s="555" t="str">
        <f>FORMULA!$P$356</f>
        <v>8102 Top Up&amp;PM 8102</v>
      </c>
      <c r="BV4" s="555" t="str">
        <f>FORMULA!$R$356</f>
        <v>8102 Top Up&amp;PM 8108</v>
      </c>
      <c r="BW4" s="555" t="str">
        <f>FORMULA!$T$356</f>
        <v>8103 Top Up&amp;PM 8103</v>
      </c>
      <c r="BX4" s="555" t="str">
        <f>FORMULA!$V$356</f>
        <v>8103 Top Up&amp;PM 8109</v>
      </c>
      <c r="BY4" s="555" t="str">
        <f>FORMULA!$X$356</f>
        <v xml:space="preserve">NR 34-04 </v>
      </c>
      <c r="BZ4" s="555" t="str">
        <f>FORMULA!$Z$356</f>
        <v xml:space="preserve">NR 34-04 </v>
      </c>
      <c r="CA4" s="555" t="str">
        <f>FORMULA!$AB$356</f>
        <v>8102 TOP UP</v>
      </c>
      <c r="CB4" s="555" t="str">
        <f>FORMULA!$AD$356</f>
        <v>8103 TOP UP</v>
      </c>
      <c r="CC4" s="561"/>
      <c r="CD4" s="555" t="str">
        <f>FORMULA!$B$444</f>
        <v>SOYTIDE&amp;TOXISORB</v>
      </c>
      <c r="CE4" s="555" t="str">
        <f>FORMULA!$D$444</f>
        <v>SOYTIDE&amp;TOXIWALL</v>
      </c>
      <c r="CF4" s="555" t="str">
        <f>FORMULA!$F$444</f>
        <v>EP 200&amp;TOXIWALL</v>
      </c>
      <c r="CG4" s="555">
        <f>FORMULA!$H$444</f>
        <v>0</v>
      </c>
      <c r="CH4" s="555">
        <f>FORMULA!$J$444</f>
        <v>0</v>
      </c>
      <c r="CI4" s="555">
        <f>FORMULA!$L$444</f>
        <v>0</v>
      </c>
      <c r="CJ4" s="555">
        <f>FORMULA!$N$444</f>
        <v>0</v>
      </c>
      <c r="CK4" s="555">
        <f>FORMULA!$P$444</f>
        <v>0</v>
      </c>
      <c r="CL4" s="555">
        <f>FORMULA!$R$444</f>
        <v>0</v>
      </c>
      <c r="CM4" s="555">
        <f>FORMULA!$T$444</f>
        <v>0</v>
      </c>
      <c r="CN4" s="555">
        <f>FORMULA!$V$444</f>
        <v>0</v>
      </c>
      <c r="CO4" s="555">
        <f>FORMULA!$X$444</f>
        <v>0</v>
      </c>
      <c r="CP4" s="555">
        <f>FORMULA!$Z$444</f>
        <v>0</v>
      </c>
      <c r="CQ4" s="555">
        <f>FORMULA!$AB$444</f>
        <v>0</v>
      </c>
      <c r="CR4" s="555">
        <f>FORMULA!$AD$444</f>
        <v>0</v>
      </c>
      <c r="CS4" s="561"/>
      <c r="CT4" s="555" t="str">
        <f>FORMULA!$B$532</f>
        <v>WITH TOXISORB</v>
      </c>
      <c r="CU4" s="555" t="str">
        <f>FORMULA!$D$532</f>
        <v>WITH TOXIWALL</v>
      </c>
      <c r="CV4" s="555" t="str">
        <f>FORMULA!$F$532</f>
        <v>WITH TOXIWALL, YM 20.50kg</v>
      </c>
      <c r="CW4" s="555">
        <f>FORMULA!$H$532</f>
        <v>0</v>
      </c>
      <c r="CX4" s="555">
        <f>FORMULA!$J$532</f>
        <v>0</v>
      </c>
      <c r="CY4" s="555">
        <f>FORMULA!$L$532</f>
        <v>0</v>
      </c>
      <c r="CZ4" s="555">
        <f>FORMULA!$N$532</f>
        <v>0</v>
      </c>
      <c r="DA4" s="555" t="str">
        <f>FORMULA!$P$532</f>
        <v>REDUCE CORN FOR 2MT</v>
      </c>
      <c r="DB4" s="555">
        <f>FORMULA!$R$532</f>
        <v>0</v>
      </c>
      <c r="DC4" s="555">
        <f>FORMULA!$T$532</f>
        <v>0</v>
      </c>
      <c r="DD4" s="555" t="str">
        <f>FORMULA!$V$532</f>
        <v>K20</v>
      </c>
      <c r="DE4" s="555">
        <f>FORMULA!$X$532</f>
        <v>0</v>
      </c>
      <c r="DF4" s="555" t="str">
        <f>FORMULA!$Z$532</f>
        <v>ALREADY 2MT</v>
      </c>
      <c r="DG4" s="555" t="str">
        <f>FORMULA!$AB$532</f>
        <v>K21</v>
      </c>
      <c r="DH4" s="555">
        <f>FORMULA!$AD$532</f>
        <v>0</v>
      </c>
      <c r="DI4" s="561"/>
      <c r="DJ4" s="555" t="str">
        <f>FORMULA!$B$620</f>
        <v>WITH TOXISORB</v>
      </c>
      <c r="DK4" s="555" t="str">
        <f>FORMULA!$D$620</f>
        <v>WITHOUT WHEAT POLLARD</v>
      </c>
      <c r="DL4" s="555" t="str">
        <f>FORMULA!$F$620</f>
        <v>WITH TOXIWALL</v>
      </c>
      <c r="DM4" s="555" t="str">
        <f>FORMULA!$H$620</f>
        <v>WITH TOXIWALL, YM 20.00kg</v>
      </c>
      <c r="DN4" s="555">
        <f>FORMULA!$J$620</f>
        <v>0</v>
      </c>
      <c r="DO4" s="555">
        <f>FORMULA!$L$620</f>
        <v>0</v>
      </c>
      <c r="DP4" s="555">
        <f>FORMULA!$N$620</f>
        <v>0</v>
      </c>
      <c r="DQ4" s="555">
        <f>FORMULA!$P$620</f>
        <v>0</v>
      </c>
      <c r="DR4" s="555">
        <f>FORMULA!$R$620</f>
        <v>0</v>
      </c>
      <c r="DS4" s="555">
        <f>FORMULA!$T$620</f>
        <v>0</v>
      </c>
      <c r="DT4" s="555">
        <f>FORMULA!$V$620</f>
        <v>0</v>
      </c>
      <c r="DU4" s="555">
        <f>FORMULA!$X$620</f>
        <v>0</v>
      </c>
      <c r="DV4" s="555">
        <f>FORMULA!$Z$620</f>
        <v>0</v>
      </c>
      <c r="DW4" s="555">
        <f>FORMULA!$AB$620</f>
        <v>0</v>
      </c>
      <c r="DX4" s="555">
        <f>FORMULA!$AD$620</f>
        <v>0</v>
      </c>
      <c r="DY4" s="561"/>
      <c r="EA4" s="725"/>
      <c r="EB4" s="777"/>
      <c r="EC4" s="777"/>
      <c r="ED4" s="777"/>
      <c r="EE4" s="777"/>
      <c r="EF4" s="777"/>
      <c r="EG4" s="777"/>
      <c r="EH4" s="777"/>
      <c r="EI4" s="777"/>
      <c r="EJ4" s="777"/>
      <c r="EK4" s="777"/>
      <c r="EL4" s="777"/>
      <c r="EM4" s="777"/>
      <c r="EN4" s="777"/>
      <c r="EO4" s="777"/>
      <c r="EP4" s="777"/>
      <c r="EQ4" s="778"/>
      <c r="ER4" s="785"/>
      <c r="ES4" s="786"/>
      <c r="ET4" s="786"/>
      <c r="EU4" s="786"/>
      <c r="EV4" s="786"/>
      <c r="EW4" s="786"/>
      <c r="EX4" s="786"/>
      <c r="EY4" s="786"/>
      <c r="EZ4" s="786"/>
      <c r="FA4" s="786"/>
      <c r="FB4" s="786"/>
      <c r="FC4" s="786"/>
      <c r="FD4" s="786"/>
      <c r="FE4" s="786"/>
      <c r="FF4" s="786"/>
      <c r="FG4" s="787"/>
      <c r="FH4" s="794"/>
      <c r="FI4" s="795"/>
      <c r="FJ4" s="795"/>
      <c r="FK4" s="795"/>
      <c r="FL4" s="795"/>
      <c r="FM4" s="795"/>
      <c r="FN4" s="795"/>
      <c r="FO4" s="795"/>
      <c r="FP4" s="795"/>
      <c r="FQ4" s="795"/>
      <c r="FR4" s="795"/>
      <c r="FS4" s="795"/>
      <c r="FT4" s="795"/>
      <c r="FU4" s="795"/>
      <c r="FV4" s="795"/>
      <c r="FW4" s="796"/>
      <c r="FX4" s="803"/>
      <c r="FY4" s="804"/>
      <c r="FZ4" s="804"/>
      <c r="GA4" s="804"/>
      <c r="GB4" s="804"/>
      <c r="GC4" s="804"/>
      <c r="GD4" s="804"/>
      <c r="GE4" s="804"/>
      <c r="GF4" s="804"/>
      <c r="GG4" s="804"/>
      <c r="GH4" s="804"/>
      <c r="GI4" s="804"/>
      <c r="GJ4" s="804"/>
      <c r="GK4" s="804"/>
      <c r="GL4" s="804"/>
      <c r="GM4" s="805"/>
      <c r="GN4" s="812"/>
      <c r="GO4" s="813"/>
      <c r="GP4" s="813"/>
      <c r="GQ4" s="813"/>
      <c r="GR4" s="813"/>
      <c r="GS4" s="813"/>
      <c r="GT4" s="813"/>
      <c r="GU4" s="813"/>
      <c r="GV4" s="813"/>
      <c r="GW4" s="813"/>
      <c r="GX4" s="813"/>
      <c r="GY4" s="813"/>
      <c r="GZ4" s="813"/>
      <c r="HA4" s="813"/>
      <c r="HB4" s="813"/>
      <c r="HC4" s="814"/>
      <c r="HD4" s="821"/>
      <c r="HE4" s="822"/>
      <c r="HF4" s="822"/>
      <c r="HG4" s="822"/>
      <c r="HH4" s="822"/>
      <c r="HI4" s="822"/>
      <c r="HJ4" s="822"/>
      <c r="HK4" s="822"/>
      <c r="HL4" s="822"/>
      <c r="HM4" s="822"/>
      <c r="HN4" s="822"/>
      <c r="HO4" s="822"/>
      <c r="HP4" s="822"/>
      <c r="HQ4" s="822"/>
      <c r="HR4" s="822"/>
      <c r="HS4" s="823"/>
      <c r="HT4" s="830"/>
      <c r="HU4" s="831"/>
      <c r="HV4" s="831"/>
      <c r="HW4" s="831"/>
      <c r="HX4" s="831"/>
      <c r="HY4" s="831"/>
      <c r="HZ4" s="831"/>
      <c r="IA4" s="831"/>
      <c r="IB4" s="831"/>
      <c r="IC4" s="831"/>
      <c r="ID4" s="831"/>
      <c r="IE4" s="831"/>
      <c r="IF4" s="831"/>
      <c r="IG4" s="831"/>
      <c r="IH4" s="831"/>
      <c r="II4" s="832"/>
      <c r="IJ4" s="839"/>
      <c r="IK4" s="840"/>
      <c r="IL4" s="840"/>
      <c r="IM4" s="840"/>
      <c r="IN4" s="840"/>
      <c r="IO4" s="840"/>
      <c r="IP4" s="840"/>
      <c r="IQ4" s="840"/>
      <c r="IR4" s="840"/>
      <c r="IS4" s="840"/>
      <c r="IT4" s="840"/>
      <c r="IU4" s="840"/>
      <c r="IV4" s="840"/>
      <c r="IW4" s="840"/>
      <c r="IX4" s="840"/>
      <c r="IY4" s="841"/>
    </row>
    <row r="5" spans="1:259" ht="15.75" customHeight="1" outlineLevel="1">
      <c r="A5" s="260">
        <f>'VAC &amp; MED'!C6</f>
        <v>46023</v>
      </c>
      <c r="B5" s="261"/>
      <c r="C5" s="261"/>
      <c r="D5" s="261"/>
      <c r="E5" s="261"/>
      <c r="F5" s="261"/>
      <c r="G5" s="261"/>
      <c r="H5" s="261"/>
      <c r="I5" s="261"/>
      <c r="J5" s="261"/>
      <c r="K5" s="261"/>
      <c r="L5" s="261"/>
      <c r="M5" s="261"/>
      <c r="N5" s="261"/>
      <c r="O5" s="261"/>
      <c r="P5" s="261"/>
      <c r="Q5" s="261"/>
      <c r="R5" s="262"/>
      <c r="S5" s="262"/>
      <c r="T5" s="262"/>
      <c r="U5" s="262"/>
      <c r="V5" s="262"/>
      <c r="W5" s="262"/>
      <c r="X5" s="262"/>
      <c r="Y5" s="262"/>
      <c r="Z5" s="262"/>
      <c r="AA5" s="262"/>
      <c r="AB5" s="262"/>
      <c r="AC5" s="262"/>
      <c r="AD5" s="262"/>
      <c r="AE5" s="262"/>
      <c r="AF5" s="262"/>
      <c r="AG5" s="262"/>
      <c r="AH5" s="263"/>
      <c r="AI5" s="263"/>
      <c r="AJ5" s="263"/>
      <c r="AK5" s="263"/>
      <c r="AL5" s="263"/>
      <c r="AM5" s="263"/>
      <c r="AN5" s="263"/>
      <c r="AO5" s="263"/>
      <c r="AP5" s="263"/>
      <c r="AQ5" s="263"/>
      <c r="AR5" s="263"/>
      <c r="AS5" s="263"/>
      <c r="AT5" s="263"/>
      <c r="AU5" s="263"/>
      <c r="AV5" s="263"/>
      <c r="AW5" s="263"/>
      <c r="AX5" s="264"/>
      <c r="AY5" s="264"/>
      <c r="AZ5" s="264"/>
      <c r="BA5" s="264"/>
      <c r="BB5" s="264"/>
      <c r="BC5" s="264"/>
      <c r="BD5" s="264"/>
      <c r="BE5" s="264"/>
      <c r="BF5" s="264"/>
      <c r="BG5" s="264"/>
      <c r="BH5" s="264"/>
      <c r="BI5" s="264"/>
      <c r="BJ5" s="264"/>
      <c r="BK5" s="264"/>
      <c r="BL5" s="264"/>
      <c r="BM5" s="264"/>
      <c r="BN5" s="265"/>
      <c r="BO5" s="265"/>
      <c r="BP5" s="265"/>
      <c r="BQ5" s="265"/>
      <c r="BR5" s="265"/>
      <c r="BS5" s="265"/>
      <c r="BT5" s="265"/>
      <c r="BU5" s="265"/>
      <c r="BV5" s="265"/>
      <c r="BW5" s="265"/>
      <c r="BX5" s="265"/>
      <c r="BY5" s="265"/>
      <c r="BZ5" s="265"/>
      <c r="CA5" s="265"/>
      <c r="CB5" s="265"/>
      <c r="CC5" s="265"/>
      <c r="CD5" s="266"/>
      <c r="CE5" s="266"/>
      <c r="CF5" s="266"/>
      <c r="CG5" s="266"/>
      <c r="CH5" s="266"/>
      <c r="CI5" s="266"/>
      <c r="CJ5" s="266"/>
      <c r="CK5" s="266"/>
      <c r="CL5" s="266"/>
      <c r="CM5" s="266"/>
      <c r="CN5" s="266"/>
      <c r="CO5" s="266"/>
      <c r="CP5" s="266"/>
      <c r="CQ5" s="266"/>
      <c r="CR5" s="266"/>
      <c r="CS5" s="266"/>
      <c r="CT5" s="267"/>
      <c r="CU5" s="267"/>
      <c r="CV5" s="267"/>
      <c r="CW5" s="267"/>
      <c r="CX5" s="267"/>
      <c r="CY5" s="267"/>
      <c r="CZ5" s="267"/>
      <c r="DA5" s="267"/>
      <c r="DB5" s="267"/>
      <c r="DC5" s="267"/>
      <c r="DD5" s="267"/>
      <c r="DE5" s="267"/>
      <c r="DF5" s="267"/>
      <c r="DG5" s="267"/>
      <c r="DH5" s="267"/>
      <c r="DI5" s="267"/>
      <c r="DJ5" s="268"/>
      <c r="DK5" s="268"/>
      <c r="DL5" s="268"/>
      <c r="DM5" s="268"/>
      <c r="DN5" s="268"/>
      <c r="DO5" s="268"/>
      <c r="DP5" s="268"/>
      <c r="DQ5" s="268"/>
      <c r="DR5" s="268"/>
      <c r="DS5" s="268"/>
      <c r="DT5" s="268"/>
      <c r="DU5" s="268"/>
      <c r="DV5" s="268"/>
      <c r="DW5" s="268"/>
      <c r="DX5" s="268"/>
      <c r="DY5" s="268"/>
      <c r="EA5" s="725"/>
      <c r="EB5" s="733" t="str">
        <f>FORMULA!$B$4</f>
        <v>N01309AY</v>
      </c>
      <c r="EC5" s="708">
        <f>FORMULA!$C$4</f>
        <v>0</v>
      </c>
      <c r="ED5" s="708">
        <f>FORMULA!$F$4</f>
        <v>0</v>
      </c>
      <c r="EE5" s="736">
        <f>FORMULA!$H$4</f>
        <v>0</v>
      </c>
      <c r="EF5" s="736">
        <f>FORMULA!$J$4</f>
        <v>0</v>
      </c>
      <c r="EG5" s="736">
        <f>FORMULA!$L$4</f>
        <v>0</v>
      </c>
      <c r="EH5" s="736">
        <f>FORMULA!$N$4</f>
        <v>0</v>
      </c>
      <c r="EI5" s="736">
        <f>FORMULA!$P$4</f>
        <v>0</v>
      </c>
      <c r="EJ5" s="736">
        <f>FORMULA!$R$4</f>
        <v>0</v>
      </c>
      <c r="EK5" s="734">
        <f>FORMULA!$T$4</f>
        <v>0</v>
      </c>
      <c r="EL5" s="736">
        <f>FORMULA!$V$4</f>
        <v>0</v>
      </c>
      <c r="EM5" s="736">
        <f>FORMULA!$X$4</f>
        <v>0</v>
      </c>
      <c r="EN5" s="736">
        <f>FORMULA!$Z$4</f>
        <v>0</v>
      </c>
      <c r="EO5" s="736">
        <f>FORMULA!$AB$4</f>
        <v>0</v>
      </c>
      <c r="EP5" s="736">
        <f>FORMULA!$AD$4</f>
        <v>0</v>
      </c>
      <c r="EQ5" s="563"/>
      <c r="ER5" s="741" t="str">
        <f>FORMULA!$B$92</f>
        <v>N025-06</v>
      </c>
      <c r="ES5" s="740">
        <f>FORMULA!$D$92</f>
        <v>0</v>
      </c>
      <c r="ET5" s="740">
        <f>FORMULA!$F$92</f>
        <v>0</v>
      </c>
      <c r="EU5" s="727">
        <f>FORMULA!$H$92</f>
        <v>0</v>
      </c>
      <c r="EV5" s="727">
        <f>FORMULA!$J$92</f>
        <v>0</v>
      </c>
      <c r="EW5" s="727">
        <f>FORMULA!$L$92</f>
        <v>0</v>
      </c>
      <c r="EX5" s="727">
        <f>FORMULA!$N$92</f>
        <v>0</v>
      </c>
      <c r="EY5" s="727">
        <f>FORMULA!$P$92</f>
        <v>0</v>
      </c>
      <c r="EZ5" s="727">
        <f>FORMULA!$R$92</f>
        <v>0</v>
      </c>
      <c r="FA5" s="727">
        <f>FORMULA!$T$92</f>
        <v>0</v>
      </c>
      <c r="FB5" s="727">
        <f>FORMULA!$V$92</f>
        <v>0</v>
      </c>
      <c r="FC5" s="727">
        <f>FORMULA!$X$92</f>
        <v>0</v>
      </c>
      <c r="FD5" s="727">
        <f>FORMULA!$Z$92</f>
        <v>0</v>
      </c>
      <c r="FE5" s="727">
        <f>FORMULA!$AB$92</f>
        <v>0</v>
      </c>
      <c r="FF5" s="738">
        <f>FORMULA!$AD$92</f>
        <v>0</v>
      </c>
      <c r="FG5" s="564"/>
      <c r="FH5" s="756" t="str">
        <f>FORMULA!$B$180</f>
        <v>N035-06</v>
      </c>
      <c r="FI5" s="729" t="str">
        <f>FORMULA!$D$180</f>
        <v>WITH 1103 TOP UP</v>
      </c>
      <c r="FJ5" s="729">
        <f>FORMULA!$F$180</f>
        <v>0</v>
      </c>
      <c r="FK5" s="729">
        <f>FORMULA!$H$180</f>
        <v>0</v>
      </c>
      <c r="FL5" s="729">
        <f>FORMULA!$J$180</f>
        <v>0</v>
      </c>
      <c r="FM5" s="729">
        <f>FORMULA!$L$180</f>
        <v>0</v>
      </c>
      <c r="FN5" s="729">
        <f>FORMULA!$N$180</f>
        <v>0</v>
      </c>
      <c r="FO5" s="729">
        <f>FORMULA!$P$180</f>
        <v>0</v>
      </c>
      <c r="FP5" s="729">
        <f>FORMULA!$R$180</f>
        <v>0</v>
      </c>
      <c r="FQ5" s="729">
        <f>FORMULA!$T$180</f>
        <v>0</v>
      </c>
      <c r="FR5" s="729">
        <f>FORMULA!$V$180</f>
        <v>0</v>
      </c>
      <c r="FS5" s="729">
        <f>FORMULA!$X$180</f>
        <v>0</v>
      </c>
      <c r="FT5" s="729">
        <f>FORMULA!$Z$180</f>
        <v>0</v>
      </c>
      <c r="FU5" s="729">
        <f>FORMULA!$AB$180</f>
        <v>0</v>
      </c>
      <c r="FV5" s="731">
        <f>FORMULA!$AD$180</f>
        <v>0</v>
      </c>
      <c r="FW5" s="564"/>
      <c r="FX5" s="722">
        <f>FORMULA!$B$268</f>
        <v>0</v>
      </c>
      <c r="FY5" s="715">
        <f>FORMULA!$D$268</f>
        <v>0</v>
      </c>
      <c r="FZ5" s="715">
        <f>FORMULA!$F$268</f>
        <v>0</v>
      </c>
      <c r="GA5" s="715">
        <f>FORMULA!$H$268</f>
        <v>0</v>
      </c>
      <c r="GB5" s="715">
        <f>FORMULA!$J$268</f>
        <v>0</v>
      </c>
      <c r="GC5" s="715">
        <f>FORMULA!$L$268</f>
        <v>0</v>
      </c>
      <c r="GD5" s="715">
        <f>FORMULA!$N$268</f>
        <v>0</v>
      </c>
      <c r="GE5" s="715">
        <f>FORMULA!$P$268</f>
        <v>0</v>
      </c>
      <c r="GF5" s="715">
        <f>FORMULA!R$268</f>
        <v>0</v>
      </c>
      <c r="GG5" s="715">
        <f>FORMULA!$T$268</f>
        <v>0</v>
      </c>
      <c r="GH5" s="715">
        <f>FORMULA!$V$268</f>
        <v>0</v>
      </c>
      <c r="GI5" s="715">
        <f>FORMULA!$X$268</f>
        <v>0</v>
      </c>
      <c r="GJ5" s="715">
        <f>FORMULA!$Z$268</f>
        <v>0</v>
      </c>
      <c r="GK5" s="715">
        <f>FORMULA!AB$268</f>
        <v>0</v>
      </c>
      <c r="GL5" s="715">
        <f>FORMULA!AD$268</f>
        <v>0</v>
      </c>
      <c r="GM5" s="565"/>
      <c r="GN5" s="770" t="str">
        <f>FORMULA!$B$356</f>
        <v>NR 14-04</v>
      </c>
      <c r="GO5" s="717">
        <f>FORMULA!$D$356</f>
        <v>0</v>
      </c>
      <c r="GP5" s="717">
        <f>FORMULA!$F$356</f>
        <v>0</v>
      </c>
      <c r="GQ5" s="717" t="str">
        <f>FORMULA!$H$356</f>
        <v>NR 24-04Z</v>
      </c>
      <c r="GR5" s="717" t="str">
        <f>FORMULA!$J$356</f>
        <v>WITH BMD</v>
      </c>
      <c r="GS5" s="717" t="str">
        <f>FORMULA!$L$356</f>
        <v>8102 Top Up&amp;PM 8108</v>
      </c>
      <c r="GT5" s="717" t="str">
        <f>FORMULA!$N$356</f>
        <v>8102 Top Up&amp;PM 8102</v>
      </c>
      <c r="GU5" s="717" t="str">
        <f>FORMULA!$P$356</f>
        <v>8102 Top Up&amp;PM 8102</v>
      </c>
      <c r="GV5" s="717" t="str">
        <f>FORMULA!$R$356</f>
        <v>8102 Top Up&amp;PM 8108</v>
      </c>
      <c r="GW5" s="717" t="str">
        <f>FORMULA!$T$356</f>
        <v>8103 Top Up&amp;PM 8103</v>
      </c>
      <c r="GX5" s="717" t="str">
        <f>FORMULA!$V$356</f>
        <v>8103 Top Up&amp;PM 8109</v>
      </c>
      <c r="GY5" s="717" t="str">
        <f>FORMULA!$X$356</f>
        <v xml:space="preserve">NR 34-04 </v>
      </c>
      <c r="GZ5" s="717" t="str">
        <f>FORMULA!$Z$356</f>
        <v xml:space="preserve">NR 34-04 </v>
      </c>
      <c r="HA5" s="717" t="str">
        <f>FORMULA!$AB$356</f>
        <v>8102 TOP UP</v>
      </c>
      <c r="HB5" s="717" t="str">
        <f>FORMULA!$AD$356</f>
        <v>8103 TOP UP</v>
      </c>
      <c r="HC5" s="565"/>
      <c r="HD5" s="846" t="str">
        <f>FORMULA!$B$444</f>
        <v>SOYTIDE&amp;TOXISORB</v>
      </c>
      <c r="HE5" s="719" t="str">
        <f>FORMULA!$D$444</f>
        <v>SOYTIDE&amp;TOXIWALL</v>
      </c>
      <c r="HF5" s="719" t="str">
        <f>FORMULA!$F$444</f>
        <v>EP 200&amp;TOXIWALL</v>
      </c>
      <c r="HG5" s="719">
        <f>FORMULA!$H$444</f>
        <v>0</v>
      </c>
      <c r="HH5" s="719">
        <f>FORMULA!$J$444</f>
        <v>0</v>
      </c>
      <c r="HI5" s="719">
        <f>FORMULA!$L$444</f>
        <v>0</v>
      </c>
      <c r="HJ5" s="719">
        <f>FORMULA!$N$444</f>
        <v>0</v>
      </c>
      <c r="HK5" s="719">
        <f>FORMULA!$P$444</f>
        <v>0</v>
      </c>
      <c r="HL5" s="719">
        <f>FORMULA!$R$444</f>
        <v>0</v>
      </c>
      <c r="HM5" s="719">
        <f>FORMULA!$T$444</f>
        <v>0</v>
      </c>
      <c r="HN5" s="719">
        <f>FORMULA!$V$444</f>
        <v>0</v>
      </c>
      <c r="HO5" s="719">
        <f>FORMULA!$X$444</f>
        <v>0</v>
      </c>
      <c r="HP5" s="719">
        <f>FORMULA!$Z$444</f>
        <v>0</v>
      </c>
      <c r="HQ5" s="719">
        <f>FORMULA!$AB$444</f>
        <v>0</v>
      </c>
      <c r="HR5" s="719">
        <f>FORMULA!$AD$444</f>
        <v>0</v>
      </c>
      <c r="HS5" s="565"/>
      <c r="HT5" s="844" t="str">
        <f>FORMULA!$B$532</f>
        <v>WITH TOXISORB</v>
      </c>
      <c r="HU5" s="712" t="str">
        <f>FORMULA!$D$532</f>
        <v>WITH TOXIWALL</v>
      </c>
      <c r="HV5" s="712" t="str">
        <f>FORMULA!$F$532</f>
        <v>WITH TOXIWALL, YM 20.50kg</v>
      </c>
      <c r="HW5" s="712">
        <f>FORMULA!$H$532</f>
        <v>0</v>
      </c>
      <c r="HX5" s="712">
        <f>FORMULA!$J$532</f>
        <v>0</v>
      </c>
      <c r="HY5" s="712">
        <f>FORMULA!$L$532</f>
        <v>0</v>
      </c>
      <c r="HZ5" s="712">
        <f>FORMULA!$N$532</f>
        <v>0</v>
      </c>
      <c r="IA5" s="712" t="str">
        <f>FORMULA!$P$532</f>
        <v>REDUCE CORN FOR 2MT</v>
      </c>
      <c r="IB5" s="712">
        <f>FORMULA!$R$532</f>
        <v>0</v>
      </c>
      <c r="IC5" s="712">
        <f>FORMULA!$T$532</f>
        <v>0</v>
      </c>
      <c r="ID5" s="712" t="str">
        <f>FORMULA!$V$532</f>
        <v>K20</v>
      </c>
      <c r="IE5" s="712">
        <f>FORMULA!$X$532</f>
        <v>0</v>
      </c>
      <c r="IF5" s="712" t="str">
        <f>FORMULA!$Z$532</f>
        <v>ALREADY 2MT</v>
      </c>
      <c r="IG5" s="712" t="str">
        <f>FORMULA!$AB$532</f>
        <v>K21</v>
      </c>
      <c r="IH5" s="712">
        <f>FORMULA!$AD$532</f>
        <v>0</v>
      </c>
      <c r="II5" s="565"/>
      <c r="IJ5" s="842" t="str">
        <f>FORMULA!$B$620</f>
        <v>WITH TOXISORB</v>
      </c>
      <c r="IK5" s="710" t="str">
        <f>FORMULA!$D$620</f>
        <v>WITHOUT WHEAT POLLARD</v>
      </c>
      <c r="IL5" s="710" t="str">
        <f>FORMULA!$F$620</f>
        <v>WITH TOXIWALL</v>
      </c>
      <c r="IM5" s="710" t="str">
        <f>FORMULA!$H$620</f>
        <v>WITH TOXIWALL, YM 20.00kg</v>
      </c>
      <c r="IN5" s="710">
        <f>FORMULA!$J$620</f>
        <v>0</v>
      </c>
      <c r="IO5" s="710">
        <f>FORMULA!$L$620</f>
        <v>0</v>
      </c>
      <c r="IP5" s="710">
        <f>FORMULA!$N$620</f>
        <v>0</v>
      </c>
      <c r="IQ5" s="710">
        <f>FORMULA!$P$620</f>
        <v>0</v>
      </c>
      <c r="IR5" s="710">
        <f>FORMULA!$R$620</f>
        <v>0</v>
      </c>
      <c r="IS5" s="710">
        <f>FORMULA!$T$620</f>
        <v>0</v>
      </c>
      <c r="IT5" s="710">
        <f>FORMULA!$V$620</f>
        <v>0</v>
      </c>
      <c r="IU5" s="710">
        <f>FORMULA!$X$620</f>
        <v>0</v>
      </c>
      <c r="IV5" s="710">
        <f>FORMULA!$Z$620</f>
        <v>0</v>
      </c>
      <c r="IW5" s="710">
        <f>FORMULA!$AB$620</f>
        <v>0</v>
      </c>
      <c r="IX5" s="710">
        <f>FORMULA!$AD$620</f>
        <v>0</v>
      </c>
      <c r="IY5" s="566"/>
    </row>
    <row r="6" spans="1:259" outlineLevel="1">
      <c r="A6" s="260">
        <f>'VAC &amp; MED'!C7</f>
        <v>46024</v>
      </c>
      <c r="B6" s="261"/>
      <c r="C6" s="261"/>
      <c r="D6" s="261"/>
      <c r="E6" s="261"/>
      <c r="F6" s="261"/>
      <c r="G6" s="261"/>
      <c r="H6" s="261"/>
      <c r="I6" s="261"/>
      <c r="J6" s="261"/>
      <c r="K6" s="261"/>
      <c r="L6" s="261"/>
      <c r="M6" s="261"/>
      <c r="N6" s="261"/>
      <c r="O6" s="261"/>
      <c r="P6" s="261"/>
      <c r="Q6" s="261"/>
      <c r="R6" s="262"/>
      <c r="S6" s="262"/>
      <c r="T6" s="262"/>
      <c r="U6" s="262"/>
      <c r="V6" s="262"/>
      <c r="W6" s="262"/>
      <c r="X6" s="262"/>
      <c r="Y6" s="262"/>
      <c r="Z6" s="262"/>
      <c r="AA6" s="262"/>
      <c r="AB6" s="262"/>
      <c r="AC6" s="262"/>
      <c r="AD6" s="262"/>
      <c r="AE6" s="262"/>
      <c r="AF6" s="262"/>
      <c r="AG6" s="262"/>
      <c r="AH6" s="263">
        <v>40</v>
      </c>
      <c r="AI6" s="263"/>
      <c r="AJ6" s="263"/>
      <c r="AK6" s="263"/>
      <c r="AL6" s="263"/>
      <c r="AM6" s="263"/>
      <c r="AN6" s="263"/>
      <c r="AO6" s="263"/>
      <c r="AP6" s="263"/>
      <c r="AQ6" s="263"/>
      <c r="AR6" s="263"/>
      <c r="AS6" s="263"/>
      <c r="AT6" s="263"/>
      <c r="AU6" s="263"/>
      <c r="AV6" s="263"/>
      <c r="AW6" s="263"/>
      <c r="AX6" s="264"/>
      <c r="AY6" s="264"/>
      <c r="AZ6" s="264"/>
      <c r="BA6" s="264"/>
      <c r="BB6" s="264"/>
      <c r="BC6" s="264"/>
      <c r="BD6" s="264"/>
      <c r="BE6" s="264"/>
      <c r="BF6" s="264"/>
      <c r="BG6" s="264"/>
      <c r="BH6" s="264"/>
      <c r="BI6" s="264"/>
      <c r="BJ6" s="264"/>
      <c r="BK6" s="264"/>
      <c r="BL6" s="264"/>
      <c r="BM6" s="264"/>
      <c r="BN6" s="265"/>
      <c r="BO6" s="265"/>
      <c r="BP6" s="265"/>
      <c r="BQ6" s="265">
        <v>28</v>
      </c>
      <c r="BR6" s="265"/>
      <c r="BS6" s="265"/>
      <c r="BT6" s="265"/>
      <c r="BU6" s="265"/>
      <c r="BV6" s="265"/>
      <c r="BW6" s="265"/>
      <c r="BX6" s="265"/>
      <c r="BY6" s="265"/>
      <c r="BZ6" s="265"/>
      <c r="CA6" s="265"/>
      <c r="CB6" s="265"/>
      <c r="CC6" s="265"/>
      <c r="CD6" s="266"/>
      <c r="CE6" s="266"/>
      <c r="CF6" s="266"/>
      <c r="CG6" s="266"/>
      <c r="CH6" s="266"/>
      <c r="CI6" s="266"/>
      <c r="CJ6" s="266"/>
      <c r="CK6" s="266"/>
      <c r="CL6" s="266"/>
      <c r="CM6" s="266"/>
      <c r="CN6" s="266"/>
      <c r="CO6" s="266"/>
      <c r="CP6" s="266"/>
      <c r="CQ6" s="266"/>
      <c r="CR6" s="266"/>
      <c r="CS6" s="266"/>
      <c r="CT6" s="267"/>
      <c r="CU6" s="267"/>
      <c r="CV6" s="267"/>
      <c r="CW6" s="267"/>
      <c r="CX6" s="267"/>
      <c r="CY6" s="267"/>
      <c r="CZ6" s="267"/>
      <c r="DA6" s="267"/>
      <c r="DB6" s="267"/>
      <c r="DC6" s="267"/>
      <c r="DD6" s="267"/>
      <c r="DE6" s="267"/>
      <c r="DF6" s="267"/>
      <c r="DG6" s="267"/>
      <c r="DH6" s="267"/>
      <c r="DI6" s="267"/>
      <c r="DJ6" s="268"/>
      <c r="DK6" s="268"/>
      <c r="DL6" s="268"/>
      <c r="DM6" s="268"/>
      <c r="DN6" s="268"/>
      <c r="DO6" s="268"/>
      <c r="DP6" s="268"/>
      <c r="DQ6" s="268"/>
      <c r="DR6" s="268"/>
      <c r="DS6" s="268"/>
      <c r="DT6" s="268"/>
      <c r="DU6" s="268"/>
      <c r="DV6" s="268"/>
      <c r="DW6" s="268"/>
      <c r="DX6" s="268"/>
      <c r="DY6" s="268"/>
      <c r="EA6" s="726"/>
      <c r="EB6" s="709" t="str">
        <f>FORMULA!$B$4</f>
        <v>N01309AY</v>
      </c>
      <c r="EC6" s="709" t="str">
        <f>FORMULA!$B$4</f>
        <v>N01309AY</v>
      </c>
      <c r="ED6" s="709" t="str">
        <f>FORMULA!$B$4</f>
        <v>N01309AY</v>
      </c>
      <c r="EE6" s="737">
        <f>FORMULA!$H$4</f>
        <v>0</v>
      </c>
      <c r="EF6" s="737">
        <f>FORMULA!$J$4</f>
        <v>0</v>
      </c>
      <c r="EG6" s="737">
        <f>FORMULA!$L$4</f>
        <v>0</v>
      </c>
      <c r="EH6" s="737">
        <f>FORMULA!$N$4</f>
        <v>0</v>
      </c>
      <c r="EI6" s="737">
        <f>FORMULA!$P$4</f>
        <v>0</v>
      </c>
      <c r="EJ6" s="737">
        <f>FORMULA!$R$4</f>
        <v>0</v>
      </c>
      <c r="EK6" s="735">
        <f>FORMULA!$T$4</f>
        <v>0</v>
      </c>
      <c r="EL6" s="737"/>
      <c r="EM6" s="737"/>
      <c r="EN6" s="737"/>
      <c r="EO6" s="737"/>
      <c r="EP6" s="737"/>
      <c r="EQ6" s="567"/>
      <c r="ER6" s="742" t="str">
        <f>FORMULA!$B$92</f>
        <v>N025-06</v>
      </c>
      <c r="ES6" s="728">
        <f>FORMULA!$D$92</f>
        <v>0</v>
      </c>
      <c r="ET6" s="728">
        <f>FORMULA!$F$92</f>
        <v>0</v>
      </c>
      <c r="EU6" s="728">
        <f>FORMULA!$H$92</f>
        <v>0</v>
      </c>
      <c r="EV6" s="728">
        <f>FORMULA!$J$92</f>
        <v>0</v>
      </c>
      <c r="EW6" s="728">
        <f>FORMULA!$L$92</f>
        <v>0</v>
      </c>
      <c r="EX6" s="728">
        <f>FORMULA!$N$92</f>
        <v>0</v>
      </c>
      <c r="EY6" s="728">
        <f>FORMULA!$P$92</f>
        <v>0</v>
      </c>
      <c r="EZ6" s="728">
        <f>FORMULA!$R$92</f>
        <v>0</v>
      </c>
      <c r="FA6" s="728">
        <f>FORMULA!$R$92</f>
        <v>0</v>
      </c>
      <c r="FB6" s="728">
        <f>FORMULA!$R$92</f>
        <v>0</v>
      </c>
      <c r="FC6" s="728">
        <f>FORMULA!$R$92</f>
        <v>0</v>
      </c>
      <c r="FD6" s="728">
        <f>FORMULA!$R$92</f>
        <v>0</v>
      </c>
      <c r="FE6" s="728">
        <f>FORMULA!$R$92</f>
        <v>0</v>
      </c>
      <c r="FF6" s="739">
        <f>FORMULA!$T$92</f>
        <v>0</v>
      </c>
      <c r="FG6" s="568"/>
      <c r="FH6" s="757" t="str">
        <f>FORMULA!$B$92</f>
        <v>N025-06</v>
      </c>
      <c r="FI6" s="730">
        <f>FORMULA!$D$92</f>
        <v>0</v>
      </c>
      <c r="FJ6" s="730">
        <f>FORMULA!$F$92</f>
        <v>0</v>
      </c>
      <c r="FK6" s="730">
        <f>FORMULA!$H$92</f>
        <v>0</v>
      </c>
      <c r="FL6" s="730">
        <f>FORMULA!$J$92</f>
        <v>0</v>
      </c>
      <c r="FM6" s="730">
        <f>FORMULA!$L$92</f>
        <v>0</v>
      </c>
      <c r="FN6" s="730">
        <f>FORMULA!$N$92</f>
        <v>0</v>
      </c>
      <c r="FO6" s="730">
        <f>FORMULA!$P$92</f>
        <v>0</v>
      </c>
      <c r="FP6" s="730">
        <f>FORMULA!$R$92</f>
        <v>0</v>
      </c>
      <c r="FQ6" s="730">
        <f>FORMULA!$R$92</f>
        <v>0</v>
      </c>
      <c r="FR6" s="730">
        <f>FORMULA!$R$92</f>
        <v>0</v>
      </c>
      <c r="FS6" s="730">
        <f>FORMULA!$R$92</f>
        <v>0</v>
      </c>
      <c r="FT6" s="730">
        <f>FORMULA!$R$92</f>
        <v>0</v>
      </c>
      <c r="FU6" s="730">
        <f>FORMULA!$R$92</f>
        <v>0</v>
      </c>
      <c r="FV6" s="732">
        <f>FORMULA!$T$92</f>
        <v>0</v>
      </c>
      <c r="FW6" s="568"/>
      <c r="FX6" s="723">
        <f>FORMULA!$B$268</f>
        <v>0</v>
      </c>
      <c r="FY6" s="716">
        <f>FORMULA!$D$268</f>
        <v>0</v>
      </c>
      <c r="FZ6" s="716">
        <f>FORMULA!$F$268</f>
        <v>0</v>
      </c>
      <c r="GA6" s="716">
        <f>FORMULA!$H$268</f>
        <v>0</v>
      </c>
      <c r="GB6" s="716">
        <f>FORMULA!$J$268</f>
        <v>0</v>
      </c>
      <c r="GC6" s="716">
        <f>FORMULA!$L$268</f>
        <v>0</v>
      </c>
      <c r="GD6" s="716">
        <f>FORMULA!$N$268</f>
        <v>0</v>
      </c>
      <c r="GE6" s="716">
        <f>FORMULA!$P$268</f>
        <v>0</v>
      </c>
      <c r="GF6" s="716">
        <f>FORMULA!$R$268</f>
        <v>0</v>
      </c>
      <c r="GG6" s="716">
        <f>FORMULA!$R$268</f>
        <v>0</v>
      </c>
      <c r="GH6" s="716">
        <f>FORMULA!$R$268</f>
        <v>0</v>
      </c>
      <c r="GI6" s="716">
        <f>FORMULA!$R$268</f>
        <v>0</v>
      </c>
      <c r="GJ6" s="716">
        <f>FORMULA!$R$268</f>
        <v>0</v>
      </c>
      <c r="GK6" s="716">
        <f>FORMULA!$R$268</f>
        <v>0</v>
      </c>
      <c r="GL6" s="772"/>
      <c r="GM6" s="565"/>
      <c r="GN6" s="771">
        <f>FORMULA!$B$268</f>
        <v>0</v>
      </c>
      <c r="GO6" s="718">
        <f>FORMULA!$D$268</f>
        <v>0</v>
      </c>
      <c r="GP6" s="718">
        <f>FORMULA!$F$268</f>
        <v>0</v>
      </c>
      <c r="GQ6" s="718">
        <f>FORMULA!$H$268</f>
        <v>0</v>
      </c>
      <c r="GR6" s="718">
        <f>FORMULA!$J$268</f>
        <v>0</v>
      </c>
      <c r="GS6" s="718">
        <f>FORMULA!$L$268</f>
        <v>0</v>
      </c>
      <c r="GT6" s="718">
        <f>FORMULA!$N$268</f>
        <v>0</v>
      </c>
      <c r="GU6" s="718">
        <f>FORMULA!$P$268</f>
        <v>0</v>
      </c>
      <c r="GV6" s="718">
        <f>FORMULA!$R$268</f>
        <v>0</v>
      </c>
      <c r="GW6" s="718">
        <f>FORMULA!$R$268</f>
        <v>0</v>
      </c>
      <c r="GX6" s="718">
        <f>FORMULA!$R$268</f>
        <v>0</v>
      </c>
      <c r="GY6" s="718">
        <f>FORMULA!$R$268</f>
        <v>0</v>
      </c>
      <c r="GZ6" s="718">
        <f>FORMULA!$R$268</f>
        <v>0</v>
      </c>
      <c r="HA6" s="718">
        <f>FORMULA!$R$268</f>
        <v>0</v>
      </c>
      <c r="HB6" s="718">
        <f>FORMULA!$R$268</f>
        <v>0</v>
      </c>
      <c r="HC6" s="565"/>
      <c r="HD6" s="847">
        <f>FORMULA!$B$268</f>
        <v>0</v>
      </c>
      <c r="HE6" s="720">
        <f>FORMULA!$D$268</f>
        <v>0</v>
      </c>
      <c r="HF6" s="720">
        <f>FORMULA!$F$268</f>
        <v>0</v>
      </c>
      <c r="HG6" s="720">
        <f>FORMULA!$H$268</f>
        <v>0</v>
      </c>
      <c r="HH6" s="720">
        <f>FORMULA!$J$268</f>
        <v>0</v>
      </c>
      <c r="HI6" s="720">
        <f>FORMULA!$L$268</f>
        <v>0</v>
      </c>
      <c r="HJ6" s="720">
        <f>FORMULA!$N$268</f>
        <v>0</v>
      </c>
      <c r="HK6" s="720">
        <f>FORMULA!$P$268</f>
        <v>0</v>
      </c>
      <c r="HL6" s="720">
        <f>FORMULA!$R$268</f>
        <v>0</v>
      </c>
      <c r="HM6" s="720">
        <f>FORMULA!$R$268</f>
        <v>0</v>
      </c>
      <c r="HN6" s="720">
        <f>FORMULA!$R$268</f>
        <v>0</v>
      </c>
      <c r="HO6" s="720">
        <f>FORMULA!$R$268</f>
        <v>0</v>
      </c>
      <c r="HP6" s="720">
        <f>FORMULA!$R$268</f>
        <v>0</v>
      </c>
      <c r="HQ6" s="720">
        <f>FORMULA!$R$268</f>
        <v>0</v>
      </c>
      <c r="HR6" s="720"/>
      <c r="HS6" s="565"/>
      <c r="HT6" s="845">
        <f>FORMULA!$B$268</f>
        <v>0</v>
      </c>
      <c r="HU6" s="713">
        <f>FORMULA!$D$268</f>
        <v>0</v>
      </c>
      <c r="HV6" s="713">
        <f>FORMULA!$F$268</f>
        <v>0</v>
      </c>
      <c r="HW6" s="713">
        <f>FORMULA!$H$268</f>
        <v>0</v>
      </c>
      <c r="HX6" s="713">
        <f>FORMULA!$J$268</f>
        <v>0</v>
      </c>
      <c r="HY6" s="713">
        <f>FORMULA!$L$268</f>
        <v>0</v>
      </c>
      <c r="HZ6" s="713">
        <f>FORMULA!$N$268</f>
        <v>0</v>
      </c>
      <c r="IA6" s="713">
        <f>FORMULA!$P$268</f>
        <v>0</v>
      </c>
      <c r="IB6" s="713">
        <f>FORMULA!$R$268</f>
        <v>0</v>
      </c>
      <c r="IC6" s="713">
        <f>FORMULA!$R$268</f>
        <v>0</v>
      </c>
      <c r="ID6" s="713">
        <f>FORMULA!$R$268</f>
        <v>0</v>
      </c>
      <c r="IE6" s="713">
        <f>FORMULA!$R$268</f>
        <v>0</v>
      </c>
      <c r="IF6" s="713">
        <f>FORMULA!$R$268</f>
        <v>0</v>
      </c>
      <c r="IG6" s="713">
        <f>FORMULA!$R$268</f>
        <v>0</v>
      </c>
      <c r="IH6" s="713"/>
      <c r="II6" s="565"/>
      <c r="IJ6" s="843">
        <f>FORMULA!$B$268</f>
        <v>0</v>
      </c>
      <c r="IK6" s="711">
        <f>FORMULA!$D$268</f>
        <v>0</v>
      </c>
      <c r="IL6" s="711">
        <f>FORMULA!$F$268</f>
        <v>0</v>
      </c>
      <c r="IM6" s="711">
        <f>FORMULA!$H$268</f>
        <v>0</v>
      </c>
      <c r="IN6" s="711">
        <f>FORMULA!$J$268</f>
        <v>0</v>
      </c>
      <c r="IO6" s="711">
        <f>FORMULA!$L$268</f>
        <v>0</v>
      </c>
      <c r="IP6" s="711">
        <f>FORMULA!$N$268</f>
        <v>0</v>
      </c>
      <c r="IQ6" s="711">
        <f>FORMULA!$P$268</f>
        <v>0</v>
      </c>
      <c r="IR6" s="711">
        <f>FORMULA!$R$268</f>
        <v>0</v>
      </c>
      <c r="IS6" s="711">
        <f>FORMULA!$R$268</f>
        <v>0</v>
      </c>
      <c r="IT6" s="711">
        <f>FORMULA!$R$268</f>
        <v>0</v>
      </c>
      <c r="IU6" s="711">
        <f>FORMULA!$R$268</f>
        <v>0</v>
      </c>
      <c r="IV6" s="711">
        <f>FORMULA!$R$268</f>
        <v>0</v>
      </c>
      <c r="IW6" s="711">
        <f>FORMULA!$R$268</f>
        <v>0</v>
      </c>
      <c r="IX6" s="711"/>
      <c r="IY6" s="566"/>
    </row>
    <row r="7" spans="1:259" outlineLevel="1">
      <c r="A7" s="260">
        <f>'VAC &amp; MED'!C8</f>
        <v>46025</v>
      </c>
      <c r="B7" s="261"/>
      <c r="C7" s="261"/>
      <c r="D7" s="261"/>
      <c r="E7" s="261"/>
      <c r="F7" s="261"/>
      <c r="G7" s="261"/>
      <c r="H7" s="261"/>
      <c r="I7" s="261"/>
      <c r="J7" s="261"/>
      <c r="K7" s="261"/>
      <c r="L7" s="261"/>
      <c r="M7" s="261"/>
      <c r="N7" s="261"/>
      <c r="O7" s="261"/>
      <c r="P7" s="261"/>
      <c r="Q7" s="261"/>
      <c r="R7" s="262"/>
      <c r="S7" s="262"/>
      <c r="T7" s="262"/>
      <c r="U7" s="262"/>
      <c r="V7" s="262"/>
      <c r="W7" s="262"/>
      <c r="X7" s="262"/>
      <c r="Y7" s="262"/>
      <c r="Z7" s="262"/>
      <c r="AA7" s="262"/>
      <c r="AB7" s="262"/>
      <c r="AC7" s="262"/>
      <c r="AD7" s="262"/>
      <c r="AE7" s="262"/>
      <c r="AF7" s="262"/>
      <c r="AG7" s="262"/>
      <c r="AH7" s="263">
        <v>50</v>
      </c>
      <c r="AI7" s="263"/>
      <c r="AJ7" s="263"/>
      <c r="AK7" s="263"/>
      <c r="AL7" s="263"/>
      <c r="AM7" s="263"/>
      <c r="AN7" s="263"/>
      <c r="AO7" s="263"/>
      <c r="AP7" s="263"/>
      <c r="AQ7" s="263"/>
      <c r="AR7" s="263"/>
      <c r="AS7" s="263"/>
      <c r="AT7" s="263"/>
      <c r="AU7" s="263"/>
      <c r="AV7" s="263"/>
      <c r="AW7" s="263"/>
      <c r="AX7" s="264"/>
      <c r="AY7" s="264"/>
      <c r="AZ7" s="264"/>
      <c r="BA7" s="264"/>
      <c r="BB7" s="264"/>
      <c r="BC7" s="264"/>
      <c r="BD7" s="264"/>
      <c r="BE7" s="264"/>
      <c r="BF7" s="264"/>
      <c r="BG7" s="264"/>
      <c r="BH7" s="264"/>
      <c r="BI7" s="264"/>
      <c r="BJ7" s="264"/>
      <c r="BK7" s="264"/>
      <c r="BL7" s="264"/>
      <c r="BM7" s="264"/>
      <c r="BN7" s="265"/>
      <c r="BO7" s="265"/>
      <c r="BP7" s="265"/>
      <c r="BQ7" s="265">
        <v>12</v>
      </c>
      <c r="BR7" s="265">
        <v>30</v>
      </c>
      <c r="BS7" s="265"/>
      <c r="BT7" s="265"/>
      <c r="BU7" s="265"/>
      <c r="BV7" s="265"/>
      <c r="BW7" s="265"/>
      <c r="BX7" s="265"/>
      <c r="BY7" s="265"/>
      <c r="BZ7" s="265"/>
      <c r="CA7" s="265"/>
      <c r="CB7" s="265"/>
      <c r="CC7" s="265"/>
      <c r="CD7" s="266"/>
      <c r="CE7" s="266"/>
      <c r="CF7" s="266"/>
      <c r="CG7" s="266"/>
      <c r="CH7" s="266"/>
      <c r="CI7" s="266"/>
      <c r="CJ7" s="266"/>
      <c r="CK7" s="266"/>
      <c r="CL7" s="266"/>
      <c r="CM7" s="266"/>
      <c r="CN7" s="266"/>
      <c r="CO7" s="266"/>
      <c r="CP7" s="266"/>
      <c r="CQ7" s="266"/>
      <c r="CR7" s="266"/>
      <c r="CS7" s="266"/>
      <c r="CT7" s="267"/>
      <c r="CU7" s="267"/>
      <c r="CV7" s="267"/>
      <c r="CW7" s="267"/>
      <c r="CX7" s="267"/>
      <c r="CY7" s="267"/>
      <c r="CZ7" s="267"/>
      <c r="DA7" s="267"/>
      <c r="DB7" s="267"/>
      <c r="DC7" s="267"/>
      <c r="DD7" s="267"/>
      <c r="DE7" s="267"/>
      <c r="DF7" s="267"/>
      <c r="DG7" s="267"/>
      <c r="DH7" s="267"/>
      <c r="DI7" s="267"/>
      <c r="DJ7" s="268"/>
      <c r="DK7" s="268"/>
      <c r="DL7" s="268"/>
      <c r="DM7" s="268"/>
      <c r="DN7" s="268"/>
      <c r="DO7" s="268"/>
      <c r="DP7" s="268"/>
      <c r="DQ7" s="268"/>
      <c r="DR7" s="268"/>
      <c r="DS7" s="268"/>
      <c r="DT7" s="268"/>
      <c r="DU7" s="268"/>
      <c r="DV7" s="268"/>
      <c r="DW7" s="268"/>
      <c r="DX7" s="268"/>
      <c r="DY7" s="268"/>
      <c r="EA7" s="19" t="str">
        <f>FORMULA!$A$6</f>
        <v>MAIZE/CORN</v>
      </c>
      <c r="EB7" s="91">
        <f>FORMULA!$C$6</f>
        <v>535.1</v>
      </c>
      <c r="EC7" s="92">
        <f>FORMULA!$E$6</f>
        <v>568.4</v>
      </c>
      <c r="ED7" s="92">
        <f>FORMULA!$G$6</f>
        <v>0</v>
      </c>
      <c r="EE7" s="92">
        <f>FORMULA!$I$6</f>
        <v>0</v>
      </c>
      <c r="EF7" s="92">
        <f>FORMULA!$K$6</f>
        <v>0</v>
      </c>
      <c r="EG7" s="92">
        <f>FORMULA!$M$6</f>
        <v>0</v>
      </c>
      <c r="EH7" s="92">
        <f>FORMULA!$O$6</f>
        <v>0</v>
      </c>
      <c r="EI7" s="92">
        <f>FORMULA!$Q$6</f>
        <v>0</v>
      </c>
      <c r="EJ7" s="92">
        <f>FORMULA!$S$6</f>
        <v>0</v>
      </c>
      <c r="EK7" s="92">
        <f>FORMULA!$U$6</f>
        <v>0</v>
      </c>
      <c r="EL7" s="92">
        <f>FORMULA!$W$6</f>
        <v>0</v>
      </c>
      <c r="EM7" s="92">
        <f>FORMULA!$Y$6</f>
        <v>0</v>
      </c>
      <c r="EN7" s="92">
        <f>FORMULA!$AA$6</f>
        <v>0</v>
      </c>
      <c r="EO7" s="92">
        <f>FORMULA!$AC$6</f>
        <v>0</v>
      </c>
      <c r="EP7" s="92">
        <f>FORMULA!$AE$6</f>
        <v>0</v>
      </c>
      <c r="EQ7" s="107"/>
      <c r="ER7" s="91">
        <f>FORMULA!$C$94</f>
        <v>585.5</v>
      </c>
      <c r="ES7" s="92">
        <f>FORMULA!$E94</f>
        <v>0</v>
      </c>
      <c r="ET7" s="92">
        <f>FORMULA!$G94</f>
        <v>0</v>
      </c>
      <c r="EU7" s="92">
        <f>FORMULA!$I94</f>
        <v>0</v>
      </c>
      <c r="EV7" s="92">
        <f>FORMULA!$K94</f>
        <v>0</v>
      </c>
      <c r="EW7" s="92">
        <f>FORMULA!$M94</f>
        <v>0</v>
      </c>
      <c r="EX7" s="92">
        <f>FORMULA!$O94</f>
        <v>0</v>
      </c>
      <c r="EY7" s="92">
        <f>FORMULA!$Q94</f>
        <v>0</v>
      </c>
      <c r="EZ7" s="92">
        <f>FORMULA!$S94</f>
        <v>0</v>
      </c>
      <c r="FA7" s="92">
        <f>FORMULA!$U94</f>
        <v>0</v>
      </c>
      <c r="FB7" s="92">
        <f>FORMULA!$W94</f>
        <v>0</v>
      </c>
      <c r="FC7" s="92">
        <f>FORMULA!$Y94</f>
        <v>0</v>
      </c>
      <c r="FD7" s="92">
        <f>FORMULA!$AA94</f>
        <v>0</v>
      </c>
      <c r="FE7" s="92">
        <f>FORMULA!$AC94</f>
        <v>0</v>
      </c>
      <c r="FF7" s="92">
        <f>FORMULA!$AE94</f>
        <v>0</v>
      </c>
      <c r="FG7" s="93"/>
      <c r="FH7" s="91">
        <f>FORMULA!$C182</f>
        <v>627.5</v>
      </c>
      <c r="FI7" s="92">
        <f>FORMULA!$E182</f>
        <v>649.20000000000005</v>
      </c>
      <c r="FJ7" s="92">
        <f>FORMULA!$G182</f>
        <v>0</v>
      </c>
      <c r="FK7" s="92">
        <f>FORMULA!$I182</f>
        <v>0</v>
      </c>
      <c r="FL7" s="92">
        <f>FORMULA!$K182</f>
        <v>0</v>
      </c>
      <c r="FM7" s="92">
        <f>FORMULA!$M182</f>
        <v>0</v>
      </c>
      <c r="FN7" s="92">
        <f>FORMULA!$O182</f>
        <v>0</v>
      </c>
      <c r="FO7" s="92">
        <f>FORMULA!$Q182</f>
        <v>0</v>
      </c>
      <c r="FP7" s="92">
        <f>FORMULA!$S182</f>
        <v>0</v>
      </c>
      <c r="FQ7" s="92">
        <f>FORMULA!$U182</f>
        <v>0</v>
      </c>
      <c r="FR7" s="92">
        <f>FORMULA!$W182</f>
        <v>0</v>
      </c>
      <c r="FS7" s="92">
        <f>FORMULA!$Y182</f>
        <v>0</v>
      </c>
      <c r="FT7" s="92">
        <f>FORMULA!$AA182</f>
        <v>0</v>
      </c>
      <c r="FU7" s="92">
        <f>FORMULA!$AC182</f>
        <v>0</v>
      </c>
      <c r="FV7" s="92">
        <f>FORMULA!$AE182</f>
        <v>0</v>
      </c>
      <c r="FW7" s="93"/>
      <c r="FX7" s="91">
        <f>FORMULA!$C270</f>
        <v>0</v>
      </c>
      <c r="FY7" s="92">
        <f>FORMULA!$E270</f>
        <v>0</v>
      </c>
      <c r="FZ7" s="92">
        <f>FORMULA!$G270</f>
        <v>0</v>
      </c>
      <c r="GA7" s="92">
        <f>FORMULA!$I270</f>
        <v>0</v>
      </c>
      <c r="GB7" s="92">
        <f>FORMULA!$K270</f>
        <v>0</v>
      </c>
      <c r="GC7" s="92">
        <f>FORMULA!$M270</f>
        <v>0</v>
      </c>
      <c r="GD7" s="92">
        <f>FORMULA!$O270</f>
        <v>0</v>
      </c>
      <c r="GE7" s="92">
        <f>FORMULA!$Q270</f>
        <v>0</v>
      </c>
      <c r="GF7" s="92">
        <f>FORMULA!$S270</f>
        <v>0</v>
      </c>
      <c r="GG7" s="92">
        <f>FORMULA!$U270</f>
        <v>0</v>
      </c>
      <c r="GH7" s="92">
        <f>FORMULA!$W270</f>
        <v>0</v>
      </c>
      <c r="GI7" s="92">
        <f>FORMULA!$Y270</f>
        <v>0</v>
      </c>
      <c r="GJ7" s="92">
        <f>FORMULA!$AA270</f>
        <v>0</v>
      </c>
      <c r="GK7" s="92">
        <f>FORMULA!$AC270</f>
        <v>0</v>
      </c>
      <c r="GL7" s="92">
        <f>FORMULA!$AE270</f>
        <v>0</v>
      </c>
      <c r="GM7" s="207"/>
      <c r="GN7" s="91">
        <f>FORMULA!$C358</f>
        <v>539.1</v>
      </c>
      <c r="GO7" s="92">
        <f>FORMULA!$E358</f>
        <v>538.32000000000016</v>
      </c>
      <c r="GP7" s="92">
        <f>FORMULA!$G358</f>
        <v>0</v>
      </c>
      <c r="GQ7" s="92">
        <f>FORMULA!$I358</f>
        <v>537.5</v>
      </c>
      <c r="GR7" s="92">
        <f>FORMULA!$K358</f>
        <v>536.5</v>
      </c>
      <c r="GS7" s="92">
        <f>FORMULA!$M358</f>
        <v>506.37999999999994</v>
      </c>
      <c r="GT7" s="92">
        <f>FORMULA!$O358</f>
        <v>506.37999999999994</v>
      </c>
      <c r="GU7" s="92">
        <f>FORMULA!$Q358</f>
        <v>556.38</v>
      </c>
      <c r="GV7" s="92">
        <f>FORMULA!$S358</f>
        <v>556.38</v>
      </c>
      <c r="GW7" s="92">
        <f>FORMULA!$U358</f>
        <v>557.87999999999988</v>
      </c>
      <c r="GX7" s="92">
        <f>FORMULA!$W358</f>
        <v>557.87999999999988</v>
      </c>
      <c r="GY7" s="92">
        <f>FORMULA!$Y358</f>
        <v>620.25</v>
      </c>
      <c r="GZ7" s="92">
        <f>FORMULA!$AA358</f>
        <v>620.49999999999989</v>
      </c>
      <c r="HA7" s="92">
        <f>FORMULA!$AC358</f>
        <v>555.38</v>
      </c>
      <c r="HB7" s="92">
        <f>FORMULA!$AE358</f>
        <v>555.88</v>
      </c>
      <c r="HC7" s="207"/>
      <c r="HD7" s="91">
        <f>FORMULA!$C446</f>
        <v>515.54999999999995</v>
      </c>
      <c r="HE7" s="92">
        <f>FORMULA!$E446</f>
        <v>516.54999999999995</v>
      </c>
      <c r="HF7" s="92">
        <f>FORMULA!$G446</f>
        <v>519.06500000000005</v>
      </c>
      <c r="HG7" s="92">
        <f>FORMULA!$I446</f>
        <v>0</v>
      </c>
      <c r="HH7" s="92">
        <f>FORMULA!$K446</f>
        <v>0</v>
      </c>
      <c r="HI7" s="92">
        <f>FORMULA!$M446</f>
        <v>0</v>
      </c>
      <c r="HJ7" s="92">
        <f>FORMULA!$O446</f>
        <v>0</v>
      </c>
      <c r="HK7" s="92">
        <f>FORMULA!$Q446</f>
        <v>0</v>
      </c>
      <c r="HL7" s="92">
        <f>FORMULA!$S446</f>
        <v>0</v>
      </c>
      <c r="HM7" s="92">
        <f>FORMULA!$U446</f>
        <v>577.00000000000011</v>
      </c>
      <c r="HN7" s="92">
        <f>FORMULA!$W446</f>
        <v>616</v>
      </c>
      <c r="HO7" s="92">
        <f>FORMULA!$Y446</f>
        <v>0</v>
      </c>
      <c r="HP7" s="92">
        <f>FORMULA!$AA446</f>
        <v>0</v>
      </c>
      <c r="HQ7" s="92">
        <f>FORMULA!$AC446</f>
        <v>0</v>
      </c>
      <c r="HR7" s="92">
        <f>FORMULA!$AE446</f>
        <v>0</v>
      </c>
      <c r="HS7" s="207"/>
      <c r="HT7" s="91">
        <f>FORMULA!$C534</f>
        <v>501.35000000000008</v>
      </c>
      <c r="HU7" s="92">
        <f>FORMULA!$E534</f>
        <v>502.34999999999997</v>
      </c>
      <c r="HV7" s="92">
        <f>FORMULA!$G534</f>
        <v>501.35000000000008</v>
      </c>
      <c r="HW7" s="92">
        <f>FORMULA!$I534</f>
        <v>0</v>
      </c>
      <c r="HX7" s="92">
        <f>FORMULA!$K534</f>
        <v>0</v>
      </c>
      <c r="HY7" s="92">
        <f>FORMULA!$M534</f>
        <v>0</v>
      </c>
      <c r="HZ7" s="92">
        <f>FORMULA!$O534</f>
        <v>524.85</v>
      </c>
      <c r="IA7" s="92">
        <f>FORMULA!$Q534</f>
        <v>511.25</v>
      </c>
      <c r="IB7" s="92">
        <f>FORMULA!$S534</f>
        <v>0</v>
      </c>
      <c r="IC7" s="92">
        <f>FORMULA!$U534</f>
        <v>545.14499999999998</v>
      </c>
      <c r="ID7" s="92">
        <f>FORMULA!$W534</f>
        <v>543.95000000000005</v>
      </c>
      <c r="IE7" s="92">
        <f>FORMULA!$Y534</f>
        <v>0</v>
      </c>
      <c r="IF7" s="92">
        <f>FORMULA!$AA534</f>
        <v>614.4</v>
      </c>
      <c r="IG7" s="92">
        <f>FORMULA!$AC534</f>
        <v>606.70000000000005</v>
      </c>
      <c r="IH7" s="92">
        <f>FORMULA!$AE534</f>
        <v>0</v>
      </c>
      <c r="II7" s="207"/>
      <c r="IJ7" s="91">
        <f>FORMULA!$C622</f>
        <v>534.59999999999991</v>
      </c>
      <c r="IK7" s="92">
        <f>FORMULA!$E622</f>
        <v>501.03</v>
      </c>
      <c r="IL7" s="92">
        <f>FORMULA!$G622</f>
        <v>535.6</v>
      </c>
      <c r="IM7" s="92">
        <f>FORMULA!$I622</f>
        <v>534.5</v>
      </c>
      <c r="IN7" s="92">
        <f>FORMULA!$K622</f>
        <v>0</v>
      </c>
      <c r="IO7" s="92">
        <f>FORMULA!$M622</f>
        <v>0</v>
      </c>
      <c r="IP7" s="92">
        <f>FORMULA!$O622</f>
        <v>0</v>
      </c>
      <c r="IQ7" s="92">
        <f>FORMULA!$Q622</f>
        <v>0</v>
      </c>
      <c r="IR7" s="92">
        <f>FORMULA!$S622</f>
        <v>0</v>
      </c>
      <c r="IS7" s="92">
        <f>FORMULA!$U622</f>
        <v>0</v>
      </c>
      <c r="IT7" s="92">
        <f>FORMULA!$W622</f>
        <v>0</v>
      </c>
      <c r="IU7" s="92">
        <f>FORMULA!$Y622</f>
        <v>0</v>
      </c>
      <c r="IV7" s="92">
        <f>FORMULA!$AA622</f>
        <v>0</v>
      </c>
      <c r="IW7" s="92">
        <f>FORMULA!$AC622</f>
        <v>0</v>
      </c>
      <c r="IX7" s="92">
        <f>FORMULA!$AE622</f>
        <v>0</v>
      </c>
      <c r="IY7" s="208"/>
    </row>
    <row r="8" spans="1:259" outlineLevel="1">
      <c r="A8" s="260">
        <f>'VAC &amp; MED'!C9</f>
        <v>46026</v>
      </c>
      <c r="B8" s="261"/>
      <c r="C8" s="261"/>
      <c r="D8" s="261"/>
      <c r="E8" s="261"/>
      <c r="F8" s="261"/>
      <c r="G8" s="261"/>
      <c r="H8" s="261"/>
      <c r="I8" s="261"/>
      <c r="J8" s="261"/>
      <c r="K8" s="261"/>
      <c r="L8" s="261"/>
      <c r="M8" s="261"/>
      <c r="N8" s="261"/>
      <c r="O8" s="261"/>
      <c r="P8" s="261"/>
      <c r="Q8" s="261"/>
      <c r="R8" s="262"/>
      <c r="S8" s="262"/>
      <c r="T8" s="262"/>
      <c r="U8" s="262"/>
      <c r="V8" s="262"/>
      <c r="W8" s="262"/>
      <c r="X8" s="262"/>
      <c r="Y8" s="262"/>
      <c r="Z8" s="262"/>
      <c r="AA8" s="262"/>
      <c r="AB8" s="262"/>
      <c r="AC8" s="262"/>
      <c r="AD8" s="262"/>
      <c r="AE8" s="262"/>
      <c r="AF8" s="262"/>
      <c r="AG8" s="262"/>
      <c r="AH8" s="263"/>
      <c r="AI8" s="263"/>
      <c r="AJ8" s="263"/>
      <c r="AK8" s="263"/>
      <c r="AL8" s="263"/>
      <c r="AM8" s="263"/>
      <c r="AN8" s="263"/>
      <c r="AO8" s="263"/>
      <c r="AP8" s="263"/>
      <c r="AQ8" s="263"/>
      <c r="AR8" s="263"/>
      <c r="AS8" s="263"/>
      <c r="AT8" s="263"/>
      <c r="AU8" s="263"/>
      <c r="AV8" s="263"/>
      <c r="AW8" s="263"/>
      <c r="AX8" s="264"/>
      <c r="AY8" s="264"/>
      <c r="AZ8" s="264"/>
      <c r="BA8" s="264"/>
      <c r="BB8" s="264"/>
      <c r="BC8" s="264"/>
      <c r="BD8" s="264"/>
      <c r="BE8" s="264"/>
      <c r="BF8" s="264"/>
      <c r="BG8" s="264"/>
      <c r="BH8" s="264"/>
      <c r="BI8" s="264"/>
      <c r="BJ8" s="264"/>
      <c r="BK8" s="264"/>
      <c r="BL8" s="264"/>
      <c r="BM8" s="264"/>
      <c r="BN8" s="265"/>
      <c r="BO8" s="265"/>
      <c r="BP8" s="265"/>
      <c r="BQ8" s="265"/>
      <c r="BR8" s="265"/>
      <c r="BS8" s="265"/>
      <c r="BT8" s="265"/>
      <c r="BU8" s="265"/>
      <c r="BV8" s="265"/>
      <c r="BW8" s="265"/>
      <c r="BX8" s="265"/>
      <c r="BY8" s="265"/>
      <c r="BZ8" s="265"/>
      <c r="CA8" s="265"/>
      <c r="CB8" s="265"/>
      <c r="CC8" s="265"/>
      <c r="CD8" s="266"/>
      <c r="CE8" s="266"/>
      <c r="CF8" s="266"/>
      <c r="CG8" s="266"/>
      <c r="CH8" s="266"/>
      <c r="CI8" s="266"/>
      <c r="CJ8" s="266"/>
      <c r="CK8" s="266"/>
      <c r="CL8" s="266"/>
      <c r="CM8" s="266"/>
      <c r="CN8" s="266"/>
      <c r="CO8" s="266"/>
      <c r="CP8" s="266"/>
      <c r="CQ8" s="266"/>
      <c r="CR8" s="266"/>
      <c r="CS8" s="266"/>
      <c r="CT8" s="267"/>
      <c r="CU8" s="267"/>
      <c r="CV8" s="267"/>
      <c r="CW8" s="267"/>
      <c r="CX8" s="267"/>
      <c r="CY8" s="267"/>
      <c r="CZ8" s="267"/>
      <c r="DA8" s="267"/>
      <c r="DB8" s="267"/>
      <c r="DC8" s="267"/>
      <c r="DD8" s="267"/>
      <c r="DE8" s="267"/>
      <c r="DF8" s="267"/>
      <c r="DG8" s="267"/>
      <c r="DH8" s="267"/>
      <c r="DI8" s="267"/>
      <c r="DJ8" s="268"/>
      <c r="DK8" s="268"/>
      <c r="DL8" s="268"/>
      <c r="DM8" s="268"/>
      <c r="DN8" s="268"/>
      <c r="DO8" s="268"/>
      <c r="DP8" s="268"/>
      <c r="DQ8" s="268"/>
      <c r="DR8" s="268"/>
      <c r="DS8" s="268"/>
      <c r="DT8" s="268"/>
      <c r="DU8" s="268"/>
      <c r="DV8" s="268"/>
      <c r="DW8" s="268"/>
      <c r="DX8" s="268"/>
      <c r="DY8" s="268"/>
      <c r="EA8" s="20" t="str">
        <f>FORMULA!$A$7</f>
        <v>SOYBEAN MEAL (ARG)</v>
      </c>
      <c r="EB8" s="91">
        <f>FORMULA!$C7</f>
        <v>326.25</v>
      </c>
      <c r="EC8" s="92">
        <f>FORMULA!$E7</f>
        <v>327.8</v>
      </c>
      <c r="ED8" s="92">
        <f>FORMULA!$G7</f>
        <v>0</v>
      </c>
      <c r="EE8" s="92">
        <f>FORMULA!$I7</f>
        <v>0</v>
      </c>
      <c r="EF8" s="92">
        <f>FORMULA!$K7</f>
        <v>0</v>
      </c>
      <c r="EG8" s="92">
        <f>FORMULA!$M7</f>
        <v>0</v>
      </c>
      <c r="EH8" s="92">
        <f>FORMULA!$O7</f>
        <v>0</v>
      </c>
      <c r="EI8" s="92">
        <f>FORMULA!$Q7</f>
        <v>0</v>
      </c>
      <c r="EJ8" s="92">
        <f>FORMULA!$S7</f>
        <v>0</v>
      </c>
      <c r="EK8" s="92">
        <f>FORMULA!$U7</f>
        <v>0</v>
      </c>
      <c r="EL8" s="92">
        <f>FORMULA!$W7</f>
        <v>0</v>
      </c>
      <c r="EM8" s="92">
        <f>FORMULA!$Y7</f>
        <v>0</v>
      </c>
      <c r="EN8" s="92">
        <f>FORMULA!$AA7</f>
        <v>0</v>
      </c>
      <c r="EO8" s="92">
        <f>FORMULA!$AC7</f>
        <v>0</v>
      </c>
      <c r="EP8" s="92">
        <f>FORMULA!$AE7</f>
        <v>0</v>
      </c>
      <c r="EQ8" s="108"/>
      <c r="ER8" s="91">
        <f>FORMULA!$C95</f>
        <v>254</v>
      </c>
      <c r="ES8" s="92">
        <f>FORMULA!$E95</f>
        <v>0</v>
      </c>
      <c r="ET8" s="92">
        <f>FORMULA!$G95</f>
        <v>0</v>
      </c>
      <c r="EU8" s="92">
        <f>FORMULA!$I95</f>
        <v>0</v>
      </c>
      <c r="EV8" s="92">
        <f>FORMULA!$K95</f>
        <v>0</v>
      </c>
      <c r="EW8" s="92">
        <f>FORMULA!$M95</f>
        <v>0</v>
      </c>
      <c r="EX8" s="92">
        <f>FORMULA!$O95</f>
        <v>0</v>
      </c>
      <c r="EY8" s="92">
        <f>FORMULA!$Q95</f>
        <v>0</v>
      </c>
      <c r="EZ8" s="92">
        <f>FORMULA!$S95</f>
        <v>0</v>
      </c>
      <c r="FA8" s="92">
        <f>FORMULA!$U95</f>
        <v>0</v>
      </c>
      <c r="FB8" s="92">
        <f>FORMULA!$W95</f>
        <v>0</v>
      </c>
      <c r="FC8" s="92">
        <f>FORMULA!$Y95</f>
        <v>0</v>
      </c>
      <c r="FD8" s="92">
        <f>FORMULA!$AA95</f>
        <v>0</v>
      </c>
      <c r="FE8" s="92">
        <f>FORMULA!$AC95</f>
        <v>0</v>
      </c>
      <c r="FF8" s="92">
        <f>FORMULA!$AE95</f>
        <v>0</v>
      </c>
      <c r="FG8" s="94"/>
      <c r="FH8" s="91">
        <f>FORMULA!$C183</f>
        <v>136.5</v>
      </c>
      <c r="FI8" s="92">
        <f>FORMULA!$E183</f>
        <v>161.55000000000001</v>
      </c>
      <c r="FJ8" s="92">
        <f>FORMULA!$G183</f>
        <v>0</v>
      </c>
      <c r="FK8" s="92">
        <f>FORMULA!$I183</f>
        <v>0</v>
      </c>
      <c r="FL8" s="92">
        <f>FORMULA!$K183</f>
        <v>0</v>
      </c>
      <c r="FM8" s="92">
        <f>FORMULA!$M183</f>
        <v>0</v>
      </c>
      <c r="FN8" s="92">
        <f>FORMULA!$O183</f>
        <v>0</v>
      </c>
      <c r="FO8" s="92">
        <f>FORMULA!$Q183</f>
        <v>0</v>
      </c>
      <c r="FP8" s="92">
        <f>FORMULA!$S183</f>
        <v>0</v>
      </c>
      <c r="FQ8" s="92">
        <f>FORMULA!$U183</f>
        <v>0</v>
      </c>
      <c r="FR8" s="92">
        <f>FORMULA!$W183</f>
        <v>0</v>
      </c>
      <c r="FS8" s="92">
        <f>FORMULA!$Y183</f>
        <v>0</v>
      </c>
      <c r="FT8" s="92">
        <f>FORMULA!$AA183</f>
        <v>0</v>
      </c>
      <c r="FU8" s="92">
        <f>FORMULA!$AC183</f>
        <v>0</v>
      </c>
      <c r="FV8" s="92">
        <f>FORMULA!$AE183</f>
        <v>0</v>
      </c>
      <c r="FW8" s="94"/>
      <c r="FX8" s="91">
        <f>FORMULA!$C271</f>
        <v>0</v>
      </c>
      <c r="FY8" s="92">
        <f>FORMULA!$E271</f>
        <v>0</v>
      </c>
      <c r="FZ8" s="92">
        <f>FORMULA!$G271</f>
        <v>0</v>
      </c>
      <c r="GA8" s="92">
        <f>FORMULA!$I271</f>
        <v>0</v>
      </c>
      <c r="GB8" s="92">
        <f>FORMULA!$K271</f>
        <v>0</v>
      </c>
      <c r="GC8" s="92">
        <f>FORMULA!$M271</f>
        <v>0</v>
      </c>
      <c r="GD8" s="92">
        <f>FORMULA!$O271</f>
        <v>0</v>
      </c>
      <c r="GE8" s="92">
        <f>FORMULA!$Q271</f>
        <v>0</v>
      </c>
      <c r="GF8" s="92">
        <f>FORMULA!$S271</f>
        <v>0</v>
      </c>
      <c r="GG8" s="92">
        <f>FORMULA!$U271</f>
        <v>0</v>
      </c>
      <c r="GH8" s="92">
        <f>FORMULA!$W271</f>
        <v>0</v>
      </c>
      <c r="GI8" s="92">
        <f>FORMULA!$Y271</f>
        <v>0</v>
      </c>
      <c r="GJ8" s="92">
        <f>FORMULA!$AA271</f>
        <v>0</v>
      </c>
      <c r="GK8" s="92">
        <f>FORMULA!$AC271</f>
        <v>0</v>
      </c>
      <c r="GL8" s="92">
        <f>FORMULA!$AE271</f>
        <v>0</v>
      </c>
      <c r="GM8" s="207"/>
      <c r="GN8" s="91">
        <f>FORMULA!$C359</f>
        <v>302</v>
      </c>
      <c r="GO8" s="92">
        <f>FORMULA!$E359</f>
        <v>285.60000000000002</v>
      </c>
      <c r="GP8" s="92">
        <f>FORMULA!$G359</f>
        <v>0</v>
      </c>
      <c r="GQ8" s="92">
        <f>FORMULA!$I359</f>
        <v>278.99999999999994</v>
      </c>
      <c r="GR8" s="92">
        <f>FORMULA!$K359</f>
        <v>278.99999999999994</v>
      </c>
      <c r="GS8" s="92">
        <f>FORMULA!$M359</f>
        <v>317.2</v>
      </c>
      <c r="GT8" s="92">
        <f>FORMULA!$O359</f>
        <v>317.2</v>
      </c>
      <c r="GU8" s="92">
        <f>FORMULA!$Q359</f>
        <v>317.2</v>
      </c>
      <c r="GV8" s="92">
        <f>FORMULA!$S359</f>
        <v>317.2</v>
      </c>
      <c r="GW8" s="92">
        <f>FORMULA!$U359</f>
        <v>317.2</v>
      </c>
      <c r="GX8" s="92">
        <f>FORMULA!$W359</f>
        <v>317.2</v>
      </c>
      <c r="GY8" s="92">
        <f>FORMULA!$Y359</f>
        <v>201.75</v>
      </c>
      <c r="GZ8" s="92">
        <f>FORMULA!$AA359</f>
        <v>201.49999999999997</v>
      </c>
      <c r="HA8" s="92">
        <f>FORMULA!$AC359</f>
        <v>317.2</v>
      </c>
      <c r="HB8" s="92">
        <f>FORMULA!$AE359</f>
        <v>317.2</v>
      </c>
      <c r="HC8" s="207"/>
      <c r="HD8" s="91">
        <f>FORMULA!$C447</f>
        <v>238.50000000000003</v>
      </c>
      <c r="HE8" s="92">
        <f>FORMULA!$E447</f>
        <v>238.50000000000003</v>
      </c>
      <c r="HF8" s="92">
        <f>FORMULA!$G447</f>
        <v>232.33499999999998</v>
      </c>
      <c r="HG8" s="92">
        <f>FORMULA!$I447</f>
        <v>0</v>
      </c>
      <c r="HH8" s="92">
        <f>FORMULA!$K447</f>
        <v>0</v>
      </c>
      <c r="HI8" s="92">
        <f>FORMULA!$M447</f>
        <v>0</v>
      </c>
      <c r="HJ8" s="92">
        <f>FORMULA!$O447</f>
        <v>0</v>
      </c>
      <c r="HK8" s="92">
        <f>FORMULA!$Q447</f>
        <v>0</v>
      </c>
      <c r="HL8" s="92">
        <f>FORMULA!$S447</f>
        <v>0</v>
      </c>
      <c r="HM8" s="92">
        <f>FORMULA!$U447</f>
        <v>257</v>
      </c>
      <c r="HN8" s="92">
        <f>FORMULA!$W447</f>
        <v>200</v>
      </c>
      <c r="HO8" s="92">
        <f>FORMULA!$Y447</f>
        <v>0</v>
      </c>
      <c r="HP8" s="92">
        <f>FORMULA!$AA447</f>
        <v>0</v>
      </c>
      <c r="HQ8" s="92">
        <f>FORMULA!$AC447</f>
        <v>0</v>
      </c>
      <c r="HR8" s="92">
        <f>FORMULA!$AE447</f>
        <v>0</v>
      </c>
      <c r="HS8" s="207"/>
      <c r="HT8" s="91">
        <f>FORMULA!$C535</f>
        <v>205</v>
      </c>
      <c r="HU8" s="92">
        <f>FORMULA!$E535</f>
        <v>205</v>
      </c>
      <c r="HV8" s="92">
        <f>FORMULA!$G535</f>
        <v>205</v>
      </c>
      <c r="HW8" s="92">
        <f>FORMULA!$I535</f>
        <v>0</v>
      </c>
      <c r="HX8" s="92">
        <f>FORMULA!$K535</f>
        <v>0</v>
      </c>
      <c r="HY8" s="92">
        <f>FORMULA!$M535</f>
        <v>0</v>
      </c>
      <c r="HZ8" s="92">
        <f>FORMULA!$O535</f>
        <v>336.07</v>
      </c>
      <c r="IA8" s="92">
        <f>FORMULA!$Q535</f>
        <v>336.07</v>
      </c>
      <c r="IB8" s="92">
        <f>FORMULA!$S535</f>
        <v>0</v>
      </c>
      <c r="IC8" s="92">
        <f>FORMULA!$U535</f>
        <v>297.48500000000001</v>
      </c>
      <c r="ID8" s="92">
        <f>FORMULA!$W535</f>
        <v>297.5</v>
      </c>
      <c r="IE8" s="92">
        <f>FORMULA!$Y535</f>
        <v>0</v>
      </c>
      <c r="IF8" s="92">
        <f>FORMULA!$AA535</f>
        <v>223.80000000000004</v>
      </c>
      <c r="IG8" s="92">
        <f>FORMULA!$AC535</f>
        <v>215.6</v>
      </c>
      <c r="IH8" s="92">
        <f>FORMULA!$AE535</f>
        <v>0</v>
      </c>
      <c r="II8" s="207"/>
      <c r="IJ8" s="91">
        <f>FORMULA!$C623</f>
        <v>171.5</v>
      </c>
      <c r="IK8" s="92">
        <f>FORMULA!$E623</f>
        <v>195</v>
      </c>
      <c r="IL8" s="92">
        <f>FORMULA!$G623</f>
        <v>171.5</v>
      </c>
      <c r="IM8" s="92">
        <f>FORMULA!$I623</f>
        <v>171.5</v>
      </c>
      <c r="IN8" s="92">
        <f>FORMULA!$K623</f>
        <v>0</v>
      </c>
      <c r="IO8" s="92">
        <f>FORMULA!$M623</f>
        <v>0</v>
      </c>
      <c r="IP8" s="92">
        <f>FORMULA!$O623</f>
        <v>0</v>
      </c>
      <c r="IQ8" s="92">
        <f>FORMULA!$Q623</f>
        <v>0</v>
      </c>
      <c r="IR8" s="92">
        <f>FORMULA!$S623</f>
        <v>0</v>
      </c>
      <c r="IS8" s="92">
        <f>FORMULA!$U623</f>
        <v>0</v>
      </c>
      <c r="IT8" s="92">
        <f>FORMULA!$W623</f>
        <v>0</v>
      </c>
      <c r="IU8" s="92">
        <f>FORMULA!$Y623</f>
        <v>0</v>
      </c>
      <c r="IV8" s="92">
        <f>FORMULA!$AA623</f>
        <v>0</v>
      </c>
      <c r="IW8" s="92">
        <f>FORMULA!$AC623</f>
        <v>0</v>
      </c>
      <c r="IX8" s="92">
        <f>FORMULA!$AE623</f>
        <v>0</v>
      </c>
      <c r="IY8" s="208"/>
    </row>
    <row r="9" spans="1:259" outlineLevel="1">
      <c r="A9" s="260">
        <f>'VAC &amp; MED'!C10</f>
        <v>46027</v>
      </c>
      <c r="B9" s="261"/>
      <c r="C9" s="261"/>
      <c r="D9" s="261"/>
      <c r="E9" s="261"/>
      <c r="F9" s="261"/>
      <c r="G9" s="261"/>
      <c r="H9" s="261"/>
      <c r="I9" s="261"/>
      <c r="J9" s="261"/>
      <c r="K9" s="261"/>
      <c r="L9" s="261"/>
      <c r="M9" s="261"/>
      <c r="N9" s="261"/>
      <c r="O9" s="261"/>
      <c r="P9" s="261"/>
      <c r="Q9" s="261"/>
      <c r="R9" s="262"/>
      <c r="S9" s="262"/>
      <c r="T9" s="262"/>
      <c r="U9" s="262"/>
      <c r="V9" s="262"/>
      <c r="W9" s="262"/>
      <c r="X9" s="262"/>
      <c r="Y9" s="262"/>
      <c r="Z9" s="262"/>
      <c r="AA9" s="262"/>
      <c r="AB9" s="262"/>
      <c r="AC9" s="262"/>
      <c r="AD9" s="262"/>
      <c r="AE9" s="262"/>
      <c r="AF9" s="262"/>
      <c r="AG9" s="262"/>
      <c r="AH9" s="263"/>
      <c r="AI9" s="263"/>
      <c r="AJ9" s="263"/>
      <c r="AK9" s="263"/>
      <c r="AL9" s="263"/>
      <c r="AM9" s="263"/>
      <c r="AN9" s="263"/>
      <c r="AO9" s="263"/>
      <c r="AP9" s="263"/>
      <c r="AQ9" s="263"/>
      <c r="AR9" s="263"/>
      <c r="AS9" s="263"/>
      <c r="AT9" s="263"/>
      <c r="AU9" s="263"/>
      <c r="AV9" s="263"/>
      <c r="AW9" s="263"/>
      <c r="AX9" s="264"/>
      <c r="AY9" s="264"/>
      <c r="AZ9" s="264"/>
      <c r="BA9" s="264"/>
      <c r="BB9" s="264"/>
      <c r="BC9" s="264"/>
      <c r="BD9" s="264"/>
      <c r="BE9" s="264"/>
      <c r="BF9" s="264"/>
      <c r="BG9" s="264"/>
      <c r="BH9" s="264"/>
      <c r="BI9" s="264"/>
      <c r="BJ9" s="264"/>
      <c r="BK9" s="264"/>
      <c r="BL9" s="264"/>
      <c r="BM9" s="264"/>
      <c r="BN9" s="265"/>
      <c r="BO9" s="265"/>
      <c r="BP9" s="265"/>
      <c r="BQ9" s="265"/>
      <c r="BR9" s="265"/>
      <c r="BS9" s="265"/>
      <c r="BT9" s="265"/>
      <c r="BU9" s="265"/>
      <c r="BV9" s="265"/>
      <c r="BW9" s="265"/>
      <c r="BX9" s="265"/>
      <c r="BY9" s="265">
        <v>120</v>
      </c>
      <c r="BZ9" s="265"/>
      <c r="CA9" s="265"/>
      <c r="CB9" s="265"/>
      <c r="CC9" s="265"/>
      <c r="CD9" s="266"/>
      <c r="CE9" s="266"/>
      <c r="CF9" s="266"/>
      <c r="CG9" s="266"/>
      <c r="CH9" s="266"/>
      <c r="CI9" s="266"/>
      <c r="CJ9" s="266"/>
      <c r="CK9" s="266"/>
      <c r="CL9" s="266"/>
      <c r="CM9" s="266"/>
      <c r="CN9" s="266"/>
      <c r="CO9" s="266"/>
      <c r="CP9" s="266"/>
      <c r="CQ9" s="266"/>
      <c r="CR9" s="266"/>
      <c r="CS9" s="266"/>
      <c r="CT9" s="267"/>
      <c r="CU9" s="267"/>
      <c r="CV9" s="267"/>
      <c r="CW9" s="267"/>
      <c r="CX9" s="267"/>
      <c r="CY9" s="267"/>
      <c r="CZ9" s="267"/>
      <c r="DA9" s="267"/>
      <c r="DB9" s="267"/>
      <c r="DC9" s="267"/>
      <c r="DD9" s="267"/>
      <c r="DE9" s="267"/>
      <c r="DF9" s="267"/>
      <c r="DG9" s="267"/>
      <c r="DH9" s="267"/>
      <c r="DI9" s="267"/>
      <c r="DJ9" s="268"/>
      <c r="DK9" s="268"/>
      <c r="DL9" s="268"/>
      <c r="DM9" s="268"/>
      <c r="DN9" s="268"/>
      <c r="DO9" s="268"/>
      <c r="DP9" s="268"/>
      <c r="DQ9" s="268"/>
      <c r="DR9" s="268"/>
      <c r="DS9" s="268"/>
      <c r="DT9" s="268"/>
      <c r="DU9" s="268"/>
      <c r="DV9" s="268"/>
      <c r="DW9" s="268"/>
      <c r="DX9" s="268"/>
      <c r="DY9" s="268"/>
      <c r="EA9" s="20" t="str">
        <f>FORMULA!$A$8</f>
        <v>SOYBEAN FULL FAT</v>
      </c>
      <c r="EB9" s="91">
        <f>FORMULA!$C8</f>
        <v>25</v>
      </c>
      <c r="EC9" s="92">
        <f>FORMULA!$E8</f>
        <v>25</v>
      </c>
      <c r="ED9" s="92">
        <f>FORMULA!$G8</f>
        <v>0</v>
      </c>
      <c r="EE9" s="92">
        <f>FORMULA!$I8</f>
        <v>0</v>
      </c>
      <c r="EF9" s="92">
        <f>FORMULA!$K8</f>
        <v>0</v>
      </c>
      <c r="EG9" s="92">
        <f>FORMULA!$M8</f>
        <v>0</v>
      </c>
      <c r="EH9" s="92">
        <f>FORMULA!$O8</f>
        <v>0</v>
      </c>
      <c r="EI9" s="92">
        <f>FORMULA!$Q8</f>
        <v>0</v>
      </c>
      <c r="EJ9" s="92">
        <f>FORMULA!$S8</f>
        <v>0</v>
      </c>
      <c r="EK9" s="92">
        <f>FORMULA!$U8</f>
        <v>0</v>
      </c>
      <c r="EL9" s="92">
        <f>FORMULA!$W8</f>
        <v>0</v>
      </c>
      <c r="EM9" s="92">
        <f>FORMULA!$Y8</f>
        <v>0</v>
      </c>
      <c r="EN9" s="92">
        <f>FORMULA!$AA8</f>
        <v>0</v>
      </c>
      <c r="EO9" s="92">
        <f>FORMULA!$AC8</f>
        <v>0</v>
      </c>
      <c r="EP9" s="92">
        <f>FORMULA!$AE8</f>
        <v>0</v>
      </c>
      <c r="EQ9" s="108"/>
      <c r="ER9" s="91">
        <f>FORMULA!$C96</f>
        <v>25</v>
      </c>
      <c r="ES9" s="92">
        <f>FORMULA!$E96</f>
        <v>0</v>
      </c>
      <c r="ET9" s="92">
        <f>FORMULA!$G96</f>
        <v>0</v>
      </c>
      <c r="EU9" s="92">
        <f>FORMULA!$I96</f>
        <v>0</v>
      </c>
      <c r="EV9" s="92">
        <f>FORMULA!$K96</f>
        <v>0</v>
      </c>
      <c r="EW9" s="92">
        <f>FORMULA!$M96</f>
        <v>0</v>
      </c>
      <c r="EX9" s="92">
        <f>FORMULA!$O96</f>
        <v>0</v>
      </c>
      <c r="EY9" s="92">
        <f>FORMULA!$Q96</f>
        <v>0</v>
      </c>
      <c r="EZ9" s="92">
        <f>FORMULA!$S96</f>
        <v>0</v>
      </c>
      <c r="FA9" s="92">
        <f>FORMULA!$U96</f>
        <v>0</v>
      </c>
      <c r="FB9" s="92">
        <f>FORMULA!$W96</f>
        <v>0</v>
      </c>
      <c r="FC9" s="92">
        <f>FORMULA!$Y96</f>
        <v>0</v>
      </c>
      <c r="FD9" s="92">
        <f>FORMULA!$AA96</f>
        <v>0</v>
      </c>
      <c r="FE9" s="92">
        <f>FORMULA!$AC96</f>
        <v>0</v>
      </c>
      <c r="FF9" s="92">
        <f>FORMULA!$AE96</f>
        <v>0</v>
      </c>
      <c r="FG9" s="94"/>
      <c r="FH9" s="91">
        <f>FORMULA!$C184</f>
        <v>80</v>
      </c>
      <c r="FI9" s="92">
        <f>FORMULA!$E184</f>
        <v>75</v>
      </c>
      <c r="FJ9" s="92">
        <f>FORMULA!$G184</f>
        <v>0</v>
      </c>
      <c r="FK9" s="92">
        <f>FORMULA!$I184</f>
        <v>0</v>
      </c>
      <c r="FL9" s="92">
        <f>FORMULA!$K184</f>
        <v>0</v>
      </c>
      <c r="FM9" s="92">
        <f>FORMULA!$M184</f>
        <v>0</v>
      </c>
      <c r="FN9" s="92">
        <f>FORMULA!$O184</f>
        <v>0</v>
      </c>
      <c r="FO9" s="92">
        <f>FORMULA!$Q184</f>
        <v>0</v>
      </c>
      <c r="FP9" s="92">
        <f>FORMULA!$S184</f>
        <v>0</v>
      </c>
      <c r="FQ9" s="92">
        <f>FORMULA!$U184</f>
        <v>0</v>
      </c>
      <c r="FR9" s="92">
        <f>FORMULA!$W184</f>
        <v>0</v>
      </c>
      <c r="FS9" s="92">
        <f>FORMULA!$Y184</f>
        <v>0</v>
      </c>
      <c r="FT9" s="92">
        <f>FORMULA!$AA184</f>
        <v>0</v>
      </c>
      <c r="FU9" s="92">
        <f>FORMULA!$AC184</f>
        <v>0</v>
      </c>
      <c r="FV9" s="92">
        <f>FORMULA!$AE184</f>
        <v>0</v>
      </c>
      <c r="FW9" s="94"/>
      <c r="FX9" s="91">
        <f>FORMULA!$C272</f>
        <v>0</v>
      </c>
      <c r="FY9" s="92">
        <f>FORMULA!$E272</f>
        <v>0</v>
      </c>
      <c r="FZ9" s="92">
        <f>FORMULA!$G272</f>
        <v>0</v>
      </c>
      <c r="GA9" s="92">
        <f>FORMULA!$I272</f>
        <v>0</v>
      </c>
      <c r="GB9" s="92">
        <f>FORMULA!$K272</f>
        <v>0</v>
      </c>
      <c r="GC9" s="92">
        <f>FORMULA!$M272</f>
        <v>0</v>
      </c>
      <c r="GD9" s="92">
        <f>FORMULA!$O272</f>
        <v>0</v>
      </c>
      <c r="GE9" s="92">
        <f>FORMULA!$Q272</f>
        <v>0</v>
      </c>
      <c r="GF9" s="92">
        <f>FORMULA!$S272</f>
        <v>0</v>
      </c>
      <c r="GG9" s="92">
        <f>FORMULA!$U272</f>
        <v>0</v>
      </c>
      <c r="GH9" s="92">
        <f>FORMULA!$W272</f>
        <v>0</v>
      </c>
      <c r="GI9" s="92">
        <f>FORMULA!$Y272</f>
        <v>0</v>
      </c>
      <c r="GJ9" s="92">
        <f>FORMULA!$AA272</f>
        <v>0</v>
      </c>
      <c r="GK9" s="92">
        <f>FORMULA!$AC272</f>
        <v>0</v>
      </c>
      <c r="GL9" s="92">
        <f>FORMULA!$AE272</f>
        <v>0</v>
      </c>
      <c r="GM9" s="207"/>
      <c r="GN9" s="91">
        <f>FORMULA!$C360</f>
        <v>50</v>
      </c>
      <c r="GO9" s="92">
        <f>FORMULA!$E360</f>
        <v>50</v>
      </c>
      <c r="GP9" s="92">
        <f>FORMULA!$G360</f>
        <v>0</v>
      </c>
      <c r="GQ9" s="92">
        <f>FORMULA!$I360</f>
        <v>50</v>
      </c>
      <c r="GR9" s="92">
        <f>FORMULA!$K360</f>
        <v>50</v>
      </c>
      <c r="GS9" s="92">
        <f>FORMULA!$M360</f>
        <v>50</v>
      </c>
      <c r="GT9" s="92">
        <f>FORMULA!$O360</f>
        <v>50</v>
      </c>
      <c r="GU9" s="92">
        <f>FORMULA!$Q360</f>
        <v>50</v>
      </c>
      <c r="GV9" s="92">
        <f>FORMULA!$S360</f>
        <v>50</v>
      </c>
      <c r="GW9" s="92">
        <f>FORMULA!$U360</f>
        <v>50</v>
      </c>
      <c r="GX9" s="92">
        <f>FORMULA!$W360</f>
        <v>50</v>
      </c>
      <c r="GY9" s="92">
        <f>FORMULA!$Y360</f>
        <v>45</v>
      </c>
      <c r="GZ9" s="92">
        <f>FORMULA!$AA360</f>
        <v>45</v>
      </c>
      <c r="HA9" s="92">
        <f>FORMULA!$AC360</f>
        <v>50</v>
      </c>
      <c r="HB9" s="92">
        <f>FORMULA!$AE360</f>
        <v>50</v>
      </c>
      <c r="HC9" s="207"/>
      <c r="HD9" s="91">
        <f>FORMULA!$C448</f>
        <v>66.5</v>
      </c>
      <c r="HE9" s="92">
        <f>FORMULA!$E448</f>
        <v>66.5</v>
      </c>
      <c r="HF9" s="92">
        <f>FORMULA!$G448</f>
        <v>66.66500000000002</v>
      </c>
      <c r="HG9" s="92">
        <f>FORMULA!$I448</f>
        <v>0</v>
      </c>
      <c r="HH9" s="92">
        <f>FORMULA!$K448</f>
        <v>0</v>
      </c>
      <c r="HI9" s="92">
        <f>FORMULA!$M448</f>
        <v>0</v>
      </c>
      <c r="HJ9" s="92">
        <f>FORMULA!$O448</f>
        <v>0</v>
      </c>
      <c r="HK9" s="92">
        <f>FORMULA!$Q448</f>
        <v>0</v>
      </c>
      <c r="HL9" s="92">
        <f>FORMULA!$S448</f>
        <v>0</v>
      </c>
      <c r="HM9" s="92">
        <f>FORMULA!$U448</f>
        <v>30</v>
      </c>
      <c r="HN9" s="92">
        <f>FORMULA!$W448</f>
        <v>40</v>
      </c>
      <c r="HO9" s="92">
        <f>FORMULA!$Y448</f>
        <v>0</v>
      </c>
      <c r="HP9" s="92">
        <f>FORMULA!$AA448</f>
        <v>0</v>
      </c>
      <c r="HQ9" s="92">
        <f>FORMULA!$AC448</f>
        <v>0</v>
      </c>
      <c r="HR9" s="92">
        <f>FORMULA!$AE448</f>
        <v>0</v>
      </c>
      <c r="HS9" s="207"/>
      <c r="HT9" s="91">
        <f>FORMULA!$C536</f>
        <v>83.499999999999986</v>
      </c>
      <c r="HU9" s="92">
        <f>FORMULA!$E536</f>
        <v>83.499999999999986</v>
      </c>
      <c r="HV9" s="92">
        <f>FORMULA!$G536</f>
        <v>83.499999999999986</v>
      </c>
      <c r="HW9" s="92">
        <f>FORMULA!$I536</f>
        <v>0</v>
      </c>
      <c r="HX9" s="92">
        <f>FORMULA!$K536</f>
        <v>0</v>
      </c>
      <c r="HY9" s="92">
        <f>FORMULA!$M536</f>
        <v>0</v>
      </c>
      <c r="HZ9" s="92">
        <f>FORMULA!$O536</f>
        <v>50</v>
      </c>
      <c r="IA9" s="92">
        <f>FORMULA!$Q536</f>
        <v>50</v>
      </c>
      <c r="IB9" s="92">
        <f>FORMULA!$S536</f>
        <v>0</v>
      </c>
      <c r="IC9" s="92">
        <f>FORMULA!$U536</f>
        <v>60</v>
      </c>
      <c r="ID9" s="92">
        <f>FORMULA!$W536</f>
        <v>60</v>
      </c>
      <c r="IE9" s="92">
        <f>FORMULA!$Y536</f>
        <v>0</v>
      </c>
      <c r="IF9" s="92">
        <f>FORMULA!$AA536</f>
        <v>70</v>
      </c>
      <c r="IG9" s="92">
        <f>FORMULA!$AC536</f>
        <v>70</v>
      </c>
      <c r="IH9" s="92">
        <f>FORMULA!$AE536</f>
        <v>0</v>
      </c>
      <c r="II9" s="207"/>
      <c r="IJ9" s="91">
        <f>FORMULA!$C624</f>
        <v>85</v>
      </c>
      <c r="IK9" s="92">
        <f>FORMULA!$E624</f>
        <v>100</v>
      </c>
      <c r="IL9" s="92">
        <f>FORMULA!$G624</f>
        <v>85</v>
      </c>
      <c r="IM9" s="92">
        <f>FORMULA!$I624</f>
        <v>85</v>
      </c>
      <c r="IN9" s="92">
        <f>FORMULA!$K624</f>
        <v>0</v>
      </c>
      <c r="IO9" s="92">
        <f>FORMULA!$M624</f>
        <v>0</v>
      </c>
      <c r="IP9" s="92">
        <f>FORMULA!$O624</f>
        <v>0</v>
      </c>
      <c r="IQ9" s="92">
        <f>FORMULA!$Q624</f>
        <v>0</v>
      </c>
      <c r="IR9" s="92">
        <f>FORMULA!$S624</f>
        <v>0</v>
      </c>
      <c r="IS9" s="92">
        <f>FORMULA!$U624</f>
        <v>0</v>
      </c>
      <c r="IT9" s="92">
        <f>FORMULA!$W624</f>
        <v>0</v>
      </c>
      <c r="IU9" s="92">
        <f>FORMULA!$Y624</f>
        <v>0</v>
      </c>
      <c r="IV9" s="92">
        <f>FORMULA!$AA624</f>
        <v>0</v>
      </c>
      <c r="IW9" s="92">
        <f>FORMULA!$AC624</f>
        <v>0</v>
      </c>
      <c r="IX9" s="92">
        <f>FORMULA!$AE624</f>
        <v>0</v>
      </c>
      <c r="IY9" s="208"/>
    </row>
    <row r="10" spans="1:259" outlineLevel="1">
      <c r="A10" s="260">
        <f>'VAC &amp; MED'!C11</f>
        <v>46028</v>
      </c>
      <c r="B10" s="261"/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M10" s="261"/>
      <c r="N10" s="261"/>
      <c r="O10" s="261"/>
      <c r="P10" s="261"/>
      <c r="Q10" s="261"/>
      <c r="R10" s="262"/>
      <c r="S10" s="262"/>
      <c r="T10" s="262"/>
      <c r="U10" s="262"/>
      <c r="V10" s="262"/>
      <c r="W10" s="262"/>
      <c r="X10" s="262"/>
      <c r="Y10" s="262"/>
      <c r="Z10" s="262"/>
      <c r="AA10" s="262"/>
      <c r="AB10" s="262"/>
      <c r="AC10" s="262"/>
      <c r="AD10" s="262"/>
      <c r="AE10" s="262"/>
      <c r="AF10" s="262"/>
      <c r="AG10" s="262"/>
      <c r="AH10" s="263"/>
      <c r="AI10" s="263"/>
      <c r="AJ10" s="263"/>
      <c r="AK10" s="263"/>
      <c r="AL10" s="263"/>
      <c r="AM10" s="263"/>
      <c r="AN10" s="263"/>
      <c r="AO10" s="263"/>
      <c r="AP10" s="263"/>
      <c r="AQ10" s="263"/>
      <c r="AR10" s="263"/>
      <c r="AS10" s="263"/>
      <c r="AT10" s="263"/>
      <c r="AU10" s="263"/>
      <c r="AV10" s="263"/>
      <c r="AW10" s="263"/>
      <c r="AX10" s="264"/>
      <c r="AY10" s="264"/>
      <c r="AZ10" s="264"/>
      <c r="BA10" s="264"/>
      <c r="BB10" s="264"/>
      <c r="BC10" s="264"/>
      <c r="BD10" s="264"/>
      <c r="BE10" s="264"/>
      <c r="BF10" s="264"/>
      <c r="BG10" s="264"/>
      <c r="BH10" s="264"/>
      <c r="BI10" s="264"/>
      <c r="BJ10" s="264"/>
      <c r="BK10" s="264"/>
      <c r="BL10" s="264"/>
      <c r="BM10" s="264"/>
      <c r="BN10" s="265"/>
      <c r="BO10" s="265"/>
      <c r="BP10" s="265"/>
      <c r="BQ10" s="265"/>
      <c r="BR10" s="265">
        <v>70</v>
      </c>
      <c r="BS10" s="265"/>
      <c r="BT10" s="265"/>
      <c r="BU10" s="265"/>
      <c r="BV10" s="265"/>
      <c r="BW10" s="265"/>
      <c r="BX10" s="265"/>
      <c r="BY10" s="265">
        <v>10</v>
      </c>
      <c r="BZ10" s="265"/>
      <c r="CA10" s="265"/>
      <c r="CB10" s="265"/>
      <c r="CC10" s="265"/>
      <c r="CD10" s="266"/>
      <c r="CE10" s="266"/>
      <c r="CF10" s="266"/>
      <c r="CG10" s="266"/>
      <c r="CH10" s="266"/>
      <c r="CI10" s="266"/>
      <c r="CJ10" s="266"/>
      <c r="CK10" s="266"/>
      <c r="CL10" s="266"/>
      <c r="CM10" s="266"/>
      <c r="CN10" s="266"/>
      <c r="CO10" s="266"/>
      <c r="CP10" s="266"/>
      <c r="CQ10" s="266"/>
      <c r="CR10" s="266"/>
      <c r="CS10" s="266"/>
      <c r="CT10" s="267"/>
      <c r="CU10" s="267"/>
      <c r="CV10" s="267"/>
      <c r="CW10" s="267"/>
      <c r="CX10" s="267"/>
      <c r="CY10" s="267"/>
      <c r="CZ10" s="267"/>
      <c r="DA10" s="267"/>
      <c r="DB10" s="267"/>
      <c r="DC10" s="267"/>
      <c r="DD10" s="267"/>
      <c r="DE10" s="267"/>
      <c r="DF10" s="267"/>
      <c r="DG10" s="267"/>
      <c r="DH10" s="267"/>
      <c r="DI10" s="267"/>
      <c r="DJ10" s="268"/>
      <c r="DK10" s="268"/>
      <c r="DL10" s="268"/>
      <c r="DM10" s="268"/>
      <c r="DN10" s="268"/>
      <c r="DO10" s="268"/>
      <c r="DP10" s="268"/>
      <c r="DQ10" s="268"/>
      <c r="DR10" s="268"/>
      <c r="DS10" s="268"/>
      <c r="DT10" s="268"/>
      <c r="DU10" s="268"/>
      <c r="DV10" s="268"/>
      <c r="DW10" s="268"/>
      <c r="DX10" s="268"/>
      <c r="DY10" s="268"/>
      <c r="EA10" s="20" t="str">
        <f>FORMULA!$A$9</f>
        <v>WHEAT POLLARD</v>
      </c>
      <c r="EB10" s="91">
        <f>FORMULA!$C9</f>
        <v>50</v>
      </c>
      <c r="EC10" s="92">
        <f>FORMULA!$E9</f>
        <v>0</v>
      </c>
      <c r="ED10" s="92">
        <f>FORMULA!$G9</f>
        <v>0</v>
      </c>
      <c r="EE10" s="92">
        <f>FORMULA!$I9</f>
        <v>0</v>
      </c>
      <c r="EF10" s="92">
        <f>FORMULA!$K9</f>
        <v>0</v>
      </c>
      <c r="EG10" s="92">
        <f>FORMULA!$M9</f>
        <v>0</v>
      </c>
      <c r="EH10" s="92">
        <f>FORMULA!$O9</f>
        <v>0</v>
      </c>
      <c r="EI10" s="92">
        <f>FORMULA!$Q9</f>
        <v>0</v>
      </c>
      <c r="EJ10" s="92">
        <f>FORMULA!$S9</f>
        <v>0</v>
      </c>
      <c r="EK10" s="92">
        <f>FORMULA!$U9</f>
        <v>0</v>
      </c>
      <c r="EL10" s="92">
        <f>FORMULA!$W9</f>
        <v>0</v>
      </c>
      <c r="EM10" s="92">
        <f>FORMULA!$Y9</f>
        <v>0</v>
      </c>
      <c r="EN10" s="92">
        <f>FORMULA!$AA9</f>
        <v>0</v>
      </c>
      <c r="EO10" s="92">
        <f>FORMULA!$AC9</f>
        <v>0</v>
      </c>
      <c r="EP10" s="92">
        <f>FORMULA!$AE9</f>
        <v>0</v>
      </c>
      <c r="EQ10" s="108"/>
      <c r="ER10" s="91">
        <f>FORMULA!$C97</f>
        <v>50</v>
      </c>
      <c r="ES10" s="92">
        <f>FORMULA!$E97</f>
        <v>0</v>
      </c>
      <c r="ET10" s="92">
        <f>FORMULA!$G97</f>
        <v>0</v>
      </c>
      <c r="EU10" s="92">
        <f>FORMULA!$I97</f>
        <v>0</v>
      </c>
      <c r="EV10" s="92">
        <f>FORMULA!$K97</f>
        <v>0</v>
      </c>
      <c r="EW10" s="92">
        <f>FORMULA!$M97</f>
        <v>0</v>
      </c>
      <c r="EX10" s="92">
        <f>FORMULA!$O97</f>
        <v>0</v>
      </c>
      <c r="EY10" s="92">
        <f>FORMULA!$Q97</f>
        <v>0</v>
      </c>
      <c r="EZ10" s="92">
        <f>FORMULA!$S97</f>
        <v>0</v>
      </c>
      <c r="FA10" s="92">
        <f>FORMULA!$U97</f>
        <v>0</v>
      </c>
      <c r="FB10" s="92">
        <f>FORMULA!$W97</f>
        <v>0</v>
      </c>
      <c r="FC10" s="92">
        <f>FORMULA!$Y97</f>
        <v>0</v>
      </c>
      <c r="FD10" s="92">
        <f>FORMULA!$AA97</f>
        <v>0</v>
      </c>
      <c r="FE10" s="92">
        <f>FORMULA!$AC97</f>
        <v>0</v>
      </c>
      <c r="FF10" s="92">
        <f>FORMULA!$AE97</f>
        <v>0</v>
      </c>
      <c r="FG10" s="94"/>
      <c r="FH10" s="91">
        <f>FORMULA!$C185</f>
        <v>70</v>
      </c>
      <c r="FI10" s="92">
        <f>FORMULA!$E185</f>
        <v>0</v>
      </c>
      <c r="FJ10" s="92">
        <f>FORMULA!$G185</f>
        <v>0</v>
      </c>
      <c r="FK10" s="92">
        <f>FORMULA!$I185</f>
        <v>0</v>
      </c>
      <c r="FL10" s="92">
        <f>FORMULA!$K185</f>
        <v>0</v>
      </c>
      <c r="FM10" s="92">
        <f>FORMULA!$M185</f>
        <v>0</v>
      </c>
      <c r="FN10" s="92">
        <f>FORMULA!$O185</f>
        <v>0</v>
      </c>
      <c r="FO10" s="92">
        <f>FORMULA!$Q185</f>
        <v>0</v>
      </c>
      <c r="FP10" s="92">
        <f>FORMULA!$S185</f>
        <v>0</v>
      </c>
      <c r="FQ10" s="92">
        <f>FORMULA!$U185</f>
        <v>0</v>
      </c>
      <c r="FR10" s="92">
        <f>FORMULA!$W185</f>
        <v>0</v>
      </c>
      <c r="FS10" s="92">
        <f>FORMULA!$Y185</f>
        <v>0</v>
      </c>
      <c r="FT10" s="92">
        <f>FORMULA!$AA185</f>
        <v>0</v>
      </c>
      <c r="FU10" s="92">
        <f>FORMULA!$AC185</f>
        <v>0</v>
      </c>
      <c r="FV10" s="92">
        <f>FORMULA!$AE185</f>
        <v>0</v>
      </c>
      <c r="FW10" s="94"/>
      <c r="FX10" s="91">
        <f>FORMULA!$C273</f>
        <v>0</v>
      </c>
      <c r="FY10" s="92">
        <f>FORMULA!$E273</f>
        <v>0</v>
      </c>
      <c r="FZ10" s="92">
        <f>FORMULA!$G273</f>
        <v>0</v>
      </c>
      <c r="GA10" s="92">
        <f>FORMULA!$I273</f>
        <v>0</v>
      </c>
      <c r="GB10" s="92">
        <f>FORMULA!$K273</f>
        <v>0</v>
      </c>
      <c r="GC10" s="92">
        <f>FORMULA!$M273</f>
        <v>0</v>
      </c>
      <c r="GD10" s="92">
        <f>FORMULA!$O273</f>
        <v>0</v>
      </c>
      <c r="GE10" s="92">
        <f>FORMULA!$Q273</f>
        <v>0</v>
      </c>
      <c r="GF10" s="92">
        <f>FORMULA!$S273</f>
        <v>0</v>
      </c>
      <c r="GG10" s="92">
        <f>FORMULA!$U273</f>
        <v>0</v>
      </c>
      <c r="GH10" s="92">
        <f>FORMULA!$W273</f>
        <v>0</v>
      </c>
      <c r="GI10" s="92">
        <f>FORMULA!$Y273</f>
        <v>0</v>
      </c>
      <c r="GJ10" s="92">
        <f>FORMULA!$AA273</f>
        <v>0</v>
      </c>
      <c r="GK10" s="92">
        <f>FORMULA!$AC273</f>
        <v>0</v>
      </c>
      <c r="GL10" s="92">
        <f>FORMULA!$AE273</f>
        <v>0</v>
      </c>
      <c r="GM10" s="207"/>
      <c r="GN10" s="91">
        <f>FORMULA!$C361</f>
        <v>25</v>
      </c>
      <c r="GO10" s="92">
        <f>FORMULA!$E361</f>
        <v>0</v>
      </c>
      <c r="GP10" s="92">
        <f>FORMULA!$G361</f>
        <v>0</v>
      </c>
      <c r="GQ10" s="92">
        <f>FORMULA!$I361</f>
        <v>50</v>
      </c>
      <c r="GR10" s="92">
        <f>FORMULA!$K361</f>
        <v>50</v>
      </c>
      <c r="GS10" s="92">
        <f>FORMULA!$M361</f>
        <v>50</v>
      </c>
      <c r="GT10" s="92">
        <f>FORMULA!$O361</f>
        <v>50</v>
      </c>
      <c r="GU10" s="92">
        <f>FORMULA!$Q361</f>
        <v>0</v>
      </c>
      <c r="GV10" s="92">
        <f>FORMULA!$S361</f>
        <v>0</v>
      </c>
      <c r="GW10" s="92">
        <f>FORMULA!$U361</f>
        <v>0</v>
      </c>
      <c r="GX10" s="92">
        <f>FORMULA!$W361</f>
        <v>0</v>
      </c>
      <c r="GY10" s="92">
        <f>FORMULA!$Y361</f>
        <v>20</v>
      </c>
      <c r="GZ10" s="92">
        <f>FORMULA!$AA361</f>
        <v>20</v>
      </c>
      <c r="HA10" s="92">
        <f>FORMULA!$AC361</f>
        <v>0</v>
      </c>
      <c r="HB10" s="92">
        <f>FORMULA!$AE361</f>
        <v>0</v>
      </c>
      <c r="HC10" s="207"/>
      <c r="HD10" s="91">
        <f>FORMULA!$C449</f>
        <v>10</v>
      </c>
      <c r="HE10" s="92">
        <f>FORMULA!$E449</f>
        <v>10</v>
      </c>
      <c r="HF10" s="92">
        <f>FORMULA!$G449</f>
        <v>12</v>
      </c>
      <c r="HG10" s="92">
        <f>FORMULA!$I449</f>
        <v>0</v>
      </c>
      <c r="HH10" s="92">
        <f>FORMULA!$K449</f>
        <v>0</v>
      </c>
      <c r="HI10" s="92">
        <f>FORMULA!$M449</f>
        <v>0</v>
      </c>
      <c r="HJ10" s="92">
        <f>FORMULA!$O449</f>
        <v>0</v>
      </c>
      <c r="HK10" s="92">
        <f>FORMULA!$Q449</f>
        <v>0</v>
      </c>
      <c r="HL10" s="92">
        <f>FORMULA!$S449</f>
        <v>0</v>
      </c>
      <c r="HM10" s="92">
        <f>FORMULA!$U449</f>
        <v>20</v>
      </c>
      <c r="HN10" s="92">
        <f>FORMULA!$W449</f>
        <v>20</v>
      </c>
      <c r="HO10" s="92">
        <f>FORMULA!$Y449</f>
        <v>0</v>
      </c>
      <c r="HP10" s="92">
        <f>FORMULA!$AA449</f>
        <v>0</v>
      </c>
      <c r="HQ10" s="92">
        <f>FORMULA!$AC449</f>
        <v>0</v>
      </c>
      <c r="HR10" s="92">
        <f>FORMULA!$AE449</f>
        <v>0</v>
      </c>
      <c r="HS10" s="207"/>
      <c r="HT10" s="91">
        <f>FORMULA!$C537</f>
        <v>13.000000000000002</v>
      </c>
      <c r="HU10" s="92">
        <f>FORMULA!$E537</f>
        <v>13.000000000000002</v>
      </c>
      <c r="HV10" s="92">
        <f>FORMULA!$G537</f>
        <v>13.000000000000002</v>
      </c>
      <c r="HW10" s="92">
        <f>FORMULA!$I537</f>
        <v>0</v>
      </c>
      <c r="HX10" s="92">
        <f>FORMULA!$K537</f>
        <v>0</v>
      </c>
      <c r="HY10" s="92">
        <f>FORMULA!$M537</f>
        <v>0</v>
      </c>
      <c r="HZ10" s="92">
        <f>FORMULA!$O537</f>
        <v>0</v>
      </c>
      <c r="IA10" s="92">
        <f>FORMULA!$Q537</f>
        <v>0</v>
      </c>
      <c r="IB10" s="92">
        <f>FORMULA!$S537</f>
        <v>0</v>
      </c>
      <c r="IC10" s="92">
        <f>FORMULA!$U537</f>
        <v>0</v>
      </c>
      <c r="ID10" s="92">
        <f>FORMULA!$W537</f>
        <v>0</v>
      </c>
      <c r="IE10" s="92">
        <f>FORMULA!$Y537</f>
        <v>0</v>
      </c>
      <c r="IF10" s="92">
        <f>FORMULA!$AA537</f>
        <v>0</v>
      </c>
      <c r="IG10" s="92">
        <f>FORMULA!$AC537</f>
        <v>0</v>
      </c>
      <c r="IH10" s="92">
        <f>FORMULA!$AE537</f>
        <v>0</v>
      </c>
      <c r="II10" s="207"/>
      <c r="IJ10" s="91">
        <f>FORMULA!$C625</f>
        <v>12</v>
      </c>
      <c r="IK10" s="92">
        <f>FORMULA!$E625</f>
        <v>0</v>
      </c>
      <c r="IL10" s="92">
        <f>FORMULA!$G625</f>
        <v>12</v>
      </c>
      <c r="IM10" s="92">
        <f>FORMULA!$I625</f>
        <v>12</v>
      </c>
      <c r="IN10" s="92">
        <f>FORMULA!$K625</f>
        <v>0</v>
      </c>
      <c r="IO10" s="92">
        <f>FORMULA!$M625</f>
        <v>0</v>
      </c>
      <c r="IP10" s="92">
        <f>FORMULA!$O625</f>
        <v>0</v>
      </c>
      <c r="IQ10" s="92">
        <f>FORMULA!$Q625</f>
        <v>0</v>
      </c>
      <c r="IR10" s="92">
        <f>FORMULA!$S625</f>
        <v>0</v>
      </c>
      <c r="IS10" s="92">
        <f>FORMULA!$U625</f>
        <v>0</v>
      </c>
      <c r="IT10" s="92">
        <f>FORMULA!$W625</f>
        <v>0</v>
      </c>
      <c r="IU10" s="92">
        <f>FORMULA!$Y625</f>
        <v>0</v>
      </c>
      <c r="IV10" s="92">
        <f>FORMULA!$AA625</f>
        <v>0</v>
      </c>
      <c r="IW10" s="92">
        <f>FORMULA!$AC625</f>
        <v>0</v>
      </c>
      <c r="IX10" s="92">
        <f>FORMULA!$AE625</f>
        <v>0</v>
      </c>
      <c r="IY10" s="208"/>
    </row>
    <row r="11" spans="1:259" outlineLevel="1">
      <c r="A11" s="260">
        <f>'VAC &amp; MED'!C12</f>
        <v>46029</v>
      </c>
      <c r="B11" s="261"/>
      <c r="C11" s="261"/>
      <c r="D11" s="261"/>
      <c r="E11" s="261"/>
      <c r="F11" s="261"/>
      <c r="G11" s="261"/>
      <c r="H11" s="261"/>
      <c r="I11" s="261"/>
      <c r="J11" s="261"/>
      <c r="K11" s="261"/>
      <c r="L11" s="261"/>
      <c r="M11" s="261"/>
      <c r="N11" s="261"/>
      <c r="O11" s="261"/>
      <c r="P11" s="261"/>
      <c r="Q11" s="261"/>
      <c r="R11" s="262"/>
      <c r="S11" s="262"/>
      <c r="T11" s="262"/>
      <c r="U11" s="262"/>
      <c r="V11" s="262"/>
      <c r="W11" s="262"/>
      <c r="X11" s="262"/>
      <c r="Y11" s="262"/>
      <c r="Z11" s="262"/>
      <c r="AA11" s="262"/>
      <c r="AB11" s="262"/>
      <c r="AC11" s="262"/>
      <c r="AD11" s="262"/>
      <c r="AE11" s="262"/>
      <c r="AF11" s="262"/>
      <c r="AG11" s="262"/>
      <c r="AH11" s="263">
        <v>10</v>
      </c>
      <c r="AI11" s="263"/>
      <c r="AJ11" s="263"/>
      <c r="AK11" s="263"/>
      <c r="AL11" s="263"/>
      <c r="AM11" s="263"/>
      <c r="AN11" s="263"/>
      <c r="AO11" s="263"/>
      <c r="AP11" s="263"/>
      <c r="AQ11" s="263"/>
      <c r="AR11" s="263"/>
      <c r="AS11" s="263"/>
      <c r="AT11" s="263"/>
      <c r="AU11" s="263"/>
      <c r="AV11" s="263"/>
      <c r="AW11" s="263"/>
      <c r="AX11" s="264"/>
      <c r="AY11" s="264"/>
      <c r="AZ11" s="264"/>
      <c r="BA11" s="264"/>
      <c r="BB11" s="264"/>
      <c r="BC11" s="264"/>
      <c r="BD11" s="264"/>
      <c r="BE11" s="264"/>
      <c r="BF11" s="264"/>
      <c r="BG11" s="264"/>
      <c r="BH11" s="264"/>
      <c r="BI11" s="264"/>
      <c r="BJ11" s="264"/>
      <c r="BK11" s="264"/>
      <c r="BL11" s="264"/>
      <c r="BM11" s="264"/>
      <c r="BN11" s="265"/>
      <c r="BO11" s="265"/>
      <c r="BP11" s="265"/>
      <c r="BQ11" s="265"/>
      <c r="BR11" s="265">
        <v>50</v>
      </c>
      <c r="BS11" s="265"/>
      <c r="BT11" s="265"/>
      <c r="BU11" s="265"/>
      <c r="BV11" s="265"/>
      <c r="BW11" s="265"/>
      <c r="BX11" s="265"/>
      <c r="BY11" s="265">
        <v>20</v>
      </c>
      <c r="BZ11" s="265"/>
      <c r="CA11" s="265"/>
      <c r="CB11" s="265"/>
      <c r="CC11" s="265"/>
      <c r="CD11" s="266"/>
      <c r="CE11" s="266"/>
      <c r="CF11" s="266"/>
      <c r="CG11" s="266"/>
      <c r="CH11" s="266"/>
      <c r="CI11" s="266"/>
      <c r="CJ11" s="266"/>
      <c r="CK11" s="266"/>
      <c r="CL11" s="266"/>
      <c r="CM11" s="266"/>
      <c r="CN11" s="266"/>
      <c r="CO11" s="266"/>
      <c r="CP11" s="266"/>
      <c r="CQ11" s="266"/>
      <c r="CR11" s="266"/>
      <c r="CS11" s="266"/>
      <c r="CT11" s="267"/>
      <c r="CU11" s="267"/>
      <c r="CV11" s="267"/>
      <c r="CW11" s="267"/>
      <c r="CX11" s="267"/>
      <c r="CY11" s="267"/>
      <c r="CZ11" s="267"/>
      <c r="DA11" s="267"/>
      <c r="DB11" s="267"/>
      <c r="DC11" s="267"/>
      <c r="DD11" s="267"/>
      <c r="DE11" s="267"/>
      <c r="DF11" s="267"/>
      <c r="DG11" s="267"/>
      <c r="DH11" s="267"/>
      <c r="DI11" s="267"/>
      <c r="DJ11" s="268"/>
      <c r="DK11" s="268"/>
      <c r="DL11" s="268"/>
      <c r="DM11" s="268"/>
      <c r="DN11" s="268"/>
      <c r="DO11" s="268"/>
      <c r="DP11" s="268"/>
      <c r="DQ11" s="268"/>
      <c r="DR11" s="268"/>
      <c r="DS11" s="268"/>
      <c r="DT11" s="268"/>
      <c r="DU11" s="268"/>
      <c r="DV11" s="268"/>
      <c r="DW11" s="268"/>
      <c r="DX11" s="268"/>
      <c r="DY11" s="268"/>
      <c r="EA11" s="20" t="str">
        <f>FORMULA!$A$10</f>
        <v>WHEAT</v>
      </c>
      <c r="EB11" s="91">
        <f>FORMULA!$C10</f>
        <v>0</v>
      </c>
      <c r="EC11" s="92">
        <f>FORMULA!$E10</f>
        <v>0</v>
      </c>
      <c r="ED11" s="92">
        <f>FORMULA!$G10</f>
        <v>0</v>
      </c>
      <c r="EE11" s="92">
        <f>FORMULA!$I10</f>
        <v>0</v>
      </c>
      <c r="EF11" s="92">
        <f>FORMULA!$K10</f>
        <v>0</v>
      </c>
      <c r="EG11" s="92">
        <f>FORMULA!$M10</f>
        <v>0</v>
      </c>
      <c r="EH11" s="92">
        <f>FORMULA!$O10</f>
        <v>0</v>
      </c>
      <c r="EI11" s="92">
        <f>FORMULA!$Q10</f>
        <v>0</v>
      </c>
      <c r="EJ11" s="92">
        <f>FORMULA!$S10</f>
        <v>0</v>
      </c>
      <c r="EK11" s="92">
        <f>FORMULA!$U10</f>
        <v>0</v>
      </c>
      <c r="EL11" s="92">
        <f>FORMULA!$W10</f>
        <v>0</v>
      </c>
      <c r="EM11" s="92">
        <f>FORMULA!$Y10</f>
        <v>0</v>
      </c>
      <c r="EN11" s="92">
        <f>FORMULA!$AA10</f>
        <v>0</v>
      </c>
      <c r="EO11" s="92">
        <f>FORMULA!$AC10</f>
        <v>0</v>
      </c>
      <c r="EP11" s="92">
        <f>FORMULA!$AE10</f>
        <v>0</v>
      </c>
      <c r="EQ11" s="108"/>
      <c r="ER11" s="91">
        <f>FORMULA!$C98</f>
        <v>0</v>
      </c>
      <c r="ES11" s="92">
        <f>FORMULA!$E98</f>
        <v>0</v>
      </c>
      <c r="ET11" s="92">
        <f>FORMULA!$G98</f>
        <v>0</v>
      </c>
      <c r="EU11" s="92">
        <f>FORMULA!$I98</f>
        <v>0</v>
      </c>
      <c r="EV11" s="92">
        <f>FORMULA!$K98</f>
        <v>0</v>
      </c>
      <c r="EW11" s="92">
        <f>FORMULA!$M98</f>
        <v>0</v>
      </c>
      <c r="EX11" s="92">
        <f>FORMULA!$O98</f>
        <v>0</v>
      </c>
      <c r="EY11" s="92">
        <f>FORMULA!$Q98</f>
        <v>0</v>
      </c>
      <c r="EZ11" s="92">
        <f>FORMULA!$S98</f>
        <v>0</v>
      </c>
      <c r="FA11" s="92">
        <f>FORMULA!$U98</f>
        <v>0</v>
      </c>
      <c r="FB11" s="92">
        <f>FORMULA!$W98</f>
        <v>0</v>
      </c>
      <c r="FC11" s="92">
        <f>FORMULA!$Y98</f>
        <v>0</v>
      </c>
      <c r="FD11" s="92">
        <f>FORMULA!$AA98</f>
        <v>0</v>
      </c>
      <c r="FE11" s="92">
        <f>FORMULA!$AC98</f>
        <v>0</v>
      </c>
      <c r="FF11" s="92">
        <f>FORMULA!$AE98</f>
        <v>0</v>
      </c>
      <c r="FG11" s="94"/>
      <c r="FH11" s="91">
        <f>FORMULA!$C186</f>
        <v>0</v>
      </c>
      <c r="FI11" s="92">
        <f>FORMULA!$E186</f>
        <v>0</v>
      </c>
      <c r="FJ11" s="92">
        <f>FORMULA!$G186</f>
        <v>0</v>
      </c>
      <c r="FK11" s="92">
        <f>FORMULA!$I186</f>
        <v>0</v>
      </c>
      <c r="FL11" s="92">
        <f>FORMULA!$K186</f>
        <v>0</v>
      </c>
      <c r="FM11" s="92">
        <f>FORMULA!$M186</f>
        <v>0</v>
      </c>
      <c r="FN11" s="92">
        <f>FORMULA!$O186</f>
        <v>0</v>
      </c>
      <c r="FO11" s="92">
        <f>FORMULA!$Q186</f>
        <v>0</v>
      </c>
      <c r="FP11" s="92">
        <f>FORMULA!$S186</f>
        <v>0</v>
      </c>
      <c r="FQ11" s="92">
        <f>FORMULA!$U186</f>
        <v>0</v>
      </c>
      <c r="FR11" s="92">
        <f>FORMULA!$W186</f>
        <v>0</v>
      </c>
      <c r="FS11" s="92">
        <f>FORMULA!$Y186</f>
        <v>0</v>
      </c>
      <c r="FT11" s="92">
        <f>FORMULA!$AA186</f>
        <v>0</v>
      </c>
      <c r="FU11" s="92">
        <f>FORMULA!$AC186</f>
        <v>0</v>
      </c>
      <c r="FV11" s="92">
        <f>FORMULA!$AE186</f>
        <v>0</v>
      </c>
      <c r="FW11" s="94"/>
      <c r="FX11" s="91">
        <f>FORMULA!$C274</f>
        <v>0</v>
      </c>
      <c r="FY11" s="92">
        <f>FORMULA!$E274</f>
        <v>0</v>
      </c>
      <c r="FZ11" s="92">
        <f>FORMULA!$G274</f>
        <v>0</v>
      </c>
      <c r="GA11" s="92">
        <f>FORMULA!$I274</f>
        <v>0</v>
      </c>
      <c r="GB11" s="92">
        <f>FORMULA!$K274</f>
        <v>0</v>
      </c>
      <c r="GC11" s="92">
        <f>FORMULA!$M274</f>
        <v>0</v>
      </c>
      <c r="GD11" s="92">
        <f>FORMULA!$O274</f>
        <v>0</v>
      </c>
      <c r="GE11" s="92">
        <f>FORMULA!$Q274</f>
        <v>0</v>
      </c>
      <c r="GF11" s="92">
        <f>FORMULA!$S274</f>
        <v>0</v>
      </c>
      <c r="GG11" s="92">
        <f>FORMULA!$U274</f>
        <v>0</v>
      </c>
      <c r="GH11" s="92">
        <f>FORMULA!$W274</f>
        <v>0</v>
      </c>
      <c r="GI11" s="92">
        <f>FORMULA!$Y274</f>
        <v>0</v>
      </c>
      <c r="GJ11" s="92">
        <f>FORMULA!$AA274</f>
        <v>0</v>
      </c>
      <c r="GK11" s="92">
        <f>FORMULA!$AC274</f>
        <v>0</v>
      </c>
      <c r="GL11" s="92">
        <f>FORMULA!$AE274</f>
        <v>0</v>
      </c>
      <c r="GM11" s="207"/>
      <c r="GN11" s="91">
        <f>FORMULA!$C362</f>
        <v>0</v>
      </c>
      <c r="GO11" s="92">
        <f>FORMULA!$E362</f>
        <v>0</v>
      </c>
      <c r="GP11" s="92">
        <f>FORMULA!$G362</f>
        <v>0</v>
      </c>
      <c r="GQ11" s="92">
        <f>FORMULA!$I362</f>
        <v>0</v>
      </c>
      <c r="GR11" s="92">
        <f>FORMULA!$K362</f>
        <v>0</v>
      </c>
      <c r="GS11" s="92">
        <f>FORMULA!$M362</f>
        <v>0</v>
      </c>
      <c r="GT11" s="92">
        <f>FORMULA!$O362</f>
        <v>0</v>
      </c>
      <c r="GU11" s="92">
        <f>FORMULA!$Q362</f>
        <v>0</v>
      </c>
      <c r="GV11" s="92">
        <f>FORMULA!$S362</f>
        <v>0</v>
      </c>
      <c r="GW11" s="92">
        <f>FORMULA!$U362</f>
        <v>0</v>
      </c>
      <c r="GX11" s="92">
        <f>FORMULA!$W362</f>
        <v>0</v>
      </c>
      <c r="GY11" s="92">
        <f>FORMULA!$Y362</f>
        <v>0</v>
      </c>
      <c r="GZ11" s="92">
        <f>FORMULA!$AA362</f>
        <v>0</v>
      </c>
      <c r="HA11" s="92">
        <f>FORMULA!$AC362</f>
        <v>0</v>
      </c>
      <c r="HB11" s="92">
        <f>FORMULA!$AE362</f>
        <v>0</v>
      </c>
      <c r="HC11" s="207"/>
      <c r="HD11" s="91">
        <f>FORMULA!$C450</f>
        <v>0</v>
      </c>
      <c r="HE11" s="92">
        <f>FORMULA!$E450</f>
        <v>0</v>
      </c>
      <c r="HF11" s="92">
        <f>FORMULA!$G450</f>
        <v>0</v>
      </c>
      <c r="HG11" s="92">
        <f>FORMULA!$I450</f>
        <v>0</v>
      </c>
      <c r="HH11" s="92">
        <f>FORMULA!$K450</f>
        <v>0</v>
      </c>
      <c r="HI11" s="92">
        <f>FORMULA!$M450</f>
        <v>0</v>
      </c>
      <c r="HJ11" s="92">
        <f>FORMULA!$O450</f>
        <v>0</v>
      </c>
      <c r="HK11" s="92">
        <f>FORMULA!$Q450</f>
        <v>0</v>
      </c>
      <c r="HL11" s="92">
        <f>FORMULA!$S450</f>
        <v>0</v>
      </c>
      <c r="HM11" s="92">
        <f>FORMULA!$U450</f>
        <v>0</v>
      </c>
      <c r="HN11" s="92">
        <f>FORMULA!$W450</f>
        <v>0</v>
      </c>
      <c r="HO11" s="92">
        <f>FORMULA!$Y450</f>
        <v>0</v>
      </c>
      <c r="HP11" s="92">
        <f>FORMULA!$AA450</f>
        <v>0</v>
      </c>
      <c r="HQ11" s="92">
        <f>FORMULA!$AC450</f>
        <v>0</v>
      </c>
      <c r="HR11" s="92">
        <f>FORMULA!$AE450</f>
        <v>0</v>
      </c>
      <c r="HS11" s="207"/>
      <c r="HT11" s="91">
        <f>FORMULA!$C538</f>
        <v>0</v>
      </c>
      <c r="HU11" s="92">
        <f>FORMULA!$E538</f>
        <v>0</v>
      </c>
      <c r="HV11" s="92">
        <f>FORMULA!$G538</f>
        <v>0</v>
      </c>
      <c r="HW11" s="92">
        <f>FORMULA!$I538</f>
        <v>0</v>
      </c>
      <c r="HX11" s="92">
        <f>FORMULA!$K538</f>
        <v>0</v>
      </c>
      <c r="HY11" s="92">
        <f>FORMULA!$M538</f>
        <v>0</v>
      </c>
      <c r="HZ11" s="92">
        <f>FORMULA!$O538</f>
        <v>0</v>
      </c>
      <c r="IA11" s="92">
        <f>FORMULA!$Q538</f>
        <v>0</v>
      </c>
      <c r="IB11" s="92">
        <f>FORMULA!$S538</f>
        <v>0</v>
      </c>
      <c r="IC11" s="92">
        <f>FORMULA!$U538</f>
        <v>0</v>
      </c>
      <c r="ID11" s="92">
        <f>FORMULA!$W538</f>
        <v>0</v>
      </c>
      <c r="IE11" s="92">
        <f>FORMULA!$Y538</f>
        <v>0</v>
      </c>
      <c r="IF11" s="92">
        <f>FORMULA!$AA538</f>
        <v>0</v>
      </c>
      <c r="IG11" s="92">
        <f>FORMULA!$AC538</f>
        <v>0</v>
      </c>
      <c r="IH11" s="92">
        <f>FORMULA!$AE538</f>
        <v>0</v>
      </c>
      <c r="II11" s="207"/>
      <c r="IJ11" s="91">
        <f>FORMULA!$C626</f>
        <v>0</v>
      </c>
      <c r="IK11" s="92">
        <f>FORMULA!$E626</f>
        <v>0</v>
      </c>
      <c r="IL11" s="92">
        <f>FORMULA!$G626</f>
        <v>0</v>
      </c>
      <c r="IM11" s="92">
        <f>FORMULA!$I626</f>
        <v>0</v>
      </c>
      <c r="IN11" s="92">
        <f>FORMULA!$K626</f>
        <v>0</v>
      </c>
      <c r="IO11" s="92">
        <f>FORMULA!$M626</f>
        <v>0</v>
      </c>
      <c r="IP11" s="92">
        <f>FORMULA!$O626</f>
        <v>0</v>
      </c>
      <c r="IQ11" s="92">
        <f>FORMULA!$Q626</f>
        <v>0</v>
      </c>
      <c r="IR11" s="92">
        <f>FORMULA!$S626</f>
        <v>0</v>
      </c>
      <c r="IS11" s="92">
        <f>FORMULA!$U626</f>
        <v>0</v>
      </c>
      <c r="IT11" s="92">
        <f>FORMULA!$W626</f>
        <v>0</v>
      </c>
      <c r="IU11" s="92">
        <f>FORMULA!$Y626</f>
        <v>0</v>
      </c>
      <c r="IV11" s="92">
        <f>FORMULA!$AA626</f>
        <v>0</v>
      </c>
      <c r="IW11" s="92">
        <f>FORMULA!$AC626</f>
        <v>0</v>
      </c>
      <c r="IX11" s="92">
        <f>FORMULA!$AE626</f>
        <v>0</v>
      </c>
      <c r="IY11" s="208"/>
    </row>
    <row r="12" spans="1:259" outlineLevel="1">
      <c r="A12" s="260">
        <f>'VAC &amp; MED'!C13</f>
        <v>46030</v>
      </c>
      <c r="B12" s="261"/>
      <c r="C12" s="261"/>
      <c r="D12" s="261"/>
      <c r="E12" s="261"/>
      <c r="F12" s="261"/>
      <c r="G12" s="261"/>
      <c r="H12" s="261"/>
      <c r="I12" s="261"/>
      <c r="J12" s="261"/>
      <c r="K12" s="261"/>
      <c r="L12" s="261"/>
      <c r="M12" s="261"/>
      <c r="N12" s="261"/>
      <c r="O12" s="261"/>
      <c r="P12" s="261"/>
      <c r="Q12" s="261"/>
      <c r="R12" s="262"/>
      <c r="S12" s="262"/>
      <c r="T12" s="262"/>
      <c r="U12" s="262"/>
      <c r="V12" s="262"/>
      <c r="W12" s="262"/>
      <c r="X12" s="262"/>
      <c r="Y12" s="262"/>
      <c r="Z12" s="262"/>
      <c r="AA12" s="262"/>
      <c r="AB12" s="262"/>
      <c r="AC12" s="262"/>
      <c r="AD12" s="262"/>
      <c r="AE12" s="262"/>
      <c r="AF12" s="262"/>
      <c r="AG12" s="262"/>
      <c r="AH12" s="263"/>
      <c r="AI12" s="263"/>
      <c r="AJ12" s="263"/>
      <c r="AK12" s="263"/>
      <c r="AL12" s="263"/>
      <c r="AM12" s="263"/>
      <c r="AN12" s="263"/>
      <c r="AO12" s="263"/>
      <c r="AP12" s="263"/>
      <c r="AQ12" s="263"/>
      <c r="AR12" s="263"/>
      <c r="AS12" s="263"/>
      <c r="AT12" s="263"/>
      <c r="AU12" s="263"/>
      <c r="AV12" s="263"/>
      <c r="AW12" s="263"/>
      <c r="AX12" s="264"/>
      <c r="AY12" s="264"/>
      <c r="AZ12" s="264"/>
      <c r="BA12" s="264"/>
      <c r="BB12" s="264"/>
      <c r="BC12" s="264"/>
      <c r="BD12" s="264"/>
      <c r="BE12" s="264"/>
      <c r="BF12" s="264"/>
      <c r="BG12" s="264"/>
      <c r="BH12" s="264"/>
      <c r="BI12" s="264"/>
      <c r="BJ12" s="264"/>
      <c r="BK12" s="264"/>
      <c r="BL12" s="264"/>
      <c r="BM12" s="264"/>
      <c r="BN12" s="265"/>
      <c r="BO12" s="265"/>
      <c r="BP12" s="265"/>
      <c r="BQ12" s="265"/>
      <c r="BR12" s="265">
        <v>30</v>
      </c>
      <c r="BS12" s="265"/>
      <c r="BT12" s="265"/>
      <c r="BU12" s="265"/>
      <c r="BV12" s="265"/>
      <c r="BW12" s="265"/>
      <c r="BX12" s="265"/>
      <c r="BY12" s="265"/>
      <c r="BZ12" s="265"/>
      <c r="CA12" s="265"/>
      <c r="CB12" s="265"/>
      <c r="CC12" s="265"/>
      <c r="CD12" s="266"/>
      <c r="CE12" s="266"/>
      <c r="CF12" s="266"/>
      <c r="CG12" s="266"/>
      <c r="CH12" s="266"/>
      <c r="CI12" s="266"/>
      <c r="CJ12" s="266"/>
      <c r="CK12" s="266"/>
      <c r="CL12" s="266"/>
      <c r="CM12" s="266"/>
      <c r="CN12" s="266"/>
      <c r="CO12" s="266"/>
      <c r="CP12" s="266"/>
      <c r="CQ12" s="266"/>
      <c r="CR12" s="266"/>
      <c r="CS12" s="266"/>
      <c r="CT12" s="267"/>
      <c r="CU12" s="267"/>
      <c r="CV12" s="267"/>
      <c r="CW12" s="267"/>
      <c r="CX12" s="267"/>
      <c r="CY12" s="267"/>
      <c r="CZ12" s="267"/>
      <c r="DA12" s="267"/>
      <c r="DB12" s="267"/>
      <c r="DC12" s="267"/>
      <c r="DD12" s="267"/>
      <c r="DE12" s="267"/>
      <c r="DF12" s="267"/>
      <c r="DG12" s="267"/>
      <c r="DH12" s="267"/>
      <c r="DI12" s="267"/>
      <c r="DJ12" s="268"/>
      <c r="DK12" s="268"/>
      <c r="DL12" s="268"/>
      <c r="DM12" s="268"/>
      <c r="DN12" s="268"/>
      <c r="DO12" s="268"/>
      <c r="DP12" s="268"/>
      <c r="DQ12" s="268"/>
      <c r="DR12" s="268"/>
      <c r="DS12" s="268"/>
      <c r="DT12" s="268"/>
      <c r="DU12" s="268"/>
      <c r="DV12" s="268"/>
      <c r="DW12" s="268"/>
      <c r="DX12" s="268"/>
      <c r="DY12" s="268"/>
      <c r="EA12" s="20" t="str">
        <f>FORMULA!$A$11</f>
        <v>MEAT AND BONE MEAL</v>
      </c>
      <c r="EB12" s="91">
        <f>FORMULA!$C11</f>
        <v>20</v>
      </c>
      <c r="EC12" s="92">
        <f>FORMULA!$E11</f>
        <v>20.2</v>
      </c>
      <c r="ED12" s="92">
        <f>FORMULA!$G11</f>
        <v>0</v>
      </c>
      <c r="EE12" s="92">
        <f>FORMULA!$I11</f>
        <v>0</v>
      </c>
      <c r="EF12" s="92">
        <f>FORMULA!$K11</f>
        <v>0</v>
      </c>
      <c r="EG12" s="92">
        <f>FORMULA!$M11</f>
        <v>0</v>
      </c>
      <c r="EH12" s="92">
        <f>FORMULA!$O11</f>
        <v>0</v>
      </c>
      <c r="EI12" s="92">
        <f>FORMULA!$Q11</f>
        <v>0</v>
      </c>
      <c r="EJ12" s="92">
        <f>FORMULA!$S11</f>
        <v>0</v>
      </c>
      <c r="EK12" s="92">
        <f>FORMULA!$U11</f>
        <v>0</v>
      </c>
      <c r="EL12" s="92">
        <f>FORMULA!$W11</f>
        <v>0</v>
      </c>
      <c r="EM12" s="92">
        <f>FORMULA!$Y11</f>
        <v>0</v>
      </c>
      <c r="EN12" s="92">
        <f>FORMULA!$AA11</f>
        <v>0</v>
      </c>
      <c r="EO12" s="92">
        <f>FORMULA!$AC11</f>
        <v>0</v>
      </c>
      <c r="EP12" s="92">
        <f>FORMULA!$AE11</f>
        <v>0</v>
      </c>
      <c r="EQ12" s="108"/>
      <c r="ER12" s="91">
        <f>FORMULA!$C99</f>
        <v>10</v>
      </c>
      <c r="ES12" s="92">
        <f>FORMULA!$E99</f>
        <v>0</v>
      </c>
      <c r="ET12" s="92">
        <f>FORMULA!$G99</f>
        <v>0</v>
      </c>
      <c r="EU12" s="92">
        <f>FORMULA!$I99</f>
        <v>0</v>
      </c>
      <c r="EV12" s="92">
        <f>FORMULA!$K99</f>
        <v>0</v>
      </c>
      <c r="EW12" s="92">
        <f>FORMULA!$M99</f>
        <v>0</v>
      </c>
      <c r="EX12" s="92">
        <f>FORMULA!$O99</f>
        <v>0</v>
      </c>
      <c r="EY12" s="92">
        <f>FORMULA!$Q99</f>
        <v>0</v>
      </c>
      <c r="EZ12" s="92">
        <f>FORMULA!$S99</f>
        <v>0</v>
      </c>
      <c r="FA12" s="92">
        <f>FORMULA!$U99</f>
        <v>0</v>
      </c>
      <c r="FB12" s="92">
        <f>FORMULA!$W99</f>
        <v>0</v>
      </c>
      <c r="FC12" s="92">
        <f>FORMULA!$Y99</f>
        <v>0</v>
      </c>
      <c r="FD12" s="92">
        <f>FORMULA!$AA99</f>
        <v>0</v>
      </c>
      <c r="FE12" s="92">
        <f>FORMULA!$AC99</f>
        <v>0</v>
      </c>
      <c r="FF12" s="92">
        <f>FORMULA!$AE99</f>
        <v>0</v>
      </c>
      <c r="FG12" s="94"/>
      <c r="FH12" s="91">
        <f>FORMULA!$C187</f>
        <v>15.5</v>
      </c>
      <c r="FI12" s="92">
        <f>FORMULA!$E187</f>
        <v>15</v>
      </c>
      <c r="FJ12" s="92">
        <f>FORMULA!$G187</f>
        <v>0</v>
      </c>
      <c r="FK12" s="92">
        <f>FORMULA!$I187</f>
        <v>0</v>
      </c>
      <c r="FL12" s="92">
        <f>FORMULA!$K187</f>
        <v>0</v>
      </c>
      <c r="FM12" s="92">
        <f>FORMULA!$M187</f>
        <v>0</v>
      </c>
      <c r="FN12" s="92">
        <f>FORMULA!$O187</f>
        <v>0</v>
      </c>
      <c r="FO12" s="92">
        <f>FORMULA!$Q187</f>
        <v>0</v>
      </c>
      <c r="FP12" s="92">
        <f>FORMULA!$S187</f>
        <v>0</v>
      </c>
      <c r="FQ12" s="92">
        <f>FORMULA!$U187</f>
        <v>0</v>
      </c>
      <c r="FR12" s="92">
        <f>FORMULA!$W187</f>
        <v>0</v>
      </c>
      <c r="FS12" s="92">
        <f>FORMULA!$Y187</f>
        <v>0</v>
      </c>
      <c r="FT12" s="92">
        <f>FORMULA!$AA187</f>
        <v>0</v>
      </c>
      <c r="FU12" s="92">
        <f>FORMULA!$AC187</f>
        <v>0</v>
      </c>
      <c r="FV12" s="92">
        <f>FORMULA!$AE187</f>
        <v>0</v>
      </c>
      <c r="FW12" s="94"/>
      <c r="FX12" s="91">
        <f>FORMULA!$C275</f>
        <v>0</v>
      </c>
      <c r="FY12" s="92">
        <f>FORMULA!$E275</f>
        <v>0</v>
      </c>
      <c r="FZ12" s="92">
        <f>FORMULA!$G275</f>
        <v>0</v>
      </c>
      <c r="GA12" s="92">
        <f>FORMULA!$I275</f>
        <v>0</v>
      </c>
      <c r="GB12" s="92">
        <f>FORMULA!$K275</f>
        <v>0</v>
      </c>
      <c r="GC12" s="92">
        <f>FORMULA!$M275</f>
        <v>0</v>
      </c>
      <c r="GD12" s="92">
        <f>FORMULA!$O275</f>
        <v>0</v>
      </c>
      <c r="GE12" s="92">
        <f>FORMULA!$Q275</f>
        <v>0</v>
      </c>
      <c r="GF12" s="92">
        <f>FORMULA!$S275</f>
        <v>0</v>
      </c>
      <c r="GG12" s="92">
        <f>FORMULA!$U275</f>
        <v>0</v>
      </c>
      <c r="GH12" s="92">
        <f>FORMULA!$W275</f>
        <v>0</v>
      </c>
      <c r="GI12" s="92">
        <f>FORMULA!$Y275</f>
        <v>0</v>
      </c>
      <c r="GJ12" s="92">
        <f>FORMULA!$AA275</f>
        <v>0</v>
      </c>
      <c r="GK12" s="92">
        <f>FORMULA!$AC275</f>
        <v>0</v>
      </c>
      <c r="GL12" s="92">
        <f>FORMULA!$AE275</f>
        <v>0</v>
      </c>
      <c r="GM12" s="207"/>
      <c r="GN12" s="91">
        <f>FORMULA!$C363</f>
        <v>20</v>
      </c>
      <c r="GO12" s="92">
        <f>FORMULA!$E363</f>
        <v>20</v>
      </c>
      <c r="GP12" s="92">
        <f>FORMULA!$G363</f>
        <v>0</v>
      </c>
      <c r="GQ12" s="92">
        <f>FORMULA!$I363</f>
        <v>20</v>
      </c>
      <c r="GR12" s="92">
        <f>FORMULA!$K363</f>
        <v>20</v>
      </c>
      <c r="GS12" s="92">
        <f>FORMULA!$M363</f>
        <v>0</v>
      </c>
      <c r="GT12" s="92">
        <f>FORMULA!$O363</f>
        <v>0</v>
      </c>
      <c r="GU12" s="92">
        <f>FORMULA!$Q363</f>
        <v>0</v>
      </c>
      <c r="GV12" s="92">
        <f>FORMULA!$S363</f>
        <v>0</v>
      </c>
      <c r="GW12" s="92">
        <f>FORMULA!$U363</f>
        <v>0</v>
      </c>
      <c r="GX12" s="92">
        <f>FORMULA!$W363</f>
        <v>0</v>
      </c>
      <c r="GY12" s="92">
        <f>FORMULA!$Y363</f>
        <v>20</v>
      </c>
      <c r="GZ12" s="92">
        <f>FORMULA!$AA363</f>
        <v>20</v>
      </c>
      <c r="HA12" s="92">
        <f>FORMULA!$AC363</f>
        <v>0</v>
      </c>
      <c r="HB12" s="92">
        <f>FORMULA!$AE363</f>
        <v>0</v>
      </c>
      <c r="HC12" s="207"/>
      <c r="HD12" s="91">
        <f>FORMULA!$C451</f>
        <v>25</v>
      </c>
      <c r="HE12" s="92">
        <f>FORMULA!$E451</f>
        <v>25</v>
      </c>
      <c r="HF12" s="92">
        <f>FORMULA!$G451</f>
        <v>25</v>
      </c>
      <c r="HG12" s="92">
        <f>FORMULA!$I451</f>
        <v>0</v>
      </c>
      <c r="HH12" s="92">
        <f>FORMULA!$K451</f>
        <v>0</v>
      </c>
      <c r="HI12" s="92">
        <f>FORMULA!$M451</f>
        <v>0</v>
      </c>
      <c r="HJ12" s="92">
        <f>FORMULA!$O451</f>
        <v>0</v>
      </c>
      <c r="HK12" s="92">
        <f>FORMULA!$Q451</f>
        <v>0</v>
      </c>
      <c r="HL12" s="92">
        <f>FORMULA!$S451</f>
        <v>0</v>
      </c>
      <c r="HM12" s="92">
        <f>FORMULA!$U451</f>
        <v>75</v>
      </c>
      <c r="HN12" s="92">
        <f>FORMULA!$W451</f>
        <v>65</v>
      </c>
      <c r="HO12" s="92">
        <f>FORMULA!$Y451</f>
        <v>0</v>
      </c>
      <c r="HP12" s="92">
        <f>FORMULA!$AA451</f>
        <v>0</v>
      </c>
      <c r="HQ12" s="92">
        <f>FORMULA!$AC451</f>
        <v>0</v>
      </c>
      <c r="HR12" s="92">
        <f>FORMULA!$AE451</f>
        <v>0</v>
      </c>
      <c r="HS12" s="207"/>
      <c r="HT12" s="91">
        <f>FORMULA!$C539</f>
        <v>0</v>
      </c>
      <c r="HU12" s="92">
        <f>FORMULA!$E539</f>
        <v>0</v>
      </c>
      <c r="HV12" s="92">
        <f>FORMULA!$G539</f>
        <v>0</v>
      </c>
      <c r="HW12" s="92">
        <f>FORMULA!$I539</f>
        <v>0</v>
      </c>
      <c r="HX12" s="92">
        <f>FORMULA!$K539</f>
        <v>0</v>
      </c>
      <c r="HY12" s="92">
        <f>FORMULA!$M539</f>
        <v>0</v>
      </c>
      <c r="HZ12" s="92">
        <f>FORMULA!$O539</f>
        <v>0</v>
      </c>
      <c r="IA12" s="92">
        <f>FORMULA!$Q539</f>
        <v>0</v>
      </c>
      <c r="IB12" s="92">
        <f>FORMULA!$S539</f>
        <v>0</v>
      </c>
      <c r="IC12" s="92">
        <f>FORMULA!$U539</f>
        <v>0</v>
      </c>
      <c r="ID12" s="92">
        <f>FORMULA!$W539</f>
        <v>0</v>
      </c>
      <c r="IE12" s="92">
        <f>FORMULA!$Y539</f>
        <v>0</v>
      </c>
      <c r="IF12" s="92">
        <f>FORMULA!$AA539</f>
        <v>0</v>
      </c>
      <c r="IG12" s="92">
        <f>FORMULA!$AC539</f>
        <v>0</v>
      </c>
      <c r="IH12" s="92">
        <f>FORMULA!$AE539</f>
        <v>0</v>
      </c>
      <c r="II12" s="207"/>
      <c r="IJ12" s="91">
        <f>FORMULA!$C627</f>
        <v>0</v>
      </c>
      <c r="IK12" s="92">
        <f>FORMULA!$E627</f>
        <v>0</v>
      </c>
      <c r="IL12" s="92">
        <f>FORMULA!$G627</f>
        <v>0</v>
      </c>
      <c r="IM12" s="92">
        <f>FORMULA!$I627</f>
        <v>0</v>
      </c>
      <c r="IN12" s="92">
        <f>FORMULA!$K627</f>
        <v>0</v>
      </c>
      <c r="IO12" s="92">
        <f>FORMULA!$M627</f>
        <v>0</v>
      </c>
      <c r="IP12" s="92">
        <f>FORMULA!$O627</f>
        <v>0</v>
      </c>
      <c r="IQ12" s="92">
        <f>FORMULA!$Q627</f>
        <v>0</v>
      </c>
      <c r="IR12" s="92">
        <f>FORMULA!$S627</f>
        <v>0</v>
      </c>
      <c r="IS12" s="92">
        <f>FORMULA!$U627</f>
        <v>0</v>
      </c>
      <c r="IT12" s="92">
        <f>FORMULA!$W627</f>
        <v>0</v>
      </c>
      <c r="IU12" s="92">
        <f>FORMULA!$Y627</f>
        <v>0</v>
      </c>
      <c r="IV12" s="92">
        <f>FORMULA!$AA627</f>
        <v>0</v>
      </c>
      <c r="IW12" s="92">
        <f>FORMULA!$AC627</f>
        <v>0</v>
      </c>
      <c r="IX12" s="92">
        <f>FORMULA!$AE627</f>
        <v>0</v>
      </c>
      <c r="IY12" s="208"/>
    </row>
    <row r="13" spans="1:259" outlineLevel="1">
      <c r="A13" s="260">
        <f>'VAC &amp; MED'!C14</f>
        <v>46031</v>
      </c>
      <c r="B13" s="261"/>
      <c r="C13" s="261"/>
      <c r="D13" s="261"/>
      <c r="E13" s="261"/>
      <c r="F13" s="261"/>
      <c r="G13" s="261"/>
      <c r="H13" s="261"/>
      <c r="I13" s="261"/>
      <c r="J13" s="261"/>
      <c r="K13" s="261"/>
      <c r="L13" s="261"/>
      <c r="M13" s="261"/>
      <c r="N13" s="261"/>
      <c r="O13" s="261"/>
      <c r="P13" s="261"/>
      <c r="Q13" s="261"/>
      <c r="R13" s="262"/>
      <c r="S13" s="262"/>
      <c r="T13" s="262"/>
      <c r="U13" s="262"/>
      <c r="V13" s="262"/>
      <c r="W13" s="262"/>
      <c r="X13" s="262"/>
      <c r="Y13" s="262"/>
      <c r="Z13" s="262"/>
      <c r="AA13" s="262"/>
      <c r="AB13" s="262"/>
      <c r="AC13" s="262"/>
      <c r="AD13" s="262"/>
      <c r="AE13" s="262"/>
      <c r="AF13" s="262"/>
      <c r="AG13" s="262"/>
      <c r="AH13" s="263"/>
      <c r="AI13" s="263"/>
      <c r="AJ13" s="263"/>
      <c r="AK13" s="263"/>
      <c r="AL13" s="263"/>
      <c r="AM13" s="263"/>
      <c r="AN13" s="263"/>
      <c r="AO13" s="263"/>
      <c r="AP13" s="263"/>
      <c r="AQ13" s="263"/>
      <c r="AR13" s="263"/>
      <c r="AS13" s="263"/>
      <c r="AT13" s="263"/>
      <c r="AU13" s="263"/>
      <c r="AV13" s="263"/>
      <c r="AW13" s="263"/>
      <c r="AX13" s="264"/>
      <c r="AY13" s="264"/>
      <c r="AZ13" s="264"/>
      <c r="BA13" s="264"/>
      <c r="BB13" s="264"/>
      <c r="BC13" s="264"/>
      <c r="BD13" s="264"/>
      <c r="BE13" s="264"/>
      <c r="BF13" s="264"/>
      <c r="BG13" s="264"/>
      <c r="BH13" s="264"/>
      <c r="BI13" s="264"/>
      <c r="BJ13" s="264"/>
      <c r="BK13" s="264"/>
      <c r="BL13" s="264"/>
      <c r="BM13" s="264"/>
      <c r="BN13" s="265"/>
      <c r="BO13" s="265"/>
      <c r="BP13" s="265"/>
      <c r="BQ13" s="265"/>
      <c r="BR13" s="265">
        <v>40</v>
      </c>
      <c r="BS13" s="265"/>
      <c r="BT13" s="265"/>
      <c r="BU13" s="265"/>
      <c r="BV13" s="265"/>
      <c r="BW13" s="265"/>
      <c r="BX13" s="265"/>
      <c r="BY13" s="265"/>
      <c r="BZ13" s="265"/>
      <c r="CA13" s="265"/>
      <c r="CB13" s="265"/>
      <c r="CC13" s="265"/>
      <c r="CD13" s="266"/>
      <c r="CE13" s="266"/>
      <c r="CF13" s="266"/>
      <c r="CG13" s="266"/>
      <c r="CH13" s="266"/>
      <c r="CI13" s="266"/>
      <c r="CJ13" s="266"/>
      <c r="CK13" s="266"/>
      <c r="CL13" s="266"/>
      <c r="CM13" s="266"/>
      <c r="CN13" s="266"/>
      <c r="CO13" s="266"/>
      <c r="CP13" s="266"/>
      <c r="CQ13" s="266"/>
      <c r="CR13" s="266"/>
      <c r="CS13" s="266"/>
      <c r="CT13" s="267"/>
      <c r="CU13" s="267"/>
      <c r="CV13" s="267"/>
      <c r="CW13" s="267"/>
      <c r="CX13" s="267"/>
      <c r="CY13" s="267"/>
      <c r="CZ13" s="267"/>
      <c r="DA13" s="267"/>
      <c r="DB13" s="267"/>
      <c r="DC13" s="267"/>
      <c r="DD13" s="267"/>
      <c r="DE13" s="267"/>
      <c r="DF13" s="267"/>
      <c r="DG13" s="267"/>
      <c r="DH13" s="267"/>
      <c r="DI13" s="267"/>
      <c r="DJ13" s="268"/>
      <c r="DK13" s="268"/>
      <c r="DL13" s="268"/>
      <c r="DM13" s="268"/>
      <c r="DN13" s="268"/>
      <c r="DO13" s="268"/>
      <c r="DP13" s="268"/>
      <c r="DQ13" s="268"/>
      <c r="DR13" s="268"/>
      <c r="DS13" s="268"/>
      <c r="DT13" s="268"/>
      <c r="DU13" s="268"/>
      <c r="DV13" s="268"/>
      <c r="DW13" s="268"/>
      <c r="DX13" s="268"/>
      <c r="DY13" s="268"/>
      <c r="EA13" s="20" t="str">
        <f>FORMULA!$A$12</f>
        <v>CORN GLUTEN MEAL</v>
      </c>
      <c r="EB13" s="91">
        <f>FORMULA!$C12</f>
        <v>0</v>
      </c>
      <c r="EC13" s="92">
        <f>FORMULA!$E12</f>
        <v>0</v>
      </c>
      <c r="ED13" s="92">
        <f>FORMULA!$G12</f>
        <v>0</v>
      </c>
      <c r="EE13" s="92">
        <f>FORMULA!$I12</f>
        <v>0</v>
      </c>
      <c r="EF13" s="92">
        <f>FORMULA!$K12</f>
        <v>0</v>
      </c>
      <c r="EG13" s="92">
        <f>FORMULA!$M12</f>
        <v>0</v>
      </c>
      <c r="EH13" s="92">
        <f>FORMULA!$O12</f>
        <v>0</v>
      </c>
      <c r="EI13" s="92">
        <f>FORMULA!$Q12</f>
        <v>0</v>
      </c>
      <c r="EJ13" s="92">
        <f>FORMULA!$S12</f>
        <v>0</v>
      </c>
      <c r="EK13" s="92">
        <f>FORMULA!$U12</f>
        <v>0</v>
      </c>
      <c r="EL13" s="92">
        <f>FORMULA!$W12</f>
        <v>0</v>
      </c>
      <c r="EM13" s="92">
        <f>FORMULA!$Y12</f>
        <v>0</v>
      </c>
      <c r="EN13" s="92">
        <f>FORMULA!$AA12</f>
        <v>0</v>
      </c>
      <c r="EO13" s="92">
        <f>FORMULA!$AC12</f>
        <v>0</v>
      </c>
      <c r="EP13" s="92">
        <f>FORMULA!$AE12</f>
        <v>0</v>
      </c>
      <c r="EQ13" s="108"/>
      <c r="ER13" s="91">
        <f>FORMULA!$C100</f>
        <v>25</v>
      </c>
      <c r="ES13" s="92">
        <f>FORMULA!$E100</f>
        <v>0</v>
      </c>
      <c r="ET13" s="92">
        <f>FORMULA!$G100</f>
        <v>0</v>
      </c>
      <c r="EU13" s="92">
        <f>FORMULA!$I100</f>
        <v>0</v>
      </c>
      <c r="EV13" s="92">
        <f>FORMULA!$K100</f>
        <v>0</v>
      </c>
      <c r="EW13" s="92">
        <f>FORMULA!$M100</f>
        <v>0</v>
      </c>
      <c r="EX13" s="92">
        <f>FORMULA!$O100</f>
        <v>0</v>
      </c>
      <c r="EY13" s="92">
        <f>FORMULA!$Q100</f>
        <v>0</v>
      </c>
      <c r="EZ13" s="92">
        <f>FORMULA!$S100</f>
        <v>0</v>
      </c>
      <c r="FA13" s="92">
        <f>FORMULA!$U100</f>
        <v>0</v>
      </c>
      <c r="FB13" s="92">
        <f>FORMULA!$W100</f>
        <v>0</v>
      </c>
      <c r="FC13" s="92">
        <f>FORMULA!$Y100</f>
        <v>0</v>
      </c>
      <c r="FD13" s="92">
        <f>FORMULA!$AA100</f>
        <v>0</v>
      </c>
      <c r="FE13" s="92">
        <f>FORMULA!$AC100</f>
        <v>0</v>
      </c>
      <c r="FF13" s="92">
        <f>FORMULA!$AE100</f>
        <v>0</v>
      </c>
      <c r="FG13" s="94"/>
      <c r="FH13" s="91">
        <f>FORMULA!$C188</f>
        <v>25</v>
      </c>
      <c r="FI13" s="92">
        <f>FORMULA!$E188</f>
        <v>20</v>
      </c>
      <c r="FJ13" s="92">
        <f>FORMULA!$G188</f>
        <v>0</v>
      </c>
      <c r="FK13" s="92">
        <f>FORMULA!$I188</f>
        <v>0</v>
      </c>
      <c r="FL13" s="92">
        <f>FORMULA!$K188</f>
        <v>0</v>
      </c>
      <c r="FM13" s="92">
        <f>FORMULA!$M188</f>
        <v>0</v>
      </c>
      <c r="FN13" s="92">
        <f>FORMULA!$O188</f>
        <v>0</v>
      </c>
      <c r="FO13" s="92">
        <f>FORMULA!$Q188</f>
        <v>0</v>
      </c>
      <c r="FP13" s="92">
        <f>FORMULA!$S188</f>
        <v>0</v>
      </c>
      <c r="FQ13" s="92">
        <f>FORMULA!$U188</f>
        <v>0</v>
      </c>
      <c r="FR13" s="92">
        <f>FORMULA!$W188</f>
        <v>0</v>
      </c>
      <c r="FS13" s="92">
        <f>FORMULA!$Y188</f>
        <v>0</v>
      </c>
      <c r="FT13" s="92">
        <f>FORMULA!$AA188</f>
        <v>0</v>
      </c>
      <c r="FU13" s="92">
        <f>FORMULA!$AC188</f>
        <v>0</v>
      </c>
      <c r="FV13" s="92">
        <f>FORMULA!$AE188</f>
        <v>0</v>
      </c>
      <c r="FW13" s="94"/>
      <c r="FX13" s="91">
        <f>FORMULA!$C276</f>
        <v>0</v>
      </c>
      <c r="FY13" s="92">
        <f>FORMULA!$E276</f>
        <v>0</v>
      </c>
      <c r="FZ13" s="92">
        <f>FORMULA!$G276</f>
        <v>0</v>
      </c>
      <c r="GA13" s="92">
        <f>FORMULA!$I276</f>
        <v>0</v>
      </c>
      <c r="GB13" s="92">
        <f>FORMULA!$K276</f>
        <v>0</v>
      </c>
      <c r="GC13" s="92">
        <f>FORMULA!$M276</f>
        <v>0</v>
      </c>
      <c r="GD13" s="92">
        <f>FORMULA!$O276</f>
        <v>0</v>
      </c>
      <c r="GE13" s="92">
        <f>FORMULA!$Q276</f>
        <v>0</v>
      </c>
      <c r="GF13" s="92">
        <f>FORMULA!$S276</f>
        <v>0</v>
      </c>
      <c r="GG13" s="92">
        <f>FORMULA!$U276</f>
        <v>0</v>
      </c>
      <c r="GH13" s="92">
        <f>FORMULA!$W276</f>
        <v>0</v>
      </c>
      <c r="GI13" s="92">
        <f>FORMULA!$Y276</f>
        <v>0</v>
      </c>
      <c r="GJ13" s="92">
        <f>FORMULA!$AA276</f>
        <v>0</v>
      </c>
      <c r="GK13" s="92">
        <f>FORMULA!$AC276</f>
        <v>0</v>
      </c>
      <c r="GL13" s="92">
        <f>FORMULA!$AE276</f>
        <v>0</v>
      </c>
      <c r="GM13" s="207"/>
      <c r="GN13" s="91">
        <f>FORMULA!$C364</f>
        <v>20</v>
      </c>
      <c r="GO13" s="92">
        <f>FORMULA!$E364</f>
        <v>15</v>
      </c>
      <c r="GP13" s="92">
        <f>FORMULA!$G364</f>
        <v>0</v>
      </c>
      <c r="GQ13" s="92">
        <f>FORMULA!$I364</f>
        <v>20</v>
      </c>
      <c r="GR13" s="92">
        <f>FORMULA!$K364</f>
        <v>20</v>
      </c>
      <c r="GS13" s="92">
        <f>FORMULA!$M364</f>
        <v>19.5</v>
      </c>
      <c r="GT13" s="92">
        <f>FORMULA!$O364</f>
        <v>19.5</v>
      </c>
      <c r="GU13" s="92">
        <f>FORMULA!$Q364</f>
        <v>19.5</v>
      </c>
      <c r="GV13" s="92">
        <f>FORMULA!$S364</f>
        <v>19.5</v>
      </c>
      <c r="GW13" s="92">
        <f>FORMULA!$U364</f>
        <v>19.5</v>
      </c>
      <c r="GX13" s="92">
        <f>FORMULA!$W364</f>
        <v>19.5</v>
      </c>
      <c r="GY13" s="92">
        <f>FORMULA!$Y364</f>
        <v>20</v>
      </c>
      <c r="GZ13" s="92">
        <f>FORMULA!$AA364</f>
        <v>20</v>
      </c>
      <c r="HA13" s="92">
        <f>FORMULA!$AC364</f>
        <v>19.5</v>
      </c>
      <c r="HB13" s="92">
        <f>FORMULA!$AE364</f>
        <v>19.5</v>
      </c>
      <c r="HC13" s="207"/>
      <c r="HD13" s="91">
        <f>FORMULA!$C452</f>
        <v>27.999999999999996</v>
      </c>
      <c r="HE13" s="92">
        <f>FORMULA!$E452</f>
        <v>27.999999999999996</v>
      </c>
      <c r="HF13" s="92">
        <f>FORMULA!$G452</f>
        <v>34</v>
      </c>
      <c r="HG13" s="92">
        <f>FORMULA!$I452</f>
        <v>0</v>
      </c>
      <c r="HH13" s="92">
        <f>FORMULA!$K452</f>
        <v>0</v>
      </c>
      <c r="HI13" s="92">
        <f>FORMULA!$M452</f>
        <v>0</v>
      </c>
      <c r="HJ13" s="92">
        <f>FORMULA!$O452</f>
        <v>0</v>
      </c>
      <c r="HK13" s="92">
        <f>FORMULA!$Q452</f>
        <v>0</v>
      </c>
      <c r="HL13" s="92">
        <f>FORMULA!$S452</f>
        <v>0</v>
      </c>
      <c r="HM13" s="92">
        <f>FORMULA!$U452</f>
        <v>0</v>
      </c>
      <c r="HN13" s="92">
        <f>FORMULA!$W452</f>
        <v>10</v>
      </c>
      <c r="HO13" s="92">
        <f>FORMULA!$Y452</f>
        <v>0</v>
      </c>
      <c r="HP13" s="92">
        <f>FORMULA!$AA452</f>
        <v>0</v>
      </c>
      <c r="HQ13" s="92">
        <f>FORMULA!$AC452</f>
        <v>0</v>
      </c>
      <c r="HR13" s="92">
        <f>FORMULA!$AE452</f>
        <v>0</v>
      </c>
      <c r="HS13" s="207"/>
      <c r="HT13" s="91">
        <f>FORMULA!$C540</f>
        <v>42</v>
      </c>
      <c r="HU13" s="92">
        <f>FORMULA!$E540</f>
        <v>42</v>
      </c>
      <c r="HV13" s="92">
        <f>FORMULA!$G540</f>
        <v>42</v>
      </c>
      <c r="HW13" s="92">
        <f>FORMULA!$I540</f>
        <v>0</v>
      </c>
      <c r="HX13" s="92">
        <f>FORMULA!$K540</f>
        <v>0</v>
      </c>
      <c r="HY13" s="92">
        <f>FORMULA!$M540</f>
        <v>0</v>
      </c>
      <c r="HZ13" s="92">
        <f>FORMULA!$O540</f>
        <v>0</v>
      </c>
      <c r="IA13" s="92">
        <f>FORMULA!$Q540</f>
        <v>0</v>
      </c>
      <c r="IB13" s="92">
        <f>FORMULA!$S540</f>
        <v>0</v>
      </c>
      <c r="IC13" s="92">
        <f>FORMULA!$U540</f>
        <v>0</v>
      </c>
      <c r="ID13" s="92">
        <f>FORMULA!$W540</f>
        <v>0</v>
      </c>
      <c r="IE13" s="92">
        <f>FORMULA!$Y540</f>
        <v>0</v>
      </c>
      <c r="IF13" s="92">
        <f>FORMULA!$AA540</f>
        <v>10</v>
      </c>
      <c r="IG13" s="92">
        <f>FORMULA!$AC540</f>
        <v>10</v>
      </c>
      <c r="IH13" s="92">
        <f>FORMULA!$AE540</f>
        <v>0</v>
      </c>
      <c r="II13" s="207"/>
      <c r="IJ13" s="91">
        <f>FORMULA!$C628</f>
        <v>45</v>
      </c>
      <c r="IK13" s="92">
        <f>FORMULA!$E628</f>
        <v>0</v>
      </c>
      <c r="IL13" s="92">
        <f>FORMULA!$G628</f>
        <v>45</v>
      </c>
      <c r="IM13" s="92">
        <f>FORMULA!$I628</f>
        <v>45</v>
      </c>
      <c r="IN13" s="92">
        <f>FORMULA!$K628</f>
        <v>0</v>
      </c>
      <c r="IO13" s="92">
        <f>FORMULA!$M628</f>
        <v>0</v>
      </c>
      <c r="IP13" s="92">
        <f>FORMULA!$O628</f>
        <v>0</v>
      </c>
      <c r="IQ13" s="92">
        <f>FORMULA!$Q628</f>
        <v>0</v>
      </c>
      <c r="IR13" s="92">
        <f>FORMULA!$S628</f>
        <v>0</v>
      </c>
      <c r="IS13" s="92">
        <f>FORMULA!$U628</f>
        <v>0</v>
      </c>
      <c r="IT13" s="92">
        <f>FORMULA!$W628</f>
        <v>0</v>
      </c>
      <c r="IU13" s="92">
        <f>FORMULA!$Y628</f>
        <v>0</v>
      </c>
      <c r="IV13" s="92">
        <f>FORMULA!$AA628</f>
        <v>0</v>
      </c>
      <c r="IW13" s="92">
        <f>FORMULA!$AC628</f>
        <v>0</v>
      </c>
      <c r="IX13" s="92">
        <f>FORMULA!$AE628</f>
        <v>0</v>
      </c>
      <c r="IY13" s="208"/>
    </row>
    <row r="14" spans="1:259" outlineLevel="1">
      <c r="A14" s="260">
        <f>'VAC &amp; MED'!C15</f>
        <v>46032</v>
      </c>
      <c r="B14" s="261"/>
      <c r="C14" s="261"/>
      <c r="D14" s="261"/>
      <c r="E14" s="261"/>
      <c r="F14" s="261"/>
      <c r="G14" s="261"/>
      <c r="H14" s="261"/>
      <c r="I14" s="261"/>
      <c r="J14" s="261"/>
      <c r="K14" s="261"/>
      <c r="L14" s="261"/>
      <c r="M14" s="261"/>
      <c r="N14" s="261"/>
      <c r="O14" s="261"/>
      <c r="P14" s="261"/>
      <c r="Q14" s="261"/>
      <c r="R14" s="262"/>
      <c r="S14" s="262"/>
      <c r="T14" s="262"/>
      <c r="U14" s="262"/>
      <c r="V14" s="262"/>
      <c r="W14" s="262"/>
      <c r="X14" s="262"/>
      <c r="Y14" s="262"/>
      <c r="Z14" s="262"/>
      <c r="AA14" s="262"/>
      <c r="AB14" s="262"/>
      <c r="AC14" s="262"/>
      <c r="AD14" s="262"/>
      <c r="AE14" s="262"/>
      <c r="AF14" s="262"/>
      <c r="AG14" s="262"/>
      <c r="AH14" s="263"/>
      <c r="AI14" s="263"/>
      <c r="AJ14" s="263"/>
      <c r="AK14" s="263"/>
      <c r="AL14" s="263"/>
      <c r="AM14" s="263"/>
      <c r="AN14" s="263"/>
      <c r="AO14" s="263"/>
      <c r="AP14" s="263"/>
      <c r="AQ14" s="263"/>
      <c r="AR14" s="263"/>
      <c r="AS14" s="263"/>
      <c r="AT14" s="263"/>
      <c r="AU14" s="263"/>
      <c r="AV14" s="263"/>
      <c r="AW14" s="263"/>
      <c r="AX14" s="264"/>
      <c r="AY14" s="264"/>
      <c r="AZ14" s="264"/>
      <c r="BA14" s="264"/>
      <c r="BB14" s="264"/>
      <c r="BC14" s="264"/>
      <c r="BD14" s="264"/>
      <c r="BE14" s="264"/>
      <c r="BF14" s="264"/>
      <c r="BG14" s="264"/>
      <c r="BH14" s="264"/>
      <c r="BI14" s="264"/>
      <c r="BJ14" s="264"/>
      <c r="BK14" s="264"/>
      <c r="BL14" s="264"/>
      <c r="BM14" s="264"/>
      <c r="BN14" s="265">
        <v>22</v>
      </c>
      <c r="BO14" s="265"/>
      <c r="BP14" s="265"/>
      <c r="BQ14" s="265"/>
      <c r="BR14" s="265"/>
      <c r="BS14" s="265"/>
      <c r="BT14" s="265"/>
      <c r="BU14" s="265"/>
      <c r="BV14" s="265"/>
      <c r="BW14" s="265"/>
      <c r="BX14" s="265"/>
      <c r="BY14" s="265"/>
      <c r="BZ14" s="265"/>
      <c r="CA14" s="265"/>
      <c r="CB14" s="265"/>
      <c r="CC14" s="265"/>
      <c r="CD14" s="266"/>
      <c r="CE14" s="266"/>
      <c r="CF14" s="266"/>
      <c r="CG14" s="266"/>
      <c r="CH14" s="266"/>
      <c r="CI14" s="266"/>
      <c r="CJ14" s="266"/>
      <c r="CK14" s="266"/>
      <c r="CL14" s="266"/>
      <c r="CM14" s="266"/>
      <c r="CN14" s="266"/>
      <c r="CO14" s="266"/>
      <c r="CP14" s="266"/>
      <c r="CQ14" s="266"/>
      <c r="CR14" s="266"/>
      <c r="CS14" s="266"/>
      <c r="CT14" s="267"/>
      <c r="CU14" s="267"/>
      <c r="CV14" s="267"/>
      <c r="CW14" s="267"/>
      <c r="CX14" s="267"/>
      <c r="CY14" s="267"/>
      <c r="CZ14" s="267"/>
      <c r="DA14" s="267"/>
      <c r="DB14" s="267"/>
      <c r="DC14" s="267"/>
      <c r="DD14" s="267"/>
      <c r="DE14" s="267"/>
      <c r="DF14" s="267"/>
      <c r="DG14" s="267"/>
      <c r="DH14" s="267"/>
      <c r="DI14" s="267"/>
      <c r="DJ14" s="268"/>
      <c r="DK14" s="268"/>
      <c r="DL14" s="268"/>
      <c r="DM14" s="268"/>
      <c r="DN14" s="268"/>
      <c r="DO14" s="268"/>
      <c r="DP14" s="268"/>
      <c r="DQ14" s="268"/>
      <c r="DR14" s="268"/>
      <c r="DS14" s="268"/>
      <c r="DT14" s="268"/>
      <c r="DU14" s="268"/>
      <c r="DV14" s="268"/>
      <c r="DW14" s="268"/>
      <c r="DX14" s="268"/>
      <c r="DY14" s="268"/>
      <c r="EA14" s="20" t="str">
        <f>FORMULA!$A$13</f>
        <v>MEGAFAT (HARUMI)</v>
      </c>
      <c r="EB14" s="91">
        <f>FORMULA!$C13</f>
        <v>20</v>
      </c>
      <c r="EC14" s="92">
        <f>FORMULA!$E13</f>
        <v>11.5</v>
      </c>
      <c r="ED14" s="92">
        <f>FORMULA!$G13</f>
        <v>0</v>
      </c>
      <c r="EE14" s="92">
        <f>FORMULA!$I13</f>
        <v>0</v>
      </c>
      <c r="EF14" s="92">
        <f>FORMULA!$K13</f>
        <v>0</v>
      </c>
      <c r="EG14" s="92">
        <f>FORMULA!$M13</f>
        <v>0</v>
      </c>
      <c r="EH14" s="92">
        <f>FORMULA!$O13</f>
        <v>0</v>
      </c>
      <c r="EI14" s="92">
        <f>FORMULA!$Q13</f>
        <v>0</v>
      </c>
      <c r="EJ14" s="92">
        <f>FORMULA!$S13</f>
        <v>0</v>
      </c>
      <c r="EK14" s="92">
        <f>FORMULA!$U13</f>
        <v>0</v>
      </c>
      <c r="EL14" s="92">
        <f>FORMULA!$W13</f>
        <v>0</v>
      </c>
      <c r="EM14" s="92">
        <f>FORMULA!$Y13</f>
        <v>0</v>
      </c>
      <c r="EN14" s="92">
        <f>FORMULA!$AA13</f>
        <v>0</v>
      </c>
      <c r="EO14" s="92">
        <f>FORMULA!$AC13</f>
        <v>0</v>
      </c>
      <c r="EP14" s="92">
        <f>FORMULA!$AE13</f>
        <v>0</v>
      </c>
      <c r="EQ14" s="108"/>
      <c r="ER14" s="91">
        <f>FORMULA!$C101</f>
        <v>25</v>
      </c>
      <c r="ES14" s="92">
        <f>FORMULA!$E101</f>
        <v>0</v>
      </c>
      <c r="ET14" s="92">
        <f>FORMULA!$G101</f>
        <v>0</v>
      </c>
      <c r="EU14" s="92">
        <f>FORMULA!$I101</f>
        <v>0</v>
      </c>
      <c r="EV14" s="92">
        <f>FORMULA!$K101</f>
        <v>0</v>
      </c>
      <c r="EW14" s="92">
        <f>FORMULA!$M101</f>
        <v>0</v>
      </c>
      <c r="EX14" s="92">
        <f>FORMULA!$O101</f>
        <v>0</v>
      </c>
      <c r="EY14" s="92">
        <f>FORMULA!$Q101</f>
        <v>0</v>
      </c>
      <c r="EZ14" s="92">
        <f>FORMULA!$S101</f>
        <v>0</v>
      </c>
      <c r="FA14" s="92">
        <f>FORMULA!$U101</f>
        <v>0</v>
      </c>
      <c r="FB14" s="92">
        <f>FORMULA!$W101</f>
        <v>0</v>
      </c>
      <c r="FC14" s="92">
        <f>FORMULA!$Y101</f>
        <v>0</v>
      </c>
      <c r="FD14" s="92">
        <f>FORMULA!$AA101</f>
        <v>0</v>
      </c>
      <c r="FE14" s="92">
        <f>FORMULA!$AC101</f>
        <v>0</v>
      </c>
      <c r="FF14" s="92">
        <f>FORMULA!$AE101</f>
        <v>0</v>
      </c>
      <c r="FG14" s="94"/>
      <c r="FH14" s="91">
        <f>FORMULA!$C189</f>
        <v>25</v>
      </c>
      <c r="FI14" s="92">
        <f>FORMULA!$E189</f>
        <v>27.000000000000004</v>
      </c>
      <c r="FJ14" s="92">
        <f>FORMULA!$G189</f>
        <v>0</v>
      </c>
      <c r="FK14" s="92">
        <f>FORMULA!$I189</f>
        <v>0</v>
      </c>
      <c r="FL14" s="92">
        <f>FORMULA!$K189</f>
        <v>0</v>
      </c>
      <c r="FM14" s="92">
        <f>FORMULA!$M189</f>
        <v>0</v>
      </c>
      <c r="FN14" s="92">
        <f>FORMULA!$O189</f>
        <v>0</v>
      </c>
      <c r="FO14" s="92">
        <f>FORMULA!$Q189</f>
        <v>0</v>
      </c>
      <c r="FP14" s="92">
        <f>FORMULA!$S189</f>
        <v>0</v>
      </c>
      <c r="FQ14" s="92">
        <f>FORMULA!$U189</f>
        <v>0</v>
      </c>
      <c r="FR14" s="92">
        <f>FORMULA!$W189</f>
        <v>0</v>
      </c>
      <c r="FS14" s="92">
        <f>FORMULA!$Y189</f>
        <v>0</v>
      </c>
      <c r="FT14" s="92">
        <f>FORMULA!$AA189</f>
        <v>0</v>
      </c>
      <c r="FU14" s="92">
        <f>FORMULA!$AC189</f>
        <v>0</v>
      </c>
      <c r="FV14" s="92">
        <f>FORMULA!$AE189</f>
        <v>0</v>
      </c>
      <c r="FW14" s="94"/>
      <c r="FX14" s="91">
        <f>FORMULA!$C277</f>
        <v>0</v>
      </c>
      <c r="FY14" s="92">
        <f>FORMULA!$E277</f>
        <v>0</v>
      </c>
      <c r="FZ14" s="92">
        <f>FORMULA!$G277</f>
        <v>0</v>
      </c>
      <c r="GA14" s="92">
        <f>FORMULA!$I277</f>
        <v>0</v>
      </c>
      <c r="GB14" s="92">
        <f>FORMULA!$K277</f>
        <v>0</v>
      </c>
      <c r="GC14" s="92">
        <f>FORMULA!$M277</f>
        <v>0</v>
      </c>
      <c r="GD14" s="92">
        <f>FORMULA!$O277</f>
        <v>0</v>
      </c>
      <c r="GE14" s="92">
        <f>FORMULA!$Q277</f>
        <v>0</v>
      </c>
      <c r="GF14" s="92">
        <f>FORMULA!$S277</f>
        <v>0</v>
      </c>
      <c r="GG14" s="92">
        <f>FORMULA!$U277</f>
        <v>0</v>
      </c>
      <c r="GH14" s="92">
        <f>FORMULA!$W277</f>
        <v>0</v>
      </c>
      <c r="GI14" s="92">
        <f>FORMULA!$Y277</f>
        <v>0</v>
      </c>
      <c r="GJ14" s="92">
        <f>FORMULA!$AA277</f>
        <v>0</v>
      </c>
      <c r="GK14" s="92">
        <f>FORMULA!$AC277</f>
        <v>0</v>
      </c>
      <c r="GL14" s="92">
        <f>FORMULA!$AE277</f>
        <v>0</v>
      </c>
      <c r="GM14" s="207"/>
      <c r="GN14" s="91">
        <f>FORMULA!$C365</f>
        <v>13.000000000000002</v>
      </c>
      <c r="GO14" s="92">
        <f>FORMULA!$E365</f>
        <v>10</v>
      </c>
      <c r="GP14" s="92">
        <f>FORMULA!$G365</f>
        <v>0</v>
      </c>
      <c r="GQ14" s="92">
        <f>FORMULA!$I365</f>
        <v>20</v>
      </c>
      <c r="GR14" s="92">
        <f>FORMULA!$K365</f>
        <v>20</v>
      </c>
      <c r="GS14" s="92">
        <f>FORMULA!$M365</f>
        <v>23.5</v>
      </c>
      <c r="GT14" s="92">
        <f>FORMULA!$O365</f>
        <v>23.5</v>
      </c>
      <c r="GU14" s="92">
        <f>FORMULA!$Q365</f>
        <v>23.5</v>
      </c>
      <c r="GV14" s="92">
        <f>FORMULA!$S365</f>
        <v>23.5</v>
      </c>
      <c r="GW14" s="92">
        <f>FORMULA!$U365</f>
        <v>23.5</v>
      </c>
      <c r="GX14" s="92">
        <f>FORMULA!$W365</f>
        <v>23.5</v>
      </c>
      <c r="GY14" s="92">
        <f>FORMULA!$Y365</f>
        <v>15</v>
      </c>
      <c r="GZ14" s="92">
        <f>FORMULA!$AA365</f>
        <v>15</v>
      </c>
      <c r="HA14" s="92">
        <f>FORMULA!$AC365</f>
        <v>23.5</v>
      </c>
      <c r="HB14" s="92">
        <f>FORMULA!$AE365</f>
        <v>23.5</v>
      </c>
      <c r="HC14" s="207"/>
      <c r="HD14" s="91">
        <f>FORMULA!$C453</f>
        <v>15</v>
      </c>
      <c r="HE14" s="92">
        <f>FORMULA!$E453</f>
        <v>15</v>
      </c>
      <c r="HF14" s="92">
        <f>FORMULA!$G453</f>
        <v>14.664999999999999</v>
      </c>
      <c r="HG14" s="92">
        <f>FORMULA!$I453</f>
        <v>0</v>
      </c>
      <c r="HH14" s="92">
        <f>FORMULA!$K453</f>
        <v>0</v>
      </c>
      <c r="HI14" s="92">
        <f>FORMULA!$M453</f>
        <v>0</v>
      </c>
      <c r="HJ14" s="92">
        <f>FORMULA!$O453</f>
        <v>0</v>
      </c>
      <c r="HK14" s="92">
        <f>FORMULA!$Q453</f>
        <v>0</v>
      </c>
      <c r="HL14" s="92">
        <f>FORMULA!$S453</f>
        <v>0</v>
      </c>
      <c r="HM14" s="92">
        <f>FORMULA!$U453</f>
        <v>13.000000000000002</v>
      </c>
      <c r="HN14" s="92">
        <f>FORMULA!$W453</f>
        <v>23</v>
      </c>
      <c r="HO14" s="92">
        <f>FORMULA!$Y453</f>
        <v>0</v>
      </c>
      <c r="HP14" s="92">
        <f>FORMULA!$AA453</f>
        <v>0</v>
      </c>
      <c r="HQ14" s="92">
        <f>FORMULA!$AC453</f>
        <v>0</v>
      </c>
      <c r="HR14" s="92">
        <f>FORMULA!$AE453</f>
        <v>0</v>
      </c>
      <c r="HS14" s="207"/>
      <c r="HT14" s="91">
        <f>FORMULA!$C541</f>
        <v>20</v>
      </c>
      <c r="HU14" s="92">
        <f>FORMULA!$E541</f>
        <v>20</v>
      </c>
      <c r="HV14" s="92">
        <f>FORMULA!$G541</f>
        <v>20</v>
      </c>
      <c r="HW14" s="92">
        <f>FORMULA!$I541</f>
        <v>0</v>
      </c>
      <c r="HX14" s="92">
        <f>FORMULA!$K541</f>
        <v>0</v>
      </c>
      <c r="HY14" s="92">
        <f>FORMULA!$M541</f>
        <v>0</v>
      </c>
      <c r="HZ14" s="92">
        <f>FORMULA!$O541</f>
        <v>0</v>
      </c>
      <c r="IA14" s="92">
        <f>FORMULA!$Q541</f>
        <v>0</v>
      </c>
      <c r="IB14" s="92">
        <f>FORMULA!$S541</f>
        <v>0</v>
      </c>
      <c r="IC14" s="92">
        <f>FORMULA!$U541</f>
        <v>5</v>
      </c>
      <c r="ID14" s="92">
        <f>FORMULA!$W541</f>
        <v>5</v>
      </c>
      <c r="IE14" s="92">
        <f>FORMULA!$Y541</f>
        <v>0</v>
      </c>
      <c r="IF14" s="92">
        <f>FORMULA!$AA541</f>
        <v>5</v>
      </c>
      <c r="IG14" s="92">
        <f>FORMULA!$AC541</f>
        <v>5</v>
      </c>
      <c r="IH14" s="92">
        <f>FORMULA!$AE541</f>
        <v>0</v>
      </c>
      <c r="II14" s="207"/>
      <c r="IJ14" s="91">
        <f>FORMULA!$C629</f>
        <v>19.5</v>
      </c>
      <c r="IK14" s="92">
        <f>FORMULA!$E629</f>
        <v>25</v>
      </c>
      <c r="IL14" s="92">
        <f>FORMULA!$G629</f>
        <v>19.5</v>
      </c>
      <c r="IM14" s="92">
        <f>FORMULA!$I629</f>
        <v>19.5</v>
      </c>
      <c r="IN14" s="92">
        <f>FORMULA!$K629</f>
        <v>0</v>
      </c>
      <c r="IO14" s="92">
        <f>FORMULA!$M629</f>
        <v>0</v>
      </c>
      <c r="IP14" s="92">
        <f>FORMULA!$O629</f>
        <v>0</v>
      </c>
      <c r="IQ14" s="92">
        <f>FORMULA!$Q629</f>
        <v>0</v>
      </c>
      <c r="IR14" s="92">
        <f>FORMULA!$S629</f>
        <v>0</v>
      </c>
      <c r="IS14" s="92">
        <f>FORMULA!$U629</f>
        <v>0</v>
      </c>
      <c r="IT14" s="92">
        <f>FORMULA!$W629</f>
        <v>0</v>
      </c>
      <c r="IU14" s="92">
        <f>FORMULA!$Y629</f>
        <v>0</v>
      </c>
      <c r="IV14" s="92">
        <f>FORMULA!$AA629</f>
        <v>0</v>
      </c>
      <c r="IW14" s="92">
        <f>FORMULA!$AC629</f>
        <v>0</v>
      </c>
      <c r="IX14" s="92">
        <f>FORMULA!$AE629</f>
        <v>0</v>
      </c>
      <c r="IY14" s="208"/>
    </row>
    <row r="15" spans="1:259" outlineLevel="1">
      <c r="A15" s="260">
        <f>'VAC &amp; MED'!C16</f>
        <v>46033</v>
      </c>
      <c r="B15" s="261"/>
      <c r="C15" s="261"/>
      <c r="D15" s="261"/>
      <c r="E15" s="261"/>
      <c r="F15" s="261"/>
      <c r="G15" s="261"/>
      <c r="H15" s="261"/>
      <c r="I15" s="261"/>
      <c r="J15" s="261"/>
      <c r="K15" s="261"/>
      <c r="L15" s="261"/>
      <c r="M15" s="261"/>
      <c r="N15" s="261"/>
      <c r="O15" s="261"/>
      <c r="P15" s="261"/>
      <c r="Q15" s="261"/>
      <c r="R15" s="262"/>
      <c r="S15" s="262"/>
      <c r="T15" s="262"/>
      <c r="U15" s="262"/>
      <c r="V15" s="262"/>
      <c r="W15" s="262"/>
      <c r="X15" s="262"/>
      <c r="Y15" s="262"/>
      <c r="Z15" s="262"/>
      <c r="AA15" s="262"/>
      <c r="AB15" s="262"/>
      <c r="AC15" s="262"/>
      <c r="AD15" s="262"/>
      <c r="AE15" s="262"/>
      <c r="AF15" s="262"/>
      <c r="AG15" s="262"/>
      <c r="AH15" s="263"/>
      <c r="AI15" s="263"/>
      <c r="AJ15" s="263"/>
      <c r="AK15" s="263"/>
      <c r="AL15" s="263"/>
      <c r="AM15" s="263"/>
      <c r="AN15" s="263"/>
      <c r="AO15" s="263"/>
      <c r="AP15" s="263"/>
      <c r="AQ15" s="263"/>
      <c r="AR15" s="263"/>
      <c r="AS15" s="263"/>
      <c r="AT15" s="263"/>
      <c r="AU15" s="263"/>
      <c r="AV15" s="263"/>
      <c r="AW15" s="263"/>
      <c r="AX15" s="264"/>
      <c r="AY15" s="264"/>
      <c r="AZ15" s="264"/>
      <c r="BA15" s="264"/>
      <c r="BB15" s="264"/>
      <c r="BC15" s="264"/>
      <c r="BD15" s="264"/>
      <c r="BE15" s="264"/>
      <c r="BF15" s="264"/>
      <c r="BG15" s="264"/>
      <c r="BH15" s="264"/>
      <c r="BI15" s="264"/>
      <c r="BJ15" s="264"/>
      <c r="BK15" s="264"/>
      <c r="BL15" s="264"/>
      <c r="BM15" s="264"/>
      <c r="BN15" s="265"/>
      <c r="BO15" s="265"/>
      <c r="BP15" s="265"/>
      <c r="BQ15" s="265"/>
      <c r="BR15" s="265"/>
      <c r="BS15" s="265"/>
      <c r="BT15" s="265"/>
      <c r="BU15" s="265"/>
      <c r="BV15" s="265"/>
      <c r="BW15" s="265"/>
      <c r="BX15" s="265"/>
      <c r="BY15" s="265"/>
      <c r="BZ15" s="265"/>
      <c r="CA15" s="265"/>
      <c r="CB15" s="265"/>
      <c r="CC15" s="265"/>
      <c r="CD15" s="266"/>
      <c r="CE15" s="266"/>
      <c r="CF15" s="266"/>
      <c r="CG15" s="266"/>
      <c r="CH15" s="266"/>
      <c r="CI15" s="266"/>
      <c r="CJ15" s="266"/>
      <c r="CK15" s="266"/>
      <c r="CL15" s="266"/>
      <c r="CM15" s="266"/>
      <c r="CN15" s="266"/>
      <c r="CO15" s="266"/>
      <c r="CP15" s="266"/>
      <c r="CQ15" s="266"/>
      <c r="CR15" s="266"/>
      <c r="CS15" s="266"/>
      <c r="CT15" s="267"/>
      <c r="CU15" s="267"/>
      <c r="CV15" s="267"/>
      <c r="CW15" s="267"/>
      <c r="CX15" s="267"/>
      <c r="CY15" s="267"/>
      <c r="CZ15" s="267"/>
      <c r="DA15" s="267"/>
      <c r="DB15" s="267"/>
      <c r="DC15" s="267"/>
      <c r="DD15" s="267"/>
      <c r="DE15" s="267"/>
      <c r="DF15" s="267"/>
      <c r="DG15" s="267"/>
      <c r="DH15" s="267"/>
      <c r="DI15" s="267"/>
      <c r="DJ15" s="268"/>
      <c r="DK15" s="268"/>
      <c r="DL15" s="268"/>
      <c r="DM15" s="268"/>
      <c r="DN15" s="268"/>
      <c r="DO15" s="268"/>
      <c r="DP15" s="268"/>
      <c r="DQ15" s="268"/>
      <c r="DR15" s="268"/>
      <c r="DS15" s="268"/>
      <c r="DT15" s="268"/>
      <c r="DU15" s="268"/>
      <c r="DV15" s="268"/>
      <c r="DW15" s="268"/>
      <c r="DX15" s="268"/>
      <c r="DY15" s="268"/>
      <c r="EA15" s="20" t="str">
        <f>FORMULA!$A$14</f>
        <v>DCP 18%</v>
      </c>
      <c r="EB15" s="91">
        <f>FORMULA!$C14</f>
        <v>2.2500000000000004</v>
      </c>
      <c r="EC15" s="92">
        <f>FORMULA!$E14</f>
        <v>0</v>
      </c>
      <c r="ED15" s="92">
        <f>FORMULA!$G14</f>
        <v>0</v>
      </c>
      <c r="EE15" s="92">
        <f>FORMULA!$I14</f>
        <v>0</v>
      </c>
      <c r="EF15" s="92">
        <f>FORMULA!$K14</f>
        <v>0</v>
      </c>
      <c r="EG15" s="92">
        <f>FORMULA!$M14</f>
        <v>0</v>
      </c>
      <c r="EH15" s="92">
        <f>FORMULA!$O14</f>
        <v>0</v>
      </c>
      <c r="EI15" s="92">
        <f>FORMULA!$Q14</f>
        <v>0</v>
      </c>
      <c r="EJ15" s="92">
        <f>FORMULA!$S14</f>
        <v>0</v>
      </c>
      <c r="EK15" s="92">
        <f>FORMULA!$U14</f>
        <v>0</v>
      </c>
      <c r="EL15" s="92">
        <f>FORMULA!$W14</f>
        <v>0</v>
      </c>
      <c r="EM15" s="92">
        <f>FORMULA!$Y14</f>
        <v>0</v>
      </c>
      <c r="EN15" s="92">
        <f>FORMULA!$AA14</f>
        <v>0</v>
      </c>
      <c r="EO15" s="92">
        <f>FORMULA!$AC14</f>
        <v>0</v>
      </c>
      <c r="EP15" s="92">
        <f>FORMULA!$AE14</f>
        <v>0</v>
      </c>
      <c r="EQ15" s="108"/>
      <c r="ER15" s="91">
        <f>FORMULA!$C102</f>
        <v>0</v>
      </c>
      <c r="ES15" s="92">
        <f>FORMULA!$E102</f>
        <v>0</v>
      </c>
      <c r="ET15" s="92">
        <f>FORMULA!$G102</f>
        <v>0</v>
      </c>
      <c r="EU15" s="92">
        <f>FORMULA!$I102</f>
        <v>0</v>
      </c>
      <c r="EV15" s="92">
        <f>FORMULA!$K102</f>
        <v>0</v>
      </c>
      <c r="EW15" s="92">
        <f>FORMULA!$M102</f>
        <v>0</v>
      </c>
      <c r="EX15" s="92">
        <f>FORMULA!$O102</f>
        <v>0</v>
      </c>
      <c r="EY15" s="92">
        <f>FORMULA!$Q102</f>
        <v>0</v>
      </c>
      <c r="EZ15" s="92">
        <f>FORMULA!$S102</f>
        <v>0</v>
      </c>
      <c r="FA15" s="92">
        <f>FORMULA!$U102</f>
        <v>0</v>
      </c>
      <c r="FB15" s="92">
        <f>FORMULA!$W102</f>
        <v>0</v>
      </c>
      <c r="FC15" s="92">
        <f>FORMULA!$Y102</f>
        <v>0</v>
      </c>
      <c r="FD15" s="92">
        <f>FORMULA!$AA102</f>
        <v>0</v>
      </c>
      <c r="FE15" s="92">
        <f>FORMULA!$AC102</f>
        <v>0</v>
      </c>
      <c r="FF15" s="92">
        <f>FORMULA!$AE102</f>
        <v>0</v>
      </c>
      <c r="FG15" s="94"/>
      <c r="FH15" s="91">
        <f>FORMULA!$C190</f>
        <v>0</v>
      </c>
      <c r="FI15" s="92">
        <f>FORMULA!$E190</f>
        <v>0</v>
      </c>
      <c r="FJ15" s="92">
        <f>FORMULA!$G190</f>
        <v>0</v>
      </c>
      <c r="FK15" s="92">
        <f>FORMULA!$I190</f>
        <v>0</v>
      </c>
      <c r="FL15" s="92">
        <f>FORMULA!$K190</f>
        <v>0</v>
      </c>
      <c r="FM15" s="92">
        <f>FORMULA!$M190</f>
        <v>0</v>
      </c>
      <c r="FN15" s="92">
        <f>FORMULA!$O190</f>
        <v>0</v>
      </c>
      <c r="FO15" s="92">
        <f>FORMULA!$Q190</f>
        <v>0</v>
      </c>
      <c r="FP15" s="92">
        <f>FORMULA!$S190</f>
        <v>0</v>
      </c>
      <c r="FQ15" s="92">
        <f>FORMULA!$U190</f>
        <v>0</v>
      </c>
      <c r="FR15" s="92">
        <f>FORMULA!$W190</f>
        <v>0</v>
      </c>
      <c r="FS15" s="92">
        <f>FORMULA!$Y190</f>
        <v>0</v>
      </c>
      <c r="FT15" s="92">
        <f>FORMULA!$AA190</f>
        <v>0</v>
      </c>
      <c r="FU15" s="92">
        <f>FORMULA!$AC190</f>
        <v>0</v>
      </c>
      <c r="FV15" s="92">
        <f>FORMULA!$AE190</f>
        <v>0</v>
      </c>
      <c r="FW15" s="94"/>
      <c r="FX15" s="91">
        <f>FORMULA!$C278</f>
        <v>0</v>
      </c>
      <c r="FY15" s="92">
        <f>FORMULA!$E278</f>
        <v>0</v>
      </c>
      <c r="FZ15" s="92">
        <f>FORMULA!$G278</f>
        <v>0</v>
      </c>
      <c r="GA15" s="92">
        <f>FORMULA!$I278</f>
        <v>0</v>
      </c>
      <c r="GB15" s="92">
        <f>FORMULA!$K278</f>
        <v>0</v>
      </c>
      <c r="GC15" s="92">
        <f>FORMULA!$M278</f>
        <v>0</v>
      </c>
      <c r="GD15" s="92">
        <f>FORMULA!$O278</f>
        <v>0</v>
      </c>
      <c r="GE15" s="92">
        <f>FORMULA!$Q278</f>
        <v>0</v>
      </c>
      <c r="GF15" s="92">
        <f>FORMULA!$S278</f>
        <v>0</v>
      </c>
      <c r="GG15" s="92">
        <f>FORMULA!$U278</f>
        <v>0</v>
      </c>
      <c r="GH15" s="92">
        <f>FORMULA!$W278</f>
        <v>0</v>
      </c>
      <c r="GI15" s="92">
        <f>FORMULA!$Y278</f>
        <v>0</v>
      </c>
      <c r="GJ15" s="92">
        <f>FORMULA!$AA278</f>
        <v>0</v>
      </c>
      <c r="GK15" s="92">
        <f>FORMULA!$AC278</f>
        <v>0</v>
      </c>
      <c r="GL15" s="92">
        <f>FORMULA!$AE278</f>
        <v>0</v>
      </c>
      <c r="GM15" s="207"/>
      <c r="GN15" s="91">
        <f>FORMULA!$C366</f>
        <v>1.5</v>
      </c>
      <c r="GO15" s="92">
        <f>FORMULA!$E366</f>
        <v>1.5</v>
      </c>
      <c r="GP15" s="92">
        <f>FORMULA!$G366</f>
        <v>0</v>
      </c>
      <c r="GQ15" s="92">
        <f>FORMULA!$I366</f>
        <v>0</v>
      </c>
      <c r="GR15" s="92">
        <f>FORMULA!$K366</f>
        <v>0</v>
      </c>
      <c r="GS15" s="92">
        <f>FORMULA!$M366</f>
        <v>0</v>
      </c>
      <c r="GT15" s="92">
        <f>FORMULA!$O366</f>
        <v>0</v>
      </c>
      <c r="GU15" s="92">
        <f>FORMULA!$Q366</f>
        <v>0</v>
      </c>
      <c r="GV15" s="92">
        <f>FORMULA!$S366</f>
        <v>0</v>
      </c>
      <c r="GW15" s="92">
        <f>FORMULA!$U366</f>
        <v>0</v>
      </c>
      <c r="GX15" s="92">
        <f>FORMULA!$W366</f>
        <v>0</v>
      </c>
      <c r="GY15" s="92">
        <f>FORMULA!$Y366</f>
        <v>0</v>
      </c>
      <c r="GZ15" s="92">
        <f>FORMULA!$AA366</f>
        <v>0</v>
      </c>
      <c r="HA15" s="92">
        <f>FORMULA!$AC366</f>
        <v>0</v>
      </c>
      <c r="HB15" s="92">
        <f>FORMULA!$AE366</f>
        <v>0</v>
      </c>
      <c r="HC15" s="207"/>
      <c r="HD15" s="91">
        <f>FORMULA!$C454</f>
        <v>4.5000000000000009</v>
      </c>
      <c r="HE15" s="92">
        <f>FORMULA!$E454</f>
        <v>4.5000000000000009</v>
      </c>
      <c r="HF15" s="92">
        <f>FORMULA!$G454</f>
        <v>4</v>
      </c>
      <c r="HG15" s="92">
        <f>FORMULA!$I454</f>
        <v>0</v>
      </c>
      <c r="HH15" s="92">
        <f>FORMULA!$K454</f>
        <v>0</v>
      </c>
      <c r="HI15" s="92">
        <f>FORMULA!$M454</f>
        <v>0</v>
      </c>
      <c r="HJ15" s="92">
        <f>FORMULA!$O454</f>
        <v>0</v>
      </c>
      <c r="HK15" s="92">
        <f>FORMULA!$Q454</f>
        <v>0</v>
      </c>
      <c r="HL15" s="92">
        <f>FORMULA!$S454</f>
        <v>0</v>
      </c>
      <c r="HM15" s="92">
        <f>FORMULA!$U454</f>
        <v>0</v>
      </c>
      <c r="HN15" s="92">
        <f>FORMULA!$W454</f>
        <v>0</v>
      </c>
      <c r="HO15" s="92">
        <f>FORMULA!$Y454</f>
        <v>0</v>
      </c>
      <c r="HP15" s="92">
        <f>FORMULA!$AA454</f>
        <v>0</v>
      </c>
      <c r="HQ15" s="92">
        <f>FORMULA!$AC454</f>
        <v>0</v>
      </c>
      <c r="HR15" s="92">
        <f>FORMULA!$AE454</f>
        <v>0</v>
      </c>
      <c r="HS15" s="207"/>
      <c r="HT15" s="91">
        <f>FORMULA!$C542</f>
        <v>6.65</v>
      </c>
      <c r="HU15" s="92">
        <f>FORMULA!$E542</f>
        <v>6.65</v>
      </c>
      <c r="HV15" s="92">
        <f>FORMULA!$G542</f>
        <v>6.65</v>
      </c>
      <c r="HW15" s="92">
        <f>FORMULA!$I542</f>
        <v>0</v>
      </c>
      <c r="HX15" s="92">
        <f>FORMULA!$K542</f>
        <v>0</v>
      </c>
      <c r="HY15" s="92">
        <f>FORMULA!$M542</f>
        <v>0</v>
      </c>
      <c r="HZ15" s="92">
        <f>FORMULA!$O542</f>
        <v>11.775</v>
      </c>
      <c r="IA15" s="92">
        <f>FORMULA!$Q542</f>
        <v>11.775</v>
      </c>
      <c r="IB15" s="92">
        <f>FORMULA!$S542</f>
        <v>0</v>
      </c>
      <c r="IC15" s="92">
        <f>FORMULA!$U542</f>
        <v>7.3550000000000004</v>
      </c>
      <c r="ID15" s="92">
        <f>FORMULA!$W542</f>
        <v>7.3550000000000004</v>
      </c>
      <c r="IE15" s="92">
        <f>FORMULA!$Y542</f>
        <v>0</v>
      </c>
      <c r="IF15" s="92">
        <f>FORMULA!$AA542</f>
        <v>4.3049999999999997</v>
      </c>
      <c r="IG15" s="92">
        <f>FORMULA!$AC542</f>
        <v>4.3049999999999997</v>
      </c>
      <c r="IH15" s="92">
        <f>FORMULA!$AE542</f>
        <v>0</v>
      </c>
      <c r="II15" s="207"/>
      <c r="IJ15" s="91">
        <f>FORMULA!$C630</f>
        <v>5.5000000000000009</v>
      </c>
      <c r="IK15" s="92">
        <f>FORMULA!$E630</f>
        <v>5.5000000000000009</v>
      </c>
      <c r="IL15" s="92">
        <f>FORMULA!$G630</f>
        <v>5.5000000000000009</v>
      </c>
      <c r="IM15" s="92">
        <f>FORMULA!$I630</f>
        <v>5.5000000000000009</v>
      </c>
      <c r="IN15" s="92">
        <f>FORMULA!$K630</f>
        <v>0</v>
      </c>
      <c r="IO15" s="92">
        <f>FORMULA!$M630</f>
        <v>0</v>
      </c>
      <c r="IP15" s="92">
        <f>FORMULA!$O630</f>
        <v>0</v>
      </c>
      <c r="IQ15" s="92">
        <f>FORMULA!$Q630</f>
        <v>0</v>
      </c>
      <c r="IR15" s="92">
        <f>FORMULA!$S630</f>
        <v>0</v>
      </c>
      <c r="IS15" s="92">
        <f>FORMULA!$U630</f>
        <v>0</v>
      </c>
      <c r="IT15" s="92">
        <f>FORMULA!$W630</f>
        <v>0</v>
      </c>
      <c r="IU15" s="92">
        <f>FORMULA!$Y630</f>
        <v>0</v>
      </c>
      <c r="IV15" s="92">
        <f>FORMULA!$AA630</f>
        <v>0</v>
      </c>
      <c r="IW15" s="92">
        <f>FORMULA!$AC630</f>
        <v>0</v>
      </c>
      <c r="IX15" s="92">
        <f>FORMULA!$AE630</f>
        <v>0</v>
      </c>
      <c r="IY15" s="208"/>
    </row>
    <row r="16" spans="1:259" outlineLevel="1">
      <c r="A16" s="260">
        <f>'VAC &amp; MED'!C17</f>
        <v>46034</v>
      </c>
      <c r="B16" s="261"/>
      <c r="C16" s="261"/>
      <c r="D16" s="261"/>
      <c r="E16" s="261"/>
      <c r="F16" s="261"/>
      <c r="G16" s="261"/>
      <c r="H16" s="261"/>
      <c r="I16" s="261"/>
      <c r="J16" s="261"/>
      <c r="K16" s="261"/>
      <c r="L16" s="261"/>
      <c r="M16" s="261"/>
      <c r="N16" s="261"/>
      <c r="O16" s="261"/>
      <c r="P16" s="261"/>
      <c r="Q16" s="261"/>
      <c r="R16" s="262"/>
      <c r="S16" s="262"/>
      <c r="T16" s="262"/>
      <c r="U16" s="262"/>
      <c r="V16" s="262"/>
      <c r="W16" s="262"/>
      <c r="X16" s="262"/>
      <c r="Y16" s="262"/>
      <c r="Z16" s="262"/>
      <c r="AA16" s="262"/>
      <c r="AB16" s="262"/>
      <c r="AC16" s="262"/>
      <c r="AD16" s="262"/>
      <c r="AE16" s="262"/>
      <c r="AF16" s="262"/>
      <c r="AG16" s="262"/>
      <c r="AH16" s="263">
        <v>30</v>
      </c>
      <c r="AI16" s="263"/>
      <c r="AJ16" s="263"/>
      <c r="AK16" s="263"/>
      <c r="AL16" s="263"/>
      <c r="AM16" s="263"/>
      <c r="AN16" s="263"/>
      <c r="AO16" s="263"/>
      <c r="AP16" s="263"/>
      <c r="AQ16" s="263"/>
      <c r="AR16" s="263"/>
      <c r="AS16" s="263"/>
      <c r="AT16" s="263"/>
      <c r="AU16" s="263"/>
      <c r="AV16" s="263"/>
      <c r="AW16" s="263"/>
      <c r="AX16" s="264"/>
      <c r="AY16" s="264"/>
      <c r="AZ16" s="264"/>
      <c r="BA16" s="264"/>
      <c r="BB16" s="264"/>
      <c r="BC16" s="264"/>
      <c r="BD16" s="264"/>
      <c r="BE16" s="264"/>
      <c r="BF16" s="264"/>
      <c r="BG16" s="264"/>
      <c r="BH16" s="264"/>
      <c r="BI16" s="264"/>
      <c r="BJ16" s="264"/>
      <c r="BK16" s="264"/>
      <c r="BL16" s="264"/>
      <c r="BM16" s="264"/>
      <c r="BN16" s="265"/>
      <c r="BO16" s="265"/>
      <c r="BP16" s="265"/>
      <c r="BQ16" s="265"/>
      <c r="BR16" s="265">
        <v>26</v>
      </c>
      <c r="BS16" s="265"/>
      <c r="BT16" s="265"/>
      <c r="BU16" s="265"/>
      <c r="BV16" s="265"/>
      <c r="BW16" s="265"/>
      <c r="BX16" s="265"/>
      <c r="BY16" s="265">
        <v>20</v>
      </c>
      <c r="BZ16" s="265"/>
      <c r="CA16" s="265"/>
      <c r="CB16" s="265"/>
      <c r="CC16" s="265"/>
      <c r="CD16" s="266"/>
      <c r="CE16" s="266"/>
      <c r="CF16" s="266"/>
      <c r="CG16" s="266"/>
      <c r="CH16" s="266"/>
      <c r="CI16" s="266"/>
      <c r="CJ16" s="266"/>
      <c r="CK16" s="266"/>
      <c r="CL16" s="266"/>
      <c r="CM16" s="266"/>
      <c r="CN16" s="266"/>
      <c r="CO16" s="266"/>
      <c r="CP16" s="266"/>
      <c r="CQ16" s="266"/>
      <c r="CR16" s="266"/>
      <c r="CS16" s="266"/>
      <c r="CT16" s="267"/>
      <c r="CU16" s="267"/>
      <c r="CV16" s="267"/>
      <c r="CW16" s="267"/>
      <c r="CX16" s="267"/>
      <c r="CY16" s="267"/>
      <c r="CZ16" s="267"/>
      <c r="DA16" s="267"/>
      <c r="DB16" s="267"/>
      <c r="DC16" s="267"/>
      <c r="DD16" s="267"/>
      <c r="DE16" s="267"/>
      <c r="DF16" s="267"/>
      <c r="DG16" s="267"/>
      <c r="DH16" s="267"/>
      <c r="DI16" s="267"/>
      <c r="DJ16" s="268"/>
      <c r="DK16" s="268"/>
      <c r="DL16" s="268"/>
      <c r="DM16" s="268"/>
      <c r="DN16" s="268"/>
      <c r="DO16" s="268"/>
      <c r="DP16" s="268"/>
      <c r="DQ16" s="268"/>
      <c r="DR16" s="268"/>
      <c r="DS16" s="268"/>
      <c r="DT16" s="268"/>
      <c r="DU16" s="268"/>
      <c r="DV16" s="268"/>
      <c r="DW16" s="268"/>
      <c r="DX16" s="268"/>
      <c r="DY16" s="268"/>
      <c r="EA16" s="20" t="str">
        <f>FORMULA!$A$15</f>
        <v>LIMESTONE POWDER (HARUMI)</v>
      </c>
      <c r="EB16" s="91">
        <f>FORMULA!$C15</f>
        <v>0.9</v>
      </c>
      <c r="EC16" s="92">
        <f>FORMULA!$E15</f>
        <v>0</v>
      </c>
      <c r="ED16" s="92">
        <f>FORMULA!$G15</f>
        <v>0</v>
      </c>
      <c r="EE16" s="92">
        <f>FORMULA!$I15</f>
        <v>0</v>
      </c>
      <c r="EF16" s="92">
        <f>FORMULA!$K15</f>
        <v>0</v>
      </c>
      <c r="EG16" s="92">
        <f>FORMULA!$M15</f>
        <v>0</v>
      </c>
      <c r="EH16" s="92">
        <f>FORMULA!$O15</f>
        <v>0</v>
      </c>
      <c r="EI16" s="92">
        <f>FORMULA!$Q15</f>
        <v>0</v>
      </c>
      <c r="EJ16" s="92">
        <f>FORMULA!$S15</f>
        <v>0</v>
      </c>
      <c r="EK16" s="92">
        <f>FORMULA!$U15</f>
        <v>0</v>
      </c>
      <c r="EL16" s="92">
        <f>FORMULA!$W15</f>
        <v>0</v>
      </c>
      <c r="EM16" s="92">
        <f>FORMULA!$Y15</f>
        <v>0</v>
      </c>
      <c r="EN16" s="92">
        <f>FORMULA!$AA15</f>
        <v>0</v>
      </c>
      <c r="EO16" s="92">
        <f>FORMULA!$AC15</f>
        <v>0</v>
      </c>
      <c r="EP16" s="92">
        <f>FORMULA!$AE15</f>
        <v>0</v>
      </c>
      <c r="EQ16" s="108"/>
      <c r="ER16" s="91">
        <f>FORMULA!$C103</f>
        <v>5</v>
      </c>
      <c r="ES16" s="92">
        <f>FORMULA!$E103</f>
        <v>0</v>
      </c>
      <c r="ET16" s="92">
        <f>FORMULA!$G103</f>
        <v>0</v>
      </c>
      <c r="EU16" s="92">
        <f>FORMULA!$I103</f>
        <v>0</v>
      </c>
      <c r="EV16" s="92">
        <f>FORMULA!$K103</f>
        <v>0</v>
      </c>
      <c r="EW16" s="92">
        <f>FORMULA!$M103</f>
        <v>0</v>
      </c>
      <c r="EX16" s="92">
        <f>FORMULA!$O103</f>
        <v>0</v>
      </c>
      <c r="EY16" s="92">
        <f>FORMULA!$Q103</f>
        <v>0</v>
      </c>
      <c r="EZ16" s="92">
        <f>FORMULA!$S103</f>
        <v>0</v>
      </c>
      <c r="FA16" s="92">
        <f>FORMULA!$U103</f>
        <v>0</v>
      </c>
      <c r="FB16" s="92">
        <f>FORMULA!$W103</f>
        <v>0</v>
      </c>
      <c r="FC16" s="92">
        <f>FORMULA!$Y103</f>
        <v>0</v>
      </c>
      <c r="FD16" s="92">
        <f>FORMULA!$AA103</f>
        <v>0</v>
      </c>
      <c r="FE16" s="92">
        <f>FORMULA!$AC103</f>
        <v>0</v>
      </c>
      <c r="FF16" s="92">
        <f>FORMULA!$AE103</f>
        <v>0</v>
      </c>
      <c r="FG16" s="94"/>
      <c r="FH16" s="91">
        <f>FORMULA!$C191</f>
        <v>0</v>
      </c>
      <c r="FI16" s="92">
        <f>FORMULA!$E191</f>
        <v>0.25</v>
      </c>
      <c r="FJ16" s="92">
        <f>FORMULA!$G191</f>
        <v>0</v>
      </c>
      <c r="FK16" s="92">
        <f>FORMULA!$I191</f>
        <v>0</v>
      </c>
      <c r="FL16" s="92">
        <f>FORMULA!$K191</f>
        <v>0</v>
      </c>
      <c r="FM16" s="92">
        <f>FORMULA!$M191</f>
        <v>0</v>
      </c>
      <c r="FN16" s="92">
        <f>FORMULA!$O191</f>
        <v>0</v>
      </c>
      <c r="FO16" s="92">
        <f>FORMULA!$Q191</f>
        <v>0</v>
      </c>
      <c r="FP16" s="92">
        <f>FORMULA!$S191</f>
        <v>0</v>
      </c>
      <c r="FQ16" s="92">
        <f>FORMULA!$U191</f>
        <v>0</v>
      </c>
      <c r="FR16" s="92">
        <f>FORMULA!$W191</f>
        <v>0</v>
      </c>
      <c r="FS16" s="92">
        <f>FORMULA!$Y191</f>
        <v>0</v>
      </c>
      <c r="FT16" s="92">
        <f>FORMULA!$AA191</f>
        <v>0</v>
      </c>
      <c r="FU16" s="92">
        <f>FORMULA!$AC191</f>
        <v>0</v>
      </c>
      <c r="FV16" s="92">
        <f>FORMULA!$AE191</f>
        <v>0</v>
      </c>
      <c r="FW16" s="94"/>
      <c r="FX16" s="91">
        <f>FORMULA!$C279</f>
        <v>0</v>
      </c>
      <c r="FY16" s="92">
        <f>FORMULA!$E279</f>
        <v>0</v>
      </c>
      <c r="FZ16" s="92">
        <f>FORMULA!$G279</f>
        <v>0</v>
      </c>
      <c r="GA16" s="92">
        <f>FORMULA!$I279</f>
        <v>0</v>
      </c>
      <c r="GB16" s="92">
        <f>FORMULA!$K279</f>
        <v>0</v>
      </c>
      <c r="GC16" s="92">
        <f>FORMULA!$M279</f>
        <v>0</v>
      </c>
      <c r="GD16" s="92">
        <f>FORMULA!$O279</f>
        <v>0</v>
      </c>
      <c r="GE16" s="92">
        <f>FORMULA!$Q279</f>
        <v>0</v>
      </c>
      <c r="GF16" s="92">
        <f>FORMULA!$S279</f>
        <v>0</v>
      </c>
      <c r="GG16" s="92">
        <f>FORMULA!$U279</f>
        <v>0</v>
      </c>
      <c r="GH16" s="92">
        <f>FORMULA!$W279</f>
        <v>0</v>
      </c>
      <c r="GI16" s="92">
        <f>FORMULA!$Y279</f>
        <v>0</v>
      </c>
      <c r="GJ16" s="92">
        <f>FORMULA!$AA279</f>
        <v>0</v>
      </c>
      <c r="GK16" s="92">
        <f>FORMULA!$AC279</f>
        <v>0</v>
      </c>
      <c r="GL16" s="92">
        <f>FORMULA!$AE279</f>
        <v>0</v>
      </c>
      <c r="GM16" s="207"/>
      <c r="GN16" s="91">
        <f>FORMULA!$C367</f>
        <v>5.9</v>
      </c>
      <c r="GO16" s="92">
        <f>FORMULA!$E367</f>
        <v>6.0799999999999992</v>
      </c>
      <c r="GP16" s="92">
        <f>FORMULA!$G367</f>
        <v>0</v>
      </c>
      <c r="GQ16" s="92">
        <f>FORMULA!$I367</f>
        <v>0</v>
      </c>
      <c r="GR16" s="92">
        <f>FORMULA!$K367</f>
        <v>0</v>
      </c>
      <c r="GS16" s="92">
        <f>FORMULA!$M367</f>
        <v>6.42</v>
      </c>
      <c r="GT16" s="92">
        <f>FORMULA!$O367</f>
        <v>6.42</v>
      </c>
      <c r="GU16" s="92">
        <f>FORMULA!$Q367</f>
        <v>6.42</v>
      </c>
      <c r="GV16" s="92">
        <f>FORMULA!$S367</f>
        <v>6.42</v>
      </c>
      <c r="GW16" s="92">
        <f>FORMULA!$U367</f>
        <v>6.42</v>
      </c>
      <c r="GX16" s="92">
        <f>FORMULA!$W367</f>
        <v>6.42</v>
      </c>
      <c r="GY16" s="92">
        <f>FORMULA!$Y367</f>
        <v>0</v>
      </c>
      <c r="GZ16" s="92">
        <f>FORMULA!$AA367</f>
        <v>0</v>
      </c>
      <c r="HA16" s="92">
        <f>FORMULA!$AC367</f>
        <v>6.42</v>
      </c>
      <c r="HB16" s="92">
        <f>FORMULA!$AE367</f>
        <v>6.42</v>
      </c>
      <c r="HC16" s="207"/>
      <c r="HD16" s="91">
        <f>FORMULA!$C455</f>
        <v>6.9999999999999991</v>
      </c>
      <c r="HE16" s="92">
        <f>FORMULA!$E455</f>
        <v>6.9999999999999991</v>
      </c>
      <c r="HF16" s="92">
        <f>FORMULA!$G455</f>
        <v>6.9999999999999991</v>
      </c>
      <c r="HG16" s="92">
        <f>FORMULA!$I455</f>
        <v>0</v>
      </c>
      <c r="HH16" s="92">
        <f>FORMULA!$K455</f>
        <v>0</v>
      </c>
      <c r="HI16" s="92">
        <f>FORMULA!$M455</f>
        <v>0</v>
      </c>
      <c r="HJ16" s="92">
        <f>FORMULA!$O455</f>
        <v>0</v>
      </c>
      <c r="HK16" s="92">
        <f>FORMULA!$Q455</f>
        <v>0</v>
      </c>
      <c r="HL16" s="92">
        <f>FORMULA!$S455</f>
        <v>0</v>
      </c>
      <c r="HM16" s="92">
        <f>FORMULA!$U455</f>
        <v>0</v>
      </c>
      <c r="HN16" s="92">
        <f>FORMULA!$W455</f>
        <v>0</v>
      </c>
      <c r="HO16" s="92">
        <f>FORMULA!$Y455</f>
        <v>0</v>
      </c>
      <c r="HP16" s="92">
        <f>FORMULA!$AA455</f>
        <v>0</v>
      </c>
      <c r="HQ16" s="92">
        <f>FORMULA!$AC455</f>
        <v>0</v>
      </c>
      <c r="HR16" s="92">
        <f>FORMULA!$AE455</f>
        <v>0</v>
      </c>
      <c r="HS16" s="207"/>
      <c r="HT16" s="91">
        <f>FORMULA!$C543</f>
        <v>10</v>
      </c>
      <c r="HU16" s="92">
        <f>FORMULA!$E543</f>
        <v>10</v>
      </c>
      <c r="HV16" s="92">
        <f>FORMULA!$G543</f>
        <v>10</v>
      </c>
      <c r="HW16" s="92">
        <f>FORMULA!$I543</f>
        <v>0</v>
      </c>
      <c r="HX16" s="92">
        <f>FORMULA!$K543</f>
        <v>0</v>
      </c>
      <c r="HY16" s="92">
        <f>FORMULA!$M543</f>
        <v>0</v>
      </c>
      <c r="HZ16" s="92">
        <f>FORMULA!$O543</f>
        <v>0</v>
      </c>
      <c r="IA16" s="92">
        <f>FORMULA!$Q543</f>
        <v>0</v>
      </c>
      <c r="IB16" s="92">
        <f>FORMULA!$S543</f>
        <v>0</v>
      </c>
      <c r="IC16" s="92">
        <f>FORMULA!$U543</f>
        <v>0</v>
      </c>
      <c r="ID16" s="92">
        <f>FORMULA!$W543</f>
        <v>0</v>
      </c>
      <c r="IE16" s="92">
        <f>FORMULA!$Y543</f>
        <v>0</v>
      </c>
      <c r="IF16" s="92">
        <f>FORMULA!$AA543</f>
        <v>0</v>
      </c>
      <c r="IG16" s="92">
        <f>FORMULA!$AC543</f>
        <v>0</v>
      </c>
      <c r="IH16" s="92">
        <f>FORMULA!$AE543</f>
        <v>0</v>
      </c>
      <c r="II16" s="207"/>
      <c r="IJ16" s="91">
        <f>FORMULA!$C631</f>
        <v>9.0000000000000018</v>
      </c>
      <c r="IK16" s="92">
        <f>FORMULA!$E631</f>
        <v>9.0000000000000018</v>
      </c>
      <c r="IL16" s="92">
        <f>FORMULA!$G631</f>
        <v>9.0000000000000018</v>
      </c>
      <c r="IM16" s="92">
        <f>FORMULA!$I631</f>
        <v>9.0000000000000018</v>
      </c>
      <c r="IN16" s="92">
        <f>FORMULA!$K631</f>
        <v>0</v>
      </c>
      <c r="IO16" s="92">
        <f>FORMULA!$M631</f>
        <v>0</v>
      </c>
      <c r="IP16" s="92">
        <f>FORMULA!$O631</f>
        <v>0</v>
      </c>
      <c r="IQ16" s="92">
        <f>FORMULA!$Q631</f>
        <v>0</v>
      </c>
      <c r="IR16" s="92">
        <f>FORMULA!$S631</f>
        <v>0</v>
      </c>
      <c r="IS16" s="92">
        <f>FORMULA!$U631</f>
        <v>0</v>
      </c>
      <c r="IT16" s="92">
        <f>FORMULA!$W631</f>
        <v>0</v>
      </c>
      <c r="IU16" s="92">
        <f>FORMULA!$Y631</f>
        <v>0</v>
      </c>
      <c r="IV16" s="92">
        <f>FORMULA!$AA631</f>
        <v>0</v>
      </c>
      <c r="IW16" s="92">
        <f>FORMULA!$AC631</f>
        <v>0</v>
      </c>
      <c r="IX16" s="92">
        <f>FORMULA!$AE631</f>
        <v>0</v>
      </c>
      <c r="IY16" s="208"/>
    </row>
    <row r="17" spans="1:259" outlineLevel="1">
      <c r="A17" s="260">
        <f>'VAC &amp; MED'!C18</f>
        <v>46035</v>
      </c>
      <c r="B17" s="261"/>
      <c r="C17" s="261"/>
      <c r="D17" s="261"/>
      <c r="E17" s="261"/>
      <c r="F17" s="261"/>
      <c r="G17" s="261"/>
      <c r="H17" s="261"/>
      <c r="I17" s="261"/>
      <c r="J17" s="261"/>
      <c r="K17" s="261"/>
      <c r="L17" s="261"/>
      <c r="M17" s="261"/>
      <c r="N17" s="261"/>
      <c r="O17" s="261"/>
      <c r="P17" s="261"/>
      <c r="Q17" s="261"/>
      <c r="R17" s="262"/>
      <c r="S17" s="262"/>
      <c r="T17" s="262"/>
      <c r="U17" s="262"/>
      <c r="V17" s="262"/>
      <c r="W17" s="262"/>
      <c r="X17" s="262"/>
      <c r="Y17" s="262"/>
      <c r="Z17" s="262"/>
      <c r="AA17" s="262"/>
      <c r="AB17" s="262"/>
      <c r="AC17" s="262"/>
      <c r="AD17" s="262"/>
      <c r="AE17" s="262"/>
      <c r="AF17" s="262"/>
      <c r="AG17" s="262"/>
      <c r="AH17" s="263">
        <v>56</v>
      </c>
      <c r="AI17" s="263"/>
      <c r="AJ17" s="263"/>
      <c r="AK17" s="263"/>
      <c r="AL17" s="263"/>
      <c r="AM17" s="263"/>
      <c r="AN17" s="263"/>
      <c r="AO17" s="263"/>
      <c r="AP17" s="263"/>
      <c r="AQ17" s="263"/>
      <c r="AR17" s="263"/>
      <c r="AS17" s="263"/>
      <c r="AT17" s="263"/>
      <c r="AU17" s="263"/>
      <c r="AV17" s="263"/>
      <c r="AW17" s="263"/>
      <c r="AX17" s="264"/>
      <c r="AY17" s="264"/>
      <c r="AZ17" s="264"/>
      <c r="BA17" s="264"/>
      <c r="BB17" s="264"/>
      <c r="BC17" s="264"/>
      <c r="BD17" s="264"/>
      <c r="BE17" s="264"/>
      <c r="BF17" s="264"/>
      <c r="BG17" s="264"/>
      <c r="BH17" s="264"/>
      <c r="BI17" s="264"/>
      <c r="BJ17" s="264"/>
      <c r="BK17" s="264"/>
      <c r="BL17" s="264"/>
      <c r="BM17" s="264"/>
      <c r="BN17" s="265"/>
      <c r="BO17" s="265"/>
      <c r="BP17" s="265"/>
      <c r="BQ17" s="265"/>
      <c r="BR17" s="265">
        <v>28</v>
      </c>
      <c r="BS17" s="265"/>
      <c r="BT17" s="265"/>
      <c r="BU17" s="265"/>
      <c r="BV17" s="265"/>
      <c r="BW17" s="265"/>
      <c r="BX17" s="265"/>
      <c r="BY17" s="265"/>
      <c r="BZ17" s="265"/>
      <c r="CA17" s="265"/>
      <c r="CB17" s="265"/>
      <c r="CC17" s="265"/>
      <c r="CD17" s="266"/>
      <c r="CE17" s="266"/>
      <c r="CF17" s="266"/>
      <c r="CG17" s="266"/>
      <c r="CH17" s="266"/>
      <c r="CI17" s="266"/>
      <c r="CJ17" s="266"/>
      <c r="CK17" s="266"/>
      <c r="CL17" s="266"/>
      <c r="CM17" s="266"/>
      <c r="CN17" s="266"/>
      <c r="CO17" s="266"/>
      <c r="CP17" s="266"/>
      <c r="CQ17" s="266"/>
      <c r="CR17" s="266"/>
      <c r="CS17" s="266"/>
      <c r="CT17" s="267"/>
      <c r="CU17" s="267"/>
      <c r="CV17" s="267"/>
      <c r="CW17" s="267"/>
      <c r="CX17" s="267"/>
      <c r="CY17" s="267"/>
      <c r="CZ17" s="267"/>
      <c r="DA17" s="267"/>
      <c r="DB17" s="267"/>
      <c r="DC17" s="267"/>
      <c r="DD17" s="267"/>
      <c r="DE17" s="267"/>
      <c r="DF17" s="267"/>
      <c r="DG17" s="267"/>
      <c r="DH17" s="267"/>
      <c r="DI17" s="267"/>
      <c r="DJ17" s="268"/>
      <c r="DK17" s="268"/>
      <c r="DL17" s="268"/>
      <c r="DM17" s="268"/>
      <c r="DN17" s="268"/>
      <c r="DO17" s="268"/>
      <c r="DP17" s="268"/>
      <c r="DQ17" s="268"/>
      <c r="DR17" s="268"/>
      <c r="DS17" s="268"/>
      <c r="DT17" s="268"/>
      <c r="DU17" s="268"/>
      <c r="DV17" s="268"/>
      <c r="DW17" s="268"/>
      <c r="DX17" s="268"/>
      <c r="DY17" s="268"/>
      <c r="EA17" s="20" t="str">
        <f>FORMULA!$A$16</f>
        <v>CHOLINE CHLORIDE 60%</v>
      </c>
      <c r="EB17" s="91">
        <f>FORMULA!$C16</f>
        <v>0</v>
      </c>
      <c r="EC17" s="92">
        <f>FORMULA!$E16</f>
        <v>0</v>
      </c>
      <c r="ED17" s="92">
        <f>FORMULA!$G16</f>
        <v>0</v>
      </c>
      <c r="EE17" s="92">
        <f>FORMULA!$I16</f>
        <v>0</v>
      </c>
      <c r="EF17" s="92">
        <f>FORMULA!$K16</f>
        <v>0</v>
      </c>
      <c r="EG17" s="92">
        <f>FORMULA!$M16</f>
        <v>0</v>
      </c>
      <c r="EH17" s="92">
        <f>FORMULA!$O16</f>
        <v>0</v>
      </c>
      <c r="EI17" s="92">
        <f>FORMULA!$Q16</f>
        <v>0</v>
      </c>
      <c r="EJ17" s="92">
        <f>FORMULA!$S16</f>
        <v>0</v>
      </c>
      <c r="EK17" s="92">
        <f>FORMULA!$U16</f>
        <v>0</v>
      </c>
      <c r="EL17" s="92">
        <f>FORMULA!$W16</f>
        <v>0</v>
      </c>
      <c r="EM17" s="92">
        <f>FORMULA!$Y16</f>
        <v>0</v>
      </c>
      <c r="EN17" s="92">
        <f>FORMULA!$AA16</f>
        <v>0</v>
      </c>
      <c r="EO17" s="92">
        <f>FORMULA!$AC16</f>
        <v>0</v>
      </c>
      <c r="EP17" s="92">
        <f>FORMULA!$AE16</f>
        <v>0</v>
      </c>
      <c r="EQ17" s="108"/>
      <c r="ER17" s="91">
        <f>FORMULA!$C104</f>
        <v>0</v>
      </c>
      <c r="ES17" s="92">
        <f>FORMULA!$E104</f>
        <v>0</v>
      </c>
      <c r="ET17" s="92">
        <f>FORMULA!$G104</f>
        <v>0</v>
      </c>
      <c r="EU17" s="92">
        <f>FORMULA!$I104</f>
        <v>0</v>
      </c>
      <c r="EV17" s="92">
        <f>FORMULA!$K104</f>
        <v>0</v>
      </c>
      <c r="EW17" s="92">
        <f>FORMULA!$M104</f>
        <v>0</v>
      </c>
      <c r="EX17" s="92">
        <f>FORMULA!$O104</f>
        <v>0</v>
      </c>
      <c r="EY17" s="92">
        <f>FORMULA!$Q104</f>
        <v>0</v>
      </c>
      <c r="EZ17" s="92">
        <f>FORMULA!$S104</f>
        <v>0</v>
      </c>
      <c r="FA17" s="92">
        <f>FORMULA!$U104</f>
        <v>0</v>
      </c>
      <c r="FB17" s="92">
        <f>FORMULA!$W104</f>
        <v>0</v>
      </c>
      <c r="FC17" s="92">
        <f>FORMULA!$Y104</f>
        <v>0</v>
      </c>
      <c r="FD17" s="92">
        <f>FORMULA!$AA104</f>
        <v>0</v>
      </c>
      <c r="FE17" s="92">
        <f>FORMULA!$AC104</f>
        <v>0</v>
      </c>
      <c r="FF17" s="92">
        <f>FORMULA!$AE104</f>
        <v>0</v>
      </c>
      <c r="FG17" s="94"/>
      <c r="FH17" s="91">
        <f>FORMULA!$C192</f>
        <v>0</v>
      </c>
      <c r="FI17" s="92">
        <f>FORMULA!$E192</f>
        <v>0</v>
      </c>
      <c r="FJ17" s="92">
        <f>FORMULA!$G192</f>
        <v>0</v>
      </c>
      <c r="FK17" s="92">
        <f>FORMULA!$I192</f>
        <v>0</v>
      </c>
      <c r="FL17" s="92">
        <f>FORMULA!$K192</f>
        <v>0</v>
      </c>
      <c r="FM17" s="92">
        <f>FORMULA!$M192</f>
        <v>0</v>
      </c>
      <c r="FN17" s="92">
        <f>FORMULA!$O192</f>
        <v>0</v>
      </c>
      <c r="FO17" s="92">
        <f>FORMULA!$Q192</f>
        <v>0</v>
      </c>
      <c r="FP17" s="92">
        <f>FORMULA!$S192</f>
        <v>0</v>
      </c>
      <c r="FQ17" s="92">
        <f>FORMULA!$U192</f>
        <v>0</v>
      </c>
      <c r="FR17" s="92">
        <f>FORMULA!$W192</f>
        <v>0</v>
      </c>
      <c r="FS17" s="92">
        <f>FORMULA!$Y192</f>
        <v>0</v>
      </c>
      <c r="FT17" s="92">
        <f>FORMULA!$AA192</f>
        <v>0</v>
      </c>
      <c r="FU17" s="92">
        <f>FORMULA!$AC192</f>
        <v>0</v>
      </c>
      <c r="FV17" s="92">
        <f>FORMULA!$AE192</f>
        <v>0</v>
      </c>
      <c r="FW17" s="94"/>
      <c r="FX17" s="91">
        <f>FORMULA!$C280</f>
        <v>0</v>
      </c>
      <c r="FY17" s="92">
        <f>FORMULA!$E280</f>
        <v>0</v>
      </c>
      <c r="FZ17" s="92">
        <f>FORMULA!$G280</f>
        <v>0</v>
      </c>
      <c r="GA17" s="92">
        <f>FORMULA!$I280</f>
        <v>0</v>
      </c>
      <c r="GB17" s="92">
        <f>FORMULA!$K280</f>
        <v>0</v>
      </c>
      <c r="GC17" s="92">
        <f>FORMULA!$M280</f>
        <v>0</v>
      </c>
      <c r="GD17" s="92">
        <f>FORMULA!$O280</f>
        <v>0</v>
      </c>
      <c r="GE17" s="92">
        <f>FORMULA!$Q280</f>
        <v>0</v>
      </c>
      <c r="GF17" s="92">
        <f>FORMULA!$S280</f>
        <v>0</v>
      </c>
      <c r="GG17" s="92">
        <f>FORMULA!$U280</f>
        <v>0</v>
      </c>
      <c r="GH17" s="92">
        <f>FORMULA!$W280</f>
        <v>0</v>
      </c>
      <c r="GI17" s="92">
        <f>FORMULA!$Y280</f>
        <v>0</v>
      </c>
      <c r="GJ17" s="92">
        <f>FORMULA!$AA280</f>
        <v>0</v>
      </c>
      <c r="GK17" s="92">
        <f>FORMULA!$AC280</f>
        <v>0</v>
      </c>
      <c r="GL17" s="92">
        <f>FORMULA!$AE280</f>
        <v>0</v>
      </c>
      <c r="GM17" s="207"/>
      <c r="GN17" s="91">
        <f>FORMULA!$C368</f>
        <v>0</v>
      </c>
      <c r="GO17" s="92">
        <f>FORMULA!$E368</f>
        <v>0</v>
      </c>
      <c r="GP17" s="92">
        <f>FORMULA!$G368</f>
        <v>0</v>
      </c>
      <c r="GQ17" s="92">
        <f>FORMULA!$I368</f>
        <v>0</v>
      </c>
      <c r="GR17" s="92">
        <f>FORMULA!$K368</f>
        <v>0</v>
      </c>
      <c r="GS17" s="92">
        <f>FORMULA!$M368</f>
        <v>0</v>
      </c>
      <c r="GT17" s="92">
        <f>FORMULA!$O368</f>
        <v>0</v>
      </c>
      <c r="GU17" s="92">
        <f>FORMULA!$Q368</f>
        <v>0</v>
      </c>
      <c r="GV17" s="92">
        <f>FORMULA!$S368</f>
        <v>0</v>
      </c>
      <c r="GW17" s="92">
        <f>FORMULA!$U368</f>
        <v>0</v>
      </c>
      <c r="GX17" s="92">
        <f>FORMULA!$W368</f>
        <v>0</v>
      </c>
      <c r="GY17" s="92">
        <f>FORMULA!$Y368</f>
        <v>0</v>
      </c>
      <c r="GZ17" s="92">
        <f>FORMULA!$AA368</f>
        <v>0</v>
      </c>
      <c r="HA17" s="92">
        <f>FORMULA!$AC368</f>
        <v>0</v>
      </c>
      <c r="HB17" s="92">
        <f>FORMULA!$AE368</f>
        <v>0</v>
      </c>
      <c r="HC17" s="207"/>
      <c r="HD17" s="91">
        <f>FORMULA!$C456</f>
        <v>0</v>
      </c>
      <c r="HE17" s="92">
        <f>FORMULA!$E456</f>
        <v>0</v>
      </c>
      <c r="HF17" s="92">
        <f>FORMULA!$G456</f>
        <v>0</v>
      </c>
      <c r="HG17" s="92">
        <f>FORMULA!$I456</f>
        <v>0</v>
      </c>
      <c r="HH17" s="92">
        <f>FORMULA!$K456</f>
        <v>0</v>
      </c>
      <c r="HI17" s="92">
        <f>FORMULA!$M456</f>
        <v>0</v>
      </c>
      <c r="HJ17" s="92">
        <f>FORMULA!$O456</f>
        <v>0</v>
      </c>
      <c r="HK17" s="92">
        <f>FORMULA!$Q456</f>
        <v>0</v>
      </c>
      <c r="HL17" s="92">
        <f>FORMULA!$S456</f>
        <v>0</v>
      </c>
      <c r="HM17" s="92">
        <f>FORMULA!$U456</f>
        <v>0</v>
      </c>
      <c r="HN17" s="92">
        <f>FORMULA!$W456</f>
        <v>0</v>
      </c>
      <c r="HO17" s="92">
        <f>FORMULA!$Y456</f>
        <v>0</v>
      </c>
      <c r="HP17" s="92">
        <f>FORMULA!$AA456</f>
        <v>0</v>
      </c>
      <c r="HQ17" s="92">
        <f>FORMULA!$AC456</f>
        <v>0</v>
      </c>
      <c r="HR17" s="92">
        <f>FORMULA!$AE456</f>
        <v>0</v>
      </c>
      <c r="HS17" s="207"/>
      <c r="HT17" s="91">
        <f>FORMULA!$C544</f>
        <v>0</v>
      </c>
      <c r="HU17" s="92">
        <f>FORMULA!$E544</f>
        <v>0</v>
      </c>
      <c r="HV17" s="92">
        <f>FORMULA!$G544</f>
        <v>0</v>
      </c>
      <c r="HW17" s="92">
        <f>FORMULA!$I544</f>
        <v>0</v>
      </c>
      <c r="HX17" s="92">
        <f>FORMULA!$K544</f>
        <v>0</v>
      </c>
      <c r="HY17" s="92">
        <f>FORMULA!$M544</f>
        <v>0</v>
      </c>
      <c r="HZ17" s="92">
        <f>FORMULA!$O544</f>
        <v>0</v>
      </c>
      <c r="IA17" s="92">
        <f>FORMULA!$Q544</f>
        <v>0</v>
      </c>
      <c r="IB17" s="92">
        <f>FORMULA!$S544</f>
        <v>0</v>
      </c>
      <c r="IC17" s="92">
        <f>FORMULA!$U544</f>
        <v>0</v>
      </c>
      <c r="ID17" s="92">
        <f>FORMULA!$W544</f>
        <v>0</v>
      </c>
      <c r="IE17" s="92">
        <f>FORMULA!$Y544</f>
        <v>0</v>
      </c>
      <c r="IF17" s="92">
        <f>FORMULA!$AA544</f>
        <v>0</v>
      </c>
      <c r="IG17" s="92">
        <f>FORMULA!$AC544</f>
        <v>0</v>
      </c>
      <c r="IH17" s="92">
        <f>FORMULA!$AE544</f>
        <v>0</v>
      </c>
      <c r="II17" s="207"/>
      <c r="IJ17" s="91">
        <f>FORMULA!$C632</f>
        <v>0</v>
      </c>
      <c r="IK17" s="92">
        <f>FORMULA!$E632</f>
        <v>0</v>
      </c>
      <c r="IL17" s="92">
        <f>FORMULA!$G632</f>
        <v>0</v>
      </c>
      <c r="IM17" s="92">
        <f>FORMULA!$I632</f>
        <v>0</v>
      </c>
      <c r="IN17" s="92">
        <f>FORMULA!$K632</f>
        <v>0</v>
      </c>
      <c r="IO17" s="92">
        <f>FORMULA!$M632</f>
        <v>0</v>
      </c>
      <c r="IP17" s="92">
        <f>FORMULA!$O632</f>
        <v>0</v>
      </c>
      <c r="IQ17" s="92">
        <f>FORMULA!$Q632</f>
        <v>0</v>
      </c>
      <c r="IR17" s="92">
        <f>FORMULA!$S632</f>
        <v>0</v>
      </c>
      <c r="IS17" s="92">
        <f>FORMULA!$U632</f>
        <v>0</v>
      </c>
      <c r="IT17" s="92">
        <f>FORMULA!$W632</f>
        <v>0</v>
      </c>
      <c r="IU17" s="92">
        <f>FORMULA!$Y632</f>
        <v>0</v>
      </c>
      <c r="IV17" s="92">
        <f>FORMULA!$AA632</f>
        <v>0</v>
      </c>
      <c r="IW17" s="92">
        <f>FORMULA!$AC632</f>
        <v>0</v>
      </c>
      <c r="IX17" s="92">
        <f>FORMULA!$AE632</f>
        <v>0</v>
      </c>
      <c r="IY17" s="208"/>
    </row>
    <row r="18" spans="1:259" outlineLevel="1">
      <c r="A18" s="260">
        <f>'VAC &amp; MED'!C19</f>
        <v>46036</v>
      </c>
      <c r="B18" s="261"/>
      <c r="C18" s="261"/>
      <c r="D18" s="261"/>
      <c r="E18" s="261"/>
      <c r="F18" s="261"/>
      <c r="G18" s="261"/>
      <c r="H18" s="261"/>
      <c r="I18" s="261"/>
      <c r="J18" s="261"/>
      <c r="K18" s="261"/>
      <c r="L18" s="261"/>
      <c r="M18" s="261"/>
      <c r="N18" s="261"/>
      <c r="O18" s="261"/>
      <c r="P18" s="261"/>
      <c r="Q18" s="261"/>
      <c r="R18" s="262"/>
      <c r="S18" s="262"/>
      <c r="T18" s="262"/>
      <c r="U18" s="262"/>
      <c r="V18" s="262"/>
      <c r="W18" s="262"/>
      <c r="X18" s="262"/>
      <c r="Y18" s="262"/>
      <c r="Z18" s="262"/>
      <c r="AA18" s="262"/>
      <c r="AB18" s="262"/>
      <c r="AC18" s="262"/>
      <c r="AD18" s="262"/>
      <c r="AE18" s="262"/>
      <c r="AF18" s="262"/>
      <c r="AG18" s="262"/>
      <c r="AH18" s="263"/>
      <c r="AI18" s="263"/>
      <c r="AJ18" s="263"/>
      <c r="AK18" s="263"/>
      <c r="AL18" s="263"/>
      <c r="AM18" s="263"/>
      <c r="AN18" s="263"/>
      <c r="AO18" s="263"/>
      <c r="AP18" s="263"/>
      <c r="AQ18" s="263"/>
      <c r="AR18" s="263"/>
      <c r="AS18" s="263"/>
      <c r="AT18" s="263"/>
      <c r="AU18" s="263"/>
      <c r="AV18" s="263"/>
      <c r="AW18" s="263"/>
      <c r="AX18" s="264"/>
      <c r="AY18" s="264"/>
      <c r="AZ18" s="264"/>
      <c r="BA18" s="264"/>
      <c r="BB18" s="264"/>
      <c r="BC18" s="264"/>
      <c r="BD18" s="264"/>
      <c r="BE18" s="264"/>
      <c r="BF18" s="264"/>
      <c r="BG18" s="264"/>
      <c r="BH18" s="264"/>
      <c r="BI18" s="264"/>
      <c r="BJ18" s="264"/>
      <c r="BK18" s="264"/>
      <c r="BL18" s="264"/>
      <c r="BM18" s="264"/>
      <c r="BN18" s="265"/>
      <c r="BO18" s="265"/>
      <c r="BP18" s="265"/>
      <c r="BQ18" s="265"/>
      <c r="BR18" s="265"/>
      <c r="BS18" s="265"/>
      <c r="BT18" s="265"/>
      <c r="BU18" s="265"/>
      <c r="BV18" s="265"/>
      <c r="BW18" s="265"/>
      <c r="BX18" s="265"/>
      <c r="BY18" s="265"/>
      <c r="BZ18" s="265"/>
      <c r="CA18" s="265"/>
      <c r="CB18" s="265"/>
      <c r="CC18" s="265"/>
      <c r="CD18" s="266"/>
      <c r="CE18" s="266"/>
      <c r="CF18" s="266"/>
      <c r="CG18" s="266"/>
      <c r="CH18" s="266"/>
      <c r="CI18" s="266"/>
      <c r="CJ18" s="266"/>
      <c r="CK18" s="266"/>
      <c r="CL18" s="266"/>
      <c r="CM18" s="266"/>
      <c r="CN18" s="266"/>
      <c r="CO18" s="266"/>
      <c r="CP18" s="266"/>
      <c r="CQ18" s="266"/>
      <c r="CR18" s="266"/>
      <c r="CS18" s="266"/>
      <c r="CT18" s="267"/>
      <c r="CU18" s="267"/>
      <c r="CV18" s="267"/>
      <c r="CW18" s="267"/>
      <c r="CX18" s="267"/>
      <c r="CY18" s="267"/>
      <c r="CZ18" s="267"/>
      <c r="DA18" s="267"/>
      <c r="DB18" s="267"/>
      <c r="DC18" s="267"/>
      <c r="DD18" s="267"/>
      <c r="DE18" s="267"/>
      <c r="DF18" s="267"/>
      <c r="DG18" s="267"/>
      <c r="DH18" s="267"/>
      <c r="DI18" s="267"/>
      <c r="DJ18" s="268"/>
      <c r="DK18" s="268"/>
      <c r="DL18" s="268"/>
      <c r="DM18" s="268"/>
      <c r="DN18" s="268"/>
      <c r="DO18" s="268"/>
      <c r="DP18" s="268"/>
      <c r="DQ18" s="268"/>
      <c r="DR18" s="268"/>
      <c r="DS18" s="268"/>
      <c r="DT18" s="268"/>
      <c r="DU18" s="268"/>
      <c r="DV18" s="268"/>
      <c r="DW18" s="268"/>
      <c r="DX18" s="268"/>
      <c r="DY18" s="268"/>
      <c r="EA18" s="20" t="str">
        <f>FORMULA!$A$17</f>
        <v>INDUSTRY FLOUR</v>
      </c>
      <c r="EB18" s="91">
        <f>FORMULA!$C17</f>
        <v>0</v>
      </c>
      <c r="EC18" s="92">
        <f>FORMULA!$E17</f>
        <v>0</v>
      </c>
      <c r="ED18" s="92">
        <f>FORMULA!$G17</f>
        <v>0</v>
      </c>
      <c r="EE18" s="92">
        <f>FORMULA!$I17</f>
        <v>0</v>
      </c>
      <c r="EF18" s="92">
        <f>FORMULA!$K17</f>
        <v>0</v>
      </c>
      <c r="EG18" s="92">
        <f>FORMULA!$M17</f>
        <v>0</v>
      </c>
      <c r="EH18" s="92">
        <f>FORMULA!$O17</f>
        <v>0</v>
      </c>
      <c r="EI18" s="92">
        <f>FORMULA!$Q17</f>
        <v>0</v>
      </c>
      <c r="EJ18" s="92">
        <f>FORMULA!$S17</f>
        <v>0</v>
      </c>
      <c r="EK18" s="92">
        <f>FORMULA!$U17</f>
        <v>0</v>
      </c>
      <c r="EL18" s="92">
        <f>FORMULA!$W17</f>
        <v>0</v>
      </c>
      <c r="EM18" s="92">
        <f>FORMULA!$Y17</f>
        <v>0</v>
      </c>
      <c r="EN18" s="92">
        <f>FORMULA!$AA17</f>
        <v>0</v>
      </c>
      <c r="EO18" s="92">
        <f>FORMULA!$AC17</f>
        <v>0</v>
      </c>
      <c r="EP18" s="92">
        <f>FORMULA!$AE17</f>
        <v>0</v>
      </c>
      <c r="EQ18" s="108"/>
      <c r="ER18" s="91">
        <f>FORMULA!$C105</f>
        <v>0</v>
      </c>
      <c r="ES18" s="92">
        <f>FORMULA!$E105</f>
        <v>0</v>
      </c>
      <c r="ET18" s="92">
        <f>FORMULA!$G105</f>
        <v>0</v>
      </c>
      <c r="EU18" s="92">
        <f>FORMULA!$I105</f>
        <v>0</v>
      </c>
      <c r="EV18" s="92">
        <f>FORMULA!$K105</f>
        <v>0</v>
      </c>
      <c r="EW18" s="92">
        <f>FORMULA!$M105</f>
        <v>0</v>
      </c>
      <c r="EX18" s="92">
        <f>FORMULA!$O105</f>
        <v>0</v>
      </c>
      <c r="EY18" s="92">
        <f>FORMULA!$Q105</f>
        <v>0</v>
      </c>
      <c r="EZ18" s="92">
        <f>FORMULA!$S105</f>
        <v>0</v>
      </c>
      <c r="FA18" s="92">
        <f>FORMULA!$U105</f>
        <v>0</v>
      </c>
      <c r="FB18" s="92">
        <f>FORMULA!$W105</f>
        <v>0</v>
      </c>
      <c r="FC18" s="92">
        <f>FORMULA!$Y105</f>
        <v>0</v>
      </c>
      <c r="FD18" s="92">
        <f>FORMULA!$AA105</f>
        <v>0</v>
      </c>
      <c r="FE18" s="92">
        <f>FORMULA!$AC105</f>
        <v>0</v>
      </c>
      <c r="FF18" s="92">
        <f>FORMULA!$AE105</f>
        <v>0</v>
      </c>
      <c r="FG18" s="94"/>
      <c r="FH18" s="91">
        <f>FORMULA!$C193</f>
        <v>0</v>
      </c>
      <c r="FI18" s="92">
        <f>FORMULA!$E193</f>
        <v>0</v>
      </c>
      <c r="FJ18" s="92">
        <f>FORMULA!$G193</f>
        <v>0</v>
      </c>
      <c r="FK18" s="92">
        <f>FORMULA!$I193</f>
        <v>0</v>
      </c>
      <c r="FL18" s="92">
        <f>FORMULA!$K193</f>
        <v>0</v>
      </c>
      <c r="FM18" s="92">
        <f>FORMULA!$M193</f>
        <v>0</v>
      </c>
      <c r="FN18" s="92">
        <f>FORMULA!$O193</f>
        <v>0</v>
      </c>
      <c r="FO18" s="92">
        <f>FORMULA!$Q193</f>
        <v>0</v>
      </c>
      <c r="FP18" s="92">
        <f>FORMULA!$S193</f>
        <v>0</v>
      </c>
      <c r="FQ18" s="92">
        <f>FORMULA!$U193</f>
        <v>0</v>
      </c>
      <c r="FR18" s="92">
        <f>FORMULA!$W193</f>
        <v>0</v>
      </c>
      <c r="FS18" s="92">
        <f>FORMULA!$Y193</f>
        <v>0</v>
      </c>
      <c r="FT18" s="92">
        <f>FORMULA!$AA193</f>
        <v>0</v>
      </c>
      <c r="FU18" s="92">
        <f>FORMULA!$AC193</f>
        <v>0</v>
      </c>
      <c r="FV18" s="92">
        <f>FORMULA!$AE193</f>
        <v>0</v>
      </c>
      <c r="FW18" s="94"/>
      <c r="FX18" s="91">
        <f>FORMULA!$C281</f>
        <v>0</v>
      </c>
      <c r="FY18" s="92">
        <f>FORMULA!$E281</f>
        <v>0</v>
      </c>
      <c r="FZ18" s="92">
        <f>FORMULA!$G281</f>
        <v>0</v>
      </c>
      <c r="GA18" s="92">
        <f>FORMULA!$I281</f>
        <v>0</v>
      </c>
      <c r="GB18" s="92">
        <f>FORMULA!$K281</f>
        <v>0</v>
      </c>
      <c r="GC18" s="92">
        <f>FORMULA!$M281</f>
        <v>0</v>
      </c>
      <c r="GD18" s="92">
        <f>FORMULA!$O281</f>
        <v>0</v>
      </c>
      <c r="GE18" s="92">
        <f>FORMULA!$Q281</f>
        <v>0</v>
      </c>
      <c r="GF18" s="92">
        <f>FORMULA!$S281</f>
        <v>0</v>
      </c>
      <c r="GG18" s="92">
        <f>FORMULA!$U281</f>
        <v>0</v>
      </c>
      <c r="GH18" s="92">
        <f>FORMULA!$W281</f>
        <v>0</v>
      </c>
      <c r="GI18" s="92">
        <f>FORMULA!$Y281</f>
        <v>0</v>
      </c>
      <c r="GJ18" s="92">
        <f>FORMULA!$AA281</f>
        <v>0</v>
      </c>
      <c r="GK18" s="92">
        <f>FORMULA!$AC281</f>
        <v>0</v>
      </c>
      <c r="GL18" s="92">
        <f>FORMULA!$AE281</f>
        <v>0</v>
      </c>
      <c r="GM18" s="207"/>
      <c r="GN18" s="91">
        <f>FORMULA!$C369</f>
        <v>0</v>
      </c>
      <c r="GO18" s="92">
        <f>FORMULA!$E369</f>
        <v>0</v>
      </c>
      <c r="GP18" s="92">
        <f>FORMULA!$G369</f>
        <v>0</v>
      </c>
      <c r="GQ18" s="92">
        <f>FORMULA!$I369</f>
        <v>0</v>
      </c>
      <c r="GR18" s="92">
        <f>FORMULA!$K369</f>
        <v>0</v>
      </c>
      <c r="GS18" s="92">
        <f>FORMULA!$M369</f>
        <v>0</v>
      </c>
      <c r="GT18" s="92">
        <f>FORMULA!$O369</f>
        <v>0</v>
      </c>
      <c r="GU18" s="92">
        <f>FORMULA!$Q369</f>
        <v>0</v>
      </c>
      <c r="GV18" s="92">
        <f>FORMULA!$S369</f>
        <v>0</v>
      </c>
      <c r="GW18" s="92">
        <f>FORMULA!$U369</f>
        <v>0</v>
      </c>
      <c r="GX18" s="92">
        <f>FORMULA!$W369</f>
        <v>0</v>
      </c>
      <c r="GY18" s="92">
        <f>FORMULA!$Y369</f>
        <v>0</v>
      </c>
      <c r="GZ18" s="92">
        <f>FORMULA!$AA369</f>
        <v>0</v>
      </c>
      <c r="HA18" s="92">
        <f>FORMULA!$AC369</f>
        <v>0</v>
      </c>
      <c r="HB18" s="92">
        <f>FORMULA!$AE369</f>
        <v>0</v>
      </c>
      <c r="HC18" s="207"/>
      <c r="HD18" s="91">
        <f>FORMULA!$C457</f>
        <v>33.5</v>
      </c>
      <c r="HE18" s="92">
        <f>FORMULA!$E457</f>
        <v>33.5</v>
      </c>
      <c r="HF18" s="92">
        <f>FORMULA!$G457</f>
        <v>33.334999999999994</v>
      </c>
      <c r="HG18" s="92">
        <f>FORMULA!$I457</f>
        <v>0</v>
      </c>
      <c r="HH18" s="92">
        <f>FORMULA!$K457</f>
        <v>0</v>
      </c>
      <c r="HI18" s="92">
        <f>FORMULA!$M457</f>
        <v>0</v>
      </c>
      <c r="HJ18" s="92">
        <f>FORMULA!$O457</f>
        <v>0</v>
      </c>
      <c r="HK18" s="92">
        <f>FORMULA!$Q457</f>
        <v>0</v>
      </c>
      <c r="HL18" s="92">
        <f>FORMULA!$S457</f>
        <v>0</v>
      </c>
      <c r="HM18" s="92">
        <f>FORMULA!$U457</f>
        <v>0</v>
      </c>
      <c r="HN18" s="92">
        <f>FORMULA!$W457</f>
        <v>0</v>
      </c>
      <c r="HO18" s="92">
        <f>FORMULA!$Y457</f>
        <v>0</v>
      </c>
      <c r="HP18" s="92">
        <f>FORMULA!$AA457</f>
        <v>0</v>
      </c>
      <c r="HQ18" s="92">
        <f>FORMULA!$AC457</f>
        <v>0</v>
      </c>
      <c r="HR18" s="92">
        <f>FORMULA!$AE457</f>
        <v>0</v>
      </c>
      <c r="HS18" s="207"/>
      <c r="HT18" s="91">
        <f>FORMULA!$C545</f>
        <v>50</v>
      </c>
      <c r="HU18" s="92">
        <f>FORMULA!$E545</f>
        <v>50</v>
      </c>
      <c r="HV18" s="92">
        <f>FORMULA!$G545</f>
        <v>50</v>
      </c>
      <c r="HW18" s="92">
        <f>FORMULA!$I545</f>
        <v>0</v>
      </c>
      <c r="HX18" s="92">
        <f>FORMULA!$K545</f>
        <v>0</v>
      </c>
      <c r="HY18" s="92">
        <f>FORMULA!$M545</f>
        <v>0</v>
      </c>
      <c r="HZ18" s="92">
        <f>FORMULA!$O545</f>
        <v>20</v>
      </c>
      <c r="IA18" s="92">
        <f>FORMULA!$Q545</f>
        <v>20</v>
      </c>
      <c r="IB18" s="92">
        <f>FORMULA!$S545</f>
        <v>0</v>
      </c>
      <c r="IC18" s="92">
        <f>FORMULA!$U545</f>
        <v>20</v>
      </c>
      <c r="ID18" s="92">
        <f>FORMULA!$W545</f>
        <v>20</v>
      </c>
      <c r="IE18" s="92">
        <f>FORMULA!$Y545</f>
        <v>0</v>
      </c>
      <c r="IF18" s="92">
        <f>FORMULA!$AA545</f>
        <v>20</v>
      </c>
      <c r="IG18" s="92">
        <f>FORMULA!$AC545</f>
        <v>20</v>
      </c>
      <c r="IH18" s="92">
        <f>FORMULA!$AE545</f>
        <v>0</v>
      </c>
      <c r="II18" s="207"/>
      <c r="IJ18" s="91">
        <f>FORMULA!$C633</f>
        <v>50</v>
      </c>
      <c r="IK18" s="92">
        <f>FORMULA!$E633</f>
        <v>96.999999999999986</v>
      </c>
      <c r="IL18" s="92">
        <f>FORMULA!$G633</f>
        <v>50</v>
      </c>
      <c r="IM18" s="92">
        <f>FORMULA!$I633</f>
        <v>50</v>
      </c>
      <c r="IN18" s="92">
        <f>FORMULA!$K633</f>
        <v>0</v>
      </c>
      <c r="IO18" s="92">
        <f>FORMULA!$M633</f>
        <v>0</v>
      </c>
      <c r="IP18" s="92">
        <f>FORMULA!$O633</f>
        <v>0</v>
      </c>
      <c r="IQ18" s="92">
        <f>FORMULA!$Q633</f>
        <v>0</v>
      </c>
      <c r="IR18" s="92">
        <f>FORMULA!$S633</f>
        <v>0</v>
      </c>
      <c r="IS18" s="92">
        <f>FORMULA!$U633</f>
        <v>0</v>
      </c>
      <c r="IT18" s="92">
        <f>FORMULA!$W633</f>
        <v>0</v>
      </c>
      <c r="IU18" s="92">
        <f>FORMULA!$Y633</f>
        <v>0</v>
      </c>
      <c r="IV18" s="92">
        <f>FORMULA!$AA633</f>
        <v>0</v>
      </c>
      <c r="IW18" s="92">
        <f>FORMULA!$AC633</f>
        <v>0</v>
      </c>
      <c r="IX18" s="92">
        <f>FORMULA!$AE633</f>
        <v>0</v>
      </c>
      <c r="IY18" s="208"/>
    </row>
    <row r="19" spans="1:259" outlineLevel="1">
      <c r="A19" s="260">
        <f>'VAC &amp; MED'!C20</f>
        <v>46037</v>
      </c>
      <c r="B19" s="261"/>
      <c r="C19" s="261"/>
      <c r="D19" s="261"/>
      <c r="E19" s="261"/>
      <c r="F19" s="261"/>
      <c r="G19" s="261"/>
      <c r="H19" s="261"/>
      <c r="I19" s="261"/>
      <c r="J19" s="261"/>
      <c r="K19" s="261"/>
      <c r="L19" s="261"/>
      <c r="M19" s="261"/>
      <c r="N19" s="261"/>
      <c r="O19" s="261"/>
      <c r="P19" s="261"/>
      <c r="Q19" s="261"/>
      <c r="R19" s="262"/>
      <c r="S19" s="262"/>
      <c r="T19" s="262"/>
      <c r="U19" s="262"/>
      <c r="V19" s="262"/>
      <c r="W19" s="262"/>
      <c r="X19" s="262"/>
      <c r="Y19" s="262"/>
      <c r="Z19" s="262"/>
      <c r="AA19" s="262"/>
      <c r="AB19" s="262"/>
      <c r="AC19" s="262"/>
      <c r="AD19" s="262"/>
      <c r="AE19" s="262"/>
      <c r="AF19" s="262"/>
      <c r="AG19" s="262"/>
      <c r="AH19" s="263">
        <v>30</v>
      </c>
      <c r="AI19" s="263"/>
      <c r="AJ19" s="263"/>
      <c r="AK19" s="263"/>
      <c r="AL19" s="263"/>
      <c r="AM19" s="263"/>
      <c r="AN19" s="263"/>
      <c r="AO19" s="263"/>
      <c r="AP19" s="263"/>
      <c r="AQ19" s="263"/>
      <c r="AR19" s="263"/>
      <c r="AS19" s="263"/>
      <c r="AT19" s="263"/>
      <c r="AU19" s="263"/>
      <c r="AV19" s="263"/>
      <c r="AW19" s="263"/>
      <c r="AX19" s="264"/>
      <c r="AY19" s="264"/>
      <c r="AZ19" s="264"/>
      <c r="BA19" s="264"/>
      <c r="BB19" s="264"/>
      <c r="BC19" s="264"/>
      <c r="BD19" s="264"/>
      <c r="BE19" s="264"/>
      <c r="BF19" s="264"/>
      <c r="BG19" s="264"/>
      <c r="BH19" s="264"/>
      <c r="BI19" s="264"/>
      <c r="BJ19" s="264"/>
      <c r="BK19" s="264"/>
      <c r="BL19" s="264"/>
      <c r="BM19" s="264"/>
      <c r="BN19" s="265">
        <v>10</v>
      </c>
      <c r="BO19" s="265"/>
      <c r="BP19" s="265"/>
      <c r="BQ19" s="265">
        <v>18</v>
      </c>
      <c r="BR19" s="265">
        <v>16</v>
      </c>
      <c r="BS19" s="265"/>
      <c r="BT19" s="265"/>
      <c r="BU19" s="265"/>
      <c r="BV19" s="265"/>
      <c r="BW19" s="265"/>
      <c r="BX19" s="265"/>
      <c r="BY19" s="265"/>
      <c r="BZ19" s="265"/>
      <c r="CA19" s="265"/>
      <c r="CB19" s="265"/>
      <c r="CC19" s="265"/>
      <c r="CD19" s="266"/>
      <c r="CE19" s="266"/>
      <c r="CF19" s="266"/>
      <c r="CG19" s="266"/>
      <c r="CH19" s="266"/>
      <c r="CI19" s="266"/>
      <c r="CJ19" s="266"/>
      <c r="CK19" s="266"/>
      <c r="CL19" s="266"/>
      <c r="CM19" s="266"/>
      <c r="CN19" s="266"/>
      <c r="CO19" s="266"/>
      <c r="CP19" s="266"/>
      <c r="CQ19" s="266"/>
      <c r="CR19" s="266"/>
      <c r="CS19" s="266"/>
      <c r="CT19" s="267"/>
      <c r="CU19" s="267"/>
      <c r="CV19" s="267"/>
      <c r="CW19" s="267"/>
      <c r="CX19" s="267"/>
      <c r="CY19" s="267"/>
      <c r="CZ19" s="267"/>
      <c r="DA19" s="267"/>
      <c r="DB19" s="267"/>
      <c r="DC19" s="267"/>
      <c r="DD19" s="267"/>
      <c r="DE19" s="267"/>
      <c r="DF19" s="267"/>
      <c r="DG19" s="267"/>
      <c r="DH19" s="267"/>
      <c r="DI19" s="267"/>
      <c r="DJ19" s="268"/>
      <c r="DK19" s="268"/>
      <c r="DL19" s="268"/>
      <c r="DM19" s="268"/>
      <c r="DN19" s="268"/>
      <c r="DO19" s="268"/>
      <c r="DP19" s="268"/>
      <c r="DQ19" s="268"/>
      <c r="DR19" s="268"/>
      <c r="DS19" s="268"/>
      <c r="DT19" s="268"/>
      <c r="DU19" s="268"/>
      <c r="DV19" s="268"/>
      <c r="DW19" s="268"/>
      <c r="DX19" s="268"/>
      <c r="DY19" s="268"/>
      <c r="EA19" s="20" t="str">
        <f>FORMULA!$A$18</f>
        <v>RICE BRAN</v>
      </c>
      <c r="EB19" s="91">
        <f>FORMULA!$C18</f>
        <v>0</v>
      </c>
      <c r="EC19" s="92">
        <f>FORMULA!$E18</f>
        <v>25</v>
      </c>
      <c r="ED19" s="92">
        <f>FORMULA!$G18</f>
        <v>0</v>
      </c>
      <c r="EE19" s="92">
        <f>FORMULA!$I18</f>
        <v>0</v>
      </c>
      <c r="EF19" s="92">
        <f>FORMULA!$K18</f>
        <v>0</v>
      </c>
      <c r="EG19" s="92">
        <f>FORMULA!$M18</f>
        <v>0</v>
      </c>
      <c r="EH19" s="92">
        <f>FORMULA!$O18</f>
        <v>0</v>
      </c>
      <c r="EI19" s="92">
        <f>FORMULA!$Q18</f>
        <v>0</v>
      </c>
      <c r="EJ19" s="92">
        <f>FORMULA!$S18</f>
        <v>0</v>
      </c>
      <c r="EK19" s="92">
        <f>FORMULA!$U18</f>
        <v>0</v>
      </c>
      <c r="EL19" s="92">
        <f>FORMULA!$W18</f>
        <v>0</v>
      </c>
      <c r="EM19" s="92">
        <f>FORMULA!$Y18</f>
        <v>0</v>
      </c>
      <c r="EN19" s="92">
        <f>FORMULA!$AA18</f>
        <v>0</v>
      </c>
      <c r="EO19" s="92">
        <f>FORMULA!$AC18</f>
        <v>0</v>
      </c>
      <c r="EP19" s="92">
        <f>FORMULA!$AE18</f>
        <v>0</v>
      </c>
      <c r="EQ19" s="108"/>
      <c r="ER19" s="91">
        <f>FORMULA!$C106</f>
        <v>0</v>
      </c>
      <c r="ES19" s="92">
        <f>FORMULA!$E106</f>
        <v>0</v>
      </c>
      <c r="ET19" s="92">
        <f>FORMULA!$G106</f>
        <v>0</v>
      </c>
      <c r="EU19" s="92">
        <f>FORMULA!$I106</f>
        <v>0</v>
      </c>
      <c r="EV19" s="92">
        <f>FORMULA!$K106</f>
        <v>0</v>
      </c>
      <c r="EW19" s="92">
        <f>FORMULA!$M106</f>
        <v>0</v>
      </c>
      <c r="EX19" s="92">
        <f>FORMULA!$O106</f>
        <v>0</v>
      </c>
      <c r="EY19" s="92">
        <f>FORMULA!$Q106</f>
        <v>0</v>
      </c>
      <c r="EZ19" s="92">
        <f>FORMULA!$S106</f>
        <v>0</v>
      </c>
      <c r="FA19" s="92">
        <f>FORMULA!$U106</f>
        <v>0</v>
      </c>
      <c r="FB19" s="92">
        <f>FORMULA!$W106</f>
        <v>0</v>
      </c>
      <c r="FC19" s="92">
        <f>FORMULA!$Y106</f>
        <v>0</v>
      </c>
      <c r="FD19" s="92">
        <f>FORMULA!$AA106</f>
        <v>0</v>
      </c>
      <c r="FE19" s="92">
        <f>FORMULA!$AC106</f>
        <v>0</v>
      </c>
      <c r="FF19" s="92">
        <f>FORMULA!$AE106</f>
        <v>0</v>
      </c>
      <c r="FG19" s="94"/>
      <c r="FH19" s="91">
        <f>FORMULA!$C194</f>
        <v>0</v>
      </c>
      <c r="FI19" s="92">
        <f>FORMULA!$E194</f>
        <v>30</v>
      </c>
      <c r="FJ19" s="92">
        <f>FORMULA!$G194</f>
        <v>0</v>
      </c>
      <c r="FK19" s="92">
        <f>FORMULA!$I194</f>
        <v>0</v>
      </c>
      <c r="FL19" s="92">
        <f>FORMULA!$K194</f>
        <v>0</v>
      </c>
      <c r="FM19" s="92">
        <f>FORMULA!$M194</f>
        <v>0</v>
      </c>
      <c r="FN19" s="92">
        <f>FORMULA!$O194</f>
        <v>0</v>
      </c>
      <c r="FO19" s="92">
        <f>FORMULA!$Q194</f>
        <v>0</v>
      </c>
      <c r="FP19" s="92">
        <f>FORMULA!$S194</f>
        <v>0</v>
      </c>
      <c r="FQ19" s="92">
        <f>FORMULA!$U194</f>
        <v>0</v>
      </c>
      <c r="FR19" s="92">
        <f>FORMULA!$W194</f>
        <v>0</v>
      </c>
      <c r="FS19" s="92">
        <f>FORMULA!$Y194</f>
        <v>0</v>
      </c>
      <c r="FT19" s="92">
        <f>FORMULA!$AA194</f>
        <v>0</v>
      </c>
      <c r="FU19" s="92">
        <f>FORMULA!$AC194</f>
        <v>0</v>
      </c>
      <c r="FV19" s="92">
        <f>FORMULA!$AE194</f>
        <v>0</v>
      </c>
      <c r="FW19" s="94"/>
      <c r="FX19" s="91">
        <f>FORMULA!$C282</f>
        <v>0</v>
      </c>
      <c r="FY19" s="92">
        <f>FORMULA!$E282</f>
        <v>0</v>
      </c>
      <c r="FZ19" s="92">
        <f>FORMULA!$G282</f>
        <v>0</v>
      </c>
      <c r="GA19" s="92">
        <f>FORMULA!$I282</f>
        <v>0</v>
      </c>
      <c r="GB19" s="92">
        <f>FORMULA!$K282</f>
        <v>0</v>
      </c>
      <c r="GC19" s="92">
        <f>FORMULA!$M282</f>
        <v>0</v>
      </c>
      <c r="GD19" s="92">
        <f>FORMULA!$O282</f>
        <v>0</v>
      </c>
      <c r="GE19" s="92">
        <f>FORMULA!$Q282</f>
        <v>0</v>
      </c>
      <c r="GF19" s="92">
        <f>FORMULA!$S282</f>
        <v>0</v>
      </c>
      <c r="GG19" s="92">
        <f>FORMULA!$U282</f>
        <v>0</v>
      </c>
      <c r="GH19" s="92">
        <f>FORMULA!$W282</f>
        <v>0</v>
      </c>
      <c r="GI19" s="92">
        <f>FORMULA!$Y282</f>
        <v>0</v>
      </c>
      <c r="GJ19" s="92">
        <f>FORMULA!$AA282</f>
        <v>0</v>
      </c>
      <c r="GK19" s="92">
        <f>FORMULA!$AC282</f>
        <v>0</v>
      </c>
      <c r="GL19" s="92">
        <f>FORMULA!$AE282</f>
        <v>0</v>
      </c>
      <c r="GM19" s="207"/>
      <c r="GN19" s="91">
        <f>FORMULA!$C370</f>
        <v>0</v>
      </c>
      <c r="GO19" s="92">
        <f>FORMULA!$E370</f>
        <v>50</v>
      </c>
      <c r="GP19" s="92">
        <f>FORMULA!$G370</f>
        <v>0</v>
      </c>
      <c r="GQ19" s="92">
        <f>FORMULA!$I370</f>
        <v>0</v>
      </c>
      <c r="GR19" s="92">
        <f>FORMULA!$K370</f>
        <v>0</v>
      </c>
      <c r="GS19" s="92">
        <f>FORMULA!$M370</f>
        <v>0</v>
      </c>
      <c r="GT19" s="92">
        <f>FORMULA!$O370</f>
        <v>0</v>
      </c>
      <c r="GU19" s="92">
        <f>FORMULA!$Q370</f>
        <v>0</v>
      </c>
      <c r="GV19" s="92">
        <f>FORMULA!$S370</f>
        <v>0</v>
      </c>
      <c r="GW19" s="92">
        <f>FORMULA!$U370</f>
        <v>0</v>
      </c>
      <c r="GX19" s="92">
        <f>FORMULA!$W370</f>
        <v>0</v>
      </c>
      <c r="GY19" s="92">
        <f>FORMULA!$Y370</f>
        <v>35</v>
      </c>
      <c r="GZ19" s="92">
        <f>FORMULA!$AA370</f>
        <v>35</v>
      </c>
      <c r="HA19" s="92">
        <f>FORMULA!$AC370</f>
        <v>0</v>
      </c>
      <c r="HB19" s="92">
        <f>FORMULA!$AE370</f>
        <v>0</v>
      </c>
      <c r="HC19" s="207"/>
      <c r="HD19" s="91">
        <f>FORMULA!$C458</f>
        <v>3.4999999999999996</v>
      </c>
      <c r="HE19" s="92">
        <f>FORMULA!$E458</f>
        <v>3.4999999999999996</v>
      </c>
      <c r="HF19" s="92">
        <f>FORMULA!$G458</f>
        <v>0</v>
      </c>
      <c r="HG19" s="92">
        <f>FORMULA!$I458</f>
        <v>0</v>
      </c>
      <c r="HH19" s="92">
        <f>FORMULA!$K458</f>
        <v>0</v>
      </c>
      <c r="HI19" s="92">
        <f>FORMULA!$M458</f>
        <v>0</v>
      </c>
      <c r="HJ19" s="92">
        <f>FORMULA!$O458</f>
        <v>0</v>
      </c>
      <c r="HK19" s="92">
        <f>FORMULA!$Q458</f>
        <v>0</v>
      </c>
      <c r="HL19" s="92">
        <f>FORMULA!$S458</f>
        <v>0</v>
      </c>
      <c r="HM19" s="92">
        <f>FORMULA!$U458</f>
        <v>0</v>
      </c>
      <c r="HN19" s="92">
        <f>FORMULA!$W458</f>
        <v>0</v>
      </c>
      <c r="HO19" s="92">
        <f>FORMULA!$Y458</f>
        <v>0</v>
      </c>
      <c r="HP19" s="92">
        <f>FORMULA!$AA458</f>
        <v>0</v>
      </c>
      <c r="HQ19" s="92">
        <f>FORMULA!$AC458</f>
        <v>0</v>
      </c>
      <c r="HR19" s="92">
        <f>FORMULA!$AE458</f>
        <v>0</v>
      </c>
      <c r="HS19" s="207"/>
      <c r="HT19" s="91">
        <f>FORMULA!$C546</f>
        <v>40</v>
      </c>
      <c r="HU19" s="92">
        <f>FORMULA!$E546</f>
        <v>40</v>
      </c>
      <c r="HV19" s="92">
        <f>FORMULA!$G546</f>
        <v>40</v>
      </c>
      <c r="HW19" s="92">
        <f>FORMULA!$I546</f>
        <v>0</v>
      </c>
      <c r="HX19" s="92">
        <f>FORMULA!$K546</f>
        <v>0</v>
      </c>
      <c r="HY19" s="92">
        <f>FORMULA!$M546</f>
        <v>0</v>
      </c>
      <c r="HZ19" s="92">
        <f>FORMULA!$O546</f>
        <v>0</v>
      </c>
      <c r="IA19" s="92">
        <f>FORMULA!$Q546</f>
        <v>0</v>
      </c>
      <c r="IB19" s="92">
        <f>FORMULA!$S546</f>
        <v>0</v>
      </c>
      <c r="IC19" s="92">
        <f>FORMULA!$U546</f>
        <v>0</v>
      </c>
      <c r="ID19" s="92">
        <f>FORMULA!$W546</f>
        <v>0</v>
      </c>
      <c r="IE19" s="92">
        <f>FORMULA!$Y546</f>
        <v>0</v>
      </c>
      <c r="IF19" s="92">
        <f>FORMULA!$AA546</f>
        <v>0</v>
      </c>
      <c r="IG19" s="92">
        <f>FORMULA!$AC546</f>
        <v>0</v>
      </c>
      <c r="IH19" s="92">
        <f>FORMULA!$AE546</f>
        <v>0</v>
      </c>
      <c r="II19" s="207"/>
      <c r="IJ19" s="91">
        <f>FORMULA!$C634</f>
        <v>40</v>
      </c>
      <c r="IK19" s="92">
        <f>FORMULA!$E634</f>
        <v>40</v>
      </c>
      <c r="IL19" s="92">
        <f>FORMULA!$G634</f>
        <v>40</v>
      </c>
      <c r="IM19" s="92">
        <f>FORMULA!$I634</f>
        <v>40</v>
      </c>
      <c r="IN19" s="92">
        <f>FORMULA!$K634</f>
        <v>0</v>
      </c>
      <c r="IO19" s="92">
        <f>FORMULA!$M634</f>
        <v>0</v>
      </c>
      <c r="IP19" s="92">
        <f>FORMULA!$O634</f>
        <v>0</v>
      </c>
      <c r="IQ19" s="92">
        <f>FORMULA!$Q634</f>
        <v>0</v>
      </c>
      <c r="IR19" s="92">
        <f>FORMULA!$S634</f>
        <v>0</v>
      </c>
      <c r="IS19" s="92">
        <f>FORMULA!$U634</f>
        <v>0</v>
      </c>
      <c r="IT19" s="92">
        <f>FORMULA!$W634</f>
        <v>0</v>
      </c>
      <c r="IU19" s="92">
        <f>FORMULA!$Y634</f>
        <v>0</v>
      </c>
      <c r="IV19" s="92">
        <f>FORMULA!$AA634</f>
        <v>0</v>
      </c>
      <c r="IW19" s="92">
        <f>FORMULA!$AC634</f>
        <v>0</v>
      </c>
      <c r="IX19" s="92">
        <f>FORMULA!$AE634</f>
        <v>0</v>
      </c>
      <c r="IY19" s="208"/>
    </row>
    <row r="20" spans="1:259" outlineLevel="1">
      <c r="A20" s="260">
        <f>'VAC &amp; MED'!C21</f>
        <v>46038</v>
      </c>
      <c r="B20" s="261"/>
      <c r="C20" s="261"/>
      <c r="D20" s="261"/>
      <c r="E20" s="261"/>
      <c r="F20" s="261"/>
      <c r="G20" s="261"/>
      <c r="H20" s="261"/>
      <c r="I20" s="261"/>
      <c r="J20" s="261"/>
      <c r="K20" s="261"/>
      <c r="L20" s="261"/>
      <c r="M20" s="261"/>
      <c r="N20" s="261"/>
      <c r="O20" s="261"/>
      <c r="P20" s="261"/>
      <c r="Q20" s="261"/>
      <c r="R20" s="262"/>
      <c r="S20" s="262"/>
      <c r="T20" s="262"/>
      <c r="U20" s="262"/>
      <c r="V20" s="262"/>
      <c r="W20" s="262"/>
      <c r="X20" s="262"/>
      <c r="Y20" s="262"/>
      <c r="Z20" s="262"/>
      <c r="AA20" s="262"/>
      <c r="AB20" s="262"/>
      <c r="AC20" s="262"/>
      <c r="AD20" s="262"/>
      <c r="AE20" s="262"/>
      <c r="AF20" s="262"/>
      <c r="AG20" s="262"/>
      <c r="AH20" s="263"/>
      <c r="AI20" s="263"/>
      <c r="AJ20" s="263"/>
      <c r="AK20" s="263"/>
      <c r="AL20" s="263"/>
      <c r="AM20" s="263"/>
      <c r="AN20" s="263"/>
      <c r="AO20" s="263"/>
      <c r="AP20" s="263"/>
      <c r="AQ20" s="263"/>
      <c r="AR20" s="263"/>
      <c r="AS20" s="263"/>
      <c r="AT20" s="263"/>
      <c r="AU20" s="263"/>
      <c r="AV20" s="263"/>
      <c r="AW20" s="263"/>
      <c r="AX20" s="264"/>
      <c r="AY20" s="264"/>
      <c r="AZ20" s="264"/>
      <c r="BA20" s="264"/>
      <c r="BB20" s="264"/>
      <c r="BC20" s="264"/>
      <c r="BD20" s="264"/>
      <c r="BE20" s="264"/>
      <c r="BF20" s="264"/>
      <c r="BG20" s="264"/>
      <c r="BH20" s="264"/>
      <c r="BI20" s="264"/>
      <c r="BJ20" s="264"/>
      <c r="BK20" s="264"/>
      <c r="BL20" s="264"/>
      <c r="BM20" s="264"/>
      <c r="BN20" s="265">
        <v>20</v>
      </c>
      <c r="BO20" s="265"/>
      <c r="BP20" s="265"/>
      <c r="BQ20" s="265">
        <v>10</v>
      </c>
      <c r="BR20" s="265">
        <v>20</v>
      </c>
      <c r="BS20" s="265"/>
      <c r="BT20" s="265"/>
      <c r="BU20" s="265"/>
      <c r="BV20" s="265"/>
      <c r="BW20" s="265"/>
      <c r="BX20" s="265"/>
      <c r="BY20" s="265">
        <v>14</v>
      </c>
      <c r="BZ20" s="265"/>
      <c r="CA20" s="265"/>
      <c r="CB20" s="265"/>
      <c r="CC20" s="265"/>
      <c r="CD20" s="266"/>
      <c r="CE20" s="266"/>
      <c r="CF20" s="266"/>
      <c r="CG20" s="266"/>
      <c r="CH20" s="266"/>
      <c r="CI20" s="266"/>
      <c r="CJ20" s="266"/>
      <c r="CK20" s="266"/>
      <c r="CL20" s="266"/>
      <c r="CM20" s="266"/>
      <c r="CN20" s="266"/>
      <c r="CO20" s="266"/>
      <c r="CP20" s="266"/>
      <c r="CQ20" s="266"/>
      <c r="CR20" s="266"/>
      <c r="CS20" s="266"/>
      <c r="CT20" s="267"/>
      <c r="CU20" s="267"/>
      <c r="CV20" s="267"/>
      <c r="CW20" s="267"/>
      <c r="CX20" s="267"/>
      <c r="CY20" s="267"/>
      <c r="CZ20" s="267"/>
      <c r="DA20" s="267"/>
      <c r="DB20" s="267"/>
      <c r="DC20" s="267"/>
      <c r="DD20" s="267"/>
      <c r="DE20" s="267"/>
      <c r="DF20" s="267"/>
      <c r="DG20" s="267"/>
      <c r="DH20" s="267"/>
      <c r="DI20" s="267"/>
      <c r="DJ20" s="268"/>
      <c r="DK20" s="268"/>
      <c r="DL20" s="268"/>
      <c r="DM20" s="268"/>
      <c r="DN20" s="268"/>
      <c r="DO20" s="268"/>
      <c r="DP20" s="268"/>
      <c r="DQ20" s="268"/>
      <c r="DR20" s="268"/>
      <c r="DS20" s="268"/>
      <c r="DT20" s="268"/>
      <c r="DU20" s="268"/>
      <c r="DV20" s="268"/>
      <c r="DW20" s="268"/>
      <c r="DX20" s="268"/>
      <c r="DY20" s="268"/>
      <c r="EA20" s="20" t="str">
        <f>FORMULA!$A$19</f>
        <v>EP 200</v>
      </c>
      <c r="EB20" s="91">
        <f>FORMULA!$C19</f>
        <v>0</v>
      </c>
      <c r="EC20" s="92">
        <f>FORMULA!$E19</f>
        <v>0</v>
      </c>
      <c r="ED20" s="92">
        <f>FORMULA!$G19</f>
        <v>0</v>
      </c>
      <c r="EE20" s="92">
        <f>FORMULA!$I19</f>
        <v>0</v>
      </c>
      <c r="EF20" s="92">
        <f>FORMULA!$K19</f>
        <v>0</v>
      </c>
      <c r="EG20" s="92">
        <f>FORMULA!$M19</f>
        <v>0</v>
      </c>
      <c r="EH20" s="92">
        <f>FORMULA!$O19</f>
        <v>0</v>
      </c>
      <c r="EI20" s="92">
        <f>FORMULA!$Q19</f>
        <v>0</v>
      </c>
      <c r="EJ20" s="92">
        <f>FORMULA!$S19</f>
        <v>0</v>
      </c>
      <c r="EK20" s="92">
        <f>FORMULA!$U19</f>
        <v>0</v>
      </c>
      <c r="EL20" s="92">
        <f>FORMULA!$W19</f>
        <v>0</v>
      </c>
      <c r="EM20" s="92">
        <f>FORMULA!$Y19</f>
        <v>0</v>
      </c>
      <c r="EN20" s="92">
        <f>FORMULA!$AA19</f>
        <v>0</v>
      </c>
      <c r="EO20" s="92">
        <f>FORMULA!$AC19</f>
        <v>0</v>
      </c>
      <c r="EP20" s="92">
        <f>FORMULA!$AE19</f>
        <v>0</v>
      </c>
      <c r="EQ20" s="108"/>
      <c r="ER20" s="91">
        <f>FORMULA!$C107</f>
        <v>0</v>
      </c>
      <c r="ES20" s="92">
        <f>FORMULA!$E107</f>
        <v>0</v>
      </c>
      <c r="ET20" s="92">
        <f>FORMULA!$G107</f>
        <v>0</v>
      </c>
      <c r="EU20" s="92">
        <f>FORMULA!$I107</f>
        <v>0</v>
      </c>
      <c r="EV20" s="92">
        <f>FORMULA!$K107</f>
        <v>0</v>
      </c>
      <c r="EW20" s="92">
        <f>FORMULA!$M107</f>
        <v>0</v>
      </c>
      <c r="EX20" s="92">
        <f>FORMULA!$O107</f>
        <v>0</v>
      </c>
      <c r="EY20" s="92">
        <f>FORMULA!$Q107</f>
        <v>0</v>
      </c>
      <c r="EZ20" s="92">
        <f>FORMULA!$S107</f>
        <v>0</v>
      </c>
      <c r="FA20" s="92">
        <f>FORMULA!$U107</f>
        <v>0</v>
      </c>
      <c r="FB20" s="92">
        <f>FORMULA!$W107</f>
        <v>0</v>
      </c>
      <c r="FC20" s="92">
        <f>FORMULA!$Y107</f>
        <v>0</v>
      </c>
      <c r="FD20" s="92">
        <f>FORMULA!$AA107</f>
        <v>0</v>
      </c>
      <c r="FE20" s="92">
        <f>FORMULA!$AC107</f>
        <v>0</v>
      </c>
      <c r="FF20" s="92">
        <f>FORMULA!$AE107</f>
        <v>0</v>
      </c>
      <c r="FG20" s="94"/>
      <c r="FH20" s="91">
        <f>FORMULA!$C195</f>
        <v>0</v>
      </c>
      <c r="FI20" s="92">
        <f>FORMULA!$E195</f>
        <v>0</v>
      </c>
      <c r="FJ20" s="92">
        <f>FORMULA!$G195</f>
        <v>0</v>
      </c>
      <c r="FK20" s="92">
        <f>FORMULA!$I195</f>
        <v>0</v>
      </c>
      <c r="FL20" s="92">
        <f>FORMULA!$K195</f>
        <v>0</v>
      </c>
      <c r="FM20" s="92">
        <f>FORMULA!$M195</f>
        <v>0</v>
      </c>
      <c r="FN20" s="92">
        <f>FORMULA!$O195</f>
        <v>0</v>
      </c>
      <c r="FO20" s="92">
        <f>FORMULA!$Q195</f>
        <v>0</v>
      </c>
      <c r="FP20" s="92">
        <f>FORMULA!$S195</f>
        <v>0</v>
      </c>
      <c r="FQ20" s="92">
        <f>FORMULA!$U195</f>
        <v>0</v>
      </c>
      <c r="FR20" s="92">
        <f>FORMULA!$W195</f>
        <v>0</v>
      </c>
      <c r="FS20" s="92">
        <f>FORMULA!$Y195</f>
        <v>0</v>
      </c>
      <c r="FT20" s="92">
        <f>FORMULA!$AA195</f>
        <v>0</v>
      </c>
      <c r="FU20" s="92">
        <f>FORMULA!$AC195</f>
        <v>0</v>
      </c>
      <c r="FV20" s="92">
        <f>FORMULA!$AE195</f>
        <v>0</v>
      </c>
      <c r="FW20" s="94"/>
      <c r="FX20" s="91">
        <f>FORMULA!$C283</f>
        <v>0</v>
      </c>
      <c r="FY20" s="92">
        <f>FORMULA!$E283</f>
        <v>0</v>
      </c>
      <c r="FZ20" s="92">
        <f>FORMULA!$G283</f>
        <v>0</v>
      </c>
      <c r="GA20" s="92">
        <f>FORMULA!$I283</f>
        <v>0</v>
      </c>
      <c r="GB20" s="92">
        <f>FORMULA!$K283</f>
        <v>0</v>
      </c>
      <c r="GC20" s="92">
        <f>FORMULA!$M283</f>
        <v>0</v>
      </c>
      <c r="GD20" s="92">
        <f>FORMULA!$O283</f>
        <v>0</v>
      </c>
      <c r="GE20" s="92">
        <f>FORMULA!$Q283</f>
        <v>0</v>
      </c>
      <c r="GF20" s="92">
        <f>FORMULA!$S283</f>
        <v>0</v>
      </c>
      <c r="GG20" s="92">
        <f>FORMULA!$U283</f>
        <v>0</v>
      </c>
      <c r="GH20" s="92">
        <f>FORMULA!$W283</f>
        <v>0</v>
      </c>
      <c r="GI20" s="92">
        <f>FORMULA!$Y283</f>
        <v>0</v>
      </c>
      <c r="GJ20" s="92">
        <f>FORMULA!$AA283</f>
        <v>0</v>
      </c>
      <c r="GK20" s="92">
        <f>FORMULA!$AC283</f>
        <v>0</v>
      </c>
      <c r="GL20" s="92">
        <f>FORMULA!$AE283</f>
        <v>0</v>
      </c>
      <c r="GM20" s="207"/>
      <c r="GN20" s="91">
        <f>FORMULA!$C371</f>
        <v>0</v>
      </c>
      <c r="GO20" s="92">
        <f>FORMULA!$E371</f>
        <v>0</v>
      </c>
      <c r="GP20" s="92">
        <f>FORMULA!$G371</f>
        <v>0</v>
      </c>
      <c r="GQ20" s="92">
        <f>FORMULA!$I371</f>
        <v>0</v>
      </c>
      <c r="GR20" s="92">
        <f>FORMULA!$K371</f>
        <v>0</v>
      </c>
      <c r="GS20" s="92">
        <f>FORMULA!$M371</f>
        <v>0</v>
      </c>
      <c r="GT20" s="92">
        <f>FORMULA!$O371</f>
        <v>0</v>
      </c>
      <c r="GU20" s="92">
        <f>FORMULA!$Q371</f>
        <v>0</v>
      </c>
      <c r="GV20" s="92">
        <f>FORMULA!$S371</f>
        <v>0</v>
      </c>
      <c r="GW20" s="92">
        <f>FORMULA!$U371</f>
        <v>0</v>
      </c>
      <c r="GX20" s="92">
        <f>FORMULA!$W371</f>
        <v>0</v>
      </c>
      <c r="GY20" s="92">
        <f>FORMULA!$Y371</f>
        <v>0</v>
      </c>
      <c r="GZ20" s="92">
        <f>FORMULA!$AA371</f>
        <v>0</v>
      </c>
      <c r="HA20" s="92">
        <f>FORMULA!$AC371</f>
        <v>0</v>
      </c>
      <c r="HB20" s="92">
        <f>FORMULA!$AE371</f>
        <v>0</v>
      </c>
      <c r="HC20" s="207"/>
      <c r="HD20" s="91">
        <f>FORMULA!$C459</f>
        <v>0</v>
      </c>
      <c r="HE20" s="92">
        <f>FORMULA!$E459</f>
        <v>0</v>
      </c>
      <c r="HF20" s="92">
        <f>FORMULA!$G459</f>
        <v>25</v>
      </c>
      <c r="HG20" s="92">
        <f>FORMULA!$I459</f>
        <v>0</v>
      </c>
      <c r="HH20" s="92">
        <f>FORMULA!$K459</f>
        <v>0</v>
      </c>
      <c r="HI20" s="92">
        <f>FORMULA!$M459</f>
        <v>0</v>
      </c>
      <c r="HJ20" s="92">
        <f>FORMULA!$O459</f>
        <v>0</v>
      </c>
      <c r="HK20" s="92">
        <f>FORMULA!$Q459</f>
        <v>0</v>
      </c>
      <c r="HL20" s="92">
        <f>FORMULA!$S459</f>
        <v>0</v>
      </c>
      <c r="HM20" s="92">
        <f>FORMULA!$U459</f>
        <v>0</v>
      </c>
      <c r="HN20" s="92">
        <f>FORMULA!$W459</f>
        <v>0</v>
      </c>
      <c r="HO20" s="92">
        <f>FORMULA!$Y459</f>
        <v>0</v>
      </c>
      <c r="HP20" s="92">
        <f>FORMULA!$AA459</f>
        <v>0</v>
      </c>
      <c r="HQ20" s="92">
        <f>FORMULA!$AC459</f>
        <v>0</v>
      </c>
      <c r="HR20" s="92">
        <f>FORMULA!$AE459</f>
        <v>0</v>
      </c>
      <c r="HS20" s="207"/>
      <c r="HT20" s="91">
        <f>FORMULA!$C547</f>
        <v>0</v>
      </c>
      <c r="HU20" s="92">
        <f>FORMULA!$E547</f>
        <v>0</v>
      </c>
      <c r="HV20" s="92">
        <f>FORMULA!$G547</f>
        <v>0</v>
      </c>
      <c r="HW20" s="92">
        <f>FORMULA!$I547</f>
        <v>0</v>
      </c>
      <c r="HX20" s="92">
        <f>FORMULA!$K547</f>
        <v>0</v>
      </c>
      <c r="HY20" s="92">
        <f>FORMULA!$M547</f>
        <v>0</v>
      </c>
      <c r="HZ20" s="92">
        <f>FORMULA!$O547</f>
        <v>0</v>
      </c>
      <c r="IA20" s="92">
        <f>FORMULA!$Q547</f>
        <v>0</v>
      </c>
      <c r="IB20" s="92">
        <f>FORMULA!$S547</f>
        <v>0</v>
      </c>
      <c r="IC20" s="92">
        <f>FORMULA!$U547</f>
        <v>0</v>
      </c>
      <c r="ID20" s="92">
        <f>FORMULA!$W547</f>
        <v>0</v>
      </c>
      <c r="IE20" s="92">
        <f>FORMULA!$Y547</f>
        <v>0</v>
      </c>
      <c r="IF20" s="92">
        <f>FORMULA!$AA547</f>
        <v>0</v>
      </c>
      <c r="IG20" s="92">
        <f>FORMULA!$AC547</f>
        <v>0</v>
      </c>
      <c r="IH20" s="92">
        <f>FORMULA!$AE547</f>
        <v>0</v>
      </c>
      <c r="II20" s="207"/>
      <c r="IJ20" s="91">
        <f>FORMULA!$C635</f>
        <v>0</v>
      </c>
      <c r="IK20" s="92">
        <f>FORMULA!$E635</f>
        <v>0</v>
      </c>
      <c r="IL20" s="92">
        <f>FORMULA!$G635</f>
        <v>0</v>
      </c>
      <c r="IM20" s="92">
        <f>FORMULA!$I635</f>
        <v>0</v>
      </c>
      <c r="IN20" s="92">
        <f>FORMULA!$K635</f>
        <v>0</v>
      </c>
      <c r="IO20" s="92">
        <f>FORMULA!$M635</f>
        <v>0</v>
      </c>
      <c r="IP20" s="92">
        <f>FORMULA!$O635</f>
        <v>0</v>
      </c>
      <c r="IQ20" s="92">
        <f>FORMULA!$Q635</f>
        <v>0</v>
      </c>
      <c r="IR20" s="92">
        <f>FORMULA!$S635</f>
        <v>0</v>
      </c>
      <c r="IS20" s="92">
        <f>FORMULA!$U635</f>
        <v>0</v>
      </c>
      <c r="IT20" s="92">
        <f>FORMULA!$W635</f>
        <v>0</v>
      </c>
      <c r="IU20" s="92">
        <f>FORMULA!$Y635</f>
        <v>0</v>
      </c>
      <c r="IV20" s="92">
        <f>FORMULA!$AA635</f>
        <v>0</v>
      </c>
      <c r="IW20" s="92">
        <f>FORMULA!$AC635</f>
        <v>0</v>
      </c>
      <c r="IX20" s="92">
        <f>FORMULA!$AE635</f>
        <v>0</v>
      </c>
      <c r="IY20" s="208"/>
    </row>
    <row r="21" spans="1:259" outlineLevel="1">
      <c r="A21" s="260">
        <f>'VAC &amp; MED'!C22</f>
        <v>46039</v>
      </c>
      <c r="B21" s="261"/>
      <c r="C21" s="261"/>
      <c r="D21" s="261"/>
      <c r="E21" s="261"/>
      <c r="F21" s="261"/>
      <c r="G21" s="261"/>
      <c r="H21" s="261"/>
      <c r="I21" s="261"/>
      <c r="J21" s="261"/>
      <c r="K21" s="261"/>
      <c r="L21" s="261"/>
      <c r="M21" s="261"/>
      <c r="N21" s="261"/>
      <c r="O21" s="261"/>
      <c r="P21" s="261"/>
      <c r="Q21" s="261"/>
      <c r="R21" s="262"/>
      <c r="S21" s="262"/>
      <c r="T21" s="262"/>
      <c r="U21" s="262"/>
      <c r="V21" s="262"/>
      <c r="W21" s="262"/>
      <c r="X21" s="262"/>
      <c r="Y21" s="262"/>
      <c r="Z21" s="262"/>
      <c r="AA21" s="262"/>
      <c r="AB21" s="262"/>
      <c r="AC21" s="262"/>
      <c r="AD21" s="262"/>
      <c r="AE21" s="262"/>
      <c r="AF21" s="262"/>
      <c r="AG21" s="262"/>
      <c r="AH21" s="263"/>
      <c r="AI21" s="263"/>
      <c r="AJ21" s="263"/>
      <c r="AK21" s="263"/>
      <c r="AL21" s="263"/>
      <c r="AM21" s="263"/>
      <c r="AN21" s="263"/>
      <c r="AO21" s="263"/>
      <c r="AP21" s="263"/>
      <c r="AQ21" s="263"/>
      <c r="AR21" s="263"/>
      <c r="AS21" s="263"/>
      <c r="AT21" s="263"/>
      <c r="AU21" s="263"/>
      <c r="AV21" s="263"/>
      <c r="AW21" s="263"/>
      <c r="AX21" s="264"/>
      <c r="AY21" s="264"/>
      <c r="AZ21" s="264"/>
      <c r="BA21" s="264"/>
      <c r="BB21" s="264"/>
      <c r="BC21" s="264"/>
      <c r="BD21" s="264"/>
      <c r="BE21" s="264"/>
      <c r="BF21" s="264"/>
      <c r="BG21" s="264"/>
      <c r="BH21" s="264"/>
      <c r="BI21" s="264"/>
      <c r="BJ21" s="264"/>
      <c r="BK21" s="264"/>
      <c r="BL21" s="264"/>
      <c r="BM21" s="264"/>
      <c r="BN21" s="265"/>
      <c r="BO21" s="265"/>
      <c r="BP21" s="265"/>
      <c r="BQ21" s="265">
        <v>26</v>
      </c>
      <c r="BR21" s="265"/>
      <c r="BS21" s="265"/>
      <c r="BT21" s="265"/>
      <c r="BU21" s="265"/>
      <c r="BV21" s="265"/>
      <c r="BW21" s="265"/>
      <c r="BX21" s="265"/>
      <c r="BY21" s="265"/>
      <c r="BZ21" s="265"/>
      <c r="CA21" s="265"/>
      <c r="CB21" s="265"/>
      <c r="CC21" s="265"/>
      <c r="CD21" s="266"/>
      <c r="CE21" s="266"/>
      <c r="CF21" s="266"/>
      <c r="CG21" s="266"/>
      <c r="CH21" s="266"/>
      <c r="CI21" s="266"/>
      <c r="CJ21" s="266"/>
      <c r="CK21" s="266"/>
      <c r="CL21" s="266"/>
      <c r="CM21" s="266"/>
      <c r="CN21" s="266"/>
      <c r="CO21" s="266"/>
      <c r="CP21" s="266"/>
      <c r="CQ21" s="266"/>
      <c r="CR21" s="266"/>
      <c r="CS21" s="266"/>
      <c r="CT21" s="267"/>
      <c r="CU21" s="267"/>
      <c r="CV21" s="267"/>
      <c r="CW21" s="267"/>
      <c r="CX21" s="267"/>
      <c r="CY21" s="267"/>
      <c r="CZ21" s="267"/>
      <c r="DA21" s="267"/>
      <c r="DB21" s="267"/>
      <c r="DC21" s="267"/>
      <c r="DD21" s="267"/>
      <c r="DE21" s="267"/>
      <c r="DF21" s="267"/>
      <c r="DG21" s="267"/>
      <c r="DH21" s="267"/>
      <c r="DI21" s="267"/>
      <c r="DJ21" s="268"/>
      <c r="DK21" s="268"/>
      <c r="DL21" s="268"/>
      <c r="DM21" s="268"/>
      <c r="DN21" s="268"/>
      <c r="DO21" s="268"/>
      <c r="DP21" s="268"/>
      <c r="DQ21" s="268"/>
      <c r="DR21" s="268"/>
      <c r="DS21" s="268"/>
      <c r="DT21" s="268"/>
      <c r="DU21" s="268"/>
      <c r="DV21" s="268"/>
      <c r="DW21" s="268"/>
      <c r="DX21" s="268"/>
      <c r="DY21" s="268"/>
      <c r="EA21" s="20" t="str">
        <f>FORMULA!$A$20</f>
        <v>SOYTIDE</v>
      </c>
      <c r="EB21" s="91">
        <f>FORMULA!$C20</f>
        <v>0</v>
      </c>
      <c r="EC21" s="92">
        <f>FORMULA!$E20</f>
        <v>0</v>
      </c>
      <c r="ED21" s="92">
        <f>FORMULA!$G20</f>
        <v>0</v>
      </c>
      <c r="EE21" s="92">
        <f>FORMULA!$I20</f>
        <v>0</v>
      </c>
      <c r="EF21" s="92">
        <f>FORMULA!$K20</f>
        <v>0</v>
      </c>
      <c r="EG21" s="92">
        <f>FORMULA!$M20</f>
        <v>0</v>
      </c>
      <c r="EH21" s="92">
        <f>FORMULA!$O20</f>
        <v>0</v>
      </c>
      <c r="EI21" s="92">
        <f>FORMULA!$Q20</f>
        <v>0</v>
      </c>
      <c r="EJ21" s="92">
        <f>FORMULA!$S20</f>
        <v>0</v>
      </c>
      <c r="EK21" s="92">
        <f>FORMULA!$U20</f>
        <v>0</v>
      </c>
      <c r="EL21" s="92">
        <f>FORMULA!$W20</f>
        <v>0</v>
      </c>
      <c r="EM21" s="92">
        <f>FORMULA!$Y20</f>
        <v>0</v>
      </c>
      <c r="EN21" s="92">
        <f>FORMULA!$AA20</f>
        <v>0</v>
      </c>
      <c r="EO21" s="92">
        <f>FORMULA!$AC20</f>
        <v>0</v>
      </c>
      <c r="EP21" s="92">
        <f>FORMULA!$AE20</f>
        <v>0</v>
      </c>
      <c r="EQ21" s="108"/>
      <c r="ER21" s="91">
        <f>FORMULA!$C108</f>
        <v>0</v>
      </c>
      <c r="ES21" s="92">
        <f>FORMULA!$E108</f>
        <v>0</v>
      </c>
      <c r="ET21" s="92">
        <f>FORMULA!$G108</f>
        <v>0</v>
      </c>
      <c r="EU21" s="92">
        <f>FORMULA!$I108</f>
        <v>0</v>
      </c>
      <c r="EV21" s="92">
        <f>FORMULA!$K108</f>
        <v>0</v>
      </c>
      <c r="EW21" s="92">
        <f>FORMULA!$M108</f>
        <v>0</v>
      </c>
      <c r="EX21" s="92">
        <f>FORMULA!$O108</f>
        <v>0</v>
      </c>
      <c r="EY21" s="92">
        <f>FORMULA!$Q108</f>
        <v>0</v>
      </c>
      <c r="EZ21" s="92">
        <f>FORMULA!$S108</f>
        <v>0</v>
      </c>
      <c r="FA21" s="92">
        <f>FORMULA!$U108</f>
        <v>0</v>
      </c>
      <c r="FB21" s="92">
        <f>FORMULA!$W108</f>
        <v>0</v>
      </c>
      <c r="FC21" s="92">
        <f>FORMULA!$Y108</f>
        <v>0</v>
      </c>
      <c r="FD21" s="92">
        <f>FORMULA!$AA108</f>
        <v>0</v>
      </c>
      <c r="FE21" s="92">
        <f>FORMULA!$AC108</f>
        <v>0</v>
      </c>
      <c r="FF21" s="92">
        <f>FORMULA!$AE108</f>
        <v>0</v>
      </c>
      <c r="FG21" s="94"/>
      <c r="FH21" s="91">
        <f>FORMULA!$C196</f>
        <v>0</v>
      </c>
      <c r="FI21" s="92">
        <f>FORMULA!$E196</f>
        <v>0</v>
      </c>
      <c r="FJ21" s="92">
        <f>FORMULA!$G196</f>
        <v>0</v>
      </c>
      <c r="FK21" s="92">
        <f>FORMULA!$I196</f>
        <v>0</v>
      </c>
      <c r="FL21" s="92">
        <f>FORMULA!$K196</f>
        <v>0</v>
      </c>
      <c r="FM21" s="92">
        <f>FORMULA!$M196</f>
        <v>0</v>
      </c>
      <c r="FN21" s="92">
        <f>FORMULA!$O196</f>
        <v>0</v>
      </c>
      <c r="FO21" s="92">
        <f>FORMULA!$Q196</f>
        <v>0</v>
      </c>
      <c r="FP21" s="92">
        <f>FORMULA!$S196</f>
        <v>0</v>
      </c>
      <c r="FQ21" s="92">
        <f>FORMULA!$U196</f>
        <v>0</v>
      </c>
      <c r="FR21" s="92">
        <f>FORMULA!$W196</f>
        <v>0</v>
      </c>
      <c r="FS21" s="92">
        <f>FORMULA!$Y196</f>
        <v>0</v>
      </c>
      <c r="FT21" s="92">
        <f>FORMULA!$AA196</f>
        <v>0</v>
      </c>
      <c r="FU21" s="92">
        <f>FORMULA!$AC196</f>
        <v>0</v>
      </c>
      <c r="FV21" s="92">
        <f>FORMULA!$AE196</f>
        <v>0</v>
      </c>
      <c r="FW21" s="94"/>
      <c r="FX21" s="91">
        <f>FORMULA!$C284</f>
        <v>0</v>
      </c>
      <c r="FY21" s="92">
        <f>FORMULA!$E284</f>
        <v>0</v>
      </c>
      <c r="FZ21" s="92">
        <f>FORMULA!$G284</f>
        <v>0</v>
      </c>
      <c r="GA21" s="92">
        <f>FORMULA!$I284</f>
        <v>0</v>
      </c>
      <c r="GB21" s="92">
        <f>FORMULA!$K284</f>
        <v>0</v>
      </c>
      <c r="GC21" s="92">
        <f>FORMULA!$M284</f>
        <v>0</v>
      </c>
      <c r="GD21" s="92">
        <f>FORMULA!$O284</f>
        <v>0</v>
      </c>
      <c r="GE21" s="92">
        <f>FORMULA!$Q284</f>
        <v>0</v>
      </c>
      <c r="GF21" s="92">
        <f>FORMULA!$S284</f>
        <v>0</v>
      </c>
      <c r="GG21" s="92">
        <f>FORMULA!$U284</f>
        <v>0</v>
      </c>
      <c r="GH21" s="92">
        <f>FORMULA!$W284</f>
        <v>0</v>
      </c>
      <c r="GI21" s="92">
        <f>FORMULA!$Y284</f>
        <v>0</v>
      </c>
      <c r="GJ21" s="92">
        <f>FORMULA!$AA284</f>
        <v>0</v>
      </c>
      <c r="GK21" s="92">
        <f>FORMULA!$AC284</f>
        <v>0</v>
      </c>
      <c r="GL21" s="92">
        <f>FORMULA!$AE284</f>
        <v>0</v>
      </c>
      <c r="GM21" s="207"/>
      <c r="GN21" s="91">
        <f>FORMULA!$C372</f>
        <v>0</v>
      </c>
      <c r="GO21" s="92">
        <f>FORMULA!$E372</f>
        <v>0</v>
      </c>
      <c r="GP21" s="92">
        <f>FORMULA!$G372</f>
        <v>0</v>
      </c>
      <c r="GQ21" s="92">
        <f>FORMULA!$I372</f>
        <v>0</v>
      </c>
      <c r="GR21" s="92">
        <f>FORMULA!$K372</f>
        <v>0</v>
      </c>
      <c r="GS21" s="92">
        <f>FORMULA!$M372</f>
        <v>0</v>
      </c>
      <c r="GT21" s="92">
        <f>FORMULA!$O372</f>
        <v>0</v>
      </c>
      <c r="GU21" s="92">
        <f>FORMULA!$Q372</f>
        <v>0</v>
      </c>
      <c r="GV21" s="92">
        <f>FORMULA!$S372</f>
        <v>0</v>
      </c>
      <c r="GW21" s="92">
        <f>FORMULA!$U372</f>
        <v>0</v>
      </c>
      <c r="GX21" s="92">
        <f>FORMULA!$W372</f>
        <v>0</v>
      </c>
      <c r="GY21" s="92">
        <f>FORMULA!$Y372</f>
        <v>0</v>
      </c>
      <c r="GZ21" s="92">
        <f>FORMULA!$AA372</f>
        <v>0</v>
      </c>
      <c r="HA21" s="92">
        <f>FORMULA!$AC372</f>
        <v>0</v>
      </c>
      <c r="HB21" s="92">
        <f>FORMULA!$AE372</f>
        <v>0</v>
      </c>
      <c r="HC21" s="207"/>
      <c r="HD21" s="91">
        <f>FORMULA!$C460</f>
        <v>25</v>
      </c>
      <c r="HE21" s="92">
        <f>FORMULA!$E460</f>
        <v>25</v>
      </c>
      <c r="HF21" s="92">
        <f>FORMULA!$G460</f>
        <v>0</v>
      </c>
      <c r="HG21" s="92">
        <f>FORMULA!$I460</f>
        <v>0</v>
      </c>
      <c r="HH21" s="92">
        <f>FORMULA!$K460</f>
        <v>0</v>
      </c>
      <c r="HI21" s="92">
        <f>FORMULA!$M460</f>
        <v>0</v>
      </c>
      <c r="HJ21" s="92">
        <f>FORMULA!$O460</f>
        <v>0</v>
      </c>
      <c r="HK21" s="92">
        <f>FORMULA!$Q460</f>
        <v>0</v>
      </c>
      <c r="HL21" s="92">
        <f>FORMULA!$S460</f>
        <v>0</v>
      </c>
      <c r="HM21" s="92">
        <f>FORMULA!$U460</f>
        <v>0</v>
      </c>
      <c r="HN21" s="92">
        <f>FORMULA!$W460</f>
        <v>0</v>
      </c>
      <c r="HO21" s="92">
        <f>FORMULA!$Y460</f>
        <v>0</v>
      </c>
      <c r="HP21" s="92">
        <f>FORMULA!$AA460</f>
        <v>0</v>
      </c>
      <c r="HQ21" s="92">
        <f>FORMULA!$AC460</f>
        <v>0</v>
      </c>
      <c r="HR21" s="92">
        <f>FORMULA!$AE460</f>
        <v>0</v>
      </c>
      <c r="HS21" s="207"/>
      <c r="HT21" s="91">
        <f>FORMULA!$C548</f>
        <v>0</v>
      </c>
      <c r="HU21" s="92">
        <f>FORMULA!$E548</f>
        <v>0</v>
      </c>
      <c r="HV21" s="92">
        <f>FORMULA!$G548</f>
        <v>0</v>
      </c>
      <c r="HW21" s="92">
        <f>FORMULA!$I548</f>
        <v>0</v>
      </c>
      <c r="HX21" s="92">
        <f>FORMULA!$K548</f>
        <v>0</v>
      </c>
      <c r="HY21" s="92">
        <f>FORMULA!$M548</f>
        <v>0</v>
      </c>
      <c r="HZ21" s="92">
        <f>FORMULA!$O548</f>
        <v>0</v>
      </c>
      <c r="IA21" s="92">
        <f>FORMULA!$Q548</f>
        <v>0</v>
      </c>
      <c r="IB21" s="92">
        <f>FORMULA!$S548</f>
        <v>0</v>
      </c>
      <c r="IC21" s="92">
        <f>FORMULA!$U548</f>
        <v>0</v>
      </c>
      <c r="ID21" s="92">
        <f>FORMULA!$W548</f>
        <v>0</v>
      </c>
      <c r="IE21" s="92">
        <f>FORMULA!$Y548</f>
        <v>0</v>
      </c>
      <c r="IF21" s="92">
        <f>FORMULA!$AA548</f>
        <v>0</v>
      </c>
      <c r="IG21" s="92">
        <f>FORMULA!$AC548</f>
        <v>0</v>
      </c>
      <c r="IH21" s="92">
        <f>FORMULA!$AE548</f>
        <v>0</v>
      </c>
      <c r="II21" s="207"/>
      <c r="IJ21" s="91">
        <f>FORMULA!$C636</f>
        <v>0</v>
      </c>
      <c r="IK21" s="92">
        <f>FORMULA!$E636</f>
        <v>0</v>
      </c>
      <c r="IL21" s="92">
        <f>FORMULA!$G636</f>
        <v>0</v>
      </c>
      <c r="IM21" s="92">
        <f>FORMULA!$I636</f>
        <v>0</v>
      </c>
      <c r="IN21" s="92">
        <f>FORMULA!$K636</f>
        <v>0</v>
      </c>
      <c r="IO21" s="92">
        <f>FORMULA!$M636</f>
        <v>0</v>
      </c>
      <c r="IP21" s="92">
        <f>FORMULA!$O636</f>
        <v>0</v>
      </c>
      <c r="IQ21" s="92">
        <f>FORMULA!$Q636</f>
        <v>0</v>
      </c>
      <c r="IR21" s="92">
        <f>FORMULA!$S636</f>
        <v>0</v>
      </c>
      <c r="IS21" s="92">
        <f>FORMULA!$U636</f>
        <v>0</v>
      </c>
      <c r="IT21" s="92">
        <f>FORMULA!$W636</f>
        <v>0</v>
      </c>
      <c r="IU21" s="92">
        <f>FORMULA!$Y636</f>
        <v>0</v>
      </c>
      <c r="IV21" s="92">
        <f>FORMULA!$AA636</f>
        <v>0</v>
      </c>
      <c r="IW21" s="92">
        <f>FORMULA!$AC636</f>
        <v>0</v>
      </c>
      <c r="IX21" s="92">
        <f>FORMULA!$AE636</f>
        <v>0</v>
      </c>
      <c r="IY21" s="208"/>
    </row>
    <row r="22" spans="1:259" outlineLevel="1">
      <c r="A22" s="260">
        <f>'VAC &amp; MED'!C23</f>
        <v>46040</v>
      </c>
      <c r="B22" s="261"/>
      <c r="C22" s="261"/>
      <c r="D22" s="261"/>
      <c r="E22" s="261"/>
      <c r="F22" s="261"/>
      <c r="G22" s="26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2"/>
      <c r="S22" s="262"/>
      <c r="T22" s="262"/>
      <c r="U22" s="262"/>
      <c r="V22" s="262"/>
      <c r="W22" s="262"/>
      <c r="X22" s="262"/>
      <c r="Y22" s="262"/>
      <c r="Z22" s="262"/>
      <c r="AA22" s="262"/>
      <c r="AB22" s="262"/>
      <c r="AC22" s="262"/>
      <c r="AD22" s="262"/>
      <c r="AE22" s="262"/>
      <c r="AF22" s="262"/>
      <c r="AG22" s="262"/>
      <c r="AH22" s="263"/>
      <c r="AI22" s="263"/>
      <c r="AJ22" s="263"/>
      <c r="AK22" s="263"/>
      <c r="AL22" s="263"/>
      <c r="AM22" s="263"/>
      <c r="AN22" s="263"/>
      <c r="AO22" s="263"/>
      <c r="AP22" s="263"/>
      <c r="AQ22" s="263"/>
      <c r="AR22" s="263"/>
      <c r="AS22" s="263"/>
      <c r="AT22" s="263"/>
      <c r="AU22" s="263"/>
      <c r="AV22" s="263"/>
      <c r="AW22" s="263"/>
      <c r="AX22" s="264"/>
      <c r="AY22" s="264"/>
      <c r="AZ22" s="264"/>
      <c r="BA22" s="264"/>
      <c r="BB22" s="264"/>
      <c r="BC22" s="264"/>
      <c r="BD22" s="264"/>
      <c r="BE22" s="264"/>
      <c r="BF22" s="264"/>
      <c r="BG22" s="264"/>
      <c r="BH22" s="264"/>
      <c r="BI22" s="264"/>
      <c r="BJ22" s="264"/>
      <c r="BK22" s="264"/>
      <c r="BL22" s="264"/>
      <c r="BM22" s="264"/>
      <c r="BN22" s="265"/>
      <c r="BO22" s="265"/>
      <c r="BP22" s="265"/>
      <c r="BQ22" s="265"/>
      <c r="BR22" s="265"/>
      <c r="BS22" s="265"/>
      <c r="BT22" s="265"/>
      <c r="BU22" s="265"/>
      <c r="BV22" s="265"/>
      <c r="BW22" s="265"/>
      <c r="BX22" s="265"/>
      <c r="BY22" s="265"/>
      <c r="BZ22" s="265"/>
      <c r="CA22" s="265"/>
      <c r="CB22" s="265"/>
      <c r="CC22" s="265"/>
      <c r="CD22" s="266"/>
      <c r="CE22" s="266"/>
      <c r="CF22" s="266"/>
      <c r="CG22" s="266"/>
      <c r="CH22" s="266"/>
      <c r="CI22" s="266"/>
      <c r="CJ22" s="266"/>
      <c r="CK22" s="266"/>
      <c r="CL22" s="266"/>
      <c r="CM22" s="266"/>
      <c r="CN22" s="266"/>
      <c r="CO22" s="266"/>
      <c r="CP22" s="266"/>
      <c r="CQ22" s="266"/>
      <c r="CR22" s="266"/>
      <c r="CS22" s="266"/>
      <c r="CT22" s="267"/>
      <c r="CU22" s="267"/>
      <c r="CV22" s="267"/>
      <c r="CW22" s="267"/>
      <c r="CX22" s="267"/>
      <c r="CY22" s="267"/>
      <c r="CZ22" s="267"/>
      <c r="DA22" s="267"/>
      <c r="DB22" s="267"/>
      <c r="DC22" s="267"/>
      <c r="DD22" s="267"/>
      <c r="DE22" s="267"/>
      <c r="DF22" s="267"/>
      <c r="DG22" s="267"/>
      <c r="DH22" s="267"/>
      <c r="DI22" s="267"/>
      <c r="DJ22" s="268"/>
      <c r="DK22" s="268"/>
      <c r="DL22" s="268"/>
      <c r="DM22" s="268"/>
      <c r="DN22" s="268"/>
      <c r="DO22" s="268"/>
      <c r="DP22" s="268"/>
      <c r="DQ22" s="268"/>
      <c r="DR22" s="268"/>
      <c r="DS22" s="268"/>
      <c r="DT22" s="268"/>
      <c r="DU22" s="268"/>
      <c r="DV22" s="268"/>
      <c r="DW22" s="268"/>
      <c r="DX22" s="268"/>
      <c r="DY22" s="268"/>
      <c r="EA22" s="20" t="str">
        <f>FORMULA!$A$21</f>
        <v>DCP 18% (HARUMI)</v>
      </c>
      <c r="EB22" s="91">
        <f>FORMULA!$C21</f>
        <v>0</v>
      </c>
      <c r="EC22" s="92">
        <f>FORMULA!$E21</f>
        <v>0</v>
      </c>
      <c r="ED22" s="92">
        <f>FORMULA!$G21</f>
        <v>0</v>
      </c>
      <c r="EE22" s="92">
        <f>FORMULA!$I21</f>
        <v>0</v>
      </c>
      <c r="EF22" s="92">
        <f>FORMULA!$K21</f>
        <v>0</v>
      </c>
      <c r="EG22" s="92">
        <f>FORMULA!$M21</f>
        <v>0</v>
      </c>
      <c r="EH22" s="92">
        <f>FORMULA!$O21</f>
        <v>0</v>
      </c>
      <c r="EI22" s="92">
        <f>FORMULA!$Q21</f>
        <v>0</v>
      </c>
      <c r="EJ22" s="92">
        <f>FORMULA!$S21</f>
        <v>0</v>
      </c>
      <c r="EK22" s="92">
        <f>FORMULA!$U21</f>
        <v>0</v>
      </c>
      <c r="EL22" s="92">
        <f>FORMULA!$W21</f>
        <v>0</v>
      </c>
      <c r="EM22" s="92">
        <f>FORMULA!$Y21</f>
        <v>0</v>
      </c>
      <c r="EN22" s="92">
        <f>FORMULA!$AA21</f>
        <v>0</v>
      </c>
      <c r="EO22" s="92">
        <f>FORMULA!$AC21</f>
        <v>0</v>
      </c>
      <c r="EP22" s="92">
        <f>FORMULA!$AE21</f>
        <v>0</v>
      </c>
      <c r="EQ22" s="108"/>
      <c r="ER22" s="91">
        <f>FORMULA!$C109</f>
        <v>0</v>
      </c>
      <c r="ES22" s="92">
        <f>FORMULA!$E109</f>
        <v>0</v>
      </c>
      <c r="ET22" s="92">
        <f>FORMULA!$G109</f>
        <v>0</v>
      </c>
      <c r="EU22" s="92">
        <f>FORMULA!$I109</f>
        <v>0</v>
      </c>
      <c r="EV22" s="92">
        <f>FORMULA!$K109</f>
        <v>0</v>
      </c>
      <c r="EW22" s="92">
        <f>FORMULA!$M109</f>
        <v>0</v>
      </c>
      <c r="EX22" s="92">
        <f>FORMULA!$O109</f>
        <v>0</v>
      </c>
      <c r="EY22" s="92">
        <f>FORMULA!$Q109</f>
        <v>0</v>
      </c>
      <c r="EZ22" s="92">
        <f>FORMULA!$S109</f>
        <v>0</v>
      </c>
      <c r="FA22" s="92">
        <f>FORMULA!$U109</f>
        <v>0</v>
      </c>
      <c r="FB22" s="92">
        <f>FORMULA!$W109</f>
        <v>0</v>
      </c>
      <c r="FC22" s="92">
        <f>FORMULA!$Y109</f>
        <v>0</v>
      </c>
      <c r="FD22" s="92">
        <f>FORMULA!$AA109</f>
        <v>0</v>
      </c>
      <c r="FE22" s="92">
        <f>FORMULA!$AC109</f>
        <v>0</v>
      </c>
      <c r="FF22" s="92">
        <f>FORMULA!$AE109</f>
        <v>0</v>
      </c>
      <c r="FG22" s="94"/>
      <c r="FH22" s="91">
        <f>FORMULA!$C197</f>
        <v>0</v>
      </c>
      <c r="FI22" s="92">
        <f>FORMULA!$E197</f>
        <v>0</v>
      </c>
      <c r="FJ22" s="92">
        <f>FORMULA!$G197</f>
        <v>0</v>
      </c>
      <c r="FK22" s="92">
        <f>FORMULA!$I197</f>
        <v>0</v>
      </c>
      <c r="FL22" s="92">
        <f>FORMULA!$K197</f>
        <v>0</v>
      </c>
      <c r="FM22" s="92">
        <f>FORMULA!$M197</f>
        <v>0</v>
      </c>
      <c r="FN22" s="92">
        <f>FORMULA!$O197</f>
        <v>0</v>
      </c>
      <c r="FO22" s="92">
        <f>FORMULA!$Q197</f>
        <v>0</v>
      </c>
      <c r="FP22" s="92">
        <f>FORMULA!$S197</f>
        <v>0</v>
      </c>
      <c r="FQ22" s="92">
        <f>FORMULA!$U197</f>
        <v>0</v>
      </c>
      <c r="FR22" s="92">
        <f>FORMULA!$W197</f>
        <v>0</v>
      </c>
      <c r="FS22" s="92">
        <f>FORMULA!$Y197</f>
        <v>0</v>
      </c>
      <c r="FT22" s="92">
        <f>FORMULA!$AA197</f>
        <v>0</v>
      </c>
      <c r="FU22" s="92">
        <f>FORMULA!$AC197</f>
        <v>0</v>
      </c>
      <c r="FV22" s="92">
        <f>FORMULA!$AE197</f>
        <v>0</v>
      </c>
      <c r="FW22" s="94"/>
      <c r="FX22" s="91">
        <f>FORMULA!$C285</f>
        <v>0</v>
      </c>
      <c r="FY22" s="92">
        <f>FORMULA!$E285</f>
        <v>0</v>
      </c>
      <c r="FZ22" s="92">
        <f>FORMULA!$G285</f>
        <v>0</v>
      </c>
      <c r="GA22" s="92">
        <f>FORMULA!$I285</f>
        <v>0</v>
      </c>
      <c r="GB22" s="92">
        <f>FORMULA!$K285</f>
        <v>0</v>
      </c>
      <c r="GC22" s="92">
        <f>FORMULA!$M285</f>
        <v>0</v>
      </c>
      <c r="GD22" s="92">
        <f>FORMULA!$O285</f>
        <v>0</v>
      </c>
      <c r="GE22" s="92">
        <f>FORMULA!$Q285</f>
        <v>0</v>
      </c>
      <c r="GF22" s="92">
        <f>FORMULA!$S285</f>
        <v>0</v>
      </c>
      <c r="GG22" s="92">
        <f>FORMULA!$U285</f>
        <v>0</v>
      </c>
      <c r="GH22" s="92">
        <f>FORMULA!$W285</f>
        <v>0</v>
      </c>
      <c r="GI22" s="92">
        <f>FORMULA!$Y285</f>
        <v>0</v>
      </c>
      <c r="GJ22" s="92">
        <f>FORMULA!$AA285</f>
        <v>0</v>
      </c>
      <c r="GK22" s="92">
        <f>FORMULA!$AC285</f>
        <v>0</v>
      </c>
      <c r="GL22" s="92">
        <f>FORMULA!$AE285</f>
        <v>0</v>
      </c>
      <c r="GM22" s="207"/>
      <c r="GN22" s="91">
        <f>FORMULA!$C373</f>
        <v>0</v>
      </c>
      <c r="GO22" s="92">
        <f>FORMULA!$E373</f>
        <v>0</v>
      </c>
      <c r="GP22" s="92">
        <f>FORMULA!$G373</f>
        <v>0</v>
      </c>
      <c r="GQ22" s="92">
        <f>FORMULA!$I373</f>
        <v>0</v>
      </c>
      <c r="GR22" s="92">
        <f>FORMULA!$K373</f>
        <v>0</v>
      </c>
      <c r="GS22" s="92">
        <f>FORMULA!$M373</f>
        <v>0</v>
      </c>
      <c r="GT22" s="92">
        <f>FORMULA!$O373</f>
        <v>0</v>
      </c>
      <c r="GU22" s="92">
        <f>FORMULA!$Q373</f>
        <v>0</v>
      </c>
      <c r="GV22" s="92">
        <f>FORMULA!$S373</f>
        <v>0</v>
      </c>
      <c r="GW22" s="92">
        <f>FORMULA!$U373</f>
        <v>0</v>
      </c>
      <c r="GX22" s="92">
        <f>FORMULA!$W373</f>
        <v>0</v>
      </c>
      <c r="GY22" s="92">
        <f>FORMULA!$Y373</f>
        <v>0</v>
      </c>
      <c r="GZ22" s="92">
        <f>FORMULA!$AA373</f>
        <v>0</v>
      </c>
      <c r="HA22" s="92">
        <f>FORMULA!$AC373</f>
        <v>0</v>
      </c>
      <c r="HB22" s="92">
        <f>FORMULA!$AE373</f>
        <v>0</v>
      </c>
      <c r="HC22" s="207"/>
      <c r="HD22" s="91">
        <f>FORMULA!$C461</f>
        <v>0</v>
      </c>
      <c r="HE22" s="92">
        <f>FORMULA!$E461</f>
        <v>0</v>
      </c>
      <c r="HF22" s="92">
        <f>FORMULA!$G461</f>
        <v>0</v>
      </c>
      <c r="HG22" s="92">
        <f>FORMULA!$I461</f>
        <v>0</v>
      </c>
      <c r="HH22" s="92">
        <f>FORMULA!$K461</f>
        <v>0</v>
      </c>
      <c r="HI22" s="92">
        <f>FORMULA!$M461</f>
        <v>0</v>
      </c>
      <c r="HJ22" s="92">
        <f>FORMULA!$O461</f>
        <v>0</v>
      </c>
      <c r="HK22" s="92">
        <f>FORMULA!$Q461</f>
        <v>0</v>
      </c>
      <c r="HL22" s="92">
        <f>FORMULA!$S461</f>
        <v>0</v>
      </c>
      <c r="HM22" s="92">
        <f>FORMULA!$U461</f>
        <v>0</v>
      </c>
      <c r="HN22" s="92">
        <f>FORMULA!$W461</f>
        <v>0</v>
      </c>
      <c r="HO22" s="92">
        <f>FORMULA!$Y461</f>
        <v>0</v>
      </c>
      <c r="HP22" s="92">
        <f>FORMULA!$AA461</f>
        <v>0</v>
      </c>
      <c r="HQ22" s="92">
        <f>FORMULA!$AC461</f>
        <v>0</v>
      </c>
      <c r="HR22" s="92">
        <f>FORMULA!$AE461</f>
        <v>0</v>
      </c>
      <c r="HS22" s="207"/>
      <c r="HT22" s="91">
        <f>FORMULA!$C549</f>
        <v>0</v>
      </c>
      <c r="HU22" s="92">
        <f>FORMULA!$E549</f>
        <v>0</v>
      </c>
      <c r="HV22" s="92">
        <f>FORMULA!$G549</f>
        <v>0</v>
      </c>
      <c r="HW22" s="92">
        <f>FORMULA!$I549</f>
        <v>0</v>
      </c>
      <c r="HX22" s="92">
        <f>FORMULA!$K549</f>
        <v>0</v>
      </c>
      <c r="HY22" s="92">
        <f>FORMULA!$M549</f>
        <v>0</v>
      </c>
      <c r="HZ22" s="92">
        <f>FORMULA!$O549</f>
        <v>0</v>
      </c>
      <c r="IA22" s="92">
        <f>FORMULA!$Q549</f>
        <v>0</v>
      </c>
      <c r="IB22" s="92">
        <f>FORMULA!$S549</f>
        <v>0</v>
      </c>
      <c r="IC22" s="92">
        <f>FORMULA!$U549</f>
        <v>0</v>
      </c>
      <c r="ID22" s="92">
        <f>FORMULA!$W549</f>
        <v>0</v>
      </c>
      <c r="IE22" s="92">
        <f>FORMULA!$Y549</f>
        <v>0</v>
      </c>
      <c r="IF22" s="92">
        <f>FORMULA!$AA549</f>
        <v>0</v>
      </c>
      <c r="IG22" s="92">
        <f>FORMULA!$AC549</f>
        <v>0</v>
      </c>
      <c r="IH22" s="92">
        <f>FORMULA!$AE549</f>
        <v>0</v>
      </c>
      <c r="II22" s="207"/>
      <c r="IJ22" s="91">
        <f>FORMULA!$C637</f>
        <v>0</v>
      </c>
      <c r="IK22" s="92">
        <f>FORMULA!$E637</f>
        <v>0</v>
      </c>
      <c r="IL22" s="92">
        <f>FORMULA!$G637</f>
        <v>0</v>
      </c>
      <c r="IM22" s="92">
        <f>FORMULA!$I637</f>
        <v>0</v>
      </c>
      <c r="IN22" s="92">
        <f>FORMULA!$K637</f>
        <v>0</v>
      </c>
      <c r="IO22" s="92">
        <f>FORMULA!$M637</f>
        <v>0</v>
      </c>
      <c r="IP22" s="92">
        <f>FORMULA!$O637</f>
        <v>0</v>
      </c>
      <c r="IQ22" s="92">
        <f>FORMULA!$Q637</f>
        <v>0</v>
      </c>
      <c r="IR22" s="92">
        <f>FORMULA!$S637</f>
        <v>0</v>
      </c>
      <c r="IS22" s="92">
        <f>FORMULA!$U637</f>
        <v>0</v>
      </c>
      <c r="IT22" s="92">
        <f>FORMULA!$W637</f>
        <v>0</v>
      </c>
      <c r="IU22" s="92">
        <f>FORMULA!$Y637</f>
        <v>0</v>
      </c>
      <c r="IV22" s="92">
        <f>FORMULA!$AA637</f>
        <v>0</v>
      </c>
      <c r="IW22" s="92">
        <f>FORMULA!$AC637</f>
        <v>0</v>
      </c>
      <c r="IX22" s="92">
        <f>FORMULA!$AE637</f>
        <v>0</v>
      </c>
      <c r="IY22" s="208"/>
    </row>
    <row r="23" spans="1:259" outlineLevel="1">
      <c r="A23" s="260">
        <f>'VAC &amp; MED'!C24</f>
        <v>46041</v>
      </c>
      <c r="B23" s="261"/>
      <c r="C23" s="261"/>
      <c r="D23" s="261"/>
      <c r="E23" s="261"/>
      <c r="F23" s="261"/>
      <c r="G23" s="261"/>
      <c r="H23" s="261"/>
      <c r="I23" s="261"/>
      <c r="J23" s="261"/>
      <c r="K23" s="261"/>
      <c r="L23" s="261"/>
      <c r="M23" s="261"/>
      <c r="N23" s="261"/>
      <c r="O23" s="261"/>
      <c r="P23" s="261"/>
      <c r="Q23" s="261"/>
      <c r="R23" s="262"/>
      <c r="S23" s="262"/>
      <c r="T23" s="262"/>
      <c r="U23" s="262"/>
      <c r="V23" s="262"/>
      <c r="W23" s="262"/>
      <c r="X23" s="262"/>
      <c r="Y23" s="262"/>
      <c r="Z23" s="262"/>
      <c r="AA23" s="262"/>
      <c r="AB23" s="262"/>
      <c r="AC23" s="262"/>
      <c r="AD23" s="262"/>
      <c r="AE23" s="262"/>
      <c r="AF23" s="262"/>
      <c r="AG23" s="262"/>
      <c r="AH23" s="263"/>
      <c r="AI23" s="263"/>
      <c r="AJ23" s="263"/>
      <c r="AK23" s="263"/>
      <c r="AL23" s="263"/>
      <c r="AM23" s="263"/>
      <c r="AN23" s="263"/>
      <c r="AO23" s="263"/>
      <c r="AP23" s="263"/>
      <c r="AQ23" s="263"/>
      <c r="AR23" s="263"/>
      <c r="AS23" s="263"/>
      <c r="AT23" s="263"/>
      <c r="AU23" s="263"/>
      <c r="AV23" s="263"/>
      <c r="AW23" s="263"/>
      <c r="AX23" s="264"/>
      <c r="AY23" s="264"/>
      <c r="AZ23" s="264"/>
      <c r="BA23" s="264"/>
      <c r="BB23" s="264"/>
      <c r="BC23" s="264"/>
      <c r="BD23" s="264"/>
      <c r="BE23" s="264"/>
      <c r="BF23" s="264"/>
      <c r="BG23" s="264"/>
      <c r="BH23" s="264"/>
      <c r="BI23" s="264"/>
      <c r="BJ23" s="264"/>
      <c r="BK23" s="264"/>
      <c r="BL23" s="264"/>
      <c r="BM23" s="264"/>
      <c r="BN23" s="265">
        <v>30</v>
      </c>
      <c r="BO23" s="265"/>
      <c r="BP23" s="265"/>
      <c r="BQ23" s="265">
        <v>32</v>
      </c>
      <c r="BR23" s="265"/>
      <c r="BS23" s="265"/>
      <c r="BT23" s="265"/>
      <c r="BU23" s="265"/>
      <c r="BV23" s="265"/>
      <c r="BW23" s="265"/>
      <c r="BX23" s="265"/>
      <c r="BY23" s="265">
        <v>20</v>
      </c>
      <c r="BZ23" s="265"/>
      <c r="CA23" s="265"/>
      <c r="CB23" s="265"/>
      <c r="CC23" s="265"/>
      <c r="CD23" s="266"/>
      <c r="CE23" s="266"/>
      <c r="CF23" s="266"/>
      <c r="CG23" s="266"/>
      <c r="CH23" s="266"/>
      <c r="CI23" s="266"/>
      <c r="CJ23" s="266"/>
      <c r="CK23" s="266"/>
      <c r="CL23" s="266"/>
      <c r="CM23" s="266"/>
      <c r="CN23" s="266"/>
      <c r="CO23" s="266"/>
      <c r="CP23" s="266"/>
      <c r="CQ23" s="266"/>
      <c r="CR23" s="266"/>
      <c r="CS23" s="266"/>
      <c r="CT23" s="267"/>
      <c r="CU23" s="267"/>
      <c r="CV23" s="267"/>
      <c r="CW23" s="267"/>
      <c r="CX23" s="267"/>
      <c r="CY23" s="267"/>
      <c r="CZ23" s="267"/>
      <c r="DA23" s="267"/>
      <c r="DB23" s="267"/>
      <c r="DC23" s="267"/>
      <c r="DD23" s="267"/>
      <c r="DE23" s="267"/>
      <c r="DF23" s="267"/>
      <c r="DG23" s="267"/>
      <c r="DH23" s="267"/>
      <c r="DI23" s="267"/>
      <c r="DJ23" s="268"/>
      <c r="DK23" s="268"/>
      <c r="DL23" s="268"/>
      <c r="DM23" s="268"/>
      <c r="DN23" s="268"/>
      <c r="DO23" s="268"/>
      <c r="DP23" s="268"/>
      <c r="DQ23" s="268"/>
      <c r="DR23" s="268"/>
      <c r="DS23" s="268"/>
      <c r="DT23" s="268"/>
      <c r="DU23" s="268"/>
      <c r="DV23" s="268"/>
      <c r="DW23" s="268"/>
      <c r="DX23" s="268"/>
      <c r="DY23" s="268"/>
      <c r="EA23" s="20">
        <f>FORMULA!$A$22</f>
        <v>1</v>
      </c>
      <c r="EB23" s="91">
        <f>FORMULA!$C22</f>
        <v>0</v>
      </c>
      <c r="EC23" s="92">
        <f>FORMULA!$E22</f>
        <v>0</v>
      </c>
      <c r="ED23" s="92">
        <f>FORMULA!$G22</f>
        <v>0</v>
      </c>
      <c r="EE23" s="92">
        <f>FORMULA!$I22</f>
        <v>0</v>
      </c>
      <c r="EF23" s="92">
        <f>FORMULA!$K22</f>
        <v>0</v>
      </c>
      <c r="EG23" s="92">
        <f>FORMULA!$M22</f>
        <v>0</v>
      </c>
      <c r="EH23" s="92">
        <f>FORMULA!$O22</f>
        <v>0</v>
      </c>
      <c r="EI23" s="92">
        <f>FORMULA!$Q22</f>
        <v>0</v>
      </c>
      <c r="EJ23" s="92">
        <f>FORMULA!$S22</f>
        <v>0</v>
      </c>
      <c r="EK23" s="92">
        <f>FORMULA!$U22</f>
        <v>0</v>
      </c>
      <c r="EL23" s="92">
        <f>FORMULA!$W22</f>
        <v>0</v>
      </c>
      <c r="EM23" s="92">
        <f>FORMULA!$Y22</f>
        <v>0</v>
      </c>
      <c r="EN23" s="92">
        <f>FORMULA!$AA22</f>
        <v>0</v>
      </c>
      <c r="EO23" s="92">
        <f>FORMULA!$AC22</f>
        <v>0</v>
      </c>
      <c r="EP23" s="92">
        <f>FORMULA!$AE22</f>
        <v>0</v>
      </c>
      <c r="EQ23" s="108"/>
      <c r="ER23" s="91">
        <f>FORMULA!$C110</f>
        <v>0</v>
      </c>
      <c r="ES23" s="92">
        <f>FORMULA!$E110</f>
        <v>0</v>
      </c>
      <c r="ET23" s="92">
        <f>FORMULA!$G110</f>
        <v>0</v>
      </c>
      <c r="EU23" s="92">
        <f>FORMULA!$I110</f>
        <v>0</v>
      </c>
      <c r="EV23" s="92">
        <f>FORMULA!$K110</f>
        <v>0</v>
      </c>
      <c r="EW23" s="92">
        <f>FORMULA!$M110</f>
        <v>0</v>
      </c>
      <c r="EX23" s="92">
        <f>FORMULA!$O110</f>
        <v>0</v>
      </c>
      <c r="EY23" s="92">
        <f>FORMULA!$Q110</f>
        <v>0</v>
      </c>
      <c r="EZ23" s="92">
        <f>FORMULA!$S110</f>
        <v>0</v>
      </c>
      <c r="FA23" s="92">
        <f>FORMULA!$U110</f>
        <v>0</v>
      </c>
      <c r="FB23" s="92">
        <f>FORMULA!$W110</f>
        <v>0</v>
      </c>
      <c r="FC23" s="92">
        <f>FORMULA!$Y110</f>
        <v>0</v>
      </c>
      <c r="FD23" s="92">
        <f>FORMULA!$AA110</f>
        <v>0</v>
      </c>
      <c r="FE23" s="92">
        <f>FORMULA!$AC110</f>
        <v>0</v>
      </c>
      <c r="FF23" s="92">
        <f>FORMULA!$AE110</f>
        <v>0</v>
      </c>
      <c r="FG23" s="94"/>
      <c r="FH23" s="91">
        <f>FORMULA!$C198</f>
        <v>0</v>
      </c>
      <c r="FI23" s="92">
        <f>FORMULA!$E198</f>
        <v>0</v>
      </c>
      <c r="FJ23" s="92">
        <f>FORMULA!$G198</f>
        <v>0</v>
      </c>
      <c r="FK23" s="92">
        <f>FORMULA!$I198</f>
        <v>0</v>
      </c>
      <c r="FL23" s="92">
        <f>FORMULA!$K198</f>
        <v>0</v>
      </c>
      <c r="FM23" s="92">
        <f>FORMULA!$M198</f>
        <v>0</v>
      </c>
      <c r="FN23" s="92">
        <f>FORMULA!$O198</f>
        <v>0</v>
      </c>
      <c r="FO23" s="92">
        <f>FORMULA!$Q198</f>
        <v>0</v>
      </c>
      <c r="FP23" s="92">
        <f>FORMULA!$S198</f>
        <v>0</v>
      </c>
      <c r="FQ23" s="92">
        <f>FORMULA!$U198</f>
        <v>0</v>
      </c>
      <c r="FR23" s="92">
        <f>FORMULA!$W198</f>
        <v>0</v>
      </c>
      <c r="FS23" s="92">
        <f>FORMULA!$Y198</f>
        <v>0</v>
      </c>
      <c r="FT23" s="92">
        <f>FORMULA!$AA198</f>
        <v>0</v>
      </c>
      <c r="FU23" s="92">
        <f>FORMULA!$AC198</f>
        <v>0</v>
      </c>
      <c r="FV23" s="92">
        <f>FORMULA!$AE198</f>
        <v>0</v>
      </c>
      <c r="FW23" s="94"/>
      <c r="FX23" s="91">
        <f>FORMULA!$C286</f>
        <v>0</v>
      </c>
      <c r="FY23" s="92">
        <f>FORMULA!$E286</f>
        <v>0</v>
      </c>
      <c r="FZ23" s="92">
        <f>FORMULA!$G286</f>
        <v>0</v>
      </c>
      <c r="GA23" s="92">
        <f>FORMULA!$I286</f>
        <v>0</v>
      </c>
      <c r="GB23" s="92">
        <f>FORMULA!$K286</f>
        <v>0</v>
      </c>
      <c r="GC23" s="92">
        <f>FORMULA!$M286</f>
        <v>0</v>
      </c>
      <c r="GD23" s="92">
        <f>FORMULA!$O286</f>
        <v>0</v>
      </c>
      <c r="GE23" s="92">
        <f>FORMULA!$Q286</f>
        <v>0</v>
      </c>
      <c r="GF23" s="92">
        <f>FORMULA!$S286</f>
        <v>0</v>
      </c>
      <c r="GG23" s="92">
        <f>FORMULA!$U286</f>
        <v>0</v>
      </c>
      <c r="GH23" s="92">
        <f>FORMULA!$W286</f>
        <v>0</v>
      </c>
      <c r="GI23" s="92">
        <f>FORMULA!$Y286</f>
        <v>0</v>
      </c>
      <c r="GJ23" s="92">
        <f>FORMULA!$AA286</f>
        <v>0</v>
      </c>
      <c r="GK23" s="92">
        <f>FORMULA!$AC286</f>
        <v>0</v>
      </c>
      <c r="GL23" s="92">
        <f>FORMULA!$AE286</f>
        <v>0</v>
      </c>
      <c r="GM23" s="207"/>
      <c r="GN23" s="91">
        <f>FORMULA!$C374</f>
        <v>0</v>
      </c>
      <c r="GO23" s="92">
        <f>FORMULA!$E374</f>
        <v>0</v>
      </c>
      <c r="GP23" s="92">
        <f>FORMULA!$G374</f>
        <v>0</v>
      </c>
      <c r="GQ23" s="92">
        <f>FORMULA!$I374</f>
        <v>0</v>
      </c>
      <c r="GR23" s="92">
        <f>FORMULA!$K374</f>
        <v>0</v>
      </c>
      <c r="GS23" s="92">
        <f>FORMULA!$M374</f>
        <v>0</v>
      </c>
      <c r="GT23" s="92">
        <f>FORMULA!$O374</f>
        <v>0</v>
      </c>
      <c r="GU23" s="92">
        <f>FORMULA!$Q374</f>
        <v>0</v>
      </c>
      <c r="GV23" s="92">
        <f>FORMULA!$S374</f>
        <v>0</v>
      </c>
      <c r="GW23" s="92">
        <f>FORMULA!$U374</f>
        <v>0</v>
      </c>
      <c r="GX23" s="92">
        <f>FORMULA!$W374</f>
        <v>0</v>
      </c>
      <c r="GY23" s="92">
        <f>FORMULA!$Y374</f>
        <v>0</v>
      </c>
      <c r="GZ23" s="92">
        <f>FORMULA!$AA374</f>
        <v>0</v>
      </c>
      <c r="HA23" s="92">
        <f>FORMULA!$AC374</f>
        <v>0</v>
      </c>
      <c r="HB23" s="92">
        <f>FORMULA!$AE374</f>
        <v>0</v>
      </c>
      <c r="HC23" s="207"/>
      <c r="HD23" s="91">
        <f>FORMULA!$C462</f>
        <v>0</v>
      </c>
      <c r="HE23" s="92">
        <f>FORMULA!$E462</f>
        <v>0</v>
      </c>
      <c r="HF23" s="92">
        <f>FORMULA!$G462</f>
        <v>0</v>
      </c>
      <c r="HG23" s="92">
        <f>FORMULA!$I462</f>
        <v>0</v>
      </c>
      <c r="HH23" s="92">
        <f>FORMULA!$K462</f>
        <v>0</v>
      </c>
      <c r="HI23" s="92">
        <f>FORMULA!$M462</f>
        <v>0</v>
      </c>
      <c r="HJ23" s="92">
        <f>FORMULA!$O462</f>
        <v>0</v>
      </c>
      <c r="HK23" s="92">
        <f>FORMULA!$Q462</f>
        <v>0</v>
      </c>
      <c r="HL23" s="92">
        <f>FORMULA!$S462</f>
        <v>0</v>
      </c>
      <c r="HM23" s="92">
        <f>FORMULA!$U462</f>
        <v>0</v>
      </c>
      <c r="HN23" s="92">
        <f>FORMULA!$W462</f>
        <v>0</v>
      </c>
      <c r="HO23" s="92">
        <f>FORMULA!$Y462</f>
        <v>0</v>
      </c>
      <c r="HP23" s="92">
        <f>FORMULA!$AA462</f>
        <v>0</v>
      </c>
      <c r="HQ23" s="92">
        <f>FORMULA!$AC462</f>
        <v>0</v>
      </c>
      <c r="HR23" s="92">
        <f>FORMULA!$AE462</f>
        <v>0</v>
      </c>
      <c r="HS23" s="207"/>
      <c r="HT23" s="91">
        <f>FORMULA!$C550</f>
        <v>0</v>
      </c>
      <c r="HU23" s="92">
        <f>FORMULA!$E550</f>
        <v>0</v>
      </c>
      <c r="HV23" s="92">
        <f>FORMULA!$G550</f>
        <v>0</v>
      </c>
      <c r="HW23" s="92">
        <f>FORMULA!$I550</f>
        <v>0</v>
      </c>
      <c r="HX23" s="92">
        <f>FORMULA!$K550</f>
        <v>0</v>
      </c>
      <c r="HY23" s="92">
        <f>FORMULA!$M550</f>
        <v>0</v>
      </c>
      <c r="HZ23" s="92">
        <f>FORMULA!$O550</f>
        <v>0</v>
      </c>
      <c r="IA23" s="92">
        <f>FORMULA!$Q550</f>
        <v>0</v>
      </c>
      <c r="IB23" s="92">
        <f>FORMULA!$S550</f>
        <v>0</v>
      </c>
      <c r="IC23" s="92">
        <f>FORMULA!$U550</f>
        <v>0</v>
      </c>
      <c r="ID23" s="92">
        <f>FORMULA!$W550</f>
        <v>0</v>
      </c>
      <c r="IE23" s="92">
        <f>FORMULA!$Y550</f>
        <v>0</v>
      </c>
      <c r="IF23" s="92">
        <f>FORMULA!$AA550</f>
        <v>0</v>
      </c>
      <c r="IG23" s="92">
        <f>FORMULA!$AC550</f>
        <v>0</v>
      </c>
      <c r="IH23" s="92">
        <f>FORMULA!$AE550</f>
        <v>0</v>
      </c>
      <c r="II23" s="207"/>
      <c r="IJ23" s="91">
        <f>FORMULA!$C638</f>
        <v>0</v>
      </c>
      <c r="IK23" s="92">
        <f>FORMULA!$E638</f>
        <v>0</v>
      </c>
      <c r="IL23" s="92">
        <f>FORMULA!$G638</f>
        <v>0</v>
      </c>
      <c r="IM23" s="92">
        <f>FORMULA!$I638</f>
        <v>0</v>
      </c>
      <c r="IN23" s="92">
        <f>FORMULA!$K638</f>
        <v>0</v>
      </c>
      <c r="IO23" s="92">
        <f>FORMULA!$M638</f>
        <v>0</v>
      </c>
      <c r="IP23" s="92">
        <f>FORMULA!$O638</f>
        <v>0</v>
      </c>
      <c r="IQ23" s="92">
        <f>FORMULA!$Q638</f>
        <v>0</v>
      </c>
      <c r="IR23" s="92">
        <f>FORMULA!$S638</f>
        <v>0</v>
      </c>
      <c r="IS23" s="92">
        <f>FORMULA!$U638</f>
        <v>0</v>
      </c>
      <c r="IT23" s="92">
        <f>FORMULA!$W638</f>
        <v>0</v>
      </c>
      <c r="IU23" s="92">
        <f>FORMULA!$Y638</f>
        <v>0</v>
      </c>
      <c r="IV23" s="92">
        <f>FORMULA!$AA638</f>
        <v>0</v>
      </c>
      <c r="IW23" s="92">
        <f>FORMULA!$AC638</f>
        <v>0</v>
      </c>
      <c r="IX23" s="92">
        <f>FORMULA!$AE638</f>
        <v>0</v>
      </c>
      <c r="IY23" s="208"/>
    </row>
    <row r="24" spans="1:259" outlineLevel="1">
      <c r="A24" s="260">
        <f>'VAC &amp; MED'!C25</f>
        <v>46042</v>
      </c>
      <c r="B24" s="261"/>
      <c r="C24" s="261"/>
      <c r="D24" s="261"/>
      <c r="E24" s="261"/>
      <c r="F24" s="261"/>
      <c r="G24" s="261"/>
      <c r="H24" s="261"/>
      <c r="I24" s="261"/>
      <c r="J24" s="261"/>
      <c r="K24" s="261"/>
      <c r="L24" s="261"/>
      <c r="M24" s="261"/>
      <c r="N24" s="261"/>
      <c r="O24" s="261"/>
      <c r="P24" s="261"/>
      <c r="Q24" s="261"/>
      <c r="R24" s="262"/>
      <c r="S24" s="262"/>
      <c r="T24" s="262"/>
      <c r="U24" s="262"/>
      <c r="V24" s="262"/>
      <c r="W24" s="262"/>
      <c r="X24" s="262"/>
      <c r="Y24" s="262"/>
      <c r="Z24" s="262"/>
      <c r="AA24" s="262"/>
      <c r="AB24" s="262"/>
      <c r="AC24" s="262"/>
      <c r="AD24" s="262"/>
      <c r="AE24" s="262"/>
      <c r="AF24" s="262"/>
      <c r="AG24" s="262"/>
      <c r="AH24" s="263">
        <v>50</v>
      </c>
      <c r="AI24" s="263"/>
      <c r="AJ24" s="263"/>
      <c r="AK24" s="263"/>
      <c r="AL24" s="263"/>
      <c r="AM24" s="263"/>
      <c r="AN24" s="263"/>
      <c r="AO24" s="263"/>
      <c r="AP24" s="263"/>
      <c r="AQ24" s="263"/>
      <c r="AR24" s="263"/>
      <c r="AS24" s="263"/>
      <c r="AT24" s="263"/>
      <c r="AU24" s="263"/>
      <c r="AV24" s="263"/>
      <c r="AW24" s="263"/>
      <c r="AX24" s="264"/>
      <c r="AY24" s="264"/>
      <c r="AZ24" s="264"/>
      <c r="BA24" s="264"/>
      <c r="BB24" s="264"/>
      <c r="BC24" s="264"/>
      <c r="BD24" s="264"/>
      <c r="BE24" s="264"/>
      <c r="BF24" s="264"/>
      <c r="BG24" s="264"/>
      <c r="BH24" s="264"/>
      <c r="BI24" s="264"/>
      <c r="BJ24" s="264"/>
      <c r="BK24" s="264"/>
      <c r="BL24" s="264"/>
      <c r="BM24" s="264"/>
      <c r="BN24" s="265"/>
      <c r="BO24" s="265"/>
      <c r="BP24" s="265"/>
      <c r="BQ24" s="265"/>
      <c r="BR24" s="265"/>
      <c r="BS24" s="265"/>
      <c r="BT24" s="265"/>
      <c r="BU24" s="265"/>
      <c r="BV24" s="265"/>
      <c r="BW24" s="265"/>
      <c r="BX24" s="265"/>
      <c r="BY24" s="265"/>
      <c r="BZ24" s="265"/>
      <c r="CA24" s="265"/>
      <c r="CB24" s="265"/>
      <c r="CC24" s="265"/>
      <c r="CD24" s="266"/>
      <c r="CE24" s="266"/>
      <c r="CF24" s="266"/>
      <c r="CG24" s="266"/>
      <c r="CH24" s="266"/>
      <c r="CI24" s="266"/>
      <c r="CJ24" s="266"/>
      <c r="CK24" s="266"/>
      <c r="CL24" s="266"/>
      <c r="CM24" s="266"/>
      <c r="CN24" s="266"/>
      <c r="CO24" s="266"/>
      <c r="CP24" s="266"/>
      <c r="CQ24" s="266"/>
      <c r="CR24" s="266"/>
      <c r="CS24" s="266"/>
      <c r="CT24" s="267"/>
      <c r="CU24" s="267"/>
      <c r="CV24" s="267"/>
      <c r="CW24" s="267"/>
      <c r="CX24" s="267"/>
      <c r="CY24" s="267"/>
      <c r="CZ24" s="267"/>
      <c r="DA24" s="267"/>
      <c r="DB24" s="267"/>
      <c r="DC24" s="267"/>
      <c r="DD24" s="267"/>
      <c r="DE24" s="267"/>
      <c r="DF24" s="267"/>
      <c r="DG24" s="267"/>
      <c r="DH24" s="267"/>
      <c r="DI24" s="267"/>
      <c r="DJ24" s="268"/>
      <c r="DK24" s="268"/>
      <c r="DL24" s="268"/>
      <c r="DM24" s="268"/>
      <c r="DN24" s="268"/>
      <c r="DO24" s="268"/>
      <c r="DP24" s="268"/>
      <c r="DQ24" s="268"/>
      <c r="DR24" s="268"/>
      <c r="DS24" s="268"/>
      <c r="DT24" s="268"/>
      <c r="DU24" s="268"/>
      <c r="DV24" s="268"/>
      <c r="DW24" s="268"/>
      <c r="DX24" s="268"/>
      <c r="DY24" s="268"/>
      <c r="EA24" s="20">
        <f>FORMULA!$A$23</f>
        <v>2</v>
      </c>
      <c r="EB24" s="91">
        <f>FORMULA!$C23</f>
        <v>0</v>
      </c>
      <c r="EC24" s="92">
        <f>FORMULA!$E23</f>
        <v>0</v>
      </c>
      <c r="ED24" s="92">
        <f>FORMULA!$G23</f>
        <v>0</v>
      </c>
      <c r="EE24" s="92">
        <f>FORMULA!$I23</f>
        <v>0</v>
      </c>
      <c r="EF24" s="92">
        <f>FORMULA!$K23</f>
        <v>0</v>
      </c>
      <c r="EG24" s="92">
        <f>FORMULA!$M23</f>
        <v>0</v>
      </c>
      <c r="EH24" s="92">
        <f>FORMULA!$O23</f>
        <v>0</v>
      </c>
      <c r="EI24" s="92">
        <f>FORMULA!$Q23</f>
        <v>0</v>
      </c>
      <c r="EJ24" s="92">
        <f>FORMULA!$S23</f>
        <v>0</v>
      </c>
      <c r="EK24" s="92">
        <f>FORMULA!$U23</f>
        <v>0</v>
      </c>
      <c r="EL24" s="92">
        <f>FORMULA!$W23</f>
        <v>0</v>
      </c>
      <c r="EM24" s="92">
        <f>FORMULA!$Y23</f>
        <v>0</v>
      </c>
      <c r="EN24" s="92">
        <f>FORMULA!$AA23</f>
        <v>0</v>
      </c>
      <c r="EO24" s="92">
        <f>FORMULA!$AC23</f>
        <v>0</v>
      </c>
      <c r="EP24" s="92">
        <f>FORMULA!$AE23</f>
        <v>0</v>
      </c>
      <c r="EQ24" s="108"/>
      <c r="ER24" s="91">
        <f>FORMULA!$C111</f>
        <v>0</v>
      </c>
      <c r="ES24" s="92">
        <f>FORMULA!$E111</f>
        <v>0</v>
      </c>
      <c r="ET24" s="92">
        <f>FORMULA!$G111</f>
        <v>0</v>
      </c>
      <c r="EU24" s="92">
        <f>FORMULA!$I111</f>
        <v>0</v>
      </c>
      <c r="EV24" s="92">
        <f>FORMULA!$K111</f>
        <v>0</v>
      </c>
      <c r="EW24" s="92">
        <f>FORMULA!$M111</f>
        <v>0</v>
      </c>
      <c r="EX24" s="92">
        <f>FORMULA!$O111</f>
        <v>0</v>
      </c>
      <c r="EY24" s="92">
        <f>FORMULA!$Q111</f>
        <v>0</v>
      </c>
      <c r="EZ24" s="92">
        <f>FORMULA!$S111</f>
        <v>0</v>
      </c>
      <c r="FA24" s="92">
        <f>FORMULA!$U111</f>
        <v>0</v>
      </c>
      <c r="FB24" s="92">
        <f>FORMULA!$W111</f>
        <v>0</v>
      </c>
      <c r="FC24" s="92">
        <f>FORMULA!$Y111</f>
        <v>0</v>
      </c>
      <c r="FD24" s="92">
        <f>FORMULA!$AA111</f>
        <v>0</v>
      </c>
      <c r="FE24" s="92">
        <f>FORMULA!$AC111</f>
        <v>0</v>
      </c>
      <c r="FF24" s="92">
        <f>FORMULA!$AE111</f>
        <v>0</v>
      </c>
      <c r="FG24" s="94"/>
      <c r="FH24" s="91">
        <f>FORMULA!$C199</f>
        <v>0</v>
      </c>
      <c r="FI24" s="92">
        <f>FORMULA!$E199</f>
        <v>0</v>
      </c>
      <c r="FJ24" s="92">
        <f>FORMULA!$G199</f>
        <v>0</v>
      </c>
      <c r="FK24" s="92">
        <f>FORMULA!$I199</f>
        <v>0</v>
      </c>
      <c r="FL24" s="92">
        <f>FORMULA!$K199</f>
        <v>0</v>
      </c>
      <c r="FM24" s="92">
        <f>FORMULA!$M199</f>
        <v>0</v>
      </c>
      <c r="FN24" s="92">
        <f>FORMULA!$O199</f>
        <v>0</v>
      </c>
      <c r="FO24" s="92">
        <f>FORMULA!$Q199</f>
        <v>0</v>
      </c>
      <c r="FP24" s="92">
        <f>FORMULA!$S199</f>
        <v>0</v>
      </c>
      <c r="FQ24" s="92">
        <f>FORMULA!$U199</f>
        <v>0</v>
      </c>
      <c r="FR24" s="92">
        <f>FORMULA!$W199</f>
        <v>0</v>
      </c>
      <c r="FS24" s="92">
        <f>FORMULA!$Y199</f>
        <v>0</v>
      </c>
      <c r="FT24" s="92">
        <f>FORMULA!$AA199</f>
        <v>0</v>
      </c>
      <c r="FU24" s="92">
        <f>FORMULA!$AC199</f>
        <v>0</v>
      </c>
      <c r="FV24" s="92">
        <f>FORMULA!$AE199</f>
        <v>0</v>
      </c>
      <c r="FW24" s="94"/>
      <c r="FX24" s="91">
        <f>FORMULA!$C287</f>
        <v>0</v>
      </c>
      <c r="FY24" s="92">
        <f>FORMULA!$E287</f>
        <v>0</v>
      </c>
      <c r="FZ24" s="92">
        <f>FORMULA!$G287</f>
        <v>0</v>
      </c>
      <c r="GA24" s="92">
        <f>FORMULA!$I287</f>
        <v>0</v>
      </c>
      <c r="GB24" s="92">
        <f>FORMULA!$K287</f>
        <v>0</v>
      </c>
      <c r="GC24" s="92">
        <f>FORMULA!$M287</f>
        <v>0</v>
      </c>
      <c r="GD24" s="92">
        <f>FORMULA!$O287</f>
        <v>0</v>
      </c>
      <c r="GE24" s="92">
        <f>FORMULA!$Q287</f>
        <v>0</v>
      </c>
      <c r="GF24" s="92">
        <f>FORMULA!$S287</f>
        <v>0</v>
      </c>
      <c r="GG24" s="92">
        <f>FORMULA!$U287</f>
        <v>0</v>
      </c>
      <c r="GH24" s="92">
        <f>FORMULA!$W287</f>
        <v>0</v>
      </c>
      <c r="GI24" s="92">
        <f>FORMULA!$Y287</f>
        <v>0</v>
      </c>
      <c r="GJ24" s="92">
        <f>FORMULA!$AA287</f>
        <v>0</v>
      </c>
      <c r="GK24" s="92">
        <f>FORMULA!$AC287</f>
        <v>0</v>
      </c>
      <c r="GL24" s="92">
        <f>FORMULA!$AE287</f>
        <v>0</v>
      </c>
      <c r="GM24" s="207"/>
      <c r="GN24" s="91">
        <f>FORMULA!$C375</f>
        <v>0</v>
      </c>
      <c r="GO24" s="92">
        <f>FORMULA!$E375</f>
        <v>0</v>
      </c>
      <c r="GP24" s="92">
        <f>FORMULA!$G375</f>
        <v>0</v>
      </c>
      <c r="GQ24" s="92">
        <f>FORMULA!$I375</f>
        <v>0</v>
      </c>
      <c r="GR24" s="92">
        <f>FORMULA!$K375</f>
        <v>0</v>
      </c>
      <c r="GS24" s="92">
        <f>FORMULA!$M375</f>
        <v>0</v>
      </c>
      <c r="GT24" s="92">
        <f>FORMULA!$O375</f>
        <v>0</v>
      </c>
      <c r="GU24" s="92">
        <f>FORMULA!$Q375</f>
        <v>0</v>
      </c>
      <c r="GV24" s="92">
        <f>FORMULA!$S375</f>
        <v>0</v>
      </c>
      <c r="GW24" s="92">
        <f>FORMULA!$U375</f>
        <v>0</v>
      </c>
      <c r="GX24" s="92">
        <f>FORMULA!$W375</f>
        <v>0</v>
      </c>
      <c r="GY24" s="92">
        <f>FORMULA!$Y375</f>
        <v>0</v>
      </c>
      <c r="GZ24" s="92">
        <f>FORMULA!$AA375</f>
        <v>0</v>
      </c>
      <c r="HA24" s="92">
        <f>FORMULA!$AC375</f>
        <v>0</v>
      </c>
      <c r="HB24" s="92">
        <f>FORMULA!$AE375</f>
        <v>0</v>
      </c>
      <c r="HC24" s="207"/>
      <c r="HD24" s="91">
        <f>FORMULA!$C463</f>
        <v>0</v>
      </c>
      <c r="HE24" s="92">
        <f>FORMULA!$E463</f>
        <v>0</v>
      </c>
      <c r="HF24" s="92">
        <f>FORMULA!$G463</f>
        <v>0</v>
      </c>
      <c r="HG24" s="92">
        <f>FORMULA!$I463</f>
        <v>0</v>
      </c>
      <c r="HH24" s="92">
        <f>FORMULA!$K463</f>
        <v>0</v>
      </c>
      <c r="HI24" s="92">
        <f>FORMULA!$M463</f>
        <v>0</v>
      </c>
      <c r="HJ24" s="92">
        <f>FORMULA!$O463</f>
        <v>0</v>
      </c>
      <c r="HK24" s="92">
        <f>FORMULA!$Q463</f>
        <v>0</v>
      </c>
      <c r="HL24" s="92">
        <f>FORMULA!$S463</f>
        <v>0</v>
      </c>
      <c r="HM24" s="92">
        <f>FORMULA!$U463</f>
        <v>0</v>
      </c>
      <c r="HN24" s="92">
        <f>FORMULA!$W463</f>
        <v>0</v>
      </c>
      <c r="HO24" s="92">
        <f>FORMULA!$Y463</f>
        <v>0</v>
      </c>
      <c r="HP24" s="92">
        <f>FORMULA!$AA463</f>
        <v>0</v>
      </c>
      <c r="HQ24" s="92">
        <f>FORMULA!$AC463</f>
        <v>0</v>
      </c>
      <c r="HR24" s="92">
        <f>FORMULA!$AE463</f>
        <v>0</v>
      </c>
      <c r="HS24" s="207"/>
      <c r="HT24" s="91">
        <f>FORMULA!$C551</f>
        <v>0</v>
      </c>
      <c r="HU24" s="92">
        <f>FORMULA!$E551</f>
        <v>0</v>
      </c>
      <c r="HV24" s="92">
        <f>FORMULA!$G551</f>
        <v>0</v>
      </c>
      <c r="HW24" s="92">
        <f>FORMULA!$I551</f>
        <v>0</v>
      </c>
      <c r="HX24" s="92">
        <f>FORMULA!$K551</f>
        <v>0</v>
      </c>
      <c r="HY24" s="92">
        <f>FORMULA!$M551</f>
        <v>0</v>
      </c>
      <c r="HZ24" s="92">
        <f>FORMULA!$O551</f>
        <v>0</v>
      </c>
      <c r="IA24" s="92">
        <f>FORMULA!$Q551</f>
        <v>0</v>
      </c>
      <c r="IB24" s="92">
        <f>FORMULA!$S551</f>
        <v>0</v>
      </c>
      <c r="IC24" s="92">
        <f>FORMULA!$U551</f>
        <v>0</v>
      </c>
      <c r="ID24" s="92">
        <f>FORMULA!$W551</f>
        <v>0</v>
      </c>
      <c r="IE24" s="92">
        <f>FORMULA!$Y551</f>
        <v>0</v>
      </c>
      <c r="IF24" s="92">
        <f>FORMULA!$AA551</f>
        <v>0</v>
      </c>
      <c r="IG24" s="92">
        <f>FORMULA!$AC551</f>
        <v>0</v>
      </c>
      <c r="IH24" s="92">
        <f>FORMULA!$AE551</f>
        <v>0</v>
      </c>
      <c r="II24" s="207"/>
      <c r="IJ24" s="91">
        <f>FORMULA!$C639</f>
        <v>0</v>
      </c>
      <c r="IK24" s="92">
        <f>FORMULA!$E639</f>
        <v>0</v>
      </c>
      <c r="IL24" s="92">
        <f>FORMULA!$G639</f>
        <v>0</v>
      </c>
      <c r="IM24" s="92">
        <f>FORMULA!$I639</f>
        <v>0</v>
      </c>
      <c r="IN24" s="92">
        <f>FORMULA!$K639</f>
        <v>0</v>
      </c>
      <c r="IO24" s="92">
        <f>FORMULA!$M639</f>
        <v>0</v>
      </c>
      <c r="IP24" s="92">
        <f>FORMULA!$O639</f>
        <v>0</v>
      </c>
      <c r="IQ24" s="92">
        <f>FORMULA!$Q639</f>
        <v>0</v>
      </c>
      <c r="IR24" s="92">
        <f>FORMULA!$S639</f>
        <v>0</v>
      </c>
      <c r="IS24" s="92">
        <f>FORMULA!$U639</f>
        <v>0</v>
      </c>
      <c r="IT24" s="92">
        <f>FORMULA!$W639</f>
        <v>0</v>
      </c>
      <c r="IU24" s="92">
        <f>FORMULA!$Y639</f>
        <v>0</v>
      </c>
      <c r="IV24" s="92">
        <f>FORMULA!$AA639</f>
        <v>0</v>
      </c>
      <c r="IW24" s="92">
        <f>FORMULA!$AC639</f>
        <v>0</v>
      </c>
      <c r="IX24" s="92">
        <f>FORMULA!$AE639</f>
        <v>0</v>
      </c>
      <c r="IY24" s="208"/>
    </row>
    <row r="25" spans="1:259" outlineLevel="1">
      <c r="A25" s="260">
        <f>'VAC &amp; MED'!C26</f>
        <v>46043</v>
      </c>
      <c r="B25" s="261"/>
      <c r="C25" s="261"/>
      <c r="D25" s="261"/>
      <c r="E25" s="261"/>
      <c r="F25" s="261"/>
      <c r="G25" s="261"/>
      <c r="H25" s="261"/>
      <c r="I25" s="261"/>
      <c r="J25" s="261"/>
      <c r="K25" s="261"/>
      <c r="L25" s="261"/>
      <c r="M25" s="261"/>
      <c r="N25" s="261"/>
      <c r="O25" s="261"/>
      <c r="P25" s="261"/>
      <c r="Q25" s="261"/>
      <c r="R25" s="262"/>
      <c r="S25" s="262"/>
      <c r="T25" s="262"/>
      <c r="U25" s="262"/>
      <c r="V25" s="262"/>
      <c r="W25" s="262"/>
      <c r="X25" s="262"/>
      <c r="Y25" s="262"/>
      <c r="Z25" s="262"/>
      <c r="AA25" s="262"/>
      <c r="AB25" s="262"/>
      <c r="AC25" s="262"/>
      <c r="AD25" s="262"/>
      <c r="AE25" s="262"/>
      <c r="AF25" s="262"/>
      <c r="AG25" s="262"/>
      <c r="AH25" s="263">
        <v>14</v>
      </c>
      <c r="AI25" s="263"/>
      <c r="AJ25" s="263"/>
      <c r="AK25" s="263"/>
      <c r="AL25" s="263"/>
      <c r="AM25" s="263"/>
      <c r="AN25" s="263"/>
      <c r="AO25" s="263"/>
      <c r="AP25" s="263"/>
      <c r="AQ25" s="263"/>
      <c r="AR25" s="263"/>
      <c r="AS25" s="263"/>
      <c r="AT25" s="263"/>
      <c r="AU25" s="263"/>
      <c r="AV25" s="263"/>
      <c r="AW25" s="263"/>
      <c r="AX25" s="264"/>
      <c r="AY25" s="264"/>
      <c r="AZ25" s="264"/>
      <c r="BA25" s="264"/>
      <c r="BB25" s="264"/>
      <c r="BC25" s="264"/>
      <c r="BD25" s="264"/>
      <c r="BE25" s="264"/>
      <c r="BF25" s="264"/>
      <c r="BG25" s="264"/>
      <c r="BH25" s="264"/>
      <c r="BI25" s="264"/>
      <c r="BJ25" s="264"/>
      <c r="BK25" s="264"/>
      <c r="BL25" s="264"/>
      <c r="BM25" s="264"/>
      <c r="BN25" s="265"/>
      <c r="BO25" s="265"/>
      <c r="BP25" s="265"/>
      <c r="BQ25" s="265"/>
      <c r="BR25" s="265"/>
      <c r="BS25" s="265"/>
      <c r="BT25" s="265"/>
      <c r="BU25" s="265"/>
      <c r="BV25" s="265"/>
      <c r="BW25" s="265"/>
      <c r="BX25" s="265"/>
      <c r="BY25" s="265">
        <v>18</v>
      </c>
      <c r="BZ25" s="265"/>
      <c r="CA25" s="265"/>
      <c r="CB25" s="265"/>
      <c r="CC25" s="265"/>
      <c r="CD25" s="266"/>
      <c r="CE25" s="266"/>
      <c r="CF25" s="266"/>
      <c r="CG25" s="266"/>
      <c r="CH25" s="266"/>
      <c r="CI25" s="266"/>
      <c r="CJ25" s="266"/>
      <c r="CK25" s="266"/>
      <c r="CL25" s="266"/>
      <c r="CM25" s="266"/>
      <c r="CN25" s="266"/>
      <c r="CO25" s="266"/>
      <c r="CP25" s="266"/>
      <c r="CQ25" s="266"/>
      <c r="CR25" s="266"/>
      <c r="CS25" s="266"/>
      <c r="CT25" s="267"/>
      <c r="CU25" s="267"/>
      <c r="CV25" s="267"/>
      <c r="CW25" s="267"/>
      <c r="CX25" s="267"/>
      <c r="CY25" s="267"/>
      <c r="CZ25" s="267"/>
      <c r="DA25" s="267"/>
      <c r="DB25" s="267"/>
      <c r="DC25" s="267"/>
      <c r="DD25" s="267"/>
      <c r="DE25" s="267"/>
      <c r="DF25" s="267"/>
      <c r="DG25" s="267"/>
      <c r="DH25" s="267"/>
      <c r="DI25" s="267"/>
      <c r="DJ25" s="268"/>
      <c r="DK25" s="268"/>
      <c r="DL25" s="268"/>
      <c r="DM25" s="268"/>
      <c r="DN25" s="268"/>
      <c r="DO25" s="268"/>
      <c r="DP25" s="268"/>
      <c r="DQ25" s="268"/>
      <c r="DR25" s="268"/>
      <c r="DS25" s="268"/>
      <c r="DT25" s="268"/>
      <c r="DU25" s="268"/>
      <c r="DV25" s="268"/>
      <c r="DW25" s="268"/>
      <c r="DX25" s="268"/>
      <c r="DY25" s="268"/>
      <c r="EA25" s="20">
        <f>FORMULA!$A$24</f>
        <v>3</v>
      </c>
      <c r="EB25" s="91">
        <f>FORMULA!$C24</f>
        <v>0</v>
      </c>
      <c r="EC25" s="92">
        <f>FORMULA!$E24</f>
        <v>0</v>
      </c>
      <c r="ED25" s="92">
        <f>FORMULA!$G24</f>
        <v>0</v>
      </c>
      <c r="EE25" s="92">
        <f>FORMULA!$I24</f>
        <v>0</v>
      </c>
      <c r="EF25" s="92">
        <f>FORMULA!$K24</f>
        <v>0</v>
      </c>
      <c r="EG25" s="92">
        <f>FORMULA!$M24</f>
        <v>0</v>
      </c>
      <c r="EH25" s="92">
        <f>FORMULA!$O24</f>
        <v>0</v>
      </c>
      <c r="EI25" s="92">
        <f>FORMULA!$Q24</f>
        <v>0</v>
      </c>
      <c r="EJ25" s="92">
        <f>FORMULA!$S24</f>
        <v>0</v>
      </c>
      <c r="EK25" s="92">
        <f>FORMULA!$U24</f>
        <v>0</v>
      </c>
      <c r="EL25" s="92">
        <f>FORMULA!$W24</f>
        <v>0</v>
      </c>
      <c r="EM25" s="92">
        <f>FORMULA!$Y24</f>
        <v>0</v>
      </c>
      <c r="EN25" s="92">
        <f>FORMULA!$AA24</f>
        <v>0</v>
      </c>
      <c r="EO25" s="92">
        <f>FORMULA!$AC24</f>
        <v>0</v>
      </c>
      <c r="EP25" s="92">
        <f>FORMULA!$AE24</f>
        <v>0</v>
      </c>
      <c r="EQ25" s="108"/>
      <c r="ER25" s="91">
        <f>FORMULA!$C112</f>
        <v>0</v>
      </c>
      <c r="ES25" s="92">
        <f>FORMULA!$E112</f>
        <v>0</v>
      </c>
      <c r="ET25" s="92">
        <f>FORMULA!$G112</f>
        <v>0</v>
      </c>
      <c r="EU25" s="92">
        <f>FORMULA!$I112</f>
        <v>0</v>
      </c>
      <c r="EV25" s="92">
        <f>FORMULA!$K112</f>
        <v>0</v>
      </c>
      <c r="EW25" s="92">
        <f>FORMULA!$M112</f>
        <v>0</v>
      </c>
      <c r="EX25" s="92">
        <f>FORMULA!$O112</f>
        <v>0</v>
      </c>
      <c r="EY25" s="92">
        <f>FORMULA!$Q112</f>
        <v>0</v>
      </c>
      <c r="EZ25" s="92">
        <f>FORMULA!$S112</f>
        <v>0</v>
      </c>
      <c r="FA25" s="92">
        <f>FORMULA!$U112</f>
        <v>0</v>
      </c>
      <c r="FB25" s="92">
        <f>FORMULA!$W112</f>
        <v>0</v>
      </c>
      <c r="FC25" s="92">
        <f>FORMULA!$Y112</f>
        <v>0</v>
      </c>
      <c r="FD25" s="92">
        <f>FORMULA!$AA112</f>
        <v>0</v>
      </c>
      <c r="FE25" s="92">
        <f>FORMULA!$AC112</f>
        <v>0</v>
      </c>
      <c r="FF25" s="92">
        <f>FORMULA!$AE112</f>
        <v>0</v>
      </c>
      <c r="FG25" s="94"/>
      <c r="FH25" s="91">
        <f>FORMULA!$C200</f>
        <v>0</v>
      </c>
      <c r="FI25" s="92">
        <f>FORMULA!$E200</f>
        <v>0</v>
      </c>
      <c r="FJ25" s="92">
        <f>FORMULA!$G200</f>
        <v>0</v>
      </c>
      <c r="FK25" s="92">
        <f>FORMULA!$I200</f>
        <v>0</v>
      </c>
      <c r="FL25" s="92">
        <f>FORMULA!$K200</f>
        <v>0</v>
      </c>
      <c r="FM25" s="92">
        <f>FORMULA!$M200</f>
        <v>0</v>
      </c>
      <c r="FN25" s="92">
        <f>FORMULA!$O200</f>
        <v>0</v>
      </c>
      <c r="FO25" s="92">
        <f>FORMULA!$Q200</f>
        <v>0</v>
      </c>
      <c r="FP25" s="92">
        <f>FORMULA!$S200</f>
        <v>0</v>
      </c>
      <c r="FQ25" s="92">
        <f>FORMULA!$U200</f>
        <v>0</v>
      </c>
      <c r="FR25" s="92">
        <f>FORMULA!$W200</f>
        <v>0</v>
      </c>
      <c r="FS25" s="92">
        <f>FORMULA!$Y200</f>
        <v>0</v>
      </c>
      <c r="FT25" s="92">
        <f>FORMULA!$AA200</f>
        <v>0</v>
      </c>
      <c r="FU25" s="92">
        <f>FORMULA!$AC200</f>
        <v>0</v>
      </c>
      <c r="FV25" s="92">
        <f>FORMULA!$AE200</f>
        <v>0</v>
      </c>
      <c r="FW25" s="94"/>
      <c r="FX25" s="91">
        <f>FORMULA!$C288</f>
        <v>0</v>
      </c>
      <c r="FY25" s="92">
        <f>FORMULA!$E288</f>
        <v>0</v>
      </c>
      <c r="FZ25" s="92">
        <f>FORMULA!$G288</f>
        <v>0</v>
      </c>
      <c r="GA25" s="92">
        <f>FORMULA!$I288</f>
        <v>0</v>
      </c>
      <c r="GB25" s="92">
        <f>FORMULA!$K288</f>
        <v>0</v>
      </c>
      <c r="GC25" s="92">
        <f>FORMULA!$M288</f>
        <v>0</v>
      </c>
      <c r="GD25" s="92">
        <f>FORMULA!$O288</f>
        <v>0</v>
      </c>
      <c r="GE25" s="92">
        <f>FORMULA!$Q288</f>
        <v>0</v>
      </c>
      <c r="GF25" s="92">
        <f>FORMULA!$S288</f>
        <v>0</v>
      </c>
      <c r="GG25" s="92">
        <f>FORMULA!$U288</f>
        <v>0</v>
      </c>
      <c r="GH25" s="92">
        <f>FORMULA!$W288</f>
        <v>0</v>
      </c>
      <c r="GI25" s="92">
        <f>FORMULA!$Y288</f>
        <v>0</v>
      </c>
      <c r="GJ25" s="92">
        <f>FORMULA!$AA288</f>
        <v>0</v>
      </c>
      <c r="GK25" s="92">
        <f>FORMULA!$AC288</f>
        <v>0</v>
      </c>
      <c r="GL25" s="92">
        <f>FORMULA!$AE288</f>
        <v>0</v>
      </c>
      <c r="GM25" s="207"/>
      <c r="GN25" s="91">
        <f>FORMULA!$C376</f>
        <v>0</v>
      </c>
      <c r="GO25" s="92">
        <f>FORMULA!$E376</f>
        <v>0</v>
      </c>
      <c r="GP25" s="92">
        <f>FORMULA!$G376</f>
        <v>0</v>
      </c>
      <c r="GQ25" s="92">
        <f>FORMULA!$I376</f>
        <v>0</v>
      </c>
      <c r="GR25" s="92">
        <f>FORMULA!$K376</f>
        <v>0</v>
      </c>
      <c r="GS25" s="92">
        <f>FORMULA!$M376</f>
        <v>0</v>
      </c>
      <c r="GT25" s="92">
        <f>FORMULA!$O376</f>
        <v>0</v>
      </c>
      <c r="GU25" s="92">
        <f>FORMULA!$Q376</f>
        <v>0</v>
      </c>
      <c r="GV25" s="92">
        <f>FORMULA!$S376</f>
        <v>0</v>
      </c>
      <c r="GW25" s="92">
        <f>FORMULA!$U376</f>
        <v>0</v>
      </c>
      <c r="GX25" s="92">
        <f>FORMULA!$W376</f>
        <v>0</v>
      </c>
      <c r="GY25" s="92">
        <f>FORMULA!$Y376</f>
        <v>0</v>
      </c>
      <c r="GZ25" s="92">
        <f>FORMULA!$AA376</f>
        <v>0</v>
      </c>
      <c r="HA25" s="92">
        <f>FORMULA!$AC376</f>
        <v>0</v>
      </c>
      <c r="HB25" s="92">
        <f>FORMULA!$AE376</f>
        <v>0</v>
      </c>
      <c r="HC25" s="207"/>
      <c r="HD25" s="91">
        <f>FORMULA!$C464</f>
        <v>0</v>
      </c>
      <c r="HE25" s="92">
        <f>FORMULA!$E464</f>
        <v>0</v>
      </c>
      <c r="HF25" s="92">
        <f>FORMULA!$G464</f>
        <v>0</v>
      </c>
      <c r="HG25" s="92">
        <f>FORMULA!$I464</f>
        <v>0</v>
      </c>
      <c r="HH25" s="92">
        <f>FORMULA!$K464</f>
        <v>0</v>
      </c>
      <c r="HI25" s="92">
        <f>FORMULA!$M464</f>
        <v>0</v>
      </c>
      <c r="HJ25" s="92">
        <f>FORMULA!$O464</f>
        <v>0</v>
      </c>
      <c r="HK25" s="92">
        <f>FORMULA!$Q464</f>
        <v>0</v>
      </c>
      <c r="HL25" s="92">
        <f>FORMULA!$S464</f>
        <v>0</v>
      </c>
      <c r="HM25" s="92">
        <f>FORMULA!$U464</f>
        <v>0</v>
      </c>
      <c r="HN25" s="92">
        <f>FORMULA!$W464</f>
        <v>0</v>
      </c>
      <c r="HO25" s="92">
        <f>FORMULA!$Y464</f>
        <v>0</v>
      </c>
      <c r="HP25" s="92">
        <f>FORMULA!$AA464</f>
        <v>0</v>
      </c>
      <c r="HQ25" s="92">
        <f>FORMULA!$AC464</f>
        <v>0</v>
      </c>
      <c r="HR25" s="92">
        <f>FORMULA!$AE464</f>
        <v>0</v>
      </c>
      <c r="HS25" s="207"/>
      <c r="HT25" s="91">
        <f>FORMULA!$C552</f>
        <v>0</v>
      </c>
      <c r="HU25" s="92">
        <f>FORMULA!$E552</f>
        <v>0</v>
      </c>
      <c r="HV25" s="92">
        <f>FORMULA!$G552</f>
        <v>0</v>
      </c>
      <c r="HW25" s="92">
        <f>FORMULA!$I552</f>
        <v>0</v>
      </c>
      <c r="HX25" s="92">
        <f>FORMULA!$K552</f>
        <v>0</v>
      </c>
      <c r="HY25" s="92">
        <f>FORMULA!$M552</f>
        <v>0</v>
      </c>
      <c r="HZ25" s="92">
        <f>FORMULA!$O552</f>
        <v>0</v>
      </c>
      <c r="IA25" s="92">
        <f>FORMULA!$Q552</f>
        <v>0</v>
      </c>
      <c r="IB25" s="92">
        <f>FORMULA!$S552</f>
        <v>0</v>
      </c>
      <c r="IC25" s="92">
        <f>FORMULA!$U552</f>
        <v>0</v>
      </c>
      <c r="ID25" s="92">
        <f>FORMULA!$W552</f>
        <v>0</v>
      </c>
      <c r="IE25" s="92">
        <f>FORMULA!$Y552</f>
        <v>0</v>
      </c>
      <c r="IF25" s="92">
        <f>FORMULA!$AA552</f>
        <v>0</v>
      </c>
      <c r="IG25" s="92">
        <f>FORMULA!$AC552</f>
        <v>0</v>
      </c>
      <c r="IH25" s="92">
        <f>FORMULA!$AE552</f>
        <v>0</v>
      </c>
      <c r="II25" s="207"/>
      <c r="IJ25" s="91">
        <f>FORMULA!$C640</f>
        <v>0</v>
      </c>
      <c r="IK25" s="92">
        <f>FORMULA!$E640</f>
        <v>0</v>
      </c>
      <c r="IL25" s="92">
        <f>FORMULA!$G640</f>
        <v>0</v>
      </c>
      <c r="IM25" s="92">
        <f>FORMULA!$I640</f>
        <v>0</v>
      </c>
      <c r="IN25" s="92">
        <f>FORMULA!$K640</f>
        <v>0</v>
      </c>
      <c r="IO25" s="92">
        <f>FORMULA!$M640</f>
        <v>0</v>
      </c>
      <c r="IP25" s="92">
        <f>FORMULA!$O640</f>
        <v>0</v>
      </c>
      <c r="IQ25" s="92">
        <f>FORMULA!$Q640</f>
        <v>0</v>
      </c>
      <c r="IR25" s="92">
        <f>FORMULA!$S640</f>
        <v>0</v>
      </c>
      <c r="IS25" s="92">
        <f>FORMULA!$U640</f>
        <v>0</v>
      </c>
      <c r="IT25" s="92">
        <f>FORMULA!$W640</f>
        <v>0</v>
      </c>
      <c r="IU25" s="92">
        <f>FORMULA!$Y640</f>
        <v>0</v>
      </c>
      <c r="IV25" s="92">
        <f>FORMULA!$AA640</f>
        <v>0</v>
      </c>
      <c r="IW25" s="92">
        <f>FORMULA!$AC640</f>
        <v>0</v>
      </c>
      <c r="IX25" s="92">
        <f>FORMULA!$AE640</f>
        <v>0</v>
      </c>
      <c r="IY25" s="208"/>
    </row>
    <row r="26" spans="1:259" outlineLevel="1">
      <c r="A26" s="260">
        <f>'VAC &amp; MED'!C27</f>
        <v>46044</v>
      </c>
      <c r="B26" s="261"/>
      <c r="C26" s="261"/>
      <c r="D26" s="261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262"/>
      <c r="S26" s="262"/>
      <c r="T26" s="262"/>
      <c r="U26" s="262"/>
      <c r="V26" s="262"/>
      <c r="W26" s="262"/>
      <c r="X26" s="262"/>
      <c r="Y26" s="262"/>
      <c r="Z26" s="262"/>
      <c r="AA26" s="262"/>
      <c r="AB26" s="262"/>
      <c r="AC26" s="262"/>
      <c r="AD26" s="262"/>
      <c r="AE26" s="262"/>
      <c r="AF26" s="262"/>
      <c r="AG26" s="262"/>
      <c r="AH26" s="263"/>
      <c r="AI26" s="263"/>
      <c r="AJ26" s="263"/>
      <c r="AK26" s="263"/>
      <c r="AL26" s="263"/>
      <c r="AM26" s="263"/>
      <c r="AN26" s="263"/>
      <c r="AO26" s="263"/>
      <c r="AP26" s="263"/>
      <c r="AQ26" s="263"/>
      <c r="AR26" s="263"/>
      <c r="AS26" s="263"/>
      <c r="AT26" s="263"/>
      <c r="AU26" s="263"/>
      <c r="AV26" s="263"/>
      <c r="AW26" s="263"/>
      <c r="AX26" s="264"/>
      <c r="AY26" s="264"/>
      <c r="AZ26" s="264"/>
      <c r="BA26" s="264"/>
      <c r="BB26" s="264"/>
      <c r="BC26" s="264"/>
      <c r="BD26" s="264"/>
      <c r="BE26" s="264"/>
      <c r="BF26" s="264"/>
      <c r="BG26" s="264"/>
      <c r="BH26" s="264"/>
      <c r="BI26" s="264"/>
      <c r="BJ26" s="264"/>
      <c r="BK26" s="264"/>
      <c r="BL26" s="264"/>
      <c r="BM26" s="264"/>
      <c r="BN26" s="265"/>
      <c r="BO26" s="265"/>
      <c r="BP26" s="265"/>
      <c r="BQ26" s="265">
        <v>40</v>
      </c>
      <c r="BR26" s="265"/>
      <c r="BS26" s="265"/>
      <c r="BT26" s="265"/>
      <c r="BU26" s="265"/>
      <c r="BV26" s="265"/>
      <c r="BW26" s="265"/>
      <c r="BX26" s="265"/>
      <c r="BY26" s="265"/>
      <c r="BZ26" s="265"/>
      <c r="CA26" s="265"/>
      <c r="CB26" s="265"/>
      <c r="CC26" s="265"/>
      <c r="CD26" s="266"/>
      <c r="CE26" s="266"/>
      <c r="CF26" s="266"/>
      <c r="CG26" s="266"/>
      <c r="CH26" s="266"/>
      <c r="CI26" s="266"/>
      <c r="CJ26" s="266"/>
      <c r="CK26" s="266"/>
      <c r="CL26" s="266"/>
      <c r="CM26" s="266"/>
      <c r="CN26" s="266"/>
      <c r="CO26" s="266"/>
      <c r="CP26" s="266"/>
      <c r="CQ26" s="266"/>
      <c r="CR26" s="266"/>
      <c r="CS26" s="266"/>
      <c r="CT26" s="267"/>
      <c r="CU26" s="267"/>
      <c r="CV26" s="267"/>
      <c r="CW26" s="267"/>
      <c r="CX26" s="267"/>
      <c r="CY26" s="267"/>
      <c r="CZ26" s="267"/>
      <c r="DA26" s="267"/>
      <c r="DB26" s="267"/>
      <c r="DC26" s="267"/>
      <c r="DD26" s="267"/>
      <c r="DE26" s="267"/>
      <c r="DF26" s="267"/>
      <c r="DG26" s="267"/>
      <c r="DH26" s="267"/>
      <c r="DI26" s="267"/>
      <c r="DJ26" s="268"/>
      <c r="DK26" s="268"/>
      <c r="DL26" s="268"/>
      <c r="DM26" s="268"/>
      <c r="DN26" s="268"/>
      <c r="DO26" s="268"/>
      <c r="DP26" s="268"/>
      <c r="DQ26" s="268"/>
      <c r="DR26" s="268"/>
      <c r="DS26" s="268"/>
      <c r="DT26" s="268"/>
      <c r="DU26" s="268"/>
      <c r="DV26" s="268"/>
      <c r="DW26" s="268"/>
      <c r="DX26" s="268"/>
      <c r="DY26" s="268"/>
      <c r="EA26" s="20" t="str">
        <f>FORMULA!$A$25</f>
        <v>PREMIX 1101 (20KG)</v>
      </c>
      <c r="EB26" s="91">
        <f>FORMULA!$C25</f>
        <v>20</v>
      </c>
      <c r="EC26" s="92">
        <f>FORMULA!$E25</f>
        <v>0</v>
      </c>
      <c r="ED26" s="92">
        <f>FORMULA!$G25</f>
        <v>0</v>
      </c>
      <c r="EE26" s="92">
        <f>FORMULA!$I25</f>
        <v>0</v>
      </c>
      <c r="EF26" s="92">
        <f>FORMULA!$K25</f>
        <v>0</v>
      </c>
      <c r="EG26" s="92">
        <f>FORMULA!$M25</f>
        <v>0</v>
      </c>
      <c r="EH26" s="92">
        <f>FORMULA!$O25</f>
        <v>0</v>
      </c>
      <c r="EI26" s="92">
        <f>FORMULA!$Q25</f>
        <v>0</v>
      </c>
      <c r="EJ26" s="92">
        <f>FORMULA!$S25</f>
        <v>0</v>
      </c>
      <c r="EK26" s="92">
        <f>FORMULA!$U25</f>
        <v>0</v>
      </c>
      <c r="EL26" s="92">
        <f>FORMULA!$W25</f>
        <v>0</v>
      </c>
      <c r="EM26" s="92">
        <f>FORMULA!$Y25</f>
        <v>0</v>
      </c>
      <c r="EN26" s="92">
        <f>FORMULA!$AA25</f>
        <v>0</v>
      </c>
      <c r="EO26" s="92">
        <f>FORMULA!$AC25</f>
        <v>0</v>
      </c>
      <c r="EP26" s="92">
        <f>FORMULA!$AE25</f>
        <v>0</v>
      </c>
      <c r="EQ26" s="108"/>
      <c r="ER26" s="91">
        <f>FORMULA!$C113</f>
        <v>0</v>
      </c>
      <c r="ES26" s="92">
        <f>FORMULA!$E113</f>
        <v>0</v>
      </c>
      <c r="ET26" s="92">
        <f>FORMULA!$G113</f>
        <v>0</v>
      </c>
      <c r="EU26" s="92">
        <f>FORMULA!$I113</f>
        <v>0</v>
      </c>
      <c r="EV26" s="92">
        <f>FORMULA!$K113</f>
        <v>0</v>
      </c>
      <c r="EW26" s="92">
        <f>FORMULA!$M113</f>
        <v>0</v>
      </c>
      <c r="EX26" s="92">
        <f>FORMULA!$O113</f>
        <v>0</v>
      </c>
      <c r="EY26" s="92">
        <f>FORMULA!$Q113</f>
        <v>0</v>
      </c>
      <c r="EZ26" s="92">
        <f>FORMULA!$S113</f>
        <v>0</v>
      </c>
      <c r="FA26" s="92">
        <f>FORMULA!$U113</f>
        <v>0</v>
      </c>
      <c r="FB26" s="92">
        <f>FORMULA!$W113</f>
        <v>0</v>
      </c>
      <c r="FC26" s="92">
        <f>FORMULA!$Y113</f>
        <v>0</v>
      </c>
      <c r="FD26" s="92">
        <f>FORMULA!$AA113</f>
        <v>0</v>
      </c>
      <c r="FE26" s="92">
        <f>FORMULA!$AC113</f>
        <v>0</v>
      </c>
      <c r="FF26" s="92">
        <f>FORMULA!$AE113</f>
        <v>0</v>
      </c>
      <c r="FG26" s="94"/>
      <c r="FH26" s="91">
        <f>FORMULA!$C201</f>
        <v>0</v>
      </c>
      <c r="FI26" s="92">
        <f>FORMULA!$E201</f>
        <v>0</v>
      </c>
      <c r="FJ26" s="92">
        <f>FORMULA!$G201</f>
        <v>0</v>
      </c>
      <c r="FK26" s="92">
        <f>FORMULA!$I201</f>
        <v>0</v>
      </c>
      <c r="FL26" s="92">
        <f>FORMULA!$K201</f>
        <v>0</v>
      </c>
      <c r="FM26" s="92">
        <f>FORMULA!$M201</f>
        <v>0</v>
      </c>
      <c r="FN26" s="92">
        <f>FORMULA!$O201</f>
        <v>0</v>
      </c>
      <c r="FO26" s="92">
        <f>FORMULA!$Q201</f>
        <v>0</v>
      </c>
      <c r="FP26" s="92">
        <f>FORMULA!$S201</f>
        <v>0</v>
      </c>
      <c r="FQ26" s="92">
        <f>FORMULA!$U201</f>
        <v>0</v>
      </c>
      <c r="FR26" s="92">
        <f>FORMULA!$W201</f>
        <v>0</v>
      </c>
      <c r="FS26" s="92">
        <f>FORMULA!$Y201</f>
        <v>0</v>
      </c>
      <c r="FT26" s="92">
        <f>FORMULA!$AA201</f>
        <v>0</v>
      </c>
      <c r="FU26" s="92">
        <f>FORMULA!$AC201</f>
        <v>0</v>
      </c>
      <c r="FV26" s="92">
        <f>FORMULA!$AE201</f>
        <v>0</v>
      </c>
      <c r="FW26" s="94"/>
      <c r="FX26" s="91">
        <f>FORMULA!$C289</f>
        <v>0</v>
      </c>
      <c r="FY26" s="92">
        <f>FORMULA!$E289</f>
        <v>0</v>
      </c>
      <c r="FZ26" s="92">
        <f>FORMULA!$G289</f>
        <v>0</v>
      </c>
      <c r="GA26" s="92">
        <f>FORMULA!$I289</f>
        <v>0</v>
      </c>
      <c r="GB26" s="92">
        <f>FORMULA!$K289</f>
        <v>0</v>
      </c>
      <c r="GC26" s="92">
        <f>FORMULA!$M289</f>
        <v>0</v>
      </c>
      <c r="GD26" s="92">
        <f>FORMULA!$O289</f>
        <v>0</v>
      </c>
      <c r="GE26" s="92">
        <f>FORMULA!$Q289</f>
        <v>0</v>
      </c>
      <c r="GF26" s="92">
        <f>FORMULA!$S289</f>
        <v>0</v>
      </c>
      <c r="GG26" s="92">
        <f>FORMULA!$U289</f>
        <v>0</v>
      </c>
      <c r="GH26" s="92">
        <f>FORMULA!$W289</f>
        <v>0</v>
      </c>
      <c r="GI26" s="92">
        <f>FORMULA!$Y289</f>
        <v>0</v>
      </c>
      <c r="GJ26" s="92">
        <f>FORMULA!$AA289</f>
        <v>0</v>
      </c>
      <c r="GK26" s="92">
        <f>FORMULA!$AC289</f>
        <v>0</v>
      </c>
      <c r="GL26" s="92">
        <f>FORMULA!$AE289</f>
        <v>0</v>
      </c>
      <c r="GM26" s="207"/>
      <c r="GN26" s="91">
        <f>FORMULA!$C377</f>
        <v>0</v>
      </c>
      <c r="GO26" s="92">
        <f>FORMULA!$E377</f>
        <v>0</v>
      </c>
      <c r="GP26" s="92">
        <f>FORMULA!$G377</f>
        <v>0</v>
      </c>
      <c r="GQ26" s="92">
        <f>FORMULA!$I377</f>
        <v>0</v>
      </c>
      <c r="GR26" s="92">
        <f>FORMULA!$K377</f>
        <v>0</v>
      </c>
      <c r="GS26" s="92">
        <f>FORMULA!$M377</f>
        <v>0</v>
      </c>
      <c r="GT26" s="92">
        <f>FORMULA!$O377</f>
        <v>0</v>
      </c>
      <c r="GU26" s="92">
        <f>FORMULA!$Q377</f>
        <v>0</v>
      </c>
      <c r="GV26" s="92">
        <f>FORMULA!$S377</f>
        <v>0</v>
      </c>
      <c r="GW26" s="92">
        <f>FORMULA!$U377</f>
        <v>0</v>
      </c>
      <c r="GX26" s="92">
        <f>FORMULA!$W377</f>
        <v>0</v>
      </c>
      <c r="GY26" s="92">
        <f>FORMULA!$Y377</f>
        <v>0</v>
      </c>
      <c r="GZ26" s="92">
        <f>FORMULA!$AA377</f>
        <v>0</v>
      </c>
      <c r="HA26" s="92">
        <f>FORMULA!$AC377</f>
        <v>0</v>
      </c>
      <c r="HB26" s="92">
        <f>FORMULA!$AE377</f>
        <v>0</v>
      </c>
      <c r="HC26" s="207"/>
      <c r="HD26" s="91">
        <f>FORMULA!$C465</f>
        <v>0</v>
      </c>
      <c r="HE26" s="92">
        <f>FORMULA!$E465</f>
        <v>0</v>
      </c>
      <c r="HF26" s="92">
        <f>FORMULA!$G465</f>
        <v>0</v>
      </c>
      <c r="HG26" s="92">
        <f>FORMULA!$I465</f>
        <v>0</v>
      </c>
      <c r="HH26" s="92">
        <f>FORMULA!$K465</f>
        <v>0</v>
      </c>
      <c r="HI26" s="92">
        <f>FORMULA!$M465</f>
        <v>0</v>
      </c>
      <c r="HJ26" s="92">
        <f>FORMULA!$O465</f>
        <v>0</v>
      </c>
      <c r="HK26" s="92">
        <f>FORMULA!$Q465</f>
        <v>0</v>
      </c>
      <c r="HL26" s="92">
        <f>FORMULA!$S465</f>
        <v>0</v>
      </c>
      <c r="HM26" s="92">
        <f>FORMULA!$U465</f>
        <v>0</v>
      </c>
      <c r="HN26" s="92">
        <f>FORMULA!$W465</f>
        <v>0</v>
      </c>
      <c r="HO26" s="92">
        <f>FORMULA!$Y465</f>
        <v>0</v>
      </c>
      <c r="HP26" s="92">
        <f>FORMULA!$AA465</f>
        <v>0</v>
      </c>
      <c r="HQ26" s="92">
        <f>FORMULA!$AC465</f>
        <v>0</v>
      </c>
      <c r="HR26" s="92">
        <f>FORMULA!$AE465</f>
        <v>0</v>
      </c>
      <c r="HS26" s="207"/>
      <c r="HT26" s="91">
        <f>FORMULA!$C553</f>
        <v>0</v>
      </c>
      <c r="HU26" s="92">
        <f>FORMULA!$E553</f>
        <v>0</v>
      </c>
      <c r="HV26" s="92">
        <f>FORMULA!$G553</f>
        <v>0</v>
      </c>
      <c r="HW26" s="92">
        <f>FORMULA!$I553</f>
        <v>0</v>
      </c>
      <c r="HX26" s="92">
        <f>FORMULA!$K553</f>
        <v>0</v>
      </c>
      <c r="HY26" s="92">
        <f>FORMULA!$M553</f>
        <v>0</v>
      </c>
      <c r="HZ26" s="92">
        <f>FORMULA!$O553</f>
        <v>0</v>
      </c>
      <c r="IA26" s="92">
        <f>FORMULA!$Q553</f>
        <v>0</v>
      </c>
      <c r="IB26" s="92">
        <f>FORMULA!$S553</f>
        <v>0</v>
      </c>
      <c r="IC26" s="92">
        <f>FORMULA!$U553</f>
        <v>0</v>
      </c>
      <c r="ID26" s="92">
        <f>FORMULA!$W553</f>
        <v>0</v>
      </c>
      <c r="IE26" s="92">
        <f>FORMULA!$Y553</f>
        <v>0</v>
      </c>
      <c r="IF26" s="92">
        <f>FORMULA!$AA553</f>
        <v>0</v>
      </c>
      <c r="IG26" s="92">
        <f>FORMULA!$AC553</f>
        <v>0</v>
      </c>
      <c r="IH26" s="92">
        <f>FORMULA!$AE553</f>
        <v>0</v>
      </c>
      <c r="II26" s="207"/>
      <c r="IJ26" s="91">
        <f>FORMULA!$C641</f>
        <v>0</v>
      </c>
      <c r="IK26" s="92">
        <f>FORMULA!$E641</f>
        <v>0</v>
      </c>
      <c r="IL26" s="92">
        <f>FORMULA!$G641</f>
        <v>0</v>
      </c>
      <c r="IM26" s="92">
        <f>FORMULA!$I641</f>
        <v>0</v>
      </c>
      <c r="IN26" s="92">
        <f>FORMULA!$K641</f>
        <v>0</v>
      </c>
      <c r="IO26" s="92">
        <f>FORMULA!$M641</f>
        <v>0</v>
      </c>
      <c r="IP26" s="92">
        <f>FORMULA!$O641</f>
        <v>0</v>
      </c>
      <c r="IQ26" s="92">
        <f>FORMULA!$Q641</f>
        <v>0</v>
      </c>
      <c r="IR26" s="92">
        <f>FORMULA!$S641</f>
        <v>0</v>
      </c>
      <c r="IS26" s="92">
        <f>FORMULA!$U641</f>
        <v>0</v>
      </c>
      <c r="IT26" s="92">
        <f>FORMULA!$W641</f>
        <v>0</v>
      </c>
      <c r="IU26" s="92">
        <f>FORMULA!$Y641</f>
        <v>0</v>
      </c>
      <c r="IV26" s="92">
        <f>FORMULA!$AA641</f>
        <v>0</v>
      </c>
      <c r="IW26" s="92">
        <f>FORMULA!$AC641</f>
        <v>0</v>
      </c>
      <c r="IX26" s="92">
        <f>FORMULA!$AE641</f>
        <v>0</v>
      </c>
      <c r="IY26" s="208"/>
    </row>
    <row r="27" spans="1:259" outlineLevel="1">
      <c r="A27" s="260">
        <f>'VAC &amp; MED'!C28</f>
        <v>46045</v>
      </c>
      <c r="B27" s="261"/>
      <c r="C27" s="261"/>
      <c r="D27" s="261"/>
      <c r="E27" s="261"/>
      <c r="F27" s="261"/>
      <c r="G27" s="261"/>
      <c r="H27" s="261"/>
      <c r="I27" s="261"/>
      <c r="J27" s="261"/>
      <c r="K27" s="261"/>
      <c r="L27" s="261"/>
      <c r="M27" s="261"/>
      <c r="N27" s="261"/>
      <c r="O27" s="261"/>
      <c r="P27" s="261"/>
      <c r="Q27" s="261"/>
      <c r="R27" s="262"/>
      <c r="S27" s="262"/>
      <c r="T27" s="262"/>
      <c r="U27" s="262"/>
      <c r="V27" s="262"/>
      <c r="W27" s="262"/>
      <c r="X27" s="262"/>
      <c r="Y27" s="262"/>
      <c r="Z27" s="262"/>
      <c r="AA27" s="262"/>
      <c r="AB27" s="262"/>
      <c r="AC27" s="262"/>
      <c r="AD27" s="262"/>
      <c r="AE27" s="262"/>
      <c r="AF27" s="262"/>
      <c r="AG27" s="262"/>
      <c r="AH27" s="263">
        <v>24</v>
      </c>
      <c r="AI27" s="263"/>
      <c r="AJ27" s="263"/>
      <c r="AK27" s="263"/>
      <c r="AL27" s="263"/>
      <c r="AM27" s="263"/>
      <c r="AN27" s="263"/>
      <c r="AO27" s="263"/>
      <c r="AP27" s="263"/>
      <c r="AQ27" s="263"/>
      <c r="AR27" s="263"/>
      <c r="AS27" s="263"/>
      <c r="AT27" s="263"/>
      <c r="AU27" s="263"/>
      <c r="AV27" s="263"/>
      <c r="AW27" s="263"/>
      <c r="AX27" s="264"/>
      <c r="AY27" s="264"/>
      <c r="AZ27" s="264"/>
      <c r="BA27" s="264"/>
      <c r="BB27" s="264"/>
      <c r="BC27" s="264"/>
      <c r="BD27" s="264"/>
      <c r="BE27" s="264"/>
      <c r="BF27" s="264"/>
      <c r="BG27" s="264"/>
      <c r="BH27" s="264"/>
      <c r="BI27" s="264"/>
      <c r="BJ27" s="264"/>
      <c r="BK27" s="264"/>
      <c r="BL27" s="264"/>
      <c r="BM27" s="264"/>
      <c r="BN27" s="265">
        <v>44</v>
      </c>
      <c r="BO27" s="265"/>
      <c r="BP27" s="265"/>
      <c r="BQ27" s="265"/>
      <c r="BR27" s="265"/>
      <c r="BS27" s="265"/>
      <c r="BT27" s="265"/>
      <c r="BU27" s="265"/>
      <c r="BV27" s="265"/>
      <c r="BW27" s="265"/>
      <c r="BX27" s="265"/>
      <c r="BY27" s="265"/>
      <c r="BZ27" s="265"/>
      <c r="CA27" s="265"/>
      <c r="CB27" s="265"/>
      <c r="CC27" s="265"/>
      <c r="CD27" s="266"/>
      <c r="CE27" s="266"/>
      <c r="CF27" s="266"/>
      <c r="CG27" s="266"/>
      <c r="CH27" s="266"/>
      <c r="CI27" s="266"/>
      <c r="CJ27" s="266"/>
      <c r="CK27" s="266"/>
      <c r="CL27" s="266"/>
      <c r="CM27" s="266"/>
      <c r="CN27" s="266"/>
      <c r="CO27" s="266"/>
      <c r="CP27" s="266"/>
      <c r="CQ27" s="266"/>
      <c r="CR27" s="266"/>
      <c r="CS27" s="266"/>
      <c r="CT27" s="267"/>
      <c r="CU27" s="267"/>
      <c r="CV27" s="267"/>
      <c r="CW27" s="267"/>
      <c r="CX27" s="267"/>
      <c r="CY27" s="267"/>
      <c r="CZ27" s="267"/>
      <c r="DA27" s="267"/>
      <c r="DB27" s="267"/>
      <c r="DC27" s="267"/>
      <c r="DD27" s="267"/>
      <c r="DE27" s="267"/>
      <c r="DF27" s="267"/>
      <c r="DG27" s="267"/>
      <c r="DH27" s="267"/>
      <c r="DI27" s="267"/>
      <c r="DJ27" s="268"/>
      <c r="DK27" s="268"/>
      <c r="DL27" s="268"/>
      <c r="DM27" s="268"/>
      <c r="DN27" s="268"/>
      <c r="DO27" s="268"/>
      <c r="DP27" s="268"/>
      <c r="DQ27" s="268"/>
      <c r="DR27" s="268"/>
      <c r="DS27" s="268"/>
      <c r="DT27" s="268"/>
      <c r="DU27" s="268"/>
      <c r="DV27" s="268"/>
      <c r="DW27" s="268"/>
      <c r="DX27" s="268"/>
      <c r="DY27" s="268"/>
      <c r="EA27" s="20" t="str">
        <f>FORMULA!$A$26</f>
        <v>PREMIX 1102 (20KG)</v>
      </c>
      <c r="EB27" s="91">
        <f>FORMULA!$C26</f>
        <v>0</v>
      </c>
      <c r="EC27" s="92">
        <f>FORMULA!$E26</f>
        <v>0</v>
      </c>
      <c r="ED27" s="92">
        <f>FORMULA!$G26</f>
        <v>0</v>
      </c>
      <c r="EE27" s="92">
        <f>FORMULA!$I26</f>
        <v>0</v>
      </c>
      <c r="EF27" s="92">
        <f>FORMULA!$K26</f>
        <v>0</v>
      </c>
      <c r="EG27" s="92">
        <f>FORMULA!$M26</f>
        <v>0</v>
      </c>
      <c r="EH27" s="92">
        <f>FORMULA!$O26</f>
        <v>0</v>
      </c>
      <c r="EI27" s="92">
        <f>FORMULA!$Q26</f>
        <v>0</v>
      </c>
      <c r="EJ27" s="92">
        <f>FORMULA!$S26</f>
        <v>0</v>
      </c>
      <c r="EK27" s="92">
        <f>FORMULA!$U26</f>
        <v>0</v>
      </c>
      <c r="EL27" s="92">
        <f>FORMULA!$W26</f>
        <v>0</v>
      </c>
      <c r="EM27" s="92">
        <f>FORMULA!$Y26</f>
        <v>0</v>
      </c>
      <c r="EN27" s="92">
        <f>FORMULA!$AA26</f>
        <v>0</v>
      </c>
      <c r="EO27" s="92">
        <f>FORMULA!$AC26</f>
        <v>0</v>
      </c>
      <c r="EP27" s="92">
        <f>FORMULA!$AE26</f>
        <v>0</v>
      </c>
      <c r="EQ27" s="108"/>
      <c r="ER27" s="91">
        <f>FORMULA!$C114</f>
        <v>20</v>
      </c>
      <c r="ES27" s="92">
        <f>FORMULA!$E114</f>
        <v>0</v>
      </c>
      <c r="ET27" s="92">
        <f>FORMULA!$G114</f>
        <v>0</v>
      </c>
      <c r="EU27" s="92">
        <f>FORMULA!$I114</f>
        <v>0</v>
      </c>
      <c r="EV27" s="92">
        <f>FORMULA!$K114</f>
        <v>0</v>
      </c>
      <c r="EW27" s="92">
        <f>FORMULA!$M114</f>
        <v>0</v>
      </c>
      <c r="EX27" s="92">
        <f>FORMULA!$O114</f>
        <v>0</v>
      </c>
      <c r="EY27" s="92">
        <f>FORMULA!$Q114</f>
        <v>0</v>
      </c>
      <c r="EZ27" s="92">
        <f>FORMULA!$S114</f>
        <v>0</v>
      </c>
      <c r="FA27" s="92">
        <f>FORMULA!$U114</f>
        <v>0</v>
      </c>
      <c r="FB27" s="92">
        <f>FORMULA!$W114</f>
        <v>0</v>
      </c>
      <c r="FC27" s="92">
        <f>FORMULA!$Y114</f>
        <v>0</v>
      </c>
      <c r="FD27" s="92">
        <f>FORMULA!$AA114</f>
        <v>0</v>
      </c>
      <c r="FE27" s="92">
        <f>FORMULA!$AC114</f>
        <v>0</v>
      </c>
      <c r="FF27" s="92">
        <f>FORMULA!$AE114</f>
        <v>0</v>
      </c>
      <c r="FG27" s="94"/>
      <c r="FH27" s="91">
        <f>FORMULA!$C202</f>
        <v>0</v>
      </c>
      <c r="FI27" s="92">
        <f>FORMULA!$E202</f>
        <v>0</v>
      </c>
      <c r="FJ27" s="92">
        <f>FORMULA!$G202</f>
        <v>0</v>
      </c>
      <c r="FK27" s="92">
        <f>FORMULA!$I202</f>
        <v>0</v>
      </c>
      <c r="FL27" s="92">
        <f>FORMULA!$K202</f>
        <v>0</v>
      </c>
      <c r="FM27" s="92">
        <f>FORMULA!$M202</f>
        <v>0</v>
      </c>
      <c r="FN27" s="92">
        <f>FORMULA!$O202</f>
        <v>0</v>
      </c>
      <c r="FO27" s="92">
        <f>FORMULA!$Q202</f>
        <v>0</v>
      </c>
      <c r="FP27" s="92">
        <f>FORMULA!$S202</f>
        <v>0</v>
      </c>
      <c r="FQ27" s="92">
        <f>FORMULA!$U202</f>
        <v>0</v>
      </c>
      <c r="FR27" s="92">
        <f>FORMULA!$W202</f>
        <v>0</v>
      </c>
      <c r="FS27" s="92">
        <f>FORMULA!$Y202</f>
        <v>0</v>
      </c>
      <c r="FT27" s="92">
        <f>FORMULA!$AA202</f>
        <v>0</v>
      </c>
      <c r="FU27" s="92">
        <f>FORMULA!$AC202</f>
        <v>0</v>
      </c>
      <c r="FV27" s="92">
        <f>FORMULA!$AE202</f>
        <v>0</v>
      </c>
      <c r="FW27" s="94"/>
      <c r="FX27" s="91">
        <f>FORMULA!$C290</f>
        <v>0</v>
      </c>
      <c r="FY27" s="92">
        <f>FORMULA!$E290</f>
        <v>0</v>
      </c>
      <c r="FZ27" s="92">
        <f>FORMULA!$G290</f>
        <v>0</v>
      </c>
      <c r="GA27" s="92">
        <f>FORMULA!$I290</f>
        <v>0</v>
      </c>
      <c r="GB27" s="92">
        <f>FORMULA!$K290</f>
        <v>0</v>
      </c>
      <c r="GC27" s="92">
        <f>FORMULA!$M290</f>
        <v>0</v>
      </c>
      <c r="GD27" s="92">
        <f>FORMULA!$O290</f>
        <v>0</v>
      </c>
      <c r="GE27" s="92">
        <f>FORMULA!$Q290</f>
        <v>0</v>
      </c>
      <c r="GF27" s="92">
        <f>FORMULA!$S290</f>
        <v>0</v>
      </c>
      <c r="GG27" s="92">
        <f>FORMULA!$U290</f>
        <v>0</v>
      </c>
      <c r="GH27" s="92">
        <f>FORMULA!$W290</f>
        <v>0</v>
      </c>
      <c r="GI27" s="92">
        <f>FORMULA!$Y290</f>
        <v>0</v>
      </c>
      <c r="GJ27" s="92">
        <f>FORMULA!$AA290</f>
        <v>0</v>
      </c>
      <c r="GK27" s="92">
        <f>FORMULA!$AC290</f>
        <v>0</v>
      </c>
      <c r="GL27" s="92">
        <f>FORMULA!$AE290</f>
        <v>0</v>
      </c>
      <c r="GM27" s="207"/>
      <c r="GN27" s="91">
        <f>FORMULA!$C378</f>
        <v>0</v>
      </c>
      <c r="GO27" s="92">
        <f>FORMULA!$E378</f>
        <v>0</v>
      </c>
      <c r="GP27" s="92">
        <f>FORMULA!$G378</f>
        <v>0</v>
      </c>
      <c r="GQ27" s="92">
        <f>FORMULA!$I378</f>
        <v>0</v>
      </c>
      <c r="GR27" s="92">
        <f>FORMULA!$K378</f>
        <v>0</v>
      </c>
      <c r="GS27" s="92">
        <f>FORMULA!$M378</f>
        <v>0</v>
      </c>
      <c r="GT27" s="92">
        <f>FORMULA!$O378</f>
        <v>0</v>
      </c>
      <c r="GU27" s="92">
        <f>FORMULA!$Q378</f>
        <v>0</v>
      </c>
      <c r="GV27" s="92">
        <f>FORMULA!$S378</f>
        <v>0</v>
      </c>
      <c r="GW27" s="92">
        <f>FORMULA!$U378</f>
        <v>0</v>
      </c>
      <c r="GX27" s="92">
        <f>FORMULA!$W378</f>
        <v>0</v>
      </c>
      <c r="GY27" s="92">
        <f>FORMULA!$Y378</f>
        <v>0</v>
      </c>
      <c r="GZ27" s="92">
        <f>FORMULA!$AA378</f>
        <v>0</v>
      </c>
      <c r="HA27" s="92">
        <f>FORMULA!$AC378</f>
        <v>0</v>
      </c>
      <c r="HB27" s="92">
        <f>FORMULA!$AE378</f>
        <v>0</v>
      </c>
      <c r="HC27" s="207"/>
      <c r="HD27" s="91">
        <f>FORMULA!$C466</f>
        <v>0</v>
      </c>
      <c r="HE27" s="92">
        <f>FORMULA!$E466</f>
        <v>0</v>
      </c>
      <c r="HF27" s="92">
        <f>FORMULA!$G466</f>
        <v>0</v>
      </c>
      <c r="HG27" s="92">
        <f>FORMULA!$I466</f>
        <v>0</v>
      </c>
      <c r="HH27" s="92">
        <f>FORMULA!$K466</f>
        <v>0</v>
      </c>
      <c r="HI27" s="92">
        <f>FORMULA!$M466</f>
        <v>0</v>
      </c>
      <c r="HJ27" s="92">
        <f>FORMULA!$O466</f>
        <v>0</v>
      </c>
      <c r="HK27" s="92">
        <f>FORMULA!$Q466</f>
        <v>0</v>
      </c>
      <c r="HL27" s="92">
        <f>FORMULA!$S466</f>
        <v>0</v>
      </c>
      <c r="HM27" s="92">
        <f>FORMULA!$U466</f>
        <v>0</v>
      </c>
      <c r="HN27" s="92">
        <f>FORMULA!$W466</f>
        <v>0</v>
      </c>
      <c r="HO27" s="92">
        <f>FORMULA!$Y466</f>
        <v>0</v>
      </c>
      <c r="HP27" s="92">
        <f>FORMULA!$AA466</f>
        <v>0</v>
      </c>
      <c r="HQ27" s="92">
        <f>FORMULA!$AC466</f>
        <v>0</v>
      </c>
      <c r="HR27" s="92">
        <f>FORMULA!$AE466</f>
        <v>0</v>
      </c>
      <c r="HS27" s="207"/>
      <c r="HT27" s="91">
        <f>FORMULA!$C554</f>
        <v>0</v>
      </c>
      <c r="HU27" s="92">
        <f>FORMULA!$E554</f>
        <v>0</v>
      </c>
      <c r="HV27" s="92">
        <f>FORMULA!$G554</f>
        <v>0</v>
      </c>
      <c r="HW27" s="92">
        <f>FORMULA!$I554</f>
        <v>0</v>
      </c>
      <c r="HX27" s="92">
        <f>FORMULA!$K554</f>
        <v>0</v>
      </c>
      <c r="HY27" s="92">
        <f>FORMULA!$M554</f>
        <v>0</v>
      </c>
      <c r="HZ27" s="92">
        <f>FORMULA!$O554</f>
        <v>0</v>
      </c>
      <c r="IA27" s="92">
        <f>FORMULA!$Q554</f>
        <v>0</v>
      </c>
      <c r="IB27" s="92">
        <f>FORMULA!$S554</f>
        <v>0</v>
      </c>
      <c r="IC27" s="92">
        <f>FORMULA!$U554</f>
        <v>0</v>
      </c>
      <c r="ID27" s="92">
        <f>FORMULA!$W554</f>
        <v>0</v>
      </c>
      <c r="IE27" s="92">
        <f>FORMULA!$Y554</f>
        <v>0</v>
      </c>
      <c r="IF27" s="92">
        <f>FORMULA!$AA554</f>
        <v>0</v>
      </c>
      <c r="IG27" s="92">
        <f>FORMULA!$AC554</f>
        <v>0</v>
      </c>
      <c r="IH27" s="92">
        <f>FORMULA!$AE554</f>
        <v>0</v>
      </c>
      <c r="II27" s="207"/>
      <c r="IJ27" s="91">
        <f>FORMULA!$C642</f>
        <v>0</v>
      </c>
      <c r="IK27" s="92">
        <f>FORMULA!$E642</f>
        <v>0</v>
      </c>
      <c r="IL27" s="92">
        <f>FORMULA!$G642</f>
        <v>0</v>
      </c>
      <c r="IM27" s="92">
        <f>FORMULA!$I642</f>
        <v>0</v>
      </c>
      <c r="IN27" s="92">
        <f>FORMULA!$K642</f>
        <v>0</v>
      </c>
      <c r="IO27" s="92">
        <f>FORMULA!$M642</f>
        <v>0</v>
      </c>
      <c r="IP27" s="92">
        <f>FORMULA!$O642</f>
        <v>0</v>
      </c>
      <c r="IQ27" s="92">
        <f>FORMULA!$Q642</f>
        <v>0</v>
      </c>
      <c r="IR27" s="92">
        <f>FORMULA!$S642</f>
        <v>0</v>
      </c>
      <c r="IS27" s="92">
        <f>FORMULA!$U642</f>
        <v>0</v>
      </c>
      <c r="IT27" s="92">
        <f>FORMULA!$W642</f>
        <v>0</v>
      </c>
      <c r="IU27" s="92">
        <f>FORMULA!$Y642</f>
        <v>0</v>
      </c>
      <c r="IV27" s="92">
        <f>FORMULA!$AA642</f>
        <v>0</v>
      </c>
      <c r="IW27" s="92">
        <f>FORMULA!$AC642</f>
        <v>0</v>
      </c>
      <c r="IX27" s="92">
        <f>FORMULA!$AE642</f>
        <v>0</v>
      </c>
      <c r="IY27" s="208"/>
    </row>
    <row r="28" spans="1:259" outlineLevel="1">
      <c r="A28" s="260">
        <f>'VAC &amp; MED'!C29</f>
        <v>46046</v>
      </c>
      <c r="B28" s="261"/>
      <c r="C28" s="261"/>
      <c r="D28" s="261"/>
      <c r="E28" s="261"/>
      <c r="F28" s="261"/>
      <c r="G28" s="261"/>
      <c r="H28" s="261"/>
      <c r="I28" s="261"/>
      <c r="J28" s="261"/>
      <c r="K28" s="261"/>
      <c r="L28" s="261"/>
      <c r="M28" s="261"/>
      <c r="N28" s="261"/>
      <c r="O28" s="261"/>
      <c r="P28" s="261"/>
      <c r="Q28" s="261"/>
      <c r="R28" s="262"/>
      <c r="S28" s="262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2"/>
      <c r="AG28" s="262"/>
      <c r="AH28" s="263"/>
      <c r="AI28" s="263"/>
      <c r="AJ28" s="263"/>
      <c r="AK28" s="263"/>
      <c r="AL28" s="263"/>
      <c r="AM28" s="263"/>
      <c r="AN28" s="263"/>
      <c r="AO28" s="263"/>
      <c r="AP28" s="263"/>
      <c r="AQ28" s="263"/>
      <c r="AR28" s="263"/>
      <c r="AS28" s="263"/>
      <c r="AT28" s="263"/>
      <c r="AU28" s="263"/>
      <c r="AV28" s="263"/>
      <c r="AW28" s="263"/>
      <c r="AX28" s="264"/>
      <c r="AY28" s="264"/>
      <c r="AZ28" s="264"/>
      <c r="BA28" s="264"/>
      <c r="BB28" s="264"/>
      <c r="BC28" s="264"/>
      <c r="BD28" s="264"/>
      <c r="BE28" s="264"/>
      <c r="BF28" s="264"/>
      <c r="BG28" s="264"/>
      <c r="BH28" s="264"/>
      <c r="BI28" s="264"/>
      <c r="BJ28" s="264"/>
      <c r="BK28" s="264"/>
      <c r="BL28" s="264"/>
      <c r="BM28" s="264"/>
      <c r="BN28" s="265"/>
      <c r="BO28" s="265"/>
      <c r="BP28" s="265"/>
      <c r="BQ28" s="265">
        <v>26</v>
      </c>
      <c r="BR28" s="265"/>
      <c r="BS28" s="265"/>
      <c r="BT28" s="265"/>
      <c r="BU28" s="265"/>
      <c r="BV28" s="265"/>
      <c r="BW28" s="265"/>
      <c r="BX28" s="265"/>
      <c r="BY28" s="265"/>
      <c r="BZ28" s="265"/>
      <c r="CA28" s="265"/>
      <c r="CB28" s="265"/>
      <c r="CC28" s="265"/>
      <c r="CD28" s="266"/>
      <c r="CE28" s="266"/>
      <c r="CF28" s="266"/>
      <c r="CG28" s="266"/>
      <c r="CH28" s="266"/>
      <c r="CI28" s="266"/>
      <c r="CJ28" s="266"/>
      <c r="CK28" s="266"/>
      <c r="CL28" s="266"/>
      <c r="CM28" s="266"/>
      <c r="CN28" s="266"/>
      <c r="CO28" s="266"/>
      <c r="CP28" s="266"/>
      <c r="CQ28" s="266"/>
      <c r="CR28" s="266"/>
      <c r="CS28" s="266"/>
      <c r="CT28" s="267"/>
      <c r="CU28" s="267"/>
      <c r="CV28" s="267"/>
      <c r="CW28" s="267"/>
      <c r="CX28" s="267"/>
      <c r="CY28" s="267"/>
      <c r="CZ28" s="267"/>
      <c r="DA28" s="267"/>
      <c r="DB28" s="267"/>
      <c r="DC28" s="267"/>
      <c r="DD28" s="267"/>
      <c r="DE28" s="267"/>
      <c r="DF28" s="267"/>
      <c r="DG28" s="267"/>
      <c r="DH28" s="267"/>
      <c r="DI28" s="267"/>
      <c r="DJ28" s="268"/>
      <c r="DK28" s="268"/>
      <c r="DL28" s="268"/>
      <c r="DM28" s="268"/>
      <c r="DN28" s="268"/>
      <c r="DO28" s="268"/>
      <c r="DP28" s="268"/>
      <c r="DQ28" s="268"/>
      <c r="DR28" s="268"/>
      <c r="DS28" s="268"/>
      <c r="DT28" s="268"/>
      <c r="DU28" s="268"/>
      <c r="DV28" s="268"/>
      <c r="DW28" s="268"/>
      <c r="DX28" s="268"/>
      <c r="DY28" s="268"/>
      <c r="EA28" s="20" t="str">
        <f>FORMULA!$A$27</f>
        <v>PREMIX 1103 (20KG)</v>
      </c>
      <c r="EB28" s="91">
        <f>FORMULA!$C27</f>
        <v>0</v>
      </c>
      <c r="EC28" s="92">
        <f>FORMULA!$E27</f>
        <v>0</v>
      </c>
      <c r="ED28" s="92">
        <f>FORMULA!$G27</f>
        <v>0</v>
      </c>
      <c r="EE28" s="92">
        <f>FORMULA!$I27</f>
        <v>0</v>
      </c>
      <c r="EF28" s="92">
        <f>FORMULA!$K27</f>
        <v>0</v>
      </c>
      <c r="EG28" s="92">
        <f>FORMULA!$M27</f>
        <v>0</v>
      </c>
      <c r="EH28" s="92">
        <f>FORMULA!$O27</f>
        <v>0</v>
      </c>
      <c r="EI28" s="92">
        <f>FORMULA!$Q27</f>
        <v>0</v>
      </c>
      <c r="EJ28" s="92">
        <f>FORMULA!$S27</f>
        <v>0</v>
      </c>
      <c r="EK28" s="92">
        <f>FORMULA!$U27</f>
        <v>0</v>
      </c>
      <c r="EL28" s="92">
        <f>FORMULA!$W27</f>
        <v>0</v>
      </c>
      <c r="EM28" s="92">
        <f>FORMULA!$Y27</f>
        <v>0</v>
      </c>
      <c r="EN28" s="92">
        <f>FORMULA!$AA27</f>
        <v>0</v>
      </c>
      <c r="EO28" s="92">
        <f>FORMULA!$AC27</f>
        <v>0</v>
      </c>
      <c r="EP28" s="92">
        <f>FORMULA!$AE27</f>
        <v>0</v>
      </c>
      <c r="EQ28" s="108"/>
      <c r="ER28" s="91">
        <f>FORMULA!$C115</f>
        <v>0</v>
      </c>
      <c r="ES28" s="92">
        <f>FORMULA!$E115</f>
        <v>0</v>
      </c>
      <c r="ET28" s="92">
        <f>FORMULA!$G115</f>
        <v>0</v>
      </c>
      <c r="EU28" s="92">
        <f>FORMULA!$I115</f>
        <v>0</v>
      </c>
      <c r="EV28" s="92">
        <f>FORMULA!$K115</f>
        <v>0</v>
      </c>
      <c r="EW28" s="92">
        <f>FORMULA!$M115</f>
        <v>0</v>
      </c>
      <c r="EX28" s="92">
        <f>FORMULA!$O115</f>
        <v>0</v>
      </c>
      <c r="EY28" s="92">
        <f>FORMULA!$Q115</f>
        <v>0</v>
      </c>
      <c r="EZ28" s="92">
        <f>FORMULA!$S115</f>
        <v>0</v>
      </c>
      <c r="FA28" s="92">
        <f>FORMULA!$U115</f>
        <v>0</v>
      </c>
      <c r="FB28" s="92">
        <f>FORMULA!$W115</f>
        <v>0</v>
      </c>
      <c r="FC28" s="92">
        <f>FORMULA!$Y115</f>
        <v>0</v>
      </c>
      <c r="FD28" s="92">
        <f>FORMULA!$AA115</f>
        <v>0</v>
      </c>
      <c r="FE28" s="92">
        <f>FORMULA!$AC115</f>
        <v>0</v>
      </c>
      <c r="FF28" s="92">
        <f>FORMULA!$AE115</f>
        <v>0</v>
      </c>
      <c r="FG28" s="94"/>
      <c r="FH28" s="91">
        <f>FORMULA!$C203</f>
        <v>20</v>
      </c>
      <c r="FI28" s="92">
        <f>FORMULA!$E203</f>
        <v>20</v>
      </c>
      <c r="FJ28" s="92">
        <f>FORMULA!$G203</f>
        <v>0</v>
      </c>
      <c r="FK28" s="92">
        <f>FORMULA!$I203</f>
        <v>0</v>
      </c>
      <c r="FL28" s="92">
        <f>FORMULA!$K203</f>
        <v>0</v>
      </c>
      <c r="FM28" s="92">
        <f>FORMULA!$M203</f>
        <v>0</v>
      </c>
      <c r="FN28" s="92">
        <f>FORMULA!$O203</f>
        <v>0</v>
      </c>
      <c r="FO28" s="92">
        <f>FORMULA!$Q203</f>
        <v>0</v>
      </c>
      <c r="FP28" s="92">
        <f>FORMULA!$S203</f>
        <v>0</v>
      </c>
      <c r="FQ28" s="92">
        <f>FORMULA!$U203</f>
        <v>0</v>
      </c>
      <c r="FR28" s="92">
        <f>FORMULA!$W203</f>
        <v>0</v>
      </c>
      <c r="FS28" s="92">
        <f>FORMULA!$Y203</f>
        <v>0</v>
      </c>
      <c r="FT28" s="92">
        <f>FORMULA!$AA203</f>
        <v>0</v>
      </c>
      <c r="FU28" s="92">
        <f>FORMULA!$AC203</f>
        <v>0</v>
      </c>
      <c r="FV28" s="92">
        <f>FORMULA!$AE203</f>
        <v>0</v>
      </c>
      <c r="FW28" s="94"/>
      <c r="FX28" s="91">
        <f>FORMULA!$C291</f>
        <v>0</v>
      </c>
      <c r="FY28" s="92">
        <f>FORMULA!$E291</f>
        <v>0</v>
      </c>
      <c r="FZ28" s="92">
        <f>FORMULA!$G291</f>
        <v>0</v>
      </c>
      <c r="GA28" s="92">
        <f>FORMULA!$I291</f>
        <v>0</v>
      </c>
      <c r="GB28" s="92">
        <f>FORMULA!$K291</f>
        <v>0</v>
      </c>
      <c r="GC28" s="92">
        <f>FORMULA!$M291</f>
        <v>0</v>
      </c>
      <c r="GD28" s="92">
        <f>FORMULA!$O291</f>
        <v>0</v>
      </c>
      <c r="GE28" s="92">
        <f>FORMULA!$Q291</f>
        <v>0</v>
      </c>
      <c r="GF28" s="92">
        <f>FORMULA!$S291</f>
        <v>0</v>
      </c>
      <c r="GG28" s="92">
        <f>FORMULA!$U291</f>
        <v>0</v>
      </c>
      <c r="GH28" s="92">
        <f>FORMULA!$W291</f>
        <v>0</v>
      </c>
      <c r="GI28" s="92">
        <f>FORMULA!$Y291</f>
        <v>0</v>
      </c>
      <c r="GJ28" s="92">
        <f>FORMULA!$AA291</f>
        <v>0</v>
      </c>
      <c r="GK28" s="92">
        <f>FORMULA!$AC291</f>
        <v>0</v>
      </c>
      <c r="GL28" s="92">
        <f>FORMULA!$AE291</f>
        <v>0</v>
      </c>
      <c r="GM28" s="207"/>
      <c r="GN28" s="91">
        <f>FORMULA!$C379</f>
        <v>0</v>
      </c>
      <c r="GO28" s="92">
        <f>FORMULA!$E379</f>
        <v>0</v>
      </c>
      <c r="GP28" s="92">
        <f>FORMULA!$G379</f>
        <v>0</v>
      </c>
      <c r="GQ28" s="92">
        <f>FORMULA!$I379</f>
        <v>0</v>
      </c>
      <c r="GR28" s="92">
        <f>FORMULA!$K379</f>
        <v>0</v>
      </c>
      <c r="GS28" s="92">
        <f>FORMULA!$M379</f>
        <v>0</v>
      </c>
      <c r="GT28" s="92">
        <f>FORMULA!$O379</f>
        <v>0</v>
      </c>
      <c r="GU28" s="92">
        <f>FORMULA!$Q379</f>
        <v>0</v>
      </c>
      <c r="GV28" s="92">
        <f>FORMULA!$S379</f>
        <v>0</v>
      </c>
      <c r="GW28" s="92">
        <f>FORMULA!$U379</f>
        <v>0</v>
      </c>
      <c r="GX28" s="92">
        <f>FORMULA!$W379</f>
        <v>0</v>
      </c>
      <c r="GY28" s="92">
        <f>FORMULA!$Y379</f>
        <v>0</v>
      </c>
      <c r="GZ28" s="92">
        <f>FORMULA!$AA379</f>
        <v>0</v>
      </c>
      <c r="HA28" s="92">
        <f>FORMULA!$AC379</f>
        <v>0</v>
      </c>
      <c r="HB28" s="92">
        <f>FORMULA!$AE379</f>
        <v>0</v>
      </c>
      <c r="HC28" s="207"/>
      <c r="HD28" s="91">
        <f>FORMULA!$C467</f>
        <v>0</v>
      </c>
      <c r="HE28" s="92">
        <f>FORMULA!$E467</f>
        <v>0</v>
      </c>
      <c r="HF28" s="92">
        <f>FORMULA!$G467</f>
        <v>0</v>
      </c>
      <c r="HG28" s="92">
        <f>FORMULA!$I467</f>
        <v>0</v>
      </c>
      <c r="HH28" s="92">
        <f>FORMULA!$K467</f>
        <v>0</v>
      </c>
      <c r="HI28" s="92">
        <f>FORMULA!$M467</f>
        <v>0</v>
      </c>
      <c r="HJ28" s="92">
        <f>FORMULA!$O467</f>
        <v>0</v>
      </c>
      <c r="HK28" s="92">
        <f>FORMULA!$Q467</f>
        <v>0</v>
      </c>
      <c r="HL28" s="92">
        <f>FORMULA!$S467</f>
        <v>0</v>
      </c>
      <c r="HM28" s="92">
        <f>FORMULA!$U467</f>
        <v>0</v>
      </c>
      <c r="HN28" s="92">
        <f>FORMULA!$W467</f>
        <v>0</v>
      </c>
      <c r="HO28" s="92">
        <f>FORMULA!$Y467</f>
        <v>0</v>
      </c>
      <c r="HP28" s="92">
        <f>FORMULA!$AA467</f>
        <v>0</v>
      </c>
      <c r="HQ28" s="92">
        <f>FORMULA!$AC467</f>
        <v>0</v>
      </c>
      <c r="HR28" s="92">
        <f>FORMULA!$AE467</f>
        <v>0</v>
      </c>
      <c r="HS28" s="207"/>
      <c r="HT28" s="91">
        <f>FORMULA!$C555</f>
        <v>0</v>
      </c>
      <c r="HU28" s="92">
        <f>FORMULA!$E555</f>
        <v>0</v>
      </c>
      <c r="HV28" s="92">
        <f>FORMULA!$G555</f>
        <v>0</v>
      </c>
      <c r="HW28" s="92">
        <f>FORMULA!$I555</f>
        <v>0</v>
      </c>
      <c r="HX28" s="92">
        <f>FORMULA!$K555</f>
        <v>0</v>
      </c>
      <c r="HY28" s="92">
        <f>FORMULA!$M555</f>
        <v>0</v>
      </c>
      <c r="HZ28" s="92">
        <f>FORMULA!$O555</f>
        <v>0</v>
      </c>
      <c r="IA28" s="92">
        <f>FORMULA!$Q555</f>
        <v>0</v>
      </c>
      <c r="IB28" s="92">
        <f>FORMULA!$S555</f>
        <v>0</v>
      </c>
      <c r="IC28" s="92">
        <f>FORMULA!$U555</f>
        <v>0</v>
      </c>
      <c r="ID28" s="92">
        <f>FORMULA!$W555</f>
        <v>0</v>
      </c>
      <c r="IE28" s="92">
        <f>FORMULA!$Y555</f>
        <v>0</v>
      </c>
      <c r="IF28" s="92">
        <f>FORMULA!$AA555</f>
        <v>0</v>
      </c>
      <c r="IG28" s="92">
        <f>FORMULA!$AC555</f>
        <v>0</v>
      </c>
      <c r="IH28" s="92">
        <f>FORMULA!$AE555</f>
        <v>0</v>
      </c>
      <c r="II28" s="207"/>
      <c r="IJ28" s="91">
        <f>FORMULA!$C643</f>
        <v>0</v>
      </c>
      <c r="IK28" s="92">
        <f>FORMULA!$E643</f>
        <v>0</v>
      </c>
      <c r="IL28" s="92">
        <f>FORMULA!$G643</f>
        <v>0</v>
      </c>
      <c r="IM28" s="92">
        <f>FORMULA!$I643</f>
        <v>0</v>
      </c>
      <c r="IN28" s="92">
        <f>FORMULA!$K643</f>
        <v>0</v>
      </c>
      <c r="IO28" s="92">
        <f>FORMULA!$M643</f>
        <v>0</v>
      </c>
      <c r="IP28" s="92">
        <f>FORMULA!$O643</f>
        <v>0</v>
      </c>
      <c r="IQ28" s="92">
        <f>FORMULA!$Q643</f>
        <v>0</v>
      </c>
      <c r="IR28" s="92">
        <f>FORMULA!$S643</f>
        <v>0</v>
      </c>
      <c r="IS28" s="92">
        <f>FORMULA!$U643</f>
        <v>0</v>
      </c>
      <c r="IT28" s="92">
        <f>FORMULA!$W643</f>
        <v>0</v>
      </c>
      <c r="IU28" s="92">
        <f>FORMULA!$Y643</f>
        <v>0</v>
      </c>
      <c r="IV28" s="92">
        <f>FORMULA!$AA643</f>
        <v>0</v>
      </c>
      <c r="IW28" s="92">
        <f>FORMULA!$AC643</f>
        <v>0</v>
      </c>
      <c r="IX28" s="92">
        <f>FORMULA!$AE643</f>
        <v>0</v>
      </c>
      <c r="IY28" s="208"/>
    </row>
    <row r="29" spans="1:259" outlineLevel="1">
      <c r="A29" s="260">
        <f>'VAC &amp; MED'!C30</f>
        <v>46047</v>
      </c>
      <c r="B29" s="261"/>
      <c r="C29" s="261"/>
      <c r="D29" s="261"/>
      <c r="E29" s="261"/>
      <c r="F29" s="261"/>
      <c r="G29" s="261"/>
      <c r="H29" s="261"/>
      <c r="I29" s="261"/>
      <c r="J29" s="261"/>
      <c r="K29" s="261"/>
      <c r="L29" s="261"/>
      <c r="M29" s="261"/>
      <c r="N29" s="261"/>
      <c r="O29" s="261"/>
      <c r="P29" s="261"/>
      <c r="Q29" s="261"/>
      <c r="R29" s="262"/>
      <c r="S29" s="262"/>
      <c r="T29" s="262"/>
      <c r="U29" s="262"/>
      <c r="V29" s="262"/>
      <c r="W29" s="262"/>
      <c r="X29" s="262"/>
      <c r="Y29" s="262"/>
      <c r="Z29" s="262"/>
      <c r="AA29" s="262"/>
      <c r="AB29" s="262"/>
      <c r="AC29" s="262"/>
      <c r="AD29" s="262"/>
      <c r="AE29" s="262"/>
      <c r="AF29" s="262"/>
      <c r="AG29" s="262"/>
      <c r="AH29" s="263"/>
      <c r="AI29" s="263"/>
      <c r="AJ29" s="263"/>
      <c r="AK29" s="263"/>
      <c r="AL29" s="263"/>
      <c r="AM29" s="263"/>
      <c r="AN29" s="263"/>
      <c r="AO29" s="263"/>
      <c r="AP29" s="263"/>
      <c r="AQ29" s="263"/>
      <c r="AR29" s="263"/>
      <c r="AS29" s="263"/>
      <c r="AT29" s="263"/>
      <c r="AU29" s="263"/>
      <c r="AV29" s="263"/>
      <c r="AW29" s="263"/>
      <c r="AX29" s="264"/>
      <c r="AY29" s="264"/>
      <c r="AZ29" s="264"/>
      <c r="BA29" s="264"/>
      <c r="BB29" s="264"/>
      <c r="BC29" s="264"/>
      <c r="BD29" s="264"/>
      <c r="BE29" s="264"/>
      <c r="BF29" s="264"/>
      <c r="BG29" s="264"/>
      <c r="BH29" s="264"/>
      <c r="BI29" s="264"/>
      <c r="BJ29" s="264"/>
      <c r="BK29" s="264"/>
      <c r="BL29" s="264"/>
      <c r="BM29" s="264"/>
      <c r="BN29" s="265"/>
      <c r="BO29" s="265"/>
      <c r="BP29" s="265"/>
      <c r="BQ29" s="265"/>
      <c r="BR29" s="265"/>
      <c r="BS29" s="265"/>
      <c r="BT29" s="265"/>
      <c r="BU29" s="265"/>
      <c r="BV29" s="265"/>
      <c r="BW29" s="265"/>
      <c r="BX29" s="265"/>
      <c r="BY29" s="265"/>
      <c r="BZ29" s="265"/>
      <c r="CA29" s="265"/>
      <c r="CB29" s="265"/>
      <c r="CC29" s="265"/>
      <c r="CD29" s="266"/>
      <c r="CE29" s="266"/>
      <c r="CF29" s="266"/>
      <c r="CG29" s="266"/>
      <c r="CH29" s="266"/>
      <c r="CI29" s="266"/>
      <c r="CJ29" s="266"/>
      <c r="CK29" s="266"/>
      <c r="CL29" s="266"/>
      <c r="CM29" s="266"/>
      <c r="CN29" s="266"/>
      <c r="CO29" s="266"/>
      <c r="CP29" s="266"/>
      <c r="CQ29" s="266"/>
      <c r="CR29" s="266"/>
      <c r="CS29" s="266"/>
      <c r="CT29" s="267"/>
      <c r="CU29" s="267"/>
      <c r="CV29" s="267"/>
      <c r="CW29" s="267"/>
      <c r="CX29" s="267"/>
      <c r="CY29" s="267"/>
      <c r="CZ29" s="267"/>
      <c r="DA29" s="267"/>
      <c r="DB29" s="267"/>
      <c r="DC29" s="267"/>
      <c r="DD29" s="267"/>
      <c r="DE29" s="267"/>
      <c r="DF29" s="267"/>
      <c r="DG29" s="267"/>
      <c r="DH29" s="267"/>
      <c r="DI29" s="267"/>
      <c r="DJ29" s="268"/>
      <c r="DK29" s="268"/>
      <c r="DL29" s="268"/>
      <c r="DM29" s="268"/>
      <c r="DN29" s="268"/>
      <c r="DO29" s="268"/>
      <c r="DP29" s="268"/>
      <c r="DQ29" s="268"/>
      <c r="DR29" s="268"/>
      <c r="DS29" s="268"/>
      <c r="DT29" s="268"/>
      <c r="DU29" s="268"/>
      <c r="DV29" s="268"/>
      <c r="DW29" s="268"/>
      <c r="DX29" s="268"/>
      <c r="DY29" s="268"/>
      <c r="EA29" s="20" t="str">
        <f>FORMULA!$A$28</f>
        <v>PREMIX 311 (20KG)</v>
      </c>
      <c r="EB29" s="91">
        <f>FORMULA!$C28</f>
        <v>0</v>
      </c>
      <c r="EC29" s="92">
        <f>FORMULA!$E28</f>
        <v>0</v>
      </c>
      <c r="ED29" s="92">
        <f>FORMULA!$G28</f>
        <v>0</v>
      </c>
      <c r="EE29" s="92">
        <f>FORMULA!$I28</f>
        <v>0</v>
      </c>
      <c r="EF29" s="92">
        <f>FORMULA!$K28</f>
        <v>0</v>
      </c>
      <c r="EG29" s="92">
        <f>FORMULA!$M28</f>
        <v>0</v>
      </c>
      <c r="EH29" s="92">
        <f>FORMULA!$O28</f>
        <v>0</v>
      </c>
      <c r="EI29" s="92">
        <f>FORMULA!$Q28</f>
        <v>0</v>
      </c>
      <c r="EJ29" s="92">
        <f>FORMULA!$S28</f>
        <v>0</v>
      </c>
      <c r="EK29" s="92">
        <f>FORMULA!$U28</f>
        <v>0</v>
      </c>
      <c r="EL29" s="92">
        <f>FORMULA!$W28</f>
        <v>0</v>
      </c>
      <c r="EM29" s="92">
        <f>FORMULA!$Y28</f>
        <v>0</v>
      </c>
      <c r="EN29" s="92">
        <f>FORMULA!$AA28</f>
        <v>0</v>
      </c>
      <c r="EO29" s="92">
        <f>FORMULA!$AC28</f>
        <v>0</v>
      </c>
      <c r="EP29" s="92">
        <f>FORMULA!$AE28</f>
        <v>0</v>
      </c>
      <c r="EQ29" s="108"/>
      <c r="ER29" s="91">
        <f>FORMULA!$C116</f>
        <v>0</v>
      </c>
      <c r="ES29" s="92">
        <f>FORMULA!$E116</f>
        <v>0</v>
      </c>
      <c r="ET29" s="92">
        <f>FORMULA!$G116</f>
        <v>0</v>
      </c>
      <c r="EU29" s="92">
        <f>FORMULA!$I116</f>
        <v>0</v>
      </c>
      <c r="EV29" s="92">
        <f>FORMULA!$K116</f>
        <v>0</v>
      </c>
      <c r="EW29" s="92">
        <f>FORMULA!$M116</f>
        <v>0</v>
      </c>
      <c r="EX29" s="92">
        <f>FORMULA!$O116</f>
        <v>0</v>
      </c>
      <c r="EY29" s="92">
        <f>FORMULA!$Q116</f>
        <v>0</v>
      </c>
      <c r="EZ29" s="92">
        <f>FORMULA!$S116</f>
        <v>0</v>
      </c>
      <c r="FA29" s="92">
        <f>FORMULA!$U116</f>
        <v>0</v>
      </c>
      <c r="FB29" s="92">
        <f>FORMULA!$W116</f>
        <v>0</v>
      </c>
      <c r="FC29" s="92">
        <f>FORMULA!$Y116</f>
        <v>0</v>
      </c>
      <c r="FD29" s="92">
        <f>FORMULA!$AA116</f>
        <v>0</v>
      </c>
      <c r="FE29" s="92">
        <f>FORMULA!$AC116</f>
        <v>0</v>
      </c>
      <c r="FF29" s="92">
        <f>FORMULA!$AE116</f>
        <v>0</v>
      </c>
      <c r="FG29" s="94"/>
      <c r="FH29" s="91">
        <f>FORMULA!$C204</f>
        <v>0</v>
      </c>
      <c r="FI29" s="92">
        <f>FORMULA!$E204</f>
        <v>0</v>
      </c>
      <c r="FJ29" s="92">
        <f>FORMULA!$G204</f>
        <v>0</v>
      </c>
      <c r="FK29" s="92">
        <f>FORMULA!$I204</f>
        <v>0</v>
      </c>
      <c r="FL29" s="92">
        <f>FORMULA!$K204</f>
        <v>0</v>
      </c>
      <c r="FM29" s="92">
        <f>FORMULA!$M204</f>
        <v>0</v>
      </c>
      <c r="FN29" s="92">
        <f>FORMULA!$O204</f>
        <v>0</v>
      </c>
      <c r="FO29" s="92">
        <f>FORMULA!$Q204</f>
        <v>0</v>
      </c>
      <c r="FP29" s="92">
        <f>FORMULA!$S204</f>
        <v>0</v>
      </c>
      <c r="FQ29" s="92">
        <f>FORMULA!$U204</f>
        <v>0</v>
      </c>
      <c r="FR29" s="92">
        <f>FORMULA!$W204</f>
        <v>0</v>
      </c>
      <c r="FS29" s="92">
        <f>FORMULA!$Y204</f>
        <v>0</v>
      </c>
      <c r="FT29" s="92">
        <f>FORMULA!$AA204</f>
        <v>0</v>
      </c>
      <c r="FU29" s="92">
        <f>FORMULA!$AC204</f>
        <v>0</v>
      </c>
      <c r="FV29" s="92">
        <f>FORMULA!$AE204</f>
        <v>0</v>
      </c>
      <c r="FW29" s="94"/>
      <c r="FX29" s="91">
        <f>FORMULA!$C292</f>
        <v>0</v>
      </c>
      <c r="FY29" s="92">
        <f>FORMULA!$E292</f>
        <v>0</v>
      </c>
      <c r="FZ29" s="92">
        <f>FORMULA!$G292</f>
        <v>0</v>
      </c>
      <c r="GA29" s="92">
        <f>FORMULA!$I292</f>
        <v>0</v>
      </c>
      <c r="GB29" s="92">
        <f>FORMULA!$K292</f>
        <v>0</v>
      </c>
      <c r="GC29" s="92">
        <f>FORMULA!$M292</f>
        <v>0</v>
      </c>
      <c r="GD29" s="92">
        <f>FORMULA!$O292</f>
        <v>0</v>
      </c>
      <c r="GE29" s="92">
        <f>FORMULA!$Q292</f>
        <v>0</v>
      </c>
      <c r="GF29" s="92">
        <f>FORMULA!$S292</f>
        <v>0</v>
      </c>
      <c r="GG29" s="92">
        <f>FORMULA!$U292</f>
        <v>0</v>
      </c>
      <c r="GH29" s="92">
        <f>FORMULA!$W292</f>
        <v>0</v>
      </c>
      <c r="GI29" s="92">
        <f>FORMULA!$Y292</f>
        <v>0</v>
      </c>
      <c r="GJ29" s="92">
        <f>FORMULA!$AA292</f>
        <v>0</v>
      </c>
      <c r="GK29" s="92">
        <f>FORMULA!$AC292</f>
        <v>0</v>
      </c>
      <c r="GL29" s="92">
        <f>FORMULA!$AE292</f>
        <v>0</v>
      </c>
      <c r="GM29" s="207"/>
      <c r="GN29" s="91">
        <f>FORMULA!$C380</f>
        <v>0</v>
      </c>
      <c r="GO29" s="92">
        <f>FORMULA!$E380</f>
        <v>0</v>
      </c>
      <c r="GP29" s="92">
        <f>FORMULA!$G380</f>
        <v>0</v>
      </c>
      <c r="GQ29" s="92">
        <f>FORMULA!$I380</f>
        <v>0</v>
      </c>
      <c r="GR29" s="92">
        <f>FORMULA!$K380</f>
        <v>0</v>
      </c>
      <c r="GS29" s="92">
        <f>FORMULA!$M380</f>
        <v>0</v>
      </c>
      <c r="GT29" s="92">
        <f>FORMULA!$O380</f>
        <v>0</v>
      </c>
      <c r="GU29" s="92">
        <f>FORMULA!$Q380</f>
        <v>0</v>
      </c>
      <c r="GV29" s="92">
        <f>FORMULA!$S380</f>
        <v>0</v>
      </c>
      <c r="GW29" s="92">
        <f>FORMULA!$U380</f>
        <v>0</v>
      </c>
      <c r="GX29" s="92">
        <f>FORMULA!$W380</f>
        <v>0</v>
      </c>
      <c r="GY29" s="92">
        <f>FORMULA!$Y380</f>
        <v>0</v>
      </c>
      <c r="GZ29" s="92">
        <f>FORMULA!$AA380</f>
        <v>0</v>
      </c>
      <c r="HA29" s="92">
        <f>FORMULA!$AC380</f>
        <v>0</v>
      </c>
      <c r="HB29" s="92">
        <f>FORMULA!$AE380</f>
        <v>0</v>
      </c>
      <c r="HC29" s="207"/>
      <c r="HD29" s="91">
        <f>FORMULA!$C468</f>
        <v>0</v>
      </c>
      <c r="HE29" s="92">
        <f>FORMULA!$E468</f>
        <v>0</v>
      </c>
      <c r="HF29" s="92">
        <f>FORMULA!$G468</f>
        <v>0</v>
      </c>
      <c r="HG29" s="92">
        <f>FORMULA!$I468</f>
        <v>0</v>
      </c>
      <c r="HH29" s="92">
        <f>FORMULA!$K468</f>
        <v>0</v>
      </c>
      <c r="HI29" s="92">
        <f>FORMULA!$M468</f>
        <v>0</v>
      </c>
      <c r="HJ29" s="92">
        <f>FORMULA!$O468</f>
        <v>0</v>
      </c>
      <c r="HK29" s="92">
        <f>FORMULA!$Q468</f>
        <v>0</v>
      </c>
      <c r="HL29" s="92">
        <f>FORMULA!$S468</f>
        <v>0</v>
      </c>
      <c r="HM29" s="92">
        <f>FORMULA!$U468</f>
        <v>20</v>
      </c>
      <c r="HN29" s="92">
        <f>FORMULA!$W468</f>
        <v>0</v>
      </c>
      <c r="HO29" s="92">
        <f>FORMULA!$Y468</f>
        <v>0</v>
      </c>
      <c r="HP29" s="92">
        <f>FORMULA!$AA468</f>
        <v>0</v>
      </c>
      <c r="HQ29" s="92">
        <f>FORMULA!$AC468</f>
        <v>0</v>
      </c>
      <c r="HR29" s="92">
        <f>FORMULA!$AE468</f>
        <v>0</v>
      </c>
      <c r="HS29" s="207"/>
      <c r="HT29" s="91">
        <f>FORMULA!$C556</f>
        <v>0</v>
      </c>
      <c r="HU29" s="92">
        <f>FORMULA!$E556</f>
        <v>0</v>
      </c>
      <c r="HV29" s="92">
        <f>FORMULA!$G556</f>
        <v>0</v>
      </c>
      <c r="HW29" s="92">
        <f>FORMULA!$I556</f>
        <v>0</v>
      </c>
      <c r="HX29" s="92">
        <f>FORMULA!$K556</f>
        <v>0</v>
      </c>
      <c r="HY29" s="92">
        <f>FORMULA!$M556</f>
        <v>0</v>
      </c>
      <c r="HZ29" s="92">
        <f>FORMULA!$O556</f>
        <v>0</v>
      </c>
      <c r="IA29" s="92">
        <f>FORMULA!$Q556</f>
        <v>0</v>
      </c>
      <c r="IB29" s="92">
        <f>FORMULA!$S556</f>
        <v>0</v>
      </c>
      <c r="IC29" s="92">
        <f>FORMULA!$U556</f>
        <v>0</v>
      </c>
      <c r="ID29" s="92">
        <f>FORMULA!$W556</f>
        <v>0</v>
      </c>
      <c r="IE29" s="92">
        <f>FORMULA!$Y556</f>
        <v>0</v>
      </c>
      <c r="IF29" s="92">
        <f>FORMULA!$AA556</f>
        <v>0</v>
      </c>
      <c r="IG29" s="92">
        <f>FORMULA!$AC556</f>
        <v>0</v>
      </c>
      <c r="IH29" s="92">
        <f>FORMULA!$AE556</f>
        <v>0</v>
      </c>
      <c r="II29" s="207"/>
      <c r="IJ29" s="91">
        <f>FORMULA!$C644</f>
        <v>0</v>
      </c>
      <c r="IK29" s="92">
        <f>FORMULA!$E644</f>
        <v>0</v>
      </c>
      <c r="IL29" s="92">
        <f>FORMULA!$G644</f>
        <v>0</v>
      </c>
      <c r="IM29" s="92">
        <f>FORMULA!$I644</f>
        <v>0</v>
      </c>
      <c r="IN29" s="92">
        <f>FORMULA!$K644</f>
        <v>0</v>
      </c>
      <c r="IO29" s="92">
        <f>FORMULA!$M644</f>
        <v>0</v>
      </c>
      <c r="IP29" s="92">
        <f>FORMULA!$O644</f>
        <v>0</v>
      </c>
      <c r="IQ29" s="92">
        <f>FORMULA!$Q644</f>
        <v>0</v>
      </c>
      <c r="IR29" s="92">
        <f>FORMULA!$S644</f>
        <v>0</v>
      </c>
      <c r="IS29" s="92">
        <f>FORMULA!$U644</f>
        <v>0</v>
      </c>
      <c r="IT29" s="92">
        <f>FORMULA!$W644</f>
        <v>0</v>
      </c>
      <c r="IU29" s="92">
        <f>FORMULA!$Y644</f>
        <v>0</v>
      </c>
      <c r="IV29" s="92">
        <f>FORMULA!$AA644</f>
        <v>0</v>
      </c>
      <c r="IW29" s="92">
        <f>FORMULA!$AC644</f>
        <v>0</v>
      </c>
      <c r="IX29" s="92">
        <f>FORMULA!$AE644</f>
        <v>0</v>
      </c>
      <c r="IY29" s="208"/>
    </row>
    <row r="30" spans="1:259" outlineLevel="1">
      <c r="A30" s="260">
        <f>'VAC &amp; MED'!C31</f>
        <v>46048</v>
      </c>
      <c r="B30" s="261">
        <v>16</v>
      </c>
      <c r="C30" s="261"/>
      <c r="D30" s="261"/>
      <c r="E30" s="261"/>
      <c r="F30" s="261"/>
      <c r="G30" s="261"/>
      <c r="H30" s="261"/>
      <c r="I30" s="261"/>
      <c r="J30" s="261"/>
      <c r="K30" s="261"/>
      <c r="L30" s="261"/>
      <c r="M30" s="261"/>
      <c r="N30" s="261"/>
      <c r="O30" s="261"/>
      <c r="P30" s="261"/>
      <c r="Q30" s="261"/>
      <c r="R30" s="262"/>
      <c r="S30" s="262"/>
      <c r="T30" s="262"/>
      <c r="U30" s="262"/>
      <c r="V30" s="262"/>
      <c r="W30" s="262"/>
      <c r="X30" s="262"/>
      <c r="Y30" s="262"/>
      <c r="Z30" s="262"/>
      <c r="AA30" s="262"/>
      <c r="AB30" s="262"/>
      <c r="AC30" s="262"/>
      <c r="AD30" s="262"/>
      <c r="AE30" s="262"/>
      <c r="AF30" s="262"/>
      <c r="AG30" s="262"/>
      <c r="AH30" s="263"/>
      <c r="AI30" s="263"/>
      <c r="AJ30" s="263"/>
      <c r="AK30" s="263"/>
      <c r="AL30" s="263"/>
      <c r="AM30" s="263"/>
      <c r="AN30" s="263"/>
      <c r="AO30" s="263"/>
      <c r="AP30" s="263"/>
      <c r="AQ30" s="263"/>
      <c r="AR30" s="263"/>
      <c r="AS30" s="263"/>
      <c r="AT30" s="263"/>
      <c r="AU30" s="263"/>
      <c r="AV30" s="263"/>
      <c r="AW30" s="263"/>
      <c r="AX30" s="264"/>
      <c r="AY30" s="264"/>
      <c r="AZ30" s="264"/>
      <c r="BA30" s="264"/>
      <c r="BB30" s="264"/>
      <c r="BC30" s="264"/>
      <c r="BD30" s="264"/>
      <c r="BE30" s="264"/>
      <c r="BF30" s="264"/>
      <c r="BG30" s="264"/>
      <c r="BH30" s="264"/>
      <c r="BI30" s="264"/>
      <c r="BJ30" s="264"/>
      <c r="BK30" s="264"/>
      <c r="BL30" s="264"/>
      <c r="BM30" s="264"/>
      <c r="BN30" s="265"/>
      <c r="BO30" s="265"/>
      <c r="BP30" s="265"/>
      <c r="BQ30" s="265"/>
      <c r="BR30" s="265"/>
      <c r="BS30" s="265"/>
      <c r="BT30" s="265"/>
      <c r="BU30" s="265"/>
      <c r="BV30" s="265"/>
      <c r="BW30" s="265"/>
      <c r="BX30" s="265"/>
      <c r="BY30" s="265">
        <v>40</v>
      </c>
      <c r="BZ30" s="265"/>
      <c r="CA30" s="265"/>
      <c r="CB30" s="265"/>
      <c r="CC30" s="265"/>
      <c r="CD30" s="266"/>
      <c r="CE30" s="266"/>
      <c r="CF30" s="266"/>
      <c r="CG30" s="266"/>
      <c r="CH30" s="266"/>
      <c r="CI30" s="266"/>
      <c r="CJ30" s="266"/>
      <c r="CK30" s="266"/>
      <c r="CL30" s="266"/>
      <c r="CM30" s="266"/>
      <c r="CN30" s="266"/>
      <c r="CO30" s="266"/>
      <c r="CP30" s="266"/>
      <c r="CQ30" s="266"/>
      <c r="CR30" s="266"/>
      <c r="CS30" s="266"/>
      <c r="CT30" s="267"/>
      <c r="CU30" s="267"/>
      <c r="CV30" s="267"/>
      <c r="CW30" s="267"/>
      <c r="CX30" s="267"/>
      <c r="CY30" s="267"/>
      <c r="CZ30" s="267"/>
      <c r="DA30" s="267"/>
      <c r="DB30" s="267"/>
      <c r="DC30" s="267"/>
      <c r="DD30" s="267"/>
      <c r="DE30" s="267"/>
      <c r="DF30" s="267"/>
      <c r="DG30" s="267"/>
      <c r="DH30" s="267"/>
      <c r="DI30" s="267"/>
      <c r="DJ30" s="268"/>
      <c r="DK30" s="268"/>
      <c r="DL30" s="268"/>
      <c r="DM30" s="268"/>
      <c r="DN30" s="268"/>
      <c r="DO30" s="268"/>
      <c r="DP30" s="268"/>
      <c r="DQ30" s="268"/>
      <c r="DR30" s="268"/>
      <c r="DS30" s="268"/>
      <c r="DT30" s="268"/>
      <c r="DU30" s="268"/>
      <c r="DV30" s="268"/>
      <c r="DW30" s="268"/>
      <c r="DX30" s="268"/>
      <c r="DY30" s="268"/>
      <c r="EA30" s="20" t="str">
        <f>FORMULA!$A$29</f>
        <v>PREMIX 312 (20KG)</v>
      </c>
      <c r="EB30" s="91">
        <f>FORMULA!$C29</f>
        <v>0</v>
      </c>
      <c r="EC30" s="92">
        <f>FORMULA!$E29</f>
        <v>0</v>
      </c>
      <c r="ED30" s="92">
        <f>FORMULA!$G29</f>
        <v>0</v>
      </c>
      <c r="EE30" s="92">
        <f>FORMULA!$I29</f>
        <v>0</v>
      </c>
      <c r="EF30" s="92">
        <f>FORMULA!$K29</f>
        <v>0</v>
      </c>
      <c r="EG30" s="92">
        <f>FORMULA!$M29</f>
        <v>0</v>
      </c>
      <c r="EH30" s="92">
        <f>FORMULA!$O29</f>
        <v>0</v>
      </c>
      <c r="EI30" s="92">
        <f>FORMULA!$Q29</f>
        <v>0</v>
      </c>
      <c r="EJ30" s="92">
        <f>FORMULA!$S29</f>
        <v>0</v>
      </c>
      <c r="EK30" s="92">
        <f>FORMULA!$U29</f>
        <v>0</v>
      </c>
      <c r="EL30" s="92">
        <f>FORMULA!$W29</f>
        <v>0</v>
      </c>
      <c r="EM30" s="92">
        <f>FORMULA!$Y29</f>
        <v>0</v>
      </c>
      <c r="EN30" s="92">
        <f>FORMULA!$AA29</f>
        <v>0</v>
      </c>
      <c r="EO30" s="92">
        <f>FORMULA!$AC29</f>
        <v>0</v>
      </c>
      <c r="EP30" s="92">
        <f>FORMULA!$AE29</f>
        <v>0</v>
      </c>
      <c r="EQ30" s="108"/>
      <c r="ER30" s="91">
        <f>FORMULA!$C117</f>
        <v>0</v>
      </c>
      <c r="ES30" s="92">
        <f>FORMULA!$E117</f>
        <v>0</v>
      </c>
      <c r="ET30" s="92">
        <f>FORMULA!$G117</f>
        <v>0</v>
      </c>
      <c r="EU30" s="92">
        <f>FORMULA!$I117</f>
        <v>0</v>
      </c>
      <c r="EV30" s="92">
        <f>FORMULA!$K117</f>
        <v>0</v>
      </c>
      <c r="EW30" s="92">
        <f>FORMULA!$M117</f>
        <v>0</v>
      </c>
      <c r="EX30" s="92">
        <f>FORMULA!$O117</f>
        <v>0</v>
      </c>
      <c r="EY30" s="92">
        <f>FORMULA!$Q117</f>
        <v>0</v>
      </c>
      <c r="EZ30" s="92">
        <f>FORMULA!$S117</f>
        <v>0</v>
      </c>
      <c r="FA30" s="92">
        <f>FORMULA!$U117</f>
        <v>0</v>
      </c>
      <c r="FB30" s="92">
        <f>FORMULA!$W117</f>
        <v>0</v>
      </c>
      <c r="FC30" s="92">
        <f>FORMULA!$Y117</f>
        <v>0</v>
      </c>
      <c r="FD30" s="92">
        <f>FORMULA!$AA117</f>
        <v>0</v>
      </c>
      <c r="FE30" s="92">
        <f>FORMULA!$AC117</f>
        <v>0</v>
      </c>
      <c r="FF30" s="92">
        <f>FORMULA!$AE117</f>
        <v>0</v>
      </c>
      <c r="FG30" s="94"/>
      <c r="FH30" s="91">
        <f>FORMULA!$C205</f>
        <v>0</v>
      </c>
      <c r="FI30" s="92">
        <f>FORMULA!$E205</f>
        <v>0</v>
      </c>
      <c r="FJ30" s="92">
        <f>FORMULA!$G205</f>
        <v>0</v>
      </c>
      <c r="FK30" s="92">
        <f>FORMULA!$I205</f>
        <v>0</v>
      </c>
      <c r="FL30" s="92">
        <f>FORMULA!$K205</f>
        <v>0</v>
      </c>
      <c r="FM30" s="92">
        <f>FORMULA!$M205</f>
        <v>0</v>
      </c>
      <c r="FN30" s="92">
        <f>FORMULA!$O205</f>
        <v>0</v>
      </c>
      <c r="FO30" s="92">
        <f>FORMULA!$Q205</f>
        <v>0</v>
      </c>
      <c r="FP30" s="92">
        <f>FORMULA!$S205</f>
        <v>0</v>
      </c>
      <c r="FQ30" s="92">
        <f>FORMULA!$U205</f>
        <v>0</v>
      </c>
      <c r="FR30" s="92">
        <f>FORMULA!$W205</f>
        <v>0</v>
      </c>
      <c r="FS30" s="92">
        <f>FORMULA!$Y205</f>
        <v>0</v>
      </c>
      <c r="FT30" s="92">
        <f>FORMULA!$AA205</f>
        <v>0</v>
      </c>
      <c r="FU30" s="92">
        <f>FORMULA!$AC205</f>
        <v>0</v>
      </c>
      <c r="FV30" s="92">
        <f>FORMULA!$AE205</f>
        <v>0</v>
      </c>
      <c r="FW30" s="94"/>
      <c r="FX30" s="91">
        <f>FORMULA!$C293</f>
        <v>0</v>
      </c>
      <c r="FY30" s="92">
        <f>FORMULA!$E293</f>
        <v>0</v>
      </c>
      <c r="FZ30" s="92">
        <f>FORMULA!$G293</f>
        <v>0</v>
      </c>
      <c r="GA30" s="92">
        <f>FORMULA!$I293</f>
        <v>0</v>
      </c>
      <c r="GB30" s="92">
        <f>FORMULA!$K293</f>
        <v>0</v>
      </c>
      <c r="GC30" s="92">
        <f>FORMULA!$M293</f>
        <v>0</v>
      </c>
      <c r="GD30" s="92">
        <f>FORMULA!$O293</f>
        <v>0</v>
      </c>
      <c r="GE30" s="92">
        <f>FORMULA!$Q293</f>
        <v>0</v>
      </c>
      <c r="GF30" s="92">
        <f>FORMULA!$S293</f>
        <v>0</v>
      </c>
      <c r="GG30" s="92">
        <f>FORMULA!$U293</f>
        <v>0</v>
      </c>
      <c r="GH30" s="92">
        <f>FORMULA!$W293</f>
        <v>0</v>
      </c>
      <c r="GI30" s="92">
        <f>FORMULA!$Y293</f>
        <v>0</v>
      </c>
      <c r="GJ30" s="92">
        <f>FORMULA!$AA293</f>
        <v>0</v>
      </c>
      <c r="GK30" s="92">
        <f>FORMULA!$AC293</f>
        <v>0</v>
      </c>
      <c r="GL30" s="92">
        <f>FORMULA!$AE293</f>
        <v>0</v>
      </c>
      <c r="GM30" s="207"/>
      <c r="GN30" s="91">
        <f>FORMULA!$C381</f>
        <v>0</v>
      </c>
      <c r="GO30" s="92">
        <f>FORMULA!$E381</f>
        <v>0</v>
      </c>
      <c r="GP30" s="92">
        <f>FORMULA!$G381</f>
        <v>0</v>
      </c>
      <c r="GQ30" s="92">
        <f>FORMULA!$I381</f>
        <v>0</v>
      </c>
      <c r="GR30" s="92">
        <f>FORMULA!$K381</f>
        <v>0</v>
      </c>
      <c r="GS30" s="92">
        <f>FORMULA!$M381</f>
        <v>0</v>
      </c>
      <c r="GT30" s="92">
        <f>FORMULA!$O381</f>
        <v>0</v>
      </c>
      <c r="GU30" s="92">
        <f>FORMULA!$Q381</f>
        <v>0</v>
      </c>
      <c r="GV30" s="92">
        <f>FORMULA!$S381</f>
        <v>0</v>
      </c>
      <c r="GW30" s="92">
        <f>FORMULA!$U381</f>
        <v>0</v>
      </c>
      <c r="GX30" s="92">
        <f>FORMULA!$W381</f>
        <v>0</v>
      </c>
      <c r="GY30" s="92">
        <f>FORMULA!$Y381</f>
        <v>0</v>
      </c>
      <c r="GZ30" s="92">
        <f>FORMULA!$AA381</f>
        <v>0</v>
      </c>
      <c r="HA30" s="92">
        <f>FORMULA!$AC381</f>
        <v>0</v>
      </c>
      <c r="HB30" s="92">
        <f>FORMULA!$AE381</f>
        <v>0</v>
      </c>
      <c r="HC30" s="207"/>
      <c r="HD30" s="91">
        <f>FORMULA!$C469</f>
        <v>0</v>
      </c>
      <c r="HE30" s="92">
        <f>FORMULA!$E469</f>
        <v>0</v>
      </c>
      <c r="HF30" s="92">
        <f>FORMULA!$G469</f>
        <v>0</v>
      </c>
      <c r="HG30" s="92">
        <f>FORMULA!$I469</f>
        <v>0</v>
      </c>
      <c r="HH30" s="92">
        <f>FORMULA!$K469</f>
        <v>0</v>
      </c>
      <c r="HI30" s="92">
        <f>FORMULA!$M469</f>
        <v>0</v>
      </c>
      <c r="HJ30" s="92">
        <f>FORMULA!$O469</f>
        <v>0</v>
      </c>
      <c r="HK30" s="92">
        <f>FORMULA!$Q469</f>
        <v>0</v>
      </c>
      <c r="HL30" s="92">
        <f>FORMULA!$S469</f>
        <v>0</v>
      </c>
      <c r="HM30" s="92">
        <f>FORMULA!$U469</f>
        <v>0</v>
      </c>
      <c r="HN30" s="92">
        <f>FORMULA!$W469</f>
        <v>20</v>
      </c>
      <c r="HO30" s="92">
        <f>FORMULA!$Y469</f>
        <v>0</v>
      </c>
      <c r="HP30" s="92">
        <f>FORMULA!$AA469</f>
        <v>0</v>
      </c>
      <c r="HQ30" s="92">
        <f>FORMULA!$AC469</f>
        <v>0</v>
      </c>
      <c r="HR30" s="92">
        <f>FORMULA!$AE469</f>
        <v>0</v>
      </c>
      <c r="HS30" s="207"/>
      <c r="HT30" s="91">
        <f>FORMULA!$C557</f>
        <v>0</v>
      </c>
      <c r="HU30" s="92">
        <f>FORMULA!$E557</f>
        <v>0</v>
      </c>
      <c r="HV30" s="92">
        <f>FORMULA!$G557</f>
        <v>0</v>
      </c>
      <c r="HW30" s="92">
        <f>FORMULA!$I557</f>
        <v>0</v>
      </c>
      <c r="HX30" s="92">
        <f>FORMULA!$K557</f>
        <v>0</v>
      </c>
      <c r="HY30" s="92">
        <f>FORMULA!$M557</f>
        <v>0</v>
      </c>
      <c r="HZ30" s="92">
        <f>FORMULA!$O557</f>
        <v>0</v>
      </c>
      <c r="IA30" s="92">
        <f>FORMULA!$Q557</f>
        <v>0</v>
      </c>
      <c r="IB30" s="92">
        <f>FORMULA!$S557</f>
        <v>0</v>
      </c>
      <c r="IC30" s="92">
        <f>FORMULA!$U557</f>
        <v>0</v>
      </c>
      <c r="ID30" s="92">
        <f>FORMULA!$W557</f>
        <v>0</v>
      </c>
      <c r="IE30" s="92">
        <f>FORMULA!$Y557</f>
        <v>0</v>
      </c>
      <c r="IF30" s="92">
        <f>FORMULA!$AA557</f>
        <v>0</v>
      </c>
      <c r="IG30" s="92">
        <f>FORMULA!$AC557</f>
        <v>0</v>
      </c>
      <c r="IH30" s="92">
        <f>FORMULA!$AE557</f>
        <v>0</v>
      </c>
      <c r="II30" s="207"/>
      <c r="IJ30" s="91">
        <f>FORMULA!$C645</f>
        <v>0</v>
      </c>
      <c r="IK30" s="92">
        <f>FORMULA!$E645</f>
        <v>0</v>
      </c>
      <c r="IL30" s="92">
        <f>FORMULA!$G645</f>
        <v>0</v>
      </c>
      <c r="IM30" s="92">
        <f>FORMULA!$I645</f>
        <v>0</v>
      </c>
      <c r="IN30" s="92">
        <f>FORMULA!$K645</f>
        <v>0</v>
      </c>
      <c r="IO30" s="92">
        <f>FORMULA!$M645</f>
        <v>0</v>
      </c>
      <c r="IP30" s="92">
        <f>FORMULA!$O645</f>
        <v>0</v>
      </c>
      <c r="IQ30" s="92">
        <f>FORMULA!$Q645</f>
        <v>0</v>
      </c>
      <c r="IR30" s="92">
        <f>FORMULA!$S645</f>
        <v>0</v>
      </c>
      <c r="IS30" s="92">
        <f>FORMULA!$U645</f>
        <v>0</v>
      </c>
      <c r="IT30" s="92">
        <f>FORMULA!$W645</f>
        <v>0</v>
      </c>
      <c r="IU30" s="92">
        <f>FORMULA!$Y645</f>
        <v>0</v>
      </c>
      <c r="IV30" s="92">
        <f>FORMULA!$AA645</f>
        <v>0</v>
      </c>
      <c r="IW30" s="92">
        <f>FORMULA!$AC645</f>
        <v>0</v>
      </c>
      <c r="IX30" s="92">
        <f>FORMULA!$AE645</f>
        <v>0</v>
      </c>
      <c r="IY30" s="208"/>
    </row>
    <row r="31" spans="1:259" outlineLevel="1">
      <c r="A31" s="260">
        <f>'VAC &amp; MED'!C32</f>
        <v>46049</v>
      </c>
      <c r="B31" s="261"/>
      <c r="C31" s="261"/>
      <c r="D31" s="261"/>
      <c r="E31" s="261"/>
      <c r="F31" s="261"/>
      <c r="G31" s="261"/>
      <c r="H31" s="261"/>
      <c r="I31" s="261"/>
      <c r="J31" s="261"/>
      <c r="K31" s="261"/>
      <c r="L31" s="261"/>
      <c r="M31" s="261"/>
      <c r="N31" s="261"/>
      <c r="O31" s="261"/>
      <c r="P31" s="261"/>
      <c r="Q31" s="261"/>
      <c r="R31" s="262"/>
      <c r="S31" s="262"/>
      <c r="T31" s="262"/>
      <c r="U31" s="262"/>
      <c r="V31" s="262"/>
      <c r="W31" s="262"/>
      <c r="X31" s="262"/>
      <c r="Y31" s="262"/>
      <c r="Z31" s="262"/>
      <c r="AA31" s="262"/>
      <c r="AB31" s="262"/>
      <c r="AC31" s="262"/>
      <c r="AD31" s="262"/>
      <c r="AE31" s="262"/>
      <c r="AF31" s="262"/>
      <c r="AG31" s="262"/>
      <c r="AH31" s="263">
        <v>44</v>
      </c>
      <c r="AI31" s="263"/>
      <c r="AJ31" s="263"/>
      <c r="AK31" s="263"/>
      <c r="AL31" s="263"/>
      <c r="AM31" s="263"/>
      <c r="AN31" s="263"/>
      <c r="AO31" s="263"/>
      <c r="AP31" s="263"/>
      <c r="AQ31" s="263"/>
      <c r="AR31" s="263"/>
      <c r="AS31" s="263"/>
      <c r="AT31" s="263"/>
      <c r="AU31" s="263"/>
      <c r="AV31" s="263"/>
      <c r="AW31" s="263"/>
      <c r="AX31" s="264"/>
      <c r="AY31" s="264"/>
      <c r="AZ31" s="264"/>
      <c r="BA31" s="264"/>
      <c r="BB31" s="264"/>
      <c r="BC31" s="264"/>
      <c r="BD31" s="264"/>
      <c r="BE31" s="264"/>
      <c r="BF31" s="264"/>
      <c r="BG31" s="264"/>
      <c r="BH31" s="264"/>
      <c r="BI31" s="264"/>
      <c r="BJ31" s="264"/>
      <c r="BK31" s="264"/>
      <c r="BL31" s="264"/>
      <c r="BM31" s="264"/>
      <c r="BN31" s="265"/>
      <c r="BO31" s="265"/>
      <c r="BP31" s="265"/>
      <c r="BQ31" s="265">
        <v>40</v>
      </c>
      <c r="BR31" s="265"/>
      <c r="BS31" s="265"/>
      <c r="BT31" s="265"/>
      <c r="BU31" s="265"/>
      <c r="BV31" s="265"/>
      <c r="BW31" s="265"/>
      <c r="BX31" s="265"/>
      <c r="BY31" s="265"/>
      <c r="BZ31" s="265"/>
      <c r="CA31" s="265"/>
      <c r="CB31" s="265"/>
      <c r="CC31" s="265"/>
      <c r="CD31" s="266"/>
      <c r="CE31" s="266"/>
      <c r="CF31" s="266"/>
      <c r="CG31" s="266"/>
      <c r="CH31" s="266"/>
      <c r="CI31" s="266"/>
      <c r="CJ31" s="266"/>
      <c r="CK31" s="266"/>
      <c r="CL31" s="266"/>
      <c r="CM31" s="266"/>
      <c r="CN31" s="266"/>
      <c r="CO31" s="266"/>
      <c r="CP31" s="266"/>
      <c r="CQ31" s="266"/>
      <c r="CR31" s="266"/>
      <c r="CS31" s="266"/>
      <c r="CT31" s="267"/>
      <c r="CU31" s="267"/>
      <c r="CV31" s="267"/>
      <c r="CW31" s="267"/>
      <c r="CX31" s="267"/>
      <c r="CY31" s="267"/>
      <c r="CZ31" s="267"/>
      <c r="DA31" s="267"/>
      <c r="DB31" s="267"/>
      <c r="DC31" s="267"/>
      <c r="DD31" s="267"/>
      <c r="DE31" s="267"/>
      <c r="DF31" s="267"/>
      <c r="DG31" s="267"/>
      <c r="DH31" s="267"/>
      <c r="DI31" s="267"/>
      <c r="DJ31" s="268"/>
      <c r="DK31" s="268"/>
      <c r="DL31" s="268"/>
      <c r="DM31" s="268"/>
      <c r="DN31" s="268"/>
      <c r="DO31" s="268"/>
      <c r="DP31" s="268"/>
      <c r="DQ31" s="268"/>
      <c r="DR31" s="268"/>
      <c r="DS31" s="268"/>
      <c r="DT31" s="268"/>
      <c r="DU31" s="268"/>
      <c r="DV31" s="268"/>
      <c r="DW31" s="268"/>
      <c r="DX31" s="268"/>
      <c r="DY31" s="268"/>
      <c r="EA31" s="20">
        <f>FORMULA!$A$30</f>
        <v>1</v>
      </c>
      <c r="EB31" s="91">
        <f>FORMULA!$C30</f>
        <v>0</v>
      </c>
      <c r="EC31" s="92">
        <f>FORMULA!$E30</f>
        <v>0</v>
      </c>
      <c r="ED31" s="92">
        <f>FORMULA!$G30</f>
        <v>0</v>
      </c>
      <c r="EE31" s="92">
        <f>FORMULA!$I30</f>
        <v>0</v>
      </c>
      <c r="EF31" s="92">
        <f>FORMULA!$K30</f>
        <v>0</v>
      </c>
      <c r="EG31" s="92">
        <f>FORMULA!$M30</f>
        <v>0</v>
      </c>
      <c r="EH31" s="92">
        <f>FORMULA!$O30</f>
        <v>0</v>
      </c>
      <c r="EI31" s="92">
        <f>FORMULA!$Q30</f>
        <v>0</v>
      </c>
      <c r="EJ31" s="92">
        <f>FORMULA!$S30</f>
        <v>0</v>
      </c>
      <c r="EK31" s="92">
        <f>FORMULA!$U30</f>
        <v>0</v>
      </c>
      <c r="EL31" s="92">
        <f>FORMULA!$W30</f>
        <v>0</v>
      </c>
      <c r="EM31" s="92">
        <f>FORMULA!$Y30</f>
        <v>0</v>
      </c>
      <c r="EN31" s="92">
        <f>FORMULA!$AA30</f>
        <v>0</v>
      </c>
      <c r="EO31" s="92">
        <f>FORMULA!$AC30</f>
        <v>0</v>
      </c>
      <c r="EP31" s="92">
        <f>FORMULA!$AE30</f>
        <v>0</v>
      </c>
      <c r="EQ31" s="108"/>
      <c r="ER31" s="91">
        <f>FORMULA!$C118</f>
        <v>0</v>
      </c>
      <c r="ES31" s="92">
        <f>FORMULA!$E118</f>
        <v>0</v>
      </c>
      <c r="ET31" s="92">
        <f>FORMULA!$G118</f>
        <v>0</v>
      </c>
      <c r="EU31" s="92">
        <f>FORMULA!$I118</f>
        <v>0</v>
      </c>
      <c r="EV31" s="92">
        <f>FORMULA!$K118</f>
        <v>0</v>
      </c>
      <c r="EW31" s="92">
        <f>FORMULA!$M118</f>
        <v>0</v>
      </c>
      <c r="EX31" s="92">
        <f>FORMULA!$O118</f>
        <v>0</v>
      </c>
      <c r="EY31" s="92">
        <f>FORMULA!$Q118</f>
        <v>0</v>
      </c>
      <c r="EZ31" s="92">
        <f>FORMULA!$S118</f>
        <v>0</v>
      </c>
      <c r="FA31" s="92">
        <f>FORMULA!$U118</f>
        <v>0</v>
      </c>
      <c r="FB31" s="92">
        <f>FORMULA!$W118</f>
        <v>0</v>
      </c>
      <c r="FC31" s="92">
        <f>FORMULA!$Y118</f>
        <v>0</v>
      </c>
      <c r="FD31" s="92">
        <f>FORMULA!$AA118</f>
        <v>0</v>
      </c>
      <c r="FE31" s="92">
        <f>FORMULA!$AC118</f>
        <v>0</v>
      </c>
      <c r="FF31" s="92">
        <f>FORMULA!$AE118</f>
        <v>0</v>
      </c>
      <c r="FG31" s="94"/>
      <c r="FH31" s="91">
        <f>FORMULA!$C206</f>
        <v>0</v>
      </c>
      <c r="FI31" s="92">
        <f>FORMULA!$E206</f>
        <v>0</v>
      </c>
      <c r="FJ31" s="92">
        <f>FORMULA!$G206</f>
        <v>0</v>
      </c>
      <c r="FK31" s="92">
        <f>FORMULA!$I206</f>
        <v>0</v>
      </c>
      <c r="FL31" s="92">
        <f>FORMULA!$K206</f>
        <v>0</v>
      </c>
      <c r="FM31" s="92">
        <f>FORMULA!$M206</f>
        <v>0</v>
      </c>
      <c r="FN31" s="92">
        <f>FORMULA!$O206</f>
        <v>0</v>
      </c>
      <c r="FO31" s="92">
        <f>FORMULA!$Q206</f>
        <v>0</v>
      </c>
      <c r="FP31" s="92">
        <f>FORMULA!$S206</f>
        <v>0</v>
      </c>
      <c r="FQ31" s="92">
        <f>FORMULA!$U206</f>
        <v>0</v>
      </c>
      <c r="FR31" s="92">
        <f>FORMULA!$W206</f>
        <v>0</v>
      </c>
      <c r="FS31" s="92">
        <f>FORMULA!$Y206</f>
        <v>0</v>
      </c>
      <c r="FT31" s="92">
        <f>FORMULA!$AA206</f>
        <v>0</v>
      </c>
      <c r="FU31" s="92">
        <f>FORMULA!$AC206</f>
        <v>0</v>
      </c>
      <c r="FV31" s="92">
        <f>FORMULA!$AE206</f>
        <v>0</v>
      </c>
      <c r="FW31" s="94"/>
      <c r="FX31" s="91">
        <f>FORMULA!$C294</f>
        <v>0</v>
      </c>
      <c r="FY31" s="92">
        <f>FORMULA!$E294</f>
        <v>0</v>
      </c>
      <c r="FZ31" s="92">
        <f>FORMULA!$G294</f>
        <v>0</v>
      </c>
      <c r="GA31" s="92">
        <f>FORMULA!$I294</f>
        <v>0</v>
      </c>
      <c r="GB31" s="92">
        <f>FORMULA!$K294</f>
        <v>0</v>
      </c>
      <c r="GC31" s="92">
        <f>FORMULA!$M294</f>
        <v>0</v>
      </c>
      <c r="GD31" s="92">
        <f>FORMULA!$O294</f>
        <v>0</v>
      </c>
      <c r="GE31" s="92">
        <f>FORMULA!$Q294</f>
        <v>0</v>
      </c>
      <c r="GF31" s="92">
        <f>FORMULA!$S294</f>
        <v>0</v>
      </c>
      <c r="GG31" s="92">
        <f>FORMULA!$U294</f>
        <v>0</v>
      </c>
      <c r="GH31" s="92">
        <f>FORMULA!$W294</f>
        <v>0</v>
      </c>
      <c r="GI31" s="92">
        <f>FORMULA!$Y294</f>
        <v>0</v>
      </c>
      <c r="GJ31" s="92">
        <f>FORMULA!$AA294</f>
        <v>0</v>
      </c>
      <c r="GK31" s="92">
        <f>FORMULA!$AC294</f>
        <v>0</v>
      </c>
      <c r="GL31" s="92">
        <f>FORMULA!$AE294</f>
        <v>0</v>
      </c>
      <c r="GM31" s="207"/>
      <c r="GN31" s="91">
        <f>FORMULA!$C382</f>
        <v>0</v>
      </c>
      <c r="GO31" s="92">
        <f>FORMULA!$E382</f>
        <v>0</v>
      </c>
      <c r="GP31" s="92">
        <f>FORMULA!$G382</f>
        <v>0</v>
      </c>
      <c r="GQ31" s="92">
        <f>FORMULA!$I382</f>
        <v>0</v>
      </c>
      <c r="GR31" s="92">
        <f>FORMULA!$K382</f>
        <v>0</v>
      </c>
      <c r="GS31" s="92">
        <f>FORMULA!$M382</f>
        <v>0</v>
      </c>
      <c r="GT31" s="92">
        <f>FORMULA!$O382</f>
        <v>0</v>
      </c>
      <c r="GU31" s="92">
        <f>FORMULA!$Q382</f>
        <v>0</v>
      </c>
      <c r="GV31" s="92">
        <f>FORMULA!$S382</f>
        <v>0</v>
      </c>
      <c r="GW31" s="92">
        <f>FORMULA!$U382</f>
        <v>0</v>
      </c>
      <c r="GX31" s="92">
        <f>FORMULA!$W382</f>
        <v>0</v>
      </c>
      <c r="GY31" s="92">
        <f>FORMULA!$Y382</f>
        <v>0</v>
      </c>
      <c r="GZ31" s="92">
        <f>FORMULA!$AA382</f>
        <v>0</v>
      </c>
      <c r="HA31" s="92">
        <f>FORMULA!$AC382</f>
        <v>0</v>
      </c>
      <c r="HB31" s="92">
        <f>FORMULA!$AE382</f>
        <v>0</v>
      </c>
      <c r="HC31" s="207"/>
      <c r="HD31" s="91">
        <f>FORMULA!$C470</f>
        <v>0</v>
      </c>
      <c r="HE31" s="92">
        <f>FORMULA!$E470</f>
        <v>0</v>
      </c>
      <c r="HF31" s="92">
        <f>FORMULA!$G470</f>
        <v>0</v>
      </c>
      <c r="HG31" s="92">
        <f>FORMULA!$I470</f>
        <v>0</v>
      </c>
      <c r="HH31" s="92">
        <f>FORMULA!$K470</f>
        <v>0</v>
      </c>
      <c r="HI31" s="92">
        <f>FORMULA!$M470</f>
        <v>0</v>
      </c>
      <c r="HJ31" s="92">
        <f>FORMULA!$O470</f>
        <v>0</v>
      </c>
      <c r="HK31" s="92">
        <f>FORMULA!$Q470</f>
        <v>0</v>
      </c>
      <c r="HL31" s="92">
        <f>FORMULA!$S470</f>
        <v>0</v>
      </c>
      <c r="HM31" s="92">
        <f>FORMULA!$U470</f>
        <v>0</v>
      </c>
      <c r="HN31" s="92">
        <f>FORMULA!$W470</f>
        <v>0</v>
      </c>
      <c r="HO31" s="92">
        <f>FORMULA!$Y470</f>
        <v>0</v>
      </c>
      <c r="HP31" s="92">
        <f>FORMULA!$AA470</f>
        <v>0</v>
      </c>
      <c r="HQ31" s="92">
        <f>FORMULA!$AC470</f>
        <v>0</v>
      </c>
      <c r="HR31" s="92">
        <f>FORMULA!$AE470</f>
        <v>0</v>
      </c>
      <c r="HS31" s="207"/>
      <c r="HT31" s="91">
        <f>FORMULA!$C558</f>
        <v>0</v>
      </c>
      <c r="HU31" s="92">
        <f>FORMULA!$E558</f>
        <v>0</v>
      </c>
      <c r="HV31" s="92">
        <f>FORMULA!$G558</f>
        <v>0</v>
      </c>
      <c r="HW31" s="92">
        <f>FORMULA!$I558</f>
        <v>0</v>
      </c>
      <c r="HX31" s="92">
        <f>FORMULA!$K558</f>
        <v>0</v>
      </c>
      <c r="HY31" s="92">
        <f>FORMULA!$M558</f>
        <v>0</v>
      </c>
      <c r="HZ31" s="92">
        <f>FORMULA!$O558</f>
        <v>0</v>
      </c>
      <c r="IA31" s="92">
        <f>FORMULA!$Q558</f>
        <v>0</v>
      </c>
      <c r="IB31" s="92">
        <f>FORMULA!$S558</f>
        <v>0</v>
      </c>
      <c r="IC31" s="92">
        <f>FORMULA!$U558</f>
        <v>0</v>
      </c>
      <c r="ID31" s="92">
        <f>FORMULA!$W558</f>
        <v>0</v>
      </c>
      <c r="IE31" s="92">
        <f>FORMULA!$Y558</f>
        <v>0</v>
      </c>
      <c r="IF31" s="92">
        <f>FORMULA!$AA558</f>
        <v>0</v>
      </c>
      <c r="IG31" s="92">
        <f>FORMULA!$AC558</f>
        <v>0</v>
      </c>
      <c r="IH31" s="92">
        <f>FORMULA!$AE558</f>
        <v>0</v>
      </c>
      <c r="II31" s="207"/>
      <c r="IJ31" s="91">
        <f>FORMULA!$C646</f>
        <v>0</v>
      </c>
      <c r="IK31" s="92">
        <f>FORMULA!$E646</f>
        <v>0</v>
      </c>
      <c r="IL31" s="92">
        <f>FORMULA!$G646</f>
        <v>0</v>
      </c>
      <c r="IM31" s="92">
        <f>FORMULA!$I646</f>
        <v>0</v>
      </c>
      <c r="IN31" s="92">
        <f>FORMULA!$K646</f>
        <v>0</v>
      </c>
      <c r="IO31" s="92">
        <f>FORMULA!$M646</f>
        <v>0</v>
      </c>
      <c r="IP31" s="92">
        <f>FORMULA!$O646</f>
        <v>0</v>
      </c>
      <c r="IQ31" s="92">
        <f>FORMULA!$Q646</f>
        <v>0</v>
      </c>
      <c r="IR31" s="92">
        <f>FORMULA!$S646</f>
        <v>0</v>
      </c>
      <c r="IS31" s="92">
        <f>FORMULA!$U646</f>
        <v>0</v>
      </c>
      <c r="IT31" s="92">
        <f>FORMULA!$W646</f>
        <v>0</v>
      </c>
      <c r="IU31" s="92">
        <f>FORMULA!$Y646</f>
        <v>0</v>
      </c>
      <c r="IV31" s="92">
        <f>FORMULA!$AA646</f>
        <v>0</v>
      </c>
      <c r="IW31" s="92">
        <f>FORMULA!$AC646</f>
        <v>0</v>
      </c>
      <c r="IX31" s="92">
        <f>FORMULA!$AE646</f>
        <v>0</v>
      </c>
      <c r="IY31" s="208"/>
    </row>
    <row r="32" spans="1:259" outlineLevel="1">
      <c r="A32" s="260">
        <f>'VAC &amp; MED'!C33</f>
        <v>46050</v>
      </c>
      <c r="B32" s="261"/>
      <c r="C32" s="261"/>
      <c r="D32" s="261"/>
      <c r="E32" s="261"/>
      <c r="F32" s="261"/>
      <c r="G32" s="261"/>
      <c r="H32" s="261"/>
      <c r="I32" s="261"/>
      <c r="J32" s="261"/>
      <c r="K32" s="261"/>
      <c r="L32" s="261"/>
      <c r="M32" s="261"/>
      <c r="N32" s="261"/>
      <c r="O32" s="261"/>
      <c r="P32" s="261"/>
      <c r="Q32" s="261"/>
      <c r="R32" s="262"/>
      <c r="S32" s="262"/>
      <c r="T32" s="262"/>
      <c r="U32" s="262"/>
      <c r="V32" s="262"/>
      <c r="W32" s="262"/>
      <c r="X32" s="262"/>
      <c r="Y32" s="262"/>
      <c r="Z32" s="262"/>
      <c r="AA32" s="262"/>
      <c r="AB32" s="262"/>
      <c r="AC32" s="262"/>
      <c r="AD32" s="262"/>
      <c r="AE32" s="262"/>
      <c r="AF32" s="262"/>
      <c r="AG32" s="262"/>
      <c r="AH32" s="263"/>
      <c r="AI32" s="263"/>
      <c r="AJ32" s="263"/>
      <c r="AK32" s="263"/>
      <c r="AL32" s="263"/>
      <c r="AM32" s="263"/>
      <c r="AN32" s="263"/>
      <c r="AO32" s="263"/>
      <c r="AP32" s="263"/>
      <c r="AQ32" s="263"/>
      <c r="AR32" s="263"/>
      <c r="AS32" s="263"/>
      <c r="AT32" s="263"/>
      <c r="AU32" s="263"/>
      <c r="AV32" s="263"/>
      <c r="AW32" s="263"/>
      <c r="AX32" s="264"/>
      <c r="AY32" s="264"/>
      <c r="AZ32" s="264"/>
      <c r="BA32" s="264"/>
      <c r="BB32" s="264"/>
      <c r="BC32" s="264"/>
      <c r="BD32" s="264"/>
      <c r="BE32" s="264"/>
      <c r="BF32" s="264"/>
      <c r="BG32" s="264"/>
      <c r="BH32" s="264"/>
      <c r="BI32" s="264"/>
      <c r="BJ32" s="264"/>
      <c r="BK32" s="264"/>
      <c r="BL32" s="264"/>
      <c r="BM32" s="264"/>
      <c r="BN32" s="265"/>
      <c r="BO32" s="265"/>
      <c r="BP32" s="265"/>
      <c r="BQ32" s="265">
        <v>14</v>
      </c>
      <c r="BR32" s="265">
        <v>20</v>
      </c>
      <c r="BS32" s="265"/>
      <c r="BT32" s="265"/>
      <c r="BU32" s="265"/>
      <c r="BV32" s="265"/>
      <c r="BW32" s="265"/>
      <c r="BX32" s="265"/>
      <c r="BY32" s="265"/>
      <c r="BZ32" s="265"/>
      <c r="CA32" s="265"/>
      <c r="CB32" s="265"/>
      <c r="CC32" s="265"/>
      <c r="CD32" s="266"/>
      <c r="CE32" s="266"/>
      <c r="CF32" s="266"/>
      <c r="CG32" s="266"/>
      <c r="CH32" s="266"/>
      <c r="CI32" s="266"/>
      <c r="CJ32" s="266"/>
      <c r="CK32" s="266"/>
      <c r="CL32" s="266"/>
      <c r="CM32" s="266"/>
      <c r="CN32" s="266"/>
      <c r="CO32" s="266"/>
      <c r="CP32" s="266"/>
      <c r="CQ32" s="266"/>
      <c r="CR32" s="266"/>
      <c r="CS32" s="266"/>
      <c r="CT32" s="267"/>
      <c r="CU32" s="267"/>
      <c r="CV32" s="267"/>
      <c r="CW32" s="267"/>
      <c r="CX32" s="267"/>
      <c r="CY32" s="267"/>
      <c r="CZ32" s="267"/>
      <c r="DA32" s="267"/>
      <c r="DB32" s="267"/>
      <c r="DC32" s="267"/>
      <c r="DD32" s="267"/>
      <c r="DE32" s="267"/>
      <c r="DF32" s="267"/>
      <c r="DG32" s="267"/>
      <c r="DH32" s="267"/>
      <c r="DI32" s="267"/>
      <c r="DJ32" s="268"/>
      <c r="DK32" s="268"/>
      <c r="DL32" s="268"/>
      <c r="DM32" s="268"/>
      <c r="DN32" s="268"/>
      <c r="DO32" s="268"/>
      <c r="DP32" s="268"/>
      <c r="DQ32" s="268"/>
      <c r="DR32" s="268"/>
      <c r="DS32" s="268"/>
      <c r="DT32" s="268"/>
      <c r="DU32" s="268"/>
      <c r="DV32" s="268"/>
      <c r="DW32" s="268"/>
      <c r="DX32" s="268"/>
      <c r="DY32" s="268"/>
      <c r="EA32" s="20" t="str">
        <f>FORMULA!$A$31</f>
        <v>PREMIX 8100 (20KG)</v>
      </c>
      <c r="EB32" s="91">
        <f>FORMULA!$C31</f>
        <v>0</v>
      </c>
      <c r="EC32" s="92">
        <f>FORMULA!$E31</f>
        <v>0</v>
      </c>
      <c r="ED32" s="92">
        <f>FORMULA!$G31</f>
        <v>0</v>
      </c>
      <c r="EE32" s="92">
        <f>FORMULA!$I31</f>
        <v>0</v>
      </c>
      <c r="EF32" s="92">
        <f>FORMULA!$K31</f>
        <v>0</v>
      </c>
      <c r="EG32" s="92">
        <f>FORMULA!$M31</f>
        <v>0</v>
      </c>
      <c r="EH32" s="92">
        <f>FORMULA!$O31</f>
        <v>0</v>
      </c>
      <c r="EI32" s="92">
        <f>FORMULA!$Q31</f>
        <v>0</v>
      </c>
      <c r="EJ32" s="92">
        <f>FORMULA!$S31</f>
        <v>0</v>
      </c>
      <c r="EK32" s="92">
        <f>FORMULA!$U31</f>
        <v>0</v>
      </c>
      <c r="EL32" s="92">
        <f>FORMULA!$W31</f>
        <v>0</v>
      </c>
      <c r="EM32" s="92">
        <f>FORMULA!$Y31</f>
        <v>0</v>
      </c>
      <c r="EN32" s="92">
        <f>FORMULA!$AA31</f>
        <v>0</v>
      </c>
      <c r="EO32" s="92">
        <f>FORMULA!$AC31</f>
        <v>0</v>
      </c>
      <c r="EP32" s="92">
        <f>FORMULA!$AE31</f>
        <v>0</v>
      </c>
      <c r="EQ32" s="108"/>
      <c r="ER32" s="91">
        <f>FORMULA!$C119</f>
        <v>0</v>
      </c>
      <c r="ES32" s="92">
        <f>FORMULA!$E119</f>
        <v>0</v>
      </c>
      <c r="ET32" s="92">
        <f>FORMULA!$G119</f>
        <v>0</v>
      </c>
      <c r="EU32" s="92">
        <f>FORMULA!$I119</f>
        <v>0</v>
      </c>
      <c r="EV32" s="92">
        <f>FORMULA!$K119</f>
        <v>0</v>
      </c>
      <c r="EW32" s="92">
        <f>FORMULA!$M119</f>
        <v>0</v>
      </c>
      <c r="EX32" s="92">
        <f>FORMULA!$O119</f>
        <v>0</v>
      </c>
      <c r="EY32" s="92">
        <f>FORMULA!$Q119</f>
        <v>0</v>
      </c>
      <c r="EZ32" s="92">
        <f>FORMULA!$S119</f>
        <v>0</v>
      </c>
      <c r="FA32" s="92">
        <f>FORMULA!$U119</f>
        <v>0</v>
      </c>
      <c r="FB32" s="92">
        <f>FORMULA!$W119</f>
        <v>0</v>
      </c>
      <c r="FC32" s="92">
        <f>FORMULA!$Y119</f>
        <v>0</v>
      </c>
      <c r="FD32" s="92">
        <f>FORMULA!$AA119</f>
        <v>0</v>
      </c>
      <c r="FE32" s="92">
        <f>FORMULA!$AC119</f>
        <v>0</v>
      </c>
      <c r="FF32" s="92">
        <f>FORMULA!$AE119</f>
        <v>0</v>
      </c>
      <c r="FG32" s="94"/>
      <c r="FH32" s="91">
        <f>FORMULA!$C207</f>
        <v>0</v>
      </c>
      <c r="FI32" s="92">
        <f>FORMULA!$E207</f>
        <v>0</v>
      </c>
      <c r="FJ32" s="92">
        <f>FORMULA!$G207</f>
        <v>0</v>
      </c>
      <c r="FK32" s="92">
        <f>FORMULA!$I207</f>
        <v>0</v>
      </c>
      <c r="FL32" s="92">
        <f>FORMULA!$K207</f>
        <v>0</v>
      </c>
      <c r="FM32" s="92">
        <f>FORMULA!$M207</f>
        <v>0</v>
      </c>
      <c r="FN32" s="92">
        <f>FORMULA!$O207</f>
        <v>0</v>
      </c>
      <c r="FO32" s="92">
        <f>FORMULA!$Q207</f>
        <v>0</v>
      </c>
      <c r="FP32" s="92">
        <f>FORMULA!$S207</f>
        <v>0</v>
      </c>
      <c r="FQ32" s="92">
        <f>FORMULA!$U207</f>
        <v>0</v>
      </c>
      <c r="FR32" s="92">
        <f>FORMULA!$W207</f>
        <v>0</v>
      </c>
      <c r="FS32" s="92">
        <f>FORMULA!$Y207</f>
        <v>0</v>
      </c>
      <c r="FT32" s="92">
        <f>FORMULA!$AA207</f>
        <v>0</v>
      </c>
      <c r="FU32" s="92">
        <f>FORMULA!$AC207</f>
        <v>0</v>
      </c>
      <c r="FV32" s="92">
        <f>FORMULA!$AE207</f>
        <v>0</v>
      </c>
      <c r="FW32" s="94"/>
      <c r="FX32" s="91">
        <f>FORMULA!$C295</f>
        <v>0</v>
      </c>
      <c r="FY32" s="92">
        <f>FORMULA!$E295</f>
        <v>0</v>
      </c>
      <c r="FZ32" s="92">
        <f>FORMULA!$G295</f>
        <v>0</v>
      </c>
      <c r="GA32" s="92">
        <f>FORMULA!$I295</f>
        <v>0</v>
      </c>
      <c r="GB32" s="92">
        <f>FORMULA!$K295</f>
        <v>0</v>
      </c>
      <c r="GC32" s="92">
        <f>FORMULA!$M295</f>
        <v>0</v>
      </c>
      <c r="GD32" s="92">
        <f>FORMULA!$O295</f>
        <v>0</v>
      </c>
      <c r="GE32" s="92">
        <f>FORMULA!$Q295</f>
        <v>0</v>
      </c>
      <c r="GF32" s="92">
        <f>FORMULA!$S295</f>
        <v>0</v>
      </c>
      <c r="GG32" s="92">
        <f>FORMULA!$U295</f>
        <v>0</v>
      </c>
      <c r="GH32" s="92">
        <f>FORMULA!$W295</f>
        <v>0</v>
      </c>
      <c r="GI32" s="92">
        <f>FORMULA!$Y295</f>
        <v>0</v>
      </c>
      <c r="GJ32" s="92">
        <f>FORMULA!$AA295</f>
        <v>0</v>
      </c>
      <c r="GK32" s="92">
        <f>FORMULA!$AC295</f>
        <v>0</v>
      </c>
      <c r="GL32" s="92">
        <f>FORMULA!$AE295</f>
        <v>0</v>
      </c>
      <c r="GM32" s="207"/>
      <c r="GN32" s="91">
        <f>FORMULA!$C383</f>
        <v>20</v>
      </c>
      <c r="GO32" s="92">
        <f>FORMULA!$E383</f>
        <v>20</v>
      </c>
      <c r="GP32" s="92">
        <f>FORMULA!$G383</f>
        <v>0</v>
      </c>
      <c r="GQ32" s="92">
        <f>FORMULA!$I383</f>
        <v>0</v>
      </c>
      <c r="GR32" s="92">
        <f>FORMULA!$K383</f>
        <v>0</v>
      </c>
      <c r="GS32" s="92">
        <f>FORMULA!$M383</f>
        <v>0</v>
      </c>
      <c r="GT32" s="92">
        <f>FORMULA!$O383</f>
        <v>0</v>
      </c>
      <c r="GU32" s="92">
        <f>FORMULA!$Q383</f>
        <v>0</v>
      </c>
      <c r="GV32" s="92">
        <f>FORMULA!$S383</f>
        <v>0</v>
      </c>
      <c r="GW32" s="92">
        <f>FORMULA!$U383</f>
        <v>0</v>
      </c>
      <c r="GX32" s="92">
        <f>FORMULA!$W383</f>
        <v>0</v>
      </c>
      <c r="GY32" s="92">
        <f>FORMULA!$Y383</f>
        <v>0</v>
      </c>
      <c r="GZ32" s="92">
        <f>FORMULA!$AA383</f>
        <v>0</v>
      </c>
      <c r="HA32" s="92">
        <f>FORMULA!$AC383</f>
        <v>0</v>
      </c>
      <c r="HB32" s="92">
        <f>FORMULA!$AE383</f>
        <v>0</v>
      </c>
      <c r="HC32" s="207"/>
      <c r="HD32" s="91">
        <f>FORMULA!$C471</f>
        <v>0</v>
      </c>
      <c r="HE32" s="92">
        <f>FORMULA!$E471</f>
        <v>0</v>
      </c>
      <c r="HF32" s="92">
        <f>FORMULA!$G471</f>
        <v>0</v>
      </c>
      <c r="HG32" s="92">
        <f>FORMULA!$I471</f>
        <v>0</v>
      </c>
      <c r="HH32" s="92">
        <f>FORMULA!$K471</f>
        <v>0</v>
      </c>
      <c r="HI32" s="92">
        <f>FORMULA!$M471</f>
        <v>0</v>
      </c>
      <c r="HJ32" s="92">
        <f>FORMULA!$O471</f>
        <v>0</v>
      </c>
      <c r="HK32" s="92">
        <f>FORMULA!$Q471</f>
        <v>0</v>
      </c>
      <c r="HL32" s="92">
        <f>FORMULA!$S471</f>
        <v>0</v>
      </c>
      <c r="HM32" s="92">
        <f>FORMULA!$U471</f>
        <v>0</v>
      </c>
      <c r="HN32" s="92">
        <f>FORMULA!$W471</f>
        <v>0</v>
      </c>
      <c r="HO32" s="92">
        <f>FORMULA!$Y471</f>
        <v>0</v>
      </c>
      <c r="HP32" s="92">
        <f>FORMULA!$AA471</f>
        <v>0</v>
      </c>
      <c r="HQ32" s="92">
        <f>FORMULA!$AC471</f>
        <v>0</v>
      </c>
      <c r="HR32" s="92">
        <f>FORMULA!$AE471</f>
        <v>0</v>
      </c>
      <c r="HS32" s="207"/>
      <c r="HT32" s="91">
        <f>FORMULA!$C559</f>
        <v>0</v>
      </c>
      <c r="HU32" s="92">
        <f>FORMULA!$E559</f>
        <v>0</v>
      </c>
      <c r="HV32" s="92">
        <f>FORMULA!$G559</f>
        <v>0</v>
      </c>
      <c r="HW32" s="92">
        <f>FORMULA!$I559</f>
        <v>0</v>
      </c>
      <c r="HX32" s="92">
        <f>FORMULA!$K559</f>
        <v>0</v>
      </c>
      <c r="HY32" s="92">
        <f>FORMULA!$M559</f>
        <v>0</v>
      </c>
      <c r="HZ32" s="92">
        <f>FORMULA!$O559</f>
        <v>0</v>
      </c>
      <c r="IA32" s="92">
        <f>FORMULA!$Q559</f>
        <v>0</v>
      </c>
      <c r="IB32" s="92">
        <f>FORMULA!$S559</f>
        <v>0</v>
      </c>
      <c r="IC32" s="92">
        <f>FORMULA!$U559</f>
        <v>0</v>
      </c>
      <c r="ID32" s="92">
        <f>FORMULA!$W559</f>
        <v>0</v>
      </c>
      <c r="IE32" s="92">
        <f>FORMULA!$Y559</f>
        <v>0</v>
      </c>
      <c r="IF32" s="92">
        <f>FORMULA!$AA559</f>
        <v>0</v>
      </c>
      <c r="IG32" s="92">
        <f>FORMULA!$AC559</f>
        <v>0</v>
      </c>
      <c r="IH32" s="92">
        <f>FORMULA!$AE559</f>
        <v>0</v>
      </c>
      <c r="II32" s="207"/>
      <c r="IJ32" s="91">
        <f>FORMULA!$C647</f>
        <v>0</v>
      </c>
      <c r="IK32" s="92">
        <f>FORMULA!$E647</f>
        <v>0</v>
      </c>
      <c r="IL32" s="92">
        <f>FORMULA!$G647</f>
        <v>0</v>
      </c>
      <c r="IM32" s="92">
        <f>FORMULA!$I647</f>
        <v>0</v>
      </c>
      <c r="IN32" s="92">
        <f>FORMULA!$K647</f>
        <v>0</v>
      </c>
      <c r="IO32" s="92">
        <f>FORMULA!$M647</f>
        <v>0</v>
      </c>
      <c r="IP32" s="92">
        <f>FORMULA!$O647</f>
        <v>0</v>
      </c>
      <c r="IQ32" s="92">
        <f>FORMULA!$Q647</f>
        <v>0</v>
      </c>
      <c r="IR32" s="92">
        <f>FORMULA!$S647</f>
        <v>0</v>
      </c>
      <c r="IS32" s="92">
        <f>FORMULA!$U647</f>
        <v>0</v>
      </c>
      <c r="IT32" s="92">
        <f>FORMULA!$W647</f>
        <v>0</v>
      </c>
      <c r="IU32" s="92">
        <f>FORMULA!$Y647</f>
        <v>0</v>
      </c>
      <c r="IV32" s="92">
        <f>FORMULA!$AA647</f>
        <v>0</v>
      </c>
      <c r="IW32" s="92">
        <f>FORMULA!$AC647</f>
        <v>0</v>
      </c>
      <c r="IX32" s="92">
        <f>FORMULA!$AE647</f>
        <v>0</v>
      </c>
      <c r="IY32" s="208"/>
    </row>
    <row r="33" spans="1:259" outlineLevel="1">
      <c r="A33" s="260">
        <f>'VAC &amp; MED'!C34</f>
        <v>46051</v>
      </c>
      <c r="B33" s="269"/>
      <c r="C33" s="269"/>
      <c r="D33" s="269"/>
      <c r="E33" s="269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70"/>
      <c r="S33" s="270"/>
      <c r="T33" s="270"/>
      <c r="U33" s="270"/>
      <c r="V33" s="270"/>
      <c r="W33" s="270"/>
      <c r="X33" s="270"/>
      <c r="Y33" s="270"/>
      <c r="Z33" s="270"/>
      <c r="AA33" s="270"/>
      <c r="AB33" s="270"/>
      <c r="AC33" s="270"/>
      <c r="AD33" s="270"/>
      <c r="AE33" s="270"/>
      <c r="AF33" s="270"/>
      <c r="AG33" s="270"/>
      <c r="AH33" s="271"/>
      <c r="AI33" s="271"/>
      <c r="AJ33" s="271"/>
      <c r="AK33" s="271"/>
      <c r="AL33" s="271"/>
      <c r="AM33" s="271"/>
      <c r="AN33" s="271"/>
      <c r="AO33" s="271"/>
      <c r="AP33" s="271"/>
      <c r="AQ33" s="271"/>
      <c r="AR33" s="271"/>
      <c r="AS33" s="271"/>
      <c r="AT33" s="271"/>
      <c r="AU33" s="271"/>
      <c r="AV33" s="271"/>
      <c r="AW33" s="271"/>
      <c r="AX33" s="272"/>
      <c r="AY33" s="272"/>
      <c r="AZ33" s="272"/>
      <c r="BA33" s="272"/>
      <c r="BB33" s="272"/>
      <c r="BC33" s="272"/>
      <c r="BD33" s="272"/>
      <c r="BE33" s="272"/>
      <c r="BF33" s="272"/>
      <c r="BG33" s="272"/>
      <c r="BH33" s="272"/>
      <c r="BI33" s="272"/>
      <c r="BJ33" s="272"/>
      <c r="BK33" s="272"/>
      <c r="BL33" s="272"/>
      <c r="BM33" s="272"/>
      <c r="BN33" s="273"/>
      <c r="BO33" s="273"/>
      <c r="BP33" s="273"/>
      <c r="BQ33" s="273"/>
      <c r="BR33" s="273"/>
      <c r="BS33" s="273"/>
      <c r="BT33" s="273"/>
      <c r="BU33" s="273"/>
      <c r="BV33" s="273"/>
      <c r="BW33" s="273"/>
      <c r="BX33" s="273"/>
      <c r="BY33" s="273"/>
      <c r="BZ33" s="273"/>
      <c r="CA33" s="273"/>
      <c r="CB33" s="273"/>
      <c r="CC33" s="273"/>
      <c r="CD33" s="274"/>
      <c r="CE33" s="274"/>
      <c r="CF33" s="274"/>
      <c r="CG33" s="274"/>
      <c r="CH33" s="274"/>
      <c r="CI33" s="274"/>
      <c r="CJ33" s="274"/>
      <c r="CK33" s="274"/>
      <c r="CL33" s="274"/>
      <c r="CM33" s="274"/>
      <c r="CN33" s="274"/>
      <c r="CO33" s="274"/>
      <c r="CP33" s="274"/>
      <c r="CQ33" s="274"/>
      <c r="CR33" s="274"/>
      <c r="CS33" s="274"/>
      <c r="CT33" s="275"/>
      <c r="CU33" s="275"/>
      <c r="CV33" s="275"/>
      <c r="CW33" s="275"/>
      <c r="CX33" s="275"/>
      <c r="CY33" s="275"/>
      <c r="CZ33" s="275"/>
      <c r="DA33" s="275"/>
      <c r="DB33" s="275"/>
      <c r="DC33" s="275"/>
      <c r="DD33" s="275"/>
      <c r="DE33" s="275"/>
      <c r="DF33" s="275"/>
      <c r="DG33" s="275"/>
      <c r="DH33" s="275"/>
      <c r="DI33" s="275"/>
      <c r="DJ33" s="276"/>
      <c r="DK33" s="276"/>
      <c r="DL33" s="276"/>
      <c r="DM33" s="276"/>
      <c r="DN33" s="276"/>
      <c r="DO33" s="276"/>
      <c r="DP33" s="276"/>
      <c r="DQ33" s="276"/>
      <c r="DR33" s="276"/>
      <c r="DS33" s="276"/>
      <c r="DT33" s="276"/>
      <c r="DU33" s="276"/>
      <c r="DV33" s="276"/>
      <c r="DW33" s="276"/>
      <c r="DX33" s="276"/>
      <c r="DY33" s="276"/>
      <c r="EA33" s="20" t="str">
        <f>FORMULA!$A$32</f>
        <v>PREMIX 8101 (20KG)</v>
      </c>
      <c r="EB33" s="91">
        <f>FORMULA!$C32</f>
        <v>0</v>
      </c>
      <c r="EC33" s="92">
        <f>FORMULA!$E32</f>
        <v>0</v>
      </c>
      <c r="ED33" s="92">
        <f>FORMULA!$G32</f>
        <v>0</v>
      </c>
      <c r="EE33" s="92">
        <f>FORMULA!$I32</f>
        <v>0</v>
      </c>
      <c r="EF33" s="92">
        <f>FORMULA!$K32</f>
        <v>0</v>
      </c>
      <c r="EG33" s="92">
        <f>FORMULA!$M32</f>
        <v>0</v>
      </c>
      <c r="EH33" s="92">
        <f>FORMULA!$O32</f>
        <v>0</v>
      </c>
      <c r="EI33" s="92">
        <f>FORMULA!$Q32</f>
        <v>0</v>
      </c>
      <c r="EJ33" s="92">
        <f>FORMULA!$S32</f>
        <v>0</v>
      </c>
      <c r="EK33" s="92">
        <f>FORMULA!$U32</f>
        <v>0</v>
      </c>
      <c r="EL33" s="92">
        <f>FORMULA!$W32</f>
        <v>0</v>
      </c>
      <c r="EM33" s="92">
        <f>FORMULA!$Y32</f>
        <v>0</v>
      </c>
      <c r="EN33" s="92">
        <f>FORMULA!$AA32</f>
        <v>0</v>
      </c>
      <c r="EO33" s="92">
        <f>FORMULA!$AC32</f>
        <v>0</v>
      </c>
      <c r="EP33" s="92">
        <f>FORMULA!$AE32</f>
        <v>0</v>
      </c>
      <c r="EQ33" s="108"/>
      <c r="ER33" s="91">
        <f>FORMULA!$C120</f>
        <v>0</v>
      </c>
      <c r="ES33" s="92">
        <f>FORMULA!$E120</f>
        <v>0</v>
      </c>
      <c r="ET33" s="92">
        <f>FORMULA!$G120</f>
        <v>0</v>
      </c>
      <c r="EU33" s="92">
        <f>FORMULA!$I120</f>
        <v>0</v>
      </c>
      <c r="EV33" s="92">
        <f>FORMULA!$K120</f>
        <v>0</v>
      </c>
      <c r="EW33" s="92">
        <f>FORMULA!$M120</f>
        <v>0</v>
      </c>
      <c r="EX33" s="92">
        <f>FORMULA!$O120</f>
        <v>0</v>
      </c>
      <c r="EY33" s="92">
        <f>FORMULA!$Q120</f>
        <v>0</v>
      </c>
      <c r="EZ33" s="92">
        <f>FORMULA!$S120</f>
        <v>0</v>
      </c>
      <c r="FA33" s="92">
        <f>FORMULA!$U120</f>
        <v>0</v>
      </c>
      <c r="FB33" s="92">
        <f>FORMULA!$W120</f>
        <v>0</v>
      </c>
      <c r="FC33" s="92">
        <f>FORMULA!$Y120</f>
        <v>0</v>
      </c>
      <c r="FD33" s="92">
        <f>FORMULA!$AA120</f>
        <v>0</v>
      </c>
      <c r="FE33" s="92">
        <f>FORMULA!$AC120</f>
        <v>0</v>
      </c>
      <c r="FF33" s="92">
        <f>FORMULA!$AE120</f>
        <v>0</v>
      </c>
      <c r="FG33" s="94"/>
      <c r="FH33" s="91">
        <f>FORMULA!$C208</f>
        <v>0</v>
      </c>
      <c r="FI33" s="92">
        <f>FORMULA!$E208</f>
        <v>0</v>
      </c>
      <c r="FJ33" s="92">
        <f>FORMULA!$G208</f>
        <v>0</v>
      </c>
      <c r="FK33" s="92">
        <f>FORMULA!$I208</f>
        <v>0</v>
      </c>
      <c r="FL33" s="92">
        <f>FORMULA!$K208</f>
        <v>0</v>
      </c>
      <c r="FM33" s="92">
        <f>FORMULA!$M208</f>
        <v>0</v>
      </c>
      <c r="FN33" s="92">
        <f>FORMULA!$O208</f>
        <v>0</v>
      </c>
      <c r="FO33" s="92">
        <f>FORMULA!$Q208</f>
        <v>0</v>
      </c>
      <c r="FP33" s="92">
        <f>FORMULA!$S208</f>
        <v>0</v>
      </c>
      <c r="FQ33" s="92">
        <f>FORMULA!$U208</f>
        <v>0</v>
      </c>
      <c r="FR33" s="92">
        <f>FORMULA!$W208</f>
        <v>0</v>
      </c>
      <c r="FS33" s="92">
        <f>FORMULA!$Y208</f>
        <v>0</v>
      </c>
      <c r="FT33" s="92">
        <f>FORMULA!$AA208</f>
        <v>0</v>
      </c>
      <c r="FU33" s="92">
        <f>FORMULA!$AC208</f>
        <v>0</v>
      </c>
      <c r="FV33" s="92">
        <f>FORMULA!$AE208</f>
        <v>0</v>
      </c>
      <c r="FW33" s="94"/>
      <c r="FX33" s="91">
        <f>FORMULA!$C296</f>
        <v>0</v>
      </c>
      <c r="FY33" s="92">
        <f>FORMULA!$E296</f>
        <v>0</v>
      </c>
      <c r="FZ33" s="92">
        <f>FORMULA!$G296</f>
        <v>0</v>
      </c>
      <c r="GA33" s="92">
        <f>FORMULA!$I296</f>
        <v>0</v>
      </c>
      <c r="GB33" s="92">
        <f>FORMULA!$K296</f>
        <v>0</v>
      </c>
      <c r="GC33" s="92">
        <f>FORMULA!$M296</f>
        <v>0</v>
      </c>
      <c r="GD33" s="92">
        <f>FORMULA!$O296</f>
        <v>0</v>
      </c>
      <c r="GE33" s="92">
        <f>FORMULA!$Q296</f>
        <v>0</v>
      </c>
      <c r="GF33" s="92">
        <f>FORMULA!$S296</f>
        <v>0</v>
      </c>
      <c r="GG33" s="92">
        <f>FORMULA!$U296</f>
        <v>0</v>
      </c>
      <c r="GH33" s="92">
        <f>FORMULA!$W296</f>
        <v>0</v>
      </c>
      <c r="GI33" s="92">
        <f>FORMULA!$Y296</f>
        <v>0</v>
      </c>
      <c r="GJ33" s="92">
        <f>FORMULA!$AA296</f>
        <v>0</v>
      </c>
      <c r="GK33" s="92">
        <f>FORMULA!$AC296</f>
        <v>0</v>
      </c>
      <c r="GL33" s="92">
        <f>FORMULA!$AE296</f>
        <v>0</v>
      </c>
      <c r="GM33" s="207"/>
      <c r="GN33" s="91">
        <f>FORMULA!$C384</f>
        <v>0</v>
      </c>
      <c r="GO33" s="92">
        <f>FORMULA!$E384</f>
        <v>0</v>
      </c>
      <c r="GP33" s="92">
        <f>FORMULA!$G384</f>
        <v>0</v>
      </c>
      <c r="GQ33" s="92">
        <f>FORMULA!$I384</f>
        <v>0</v>
      </c>
      <c r="GR33" s="92">
        <f>FORMULA!$K384</f>
        <v>0</v>
      </c>
      <c r="GS33" s="92">
        <f>FORMULA!$M384</f>
        <v>0</v>
      </c>
      <c r="GT33" s="92">
        <f>FORMULA!$O384</f>
        <v>0</v>
      </c>
      <c r="GU33" s="92">
        <f>FORMULA!$Q384</f>
        <v>0</v>
      </c>
      <c r="GV33" s="92">
        <f>FORMULA!$S384</f>
        <v>0</v>
      </c>
      <c r="GW33" s="92">
        <f>FORMULA!$U384</f>
        <v>0</v>
      </c>
      <c r="GX33" s="92">
        <f>FORMULA!$W384</f>
        <v>0</v>
      </c>
      <c r="GY33" s="92">
        <f>FORMULA!$Y384</f>
        <v>0</v>
      </c>
      <c r="GZ33" s="92">
        <f>FORMULA!$AA384</f>
        <v>0</v>
      </c>
      <c r="HA33" s="92">
        <f>FORMULA!$AC384</f>
        <v>0</v>
      </c>
      <c r="HB33" s="92">
        <f>FORMULA!$AE384</f>
        <v>0</v>
      </c>
      <c r="HC33" s="207"/>
      <c r="HD33" s="91">
        <f>FORMULA!$C472</f>
        <v>0</v>
      </c>
      <c r="HE33" s="92">
        <f>FORMULA!$E472</f>
        <v>0</v>
      </c>
      <c r="HF33" s="92">
        <f>FORMULA!$G472</f>
        <v>0</v>
      </c>
      <c r="HG33" s="92">
        <f>FORMULA!$I472</f>
        <v>0</v>
      </c>
      <c r="HH33" s="92">
        <f>FORMULA!$K472</f>
        <v>0</v>
      </c>
      <c r="HI33" s="92">
        <f>FORMULA!$M472</f>
        <v>0</v>
      </c>
      <c r="HJ33" s="92">
        <f>FORMULA!$O472</f>
        <v>0</v>
      </c>
      <c r="HK33" s="92">
        <f>FORMULA!$Q472</f>
        <v>0</v>
      </c>
      <c r="HL33" s="92">
        <f>FORMULA!$S472</f>
        <v>0</v>
      </c>
      <c r="HM33" s="92">
        <f>FORMULA!$U472</f>
        <v>0</v>
      </c>
      <c r="HN33" s="92">
        <f>FORMULA!$W472</f>
        <v>0</v>
      </c>
      <c r="HO33" s="92">
        <f>FORMULA!$Y472</f>
        <v>0</v>
      </c>
      <c r="HP33" s="92">
        <f>FORMULA!$AA472</f>
        <v>0</v>
      </c>
      <c r="HQ33" s="92">
        <f>FORMULA!$AC472</f>
        <v>0</v>
      </c>
      <c r="HR33" s="92">
        <f>FORMULA!$AE472</f>
        <v>0</v>
      </c>
      <c r="HS33" s="207"/>
      <c r="HT33" s="91">
        <f>FORMULA!$C560</f>
        <v>0</v>
      </c>
      <c r="HU33" s="92">
        <f>FORMULA!$E560</f>
        <v>0</v>
      </c>
      <c r="HV33" s="92">
        <f>FORMULA!$G560</f>
        <v>0</v>
      </c>
      <c r="HW33" s="92">
        <f>FORMULA!$I560</f>
        <v>0</v>
      </c>
      <c r="HX33" s="92">
        <f>FORMULA!$K560</f>
        <v>0</v>
      </c>
      <c r="HY33" s="92">
        <f>FORMULA!$M560</f>
        <v>0</v>
      </c>
      <c r="HZ33" s="92">
        <f>FORMULA!$O560</f>
        <v>0</v>
      </c>
      <c r="IA33" s="92">
        <f>FORMULA!$Q560</f>
        <v>0</v>
      </c>
      <c r="IB33" s="92">
        <f>FORMULA!$S560</f>
        <v>0</v>
      </c>
      <c r="IC33" s="92">
        <f>FORMULA!$U560</f>
        <v>0</v>
      </c>
      <c r="ID33" s="92">
        <f>FORMULA!$W560</f>
        <v>0</v>
      </c>
      <c r="IE33" s="92">
        <f>FORMULA!$Y560</f>
        <v>0</v>
      </c>
      <c r="IF33" s="92">
        <f>FORMULA!$AA560</f>
        <v>0</v>
      </c>
      <c r="IG33" s="92">
        <f>FORMULA!$AC560</f>
        <v>0</v>
      </c>
      <c r="IH33" s="92">
        <f>FORMULA!$AE560</f>
        <v>0</v>
      </c>
      <c r="II33" s="207"/>
      <c r="IJ33" s="91">
        <f>FORMULA!$C648</f>
        <v>0</v>
      </c>
      <c r="IK33" s="92">
        <f>FORMULA!$E648</f>
        <v>0</v>
      </c>
      <c r="IL33" s="92">
        <f>FORMULA!$G648</f>
        <v>0</v>
      </c>
      <c r="IM33" s="92">
        <f>FORMULA!$I648</f>
        <v>0</v>
      </c>
      <c r="IN33" s="92">
        <f>FORMULA!$K648</f>
        <v>0</v>
      </c>
      <c r="IO33" s="92">
        <f>FORMULA!$M648</f>
        <v>0</v>
      </c>
      <c r="IP33" s="92">
        <f>FORMULA!$O648</f>
        <v>0</v>
      </c>
      <c r="IQ33" s="92">
        <f>FORMULA!$Q648</f>
        <v>0</v>
      </c>
      <c r="IR33" s="92">
        <f>FORMULA!$S648</f>
        <v>0</v>
      </c>
      <c r="IS33" s="92">
        <f>FORMULA!$U648</f>
        <v>0</v>
      </c>
      <c r="IT33" s="92">
        <f>FORMULA!$W648</f>
        <v>0</v>
      </c>
      <c r="IU33" s="92">
        <f>FORMULA!$Y648</f>
        <v>0</v>
      </c>
      <c r="IV33" s="92">
        <f>FORMULA!$AA648</f>
        <v>0</v>
      </c>
      <c r="IW33" s="92">
        <f>FORMULA!$AC648</f>
        <v>0</v>
      </c>
      <c r="IX33" s="92">
        <f>FORMULA!$AE648</f>
        <v>0</v>
      </c>
      <c r="IY33" s="208"/>
    </row>
    <row r="34" spans="1:259" outlineLevel="1">
      <c r="A34" s="260">
        <f>'VAC &amp; MED'!C35</f>
        <v>46052</v>
      </c>
      <c r="B34" s="261"/>
      <c r="C34" s="261"/>
      <c r="D34" s="261"/>
      <c r="E34" s="261"/>
      <c r="F34" s="261"/>
      <c r="G34" s="261"/>
      <c r="H34" s="261"/>
      <c r="I34" s="261"/>
      <c r="J34" s="261"/>
      <c r="K34" s="261"/>
      <c r="L34" s="261"/>
      <c r="M34" s="261"/>
      <c r="N34" s="261"/>
      <c r="O34" s="261"/>
      <c r="P34" s="261"/>
      <c r="Q34" s="261"/>
      <c r="R34" s="262"/>
      <c r="S34" s="262"/>
      <c r="T34" s="262"/>
      <c r="U34" s="262"/>
      <c r="V34" s="262"/>
      <c r="W34" s="262"/>
      <c r="X34" s="262"/>
      <c r="Y34" s="262"/>
      <c r="Z34" s="262"/>
      <c r="AA34" s="262"/>
      <c r="AB34" s="262"/>
      <c r="AC34" s="262"/>
      <c r="AD34" s="262"/>
      <c r="AE34" s="262"/>
      <c r="AF34" s="262"/>
      <c r="AG34" s="262"/>
      <c r="AH34" s="263">
        <v>16</v>
      </c>
      <c r="AI34" s="263"/>
      <c r="AJ34" s="263"/>
      <c r="AK34" s="263"/>
      <c r="AL34" s="263"/>
      <c r="AM34" s="263"/>
      <c r="AN34" s="263"/>
      <c r="AO34" s="263"/>
      <c r="AP34" s="263"/>
      <c r="AQ34" s="263"/>
      <c r="AR34" s="263"/>
      <c r="AS34" s="263"/>
      <c r="AT34" s="263"/>
      <c r="AU34" s="263"/>
      <c r="AV34" s="263"/>
      <c r="AW34" s="263"/>
      <c r="AX34" s="264"/>
      <c r="AY34" s="264"/>
      <c r="AZ34" s="264"/>
      <c r="BA34" s="264"/>
      <c r="BB34" s="264"/>
      <c r="BC34" s="264"/>
      <c r="BD34" s="264"/>
      <c r="BE34" s="264"/>
      <c r="BF34" s="264"/>
      <c r="BG34" s="264"/>
      <c r="BH34" s="264"/>
      <c r="BI34" s="264"/>
      <c r="BJ34" s="264"/>
      <c r="BK34" s="264"/>
      <c r="BL34" s="264"/>
      <c r="BM34" s="264"/>
      <c r="BN34" s="265"/>
      <c r="BO34" s="265"/>
      <c r="BP34" s="265"/>
      <c r="BQ34" s="265"/>
      <c r="BR34" s="265"/>
      <c r="BS34" s="265"/>
      <c r="BT34" s="265"/>
      <c r="BU34" s="265"/>
      <c r="BV34" s="265"/>
      <c r="BW34" s="265"/>
      <c r="BX34" s="265"/>
      <c r="BY34" s="265"/>
      <c r="BZ34" s="265"/>
      <c r="CA34" s="265"/>
      <c r="CB34" s="265"/>
      <c r="CC34" s="265"/>
      <c r="CD34" s="266"/>
      <c r="CE34" s="266"/>
      <c r="CF34" s="266"/>
      <c r="CG34" s="266"/>
      <c r="CH34" s="266"/>
      <c r="CI34" s="266"/>
      <c r="CJ34" s="266"/>
      <c r="CK34" s="266"/>
      <c r="CL34" s="266"/>
      <c r="CM34" s="266"/>
      <c r="CN34" s="266"/>
      <c r="CO34" s="266"/>
      <c r="CP34" s="266"/>
      <c r="CQ34" s="266"/>
      <c r="CR34" s="266"/>
      <c r="CS34" s="266"/>
      <c r="CT34" s="267"/>
      <c r="CU34" s="267"/>
      <c r="CV34" s="267"/>
      <c r="CW34" s="267"/>
      <c r="CX34" s="267"/>
      <c r="CY34" s="267"/>
      <c r="CZ34" s="267"/>
      <c r="DA34" s="267"/>
      <c r="DB34" s="267"/>
      <c r="DC34" s="267"/>
      <c r="DD34" s="267"/>
      <c r="DE34" s="267"/>
      <c r="DF34" s="267"/>
      <c r="DG34" s="267"/>
      <c r="DH34" s="267"/>
      <c r="DI34" s="267"/>
      <c r="DJ34" s="268"/>
      <c r="DK34" s="268"/>
      <c r="DL34" s="268"/>
      <c r="DM34" s="268"/>
      <c r="DN34" s="268"/>
      <c r="DO34" s="268"/>
      <c r="DP34" s="268"/>
      <c r="DQ34" s="268"/>
      <c r="DR34" s="268"/>
      <c r="DS34" s="268"/>
      <c r="DT34" s="268"/>
      <c r="DU34" s="268"/>
      <c r="DV34" s="268"/>
      <c r="DW34" s="268"/>
      <c r="DX34" s="268"/>
      <c r="DY34" s="268"/>
      <c r="EA34" s="20" t="str">
        <f>FORMULA!$A$33</f>
        <v>PREMIX 8102 (20KG)</v>
      </c>
      <c r="EB34" s="91">
        <f>FORMULA!$C33</f>
        <v>0</v>
      </c>
      <c r="EC34" s="92">
        <f>FORMULA!$E33</f>
        <v>0</v>
      </c>
      <c r="ED34" s="92">
        <f>FORMULA!$G33</f>
        <v>0</v>
      </c>
      <c r="EE34" s="92">
        <f>FORMULA!$I33</f>
        <v>0</v>
      </c>
      <c r="EF34" s="92">
        <f>FORMULA!$K33</f>
        <v>0</v>
      </c>
      <c r="EG34" s="92">
        <f>FORMULA!$M33</f>
        <v>0</v>
      </c>
      <c r="EH34" s="92">
        <f>FORMULA!$O33</f>
        <v>0</v>
      </c>
      <c r="EI34" s="92">
        <f>FORMULA!$Q33</f>
        <v>0</v>
      </c>
      <c r="EJ34" s="92">
        <f>FORMULA!$S33</f>
        <v>0</v>
      </c>
      <c r="EK34" s="92">
        <f>FORMULA!$U33</f>
        <v>0</v>
      </c>
      <c r="EL34" s="92">
        <f>FORMULA!$W33</f>
        <v>0</v>
      </c>
      <c r="EM34" s="92">
        <f>FORMULA!$Y33</f>
        <v>0</v>
      </c>
      <c r="EN34" s="92">
        <f>FORMULA!$AA33</f>
        <v>0</v>
      </c>
      <c r="EO34" s="92">
        <f>FORMULA!$AC33</f>
        <v>0</v>
      </c>
      <c r="EP34" s="92">
        <f>FORMULA!$AE33</f>
        <v>0</v>
      </c>
      <c r="EQ34" s="108"/>
      <c r="ER34" s="91">
        <f>FORMULA!$C121</f>
        <v>0</v>
      </c>
      <c r="ES34" s="92">
        <f>FORMULA!$E121</f>
        <v>0</v>
      </c>
      <c r="ET34" s="92">
        <f>FORMULA!$G121</f>
        <v>0</v>
      </c>
      <c r="EU34" s="92">
        <f>FORMULA!$I121</f>
        <v>0</v>
      </c>
      <c r="EV34" s="92">
        <f>FORMULA!$K121</f>
        <v>0</v>
      </c>
      <c r="EW34" s="92">
        <f>FORMULA!$M121</f>
        <v>0</v>
      </c>
      <c r="EX34" s="92">
        <f>FORMULA!$O121</f>
        <v>0</v>
      </c>
      <c r="EY34" s="92">
        <f>FORMULA!$Q121</f>
        <v>0</v>
      </c>
      <c r="EZ34" s="92">
        <f>FORMULA!$S121</f>
        <v>0</v>
      </c>
      <c r="FA34" s="92">
        <f>FORMULA!$U121</f>
        <v>0</v>
      </c>
      <c r="FB34" s="92">
        <f>FORMULA!$W121</f>
        <v>0</v>
      </c>
      <c r="FC34" s="92">
        <f>FORMULA!$Y121</f>
        <v>0</v>
      </c>
      <c r="FD34" s="92">
        <f>FORMULA!$AA121</f>
        <v>0</v>
      </c>
      <c r="FE34" s="92">
        <f>FORMULA!$AC121</f>
        <v>0</v>
      </c>
      <c r="FF34" s="92">
        <f>FORMULA!$AE121</f>
        <v>0</v>
      </c>
      <c r="FG34" s="94"/>
      <c r="FH34" s="91">
        <f>FORMULA!$C209</f>
        <v>0</v>
      </c>
      <c r="FI34" s="92">
        <f>FORMULA!$E209</f>
        <v>0</v>
      </c>
      <c r="FJ34" s="92">
        <f>FORMULA!$G209</f>
        <v>0</v>
      </c>
      <c r="FK34" s="92">
        <f>FORMULA!$I209</f>
        <v>0</v>
      </c>
      <c r="FL34" s="92">
        <f>FORMULA!$K209</f>
        <v>0</v>
      </c>
      <c r="FM34" s="92">
        <f>FORMULA!$M209</f>
        <v>0</v>
      </c>
      <c r="FN34" s="92">
        <f>FORMULA!$O209</f>
        <v>0</v>
      </c>
      <c r="FO34" s="92">
        <f>FORMULA!$Q209</f>
        <v>0</v>
      </c>
      <c r="FP34" s="92">
        <f>FORMULA!$S209</f>
        <v>0</v>
      </c>
      <c r="FQ34" s="92">
        <f>FORMULA!$U209</f>
        <v>0</v>
      </c>
      <c r="FR34" s="92">
        <f>FORMULA!$W209</f>
        <v>0</v>
      </c>
      <c r="FS34" s="92">
        <f>FORMULA!$Y209</f>
        <v>0</v>
      </c>
      <c r="FT34" s="92">
        <f>FORMULA!$AA209</f>
        <v>0</v>
      </c>
      <c r="FU34" s="92">
        <f>FORMULA!$AC209</f>
        <v>0</v>
      </c>
      <c r="FV34" s="92">
        <f>FORMULA!$AE209</f>
        <v>0</v>
      </c>
      <c r="FW34" s="94"/>
      <c r="FX34" s="91">
        <f>FORMULA!$C297</f>
        <v>0</v>
      </c>
      <c r="FY34" s="92">
        <f>FORMULA!$E297</f>
        <v>0</v>
      </c>
      <c r="FZ34" s="92">
        <f>FORMULA!$G297</f>
        <v>0</v>
      </c>
      <c r="GA34" s="92">
        <f>FORMULA!$I297</f>
        <v>0</v>
      </c>
      <c r="GB34" s="92">
        <f>FORMULA!$K297</f>
        <v>0</v>
      </c>
      <c r="GC34" s="92">
        <f>FORMULA!$M297</f>
        <v>0</v>
      </c>
      <c r="GD34" s="92">
        <f>FORMULA!$O297</f>
        <v>0</v>
      </c>
      <c r="GE34" s="92">
        <f>FORMULA!$Q297</f>
        <v>0</v>
      </c>
      <c r="GF34" s="92">
        <f>FORMULA!$S297</f>
        <v>0</v>
      </c>
      <c r="GG34" s="92">
        <f>FORMULA!$U297</f>
        <v>0</v>
      </c>
      <c r="GH34" s="92">
        <f>FORMULA!$W297</f>
        <v>0</v>
      </c>
      <c r="GI34" s="92">
        <f>FORMULA!$Y297</f>
        <v>0</v>
      </c>
      <c r="GJ34" s="92">
        <f>FORMULA!$AA297</f>
        <v>0</v>
      </c>
      <c r="GK34" s="92">
        <f>FORMULA!$AC297</f>
        <v>0</v>
      </c>
      <c r="GL34" s="92">
        <f>FORMULA!$AE297</f>
        <v>0</v>
      </c>
      <c r="GM34" s="207"/>
      <c r="GN34" s="91">
        <f>FORMULA!$C385</f>
        <v>0</v>
      </c>
      <c r="GO34" s="92">
        <f>FORMULA!$E385</f>
        <v>0</v>
      </c>
      <c r="GP34" s="92">
        <f>FORMULA!$G385</f>
        <v>0</v>
      </c>
      <c r="GQ34" s="92">
        <f>FORMULA!$I385</f>
        <v>20</v>
      </c>
      <c r="GR34" s="92">
        <f>FORMULA!$K385</f>
        <v>20</v>
      </c>
      <c r="GS34" s="92">
        <f>FORMULA!$M385</f>
        <v>0</v>
      </c>
      <c r="GT34" s="92">
        <f>FORMULA!$O385</f>
        <v>20</v>
      </c>
      <c r="GU34" s="92">
        <f>FORMULA!$Q385</f>
        <v>20</v>
      </c>
      <c r="GV34" s="92">
        <f>FORMULA!$S385</f>
        <v>0</v>
      </c>
      <c r="GW34" s="92">
        <f>FORMULA!$U385</f>
        <v>0</v>
      </c>
      <c r="GX34" s="92">
        <f>FORMULA!$W385</f>
        <v>0</v>
      </c>
      <c r="GY34" s="92">
        <f>FORMULA!$Y385</f>
        <v>0</v>
      </c>
      <c r="GZ34" s="92">
        <f>FORMULA!$AA385</f>
        <v>0</v>
      </c>
      <c r="HA34" s="92">
        <f>FORMULA!$AC385</f>
        <v>0</v>
      </c>
      <c r="HB34" s="92">
        <f>FORMULA!$AE385</f>
        <v>0</v>
      </c>
      <c r="HC34" s="207"/>
      <c r="HD34" s="91">
        <f>FORMULA!$C473</f>
        <v>0</v>
      </c>
      <c r="HE34" s="92">
        <f>FORMULA!$E473</f>
        <v>0</v>
      </c>
      <c r="HF34" s="92">
        <f>FORMULA!$G473</f>
        <v>0</v>
      </c>
      <c r="HG34" s="92">
        <f>FORMULA!$I473</f>
        <v>0</v>
      </c>
      <c r="HH34" s="92">
        <f>FORMULA!$K473</f>
        <v>0</v>
      </c>
      <c r="HI34" s="92">
        <f>FORMULA!$M473</f>
        <v>0</v>
      </c>
      <c r="HJ34" s="92">
        <f>FORMULA!$O473</f>
        <v>0</v>
      </c>
      <c r="HK34" s="92">
        <f>FORMULA!$Q473</f>
        <v>0</v>
      </c>
      <c r="HL34" s="92">
        <f>FORMULA!$S473</f>
        <v>0</v>
      </c>
      <c r="HM34" s="92">
        <f>FORMULA!$U473</f>
        <v>0</v>
      </c>
      <c r="HN34" s="92">
        <f>FORMULA!$W473</f>
        <v>0</v>
      </c>
      <c r="HO34" s="92">
        <f>FORMULA!$Y473</f>
        <v>0</v>
      </c>
      <c r="HP34" s="92">
        <f>FORMULA!$AA473</f>
        <v>0</v>
      </c>
      <c r="HQ34" s="92">
        <f>FORMULA!$AC473</f>
        <v>0</v>
      </c>
      <c r="HR34" s="92">
        <f>FORMULA!$AE473</f>
        <v>0</v>
      </c>
      <c r="HS34" s="207"/>
      <c r="HT34" s="91">
        <f>FORMULA!$C561</f>
        <v>0</v>
      </c>
      <c r="HU34" s="92">
        <f>FORMULA!$E561</f>
        <v>0</v>
      </c>
      <c r="HV34" s="92">
        <f>FORMULA!$G561</f>
        <v>0</v>
      </c>
      <c r="HW34" s="92">
        <f>FORMULA!$I561</f>
        <v>0</v>
      </c>
      <c r="HX34" s="92">
        <f>FORMULA!$K561</f>
        <v>0</v>
      </c>
      <c r="HY34" s="92">
        <f>FORMULA!$M561</f>
        <v>0</v>
      </c>
      <c r="HZ34" s="92">
        <f>FORMULA!$O561</f>
        <v>0</v>
      </c>
      <c r="IA34" s="92">
        <f>FORMULA!$Q561</f>
        <v>0</v>
      </c>
      <c r="IB34" s="92">
        <f>FORMULA!$S561</f>
        <v>0</v>
      </c>
      <c r="IC34" s="92">
        <f>FORMULA!$U561</f>
        <v>0</v>
      </c>
      <c r="ID34" s="92">
        <f>FORMULA!$W561</f>
        <v>0</v>
      </c>
      <c r="IE34" s="92">
        <f>FORMULA!$Y561</f>
        <v>0</v>
      </c>
      <c r="IF34" s="92">
        <f>FORMULA!$AA561</f>
        <v>0</v>
      </c>
      <c r="IG34" s="92">
        <f>FORMULA!$AC561</f>
        <v>0</v>
      </c>
      <c r="IH34" s="92">
        <f>FORMULA!$AE561</f>
        <v>0</v>
      </c>
      <c r="II34" s="207"/>
      <c r="IJ34" s="91">
        <f>FORMULA!$C649</f>
        <v>0</v>
      </c>
      <c r="IK34" s="92">
        <f>FORMULA!$E649</f>
        <v>0</v>
      </c>
      <c r="IL34" s="92">
        <f>FORMULA!$G649</f>
        <v>0</v>
      </c>
      <c r="IM34" s="92">
        <f>FORMULA!$I649</f>
        <v>0</v>
      </c>
      <c r="IN34" s="92">
        <f>FORMULA!$K649</f>
        <v>0</v>
      </c>
      <c r="IO34" s="92">
        <f>FORMULA!$M649</f>
        <v>0</v>
      </c>
      <c r="IP34" s="92">
        <f>FORMULA!$O649</f>
        <v>0</v>
      </c>
      <c r="IQ34" s="92">
        <f>FORMULA!$Q649</f>
        <v>0</v>
      </c>
      <c r="IR34" s="92">
        <f>FORMULA!$S649</f>
        <v>0</v>
      </c>
      <c r="IS34" s="92">
        <f>FORMULA!$U649</f>
        <v>0</v>
      </c>
      <c r="IT34" s="92">
        <f>FORMULA!$W649</f>
        <v>0</v>
      </c>
      <c r="IU34" s="92">
        <f>FORMULA!$Y649</f>
        <v>0</v>
      </c>
      <c r="IV34" s="92">
        <f>FORMULA!$AA649</f>
        <v>0</v>
      </c>
      <c r="IW34" s="92">
        <f>FORMULA!$AC649</f>
        <v>0</v>
      </c>
      <c r="IX34" s="92">
        <f>FORMULA!$AE649</f>
        <v>0</v>
      </c>
      <c r="IY34" s="208"/>
    </row>
    <row r="35" spans="1:259" outlineLevel="1">
      <c r="A35" s="260">
        <f>'VAC &amp; MED'!C36</f>
        <v>46053</v>
      </c>
      <c r="B35" s="261"/>
      <c r="C35" s="261"/>
      <c r="D35" s="261"/>
      <c r="E35" s="261"/>
      <c r="F35" s="261"/>
      <c r="G35" s="261"/>
      <c r="H35" s="261"/>
      <c r="I35" s="261"/>
      <c r="J35" s="261"/>
      <c r="K35" s="261"/>
      <c r="L35" s="261"/>
      <c r="M35" s="261"/>
      <c r="N35" s="261"/>
      <c r="O35" s="261"/>
      <c r="P35" s="261"/>
      <c r="Q35" s="261"/>
      <c r="R35" s="262"/>
      <c r="S35" s="262"/>
      <c r="T35" s="262"/>
      <c r="U35" s="262"/>
      <c r="V35" s="262"/>
      <c r="W35" s="262"/>
      <c r="X35" s="262"/>
      <c r="Y35" s="262"/>
      <c r="Z35" s="262"/>
      <c r="AA35" s="262"/>
      <c r="AB35" s="262"/>
      <c r="AC35" s="262"/>
      <c r="AD35" s="262"/>
      <c r="AE35" s="262"/>
      <c r="AF35" s="262"/>
      <c r="AG35" s="262"/>
      <c r="AH35" s="263">
        <v>30</v>
      </c>
      <c r="AI35" s="263"/>
      <c r="AJ35" s="263"/>
      <c r="AK35" s="263"/>
      <c r="AL35" s="263"/>
      <c r="AM35" s="263"/>
      <c r="AN35" s="263"/>
      <c r="AO35" s="263"/>
      <c r="AP35" s="263"/>
      <c r="AQ35" s="263"/>
      <c r="AR35" s="263"/>
      <c r="AS35" s="263"/>
      <c r="AT35" s="263"/>
      <c r="AU35" s="263"/>
      <c r="AV35" s="263"/>
      <c r="AW35" s="263"/>
      <c r="AX35" s="264"/>
      <c r="AY35" s="264"/>
      <c r="AZ35" s="264"/>
      <c r="BA35" s="264"/>
      <c r="BB35" s="264"/>
      <c r="BC35" s="264"/>
      <c r="BD35" s="264"/>
      <c r="BE35" s="264"/>
      <c r="BF35" s="264"/>
      <c r="BG35" s="264"/>
      <c r="BH35" s="264"/>
      <c r="BI35" s="264"/>
      <c r="BJ35" s="264"/>
      <c r="BK35" s="264"/>
      <c r="BL35" s="264"/>
      <c r="BM35" s="264"/>
      <c r="BN35" s="265"/>
      <c r="BO35" s="265"/>
      <c r="BP35" s="265"/>
      <c r="BQ35" s="265">
        <v>40</v>
      </c>
      <c r="BR35" s="265"/>
      <c r="BS35" s="265"/>
      <c r="BT35" s="265"/>
      <c r="BU35" s="265"/>
      <c r="BV35" s="265"/>
      <c r="BW35" s="265"/>
      <c r="BX35" s="265"/>
      <c r="BY35" s="265"/>
      <c r="BZ35" s="265"/>
      <c r="CA35" s="265"/>
      <c r="CB35" s="265"/>
      <c r="CC35" s="265"/>
      <c r="CD35" s="266"/>
      <c r="CE35" s="266"/>
      <c r="CF35" s="266"/>
      <c r="CG35" s="266"/>
      <c r="CH35" s="266"/>
      <c r="CI35" s="266"/>
      <c r="CJ35" s="266"/>
      <c r="CK35" s="266"/>
      <c r="CL35" s="266"/>
      <c r="CM35" s="266"/>
      <c r="CN35" s="266"/>
      <c r="CO35" s="266"/>
      <c r="CP35" s="266"/>
      <c r="CQ35" s="266"/>
      <c r="CR35" s="266"/>
      <c r="CS35" s="266"/>
      <c r="CT35" s="267"/>
      <c r="CU35" s="267"/>
      <c r="CV35" s="267"/>
      <c r="CW35" s="267"/>
      <c r="CX35" s="267"/>
      <c r="CY35" s="267"/>
      <c r="CZ35" s="267"/>
      <c r="DA35" s="267"/>
      <c r="DB35" s="267"/>
      <c r="DC35" s="267"/>
      <c r="DD35" s="267"/>
      <c r="DE35" s="267"/>
      <c r="DF35" s="267"/>
      <c r="DG35" s="267"/>
      <c r="DH35" s="267"/>
      <c r="DI35" s="267"/>
      <c r="DJ35" s="268"/>
      <c r="DK35" s="268"/>
      <c r="DL35" s="268"/>
      <c r="DM35" s="268"/>
      <c r="DN35" s="268"/>
      <c r="DO35" s="268"/>
      <c r="DP35" s="268"/>
      <c r="DQ35" s="268"/>
      <c r="DR35" s="268"/>
      <c r="DS35" s="268"/>
      <c r="DT35" s="268"/>
      <c r="DU35" s="268"/>
      <c r="DV35" s="268"/>
      <c r="DW35" s="268"/>
      <c r="DX35" s="268"/>
      <c r="DY35" s="268"/>
      <c r="EA35" s="20" t="str">
        <f>FORMULA!$A$34</f>
        <v>PREMIX 8103 (20KG)</v>
      </c>
      <c r="EB35" s="91">
        <f>FORMULA!$C34</f>
        <v>0</v>
      </c>
      <c r="EC35" s="92">
        <f>FORMULA!$E34</f>
        <v>0</v>
      </c>
      <c r="ED35" s="92">
        <f>FORMULA!$G34</f>
        <v>0</v>
      </c>
      <c r="EE35" s="92">
        <f>FORMULA!$I34</f>
        <v>0</v>
      </c>
      <c r="EF35" s="92">
        <f>FORMULA!$K34</f>
        <v>0</v>
      </c>
      <c r="EG35" s="92">
        <f>FORMULA!$M34</f>
        <v>0</v>
      </c>
      <c r="EH35" s="92">
        <f>FORMULA!$O34</f>
        <v>0</v>
      </c>
      <c r="EI35" s="92">
        <f>FORMULA!$Q34</f>
        <v>0</v>
      </c>
      <c r="EJ35" s="92">
        <f>FORMULA!$S34</f>
        <v>0</v>
      </c>
      <c r="EK35" s="92">
        <f>FORMULA!$U34</f>
        <v>0</v>
      </c>
      <c r="EL35" s="92">
        <f>FORMULA!$W34</f>
        <v>0</v>
      </c>
      <c r="EM35" s="92">
        <f>FORMULA!$Y34</f>
        <v>0</v>
      </c>
      <c r="EN35" s="92">
        <f>FORMULA!$AA34</f>
        <v>0</v>
      </c>
      <c r="EO35" s="92">
        <f>FORMULA!$AC34</f>
        <v>0</v>
      </c>
      <c r="EP35" s="92">
        <f>FORMULA!$AE34</f>
        <v>0</v>
      </c>
      <c r="EQ35" s="108"/>
      <c r="ER35" s="91">
        <f>FORMULA!$C122</f>
        <v>0</v>
      </c>
      <c r="ES35" s="92">
        <f>FORMULA!$E122</f>
        <v>0</v>
      </c>
      <c r="ET35" s="92">
        <f>FORMULA!$G122</f>
        <v>0</v>
      </c>
      <c r="EU35" s="92">
        <f>FORMULA!$I122</f>
        <v>0</v>
      </c>
      <c r="EV35" s="92">
        <f>FORMULA!$K122</f>
        <v>0</v>
      </c>
      <c r="EW35" s="92">
        <f>FORMULA!$M122</f>
        <v>0</v>
      </c>
      <c r="EX35" s="92">
        <f>FORMULA!$O122</f>
        <v>0</v>
      </c>
      <c r="EY35" s="92">
        <f>FORMULA!$Q122</f>
        <v>0</v>
      </c>
      <c r="EZ35" s="92">
        <f>FORMULA!$S122</f>
        <v>0</v>
      </c>
      <c r="FA35" s="92">
        <f>FORMULA!$U122</f>
        <v>0</v>
      </c>
      <c r="FB35" s="92">
        <f>FORMULA!$W122</f>
        <v>0</v>
      </c>
      <c r="FC35" s="92">
        <f>FORMULA!$Y122</f>
        <v>0</v>
      </c>
      <c r="FD35" s="92">
        <f>FORMULA!$AA122</f>
        <v>0</v>
      </c>
      <c r="FE35" s="92">
        <f>FORMULA!$AC122</f>
        <v>0</v>
      </c>
      <c r="FF35" s="92">
        <f>FORMULA!$AE122</f>
        <v>0</v>
      </c>
      <c r="FG35" s="94"/>
      <c r="FH35" s="91">
        <f>FORMULA!$C210</f>
        <v>0</v>
      </c>
      <c r="FI35" s="92">
        <f>FORMULA!$E210</f>
        <v>0</v>
      </c>
      <c r="FJ35" s="92">
        <f>FORMULA!$G210</f>
        <v>0</v>
      </c>
      <c r="FK35" s="92">
        <f>FORMULA!$I210</f>
        <v>0</v>
      </c>
      <c r="FL35" s="92">
        <f>FORMULA!$K210</f>
        <v>0</v>
      </c>
      <c r="FM35" s="92">
        <f>FORMULA!$M210</f>
        <v>0</v>
      </c>
      <c r="FN35" s="92">
        <f>FORMULA!$O210</f>
        <v>0</v>
      </c>
      <c r="FO35" s="92">
        <f>FORMULA!$Q210</f>
        <v>0</v>
      </c>
      <c r="FP35" s="92">
        <f>FORMULA!$S210</f>
        <v>0</v>
      </c>
      <c r="FQ35" s="92">
        <f>FORMULA!$U210</f>
        <v>0</v>
      </c>
      <c r="FR35" s="92">
        <f>FORMULA!$W210</f>
        <v>0</v>
      </c>
      <c r="FS35" s="92">
        <f>FORMULA!$Y210</f>
        <v>0</v>
      </c>
      <c r="FT35" s="92">
        <f>FORMULA!$AA210</f>
        <v>0</v>
      </c>
      <c r="FU35" s="92">
        <f>FORMULA!$AC210</f>
        <v>0</v>
      </c>
      <c r="FV35" s="92">
        <f>FORMULA!$AE210</f>
        <v>0</v>
      </c>
      <c r="FW35" s="94"/>
      <c r="FX35" s="91">
        <f>FORMULA!$C298</f>
        <v>0</v>
      </c>
      <c r="FY35" s="92">
        <f>FORMULA!$E298</f>
        <v>0</v>
      </c>
      <c r="FZ35" s="92">
        <f>FORMULA!$G298</f>
        <v>0</v>
      </c>
      <c r="GA35" s="92">
        <f>FORMULA!$I298</f>
        <v>0</v>
      </c>
      <c r="GB35" s="92">
        <f>FORMULA!$K298</f>
        <v>0</v>
      </c>
      <c r="GC35" s="92">
        <f>FORMULA!$M298</f>
        <v>0</v>
      </c>
      <c r="GD35" s="92">
        <f>FORMULA!$O298</f>
        <v>0</v>
      </c>
      <c r="GE35" s="92">
        <f>FORMULA!$Q298</f>
        <v>0</v>
      </c>
      <c r="GF35" s="92">
        <f>FORMULA!$S298</f>
        <v>0</v>
      </c>
      <c r="GG35" s="92">
        <f>FORMULA!$U298</f>
        <v>0</v>
      </c>
      <c r="GH35" s="92">
        <f>FORMULA!$W298</f>
        <v>0</v>
      </c>
      <c r="GI35" s="92">
        <f>FORMULA!$Y298</f>
        <v>0</v>
      </c>
      <c r="GJ35" s="92">
        <f>FORMULA!$AA298</f>
        <v>0</v>
      </c>
      <c r="GK35" s="92">
        <f>FORMULA!$AC298</f>
        <v>0</v>
      </c>
      <c r="GL35" s="92">
        <f>FORMULA!$AE298</f>
        <v>0</v>
      </c>
      <c r="GM35" s="207"/>
      <c r="GN35" s="91">
        <f>FORMULA!$C386</f>
        <v>0</v>
      </c>
      <c r="GO35" s="92">
        <f>FORMULA!$E386</f>
        <v>0</v>
      </c>
      <c r="GP35" s="92">
        <f>FORMULA!$G386</f>
        <v>0</v>
      </c>
      <c r="GQ35" s="92">
        <f>FORMULA!$I386</f>
        <v>0</v>
      </c>
      <c r="GR35" s="92">
        <f>FORMULA!$K386</f>
        <v>0</v>
      </c>
      <c r="GS35" s="92">
        <f>FORMULA!$M386</f>
        <v>0</v>
      </c>
      <c r="GT35" s="92">
        <f>FORMULA!$O386</f>
        <v>0</v>
      </c>
      <c r="GU35" s="92">
        <f>FORMULA!$Q386</f>
        <v>0</v>
      </c>
      <c r="GV35" s="92">
        <f>FORMULA!$S386</f>
        <v>0</v>
      </c>
      <c r="GW35" s="92">
        <f>FORMULA!$U386</f>
        <v>20</v>
      </c>
      <c r="GX35" s="92">
        <f>FORMULA!$W386</f>
        <v>0</v>
      </c>
      <c r="GY35" s="92">
        <f>FORMULA!$Y386</f>
        <v>20</v>
      </c>
      <c r="GZ35" s="92">
        <f>FORMULA!$AA386</f>
        <v>20</v>
      </c>
      <c r="HA35" s="92">
        <f>FORMULA!$AC386</f>
        <v>0</v>
      </c>
      <c r="HB35" s="92">
        <f>FORMULA!$AE386</f>
        <v>0</v>
      </c>
      <c r="HC35" s="207"/>
      <c r="HD35" s="91">
        <f>FORMULA!$C474</f>
        <v>0</v>
      </c>
      <c r="HE35" s="92">
        <f>FORMULA!$E474</f>
        <v>0</v>
      </c>
      <c r="HF35" s="92">
        <f>FORMULA!$G474</f>
        <v>0</v>
      </c>
      <c r="HG35" s="92">
        <f>FORMULA!$I474</f>
        <v>0</v>
      </c>
      <c r="HH35" s="92">
        <f>FORMULA!$K474</f>
        <v>0</v>
      </c>
      <c r="HI35" s="92">
        <f>FORMULA!$M474</f>
        <v>0</v>
      </c>
      <c r="HJ35" s="92">
        <f>FORMULA!$O474</f>
        <v>0</v>
      </c>
      <c r="HK35" s="92">
        <f>FORMULA!$Q474</f>
        <v>0</v>
      </c>
      <c r="HL35" s="92">
        <f>FORMULA!$S474</f>
        <v>0</v>
      </c>
      <c r="HM35" s="92">
        <f>FORMULA!$U474</f>
        <v>0</v>
      </c>
      <c r="HN35" s="92">
        <f>FORMULA!$W474</f>
        <v>0</v>
      </c>
      <c r="HO35" s="92">
        <f>FORMULA!$Y474</f>
        <v>0</v>
      </c>
      <c r="HP35" s="92">
        <f>FORMULA!$AA474</f>
        <v>0</v>
      </c>
      <c r="HQ35" s="92">
        <f>FORMULA!$AC474</f>
        <v>0</v>
      </c>
      <c r="HR35" s="92">
        <f>FORMULA!$AE474</f>
        <v>0</v>
      </c>
      <c r="HS35" s="207"/>
      <c r="HT35" s="91">
        <f>FORMULA!$C562</f>
        <v>0</v>
      </c>
      <c r="HU35" s="92">
        <f>FORMULA!$E562</f>
        <v>0</v>
      </c>
      <c r="HV35" s="92">
        <f>FORMULA!$G562</f>
        <v>0</v>
      </c>
      <c r="HW35" s="92">
        <f>FORMULA!$I562</f>
        <v>0</v>
      </c>
      <c r="HX35" s="92">
        <f>FORMULA!$K562</f>
        <v>0</v>
      </c>
      <c r="HY35" s="92">
        <f>FORMULA!$M562</f>
        <v>0</v>
      </c>
      <c r="HZ35" s="92">
        <f>FORMULA!$O562</f>
        <v>0</v>
      </c>
      <c r="IA35" s="92">
        <f>FORMULA!$Q562</f>
        <v>0</v>
      </c>
      <c r="IB35" s="92">
        <f>FORMULA!$S562</f>
        <v>0</v>
      </c>
      <c r="IC35" s="92">
        <f>FORMULA!$U562</f>
        <v>0</v>
      </c>
      <c r="ID35" s="92">
        <f>FORMULA!$W562</f>
        <v>0</v>
      </c>
      <c r="IE35" s="92">
        <f>FORMULA!$Y562</f>
        <v>0</v>
      </c>
      <c r="IF35" s="92">
        <f>FORMULA!$AA562</f>
        <v>0</v>
      </c>
      <c r="IG35" s="92">
        <f>FORMULA!$AC562</f>
        <v>0</v>
      </c>
      <c r="IH35" s="92">
        <f>FORMULA!$AE562</f>
        <v>0</v>
      </c>
      <c r="II35" s="207"/>
      <c r="IJ35" s="91">
        <f>FORMULA!$C650</f>
        <v>0</v>
      </c>
      <c r="IK35" s="92">
        <f>FORMULA!$E650</f>
        <v>0</v>
      </c>
      <c r="IL35" s="92">
        <f>FORMULA!$G650</f>
        <v>0</v>
      </c>
      <c r="IM35" s="92">
        <f>FORMULA!$I650</f>
        <v>0</v>
      </c>
      <c r="IN35" s="92">
        <f>FORMULA!$K650</f>
        <v>0</v>
      </c>
      <c r="IO35" s="92">
        <f>FORMULA!$M650</f>
        <v>0</v>
      </c>
      <c r="IP35" s="92">
        <f>FORMULA!$O650</f>
        <v>0</v>
      </c>
      <c r="IQ35" s="92">
        <f>FORMULA!$Q650</f>
        <v>0</v>
      </c>
      <c r="IR35" s="92">
        <f>FORMULA!$S650</f>
        <v>0</v>
      </c>
      <c r="IS35" s="92">
        <f>FORMULA!$U650</f>
        <v>0</v>
      </c>
      <c r="IT35" s="92">
        <f>FORMULA!$W650</f>
        <v>0</v>
      </c>
      <c r="IU35" s="92">
        <f>FORMULA!$Y650</f>
        <v>0</v>
      </c>
      <c r="IV35" s="92">
        <f>FORMULA!$AA650</f>
        <v>0</v>
      </c>
      <c r="IW35" s="92">
        <f>FORMULA!$AC650</f>
        <v>0</v>
      </c>
      <c r="IX35" s="92">
        <f>FORMULA!$AE650</f>
        <v>0</v>
      </c>
      <c r="IY35" s="208"/>
    </row>
    <row r="36" spans="1:259" outlineLevel="1">
      <c r="A36" s="11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106"/>
      <c r="AJ36" s="106"/>
      <c r="AK36" s="106"/>
      <c r="AL36" s="106"/>
      <c r="AM36" s="106"/>
      <c r="AN36" s="106"/>
      <c r="AO36" s="106"/>
      <c r="AP36" s="106"/>
      <c r="AQ36" s="106"/>
      <c r="AR36" s="106"/>
      <c r="AS36" s="106"/>
      <c r="AT36" s="106"/>
      <c r="AU36" s="106"/>
      <c r="AV36" s="106"/>
      <c r="AW36" s="106"/>
      <c r="AX36" s="106"/>
      <c r="AY36" s="106"/>
      <c r="AZ36" s="106"/>
      <c r="BA36" s="106"/>
      <c r="BB36" s="106"/>
      <c r="BC36" s="106"/>
      <c r="BD36" s="106"/>
      <c r="BE36" s="106"/>
      <c r="BF36" s="106"/>
      <c r="BG36" s="106"/>
      <c r="BH36" s="106"/>
      <c r="BI36" s="106"/>
      <c r="BJ36" s="106"/>
      <c r="BK36" s="106"/>
      <c r="BL36" s="106"/>
      <c r="BM36" s="106"/>
      <c r="BN36" s="106"/>
      <c r="BO36" s="106"/>
      <c r="BP36" s="106"/>
      <c r="BQ36" s="106"/>
      <c r="BR36" s="106"/>
      <c r="BS36" s="106"/>
      <c r="BT36" s="106"/>
      <c r="BU36" s="106"/>
      <c r="BV36" s="106"/>
      <c r="BW36" s="106"/>
      <c r="BX36" s="106"/>
      <c r="BY36" s="106"/>
      <c r="BZ36" s="106"/>
      <c r="CA36" s="106"/>
      <c r="CB36" s="106"/>
      <c r="CC36" s="106"/>
      <c r="CD36" s="106"/>
      <c r="CE36" s="106"/>
      <c r="CF36" s="106"/>
      <c r="CG36" s="106"/>
      <c r="CH36" s="106"/>
      <c r="CI36" s="106"/>
      <c r="CJ36" s="106"/>
      <c r="CK36" s="106"/>
      <c r="CL36" s="106"/>
      <c r="CM36" s="106"/>
      <c r="CN36" s="106"/>
      <c r="CO36" s="106"/>
      <c r="CP36" s="106"/>
      <c r="CQ36" s="106"/>
      <c r="CR36" s="106"/>
      <c r="CS36" s="106"/>
      <c r="CT36" s="106"/>
      <c r="CU36" s="106"/>
      <c r="CV36" s="106"/>
      <c r="CW36" s="106"/>
      <c r="CX36" s="106"/>
      <c r="CY36" s="106"/>
      <c r="CZ36" s="106"/>
      <c r="DA36" s="106"/>
      <c r="DB36" s="106"/>
      <c r="DC36" s="106"/>
      <c r="DD36" s="106"/>
      <c r="DE36" s="106"/>
      <c r="DF36" s="106"/>
      <c r="DG36" s="106"/>
      <c r="DH36" s="106"/>
      <c r="DI36" s="106"/>
      <c r="DJ36" s="106"/>
      <c r="DK36" s="106"/>
      <c r="DL36" s="106"/>
      <c r="DM36" s="106"/>
      <c r="DN36" s="106"/>
      <c r="DO36" s="106"/>
      <c r="DP36" s="106"/>
      <c r="DQ36" s="106"/>
      <c r="DR36" s="106"/>
      <c r="DS36" s="106"/>
      <c r="DT36" s="106"/>
      <c r="DU36" s="106"/>
      <c r="DV36" s="106"/>
      <c r="DW36" s="106"/>
      <c r="DX36" s="106"/>
      <c r="DY36" s="106"/>
      <c r="EA36" s="20" t="str">
        <f>FORMULA!$A$35</f>
        <v>PREMIX 8108 (20KG)</v>
      </c>
      <c r="EB36" s="91">
        <f>FORMULA!$C35</f>
        <v>0</v>
      </c>
      <c r="EC36" s="92">
        <f>FORMULA!$E35</f>
        <v>0</v>
      </c>
      <c r="ED36" s="92">
        <f>FORMULA!$G35</f>
        <v>0</v>
      </c>
      <c r="EE36" s="92">
        <f>FORMULA!$I35</f>
        <v>0</v>
      </c>
      <c r="EF36" s="92">
        <f>FORMULA!$K35</f>
        <v>0</v>
      </c>
      <c r="EG36" s="92">
        <f>FORMULA!$M35</f>
        <v>0</v>
      </c>
      <c r="EH36" s="92">
        <f>FORMULA!$O35</f>
        <v>0</v>
      </c>
      <c r="EI36" s="92">
        <f>FORMULA!$Q35</f>
        <v>0</v>
      </c>
      <c r="EJ36" s="92">
        <f>FORMULA!$S35</f>
        <v>0</v>
      </c>
      <c r="EK36" s="92">
        <f>FORMULA!$U35</f>
        <v>0</v>
      </c>
      <c r="EL36" s="92">
        <f>FORMULA!$W35</f>
        <v>0</v>
      </c>
      <c r="EM36" s="92">
        <f>FORMULA!$Y35</f>
        <v>0</v>
      </c>
      <c r="EN36" s="92">
        <f>FORMULA!$AA35</f>
        <v>0</v>
      </c>
      <c r="EO36" s="92">
        <f>FORMULA!$AC35</f>
        <v>0</v>
      </c>
      <c r="EP36" s="92">
        <f>FORMULA!$AE35</f>
        <v>0</v>
      </c>
      <c r="EQ36" s="108"/>
      <c r="ER36" s="91">
        <f>FORMULA!$C123</f>
        <v>0</v>
      </c>
      <c r="ES36" s="92">
        <f>FORMULA!$E123</f>
        <v>0</v>
      </c>
      <c r="ET36" s="92">
        <f>FORMULA!$G123</f>
        <v>0</v>
      </c>
      <c r="EU36" s="92">
        <f>FORMULA!$I123</f>
        <v>0</v>
      </c>
      <c r="EV36" s="92">
        <f>FORMULA!$K123</f>
        <v>0</v>
      </c>
      <c r="EW36" s="92">
        <f>FORMULA!$M123</f>
        <v>0</v>
      </c>
      <c r="EX36" s="92">
        <f>FORMULA!$O123</f>
        <v>0</v>
      </c>
      <c r="EY36" s="92">
        <f>FORMULA!$Q123</f>
        <v>0</v>
      </c>
      <c r="EZ36" s="92">
        <f>FORMULA!$S123</f>
        <v>0</v>
      </c>
      <c r="FA36" s="92">
        <f>FORMULA!$U123</f>
        <v>0</v>
      </c>
      <c r="FB36" s="92">
        <f>FORMULA!$W123</f>
        <v>0</v>
      </c>
      <c r="FC36" s="92">
        <f>FORMULA!$Y123</f>
        <v>0</v>
      </c>
      <c r="FD36" s="92">
        <f>FORMULA!$AA123</f>
        <v>0</v>
      </c>
      <c r="FE36" s="92">
        <f>FORMULA!$AC123</f>
        <v>0</v>
      </c>
      <c r="FF36" s="92">
        <f>FORMULA!$AE123</f>
        <v>0</v>
      </c>
      <c r="FG36" s="94"/>
      <c r="FH36" s="91">
        <f>FORMULA!$C211</f>
        <v>0</v>
      </c>
      <c r="FI36" s="92">
        <f>FORMULA!$E211</f>
        <v>0</v>
      </c>
      <c r="FJ36" s="92">
        <f>FORMULA!$G211</f>
        <v>0</v>
      </c>
      <c r="FK36" s="92">
        <f>FORMULA!$I211</f>
        <v>0</v>
      </c>
      <c r="FL36" s="92">
        <f>FORMULA!$K211</f>
        <v>0</v>
      </c>
      <c r="FM36" s="92">
        <f>FORMULA!$M211</f>
        <v>0</v>
      </c>
      <c r="FN36" s="92">
        <f>FORMULA!$O211</f>
        <v>0</v>
      </c>
      <c r="FO36" s="92">
        <f>FORMULA!$Q211</f>
        <v>0</v>
      </c>
      <c r="FP36" s="92">
        <f>FORMULA!$S211</f>
        <v>0</v>
      </c>
      <c r="FQ36" s="92">
        <f>FORMULA!$U211</f>
        <v>0</v>
      </c>
      <c r="FR36" s="92">
        <f>FORMULA!$W211</f>
        <v>0</v>
      </c>
      <c r="FS36" s="92">
        <f>FORMULA!$Y211</f>
        <v>0</v>
      </c>
      <c r="FT36" s="92">
        <f>FORMULA!$AA211</f>
        <v>0</v>
      </c>
      <c r="FU36" s="92">
        <f>FORMULA!$AC211</f>
        <v>0</v>
      </c>
      <c r="FV36" s="92">
        <f>FORMULA!$AE211</f>
        <v>0</v>
      </c>
      <c r="FW36" s="94"/>
      <c r="FX36" s="91">
        <f>FORMULA!$C299</f>
        <v>0</v>
      </c>
      <c r="FY36" s="92">
        <f>FORMULA!$E299</f>
        <v>0</v>
      </c>
      <c r="FZ36" s="92">
        <f>FORMULA!$G299</f>
        <v>0</v>
      </c>
      <c r="GA36" s="92">
        <f>FORMULA!$I299</f>
        <v>0</v>
      </c>
      <c r="GB36" s="92">
        <f>FORMULA!$K299</f>
        <v>0</v>
      </c>
      <c r="GC36" s="92">
        <f>FORMULA!$M299</f>
        <v>0</v>
      </c>
      <c r="GD36" s="92">
        <f>FORMULA!$O299</f>
        <v>0</v>
      </c>
      <c r="GE36" s="92">
        <f>FORMULA!$Q299</f>
        <v>0</v>
      </c>
      <c r="GF36" s="92">
        <f>FORMULA!$S299</f>
        <v>0</v>
      </c>
      <c r="GG36" s="92">
        <f>FORMULA!$U299</f>
        <v>0</v>
      </c>
      <c r="GH36" s="92">
        <f>FORMULA!$W299</f>
        <v>0</v>
      </c>
      <c r="GI36" s="92">
        <f>FORMULA!$Y299</f>
        <v>0</v>
      </c>
      <c r="GJ36" s="92">
        <f>FORMULA!$AA299</f>
        <v>0</v>
      </c>
      <c r="GK36" s="92">
        <f>FORMULA!$AC299</f>
        <v>0</v>
      </c>
      <c r="GL36" s="92">
        <f>FORMULA!$AE299</f>
        <v>0</v>
      </c>
      <c r="GM36" s="207"/>
      <c r="GN36" s="91">
        <f>FORMULA!$C387</f>
        <v>0</v>
      </c>
      <c r="GO36" s="92">
        <f>FORMULA!$E387</f>
        <v>0</v>
      </c>
      <c r="GP36" s="92">
        <f>FORMULA!$G387</f>
        <v>0</v>
      </c>
      <c r="GQ36" s="92">
        <f>FORMULA!$I387</f>
        <v>0</v>
      </c>
      <c r="GR36" s="92">
        <f>FORMULA!$K387</f>
        <v>0</v>
      </c>
      <c r="GS36" s="92">
        <f>FORMULA!$M387</f>
        <v>20</v>
      </c>
      <c r="GT36" s="92">
        <f>FORMULA!$O387</f>
        <v>0</v>
      </c>
      <c r="GU36" s="92">
        <f>FORMULA!$Q387</f>
        <v>0</v>
      </c>
      <c r="GV36" s="92">
        <f>FORMULA!$S387</f>
        <v>20</v>
      </c>
      <c r="GW36" s="92">
        <f>FORMULA!$U387</f>
        <v>0</v>
      </c>
      <c r="GX36" s="92">
        <f>FORMULA!$W387</f>
        <v>0</v>
      </c>
      <c r="GY36" s="92">
        <f>FORMULA!$Y387</f>
        <v>0</v>
      </c>
      <c r="GZ36" s="92">
        <f>FORMULA!$AA387</f>
        <v>0</v>
      </c>
      <c r="HA36" s="92">
        <f>FORMULA!$AC387</f>
        <v>20</v>
      </c>
      <c r="HB36" s="92">
        <f>FORMULA!$AE387</f>
        <v>20</v>
      </c>
      <c r="HC36" s="207"/>
      <c r="HD36" s="91">
        <f>FORMULA!$C475</f>
        <v>0</v>
      </c>
      <c r="HE36" s="92">
        <f>FORMULA!$E475</f>
        <v>0</v>
      </c>
      <c r="HF36" s="92">
        <f>FORMULA!$G475</f>
        <v>0</v>
      </c>
      <c r="HG36" s="92">
        <f>FORMULA!$I475</f>
        <v>0</v>
      </c>
      <c r="HH36" s="92">
        <f>FORMULA!$K475</f>
        <v>0</v>
      </c>
      <c r="HI36" s="92">
        <f>FORMULA!$M475</f>
        <v>0</v>
      </c>
      <c r="HJ36" s="92">
        <f>FORMULA!$O475</f>
        <v>0</v>
      </c>
      <c r="HK36" s="92">
        <f>FORMULA!$Q475</f>
        <v>0</v>
      </c>
      <c r="HL36" s="92">
        <f>FORMULA!$S475</f>
        <v>0</v>
      </c>
      <c r="HM36" s="92">
        <f>FORMULA!$U475</f>
        <v>0</v>
      </c>
      <c r="HN36" s="92">
        <f>FORMULA!$W475</f>
        <v>0</v>
      </c>
      <c r="HO36" s="92">
        <f>FORMULA!$Y475</f>
        <v>0</v>
      </c>
      <c r="HP36" s="92">
        <f>FORMULA!$AA475</f>
        <v>0</v>
      </c>
      <c r="HQ36" s="92">
        <f>FORMULA!$AC475</f>
        <v>0</v>
      </c>
      <c r="HR36" s="92">
        <f>FORMULA!$AE475</f>
        <v>0</v>
      </c>
      <c r="HS36" s="207"/>
      <c r="HT36" s="91">
        <f>FORMULA!$C563</f>
        <v>0</v>
      </c>
      <c r="HU36" s="92">
        <f>FORMULA!$E563</f>
        <v>0</v>
      </c>
      <c r="HV36" s="92">
        <f>FORMULA!$G563</f>
        <v>0</v>
      </c>
      <c r="HW36" s="92">
        <f>FORMULA!$I563</f>
        <v>0</v>
      </c>
      <c r="HX36" s="92">
        <f>FORMULA!$K563</f>
        <v>0</v>
      </c>
      <c r="HY36" s="92">
        <f>FORMULA!$M563</f>
        <v>0</v>
      </c>
      <c r="HZ36" s="92">
        <f>FORMULA!$O563</f>
        <v>0</v>
      </c>
      <c r="IA36" s="92">
        <f>FORMULA!$Q563</f>
        <v>0</v>
      </c>
      <c r="IB36" s="92">
        <f>FORMULA!$S563</f>
        <v>0</v>
      </c>
      <c r="IC36" s="92">
        <f>FORMULA!$U563</f>
        <v>0</v>
      </c>
      <c r="ID36" s="92">
        <f>FORMULA!$W563</f>
        <v>0</v>
      </c>
      <c r="IE36" s="92">
        <f>FORMULA!$Y563</f>
        <v>0</v>
      </c>
      <c r="IF36" s="92">
        <f>FORMULA!$AA563</f>
        <v>0</v>
      </c>
      <c r="IG36" s="92">
        <f>FORMULA!$AC563</f>
        <v>0</v>
      </c>
      <c r="IH36" s="92">
        <f>FORMULA!$AE563</f>
        <v>0</v>
      </c>
      <c r="II36" s="207"/>
      <c r="IJ36" s="91">
        <f>FORMULA!$C651</f>
        <v>0</v>
      </c>
      <c r="IK36" s="92">
        <f>FORMULA!$E651</f>
        <v>0</v>
      </c>
      <c r="IL36" s="92">
        <f>FORMULA!$G651</f>
        <v>0</v>
      </c>
      <c r="IM36" s="92">
        <f>FORMULA!$I651</f>
        <v>0</v>
      </c>
      <c r="IN36" s="92">
        <f>FORMULA!$K651</f>
        <v>0</v>
      </c>
      <c r="IO36" s="92">
        <f>FORMULA!$M651</f>
        <v>0</v>
      </c>
      <c r="IP36" s="92">
        <f>FORMULA!$O651</f>
        <v>0</v>
      </c>
      <c r="IQ36" s="92">
        <f>FORMULA!$Q651</f>
        <v>0</v>
      </c>
      <c r="IR36" s="92">
        <f>FORMULA!$S651</f>
        <v>0</v>
      </c>
      <c r="IS36" s="92">
        <f>FORMULA!$U651</f>
        <v>0</v>
      </c>
      <c r="IT36" s="92">
        <f>FORMULA!$W651</f>
        <v>0</v>
      </c>
      <c r="IU36" s="92">
        <f>FORMULA!$Y651</f>
        <v>0</v>
      </c>
      <c r="IV36" s="92">
        <f>FORMULA!$AA651</f>
        <v>0</v>
      </c>
      <c r="IW36" s="92">
        <f>FORMULA!$AC651</f>
        <v>0</v>
      </c>
      <c r="IX36" s="92">
        <f>FORMULA!$AE651</f>
        <v>0</v>
      </c>
      <c r="IY36" s="208"/>
    </row>
    <row r="37" spans="1:259" outlineLevel="1">
      <c r="A37" s="11"/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106"/>
      <c r="AJ37" s="106"/>
      <c r="AK37" s="106"/>
      <c r="AL37" s="106"/>
      <c r="AM37" s="106"/>
      <c r="AN37" s="106"/>
      <c r="AO37" s="106"/>
      <c r="AP37" s="106"/>
      <c r="AQ37" s="106"/>
      <c r="AR37" s="106"/>
      <c r="AS37" s="106"/>
      <c r="AT37" s="106"/>
      <c r="AU37" s="106"/>
      <c r="AV37" s="106"/>
      <c r="AW37" s="106"/>
      <c r="AX37" s="106"/>
      <c r="AY37" s="106"/>
      <c r="AZ37" s="106"/>
      <c r="BA37" s="106"/>
      <c r="BB37" s="106"/>
      <c r="BC37" s="106"/>
      <c r="BD37" s="106"/>
      <c r="BE37" s="106"/>
      <c r="BF37" s="106"/>
      <c r="BG37" s="106"/>
      <c r="BH37" s="106"/>
      <c r="BI37" s="106"/>
      <c r="BJ37" s="106"/>
      <c r="BK37" s="106"/>
      <c r="BL37" s="106"/>
      <c r="BM37" s="106"/>
      <c r="BN37" s="106"/>
      <c r="BO37" s="106"/>
      <c r="BP37" s="106"/>
      <c r="BQ37" s="106"/>
      <c r="BR37" s="106"/>
      <c r="BS37" s="106"/>
      <c r="BT37" s="106"/>
      <c r="BU37" s="106"/>
      <c r="BV37" s="106"/>
      <c r="BW37" s="106"/>
      <c r="BX37" s="106"/>
      <c r="BY37" s="106"/>
      <c r="BZ37" s="106"/>
      <c r="CA37" s="106"/>
      <c r="CB37" s="106"/>
      <c r="CC37" s="106"/>
      <c r="CD37" s="106"/>
      <c r="CE37" s="106"/>
      <c r="CF37" s="106"/>
      <c r="CG37" s="106"/>
      <c r="CH37" s="106"/>
      <c r="CI37" s="106"/>
      <c r="CJ37" s="106"/>
      <c r="CK37" s="106"/>
      <c r="CL37" s="106"/>
      <c r="CM37" s="106"/>
      <c r="CN37" s="106"/>
      <c r="CO37" s="106"/>
      <c r="CP37" s="106"/>
      <c r="CQ37" s="106"/>
      <c r="CR37" s="106"/>
      <c r="CS37" s="106"/>
      <c r="CT37" s="106"/>
      <c r="CU37" s="106"/>
      <c r="CV37" s="106"/>
      <c r="CW37" s="106"/>
      <c r="CX37" s="106"/>
      <c r="CY37" s="106"/>
      <c r="CZ37" s="106"/>
      <c r="DA37" s="106"/>
      <c r="DB37" s="106"/>
      <c r="DC37" s="106"/>
      <c r="DD37" s="106"/>
      <c r="DE37" s="106"/>
      <c r="DF37" s="106"/>
      <c r="DG37" s="106"/>
      <c r="DH37" s="106"/>
      <c r="DI37" s="106"/>
      <c r="DJ37" s="106"/>
      <c r="DK37" s="106"/>
      <c r="DL37" s="106"/>
      <c r="DM37" s="106"/>
      <c r="DN37" s="106"/>
      <c r="DO37" s="106"/>
      <c r="DP37" s="106"/>
      <c r="DQ37" s="106"/>
      <c r="DR37" s="106"/>
      <c r="DS37" s="106"/>
      <c r="DT37" s="106"/>
      <c r="DU37" s="106"/>
      <c r="DV37" s="106"/>
      <c r="DW37" s="106"/>
      <c r="DX37" s="106"/>
      <c r="DY37" s="106"/>
      <c r="EA37" s="20" t="str">
        <f>FORMULA!$A$36</f>
        <v>PREMIX 8109 (20KG)</v>
      </c>
      <c r="EB37" s="91">
        <f>FORMULA!$C36</f>
        <v>0</v>
      </c>
      <c r="EC37" s="92">
        <f>FORMULA!$E36</f>
        <v>0</v>
      </c>
      <c r="ED37" s="92">
        <f>FORMULA!$G36</f>
        <v>0</v>
      </c>
      <c r="EE37" s="92">
        <f>FORMULA!$I36</f>
        <v>0</v>
      </c>
      <c r="EF37" s="92">
        <f>FORMULA!$K36</f>
        <v>0</v>
      </c>
      <c r="EG37" s="92">
        <f>FORMULA!$M36</f>
        <v>0</v>
      </c>
      <c r="EH37" s="92">
        <f>FORMULA!$O36</f>
        <v>0</v>
      </c>
      <c r="EI37" s="92">
        <f>FORMULA!$Q36</f>
        <v>0</v>
      </c>
      <c r="EJ37" s="92">
        <f>FORMULA!$S36</f>
        <v>0</v>
      </c>
      <c r="EK37" s="92">
        <f>FORMULA!$U36</f>
        <v>0</v>
      </c>
      <c r="EL37" s="92">
        <f>FORMULA!$W36</f>
        <v>0</v>
      </c>
      <c r="EM37" s="92">
        <f>FORMULA!$Y36</f>
        <v>0</v>
      </c>
      <c r="EN37" s="92">
        <f>FORMULA!$AA36</f>
        <v>0</v>
      </c>
      <c r="EO37" s="92">
        <f>FORMULA!$AC36</f>
        <v>0</v>
      </c>
      <c r="EP37" s="92">
        <f>FORMULA!$AE36</f>
        <v>0</v>
      </c>
      <c r="EQ37" s="108"/>
      <c r="ER37" s="91">
        <f>FORMULA!$C124</f>
        <v>0</v>
      </c>
      <c r="ES37" s="92">
        <f>FORMULA!$E124</f>
        <v>0</v>
      </c>
      <c r="ET37" s="92">
        <f>FORMULA!$G124</f>
        <v>0</v>
      </c>
      <c r="EU37" s="92">
        <f>FORMULA!$I124</f>
        <v>0</v>
      </c>
      <c r="EV37" s="92">
        <f>FORMULA!$K124</f>
        <v>0</v>
      </c>
      <c r="EW37" s="92">
        <f>FORMULA!$M124</f>
        <v>0</v>
      </c>
      <c r="EX37" s="92">
        <f>FORMULA!$O124</f>
        <v>0</v>
      </c>
      <c r="EY37" s="92">
        <f>FORMULA!$Q124</f>
        <v>0</v>
      </c>
      <c r="EZ37" s="92">
        <f>FORMULA!$S124</f>
        <v>0</v>
      </c>
      <c r="FA37" s="92">
        <f>FORMULA!$U124</f>
        <v>0</v>
      </c>
      <c r="FB37" s="92">
        <f>FORMULA!$W124</f>
        <v>0</v>
      </c>
      <c r="FC37" s="92">
        <f>FORMULA!$Y124</f>
        <v>0</v>
      </c>
      <c r="FD37" s="92">
        <f>FORMULA!$AA124</f>
        <v>0</v>
      </c>
      <c r="FE37" s="92">
        <f>FORMULA!$AC124</f>
        <v>0</v>
      </c>
      <c r="FF37" s="92">
        <f>FORMULA!$AE124</f>
        <v>0</v>
      </c>
      <c r="FG37" s="94"/>
      <c r="FH37" s="91">
        <f>FORMULA!$C212</f>
        <v>0</v>
      </c>
      <c r="FI37" s="92">
        <f>FORMULA!$E212</f>
        <v>0</v>
      </c>
      <c r="FJ37" s="92">
        <f>FORMULA!$G212</f>
        <v>0</v>
      </c>
      <c r="FK37" s="92">
        <f>FORMULA!$I212</f>
        <v>0</v>
      </c>
      <c r="FL37" s="92">
        <f>FORMULA!$K212</f>
        <v>0</v>
      </c>
      <c r="FM37" s="92">
        <f>FORMULA!$M212</f>
        <v>0</v>
      </c>
      <c r="FN37" s="92">
        <f>FORMULA!$O212</f>
        <v>0</v>
      </c>
      <c r="FO37" s="92">
        <f>FORMULA!$Q212</f>
        <v>0</v>
      </c>
      <c r="FP37" s="92">
        <f>FORMULA!$S212</f>
        <v>0</v>
      </c>
      <c r="FQ37" s="92">
        <f>FORMULA!$U212</f>
        <v>0</v>
      </c>
      <c r="FR37" s="92">
        <f>FORMULA!$W212</f>
        <v>0</v>
      </c>
      <c r="FS37" s="92">
        <f>FORMULA!$Y212</f>
        <v>0</v>
      </c>
      <c r="FT37" s="92">
        <f>FORMULA!$AA212</f>
        <v>0</v>
      </c>
      <c r="FU37" s="92">
        <f>FORMULA!$AC212</f>
        <v>0</v>
      </c>
      <c r="FV37" s="92">
        <f>FORMULA!$AE212</f>
        <v>0</v>
      </c>
      <c r="FW37" s="94"/>
      <c r="FX37" s="91">
        <f>FORMULA!$C300</f>
        <v>0</v>
      </c>
      <c r="FY37" s="92">
        <f>FORMULA!$E300</f>
        <v>0</v>
      </c>
      <c r="FZ37" s="92">
        <f>FORMULA!$G300</f>
        <v>0</v>
      </c>
      <c r="GA37" s="92">
        <f>FORMULA!$I300</f>
        <v>0</v>
      </c>
      <c r="GB37" s="92">
        <f>FORMULA!$K300</f>
        <v>0</v>
      </c>
      <c r="GC37" s="92">
        <f>FORMULA!$M300</f>
        <v>0</v>
      </c>
      <c r="GD37" s="92">
        <f>FORMULA!$O300</f>
        <v>0</v>
      </c>
      <c r="GE37" s="92">
        <f>FORMULA!$Q300</f>
        <v>0</v>
      </c>
      <c r="GF37" s="92">
        <f>FORMULA!$S300</f>
        <v>0</v>
      </c>
      <c r="GG37" s="92">
        <f>FORMULA!$U300</f>
        <v>0</v>
      </c>
      <c r="GH37" s="92">
        <f>FORMULA!$W300</f>
        <v>0</v>
      </c>
      <c r="GI37" s="92">
        <f>FORMULA!$Y300</f>
        <v>0</v>
      </c>
      <c r="GJ37" s="92">
        <f>FORMULA!$AA300</f>
        <v>0</v>
      </c>
      <c r="GK37" s="92">
        <f>FORMULA!$AC300</f>
        <v>0</v>
      </c>
      <c r="GL37" s="92">
        <f>FORMULA!$AE300</f>
        <v>0</v>
      </c>
      <c r="GM37" s="207"/>
      <c r="GN37" s="91">
        <f>FORMULA!$C388</f>
        <v>0</v>
      </c>
      <c r="GO37" s="92">
        <f>FORMULA!$E388</f>
        <v>0</v>
      </c>
      <c r="GP37" s="92">
        <f>FORMULA!$G388</f>
        <v>0</v>
      </c>
      <c r="GQ37" s="92">
        <f>FORMULA!$I388</f>
        <v>0</v>
      </c>
      <c r="GR37" s="92">
        <f>FORMULA!$K388</f>
        <v>0</v>
      </c>
      <c r="GS37" s="92">
        <f>FORMULA!$M388</f>
        <v>0</v>
      </c>
      <c r="GT37" s="92">
        <f>FORMULA!$O388</f>
        <v>0</v>
      </c>
      <c r="GU37" s="92">
        <f>FORMULA!$Q388</f>
        <v>0</v>
      </c>
      <c r="GV37" s="92">
        <f>FORMULA!$S388</f>
        <v>0</v>
      </c>
      <c r="GW37" s="92">
        <f>FORMULA!$U388</f>
        <v>0</v>
      </c>
      <c r="GX37" s="92">
        <f>FORMULA!$W388</f>
        <v>20</v>
      </c>
      <c r="GY37" s="92">
        <f>FORMULA!$Y388</f>
        <v>0</v>
      </c>
      <c r="GZ37" s="92">
        <f>FORMULA!$AA388</f>
        <v>0</v>
      </c>
      <c r="HA37" s="92">
        <f>FORMULA!$AC388</f>
        <v>0</v>
      </c>
      <c r="HB37" s="92">
        <f>FORMULA!$AE388</f>
        <v>0</v>
      </c>
      <c r="HC37" s="207"/>
      <c r="HD37" s="91">
        <f>FORMULA!$C476</f>
        <v>0</v>
      </c>
      <c r="HE37" s="92">
        <f>FORMULA!$E476</f>
        <v>0</v>
      </c>
      <c r="HF37" s="92">
        <f>FORMULA!$G476</f>
        <v>0</v>
      </c>
      <c r="HG37" s="92">
        <f>FORMULA!$I476</f>
        <v>0</v>
      </c>
      <c r="HH37" s="92">
        <f>FORMULA!$K476</f>
        <v>0</v>
      </c>
      <c r="HI37" s="92">
        <f>FORMULA!$M476</f>
        <v>0</v>
      </c>
      <c r="HJ37" s="92">
        <f>FORMULA!$O476</f>
        <v>0</v>
      </c>
      <c r="HK37" s="92">
        <f>FORMULA!$Q476</f>
        <v>0</v>
      </c>
      <c r="HL37" s="92">
        <f>FORMULA!$S476</f>
        <v>0</v>
      </c>
      <c r="HM37" s="92">
        <f>FORMULA!$U476</f>
        <v>0</v>
      </c>
      <c r="HN37" s="92">
        <f>FORMULA!$W476</f>
        <v>0</v>
      </c>
      <c r="HO37" s="92">
        <f>FORMULA!$Y476</f>
        <v>0</v>
      </c>
      <c r="HP37" s="92">
        <f>FORMULA!$AA476</f>
        <v>0</v>
      </c>
      <c r="HQ37" s="92">
        <f>FORMULA!$AC476</f>
        <v>0</v>
      </c>
      <c r="HR37" s="92">
        <f>FORMULA!$AE476</f>
        <v>0</v>
      </c>
      <c r="HS37" s="207"/>
      <c r="HT37" s="91">
        <f>FORMULA!$C564</f>
        <v>0</v>
      </c>
      <c r="HU37" s="92">
        <f>FORMULA!$E564</f>
        <v>0</v>
      </c>
      <c r="HV37" s="92">
        <f>FORMULA!$G564</f>
        <v>0</v>
      </c>
      <c r="HW37" s="92">
        <f>FORMULA!$I564</f>
        <v>0</v>
      </c>
      <c r="HX37" s="92">
        <f>FORMULA!$K564</f>
        <v>0</v>
      </c>
      <c r="HY37" s="92">
        <f>FORMULA!$M564</f>
        <v>0</v>
      </c>
      <c r="HZ37" s="92">
        <f>FORMULA!$O564</f>
        <v>0</v>
      </c>
      <c r="IA37" s="92">
        <f>FORMULA!$Q564</f>
        <v>0</v>
      </c>
      <c r="IB37" s="92">
        <f>FORMULA!$S564</f>
        <v>0</v>
      </c>
      <c r="IC37" s="92">
        <f>FORMULA!$U564</f>
        <v>0</v>
      </c>
      <c r="ID37" s="92">
        <f>FORMULA!$W564</f>
        <v>0</v>
      </c>
      <c r="IE37" s="92">
        <f>FORMULA!$Y564</f>
        <v>0</v>
      </c>
      <c r="IF37" s="92">
        <f>FORMULA!$AA564</f>
        <v>0</v>
      </c>
      <c r="IG37" s="92">
        <f>FORMULA!$AC564</f>
        <v>0</v>
      </c>
      <c r="IH37" s="92">
        <f>FORMULA!$AE564</f>
        <v>0</v>
      </c>
      <c r="II37" s="207"/>
      <c r="IJ37" s="91">
        <f>FORMULA!$C652</f>
        <v>0</v>
      </c>
      <c r="IK37" s="92">
        <f>FORMULA!$E652</f>
        <v>0</v>
      </c>
      <c r="IL37" s="92">
        <f>FORMULA!$G652</f>
        <v>0</v>
      </c>
      <c r="IM37" s="92">
        <f>FORMULA!$I652</f>
        <v>0</v>
      </c>
      <c r="IN37" s="92">
        <f>FORMULA!$K652</f>
        <v>0</v>
      </c>
      <c r="IO37" s="92">
        <f>FORMULA!$M652</f>
        <v>0</v>
      </c>
      <c r="IP37" s="92">
        <f>FORMULA!$O652</f>
        <v>0</v>
      </c>
      <c r="IQ37" s="92">
        <f>FORMULA!$Q652</f>
        <v>0</v>
      </c>
      <c r="IR37" s="92">
        <f>FORMULA!$S652</f>
        <v>0</v>
      </c>
      <c r="IS37" s="92">
        <f>FORMULA!$U652</f>
        <v>0</v>
      </c>
      <c r="IT37" s="92">
        <f>FORMULA!$W652</f>
        <v>0</v>
      </c>
      <c r="IU37" s="92">
        <f>FORMULA!$Y652</f>
        <v>0</v>
      </c>
      <c r="IV37" s="92">
        <f>FORMULA!$AA652</f>
        <v>0</v>
      </c>
      <c r="IW37" s="92">
        <f>FORMULA!$AC652</f>
        <v>0</v>
      </c>
      <c r="IX37" s="92">
        <f>FORMULA!$AE652</f>
        <v>0</v>
      </c>
      <c r="IY37" s="208"/>
    </row>
    <row r="38" spans="1:259" outlineLevel="1">
      <c r="A38" s="11"/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106"/>
      <c r="AJ38" s="106"/>
      <c r="AK38" s="106"/>
      <c r="AL38" s="106"/>
      <c r="AM38" s="106"/>
      <c r="AN38" s="106"/>
      <c r="AO38" s="106"/>
      <c r="AP38" s="106"/>
      <c r="AQ38" s="106"/>
      <c r="AR38" s="106"/>
      <c r="AS38" s="106"/>
      <c r="AT38" s="106"/>
      <c r="AU38" s="106"/>
      <c r="AV38" s="106"/>
      <c r="AW38" s="106"/>
      <c r="AX38" s="106"/>
      <c r="AY38" s="106"/>
      <c r="AZ38" s="106"/>
      <c r="BA38" s="106"/>
      <c r="BB38" s="106"/>
      <c r="BC38" s="106"/>
      <c r="BD38" s="106"/>
      <c r="BE38" s="106"/>
      <c r="BF38" s="106"/>
      <c r="BG38" s="106"/>
      <c r="BH38" s="106"/>
      <c r="BI38" s="106"/>
      <c r="BJ38" s="106"/>
      <c r="BK38" s="106"/>
      <c r="BL38" s="106"/>
      <c r="BM38" s="106"/>
      <c r="BN38" s="106"/>
      <c r="BO38" s="106"/>
      <c r="BP38" s="106"/>
      <c r="BQ38" s="106"/>
      <c r="BR38" s="106"/>
      <c r="BS38" s="106"/>
      <c r="BT38" s="106"/>
      <c r="BU38" s="106"/>
      <c r="BV38" s="106"/>
      <c r="BW38" s="106"/>
      <c r="BX38" s="106"/>
      <c r="BY38" s="106"/>
      <c r="BZ38" s="106"/>
      <c r="CA38" s="106"/>
      <c r="CB38" s="106"/>
      <c r="CC38" s="106"/>
      <c r="CD38" s="106"/>
      <c r="CE38" s="106"/>
      <c r="CF38" s="106"/>
      <c r="CG38" s="106"/>
      <c r="CH38" s="106"/>
      <c r="CI38" s="106"/>
      <c r="CJ38" s="106"/>
      <c r="CK38" s="106"/>
      <c r="CL38" s="106"/>
      <c r="CM38" s="106"/>
      <c r="CN38" s="106"/>
      <c r="CO38" s="106"/>
      <c r="CP38" s="106"/>
      <c r="CQ38" s="106"/>
      <c r="CR38" s="106"/>
      <c r="CS38" s="106"/>
      <c r="CT38" s="106"/>
      <c r="CU38" s="106"/>
      <c r="CV38" s="106"/>
      <c r="CW38" s="106"/>
      <c r="CX38" s="106"/>
      <c r="CY38" s="106"/>
      <c r="CZ38" s="106"/>
      <c r="DA38" s="106"/>
      <c r="DB38" s="106"/>
      <c r="DC38" s="106"/>
      <c r="DD38" s="106"/>
      <c r="DE38" s="106"/>
      <c r="DF38" s="106"/>
      <c r="DG38" s="106"/>
      <c r="DH38" s="106"/>
      <c r="DI38" s="106"/>
      <c r="DJ38" s="106"/>
      <c r="DK38" s="106"/>
      <c r="DL38" s="106"/>
      <c r="DM38" s="106"/>
      <c r="DN38" s="106"/>
      <c r="DO38" s="106"/>
      <c r="DP38" s="106"/>
      <c r="DQ38" s="106"/>
      <c r="DR38" s="106"/>
      <c r="DS38" s="106"/>
      <c r="DT38" s="106"/>
      <c r="DU38" s="106"/>
      <c r="DV38" s="106"/>
      <c r="DW38" s="106"/>
      <c r="DX38" s="106"/>
      <c r="DY38" s="106"/>
      <c r="EA38" s="20" t="str">
        <f>FORMULA!$A$37</f>
        <v>YENMIX 121 (20KG)</v>
      </c>
      <c r="EB38" s="91">
        <f>FORMULA!$C37</f>
        <v>0</v>
      </c>
      <c r="EC38" s="92">
        <f>FORMULA!$E37</f>
        <v>0</v>
      </c>
      <c r="ED38" s="92">
        <f>FORMULA!$G37</f>
        <v>0</v>
      </c>
      <c r="EE38" s="92">
        <f>FORMULA!$I37</f>
        <v>0</v>
      </c>
      <c r="EF38" s="92">
        <f>FORMULA!$K37</f>
        <v>0</v>
      </c>
      <c r="EG38" s="92">
        <f>FORMULA!$M37</f>
        <v>0</v>
      </c>
      <c r="EH38" s="92">
        <f>FORMULA!$O37</f>
        <v>0</v>
      </c>
      <c r="EI38" s="92">
        <f>FORMULA!$Q37</f>
        <v>0</v>
      </c>
      <c r="EJ38" s="92">
        <f>FORMULA!$S37</f>
        <v>0</v>
      </c>
      <c r="EK38" s="92">
        <f>FORMULA!$U37</f>
        <v>0</v>
      </c>
      <c r="EL38" s="92">
        <f>FORMULA!$W37</f>
        <v>0</v>
      </c>
      <c r="EM38" s="92">
        <f>FORMULA!$Y37</f>
        <v>0</v>
      </c>
      <c r="EN38" s="92">
        <f>FORMULA!$AA37</f>
        <v>0</v>
      </c>
      <c r="EO38" s="92">
        <f>FORMULA!$AC37</f>
        <v>0</v>
      </c>
      <c r="EP38" s="92">
        <f>FORMULA!$AE37</f>
        <v>0</v>
      </c>
      <c r="EQ38" s="108"/>
      <c r="ER38" s="91">
        <f>FORMULA!$C125</f>
        <v>0</v>
      </c>
      <c r="ES38" s="92">
        <f>FORMULA!$E125</f>
        <v>0</v>
      </c>
      <c r="ET38" s="92">
        <f>FORMULA!$G125</f>
        <v>0</v>
      </c>
      <c r="EU38" s="92">
        <f>FORMULA!$I125</f>
        <v>0</v>
      </c>
      <c r="EV38" s="92">
        <f>FORMULA!$K125</f>
        <v>0</v>
      </c>
      <c r="EW38" s="92">
        <f>FORMULA!$M125</f>
        <v>0</v>
      </c>
      <c r="EX38" s="92">
        <f>FORMULA!$O125</f>
        <v>0</v>
      </c>
      <c r="EY38" s="92">
        <f>FORMULA!$Q125</f>
        <v>0</v>
      </c>
      <c r="EZ38" s="92">
        <f>FORMULA!$S125</f>
        <v>0</v>
      </c>
      <c r="FA38" s="92">
        <f>FORMULA!$U125</f>
        <v>0</v>
      </c>
      <c r="FB38" s="92">
        <f>FORMULA!$W125</f>
        <v>0</v>
      </c>
      <c r="FC38" s="92">
        <f>FORMULA!$Y125</f>
        <v>0</v>
      </c>
      <c r="FD38" s="92">
        <f>FORMULA!$AA125</f>
        <v>0</v>
      </c>
      <c r="FE38" s="92">
        <f>FORMULA!$AC125</f>
        <v>0</v>
      </c>
      <c r="FF38" s="92">
        <f>FORMULA!$AE125</f>
        <v>0</v>
      </c>
      <c r="FG38" s="94"/>
      <c r="FH38" s="91">
        <f>FORMULA!$C213</f>
        <v>0</v>
      </c>
      <c r="FI38" s="92">
        <f>FORMULA!$E213</f>
        <v>0</v>
      </c>
      <c r="FJ38" s="92">
        <f>FORMULA!$G213</f>
        <v>0</v>
      </c>
      <c r="FK38" s="92">
        <f>FORMULA!$I213</f>
        <v>0</v>
      </c>
      <c r="FL38" s="92">
        <f>FORMULA!$K213</f>
        <v>0</v>
      </c>
      <c r="FM38" s="92">
        <f>FORMULA!$M213</f>
        <v>0</v>
      </c>
      <c r="FN38" s="92">
        <f>FORMULA!$O213</f>
        <v>0</v>
      </c>
      <c r="FO38" s="92">
        <f>FORMULA!$Q213</f>
        <v>0</v>
      </c>
      <c r="FP38" s="92">
        <f>FORMULA!$S213</f>
        <v>0</v>
      </c>
      <c r="FQ38" s="92">
        <f>FORMULA!$U213</f>
        <v>0</v>
      </c>
      <c r="FR38" s="92">
        <f>FORMULA!$W213</f>
        <v>0</v>
      </c>
      <c r="FS38" s="92">
        <f>FORMULA!$Y213</f>
        <v>0</v>
      </c>
      <c r="FT38" s="92">
        <f>FORMULA!$AA213</f>
        <v>0</v>
      </c>
      <c r="FU38" s="92">
        <f>FORMULA!$AC213</f>
        <v>0</v>
      </c>
      <c r="FV38" s="92">
        <f>FORMULA!$AE213</f>
        <v>0</v>
      </c>
      <c r="FW38" s="94"/>
      <c r="FX38" s="91">
        <f>FORMULA!$C301</f>
        <v>0</v>
      </c>
      <c r="FY38" s="92">
        <f>FORMULA!$E301</f>
        <v>0</v>
      </c>
      <c r="FZ38" s="92">
        <f>FORMULA!$G301</f>
        <v>0</v>
      </c>
      <c r="GA38" s="92">
        <f>FORMULA!$I301</f>
        <v>0</v>
      </c>
      <c r="GB38" s="92">
        <f>FORMULA!$K301</f>
        <v>0</v>
      </c>
      <c r="GC38" s="92">
        <f>FORMULA!$M301</f>
        <v>0</v>
      </c>
      <c r="GD38" s="92">
        <f>FORMULA!$O301</f>
        <v>0</v>
      </c>
      <c r="GE38" s="92">
        <f>FORMULA!$Q301</f>
        <v>0</v>
      </c>
      <c r="GF38" s="92">
        <f>FORMULA!$S301</f>
        <v>0</v>
      </c>
      <c r="GG38" s="92">
        <f>FORMULA!$U301</f>
        <v>0</v>
      </c>
      <c r="GH38" s="92">
        <f>FORMULA!$W301</f>
        <v>0</v>
      </c>
      <c r="GI38" s="92">
        <f>FORMULA!$Y301</f>
        <v>0</v>
      </c>
      <c r="GJ38" s="92">
        <f>FORMULA!$AA301</f>
        <v>0</v>
      </c>
      <c r="GK38" s="92">
        <f>FORMULA!$AC301</f>
        <v>0</v>
      </c>
      <c r="GL38" s="92">
        <f>FORMULA!$AE301</f>
        <v>0</v>
      </c>
      <c r="GM38" s="207"/>
      <c r="GN38" s="91">
        <f>FORMULA!$C389</f>
        <v>0</v>
      </c>
      <c r="GO38" s="92">
        <f>FORMULA!$E389</f>
        <v>0</v>
      </c>
      <c r="GP38" s="92">
        <f>FORMULA!$G389</f>
        <v>0</v>
      </c>
      <c r="GQ38" s="92">
        <f>FORMULA!$I389</f>
        <v>0</v>
      </c>
      <c r="GR38" s="92">
        <f>FORMULA!$K389</f>
        <v>0</v>
      </c>
      <c r="GS38" s="92">
        <f>FORMULA!$M389</f>
        <v>0</v>
      </c>
      <c r="GT38" s="92">
        <f>FORMULA!$O389</f>
        <v>0</v>
      </c>
      <c r="GU38" s="92">
        <f>FORMULA!$Q389</f>
        <v>0</v>
      </c>
      <c r="GV38" s="92">
        <f>FORMULA!$S389</f>
        <v>0</v>
      </c>
      <c r="GW38" s="92">
        <f>FORMULA!$U389</f>
        <v>0</v>
      </c>
      <c r="GX38" s="92">
        <f>FORMULA!$W389</f>
        <v>0</v>
      </c>
      <c r="GY38" s="92">
        <f>FORMULA!$Y389</f>
        <v>0</v>
      </c>
      <c r="GZ38" s="92">
        <f>FORMULA!$AA389</f>
        <v>0</v>
      </c>
      <c r="HA38" s="92">
        <f>FORMULA!$AC389</f>
        <v>0</v>
      </c>
      <c r="HB38" s="92">
        <f>FORMULA!$AE389</f>
        <v>0</v>
      </c>
      <c r="HC38" s="207"/>
      <c r="HD38" s="91">
        <f>FORMULA!$C477</f>
        <v>20</v>
      </c>
      <c r="HE38" s="92">
        <f>FORMULA!$E477</f>
        <v>20</v>
      </c>
      <c r="HF38" s="92">
        <f>FORMULA!$G477</f>
        <v>20</v>
      </c>
      <c r="HG38" s="92">
        <f>FORMULA!$I477</f>
        <v>0</v>
      </c>
      <c r="HH38" s="92">
        <f>FORMULA!$K477</f>
        <v>0</v>
      </c>
      <c r="HI38" s="92">
        <f>FORMULA!$M477</f>
        <v>0</v>
      </c>
      <c r="HJ38" s="92">
        <f>FORMULA!$O477</f>
        <v>0</v>
      </c>
      <c r="HK38" s="92">
        <f>FORMULA!$Q477</f>
        <v>0</v>
      </c>
      <c r="HL38" s="92">
        <f>FORMULA!$S477</f>
        <v>0</v>
      </c>
      <c r="HM38" s="92">
        <f>FORMULA!$U477</f>
        <v>0</v>
      </c>
      <c r="HN38" s="92">
        <f>FORMULA!$W477</f>
        <v>0</v>
      </c>
      <c r="HO38" s="92">
        <f>FORMULA!$Y477</f>
        <v>0</v>
      </c>
      <c r="HP38" s="92">
        <f>FORMULA!$AA477</f>
        <v>0</v>
      </c>
      <c r="HQ38" s="92">
        <f>FORMULA!$AC477</f>
        <v>0</v>
      </c>
      <c r="HR38" s="92">
        <f>FORMULA!$AE477</f>
        <v>0</v>
      </c>
      <c r="HS38" s="207"/>
      <c r="HT38" s="91">
        <f>FORMULA!$C565</f>
        <v>0</v>
      </c>
      <c r="HU38" s="92">
        <f>FORMULA!$E565</f>
        <v>0</v>
      </c>
      <c r="HV38" s="92">
        <f>FORMULA!$G565</f>
        <v>0</v>
      </c>
      <c r="HW38" s="92">
        <f>FORMULA!$I565</f>
        <v>0</v>
      </c>
      <c r="HX38" s="92">
        <f>FORMULA!$K565</f>
        <v>0</v>
      </c>
      <c r="HY38" s="92">
        <f>FORMULA!$M565</f>
        <v>0</v>
      </c>
      <c r="HZ38" s="92">
        <f>FORMULA!$O565</f>
        <v>0</v>
      </c>
      <c r="IA38" s="92">
        <f>FORMULA!$Q565</f>
        <v>0</v>
      </c>
      <c r="IB38" s="92">
        <f>FORMULA!$S565</f>
        <v>0</v>
      </c>
      <c r="IC38" s="92">
        <f>FORMULA!$U565</f>
        <v>0</v>
      </c>
      <c r="ID38" s="92">
        <f>FORMULA!$W565</f>
        <v>0</v>
      </c>
      <c r="IE38" s="92">
        <f>FORMULA!$Y565</f>
        <v>0</v>
      </c>
      <c r="IF38" s="92">
        <f>FORMULA!$AA565</f>
        <v>0</v>
      </c>
      <c r="IG38" s="92">
        <f>FORMULA!$AC565</f>
        <v>0</v>
      </c>
      <c r="IH38" s="92">
        <f>FORMULA!$AE565</f>
        <v>0</v>
      </c>
      <c r="II38" s="207"/>
      <c r="IJ38" s="91">
        <f>FORMULA!$C653</f>
        <v>0</v>
      </c>
      <c r="IK38" s="92">
        <f>FORMULA!$E653</f>
        <v>0</v>
      </c>
      <c r="IL38" s="92">
        <f>FORMULA!$G653</f>
        <v>0</v>
      </c>
      <c r="IM38" s="92">
        <f>FORMULA!$I653</f>
        <v>0</v>
      </c>
      <c r="IN38" s="92">
        <f>FORMULA!$K653</f>
        <v>0</v>
      </c>
      <c r="IO38" s="92">
        <f>FORMULA!$M653</f>
        <v>0</v>
      </c>
      <c r="IP38" s="92">
        <f>FORMULA!$O653</f>
        <v>0</v>
      </c>
      <c r="IQ38" s="92">
        <f>FORMULA!$Q653</f>
        <v>0</v>
      </c>
      <c r="IR38" s="92">
        <f>FORMULA!$S653</f>
        <v>0</v>
      </c>
      <c r="IS38" s="92">
        <f>FORMULA!$U653</f>
        <v>0</v>
      </c>
      <c r="IT38" s="92">
        <f>FORMULA!$W653</f>
        <v>0</v>
      </c>
      <c r="IU38" s="92">
        <f>FORMULA!$Y653</f>
        <v>0</v>
      </c>
      <c r="IV38" s="92">
        <f>FORMULA!$AA653</f>
        <v>0</v>
      </c>
      <c r="IW38" s="92">
        <f>FORMULA!$AC653</f>
        <v>0</v>
      </c>
      <c r="IX38" s="92">
        <f>FORMULA!$AE653</f>
        <v>0</v>
      </c>
      <c r="IY38" s="208"/>
    </row>
    <row r="39" spans="1:259" outlineLevel="1">
      <c r="A39" s="11"/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6"/>
      <c r="AM39" s="106"/>
      <c r="AN39" s="106"/>
      <c r="AO39" s="106"/>
      <c r="AP39" s="106"/>
      <c r="AQ39" s="106"/>
      <c r="AR39" s="106"/>
      <c r="AS39" s="106"/>
      <c r="AT39" s="106"/>
      <c r="AU39" s="106"/>
      <c r="AV39" s="106"/>
      <c r="AW39" s="106"/>
      <c r="AX39" s="106"/>
      <c r="AY39" s="106"/>
      <c r="AZ39" s="106"/>
      <c r="BA39" s="106"/>
      <c r="BB39" s="106"/>
      <c r="BC39" s="106"/>
      <c r="BD39" s="106"/>
      <c r="BE39" s="106"/>
      <c r="BF39" s="106"/>
      <c r="BG39" s="106"/>
      <c r="BH39" s="106"/>
      <c r="BI39" s="106"/>
      <c r="BJ39" s="106"/>
      <c r="BK39" s="106"/>
      <c r="BL39" s="106"/>
      <c r="BM39" s="106"/>
      <c r="BN39" s="106"/>
      <c r="BO39" s="106"/>
      <c r="BP39" s="106"/>
      <c r="BQ39" s="106"/>
      <c r="BR39" s="106"/>
      <c r="BS39" s="106"/>
      <c r="BT39" s="106"/>
      <c r="BU39" s="106"/>
      <c r="BV39" s="106"/>
      <c r="BW39" s="106"/>
      <c r="BX39" s="106"/>
      <c r="BY39" s="106"/>
      <c r="BZ39" s="106"/>
      <c r="CA39" s="106"/>
      <c r="CB39" s="106"/>
      <c r="CC39" s="106"/>
      <c r="CD39" s="106"/>
      <c r="CE39" s="106"/>
      <c r="CF39" s="106"/>
      <c r="CG39" s="106"/>
      <c r="CH39" s="106"/>
      <c r="CI39" s="106"/>
      <c r="CJ39" s="106"/>
      <c r="CK39" s="106"/>
      <c r="CL39" s="106"/>
      <c r="CM39" s="106"/>
      <c r="CN39" s="106"/>
      <c r="CO39" s="106"/>
      <c r="CP39" s="106"/>
      <c r="CQ39" s="106"/>
      <c r="CR39" s="106"/>
      <c r="CS39" s="106"/>
      <c r="CT39" s="106"/>
      <c r="CU39" s="106"/>
      <c r="CV39" s="106"/>
      <c r="CW39" s="106"/>
      <c r="CX39" s="106"/>
      <c r="CY39" s="106"/>
      <c r="CZ39" s="106"/>
      <c r="DA39" s="106"/>
      <c r="DB39" s="106"/>
      <c r="DC39" s="106"/>
      <c r="DD39" s="106"/>
      <c r="DE39" s="106"/>
      <c r="DF39" s="106"/>
      <c r="DG39" s="106"/>
      <c r="DH39" s="106"/>
      <c r="DI39" s="106"/>
      <c r="DJ39" s="106"/>
      <c r="DK39" s="106"/>
      <c r="DL39" s="106"/>
      <c r="DM39" s="106"/>
      <c r="DN39" s="106"/>
      <c r="DO39" s="106"/>
      <c r="DP39" s="106"/>
      <c r="DQ39" s="106"/>
      <c r="DR39" s="106"/>
      <c r="DS39" s="106"/>
      <c r="DT39" s="106"/>
      <c r="DU39" s="106"/>
      <c r="DV39" s="106"/>
      <c r="DW39" s="106"/>
      <c r="DX39" s="106"/>
      <c r="DY39" s="106"/>
      <c r="EA39" s="20" t="str">
        <f>FORMULA!$A$38</f>
        <v>YENMIX 122 (19.50KG)</v>
      </c>
      <c r="EB39" s="91">
        <f>FORMULA!$C38</f>
        <v>0</v>
      </c>
      <c r="EC39" s="92">
        <f>FORMULA!$E38</f>
        <v>0</v>
      </c>
      <c r="ED39" s="92">
        <f>FORMULA!$G38</f>
        <v>0</v>
      </c>
      <c r="EE39" s="92">
        <f>FORMULA!$I38</f>
        <v>0</v>
      </c>
      <c r="EF39" s="92">
        <f>FORMULA!$K38</f>
        <v>0</v>
      </c>
      <c r="EG39" s="92">
        <f>FORMULA!$M38</f>
        <v>0</v>
      </c>
      <c r="EH39" s="92">
        <f>FORMULA!$O38</f>
        <v>0</v>
      </c>
      <c r="EI39" s="92">
        <f>FORMULA!$Q38</f>
        <v>0</v>
      </c>
      <c r="EJ39" s="92">
        <f>FORMULA!$S38</f>
        <v>0</v>
      </c>
      <c r="EK39" s="92">
        <f>FORMULA!$U38</f>
        <v>0</v>
      </c>
      <c r="EL39" s="92">
        <f>FORMULA!$W38</f>
        <v>0</v>
      </c>
      <c r="EM39" s="92">
        <f>FORMULA!$Y38</f>
        <v>0</v>
      </c>
      <c r="EN39" s="92">
        <f>FORMULA!$AA38</f>
        <v>0</v>
      </c>
      <c r="EO39" s="92">
        <f>FORMULA!$AC38</f>
        <v>0</v>
      </c>
      <c r="EP39" s="92">
        <f>FORMULA!$AE38</f>
        <v>0</v>
      </c>
      <c r="EQ39" s="108"/>
      <c r="ER39" s="91">
        <f>FORMULA!$C126</f>
        <v>0</v>
      </c>
      <c r="ES39" s="92">
        <f>FORMULA!$E126</f>
        <v>0</v>
      </c>
      <c r="ET39" s="92">
        <f>FORMULA!$G126</f>
        <v>0</v>
      </c>
      <c r="EU39" s="92">
        <f>FORMULA!$I126</f>
        <v>0</v>
      </c>
      <c r="EV39" s="92">
        <f>FORMULA!$K126</f>
        <v>0</v>
      </c>
      <c r="EW39" s="92">
        <f>FORMULA!$M126</f>
        <v>0</v>
      </c>
      <c r="EX39" s="92">
        <f>FORMULA!$O126</f>
        <v>0</v>
      </c>
      <c r="EY39" s="92">
        <f>FORMULA!$Q126</f>
        <v>0</v>
      </c>
      <c r="EZ39" s="92">
        <f>FORMULA!$S126</f>
        <v>0</v>
      </c>
      <c r="FA39" s="92">
        <f>FORMULA!$U126</f>
        <v>0</v>
      </c>
      <c r="FB39" s="92">
        <f>FORMULA!$W126</f>
        <v>0</v>
      </c>
      <c r="FC39" s="92">
        <f>FORMULA!$Y126</f>
        <v>0</v>
      </c>
      <c r="FD39" s="92">
        <f>FORMULA!$AA126</f>
        <v>0</v>
      </c>
      <c r="FE39" s="92">
        <f>FORMULA!$AC126</f>
        <v>0</v>
      </c>
      <c r="FF39" s="92">
        <f>FORMULA!$AE126</f>
        <v>0</v>
      </c>
      <c r="FG39" s="94"/>
      <c r="FH39" s="91">
        <f>FORMULA!$C214</f>
        <v>0</v>
      </c>
      <c r="FI39" s="92">
        <f>FORMULA!$E214</f>
        <v>0</v>
      </c>
      <c r="FJ39" s="92">
        <f>FORMULA!$G214</f>
        <v>0</v>
      </c>
      <c r="FK39" s="92">
        <f>FORMULA!$I214</f>
        <v>0</v>
      </c>
      <c r="FL39" s="92">
        <f>FORMULA!$K214</f>
        <v>0</v>
      </c>
      <c r="FM39" s="92">
        <f>FORMULA!$M214</f>
        <v>0</v>
      </c>
      <c r="FN39" s="92">
        <f>FORMULA!$O214</f>
        <v>0</v>
      </c>
      <c r="FO39" s="92">
        <f>FORMULA!$Q214</f>
        <v>0</v>
      </c>
      <c r="FP39" s="92">
        <f>FORMULA!$S214</f>
        <v>0</v>
      </c>
      <c r="FQ39" s="92">
        <f>FORMULA!$U214</f>
        <v>0</v>
      </c>
      <c r="FR39" s="92">
        <f>FORMULA!$W214</f>
        <v>0</v>
      </c>
      <c r="FS39" s="92">
        <f>FORMULA!$Y214</f>
        <v>0</v>
      </c>
      <c r="FT39" s="92">
        <f>FORMULA!$AA214</f>
        <v>0</v>
      </c>
      <c r="FU39" s="92">
        <f>FORMULA!$AC214</f>
        <v>0</v>
      </c>
      <c r="FV39" s="92">
        <f>FORMULA!$AE214</f>
        <v>0</v>
      </c>
      <c r="FW39" s="94"/>
      <c r="FX39" s="91">
        <f>FORMULA!$C302</f>
        <v>0</v>
      </c>
      <c r="FY39" s="92">
        <f>FORMULA!$E302</f>
        <v>0</v>
      </c>
      <c r="FZ39" s="92">
        <f>FORMULA!$G302</f>
        <v>0</v>
      </c>
      <c r="GA39" s="92">
        <f>FORMULA!$I302</f>
        <v>0</v>
      </c>
      <c r="GB39" s="92">
        <f>FORMULA!$K302</f>
        <v>0</v>
      </c>
      <c r="GC39" s="92">
        <f>FORMULA!$M302</f>
        <v>0</v>
      </c>
      <c r="GD39" s="92">
        <f>FORMULA!$O302</f>
        <v>0</v>
      </c>
      <c r="GE39" s="92">
        <f>FORMULA!$Q302</f>
        <v>0</v>
      </c>
      <c r="GF39" s="92">
        <f>FORMULA!$S302</f>
        <v>0</v>
      </c>
      <c r="GG39" s="92">
        <f>FORMULA!$U302</f>
        <v>0</v>
      </c>
      <c r="GH39" s="92">
        <f>FORMULA!$W302</f>
        <v>0</v>
      </c>
      <c r="GI39" s="92">
        <f>FORMULA!$Y302</f>
        <v>0</v>
      </c>
      <c r="GJ39" s="92">
        <f>FORMULA!$AA302</f>
        <v>0</v>
      </c>
      <c r="GK39" s="92">
        <f>FORMULA!$AC302</f>
        <v>0</v>
      </c>
      <c r="GL39" s="92">
        <f>FORMULA!$AE302</f>
        <v>0</v>
      </c>
      <c r="GM39" s="207"/>
      <c r="GN39" s="91">
        <f>FORMULA!$C390</f>
        <v>0</v>
      </c>
      <c r="GO39" s="92">
        <f>FORMULA!$E390</f>
        <v>0</v>
      </c>
      <c r="GP39" s="92">
        <f>FORMULA!$G390</f>
        <v>0</v>
      </c>
      <c r="GQ39" s="92">
        <f>FORMULA!$I390</f>
        <v>0</v>
      </c>
      <c r="GR39" s="92">
        <f>FORMULA!$K390</f>
        <v>0</v>
      </c>
      <c r="GS39" s="92">
        <f>FORMULA!$M390</f>
        <v>0</v>
      </c>
      <c r="GT39" s="92">
        <f>FORMULA!$O390</f>
        <v>0</v>
      </c>
      <c r="GU39" s="92">
        <f>FORMULA!$Q390</f>
        <v>0</v>
      </c>
      <c r="GV39" s="92">
        <f>FORMULA!$S390</f>
        <v>0</v>
      </c>
      <c r="GW39" s="92">
        <f>FORMULA!$U390</f>
        <v>0</v>
      </c>
      <c r="GX39" s="92">
        <f>FORMULA!$W390</f>
        <v>0</v>
      </c>
      <c r="GY39" s="92">
        <f>FORMULA!$Y390</f>
        <v>0</v>
      </c>
      <c r="GZ39" s="92">
        <f>FORMULA!$AA390</f>
        <v>0</v>
      </c>
      <c r="HA39" s="92">
        <f>FORMULA!$AC390</f>
        <v>0</v>
      </c>
      <c r="HB39" s="92">
        <f>FORMULA!$AE390</f>
        <v>0</v>
      </c>
      <c r="HC39" s="207"/>
      <c r="HD39" s="91">
        <f>FORMULA!$C478</f>
        <v>0</v>
      </c>
      <c r="HE39" s="92">
        <f>FORMULA!$E478</f>
        <v>0</v>
      </c>
      <c r="HF39" s="92">
        <f>FORMULA!$G478</f>
        <v>0</v>
      </c>
      <c r="HG39" s="92">
        <f>FORMULA!$I478</f>
        <v>0</v>
      </c>
      <c r="HH39" s="92">
        <f>FORMULA!$K478</f>
        <v>0</v>
      </c>
      <c r="HI39" s="92">
        <f>FORMULA!$M478</f>
        <v>0</v>
      </c>
      <c r="HJ39" s="92">
        <f>FORMULA!$O478</f>
        <v>0</v>
      </c>
      <c r="HK39" s="92">
        <f>FORMULA!$Q478</f>
        <v>0</v>
      </c>
      <c r="HL39" s="92">
        <f>FORMULA!$S478</f>
        <v>0</v>
      </c>
      <c r="HM39" s="92">
        <f>FORMULA!$U478</f>
        <v>0</v>
      </c>
      <c r="HN39" s="92">
        <f>FORMULA!$W478</f>
        <v>0</v>
      </c>
      <c r="HO39" s="92">
        <f>FORMULA!$Y478</f>
        <v>0</v>
      </c>
      <c r="HP39" s="92">
        <f>FORMULA!$AA478</f>
        <v>0</v>
      </c>
      <c r="HQ39" s="92">
        <f>FORMULA!$AC478</f>
        <v>0</v>
      </c>
      <c r="HR39" s="92">
        <f>FORMULA!$AE478</f>
        <v>0</v>
      </c>
      <c r="HS39" s="207"/>
      <c r="HT39" s="91">
        <f>FORMULA!$C566</f>
        <v>19.5</v>
      </c>
      <c r="HU39" s="92">
        <f>FORMULA!$E566</f>
        <v>19.5</v>
      </c>
      <c r="HV39" s="92">
        <f>FORMULA!$G566</f>
        <v>0</v>
      </c>
      <c r="HW39" s="92">
        <f>FORMULA!$I566</f>
        <v>0</v>
      </c>
      <c r="HX39" s="92">
        <f>FORMULA!$K566</f>
        <v>0</v>
      </c>
      <c r="HY39" s="92">
        <f>FORMULA!$M566</f>
        <v>0</v>
      </c>
      <c r="HZ39" s="92">
        <f>FORMULA!$O566</f>
        <v>0</v>
      </c>
      <c r="IA39" s="92">
        <f>FORMULA!$Q566</f>
        <v>0</v>
      </c>
      <c r="IB39" s="92">
        <f>FORMULA!$S566</f>
        <v>0</v>
      </c>
      <c r="IC39" s="92">
        <f>FORMULA!$U566</f>
        <v>0</v>
      </c>
      <c r="ID39" s="92">
        <f>FORMULA!$W566</f>
        <v>0</v>
      </c>
      <c r="IE39" s="92">
        <f>FORMULA!$Y566</f>
        <v>0</v>
      </c>
      <c r="IF39" s="92">
        <f>FORMULA!$AA566</f>
        <v>0</v>
      </c>
      <c r="IG39" s="92">
        <f>FORMULA!$AC566</f>
        <v>0</v>
      </c>
      <c r="IH39" s="92">
        <f>FORMULA!$AE566</f>
        <v>0</v>
      </c>
      <c r="II39" s="207"/>
      <c r="IJ39" s="91">
        <f>FORMULA!$C654</f>
        <v>0</v>
      </c>
      <c r="IK39" s="92">
        <f>FORMULA!$E654</f>
        <v>0</v>
      </c>
      <c r="IL39" s="92">
        <f>FORMULA!$G654</f>
        <v>0</v>
      </c>
      <c r="IM39" s="92">
        <f>FORMULA!$I654</f>
        <v>0</v>
      </c>
      <c r="IN39" s="92">
        <f>FORMULA!$K654</f>
        <v>0</v>
      </c>
      <c r="IO39" s="92">
        <f>FORMULA!$M654</f>
        <v>0</v>
      </c>
      <c r="IP39" s="92">
        <f>FORMULA!$O654</f>
        <v>0</v>
      </c>
      <c r="IQ39" s="92">
        <f>FORMULA!$Q654</f>
        <v>0</v>
      </c>
      <c r="IR39" s="92">
        <f>FORMULA!$S654</f>
        <v>0</v>
      </c>
      <c r="IS39" s="92">
        <f>FORMULA!$U654</f>
        <v>0</v>
      </c>
      <c r="IT39" s="92">
        <f>FORMULA!$W654</f>
        <v>0</v>
      </c>
      <c r="IU39" s="92">
        <f>FORMULA!$Y654</f>
        <v>0</v>
      </c>
      <c r="IV39" s="92">
        <f>FORMULA!$AA654</f>
        <v>0</v>
      </c>
      <c r="IW39" s="92">
        <f>FORMULA!$AC654</f>
        <v>0</v>
      </c>
      <c r="IX39" s="92">
        <f>FORMULA!$AE654</f>
        <v>0</v>
      </c>
      <c r="IY39" s="208"/>
    </row>
    <row r="40" spans="1:259" outlineLevel="1">
      <c r="A40" s="11"/>
      <c r="B40" s="106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106"/>
      <c r="AM40" s="106"/>
      <c r="AN40" s="106"/>
      <c r="AO40" s="106"/>
      <c r="AP40" s="106"/>
      <c r="AQ40" s="106"/>
      <c r="AR40" s="106"/>
      <c r="AS40" s="106"/>
      <c r="AT40" s="106"/>
      <c r="AU40" s="106"/>
      <c r="AV40" s="106"/>
      <c r="AW40" s="106"/>
      <c r="AX40" s="106"/>
      <c r="AY40" s="106"/>
      <c r="AZ40" s="106"/>
      <c r="BA40" s="106"/>
      <c r="BB40" s="106"/>
      <c r="BC40" s="106"/>
      <c r="BD40" s="106"/>
      <c r="BE40" s="106"/>
      <c r="BF40" s="106"/>
      <c r="BG40" s="106"/>
      <c r="BH40" s="106"/>
      <c r="BI40" s="106"/>
      <c r="BJ40" s="106"/>
      <c r="BK40" s="106"/>
      <c r="BL40" s="106"/>
      <c r="BM40" s="106"/>
      <c r="BN40" s="106"/>
      <c r="BO40" s="106"/>
      <c r="BP40" s="106"/>
      <c r="BQ40" s="106"/>
      <c r="BR40" s="106"/>
      <c r="BS40" s="106"/>
      <c r="BT40" s="106"/>
      <c r="BU40" s="106"/>
      <c r="BV40" s="106"/>
      <c r="BW40" s="106"/>
      <c r="BX40" s="106"/>
      <c r="BY40" s="106"/>
      <c r="BZ40" s="106"/>
      <c r="CA40" s="106"/>
      <c r="CB40" s="106"/>
      <c r="CC40" s="106"/>
      <c r="CD40" s="106"/>
      <c r="CE40" s="106"/>
      <c r="CF40" s="106"/>
      <c r="CG40" s="106"/>
      <c r="CH40" s="106"/>
      <c r="CI40" s="106"/>
      <c r="CJ40" s="106"/>
      <c r="CK40" s="106"/>
      <c r="CL40" s="106"/>
      <c r="CM40" s="106"/>
      <c r="CN40" s="106"/>
      <c r="CO40" s="106"/>
      <c r="CP40" s="106"/>
      <c r="CQ40" s="106"/>
      <c r="CR40" s="106"/>
      <c r="CS40" s="106"/>
      <c r="CT40" s="106"/>
      <c r="CU40" s="106"/>
      <c r="CV40" s="106"/>
      <c r="CW40" s="106"/>
      <c r="CX40" s="106"/>
      <c r="CY40" s="106"/>
      <c r="CZ40" s="106"/>
      <c r="DA40" s="106"/>
      <c r="DB40" s="106"/>
      <c r="DC40" s="106"/>
      <c r="DD40" s="106"/>
      <c r="DE40" s="106"/>
      <c r="DF40" s="106"/>
      <c r="DG40" s="106"/>
      <c r="DH40" s="106"/>
      <c r="DI40" s="106"/>
      <c r="DJ40" s="106"/>
      <c r="DK40" s="106"/>
      <c r="DL40" s="106"/>
      <c r="DM40" s="106"/>
      <c r="DN40" s="106"/>
      <c r="DO40" s="106"/>
      <c r="DP40" s="106"/>
      <c r="DQ40" s="106"/>
      <c r="DR40" s="106"/>
      <c r="DS40" s="106"/>
      <c r="DT40" s="106"/>
      <c r="DU40" s="106"/>
      <c r="DV40" s="106"/>
      <c r="DW40" s="106"/>
      <c r="DX40" s="106"/>
      <c r="DY40" s="106"/>
      <c r="EA40" s="20" t="str">
        <f>FORMULA!$A$39</f>
        <v>YENMIX 123 (18.90KG)</v>
      </c>
      <c r="EB40" s="91">
        <f>FORMULA!$C39</f>
        <v>0</v>
      </c>
      <c r="EC40" s="92">
        <f>FORMULA!$E39</f>
        <v>0</v>
      </c>
      <c r="ED40" s="92">
        <f>FORMULA!$G39</f>
        <v>0</v>
      </c>
      <c r="EE40" s="92">
        <f>FORMULA!$I39</f>
        <v>0</v>
      </c>
      <c r="EF40" s="92">
        <f>FORMULA!$K39</f>
        <v>0</v>
      </c>
      <c r="EG40" s="92">
        <f>FORMULA!$M39</f>
        <v>0</v>
      </c>
      <c r="EH40" s="92">
        <f>FORMULA!$O39</f>
        <v>0</v>
      </c>
      <c r="EI40" s="92">
        <f>FORMULA!$Q39</f>
        <v>0</v>
      </c>
      <c r="EJ40" s="92">
        <f>FORMULA!$S39</f>
        <v>0</v>
      </c>
      <c r="EK40" s="92">
        <f>FORMULA!$U39</f>
        <v>0</v>
      </c>
      <c r="EL40" s="92">
        <f>FORMULA!$W39</f>
        <v>0</v>
      </c>
      <c r="EM40" s="92">
        <f>FORMULA!$Y39</f>
        <v>0</v>
      </c>
      <c r="EN40" s="92">
        <f>FORMULA!$AA39</f>
        <v>0</v>
      </c>
      <c r="EO40" s="92">
        <f>FORMULA!$AC39</f>
        <v>0</v>
      </c>
      <c r="EP40" s="92">
        <f>FORMULA!$AE39</f>
        <v>0</v>
      </c>
      <c r="EQ40" s="108"/>
      <c r="ER40" s="91">
        <f>FORMULA!$C127</f>
        <v>0</v>
      </c>
      <c r="ES40" s="92">
        <f>FORMULA!$E127</f>
        <v>0</v>
      </c>
      <c r="ET40" s="92">
        <f>FORMULA!$G127</f>
        <v>0</v>
      </c>
      <c r="EU40" s="92">
        <f>FORMULA!$I127</f>
        <v>0</v>
      </c>
      <c r="EV40" s="92">
        <f>FORMULA!$K127</f>
        <v>0</v>
      </c>
      <c r="EW40" s="92">
        <f>FORMULA!$M127</f>
        <v>0</v>
      </c>
      <c r="EX40" s="92">
        <f>FORMULA!$O127</f>
        <v>0</v>
      </c>
      <c r="EY40" s="92">
        <f>FORMULA!$Q127</f>
        <v>0</v>
      </c>
      <c r="EZ40" s="92">
        <f>FORMULA!$S127</f>
        <v>0</v>
      </c>
      <c r="FA40" s="92">
        <f>FORMULA!$U127</f>
        <v>0</v>
      </c>
      <c r="FB40" s="92">
        <f>FORMULA!$W127</f>
        <v>0</v>
      </c>
      <c r="FC40" s="92">
        <f>FORMULA!$Y127</f>
        <v>0</v>
      </c>
      <c r="FD40" s="92">
        <f>FORMULA!$AA127</f>
        <v>0</v>
      </c>
      <c r="FE40" s="92">
        <f>FORMULA!$AC127</f>
        <v>0</v>
      </c>
      <c r="FF40" s="92">
        <f>FORMULA!$AE127</f>
        <v>0</v>
      </c>
      <c r="FG40" s="94"/>
      <c r="FH40" s="91">
        <f>FORMULA!$C215</f>
        <v>0</v>
      </c>
      <c r="FI40" s="92">
        <f>FORMULA!$E215</f>
        <v>0</v>
      </c>
      <c r="FJ40" s="92">
        <f>FORMULA!$G215</f>
        <v>0</v>
      </c>
      <c r="FK40" s="92">
        <f>FORMULA!$I215</f>
        <v>0</v>
      </c>
      <c r="FL40" s="92">
        <f>FORMULA!$K215</f>
        <v>0</v>
      </c>
      <c r="FM40" s="92">
        <f>FORMULA!$M215</f>
        <v>0</v>
      </c>
      <c r="FN40" s="92">
        <f>FORMULA!$O215</f>
        <v>0</v>
      </c>
      <c r="FO40" s="92">
        <f>FORMULA!$Q215</f>
        <v>0</v>
      </c>
      <c r="FP40" s="92">
        <f>FORMULA!$S215</f>
        <v>0</v>
      </c>
      <c r="FQ40" s="92">
        <f>FORMULA!$U215</f>
        <v>0</v>
      </c>
      <c r="FR40" s="92">
        <f>FORMULA!$W215</f>
        <v>0</v>
      </c>
      <c r="FS40" s="92">
        <f>FORMULA!$Y215</f>
        <v>0</v>
      </c>
      <c r="FT40" s="92">
        <f>FORMULA!$AA215</f>
        <v>0</v>
      </c>
      <c r="FU40" s="92">
        <f>FORMULA!$AC215</f>
        <v>0</v>
      </c>
      <c r="FV40" s="92">
        <f>FORMULA!$AE215</f>
        <v>0</v>
      </c>
      <c r="FW40" s="94"/>
      <c r="FX40" s="91">
        <f>FORMULA!$C303</f>
        <v>0</v>
      </c>
      <c r="FY40" s="92">
        <f>FORMULA!$E303</f>
        <v>0</v>
      </c>
      <c r="FZ40" s="92">
        <f>FORMULA!$G303</f>
        <v>0</v>
      </c>
      <c r="GA40" s="92">
        <f>FORMULA!$I303</f>
        <v>0</v>
      </c>
      <c r="GB40" s="92">
        <f>FORMULA!$K303</f>
        <v>0</v>
      </c>
      <c r="GC40" s="92">
        <f>FORMULA!$M303</f>
        <v>0</v>
      </c>
      <c r="GD40" s="92">
        <f>FORMULA!$O303</f>
        <v>0</v>
      </c>
      <c r="GE40" s="92">
        <f>FORMULA!$Q303</f>
        <v>0</v>
      </c>
      <c r="GF40" s="92">
        <f>FORMULA!$S303</f>
        <v>0</v>
      </c>
      <c r="GG40" s="92">
        <f>FORMULA!$U303</f>
        <v>0</v>
      </c>
      <c r="GH40" s="92">
        <f>FORMULA!$W303</f>
        <v>0</v>
      </c>
      <c r="GI40" s="92">
        <f>FORMULA!$Y303</f>
        <v>0</v>
      </c>
      <c r="GJ40" s="92">
        <f>FORMULA!$AA303</f>
        <v>0</v>
      </c>
      <c r="GK40" s="92">
        <f>FORMULA!$AC303</f>
        <v>0</v>
      </c>
      <c r="GL40" s="92">
        <f>FORMULA!$AE303</f>
        <v>0</v>
      </c>
      <c r="GM40" s="207"/>
      <c r="GN40" s="91">
        <f>FORMULA!$C391</f>
        <v>0</v>
      </c>
      <c r="GO40" s="92">
        <f>FORMULA!$E391</f>
        <v>0</v>
      </c>
      <c r="GP40" s="92">
        <f>FORMULA!$G391</f>
        <v>0</v>
      </c>
      <c r="GQ40" s="92">
        <f>FORMULA!$I391</f>
        <v>0</v>
      </c>
      <c r="GR40" s="92">
        <f>FORMULA!$K391</f>
        <v>0</v>
      </c>
      <c r="GS40" s="92">
        <f>FORMULA!$M391</f>
        <v>0</v>
      </c>
      <c r="GT40" s="92">
        <f>FORMULA!$O391</f>
        <v>0</v>
      </c>
      <c r="GU40" s="92">
        <f>FORMULA!$Q391</f>
        <v>0</v>
      </c>
      <c r="GV40" s="92">
        <f>FORMULA!$S391</f>
        <v>0</v>
      </c>
      <c r="GW40" s="92">
        <f>FORMULA!$U391</f>
        <v>0</v>
      </c>
      <c r="GX40" s="92">
        <f>FORMULA!$W391</f>
        <v>0</v>
      </c>
      <c r="GY40" s="92">
        <f>FORMULA!$Y391</f>
        <v>0</v>
      </c>
      <c r="GZ40" s="92">
        <f>FORMULA!$AA391</f>
        <v>0</v>
      </c>
      <c r="HA40" s="92">
        <f>FORMULA!$AC391</f>
        <v>0</v>
      </c>
      <c r="HB40" s="92">
        <f>FORMULA!$AE391</f>
        <v>0</v>
      </c>
      <c r="HC40" s="207"/>
      <c r="HD40" s="91">
        <f>FORMULA!$C479</f>
        <v>0</v>
      </c>
      <c r="HE40" s="92">
        <f>FORMULA!$E479</f>
        <v>0</v>
      </c>
      <c r="HF40" s="92">
        <f>FORMULA!$G479</f>
        <v>0</v>
      </c>
      <c r="HG40" s="92">
        <f>FORMULA!$I479</f>
        <v>0</v>
      </c>
      <c r="HH40" s="92">
        <f>FORMULA!$K479</f>
        <v>0</v>
      </c>
      <c r="HI40" s="92">
        <f>FORMULA!$M479</f>
        <v>0</v>
      </c>
      <c r="HJ40" s="92">
        <f>FORMULA!$O479</f>
        <v>0</v>
      </c>
      <c r="HK40" s="92">
        <f>FORMULA!$Q479</f>
        <v>0</v>
      </c>
      <c r="HL40" s="92">
        <f>FORMULA!$S479</f>
        <v>0</v>
      </c>
      <c r="HM40" s="92">
        <f>FORMULA!$U479</f>
        <v>0</v>
      </c>
      <c r="HN40" s="92">
        <f>FORMULA!$W479</f>
        <v>0</v>
      </c>
      <c r="HO40" s="92">
        <f>FORMULA!$Y479</f>
        <v>0</v>
      </c>
      <c r="HP40" s="92">
        <f>FORMULA!$AA479</f>
        <v>0</v>
      </c>
      <c r="HQ40" s="92">
        <f>FORMULA!$AC479</f>
        <v>0</v>
      </c>
      <c r="HR40" s="92">
        <f>FORMULA!$AE479</f>
        <v>0</v>
      </c>
      <c r="HS40" s="207"/>
      <c r="HT40" s="91">
        <f>FORMULA!$C567</f>
        <v>0</v>
      </c>
      <c r="HU40" s="92">
        <f>FORMULA!$E567</f>
        <v>0</v>
      </c>
      <c r="HV40" s="92">
        <f>FORMULA!$G567</f>
        <v>0</v>
      </c>
      <c r="HW40" s="92">
        <f>FORMULA!$I567</f>
        <v>0</v>
      </c>
      <c r="HX40" s="92">
        <f>FORMULA!$K567</f>
        <v>0</v>
      </c>
      <c r="HY40" s="92">
        <f>FORMULA!$M567</f>
        <v>0</v>
      </c>
      <c r="HZ40" s="92">
        <f>FORMULA!$O567</f>
        <v>0</v>
      </c>
      <c r="IA40" s="92">
        <f>FORMULA!$Q567</f>
        <v>0</v>
      </c>
      <c r="IB40" s="92">
        <f>FORMULA!$S567</f>
        <v>0</v>
      </c>
      <c r="IC40" s="92">
        <f>FORMULA!$U567</f>
        <v>0</v>
      </c>
      <c r="ID40" s="92">
        <f>FORMULA!$W567</f>
        <v>0</v>
      </c>
      <c r="IE40" s="92">
        <f>FORMULA!$Y567</f>
        <v>0</v>
      </c>
      <c r="IF40" s="92">
        <f>FORMULA!$AA567</f>
        <v>0</v>
      </c>
      <c r="IG40" s="92">
        <f>FORMULA!$AC567</f>
        <v>0</v>
      </c>
      <c r="IH40" s="92">
        <f>FORMULA!$AE567</f>
        <v>0</v>
      </c>
      <c r="II40" s="207"/>
      <c r="IJ40" s="91">
        <f>FORMULA!$C655</f>
        <v>18.899999999999999</v>
      </c>
      <c r="IK40" s="92">
        <f>FORMULA!$E655</f>
        <v>18.899999999999999</v>
      </c>
      <c r="IL40" s="92">
        <f>FORMULA!$G655</f>
        <v>18.899999999999999</v>
      </c>
      <c r="IM40" s="92">
        <f>FORMULA!$I655</f>
        <v>0</v>
      </c>
      <c r="IN40" s="92">
        <f>FORMULA!$K655</f>
        <v>0</v>
      </c>
      <c r="IO40" s="92">
        <f>FORMULA!$M655</f>
        <v>0</v>
      </c>
      <c r="IP40" s="92">
        <f>FORMULA!$O655</f>
        <v>0</v>
      </c>
      <c r="IQ40" s="92">
        <f>FORMULA!$Q655</f>
        <v>0</v>
      </c>
      <c r="IR40" s="92">
        <f>FORMULA!$S655</f>
        <v>0</v>
      </c>
      <c r="IS40" s="92">
        <f>FORMULA!$U655</f>
        <v>0</v>
      </c>
      <c r="IT40" s="92">
        <f>FORMULA!$W655</f>
        <v>0</v>
      </c>
      <c r="IU40" s="92">
        <f>FORMULA!$Y655</f>
        <v>0</v>
      </c>
      <c r="IV40" s="92">
        <f>FORMULA!$AA655</f>
        <v>0</v>
      </c>
      <c r="IW40" s="92">
        <f>FORMULA!$AC655</f>
        <v>0</v>
      </c>
      <c r="IX40" s="92">
        <f>FORMULA!$AE655</f>
        <v>0</v>
      </c>
      <c r="IY40" s="208"/>
    </row>
    <row r="41" spans="1:259" outlineLevel="1">
      <c r="A41" s="11"/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  <c r="AB41" s="106"/>
      <c r="AC41" s="106"/>
      <c r="AD41" s="106"/>
      <c r="AE41" s="106"/>
      <c r="AF41" s="106"/>
      <c r="AG41" s="106"/>
      <c r="AH41" s="106"/>
      <c r="AI41" s="106"/>
      <c r="AJ41" s="106"/>
      <c r="AK41" s="106"/>
      <c r="AL41" s="106"/>
      <c r="AM41" s="106"/>
      <c r="AN41" s="106"/>
      <c r="AO41" s="106"/>
      <c r="AP41" s="106"/>
      <c r="AQ41" s="106"/>
      <c r="AR41" s="106"/>
      <c r="AS41" s="106"/>
      <c r="AT41" s="106"/>
      <c r="AU41" s="106"/>
      <c r="AV41" s="106"/>
      <c r="AW41" s="106"/>
      <c r="AX41" s="106"/>
      <c r="AY41" s="106"/>
      <c r="AZ41" s="106"/>
      <c r="BA41" s="106"/>
      <c r="BB41" s="106"/>
      <c r="BC41" s="106"/>
      <c r="BD41" s="106"/>
      <c r="BE41" s="106"/>
      <c r="BF41" s="106"/>
      <c r="BG41" s="106"/>
      <c r="BH41" s="106"/>
      <c r="BI41" s="106"/>
      <c r="BJ41" s="106"/>
      <c r="BK41" s="106"/>
      <c r="BL41" s="106"/>
      <c r="BM41" s="106"/>
      <c r="BN41" s="106"/>
      <c r="BO41" s="106"/>
      <c r="BP41" s="106"/>
      <c r="BQ41" s="106"/>
      <c r="BR41" s="106"/>
      <c r="BS41" s="106"/>
      <c r="BT41" s="106"/>
      <c r="BU41" s="106"/>
      <c r="BV41" s="106"/>
      <c r="BW41" s="106"/>
      <c r="BX41" s="106"/>
      <c r="BY41" s="106"/>
      <c r="BZ41" s="106"/>
      <c r="CA41" s="106"/>
      <c r="CB41" s="106"/>
      <c r="CC41" s="106"/>
      <c r="CD41" s="106"/>
      <c r="CE41" s="106"/>
      <c r="CF41" s="106"/>
      <c r="CG41" s="106"/>
      <c r="CH41" s="106"/>
      <c r="CI41" s="106"/>
      <c r="CJ41" s="106"/>
      <c r="CK41" s="106"/>
      <c r="CL41" s="106"/>
      <c r="CM41" s="106"/>
      <c r="CN41" s="106"/>
      <c r="CO41" s="106"/>
      <c r="CP41" s="106"/>
      <c r="CQ41" s="106"/>
      <c r="CR41" s="106"/>
      <c r="CS41" s="106"/>
      <c r="CT41" s="106"/>
      <c r="CU41" s="106"/>
      <c r="CV41" s="106"/>
      <c r="CW41" s="106"/>
      <c r="CX41" s="106"/>
      <c r="CY41" s="106"/>
      <c r="CZ41" s="106"/>
      <c r="DA41" s="106"/>
      <c r="DB41" s="106"/>
      <c r="DC41" s="106"/>
      <c r="DD41" s="106"/>
      <c r="DE41" s="106"/>
      <c r="DF41" s="106"/>
      <c r="DG41" s="106"/>
      <c r="DH41" s="106"/>
      <c r="DI41" s="106"/>
      <c r="DJ41" s="106"/>
      <c r="DK41" s="106"/>
      <c r="DL41" s="106"/>
      <c r="DM41" s="106"/>
      <c r="DN41" s="106"/>
      <c r="DO41" s="106"/>
      <c r="DP41" s="106"/>
      <c r="DQ41" s="106"/>
      <c r="DR41" s="106"/>
      <c r="DS41" s="106"/>
      <c r="DT41" s="106"/>
      <c r="DU41" s="106"/>
      <c r="DV41" s="106"/>
      <c r="DW41" s="106"/>
      <c r="DX41" s="106"/>
      <c r="DY41" s="106"/>
      <c r="EA41" s="20" t="str">
        <f>FORMULA!$A$40</f>
        <v>YENMIX 122 (20.50KG)</v>
      </c>
      <c r="EB41" s="91">
        <f>FORMULA!$C40</f>
        <v>0</v>
      </c>
      <c r="EC41" s="92">
        <f>FORMULA!$E40</f>
        <v>0</v>
      </c>
      <c r="ED41" s="92">
        <f>FORMULA!$G40</f>
        <v>0</v>
      </c>
      <c r="EE41" s="92">
        <f>FORMULA!$I40</f>
        <v>0</v>
      </c>
      <c r="EF41" s="92">
        <f>FORMULA!$K40</f>
        <v>0</v>
      </c>
      <c r="EG41" s="92">
        <f>FORMULA!$M40</f>
        <v>0</v>
      </c>
      <c r="EH41" s="92">
        <f>FORMULA!$O40</f>
        <v>0</v>
      </c>
      <c r="EI41" s="92">
        <f>FORMULA!$Q40</f>
        <v>0</v>
      </c>
      <c r="EJ41" s="92">
        <f>FORMULA!$S40</f>
        <v>0</v>
      </c>
      <c r="EK41" s="92">
        <f>FORMULA!$U40</f>
        <v>0</v>
      </c>
      <c r="EL41" s="92">
        <f>FORMULA!$W40</f>
        <v>0</v>
      </c>
      <c r="EM41" s="92">
        <f>FORMULA!$Y40</f>
        <v>0</v>
      </c>
      <c r="EN41" s="92">
        <f>FORMULA!$AA40</f>
        <v>0</v>
      </c>
      <c r="EO41" s="92">
        <f>FORMULA!$AC40</f>
        <v>0</v>
      </c>
      <c r="EP41" s="92">
        <f>FORMULA!$AE40</f>
        <v>0</v>
      </c>
      <c r="EQ41" s="108"/>
      <c r="ER41" s="91">
        <f>FORMULA!$C128</f>
        <v>0</v>
      </c>
      <c r="ES41" s="92">
        <f>FORMULA!$E128</f>
        <v>0</v>
      </c>
      <c r="ET41" s="92">
        <f>FORMULA!$G128</f>
        <v>0</v>
      </c>
      <c r="EU41" s="92">
        <f>FORMULA!$I128</f>
        <v>0</v>
      </c>
      <c r="EV41" s="92">
        <f>FORMULA!$K128</f>
        <v>0</v>
      </c>
      <c r="EW41" s="92">
        <f>FORMULA!$M128</f>
        <v>0</v>
      </c>
      <c r="EX41" s="92">
        <f>FORMULA!$O128</f>
        <v>0</v>
      </c>
      <c r="EY41" s="92">
        <f>FORMULA!$Q128</f>
        <v>0</v>
      </c>
      <c r="EZ41" s="92">
        <f>FORMULA!$S128</f>
        <v>0</v>
      </c>
      <c r="FA41" s="92">
        <f>FORMULA!$U128</f>
        <v>0</v>
      </c>
      <c r="FB41" s="92">
        <f>FORMULA!$W128</f>
        <v>0</v>
      </c>
      <c r="FC41" s="92">
        <f>FORMULA!$Y128</f>
        <v>0</v>
      </c>
      <c r="FD41" s="92">
        <f>FORMULA!$AA128</f>
        <v>0</v>
      </c>
      <c r="FE41" s="92">
        <f>FORMULA!$AC128</f>
        <v>0</v>
      </c>
      <c r="FF41" s="92">
        <f>FORMULA!$AE128</f>
        <v>0</v>
      </c>
      <c r="FG41" s="94"/>
      <c r="FH41" s="91">
        <f>FORMULA!$C216</f>
        <v>0</v>
      </c>
      <c r="FI41" s="92">
        <f>FORMULA!$E216</f>
        <v>0</v>
      </c>
      <c r="FJ41" s="92">
        <f>FORMULA!$G216</f>
        <v>0</v>
      </c>
      <c r="FK41" s="92">
        <f>FORMULA!$I216</f>
        <v>0</v>
      </c>
      <c r="FL41" s="92">
        <f>FORMULA!$K216</f>
        <v>0</v>
      </c>
      <c r="FM41" s="92">
        <f>FORMULA!$M216</f>
        <v>0</v>
      </c>
      <c r="FN41" s="92">
        <f>FORMULA!$O216</f>
        <v>0</v>
      </c>
      <c r="FO41" s="92">
        <f>FORMULA!$Q216</f>
        <v>0</v>
      </c>
      <c r="FP41" s="92">
        <f>FORMULA!$S216</f>
        <v>0</v>
      </c>
      <c r="FQ41" s="92">
        <f>FORMULA!$U216</f>
        <v>0</v>
      </c>
      <c r="FR41" s="92">
        <f>FORMULA!$W216</f>
        <v>0</v>
      </c>
      <c r="FS41" s="92">
        <f>FORMULA!$Y216</f>
        <v>0</v>
      </c>
      <c r="FT41" s="92">
        <f>FORMULA!$AA216</f>
        <v>0</v>
      </c>
      <c r="FU41" s="92">
        <f>FORMULA!$AC216</f>
        <v>0</v>
      </c>
      <c r="FV41" s="92">
        <f>FORMULA!$AE216</f>
        <v>0</v>
      </c>
      <c r="FW41" s="94"/>
      <c r="FX41" s="91">
        <f>FORMULA!$C304</f>
        <v>0</v>
      </c>
      <c r="FY41" s="92">
        <f>FORMULA!$E304</f>
        <v>0</v>
      </c>
      <c r="FZ41" s="92">
        <f>FORMULA!$G304</f>
        <v>0</v>
      </c>
      <c r="GA41" s="92">
        <f>FORMULA!$I304</f>
        <v>0</v>
      </c>
      <c r="GB41" s="92">
        <f>FORMULA!$K304</f>
        <v>0</v>
      </c>
      <c r="GC41" s="92">
        <f>FORMULA!$M304</f>
        <v>0</v>
      </c>
      <c r="GD41" s="92">
        <f>FORMULA!$O304</f>
        <v>0</v>
      </c>
      <c r="GE41" s="92">
        <f>FORMULA!$Q304</f>
        <v>0</v>
      </c>
      <c r="GF41" s="92">
        <f>FORMULA!$S304</f>
        <v>0</v>
      </c>
      <c r="GG41" s="92">
        <f>FORMULA!$U304</f>
        <v>0</v>
      </c>
      <c r="GH41" s="92">
        <f>FORMULA!$W304</f>
        <v>0</v>
      </c>
      <c r="GI41" s="92">
        <f>FORMULA!$Y304</f>
        <v>0</v>
      </c>
      <c r="GJ41" s="92">
        <f>FORMULA!$AA304</f>
        <v>0</v>
      </c>
      <c r="GK41" s="92">
        <f>FORMULA!$AC304</f>
        <v>0</v>
      </c>
      <c r="GL41" s="92">
        <f>FORMULA!$AE304</f>
        <v>0</v>
      </c>
      <c r="GM41" s="207"/>
      <c r="GN41" s="91">
        <f>FORMULA!$C392</f>
        <v>0</v>
      </c>
      <c r="GO41" s="92">
        <f>FORMULA!$E392</f>
        <v>0</v>
      </c>
      <c r="GP41" s="92">
        <f>FORMULA!$G392</f>
        <v>0</v>
      </c>
      <c r="GQ41" s="92">
        <f>FORMULA!$I392</f>
        <v>0</v>
      </c>
      <c r="GR41" s="92">
        <f>FORMULA!$K392</f>
        <v>0</v>
      </c>
      <c r="GS41" s="92">
        <f>FORMULA!$M392</f>
        <v>0</v>
      </c>
      <c r="GT41" s="92">
        <f>FORMULA!$O392</f>
        <v>0</v>
      </c>
      <c r="GU41" s="92">
        <f>FORMULA!$Q392</f>
        <v>0</v>
      </c>
      <c r="GV41" s="92">
        <f>FORMULA!$S392</f>
        <v>0</v>
      </c>
      <c r="GW41" s="92">
        <f>FORMULA!$U392</f>
        <v>0</v>
      </c>
      <c r="GX41" s="92">
        <f>FORMULA!$W392</f>
        <v>0</v>
      </c>
      <c r="GY41" s="92">
        <f>FORMULA!$Y392</f>
        <v>0</v>
      </c>
      <c r="GZ41" s="92">
        <f>FORMULA!$AA392</f>
        <v>0</v>
      </c>
      <c r="HA41" s="92">
        <f>FORMULA!$AC392</f>
        <v>0</v>
      </c>
      <c r="HB41" s="92">
        <f>FORMULA!$AE392</f>
        <v>0</v>
      </c>
      <c r="HC41" s="207"/>
      <c r="HD41" s="91">
        <f>FORMULA!$C480</f>
        <v>0</v>
      </c>
      <c r="HE41" s="92">
        <f>FORMULA!$E480</f>
        <v>0</v>
      </c>
      <c r="HF41" s="92">
        <f>FORMULA!$G480</f>
        <v>0</v>
      </c>
      <c r="HG41" s="92">
        <f>FORMULA!$I480</f>
        <v>0</v>
      </c>
      <c r="HH41" s="92">
        <f>FORMULA!$K480</f>
        <v>0</v>
      </c>
      <c r="HI41" s="92">
        <f>FORMULA!$M480</f>
        <v>0</v>
      </c>
      <c r="HJ41" s="92">
        <f>FORMULA!$O480</f>
        <v>0</v>
      </c>
      <c r="HK41" s="92">
        <f>FORMULA!$Q480</f>
        <v>0</v>
      </c>
      <c r="HL41" s="92">
        <f>FORMULA!$S480</f>
        <v>0</v>
      </c>
      <c r="HM41" s="92">
        <f>FORMULA!$U480</f>
        <v>0</v>
      </c>
      <c r="HN41" s="92">
        <f>FORMULA!$W480</f>
        <v>0</v>
      </c>
      <c r="HO41" s="92">
        <f>FORMULA!$Y480</f>
        <v>0</v>
      </c>
      <c r="HP41" s="92">
        <f>FORMULA!$AA480</f>
        <v>0</v>
      </c>
      <c r="HQ41" s="92">
        <f>FORMULA!$AC480</f>
        <v>0</v>
      </c>
      <c r="HR41" s="92">
        <f>FORMULA!$AE480</f>
        <v>0</v>
      </c>
      <c r="HS41" s="207"/>
      <c r="HT41" s="91">
        <f>FORMULA!$C568</f>
        <v>0</v>
      </c>
      <c r="HU41" s="92">
        <f>FORMULA!$E568</f>
        <v>0</v>
      </c>
      <c r="HV41" s="92">
        <f>FORMULA!$G568</f>
        <v>20.499999999999996</v>
      </c>
      <c r="HW41" s="92">
        <f>FORMULA!$I568</f>
        <v>0</v>
      </c>
      <c r="HX41" s="92">
        <f>FORMULA!$K568</f>
        <v>0</v>
      </c>
      <c r="HY41" s="92">
        <f>FORMULA!$M568</f>
        <v>0</v>
      </c>
      <c r="HZ41" s="92">
        <f>FORMULA!$O568</f>
        <v>0</v>
      </c>
      <c r="IA41" s="92">
        <f>FORMULA!$Q568</f>
        <v>0</v>
      </c>
      <c r="IB41" s="92">
        <f>FORMULA!$S568</f>
        <v>0</v>
      </c>
      <c r="IC41" s="92">
        <f>FORMULA!$U568</f>
        <v>0</v>
      </c>
      <c r="ID41" s="92">
        <f>FORMULA!$W568</f>
        <v>0</v>
      </c>
      <c r="IE41" s="92">
        <f>FORMULA!$Y568</f>
        <v>0</v>
      </c>
      <c r="IF41" s="92">
        <f>FORMULA!$AA568</f>
        <v>0</v>
      </c>
      <c r="IG41" s="92">
        <f>FORMULA!$AC568</f>
        <v>0</v>
      </c>
      <c r="IH41" s="92">
        <f>FORMULA!$AE568</f>
        <v>0</v>
      </c>
      <c r="II41" s="207"/>
      <c r="IJ41" s="91">
        <f>FORMULA!$C656</f>
        <v>0</v>
      </c>
      <c r="IK41" s="92">
        <f>FORMULA!$E656</f>
        <v>0</v>
      </c>
      <c r="IL41" s="92">
        <f>FORMULA!$G656</f>
        <v>0</v>
      </c>
      <c r="IM41" s="92">
        <f>FORMULA!$I656</f>
        <v>0</v>
      </c>
      <c r="IN41" s="92">
        <f>FORMULA!$K656</f>
        <v>0</v>
      </c>
      <c r="IO41" s="92">
        <f>FORMULA!$M656</f>
        <v>0</v>
      </c>
      <c r="IP41" s="92">
        <f>FORMULA!$O656</f>
        <v>0</v>
      </c>
      <c r="IQ41" s="92">
        <f>FORMULA!$Q656</f>
        <v>0</v>
      </c>
      <c r="IR41" s="92">
        <f>FORMULA!$S656</f>
        <v>0</v>
      </c>
      <c r="IS41" s="92">
        <f>FORMULA!$U656</f>
        <v>0</v>
      </c>
      <c r="IT41" s="92">
        <f>FORMULA!$W656</f>
        <v>0</v>
      </c>
      <c r="IU41" s="92">
        <f>FORMULA!$Y656</f>
        <v>0</v>
      </c>
      <c r="IV41" s="92">
        <f>FORMULA!$AA656</f>
        <v>0</v>
      </c>
      <c r="IW41" s="92">
        <f>FORMULA!$AC656</f>
        <v>0</v>
      </c>
      <c r="IX41" s="92">
        <f>FORMULA!$AE656</f>
        <v>0</v>
      </c>
      <c r="IY41" s="208"/>
    </row>
    <row r="42" spans="1:259" outlineLevel="1">
      <c r="A42" s="11"/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  <c r="AB42" s="106"/>
      <c r="AC42" s="106"/>
      <c r="AD42" s="106"/>
      <c r="AE42" s="106"/>
      <c r="AF42" s="106"/>
      <c r="AG42" s="106"/>
      <c r="AH42" s="106"/>
      <c r="AI42" s="106"/>
      <c r="AJ42" s="106"/>
      <c r="AK42" s="106"/>
      <c r="AL42" s="106"/>
      <c r="AM42" s="106"/>
      <c r="AN42" s="106"/>
      <c r="AO42" s="106"/>
      <c r="AP42" s="106"/>
      <c r="AQ42" s="106"/>
      <c r="AR42" s="106"/>
      <c r="AS42" s="106"/>
      <c r="AT42" s="106"/>
      <c r="AU42" s="106"/>
      <c r="AV42" s="106"/>
      <c r="AW42" s="106"/>
      <c r="AX42" s="106"/>
      <c r="AY42" s="106"/>
      <c r="AZ42" s="106"/>
      <c r="BA42" s="106"/>
      <c r="BB42" s="106"/>
      <c r="BC42" s="106"/>
      <c r="BD42" s="106"/>
      <c r="BE42" s="106"/>
      <c r="BF42" s="106"/>
      <c r="BG42" s="106"/>
      <c r="BH42" s="106"/>
      <c r="BI42" s="106"/>
      <c r="BJ42" s="106"/>
      <c r="BK42" s="106"/>
      <c r="BL42" s="106"/>
      <c r="BM42" s="106"/>
      <c r="BN42" s="106"/>
      <c r="BO42" s="106"/>
      <c r="BP42" s="106"/>
      <c r="BQ42" s="106"/>
      <c r="BR42" s="106"/>
      <c r="BS42" s="106"/>
      <c r="BT42" s="106"/>
      <c r="BU42" s="106"/>
      <c r="BV42" s="106"/>
      <c r="BW42" s="106"/>
      <c r="BX42" s="106"/>
      <c r="BY42" s="106"/>
      <c r="BZ42" s="106"/>
      <c r="CA42" s="106"/>
      <c r="CB42" s="106"/>
      <c r="CC42" s="106"/>
      <c r="CD42" s="106"/>
      <c r="CE42" s="106"/>
      <c r="CF42" s="106"/>
      <c r="CG42" s="106"/>
      <c r="CH42" s="106"/>
      <c r="CI42" s="106"/>
      <c r="CJ42" s="106"/>
      <c r="CK42" s="106"/>
      <c r="CL42" s="106"/>
      <c r="CM42" s="106"/>
      <c r="CN42" s="106"/>
      <c r="CO42" s="106"/>
      <c r="CP42" s="106"/>
      <c r="CQ42" s="106"/>
      <c r="CR42" s="106"/>
      <c r="CS42" s="106"/>
      <c r="CT42" s="106"/>
      <c r="CU42" s="106"/>
      <c r="CV42" s="106"/>
      <c r="CW42" s="106"/>
      <c r="CX42" s="106"/>
      <c r="CY42" s="106"/>
      <c r="CZ42" s="106"/>
      <c r="DA42" s="106"/>
      <c r="DB42" s="106"/>
      <c r="DC42" s="106"/>
      <c r="DD42" s="106"/>
      <c r="DE42" s="106"/>
      <c r="DF42" s="106"/>
      <c r="DG42" s="106"/>
      <c r="DH42" s="106"/>
      <c r="DI42" s="106"/>
      <c r="DJ42" s="106"/>
      <c r="DK42" s="106"/>
      <c r="DL42" s="106"/>
      <c r="DM42" s="106"/>
      <c r="DN42" s="106"/>
      <c r="DO42" s="106"/>
      <c r="DP42" s="106"/>
      <c r="DQ42" s="106"/>
      <c r="DR42" s="106"/>
      <c r="DS42" s="106"/>
      <c r="DT42" s="106"/>
      <c r="DU42" s="106"/>
      <c r="DV42" s="106"/>
      <c r="DW42" s="106"/>
      <c r="DX42" s="106"/>
      <c r="DY42" s="106"/>
      <c r="EA42" s="20" t="str">
        <f>FORMULA!$A$41</f>
        <v>YENMIX 123 (20.00KG)</v>
      </c>
      <c r="EB42" s="91">
        <f>FORMULA!$C41</f>
        <v>0</v>
      </c>
      <c r="EC42" s="92">
        <f>FORMULA!$E41</f>
        <v>0</v>
      </c>
      <c r="ED42" s="92">
        <f>FORMULA!$G41</f>
        <v>0</v>
      </c>
      <c r="EE42" s="92">
        <f>FORMULA!$I41</f>
        <v>0</v>
      </c>
      <c r="EF42" s="92">
        <f>FORMULA!$K41</f>
        <v>0</v>
      </c>
      <c r="EG42" s="92">
        <f>FORMULA!$M41</f>
        <v>0</v>
      </c>
      <c r="EH42" s="92">
        <f>FORMULA!$O41</f>
        <v>0</v>
      </c>
      <c r="EI42" s="92">
        <f>FORMULA!$Q41</f>
        <v>0</v>
      </c>
      <c r="EJ42" s="92">
        <f>FORMULA!$S41</f>
        <v>0</v>
      </c>
      <c r="EK42" s="92">
        <f>FORMULA!$U41</f>
        <v>0</v>
      </c>
      <c r="EL42" s="92">
        <f>FORMULA!$W41</f>
        <v>0</v>
      </c>
      <c r="EM42" s="92">
        <f>FORMULA!$Y41</f>
        <v>0</v>
      </c>
      <c r="EN42" s="92">
        <f>FORMULA!$AA41</f>
        <v>0</v>
      </c>
      <c r="EO42" s="92">
        <f>FORMULA!$AC41</f>
        <v>0</v>
      </c>
      <c r="EP42" s="92">
        <f>FORMULA!$AE41</f>
        <v>0</v>
      </c>
      <c r="EQ42" s="108"/>
      <c r="ER42" s="91">
        <f>FORMULA!$C129</f>
        <v>0</v>
      </c>
      <c r="ES42" s="92">
        <f>FORMULA!$E129</f>
        <v>0</v>
      </c>
      <c r="ET42" s="92">
        <f>FORMULA!$G129</f>
        <v>0</v>
      </c>
      <c r="EU42" s="92">
        <f>FORMULA!$I129</f>
        <v>0</v>
      </c>
      <c r="EV42" s="92">
        <f>FORMULA!$K129</f>
        <v>0</v>
      </c>
      <c r="EW42" s="92">
        <f>FORMULA!$M129</f>
        <v>0</v>
      </c>
      <c r="EX42" s="92">
        <f>FORMULA!$O129</f>
        <v>0</v>
      </c>
      <c r="EY42" s="92">
        <f>FORMULA!$Q129</f>
        <v>0</v>
      </c>
      <c r="EZ42" s="92">
        <f>FORMULA!$S129</f>
        <v>0</v>
      </c>
      <c r="FA42" s="92">
        <f>FORMULA!$U129</f>
        <v>0</v>
      </c>
      <c r="FB42" s="92">
        <f>FORMULA!$W129</f>
        <v>0</v>
      </c>
      <c r="FC42" s="92">
        <f>FORMULA!$Y129</f>
        <v>0</v>
      </c>
      <c r="FD42" s="92">
        <f>FORMULA!$AA129</f>
        <v>0</v>
      </c>
      <c r="FE42" s="92">
        <f>FORMULA!$AC129</f>
        <v>0</v>
      </c>
      <c r="FF42" s="92">
        <f>FORMULA!$AE129</f>
        <v>0</v>
      </c>
      <c r="FG42" s="94"/>
      <c r="FH42" s="91">
        <f>FORMULA!$C217</f>
        <v>0</v>
      </c>
      <c r="FI42" s="92">
        <f>FORMULA!$E217</f>
        <v>0</v>
      </c>
      <c r="FJ42" s="92">
        <f>FORMULA!$G217</f>
        <v>0</v>
      </c>
      <c r="FK42" s="92">
        <f>FORMULA!$I217</f>
        <v>0</v>
      </c>
      <c r="FL42" s="92">
        <f>FORMULA!$K217</f>
        <v>0</v>
      </c>
      <c r="FM42" s="92">
        <f>FORMULA!$M217</f>
        <v>0</v>
      </c>
      <c r="FN42" s="92">
        <f>FORMULA!$O217</f>
        <v>0</v>
      </c>
      <c r="FO42" s="92">
        <f>FORMULA!$Q217</f>
        <v>0</v>
      </c>
      <c r="FP42" s="92">
        <f>FORMULA!$S217</f>
        <v>0</v>
      </c>
      <c r="FQ42" s="92">
        <f>FORMULA!$U217</f>
        <v>0</v>
      </c>
      <c r="FR42" s="92">
        <f>FORMULA!$W217</f>
        <v>0</v>
      </c>
      <c r="FS42" s="92">
        <f>FORMULA!$Y217</f>
        <v>0</v>
      </c>
      <c r="FT42" s="92">
        <f>FORMULA!$AA217</f>
        <v>0</v>
      </c>
      <c r="FU42" s="92">
        <f>FORMULA!$AC217</f>
        <v>0</v>
      </c>
      <c r="FV42" s="92">
        <f>FORMULA!$AE217</f>
        <v>0</v>
      </c>
      <c r="FW42" s="94"/>
      <c r="FX42" s="91">
        <f>FORMULA!$C305</f>
        <v>0</v>
      </c>
      <c r="FY42" s="92">
        <f>FORMULA!$E305</f>
        <v>0</v>
      </c>
      <c r="FZ42" s="92">
        <f>FORMULA!$G305</f>
        <v>0</v>
      </c>
      <c r="GA42" s="92">
        <f>FORMULA!$I305</f>
        <v>0</v>
      </c>
      <c r="GB42" s="92">
        <f>FORMULA!$K305</f>
        <v>0</v>
      </c>
      <c r="GC42" s="92">
        <f>FORMULA!$M305</f>
        <v>0</v>
      </c>
      <c r="GD42" s="92">
        <f>FORMULA!$O305</f>
        <v>0</v>
      </c>
      <c r="GE42" s="92">
        <f>FORMULA!$Q305</f>
        <v>0</v>
      </c>
      <c r="GF42" s="92">
        <f>FORMULA!$S305</f>
        <v>0</v>
      </c>
      <c r="GG42" s="92">
        <f>FORMULA!$U305</f>
        <v>0</v>
      </c>
      <c r="GH42" s="92">
        <f>FORMULA!$W305</f>
        <v>0</v>
      </c>
      <c r="GI42" s="92">
        <f>FORMULA!$Y305</f>
        <v>0</v>
      </c>
      <c r="GJ42" s="92">
        <f>FORMULA!$AA305</f>
        <v>0</v>
      </c>
      <c r="GK42" s="92">
        <f>FORMULA!$AC305</f>
        <v>0</v>
      </c>
      <c r="GL42" s="92">
        <f>FORMULA!$AE305</f>
        <v>0</v>
      </c>
      <c r="GM42" s="207"/>
      <c r="GN42" s="91">
        <f>FORMULA!$C393</f>
        <v>0</v>
      </c>
      <c r="GO42" s="92">
        <f>FORMULA!$E393</f>
        <v>0</v>
      </c>
      <c r="GP42" s="92">
        <f>FORMULA!$G393</f>
        <v>0</v>
      </c>
      <c r="GQ42" s="92">
        <f>FORMULA!$I393</f>
        <v>0</v>
      </c>
      <c r="GR42" s="92">
        <f>FORMULA!$K393</f>
        <v>0</v>
      </c>
      <c r="GS42" s="92">
        <f>FORMULA!$M393</f>
        <v>0</v>
      </c>
      <c r="GT42" s="92">
        <f>FORMULA!$O393</f>
        <v>0</v>
      </c>
      <c r="GU42" s="92">
        <f>FORMULA!$Q393</f>
        <v>0</v>
      </c>
      <c r="GV42" s="92">
        <f>FORMULA!$S393</f>
        <v>0</v>
      </c>
      <c r="GW42" s="92">
        <f>FORMULA!$U393</f>
        <v>0</v>
      </c>
      <c r="GX42" s="92">
        <f>FORMULA!$W393</f>
        <v>0</v>
      </c>
      <c r="GY42" s="92">
        <f>FORMULA!$Y393</f>
        <v>0</v>
      </c>
      <c r="GZ42" s="92">
        <f>FORMULA!$AA393</f>
        <v>0</v>
      </c>
      <c r="HA42" s="92">
        <f>FORMULA!$AC393</f>
        <v>0</v>
      </c>
      <c r="HB42" s="92">
        <f>FORMULA!$AE393</f>
        <v>0</v>
      </c>
      <c r="HC42" s="207"/>
      <c r="HD42" s="91">
        <f>FORMULA!$C481</f>
        <v>0</v>
      </c>
      <c r="HE42" s="92">
        <f>FORMULA!$E481</f>
        <v>0</v>
      </c>
      <c r="HF42" s="92">
        <f>FORMULA!$G481</f>
        <v>0</v>
      </c>
      <c r="HG42" s="92">
        <f>FORMULA!$I481</f>
        <v>0</v>
      </c>
      <c r="HH42" s="92">
        <f>FORMULA!$K481</f>
        <v>0</v>
      </c>
      <c r="HI42" s="92">
        <f>FORMULA!$M481</f>
        <v>0</v>
      </c>
      <c r="HJ42" s="92">
        <f>FORMULA!$O481</f>
        <v>0</v>
      </c>
      <c r="HK42" s="92">
        <f>FORMULA!$Q481</f>
        <v>0</v>
      </c>
      <c r="HL42" s="92">
        <f>FORMULA!$S481</f>
        <v>0</v>
      </c>
      <c r="HM42" s="92">
        <f>FORMULA!$U481</f>
        <v>0</v>
      </c>
      <c r="HN42" s="92">
        <f>FORMULA!$W481</f>
        <v>0</v>
      </c>
      <c r="HO42" s="92">
        <f>FORMULA!$Y481</f>
        <v>0</v>
      </c>
      <c r="HP42" s="92">
        <f>FORMULA!$AA481</f>
        <v>0</v>
      </c>
      <c r="HQ42" s="92">
        <f>FORMULA!$AC481</f>
        <v>0</v>
      </c>
      <c r="HR42" s="92">
        <f>FORMULA!$AE481</f>
        <v>0</v>
      </c>
      <c r="HS42" s="207"/>
      <c r="HT42" s="91">
        <f>FORMULA!$C569</f>
        <v>0</v>
      </c>
      <c r="HU42" s="92">
        <f>FORMULA!$E569</f>
        <v>0</v>
      </c>
      <c r="HV42" s="92">
        <f>FORMULA!$G569</f>
        <v>0</v>
      </c>
      <c r="HW42" s="92">
        <f>FORMULA!$I569</f>
        <v>0</v>
      </c>
      <c r="HX42" s="92">
        <f>FORMULA!$K569</f>
        <v>0</v>
      </c>
      <c r="HY42" s="92">
        <f>FORMULA!$M569</f>
        <v>0</v>
      </c>
      <c r="HZ42" s="92">
        <f>FORMULA!$O569</f>
        <v>0</v>
      </c>
      <c r="IA42" s="92">
        <f>FORMULA!$Q569</f>
        <v>0</v>
      </c>
      <c r="IB42" s="92">
        <f>FORMULA!$S569</f>
        <v>0</v>
      </c>
      <c r="IC42" s="92">
        <f>FORMULA!$U569</f>
        <v>0</v>
      </c>
      <c r="ID42" s="92">
        <f>FORMULA!$W569</f>
        <v>0</v>
      </c>
      <c r="IE42" s="92">
        <f>FORMULA!$Y569</f>
        <v>0</v>
      </c>
      <c r="IF42" s="92">
        <f>FORMULA!$AA569</f>
        <v>0</v>
      </c>
      <c r="IG42" s="92">
        <f>FORMULA!$AC569</f>
        <v>0</v>
      </c>
      <c r="IH42" s="92">
        <f>FORMULA!$AE569</f>
        <v>0</v>
      </c>
      <c r="II42" s="207"/>
      <c r="IJ42" s="91">
        <f>FORMULA!$C657</f>
        <v>0</v>
      </c>
      <c r="IK42" s="92">
        <f>FORMULA!$E657</f>
        <v>0</v>
      </c>
      <c r="IL42" s="92">
        <f>FORMULA!$G657</f>
        <v>0</v>
      </c>
      <c r="IM42" s="92">
        <f>FORMULA!$I657</f>
        <v>20</v>
      </c>
      <c r="IN42" s="92">
        <f>FORMULA!$K657</f>
        <v>0</v>
      </c>
      <c r="IO42" s="92">
        <f>FORMULA!$M657</f>
        <v>0</v>
      </c>
      <c r="IP42" s="92">
        <f>FORMULA!$O657</f>
        <v>0</v>
      </c>
      <c r="IQ42" s="92">
        <f>FORMULA!$Q657</f>
        <v>0</v>
      </c>
      <c r="IR42" s="92">
        <f>FORMULA!$S657</f>
        <v>0</v>
      </c>
      <c r="IS42" s="92">
        <f>FORMULA!$U657</f>
        <v>0</v>
      </c>
      <c r="IT42" s="92">
        <f>FORMULA!$W657</f>
        <v>0</v>
      </c>
      <c r="IU42" s="92">
        <f>FORMULA!$Y657</f>
        <v>0</v>
      </c>
      <c r="IV42" s="92">
        <f>FORMULA!$AA657</f>
        <v>0</v>
      </c>
      <c r="IW42" s="92">
        <f>FORMULA!$AC657</f>
        <v>0</v>
      </c>
      <c r="IX42" s="92">
        <f>FORMULA!$AE657</f>
        <v>0</v>
      </c>
      <c r="IY42" s="208"/>
    </row>
    <row r="43" spans="1:259" outlineLevel="1">
      <c r="A43" s="11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6"/>
      <c r="AO43" s="106"/>
      <c r="AP43" s="106"/>
      <c r="AQ43" s="106"/>
      <c r="AR43" s="106"/>
      <c r="AS43" s="106"/>
      <c r="AT43" s="106"/>
      <c r="AU43" s="106"/>
      <c r="AV43" s="106"/>
      <c r="AW43" s="106"/>
      <c r="AX43" s="106"/>
      <c r="AY43" s="106"/>
      <c r="AZ43" s="106"/>
      <c r="BA43" s="106"/>
      <c r="BB43" s="106"/>
      <c r="BC43" s="106"/>
      <c r="BD43" s="106"/>
      <c r="BE43" s="106"/>
      <c r="BF43" s="106"/>
      <c r="BG43" s="106"/>
      <c r="BH43" s="106"/>
      <c r="BI43" s="106"/>
      <c r="BJ43" s="106"/>
      <c r="BK43" s="106"/>
      <c r="BL43" s="106"/>
      <c r="BM43" s="106"/>
      <c r="BN43" s="106"/>
      <c r="BO43" s="106"/>
      <c r="BP43" s="106"/>
      <c r="BQ43" s="106"/>
      <c r="BR43" s="106"/>
      <c r="BS43" s="106"/>
      <c r="BT43" s="106"/>
      <c r="BU43" s="106"/>
      <c r="BV43" s="106"/>
      <c r="BW43" s="106"/>
      <c r="BX43" s="106"/>
      <c r="BY43" s="106"/>
      <c r="BZ43" s="106"/>
      <c r="CA43" s="106"/>
      <c r="CB43" s="106"/>
      <c r="CC43" s="106"/>
      <c r="CD43" s="106"/>
      <c r="CE43" s="106"/>
      <c r="CF43" s="106"/>
      <c r="CG43" s="106"/>
      <c r="CH43" s="106"/>
      <c r="CI43" s="106"/>
      <c r="CJ43" s="106"/>
      <c r="CK43" s="106"/>
      <c r="CL43" s="106"/>
      <c r="CM43" s="106"/>
      <c r="CN43" s="106"/>
      <c r="CO43" s="106"/>
      <c r="CP43" s="106"/>
      <c r="CQ43" s="106"/>
      <c r="CR43" s="106"/>
      <c r="CS43" s="106"/>
      <c r="CT43" s="106"/>
      <c r="CU43" s="106"/>
      <c r="CV43" s="106"/>
      <c r="CW43" s="106"/>
      <c r="CX43" s="106"/>
      <c r="CY43" s="106"/>
      <c r="CZ43" s="106"/>
      <c r="DA43" s="106"/>
      <c r="DB43" s="106"/>
      <c r="DC43" s="106"/>
      <c r="DD43" s="106"/>
      <c r="DE43" s="106"/>
      <c r="DF43" s="106"/>
      <c r="DG43" s="106"/>
      <c r="DH43" s="106"/>
      <c r="DI43" s="106"/>
      <c r="DJ43" s="106"/>
      <c r="DK43" s="106"/>
      <c r="DL43" s="106"/>
      <c r="DM43" s="106"/>
      <c r="DN43" s="106"/>
      <c r="DO43" s="106"/>
      <c r="DP43" s="106"/>
      <c r="DQ43" s="106"/>
      <c r="DR43" s="106"/>
      <c r="DS43" s="106"/>
      <c r="DT43" s="106"/>
      <c r="DU43" s="106"/>
      <c r="DV43" s="106"/>
      <c r="DW43" s="106"/>
      <c r="DX43" s="106"/>
      <c r="DY43" s="106"/>
      <c r="EA43" s="20">
        <f>FORMULA!$A$42</f>
        <v>1</v>
      </c>
      <c r="EB43" s="91">
        <f>FORMULA!$C42</f>
        <v>0</v>
      </c>
      <c r="EC43" s="92">
        <f>FORMULA!$E42</f>
        <v>0</v>
      </c>
      <c r="ED43" s="92">
        <f>FORMULA!$G42</f>
        <v>0</v>
      </c>
      <c r="EE43" s="92">
        <f>FORMULA!$I42</f>
        <v>0</v>
      </c>
      <c r="EF43" s="92">
        <f>FORMULA!$K42</f>
        <v>0</v>
      </c>
      <c r="EG43" s="92">
        <f>FORMULA!$M42</f>
        <v>0</v>
      </c>
      <c r="EH43" s="92">
        <f>FORMULA!$O42</f>
        <v>0</v>
      </c>
      <c r="EI43" s="92">
        <f>FORMULA!$Q42</f>
        <v>0</v>
      </c>
      <c r="EJ43" s="92">
        <f>FORMULA!$S42</f>
        <v>0</v>
      </c>
      <c r="EK43" s="92">
        <f>FORMULA!$U42</f>
        <v>0</v>
      </c>
      <c r="EL43" s="92">
        <f>FORMULA!$W42</f>
        <v>0</v>
      </c>
      <c r="EM43" s="92">
        <f>FORMULA!$Y42</f>
        <v>0</v>
      </c>
      <c r="EN43" s="92">
        <f>FORMULA!$AA42</f>
        <v>0</v>
      </c>
      <c r="EO43" s="92">
        <f>FORMULA!$AC42</f>
        <v>0</v>
      </c>
      <c r="EP43" s="92">
        <f>FORMULA!$AE42</f>
        <v>0</v>
      </c>
      <c r="EQ43" s="108"/>
      <c r="ER43" s="91">
        <f>FORMULA!$C130</f>
        <v>0</v>
      </c>
      <c r="ES43" s="92">
        <f>FORMULA!$E130</f>
        <v>0</v>
      </c>
      <c r="ET43" s="92">
        <f>FORMULA!$G130</f>
        <v>0</v>
      </c>
      <c r="EU43" s="92">
        <f>FORMULA!$I130</f>
        <v>0</v>
      </c>
      <c r="EV43" s="92">
        <f>FORMULA!$K130</f>
        <v>0</v>
      </c>
      <c r="EW43" s="92">
        <f>FORMULA!$M130</f>
        <v>0</v>
      </c>
      <c r="EX43" s="92">
        <f>FORMULA!$O130</f>
        <v>0</v>
      </c>
      <c r="EY43" s="92">
        <f>FORMULA!$Q130</f>
        <v>0</v>
      </c>
      <c r="EZ43" s="92">
        <f>FORMULA!$S130</f>
        <v>0</v>
      </c>
      <c r="FA43" s="92">
        <f>FORMULA!$U130</f>
        <v>0</v>
      </c>
      <c r="FB43" s="92">
        <f>FORMULA!$W130</f>
        <v>0</v>
      </c>
      <c r="FC43" s="92">
        <f>FORMULA!$Y130</f>
        <v>0</v>
      </c>
      <c r="FD43" s="92">
        <f>FORMULA!$AA130</f>
        <v>0</v>
      </c>
      <c r="FE43" s="92">
        <f>FORMULA!$AC130</f>
        <v>0</v>
      </c>
      <c r="FF43" s="92">
        <f>FORMULA!$AE130</f>
        <v>0</v>
      </c>
      <c r="FG43" s="94"/>
      <c r="FH43" s="91">
        <f>FORMULA!$C218</f>
        <v>0</v>
      </c>
      <c r="FI43" s="92">
        <f>FORMULA!$E218</f>
        <v>0</v>
      </c>
      <c r="FJ43" s="92">
        <f>FORMULA!$G218</f>
        <v>0</v>
      </c>
      <c r="FK43" s="92">
        <f>FORMULA!$I218</f>
        <v>0</v>
      </c>
      <c r="FL43" s="92">
        <f>FORMULA!$K218</f>
        <v>0</v>
      </c>
      <c r="FM43" s="92">
        <f>FORMULA!$M218</f>
        <v>0</v>
      </c>
      <c r="FN43" s="92">
        <f>FORMULA!$O218</f>
        <v>0</v>
      </c>
      <c r="FO43" s="92">
        <f>FORMULA!$Q218</f>
        <v>0</v>
      </c>
      <c r="FP43" s="92">
        <f>FORMULA!$S218</f>
        <v>0</v>
      </c>
      <c r="FQ43" s="92">
        <f>FORMULA!$U218</f>
        <v>0</v>
      </c>
      <c r="FR43" s="92">
        <f>FORMULA!$W218</f>
        <v>0</v>
      </c>
      <c r="FS43" s="92">
        <f>FORMULA!$Y218</f>
        <v>0</v>
      </c>
      <c r="FT43" s="92">
        <f>FORMULA!$AA218</f>
        <v>0</v>
      </c>
      <c r="FU43" s="92">
        <f>FORMULA!$AC218</f>
        <v>0</v>
      </c>
      <c r="FV43" s="92">
        <f>FORMULA!$AE218</f>
        <v>0</v>
      </c>
      <c r="FW43" s="94"/>
      <c r="FX43" s="91">
        <f>FORMULA!$C306</f>
        <v>0</v>
      </c>
      <c r="FY43" s="92">
        <f>FORMULA!$E306</f>
        <v>0</v>
      </c>
      <c r="FZ43" s="92">
        <f>FORMULA!$G306</f>
        <v>0</v>
      </c>
      <c r="GA43" s="92">
        <f>FORMULA!$I306</f>
        <v>0</v>
      </c>
      <c r="GB43" s="92">
        <f>FORMULA!$K306</f>
        <v>0</v>
      </c>
      <c r="GC43" s="92">
        <f>FORMULA!$M306</f>
        <v>0</v>
      </c>
      <c r="GD43" s="92">
        <f>FORMULA!$O306</f>
        <v>0</v>
      </c>
      <c r="GE43" s="92">
        <f>FORMULA!$Q306</f>
        <v>0</v>
      </c>
      <c r="GF43" s="92">
        <f>FORMULA!$S306</f>
        <v>0</v>
      </c>
      <c r="GG43" s="92">
        <f>FORMULA!$U306</f>
        <v>0</v>
      </c>
      <c r="GH43" s="92">
        <f>FORMULA!$W306</f>
        <v>0</v>
      </c>
      <c r="GI43" s="92">
        <f>FORMULA!$Y306</f>
        <v>0</v>
      </c>
      <c r="GJ43" s="92">
        <f>FORMULA!$AA306</f>
        <v>0</v>
      </c>
      <c r="GK43" s="92">
        <f>FORMULA!$AC306</f>
        <v>0</v>
      </c>
      <c r="GL43" s="92">
        <f>FORMULA!$AE306</f>
        <v>0</v>
      </c>
      <c r="GM43" s="207"/>
      <c r="GN43" s="91">
        <f>FORMULA!$C394</f>
        <v>0</v>
      </c>
      <c r="GO43" s="92">
        <f>FORMULA!$E394</f>
        <v>0</v>
      </c>
      <c r="GP43" s="92">
        <f>FORMULA!$G394</f>
        <v>0</v>
      </c>
      <c r="GQ43" s="92">
        <f>FORMULA!$I394</f>
        <v>0</v>
      </c>
      <c r="GR43" s="92">
        <f>FORMULA!$K394</f>
        <v>0</v>
      </c>
      <c r="GS43" s="92">
        <f>FORMULA!$M394</f>
        <v>0</v>
      </c>
      <c r="GT43" s="92">
        <f>FORMULA!$O394</f>
        <v>0</v>
      </c>
      <c r="GU43" s="92">
        <f>FORMULA!$Q394</f>
        <v>0</v>
      </c>
      <c r="GV43" s="92">
        <f>FORMULA!$S394</f>
        <v>0</v>
      </c>
      <c r="GW43" s="92">
        <f>FORMULA!$U394</f>
        <v>0</v>
      </c>
      <c r="GX43" s="92">
        <f>FORMULA!$W394</f>
        <v>0</v>
      </c>
      <c r="GY43" s="92">
        <f>FORMULA!$Y394</f>
        <v>0</v>
      </c>
      <c r="GZ43" s="92">
        <f>FORMULA!$AA394</f>
        <v>0</v>
      </c>
      <c r="HA43" s="92">
        <f>FORMULA!$AC394</f>
        <v>0</v>
      </c>
      <c r="HB43" s="92">
        <f>FORMULA!$AE394</f>
        <v>0</v>
      </c>
      <c r="HC43" s="207"/>
      <c r="HD43" s="91">
        <f>FORMULA!$C482</f>
        <v>0</v>
      </c>
      <c r="HE43" s="92">
        <f>FORMULA!$E482</f>
        <v>0</v>
      </c>
      <c r="HF43" s="92">
        <f>FORMULA!$G482</f>
        <v>0</v>
      </c>
      <c r="HG43" s="92">
        <f>FORMULA!$I482</f>
        <v>0</v>
      </c>
      <c r="HH43" s="92">
        <f>FORMULA!$K482</f>
        <v>0</v>
      </c>
      <c r="HI43" s="92">
        <f>FORMULA!$M482</f>
        <v>0</v>
      </c>
      <c r="HJ43" s="92">
        <f>FORMULA!$O482</f>
        <v>0</v>
      </c>
      <c r="HK43" s="92">
        <f>FORMULA!$Q482</f>
        <v>0</v>
      </c>
      <c r="HL43" s="92">
        <f>FORMULA!$S482</f>
        <v>0</v>
      </c>
      <c r="HM43" s="92">
        <f>FORMULA!$U482</f>
        <v>0</v>
      </c>
      <c r="HN43" s="92">
        <f>FORMULA!$W482</f>
        <v>0</v>
      </c>
      <c r="HO43" s="92">
        <f>FORMULA!$Y482</f>
        <v>0</v>
      </c>
      <c r="HP43" s="92">
        <f>FORMULA!$AA482</f>
        <v>0</v>
      </c>
      <c r="HQ43" s="92">
        <f>FORMULA!$AC482</f>
        <v>0</v>
      </c>
      <c r="HR43" s="92">
        <f>FORMULA!$AE482</f>
        <v>0</v>
      </c>
      <c r="HS43" s="207"/>
      <c r="HT43" s="91">
        <f>FORMULA!$C570</f>
        <v>0</v>
      </c>
      <c r="HU43" s="92">
        <f>FORMULA!$E570</f>
        <v>0</v>
      </c>
      <c r="HV43" s="92">
        <f>FORMULA!$G570</f>
        <v>0</v>
      </c>
      <c r="HW43" s="92">
        <f>FORMULA!$I570</f>
        <v>0</v>
      </c>
      <c r="HX43" s="92">
        <f>FORMULA!$K570</f>
        <v>0</v>
      </c>
      <c r="HY43" s="92">
        <f>FORMULA!$M570</f>
        <v>0</v>
      </c>
      <c r="HZ43" s="92">
        <f>FORMULA!$O570</f>
        <v>0</v>
      </c>
      <c r="IA43" s="92">
        <f>FORMULA!$Q570</f>
        <v>0</v>
      </c>
      <c r="IB43" s="92">
        <f>FORMULA!$S570</f>
        <v>0</v>
      </c>
      <c r="IC43" s="92">
        <f>FORMULA!$U570</f>
        <v>0</v>
      </c>
      <c r="ID43" s="92">
        <f>FORMULA!$W570</f>
        <v>0</v>
      </c>
      <c r="IE43" s="92">
        <f>FORMULA!$Y570</f>
        <v>0</v>
      </c>
      <c r="IF43" s="92">
        <f>FORMULA!$AA570</f>
        <v>0</v>
      </c>
      <c r="IG43" s="92">
        <f>FORMULA!$AC570</f>
        <v>0</v>
      </c>
      <c r="IH43" s="92">
        <f>FORMULA!$AE570</f>
        <v>0</v>
      </c>
      <c r="II43" s="207"/>
      <c r="IJ43" s="91">
        <f>FORMULA!$C658</f>
        <v>0</v>
      </c>
      <c r="IK43" s="92">
        <f>FORMULA!$E658</f>
        <v>0</v>
      </c>
      <c r="IL43" s="92">
        <f>FORMULA!$G658</f>
        <v>0</v>
      </c>
      <c r="IM43" s="92">
        <f>FORMULA!$I658</f>
        <v>0</v>
      </c>
      <c r="IN43" s="92">
        <f>FORMULA!$K658</f>
        <v>0</v>
      </c>
      <c r="IO43" s="92">
        <f>FORMULA!$M658</f>
        <v>0</v>
      </c>
      <c r="IP43" s="92">
        <f>FORMULA!$O658</f>
        <v>0</v>
      </c>
      <c r="IQ43" s="92">
        <f>FORMULA!$Q658</f>
        <v>0</v>
      </c>
      <c r="IR43" s="92">
        <f>FORMULA!$S658</f>
        <v>0</v>
      </c>
      <c r="IS43" s="92">
        <f>FORMULA!$U658</f>
        <v>0</v>
      </c>
      <c r="IT43" s="92">
        <f>FORMULA!$W658</f>
        <v>0</v>
      </c>
      <c r="IU43" s="92">
        <f>FORMULA!$Y658</f>
        <v>0</v>
      </c>
      <c r="IV43" s="92">
        <f>FORMULA!$AA658</f>
        <v>0</v>
      </c>
      <c r="IW43" s="92">
        <f>FORMULA!$AC658</f>
        <v>0</v>
      </c>
      <c r="IX43" s="92">
        <f>FORMULA!$AE658</f>
        <v>0</v>
      </c>
      <c r="IY43" s="208"/>
    </row>
    <row r="44" spans="1:259" outlineLevel="1">
      <c r="A44" s="11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06"/>
      <c r="AB44" s="106"/>
      <c r="AC44" s="106"/>
      <c r="AD44" s="106"/>
      <c r="AE44" s="106"/>
      <c r="AF44" s="106"/>
      <c r="AG44" s="106"/>
      <c r="AH44" s="106"/>
      <c r="AI44" s="106"/>
      <c r="AJ44" s="106"/>
      <c r="AK44" s="106"/>
      <c r="AL44" s="106"/>
      <c r="AM44" s="106"/>
      <c r="AN44" s="106"/>
      <c r="AO44" s="106"/>
      <c r="AP44" s="106"/>
      <c r="AQ44" s="106"/>
      <c r="AR44" s="106"/>
      <c r="AS44" s="106"/>
      <c r="AT44" s="106"/>
      <c r="AU44" s="106"/>
      <c r="AV44" s="106"/>
      <c r="AW44" s="106"/>
      <c r="AX44" s="106"/>
      <c r="AY44" s="106"/>
      <c r="AZ44" s="106"/>
      <c r="BA44" s="106"/>
      <c r="BB44" s="106"/>
      <c r="BC44" s="106"/>
      <c r="BD44" s="106"/>
      <c r="BE44" s="106"/>
      <c r="BF44" s="106"/>
      <c r="BG44" s="106"/>
      <c r="BH44" s="106"/>
      <c r="BI44" s="106"/>
      <c r="BJ44" s="106"/>
      <c r="BK44" s="106"/>
      <c r="BL44" s="106"/>
      <c r="BM44" s="106"/>
      <c r="BN44" s="106"/>
      <c r="BO44" s="106"/>
      <c r="BP44" s="106"/>
      <c r="BQ44" s="106"/>
      <c r="BR44" s="106"/>
      <c r="BS44" s="106"/>
      <c r="BT44" s="106"/>
      <c r="BU44" s="106"/>
      <c r="BV44" s="106"/>
      <c r="BW44" s="106"/>
      <c r="BX44" s="106"/>
      <c r="BY44" s="106"/>
      <c r="BZ44" s="106"/>
      <c r="CA44" s="106"/>
      <c r="CB44" s="106"/>
      <c r="CC44" s="106"/>
      <c r="CD44" s="106"/>
      <c r="CE44" s="106"/>
      <c r="CF44" s="106"/>
      <c r="CG44" s="106"/>
      <c r="CH44" s="106"/>
      <c r="CI44" s="106"/>
      <c r="CJ44" s="106"/>
      <c r="CK44" s="106"/>
      <c r="CL44" s="106"/>
      <c r="CM44" s="106"/>
      <c r="CN44" s="106"/>
      <c r="CO44" s="106"/>
      <c r="CP44" s="106"/>
      <c r="CQ44" s="106"/>
      <c r="CR44" s="106"/>
      <c r="CS44" s="106"/>
      <c r="CT44" s="106"/>
      <c r="CU44" s="106"/>
      <c r="CV44" s="106"/>
      <c r="CW44" s="106"/>
      <c r="CX44" s="106"/>
      <c r="CY44" s="106"/>
      <c r="CZ44" s="106"/>
      <c r="DA44" s="106"/>
      <c r="DB44" s="106"/>
      <c r="DC44" s="106"/>
      <c r="DD44" s="106"/>
      <c r="DE44" s="106"/>
      <c r="DF44" s="106"/>
      <c r="DG44" s="106"/>
      <c r="DH44" s="106"/>
      <c r="DI44" s="106"/>
      <c r="DJ44" s="106"/>
      <c r="DK44" s="106"/>
      <c r="DL44" s="106"/>
      <c r="DM44" s="106"/>
      <c r="DN44" s="106"/>
      <c r="DO44" s="106"/>
      <c r="DP44" s="106"/>
      <c r="DQ44" s="106"/>
      <c r="DR44" s="106"/>
      <c r="DS44" s="106"/>
      <c r="DT44" s="106"/>
      <c r="DU44" s="106"/>
      <c r="DV44" s="106"/>
      <c r="DW44" s="106"/>
      <c r="DX44" s="106"/>
      <c r="DY44" s="106"/>
      <c r="EA44" s="20">
        <f>FORMULA!$A$43</f>
        <v>2</v>
      </c>
      <c r="EB44" s="91">
        <f>FORMULA!$C43</f>
        <v>0</v>
      </c>
      <c r="EC44" s="92">
        <f>FORMULA!$E43</f>
        <v>0</v>
      </c>
      <c r="ED44" s="92">
        <f>FORMULA!$G43</f>
        <v>0</v>
      </c>
      <c r="EE44" s="92">
        <f>FORMULA!$I43</f>
        <v>0</v>
      </c>
      <c r="EF44" s="92">
        <f>FORMULA!$K43</f>
        <v>0</v>
      </c>
      <c r="EG44" s="92">
        <f>FORMULA!$M43</f>
        <v>0</v>
      </c>
      <c r="EH44" s="92">
        <f>FORMULA!$O43</f>
        <v>0</v>
      </c>
      <c r="EI44" s="92">
        <f>FORMULA!$Q43</f>
        <v>0</v>
      </c>
      <c r="EJ44" s="92">
        <f>FORMULA!$S43</f>
        <v>0</v>
      </c>
      <c r="EK44" s="92">
        <f>FORMULA!$U43</f>
        <v>0</v>
      </c>
      <c r="EL44" s="92">
        <f>FORMULA!$W43</f>
        <v>0</v>
      </c>
      <c r="EM44" s="92">
        <f>FORMULA!$Y43</f>
        <v>0</v>
      </c>
      <c r="EN44" s="92">
        <f>FORMULA!$AA43</f>
        <v>0</v>
      </c>
      <c r="EO44" s="92">
        <f>FORMULA!$AC43</f>
        <v>0</v>
      </c>
      <c r="EP44" s="92">
        <f>FORMULA!$AE43</f>
        <v>0</v>
      </c>
      <c r="EQ44" s="108"/>
      <c r="ER44" s="91">
        <f>FORMULA!$C131</f>
        <v>0</v>
      </c>
      <c r="ES44" s="92">
        <f>FORMULA!$E131</f>
        <v>0</v>
      </c>
      <c r="ET44" s="92">
        <f>FORMULA!$G131</f>
        <v>0</v>
      </c>
      <c r="EU44" s="92">
        <f>FORMULA!$I131</f>
        <v>0</v>
      </c>
      <c r="EV44" s="92">
        <f>FORMULA!$K131</f>
        <v>0</v>
      </c>
      <c r="EW44" s="92">
        <f>FORMULA!$M131</f>
        <v>0</v>
      </c>
      <c r="EX44" s="92">
        <f>FORMULA!$O131</f>
        <v>0</v>
      </c>
      <c r="EY44" s="92">
        <f>FORMULA!$Q131</f>
        <v>0</v>
      </c>
      <c r="EZ44" s="92">
        <f>FORMULA!$S131</f>
        <v>0</v>
      </c>
      <c r="FA44" s="92">
        <f>FORMULA!$U131</f>
        <v>0</v>
      </c>
      <c r="FB44" s="92">
        <f>FORMULA!$W131</f>
        <v>0</v>
      </c>
      <c r="FC44" s="92">
        <f>FORMULA!$Y131</f>
        <v>0</v>
      </c>
      <c r="FD44" s="92">
        <f>FORMULA!$AA131</f>
        <v>0</v>
      </c>
      <c r="FE44" s="92">
        <f>FORMULA!$AC131</f>
        <v>0</v>
      </c>
      <c r="FF44" s="92">
        <f>FORMULA!$AE131</f>
        <v>0</v>
      </c>
      <c r="FG44" s="94"/>
      <c r="FH44" s="91">
        <f>FORMULA!$C219</f>
        <v>0</v>
      </c>
      <c r="FI44" s="92">
        <f>FORMULA!$E219</f>
        <v>0</v>
      </c>
      <c r="FJ44" s="92">
        <f>FORMULA!$G219</f>
        <v>0</v>
      </c>
      <c r="FK44" s="92">
        <f>FORMULA!$I219</f>
        <v>0</v>
      </c>
      <c r="FL44" s="92">
        <f>FORMULA!$K219</f>
        <v>0</v>
      </c>
      <c r="FM44" s="92">
        <f>FORMULA!$M219</f>
        <v>0</v>
      </c>
      <c r="FN44" s="92">
        <f>FORMULA!$O219</f>
        <v>0</v>
      </c>
      <c r="FO44" s="92">
        <f>FORMULA!$Q219</f>
        <v>0</v>
      </c>
      <c r="FP44" s="92">
        <f>FORMULA!$S219</f>
        <v>0</v>
      </c>
      <c r="FQ44" s="92">
        <f>FORMULA!$U219</f>
        <v>0</v>
      </c>
      <c r="FR44" s="92">
        <f>FORMULA!$W219</f>
        <v>0</v>
      </c>
      <c r="FS44" s="92">
        <f>FORMULA!$Y219</f>
        <v>0</v>
      </c>
      <c r="FT44" s="92">
        <f>FORMULA!$AA219</f>
        <v>0</v>
      </c>
      <c r="FU44" s="92">
        <f>FORMULA!$AC219</f>
        <v>0</v>
      </c>
      <c r="FV44" s="92">
        <f>FORMULA!$AE219</f>
        <v>0</v>
      </c>
      <c r="FW44" s="94"/>
      <c r="FX44" s="91">
        <f>FORMULA!$C307</f>
        <v>0</v>
      </c>
      <c r="FY44" s="92">
        <f>FORMULA!$E307</f>
        <v>0</v>
      </c>
      <c r="FZ44" s="92">
        <f>FORMULA!$G307</f>
        <v>0</v>
      </c>
      <c r="GA44" s="92">
        <f>FORMULA!$I307</f>
        <v>0</v>
      </c>
      <c r="GB44" s="92">
        <f>FORMULA!$K307</f>
        <v>0</v>
      </c>
      <c r="GC44" s="92">
        <f>FORMULA!$M307</f>
        <v>0</v>
      </c>
      <c r="GD44" s="92">
        <f>FORMULA!$O307</f>
        <v>0</v>
      </c>
      <c r="GE44" s="92">
        <f>FORMULA!$Q307</f>
        <v>0</v>
      </c>
      <c r="GF44" s="92">
        <f>FORMULA!$S307</f>
        <v>0</v>
      </c>
      <c r="GG44" s="92">
        <f>FORMULA!$U307</f>
        <v>0</v>
      </c>
      <c r="GH44" s="92">
        <f>FORMULA!$W307</f>
        <v>0</v>
      </c>
      <c r="GI44" s="92">
        <f>FORMULA!$Y307</f>
        <v>0</v>
      </c>
      <c r="GJ44" s="92">
        <f>FORMULA!$AA307</f>
        <v>0</v>
      </c>
      <c r="GK44" s="92">
        <f>FORMULA!$AC307</f>
        <v>0</v>
      </c>
      <c r="GL44" s="92">
        <f>FORMULA!$AE307</f>
        <v>0</v>
      </c>
      <c r="GM44" s="207"/>
      <c r="GN44" s="91">
        <f>FORMULA!$C395</f>
        <v>0</v>
      </c>
      <c r="GO44" s="92">
        <f>FORMULA!$E395</f>
        <v>0</v>
      </c>
      <c r="GP44" s="92">
        <f>FORMULA!$G395</f>
        <v>0</v>
      </c>
      <c r="GQ44" s="92">
        <f>FORMULA!$I395</f>
        <v>0</v>
      </c>
      <c r="GR44" s="92">
        <f>FORMULA!$K395</f>
        <v>0</v>
      </c>
      <c r="GS44" s="92">
        <f>FORMULA!$M395</f>
        <v>0</v>
      </c>
      <c r="GT44" s="92">
        <f>FORMULA!$O395</f>
        <v>0</v>
      </c>
      <c r="GU44" s="92">
        <f>FORMULA!$Q395</f>
        <v>0</v>
      </c>
      <c r="GV44" s="92">
        <f>FORMULA!$S395</f>
        <v>0</v>
      </c>
      <c r="GW44" s="92">
        <f>FORMULA!$U395</f>
        <v>0</v>
      </c>
      <c r="GX44" s="92">
        <f>FORMULA!$W395</f>
        <v>0</v>
      </c>
      <c r="GY44" s="92">
        <f>FORMULA!$Y395</f>
        <v>0</v>
      </c>
      <c r="GZ44" s="92">
        <f>FORMULA!$AA395</f>
        <v>0</v>
      </c>
      <c r="HA44" s="92">
        <f>FORMULA!$AC395</f>
        <v>0</v>
      </c>
      <c r="HB44" s="92">
        <f>FORMULA!$AE395</f>
        <v>0</v>
      </c>
      <c r="HC44" s="207"/>
      <c r="HD44" s="91">
        <f>FORMULA!$C483</f>
        <v>0</v>
      </c>
      <c r="HE44" s="92">
        <f>FORMULA!$E483</f>
        <v>0</v>
      </c>
      <c r="HF44" s="92">
        <f>FORMULA!$G483</f>
        <v>0</v>
      </c>
      <c r="HG44" s="92">
        <f>FORMULA!$I483</f>
        <v>0</v>
      </c>
      <c r="HH44" s="92">
        <f>FORMULA!$K483</f>
        <v>0</v>
      </c>
      <c r="HI44" s="92">
        <f>FORMULA!$M483</f>
        <v>0</v>
      </c>
      <c r="HJ44" s="92">
        <f>FORMULA!$O483</f>
        <v>0</v>
      </c>
      <c r="HK44" s="92">
        <f>FORMULA!$Q483</f>
        <v>0</v>
      </c>
      <c r="HL44" s="92">
        <f>FORMULA!$S483</f>
        <v>0</v>
      </c>
      <c r="HM44" s="92">
        <f>FORMULA!$U483</f>
        <v>0</v>
      </c>
      <c r="HN44" s="92">
        <f>FORMULA!$W483</f>
        <v>0</v>
      </c>
      <c r="HO44" s="92">
        <f>FORMULA!$Y483</f>
        <v>0</v>
      </c>
      <c r="HP44" s="92">
        <f>FORMULA!$AA483</f>
        <v>0</v>
      </c>
      <c r="HQ44" s="92">
        <f>FORMULA!$AC483</f>
        <v>0</v>
      </c>
      <c r="HR44" s="92">
        <f>FORMULA!$AE483</f>
        <v>0</v>
      </c>
      <c r="HS44" s="207"/>
      <c r="HT44" s="91">
        <f>FORMULA!$C571</f>
        <v>0</v>
      </c>
      <c r="HU44" s="92">
        <f>FORMULA!$E571</f>
        <v>0</v>
      </c>
      <c r="HV44" s="92">
        <f>FORMULA!$G571</f>
        <v>0</v>
      </c>
      <c r="HW44" s="92">
        <f>FORMULA!$I571</f>
        <v>0</v>
      </c>
      <c r="HX44" s="92">
        <f>FORMULA!$K571</f>
        <v>0</v>
      </c>
      <c r="HY44" s="92">
        <f>FORMULA!$M571</f>
        <v>0</v>
      </c>
      <c r="HZ44" s="92">
        <f>FORMULA!$O571</f>
        <v>0</v>
      </c>
      <c r="IA44" s="92">
        <f>FORMULA!$Q571</f>
        <v>0</v>
      </c>
      <c r="IB44" s="92">
        <f>FORMULA!$S571</f>
        <v>0</v>
      </c>
      <c r="IC44" s="92">
        <f>FORMULA!$U571</f>
        <v>0</v>
      </c>
      <c r="ID44" s="92">
        <f>FORMULA!$W571</f>
        <v>0</v>
      </c>
      <c r="IE44" s="92">
        <f>FORMULA!$Y571</f>
        <v>0</v>
      </c>
      <c r="IF44" s="92">
        <f>FORMULA!$AA571</f>
        <v>0</v>
      </c>
      <c r="IG44" s="92">
        <f>FORMULA!$AC571</f>
        <v>0</v>
      </c>
      <c r="IH44" s="92">
        <f>FORMULA!$AE571</f>
        <v>0</v>
      </c>
      <c r="II44" s="207"/>
      <c r="IJ44" s="91">
        <f>FORMULA!$C659</f>
        <v>0</v>
      </c>
      <c r="IK44" s="92">
        <f>FORMULA!$E659</f>
        <v>0</v>
      </c>
      <c r="IL44" s="92">
        <f>FORMULA!$G659</f>
        <v>0</v>
      </c>
      <c r="IM44" s="92">
        <f>FORMULA!$I659</f>
        <v>0</v>
      </c>
      <c r="IN44" s="92">
        <f>FORMULA!$K659</f>
        <v>0</v>
      </c>
      <c r="IO44" s="92">
        <f>FORMULA!$M659</f>
        <v>0</v>
      </c>
      <c r="IP44" s="92">
        <f>FORMULA!$O659</f>
        <v>0</v>
      </c>
      <c r="IQ44" s="92">
        <f>FORMULA!$Q659</f>
        <v>0</v>
      </c>
      <c r="IR44" s="92">
        <f>FORMULA!$S659</f>
        <v>0</v>
      </c>
      <c r="IS44" s="92">
        <f>FORMULA!$U659</f>
        <v>0</v>
      </c>
      <c r="IT44" s="92">
        <f>FORMULA!$W659</f>
        <v>0</v>
      </c>
      <c r="IU44" s="92">
        <f>FORMULA!$Y659</f>
        <v>0</v>
      </c>
      <c r="IV44" s="92">
        <f>FORMULA!$AA659</f>
        <v>0</v>
      </c>
      <c r="IW44" s="92">
        <f>FORMULA!$AC659</f>
        <v>0</v>
      </c>
      <c r="IX44" s="92">
        <f>FORMULA!$AE659</f>
        <v>0</v>
      </c>
      <c r="IY44" s="208"/>
    </row>
    <row r="45" spans="1:259" outlineLevel="1">
      <c r="A45" s="11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  <c r="AC45" s="106"/>
      <c r="AD45" s="106"/>
      <c r="AE45" s="106"/>
      <c r="AF45" s="106"/>
      <c r="AG45" s="106"/>
      <c r="AH45" s="106"/>
      <c r="AI45" s="106"/>
      <c r="AJ45" s="106"/>
      <c r="AK45" s="106"/>
      <c r="AL45" s="106"/>
      <c r="AM45" s="106"/>
      <c r="AN45" s="106"/>
      <c r="AO45" s="106"/>
      <c r="AP45" s="106"/>
      <c r="AQ45" s="106"/>
      <c r="AR45" s="106"/>
      <c r="AS45" s="106"/>
      <c r="AT45" s="106"/>
      <c r="AU45" s="106"/>
      <c r="AV45" s="106"/>
      <c r="AW45" s="106"/>
      <c r="AX45" s="106"/>
      <c r="AY45" s="106"/>
      <c r="AZ45" s="106"/>
      <c r="BA45" s="106"/>
      <c r="BB45" s="106"/>
      <c r="BC45" s="106"/>
      <c r="BD45" s="106"/>
      <c r="BE45" s="106"/>
      <c r="BF45" s="106"/>
      <c r="BG45" s="106"/>
      <c r="BH45" s="106"/>
      <c r="BI45" s="106"/>
      <c r="BJ45" s="106"/>
      <c r="BK45" s="106"/>
      <c r="BL45" s="106"/>
      <c r="BM45" s="106"/>
      <c r="BN45" s="106"/>
      <c r="BO45" s="106"/>
      <c r="BP45" s="106"/>
      <c r="BQ45" s="106"/>
      <c r="BR45" s="106"/>
      <c r="BS45" s="106"/>
      <c r="BT45" s="106"/>
      <c r="BU45" s="106"/>
      <c r="BV45" s="106"/>
      <c r="BW45" s="106"/>
      <c r="BX45" s="106"/>
      <c r="BY45" s="106"/>
      <c r="BZ45" s="106"/>
      <c r="CA45" s="106"/>
      <c r="CB45" s="106"/>
      <c r="CC45" s="106"/>
      <c r="CD45" s="106"/>
      <c r="CE45" s="106"/>
      <c r="CF45" s="106"/>
      <c r="CG45" s="106"/>
      <c r="CH45" s="106"/>
      <c r="CI45" s="106"/>
      <c r="CJ45" s="106"/>
      <c r="CK45" s="106"/>
      <c r="CL45" s="106"/>
      <c r="CM45" s="106"/>
      <c r="CN45" s="106"/>
      <c r="CO45" s="106"/>
      <c r="CP45" s="106"/>
      <c r="CQ45" s="106"/>
      <c r="CR45" s="106"/>
      <c r="CS45" s="106"/>
      <c r="CT45" s="106"/>
      <c r="CU45" s="106"/>
      <c r="CV45" s="106"/>
      <c r="CW45" s="106"/>
      <c r="CX45" s="106"/>
      <c r="CY45" s="106"/>
      <c r="CZ45" s="106"/>
      <c r="DA45" s="106"/>
      <c r="DB45" s="106"/>
      <c r="DC45" s="106"/>
      <c r="DD45" s="106"/>
      <c r="DE45" s="106"/>
      <c r="DF45" s="106"/>
      <c r="DG45" s="106"/>
      <c r="DH45" s="106"/>
      <c r="DI45" s="106"/>
      <c r="DJ45" s="106"/>
      <c r="DK45" s="106"/>
      <c r="DL45" s="106"/>
      <c r="DM45" s="106"/>
      <c r="DN45" s="106"/>
      <c r="DO45" s="106"/>
      <c r="DP45" s="106"/>
      <c r="DQ45" s="106"/>
      <c r="DR45" s="106"/>
      <c r="DS45" s="106"/>
      <c r="DT45" s="106"/>
      <c r="DU45" s="106"/>
      <c r="DV45" s="106"/>
      <c r="DW45" s="106"/>
      <c r="DX45" s="106"/>
      <c r="DY45" s="106"/>
      <c r="EA45" s="20">
        <f>FORMULA!$A$44</f>
        <v>3</v>
      </c>
      <c r="EB45" s="91">
        <f>FORMULA!$C44</f>
        <v>0</v>
      </c>
      <c r="EC45" s="92">
        <f>FORMULA!$E44</f>
        <v>0</v>
      </c>
      <c r="ED45" s="92">
        <f>FORMULA!$G44</f>
        <v>0</v>
      </c>
      <c r="EE45" s="92">
        <f>FORMULA!$I44</f>
        <v>0</v>
      </c>
      <c r="EF45" s="92">
        <f>FORMULA!$K44</f>
        <v>0</v>
      </c>
      <c r="EG45" s="92">
        <f>FORMULA!$M44</f>
        <v>0</v>
      </c>
      <c r="EH45" s="92">
        <f>FORMULA!$O44</f>
        <v>0</v>
      </c>
      <c r="EI45" s="92">
        <f>FORMULA!$Q44</f>
        <v>0</v>
      </c>
      <c r="EJ45" s="92">
        <f>FORMULA!$S44</f>
        <v>0</v>
      </c>
      <c r="EK45" s="92">
        <f>FORMULA!$U44</f>
        <v>0</v>
      </c>
      <c r="EL45" s="92">
        <f>FORMULA!$W44</f>
        <v>0</v>
      </c>
      <c r="EM45" s="92">
        <f>FORMULA!$Y44</f>
        <v>0</v>
      </c>
      <c r="EN45" s="92">
        <f>FORMULA!$AA44</f>
        <v>0</v>
      </c>
      <c r="EO45" s="92">
        <f>FORMULA!$AC44</f>
        <v>0</v>
      </c>
      <c r="EP45" s="92">
        <f>FORMULA!$AE44</f>
        <v>0</v>
      </c>
      <c r="EQ45" s="108"/>
      <c r="ER45" s="91">
        <f>FORMULA!$C132</f>
        <v>0</v>
      </c>
      <c r="ES45" s="92">
        <f>FORMULA!$E132</f>
        <v>0</v>
      </c>
      <c r="ET45" s="92">
        <f>FORMULA!$G132</f>
        <v>0</v>
      </c>
      <c r="EU45" s="92">
        <f>FORMULA!$I132</f>
        <v>0</v>
      </c>
      <c r="EV45" s="92">
        <f>FORMULA!$K132</f>
        <v>0</v>
      </c>
      <c r="EW45" s="92">
        <f>FORMULA!$M132</f>
        <v>0</v>
      </c>
      <c r="EX45" s="92">
        <f>FORMULA!$O132</f>
        <v>0</v>
      </c>
      <c r="EY45" s="92">
        <f>FORMULA!$Q132</f>
        <v>0</v>
      </c>
      <c r="EZ45" s="92">
        <f>FORMULA!$S132</f>
        <v>0</v>
      </c>
      <c r="FA45" s="92">
        <f>FORMULA!$U132</f>
        <v>0</v>
      </c>
      <c r="FB45" s="92">
        <f>FORMULA!$W132</f>
        <v>0</v>
      </c>
      <c r="FC45" s="92">
        <f>FORMULA!$Y132</f>
        <v>0</v>
      </c>
      <c r="FD45" s="92">
        <f>FORMULA!$AA132</f>
        <v>0</v>
      </c>
      <c r="FE45" s="92">
        <f>FORMULA!$AC132</f>
        <v>0</v>
      </c>
      <c r="FF45" s="92">
        <f>FORMULA!$AE132</f>
        <v>0</v>
      </c>
      <c r="FG45" s="94"/>
      <c r="FH45" s="91">
        <f>FORMULA!$C220</f>
        <v>0</v>
      </c>
      <c r="FI45" s="92">
        <f>FORMULA!$E220</f>
        <v>0</v>
      </c>
      <c r="FJ45" s="92">
        <f>FORMULA!$G220</f>
        <v>0</v>
      </c>
      <c r="FK45" s="92">
        <f>FORMULA!$I220</f>
        <v>0</v>
      </c>
      <c r="FL45" s="92">
        <f>FORMULA!$K220</f>
        <v>0</v>
      </c>
      <c r="FM45" s="92">
        <f>FORMULA!$M220</f>
        <v>0</v>
      </c>
      <c r="FN45" s="92">
        <f>FORMULA!$O220</f>
        <v>0</v>
      </c>
      <c r="FO45" s="92">
        <f>FORMULA!$Q220</f>
        <v>0</v>
      </c>
      <c r="FP45" s="92">
        <f>FORMULA!$S220</f>
        <v>0</v>
      </c>
      <c r="FQ45" s="92">
        <f>FORMULA!$U220</f>
        <v>0</v>
      </c>
      <c r="FR45" s="92">
        <f>FORMULA!$W220</f>
        <v>0</v>
      </c>
      <c r="FS45" s="92">
        <f>FORMULA!$Y220</f>
        <v>0</v>
      </c>
      <c r="FT45" s="92">
        <f>FORMULA!$AA220</f>
        <v>0</v>
      </c>
      <c r="FU45" s="92">
        <f>FORMULA!$AC220</f>
        <v>0</v>
      </c>
      <c r="FV45" s="92">
        <f>FORMULA!$AE220</f>
        <v>0</v>
      </c>
      <c r="FW45" s="94"/>
      <c r="FX45" s="91">
        <f>FORMULA!$C308</f>
        <v>0</v>
      </c>
      <c r="FY45" s="92">
        <f>FORMULA!$E308</f>
        <v>0</v>
      </c>
      <c r="FZ45" s="92">
        <f>FORMULA!$G308</f>
        <v>0</v>
      </c>
      <c r="GA45" s="92">
        <f>FORMULA!$I308</f>
        <v>0</v>
      </c>
      <c r="GB45" s="92">
        <f>FORMULA!$K308</f>
        <v>0</v>
      </c>
      <c r="GC45" s="92">
        <f>FORMULA!$M308</f>
        <v>0</v>
      </c>
      <c r="GD45" s="92">
        <f>FORMULA!$O308</f>
        <v>0</v>
      </c>
      <c r="GE45" s="92">
        <f>FORMULA!$Q308</f>
        <v>0</v>
      </c>
      <c r="GF45" s="92">
        <f>FORMULA!$S308</f>
        <v>0</v>
      </c>
      <c r="GG45" s="92">
        <f>FORMULA!$U308</f>
        <v>0</v>
      </c>
      <c r="GH45" s="92">
        <f>FORMULA!$W308</f>
        <v>0</v>
      </c>
      <c r="GI45" s="92">
        <f>FORMULA!$Y308</f>
        <v>0</v>
      </c>
      <c r="GJ45" s="92">
        <f>FORMULA!$AA308</f>
        <v>0</v>
      </c>
      <c r="GK45" s="92">
        <f>FORMULA!$AC308</f>
        <v>0</v>
      </c>
      <c r="GL45" s="92">
        <f>FORMULA!$AE308</f>
        <v>0</v>
      </c>
      <c r="GM45" s="207"/>
      <c r="GN45" s="91">
        <f>FORMULA!$C396</f>
        <v>0</v>
      </c>
      <c r="GO45" s="92">
        <f>FORMULA!$E396</f>
        <v>0</v>
      </c>
      <c r="GP45" s="92">
        <f>FORMULA!$G396</f>
        <v>0</v>
      </c>
      <c r="GQ45" s="92">
        <f>FORMULA!$I396</f>
        <v>0</v>
      </c>
      <c r="GR45" s="92">
        <f>FORMULA!$K396</f>
        <v>0</v>
      </c>
      <c r="GS45" s="92">
        <f>FORMULA!$M396</f>
        <v>0</v>
      </c>
      <c r="GT45" s="92">
        <f>FORMULA!$O396</f>
        <v>0</v>
      </c>
      <c r="GU45" s="92">
        <f>FORMULA!$Q396</f>
        <v>0</v>
      </c>
      <c r="GV45" s="92">
        <f>FORMULA!$S396</f>
        <v>0</v>
      </c>
      <c r="GW45" s="92">
        <f>FORMULA!$U396</f>
        <v>0</v>
      </c>
      <c r="GX45" s="92">
        <f>FORMULA!$W396</f>
        <v>0</v>
      </c>
      <c r="GY45" s="92">
        <f>FORMULA!$Y396</f>
        <v>0</v>
      </c>
      <c r="GZ45" s="92">
        <f>FORMULA!$AA396</f>
        <v>0</v>
      </c>
      <c r="HA45" s="92">
        <f>FORMULA!$AC396</f>
        <v>0</v>
      </c>
      <c r="HB45" s="92">
        <f>FORMULA!$AE396</f>
        <v>0</v>
      </c>
      <c r="HC45" s="207"/>
      <c r="HD45" s="91">
        <f>FORMULA!$C484</f>
        <v>0</v>
      </c>
      <c r="HE45" s="92">
        <f>FORMULA!$E484</f>
        <v>0</v>
      </c>
      <c r="HF45" s="92">
        <f>FORMULA!$G484</f>
        <v>0</v>
      </c>
      <c r="HG45" s="92">
        <f>FORMULA!$I484</f>
        <v>0</v>
      </c>
      <c r="HH45" s="92">
        <f>FORMULA!$K484</f>
        <v>0</v>
      </c>
      <c r="HI45" s="92">
        <f>FORMULA!$M484</f>
        <v>0</v>
      </c>
      <c r="HJ45" s="92">
        <f>FORMULA!$O484</f>
        <v>0</v>
      </c>
      <c r="HK45" s="92">
        <f>FORMULA!$Q484</f>
        <v>0</v>
      </c>
      <c r="HL45" s="92">
        <f>FORMULA!$S484</f>
        <v>0</v>
      </c>
      <c r="HM45" s="92">
        <f>FORMULA!$U484</f>
        <v>0</v>
      </c>
      <c r="HN45" s="92">
        <f>FORMULA!$W484</f>
        <v>0</v>
      </c>
      <c r="HO45" s="92">
        <f>FORMULA!$Y484</f>
        <v>0</v>
      </c>
      <c r="HP45" s="92">
        <f>FORMULA!$AA484</f>
        <v>0</v>
      </c>
      <c r="HQ45" s="92">
        <f>FORMULA!$AC484</f>
        <v>0</v>
      </c>
      <c r="HR45" s="92">
        <f>FORMULA!$AE484</f>
        <v>0</v>
      </c>
      <c r="HS45" s="207"/>
      <c r="HT45" s="91">
        <f>FORMULA!$C572</f>
        <v>0</v>
      </c>
      <c r="HU45" s="92">
        <f>FORMULA!$E572</f>
        <v>0</v>
      </c>
      <c r="HV45" s="92">
        <f>FORMULA!$G572</f>
        <v>0</v>
      </c>
      <c r="HW45" s="92">
        <f>FORMULA!$I572</f>
        <v>0</v>
      </c>
      <c r="HX45" s="92">
        <f>FORMULA!$K572</f>
        <v>0</v>
      </c>
      <c r="HY45" s="92">
        <f>FORMULA!$M572</f>
        <v>0</v>
      </c>
      <c r="HZ45" s="92">
        <f>FORMULA!$O572</f>
        <v>0</v>
      </c>
      <c r="IA45" s="92">
        <f>FORMULA!$Q572</f>
        <v>0</v>
      </c>
      <c r="IB45" s="92">
        <f>FORMULA!$S572</f>
        <v>0</v>
      </c>
      <c r="IC45" s="92">
        <f>FORMULA!$U572</f>
        <v>0</v>
      </c>
      <c r="ID45" s="92">
        <f>FORMULA!$W572</f>
        <v>0</v>
      </c>
      <c r="IE45" s="92">
        <f>FORMULA!$Y572</f>
        <v>0</v>
      </c>
      <c r="IF45" s="92">
        <f>FORMULA!$AA572</f>
        <v>0</v>
      </c>
      <c r="IG45" s="92">
        <f>FORMULA!$AC572</f>
        <v>0</v>
      </c>
      <c r="IH45" s="92">
        <f>FORMULA!$AE572</f>
        <v>0</v>
      </c>
      <c r="II45" s="207"/>
      <c r="IJ45" s="91">
        <f>FORMULA!$C660</f>
        <v>0</v>
      </c>
      <c r="IK45" s="92">
        <f>FORMULA!$E660</f>
        <v>0</v>
      </c>
      <c r="IL45" s="92">
        <f>FORMULA!$G660</f>
        <v>0</v>
      </c>
      <c r="IM45" s="92">
        <f>FORMULA!$I660</f>
        <v>0</v>
      </c>
      <c r="IN45" s="92">
        <f>FORMULA!$K660</f>
        <v>0</v>
      </c>
      <c r="IO45" s="92">
        <f>FORMULA!$M660</f>
        <v>0</v>
      </c>
      <c r="IP45" s="92">
        <f>FORMULA!$O660</f>
        <v>0</v>
      </c>
      <c r="IQ45" s="92">
        <f>FORMULA!$Q660</f>
        <v>0</v>
      </c>
      <c r="IR45" s="92">
        <f>FORMULA!$S660</f>
        <v>0</v>
      </c>
      <c r="IS45" s="92">
        <f>FORMULA!$U660</f>
        <v>0</v>
      </c>
      <c r="IT45" s="92">
        <f>FORMULA!$W660</f>
        <v>0</v>
      </c>
      <c r="IU45" s="92">
        <f>FORMULA!$Y660</f>
        <v>0</v>
      </c>
      <c r="IV45" s="92">
        <f>FORMULA!$AA660</f>
        <v>0</v>
      </c>
      <c r="IW45" s="92">
        <f>FORMULA!$AC660</f>
        <v>0</v>
      </c>
      <c r="IX45" s="92">
        <f>FORMULA!$AE660</f>
        <v>0</v>
      </c>
      <c r="IY45" s="208"/>
    </row>
    <row r="46" spans="1:259" outlineLevel="1">
      <c r="A46" s="11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  <c r="AI46" s="106"/>
      <c r="AJ46" s="106"/>
      <c r="AK46" s="106"/>
      <c r="AL46" s="106"/>
      <c r="AM46" s="106"/>
      <c r="AN46" s="106"/>
      <c r="AO46" s="106"/>
      <c r="AP46" s="106"/>
      <c r="AQ46" s="106"/>
      <c r="AR46" s="106"/>
      <c r="AS46" s="106"/>
      <c r="AT46" s="106"/>
      <c r="AU46" s="106"/>
      <c r="AV46" s="106"/>
      <c r="AW46" s="106"/>
      <c r="AX46" s="106"/>
      <c r="AY46" s="106"/>
      <c r="AZ46" s="106"/>
      <c r="BA46" s="106"/>
      <c r="BB46" s="106"/>
      <c r="BC46" s="106"/>
      <c r="BD46" s="106"/>
      <c r="BE46" s="106"/>
      <c r="BF46" s="106"/>
      <c r="BG46" s="106"/>
      <c r="BH46" s="106"/>
      <c r="BI46" s="106"/>
      <c r="BJ46" s="106"/>
      <c r="BK46" s="106"/>
      <c r="BL46" s="106"/>
      <c r="BM46" s="106"/>
      <c r="BN46" s="106"/>
      <c r="BO46" s="106"/>
      <c r="BP46" s="106"/>
      <c r="BQ46" s="106"/>
      <c r="BR46" s="106"/>
      <c r="BS46" s="106"/>
      <c r="BT46" s="106"/>
      <c r="BU46" s="106"/>
      <c r="BV46" s="106"/>
      <c r="BW46" s="106"/>
      <c r="BX46" s="106"/>
      <c r="BY46" s="106"/>
      <c r="BZ46" s="106"/>
      <c r="CA46" s="106"/>
      <c r="CB46" s="106"/>
      <c r="CC46" s="106"/>
      <c r="CD46" s="106"/>
      <c r="CE46" s="106"/>
      <c r="CF46" s="106"/>
      <c r="CG46" s="106"/>
      <c r="CH46" s="106"/>
      <c r="CI46" s="106"/>
      <c r="CJ46" s="106"/>
      <c r="CK46" s="106"/>
      <c r="CL46" s="106"/>
      <c r="CM46" s="106"/>
      <c r="CN46" s="106"/>
      <c r="CO46" s="106"/>
      <c r="CP46" s="106"/>
      <c r="CQ46" s="106"/>
      <c r="CR46" s="106"/>
      <c r="CS46" s="106"/>
      <c r="CT46" s="106"/>
      <c r="CU46" s="106"/>
      <c r="CV46" s="106"/>
      <c r="CW46" s="106"/>
      <c r="CX46" s="106"/>
      <c r="CY46" s="106"/>
      <c r="CZ46" s="106"/>
      <c r="DA46" s="106"/>
      <c r="DB46" s="106"/>
      <c r="DC46" s="106"/>
      <c r="DD46" s="106"/>
      <c r="DE46" s="106"/>
      <c r="DF46" s="106"/>
      <c r="DG46" s="106"/>
      <c r="DH46" s="106"/>
      <c r="DI46" s="106"/>
      <c r="DJ46" s="106"/>
      <c r="DK46" s="106"/>
      <c r="DL46" s="106"/>
      <c r="DM46" s="106"/>
      <c r="DN46" s="106"/>
      <c r="DO46" s="106"/>
      <c r="DP46" s="106"/>
      <c r="DQ46" s="106"/>
      <c r="DR46" s="106"/>
      <c r="DS46" s="106"/>
      <c r="DT46" s="106"/>
      <c r="DU46" s="106"/>
      <c r="DV46" s="106"/>
      <c r="DW46" s="106"/>
      <c r="DX46" s="106"/>
      <c r="DY46" s="106"/>
      <c r="EA46" s="20" t="str">
        <f>FORMULA!$A$45</f>
        <v>TOXISORB PREMIUM</v>
      </c>
      <c r="EB46" s="91">
        <f>FORMULA!$C45</f>
        <v>0.5</v>
      </c>
      <c r="EC46" s="92">
        <f>FORMULA!$E45</f>
        <v>0</v>
      </c>
      <c r="ED46" s="92">
        <f>FORMULA!$G45</f>
        <v>0</v>
      </c>
      <c r="EE46" s="92">
        <f>FORMULA!$I45</f>
        <v>0</v>
      </c>
      <c r="EF46" s="92">
        <f>FORMULA!$K45</f>
        <v>0</v>
      </c>
      <c r="EG46" s="92">
        <f>FORMULA!$M45</f>
        <v>0</v>
      </c>
      <c r="EH46" s="92">
        <f>FORMULA!$O45</f>
        <v>0</v>
      </c>
      <c r="EI46" s="92">
        <f>FORMULA!$Q45</f>
        <v>0</v>
      </c>
      <c r="EJ46" s="92">
        <f>FORMULA!$S45</f>
        <v>0</v>
      </c>
      <c r="EK46" s="92">
        <f>FORMULA!$U45</f>
        <v>0</v>
      </c>
      <c r="EL46" s="92">
        <f>FORMULA!$W45</f>
        <v>0</v>
      </c>
      <c r="EM46" s="92">
        <f>FORMULA!$Y45</f>
        <v>0</v>
      </c>
      <c r="EN46" s="92">
        <f>FORMULA!$AA45</f>
        <v>0</v>
      </c>
      <c r="EO46" s="92">
        <f>FORMULA!$AC45</f>
        <v>0</v>
      </c>
      <c r="EP46" s="92">
        <f>FORMULA!$AE45</f>
        <v>0</v>
      </c>
      <c r="EQ46" s="108"/>
      <c r="ER46" s="91">
        <f>FORMULA!$C133</f>
        <v>0.5</v>
      </c>
      <c r="ES46" s="92">
        <f>FORMULA!$E133</f>
        <v>0</v>
      </c>
      <c r="ET46" s="92">
        <f>FORMULA!$G133</f>
        <v>0</v>
      </c>
      <c r="EU46" s="92">
        <f>FORMULA!$I133</f>
        <v>0</v>
      </c>
      <c r="EV46" s="92">
        <f>FORMULA!$K133</f>
        <v>0</v>
      </c>
      <c r="EW46" s="92">
        <f>FORMULA!$M133</f>
        <v>0</v>
      </c>
      <c r="EX46" s="92">
        <f>FORMULA!$O133</f>
        <v>0</v>
      </c>
      <c r="EY46" s="92">
        <f>FORMULA!$Q133</f>
        <v>0</v>
      </c>
      <c r="EZ46" s="92">
        <f>FORMULA!$S133</f>
        <v>0</v>
      </c>
      <c r="FA46" s="92">
        <f>FORMULA!$U133</f>
        <v>0</v>
      </c>
      <c r="FB46" s="92">
        <f>FORMULA!$W133</f>
        <v>0</v>
      </c>
      <c r="FC46" s="92">
        <f>FORMULA!$Y133</f>
        <v>0</v>
      </c>
      <c r="FD46" s="92">
        <f>FORMULA!$AA133</f>
        <v>0</v>
      </c>
      <c r="FE46" s="92">
        <f>FORMULA!$AC133</f>
        <v>0</v>
      </c>
      <c r="FF46" s="92">
        <f>FORMULA!$AE133</f>
        <v>0</v>
      </c>
      <c r="FG46" s="94"/>
      <c r="FH46" s="91">
        <f>FORMULA!$C221</f>
        <v>0.5</v>
      </c>
      <c r="FI46" s="92">
        <f>FORMULA!$E221</f>
        <v>0</v>
      </c>
      <c r="FJ46" s="92">
        <f>FORMULA!$G221</f>
        <v>0</v>
      </c>
      <c r="FK46" s="92">
        <f>FORMULA!$I221</f>
        <v>0</v>
      </c>
      <c r="FL46" s="92">
        <f>FORMULA!$K221</f>
        <v>0</v>
      </c>
      <c r="FM46" s="92">
        <f>FORMULA!$M221</f>
        <v>0</v>
      </c>
      <c r="FN46" s="92">
        <f>FORMULA!$O221</f>
        <v>0</v>
      </c>
      <c r="FO46" s="92">
        <f>FORMULA!$Q221</f>
        <v>0</v>
      </c>
      <c r="FP46" s="92">
        <f>FORMULA!$S221</f>
        <v>0</v>
      </c>
      <c r="FQ46" s="92">
        <f>FORMULA!$U221</f>
        <v>0</v>
      </c>
      <c r="FR46" s="92">
        <f>FORMULA!$W221</f>
        <v>0</v>
      </c>
      <c r="FS46" s="92">
        <f>FORMULA!$Y221</f>
        <v>0</v>
      </c>
      <c r="FT46" s="92">
        <f>FORMULA!$AA221</f>
        <v>0</v>
      </c>
      <c r="FU46" s="92">
        <f>FORMULA!$AC221</f>
        <v>0</v>
      </c>
      <c r="FV46" s="92">
        <f>FORMULA!$AE221</f>
        <v>0</v>
      </c>
      <c r="FW46" s="94"/>
      <c r="FX46" s="91">
        <f>FORMULA!$C309</f>
        <v>0</v>
      </c>
      <c r="FY46" s="92">
        <f>FORMULA!$E309</f>
        <v>0</v>
      </c>
      <c r="FZ46" s="92">
        <f>FORMULA!$G309</f>
        <v>0</v>
      </c>
      <c r="GA46" s="92">
        <f>FORMULA!$I309</f>
        <v>0</v>
      </c>
      <c r="GB46" s="92">
        <f>FORMULA!$K309</f>
        <v>0</v>
      </c>
      <c r="GC46" s="92">
        <f>FORMULA!$M309</f>
        <v>0</v>
      </c>
      <c r="GD46" s="92">
        <f>FORMULA!$O309</f>
        <v>0</v>
      </c>
      <c r="GE46" s="92">
        <f>FORMULA!$Q309</f>
        <v>0</v>
      </c>
      <c r="GF46" s="92">
        <f>FORMULA!$S309</f>
        <v>0</v>
      </c>
      <c r="GG46" s="92">
        <f>FORMULA!$U309</f>
        <v>0</v>
      </c>
      <c r="GH46" s="92">
        <f>FORMULA!$W309</f>
        <v>0</v>
      </c>
      <c r="GI46" s="92">
        <f>FORMULA!$Y309</f>
        <v>0</v>
      </c>
      <c r="GJ46" s="92">
        <f>FORMULA!$AA309</f>
        <v>0</v>
      </c>
      <c r="GK46" s="92">
        <f>FORMULA!$AC309</f>
        <v>0</v>
      </c>
      <c r="GL46" s="92">
        <f>FORMULA!$AE309</f>
        <v>0</v>
      </c>
      <c r="GM46" s="207"/>
      <c r="GN46" s="91">
        <f>FORMULA!$C397</f>
        <v>0.5</v>
      </c>
      <c r="GO46" s="92">
        <f>FORMULA!$E397</f>
        <v>0.5</v>
      </c>
      <c r="GP46" s="92">
        <f>FORMULA!$G397</f>
        <v>0</v>
      </c>
      <c r="GQ46" s="92">
        <f>FORMULA!$I397</f>
        <v>0.5</v>
      </c>
      <c r="GR46" s="92">
        <f>FORMULA!$K397</f>
        <v>0.5</v>
      </c>
      <c r="GS46" s="92">
        <f>FORMULA!$M397</f>
        <v>0</v>
      </c>
      <c r="GT46" s="92">
        <f>FORMULA!$O397</f>
        <v>0</v>
      </c>
      <c r="GU46" s="92">
        <f>FORMULA!$Q397</f>
        <v>0</v>
      </c>
      <c r="GV46" s="92">
        <f>FORMULA!$S397</f>
        <v>0</v>
      </c>
      <c r="GW46" s="92">
        <f>FORMULA!$U397</f>
        <v>0</v>
      </c>
      <c r="GX46" s="92">
        <f>FORMULA!$W397</f>
        <v>0</v>
      </c>
      <c r="GY46" s="92">
        <f>FORMULA!$Y397</f>
        <v>0</v>
      </c>
      <c r="GZ46" s="92">
        <f>FORMULA!$AA397</f>
        <v>0</v>
      </c>
      <c r="HA46" s="92">
        <f>FORMULA!$AC397</f>
        <v>0</v>
      </c>
      <c r="HB46" s="92">
        <f>FORMULA!$AE397</f>
        <v>0</v>
      </c>
      <c r="HC46" s="207"/>
      <c r="HD46" s="91">
        <f>FORMULA!$C485</f>
        <v>2</v>
      </c>
      <c r="HE46" s="92">
        <f>FORMULA!$E485</f>
        <v>0</v>
      </c>
      <c r="HF46" s="92">
        <f>FORMULA!$G485</f>
        <v>0</v>
      </c>
      <c r="HG46" s="92">
        <f>FORMULA!$I485</f>
        <v>0</v>
      </c>
      <c r="HH46" s="92">
        <f>FORMULA!$K485</f>
        <v>0</v>
      </c>
      <c r="HI46" s="92">
        <f>FORMULA!$M485</f>
        <v>0</v>
      </c>
      <c r="HJ46" s="92">
        <f>FORMULA!$O485</f>
        <v>0</v>
      </c>
      <c r="HK46" s="92">
        <f>FORMULA!$Q485</f>
        <v>0</v>
      </c>
      <c r="HL46" s="92">
        <f>FORMULA!$S485</f>
        <v>0</v>
      </c>
      <c r="HM46" s="92">
        <f>FORMULA!$U485</f>
        <v>0</v>
      </c>
      <c r="HN46" s="92">
        <f>FORMULA!$W485</f>
        <v>0</v>
      </c>
      <c r="HO46" s="92">
        <f>FORMULA!$Y485</f>
        <v>0</v>
      </c>
      <c r="HP46" s="92">
        <f>FORMULA!$AA485</f>
        <v>0</v>
      </c>
      <c r="HQ46" s="92">
        <f>FORMULA!$AC485</f>
        <v>0</v>
      </c>
      <c r="HR46" s="92">
        <f>FORMULA!$AE485</f>
        <v>0</v>
      </c>
      <c r="HS46" s="207"/>
      <c r="HT46" s="91">
        <f>FORMULA!$C573</f>
        <v>2</v>
      </c>
      <c r="HU46" s="92">
        <f>FORMULA!$E573</f>
        <v>0</v>
      </c>
      <c r="HV46" s="92">
        <f>FORMULA!$G573</f>
        <v>0</v>
      </c>
      <c r="HW46" s="92">
        <f>FORMULA!$I573</f>
        <v>0</v>
      </c>
      <c r="HX46" s="92">
        <f>FORMULA!$K573</f>
        <v>0</v>
      </c>
      <c r="HY46" s="92">
        <f>FORMULA!$M573</f>
        <v>0</v>
      </c>
      <c r="HZ46" s="92">
        <f>FORMULA!$O573</f>
        <v>0</v>
      </c>
      <c r="IA46" s="92">
        <f>FORMULA!$Q573</f>
        <v>0</v>
      </c>
      <c r="IB46" s="92">
        <f>FORMULA!$S573</f>
        <v>0</v>
      </c>
      <c r="IC46" s="92">
        <f>FORMULA!$U573</f>
        <v>0</v>
      </c>
      <c r="ID46" s="92">
        <f>FORMULA!$W573</f>
        <v>0</v>
      </c>
      <c r="IE46" s="92">
        <f>FORMULA!$Y573</f>
        <v>0</v>
      </c>
      <c r="IF46" s="92">
        <f>FORMULA!$AA573</f>
        <v>0</v>
      </c>
      <c r="IG46" s="92">
        <f>FORMULA!$AC573</f>
        <v>0</v>
      </c>
      <c r="IH46" s="92">
        <f>FORMULA!$AE573</f>
        <v>0</v>
      </c>
      <c r="II46" s="207"/>
      <c r="IJ46" s="91">
        <f>FORMULA!$C661</f>
        <v>2</v>
      </c>
      <c r="IK46" s="92">
        <f>FORMULA!$E661</f>
        <v>0</v>
      </c>
      <c r="IL46" s="92">
        <f>FORMULA!$G661</f>
        <v>0</v>
      </c>
      <c r="IM46" s="92">
        <f>FORMULA!$I661</f>
        <v>0</v>
      </c>
      <c r="IN46" s="92">
        <f>FORMULA!$K661</f>
        <v>0</v>
      </c>
      <c r="IO46" s="92">
        <f>FORMULA!$M661</f>
        <v>0</v>
      </c>
      <c r="IP46" s="92">
        <f>FORMULA!$O661</f>
        <v>0</v>
      </c>
      <c r="IQ46" s="92">
        <f>FORMULA!$Q661</f>
        <v>0</v>
      </c>
      <c r="IR46" s="92">
        <f>FORMULA!$S661</f>
        <v>0</v>
      </c>
      <c r="IS46" s="92">
        <f>FORMULA!$U661</f>
        <v>0</v>
      </c>
      <c r="IT46" s="92">
        <f>FORMULA!$W661</f>
        <v>0</v>
      </c>
      <c r="IU46" s="92">
        <f>FORMULA!$Y661</f>
        <v>0</v>
      </c>
      <c r="IV46" s="92">
        <f>FORMULA!$AA661</f>
        <v>0</v>
      </c>
      <c r="IW46" s="92">
        <f>FORMULA!$AC661</f>
        <v>0</v>
      </c>
      <c r="IX46" s="92">
        <f>FORMULA!$AE661</f>
        <v>0</v>
      </c>
      <c r="IY46" s="208"/>
    </row>
    <row r="47" spans="1:259" outlineLevel="1">
      <c r="A47" s="11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  <c r="AC47" s="106"/>
      <c r="AD47" s="106"/>
      <c r="AE47" s="106"/>
      <c r="AF47" s="106"/>
      <c r="AG47" s="106"/>
      <c r="AH47" s="106"/>
      <c r="AI47" s="106"/>
      <c r="AJ47" s="106"/>
      <c r="AK47" s="106"/>
      <c r="AL47" s="106"/>
      <c r="AM47" s="106"/>
      <c r="AN47" s="106"/>
      <c r="AO47" s="106"/>
      <c r="AP47" s="106"/>
      <c r="AQ47" s="106"/>
      <c r="AR47" s="106"/>
      <c r="AS47" s="106"/>
      <c r="AT47" s="106"/>
      <c r="AU47" s="106"/>
      <c r="AV47" s="106"/>
      <c r="AW47" s="106"/>
      <c r="AX47" s="106"/>
      <c r="AY47" s="106"/>
      <c r="AZ47" s="106"/>
      <c r="BA47" s="106"/>
      <c r="BB47" s="106"/>
      <c r="BC47" s="106"/>
      <c r="BD47" s="106"/>
      <c r="BE47" s="106"/>
      <c r="BF47" s="106"/>
      <c r="BG47" s="106"/>
      <c r="BH47" s="106"/>
      <c r="BI47" s="106"/>
      <c r="BJ47" s="106"/>
      <c r="BK47" s="106"/>
      <c r="BL47" s="106"/>
      <c r="BM47" s="106"/>
      <c r="BN47" s="106"/>
      <c r="BO47" s="106"/>
      <c r="BP47" s="106"/>
      <c r="BQ47" s="106"/>
      <c r="BR47" s="106"/>
      <c r="BS47" s="106"/>
      <c r="BT47" s="106"/>
      <c r="BU47" s="106"/>
      <c r="BV47" s="106"/>
      <c r="BW47" s="106"/>
      <c r="BX47" s="106"/>
      <c r="BY47" s="106"/>
      <c r="BZ47" s="106"/>
      <c r="CA47" s="106"/>
      <c r="CB47" s="106"/>
      <c r="CC47" s="106"/>
      <c r="CD47" s="106"/>
      <c r="CE47" s="106"/>
      <c r="CF47" s="106"/>
      <c r="CG47" s="106"/>
      <c r="CH47" s="106"/>
      <c r="CI47" s="106"/>
      <c r="CJ47" s="106"/>
      <c r="CK47" s="106"/>
      <c r="CL47" s="106"/>
      <c r="CM47" s="106"/>
      <c r="CN47" s="106"/>
      <c r="CO47" s="106"/>
      <c r="CP47" s="106"/>
      <c r="CQ47" s="106"/>
      <c r="CR47" s="106"/>
      <c r="CS47" s="106"/>
      <c r="CT47" s="106"/>
      <c r="CU47" s="106"/>
      <c r="CV47" s="106"/>
      <c r="CW47" s="106"/>
      <c r="CX47" s="106"/>
      <c r="CY47" s="106"/>
      <c r="CZ47" s="106"/>
      <c r="DA47" s="106"/>
      <c r="DB47" s="106"/>
      <c r="DC47" s="106"/>
      <c r="DD47" s="106"/>
      <c r="DE47" s="106"/>
      <c r="DF47" s="106"/>
      <c r="DG47" s="106"/>
      <c r="DH47" s="106"/>
      <c r="DI47" s="106"/>
      <c r="DJ47" s="106"/>
      <c r="DK47" s="106"/>
      <c r="DL47" s="106"/>
      <c r="DM47" s="106"/>
      <c r="DN47" s="106"/>
      <c r="DO47" s="106"/>
      <c r="DP47" s="106"/>
      <c r="DQ47" s="106"/>
      <c r="DR47" s="106"/>
      <c r="DS47" s="106"/>
      <c r="DT47" s="106"/>
      <c r="DU47" s="106"/>
      <c r="DV47" s="106"/>
      <c r="DW47" s="106"/>
      <c r="DX47" s="106"/>
      <c r="DY47" s="106"/>
      <c r="EA47" s="20" t="str">
        <f>FORMULA!$A$46</f>
        <v>SODIUM HUMATE 3.8% (HARUMI)</v>
      </c>
      <c r="EB47" s="91">
        <f>FORMULA!$C46</f>
        <v>0</v>
      </c>
      <c r="EC47" s="92">
        <f>FORMULA!$E46</f>
        <v>0</v>
      </c>
      <c r="ED47" s="92">
        <f>FORMULA!$G46</f>
        <v>0</v>
      </c>
      <c r="EE47" s="92">
        <f>FORMULA!$I46</f>
        <v>0</v>
      </c>
      <c r="EF47" s="92">
        <f>FORMULA!$K46</f>
        <v>0</v>
      </c>
      <c r="EG47" s="92">
        <f>FORMULA!$M46</f>
        <v>0</v>
      </c>
      <c r="EH47" s="92">
        <f>FORMULA!$O46</f>
        <v>0</v>
      </c>
      <c r="EI47" s="92">
        <f>FORMULA!$Q46</f>
        <v>0</v>
      </c>
      <c r="EJ47" s="92">
        <f>FORMULA!$S46</f>
        <v>0</v>
      </c>
      <c r="EK47" s="92">
        <f>FORMULA!$U46</f>
        <v>0</v>
      </c>
      <c r="EL47" s="92">
        <f>FORMULA!$W46</f>
        <v>0</v>
      </c>
      <c r="EM47" s="92">
        <f>FORMULA!$Y46</f>
        <v>0</v>
      </c>
      <c r="EN47" s="92">
        <f>FORMULA!$AA46</f>
        <v>0</v>
      </c>
      <c r="EO47" s="92">
        <f>FORMULA!$AC46</f>
        <v>0</v>
      </c>
      <c r="EP47" s="92">
        <f>FORMULA!$AE46</f>
        <v>0</v>
      </c>
      <c r="EQ47" s="108"/>
      <c r="ER47" s="91">
        <f>FORMULA!$C134</f>
        <v>0</v>
      </c>
      <c r="ES47" s="92">
        <f>FORMULA!$E134</f>
        <v>0</v>
      </c>
      <c r="ET47" s="92">
        <f>FORMULA!$G134</f>
        <v>0</v>
      </c>
      <c r="EU47" s="92">
        <f>FORMULA!$I134</f>
        <v>0</v>
      </c>
      <c r="EV47" s="92">
        <f>FORMULA!$K134</f>
        <v>0</v>
      </c>
      <c r="EW47" s="92">
        <f>FORMULA!$M134</f>
        <v>0</v>
      </c>
      <c r="EX47" s="92">
        <f>FORMULA!$O134</f>
        <v>0</v>
      </c>
      <c r="EY47" s="92">
        <f>FORMULA!$Q134</f>
        <v>0</v>
      </c>
      <c r="EZ47" s="92">
        <f>FORMULA!$S134</f>
        <v>0</v>
      </c>
      <c r="FA47" s="92">
        <f>FORMULA!$U134</f>
        <v>0</v>
      </c>
      <c r="FB47" s="92">
        <f>FORMULA!$W134</f>
        <v>0</v>
      </c>
      <c r="FC47" s="92">
        <f>FORMULA!$Y134</f>
        <v>0</v>
      </c>
      <c r="FD47" s="92">
        <f>FORMULA!$AA134</f>
        <v>0</v>
      </c>
      <c r="FE47" s="92">
        <f>FORMULA!$AC134</f>
        <v>0</v>
      </c>
      <c r="FF47" s="92">
        <f>FORMULA!$AE134</f>
        <v>0</v>
      </c>
      <c r="FG47" s="94"/>
      <c r="FH47" s="91">
        <f>FORMULA!$C222</f>
        <v>0</v>
      </c>
      <c r="FI47" s="92">
        <f>FORMULA!$E222</f>
        <v>0</v>
      </c>
      <c r="FJ47" s="92">
        <f>FORMULA!$G222</f>
        <v>0</v>
      </c>
      <c r="FK47" s="92">
        <f>FORMULA!$I222</f>
        <v>0</v>
      </c>
      <c r="FL47" s="92">
        <f>FORMULA!$K222</f>
        <v>0</v>
      </c>
      <c r="FM47" s="92">
        <f>FORMULA!$M222</f>
        <v>0</v>
      </c>
      <c r="FN47" s="92">
        <f>FORMULA!$O222</f>
        <v>0</v>
      </c>
      <c r="FO47" s="92">
        <f>FORMULA!$Q222</f>
        <v>0</v>
      </c>
      <c r="FP47" s="92">
        <f>FORMULA!$S222</f>
        <v>0</v>
      </c>
      <c r="FQ47" s="92">
        <f>FORMULA!$U222</f>
        <v>0</v>
      </c>
      <c r="FR47" s="92">
        <f>FORMULA!$W222</f>
        <v>0</v>
      </c>
      <c r="FS47" s="92">
        <f>FORMULA!$Y222</f>
        <v>0</v>
      </c>
      <c r="FT47" s="92">
        <f>FORMULA!$AA222</f>
        <v>0</v>
      </c>
      <c r="FU47" s="92">
        <f>FORMULA!$AC222</f>
        <v>0</v>
      </c>
      <c r="FV47" s="92">
        <f>FORMULA!$AE222</f>
        <v>0</v>
      </c>
      <c r="FW47" s="94"/>
      <c r="FX47" s="91">
        <f>FORMULA!$C310</f>
        <v>0</v>
      </c>
      <c r="FY47" s="92">
        <f>FORMULA!$E310</f>
        <v>0</v>
      </c>
      <c r="FZ47" s="92">
        <f>FORMULA!$G310</f>
        <v>0</v>
      </c>
      <c r="GA47" s="92">
        <f>FORMULA!$I310</f>
        <v>0</v>
      </c>
      <c r="GB47" s="92">
        <f>FORMULA!$K310</f>
        <v>0</v>
      </c>
      <c r="GC47" s="92">
        <f>FORMULA!$M310</f>
        <v>0</v>
      </c>
      <c r="GD47" s="92">
        <f>FORMULA!$O310</f>
        <v>0</v>
      </c>
      <c r="GE47" s="92">
        <f>FORMULA!$Q310</f>
        <v>0</v>
      </c>
      <c r="GF47" s="92">
        <f>FORMULA!$S310</f>
        <v>0</v>
      </c>
      <c r="GG47" s="92">
        <f>FORMULA!$U310</f>
        <v>0</v>
      </c>
      <c r="GH47" s="92">
        <f>FORMULA!$W310</f>
        <v>0</v>
      </c>
      <c r="GI47" s="92">
        <f>FORMULA!$Y310</f>
        <v>0</v>
      </c>
      <c r="GJ47" s="92">
        <f>FORMULA!$AA310</f>
        <v>0</v>
      </c>
      <c r="GK47" s="92">
        <f>FORMULA!$AC310</f>
        <v>0</v>
      </c>
      <c r="GL47" s="92">
        <f>FORMULA!$AE310</f>
        <v>0</v>
      </c>
      <c r="GM47" s="207"/>
      <c r="GN47" s="91">
        <f>FORMULA!$C398</f>
        <v>3</v>
      </c>
      <c r="GO47" s="92">
        <f>FORMULA!$E398</f>
        <v>3</v>
      </c>
      <c r="GP47" s="92">
        <f>FORMULA!$G398</f>
        <v>0</v>
      </c>
      <c r="GQ47" s="92">
        <f>FORMULA!$I398</f>
        <v>3</v>
      </c>
      <c r="GR47" s="92">
        <f>FORMULA!$K398</f>
        <v>3</v>
      </c>
      <c r="GS47" s="92">
        <f>FORMULA!$M398</f>
        <v>3</v>
      </c>
      <c r="GT47" s="92">
        <f>FORMULA!$O398</f>
        <v>3</v>
      </c>
      <c r="GU47" s="92">
        <f>FORMULA!$Q398</f>
        <v>3</v>
      </c>
      <c r="GV47" s="92">
        <f>FORMULA!$S398</f>
        <v>3</v>
      </c>
      <c r="GW47" s="92">
        <f>FORMULA!$U398</f>
        <v>3</v>
      </c>
      <c r="GX47" s="92">
        <f>FORMULA!$W398</f>
        <v>3</v>
      </c>
      <c r="GY47" s="92">
        <f>FORMULA!$Y398</f>
        <v>3</v>
      </c>
      <c r="GZ47" s="92">
        <f>FORMULA!$AA398</f>
        <v>3</v>
      </c>
      <c r="HA47" s="92">
        <f>FORMULA!$AC398</f>
        <v>3</v>
      </c>
      <c r="HB47" s="92">
        <f>FORMULA!$AE398</f>
        <v>3</v>
      </c>
      <c r="HC47" s="207"/>
      <c r="HD47" s="91">
        <f>FORMULA!$C486</f>
        <v>3</v>
      </c>
      <c r="HE47" s="92">
        <f>FORMULA!$E486</f>
        <v>3</v>
      </c>
      <c r="HF47" s="92">
        <f>FORMULA!$G486</f>
        <v>3</v>
      </c>
      <c r="HG47" s="92">
        <f>FORMULA!$I486</f>
        <v>0</v>
      </c>
      <c r="HH47" s="92">
        <f>FORMULA!$K486</f>
        <v>0</v>
      </c>
      <c r="HI47" s="92">
        <f>FORMULA!$M486</f>
        <v>0</v>
      </c>
      <c r="HJ47" s="92">
        <f>FORMULA!$O486</f>
        <v>0</v>
      </c>
      <c r="HK47" s="92">
        <f>FORMULA!$Q486</f>
        <v>0</v>
      </c>
      <c r="HL47" s="92">
        <f>FORMULA!$S486</f>
        <v>0</v>
      </c>
      <c r="HM47" s="92">
        <f>FORMULA!$U486</f>
        <v>5</v>
      </c>
      <c r="HN47" s="92">
        <f>FORMULA!$W486</f>
        <v>5</v>
      </c>
      <c r="HO47" s="92">
        <f>FORMULA!$Y486</f>
        <v>0</v>
      </c>
      <c r="HP47" s="92">
        <f>FORMULA!$AA486</f>
        <v>0</v>
      </c>
      <c r="HQ47" s="92">
        <f>FORMULA!$AC486</f>
        <v>0</v>
      </c>
      <c r="HR47" s="92">
        <f>FORMULA!$AE486</f>
        <v>0</v>
      </c>
      <c r="HS47" s="207"/>
      <c r="HT47" s="91">
        <f>FORMULA!$C574</f>
        <v>3</v>
      </c>
      <c r="HU47" s="92">
        <f>FORMULA!$E574</f>
        <v>3</v>
      </c>
      <c r="HV47" s="92">
        <f>FORMULA!$G574</f>
        <v>3</v>
      </c>
      <c r="HW47" s="92">
        <f>FORMULA!$I574</f>
        <v>0</v>
      </c>
      <c r="HX47" s="92">
        <f>FORMULA!$K574</f>
        <v>0</v>
      </c>
      <c r="HY47" s="92">
        <f>FORMULA!$M574</f>
        <v>0</v>
      </c>
      <c r="HZ47" s="92">
        <f>FORMULA!$O574</f>
        <v>0</v>
      </c>
      <c r="IA47" s="92">
        <f>FORMULA!$Q574</f>
        <v>0</v>
      </c>
      <c r="IB47" s="92">
        <f>FORMULA!$S574</f>
        <v>0</v>
      </c>
      <c r="IC47" s="92">
        <f>FORMULA!$U574</f>
        <v>0</v>
      </c>
      <c r="ID47" s="92">
        <f>FORMULA!$W574</f>
        <v>0</v>
      </c>
      <c r="IE47" s="92">
        <f>FORMULA!$Y574</f>
        <v>0</v>
      </c>
      <c r="IF47" s="92">
        <f>FORMULA!$AA574</f>
        <v>0</v>
      </c>
      <c r="IG47" s="92">
        <f>FORMULA!$AC574</f>
        <v>0</v>
      </c>
      <c r="IH47" s="92">
        <f>FORMULA!$AE574</f>
        <v>0</v>
      </c>
      <c r="II47" s="207"/>
      <c r="IJ47" s="91">
        <f>FORMULA!$C662</f>
        <v>3</v>
      </c>
      <c r="IK47" s="92">
        <f>FORMULA!$E662</f>
        <v>3</v>
      </c>
      <c r="IL47" s="92">
        <f>FORMULA!$G662</f>
        <v>3</v>
      </c>
      <c r="IM47" s="92">
        <f>FORMULA!$I662</f>
        <v>3</v>
      </c>
      <c r="IN47" s="92">
        <f>FORMULA!$K662</f>
        <v>0</v>
      </c>
      <c r="IO47" s="92">
        <f>FORMULA!$M662</f>
        <v>0</v>
      </c>
      <c r="IP47" s="92">
        <f>FORMULA!$O662</f>
        <v>0</v>
      </c>
      <c r="IQ47" s="92">
        <f>FORMULA!$Q662</f>
        <v>0</v>
      </c>
      <c r="IR47" s="92">
        <f>FORMULA!$S662</f>
        <v>0</v>
      </c>
      <c r="IS47" s="92">
        <f>FORMULA!$U662</f>
        <v>0</v>
      </c>
      <c r="IT47" s="92">
        <f>FORMULA!$W662</f>
        <v>0</v>
      </c>
      <c r="IU47" s="92">
        <f>FORMULA!$Y662</f>
        <v>0</v>
      </c>
      <c r="IV47" s="92">
        <f>FORMULA!$AA662</f>
        <v>0</v>
      </c>
      <c r="IW47" s="92">
        <f>FORMULA!$AC662</f>
        <v>0</v>
      </c>
      <c r="IX47" s="92">
        <f>FORMULA!$AE662</f>
        <v>0</v>
      </c>
      <c r="IY47" s="208"/>
    </row>
    <row r="48" spans="1:259" outlineLevel="1">
      <c r="A48" s="11"/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  <c r="AI48" s="106"/>
      <c r="AJ48" s="106"/>
      <c r="AK48" s="106"/>
      <c r="AL48" s="106"/>
      <c r="AM48" s="106"/>
      <c r="AN48" s="106"/>
      <c r="AO48" s="106"/>
      <c r="AP48" s="106"/>
      <c r="AQ48" s="106"/>
      <c r="AR48" s="106"/>
      <c r="AS48" s="106"/>
      <c r="AT48" s="106"/>
      <c r="AU48" s="106"/>
      <c r="AV48" s="106"/>
      <c r="AW48" s="106"/>
      <c r="AX48" s="106"/>
      <c r="AY48" s="106"/>
      <c r="AZ48" s="106"/>
      <c r="BA48" s="106"/>
      <c r="BB48" s="106"/>
      <c r="BC48" s="106"/>
      <c r="BD48" s="106"/>
      <c r="BE48" s="106"/>
      <c r="BF48" s="106"/>
      <c r="BG48" s="106"/>
      <c r="BH48" s="106"/>
      <c r="BI48" s="106"/>
      <c r="BJ48" s="106"/>
      <c r="BK48" s="106"/>
      <c r="BL48" s="106"/>
      <c r="BM48" s="106"/>
      <c r="BN48" s="106"/>
      <c r="BO48" s="106"/>
      <c r="BP48" s="106"/>
      <c r="BQ48" s="106"/>
      <c r="BR48" s="106"/>
      <c r="BS48" s="106"/>
      <c r="BT48" s="106"/>
      <c r="BU48" s="106"/>
      <c r="BV48" s="106"/>
      <c r="BW48" s="106"/>
      <c r="BX48" s="106"/>
      <c r="BY48" s="106"/>
      <c r="BZ48" s="106"/>
      <c r="CA48" s="106"/>
      <c r="CB48" s="106"/>
      <c r="CC48" s="106"/>
      <c r="CD48" s="106"/>
      <c r="CE48" s="106"/>
      <c r="CF48" s="106"/>
      <c r="CG48" s="106"/>
      <c r="CH48" s="106"/>
      <c r="CI48" s="106"/>
      <c r="CJ48" s="106"/>
      <c r="CK48" s="106"/>
      <c r="CL48" s="106"/>
      <c r="CM48" s="106"/>
      <c r="CN48" s="106"/>
      <c r="CO48" s="106"/>
      <c r="CP48" s="106"/>
      <c r="CQ48" s="106"/>
      <c r="CR48" s="106"/>
      <c r="CS48" s="106"/>
      <c r="CT48" s="106"/>
      <c r="CU48" s="106"/>
      <c r="CV48" s="106"/>
      <c r="CW48" s="106"/>
      <c r="CX48" s="106"/>
      <c r="CY48" s="106"/>
      <c r="CZ48" s="106"/>
      <c r="DA48" s="106"/>
      <c r="DB48" s="106"/>
      <c r="DC48" s="106"/>
      <c r="DD48" s="106"/>
      <c r="DE48" s="106"/>
      <c r="DF48" s="106"/>
      <c r="DG48" s="106"/>
      <c r="DH48" s="106"/>
      <c r="DI48" s="106"/>
      <c r="DJ48" s="106"/>
      <c r="DK48" s="106"/>
      <c r="DL48" s="106"/>
      <c r="DM48" s="106"/>
      <c r="DN48" s="106"/>
      <c r="DO48" s="106"/>
      <c r="DP48" s="106"/>
      <c r="DQ48" s="106"/>
      <c r="DR48" s="106"/>
      <c r="DS48" s="106"/>
      <c r="DT48" s="106"/>
      <c r="DU48" s="106"/>
      <c r="DV48" s="106"/>
      <c r="DW48" s="106"/>
      <c r="DX48" s="106"/>
      <c r="DY48" s="106"/>
      <c r="EA48" s="20" t="str">
        <f>FORMULA!$A$47</f>
        <v>TOXIWALL</v>
      </c>
      <c r="EB48" s="91">
        <f>FORMULA!$C47</f>
        <v>0</v>
      </c>
      <c r="EC48" s="92">
        <f>FORMULA!$E47</f>
        <v>0</v>
      </c>
      <c r="ED48" s="92">
        <f>FORMULA!$G47</f>
        <v>0</v>
      </c>
      <c r="EE48" s="92">
        <f>FORMULA!$I47</f>
        <v>0</v>
      </c>
      <c r="EF48" s="92">
        <f>FORMULA!$K47</f>
        <v>0</v>
      </c>
      <c r="EG48" s="92">
        <f>FORMULA!$M47</f>
        <v>0</v>
      </c>
      <c r="EH48" s="92">
        <f>FORMULA!$O47</f>
        <v>0</v>
      </c>
      <c r="EI48" s="92">
        <f>FORMULA!$Q47</f>
        <v>0</v>
      </c>
      <c r="EJ48" s="92">
        <f>FORMULA!$S47</f>
        <v>0</v>
      </c>
      <c r="EK48" s="92">
        <f>FORMULA!$U47</f>
        <v>0</v>
      </c>
      <c r="EL48" s="92">
        <f>FORMULA!$W47</f>
        <v>0</v>
      </c>
      <c r="EM48" s="92">
        <f>FORMULA!$Y47</f>
        <v>0</v>
      </c>
      <c r="EN48" s="92">
        <f>FORMULA!$AA47</f>
        <v>0</v>
      </c>
      <c r="EO48" s="92">
        <f>FORMULA!$AC47</f>
        <v>0</v>
      </c>
      <c r="EP48" s="92">
        <f>FORMULA!$AE47</f>
        <v>0</v>
      </c>
      <c r="EQ48" s="108"/>
      <c r="ER48" s="91">
        <f>FORMULA!$C135</f>
        <v>0</v>
      </c>
      <c r="ES48" s="92">
        <f>FORMULA!$E135</f>
        <v>0</v>
      </c>
      <c r="ET48" s="92">
        <f>FORMULA!$G135</f>
        <v>0</v>
      </c>
      <c r="EU48" s="92">
        <f>FORMULA!$I135</f>
        <v>0</v>
      </c>
      <c r="EV48" s="92">
        <f>FORMULA!$K135</f>
        <v>0</v>
      </c>
      <c r="EW48" s="92">
        <f>FORMULA!$M135</f>
        <v>0</v>
      </c>
      <c r="EX48" s="92">
        <f>FORMULA!$O135</f>
        <v>0</v>
      </c>
      <c r="EY48" s="92">
        <f>FORMULA!$Q135</f>
        <v>0</v>
      </c>
      <c r="EZ48" s="92">
        <f>FORMULA!$S135</f>
        <v>0</v>
      </c>
      <c r="FA48" s="92">
        <f>FORMULA!$U135</f>
        <v>0</v>
      </c>
      <c r="FB48" s="92">
        <f>FORMULA!$W135</f>
        <v>0</v>
      </c>
      <c r="FC48" s="92">
        <f>FORMULA!$Y135</f>
        <v>0</v>
      </c>
      <c r="FD48" s="92">
        <f>FORMULA!$AA135</f>
        <v>0</v>
      </c>
      <c r="FE48" s="92">
        <f>FORMULA!$AC135</f>
        <v>0</v>
      </c>
      <c r="FF48" s="92">
        <f>FORMULA!$AE135</f>
        <v>0</v>
      </c>
      <c r="FG48" s="94"/>
      <c r="FH48" s="91">
        <f>FORMULA!$C223</f>
        <v>0</v>
      </c>
      <c r="FI48" s="92">
        <f>FORMULA!$E223</f>
        <v>0</v>
      </c>
      <c r="FJ48" s="92">
        <f>FORMULA!$G223</f>
        <v>0</v>
      </c>
      <c r="FK48" s="92">
        <f>FORMULA!$I223</f>
        <v>0</v>
      </c>
      <c r="FL48" s="92">
        <f>FORMULA!$K223</f>
        <v>0</v>
      </c>
      <c r="FM48" s="92">
        <f>FORMULA!$M223</f>
        <v>0</v>
      </c>
      <c r="FN48" s="92">
        <f>FORMULA!$O223</f>
        <v>0</v>
      </c>
      <c r="FO48" s="92">
        <f>FORMULA!$Q223</f>
        <v>0</v>
      </c>
      <c r="FP48" s="92">
        <f>FORMULA!$S223</f>
        <v>0</v>
      </c>
      <c r="FQ48" s="92">
        <f>FORMULA!$U223</f>
        <v>0</v>
      </c>
      <c r="FR48" s="92">
        <f>FORMULA!$W223</f>
        <v>0</v>
      </c>
      <c r="FS48" s="92">
        <f>FORMULA!$Y223</f>
        <v>0</v>
      </c>
      <c r="FT48" s="92">
        <f>FORMULA!$AA223</f>
        <v>0</v>
      </c>
      <c r="FU48" s="92">
        <f>FORMULA!$AC223</f>
        <v>0</v>
      </c>
      <c r="FV48" s="92">
        <f>FORMULA!$AE223</f>
        <v>0</v>
      </c>
      <c r="FW48" s="94"/>
      <c r="FX48" s="91">
        <f>FORMULA!$C311</f>
        <v>0</v>
      </c>
      <c r="FY48" s="92">
        <f>FORMULA!$E311</f>
        <v>0</v>
      </c>
      <c r="FZ48" s="92">
        <f>FORMULA!$G311</f>
        <v>0</v>
      </c>
      <c r="GA48" s="92">
        <f>FORMULA!$I311</f>
        <v>0</v>
      </c>
      <c r="GB48" s="92">
        <f>FORMULA!$K311</f>
        <v>0</v>
      </c>
      <c r="GC48" s="92">
        <f>FORMULA!$M311</f>
        <v>0</v>
      </c>
      <c r="GD48" s="92">
        <f>FORMULA!$O311</f>
        <v>0</v>
      </c>
      <c r="GE48" s="92">
        <f>FORMULA!$Q311</f>
        <v>0</v>
      </c>
      <c r="GF48" s="92">
        <f>FORMULA!$S311</f>
        <v>0</v>
      </c>
      <c r="GG48" s="92">
        <f>FORMULA!$U311</f>
        <v>0</v>
      </c>
      <c r="GH48" s="92">
        <f>FORMULA!$W311</f>
        <v>0</v>
      </c>
      <c r="GI48" s="92">
        <f>FORMULA!$Y311</f>
        <v>0</v>
      </c>
      <c r="GJ48" s="92">
        <f>FORMULA!$AA311</f>
        <v>0</v>
      </c>
      <c r="GK48" s="92">
        <f>FORMULA!$AC311</f>
        <v>0</v>
      </c>
      <c r="GL48" s="92">
        <f>FORMULA!$AE311</f>
        <v>0</v>
      </c>
      <c r="GM48" s="207"/>
      <c r="GN48" s="91">
        <f>FORMULA!$C399</f>
        <v>0</v>
      </c>
      <c r="GO48" s="92">
        <f>FORMULA!$E399</f>
        <v>0</v>
      </c>
      <c r="GP48" s="92">
        <f>FORMULA!$G399</f>
        <v>0</v>
      </c>
      <c r="GQ48" s="92">
        <f>FORMULA!$I399</f>
        <v>0</v>
      </c>
      <c r="GR48" s="92">
        <f>FORMULA!$K399</f>
        <v>0</v>
      </c>
      <c r="GS48" s="92">
        <f>FORMULA!$M399</f>
        <v>0</v>
      </c>
      <c r="GT48" s="92">
        <f>FORMULA!$O399</f>
        <v>0</v>
      </c>
      <c r="GU48" s="92">
        <f>FORMULA!$Q399</f>
        <v>0</v>
      </c>
      <c r="GV48" s="92">
        <f>FORMULA!$S399</f>
        <v>0</v>
      </c>
      <c r="GW48" s="92">
        <f>FORMULA!$U399</f>
        <v>0</v>
      </c>
      <c r="GX48" s="92">
        <f>FORMULA!$W399</f>
        <v>0</v>
      </c>
      <c r="GY48" s="92">
        <f>FORMULA!$Y399</f>
        <v>0</v>
      </c>
      <c r="GZ48" s="92">
        <f>FORMULA!$AA399</f>
        <v>0</v>
      </c>
      <c r="HA48" s="92">
        <f>FORMULA!$AC399</f>
        <v>0</v>
      </c>
      <c r="HB48" s="92">
        <f>FORMULA!$AE399</f>
        <v>0</v>
      </c>
      <c r="HC48" s="207"/>
      <c r="HD48" s="91">
        <f>FORMULA!$C487</f>
        <v>0</v>
      </c>
      <c r="HE48" s="92">
        <f>FORMULA!$E487</f>
        <v>1</v>
      </c>
      <c r="HF48" s="92">
        <f>FORMULA!$G487</f>
        <v>1</v>
      </c>
      <c r="HG48" s="92">
        <f>FORMULA!$I487</f>
        <v>0</v>
      </c>
      <c r="HH48" s="92">
        <f>FORMULA!$K487</f>
        <v>0</v>
      </c>
      <c r="HI48" s="92">
        <f>FORMULA!$M487</f>
        <v>0</v>
      </c>
      <c r="HJ48" s="92">
        <f>FORMULA!$O487</f>
        <v>0</v>
      </c>
      <c r="HK48" s="92">
        <f>FORMULA!$Q487</f>
        <v>0</v>
      </c>
      <c r="HL48" s="92">
        <f>FORMULA!$S487</f>
        <v>0</v>
      </c>
      <c r="HM48" s="92">
        <f>FORMULA!$U487</f>
        <v>0</v>
      </c>
      <c r="HN48" s="92">
        <f>FORMULA!$W487</f>
        <v>0</v>
      </c>
      <c r="HO48" s="92">
        <f>FORMULA!$Y487</f>
        <v>0</v>
      </c>
      <c r="HP48" s="92">
        <f>FORMULA!$AA487</f>
        <v>0</v>
      </c>
      <c r="HQ48" s="92">
        <f>FORMULA!$AC487</f>
        <v>0</v>
      </c>
      <c r="HR48" s="92">
        <f>FORMULA!$AE487</f>
        <v>0</v>
      </c>
      <c r="HS48" s="207"/>
      <c r="HT48" s="91">
        <f>FORMULA!$C575</f>
        <v>0</v>
      </c>
      <c r="HU48" s="92">
        <f>FORMULA!$E575</f>
        <v>1</v>
      </c>
      <c r="HV48" s="92">
        <f>FORMULA!$G575</f>
        <v>1</v>
      </c>
      <c r="HW48" s="92">
        <f>FORMULA!$I575</f>
        <v>0</v>
      </c>
      <c r="HX48" s="92">
        <f>FORMULA!$K575</f>
        <v>0</v>
      </c>
      <c r="HY48" s="92">
        <f>FORMULA!$M575</f>
        <v>0</v>
      </c>
      <c r="HZ48" s="92">
        <f>FORMULA!$O575</f>
        <v>0</v>
      </c>
      <c r="IA48" s="92">
        <f>FORMULA!$Q575</f>
        <v>0</v>
      </c>
      <c r="IB48" s="92">
        <f>FORMULA!$S575</f>
        <v>0</v>
      </c>
      <c r="IC48" s="92">
        <f>FORMULA!$U575</f>
        <v>0</v>
      </c>
      <c r="ID48" s="92">
        <f>FORMULA!$W575</f>
        <v>0</v>
      </c>
      <c r="IE48" s="92">
        <f>FORMULA!$Y575</f>
        <v>0</v>
      </c>
      <c r="IF48" s="92">
        <f>FORMULA!$AA575</f>
        <v>0</v>
      </c>
      <c r="IG48" s="92">
        <f>FORMULA!$AC575</f>
        <v>0</v>
      </c>
      <c r="IH48" s="92">
        <f>FORMULA!$AE575</f>
        <v>0</v>
      </c>
      <c r="II48" s="207"/>
      <c r="IJ48" s="91">
        <f>FORMULA!$C663</f>
        <v>0</v>
      </c>
      <c r="IK48" s="92">
        <f>FORMULA!$E663</f>
        <v>0.5</v>
      </c>
      <c r="IL48" s="92">
        <f>FORMULA!$G663</f>
        <v>1</v>
      </c>
      <c r="IM48" s="92">
        <f>FORMULA!$I663</f>
        <v>1</v>
      </c>
      <c r="IN48" s="92">
        <f>FORMULA!$K663</f>
        <v>0</v>
      </c>
      <c r="IO48" s="92">
        <f>FORMULA!$M663</f>
        <v>0</v>
      </c>
      <c r="IP48" s="92">
        <f>FORMULA!$O663</f>
        <v>0</v>
      </c>
      <c r="IQ48" s="92">
        <f>FORMULA!$Q663</f>
        <v>0</v>
      </c>
      <c r="IR48" s="92">
        <f>FORMULA!$S663</f>
        <v>0</v>
      </c>
      <c r="IS48" s="92">
        <f>FORMULA!$U663</f>
        <v>0</v>
      </c>
      <c r="IT48" s="92">
        <f>FORMULA!$W663</f>
        <v>0</v>
      </c>
      <c r="IU48" s="92">
        <f>FORMULA!$Y663</f>
        <v>0</v>
      </c>
      <c r="IV48" s="92">
        <f>FORMULA!$AA663</f>
        <v>0</v>
      </c>
      <c r="IW48" s="92">
        <f>FORMULA!$AC663</f>
        <v>0</v>
      </c>
      <c r="IX48" s="92">
        <f>FORMULA!$AE663</f>
        <v>0</v>
      </c>
      <c r="IY48" s="208"/>
    </row>
    <row r="49" spans="1:259" outlineLevel="1">
      <c r="A49" s="11"/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106"/>
      <c r="AL49" s="106"/>
      <c r="AM49" s="106"/>
      <c r="AN49" s="106"/>
      <c r="AO49" s="106"/>
      <c r="AP49" s="106"/>
      <c r="AQ49" s="106"/>
      <c r="AR49" s="106"/>
      <c r="AS49" s="106"/>
      <c r="AT49" s="106"/>
      <c r="AU49" s="106"/>
      <c r="AV49" s="106"/>
      <c r="AW49" s="106"/>
      <c r="AX49" s="106"/>
      <c r="AY49" s="106"/>
      <c r="AZ49" s="106"/>
      <c r="BA49" s="106"/>
      <c r="BB49" s="106"/>
      <c r="BC49" s="106"/>
      <c r="BD49" s="106"/>
      <c r="BE49" s="106"/>
      <c r="BF49" s="106"/>
      <c r="BG49" s="106"/>
      <c r="BH49" s="106"/>
      <c r="BI49" s="106"/>
      <c r="BJ49" s="106"/>
      <c r="BK49" s="106"/>
      <c r="BL49" s="106"/>
      <c r="BM49" s="106"/>
      <c r="BN49" s="106"/>
      <c r="BO49" s="106"/>
      <c r="BP49" s="106"/>
      <c r="BQ49" s="106"/>
      <c r="BR49" s="106"/>
      <c r="BS49" s="106"/>
      <c r="BT49" s="106"/>
      <c r="BU49" s="106"/>
      <c r="BV49" s="106"/>
      <c r="BW49" s="106"/>
      <c r="BX49" s="106"/>
      <c r="BY49" s="106"/>
      <c r="BZ49" s="106"/>
      <c r="CA49" s="106"/>
      <c r="CB49" s="106"/>
      <c r="CC49" s="106"/>
      <c r="CD49" s="106"/>
      <c r="CE49" s="106"/>
      <c r="CF49" s="106"/>
      <c r="CG49" s="106"/>
      <c r="CH49" s="106"/>
      <c r="CI49" s="106"/>
      <c r="CJ49" s="106"/>
      <c r="CK49" s="106"/>
      <c r="CL49" s="106"/>
      <c r="CM49" s="106"/>
      <c r="CN49" s="106"/>
      <c r="CO49" s="106"/>
      <c r="CP49" s="106"/>
      <c r="CQ49" s="106"/>
      <c r="CR49" s="106"/>
      <c r="CS49" s="106"/>
      <c r="CT49" s="106"/>
      <c r="CU49" s="106"/>
      <c r="CV49" s="106"/>
      <c r="CW49" s="106"/>
      <c r="CX49" s="106"/>
      <c r="CY49" s="106"/>
      <c r="CZ49" s="106"/>
      <c r="DA49" s="106"/>
      <c r="DB49" s="106"/>
      <c r="DC49" s="106"/>
      <c r="DD49" s="106"/>
      <c r="DE49" s="106"/>
      <c r="DF49" s="106"/>
      <c r="DG49" s="106"/>
      <c r="DH49" s="106"/>
      <c r="DI49" s="106"/>
      <c r="DJ49" s="106"/>
      <c r="DK49" s="106"/>
      <c r="DL49" s="106"/>
      <c r="DM49" s="106"/>
      <c r="DN49" s="106"/>
      <c r="DO49" s="106"/>
      <c r="DP49" s="106"/>
      <c r="DQ49" s="106"/>
      <c r="DR49" s="106"/>
      <c r="DS49" s="106"/>
      <c r="DT49" s="106"/>
      <c r="DU49" s="106"/>
      <c r="DV49" s="106"/>
      <c r="DW49" s="106"/>
      <c r="DX49" s="106"/>
      <c r="DY49" s="106"/>
      <c r="EA49" s="20" t="str">
        <f>FORMULA!$A$48</f>
        <v>SODIUM BICARBONATE</v>
      </c>
      <c r="EB49" s="91">
        <f>FORMULA!$C48</f>
        <v>0</v>
      </c>
      <c r="EC49" s="92">
        <f>FORMULA!$E48</f>
        <v>0</v>
      </c>
      <c r="ED49" s="92">
        <f>FORMULA!$G48</f>
        <v>0</v>
      </c>
      <c r="EE49" s="92">
        <f>FORMULA!$I48</f>
        <v>0</v>
      </c>
      <c r="EF49" s="92">
        <f>FORMULA!$K48</f>
        <v>0</v>
      </c>
      <c r="EG49" s="92">
        <f>FORMULA!$M48</f>
        <v>0</v>
      </c>
      <c r="EH49" s="92">
        <f>FORMULA!$O48</f>
        <v>0</v>
      </c>
      <c r="EI49" s="92">
        <f>FORMULA!$Q48</f>
        <v>0</v>
      </c>
      <c r="EJ49" s="92">
        <f>FORMULA!$S48</f>
        <v>0</v>
      </c>
      <c r="EK49" s="92">
        <f>FORMULA!$U48</f>
        <v>0</v>
      </c>
      <c r="EL49" s="92">
        <f>FORMULA!$W48</f>
        <v>0</v>
      </c>
      <c r="EM49" s="92">
        <f>FORMULA!$Y48</f>
        <v>0</v>
      </c>
      <c r="EN49" s="92">
        <f>FORMULA!$AA48</f>
        <v>0</v>
      </c>
      <c r="EO49" s="92">
        <f>FORMULA!$AC48</f>
        <v>0</v>
      </c>
      <c r="EP49" s="92">
        <f>FORMULA!$AE48</f>
        <v>0</v>
      </c>
      <c r="EQ49" s="108"/>
      <c r="ER49" s="91">
        <f>FORMULA!$C136</f>
        <v>0</v>
      </c>
      <c r="ES49" s="92">
        <f>FORMULA!$E136</f>
        <v>0</v>
      </c>
      <c r="ET49" s="92">
        <f>FORMULA!$G136</f>
        <v>0</v>
      </c>
      <c r="EU49" s="92">
        <f>FORMULA!$I136</f>
        <v>0</v>
      </c>
      <c r="EV49" s="92">
        <f>FORMULA!$K136</f>
        <v>0</v>
      </c>
      <c r="EW49" s="92">
        <f>FORMULA!$M136</f>
        <v>0</v>
      </c>
      <c r="EX49" s="92">
        <f>FORMULA!$O136</f>
        <v>0</v>
      </c>
      <c r="EY49" s="92">
        <f>FORMULA!$Q136</f>
        <v>0</v>
      </c>
      <c r="EZ49" s="92">
        <f>FORMULA!$S136</f>
        <v>0</v>
      </c>
      <c r="FA49" s="92">
        <f>FORMULA!$U136</f>
        <v>0</v>
      </c>
      <c r="FB49" s="92">
        <f>FORMULA!$W136</f>
        <v>0</v>
      </c>
      <c r="FC49" s="92">
        <f>FORMULA!$Y136</f>
        <v>0</v>
      </c>
      <c r="FD49" s="92">
        <f>FORMULA!$AA136</f>
        <v>0</v>
      </c>
      <c r="FE49" s="92">
        <f>FORMULA!$AC136</f>
        <v>0</v>
      </c>
      <c r="FF49" s="92">
        <f>FORMULA!$AE136</f>
        <v>0</v>
      </c>
      <c r="FG49" s="94"/>
      <c r="FH49" s="91">
        <f>FORMULA!$C224</f>
        <v>0</v>
      </c>
      <c r="FI49" s="92">
        <f>FORMULA!$E224</f>
        <v>0</v>
      </c>
      <c r="FJ49" s="92">
        <f>FORMULA!$G224</f>
        <v>0</v>
      </c>
      <c r="FK49" s="92">
        <f>FORMULA!$I224</f>
        <v>0</v>
      </c>
      <c r="FL49" s="92">
        <f>FORMULA!$K224</f>
        <v>0</v>
      </c>
      <c r="FM49" s="92">
        <f>FORMULA!$M224</f>
        <v>0</v>
      </c>
      <c r="FN49" s="92">
        <f>FORMULA!$O224</f>
        <v>0</v>
      </c>
      <c r="FO49" s="92">
        <f>FORMULA!$Q224</f>
        <v>0</v>
      </c>
      <c r="FP49" s="92">
        <f>FORMULA!$S224</f>
        <v>0</v>
      </c>
      <c r="FQ49" s="92">
        <f>FORMULA!$U224</f>
        <v>0</v>
      </c>
      <c r="FR49" s="92">
        <f>FORMULA!$W224</f>
        <v>0</v>
      </c>
      <c r="FS49" s="92">
        <f>FORMULA!$Y224</f>
        <v>0</v>
      </c>
      <c r="FT49" s="92">
        <f>FORMULA!$AA224</f>
        <v>0</v>
      </c>
      <c r="FU49" s="92">
        <f>FORMULA!$AC224</f>
        <v>0</v>
      </c>
      <c r="FV49" s="92">
        <f>FORMULA!$AE224</f>
        <v>0</v>
      </c>
      <c r="FW49" s="94"/>
      <c r="FX49" s="91">
        <f>FORMULA!$C312</f>
        <v>0</v>
      </c>
      <c r="FY49" s="92">
        <f>FORMULA!$E312</f>
        <v>0</v>
      </c>
      <c r="FZ49" s="92">
        <f>FORMULA!$G312</f>
        <v>0</v>
      </c>
      <c r="GA49" s="92">
        <f>FORMULA!$I312</f>
        <v>0</v>
      </c>
      <c r="GB49" s="92">
        <f>FORMULA!$K312</f>
        <v>0</v>
      </c>
      <c r="GC49" s="92">
        <f>FORMULA!$M312</f>
        <v>0</v>
      </c>
      <c r="GD49" s="92">
        <f>FORMULA!$O312</f>
        <v>0</v>
      </c>
      <c r="GE49" s="92">
        <f>FORMULA!$Q312</f>
        <v>0</v>
      </c>
      <c r="GF49" s="92">
        <f>FORMULA!$S312</f>
        <v>0</v>
      </c>
      <c r="GG49" s="92">
        <f>FORMULA!$U312</f>
        <v>0</v>
      </c>
      <c r="GH49" s="92">
        <f>FORMULA!$W312</f>
        <v>0</v>
      </c>
      <c r="GI49" s="92">
        <f>FORMULA!$Y312</f>
        <v>0</v>
      </c>
      <c r="GJ49" s="92">
        <f>FORMULA!$AA312</f>
        <v>0</v>
      </c>
      <c r="GK49" s="92">
        <f>FORMULA!$AC312</f>
        <v>0</v>
      </c>
      <c r="GL49" s="92">
        <f>FORMULA!$AE312</f>
        <v>0</v>
      </c>
      <c r="GM49" s="207"/>
      <c r="GN49" s="91">
        <f>FORMULA!$C400</f>
        <v>0</v>
      </c>
      <c r="GO49" s="92">
        <f>FORMULA!$E400</f>
        <v>0</v>
      </c>
      <c r="GP49" s="92">
        <f>FORMULA!$G400</f>
        <v>0</v>
      </c>
      <c r="GQ49" s="92">
        <f>FORMULA!$I400</f>
        <v>0</v>
      </c>
      <c r="GR49" s="92">
        <f>FORMULA!$K400</f>
        <v>0</v>
      </c>
      <c r="GS49" s="92">
        <f>FORMULA!$M400</f>
        <v>0</v>
      </c>
      <c r="GT49" s="92">
        <f>FORMULA!$O400</f>
        <v>0</v>
      </c>
      <c r="GU49" s="92">
        <f>FORMULA!$Q400</f>
        <v>0</v>
      </c>
      <c r="GV49" s="92">
        <f>FORMULA!$S400</f>
        <v>0</v>
      </c>
      <c r="GW49" s="92">
        <f>FORMULA!$U400</f>
        <v>0</v>
      </c>
      <c r="GX49" s="92">
        <f>FORMULA!$W400</f>
        <v>0</v>
      </c>
      <c r="GY49" s="92">
        <f>FORMULA!$Y400</f>
        <v>0</v>
      </c>
      <c r="GZ49" s="92">
        <f>FORMULA!$AA400</f>
        <v>0</v>
      </c>
      <c r="HA49" s="92">
        <f>FORMULA!$AC400</f>
        <v>0</v>
      </c>
      <c r="HB49" s="92">
        <f>FORMULA!$AE400</f>
        <v>0</v>
      </c>
      <c r="HC49" s="207"/>
      <c r="HD49" s="91">
        <f>FORMULA!$C488</f>
        <v>0.2</v>
      </c>
      <c r="HE49" s="92">
        <f>FORMULA!$E488</f>
        <v>0.2</v>
      </c>
      <c r="HF49" s="92">
        <f>FORMULA!$G488</f>
        <v>0.2</v>
      </c>
      <c r="HG49" s="92">
        <f>FORMULA!$I488</f>
        <v>0</v>
      </c>
      <c r="HH49" s="92">
        <f>FORMULA!$K488</f>
        <v>0</v>
      </c>
      <c r="HI49" s="92">
        <f>FORMULA!$M488</f>
        <v>0</v>
      </c>
      <c r="HJ49" s="92">
        <f>FORMULA!$O488</f>
        <v>0</v>
      </c>
      <c r="HK49" s="92">
        <f>FORMULA!$Q488</f>
        <v>0</v>
      </c>
      <c r="HL49" s="92">
        <f>FORMULA!$S488</f>
        <v>0</v>
      </c>
      <c r="HM49" s="92">
        <f>FORMULA!$U488</f>
        <v>0</v>
      </c>
      <c r="HN49" s="92">
        <f>FORMULA!$W488</f>
        <v>0</v>
      </c>
      <c r="HO49" s="92">
        <f>FORMULA!$Y488</f>
        <v>0</v>
      </c>
      <c r="HP49" s="92">
        <f>FORMULA!$AA488</f>
        <v>0</v>
      </c>
      <c r="HQ49" s="92">
        <f>FORMULA!$AC488</f>
        <v>0</v>
      </c>
      <c r="HR49" s="92">
        <f>FORMULA!$AE488</f>
        <v>0</v>
      </c>
      <c r="HS49" s="207"/>
      <c r="HT49" s="91">
        <f>FORMULA!$C576</f>
        <v>1.2</v>
      </c>
      <c r="HU49" s="92">
        <f>FORMULA!$E576</f>
        <v>1.2</v>
      </c>
      <c r="HV49" s="92">
        <f>FORMULA!$G576</f>
        <v>1.2</v>
      </c>
      <c r="HW49" s="92">
        <f>FORMULA!$I576</f>
        <v>0</v>
      </c>
      <c r="HX49" s="92">
        <f>FORMULA!$K576</f>
        <v>0</v>
      </c>
      <c r="HY49" s="92">
        <f>FORMULA!$M576</f>
        <v>0</v>
      </c>
      <c r="HZ49" s="92">
        <f>FORMULA!$O576</f>
        <v>0</v>
      </c>
      <c r="IA49" s="92">
        <f>FORMULA!$Q576</f>
        <v>0</v>
      </c>
      <c r="IB49" s="92">
        <f>FORMULA!$S576</f>
        <v>0</v>
      </c>
      <c r="IC49" s="92">
        <f>FORMULA!$U576</f>
        <v>0</v>
      </c>
      <c r="ID49" s="92">
        <f>FORMULA!$W576</f>
        <v>0</v>
      </c>
      <c r="IE49" s="92">
        <f>FORMULA!$Y576</f>
        <v>0</v>
      </c>
      <c r="IF49" s="92">
        <f>FORMULA!$AA576</f>
        <v>0</v>
      </c>
      <c r="IG49" s="92">
        <f>FORMULA!$AC576</f>
        <v>0</v>
      </c>
      <c r="IH49" s="92">
        <f>FORMULA!$AE576</f>
        <v>0</v>
      </c>
      <c r="II49" s="207"/>
      <c r="IJ49" s="91">
        <f>FORMULA!$C664</f>
        <v>1.2</v>
      </c>
      <c r="IK49" s="92">
        <f>FORMULA!$E664</f>
        <v>1.1499999999999999</v>
      </c>
      <c r="IL49" s="92">
        <f>FORMULA!$G664</f>
        <v>1.2</v>
      </c>
      <c r="IM49" s="92">
        <f>FORMULA!$I664</f>
        <v>1.2</v>
      </c>
      <c r="IN49" s="92">
        <f>FORMULA!$K664</f>
        <v>0</v>
      </c>
      <c r="IO49" s="92">
        <f>FORMULA!$M664</f>
        <v>0</v>
      </c>
      <c r="IP49" s="92">
        <f>FORMULA!$O664</f>
        <v>0</v>
      </c>
      <c r="IQ49" s="92">
        <f>FORMULA!$Q664</f>
        <v>0</v>
      </c>
      <c r="IR49" s="92">
        <f>FORMULA!$S664</f>
        <v>0</v>
      </c>
      <c r="IS49" s="92">
        <f>FORMULA!$U664</f>
        <v>0</v>
      </c>
      <c r="IT49" s="92">
        <f>FORMULA!$W664</f>
        <v>0</v>
      </c>
      <c r="IU49" s="92">
        <f>FORMULA!$Y664</f>
        <v>0</v>
      </c>
      <c r="IV49" s="92">
        <f>FORMULA!$AA664</f>
        <v>0</v>
      </c>
      <c r="IW49" s="92">
        <f>FORMULA!$AC664</f>
        <v>0</v>
      </c>
      <c r="IX49" s="92">
        <f>FORMULA!$AE664</f>
        <v>0</v>
      </c>
      <c r="IY49" s="208"/>
    </row>
    <row r="50" spans="1:259" outlineLevel="1">
      <c r="A50" s="11"/>
      <c r="B50" s="106"/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106"/>
      <c r="AL50" s="106"/>
      <c r="AM50" s="106"/>
      <c r="AN50" s="106"/>
      <c r="AO50" s="106"/>
      <c r="AP50" s="106"/>
      <c r="AQ50" s="106"/>
      <c r="AR50" s="106"/>
      <c r="AS50" s="106"/>
      <c r="AT50" s="106"/>
      <c r="AU50" s="106"/>
      <c r="AV50" s="106"/>
      <c r="AW50" s="106"/>
      <c r="AX50" s="106"/>
      <c r="AY50" s="106"/>
      <c r="AZ50" s="106"/>
      <c r="BA50" s="106"/>
      <c r="BB50" s="106"/>
      <c r="BC50" s="106"/>
      <c r="BD50" s="106"/>
      <c r="BE50" s="106"/>
      <c r="BF50" s="106"/>
      <c r="BG50" s="106"/>
      <c r="BH50" s="106"/>
      <c r="BI50" s="106"/>
      <c r="BJ50" s="106"/>
      <c r="BK50" s="106"/>
      <c r="BL50" s="106"/>
      <c r="BM50" s="106"/>
      <c r="BN50" s="106"/>
      <c r="BO50" s="106"/>
      <c r="BP50" s="106"/>
      <c r="BQ50" s="106"/>
      <c r="BR50" s="106"/>
      <c r="BS50" s="106"/>
      <c r="BT50" s="106"/>
      <c r="BU50" s="106"/>
      <c r="BV50" s="106"/>
      <c r="BW50" s="106"/>
      <c r="BX50" s="106"/>
      <c r="BY50" s="106"/>
      <c r="BZ50" s="106"/>
      <c r="CA50" s="106"/>
      <c r="CB50" s="106"/>
      <c r="CC50" s="106"/>
      <c r="CD50" s="106"/>
      <c r="CE50" s="106"/>
      <c r="CF50" s="106"/>
      <c r="CG50" s="106"/>
      <c r="CH50" s="106"/>
      <c r="CI50" s="106"/>
      <c r="CJ50" s="106"/>
      <c r="CK50" s="106"/>
      <c r="CL50" s="106"/>
      <c r="CM50" s="106"/>
      <c r="CN50" s="106"/>
      <c r="CO50" s="106"/>
      <c r="CP50" s="106"/>
      <c r="CQ50" s="106"/>
      <c r="CR50" s="106"/>
      <c r="CS50" s="106"/>
      <c r="CT50" s="106"/>
      <c r="CU50" s="106"/>
      <c r="CV50" s="106"/>
      <c r="CW50" s="106"/>
      <c r="CX50" s="106"/>
      <c r="CY50" s="106"/>
      <c r="CZ50" s="106"/>
      <c r="DA50" s="106"/>
      <c r="DB50" s="106"/>
      <c r="DC50" s="106"/>
      <c r="DD50" s="106"/>
      <c r="DE50" s="106"/>
      <c r="DF50" s="106"/>
      <c r="DG50" s="106"/>
      <c r="DH50" s="106"/>
      <c r="DI50" s="106"/>
      <c r="DJ50" s="106"/>
      <c r="DK50" s="106"/>
      <c r="DL50" s="106"/>
      <c r="DM50" s="106"/>
      <c r="DN50" s="106"/>
      <c r="DO50" s="106"/>
      <c r="DP50" s="106"/>
      <c r="DQ50" s="106"/>
      <c r="DR50" s="106"/>
      <c r="DS50" s="106"/>
      <c r="DT50" s="106"/>
      <c r="DU50" s="106"/>
      <c r="DV50" s="106"/>
      <c r="DW50" s="106"/>
      <c r="DX50" s="106"/>
      <c r="DY50" s="106"/>
      <c r="EA50" s="20" t="str">
        <f>FORMULA!$A$49</f>
        <v>BMD 10%</v>
      </c>
      <c r="EB50" s="91">
        <f>FORMULA!$C49</f>
        <v>0</v>
      </c>
      <c r="EC50" s="92">
        <f>FORMULA!$E49</f>
        <v>0</v>
      </c>
      <c r="ED50" s="92">
        <f>FORMULA!$G49</f>
        <v>0</v>
      </c>
      <c r="EE50" s="92">
        <f>FORMULA!$I49</f>
        <v>0</v>
      </c>
      <c r="EF50" s="92">
        <f>FORMULA!$K49</f>
        <v>0</v>
      </c>
      <c r="EG50" s="92">
        <f>FORMULA!$M49</f>
        <v>0</v>
      </c>
      <c r="EH50" s="92">
        <f>FORMULA!$O49</f>
        <v>0</v>
      </c>
      <c r="EI50" s="92">
        <f>FORMULA!$Q49</f>
        <v>0</v>
      </c>
      <c r="EJ50" s="92">
        <f>FORMULA!$S49</f>
        <v>0</v>
      </c>
      <c r="EK50" s="92">
        <f>FORMULA!$U49</f>
        <v>0</v>
      </c>
      <c r="EL50" s="92">
        <f>FORMULA!$W49</f>
        <v>0</v>
      </c>
      <c r="EM50" s="92">
        <f>FORMULA!$Y49</f>
        <v>0</v>
      </c>
      <c r="EN50" s="92">
        <f>FORMULA!$AA49</f>
        <v>0</v>
      </c>
      <c r="EO50" s="92">
        <f>FORMULA!$AC49</f>
        <v>0</v>
      </c>
      <c r="EP50" s="92">
        <f>FORMULA!$AE49</f>
        <v>0</v>
      </c>
      <c r="EQ50" s="108"/>
      <c r="ER50" s="91">
        <f>FORMULA!$C137</f>
        <v>0</v>
      </c>
      <c r="ES50" s="92">
        <f>FORMULA!$E137</f>
        <v>0</v>
      </c>
      <c r="ET50" s="92">
        <f>FORMULA!$G137</f>
        <v>0</v>
      </c>
      <c r="EU50" s="92">
        <f>FORMULA!$I137</f>
        <v>0</v>
      </c>
      <c r="EV50" s="92">
        <f>FORMULA!$K137</f>
        <v>0</v>
      </c>
      <c r="EW50" s="92">
        <f>FORMULA!$M137</f>
        <v>0</v>
      </c>
      <c r="EX50" s="92">
        <f>FORMULA!$O137</f>
        <v>0</v>
      </c>
      <c r="EY50" s="92">
        <f>FORMULA!$Q137</f>
        <v>0</v>
      </c>
      <c r="EZ50" s="92">
        <f>FORMULA!$S137</f>
        <v>0</v>
      </c>
      <c r="FA50" s="92">
        <f>FORMULA!$U137</f>
        <v>0</v>
      </c>
      <c r="FB50" s="92">
        <f>FORMULA!$W137</f>
        <v>0</v>
      </c>
      <c r="FC50" s="92">
        <f>FORMULA!$Y137</f>
        <v>0</v>
      </c>
      <c r="FD50" s="92">
        <f>FORMULA!$AA137</f>
        <v>0</v>
      </c>
      <c r="FE50" s="92">
        <f>FORMULA!$AC137</f>
        <v>0</v>
      </c>
      <c r="FF50" s="92">
        <f>FORMULA!$AE137</f>
        <v>0</v>
      </c>
      <c r="FG50" s="94"/>
      <c r="FH50" s="91">
        <f>FORMULA!$C225</f>
        <v>0</v>
      </c>
      <c r="FI50" s="92">
        <f>FORMULA!$E225</f>
        <v>0</v>
      </c>
      <c r="FJ50" s="92">
        <f>FORMULA!$G225</f>
        <v>0</v>
      </c>
      <c r="FK50" s="92">
        <f>FORMULA!$I225</f>
        <v>0</v>
      </c>
      <c r="FL50" s="92">
        <f>FORMULA!$K225</f>
        <v>0</v>
      </c>
      <c r="FM50" s="92">
        <f>FORMULA!$M225</f>
        <v>0</v>
      </c>
      <c r="FN50" s="92">
        <f>FORMULA!$O225</f>
        <v>0</v>
      </c>
      <c r="FO50" s="92">
        <f>FORMULA!$Q225</f>
        <v>0</v>
      </c>
      <c r="FP50" s="92">
        <f>FORMULA!$S225</f>
        <v>0</v>
      </c>
      <c r="FQ50" s="92">
        <f>FORMULA!$U225</f>
        <v>0</v>
      </c>
      <c r="FR50" s="92">
        <f>FORMULA!$W225</f>
        <v>0</v>
      </c>
      <c r="FS50" s="92">
        <f>FORMULA!$Y225</f>
        <v>0</v>
      </c>
      <c r="FT50" s="92">
        <f>FORMULA!$AA225</f>
        <v>0</v>
      </c>
      <c r="FU50" s="92">
        <f>FORMULA!$AC225</f>
        <v>0</v>
      </c>
      <c r="FV50" s="92">
        <f>FORMULA!$AE225</f>
        <v>0</v>
      </c>
      <c r="FW50" s="94"/>
      <c r="FX50" s="91">
        <f>FORMULA!$C313</f>
        <v>0</v>
      </c>
      <c r="FY50" s="92">
        <f>FORMULA!$E313</f>
        <v>0</v>
      </c>
      <c r="FZ50" s="92">
        <f>FORMULA!$G313</f>
        <v>0</v>
      </c>
      <c r="GA50" s="92">
        <f>FORMULA!$I313</f>
        <v>0</v>
      </c>
      <c r="GB50" s="92">
        <f>FORMULA!$K313</f>
        <v>0</v>
      </c>
      <c r="GC50" s="92">
        <f>FORMULA!$M313</f>
        <v>0</v>
      </c>
      <c r="GD50" s="92">
        <f>FORMULA!$O313</f>
        <v>0</v>
      </c>
      <c r="GE50" s="92">
        <f>FORMULA!$Q313</f>
        <v>0</v>
      </c>
      <c r="GF50" s="92">
        <f>FORMULA!$S313</f>
        <v>0</v>
      </c>
      <c r="GG50" s="92">
        <f>FORMULA!$U313</f>
        <v>0</v>
      </c>
      <c r="GH50" s="92">
        <f>FORMULA!$W313</f>
        <v>0</v>
      </c>
      <c r="GI50" s="92">
        <f>FORMULA!$Y313</f>
        <v>0</v>
      </c>
      <c r="GJ50" s="92">
        <f>FORMULA!$AA313</f>
        <v>0</v>
      </c>
      <c r="GK50" s="92">
        <f>FORMULA!$AC313</f>
        <v>0</v>
      </c>
      <c r="GL50" s="92">
        <f>FORMULA!$AE313</f>
        <v>0</v>
      </c>
      <c r="GM50" s="207"/>
      <c r="GN50" s="91">
        <f>FORMULA!$C401</f>
        <v>0</v>
      </c>
      <c r="GO50" s="92">
        <f>FORMULA!$E401</f>
        <v>0</v>
      </c>
      <c r="GP50" s="92">
        <f>FORMULA!$G401</f>
        <v>0</v>
      </c>
      <c r="GQ50" s="92">
        <f>FORMULA!$I401</f>
        <v>0</v>
      </c>
      <c r="GR50" s="92">
        <f>FORMULA!$K401</f>
        <v>1</v>
      </c>
      <c r="GS50" s="92">
        <f>FORMULA!$M401</f>
        <v>0</v>
      </c>
      <c r="GT50" s="92">
        <f>FORMULA!$O401</f>
        <v>0</v>
      </c>
      <c r="GU50" s="92">
        <f>FORMULA!$Q401</f>
        <v>0</v>
      </c>
      <c r="GV50" s="92">
        <f>FORMULA!$S401</f>
        <v>0</v>
      </c>
      <c r="GW50" s="92">
        <f>FORMULA!$U401</f>
        <v>0</v>
      </c>
      <c r="GX50" s="92">
        <f>FORMULA!$W401</f>
        <v>0</v>
      </c>
      <c r="GY50" s="92">
        <f>FORMULA!$Y401</f>
        <v>0</v>
      </c>
      <c r="GZ50" s="92">
        <f>FORMULA!$AA401</f>
        <v>0</v>
      </c>
      <c r="HA50" s="92">
        <f>FORMULA!$AC401</f>
        <v>0</v>
      </c>
      <c r="HB50" s="92">
        <f>FORMULA!$AE401</f>
        <v>1</v>
      </c>
      <c r="HC50" s="207"/>
      <c r="HD50" s="91">
        <f>FORMULA!$C489</f>
        <v>0</v>
      </c>
      <c r="HE50" s="92">
        <f>FORMULA!$E489</f>
        <v>0</v>
      </c>
      <c r="HF50" s="92">
        <f>FORMULA!$G489</f>
        <v>0</v>
      </c>
      <c r="HG50" s="92">
        <f>FORMULA!$I489</f>
        <v>0</v>
      </c>
      <c r="HH50" s="92">
        <f>FORMULA!$K489</f>
        <v>0</v>
      </c>
      <c r="HI50" s="92">
        <f>FORMULA!$M489</f>
        <v>0</v>
      </c>
      <c r="HJ50" s="92">
        <f>FORMULA!$O489</f>
        <v>0</v>
      </c>
      <c r="HK50" s="92">
        <f>FORMULA!$Q489</f>
        <v>0</v>
      </c>
      <c r="HL50" s="92">
        <f>FORMULA!$S489</f>
        <v>0</v>
      </c>
      <c r="HM50" s="92">
        <f>FORMULA!$U489</f>
        <v>0</v>
      </c>
      <c r="HN50" s="92">
        <f>FORMULA!$W489</f>
        <v>0</v>
      </c>
      <c r="HO50" s="92">
        <f>FORMULA!$Y489</f>
        <v>0</v>
      </c>
      <c r="HP50" s="92">
        <f>FORMULA!$AA489</f>
        <v>0</v>
      </c>
      <c r="HQ50" s="92">
        <f>FORMULA!$AC489</f>
        <v>0</v>
      </c>
      <c r="HR50" s="92">
        <f>FORMULA!$AE489</f>
        <v>0</v>
      </c>
      <c r="HS50" s="207"/>
      <c r="HT50" s="91">
        <f>FORMULA!$C577</f>
        <v>0</v>
      </c>
      <c r="HU50" s="92">
        <f>FORMULA!$E577</f>
        <v>0</v>
      </c>
      <c r="HV50" s="92">
        <f>FORMULA!$G577</f>
        <v>0</v>
      </c>
      <c r="HW50" s="92">
        <f>FORMULA!$I577</f>
        <v>0</v>
      </c>
      <c r="HX50" s="92">
        <f>FORMULA!$K577</f>
        <v>0</v>
      </c>
      <c r="HY50" s="92">
        <f>FORMULA!$M577</f>
        <v>0</v>
      </c>
      <c r="HZ50" s="92">
        <f>FORMULA!$O577</f>
        <v>0</v>
      </c>
      <c r="IA50" s="92">
        <f>FORMULA!$Q577</f>
        <v>0</v>
      </c>
      <c r="IB50" s="92">
        <f>FORMULA!$S577</f>
        <v>0</v>
      </c>
      <c r="IC50" s="92">
        <f>FORMULA!$U577</f>
        <v>0</v>
      </c>
      <c r="ID50" s="92">
        <f>FORMULA!$W577</f>
        <v>0</v>
      </c>
      <c r="IE50" s="92">
        <f>FORMULA!$Y577</f>
        <v>0</v>
      </c>
      <c r="IF50" s="92">
        <f>FORMULA!$AA577</f>
        <v>0</v>
      </c>
      <c r="IG50" s="92">
        <f>FORMULA!$AC577</f>
        <v>0</v>
      </c>
      <c r="IH50" s="92">
        <f>FORMULA!$AE577</f>
        <v>0</v>
      </c>
      <c r="II50" s="207"/>
      <c r="IJ50" s="91">
        <f>FORMULA!$C665</f>
        <v>0</v>
      </c>
      <c r="IK50" s="92">
        <f>FORMULA!$E665</f>
        <v>0</v>
      </c>
      <c r="IL50" s="92">
        <f>FORMULA!$G665</f>
        <v>0</v>
      </c>
      <c r="IM50" s="92">
        <f>FORMULA!$I665</f>
        <v>0</v>
      </c>
      <c r="IN50" s="92">
        <f>FORMULA!$K665</f>
        <v>0</v>
      </c>
      <c r="IO50" s="92">
        <f>FORMULA!$M665</f>
        <v>0</v>
      </c>
      <c r="IP50" s="92">
        <f>FORMULA!$O665</f>
        <v>0</v>
      </c>
      <c r="IQ50" s="92">
        <f>FORMULA!$Q665</f>
        <v>0</v>
      </c>
      <c r="IR50" s="92">
        <f>FORMULA!$S665</f>
        <v>0</v>
      </c>
      <c r="IS50" s="92">
        <f>FORMULA!$U665</f>
        <v>0</v>
      </c>
      <c r="IT50" s="92">
        <f>FORMULA!$W665</f>
        <v>0</v>
      </c>
      <c r="IU50" s="92">
        <f>FORMULA!$Y665</f>
        <v>0</v>
      </c>
      <c r="IV50" s="92">
        <f>FORMULA!$AA665</f>
        <v>0</v>
      </c>
      <c r="IW50" s="92">
        <f>FORMULA!$AC665</f>
        <v>0</v>
      </c>
      <c r="IX50" s="92">
        <f>FORMULA!$AE665</f>
        <v>0</v>
      </c>
      <c r="IY50" s="208"/>
    </row>
    <row r="51" spans="1:259" outlineLevel="1">
      <c r="A51" s="11"/>
      <c r="B51" s="106"/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106"/>
      <c r="AL51" s="106"/>
      <c r="AM51" s="106"/>
      <c r="AN51" s="106"/>
      <c r="AO51" s="106"/>
      <c r="AP51" s="106"/>
      <c r="AQ51" s="106"/>
      <c r="AR51" s="106"/>
      <c r="AS51" s="106"/>
      <c r="AT51" s="106"/>
      <c r="AU51" s="106"/>
      <c r="AV51" s="106"/>
      <c r="AW51" s="106"/>
      <c r="AX51" s="106"/>
      <c r="AY51" s="106"/>
      <c r="AZ51" s="106"/>
      <c r="BA51" s="106"/>
      <c r="BB51" s="106"/>
      <c r="BC51" s="106"/>
      <c r="BD51" s="106"/>
      <c r="BE51" s="106"/>
      <c r="BF51" s="106"/>
      <c r="BG51" s="106"/>
      <c r="BH51" s="106"/>
      <c r="BI51" s="106"/>
      <c r="BJ51" s="106"/>
      <c r="BK51" s="106"/>
      <c r="BL51" s="106"/>
      <c r="BM51" s="106"/>
      <c r="BN51" s="106"/>
      <c r="BO51" s="106"/>
      <c r="BP51" s="106"/>
      <c r="BQ51" s="106"/>
      <c r="BR51" s="106"/>
      <c r="BS51" s="106"/>
      <c r="BT51" s="106"/>
      <c r="BU51" s="106"/>
      <c r="BV51" s="106"/>
      <c r="BW51" s="106"/>
      <c r="BX51" s="106"/>
      <c r="BY51" s="106"/>
      <c r="BZ51" s="106"/>
      <c r="CA51" s="106"/>
      <c r="CB51" s="106"/>
      <c r="CC51" s="106"/>
      <c r="CD51" s="106"/>
      <c r="CE51" s="106"/>
      <c r="CF51" s="106"/>
      <c r="CG51" s="106"/>
      <c r="CH51" s="106"/>
      <c r="CI51" s="106"/>
      <c r="CJ51" s="106"/>
      <c r="CK51" s="106"/>
      <c r="CL51" s="106"/>
      <c r="CM51" s="106"/>
      <c r="CN51" s="106"/>
      <c r="CO51" s="106"/>
      <c r="CP51" s="106"/>
      <c r="CQ51" s="106"/>
      <c r="CR51" s="106"/>
      <c r="CS51" s="106"/>
      <c r="CT51" s="106"/>
      <c r="CU51" s="106"/>
      <c r="CV51" s="106"/>
      <c r="CW51" s="106"/>
      <c r="CX51" s="106"/>
      <c r="CY51" s="106"/>
      <c r="CZ51" s="106"/>
      <c r="DA51" s="106"/>
      <c r="DB51" s="106"/>
      <c r="DC51" s="106"/>
      <c r="DD51" s="106"/>
      <c r="DE51" s="106"/>
      <c r="DF51" s="106"/>
      <c r="DG51" s="106"/>
      <c r="DH51" s="106"/>
      <c r="DI51" s="106"/>
      <c r="DJ51" s="106"/>
      <c r="DK51" s="106"/>
      <c r="DL51" s="106"/>
      <c r="DM51" s="106"/>
      <c r="DN51" s="106"/>
      <c r="DO51" s="106"/>
      <c r="DP51" s="106"/>
      <c r="DQ51" s="106"/>
      <c r="DR51" s="106"/>
      <c r="DS51" s="106"/>
      <c r="DT51" s="106"/>
      <c r="DU51" s="106"/>
      <c r="DV51" s="106"/>
      <c r="DW51" s="106"/>
      <c r="DX51" s="106"/>
      <c r="DY51" s="106"/>
      <c r="EA51" s="20" t="str">
        <f>FORMULA!$A$50</f>
        <v>SALT (HARUMI)</v>
      </c>
      <c r="EB51" s="91">
        <f>FORMULA!$C50</f>
        <v>0</v>
      </c>
      <c r="EC51" s="92">
        <f>FORMULA!$E50</f>
        <v>0</v>
      </c>
      <c r="ED51" s="92">
        <f>FORMULA!$G50</f>
        <v>0</v>
      </c>
      <c r="EE51" s="92">
        <f>FORMULA!$I50</f>
        <v>0</v>
      </c>
      <c r="EF51" s="92">
        <f>FORMULA!$K50</f>
        <v>0</v>
      </c>
      <c r="EG51" s="92">
        <f>FORMULA!$M50</f>
        <v>0</v>
      </c>
      <c r="EH51" s="92">
        <f>FORMULA!$O50</f>
        <v>0</v>
      </c>
      <c r="EI51" s="92">
        <f>FORMULA!$Q50</f>
        <v>0</v>
      </c>
      <c r="EJ51" s="92">
        <f>FORMULA!$S50</f>
        <v>0</v>
      </c>
      <c r="EK51" s="92">
        <f>FORMULA!$U50</f>
        <v>0</v>
      </c>
      <c r="EL51" s="92">
        <f>FORMULA!$W50</f>
        <v>0</v>
      </c>
      <c r="EM51" s="92">
        <f>FORMULA!$Y50</f>
        <v>0</v>
      </c>
      <c r="EN51" s="92">
        <f>FORMULA!$AA50</f>
        <v>0</v>
      </c>
      <c r="EO51" s="92">
        <f>FORMULA!$AC50</f>
        <v>0</v>
      </c>
      <c r="EP51" s="92">
        <f>FORMULA!$AE50</f>
        <v>0</v>
      </c>
      <c r="EQ51" s="108"/>
      <c r="ER51" s="91">
        <f>FORMULA!$C138</f>
        <v>0</v>
      </c>
      <c r="ES51" s="92">
        <f>FORMULA!$E138</f>
        <v>0</v>
      </c>
      <c r="ET51" s="92">
        <f>FORMULA!$G138</f>
        <v>0</v>
      </c>
      <c r="EU51" s="92">
        <f>FORMULA!$I138</f>
        <v>0</v>
      </c>
      <c r="EV51" s="92">
        <f>FORMULA!$K138</f>
        <v>0</v>
      </c>
      <c r="EW51" s="92">
        <f>FORMULA!$M138</f>
        <v>0</v>
      </c>
      <c r="EX51" s="92">
        <f>FORMULA!$O138</f>
        <v>0</v>
      </c>
      <c r="EY51" s="92">
        <f>FORMULA!$Q138</f>
        <v>0</v>
      </c>
      <c r="EZ51" s="92">
        <f>FORMULA!$S138</f>
        <v>0</v>
      </c>
      <c r="FA51" s="92">
        <f>FORMULA!$U138</f>
        <v>0</v>
      </c>
      <c r="FB51" s="92">
        <f>FORMULA!$W138</f>
        <v>0</v>
      </c>
      <c r="FC51" s="92">
        <f>FORMULA!$Y138</f>
        <v>0</v>
      </c>
      <c r="FD51" s="92">
        <f>FORMULA!$AA138</f>
        <v>0</v>
      </c>
      <c r="FE51" s="92">
        <f>FORMULA!$AC138</f>
        <v>0</v>
      </c>
      <c r="FF51" s="92">
        <f>FORMULA!$AE138</f>
        <v>0</v>
      </c>
      <c r="FG51" s="94"/>
      <c r="FH51" s="91">
        <f>FORMULA!$C226</f>
        <v>0</v>
      </c>
      <c r="FI51" s="92">
        <f>FORMULA!$E226</f>
        <v>0</v>
      </c>
      <c r="FJ51" s="92">
        <f>FORMULA!$G226</f>
        <v>0</v>
      </c>
      <c r="FK51" s="92">
        <f>FORMULA!$I226</f>
        <v>0</v>
      </c>
      <c r="FL51" s="92">
        <f>FORMULA!$K226</f>
        <v>0</v>
      </c>
      <c r="FM51" s="92">
        <f>FORMULA!$M226</f>
        <v>0</v>
      </c>
      <c r="FN51" s="92">
        <f>FORMULA!$O226</f>
        <v>0</v>
      </c>
      <c r="FO51" s="92">
        <f>FORMULA!$Q226</f>
        <v>0</v>
      </c>
      <c r="FP51" s="92">
        <f>FORMULA!$S226</f>
        <v>0</v>
      </c>
      <c r="FQ51" s="92">
        <f>FORMULA!$U226</f>
        <v>0</v>
      </c>
      <c r="FR51" s="92">
        <f>FORMULA!$W226</f>
        <v>0</v>
      </c>
      <c r="FS51" s="92">
        <f>FORMULA!$Y226</f>
        <v>0</v>
      </c>
      <c r="FT51" s="92">
        <f>FORMULA!$AA226</f>
        <v>0</v>
      </c>
      <c r="FU51" s="92">
        <f>FORMULA!$AC226</f>
        <v>0</v>
      </c>
      <c r="FV51" s="92">
        <f>FORMULA!$AE226</f>
        <v>0</v>
      </c>
      <c r="FW51" s="94"/>
      <c r="FX51" s="91">
        <f>FORMULA!$C314</f>
        <v>0</v>
      </c>
      <c r="FY51" s="92">
        <f>FORMULA!$E314</f>
        <v>0</v>
      </c>
      <c r="FZ51" s="92">
        <f>FORMULA!$G314</f>
        <v>0</v>
      </c>
      <c r="GA51" s="92">
        <f>FORMULA!$I314</f>
        <v>0</v>
      </c>
      <c r="GB51" s="92">
        <f>FORMULA!$K314</f>
        <v>0</v>
      </c>
      <c r="GC51" s="92">
        <f>FORMULA!$M314</f>
        <v>0</v>
      </c>
      <c r="GD51" s="92">
        <f>FORMULA!$O314</f>
        <v>0</v>
      </c>
      <c r="GE51" s="92">
        <f>FORMULA!$Q314</f>
        <v>0</v>
      </c>
      <c r="GF51" s="92">
        <f>FORMULA!$S314</f>
        <v>0</v>
      </c>
      <c r="GG51" s="92">
        <f>FORMULA!$U314</f>
        <v>0</v>
      </c>
      <c r="GH51" s="92">
        <f>FORMULA!$W314</f>
        <v>0</v>
      </c>
      <c r="GI51" s="92">
        <f>FORMULA!$Y314</f>
        <v>0</v>
      </c>
      <c r="GJ51" s="92">
        <f>FORMULA!$AA314</f>
        <v>0</v>
      </c>
      <c r="GK51" s="92">
        <f>FORMULA!$AC314</f>
        <v>0</v>
      </c>
      <c r="GL51" s="92">
        <f>FORMULA!$AE314</f>
        <v>0</v>
      </c>
      <c r="GM51" s="207"/>
      <c r="GN51" s="91">
        <f>FORMULA!$C402</f>
        <v>0</v>
      </c>
      <c r="GO51" s="92">
        <f>FORMULA!$E402</f>
        <v>0</v>
      </c>
      <c r="GP51" s="92">
        <f>FORMULA!$G402</f>
        <v>0</v>
      </c>
      <c r="GQ51" s="92">
        <f>FORMULA!$I402</f>
        <v>0</v>
      </c>
      <c r="GR51" s="92">
        <f>FORMULA!$K402</f>
        <v>0</v>
      </c>
      <c r="GS51" s="92">
        <f>FORMULA!$M402</f>
        <v>0</v>
      </c>
      <c r="GT51" s="92">
        <f>FORMULA!$O402</f>
        <v>0</v>
      </c>
      <c r="GU51" s="92">
        <f>FORMULA!$Q402</f>
        <v>0</v>
      </c>
      <c r="GV51" s="92">
        <f>FORMULA!$S402</f>
        <v>0</v>
      </c>
      <c r="GW51" s="92">
        <f>FORMULA!$U402</f>
        <v>0</v>
      </c>
      <c r="GX51" s="92">
        <f>FORMULA!$W402</f>
        <v>0</v>
      </c>
      <c r="GY51" s="92">
        <f>FORMULA!$Y402</f>
        <v>0</v>
      </c>
      <c r="GZ51" s="92">
        <f>FORMULA!$AA402</f>
        <v>0</v>
      </c>
      <c r="HA51" s="92">
        <f>FORMULA!$AC402</f>
        <v>0</v>
      </c>
      <c r="HB51" s="92">
        <f>FORMULA!$AE402</f>
        <v>0</v>
      </c>
      <c r="HC51" s="207"/>
      <c r="HD51" s="91">
        <f>FORMULA!$C490</f>
        <v>2.7500000000000004</v>
      </c>
      <c r="HE51" s="92">
        <f>FORMULA!$E490</f>
        <v>2.7500000000000004</v>
      </c>
      <c r="HF51" s="92">
        <f>FORMULA!$G490</f>
        <v>2.7349999999999994</v>
      </c>
      <c r="HG51" s="92">
        <f>FORMULA!$I490</f>
        <v>0</v>
      </c>
      <c r="HH51" s="92">
        <f>FORMULA!$K490</f>
        <v>0</v>
      </c>
      <c r="HI51" s="92">
        <f>FORMULA!$M490</f>
        <v>0</v>
      </c>
      <c r="HJ51" s="92">
        <f>FORMULA!$O490</f>
        <v>0</v>
      </c>
      <c r="HK51" s="92">
        <f>FORMULA!$Q490</f>
        <v>0</v>
      </c>
      <c r="HL51" s="92">
        <f>FORMULA!$S490</f>
        <v>0</v>
      </c>
      <c r="HM51" s="92">
        <f>FORMULA!$U490</f>
        <v>2</v>
      </c>
      <c r="HN51" s="92">
        <f>FORMULA!$W490</f>
        <v>0</v>
      </c>
      <c r="HO51" s="92">
        <f>FORMULA!$Y490</f>
        <v>0</v>
      </c>
      <c r="HP51" s="92">
        <f>FORMULA!$AA490</f>
        <v>0</v>
      </c>
      <c r="HQ51" s="92">
        <f>FORMULA!$AC490</f>
        <v>0</v>
      </c>
      <c r="HR51" s="92">
        <f>FORMULA!$AE490</f>
        <v>0</v>
      </c>
      <c r="HS51" s="207"/>
      <c r="HT51" s="91">
        <f>FORMULA!$C578</f>
        <v>2.7999999999999994</v>
      </c>
      <c r="HU51" s="92">
        <f>FORMULA!$E578</f>
        <v>2.7999999999999994</v>
      </c>
      <c r="HV51" s="92">
        <f>FORMULA!$G578</f>
        <v>2.7999999999999994</v>
      </c>
      <c r="HW51" s="92">
        <f>FORMULA!$I578</f>
        <v>0</v>
      </c>
      <c r="HX51" s="92">
        <f>FORMULA!$K578</f>
        <v>0</v>
      </c>
      <c r="HY51" s="92">
        <f>FORMULA!$M578</f>
        <v>0</v>
      </c>
      <c r="HZ51" s="92">
        <f>FORMULA!$O578</f>
        <v>0</v>
      </c>
      <c r="IA51" s="92">
        <f>FORMULA!$Q578</f>
        <v>0</v>
      </c>
      <c r="IB51" s="92">
        <f>FORMULA!$S578</f>
        <v>0</v>
      </c>
      <c r="IC51" s="92">
        <f>FORMULA!$U578</f>
        <v>0</v>
      </c>
      <c r="ID51" s="92">
        <f>FORMULA!$W578</f>
        <v>0</v>
      </c>
      <c r="IE51" s="92">
        <f>FORMULA!$Y578</f>
        <v>0</v>
      </c>
      <c r="IF51" s="92">
        <f>FORMULA!$AA578</f>
        <v>0</v>
      </c>
      <c r="IG51" s="92">
        <f>FORMULA!$AC578</f>
        <v>0</v>
      </c>
      <c r="IH51" s="92">
        <f>FORMULA!$AE578</f>
        <v>0</v>
      </c>
      <c r="II51" s="207"/>
      <c r="IJ51" s="91">
        <f>FORMULA!$C666</f>
        <v>2.7999999999999994</v>
      </c>
      <c r="IK51" s="92">
        <f>FORMULA!$E666</f>
        <v>2.7500000000000004</v>
      </c>
      <c r="IL51" s="92">
        <f>FORMULA!$G666</f>
        <v>2.7999999999999994</v>
      </c>
      <c r="IM51" s="92">
        <f>FORMULA!$I666</f>
        <v>2.7999999999999994</v>
      </c>
      <c r="IN51" s="92">
        <f>FORMULA!$K666</f>
        <v>0</v>
      </c>
      <c r="IO51" s="92">
        <f>FORMULA!$M666</f>
        <v>0</v>
      </c>
      <c r="IP51" s="92">
        <f>FORMULA!$O666</f>
        <v>0</v>
      </c>
      <c r="IQ51" s="92">
        <f>FORMULA!$Q666</f>
        <v>0</v>
      </c>
      <c r="IR51" s="92">
        <f>FORMULA!$S666</f>
        <v>0</v>
      </c>
      <c r="IS51" s="92">
        <f>FORMULA!$U666</f>
        <v>0</v>
      </c>
      <c r="IT51" s="92">
        <f>FORMULA!$W666</f>
        <v>0</v>
      </c>
      <c r="IU51" s="92">
        <f>FORMULA!$Y666</f>
        <v>0</v>
      </c>
      <c r="IV51" s="92">
        <f>FORMULA!$AA666</f>
        <v>0</v>
      </c>
      <c r="IW51" s="92">
        <f>FORMULA!$AC666</f>
        <v>0</v>
      </c>
      <c r="IX51" s="92">
        <f>FORMULA!$AE666</f>
        <v>0</v>
      </c>
      <c r="IY51" s="208"/>
    </row>
    <row r="52" spans="1:259" outlineLevel="1">
      <c r="A52" s="11"/>
      <c r="B52" s="106"/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  <c r="AK52" s="106"/>
      <c r="AL52" s="106"/>
      <c r="AM52" s="106"/>
      <c r="AN52" s="106"/>
      <c r="AO52" s="106"/>
      <c r="AP52" s="106"/>
      <c r="AQ52" s="106"/>
      <c r="AR52" s="106"/>
      <c r="AS52" s="106"/>
      <c r="AT52" s="106"/>
      <c r="AU52" s="106"/>
      <c r="AV52" s="106"/>
      <c r="AW52" s="106"/>
      <c r="AX52" s="106"/>
      <c r="AY52" s="106"/>
      <c r="AZ52" s="106"/>
      <c r="BA52" s="106"/>
      <c r="BB52" s="106"/>
      <c r="BC52" s="106"/>
      <c r="BD52" s="106"/>
      <c r="BE52" s="106"/>
      <c r="BF52" s="106"/>
      <c r="BG52" s="106"/>
      <c r="BH52" s="106"/>
      <c r="BI52" s="106"/>
      <c r="BJ52" s="106"/>
      <c r="BK52" s="106"/>
      <c r="BL52" s="106"/>
      <c r="BM52" s="106"/>
      <c r="BN52" s="106"/>
      <c r="BO52" s="106"/>
      <c r="BP52" s="106"/>
      <c r="BQ52" s="106"/>
      <c r="BR52" s="106"/>
      <c r="BS52" s="106"/>
      <c r="BT52" s="106"/>
      <c r="BU52" s="106"/>
      <c r="BV52" s="106"/>
      <c r="BW52" s="106"/>
      <c r="BX52" s="106"/>
      <c r="BY52" s="106"/>
      <c r="BZ52" s="106"/>
      <c r="CA52" s="106"/>
      <c r="CB52" s="106"/>
      <c r="CC52" s="106"/>
      <c r="CD52" s="106"/>
      <c r="CE52" s="106"/>
      <c r="CF52" s="106"/>
      <c r="CG52" s="106"/>
      <c r="CH52" s="106"/>
      <c r="CI52" s="106"/>
      <c r="CJ52" s="106"/>
      <c r="CK52" s="106"/>
      <c r="CL52" s="106"/>
      <c r="CM52" s="106"/>
      <c r="CN52" s="106"/>
      <c r="CO52" s="106"/>
      <c r="CP52" s="106"/>
      <c r="CQ52" s="106"/>
      <c r="CR52" s="106"/>
      <c r="CS52" s="106"/>
      <c r="CT52" s="106"/>
      <c r="CU52" s="106"/>
      <c r="CV52" s="106"/>
      <c r="CW52" s="106"/>
      <c r="CX52" s="106"/>
      <c r="CY52" s="106"/>
      <c r="CZ52" s="106"/>
      <c r="DA52" s="106"/>
      <c r="DB52" s="106"/>
      <c r="DC52" s="106"/>
      <c r="DD52" s="106"/>
      <c r="DE52" s="106"/>
      <c r="DF52" s="106"/>
      <c r="DG52" s="106"/>
      <c r="DH52" s="106"/>
      <c r="DI52" s="106"/>
      <c r="DJ52" s="106"/>
      <c r="DK52" s="106"/>
      <c r="DL52" s="106"/>
      <c r="DM52" s="106"/>
      <c r="DN52" s="106"/>
      <c r="DO52" s="106"/>
      <c r="DP52" s="106"/>
      <c r="DQ52" s="106"/>
      <c r="DR52" s="106"/>
      <c r="DS52" s="106"/>
      <c r="DT52" s="106"/>
      <c r="DU52" s="106"/>
      <c r="DV52" s="106"/>
      <c r="DW52" s="106"/>
      <c r="DX52" s="106"/>
      <c r="DY52" s="106"/>
      <c r="EA52" s="20" t="str">
        <f>FORMULA!$A$51</f>
        <v>VISTABET 91</v>
      </c>
      <c r="EB52" s="91">
        <f>FORMULA!$C51</f>
        <v>0</v>
      </c>
      <c r="EC52" s="92">
        <f>FORMULA!$E51</f>
        <v>0</v>
      </c>
      <c r="ED52" s="92">
        <f>FORMULA!$G51</f>
        <v>0</v>
      </c>
      <c r="EE52" s="92">
        <f>FORMULA!$I51</f>
        <v>0</v>
      </c>
      <c r="EF52" s="92">
        <f>FORMULA!$K51</f>
        <v>0</v>
      </c>
      <c r="EG52" s="92">
        <f>FORMULA!$M51</f>
        <v>0</v>
      </c>
      <c r="EH52" s="92">
        <f>FORMULA!$O51</f>
        <v>0</v>
      </c>
      <c r="EI52" s="92">
        <f>FORMULA!$Q51</f>
        <v>0</v>
      </c>
      <c r="EJ52" s="92">
        <f>FORMULA!$S51</f>
        <v>0</v>
      </c>
      <c r="EK52" s="92">
        <f>FORMULA!$U51</f>
        <v>0</v>
      </c>
      <c r="EL52" s="92">
        <f>FORMULA!$W51</f>
        <v>0</v>
      </c>
      <c r="EM52" s="92">
        <f>FORMULA!$Y51</f>
        <v>0</v>
      </c>
      <c r="EN52" s="92">
        <f>FORMULA!$AA51</f>
        <v>0</v>
      </c>
      <c r="EO52" s="92">
        <f>FORMULA!$AC51</f>
        <v>0</v>
      </c>
      <c r="EP52" s="92">
        <f>FORMULA!$AE51</f>
        <v>0</v>
      </c>
      <c r="EQ52" s="108"/>
      <c r="ER52" s="91">
        <f>FORMULA!$C139</f>
        <v>0</v>
      </c>
      <c r="ES52" s="92">
        <f>FORMULA!$E139</f>
        <v>0</v>
      </c>
      <c r="ET52" s="92">
        <f>FORMULA!$G139</f>
        <v>0</v>
      </c>
      <c r="EU52" s="92">
        <f>FORMULA!$I139</f>
        <v>0</v>
      </c>
      <c r="EV52" s="92">
        <f>FORMULA!$K139</f>
        <v>0</v>
      </c>
      <c r="EW52" s="92">
        <f>FORMULA!$M139</f>
        <v>0</v>
      </c>
      <c r="EX52" s="92">
        <f>FORMULA!$O139</f>
        <v>0</v>
      </c>
      <c r="EY52" s="92">
        <f>FORMULA!$Q139</f>
        <v>0</v>
      </c>
      <c r="EZ52" s="92">
        <f>FORMULA!$S139</f>
        <v>0</v>
      </c>
      <c r="FA52" s="92">
        <f>FORMULA!$U139</f>
        <v>0</v>
      </c>
      <c r="FB52" s="92">
        <f>FORMULA!$W139</f>
        <v>0</v>
      </c>
      <c r="FC52" s="92">
        <f>FORMULA!$Y139</f>
        <v>0</v>
      </c>
      <c r="FD52" s="92">
        <f>FORMULA!$AA139</f>
        <v>0</v>
      </c>
      <c r="FE52" s="92">
        <f>FORMULA!$AC139</f>
        <v>0</v>
      </c>
      <c r="FF52" s="92">
        <f>FORMULA!$AE139</f>
        <v>0</v>
      </c>
      <c r="FG52" s="94"/>
      <c r="FH52" s="91">
        <f>FORMULA!$C227</f>
        <v>0</v>
      </c>
      <c r="FI52" s="92">
        <f>FORMULA!$E227</f>
        <v>0</v>
      </c>
      <c r="FJ52" s="92">
        <f>FORMULA!$G227</f>
        <v>0</v>
      </c>
      <c r="FK52" s="92">
        <f>FORMULA!$I227</f>
        <v>0</v>
      </c>
      <c r="FL52" s="92">
        <f>FORMULA!$K227</f>
        <v>0</v>
      </c>
      <c r="FM52" s="92">
        <f>FORMULA!$M227</f>
        <v>0</v>
      </c>
      <c r="FN52" s="92">
        <f>FORMULA!$O227</f>
        <v>0</v>
      </c>
      <c r="FO52" s="92">
        <f>FORMULA!$Q227</f>
        <v>0</v>
      </c>
      <c r="FP52" s="92">
        <f>FORMULA!$S227</f>
        <v>0</v>
      </c>
      <c r="FQ52" s="92">
        <f>FORMULA!$U227</f>
        <v>0</v>
      </c>
      <c r="FR52" s="92">
        <f>FORMULA!$W227</f>
        <v>0</v>
      </c>
      <c r="FS52" s="92">
        <f>FORMULA!$Y227</f>
        <v>0</v>
      </c>
      <c r="FT52" s="92">
        <f>FORMULA!$AA227</f>
        <v>0</v>
      </c>
      <c r="FU52" s="92">
        <f>FORMULA!$AC227</f>
        <v>0</v>
      </c>
      <c r="FV52" s="92">
        <f>FORMULA!$AE227</f>
        <v>0</v>
      </c>
      <c r="FW52" s="94"/>
      <c r="FX52" s="91">
        <f>FORMULA!$C315</f>
        <v>0</v>
      </c>
      <c r="FY52" s="92">
        <f>FORMULA!$E315</f>
        <v>0</v>
      </c>
      <c r="FZ52" s="92">
        <f>FORMULA!$G315</f>
        <v>0</v>
      </c>
      <c r="GA52" s="92">
        <f>FORMULA!$I315</f>
        <v>0</v>
      </c>
      <c r="GB52" s="92">
        <f>FORMULA!$K315</f>
        <v>0</v>
      </c>
      <c r="GC52" s="92">
        <f>FORMULA!$M315</f>
        <v>0</v>
      </c>
      <c r="GD52" s="92">
        <f>FORMULA!$O315</f>
        <v>0</v>
      </c>
      <c r="GE52" s="92">
        <f>FORMULA!$Q315</f>
        <v>0</v>
      </c>
      <c r="GF52" s="92">
        <f>FORMULA!$S315</f>
        <v>0</v>
      </c>
      <c r="GG52" s="92">
        <f>FORMULA!$U315</f>
        <v>0</v>
      </c>
      <c r="GH52" s="92">
        <f>FORMULA!$W315</f>
        <v>0</v>
      </c>
      <c r="GI52" s="92">
        <f>FORMULA!$Y315</f>
        <v>0</v>
      </c>
      <c r="GJ52" s="92">
        <f>FORMULA!$AA315</f>
        <v>0</v>
      </c>
      <c r="GK52" s="92">
        <f>FORMULA!$AC315</f>
        <v>0</v>
      </c>
      <c r="GL52" s="92">
        <f>FORMULA!$AE315</f>
        <v>0</v>
      </c>
      <c r="GM52" s="207"/>
      <c r="GN52" s="91">
        <f>FORMULA!$C403</f>
        <v>0</v>
      </c>
      <c r="GO52" s="92">
        <f>FORMULA!$E403</f>
        <v>0</v>
      </c>
      <c r="GP52" s="92">
        <f>FORMULA!$G403</f>
        <v>0</v>
      </c>
      <c r="GQ52" s="92">
        <f>FORMULA!$I403</f>
        <v>0</v>
      </c>
      <c r="GR52" s="92">
        <f>FORMULA!$K403</f>
        <v>0</v>
      </c>
      <c r="GS52" s="92">
        <f>FORMULA!$M403</f>
        <v>0</v>
      </c>
      <c r="GT52" s="92">
        <f>FORMULA!$O403</f>
        <v>0</v>
      </c>
      <c r="GU52" s="92">
        <f>FORMULA!$Q403</f>
        <v>0</v>
      </c>
      <c r="GV52" s="92">
        <f>FORMULA!$S403</f>
        <v>0</v>
      </c>
      <c r="GW52" s="92">
        <f>FORMULA!$U403</f>
        <v>0</v>
      </c>
      <c r="GX52" s="92">
        <f>FORMULA!$W403</f>
        <v>0</v>
      </c>
      <c r="GY52" s="92">
        <f>FORMULA!$Y403</f>
        <v>0</v>
      </c>
      <c r="GZ52" s="92">
        <f>FORMULA!$AA403</f>
        <v>0</v>
      </c>
      <c r="HA52" s="92">
        <f>FORMULA!$AC403</f>
        <v>1</v>
      </c>
      <c r="HB52" s="92">
        <f>FORMULA!$AE403</f>
        <v>1</v>
      </c>
      <c r="HC52" s="207"/>
      <c r="HD52" s="91">
        <f>FORMULA!$C491</f>
        <v>0</v>
      </c>
      <c r="HE52" s="92">
        <f>FORMULA!$E491</f>
        <v>0</v>
      </c>
      <c r="HF52" s="92">
        <f>FORMULA!$G491</f>
        <v>0</v>
      </c>
      <c r="HG52" s="92">
        <f>FORMULA!$I491</f>
        <v>0</v>
      </c>
      <c r="HH52" s="92">
        <f>FORMULA!$K491</f>
        <v>0</v>
      </c>
      <c r="HI52" s="92">
        <f>FORMULA!$M491</f>
        <v>0</v>
      </c>
      <c r="HJ52" s="92">
        <f>FORMULA!$O491</f>
        <v>0</v>
      </c>
      <c r="HK52" s="92">
        <f>FORMULA!$Q491</f>
        <v>0</v>
      </c>
      <c r="HL52" s="92">
        <f>FORMULA!$S491</f>
        <v>0</v>
      </c>
      <c r="HM52" s="92">
        <f>FORMULA!$U491</f>
        <v>0</v>
      </c>
      <c r="HN52" s="92">
        <f>FORMULA!$W491</f>
        <v>0</v>
      </c>
      <c r="HO52" s="92">
        <f>FORMULA!$Y491</f>
        <v>0</v>
      </c>
      <c r="HP52" s="92">
        <f>FORMULA!$AA491</f>
        <v>0</v>
      </c>
      <c r="HQ52" s="92">
        <f>FORMULA!$AC491</f>
        <v>0</v>
      </c>
      <c r="HR52" s="92">
        <f>FORMULA!$AE491</f>
        <v>0</v>
      </c>
      <c r="HS52" s="207"/>
      <c r="HT52" s="91">
        <f>FORMULA!$C579</f>
        <v>0</v>
      </c>
      <c r="HU52" s="92">
        <f>FORMULA!$E579</f>
        <v>0</v>
      </c>
      <c r="HV52" s="92">
        <f>FORMULA!$G579</f>
        <v>0</v>
      </c>
      <c r="HW52" s="92">
        <f>FORMULA!$I579</f>
        <v>0</v>
      </c>
      <c r="HX52" s="92">
        <f>FORMULA!$K579</f>
        <v>0</v>
      </c>
      <c r="HY52" s="92">
        <f>FORMULA!$M579</f>
        <v>0</v>
      </c>
      <c r="HZ52" s="92">
        <f>FORMULA!$O579</f>
        <v>0</v>
      </c>
      <c r="IA52" s="92">
        <f>FORMULA!$Q579</f>
        <v>0</v>
      </c>
      <c r="IB52" s="92">
        <f>FORMULA!$S579</f>
        <v>0</v>
      </c>
      <c r="IC52" s="92">
        <f>FORMULA!$U579</f>
        <v>0</v>
      </c>
      <c r="ID52" s="92">
        <f>FORMULA!$W579</f>
        <v>0</v>
      </c>
      <c r="IE52" s="92">
        <f>FORMULA!$Y579</f>
        <v>0</v>
      </c>
      <c r="IF52" s="92">
        <f>FORMULA!$AA579</f>
        <v>0</v>
      </c>
      <c r="IG52" s="92">
        <f>FORMULA!$AC579</f>
        <v>0</v>
      </c>
      <c r="IH52" s="92">
        <f>FORMULA!$AE579</f>
        <v>0</v>
      </c>
      <c r="II52" s="207"/>
      <c r="IJ52" s="91">
        <f>FORMULA!$C667</f>
        <v>0</v>
      </c>
      <c r="IK52" s="92">
        <f>FORMULA!$E667</f>
        <v>0</v>
      </c>
      <c r="IL52" s="92">
        <f>FORMULA!$G667</f>
        <v>0</v>
      </c>
      <c r="IM52" s="92">
        <f>FORMULA!$I667</f>
        <v>0</v>
      </c>
      <c r="IN52" s="92">
        <f>FORMULA!$K667</f>
        <v>0</v>
      </c>
      <c r="IO52" s="92">
        <f>FORMULA!$M667</f>
        <v>0</v>
      </c>
      <c r="IP52" s="92">
        <f>FORMULA!$O667</f>
        <v>0</v>
      </c>
      <c r="IQ52" s="92">
        <f>FORMULA!$Q667</f>
        <v>0</v>
      </c>
      <c r="IR52" s="92">
        <f>FORMULA!$S667</f>
        <v>0</v>
      </c>
      <c r="IS52" s="92">
        <f>FORMULA!$U667</f>
        <v>0</v>
      </c>
      <c r="IT52" s="92">
        <f>FORMULA!$W667</f>
        <v>0</v>
      </c>
      <c r="IU52" s="92">
        <f>FORMULA!$Y667</f>
        <v>0</v>
      </c>
      <c r="IV52" s="92">
        <f>FORMULA!$AA667</f>
        <v>0</v>
      </c>
      <c r="IW52" s="92">
        <f>FORMULA!$AC667</f>
        <v>0</v>
      </c>
      <c r="IX52" s="92">
        <f>FORMULA!$AE667</f>
        <v>0</v>
      </c>
      <c r="IY52" s="208"/>
    </row>
    <row r="53" spans="1:259" s="115" customFormat="1" ht="30.75" customHeight="1" thickBot="1">
      <c r="B53" s="256" t="str">
        <f>FORMULA!$B$3</f>
        <v>WS 1101 (251124)</v>
      </c>
      <c r="C53" s="256" t="str">
        <f>FORMULA!$D$3</f>
        <v>WS 1101 (220526)</v>
      </c>
      <c r="D53" s="256">
        <f>FORMULA!$F$3</f>
        <v>0</v>
      </c>
      <c r="E53" s="256">
        <f>FORMULA!$H$3</f>
        <v>0</v>
      </c>
      <c r="F53" s="256">
        <f>FORMULA!$J$3</f>
        <v>0</v>
      </c>
      <c r="G53" s="111">
        <f>FORMULA!$L$3</f>
        <v>0</v>
      </c>
      <c r="H53" s="111">
        <f>FORMULA!$N$3</f>
        <v>0</v>
      </c>
      <c r="I53" s="111">
        <f>FORMULA!$P$3</f>
        <v>0</v>
      </c>
      <c r="J53" s="111">
        <f>FORMULA!$R$3</f>
        <v>0</v>
      </c>
      <c r="K53" s="111">
        <f>FORMULA!$T$3</f>
        <v>0</v>
      </c>
      <c r="L53" s="111">
        <f>FORMULA!$V$3</f>
        <v>0</v>
      </c>
      <c r="M53" s="111">
        <f>FORMULA!$X$3</f>
        <v>0</v>
      </c>
      <c r="N53" s="111">
        <f>FORMULA!$Z$3</f>
        <v>0</v>
      </c>
      <c r="O53" s="111">
        <f>FORMULA!$AB$3</f>
        <v>0</v>
      </c>
      <c r="P53" s="111">
        <f>FORMULA!$AD$3</f>
        <v>0</v>
      </c>
      <c r="Q53" s="111"/>
      <c r="R53" s="256" t="str">
        <f>FORMULA!$B$91</f>
        <v>WS 1102 (290825)</v>
      </c>
      <c r="S53" s="256">
        <f>FORMULA!$D$91</f>
        <v>0</v>
      </c>
      <c r="T53" s="256">
        <f>FORMULA!$F$91</f>
        <v>0</v>
      </c>
      <c r="U53" s="256">
        <f>FORMULA!$H$91</f>
        <v>0</v>
      </c>
      <c r="V53" s="256">
        <f>FORMULA!$J$91</f>
        <v>0</v>
      </c>
      <c r="W53" s="256">
        <f>FORMULA!$L$91</f>
        <v>0</v>
      </c>
      <c r="X53" s="256">
        <f>FORMULA!$N$91</f>
        <v>0</v>
      </c>
      <c r="Y53" s="256">
        <f>FORMULA!$P$91</f>
        <v>0</v>
      </c>
      <c r="Z53" s="256">
        <f>FORMULA!$R$91</f>
        <v>0</v>
      </c>
      <c r="AA53" s="256">
        <f>FORMULA!$T$91</f>
        <v>0</v>
      </c>
      <c r="AB53" s="256">
        <f>FORMULA!$V$91</f>
        <v>0</v>
      </c>
      <c r="AC53" s="256">
        <f>FORMULA!$X$91</f>
        <v>0</v>
      </c>
      <c r="AD53" s="111">
        <f>FORMULA!$Z$91</f>
        <v>0</v>
      </c>
      <c r="AE53" s="111">
        <f>FORMULA!$AB$91</f>
        <v>0</v>
      </c>
      <c r="AF53" s="111">
        <f>FORMULA!$AD$91</f>
        <v>0</v>
      </c>
      <c r="AG53" s="111"/>
      <c r="AH53" s="256" t="str">
        <f>FORMULA!$B$179</f>
        <v>WS 1103 (290825)</v>
      </c>
      <c r="AI53" s="256" t="str">
        <f>FORMULA!$D$179</f>
        <v>WS 1103 (220526)</v>
      </c>
      <c r="AJ53" s="256">
        <f>FORMULA!$F$179</f>
        <v>0</v>
      </c>
      <c r="AK53" s="256">
        <f>FORMULA!$H$179</f>
        <v>0</v>
      </c>
      <c r="AL53" s="256">
        <f>FORMULA!$J$179</f>
        <v>0</v>
      </c>
      <c r="AM53" s="256">
        <f>FORMULA!$L$179</f>
        <v>0</v>
      </c>
      <c r="AN53" s="256">
        <f>FORMULA!$N$179</f>
        <v>0</v>
      </c>
      <c r="AO53" s="256">
        <f>FORMULA!$P$179</f>
        <v>0</v>
      </c>
      <c r="AP53" s="256">
        <f>FORMULA!$R$179</f>
        <v>0</v>
      </c>
      <c r="AQ53" s="256">
        <f>FORMULA!$T$179</f>
        <v>0</v>
      </c>
      <c r="AR53" s="256">
        <f>FORMULA!$V$179</f>
        <v>0</v>
      </c>
      <c r="AS53" s="256">
        <f>FORMULA!$X$179</f>
        <v>0</v>
      </c>
      <c r="AT53" s="111">
        <f>FORMULA!$Z$179</f>
        <v>0</v>
      </c>
      <c r="AU53" s="111">
        <f>FORMULA!$AB$179</f>
        <v>0</v>
      </c>
      <c r="AV53" s="111">
        <f>FORMULA!$AD$179</f>
        <v>0</v>
      </c>
      <c r="AW53" s="111"/>
      <c r="AX53" s="111">
        <f>FORMULA!$B$267</f>
        <v>0</v>
      </c>
      <c r="AY53" s="111">
        <f>FORMULA!$D$267</f>
        <v>0</v>
      </c>
      <c r="AZ53" s="111">
        <f>FORMULA!$F$267</f>
        <v>0</v>
      </c>
      <c r="BA53" s="111">
        <f>FORMULA!$H$267</f>
        <v>0</v>
      </c>
      <c r="BB53" s="111">
        <f>FORMULA!$J$267</f>
        <v>0</v>
      </c>
      <c r="BC53" s="111">
        <f>FORMULA!$L$267</f>
        <v>0</v>
      </c>
      <c r="BD53" s="111">
        <f>FORMULA!$N$267</f>
        <v>0</v>
      </c>
      <c r="BE53" s="111">
        <f>FORMULA!$P$267</f>
        <v>0</v>
      </c>
      <c r="BF53" s="111">
        <f>FORMULA!$R$267</f>
        <v>0</v>
      </c>
      <c r="BG53" s="111">
        <f>FORMULA!$T$267</f>
        <v>0</v>
      </c>
      <c r="BH53" s="111">
        <f>FORMULA!$V$267</f>
        <v>0</v>
      </c>
      <c r="BI53" s="111">
        <f>FORMULA!$X$267</f>
        <v>0</v>
      </c>
      <c r="BJ53" s="111">
        <f>FORMULA!$Z$267</f>
        <v>0</v>
      </c>
      <c r="BK53" s="111">
        <f>FORMULA!$AB$267</f>
        <v>0</v>
      </c>
      <c r="BL53" s="111">
        <f>FORMULA!$AD$267</f>
        <v>0</v>
      </c>
      <c r="BM53" s="111"/>
      <c r="BN53" s="256" t="str">
        <f>FORMULA!$B$355</f>
        <v>WS 8100 (290825)</v>
      </c>
      <c r="BO53" s="111" t="str">
        <f>FORMULA!$D$355</f>
        <v>WS 8100 (280426)</v>
      </c>
      <c r="BP53" s="111">
        <f>FORMULA!$F$355</f>
        <v>0</v>
      </c>
      <c r="BQ53" s="256" t="str">
        <f>FORMULA!$H$355</f>
        <v>WS 8102 (290825)</v>
      </c>
      <c r="BR53" s="256" t="str">
        <f>FORMULA!$J$355</f>
        <v>WS 8102 (121225)</v>
      </c>
      <c r="BS53" s="256" t="str">
        <f>FORMULA!$L$355</f>
        <v>WS 8102 (020326)</v>
      </c>
      <c r="BT53" s="256" t="str">
        <f>FORMULA!$N$355</f>
        <v>WS 8102 (020326)</v>
      </c>
      <c r="BU53" s="256" t="str">
        <f>FORMULA!$P$355</f>
        <v>WS 8102 (060526)</v>
      </c>
      <c r="BV53" s="256" t="str">
        <f>FORMULA!$R$355</f>
        <v>WS 8102 (060526)</v>
      </c>
      <c r="BW53" s="256" t="str">
        <f>FORMULA!$T$355</f>
        <v>WS 8103 (070526)</v>
      </c>
      <c r="BX53" s="256" t="str">
        <f>FORMULA!$V$355</f>
        <v>WS 8102 (070526)</v>
      </c>
      <c r="BY53" s="256" t="str">
        <f>FORMULA!$X$355</f>
        <v>WS 8103 (061125)</v>
      </c>
      <c r="BZ53" s="256" t="str">
        <f>FORMULA!$Z$355</f>
        <v>WS 8103 (250226)</v>
      </c>
      <c r="CA53" s="256" t="str">
        <f>FORMULA!$AB$355</f>
        <v>WS 8102 (080526)</v>
      </c>
      <c r="CB53" s="256" t="str">
        <f>FORMULA!$AD$355</f>
        <v>WS 8109 (080526)</v>
      </c>
      <c r="CC53" s="111"/>
      <c r="CD53" s="256" t="str">
        <f>FORMULA!$B$443</f>
        <v>YH 121 (050226)</v>
      </c>
      <c r="CE53" s="111" t="str">
        <f>FORMULA!$D$443</f>
        <v>YH 121 (190326)</v>
      </c>
      <c r="CF53" s="111" t="str">
        <f>FORMULA!$F$443</f>
        <v>YH 121 (020426)</v>
      </c>
      <c r="CG53" s="111">
        <f>FORMULA!$H$443</f>
        <v>0</v>
      </c>
      <c r="CH53" s="111">
        <f>FORMULA!$J$443</f>
        <v>0</v>
      </c>
      <c r="CI53" s="111">
        <f>FORMULA!$L$443</f>
        <v>0</v>
      </c>
      <c r="CJ53" s="111">
        <f>FORMULA!$N$443</f>
        <v>0</v>
      </c>
      <c r="CK53" s="111">
        <f>FORMULA!$P$443</f>
        <v>0</v>
      </c>
      <c r="CL53" s="111">
        <f>FORMULA!$R$443</f>
        <v>0</v>
      </c>
      <c r="CM53" s="111" t="str">
        <f>FORMULA!$T$443</f>
        <v>311 (130526)</v>
      </c>
      <c r="CN53" s="111" t="str">
        <f>FORMULA!$V$443</f>
        <v>312 (130526)</v>
      </c>
      <c r="CO53" s="111">
        <f>FORMULA!$X$443</f>
        <v>0</v>
      </c>
      <c r="CP53" s="111">
        <f>FORMULA!$Z$443</f>
        <v>0</v>
      </c>
      <c r="CQ53" s="111">
        <f>FORMULA!$AB$443</f>
        <v>0</v>
      </c>
      <c r="CR53" s="111">
        <f>FORMULA!$AD$443</f>
        <v>0</v>
      </c>
      <c r="CS53" s="111"/>
      <c r="CT53" s="256" t="str">
        <f>FORMULA!$B$531</f>
        <v>YH 122 (050226)</v>
      </c>
      <c r="CU53" s="111" t="str">
        <f>FORMULA!$D$531</f>
        <v>YH 122 (190326)</v>
      </c>
      <c r="CV53" s="111" t="str">
        <f>FORMULA!$F$531</f>
        <v>YH 122 (200426)</v>
      </c>
      <c r="CW53" s="111">
        <f>FORMULA!$H$531</f>
        <v>0</v>
      </c>
      <c r="CX53" s="111">
        <f>FORMULA!$J$531</f>
        <v>0</v>
      </c>
      <c r="CY53" s="111">
        <f>FORMULA!$L$531</f>
        <v>0</v>
      </c>
      <c r="CZ53" s="111" t="str">
        <f>FORMULA!$N$531</f>
        <v>5201 (090426)</v>
      </c>
      <c r="DA53" s="111" t="str">
        <f>FORMULA!$P$531</f>
        <v>5201 (090426)</v>
      </c>
      <c r="DB53" s="111">
        <f>FORMULA!$R$531</f>
        <v>0</v>
      </c>
      <c r="DC53" s="111" t="str">
        <f>FORMULA!$T$531</f>
        <v>5202 (090426)</v>
      </c>
      <c r="DD53" s="111" t="str">
        <f>FORMULA!$V$531</f>
        <v>5202 (090426)</v>
      </c>
      <c r="DE53" s="111">
        <f>FORMULA!$X$531</f>
        <v>0</v>
      </c>
      <c r="DF53" s="111" t="str">
        <f>FORMULA!$Z$531</f>
        <v>5203 (090426)</v>
      </c>
      <c r="DG53" s="111" t="str">
        <f>FORMULA!$AB$531</f>
        <v>5203 (090426)</v>
      </c>
      <c r="DH53" s="111">
        <f>FORMULA!$AD$531</f>
        <v>0</v>
      </c>
      <c r="DI53" s="111"/>
      <c r="DJ53" s="256" t="str">
        <f>FORMULA!$B$619</f>
        <v>YH 123 (050226)</v>
      </c>
      <c r="DK53" s="111" t="str">
        <f>FORMULA!$D$619</f>
        <v>YH 123 (130326)</v>
      </c>
      <c r="DL53" s="111" t="str">
        <f>FORMULA!$F$619</f>
        <v>YH 123 (190326)</v>
      </c>
      <c r="DM53" s="111" t="str">
        <f>FORMULA!$H$619</f>
        <v>YH 123 (200426)</v>
      </c>
      <c r="DN53" s="111">
        <f>FORMULA!$J$619</f>
        <v>0</v>
      </c>
      <c r="DO53" s="111">
        <f>FORMULA!$L$619</f>
        <v>0</v>
      </c>
      <c r="DP53" s="111">
        <f>FORMULA!$N$619</f>
        <v>0</v>
      </c>
      <c r="DQ53" s="111">
        <f>FORMULA!$P$619</f>
        <v>0</v>
      </c>
      <c r="DR53" s="111">
        <f>FORMULA!$R$619</f>
        <v>0</v>
      </c>
      <c r="DS53" s="111">
        <f>FORMULA!$T$619</f>
        <v>0</v>
      </c>
      <c r="DT53" s="111">
        <f>FORMULA!$V$619</f>
        <v>0</v>
      </c>
      <c r="DU53" s="111">
        <f>FORMULA!$X$619</f>
        <v>0</v>
      </c>
      <c r="DV53" s="111">
        <f>FORMULA!$Z$619</f>
        <v>0</v>
      </c>
      <c r="DW53" s="111">
        <f>FORMULA!$AB$619</f>
        <v>0</v>
      </c>
      <c r="DX53" s="111">
        <f>FORMULA!$AD$619</f>
        <v>0</v>
      </c>
      <c r="DY53" s="111"/>
      <c r="EA53" s="20" t="str">
        <f>FORMULA!$A$52</f>
        <v>BETAFIN</v>
      </c>
      <c r="EB53" s="91">
        <f>FORMULA!$C52</f>
        <v>0</v>
      </c>
      <c r="EC53" s="92">
        <f>FORMULA!$E52</f>
        <v>0</v>
      </c>
      <c r="ED53" s="92">
        <f>FORMULA!$G52</f>
        <v>0</v>
      </c>
      <c r="EE53" s="92">
        <f>FORMULA!$I52</f>
        <v>0</v>
      </c>
      <c r="EF53" s="92">
        <f>FORMULA!$K52</f>
        <v>0</v>
      </c>
      <c r="EG53" s="92">
        <f>FORMULA!$M52</f>
        <v>0</v>
      </c>
      <c r="EH53" s="92">
        <f>FORMULA!$O52</f>
        <v>0</v>
      </c>
      <c r="EI53" s="92">
        <f>FORMULA!$Q52</f>
        <v>0</v>
      </c>
      <c r="EJ53" s="92">
        <f>FORMULA!$S52</f>
        <v>0</v>
      </c>
      <c r="EK53" s="92">
        <f>FORMULA!$U52</f>
        <v>0</v>
      </c>
      <c r="EL53" s="92">
        <f>FORMULA!$W52</f>
        <v>0</v>
      </c>
      <c r="EM53" s="92">
        <f>FORMULA!$Y52</f>
        <v>0</v>
      </c>
      <c r="EN53" s="92">
        <f>FORMULA!$AA52</f>
        <v>0</v>
      </c>
      <c r="EO53" s="92">
        <f>FORMULA!$AC52</f>
        <v>0</v>
      </c>
      <c r="EP53" s="92">
        <f>FORMULA!$AE52</f>
        <v>0</v>
      </c>
      <c r="EQ53" s="108"/>
      <c r="ER53" s="91">
        <f>FORMULA!$C140</f>
        <v>0</v>
      </c>
      <c r="ES53" s="92">
        <f>FORMULA!$E140</f>
        <v>0</v>
      </c>
      <c r="ET53" s="92">
        <f>FORMULA!$G140</f>
        <v>0</v>
      </c>
      <c r="EU53" s="92">
        <f>FORMULA!$I140</f>
        <v>0</v>
      </c>
      <c r="EV53" s="92">
        <f>FORMULA!$K140</f>
        <v>0</v>
      </c>
      <c r="EW53" s="92">
        <f>FORMULA!$M140</f>
        <v>0</v>
      </c>
      <c r="EX53" s="92">
        <f>FORMULA!$O140</f>
        <v>0</v>
      </c>
      <c r="EY53" s="92">
        <f>FORMULA!$Q140</f>
        <v>0</v>
      </c>
      <c r="EZ53" s="92">
        <f>FORMULA!$S140</f>
        <v>0</v>
      </c>
      <c r="FA53" s="92">
        <f>FORMULA!$U140</f>
        <v>0</v>
      </c>
      <c r="FB53" s="92">
        <f>FORMULA!$W140</f>
        <v>0</v>
      </c>
      <c r="FC53" s="92">
        <f>FORMULA!$Y140</f>
        <v>0</v>
      </c>
      <c r="FD53" s="92">
        <f>FORMULA!$AA140</f>
        <v>0</v>
      </c>
      <c r="FE53" s="92">
        <f>FORMULA!$AC140</f>
        <v>0</v>
      </c>
      <c r="FF53" s="92">
        <f>FORMULA!$AE140</f>
        <v>0</v>
      </c>
      <c r="FG53" s="94"/>
      <c r="FH53" s="91">
        <f>FORMULA!$C228</f>
        <v>0</v>
      </c>
      <c r="FI53" s="92">
        <f>FORMULA!$E228</f>
        <v>0</v>
      </c>
      <c r="FJ53" s="92">
        <f>FORMULA!$G228</f>
        <v>0</v>
      </c>
      <c r="FK53" s="92">
        <f>FORMULA!$I228</f>
        <v>0</v>
      </c>
      <c r="FL53" s="92">
        <f>FORMULA!$K228</f>
        <v>0</v>
      </c>
      <c r="FM53" s="92">
        <f>FORMULA!$M228</f>
        <v>0</v>
      </c>
      <c r="FN53" s="92">
        <f>FORMULA!$O228</f>
        <v>0</v>
      </c>
      <c r="FO53" s="92">
        <f>FORMULA!$Q228</f>
        <v>0</v>
      </c>
      <c r="FP53" s="92">
        <f>FORMULA!$S228</f>
        <v>0</v>
      </c>
      <c r="FQ53" s="92">
        <f>FORMULA!$U228</f>
        <v>0</v>
      </c>
      <c r="FR53" s="92">
        <f>FORMULA!$W228</f>
        <v>0</v>
      </c>
      <c r="FS53" s="92">
        <f>FORMULA!$Y228</f>
        <v>0</v>
      </c>
      <c r="FT53" s="92">
        <f>FORMULA!$AA228</f>
        <v>0</v>
      </c>
      <c r="FU53" s="92">
        <f>FORMULA!$AC228</f>
        <v>0</v>
      </c>
      <c r="FV53" s="92">
        <f>FORMULA!$AE228</f>
        <v>0</v>
      </c>
      <c r="FW53" s="94"/>
      <c r="FX53" s="91">
        <f>FORMULA!$C316</f>
        <v>0</v>
      </c>
      <c r="FY53" s="92">
        <f>FORMULA!$E316</f>
        <v>0</v>
      </c>
      <c r="FZ53" s="92">
        <f>FORMULA!$G316</f>
        <v>0</v>
      </c>
      <c r="GA53" s="92">
        <f>FORMULA!$I316</f>
        <v>0</v>
      </c>
      <c r="GB53" s="92">
        <f>FORMULA!$K316</f>
        <v>0</v>
      </c>
      <c r="GC53" s="92">
        <f>FORMULA!$M316</f>
        <v>0</v>
      </c>
      <c r="GD53" s="92">
        <f>FORMULA!$O316</f>
        <v>0</v>
      </c>
      <c r="GE53" s="92">
        <f>FORMULA!$Q316</f>
        <v>0</v>
      </c>
      <c r="GF53" s="92">
        <f>FORMULA!$S316</f>
        <v>0</v>
      </c>
      <c r="GG53" s="92">
        <f>FORMULA!$U316</f>
        <v>0</v>
      </c>
      <c r="GH53" s="92">
        <f>FORMULA!$W316</f>
        <v>0</v>
      </c>
      <c r="GI53" s="92">
        <f>FORMULA!$Y316</f>
        <v>0</v>
      </c>
      <c r="GJ53" s="92">
        <f>FORMULA!$AA316</f>
        <v>0</v>
      </c>
      <c r="GK53" s="92">
        <f>FORMULA!$AC316</f>
        <v>0</v>
      </c>
      <c r="GL53" s="92">
        <f>FORMULA!$AE316</f>
        <v>0</v>
      </c>
      <c r="GM53" s="207"/>
      <c r="GN53" s="91">
        <f>FORMULA!$C404</f>
        <v>0</v>
      </c>
      <c r="GO53" s="92">
        <f>FORMULA!$E404</f>
        <v>0</v>
      </c>
      <c r="GP53" s="92">
        <f>FORMULA!$G404</f>
        <v>0</v>
      </c>
      <c r="GQ53" s="92">
        <f>FORMULA!$I404</f>
        <v>0</v>
      </c>
      <c r="GR53" s="92">
        <f>FORMULA!$K404</f>
        <v>0</v>
      </c>
      <c r="GS53" s="92">
        <f>FORMULA!$M404</f>
        <v>0</v>
      </c>
      <c r="GT53" s="92">
        <f>FORMULA!$O404</f>
        <v>0</v>
      </c>
      <c r="GU53" s="92">
        <f>FORMULA!$Q404</f>
        <v>0</v>
      </c>
      <c r="GV53" s="92">
        <f>FORMULA!$S404</f>
        <v>0</v>
      </c>
      <c r="GW53" s="92">
        <f>FORMULA!$U404</f>
        <v>0</v>
      </c>
      <c r="GX53" s="92">
        <f>FORMULA!$W404</f>
        <v>0</v>
      </c>
      <c r="GY53" s="92">
        <f>FORMULA!$Y404</f>
        <v>0</v>
      </c>
      <c r="GZ53" s="92">
        <f>FORMULA!$AA404</f>
        <v>0</v>
      </c>
      <c r="HA53" s="92">
        <f>FORMULA!$AC404</f>
        <v>0</v>
      </c>
      <c r="HB53" s="92">
        <f>FORMULA!$AE404</f>
        <v>0</v>
      </c>
      <c r="HC53" s="207"/>
      <c r="HD53" s="91">
        <f>FORMULA!$C492</f>
        <v>0</v>
      </c>
      <c r="HE53" s="92">
        <f>FORMULA!$E492</f>
        <v>0</v>
      </c>
      <c r="HF53" s="92">
        <f>FORMULA!$G492</f>
        <v>0</v>
      </c>
      <c r="HG53" s="92">
        <f>FORMULA!$I492</f>
        <v>0</v>
      </c>
      <c r="HH53" s="92">
        <f>FORMULA!$K492</f>
        <v>0</v>
      </c>
      <c r="HI53" s="92">
        <f>FORMULA!$M492</f>
        <v>0</v>
      </c>
      <c r="HJ53" s="92">
        <f>FORMULA!$O492</f>
        <v>0</v>
      </c>
      <c r="HK53" s="92">
        <f>FORMULA!$Q492</f>
        <v>0</v>
      </c>
      <c r="HL53" s="92">
        <f>FORMULA!$S492</f>
        <v>0</v>
      </c>
      <c r="HM53" s="92">
        <f>FORMULA!$U492</f>
        <v>0</v>
      </c>
      <c r="HN53" s="92">
        <f>FORMULA!$W492</f>
        <v>0</v>
      </c>
      <c r="HO53" s="92">
        <f>FORMULA!$Y492</f>
        <v>0</v>
      </c>
      <c r="HP53" s="92">
        <f>FORMULA!$AA492</f>
        <v>0</v>
      </c>
      <c r="HQ53" s="92">
        <f>FORMULA!$AC492</f>
        <v>0</v>
      </c>
      <c r="HR53" s="92">
        <f>FORMULA!$AE492</f>
        <v>0</v>
      </c>
      <c r="HS53" s="207"/>
      <c r="HT53" s="91">
        <f>FORMULA!$C580</f>
        <v>0</v>
      </c>
      <c r="HU53" s="92">
        <f>FORMULA!$E580</f>
        <v>0</v>
      </c>
      <c r="HV53" s="92">
        <f>FORMULA!$G580</f>
        <v>0</v>
      </c>
      <c r="HW53" s="92">
        <f>FORMULA!$I580</f>
        <v>0</v>
      </c>
      <c r="HX53" s="92">
        <f>FORMULA!$K580</f>
        <v>0</v>
      </c>
      <c r="HY53" s="92">
        <f>FORMULA!$M580</f>
        <v>0</v>
      </c>
      <c r="HZ53" s="92">
        <f>FORMULA!$O580</f>
        <v>0</v>
      </c>
      <c r="IA53" s="92">
        <f>FORMULA!$Q580</f>
        <v>0</v>
      </c>
      <c r="IB53" s="92">
        <f>FORMULA!$S580</f>
        <v>0</v>
      </c>
      <c r="IC53" s="92">
        <f>FORMULA!$U580</f>
        <v>0</v>
      </c>
      <c r="ID53" s="92">
        <f>FORMULA!$W580</f>
        <v>0</v>
      </c>
      <c r="IE53" s="92">
        <f>FORMULA!$Y580</f>
        <v>0</v>
      </c>
      <c r="IF53" s="92">
        <f>FORMULA!$AA580</f>
        <v>0</v>
      </c>
      <c r="IG53" s="92">
        <f>FORMULA!$AC580</f>
        <v>0</v>
      </c>
      <c r="IH53" s="92">
        <f>FORMULA!$AE580</f>
        <v>0</v>
      </c>
      <c r="II53" s="207"/>
      <c r="IJ53" s="91">
        <f>FORMULA!$C668</f>
        <v>0</v>
      </c>
      <c r="IK53" s="92">
        <f>FORMULA!$E668</f>
        <v>0</v>
      </c>
      <c r="IL53" s="92">
        <f>FORMULA!$G668</f>
        <v>0</v>
      </c>
      <c r="IM53" s="92">
        <f>FORMULA!$I668</f>
        <v>0</v>
      </c>
      <c r="IN53" s="92">
        <f>FORMULA!$K668</f>
        <v>0</v>
      </c>
      <c r="IO53" s="92">
        <f>FORMULA!$M668</f>
        <v>0</v>
      </c>
      <c r="IP53" s="92">
        <f>FORMULA!$O668</f>
        <v>0</v>
      </c>
      <c r="IQ53" s="92">
        <f>FORMULA!$Q668</f>
        <v>0</v>
      </c>
      <c r="IR53" s="92">
        <f>FORMULA!$S668</f>
        <v>0</v>
      </c>
      <c r="IS53" s="92">
        <f>FORMULA!$U668</f>
        <v>0</v>
      </c>
      <c r="IT53" s="92">
        <f>FORMULA!$W668</f>
        <v>0</v>
      </c>
      <c r="IU53" s="92">
        <f>FORMULA!$Y668</f>
        <v>0</v>
      </c>
      <c r="IV53" s="92">
        <f>FORMULA!$AA668</f>
        <v>0</v>
      </c>
      <c r="IW53" s="92">
        <f>FORMULA!$AC668</f>
        <v>0</v>
      </c>
      <c r="IX53" s="92">
        <f>FORMULA!$AE668</f>
        <v>0</v>
      </c>
      <c r="IY53" s="208"/>
    </row>
    <row r="54" spans="1:259" s="117" customFormat="1" ht="30.4" customHeight="1" thickBot="1">
      <c r="A54" s="116" t="s">
        <v>141</v>
      </c>
      <c r="B54" s="257" t="str">
        <f>FORMULA!$B$4</f>
        <v>N01309AY</v>
      </c>
      <c r="C54" s="258">
        <f>FORMULA!$D$4</f>
        <v>0</v>
      </c>
      <c r="D54" s="258">
        <f>FORMULA!$F$4</f>
        <v>0</v>
      </c>
      <c r="E54" s="258">
        <f>FORMULA!$H$4</f>
        <v>0</v>
      </c>
      <c r="F54" s="258">
        <f>FORMULA!$J$4</f>
        <v>0</v>
      </c>
      <c r="G54" s="113">
        <f>FORMULA!$L$4</f>
        <v>0</v>
      </c>
      <c r="H54" s="113">
        <f>FORMULA!$N$4</f>
        <v>0</v>
      </c>
      <c r="I54" s="113">
        <f>FORMULA!$P$4</f>
        <v>0</v>
      </c>
      <c r="J54" s="113">
        <f>FORMULA!$R$4</f>
        <v>0</v>
      </c>
      <c r="K54" s="113">
        <f>FORMULA!$T$4</f>
        <v>0</v>
      </c>
      <c r="L54" s="113">
        <f>FORMULA!$V$4</f>
        <v>0</v>
      </c>
      <c r="M54" s="113">
        <f>FORMULA!$X$4</f>
        <v>0</v>
      </c>
      <c r="N54" s="113">
        <f>FORMULA!$Z$4</f>
        <v>0</v>
      </c>
      <c r="O54" s="113">
        <f>FORMULA!$AB$4</f>
        <v>0</v>
      </c>
      <c r="P54" s="113">
        <f>FORMULA!$AD$4</f>
        <v>0</v>
      </c>
      <c r="Q54" s="114"/>
      <c r="R54" s="257" t="str">
        <f>FORMULA!$B$92</f>
        <v>N025-06</v>
      </c>
      <c r="S54" s="258">
        <f>FORMULA!$D$92</f>
        <v>0</v>
      </c>
      <c r="T54" s="258">
        <f>FORMULA!$F$92</f>
        <v>0</v>
      </c>
      <c r="U54" s="258">
        <f>FORMULA!$H$92</f>
        <v>0</v>
      </c>
      <c r="V54" s="258">
        <f>FORMULA!$J$92</f>
        <v>0</v>
      </c>
      <c r="W54" s="258">
        <f>FORMULA!$L$92</f>
        <v>0</v>
      </c>
      <c r="X54" s="258">
        <f>FORMULA!$N$92</f>
        <v>0</v>
      </c>
      <c r="Y54" s="258">
        <f>FORMULA!$P$92</f>
        <v>0</v>
      </c>
      <c r="Z54" s="258">
        <f>FORMULA!$R$92</f>
        <v>0</v>
      </c>
      <c r="AA54" s="258">
        <f>FORMULA!$T$92</f>
        <v>0</v>
      </c>
      <c r="AB54" s="258">
        <f>FORMULA!$V$92</f>
        <v>0</v>
      </c>
      <c r="AC54" s="258">
        <f>FORMULA!$X$92</f>
        <v>0</v>
      </c>
      <c r="AD54" s="113">
        <f>FORMULA!$Z$92</f>
        <v>0</v>
      </c>
      <c r="AE54" s="113">
        <f>FORMULA!$AB$92</f>
        <v>0</v>
      </c>
      <c r="AF54" s="113">
        <f>FORMULA!$AD$92</f>
        <v>0</v>
      </c>
      <c r="AG54" s="114"/>
      <c r="AH54" s="257" t="str">
        <f>FORMULA!$B$180</f>
        <v>N035-06</v>
      </c>
      <c r="AI54" s="258" t="str">
        <f>FORMULA!$D$180</f>
        <v>WITH 1103 TOP UP</v>
      </c>
      <c r="AJ54" s="258">
        <f>FORMULA!$F$180</f>
        <v>0</v>
      </c>
      <c r="AK54" s="258">
        <f>FORMULA!$H$180</f>
        <v>0</v>
      </c>
      <c r="AL54" s="258">
        <f>FORMULA!$J$180</f>
        <v>0</v>
      </c>
      <c r="AM54" s="258">
        <f>FORMULA!$L$180</f>
        <v>0</v>
      </c>
      <c r="AN54" s="258">
        <f>FORMULA!$N$180</f>
        <v>0</v>
      </c>
      <c r="AO54" s="258">
        <f>FORMULA!$P$180</f>
        <v>0</v>
      </c>
      <c r="AP54" s="258">
        <f>FORMULA!$R$180</f>
        <v>0</v>
      </c>
      <c r="AQ54" s="258">
        <f>FORMULA!$T$180</f>
        <v>0</v>
      </c>
      <c r="AR54" s="258">
        <f>FORMULA!$V$180</f>
        <v>0</v>
      </c>
      <c r="AS54" s="258">
        <f>FORMULA!$X$180</f>
        <v>0</v>
      </c>
      <c r="AT54" s="113">
        <f>FORMULA!$Z$180</f>
        <v>0</v>
      </c>
      <c r="AU54" s="113">
        <f>FORMULA!$AB$180</f>
        <v>0</v>
      </c>
      <c r="AV54" s="113">
        <f>FORMULA!$AD$180</f>
        <v>0</v>
      </c>
      <c r="AW54" s="114"/>
      <c r="AX54" s="112">
        <f>FORMULA!$B$268</f>
        <v>0</v>
      </c>
      <c r="AY54" s="113">
        <f>FORMULA!$D$268</f>
        <v>0</v>
      </c>
      <c r="AZ54" s="113">
        <f>FORMULA!$F$268</f>
        <v>0</v>
      </c>
      <c r="BA54" s="113">
        <f>FORMULA!$H$268</f>
        <v>0</v>
      </c>
      <c r="BB54" s="113">
        <f>FORMULA!$J$268</f>
        <v>0</v>
      </c>
      <c r="BC54" s="113">
        <f>FORMULA!$L$268</f>
        <v>0</v>
      </c>
      <c r="BD54" s="113">
        <f>FORMULA!$N$268</f>
        <v>0</v>
      </c>
      <c r="BE54" s="113">
        <f>FORMULA!$P$268</f>
        <v>0</v>
      </c>
      <c r="BF54" s="113">
        <f>FORMULA!$R$268</f>
        <v>0</v>
      </c>
      <c r="BG54" s="113">
        <f>FORMULA!$T$268</f>
        <v>0</v>
      </c>
      <c r="BH54" s="113">
        <f>FORMULA!$V$268</f>
        <v>0</v>
      </c>
      <c r="BI54" s="113">
        <f>FORMULA!$X$268</f>
        <v>0</v>
      </c>
      <c r="BJ54" s="113">
        <f>FORMULA!$Z$268</f>
        <v>0</v>
      </c>
      <c r="BK54" s="113">
        <f>FORMULA!$AB$268</f>
        <v>0</v>
      </c>
      <c r="BL54" s="113">
        <f>FORMULA!$AD$268</f>
        <v>0</v>
      </c>
      <c r="BM54" s="114"/>
      <c r="BN54" s="256" t="str">
        <f>FORMULA!$B$356</f>
        <v>NR 14-04</v>
      </c>
      <c r="BO54" s="111">
        <f>FORMULA!$D$356</f>
        <v>0</v>
      </c>
      <c r="BP54" s="111">
        <f>FORMULA!$F$356</f>
        <v>0</v>
      </c>
      <c r="BQ54" s="111" t="str">
        <f>FORMULA!$H$356</f>
        <v>NR 24-04Z</v>
      </c>
      <c r="BR54" s="111" t="str">
        <f>FORMULA!$J$356</f>
        <v>WITH BMD</v>
      </c>
      <c r="BS54" s="256" t="str">
        <f>FORMULA!$L$356</f>
        <v>8102 Top Up&amp;PM 8108</v>
      </c>
      <c r="BT54" s="256" t="str">
        <f>FORMULA!$N$356</f>
        <v>8102 Top Up&amp;PM 8102</v>
      </c>
      <c r="BU54" s="256" t="str">
        <f>FORMULA!$P$356</f>
        <v>8102 Top Up&amp;PM 8102</v>
      </c>
      <c r="BV54" s="256" t="str">
        <f>FORMULA!$R$356</f>
        <v>8102 Top Up&amp;PM 8108</v>
      </c>
      <c r="BW54" s="111" t="str">
        <f>FORMULA!$T$356</f>
        <v>8103 Top Up&amp;PM 8103</v>
      </c>
      <c r="BX54" s="111" t="str">
        <f>FORMULA!$V$356</f>
        <v>8103 Top Up&amp;PM 8109</v>
      </c>
      <c r="BY54" s="111" t="str">
        <f>FORMULA!$X$356</f>
        <v xml:space="preserve">NR 34-04 </v>
      </c>
      <c r="BZ54" s="111" t="str">
        <f>FORMULA!$Z$356</f>
        <v xml:space="preserve">NR 34-04 </v>
      </c>
      <c r="CA54" s="111" t="str">
        <f>FORMULA!$AB$356</f>
        <v>8102 TOP UP</v>
      </c>
      <c r="CB54" s="111" t="str">
        <f>FORMULA!$AD$356</f>
        <v>8103 TOP UP</v>
      </c>
      <c r="CC54" s="114"/>
      <c r="CD54" s="111" t="str">
        <f>FORMULA!$B$444</f>
        <v>SOYTIDE&amp;TOXISORB</v>
      </c>
      <c r="CE54" s="111" t="str">
        <f>FORMULA!$D$444</f>
        <v>SOYTIDE&amp;TOXIWALL</v>
      </c>
      <c r="CF54" s="111" t="str">
        <f>FORMULA!$F$444</f>
        <v>EP 200&amp;TOXIWALL</v>
      </c>
      <c r="CG54" s="111">
        <f>FORMULA!$H$444</f>
        <v>0</v>
      </c>
      <c r="CH54" s="111">
        <f>FORMULA!$J$444</f>
        <v>0</v>
      </c>
      <c r="CI54" s="111">
        <f>FORMULA!$L$444</f>
        <v>0</v>
      </c>
      <c r="CJ54" s="111">
        <f>FORMULA!$N$444</f>
        <v>0</v>
      </c>
      <c r="CK54" s="111">
        <f>FORMULA!$P$444</f>
        <v>0</v>
      </c>
      <c r="CL54" s="111">
        <f>FORMULA!$R$444</f>
        <v>0</v>
      </c>
      <c r="CM54" s="111">
        <f>FORMULA!$T$444</f>
        <v>0</v>
      </c>
      <c r="CN54" s="111">
        <f>FORMULA!$V$444</f>
        <v>0</v>
      </c>
      <c r="CO54" s="111">
        <f>FORMULA!$X$444</f>
        <v>0</v>
      </c>
      <c r="CP54" s="111">
        <f>FORMULA!$Z$444</f>
        <v>0</v>
      </c>
      <c r="CQ54" s="111">
        <f>FORMULA!$AB$444</f>
        <v>0</v>
      </c>
      <c r="CR54" s="111">
        <f>FORMULA!$AD$444</f>
        <v>0</v>
      </c>
      <c r="CS54" s="114"/>
      <c r="CT54" s="111" t="str">
        <f>FORMULA!$B$532</f>
        <v>WITH TOXISORB</v>
      </c>
      <c r="CU54" s="111" t="str">
        <f>FORMULA!$D$532</f>
        <v>WITH TOXIWALL</v>
      </c>
      <c r="CV54" s="111" t="str">
        <f>FORMULA!$F$532</f>
        <v>WITH TOXIWALL, YM 20.50kg</v>
      </c>
      <c r="CW54" s="111">
        <f>FORMULA!$H$532</f>
        <v>0</v>
      </c>
      <c r="CX54" s="111">
        <f>FORMULA!$J$532</f>
        <v>0</v>
      </c>
      <c r="CY54" s="111">
        <f>FORMULA!$L$532</f>
        <v>0</v>
      </c>
      <c r="CZ54" s="111">
        <f>FORMULA!$N$532</f>
        <v>0</v>
      </c>
      <c r="DA54" s="111" t="str">
        <f>FORMULA!$P$532</f>
        <v>REDUCE CORN FOR 2MT</v>
      </c>
      <c r="DB54" s="111">
        <f>FORMULA!$R$532</f>
        <v>0</v>
      </c>
      <c r="DC54" s="111">
        <f>FORMULA!$T$532</f>
        <v>0</v>
      </c>
      <c r="DD54" s="111" t="str">
        <f>FORMULA!$V$532</f>
        <v>K20</v>
      </c>
      <c r="DE54" s="111">
        <f>FORMULA!$X$532</f>
        <v>0</v>
      </c>
      <c r="DF54" s="111" t="str">
        <f>FORMULA!$Z$532</f>
        <v>ALREADY 2MT</v>
      </c>
      <c r="DG54" s="111" t="str">
        <f>FORMULA!$AB$532</f>
        <v>K21</v>
      </c>
      <c r="DH54" s="111">
        <f>FORMULA!$AD$532</f>
        <v>0</v>
      </c>
      <c r="DI54" s="114"/>
      <c r="DJ54" s="111" t="str">
        <f>FORMULA!$B$620</f>
        <v>WITH TOXISORB</v>
      </c>
      <c r="DK54" s="111" t="str">
        <f>FORMULA!$D$620</f>
        <v>WITHOUT WHEAT POLLARD</v>
      </c>
      <c r="DL54" s="111" t="str">
        <f>FORMULA!$F$620</f>
        <v>WITH TOXIWALL</v>
      </c>
      <c r="DM54" s="111" t="str">
        <f>FORMULA!$H$620</f>
        <v>WITH TOXIWALL, YM 20.00kg</v>
      </c>
      <c r="DN54" s="111">
        <f>FORMULA!$J$620</f>
        <v>0</v>
      </c>
      <c r="DO54" s="111">
        <f>FORMULA!$L$620</f>
        <v>0</v>
      </c>
      <c r="DP54" s="111">
        <f>FORMULA!$N$620</f>
        <v>0</v>
      </c>
      <c r="DQ54" s="111">
        <f>FORMULA!$P$620</f>
        <v>0</v>
      </c>
      <c r="DR54" s="111">
        <f>FORMULA!$R$620</f>
        <v>0</v>
      </c>
      <c r="DS54" s="111">
        <f>FORMULA!$T$620</f>
        <v>0</v>
      </c>
      <c r="DT54" s="111">
        <f>FORMULA!$V$620</f>
        <v>0</v>
      </c>
      <c r="DU54" s="111">
        <f>FORMULA!$X$620</f>
        <v>0</v>
      </c>
      <c r="DV54" s="111">
        <f>FORMULA!$Z$620</f>
        <v>0</v>
      </c>
      <c r="DW54" s="111">
        <f>FORMULA!$AB$620</f>
        <v>0</v>
      </c>
      <c r="DX54" s="111">
        <f>FORMULA!$AD$620</f>
        <v>0</v>
      </c>
      <c r="DY54" s="114"/>
      <c r="EA54" s="20" t="str">
        <f>FORMULA!$A$53</f>
        <v>8101 TOP UP</v>
      </c>
      <c r="EB54" s="91">
        <f>FORMULA!$C53</f>
        <v>0</v>
      </c>
      <c r="EC54" s="92">
        <f>FORMULA!$E53</f>
        <v>0</v>
      </c>
      <c r="ED54" s="92">
        <f>FORMULA!$G53</f>
        <v>0</v>
      </c>
      <c r="EE54" s="92">
        <f>FORMULA!$I53</f>
        <v>0</v>
      </c>
      <c r="EF54" s="92">
        <f>FORMULA!$K53</f>
        <v>0</v>
      </c>
      <c r="EG54" s="92">
        <f>FORMULA!$M53</f>
        <v>0</v>
      </c>
      <c r="EH54" s="92">
        <f>FORMULA!$O53</f>
        <v>0</v>
      </c>
      <c r="EI54" s="92">
        <f>FORMULA!$Q53</f>
        <v>0</v>
      </c>
      <c r="EJ54" s="92">
        <f>FORMULA!$S53</f>
        <v>0</v>
      </c>
      <c r="EK54" s="92">
        <f>FORMULA!$U53</f>
        <v>0</v>
      </c>
      <c r="EL54" s="92">
        <f>FORMULA!$W53</f>
        <v>0</v>
      </c>
      <c r="EM54" s="92">
        <f>FORMULA!$Y53</f>
        <v>0</v>
      </c>
      <c r="EN54" s="92">
        <f>FORMULA!$AA53</f>
        <v>0</v>
      </c>
      <c r="EO54" s="92">
        <f>FORMULA!$AC53</f>
        <v>0</v>
      </c>
      <c r="EP54" s="92">
        <f>FORMULA!$AE53</f>
        <v>0</v>
      </c>
      <c r="EQ54" s="108"/>
      <c r="ER54" s="91">
        <f>FORMULA!$C141</f>
        <v>0</v>
      </c>
      <c r="ES54" s="92">
        <f>FORMULA!$E141</f>
        <v>0</v>
      </c>
      <c r="ET54" s="92">
        <f>FORMULA!$G141</f>
        <v>0</v>
      </c>
      <c r="EU54" s="92">
        <f>FORMULA!$I141</f>
        <v>0</v>
      </c>
      <c r="EV54" s="92">
        <f>FORMULA!$K141</f>
        <v>0</v>
      </c>
      <c r="EW54" s="92">
        <f>FORMULA!$M141</f>
        <v>0</v>
      </c>
      <c r="EX54" s="92">
        <f>FORMULA!$O141</f>
        <v>0</v>
      </c>
      <c r="EY54" s="92">
        <f>FORMULA!$Q141</f>
        <v>0</v>
      </c>
      <c r="EZ54" s="92">
        <f>FORMULA!$S141</f>
        <v>0</v>
      </c>
      <c r="FA54" s="92">
        <f>FORMULA!$U141</f>
        <v>0</v>
      </c>
      <c r="FB54" s="92">
        <f>FORMULA!$W141</f>
        <v>0</v>
      </c>
      <c r="FC54" s="92">
        <f>FORMULA!$Y141</f>
        <v>0</v>
      </c>
      <c r="FD54" s="92">
        <f>FORMULA!$AA141</f>
        <v>0</v>
      </c>
      <c r="FE54" s="92">
        <f>FORMULA!$AC141</f>
        <v>0</v>
      </c>
      <c r="FF54" s="92">
        <f>FORMULA!$AE141</f>
        <v>0</v>
      </c>
      <c r="FG54" s="94"/>
      <c r="FH54" s="91">
        <f>FORMULA!$C229</f>
        <v>0</v>
      </c>
      <c r="FI54" s="92">
        <f>FORMULA!$E229</f>
        <v>0</v>
      </c>
      <c r="FJ54" s="92">
        <f>FORMULA!$G229</f>
        <v>0</v>
      </c>
      <c r="FK54" s="92">
        <f>FORMULA!$I229</f>
        <v>0</v>
      </c>
      <c r="FL54" s="92">
        <f>FORMULA!$K229</f>
        <v>0</v>
      </c>
      <c r="FM54" s="92">
        <f>FORMULA!$M229</f>
        <v>0</v>
      </c>
      <c r="FN54" s="92">
        <f>FORMULA!$O229</f>
        <v>0</v>
      </c>
      <c r="FO54" s="92">
        <f>FORMULA!$Q229</f>
        <v>0</v>
      </c>
      <c r="FP54" s="92">
        <f>FORMULA!$S229</f>
        <v>0</v>
      </c>
      <c r="FQ54" s="92">
        <f>FORMULA!$U229</f>
        <v>0</v>
      </c>
      <c r="FR54" s="92">
        <f>FORMULA!$W229</f>
        <v>0</v>
      </c>
      <c r="FS54" s="92">
        <f>FORMULA!$Y229</f>
        <v>0</v>
      </c>
      <c r="FT54" s="92">
        <f>FORMULA!$AA229</f>
        <v>0</v>
      </c>
      <c r="FU54" s="92">
        <f>FORMULA!$AC229</f>
        <v>0</v>
      </c>
      <c r="FV54" s="92">
        <f>FORMULA!$AE229</f>
        <v>0</v>
      </c>
      <c r="FW54" s="94"/>
      <c r="FX54" s="91">
        <f>FORMULA!$C317</f>
        <v>0</v>
      </c>
      <c r="FY54" s="92">
        <f>FORMULA!$E317</f>
        <v>0</v>
      </c>
      <c r="FZ54" s="92">
        <f>FORMULA!$G317</f>
        <v>0</v>
      </c>
      <c r="GA54" s="92">
        <f>FORMULA!$I317</f>
        <v>0</v>
      </c>
      <c r="GB54" s="92">
        <f>FORMULA!$K317</f>
        <v>0</v>
      </c>
      <c r="GC54" s="92">
        <f>FORMULA!$M317</f>
        <v>0</v>
      </c>
      <c r="GD54" s="92">
        <f>FORMULA!$O317</f>
        <v>0</v>
      </c>
      <c r="GE54" s="92">
        <f>FORMULA!$Q317</f>
        <v>0</v>
      </c>
      <c r="GF54" s="92">
        <f>FORMULA!$S317</f>
        <v>0</v>
      </c>
      <c r="GG54" s="92">
        <f>FORMULA!$U317</f>
        <v>0</v>
      </c>
      <c r="GH54" s="92">
        <f>FORMULA!$W317</f>
        <v>0</v>
      </c>
      <c r="GI54" s="92">
        <f>FORMULA!$Y317</f>
        <v>0</v>
      </c>
      <c r="GJ54" s="92">
        <f>FORMULA!$AA317</f>
        <v>0</v>
      </c>
      <c r="GK54" s="92">
        <f>FORMULA!$AC317</f>
        <v>0</v>
      </c>
      <c r="GL54" s="92">
        <f>FORMULA!$AE317</f>
        <v>0</v>
      </c>
      <c r="GM54" s="207"/>
      <c r="GN54" s="91">
        <f>FORMULA!$C405</f>
        <v>0</v>
      </c>
      <c r="GO54" s="92">
        <f>FORMULA!$E405</f>
        <v>0</v>
      </c>
      <c r="GP54" s="92">
        <f>FORMULA!$G405</f>
        <v>0</v>
      </c>
      <c r="GQ54" s="92">
        <f>FORMULA!$I405</f>
        <v>0</v>
      </c>
      <c r="GR54" s="92">
        <f>FORMULA!$K405</f>
        <v>0</v>
      </c>
      <c r="GS54" s="92">
        <f>FORMULA!$M405</f>
        <v>0</v>
      </c>
      <c r="GT54" s="92">
        <f>FORMULA!$O405</f>
        <v>0</v>
      </c>
      <c r="GU54" s="92">
        <f>FORMULA!$Q405</f>
        <v>0</v>
      </c>
      <c r="GV54" s="92">
        <f>FORMULA!$S405</f>
        <v>0</v>
      </c>
      <c r="GW54" s="92">
        <f>FORMULA!$U405</f>
        <v>0</v>
      </c>
      <c r="GX54" s="92">
        <f>FORMULA!$W405</f>
        <v>0</v>
      </c>
      <c r="GY54" s="92">
        <f>FORMULA!$Y405</f>
        <v>0</v>
      </c>
      <c r="GZ54" s="92">
        <f>FORMULA!$AA405</f>
        <v>0</v>
      </c>
      <c r="HA54" s="92">
        <f>FORMULA!$AC405</f>
        <v>0</v>
      </c>
      <c r="HB54" s="92">
        <f>FORMULA!$AE405</f>
        <v>0</v>
      </c>
      <c r="HC54" s="207"/>
      <c r="HD54" s="91">
        <f>FORMULA!$C493</f>
        <v>0</v>
      </c>
      <c r="HE54" s="92">
        <f>FORMULA!$E493</f>
        <v>0</v>
      </c>
      <c r="HF54" s="92">
        <f>FORMULA!$G493</f>
        <v>0</v>
      </c>
      <c r="HG54" s="92">
        <f>FORMULA!$I493</f>
        <v>0</v>
      </c>
      <c r="HH54" s="92">
        <f>FORMULA!$K493</f>
        <v>0</v>
      </c>
      <c r="HI54" s="92">
        <f>FORMULA!$M493</f>
        <v>0</v>
      </c>
      <c r="HJ54" s="92">
        <f>FORMULA!$O493</f>
        <v>0</v>
      </c>
      <c r="HK54" s="92">
        <f>FORMULA!$Q493</f>
        <v>0</v>
      </c>
      <c r="HL54" s="92">
        <f>FORMULA!$S493</f>
        <v>0</v>
      </c>
      <c r="HM54" s="92">
        <f>FORMULA!$U493</f>
        <v>0</v>
      </c>
      <c r="HN54" s="92">
        <f>FORMULA!$W493</f>
        <v>0</v>
      </c>
      <c r="HO54" s="92">
        <f>FORMULA!$Y493</f>
        <v>0</v>
      </c>
      <c r="HP54" s="92">
        <f>FORMULA!$AA493</f>
        <v>0</v>
      </c>
      <c r="HQ54" s="92">
        <f>FORMULA!$AC493</f>
        <v>0</v>
      </c>
      <c r="HR54" s="92">
        <f>FORMULA!$AE493</f>
        <v>0</v>
      </c>
      <c r="HS54" s="207"/>
      <c r="HT54" s="91">
        <f>FORMULA!$C581</f>
        <v>0</v>
      </c>
      <c r="HU54" s="92">
        <f>FORMULA!$E581</f>
        <v>0</v>
      </c>
      <c r="HV54" s="92">
        <f>FORMULA!$G581</f>
        <v>0</v>
      </c>
      <c r="HW54" s="92">
        <f>FORMULA!$I581</f>
        <v>0</v>
      </c>
      <c r="HX54" s="92">
        <f>FORMULA!$K581</f>
        <v>0</v>
      </c>
      <c r="HY54" s="92">
        <f>FORMULA!$M581</f>
        <v>0</v>
      </c>
      <c r="HZ54" s="92">
        <f>FORMULA!$O581</f>
        <v>0</v>
      </c>
      <c r="IA54" s="92">
        <f>FORMULA!$Q581</f>
        <v>0</v>
      </c>
      <c r="IB54" s="92">
        <f>FORMULA!$S581</f>
        <v>0</v>
      </c>
      <c r="IC54" s="92">
        <f>FORMULA!$U581</f>
        <v>0</v>
      </c>
      <c r="ID54" s="92">
        <f>FORMULA!$W581</f>
        <v>0</v>
      </c>
      <c r="IE54" s="92">
        <f>FORMULA!$Y581</f>
        <v>0</v>
      </c>
      <c r="IF54" s="92">
        <f>FORMULA!$AA581</f>
        <v>0</v>
      </c>
      <c r="IG54" s="92">
        <f>FORMULA!$AC581</f>
        <v>0</v>
      </c>
      <c r="IH54" s="92">
        <f>FORMULA!$AE581</f>
        <v>0</v>
      </c>
      <c r="II54" s="207"/>
      <c r="IJ54" s="91">
        <f>FORMULA!$C669</f>
        <v>0</v>
      </c>
      <c r="IK54" s="92">
        <f>FORMULA!$E669</f>
        <v>0</v>
      </c>
      <c r="IL54" s="92">
        <f>FORMULA!$G669</f>
        <v>0</v>
      </c>
      <c r="IM54" s="92">
        <f>FORMULA!$I669</f>
        <v>0</v>
      </c>
      <c r="IN54" s="92">
        <f>FORMULA!$K669</f>
        <v>0</v>
      </c>
      <c r="IO54" s="92">
        <f>FORMULA!$M669</f>
        <v>0</v>
      </c>
      <c r="IP54" s="92">
        <f>FORMULA!$O669</f>
        <v>0</v>
      </c>
      <c r="IQ54" s="92">
        <f>FORMULA!$Q669</f>
        <v>0</v>
      </c>
      <c r="IR54" s="92">
        <f>FORMULA!$S669</f>
        <v>0</v>
      </c>
      <c r="IS54" s="92">
        <f>FORMULA!$U669</f>
        <v>0</v>
      </c>
      <c r="IT54" s="92">
        <f>FORMULA!$W669</f>
        <v>0</v>
      </c>
      <c r="IU54" s="92">
        <f>FORMULA!$Y669</f>
        <v>0</v>
      </c>
      <c r="IV54" s="92">
        <f>FORMULA!$AA669</f>
        <v>0</v>
      </c>
      <c r="IW54" s="92">
        <f>FORMULA!$AC669</f>
        <v>0</v>
      </c>
      <c r="IX54" s="92">
        <f>FORMULA!$AE669</f>
        <v>0</v>
      </c>
      <c r="IY54" s="208"/>
    </row>
    <row r="55" spans="1:259" ht="15.75" customHeight="1" outlineLevel="1">
      <c r="A55" s="11">
        <f>'VAC &amp; MED'!C42</f>
        <v>46054</v>
      </c>
      <c r="B55" s="261"/>
      <c r="C55" s="261"/>
      <c r="D55" s="261"/>
      <c r="E55" s="261"/>
      <c r="F55" s="261"/>
      <c r="G55" s="261"/>
      <c r="H55" s="261"/>
      <c r="I55" s="261"/>
      <c r="J55" s="261"/>
      <c r="K55" s="261"/>
      <c r="L55" s="261"/>
      <c r="M55" s="261"/>
      <c r="N55" s="261"/>
      <c r="O55" s="261"/>
      <c r="P55" s="261"/>
      <c r="Q55" s="261"/>
      <c r="R55" s="262"/>
      <c r="S55" s="262"/>
      <c r="T55" s="262"/>
      <c r="U55" s="262"/>
      <c r="V55" s="262"/>
      <c r="W55" s="262"/>
      <c r="X55" s="262"/>
      <c r="Y55" s="262"/>
      <c r="Z55" s="262"/>
      <c r="AA55" s="262"/>
      <c r="AB55" s="262"/>
      <c r="AC55" s="262"/>
      <c r="AD55" s="262"/>
      <c r="AE55" s="262"/>
      <c r="AF55" s="262"/>
      <c r="AG55" s="262"/>
      <c r="AH55" s="263"/>
      <c r="AI55" s="263"/>
      <c r="AJ55" s="263"/>
      <c r="AK55" s="263"/>
      <c r="AL55" s="263"/>
      <c r="AM55" s="263"/>
      <c r="AN55" s="263"/>
      <c r="AO55" s="263"/>
      <c r="AP55" s="263"/>
      <c r="AQ55" s="263"/>
      <c r="AR55" s="263"/>
      <c r="AS55" s="263"/>
      <c r="AT55" s="263"/>
      <c r="AU55" s="263"/>
      <c r="AV55" s="263"/>
      <c r="AW55" s="263"/>
      <c r="AX55" s="264"/>
      <c r="AY55" s="264"/>
      <c r="AZ55" s="264"/>
      <c r="BA55" s="264"/>
      <c r="BB55" s="264"/>
      <c r="BC55" s="264"/>
      <c r="BD55" s="264"/>
      <c r="BE55" s="264"/>
      <c r="BF55" s="264"/>
      <c r="BG55" s="264"/>
      <c r="BH55" s="264"/>
      <c r="BI55" s="264"/>
      <c r="BJ55" s="264"/>
      <c r="BK55" s="264"/>
      <c r="BL55" s="264"/>
      <c r="BM55" s="264"/>
      <c r="BN55" s="265"/>
      <c r="BO55" s="265"/>
      <c r="BP55" s="265"/>
      <c r="BQ55" s="265"/>
      <c r="BR55" s="265"/>
      <c r="BS55" s="265"/>
      <c r="BT55" s="265"/>
      <c r="BU55" s="265"/>
      <c r="BV55" s="265"/>
      <c r="BW55" s="265"/>
      <c r="BX55" s="265"/>
      <c r="BY55" s="265"/>
      <c r="BZ55" s="265"/>
      <c r="CA55" s="265"/>
      <c r="CB55" s="265"/>
      <c r="CC55" s="265"/>
      <c r="CD55" s="266"/>
      <c r="CE55" s="266"/>
      <c r="CF55" s="266"/>
      <c r="CG55" s="266"/>
      <c r="CH55" s="266"/>
      <c r="CI55" s="266"/>
      <c r="CJ55" s="266"/>
      <c r="CK55" s="266"/>
      <c r="CL55" s="266"/>
      <c r="CM55" s="266"/>
      <c r="CN55" s="266"/>
      <c r="CO55" s="266"/>
      <c r="CP55" s="266"/>
      <c r="CQ55" s="266"/>
      <c r="CR55" s="266"/>
      <c r="CS55" s="266"/>
      <c r="CT55" s="267"/>
      <c r="CU55" s="267"/>
      <c r="CV55" s="267"/>
      <c r="CW55" s="267"/>
      <c r="CX55" s="267"/>
      <c r="CY55" s="267"/>
      <c r="CZ55" s="267"/>
      <c r="DA55" s="267"/>
      <c r="DB55" s="267"/>
      <c r="DC55" s="267"/>
      <c r="DD55" s="267"/>
      <c r="DE55" s="267"/>
      <c r="DF55" s="267"/>
      <c r="DG55" s="267"/>
      <c r="DH55" s="267"/>
      <c r="DI55" s="267"/>
      <c r="DJ55" s="268"/>
      <c r="DK55" s="268"/>
      <c r="DL55" s="268"/>
      <c r="DM55" s="268"/>
      <c r="DN55" s="268"/>
      <c r="DO55" s="268"/>
      <c r="DP55" s="268"/>
      <c r="DQ55" s="268"/>
      <c r="DR55" s="268"/>
      <c r="DS55" s="268"/>
      <c r="DT55" s="268"/>
      <c r="DU55" s="268"/>
      <c r="DV55" s="268"/>
      <c r="DW55" s="268"/>
      <c r="DX55" s="268"/>
      <c r="DY55" s="268"/>
      <c r="EA55" s="20" t="str">
        <f>FORMULA!$A$54</f>
        <v>NORPONIN X03 (8102 TOP UP)</v>
      </c>
      <c r="EB55" s="91">
        <f>FORMULA!$C54</f>
        <v>0</v>
      </c>
      <c r="EC55" s="92">
        <f>FORMULA!$E54</f>
        <v>0</v>
      </c>
      <c r="ED55" s="92">
        <f>FORMULA!$G54</f>
        <v>0</v>
      </c>
      <c r="EE55" s="92">
        <f>FORMULA!$I54</f>
        <v>0</v>
      </c>
      <c r="EF55" s="92">
        <f>FORMULA!$K54</f>
        <v>0</v>
      </c>
      <c r="EG55" s="92">
        <f>FORMULA!$M54</f>
        <v>0</v>
      </c>
      <c r="EH55" s="92">
        <f>FORMULA!$O54</f>
        <v>0</v>
      </c>
      <c r="EI55" s="92">
        <f>FORMULA!$Q54</f>
        <v>0</v>
      </c>
      <c r="EJ55" s="92">
        <f>FORMULA!$S54</f>
        <v>0</v>
      </c>
      <c r="EK55" s="92">
        <f>FORMULA!$U54</f>
        <v>0</v>
      </c>
      <c r="EL55" s="92">
        <f>FORMULA!$W54</f>
        <v>0</v>
      </c>
      <c r="EM55" s="92">
        <f>FORMULA!$Y54</f>
        <v>0</v>
      </c>
      <c r="EN55" s="92">
        <f>FORMULA!$AA54</f>
        <v>0</v>
      </c>
      <c r="EO55" s="92">
        <f>FORMULA!$AC54</f>
        <v>0</v>
      </c>
      <c r="EP55" s="92">
        <f>FORMULA!$AE54</f>
        <v>0</v>
      </c>
      <c r="EQ55" s="108"/>
      <c r="ER55" s="91">
        <f>FORMULA!$C142</f>
        <v>0</v>
      </c>
      <c r="ES55" s="92">
        <f>FORMULA!$E142</f>
        <v>0</v>
      </c>
      <c r="ET55" s="92">
        <f>FORMULA!$G142</f>
        <v>0</v>
      </c>
      <c r="EU55" s="92">
        <f>FORMULA!$I142</f>
        <v>0</v>
      </c>
      <c r="EV55" s="92">
        <f>FORMULA!$K142</f>
        <v>0</v>
      </c>
      <c r="EW55" s="92">
        <f>FORMULA!$M142</f>
        <v>0</v>
      </c>
      <c r="EX55" s="92">
        <f>FORMULA!$O142</f>
        <v>0</v>
      </c>
      <c r="EY55" s="92">
        <f>FORMULA!$Q142</f>
        <v>0</v>
      </c>
      <c r="EZ55" s="92">
        <f>FORMULA!$S142</f>
        <v>0</v>
      </c>
      <c r="FA55" s="92">
        <f>FORMULA!$U142</f>
        <v>0</v>
      </c>
      <c r="FB55" s="92">
        <f>FORMULA!$W142</f>
        <v>0</v>
      </c>
      <c r="FC55" s="92">
        <f>FORMULA!$Y142</f>
        <v>0</v>
      </c>
      <c r="FD55" s="92">
        <f>FORMULA!$AA142</f>
        <v>0</v>
      </c>
      <c r="FE55" s="92">
        <f>FORMULA!$AC142</f>
        <v>0</v>
      </c>
      <c r="FF55" s="92">
        <f>FORMULA!$AE142</f>
        <v>0</v>
      </c>
      <c r="FG55" s="94"/>
      <c r="FH55" s="91">
        <f>FORMULA!$C230</f>
        <v>0</v>
      </c>
      <c r="FI55" s="92">
        <f>FORMULA!$E230</f>
        <v>0</v>
      </c>
      <c r="FJ55" s="92">
        <f>FORMULA!$G230</f>
        <v>0</v>
      </c>
      <c r="FK55" s="92">
        <f>FORMULA!$I230</f>
        <v>0</v>
      </c>
      <c r="FL55" s="92">
        <f>FORMULA!$K230</f>
        <v>0</v>
      </c>
      <c r="FM55" s="92">
        <f>FORMULA!$M230</f>
        <v>0</v>
      </c>
      <c r="FN55" s="92">
        <f>FORMULA!$O230</f>
        <v>0</v>
      </c>
      <c r="FO55" s="92">
        <f>FORMULA!$Q230</f>
        <v>0</v>
      </c>
      <c r="FP55" s="92">
        <f>FORMULA!$S230</f>
        <v>0</v>
      </c>
      <c r="FQ55" s="92">
        <f>FORMULA!$U230</f>
        <v>0</v>
      </c>
      <c r="FR55" s="92">
        <f>FORMULA!$W230</f>
        <v>0</v>
      </c>
      <c r="FS55" s="92">
        <f>FORMULA!$Y230</f>
        <v>0</v>
      </c>
      <c r="FT55" s="92">
        <f>FORMULA!$AA230</f>
        <v>0</v>
      </c>
      <c r="FU55" s="92">
        <f>FORMULA!$AC230</f>
        <v>0</v>
      </c>
      <c r="FV55" s="92">
        <f>FORMULA!$AE230</f>
        <v>0</v>
      </c>
      <c r="FW55" s="94"/>
      <c r="FX55" s="91">
        <f>FORMULA!$C318</f>
        <v>0</v>
      </c>
      <c r="FY55" s="92">
        <f>FORMULA!$E318</f>
        <v>0</v>
      </c>
      <c r="FZ55" s="92">
        <f>FORMULA!$G318</f>
        <v>0</v>
      </c>
      <c r="GA55" s="92">
        <f>FORMULA!$I318</f>
        <v>0</v>
      </c>
      <c r="GB55" s="92">
        <f>FORMULA!$K318</f>
        <v>0</v>
      </c>
      <c r="GC55" s="92">
        <f>FORMULA!$M318</f>
        <v>0</v>
      </c>
      <c r="GD55" s="92">
        <f>FORMULA!$O318</f>
        <v>0</v>
      </c>
      <c r="GE55" s="92">
        <f>FORMULA!$Q318</f>
        <v>0</v>
      </c>
      <c r="GF55" s="92">
        <f>FORMULA!$S318</f>
        <v>0</v>
      </c>
      <c r="GG55" s="92">
        <f>FORMULA!$U318</f>
        <v>0</v>
      </c>
      <c r="GH55" s="92">
        <f>FORMULA!$W318</f>
        <v>0</v>
      </c>
      <c r="GI55" s="92">
        <f>FORMULA!$Y318</f>
        <v>0</v>
      </c>
      <c r="GJ55" s="92">
        <f>FORMULA!$AA318</f>
        <v>0</v>
      </c>
      <c r="GK55" s="92">
        <f>FORMULA!$AC318</f>
        <v>0</v>
      </c>
      <c r="GL55" s="92">
        <f>FORMULA!$AE318</f>
        <v>0</v>
      </c>
      <c r="GM55" s="207"/>
      <c r="GN55" s="91">
        <f>FORMULA!$C406</f>
        <v>0</v>
      </c>
      <c r="GO55" s="92">
        <f>FORMULA!$E406</f>
        <v>0</v>
      </c>
      <c r="GP55" s="92">
        <f>FORMULA!$G406</f>
        <v>0</v>
      </c>
      <c r="GQ55" s="92">
        <f>FORMULA!$I406</f>
        <v>0</v>
      </c>
      <c r="GR55" s="92">
        <f>FORMULA!$K406</f>
        <v>0</v>
      </c>
      <c r="GS55" s="92">
        <f>FORMULA!$M406</f>
        <v>0</v>
      </c>
      <c r="GT55" s="92">
        <f>FORMULA!$O406</f>
        <v>0</v>
      </c>
      <c r="GU55" s="92">
        <f>FORMULA!$Q406</f>
        <v>0</v>
      </c>
      <c r="GV55" s="92">
        <f>FORMULA!$S406</f>
        <v>0</v>
      </c>
      <c r="GW55" s="92">
        <f>FORMULA!$U406</f>
        <v>0</v>
      </c>
      <c r="GX55" s="92">
        <f>FORMULA!$W406</f>
        <v>0</v>
      </c>
      <c r="GY55" s="92">
        <f>FORMULA!$Y406</f>
        <v>0</v>
      </c>
      <c r="GZ55" s="92">
        <f>FORMULA!$AA406</f>
        <v>0</v>
      </c>
      <c r="HA55" s="92">
        <f>FORMULA!$AC406</f>
        <v>0</v>
      </c>
      <c r="HB55" s="92">
        <f>FORMULA!$AE406</f>
        <v>0</v>
      </c>
      <c r="HC55" s="207"/>
      <c r="HD55" s="91">
        <f>FORMULA!$C494</f>
        <v>0</v>
      </c>
      <c r="HE55" s="92">
        <f>FORMULA!$E494</f>
        <v>0</v>
      </c>
      <c r="HF55" s="92">
        <f>FORMULA!$G494</f>
        <v>0</v>
      </c>
      <c r="HG55" s="92">
        <f>FORMULA!$I494</f>
        <v>0</v>
      </c>
      <c r="HH55" s="92">
        <f>FORMULA!$K494</f>
        <v>0</v>
      </c>
      <c r="HI55" s="92">
        <f>FORMULA!$M494</f>
        <v>0</v>
      </c>
      <c r="HJ55" s="92">
        <f>FORMULA!$O494</f>
        <v>0</v>
      </c>
      <c r="HK55" s="92">
        <f>FORMULA!$Q494</f>
        <v>0</v>
      </c>
      <c r="HL55" s="92">
        <f>FORMULA!$S494</f>
        <v>0</v>
      </c>
      <c r="HM55" s="92">
        <f>FORMULA!$U494</f>
        <v>0</v>
      </c>
      <c r="HN55" s="92">
        <f>FORMULA!$W494</f>
        <v>0</v>
      </c>
      <c r="HO55" s="92">
        <f>FORMULA!$Y494</f>
        <v>0</v>
      </c>
      <c r="HP55" s="92">
        <f>FORMULA!$AA494</f>
        <v>0</v>
      </c>
      <c r="HQ55" s="92">
        <f>FORMULA!$AC494</f>
        <v>0</v>
      </c>
      <c r="HR55" s="92">
        <f>FORMULA!$AE494</f>
        <v>0</v>
      </c>
      <c r="HS55" s="207"/>
      <c r="HT55" s="91">
        <f>FORMULA!$C582</f>
        <v>0</v>
      </c>
      <c r="HU55" s="92">
        <f>FORMULA!$E582</f>
        <v>0</v>
      </c>
      <c r="HV55" s="92">
        <f>FORMULA!$G582</f>
        <v>0</v>
      </c>
      <c r="HW55" s="92">
        <f>FORMULA!$I582</f>
        <v>0</v>
      </c>
      <c r="HX55" s="92">
        <f>FORMULA!$K582</f>
        <v>0</v>
      </c>
      <c r="HY55" s="92">
        <f>FORMULA!$M582</f>
        <v>0</v>
      </c>
      <c r="HZ55" s="92">
        <f>FORMULA!$O582</f>
        <v>0</v>
      </c>
      <c r="IA55" s="92">
        <f>FORMULA!$Q582</f>
        <v>0</v>
      </c>
      <c r="IB55" s="92">
        <f>FORMULA!$S582</f>
        <v>0</v>
      </c>
      <c r="IC55" s="92">
        <f>FORMULA!$U582</f>
        <v>0</v>
      </c>
      <c r="ID55" s="92">
        <f>FORMULA!$W582</f>
        <v>0</v>
      </c>
      <c r="IE55" s="92">
        <f>FORMULA!$Y582</f>
        <v>0</v>
      </c>
      <c r="IF55" s="92">
        <f>FORMULA!$AA582</f>
        <v>0</v>
      </c>
      <c r="IG55" s="92">
        <f>FORMULA!$AC582</f>
        <v>0</v>
      </c>
      <c r="IH55" s="92">
        <f>FORMULA!$AE582</f>
        <v>0</v>
      </c>
      <c r="II55" s="207"/>
      <c r="IJ55" s="91">
        <f>FORMULA!$C670</f>
        <v>0</v>
      </c>
      <c r="IK55" s="92">
        <f>FORMULA!$E670</f>
        <v>0</v>
      </c>
      <c r="IL55" s="92">
        <f>FORMULA!$G670</f>
        <v>0</v>
      </c>
      <c r="IM55" s="92">
        <f>FORMULA!$I670</f>
        <v>0</v>
      </c>
      <c r="IN55" s="92">
        <f>FORMULA!$K670</f>
        <v>0</v>
      </c>
      <c r="IO55" s="92">
        <f>FORMULA!$M670</f>
        <v>0</v>
      </c>
      <c r="IP55" s="92">
        <f>FORMULA!$O670</f>
        <v>0</v>
      </c>
      <c r="IQ55" s="92">
        <f>FORMULA!$Q670</f>
        <v>0</v>
      </c>
      <c r="IR55" s="92">
        <f>FORMULA!$S670</f>
        <v>0</v>
      </c>
      <c r="IS55" s="92">
        <f>FORMULA!$U670</f>
        <v>0</v>
      </c>
      <c r="IT55" s="92">
        <f>FORMULA!$W670</f>
        <v>0</v>
      </c>
      <c r="IU55" s="92">
        <f>FORMULA!$Y670</f>
        <v>0</v>
      </c>
      <c r="IV55" s="92">
        <f>FORMULA!$AA670</f>
        <v>0</v>
      </c>
      <c r="IW55" s="92">
        <f>FORMULA!$AC670</f>
        <v>0</v>
      </c>
      <c r="IX55" s="92">
        <f>FORMULA!$AE670</f>
        <v>0</v>
      </c>
      <c r="IY55" s="208"/>
    </row>
    <row r="56" spans="1:259" ht="15.75" customHeight="1" outlineLevel="1">
      <c r="A56" s="11">
        <f>'VAC &amp; MED'!C43</f>
        <v>46055</v>
      </c>
      <c r="B56" s="261"/>
      <c r="C56" s="261"/>
      <c r="D56" s="261"/>
      <c r="E56" s="261"/>
      <c r="F56" s="261"/>
      <c r="G56" s="261"/>
      <c r="H56" s="261"/>
      <c r="I56" s="261"/>
      <c r="J56" s="261"/>
      <c r="K56" s="261"/>
      <c r="L56" s="261"/>
      <c r="M56" s="261"/>
      <c r="N56" s="261"/>
      <c r="O56" s="261"/>
      <c r="P56" s="261"/>
      <c r="Q56" s="261"/>
      <c r="R56" s="262"/>
      <c r="S56" s="262"/>
      <c r="T56" s="262"/>
      <c r="U56" s="262"/>
      <c r="V56" s="262"/>
      <c r="W56" s="262"/>
      <c r="X56" s="262"/>
      <c r="Y56" s="262"/>
      <c r="Z56" s="262"/>
      <c r="AA56" s="262"/>
      <c r="AB56" s="262"/>
      <c r="AC56" s="262"/>
      <c r="AD56" s="262"/>
      <c r="AE56" s="262"/>
      <c r="AF56" s="262"/>
      <c r="AG56" s="262"/>
      <c r="AH56" s="263"/>
      <c r="AI56" s="263"/>
      <c r="AJ56" s="263"/>
      <c r="AK56" s="263"/>
      <c r="AL56" s="263"/>
      <c r="AM56" s="263"/>
      <c r="AN56" s="263"/>
      <c r="AO56" s="263"/>
      <c r="AP56" s="263"/>
      <c r="AQ56" s="263"/>
      <c r="AR56" s="263"/>
      <c r="AS56" s="263"/>
      <c r="AT56" s="263"/>
      <c r="AU56" s="263"/>
      <c r="AV56" s="263"/>
      <c r="AW56" s="263"/>
      <c r="AX56" s="264"/>
      <c r="AY56" s="264"/>
      <c r="AZ56" s="264"/>
      <c r="BA56" s="264"/>
      <c r="BB56" s="264"/>
      <c r="BC56" s="264"/>
      <c r="BD56" s="264"/>
      <c r="BE56" s="264"/>
      <c r="BF56" s="264"/>
      <c r="BG56" s="264"/>
      <c r="BH56" s="264"/>
      <c r="BI56" s="264"/>
      <c r="BJ56" s="264"/>
      <c r="BK56" s="264"/>
      <c r="BL56" s="264"/>
      <c r="BM56" s="264"/>
      <c r="BN56" s="265"/>
      <c r="BO56" s="265"/>
      <c r="BP56" s="265"/>
      <c r="BQ56" s="265"/>
      <c r="BR56" s="265"/>
      <c r="BS56" s="265"/>
      <c r="BT56" s="265"/>
      <c r="BU56" s="265"/>
      <c r="BV56" s="265"/>
      <c r="BW56" s="265"/>
      <c r="BX56" s="265"/>
      <c r="BY56" s="265"/>
      <c r="BZ56" s="265"/>
      <c r="CA56" s="265"/>
      <c r="CB56" s="265"/>
      <c r="CC56" s="265"/>
      <c r="CD56" s="266"/>
      <c r="CE56" s="266"/>
      <c r="CF56" s="266"/>
      <c r="CG56" s="266"/>
      <c r="CH56" s="266"/>
      <c r="CI56" s="266"/>
      <c r="CJ56" s="266"/>
      <c r="CK56" s="266"/>
      <c r="CL56" s="266"/>
      <c r="CM56" s="266"/>
      <c r="CN56" s="266"/>
      <c r="CO56" s="266"/>
      <c r="CP56" s="266"/>
      <c r="CQ56" s="266"/>
      <c r="CR56" s="266"/>
      <c r="CS56" s="266"/>
      <c r="CT56" s="267"/>
      <c r="CU56" s="267"/>
      <c r="CV56" s="267"/>
      <c r="CW56" s="267"/>
      <c r="CX56" s="267"/>
      <c r="CY56" s="267"/>
      <c r="CZ56" s="267"/>
      <c r="DA56" s="267"/>
      <c r="DB56" s="267"/>
      <c r="DC56" s="267"/>
      <c r="DD56" s="267"/>
      <c r="DE56" s="267"/>
      <c r="DF56" s="267"/>
      <c r="DG56" s="267"/>
      <c r="DH56" s="267"/>
      <c r="DI56" s="267"/>
      <c r="DJ56" s="268"/>
      <c r="DK56" s="268"/>
      <c r="DL56" s="268"/>
      <c r="DM56" s="268"/>
      <c r="DN56" s="268"/>
      <c r="DO56" s="268"/>
      <c r="DP56" s="268"/>
      <c r="DQ56" s="268"/>
      <c r="DR56" s="268"/>
      <c r="DS56" s="268"/>
      <c r="DT56" s="268"/>
      <c r="DU56" s="268"/>
      <c r="DV56" s="268"/>
      <c r="DW56" s="268"/>
      <c r="DX56" s="268"/>
      <c r="DY56" s="268"/>
      <c r="EA56" s="20" t="str">
        <f>FORMULA!$A$55</f>
        <v>8102 TOP UP (4KG)</v>
      </c>
      <c r="EB56" s="91">
        <f>FORMULA!$C55</f>
        <v>0</v>
      </c>
      <c r="EC56" s="92">
        <f>FORMULA!$E55</f>
        <v>0</v>
      </c>
      <c r="ED56" s="92">
        <f>FORMULA!$G55</f>
        <v>0</v>
      </c>
      <c r="EE56" s="92">
        <f>FORMULA!$I55</f>
        <v>0</v>
      </c>
      <c r="EF56" s="92">
        <f>FORMULA!$K55</f>
        <v>0</v>
      </c>
      <c r="EG56" s="92">
        <f>FORMULA!$M55</f>
        <v>0</v>
      </c>
      <c r="EH56" s="92">
        <f>FORMULA!$O55</f>
        <v>0</v>
      </c>
      <c r="EI56" s="92">
        <f>FORMULA!$Q55</f>
        <v>0</v>
      </c>
      <c r="EJ56" s="92">
        <f>FORMULA!$S55</f>
        <v>0</v>
      </c>
      <c r="EK56" s="92">
        <f>FORMULA!$U55</f>
        <v>0</v>
      </c>
      <c r="EL56" s="92">
        <f>FORMULA!$W55</f>
        <v>0</v>
      </c>
      <c r="EM56" s="92">
        <f>FORMULA!$Y55</f>
        <v>0</v>
      </c>
      <c r="EN56" s="92">
        <f>FORMULA!$AA55</f>
        <v>0</v>
      </c>
      <c r="EO56" s="92">
        <f>FORMULA!$AC55</f>
        <v>0</v>
      </c>
      <c r="EP56" s="92">
        <f>FORMULA!$AE55</f>
        <v>0</v>
      </c>
      <c r="EQ56" s="108"/>
      <c r="ER56" s="91">
        <f>FORMULA!$C143</f>
        <v>0</v>
      </c>
      <c r="ES56" s="92">
        <f>FORMULA!$E143</f>
        <v>0</v>
      </c>
      <c r="ET56" s="92">
        <f>FORMULA!$G143</f>
        <v>0</v>
      </c>
      <c r="EU56" s="92">
        <f>FORMULA!$I143</f>
        <v>0</v>
      </c>
      <c r="EV56" s="92">
        <f>FORMULA!$K143</f>
        <v>0</v>
      </c>
      <c r="EW56" s="92">
        <f>FORMULA!$M143</f>
        <v>0</v>
      </c>
      <c r="EX56" s="92">
        <f>FORMULA!$O143</f>
        <v>0</v>
      </c>
      <c r="EY56" s="92">
        <f>FORMULA!$Q143</f>
        <v>0</v>
      </c>
      <c r="EZ56" s="92">
        <f>FORMULA!$S143</f>
        <v>0</v>
      </c>
      <c r="FA56" s="92">
        <f>FORMULA!$U143</f>
        <v>0</v>
      </c>
      <c r="FB56" s="92">
        <f>FORMULA!$W143</f>
        <v>0</v>
      </c>
      <c r="FC56" s="92">
        <f>FORMULA!$Y143</f>
        <v>0</v>
      </c>
      <c r="FD56" s="92">
        <f>FORMULA!$AA143</f>
        <v>0</v>
      </c>
      <c r="FE56" s="92">
        <f>FORMULA!$AC143</f>
        <v>0</v>
      </c>
      <c r="FF56" s="92">
        <f>FORMULA!$AE143</f>
        <v>0</v>
      </c>
      <c r="FG56" s="94"/>
      <c r="FH56" s="91">
        <f>FORMULA!$C231</f>
        <v>0</v>
      </c>
      <c r="FI56" s="92">
        <f>FORMULA!$E231</f>
        <v>0</v>
      </c>
      <c r="FJ56" s="92">
        <f>FORMULA!$G231</f>
        <v>0</v>
      </c>
      <c r="FK56" s="92">
        <f>FORMULA!$I231</f>
        <v>0</v>
      </c>
      <c r="FL56" s="92">
        <f>FORMULA!$K231</f>
        <v>0</v>
      </c>
      <c r="FM56" s="92">
        <f>FORMULA!$M231</f>
        <v>0</v>
      </c>
      <c r="FN56" s="92">
        <f>FORMULA!$O231</f>
        <v>0</v>
      </c>
      <c r="FO56" s="92">
        <f>FORMULA!$Q231</f>
        <v>0</v>
      </c>
      <c r="FP56" s="92">
        <f>FORMULA!$S231</f>
        <v>0</v>
      </c>
      <c r="FQ56" s="92">
        <f>FORMULA!$U231</f>
        <v>0</v>
      </c>
      <c r="FR56" s="92">
        <f>FORMULA!$W231</f>
        <v>0</v>
      </c>
      <c r="FS56" s="92">
        <f>FORMULA!$Y231</f>
        <v>0</v>
      </c>
      <c r="FT56" s="92">
        <f>FORMULA!$AA231</f>
        <v>0</v>
      </c>
      <c r="FU56" s="92">
        <f>FORMULA!$AC231</f>
        <v>0</v>
      </c>
      <c r="FV56" s="92">
        <f>FORMULA!$AE231</f>
        <v>0</v>
      </c>
      <c r="FW56" s="94"/>
      <c r="FX56" s="91">
        <f>FORMULA!$C319</f>
        <v>0</v>
      </c>
      <c r="FY56" s="92">
        <f>FORMULA!$E319</f>
        <v>0</v>
      </c>
      <c r="FZ56" s="92">
        <f>FORMULA!$G319</f>
        <v>0</v>
      </c>
      <c r="GA56" s="92">
        <f>FORMULA!$I319</f>
        <v>0</v>
      </c>
      <c r="GB56" s="92">
        <f>FORMULA!$K319</f>
        <v>0</v>
      </c>
      <c r="GC56" s="92">
        <f>FORMULA!$M319</f>
        <v>0</v>
      </c>
      <c r="GD56" s="92">
        <f>FORMULA!$O319</f>
        <v>0</v>
      </c>
      <c r="GE56" s="92">
        <f>FORMULA!$Q319</f>
        <v>0</v>
      </c>
      <c r="GF56" s="92">
        <f>FORMULA!$S319</f>
        <v>0</v>
      </c>
      <c r="GG56" s="92">
        <f>FORMULA!$U319</f>
        <v>0</v>
      </c>
      <c r="GH56" s="92">
        <f>FORMULA!$W319</f>
        <v>0</v>
      </c>
      <c r="GI56" s="92">
        <f>FORMULA!$Y319</f>
        <v>0</v>
      </c>
      <c r="GJ56" s="92">
        <f>FORMULA!$AA319</f>
        <v>0</v>
      </c>
      <c r="GK56" s="92">
        <f>FORMULA!$AC319</f>
        <v>0</v>
      </c>
      <c r="GL56" s="92">
        <f>FORMULA!$AE319</f>
        <v>0</v>
      </c>
      <c r="GM56" s="207"/>
      <c r="GN56" s="91">
        <f>FORMULA!$C407</f>
        <v>0</v>
      </c>
      <c r="GO56" s="92">
        <f>FORMULA!$E407</f>
        <v>0</v>
      </c>
      <c r="GP56" s="92">
        <f>FORMULA!$G407</f>
        <v>0</v>
      </c>
      <c r="GQ56" s="92">
        <f>FORMULA!$I407</f>
        <v>0</v>
      </c>
      <c r="GR56" s="92">
        <f>FORMULA!$K407</f>
        <v>0</v>
      </c>
      <c r="GS56" s="92">
        <f>FORMULA!$M407</f>
        <v>4</v>
      </c>
      <c r="GT56" s="92">
        <f>FORMULA!$O407</f>
        <v>4</v>
      </c>
      <c r="GU56" s="92">
        <f>FORMULA!$Q407</f>
        <v>4</v>
      </c>
      <c r="GV56" s="92">
        <f>FORMULA!$S407</f>
        <v>4</v>
      </c>
      <c r="GW56" s="92">
        <f>FORMULA!$U407</f>
        <v>0</v>
      </c>
      <c r="GX56" s="92">
        <f>FORMULA!$W407</f>
        <v>0</v>
      </c>
      <c r="GY56" s="92">
        <f>FORMULA!$Y407</f>
        <v>0</v>
      </c>
      <c r="GZ56" s="92">
        <f>FORMULA!$AA407</f>
        <v>0</v>
      </c>
      <c r="HA56" s="92">
        <f>FORMULA!$AC407</f>
        <v>4</v>
      </c>
      <c r="HB56" s="92">
        <f>FORMULA!$AE407</f>
        <v>0</v>
      </c>
      <c r="HC56" s="207"/>
      <c r="HD56" s="91">
        <f>FORMULA!$C495</f>
        <v>0</v>
      </c>
      <c r="HE56" s="92">
        <f>FORMULA!$E495</f>
        <v>0</v>
      </c>
      <c r="HF56" s="92">
        <f>FORMULA!$G495</f>
        <v>0</v>
      </c>
      <c r="HG56" s="92">
        <f>FORMULA!$I495</f>
        <v>0</v>
      </c>
      <c r="HH56" s="92">
        <f>FORMULA!$K495</f>
        <v>0</v>
      </c>
      <c r="HI56" s="92">
        <f>FORMULA!$M495</f>
        <v>0</v>
      </c>
      <c r="HJ56" s="92">
        <f>FORMULA!$O495</f>
        <v>0</v>
      </c>
      <c r="HK56" s="92">
        <f>FORMULA!$Q495</f>
        <v>0</v>
      </c>
      <c r="HL56" s="92">
        <f>FORMULA!$S495</f>
        <v>0</v>
      </c>
      <c r="HM56" s="92">
        <f>FORMULA!$U495</f>
        <v>0</v>
      </c>
      <c r="HN56" s="92">
        <f>FORMULA!$W495</f>
        <v>0</v>
      </c>
      <c r="HO56" s="92">
        <f>FORMULA!$Y495</f>
        <v>0</v>
      </c>
      <c r="HP56" s="92">
        <f>FORMULA!$AA495</f>
        <v>0</v>
      </c>
      <c r="HQ56" s="92">
        <f>FORMULA!$AC495</f>
        <v>0</v>
      </c>
      <c r="HR56" s="92">
        <f>FORMULA!$AE495</f>
        <v>0</v>
      </c>
      <c r="HS56" s="207"/>
      <c r="HT56" s="91">
        <f>FORMULA!$C583</f>
        <v>0</v>
      </c>
      <c r="HU56" s="92">
        <f>FORMULA!$E583</f>
        <v>0</v>
      </c>
      <c r="HV56" s="92">
        <f>FORMULA!$G583</f>
        <v>0</v>
      </c>
      <c r="HW56" s="92">
        <f>FORMULA!$I583</f>
        <v>0</v>
      </c>
      <c r="HX56" s="92">
        <f>FORMULA!$K583</f>
        <v>0</v>
      </c>
      <c r="HY56" s="92">
        <f>FORMULA!$M583</f>
        <v>0</v>
      </c>
      <c r="HZ56" s="92">
        <f>FORMULA!$O583</f>
        <v>0</v>
      </c>
      <c r="IA56" s="92">
        <f>FORMULA!$Q583</f>
        <v>0</v>
      </c>
      <c r="IB56" s="92">
        <f>FORMULA!$S583</f>
        <v>0</v>
      </c>
      <c r="IC56" s="92">
        <f>FORMULA!$U583</f>
        <v>0</v>
      </c>
      <c r="ID56" s="92">
        <f>FORMULA!$W583</f>
        <v>0</v>
      </c>
      <c r="IE56" s="92">
        <f>FORMULA!$Y583</f>
        <v>0</v>
      </c>
      <c r="IF56" s="92">
        <f>FORMULA!$AA583</f>
        <v>0</v>
      </c>
      <c r="IG56" s="92">
        <f>FORMULA!$AC583</f>
        <v>0</v>
      </c>
      <c r="IH56" s="92">
        <f>FORMULA!$AE583</f>
        <v>0</v>
      </c>
      <c r="II56" s="207"/>
      <c r="IJ56" s="91">
        <f>FORMULA!$C671</f>
        <v>0</v>
      </c>
      <c r="IK56" s="92">
        <f>FORMULA!$E671</f>
        <v>0</v>
      </c>
      <c r="IL56" s="92">
        <f>FORMULA!$G671</f>
        <v>0</v>
      </c>
      <c r="IM56" s="92">
        <f>FORMULA!$I671</f>
        <v>0</v>
      </c>
      <c r="IN56" s="92">
        <f>FORMULA!$K671</f>
        <v>0</v>
      </c>
      <c r="IO56" s="92">
        <f>FORMULA!$M671</f>
        <v>0</v>
      </c>
      <c r="IP56" s="92">
        <f>FORMULA!$O671</f>
        <v>0</v>
      </c>
      <c r="IQ56" s="92">
        <f>FORMULA!$Q671</f>
        <v>0</v>
      </c>
      <c r="IR56" s="92">
        <f>FORMULA!$S671</f>
        <v>0</v>
      </c>
      <c r="IS56" s="92">
        <f>FORMULA!$U671</f>
        <v>0</v>
      </c>
      <c r="IT56" s="92">
        <f>FORMULA!$W671</f>
        <v>0</v>
      </c>
      <c r="IU56" s="92">
        <f>FORMULA!$Y671</f>
        <v>0</v>
      </c>
      <c r="IV56" s="92">
        <f>FORMULA!$AA671</f>
        <v>0</v>
      </c>
      <c r="IW56" s="92">
        <f>FORMULA!$AC671</f>
        <v>0</v>
      </c>
      <c r="IX56" s="92">
        <f>FORMULA!$AE671</f>
        <v>0</v>
      </c>
      <c r="IY56" s="208"/>
    </row>
    <row r="57" spans="1:259" outlineLevel="1">
      <c r="A57" s="11">
        <f>'VAC &amp; MED'!C44</f>
        <v>46056</v>
      </c>
      <c r="B57" s="261"/>
      <c r="C57" s="261"/>
      <c r="D57" s="261"/>
      <c r="E57" s="261"/>
      <c r="F57" s="261"/>
      <c r="G57" s="261"/>
      <c r="H57" s="261"/>
      <c r="I57" s="261"/>
      <c r="J57" s="261"/>
      <c r="K57" s="261"/>
      <c r="L57" s="261"/>
      <c r="M57" s="261"/>
      <c r="N57" s="261"/>
      <c r="O57" s="261"/>
      <c r="P57" s="261"/>
      <c r="Q57" s="261"/>
      <c r="R57" s="262"/>
      <c r="S57" s="262"/>
      <c r="T57" s="262"/>
      <c r="U57" s="262"/>
      <c r="V57" s="262"/>
      <c r="W57" s="262"/>
      <c r="X57" s="262"/>
      <c r="Y57" s="262"/>
      <c r="Z57" s="262"/>
      <c r="AA57" s="262"/>
      <c r="AB57" s="262"/>
      <c r="AC57" s="262"/>
      <c r="AD57" s="262"/>
      <c r="AE57" s="262"/>
      <c r="AF57" s="262"/>
      <c r="AG57" s="262"/>
      <c r="AH57" s="263">
        <v>16</v>
      </c>
      <c r="AI57" s="263"/>
      <c r="AJ57" s="263"/>
      <c r="AK57" s="263"/>
      <c r="AL57" s="263"/>
      <c r="AM57" s="263"/>
      <c r="AN57" s="263"/>
      <c r="AO57" s="263"/>
      <c r="AP57" s="263"/>
      <c r="AQ57" s="263"/>
      <c r="AR57" s="263"/>
      <c r="AS57" s="263"/>
      <c r="AT57" s="263"/>
      <c r="AU57" s="263"/>
      <c r="AV57" s="263"/>
      <c r="AW57" s="263"/>
      <c r="AX57" s="264"/>
      <c r="AY57" s="264"/>
      <c r="AZ57" s="264"/>
      <c r="BA57" s="264"/>
      <c r="BB57" s="264"/>
      <c r="BC57" s="264"/>
      <c r="BD57" s="264"/>
      <c r="BE57" s="264"/>
      <c r="BF57" s="264"/>
      <c r="BG57" s="264"/>
      <c r="BH57" s="264"/>
      <c r="BI57" s="264"/>
      <c r="BJ57" s="264"/>
      <c r="BK57" s="264"/>
      <c r="BL57" s="264"/>
      <c r="BM57" s="264"/>
      <c r="BN57" s="265"/>
      <c r="BO57" s="265"/>
      <c r="BP57" s="265"/>
      <c r="BQ57" s="265">
        <v>26</v>
      </c>
      <c r="BR57" s="265"/>
      <c r="BS57" s="265"/>
      <c r="BT57" s="265"/>
      <c r="BU57" s="265"/>
      <c r="BV57" s="265"/>
      <c r="BW57" s="265"/>
      <c r="BX57" s="265"/>
      <c r="BY57" s="265"/>
      <c r="BZ57" s="265"/>
      <c r="CA57" s="265"/>
      <c r="CB57" s="265"/>
      <c r="CC57" s="265"/>
      <c r="CD57" s="266"/>
      <c r="CE57" s="266"/>
      <c r="CF57" s="266"/>
      <c r="CG57" s="266"/>
      <c r="CH57" s="266"/>
      <c r="CI57" s="266"/>
      <c r="CJ57" s="266"/>
      <c r="CK57" s="266"/>
      <c r="CL57" s="266"/>
      <c r="CM57" s="266"/>
      <c r="CN57" s="266"/>
      <c r="CO57" s="266"/>
      <c r="CP57" s="266"/>
      <c r="CQ57" s="266"/>
      <c r="CR57" s="266"/>
      <c r="CS57" s="266"/>
      <c r="CT57" s="267"/>
      <c r="CU57" s="267"/>
      <c r="CV57" s="267"/>
      <c r="CW57" s="267"/>
      <c r="CX57" s="267"/>
      <c r="CY57" s="267"/>
      <c r="CZ57" s="267"/>
      <c r="DA57" s="267"/>
      <c r="DB57" s="267"/>
      <c r="DC57" s="267"/>
      <c r="DD57" s="267"/>
      <c r="DE57" s="267"/>
      <c r="DF57" s="267"/>
      <c r="DG57" s="267"/>
      <c r="DH57" s="267"/>
      <c r="DI57" s="267"/>
      <c r="DJ57" s="268"/>
      <c r="DK57" s="268"/>
      <c r="DL57" s="268"/>
      <c r="DM57" s="268"/>
      <c r="DN57" s="268"/>
      <c r="DO57" s="268"/>
      <c r="DP57" s="268"/>
      <c r="DQ57" s="268"/>
      <c r="DR57" s="268"/>
      <c r="DS57" s="268"/>
      <c r="DT57" s="268"/>
      <c r="DU57" s="268"/>
      <c r="DV57" s="268"/>
      <c r="DW57" s="268"/>
      <c r="DX57" s="268"/>
      <c r="DY57" s="268"/>
      <c r="EA57" s="20" t="str">
        <f>FORMULA!$A$56</f>
        <v>8103 TOP UP (5KG)</v>
      </c>
      <c r="EB57" s="91">
        <f>FORMULA!$C56</f>
        <v>0</v>
      </c>
      <c r="EC57" s="92">
        <f>FORMULA!$E56</f>
        <v>0</v>
      </c>
      <c r="ED57" s="92">
        <f>FORMULA!$G56</f>
        <v>0</v>
      </c>
      <c r="EE57" s="92">
        <f>FORMULA!$I56</f>
        <v>0</v>
      </c>
      <c r="EF57" s="92">
        <f>FORMULA!$K56</f>
        <v>0</v>
      </c>
      <c r="EG57" s="92">
        <f>FORMULA!$M56</f>
        <v>0</v>
      </c>
      <c r="EH57" s="92">
        <f>FORMULA!$O56</f>
        <v>0</v>
      </c>
      <c r="EI57" s="92">
        <f>FORMULA!$Q56</f>
        <v>0</v>
      </c>
      <c r="EJ57" s="92">
        <f>FORMULA!$S56</f>
        <v>0</v>
      </c>
      <c r="EK57" s="92">
        <f>FORMULA!$U56</f>
        <v>0</v>
      </c>
      <c r="EL57" s="92">
        <f>FORMULA!$W56</f>
        <v>0</v>
      </c>
      <c r="EM57" s="92">
        <f>FORMULA!$Y56</f>
        <v>0</v>
      </c>
      <c r="EN57" s="92">
        <f>FORMULA!$AA56</f>
        <v>0</v>
      </c>
      <c r="EO57" s="92">
        <f>FORMULA!$AC56</f>
        <v>0</v>
      </c>
      <c r="EP57" s="92">
        <f>FORMULA!$AE56</f>
        <v>0</v>
      </c>
      <c r="EQ57" s="109"/>
      <c r="ER57" s="91">
        <f>FORMULA!$C144</f>
        <v>0</v>
      </c>
      <c r="ES57" s="92">
        <f>FORMULA!$E144</f>
        <v>0</v>
      </c>
      <c r="ET57" s="92">
        <f>FORMULA!$G144</f>
        <v>0</v>
      </c>
      <c r="EU57" s="92">
        <f>FORMULA!$I144</f>
        <v>0</v>
      </c>
      <c r="EV57" s="92">
        <f>FORMULA!$K144</f>
        <v>0</v>
      </c>
      <c r="EW57" s="92">
        <f>FORMULA!$M144</f>
        <v>0</v>
      </c>
      <c r="EX57" s="92">
        <f>FORMULA!$O144</f>
        <v>0</v>
      </c>
      <c r="EY57" s="92">
        <f>FORMULA!$Q144</f>
        <v>0</v>
      </c>
      <c r="EZ57" s="92">
        <f>FORMULA!$S144</f>
        <v>0</v>
      </c>
      <c r="FA57" s="92">
        <f>FORMULA!$U144</f>
        <v>0</v>
      </c>
      <c r="FB57" s="92">
        <f>FORMULA!$W144</f>
        <v>0</v>
      </c>
      <c r="FC57" s="92">
        <f>FORMULA!$Y144</f>
        <v>0</v>
      </c>
      <c r="FD57" s="92">
        <f>FORMULA!$AA144</f>
        <v>0</v>
      </c>
      <c r="FE57" s="92">
        <f>FORMULA!$AC144</f>
        <v>0</v>
      </c>
      <c r="FF57" s="92">
        <f>FORMULA!$AE144</f>
        <v>0</v>
      </c>
      <c r="FG57" s="206"/>
      <c r="FH57" s="91">
        <f>FORMULA!$C232</f>
        <v>0</v>
      </c>
      <c r="FI57" s="92">
        <f>FORMULA!$E232</f>
        <v>0</v>
      </c>
      <c r="FJ57" s="92">
        <f>FORMULA!$G232</f>
        <v>0</v>
      </c>
      <c r="FK57" s="92">
        <f>FORMULA!$I232</f>
        <v>0</v>
      </c>
      <c r="FL57" s="92">
        <f>FORMULA!$K232</f>
        <v>0</v>
      </c>
      <c r="FM57" s="92">
        <f>FORMULA!$M232</f>
        <v>0</v>
      </c>
      <c r="FN57" s="92">
        <f>FORMULA!$O232</f>
        <v>0</v>
      </c>
      <c r="FO57" s="92">
        <f>FORMULA!$Q232</f>
        <v>0</v>
      </c>
      <c r="FP57" s="92">
        <f>FORMULA!$S232</f>
        <v>0</v>
      </c>
      <c r="FQ57" s="92">
        <f>FORMULA!$U232</f>
        <v>0</v>
      </c>
      <c r="FR57" s="92">
        <f>FORMULA!$W232</f>
        <v>0</v>
      </c>
      <c r="FS57" s="92">
        <f>FORMULA!$Y232</f>
        <v>0</v>
      </c>
      <c r="FT57" s="92">
        <f>FORMULA!$AA232</f>
        <v>0</v>
      </c>
      <c r="FU57" s="92">
        <f>FORMULA!$AC232</f>
        <v>0</v>
      </c>
      <c r="FV57" s="92">
        <f>FORMULA!$AE232</f>
        <v>0</v>
      </c>
      <c r="FW57" s="206"/>
      <c r="FX57" s="91">
        <f>FORMULA!$C320</f>
        <v>0</v>
      </c>
      <c r="FY57" s="92">
        <f>FORMULA!$E320</f>
        <v>0</v>
      </c>
      <c r="FZ57" s="92">
        <f>FORMULA!$G320</f>
        <v>0</v>
      </c>
      <c r="GA57" s="92">
        <f>FORMULA!$I320</f>
        <v>0</v>
      </c>
      <c r="GB57" s="92">
        <f>FORMULA!$K320</f>
        <v>0</v>
      </c>
      <c r="GC57" s="92">
        <f>FORMULA!$M320</f>
        <v>0</v>
      </c>
      <c r="GD57" s="92">
        <f>FORMULA!$O320</f>
        <v>0</v>
      </c>
      <c r="GE57" s="92">
        <f>FORMULA!$Q320</f>
        <v>0</v>
      </c>
      <c r="GF57" s="92">
        <f>FORMULA!$S320</f>
        <v>0</v>
      </c>
      <c r="GG57" s="92">
        <f>FORMULA!$U320</f>
        <v>0</v>
      </c>
      <c r="GH57" s="92">
        <f>FORMULA!$W320</f>
        <v>0</v>
      </c>
      <c r="GI57" s="92">
        <f>FORMULA!$Y320</f>
        <v>0</v>
      </c>
      <c r="GJ57" s="92">
        <f>FORMULA!$AA320</f>
        <v>0</v>
      </c>
      <c r="GK57" s="92">
        <f>FORMULA!$AC320</f>
        <v>0</v>
      </c>
      <c r="GL57" s="92">
        <f>FORMULA!$AE320</f>
        <v>0</v>
      </c>
      <c r="GM57" s="207"/>
      <c r="GN57" s="91">
        <f>FORMULA!$C408</f>
        <v>0</v>
      </c>
      <c r="GO57" s="92">
        <f>FORMULA!$E408</f>
        <v>0</v>
      </c>
      <c r="GP57" s="92">
        <f>FORMULA!$G408</f>
        <v>0</v>
      </c>
      <c r="GQ57" s="92">
        <f>FORMULA!$I408</f>
        <v>0</v>
      </c>
      <c r="GR57" s="92">
        <f>FORMULA!$K408</f>
        <v>0</v>
      </c>
      <c r="GS57" s="92">
        <f>FORMULA!$M408</f>
        <v>0</v>
      </c>
      <c r="GT57" s="92">
        <f>FORMULA!$O408</f>
        <v>0</v>
      </c>
      <c r="GU57" s="92">
        <f>FORMULA!$Q408</f>
        <v>0</v>
      </c>
      <c r="GV57" s="92">
        <f>FORMULA!$S408</f>
        <v>0</v>
      </c>
      <c r="GW57" s="92">
        <f>FORMULA!$U408</f>
        <v>2.5</v>
      </c>
      <c r="GX57" s="92">
        <f>FORMULA!$W408</f>
        <v>2.5</v>
      </c>
      <c r="GY57" s="92">
        <f>FORMULA!$Y408</f>
        <v>0</v>
      </c>
      <c r="GZ57" s="92">
        <f>FORMULA!$AA408</f>
        <v>0</v>
      </c>
      <c r="HA57" s="92">
        <f>FORMULA!$AC408</f>
        <v>0</v>
      </c>
      <c r="HB57" s="92">
        <f>FORMULA!$AE408</f>
        <v>2.5</v>
      </c>
      <c r="HC57" s="207"/>
      <c r="HD57" s="91">
        <f>FORMULA!$C496</f>
        <v>0</v>
      </c>
      <c r="HE57" s="92">
        <f>FORMULA!$E496</f>
        <v>0</v>
      </c>
      <c r="HF57" s="92">
        <f>FORMULA!$G496</f>
        <v>0</v>
      </c>
      <c r="HG57" s="92">
        <f>FORMULA!$I496</f>
        <v>0</v>
      </c>
      <c r="HH57" s="92">
        <f>FORMULA!$K496</f>
        <v>0</v>
      </c>
      <c r="HI57" s="92">
        <f>FORMULA!$M496</f>
        <v>0</v>
      </c>
      <c r="HJ57" s="92">
        <f>FORMULA!$O496</f>
        <v>0</v>
      </c>
      <c r="HK57" s="92">
        <f>FORMULA!$Q496</f>
        <v>0</v>
      </c>
      <c r="HL57" s="92">
        <f>FORMULA!$S496</f>
        <v>0</v>
      </c>
      <c r="HM57" s="92">
        <f>FORMULA!$U496</f>
        <v>0</v>
      </c>
      <c r="HN57" s="92">
        <f>FORMULA!$W496</f>
        <v>0</v>
      </c>
      <c r="HO57" s="92">
        <f>FORMULA!$Y496</f>
        <v>0</v>
      </c>
      <c r="HP57" s="92">
        <f>FORMULA!$AA496</f>
        <v>0</v>
      </c>
      <c r="HQ57" s="92">
        <f>FORMULA!$AC496</f>
        <v>0</v>
      </c>
      <c r="HR57" s="92">
        <f>FORMULA!$AE496</f>
        <v>0</v>
      </c>
      <c r="HS57" s="207"/>
      <c r="HT57" s="91">
        <f>FORMULA!$C584</f>
        <v>0</v>
      </c>
      <c r="HU57" s="92">
        <f>FORMULA!$E584</f>
        <v>0</v>
      </c>
      <c r="HV57" s="92">
        <f>FORMULA!$G584</f>
        <v>0</v>
      </c>
      <c r="HW57" s="92">
        <f>FORMULA!$I584</f>
        <v>0</v>
      </c>
      <c r="HX57" s="92">
        <f>FORMULA!$K584</f>
        <v>0</v>
      </c>
      <c r="HY57" s="92">
        <f>FORMULA!$M584</f>
        <v>0</v>
      </c>
      <c r="HZ57" s="92">
        <f>FORMULA!$O584</f>
        <v>0</v>
      </c>
      <c r="IA57" s="92">
        <f>FORMULA!$Q584</f>
        <v>0</v>
      </c>
      <c r="IB57" s="92">
        <f>FORMULA!$S584</f>
        <v>0</v>
      </c>
      <c r="IC57" s="92">
        <f>FORMULA!$U584</f>
        <v>0</v>
      </c>
      <c r="ID57" s="92">
        <f>FORMULA!$W584</f>
        <v>0</v>
      </c>
      <c r="IE57" s="92">
        <f>FORMULA!$Y584</f>
        <v>0</v>
      </c>
      <c r="IF57" s="92">
        <f>FORMULA!$AA584</f>
        <v>0</v>
      </c>
      <c r="IG57" s="92">
        <f>FORMULA!$AC584</f>
        <v>0</v>
      </c>
      <c r="IH57" s="92">
        <f>FORMULA!$AE584</f>
        <v>0</v>
      </c>
      <c r="II57" s="207"/>
      <c r="IJ57" s="91">
        <f>FORMULA!$C672</f>
        <v>0</v>
      </c>
      <c r="IK57" s="92">
        <f>FORMULA!$E672</f>
        <v>0</v>
      </c>
      <c r="IL57" s="92">
        <f>FORMULA!$G672</f>
        <v>0</v>
      </c>
      <c r="IM57" s="92">
        <f>FORMULA!$I672</f>
        <v>0</v>
      </c>
      <c r="IN57" s="92">
        <f>FORMULA!$K672</f>
        <v>0</v>
      </c>
      <c r="IO57" s="92">
        <f>FORMULA!$M672</f>
        <v>0</v>
      </c>
      <c r="IP57" s="92">
        <f>FORMULA!$O672</f>
        <v>0</v>
      </c>
      <c r="IQ57" s="92">
        <f>FORMULA!$Q672</f>
        <v>0</v>
      </c>
      <c r="IR57" s="92">
        <f>FORMULA!$S672</f>
        <v>0</v>
      </c>
      <c r="IS57" s="92">
        <f>FORMULA!$U672</f>
        <v>0</v>
      </c>
      <c r="IT57" s="92">
        <f>FORMULA!$W672</f>
        <v>0</v>
      </c>
      <c r="IU57" s="92">
        <f>FORMULA!$Y672</f>
        <v>0</v>
      </c>
      <c r="IV57" s="92">
        <f>FORMULA!$AA672</f>
        <v>0</v>
      </c>
      <c r="IW57" s="92">
        <f>FORMULA!$AC672</f>
        <v>0</v>
      </c>
      <c r="IX57" s="92">
        <f>FORMULA!$AE672</f>
        <v>0</v>
      </c>
      <c r="IY57" s="208"/>
    </row>
    <row r="58" spans="1:259" outlineLevel="1">
      <c r="A58" s="11">
        <f>'VAC &amp; MED'!C45</f>
        <v>46057</v>
      </c>
      <c r="B58" s="261"/>
      <c r="C58" s="261"/>
      <c r="D58" s="261"/>
      <c r="E58" s="261"/>
      <c r="F58" s="261"/>
      <c r="G58" s="261"/>
      <c r="H58" s="261"/>
      <c r="I58" s="261"/>
      <c r="J58" s="261"/>
      <c r="K58" s="261"/>
      <c r="L58" s="261"/>
      <c r="M58" s="261"/>
      <c r="N58" s="261"/>
      <c r="O58" s="261"/>
      <c r="P58" s="261"/>
      <c r="Q58" s="261"/>
      <c r="R58" s="262"/>
      <c r="S58" s="262"/>
      <c r="T58" s="262"/>
      <c r="U58" s="262"/>
      <c r="V58" s="262"/>
      <c r="W58" s="262"/>
      <c r="X58" s="262"/>
      <c r="Y58" s="262"/>
      <c r="Z58" s="262"/>
      <c r="AA58" s="262"/>
      <c r="AB58" s="262"/>
      <c r="AC58" s="262"/>
      <c r="AD58" s="262"/>
      <c r="AE58" s="262"/>
      <c r="AF58" s="262"/>
      <c r="AG58" s="262"/>
      <c r="AH58" s="263"/>
      <c r="AI58" s="263"/>
      <c r="AJ58" s="263"/>
      <c r="AK58" s="263"/>
      <c r="AL58" s="263"/>
      <c r="AM58" s="263"/>
      <c r="AN58" s="263"/>
      <c r="AO58" s="263"/>
      <c r="AP58" s="263"/>
      <c r="AQ58" s="263"/>
      <c r="AR58" s="263"/>
      <c r="AS58" s="263"/>
      <c r="AT58" s="263"/>
      <c r="AU58" s="263"/>
      <c r="AV58" s="263"/>
      <c r="AW58" s="263"/>
      <c r="AX58" s="264"/>
      <c r="AY58" s="264"/>
      <c r="AZ58" s="264"/>
      <c r="BA58" s="264"/>
      <c r="BB58" s="264"/>
      <c r="BC58" s="264"/>
      <c r="BD58" s="264"/>
      <c r="BE58" s="264"/>
      <c r="BF58" s="264"/>
      <c r="BG58" s="264"/>
      <c r="BH58" s="264"/>
      <c r="BI58" s="264"/>
      <c r="BJ58" s="264"/>
      <c r="BK58" s="264"/>
      <c r="BL58" s="264"/>
      <c r="BM58" s="264"/>
      <c r="BN58" s="265"/>
      <c r="BO58" s="265"/>
      <c r="BP58" s="265"/>
      <c r="BQ58" s="265"/>
      <c r="BR58" s="265"/>
      <c r="BS58" s="265"/>
      <c r="BT58" s="265"/>
      <c r="BU58" s="265"/>
      <c r="BV58" s="265"/>
      <c r="BW58" s="265"/>
      <c r="BX58" s="265"/>
      <c r="BY58" s="265"/>
      <c r="BZ58" s="265"/>
      <c r="CA58" s="265"/>
      <c r="CB58" s="265"/>
      <c r="CC58" s="265"/>
      <c r="CD58" s="266"/>
      <c r="CE58" s="266"/>
      <c r="CF58" s="266"/>
      <c r="CG58" s="266"/>
      <c r="CH58" s="266"/>
      <c r="CI58" s="266"/>
      <c r="CJ58" s="266"/>
      <c r="CK58" s="266"/>
      <c r="CL58" s="266"/>
      <c r="CM58" s="266"/>
      <c r="CN58" s="266"/>
      <c r="CO58" s="266"/>
      <c r="CP58" s="266"/>
      <c r="CQ58" s="266"/>
      <c r="CR58" s="266"/>
      <c r="CS58" s="266"/>
      <c r="CT58" s="267"/>
      <c r="CU58" s="267"/>
      <c r="CV58" s="267"/>
      <c r="CW58" s="267"/>
      <c r="CX58" s="267"/>
      <c r="CY58" s="267"/>
      <c r="CZ58" s="267"/>
      <c r="DA58" s="267"/>
      <c r="DB58" s="267"/>
      <c r="DC58" s="267"/>
      <c r="DD58" s="267"/>
      <c r="DE58" s="267"/>
      <c r="DF58" s="267"/>
      <c r="DG58" s="267"/>
      <c r="DH58" s="267"/>
      <c r="DI58" s="267"/>
      <c r="DJ58" s="268"/>
      <c r="DK58" s="268"/>
      <c r="DL58" s="268"/>
      <c r="DM58" s="268"/>
      <c r="DN58" s="268"/>
      <c r="DO58" s="268"/>
      <c r="DP58" s="268"/>
      <c r="DQ58" s="268"/>
      <c r="DR58" s="268"/>
      <c r="DS58" s="268"/>
      <c r="DT58" s="268"/>
      <c r="DU58" s="268"/>
      <c r="DV58" s="268"/>
      <c r="DW58" s="268"/>
      <c r="DX58" s="268"/>
      <c r="DY58" s="268"/>
      <c r="EA58" s="20" t="str">
        <f>FORMULA!$A$57</f>
        <v>L-ARGININE</v>
      </c>
      <c r="EB58" s="91">
        <f>FORMULA!$C57</f>
        <v>0</v>
      </c>
      <c r="EC58" s="92">
        <f>FORMULA!$E57</f>
        <v>0</v>
      </c>
      <c r="ED58" s="92">
        <f>FORMULA!$G57</f>
        <v>0</v>
      </c>
      <c r="EE58" s="92">
        <f>FORMULA!$I57</f>
        <v>0</v>
      </c>
      <c r="EF58" s="92">
        <f>FORMULA!$K57</f>
        <v>0</v>
      </c>
      <c r="EG58" s="92">
        <f>FORMULA!$M57</f>
        <v>0</v>
      </c>
      <c r="EH58" s="92">
        <f>FORMULA!$O57</f>
        <v>0</v>
      </c>
      <c r="EI58" s="92">
        <f>FORMULA!$Q57</f>
        <v>0</v>
      </c>
      <c r="EJ58" s="92">
        <f>FORMULA!$S57</f>
        <v>0</v>
      </c>
      <c r="EK58" s="92">
        <f>FORMULA!$U57</f>
        <v>0</v>
      </c>
      <c r="EL58" s="92">
        <f>FORMULA!$W57</f>
        <v>0</v>
      </c>
      <c r="EM58" s="92">
        <f>FORMULA!$Y57</f>
        <v>0</v>
      </c>
      <c r="EN58" s="92">
        <f>FORMULA!$AA57</f>
        <v>0</v>
      </c>
      <c r="EO58" s="92">
        <f>FORMULA!$AC57</f>
        <v>0</v>
      </c>
      <c r="EP58" s="92">
        <f>FORMULA!$AE57</f>
        <v>0</v>
      </c>
      <c r="EQ58" s="109"/>
      <c r="ER58" s="91">
        <f>FORMULA!$C145</f>
        <v>0</v>
      </c>
      <c r="ES58" s="92">
        <f>FORMULA!$E145</f>
        <v>0</v>
      </c>
      <c r="ET58" s="92">
        <f>FORMULA!$G145</f>
        <v>0</v>
      </c>
      <c r="EU58" s="92">
        <f>FORMULA!$I145</f>
        <v>0</v>
      </c>
      <c r="EV58" s="92">
        <f>FORMULA!$K145</f>
        <v>0</v>
      </c>
      <c r="EW58" s="92">
        <f>FORMULA!$M145</f>
        <v>0</v>
      </c>
      <c r="EX58" s="92">
        <f>FORMULA!$O145</f>
        <v>0</v>
      </c>
      <c r="EY58" s="92">
        <f>FORMULA!$Q145</f>
        <v>0</v>
      </c>
      <c r="EZ58" s="92">
        <f>FORMULA!$S145</f>
        <v>0</v>
      </c>
      <c r="FA58" s="92">
        <f>FORMULA!$U145</f>
        <v>0</v>
      </c>
      <c r="FB58" s="92">
        <f>FORMULA!$W145</f>
        <v>0</v>
      </c>
      <c r="FC58" s="92">
        <f>FORMULA!$Y145</f>
        <v>0</v>
      </c>
      <c r="FD58" s="92">
        <f>FORMULA!$AA145</f>
        <v>0</v>
      </c>
      <c r="FE58" s="92">
        <f>FORMULA!$AC145</f>
        <v>0</v>
      </c>
      <c r="FF58" s="92">
        <f>FORMULA!$AE145</f>
        <v>0</v>
      </c>
      <c r="FG58" s="206"/>
      <c r="FH58" s="91">
        <f>FORMULA!$C233</f>
        <v>0</v>
      </c>
      <c r="FI58" s="92">
        <f>FORMULA!$E233</f>
        <v>0</v>
      </c>
      <c r="FJ58" s="92">
        <f>FORMULA!$G233</f>
        <v>0</v>
      </c>
      <c r="FK58" s="92">
        <f>FORMULA!$I233</f>
        <v>0</v>
      </c>
      <c r="FL58" s="92">
        <f>FORMULA!$K233</f>
        <v>0</v>
      </c>
      <c r="FM58" s="92">
        <f>FORMULA!$M233</f>
        <v>0</v>
      </c>
      <c r="FN58" s="92">
        <f>FORMULA!$O233</f>
        <v>0</v>
      </c>
      <c r="FO58" s="92">
        <f>FORMULA!$Q233</f>
        <v>0</v>
      </c>
      <c r="FP58" s="92">
        <f>FORMULA!$S233</f>
        <v>0</v>
      </c>
      <c r="FQ58" s="92">
        <f>FORMULA!$U233</f>
        <v>0</v>
      </c>
      <c r="FR58" s="92">
        <f>FORMULA!$W233</f>
        <v>0</v>
      </c>
      <c r="FS58" s="92">
        <f>FORMULA!$Y233</f>
        <v>0</v>
      </c>
      <c r="FT58" s="92">
        <f>FORMULA!$AA233</f>
        <v>0</v>
      </c>
      <c r="FU58" s="92">
        <f>FORMULA!$AC233</f>
        <v>0</v>
      </c>
      <c r="FV58" s="92">
        <f>FORMULA!$AE233</f>
        <v>0</v>
      </c>
      <c r="FW58" s="206"/>
      <c r="FX58" s="91">
        <f>FORMULA!$C321</f>
        <v>0</v>
      </c>
      <c r="FY58" s="92">
        <f>FORMULA!$E321</f>
        <v>0</v>
      </c>
      <c r="FZ58" s="92">
        <f>FORMULA!$G321</f>
        <v>0</v>
      </c>
      <c r="GA58" s="92">
        <f>FORMULA!$I321</f>
        <v>0</v>
      </c>
      <c r="GB58" s="92">
        <f>FORMULA!$K321</f>
        <v>0</v>
      </c>
      <c r="GC58" s="92">
        <f>FORMULA!$M321</f>
        <v>0</v>
      </c>
      <c r="GD58" s="92">
        <f>FORMULA!$O321</f>
        <v>0</v>
      </c>
      <c r="GE58" s="92">
        <f>FORMULA!$Q321</f>
        <v>0</v>
      </c>
      <c r="GF58" s="92">
        <f>FORMULA!$S321</f>
        <v>0</v>
      </c>
      <c r="GG58" s="92">
        <f>FORMULA!$U321</f>
        <v>0</v>
      </c>
      <c r="GH58" s="92">
        <f>FORMULA!$W321</f>
        <v>0</v>
      </c>
      <c r="GI58" s="92">
        <f>FORMULA!$Y321</f>
        <v>0</v>
      </c>
      <c r="GJ58" s="92">
        <f>FORMULA!$AA321</f>
        <v>0</v>
      </c>
      <c r="GK58" s="92">
        <f>FORMULA!$AC321</f>
        <v>0</v>
      </c>
      <c r="GL58" s="92">
        <f>FORMULA!$AE321</f>
        <v>0</v>
      </c>
      <c r="GM58" s="207"/>
      <c r="GN58" s="91">
        <f>FORMULA!$C409</f>
        <v>0</v>
      </c>
      <c r="GO58" s="92">
        <f>FORMULA!$E409</f>
        <v>0</v>
      </c>
      <c r="GP58" s="92">
        <f>FORMULA!$G409</f>
        <v>0</v>
      </c>
      <c r="GQ58" s="92">
        <f>FORMULA!$I409</f>
        <v>0</v>
      </c>
      <c r="GR58" s="92">
        <f>FORMULA!$K409</f>
        <v>0</v>
      </c>
      <c r="GS58" s="92">
        <f>FORMULA!$M409</f>
        <v>0</v>
      </c>
      <c r="GT58" s="92">
        <f>FORMULA!$O409</f>
        <v>0</v>
      </c>
      <c r="GU58" s="92">
        <f>FORMULA!$Q409</f>
        <v>0</v>
      </c>
      <c r="GV58" s="92">
        <f>FORMULA!$S409</f>
        <v>0</v>
      </c>
      <c r="GW58" s="92">
        <f>FORMULA!$U409</f>
        <v>0</v>
      </c>
      <c r="GX58" s="92">
        <f>FORMULA!$W409</f>
        <v>0</v>
      </c>
      <c r="GY58" s="92">
        <f>FORMULA!$Y409</f>
        <v>0</v>
      </c>
      <c r="GZ58" s="92">
        <f>FORMULA!$AA409</f>
        <v>0</v>
      </c>
      <c r="HA58" s="92">
        <f>FORMULA!$AC409</f>
        <v>0</v>
      </c>
      <c r="HB58" s="92">
        <f>FORMULA!$AE409</f>
        <v>0</v>
      </c>
      <c r="HC58" s="207"/>
      <c r="HD58" s="91">
        <f>FORMULA!$C497</f>
        <v>0</v>
      </c>
      <c r="HE58" s="92">
        <f>FORMULA!$E497</f>
        <v>0</v>
      </c>
      <c r="HF58" s="92">
        <f>FORMULA!$G497</f>
        <v>0</v>
      </c>
      <c r="HG58" s="92">
        <f>FORMULA!$I497</f>
        <v>0</v>
      </c>
      <c r="HH58" s="92">
        <f>FORMULA!$K497</f>
        <v>0</v>
      </c>
      <c r="HI58" s="92">
        <f>FORMULA!$M497</f>
        <v>0</v>
      </c>
      <c r="HJ58" s="92">
        <f>FORMULA!$O497</f>
        <v>0</v>
      </c>
      <c r="HK58" s="92">
        <f>FORMULA!$Q497</f>
        <v>0</v>
      </c>
      <c r="HL58" s="92">
        <f>FORMULA!$S497</f>
        <v>0</v>
      </c>
      <c r="HM58" s="92">
        <f>FORMULA!$U497</f>
        <v>0</v>
      </c>
      <c r="HN58" s="92">
        <f>FORMULA!$W497</f>
        <v>0</v>
      </c>
      <c r="HO58" s="92">
        <f>FORMULA!$Y497</f>
        <v>0</v>
      </c>
      <c r="HP58" s="92">
        <f>FORMULA!$AA497</f>
        <v>0</v>
      </c>
      <c r="HQ58" s="92">
        <f>FORMULA!$AC497</f>
        <v>0</v>
      </c>
      <c r="HR58" s="92">
        <f>FORMULA!$AE497</f>
        <v>0</v>
      </c>
      <c r="HS58" s="207"/>
      <c r="HT58" s="91">
        <f>FORMULA!$C585</f>
        <v>0</v>
      </c>
      <c r="HU58" s="92">
        <f>FORMULA!$E585</f>
        <v>0</v>
      </c>
      <c r="HV58" s="92">
        <f>FORMULA!$G585</f>
        <v>0</v>
      </c>
      <c r="HW58" s="92">
        <f>FORMULA!$I585</f>
        <v>0</v>
      </c>
      <c r="HX58" s="92">
        <f>FORMULA!$K585</f>
        <v>0</v>
      </c>
      <c r="HY58" s="92">
        <f>FORMULA!$M585</f>
        <v>0</v>
      </c>
      <c r="HZ58" s="92">
        <f>FORMULA!$O585</f>
        <v>0</v>
      </c>
      <c r="IA58" s="92">
        <f>FORMULA!$Q585</f>
        <v>0</v>
      </c>
      <c r="IB58" s="92">
        <f>FORMULA!$S585</f>
        <v>0</v>
      </c>
      <c r="IC58" s="92">
        <f>FORMULA!$U585</f>
        <v>0</v>
      </c>
      <c r="ID58" s="92">
        <f>FORMULA!$W585</f>
        <v>0</v>
      </c>
      <c r="IE58" s="92">
        <f>FORMULA!$Y585</f>
        <v>0</v>
      </c>
      <c r="IF58" s="92">
        <f>FORMULA!$AA585</f>
        <v>0</v>
      </c>
      <c r="IG58" s="92">
        <f>FORMULA!$AC585</f>
        <v>0</v>
      </c>
      <c r="IH58" s="92">
        <f>FORMULA!$AE585</f>
        <v>0</v>
      </c>
      <c r="II58" s="207"/>
      <c r="IJ58" s="91">
        <f>FORMULA!$C673</f>
        <v>0</v>
      </c>
      <c r="IK58" s="92">
        <f>FORMULA!$E673</f>
        <v>0</v>
      </c>
      <c r="IL58" s="92">
        <f>FORMULA!$G673</f>
        <v>0</v>
      </c>
      <c r="IM58" s="92">
        <f>FORMULA!$I673</f>
        <v>0</v>
      </c>
      <c r="IN58" s="92">
        <f>FORMULA!$K673</f>
        <v>0</v>
      </c>
      <c r="IO58" s="92">
        <f>FORMULA!$M673</f>
        <v>0</v>
      </c>
      <c r="IP58" s="92">
        <f>FORMULA!$O673</f>
        <v>0</v>
      </c>
      <c r="IQ58" s="92">
        <f>FORMULA!$Q673</f>
        <v>0</v>
      </c>
      <c r="IR58" s="92">
        <f>FORMULA!$S673</f>
        <v>0</v>
      </c>
      <c r="IS58" s="92">
        <f>FORMULA!$U673</f>
        <v>0</v>
      </c>
      <c r="IT58" s="92">
        <f>FORMULA!$W673</f>
        <v>0</v>
      </c>
      <c r="IU58" s="92">
        <f>FORMULA!$Y673</f>
        <v>0</v>
      </c>
      <c r="IV58" s="92">
        <f>FORMULA!$AA673</f>
        <v>0</v>
      </c>
      <c r="IW58" s="92">
        <f>FORMULA!$AC673</f>
        <v>0</v>
      </c>
      <c r="IX58" s="92">
        <f>FORMULA!$AE673</f>
        <v>0</v>
      </c>
      <c r="IY58" s="208"/>
    </row>
    <row r="59" spans="1:259" outlineLevel="1">
      <c r="A59" s="11">
        <f>'VAC &amp; MED'!C46</f>
        <v>46058</v>
      </c>
      <c r="B59" s="261"/>
      <c r="C59" s="261"/>
      <c r="D59" s="261"/>
      <c r="E59" s="261"/>
      <c r="F59" s="261"/>
      <c r="G59" s="261"/>
      <c r="H59" s="261"/>
      <c r="I59" s="261"/>
      <c r="J59" s="261"/>
      <c r="K59" s="261"/>
      <c r="L59" s="261"/>
      <c r="M59" s="261"/>
      <c r="N59" s="261"/>
      <c r="O59" s="261"/>
      <c r="P59" s="261"/>
      <c r="Q59" s="261"/>
      <c r="R59" s="262"/>
      <c r="S59" s="262"/>
      <c r="T59" s="262"/>
      <c r="U59" s="262"/>
      <c r="V59" s="262"/>
      <c r="W59" s="262"/>
      <c r="X59" s="262"/>
      <c r="Y59" s="262"/>
      <c r="Z59" s="262"/>
      <c r="AA59" s="262"/>
      <c r="AB59" s="262"/>
      <c r="AC59" s="262"/>
      <c r="AD59" s="262"/>
      <c r="AE59" s="262"/>
      <c r="AF59" s="262"/>
      <c r="AG59" s="262"/>
      <c r="AH59" s="263"/>
      <c r="AI59" s="263"/>
      <c r="AJ59" s="263"/>
      <c r="AK59" s="263"/>
      <c r="AL59" s="263"/>
      <c r="AM59" s="263"/>
      <c r="AN59" s="263"/>
      <c r="AO59" s="263"/>
      <c r="AP59" s="263"/>
      <c r="AQ59" s="263"/>
      <c r="AR59" s="263"/>
      <c r="AS59" s="263"/>
      <c r="AT59" s="263"/>
      <c r="AU59" s="263"/>
      <c r="AV59" s="263"/>
      <c r="AW59" s="263"/>
      <c r="AX59" s="264"/>
      <c r="AY59" s="264"/>
      <c r="AZ59" s="264"/>
      <c r="BA59" s="264"/>
      <c r="BB59" s="264"/>
      <c r="BC59" s="264"/>
      <c r="BD59" s="264"/>
      <c r="BE59" s="264"/>
      <c r="BF59" s="264"/>
      <c r="BG59" s="264"/>
      <c r="BH59" s="264"/>
      <c r="BI59" s="264"/>
      <c r="BJ59" s="264"/>
      <c r="BK59" s="264"/>
      <c r="BL59" s="264"/>
      <c r="BM59" s="264"/>
      <c r="BN59" s="265">
        <v>52</v>
      </c>
      <c r="BO59" s="265"/>
      <c r="BP59" s="265"/>
      <c r="BQ59" s="265"/>
      <c r="BR59" s="265"/>
      <c r="BS59" s="265"/>
      <c r="BT59" s="265"/>
      <c r="BU59" s="265"/>
      <c r="BV59" s="265"/>
      <c r="BW59" s="265"/>
      <c r="BX59" s="265"/>
      <c r="BY59" s="265"/>
      <c r="BZ59" s="265">
        <v>26</v>
      </c>
      <c r="CA59" s="265"/>
      <c r="CB59" s="265"/>
      <c r="CC59" s="265"/>
      <c r="CD59" s="266"/>
      <c r="CE59" s="266"/>
      <c r="CF59" s="266"/>
      <c r="CG59" s="266"/>
      <c r="CH59" s="266"/>
      <c r="CI59" s="266"/>
      <c r="CJ59" s="266"/>
      <c r="CK59" s="266"/>
      <c r="CL59" s="266"/>
      <c r="CM59" s="266"/>
      <c r="CN59" s="266"/>
      <c r="CO59" s="266"/>
      <c r="CP59" s="266"/>
      <c r="CQ59" s="266"/>
      <c r="CR59" s="266"/>
      <c r="CS59" s="266"/>
      <c r="CT59" s="267"/>
      <c r="CU59" s="267"/>
      <c r="CV59" s="267"/>
      <c r="CW59" s="267"/>
      <c r="CX59" s="267"/>
      <c r="CY59" s="267"/>
      <c r="CZ59" s="267"/>
      <c r="DA59" s="267"/>
      <c r="DB59" s="267"/>
      <c r="DC59" s="267"/>
      <c r="DD59" s="267"/>
      <c r="DE59" s="267"/>
      <c r="DF59" s="267"/>
      <c r="DG59" s="267"/>
      <c r="DH59" s="267"/>
      <c r="DI59" s="267"/>
      <c r="DJ59" s="268"/>
      <c r="DK59" s="268"/>
      <c r="DL59" s="268"/>
      <c r="DM59" s="268"/>
      <c r="DN59" s="268"/>
      <c r="DO59" s="268"/>
      <c r="DP59" s="268"/>
      <c r="DQ59" s="268"/>
      <c r="DR59" s="268"/>
      <c r="DS59" s="268"/>
      <c r="DT59" s="268"/>
      <c r="DU59" s="268"/>
      <c r="DV59" s="268"/>
      <c r="DW59" s="268"/>
      <c r="DX59" s="268"/>
      <c r="DY59" s="268"/>
      <c r="EA59" s="20" t="str">
        <f>FORMULA!$A$58</f>
        <v>DL-METHIONINE</v>
      </c>
      <c r="EB59" s="91">
        <f>FORMULA!$C58</f>
        <v>0</v>
      </c>
      <c r="EC59" s="92">
        <f>FORMULA!$E58</f>
        <v>0</v>
      </c>
      <c r="ED59" s="92">
        <f>FORMULA!$G58</f>
        <v>0</v>
      </c>
      <c r="EE59" s="92">
        <f>FORMULA!$I58</f>
        <v>0</v>
      </c>
      <c r="EF59" s="92">
        <f>FORMULA!$K58</f>
        <v>0</v>
      </c>
      <c r="EG59" s="92">
        <f>FORMULA!$M58</f>
        <v>0</v>
      </c>
      <c r="EH59" s="92">
        <f>FORMULA!$O58</f>
        <v>0</v>
      </c>
      <c r="EI59" s="92">
        <f>FORMULA!$Q58</f>
        <v>0</v>
      </c>
      <c r="EJ59" s="92">
        <f>FORMULA!$S58</f>
        <v>0</v>
      </c>
      <c r="EK59" s="92">
        <f>FORMULA!$U58</f>
        <v>0</v>
      </c>
      <c r="EL59" s="92">
        <f>FORMULA!$W58</f>
        <v>0</v>
      </c>
      <c r="EM59" s="92">
        <f>FORMULA!$Y58</f>
        <v>0</v>
      </c>
      <c r="EN59" s="92">
        <f>FORMULA!$AA58</f>
        <v>0</v>
      </c>
      <c r="EO59" s="92">
        <f>FORMULA!$AC58</f>
        <v>0</v>
      </c>
      <c r="EP59" s="92">
        <f>FORMULA!$AE58</f>
        <v>0</v>
      </c>
      <c r="EQ59" s="109"/>
      <c r="ER59" s="91">
        <f>FORMULA!$C146</f>
        <v>0</v>
      </c>
      <c r="ES59" s="92">
        <f>FORMULA!$E146</f>
        <v>0</v>
      </c>
      <c r="ET59" s="92">
        <f>FORMULA!$G146</f>
        <v>0</v>
      </c>
      <c r="EU59" s="92">
        <f>FORMULA!$I146</f>
        <v>0</v>
      </c>
      <c r="EV59" s="92">
        <f>FORMULA!$K146</f>
        <v>0</v>
      </c>
      <c r="EW59" s="92">
        <f>FORMULA!$M146</f>
        <v>0</v>
      </c>
      <c r="EX59" s="92">
        <f>FORMULA!$O146</f>
        <v>0</v>
      </c>
      <c r="EY59" s="92">
        <f>FORMULA!$Q146</f>
        <v>0</v>
      </c>
      <c r="EZ59" s="92">
        <f>FORMULA!$S146</f>
        <v>0</v>
      </c>
      <c r="FA59" s="92">
        <f>FORMULA!$U146</f>
        <v>0</v>
      </c>
      <c r="FB59" s="92">
        <f>FORMULA!$W146</f>
        <v>0</v>
      </c>
      <c r="FC59" s="92">
        <f>FORMULA!$Y146</f>
        <v>0</v>
      </c>
      <c r="FD59" s="92">
        <f>FORMULA!$AA146</f>
        <v>0</v>
      </c>
      <c r="FE59" s="92">
        <f>FORMULA!$AC146</f>
        <v>0</v>
      </c>
      <c r="FF59" s="92">
        <f>FORMULA!$AE146</f>
        <v>0</v>
      </c>
      <c r="FG59" s="206"/>
      <c r="FH59" s="91">
        <f>FORMULA!$C234</f>
        <v>0</v>
      </c>
      <c r="FI59" s="92">
        <f>FORMULA!$E234</f>
        <v>0</v>
      </c>
      <c r="FJ59" s="92">
        <f>FORMULA!$G234</f>
        <v>0</v>
      </c>
      <c r="FK59" s="92">
        <f>FORMULA!$I234</f>
        <v>0</v>
      </c>
      <c r="FL59" s="92">
        <f>FORMULA!$K234</f>
        <v>0</v>
      </c>
      <c r="FM59" s="92">
        <f>FORMULA!$M234</f>
        <v>0</v>
      </c>
      <c r="FN59" s="92">
        <f>FORMULA!$O234</f>
        <v>0</v>
      </c>
      <c r="FO59" s="92">
        <f>FORMULA!$Q234</f>
        <v>0</v>
      </c>
      <c r="FP59" s="92">
        <f>FORMULA!$S234</f>
        <v>0</v>
      </c>
      <c r="FQ59" s="92">
        <f>FORMULA!$U234</f>
        <v>0</v>
      </c>
      <c r="FR59" s="92">
        <f>FORMULA!$W234</f>
        <v>0</v>
      </c>
      <c r="FS59" s="92">
        <f>FORMULA!$Y234</f>
        <v>0</v>
      </c>
      <c r="FT59" s="92">
        <f>FORMULA!$AA234</f>
        <v>0</v>
      </c>
      <c r="FU59" s="92">
        <f>FORMULA!$AC234</f>
        <v>0</v>
      </c>
      <c r="FV59" s="92">
        <f>FORMULA!$AE234</f>
        <v>0</v>
      </c>
      <c r="FW59" s="206"/>
      <c r="FX59" s="91">
        <f>FORMULA!$C322</f>
        <v>0</v>
      </c>
      <c r="FY59" s="92">
        <f>FORMULA!$E322</f>
        <v>0</v>
      </c>
      <c r="FZ59" s="92">
        <f>FORMULA!$G322</f>
        <v>0</v>
      </c>
      <c r="GA59" s="92">
        <f>FORMULA!$I322</f>
        <v>0</v>
      </c>
      <c r="GB59" s="92">
        <f>FORMULA!$K322</f>
        <v>0</v>
      </c>
      <c r="GC59" s="92">
        <f>FORMULA!$M322</f>
        <v>0</v>
      </c>
      <c r="GD59" s="92">
        <f>FORMULA!$O322</f>
        <v>0</v>
      </c>
      <c r="GE59" s="92">
        <f>FORMULA!$Q322</f>
        <v>0</v>
      </c>
      <c r="GF59" s="92">
        <f>FORMULA!$S322</f>
        <v>0</v>
      </c>
      <c r="GG59" s="92">
        <f>FORMULA!$U322</f>
        <v>0</v>
      </c>
      <c r="GH59" s="92">
        <f>FORMULA!$W322</f>
        <v>0</v>
      </c>
      <c r="GI59" s="92">
        <f>FORMULA!$Y322</f>
        <v>0</v>
      </c>
      <c r="GJ59" s="92">
        <f>FORMULA!$AA322</f>
        <v>0</v>
      </c>
      <c r="GK59" s="92">
        <f>FORMULA!$AC322</f>
        <v>0</v>
      </c>
      <c r="GL59" s="92">
        <f>FORMULA!$AE322</f>
        <v>0</v>
      </c>
      <c r="GM59" s="207"/>
      <c r="GN59" s="91">
        <f>FORMULA!$C410</f>
        <v>0</v>
      </c>
      <c r="GO59" s="92">
        <f>FORMULA!$E410</f>
        <v>0</v>
      </c>
      <c r="GP59" s="92">
        <f>FORMULA!$G410</f>
        <v>0</v>
      </c>
      <c r="GQ59" s="92">
        <f>FORMULA!$I410</f>
        <v>0</v>
      </c>
      <c r="GR59" s="92">
        <f>FORMULA!$K410</f>
        <v>0</v>
      </c>
      <c r="GS59" s="92">
        <f>FORMULA!$M410</f>
        <v>0</v>
      </c>
      <c r="GT59" s="92">
        <f>FORMULA!$O410</f>
        <v>0</v>
      </c>
      <c r="GU59" s="92">
        <f>FORMULA!$Q410</f>
        <v>0</v>
      </c>
      <c r="GV59" s="92">
        <f>FORMULA!$S410</f>
        <v>0</v>
      </c>
      <c r="GW59" s="92">
        <f>FORMULA!$U410</f>
        <v>0</v>
      </c>
      <c r="GX59" s="92">
        <f>FORMULA!$W410</f>
        <v>0</v>
      </c>
      <c r="GY59" s="92">
        <f>FORMULA!$Y410</f>
        <v>0</v>
      </c>
      <c r="GZ59" s="92">
        <f>FORMULA!$AA410</f>
        <v>0</v>
      </c>
      <c r="HA59" s="92">
        <f>FORMULA!$AC410</f>
        <v>0</v>
      </c>
      <c r="HB59" s="92">
        <f>FORMULA!$AE410</f>
        <v>0</v>
      </c>
      <c r="HC59" s="207"/>
      <c r="HD59" s="91">
        <f>FORMULA!$C498</f>
        <v>0</v>
      </c>
      <c r="HE59" s="92">
        <f>FORMULA!$E498</f>
        <v>0</v>
      </c>
      <c r="HF59" s="92">
        <f>FORMULA!$G498</f>
        <v>0</v>
      </c>
      <c r="HG59" s="92">
        <f>FORMULA!$I498</f>
        <v>0</v>
      </c>
      <c r="HH59" s="92">
        <f>FORMULA!$K498</f>
        <v>0</v>
      </c>
      <c r="HI59" s="92">
        <f>FORMULA!$M498</f>
        <v>0</v>
      </c>
      <c r="HJ59" s="92">
        <f>FORMULA!$O498</f>
        <v>0</v>
      </c>
      <c r="HK59" s="92">
        <f>FORMULA!$Q498</f>
        <v>0</v>
      </c>
      <c r="HL59" s="92">
        <f>FORMULA!$S498</f>
        <v>0</v>
      </c>
      <c r="HM59" s="92">
        <f>FORMULA!$U498</f>
        <v>0</v>
      </c>
      <c r="HN59" s="92">
        <f>FORMULA!$W498</f>
        <v>0</v>
      </c>
      <c r="HO59" s="92">
        <f>FORMULA!$Y498</f>
        <v>0</v>
      </c>
      <c r="HP59" s="92">
        <f>FORMULA!$AA498</f>
        <v>0</v>
      </c>
      <c r="HQ59" s="92">
        <f>FORMULA!$AC498</f>
        <v>0</v>
      </c>
      <c r="HR59" s="92">
        <f>FORMULA!$AE498</f>
        <v>0</v>
      </c>
      <c r="HS59" s="207"/>
      <c r="HT59" s="91">
        <f>FORMULA!$C586</f>
        <v>0</v>
      </c>
      <c r="HU59" s="92">
        <f>FORMULA!$E586</f>
        <v>0</v>
      </c>
      <c r="HV59" s="92">
        <f>FORMULA!$G586</f>
        <v>0</v>
      </c>
      <c r="HW59" s="92">
        <f>FORMULA!$I586</f>
        <v>0</v>
      </c>
      <c r="HX59" s="92">
        <f>FORMULA!$K586</f>
        <v>0</v>
      </c>
      <c r="HY59" s="92">
        <f>FORMULA!$M586</f>
        <v>0</v>
      </c>
      <c r="HZ59" s="92">
        <f>FORMULA!$O586</f>
        <v>0</v>
      </c>
      <c r="IA59" s="92">
        <f>FORMULA!$Q586</f>
        <v>0</v>
      </c>
      <c r="IB59" s="92">
        <f>FORMULA!$S586</f>
        <v>0</v>
      </c>
      <c r="IC59" s="92">
        <f>FORMULA!$U586</f>
        <v>0</v>
      </c>
      <c r="ID59" s="92">
        <f>FORMULA!$W586</f>
        <v>0</v>
      </c>
      <c r="IE59" s="92">
        <f>FORMULA!$Y586</f>
        <v>0</v>
      </c>
      <c r="IF59" s="92">
        <f>FORMULA!$AA586</f>
        <v>0</v>
      </c>
      <c r="IG59" s="92">
        <f>FORMULA!$AC586</f>
        <v>0</v>
      </c>
      <c r="IH59" s="92">
        <f>FORMULA!$AE586</f>
        <v>0</v>
      </c>
      <c r="II59" s="207"/>
      <c r="IJ59" s="91">
        <f>FORMULA!$C674</f>
        <v>0</v>
      </c>
      <c r="IK59" s="92">
        <f>FORMULA!$E674</f>
        <v>0.5</v>
      </c>
      <c r="IL59" s="92">
        <f>FORMULA!$G674</f>
        <v>0</v>
      </c>
      <c r="IM59" s="92">
        <f>FORMULA!$I674</f>
        <v>0</v>
      </c>
      <c r="IN59" s="92">
        <f>FORMULA!$K674</f>
        <v>0</v>
      </c>
      <c r="IO59" s="92">
        <f>FORMULA!$M674</f>
        <v>0</v>
      </c>
      <c r="IP59" s="92">
        <f>FORMULA!$O674</f>
        <v>0</v>
      </c>
      <c r="IQ59" s="92">
        <f>FORMULA!$Q674</f>
        <v>0</v>
      </c>
      <c r="IR59" s="92">
        <f>FORMULA!$S674</f>
        <v>0</v>
      </c>
      <c r="IS59" s="92">
        <f>FORMULA!$U674</f>
        <v>0</v>
      </c>
      <c r="IT59" s="92">
        <f>FORMULA!$W674</f>
        <v>0</v>
      </c>
      <c r="IU59" s="92">
        <f>FORMULA!$Y674</f>
        <v>0</v>
      </c>
      <c r="IV59" s="92">
        <f>FORMULA!$AA674</f>
        <v>0</v>
      </c>
      <c r="IW59" s="92">
        <f>FORMULA!$AC674</f>
        <v>0</v>
      </c>
      <c r="IX59" s="92">
        <f>FORMULA!$AE674</f>
        <v>0</v>
      </c>
      <c r="IY59" s="208"/>
    </row>
    <row r="60" spans="1:259" outlineLevel="1">
      <c r="A60" s="11">
        <f>'VAC &amp; MED'!C47</f>
        <v>46059</v>
      </c>
      <c r="B60" s="261"/>
      <c r="C60" s="261"/>
      <c r="D60" s="261"/>
      <c r="E60" s="261"/>
      <c r="F60" s="261"/>
      <c r="G60" s="261"/>
      <c r="H60" s="261"/>
      <c r="I60" s="261"/>
      <c r="J60" s="261"/>
      <c r="K60" s="261"/>
      <c r="L60" s="261"/>
      <c r="M60" s="261"/>
      <c r="N60" s="261"/>
      <c r="O60" s="261"/>
      <c r="P60" s="261"/>
      <c r="Q60" s="261"/>
      <c r="R60" s="262"/>
      <c r="S60" s="262"/>
      <c r="T60" s="262"/>
      <c r="U60" s="262"/>
      <c r="V60" s="262"/>
      <c r="W60" s="262"/>
      <c r="X60" s="262"/>
      <c r="Y60" s="262"/>
      <c r="Z60" s="262"/>
      <c r="AA60" s="262"/>
      <c r="AB60" s="262"/>
      <c r="AC60" s="262"/>
      <c r="AD60" s="262"/>
      <c r="AE60" s="262"/>
      <c r="AF60" s="262"/>
      <c r="AG60" s="262"/>
      <c r="AH60" s="263"/>
      <c r="AI60" s="263"/>
      <c r="AJ60" s="263"/>
      <c r="AK60" s="263"/>
      <c r="AL60" s="263"/>
      <c r="AM60" s="263"/>
      <c r="AN60" s="263"/>
      <c r="AO60" s="263"/>
      <c r="AP60" s="263"/>
      <c r="AQ60" s="263"/>
      <c r="AR60" s="263"/>
      <c r="AS60" s="263"/>
      <c r="AT60" s="263"/>
      <c r="AU60" s="263"/>
      <c r="AV60" s="263"/>
      <c r="AW60" s="263"/>
      <c r="AX60" s="264"/>
      <c r="AY60" s="264"/>
      <c r="AZ60" s="264"/>
      <c r="BA60" s="264"/>
      <c r="BB60" s="264"/>
      <c r="BC60" s="264"/>
      <c r="BD60" s="264"/>
      <c r="BE60" s="264"/>
      <c r="BF60" s="264"/>
      <c r="BG60" s="264"/>
      <c r="BH60" s="264"/>
      <c r="BI60" s="264"/>
      <c r="BJ60" s="264"/>
      <c r="BK60" s="264"/>
      <c r="BL60" s="264"/>
      <c r="BM60" s="264"/>
      <c r="BN60" s="265"/>
      <c r="BO60" s="265"/>
      <c r="BP60" s="265"/>
      <c r="BQ60" s="265"/>
      <c r="BR60" s="265"/>
      <c r="BS60" s="265"/>
      <c r="BT60" s="265"/>
      <c r="BU60" s="265"/>
      <c r="BV60" s="265"/>
      <c r="BW60" s="265"/>
      <c r="BX60" s="265"/>
      <c r="BY60" s="265"/>
      <c r="BZ60" s="265"/>
      <c r="CA60" s="265"/>
      <c r="CB60" s="265"/>
      <c r="CC60" s="265"/>
      <c r="CD60" s="266"/>
      <c r="CE60" s="266"/>
      <c r="CF60" s="266"/>
      <c r="CG60" s="266"/>
      <c r="CH60" s="266"/>
      <c r="CI60" s="266"/>
      <c r="CJ60" s="266"/>
      <c r="CK60" s="266"/>
      <c r="CL60" s="266"/>
      <c r="CM60" s="266"/>
      <c r="CN60" s="266"/>
      <c r="CO60" s="266"/>
      <c r="CP60" s="266"/>
      <c r="CQ60" s="266"/>
      <c r="CR60" s="266"/>
      <c r="CS60" s="266"/>
      <c r="CT60" s="267">
        <f>2+68</f>
        <v>70</v>
      </c>
      <c r="CU60" s="267"/>
      <c r="CV60" s="267"/>
      <c r="CW60" s="267"/>
      <c r="CX60" s="267"/>
      <c r="CY60" s="267"/>
      <c r="CZ60" s="267"/>
      <c r="DA60" s="267"/>
      <c r="DB60" s="267"/>
      <c r="DC60" s="267"/>
      <c r="DD60" s="267"/>
      <c r="DE60" s="267"/>
      <c r="DF60" s="267"/>
      <c r="DG60" s="267"/>
      <c r="DH60" s="267"/>
      <c r="DI60" s="267"/>
      <c r="DJ60" s="268"/>
      <c r="DK60" s="268"/>
      <c r="DL60" s="268"/>
      <c r="DM60" s="268"/>
      <c r="DN60" s="268"/>
      <c r="DO60" s="268"/>
      <c r="DP60" s="268"/>
      <c r="DQ60" s="268"/>
      <c r="DR60" s="268"/>
      <c r="DS60" s="268"/>
      <c r="DT60" s="268"/>
      <c r="DU60" s="268"/>
      <c r="DV60" s="268"/>
      <c r="DW60" s="268"/>
      <c r="DX60" s="268"/>
      <c r="DY60" s="268"/>
      <c r="EA60" s="20" t="str">
        <f>FORMULA!$A$59</f>
        <v>L-THREONINE</v>
      </c>
      <c r="EB60" s="91">
        <f>FORMULA!$C59</f>
        <v>0</v>
      </c>
      <c r="EC60" s="92">
        <f>FORMULA!$E59</f>
        <v>0</v>
      </c>
      <c r="ED60" s="92">
        <f>FORMULA!$G59</f>
        <v>0</v>
      </c>
      <c r="EE60" s="92">
        <f>FORMULA!$I59</f>
        <v>0</v>
      </c>
      <c r="EF60" s="92">
        <f>FORMULA!$K59</f>
        <v>0</v>
      </c>
      <c r="EG60" s="92">
        <f>FORMULA!$M59</f>
        <v>0</v>
      </c>
      <c r="EH60" s="92">
        <f>FORMULA!$O59</f>
        <v>0</v>
      </c>
      <c r="EI60" s="92">
        <f>FORMULA!$Q59</f>
        <v>0</v>
      </c>
      <c r="EJ60" s="92">
        <f>FORMULA!$S59</f>
        <v>0</v>
      </c>
      <c r="EK60" s="92">
        <f>FORMULA!$U59</f>
        <v>0</v>
      </c>
      <c r="EL60" s="92">
        <f>FORMULA!$W59</f>
        <v>0</v>
      </c>
      <c r="EM60" s="92">
        <f>FORMULA!$Y59</f>
        <v>0</v>
      </c>
      <c r="EN60" s="92">
        <f>FORMULA!$AA59</f>
        <v>0</v>
      </c>
      <c r="EO60" s="92">
        <f>FORMULA!$AC59</f>
        <v>0</v>
      </c>
      <c r="EP60" s="92">
        <f>FORMULA!$AE59</f>
        <v>0</v>
      </c>
      <c r="EQ60" s="109"/>
      <c r="ER60" s="91">
        <f>FORMULA!$C147</f>
        <v>0</v>
      </c>
      <c r="ES60" s="92">
        <f>FORMULA!$E147</f>
        <v>0</v>
      </c>
      <c r="ET60" s="92">
        <f>FORMULA!$G147</f>
        <v>0</v>
      </c>
      <c r="EU60" s="92">
        <f>FORMULA!$I147</f>
        <v>0</v>
      </c>
      <c r="EV60" s="92">
        <f>FORMULA!$K147</f>
        <v>0</v>
      </c>
      <c r="EW60" s="92">
        <f>FORMULA!$M147</f>
        <v>0</v>
      </c>
      <c r="EX60" s="92">
        <f>FORMULA!$O147</f>
        <v>0</v>
      </c>
      <c r="EY60" s="92">
        <f>FORMULA!$Q147</f>
        <v>0</v>
      </c>
      <c r="EZ60" s="92">
        <f>FORMULA!$S147</f>
        <v>0</v>
      </c>
      <c r="FA60" s="92">
        <f>FORMULA!$U147</f>
        <v>0</v>
      </c>
      <c r="FB60" s="92">
        <f>FORMULA!$W147</f>
        <v>0</v>
      </c>
      <c r="FC60" s="92">
        <f>FORMULA!$Y147</f>
        <v>0</v>
      </c>
      <c r="FD60" s="92">
        <f>FORMULA!$AA147</f>
        <v>0</v>
      </c>
      <c r="FE60" s="92">
        <f>FORMULA!$AC147</f>
        <v>0</v>
      </c>
      <c r="FF60" s="92">
        <f>FORMULA!$AE147</f>
        <v>0</v>
      </c>
      <c r="FG60" s="206"/>
      <c r="FH60" s="91">
        <f>FORMULA!$C235</f>
        <v>0</v>
      </c>
      <c r="FI60" s="92">
        <f>FORMULA!$E235</f>
        <v>0</v>
      </c>
      <c r="FJ60" s="92">
        <f>FORMULA!$G235</f>
        <v>0</v>
      </c>
      <c r="FK60" s="92">
        <f>FORMULA!$I235</f>
        <v>0</v>
      </c>
      <c r="FL60" s="92">
        <f>FORMULA!$K235</f>
        <v>0</v>
      </c>
      <c r="FM60" s="92">
        <f>FORMULA!$M235</f>
        <v>0</v>
      </c>
      <c r="FN60" s="92">
        <f>FORMULA!$O235</f>
        <v>0</v>
      </c>
      <c r="FO60" s="92">
        <f>FORMULA!$Q235</f>
        <v>0</v>
      </c>
      <c r="FP60" s="92">
        <f>FORMULA!$S235</f>
        <v>0</v>
      </c>
      <c r="FQ60" s="92">
        <f>FORMULA!$U235</f>
        <v>0</v>
      </c>
      <c r="FR60" s="92">
        <f>FORMULA!$W235</f>
        <v>0</v>
      </c>
      <c r="FS60" s="92">
        <f>FORMULA!$Y235</f>
        <v>0</v>
      </c>
      <c r="FT60" s="92">
        <f>FORMULA!$AA235</f>
        <v>0</v>
      </c>
      <c r="FU60" s="92">
        <f>FORMULA!$AC235</f>
        <v>0</v>
      </c>
      <c r="FV60" s="92">
        <f>FORMULA!$AE235</f>
        <v>0</v>
      </c>
      <c r="FW60" s="206"/>
      <c r="FX60" s="91">
        <f>FORMULA!$C323</f>
        <v>0</v>
      </c>
      <c r="FY60" s="92">
        <f>FORMULA!$E323</f>
        <v>0</v>
      </c>
      <c r="FZ60" s="92">
        <f>FORMULA!$G323</f>
        <v>0</v>
      </c>
      <c r="GA60" s="92">
        <f>FORMULA!$I323</f>
        <v>0</v>
      </c>
      <c r="GB60" s="92">
        <f>FORMULA!$K323</f>
        <v>0</v>
      </c>
      <c r="GC60" s="92">
        <f>FORMULA!$M323</f>
        <v>0</v>
      </c>
      <c r="GD60" s="92">
        <f>FORMULA!$O323</f>
        <v>0</v>
      </c>
      <c r="GE60" s="92">
        <f>FORMULA!$Q323</f>
        <v>0</v>
      </c>
      <c r="GF60" s="92">
        <f>FORMULA!$S323</f>
        <v>0</v>
      </c>
      <c r="GG60" s="92">
        <f>FORMULA!$U323</f>
        <v>0</v>
      </c>
      <c r="GH60" s="92">
        <f>FORMULA!$W323</f>
        <v>0</v>
      </c>
      <c r="GI60" s="92">
        <f>FORMULA!$Y323</f>
        <v>0</v>
      </c>
      <c r="GJ60" s="92">
        <f>FORMULA!$AA323</f>
        <v>0</v>
      </c>
      <c r="GK60" s="92">
        <f>FORMULA!$AC323</f>
        <v>0</v>
      </c>
      <c r="GL60" s="92">
        <f>FORMULA!$AE323</f>
        <v>0</v>
      </c>
      <c r="GM60" s="207"/>
      <c r="GN60" s="91">
        <f>FORMULA!$C411</f>
        <v>0</v>
      </c>
      <c r="GO60" s="92">
        <f>FORMULA!$E411</f>
        <v>0</v>
      </c>
      <c r="GP60" s="92">
        <f>FORMULA!$G411</f>
        <v>0</v>
      </c>
      <c r="GQ60" s="92">
        <f>FORMULA!$I411</f>
        <v>0</v>
      </c>
      <c r="GR60" s="92">
        <f>FORMULA!$K411</f>
        <v>0</v>
      </c>
      <c r="GS60" s="92">
        <f>FORMULA!$M411</f>
        <v>0</v>
      </c>
      <c r="GT60" s="92">
        <f>FORMULA!$O411</f>
        <v>0</v>
      </c>
      <c r="GU60" s="92">
        <f>FORMULA!$Q411</f>
        <v>0</v>
      </c>
      <c r="GV60" s="92">
        <f>FORMULA!$S411</f>
        <v>0</v>
      </c>
      <c r="GW60" s="92">
        <f>FORMULA!$U411</f>
        <v>0</v>
      </c>
      <c r="GX60" s="92">
        <f>FORMULA!$W411</f>
        <v>0</v>
      </c>
      <c r="GY60" s="92">
        <f>FORMULA!$Y411</f>
        <v>0</v>
      </c>
      <c r="GZ60" s="92">
        <f>FORMULA!$AA411</f>
        <v>0</v>
      </c>
      <c r="HA60" s="92">
        <f>FORMULA!$AC411</f>
        <v>0</v>
      </c>
      <c r="HB60" s="92">
        <f>FORMULA!$AE411</f>
        <v>0</v>
      </c>
      <c r="HC60" s="207"/>
      <c r="HD60" s="91">
        <f>FORMULA!$C499</f>
        <v>0</v>
      </c>
      <c r="HE60" s="92">
        <f>FORMULA!$E499</f>
        <v>0</v>
      </c>
      <c r="HF60" s="92">
        <f>FORMULA!$G499</f>
        <v>0</v>
      </c>
      <c r="HG60" s="92">
        <f>FORMULA!$I499</f>
        <v>0</v>
      </c>
      <c r="HH60" s="92">
        <f>FORMULA!$K499</f>
        <v>0</v>
      </c>
      <c r="HI60" s="92">
        <f>FORMULA!$M499</f>
        <v>0</v>
      </c>
      <c r="HJ60" s="92">
        <f>FORMULA!$O499</f>
        <v>0</v>
      </c>
      <c r="HK60" s="92">
        <f>FORMULA!$Q499</f>
        <v>0</v>
      </c>
      <c r="HL60" s="92">
        <f>FORMULA!$S499</f>
        <v>0</v>
      </c>
      <c r="HM60" s="92">
        <f>FORMULA!$U499</f>
        <v>0</v>
      </c>
      <c r="HN60" s="92">
        <f>FORMULA!$W499</f>
        <v>0</v>
      </c>
      <c r="HO60" s="92">
        <f>FORMULA!$Y499</f>
        <v>0</v>
      </c>
      <c r="HP60" s="92">
        <f>FORMULA!$AA499</f>
        <v>0</v>
      </c>
      <c r="HQ60" s="92">
        <f>FORMULA!$AC499</f>
        <v>0</v>
      </c>
      <c r="HR60" s="92">
        <f>FORMULA!$AE499</f>
        <v>0</v>
      </c>
      <c r="HS60" s="207"/>
      <c r="HT60" s="91">
        <f>FORMULA!$C587</f>
        <v>0</v>
      </c>
      <c r="HU60" s="92">
        <f>FORMULA!$E587</f>
        <v>0</v>
      </c>
      <c r="HV60" s="92">
        <f>FORMULA!$G587</f>
        <v>0</v>
      </c>
      <c r="HW60" s="92">
        <f>FORMULA!$I587</f>
        <v>0</v>
      </c>
      <c r="HX60" s="92">
        <f>FORMULA!$K587</f>
        <v>0</v>
      </c>
      <c r="HY60" s="92">
        <f>FORMULA!$M587</f>
        <v>0</v>
      </c>
      <c r="HZ60" s="92">
        <f>FORMULA!$O587</f>
        <v>0</v>
      </c>
      <c r="IA60" s="92">
        <f>FORMULA!$Q587</f>
        <v>0</v>
      </c>
      <c r="IB60" s="92">
        <f>FORMULA!$S587</f>
        <v>0</v>
      </c>
      <c r="IC60" s="92">
        <f>FORMULA!$U587</f>
        <v>0</v>
      </c>
      <c r="ID60" s="92">
        <f>FORMULA!$W587</f>
        <v>0</v>
      </c>
      <c r="IE60" s="92">
        <f>FORMULA!$Y587</f>
        <v>0</v>
      </c>
      <c r="IF60" s="92">
        <f>FORMULA!$AA587</f>
        <v>0</v>
      </c>
      <c r="IG60" s="92">
        <f>FORMULA!$AC587</f>
        <v>0</v>
      </c>
      <c r="IH60" s="92">
        <f>FORMULA!$AE587</f>
        <v>0</v>
      </c>
      <c r="II60" s="207"/>
      <c r="IJ60" s="91">
        <f>FORMULA!$C675</f>
        <v>0</v>
      </c>
      <c r="IK60" s="92">
        <f>FORMULA!$E675</f>
        <v>0.17</v>
      </c>
      <c r="IL60" s="92">
        <f>FORMULA!$G675</f>
        <v>0</v>
      </c>
      <c r="IM60" s="92">
        <f>FORMULA!$I675</f>
        <v>0</v>
      </c>
      <c r="IN60" s="92">
        <f>FORMULA!$K675</f>
        <v>0</v>
      </c>
      <c r="IO60" s="92">
        <f>FORMULA!$M675</f>
        <v>0</v>
      </c>
      <c r="IP60" s="92">
        <f>FORMULA!$O675</f>
        <v>0</v>
      </c>
      <c r="IQ60" s="92">
        <f>FORMULA!$Q675</f>
        <v>0</v>
      </c>
      <c r="IR60" s="92">
        <f>FORMULA!$S675</f>
        <v>0</v>
      </c>
      <c r="IS60" s="92">
        <f>FORMULA!$U675</f>
        <v>0</v>
      </c>
      <c r="IT60" s="92">
        <f>FORMULA!$W675</f>
        <v>0</v>
      </c>
      <c r="IU60" s="92">
        <f>FORMULA!$Y675</f>
        <v>0</v>
      </c>
      <c r="IV60" s="92">
        <f>FORMULA!$AA675</f>
        <v>0</v>
      </c>
      <c r="IW60" s="92">
        <f>FORMULA!$AC675</f>
        <v>0</v>
      </c>
      <c r="IX60" s="92">
        <f>FORMULA!$AE675</f>
        <v>0</v>
      </c>
      <c r="IY60" s="208"/>
    </row>
    <row r="61" spans="1:259" outlineLevel="1">
      <c r="A61" s="11">
        <f>'VAC &amp; MED'!C48</f>
        <v>46060</v>
      </c>
      <c r="B61" s="261"/>
      <c r="C61" s="261"/>
      <c r="D61" s="261"/>
      <c r="E61" s="261"/>
      <c r="F61" s="261"/>
      <c r="G61" s="261"/>
      <c r="H61" s="261"/>
      <c r="I61" s="261"/>
      <c r="J61" s="261"/>
      <c r="K61" s="261"/>
      <c r="L61" s="261"/>
      <c r="M61" s="261"/>
      <c r="N61" s="261"/>
      <c r="O61" s="261"/>
      <c r="P61" s="261"/>
      <c r="Q61" s="261"/>
      <c r="R61" s="262"/>
      <c r="S61" s="262"/>
      <c r="T61" s="262"/>
      <c r="U61" s="262"/>
      <c r="V61" s="262"/>
      <c r="W61" s="262"/>
      <c r="X61" s="262"/>
      <c r="Y61" s="262"/>
      <c r="Z61" s="262"/>
      <c r="AA61" s="262"/>
      <c r="AB61" s="262"/>
      <c r="AC61" s="262"/>
      <c r="AD61" s="262"/>
      <c r="AE61" s="262"/>
      <c r="AF61" s="262"/>
      <c r="AG61" s="262"/>
      <c r="AH61" s="263"/>
      <c r="AI61" s="263"/>
      <c r="AJ61" s="263"/>
      <c r="AK61" s="263"/>
      <c r="AL61" s="263"/>
      <c r="AM61" s="263"/>
      <c r="AN61" s="263"/>
      <c r="AO61" s="263"/>
      <c r="AP61" s="263"/>
      <c r="AQ61" s="263"/>
      <c r="AR61" s="263"/>
      <c r="AS61" s="263"/>
      <c r="AT61" s="263"/>
      <c r="AU61" s="263"/>
      <c r="AV61" s="263"/>
      <c r="AW61" s="263"/>
      <c r="AX61" s="264"/>
      <c r="AY61" s="264"/>
      <c r="AZ61" s="264"/>
      <c r="BA61" s="264"/>
      <c r="BB61" s="264"/>
      <c r="BC61" s="264"/>
      <c r="BD61" s="264"/>
      <c r="BE61" s="264"/>
      <c r="BF61" s="264"/>
      <c r="BG61" s="264"/>
      <c r="BH61" s="264"/>
      <c r="BI61" s="264"/>
      <c r="BJ61" s="264"/>
      <c r="BK61" s="264"/>
      <c r="BL61" s="264"/>
      <c r="BM61" s="264"/>
      <c r="BN61" s="265"/>
      <c r="BO61" s="265"/>
      <c r="BP61" s="265"/>
      <c r="BQ61" s="265"/>
      <c r="BR61" s="265"/>
      <c r="BS61" s="265"/>
      <c r="BT61" s="265"/>
      <c r="BU61" s="265"/>
      <c r="BV61" s="265"/>
      <c r="BW61" s="265"/>
      <c r="BX61" s="265"/>
      <c r="BY61" s="265"/>
      <c r="BZ61" s="265"/>
      <c r="CA61" s="265"/>
      <c r="CB61" s="265"/>
      <c r="CC61" s="265"/>
      <c r="CD61" s="266">
        <v>60</v>
      </c>
      <c r="CE61" s="266"/>
      <c r="CF61" s="266"/>
      <c r="CG61" s="266"/>
      <c r="CH61" s="266"/>
      <c r="CI61" s="266"/>
      <c r="CJ61" s="266"/>
      <c r="CK61" s="266"/>
      <c r="CL61" s="266"/>
      <c r="CM61" s="266"/>
      <c r="CN61" s="266"/>
      <c r="CO61" s="266"/>
      <c r="CP61" s="266"/>
      <c r="CQ61" s="266"/>
      <c r="CR61" s="266"/>
      <c r="CS61" s="266"/>
      <c r="CT61" s="267"/>
      <c r="CU61" s="267"/>
      <c r="CV61" s="267"/>
      <c r="CW61" s="267"/>
      <c r="CX61" s="267"/>
      <c r="CY61" s="267"/>
      <c r="CZ61" s="267"/>
      <c r="DA61" s="267"/>
      <c r="DB61" s="267"/>
      <c r="DC61" s="267"/>
      <c r="DD61" s="267"/>
      <c r="DE61" s="267"/>
      <c r="DF61" s="267"/>
      <c r="DG61" s="267"/>
      <c r="DH61" s="267"/>
      <c r="DI61" s="267"/>
      <c r="DJ61" s="268"/>
      <c r="DK61" s="268"/>
      <c r="DL61" s="268"/>
      <c r="DM61" s="268"/>
      <c r="DN61" s="268"/>
      <c r="DO61" s="268"/>
      <c r="DP61" s="268"/>
      <c r="DQ61" s="268"/>
      <c r="DR61" s="268"/>
      <c r="DS61" s="268"/>
      <c r="DT61" s="268"/>
      <c r="DU61" s="268"/>
      <c r="DV61" s="268"/>
      <c r="DW61" s="268"/>
      <c r="DX61" s="268"/>
      <c r="DY61" s="268"/>
      <c r="EA61" s="20" t="str">
        <f>FORMULA!$A$60</f>
        <v>L-LYSINE</v>
      </c>
      <c r="EB61" s="91">
        <f>FORMULA!$C60</f>
        <v>0</v>
      </c>
      <c r="EC61" s="92">
        <f>FORMULA!$E60</f>
        <v>0</v>
      </c>
      <c r="ED61" s="92">
        <f>FORMULA!$G60</f>
        <v>0</v>
      </c>
      <c r="EE61" s="92">
        <f>FORMULA!$I60</f>
        <v>0</v>
      </c>
      <c r="EF61" s="92">
        <f>FORMULA!$K60</f>
        <v>0</v>
      </c>
      <c r="EG61" s="92">
        <f>FORMULA!$M60</f>
        <v>0</v>
      </c>
      <c r="EH61" s="92">
        <f>FORMULA!$O60</f>
        <v>0</v>
      </c>
      <c r="EI61" s="92">
        <f>FORMULA!$Q60</f>
        <v>0</v>
      </c>
      <c r="EJ61" s="92">
        <f>FORMULA!$S60</f>
        <v>0</v>
      </c>
      <c r="EK61" s="92">
        <f>FORMULA!$U60</f>
        <v>0</v>
      </c>
      <c r="EL61" s="92">
        <f>FORMULA!$W60</f>
        <v>0</v>
      </c>
      <c r="EM61" s="92">
        <f>FORMULA!$Y60</f>
        <v>0</v>
      </c>
      <c r="EN61" s="92">
        <f>FORMULA!$AA60</f>
        <v>0</v>
      </c>
      <c r="EO61" s="92">
        <f>FORMULA!$AC60</f>
        <v>0</v>
      </c>
      <c r="EP61" s="92">
        <f>FORMULA!$AE60</f>
        <v>0</v>
      </c>
      <c r="EQ61" s="109"/>
      <c r="ER61" s="91">
        <f>FORMULA!$C148</f>
        <v>0</v>
      </c>
      <c r="ES61" s="92">
        <f>FORMULA!$E148</f>
        <v>0</v>
      </c>
      <c r="ET61" s="92">
        <f>FORMULA!$G148</f>
        <v>0</v>
      </c>
      <c r="EU61" s="92">
        <f>FORMULA!$I148</f>
        <v>0</v>
      </c>
      <c r="EV61" s="92">
        <f>FORMULA!$K148</f>
        <v>0</v>
      </c>
      <c r="EW61" s="92">
        <f>FORMULA!$M148</f>
        <v>0</v>
      </c>
      <c r="EX61" s="92">
        <f>FORMULA!$O148</f>
        <v>0</v>
      </c>
      <c r="EY61" s="92">
        <f>FORMULA!$Q148</f>
        <v>0</v>
      </c>
      <c r="EZ61" s="92">
        <f>FORMULA!$S148</f>
        <v>0</v>
      </c>
      <c r="FA61" s="92">
        <f>FORMULA!$U148</f>
        <v>0</v>
      </c>
      <c r="FB61" s="92">
        <f>FORMULA!$W148</f>
        <v>0</v>
      </c>
      <c r="FC61" s="92">
        <f>FORMULA!$Y148</f>
        <v>0</v>
      </c>
      <c r="FD61" s="92">
        <f>FORMULA!$AA148</f>
        <v>0</v>
      </c>
      <c r="FE61" s="92">
        <f>FORMULA!$AC148</f>
        <v>0</v>
      </c>
      <c r="FF61" s="92">
        <f>FORMULA!$AE148</f>
        <v>0</v>
      </c>
      <c r="FG61" s="206"/>
      <c r="FH61" s="91">
        <f>FORMULA!$C236</f>
        <v>0</v>
      </c>
      <c r="FI61" s="92">
        <f>FORMULA!$E236</f>
        <v>0</v>
      </c>
      <c r="FJ61" s="92">
        <f>FORMULA!$G236</f>
        <v>0</v>
      </c>
      <c r="FK61" s="92">
        <f>FORMULA!$I236</f>
        <v>0</v>
      </c>
      <c r="FL61" s="92">
        <f>FORMULA!$K236</f>
        <v>0</v>
      </c>
      <c r="FM61" s="92">
        <f>FORMULA!$M236</f>
        <v>0</v>
      </c>
      <c r="FN61" s="92">
        <f>FORMULA!$O236</f>
        <v>0</v>
      </c>
      <c r="FO61" s="92">
        <f>FORMULA!$Q236</f>
        <v>0</v>
      </c>
      <c r="FP61" s="92">
        <f>FORMULA!$S236</f>
        <v>0</v>
      </c>
      <c r="FQ61" s="92">
        <f>FORMULA!$U236</f>
        <v>0</v>
      </c>
      <c r="FR61" s="92">
        <f>FORMULA!$W236</f>
        <v>0</v>
      </c>
      <c r="FS61" s="92">
        <f>FORMULA!$Y236</f>
        <v>0</v>
      </c>
      <c r="FT61" s="92">
        <f>FORMULA!$AA236</f>
        <v>0</v>
      </c>
      <c r="FU61" s="92">
        <f>FORMULA!$AC236</f>
        <v>0</v>
      </c>
      <c r="FV61" s="92">
        <f>FORMULA!$AE236</f>
        <v>0</v>
      </c>
      <c r="FW61" s="206"/>
      <c r="FX61" s="91">
        <f>FORMULA!$C324</f>
        <v>0</v>
      </c>
      <c r="FY61" s="92">
        <f>FORMULA!$E324</f>
        <v>0</v>
      </c>
      <c r="FZ61" s="92">
        <f>FORMULA!$G324</f>
        <v>0</v>
      </c>
      <c r="GA61" s="92">
        <f>FORMULA!$I324</f>
        <v>0</v>
      </c>
      <c r="GB61" s="92">
        <f>FORMULA!$K324</f>
        <v>0</v>
      </c>
      <c r="GC61" s="92">
        <f>FORMULA!$M324</f>
        <v>0</v>
      </c>
      <c r="GD61" s="92">
        <f>FORMULA!$O324</f>
        <v>0</v>
      </c>
      <c r="GE61" s="92">
        <f>FORMULA!$Q324</f>
        <v>0</v>
      </c>
      <c r="GF61" s="92">
        <f>FORMULA!$S324</f>
        <v>0</v>
      </c>
      <c r="GG61" s="92">
        <f>FORMULA!$U324</f>
        <v>0</v>
      </c>
      <c r="GH61" s="92">
        <f>FORMULA!$W324</f>
        <v>0</v>
      </c>
      <c r="GI61" s="92">
        <f>FORMULA!$Y324</f>
        <v>0</v>
      </c>
      <c r="GJ61" s="92">
        <f>FORMULA!$AA324</f>
        <v>0</v>
      </c>
      <c r="GK61" s="92">
        <f>FORMULA!$AC324</f>
        <v>0</v>
      </c>
      <c r="GL61" s="92">
        <f>FORMULA!$AE324</f>
        <v>0</v>
      </c>
      <c r="GM61" s="207"/>
      <c r="GN61" s="91">
        <f>FORMULA!$C412</f>
        <v>0</v>
      </c>
      <c r="GO61" s="92">
        <f>FORMULA!$E412</f>
        <v>0</v>
      </c>
      <c r="GP61" s="92">
        <f>FORMULA!$G412</f>
        <v>0</v>
      </c>
      <c r="GQ61" s="92">
        <f>FORMULA!$I412</f>
        <v>0</v>
      </c>
      <c r="GR61" s="92">
        <f>FORMULA!$K412</f>
        <v>0</v>
      </c>
      <c r="GS61" s="92">
        <f>FORMULA!$M412</f>
        <v>0</v>
      </c>
      <c r="GT61" s="92">
        <f>FORMULA!$O412</f>
        <v>0</v>
      </c>
      <c r="GU61" s="92">
        <f>FORMULA!$Q412</f>
        <v>0</v>
      </c>
      <c r="GV61" s="92">
        <f>FORMULA!$S412</f>
        <v>0</v>
      </c>
      <c r="GW61" s="92">
        <f>FORMULA!$U412</f>
        <v>0</v>
      </c>
      <c r="GX61" s="92">
        <f>FORMULA!$W412</f>
        <v>0</v>
      </c>
      <c r="GY61" s="92">
        <f>FORMULA!$Y412</f>
        <v>0</v>
      </c>
      <c r="GZ61" s="92">
        <f>FORMULA!$AA412</f>
        <v>0</v>
      </c>
      <c r="HA61" s="92">
        <f>FORMULA!$AC412</f>
        <v>0</v>
      </c>
      <c r="HB61" s="92">
        <f>FORMULA!$AE412</f>
        <v>0</v>
      </c>
      <c r="HC61" s="207"/>
      <c r="HD61" s="91">
        <f>FORMULA!$C500</f>
        <v>0</v>
      </c>
      <c r="HE61" s="92">
        <f>FORMULA!$E500</f>
        <v>0</v>
      </c>
      <c r="HF61" s="92">
        <f>FORMULA!$G500</f>
        <v>0</v>
      </c>
      <c r="HG61" s="92">
        <f>FORMULA!$I500</f>
        <v>0</v>
      </c>
      <c r="HH61" s="92">
        <f>FORMULA!$K500</f>
        <v>0</v>
      </c>
      <c r="HI61" s="92">
        <f>FORMULA!$M500</f>
        <v>0</v>
      </c>
      <c r="HJ61" s="92">
        <f>FORMULA!$O500</f>
        <v>0</v>
      </c>
      <c r="HK61" s="92">
        <f>FORMULA!$Q500</f>
        <v>0</v>
      </c>
      <c r="HL61" s="92">
        <f>FORMULA!$S500</f>
        <v>0</v>
      </c>
      <c r="HM61" s="92">
        <f>FORMULA!$U500</f>
        <v>0</v>
      </c>
      <c r="HN61" s="92">
        <f>FORMULA!$W500</f>
        <v>0</v>
      </c>
      <c r="HO61" s="92">
        <f>FORMULA!$Y500</f>
        <v>0</v>
      </c>
      <c r="HP61" s="92">
        <f>FORMULA!$AA500</f>
        <v>0</v>
      </c>
      <c r="HQ61" s="92">
        <f>FORMULA!$AC500</f>
        <v>0</v>
      </c>
      <c r="HR61" s="92">
        <f>FORMULA!$AE500</f>
        <v>0</v>
      </c>
      <c r="HS61" s="207"/>
      <c r="HT61" s="91">
        <f>FORMULA!$C588</f>
        <v>0</v>
      </c>
      <c r="HU61" s="92">
        <f>FORMULA!$E588</f>
        <v>0</v>
      </c>
      <c r="HV61" s="92">
        <f>FORMULA!$G588</f>
        <v>0</v>
      </c>
      <c r="HW61" s="92">
        <f>FORMULA!$I588</f>
        <v>0</v>
      </c>
      <c r="HX61" s="92">
        <f>FORMULA!$K588</f>
        <v>0</v>
      </c>
      <c r="HY61" s="92">
        <f>FORMULA!$M588</f>
        <v>0</v>
      </c>
      <c r="HZ61" s="92">
        <f>FORMULA!$O588</f>
        <v>0</v>
      </c>
      <c r="IA61" s="92">
        <f>FORMULA!$Q588</f>
        <v>0</v>
      </c>
      <c r="IB61" s="92">
        <f>FORMULA!$S588</f>
        <v>0</v>
      </c>
      <c r="IC61" s="92">
        <f>FORMULA!$U588</f>
        <v>0</v>
      </c>
      <c r="ID61" s="92">
        <f>FORMULA!$W588</f>
        <v>0</v>
      </c>
      <c r="IE61" s="92">
        <f>FORMULA!$Y588</f>
        <v>0</v>
      </c>
      <c r="IF61" s="92">
        <f>FORMULA!$AA588</f>
        <v>0</v>
      </c>
      <c r="IG61" s="92">
        <f>FORMULA!$AC588</f>
        <v>0</v>
      </c>
      <c r="IH61" s="92">
        <f>FORMULA!$AE588</f>
        <v>0</v>
      </c>
      <c r="II61" s="207"/>
      <c r="IJ61" s="91">
        <f>FORMULA!$C676</f>
        <v>0</v>
      </c>
      <c r="IK61" s="92">
        <f>FORMULA!$E676</f>
        <v>0</v>
      </c>
      <c r="IL61" s="92">
        <f>FORMULA!$G676</f>
        <v>0</v>
      </c>
      <c r="IM61" s="92">
        <f>FORMULA!$I676</f>
        <v>0</v>
      </c>
      <c r="IN61" s="92">
        <f>FORMULA!$K676</f>
        <v>0</v>
      </c>
      <c r="IO61" s="92">
        <f>FORMULA!$M676</f>
        <v>0</v>
      </c>
      <c r="IP61" s="92">
        <f>FORMULA!$O676</f>
        <v>0</v>
      </c>
      <c r="IQ61" s="92">
        <f>FORMULA!$Q676</f>
        <v>0</v>
      </c>
      <c r="IR61" s="92">
        <f>FORMULA!$S676</f>
        <v>0</v>
      </c>
      <c r="IS61" s="92">
        <f>FORMULA!$U676</f>
        <v>0</v>
      </c>
      <c r="IT61" s="92">
        <f>FORMULA!$W676</f>
        <v>0</v>
      </c>
      <c r="IU61" s="92">
        <f>FORMULA!$Y676</f>
        <v>0</v>
      </c>
      <c r="IV61" s="92">
        <f>FORMULA!$AA676</f>
        <v>0</v>
      </c>
      <c r="IW61" s="92">
        <f>FORMULA!$AC676</f>
        <v>0</v>
      </c>
      <c r="IX61" s="92">
        <f>FORMULA!$AE676</f>
        <v>0</v>
      </c>
      <c r="IY61" s="208"/>
    </row>
    <row r="62" spans="1:259" outlineLevel="1">
      <c r="A62" s="11">
        <f>'VAC &amp; MED'!C49</f>
        <v>46061</v>
      </c>
      <c r="B62" s="261"/>
      <c r="C62" s="261"/>
      <c r="D62" s="261"/>
      <c r="E62" s="261"/>
      <c r="F62" s="261"/>
      <c r="G62" s="261"/>
      <c r="H62" s="261"/>
      <c r="I62" s="261"/>
      <c r="J62" s="261"/>
      <c r="K62" s="261"/>
      <c r="L62" s="261"/>
      <c r="M62" s="261"/>
      <c r="N62" s="261"/>
      <c r="O62" s="261"/>
      <c r="P62" s="261"/>
      <c r="Q62" s="261"/>
      <c r="R62" s="262"/>
      <c r="S62" s="262"/>
      <c r="T62" s="262"/>
      <c r="U62" s="262"/>
      <c r="V62" s="262"/>
      <c r="W62" s="262"/>
      <c r="X62" s="262"/>
      <c r="Y62" s="262"/>
      <c r="Z62" s="262"/>
      <c r="AA62" s="262"/>
      <c r="AB62" s="262"/>
      <c r="AC62" s="262"/>
      <c r="AD62" s="262"/>
      <c r="AE62" s="262"/>
      <c r="AF62" s="262"/>
      <c r="AG62" s="262"/>
      <c r="AH62" s="263"/>
      <c r="AI62" s="263"/>
      <c r="AJ62" s="263"/>
      <c r="AK62" s="263"/>
      <c r="AL62" s="263"/>
      <c r="AM62" s="263"/>
      <c r="AN62" s="263"/>
      <c r="AO62" s="263"/>
      <c r="AP62" s="263"/>
      <c r="AQ62" s="263"/>
      <c r="AR62" s="263"/>
      <c r="AS62" s="263"/>
      <c r="AT62" s="263"/>
      <c r="AU62" s="263"/>
      <c r="AV62" s="263"/>
      <c r="AW62" s="263"/>
      <c r="AX62" s="264"/>
      <c r="AY62" s="264"/>
      <c r="AZ62" s="264"/>
      <c r="BA62" s="264"/>
      <c r="BB62" s="264"/>
      <c r="BC62" s="264"/>
      <c r="BD62" s="264"/>
      <c r="BE62" s="264"/>
      <c r="BF62" s="264"/>
      <c r="BG62" s="264"/>
      <c r="BH62" s="264"/>
      <c r="BI62" s="264"/>
      <c r="BJ62" s="264"/>
      <c r="BK62" s="264"/>
      <c r="BL62" s="264"/>
      <c r="BM62" s="264"/>
      <c r="BN62" s="265"/>
      <c r="BO62" s="265"/>
      <c r="BP62" s="265"/>
      <c r="BQ62" s="265"/>
      <c r="BR62" s="265"/>
      <c r="BS62" s="265"/>
      <c r="BT62" s="265"/>
      <c r="BU62" s="265"/>
      <c r="BV62" s="265"/>
      <c r="BW62" s="265"/>
      <c r="BX62" s="265"/>
      <c r="BY62" s="265"/>
      <c r="BZ62" s="265"/>
      <c r="CA62" s="265"/>
      <c r="CB62" s="265"/>
      <c r="CC62" s="265"/>
      <c r="CD62" s="266"/>
      <c r="CE62" s="266"/>
      <c r="CF62" s="266"/>
      <c r="CG62" s="266"/>
      <c r="CH62" s="266"/>
      <c r="CI62" s="266"/>
      <c r="CJ62" s="266"/>
      <c r="CK62" s="266"/>
      <c r="CL62" s="266"/>
      <c r="CM62" s="266"/>
      <c r="CN62" s="266"/>
      <c r="CO62" s="266"/>
      <c r="CP62" s="266"/>
      <c r="CQ62" s="266"/>
      <c r="CR62" s="266"/>
      <c r="CS62" s="266"/>
      <c r="CT62" s="267"/>
      <c r="CU62" s="267"/>
      <c r="CV62" s="267"/>
      <c r="CW62" s="267"/>
      <c r="CX62" s="267"/>
      <c r="CY62" s="267"/>
      <c r="CZ62" s="267"/>
      <c r="DA62" s="267"/>
      <c r="DB62" s="267"/>
      <c r="DC62" s="267"/>
      <c r="DD62" s="267"/>
      <c r="DE62" s="267"/>
      <c r="DF62" s="267"/>
      <c r="DG62" s="267"/>
      <c r="DH62" s="267"/>
      <c r="DI62" s="267"/>
      <c r="DJ62" s="268"/>
      <c r="DK62" s="268"/>
      <c r="DL62" s="268"/>
      <c r="DM62" s="268"/>
      <c r="DN62" s="268"/>
      <c r="DO62" s="268"/>
      <c r="DP62" s="268"/>
      <c r="DQ62" s="268"/>
      <c r="DR62" s="268"/>
      <c r="DS62" s="268"/>
      <c r="DT62" s="268"/>
      <c r="DU62" s="268"/>
      <c r="DV62" s="268"/>
      <c r="DW62" s="268"/>
      <c r="DX62" s="268"/>
      <c r="DY62" s="268"/>
      <c r="EA62" s="20" t="str">
        <f>FORMULA!$A$61</f>
        <v>FAECES DRY</v>
      </c>
      <c r="EB62" s="91">
        <f>FORMULA!$C61</f>
        <v>0</v>
      </c>
      <c r="EC62" s="92">
        <f>FORMULA!$E61</f>
        <v>0</v>
      </c>
      <c r="ED62" s="92">
        <f>FORMULA!$G61</f>
        <v>0</v>
      </c>
      <c r="EE62" s="92">
        <f>FORMULA!$I61</f>
        <v>0</v>
      </c>
      <c r="EF62" s="92">
        <f>FORMULA!$K61</f>
        <v>0</v>
      </c>
      <c r="EG62" s="92">
        <f>FORMULA!$M61</f>
        <v>0</v>
      </c>
      <c r="EH62" s="92">
        <f>FORMULA!$O61</f>
        <v>0</v>
      </c>
      <c r="EI62" s="92">
        <f>FORMULA!$Q61</f>
        <v>0</v>
      </c>
      <c r="EJ62" s="92">
        <f>FORMULA!$S61</f>
        <v>0</v>
      </c>
      <c r="EK62" s="92">
        <f>FORMULA!$U61</f>
        <v>0</v>
      </c>
      <c r="EL62" s="92">
        <f>FORMULA!$W61</f>
        <v>0</v>
      </c>
      <c r="EM62" s="92">
        <f>FORMULA!$Y61</f>
        <v>0</v>
      </c>
      <c r="EN62" s="92">
        <f>FORMULA!$AA61</f>
        <v>0</v>
      </c>
      <c r="EO62" s="92">
        <f>FORMULA!$AC61</f>
        <v>0</v>
      </c>
      <c r="EP62" s="92">
        <f>FORMULA!$AE61</f>
        <v>0</v>
      </c>
      <c r="EQ62" s="108"/>
      <c r="ER62" s="91">
        <f>FORMULA!$C149</f>
        <v>0</v>
      </c>
      <c r="ES62" s="92">
        <f>FORMULA!$E149</f>
        <v>0</v>
      </c>
      <c r="ET62" s="92">
        <f>FORMULA!$G149</f>
        <v>0</v>
      </c>
      <c r="EU62" s="92">
        <f>FORMULA!$I149</f>
        <v>0</v>
      </c>
      <c r="EV62" s="92">
        <f>FORMULA!$K149</f>
        <v>0</v>
      </c>
      <c r="EW62" s="92">
        <f>FORMULA!$M149</f>
        <v>0</v>
      </c>
      <c r="EX62" s="92">
        <f>FORMULA!$O149</f>
        <v>0</v>
      </c>
      <c r="EY62" s="92">
        <f>FORMULA!$Q149</f>
        <v>0</v>
      </c>
      <c r="EZ62" s="92">
        <f>FORMULA!$S149</f>
        <v>0</v>
      </c>
      <c r="FA62" s="92">
        <f>FORMULA!$U149</f>
        <v>0</v>
      </c>
      <c r="FB62" s="92">
        <f>FORMULA!$W149</f>
        <v>0</v>
      </c>
      <c r="FC62" s="92">
        <f>FORMULA!$Y149</f>
        <v>0</v>
      </c>
      <c r="FD62" s="92">
        <f>FORMULA!$AA149</f>
        <v>0</v>
      </c>
      <c r="FE62" s="92">
        <f>FORMULA!$AC149</f>
        <v>0</v>
      </c>
      <c r="FF62" s="92">
        <f>FORMULA!$AE149</f>
        <v>0</v>
      </c>
      <c r="FG62" s="94"/>
      <c r="FH62" s="91">
        <f>FORMULA!$C237</f>
        <v>0</v>
      </c>
      <c r="FI62" s="92">
        <f>FORMULA!$E237</f>
        <v>0</v>
      </c>
      <c r="FJ62" s="92">
        <f>FORMULA!$G237</f>
        <v>0</v>
      </c>
      <c r="FK62" s="92">
        <f>FORMULA!$I237</f>
        <v>0</v>
      </c>
      <c r="FL62" s="92">
        <f>FORMULA!$K237</f>
        <v>0</v>
      </c>
      <c r="FM62" s="92">
        <f>FORMULA!$M237</f>
        <v>0</v>
      </c>
      <c r="FN62" s="92">
        <f>FORMULA!$O237</f>
        <v>0</v>
      </c>
      <c r="FO62" s="92">
        <f>FORMULA!$Q237</f>
        <v>0</v>
      </c>
      <c r="FP62" s="92">
        <f>FORMULA!$S237</f>
        <v>0</v>
      </c>
      <c r="FQ62" s="92">
        <f>FORMULA!$U237</f>
        <v>0</v>
      </c>
      <c r="FR62" s="92">
        <f>FORMULA!$W237</f>
        <v>0</v>
      </c>
      <c r="FS62" s="92">
        <f>FORMULA!$Y237</f>
        <v>0</v>
      </c>
      <c r="FT62" s="92">
        <f>FORMULA!$AA237</f>
        <v>0</v>
      </c>
      <c r="FU62" s="92">
        <f>FORMULA!$AC237</f>
        <v>0</v>
      </c>
      <c r="FV62" s="92">
        <f>FORMULA!$AE237</f>
        <v>0</v>
      </c>
      <c r="FW62" s="94"/>
      <c r="FX62" s="91">
        <f>FORMULA!$C325</f>
        <v>0</v>
      </c>
      <c r="FY62" s="92">
        <f>FORMULA!$E325</f>
        <v>0</v>
      </c>
      <c r="FZ62" s="92">
        <f>FORMULA!$G325</f>
        <v>0</v>
      </c>
      <c r="GA62" s="92">
        <f>FORMULA!$I325</f>
        <v>0</v>
      </c>
      <c r="GB62" s="92">
        <f>FORMULA!$K325</f>
        <v>0</v>
      </c>
      <c r="GC62" s="92">
        <f>FORMULA!$M325</f>
        <v>0</v>
      </c>
      <c r="GD62" s="92">
        <f>FORMULA!$O325</f>
        <v>0</v>
      </c>
      <c r="GE62" s="92">
        <f>FORMULA!$Q325</f>
        <v>0</v>
      </c>
      <c r="GF62" s="92">
        <f>FORMULA!$S325</f>
        <v>0</v>
      </c>
      <c r="GG62" s="92">
        <f>FORMULA!$U325</f>
        <v>0</v>
      </c>
      <c r="GH62" s="92">
        <f>FORMULA!$W325</f>
        <v>0</v>
      </c>
      <c r="GI62" s="92">
        <f>FORMULA!$Y325</f>
        <v>0</v>
      </c>
      <c r="GJ62" s="92">
        <f>FORMULA!$AA325</f>
        <v>0</v>
      </c>
      <c r="GK62" s="92">
        <f>FORMULA!$AC325</f>
        <v>0</v>
      </c>
      <c r="GL62" s="92">
        <f>FORMULA!$AE325</f>
        <v>0</v>
      </c>
      <c r="GM62" s="207"/>
      <c r="GN62" s="91">
        <f>FORMULA!$C413</f>
        <v>0</v>
      </c>
      <c r="GO62" s="92">
        <f>FORMULA!$E413</f>
        <v>0</v>
      </c>
      <c r="GP62" s="92">
        <f>FORMULA!$G413</f>
        <v>0</v>
      </c>
      <c r="GQ62" s="92">
        <f>FORMULA!$I413</f>
        <v>0</v>
      </c>
      <c r="GR62" s="92">
        <f>FORMULA!$K413</f>
        <v>0</v>
      </c>
      <c r="GS62" s="92">
        <f>FORMULA!$M413</f>
        <v>0</v>
      </c>
      <c r="GT62" s="92">
        <f>FORMULA!$O413</f>
        <v>0</v>
      </c>
      <c r="GU62" s="92">
        <f>FORMULA!$Q413</f>
        <v>0</v>
      </c>
      <c r="GV62" s="92">
        <f>FORMULA!$S413</f>
        <v>0</v>
      </c>
      <c r="GW62" s="92">
        <f>FORMULA!$U413</f>
        <v>0</v>
      </c>
      <c r="GX62" s="92">
        <f>FORMULA!$W413</f>
        <v>0</v>
      </c>
      <c r="GY62" s="92">
        <f>FORMULA!$Y413</f>
        <v>0</v>
      </c>
      <c r="GZ62" s="92">
        <f>FORMULA!$AA413</f>
        <v>0</v>
      </c>
      <c r="HA62" s="92">
        <f>FORMULA!$AC413</f>
        <v>0</v>
      </c>
      <c r="HB62" s="92">
        <f>FORMULA!$AE413</f>
        <v>0</v>
      </c>
      <c r="HC62" s="207"/>
      <c r="HD62" s="91">
        <f>FORMULA!$C501</f>
        <v>0</v>
      </c>
      <c r="HE62" s="92">
        <f>FORMULA!$E501</f>
        <v>0</v>
      </c>
      <c r="HF62" s="92">
        <f>FORMULA!$G501</f>
        <v>0</v>
      </c>
      <c r="HG62" s="92">
        <f>FORMULA!$I501</f>
        <v>0</v>
      </c>
      <c r="HH62" s="92">
        <f>FORMULA!$K501</f>
        <v>0</v>
      </c>
      <c r="HI62" s="92">
        <f>FORMULA!$M501</f>
        <v>0</v>
      </c>
      <c r="HJ62" s="92">
        <f>FORMULA!$O501</f>
        <v>0</v>
      </c>
      <c r="HK62" s="92">
        <f>FORMULA!$Q501</f>
        <v>0</v>
      </c>
      <c r="HL62" s="92">
        <f>FORMULA!$S501</f>
        <v>0</v>
      </c>
      <c r="HM62" s="92">
        <f>FORMULA!$U501</f>
        <v>0</v>
      </c>
      <c r="HN62" s="92">
        <f>FORMULA!$W501</f>
        <v>0</v>
      </c>
      <c r="HO62" s="92">
        <f>FORMULA!$Y501</f>
        <v>0</v>
      </c>
      <c r="HP62" s="92">
        <f>FORMULA!$AA501</f>
        <v>0</v>
      </c>
      <c r="HQ62" s="92">
        <f>FORMULA!$AC501</f>
        <v>0</v>
      </c>
      <c r="HR62" s="92">
        <f>FORMULA!$AE501</f>
        <v>0</v>
      </c>
      <c r="HS62" s="207"/>
      <c r="HT62" s="91">
        <f>FORMULA!$C589</f>
        <v>0</v>
      </c>
      <c r="HU62" s="92">
        <f>FORMULA!$E589</f>
        <v>0</v>
      </c>
      <c r="HV62" s="92">
        <f>FORMULA!$G589</f>
        <v>0</v>
      </c>
      <c r="HW62" s="92">
        <f>FORMULA!$I589</f>
        <v>0</v>
      </c>
      <c r="HX62" s="92">
        <f>FORMULA!$K589</f>
        <v>0</v>
      </c>
      <c r="HY62" s="92">
        <f>FORMULA!$M589</f>
        <v>0</v>
      </c>
      <c r="HZ62" s="92">
        <f>FORMULA!$O589</f>
        <v>0</v>
      </c>
      <c r="IA62" s="92">
        <f>FORMULA!$Q589</f>
        <v>0</v>
      </c>
      <c r="IB62" s="92">
        <f>FORMULA!$S589</f>
        <v>0</v>
      </c>
      <c r="IC62" s="92">
        <f>FORMULA!$U589</f>
        <v>0</v>
      </c>
      <c r="ID62" s="92">
        <f>FORMULA!$W589</f>
        <v>0</v>
      </c>
      <c r="IE62" s="92">
        <f>FORMULA!$Y589</f>
        <v>0</v>
      </c>
      <c r="IF62" s="92">
        <f>FORMULA!$AA589</f>
        <v>0</v>
      </c>
      <c r="IG62" s="92">
        <f>FORMULA!$AC589</f>
        <v>0</v>
      </c>
      <c r="IH62" s="92">
        <f>FORMULA!$AE589</f>
        <v>0</v>
      </c>
      <c r="II62" s="207"/>
      <c r="IJ62" s="91">
        <f>FORMULA!$C677</f>
        <v>0</v>
      </c>
      <c r="IK62" s="92">
        <f>FORMULA!$E677</f>
        <v>0</v>
      </c>
      <c r="IL62" s="92">
        <f>FORMULA!$G677</f>
        <v>0</v>
      </c>
      <c r="IM62" s="92">
        <f>FORMULA!$I677</f>
        <v>0</v>
      </c>
      <c r="IN62" s="92">
        <f>FORMULA!$K677</f>
        <v>0</v>
      </c>
      <c r="IO62" s="92">
        <f>FORMULA!$M677</f>
        <v>0</v>
      </c>
      <c r="IP62" s="92">
        <f>FORMULA!$O677</f>
        <v>0</v>
      </c>
      <c r="IQ62" s="92">
        <f>FORMULA!$Q677</f>
        <v>0</v>
      </c>
      <c r="IR62" s="92">
        <f>FORMULA!$S677</f>
        <v>0</v>
      </c>
      <c r="IS62" s="92">
        <f>FORMULA!$U677</f>
        <v>0</v>
      </c>
      <c r="IT62" s="92">
        <f>FORMULA!$W677</f>
        <v>0</v>
      </c>
      <c r="IU62" s="92">
        <f>FORMULA!$Y677</f>
        <v>0</v>
      </c>
      <c r="IV62" s="92">
        <f>FORMULA!$AA677</f>
        <v>0</v>
      </c>
      <c r="IW62" s="92">
        <f>FORMULA!$AC677</f>
        <v>0</v>
      </c>
      <c r="IX62" s="92">
        <f>FORMULA!$AE677</f>
        <v>0</v>
      </c>
      <c r="IY62" s="208"/>
    </row>
    <row r="63" spans="1:259" outlineLevel="1">
      <c r="A63" s="11">
        <f>'VAC &amp; MED'!C50</f>
        <v>46062</v>
      </c>
      <c r="B63" s="261"/>
      <c r="C63" s="261"/>
      <c r="D63" s="261"/>
      <c r="E63" s="261"/>
      <c r="F63" s="261"/>
      <c r="G63" s="261"/>
      <c r="H63" s="261"/>
      <c r="I63" s="261"/>
      <c r="J63" s="261"/>
      <c r="K63" s="261"/>
      <c r="L63" s="261"/>
      <c r="M63" s="261"/>
      <c r="N63" s="261"/>
      <c r="O63" s="261"/>
      <c r="P63" s="261"/>
      <c r="Q63" s="261"/>
      <c r="R63" s="262"/>
      <c r="S63" s="262"/>
      <c r="T63" s="262"/>
      <c r="U63" s="262"/>
      <c r="V63" s="262"/>
      <c r="W63" s="262"/>
      <c r="X63" s="262"/>
      <c r="Y63" s="262"/>
      <c r="Z63" s="262"/>
      <c r="AA63" s="262"/>
      <c r="AB63" s="262"/>
      <c r="AC63" s="262"/>
      <c r="AD63" s="262"/>
      <c r="AE63" s="262"/>
      <c r="AF63" s="262"/>
      <c r="AG63" s="262"/>
      <c r="AH63" s="263"/>
      <c r="AI63" s="263"/>
      <c r="AJ63" s="263"/>
      <c r="AK63" s="263"/>
      <c r="AL63" s="263"/>
      <c r="AM63" s="263"/>
      <c r="AN63" s="263"/>
      <c r="AO63" s="263"/>
      <c r="AP63" s="263"/>
      <c r="AQ63" s="263"/>
      <c r="AR63" s="263"/>
      <c r="AS63" s="263"/>
      <c r="AT63" s="263"/>
      <c r="AU63" s="263"/>
      <c r="AV63" s="263"/>
      <c r="AW63" s="263"/>
      <c r="AX63" s="264"/>
      <c r="AY63" s="264"/>
      <c r="AZ63" s="264"/>
      <c r="BA63" s="264"/>
      <c r="BB63" s="264"/>
      <c r="BC63" s="264"/>
      <c r="BD63" s="264"/>
      <c r="BE63" s="264"/>
      <c r="BF63" s="264"/>
      <c r="BG63" s="264"/>
      <c r="BH63" s="264"/>
      <c r="BI63" s="264"/>
      <c r="BJ63" s="264"/>
      <c r="BK63" s="264"/>
      <c r="BL63" s="264"/>
      <c r="BM63" s="264"/>
      <c r="BN63" s="265"/>
      <c r="BO63" s="265"/>
      <c r="BP63" s="265"/>
      <c r="BQ63" s="265">
        <v>120</v>
      </c>
      <c r="BR63" s="265"/>
      <c r="BS63" s="265"/>
      <c r="BT63" s="265"/>
      <c r="BU63" s="265"/>
      <c r="BV63" s="265"/>
      <c r="BW63" s="265"/>
      <c r="BX63" s="265"/>
      <c r="BY63" s="265"/>
      <c r="BZ63" s="265"/>
      <c r="CA63" s="265"/>
      <c r="CB63" s="265"/>
      <c r="CC63" s="265"/>
      <c r="CD63" s="266"/>
      <c r="CE63" s="266"/>
      <c r="CF63" s="266"/>
      <c r="CG63" s="266"/>
      <c r="CH63" s="266"/>
      <c r="CI63" s="266"/>
      <c r="CJ63" s="266"/>
      <c r="CK63" s="266"/>
      <c r="CL63" s="266"/>
      <c r="CM63" s="266"/>
      <c r="CN63" s="266"/>
      <c r="CO63" s="266"/>
      <c r="CP63" s="266"/>
      <c r="CQ63" s="266"/>
      <c r="CR63" s="266"/>
      <c r="CS63" s="266"/>
      <c r="CT63" s="267"/>
      <c r="CU63" s="267"/>
      <c r="CV63" s="267"/>
      <c r="CW63" s="267"/>
      <c r="CX63" s="267"/>
      <c r="CY63" s="267"/>
      <c r="CZ63" s="267"/>
      <c r="DA63" s="267"/>
      <c r="DB63" s="267"/>
      <c r="DC63" s="267"/>
      <c r="DD63" s="267"/>
      <c r="DE63" s="267"/>
      <c r="DF63" s="267"/>
      <c r="DG63" s="267"/>
      <c r="DH63" s="267"/>
      <c r="DI63" s="267"/>
      <c r="DJ63" s="268"/>
      <c r="DK63" s="268"/>
      <c r="DL63" s="268"/>
      <c r="DM63" s="268"/>
      <c r="DN63" s="268"/>
      <c r="DO63" s="268"/>
      <c r="DP63" s="268"/>
      <c r="DQ63" s="268"/>
      <c r="DR63" s="268"/>
      <c r="DS63" s="268"/>
      <c r="DT63" s="268"/>
      <c r="DU63" s="268"/>
      <c r="DV63" s="268"/>
      <c r="DW63" s="268"/>
      <c r="DX63" s="268"/>
      <c r="DY63" s="268"/>
      <c r="EA63" s="20" t="str">
        <f>FORMULA!$A$62</f>
        <v>ECOBIOL</v>
      </c>
      <c r="EB63" s="91">
        <f>FORMULA!$C62</f>
        <v>0</v>
      </c>
      <c r="EC63" s="92">
        <f>FORMULA!$E62</f>
        <v>0</v>
      </c>
      <c r="ED63" s="92">
        <f>FORMULA!$G62</f>
        <v>0</v>
      </c>
      <c r="EE63" s="92">
        <f>FORMULA!$I62</f>
        <v>0</v>
      </c>
      <c r="EF63" s="92">
        <f>FORMULA!$K62</f>
        <v>0</v>
      </c>
      <c r="EG63" s="92">
        <f>FORMULA!$M62</f>
        <v>0</v>
      </c>
      <c r="EH63" s="92">
        <f>FORMULA!$O62</f>
        <v>0</v>
      </c>
      <c r="EI63" s="92">
        <f>FORMULA!$Q62</f>
        <v>0</v>
      </c>
      <c r="EJ63" s="92">
        <f>FORMULA!$S62</f>
        <v>0</v>
      </c>
      <c r="EK63" s="92">
        <f>FORMULA!$U62</f>
        <v>0</v>
      </c>
      <c r="EL63" s="92">
        <f>FORMULA!$W62</f>
        <v>0</v>
      </c>
      <c r="EM63" s="92">
        <f>FORMULA!$Y62</f>
        <v>0</v>
      </c>
      <c r="EN63" s="92">
        <f>FORMULA!$AA62</f>
        <v>0</v>
      </c>
      <c r="EO63" s="92">
        <f>FORMULA!$AC62</f>
        <v>0</v>
      </c>
      <c r="EP63" s="92">
        <f>FORMULA!$AE62</f>
        <v>0</v>
      </c>
      <c r="EQ63" s="108"/>
      <c r="ER63" s="91">
        <f>FORMULA!$C150</f>
        <v>0</v>
      </c>
      <c r="ES63" s="92">
        <f>FORMULA!$E150</f>
        <v>0</v>
      </c>
      <c r="ET63" s="92">
        <f>FORMULA!$G150</f>
        <v>0</v>
      </c>
      <c r="EU63" s="92">
        <f>FORMULA!$I150</f>
        <v>0</v>
      </c>
      <c r="EV63" s="92">
        <f>FORMULA!$K150</f>
        <v>0</v>
      </c>
      <c r="EW63" s="92">
        <f>FORMULA!$M150</f>
        <v>0</v>
      </c>
      <c r="EX63" s="92">
        <f>FORMULA!$O150</f>
        <v>0</v>
      </c>
      <c r="EY63" s="92">
        <f>FORMULA!$Q150</f>
        <v>0</v>
      </c>
      <c r="EZ63" s="92">
        <f>FORMULA!$S150</f>
        <v>0</v>
      </c>
      <c r="FA63" s="92">
        <f>FORMULA!$U150</f>
        <v>0</v>
      </c>
      <c r="FB63" s="92">
        <f>FORMULA!$W150</f>
        <v>0</v>
      </c>
      <c r="FC63" s="92">
        <f>FORMULA!$Y150</f>
        <v>0</v>
      </c>
      <c r="FD63" s="92">
        <f>FORMULA!$AA150</f>
        <v>0</v>
      </c>
      <c r="FE63" s="92">
        <f>FORMULA!$AC150</f>
        <v>0</v>
      </c>
      <c r="FF63" s="92">
        <f>FORMULA!$AE150</f>
        <v>0</v>
      </c>
      <c r="FG63" s="94"/>
      <c r="FH63" s="91">
        <f>FORMULA!$C238</f>
        <v>0</v>
      </c>
      <c r="FI63" s="92">
        <f>FORMULA!$E238</f>
        <v>0</v>
      </c>
      <c r="FJ63" s="92">
        <f>FORMULA!$G238</f>
        <v>0</v>
      </c>
      <c r="FK63" s="92">
        <f>FORMULA!$I238</f>
        <v>0</v>
      </c>
      <c r="FL63" s="92">
        <f>FORMULA!$K238</f>
        <v>0</v>
      </c>
      <c r="FM63" s="92">
        <f>FORMULA!$M238</f>
        <v>0</v>
      </c>
      <c r="FN63" s="92">
        <f>FORMULA!$O238</f>
        <v>0</v>
      </c>
      <c r="FO63" s="92">
        <f>FORMULA!$Q238</f>
        <v>0</v>
      </c>
      <c r="FP63" s="92">
        <f>FORMULA!$S238</f>
        <v>0</v>
      </c>
      <c r="FQ63" s="92">
        <f>FORMULA!$U238</f>
        <v>0</v>
      </c>
      <c r="FR63" s="92">
        <f>FORMULA!$W238</f>
        <v>0</v>
      </c>
      <c r="FS63" s="92">
        <f>FORMULA!$Y238</f>
        <v>0</v>
      </c>
      <c r="FT63" s="92">
        <f>FORMULA!$AA238</f>
        <v>0</v>
      </c>
      <c r="FU63" s="92">
        <f>FORMULA!$AC238</f>
        <v>0</v>
      </c>
      <c r="FV63" s="92">
        <f>FORMULA!$AE238</f>
        <v>0</v>
      </c>
      <c r="FW63" s="94"/>
      <c r="FX63" s="91">
        <f>FORMULA!$C326</f>
        <v>0</v>
      </c>
      <c r="FY63" s="92">
        <f>FORMULA!$E326</f>
        <v>0</v>
      </c>
      <c r="FZ63" s="92">
        <f>FORMULA!$G326</f>
        <v>0</v>
      </c>
      <c r="GA63" s="92">
        <f>FORMULA!$I326</f>
        <v>0</v>
      </c>
      <c r="GB63" s="92">
        <f>FORMULA!$K326</f>
        <v>0</v>
      </c>
      <c r="GC63" s="92">
        <f>FORMULA!$M326</f>
        <v>0</v>
      </c>
      <c r="GD63" s="92">
        <f>FORMULA!$O326</f>
        <v>0</v>
      </c>
      <c r="GE63" s="92">
        <f>FORMULA!$Q326</f>
        <v>0</v>
      </c>
      <c r="GF63" s="92">
        <f>FORMULA!$S326</f>
        <v>0</v>
      </c>
      <c r="GG63" s="92">
        <f>FORMULA!$U326</f>
        <v>0</v>
      </c>
      <c r="GH63" s="92">
        <f>FORMULA!$W326</f>
        <v>0</v>
      </c>
      <c r="GI63" s="92">
        <f>FORMULA!$Y326</f>
        <v>0</v>
      </c>
      <c r="GJ63" s="92">
        <f>FORMULA!$AA326</f>
        <v>0</v>
      </c>
      <c r="GK63" s="92">
        <f>FORMULA!$AC326</f>
        <v>0</v>
      </c>
      <c r="GL63" s="92">
        <f>FORMULA!$AE326</f>
        <v>0</v>
      </c>
      <c r="GM63" s="207"/>
      <c r="GN63" s="91">
        <f>FORMULA!$C414</f>
        <v>0</v>
      </c>
      <c r="GO63" s="92">
        <f>FORMULA!$E414</f>
        <v>0</v>
      </c>
      <c r="GP63" s="92">
        <f>FORMULA!$G414</f>
        <v>0</v>
      </c>
      <c r="GQ63" s="92">
        <f>FORMULA!$I414</f>
        <v>0</v>
      </c>
      <c r="GR63" s="92">
        <f>FORMULA!$K414</f>
        <v>0</v>
      </c>
      <c r="GS63" s="92">
        <f>FORMULA!$M414</f>
        <v>0</v>
      </c>
      <c r="GT63" s="92">
        <f>FORMULA!$O414</f>
        <v>0</v>
      </c>
      <c r="GU63" s="92">
        <f>FORMULA!$Q414</f>
        <v>0</v>
      </c>
      <c r="GV63" s="92">
        <f>FORMULA!$S414</f>
        <v>0</v>
      </c>
      <c r="GW63" s="92">
        <f>FORMULA!$U414</f>
        <v>0</v>
      </c>
      <c r="GX63" s="92">
        <f>FORMULA!$W414</f>
        <v>0</v>
      </c>
      <c r="GY63" s="92">
        <f>FORMULA!$Y414</f>
        <v>0</v>
      </c>
      <c r="GZ63" s="92">
        <f>FORMULA!$AA414</f>
        <v>0</v>
      </c>
      <c r="HA63" s="92">
        <f>FORMULA!$AC414</f>
        <v>0</v>
      </c>
      <c r="HB63" s="92">
        <f>FORMULA!$AE414</f>
        <v>0</v>
      </c>
      <c r="HC63" s="207"/>
      <c r="HD63" s="91">
        <f>FORMULA!$C502</f>
        <v>0</v>
      </c>
      <c r="HE63" s="92">
        <f>FORMULA!$E502</f>
        <v>0</v>
      </c>
      <c r="HF63" s="92">
        <f>FORMULA!$G502</f>
        <v>0</v>
      </c>
      <c r="HG63" s="92">
        <f>FORMULA!$I502</f>
        <v>0</v>
      </c>
      <c r="HH63" s="92">
        <f>FORMULA!$K502</f>
        <v>0</v>
      </c>
      <c r="HI63" s="92">
        <f>FORMULA!$M502</f>
        <v>0</v>
      </c>
      <c r="HJ63" s="92">
        <f>FORMULA!$O502</f>
        <v>0</v>
      </c>
      <c r="HK63" s="92">
        <f>FORMULA!$Q502</f>
        <v>0</v>
      </c>
      <c r="HL63" s="92">
        <f>FORMULA!$S502</f>
        <v>0</v>
      </c>
      <c r="HM63" s="92">
        <f>FORMULA!$U502</f>
        <v>0</v>
      </c>
      <c r="HN63" s="92">
        <f>FORMULA!$W502</f>
        <v>0</v>
      </c>
      <c r="HO63" s="92">
        <f>FORMULA!$Y502</f>
        <v>0</v>
      </c>
      <c r="HP63" s="92">
        <f>FORMULA!$AA502</f>
        <v>0</v>
      </c>
      <c r="HQ63" s="92">
        <f>FORMULA!$AC502</f>
        <v>0</v>
      </c>
      <c r="HR63" s="92">
        <f>FORMULA!$AE502</f>
        <v>0</v>
      </c>
      <c r="HS63" s="207"/>
      <c r="HT63" s="91">
        <f>FORMULA!$C590</f>
        <v>0</v>
      </c>
      <c r="HU63" s="92">
        <f>FORMULA!$E590</f>
        <v>0</v>
      </c>
      <c r="HV63" s="92">
        <f>FORMULA!$G590</f>
        <v>0</v>
      </c>
      <c r="HW63" s="92">
        <f>FORMULA!$I590</f>
        <v>0</v>
      </c>
      <c r="HX63" s="92">
        <f>FORMULA!$K590</f>
        <v>0</v>
      </c>
      <c r="HY63" s="92">
        <f>FORMULA!$M590</f>
        <v>0</v>
      </c>
      <c r="HZ63" s="92">
        <f>FORMULA!$O590</f>
        <v>0</v>
      </c>
      <c r="IA63" s="92">
        <f>FORMULA!$Q590</f>
        <v>0</v>
      </c>
      <c r="IB63" s="92">
        <f>FORMULA!$S590</f>
        <v>0</v>
      </c>
      <c r="IC63" s="92">
        <f>FORMULA!$U590</f>
        <v>0</v>
      </c>
      <c r="ID63" s="92">
        <f>FORMULA!$W590</f>
        <v>0</v>
      </c>
      <c r="IE63" s="92">
        <f>FORMULA!$Y590</f>
        <v>0</v>
      </c>
      <c r="IF63" s="92">
        <f>FORMULA!$AA590</f>
        <v>0</v>
      </c>
      <c r="IG63" s="92">
        <f>FORMULA!$AC590</f>
        <v>0</v>
      </c>
      <c r="IH63" s="92">
        <f>FORMULA!$AE590</f>
        <v>0</v>
      </c>
      <c r="II63" s="207"/>
      <c r="IJ63" s="91">
        <f>FORMULA!$C678</f>
        <v>0</v>
      </c>
      <c r="IK63" s="92">
        <f>FORMULA!$E678</f>
        <v>0</v>
      </c>
      <c r="IL63" s="92">
        <f>FORMULA!$G678</f>
        <v>0</v>
      </c>
      <c r="IM63" s="92">
        <f>FORMULA!$I678</f>
        <v>0</v>
      </c>
      <c r="IN63" s="92">
        <f>FORMULA!$K678</f>
        <v>0</v>
      </c>
      <c r="IO63" s="92">
        <f>FORMULA!$M678</f>
        <v>0</v>
      </c>
      <c r="IP63" s="92">
        <f>FORMULA!$O678</f>
        <v>0</v>
      </c>
      <c r="IQ63" s="92">
        <f>FORMULA!$Q678</f>
        <v>0</v>
      </c>
      <c r="IR63" s="92">
        <f>FORMULA!$S678</f>
        <v>0</v>
      </c>
      <c r="IS63" s="92">
        <f>FORMULA!$U678</f>
        <v>0</v>
      </c>
      <c r="IT63" s="92">
        <f>FORMULA!$W678</f>
        <v>0</v>
      </c>
      <c r="IU63" s="92">
        <f>FORMULA!$Y678</f>
        <v>0</v>
      </c>
      <c r="IV63" s="92">
        <f>FORMULA!$AA678</f>
        <v>0</v>
      </c>
      <c r="IW63" s="92">
        <f>FORMULA!$AC678</f>
        <v>0</v>
      </c>
      <c r="IX63" s="92">
        <f>FORMULA!$AE678</f>
        <v>0</v>
      </c>
      <c r="IY63" s="208"/>
    </row>
    <row r="64" spans="1:259" outlineLevel="1">
      <c r="A64" s="11">
        <f>'VAC &amp; MED'!C51</f>
        <v>46063</v>
      </c>
      <c r="B64" s="261"/>
      <c r="C64" s="261"/>
      <c r="D64" s="261"/>
      <c r="E64" s="261"/>
      <c r="F64" s="261"/>
      <c r="G64" s="261"/>
      <c r="H64" s="261"/>
      <c r="I64" s="261"/>
      <c r="J64" s="261"/>
      <c r="K64" s="261"/>
      <c r="L64" s="261"/>
      <c r="M64" s="261"/>
      <c r="N64" s="261"/>
      <c r="O64" s="261"/>
      <c r="P64" s="261"/>
      <c r="Q64" s="261"/>
      <c r="R64" s="262"/>
      <c r="S64" s="262"/>
      <c r="T64" s="262"/>
      <c r="U64" s="262"/>
      <c r="V64" s="262"/>
      <c r="W64" s="262"/>
      <c r="X64" s="262"/>
      <c r="Y64" s="262"/>
      <c r="Z64" s="262"/>
      <c r="AA64" s="262"/>
      <c r="AB64" s="262"/>
      <c r="AC64" s="262"/>
      <c r="AD64" s="262"/>
      <c r="AE64" s="262"/>
      <c r="AF64" s="262"/>
      <c r="AG64" s="262"/>
      <c r="AH64" s="263"/>
      <c r="AI64" s="263"/>
      <c r="AJ64" s="263"/>
      <c r="AK64" s="263"/>
      <c r="AL64" s="263"/>
      <c r="AM64" s="263"/>
      <c r="AN64" s="263"/>
      <c r="AO64" s="263"/>
      <c r="AP64" s="263"/>
      <c r="AQ64" s="263"/>
      <c r="AR64" s="263"/>
      <c r="AS64" s="263"/>
      <c r="AT64" s="263"/>
      <c r="AU64" s="263"/>
      <c r="AV64" s="263"/>
      <c r="AW64" s="263"/>
      <c r="AX64" s="264"/>
      <c r="AY64" s="264"/>
      <c r="AZ64" s="264"/>
      <c r="BA64" s="264"/>
      <c r="BB64" s="264"/>
      <c r="BC64" s="264"/>
      <c r="BD64" s="264"/>
      <c r="BE64" s="264"/>
      <c r="BF64" s="264"/>
      <c r="BG64" s="264"/>
      <c r="BH64" s="264"/>
      <c r="BI64" s="264"/>
      <c r="BJ64" s="264"/>
      <c r="BK64" s="264"/>
      <c r="BL64" s="264"/>
      <c r="BM64" s="264"/>
      <c r="BN64" s="265"/>
      <c r="BO64" s="265"/>
      <c r="BP64" s="265"/>
      <c r="BQ64" s="265">
        <v>50</v>
      </c>
      <c r="BR64" s="265"/>
      <c r="BS64" s="265"/>
      <c r="BT64" s="265"/>
      <c r="BU64" s="265"/>
      <c r="BV64" s="265"/>
      <c r="BW64" s="265"/>
      <c r="BX64" s="265"/>
      <c r="BY64" s="265"/>
      <c r="BZ64" s="265"/>
      <c r="CA64" s="265"/>
      <c r="CB64" s="265"/>
      <c r="CC64" s="265"/>
      <c r="CD64" s="266"/>
      <c r="CE64" s="266"/>
      <c r="CF64" s="266"/>
      <c r="CG64" s="266"/>
      <c r="CH64" s="266"/>
      <c r="CI64" s="266"/>
      <c r="CJ64" s="266"/>
      <c r="CK64" s="266"/>
      <c r="CL64" s="266"/>
      <c r="CM64" s="266"/>
      <c r="CN64" s="266"/>
      <c r="CO64" s="266"/>
      <c r="CP64" s="266"/>
      <c r="CQ64" s="266"/>
      <c r="CR64" s="266"/>
      <c r="CS64" s="266"/>
      <c r="CT64" s="267"/>
      <c r="CU64" s="267"/>
      <c r="CV64" s="267"/>
      <c r="CW64" s="267"/>
      <c r="CX64" s="267"/>
      <c r="CY64" s="267"/>
      <c r="CZ64" s="267"/>
      <c r="DA64" s="267"/>
      <c r="DB64" s="267"/>
      <c r="DC64" s="267"/>
      <c r="DD64" s="267"/>
      <c r="DE64" s="267"/>
      <c r="DF64" s="267"/>
      <c r="DG64" s="267"/>
      <c r="DH64" s="267"/>
      <c r="DI64" s="267"/>
      <c r="DJ64" s="268"/>
      <c r="DK64" s="268"/>
      <c r="DL64" s="268"/>
      <c r="DM64" s="268"/>
      <c r="DN64" s="268"/>
      <c r="DO64" s="268"/>
      <c r="DP64" s="268"/>
      <c r="DQ64" s="268"/>
      <c r="DR64" s="268"/>
      <c r="DS64" s="268"/>
      <c r="DT64" s="268"/>
      <c r="DU64" s="268"/>
      <c r="DV64" s="268"/>
      <c r="DW64" s="268"/>
      <c r="DX64" s="268"/>
      <c r="DY64" s="268"/>
      <c r="EA64" s="20" t="str">
        <f>FORMULA!$A$63</f>
        <v>ADDITIVE BROILER IMMUNE</v>
      </c>
      <c r="EB64" s="91">
        <f>FORMULA!$C63</f>
        <v>0</v>
      </c>
      <c r="EC64" s="92">
        <f>FORMULA!$E63</f>
        <v>0</v>
      </c>
      <c r="ED64" s="92">
        <f>FORMULA!$G63</f>
        <v>0</v>
      </c>
      <c r="EE64" s="92">
        <f>FORMULA!$I63</f>
        <v>0</v>
      </c>
      <c r="EF64" s="92">
        <f>FORMULA!$K63</f>
        <v>0</v>
      </c>
      <c r="EG64" s="92">
        <f>FORMULA!$M63</f>
        <v>0</v>
      </c>
      <c r="EH64" s="92">
        <f>FORMULA!$O63</f>
        <v>0</v>
      </c>
      <c r="EI64" s="92">
        <f>FORMULA!$Q63</f>
        <v>0</v>
      </c>
      <c r="EJ64" s="92">
        <f>FORMULA!$S63</f>
        <v>0</v>
      </c>
      <c r="EK64" s="92">
        <f>FORMULA!$U63</f>
        <v>0</v>
      </c>
      <c r="EL64" s="92">
        <f>FORMULA!$W63</f>
        <v>0</v>
      </c>
      <c r="EM64" s="92">
        <f>FORMULA!$Y63</f>
        <v>0</v>
      </c>
      <c r="EN64" s="92">
        <f>FORMULA!$AA63</f>
        <v>0</v>
      </c>
      <c r="EO64" s="92">
        <f>FORMULA!$AC63</f>
        <v>0</v>
      </c>
      <c r="EP64" s="92">
        <f>FORMULA!$AE63</f>
        <v>0</v>
      </c>
      <c r="EQ64" s="108"/>
      <c r="ER64" s="91">
        <f>FORMULA!$C151</f>
        <v>0</v>
      </c>
      <c r="ES64" s="92">
        <f>FORMULA!$E151</f>
        <v>0</v>
      </c>
      <c r="ET64" s="92">
        <f>FORMULA!$G151</f>
        <v>0</v>
      </c>
      <c r="EU64" s="92">
        <f>FORMULA!$I151</f>
        <v>0</v>
      </c>
      <c r="EV64" s="92">
        <f>FORMULA!$K151</f>
        <v>0</v>
      </c>
      <c r="EW64" s="92">
        <f>FORMULA!$M151</f>
        <v>0</v>
      </c>
      <c r="EX64" s="92">
        <f>FORMULA!$O151</f>
        <v>0</v>
      </c>
      <c r="EY64" s="92">
        <f>FORMULA!$Q151</f>
        <v>0</v>
      </c>
      <c r="EZ64" s="92">
        <f>FORMULA!$S151</f>
        <v>0</v>
      </c>
      <c r="FA64" s="92">
        <f>FORMULA!$U151</f>
        <v>0</v>
      </c>
      <c r="FB64" s="92">
        <f>FORMULA!$W151</f>
        <v>0</v>
      </c>
      <c r="FC64" s="92">
        <f>FORMULA!$Y151</f>
        <v>0</v>
      </c>
      <c r="FD64" s="92">
        <f>FORMULA!$AA151</f>
        <v>0</v>
      </c>
      <c r="FE64" s="92">
        <f>FORMULA!$AC151</f>
        <v>0</v>
      </c>
      <c r="FF64" s="92">
        <f>FORMULA!$AE151</f>
        <v>0</v>
      </c>
      <c r="FG64" s="94"/>
      <c r="FH64" s="91">
        <f>FORMULA!$C239</f>
        <v>0</v>
      </c>
      <c r="FI64" s="92">
        <f>FORMULA!$E239</f>
        <v>0</v>
      </c>
      <c r="FJ64" s="92">
        <f>FORMULA!$G239</f>
        <v>0</v>
      </c>
      <c r="FK64" s="92">
        <f>FORMULA!$I239</f>
        <v>0</v>
      </c>
      <c r="FL64" s="92">
        <f>FORMULA!$K239</f>
        <v>0</v>
      </c>
      <c r="FM64" s="92">
        <f>FORMULA!$M239</f>
        <v>0</v>
      </c>
      <c r="FN64" s="92">
        <f>FORMULA!$O239</f>
        <v>0</v>
      </c>
      <c r="FO64" s="92">
        <f>FORMULA!$Q239</f>
        <v>0</v>
      </c>
      <c r="FP64" s="92">
        <f>FORMULA!$S239</f>
        <v>0</v>
      </c>
      <c r="FQ64" s="92">
        <f>FORMULA!$U239</f>
        <v>0</v>
      </c>
      <c r="FR64" s="92">
        <f>FORMULA!$W239</f>
        <v>0</v>
      </c>
      <c r="FS64" s="92">
        <f>FORMULA!$Y239</f>
        <v>0</v>
      </c>
      <c r="FT64" s="92">
        <f>FORMULA!$AA239</f>
        <v>0</v>
      </c>
      <c r="FU64" s="92">
        <f>FORMULA!$AC239</f>
        <v>0</v>
      </c>
      <c r="FV64" s="92">
        <f>FORMULA!$AE239</f>
        <v>0</v>
      </c>
      <c r="FW64" s="94"/>
      <c r="FX64" s="91">
        <f>FORMULA!$C327</f>
        <v>0</v>
      </c>
      <c r="FY64" s="92">
        <f>FORMULA!$E327</f>
        <v>0</v>
      </c>
      <c r="FZ64" s="92">
        <f>FORMULA!$G327</f>
        <v>0</v>
      </c>
      <c r="GA64" s="92">
        <f>FORMULA!$I327</f>
        <v>0</v>
      </c>
      <c r="GB64" s="92">
        <f>FORMULA!$K327</f>
        <v>0</v>
      </c>
      <c r="GC64" s="92">
        <f>FORMULA!$M327</f>
        <v>0</v>
      </c>
      <c r="GD64" s="92">
        <f>FORMULA!$O327</f>
        <v>0</v>
      </c>
      <c r="GE64" s="92">
        <f>FORMULA!$Q327</f>
        <v>0</v>
      </c>
      <c r="GF64" s="92">
        <f>FORMULA!$S327</f>
        <v>0</v>
      </c>
      <c r="GG64" s="92">
        <f>FORMULA!$U327</f>
        <v>0</v>
      </c>
      <c r="GH64" s="92">
        <f>FORMULA!$W327</f>
        <v>0</v>
      </c>
      <c r="GI64" s="92">
        <f>FORMULA!$Y327</f>
        <v>0</v>
      </c>
      <c r="GJ64" s="92">
        <f>FORMULA!$AA327</f>
        <v>0</v>
      </c>
      <c r="GK64" s="92">
        <f>FORMULA!$AC327</f>
        <v>0</v>
      </c>
      <c r="GL64" s="92">
        <f>FORMULA!$AE327</f>
        <v>0</v>
      </c>
      <c r="GM64" s="207"/>
      <c r="GN64" s="91">
        <f>FORMULA!$C415</f>
        <v>0</v>
      </c>
      <c r="GO64" s="92">
        <f>FORMULA!$E415</f>
        <v>0</v>
      </c>
      <c r="GP64" s="92">
        <f>FORMULA!$G415</f>
        <v>0</v>
      </c>
      <c r="GQ64" s="92">
        <f>FORMULA!$I415</f>
        <v>0</v>
      </c>
      <c r="GR64" s="92">
        <f>FORMULA!$K415</f>
        <v>0</v>
      </c>
      <c r="GS64" s="92">
        <f>FORMULA!$M415</f>
        <v>0</v>
      </c>
      <c r="GT64" s="92">
        <f>FORMULA!$O415</f>
        <v>0</v>
      </c>
      <c r="GU64" s="92">
        <f>FORMULA!$Q415</f>
        <v>0</v>
      </c>
      <c r="GV64" s="92">
        <f>FORMULA!$S415</f>
        <v>0</v>
      </c>
      <c r="GW64" s="92">
        <f>FORMULA!$U415</f>
        <v>0</v>
      </c>
      <c r="GX64" s="92">
        <f>FORMULA!$W415</f>
        <v>0</v>
      </c>
      <c r="GY64" s="92">
        <f>FORMULA!$Y415</f>
        <v>0</v>
      </c>
      <c r="GZ64" s="92">
        <f>FORMULA!$AA415</f>
        <v>0</v>
      </c>
      <c r="HA64" s="92">
        <f>FORMULA!$AC415</f>
        <v>0</v>
      </c>
      <c r="HB64" s="92">
        <f>FORMULA!$AE415</f>
        <v>0</v>
      </c>
      <c r="HC64" s="207"/>
      <c r="HD64" s="91">
        <f>FORMULA!$C503</f>
        <v>0</v>
      </c>
      <c r="HE64" s="92">
        <f>FORMULA!$E503</f>
        <v>0</v>
      </c>
      <c r="HF64" s="92">
        <f>FORMULA!$G503</f>
        <v>0</v>
      </c>
      <c r="HG64" s="92">
        <f>FORMULA!$I503</f>
        <v>0</v>
      </c>
      <c r="HH64" s="92">
        <f>FORMULA!$K503</f>
        <v>0</v>
      </c>
      <c r="HI64" s="92">
        <f>FORMULA!$M503</f>
        <v>0</v>
      </c>
      <c r="HJ64" s="92">
        <f>FORMULA!$O503</f>
        <v>0</v>
      </c>
      <c r="HK64" s="92">
        <f>FORMULA!$Q503</f>
        <v>0</v>
      </c>
      <c r="HL64" s="92">
        <f>FORMULA!$S503</f>
        <v>0</v>
      </c>
      <c r="HM64" s="92">
        <f>FORMULA!$U503</f>
        <v>0</v>
      </c>
      <c r="HN64" s="92">
        <f>FORMULA!$W503</f>
        <v>0</v>
      </c>
      <c r="HO64" s="92">
        <f>FORMULA!$Y503</f>
        <v>0</v>
      </c>
      <c r="HP64" s="92">
        <f>FORMULA!$AA503</f>
        <v>0</v>
      </c>
      <c r="HQ64" s="92">
        <f>FORMULA!$AC503</f>
        <v>0</v>
      </c>
      <c r="HR64" s="92">
        <f>FORMULA!$AE503</f>
        <v>0</v>
      </c>
      <c r="HS64" s="207"/>
      <c r="HT64" s="91">
        <f>FORMULA!$C591</f>
        <v>0</v>
      </c>
      <c r="HU64" s="92">
        <f>FORMULA!$E591</f>
        <v>0</v>
      </c>
      <c r="HV64" s="92">
        <f>FORMULA!$G591</f>
        <v>0</v>
      </c>
      <c r="HW64" s="92">
        <f>FORMULA!$I591</f>
        <v>0</v>
      </c>
      <c r="HX64" s="92">
        <f>FORMULA!$K591</f>
        <v>0</v>
      </c>
      <c r="HY64" s="92">
        <f>FORMULA!$M591</f>
        <v>0</v>
      </c>
      <c r="HZ64" s="92">
        <f>FORMULA!$O591</f>
        <v>0</v>
      </c>
      <c r="IA64" s="92">
        <f>FORMULA!$Q591</f>
        <v>0</v>
      </c>
      <c r="IB64" s="92">
        <f>FORMULA!$S591</f>
        <v>0</v>
      </c>
      <c r="IC64" s="92">
        <f>FORMULA!$U591</f>
        <v>0</v>
      </c>
      <c r="ID64" s="92">
        <f>FORMULA!$W591</f>
        <v>0</v>
      </c>
      <c r="IE64" s="92">
        <f>FORMULA!$Y591</f>
        <v>0</v>
      </c>
      <c r="IF64" s="92">
        <f>FORMULA!$AA591</f>
        <v>0</v>
      </c>
      <c r="IG64" s="92">
        <f>FORMULA!$AC591</f>
        <v>0</v>
      </c>
      <c r="IH64" s="92">
        <f>FORMULA!$AE591</f>
        <v>0</v>
      </c>
      <c r="II64" s="207"/>
      <c r="IJ64" s="91">
        <f>FORMULA!$C679</f>
        <v>0</v>
      </c>
      <c r="IK64" s="92">
        <f>FORMULA!$E679</f>
        <v>0</v>
      </c>
      <c r="IL64" s="92">
        <f>FORMULA!$G679</f>
        <v>0</v>
      </c>
      <c r="IM64" s="92">
        <f>FORMULA!$I679</f>
        <v>0</v>
      </c>
      <c r="IN64" s="92">
        <f>FORMULA!$K679</f>
        <v>0</v>
      </c>
      <c r="IO64" s="92">
        <f>FORMULA!$M679</f>
        <v>0</v>
      </c>
      <c r="IP64" s="92">
        <f>FORMULA!$O679</f>
        <v>0</v>
      </c>
      <c r="IQ64" s="92">
        <f>FORMULA!$Q679</f>
        <v>0</v>
      </c>
      <c r="IR64" s="92">
        <f>FORMULA!$S679</f>
        <v>0</v>
      </c>
      <c r="IS64" s="92">
        <f>FORMULA!$U679</f>
        <v>0</v>
      </c>
      <c r="IT64" s="92">
        <f>FORMULA!$W679</f>
        <v>0</v>
      </c>
      <c r="IU64" s="92">
        <f>FORMULA!$Y679</f>
        <v>0</v>
      </c>
      <c r="IV64" s="92">
        <f>FORMULA!$AA679</f>
        <v>0</v>
      </c>
      <c r="IW64" s="92">
        <f>FORMULA!$AC679</f>
        <v>0</v>
      </c>
      <c r="IX64" s="92">
        <f>FORMULA!$AE679</f>
        <v>0</v>
      </c>
      <c r="IY64" s="208"/>
    </row>
    <row r="65" spans="1:259" outlineLevel="1">
      <c r="A65" s="11">
        <f>'VAC &amp; MED'!C52</f>
        <v>46064</v>
      </c>
      <c r="B65" s="261"/>
      <c r="C65" s="261"/>
      <c r="D65" s="261"/>
      <c r="E65" s="261"/>
      <c r="F65" s="261"/>
      <c r="G65" s="261"/>
      <c r="H65" s="261"/>
      <c r="I65" s="261"/>
      <c r="J65" s="261"/>
      <c r="K65" s="261"/>
      <c r="L65" s="261"/>
      <c r="M65" s="261"/>
      <c r="N65" s="261"/>
      <c r="O65" s="261"/>
      <c r="P65" s="261"/>
      <c r="Q65" s="261"/>
      <c r="R65" s="262"/>
      <c r="S65" s="262"/>
      <c r="T65" s="262"/>
      <c r="U65" s="262"/>
      <c r="V65" s="262"/>
      <c r="W65" s="262"/>
      <c r="X65" s="262"/>
      <c r="Y65" s="262"/>
      <c r="Z65" s="262"/>
      <c r="AA65" s="262"/>
      <c r="AB65" s="262"/>
      <c r="AC65" s="262"/>
      <c r="AD65" s="262"/>
      <c r="AE65" s="262"/>
      <c r="AF65" s="262"/>
      <c r="AG65" s="262"/>
      <c r="AH65" s="263"/>
      <c r="AI65" s="263"/>
      <c r="AJ65" s="263"/>
      <c r="AK65" s="263"/>
      <c r="AL65" s="263"/>
      <c r="AM65" s="263"/>
      <c r="AN65" s="263"/>
      <c r="AO65" s="263"/>
      <c r="AP65" s="263"/>
      <c r="AQ65" s="263"/>
      <c r="AR65" s="263"/>
      <c r="AS65" s="263"/>
      <c r="AT65" s="263"/>
      <c r="AU65" s="263"/>
      <c r="AV65" s="263"/>
      <c r="AW65" s="263"/>
      <c r="AX65" s="264"/>
      <c r="AY65" s="264"/>
      <c r="AZ65" s="264"/>
      <c r="BA65" s="264"/>
      <c r="BB65" s="264"/>
      <c r="BC65" s="264"/>
      <c r="BD65" s="264"/>
      <c r="BE65" s="264"/>
      <c r="BF65" s="264"/>
      <c r="BG65" s="264"/>
      <c r="BH65" s="264"/>
      <c r="BI65" s="264"/>
      <c r="BJ65" s="264"/>
      <c r="BK65" s="264"/>
      <c r="BL65" s="264"/>
      <c r="BM65" s="264"/>
      <c r="BN65" s="265"/>
      <c r="BO65" s="265"/>
      <c r="BP65" s="265"/>
      <c r="BQ65" s="265"/>
      <c r="BR65" s="265"/>
      <c r="BS65" s="265"/>
      <c r="BT65" s="265"/>
      <c r="BU65" s="265"/>
      <c r="BV65" s="265"/>
      <c r="BW65" s="265"/>
      <c r="BX65" s="265"/>
      <c r="BY65" s="265"/>
      <c r="BZ65" s="265"/>
      <c r="CA65" s="265"/>
      <c r="CB65" s="265"/>
      <c r="CC65" s="265"/>
      <c r="CD65" s="266">
        <v>120</v>
      </c>
      <c r="CE65" s="266"/>
      <c r="CF65" s="266"/>
      <c r="CG65" s="266"/>
      <c r="CH65" s="266"/>
      <c r="CI65" s="266"/>
      <c r="CJ65" s="266"/>
      <c r="CK65" s="266"/>
      <c r="CL65" s="266"/>
      <c r="CM65" s="266"/>
      <c r="CN65" s="266"/>
      <c r="CO65" s="266"/>
      <c r="CP65" s="266"/>
      <c r="CQ65" s="266"/>
      <c r="CR65" s="266"/>
      <c r="CS65" s="266"/>
      <c r="CT65" s="267"/>
      <c r="CU65" s="267"/>
      <c r="CV65" s="267"/>
      <c r="CW65" s="267"/>
      <c r="CX65" s="267"/>
      <c r="CY65" s="267"/>
      <c r="CZ65" s="267"/>
      <c r="DA65" s="267"/>
      <c r="DB65" s="267"/>
      <c r="DC65" s="267"/>
      <c r="DD65" s="267"/>
      <c r="DE65" s="267"/>
      <c r="DF65" s="267"/>
      <c r="DG65" s="267"/>
      <c r="DH65" s="267"/>
      <c r="DI65" s="267"/>
      <c r="DJ65" s="268"/>
      <c r="DK65" s="268"/>
      <c r="DL65" s="268"/>
      <c r="DM65" s="268"/>
      <c r="DN65" s="268"/>
      <c r="DO65" s="268"/>
      <c r="DP65" s="268"/>
      <c r="DQ65" s="268"/>
      <c r="DR65" s="268"/>
      <c r="DS65" s="268"/>
      <c r="DT65" s="268"/>
      <c r="DU65" s="268"/>
      <c r="DV65" s="268"/>
      <c r="DW65" s="268"/>
      <c r="DX65" s="268"/>
      <c r="DY65" s="268"/>
      <c r="EA65" s="20" t="str">
        <f>FORMULA!$A$64</f>
        <v>MASTER CUBE (HARUMI)</v>
      </c>
      <c r="EB65" s="91">
        <f>FORMULA!$C64</f>
        <v>0</v>
      </c>
      <c r="EC65" s="92">
        <f>FORMULA!$E64</f>
        <v>0</v>
      </c>
      <c r="ED65" s="92">
        <f>FORMULA!$G64</f>
        <v>0</v>
      </c>
      <c r="EE65" s="92">
        <f>FORMULA!$I64</f>
        <v>0</v>
      </c>
      <c r="EF65" s="92">
        <f>FORMULA!$K64</f>
        <v>0</v>
      </c>
      <c r="EG65" s="92">
        <f>FORMULA!$M64</f>
        <v>0</v>
      </c>
      <c r="EH65" s="92">
        <f>FORMULA!$O64</f>
        <v>0</v>
      </c>
      <c r="EI65" s="92">
        <f>FORMULA!$Q64</f>
        <v>0</v>
      </c>
      <c r="EJ65" s="92">
        <f>FORMULA!$S64</f>
        <v>0</v>
      </c>
      <c r="EK65" s="92">
        <f>FORMULA!$U64</f>
        <v>0</v>
      </c>
      <c r="EL65" s="92">
        <f>FORMULA!$W64</f>
        <v>0</v>
      </c>
      <c r="EM65" s="92">
        <f>FORMULA!$Y64</f>
        <v>0</v>
      </c>
      <c r="EN65" s="92">
        <f>FORMULA!$AA64</f>
        <v>0</v>
      </c>
      <c r="EO65" s="92">
        <f>FORMULA!$AC64</f>
        <v>0</v>
      </c>
      <c r="EP65" s="92">
        <f>FORMULA!$AE64</f>
        <v>0</v>
      </c>
      <c r="EQ65" s="108"/>
      <c r="ER65" s="91">
        <f>FORMULA!$C152</f>
        <v>0</v>
      </c>
      <c r="ES65" s="92">
        <f>FORMULA!$E152</f>
        <v>0</v>
      </c>
      <c r="ET65" s="92">
        <f>FORMULA!$G152</f>
        <v>0</v>
      </c>
      <c r="EU65" s="92">
        <f>FORMULA!$I152</f>
        <v>0</v>
      </c>
      <c r="EV65" s="92">
        <f>FORMULA!$K152</f>
        <v>0</v>
      </c>
      <c r="EW65" s="92">
        <f>FORMULA!$M152</f>
        <v>0</v>
      </c>
      <c r="EX65" s="92">
        <f>FORMULA!$O152</f>
        <v>0</v>
      </c>
      <c r="EY65" s="92">
        <f>FORMULA!$Q152</f>
        <v>0</v>
      </c>
      <c r="EZ65" s="92">
        <f>FORMULA!$S152</f>
        <v>0</v>
      </c>
      <c r="FA65" s="92">
        <f>FORMULA!$U152</f>
        <v>0</v>
      </c>
      <c r="FB65" s="92">
        <f>FORMULA!$W152</f>
        <v>0</v>
      </c>
      <c r="FC65" s="92">
        <f>FORMULA!$Y152</f>
        <v>0</v>
      </c>
      <c r="FD65" s="92">
        <f>FORMULA!$AA152</f>
        <v>0</v>
      </c>
      <c r="FE65" s="92">
        <f>FORMULA!$AC152</f>
        <v>0</v>
      </c>
      <c r="FF65" s="92">
        <f>FORMULA!$AE152</f>
        <v>0</v>
      </c>
      <c r="FG65" s="94"/>
      <c r="FH65" s="91">
        <f>FORMULA!$C240</f>
        <v>0</v>
      </c>
      <c r="FI65" s="92">
        <f>FORMULA!$E240</f>
        <v>0</v>
      </c>
      <c r="FJ65" s="92">
        <f>FORMULA!$G240</f>
        <v>0</v>
      </c>
      <c r="FK65" s="92">
        <f>FORMULA!$I240</f>
        <v>0</v>
      </c>
      <c r="FL65" s="92">
        <f>FORMULA!$K240</f>
        <v>0</v>
      </c>
      <c r="FM65" s="92">
        <f>FORMULA!$M240</f>
        <v>0</v>
      </c>
      <c r="FN65" s="92">
        <f>FORMULA!$O240</f>
        <v>0</v>
      </c>
      <c r="FO65" s="92">
        <f>FORMULA!$Q240</f>
        <v>0</v>
      </c>
      <c r="FP65" s="92">
        <f>FORMULA!$S240</f>
        <v>0</v>
      </c>
      <c r="FQ65" s="92">
        <f>FORMULA!$U240</f>
        <v>0</v>
      </c>
      <c r="FR65" s="92">
        <f>FORMULA!$W240</f>
        <v>0</v>
      </c>
      <c r="FS65" s="92">
        <f>FORMULA!$Y240</f>
        <v>0</v>
      </c>
      <c r="FT65" s="92">
        <f>FORMULA!$AA240</f>
        <v>0</v>
      </c>
      <c r="FU65" s="92">
        <f>FORMULA!$AC240</f>
        <v>0</v>
      </c>
      <c r="FV65" s="92">
        <f>FORMULA!$AE240</f>
        <v>0</v>
      </c>
      <c r="FW65" s="94"/>
      <c r="FX65" s="91">
        <f>FORMULA!$C328</f>
        <v>0</v>
      </c>
      <c r="FY65" s="92">
        <f>FORMULA!$E328</f>
        <v>0</v>
      </c>
      <c r="FZ65" s="92">
        <f>FORMULA!$G328</f>
        <v>0</v>
      </c>
      <c r="GA65" s="92">
        <f>FORMULA!$I328</f>
        <v>0</v>
      </c>
      <c r="GB65" s="92">
        <f>FORMULA!$K328</f>
        <v>0</v>
      </c>
      <c r="GC65" s="92">
        <f>FORMULA!$M328</f>
        <v>0</v>
      </c>
      <c r="GD65" s="92">
        <f>FORMULA!$O328</f>
        <v>0</v>
      </c>
      <c r="GE65" s="92">
        <f>FORMULA!$Q328</f>
        <v>0</v>
      </c>
      <c r="GF65" s="92">
        <f>FORMULA!$S328</f>
        <v>0</v>
      </c>
      <c r="GG65" s="92">
        <f>FORMULA!$U328</f>
        <v>0</v>
      </c>
      <c r="GH65" s="92">
        <f>FORMULA!$W328</f>
        <v>0</v>
      </c>
      <c r="GI65" s="92">
        <f>FORMULA!$Y328</f>
        <v>0</v>
      </c>
      <c r="GJ65" s="92">
        <f>FORMULA!$AA328</f>
        <v>0</v>
      </c>
      <c r="GK65" s="92">
        <f>FORMULA!$AC328</f>
        <v>0</v>
      </c>
      <c r="GL65" s="92">
        <f>FORMULA!$AE328</f>
        <v>0</v>
      </c>
      <c r="GM65" s="207"/>
      <c r="GN65" s="91">
        <f>FORMULA!$C416</f>
        <v>0</v>
      </c>
      <c r="GO65" s="92">
        <f>FORMULA!$E416</f>
        <v>0</v>
      </c>
      <c r="GP65" s="92">
        <f>FORMULA!$G416</f>
        <v>0</v>
      </c>
      <c r="GQ65" s="92">
        <f>FORMULA!$I416</f>
        <v>0</v>
      </c>
      <c r="GR65" s="92">
        <f>FORMULA!$K416</f>
        <v>0</v>
      </c>
      <c r="GS65" s="92">
        <f>FORMULA!$M416</f>
        <v>0</v>
      </c>
      <c r="GT65" s="92">
        <f>FORMULA!$O416</f>
        <v>0</v>
      </c>
      <c r="GU65" s="92">
        <f>FORMULA!$Q416</f>
        <v>0</v>
      </c>
      <c r="GV65" s="92">
        <f>FORMULA!$S416</f>
        <v>0</v>
      </c>
      <c r="GW65" s="92">
        <f>FORMULA!$U416</f>
        <v>0</v>
      </c>
      <c r="GX65" s="92">
        <f>FORMULA!$W416</f>
        <v>0</v>
      </c>
      <c r="GY65" s="92">
        <f>FORMULA!$Y416</f>
        <v>0</v>
      </c>
      <c r="GZ65" s="92">
        <f>FORMULA!$AA416</f>
        <v>0</v>
      </c>
      <c r="HA65" s="92">
        <f>FORMULA!$AC416</f>
        <v>0</v>
      </c>
      <c r="HB65" s="92">
        <f>FORMULA!$AE416</f>
        <v>0</v>
      </c>
      <c r="HC65" s="207"/>
      <c r="HD65" s="91">
        <f>FORMULA!$C504</f>
        <v>0</v>
      </c>
      <c r="HE65" s="92">
        <f>FORMULA!$E504</f>
        <v>0</v>
      </c>
      <c r="HF65" s="92">
        <f>FORMULA!$G504</f>
        <v>0</v>
      </c>
      <c r="HG65" s="92">
        <f>FORMULA!$I504</f>
        <v>0</v>
      </c>
      <c r="HH65" s="92">
        <f>FORMULA!$K504</f>
        <v>0</v>
      </c>
      <c r="HI65" s="92">
        <f>FORMULA!$M504</f>
        <v>0</v>
      </c>
      <c r="HJ65" s="92">
        <f>FORMULA!$O504</f>
        <v>0</v>
      </c>
      <c r="HK65" s="92">
        <f>FORMULA!$Q504</f>
        <v>0</v>
      </c>
      <c r="HL65" s="92">
        <f>FORMULA!$S504</f>
        <v>0</v>
      </c>
      <c r="HM65" s="92">
        <f>FORMULA!$U504</f>
        <v>1</v>
      </c>
      <c r="HN65" s="92">
        <f>FORMULA!$W504</f>
        <v>1</v>
      </c>
      <c r="HO65" s="92">
        <f>FORMULA!$Y504</f>
        <v>0</v>
      </c>
      <c r="HP65" s="92">
        <f>FORMULA!$AA504</f>
        <v>0</v>
      </c>
      <c r="HQ65" s="92">
        <f>FORMULA!$AC504</f>
        <v>0</v>
      </c>
      <c r="HR65" s="92">
        <f>FORMULA!$AE504</f>
        <v>0</v>
      </c>
      <c r="HS65" s="207"/>
      <c r="HT65" s="91">
        <f>FORMULA!$C592</f>
        <v>0</v>
      </c>
      <c r="HU65" s="92">
        <f>FORMULA!$E592</f>
        <v>0</v>
      </c>
      <c r="HV65" s="92">
        <f>FORMULA!$G592</f>
        <v>0</v>
      </c>
      <c r="HW65" s="92">
        <f>FORMULA!$I592</f>
        <v>0</v>
      </c>
      <c r="HX65" s="92">
        <f>FORMULA!$K592</f>
        <v>0</v>
      </c>
      <c r="HY65" s="92">
        <f>FORMULA!$M592</f>
        <v>0</v>
      </c>
      <c r="HZ65" s="92">
        <f>FORMULA!$O592</f>
        <v>0</v>
      </c>
      <c r="IA65" s="92">
        <f>FORMULA!$Q592</f>
        <v>0</v>
      </c>
      <c r="IB65" s="92">
        <f>FORMULA!$S592</f>
        <v>0</v>
      </c>
      <c r="IC65" s="92">
        <f>FORMULA!$U592</f>
        <v>0</v>
      </c>
      <c r="ID65" s="92">
        <f>FORMULA!$W592</f>
        <v>0</v>
      </c>
      <c r="IE65" s="92">
        <f>FORMULA!$Y592</f>
        <v>0</v>
      </c>
      <c r="IF65" s="92">
        <f>FORMULA!$AA592</f>
        <v>0</v>
      </c>
      <c r="IG65" s="92">
        <f>FORMULA!$AC592</f>
        <v>0</v>
      </c>
      <c r="IH65" s="92">
        <f>FORMULA!$AE592</f>
        <v>0</v>
      </c>
      <c r="II65" s="207"/>
      <c r="IJ65" s="91">
        <f>FORMULA!$C680</f>
        <v>0</v>
      </c>
      <c r="IK65" s="92">
        <f>FORMULA!$E680</f>
        <v>0.3</v>
      </c>
      <c r="IL65" s="92">
        <f>FORMULA!$G680</f>
        <v>0</v>
      </c>
      <c r="IM65" s="92">
        <f>FORMULA!$I680</f>
        <v>0</v>
      </c>
      <c r="IN65" s="92">
        <f>FORMULA!$K680</f>
        <v>0</v>
      </c>
      <c r="IO65" s="92">
        <f>FORMULA!$M680</f>
        <v>0</v>
      </c>
      <c r="IP65" s="92">
        <f>FORMULA!$O680</f>
        <v>0</v>
      </c>
      <c r="IQ65" s="92">
        <f>FORMULA!$Q680</f>
        <v>0</v>
      </c>
      <c r="IR65" s="92">
        <f>FORMULA!$S680</f>
        <v>0</v>
      </c>
      <c r="IS65" s="92">
        <f>FORMULA!$U680</f>
        <v>0</v>
      </c>
      <c r="IT65" s="92">
        <f>FORMULA!$W680</f>
        <v>0</v>
      </c>
      <c r="IU65" s="92">
        <f>FORMULA!$Y680</f>
        <v>0</v>
      </c>
      <c r="IV65" s="92">
        <f>FORMULA!$AA680</f>
        <v>0</v>
      </c>
      <c r="IW65" s="92">
        <f>FORMULA!$AC680</f>
        <v>0</v>
      </c>
      <c r="IX65" s="92">
        <f>FORMULA!$AE680</f>
        <v>0</v>
      </c>
      <c r="IY65" s="208"/>
    </row>
    <row r="66" spans="1:259" outlineLevel="1">
      <c r="A66" s="11">
        <f>'VAC &amp; MED'!C53</f>
        <v>46065</v>
      </c>
      <c r="B66" s="261"/>
      <c r="C66" s="261"/>
      <c r="D66" s="261"/>
      <c r="E66" s="261"/>
      <c r="F66" s="261"/>
      <c r="G66" s="261"/>
      <c r="H66" s="261"/>
      <c r="I66" s="261"/>
      <c r="J66" s="261"/>
      <c r="K66" s="261"/>
      <c r="L66" s="261"/>
      <c r="M66" s="261"/>
      <c r="N66" s="261"/>
      <c r="O66" s="261"/>
      <c r="P66" s="261"/>
      <c r="Q66" s="261"/>
      <c r="R66" s="262"/>
      <c r="S66" s="262"/>
      <c r="T66" s="262"/>
      <c r="U66" s="262"/>
      <c r="V66" s="262"/>
      <c r="W66" s="262"/>
      <c r="X66" s="262"/>
      <c r="Y66" s="262"/>
      <c r="Z66" s="262"/>
      <c r="AA66" s="262"/>
      <c r="AB66" s="262"/>
      <c r="AC66" s="262"/>
      <c r="AD66" s="262"/>
      <c r="AE66" s="262"/>
      <c r="AF66" s="262"/>
      <c r="AG66" s="262"/>
      <c r="AH66" s="263"/>
      <c r="AI66" s="263"/>
      <c r="AJ66" s="263"/>
      <c r="AK66" s="263"/>
      <c r="AL66" s="263"/>
      <c r="AM66" s="263"/>
      <c r="AN66" s="263"/>
      <c r="AO66" s="263"/>
      <c r="AP66" s="263"/>
      <c r="AQ66" s="263"/>
      <c r="AR66" s="263"/>
      <c r="AS66" s="263"/>
      <c r="AT66" s="263"/>
      <c r="AU66" s="263"/>
      <c r="AV66" s="263"/>
      <c r="AW66" s="263"/>
      <c r="AX66" s="264"/>
      <c r="AY66" s="264"/>
      <c r="AZ66" s="264"/>
      <c r="BA66" s="264"/>
      <c r="BB66" s="264"/>
      <c r="BC66" s="264"/>
      <c r="BD66" s="264"/>
      <c r="BE66" s="264"/>
      <c r="BF66" s="264"/>
      <c r="BG66" s="264"/>
      <c r="BH66" s="264"/>
      <c r="BI66" s="264"/>
      <c r="BJ66" s="264"/>
      <c r="BK66" s="264"/>
      <c r="BL66" s="264"/>
      <c r="BM66" s="264"/>
      <c r="BN66" s="265"/>
      <c r="BO66" s="265"/>
      <c r="BP66" s="265"/>
      <c r="BQ66" s="265"/>
      <c r="BR66" s="265"/>
      <c r="BS66" s="265"/>
      <c r="BT66" s="265"/>
      <c r="BU66" s="265"/>
      <c r="BV66" s="265"/>
      <c r="BW66" s="265"/>
      <c r="BX66" s="265"/>
      <c r="BY66" s="265"/>
      <c r="BZ66" s="265"/>
      <c r="CA66" s="265"/>
      <c r="CB66" s="265"/>
      <c r="CC66" s="265"/>
      <c r="CD66" s="266"/>
      <c r="CE66" s="266"/>
      <c r="CF66" s="266"/>
      <c r="CG66" s="266"/>
      <c r="CH66" s="266"/>
      <c r="CI66" s="266"/>
      <c r="CJ66" s="266"/>
      <c r="CK66" s="266"/>
      <c r="CL66" s="266"/>
      <c r="CM66" s="266"/>
      <c r="CN66" s="266"/>
      <c r="CO66" s="266"/>
      <c r="CP66" s="266"/>
      <c r="CQ66" s="266"/>
      <c r="CR66" s="266"/>
      <c r="CS66" s="266"/>
      <c r="CT66" s="267">
        <v>110</v>
      </c>
      <c r="CU66" s="267"/>
      <c r="CV66" s="267"/>
      <c r="CW66" s="267"/>
      <c r="CX66" s="267"/>
      <c r="CY66" s="267"/>
      <c r="CZ66" s="267"/>
      <c r="DA66" s="267"/>
      <c r="DB66" s="267"/>
      <c r="DC66" s="267"/>
      <c r="DD66" s="267"/>
      <c r="DE66" s="267"/>
      <c r="DF66" s="267"/>
      <c r="DG66" s="267"/>
      <c r="DH66" s="267"/>
      <c r="DI66" s="267"/>
      <c r="DJ66" s="268"/>
      <c r="DK66" s="268"/>
      <c r="DL66" s="268"/>
      <c r="DM66" s="268"/>
      <c r="DN66" s="268"/>
      <c r="DO66" s="268"/>
      <c r="DP66" s="268"/>
      <c r="DQ66" s="268"/>
      <c r="DR66" s="268"/>
      <c r="DS66" s="268"/>
      <c r="DT66" s="268"/>
      <c r="DU66" s="268"/>
      <c r="DV66" s="268"/>
      <c r="DW66" s="268"/>
      <c r="DX66" s="268"/>
      <c r="DY66" s="268"/>
      <c r="EA66" s="20" t="str">
        <f>FORMULA!$A$65</f>
        <v>1101 TOP UP (0.40KG)</v>
      </c>
      <c r="EB66" s="91">
        <f>FORMULA!$C65</f>
        <v>0</v>
      </c>
      <c r="EC66" s="92">
        <f>FORMULA!$E65</f>
        <v>0</v>
      </c>
      <c r="ED66" s="92">
        <f>FORMULA!$G65</f>
        <v>0</v>
      </c>
      <c r="EE66" s="92">
        <f>FORMULA!$I65</f>
        <v>0</v>
      </c>
      <c r="EF66" s="92">
        <f>FORMULA!$K65</f>
        <v>0</v>
      </c>
      <c r="EG66" s="92">
        <f>FORMULA!$M65</f>
        <v>0</v>
      </c>
      <c r="EH66" s="92">
        <f>FORMULA!$O65</f>
        <v>0</v>
      </c>
      <c r="EI66" s="92">
        <f>FORMULA!$Q65</f>
        <v>0</v>
      </c>
      <c r="EJ66" s="92">
        <f>FORMULA!$S65</f>
        <v>0</v>
      </c>
      <c r="EK66" s="92">
        <f>FORMULA!$U65</f>
        <v>0</v>
      </c>
      <c r="EL66" s="92">
        <f>FORMULA!$W65</f>
        <v>0</v>
      </c>
      <c r="EM66" s="92">
        <f>FORMULA!$Y65</f>
        <v>0</v>
      </c>
      <c r="EN66" s="92">
        <f>FORMULA!$AA65</f>
        <v>0</v>
      </c>
      <c r="EO66" s="92">
        <f>FORMULA!$AC65</f>
        <v>0</v>
      </c>
      <c r="EP66" s="92">
        <f>FORMULA!$AE65</f>
        <v>0</v>
      </c>
      <c r="EQ66" s="108"/>
      <c r="ER66" s="91">
        <f>FORMULA!$C153</f>
        <v>0</v>
      </c>
      <c r="ES66" s="92">
        <f>FORMULA!$E153</f>
        <v>0</v>
      </c>
      <c r="ET66" s="92">
        <f>FORMULA!$G153</f>
        <v>0</v>
      </c>
      <c r="EU66" s="92">
        <f>FORMULA!$I153</f>
        <v>0</v>
      </c>
      <c r="EV66" s="92">
        <f>FORMULA!$K153</f>
        <v>0</v>
      </c>
      <c r="EW66" s="92">
        <f>FORMULA!$M153</f>
        <v>0</v>
      </c>
      <c r="EX66" s="92">
        <f>FORMULA!$O153</f>
        <v>0</v>
      </c>
      <c r="EY66" s="92">
        <f>FORMULA!$Q153</f>
        <v>0</v>
      </c>
      <c r="EZ66" s="92">
        <f>FORMULA!$S153</f>
        <v>0</v>
      </c>
      <c r="FA66" s="92">
        <f>FORMULA!$U153</f>
        <v>0</v>
      </c>
      <c r="FB66" s="92">
        <f>FORMULA!$W153</f>
        <v>0</v>
      </c>
      <c r="FC66" s="92">
        <f>FORMULA!$Y153</f>
        <v>0</v>
      </c>
      <c r="FD66" s="92">
        <f>FORMULA!$AA153</f>
        <v>0</v>
      </c>
      <c r="FE66" s="92">
        <f>FORMULA!$AC153</f>
        <v>0</v>
      </c>
      <c r="FF66" s="92">
        <f>FORMULA!$AE153</f>
        <v>0</v>
      </c>
      <c r="FG66" s="94"/>
      <c r="FH66" s="91">
        <f>FORMULA!$C241</f>
        <v>0</v>
      </c>
      <c r="FI66" s="92">
        <f>FORMULA!$E241</f>
        <v>0</v>
      </c>
      <c r="FJ66" s="92">
        <f>FORMULA!$G241</f>
        <v>0</v>
      </c>
      <c r="FK66" s="92">
        <f>FORMULA!$I241</f>
        <v>0</v>
      </c>
      <c r="FL66" s="92">
        <f>FORMULA!$K241</f>
        <v>0</v>
      </c>
      <c r="FM66" s="92">
        <f>FORMULA!$M241</f>
        <v>0</v>
      </c>
      <c r="FN66" s="92">
        <f>FORMULA!$O241</f>
        <v>0</v>
      </c>
      <c r="FO66" s="92">
        <f>FORMULA!$Q241</f>
        <v>0</v>
      </c>
      <c r="FP66" s="92">
        <f>FORMULA!$S241</f>
        <v>0</v>
      </c>
      <c r="FQ66" s="92">
        <f>FORMULA!$U241</f>
        <v>0</v>
      </c>
      <c r="FR66" s="92">
        <f>FORMULA!$W241</f>
        <v>0</v>
      </c>
      <c r="FS66" s="92">
        <f>FORMULA!$Y241</f>
        <v>0</v>
      </c>
      <c r="FT66" s="92">
        <f>FORMULA!$AA241</f>
        <v>0</v>
      </c>
      <c r="FU66" s="92">
        <f>FORMULA!$AC241</f>
        <v>0</v>
      </c>
      <c r="FV66" s="92">
        <f>FORMULA!$AE241</f>
        <v>0</v>
      </c>
      <c r="FW66" s="94"/>
      <c r="FX66" s="91">
        <f>FORMULA!$C329</f>
        <v>0</v>
      </c>
      <c r="FY66" s="92">
        <f>FORMULA!$E329</f>
        <v>0</v>
      </c>
      <c r="FZ66" s="92">
        <f>FORMULA!$G329</f>
        <v>0</v>
      </c>
      <c r="GA66" s="92">
        <f>FORMULA!$I329</f>
        <v>0</v>
      </c>
      <c r="GB66" s="92">
        <f>FORMULA!$K329</f>
        <v>0</v>
      </c>
      <c r="GC66" s="92">
        <f>FORMULA!$M329</f>
        <v>0</v>
      </c>
      <c r="GD66" s="92">
        <f>FORMULA!$O329</f>
        <v>0</v>
      </c>
      <c r="GE66" s="92">
        <f>FORMULA!$Q329</f>
        <v>0</v>
      </c>
      <c r="GF66" s="92">
        <f>FORMULA!$S329</f>
        <v>0</v>
      </c>
      <c r="GG66" s="92">
        <f>FORMULA!$U329</f>
        <v>0</v>
      </c>
      <c r="GH66" s="92">
        <f>FORMULA!$W329</f>
        <v>0</v>
      </c>
      <c r="GI66" s="92">
        <f>FORMULA!$Y329</f>
        <v>0</v>
      </c>
      <c r="GJ66" s="92">
        <f>FORMULA!$AA329</f>
        <v>0</v>
      </c>
      <c r="GK66" s="92">
        <f>FORMULA!$AC329</f>
        <v>0</v>
      </c>
      <c r="GL66" s="92">
        <f>FORMULA!$AE329</f>
        <v>0</v>
      </c>
      <c r="GM66" s="207"/>
      <c r="GN66" s="91">
        <f>FORMULA!$C417</f>
        <v>0</v>
      </c>
      <c r="GO66" s="92">
        <f>FORMULA!$E417</f>
        <v>0</v>
      </c>
      <c r="GP66" s="92">
        <f>FORMULA!$G417</f>
        <v>0</v>
      </c>
      <c r="GQ66" s="92">
        <f>FORMULA!$I417</f>
        <v>0</v>
      </c>
      <c r="GR66" s="92">
        <f>FORMULA!$K417</f>
        <v>0</v>
      </c>
      <c r="GS66" s="92">
        <f>FORMULA!$M417</f>
        <v>0</v>
      </c>
      <c r="GT66" s="92">
        <f>FORMULA!$O417</f>
        <v>0</v>
      </c>
      <c r="GU66" s="92">
        <f>FORMULA!$Q417</f>
        <v>0</v>
      </c>
      <c r="GV66" s="92">
        <f>FORMULA!$S417</f>
        <v>0</v>
      </c>
      <c r="GW66" s="92">
        <f>FORMULA!$U417</f>
        <v>0</v>
      </c>
      <c r="GX66" s="92">
        <f>FORMULA!$W417</f>
        <v>0</v>
      </c>
      <c r="GY66" s="92">
        <f>FORMULA!$Y417</f>
        <v>0</v>
      </c>
      <c r="GZ66" s="92">
        <f>FORMULA!$AA417</f>
        <v>0</v>
      </c>
      <c r="HA66" s="92">
        <f>FORMULA!$AC417</f>
        <v>0</v>
      </c>
      <c r="HB66" s="92">
        <f>FORMULA!$AE417</f>
        <v>0</v>
      </c>
      <c r="HC66" s="207"/>
      <c r="HD66" s="91">
        <f>FORMULA!$C505</f>
        <v>0</v>
      </c>
      <c r="HE66" s="92">
        <f>FORMULA!$E505</f>
        <v>0</v>
      </c>
      <c r="HF66" s="92">
        <f>FORMULA!$G505</f>
        <v>0</v>
      </c>
      <c r="HG66" s="92">
        <f>FORMULA!$I505</f>
        <v>0</v>
      </c>
      <c r="HH66" s="92">
        <f>FORMULA!$K505</f>
        <v>0</v>
      </c>
      <c r="HI66" s="92">
        <f>FORMULA!$M505</f>
        <v>0</v>
      </c>
      <c r="HJ66" s="92">
        <f>FORMULA!$O505</f>
        <v>0</v>
      </c>
      <c r="HK66" s="92">
        <f>FORMULA!$Q505</f>
        <v>0</v>
      </c>
      <c r="HL66" s="92">
        <f>FORMULA!$S505</f>
        <v>0</v>
      </c>
      <c r="HM66" s="92">
        <f>FORMULA!$U505</f>
        <v>0</v>
      </c>
      <c r="HN66" s="92">
        <f>FORMULA!$W505</f>
        <v>0</v>
      </c>
      <c r="HO66" s="92">
        <f>FORMULA!$Y505</f>
        <v>0</v>
      </c>
      <c r="HP66" s="92">
        <f>FORMULA!$AA505</f>
        <v>0</v>
      </c>
      <c r="HQ66" s="92">
        <f>FORMULA!$AC505</f>
        <v>0</v>
      </c>
      <c r="HR66" s="92">
        <f>FORMULA!$AE505</f>
        <v>0</v>
      </c>
      <c r="HS66" s="207"/>
      <c r="HT66" s="91">
        <f>FORMULA!$C593</f>
        <v>0</v>
      </c>
      <c r="HU66" s="92">
        <f>FORMULA!$E593</f>
        <v>0</v>
      </c>
      <c r="HV66" s="92">
        <f>FORMULA!$G593</f>
        <v>0</v>
      </c>
      <c r="HW66" s="92">
        <f>FORMULA!$I593</f>
        <v>0</v>
      </c>
      <c r="HX66" s="92">
        <f>FORMULA!$K593</f>
        <v>0</v>
      </c>
      <c r="HY66" s="92">
        <f>FORMULA!$M593</f>
        <v>0</v>
      </c>
      <c r="HZ66" s="92">
        <f>FORMULA!$O593</f>
        <v>0</v>
      </c>
      <c r="IA66" s="92">
        <f>FORMULA!$Q593</f>
        <v>0</v>
      </c>
      <c r="IB66" s="92">
        <f>FORMULA!$S593</f>
        <v>0</v>
      </c>
      <c r="IC66" s="92">
        <f>FORMULA!$U593</f>
        <v>0</v>
      </c>
      <c r="ID66" s="92">
        <f>FORMULA!$W593</f>
        <v>0</v>
      </c>
      <c r="IE66" s="92">
        <f>FORMULA!$Y593</f>
        <v>0</v>
      </c>
      <c r="IF66" s="92">
        <f>FORMULA!$AA593</f>
        <v>0</v>
      </c>
      <c r="IG66" s="92">
        <f>FORMULA!$AC593</f>
        <v>0</v>
      </c>
      <c r="IH66" s="92">
        <f>FORMULA!$AE593</f>
        <v>0</v>
      </c>
      <c r="II66" s="207"/>
      <c r="IJ66" s="91">
        <f>FORMULA!$C681</f>
        <v>0</v>
      </c>
      <c r="IK66" s="92">
        <f>FORMULA!$E681</f>
        <v>0.2</v>
      </c>
      <c r="IL66" s="92">
        <f>FORMULA!$G681</f>
        <v>0</v>
      </c>
      <c r="IM66" s="92">
        <f>FORMULA!$I681</f>
        <v>0</v>
      </c>
      <c r="IN66" s="92">
        <f>FORMULA!$K681</f>
        <v>0</v>
      </c>
      <c r="IO66" s="92">
        <f>FORMULA!$M681</f>
        <v>0</v>
      </c>
      <c r="IP66" s="92">
        <f>FORMULA!$O681</f>
        <v>0</v>
      </c>
      <c r="IQ66" s="92">
        <f>FORMULA!$Q681</f>
        <v>0</v>
      </c>
      <c r="IR66" s="92">
        <f>FORMULA!$S681</f>
        <v>0</v>
      </c>
      <c r="IS66" s="92">
        <f>FORMULA!$U681</f>
        <v>0</v>
      </c>
      <c r="IT66" s="92">
        <f>FORMULA!$W681</f>
        <v>0</v>
      </c>
      <c r="IU66" s="92">
        <f>FORMULA!$Y681</f>
        <v>0</v>
      </c>
      <c r="IV66" s="92">
        <f>FORMULA!$AA681</f>
        <v>0</v>
      </c>
      <c r="IW66" s="92">
        <f>FORMULA!$AC681</f>
        <v>0</v>
      </c>
      <c r="IX66" s="92">
        <f>FORMULA!$AE681</f>
        <v>0</v>
      </c>
      <c r="IY66" s="208"/>
    </row>
    <row r="67" spans="1:259" outlineLevel="1">
      <c r="A67" s="11">
        <f>'VAC &amp; MED'!C54</f>
        <v>46066</v>
      </c>
      <c r="B67" s="261">
        <v>26</v>
      </c>
      <c r="C67" s="261"/>
      <c r="D67" s="261"/>
      <c r="E67" s="261"/>
      <c r="F67" s="261"/>
      <c r="G67" s="261"/>
      <c r="H67" s="261"/>
      <c r="I67" s="261"/>
      <c r="J67" s="261"/>
      <c r="K67" s="261"/>
      <c r="L67" s="261"/>
      <c r="M67" s="261"/>
      <c r="N67" s="261"/>
      <c r="O67" s="261"/>
      <c r="P67" s="261"/>
      <c r="Q67" s="261"/>
      <c r="R67" s="262"/>
      <c r="S67" s="262"/>
      <c r="T67" s="262"/>
      <c r="U67" s="262"/>
      <c r="V67" s="262"/>
      <c r="W67" s="262"/>
      <c r="X67" s="262"/>
      <c r="Y67" s="262"/>
      <c r="Z67" s="262"/>
      <c r="AA67" s="262"/>
      <c r="AB67" s="262"/>
      <c r="AC67" s="262"/>
      <c r="AD67" s="262"/>
      <c r="AE67" s="262"/>
      <c r="AF67" s="262"/>
      <c r="AG67" s="262"/>
      <c r="AH67" s="263"/>
      <c r="AI67" s="263"/>
      <c r="AJ67" s="263"/>
      <c r="AK67" s="263"/>
      <c r="AL67" s="263"/>
      <c r="AM67" s="263"/>
      <c r="AN67" s="263"/>
      <c r="AO67" s="263"/>
      <c r="AP67" s="263"/>
      <c r="AQ67" s="263"/>
      <c r="AR67" s="263"/>
      <c r="AS67" s="263"/>
      <c r="AT67" s="263"/>
      <c r="AU67" s="263"/>
      <c r="AV67" s="263"/>
      <c r="AW67" s="263"/>
      <c r="AX67" s="264"/>
      <c r="AY67" s="264"/>
      <c r="AZ67" s="264"/>
      <c r="BA67" s="264"/>
      <c r="BB67" s="264"/>
      <c r="BC67" s="264"/>
      <c r="BD67" s="264"/>
      <c r="BE67" s="264"/>
      <c r="BF67" s="264"/>
      <c r="BG67" s="264"/>
      <c r="BH67" s="264"/>
      <c r="BI67" s="264"/>
      <c r="BJ67" s="264"/>
      <c r="BK67" s="264"/>
      <c r="BL67" s="264"/>
      <c r="BM67" s="264"/>
      <c r="BN67" s="265"/>
      <c r="BO67" s="265"/>
      <c r="BP67" s="265"/>
      <c r="BQ67" s="265">
        <v>112</v>
      </c>
      <c r="BR67" s="265"/>
      <c r="BS67" s="265"/>
      <c r="BT67" s="265"/>
      <c r="BU67" s="265"/>
      <c r="BV67" s="265"/>
      <c r="BW67" s="265"/>
      <c r="BX67" s="265"/>
      <c r="BY67" s="265"/>
      <c r="BZ67" s="265"/>
      <c r="CA67" s="265"/>
      <c r="CB67" s="265"/>
      <c r="CC67" s="265"/>
      <c r="CD67" s="266"/>
      <c r="CE67" s="266"/>
      <c r="CF67" s="266"/>
      <c r="CG67" s="266"/>
      <c r="CH67" s="266"/>
      <c r="CI67" s="266"/>
      <c r="CJ67" s="266"/>
      <c r="CK67" s="266"/>
      <c r="CL67" s="266"/>
      <c r="CM67" s="266"/>
      <c r="CN67" s="266"/>
      <c r="CO67" s="266"/>
      <c r="CP67" s="266"/>
      <c r="CQ67" s="266"/>
      <c r="CR67" s="266"/>
      <c r="CS67" s="266"/>
      <c r="CT67" s="267"/>
      <c r="CU67" s="267"/>
      <c r="CV67" s="267"/>
      <c r="CW67" s="267"/>
      <c r="CX67" s="267"/>
      <c r="CY67" s="267"/>
      <c r="CZ67" s="267"/>
      <c r="DA67" s="267"/>
      <c r="DB67" s="267"/>
      <c r="DC67" s="267"/>
      <c r="DD67" s="267"/>
      <c r="DE67" s="267"/>
      <c r="DF67" s="267"/>
      <c r="DG67" s="267"/>
      <c r="DH67" s="267"/>
      <c r="DI67" s="267"/>
      <c r="DJ67" s="268"/>
      <c r="DK67" s="268"/>
      <c r="DL67" s="268"/>
      <c r="DM67" s="268"/>
      <c r="DN67" s="268"/>
      <c r="DO67" s="268"/>
      <c r="DP67" s="268"/>
      <c r="DQ67" s="268"/>
      <c r="DR67" s="268"/>
      <c r="DS67" s="268"/>
      <c r="DT67" s="268"/>
      <c r="DU67" s="268"/>
      <c r="DV67" s="268"/>
      <c r="DW67" s="268"/>
      <c r="DX67" s="268"/>
      <c r="DY67" s="268"/>
      <c r="EA67" s="20" t="str">
        <f>FORMULA!$A$66</f>
        <v>1102 TOP UP (0.60KG)</v>
      </c>
      <c r="EB67" s="91">
        <f>FORMULA!$C66</f>
        <v>0</v>
      </c>
      <c r="EC67" s="92">
        <f>FORMULA!$E66</f>
        <v>0</v>
      </c>
      <c r="ED67" s="92">
        <f>FORMULA!$G66</f>
        <v>0</v>
      </c>
      <c r="EE67" s="92">
        <f>FORMULA!$I66</f>
        <v>0</v>
      </c>
      <c r="EF67" s="92">
        <f>FORMULA!$K66</f>
        <v>0</v>
      </c>
      <c r="EG67" s="92">
        <f>FORMULA!$M66</f>
        <v>0</v>
      </c>
      <c r="EH67" s="92">
        <f>FORMULA!$O66</f>
        <v>0</v>
      </c>
      <c r="EI67" s="92">
        <f>FORMULA!$Q66</f>
        <v>0</v>
      </c>
      <c r="EJ67" s="92">
        <f>FORMULA!$S66</f>
        <v>0</v>
      </c>
      <c r="EK67" s="92">
        <f>FORMULA!$U66</f>
        <v>0</v>
      </c>
      <c r="EL67" s="92">
        <f>FORMULA!$W66</f>
        <v>0</v>
      </c>
      <c r="EM67" s="92">
        <f>FORMULA!$Y66</f>
        <v>0</v>
      </c>
      <c r="EN67" s="92">
        <f>FORMULA!$AA66</f>
        <v>0</v>
      </c>
      <c r="EO67" s="92">
        <f>FORMULA!$AC66</f>
        <v>0</v>
      </c>
      <c r="EP67" s="92">
        <f>FORMULA!$AE66</f>
        <v>0</v>
      </c>
      <c r="EQ67" s="108"/>
      <c r="ER67" s="91">
        <f>FORMULA!$C154</f>
        <v>0</v>
      </c>
      <c r="ES67" s="92">
        <f>FORMULA!$E154</f>
        <v>0</v>
      </c>
      <c r="ET67" s="92">
        <f>FORMULA!$G154</f>
        <v>0</v>
      </c>
      <c r="EU67" s="92">
        <f>FORMULA!$I154</f>
        <v>0</v>
      </c>
      <c r="EV67" s="92">
        <f>FORMULA!$K154</f>
        <v>0</v>
      </c>
      <c r="EW67" s="92">
        <f>FORMULA!$M154</f>
        <v>0</v>
      </c>
      <c r="EX67" s="92">
        <f>FORMULA!$O154</f>
        <v>0</v>
      </c>
      <c r="EY67" s="92">
        <f>FORMULA!$Q154</f>
        <v>0</v>
      </c>
      <c r="EZ67" s="92">
        <f>FORMULA!$S154</f>
        <v>0</v>
      </c>
      <c r="FA67" s="92">
        <f>FORMULA!$U154</f>
        <v>0</v>
      </c>
      <c r="FB67" s="92">
        <f>FORMULA!$W154</f>
        <v>0</v>
      </c>
      <c r="FC67" s="92">
        <f>FORMULA!$Y154</f>
        <v>0</v>
      </c>
      <c r="FD67" s="92">
        <f>FORMULA!$AA154</f>
        <v>0</v>
      </c>
      <c r="FE67" s="92">
        <f>FORMULA!$AC154</f>
        <v>0</v>
      </c>
      <c r="FF67" s="92">
        <f>FORMULA!$AE154</f>
        <v>0</v>
      </c>
      <c r="FG67" s="94"/>
      <c r="FH67" s="91">
        <f>FORMULA!$C242</f>
        <v>0</v>
      </c>
      <c r="FI67" s="92">
        <f>FORMULA!$E242</f>
        <v>0</v>
      </c>
      <c r="FJ67" s="92">
        <f>FORMULA!$G242</f>
        <v>0</v>
      </c>
      <c r="FK67" s="92">
        <f>FORMULA!$I242</f>
        <v>0</v>
      </c>
      <c r="FL67" s="92">
        <f>FORMULA!$K242</f>
        <v>0</v>
      </c>
      <c r="FM67" s="92">
        <f>FORMULA!$M242</f>
        <v>0</v>
      </c>
      <c r="FN67" s="92">
        <f>FORMULA!$O242</f>
        <v>0</v>
      </c>
      <c r="FO67" s="92">
        <f>FORMULA!$Q242</f>
        <v>0</v>
      </c>
      <c r="FP67" s="92">
        <f>FORMULA!$S242</f>
        <v>0</v>
      </c>
      <c r="FQ67" s="92">
        <f>FORMULA!$U242</f>
        <v>0</v>
      </c>
      <c r="FR67" s="92">
        <f>FORMULA!$W242</f>
        <v>0</v>
      </c>
      <c r="FS67" s="92">
        <f>FORMULA!$Y242</f>
        <v>0</v>
      </c>
      <c r="FT67" s="92">
        <f>FORMULA!$AA242</f>
        <v>0</v>
      </c>
      <c r="FU67" s="92">
        <f>FORMULA!$AC242</f>
        <v>0</v>
      </c>
      <c r="FV67" s="92">
        <f>FORMULA!$AE242</f>
        <v>0</v>
      </c>
      <c r="FW67" s="94"/>
      <c r="FX67" s="91">
        <f>FORMULA!$C330</f>
        <v>0</v>
      </c>
      <c r="FY67" s="92">
        <f>FORMULA!$E330</f>
        <v>0</v>
      </c>
      <c r="FZ67" s="92">
        <f>FORMULA!$G330</f>
        <v>0</v>
      </c>
      <c r="GA67" s="92">
        <f>FORMULA!$I330</f>
        <v>0</v>
      </c>
      <c r="GB67" s="92">
        <f>FORMULA!$K330</f>
        <v>0</v>
      </c>
      <c r="GC67" s="92">
        <f>FORMULA!$M330</f>
        <v>0</v>
      </c>
      <c r="GD67" s="92">
        <f>FORMULA!$O330</f>
        <v>0</v>
      </c>
      <c r="GE67" s="92">
        <f>FORMULA!$Q330</f>
        <v>0</v>
      </c>
      <c r="GF67" s="92">
        <f>FORMULA!$S330</f>
        <v>0</v>
      </c>
      <c r="GG67" s="92">
        <f>FORMULA!$U330</f>
        <v>0</v>
      </c>
      <c r="GH67" s="92">
        <f>FORMULA!$W330</f>
        <v>0</v>
      </c>
      <c r="GI67" s="92">
        <f>FORMULA!$Y330</f>
        <v>0</v>
      </c>
      <c r="GJ67" s="92">
        <f>FORMULA!$AA330</f>
        <v>0</v>
      </c>
      <c r="GK67" s="92">
        <f>FORMULA!$AC330</f>
        <v>0</v>
      </c>
      <c r="GL67" s="92">
        <f>FORMULA!$AE330</f>
        <v>0</v>
      </c>
      <c r="GM67" s="207"/>
      <c r="GN67" s="91">
        <f>FORMULA!$C418</f>
        <v>0</v>
      </c>
      <c r="GO67" s="92">
        <f>FORMULA!$E418</f>
        <v>0</v>
      </c>
      <c r="GP67" s="92">
        <f>FORMULA!$G418</f>
        <v>0</v>
      </c>
      <c r="GQ67" s="92">
        <f>FORMULA!$I418</f>
        <v>0</v>
      </c>
      <c r="GR67" s="92">
        <f>FORMULA!$K418</f>
        <v>0</v>
      </c>
      <c r="GS67" s="92">
        <f>FORMULA!$M418</f>
        <v>0</v>
      </c>
      <c r="GT67" s="92">
        <f>FORMULA!$O418</f>
        <v>0</v>
      </c>
      <c r="GU67" s="92">
        <f>FORMULA!$Q418</f>
        <v>0</v>
      </c>
      <c r="GV67" s="92">
        <f>FORMULA!$S418</f>
        <v>0</v>
      </c>
      <c r="GW67" s="92">
        <f>FORMULA!$U418</f>
        <v>0</v>
      </c>
      <c r="GX67" s="92">
        <f>FORMULA!$W418</f>
        <v>0</v>
      </c>
      <c r="GY67" s="92">
        <f>FORMULA!$Y418</f>
        <v>0</v>
      </c>
      <c r="GZ67" s="92">
        <f>FORMULA!$AA418</f>
        <v>0</v>
      </c>
      <c r="HA67" s="92">
        <f>FORMULA!$AC418</f>
        <v>0</v>
      </c>
      <c r="HB67" s="92">
        <f>FORMULA!$AE418</f>
        <v>0</v>
      </c>
      <c r="HC67" s="207"/>
      <c r="HD67" s="91">
        <f>FORMULA!$C506</f>
        <v>0</v>
      </c>
      <c r="HE67" s="92">
        <f>FORMULA!$E506</f>
        <v>0</v>
      </c>
      <c r="HF67" s="92">
        <f>FORMULA!$G506</f>
        <v>0</v>
      </c>
      <c r="HG67" s="92">
        <f>FORMULA!$I506</f>
        <v>0</v>
      </c>
      <c r="HH67" s="92">
        <f>FORMULA!$K506</f>
        <v>0</v>
      </c>
      <c r="HI67" s="92">
        <f>FORMULA!$M506</f>
        <v>0</v>
      </c>
      <c r="HJ67" s="92">
        <f>FORMULA!$O506</f>
        <v>0</v>
      </c>
      <c r="HK67" s="92">
        <f>FORMULA!$Q506</f>
        <v>0</v>
      </c>
      <c r="HL67" s="92">
        <f>FORMULA!$S506</f>
        <v>0</v>
      </c>
      <c r="HM67" s="92">
        <f>FORMULA!$U506</f>
        <v>0</v>
      </c>
      <c r="HN67" s="92">
        <f>FORMULA!$W506</f>
        <v>0</v>
      </c>
      <c r="HO67" s="92">
        <f>FORMULA!$Y506</f>
        <v>0</v>
      </c>
      <c r="HP67" s="92">
        <f>FORMULA!$AA506</f>
        <v>0</v>
      </c>
      <c r="HQ67" s="92">
        <f>FORMULA!$AC506</f>
        <v>0</v>
      </c>
      <c r="HR67" s="92">
        <f>FORMULA!$AE506</f>
        <v>0</v>
      </c>
      <c r="HS67" s="207"/>
      <c r="HT67" s="91">
        <f>FORMULA!$C594</f>
        <v>0</v>
      </c>
      <c r="HU67" s="92">
        <f>FORMULA!$E594</f>
        <v>0</v>
      </c>
      <c r="HV67" s="92">
        <f>FORMULA!$G594</f>
        <v>0</v>
      </c>
      <c r="HW67" s="92">
        <f>FORMULA!$I594</f>
        <v>0</v>
      </c>
      <c r="HX67" s="92">
        <f>FORMULA!$K594</f>
        <v>0</v>
      </c>
      <c r="HY67" s="92">
        <f>FORMULA!$M594</f>
        <v>0</v>
      </c>
      <c r="HZ67" s="92">
        <f>FORMULA!$O594</f>
        <v>0</v>
      </c>
      <c r="IA67" s="92">
        <f>FORMULA!$Q594</f>
        <v>0</v>
      </c>
      <c r="IB67" s="92">
        <f>FORMULA!$S594</f>
        <v>0</v>
      </c>
      <c r="IC67" s="92">
        <f>FORMULA!$U594</f>
        <v>0</v>
      </c>
      <c r="ID67" s="92">
        <f>FORMULA!$W594</f>
        <v>0</v>
      </c>
      <c r="IE67" s="92">
        <f>FORMULA!$Y594</f>
        <v>0</v>
      </c>
      <c r="IF67" s="92">
        <f>FORMULA!$AA594</f>
        <v>0</v>
      </c>
      <c r="IG67" s="92">
        <f>FORMULA!$AC594</f>
        <v>0</v>
      </c>
      <c r="IH67" s="92">
        <f>FORMULA!$AE594</f>
        <v>0</v>
      </c>
      <c r="II67" s="207"/>
      <c r="IJ67" s="91">
        <f>FORMULA!$C682</f>
        <v>0</v>
      </c>
      <c r="IK67" s="92">
        <f>FORMULA!$E682</f>
        <v>0</v>
      </c>
      <c r="IL67" s="92">
        <f>FORMULA!$G682</f>
        <v>0</v>
      </c>
      <c r="IM67" s="92">
        <f>FORMULA!$I682</f>
        <v>0</v>
      </c>
      <c r="IN67" s="92">
        <f>FORMULA!$K682</f>
        <v>0</v>
      </c>
      <c r="IO67" s="92">
        <f>FORMULA!$M682</f>
        <v>0</v>
      </c>
      <c r="IP67" s="92">
        <f>FORMULA!$O682</f>
        <v>0</v>
      </c>
      <c r="IQ67" s="92">
        <f>FORMULA!$Q682</f>
        <v>0</v>
      </c>
      <c r="IR67" s="92">
        <f>FORMULA!$S682</f>
        <v>0</v>
      </c>
      <c r="IS67" s="92">
        <f>FORMULA!$U682</f>
        <v>0</v>
      </c>
      <c r="IT67" s="92">
        <f>FORMULA!$W682</f>
        <v>0</v>
      </c>
      <c r="IU67" s="92">
        <f>FORMULA!$Y682</f>
        <v>0</v>
      </c>
      <c r="IV67" s="92">
        <f>FORMULA!$AA682</f>
        <v>0</v>
      </c>
      <c r="IW67" s="92">
        <f>FORMULA!$AC682</f>
        <v>0</v>
      </c>
      <c r="IX67" s="92">
        <f>FORMULA!$AE682</f>
        <v>0</v>
      </c>
      <c r="IY67" s="208"/>
    </row>
    <row r="68" spans="1:259" outlineLevel="1">
      <c r="A68" s="11">
        <f>'VAC &amp; MED'!C55</f>
        <v>46067</v>
      </c>
      <c r="B68" s="261"/>
      <c r="C68" s="261"/>
      <c r="D68" s="261"/>
      <c r="E68" s="261"/>
      <c r="F68" s="261"/>
      <c r="G68" s="261"/>
      <c r="H68" s="261"/>
      <c r="I68" s="261"/>
      <c r="J68" s="261"/>
      <c r="K68" s="261"/>
      <c r="L68" s="261"/>
      <c r="M68" s="261"/>
      <c r="N68" s="261"/>
      <c r="O68" s="261"/>
      <c r="P68" s="261"/>
      <c r="Q68" s="261"/>
      <c r="R68" s="262"/>
      <c r="S68" s="262"/>
      <c r="T68" s="262"/>
      <c r="U68" s="262"/>
      <c r="V68" s="262"/>
      <c r="W68" s="262"/>
      <c r="X68" s="262"/>
      <c r="Y68" s="262"/>
      <c r="Z68" s="262"/>
      <c r="AA68" s="262"/>
      <c r="AB68" s="262"/>
      <c r="AC68" s="262"/>
      <c r="AD68" s="262"/>
      <c r="AE68" s="262"/>
      <c r="AF68" s="262"/>
      <c r="AG68" s="262"/>
      <c r="AH68" s="263"/>
      <c r="AI68" s="263"/>
      <c r="AJ68" s="263"/>
      <c r="AK68" s="263"/>
      <c r="AL68" s="263"/>
      <c r="AM68" s="263"/>
      <c r="AN68" s="263"/>
      <c r="AO68" s="263"/>
      <c r="AP68" s="263"/>
      <c r="AQ68" s="263"/>
      <c r="AR68" s="263"/>
      <c r="AS68" s="263"/>
      <c r="AT68" s="263"/>
      <c r="AU68" s="263"/>
      <c r="AV68" s="263"/>
      <c r="AW68" s="263"/>
      <c r="AX68" s="264"/>
      <c r="AY68" s="264"/>
      <c r="AZ68" s="264"/>
      <c r="BA68" s="264"/>
      <c r="BB68" s="264"/>
      <c r="BC68" s="264"/>
      <c r="BD68" s="264"/>
      <c r="BE68" s="264"/>
      <c r="BF68" s="264"/>
      <c r="BG68" s="264"/>
      <c r="BH68" s="264"/>
      <c r="BI68" s="264"/>
      <c r="BJ68" s="264"/>
      <c r="BK68" s="264"/>
      <c r="BL68" s="264"/>
      <c r="BM68" s="264"/>
      <c r="BN68" s="265"/>
      <c r="BO68" s="265"/>
      <c r="BP68" s="265"/>
      <c r="BQ68" s="265"/>
      <c r="BR68" s="265"/>
      <c r="BS68" s="265"/>
      <c r="BT68" s="265"/>
      <c r="BU68" s="265"/>
      <c r="BV68" s="265"/>
      <c r="BW68" s="265"/>
      <c r="BX68" s="265"/>
      <c r="BY68" s="265"/>
      <c r="BZ68" s="265"/>
      <c r="CA68" s="265"/>
      <c r="CB68" s="265"/>
      <c r="CC68" s="265"/>
      <c r="CD68" s="266"/>
      <c r="CE68" s="266"/>
      <c r="CF68" s="266"/>
      <c r="CG68" s="266"/>
      <c r="CH68" s="266"/>
      <c r="CI68" s="266"/>
      <c r="CJ68" s="266"/>
      <c r="CK68" s="266"/>
      <c r="CL68" s="266"/>
      <c r="CM68" s="266"/>
      <c r="CN68" s="266"/>
      <c r="CO68" s="266"/>
      <c r="CP68" s="266"/>
      <c r="CQ68" s="266"/>
      <c r="CR68" s="266"/>
      <c r="CS68" s="266"/>
      <c r="CT68" s="267"/>
      <c r="CU68" s="267"/>
      <c r="CV68" s="267"/>
      <c r="CW68" s="267"/>
      <c r="CX68" s="267"/>
      <c r="CY68" s="267"/>
      <c r="CZ68" s="267"/>
      <c r="DA68" s="267"/>
      <c r="DB68" s="267"/>
      <c r="DC68" s="267"/>
      <c r="DD68" s="267"/>
      <c r="DE68" s="267"/>
      <c r="DF68" s="267"/>
      <c r="DG68" s="267"/>
      <c r="DH68" s="267"/>
      <c r="DI68" s="267"/>
      <c r="DJ68" s="268"/>
      <c r="DK68" s="268"/>
      <c r="DL68" s="268"/>
      <c r="DM68" s="268"/>
      <c r="DN68" s="268"/>
      <c r="DO68" s="268"/>
      <c r="DP68" s="268"/>
      <c r="DQ68" s="268"/>
      <c r="DR68" s="268"/>
      <c r="DS68" s="268"/>
      <c r="DT68" s="268"/>
      <c r="DU68" s="268"/>
      <c r="DV68" s="268"/>
      <c r="DW68" s="268"/>
      <c r="DX68" s="268"/>
      <c r="DY68" s="268"/>
      <c r="EA68" s="20" t="str">
        <f>FORMULA!$A$67</f>
        <v>1103 TOP UP (2.00KG)</v>
      </c>
      <c r="EB68" s="91">
        <f>FORMULA!$C67</f>
        <v>0</v>
      </c>
      <c r="EC68" s="92">
        <f>FORMULA!$E67</f>
        <v>0</v>
      </c>
      <c r="ED68" s="92">
        <f>FORMULA!$G67</f>
        <v>0</v>
      </c>
      <c r="EE68" s="92">
        <f>FORMULA!$I67</f>
        <v>0</v>
      </c>
      <c r="EF68" s="92">
        <f>FORMULA!$K67</f>
        <v>0</v>
      </c>
      <c r="EG68" s="92">
        <f>FORMULA!$M67</f>
        <v>0</v>
      </c>
      <c r="EH68" s="92">
        <f>FORMULA!$O67</f>
        <v>0</v>
      </c>
      <c r="EI68" s="92">
        <f>FORMULA!$Q67</f>
        <v>0</v>
      </c>
      <c r="EJ68" s="92">
        <f>FORMULA!$S67</f>
        <v>0</v>
      </c>
      <c r="EK68" s="92">
        <f>FORMULA!$U67</f>
        <v>0</v>
      </c>
      <c r="EL68" s="92">
        <f>FORMULA!$W67</f>
        <v>0</v>
      </c>
      <c r="EM68" s="92">
        <f>FORMULA!$Y67</f>
        <v>0</v>
      </c>
      <c r="EN68" s="92">
        <f>FORMULA!$AA67</f>
        <v>0</v>
      </c>
      <c r="EO68" s="92">
        <f>FORMULA!$AC67</f>
        <v>0</v>
      </c>
      <c r="EP68" s="92">
        <f>FORMULA!$AE67</f>
        <v>0</v>
      </c>
      <c r="EQ68" s="108"/>
      <c r="ER68" s="91">
        <f>FORMULA!$C155</f>
        <v>0</v>
      </c>
      <c r="ES68" s="92">
        <f>FORMULA!$E155</f>
        <v>0</v>
      </c>
      <c r="ET68" s="92">
        <f>FORMULA!$G155</f>
        <v>0</v>
      </c>
      <c r="EU68" s="92">
        <f>FORMULA!$I155</f>
        <v>0</v>
      </c>
      <c r="EV68" s="92">
        <f>FORMULA!$K155</f>
        <v>0</v>
      </c>
      <c r="EW68" s="92">
        <f>FORMULA!$M155</f>
        <v>0</v>
      </c>
      <c r="EX68" s="92">
        <f>FORMULA!$O155</f>
        <v>0</v>
      </c>
      <c r="EY68" s="92">
        <f>FORMULA!$Q155</f>
        <v>0</v>
      </c>
      <c r="EZ68" s="92">
        <f>FORMULA!$S155</f>
        <v>0</v>
      </c>
      <c r="FA68" s="92">
        <f>FORMULA!$U155</f>
        <v>0</v>
      </c>
      <c r="FB68" s="92">
        <f>FORMULA!$W155</f>
        <v>0</v>
      </c>
      <c r="FC68" s="92">
        <f>FORMULA!$Y155</f>
        <v>0</v>
      </c>
      <c r="FD68" s="92">
        <f>FORMULA!$AA155</f>
        <v>0</v>
      </c>
      <c r="FE68" s="92">
        <f>FORMULA!$AC155</f>
        <v>0</v>
      </c>
      <c r="FF68" s="92">
        <f>FORMULA!$AE155</f>
        <v>0</v>
      </c>
      <c r="FG68" s="94"/>
      <c r="FH68" s="91">
        <f>FORMULA!$C243</f>
        <v>0</v>
      </c>
      <c r="FI68" s="92">
        <f>FORMULA!$E243</f>
        <v>2</v>
      </c>
      <c r="FJ68" s="92">
        <f>FORMULA!$G243</f>
        <v>0</v>
      </c>
      <c r="FK68" s="92">
        <f>FORMULA!$I243</f>
        <v>0</v>
      </c>
      <c r="FL68" s="92">
        <f>FORMULA!$K243</f>
        <v>0</v>
      </c>
      <c r="FM68" s="92">
        <f>FORMULA!$M243</f>
        <v>0</v>
      </c>
      <c r="FN68" s="92">
        <f>FORMULA!$O243</f>
        <v>0</v>
      </c>
      <c r="FO68" s="92">
        <f>FORMULA!$Q243</f>
        <v>0</v>
      </c>
      <c r="FP68" s="92">
        <f>FORMULA!$S243</f>
        <v>0</v>
      </c>
      <c r="FQ68" s="92">
        <f>FORMULA!$U243</f>
        <v>0</v>
      </c>
      <c r="FR68" s="92">
        <f>FORMULA!$W243</f>
        <v>0</v>
      </c>
      <c r="FS68" s="92">
        <f>FORMULA!$Y243</f>
        <v>0</v>
      </c>
      <c r="FT68" s="92">
        <f>FORMULA!$AA243</f>
        <v>0</v>
      </c>
      <c r="FU68" s="92">
        <f>FORMULA!$AC243</f>
        <v>0</v>
      </c>
      <c r="FV68" s="92">
        <f>FORMULA!$AE243</f>
        <v>0</v>
      </c>
      <c r="FW68" s="94"/>
      <c r="FX68" s="91">
        <f>FORMULA!$C331</f>
        <v>0</v>
      </c>
      <c r="FY68" s="92">
        <f>FORMULA!$E331</f>
        <v>0</v>
      </c>
      <c r="FZ68" s="92">
        <f>FORMULA!$G331</f>
        <v>0</v>
      </c>
      <c r="GA68" s="92">
        <f>FORMULA!$I331</f>
        <v>0</v>
      </c>
      <c r="GB68" s="92">
        <f>FORMULA!$K331</f>
        <v>0</v>
      </c>
      <c r="GC68" s="92">
        <f>FORMULA!$M331</f>
        <v>0</v>
      </c>
      <c r="GD68" s="92">
        <f>FORMULA!$O331</f>
        <v>0</v>
      </c>
      <c r="GE68" s="92">
        <f>FORMULA!$Q331</f>
        <v>0</v>
      </c>
      <c r="GF68" s="92">
        <f>FORMULA!$S331</f>
        <v>0</v>
      </c>
      <c r="GG68" s="92">
        <f>FORMULA!$U331</f>
        <v>0</v>
      </c>
      <c r="GH68" s="92">
        <f>FORMULA!$W331</f>
        <v>0</v>
      </c>
      <c r="GI68" s="92">
        <f>FORMULA!$Y331</f>
        <v>0</v>
      </c>
      <c r="GJ68" s="92">
        <f>FORMULA!$AA331</f>
        <v>0</v>
      </c>
      <c r="GK68" s="92">
        <f>FORMULA!$AC331</f>
        <v>0</v>
      </c>
      <c r="GL68" s="92">
        <f>FORMULA!$AE331</f>
        <v>0</v>
      </c>
      <c r="GM68" s="207"/>
      <c r="GN68" s="91">
        <f>FORMULA!$C419</f>
        <v>0</v>
      </c>
      <c r="GO68" s="92">
        <f>FORMULA!$E419</f>
        <v>0</v>
      </c>
      <c r="GP68" s="92">
        <f>FORMULA!$G419</f>
        <v>0</v>
      </c>
      <c r="GQ68" s="92">
        <f>FORMULA!$I419</f>
        <v>0</v>
      </c>
      <c r="GR68" s="92">
        <f>FORMULA!$K419</f>
        <v>0</v>
      </c>
      <c r="GS68" s="92">
        <f>FORMULA!$M419</f>
        <v>0</v>
      </c>
      <c r="GT68" s="92">
        <f>FORMULA!$O419</f>
        <v>0</v>
      </c>
      <c r="GU68" s="92">
        <f>FORMULA!$Q419</f>
        <v>0</v>
      </c>
      <c r="GV68" s="92">
        <f>FORMULA!$S419</f>
        <v>0</v>
      </c>
      <c r="GW68" s="92">
        <f>FORMULA!$U419</f>
        <v>0</v>
      </c>
      <c r="GX68" s="92">
        <f>FORMULA!$W419</f>
        <v>0</v>
      </c>
      <c r="GY68" s="92">
        <f>FORMULA!$Y419</f>
        <v>0</v>
      </c>
      <c r="GZ68" s="92">
        <f>FORMULA!$AA419</f>
        <v>0</v>
      </c>
      <c r="HA68" s="92">
        <f>FORMULA!$AC419</f>
        <v>0</v>
      </c>
      <c r="HB68" s="92">
        <f>FORMULA!$AE419</f>
        <v>0</v>
      </c>
      <c r="HC68" s="207"/>
      <c r="HD68" s="91">
        <f>FORMULA!$C507</f>
        <v>0</v>
      </c>
      <c r="HE68" s="92">
        <f>FORMULA!$E507</f>
        <v>0</v>
      </c>
      <c r="HF68" s="92">
        <f>FORMULA!$G507</f>
        <v>0</v>
      </c>
      <c r="HG68" s="92">
        <f>FORMULA!$I507</f>
        <v>0</v>
      </c>
      <c r="HH68" s="92">
        <f>FORMULA!$K507</f>
        <v>0</v>
      </c>
      <c r="HI68" s="92">
        <f>FORMULA!$M507</f>
        <v>0</v>
      </c>
      <c r="HJ68" s="92">
        <f>FORMULA!$O507</f>
        <v>0</v>
      </c>
      <c r="HK68" s="92">
        <f>FORMULA!$Q507</f>
        <v>0</v>
      </c>
      <c r="HL68" s="92">
        <f>FORMULA!$S507</f>
        <v>0</v>
      </c>
      <c r="HM68" s="92">
        <f>FORMULA!$U507</f>
        <v>0</v>
      </c>
      <c r="HN68" s="92">
        <f>FORMULA!$W507</f>
        <v>0</v>
      </c>
      <c r="HO68" s="92">
        <f>FORMULA!$Y507</f>
        <v>0</v>
      </c>
      <c r="HP68" s="92">
        <f>FORMULA!$AA507</f>
        <v>0</v>
      </c>
      <c r="HQ68" s="92">
        <f>FORMULA!$AC507</f>
        <v>0</v>
      </c>
      <c r="HR68" s="92">
        <f>FORMULA!$AE507</f>
        <v>0</v>
      </c>
      <c r="HS68" s="207"/>
      <c r="HT68" s="91">
        <f>FORMULA!$C595</f>
        <v>0</v>
      </c>
      <c r="HU68" s="92">
        <f>FORMULA!$E595</f>
        <v>0</v>
      </c>
      <c r="HV68" s="92">
        <f>FORMULA!$G595</f>
        <v>0</v>
      </c>
      <c r="HW68" s="92">
        <f>FORMULA!$I595</f>
        <v>0</v>
      </c>
      <c r="HX68" s="92">
        <f>FORMULA!$K595</f>
        <v>0</v>
      </c>
      <c r="HY68" s="92">
        <f>FORMULA!$M595</f>
        <v>0</v>
      </c>
      <c r="HZ68" s="92">
        <f>FORMULA!$O595</f>
        <v>0</v>
      </c>
      <c r="IA68" s="92">
        <f>FORMULA!$Q595</f>
        <v>0</v>
      </c>
      <c r="IB68" s="92">
        <f>FORMULA!$S595</f>
        <v>0</v>
      </c>
      <c r="IC68" s="92">
        <f>FORMULA!$U595</f>
        <v>0</v>
      </c>
      <c r="ID68" s="92">
        <f>FORMULA!$W595</f>
        <v>0</v>
      </c>
      <c r="IE68" s="92">
        <f>FORMULA!$Y595</f>
        <v>0</v>
      </c>
      <c r="IF68" s="92">
        <f>FORMULA!$AA595</f>
        <v>0</v>
      </c>
      <c r="IG68" s="92">
        <f>FORMULA!$AC595</f>
        <v>0</v>
      </c>
      <c r="IH68" s="92">
        <f>FORMULA!$AE595</f>
        <v>0</v>
      </c>
      <c r="II68" s="207"/>
      <c r="IJ68" s="91">
        <f>FORMULA!$C683</f>
        <v>0</v>
      </c>
      <c r="IK68" s="92">
        <f>FORMULA!$E683</f>
        <v>0</v>
      </c>
      <c r="IL68" s="92">
        <f>FORMULA!$G683</f>
        <v>0</v>
      </c>
      <c r="IM68" s="92">
        <f>FORMULA!$I683</f>
        <v>0</v>
      </c>
      <c r="IN68" s="92">
        <f>FORMULA!$K683</f>
        <v>0</v>
      </c>
      <c r="IO68" s="92">
        <f>FORMULA!$M683</f>
        <v>0</v>
      </c>
      <c r="IP68" s="92">
        <f>FORMULA!$O683</f>
        <v>0</v>
      </c>
      <c r="IQ68" s="92">
        <f>FORMULA!$Q683</f>
        <v>0</v>
      </c>
      <c r="IR68" s="92">
        <f>FORMULA!$S683</f>
        <v>0</v>
      </c>
      <c r="IS68" s="92">
        <f>FORMULA!$U683</f>
        <v>0</v>
      </c>
      <c r="IT68" s="92">
        <f>FORMULA!$W683</f>
        <v>0</v>
      </c>
      <c r="IU68" s="92">
        <f>FORMULA!$Y683</f>
        <v>0</v>
      </c>
      <c r="IV68" s="92">
        <f>FORMULA!$AA683</f>
        <v>0</v>
      </c>
      <c r="IW68" s="92">
        <f>FORMULA!$AC683</f>
        <v>0</v>
      </c>
      <c r="IX68" s="92">
        <f>FORMULA!$AE683</f>
        <v>0</v>
      </c>
      <c r="IY68" s="208"/>
    </row>
    <row r="69" spans="1:259" outlineLevel="1">
      <c r="A69" s="11">
        <f>'VAC &amp; MED'!C56</f>
        <v>46068</v>
      </c>
      <c r="B69" s="261"/>
      <c r="C69" s="261"/>
      <c r="D69" s="261"/>
      <c r="E69" s="261"/>
      <c r="F69" s="261"/>
      <c r="G69" s="261"/>
      <c r="H69" s="261"/>
      <c r="I69" s="261"/>
      <c r="J69" s="261"/>
      <c r="K69" s="261"/>
      <c r="L69" s="261"/>
      <c r="M69" s="261"/>
      <c r="N69" s="261"/>
      <c r="O69" s="261"/>
      <c r="P69" s="261"/>
      <c r="Q69" s="261"/>
      <c r="R69" s="262"/>
      <c r="S69" s="262"/>
      <c r="T69" s="262"/>
      <c r="U69" s="262"/>
      <c r="V69" s="262"/>
      <c r="W69" s="262"/>
      <c r="X69" s="262"/>
      <c r="Y69" s="262"/>
      <c r="Z69" s="262"/>
      <c r="AA69" s="262"/>
      <c r="AB69" s="262"/>
      <c r="AC69" s="262"/>
      <c r="AD69" s="262"/>
      <c r="AE69" s="262"/>
      <c r="AF69" s="262"/>
      <c r="AG69" s="262"/>
      <c r="AH69" s="263"/>
      <c r="AI69" s="263"/>
      <c r="AJ69" s="263"/>
      <c r="AK69" s="263"/>
      <c r="AL69" s="263"/>
      <c r="AM69" s="263"/>
      <c r="AN69" s="263"/>
      <c r="AO69" s="263"/>
      <c r="AP69" s="263"/>
      <c r="AQ69" s="263"/>
      <c r="AR69" s="263"/>
      <c r="AS69" s="263"/>
      <c r="AT69" s="263"/>
      <c r="AU69" s="263"/>
      <c r="AV69" s="263"/>
      <c r="AW69" s="263"/>
      <c r="AX69" s="264"/>
      <c r="AY69" s="264"/>
      <c r="AZ69" s="264"/>
      <c r="BA69" s="264"/>
      <c r="BB69" s="264"/>
      <c r="BC69" s="264"/>
      <c r="BD69" s="264"/>
      <c r="BE69" s="264"/>
      <c r="BF69" s="264"/>
      <c r="BG69" s="264"/>
      <c r="BH69" s="264"/>
      <c r="BI69" s="264"/>
      <c r="BJ69" s="264"/>
      <c r="BK69" s="264"/>
      <c r="BL69" s="264"/>
      <c r="BM69" s="264"/>
      <c r="BN69" s="265"/>
      <c r="BO69" s="265"/>
      <c r="BP69" s="265"/>
      <c r="BQ69" s="265"/>
      <c r="BR69" s="265"/>
      <c r="BS69" s="265"/>
      <c r="BT69" s="265"/>
      <c r="BU69" s="265"/>
      <c r="BV69" s="265"/>
      <c r="BW69" s="265"/>
      <c r="BX69" s="265"/>
      <c r="BY69" s="265"/>
      <c r="BZ69" s="265"/>
      <c r="CA69" s="265"/>
      <c r="CB69" s="265"/>
      <c r="CC69" s="265"/>
      <c r="CD69" s="266"/>
      <c r="CE69" s="266"/>
      <c r="CF69" s="266"/>
      <c r="CG69" s="266"/>
      <c r="CH69" s="266"/>
      <c r="CI69" s="266"/>
      <c r="CJ69" s="266"/>
      <c r="CK69" s="266"/>
      <c r="CL69" s="266"/>
      <c r="CM69" s="266"/>
      <c r="CN69" s="266"/>
      <c r="CO69" s="266"/>
      <c r="CP69" s="266"/>
      <c r="CQ69" s="266"/>
      <c r="CR69" s="266"/>
      <c r="CS69" s="266"/>
      <c r="CT69" s="267"/>
      <c r="CU69" s="267"/>
      <c r="CV69" s="267"/>
      <c r="CW69" s="267"/>
      <c r="CX69" s="267"/>
      <c r="CY69" s="267"/>
      <c r="CZ69" s="267"/>
      <c r="DA69" s="267"/>
      <c r="DB69" s="267"/>
      <c r="DC69" s="267"/>
      <c r="DD69" s="267"/>
      <c r="DE69" s="267"/>
      <c r="DF69" s="267"/>
      <c r="DG69" s="267"/>
      <c r="DH69" s="267"/>
      <c r="DI69" s="267"/>
      <c r="DJ69" s="268"/>
      <c r="DK69" s="268"/>
      <c r="DL69" s="268"/>
      <c r="DM69" s="268"/>
      <c r="DN69" s="268"/>
      <c r="DO69" s="268"/>
      <c r="DP69" s="268"/>
      <c r="DQ69" s="268"/>
      <c r="DR69" s="268"/>
      <c r="DS69" s="268"/>
      <c r="DT69" s="268"/>
      <c r="DU69" s="268"/>
      <c r="DV69" s="268"/>
      <c r="DW69" s="268"/>
      <c r="DX69" s="268"/>
      <c r="DY69" s="268"/>
      <c r="EA69" s="20" t="str">
        <f>FORMULA!$A$68</f>
        <v>QUANTUM GLO 4%</v>
      </c>
      <c r="EB69" s="91">
        <f>FORMULA!$C68</f>
        <v>0</v>
      </c>
      <c r="EC69" s="92">
        <f>FORMULA!$E68</f>
        <v>0</v>
      </c>
      <c r="ED69" s="92">
        <f>FORMULA!$G68</f>
        <v>0</v>
      </c>
      <c r="EE69" s="92">
        <f>FORMULA!$I68</f>
        <v>0</v>
      </c>
      <c r="EF69" s="92">
        <f>FORMULA!$K68</f>
        <v>0</v>
      </c>
      <c r="EG69" s="92">
        <f>FORMULA!$M68</f>
        <v>0</v>
      </c>
      <c r="EH69" s="92">
        <f>FORMULA!$O68</f>
        <v>0</v>
      </c>
      <c r="EI69" s="92">
        <f>FORMULA!$Q68</f>
        <v>0</v>
      </c>
      <c r="EJ69" s="92">
        <f>FORMULA!$S68</f>
        <v>0</v>
      </c>
      <c r="EK69" s="92">
        <f>FORMULA!$U68</f>
        <v>0</v>
      </c>
      <c r="EL69" s="92">
        <f>FORMULA!$W68</f>
        <v>0</v>
      </c>
      <c r="EM69" s="92">
        <f>FORMULA!$Y68</f>
        <v>0</v>
      </c>
      <c r="EN69" s="92">
        <f>FORMULA!$AA68</f>
        <v>0</v>
      </c>
      <c r="EO69" s="92">
        <f>FORMULA!$AC68</f>
        <v>0</v>
      </c>
      <c r="EP69" s="92">
        <f>FORMULA!$AE68</f>
        <v>0</v>
      </c>
      <c r="EQ69" s="108"/>
      <c r="ER69" s="91">
        <f>FORMULA!$C156</f>
        <v>0</v>
      </c>
      <c r="ES69" s="92">
        <f>FORMULA!$E156</f>
        <v>0</v>
      </c>
      <c r="ET69" s="92">
        <f>FORMULA!$G156</f>
        <v>0</v>
      </c>
      <c r="EU69" s="92">
        <f>FORMULA!$I156</f>
        <v>0</v>
      </c>
      <c r="EV69" s="92">
        <f>FORMULA!$K156</f>
        <v>0</v>
      </c>
      <c r="EW69" s="92">
        <f>FORMULA!$M156</f>
        <v>0</v>
      </c>
      <c r="EX69" s="92">
        <f>FORMULA!$O156</f>
        <v>0</v>
      </c>
      <c r="EY69" s="92">
        <f>FORMULA!$Q156</f>
        <v>0</v>
      </c>
      <c r="EZ69" s="92">
        <f>FORMULA!$S156</f>
        <v>0</v>
      </c>
      <c r="FA69" s="92">
        <f>FORMULA!$U156</f>
        <v>0</v>
      </c>
      <c r="FB69" s="92">
        <f>FORMULA!$W156</f>
        <v>0</v>
      </c>
      <c r="FC69" s="92">
        <f>FORMULA!$Y156</f>
        <v>0</v>
      </c>
      <c r="FD69" s="92">
        <f>FORMULA!$AA156</f>
        <v>0</v>
      </c>
      <c r="FE69" s="92">
        <f>FORMULA!$AC156</f>
        <v>0</v>
      </c>
      <c r="FF69" s="92">
        <f>FORMULA!$AE156</f>
        <v>0</v>
      </c>
      <c r="FG69" s="94"/>
      <c r="FH69" s="91">
        <f>FORMULA!$C244</f>
        <v>0</v>
      </c>
      <c r="FI69" s="92">
        <f>FORMULA!$E244</f>
        <v>0</v>
      </c>
      <c r="FJ69" s="92">
        <f>FORMULA!$G244</f>
        <v>0</v>
      </c>
      <c r="FK69" s="92">
        <f>FORMULA!$I244</f>
        <v>0</v>
      </c>
      <c r="FL69" s="92">
        <f>FORMULA!$K244</f>
        <v>0</v>
      </c>
      <c r="FM69" s="92">
        <f>FORMULA!$M244</f>
        <v>0</v>
      </c>
      <c r="FN69" s="92">
        <f>FORMULA!$O244</f>
        <v>0</v>
      </c>
      <c r="FO69" s="92">
        <f>FORMULA!$Q244</f>
        <v>0</v>
      </c>
      <c r="FP69" s="92">
        <f>FORMULA!$S244</f>
        <v>0</v>
      </c>
      <c r="FQ69" s="92">
        <f>FORMULA!$U244</f>
        <v>0</v>
      </c>
      <c r="FR69" s="92">
        <f>FORMULA!$W244</f>
        <v>0</v>
      </c>
      <c r="FS69" s="92">
        <f>FORMULA!$Y244</f>
        <v>0</v>
      </c>
      <c r="FT69" s="92">
        <f>FORMULA!$AA244</f>
        <v>0</v>
      </c>
      <c r="FU69" s="92">
        <f>FORMULA!$AC244</f>
        <v>0</v>
      </c>
      <c r="FV69" s="92">
        <f>FORMULA!$AE244</f>
        <v>0</v>
      </c>
      <c r="FW69" s="94"/>
      <c r="FX69" s="91">
        <f>FORMULA!$C332</f>
        <v>0</v>
      </c>
      <c r="FY69" s="92">
        <f>FORMULA!$E332</f>
        <v>0</v>
      </c>
      <c r="FZ69" s="92">
        <f>FORMULA!$G332</f>
        <v>0</v>
      </c>
      <c r="GA69" s="92">
        <f>FORMULA!$I332</f>
        <v>0</v>
      </c>
      <c r="GB69" s="92">
        <f>FORMULA!$K332</f>
        <v>0</v>
      </c>
      <c r="GC69" s="92">
        <f>FORMULA!$M332</f>
        <v>0</v>
      </c>
      <c r="GD69" s="92">
        <f>FORMULA!$O332</f>
        <v>0</v>
      </c>
      <c r="GE69" s="92">
        <f>FORMULA!$Q332</f>
        <v>0</v>
      </c>
      <c r="GF69" s="92">
        <f>FORMULA!$S332</f>
        <v>0</v>
      </c>
      <c r="GG69" s="92">
        <f>FORMULA!$U332</f>
        <v>0</v>
      </c>
      <c r="GH69" s="92">
        <f>FORMULA!$W332</f>
        <v>0</v>
      </c>
      <c r="GI69" s="92">
        <f>FORMULA!$Y332</f>
        <v>0</v>
      </c>
      <c r="GJ69" s="92">
        <f>FORMULA!$AA332</f>
        <v>0</v>
      </c>
      <c r="GK69" s="92">
        <f>FORMULA!$AC332</f>
        <v>0</v>
      </c>
      <c r="GL69" s="92">
        <f>FORMULA!$AE332</f>
        <v>0</v>
      </c>
      <c r="GM69" s="207"/>
      <c r="GN69" s="91">
        <f>FORMULA!$C420</f>
        <v>0</v>
      </c>
      <c r="GO69" s="92">
        <f>FORMULA!$E420</f>
        <v>0</v>
      </c>
      <c r="GP69" s="92">
        <f>FORMULA!$G420</f>
        <v>0</v>
      </c>
      <c r="GQ69" s="92">
        <f>FORMULA!$I420</f>
        <v>0</v>
      </c>
      <c r="GR69" s="92">
        <f>FORMULA!$K420</f>
        <v>0</v>
      </c>
      <c r="GS69" s="92">
        <f>FORMULA!$M420</f>
        <v>0</v>
      </c>
      <c r="GT69" s="92">
        <f>FORMULA!$O420</f>
        <v>0</v>
      </c>
      <c r="GU69" s="92">
        <f>FORMULA!$Q420</f>
        <v>0</v>
      </c>
      <c r="GV69" s="92">
        <f>FORMULA!$S420</f>
        <v>0</v>
      </c>
      <c r="GW69" s="92">
        <f>FORMULA!$U420</f>
        <v>0</v>
      </c>
      <c r="GX69" s="92">
        <f>FORMULA!$W420</f>
        <v>0</v>
      </c>
      <c r="GY69" s="92">
        <f>FORMULA!$Y420</f>
        <v>0</v>
      </c>
      <c r="GZ69" s="92">
        <f>FORMULA!$AA420</f>
        <v>0</v>
      </c>
      <c r="HA69" s="92">
        <f>FORMULA!$AC420</f>
        <v>0</v>
      </c>
      <c r="HB69" s="92">
        <f>FORMULA!$AE420</f>
        <v>0</v>
      </c>
      <c r="HC69" s="207"/>
      <c r="HD69" s="91">
        <f>FORMULA!$C508</f>
        <v>0</v>
      </c>
      <c r="HE69" s="92">
        <f>FORMULA!$E508</f>
        <v>0</v>
      </c>
      <c r="HF69" s="92">
        <f>FORMULA!$G508</f>
        <v>0</v>
      </c>
      <c r="HG69" s="92">
        <f>FORMULA!$I508</f>
        <v>0</v>
      </c>
      <c r="HH69" s="92">
        <f>FORMULA!$K508</f>
        <v>0</v>
      </c>
      <c r="HI69" s="92">
        <f>FORMULA!$M508</f>
        <v>0</v>
      </c>
      <c r="HJ69" s="92">
        <f>FORMULA!$O508</f>
        <v>0</v>
      </c>
      <c r="HK69" s="92">
        <f>FORMULA!$Q508</f>
        <v>0</v>
      </c>
      <c r="HL69" s="92">
        <f>FORMULA!$S508</f>
        <v>0</v>
      </c>
      <c r="HM69" s="92">
        <f>FORMULA!$U508</f>
        <v>0</v>
      </c>
      <c r="HN69" s="92">
        <f>FORMULA!$W508</f>
        <v>0</v>
      </c>
      <c r="HO69" s="92">
        <f>FORMULA!$Y508</f>
        <v>0</v>
      </c>
      <c r="HP69" s="92">
        <f>FORMULA!$AA508</f>
        <v>0</v>
      </c>
      <c r="HQ69" s="92">
        <f>FORMULA!$AC508</f>
        <v>0</v>
      </c>
      <c r="HR69" s="92">
        <f>FORMULA!$AE508</f>
        <v>0</v>
      </c>
      <c r="HS69" s="207"/>
      <c r="HT69" s="91">
        <f>FORMULA!$C596</f>
        <v>0</v>
      </c>
      <c r="HU69" s="92">
        <f>FORMULA!$E596</f>
        <v>0</v>
      </c>
      <c r="HV69" s="92">
        <f>FORMULA!$G596</f>
        <v>0</v>
      </c>
      <c r="HW69" s="92">
        <f>FORMULA!$I596</f>
        <v>0</v>
      </c>
      <c r="HX69" s="92">
        <f>FORMULA!$K596</f>
        <v>0</v>
      </c>
      <c r="HY69" s="92">
        <f>FORMULA!$M596</f>
        <v>0</v>
      </c>
      <c r="HZ69" s="92">
        <f>FORMULA!$O596</f>
        <v>0</v>
      </c>
      <c r="IA69" s="92">
        <f>FORMULA!$Q596</f>
        <v>0</v>
      </c>
      <c r="IB69" s="92">
        <f>FORMULA!$S596</f>
        <v>0</v>
      </c>
      <c r="IC69" s="92">
        <f>FORMULA!$U596</f>
        <v>0</v>
      </c>
      <c r="ID69" s="92">
        <f>FORMULA!$W596</f>
        <v>0</v>
      </c>
      <c r="IE69" s="92">
        <f>FORMULA!$Y596</f>
        <v>0</v>
      </c>
      <c r="IF69" s="92">
        <f>FORMULA!$AA596</f>
        <v>0</v>
      </c>
      <c r="IG69" s="92">
        <f>FORMULA!$AC596</f>
        <v>0</v>
      </c>
      <c r="IH69" s="92">
        <f>FORMULA!$AE596</f>
        <v>0</v>
      </c>
      <c r="II69" s="207"/>
      <c r="IJ69" s="91">
        <f>FORMULA!$C684</f>
        <v>0</v>
      </c>
      <c r="IK69" s="92">
        <f>FORMULA!$E684</f>
        <v>0</v>
      </c>
      <c r="IL69" s="92">
        <f>FORMULA!$G684</f>
        <v>0</v>
      </c>
      <c r="IM69" s="92">
        <f>FORMULA!$I684</f>
        <v>0</v>
      </c>
      <c r="IN69" s="92">
        <f>FORMULA!$K684</f>
        <v>0</v>
      </c>
      <c r="IO69" s="92">
        <f>FORMULA!$M684</f>
        <v>0</v>
      </c>
      <c r="IP69" s="92">
        <f>FORMULA!$O684</f>
        <v>0</v>
      </c>
      <c r="IQ69" s="92">
        <f>FORMULA!$Q684</f>
        <v>0</v>
      </c>
      <c r="IR69" s="92">
        <f>FORMULA!$S684</f>
        <v>0</v>
      </c>
      <c r="IS69" s="92">
        <f>FORMULA!$U684</f>
        <v>0</v>
      </c>
      <c r="IT69" s="92">
        <f>FORMULA!$W684</f>
        <v>0</v>
      </c>
      <c r="IU69" s="92">
        <f>FORMULA!$Y684</f>
        <v>0</v>
      </c>
      <c r="IV69" s="92">
        <f>FORMULA!$AA684</f>
        <v>0</v>
      </c>
      <c r="IW69" s="92">
        <f>FORMULA!$AC684</f>
        <v>0</v>
      </c>
      <c r="IX69" s="92">
        <f>FORMULA!$AE684</f>
        <v>0</v>
      </c>
      <c r="IY69" s="208"/>
    </row>
    <row r="70" spans="1:259" outlineLevel="1">
      <c r="A70" s="11">
        <f>'VAC &amp; MED'!C57</f>
        <v>46069</v>
      </c>
      <c r="B70" s="261">
        <v>30</v>
      </c>
      <c r="C70" s="261"/>
      <c r="D70" s="261"/>
      <c r="E70" s="261"/>
      <c r="F70" s="261"/>
      <c r="G70" s="261"/>
      <c r="H70" s="261"/>
      <c r="I70" s="261"/>
      <c r="J70" s="261"/>
      <c r="K70" s="261"/>
      <c r="L70" s="261"/>
      <c r="M70" s="261"/>
      <c r="N70" s="261"/>
      <c r="O70" s="261"/>
      <c r="P70" s="261"/>
      <c r="Q70" s="261"/>
      <c r="R70" s="262"/>
      <c r="S70" s="262"/>
      <c r="T70" s="262"/>
      <c r="U70" s="262"/>
      <c r="V70" s="262"/>
      <c r="W70" s="262"/>
      <c r="X70" s="262"/>
      <c r="Y70" s="262"/>
      <c r="Z70" s="262"/>
      <c r="AA70" s="262"/>
      <c r="AB70" s="262"/>
      <c r="AC70" s="262"/>
      <c r="AD70" s="262"/>
      <c r="AE70" s="262"/>
      <c r="AF70" s="262"/>
      <c r="AG70" s="262"/>
      <c r="AH70" s="263"/>
      <c r="AI70" s="263"/>
      <c r="AJ70" s="263"/>
      <c r="AK70" s="263"/>
      <c r="AL70" s="263"/>
      <c r="AM70" s="263"/>
      <c r="AN70" s="263"/>
      <c r="AO70" s="263"/>
      <c r="AP70" s="263"/>
      <c r="AQ70" s="263"/>
      <c r="AR70" s="263"/>
      <c r="AS70" s="263"/>
      <c r="AT70" s="263"/>
      <c r="AU70" s="263"/>
      <c r="AV70" s="263"/>
      <c r="AW70" s="263"/>
      <c r="AX70" s="264"/>
      <c r="AY70" s="264"/>
      <c r="AZ70" s="264"/>
      <c r="BA70" s="264"/>
      <c r="BB70" s="264"/>
      <c r="BC70" s="264"/>
      <c r="BD70" s="264"/>
      <c r="BE70" s="264"/>
      <c r="BF70" s="264"/>
      <c r="BG70" s="264"/>
      <c r="BH70" s="264"/>
      <c r="BI70" s="264"/>
      <c r="BJ70" s="264"/>
      <c r="BK70" s="264"/>
      <c r="BL70" s="264"/>
      <c r="BM70" s="264"/>
      <c r="BN70" s="265"/>
      <c r="BO70" s="265"/>
      <c r="BP70" s="265"/>
      <c r="BQ70" s="265"/>
      <c r="BR70" s="265"/>
      <c r="BS70" s="265"/>
      <c r="BT70" s="265"/>
      <c r="BU70" s="265"/>
      <c r="BV70" s="265"/>
      <c r="BW70" s="265"/>
      <c r="BX70" s="265"/>
      <c r="BY70" s="265"/>
      <c r="BZ70" s="265"/>
      <c r="CA70" s="265"/>
      <c r="CB70" s="265"/>
      <c r="CC70" s="265"/>
      <c r="CD70" s="266"/>
      <c r="CE70" s="266"/>
      <c r="CF70" s="266"/>
      <c r="CG70" s="266"/>
      <c r="CH70" s="266"/>
      <c r="CI70" s="266"/>
      <c r="CJ70" s="266"/>
      <c r="CK70" s="266"/>
      <c r="CL70" s="266"/>
      <c r="CM70" s="266"/>
      <c r="CN70" s="266"/>
      <c r="CO70" s="266"/>
      <c r="CP70" s="266"/>
      <c r="CQ70" s="266"/>
      <c r="CR70" s="266"/>
      <c r="CS70" s="266"/>
      <c r="CT70" s="267"/>
      <c r="CU70" s="267"/>
      <c r="CV70" s="267"/>
      <c r="CW70" s="267"/>
      <c r="CX70" s="267"/>
      <c r="CY70" s="267"/>
      <c r="CZ70" s="267"/>
      <c r="DA70" s="267"/>
      <c r="DB70" s="267"/>
      <c r="DC70" s="267"/>
      <c r="DD70" s="267"/>
      <c r="DE70" s="267"/>
      <c r="DF70" s="267"/>
      <c r="DG70" s="267"/>
      <c r="DH70" s="267"/>
      <c r="DI70" s="267"/>
      <c r="DJ70" s="268"/>
      <c r="DK70" s="268"/>
      <c r="DL70" s="268"/>
      <c r="DM70" s="268"/>
      <c r="DN70" s="268"/>
      <c r="DO70" s="268"/>
      <c r="DP70" s="268"/>
      <c r="DQ70" s="268"/>
      <c r="DR70" s="268"/>
      <c r="DS70" s="268"/>
      <c r="DT70" s="268"/>
      <c r="DU70" s="268"/>
      <c r="DV70" s="268"/>
      <c r="DW70" s="268"/>
      <c r="DX70" s="268"/>
      <c r="DY70" s="268"/>
      <c r="EA70" s="20" t="str">
        <f>FORMULA!$A$69</f>
        <v>SALT</v>
      </c>
      <c r="EB70" s="91">
        <f>FORMULA!$C69</f>
        <v>0</v>
      </c>
      <c r="EC70" s="92">
        <f>FORMULA!$E69</f>
        <v>0</v>
      </c>
      <c r="ED70" s="92">
        <f>FORMULA!$G69</f>
        <v>0</v>
      </c>
      <c r="EE70" s="92">
        <f>FORMULA!$I69</f>
        <v>0</v>
      </c>
      <c r="EF70" s="92">
        <f>FORMULA!$K69</f>
        <v>0</v>
      </c>
      <c r="EG70" s="92">
        <f>FORMULA!$M69</f>
        <v>0</v>
      </c>
      <c r="EH70" s="92">
        <f>FORMULA!$O69</f>
        <v>0</v>
      </c>
      <c r="EI70" s="92">
        <f>FORMULA!$Q69</f>
        <v>0</v>
      </c>
      <c r="EJ70" s="92">
        <f>FORMULA!$S69</f>
        <v>0</v>
      </c>
      <c r="EK70" s="92">
        <f>FORMULA!$U69</f>
        <v>0</v>
      </c>
      <c r="EL70" s="92">
        <f>FORMULA!$W69</f>
        <v>0</v>
      </c>
      <c r="EM70" s="92">
        <f>FORMULA!$Y69</f>
        <v>0</v>
      </c>
      <c r="EN70" s="92">
        <f>FORMULA!$AA69</f>
        <v>0</v>
      </c>
      <c r="EO70" s="92">
        <f>FORMULA!$AC69</f>
        <v>0</v>
      </c>
      <c r="EP70" s="92">
        <f>FORMULA!$AE69</f>
        <v>0</v>
      </c>
      <c r="EQ70" s="108"/>
      <c r="ER70" s="91">
        <f>FORMULA!$C157</f>
        <v>0</v>
      </c>
      <c r="ES70" s="92">
        <f>FORMULA!$E157</f>
        <v>0</v>
      </c>
      <c r="ET70" s="92">
        <f>FORMULA!$G157</f>
        <v>0</v>
      </c>
      <c r="EU70" s="92">
        <f>FORMULA!$I157</f>
        <v>0</v>
      </c>
      <c r="EV70" s="92">
        <f>FORMULA!$K157</f>
        <v>0</v>
      </c>
      <c r="EW70" s="92">
        <f>FORMULA!$M157</f>
        <v>0</v>
      </c>
      <c r="EX70" s="92">
        <f>FORMULA!$O157</f>
        <v>0</v>
      </c>
      <c r="EY70" s="92">
        <f>FORMULA!$Q157</f>
        <v>0</v>
      </c>
      <c r="EZ70" s="92">
        <f>FORMULA!$S157</f>
        <v>0</v>
      </c>
      <c r="FA70" s="92">
        <f>FORMULA!$U157</f>
        <v>0</v>
      </c>
      <c r="FB70" s="92">
        <f>FORMULA!$W157</f>
        <v>0</v>
      </c>
      <c r="FC70" s="92">
        <f>FORMULA!$Y157</f>
        <v>0</v>
      </c>
      <c r="FD70" s="92">
        <f>FORMULA!$AA157</f>
        <v>0</v>
      </c>
      <c r="FE70" s="92">
        <f>FORMULA!$AC157</f>
        <v>0</v>
      </c>
      <c r="FF70" s="92">
        <f>FORMULA!$AE157</f>
        <v>0</v>
      </c>
      <c r="FG70" s="94"/>
      <c r="FH70" s="91">
        <f>FORMULA!$C245</f>
        <v>0</v>
      </c>
      <c r="FI70" s="92">
        <f>FORMULA!$E245</f>
        <v>0</v>
      </c>
      <c r="FJ70" s="92">
        <f>FORMULA!$G245</f>
        <v>0</v>
      </c>
      <c r="FK70" s="92">
        <f>FORMULA!$I245</f>
        <v>0</v>
      </c>
      <c r="FL70" s="92">
        <f>FORMULA!$K245</f>
        <v>0</v>
      </c>
      <c r="FM70" s="92">
        <f>FORMULA!$M245</f>
        <v>0</v>
      </c>
      <c r="FN70" s="92">
        <f>FORMULA!$O245</f>
        <v>0</v>
      </c>
      <c r="FO70" s="92">
        <f>FORMULA!$Q245</f>
        <v>0</v>
      </c>
      <c r="FP70" s="92">
        <f>FORMULA!$S245</f>
        <v>0</v>
      </c>
      <c r="FQ70" s="92">
        <f>FORMULA!$U245</f>
        <v>0</v>
      </c>
      <c r="FR70" s="92">
        <f>FORMULA!$W245</f>
        <v>0</v>
      </c>
      <c r="FS70" s="92">
        <f>FORMULA!$Y245</f>
        <v>0</v>
      </c>
      <c r="FT70" s="92">
        <f>FORMULA!$AA245</f>
        <v>0</v>
      </c>
      <c r="FU70" s="92">
        <f>FORMULA!$AC245</f>
        <v>0</v>
      </c>
      <c r="FV70" s="92">
        <f>FORMULA!$AE245</f>
        <v>0</v>
      </c>
      <c r="FW70" s="94"/>
      <c r="FX70" s="91">
        <f>FORMULA!$C333</f>
        <v>0</v>
      </c>
      <c r="FY70" s="92">
        <f>FORMULA!$E333</f>
        <v>0</v>
      </c>
      <c r="FZ70" s="92">
        <f>FORMULA!$G333</f>
        <v>0</v>
      </c>
      <c r="GA70" s="92">
        <f>FORMULA!$I333</f>
        <v>0</v>
      </c>
      <c r="GB70" s="92">
        <f>FORMULA!$K333</f>
        <v>0</v>
      </c>
      <c r="GC70" s="92">
        <f>FORMULA!$M333</f>
        <v>0</v>
      </c>
      <c r="GD70" s="92">
        <f>FORMULA!$O333</f>
        <v>0</v>
      </c>
      <c r="GE70" s="92">
        <f>FORMULA!$Q333</f>
        <v>0</v>
      </c>
      <c r="GF70" s="92">
        <f>FORMULA!$S333</f>
        <v>0</v>
      </c>
      <c r="GG70" s="92">
        <f>FORMULA!$U333</f>
        <v>0</v>
      </c>
      <c r="GH70" s="92">
        <f>FORMULA!$W333</f>
        <v>0</v>
      </c>
      <c r="GI70" s="92">
        <f>FORMULA!$Y333</f>
        <v>0</v>
      </c>
      <c r="GJ70" s="92">
        <f>FORMULA!$AA333</f>
        <v>0</v>
      </c>
      <c r="GK70" s="92">
        <f>FORMULA!$AC333</f>
        <v>0</v>
      </c>
      <c r="GL70" s="92">
        <f>FORMULA!$AE333</f>
        <v>0</v>
      </c>
      <c r="GM70" s="207"/>
      <c r="GN70" s="91">
        <f>FORMULA!$C421</f>
        <v>0</v>
      </c>
      <c r="GO70" s="92">
        <f>FORMULA!$E421</f>
        <v>0</v>
      </c>
      <c r="GP70" s="92">
        <f>FORMULA!$G421</f>
        <v>0</v>
      </c>
      <c r="GQ70" s="92">
        <f>FORMULA!$I421</f>
        <v>0</v>
      </c>
      <c r="GR70" s="92">
        <f>FORMULA!$K421</f>
        <v>0</v>
      </c>
      <c r="GS70" s="92">
        <f>FORMULA!$M421</f>
        <v>0</v>
      </c>
      <c r="GT70" s="92">
        <f>FORMULA!$O421</f>
        <v>0</v>
      </c>
      <c r="GU70" s="92">
        <f>FORMULA!$Q421</f>
        <v>0</v>
      </c>
      <c r="GV70" s="92">
        <f>FORMULA!$S421</f>
        <v>0</v>
      </c>
      <c r="GW70" s="92">
        <f>FORMULA!$U421</f>
        <v>0</v>
      </c>
      <c r="GX70" s="92">
        <f>FORMULA!$W421</f>
        <v>0</v>
      </c>
      <c r="GY70" s="92">
        <f>FORMULA!$Y421</f>
        <v>0</v>
      </c>
      <c r="GZ70" s="92">
        <f>FORMULA!$AA421</f>
        <v>0</v>
      </c>
      <c r="HA70" s="92">
        <f>FORMULA!$AC421</f>
        <v>0</v>
      </c>
      <c r="HB70" s="92">
        <f>FORMULA!$AE421</f>
        <v>0</v>
      </c>
      <c r="HC70" s="207"/>
      <c r="HD70" s="91">
        <f>FORMULA!$C509</f>
        <v>0</v>
      </c>
      <c r="HE70" s="92">
        <f>FORMULA!$E509</f>
        <v>0</v>
      </c>
      <c r="HF70" s="92">
        <f>FORMULA!$G509</f>
        <v>0</v>
      </c>
      <c r="HG70" s="92">
        <f>FORMULA!$I509</f>
        <v>0</v>
      </c>
      <c r="HH70" s="92">
        <f>FORMULA!$K509</f>
        <v>0</v>
      </c>
      <c r="HI70" s="92">
        <f>FORMULA!$M509</f>
        <v>0</v>
      </c>
      <c r="HJ70" s="92">
        <f>FORMULA!$O509</f>
        <v>0</v>
      </c>
      <c r="HK70" s="92">
        <f>FORMULA!$Q509</f>
        <v>0</v>
      </c>
      <c r="HL70" s="92">
        <f>FORMULA!$S509</f>
        <v>0</v>
      </c>
      <c r="HM70" s="92">
        <f>FORMULA!$U509</f>
        <v>0</v>
      </c>
      <c r="HN70" s="92">
        <f>FORMULA!$W509</f>
        <v>0</v>
      </c>
      <c r="HO70" s="92">
        <f>FORMULA!$Y509</f>
        <v>0</v>
      </c>
      <c r="HP70" s="92">
        <f>FORMULA!$AA509</f>
        <v>0</v>
      </c>
      <c r="HQ70" s="92">
        <f>FORMULA!$AC509</f>
        <v>0</v>
      </c>
      <c r="HR70" s="92">
        <f>FORMULA!$AE509</f>
        <v>0</v>
      </c>
      <c r="HS70" s="207"/>
      <c r="HT70" s="91">
        <f>FORMULA!$C597</f>
        <v>0</v>
      </c>
      <c r="HU70" s="92">
        <f>FORMULA!$E597</f>
        <v>0</v>
      </c>
      <c r="HV70" s="92">
        <f>FORMULA!$G597</f>
        <v>0</v>
      </c>
      <c r="HW70" s="92">
        <f>FORMULA!$I597</f>
        <v>0</v>
      </c>
      <c r="HX70" s="92">
        <f>FORMULA!$K597</f>
        <v>0</v>
      </c>
      <c r="HY70" s="92">
        <f>FORMULA!$M597</f>
        <v>0</v>
      </c>
      <c r="HZ70" s="92">
        <f>FORMULA!$O597</f>
        <v>0</v>
      </c>
      <c r="IA70" s="92">
        <f>FORMULA!$Q597</f>
        <v>0</v>
      </c>
      <c r="IB70" s="92">
        <f>FORMULA!$S597</f>
        <v>0</v>
      </c>
      <c r="IC70" s="92">
        <f>FORMULA!$U597</f>
        <v>0</v>
      </c>
      <c r="ID70" s="92">
        <f>FORMULA!$W597</f>
        <v>0</v>
      </c>
      <c r="IE70" s="92">
        <f>FORMULA!$Y597</f>
        <v>0</v>
      </c>
      <c r="IF70" s="92">
        <f>FORMULA!$AA597</f>
        <v>0</v>
      </c>
      <c r="IG70" s="92">
        <f>FORMULA!$AC597</f>
        <v>0</v>
      </c>
      <c r="IH70" s="92">
        <f>FORMULA!$AE597</f>
        <v>0</v>
      </c>
      <c r="II70" s="207"/>
      <c r="IJ70" s="91">
        <f>FORMULA!$C685</f>
        <v>0</v>
      </c>
      <c r="IK70" s="92">
        <f>FORMULA!$E685</f>
        <v>0</v>
      </c>
      <c r="IL70" s="92">
        <f>FORMULA!$G685</f>
        <v>0</v>
      </c>
      <c r="IM70" s="92">
        <f>FORMULA!$I685</f>
        <v>0</v>
      </c>
      <c r="IN70" s="92">
        <f>FORMULA!$K685</f>
        <v>0</v>
      </c>
      <c r="IO70" s="92">
        <f>FORMULA!$M685</f>
        <v>0</v>
      </c>
      <c r="IP70" s="92">
        <f>FORMULA!$O685</f>
        <v>0</v>
      </c>
      <c r="IQ70" s="92">
        <f>FORMULA!$Q685</f>
        <v>0</v>
      </c>
      <c r="IR70" s="92">
        <f>FORMULA!$S685</f>
        <v>0</v>
      </c>
      <c r="IS70" s="92">
        <f>FORMULA!$U685</f>
        <v>0</v>
      </c>
      <c r="IT70" s="92">
        <f>FORMULA!$W685</f>
        <v>0</v>
      </c>
      <c r="IU70" s="92">
        <f>FORMULA!$Y685</f>
        <v>0</v>
      </c>
      <c r="IV70" s="92">
        <f>FORMULA!$AA685</f>
        <v>0</v>
      </c>
      <c r="IW70" s="92">
        <f>FORMULA!$AC685</f>
        <v>0</v>
      </c>
      <c r="IX70" s="92">
        <f>FORMULA!$AE685</f>
        <v>0</v>
      </c>
      <c r="IY70" s="208"/>
    </row>
    <row r="71" spans="1:259" outlineLevel="1">
      <c r="A71" s="11">
        <f>'VAC &amp; MED'!C58</f>
        <v>46070</v>
      </c>
      <c r="B71" s="261"/>
      <c r="C71" s="261"/>
      <c r="D71" s="261"/>
      <c r="E71" s="261"/>
      <c r="F71" s="261"/>
      <c r="G71" s="261"/>
      <c r="H71" s="261"/>
      <c r="I71" s="261"/>
      <c r="J71" s="261"/>
      <c r="K71" s="261"/>
      <c r="L71" s="261"/>
      <c r="M71" s="261"/>
      <c r="N71" s="261"/>
      <c r="O71" s="261"/>
      <c r="P71" s="261"/>
      <c r="Q71" s="261"/>
      <c r="R71" s="262"/>
      <c r="S71" s="262"/>
      <c r="T71" s="262"/>
      <c r="U71" s="262"/>
      <c r="V71" s="262"/>
      <c r="W71" s="262"/>
      <c r="X71" s="262"/>
      <c r="Y71" s="262"/>
      <c r="Z71" s="262"/>
      <c r="AA71" s="262"/>
      <c r="AB71" s="262"/>
      <c r="AC71" s="262"/>
      <c r="AD71" s="262"/>
      <c r="AE71" s="262"/>
      <c r="AF71" s="262"/>
      <c r="AG71" s="262"/>
      <c r="AH71" s="263"/>
      <c r="AI71" s="263"/>
      <c r="AJ71" s="263"/>
      <c r="AK71" s="263"/>
      <c r="AL71" s="263"/>
      <c r="AM71" s="263"/>
      <c r="AN71" s="263"/>
      <c r="AO71" s="263"/>
      <c r="AP71" s="263"/>
      <c r="AQ71" s="263"/>
      <c r="AR71" s="263"/>
      <c r="AS71" s="263"/>
      <c r="AT71" s="263"/>
      <c r="AU71" s="263"/>
      <c r="AV71" s="263"/>
      <c r="AW71" s="263"/>
      <c r="AX71" s="264"/>
      <c r="AY71" s="264"/>
      <c r="AZ71" s="264"/>
      <c r="BA71" s="264"/>
      <c r="BB71" s="264"/>
      <c r="BC71" s="264"/>
      <c r="BD71" s="264"/>
      <c r="BE71" s="264"/>
      <c r="BF71" s="264"/>
      <c r="BG71" s="264"/>
      <c r="BH71" s="264"/>
      <c r="BI71" s="264"/>
      <c r="BJ71" s="264"/>
      <c r="BK71" s="264"/>
      <c r="BL71" s="264"/>
      <c r="BM71" s="264"/>
      <c r="BN71" s="265"/>
      <c r="BO71" s="265"/>
      <c r="BP71" s="265"/>
      <c r="BQ71" s="265"/>
      <c r="BR71" s="265"/>
      <c r="BS71" s="265"/>
      <c r="BT71" s="265"/>
      <c r="BU71" s="265"/>
      <c r="BV71" s="265"/>
      <c r="BW71" s="265"/>
      <c r="BX71" s="265"/>
      <c r="BY71" s="265"/>
      <c r="BZ71" s="265"/>
      <c r="CA71" s="265"/>
      <c r="CB71" s="265"/>
      <c r="CC71" s="265"/>
      <c r="CD71" s="266"/>
      <c r="CE71" s="266"/>
      <c r="CF71" s="266"/>
      <c r="CG71" s="266"/>
      <c r="CH71" s="266"/>
      <c r="CI71" s="266"/>
      <c r="CJ71" s="266"/>
      <c r="CK71" s="266"/>
      <c r="CL71" s="266"/>
      <c r="CM71" s="266"/>
      <c r="CN71" s="266"/>
      <c r="CO71" s="266"/>
      <c r="CP71" s="266"/>
      <c r="CQ71" s="266"/>
      <c r="CR71" s="266"/>
      <c r="CS71" s="266"/>
      <c r="CT71" s="267"/>
      <c r="CU71" s="267"/>
      <c r="CV71" s="267"/>
      <c r="CW71" s="267"/>
      <c r="CX71" s="267"/>
      <c r="CY71" s="267"/>
      <c r="CZ71" s="267"/>
      <c r="DA71" s="267"/>
      <c r="DB71" s="267"/>
      <c r="DC71" s="267"/>
      <c r="DD71" s="267"/>
      <c r="DE71" s="267"/>
      <c r="DF71" s="267"/>
      <c r="DG71" s="267"/>
      <c r="DH71" s="267"/>
      <c r="DI71" s="267"/>
      <c r="DJ71" s="268"/>
      <c r="DK71" s="268"/>
      <c r="DL71" s="268"/>
      <c r="DM71" s="268"/>
      <c r="DN71" s="268"/>
      <c r="DO71" s="268"/>
      <c r="DP71" s="268"/>
      <c r="DQ71" s="268"/>
      <c r="DR71" s="268"/>
      <c r="DS71" s="268"/>
      <c r="DT71" s="268"/>
      <c r="DU71" s="268"/>
      <c r="DV71" s="268"/>
      <c r="DW71" s="268"/>
      <c r="DX71" s="268"/>
      <c r="DY71" s="268"/>
      <c r="EA71" s="383" t="str">
        <f>FORMULA!$A$70</f>
        <v>OC 200 - OXYTET 20%</v>
      </c>
      <c r="EB71" s="91">
        <f>FORMULA!$C70</f>
        <v>0</v>
      </c>
      <c r="EC71" s="92">
        <f>FORMULA!$E70</f>
        <v>0</v>
      </c>
      <c r="ED71" s="92">
        <f>FORMULA!$G70</f>
        <v>0</v>
      </c>
      <c r="EE71" s="92">
        <f>FORMULA!$I70</f>
        <v>0</v>
      </c>
      <c r="EF71" s="92">
        <f>FORMULA!$K70</f>
        <v>0</v>
      </c>
      <c r="EG71" s="92">
        <f>FORMULA!$M70</f>
        <v>0</v>
      </c>
      <c r="EH71" s="92">
        <f>FORMULA!$O70</f>
        <v>0</v>
      </c>
      <c r="EI71" s="92">
        <f>FORMULA!$Q70</f>
        <v>0</v>
      </c>
      <c r="EJ71" s="92">
        <f>FORMULA!$S70</f>
        <v>0</v>
      </c>
      <c r="EK71" s="92">
        <f>FORMULA!$U70</f>
        <v>0</v>
      </c>
      <c r="EL71" s="92">
        <f>FORMULA!$W70</f>
        <v>0</v>
      </c>
      <c r="EM71" s="92">
        <f>FORMULA!$Y70</f>
        <v>0</v>
      </c>
      <c r="EN71" s="92">
        <f>FORMULA!$AA70</f>
        <v>0</v>
      </c>
      <c r="EO71" s="92">
        <f>FORMULA!$AC70</f>
        <v>0</v>
      </c>
      <c r="EP71" s="92">
        <f>FORMULA!$AE70</f>
        <v>0</v>
      </c>
      <c r="EQ71" s="108"/>
      <c r="ER71" s="91">
        <f>FORMULA!$C158</f>
        <v>0</v>
      </c>
      <c r="ES71" s="92">
        <f>FORMULA!$E158</f>
        <v>0</v>
      </c>
      <c r="ET71" s="92">
        <f>FORMULA!$G158</f>
        <v>0</v>
      </c>
      <c r="EU71" s="92">
        <f>FORMULA!$I158</f>
        <v>0</v>
      </c>
      <c r="EV71" s="92">
        <f>FORMULA!$K158</f>
        <v>0</v>
      </c>
      <c r="EW71" s="92">
        <f>FORMULA!$M158</f>
        <v>0</v>
      </c>
      <c r="EX71" s="92">
        <f>FORMULA!$O158</f>
        <v>0</v>
      </c>
      <c r="EY71" s="92">
        <f>FORMULA!$Q158</f>
        <v>0</v>
      </c>
      <c r="EZ71" s="92">
        <f>FORMULA!$S158</f>
        <v>0</v>
      </c>
      <c r="FA71" s="92">
        <f>FORMULA!$U158</f>
        <v>0</v>
      </c>
      <c r="FB71" s="92">
        <f>FORMULA!$W158</f>
        <v>0</v>
      </c>
      <c r="FC71" s="92">
        <f>FORMULA!$Y158</f>
        <v>0</v>
      </c>
      <c r="FD71" s="92">
        <f>FORMULA!$AA158</f>
        <v>0</v>
      </c>
      <c r="FE71" s="92">
        <f>FORMULA!$AC158</f>
        <v>0</v>
      </c>
      <c r="FF71" s="92">
        <f>FORMULA!$AE158</f>
        <v>0</v>
      </c>
      <c r="FG71" s="94"/>
      <c r="FH71" s="91">
        <f>FORMULA!$C246</f>
        <v>0</v>
      </c>
      <c r="FI71" s="92">
        <f>FORMULA!$E246</f>
        <v>0</v>
      </c>
      <c r="FJ71" s="92">
        <f>FORMULA!$G246</f>
        <v>0</v>
      </c>
      <c r="FK71" s="92">
        <f>FORMULA!$I246</f>
        <v>0</v>
      </c>
      <c r="FL71" s="92">
        <f>FORMULA!$K246</f>
        <v>0</v>
      </c>
      <c r="FM71" s="92">
        <f>FORMULA!$M246</f>
        <v>0</v>
      </c>
      <c r="FN71" s="92">
        <f>FORMULA!$O246</f>
        <v>0</v>
      </c>
      <c r="FO71" s="92">
        <f>FORMULA!$Q246</f>
        <v>0</v>
      </c>
      <c r="FP71" s="92">
        <f>FORMULA!$S246</f>
        <v>0</v>
      </c>
      <c r="FQ71" s="92">
        <f>FORMULA!$U246</f>
        <v>0</v>
      </c>
      <c r="FR71" s="92">
        <f>FORMULA!$W246</f>
        <v>0</v>
      </c>
      <c r="FS71" s="92">
        <f>FORMULA!$Y246</f>
        <v>0</v>
      </c>
      <c r="FT71" s="92">
        <f>FORMULA!$AA246</f>
        <v>0</v>
      </c>
      <c r="FU71" s="92">
        <f>FORMULA!$AC246</f>
        <v>0</v>
      </c>
      <c r="FV71" s="92">
        <f>FORMULA!$AE246</f>
        <v>0</v>
      </c>
      <c r="FW71" s="94"/>
      <c r="FX71" s="91">
        <f>FORMULA!$C334</f>
        <v>0</v>
      </c>
      <c r="FY71" s="92">
        <f>FORMULA!$E334</f>
        <v>0</v>
      </c>
      <c r="FZ71" s="92">
        <f>FORMULA!$G334</f>
        <v>0</v>
      </c>
      <c r="GA71" s="92">
        <f>FORMULA!$I334</f>
        <v>0</v>
      </c>
      <c r="GB71" s="92">
        <f>FORMULA!$K334</f>
        <v>0</v>
      </c>
      <c r="GC71" s="92">
        <f>FORMULA!$M334</f>
        <v>0</v>
      </c>
      <c r="GD71" s="92">
        <f>FORMULA!$O334</f>
        <v>0</v>
      </c>
      <c r="GE71" s="92">
        <f>FORMULA!$Q334</f>
        <v>0</v>
      </c>
      <c r="GF71" s="92">
        <f>FORMULA!$S334</f>
        <v>0</v>
      </c>
      <c r="GG71" s="92">
        <f>FORMULA!$U334</f>
        <v>0</v>
      </c>
      <c r="GH71" s="92">
        <f>FORMULA!$W334</f>
        <v>0</v>
      </c>
      <c r="GI71" s="92">
        <f>FORMULA!$Y334</f>
        <v>0</v>
      </c>
      <c r="GJ71" s="92">
        <f>FORMULA!$AA334</f>
        <v>0</v>
      </c>
      <c r="GK71" s="92">
        <f>FORMULA!$AC334</f>
        <v>0</v>
      </c>
      <c r="GL71" s="92">
        <f>FORMULA!$AE334</f>
        <v>0</v>
      </c>
      <c r="GM71" s="207"/>
      <c r="GN71" s="91">
        <f>FORMULA!$C422</f>
        <v>0</v>
      </c>
      <c r="GO71" s="92">
        <f>FORMULA!$E422</f>
        <v>0</v>
      </c>
      <c r="GP71" s="92">
        <f>FORMULA!$G422</f>
        <v>0</v>
      </c>
      <c r="GQ71" s="92">
        <f>FORMULA!$I422</f>
        <v>0</v>
      </c>
      <c r="GR71" s="92">
        <f>FORMULA!$K422</f>
        <v>0</v>
      </c>
      <c r="GS71" s="92">
        <f>FORMULA!$M422</f>
        <v>0</v>
      </c>
      <c r="GT71" s="92">
        <f>FORMULA!$O422</f>
        <v>0</v>
      </c>
      <c r="GU71" s="92">
        <f>FORMULA!$Q422</f>
        <v>0</v>
      </c>
      <c r="GV71" s="92">
        <f>FORMULA!$S422</f>
        <v>0</v>
      </c>
      <c r="GW71" s="92">
        <f>FORMULA!$U422</f>
        <v>0</v>
      </c>
      <c r="GX71" s="92">
        <f>FORMULA!$W422</f>
        <v>0</v>
      </c>
      <c r="GY71" s="92">
        <f>FORMULA!$Y422</f>
        <v>0</v>
      </c>
      <c r="GZ71" s="92">
        <f>FORMULA!$AA422</f>
        <v>0</v>
      </c>
      <c r="HA71" s="92">
        <f>FORMULA!$AC422</f>
        <v>0</v>
      </c>
      <c r="HB71" s="92">
        <f>FORMULA!$AE422</f>
        <v>0</v>
      </c>
      <c r="HC71" s="207"/>
      <c r="HD71" s="91">
        <f>FORMULA!$C510</f>
        <v>0</v>
      </c>
      <c r="HE71" s="92">
        <f>FORMULA!$E510</f>
        <v>0</v>
      </c>
      <c r="HF71" s="92">
        <f>FORMULA!$G510</f>
        <v>0</v>
      </c>
      <c r="HG71" s="92">
        <f>FORMULA!$I510</f>
        <v>0</v>
      </c>
      <c r="HH71" s="92">
        <f>FORMULA!$K510</f>
        <v>0</v>
      </c>
      <c r="HI71" s="92">
        <f>FORMULA!$M510</f>
        <v>0</v>
      </c>
      <c r="HJ71" s="92">
        <f>FORMULA!$O510</f>
        <v>0</v>
      </c>
      <c r="HK71" s="92">
        <f>FORMULA!$Q510</f>
        <v>0</v>
      </c>
      <c r="HL71" s="92">
        <f>FORMULA!$S510</f>
        <v>0</v>
      </c>
      <c r="HM71" s="92">
        <f>FORMULA!$U510</f>
        <v>0</v>
      </c>
      <c r="HN71" s="92">
        <f>FORMULA!$W510</f>
        <v>0</v>
      </c>
      <c r="HO71" s="92">
        <f>FORMULA!$Y510</f>
        <v>0</v>
      </c>
      <c r="HP71" s="92">
        <f>FORMULA!$AA510</f>
        <v>0</v>
      </c>
      <c r="HQ71" s="92">
        <f>FORMULA!$AC510</f>
        <v>0</v>
      </c>
      <c r="HR71" s="92">
        <f>FORMULA!$AE510</f>
        <v>0</v>
      </c>
      <c r="HS71" s="207"/>
      <c r="HT71" s="91">
        <f>FORMULA!$C598</f>
        <v>0</v>
      </c>
      <c r="HU71" s="92">
        <f>FORMULA!$E598</f>
        <v>0</v>
      </c>
      <c r="HV71" s="92">
        <f>FORMULA!$G598</f>
        <v>0</v>
      </c>
      <c r="HW71" s="92">
        <f>FORMULA!$I598</f>
        <v>0</v>
      </c>
      <c r="HX71" s="92">
        <f>FORMULA!$K598</f>
        <v>0</v>
      </c>
      <c r="HY71" s="92">
        <f>FORMULA!$M598</f>
        <v>0</v>
      </c>
      <c r="HZ71" s="92">
        <f>FORMULA!$O598</f>
        <v>0</v>
      </c>
      <c r="IA71" s="92">
        <f>FORMULA!$Q598</f>
        <v>0</v>
      </c>
      <c r="IB71" s="92">
        <f>FORMULA!$S598</f>
        <v>0</v>
      </c>
      <c r="IC71" s="92">
        <f>FORMULA!$U598</f>
        <v>0</v>
      </c>
      <c r="ID71" s="92">
        <f>FORMULA!$W598</f>
        <v>0</v>
      </c>
      <c r="IE71" s="92">
        <f>FORMULA!$Y598</f>
        <v>0</v>
      </c>
      <c r="IF71" s="92">
        <f>FORMULA!$AA598</f>
        <v>0</v>
      </c>
      <c r="IG71" s="92">
        <f>FORMULA!$AC598</f>
        <v>0</v>
      </c>
      <c r="IH71" s="92">
        <f>FORMULA!$AE598</f>
        <v>0</v>
      </c>
      <c r="II71" s="207"/>
      <c r="IJ71" s="91">
        <f>FORMULA!$C686</f>
        <v>0</v>
      </c>
      <c r="IK71" s="92">
        <f>FORMULA!$E686</f>
        <v>0</v>
      </c>
      <c r="IL71" s="92">
        <f>FORMULA!$G686</f>
        <v>0</v>
      </c>
      <c r="IM71" s="92">
        <f>FORMULA!$I686</f>
        <v>0</v>
      </c>
      <c r="IN71" s="92">
        <f>FORMULA!$K686</f>
        <v>0</v>
      </c>
      <c r="IO71" s="92">
        <f>FORMULA!$M686</f>
        <v>0</v>
      </c>
      <c r="IP71" s="92">
        <f>FORMULA!$O686</f>
        <v>0</v>
      </c>
      <c r="IQ71" s="92">
        <f>FORMULA!$Q686</f>
        <v>0</v>
      </c>
      <c r="IR71" s="92">
        <f>FORMULA!$S686</f>
        <v>0</v>
      </c>
      <c r="IS71" s="92">
        <f>FORMULA!$U686</f>
        <v>0</v>
      </c>
      <c r="IT71" s="92">
        <f>FORMULA!$W686</f>
        <v>0</v>
      </c>
      <c r="IU71" s="92">
        <f>FORMULA!$Y686</f>
        <v>0</v>
      </c>
      <c r="IV71" s="92">
        <f>FORMULA!$AA686</f>
        <v>0</v>
      </c>
      <c r="IW71" s="92">
        <f>FORMULA!$AC686</f>
        <v>0</v>
      </c>
      <c r="IX71" s="92">
        <f>FORMULA!$AE686</f>
        <v>0</v>
      </c>
      <c r="IY71" s="208"/>
    </row>
    <row r="72" spans="1:259" outlineLevel="1">
      <c r="A72" s="11">
        <f>'VAC &amp; MED'!C59</f>
        <v>46071</v>
      </c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  <c r="M72" s="261"/>
      <c r="N72" s="261"/>
      <c r="O72" s="261"/>
      <c r="P72" s="261"/>
      <c r="Q72" s="261"/>
      <c r="R72" s="262"/>
      <c r="S72" s="262"/>
      <c r="T72" s="262"/>
      <c r="U72" s="262"/>
      <c r="V72" s="262"/>
      <c r="W72" s="262"/>
      <c r="X72" s="262"/>
      <c r="Y72" s="262"/>
      <c r="Z72" s="262"/>
      <c r="AA72" s="262"/>
      <c r="AB72" s="262"/>
      <c r="AC72" s="262"/>
      <c r="AD72" s="262"/>
      <c r="AE72" s="262"/>
      <c r="AF72" s="262"/>
      <c r="AG72" s="262"/>
      <c r="AH72" s="263"/>
      <c r="AI72" s="263"/>
      <c r="AJ72" s="263"/>
      <c r="AK72" s="263"/>
      <c r="AL72" s="263"/>
      <c r="AM72" s="263"/>
      <c r="AN72" s="263"/>
      <c r="AO72" s="263"/>
      <c r="AP72" s="263"/>
      <c r="AQ72" s="263"/>
      <c r="AR72" s="263"/>
      <c r="AS72" s="263"/>
      <c r="AT72" s="263"/>
      <c r="AU72" s="263"/>
      <c r="AV72" s="263"/>
      <c r="AW72" s="263"/>
      <c r="AX72" s="264"/>
      <c r="AY72" s="264"/>
      <c r="AZ72" s="264"/>
      <c r="BA72" s="264"/>
      <c r="BB72" s="264"/>
      <c r="BC72" s="264"/>
      <c r="BD72" s="264"/>
      <c r="BE72" s="264"/>
      <c r="BF72" s="264"/>
      <c r="BG72" s="264"/>
      <c r="BH72" s="264"/>
      <c r="BI72" s="264"/>
      <c r="BJ72" s="264"/>
      <c r="BK72" s="264"/>
      <c r="BL72" s="264"/>
      <c r="BM72" s="264"/>
      <c r="BN72" s="265"/>
      <c r="BO72" s="265"/>
      <c r="BP72" s="265"/>
      <c r="BQ72" s="265"/>
      <c r="BR72" s="265"/>
      <c r="BS72" s="265"/>
      <c r="BT72" s="265"/>
      <c r="BU72" s="265"/>
      <c r="BV72" s="265"/>
      <c r="BW72" s="265"/>
      <c r="BX72" s="265"/>
      <c r="BY72" s="265"/>
      <c r="BZ72" s="265"/>
      <c r="CA72" s="265"/>
      <c r="CB72" s="265"/>
      <c r="CC72" s="265"/>
      <c r="CD72" s="266"/>
      <c r="CE72" s="266"/>
      <c r="CF72" s="266"/>
      <c r="CG72" s="266"/>
      <c r="CH72" s="266"/>
      <c r="CI72" s="266"/>
      <c r="CJ72" s="266"/>
      <c r="CK72" s="266"/>
      <c r="CL72" s="266"/>
      <c r="CM72" s="266"/>
      <c r="CN72" s="266"/>
      <c r="CO72" s="266"/>
      <c r="CP72" s="266"/>
      <c r="CQ72" s="266"/>
      <c r="CR72" s="266"/>
      <c r="CS72" s="266"/>
      <c r="CT72" s="267"/>
      <c r="CU72" s="267"/>
      <c r="CV72" s="267"/>
      <c r="CW72" s="267"/>
      <c r="CX72" s="267"/>
      <c r="CY72" s="267"/>
      <c r="CZ72" s="267"/>
      <c r="DA72" s="267"/>
      <c r="DB72" s="267"/>
      <c r="DC72" s="267"/>
      <c r="DD72" s="267"/>
      <c r="DE72" s="267"/>
      <c r="DF72" s="267"/>
      <c r="DG72" s="267"/>
      <c r="DH72" s="267"/>
      <c r="DI72" s="267"/>
      <c r="DJ72" s="268"/>
      <c r="DK72" s="268"/>
      <c r="DL72" s="268"/>
      <c r="DM72" s="268"/>
      <c r="DN72" s="268"/>
      <c r="DO72" s="268"/>
      <c r="DP72" s="268"/>
      <c r="DQ72" s="268"/>
      <c r="DR72" s="268"/>
      <c r="DS72" s="268"/>
      <c r="DT72" s="268"/>
      <c r="DU72" s="268"/>
      <c r="DV72" s="268"/>
      <c r="DW72" s="268"/>
      <c r="DX72" s="268"/>
      <c r="DY72" s="268"/>
      <c r="EA72" s="20">
        <f>FORMULA!$A$71</f>
        <v>3</v>
      </c>
      <c r="EB72" s="91">
        <f>FORMULA!$C71</f>
        <v>0</v>
      </c>
      <c r="EC72" s="92">
        <f>FORMULA!$E71</f>
        <v>0</v>
      </c>
      <c r="ED72" s="92">
        <f>FORMULA!$G71</f>
        <v>0</v>
      </c>
      <c r="EE72" s="92">
        <f>FORMULA!$I71</f>
        <v>0</v>
      </c>
      <c r="EF72" s="92">
        <f>FORMULA!$K71</f>
        <v>0</v>
      </c>
      <c r="EG72" s="92">
        <f>FORMULA!$M71</f>
        <v>0</v>
      </c>
      <c r="EH72" s="92">
        <f>FORMULA!$O71</f>
        <v>0</v>
      </c>
      <c r="EI72" s="92">
        <f>FORMULA!$Q71</f>
        <v>0</v>
      </c>
      <c r="EJ72" s="92">
        <f>FORMULA!$S71</f>
        <v>0</v>
      </c>
      <c r="EK72" s="92">
        <f>FORMULA!$U71</f>
        <v>0</v>
      </c>
      <c r="EL72" s="92">
        <f>FORMULA!$W71</f>
        <v>0</v>
      </c>
      <c r="EM72" s="92">
        <f>FORMULA!$Y71</f>
        <v>0</v>
      </c>
      <c r="EN72" s="92">
        <f>FORMULA!$AA71</f>
        <v>0</v>
      </c>
      <c r="EO72" s="92">
        <f>FORMULA!$AC71</f>
        <v>0</v>
      </c>
      <c r="EP72" s="92">
        <f>FORMULA!$AE71</f>
        <v>0</v>
      </c>
      <c r="EQ72" s="108"/>
      <c r="ER72" s="91">
        <f>FORMULA!$C159</f>
        <v>0</v>
      </c>
      <c r="ES72" s="92">
        <f>FORMULA!$E159</f>
        <v>0</v>
      </c>
      <c r="ET72" s="92">
        <f>FORMULA!$G159</f>
        <v>0</v>
      </c>
      <c r="EU72" s="92">
        <f>FORMULA!$I159</f>
        <v>0</v>
      </c>
      <c r="EV72" s="92">
        <f>FORMULA!$K159</f>
        <v>0</v>
      </c>
      <c r="EW72" s="92">
        <f>FORMULA!$M159</f>
        <v>0</v>
      </c>
      <c r="EX72" s="92">
        <f>FORMULA!$O159</f>
        <v>0</v>
      </c>
      <c r="EY72" s="92">
        <f>FORMULA!$Q159</f>
        <v>0</v>
      </c>
      <c r="EZ72" s="92">
        <f>FORMULA!$S159</f>
        <v>0</v>
      </c>
      <c r="FA72" s="92">
        <f>FORMULA!$U159</f>
        <v>0</v>
      </c>
      <c r="FB72" s="92">
        <f>FORMULA!$W159</f>
        <v>0</v>
      </c>
      <c r="FC72" s="92">
        <f>FORMULA!$Y159</f>
        <v>0</v>
      </c>
      <c r="FD72" s="92">
        <f>FORMULA!$AA159</f>
        <v>0</v>
      </c>
      <c r="FE72" s="92">
        <f>FORMULA!$AC159</f>
        <v>0</v>
      </c>
      <c r="FF72" s="92">
        <f>FORMULA!$AE159</f>
        <v>0</v>
      </c>
      <c r="FG72" s="94"/>
      <c r="FH72" s="91">
        <f>FORMULA!$C247</f>
        <v>0</v>
      </c>
      <c r="FI72" s="92">
        <f>FORMULA!$E247</f>
        <v>0</v>
      </c>
      <c r="FJ72" s="92">
        <f>FORMULA!$G247</f>
        <v>0</v>
      </c>
      <c r="FK72" s="92">
        <f>FORMULA!$I247</f>
        <v>0</v>
      </c>
      <c r="FL72" s="92">
        <f>FORMULA!$K247</f>
        <v>0</v>
      </c>
      <c r="FM72" s="92">
        <f>FORMULA!$M247</f>
        <v>0</v>
      </c>
      <c r="FN72" s="92">
        <f>FORMULA!$O247</f>
        <v>0</v>
      </c>
      <c r="FO72" s="92">
        <f>FORMULA!$Q247</f>
        <v>0</v>
      </c>
      <c r="FP72" s="92">
        <f>FORMULA!$S247</f>
        <v>0</v>
      </c>
      <c r="FQ72" s="92">
        <f>FORMULA!$U247</f>
        <v>0</v>
      </c>
      <c r="FR72" s="92">
        <f>FORMULA!$W247</f>
        <v>0</v>
      </c>
      <c r="FS72" s="92">
        <f>FORMULA!$Y247</f>
        <v>0</v>
      </c>
      <c r="FT72" s="92">
        <f>FORMULA!$AA247</f>
        <v>0</v>
      </c>
      <c r="FU72" s="92">
        <f>FORMULA!$AC247</f>
        <v>0</v>
      </c>
      <c r="FV72" s="92">
        <f>FORMULA!$AE247</f>
        <v>0</v>
      </c>
      <c r="FW72" s="94"/>
      <c r="FX72" s="91">
        <f>FORMULA!$C335</f>
        <v>0</v>
      </c>
      <c r="FY72" s="92">
        <f>FORMULA!$E335</f>
        <v>0</v>
      </c>
      <c r="FZ72" s="92">
        <f>FORMULA!$G335</f>
        <v>0</v>
      </c>
      <c r="GA72" s="92">
        <f>FORMULA!$I335</f>
        <v>0</v>
      </c>
      <c r="GB72" s="92">
        <f>FORMULA!$K335</f>
        <v>0</v>
      </c>
      <c r="GC72" s="92">
        <f>FORMULA!$M335</f>
        <v>0</v>
      </c>
      <c r="GD72" s="92">
        <f>FORMULA!$O335</f>
        <v>0</v>
      </c>
      <c r="GE72" s="92">
        <f>FORMULA!$Q335</f>
        <v>0</v>
      </c>
      <c r="GF72" s="92">
        <f>FORMULA!$S335</f>
        <v>0</v>
      </c>
      <c r="GG72" s="92">
        <f>FORMULA!$U335</f>
        <v>0</v>
      </c>
      <c r="GH72" s="92">
        <f>FORMULA!$W335</f>
        <v>0</v>
      </c>
      <c r="GI72" s="92">
        <f>FORMULA!$Y335</f>
        <v>0</v>
      </c>
      <c r="GJ72" s="92">
        <f>FORMULA!$AA335</f>
        <v>0</v>
      </c>
      <c r="GK72" s="92">
        <f>FORMULA!$AC335</f>
        <v>0</v>
      </c>
      <c r="GL72" s="92">
        <f>FORMULA!$AE335</f>
        <v>0</v>
      </c>
      <c r="GM72" s="207"/>
      <c r="GN72" s="91">
        <f>FORMULA!$C423</f>
        <v>0</v>
      </c>
      <c r="GO72" s="92">
        <f>FORMULA!$E423</f>
        <v>0</v>
      </c>
      <c r="GP72" s="92">
        <f>FORMULA!$G423</f>
        <v>0</v>
      </c>
      <c r="GQ72" s="92">
        <f>FORMULA!$I423</f>
        <v>0</v>
      </c>
      <c r="GR72" s="92">
        <f>FORMULA!$K423</f>
        <v>0</v>
      </c>
      <c r="GS72" s="92">
        <f>FORMULA!$M423</f>
        <v>0</v>
      </c>
      <c r="GT72" s="92">
        <f>FORMULA!$O423</f>
        <v>0</v>
      </c>
      <c r="GU72" s="92">
        <f>FORMULA!$Q423</f>
        <v>0</v>
      </c>
      <c r="GV72" s="92">
        <f>FORMULA!$S423</f>
        <v>0</v>
      </c>
      <c r="GW72" s="92">
        <f>FORMULA!$U423</f>
        <v>0</v>
      </c>
      <c r="GX72" s="92">
        <f>FORMULA!$W423</f>
        <v>0</v>
      </c>
      <c r="GY72" s="92">
        <f>FORMULA!$Y423</f>
        <v>0</v>
      </c>
      <c r="GZ72" s="92">
        <f>FORMULA!$AA423</f>
        <v>0</v>
      </c>
      <c r="HA72" s="92">
        <f>FORMULA!$AC423</f>
        <v>0</v>
      </c>
      <c r="HB72" s="92">
        <f>FORMULA!$AE423</f>
        <v>0</v>
      </c>
      <c r="HC72" s="207"/>
      <c r="HD72" s="91">
        <f>FORMULA!$C511</f>
        <v>0</v>
      </c>
      <c r="HE72" s="92">
        <f>FORMULA!$E511</f>
        <v>0</v>
      </c>
      <c r="HF72" s="92">
        <f>FORMULA!$G511</f>
        <v>0</v>
      </c>
      <c r="HG72" s="92">
        <f>FORMULA!$I511</f>
        <v>0</v>
      </c>
      <c r="HH72" s="92">
        <f>FORMULA!$K511</f>
        <v>0</v>
      </c>
      <c r="HI72" s="92">
        <f>FORMULA!$M511</f>
        <v>0</v>
      </c>
      <c r="HJ72" s="92">
        <f>FORMULA!$O511</f>
        <v>0</v>
      </c>
      <c r="HK72" s="92">
        <f>FORMULA!$Q511</f>
        <v>0</v>
      </c>
      <c r="HL72" s="92">
        <f>FORMULA!$S511</f>
        <v>0</v>
      </c>
      <c r="HM72" s="92">
        <f>FORMULA!$U511</f>
        <v>0</v>
      </c>
      <c r="HN72" s="92">
        <f>FORMULA!$W511</f>
        <v>0</v>
      </c>
      <c r="HO72" s="92">
        <f>FORMULA!$Y511</f>
        <v>0</v>
      </c>
      <c r="HP72" s="92">
        <f>FORMULA!$AA511</f>
        <v>0</v>
      </c>
      <c r="HQ72" s="92">
        <f>FORMULA!$AC511</f>
        <v>0</v>
      </c>
      <c r="HR72" s="92">
        <f>FORMULA!$AE511</f>
        <v>0</v>
      </c>
      <c r="HS72" s="207"/>
      <c r="HT72" s="91">
        <f>FORMULA!$C599</f>
        <v>0</v>
      </c>
      <c r="HU72" s="92">
        <f>FORMULA!$E599</f>
        <v>0</v>
      </c>
      <c r="HV72" s="92">
        <f>FORMULA!$G599</f>
        <v>0</v>
      </c>
      <c r="HW72" s="92">
        <f>FORMULA!$I599</f>
        <v>0</v>
      </c>
      <c r="HX72" s="92">
        <f>FORMULA!$K599</f>
        <v>0</v>
      </c>
      <c r="HY72" s="92">
        <f>FORMULA!$M599</f>
        <v>0</v>
      </c>
      <c r="HZ72" s="92">
        <f>FORMULA!$O599</f>
        <v>0</v>
      </c>
      <c r="IA72" s="92">
        <f>FORMULA!$Q599</f>
        <v>0</v>
      </c>
      <c r="IB72" s="92">
        <f>FORMULA!$S599</f>
        <v>0</v>
      </c>
      <c r="IC72" s="92">
        <f>FORMULA!$U599</f>
        <v>0</v>
      </c>
      <c r="ID72" s="92">
        <f>FORMULA!$W599</f>
        <v>0</v>
      </c>
      <c r="IE72" s="92">
        <f>FORMULA!$Y599</f>
        <v>0</v>
      </c>
      <c r="IF72" s="92">
        <f>FORMULA!$AA599</f>
        <v>0</v>
      </c>
      <c r="IG72" s="92">
        <f>FORMULA!$AC599</f>
        <v>0</v>
      </c>
      <c r="IH72" s="92">
        <f>FORMULA!$AE599</f>
        <v>0</v>
      </c>
      <c r="II72" s="207"/>
      <c r="IJ72" s="91">
        <f>FORMULA!$C687</f>
        <v>0</v>
      </c>
      <c r="IK72" s="92">
        <f>FORMULA!$E687</f>
        <v>0</v>
      </c>
      <c r="IL72" s="92">
        <f>FORMULA!$G687</f>
        <v>0</v>
      </c>
      <c r="IM72" s="92">
        <f>FORMULA!$I687</f>
        <v>0</v>
      </c>
      <c r="IN72" s="92">
        <f>FORMULA!$K687</f>
        <v>0</v>
      </c>
      <c r="IO72" s="92">
        <f>FORMULA!$M687</f>
        <v>0</v>
      </c>
      <c r="IP72" s="92">
        <f>FORMULA!$O687</f>
        <v>0</v>
      </c>
      <c r="IQ72" s="92">
        <f>FORMULA!$Q687</f>
        <v>0</v>
      </c>
      <c r="IR72" s="92">
        <f>FORMULA!$S687</f>
        <v>0</v>
      </c>
      <c r="IS72" s="92">
        <f>FORMULA!$U687</f>
        <v>0</v>
      </c>
      <c r="IT72" s="92">
        <f>FORMULA!$W687</f>
        <v>0</v>
      </c>
      <c r="IU72" s="92">
        <f>FORMULA!$Y687</f>
        <v>0</v>
      </c>
      <c r="IV72" s="92">
        <f>FORMULA!$AA687</f>
        <v>0</v>
      </c>
      <c r="IW72" s="92">
        <f>FORMULA!$AC687</f>
        <v>0</v>
      </c>
      <c r="IX72" s="92">
        <f>FORMULA!$AE687</f>
        <v>0</v>
      </c>
      <c r="IY72" s="208"/>
    </row>
    <row r="73" spans="1:259" outlineLevel="1">
      <c r="A73" s="11">
        <f>'VAC &amp; MED'!C60</f>
        <v>46072</v>
      </c>
      <c r="B73" s="261"/>
      <c r="C73" s="261"/>
      <c r="D73" s="261"/>
      <c r="E73" s="261"/>
      <c r="F73" s="261"/>
      <c r="G73" s="261"/>
      <c r="H73" s="261"/>
      <c r="I73" s="261"/>
      <c r="J73" s="261"/>
      <c r="K73" s="261"/>
      <c r="L73" s="261"/>
      <c r="M73" s="261"/>
      <c r="N73" s="261"/>
      <c r="O73" s="261"/>
      <c r="P73" s="261"/>
      <c r="Q73" s="261"/>
      <c r="R73" s="262"/>
      <c r="S73" s="262"/>
      <c r="T73" s="262"/>
      <c r="U73" s="262"/>
      <c r="V73" s="262"/>
      <c r="W73" s="262"/>
      <c r="X73" s="262"/>
      <c r="Y73" s="262"/>
      <c r="Z73" s="262"/>
      <c r="AA73" s="262"/>
      <c r="AB73" s="262"/>
      <c r="AC73" s="262"/>
      <c r="AD73" s="262"/>
      <c r="AE73" s="262"/>
      <c r="AF73" s="262"/>
      <c r="AG73" s="262"/>
      <c r="AH73" s="263"/>
      <c r="AI73" s="263"/>
      <c r="AJ73" s="263"/>
      <c r="AK73" s="263"/>
      <c r="AL73" s="263"/>
      <c r="AM73" s="263"/>
      <c r="AN73" s="263"/>
      <c r="AO73" s="263"/>
      <c r="AP73" s="263"/>
      <c r="AQ73" s="263"/>
      <c r="AR73" s="263"/>
      <c r="AS73" s="263"/>
      <c r="AT73" s="263"/>
      <c r="AU73" s="263"/>
      <c r="AV73" s="263"/>
      <c r="AW73" s="263"/>
      <c r="AX73" s="264"/>
      <c r="AY73" s="264"/>
      <c r="AZ73" s="264"/>
      <c r="BA73" s="264"/>
      <c r="BB73" s="264"/>
      <c r="BC73" s="264"/>
      <c r="BD73" s="264"/>
      <c r="BE73" s="264"/>
      <c r="BF73" s="264"/>
      <c r="BG73" s="264"/>
      <c r="BH73" s="264"/>
      <c r="BI73" s="264"/>
      <c r="BJ73" s="264"/>
      <c r="BK73" s="264"/>
      <c r="BL73" s="264"/>
      <c r="BM73" s="264"/>
      <c r="BN73" s="265"/>
      <c r="BO73" s="265"/>
      <c r="BP73" s="265"/>
      <c r="BQ73" s="265">
        <v>54</v>
      </c>
      <c r="BR73" s="265"/>
      <c r="BS73" s="265"/>
      <c r="BT73" s="265"/>
      <c r="BU73" s="265"/>
      <c r="BV73" s="265"/>
      <c r="BW73" s="265"/>
      <c r="BX73" s="265"/>
      <c r="BY73" s="265"/>
      <c r="BZ73" s="265"/>
      <c r="CA73" s="265"/>
      <c r="CB73" s="265"/>
      <c r="CC73" s="265"/>
      <c r="CD73" s="266"/>
      <c r="CE73" s="266"/>
      <c r="CF73" s="266"/>
      <c r="CG73" s="266"/>
      <c r="CH73" s="266"/>
      <c r="CI73" s="266"/>
      <c r="CJ73" s="266"/>
      <c r="CK73" s="266"/>
      <c r="CL73" s="266"/>
      <c r="CM73" s="266"/>
      <c r="CN73" s="266"/>
      <c r="CO73" s="266"/>
      <c r="CP73" s="266"/>
      <c r="CQ73" s="266"/>
      <c r="CR73" s="266"/>
      <c r="CS73" s="266"/>
      <c r="CT73" s="267">
        <v>78</v>
      </c>
      <c r="CU73" s="267"/>
      <c r="CV73" s="267"/>
      <c r="CW73" s="267"/>
      <c r="CX73" s="267"/>
      <c r="CY73" s="267"/>
      <c r="CZ73" s="267"/>
      <c r="DA73" s="267"/>
      <c r="DB73" s="267"/>
      <c r="DC73" s="267"/>
      <c r="DD73" s="267"/>
      <c r="DE73" s="267"/>
      <c r="DF73" s="267"/>
      <c r="DG73" s="267"/>
      <c r="DH73" s="267"/>
      <c r="DI73" s="267"/>
      <c r="DJ73" s="268"/>
      <c r="DK73" s="268"/>
      <c r="DL73" s="268"/>
      <c r="DM73" s="268"/>
      <c r="DN73" s="268"/>
      <c r="DO73" s="268"/>
      <c r="DP73" s="268"/>
      <c r="DQ73" s="268"/>
      <c r="DR73" s="268"/>
      <c r="DS73" s="268"/>
      <c r="DT73" s="268"/>
      <c r="DU73" s="268"/>
      <c r="DV73" s="268"/>
      <c r="DW73" s="268"/>
      <c r="DX73" s="268"/>
      <c r="DY73" s="268"/>
      <c r="EA73" s="385">
        <f>FORMULA!$A$72</f>
        <v>4</v>
      </c>
      <c r="EB73" s="91">
        <f>FORMULA!$C72</f>
        <v>0</v>
      </c>
      <c r="EC73" s="92">
        <f>FORMULA!$E72</f>
        <v>0</v>
      </c>
      <c r="ED73" s="92">
        <f>FORMULA!$G72</f>
        <v>0</v>
      </c>
      <c r="EE73" s="92">
        <f>FORMULA!$I72</f>
        <v>0</v>
      </c>
      <c r="EF73" s="92">
        <f>FORMULA!$K72</f>
        <v>0</v>
      </c>
      <c r="EG73" s="92">
        <f>FORMULA!$M72</f>
        <v>0</v>
      </c>
      <c r="EH73" s="92">
        <f>FORMULA!$O72</f>
        <v>0</v>
      </c>
      <c r="EI73" s="92">
        <f>FORMULA!$Q72</f>
        <v>0</v>
      </c>
      <c r="EJ73" s="92">
        <f>FORMULA!$S72</f>
        <v>0</v>
      </c>
      <c r="EK73" s="92">
        <f>FORMULA!$U72</f>
        <v>0</v>
      </c>
      <c r="EL73" s="92">
        <f>FORMULA!$W72</f>
        <v>0</v>
      </c>
      <c r="EM73" s="92">
        <f>FORMULA!$Y72</f>
        <v>0</v>
      </c>
      <c r="EN73" s="92">
        <f>FORMULA!$AA72</f>
        <v>0</v>
      </c>
      <c r="EO73" s="92">
        <f>FORMULA!$AC72</f>
        <v>0</v>
      </c>
      <c r="EP73" s="92">
        <f>FORMULA!$AE72</f>
        <v>0</v>
      </c>
      <c r="EQ73" s="108"/>
      <c r="ER73" s="91">
        <f>FORMULA!$C160</f>
        <v>0</v>
      </c>
      <c r="ES73" s="92">
        <f>FORMULA!$E160</f>
        <v>0</v>
      </c>
      <c r="ET73" s="92">
        <f>FORMULA!$G160</f>
        <v>0</v>
      </c>
      <c r="EU73" s="92">
        <f>FORMULA!$I160</f>
        <v>0</v>
      </c>
      <c r="EV73" s="92">
        <f>FORMULA!$K160</f>
        <v>0</v>
      </c>
      <c r="EW73" s="92">
        <f>FORMULA!$M160</f>
        <v>0</v>
      </c>
      <c r="EX73" s="92">
        <f>FORMULA!$O160</f>
        <v>0</v>
      </c>
      <c r="EY73" s="92">
        <f>FORMULA!$Q160</f>
        <v>0</v>
      </c>
      <c r="EZ73" s="92">
        <f>FORMULA!$S160</f>
        <v>0</v>
      </c>
      <c r="FA73" s="92">
        <f>FORMULA!$U160</f>
        <v>0</v>
      </c>
      <c r="FB73" s="92">
        <f>FORMULA!$W160</f>
        <v>0</v>
      </c>
      <c r="FC73" s="92">
        <f>FORMULA!$Y160</f>
        <v>0</v>
      </c>
      <c r="FD73" s="92">
        <f>FORMULA!$AA160</f>
        <v>0</v>
      </c>
      <c r="FE73" s="92">
        <f>FORMULA!$AC160</f>
        <v>0</v>
      </c>
      <c r="FF73" s="92">
        <f>FORMULA!$AE160</f>
        <v>0</v>
      </c>
      <c r="FG73" s="94"/>
      <c r="FH73" s="91">
        <f>FORMULA!$C248</f>
        <v>0</v>
      </c>
      <c r="FI73" s="92">
        <f>FORMULA!$E248</f>
        <v>0</v>
      </c>
      <c r="FJ73" s="92">
        <f>FORMULA!$G248</f>
        <v>0</v>
      </c>
      <c r="FK73" s="92">
        <f>FORMULA!$I248</f>
        <v>0</v>
      </c>
      <c r="FL73" s="92">
        <f>FORMULA!$K248</f>
        <v>0</v>
      </c>
      <c r="FM73" s="92">
        <f>FORMULA!$M248</f>
        <v>0</v>
      </c>
      <c r="FN73" s="92">
        <f>FORMULA!$O248</f>
        <v>0</v>
      </c>
      <c r="FO73" s="92">
        <f>FORMULA!$Q248</f>
        <v>0</v>
      </c>
      <c r="FP73" s="92">
        <f>FORMULA!$S248</f>
        <v>0</v>
      </c>
      <c r="FQ73" s="92">
        <f>FORMULA!$U248</f>
        <v>0</v>
      </c>
      <c r="FR73" s="92">
        <f>FORMULA!$W248</f>
        <v>0</v>
      </c>
      <c r="FS73" s="92">
        <f>FORMULA!$Y248</f>
        <v>0</v>
      </c>
      <c r="FT73" s="92">
        <f>FORMULA!$AA248</f>
        <v>0</v>
      </c>
      <c r="FU73" s="92">
        <f>FORMULA!$AC248</f>
        <v>0</v>
      </c>
      <c r="FV73" s="92">
        <f>FORMULA!$AE248</f>
        <v>0</v>
      </c>
      <c r="FW73" s="94"/>
      <c r="FX73" s="91">
        <f>FORMULA!$C336</f>
        <v>0</v>
      </c>
      <c r="FY73" s="92">
        <f>FORMULA!$E336</f>
        <v>0</v>
      </c>
      <c r="FZ73" s="92">
        <f>FORMULA!$G336</f>
        <v>0</v>
      </c>
      <c r="GA73" s="92">
        <f>FORMULA!$I336</f>
        <v>0</v>
      </c>
      <c r="GB73" s="92">
        <f>FORMULA!$K336</f>
        <v>0</v>
      </c>
      <c r="GC73" s="92">
        <f>FORMULA!$M336</f>
        <v>0</v>
      </c>
      <c r="GD73" s="92">
        <f>FORMULA!$O336</f>
        <v>0</v>
      </c>
      <c r="GE73" s="92">
        <f>FORMULA!$Q336</f>
        <v>0</v>
      </c>
      <c r="GF73" s="92">
        <f>FORMULA!$S336</f>
        <v>0</v>
      </c>
      <c r="GG73" s="92">
        <f>FORMULA!$U336</f>
        <v>0</v>
      </c>
      <c r="GH73" s="92">
        <f>FORMULA!$W336</f>
        <v>0</v>
      </c>
      <c r="GI73" s="92">
        <f>FORMULA!$Y336</f>
        <v>0</v>
      </c>
      <c r="GJ73" s="92">
        <f>FORMULA!$AA336</f>
        <v>0</v>
      </c>
      <c r="GK73" s="92">
        <f>FORMULA!$AC336</f>
        <v>0</v>
      </c>
      <c r="GL73" s="92">
        <f>FORMULA!$AE336</f>
        <v>0</v>
      </c>
      <c r="GM73" s="207"/>
      <c r="GN73" s="91">
        <f>FORMULA!$C424</f>
        <v>0</v>
      </c>
      <c r="GO73" s="92">
        <f>FORMULA!$E424</f>
        <v>0</v>
      </c>
      <c r="GP73" s="92">
        <f>FORMULA!$G424</f>
        <v>0</v>
      </c>
      <c r="GQ73" s="92">
        <f>FORMULA!$I424</f>
        <v>0</v>
      </c>
      <c r="GR73" s="92">
        <f>FORMULA!$K424</f>
        <v>0</v>
      </c>
      <c r="GS73" s="92">
        <f>FORMULA!$M424</f>
        <v>0</v>
      </c>
      <c r="GT73" s="92">
        <f>FORMULA!$O424</f>
        <v>0</v>
      </c>
      <c r="GU73" s="92">
        <f>FORMULA!$Q424</f>
        <v>0</v>
      </c>
      <c r="GV73" s="92">
        <f>FORMULA!$S424</f>
        <v>0</v>
      </c>
      <c r="GW73" s="92">
        <f>FORMULA!$U424</f>
        <v>0</v>
      </c>
      <c r="GX73" s="92">
        <f>FORMULA!$W424</f>
        <v>0</v>
      </c>
      <c r="GY73" s="92">
        <f>FORMULA!$Y424</f>
        <v>0</v>
      </c>
      <c r="GZ73" s="92">
        <f>FORMULA!$AA424</f>
        <v>0</v>
      </c>
      <c r="HA73" s="92">
        <f>FORMULA!$AC424</f>
        <v>0</v>
      </c>
      <c r="HB73" s="92">
        <f>FORMULA!$AE424</f>
        <v>0</v>
      </c>
      <c r="HC73" s="207"/>
      <c r="HD73" s="91">
        <f>FORMULA!$C512</f>
        <v>0</v>
      </c>
      <c r="HE73" s="92">
        <f>FORMULA!$E512</f>
        <v>0</v>
      </c>
      <c r="HF73" s="92">
        <f>FORMULA!$G512</f>
        <v>0</v>
      </c>
      <c r="HG73" s="92">
        <f>FORMULA!$I512</f>
        <v>0</v>
      </c>
      <c r="HH73" s="92">
        <f>FORMULA!$K512</f>
        <v>0</v>
      </c>
      <c r="HI73" s="92">
        <f>FORMULA!$M512</f>
        <v>0</v>
      </c>
      <c r="HJ73" s="92">
        <f>FORMULA!$O512</f>
        <v>0</v>
      </c>
      <c r="HK73" s="92">
        <f>FORMULA!$Q512</f>
        <v>0</v>
      </c>
      <c r="HL73" s="92">
        <f>FORMULA!$S512</f>
        <v>0</v>
      </c>
      <c r="HM73" s="92">
        <f>FORMULA!$U512</f>
        <v>0</v>
      </c>
      <c r="HN73" s="92">
        <f>FORMULA!$W512</f>
        <v>0</v>
      </c>
      <c r="HO73" s="92">
        <f>FORMULA!$Y512</f>
        <v>0</v>
      </c>
      <c r="HP73" s="92">
        <f>FORMULA!$AA512</f>
        <v>0</v>
      </c>
      <c r="HQ73" s="92">
        <f>FORMULA!$AC512</f>
        <v>0</v>
      </c>
      <c r="HR73" s="92">
        <f>FORMULA!$AE512</f>
        <v>0</v>
      </c>
      <c r="HS73" s="207"/>
      <c r="HT73" s="91">
        <f>FORMULA!$C600</f>
        <v>0</v>
      </c>
      <c r="HU73" s="92">
        <f>FORMULA!$E600</f>
        <v>0</v>
      </c>
      <c r="HV73" s="92">
        <f>FORMULA!$G600</f>
        <v>0</v>
      </c>
      <c r="HW73" s="92">
        <f>FORMULA!$I600</f>
        <v>0</v>
      </c>
      <c r="HX73" s="92">
        <f>FORMULA!$K600</f>
        <v>0</v>
      </c>
      <c r="HY73" s="92">
        <f>FORMULA!$M600</f>
        <v>0</v>
      </c>
      <c r="HZ73" s="92">
        <f>FORMULA!$O600</f>
        <v>0</v>
      </c>
      <c r="IA73" s="92">
        <f>FORMULA!$Q600</f>
        <v>0</v>
      </c>
      <c r="IB73" s="92">
        <f>FORMULA!$S600</f>
        <v>0</v>
      </c>
      <c r="IC73" s="92">
        <f>FORMULA!$U600</f>
        <v>0</v>
      </c>
      <c r="ID73" s="92">
        <f>FORMULA!$W600</f>
        <v>0</v>
      </c>
      <c r="IE73" s="92">
        <f>FORMULA!$Y600</f>
        <v>0</v>
      </c>
      <c r="IF73" s="92">
        <f>FORMULA!$AA600</f>
        <v>0</v>
      </c>
      <c r="IG73" s="92">
        <f>FORMULA!$AC600</f>
        <v>0</v>
      </c>
      <c r="IH73" s="92">
        <f>FORMULA!$AE600</f>
        <v>0</v>
      </c>
      <c r="II73" s="207"/>
      <c r="IJ73" s="91">
        <f>FORMULA!$C688</f>
        <v>0</v>
      </c>
      <c r="IK73" s="92">
        <f>FORMULA!$E688</f>
        <v>0</v>
      </c>
      <c r="IL73" s="92">
        <f>FORMULA!$G688</f>
        <v>0</v>
      </c>
      <c r="IM73" s="92">
        <f>FORMULA!$I688</f>
        <v>0</v>
      </c>
      <c r="IN73" s="92">
        <f>FORMULA!$K688</f>
        <v>0</v>
      </c>
      <c r="IO73" s="92">
        <f>FORMULA!$M688</f>
        <v>0</v>
      </c>
      <c r="IP73" s="92">
        <f>FORMULA!$O688</f>
        <v>0</v>
      </c>
      <c r="IQ73" s="92">
        <f>FORMULA!$Q688</f>
        <v>0</v>
      </c>
      <c r="IR73" s="92">
        <f>FORMULA!$S688</f>
        <v>0</v>
      </c>
      <c r="IS73" s="92">
        <f>FORMULA!$U688</f>
        <v>0</v>
      </c>
      <c r="IT73" s="92">
        <f>FORMULA!$W688</f>
        <v>0</v>
      </c>
      <c r="IU73" s="92">
        <f>FORMULA!$Y688</f>
        <v>0</v>
      </c>
      <c r="IV73" s="92">
        <f>FORMULA!$AA688</f>
        <v>0</v>
      </c>
      <c r="IW73" s="92">
        <f>FORMULA!$AC688</f>
        <v>0</v>
      </c>
      <c r="IX73" s="92">
        <f>FORMULA!$AE688</f>
        <v>0</v>
      </c>
      <c r="IY73" s="208"/>
    </row>
    <row r="74" spans="1:259" outlineLevel="1">
      <c r="A74" s="11">
        <f>'VAC &amp; MED'!C61</f>
        <v>46073</v>
      </c>
      <c r="B74" s="261"/>
      <c r="C74" s="261"/>
      <c r="D74" s="261"/>
      <c r="E74" s="261"/>
      <c r="F74" s="261"/>
      <c r="G74" s="261"/>
      <c r="H74" s="261"/>
      <c r="I74" s="261"/>
      <c r="J74" s="261"/>
      <c r="K74" s="261"/>
      <c r="L74" s="261"/>
      <c r="M74" s="261"/>
      <c r="N74" s="261"/>
      <c r="O74" s="261"/>
      <c r="P74" s="261"/>
      <c r="Q74" s="261"/>
      <c r="R74" s="262"/>
      <c r="S74" s="262"/>
      <c r="T74" s="262"/>
      <c r="U74" s="262"/>
      <c r="V74" s="262"/>
      <c r="W74" s="262"/>
      <c r="X74" s="262"/>
      <c r="Y74" s="262"/>
      <c r="Z74" s="262"/>
      <c r="AA74" s="262"/>
      <c r="AB74" s="262"/>
      <c r="AC74" s="262"/>
      <c r="AD74" s="262"/>
      <c r="AE74" s="262"/>
      <c r="AF74" s="262"/>
      <c r="AG74" s="262"/>
      <c r="AH74" s="263"/>
      <c r="AI74" s="263"/>
      <c r="AJ74" s="263"/>
      <c r="AK74" s="263"/>
      <c r="AL74" s="263"/>
      <c r="AM74" s="263"/>
      <c r="AN74" s="263"/>
      <c r="AO74" s="263"/>
      <c r="AP74" s="263"/>
      <c r="AQ74" s="263"/>
      <c r="AR74" s="263"/>
      <c r="AS74" s="263"/>
      <c r="AT74" s="263"/>
      <c r="AU74" s="263"/>
      <c r="AV74" s="263"/>
      <c r="AW74" s="263"/>
      <c r="AX74" s="264"/>
      <c r="AY74" s="264"/>
      <c r="AZ74" s="264"/>
      <c r="BA74" s="264"/>
      <c r="BB74" s="264"/>
      <c r="BC74" s="264"/>
      <c r="BD74" s="264"/>
      <c r="BE74" s="264"/>
      <c r="BF74" s="264"/>
      <c r="BG74" s="264"/>
      <c r="BH74" s="264"/>
      <c r="BI74" s="264"/>
      <c r="BJ74" s="264"/>
      <c r="BK74" s="264"/>
      <c r="BL74" s="264"/>
      <c r="BM74" s="264"/>
      <c r="BN74" s="265"/>
      <c r="BO74" s="265"/>
      <c r="BP74" s="265"/>
      <c r="BQ74" s="265"/>
      <c r="BR74" s="265"/>
      <c r="BS74" s="265"/>
      <c r="BT74" s="265"/>
      <c r="BU74" s="265"/>
      <c r="BV74" s="265"/>
      <c r="BW74" s="265"/>
      <c r="BX74" s="265"/>
      <c r="BY74" s="265"/>
      <c r="BZ74" s="265"/>
      <c r="CA74" s="265"/>
      <c r="CB74" s="265"/>
      <c r="CC74" s="265"/>
      <c r="CD74" s="266"/>
      <c r="CE74" s="266"/>
      <c r="CF74" s="266"/>
      <c r="CG74" s="266"/>
      <c r="CH74" s="266"/>
      <c r="CI74" s="266"/>
      <c r="CJ74" s="266"/>
      <c r="CK74" s="266"/>
      <c r="CL74" s="266"/>
      <c r="CM74" s="266"/>
      <c r="CN74" s="266"/>
      <c r="CO74" s="266"/>
      <c r="CP74" s="266"/>
      <c r="CQ74" s="266"/>
      <c r="CR74" s="266"/>
      <c r="CS74" s="266"/>
      <c r="CT74" s="267"/>
      <c r="CU74" s="267"/>
      <c r="CV74" s="267"/>
      <c r="CW74" s="267"/>
      <c r="CX74" s="267"/>
      <c r="CY74" s="267"/>
      <c r="CZ74" s="267"/>
      <c r="DA74" s="267"/>
      <c r="DB74" s="267"/>
      <c r="DC74" s="267"/>
      <c r="DD74" s="267"/>
      <c r="DE74" s="267"/>
      <c r="DF74" s="267"/>
      <c r="DG74" s="267"/>
      <c r="DH74" s="267"/>
      <c r="DI74" s="267"/>
      <c r="DJ74" s="268">
        <v>80</v>
      </c>
      <c r="DK74" s="268"/>
      <c r="DL74" s="268"/>
      <c r="DM74" s="268"/>
      <c r="DN74" s="268"/>
      <c r="DO74" s="268"/>
      <c r="DP74" s="268"/>
      <c r="DQ74" s="268"/>
      <c r="DR74" s="268"/>
      <c r="DS74" s="268"/>
      <c r="DT74" s="268"/>
      <c r="DU74" s="268"/>
      <c r="DV74" s="268"/>
      <c r="DW74" s="268"/>
      <c r="DX74" s="268"/>
      <c r="DY74" s="268"/>
      <c r="EA74" s="20" t="str">
        <f>FORMULA!$A$73</f>
        <v>WOVEN BAG (1101) - BLUE 50KG</v>
      </c>
      <c r="EB74" s="91">
        <f>FORMULA!$C73</f>
        <v>0</v>
      </c>
      <c r="EC74" s="92">
        <f>FORMULA!$E73</f>
        <v>0</v>
      </c>
      <c r="ED74" s="92">
        <f>FORMULA!$G73</f>
        <v>0</v>
      </c>
      <c r="EE74" s="92">
        <f>FORMULA!$I73</f>
        <v>0</v>
      </c>
      <c r="EF74" s="92">
        <f>FORMULA!$K73</f>
        <v>0</v>
      </c>
      <c r="EG74" s="92">
        <f>FORMULA!$M73</f>
        <v>0</v>
      </c>
      <c r="EH74" s="92">
        <f>FORMULA!$O73</f>
        <v>0</v>
      </c>
      <c r="EI74" s="92">
        <f>FORMULA!$Q73</f>
        <v>0</v>
      </c>
      <c r="EJ74" s="92">
        <f>FORMULA!$S73</f>
        <v>0</v>
      </c>
      <c r="EK74" s="92">
        <f>FORMULA!$U73</f>
        <v>0</v>
      </c>
      <c r="EL74" s="92">
        <f>FORMULA!$W73</f>
        <v>0</v>
      </c>
      <c r="EM74" s="92">
        <f>FORMULA!$Y73</f>
        <v>0</v>
      </c>
      <c r="EN74" s="92">
        <f>FORMULA!$AA73</f>
        <v>0</v>
      </c>
      <c r="EO74" s="92">
        <f>FORMULA!$AC73</f>
        <v>0</v>
      </c>
      <c r="EP74" s="92">
        <f>FORMULA!$AE73</f>
        <v>0</v>
      </c>
      <c r="EQ74" s="108"/>
      <c r="ER74" s="91">
        <f>FORMULA!$C161</f>
        <v>0</v>
      </c>
      <c r="ES74" s="92">
        <f>FORMULA!$E161</f>
        <v>0</v>
      </c>
      <c r="ET74" s="92">
        <f>FORMULA!$G161</f>
        <v>0</v>
      </c>
      <c r="EU74" s="92">
        <f>FORMULA!$I161</f>
        <v>0</v>
      </c>
      <c r="EV74" s="92">
        <f>FORMULA!$K161</f>
        <v>0</v>
      </c>
      <c r="EW74" s="92">
        <f>FORMULA!$M161</f>
        <v>0</v>
      </c>
      <c r="EX74" s="92">
        <f>FORMULA!$O161</f>
        <v>0</v>
      </c>
      <c r="EY74" s="92">
        <f>FORMULA!$Q161</f>
        <v>0</v>
      </c>
      <c r="EZ74" s="92">
        <f>FORMULA!$S161</f>
        <v>0</v>
      </c>
      <c r="FA74" s="92">
        <f>FORMULA!$U161</f>
        <v>0</v>
      </c>
      <c r="FB74" s="92">
        <f>FORMULA!$W161</f>
        <v>0</v>
      </c>
      <c r="FC74" s="92">
        <f>FORMULA!$Y161</f>
        <v>0</v>
      </c>
      <c r="FD74" s="92">
        <f>FORMULA!$AA161</f>
        <v>0</v>
      </c>
      <c r="FE74" s="92">
        <f>FORMULA!$AC161</f>
        <v>0</v>
      </c>
      <c r="FF74" s="92">
        <f>FORMULA!$AE161</f>
        <v>0</v>
      </c>
      <c r="FG74" s="94"/>
      <c r="FH74" s="91">
        <f>FORMULA!$C249</f>
        <v>0</v>
      </c>
      <c r="FI74" s="92">
        <f>FORMULA!$E249</f>
        <v>0</v>
      </c>
      <c r="FJ74" s="92">
        <f>FORMULA!$G249</f>
        <v>0</v>
      </c>
      <c r="FK74" s="92">
        <f>FORMULA!$I249</f>
        <v>0</v>
      </c>
      <c r="FL74" s="92">
        <f>FORMULA!$K249</f>
        <v>0</v>
      </c>
      <c r="FM74" s="92">
        <f>FORMULA!$M249</f>
        <v>0</v>
      </c>
      <c r="FN74" s="92">
        <f>FORMULA!$O249</f>
        <v>0</v>
      </c>
      <c r="FO74" s="92">
        <f>FORMULA!$Q249</f>
        <v>0</v>
      </c>
      <c r="FP74" s="92">
        <f>FORMULA!$S249</f>
        <v>0</v>
      </c>
      <c r="FQ74" s="92">
        <f>FORMULA!$U249</f>
        <v>0</v>
      </c>
      <c r="FR74" s="92">
        <f>FORMULA!$W249</f>
        <v>0</v>
      </c>
      <c r="FS74" s="92">
        <f>FORMULA!$Y249</f>
        <v>0</v>
      </c>
      <c r="FT74" s="92">
        <f>FORMULA!$AA249</f>
        <v>0</v>
      </c>
      <c r="FU74" s="92">
        <f>FORMULA!$AC249</f>
        <v>0</v>
      </c>
      <c r="FV74" s="92">
        <f>FORMULA!$AE249</f>
        <v>0</v>
      </c>
      <c r="FW74" s="94"/>
      <c r="FX74" s="91">
        <f>FORMULA!$C337</f>
        <v>0</v>
      </c>
      <c r="FY74" s="92">
        <f>FORMULA!$E337</f>
        <v>0</v>
      </c>
      <c r="FZ74" s="92">
        <f>FORMULA!$G337</f>
        <v>0</v>
      </c>
      <c r="GA74" s="92">
        <f>FORMULA!$I337</f>
        <v>0</v>
      </c>
      <c r="GB74" s="92">
        <f>FORMULA!$K337</f>
        <v>0</v>
      </c>
      <c r="GC74" s="92">
        <f>FORMULA!$M337</f>
        <v>0</v>
      </c>
      <c r="GD74" s="92">
        <f>FORMULA!$O337</f>
        <v>0</v>
      </c>
      <c r="GE74" s="92">
        <f>FORMULA!$Q337</f>
        <v>0</v>
      </c>
      <c r="GF74" s="92">
        <f>FORMULA!$S337</f>
        <v>0</v>
      </c>
      <c r="GG74" s="92">
        <f>FORMULA!$U337</f>
        <v>0</v>
      </c>
      <c r="GH74" s="92">
        <f>FORMULA!$W337</f>
        <v>0</v>
      </c>
      <c r="GI74" s="92">
        <f>FORMULA!$Y337</f>
        <v>0</v>
      </c>
      <c r="GJ74" s="92">
        <f>FORMULA!$AA337</f>
        <v>0</v>
      </c>
      <c r="GK74" s="92">
        <f>FORMULA!$AC337</f>
        <v>0</v>
      </c>
      <c r="GL74" s="92">
        <f>FORMULA!$AE337</f>
        <v>0</v>
      </c>
      <c r="GM74" s="207"/>
      <c r="GN74" s="91">
        <f>FORMULA!$C425</f>
        <v>0</v>
      </c>
      <c r="GO74" s="92">
        <f>FORMULA!$E425</f>
        <v>0</v>
      </c>
      <c r="GP74" s="92">
        <f>FORMULA!$G425</f>
        <v>0</v>
      </c>
      <c r="GQ74" s="92">
        <f>FORMULA!$I425</f>
        <v>0</v>
      </c>
      <c r="GR74" s="92">
        <f>FORMULA!$K425</f>
        <v>0</v>
      </c>
      <c r="GS74" s="92">
        <f>FORMULA!$M425</f>
        <v>0</v>
      </c>
      <c r="GT74" s="92">
        <f>FORMULA!$O425</f>
        <v>0</v>
      </c>
      <c r="GU74" s="92">
        <f>FORMULA!$Q425</f>
        <v>0</v>
      </c>
      <c r="GV74" s="92">
        <f>FORMULA!$S425</f>
        <v>0</v>
      </c>
      <c r="GW74" s="92">
        <f>FORMULA!$U425</f>
        <v>0</v>
      </c>
      <c r="GX74" s="92">
        <f>FORMULA!$W425</f>
        <v>0</v>
      </c>
      <c r="GY74" s="92">
        <f>FORMULA!$Y425</f>
        <v>0</v>
      </c>
      <c r="GZ74" s="92">
        <f>FORMULA!$AA425</f>
        <v>0</v>
      </c>
      <c r="HA74" s="92">
        <f>FORMULA!$AC425</f>
        <v>0</v>
      </c>
      <c r="HB74" s="92">
        <f>FORMULA!$AE425</f>
        <v>0</v>
      </c>
      <c r="HC74" s="207"/>
      <c r="HD74" s="91">
        <f>FORMULA!$C513</f>
        <v>0</v>
      </c>
      <c r="HE74" s="92">
        <f>FORMULA!$E513</f>
        <v>0</v>
      </c>
      <c r="HF74" s="92">
        <f>FORMULA!$G513</f>
        <v>0</v>
      </c>
      <c r="HG74" s="92">
        <f>FORMULA!$I513</f>
        <v>0</v>
      </c>
      <c r="HH74" s="92">
        <f>FORMULA!$K513</f>
        <v>0</v>
      </c>
      <c r="HI74" s="92">
        <f>FORMULA!$M513</f>
        <v>0</v>
      </c>
      <c r="HJ74" s="92">
        <f>FORMULA!$O513</f>
        <v>0</v>
      </c>
      <c r="HK74" s="92">
        <f>FORMULA!$Q513</f>
        <v>0</v>
      </c>
      <c r="HL74" s="92">
        <f>FORMULA!$S513</f>
        <v>0</v>
      </c>
      <c r="HM74" s="92">
        <f>FORMULA!$U513</f>
        <v>0</v>
      </c>
      <c r="HN74" s="92">
        <f>FORMULA!$W513</f>
        <v>0</v>
      </c>
      <c r="HO74" s="92">
        <f>FORMULA!$Y513</f>
        <v>0</v>
      </c>
      <c r="HP74" s="92">
        <f>FORMULA!$AA513</f>
        <v>0</v>
      </c>
      <c r="HQ74" s="92">
        <f>FORMULA!$AC513</f>
        <v>0</v>
      </c>
      <c r="HR74" s="92">
        <f>FORMULA!$AE513</f>
        <v>0</v>
      </c>
      <c r="HS74" s="207"/>
      <c r="HT74" s="91">
        <f>FORMULA!$C601</f>
        <v>0</v>
      </c>
      <c r="HU74" s="92">
        <f>FORMULA!$E601</f>
        <v>0</v>
      </c>
      <c r="HV74" s="92">
        <f>FORMULA!$G601</f>
        <v>0</v>
      </c>
      <c r="HW74" s="92">
        <f>FORMULA!$I601</f>
        <v>0</v>
      </c>
      <c r="HX74" s="92">
        <f>FORMULA!$K601</f>
        <v>0</v>
      </c>
      <c r="HY74" s="92">
        <f>FORMULA!$M601</f>
        <v>0</v>
      </c>
      <c r="HZ74" s="92">
        <f>FORMULA!$O601</f>
        <v>0</v>
      </c>
      <c r="IA74" s="92">
        <f>FORMULA!$Q601</f>
        <v>0</v>
      </c>
      <c r="IB74" s="92">
        <f>FORMULA!$S601</f>
        <v>0</v>
      </c>
      <c r="IC74" s="92">
        <f>FORMULA!$U601</f>
        <v>0</v>
      </c>
      <c r="ID74" s="92">
        <f>FORMULA!$W601</f>
        <v>0</v>
      </c>
      <c r="IE74" s="92">
        <f>FORMULA!$Y601</f>
        <v>0</v>
      </c>
      <c r="IF74" s="92">
        <f>FORMULA!$AA601</f>
        <v>0</v>
      </c>
      <c r="IG74" s="92">
        <f>FORMULA!$AC601</f>
        <v>0</v>
      </c>
      <c r="IH74" s="92">
        <f>FORMULA!$AE601</f>
        <v>0</v>
      </c>
      <c r="II74" s="207"/>
      <c r="IJ74" s="91">
        <f>FORMULA!$C689</f>
        <v>0</v>
      </c>
      <c r="IK74" s="92">
        <f>FORMULA!$E689</f>
        <v>0</v>
      </c>
      <c r="IL74" s="92">
        <f>FORMULA!$G689</f>
        <v>0</v>
      </c>
      <c r="IM74" s="92">
        <f>FORMULA!$I689</f>
        <v>0</v>
      </c>
      <c r="IN74" s="92">
        <f>FORMULA!$K689</f>
        <v>0</v>
      </c>
      <c r="IO74" s="92">
        <f>FORMULA!$M689</f>
        <v>0</v>
      </c>
      <c r="IP74" s="92">
        <f>FORMULA!$O689</f>
        <v>0</v>
      </c>
      <c r="IQ74" s="92">
        <f>FORMULA!$Q689</f>
        <v>0</v>
      </c>
      <c r="IR74" s="92">
        <f>FORMULA!$S689</f>
        <v>0</v>
      </c>
      <c r="IS74" s="92">
        <f>FORMULA!$U689</f>
        <v>0</v>
      </c>
      <c r="IT74" s="92">
        <f>FORMULA!$W689</f>
        <v>0</v>
      </c>
      <c r="IU74" s="92">
        <f>FORMULA!$Y689</f>
        <v>0</v>
      </c>
      <c r="IV74" s="92">
        <f>FORMULA!$AA689</f>
        <v>0</v>
      </c>
      <c r="IW74" s="92">
        <f>FORMULA!$AC689</f>
        <v>0</v>
      </c>
      <c r="IX74" s="92">
        <f>FORMULA!$AE689</f>
        <v>0</v>
      </c>
      <c r="IY74" s="208"/>
    </row>
    <row r="75" spans="1:259" outlineLevel="1">
      <c r="A75" s="11">
        <f>'VAC &amp; MED'!C62</f>
        <v>46074</v>
      </c>
      <c r="B75" s="261">
        <v>26</v>
      </c>
      <c r="C75" s="261"/>
      <c r="D75" s="261"/>
      <c r="E75" s="261"/>
      <c r="F75" s="261"/>
      <c r="G75" s="261"/>
      <c r="H75" s="261"/>
      <c r="I75" s="261"/>
      <c r="J75" s="261"/>
      <c r="K75" s="261"/>
      <c r="L75" s="261"/>
      <c r="M75" s="261"/>
      <c r="N75" s="261"/>
      <c r="O75" s="261"/>
      <c r="P75" s="261"/>
      <c r="Q75" s="261"/>
      <c r="R75" s="262"/>
      <c r="S75" s="262"/>
      <c r="T75" s="262"/>
      <c r="U75" s="262"/>
      <c r="V75" s="262"/>
      <c r="W75" s="262"/>
      <c r="X75" s="262"/>
      <c r="Y75" s="262"/>
      <c r="Z75" s="262"/>
      <c r="AA75" s="262"/>
      <c r="AB75" s="262"/>
      <c r="AC75" s="262"/>
      <c r="AD75" s="262"/>
      <c r="AE75" s="262"/>
      <c r="AF75" s="262"/>
      <c r="AG75" s="262"/>
      <c r="AH75" s="263"/>
      <c r="AI75" s="263"/>
      <c r="AJ75" s="263"/>
      <c r="AK75" s="263"/>
      <c r="AL75" s="263"/>
      <c r="AM75" s="263"/>
      <c r="AN75" s="263"/>
      <c r="AO75" s="263"/>
      <c r="AP75" s="263"/>
      <c r="AQ75" s="263"/>
      <c r="AR75" s="263"/>
      <c r="AS75" s="263"/>
      <c r="AT75" s="263"/>
      <c r="AU75" s="263"/>
      <c r="AV75" s="263"/>
      <c r="AW75" s="263"/>
      <c r="AX75" s="264"/>
      <c r="AY75" s="264"/>
      <c r="AZ75" s="264"/>
      <c r="BA75" s="264"/>
      <c r="BB75" s="264"/>
      <c r="BC75" s="264"/>
      <c r="BD75" s="264"/>
      <c r="BE75" s="264"/>
      <c r="BF75" s="264"/>
      <c r="BG75" s="264"/>
      <c r="BH75" s="264"/>
      <c r="BI75" s="264"/>
      <c r="BJ75" s="264"/>
      <c r="BK75" s="264"/>
      <c r="BL75" s="264"/>
      <c r="BM75" s="264"/>
      <c r="BN75" s="265"/>
      <c r="BO75" s="265"/>
      <c r="BP75" s="265"/>
      <c r="BQ75" s="265"/>
      <c r="BR75" s="265"/>
      <c r="BS75" s="265"/>
      <c r="BT75" s="265"/>
      <c r="BU75" s="265"/>
      <c r="BV75" s="265"/>
      <c r="BW75" s="265"/>
      <c r="BX75" s="265"/>
      <c r="BY75" s="265"/>
      <c r="BZ75" s="265"/>
      <c r="CA75" s="265"/>
      <c r="CB75" s="265"/>
      <c r="CC75" s="265"/>
      <c r="CD75" s="266"/>
      <c r="CE75" s="266"/>
      <c r="CF75" s="266"/>
      <c r="CG75" s="266"/>
      <c r="CH75" s="266"/>
      <c r="CI75" s="266"/>
      <c r="CJ75" s="266"/>
      <c r="CK75" s="266"/>
      <c r="CL75" s="266"/>
      <c r="CM75" s="266"/>
      <c r="CN75" s="266"/>
      <c r="CO75" s="266"/>
      <c r="CP75" s="266"/>
      <c r="CQ75" s="266"/>
      <c r="CR75" s="266"/>
      <c r="CS75" s="266"/>
      <c r="CT75" s="267">
        <v>50</v>
      </c>
      <c r="CU75" s="267"/>
      <c r="CV75" s="267"/>
      <c r="CW75" s="267"/>
      <c r="CX75" s="267"/>
      <c r="CY75" s="267"/>
      <c r="CZ75" s="267"/>
      <c r="DA75" s="267"/>
      <c r="DB75" s="267"/>
      <c r="DC75" s="267"/>
      <c r="DD75" s="267"/>
      <c r="DE75" s="267"/>
      <c r="DF75" s="267"/>
      <c r="DG75" s="267"/>
      <c r="DH75" s="267"/>
      <c r="DI75" s="267"/>
      <c r="DJ75" s="268"/>
      <c r="DK75" s="268"/>
      <c r="DL75" s="268"/>
      <c r="DM75" s="268"/>
      <c r="DN75" s="268"/>
      <c r="DO75" s="268"/>
      <c r="DP75" s="268"/>
      <c r="DQ75" s="268"/>
      <c r="DR75" s="268"/>
      <c r="DS75" s="268"/>
      <c r="DT75" s="268"/>
      <c r="DU75" s="268"/>
      <c r="DV75" s="268"/>
      <c r="DW75" s="268"/>
      <c r="DX75" s="268"/>
      <c r="DY75" s="268"/>
      <c r="EA75" s="383" t="str">
        <f>FORMULA!$A$74</f>
        <v>WOVEN BAG (1102) - GREEN 50KG</v>
      </c>
      <c r="EB75" s="91">
        <f>FORMULA!$C74</f>
        <v>0</v>
      </c>
      <c r="EC75" s="92">
        <f>FORMULA!$E74</f>
        <v>0</v>
      </c>
      <c r="ED75" s="92">
        <f>FORMULA!$G74</f>
        <v>0</v>
      </c>
      <c r="EE75" s="92">
        <f>FORMULA!$I74</f>
        <v>0</v>
      </c>
      <c r="EF75" s="92">
        <f>FORMULA!$K74</f>
        <v>0</v>
      </c>
      <c r="EG75" s="92">
        <f>FORMULA!$M74</f>
        <v>0</v>
      </c>
      <c r="EH75" s="92">
        <f>FORMULA!$O74</f>
        <v>0</v>
      </c>
      <c r="EI75" s="92">
        <f>FORMULA!$Q74</f>
        <v>0</v>
      </c>
      <c r="EJ75" s="92">
        <f>FORMULA!$S74</f>
        <v>0</v>
      </c>
      <c r="EK75" s="92">
        <f>FORMULA!$U74</f>
        <v>0</v>
      </c>
      <c r="EL75" s="92">
        <f>FORMULA!$W74</f>
        <v>0</v>
      </c>
      <c r="EM75" s="92">
        <f>FORMULA!$Y74</f>
        <v>0</v>
      </c>
      <c r="EN75" s="92">
        <f>FORMULA!$AA74</f>
        <v>0</v>
      </c>
      <c r="EO75" s="92">
        <f>FORMULA!$AC74</f>
        <v>0</v>
      </c>
      <c r="EP75" s="92">
        <f>FORMULA!$AE74</f>
        <v>0</v>
      </c>
      <c r="EQ75" s="108"/>
      <c r="ER75" s="91">
        <f>FORMULA!$C162</f>
        <v>0</v>
      </c>
      <c r="ES75" s="92">
        <f>FORMULA!$E162</f>
        <v>0</v>
      </c>
      <c r="ET75" s="92">
        <f>FORMULA!$G162</f>
        <v>0</v>
      </c>
      <c r="EU75" s="92">
        <f>FORMULA!$I162</f>
        <v>0</v>
      </c>
      <c r="EV75" s="92">
        <f>FORMULA!$K162</f>
        <v>0</v>
      </c>
      <c r="EW75" s="92">
        <f>FORMULA!$M162</f>
        <v>0</v>
      </c>
      <c r="EX75" s="92">
        <f>FORMULA!$O162</f>
        <v>0</v>
      </c>
      <c r="EY75" s="92">
        <f>FORMULA!$Q162</f>
        <v>0</v>
      </c>
      <c r="EZ75" s="92">
        <f>FORMULA!$S162</f>
        <v>0</v>
      </c>
      <c r="FA75" s="92">
        <f>FORMULA!$U162</f>
        <v>0</v>
      </c>
      <c r="FB75" s="92">
        <f>FORMULA!$W162</f>
        <v>0</v>
      </c>
      <c r="FC75" s="92">
        <f>FORMULA!$Y162</f>
        <v>0</v>
      </c>
      <c r="FD75" s="92">
        <f>FORMULA!$AA162</f>
        <v>0</v>
      </c>
      <c r="FE75" s="92">
        <f>FORMULA!$AC162</f>
        <v>0</v>
      </c>
      <c r="FF75" s="92">
        <f>FORMULA!$AE162</f>
        <v>0</v>
      </c>
      <c r="FG75" s="94"/>
      <c r="FH75" s="91">
        <f>FORMULA!$C250</f>
        <v>0</v>
      </c>
      <c r="FI75" s="92">
        <f>FORMULA!$E250</f>
        <v>0</v>
      </c>
      <c r="FJ75" s="92">
        <f>FORMULA!$G250</f>
        <v>0</v>
      </c>
      <c r="FK75" s="92">
        <f>FORMULA!$I250</f>
        <v>0</v>
      </c>
      <c r="FL75" s="92">
        <f>FORMULA!$K250</f>
        <v>0</v>
      </c>
      <c r="FM75" s="92">
        <f>FORMULA!$M250</f>
        <v>0</v>
      </c>
      <c r="FN75" s="92">
        <f>FORMULA!$O250</f>
        <v>0</v>
      </c>
      <c r="FO75" s="92">
        <f>FORMULA!$Q250</f>
        <v>0</v>
      </c>
      <c r="FP75" s="92">
        <f>FORMULA!$S250</f>
        <v>0</v>
      </c>
      <c r="FQ75" s="92">
        <f>FORMULA!$U250</f>
        <v>0</v>
      </c>
      <c r="FR75" s="92">
        <f>FORMULA!$W250</f>
        <v>0</v>
      </c>
      <c r="FS75" s="92">
        <f>FORMULA!$Y250</f>
        <v>0</v>
      </c>
      <c r="FT75" s="92">
        <f>FORMULA!$AA250</f>
        <v>0</v>
      </c>
      <c r="FU75" s="92">
        <f>FORMULA!$AC250</f>
        <v>0</v>
      </c>
      <c r="FV75" s="92">
        <f>FORMULA!$AE250</f>
        <v>0</v>
      </c>
      <c r="FW75" s="94"/>
      <c r="FX75" s="91">
        <f>FORMULA!$C338</f>
        <v>0</v>
      </c>
      <c r="FY75" s="92">
        <f>FORMULA!$E338</f>
        <v>0</v>
      </c>
      <c r="FZ75" s="92">
        <f>FORMULA!$G338</f>
        <v>0</v>
      </c>
      <c r="GA75" s="92">
        <f>FORMULA!$I338</f>
        <v>0</v>
      </c>
      <c r="GB75" s="92">
        <f>FORMULA!$K338</f>
        <v>0</v>
      </c>
      <c r="GC75" s="92">
        <f>FORMULA!$M338</f>
        <v>0</v>
      </c>
      <c r="GD75" s="92">
        <f>FORMULA!$O338</f>
        <v>0</v>
      </c>
      <c r="GE75" s="92">
        <f>FORMULA!$Q338</f>
        <v>0</v>
      </c>
      <c r="GF75" s="92">
        <f>FORMULA!$S338</f>
        <v>0</v>
      </c>
      <c r="GG75" s="92">
        <f>FORMULA!$U338</f>
        <v>0</v>
      </c>
      <c r="GH75" s="92">
        <f>FORMULA!$W338</f>
        <v>0</v>
      </c>
      <c r="GI75" s="92">
        <f>FORMULA!$Y338</f>
        <v>0</v>
      </c>
      <c r="GJ75" s="92">
        <f>FORMULA!$AA338</f>
        <v>0</v>
      </c>
      <c r="GK75" s="92">
        <f>FORMULA!$AC338</f>
        <v>0</v>
      </c>
      <c r="GL75" s="92">
        <f>FORMULA!$AE338</f>
        <v>0</v>
      </c>
      <c r="GM75" s="207"/>
      <c r="GN75" s="91">
        <f>FORMULA!$C426</f>
        <v>0</v>
      </c>
      <c r="GO75" s="92">
        <f>FORMULA!$E426</f>
        <v>0</v>
      </c>
      <c r="GP75" s="92">
        <f>FORMULA!$G426</f>
        <v>0</v>
      </c>
      <c r="GQ75" s="92">
        <f>FORMULA!$I426</f>
        <v>0</v>
      </c>
      <c r="GR75" s="92">
        <f>FORMULA!$K426</f>
        <v>0</v>
      </c>
      <c r="GS75" s="92">
        <f>FORMULA!$M426</f>
        <v>0</v>
      </c>
      <c r="GT75" s="92">
        <f>FORMULA!$O426</f>
        <v>0</v>
      </c>
      <c r="GU75" s="92">
        <f>FORMULA!$Q426</f>
        <v>0</v>
      </c>
      <c r="GV75" s="92">
        <f>FORMULA!$S426</f>
        <v>0</v>
      </c>
      <c r="GW75" s="92">
        <f>FORMULA!$U426</f>
        <v>0</v>
      </c>
      <c r="GX75" s="92">
        <f>FORMULA!$W426</f>
        <v>0</v>
      </c>
      <c r="GY75" s="92">
        <f>FORMULA!$Y426</f>
        <v>0</v>
      </c>
      <c r="GZ75" s="92">
        <f>FORMULA!$AA426</f>
        <v>0</v>
      </c>
      <c r="HA75" s="92">
        <f>FORMULA!$AC426</f>
        <v>0</v>
      </c>
      <c r="HB75" s="92">
        <f>FORMULA!$AE426</f>
        <v>0</v>
      </c>
      <c r="HC75" s="207"/>
      <c r="HD75" s="91">
        <f>FORMULA!$C514</f>
        <v>0</v>
      </c>
      <c r="HE75" s="92">
        <f>FORMULA!$E514</f>
        <v>0</v>
      </c>
      <c r="HF75" s="92">
        <f>FORMULA!$G514</f>
        <v>0</v>
      </c>
      <c r="HG75" s="92">
        <f>FORMULA!$I514</f>
        <v>0</v>
      </c>
      <c r="HH75" s="92">
        <f>FORMULA!$K514</f>
        <v>0</v>
      </c>
      <c r="HI75" s="92">
        <f>FORMULA!$M514</f>
        <v>0</v>
      </c>
      <c r="HJ75" s="92">
        <f>FORMULA!$O514</f>
        <v>0</v>
      </c>
      <c r="HK75" s="92">
        <f>FORMULA!$Q514</f>
        <v>0</v>
      </c>
      <c r="HL75" s="92">
        <f>FORMULA!$S514</f>
        <v>0</v>
      </c>
      <c r="HM75" s="92">
        <f>FORMULA!$U514</f>
        <v>0</v>
      </c>
      <c r="HN75" s="92">
        <f>FORMULA!$W514</f>
        <v>0</v>
      </c>
      <c r="HO75" s="92">
        <f>FORMULA!$Y514</f>
        <v>0</v>
      </c>
      <c r="HP75" s="92">
        <f>FORMULA!$AA514</f>
        <v>0</v>
      </c>
      <c r="HQ75" s="92">
        <f>FORMULA!$AC514</f>
        <v>0</v>
      </c>
      <c r="HR75" s="92">
        <f>FORMULA!$AE514</f>
        <v>0</v>
      </c>
      <c r="HS75" s="207"/>
      <c r="HT75" s="91">
        <f>FORMULA!$C602</f>
        <v>0</v>
      </c>
      <c r="HU75" s="92">
        <f>FORMULA!$E602</f>
        <v>0</v>
      </c>
      <c r="HV75" s="92">
        <f>FORMULA!$G602</f>
        <v>0</v>
      </c>
      <c r="HW75" s="92">
        <f>FORMULA!$I602</f>
        <v>0</v>
      </c>
      <c r="HX75" s="92">
        <f>FORMULA!$K602</f>
        <v>0</v>
      </c>
      <c r="HY75" s="92">
        <f>FORMULA!$M602</f>
        <v>0</v>
      </c>
      <c r="HZ75" s="92">
        <f>FORMULA!$O602</f>
        <v>0</v>
      </c>
      <c r="IA75" s="92">
        <f>FORMULA!$Q602</f>
        <v>0</v>
      </c>
      <c r="IB75" s="92">
        <f>FORMULA!$S602</f>
        <v>0</v>
      </c>
      <c r="IC75" s="92">
        <f>FORMULA!$U602</f>
        <v>0</v>
      </c>
      <c r="ID75" s="92">
        <f>FORMULA!$W602</f>
        <v>0</v>
      </c>
      <c r="IE75" s="92">
        <f>FORMULA!$Y602</f>
        <v>0</v>
      </c>
      <c r="IF75" s="92">
        <f>FORMULA!$AA602</f>
        <v>0</v>
      </c>
      <c r="IG75" s="92">
        <f>FORMULA!$AC602</f>
        <v>0</v>
      </c>
      <c r="IH75" s="92">
        <f>FORMULA!$AE602</f>
        <v>0</v>
      </c>
      <c r="II75" s="207"/>
      <c r="IJ75" s="91">
        <f>FORMULA!$C690</f>
        <v>0</v>
      </c>
      <c r="IK75" s="92">
        <f>FORMULA!$E690</f>
        <v>0</v>
      </c>
      <c r="IL75" s="92">
        <f>FORMULA!$G690</f>
        <v>0</v>
      </c>
      <c r="IM75" s="92">
        <f>FORMULA!$I690</f>
        <v>0</v>
      </c>
      <c r="IN75" s="92">
        <f>FORMULA!$K690</f>
        <v>0</v>
      </c>
      <c r="IO75" s="92">
        <f>FORMULA!$M690</f>
        <v>0</v>
      </c>
      <c r="IP75" s="92">
        <f>FORMULA!$O690</f>
        <v>0</v>
      </c>
      <c r="IQ75" s="92">
        <f>FORMULA!$Q690</f>
        <v>0</v>
      </c>
      <c r="IR75" s="92">
        <f>FORMULA!$S690</f>
        <v>0</v>
      </c>
      <c r="IS75" s="92">
        <f>FORMULA!$U690</f>
        <v>0</v>
      </c>
      <c r="IT75" s="92">
        <f>FORMULA!$W690</f>
        <v>0</v>
      </c>
      <c r="IU75" s="92">
        <f>FORMULA!$Y690</f>
        <v>0</v>
      </c>
      <c r="IV75" s="92">
        <f>FORMULA!$AA690</f>
        <v>0</v>
      </c>
      <c r="IW75" s="92">
        <f>FORMULA!$AC690</f>
        <v>0</v>
      </c>
      <c r="IX75" s="92">
        <f>FORMULA!$AE690</f>
        <v>0</v>
      </c>
      <c r="IY75" s="208"/>
    </row>
    <row r="76" spans="1:259" outlineLevel="1">
      <c r="A76" s="11">
        <f>'VAC &amp; MED'!C63</f>
        <v>46075</v>
      </c>
      <c r="B76" s="261"/>
      <c r="C76" s="261"/>
      <c r="D76" s="261"/>
      <c r="E76" s="261"/>
      <c r="F76" s="261"/>
      <c r="G76" s="261"/>
      <c r="H76" s="261"/>
      <c r="I76" s="261"/>
      <c r="J76" s="261"/>
      <c r="K76" s="261"/>
      <c r="L76" s="261"/>
      <c r="M76" s="261"/>
      <c r="N76" s="261"/>
      <c r="O76" s="261"/>
      <c r="P76" s="261"/>
      <c r="Q76" s="261"/>
      <c r="R76" s="262"/>
      <c r="S76" s="262"/>
      <c r="T76" s="262"/>
      <c r="U76" s="262"/>
      <c r="V76" s="262"/>
      <c r="W76" s="262"/>
      <c r="X76" s="262"/>
      <c r="Y76" s="262"/>
      <c r="Z76" s="262"/>
      <c r="AA76" s="262"/>
      <c r="AB76" s="262"/>
      <c r="AC76" s="262"/>
      <c r="AD76" s="262"/>
      <c r="AE76" s="262"/>
      <c r="AF76" s="262"/>
      <c r="AG76" s="262"/>
      <c r="AH76" s="263"/>
      <c r="AI76" s="263"/>
      <c r="AJ76" s="263"/>
      <c r="AK76" s="263"/>
      <c r="AL76" s="263"/>
      <c r="AM76" s="263"/>
      <c r="AN76" s="263"/>
      <c r="AO76" s="263"/>
      <c r="AP76" s="263"/>
      <c r="AQ76" s="263"/>
      <c r="AR76" s="263"/>
      <c r="AS76" s="263"/>
      <c r="AT76" s="263"/>
      <c r="AU76" s="263"/>
      <c r="AV76" s="263"/>
      <c r="AW76" s="263"/>
      <c r="AX76" s="264"/>
      <c r="AY76" s="264"/>
      <c r="AZ76" s="264"/>
      <c r="BA76" s="264"/>
      <c r="BB76" s="264"/>
      <c r="BC76" s="264"/>
      <c r="BD76" s="264"/>
      <c r="BE76" s="264"/>
      <c r="BF76" s="264"/>
      <c r="BG76" s="264"/>
      <c r="BH76" s="264"/>
      <c r="BI76" s="264"/>
      <c r="BJ76" s="264"/>
      <c r="BK76" s="264"/>
      <c r="BL76" s="264"/>
      <c r="BM76" s="264"/>
      <c r="BN76" s="265"/>
      <c r="BO76" s="265"/>
      <c r="BP76" s="265"/>
      <c r="BQ76" s="265"/>
      <c r="BR76" s="265"/>
      <c r="BS76" s="265"/>
      <c r="BT76" s="265"/>
      <c r="BU76" s="265"/>
      <c r="BV76" s="265"/>
      <c r="BW76" s="265"/>
      <c r="BX76" s="265"/>
      <c r="BY76" s="265"/>
      <c r="BZ76" s="265"/>
      <c r="CA76" s="265"/>
      <c r="CB76" s="265"/>
      <c r="CC76" s="265"/>
      <c r="CD76" s="266"/>
      <c r="CE76" s="266"/>
      <c r="CF76" s="266"/>
      <c r="CG76" s="266"/>
      <c r="CH76" s="266"/>
      <c r="CI76" s="266"/>
      <c r="CJ76" s="266"/>
      <c r="CK76" s="266"/>
      <c r="CL76" s="266"/>
      <c r="CM76" s="266"/>
      <c r="CN76" s="266"/>
      <c r="CO76" s="266"/>
      <c r="CP76" s="266"/>
      <c r="CQ76" s="266"/>
      <c r="CR76" s="266"/>
      <c r="CS76" s="266"/>
      <c r="CT76" s="267"/>
      <c r="CU76" s="267"/>
      <c r="CV76" s="267"/>
      <c r="CW76" s="267"/>
      <c r="CX76" s="267"/>
      <c r="CY76" s="267"/>
      <c r="CZ76" s="267"/>
      <c r="DA76" s="267"/>
      <c r="DB76" s="267"/>
      <c r="DC76" s="267"/>
      <c r="DD76" s="267"/>
      <c r="DE76" s="267"/>
      <c r="DF76" s="267"/>
      <c r="DG76" s="267"/>
      <c r="DH76" s="267"/>
      <c r="DI76" s="267"/>
      <c r="DJ76" s="268"/>
      <c r="DK76" s="268"/>
      <c r="DL76" s="268"/>
      <c r="DM76" s="268"/>
      <c r="DN76" s="268"/>
      <c r="DO76" s="268"/>
      <c r="DP76" s="268"/>
      <c r="DQ76" s="268"/>
      <c r="DR76" s="268"/>
      <c r="DS76" s="268"/>
      <c r="DT76" s="268"/>
      <c r="DU76" s="268"/>
      <c r="DV76" s="268"/>
      <c r="DW76" s="268"/>
      <c r="DX76" s="268"/>
      <c r="DY76" s="268"/>
      <c r="EA76" s="20" t="str">
        <f>FORMULA!$A$75</f>
        <v>WOVEN BAG (1103) - RED 50KG</v>
      </c>
      <c r="EB76" s="91">
        <f>FORMULA!$C75</f>
        <v>0</v>
      </c>
      <c r="EC76" s="92">
        <f>FORMULA!$E75</f>
        <v>0</v>
      </c>
      <c r="ED76" s="92">
        <f>FORMULA!$G75</f>
        <v>0</v>
      </c>
      <c r="EE76" s="92">
        <f>FORMULA!$I75</f>
        <v>0</v>
      </c>
      <c r="EF76" s="92">
        <f>FORMULA!$K75</f>
        <v>0</v>
      </c>
      <c r="EG76" s="92">
        <f>FORMULA!$M75</f>
        <v>0</v>
      </c>
      <c r="EH76" s="92">
        <f>FORMULA!$O75</f>
        <v>0</v>
      </c>
      <c r="EI76" s="92">
        <f>FORMULA!$Q75</f>
        <v>0</v>
      </c>
      <c r="EJ76" s="92">
        <f>FORMULA!$S75</f>
        <v>0</v>
      </c>
      <c r="EK76" s="92">
        <f>FORMULA!$U75</f>
        <v>0</v>
      </c>
      <c r="EL76" s="92">
        <f>FORMULA!$W75</f>
        <v>0</v>
      </c>
      <c r="EM76" s="92">
        <f>FORMULA!$Y75</f>
        <v>0</v>
      </c>
      <c r="EN76" s="92">
        <f>FORMULA!$AA75</f>
        <v>0</v>
      </c>
      <c r="EO76" s="92">
        <f>FORMULA!$AC75</f>
        <v>0</v>
      </c>
      <c r="EP76" s="92">
        <f>FORMULA!$AE75</f>
        <v>0</v>
      </c>
      <c r="EQ76" s="108"/>
      <c r="ER76" s="91">
        <f>FORMULA!$C163</f>
        <v>0</v>
      </c>
      <c r="ES76" s="92">
        <f>FORMULA!$E163</f>
        <v>0</v>
      </c>
      <c r="ET76" s="92">
        <f>FORMULA!$G163</f>
        <v>0</v>
      </c>
      <c r="EU76" s="92">
        <f>FORMULA!$I163</f>
        <v>0</v>
      </c>
      <c r="EV76" s="92">
        <f>FORMULA!$K163</f>
        <v>0</v>
      </c>
      <c r="EW76" s="92">
        <f>FORMULA!$M163</f>
        <v>0</v>
      </c>
      <c r="EX76" s="92">
        <f>FORMULA!$O163</f>
        <v>0</v>
      </c>
      <c r="EY76" s="92">
        <f>FORMULA!$Q163</f>
        <v>0</v>
      </c>
      <c r="EZ76" s="92">
        <f>FORMULA!$S163</f>
        <v>0</v>
      </c>
      <c r="FA76" s="92">
        <f>FORMULA!$U163</f>
        <v>0</v>
      </c>
      <c r="FB76" s="92">
        <f>FORMULA!$W163</f>
        <v>0</v>
      </c>
      <c r="FC76" s="92">
        <f>FORMULA!$Y163</f>
        <v>0</v>
      </c>
      <c r="FD76" s="92">
        <f>FORMULA!$AA163</f>
        <v>0</v>
      </c>
      <c r="FE76" s="92">
        <f>FORMULA!$AC163</f>
        <v>0</v>
      </c>
      <c r="FF76" s="92">
        <f>FORMULA!$AE163</f>
        <v>0</v>
      </c>
      <c r="FG76" s="94"/>
      <c r="FH76" s="91">
        <f>FORMULA!$C251</f>
        <v>0</v>
      </c>
      <c r="FI76" s="92">
        <f>FORMULA!$E251</f>
        <v>0</v>
      </c>
      <c r="FJ76" s="92">
        <f>FORMULA!$G251</f>
        <v>0</v>
      </c>
      <c r="FK76" s="92">
        <f>FORMULA!$I251</f>
        <v>0</v>
      </c>
      <c r="FL76" s="92">
        <f>FORMULA!$K251</f>
        <v>0</v>
      </c>
      <c r="FM76" s="92">
        <f>FORMULA!$M251</f>
        <v>0</v>
      </c>
      <c r="FN76" s="92">
        <f>FORMULA!$O251</f>
        <v>0</v>
      </c>
      <c r="FO76" s="92">
        <f>FORMULA!$Q251</f>
        <v>0</v>
      </c>
      <c r="FP76" s="92">
        <f>FORMULA!$S251</f>
        <v>0</v>
      </c>
      <c r="FQ76" s="92">
        <f>FORMULA!$U251</f>
        <v>0</v>
      </c>
      <c r="FR76" s="92">
        <f>FORMULA!$W251</f>
        <v>0</v>
      </c>
      <c r="FS76" s="92">
        <f>FORMULA!$Y251</f>
        <v>0</v>
      </c>
      <c r="FT76" s="92">
        <f>FORMULA!$AA251</f>
        <v>0</v>
      </c>
      <c r="FU76" s="92">
        <f>FORMULA!$AC251</f>
        <v>0</v>
      </c>
      <c r="FV76" s="92">
        <f>FORMULA!$AE251</f>
        <v>0</v>
      </c>
      <c r="FW76" s="94"/>
      <c r="FX76" s="91">
        <f>FORMULA!$C339</f>
        <v>0</v>
      </c>
      <c r="FY76" s="92">
        <f>FORMULA!$E339</f>
        <v>0</v>
      </c>
      <c r="FZ76" s="92">
        <f>FORMULA!$G339</f>
        <v>0</v>
      </c>
      <c r="GA76" s="92">
        <f>FORMULA!$I339</f>
        <v>0</v>
      </c>
      <c r="GB76" s="92">
        <f>FORMULA!$K339</f>
        <v>0</v>
      </c>
      <c r="GC76" s="92">
        <f>FORMULA!$M339</f>
        <v>0</v>
      </c>
      <c r="GD76" s="92">
        <f>FORMULA!$O339</f>
        <v>0</v>
      </c>
      <c r="GE76" s="92">
        <f>FORMULA!$Q339</f>
        <v>0</v>
      </c>
      <c r="GF76" s="92">
        <f>FORMULA!$S339</f>
        <v>0</v>
      </c>
      <c r="GG76" s="92">
        <f>FORMULA!$U339</f>
        <v>0</v>
      </c>
      <c r="GH76" s="92">
        <f>FORMULA!$W339</f>
        <v>0</v>
      </c>
      <c r="GI76" s="92">
        <f>FORMULA!$Y339</f>
        <v>0</v>
      </c>
      <c r="GJ76" s="92">
        <f>FORMULA!$AA339</f>
        <v>0</v>
      </c>
      <c r="GK76" s="92">
        <f>FORMULA!$AC339</f>
        <v>0</v>
      </c>
      <c r="GL76" s="92">
        <f>FORMULA!$AE339</f>
        <v>0</v>
      </c>
      <c r="GM76" s="207"/>
      <c r="GN76" s="91">
        <f>FORMULA!$C427</f>
        <v>0</v>
      </c>
      <c r="GO76" s="92">
        <f>FORMULA!$E427</f>
        <v>0</v>
      </c>
      <c r="GP76" s="92">
        <f>FORMULA!$G427</f>
        <v>0</v>
      </c>
      <c r="GQ76" s="92">
        <f>FORMULA!$I427</f>
        <v>0</v>
      </c>
      <c r="GR76" s="92">
        <f>FORMULA!$K427</f>
        <v>0</v>
      </c>
      <c r="GS76" s="92">
        <f>FORMULA!$M427</f>
        <v>0</v>
      </c>
      <c r="GT76" s="92">
        <f>FORMULA!$O427</f>
        <v>0</v>
      </c>
      <c r="GU76" s="92">
        <f>FORMULA!$Q427</f>
        <v>0</v>
      </c>
      <c r="GV76" s="92">
        <f>FORMULA!$S427</f>
        <v>0</v>
      </c>
      <c r="GW76" s="92">
        <f>FORMULA!$U427</f>
        <v>0</v>
      </c>
      <c r="GX76" s="92">
        <f>FORMULA!$W427</f>
        <v>0</v>
      </c>
      <c r="GY76" s="92">
        <f>FORMULA!$Y427</f>
        <v>0</v>
      </c>
      <c r="GZ76" s="92">
        <f>FORMULA!$AA427</f>
        <v>0</v>
      </c>
      <c r="HA76" s="92">
        <f>FORMULA!$AC427</f>
        <v>0</v>
      </c>
      <c r="HB76" s="92">
        <f>FORMULA!$AE427</f>
        <v>0</v>
      </c>
      <c r="HC76" s="207"/>
      <c r="HD76" s="91">
        <f>FORMULA!$C515</f>
        <v>0</v>
      </c>
      <c r="HE76" s="92">
        <f>FORMULA!$E515</f>
        <v>0</v>
      </c>
      <c r="HF76" s="92">
        <f>FORMULA!$G515</f>
        <v>0</v>
      </c>
      <c r="HG76" s="92">
        <f>FORMULA!$I515</f>
        <v>0</v>
      </c>
      <c r="HH76" s="92">
        <f>FORMULA!$K515</f>
        <v>0</v>
      </c>
      <c r="HI76" s="92">
        <f>FORMULA!$M515</f>
        <v>0</v>
      </c>
      <c r="HJ76" s="92">
        <f>FORMULA!$O515</f>
        <v>0</v>
      </c>
      <c r="HK76" s="92">
        <f>FORMULA!$Q515</f>
        <v>0</v>
      </c>
      <c r="HL76" s="92">
        <f>FORMULA!$S515</f>
        <v>0</v>
      </c>
      <c r="HM76" s="92">
        <f>FORMULA!$U515</f>
        <v>0</v>
      </c>
      <c r="HN76" s="92">
        <f>FORMULA!$W515</f>
        <v>0</v>
      </c>
      <c r="HO76" s="92">
        <f>FORMULA!$Y515</f>
        <v>0</v>
      </c>
      <c r="HP76" s="92">
        <f>FORMULA!$AA515</f>
        <v>0</v>
      </c>
      <c r="HQ76" s="92">
        <f>FORMULA!$AC515</f>
        <v>0</v>
      </c>
      <c r="HR76" s="92">
        <f>FORMULA!$AE515</f>
        <v>0</v>
      </c>
      <c r="HS76" s="207"/>
      <c r="HT76" s="91">
        <f>FORMULA!$C603</f>
        <v>0</v>
      </c>
      <c r="HU76" s="92">
        <f>FORMULA!$E603</f>
        <v>0</v>
      </c>
      <c r="HV76" s="92">
        <f>FORMULA!$G603</f>
        <v>0</v>
      </c>
      <c r="HW76" s="92">
        <f>FORMULA!$I603</f>
        <v>0</v>
      </c>
      <c r="HX76" s="92">
        <f>FORMULA!$K603</f>
        <v>0</v>
      </c>
      <c r="HY76" s="92">
        <f>FORMULA!$M603</f>
        <v>0</v>
      </c>
      <c r="HZ76" s="92">
        <f>FORMULA!$O603</f>
        <v>0</v>
      </c>
      <c r="IA76" s="92">
        <f>FORMULA!$Q603</f>
        <v>0</v>
      </c>
      <c r="IB76" s="92">
        <f>FORMULA!$S603</f>
        <v>0</v>
      </c>
      <c r="IC76" s="92">
        <f>FORMULA!$U603</f>
        <v>0</v>
      </c>
      <c r="ID76" s="92">
        <f>FORMULA!$W603</f>
        <v>0</v>
      </c>
      <c r="IE76" s="92">
        <f>FORMULA!$Y603</f>
        <v>0</v>
      </c>
      <c r="IF76" s="92">
        <f>FORMULA!$AA603</f>
        <v>0</v>
      </c>
      <c r="IG76" s="92">
        <f>FORMULA!$AC603</f>
        <v>0</v>
      </c>
      <c r="IH76" s="92">
        <f>FORMULA!$AE603</f>
        <v>0</v>
      </c>
      <c r="II76" s="207"/>
      <c r="IJ76" s="91">
        <f>FORMULA!$C691</f>
        <v>0</v>
      </c>
      <c r="IK76" s="92">
        <f>FORMULA!$E691</f>
        <v>0</v>
      </c>
      <c r="IL76" s="92">
        <f>FORMULA!$G691</f>
        <v>0</v>
      </c>
      <c r="IM76" s="92">
        <f>FORMULA!$I691</f>
        <v>0</v>
      </c>
      <c r="IN76" s="92">
        <f>FORMULA!$K691</f>
        <v>0</v>
      </c>
      <c r="IO76" s="92">
        <f>FORMULA!$M691</f>
        <v>0</v>
      </c>
      <c r="IP76" s="92">
        <f>FORMULA!$O691</f>
        <v>0</v>
      </c>
      <c r="IQ76" s="92">
        <f>FORMULA!$Q691</f>
        <v>0</v>
      </c>
      <c r="IR76" s="92">
        <f>FORMULA!$S691</f>
        <v>0</v>
      </c>
      <c r="IS76" s="92">
        <f>FORMULA!$U691</f>
        <v>0</v>
      </c>
      <c r="IT76" s="92">
        <f>FORMULA!$W691</f>
        <v>0</v>
      </c>
      <c r="IU76" s="92">
        <f>FORMULA!$Y691</f>
        <v>0</v>
      </c>
      <c r="IV76" s="92">
        <f>FORMULA!$AA691</f>
        <v>0</v>
      </c>
      <c r="IW76" s="92">
        <f>FORMULA!$AC691</f>
        <v>0</v>
      </c>
      <c r="IX76" s="92">
        <f>FORMULA!$AE691</f>
        <v>0</v>
      </c>
      <c r="IY76" s="208"/>
    </row>
    <row r="77" spans="1:259" outlineLevel="1">
      <c r="A77" s="11">
        <f>'VAC &amp; MED'!C64</f>
        <v>46076</v>
      </c>
      <c r="B77" s="261"/>
      <c r="C77" s="261"/>
      <c r="D77" s="261"/>
      <c r="E77" s="261"/>
      <c r="F77" s="261"/>
      <c r="G77" s="261"/>
      <c r="H77" s="261"/>
      <c r="I77" s="261"/>
      <c r="J77" s="261"/>
      <c r="K77" s="261"/>
      <c r="L77" s="261"/>
      <c r="M77" s="261"/>
      <c r="N77" s="261"/>
      <c r="O77" s="261"/>
      <c r="P77" s="261"/>
      <c r="Q77" s="261"/>
      <c r="R77" s="262"/>
      <c r="S77" s="262"/>
      <c r="T77" s="262"/>
      <c r="U77" s="262"/>
      <c r="V77" s="262"/>
      <c r="W77" s="262"/>
      <c r="X77" s="262"/>
      <c r="Y77" s="262"/>
      <c r="Z77" s="262"/>
      <c r="AA77" s="262"/>
      <c r="AB77" s="262"/>
      <c r="AC77" s="262"/>
      <c r="AD77" s="262"/>
      <c r="AE77" s="262"/>
      <c r="AF77" s="262"/>
      <c r="AG77" s="262"/>
      <c r="AH77" s="263"/>
      <c r="AI77" s="263"/>
      <c r="AJ77" s="263"/>
      <c r="AK77" s="263"/>
      <c r="AL77" s="263"/>
      <c r="AM77" s="263"/>
      <c r="AN77" s="263"/>
      <c r="AO77" s="263"/>
      <c r="AP77" s="263"/>
      <c r="AQ77" s="263"/>
      <c r="AR77" s="263"/>
      <c r="AS77" s="263"/>
      <c r="AT77" s="263"/>
      <c r="AU77" s="263"/>
      <c r="AV77" s="263"/>
      <c r="AW77" s="263"/>
      <c r="AX77" s="264"/>
      <c r="AY77" s="264"/>
      <c r="AZ77" s="264"/>
      <c r="BA77" s="264"/>
      <c r="BB77" s="264"/>
      <c r="BC77" s="264"/>
      <c r="BD77" s="264"/>
      <c r="BE77" s="264"/>
      <c r="BF77" s="264"/>
      <c r="BG77" s="264"/>
      <c r="BH77" s="264"/>
      <c r="BI77" s="264"/>
      <c r="BJ77" s="264"/>
      <c r="BK77" s="264"/>
      <c r="BL77" s="264"/>
      <c r="BM77" s="264"/>
      <c r="BN77" s="265"/>
      <c r="BO77" s="265"/>
      <c r="BP77" s="265"/>
      <c r="BQ77" s="265">
        <v>26</v>
      </c>
      <c r="BR77" s="265"/>
      <c r="BS77" s="265"/>
      <c r="BT77" s="265"/>
      <c r="BU77" s="265"/>
      <c r="BV77" s="265"/>
      <c r="BW77" s="265"/>
      <c r="BX77" s="265"/>
      <c r="BY77" s="265"/>
      <c r="BZ77" s="265"/>
      <c r="CA77" s="265"/>
      <c r="CB77" s="265"/>
      <c r="CC77" s="265"/>
      <c r="CD77" s="266"/>
      <c r="CE77" s="266"/>
      <c r="CF77" s="266"/>
      <c r="CG77" s="266"/>
      <c r="CH77" s="266"/>
      <c r="CI77" s="266"/>
      <c r="CJ77" s="266"/>
      <c r="CK77" s="266"/>
      <c r="CL77" s="266"/>
      <c r="CM77" s="266"/>
      <c r="CN77" s="266"/>
      <c r="CO77" s="266"/>
      <c r="CP77" s="266"/>
      <c r="CQ77" s="266"/>
      <c r="CR77" s="266"/>
      <c r="CS77" s="266"/>
      <c r="CT77" s="267"/>
      <c r="CU77" s="267"/>
      <c r="CV77" s="267"/>
      <c r="CW77" s="267"/>
      <c r="CX77" s="267"/>
      <c r="CY77" s="267"/>
      <c r="CZ77" s="267"/>
      <c r="DA77" s="267"/>
      <c r="DB77" s="267"/>
      <c r="DC77" s="267"/>
      <c r="DD77" s="267"/>
      <c r="DE77" s="267"/>
      <c r="DF77" s="267"/>
      <c r="DG77" s="267"/>
      <c r="DH77" s="267"/>
      <c r="DI77" s="267"/>
      <c r="DJ77" s="268"/>
      <c r="DK77" s="268"/>
      <c r="DL77" s="268"/>
      <c r="DM77" s="268"/>
      <c r="DN77" s="268"/>
      <c r="DO77" s="268"/>
      <c r="DP77" s="268"/>
      <c r="DQ77" s="268"/>
      <c r="DR77" s="268"/>
      <c r="DS77" s="268"/>
      <c r="DT77" s="268"/>
      <c r="DU77" s="268"/>
      <c r="DV77" s="268"/>
      <c r="DW77" s="268"/>
      <c r="DX77" s="268"/>
      <c r="DY77" s="268"/>
      <c r="EA77" s="20" t="str">
        <f>FORMULA!$A$76</f>
        <v>PLAIN BAG 26" X 39" (50KG)</v>
      </c>
      <c r="EB77" s="91">
        <f>FORMULA!$C76</f>
        <v>0</v>
      </c>
      <c r="EC77" s="92">
        <f>FORMULA!$E76</f>
        <v>0</v>
      </c>
      <c r="ED77" s="92">
        <f>FORMULA!$G76</f>
        <v>0</v>
      </c>
      <c r="EE77" s="92">
        <f>FORMULA!$I76</f>
        <v>0</v>
      </c>
      <c r="EF77" s="92">
        <f>FORMULA!$K76</f>
        <v>0</v>
      </c>
      <c r="EG77" s="92">
        <f>FORMULA!$M76</f>
        <v>0</v>
      </c>
      <c r="EH77" s="92">
        <f>FORMULA!$O76</f>
        <v>0</v>
      </c>
      <c r="EI77" s="92">
        <f>FORMULA!$Q76</f>
        <v>0</v>
      </c>
      <c r="EJ77" s="92">
        <f>FORMULA!$S76</f>
        <v>0</v>
      </c>
      <c r="EK77" s="92">
        <f>FORMULA!$U76</f>
        <v>0</v>
      </c>
      <c r="EL77" s="92">
        <f>FORMULA!$W76</f>
        <v>0</v>
      </c>
      <c r="EM77" s="92">
        <f>FORMULA!$Y76</f>
        <v>0</v>
      </c>
      <c r="EN77" s="92">
        <f>FORMULA!$AA76</f>
        <v>0</v>
      </c>
      <c r="EO77" s="92">
        <f>FORMULA!$AC76</f>
        <v>0</v>
      </c>
      <c r="EP77" s="92">
        <f>FORMULA!$AE76</f>
        <v>0</v>
      </c>
      <c r="EQ77" s="108"/>
      <c r="ER77" s="91">
        <f>FORMULA!$C164</f>
        <v>0</v>
      </c>
      <c r="ES77" s="92">
        <f>FORMULA!$E164</f>
        <v>0</v>
      </c>
      <c r="ET77" s="92">
        <f>FORMULA!$G164</f>
        <v>0</v>
      </c>
      <c r="EU77" s="92">
        <f>FORMULA!$I164</f>
        <v>0</v>
      </c>
      <c r="EV77" s="92">
        <f>FORMULA!$K164</f>
        <v>0</v>
      </c>
      <c r="EW77" s="92">
        <f>FORMULA!$M164</f>
        <v>0</v>
      </c>
      <c r="EX77" s="92">
        <f>FORMULA!$O164</f>
        <v>0</v>
      </c>
      <c r="EY77" s="92">
        <f>FORMULA!$Q164</f>
        <v>0</v>
      </c>
      <c r="EZ77" s="92">
        <f>FORMULA!$S164</f>
        <v>0</v>
      </c>
      <c r="FA77" s="92">
        <f>FORMULA!$U164</f>
        <v>0</v>
      </c>
      <c r="FB77" s="92">
        <f>FORMULA!$W164</f>
        <v>0</v>
      </c>
      <c r="FC77" s="92">
        <f>FORMULA!$Y164</f>
        <v>0</v>
      </c>
      <c r="FD77" s="92">
        <f>FORMULA!$AA164</f>
        <v>0</v>
      </c>
      <c r="FE77" s="92">
        <f>FORMULA!$AC164</f>
        <v>0</v>
      </c>
      <c r="FF77" s="92">
        <f>FORMULA!$AE164</f>
        <v>0</v>
      </c>
      <c r="FG77" s="94"/>
      <c r="FH77" s="91">
        <f>FORMULA!$C252</f>
        <v>0</v>
      </c>
      <c r="FI77" s="92">
        <f>FORMULA!$E252</f>
        <v>0</v>
      </c>
      <c r="FJ77" s="92">
        <f>FORMULA!$G252</f>
        <v>0</v>
      </c>
      <c r="FK77" s="92">
        <f>FORMULA!$I252</f>
        <v>0</v>
      </c>
      <c r="FL77" s="92">
        <f>FORMULA!$K252</f>
        <v>0</v>
      </c>
      <c r="FM77" s="92">
        <f>FORMULA!$M252</f>
        <v>0</v>
      </c>
      <c r="FN77" s="92">
        <f>FORMULA!$O252</f>
        <v>0</v>
      </c>
      <c r="FO77" s="92">
        <f>FORMULA!$Q252</f>
        <v>0</v>
      </c>
      <c r="FP77" s="92">
        <f>FORMULA!$S252</f>
        <v>0</v>
      </c>
      <c r="FQ77" s="92">
        <f>FORMULA!$U252</f>
        <v>0</v>
      </c>
      <c r="FR77" s="92">
        <f>FORMULA!$W252</f>
        <v>0</v>
      </c>
      <c r="FS77" s="92">
        <f>FORMULA!$Y252</f>
        <v>0</v>
      </c>
      <c r="FT77" s="92">
        <f>FORMULA!$AA252</f>
        <v>0</v>
      </c>
      <c r="FU77" s="92">
        <f>FORMULA!$AC252</f>
        <v>0</v>
      </c>
      <c r="FV77" s="92">
        <f>FORMULA!$AE252</f>
        <v>0</v>
      </c>
      <c r="FW77" s="94"/>
      <c r="FX77" s="91">
        <f>FORMULA!$C340</f>
        <v>0</v>
      </c>
      <c r="FY77" s="92">
        <f>FORMULA!$E340</f>
        <v>0</v>
      </c>
      <c r="FZ77" s="92">
        <f>FORMULA!$G340</f>
        <v>0</v>
      </c>
      <c r="GA77" s="92">
        <f>FORMULA!$I340</f>
        <v>0</v>
      </c>
      <c r="GB77" s="92">
        <f>FORMULA!$K340</f>
        <v>0</v>
      </c>
      <c r="GC77" s="92">
        <f>FORMULA!$M340</f>
        <v>0</v>
      </c>
      <c r="GD77" s="92">
        <f>FORMULA!$O340</f>
        <v>0</v>
      </c>
      <c r="GE77" s="92">
        <f>FORMULA!$Q340</f>
        <v>0</v>
      </c>
      <c r="GF77" s="92">
        <f>FORMULA!$S340</f>
        <v>0</v>
      </c>
      <c r="GG77" s="92">
        <f>FORMULA!$U340</f>
        <v>0</v>
      </c>
      <c r="GH77" s="92">
        <f>FORMULA!$W340</f>
        <v>0</v>
      </c>
      <c r="GI77" s="92">
        <f>FORMULA!$Y340</f>
        <v>0</v>
      </c>
      <c r="GJ77" s="92">
        <f>FORMULA!$AA340</f>
        <v>0</v>
      </c>
      <c r="GK77" s="92">
        <f>FORMULA!$AC340</f>
        <v>0</v>
      </c>
      <c r="GL77" s="92">
        <f>FORMULA!$AE340</f>
        <v>0</v>
      </c>
      <c r="GM77" s="207"/>
      <c r="GN77" s="91">
        <f>FORMULA!$C428</f>
        <v>0</v>
      </c>
      <c r="GO77" s="92">
        <f>FORMULA!$E428</f>
        <v>0</v>
      </c>
      <c r="GP77" s="92">
        <f>FORMULA!$G428</f>
        <v>0</v>
      </c>
      <c r="GQ77" s="92">
        <f>FORMULA!$I428</f>
        <v>0</v>
      </c>
      <c r="GR77" s="92">
        <f>FORMULA!$K428</f>
        <v>0</v>
      </c>
      <c r="GS77" s="92">
        <f>FORMULA!$M428</f>
        <v>0</v>
      </c>
      <c r="GT77" s="92">
        <f>FORMULA!$O428</f>
        <v>0</v>
      </c>
      <c r="GU77" s="92">
        <f>FORMULA!$Q428</f>
        <v>0</v>
      </c>
      <c r="GV77" s="92">
        <f>FORMULA!$S428</f>
        <v>0</v>
      </c>
      <c r="GW77" s="92">
        <f>FORMULA!$U428</f>
        <v>0</v>
      </c>
      <c r="GX77" s="92">
        <f>FORMULA!$W428</f>
        <v>0</v>
      </c>
      <c r="GY77" s="92">
        <f>FORMULA!$Y428</f>
        <v>0</v>
      </c>
      <c r="GZ77" s="92">
        <f>FORMULA!$AA428</f>
        <v>0</v>
      </c>
      <c r="HA77" s="92">
        <f>FORMULA!$AC428</f>
        <v>0</v>
      </c>
      <c r="HB77" s="92">
        <f>FORMULA!$AE428</f>
        <v>0</v>
      </c>
      <c r="HC77" s="207"/>
      <c r="HD77" s="91">
        <f>FORMULA!$C516</f>
        <v>0</v>
      </c>
      <c r="HE77" s="92">
        <f>FORMULA!$E516</f>
        <v>0</v>
      </c>
      <c r="HF77" s="92">
        <f>FORMULA!$G516</f>
        <v>0</v>
      </c>
      <c r="HG77" s="92">
        <f>FORMULA!$I516</f>
        <v>0</v>
      </c>
      <c r="HH77" s="92">
        <f>FORMULA!$K516</f>
        <v>0</v>
      </c>
      <c r="HI77" s="92">
        <f>FORMULA!$M516</f>
        <v>0</v>
      </c>
      <c r="HJ77" s="92">
        <f>FORMULA!$O516</f>
        <v>0</v>
      </c>
      <c r="HK77" s="92">
        <f>FORMULA!$Q516</f>
        <v>0</v>
      </c>
      <c r="HL77" s="92">
        <f>FORMULA!$S516</f>
        <v>0</v>
      </c>
      <c r="HM77" s="92">
        <f>FORMULA!$U516</f>
        <v>0</v>
      </c>
      <c r="HN77" s="92">
        <f>FORMULA!$W516</f>
        <v>0</v>
      </c>
      <c r="HO77" s="92">
        <f>FORMULA!$Y516</f>
        <v>0</v>
      </c>
      <c r="HP77" s="92">
        <f>FORMULA!$AA516</f>
        <v>0</v>
      </c>
      <c r="HQ77" s="92">
        <f>FORMULA!$AC516</f>
        <v>0</v>
      </c>
      <c r="HR77" s="92">
        <f>FORMULA!$AE516</f>
        <v>0</v>
      </c>
      <c r="HS77" s="207"/>
      <c r="HT77" s="91">
        <f>FORMULA!$C604</f>
        <v>0</v>
      </c>
      <c r="HU77" s="92">
        <f>FORMULA!$E604</f>
        <v>0</v>
      </c>
      <c r="HV77" s="92">
        <f>FORMULA!$G604</f>
        <v>0</v>
      </c>
      <c r="HW77" s="92">
        <f>FORMULA!$I604</f>
        <v>0</v>
      </c>
      <c r="HX77" s="92">
        <f>FORMULA!$K604</f>
        <v>0</v>
      </c>
      <c r="HY77" s="92">
        <f>FORMULA!$M604</f>
        <v>0</v>
      </c>
      <c r="HZ77" s="92">
        <f>FORMULA!$O604</f>
        <v>0</v>
      </c>
      <c r="IA77" s="92">
        <f>FORMULA!$Q604</f>
        <v>0</v>
      </c>
      <c r="IB77" s="92">
        <f>FORMULA!$S604</f>
        <v>0</v>
      </c>
      <c r="IC77" s="92">
        <f>FORMULA!$U604</f>
        <v>0</v>
      </c>
      <c r="ID77" s="92">
        <f>FORMULA!$W604</f>
        <v>0</v>
      </c>
      <c r="IE77" s="92">
        <f>FORMULA!$Y604</f>
        <v>0</v>
      </c>
      <c r="IF77" s="92">
        <f>FORMULA!$AA604</f>
        <v>0</v>
      </c>
      <c r="IG77" s="92">
        <f>FORMULA!$AC604</f>
        <v>0</v>
      </c>
      <c r="IH77" s="92">
        <f>FORMULA!$AE604</f>
        <v>0</v>
      </c>
      <c r="II77" s="207"/>
      <c r="IJ77" s="91">
        <f>FORMULA!$C692</f>
        <v>0</v>
      </c>
      <c r="IK77" s="92">
        <f>FORMULA!$E692</f>
        <v>0</v>
      </c>
      <c r="IL77" s="92">
        <f>FORMULA!$G692</f>
        <v>0</v>
      </c>
      <c r="IM77" s="92">
        <f>FORMULA!$I692</f>
        <v>0</v>
      </c>
      <c r="IN77" s="92">
        <f>FORMULA!$K692</f>
        <v>0</v>
      </c>
      <c r="IO77" s="92">
        <f>FORMULA!$M692</f>
        <v>0</v>
      </c>
      <c r="IP77" s="92">
        <f>FORMULA!$O692</f>
        <v>0</v>
      </c>
      <c r="IQ77" s="92">
        <f>FORMULA!$Q692</f>
        <v>0</v>
      </c>
      <c r="IR77" s="92">
        <f>FORMULA!$S692</f>
        <v>0</v>
      </c>
      <c r="IS77" s="92">
        <f>FORMULA!$U692</f>
        <v>0</v>
      </c>
      <c r="IT77" s="92">
        <f>FORMULA!$W692</f>
        <v>0</v>
      </c>
      <c r="IU77" s="92">
        <f>FORMULA!$Y692</f>
        <v>0</v>
      </c>
      <c r="IV77" s="92">
        <f>FORMULA!$AA692</f>
        <v>0</v>
      </c>
      <c r="IW77" s="92">
        <f>FORMULA!$AC692</f>
        <v>0</v>
      </c>
      <c r="IX77" s="92">
        <f>FORMULA!$AE692</f>
        <v>0</v>
      </c>
      <c r="IY77" s="208"/>
    </row>
    <row r="78" spans="1:259" outlineLevel="1">
      <c r="A78" s="11">
        <f>'VAC &amp; MED'!C65</f>
        <v>46077</v>
      </c>
      <c r="B78" s="261"/>
      <c r="C78" s="261"/>
      <c r="D78" s="261"/>
      <c r="E78" s="261"/>
      <c r="F78" s="261"/>
      <c r="G78" s="261"/>
      <c r="H78" s="261"/>
      <c r="I78" s="261"/>
      <c r="J78" s="261"/>
      <c r="K78" s="261"/>
      <c r="L78" s="261"/>
      <c r="M78" s="261"/>
      <c r="N78" s="261"/>
      <c r="O78" s="261"/>
      <c r="P78" s="261"/>
      <c r="Q78" s="261"/>
      <c r="R78" s="262"/>
      <c r="S78" s="262"/>
      <c r="T78" s="262"/>
      <c r="U78" s="262"/>
      <c r="V78" s="262"/>
      <c r="W78" s="262"/>
      <c r="X78" s="262"/>
      <c r="Y78" s="262"/>
      <c r="Z78" s="262"/>
      <c r="AA78" s="262"/>
      <c r="AB78" s="262"/>
      <c r="AC78" s="262"/>
      <c r="AD78" s="262"/>
      <c r="AE78" s="262"/>
      <c r="AF78" s="262"/>
      <c r="AG78" s="262"/>
      <c r="AH78" s="263"/>
      <c r="AI78" s="263"/>
      <c r="AJ78" s="263"/>
      <c r="AK78" s="263"/>
      <c r="AL78" s="263"/>
      <c r="AM78" s="263"/>
      <c r="AN78" s="263"/>
      <c r="AO78" s="263"/>
      <c r="AP78" s="263"/>
      <c r="AQ78" s="263"/>
      <c r="AR78" s="263"/>
      <c r="AS78" s="263"/>
      <c r="AT78" s="263"/>
      <c r="AU78" s="263"/>
      <c r="AV78" s="263"/>
      <c r="AW78" s="263"/>
      <c r="AX78" s="264"/>
      <c r="AY78" s="264"/>
      <c r="AZ78" s="264"/>
      <c r="BA78" s="264"/>
      <c r="BB78" s="264"/>
      <c r="BC78" s="264"/>
      <c r="BD78" s="264"/>
      <c r="BE78" s="264"/>
      <c r="BF78" s="264"/>
      <c r="BG78" s="264"/>
      <c r="BH78" s="264"/>
      <c r="BI78" s="264"/>
      <c r="BJ78" s="264"/>
      <c r="BK78" s="264"/>
      <c r="BL78" s="264"/>
      <c r="BM78" s="264"/>
      <c r="BN78" s="265"/>
      <c r="BO78" s="265"/>
      <c r="BP78" s="265"/>
      <c r="BQ78" s="265"/>
      <c r="BR78" s="265"/>
      <c r="BS78" s="265"/>
      <c r="BT78" s="265"/>
      <c r="BU78" s="265"/>
      <c r="BV78" s="265"/>
      <c r="BW78" s="265"/>
      <c r="BX78" s="265"/>
      <c r="BY78" s="265"/>
      <c r="BZ78" s="265"/>
      <c r="CA78" s="265"/>
      <c r="CB78" s="265"/>
      <c r="CC78" s="265"/>
      <c r="CD78" s="266"/>
      <c r="CE78" s="266"/>
      <c r="CF78" s="266"/>
      <c r="CG78" s="266"/>
      <c r="CH78" s="266"/>
      <c r="CI78" s="266"/>
      <c r="CJ78" s="266"/>
      <c r="CK78" s="266"/>
      <c r="CL78" s="266"/>
      <c r="CM78" s="266"/>
      <c r="CN78" s="266"/>
      <c r="CO78" s="266"/>
      <c r="CP78" s="266"/>
      <c r="CQ78" s="266"/>
      <c r="CR78" s="266"/>
      <c r="CS78" s="266"/>
      <c r="CT78" s="267"/>
      <c r="CU78" s="267"/>
      <c r="CV78" s="267"/>
      <c r="CW78" s="267"/>
      <c r="CX78" s="267"/>
      <c r="CY78" s="267"/>
      <c r="CZ78" s="267"/>
      <c r="DA78" s="267"/>
      <c r="DB78" s="267"/>
      <c r="DC78" s="267"/>
      <c r="DD78" s="267"/>
      <c r="DE78" s="267"/>
      <c r="DF78" s="267"/>
      <c r="DG78" s="267"/>
      <c r="DH78" s="267"/>
      <c r="DI78" s="267"/>
      <c r="DJ78" s="268">
        <v>76</v>
      </c>
      <c r="DK78" s="268"/>
      <c r="DL78" s="268"/>
      <c r="DM78" s="268"/>
      <c r="DN78" s="268"/>
      <c r="DO78" s="268"/>
      <c r="DP78" s="268"/>
      <c r="DQ78" s="268"/>
      <c r="DR78" s="268"/>
      <c r="DS78" s="268"/>
      <c r="DT78" s="268"/>
      <c r="DU78" s="268"/>
      <c r="DV78" s="268"/>
      <c r="DW78" s="268"/>
      <c r="DX78" s="268"/>
      <c r="DY78" s="268"/>
      <c r="EA78" s="20" t="str">
        <f>FORMULA!$A$77</f>
        <v>WOVEN BAG (8101) - KHAKI 50KG</v>
      </c>
      <c r="EB78" s="91">
        <f>FORMULA!$C77</f>
        <v>0</v>
      </c>
      <c r="EC78" s="92">
        <f>FORMULA!$E77</f>
        <v>0</v>
      </c>
      <c r="ED78" s="92">
        <f>FORMULA!$G77</f>
        <v>0</v>
      </c>
      <c r="EE78" s="92">
        <f>FORMULA!$I77</f>
        <v>0</v>
      </c>
      <c r="EF78" s="92">
        <f>FORMULA!$K77</f>
        <v>0</v>
      </c>
      <c r="EG78" s="92">
        <f>FORMULA!$M77</f>
        <v>0</v>
      </c>
      <c r="EH78" s="92">
        <f>FORMULA!$O77</f>
        <v>0</v>
      </c>
      <c r="EI78" s="92">
        <f>FORMULA!$Q77</f>
        <v>0</v>
      </c>
      <c r="EJ78" s="92">
        <f>FORMULA!$S77</f>
        <v>0</v>
      </c>
      <c r="EK78" s="92">
        <f>FORMULA!$U77</f>
        <v>0</v>
      </c>
      <c r="EL78" s="92">
        <f>FORMULA!$W77</f>
        <v>0</v>
      </c>
      <c r="EM78" s="92">
        <f>FORMULA!$Y77</f>
        <v>0</v>
      </c>
      <c r="EN78" s="92">
        <f>FORMULA!$AA77</f>
        <v>0</v>
      </c>
      <c r="EO78" s="92">
        <f>FORMULA!$AC77</f>
        <v>0</v>
      </c>
      <c r="EP78" s="92">
        <f>FORMULA!$AE77</f>
        <v>0</v>
      </c>
      <c r="EQ78" s="108"/>
      <c r="ER78" s="91">
        <f>FORMULA!$C165</f>
        <v>0</v>
      </c>
      <c r="ES78" s="92">
        <f>FORMULA!$E165</f>
        <v>0</v>
      </c>
      <c r="ET78" s="92">
        <f>FORMULA!$G165</f>
        <v>0</v>
      </c>
      <c r="EU78" s="92">
        <f>FORMULA!$I165</f>
        <v>0</v>
      </c>
      <c r="EV78" s="92">
        <f>FORMULA!$K165</f>
        <v>0</v>
      </c>
      <c r="EW78" s="92">
        <f>FORMULA!$M165</f>
        <v>0</v>
      </c>
      <c r="EX78" s="92">
        <f>FORMULA!$O165</f>
        <v>0</v>
      </c>
      <c r="EY78" s="92">
        <f>FORMULA!$Q165</f>
        <v>0</v>
      </c>
      <c r="EZ78" s="92">
        <f>FORMULA!$S165</f>
        <v>0</v>
      </c>
      <c r="FA78" s="92">
        <f>FORMULA!$U165</f>
        <v>0</v>
      </c>
      <c r="FB78" s="92">
        <f>FORMULA!$W165</f>
        <v>0</v>
      </c>
      <c r="FC78" s="92">
        <f>FORMULA!$Y165</f>
        <v>0</v>
      </c>
      <c r="FD78" s="92">
        <f>FORMULA!$AA165</f>
        <v>0</v>
      </c>
      <c r="FE78" s="92">
        <f>FORMULA!$AC165</f>
        <v>0</v>
      </c>
      <c r="FF78" s="92">
        <f>FORMULA!$AE165</f>
        <v>0</v>
      </c>
      <c r="FG78" s="94"/>
      <c r="FH78" s="91">
        <f>FORMULA!$C253</f>
        <v>0</v>
      </c>
      <c r="FI78" s="92">
        <f>FORMULA!$E253</f>
        <v>0</v>
      </c>
      <c r="FJ78" s="92">
        <f>FORMULA!$G253</f>
        <v>0</v>
      </c>
      <c r="FK78" s="92">
        <f>FORMULA!$I253</f>
        <v>0</v>
      </c>
      <c r="FL78" s="92">
        <f>FORMULA!$K253</f>
        <v>0</v>
      </c>
      <c r="FM78" s="92">
        <f>FORMULA!$M253</f>
        <v>0</v>
      </c>
      <c r="FN78" s="92">
        <f>FORMULA!$O253</f>
        <v>0</v>
      </c>
      <c r="FO78" s="92">
        <f>FORMULA!$Q253</f>
        <v>0</v>
      </c>
      <c r="FP78" s="92">
        <f>FORMULA!$S253</f>
        <v>0</v>
      </c>
      <c r="FQ78" s="92">
        <f>FORMULA!$U253</f>
        <v>0</v>
      </c>
      <c r="FR78" s="92">
        <f>FORMULA!$W253</f>
        <v>0</v>
      </c>
      <c r="FS78" s="92">
        <f>FORMULA!$Y253</f>
        <v>0</v>
      </c>
      <c r="FT78" s="92">
        <f>FORMULA!$AA253</f>
        <v>0</v>
      </c>
      <c r="FU78" s="92">
        <f>FORMULA!$AC253</f>
        <v>0</v>
      </c>
      <c r="FV78" s="92">
        <f>FORMULA!$AE253</f>
        <v>0</v>
      </c>
      <c r="FW78" s="94"/>
      <c r="FX78" s="91">
        <f>FORMULA!$C341</f>
        <v>0</v>
      </c>
      <c r="FY78" s="92">
        <f>FORMULA!$E341</f>
        <v>0</v>
      </c>
      <c r="FZ78" s="92">
        <f>FORMULA!$G341</f>
        <v>0</v>
      </c>
      <c r="GA78" s="92">
        <f>FORMULA!$I341</f>
        <v>0</v>
      </c>
      <c r="GB78" s="92">
        <f>FORMULA!$K341</f>
        <v>0</v>
      </c>
      <c r="GC78" s="92">
        <f>FORMULA!$M341</f>
        <v>0</v>
      </c>
      <c r="GD78" s="92">
        <f>FORMULA!$O341</f>
        <v>0</v>
      </c>
      <c r="GE78" s="92">
        <f>FORMULA!$Q341</f>
        <v>0</v>
      </c>
      <c r="GF78" s="92">
        <f>FORMULA!$S341</f>
        <v>0</v>
      </c>
      <c r="GG78" s="92">
        <f>FORMULA!$U341</f>
        <v>0</v>
      </c>
      <c r="GH78" s="92">
        <f>FORMULA!$W341</f>
        <v>0</v>
      </c>
      <c r="GI78" s="92">
        <f>FORMULA!$Y341</f>
        <v>0</v>
      </c>
      <c r="GJ78" s="92">
        <f>FORMULA!$AA341</f>
        <v>0</v>
      </c>
      <c r="GK78" s="92">
        <f>FORMULA!$AC341</f>
        <v>0</v>
      </c>
      <c r="GL78" s="92">
        <f>FORMULA!$AE341</f>
        <v>0</v>
      </c>
      <c r="GM78" s="207"/>
      <c r="GN78" s="91">
        <f>FORMULA!$C429</f>
        <v>0</v>
      </c>
      <c r="GO78" s="92">
        <f>FORMULA!$E429</f>
        <v>0</v>
      </c>
      <c r="GP78" s="92">
        <f>FORMULA!$G429</f>
        <v>0</v>
      </c>
      <c r="GQ78" s="92">
        <f>FORMULA!$I429</f>
        <v>0</v>
      </c>
      <c r="GR78" s="92">
        <f>FORMULA!$K429</f>
        <v>0</v>
      </c>
      <c r="GS78" s="92">
        <f>FORMULA!$M429</f>
        <v>0</v>
      </c>
      <c r="GT78" s="92">
        <f>FORMULA!$O429</f>
        <v>0</v>
      </c>
      <c r="GU78" s="92">
        <f>FORMULA!$Q429</f>
        <v>0</v>
      </c>
      <c r="GV78" s="92">
        <f>FORMULA!$S429</f>
        <v>0</v>
      </c>
      <c r="GW78" s="92">
        <f>FORMULA!$U429</f>
        <v>0</v>
      </c>
      <c r="GX78" s="92">
        <f>FORMULA!$W429</f>
        <v>0</v>
      </c>
      <c r="GY78" s="92">
        <f>FORMULA!$Y429</f>
        <v>0</v>
      </c>
      <c r="GZ78" s="92">
        <f>FORMULA!$AA429</f>
        <v>0</v>
      </c>
      <c r="HA78" s="92">
        <f>FORMULA!$AC429</f>
        <v>0</v>
      </c>
      <c r="HB78" s="92">
        <f>FORMULA!$AE429</f>
        <v>0</v>
      </c>
      <c r="HC78" s="207"/>
      <c r="HD78" s="91">
        <f>FORMULA!$C517</f>
        <v>0</v>
      </c>
      <c r="HE78" s="92">
        <f>FORMULA!$E517</f>
        <v>0</v>
      </c>
      <c r="HF78" s="92">
        <f>FORMULA!$G517</f>
        <v>0</v>
      </c>
      <c r="HG78" s="92">
        <f>FORMULA!$I517</f>
        <v>0</v>
      </c>
      <c r="HH78" s="92">
        <f>FORMULA!$K517</f>
        <v>0</v>
      </c>
      <c r="HI78" s="92">
        <f>FORMULA!$M517</f>
        <v>0</v>
      </c>
      <c r="HJ78" s="92">
        <f>FORMULA!$O517</f>
        <v>0</v>
      </c>
      <c r="HK78" s="92">
        <f>FORMULA!$Q517</f>
        <v>0</v>
      </c>
      <c r="HL78" s="92">
        <f>FORMULA!$S517</f>
        <v>0</v>
      </c>
      <c r="HM78" s="92">
        <f>FORMULA!$U517</f>
        <v>0</v>
      </c>
      <c r="HN78" s="92">
        <f>FORMULA!$W517</f>
        <v>0</v>
      </c>
      <c r="HO78" s="92">
        <f>FORMULA!$Y517</f>
        <v>0</v>
      </c>
      <c r="HP78" s="92">
        <f>FORMULA!$AA517</f>
        <v>0</v>
      </c>
      <c r="HQ78" s="92">
        <f>FORMULA!$AC517</f>
        <v>0</v>
      </c>
      <c r="HR78" s="92">
        <f>FORMULA!$AE517</f>
        <v>0</v>
      </c>
      <c r="HS78" s="207"/>
      <c r="HT78" s="91">
        <f>FORMULA!$C605</f>
        <v>0</v>
      </c>
      <c r="HU78" s="92">
        <f>FORMULA!$E605</f>
        <v>0</v>
      </c>
      <c r="HV78" s="92">
        <f>FORMULA!$G605</f>
        <v>0</v>
      </c>
      <c r="HW78" s="92">
        <f>FORMULA!$I605</f>
        <v>0</v>
      </c>
      <c r="HX78" s="92">
        <f>FORMULA!$K605</f>
        <v>0</v>
      </c>
      <c r="HY78" s="92">
        <f>FORMULA!$M605</f>
        <v>0</v>
      </c>
      <c r="HZ78" s="92">
        <f>FORMULA!$O605</f>
        <v>0</v>
      </c>
      <c r="IA78" s="92">
        <f>FORMULA!$Q605</f>
        <v>0</v>
      </c>
      <c r="IB78" s="92">
        <f>FORMULA!$S605</f>
        <v>0</v>
      </c>
      <c r="IC78" s="92">
        <f>FORMULA!$U605</f>
        <v>0</v>
      </c>
      <c r="ID78" s="92">
        <f>FORMULA!$W605</f>
        <v>0</v>
      </c>
      <c r="IE78" s="92">
        <f>FORMULA!$Y605</f>
        <v>0</v>
      </c>
      <c r="IF78" s="92">
        <f>FORMULA!$AA605</f>
        <v>0</v>
      </c>
      <c r="IG78" s="92">
        <f>FORMULA!$AC605</f>
        <v>0</v>
      </c>
      <c r="IH78" s="92">
        <f>FORMULA!$AE605</f>
        <v>0</v>
      </c>
      <c r="II78" s="207"/>
      <c r="IJ78" s="91">
        <f>FORMULA!$C693</f>
        <v>0</v>
      </c>
      <c r="IK78" s="92">
        <f>FORMULA!$E693</f>
        <v>0</v>
      </c>
      <c r="IL78" s="92">
        <f>FORMULA!$G693</f>
        <v>0</v>
      </c>
      <c r="IM78" s="92">
        <f>FORMULA!$I693</f>
        <v>0</v>
      </c>
      <c r="IN78" s="92">
        <f>FORMULA!$K693</f>
        <v>0</v>
      </c>
      <c r="IO78" s="92">
        <f>FORMULA!$M693</f>
        <v>0</v>
      </c>
      <c r="IP78" s="92">
        <f>FORMULA!$O693</f>
        <v>0</v>
      </c>
      <c r="IQ78" s="92">
        <f>FORMULA!$Q693</f>
        <v>0</v>
      </c>
      <c r="IR78" s="92">
        <f>FORMULA!$S693</f>
        <v>0</v>
      </c>
      <c r="IS78" s="92">
        <f>FORMULA!$U693</f>
        <v>0</v>
      </c>
      <c r="IT78" s="92">
        <f>FORMULA!$W693</f>
        <v>0</v>
      </c>
      <c r="IU78" s="92">
        <f>FORMULA!$Y693</f>
        <v>0</v>
      </c>
      <c r="IV78" s="92">
        <f>FORMULA!$AA693</f>
        <v>0</v>
      </c>
      <c r="IW78" s="92">
        <f>FORMULA!$AC693</f>
        <v>0</v>
      </c>
      <c r="IX78" s="92">
        <f>FORMULA!$AE693</f>
        <v>0</v>
      </c>
      <c r="IY78" s="208"/>
    </row>
    <row r="79" spans="1:259" outlineLevel="1">
      <c r="A79" s="11">
        <f>'VAC &amp; MED'!C66</f>
        <v>46078</v>
      </c>
      <c r="B79" s="261">
        <v>14</v>
      </c>
      <c r="C79" s="261"/>
      <c r="D79" s="261"/>
      <c r="E79" s="261"/>
      <c r="F79" s="261"/>
      <c r="G79" s="261"/>
      <c r="H79" s="261"/>
      <c r="I79" s="261"/>
      <c r="J79" s="261"/>
      <c r="K79" s="261"/>
      <c r="L79" s="261"/>
      <c r="M79" s="261"/>
      <c r="N79" s="261"/>
      <c r="O79" s="261"/>
      <c r="P79" s="261"/>
      <c r="Q79" s="261"/>
      <c r="R79" s="262"/>
      <c r="S79" s="262"/>
      <c r="T79" s="262"/>
      <c r="U79" s="262"/>
      <c r="V79" s="262"/>
      <c r="W79" s="262"/>
      <c r="X79" s="262"/>
      <c r="Y79" s="262"/>
      <c r="Z79" s="262"/>
      <c r="AA79" s="262"/>
      <c r="AB79" s="262"/>
      <c r="AC79" s="262"/>
      <c r="AD79" s="262"/>
      <c r="AE79" s="262"/>
      <c r="AF79" s="262"/>
      <c r="AG79" s="262"/>
      <c r="AH79" s="263"/>
      <c r="AI79" s="263"/>
      <c r="AJ79" s="263"/>
      <c r="AK79" s="263"/>
      <c r="AL79" s="263"/>
      <c r="AM79" s="263"/>
      <c r="AN79" s="263"/>
      <c r="AO79" s="263"/>
      <c r="AP79" s="263"/>
      <c r="AQ79" s="263"/>
      <c r="AR79" s="263"/>
      <c r="AS79" s="263"/>
      <c r="AT79" s="263"/>
      <c r="AU79" s="263"/>
      <c r="AV79" s="263"/>
      <c r="AW79" s="263"/>
      <c r="AX79" s="264"/>
      <c r="AY79" s="264"/>
      <c r="AZ79" s="264"/>
      <c r="BA79" s="264"/>
      <c r="BB79" s="264"/>
      <c r="BC79" s="264"/>
      <c r="BD79" s="264"/>
      <c r="BE79" s="264"/>
      <c r="BF79" s="264"/>
      <c r="BG79" s="264"/>
      <c r="BH79" s="264"/>
      <c r="BI79" s="264"/>
      <c r="BJ79" s="264"/>
      <c r="BK79" s="264"/>
      <c r="BL79" s="264"/>
      <c r="BM79" s="264"/>
      <c r="BN79" s="265"/>
      <c r="BO79" s="265"/>
      <c r="BP79" s="265"/>
      <c r="BQ79" s="265"/>
      <c r="BR79" s="265"/>
      <c r="BS79" s="265"/>
      <c r="BT79" s="265"/>
      <c r="BU79" s="265"/>
      <c r="BV79" s="265"/>
      <c r="BW79" s="265"/>
      <c r="BX79" s="265"/>
      <c r="BY79" s="265"/>
      <c r="BZ79" s="265"/>
      <c r="CA79" s="265"/>
      <c r="CB79" s="265"/>
      <c r="CC79" s="265"/>
      <c r="CD79" s="266"/>
      <c r="CE79" s="266"/>
      <c r="CF79" s="266"/>
      <c r="CG79" s="266"/>
      <c r="CH79" s="266"/>
      <c r="CI79" s="266"/>
      <c r="CJ79" s="266"/>
      <c r="CK79" s="266"/>
      <c r="CL79" s="266"/>
      <c r="CM79" s="266"/>
      <c r="CN79" s="266"/>
      <c r="CO79" s="266"/>
      <c r="CP79" s="266"/>
      <c r="CQ79" s="266"/>
      <c r="CR79" s="266"/>
      <c r="CS79" s="266"/>
      <c r="CT79" s="267">
        <v>18</v>
      </c>
      <c r="CU79" s="267"/>
      <c r="CV79" s="267"/>
      <c r="CW79" s="267"/>
      <c r="CX79" s="267"/>
      <c r="CY79" s="267"/>
      <c r="CZ79" s="267"/>
      <c r="DA79" s="267"/>
      <c r="DB79" s="267"/>
      <c r="DC79" s="267"/>
      <c r="DD79" s="267"/>
      <c r="DE79" s="267"/>
      <c r="DF79" s="267"/>
      <c r="DG79" s="267"/>
      <c r="DH79" s="267"/>
      <c r="DI79" s="267"/>
      <c r="DJ79" s="268"/>
      <c r="DK79" s="268"/>
      <c r="DL79" s="268"/>
      <c r="DM79" s="268"/>
      <c r="DN79" s="268"/>
      <c r="DO79" s="268"/>
      <c r="DP79" s="268"/>
      <c r="DQ79" s="268"/>
      <c r="DR79" s="268"/>
      <c r="DS79" s="268"/>
      <c r="DT79" s="268"/>
      <c r="DU79" s="268"/>
      <c r="DV79" s="268"/>
      <c r="DW79" s="268"/>
      <c r="DX79" s="268"/>
      <c r="DY79" s="268"/>
      <c r="EA79" s="20" t="str">
        <f>FORMULA!$A$78</f>
        <v>WOVEN BAG (8102) - SKY BLUE 50KG</v>
      </c>
      <c r="EB79" s="91">
        <f>FORMULA!$C78</f>
        <v>0</v>
      </c>
      <c r="EC79" s="92">
        <f>FORMULA!$E78</f>
        <v>0</v>
      </c>
      <c r="ED79" s="92">
        <f>FORMULA!$G78</f>
        <v>0</v>
      </c>
      <c r="EE79" s="92">
        <f>FORMULA!$I78</f>
        <v>0</v>
      </c>
      <c r="EF79" s="92">
        <f>FORMULA!$K78</f>
        <v>0</v>
      </c>
      <c r="EG79" s="92">
        <f>FORMULA!$M78</f>
        <v>0</v>
      </c>
      <c r="EH79" s="92">
        <f>FORMULA!$O78</f>
        <v>0</v>
      </c>
      <c r="EI79" s="92">
        <f>FORMULA!$Q78</f>
        <v>0</v>
      </c>
      <c r="EJ79" s="92">
        <f>FORMULA!$S78</f>
        <v>0</v>
      </c>
      <c r="EK79" s="92">
        <f>FORMULA!$U78</f>
        <v>0</v>
      </c>
      <c r="EL79" s="92">
        <f>FORMULA!$W78</f>
        <v>0</v>
      </c>
      <c r="EM79" s="92">
        <f>FORMULA!$Y78</f>
        <v>0</v>
      </c>
      <c r="EN79" s="92">
        <f>FORMULA!$AA78</f>
        <v>0</v>
      </c>
      <c r="EO79" s="92">
        <f>FORMULA!$AC78</f>
        <v>0</v>
      </c>
      <c r="EP79" s="92">
        <f>FORMULA!$AE78</f>
        <v>0</v>
      </c>
      <c r="EQ79" s="108"/>
      <c r="ER79" s="91">
        <f>FORMULA!$C166</f>
        <v>0</v>
      </c>
      <c r="ES79" s="92">
        <f>FORMULA!$E166</f>
        <v>0</v>
      </c>
      <c r="ET79" s="92">
        <f>FORMULA!$G166</f>
        <v>0</v>
      </c>
      <c r="EU79" s="92">
        <f>FORMULA!$I166</f>
        <v>0</v>
      </c>
      <c r="EV79" s="92">
        <f>FORMULA!$K166</f>
        <v>0</v>
      </c>
      <c r="EW79" s="92">
        <f>FORMULA!$M166</f>
        <v>0</v>
      </c>
      <c r="EX79" s="92">
        <f>FORMULA!$O166</f>
        <v>0</v>
      </c>
      <c r="EY79" s="92">
        <f>FORMULA!$Q166</f>
        <v>0</v>
      </c>
      <c r="EZ79" s="92">
        <f>FORMULA!$S166</f>
        <v>0</v>
      </c>
      <c r="FA79" s="92">
        <f>FORMULA!$U166</f>
        <v>0</v>
      </c>
      <c r="FB79" s="92">
        <f>FORMULA!$W166</f>
        <v>0</v>
      </c>
      <c r="FC79" s="92">
        <f>FORMULA!$Y166</f>
        <v>0</v>
      </c>
      <c r="FD79" s="92">
        <f>FORMULA!$AA166</f>
        <v>0</v>
      </c>
      <c r="FE79" s="92">
        <f>FORMULA!$AC166</f>
        <v>0</v>
      </c>
      <c r="FF79" s="92">
        <f>FORMULA!$AE166</f>
        <v>0</v>
      </c>
      <c r="FG79" s="94"/>
      <c r="FH79" s="91">
        <f>FORMULA!$C254</f>
        <v>0</v>
      </c>
      <c r="FI79" s="92">
        <f>FORMULA!$E254</f>
        <v>0</v>
      </c>
      <c r="FJ79" s="92">
        <f>FORMULA!$G254</f>
        <v>0</v>
      </c>
      <c r="FK79" s="92">
        <f>FORMULA!$I254</f>
        <v>0</v>
      </c>
      <c r="FL79" s="92">
        <f>FORMULA!$K254</f>
        <v>0</v>
      </c>
      <c r="FM79" s="92">
        <f>FORMULA!$M254</f>
        <v>0</v>
      </c>
      <c r="FN79" s="92">
        <f>FORMULA!$O254</f>
        <v>0</v>
      </c>
      <c r="FO79" s="92">
        <f>FORMULA!$Q254</f>
        <v>0</v>
      </c>
      <c r="FP79" s="92">
        <f>FORMULA!$S254</f>
        <v>0</v>
      </c>
      <c r="FQ79" s="92">
        <f>FORMULA!$U254</f>
        <v>0</v>
      </c>
      <c r="FR79" s="92">
        <f>FORMULA!$W254</f>
        <v>0</v>
      </c>
      <c r="FS79" s="92">
        <f>FORMULA!$Y254</f>
        <v>0</v>
      </c>
      <c r="FT79" s="92">
        <f>FORMULA!$AA254</f>
        <v>0</v>
      </c>
      <c r="FU79" s="92">
        <f>FORMULA!$AC254</f>
        <v>0</v>
      </c>
      <c r="FV79" s="92">
        <f>FORMULA!$AE254</f>
        <v>0</v>
      </c>
      <c r="FW79" s="94"/>
      <c r="FX79" s="91">
        <f>FORMULA!$C342</f>
        <v>0</v>
      </c>
      <c r="FY79" s="92">
        <f>FORMULA!$E342</f>
        <v>0</v>
      </c>
      <c r="FZ79" s="92">
        <f>FORMULA!$G342</f>
        <v>0</v>
      </c>
      <c r="GA79" s="92">
        <f>FORMULA!$I342</f>
        <v>0</v>
      </c>
      <c r="GB79" s="92">
        <f>FORMULA!$K342</f>
        <v>0</v>
      </c>
      <c r="GC79" s="92">
        <f>FORMULA!$M342</f>
        <v>0</v>
      </c>
      <c r="GD79" s="92">
        <f>FORMULA!$O342</f>
        <v>0</v>
      </c>
      <c r="GE79" s="92">
        <f>FORMULA!$Q342</f>
        <v>0</v>
      </c>
      <c r="GF79" s="92">
        <f>FORMULA!$S342</f>
        <v>0</v>
      </c>
      <c r="GG79" s="92">
        <f>FORMULA!$U342</f>
        <v>0</v>
      </c>
      <c r="GH79" s="92">
        <f>FORMULA!$W342</f>
        <v>0</v>
      </c>
      <c r="GI79" s="92">
        <f>FORMULA!$Y342</f>
        <v>0</v>
      </c>
      <c r="GJ79" s="92">
        <f>FORMULA!$AA342</f>
        <v>0</v>
      </c>
      <c r="GK79" s="92">
        <f>FORMULA!$AC342</f>
        <v>0</v>
      </c>
      <c r="GL79" s="92">
        <f>FORMULA!$AE342</f>
        <v>0</v>
      </c>
      <c r="GM79" s="207"/>
      <c r="GN79" s="91">
        <f>FORMULA!$C430</f>
        <v>0</v>
      </c>
      <c r="GO79" s="92">
        <f>FORMULA!$E430</f>
        <v>0</v>
      </c>
      <c r="GP79" s="92">
        <f>FORMULA!$G430</f>
        <v>0</v>
      </c>
      <c r="GQ79" s="92">
        <f>FORMULA!$I430</f>
        <v>0</v>
      </c>
      <c r="GR79" s="92">
        <f>FORMULA!$K430</f>
        <v>0</v>
      </c>
      <c r="GS79" s="92">
        <f>FORMULA!$M430</f>
        <v>0</v>
      </c>
      <c r="GT79" s="92">
        <f>FORMULA!$O430</f>
        <v>0</v>
      </c>
      <c r="GU79" s="92">
        <f>FORMULA!$Q430</f>
        <v>0</v>
      </c>
      <c r="GV79" s="92">
        <f>FORMULA!$S430</f>
        <v>0</v>
      </c>
      <c r="GW79" s="92">
        <f>FORMULA!$U430</f>
        <v>0</v>
      </c>
      <c r="GX79" s="92">
        <f>FORMULA!$W430</f>
        <v>0</v>
      </c>
      <c r="GY79" s="92">
        <f>FORMULA!$Y430</f>
        <v>0</v>
      </c>
      <c r="GZ79" s="92">
        <f>FORMULA!$AA430</f>
        <v>0</v>
      </c>
      <c r="HA79" s="92">
        <f>FORMULA!$AC430</f>
        <v>0</v>
      </c>
      <c r="HB79" s="92">
        <f>FORMULA!$AE430</f>
        <v>0</v>
      </c>
      <c r="HC79" s="207"/>
      <c r="HD79" s="91">
        <f>FORMULA!$C518</f>
        <v>0</v>
      </c>
      <c r="HE79" s="92">
        <f>FORMULA!$E518</f>
        <v>0</v>
      </c>
      <c r="HF79" s="92">
        <f>FORMULA!$G518</f>
        <v>0</v>
      </c>
      <c r="HG79" s="92">
        <f>FORMULA!$I518</f>
        <v>0</v>
      </c>
      <c r="HH79" s="92">
        <f>FORMULA!$K518</f>
        <v>0</v>
      </c>
      <c r="HI79" s="92">
        <f>FORMULA!$M518</f>
        <v>0</v>
      </c>
      <c r="HJ79" s="92">
        <f>FORMULA!$O518</f>
        <v>0</v>
      </c>
      <c r="HK79" s="92">
        <f>FORMULA!$Q518</f>
        <v>0</v>
      </c>
      <c r="HL79" s="92">
        <f>FORMULA!$S518</f>
        <v>0</v>
      </c>
      <c r="HM79" s="92">
        <f>FORMULA!$U518</f>
        <v>0</v>
      </c>
      <c r="HN79" s="92">
        <f>FORMULA!$W518</f>
        <v>0</v>
      </c>
      <c r="HO79" s="92">
        <f>FORMULA!$Y518</f>
        <v>0</v>
      </c>
      <c r="HP79" s="92">
        <f>FORMULA!$AA518</f>
        <v>0</v>
      </c>
      <c r="HQ79" s="92">
        <f>FORMULA!$AC518</f>
        <v>0</v>
      </c>
      <c r="HR79" s="92">
        <f>FORMULA!$AE518</f>
        <v>0</v>
      </c>
      <c r="HS79" s="207"/>
      <c r="HT79" s="91">
        <f>FORMULA!$C606</f>
        <v>0</v>
      </c>
      <c r="HU79" s="92">
        <f>FORMULA!$E606</f>
        <v>0</v>
      </c>
      <c r="HV79" s="92">
        <f>FORMULA!$G606</f>
        <v>0</v>
      </c>
      <c r="HW79" s="92">
        <f>FORMULA!$I606</f>
        <v>0</v>
      </c>
      <c r="HX79" s="92">
        <f>FORMULA!$K606</f>
        <v>0</v>
      </c>
      <c r="HY79" s="92">
        <f>FORMULA!$M606</f>
        <v>0</v>
      </c>
      <c r="HZ79" s="92">
        <f>FORMULA!$O606</f>
        <v>0</v>
      </c>
      <c r="IA79" s="92">
        <f>FORMULA!$Q606</f>
        <v>0</v>
      </c>
      <c r="IB79" s="92">
        <f>FORMULA!$S606</f>
        <v>0</v>
      </c>
      <c r="IC79" s="92">
        <f>FORMULA!$U606</f>
        <v>0</v>
      </c>
      <c r="ID79" s="92">
        <f>FORMULA!$W606</f>
        <v>0</v>
      </c>
      <c r="IE79" s="92">
        <f>FORMULA!$Y606</f>
        <v>0</v>
      </c>
      <c r="IF79" s="92">
        <f>FORMULA!$AA606</f>
        <v>0</v>
      </c>
      <c r="IG79" s="92">
        <f>FORMULA!$AC606</f>
        <v>0</v>
      </c>
      <c r="IH79" s="92">
        <f>FORMULA!$AE606</f>
        <v>0</v>
      </c>
      <c r="II79" s="207"/>
      <c r="IJ79" s="91">
        <f>FORMULA!$C694</f>
        <v>0</v>
      </c>
      <c r="IK79" s="92">
        <f>FORMULA!$E694</f>
        <v>0</v>
      </c>
      <c r="IL79" s="92">
        <f>FORMULA!$G694</f>
        <v>0</v>
      </c>
      <c r="IM79" s="92">
        <f>FORMULA!$I694</f>
        <v>0</v>
      </c>
      <c r="IN79" s="92">
        <f>FORMULA!$K694</f>
        <v>0</v>
      </c>
      <c r="IO79" s="92">
        <f>FORMULA!$M694</f>
        <v>0</v>
      </c>
      <c r="IP79" s="92">
        <f>FORMULA!$O694</f>
        <v>0</v>
      </c>
      <c r="IQ79" s="92">
        <f>FORMULA!$Q694</f>
        <v>0</v>
      </c>
      <c r="IR79" s="92">
        <f>FORMULA!$S694</f>
        <v>0</v>
      </c>
      <c r="IS79" s="92">
        <f>FORMULA!$U694</f>
        <v>0</v>
      </c>
      <c r="IT79" s="92">
        <f>FORMULA!$W694</f>
        <v>0</v>
      </c>
      <c r="IU79" s="92">
        <f>FORMULA!$Y694</f>
        <v>0</v>
      </c>
      <c r="IV79" s="92">
        <f>FORMULA!$AA694</f>
        <v>0</v>
      </c>
      <c r="IW79" s="92">
        <f>FORMULA!$AC694</f>
        <v>0</v>
      </c>
      <c r="IX79" s="92">
        <f>FORMULA!$AE694</f>
        <v>0</v>
      </c>
      <c r="IY79" s="208"/>
    </row>
    <row r="80" spans="1:259" outlineLevel="1">
      <c r="A80" s="11">
        <f>'VAC &amp; MED'!C67</f>
        <v>46079</v>
      </c>
      <c r="B80" s="261"/>
      <c r="C80" s="261"/>
      <c r="D80" s="261"/>
      <c r="E80" s="261"/>
      <c r="F80" s="261"/>
      <c r="G80" s="261"/>
      <c r="H80" s="261"/>
      <c r="I80" s="261"/>
      <c r="J80" s="261"/>
      <c r="K80" s="261"/>
      <c r="L80" s="261"/>
      <c r="M80" s="261"/>
      <c r="N80" s="261"/>
      <c r="O80" s="261"/>
      <c r="P80" s="261"/>
      <c r="Q80" s="261"/>
      <c r="R80" s="262"/>
      <c r="S80" s="262"/>
      <c r="T80" s="262"/>
      <c r="U80" s="262"/>
      <c r="V80" s="262"/>
      <c r="W80" s="262"/>
      <c r="X80" s="262"/>
      <c r="Y80" s="262"/>
      <c r="Z80" s="262"/>
      <c r="AA80" s="262"/>
      <c r="AB80" s="262"/>
      <c r="AC80" s="262"/>
      <c r="AD80" s="262"/>
      <c r="AE80" s="262"/>
      <c r="AF80" s="262"/>
      <c r="AG80" s="262"/>
      <c r="AH80" s="263"/>
      <c r="AI80" s="263"/>
      <c r="AJ80" s="263"/>
      <c r="AK80" s="263"/>
      <c r="AL80" s="263"/>
      <c r="AM80" s="263"/>
      <c r="AN80" s="263"/>
      <c r="AO80" s="263"/>
      <c r="AP80" s="263"/>
      <c r="AQ80" s="263"/>
      <c r="AR80" s="263"/>
      <c r="AS80" s="263"/>
      <c r="AT80" s="263"/>
      <c r="AU80" s="263"/>
      <c r="AV80" s="263"/>
      <c r="AW80" s="263"/>
      <c r="AX80" s="264"/>
      <c r="AY80" s="264"/>
      <c r="AZ80" s="264"/>
      <c r="BA80" s="264"/>
      <c r="BB80" s="264"/>
      <c r="BC80" s="264"/>
      <c r="BD80" s="264"/>
      <c r="BE80" s="264"/>
      <c r="BF80" s="264"/>
      <c r="BG80" s="264"/>
      <c r="BH80" s="264"/>
      <c r="BI80" s="264"/>
      <c r="BJ80" s="264"/>
      <c r="BK80" s="264"/>
      <c r="BL80" s="264"/>
      <c r="BM80" s="264"/>
      <c r="BN80" s="265"/>
      <c r="BO80" s="265"/>
      <c r="BP80" s="265"/>
      <c r="BQ80" s="265"/>
      <c r="BR80" s="265"/>
      <c r="BS80" s="265"/>
      <c r="BT80" s="265"/>
      <c r="BU80" s="265"/>
      <c r="BV80" s="265"/>
      <c r="BW80" s="265"/>
      <c r="BX80" s="265"/>
      <c r="BY80" s="265"/>
      <c r="BZ80" s="265"/>
      <c r="CA80" s="265"/>
      <c r="CB80" s="265"/>
      <c r="CC80" s="265"/>
      <c r="CD80" s="266"/>
      <c r="CE80" s="266"/>
      <c r="CF80" s="266"/>
      <c r="CG80" s="266"/>
      <c r="CH80" s="266"/>
      <c r="CI80" s="266"/>
      <c r="CJ80" s="266"/>
      <c r="CK80" s="266"/>
      <c r="CL80" s="266"/>
      <c r="CM80" s="266"/>
      <c r="CN80" s="266"/>
      <c r="CO80" s="266"/>
      <c r="CP80" s="266"/>
      <c r="CQ80" s="266"/>
      <c r="CR80" s="266"/>
      <c r="CS80" s="266"/>
      <c r="CT80" s="267">
        <v>26</v>
      </c>
      <c r="CU80" s="267"/>
      <c r="CV80" s="267"/>
      <c r="CW80" s="267"/>
      <c r="CX80" s="267"/>
      <c r="CY80" s="267"/>
      <c r="CZ80" s="267"/>
      <c r="DA80" s="267"/>
      <c r="DB80" s="267"/>
      <c r="DC80" s="267"/>
      <c r="DD80" s="267"/>
      <c r="DE80" s="267"/>
      <c r="DF80" s="267"/>
      <c r="DG80" s="267"/>
      <c r="DH80" s="267"/>
      <c r="DI80" s="267"/>
      <c r="DJ80" s="268"/>
      <c r="DK80" s="268"/>
      <c r="DL80" s="268"/>
      <c r="DM80" s="268"/>
      <c r="DN80" s="268"/>
      <c r="DO80" s="268"/>
      <c r="DP80" s="268"/>
      <c r="DQ80" s="268"/>
      <c r="DR80" s="268"/>
      <c r="DS80" s="268"/>
      <c r="DT80" s="268"/>
      <c r="DU80" s="268"/>
      <c r="DV80" s="268"/>
      <c r="DW80" s="268"/>
      <c r="DX80" s="268"/>
      <c r="DY80" s="268"/>
      <c r="EA80" s="20" t="str">
        <f>FORMULA!$A$79</f>
        <v>WOVEN BAG (8103) - BROWN 50KG</v>
      </c>
      <c r="EB80" s="91">
        <f>FORMULA!$C79</f>
        <v>0</v>
      </c>
      <c r="EC80" s="92">
        <f>FORMULA!$E79</f>
        <v>0</v>
      </c>
      <c r="ED80" s="92">
        <f>FORMULA!$G79</f>
        <v>0</v>
      </c>
      <c r="EE80" s="92">
        <f>FORMULA!$I79</f>
        <v>0</v>
      </c>
      <c r="EF80" s="92">
        <f>FORMULA!$K79</f>
        <v>0</v>
      </c>
      <c r="EG80" s="92">
        <f>FORMULA!$M79</f>
        <v>0</v>
      </c>
      <c r="EH80" s="92">
        <f>FORMULA!$O79</f>
        <v>0</v>
      </c>
      <c r="EI80" s="92">
        <f>FORMULA!$Q79</f>
        <v>0</v>
      </c>
      <c r="EJ80" s="92">
        <f>FORMULA!$S79</f>
        <v>0</v>
      </c>
      <c r="EK80" s="92">
        <f>FORMULA!$U79</f>
        <v>0</v>
      </c>
      <c r="EL80" s="92">
        <f>FORMULA!$W79</f>
        <v>0</v>
      </c>
      <c r="EM80" s="92">
        <f>FORMULA!$Y79</f>
        <v>0</v>
      </c>
      <c r="EN80" s="92">
        <f>FORMULA!$AA79</f>
        <v>0</v>
      </c>
      <c r="EO80" s="92">
        <f>FORMULA!$AC79</f>
        <v>0</v>
      </c>
      <c r="EP80" s="92">
        <f>FORMULA!$AE79</f>
        <v>0</v>
      </c>
      <c r="EQ80" s="108"/>
      <c r="ER80" s="91">
        <f>FORMULA!$C167</f>
        <v>0</v>
      </c>
      <c r="ES80" s="92">
        <f>FORMULA!$E167</f>
        <v>0</v>
      </c>
      <c r="ET80" s="92">
        <f>FORMULA!$G167</f>
        <v>0</v>
      </c>
      <c r="EU80" s="92">
        <f>FORMULA!$I167</f>
        <v>0</v>
      </c>
      <c r="EV80" s="92">
        <f>FORMULA!$K167</f>
        <v>0</v>
      </c>
      <c r="EW80" s="92">
        <f>FORMULA!$M167</f>
        <v>0</v>
      </c>
      <c r="EX80" s="92">
        <f>FORMULA!$O167</f>
        <v>0</v>
      </c>
      <c r="EY80" s="92">
        <f>FORMULA!$Q167</f>
        <v>0</v>
      </c>
      <c r="EZ80" s="92">
        <f>FORMULA!$S167</f>
        <v>0</v>
      </c>
      <c r="FA80" s="92">
        <f>FORMULA!$U167</f>
        <v>0</v>
      </c>
      <c r="FB80" s="92">
        <f>FORMULA!$W167</f>
        <v>0</v>
      </c>
      <c r="FC80" s="92">
        <f>FORMULA!$Y167</f>
        <v>0</v>
      </c>
      <c r="FD80" s="92">
        <f>FORMULA!$AA167</f>
        <v>0</v>
      </c>
      <c r="FE80" s="92">
        <f>FORMULA!$AC167</f>
        <v>0</v>
      </c>
      <c r="FF80" s="92">
        <f>FORMULA!$AE167</f>
        <v>0</v>
      </c>
      <c r="FG80" s="94"/>
      <c r="FH80" s="91">
        <f>FORMULA!$C255</f>
        <v>0</v>
      </c>
      <c r="FI80" s="92">
        <f>FORMULA!$E255</f>
        <v>0</v>
      </c>
      <c r="FJ80" s="92">
        <f>FORMULA!$G255</f>
        <v>0</v>
      </c>
      <c r="FK80" s="92">
        <f>FORMULA!$I255</f>
        <v>0</v>
      </c>
      <c r="FL80" s="92">
        <f>FORMULA!$K255</f>
        <v>0</v>
      </c>
      <c r="FM80" s="92">
        <f>FORMULA!$M255</f>
        <v>0</v>
      </c>
      <c r="FN80" s="92">
        <f>FORMULA!$O255</f>
        <v>0</v>
      </c>
      <c r="FO80" s="92">
        <f>FORMULA!$Q255</f>
        <v>0</v>
      </c>
      <c r="FP80" s="92">
        <f>FORMULA!$S255</f>
        <v>0</v>
      </c>
      <c r="FQ80" s="92">
        <f>FORMULA!$U255</f>
        <v>0</v>
      </c>
      <c r="FR80" s="92">
        <f>FORMULA!$W255</f>
        <v>0</v>
      </c>
      <c r="FS80" s="92">
        <f>FORMULA!$Y255</f>
        <v>0</v>
      </c>
      <c r="FT80" s="92">
        <f>FORMULA!$AA255</f>
        <v>0</v>
      </c>
      <c r="FU80" s="92">
        <f>FORMULA!$AC255</f>
        <v>0</v>
      </c>
      <c r="FV80" s="92">
        <f>FORMULA!$AE255</f>
        <v>0</v>
      </c>
      <c r="FW80" s="94"/>
      <c r="FX80" s="91">
        <f>FORMULA!$C343</f>
        <v>0</v>
      </c>
      <c r="FY80" s="92">
        <f>FORMULA!$E343</f>
        <v>0</v>
      </c>
      <c r="FZ80" s="92">
        <f>FORMULA!$G343</f>
        <v>0</v>
      </c>
      <c r="GA80" s="92">
        <f>FORMULA!$I343</f>
        <v>0</v>
      </c>
      <c r="GB80" s="92">
        <f>FORMULA!$K343</f>
        <v>0</v>
      </c>
      <c r="GC80" s="92">
        <f>FORMULA!$M343</f>
        <v>0</v>
      </c>
      <c r="GD80" s="92">
        <f>FORMULA!$O343</f>
        <v>0</v>
      </c>
      <c r="GE80" s="92">
        <f>FORMULA!$Q343</f>
        <v>0</v>
      </c>
      <c r="GF80" s="92">
        <f>FORMULA!$S343</f>
        <v>0</v>
      </c>
      <c r="GG80" s="92">
        <f>FORMULA!$U343</f>
        <v>0</v>
      </c>
      <c r="GH80" s="92">
        <f>FORMULA!$W343</f>
        <v>0</v>
      </c>
      <c r="GI80" s="92">
        <f>FORMULA!$Y343</f>
        <v>0</v>
      </c>
      <c r="GJ80" s="92">
        <f>FORMULA!$AA343</f>
        <v>0</v>
      </c>
      <c r="GK80" s="92">
        <f>FORMULA!$AC343</f>
        <v>0</v>
      </c>
      <c r="GL80" s="92">
        <f>FORMULA!$AE343</f>
        <v>0</v>
      </c>
      <c r="GM80" s="207"/>
      <c r="GN80" s="91">
        <f>FORMULA!$C431</f>
        <v>0</v>
      </c>
      <c r="GO80" s="92">
        <f>FORMULA!$E431</f>
        <v>0</v>
      </c>
      <c r="GP80" s="92">
        <f>FORMULA!$G431</f>
        <v>0</v>
      </c>
      <c r="GQ80" s="92">
        <f>FORMULA!$I431</f>
        <v>0</v>
      </c>
      <c r="GR80" s="92">
        <f>FORMULA!$K431</f>
        <v>0</v>
      </c>
      <c r="GS80" s="92">
        <f>FORMULA!$M431</f>
        <v>0</v>
      </c>
      <c r="GT80" s="92">
        <f>FORMULA!$O431</f>
        <v>0</v>
      </c>
      <c r="GU80" s="92">
        <f>FORMULA!$Q431</f>
        <v>0</v>
      </c>
      <c r="GV80" s="92">
        <f>FORMULA!$S431</f>
        <v>0</v>
      </c>
      <c r="GW80" s="92">
        <f>FORMULA!$U431</f>
        <v>0</v>
      </c>
      <c r="GX80" s="92">
        <f>FORMULA!$W431</f>
        <v>0</v>
      </c>
      <c r="GY80" s="92">
        <f>FORMULA!$Y431</f>
        <v>0</v>
      </c>
      <c r="GZ80" s="92">
        <f>FORMULA!$AA431</f>
        <v>0</v>
      </c>
      <c r="HA80" s="92">
        <f>FORMULA!$AC431</f>
        <v>0</v>
      </c>
      <c r="HB80" s="92">
        <f>FORMULA!$AE431</f>
        <v>0</v>
      </c>
      <c r="HC80" s="207"/>
      <c r="HD80" s="91">
        <f>FORMULA!$C519</f>
        <v>0</v>
      </c>
      <c r="HE80" s="92">
        <f>FORMULA!$E519</f>
        <v>0</v>
      </c>
      <c r="HF80" s="92">
        <f>FORMULA!$G519</f>
        <v>0</v>
      </c>
      <c r="HG80" s="92">
        <f>FORMULA!$I519</f>
        <v>0</v>
      </c>
      <c r="HH80" s="92">
        <f>FORMULA!$K519</f>
        <v>0</v>
      </c>
      <c r="HI80" s="92">
        <f>FORMULA!$M519</f>
        <v>0</v>
      </c>
      <c r="HJ80" s="92">
        <f>FORMULA!$O519</f>
        <v>0</v>
      </c>
      <c r="HK80" s="92">
        <f>FORMULA!$Q519</f>
        <v>0</v>
      </c>
      <c r="HL80" s="92">
        <f>FORMULA!$S519</f>
        <v>0</v>
      </c>
      <c r="HM80" s="92">
        <f>FORMULA!$U519</f>
        <v>0</v>
      </c>
      <c r="HN80" s="92">
        <f>FORMULA!$W519</f>
        <v>0</v>
      </c>
      <c r="HO80" s="92">
        <f>FORMULA!$Y519</f>
        <v>0</v>
      </c>
      <c r="HP80" s="92">
        <f>FORMULA!$AA519</f>
        <v>0</v>
      </c>
      <c r="HQ80" s="92">
        <f>FORMULA!$AC519</f>
        <v>0</v>
      </c>
      <c r="HR80" s="92">
        <f>FORMULA!$AE519</f>
        <v>0</v>
      </c>
      <c r="HS80" s="207"/>
      <c r="HT80" s="91">
        <f>FORMULA!$C607</f>
        <v>0</v>
      </c>
      <c r="HU80" s="92">
        <f>FORMULA!$E607</f>
        <v>0</v>
      </c>
      <c r="HV80" s="92">
        <f>FORMULA!$G607</f>
        <v>0</v>
      </c>
      <c r="HW80" s="92">
        <f>FORMULA!$I607</f>
        <v>0</v>
      </c>
      <c r="HX80" s="92">
        <f>FORMULA!$K607</f>
        <v>0</v>
      </c>
      <c r="HY80" s="92">
        <f>FORMULA!$M607</f>
        <v>0</v>
      </c>
      <c r="HZ80" s="92">
        <f>FORMULA!$O607</f>
        <v>0</v>
      </c>
      <c r="IA80" s="92">
        <f>FORMULA!$Q607</f>
        <v>0</v>
      </c>
      <c r="IB80" s="92">
        <f>FORMULA!$S607</f>
        <v>0</v>
      </c>
      <c r="IC80" s="92">
        <f>FORMULA!$U607</f>
        <v>0</v>
      </c>
      <c r="ID80" s="92">
        <f>FORMULA!$W607</f>
        <v>0</v>
      </c>
      <c r="IE80" s="92">
        <f>FORMULA!$Y607</f>
        <v>0</v>
      </c>
      <c r="IF80" s="92">
        <f>FORMULA!$AA607</f>
        <v>0</v>
      </c>
      <c r="IG80" s="92">
        <f>FORMULA!$AC607</f>
        <v>0</v>
      </c>
      <c r="IH80" s="92">
        <f>FORMULA!$AE607</f>
        <v>0</v>
      </c>
      <c r="II80" s="207"/>
      <c r="IJ80" s="91">
        <f>FORMULA!$C695</f>
        <v>0</v>
      </c>
      <c r="IK80" s="92">
        <f>FORMULA!$E695</f>
        <v>0</v>
      </c>
      <c r="IL80" s="92">
        <f>FORMULA!$G695</f>
        <v>0</v>
      </c>
      <c r="IM80" s="92">
        <f>FORMULA!$I695</f>
        <v>0</v>
      </c>
      <c r="IN80" s="92">
        <f>FORMULA!$K695</f>
        <v>0</v>
      </c>
      <c r="IO80" s="92">
        <f>FORMULA!$M695</f>
        <v>0</v>
      </c>
      <c r="IP80" s="92">
        <f>FORMULA!$O695</f>
        <v>0</v>
      </c>
      <c r="IQ80" s="92">
        <f>FORMULA!$Q695</f>
        <v>0</v>
      </c>
      <c r="IR80" s="92">
        <f>FORMULA!$S695</f>
        <v>0</v>
      </c>
      <c r="IS80" s="92">
        <f>FORMULA!$U695</f>
        <v>0</v>
      </c>
      <c r="IT80" s="92">
        <f>FORMULA!$W695</f>
        <v>0</v>
      </c>
      <c r="IU80" s="92">
        <f>FORMULA!$Y695</f>
        <v>0</v>
      </c>
      <c r="IV80" s="92">
        <f>FORMULA!$AA695</f>
        <v>0</v>
      </c>
      <c r="IW80" s="92">
        <f>FORMULA!$AC695</f>
        <v>0</v>
      </c>
      <c r="IX80" s="92">
        <f>FORMULA!$AE695</f>
        <v>0</v>
      </c>
      <c r="IY80" s="208"/>
    </row>
    <row r="81" spans="1:278" outlineLevel="1">
      <c r="A81" s="11">
        <f>'VAC &amp; MED'!C68</f>
        <v>46080</v>
      </c>
      <c r="B81" s="261">
        <v>50</v>
      </c>
      <c r="C81" s="261"/>
      <c r="D81" s="261"/>
      <c r="E81" s="261"/>
      <c r="F81" s="261"/>
      <c r="G81" s="261"/>
      <c r="H81" s="261"/>
      <c r="I81" s="261"/>
      <c r="J81" s="261"/>
      <c r="K81" s="261"/>
      <c r="L81" s="261"/>
      <c r="M81" s="261"/>
      <c r="N81" s="261"/>
      <c r="O81" s="261"/>
      <c r="P81" s="261"/>
      <c r="Q81" s="261"/>
      <c r="R81" s="262"/>
      <c r="S81" s="262"/>
      <c r="T81" s="262"/>
      <c r="U81" s="262"/>
      <c r="V81" s="262"/>
      <c r="W81" s="262"/>
      <c r="X81" s="262"/>
      <c r="Y81" s="262"/>
      <c r="Z81" s="262"/>
      <c r="AA81" s="262"/>
      <c r="AB81" s="262"/>
      <c r="AC81" s="262"/>
      <c r="AD81" s="262"/>
      <c r="AE81" s="262"/>
      <c r="AF81" s="262"/>
      <c r="AG81" s="262"/>
      <c r="AH81" s="263"/>
      <c r="AI81" s="263"/>
      <c r="AJ81" s="263"/>
      <c r="AK81" s="263"/>
      <c r="AL81" s="263"/>
      <c r="AM81" s="263"/>
      <c r="AN81" s="263"/>
      <c r="AO81" s="263"/>
      <c r="AP81" s="263"/>
      <c r="AQ81" s="263"/>
      <c r="AR81" s="263"/>
      <c r="AS81" s="263"/>
      <c r="AT81" s="263"/>
      <c r="AU81" s="263"/>
      <c r="AV81" s="263"/>
      <c r="AW81" s="263"/>
      <c r="AX81" s="264"/>
      <c r="AY81" s="264"/>
      <c r="AZ81" s="264"/>
      <c r="BA81" s="264"/>
      <c r="BB81" s="264"/>
      <c r="BC81" s="264"/>
      <c r="BD81" s="264"/>
      <c r="BE81" s="264"/>
      <c r="BF81" s="264"/>
      <c r="BG81" s="264"/>
      <c r="BH81" s="264"/>
      <c r="BI81" s="264"/>
      <c r="BJ81" s="264"/>
      <c r="BK81" s="264"/>
      <c r="BL81" s="264"/>
      <c r="BM81" s="264"/>
      <c r="BN81" s="265"/>
      <c r="BO81" s="265"/>
      <c r="BP81" s="265"/>
      <c r="BQ81" s="265"/>
      <c r="BR81" s="265"/>
      <c r="BS81" s="265"/>
      <c r="BT81" s="265"/>
      <c r="BU81" s="265"/>
      <c r="BV81" s="265"/>
      <c r="BW81" s="265"/>
      <c r="BX81" s="265"/>
      <c r="BY81" s="265"/>
      <c r="BZ81" s="265"/>
      <c r="CA81" s="265"/>
      <c r="CB81" s="265"/>
      <c r="CC81" s="265"/>
      <c r="CD81" s="266"/>
      <c r="CE81" s="266"/>
      <c r="CF81" s="266"/>
      <c r="CG81" s="266"/>
      <c r="CH81" s="266"/>
      <c r="CI81" s="266"/>
      <c r="CJ81" s="266"/>
      <c r="CK81" s="266"/>
      <c r="CL81" s="266"/>
      <c r="CM81" s="266"/>
      <c r="CN81" s="266"/>
      <c r="CO81" s="266"/>
      <c r="CP81" s="266"/>
      <c r="CQ81" s="266"/>
      <c r="CR81" s="266"/>
      <c r="CS81" s="266"/>
      <c r="CT81" s="267"/>
      <c r="CU81" s="267"/>
      <c r="CV81" s="267"/>
      <c r="CW81" s="267"/>
      <c r="CX81" s="267"/>
      <c r="CY81" s="267"/>
      <c r="CZ81" s="267"/>
      <c r="DA81" s="267"/>
      <c r="DB81" s="267"/>
      <c r="DC81" s="267"/>
      <c r="DD81" s="267"/>
      <c r="DE81" s="267"/>
      <c r="DF81" s="267"/>
      <c r="DG81" s="267"/>
      <c r="DH81" s="267"/>
      <c r="DI81" s="267"/>
      <c r="DJ81" s="268"/>
      <c r="DK81" s="268"/>
      <c r="DL81" s="268"/>
      <c r="DM81" s="268"/>
      <c r="DN81" s="268"/>
      <c r="DO81" s="268"/>
      <c r="DP81" s="268"/>
      <c r="DQ81" s="268"/>
      <c r="DR81" s="268"/>
      <c r="DS81" s="268"/>
      <c r="DT81" s="268"/>
      <c r="DU81" s="268"/>
      <c r="DV81" s="268"/>
      <c r="DW81" s="268"/>
      <c r="DX81" s="268"/>
      <c r="DY81" s="268"/>
      <c r="EA81" s="20">
        <f>FORMULA!$A$80</f>
        <v>1</v>
      </c>
      <c r="EB81" s="91">
        <f>FORMULA!$C80</f>
        <v>0</v>
      </c>
      <c r="EC81" s="92">
        <f>FORMULA!$E80</f>
        <v>0</v>
      </c>
      <c r="ED81" s="92">
        <f>FORMULA!$G80</f>
        <v>0</v>
      </c>
      <c r="EE81" s="92">
        <f>FORMULA!$I80</f>
        <v>0</v>
      </c>
      <c r="EF81" s="92">
        <f>FORMULA!$K80</f>
        <v>0</v>
      </c>
      <c r="EG81" s="92">
        <f>FORMULA!$M80</f>
        <v>0</v>
      </c>
      <c r="EH81" s="92">
        <f>FORMULA!$O80</f>
        <v>0</v>
      </c>
      <c r="EI81" s="92">
        <f>FORMULA!$Q80</f>
        <v>0</v>
      </c>
      <c r="EJ81" s="92">
        <f>FORMULA!$S80</f>
        <v>0</v>
      </c>
      <c r="EK81" s="92">
        <f>FORMULA!$U80</f>
        <v>0</v>
      </c>
      <c r="EL81" s="92">
        <f>FORMULA!$W80</f>
        <v>0</v>
      </c>
      <c r="EM81" s="92">
        <f>FORMULA!$Y80</f>
        <v>0</v>
      </c>
      <c r="EN81" s="92">
        <f>FORMULA!$AA80</f>
        <v>0</v>
      </c>
      <c r="EO81" s="92">
        <f>FORMULA!$AC80</f>
        <v>0</v>
      </c>
      <c r="EP81" s="92">
        <f>FORMULA!$AE80</f>
        <v>0</v>
      </c>
      <c r="EQ81" s="108"/>
      <c r="ER81" s="91">
        <f>FORMULA!$C168</f>
        <v>0</v>
      </c>
      <c r="ES81" s="92">
        <f>FORMULA!$E168</f>
        <v>0</v>
      </c>
      <c r="ET81" s="92">
        <f>FORMULA!$G168</f>
        <v>0</v>
      </c>
      <c r="EU81" s="92">
        <f>FORMULA!$I168</f>
        <v>0</v>
      </c>
      <c r="EV81" s="92">
        <f>FORMULA!$K168</f>
        <v>0</v>
      </c>
      <c r="EW81" s="92">
        <f>FORMULA!$M168</f>
        <v>0</v>
      </c>
      <c r="EX81" s="92">
        <f>FORMULA!$O168</f>
        <v>0</v>
      </c>
      <c r="EY81" s="92">
        <f>FORMULA!$Q168</f>
        <v>0</v>
      </c>
      <c r="EZ81" s="92">
        <f>FORMULA!$S168</f>
        <v>0</v>
      </c>
      <c r="FA81" s="92">
        <f>FORMULA!$U168</f>
        <v>0</v>
      </c>
      <c r="FB81" s="92">
        <f>FORMULA!$W168</f>
        <v>0</v>
      </c>
      <c r="FC81" s="92">
        <f>FORMULA!$Y168</f>
        <v>0</v>
      </c>
      <c r="FD81" s="92">
        <f>FORMULA!$AA168</f>
        <v>0</v>
      </c>
      <c r="FE81" s="92">
        <f>FORMULA!$AC168</f>
        <v>0</v>
      </c>
      <c r="FF81" s="92">
        <f>FORMULA!$AE168</f>
        <v>0</v>
      </c>
      <c r="FG81" s="94"/>
      <c r="FH81" s="91">
        <f>FORMULA!$C256</f>
        <v>0</v>
      </c>
      <c r="FI81" s="92">
        <f>FORMULA!$E256</f>
        <v>0</v>
      </c>
      <c r="FJ81" s="92">
        <f>FORMULA!$G256</f>
        <v>0</v>
      </c>
      <c r="FK81" s="92">
        <f>FORMULA!$I256</f>
        <v>0</v>
      </c>
      <c r="FL81" s="92">
        <f>FORMULA!$K256</f>
        <v>0</v>
      </c>
      <c r="FM81" s="92">
        <f>FORMULA!$M256</f>
        <v>0</v>
      </c>
      <c r="FN81" s="92">
        <f>FORMULA!$O256</f>
        <v>0</v>
      </c>
      <c r="FO81" s="92">
        <f>FORMULA!$Q256</f>
        <v>0</v>
      </c>
      <c r="FP81" s="92">
        <f>FORMULA!$S256</f>
        <v>0</v>
      </c>
      <c r="FQ81" s="92">
        <f>FORMULA!$U256</f>
        <v>0</v>
      </c>
      <c r="FR81" s="92">
        <f>FORMULA!$W256</f>
        <v>0</v>
      </c>
      <c r="FS81" s="92">
        <f>FORMULA!$Y256</f>
        <v>0</v>
      </c>
      <c r="FT81" s="92">
        <f>FORMULA!$AA256</f>
        <v>0</v>
      </c>
      <c r="FU81" s="92">
        <f>FORMULA!$AC256</f>
        <v>0</v>
      </c>
      <c r="FV81" s="92">
        <f>FORMULA!$AE256</f>
        <v>0</v>
      </c>
      <c r="FW81" s="94"/>
      <c r="FX81" s="91">
        <f>FORMULA!$C344</f>
        <v>0</v>
      </c>
      <c r="FY81" s="92">
        <f>FORMULA!$E344</f>
        <v>0</v>
      </c>
      <c r="FZ81" s="92">
        <f>FORMULA!$G344</f>
        <v>0</v>
      </c>
      <c r="GA81" s="92">
        <f>FORMULA!$I344</f>
        <v>0</v>
      </c>
      <c r="GB81" s="92">
        <f>FORMULA!$K344</f>
        <v>0</v>
      </c>
      <c r="GC81" s="92">
        <f>FORMULA!$M344</f>
        <v>0</v>
      </c>
      <c r="GD81" s="92">
        <f>FORMULA!$O344</f>
        <v>0</v>
      </c>
      <c r="GE81" s="92">
        <f>FORMULA!$Q344</f>
        <v>0</v>
      </c>
      <c r="GF81" s="92">
        <f>FORMULA!$S344</f>
        <v>0</v>
      </c>
      <c r="GG81" s="92">
        <f>FORMULA!$U344</f>
        <v>0</v>
      </c>
      <c r="GH81" s="92">
        <f>FORMULA!$W344</f>
        <v>0</v>
      </c>
      <c r="GI81" s="92">
        <f>FORMULA!$Y344</f>
        <v>0</v>
      </c>
      <c r="GJ81" s="92">
        <f>FORMULA!$AA344</f>
        <v>0</v>
      </c>
      <c r="GK81" s="92">
        <f>FORMULA!$AC344</f>
        <v>0</v>
      </c>
      <c r="GL81" s="92">
        <f>FORMULA!$AE344</f>
        <v>0</v>
      </c>
      <c r="GM81" s="207"/>
      <c r="GN81" s="91">
        <f>FORMULA!$C432</f>
        <v>0</v>
      </c>
      <c r="GO81" s="92">
        <f>FORMULA!$E432</f>
        <v>0</v>
      </c>
      <c r="GP81" s="92">
        <f>FORMULA!$G432</f>
        <v>0</v>
      </c>
      <c r="GQ81" s="92">
        <f>FORMULA!$I432</f>
        <v>0</v>
      </c>
      <c r="GR81" s="92">
        <f>FORMULA!$K432</f>
        <v>0</v>
      </c>
      <c r="GS81" s="92">
        <f>FORMULA!$M432</f>
        <v>0</v>
      </c>
      <c r="GT81" s="92">
        <f>FORMULA!$O432</f>
        <v>0</v>
      </c>
      <c r="GU81" s="92">
        <f>FORMULA!$Q432</f>
        <v>0</v>
      </c>
      <c r="GV81" s="92">
        <f>FORMULA!$S432</f>
        <v>0</v>
      </c>
      <c r="GW81" s="92">
        <f>FORMULA!$U432</f>
        <v>0</v>
      </c>
      <c r="GX81" s="92">
        <f>FORMULA!$W432</f>
        <v>0</v>
      </c>
      <c r="GY81" s="92">
        <f>FORMULA!$Y432</f>
        <v>0</v>
      </c>
      <c r="GZ81" s="92">
        <f>FORMULA!$AA432</f>
        <v>0</v>
      </c>
      <c r="HA81" s="92">
        <f>FORMULA!$AC432</f>
        <v>0</v>
      </c>
      <c r="HB81" s="92">
        <f>FORMULA!$AE432</f>
        <v>0</v>
      </c>
      <c r="HC81" s="207"/>
      <c r="HD81" s="91">
        <f>FORMULA!$C520</f>
        <v>0</v>
      </c>
      <c r="HE81" s="92">
        <f>FORMULA!$E520</f>
        <v>0</v>
      </c>
      <c r="HF81" s="92">
        <f>FORMULA!$G520</f>
        <v>0</v>
      </c>
      <c r="HG81" s="92">
        <f>FORMULA!$I520</f>
        <v>0</v>
      </c>
      <c r="HH81" s="92">
        <f>FORMULA!$K520</f>
        <v>0</v>
      </c>
      <c r="HI81" s="92">
        <f>FORMULA!$M520</f>
        <v>0</v>
      </c>
      <c r="HJ81" s="92">
        <f>FORMULA!$O520</f>
        <v>0</v>
      </c>
      <c r="HK81" s="92">
        <f>FORMULA!$Q520</f>
        <v>0</v>
      </c>
      <c r="HL81" s="92">
        <f>FORMULA!$S520</f>
        <v>0</v>
      </c>
      <c r="HM81" s="92">
        <f>FORMULA!$U520</f>
        <v>0</v>
      </c>
      <c r="HN81" s="92">
        <f>FORMULA!$W520</f>
        <v>0</v>
      </c>
      <c r="HO81" s="92">
        <f>FORMULA!$Y520</f>
        <v>0</v>
      </c>
      <c r="HP81" s="92">
        <f>FORMULA!$AA520</f>
        <v>0</v>
      </c>
      <c r="HQ81" s="92">
        <f>FORMULA!$AC520</f>
        <v>0</v>
      </c>
      <c r="HR81" s="92">
        <f>FORMULA!$AE520</f>
        <v>0</v>
      </c>
      <c r="HS81" s="207"/>
      <c r="HT81" s="91">
        <f>FORMULA!$C608</f>
        <v>0</v>
      </c>
      <c r="HU81" s="92">
        <f>FORMULA!$E608</f>
        <v>0</v>
      </c>
      <c r="HV81" s="92">
        <f>FORMULA!$G608</f>
        <v>0</v>
      </c>
      <c r="HW81" s="92">
        <f>FORMULA!$I608</f>
        <v>0</v>
      </c>
      <c r="HX81" s="92">
        <f>FORMULA!$K608</f>
        <v>0</v>
      </c>
      <c r="HY81" s="92">
        <f>FORMULA!$M608</f>
        <v>0</v>
      </c>
      <c r="HZ81" s="92">
        <f>FORMULA!$O608</f>
        <v>0</v>
      </c>
      <c r="IA81" s="92">
        <f>FORMULA!$Q608</f>
        <v>0</v>
      </c>
      <c r="IB81" s="92">
        <f>FORMULA!$S608</f>
        <v>0</v>
      </c>
      <c r="IC81" s="92">
        <f>FORMULA!$U608</f>
        <v>0</v>
      </c>
      <c r="ID81" s="92">
        <f>FORMULA!$W608</f>
        <v>0</v>
      </c>
      <c r="IE81" s="92">
        <f>FORMULA!$Y608</f>
        <v>0</v>
      </c>
      <c r="IF81" s="92">
        <f>FORMULA!$AA608</f>
        <v>0</v>
      </c>
      <c r="IG81" s="92">
        <f>FORMULA!$AC608</f>
        <v>0</v>
      </c>
      <c r="IH81" s="92">
        <f>FORMULA!$AE608</f>
        <v>0</v>
      </c>
      <c r="II81" s="207"/>
      <c r="IJ81" s="91">
        <f>FORMULA!$C696</f>
        <v>0</v>
      </c>
      <c r="IK81" s="92">
        <f>FORMULA!$E696</f>
        <v>0</v>
      </c>
      <c r="IL81" s="92">
        <f>FORMULA!$G696</f>
        <v>0</v>
      </c>
      <c r="IM81" s="92">
        <f>FORMULA!$I696</f>
        <v>0</v>
      </c>
      <c r="IN81" s="92">
        <f>FORMULA!$K696</f>
        <v>0</v>
      </c>
      <c r="IO81" s="92">
        <f>FORMULA!$M696</f>
        <v>0</v>
      </c>
      <c r="IP81" s="92">
        <f>FORMULA!$O696</f>
        <v>0</v>
      </c>
      <c r="IQ81" s="92">
        <f>FORMULA!$Q696</f>
        <v>0</v>
      </c>
      <c r="IR81" s="92">
        <f>FORMULA!$S696</f>
        <v>0</v>
      </c>
      <c r="IS81" s="92">
        <f>FORMULA!$U696</f>
        <v>0</v>
      </c>
      <c r="IT81" s="92">
        <f>FORMULA!$W696</f>
        <v>0</v>
      </c>
      <c r="IU81" s="92">
        <f>FORMULA!$Y696</f>
        <v>0</v>
      </c>
      <c r="IV81" s="92">
        <f>FORMULA!$AA696</f>
        <v>0</v>
      </c>
      <c r="IW81" s="92">
        <f>FORMULA!$AC696</f>
        <v>0</v>
      </c>
      <c r="IX81" s="92">
        <f>FORMULA!$AE696</f>
        <v>0</v>
      </c>
      <c r="IY81" s="208"/>
    </row>
    <row r="82" spans="1:278" outlineLevel="1">
      <c r="A82" s="11">
        <f>'VAC &amp; MED'!C69</f>
        <v>46081</v>
      </c>
      <c r="B82" s="261"/>
      <c r="C82" s="261"/>
      <c r="D82" s="261"/>
      <c r="E82" s="261"/>
      <c r="F82" s="261"/>
      <c r="G82" s="261"/>
      <c r="H82" s="261"/>
      <c r="I82" s="261"/>
      <c r="J82" s="261"/>
      <c r="K82" s="261"/>
      <c r="L82" s="261"/>
      <c r="M82" s="261"/>
      <c r="N82" s="261"/>
      <c r="O82" s="261"/>
      <c r="P82" s="261"/>
      <c r="Q82" s="261"/>
      <c r="R82" s="262"/>
      <c r="S82" s="262"/>
      <c r="T82" s="262"/>
      <c r="U82" s="262"/>
      <c r="V82" s="262"/>
      <c r="W82" s="262"/>
      <c r="X82" s="262"/>
      <c r="Y82" s="262"/>
      <c r="Z82" s="262"/>
      <c r="AA82" s="262"/>
      <c r="AB82" s="262"/>
      <c r="AC82" s="262"/>
      <c r="AD82" s="262"/>
      <c r="AE82" s="262"/>
      <c r="AF82" s="262"/>
      <c r="AG82" s="262"/>
      <c r="AH82" s="263"/>
      <c r="AI82" s="263"/>
      <c r="AJ82" s="263"/>
      <c r="AK82" s="263"/>
      <c r="AL82" s="263"/>
      <c r="AM82" s="263"/>
      <c r="AN82" s="263"/>
      <c r="AO82" s="263"/>
      <c r="AP82" s="263"/>
      <c r="AQ82" s="263"/>
      <c r="AR82" s="263"/>
      <c r="AS82" s="263"/>
      <c r="AT82" s="263"/>
      <c r="AU82" s="263"/>
      <c r="AV82" s="263"/>
      <c r="AW82" s="263"/>
      <c r="AX82" s="264"/>
      <c r="AY82" s="264"/>
      <c r="AZ82" s="264"/>
      <c r="BA82" s="264"/>
      <c r="BB82" s="264"/>
      <c r="BC82" s="264"/>
      <c r="BD82" s="264"/>
      <c r="BE82" s="264"/>
      <c r="BF82" s="264"/>
      <c r="BG82" s="264"/>
      <c r="BH82" s="264"/>
      <c r="BI82" s="264"/>
      <c r="BJ82" s="264"/>
      <c r="BK82" s="264"/>
      <c r="BL82" s="264"/>
      <c r="BM82" s="264"/>
      <c r="BN82" s="265"/>
      <c r="BO82" s="265"/>
      <c r="BP82" s="265"/>
      <c r="BQ82" s="265"/>
      <c r="BR82" s="265"/>
      <c r="BS82" s="265"/>
      <c r="BT82" s="265"/>
      <c r="BU82" s="265"/>
      <c r="BV82" s="265"/>
      <c r="BW82" s="265"/>
      <c r="BX82" s="265"/>
      <c r="BY82" s="265"/>
      <c r="BZ82" s="265"/>
      <c r="CA82" s="265"/>
      <c r="CB82" s="265"/>
      <c r="CC82" s="265"/>
      <c r="CD82" s="266"/>
      <c r="CE82" s="266"/>
      <c r="CF82" s="266"/>
      <c r="CG82" s="266"/>
      <c r="CH82" s="266"/>
      <c r="CI82" s="266"/>
      <c r="CJ82" s="266"/>
      <c r="CK82" s="266"/>
      <c r="CL82" s="266"/>
      <c r="CM82" s="266"/>
      <c r="CN82" s="266"/>
      <c r="CO82" s="266"/>
      <c r="CP82" s="266"/>
      <c r="CQ82" s="266"/>
      <c r="CR82" s="266"/>
      <c r="CS82" s="266"/>
      <c r="CT82" s="267"/>
      <c r="CU82" s="267"/>
      <c r="CV82" s="267"/>
      <c r="CW82" s="267"/>
      <c r="CX82" s="267"/>
      <c r="CY82" s="267"/>
      <c r="CZ82" s="267"/>
      <c r="DA82" s="267"/>
      <c r="DB82" s="267"/>
      <c r="DC82" s="267"/>
      <c r="DD82" s="267"/>
      <c r="DE82" s="267"/>
      <c r="DF82" s="267"/>
      <c r="DG82" s="267"/>
      <c r="DH82" s="267"/>
      <c r="DI82" s="267"/>
      <c r="DJ82" s="268"/>
      <c r="DK82" s="268"/>
      <c r="DL82" s="268"/>
      <c r="DM82" s="268"/>
      <c r="DN82" s="268"/>
      <c r="DO82" s="268"/>
      <c r="DP82" s="268"/>
      <c r="DQ82" s="268"/>
      <c r="DR82" s="268"/>
      <c r="DS82" s="268"/>
      <c r="DT82" s="268"/>
      <c r="DU82" s="268"/>
      <c r="DV82" s="268"/>
      <c r="DW82" s="268"/>
      <c r="DX82" s="268"/>
      <c r="DY82" s="268"/>
      <c r="EA82" s="20">
        <f>FORMULA!$A$81</f>
        <v>2</v>
      </c>
      <c r="EB82" s="91">
        <f>FORMULA!$C81</f>
        <v>0</v>
      </c>
      <c r="EC82" s="92">
        <f>FORMULA!$E81</f>
        <v>0</v>
      </c>
      <c r="ED82" s="92">
        <f>FORMULA!$G81</f>
        <v>0</v>
      </c>
      <c r="EE82" s="92">
        <f>FORMULA!$I81</f>
        <v>0</v>
      </c>
      <c r="EF82" s="92">
        <f>FORMULA!$K81</f>
        <v>0</v>
      </c>
      <c r="EG82" s="92">
        <f>FORMULA!$M81</f>
        <v>0</v>
      </c>
      <c r="EH82" s="92">
        <f>FORMULA!$O81</f>
        <v>0</v>
      </c>
      <c r="EI82" s="92">
        <f>FORMULA!$Q81</f>
        <v>0</v>
      </c>
      <c r="EJ82" s="92">
        <f>FORMULA!$S81</f>
        <v>0</v>
      </c>
      <c r="EK82" s="92">
        <f>FORMULA!$U81</f>
        <v>0</v>
      </c>
      <c r="EL82" s="92">
        <f>FORMULA!$W81</f>
        <v>0</v>
      </c>
      <c r="EM82" s="92">
        <f>FORMULA!$Y81</f>
        <v>0</v>
      </c>
      <c r="EN82" s="92">
        <f>FORMULA!$AA81</f>
        <v>0</v>
      </c>
      <c r="EO82" s="92">
        <f>FORMULA!$AC81</f>
        <v>0</v>
      </c>
      <c r="EP82" s="92">
        <f>FORMULA!$AE81</f>
        <v>0</v>
      </c>
      <c r="EQ82" s="108"/>
      <c r="ER82" s="91">
        <f>FORMULA!$C169</f>
        <v>0</v>
      </c>
      <c r="ES82" s="92">
        <f>FORMULA!$E169</f>
        <v>0</v>
      </c>
      <c r="ET82" s="92">
        <f>FORMULA!$G169</f>
        <v>0</v>
      </c>
      <c r="EU82" s="92">
        <f>FORMULA!$I169</f>
        <v>0</v>
      </c>
      <c r="EV82" s="92">
        <f>FORMULA!$K169</f>
        <v>0</v>
      </c>
      <c r="EW82" s="92">
        <f>FORMULA!$M169</f>
        <v>0</v>
      </c>
      <c r="EX82" s="92">
        <f>FORMULA!$O169</f>
        <v>0</v>
      </c>
      <c r="EY82" s="92">
        <f>FORMULA!$Q169</f>
        <v>0</v>
      </c>
      <c r="EZ82" s="92">
        <f>FORMULA!$S169</f>
        <v>0</v>
      </c>
      <c r="FA82" s="92">
        <f>FORMULA!$U169</f>
        <v>0</v>
      </c>
      <c r="FB82" s="92">
        <f>FORMULA!$W169</f>
        <v>0</v>
      </c>
      <c r="FC82" s="92">
        <f>FORMULA!$Y169</f>
        <v>0</v>
      </c>
      <c r="FD82" s="92">
        <f>FORMULA!$AA169</f>
        <v>0</v>
      </c>
      <c r="FE82" s="92">
        <f>FORMULA!$AC169</f>
        <v>0</v>
      </c>
      <c r="FF82" s="92">
        <f>FORMULA!$AE169</f>
        <v>0</v>
      </c>
      <c r="FG82" s="94"/>
      <c r="FH82" s="91">
        <f>FORMULA!$C257</f>
        <v>0</v>
      </c>
      <c r="FI82" s="92">
        <f>FORMULA!$E257</f>
        <v>0</v>
      </c>
      <c r="FJ82" s="92">
        <f>FORMULA!$G257</f>
        <v>0</v>
      </c>
      <c r="FK82" s="92">
        <f>FORMULA!$I257</f>
        <v>0</v>
      </c>
      <c r="FL82" s="92">
        <f>FORMULA!$K257</f>
        <v>0</v>
      </c>
      <c r="FM82" s="92">
        <f>FORMULA!$M257</f>
        <v>0</v>
      </c>
      <c r="FN82" s="92">
        <f>FORMULA!$O257</f>
        <v>0</v>
      </c>
      <c r="FO82" s="92">
        <f>FORMULA!$Q257</f>
        <v>0</v>
      </c>
      <c r="FP82" s="92">
        <f>FORMULA!$S257</f>
        <v>0</v>
      </c>
      <c r="FQ82" s="92">
        <f>FORMULA!$U257</f>
        <v>0</v>
      </c>
      <c r="FR82" s="92">
        <f>FORMULA!$W257</f>
        <v>0</v>
      </c>
      <c r="FS82" s="92">
        <f>FORMULA!$Y257</f>
        <v>0</v>
      </c>
      <c r="FT82" s="92">
        <f>FORMULA!$AA257</f>
        <v>0</v>
      </c>
      <c r="FU82" s="92">
        <f>FORMULA!$AC257</f>
        <v>0</v>
      </c>
      <c r="FV82" s="92">
        <f>FORMULA!$AE257</f>
        <v>0</v>
      </c>
      <c r="FW82" s="94"/>
      <c r="FX82" s="91">
        <f>FORMULA!$C345</f>
        <v>0</v>
      </c>
      <c r="FY82" s="92">
        <f>FORMULA!$E345</f>
        <v>0</v>
      </c>
      <c r="FZ82" s="92">
        <f>FORMULA!$G345</f>
        <v>0</v>
      </c>
      <c r="GA82" s="92">
        <f>FORMULA!$I345</f>
        <v>0</v>
      </c>
      <c r="GB82" s="92">
        <f>FORMULA!$K345</f>
        <v>0</v>
      </c>
      <c r="GC82" s="92">
        <f>FORMULA!$M345</f>
        <v>0</v>
      </c>
      <c r="GD82" s="92">
        <f>FORMULA!$O345</f>
        <v>0</v>
      </c>
      <c r="GE82" s="92">
        <f>FORMULA!$Q345</f>
        <v>0</v>
      </c>
      <c r="GF82" s="92">
        <f>FORMULA!$S345</f>
        <v>0</v>
      </c>
      <c r="GG82" s="92">
        <f>FORMULA!$U345</f>
        <v>0</v>
      </c>
      <c r="GH82" s="92">
        <f>FORMULA!$W345</f>
        <v>0</v>
      </c>
      <c r="GI82" s="92">
        <f>FORMULA!$Y345</f>
        <v>0</v>
      </c>
      <c r="GJ82" s="92">
        <f>FORMULA!$AA345</f>
        <v>0</v>
      </c>
      <c r="GK82" s="92">
        <f>FORMULA!$AC345</f>
        <v>0</v>
      </c>
      <c r="GL82" s="92">
        <f>FORMULA!$AE345</f>
        <v>0</v>
      </c>
      <c r="GM82" s="207"/>
      <c r="GN82" s="91">
        <f>FORMULA!$C433</f>
        <v>0</v>
      </c>
      <c r="GO82" s="92">
        <f>FORMULA!$E433</f>
        <v>0</v>
      </c>
      <c r="GP82" s="92">
        <f>FORMULA!$G433</f>
        <v>0</v>
      </c>
      <c r="GQ82" s="92">
        <f>FORMULA!$I433</f>
        <v>0</v>
      </c>
      <c r="GR82" s="92">
        <f>FORMULA!$K433</f>
        <v>0</v>
      </c>
      <c r="GS82" s="92">
        <f>FORMULA!$M433</f>
        <v>0</v>
      </c>
      <c r="GT82" s="92">
        <f>FORMULA!$O433</f>
        <v>0</v>
      </c>
      <c r="GU82" s="92">
        <f>FORMULA!$Q433</f>
        <v>0</v>
      </c>
      <c r="GV82" s="92">
        <f>FORMULA!$S433</f>
        <v>0</v>
      </c>
      <c r="GW82" s="92">
        <f>FORMULA!$U433</f>
        <v>0</v>
      </c>
      <c r="GX82" s="92">
        <f>FORMULA!$W433</f>
        <v>0</v>
      </c>
      <c r="GY82" s="92">
        <f>FORMULA!$Y433</f>
        <v>0</v>
      </c>
      <c r="GZ82" s="92">
        <f>FORMULA!$AA433</f>
        <v>0</v>
      </c>
      <c r="HA82" s="92">
        <f>FORMULA!$AC433</f>
        <v>0</v>
      </c>
      <c r="HB82" s="92">
        <f>FORMULA!$AE433</f>
        <v>0</v>
      </c>
      <c r="HC82" s="207"/>
      <c r="HD82" s="91">
        <f>FORMULA!$C521</f>
        <v>0</v>
      </c>
      <c r="HE82" s="92">
        <f>FORMULA!$E521</f>
        <v>0</v>
      </c>
      <c r="HF82" s="92">
        <f>FORMULA!$G521</f>
        <v>0</v>
      </c>
      <c r="HG82" s="92">
        <f>FORMULA!$I521</f>
        <v>0</v>
      </c>
      <c r="HH82" s="92">
        <f>FORMULA!$K521</f>
        <v>0</v>
      </c>
      <c r="HI82" s="92">
        <f>FORMULA!$M521</f>
        <v>0</v>
      </c>
      <c r="HJ82" s="92">
        <f>FORMULA!$O521</f>
        <v>0</v>
      </c>
      <c r="HK82" s="92">
        <f>FORMULA!$Q521</f>
        <v>0</v>
      </c>
      <c r="HL82" s="92">
        <f>FORMULA!$S521</f>
        <v>0</v>
      </c>
      <c r="HM82" s="92">
        <f>FORMULA!$U521</f>
        <v>0</v>
      </c>
      <c r="HN82" s="92">
        <f>FORMULA!$W521</f>
        <v>0</v>
      </c>
      <c r="HO82" s="92">
        <f>FORMULA!$Y521</f>
        <v>0</v>
      </c>
      <c r="HP82" s="92">
        <f>FORMULA!$AA521</f>
        <v>0</v>
      </c>
      <c r="HQ82" s="92">
        <f>FORMULA!$AC521</f>
        <v>0</v>
      </c>
      <c r="HR82" s="92">
        <f>FORMULA!$AE521</f>
        <v>0</v>
      </c>
      <c r="HS82" s="207"/>
      <c r="HT82" s="91">
        <f>FORMULA!$C609</f>
        <v>0</v>
      </c>
      <c r="HU82" s="92">
        <f>FORMULA!$E609</f>
        <v>0</v>
      </c>
      <c r="HV82" s="92">
        <f>FORMULA!$G609</f>
        <v>0</v>
      </c>
      <c r="HW82" s="92">
        <f>FORMULA!$I609</f>
        <v>0</v>
      </c>
      <c r="HX82" s="92">
        <f>FORMULA!$K609</f>
        <v>0</v>
      </c>
      <c r="HY82" s="92">
        <f>FORMULA!$M609</f>
        <v>0</v>
      </c>
      <c r="HZ82" s="92">
        <f>FORMULA!$O609</f>
        <v>0</v>
      </c>
      <c r="IA82" s="92">
        <f>FORMULA!$Q609</f>
        <v>0</v>
      </c>
      <c r="IB82" s="92">
        <f>FORMULA!$S609</f>
        <v>0</v>
      </c>
      <c r="IC82" s="92">
        <f>FORMULA!$U609</f>
        <v>0</v>
      </c>
      <c r="ID82" s="92">
        <f>FORMULA!$W609</f>
        <v>0</v>
      </c>
      <c r="IE82" s="92">
        <f>FORMULA!$Y609</f>
        <v>0</v>
      </c>
      <c r="IF82" s="92">
        <f>FORMULA!$AA609</f>
        <v>0</v>
      </c>
      <c r="IG82" s="92">
        <f>FORMULA!$AC609</f>
        <v>0</v>
      </c>
      <c r="IH82" s="92">
        <f>FORMULA!$AE609</f>
        <v>0</v>
      </c>
      <c r="II82" s="207"/>
      <c r="IJ82" s="91">
        <f>FORMULA!$C697</f>
        <v>0</v>
      </c>
      <c r="IK82" s="92">
        <f>FORMULA!$E697</f>
        <v>0</v>
      </c>
      <c r="IL82" s="92">
        <f>FORMULA!$G697</f>
        <v>0</v>
      </c>
      <c r="IM82" s="92">
        <f>FORMULA!$I697</f>
        <v>0</v>
      </c>
      <c r="IN82" s="92">
        <f>FORMULA!$K697</f>
        <v>0</v>
      </c>
      <c r="IO82" s="92">
        <f>FORMULA!$M697</f>
        <v>0</v>
      </c>
      <c r="IP82" s="92">
        <f>FORMULA!$O697</f>
        <v>0</v>
      </c>
      <c r="IQ82" s="92">
        <f>FORMULA!$Q697</f>
        <v>0</v>
      </c>
      <c r="IR82" s="92">
        <f>FORMULA!$S697</f>
        <v>0</v>
      </c>
      <c r="IS82" s="92">
        <f>FORMULA!$U697</f>
        <v>0</v>
      </c>
      <c r="IT82" s="92">
        <f>FORMULA!$W697</f>
        <v>0</v>
      </c>
      <c r="IU82" s="92">
        <f>FORMULA!$Y697</f>
        <v>0</v>
      </c>
      <c r="IV82" s="92">
        <f>FORMULA!$AA697</f>
        <v>0</v>
      </c>
      <c r="IW82" s="92">
        <f>FORMULA!$AC697</f>
        <v>0</v>
      </c>
      <c r="IX82" s="92">
        <f>FORMULA!$AE697</f>
        <v>0</v>
      </c>
      <c r="IY82" s="208"/>
    </row>
    <row r="83" spans="1:278" outlineLevel="1">
      <c r="A83" s="11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02"/>
      <c r="BO83" s="102"/>
      <c r="BP83" s="102"/>
      <c r="BQ83" s="102"/>
      <c r="BR83" s="102"/>
      <c r="BS83" s="102"/>
      <c r="BT83" s="102"/>
      <c r="BU83" s="102"/>
      <c r="BV83" s="102"/>
      <c r="BW83" s="102"/>
      <c r="BX83" s="102"/>
      <c r="BY83" s="102"/>
      <c r="BZ83" s="102"/>
      <c r="CA83" s="102"/>
      <c r="CB83" s="102"/>
      <c r="CC83" s="102"/>
      <c r="CD83" s="103"/>
      <c r="CE83" s="103"/>
      <c r="CF83" s="103"/>
      <c r="CG83" s="103"/>
      <c r="CH83" s="103"/>
      <c r="CI83" s="103"/>
      <c r="CJ83" s="103"/>
      <c r="CK83" s="103"/>
      <c r="CL83" s="103"/>
      <c r="CM83" s="103"/>
      <c r="CN83" s="103"/>
      <c r="CO83" s="103"/>
      <c r="CP83" s="103"/>
      <c r="CQ83" s="103"/>
      <c r="CR83" s="103"/>
      <c r="CS83" s="103"/>
      <c r="CT83" s="104"/>
      <c r="CU83" s="104"/>
      <c r="CV83" s="104"/>
      <c r="CW83" s="104"/>
      <c r="CX83" s="104"/>
      <c r="CY83" s="104"/>
      <c r="CZ83" s="104"/>
      <c r="DA83" s="104"/>
      <c r="DB83" s="104"/>
      <c r="DC83" s="104"/>
      <c r="DD83" s="104"/>
      <c r="DE83" s="104"/>
      <c r="DF83" s="104"/>
      <c r="DG83" s="104"/>
      <c r="DH83" s="104"/>
      <c r="DI83" s="104"/>
      <c r="DJ83" s="105"/>
      <c r="DK83" s="105"/>
      <c r="DL83" s="105"/>
      <c r="DM83" s="105"/>
      <c r="DN83" s="105"/>
      <c r="DO83" s="105"/>
      <c r="DP83" s="105"/>
      <c r="DQ83" s="105"/>
      <c r="DR83" s="105"/>
      <c r="DS83" s="105"/>
      <c r="DT83" s="105"/>
      <c r="DU83" s="105"/>
      <c r="DV83" s="105"/>
      <c r="DW83" s="105"/>
      <c r="DX83" s="105"/>
      <c r="DY83" s="105"/>
      <c r="EA83" s="20">
        <f>FORMULA!$A$82</f>
        <v>3</v>
      </c>
      <c r="EB83" s="91">
        <f>FORMULA!$C82</f>
        <v>0</v>
      </c>
      <c r="EC83" s="92">
        <f>FORMULA!$E82</f>
        <v>0</v>
      </c>
      <c r="ED83" s="92">
        <f>FORMULA!$G82</f>
        <v>0</v>
      </c>
      <c r="EE83" s="92">
        <f>FORMULA!$I82</f>
        <v>0</v>
      </c>
      <c r="EF83" s="92">
        <f>FORMULA!$K82</f>
        <v>0</v>
      </c>
      <c r="EG83" s="92">
        <f>FORMULA!$M82</f>
        <v>0</v>
      </c>
      <c r="EH83" s="92">
        <f>FORMULA!$O82</f>
        <v>0</v>
      </c>
      <c r="EI83" s="92">
        <f>FORMULA!$Q82</f>
        <v>0</v>
      </c>
      <c r="EJ83" s="92">
        <f>FORMULA!$S82</f>
        <v>0</v>
      </c>
      <c r="EK83" s="92">
        <f>FORMULA!$U82</f>
        <v>0</v>
      </c>
      <c r="EL83" s="92">
        <f>FORMULA!$W82</f>
        <v>0</v>
      </c>
      <c r="EM83" s="92">
        <f>FORMULA!$Y82</f>
        <v>0</v>
      </c>
      <c r="EN83" s="92">
        <f>FORMULA!$AA82</f>
        <v>0</v>
      </c>
      <c r="EO83" s="92">
        <f>FORMULA!$AC82</f>
        <v>0</v>
      </c>
      <c r="EP83" s="92">
        <f>FORMULA!$AE82</f>
        <v>0</v>
      </c>
      <c r="EQ83" s="108"/>
      <c r="ER83" s="91">
        <f>FORMULA!$C170</f>
        <v>0</v>
      </c>
      <c r="ES83" s="92">
        <f>FORMULA!$E170</f>
        <v>0</v>
      </c>
      <c r="ET83" s="92">
        <f>FORMULA!$G170</f>
        <v>0</v>
      </c>
      <c r="EU83" s="92">
        <f>FORMULA!$I170</f>
        <v>0</v>
      </c>
      <c r="EV83" s="92">
        <f>FORMULA!$K170</f>
        <v>0</v>
      </c>
      <c r="EW83" s="92">
        <f>FORMULA!$M170</f>
        <v>0</v>
      </c>
      <c r="EX83" s="92">
        <f>FORMULA!$O170</f>
        <v>0</v>
      </c>
      <c r="EY83" s="92">
        <f>FORMULA!$Q170</f>
        <v>0</v>
      </c>
      <c r="EZ83" s="92">
        <f>FORMULA!$S170</f>
        <v>0</v>
      </c>
      <c r="FA83" s="92">
        <f>FORMULA!$U170</f>
        <v>0</v>
      </c>
      <c r="FB83" s="92">
        <f>FORMULA!$W170</f>
        <v>0</v>
      </c>
      <c r="FC83" s="92">
        <f>FORMULA!$Y170</f>
        <v>0</v>
      </c>
      <c r="FD83" s="92">
        <f>FORMULA!$AA170</f>
        <v>0</v>
      </c>
      <c r="FE83" s="92">
        <f>FORMULA!$AC170</f>
        <v>0</v>
      </c>
      <c r="FF83" s="92">
        <f>FORMULA!$AE170</f>
        <v>0</v>
      </c>
      <c r="FG83" s="94"/>
      <c r="FH83" s="91">
        <f>FORMULA!$C258</f>
        <v>0</v>
      </c>
      <c r="FI83" s="92">
        <f>FORMULA!$E258</f>
        <v>0</v>
      </c>
      <c r="FJ83" s="92">
        <f>FORMULA!$G258</f>
        <v>0</v>
      </c>
      <c r="FK83" s="92">
        <f>FORMULA!$I258</f>
        <v>0</v>
      </c>
      <c r="FL83" s="92">
        <f>FORMULA!$K258</f>
        <v>0</v>
      </c>
      <c r="FM83" s="92">
        <f>FORMULA!$M258</f>
        <v>0</v>
      </c>
      <c r="FN83" s="92">
        <f>FORMULA!$O258</f>
        <v>0</v>
      </c>
      <c r="FO83" s="92">
        <f>FORMULA!$Q258</f>
        <v>0</v>
      </c>
      <c r="FP83" s="92">
        <f>FORMULA!$S258</f>
        <v>0</v>
      </c>
      <c r="FQ83" s="92">
        <f>FORMULA!$U258</f>
        <v>0</v>
      </c>
      <c r="FR83" s="92">
        <f>FORMULA!$W258</f>
        <v>0</v>
      </c>
      <c r="FS83" s="92">
        <f>FORMULA!$Y258</f>
        <v>0</v>
      </c>
      <c r="FT83" s="92">
        <f>FORMULA!$AA258</f>
        <v>0</v>
      </c>
      <c r="FU83" s="92">
        <f>FORMULA!$AC258</f>
        <v>0</v>
      </c>
      <c r="FV83" s="92">
        <f>FORMULA!$AE258</f>
        <v>0</v>
      </c>
      <c r="FW83" s="94"/>
      <c r="FX83" s="91">
        <f>FORMULA!$C346</f>
        <v>0</v>
      </c>
      <c r="FY83" s="92">
        <f>FORMULA!$E346</f>
        <v>0</v>
      </c>
      <c r="FZ83" s="92">
        <f>FORMULA!$G346</f>
        <v>0</v>
      </c>
      <c r="GA83" s="92">
        <f>FORMULA!$I346</f>
        <v>0</v>
      </c>
      <c r="GB83" s="92">
        <f>FORMULA!$K346</f>
        <v>0</v>
      </c>
      <c r="GC83" s="92">
        <f>FORMULA!$M346</f>
        <v>0</v>
      </c>
      <c r="GD83" s="92">
        <f>FORMULA!$O346</f>
        <v>0</v>
      </c>
      <c r="GE83" s="92">
        <f>FORMULA!$Q346</f>
        <v>0</v>
      </c>
      <c r="GF83" s="92">
        <f>FORMULA!$S346</f>
        <v>0</v>
      </c>
      <c r="GG83" s="92">
        <f>FORMULA!$U346</f>
        <v>0</v>
      </c>
      <c r="GH83" s="92">
        <f>FORMULA!$W346</f>
        <v>0</v>
      </c>
      <c r="GI83" s="92">
        <f>FORMULA!$Y346</f>
        <v>0</v>
      </c>
      <c r="GJ83" s="92">
        <f>FORMULA!$AA346</f>
        <v>0</v>
      </c>
      <c r="GK83" s="92">
        <f>FORMULA!$AC346</f>
        <v>0</v>
      </c>
      <c r="GL83" s="92">
        <f>FORMULA!$AE346</f>
        <v>0</v>
      </c>
      <c r="GM83" s="207"/>
      <c r="GN83" s="91">
        <f>FORMULA!$C434</f>
        <v>0</v>
      </c>
      <c r="GO83" s="92">
        <f>FORMULA!$E434</f>
        <v>0</v>
      </c>
      <c r="GP83" s="92">
        <f>FORMULA!$G434</f>
        <v>0</v>
      </c>
      <c r="GQ83" s="92">
        <f>FORMULA!$I434</f>
        <v>0</v>
      </c>
      <c r="GR83" s="92">
        <f>FORMULA!$K434</f>
        <v>0</v>
      </c>
      <c r="GS83" s="92">
        <f>FORMULA!$M434</f>
        <v>0</v>
      </c>
      <c r="GT83" s="92">
        <f>FORMULA!$O434</f>
        <v>0</v>
      </c>
      <c r="GU83" s="92">
        <f>FORMULA!$Q434</f>
        <v>0</v>
      </c>
      <c r="GV83" s="92">
        <f>FORMULA!$S434</f>
        <v>0</v>
      </c>
      <c r="GW83" s="92">
        <f>FORMULA!$U434</f>
        <v>0</v>
      </c>
      <c r="GX83" s="92">
        <f>FORMULA!$W434</f>
        <v>0</v>
      </c>
      <c r="GY83" s="92">
        <f>FORMULA!$Y434</f>
        <v>0</v>
      </c>
      <c r="GZ83" s="92">
        <f>FORMULA!$AA434</f>
        <v>0</v>
      </c>
      <c r="HA83" s="92">
        <f>FORMULA!$AC434</f>
        <v>0</v>
      </c>
      <c r="HB83" s="92">
        <f>FORMULA!$AE434</f>
        <v>0</v>
      </c>
      <c r="HC83" s="207"/>
      <c r="HD83" s="91">
        <f>FORMULA!$C522</f>
        <v>0</v>
      </c>
      <c r="HE83" s="92">
        <f>FORMULA!$E522</f>
        <v>0</v>
      </c>
      <c r="HF83" s="92">
        <f>FORMULA!$G522</f>
        <v>0</v>
      </c>
      <c r="HG83" s="92">
        <f>FORMULA!$I522</f>
        <v>0</v>
      </c>
      <c r="HH83" s="92">
        <f>FORMULA!$K522</f>
        <v>0</v>
      </c>
      <c r="HI83" s="92">
        <f>FORMULA!$M522</f>
        <v>0</v>
      </c>
      <c r="HJ83" s="92">
        <f>FORMULA!$O522</f>
        <v>0</v>
      </c>
      <c r="HK83" s="92">
        <f>FORMULA!$Q522</f>
        <v>0</v>
      </c>
      <c r="HL83" s="92">
        <f>FORMULA!$S522</f>
        <v>0</v>
      </c>
      <c r="HM83" s="92">
        <f>FORMULA!$U522</f>
        <v>0</v>
      </c>
      <c r="HN83" s="92">
        <f>FORMULA!$W522</f>
        <v>0</v>
      </c>
      <c r="HO83" s="92">
        <f>FORMULA!$Y522</f>
        <v>0</v>
      </c>
      <c r="HP83" s="92">
        <f>FORMULA!$AA522</f>
        <v>0</v>
      </c>
      <c r="HQ83" s="92">
        <f>FORMULA!$AC522</f>
        <v>0</v>
      </c>
      <c r="HR83" s="92">
        <f>FORMULA!$AE522</f>
        <v>0</v>
      </c>
      <c r="HS83" s="207"/>
      <c r="HT83" s="91">
        <f>FORMULA!$C610</f>
        <v>0</v>
      </c>
      <c r="HU83" s="92">
        <f>FORMULA!$E610</f>
        <v>0</v>
      </c>
      <c r="HV83" s="92">
        <f>FORMULA!$G610</f>
        <v>0</v>
      </c>
      <c r="HW83" s="92">
        <f>FORMULA!$I610</f>
        <v>0</v>
      </c>
      <c r="HX83" s="92">
        <f>FORMULA!$K610</f>
        <v>0</v>
      </c>
      <c r="HY83" s="92">
        <f>FORMULA!$M610</f>
        <v>0</v>
      </c>
      <c r="HZ83" s="92">
        <f>FORMULA!$O610</f>
        <v>0</v>
      </c>
      <c r="IA83" s="92">
        <f>FORMULA!$Q610</f>
        <v>0</v>
      </c>
      <c r="IB83" s="92">
        <f>FORMULA!$S610</f>
        <v>0</v>
      </c>
      <c r="IC83" s="92">
        <f>FORMULA!$U610</f>
        <v>0</v>
      </c>
      <c r="ID83" s="92">
        <f>FORMULA!$W610</f>
        <v>0</v>
      </c>
      <c r="IE83" s="92">
        <f>FORMULA!$Y610</f>
        <v>0</v>
      </c>
      <c r="IF83" s="92">
        <f>FORMULA!$AA610</f>
        <v>0</v>
      </c>
      <c r="IG83" s="92">
        <f>FORMULA!$AC610</f>
        <v>0</v>
      </c>
      <c r="IH83" s="92">
        <f>FORMULA!$AE610</f>
        <v>0</v>
      </c>
      <c r="II83" s="207"/>
      <c r="IJ83" s="91">
        <f>FORMULA!$C698</f>
        <v>0</v>
      </c>
      <c r="IK83" s="92">
        <f>FORMULA!$E698</f>
        <v>0</v>
      </c>
      <c r="IL83" s="92">
        <f>FORMULA!$G698</f>
        <v>0</v>
      </c>
      <c r="IM83" s="92">
        <f>FORMULA!$I698</f>
        <v>0</v>
      </c>
      <c r="IN83" s="92">
        <f>FORMULA!$K698</f>
        <v>0</v>
      </c>
      <c r="IO83" s="92">
        <f>FORMULA!$M698</f>
        <v>0</v>
      </c>
      <c r="IP83" s="92">
        <f>FORMULA!$O698</f>
        <v>0</v>
      </c>
      <c r="IQ83" s="92">
        <f>FORMULA!$Q698</f>
        <v>0</v>
      </c>
      <c r="IR83" s="92">
        <f>FORMULA!$S698</f>
        <v>0</v>
      </c>
      <c r="IS83" s="92">
        <f>FORMULA!$U698</f>
        <v>0</v>
      </c>
      <c r="IT83" s="92">
        <f>FORMULA!$W698</f>
        <v>0</v>
      </c>
      <c r="IU83" s="92">
        <f>FORMULA!$Y698</f>
        <v>0</v>
      </c>
      <c r="IV83" s="92">
        <f>FORMULA!$AA698</f>
        <v>0</v>
      </c>
      <c r="IW83" s="92">
        <f>FORMULA!$AC698</f>
        <v>0</v>
      </c>
      <c r="IX83" s="92">
        <f>FORMULA!$AE698</f>
        <v>0</v>
      </c>
      <c r="IY83" s="208"/>
    </row>
    <row r="84" spans="1:278" outlineLevel="1">
      <c r="A84" s="11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  <c r="AB84" s="106"/>
      <c r="AC84" s="106"/>
      <c r="AD84" s="106"/>
      <c r="AE84" s="106"/>
      <c r="AF84" s="106"/>
      <c r="AG84" s="106"/>
      <c r="AH84" s="106"/>
      <c r="AI84" s="106"/>
      <c r="AJ84" s="106"/>
      <c r="AK84" s="106"/>
      <c r="AL84" s="106"/>
      <c r="AM84" s="106"/>
      <c r="AN84" s="106"/>
      <c r="AO84" s="106"/>
      <c r="AP84" s="106"/>
      <c r="AQ84" s="106"/>
      <c r="AR84" s="106"/>
      <c r="AS84" s="106"/>
      <c r="AT84" s="106"/>
      <c r="AU84" s="106"/>
      <c r="AV84" s="106"/>
      <c r="AW84" s="106"/>
      <c r="AX84" s="106"/>
      <c r="AY84" s="106"/>
      <c r="AZ84" s="106"/>
      <c r="BA84" s="106"/>
      <c r="BB84" s="106"/>
      <c r="BC84" s="106"/>
      <c r="BD84" s="106"/>
      <c r="BE84" s="106"/>
      <c r="BF84" s="106"/>
      <c r="BG84" s="106"/>
      <c r="BH84" s="106"/>
      <c r="BI84" s="106"/>
      <c r="BJ84" s="106"/>
      <c r="BK84" s="106"/>
      <c r="BL84" s="106"/>
      <c r="BM84" s="106"/>
      <c r="BN84" s="106"/>
      <c r="BO84" s="106"/>
      <c r="BP84" s="106"/>
      <c r="BQ84" s="106"/>
      <c r="BR84" s="106"/>
      <c r="BS84" s="106"/>
      <c r="BT84" s="106"/>
      <c r="BU84" s="106"/>
      <c r="BV84" s="106"/>
      <c r="BW84" s="106"/>
      <c r="BX84" s="106"/>
      <c r="BY84" s="106"/>
      <c r="BZ84" s="106"/>
      <c r="CA84" s="106"/>
      <c r="CB84" s="106"/>
      <c r="CC84" s="106"/>
      <c r="CD84" s="106"/>
      <c r="CE84" s="106"/>
      <c r="CF84" s="106"/>
      <c r="CG84" s="106"/>
      <c r="CH84" s="106"/>
      <c r="CI84" s="106"/>
      <c r="CJ84" s="106"/>
      <c r="CK84" s="106"/>
      <c r="CL84" s="106"/>
      <c r="CM84" s="106"/>
      <c r="CN84" s="106"/>
      <c r="CO84" s="106"/>
      <c r="CP84" s="106"/>
      <c r="CQ84" s="106"/>
      <c r="CR84" s="106"/>
      <c r="CS84" s="106"/>
      <c r="CT84" s="106"/>
      <c r="CU84" s="106"/>
      <c r="CV84" s="106"/>
      <c r="CW84" s="106"/>
      <c r="CX84" s="106"/>
      <c r="CY84" s="106"/>
      <c r="CZ84" s="106"/>
      <c r="DA84" s="106"/>
      <c r="DB84" s="106"/>
      <c r="DC84" s="106"/>
      <c r="DD84" s="106"/>
      <c r="DE84" s="106"/>
      <c r="DF84" s="106"/>
      <c r="DG84" s="106"/>
      <c r="DH84" s="106"/>
      <c r="DI84" s="106"/>
      <c r="DJ84" s="106"/>
      <c r="DK84" s="106"/>
      <c r="DL84" s="106"/>
      <c r="DM84" s="106"/>
      <c r="DN84" s="106"/>
      <c r="DO84" s="106"/>
      <c r="DP84" s="106"/>
      <c r="DQ84" s="106"/>
      <c r="DR84" s="106"/>
      <c r="DS84" s="106"/>
      <c r="DT84" s="106"/>
      <c r="DU84" s="106"/>
      <c r="DV84" s="106"/>
      <c r="DW84" s="106"/>
      <c r="DX84" s="106"/>
      <c r="DY84" s="106"/>
      <c r="EA84" s="20">
        <f>FORMULA!$A$83</f>
        <v>4</v>
      </c>
      <c r="EB84" s="91">
        <f>FORMULA!$C83</f>
        <v>0</v>
      </c>
      <c r="EC84" s="92">
        <f>FORMULA!$E83</f>
        <v>0</v>
      </c>
      <c r="ED84" s="92">
        <f>FORMULA!$G83</f>
        <v>0</v>
      </c>
      <c r="EE84" s="92">
        <f>FORMULA!$I83</f>
        <v>0</v>
      </c>
      <c r="EF84" s="92">
        <f>FORMULA!$K83</f>
        <v>0</v>
      </c>
      <c r="EG84" s="92">
        <f>FORMULA!$M83</f>
        <v>0</v>
      </c>
      <c r="EH84" s="92">
        <f>FORMULA!$O83</f>
        <v>0</v>
      </c>
      <c r="EI84" s="92">
        <f>FORMULA!$Q83</f>
        <v>0</v>
      </c>
      <c r="EJ84" s="92">
        <f>FORMULA!$S83</f>
        <v>0</v>
      </c>
      <c r="EK84" s="92">
        <f>FORMULA!$U83</f>
        <v>0</v>
      </c>
      <c r="EL84" s="92">
        <f>FORMULA!$W83</f>
        <v>0</v>
      </c>
      <c r="EM84" s="92">
        <f>FORMULA!$Y83</f>
        <v>0</v>
      </c>
      <c r="EN84" s="92">
        <f>FORMULA!$AA83</f>
        <v>0</v>
      </c>
      <c r="EO84" s="92">
        <f>FORMULA!$AC83</f>
        <v>0</v>
      </c>
      <c r="EP84" s="92">
        <f>FORMULA!$AE83</f>
        <v>0</v>
      </c>
      <c r="EQ84" s="108"/>
      <c r="ER84" s="91">
        <f>FORMULA!$C171</f>
        <v>0</v>
      </c>
      <c r="ES84" s="92">
        <f>FORMULA!$E171</f>
        <v>0</v>
      </c>
      <c r="ET84" s="92">
        <f>FORMULA!$G171</f>
        <v>0</v>
      </c>
      <c r="EU84" s="92">
        <f>FORMULA!$I171</f>
        <v>0</v>
      </c>
      <c r="EV84" s="92">
        <f>FORMULA!$K171</f>
        <v>0</v>
      </c>
      <c r="EW84" s="92">
        <f>FORMULA!$M171</f>
        <v>0</v>
      </c>
      <c r="EX84" s="92">
        <f>FORMULA!$O171</f>
        <v>0</v>
      </c>
      <c r="EY84" s="92">
        <f>FORMULA!$Q171</f>
        <v>0</v>
      </c>
      <c r="EZ84" s="92">
        <f>FORMULA!$S171</f>
        <v>0</v>
      </c>
      <c r="FA84" s="92">
        <f>FORMULA!$U171</f>
        <v>0</v>
      </c>
      <c r="FB84" s="92">
        <f>FORMULA!$W171</f>
        <v>0</v>
      </c>
      <c r="FC84" s="92">
        <f>FORMULA!$Y171</f>
        <v>0</v>
      </c>
      <c r="FD84" s="92">
        <f>FORMULA!$AA171</f>
        <v>0</v>
      </c>
      <c r="FE84" s="92">
        <f>FORMULA!$AC171</f>
        <v>0</v>
      </c>
      <c r="FF84" s="92">
        <f>FORMULA!$AE171</f>
        <v>0</v>
      </c>
      <c r="FG84" s="94"/>
      <c r="FH84" s="91">
        <f>FORMULA!$C259</f>
        <v>0</v>
      </c>
      <c r="FI84" s="92">
        <f>FORMULA!$E259</f>
        <v>0</v>
      </c>
      <c r="FJ84" s="92">
        <f>FORMULA!$G259</f>
        <v>0</v>
      </c>
      <c r="FK84" s="92">
        <f>FORMULA!$I259</f>
        <v>0</v>
      </c>
      <c r="FL84" s="92">
        <f>FORMULA!$K259</f>
        <v>0</v>
      </c>
      <c r="FM84" s="92">
        <f>FORMULA!$M259</f>
        <v>0</v>
      </c>
      <c r="FN84" s="92">
        <f>FORMULA!$O259</f>
        <v>0</v>
      </c>
      <c r="FO84" s="92">
        <f>FORMULA!$Q259</f>
        <v>0</v>
      </c>
      <c r="FP84" s="92">
        <f>FORMULA!$S259</f>
        <v>0</v>
      </c>
      <c r="FQ84" s="92">
        <f>FORMULA!$U259</f>
        <v>0</v>
      </c>
      <c r="FR84" s="92">
        <f>FORMULA!$W259</f>
        <v>0</v>
      </c>
      <c r="FS84" s="92">
        <f>FORMULA!$Y259</f>
        <v>0</v>
      </c>
      <c r="FT84" s="92">
        <f>FORMULA!$AA259</f>
        <v>0</v>
      </c>
      <c r="FU84" s="92">
        <f>FORMULA!$AC259</f>
        <v>0</v>
      </c>
      <c r="FV84" s="92">
        <f>FORMULA!$AE259</f>
        <v>0</v>
      </c>
      <c r="FW84" s="94"/>
      <c r="FX84" s="91">
        <f>FORMULA!$C347</f>
        <v>0</v>
      </c>
      <c r="FY84" s="92">
        <f>FORMULA!$E347</f>
        <v>0</v>
      </c>
      <c r="FZ84" s="92">
        <f>FORMULA!$G347</f>
        <v>0</v>
      </c>
      <c r="GA84" s="92">
        <f>FORMULA!$I347</f>
        <v>0</v>
      </c>
      <c r="GB84" s="92">
        <f>FORMULA!$K347</f>
        <v>0</v>
      </c>
      <c r="GC84" s="92">
        <f>FORMULA!$M347</f>
        <v>0</v>
      </c>
      <c r="GD84" s="92">
        <f>FORMULA!$O347</f>
        <v>0</v>
      </c>
      <c r="GE84" s="92">
        <f>FORMULA!$Q347</f>
        <v>0</v>
      </c>
      <c r="GF84" s="92">
        <f>FORMULA!$S347</f>
        <v>0</v>
      </c>
      <c r="GG84" s="92">
        <f>FORMULA!$U347</f>
        <v>0</v>
      </c>
      <c r="GH84" s="92">
        <f>FORMULA!$W347</f>
        <v>0</v>
      </c>
      <c r="GI84" s="92">
        <f>FORMULA!$Y347</f>
        <v>0</v>
      </c>
      <c r="GJ84" s="92">
        <f>FORMULA!$AA347</f>
        <v>0</v>
      </c>
      <c r="GK84" s="92">
        <f>FORMULA!$AC347</f>
        <v>0</v>
      </c>
      <c r="GL84" s="92">
        <f>FORMULA!$AE347</f>
        <v>0</v>
      </c>
      <c r="GM84" s="207"/>
      <c r="GN84" s="91">
        <f>FORMULA!$C435</f>
        <v>0</v>
      </c>
      <c r="GO84" s="92">
        <f>FORMULA!$E435</f>
        <v>0</v>
      </c>
      <c r="GP84" s="92">
        <f>FORMULA!$G435</f>
        <v>0</v>
      </c>
      <c r="GQ84" s="92">
        <f>FORMULA!$I435</f>
        <v>0</v>
      </c>
      <c r="GR84" s="92">
        <f>FORMULA!$K435</f>
        <v>0</v>
      </c>
      <c r="GS84" s="92">
        <f>FORMULA!$M435</f>
        <v>0</v>
      </c>
      <c r="GT84" s="92">
        <f>FORMULA!$O435</f>
        <v>0</v>
      </c>
      <c r="GU84" s="92">
        <f>FORMULA!$Q435</f>
        <v>0</v>
      </c>
      <c r="GV84" s="92">
        <f>FORMULA!$S435</f>
        <v>0</v>
      </c>
      <c r="GW84" s="92">
        <f>FORMULA!$U435</f>
        <v>0</v>
      </c>
      <c r="GX84" s="92">
        <f>FORMULA!$W435</f>
        <v>0</v>
      </c>
      <c r="GY84" s="92">
        <f>FORMULA!$Y435</f>
        <v>0</v>
      </c>
      <c r="GZ84" s="92">
        <f>FORMULA!$AA435</f>
        <v>0</v>
      </c>
      <c r="HA84" s="92">
        <f>FORMULA!$AC435</f>
        <v>0</v>
      </c>
      <c r="HB84" s="92">
        <f>FORMULA!$AE435</f>
        <v>0</v>
      </c>
      <c r="HC84" s="207"/>
      <c r="HD84" s="91">
        <f>FORMULA!$C523</f>
        <v>0</v>
      </c>
      <c r="HE84" s="92">
        <f>FORMULA!$E523</f>
        <v>0</v>
      </c>
      <c r="HF84" s="92">
        <f>FORMULA!$G523</f>
        <v>0</v>
      </c>
      <c r="HG84" s="92">
        <f>FORMULA!$I523</f>
        <v>0</v>
      </c>
      <c r="HH84" s="92">
        <f>FORMULA!$K523</f>
        <v>0</v>
      </c>
      <c r="HI84" s="92">
        <f>FORMULA!$M523</f>
        <v>0</v>
      </c>
      <c r="HJ84" s="92">
        <f>FORMULA!$O523</f>
        <v>0</v>
      </c>
      <c r="HK84" s="92">
        <f>FORMULA!$Q523</f>
        <v>0</v>
      </c>
      <c r="HL84" s="92">
        <f>FORMULA!$S523</f>
        <v>0</v>
      </c>
      <c r="HM84" s="92">
        <f>FORMULA!$U523</f>
        <v>0</v>
      </c>
      <c r="HN84" s="92">
        <f>FORMULA!$W523</f>
        <v>0</v>
      </c>
      <c r="HO84" s="92">
        <f>FORMULA!$Y523</f>
        <v>0</v>
      </c>
      <c r="HP84" s="92">
        <f>FORMULA!$AA523</f>
        <v>0</v>
      </c>
      <c r="HQ84" s="92">
        <f>FORMULA!$AC523</f>
        <v>0</v>
      </c>
      <c r="HR84" s="92">
        <f>FORMULA!$AE523</f>
        <v>0</v>
      </c>
      <c r="HS84" s="207"/>
      <c r="HT84" s="91">
        <f>FORMULA!$C611</f>
        <v>0</v>
      </c>
      <c r="HU84" s="92">
        <f>FORMULA!$E611</f>
        <v>0</v>
      </c>
      <c r="HV84" s="92">
        <f>FORMULA!$G611</f>
        <v>0</v>
      </c>
      <c r="HW84" s="92">
        <f>FORMULA!$I611</f>
        <v>0</v>
      </c>
      <c r="HX84" s="92">
        <f>FORMULA!$K611</f>
        <v>0</v>
      </c>
      <c r="HY84" s="92">
        <f>FORMULA!$M611</f>
        <v>0</v>
      </c>
      <c r="HZ84" s="92">
        <f>FORMULA!$O611</f>
        <v>0</v>
      </c>
      <c r="IA84" s="92">
        <f>FORMULA!$Q611</f>
        <v>0</v>
      </c>
      <c r="IB84" s="92">
        <f>FORMULA!$S611</f>
        <v>0</v>
      </c>
      <c r="IC84" s="92">
        <f>FORMULA!$U611</f>
        <v>0</v>
      </c>
      <c r="ID84" s="92">
        <f>FORMULA!$W611</f>
        <v>0</v>
      </c>
      <c r="IE84" s="92">
        <f>FORMULA!$Y611</f>
        <v>0</v>
      </c>
      <c r="IF84" s="92">
        <f>FORMULA!$AA611</f>
        <v>0</v>
      </c>
      <c r="IG84" s="92">
        <f>FORMULA!$AC611</f>
        <v>0</v>
      </c>
      <c r="IH84" s="92">
        <f>FORMULA!$AE611</f>
        <v>0</v>
      </c>
      <c r="II84" s="207"/>
      <c r="IJ84" s="91">
        <f>FORMULA!$C699</f>
        <v>0</v>
      </c>
      <c r="IK84" s="92">
        <f>FORMULA!$E699</f>
        <v>0</v>
      </c>
      <c r="IL84" s="92">
        <f>FORMULA!$G699</f>
        <v>0</v>
      </c>
      <c r="IM84" s="92">
        <f>FORMULA!$I699</f>
        <v>0</v>
      </c>
      <c r="IN84" s="92">
        <f>FORMULA!$K699</f>
        <v>0</v>
      </c>
      <c r="IO84" s="92">
        <f>FORMULA!$M699</f>
        <v>0</v>
      </c>
      <c r="IP84" s="92">
        <f>FORMULA!$O699</f>
        <v>0</v>
      </c>
      <c r="IQ84" s="92">
        <f>FORMULA!$Q699</f>
        <v>0</v>
      </c>
      <c r="IR84" s="92">
        <f>FORMULA!$S699</f>
        <v>0</v>
      </c>
      <c r="IS84" s="92">
        <f>FORMULA!$U699</f>
        <v>0</v>
      </c>
      <c r="IT84" s="92">
        <f>FORMULA!$W699</f>
        <v>0</v>
      </c>
      <c r="IU84" s="92">
        <f>FORMULA!$Y699</f>
        <v>0</v>
      </c>
      <c r="IV84" s="92">
        <f>FORMULA!$AA699</f>
        <v>0</v>
      </c>
      <c r="IW84" s="92">
        <f>FORMULA!$AC699</f>
        <v>0</v>
      </c>
      <c r="IX84" s="92">
        <f>FORMULA!$AE699</f>
        <v>0</v>
      </c>
      <c r="IY84" s="208"/>
      <c r="IZ84" s="95"/>
      <c r="JA84" s="95"/>
      <c r="JB84" s="95"/>
      <c r="JC84" s="95"/>
      <c r="JD84" s="95"/>
      <c r="JE84" s="95"/>
      <c r="JF84" s="95"/>
      <c r="JG84" s="95"/>
      <c r="JH84" s="95"/>
      <c r="JI84" s="95"/>
      <c r="JJ84" s="95"/>
      <c r="JK84" s="95"/>
      <c r="JL84" s="95"/>
      <c r="JM84" s="95"/>
      <c r="JN84" s="95"/>
      <c r="JO84" s="95"/>
      <c r="JP84" s="95"/>
      <c r="JQ84" s="95"/>
      <c r="JR84" s="95"/>
    </row>
    <row r="85" spans="1:278" s="115" customFormat="1" ht="30.75" customHeight="1" thickBot="1">
      <c r="B85" s="256" t="str">
        <f>FORMULA!$B$3</f>
        <v>WS 1101 (251124)</v>
      </c>
      <c r="C85" s="256" t="str">
        <f>FORMULA!$D$3</f>
        <v>WS 1101 (220526)</v>
      </c>
      <c r="D85" s="256">
        <f>FORMULA!$F$3</f>
        <v>0</v>
      </c>
      <c r="E85" s="256">
        <f>FORMULA!$H$3</f>
        <v>0</v>
      </c>
      <c r="F85" s="256">
        <f>FORMULA!$J$3</f>
        <v>0</v>
      </c>
      <c r="G85" s="111">
        <f>FORMULA!$L$3</f>
        <v>0</v>
      </c>
      <c r="H85" s="111">
        <f>FORMULA!$N$3</f>
        <v>0</v>
      </c>
      <c r="I85" s="111">
        <f>FORMULA!$P$3</f>
        <v>0</v>
      </c>
      <c r="J85" s="111">
        <f>FORMULA!$R$3</f>
        <v>0</v>
      </c>
      <c r="K85" s="111">
        <f>FORMULA!$T$3</f>
        <v>0</v>
      </c>
      <c r="L85" s="111">
        <f>FORMULA!$V$3</f>
        <v>0</v>
      </c>
      <c r="M85" s="111">
        <f>FORMULA!$X$3</f>
        <v>0</v>
      </c>
      <c r="N85" s="111">
        <f>FORMULA!$Z$3</f>
        <v>0</v>
      </c>
      <c r="O85" s="111">
        <f>FORMULA!$AB$3</f>
        <v>0</v>
      </c>
      <c r="P85" s="111">
        <f>FORMULA!$AD$3</f>
        <v>0</v>
      </c>
      <c r="Q85" s="111"/>
      <c r="R85" s="256" t="str">
        <f>FORMULA!$B$91</f>
        <v>WS 1102 (290825)</v>
      </c>
      <c r="S85" s="256">
        <f>FORMULA!$D$91</f>
        <v>0</v>
      </c>
      <c r="T85" s="256">
        <f>FORMULA!$F$91</f>
        <v>0</v>
      </c>
      <c r="U85" s="256">
        <f>FORMULA!$H$91</f>
        <v>0</v>
      </c>
      <c r="V85" s="256">
        <f>FORMULA!$J$91</f>
        <v>0</v>
      </c>
      <c r="W85" s="256">
        <f>FORMULA!$L$91</f>
        <v>0</v>
      </c>
      <c r="X85" s="256">
        <f>FORMULA!$N$91</f>
        <v>0</v>
      </c>
      <c r="Y85" s="256">
        <f>FORMULA!$P$91</f>
        <v>0</v>
      </c>
      <c r="Z85" s="256">
        <f>FORMULA!$R$91</f>
        <v>0</v>
      </c>
      <c r="AA85" s="256">
        <f>FORMULA!$T$91</f>
        <v>0</v>
      </c>
      <c r="AB85" s="256">
        <f>FORMULA!$V$91</f>
        <v>0</v>
      </c>
      <c r="AC85" s="256">
        <f>FORMULA!$X$91</f>
        <v>0</v>
      </c>
      <c r="AD85" s="111">
        <f>FORMULA!$Z$91</f>
        <v>0</v>
      </c>
      <c r="AE85" s="111">
        <f>FORMULA!$AB$91</f>
        <v>0</v>
      </c>
      <c r="AF85" s="111">
        <f>FORMULA!$AD$91</f>
        <v>0</v>
      </c>
      <c r="AG85" s="111"/>
      <c r="AH85" s="256" t="str">
        <f>FORMULA!$B$179</f>
        <v>WS 1103 (290825)</v>
      </c>
      <c r="AI85" s="256" t="str">
        <f>FORMULA!$D$179</f>
        <v>WS 1103 (220526)</v>
      </c>
      <c r="AJ85" s="256">
        <f>FORMULA!$F$179</f>
        <v>0</v>
      </c>
      <c r="AK85" s="256">
        <f>FORMULA!$H$179</f>
        <v>0</v>
      </c>
      <c r="AL85" s="256">
        <f>FORMULA!$J$179</f>
        <v>0</v>
      </c>
      <c r="AM85" s="256">
        <f>FORMULA!$L$179</f>
        <v>0</v>
      </c>
      <c r="AN85" s="256">
        <f>FORMULA!$N$179</f>
        <v>0</v>
      </c>
      <c r="AO85" s="256">
        <f>FORMULA!$P$179</f>
        <v>0</v>
      </c>
      <c r="AP85" s="256">
        <f>FORMULA!$R$179</f>
        <v>0</v>
      </c>
      <c r="AQ85" s="256">
        <f>FORMULA!$T$179</f>
        <v>0</v>
      </c>
      <c r="AR85" s="256">
        <f>FORMULA!$V$179</f>
        <v>0</v>
      </c>
      <c r="AS85" s="256">
        <f>FORMULA!$X$179</f>
        <v>0</v>
      </c>
      <c r="AT85" s="111">
        <f>FORMULA!$Z$179</f>
        <v>0</v>
      </c>
      <c r="AU85" s="111">
        <f>FORMULA!$AB$179</f>
        <v>0</v>
      </c>
      <c r="AV85" s="111">
        <f>FORMULA!$AD$179</f>
        <v>0</v>
      </c>
      <c r="AW85" s="111"/>
      <c r="AX85" s="111">
        <f>FORMULA!$B$267</f>
        <v>0</v>
      </c>
      <c r="AY85" s="111">
        <f>FORMULA!$D$267</f>
        <v>0</v>
      </c>
      <c r="AZ85" s="111">
        <f>FORMULA!$F$267</f>
        <v>0</v>
      </c>
      <c r="BA85" s="111">
        <f>FORMULA!$H$267</f>
        <v>0</v>
      </c>
      <c r="BB85" s="111">
        <f>FORMULA!$J$267</f>
        <v>0</v>
      </c>
      <c r="BC85" s="111">
        <f>FORMULA!$L$267</f>
        <v>0</v>
      </c>
      <c r="BD85" s="111">
        <f>FORMULA!$N$267</f>
        <v>0</v>
      </c>
      <c r="BE85" s="111">
        <f>FORMULA!$P$267</f>
        <v>0</v>
      </c>
      <c r="BF85" s="111">
        <f>FORMULA!$R$267</f>
        <v>0</v>
      </c>
      <c r="BG85" s="111">
        <f>FORMULA!$T$267</f>
        <v>0</v>
      </c>
      <c r="BH85" s="111">
        <f>FORMULA!$V$267</f>
        <v>0</v>
      </c>
      <c r="BI85" s="111">
        <f>FORMULA!$X$267</f>
        <v>0</v>
      </c>
      <c r="BJ85" s="111">
        <f>FORMULA!$Z$267</f>
        <v>0</v>
      </c>
      <c r="BK85" s="111">
        <f>FORMULA!$AB$267</f>
        <v>0</v>
      </c>
      <c r="BL85" s="111">
        <f>FORMULA!$AD$267</f>
        <v>0</v>
      </c>
      <c r="BM85" s="111"/>
      <c r="BN85" s="256" t="str">
        <f>FORMULA!$B$355</f>
        <v>WS 8100 (290825)</v>
      </c>
      <c r="BO85" s="111" t="str">
        <f>FORMULA!$D$355</f>
        <v>WS 8100 (280426)</v>
      </c>
      <c r="BP85" s="111">
        <f>FORMULA!$F$355</f>
        <v>0</v>
      </c>
      <c r="BQ85" s="256" t="str">
        <f>FORMULA!$H$355</f>
        <v>WS 8102 (290825)</v>
      </c>
      <c r="BR85" s="256" t="str">
        <f>FORMULA!$J$355</f>
        <v>WS 8102 (121225)</v>
      </c>
      <c r="BS85" s="256" t="str">
        <f>FORMULA!$L$355</f>
        <v>WS 8102 (020326)</v>
      </c>
      <c r="BT85" s="256" t="str">
        <f>FORMULA!$N$355</f>
        <v>WS 8102 (020326)</v>
      </c>
      <c r="BU85" s="256" t="str">
        <f>FORMULA!$P$355</f>
        <v>WS 8102 (060526)</v>
      </c>
      <c r="BV85" s="256" t="str">
        <f>FORMULA!$R$355</f>
        <v>WS 8102 (060526)</v>
      </c>
      <c r="BW85" s="256" t="str">
        <f>FORMULA!$T$355</f>
        <v>WS 8103 (070526)</v>
      </c>
      <c r="BX85" s="256" t="str">
        <f>FORMULA!$V$355</f>
        <v>WS 8102 (070526)</v>
      </c>
      <c r="BY85" s="256" t="str">
        <f>FORMULA!$X$355</f>
        <v>WS 8103 (061125)</v>
      </c>
      <c r="BZ85" s="256" t="str">
        <f>FORMULA!$Z$355</f>
        <v>WS 8103 (250226)</v>
      </c>
      <c r="CA85" s="256" t="str">
        <f>FORMULA!$AB$355</f>
        <v>WS 8102 (080526)</v>
      </c>
      <c r="CB85" s="256" t="str">
        <f>FORMULA!$AD$355</f>
        <v>WS 8109 (080526)</v>
      </c>
      <c r="CC85" s="256"/>
      <c r="CD85" s="256" t="str">
        <f>FORMULA!$B$443</f>
        <v>YH 121 (050226)</v>
      </c>
      <c r="CE85" s="111" t="str">
        <f>FORMULA!$D$443</f>
        <v>YH 121 (190326)</v>
      </c>
      <c r="CF85" s="111" t="str">
        <f>FORMULA!$F$443</f>
        <v>YH 121 (020426)</v>
      </c>
      <c r="CG85" s="111">
        <f>FORMULA!$H$443</f>
        <v>0</v>
      </c>
      <c r="CH85" s="111">
        <f>FORMULA!$J$443</f>
        <v>0</v>
      </c>
      <c r="CI85" s="111">
        <f>FORMULA!$L$443</f>
        <v>0</v>
      </c>
      <c r="CJ85" s="111">
        <f>FORMULA!$N$443</f>
        <v>0</v>
      </c>
      <c r="CK85" s="111">
        <f>FORMULA!$P$443</f>
        <v>0</v>
      </c>
      <c r="CL85" s="111">
        <f>FORMULA!$R$443</f>
        <v>0</v>
      </c>
      <c r="CM85" s="111" t="str">
        <f>FORMULA!$T$443</f>
        <v>311 (130526)</v>
      </c>
      <c r="CN85" s="111" t="str">
        <f>FORMULA!$V$443</f>
        <v>312 (130526)</v>
      </c>
      <c r="CO85" s="111">
        <f>FORMULA!$X$443</f>
        <v>0</v>
      </c>
      <c r="CP85" s="111">
        <f>FORMULA!$Z$443</f>
        <v>0</v>
      </c>
      <c r="CQ85" s="111">
        <f>FORMULA!$AB$443</f>
        <v>0</v>
      </c>
      <c r="CR85" s="111">
        <f>FORMULA!$AD$443</f>
        <v>0</v>
      </c>
      <c r="CS85" s="111"/>
      <c r="CT85" s="256" t="str">
        <f>FORMULA!$B$531</f>
        <v>YH 122 (050226)</v>
      </c>
      <c r="CU85" s="111" t="str">
        <f>FORMULA!$D$531</f>
        <v>YH 122 (190326)</v>
      </c>
      <c r="CV85" s="111" t="str">
        <f>FORMULA!$F$531</f>
        <v>YH 122 (200426)</v>
      </c>
      <c r="CW85" s="111">
        <f>FORMULA!$H$531</f>
        <v>0</v>
      </c>
      <c r="CX85" s="111">
        <f>FORMULA!$J$531</f>
        <v>0</v>
      </c>
      <c r="CY85" s="111">
        <f>FORMULA!$L$531</f>
        <v>0</v>
      </c>
      <c r="CZ85" s="111" t="str">
        <f>FORMULA!$N$531</f>
        <v>5201 (090426)</v>
      </c>
      <c r="DA85" s="111" t="str">
        <f>FORMULA!$P$531</f>
        <v>5201 (090426)</v>
      </c>
      <c r="DB85" s="111">
        <f>FORMULA!$R$531</f>
        <v>0</v>
      </c>
      <c r="DC85" s="111" t="str">
        <f>FORMULA!$T$531</f>
        <v>5202 (090426)</v>
      </c>
      <c r="DD85" s="111" t="str">
        <f>FORMULA!$V$531</f>
        <v>5202 (090426)</v>
      </c>
      <c r="DE85" s="111">
        <f>FORMULA!$X$531</f>
        <v>0</v>
      </c>
      <c r="DF85" s="111" t="str">
        <f>FORMULA!$Z$531</f>
        <v>5203 (090426)</v>
      </c>
      <c r="DG85" s="111" t="str">
        <f>FORMULA!$AB$531</f>
        <v>5203 (090426)</v>
      </c>
      <c r="DH85" s="111">
        <f>FORMULA!$AD$531</f>
        <v>0</v>
      </c>
      <c r="DI85" s="111"/>
      <c r="DJ85" s="256" t="str">
        <f>FORMULA!$B$619</f>
        <v>YH 123 (050226)</v>
      </c>
      <c r="DK85" s="111" t="str">
        <f>FORMULA!$D$619</f>
        <v>YH 123 (130326)</v>
      </c>
      <c r="DL85" s="111" t="str">
        <f>FORMULA!$F$619</f>
        <v>YH 123 (190326)</v>
      </c>
      <c r="DM85" s="111" t="str">
        <f>FORMULA!$H$619</f>
        <v>YH 123 (200426)</v>
      </c>
      <c r="DN85" s="111">
        <f>FORMULA!$J$619</f>
        <v>0</v>
      </c>
      <c r="DO85" s="111">
        <f>FORMULA!$L$619</f>
        <v>0</v>
      </c>
      <c r="DP85" s="111">
        <f>FORMULA!$N$619</f>
        <v>0</v>
      </c>
      <c r="DQ85" s="111">
        <f>FORMULA!$P$619</f>
        <v>0</v>
      </c>
      <c r="DR85" s="111">
        <f>FORMULA!$R$619</f>
        <v>0</v>
      </c>
      <c r="DS85" s="111">
        <f>FORMULA!$T$619</f>
        <v>0</v>
      </c>
      <c r="DT85" s="111">
        <f>FORMULA!$V$619</f>
        <v>0</v>
      </c>
      <c r="DU85" s="111">
        <f>FORMULA!$X$619</f>
        <v>0</v>
      </c>
      <c r="DV85" s="111">
        <f>FORMULA!$Z$619</f>
        <v>0</v>
      </c>
      <c r="DW85" s="111">
        <f>FORMULA!$AB$619</f>
        <v>0</v>
      </c>
      <c r="DX85" s="111">
        <f>FORMULA!$AD$619</f>
        <v>0</v>
      </c>
      <c r="DY85" s="111"/>
      <c r="EA85" s="20">
        <f>FORMULA!$A$84</f>
        <v>5</v>
      </c>
      <c r="EB85" s="91">
        <f>FORMULA!$C84</f>
        <v>0</v>
      </c>
      <c r="EC85" s="92">
        <f>FORMULA!$E84</f>
        <v>0</v>
      </c>
      <c r="ED85" s="92">
        <f>FORMULA!$G84</f>
        <v>0</v>
      </c>
      <c r="EE85" s="92">
        <f>FORMULA!$I84</f>
        <v>0</v>
      </c>
      <c r="EF85" s="92">
        <f>FORMULA!$K84</f>
        <v>0</v>
      </c>
      <c r="EG85" s="92">
        <f>FORMULA!$M84</f>
        <v>0</v>
      </c>
      <c r="EH85" s="92">
        <f>FORMULA!$O84</f>
        <v>0</v>
      </c>
      <c r="EI85" s="92">
        <f>FORMULA!$Q84</f>
        <v>0</v>
      </c>
      <c r="EJ85" s="92">
        <f>FORMULA!$S84</f>
        <v>0</v>
      </c>
      <c r="EK85" s="92">
        <f>FORMULA!$U84</f>
        <v>0</v>
      </c>
      <c r="EL85" s="92">
        <f>FORMULA!$W84</f>
        <v>0</v>
      </c>
      <c r="EM85" s="92">
        <f>FORMULA!$Y84</f>
        <v>0</v>
      </c>
      <c r="EN85" s="92">
        <f>FORMULA!$AA84</f>
        <v>0</v>
      </c>
      <c r="EO85" s="92">
        <f>FORMULA!$AC84</f>
        <v>0</v>
      </c>
      <c r="EP85" s="92">
        <f>FORMULA!$AE84</f>
        <v>0</v>
      </c>
      <c r="EQ85" s="108"/>
      <c r="ER85" s="91">
        <f>FORMULA!$C172</f>
        <v>0</v>
      </c>
      <c r="ES85" s="92">
        <f>FORMULA!$E172</f>
        <v>0</v>
      </c>
      <c r="ET85" s="92">
        <f>FORMULA!$G172</f>
        <v>0</v>
      </c>
      <c r="EU85" s="92">
        <f>FORMULA!$I172</f>
        <v>0</v>
      </c>
      <c r="EV85" s="92">
        <f>FORMULA!$K172</f>
        <v>0</v>
      </c>
      <c r="EW85" s="92">
        <f>FORMULA!$M172</f>
        <v>0</v>
      </c>
      <c r="EX85" s="92">
        <f>FORMULA!$O172</f>
        <v>0</v>
      </c>
      <c r="EY85" s="92">
        <f>FORMULA!$Q172</f>
        <v>0</v>
      </c>
      <c r="EZ85" s="92">
        <f>FORMULA!$S172</f>
        <v>0</v>
      </c>
      <c r="FA85" s="92">
        <f>FORMULA!$U172</f>
        <v>0</v>
      </c>
      <c r="FB85" s="92">
        <f>FORMULA!$W172</f>
        <v>0</v>
      </c>
      <c r="FC85" s="92">
        <f>FORMULA!$Y172</f>
        <v>0</v>
      </c>
      <c r="FD85" s="92">
        <f>FORMULA!$AA172</f>
        <v>0</v>
      </c>
      <c r="FE85" s="92">
        <f>FORMULA!$AC172</f>
        <v>0</v>
      </c>
      <c r="FF85" s="92">
        <f>FORMULA!$AE172</f>
        <v>0</v>
      </c>
      <c r="FG85" s="94"/>
      <c r="FH85" s="91">
        <f>FORMULA!$C260</f>
        <v>0</v>
      </c>
      <c r="FI85" s="92">
        <f>FORMULA!$E260</f>
        <v>0</v>
      </c>
      <c r="FJ85" s="92">
        <f>FORMULA!$G260</f>
        <v>0</v>
      </c>
      <c r="FK85" s="92">
        <f>FORMULA!$I260</f>
        <v>0</v>
      </c>
      <c r="FL85" s="92">
        <f>FORMULA!$K260</f>
        <v>0</v>
      </c>
      <c r="FM85" s="92">
        <f>FORMULA!$M260</f>
        <v>0</v>
      </c>
      <c r="FN85" s="92">
        <f>FORMULA!$O260</f>
        <v>0</v>
      </c>
      <c r="FO85" s="92">
        <f>FORMULA!$Q260</f>
        <v>0</v>
      </c>
      <c r="FP85" s="92">
        <f>FORMULA!$S260</f>
        <v>0</v>
      </c>
      <c r="FQ85" s="92">
        <f>FORMULA!$U260</f>
        <v>0</v>
      </c>
      <c r="FR85" s="92">
        <f>FORMULA!$W260</f>
        <v>0</v>
      </c>
      <c r="FS85" s="92">
        <f>FORMULA!$Y260</f>
        <v>0</v>
      </c>
      <c r="FT85" s="92">
        <f>FORMULA!$AA260</f>
        <v>0</v>
      </c>
      <c r="FU85" s="92">
        <f>FORMULA!$AC260</f>
        <v>0</v>
      </c>
      <c r="FV85" s="92">
        <f>FORMULA!$AE260</f>
        <v>0</v>
      </c>
      <c r="FW85" s="94"/>
      <c r="FX85" s="91">
        <f>FORMULA!$C348</f>
        <v>0</v>
      </c>
      <c r="FY85" s="92">
        <f>FORMULA!$E348</f>
        <v>0</v>
      </c>
      <c r="FZ85" s="92">
        <f>FORMULA!$G348</f>
        <v>0</v>
      </c>
      <c r="GA85" s="92">
        <f>FORMULA!$I348</f>
        <v>0</v>
      </c>
      <c r="GB85" s="92">
        <f>FORMULA!$K348</f>
        <v>0</v>
      </c>
      <c r="GC85" s="92">
        <f>FORMULA!$M348</f>
        <v>0</v>
      </c>
      <c r="GD85" s="92">
        <f>FORMULA!$O348</f>
        <v>0</v>
      </c>
      <c r="GE85" s="92">
        <f>FORMULA!$Q348</f>
        <v>0</v>
      </c>
      <c r="GF85" s="92">
        <f>FORMULA!$S348</f>
        <v>0</v>
      </c>
      <c r="GG85" s="92">
        <f>FORMULA!$U348</f>
        <v>0</v>
      </c>
      <c r="GH85" s="92">
        <f>FORMULA!$W348</f>
        <v>0</v>
      </c>
      <c r="GI85" s="92">
        <f>FORMULA!$Y348</f>
        <v>0</v>
      </c>
      <c r="GJ85" s="92">
        <f>FORMULA!$AA348</f>
        <v>0</v>
      </c>
      <c r="GK85" s="92">
        <f>FORMULA!$AC348</f>
        <v>0</v>
      </c>
      <c r="GL85" s="92">
        <f>FORMULA!$AE348</f>
        <v>0</v>
      </c>
      <c r="GM85" s="207"/>
      <c r="GN85" s="91">
        <f>FORMULA!$C436</f>
        <v>0</v>
      </c>
      <c r="GO85" s="92">
        <f>FORMULA!$E436</f>
        <v>0</v>
      </c>
      <c r="GP85" s="92">
        <f>FORMULA!$G436</f>
        <v>0</v>
      </c>
      <c r="GQ85" s="92">
        <f>FORMULA!$I436</f>
        <v>0</v>
      </c>
      <c r="GR85" s="92">
        <f>FORMULA!$K436</f>
        <v>0</v>
      </c>
      <c r="GS85" s="92">
        <f>FORMULA!$M436</f>
        <v>0</v>
      </c>
      <c r="GT85" s="92">
        <f>FORMULA!$O436</f>
        <v>0</v>
      </c>
      <c r="GU85" s="92">
        <f>FORMULA!$Q436</f>
        <v>0</v>
      </c>
      <c r="GV85" s="92">
        <f>FORMULA!$S436</f>
        <v>0</v>
      </c>
      <c r="GW85" s="92">
        <f>FORMULA!$U436</f>
        <v>0</v>
      </c>
      <c r="GX85" s="92">
        <f>FORMULA!$W436</f>
        <v>0</v>
      </c>
      <c r="GY85" s="92">
        <f>FORMULA!$Y436</f>
        <v>0</v>
      </c>
      <c r="GZ85" s="92">
        <f>FORMULA!$AA436</f>
        <v>0</v>
      </c>
      <c r="HA85" s="92">
        <f>FORMULA!$AC436</f>
        <v>0</v>
      </c>
      <c r="HB85" s="92">
        <f>FORMULA!$AE436</f>
        <v>0</v>
      </c>
      <c r="HC85" s="207"/>
      <c r="HD85" s="91">
        <f>FORMULA!$C524</f>
        <v>0</v>
      </c>
      <c r="HE85" s="92">
        <f>FORMULA!$E524</f>
        <v>0</v>
      </c>
      <c r="HF85" s="92">
        <f>FORMULA!$G524</f>
        <v>0</v>
      </c>
      <c r="HG85" s="92">
        <f>FORMULA!$I524</f>
        <v>0</v>
      </c>
      <c r="HH85" s="92">
        <f>FORMULA!$K524</f>
        <v>0</v>
      </c>
      <c r="HI85" s="92">
        <f>FORMULA!$M524</f>
        <v>0</v>
      </c>
      <c r="HJ85" s="92">
        <f>FORMULA!$O524</f>
        <v>0</v>
      </c>
      <c r="HK85" s="92">
        <f>FORMULA!$Q524</f>
        <v>0</v>
      </c>
      <c r="HL85" s="92">
        <f>FORMULA!$S524</f>
        <v>0</v>
      </c>
      <c r="HM85" s="92">
        <f>FORMULA!$U524</f>
        <v>0</v>
      </c>
      <c r="HN85" s="92">
        <f>FORMULA!$W524</f>
        <v>0</v>
      </c>
      <c r="HO85" s="92">
        <f>FORMULA!$Y524</f>
        <v>0</v>
      </c>
      <c r="HP85" s="92">
        <f>FORMULA!$AA524</f>
        <v>0</v>
      </c>
      <c r="HQ85" s="92">
        <f>FORMULA!$AC524</f>
        <v>0</v>
      </c>
      <c r="HR85" s="92">
        <f>FORMULA!$AE524</f>
        <v>0</v>
      </c>
      <c r="HS85" s="207"/>
      <c r="HT85" s="91">
        <f>FORMULA!$C612</f>
        <v>0</v>
      </c>
      <c r="HU85" s="92">
        <f>FORMULA!$E612</f>
        <v>0</v>
      </c>
      <c r="HV85" s="92">
        <f>FORMULA!$G612</f>
        <v>0</v>
      </c>
      <c r="HW85" s="92">
        <f>FORMULA!$I612</f>
        <v>0</v>
      </c>
      <c r="HX85" s="92">
        <f>FORMULA!$K612</f>
        <v>0</v>
      </c>
      <c r="HY85" s="92">
        <f>FORMULA!$M612</f>
        <v>0</v>
      </c>
      <c r="HZ85" s="92">
        <f>FORMULA!$O612</f>
        <v>0</v>
      </c>
      <c r="IA85" s="92">
        <f>FORMULA!$Q612</f>
        <v>0</v>
      </c>
      <c r="IB85" s="92">
        <f>FORMULA!$S612</f>
        <v>0</v>
      </c>
      <c r="IC85" s="92">
        <f>FORMULA!$U612</f>
        <v>0</v>
      </c>
      <c r="ID85" s="92">
        <f>FORMULA!$W612</f>
        <v>0</v>
      </c>
      <c r="IE85" s="92">
        <f>FORMULA!$Y612</f>
        <v>0</v>
      </c>
      <c r="IF85" s="92">
        <f>FORMULA!$AA612</f>
        <v>0</v>
      </c>
      <c r="IG85" s="92">
        <f>FORMULA!$AC612</f>
        <v>0</v>
      </c>
      <c r="IH85" s="92">
        <f>FORMULA!$AE612</f>
        <v>0</v>
      </c>
      <c r="II85" s="207"/>
      <c r="IJ85" s="91">
        <f>FORMULA!$C700</f>
        <v>0</v>
      </c>
      <c r="IK85" s="92">
        <f>FORMULA!$E700</f>
        <v>0</v>
      </c>
      <c r="IL85" s="92">
        <f>FORMULA!$G700</f>
        <v>0</v>
      </c>
      <c r="IM85" s="92">
        <f>FORMULA!$I700</f>
        <v>0</v>
      </c>
      <c r="IN85" s="92">
        <f>FORMULA!$K700</f>
        <v>0</v>
      </c>
      <c r="IO85" s="92">
        <f>FORMULA!$M700</f>
        <v>0</v>
      </c>
      <c r="IP85" s="92">
        <f>FORMULA!$O700</f>
        <v>0</v>
      </c>
      <c r="IQ85" s="92">
        <f>FORMULA!$Q700</f>
        <v>0</v>
      </c>
      <c r="IR85" s="92">
        <f>FORMULA!$S700</f>
        <v>0</v>
      </c>
      <c r="IS85" s="92">
        <f>FORMULA!$U700</f>
        <v>0</v>
      </c>
      <c r="IT85" s="92">
        <f>FORMULA!$W700</f>
        <v>0</v>
      </c>
      <c r="IU85" s="92">
        <f>FORMULA!$Y700</f>
        <v>0</v>
      </c>
      <c r="IV85" s="92">
        <f>FORMULA!$AA700</f>
        <v>0</v>
      </c>
      <c r="IW85" s="92">
        <f>FORMULA!$AC700</f>
        <v>0</v>
      </c>
      <c r="IX85" s="92">
        <f>FORMULA!$AE700</f>
        <v>0</v>
      </c>
      <c r="IY85" s="208"/>
      <c r="IZ85" s="95"/>
      <c r="JA85" s="95"/>
      <c r="JB85" s="95"/>
      <c r="JC85" s="95"/>
      <c r="JD85" s="95"/>
      <c r="JE85" s="95"/>
      <c r="JF85" s="95"/>
      <c r="JG85" s="95"/>
      <c r="JH85" s="95"/>
      <c r="JI85" s="95"/>
      <c r="JJ85" s="95"/>
      <c r="JK85" s="95"/>
      <c r="JL85" s="95"/>
      <c r="JM85" s="95"/>
      <c r="JN85" s="95"/>
      <c r="JO85" s="95"/>
      <c r="JP85" s="95"/>
      <c r="JQ85" s="95"/>
      <c r="JR85" s="95"/>
    </row>
    <row r="86" spans="1:278" s="117" customFormat="1" ht="30.4" customHeight="1" thickBot="1">
      <c r="A86" s="116" t="s">
        <v>142</v>
      </c>
      <c r="B86" s="257" t="str">
        <f>FORMULA!$B$4</f>
        <v>N01309AY</v>
      </c>
      <c r="C86" s="258">
        <f>FORMULA!$D$4</f>
        <v>0</v>
      </c>
      <c r="D86" s="258">
        <f>FORMULA!$F$4</f>
        <v>0</v>
      </c>
      <c r="E86" s="258">
        <f>FORMULA!$H$4</f>
        <v>0</v>
      </c>
      <c r="F86" s="258">
        <f>FORMULA!$J$4</f>
        <v>0</v>
      </c>
      <c r="G86" s="113">
        <f>FORMULA!$L$4</f>
        <v>0</v>
      </c>
      <c r="H86" s="113">
        <f>FORMULA!$N$4</f>
        <v>0</v>
      </c>
      <c r="I86" s="113">
        <f>FORMULA!$P$4</f>
        <v>0</v>
      </c>
      <c r="J86" s="113">
        <f>FORMULA!$R$4</f>
        <v>0</v>
      </c>
      <c r="K86" s="113">
        <f>FORMULA!$T$4</f>
        <v>0</v>
      </c>
      <c r="L86" s="113">
        <f>FORMULA!$V$4</f>
        <v>0</v>
      </c>
      <c r="M86" s="113">
        <f>FORMULA!$X$4</f>
        <v>0</v>
      </c>
      <c r="N86" s="113">
        <f>FORMULA!$Z$4</f>
        <v>0</v>
      </c>
      <c r="O86" s="113">
        <f>FORMULA!$AB$4</f>
        <v>0</v>
      </c>
      <c r="P86" s="113">
        <f>FORMULA!$AD$4</f>
        <v>0</v>
      </c>
      <c r="Q86" s="114"/>
      <c r="R86" s="257" t="str">
        <f>FORMULA!$B$92</f>
        <v>N025-06</v>
      </c>
      <c r="S86" s="258">
        <f>FORMULA!$D$92</f>
        <v>0</v>
      </c>
      <c r="T86" s="258">
        <f>FORMULA!$F$92</f>
        <v>0</v>
      </c>
      <c r="U86" s="258">
        <f>FORMULA!$H$92</f>
        <v>0</v>
      </c>
      <c r="V86" s="258">
        <f>FORMULA!$J$92</f>
        <v>0</v>
      </c>
      <c r="W86" s="258">
        <f>FORMULA!$L$92</f>
        <v>0</v>
      </c>
      <c r="X86" s="258">
        <f>FORMULA!$N$92</f>
        <v>0</v>
      </c>
      <c r="Y86" s="258">
        <f>FORMULA!$P$92</f>
        <v>0</v>
      </c>
      <c r="Z86" s="258">
        <f>FORMULA!$R$92</f>
        <v>0</v>
      </c>
      <c r="AA86" s="258">
        <f>FORMULA!$T$92</f>
        <v>0</v>
      </c>
      <c r="AB86" s="258">
        <f>FORMULA!$V$92</f>
        <v>0</v>
      </c>
      <c r="AC86" s="258">
        <f>FORMULA!$X$92</f>
        <v>0</v>
      </c>
      <c r="AD86" s="113">
        <f>FORMULA!$Z$92</f>
        <v>0</v>
      </c>
      <c r="AE86" s="113">
        <f>FORMULA!$AB$92</f>
        <v>0</v>
      </c>
      <c r="AF86" s="113">
        <f>FORMULA!$AD$92</f>
        <v>0</v>
      </c>
      <c r="AG86" s="114"/>
      <c r="AH86" s="257" t="str">
        <f>FORMULA!$B$180</f>
        <v>N035-06</v>
      </c>
      <c r="AI86" s="258" t="str">
        <f>FORMULA!$D$180</f>
        <v>WITH 1103 TOP UP</v>
      </c>
      <c r="AJ86" s="258">
        <f>FORMULA!$F$180</f>
        <v>0</v>
      </c>
      <c r="AK86" s="258">
        <f>FORMULA!$H$180</f>
        <v>0</v>
      </c>
      <c r="AL86" s="258">
        <f>FORMULA!$J$180</f>
        <v>0</v>
      </c>
      <c r="AM86" s="258">
        <f>FORMULA!$L$180</f>
        <v>0</v>
      </c>
      <c r="AN86" s="258">
        <f>FORMULA!$N$180</f>
        <v>0</v>
      </c>
      <c r="AO86" s="258">
        <f>FORMULA!$P$180</f>
        <v>0</v>
      </c>
      <c r="AP86" s="258">
        <f>FORMULA!$R$180</f>
        <v>0</v>
      </c>
      <c r="AQ86" s="258">
        <f>FORMULA!$T$180</f>
        <v>0</v>
      </c>
      <c r="AR86" s="258">
        <f>FORMULA!$V$180</f>
        <v>0</v>
      </c>
      <c r="AS86" s="258">
        <f>FORMULA!$X$180</f>
        <v>0</v>
      </c>
      <c r="AT86" s="113">
        <f>FORMULA!$Z$180</f>
        <v>0</v>
      </c>
      <c r="AU86" s="113">
        <f>FORMULA!$AB$180</f>
        <v>0</v>
      </c>
      <c r="AV86" s="113">
        <f>FORMULA!$AD$180</f>
        <v>0</v>
      </c>
      <c r="AW86" s="114"/>
      <c r="AX86" s="112">
        <f>FORMULA!$B$268</f>
        <v>0</v>
      </c>
      <c r="AY86" s="113">
        <f>FORMULA!$D$268</f>
        <v>0</v>
      </c>
      <c r="AZ86" s="113">
        <f>FORMULA!$F$268</f>
        <v>0</v>
      </c>
      <c r="BA86" s="113">
        <f>FORMULA!$H$268</f>
        <v>0</v>
      </c>
      <c r="BB86" s="113">
        <f>FORMULA!$J$268</f>
        <v>0</v>
      </c>
      <c r="BC86" s="113">
        <f>FORMULA!$L$268</f>
        <v>0</v>
      </c>
      <c r="BD86" s="113">
        <f>FORMULA!$N$268</f>
        <v>0</v>
      </c>
      <c r="BE86" s="113">
        <f>FORMULA!$P$268</f>
        <v>0</v>
      </c>
      <c r="BF86" s="113">
        <f>FORMULA!$R$268</f>
        <v>0</v>
      </c>
      <c r="BG86" s="113">
        <f>FORMULA!$T$268</f>
        <v>0</v>
      </c>
      <c r="BH86" s="113">
        <f>FORMULA!$V$268</f>
        <v>0</v>
      </c>
      <c r="BI86" s="113">
        <f>FORMULA!$X$268</f>
        <v>0</v>
      </c>
      <c r="BJ86" s="113">
        <f>FORMULA!$Z$268</f>
        <v>0</v>
      </c>
      <c r="BK86" s="113">
        <f>FORMULA!$AB$268</f>
        <v>0</v>
      </c>
      <c r="BL86" s="113">
        <f>FORMULA!$AD$268</f>
        <v>0</v>
      </c>
      <c r="BM86" s="114"/>
      <c r="BN86" s="111" t="str">
        <f>FORMULA!$B$356</f>
        <v>NR 14-04</v>
      </c>
      <c r="BO86" s="111">
        <f>FORMULA!$D$356</f>
        <v>0</v>
      </c>
      <c r="BP86" s="111">
        <f>FORMULA!$F$356</f>
        <v>0</v>
      </c>
      <c r="BQ86" s="111" t="str">
        <f>FORMULA!$H$356</f>
        <v>NR 24-04Z</v>
      </c>
      <c r="BR86" s="111" t="str">
        <f>FORMULA!$J$356</f>
        <v>WITH BMD</v>
      </c>
      <c r="BS86" s="256" t="str">
        <f>FORMULA!$L$356</f>
        <v>8102 Top Up&amp;PM 8108</v>
      </c>
      <c r="BT86" s="256" t="str">
        <f>FORMULA!$N$356</f>
        <v>8102 Top Up&amp;PM 8102</v>
      </c>
      <c r="BU86" s="256" t="str">
        <f>FORMULA!$P$356</f>
        <v>8102 Top Up&amp;PM 8102</v>
      </c>
      <c r="BV86" s="256" t="str">
        <f>FORMULA!$R$356</f>
        <v>8102 Top Up&amp;PM 8108</v>
      </c>
      <c r="BW86" s="111" t="str">
        <f>FORMULA!$T$356</f>
        <v>8103 Top Up&amp;PM 8103</v>
      </c>
      <c r="BX86" s="111" t="str">
        <f>FORMULA!$V$356</f>
        <v>8103 Top Up&amp;PM 8109</v>
      </c>
      <c r="BY86" s="111" t="str">
        <f>FORMULA!$X$356</f>
        <v xml:space="preserve">NR 34-04 </v>
      </c>
      <c r="BZ86" s="111" t="str">
        <f>FORMULA!$Z$356</f>
        <v xml:space="preserve">NR 34-04 </v>
      </c>
      <c r="CA86" s="111" t="str">
        <f>FORMULA!$AB$356</f>
        <v>8102 TOP UP</v>
      </c>
      <c r="CB86" s="111" t="str">
        <f>FORMULA!$AD$356</f>
        <v>8103 TOP UP</v>
      </c>
      <c r="CC86" s="114"/>
      <c r="CD86" s="111" t="str">
        <f>FORMULA!$B$444</f>
        <v>SOYTIDE&amp;TOXISORB</v>
      </c>
      <c r="CE86" s="111" t="str">
        <f>FORMULA!$D$444</f>
        <v>SOYTIDE&amp;TOXIWALL</v>
      </c>
      <c r="CF86" s="111" t="str">
        <f>FORMULA!$F$444</f>
        <v>EP 200&amp;TOXIWALL</v>
      </c>
      <c r="CG86" s="111">
        <f>FORMULA!$H$444</f>
        <v>0</v>
      </c>
      <c r="CH86" s="111">
        <f>FORMULA!$J$444</f>
        <v>0</v>
      </c>
      <c r="CI86" s="111">
        <f>FORMULA!$L$444</f>
        <v>0</v>
      </c>
      <c r="CJ86" s="111">
        <f>FORMULA!$N$444</f>
        <v>0</v>
      </c>
      <c r="CK86" s="111">
        <f>FORMULA!$P$444</f>
        <v>0</v>
      </c>
      <c r="CL86" s="111">
        <f>FORMULA!$R$444</f>
        <v>0</v>
      </c>
      <c r="CM86" s="111">
        <f>FORMULA!$T$444</f>
        <v>0</v>
      </c>
      <c r="CN86" s="111">
        <f>FORMULA!$V$444</f>
        <v>0</v>
      </c>
      <c r="CO86" s="111">
        <f>FORMULA!$X$444</f>
        <v>0</v>
      </c>
      <c r="CP86" s="111">
        <f>FORMULA!$Z$444</f>
        <v>0</v>
      </c>
      <c r="CQ86" s="111">
        <f>FORMULA!$AB$444</f>
        <v>0</v>
      </c>
      <c r="CR86" s="111">
        <f>FORMULA!$AD$444</f>
        <v>0</v>
      </c>
      <c r="CS86" s="114"/>
      <c r="CT86" s="111" t="str">
        <f>FORMULA!$B$532</f>
        <v>WITH TOXISORB</v>
      </c>
      <c r="CU86" s="111" t="str">
        <f>FORMULA!$D$532</f>
        <v>WITH TOXIWALL</v>
      </c>
      <c r="CV86" s="111" t="str">
        <f>FORMULA!$F$532</f>
        <v>WITH TOXIWALL, YM 20.50kg</v>
      </c>
      <c r="CW86" s="111">
        <f>FORMULA!$H$532</f>
        <v>0</v>
      </c>
      <c r="CX86" s="111">
        <f>FORMULA!$J$532</f>
        <v>0</v>
      </c>
      <c r="CY86" s="111">
        <f>FORMULA!$L$532</f>
        <v>0</v>
      </c>
      <c r="CZ86" s="111">
        <f>FORMULA!$N$532</f>
        <v>0</v>
      </c>
      <c r="DA86" s="111" t="str">
        <f>FORMULA!$P$532</f>
        <v>REDUCE CORN FOR 2MT</v>
      </c>
      <c r="DB86" s="111">
        <f>FORMULA!$R$532</f>
        <v>0</v>
      </c>
      <c r="DC86" s="111">
        <f>FORMULA!$T$532</f>
        <v>0</v>
      </c>
      <c r="DD86" s="111" t="str">
        <f>FORMULA!$V$532</f>
        <v>K20</v>
      </c>
      <c r="DE86" s="111">
        <f>FORMULA!$X$532</f>
        <v>0</v>
      </c>
      <c r="DF86" s="111" t="str">
        <f>FORMULA!$Z$532</f>
        <v>ALREADY 2MT</v>
      </c>
      <c r="DG86" s="111" t="str">
        <f>FORMULA!$AB$532</f>
        <v>K21</v>
      </c>
      <c r="DH86" s="111">
        <f>FORMULA!$AD$532</f>
        <v>0</v>
      </c>
      <c r="DI86" s="114"/>
      <c r="DJ86" s="111" t="str">
        <f>FORMULA!$B$620</f>
        <v>WITH TOXISORB</v>
      </c>
      <c r="DK86" s="111" t="str">
        <f>FORMULA!$D$620</f>
        <v>WITHOUT WHEAT POLLARD</v>
      </c>
      <c r="DL86" s="111" t="str">
        <f>FORMULA!$F$620</f>
        <v>WITH TOXIWALL</v>
      </c>
      <c r="DM86" s="111" t="str">
        <f>FORMULA!$H$620</f>
        <v>WITH TOXIWALL, YM 20.00kg</v>
      </c>
      <c r="DN86" s="111">
        <f>FORMULA!$J$620</f>
        <v>0</v>
      </c>
      <c r="DO86" s="111">
        <f>FORMULA!$L$620</f>
        <v>0</v>
      </c>
      <c r="DP86" s="111">
        <f>FORMULA!$N$620</f>
        <v>0</v>
      </c>
      <c r="DQ86" s="111">
        <f>FORMULA!$P$620</f>
        <v>0</v>
      </c>
      <c r="DR86" s="111">
        <f>FORMULA!$R$620</f>
        <v>0</v>
      </c>
      <c r="DS86" s="111">
        <f>FORMULA!$T$620</f>
        <v>0</v>
      </c>
      <c r="DT86" s="111">
        <f>FORMULA!$V$620</f>
        <v>0</v>
      </c>
      <c r="DU86" s="111">
        <f>FORMULA!$X$620</f>
        <v>0</v>
      </c>
      <c r="DV86" s="111">
        <f>FORMULA!$Z$620</f>
        <v>0</v>
      </c>
      <c r="DW86" s="111">
        <f>FORMULA!$AB$620</f>
        <v>0</v>
      </c>
      <c r="DX86" s="111">
        <f>FORMULA!$AD$620</f>
        <v>0</v>
      </c>
      <c r="DY86" s="114"/>
      <c r="EA86" s="20">
        <f>FORMULA!$A$85</f>
        <v>6</v>
      </c>
      <c r="EB86" s="91">
        <f>FORMULA!$C85</f>
        <v>0</v>
      </c>
      <c r="EC86" s="92">
        <f>FORMULA!$E85</f>
        <v>0</v>
      </c>
      <c r="ED86" s="92">
        <f>FORMULA!$G85</f>
        <v>0</v>
      </c>
      <c r="EE86" s="92">
        <f>FORMULA!$I85</f>
        <v>0</v>
      </c>
      <c r="EF86" s="92">
        <f>FORMULA!$K85</f>
        <v>0</v>
      </c>
      <c r="EG86" s="92">
        <f>FORMULA!$M85</f>
        <v>0</v>
      </c>
      <c r="EH86" s="92">
        <f>FORMULA!$O85</f>
        <v>0</v>
      </c>
      <c r="EI86" s="92">
        <f>FORMULA!$Q85</f>
        <v>0</v>
      </c>
      <c r="EJ86" s="92">
        <f>FORMULA!$S85</f>
        <v>0</v>
      </c>
      <c r="EK86" s="92">
        <f>FORMULA!$U85</f>
        <v>0</v>
      </c>
      <c r="EL86" s="92">
        <f>FORMULA!$W85</f>
        <v>0</v>
      </c>
      <c r="EM86" s="92">
        <f>FORMULA!$Y85</f>
        <v>0</v>
      </c>
      <c r="EN86" s="92">
        <f>FORMULA!$AA85</f>
        <v>0</v>
      </c>
      <c r="EO86" s="92">
        <f>FORMULA!$AC85</f>
        <v>0</v>
      </c>
      <c r="EP86" s="92">
        <f>FORMULA!$AE85</f>
        <v>0</v>
      </c>
      <c r="EQ86" s="108"/>
      <c r="ER86" s="91">
        <f>FORMULA!$C173</f>
        <v>0</v>
      </c>
      <c r="ES86" s="92">
        <f>FORMULA!$E173</f>
        <v>0</v>
      </c>
      <c r="ET86" s="92">
        <f>FORMULA!$G173</f>
        <v>0</v>
      </c>
      <c r="EU86" s="92">
        <f>FORMULA!$I173</f>
        <v>0</v>
      </c>
      <c r="EV86" s="92">
        <f>FORMULA!$K173</f>
        <v>0</v>
      </c>
      <c r="EW86" s="92">
        <f>FORMULA!$M173</f>
        <v>0</v>
      </c>
      <c r="EX86" s="92">
        <f>FORMULA!$O173</f>
        <v>0</v>
      </c>
      <c r="EY86" s="92">
        <f>FORMULA!$Q173</f>
        <v>0</v>
      </c>
      <c r="EZ86" s="92">
        <f>FORMULA!$S173</f>
        <v>0</v>
      </c>
      <c r="FA86" s="92">
        <f>FORMULA!$U173</f>
        <v>0</v>
      </c>
      <c r="FB86" s="92">
        <f>FORMULA!$W173</f>
        <v>0</v>
      </c>
      <c r="FC86" s="92">
        <f>FORMULA!$Y173</f>
        <v>0</v>
      </c>
      <c r="FD86" s="92">
        <f>FORMULA!$AA173</f>
        <v>0</v>
      </c>
      <c r="FE86" s="92">
        <f>FORMULA!$AC173</f>
        <v>0</v>
      </c>
      <c r="FF86" s="92">
        <f>FORMULA!$AE173</f>
        <v>0</v>
      </c>
      <c r="FG86" s="94"/>
      <c r="FH86" s="91">
        <f>FORMULA!$C261</f>
        <v>0</v>
      </c>
      <c r="FI86" s="92">
        <f>FORMULA!$E261</f>
        <v>0</v>
      </c>
      <c r="FJ86" s="92">
        <f>FORMULA!$G261</f>
        <v>0</v>
      </c>
      <c r="FK86" s="92">
        <f>FORMULA!$I261</f>
        <v>0</v>
      </c>
      <c r="FL86" s="92">
        <f>FORMULA!$K261</f>
        <v>0</v>
      </c>
      <c r="FM86" s="92">
        <f>FORMULA!$M261</f>
        <v>0</v>
      </c>
      <c r="FN86" s="92">
        <f>FORMULA!$O261</f>
        <v>0</v>
      </c>
      <c r="FO86" s="92">
        <f>FORMULA!$Q261</f>
        <v>0</v>
      </c>
      <c r="FP86" s="92">
        <f>FORMULA!$S261</f>
        <v>0</v>
      </c>
      <c r="FQ86" s="92">
        <f>FORMULA!$U261</f>
        <v>0</v>
      </c>
      <c r="FR86" s="92">
        <f>FORMULA!$W261</f>
        <v>0</v>
      </c>
      <c r="FS86" s="92">
        <f>FORMULA!$Y261</f>
        <v>0</v>
      </c>
      <c r="FT86" s="92">
        <f>FORMULA!$AA261</f>
        <v>0</v>
      </c>
      <c r="FU86" s="92">
        <f>FORMULA!$AC261</f>
        <v>0</v>
      </c>
      <c r="FV86" s="92">
        <f>FORMULA!$AE261</f>
        <v>0</v>
      </c>
      <c r="FW86" s="94"/>
      <c r="FX86" s="91">
        <f>FORMULA!$C349</f>
        <v>0</v>
      </c>
      <c r="FY86" s="92">
        <f>FORMULA!$E349</f>
        <v>0</v>
      </c>
      <c r="FZ86" s="92">
        <f>FORMULA!$G349</f>
        <v>0</v>
      </c>
      <c r="GA86" s="92">
        <f>FORMULA!$I349</f>
        <v>0</v>
      </c>
      <c r="GB86" s="92">
        <f>FORMULA!$K349</f>
        <v>0</v>
      </c>
      <c r="GC86" s="92">
        <f>FORMULA!$M349</f>
        <v>0</v>
      </c>
      <c r="GD86" s="92">
        <f>FORMULA!$O349</f>
        <v>0</v>
      </c>
      <c r="GE86" s="92">
        <f>FORMULA!$Q349</f>
        <v>0</v>
      </c>
      <c r="GF86" s="92">
        <f>FORMULA!$S349</f>
        <v>0</v>
      </c>
      <c r="GG86" s="92">
        <f>FORMULA!$U349</f>
        <v>0</v>
      </c>
      <c r="GH86" s="92">
        <f>FORMULA!$W349</f>
        <v>0</v>
      </c>
      <c r="GI86" s="92">
        <f>FORMULA!$Y349</f>
        <v>0</v>
      </c>
      <c r="GJ86" s="92">
        <f>FORMULA!$AA349</f>
        <v>0</v>
      </c>
      <c r="GK86" s="92">
        <f>FORMULA!$AC349</f>
        <v>0</v>
      </c>
      <c r="GL86" s="92">
        <f>FORMULA!$AE349</f>
        <v>0</v>
      </c>
      <c r="GM86" s="207"/>
      <c r="GN86" s="91">
        <f>FORMULA!$C437</f>
        <v>0</v>
      </c>
      <c r="GO86" s="92">
        <f>FORMULA!$E437</f>
        <v>0</v>
      </c>
      <c r="GP86" s="92">
        <f>FORMULA!$G437</f>
        <v>0</v>
      </c>
      <c r="GQ86" s="92">
        <f>FORMULA!$I437</f>
        <v>0</v>
      </c>
      <c r="GR86" s="92">
        <f>FORMULA!$K437</f>
        <v>0</v>
      </c>
      <c r="GS86" s="92">
        <f>FORMULA!$M437</f>
        <v>0</v>
      </c>
      <c r="GT86" s="92">
        <f>FORMULA!$O437</f>
        <v>0</v>
      </c>
      <c r="GU86" s="92">
        <f>FORMULA!$Q437</f>
        <v>0</v>
      </c>
      <c r="GV86" s="92">
        <f>FORMULA!$S437</f>
        <v>0</v>
      </c>
      <c r="GW86" s="92">
        <f>FORMULA!$U437</f>
        <v>0</v>
      </c>
      <c r="GX86" s="92">
        <f>FORMULA!$W437</f>
        <v>0</v>
      </c>
      <c r="GY86" s="92">
        <f>FORMULA!$Y437</f>
        <v>0</v>
      </c>
      <c r="GZ86" s="92">
        <f>FORMULA!$AA437</f>
        <v>0</v>
      </c>
      <c r="HA86" s="92">
        <f>FORMULA!$AC437</f>
        <v>0</v>
      </c>
      <c r="HB86" s="92">
        <f>FORMULA!$AE437</f>
        <v>0</v>
      </c>
      <c r="HC86" s="207"/>
      <c r="HD86" s="91">
        <f>FORMULA!$C525</f>
        <v>0</v>
      </c>
      <c r="HE86" s="92">
        <f>FORMULA!$E525</f>
        <v>0</v>
      </c>
      <c r="HF86" s="92">
        <f>FORMULA!$G525</f>
        <v>0</v>
      </c>
      <c r="HG86" s="92">
        <f>FORMULA!$I525</f>
        <v>0</v>
      </c>
      <c r="HH86" s="92">
        <f>FORMULA!$K525</f>
        <v>0</v>
      </c>
      <c r="HI86" s="92">
        <f>FORMULA!$M525</f>
        <v>0</v>
      </c>
      <c r="HJ86" s="92">
        <f>FORMULA!$O525</f>
        <v>0</v>
      </c>
      <c r="HK86" s="92">
        <f>FORMULA!$Q525</f>
        <v>0</v>
      </c>
      <c r="HL86" s="92">
        <f>FORMULA!$S525</f>
        <v>0</v>
      </c>
      <c r="HM86" s="92">
        <f>FORMULA!$U525</f>
        <v>0</v>
      </c>
      <c r="HN86" s="92">
        <f>FORMULA!$W525</f>
        <v>0</v>
      </c>
      <c r="HO86" s="92">
        <f>FORMULA!$Y525</f>
        <v>0</v>
      </c>
      <c r="HP86" s="92">
        <f>FORMULA!$AA525</f>
        <v>0</v>
      </c>
      <c r="HQ86" s="92">
        <f>FORMULA!$AC525</f>
        <v>0</v>
      </c>
      <c r="HR86" s="92">
        <f>FORMULA!$AE525</f>
        <v>0</v>
      </c>
      <c r="HS86" s="207"/>
      <c r="HT86" s="91">
        <f>FORMULA!$C613</f>
        <v>0</v>
      </c>
      <c r="HU86" s="92">
        <f>FORMULA!$E613</f>
        <v>0</v>
      </c>
      <c r="HV86" s="92">
        <f>FORMULA!$G613</f>
        <v>0</v>
      </c>
      <c r="HW86" s="92">
        <f>FORMULA!$I613</f>
        <v>0</v>
      </c>
      <c r="HX86" s="92">
        <f>FORMULA!$K613</f>
        <v>0</v>
      </c>
      <c r="HY86" s="92">
        <f>FORMULA!$M613</f>
        <v>0</v>
      </c>
      <c r="HZ86" s="92">
        <f>FORMULA!$O613</f>
        <v>0</v>
      </c>
      <c r="IA86" s="92">
        <f>FORMULA!$Q613</f>
        <v>0</v>
      </c>
      <c r="IB86" s="92">
        <f>FORMULA!$S613</f>
        <v>0</v>
      </c>
      <c r="IC86" s="92">
        <f>FORMULA!$U613</f>
        <v>0</v>
      </c>
      <c r="ID86" s="92">
        <f>FORMULA!$W613</f>
        <v>0</v>
      </c>
      <c r="IE86" s="92">
        <f>FORMULA!$Y613</f>
        <v>0</v>
      </c>
      <c r="IF86" s="92">
        <f>FORMULA!$AA613</f>
        <v>0</v>
      </c>
      <c r="IG86" s="92">
        <f>FORMULA!$AC613</f>
        <v>0</v>
      </c>
      <c r="IH86" s="92">
        <f>FORMULA!$AE613</f>
        <v>0</v>
      </c>
      <c r="II86" s="207"/>
      <c r="IJ86" s="91">
        <f>FORMULA!$C701</f>
        <v>0</v>
      </c>
      <c r="IK86" s="92">
        <f>FORMULA!$E701</f>
        <v>0</v>
      </c>
      <c r="IL86" s="92">
        <f>FORMULA!$G701</f>
        <v>0</v>
      </c>
      <c r="IM86" s="92">
        <f>FORMULA!$I701</f>
        <v>0</v>
      </c>
      <c r="IN86" s="92">
        <f>FORMULA!$K701</f>
        <v>0</v>
      </c>
      <c r="IO86" s="92">
        <f>FORMULA!$M701</f>
        <v>0</v>
      </c>
      <c r="IP86" s="92">
        <f>FORMULA!$O701</f>
        <v>0</v>
      </c>
      <c r="IQ86" s="92">
        <f>FORMULA!$Q701</f>
        <v>0</v>
      </c>
      <c r="IR86" s="92">
        <f>FORMULA!$S701</f>
        <v>0</v>
      </c>
      <c r="IS86" s="92">
        <f>FORMULA!$U701</f>
        <v>0</v>
      </c>
      <c r="IT86" s="92">
        <f>FORMULA!$W701</f>
        <v>0</v>
      </c>
      <c r="IU86" s="92">
        <f>FORMULA!$Y701</f>
        <v>0</v>
      </c>
      <c r="IV86" s="92">
        <f>FORMULA!$AA701</f>
        <v>0</v>
      </c>
      <c r="IW86" s="92">
        <f>FORMULA!$AC701</f>
        <v>0</v>
      </c>
      <c r="IX86" s="92">
        <f>FORMULA!$AE701</f>
        <v>0</v>
      </c>
      <c r="IY86" s="208"/>
      <c r="IZ86" s="95"/>
      <c r="JA86" s="95"/>
      <c r="JB86" s="95"/>
      <c r="JC86" s="95"/>
      <c r="JD86" s="95"/>
      <c r="JE86" s="95"/>
      <c r="JF86" s="95"/>
      <c r="JG86" s="95"/>
      <c r="JH86" s="95"/>
      <c r="JI86" s="95"/>
      <c r="JJ86" s="95"/>
      <c r="JK86" s="95"/>
      <c r="JL86" s="95"/>
      <c r="JM86" s="95"/>
      <c r="JN86" s="95"/>
      <c r="JO86" s="95"/>
      <c r="JP86" s="95"/>
      <c r="JQ86" s="95"/>
      <c r="JR86" s="95"/>
    </row>
    <row r="87" spans="1:278" ht="15.75" customHeight="1" outlineLevel="1">
      <c r="A87" s="11">
        <f>'VAC &amp; MED'!C76</f>
        <v>46082</v>
      </c>
      <c r="B87" s="261"/>
      <c r="C87" s="261"/>
      <c r="D87" s="261"/>
      <c r="E87" s="261"/>
      <c r="F87" s="261"/>
      <c r="G87" s="261"/>
      <c r="H87" s="261"/>
      <c r="I87" s="261"/>
      <c r="J87" s="261"/>
      <c r="K87" s="261"/>
      <c r="L87" s="261"/>
      <c r="M87" s="261"/>
      <c r="N87" s="261"/>
      <c r="O87" s="261"/>
      <c r="P87" s="261"/>
      <c r="Q87" s="261"/>
      <c r="R87" s="262"/>
      <c r="S87" s="262"/>
      <c r="T87" s="262"/>
      <c r="U87" s="262"/>
      <c r="V87" s="262"/>
      <c r="W87" s="262"/>
      <c r="X87" s="262"/>
      <c r="Y87" s="262"/>
      <c r="Z87" s="262"/>
      <c r="AA87" s="262"/>
      <c r="AB87" s="262"/>
      <c r="AC87" s="262"/>
      <c r="AD87" s="262"/>
      <c r="AE87" s="262"/>
      <c r="AF87" s="262"/>
      <c r="AG87" s="262"/>
      <c r="AH87" s="263"/>
      <c r="AI87" s="263"/>
      <c r="AJ87" s="263"/>
      <c r="AK87" s="263"/>
      <c r="AL87" s="263"/>
      <c r="AM87" s="263"/>
      <c r="AN87" s="263"/>
      <c r="AO87" s="263"/>
      <c r="AP87" s="263"/>
      <c r="AQ87" s="263"/>
      <c r="AR87" s="263"/>
      <c r="AS87" s="263"/>
      <c r="AT87" s="263"/>
      <c r="AU87" s="263"/>
      <c r="AV87" s="263"/>
      <c r="AW87" s="263"/>
      <c r="AX87" s="264"/>
      <c r="AY87" s="264"/>
      <c r="AZ87" s="264"/>
      <c r="BA87" s="264"/>
      <c r="BB87" s="264"/>
      <c r="BC87" s="264"/>
      <c r="BD87" s="264"/>
      <c r="BE87" s="264"/>
      <c r="BF87" s="264"/>
      <c r="BG87" s="264"/>
      <c r="BH87" s="264"/>
      <c r="BI87" s="264"/>
      <c r="BJ87" s="264"/>
      <c r="BK87" s="264"/>
      <c r="BL87" s="264"/>
      <c r="BM87" s="264"/>
      <c r="BN87" s="265"/>
      <c r="BO87" s="265"/>
      <c r="BP87" s="265"/>
      <c r="BQ87" s="265"/>
      <c r="BR87" s="265"/>
      <c r="BS87" s="265"/>
      <c r="BT87" s="265"/>
      <c r="BU87" s="265"/>
      <c r="BV87" s="265"/>
      <c r="BW87" s="265"/>
      <c r="BX87" s="265"/>
      <c r="BY87" s="265"/>
      <c r="BZ87" s="265"/>
      <c r="CA87" s="265"/>
      <c r="CB87" s="265"/>
      <c r="CC87" s="265"/>
      <c r="CD87" s="266"/>
      <c r="CE87" s="266"/>
      <c r="CF87" s="266"/>
      <c r="CG87" s="266"/>
      <c r="CH87" s="266"/>
      <c r="CI87" s="266"/>
      <c r="CJ87" s="266"/>
      <c r="CK87" s="266"/>
      <c r="CL87" s="266"/>
      <c r="CM87" s="266"/>
      <c r="CN87" s="266"/>
      <c r="CO87" s="266"/>
      <c r="CP87" s="266"/>
      <c r="CQ87" s="266"/>
      <c r="CR87" s="266"/>
      <c r="CS87" s="266"/>
      <c r="CT87" s="267"/>
      <c r="CU87" s="267"/>
      <c r="CV87" s="267"/>
      <c r="CW87" s="267"/>
      <c r="CX87" s="267"/>
      <c r="CY87" s="267"/>
      <c r="CZ87" s="267"/>
      <c r="DA87" s="267"/>
      <c r="DB87" s="267"/>
      <c r="DC87" s="267"/>
      <c r="DD87" s="267"/>
      <c r="DE87" s="267"/>
      <c r="DF87" s="267"/>
      <c r="DG87" s="267"/>
      <c r="DH87" s="267"/>
      <c r="DI87" s="267"/>
      <c r="DJ87" s="268"/>
      <c r="DK87" s="268"/>
      <c r="DL87" s="268"/>
      <c r="DM87" s="268"/>
      <c r="DN87" s="268"/>
      <c r="DO87" s="268"/>
      <c r="DP87" s="268"/>
      <c r="DQ87" s="268"/>
      <c r="DR87" s="268"/>
      <c r="DS87" s="268"/>
      <c r="DT87" s="268"/>
      <c r="DU87" s="268"/>
      <c r="DV87" s="268"/>
      <c r="DW87" s="268"/>
      <c r="DX87" s="268"/>
      <c r="DY87" s="268"/>
      <c r="EA87" s="20">
        <f>FORMULA!$A$86</f>
        <v>7</v>
      </c>
      <c r="EB87" s="91">
        <f>FORMULA!$C86</f>
        <v>0</v>
      </c>
      <c r="EC87" s="92">
        <f>FORMULA!$E86</f>
        <v>0</v>
      </c>
      <c r="ED87" s="92">
        <f>FORMULA!$G86</f>
        <v>0</v>
      </c>
      <c r="EE87" s="92">
        <f>FORMULA!$I86</f>
        <v>0</v>
      </c>
      <c r="EF87" s="92">
        <f>FORMULA!$K86</f>
        <v>0</v>
      </c>
      <c r="EG87" s="92">
        <f>FORMULA!$M86</f>
        <v>0</v>
      </c>
      <c r="EH87" s="92">
        <f>FORMULA!$O86</f>
        <v>0</v>
      </c>
      <c r="EI87" s="92">
        <f>FORMULA!$Q86</f>
        <v>0</v>
      </c>
      <c r="EJ87" s="92">
        <f>FORMULA!$S86</f>
        <v>0</v>
      </c>
      <c r="EK87" s="92">
        <f>FORMULA!$U86</f>
        <v>0</v>
      </c>
      <c r="EL87" s="92">
        <f>FORMULA!$W86</f>
        <v>0</v>
      </c>
      <c r="EM87" s="92">
        <f>FORMULA!$Y86</f>
        <v>0</v>
      </c>
      <c r="EN87" s="92">
        <f>FORMULA!$AA86</f>
        <v>0</v>
      </c>
      <c r="EO87" s="92">
        <f>FORMULA!$AC86</f>
        <v>0</v>
      </c>
      <c r="EP87" s="92">
        <f>FORMULA!$AE86</f>
        <v>0</v>
      </c>
      <c r="EQ87" s="108"/>
      <c r="ER87" s="91">
        <f>FORMULA!$C174</f>
        <v>0</v>
      </c>
      <c r="ES87" s="92">
        <f>FORMULA!$E174</f>
        <v>0</v>
      </c>
      <c r="ET87" s="92">
        <f>FORMULA!$G174</f>
        <v>0</v>
      </c>
      <c r="EU87" s="92">
        <f>FORMULA!$I174</f>
        <v>0</v>
      </c>
      <c r="EV87" s="92">
        <f>FORMULA!$K174</f>
        <v>0</v>
      </c>
      <c r="EW87" s="92">
        <f>FORMULA!$M174</f>
        <v>0</v>
      </c>
      <c r="EX87" s="92">
        <f>FORMULA!$O174</f>
        <v>0</v>
      </c>
      <c r="EY87" s="92">
        <f>FORMULA!$Q174</f>
        <v>0</v>
      </c>
      <c r="EZ87" s="92">
        <f>FORMULA!$S174</f>
        <v>0</v>
      </c>
      <c r="FA87" s="92">
        <f>FORMULA!$U174</f>
        <v>0</v>
      </c>
      <c r="FB87" s="92">
        <f>FORMULA!$W174</f>
        <v>0</v>
      </c>
      <c r="FC87" s="92">
        <f>FORMULA!$Y174</f>
        <v>0</v>
      </c>
      <c r="FD87" s="92">
        <f>FORMULA!$AA174</f>
        <v>0</v>
      </c>
      <c r="FE87" s="92">
        <f>FORMULA!$AC174</f>
        <v>0</v>
      </c>
      <c r="FF87" s="92">
        <f>FORMULA!$AE174</f>
        <v>0</v>
      </c>
      <c r="FG87" s="94"/>
      <c r="FH87" s="91">
        <f>FORMULA!$C262</f>
        <v>0</v>
      </c>
      <c r="FI87" s="92">
        <f>FORMULA!$E262</f>
        <v>0</v>
      </c>
      <c r="FJ87" s="92">
        <f>FORMULA!$G262</f>
        <v>0</v>
      </c>
      <c r="FK87" s="92">
        <f>FORMULA!$I262</f>
        <v>0</v>
      </c>
      <c r="FL87" s="92">
        <f>FORMULA!$K262</f>
        <v>0</v>
      </c>
      <c r="FM87" s="92">
        <f>FORMULA!$M262</f>
        <v>0</v>
      </c>
      <c r="FN87" s="92">
        <f>FORMULA!$O262</f>
        <v>0</v>
      </c>
      <c r="FO87" s="92">
        <f>FORMULA!$Q262</f>
        <v>0</v>
      </c>
      <c r="FP87" s="92">
        <f>FORMULA!$S262</f>
        <v>0</v>
      </c>
      <c r="FQ87" s="92">
        <f>FORMULA!$U262</f>
        <v>0</v>
      </c>
      <c r="FR87" s="92">
        <f>FORMULA!$W262</f>
        <v>0</v>
      </c>
      <c r="FS87" s="92">
        <f>FORMULA!$Y262</f>
        <v>0</v>
      </c>
      <c r="FT87" s="92">
        <f>FORMULA!$AA262</f>
        <v>0</v>
      </c>
      <c r="FU87" s="92">
        <f>FORMULA!$AC262</f>
        <v>0</v>
      </c>
      <c r="FV87" s="92">
        <f>FORMULA!$AE262</f>
        <v>0</v>
      </c>
      <c r="FW87" s="94"/>
      <c r="FX87" s="91">
        <f>FORMULA!$C350</f>
        <v>0</v>
      </c>
      <c r="FY87" s="92">
        <f>FORMULA!$E350</f>
        <v>0</v>
      </c>
      <c r="FZ87" s="92">
        <f>FORMULA!$G350</f>
        <v>0</v>
      </c>
      <c r="GA87" s="92">
        <f>FORMULA!$I350</f>
        <v>0</v>
      </c>
      <c r="GB87" s="92">
        <f>FORMULA!$K350</f>
        <v>0</v>
      </c>
      <c r="GC87" s="92">
        <f>FORMULA!$M350</f>
        <v>0</v>
      </c>
      <c r="GD87" s="92">
        <f>FORMULA!$O350</f>
        <v>0</v>
      </c>
      <c r="GE87" s="92">
        <f>FORMULA!$Q350</f>
        <v>0</v>
      </c>
      <c r="GF87" s="92">
        <f>FORMULA!$S350</f>
        <v>0</v>
      </c>
      <c r="GG87" s="92">
        <f>FORMULA!$U350</f>
        <v>0</v>
      </c>
      <c r="GH87" s="92">
        <f>FORMULA!$W350</f>
        <v>0</v>
      </c>
      <c r="GI87" s="92">
        <f>FORMULA!$Y350</f>
        <v>0</v>
      </c>
      <c r="GJ87" s="92">
        <f>FORMULA!$AA350</f>
        <v>0</v>
      </c>
      <c r="GK87" s="92">
        <f>FORMULA!$AC350</f>
        <v>0</v>
      </c>
      <c r="GL87" s="92">
        <f>FORMULA!$AE350</f>
        <v>0</v>
      </c>
      <c r="GM87" s="207"/>
      <c r="GN87" s="91">
        <f>FORMULA!$C438</f>
        <v>0</v>
      </c>
      <c r="GO87" s="92">
        <f>FORMULA!$E438</f>
        <v>0</v>
      </c>
      <c r="GP87" s="92">
        <f>FORMULA!$G438</f>
        <v>0</v>
      </c>
      <c r="GQ87" s="92">
        <f>FORMULA!$I438</f>
        <v>0</v>
      </c>
      <c r="GR87" s="92">
        <f>FORMULA!$K438</f>
        <v>0</v>
      </c>
      <c r="GS87" s="92">
        <f>FORMULA!$M438</f>
        <v>0</v>
      </c>
      <c r="GT87" s="92">
        <f>FORMULA!$O438</f>
        <v>0</v>
      </c>
      <c r="GU87" s="92">
        <f>FORMULA!$Q438</f>
        <v>0</v>
      </c>
      <c r="GV87" s="92">
        <f>FORMULA!$S438</f>
        <v>0</v>
      </c>
      <c r="GW87" s="92">
        <f>FORMULA!$U438</f>
        <v>0</v>
      </c>
      <c r="GX87" s="92">
        <f>FORMULA!$W438</f>
        <v>0</v>
      </c>
      <c r="GY87" s="92">
        <f>FORMULA!$Y438</f>
        <v>0</v>
      </c>
      <c r="GZ87" s="92">
        <f>FORMULA!$AA438</f>
        <v>0</v>
      </c>
      <c r="HA87" s="92">
        <f>FORMULA!$AC438</f>
        <v>0</v>
      </c>
      <c r="HB87" s="92">
        <f>FORMULA!$AE438</f>
        <v>0</v>
      </c>
      <c r="HC87" s="207"/>
      <c r="HD87" s="91">
        <f>FORMULA!$C526</f>
        <v>0</v>
      </c>
      <c r="HE87" s="92">
        <f>FORMULA!$E526</f>
        <v>0</v>
      </c>
      <c r="HF87" s="92">
        <f>FORMULA!$G526</f>
        <v>0</v>
      </c>
      <c r="HG87" s="92">
        <f>FORMULA!$I526</f>
        <v>0</v>
      </c>
      <c r="HH87" s="92">
        <f>FORMULA!$K526</f>
        <v>0</v>
      </c>
      <c r="HI87" s="92">
        <f>FORMULA!$M526</f>
        <v>0</v>
      </c>
      <c r="HJ87" s="92">
        <f>FORMULA!$O526</f>
        <v>0</v>
      </c>
      <c r="HK87" s="92">
        <f>FORMULA!$Q526</f>
        <v>0</v>
      </c>
      <c r="HL87" s="92">
        <f>FORMULA!$S526</f>
        <v>0</v>
      </c>
      <c r="HM87" s="92">
        <f>FORMULA!$U526</f>
        <v>0</v>
      </c>
      <c r="HN87" s="92">
        <f>FORMULA!$W526</f>
        <v>0</v>
      </c>
      <c r="HO87" s="92">
        <f>FORMULA!$Y526</f>
        <v>0</v>
      </c>
      <c r="HP87" s="92">
        <f>FORMULA!$AA526</f>
        <v>0</v>
      </c>
      <c r="HQ87" s="92">
        <f>FORMULA!$AC526</f>
        <v>0</v>
      </c>
      <c r="HR87" s="92">
        <f>FORMULA!$AE526</f>
        <v>0</v>
      </c>
      <c r="HS87" s="207"/>
      <c r="HT87" s="91">
        <f>FORMULA!$C614</f>
        <v>0</v>
      </c>
      <c r="HU87" s="92">
        <f>FORMULA!$E614</f>
        <v>0</v>
      </c>
      <c r="HV87" s="92">
        <f>FORMULA!$G614</f>
        <v>0</v>
      </c>
      <c r="HW87" s="92">
        <f>FORMULA!$I614</f>
        <v>0</v>
      </c>
      <c r="HX87" s="92">
        <f>FORMULA!$K614</f>
        <v>0</v>
      </c>
      <c r="HY87" s="92">
        <f>FORMULA!$M614</f>
        <v>0</v>
      </c>
      <c r="HZ87" s="92">
        <f>FORMULA!$O614</f>
        <v>0</v>
      </c>
      <c r="IA87" s="92">
        <f>FORMULA!$Q614</f>
        <v>0</v>
      </c>
      <c r="IB87" s="92">
        <f>FORMULA!$S614</f>
        <v>0</v>
      </c>
      <c r="IC87" s="92">
        <f>FORMULA!$U614</f>
        <v>0</v>
      </c>
      <c r="ID87" s="92">
        <f>FORMULA!$W614</f>
        <v>0</v>
      </c>
      <c r="IE87" s="92">
        <f>FORMULA!$Y614</f>
        <v>0</v>
      </c>
      <c r="IF87" s="92">
        <f>FORMULA!$AA614</f>
        <v>0</v>
      </c>
      <c r="IG87" s="92">
        <f>FORMULA!$AC614</f>
        <v>0</v>
      </c>
      <c r="IH87" s="92">
        <f>FORMULA!$AE614</f>
        <v>0</v>
      </c>
      <c r="II87" s="207"/>
      <c r="IJ87" s="91">
        <f>FORMULA!$C702</f>
        <v>0</v>
      </c>
      <c r="IK87" s="92">
        <f>FORMULA!$E702</f>
        <v>0</v>
      </c>
      <c r="IL87" s="92">
        <f>FORMULA!$G702</f>
        <v>0</v>
      </c>
      <c r="IM87" s="92">
        <f>FORMULA!$I702</f>
        <v>0</v>
      </c>
      <c r="IN87" s="92">
        <f>FORMULA!$K702</f>
        <v>0</v>
      </c>
      <c r="IO87" s="92">
        <f>FORMULA!$M702</f>
        <v>0</v>
      </c>
      <c r="IP87" s="92">
        <f>FORMULA!$O702</f>
        <v>0</v>
      </c>
      <c r="IQ87" s="92">
        <f>FORMULA!$Q702</f>
        <v>0</v>
      </c>
      <c r="IR87" s="92">
        <f>FORMULA!$S702</f>
        <v>0</v>
      </c>
      <c r="IS87" s="92">
        <f>FORMULA!$U702</f>
        <v>0</v>
      </c>
      <c r="IT87" s="92">
        <f>FORMULA!$W702</f>
        <v>0</v>
      </c>
      <c r="IU87" s="92">
        <f>FORMULA!$Y702</f>
        <v>0</v>
      </c>
      <c r="IV87" s="92">
        <f>FORMULA!$AA702</f>
        <v>0</v>
      </c>
      <c r="IW87" s="92">
        <f>FORMULA!$AC702</f>
        <v>0</v>
      </c>
      <c r="IX87" s="92">
        <f>FORMULA!$AE702</f>
        <v>0</v>
      </c>
      <c r="IY87" s="208"/>
      <c r="IZ87" s="95"/>
      <c r="JA87" s="95"/>
      <c r="JB87" s="95"/>
      <c r="JC87" s="95"/>
      <c r="JD87" s="95"/>
      <c r="JE87" s="95"/>
      <c r="JF87" s="95"/>
      <c r="JG87" s="95"/>
      <c r="JH87" s="95"/>
      <c r="JI87" s="95"/>
      <c r="JJ87" s="95"/>
      <c r="JK87" s="95"/>
      <c r="JL87" s="95"/>
      <c r="JM87" s="95"/>
      <c r="JN87" s="95"/>
      <c r="JO87" s="95"/>
      <c r="JP87" s="95"/>
      <c r="JQ87" s="95"/>
      <c r="JR87" s="95"/>
    </row>
    <row r="88" spans="1:278" ht="15.6" customHeight="1" outlineLevel="1" thickBot="1">
      <c r="A88" s="11">
        <f>'VAC &amp; MED'!C77</f>
        <v>46083</v>
      </c>
      <c r="B88" s="261"/>
      <c r="C88" s="261"/>
      <c r="D88" s="261"/>
      <c r="E88" s="261"/>
      <c r="F88" s="261"/>
      <c r="G88" s="261"/>
      <c r="H88" s="261"/>
      <c r="I88" s="261"/>
      <c r="J88" s="261"/>
      <c r="K88" s="261"/>
      <c r="L88" s="261"/>
      <c r="M88" s="261"/>
      <c r="N88" s="261"/>
      <c r="O88" s="261"/>
      <c r="P88" s="261"/>
      <c r="Q88" s="261"/>
      <c r="R88" s="262"/>
      <c r="S88" s="262"/>
      <c r="T88" s="262"/>
      <c r="U88" s="262"/>
      <c r="V88" s="262"/>
      <c r="W88" s="262"/>
      <c r="X88" s="262"/>
      <c r="Y88" s="262"/>
      <c r="Z88" s="262"/>
      <c r="AA88" s="262"/>
      <c r="AB88" s="262"/>
      <c r="AC88" s="262"/>
      <c r="AD88" s="262"/>
      <c r="AE88" s="262"/>
      <c r="AF88" s="262"/>
      <c r="AG88" s="262"/>
      <c r="AH88" s="263"/>
      <c r="AI88" s="263"/>
      <c r="AJ88" s="263"/>
      <c r="AK88" s="263"/>
      <c r="AL88" s="263"/>
      <c r="AM88" s="263"/>
      <c r="AN88" s="263"/>
      <c r="AO88" s="263"/>
      <c r="AP88" s="263"/>
      <c r="AQ88" s="263"/>
      <c r="AR88" s="263"/>
      <c r="AS88" s="263"/>
      <c r="AT88" s="263"/>
      <c r="AU88" s="263"/>
      <c r="AV88" s="263"/>
      <c r="AW88" s="263"/>
      <c r="AX88" s="264"/>
      <c r="AY88" s="264"/>
      <c r="AZ88" s="264"/>
      <c r="BA88" s="264"/>
      <c r="BB88" s="264"/>
      <c r="BC88" s="264"/>
      <c r="BD88" s="264"/>
      <c r="BE88" s="264"/>
      <c r="BF88" s="264"/>
      <c r="BG88" s="264"/>
      <c r="BH88" s="264"/>
      <c r="BI88" s="264"/>
      <c r="BJ88" s="264"/>
      <c r="BK88" s="264"/>
      <c r="BL88" s="264"/>
      <c r="BM88" s="264"/>
      <c r="BN88" s="265"/>
      <c r="BO88" s="265"/>
      <c r="BP88" s="265"/>
      <c r="BQ88" s="265"/>
      <c r="BR88" s="265"/>
      <c r="BS88" s="265"/>
      <c r="BT88" s="265"/>
      <c r="BU88" s="265"/>
      <c r="BV88" s="265"/>
      <c r="BW88" s="265"/>
      <c r="BX88" s="265"/>
      <c r="BY88" s="265"/>
      <c r="BZ88" s="265"/>
      <c r="CA88" s="265"/>
      <c r="CB88" s="265"/>
      <c r="CC88" s="265"/>
      <c r="CD88" s="266"/>
      <c r="CE88" s="266"/>
      <c r="CF88" s="266"/>
      <c r="CG88" s="266"/>
      <c r="CH88" s="266"/>
      <c r="CI88" s="266"/>
      <c r="CJ88" s="266"/>
      <c r="CK88" s="266"/>
      <c r="CL88" s="266"/>
      <c r="CM88" s="266"/>
      <c r="CN88" s="266"/>
      <c r="CO88" s="266"/>
      <c r="CP88" s="266"/>
      <c r="CQ88" s="266"/>
      <c r="CR88" s="266"/>
      <c r="CS88" s="266"/>
      <c r="CT88" s="267">
        <v>20</v>
      </c>
      <c r="CU88" s="267"/>
      <c r="CV88" s="267"/>
      <c r="CW88" s="267"/>
      <c r="CX88" s="267"/>
      <c r="CY88" s="267"/>
      <c r="CZ88" s="267"/>
      <c r="DA88" s="267"/>
      <c r="DB88" s="267"/>
      <c r="DC88" s="267"/>
      <c r="DD88" s="267"/>
      <c r="DE88" s="267"/>
      <c r="DF88" s="267"/>
      <c r="DG88" s="267"/>
      <c r="DH88" s="267"/>
      <c r="DI88" s="267"/>
      <c r="DJ88" s="268">
        <v>60</v>
      </c>
      <c r="DK88" s="268"/>
      <c r="DL88" s="268"/>
      <c r="DM88" s="268"/>
      <c r="DN88" s="268"/>
      <c r="DO88" s="268"/>
      <c r="DP88" s="268"/>
      <c r="DQ88" s="268"/>
      <c r="DR88" s="268"/>
      <c r="DS88" s="268"/>
      <c r="DT88" s="268"/>
      <c r="DU88" s="268"/>
      <c r="DV88" s="268"/>
      <c r="DW88" s="268"/>
      <c r="DX88" s="268"/>
      <c r="DY88" s="268"/>
      <c r="EA88" s="383">
        <f>FORMULA!$A$87</f>
        <v>8</v>
      </c>
      <c r="EB88" s="91">
        <f>FORMULA!$C87</f>
        <v>0</v>
      </c>
      <c r="EC88" s="92">
        <f>FORMULA!$E87</f>
        <v>0</v>
      </c>
      <c r="ED88" s="92">
        <f>FORMULA!$G87</f>
        <v>0</v>
      </c>
      <c r="EE88" s="92">
        <f>FORMULA!$I87</f>
        <v>0</v>
      </c>
      <c r="EF88" s="92">
        <f>FORMULA!$K87</f>
        <v>0</v>
      </c>
      <c r="EG88" s="92">
        <f>FORMULA!$M87</f>
        <v>0</v>
      </c>
      <c r="EH88" s="92">
        <f>FORMULA!$O87</f>
        <v>0</v>
      </c>
      <c r="EI88" s="92">
        <f>FORMULA!$Q87</f>
        <v>0</v>
      </c>
      <c r="EJ88" s="92">
        <f>FORMULA!$S87</f>
        <v>0</v>
      </c>
      <c r="EK88" s="92">
        <f>FORMULA!$U87</f>
        <v>0</v>
      </c>
      <c r="EL88" s="92">
        <f>FORMULA!$W87</f>
        <v>0</v>
      </c>
      <c r="EM88" s="92">
        <f>FORMULA!$Y87</f>
        <v>0</v>
      </c>
      <c r="EN88" s="92">
        <f>FORMULA!$AA87</f>
        <v>0</v>
      </c>
      <c r="EO88" s="92">
        <f>FORMULA!$AC87</f>
        <v>0</v>
      </c>
      <c r="EP88" s="92">
        <f>FORMULA!$AE87</f>
        <v>0</v>
      </c>
      <c r="EQ88" s="108"/>
      <c r="ER88" s="91">
        <f>FORMULA!$C175</f>
        <v>0</v>
      </c>
      <c r="ES88" s="92">
        <f>FORMULA!$E175</f>
        <v>0</v>
      </c>
      <c r="ET88" s="92">
        <f>FORMULA!$G175</f>
        <v>0</v>
      </c>
      <c r="EU88" s="92">
        <f>FORMULA!$I175</f>
        <v>0</v>
      </c>
      <c r="EV88" s="92">
        <f>FORMULA!$K175</f>
        <v>0</v>
      </c>
      <c r="EW88" s="92">
        <f>FORMULA!$M175</f>
        <v>0</v>
      </c>
      <c r="EX88" s="92">
        <f>FORMULA!$O175</f>
        <v>0</v>
      </c>
      <c r="EY88" s="92">
        <f>FORMULA!$Q175</f>
        <v>0</v>
      </c>
      <c r="EZ88" s="92">
        <f>FORMULA!$S175</f>
        <v>0</v>
      </c>
      <c r="FA88" s="92">
        <f>FORMULA!$U175</f>
        <v>0</v>
      </c>
      <c r="FB88" s="92">
        <f>FORMULA!$W175</f>
        <v>0</v>
      </c>
      <c r="FC88" s="92">
        <f>FORMULA!$Y175</f>
        <v>0</v>
      </c>
      <c r="FD88" s="92">
        <f>FORMULA!$AA175</f>
        <v>0</v>
      </c>
      <c r="FE88" s="92">
        <f>FORMULA!$AC175</f>
        <v>0</v>
      </c>
      <c r="FF88" s="92">
        <f>FORMULA!$AE175</f>
        <v>0</v>
      </c>
      <c r="FG88" s="94"/>
      <c r="FH88" s="91">
        <f>FORMULA!$C263</f>
        <v>0</v>
      </c>
      <c r="FI88" s="92">
        <f>FORMULA!$E263</f>
        <v>0</v>
      </c>
      <c r="FJ88" s="92">
        <f>FORMULA!$G263</f>
        <v>0</v>
      </c>
      <c r="FK88" s="92">
        <f>FORMULA!$I263</f>
        <v>0</v>
      </c>
      <c r="FL88" s="92">
        <f>FORMULA!$K263</f>
        <v>0</v>
      </c>
      <c r="FM88" s="92">
        <f>FORMULA!$M263</f>
        <v>0</v>
      </c>
      <c r="FN88" s="92">
        <f>FORMULA!$O263</f>
        <v>0</v>
      </c>
      <c r="FO88" s="92">
        <f>FORMULA!$Q263</f>
        <v>0</v>
      </c>
      <c r="FP88" s="92">
        <f>FORMULA!$S263</f>
        <v>0</v>
      </c>
      <c r="FQ88" s="92">
        <f>FORMULA!$U263</f>
        <v>0</v>
      </c>
      <c r="FR88" s="92">
        <f>FORMULA!$W263</f>
        <v>0</v>
      </c>
      <c r="FS88" s="92">
        <f>FORMULA!$Y263</f>
        <v>0</v>
      </c>
      <c r="FT88" s="92">
        <f>FORMULA!$AA263</f>
        <v>0</v>
      </c>
      <c r="FU88" s="92">
        <f>FORMULA!$AC263</f>
        <v>0</v>
      </c>
      <c r="FV88" s="92">
        <f>FORMULA!$AE263</f>
        <v>0</v>
      </c>
      <c r="FW88" s="94"/>
      <c r="FX88" s="91">
        <f>FORMULA!$C351</f>
        <v>0</v>
      </c>
      <c r="FY88" s="92">
        <f>FORMULA!$E351</f>
        <v>0</v>
      </c>
      <c r="FZ88" s="92">
        <f>FORMULA!$G351</f>
        <v>0</v>
      </c>
      <c r="GA88" s="92">
        <f>FORMULA!$I351</f>
        <v>0</v>
      </c>
      <c r="GB88" s="92">
        <f>FORMULA!$K351</f>
        <v>0</v>
      </c>
      <c r="GC88" s="92">
        <f>FORMULA!$M351</f>
        <v>0</v>
      </c>
      <c r="GD88" s="92">
        <f>FORMULA!$O351</f>
        <v>0</v>
      </c>
      <c r="GE88" s="92">
        <f>FORMULA!$Q351</f>
        <v>0</v>
      </c>
      <c r="GF88" s="92">
        <f>FORMULA!$S351</f>
        <v>0</v>
      </c>
      <c r="GG88" s="92">
        <f>FORMULA!$U351</f>
        <v>0</v>
      </c>
      <c r="GH88" s="92">
        <f>FORMULA!$W351</f>
        <v>0</v>
      </c>
      <c r="GI88" s="92">
        <f>FORMULA!$Y351</f>
        <v>0</v>
      </c>
      <c r="GJ88" s="92">
        <f>FORMULA!$AA351</f>
        <v>0</v>
      </c>
      <c r="GK88" s="92">
        <f>FORMULA!$AC351</f>
        <v>0</v>
      </c>
      <c r="GL88" s="92">
        <f>FORMULA!$AE351</f>
        <v>0</v>
      </c>
      <c r="GM88" s="207"/>
      <c r="GN88" s="91">
        <f>FORMULA!$C439</f>
        <v>0</v>
      </c>
      <c r="GO88" s="92">
        <f>FORMULA!$E439</f>
        <v>0</v>
      </c>
      <c r="GP88" s="92">
        <f>FORMULA!$G439</f>
        <v>0</v>
      </c>
      <c r="GQ88" s="92">
        <f>FORMULA!$I439</f>
        <v>0</v>
      </c>
      <c r="GR88" s="92">
        <f>FORMULA!$K439</f>
        <v>0</v>
      </c>
      <c r="GS88" s="92">
        <f>FORMULA!$M439</f>
        <v>0</v>
      </c>
      <c r="GT88" s="92">
        <f>FORMULA!$O439</f>
        <v>0</v>
      </c>
      <c r="GU88" s="92">
        <f>FORMULA!$Q439</f>
        <v>0</v>
      </c>
      <c r="GV88" s="92">
        <f>FORMULA!$S439</f>
        <v>0</v>
      </c>
      <c r="GW88" s="92">
        <f>FORMULA!$U439</f>
        <v>0</v>
      </c>
      <c r="GX88" s="92">
        <f>FORMULA!$W439</f>
        <v>0</v>
      </c>
      <c r="GY88" s="92">
        <f>FORMULA!$Y439</f>
        <v>0</v>
      </c>
      <c r="GZ88" s="92">
        <f>FORMULA!$AA439</f>
        <v>0</v>
      </c>
      <c r="HA88" s="92">
        <f>FORMULA!$AC439</f>
        <v>0</v>
      </c>
      <c r="HB88" s="92">
        <f>FORMULA!$AE439</f>
        <v>0</v>
      </c>
      <c r="HC88" s="207"/>
      <c r="HD88" s="91">
        <f>FORMULA!$C527</f>
        <v>0</v>
      </c>
      <c r="HE88" s="92">
        <f>FORMULA!$E527</f>
        <v>0</v>
      </c>
      <c r="HF88" s="92">
        <f>FORMULA!$G527</f>
        <v>0</v>
      </c>
      <c r="HG88" s="92">
        <f>FORMULA!$I527</f>
        <v>0</v>
      </c>
      <c r="HH88" s="92">
        <f>FORMULA!$K527</f>
        <v>0</v>
      </c>
      <c r="HI88" s="92">
        <f>FORMULA!$M527</f>
        <v>0</v>
      </c>
      <c r="HJ88" s="92">
        <f>FORMULA!$O527</f>
        <v>0</v>
      </c>
      <c r="HK88" s="92">
        <f>FORMULA!$Q527</f>
        <v>0</v>
      </c>
      <c r="HL88" s="92">
        <f>FORMULA!$S527</f>
        <v>0</v>
      </c>
      <c r="HM88" s="92">
        <f>FORMULA!$U527</f>
        <v>0</v>
      </c>
      <c r="HN88" s="92">
        <f>FORMULA!$W527</f>
        <v>0</v>
      </c>
      <c r="HO88" s="92">
        <f>FORMULA!$Y527</f>
        <v>0</v>
      </c>
      <c r="HP88" s="92">
        <f>FORMULA!$AA527</f>
        <v>0</v>
      </c>
      <c r="HQ88" s="92">
        <f>FORMULA!$AC527</f>
        <v>0</v>
      </c>
      <c r="HR88" s="92">
        <f>FORMULA!$AE527</f>
        <v>0</v>
      </c>
      <c r="HS88" s="207"/>
      <c r="HT88" s="91">
        <f>FORMULA!$C615</f>
        <v>0</v>
      </c>
      <c r="HU88" s="92">
        <f>FORMULA!$E615</f>
        <v>0</v>
      </c>
      <c r="HV88" s="92">
        <f>FORMULA!$G615</f>
        <v>0</v>
      </c>
      <c r="HW88" s="92">
        <f>FORMULA!$I615</f>
        <v>0</v>
      </c>
      <c r="HX88" s="92">
        <f>FORMULA!$K615</f>
        <v>0</v>
      </c>
      <c r="HY88" s="92">
        <f>FORMULA!$M615</f>
        <v>0</v>
      </c>
      <c r="HZ88" s="92">
        <f>FORMULA!$O615</f>
        <v>0</v>
      </c>
      <c r="IA88" s="92">
        <f>FORMULA!$Q615</f>
        <v>0</v>
      </c>
      <c r="IB88" s="92">
        <f>FORMULA!$S615</f>
        <v>0</v>
      </c>
      <c r="IC88" s="92">
        <f>FORMULA!$U615</f>
        <v>0</v>
      </c>
      <c r="ID88" s="92">
        <f>FORMULA!$W615</f>
        <v>0</v>
      </c>
      <c r="IE88" s="92">
        <f>FORMULA!$Y615</f>
        <v>0</v>
      </c>
      <c r="IF88" s="92">
        <f>FORMULA!$AA615</f>
        <v>0</v>
      </c>
      <c r="IG88" s="92">
        <f>FORMULA!$AC615</f>
        <v>0</v>
      </c>
      <c r="IH88" s="92">
        <f>FORMULA!$AE615</f>
        <v>0</v>
      </c>
      <c r="II88" s="207"/>
      <c r="IJ88" s="91">
        <f>FORMULA!$C703</f>
        <v>0</v>
      </c>
      <c r="IK88" s="92">
        <f>FORMULA!$E703</f>
        <v>0</v>
      </c>
      <c r="IL88" s="92">
        <f>FORMULA!$G703</f>
        <v>0</v>
      </c>
      <c r="IM88" s="92">
        <f>FORMULA!$I703</f>
        <v>0</v>
      </c>
      <c r="IN88" s="92">
        <f>FORMULA!$K703</f>
        <v>0</v>
      </c>
      <c r="IO88" s="92">
        <f>FORMULA!$M703</f>
        <v>0</v>
      </c>
      <c r="IP88" s="92">
        <f>FORMULA!$O703</f>
        <v>0</v>
      </c>
      <c r="IQ88" s="92">
        <f>FORMULA!$Q703</f>
        <v>0</v>
      </c>
      <c r="IR88" s="92">
        <f>FORMULA!$S703</f>
        <v>0</v>
      </c>
      <c r="IS88" s="92">
        <f>FORMULA!$U703</f>
        <v>0</v>
      </c>
      <c r="IT88" s="92">
        <f>FORMULA!$W703</f>
        <v>0</v>
      </c>
      <c r="IU88" s="92">
        <f>FORMULA!$Y703</f>
        <v>0</v>
      </c>
      <c r="IV88" s="92">
        <f>FORMULA!$AA703</f>
        <v>0</v>
      </c>
      <c r="IW88" s="92">
        <f>FORMULA!$AC703</f>
        <v>0</v>
      </c>
      <c r="IX88" s="92">
        <f>FORMULA!$AE703</f>
        <v>0</v>
      </c>
      <c r="IY88" s="208"/>
      <c r="IZ88" s="95"/>
      <c r="JA88" s="95"/>
      <c r="JB88" s="95"/>
      <c r="JC88" s="95"/>
      <c r="JD88" s="95"/>
      <c r="JE88" s="95"/>
      <c r="JF88" s="95"/>
      <c r="JG88" s="95"/>
      <c r="JH88" s="95"/>
      <c r="JI88" s="95"/>
      <c r="JJ88" s="95"/>
      <c r="JK88" s="95"/>
      <c r="JL88" s="95"/>
      <c r="JM88" s="95"/>
      <c r="JN88" s="95"/>
      <c r="JO88" s="95"/>
      <c r="JP88" s="95"/>
      <c r="JQ88" s="95"/>
      <c r="JR88" s="95"/>
    </row>
    <row r="89" spans="1:278" ht="15.6" customHeight="1" outlineLevel="1" thickBot="1">
      <c r="A89" s="11">
        <f>'VAC &amp; MED'!C78</f>
        <v>46084</v>
      </c>
      <c r="B89" s="261"/>
      <c r="C89" s="261"/>
      <c r="D89" s="261"/>
      <c r="E89" s="261"/>
      <c r="F89" s="261"/>
      <c r="G89" s="261"/>
      <c r="H89" s="261"/>
      <c r="I89" s="261"/>
      <c r="J89" s="261"/>
      <c r="K89" s="261"/>
      <c r="L89" s="261"/>
      <c r="M89" s="261"/>
      <c r="N89" s="261"/>
      <c r="O89" s="261"/>
      <c r="P89" s="261"/>
      <c r="Q89" s="261"/>
      <c r="R89" s="262"/>
      <c r="S89" s="262"/>
      <c r="T89" s="262"/>
      <c r="U89" s="262"/>
      <c r="V89" s="262"/>
      <c r="W89" s="262"/>
      <c r="X89" s="262"/>
      <c r="Y89" s="262"/>
      <c r="Z89" s="262"/>
      <c r="AA89" s="262"/>
      <c r="AB89" s="262"/>
      <c r="AC89" s="262"/>
      <c r="AD89" s="262"/>
      <c r="AE89" s="262"/>
      <c r="AF89" s="262"/>
      <c r="AG89" s="262"/>
      <c r="AH89" s="263"/>
      <c r="AI89" s="263"/>
      <c r="AJ89" s="263"/>
      <c r="AK89" s="263"/>
      <c r="AL89" s="263"/>
      <c r="AM89" s="263"/>
      <c r="AN89" s="263"/>
      <c r="AO89" s="263"/>
      <c r="AP89" s="263"/>
      <c r="AQ89" s="263"/>
      <c r="AR89" s="263"/>
      <c r="AS89" s="263"/>
      <c r="AT89" s="263"/>
      <c r="AU89" s="263"/>
      <c r="AV89" s="263"/>
      <c r="AW89" s="263"/>
      <c r="AX89" s="264"/>
      <c r="AY89" s="264"/>
      <c r="AZ89" s="264"/>
      <c r="BA89" s="264"/>
      <c r="BB89" s="264"/>
      <c r="BC89" s="264"/>
      <c r="BD89" s="264"/>
      <c r="BE89" s="264"/>
      <c r="BF89" s="264"/>
      <c r="BG89" s="264"/>
      <c r="BH89" s="264"/>
      <c r="BI89" s="264"/>
      <c r="BJ89" s="264"/>
      <c r="BK89" s="264"/>
      <c r="BL89" s="264"/>
      <c r="BM89" s="264"/>
      <c r="BN89" s="265"/>
      <c r="BO89" s="265"/>
      <c r="BP89" s="265"/>
      <c r="BQ89" s="265"/>
      <c r="BR89" s="265"/>
      <c r="BS89" s="265"/>
      <c r="BT89" s="265"/>
      <c r="BU89" s="265"/>
      <c r="BV89" s="265"/>
      <c r="BW89" s="265"/>
      <c r="BX89" s="265"/>
      <c r="BY89" s="265"/>
      <c r="BZ89" s="265"/>
      <c r="CA89" s="265"/>
      <c r="CB89" s="265"/>
      <c r="CC89" s="265"/>
      <c r="CD89" s="266"/>
      <c r="CE89" s="266"/>
      <c r="CF89" s="266"/>
      <c r="CG89" s="266"/>
      <c r="CH89" s="266"/>
      <c r="CI89" s="266"/>
      <c r="CJ89" s="266"/>
      <c r="CK89" s="266"/>
      <c r="CL89" s="266"/>
      <c r="CM89" s="266"/>
      <c r="CN89" s="266"/>
      <c r="CO89" s="266"/>
      <c r="CP89" s="266"/>
      <c r="CQ89" s="266"/>
      <c r="CR89" s="266"/>
      <c r="CS89" s="266"/>
      <c r="CT89" s="267">
        <v>78</v>
      </c>
      <c r="CU89" s="267"/>
      <c r="CV89" s="267"/>
      <c r="CW89" s="267"/>
      <c r="CX89" s="267"/>
      <c r="CY89" s="267"/>
      <c r="CZ89" s="267"/>
      <c r="DA89" s="267"/>
      <c r="DB89" s="267"/>
      <c r="DC89" s="267"/>
      <c r="DD89" s="267"/>
      <c r="DE89" s="267"/>
      <c r="DF89" s="267"/>
      <c r="DG89" s="267"/>
      <c r="DH89" s="267"/>
      <c r="DI89" s="267"/>
      <c r="DJ89" s="268">
        <v>40</v>
      </c>
      <c r="DK89" s="268"/>
      <c r="DL89" s="268"/>
      <c r="DM89" s="268"/>
      <c r="DN89" s="268"/>
      <c r="DO89" s="268"/>
      <c r="DP89" s="268"/>
      <c r="DQ89" s="268"/>
      <c r="DR89" s="268"/>
      <c r="DS89" s="268"/>
      <c r="DT89" s="268"/>
      <c r="DU89" s="268"/>
      <c r="DV89" s="268"/>
      <c r="DW89" s="268"/>
      <c r="DX89" s="268"/>
      <c r="DY89" s="268"/>
      <c r="EA89" s="412" t="str">
        <f>FORMULA!$A$88</f>
        <v>TOTAL</v>
      </c>
      <c r="EB89" s="209">
        <f>FORMULA!$C$88</f>
        <v>1000</v>
      </c>
      <c r="EC89" s="210">
        <f>FORMULA!$E$88</f>
        <v>977.90000000000009</v>
      </c>
      <c r="ED89" s="210">
        <f>FORMULA!$G$88</f>
        <v>0</v>
      </c>
      <c r="EE89" s="210">
        <f>FORMULA!$I$88</f>
        <v>0</v>
      </c>
      <c r="EF89" s="210">
        <f>FORMULA!$K$88</f>
        <v>0</v>
      </c>
      <c r="EG89" s="210">
        <f>FORMULA!$M$88</f>
        <v>0</v>
      </c>
      <c r="EH89" s="210">
        <f>FORMULA!$O$88</f>
        <v>0</v>
      </c>
      <c r="EI89" s="210">
        <f>FORMULA!$Q$88</f>
        <v>0</v>
      </c>
      <c r="EJ89" s="210">
        <f>FORMULA!$S$88</f>
        <v>0</v>
      </c>
      <c r="EK89" s="210">
        <f>FORMULA!$U$88</f>
        <v>0</v>
      </c>
      <c r="EL89" s="210">
        <f>FORMULA!$W$88</f>
        <v>0</v>
      </c>
      <c r="EM89" s="210">
        <f>FORMULA!$Y$88</f>
        <v>0</v>
      </c>
      <c r="EN89" s="210">
        <f>FORMULA!$AA$88</f>
        <v>0</v>
      </c>
      <c r="EO89" s="210">
        <f>FORMULA!$AC$88</f>
        <v>0</v>
      </c>
      <c r="EP89" s="210">
        <f>FORMULA!$AE$88</f>
        <v>0</v>
      </c>
      <c r="EQ89" s="211"/>
      <c r="ER89" s="209">
        <f>FORMULA!$C$176</f>
        <v>1000</v>
      </c>
      <c r="ES89" s="210">
        <f>FORMULA!$E$176</f>
        <v>0</v>
      </c>
      <c r="ET89" s="210">
        <f>FORMULA!$G$176</f>
        <v>0</v>
      </c>
      <c r="EU89" s="210">
        <f>FORMULA!$I$176</f>
        <v>0</v>
      </c>
      <c r="EV89" s="210">
        <f>FORMULA!$K$176</f>
        <v>0</v>
      </c>
      <c r="EW89" s="210">
        <f>FORMULA!$M$176</f>
        <v>0</v>
      </c>
      <c r="EX89" s="210">
        <f>FORMULA!$O$176</f>
        <v>0</v>
      </c>
      <c r="EY89" s="210">
        <f>FORMULA!$Q$176</f>
        <v>0</v>
      </c>
      <c r="EZ89" s="210">
        <f>FORMULA!$S$88</f>
        <v>0</v>
      </c>
      <c r="FA89" s="210">
        <f>FORMULA!$U$176</f>
        <v>0</v>
      </c>
      <c r="FB89" s="210">
        <f>FORMULA!$W$176</f>
        <v>0</v>
      </c>
      <c r="FC89" s="210">
        <f>FORMULA!$Y$176</f>
        <v>0</v>
      </c>
      <c r="FD89" s="210">
        <f>FORMULA!$AA$176</f>
        <v>0</v>
      </c>
      <c r="FE89" s="210">
        <f>FORMULA!$AC$176</f>
        <v>0</v>
      </c>
      <c r="FF89" s="210">
        <f>FORMULA!$AE$176</f>
        <v>0</v>
      </c>
      <c r="FG89" s="212"/>
      <c r="FH89" s="209">
        <f>FORMULA!$C$88</f>
        <v>1000</v>
      </c>
      <c r="FI89" s="210">
        <f>FORMULA!$E$88</f>
        <v>977.90000000000009</v>
      </c>
      <c r="FJ89" s="210">
        <f>FORMULA!$G$88</f>
        <v>0</v>
      </c>
      <c r="FK89" s="210">
        <f>FORMULA!$I$88</f>
        <v>0</v>
      </c>
      <c r="FL89" s="210">
        <f>FORMULA!$K$88</f>
        <v>0</v>
      </c>
      <c r="FM89" s="210">
        <f>FORMULA!$M$88</f>
        <v>0</v>
      </c>
      <c r="FN89" s="210">
        <f>FORMULA!$O$88</f>
        <v>0</v>
      </c>
      <c r="FO89" s="210">
        <f>FORMULA!$Q$88</f>
        <v>0</v>
      </c>
      <c r="FP89" s="210">
        <f>FORMULA!$S$88</f>
        <v>0</v>
      </c>
      <c r="FQ89" s="210">
        <f>FORMULA!$U$88</f>
        <v>0</v>
      </c>
      <c r="FR89" s="210">
        <f>FORMULA!$W$88</f>
        <v>0</v>
      </c>
      <c r="FS89" s="210">
        <f>FORMULA!$Y$88</f>
        <v>0</v>
      </c>
      <c r="FT89" s="210">
        <f>FORMULA!$AA$88</f>
        <v>0</v>
      </c>
      <c r="FU89" s="210">
        <f>FORMULA!$AC$88</f>
        <v>0</v>
      </c>
      <c r="FV89" s="210">
        <f>FORMULA!$AE$88</f>
        <v>0</v>
      </c>
      <c r="FW89" s="212"/>
      <c r="FX89" s="209">
        <f>FORMULA!$C$88</f>
        <v>1000</v>
      </c>
      <c r="FY89" s="210">
        <f>FORMULA!$E$88</f>
        <v>977.90000000000009</v>
      </c>
      <c r="FZ89" s="210">
        <f>FORMULA!$G$88</f>
        <v>0</v>
      </c>
      <c r="GA89" s="210">
        <f>FORMULA!$I$88</f>
        <v>0</v>
      </c>
      <c r="GB89" s="210">
        <f>FORMULA!$K$88</f>
        <v>0</v>
      </c>
      <c r="GC89" s="210">
        <f>FORMULA!$M$88</f>
        <v>0</v>
      </c>
      <c r="GD89" s="210">
        <f>FORMULA!$O$88</f>
        <v>0</v>
      </c>
      <c r="GE89" s="210">
        <f>FORMULA!$Q$88</f>
        <v>0</v>
      </c>
      <c r="GF89" s="210">
        <f>FORMULA!$S$88</f>
        <v>0</v>
      </c>
      <c r="GG89" s="210">
        <f>FORMULA!$U$88</f>
        <v>0</v>
      </c>
      <c r="GH89" s="210">
        <f>FORMULA!$W$88</f>
        <v>0</v>
      </c>
      <c r="GI89" s="210">
        <f>FORMULA!$Y$88</f>
        <v>0</v>
      </c>
      <c r="GJ89" s="210">
        <f>FORMULA!$AA$88</f>
        <v>0</v>
      </c>
      <c r="GK89" s="210">
        <f>FORMULA!$AC$88</f>
        <v>0</v>
      </c>
      <c r="GL89" s="210">
        <f>FORMULA!$AE$88</f>
        <v>0</v>
      </c>
      <c r="GM89" s="213"/>
      <c r="GN89" s="209">
        <f>FORMULA!$C$88</f>
        <v>1000</v>
      </c>
      <c r="GO89" s="210">
        <f>FORMULA!$E$88</f>
        <v>977.90000000000009</v>
      </c>
      <c r="GP89" s="210">
        <f>FORMULA!$G$88</f>
        <v>0</v>
      </c>
      <c r="GQ89" s="210">
        <f>FORMULA!$I$88</f>
        <v>0</v>
      </c>
      <c r="GR89" s="210">
        <f>FORMULA!$K$88</f>
        <v>0</v>
      </c>
      <c r="GS89" s="210">
        <f>FORMULA!$M$88</f>
        <v>0</v>
      </c>
      <c r="GT89" s="210">
        <f>FORMULA!$O$88</f>
        <v>0</v>
      </c>
      <c r="GU89" s="210">
        <f>FORMULA!$Q$88</f>
        <v>0</v>
      </c>
      <c r="GV89" s="210">
        <f>FORMULA!$S$88</f>
        <v>0</v>
      </c>
      <c r="GW89" s="210">
        <f>FORMULA!$U$88</f>
        <v>0</v>
      </c>
      <c r="GX89" s="210">
        <f>FORMULA!$W$88</f>
        <v>0</v>
      </c>
      <c r="GY89" s="210">
        <f>FORMULA!$Y$88</f>
        <v>0</v>
      </c>
      <c r="GZ89" s="210">
        <f>FORMULA!$AA$88</f>
        <v>0</v>
      </c>
      <c r="HA89" s="210">
        <f>FORMULA!$AC$88</f>
        <v>0</v>
      </c>
      <c r="HB89" s="210">
        <f>FORMULA!$AE$88</f>
        <v>0</v>
      </c>
      <c r="HC89" s="213"/>
      <c r="HD89" s="209">
        <f>FORMULA!$C$88</f>
        <v>1000</v>
      </c>
      <c r="HE89" s="210">
        <f>FORMULA!$E$88</f>
        <v>977.90000000000009</v>
      </c>
      <c r="HF89" s="210">
        <f>FORMULA!$G$88</f>
        <v>0</v>
      </c>
      <c r="HG89" s="210">
        <f>FORMULA!$I$88</f>
        <v>0</v>
      </c>
      <c r="HH89" s="210">
        <f>FORMULA!$K$88</f>
        <v>0</v>
      </c>
      <c r="HI89" s="210">
        <f>FORMULA!$M$88</f>
        <v>0</v>
      </c>
      <c r="HJ89" s="210">
        <f>FORMULA!$O$88</f>
        <v>0</v>
      </c>
      <c r="HK89" s="210">
        <f>FORMULA!$Q$88</f>
        <v>0</v>
      </c>
      <c r="HL89" s="210">
        <f>FORMULA!$S$88</f>
        <v>0</v>
      </c>
      <c r="HM89" s="210">
        <f>FORMULA!$U$88</f>
        <v>0</v>
      </c>
      <c r="HN89" s="210">
        <f>FORMULA!$W$88</f>
        <v>0</v>
      </c>
      <c r="HO89" s="210">
        <f>FORMULA!$Y$88</f>
        <v>0</v>
      </c>
      <c r="HP89" s="210">
        <f>FORMULA!$AA$88</f>
        <v>0</v>
      </c>
      <c r="HQ89" s="210">
        <f>FORMULA!$AC$88</f>
        <v>0</v>
      </c>
      <c r="HR89" s="210">
        <f>FORMULA!$AE$88</f>
        <v>0</v>
      </c>
      <c r="HS89" s="213"/>
      <c r="HT89" s="209">
        <f>FORMULA!$C$88</f>
        <v>1000</v>
      </c>
      <c r="HU89" s="210">
        <f>FORMULA!$E$88</f>
        <v>977.90000000000009</v>
      </c>
      <c r="HV89" s="210">
        <f>FORMULA!$G$88</f>
        <v>0</v>
      </c>
      <c r="HW89" s="210">
        <f>FORMULA!$I$88</f>
        <v>0</v>
      </c>
      <c r="HX89" s="210">
        <f>FORMULA!$K$88</f>
        <v>0</v>
      </c>
      <c r="HY89" s="210">
        <f>FORMULA!$M$88</f>
        <v>0</v>
      </c>
      <c r="HZ89" s="210">
        <f>FORMULA!$O$88</f>
        <v>0</v>
      </c>
      <c r="IA89" s="210">
        <f>FORMULA!$Q$88</f>
        <v>0</v>
      </c>
      <c r="IB89" s="210">
        <f>FORMULA!$S$88</f>
        <v>0</v>
      </c>
      <c r="IC89" s="210">
        <f>FORMULA!$U$88</f>
        <v>0</v>
      </c>
      <c r="ID89" s="210">
        <f>FORMULA!$W$88</f>
        <v>0</v>
      </c>
      <c r="IE89" s="210">
        <f>FORMULA!$Y$88</f>
        <v>0</v>
      </c>
      <c r="IF89" s="210">
        <f>FORMULA!$AA$88</f>
        <v>0</v>
      </c>
      <c r="IG89" s="210">
        <f>FORMULA!$AC$88</f>
        <v>0</v>
      </c>
      <c r="IH89" s="210">
        <f>FORMULA!$AE$88</f>
        <v>0</v>
      </c>
      <c r="II89" s="213"/>
      <c r="IJ89" s="209">
        <f>FORMULA!$C$88</f>
        <v>1000</v>
      </c>
      <c r="IK89" s="210">
        <f>FORMULA!$E$88</f>
        <v>977.90000000000009</v>
      </c>
      <c r="IL89" s="210">
        <f>FORMULA!$G$88</f>
        <v>0</v>
      </c>
      <c r="IM89" s="210">
        <f>FORMULA!$I$88</f>
        <v>0</v>
      </c>
      <c r="IN89" s="210">
        <f>FORMULA!$K$88</f>
        <v>0</v>
      </c>
      <c r="IO89" s="210">
        <f>FORMULA!$M$88</f>
        <v>0</v>
      </c>
      <c r="IP89" s="210">
        <f>FORMULA!$O$88</f>
        <v>0</v>
      </c>
      <c r="IQ89" s="210">
        <f>FORMULA!$Q$88</f>
        <v>0</v>
      </c>
      <c r="IR89" s="210">
        <f>FORMULA!$S$88</f>
        <v>0</v>
      </c>
      <c r="IS89" s="210">
        <f>FORMULA!$U$88</f>
        <v>0</v>
      </c>
      <c r="IT89" s="210">
        <f>FORMULA!$W$88</f>
        <v>0</v>
      </c>
      <c r="IU89" s="210">
        <f>FORMULA!$Y$88</f>
        <v>0</v>
      </c>
      <c r="IV89" s="210">
        <f>FORMULA!$AA$88</f>
        <v>0</v>
      </c>
      <c r="IW89" s="210">
        <f>FORMULA!$AC$88</f>
        <v>0</v>
      </c>
      <c r="IX89" s="210">
        <f>FORMULA!$AE$88</f>
        <v>0</v>
      </c>
      <c r="IY89" s="214"/>
      <c r="IZ89" s="95"/>
      <c r="JA89" s="95"/>
      <c r="JB89" s="95"/>
      <c r="JC89" s="95"/>
      <c r="JD89" s="95"/>
      <c r="JE89" s="95"/>
      <c r="JF89" s="95"/>
      <c r="JG89" s="95"/>
      <c r="JH89" s="95"/>
      <c r="JI89" s="95"/>
      <c r="JJ89" s="95"/>
      <c r="JK89" s="95"/>
      <c r="JL89" s="95"/>
      <c r="JM89" s="95"/>
      <c r="JN89" s="95"/>
      <c r="JO89" s="95"/>
      <c r="JP89" s="95"/>
      <c r="JQ89" s="95"/>
      <c r="JR89" s="95"/>
    </row>
    <row r="90" spans="1:278" outlineLevel="1">
      <c r="A90" s="11">
        <f>'VAC &amp; MED'!C79</f>
        <v>46085</v>
      </c>
      <c r="B90" s="261"/>
      <c r="C90" s="261"/>
      <c r="D90" s="261"/>
      <c r="E90" s="261"/>
      <c r="F90" s="261"/>
      <c r="G90" s="261"/>
      <c r="H90" s="261"/>
      <c r="I90" s="261"/>
      <c r="J90" s="261"/>
      <c r="K90" s="261"/>
      <c r="L90" s="261"/>
      <c r="M90" s="261"/>
      <c r="N90" s="261"/>
      <c r="O90" s="261"/>
      <c r="P90" s="261"/>
      <c r="Q90" s="261"/>
      <c r="R90" s="262"/>
      <c r="S90" s="262"/>
      <c r="T90" s="262"/>
      <c r="U90" s="262"/>
      <c r="V90" s="262"/>
      <c r="W90" s="262"/>
      <c r="X90" s="262"/>
      <c r="Y90" s="262"/>
      <c r="Z90" s="262"/>
      <c r="AA90" s="262"/>
      <c r="AB90" s="262"/>
      <c r="AC90" s="262"/>
      <c r="AD90" s="262"/>
      <c r="AE90" s="262"/>
      <c r="AF90" s="262"/>
      <c r="AG90" s="262"/>
      <c r="AH90" s="263"/>
      <c r="AI90" s="263"/>
      <c r="AJ90" s="263"/>
      <c r="AK90" s="263"/>
      <c r="AL90" s="263"/>
      <c r="AM90" s="263"/>
      <c r="AN90" s="263"/>
      <c r="AO90" s="263"/>
      <c r="AP90" s="263"/>
      <c r="AQ90" s="263"/>
      <c r="AR90" s="263"/>
      <c r="AS90" s="263"/>
      <c r="AT90" s="263"/>
      <c r="AU90" s="263"/>
      <c r="AV90" s="263"/>
      <c r="AW90" s="263"/>
      <c r="AX90" s="264"/>
      <c r="AY90" s="264"/>
      <c r="AZ90" s="264"/>
      <c r="BA90" s="264"/>
      <c r="BB90" s="264"/>
      <c r="BC90" s="264"/>
      <c r="BD90" s="264"/>
      <c r="BE90" s="264"/>
      <c r="BF90" s="264"/>
      <c r="BG90" s="264"/>
      <c r="BH90" s="264"/>
      <c r="BI90" s="264"/>
      <c r="BJ90" s="264"/>
      <c r="BK90" s="264"/>
      <c r="BL90" s="264"/>
      <c r="BM90" s="264"/>
      <c r="BN90" s="265"/>
      <c r="BO90" s="265"/>
      <c r="BP90" s="265"/>
      <c r="BQ90" s="265"/>
      <c r="BR90" s="265"/>
      <c r="BS90" s="265"/>
      <c r="BT90" s="265"/>
      <c r="BU90" s="265"/>
      <c r="BV90" s="265"/>
      <c r="BW90" s="265"/>
      <c r="BX90" s="265"/>
      <c r="BY90" s="265"/>
      <c r="BZ90" s="265"/>
      <c r="CA90" s="265"/>
      <c r="CB90" s="265"/>
      <c r="CC90" s="265"/>
      <c r="CD90" s="266"/>
      <c r="CE90" s="266"/>
      <c r="CF90" s="266"/>
      <c r="CG90" s="266"/>
      <c r="CH90" s="266"/>
      <c r="CI90" s="266"/>
      <c r="CJ90" s="266"/>
      <c r="CK90" s="266"/>
      <c r="CL90" s="266"/>
      <c r="CM90" s="266"/>
      <c r="CN90" s="266"/>
      <c r="CO90" s="266"/>
      <c r="CP90" s="266"/>
      <c r="CQ90" s="266"/>
      <c r="CR90" s="266"/>
      <c r="CS90" s="266"/>
      <c r="CT90" s="267"/>
      <c r="CU90" s="267"/>
      <c r="CV90" s="267"/>
      <c r="CW90" s="267"/>
      <c r="CX90" s="267"/>
      <c r="CY90" s="267"/>
      <c r="CZ90" s="267"/>
      <c r="DA90" s="267"/>
      <c r="DB90" s="267"/>
      <c r="DC90" s="267"/>
      <c r="DD90" s="267"/>
      <c r="DE90" s="267"/>
      <c r="DF90" s="267"/>
      <c r="DG90" s="267"/>
      <c r="DH90" s="267"/>
      <c r="DI90" s="267"/>
      <c r="DJ90" s="268">
        <v>82</v>
      </c>
      <c r="DK90" s="268"/>
      <c r="DL90" s="268"/>
      <c r="DM90" s="268"/>
      <c r="DN90" s="268"/>
      <c r="DO90" s="268"/>
      <c r="DP90" s="268"/>
      <c r="DQ90" s="268"/>
      <c r="DR90" s="268"/>
      <c r="DS90" s="268"/>
      <c r="DT90" s="268"/>
      <c r="DU90" s="268"/>
      <c r="DV90" s="268"/>
      <c r="DW90" s="268"/>
      <c r="DX90" s="268"/>
      <c r="DY90" s="268"/>
      <c r="EA90" s="13"/>
      <c r="EB90" s="96"/>
      <c r="EC90" s="96"/>
      <c r="ED90" s="96"/>
      <c r="EE90" s="96"/>
      <c r="EF90" s="96"/>
      <c r="EG90" s="96"/>
      <c r="EH90" s="96"/>
      <c r="EI90" s="96"/>
      <c r="EJ90" s="96"/>
      <c r="EK90" s="96"/>
      <c r="EL90" s="96"/>
      <c r="EM90" s="96"/>
      <c r="EN90" s="96"/>
      <c r="EO90" s="96"/>
      <c r="EP90" s="96"/>
      <c r="EQ90" s="96"/>
      <c r="ER90" s="96"/>
      <c r="ES90" s="96"/>
      <c r="ET90" s="96"/>
      <c r="EU90" s="96"/>
      <c r="EV90" s="96"/>
      <c r="EW90" s="96"/>
      <c r="EX90" s="96"/>
      <c r="EY90" s="96"/>
      <c r="EZ90" s="96"/>
      <c r="FA90" s="96"/>
      <c r="FB90" s="96"/>
      <c r="FC90" s="96"/>
      <c r="FD90" s="96"/>
      <c r="FE90" s="96"/>
      <c r="FF90" s="96"/>
      <c r="FG90" s="96"/>
      <c r="FH90" s="96"/>
      <c r="FI90" s="96"/>
      <c r="FJ90" s="96"/>
      <c r="FK90" s="96"/>
      <c r="FL90" s="96"/>
      <c r="FM90" s="96"/>
      <c r="FN90" s="96"/>
      <c r="FO90" s="96"/>
      <c r="FP90" s="96"/>
      <c r="FQ90" s="96"/>
      <c r="FR90" s="96"/>
      <c r="FS90" s="96"/>
      <c r="FT90" s="96"/>
      <c r="FU90" s="96"/>
      <c r="FV90" s="96"/>
      <c r="FW90" s="96"/>
      <c r="FX90" s="96"/>
      <c r="FY90" s="96"/>
      <c r="FZ90" s="96"/>
      <c r="GA90" s="96"/>
      <c r="GB90" s="96"/>
      <c r="GC90" s="96"/>
      <c r="GD90" s="96"/>
      <c r="GE90" s="96"/>
      <c r="GF90" s="96"/>
      <c r="GG90" s="96"/>
      <c r="GH90" s="96"/>
      <c r="GI90" s="96"/>
      <c r="GJ90" s="96"/>
      <c r="GK90" s="96"/>
      <c r="GL90" s="96"/>
      <c r="GM90" s="13"/>
      <c r="GN90" s="96"/>
      <c r="GO90" s="96"/>
      <c r="GP90" s="96"/>
      <c r="GQ90" s="96"/>
      <c r="GR90" s="96"/>
      <c r="GS90" s="96"/>
      <c r="GT90" s="96"/>
      <c r="GU90" s="96"/>
      <c r="GV90" s="96"/>
      <c r="GW90" s="96"/>
      <c r="GX90" s="96"/>
      <c r="GY90" s="96"/>
      <c r="GZ90" s="96"/>
      <c r="HA90" s="96"/>
      <c r="HB90" s="96"/>
      <c r="HC90" s="13"/>
      <c r="HD90" s="96"/>
      <c r="HE90" s="96"/>
      <c r="HF90" s="96"/>
      <c r="HG90" s="96"/>
      <c r="HH90" s="96"/>
      <c r="HI90" s="96"/>
      <c r="HJ90" s="96"/>
      <c r="HK90" s="96"/>
      <c r="HL90" s="96"/>
      <c r="HM90" s="96"/>
      <c r="HN90" s="96"/>
      <c r="HO90" s="96"/>
      <c r="HP90" s="96"/>
      <c r="HQ90" s="96"/>
      <c r="HR90" s="96"/>
      <c r="HS90" s="13"/>
      <c r="HT90" s="96"/>
      <c r="HU90" s="96"/>
      <c r="HV90" s="96"/>
      <c r="HW90" s="96"/>
      <c r="HX90" s="96"/>
      <c r="HY90" s="96"/>
      <c r="HZ90" s="96"/>
      <c r="IA90" s="96"/>
      <c r="IB90" s="96"/>
      <c r="IC90" s="96"/>
      <c r="ID90" s="96"/>
      <c r="IE90" s="96"/>
      <c r="IF90" s="96"/>
      <c r="IG90" s="96"/>
      <c r="IH90" s="96"/>
      <c r="II90" s="13"/>
      <c r="IJ90" s="96"/>
      <c r="IK90" s="96"/>
      <c r="IL90" s="96"/>
      <c r="IM90" s="96"/>
      <c r="IN90" s="96"/>
      <c r="IO90" s="96"/>
      <c r="IP90" s="96"/>
      <c r="IQ90" s="96"/>
      <c r="IR90" s="96"/>
      <c r="IS90" s="96"/>
      <c r="IT90" s="96"/>
      <c r="IU90" s="96"/>
      <c r="IV90" s="96"/>
      <c r="IW90" s="96"/>
      <c r="IX90" s="96"/>
      <c r="IY90" s="13"/>
    </row>
    <row r="91" spans="1:278" outlineLevel="1">
      <c r="A91" s="11">
        <f>'VAC &amp; MED'!C80</f>
        <v>46086</v>
      </c>
      <c r="B91" s="261">
        <v>16</v>
      </c>
      <c r="C91" s="261"/>
      <c r="D91" s="261"/>
      <c r="E91" s="261"/>
      <c r="F91" s="261"/>
      <c r="G91" s="261"/>
      <c r="H91" s="261"/>
      <c r="I91" s="261"/>
      <c r="J91" s="261"/>
      <c r="K91" s="261"/>
      <c r="L91" s="261"/>
      <c r="M91" s="261"/>
      <c r="N91" s="261"/>
      <c r="O91" s="261"/>
      <c r="P91" s="261"/>
      <c r="Q91" s="261"/>
      <c r="R91" s="262"/>
      <c r="S91" s="262"/>
      <c r="T91" s="262"/>
      <c r="U91" s="262"/>
      <c r="V91" s="262"/>
      <c r="W91" s="262"/>
      <c r="X91" s="262"/>
      <c r="Y91" s="262"/>
      <c r="Z91" s="262"/>
      <c r="AA91" s="262"/>
      <c r="AB91" s="262"/>
      <c r="AC91" s="262"/>
      <c r="AD91" s="262"/>
      <c r="AE91" s="262"/>
      <c r="AF91" s="262"/>
      <c r="AG91" s="262"/>
      <c r="AH91" s="263"/>
      <c r="AI91" s="263"/>
      <c r="AJ91" s="263"/>
      <c r="AK91" s="263"/>
      <c r="AL91" s="263"/>
      <c r="AM91" s="263"/>
      <c r="AN91" s="263"/>
      <c r="AO91" s="263"/>
      <c r="AP91" s="263"/>
      <c r="AQ91" s="263"/>
      <c r="AR91" s="263"/>
      <c r="AS91" s="263"/>
      <c r="AT91" s="263"/>
      <c r="AU91" s="263"/>
      <c r="AV91" s="263"/>
      <c r="AW91" s="263"/>
      <c r="AX91" s="264"/>
      <c r="AY91" s="264"/>
      <c r="AZ91" s="264"/>
      <c r="BA91" s="264"/>
      <c r="BB91" s="264"/>
      <c r="BC91" s="264"/>
      <c r="BD91" s="264"/>
      <c r="BE91" s="264"/>
      <c r="BF91" s="264"/>
      <c r="BG91" s="264"/>
      <c r="BH91" s="264"/>
      <c r="BI91" s="264"/>
      <c r="BJ91" s="264"/>
      <c r="BK91" s="264"/>
      <c r="BL91" s="264"/>
      <c r="BM91" s="264"/>
      <c r="BN91" s="265"/>
      <c r="BO91" s="265"/>
      <c r="BP91" s="265"/>
      <c r="BQ91" s="265"/>
      <c r="BR91" s="265"/>
      <c r="BS91" s="265"/>
      <c r="BT91" s="265"/>
      <c r="BU91" s="265"/>
      <c r="BV91" s="265"/>
      <c r="BW91" s="265"/>
      <c r="BX91" s="265"/>
      <c r="BY91" s="265"/>
      <c r="BZ91" s="265"/>
      <c r="CA91" s="265"/>
      <c r="CB91" s="265"/>
      <c r="CC91" s="265"/>
      <c r="CD91" s="266"/>
      <c r="CE91" s="266"/>
      <c r="CF91" s="266"/>
      <c r="CG91" s="266"/>
      <c r="CH91" s="266"/>
      <c r="CI91" s="266"/>
      <c r="CJ91" s="266"/>
      <c r="CK91" s="266"/>
      <c r="CL91" s="266"/>
      <c r="CM91" s="266"/>
      <c r="CN91" s="266"/>
      <c r="CO91" s="266"/>
      <c r="CP91" s="266"/>
      <c r="CQ91" s="266"/>
      <c r="CR91" s="266"/>
      <c r="CS91" s="266"/>
      <c r="CT91" s="267"/>
      <c r="CU91" s="267"/>
      <c r="CV91" s="267"/>
      <c r="CW91" s="267"/>
      <c r="CX91" s="267"/>
      <c r="CY91" s="267"/>
      <c r="CZ91" s="267"/>
      <c r="DA91" s="267"/>
      <c r="DB91" s="267"/>
      <c r="DC91" s="267"/>
      <c r="DD91" s="267"/>
      <c r="DE91" s="267"/>
      <c r="DF91" s="267"/>
      <c r="DG91" s="267"/>
      <c r="DH91" s="267"/>
      <c r="DI91" s="267"/>
      <c r="DJ91" s="268"/>
      <c r="DK91" s="268"/>
      <c r="DL91" s="268"/>
      <c r="DM91" s="268"/>
      <c r="DN91" s="268"/>
      <c r="DO91" s="268"/>
      <c r="DP91" s="268"/>
      <c r="DQ91" s="268"/>
      <c r="DR91" s="268"/>
      <c r="DS91" s="268"/>
      <c r="DT91" s="268"/>
      <c r="DU91" s="268"/>
      <c r="DV91" s="268"/>
      <c r="DW91" s="268"/>
      <c r="DX91" s="268"/>
      <c r="DY91" s="268"/>
      <c r="EA91" s="13"/>
      <c r="EB91" s="96"/>
      <c r="EC91" s="96"/>
      <c r="ED91" s="96"/>
      <c r="EE91" s="96"/>
      <c r="EF91" s="96"/>
      <c r="EG91" s="96"/>
      <c r="EH91" s="96"/>
      <c r="EI91" s="96"/>
      <c r="EJ91" s="96"/>
      <c r="EK91" s="96"/>
      <c r="EL91" s="96"/>
      <c r="EM91" s="96"/>
      <c r="EN91" s="96"/>
      <c r="EO91" s="96"/>
      <c r="EP91" s="96"/>
      <c r="EQ91" s="382"/>
      <c r="ER91" s="96"/>
      <c r="ES91" s="96"/>
      <c r="ET91" s="96"/>
      <c r="EU91" s="96"/>
      <c r="EV91" s="96"/>
      <c r="EW91" s="96"/>
      <c r="EX91" s="96"/>
      <c r="EY91" s="96"/>
      <c r="EZ91" s="96"/>
      <c r="FA91" s="96"/>
      <c r="FB91" s="96"/>
      <c r="FC91" s="96"/>
      <c r="FD91" s="96"/>
      <c r="FE91" s="96"/>
      <c r="FF91" s="96"/>
      <c r="FG91" s="96"/>
      <c r="FH91" s="96"/>
      <c r="FI91" s="96"/>
      <c r="FJ91" s="96"/>
      <c r="FK91" s="96"/>
      <c r="FL91" s="96"/>
      <c r="FM91" s="96"/>
      <c r="FN91" s="96"/>
      <c r="FO91" s="96"/>
      <c r="FP91" s="96"/>
      <c r="FQ91" s="96"/>
      <c r="FR91" s="96"/>
      <c r="FS91" s="96"/>
      <c r="FT91" s="96"/>
      <c r="FU91" s="96"/>
      <c r="FV91" s="96"/>
      <c r="FW91" s="96"/>
      <c r="FX91" s="96"/>
      <c r="FY91" s="96"/>
      <c r="FZ91" s="96"/>
      <c r="GA91" s="96"/>
      <c r="GB91" s="96"/>
      <c r="GC91" s="96"/>
      <c r="GD91" s="96"/>
      <c r="GE91" s="96"/>
      <c r="GF91" s="96"/>
      <c r="GG91" s="96"/>
      <c r="GH91" s="96"/>
      <c r="GI91" s="96"/>
      <c r="GJ91" s="96"/>
      <c r="GK91" s="96"/>
      <c r="GL91" s="96"/>
      <c r="GM91" s="13"/>
      <c r="GN91" s="96"/>
      <c r="GO91" s="96"/>
      <c r="GP91" s="96"/>
      <c r="GQ91" s="96"/>
      <c r="GR91" s="96"/>
      <c r="GS91" s="96"/>
      <c r="GT91" s="96"/>
      <c r="GU91" s="96"/>
      <c r="GV91" s="96"/>
      <c r="GW91" s="96"/>
      <c r="GX91" s="96"/>
      <c r="GY91" s="96"/>
      <c r="GZ91" s="96"/>
      <c r="HA91" s="96"/>
      <c r="HB91" s="96"/>
      <c r="HC91" s="13"/>
      <c r="HD91" s="96"/>
      <c r="HE91" s="96"/>
      <c r="HF91" s="96"/>
      <c r="HG91" s="96"/>
      <c r="HH91" s="96"/>
      <c r="HI91" s="96"/>
      <c r="HJ91" s="96"/>
      <c r="HK91" s="96"/>
      <c r="HL91" s="96"/>
      <c r="HM91" s="96"/>
      <c r="HN91" s="96"/>
      <c r="HO91" s="96"/>
      <c r="HP91" s="96"/>
      <c r="HQ91" s="96"/>
      <c r="HR91" s="96"/>
      <c r="HS91" s="13"/>
      <c r="HT91" s="96"/>
      <c r="HU91" s="96"/>
      <c r="HV91" s="96"/>
      <c r="HW91" s="96"/>
      <c r="HX91" s="96"/>
      <c r="HY91" s="96"/>
      <c r="HZ91" s="96"/>
      <c r="IA91" s="96"/>
      <c r="IB91" s="96"/>
      <c r="IC91" s="96"/>
      <c r="ID91" s="96"/>
      <c r="IE91" s="96"/>
      <c r="IF91" s="96"/>
      <c r="IG91" s="96"/>
      <c r="IH91" s="96"/>
      <c r="II91" s="13"/>
      <c r="IJ91" s="96"/>
      <c r="IK91" s="96"/>
      <c r="IL91" s="96"/>
      <c r="IM91" s="96"/>
      <c r="IN91" s="96"/>
      <c r="IO91" s="96"/>
      <c r="IP91" s="96"/>
      <c r="IQ91" s="96"/>
      <c r="IR91" s="96"/>
      <c r="IS91" s="96"/>
      <c r="IT91" s="96"/>
      <c r="IU91" s="96"/>
      <c r="IV91" s="96"/>
      <c r="IW91" s="96"/>
      <c r="IX91" s="96"/>
      <c r="IY91" s="13"/>
    </row>
    <row r="92" spans="1:278" outlineLevel="1">
      <c r="A92" s="11">
        <f>'VAC &amp; MED'!C81</f>
        <v>46087</v>
      </c>
      <c r="B92" s="261"/>
      <c r="C92" s="261"/>
      <c r="D92" s="261"/>
      <c r="E92" s="261"/>
      <c r="F92" s="261"/>
      <c r="G92" s="261"/>
      <c r="H92" s="261"/>
      <c r="I92" s="261"/>
      <c r="J92" s="261"/>
      <c r="K92" s="261"/>
      <c r="L92" s="261"/>
      <c r="M92" s="261"/>
      <c r="N92" s="261"/>
      <c r="O92" s="261"/>
      <c r="P92" s="261"/>
      <c r="Q92" s="261"/>
      <c r="R92" s="262"/>
      <c r="S92" s="262"/>
      <c r="T92" s="262"/>
      <c r="U92" s="262"/>
      <c r="V92" s="262"/>
      <c r="W92" s="262"/>
      <c r="X92" s="262"/>
      <c r="Y92" s="262"/>
      <c r="Z92" s="262"/>
      <c r="AA92" s="262"/>
      <c r="AB92" s="262"/>
      <c r="AC92" s="262"/>
      <c r="AD92" s="262"/>
      <c r="AE92" s="262"/>
      <c r="AF92" s="262"/>
      <c r="AG92" s="262"/>
      <c r="AH92" s="263"/>
      <c r="AI92" s="263"/>
      <c r="AJ92" s="263"/>
      <c r="AK92" s="263"/>
      <c r="AL92" s="263"/>
      <c r="AM92" s="263"/>
      <c r="AN92" s="263"/>
      <c r="AO92" s="263"/>
      <c r="AP92" s="263"/>
      <c r="AQ92" s="263"/>
      <c r="AR92" s="263"/>
      <c r="AS92" s="263"/>
      <c r="AT92" s="263"/>
      <c r="AU92" s="263"/>
      <c r="AV92" s="263"/>
      <c r="AW92" s="263"/>
      <c r="AX92" s="264"/>
      <c r="AY92" s="264"/>
      <c r="AZ92" s="264"/>
      <c r="BA92" s="264"/>
      <c r="BB92" s="264"/>
      <c r="BC92" s="264"/>
      <c r="BD92" s="264"/>
      <c r="BE92" s="264"/>
      <c r="BF92" s="264"/>
      <c r="BG92" s="264"/>
      <c r="BH92" s="264"/>
      <c r="BI92" s="264"/>
      <c r="BJ92" s="264"/>
      <c r="BK92" s="264"/>
      <c r="BL92" s="264"/>
      <c r="BM92" s="264"/>
      <c r="BN92" s="265"/>
      <c r="BO92" s="265"/>
      <c r="BP92" s="265"/>
      <c r="BQ92" s="265"/>
      <c r="BR92" s="265"/>
      <c r="BS92" s="265"/>
      <c r="BT92" s="265"/>
      <c r="BU92" s="265"/>
      <c r="BV92" s="265"/>
      <c r="BW92" s="265"/>
      <c r="BX92" s="265"/>
      <c r="BY92" s="265"/>
      <c r="BZ92" s="265"/>
      <c r="CA92" s="265"/>
      <c r="CB92" s="265"/>
      <c r="CC92" s="265"/>
      <c r="CD92" s="266"/>
      <c r="CE92" s="266"/>
      <c r="CF92" s="266"/>
      <c r="CG92" s="266"/>
      <c r="CH92" s="266"/>
      <c r="CI92" s="266"/>
      <c r="CJ92" s="266"/>
      <c r="CK92" s="266"/>
      <c r="CL92" s="266"/>
      <c r="CM92" s="266"/>
      <c r="CN92" s="266"/>
      <c r="CO92" s="266"/>
      <c r="CP92" s="266"/>
      <c r="CQ92" s="266"/>
      <c r="CR92" s="266"/>
      <c r="CS92" s="266"/>
      <c r="CT92" s="267">
        <v>70</v>
      </c>
      <c r="CU92" s="267"/>
      <c r="CV92" s="267"/>
      <c r="CW92" s="267"/>
      <c r="CX92" s="267"/>
      <c r="CY92" s="267"/>
      <c r="CZ92" s="267"/>
      <c r="DA92" s="267"/>
      <c r="DB92" s="267"/>
      <c r="DC92" s="267"/>
      <c r="DD92" s="267"/>
      <c r="DE92" s="267"/>
      <c r="DF92" s="267"/>
      <c r="DG92" s="267"/>
      <c r="DH92" s="267"/>
      <c r="DI92" s="267"/>
      <c r="DJ92" s="268"/>
      <c r="DK92" s="268"/>
      <c r="DL92" s="268"/>
      <c r="DM92" s="268"/>
      <c r="DN92" s="268"/>
      <c r="DO92" s="268"/>
      <c r="DP92" s="268"/>
      <c r="DQ92" s="268"/>
      <c r="DR92" s="268"/>
      <c r="DS92" s="268"/>
      <c r="DT92" s="268"/>
      <c r="DU92" s="268"/>
      <c r="DV92" s="268"/>
      <c r="DW92" s="268"/>
      <c r="DX92" s="268"/>
      <c r="DY92" s="268"/>
      <c r="EA92" s="13"/>
      <c r="EB92" s="96"/>
      <c r="EC92" s="96"/>
      <c r="ED92" s="96"/>
      <c r="EE92" s="96"/>
      <c r="EF92" s="96"/>
      <c r="EG92" s="96"/>
      <c r="EH92" s="96"/>
      <c r="EI92" s="96"/>
      <c r="EJ92" s="96"/>
      <c r="EK92" s="96"/>
      <c r="EL92" s="96"/>
      <c r="EM92" s="96"/>
      <c r="EN92" s="96"/>
      <c r="EO92" s="96"/>
      <c r="EP92" s="96"/>
      <c r="EQ92" s="96"/>
      <c r="ER92" s="96"/>
      <c r="ES92" s="96"/>
      <c r="ET92" s="96"/>
      <c r="EU92" s="96"/>
      <c r="EV92" s="96"/>
      <c r="EW92" s="96"/>
      <c r="EX92" s="96"/>
      <c r="EY92" s="96"/>
      <c r="EZ92" s="96"/>
      <c r="FA92" s="96"/>
      <c r="FB92" s="96"/>
      <c r="FC92" s="96"/>
      <c r="FD92" s="96"/>
      <c r="FE92" s="96"/>
      <c r="FF92" s="96"/>
      <c r="FG92" s="96"/>
      <c r="FH92" s="96"/>
      <c r="FI92" s="96"/>
      <c r="FJ92" s="96"/>
      <c r="FK92" s="96"/>
      <c r="FL92" s="96"/>
      <c r="FM92" s="96"/>
      <c r="FN92" s="96"/>
      <c r="FO92" s="96"/>
      <c r="FP92" s="96"/>
      <c r="FQ92" s="96"/>
      <c r="FR92" s="96"/>
      <c r="FS92" s="96"/>
      <c r="FT92" s="96"/>
      <c r="FU92" s="96"/>
      <c r="FV92" s="96"/>
      <c r="FW92" s="96"/>
      <c r="FX92" s="96"/>
      <c r="FY92" s="96"/>
      <c r="FZ92" s="96"/>
      <c r="GA92" s="96"/>
      <c r="GB92" s="96"/>
      <c r="GC92" s="96"/>
      <c r="GD92" s="96"/>
      <c r="GE92" s="96"/>
      <c r="GF92" s="96"/>
      <c r="GG92" s="96"/>
      <c r="GH92" s="96"/>
      <c r="GI92" s="96"/>
      <c r="GJ92" s="96"/>
      <c r="GK92" s="96"/>
      <c r="GL92" s="96"/>
      <c r="GM92" s="13"/>
      <c r="GN92" s="96"/>
      <c r="GO92" s="96"/>
      <c r="GP92" s="96"/>
      <c r="GQ92" s="96"/>
      <c r="GR92" s="96"/>
      <c r="GS92" s="96"/>
      <c r="GT92" s="96"/>
      <c r="GU92" s="96"/>
      <c r="GV92" s="96"/>
      <c r="GW92" s="96"/>
      <c r="GX92" s="96"/>
      <c r="GY92" s="96"/>
      <c r="GZ92" s="96"/>
      <c r="HA92" s="96"/>
      <c r="HB92" s="96"/>
      <c r="HC92" s="13"/>
      <c r="HD92" s="96"/>
      <c r="HE92" s="96"/>
      <c r="HF92" s="96"/>
      <c r="HG92" s="96"/>
      <c r="HH92" s="96"/>
      <c r="HI92" s="96"/>
      <c r="HJ92" s="96"/>
      <c r="HK92" s="96"/>
      <c r="HL92" s="96"/>
      <c r="HM92" s="96"/>
      <c r="HN92" s="96"/>
      <c r="HO92" s="96"/>
      <c r="HP92" s="96"/>
      <c r="HQ92" s="96"/>
      <c r="HR92" s="96"/>
      <c r="HS92" s="13"/>
      <c r="HT92" s="96"/>
      <c r="HU92" s="96"/>
      <c r="HV92" s="96"/>
      <c r="HW92" s="96"/>
      <c r="HX92" s="96"/>
      <c r="HY92" s="96"/>
      <c r="HZ92" s="96"/>
      <c r="IA92" s="96"/>
      <c r="IB92" s="96"/>
      <c r="IC92" s="96"/>
      <c r="ID92" s="96"/>
      <c r="IE92" s="96"/>
      <c r="IF92" s="96"/>
      <c r="IG92" s="96"/>
      <c r="IH92" s="96"/>
      <c r="II92" s="13"/>
      <c r="IJ92" s="96"/>
      <c r="IK92" s="96"/>
      <c r="IL92" s="96"/>
      <c r="IM92" s="96"/>
      <c r="IN92" s="96"/>
      <c r="IO92" s="96"/>
      <c r="IP92" s="96"/>
      <c r="IQ92" s="96"/>
      <c r="IR92" s="96"/>
      <c r="IS92" s="96"/>
      <c r="IT92" s="96"/>
      <c r="IU92" s="96"/>
      <c r="IV92" s="96"/>
      <c r="IW92" s="96"/>
      <c r="IX92" s="96"/>
      <c r="IY92" s="13"/>
    </row>
    <row r="93" spans="1:278" outlineLevel="1">
      <c r="A93" s="11">
        <f>'VAC &amp; MED'!C82</f>
        <v>46088</v>
      </c>
      <c r="B93" s="261">
        <v>14</v>
      </c>
      <c r="C93" s="261"/>
      <c r="D93" s="261"/>
      <c r="E93" s="261"/>
      <c r="F93" s="261"/>
      <c r="G93" s="261"/>
      <c r="H93" s="261"/>
      <c r="I93" s="261"/>
      <c r="J93" s="261"/>
      <c r="K93" s="261"/>
      <c r="L93" s="261"/>
      <c r="M93" s="261"/>
      <c r="N93" s="261"/>
      <c r="O93" s="261"/>
      <c r="P93" s="261"/>
      <c r="Q93" s="261"/>
      <c r="R93" s="262">
        <v>30</v>
      </c>
      <c r="S93" s="262"/>
      <c r="T93" s="262"/>
      <c r="U93" s="262"/>
      <c r="V93" s="262"/>
      <c r="W93" s="262"/>
      <c r="X93" s="262"/>
      <c r="Y93" s="262"/>
      <c r="Z93" s="262"/>
      <c r="AA93" s="262"/>
      <c r="AB93" s="262"/>
      <c r="AC93" s="262"/>
      <c r="AD93" s="262"/>
      <c r="AE93" s="262"/>
      <c r="AF93" s="262"/>
      <c r="AG93" s="262"/>
      <c r="AH93" s="263"/>
      <c r="AI93" s="263"/>
      <c r="AJ93" s="263"/>
      <c r="AK93" s="263"/>
      <c r="AL93" s="263"/>
      <c r="AM93" s="263"/>
      <c r="AN93" s="263"/>
      <c r="AO93" s="263"/>
      <c r="AP93" s="263"/>
      <c r="AQ93" s="263"/>
      <c r="AR93" s="263"/>
      <c r="AS93" s="263"/>
      <c r="AT93" s="263"/>
      <c r="AU93" s="263"/>
      <c r="AV93" s="263"/>
      <c r="AW93" s="263"/>
      <c r="AX93" s="264"/>
      <c r="AY93" s="264"/>
      <c r="AZ93" s="264"/>
      <c r="BA93" s="264"/>
      <c r="BB93" s="264"/>
      <c r="BC93" s="264"/>
      <c r="BD93" s="264"/>
      <c r="BE93" s="264"/>
      <c r="BF93" s="264"/>
      <c r="BG93" s="264"/>
      <c r="BH93" s="264"/>
      <c r="BI93" s="264"/>
      <c r="BJ93" s="264"/>
      <c r="BK93" s="264"/>
      <c r="BL93" s="264"/>
      <c r="BM93" s="264"/>
      <c r="BN93" s="265"/>
      <c r="BO93" s="265"/>
      <c r="BP93" s="265"/>
      <c r="BQ93" s="265"/>
      <c r="BR93" s="265"/>
      <c r="BS93" s="265"/>
      <c r="BT93" s="265"/>
      <c r="BU93" s="265"/>
      <c r="BV93" s="265"/>
      <c r="BW93" s="265"/>
      <c r="BX93" s="265"/>
      <c r="BY93" s="265"/>
      <c r="BZ93" s="265"/>
      <c r="CA93" s="265"/>
      <c r="CB93" s="265"/>
      <c r="CC93" s="265"/>
      <c r="CD93" s="266"/>
      <c r="CE93" s="266"/>
      <c r="CF93" s="266"/>
      <c r="CG93" s="266"/>
      <c r="CH93" s="266"/>
      <c r="CI93" s="266"/>
      <c r="CJ93" s="266"/>
      <c r="CK93" s="266"/>
      <c r="CL93" s="266"/>
      <c r="CM93" s="266"/>
      <c r="CN93" s="266"/>
      <c r="CO93" s="266"/>
      <c r="CP93" s="266"/>
      <c r="CQ93" s="266"/>
      <c r="CR93" s="266"/>
      <c r="CS93" s="266"/>
      <c r="CT93" s="267">
        <v>4</v>
      </c>
      <c r="CU93" s="267"/>
      <c r="CV93" s="267"/>
      <c r="CW93" s="267"/>
      <c r="CX93" s="267"/>
      <c r="CY93" s="267"/>
      <c r="CZ93" s="267"/>
      <c r="DA93" s="267"/>
      <c r="DB93" s="267"/>
      <c r="DC93" s="267"/>
      <c r="DD93" s="267"/>
      <c r="DE93" s="267"/>
      <c r="DF93" s="267"/>
      <c r="DG93" s="267"/>
      <c r="DH93" s="267"/>
      <c r="DI93" s="267"/>
      <c r="DJ93" s="268">
        <v>16</v>
      </c>
      <c r="DK93" s="268"/>
      <c r="DL93" s="268"/>
      <c r="DM93" s="268"/>
      <c r="DN93" s="268"/>
      <c r="DO93" s="268"/>
      <c r="DP93" s="268"/>
      <c r="DQ93" s="268"/>
      <c r="DR93" s="268"/>
      <c r="DS93" s="268"/>
      <c r="DT93" s="268"/>
      <c r="DU93" s="268"/>
      <c r="DV93" s="268"/>
      <c r="DW93" s="268"/>
      <c r="DX93" s="268"/>
      <c r="DY93" s="268"/>
      <c r="EA93" s="13"/>
      <c r="EB93" s="96"/>
      <c r="EC93" s="96"/>
      <c r="ED93" s="96"/>
      <c r="EE93" s="96"/>
      <c r="EF93" s="96"/>
      <c r="EG93" s="96"/>
      <c r="EH93" s="96"/>
      <c r="EI93" s="96"/>
      <c r="EJ93" s="96"/>
      <c r="EK93" s="96"/>
      <c r="EL93" s="96"/>
      <c r="EM93" s="96"/>
      <c r="EN93" s="96"/>
      <c r="EO93" s="96"/>
      <c r="EP93" s="96"/>
      <c r="EQ93" s="96"/>
      <c r="ER93" s="96"/>
      <c r="ES93" s="96"/>
      <c r="ET93" s="96"/>
      <c r="EU93" s="96"/>
      <c r="EV93" s="96"/>
      <c r="EW93" s="96"/>
      <c r="EX93" s="96"/>
      <c r="EY93" s="96"/>
      <c r="EZ93" s="96"/>
      <c r="FA93" s="96"/>
      <c r="FB93" s="96"/>
      <c r="FC93" s="96"/>
      <c r="FD93" s="96"/>
      <c r="FE93" s="96"/>
      <c r="FF93" s="96"/>
      <c r="FG93" s="96"/>
      <c r="FH93" s="96"/>
      <c r="FI93" s="96"/>
      <c r="FJ93" s="96"/>
      <c r="FK93" s="96"/>
      <c r="FL93" s="96"/>
      <c r="FM93" s="96"/>
      <c r="FN93" s="96"/>
      <c r="FO93" s="96"/>
      <c r="FP93" s="96"/>
      <c r="FQ93" s="96"/>
      <c r="FR93" s="96"/>
      <c r="FS93" s="96"/>
      <c r="FT93" s="96"/>
      <c r="FU93" s="96"/>
      <c r="FV93" s="96"/>
      <c r="FW93" s="96"/>
      <c r="FX93" s="96"/>
      <c r="FY93" s="96"/>
      <c r="FZ93" s="96"/>
      <c r="GA93" s="96"/>
      <c r="GB93" s="96"/>
      <c r="GC93" s="96"/>
      <c r="GD93" s="96"/>
      <c r="GE93" s="96"/>
      <c r="GF93" s="96"/>
      <c r="GG93" s="96"/>
      <c r="GH93" s="96"/>
      <c r="GI93" s="96"/>
      <c r="GJ93" s="96"/>
      <c r="GK93" s="96"/>
      <c r="GL93" s="96"/>
      <c r="GM93" s="13"/>
      <c r="GN93" s="96"/>
      <c r="GO93" s="96"/>
      <c r="GP93" s="96"/>
      <c r="GQ93" s="96"/>
      <c r="GR93" s="96"/>
      <c r="GS93" s="96"/>
      <c r="GT93" s="96"/>
      <c r="GU93" s="96"/>
      <c r="GV93" s="96"/>
      <c r="GW93" s="96"/>
      <c r="GX93" s="96"/>
      <c r="GY93" s="96"/>
      <c r="GZ93" s="96"/>
      <c r="HA93" s="96"/>
      <c r="HB93" s="96"/>
      <c r="HC93" s="13"/>
      <c r="HD93" s="96"/>
      <c r="HE93" s="96"/>
      <c r="HF93" s="96"/>
      <c r="HG93" s="96"/>
      <c r="HH93" s="96"/>
      <c r="HI93" s="96"/>
      <c r="HJ93" s="96"/>
      <c r="HK93" s="96"/>
      <c r="HL93" s="96"/>
      <c r="HM93" s="96"/>
      <c r="HN93" s="96"/>
      <c r="HO93" s="96"/>
      <c r="HP93" s="96"/>
      <c r="HQ93" s="96"/>
      <c r="HR93" s="96"/>
      <c r="HS93" s="13"/>
      <c r="HT93" s="96"/>
      <c r="HU93" s="96"/>
      <c r="HV93" s="96"/>
      <c r="HW93" s="96"/>
      <c r="HX93" s="96"/>
      <c r="HY93" s="96"/>
      <c r="HZ93" s="96"/>
      <c r="IA93" s="96"/>
      <c r="IB93" s="96"/>
      <c r="IC93" s="96"/>
      <c r="ID93" s="96"/>
      <c r="IE93" s="96"/>
      <c r="IF93" s="96"/>
      <c r="IG93" s="96"/>
      <c r="IH93" s="96"/>
      <c r="II93" s="13"/>
      <c r="IJ93" s="96"/>
      <c r="IK93" s="96"/>
      <c r="IL93" s="96"/>
      <c r="IM93" s="96"/>
      <c r="IN93" s="96"/>
      <c r="IO93" s="96"/>
      <c r="IP93" s="96"/>
      <c r="IQ93" s="96"/>
      <c r="IR93" s="96"/>
      <c r="IS93" s="96"/>
      <c r="IT93" s="96"/>
      <c r="IU93" s="96"/>
      <c r="IV93" s="96"/>
      <c r="IW93" s="96"/>
      <c r="IX93" s="96"/>
      <c r="IY93" s="13"/>
    </row>
    <row r="94" spans="1:278" outlineLevel="1">
      <c r="A94" s="11">
        <f>'VAC &amp; MED'!C83</f>
        <v>46089</v>
      </c>
      <c r="B94" s="261"/>
      <c r="C94" s="261"/>
      <c r="D94" s="261"/>
      <c r="E94" s="261"/>
      <c r="F94" s="261"/>
      <c r="G94" s="261"/>
      <c r="H94" s="261"/>
      <c r="I94" s="261"/>
      <c r="J94" s="261"/>
      <c r="K94" s="261"/>
      <c r="L94" s="261"/>
      <c r="M94" s="261"/>
      <c r="N94" s="261"/>
      <c r="O94" s="261"/>
      <c r="P94" s="261"/>
      <c r="Q94" s="261"/>
      <c r="R94" s="262"/>
      <c r="S94" s="262"/>
      <c r="T94" s="262"/>
      <c r="U94" s="262"/>
      <c r="V94" s="262"/>
      <c r="W94" s="262"/>
      <c r="X94" s="262"/>
      <c r="Y94" s="262"/>
      <c r="Z94" s="262"/>
      <c r="AA94" s="262"/>
      <c r="AB94" s="262"/>
      <c r="AC94" s="262"/>
      <c r="AD94" s="262"/>
      <c r="AE94" s="262"/>
      <c r="AF94" s="262"/>
      <c r="AG94" s="262"/>
      <c r="AH94" s="263"/>
      <c r="AI94" s="263"/>
      <c r="AJ94" s="263"/>
      <c r="AK94" s="263"/>
      <c r="AL94" s="263"/>
      <c r="AM94" s="263"/>
      <c r="AN94" s="263"/>
      <c r="AO94" s="263"/>
      <c r="AP94" s="263"/>
      <c r="AQ94" s="263"/>
      <c r="AR94" s="263"/>
      <c r="AS94" s="263"/>
      <c r="AT94" s="263"/>
      <c r="AU94" s="263"/>
      <c r="AV94" s="263"/>
      <c r="AW94" s="263"/>
      <c r="AX94" s="264"/>
      <c r="AY94" s="264"/>
      <c r="AZ94" s="264"/>
      <c r="BA94" s="264"/>
      <c r="BB94" s="264"/>
      <c r="BC94" s="264"/>
      <c r="BD94" s="264"/>
      <c r="BE94" s="264"/>
      <c r="BF94" s="264"/>
      <c r="BG94" s="264"/>
      <c r="BH94" s="264"/>
      <c r="BI94" s="264"/>
      <c r="BJ94" s="264"/>
      <c r="BK94" s="264"/>
      <c r="BL94" s="264"/>
      <c r="BM94" s="264"/>
      <c r="BN94" s="265"/>
      <c r="BO94" s="265"/>
      <c r="BP94" s="265"/>
      <c r="BQ94" s="265"/>
      <c r="BR94" s="265"/>
      <c r="BS94" s="265"/>
      <c r="BT94" s="265"/>
      <c r="BU94" s="265"/>
      <c r="BV94" s="265"/>
      <c r="BW94" s="265"/>
      <c r="BX94" s="265"/>
      <c r="BY94" s="265"/>
      <c r="BZ94" s="265"/>
      <c r="CA94" s="265"/>
      <c r="CB94" s="265"/>
      <c r="CC94" s="265"/>
      <c r="CD94" s="266"/>
      <c r="CE94" s="266"/>
      <c r="CF94" s="266"/>
      <c r="CG94" s="266"/>
      <c r="CH94" s="266"/>
      <c r="CI94" s="266"/>
      <c r="CJ94" s="266"/>
      <c r="CK94" s="266"/>
      <c r="CL94" s="266"/>
      <c r="CM94" s="266"/>
      <c r="CN94" s="266"/>
      <c r="CO94" s="266"/>
      <c r="CP94" s="266"/>
      <c r="CQ94" s="266"/>
      <c r="CR94" s="266"/>
      <c r="CS94" s="266"/>
      <c r="CT94" s="267"/>
      <c r="CU94" s="267"/>
      <c r="CV94" s="267"/>
      <c r="CW94" s="267"/>
      <c r="CX94" s="267"/>
      <c r="CY94" s="267"/>
      <c r="CZ94" s="267"/>
      <c r="DA94" s="267"/>
      <c r="DB94" s="267"/>
      <c r="DC94" s="267"/>
      <c r="DD94" s="267"/>
      <c r="DE94" s="267"/>
      <c r="DF94" s="267"/>
      <c r="DG94" s="267"/>
      <c r="DH94" s="267"/>
      <c r="DI94" s="267"/>
      <c r="DJ94" s="268"/>
      <c r="DK94" s="268"/>
      <c r="DL94" s="268"/>
      <c r="DM94" s="268"/>
      <c r="DN94" s="268"/>
      <c r="DO94" s="268"/>
      <c r="DP94" s="268"/>
      <c r="DQ94" s="268"/>
      <c r="DR94" s="268"/>
      <c r="DS94" s="268"/>
      <c r="DT94" s="268"/>
      <c r="DU94" s="268"/>
      <c r="DV94" s="268"/>
      <c r="DW94" s="268"/>
      <c r="DX94" s="268"/>
      <c r="DY94" s="268"/>
      <c r="EA94" s="13"/>
      <c r="EB94" s="96"/>
      <c r="EC94" s="96"/>
      <c r="ED94" s="96"/>
      <c r="EE94" s="96"/>
      <c r="EF94" s="96"/>
      <c r="EG94" s="96"/>
      <c r="EH94" s="96"/>
      <c r="EI94" s="96"/>
      <c r="EJ94" s="96"/>
      <c r="EK94" s="96"/>
      <c r="EL94" s="96"/>
      <c r="EM94" s="96"/>
      <c r="EN94" s="96"/>
      <c r="EO94" s="96"/>
      <c r="EP94" s="96"/>
      <c r="EQ94" s="96"/>
      <c r="ER94" s="96"/>
      <c r="ES94" s="96"/>
      <c r="ET94" s="96"/>
      <c r="EU94" s="96"/>
      <c r="EV94" s="96"/>
      <c r="EW94" s="96"/>
      <c r="EX94" s="96"/>
      <c r="EY94" s="96"/>
      <c r="EZ94" s="96"/>
      <c r="FA94" s="96"/>
      <c r="FB94" s="96"/>
      <c r="FC94" s="96"/>
      <c r="FD94" s="96"/>
      <c r="FE94" s="96"/>
      <c r="FF94" s="96"/>
      <c r="FG94" s="96"/>
      <c r="FH94" s="96"/>
      <c r="FI94" s="96"/>
      <c r="FJ94" s="96"/>
      <c r="FK94" s="96"/>
      <c r="FL94" s="96"/>
      <c r="FM94" s="96"/>
      <c r="FN94" s="96"/>
      <c r="FO94" s="96"/>
      <c r="FP94" s="96"/>
      <c r="FQ94" s="96"/>
      <c r="FR94" s="96"/>
      <c r="FS94" s="96"/>
      <c r="FT94" s="96"/>
      <c r="FU94" s="96"/>
      <c r="FV94" s="96"/>
      <c r="FW94" s="96"/>
      <c r="FX94" s="96"/>
      <c r="FY94" s="96"/>
      <c r="FZ94" s="96"/>
      <c r="GA94" s="96"/>
      <c r="GB94" s="96"/>
      <c r="GC94" s="96"/>
      <c r="GD94" s="96"/>
      <c r="GE94" s="96"/>
      <c r="GF94" s="96"/>
      <c r="GG94" s="96"/>
      <c r="GH94" s="96"/>
      <c r="GI94" s="96"/>
      <c r="GJ94" s="96"/>
      <c r="GK94" s="96"/>
      <c r="GL94" s="96"/>
      <c r="GM94" s="13"/>
      <c r="GN94" s="96"/>
      <c r="GO94" s="96"/>
      <c r="GP94" s="96"/>
      <c r="GQ94" s="96"/>
      <c r="GR94" s="96"/>
      <c r="GS94" s="96"/>
      <c r="GT94" s="96"/>
      <c r="GU94" s="96"/>
      <c r="GV94" s="96"/>
      <c r="GW94" s="96"/>
      <c r="GX94" s="96"/>
      <c r="GY94" s="96"/>
      <c r="GZ94" s="96"/>
      <c r="HA94" s="96"/>
      <c r="HB94" s="96"/>
      <c r="HC94" s="13"/>
      <c r="HD94" s="96"/>
      <c r="HE94" s="96"/>
      <c r="HF94" s="96"/>
      <c r="HG94" s="96"/>
      <c r="HH94" s="96"/>
      <c r="HI94" s="96"/>
      <c r="HJ94" s="96"/>
      <c r="HK94" s="96"/>
      <c r="HL94" s="96"/>
      <c r="HM94" s="96"/>
      <c r="HN94" s="96"/>
      <c r="HO94" s="96"/>
      <c r="HP94" s="96"/>
      <c r="HQ94" s="96"/>
      <c r="HR94" s="96"/>
      <c r="HS94" s="13"/>
      <c r="HT94" s="96"/>
      <c r="HU94" s="96"/>
      <c r="HV94" s="96"/>
      <c r="HW94" s="96"/>
      <c r="HX94" s="96"/>
      <c r="HY94" s="96"/>
      <c r="HZ94" s="96"/>
      <c r="IA94" s="96"/>
      <c r="IB94" s="96"/>
      <c r="IC94" s="96"/>
      <c r="ID94" s="96"/>
      <c r="IE94" s="96"/>
      <c r="IF94" s="96"/>
      <c r="IG94" s="96"/>
      <c r="IH94" s="96"/>
      <c r="II94" s="13"/>
      <c r="IJ94" s="96"/>
      <c r="IK94" s="96"/>
      <c r="IL94" s="96"/>
      <c r="IM94" s="96"/>
      <c r="IN94" s="96"/>
      <c r="IO94" s="96"/>
      <c r="IP94" s="96"/>
      <c r="IQ94" s="96"/>
      <c r="IR94" s="96"/>
      <c r="IS94" s="96"/>
      <c r="IT94" s="96"/>
      <c r="IU94" s="96"/>
      <c r="IV94" s="96"/>
      <c r="IW94" s="96"/>
      <c r="IX94" s="96"/>
      <c r="IY94" s="13"/>
    </row>
    <row r="95" spans="1:278" outlineLevel="1">
      <c r="A95" s="11">
        <f>'VAC &amp; MED'!C84</f>
        <v>46090</v>
      </c>
      <c r="B95" s="261"/>
      <c r="C95" s="261"/>
      <c r="D95" s="261"/>
      <c r="E95" s="261"/>
      <c r="F95" s="261"/>
      <c r="G95" s="261"/>
      <c r="H95" s="261"/>
      <c r="I95" s="261"/>
      <c r="J95" s="261"/>
      <c r="K95" s="261"/>
      <c r="L95" s="261"/>
      <c r="M95" s="261"/>
      <c r="N95" s="261"/>
      <c r="O95" s="261"/>
      <c r="P95" s="261"/>
      <c r="Q95" s="261"/>
      <c r="R95" s="262"/>
      <c r="S95" s="262"/>
      <c r="T95" s="262"/>
      <c r="U95" s="262"/>
      <c r="V95" s="262"/>
      <c r="W95" s="262"/>
      <c r="X95" s="262"/>
      <c r="Y95" s="262"/>
      <c r="Z95" s="262"/>
      <c r="AA95" s="262"/>
      <c r="AB95" s="262"/>
      <c r="AC95" s="262"/>
      <c r="AD95" s="262"/>
      <c r="AE95" s="262"/>
      <c r="AF95" s="262"/>
      <c r="AG95" s="262"/>
      <c r="AH95" s="263"/>
      <c r="AI95" s="263"/>
      <c r="AJ95" s="263"/>
      <c r="AK95" s="263"/>
      <c r="AL95" s="263"/>
      <c r="AM95" s="263"/>
      <c r="AN95" s="263"/>
      <c r="AO95" s="263"/>
      <c r="AP95" s="263"/>
      <c r="AQ95" s="263"/>
      <c r="AR95" s="263"/>
      <c r="AS95" s="263"/>
      <c r="AT95" s="263"/>
      <c r="AU95" s="263"/>
      <c r="AV95" s="263"/>
      <c r="AW95" s="263"/>
      <c r="AX95" s="264"/>
      <c r="AY95" s="264"/>
      <c r="AZ95" s="264"/>
      <c r="BA95" s="264"/>
      <c r="BB95" s="264"/>
      <c r="BC95" s="264"/>
      <c r="BD95" s="264"/>
      <c r="BE95" s="264"/>
      <c r="BF95" s="264"/>
      <c r="BG95" s="264"/>
      <c r="BH95" s="264"/>
      <c r="BI95" s="264"/>
      <c r="BJ95" s="264"/>
      <c r="BK95" s="264"/>
      <c r="BL95" s="264"/>
      <c r="BM95" s="264"/>
      <c r="BN95" s="265"/>
      <c r="BO95" s="265"/>
      <c r="BP95" s="265"/>
      <c r="BQ95" s="265"/>
      <c r="BR95" s="265"/>
      <c r="BS95" s="265"/>
      <c r="BT95" s="265"/>
      <c r="BU95" s="265"/>
      <c r="BV95" s="265"/>
      <c r="BW95" s="265"/>
      <c r="BX95" s="265"/>
      <c r="BY95" s="265"/>
      <c r="BZ95" s="265"/>
      <c r="CA95" s="265"/>
      <c r="CB95" s="265"/>
      <c r="CC95" s="265"/>
      <c r="CD95" s="266">
        <v>20</v>
      </c>
      <c r="CE95" s="266"/>
      <c r="CF95" s="266"/>
      <c r="CG95" s="266"/>
      <c r="CH95" s="266"/>
      <c r="CI95" s="266"/>
      <c r="CJ95" s="266"/>
      <c r="CK95" s="266"/>
      <c r="CL95" s="266"/>
      <c r="CM95" s="266"/>
      <c r="CN95" s="266"/>
      <c r="CO95" s="266"/>
      <c r="CP95" s="266"/>
      <c r="CQ95" s="266"/>
      <c r="CR95" s="266"/>
      <c r="CS95" s="266"/>
      <c r="CT95" s="267"/>
      <c r="CU95" s="267"/>
      <c r="CV95" s="267"/>
      <c r="CW95" s="267"/>
      <c r="CX95" s="267"/>
      <c r="CY95" s="267"/>
      <c r="CZ95" s="267"/>
      <c r="DA95" s="267"/>
      <c r="DB95" s="267"/>
      <c r="DC95" s="267"/>
      <c r="DD95" s="267"/>
      <c r="DE95" s="267"/>
      <c r="DF95" s="267"/>
      <c r="DG95" s="267"/>
      <c r="DH95" s="267"/>
      <c r="DI95" s="267"/>
      <c r="DJ95" s="268">
        <v>104</v>
      </c>
      <c r="DK95" s="268"/>
      <c r="DL95" s="268"/>
      <c r="DM95" s="268"/>
      <c r="DN95" s="268"/>
      <c r="DO95" s="268"/>
      <c r="DP95" s="268"/>
      <c r="DQ95" s="268"/>
      <c r="DR95" s="268"/>
      <c r="DS95" s="268"/>
      <c r="DT95" s="268"/>
      <c r="DU95" s="268"/>
      <c r="DV95" s="268"/>
      <c r="DW95" s="268"/>
      <c r="DX95" s="268"/>
      <c r="DY95" s="268"/>
      <c r="EA95" s="13"/>
      <c r="EB95" s="96"/>
      <c r="EC95" s="96"/>
      <c r="ED95" s="96"/>
      <c r="EE95" s="96"/>
      <c r="EF95" s="96"/>
      <c r="EG95" s="96"/>
      <c r="EH95" s="96"/>
      <c r="EI95" s="96"/>
      <c r="EJ95" s="96"/>
      <c r="EK95" s="96"/>
      <c r="EL95" s="96"/>
      <c r="EM95" s="96"/>
      <c r="EN95" s="96"/>
      <c r="EO95" s="96"/>
      <c r="EP95" s="96"/>
      <c r="EQ95" s="96"/>
      <c r="ER95" s="96"/>
      <c r="ES95" s="96"/>
      <c r="ET95" s="96"/>
      <c r="EU95" s="96"/>
      <c r="EV95" s="96"/>
      <c r="EW95" s="96"/>
      <c r="EX95" s="96"/>
      <c r="EY95" s="96"/>
      <c r="EZ95" s="96"/>
      <c r="FA95" s="96"/>
      <c r="FB95" s="96"/>
      <c r="FC95" s="96"/>
      <c r="FD95" s="96"/>
      <c r="FE95" s="96"/>
      <c r="FF95" s="96"/>
      <c r="FG95" s="96"/>
      <c r="FH95" s="96"/>
      <c r="FI95" s="96"/>
      <c r="FJ95" s="96"/>
      <c r="FK95" s="96"/>
      <c r="FL95" s="96"/>
      <c r="FM95" s="96"/>
      <c r="FN95" s="96"/>
      <c r="FO95" s="96"/>
      <c r="FP95" s="96"/>
      <c r="FQ95" s="96"/>
      <c r="FR95" s="96"/>
      <c r="FS95" s="96"/>
      <c r="FT95" s="96"/>
      <c r="FU95" s="96"/>
      <c r="FV95" s="96"/>
      <c r="FW95" s="96"/>
      <c r="FX95" s="96"/>
      <c r="FY95" s="96"/>
      <c r="FZ95" s="96"/>
      <c r="GA95" s="96"/>
      <c r="GB95" s="96"/>
      <c r="GC95" s="96"/>
      <c r="GD95" s="96"/>
      <c r="GE95" s="96"/>
      <c r="GF95" s="96"/>
      <c r="GG95" s="96"/>
      <c r="GH95" s="96"/>
      <c r="GI95" s="96"/>
      <c r="GJ95" s="96"/>
      <c r="GK95" s="96"/>
      <c r="GL95" s="96"/>
      <c r="GM95" s="13"/>
      <c r="GN95" s="96"/>
      <c r="GO95" s="96"/>
      <c r="GP95" s="96"/>
      <c r="GQ95" s="96"/>
      <c r="GR95" s="96"/>
      <c r="GS95" s="96"/>
      <c r="GT95" s="96"/>
      <c r="GU95" s="96"/>
      <c r="GV95" s="96"/>
      <c r="GW95" s="96"/>
      <c r="GX95" s="96"/>
      <c r="GY95" s="96"/>
      <c r="GZ95" s="96"/>
      <c r="HA95" s="96"/>
      <c r="HB95" s="96"/>
      <c r="HC95" s="13"/>
      <c r="HD95" s="96"/>
      <c r="HE95" s="96"/>
      <c r="HF95" s="96"/>
      <c r="HG95" s="96"/>
      <c r="HH95" s="96"/>
      <c r="HI95" s="96"/>
      <c r="HJ95" s="96"/>
      <c r="HK95" s="96"/>
      <c r="HL95" s="96"/>
      <c r="HM95" s="96"/>
      <c r="HN95" s="96"/>
      <c r="HO95" s="96"/>
      <c r="HP95" s="96"/>
      <c r="HQ95" s="96"/>
      <c r="HR95" s="96"/>
      <c r="HS95" s="13"/>
      <c r="HT95" s="96"/>
      <c r="HU95" s="96"/>
      <c r="HV95" s="96"/>
      <c r="HW95" s="96"/>
      <c r="HX95" s="96"/>
      <c r="HY95" s="96"/>
      <c r="HZ95" s="96"/>
      <c r="IA95" s="96"/>
      <c r="IB95" s="96"/>
      <c r="IC95" s="96"/>
      <c r="ID95" s="96"/>
      <c r="IE95" s="96"/>
      <c r="IF95" s="96"/>
      <c r="IG95" s="96"/>
      <c r="IH95" s="96"/>
      <c r="II95" s="13"/>
      <c r="IJ95" s="96"/>
      <c r="IK95" s="96"/>
      <c r="IL95" s="96"/>
      <c r="IM95" s="96"/>
      <c r="IN95" s="96"/>
      <c r="IO95" s="96"/>
      <c r="IP95" s="96"/>
      <c r="IQ95" s="96"/>
      <c r="IR95" s="96"/>
      <c r="IS95" s="96"/>
      <c r="IT95" s="96"/>
      <c r="IU95" s="96"/>
      <c r="IV95" s="96"/>
      <c r="IW95" s="96"/>
      <c r="IX95" s="96"/>
      <c r="IY95" s="13"/>
    </row>
    <row r="96" spans="1:278" outlineLevel="1">
      <c r="A96" s="11">
        <f>'VAC &amp; MED'!C85</f>
        <v>46091</v>
      </c>
      <c r="B96" s="261"/>
      <c r="C96" s="261"/>
      <c r="D96" s="261"/>
      <c r="E96" s="261"/>
      <c r="F96" s="261"/>
      <c r="G96" s="261"/>
      <c r="H96" s="261"/>
      <c r="I96" s="261"/>
      <c r="J96" s="261"/>
      <c r="K96" s="261"/>
      <c r="L96" s="261"/>
      <c r="M96" s="261"/>
      <c r="N96" s="261"/>
      <c r="O96" s="261"/>
      <c r="P96" s="261"/>
      <c r="Q96" s="261"/>
      <c r="R96" s="262">
        <v>20</v>
      </c>
      <c r="S96" s="262"/>
      <c r="T96" s="262"/>
      <c r="U96" s="262"/>
      <c r="V96" s="262"/>
      <c r="W96" s="262"/>
      <c r="X96" s="262"/>
      <c r="Y96" s="262"/>
      <c r="Z96" s="262"/>
      <c r="AA96" s="262"/>
      <c r="AB96" s="262"/>
      <c r="AC96" s="262"/>
      <c r="AD96" s="262"/>
      <c r="AE96" s="262"/>
      <c r="AF96" s="262"/>
      <c r="AG96" s="262"/>
      <c r="AH96" s="263"/>
      <c r="AI96" s="263"/>
      <c r="AJ96" s="263"/>
      <c r="AK96" s="263"/>
      <c r="AL96" s="263"/>
      <c r="AM96" s="263"/>
      <c r="AN96" s="263"/>
      <c r="AO96" s="263"/>
      <c r="AP96" s="263"/>
      <c r="AQ96" s="263"/>
      <c r="AR96" s="263"/>
      <c r="AS96" s="263"/>
      <c r="AT96" s="263"/>
      <c r="AU96" s="263"/>
      <c r="AV96" s="263"/>
      <c r="AW96" s="263"/>
      <c r="AX96" s="264"/>
      <c r="AY96" s="264"/>
      <c r="AZ96" s="264"/>
      <c r="BA96" s="264"/>
      <c r="BB96" s="264"/>
      <c r="BC96" s="264"/>
      <c r="BD96" s="264"/>
      <c r="BE96" s="264"/>
      <c r="BF96" s="264"/>
      <c r="BG96" s="264"/>
      <c r="BH96" s="264"/>
      <c r="BI96" s="264"/>
      <c r="BJ96" s="264"/>
      <c r="BK96" s="264"/>
      <c r="BL96" s="264"/>
      <c r="BM96" s="264"/>
      <c r="BN96" s="265"/>
      <c r="BO96" s="265"/>
      <c r="BP96" s="265"/>
      <c r="BQ96" s="265"/>
      <c r="BR96" s="265"/>
      <c r="BS96" s="265"/>
      <c r="BT96" s="265"/>
      <c r="BU96" s="265"/>
      <c r="BV96" s="265"/>
      <c r="BW96" s="265"/>
      <c r="BX96" s="265"/>
      <c r="BY96" s="265"/>
      <c r="BZ96" s="265"/>
      <c r="CA96" s="265"/>
      <c r="CB96" s="265"/>
      <c r="CC96" s="265"/>
      <c r="CD96" s="266"/>
      <c r="CE96" s="266"/>
      <c r="CF96" s="266"/>
      <c r="CG96" s="266"/>
      <c r="CH96" s="266"/>
      <c r="CI96" s="266"/>
      <c r="CJ96" s="266"/>
      <c r="CK96" s="266"/>
      <c r="CL96" s="266"/>
      <c r="CM96" s="266"/>
      <c r="CN96" s="266"/>
      <c r="CO96" s="266"/>
      <c r="CP96" s="266"/>
      <c r="CQ96" s="266"/>
      <c r="CR96" s="266"/>
      <c r="CS96" s="266"/>
      <c r="CT96" s="267"/>
      <c r="CU96" s="267"/>
      <c r="CV96" s="267"/>
      <c r="CW96" s="267"/>
      <c r="CX96" s="267"/>
      <c r="CY96" s="267"/>
      <c r="CZ96" s="267"/>
      <c r="DA96" s="267"/>
      <c r="DB96" s="267"/>
      <c r="DC96" s="267"/>
      <c r="DD96" s="267"/>
      <c r="DE96" s="267"/>
      <c r="DF96" s="267"/>
      <c r="DG96" s="267"/>
      <c r="DH96" s="267"/>
      <c r="DI96" s="267"/>
      <c r="DJ96" s="268"/>
      <c r="DK96" s="268"/>
      <c r="DL96" s="268"/>
      <c r="DM96" s="268"/>
      <c r="DN96" s="268"/>
      <c r="DO96" s="268"/>
      <c r="DP96" s="268"/>
      <c r="DQ96" s="268"/>
      <c r="DR96" s="268"/>
      <c r="DS96" s="268"/>
      <c r="DT96" s="268"/>
      <c r="DU96" s="268"/>
      <c r="DV96" s="268"/>
      <c r="DW96" s="268"/>
      <c r="DX96" s="268"/>
      <c r="DY96" s="268"/>
      <c r="EA96" s="13"/>
      <c r="EB96" s="96"/>
      <c r="EC96" s="96"/>
      <c r="ED96" s="96"/>
      <c r="EE96" s="96"/>
      <c r="EF96" s="96"/>
      <c r="EG96" s="96"/>
      <c r="EH96" s="96"/>
      <c r="EI96" s="96"/>
      <c r="EJ96" s="96"/>
      <c r="EK96" s="96"/>
      <c r="EL96" s="96"/>
      <c r="EM96" s="96"/>
      <c r="EN96" s="96"/>
      <c r="EO96" s="96"/>
      <c r="EP96" s="96"/>
      <c r="EQ96" s="96"/>
      <c r="ER96" s="96"/>
      <c r="ES96" s="96"/>
      <c r="ET96" s="96"/>
      <c r="EU96" s="96"/>
      <c r="EV96" s="96"/>
      <c r="EW96" s="96"/>
      <c r="EX96" s="96"/>
      <c r="EY96" s="96"/>
      <c r="EZ96" s="96"/>
      <c r="FA96" s="96"/>
      <c r="FB96" s="96"/>
      <c r="FC96" s="96"/>
      <c r="FD96" s="96"/>
      <c r="FE96" s="96"/>
      <c r="FF96" s="96"/>
      <c r="FG96" s="96"/>
      <c r="FH96" s="96"/>
      <c r="FI96" s="96"/>
      <c r="FJ96" s="96"/>
      <c r="FK96" s="96"/>
      <c r="FL96" s="96"/>
      <c r="FM96" s="96"/>
      <c r="FN96" s="96"/>
      <c r="FO96" s="96"/>
      <c r="FP96" s="96"/>
      <c r="FQ96" s="96"/>
      <c r="FR96" s="96"/>
      <c r="FS96" s="96"/>
      <c r="FT96" s="96"/>
      <c r="FU96" s="96"/>
      <c r="FV96" s="96"/>
      <c r="FW96" s="96"/>
      <c r="FX96" s="96"/>
      <c r="FY96" s="96"/>
      <c r="FZ96" s="96"/>
      <c r="GA96" s="96"/>
      <c r="GB96" s="96"/>
      <c r="GC96" s="96"/>
      <c r="GD96" s="96"/>
      <c r="GE96" s="96"/>
      <c r="GF96" s="96"/>
      <c r="GG96" s="96"/>
      <c r="GH96" s="96"/>
      <c r="GI96" s="96"/>
      <c r="GJ96" s="96"/>
      <c r="GK96" s="96"/>
      <c r="GL96" s="96"/>
      <c r="GM96" s="13"/>
      <c r="GN96" s="96"/>
      <c r="GO96" s="96"/>
      <c r="GP96" s="96"/>
      <c r="GQ96" s="96"/>
      <c r="GR96" s="96"/>
      <c r="GS96" s="96"/>
      <c r="GT96" s="96"/>
      <c r="GU96" s="96"/>
      <c r="GV96" s="96"/>
      <c r="GW96" s="96"/>
      <c r="GX96" s="96"/>
      <c r="GY96" s="96"/>
      <c r="GZ96" s="96"/>
      <c r="HA96" s="96"/>
      <c r="HB96" s="96"/>
      <c r="HC96" s="13"/>
      <c r="HD96" s="96"/>
      <c r="HE96" s="96"/>
      <c r="HF96" s="96"/>
      <c r="HG96" s="96"/>
      <c r="HH96" s="96"/>
      <c r="HI96" s="96"/>
      <c r="HJ96" s="96"/>
      <c r="HK96" s="96"/>
      <c r="HL96" s="96"/>
      <c r="HM96" s="96"/>
      <c r="HN96" s="96"/>
      <c r="HO96" s="96"/>
      <c r="HP96" s="96"/>
      <c r="HQ96" s="96"/>
      <c r="HR96" s="96"/>
      <c r="HS96" s="13"/>
      <c r="HT96" s="96"/>
      <c r="HU96" s="96"/>
      <c r="HV96" s="96"/>
      <c r="HW96" s="96"/>
      <c r="HX96" s="96"/>
      <c r="HY96" s="96"/>
      <c r="HZ96" s="96"/>
      <c r="IA96" s="96"/>
      <c r="IB96" s="96"/>
      <c r="IC96" s="96"/>
      <c r="ID96" s="96"/>
      <c r="IE96" s="96"/>
      <c r="IF96" s="96"/>
      <c r="IG96" s="96"/>
      <c r="IH96" s="96"/>
      <c r="II96" s="13"/>
      <c r="IJ96" s="96"/>
      <c r="IK96" s="96"/>
      <c r="IL96" s="96"/>
      <c r="IM96" s="96"/>
      <c r="IN96" s="96"/>
      <c r="IO96" s="96"/>
      <c r="IP96" s="96"/>
      <c r="IQ96" s="96"/>
      <c r="IR96" s="96"/>
      <c r="IS96" s="96"/>
      <c r="IT96" s="96"/>
      <c r="IU96" s="96"/>
      <c r="IV96" s="96"/>
      <c r="IW96" s="96"/>
      <c r="IX96" s="96"/>
      <c r="IY96" s="13"/>
    </row>
    <row r="97" spans="1:259" outlineLevel="1">
      <c r="A97" s="11">
        <f>'VAC &amp; MED'!C86</f>
        <v>46092</v>
      </c>
      <c r="B97" s="261"/>
      <c r="C97" s="261"/>
      <c r="D97" s="261"/>
      <c r="E97" s="261"/>
      <c r="F97" s="261"/>
      <c r="G97" s="261"/>
      <c r="H97" s="261"/>
      <c r="I97" s="261"/>
      <c r="J97" s="261"/>
      <c r="K97" s="261"/>
      <c r="L97" s="261"/>
      <c r="M97" s="261"/>
      <c r="N97" s="261"/>
      <c r="O97" s="261"/>
      <c r="P97" s="261"/>
      <c r="Q97" s="261"/>
      <c r="R97" s="262"/>
      <c r="S97" s="262"/>
      <c r="T97" s="262"/>
      <c r="U97" s="262"/>
      <c r="V97" s="262"/>
      <c r="W97" s="262"/>
      <c r="X97" s="262"/>
      <c r="Y97" s="262"/>
      <c r="Z97" s="262"/>
      <c r="AA97" s="262"/>
      <c r="AB97" s="262"/>
      <c r="AC97" s="262"/>
      <c r="AD97" s="262"/>
      <c r="AE97" s="262"/>
      <c r="AF97" s="262"/>
      <c r="AG97" s="262"/>
      <c r="AH97" s="263"/>
      <c r="AI97" s="263"/>
      <c r="AJ97" s="263"/>
      <c r="AK97" s="263"/>
      <c r="AL97" s="263"/>
      <c r="AM97" s="263"/>
      <c r="AN97" s="263"/>
      <c r="AO97" s="263"/>
      <c r="AP97" s="263"/>
      <c r="AQ97" s="263"/>
      <c r="AR97" s="263"/>
      <c r="AS97" s="263"/>
      <c r="AT97" s="263"/>
      <c r="AU97" s="263"/>
      <c r="AV97" s="263"/>
      <c r="AW97" s="263"/>
      <c r="AX97" s="264"/>
      <c r="AY97" s="264"/>
      <c r="AZ97" s="264"/>
      <c r="BA97" s="264"/>
      <c r="BB97" s="264"/>
      <c r="BC97" s="264"/>
      <c r="BD97" s="264"/>
      <c r="BE97" s="264"/>
      <c r="BF97" s="264"/>
      <c r="BG97" s="264"/>
      <c r="BH97" s="264"/>
      <c r="BI97" s="264"/>
      <c r="BJ97" s="264"/>
      <c r="BK97" s="264"/>
      <c r="BL97" s="264"/>
      <c r="BM97" s="264"/>
      <c r="BN97" s="265"/>
      <c r="BO97" s="265"/>
      <c r="BP97" s="265"/>
      <c r="BQ97" s="265"/>
      <c r="BR97" s="265"/>
      <c r="BS97" s="265"/>
      <c r="BT97" s="265"/>
      <c r="BU97" s="265"/>
      <c r="BV97" s="265"/>
      <c r="BW97" s="265"/>
      <c r="BX97" s="265"/>
      <c r="BY97" s="265"/>
      <c r="BZ97" s="265"/>
      <c r="CA97" s="265"/>
      <c r="CB97" s="265"/>
      <c r="CC97" s="265"/>
      <c r="CD97" s="266"/>
      <c r="CE97" s="266"/>
      <c r="CF97" s="266"/>
      <c r="CG97" s="266"/>
      <c r="CH97" s="266"/>
      <c r="CI97" s="266"/>
      <c r="CJ97" s="266"/>
      <c r="CK97" s="266"/>
      <c r="CL97" s="266"/>
      <c r="CM97" s="266"/>
      <c r="CN97" s="266"/>
      <c r="CO97" s="266"/>
      <c r="CP97" s="266"/>
      <c r="CQ97" s="266"/>
      <c r="CR97" s="266"/>
      <c r="CS97" s="266"/>
      <c r="CT97" s="267"/>
      <c r="CU97" s="267"/>
      <c r="CV97" s="267"/>
      <c r="CW97" s="267"/>
      <c r="CX97" s="267"/>
      <c r="CY97" s="267"/>
      <c r="CZ97" s="267"/>
      <c r="DA97" s="267"/>
      <c r="DB97" s="267"/>
      <c r="DC97" s="267"/>
      <c r="DD97" s="267"/>
      <c r="DE97" s="267"/>
      <c r="DF97" s="267"/>
      <c r="DG97" s="267"/>
      <c r="DH97" s="267"/>
      <c r="DI97" s="267"/>
      <c r="DJ97" s="268"/>
      <c r="DK97" s="268"/>
      <c r="DL97" s="268"/>
      <c r="DM97" s="268"/>
      <c r="DN97" s="268"/>
      <c r="DO97" s="268"/>
      <c r="DP97" s="268"/>
      <c r="DQ97" s="268"/>
      <c r="DR97" s="268"/>
      <c r="DS97" s="268"/>
      <c r="DT97" s="268"/>
      <c r="DU97" s="268"/>
      <c r="DV97" s="268"/>
      <c r="DW97" s="268"/>
      <c r="DX97" s="268"/>
      <c r="DY97" s="268"/>
      <c r="EA97" s="13"/>
      <c r="EB97" s="96"/>
      <c r="EC97" s="96"/>
      <c r="ED97" s="96"/>
      <c r="EE97" s="96"/>
      <c r="EF97" s="96"/>
      <c r="EG97" s="96"/>
      <c r="EH97" s="96"/>
      <c r="EI97" s="96"/>
      <c r="EJ97" s="96"/>
      <c r="EK97" s="96"/>
      <c r="EL97" s="96"/>
      <c r="EM97" s="96"/>
      <c r="EN97" s="96"/>
      <c r="EO97" s="96"/>
      <c r="EP97" s="96"/>
      <c r="EQ97" s="96"/>
      <c r="ER97" s="96"/>
      <c r="ES97" s="96"/>
      <c r="ET97" s="96"/>
      <c r="EU97" s="96"/>
      <c r="EV97" s="96"/>
      <c r="EW97" s="96"/>
      <c r="EX97" s="96"/>
      <c r="EY97" s="96"/>
      <c r="EZ97" s="96"/>
      <c r="FA97" s="96"/>
      <c r="FB97" s="96"/>
      <c r="FC97" s="96"/>
      <c r="FD97" s="96"/>
      <c r="FE97" s="96"/>
      <c r="FF97" s="96"/>
      <c r="FG97" s="96"/>
      <c r="FH97" s="96"/>
      <c r="FI97" s="96"/>
      <c r="FJ97" s="96"/>
      <c r="FK97" s="96"/>
      <c r="FL97" s="96"/>
      <c r="FM97" s="96"/>
      <c r="FN97" s="96"/>
      <c r="FO97" s="96"/>
      <c r="FP97" s="96"/>
      <c r="FQ97" s="96"/>
      <c r="FR97" s="96"/>
      <c r="FS97" s="96"/>
      <c r="FT97" s="96"/>
      <c r="FU97" s="96"/>
      <c r="FV97" s="96"/>
      <c r="FW97" s="96"/>
      <c r="FX97" s="96"/>
      <c r="FY97" s="96"/>
      <c r="FZ97" s="96"/>
      <c r="GA97" s="96"/>
      <c r="GB97" s="96"/>
      <c r="GC97" s="96"/>
      <c r="GD97" s="96"/>
      <c r="GE97" s="96"/>
      <c r="GF97" s="96"/>
      <c r="GG97" s="96"/>
      <c r="GH97" s="96"/>
      <c r="GI97" s="96"/>
      <c r="GJ97" s="96"/>
      <c r="GK97" s="96"/>
      <c r="GL97" s="96"/>
      <c r="GM97" s="13"/>
      <c r="GN97" s="96"/>
      <c r="GO97" s="96"/>
      <c r="GP97" s="96"/>
      <c r="GQ97" s="96"/>
      <c r="GR97" s="96"/>
      <c r="GS97" s="96"/>
      <c r="GT97" s="96"/>
      <c r="GU97" s="96"/>
      <c r="GV97" s="96"/>
      <c r="GW97" s="96"/>
      <c r="GX97" s="96"/>
      <c r="GY97" s="96"/>
      <c r="GZ97" s="96"/>
      <c r="HA97" s="96"/>
      <c r="HB97" s="96"/>
      <c r="HC97" s="13"/>
      <c r="HD97" s="96"/>
      <c r="HE97" s="96"/>
      <c r="HF97" s="96"/>
      <c r="HG97" s="96"/>
      <c r="HH97" s="96"/>
      <c r="HI97" s="96"/>
      <c r="HJ97" s="96"/>
      <c r="HK97" s="96"/>
      <c r="HL97" s="96"/>
      <c r="HM97" s="96"/>
      <c r="HN97" s="96"/>
      <c r="HO97" s="96"/>
      <c r="HP97" s="96"/>
      <c r="HQ97" s="96"/>
      <c r="HR97" s="96"/>
      <c r="HS97" s="13"/>
      <c r="HT97" s="96"/>
      <c r="HU97" s="96"/>
      <c r="HV97" s="96"/>
      <c r="HW97" s="96"/>
      <c r="HX97" s="96"/>
      <c r="HY97" s="96"/>
      <c r="HZ97" s="96"/>
      <c r="IA97" s="96"/>
      <c r="IB97" s="96"/>
      <c r="IC97" s="96"/>
      <c r="ID97" s="96"/>
      <c r="IE97" s="96"/>
      <c r="IF97" s="96"/>
      <c r="IG97" s="96"/>
      <c r="IH97" s="96"/>
      <c r="II97" s="13"/>
      <c r="IJ97" s="96"/>
      <c r="IK97" s="96"/>
      <c r="IL97" s="96"/>
      <c r="IM97" s="96"/>
      <c r="IN97" s="96"/>
      <c r="IO97" s="96"/>
      <c r="IP97" s="96"/>
      <c r="IQ97" s="96"/>
      <c r="IR97" s="96"/>
      <c r="IS97" s="96"/>
      <c r="IT97" s="96"/>
      <c r="IU97" s="96"/>
      <c r="IV97" s="96"/>
      <c r="IW97" s="96"/>
      <c r="IX97" s="96"/>
      <c r="IY97" s="13"/>
    </row>
    <row r="98" spans="1:259" outlineLevel="1">
      <c r="A98" s="11">
        <f>'VAC &amp; MED'!C87</f>
        <v>46093</v>
      </c>
      <c r="B98" s="261"/>
      <c r="C98" s="261"/>
      <c r="D98" s="261"/>
      <c r="E98" s="261"/>
      <c r="F98" s="261"/>
      <c r="G98" s="261"/>
      <c r="H98" s="261"/>
      <c r="I98" s="261"/>
      <c r="J98" s="261"/>
      <c r="K98" s="261"/>
      <c r="L98" s="261"/>
      <c r="M98" s="261"/>
      <c r="N98" s="261"/>
      <c r="O98" s="261"/>
      <c r="P98" s="261"/>
      <c r="Q98" s="261"/>
      <c r="R98" s="262"/>
      <c r="S98" s="262"/>
      <c r="T98" s="262"/>
      <c r="U98" s="262"/>
      <c r="V98" s="262"/>
      <c r="W98" s="262"/>
      <c r="X98" s="262"/>
      <c r="Y98" s="262"/>
      <c r="Z98" s="262"/>
      <c r="AA98" s="262"/>
      <c r="AB98" s="262"/>
      <c r="AC98" s="262"/>
      <c r="AD98" s="262"/>
      <c r="AE98" s="262"/>
      <c r="AF98" s="262"/>
      <c r="AG98" s="262"/>
      <c r="AH98" s="263"/>
      <c r="AI98" s="263"/>
      <c r="AJ98" s="263"/>
      <c r="AK98" s="263"/>
      <c r="AL98" s="263"/>
      <c r="AM98" s="263"/>
      <c r="AN98" s="263"/>
      <c r="AO98" s="263"/>
      <c r="AP98" s="263"/>
      <c r="AQ98" s="263"/>
      <c r="AR98" s="263"/>
      <c r="AS98" s="263"/>
      <c r="AT98" s="263"/>
      <c r="AU98" s="263"/>
      <c r="AV98" s="263"/>
      <c r="AW98" s="263"/>
      <c r="AX98" s="264"/>
      <c r="AY98" s="264"/>
      <c r="AZ98" s="264"/>
      <c r="BA98" s="264"/>
      <c r="BB98" s="264"/>
      <c r="BC98" s="264"/>
      <c r="BD98" s="264"/>
      <c r="BE98" s="264"/>
      <c r="BF98" s="264"/>
      <c r="BG98" s="264"/>
      <c r="BH98" s="264"/>
      <c r="BI98" s="264"/>
      <c r="BJ98" s="264"/>
      <c r="BK98" s="264"/>
      <c r="BL98" s="264"/>
      <c r="BM98" s="264"/>
      <c r="BN98" s="265"/>
      <c r="BO98" s="265"/>
      <c r="BP98" s="265"/>
      <c r="BQ98" s="265"/>
      <c r="BR98" s="265"/>
      <c r="BS98" s="265"/>
      <c r="BT98" s="265"/>
      <c r="BU98" s="265"/>
      <c r="BV98" s="265"/>
      <c r="BW98" s="265"/>
      <c r="BX98" s="265"/>
      <c r="BY98" s="265"/>
      <c r="BZ98" s="265"/>
      <c r="CA98" s="265"/>
      <c r="CB98" s="265"/>
      <c r="CC98" s="265"/>
      <c r="CD98" s="266"/>
      <c r="CE98" s="266"/>
      <c r="CF98" s="266"/>
      <c r="CG98" s="266"/>
      <c r="CH98" s="266"/>
      <c r="CI98" s="266"/>
      <c r="CJ98" s="266"/>
      <c r="CK98" s="266"/>
      <c r="CL98" s="266"/>
      <c r="CM98" s="266"/>
      <c r="CN98" s="266"/>
      <c r="CO98" s="266"/>
      <c r="CP98" s="266"/>
      <c r="CQ98" s="266"/>
      <c r="CR98" s="266"/>
      <c r="CS98" s="266"/>
      <c r="CT98" s="267"/>
      <c r="CU98" s="267"/>
      <c r="CV98" s="267"/>
      <c r="CW98" s="267"/>
      <c r="CX98" s="267"/>
      <c r="CY98" s="267"/>
      <c r="CZ98" s="267"/>
      <c r="DA98" s="267"/>
      <c r="DB98" s="267"/>
      <c r="DC98" s="267"/>
      <c r="DD98" s="267"/>
      <c r="DE98" s="267"/>
      <c r="DF98" s="267"/>
      <c r="DG98" s="267"/>
      <c r="DH98" s="267"/>
      <c r="DI98" s="267"/>
      <c r="DJ98" s="268"/>
      <c r="DK98" s="268"/>
      <c r="DL98" s="268"/>
      <c r="DM98" s="268"/>
      <c r="DN98" s="268"/>
      <c r="DO98" s="268"/>
      <c r="DP98" s="268"/>
      <c r="DQ98" s="268"/>
      <c r="DR98" s="268"/>
      <c r="DS98" s="268"/>
      <c r="DT98" s="268"/>
      <c r="DU98" s="268"/>
      <c r="DV98" s="268"/>
      <c r="DW98" s="268"/>
      <c r="DX98" s="268"/>
      <c r="DY98" s="268"/>
      <c r="EA98" s="13"/>
      <c r="EB98" s="96"/>
      <c r="EC98" s="96"/>
      <c r="ED98" s="96"/>
      <c r="EE98" s="96"/>
      <c r="EF98" s="96"/>
      <c r="EG98" s="96"/>
      <c r="EH98" s="96"/>
      <c r="EI98" s="96"/>
      <c r="EJ98" s="96"/>
      <c r="EK98" s="96"/>
      <c r="EL98" s="96"/>
      <c r="EM98" s="96"/>
      <c r="EN98" s="96"/>
      <c r="EO98" s="96"/>
      <c r="EP98" s="96"/>
      <c r="EQ98" s="96"/>
      <c r="ER98" s="96"/>
      <c r="ES98" s="96"/>
      <c r="ET98" s="96"/>
      <c r="EU98" s="96"/>
      <c r="EV98" s="96"/>
      <c r="EW98" s="96"/>
      <c r="EX98" s="96"/>
      <c r="EY98" s="96"/>
      <c r="EZ98" s="96"/>
      <c r="FA98" s="96"/>
      <c r="FB98" s="96"/>
      <c r="FC98" s="96"/>
      <c r="FD98" s="96"/>
      <c r="FE98" s="96"/>
      <c r="FF98" s="96"/>
      <c r="FG98" s="96"/>
      <c r="FH98" s="96"/>
      <c r="FI98" s="96"/>
      <c r="FJ98" s="96"/>
      <c r="FK98" s="96"/>
      <c r="FL98" s="96"/>
      <c r="FM98" s="96"/>
      <c r="FN98" s="96"/>
      <c r="FO98" s="96"/>
      <c r="FP98" s="96"/>
      <c r="FQ98" s="96"/>
      <c r="FR98" s="96"/>
      <c r="FS98" s="96"/>
      <c r="FT98" s="96"/>
      <c r="FU98" s="96"/>
      <c r="FV98" s="96"/>
      <c r="FW98" s="96"/>
      <c r="FX98" s="96"/>
      <c r="FY98" s="96"/>
      <c r="FZ98" s="96"/>
      <c r="GA98" s="96"/>
      <c r="GB98" s="96"/>
      <c r="GC98" s="96"/>
      <c r="GD98" s="96"/>
      <c r="GE98" s="96"/>
      <c r="GF98" s="96"/>
      <c r="GG98" s="96"/>
      <c r="GH98" s="96"/>
      <c r="GI98" s="96"/>
      <c r="GJ98" s="96"/>
      <c r="GK98" s="96"/>
      <c r="GL98" s="96"/>
      <c r="GM98" s="13"/>
      <c r="GN98" s="96"/>
      <c r="GO98" s="96"/>
      <c r="GP98" s="96"/>
      <c r="GQ98" s="96"/>
      <c r="GR98" s="96"/>
      <c r="GS98" s="96"/>
      <c r="GT98" s="96"/>
      <c r="GU98" s="96"/>
      <c r="GV98" s="96"/>
      <c r="GW98" s="96"/>
      <c r="GX98" s="96"/>
      <c r="GY98" s="96"/>
      <c r="GZ98" s="96"/>
      <c r="HA98" s="96"/>
      <c r="HB98" s="96"/>
      <c r="HC98" s="13"/>
      <c r="HD98" s="96"/>
      <c r="HE98" s="96"/>
      <c r="HF98" s="96"/>
      <c r="HG98" s="96"/>
      <c r="HH98" s="96"/>
      <c r="HI98" s="96"/>
      <c r="HJ98" s="96"/>
      <c r="HK98" s="96"/>
      <c r="HL98" s="96"/>
      <c r="HM98" s="96"/>
      <c r="HN98" s="96"/>
      <c r="HO98" s="96"/>
      <c r="HP98" s="96"/>
      <c r="HQ98" s="96"/>
      <c r="HR98" s="96"/>
      <c r="HS98" s="13"/>
      <c r="HT98" s="96"/>
      <c r="HU98" s="96"/>
      <c r="HV98" s="96"/>
      <c r="HW98" s="96"/>
      <c r="HX98" s="96"/>
      <c r="HY98" s="96"/>
      <c r="HZ98" s="96"/>
      <c r="IA98" s="96"/>
      <c r="IB98" s="96"/>
      <c r="IC98" s="96"/>
      <c r="ID98" s="96"/>
      <c r="IE98" s="96"/>
      <c r="IF98" s="96"/>
      <c r="IG98" s="96"/>
      <c r="IH98" s="96"/>
      <c r="II98" s="13"/>
      <c r="IJ98" s="96"/>
      <c r="IK98" s="96"/>
      <c r="IL98" s="96"/>
      <c r="IM98" s="96"/>
      <c r="IN98" s="96"/>
      <c r="IO98" s="96"/>
      <c r="IP98" s="96"/>
      <c r="IQ98" s="96"/>
      <c r="IR98" s="96"/>
      <c r="IS98" s="96"/>
      <c r="IT98" s="96"/>
      <c r="IU98" s="96"/>
      <c r="IV98" s="96"/>
      <c r="IW98" s="96"/>
      <c r="IX98" s="96"/>
      <c r="IY98" s="13"/>
    </row>
    <row r="99" spans="1:259" outlineLevel="1">
      <c r="A99" s="11">
        <f>'VAC &amp; MED'!C88</f>
        <v>46094</v>
      </c>
      <c r="B99" s="261"/>
      <c r="C99" s="261"/>
      <c r="D99" s="261"/>
      <c r="E99" s="261"/>
      <c r="F99" s="261"/>
      <c r="G99" s="261"/>
      <c r="H99" s="261"/>
      <c r="I99" s="261"/>
      <c r="J99" s="261"/>
      <c r="K99" s="261"/>
      <c r="L99" s="261"/>
      <c r="M99" s="261"/>
      <c r="N99" s="261"/>
      <c r="O99" s="261"/>
      <c r="P99" s="261"/>
      <c r="Q99" s="261"/>
      <c r="R99" s="262"/>
      <c r="S99" s="262"/>
      <c r="T99" s="262"/>
      <c r="U99" s="262"/>
      <c r="V99" s="262"/>
      <c r="W99" s="262"/>
      <c r="X99" s="262"/>
      <c r="Y99" s="262"/>
      <c r="Z99" s="262"/>
      <c r="AA99" s="262"/>
      <c r="AB99" s="262"/>
      <c r="AC99" s="262"/>
      <c r="AD99" s="262"/>
      <c r="AE99" s="262"/>
      <c r="AF99" s="262"/>
      <c r="AG99" s="262"/>
      <c r="AH99" s="263"/>
      <c r="AI99" s="263"/>
      <c r="AJ99" s="263"/>
      <c r="AK99" s="263"/>
      <c r="AL99" s="263"/>
      <c r="AM99" s="263"/>
      <c r="AN99" s="263"/>
      <c r="AO99" s="263"/>
      <c r="AP99" s="263"/>
      <c r="AQ99" s="263"/>
      <c r="AR99" s="263"/>
      <c r="AS99" s="263"/>
      <c r="AT99" s="263"/>
      <c r="AU99" s="263"/>
      <c r="AV99" s="263"/>
      <c r="AW99" s="263"/>
      <c r="AX99" s="264"/>
      <c r="AY99" s="264"/>
      <c r="AZ99" s="264"/>
      <c r="BA99" s="264"/>
      <c r="BB99" s="264"/>
      <c r="BC99" s="264"/>
      <c r="BD99" s="264"/>
      <c r="BE99" s="264"/>
      <c r="BF99" s="264"/>
      <c r="BG99" s="264"/>
      <c r="BH99" s="264"/>
      <c r="BI99" s="264"/>
      <c r="BJ99" s="264"/>
      <c r="BK99" s="264"/>
      <c r="BL99" s="264"/>
      <c r="BM99" s="264"/>
      <c r="BN99" s="265"/>
      <c r="BO99" s="265"/>
      <c r="BP99" s="265"/>
      <c r="BQ99" s="265"/>
      <c r="BR99" s="265"/>
      <c r="BS99" s="265"/>
      <c r="BT99" s="265"/>
      <c r="BU99" s="265"/>
      <c r="BV99" s="265"/>
      <c r="BW99" s="265"/>
      <c r="BX99" s="265"/>
      <c r="BY99" s="265"/>
      <c r="BZ99" s="265"/>
      <c r="CA99" s="265"/>
      <c r="CB99" s="265"/>
      <c r="CC99" s="265"/>
      <c r="CD99" s="266"/>
      <c r="CE99" s="266"/>
      <c r="CF99" s="266"/>
      <c r="CG99" s="266"/>
      <c r="CH99" s="266"/>
      <c r="CI99" s="266"/>
      <c r="CJ99" s="266"/>
      <c r="CK99" s="266"/>
      <c r="CL99" s="266"/>
      <c r="CM99" s="266"/>
      <c r="CN99" s="266"/>
      <c r="CO99" s="266"/>
      <c r="CP99" s="266"/>
      <c r="CQ99" s="266"/>
      <c r="CR99" s="266"/>
      <c r="CS99" s="266"/>
      <c r="CT99" s="267"/>
      <c r="CU99" s="267"/>
      <c r="CV99" s="267"/>
      <c r="CW99" s="267"/>
      <c r="CX99" s="267"/>
      <c r="CY99" s="267"/>
      <c r="CZ99" s="267"/>
      <c r="DA99" s="267"/>
      <c r="DB99" s="267"/>
      <c r="DC99" s="267"/>
      <c r="DD99" s="267"/>
      <c r="DE99" s="267"/>
      <c r="DF99" s="267"/>
      <c r="DG99" s="267"/>
      <c r="DH99" s="267"/>
      <c r="DI99" s="267"/>
      <c r="DJ99" s="268"/>
      <c r="DK99" s="268">
        <v>100</v>
      </c>
      <c r="DL99" s="268"/>
      <c r="DM99" s="268"/>
      <c r="DN99" s="268"/>
      <c r="DO99" s="268"/>
      <c r="DP99" s="268"/>
      <c r="DQ99" s="268"/>
      <c r="DR99" s="268"/>
      <c r="DS99" s="268"/>
      <c r="DT99" s="268"/>
      <c r="DU99" s="268"/>
      <c r="DV99" s="268"/>
      <c r="DW99" s="268"/>
      <c r="DX99" s="268"/>
      <c r="DY99" s="268"/>
      <c r="EA99" s="13"/>
      <c r="EB99" s="96"/>
      <c r="EC99" s="96"/>
      <c r="ED99" s="96"/>
      <c r="EE99" s="96"/>
      <c r="EF99" s="96"/>
      <c r="EG99" s="96"/>
      <c r="EH99" s="96"/>
      <c r="EI99" s="96"/>
      <c r="EJ99" s="96"/>
      <c r="EK99" s="96"/>
      <c r="EL99" s="96"/>
      <c r="EM99" s="96"/>
      <c r="EN99" s="96"/>
      <c r="EO99" s="96"/>
      <c r="EP99" s="96"/>
      <c r="EQ99" s="96"/>
      <c r="ER99" s="96"/>
      <c r="ES99" s="96"/>
      <c r="ET99" s="96"/>
      <c r="EU99" s="96"/>
      <c r="EV99" s="96"/>
      <c r="EW99" s="96"/>
      <c r="EX99" s="96"/>
      <c r="EY99" s="96"/>
      <c r="EZ99" s="96"/>
      <c r="FA99" s="96"/>
      <c r="FB99" s="96"/>
      <c r="FC99" s="96"/>
      <c r="FD99" s="96"/>
      <c r="FE99" s="96"/>
      <c r="FF99" s="96"/>
      <c r="FG99" s="96"/>
      <c r="FH99" s="96"/>
      <c r="FI99" s="96"/>
      <c r="FJ99" s="96"/>
      <c r="FK99" s="96"/>
      <c r="FL99" s="96"/>
      <c r="FM99" s="96"/>
      <c r="FN99" s="96"/>
      <c r="FO99" s="96"/>
      <c r="FP99" s="96"/>
      <c r="FQ99" s="96"/>
      <c r="FR99" s="96"/>
      <c r="FS99" s="96"/>
      <c r="FT99" s="96"/>
      <c r="FU99" s="96"/>
      <c r="FV99" s="96"/>
      <c r="FW99" s="96"/>
      <c r="FX99" s="96"/>
      <c r="FY99" s="96"/>
      <c r="FZ99" s="96"/>
      <c r="GA99" s="96"/>
      <c r="GB99" s="96"/>
      <c r="GC99" s="96"/>
      <c r="GD99" s="96"/>
      <c r="GE99" s="96"/>
      <c r="GF99" s="96"/>
      <c r="GG99" s="96"/>
      <c r="GH99" s="96"/>
      <c r="GI99" s="96"/>
      <c r="GJ99" s="96"/>
      <c r="GK99" s="96"/>
      <c r="GL99" s="96"/>
      <c r="GM99" s="13"/>
      <c r="GN99" s="96"/>
      <c r="GO99" s="96"/>
      <c r="GP99" s="96"/>
      <c r="GQ99" s="96"/>
      <c r="GR99" s="96"/>
      <c r="GS99" s="96"/>
      <c r="GT99" s="96"/>
      <c r="GU99" s="96"/>
      <c r="GV99" s="96"/>
      <c r="GW99" s="96"/>
      <c r="GX99" s="96"/>
      <c r="GY99" s="96"/>
      <c r="GZ99" s="96"/>
      <c r="HA99" s="96"/>
      <c r="HB99" s="96"/>
      <c r="HC99" s="13"/>
      <c r="HD99" s="96"/>
      <c r="HE99" s="96"/>
      <c r="HF99" s="96"/>
      <c r="HG99" s="96"/>
      <c r="HH99" s="96"/>
      <c r="HI99" s="96"/>
      <c r="HJ99" s="96"/>
      <c r="HK99" s="96"/>
      <c r="HL99" s="96"/>
      <c r="HM99" s="96"/>
      <c r="HN99" s="96"/>
      <c r="HO99" s="96"/>
      <c r="HP99" s="96"/>
      <c r="HQ99" s="96"/>
      <c r="HR99" s="96"/>
      <c r="HS99" s="13"/>
      <c r="HT99" s="96"/>
      <c r="HU99" s="96"/>
      <c r="HV99" s="96"/>
      <c r="HW99" s="96"/>
      <c r="HX99" s="96"/>
      <c r="HY99" s="96"/>
      <c r="HZ99" s="96"/>
      <c r="IA99" s="96"/>
      <c r="IB99" s="96"/>
      <c r="IC99" s="96"/>
      <c r="ID99" s="96"/>
      <c r="IE99" s="96"/>
      <c r="IF99" s="96"/>
      <c r="IG99" s="96"/>
      <c r="IH99" s="96"/>
      <c r="II99" s="13"/>
      <c r="IJ99" s="96"/>
      <c r="IK99" s="96"/>
      <c r="IL99" s="96"/>
      <c r="IM99" s="96"/>
      <c r="IN99" s="96"/>
      <c r="IO99" s="96"/>
      <c r="IP99" s="96"/>
      <c r="IQ99" s="96"/>
      <c r="IR99" s="96"/>
      <c r="IS99" s="96"/>
      <c r="IT99" s="96"/>
      <c r="IU99" s="96"/>
      <c r="IV99" s="96"/>
      <c r="IW99" s="96"/>
      <c r="IX99" s="96"/>
      <c r="IY99" s="13"/>
    </row>
    <row r="100" spans="1:259" outlineLevel="1">
      <c r="A100" s="11">
        <f>'VAC &amp; MED'!C89</f>
        <v>46095</v>
      </c>
      <c r="B100" s="261"/>
      <c r="C100" s="261"/>
      <c r="D100" s="261"/>
      <c r="E100" s="261"/>
      <c r="F100" s="261"/>
      <c r="G100" s="261"/>
      <c r="H100" s="261"/>
      <c r="I100" s="261"/>
      <c r="J100" s="261"/>
      <c r="K100" s="261"/>
      <c r="L100" s="261"/>
      <c r="M100" s="261"/>
      <c r="N100" s="261"/>
      <c r="O100" s="261"/>
      <c r="P100" s="261"/>
      <c r="Q100" s="261"/>
      <c r="R100" s="262"/>
      <c r="S100" s="262"/>
      <c r="T100" s="262"/>
      <c r="U100" s="262"/>
      <c r="V100" s="262"/>
      <c r="W100" s="262"/>
      <c r="X100" s="262"/>
      <c r="Y100" s="262"/>
      <c r="Z100" s="262"/>
      <c r="AA100" s="262"/>
      <c r="AB100" s="262"/>
      <c r="AC100" s="262"/>
      <c r="AD100" s="262"/>
      <c r="AE100" s="262"/>
      <c r="AF100" s="262"/>
      <c r="AG100" s="262"/>
      <c r="AH100" s="263"/>
      <c r="AI100" s="263"/>
      <c r="AJ100" s="263"/>
      <c r="AK100" s="263"/>
      <c r="AL100" s="263"/>
      <c r="AM100" s="263"/>
      <c r="AN100" s="263"/>
      <c r="AO100" s="263"/>
      <c r="AP100" s="263"/>
      <c r="AQ100" s="263"/>
      <c r="AR100" s="263"/>
      <c r="AS100" s="263"/>
      <c r="AT100" s="263"/>
      <c r="AU100" s="263"/>
      <c r="AV100" s="263"/>
      <c r="AW100" s="263"/>
      <c r="AX100" s="264"/>
      <c r="AY100" s="264"/>
      <c r="AZ100" s="264"/>
      <c r="BA100" s="264"/>
      <c r="BB100" s="264"/>
      <c r="BC100" s="264"/>
      <c r="BD100" s="264"/>
      <c r="BE100" s="264"/>
      <c r="BF100" s="264"/>
      <c r="BG100" s="264"/>
      <c r="BH100" s="264"/>
      <c r="BI100" s="264"/>
      <c r="BJ100" s="264"/>
      <c r="BK100" s="264"/>
      <c r="BL100" s="264"/>
      <c r="BM100" s="264"/>
      <c r="BN100" s="265"/>
      <c r="BO100" s="265"/>
      <c r="BP100" s="265"/>
      <c r="BQ100" s="265"/>
      <c r="BR100" s="265"/>
      <c r="BS100" s="265"/>
      <c r="BT100" s="265"/>
      <c r="BU100" s="265"/>
      <c r="BV100" s="265"/>
      <c r="BW100" s="265"/>
      <c r="BX100" s="265"/>
      <c r="BY100" s="265"/>
      <c r="BZ100" s="265"/>
      <c r="CA100" s="265"/>
      <c r="CB100" s="265"/>
      <c r="CC100" s="265"/>
      <c r="CD100" s="266">
        <v>44</v>
      </c>
      <c r="CE100" s="266"/>
      <c r="CF100" s="266"/>
      <c r="CG100" s="266"/>
      <c r="CH100" s="266"/>
      <c r="CI100" s="266"/>
      <c r="CJ100" s="266"/>
      <c r="CK100" s="266"/>
      <c r="CL100" s="266"/>
      <c r="CM100" s="266"/>
      <c r="CN100" s="266"/>
      <c r="CO100" s="266"/>
      <c r="CP100" s="266"/>
      <c r="CQ100" s="266"/>
      <c r="CR100" s="266"/>
      <c r="CS100" s="266"/>
      <c r="CT100" s="267"/>
      <c r="CU100" s="267"/>
      <c r="CV100" s="267"/>
      <c r="CW100" s="267"/>
      <c r="CX100" s="267"/>
      <c r="CY100" s="267"/>
      <c r="CZ100" s="267"/>
      <c r="DA100" s="267"/>
      <c r="DB100" s="267"/>
      <c r="DC100" s="267"/>
      <c r="DD100" s="267"/>
      <c r="DE100" s="267"/>
      <c r="DF100" s="267"/>
      <c r="DG100" s="267"/>
      <c r="DH100" s="267"/>
      <c r="DI100" s="267"/>
      <c r="DJ100" s="268">
        <v>30</v>
      </c>
      <c r="DK100" s="268"/>
      <c r="DL100" s="268"/>
      <c r="DM100" s="268"/>
      <c r="DN100" s="268"/>
      <c r="DO100" s="268"/>
      <c r="DP100" s="268"/>
      <c r="DQ100" s="268"/>
      <c r="DR100" s="268"/>
      <c r="DS100" s="268"/>
      <c r="DT100" s="268"/>
      <c r="DU100" s="268"/>
      <c r="DV100" s="268"/>
      <c r="DW100" s="268"/>
      <c r="DX100" s="268"/>
      <c r="DY100" s="268"/>
      <c r="EA100" s="13"/>
      <c r="EB100" s="96"/>
      <c r="EC100" s="96"/>
      <c r="ED100" s="96"/>
      <c r="EE100" s="96"/>
      <c r="EF100" s="96"/>
      <c r="EG100" s="96"/>
      <c r="EH100" s="96"/>
      <c r="EI100" s="96"/>
      <c r="EJ100" s="96"/>
      <c r="EK100" s="96"/>
      <c r="EL100" s="96"/>
      <c r="EM100" s="96"/>
      <c r="EN100" s="96"/>
      <c r="EO100" s="96"/>
      <c r="EP100" s="96"/>
      <c r="EQ100" s="96"/>
      <c r="ER100" s="96"/>
      <c r="ES100" s="96"/>
      <c r="ET100" s="96"/>
      <c r="EU100" s="96"/>
      <c r="EV100" s="96"/>
      <c r="EW100" s="96"/>
      <c r="EX100" s="96"/>
      <c r="EY100" s="96"/>
      <c r="EZ100" s="96"/>
      <c r="FA100" s="96"/>
      <c r="FB100" s="96"/>
      <c r="FC100" s="96"/>
      <c r="FD100" s="96"/>
      <c r="FE100" s="96"/>
      <c r="FF100" s="96"/>
      <c r="FG100" s="96"/>
      <c r="FH100" s="96"/>
      <c r="FI100" s="96"/>
      <c r="FJ100" s="96"/>
      <c r="FK100" s="96"/>
      <c r="FL100" s="96"/>
      <c r="FM100" s="96"/>
      <c r="FN100" s="96"/>
      <c r="FO100" s="96"/>
      <c r="FP100" s="96"/>
      <c r="FQ100" s="96"/>
      <c r="FR100" s="96"/>
      <c r="FS100" s="96"/>
      <c r="FT100" s="96"/>
      <c r="FU100" s="96"/>
      <c r="FV100" s="96"/>
      <c r="FW100" s="96"/>
      <c r="FX100" s="96"/>
      <c r="FY100" s="96"/>
      <c r="FZ100" s="96"/>
      <c r="GA100" s="96"/>
      <c r="GB100" s="96"/>
      <c r="GC100" s="96"/>
      <c r="GD100" s="96"/>
      <c r="GE100" s="96"/>
      <c r="GF100" s="96"/>
      <c r="GG100" s="96"/>
      <c r="GH100" s="96"/>
      <c r="GI100" s="96"/>
      <c r="GJ100" s="96"/>
      <c r="GK100" s="96"/>
      <c r="GL100" s="96"/>
      <c r="GM100" s="13"/>
      <c r="GN100" s="96"/>
      <c r="GO100" s="96"/>
      <c r="GP100" s="96"/>
      <c r="GQ100" s="96"/>
      <c r="GR100" s="96"/>
      <c r="GS100" s="96"/>
      <c r="GT100" s="96"/>
      <c r="GU100" s="96"/>
      <c r="GV100" s="96"/>
      <c r="GW100" s="96"/>
      <c r="GX100" s="96"/>
      <c r="GY100" s="96"/>
      <c r="GZ100" s="96"/>
      <c r="HA100" s="96"/>
      <c r="HB100" s="96"/>
      <c r="HC100" s="13"/>
      <c r="HD100" s="96"/>
      <c r="HE100" s="96"/>
      <c r="HF100" s="96"/>
      <c r="HG100" s="96"/>
      <c r="HH100" s="96"/>
      <c r="HI100" s="96"/>
      <c r="HJ100" s="96"/>
      <c r="HK100" s="96"/>
      <c r="HL100" s="96"/>
      <c r="HM100" s="96"/>
      <c r="HN100" s="96"/>
      <c r="HO100" s="96"/>
      <c r="HP100" s="96"/>
      <c r="HQ100" s="96"/>
      <c r="HR100" s="96"/>
      <c r="HS100" s="13"/>
      <c r="HT100" s="96"/>
      <c r="HU100" s="96"/>
      <c r="HV100" s="96"/>
      <c r="HW100" s="96"/>
      <c r="HX100" s="96"/>
      <c r="HY100" s="96"/>
      <c r="HZ100" s="96"/>
      <c r="IA100" s="96"/>
      <c r="IB100" s="96"/>
      <c r="IC100" s="96"/>
      <c r="ID100" s="96"/>
      <c r="IE100" s="96"/>
      <c r="IF100" s="96"/>
      <c r="IG100" s="96"/>
      <c r="IH100" s="96"/>
      <c r="II100" s="13"/>
      <c r="IJ100" s="96"/>
      <c r="IK100" s="96"/>
      <c r="IL100" s="96"/>
      <c r="IM100" s="96"/>
      <c r="IN100" s="96"/>
      <c r="IO100" s="96"/>
      <c r="IP100" s="96"/>
      <c r="IQ100" s="96"/>
      <c r="IR100" s="96"/>
      <c r="IS100" s="96"/>
      <c r="IT100" s="96"/>
      <c r="IU100" s="96"/>
      <c r="IV100" s="96"/>
      <c r="IW100" s="96"/>
      <c r="IX100" s="96"/>
      <c r="IY100" s="13"/>
    </row>
    <row r="101" spans="1:259" outlineLevel="1">
      <c r="A101" s="11">
        <f>'VAC &amp; MED'!C90</f>
        <v>46096</v>
      </c>
      <c r="B101" s="261"/>
      <c r="C101" s="261"/>
      <c r="D101" s="261"/>
      <c r="E101" s="261"/>
      <c r="F101" s="261"/>
      <c r="G101" s="261"/>
      <c r="H101" s="261"/>
      <c r="I101" s="261"/>
      <c r="J101" s="261"/>
      <c r="K101" s="261"/>
      <c r="L101" s="261"/>
      <c r="M101" s="261"/>
      <c r="N101" s="261"/>
      <c r="O101" s="261"/>
      <c r="P101" s="261"/>
      <c r="Q101" s="261"/>
      <c r="R101" s="262"/>
      <c r="S101" s="262"/>
      <c r="T101" s="262"/>
      <c r="U101" s="262"/>
      <c r="V101" s="262"/>
      <c r="W101" s="262"/>
      <c r="X101" s="262"/>
      <c r="Y101" s="262"/>
      <c r="Z101" s="262"/>
      <c r="AA101" s="262"/>
      <c r="AB101" s="262"/>
      <c r="AC101" s="262"/>
      <c r="AD101" s="262"/>
      <c r="AE101" s="262"/>
      <c r="AF101" s="262"/>
      <c r="AG101" s="262"/>
      <c r="AH101" s="263"/>
      <c r="AI101" s="263"/>
      <c r="AJ101" s="263"/>
      <c r="AK101" s="263"/>
      <c r="AL101" s="263"/>
      <c r="AM101" s="263"/>
      <c r="AN101" s="263"/>
      <c r="AO101" s="263"/>
      <c r="AP101" s="263"/>
      <c r="AQ101" s="263"/>
      <c r="AR101" s="263"/>
      <c r="AS101" s="263"/>
      <c r="AT101" s="263"/>
      <c r="AU101" s="263"/>
      <c r="AV101" s="263"/>
      <c r="AW101" s="263"/>
      <c r="AX101" s="264"/>
      <c r="AY101" s="264"/>
      <c r="AZ101" s="264"/>
      <c r="BA101" s="264"/>
      <c r="BB101" s="264"/>
      <c r="BC101" s="264"/>
      <c r="BD101" s="264"/>
      <c r="BE101" s="264"/>
      <c r="BF101" s="264"/>
      <c r="BG101" s="264"/>
      <c r="BH101" s="264"/>
      <c r="BI101" s="264"/>
      <c r="BJ101" s="264"/>
      <c r="BK101" s="264"/>
      <c r="BL101" s="264"/>
      <c r="BM101" s="264"/>
      <c r="BN101" s="265"/>
      <c r="BO101" s="265"/>
      <c r="BP101" s="265"/>
      <c r="BQ101" s="265"/>
      <c r="BR101" s="265"/>
      <c r="BS101" s="265"/>
      <c r="BT101" s="265"/>
      <c r="BU101" s="265"/>
      <c r="BV101" s="265"/>
      <c r="BW101" s="265"/>
      <c r="BX101" s="265"/>
      <c r="BY101" s="265"/>
      <c r="BZ101" s="265"/>
      <c r="CA101" s="265"/>
      <c r="CB101" s="265"/>
      <c r="CC101" s="265"/>
      <c r="CD101" s="266"/>
      <c r="CE101" s="266"/>
      <c r="CF101" s="266"/>
      <c r="CG101" s="266"/>
      <c r="CH101" s="266"/>
      <c r="CI101" s="266"/>
      <c r="CJ101" s="266"/>
      <c r="CK101" s="266"/>
      <c r="CL101" s="266"/>
      <c r="CM101" s="266"/>
      <c r="CN101" s="266"/>
      <c r="CO101" s="266"/>
      <c r="CP101" s="266"/>
      <c r="CQ101" s="266"/>
      <c r="CR101" s="266"/>
      <c r="CS101" s="266"/>
      <c r="CT101" s="267"/>
      <c r="CU101" s="267"/>
      <c r="CV101" s="267"/>
      <c r="CW101" s="267"/>
      <c r="CX101" s="267"/>
      <c r="CY101" s="267"/>
      <c r="CZ101" s="267"/>
      <c r="DA101" s="267"/>
      <c r="DB101" s="267"/>
      <c r="DC101" s="267"/>
      <c r="DD101" s="267"/>
      <c r="DE101" s="267"/>
      <c r="DF101" s="267"/>
      <c r="DG101" s="267"/>
      <c r="DH101" s="267"/>
      <c r="DI101" s="267"/>
      <c r="DJ101" s="268"/>
      <c r="DK101" s="268"/>
      <c r="DL101" s="268"/>
      <c r="DM101" s="268"/>
      <c r="DN101" s="268"/>
      <c r="DO101" s="268"/>
      <c r="DP101" s="268"/>
      <c r="DQ101" s="268"/>
      <c r="DR101" s="268"/>
      <c r="DS101" s="268"/>
      <c r="DT101" s="268"/>
      <c r="DU101" s="268"/>
      <c r="DV101" s="268"/>
      <c r="DW101" s="268"/>
      <c r="DX101" s="268"/>
      <c r="DY101" s="268"/>
      <c r="EA101" s="13"/>
      <c r="EB101" s="96"/>
      <c r="EC101" s="96"/>
      <c r="ED101" s="96"/>
      <c r="EE101" s="96"/>
      <c r="EF101" s="96"/>
      <c r="EG101" s="96"/>
      <c r="EH101" s="96"/>
      <c r="EI101" s="96"/>
      <c r="EJ101" s="96"/>
      <c r="EK101" s="96"/>
      <c r="EL101" s="96"/>
      <c r="EM101" s="96"/>
      <c r="EN101" s="96"/>
      <c r="EO101" s="96"/>
      <c r="EP101" s="96"/>
      <c r="EQ101" s="96"/>
      <c r="ER101" s="96"/>
      <c r="ES101" s="96"/>
      <c r="ET101" s="96"/>
      <c r="EU101" s="96"/>
      <c r="EV101" s="96"/>
      <c r="EW101" s="96"/>
      <c r="EX101" s="96"/>
      <c r="EY101" s="96"/>
      <c r="EZ101" s="96"/>
      <c r="FA101" s="96"/>
      <c r="FB101" s="96"/>
      <c r="FC101" s="96"/>
      <c r="FD101" s="96"/>
      <c r="FE101" s="96"/>
      <c r="FF101" s="96"/>
      <c r="FG101" s="96"/>
      <c r="FH101" s="96"/>
      <c r="FI101" s="96"/>
      <c r="FJ101" s="96"/>
      <c r="FK101" s="96"/>
      <c r="FL101" s="96"/>
      <c r="FM101" s="96"/>
      <c r="FN101" s="96"/>
      <c r="FO101" s="96"/>
      <c r="FP101" s="96"/>
      <c r="FQ101" s="96"/>
      <c r="FR101" s="96"/>
      <c r="FS101" s="96"/>
      <c r="FT101" s="96"/>
      <c r="FU101" s="96"/>
      <c r="FV101" s="96"/>
      <c r="FW101" s="96"/>
      <c r="FX101" s="96"/>
      <c r="FY101" s="96"/>
      <c r="FZ101" s="96"/>
      <c r="GA101" s="96"/>
      <c r="GB101" s="96"/>
      <c r="GC101" s="96"/>
      <c r="GD101" s="96"/>
      <c r="GE101" s="96"/>
      <c r="GF101" s="96"/>
      <c r="GG101" s="96"/>
      <c r="GH101" s="96"/>
      <c r="GI101" s="96"/>
      <c r="GJ101" s="96"/>
      <c r="GK101" s="96"/>
      <c r="GL101" s="96"/>
      <c r="GM101" s="13"/>
      <c r="GN101" s="96"/>
      <c r="GO101" s="96"/>
      <c r="GP101" s="96"/>
      <c r="GQ101" s="96"/>
      <c r="GR101" s="96"/>
      <c r="GS101" s="96"/>
      <c r="GT101" s="96"/>
      <c r="GU101" s="96"/>
      <c r="GV101" s="96"/>
      <c r="GW101" s="96"/>
      <c r="GX101" s="96"/>
      <c r="GY101" s="96"/>
      <c r="GZ101" s="96"/>
      <c r="HA101" s="96"/>
      <c r="HB101" s="96"/>
      <c r="HC101" s="13"/>
      <c r="HD101" s="96"/>
      <c r="HE101" s="96"/>
      <c r="HF101" s="96"/>
      <c r="HG101" s="96"/>
      <c r="HH101" s="96"/>
      <c r="HI101" s="96"/>
      <c r="HJ101" s="96"/>
      <c r="HK101" s="96"/>
      <c r="HL101" s="96"/>
      <c r="HM101" s="96"/>
      <c r="HN101" s="96"/>
      <c r="HO101" s="96"/>
      <c r="HP101" s="96"/>
      <c r="HQ101" s="96"/>
      <c r="HR101" s="96"/>
      <c r="HS101" s="13"/>
      <c r="HT101" s="96"/>
      <c r="HU101" s="96"/>
      <c r="HV101" s="96"/>
      <c r="HW101" s="96"/>
      <c r="HX101" s="96"/>
      <c r="HY101" s="96"/>
      <c r="HZ101" s="96"/>
      <c r="IA101" s="96"/>
      <c r="IB101" s="96"/>
      <c r="IC101" s="96"/>
      <c r="ID101" s="96"/>
      <c r="IE101" s="96"/>
      <c r="IF101" s="96"/>
      <c r="IG101" s="96"/>
      <c r="IH101" s="96"/>
      <c r="II101" s="13"/>
      <c r="IJ101" s="96"/>
      <c r="IK101" s="96"/>
      <c r="IL101" s="96"/>
      <c r="IM101" s="96"/>
      <c r="IN101" s="96"/>
      <c r="IO101" s="96"/>
      <c r="IP101" s="96"/>
      <c r="IQ101" s="96"/>
      <c r="IR101" s="96"/>
      <c r="IS101" s="96"/>
      <c r="IT101" s="96"/>
      <c r="IU101" s="96"/>
      <c r="IV101" s="96"/>
      <c r="IW101" s="96"/>
      <c r="IX101" s="96"/>
      <c r="IY101" s="13"/>
    </row>
    <row r="102" spans="1:259" outlineLevel="1">
      <c r="A102" s="11">
        <f>'VAC &amp; MED'!C91</f>
        <v>46097</v>
      </c>
      <c r="B102" s="261"/>
      <c r="C102" s="261"/>
      <c r="D102" s="261"/>
      <c r="E102" s="261"/>
      <c r="F102" s="261"/>
      <c r="G102" s="261"/>
      <c r="H102" s="261"/>
      <c r="I102" s="261"/>
      <c r="J102" s="261"/>
      <c r="K102" s="261"/>
      <c r="L102" s="261"/>
      <c r="M102" s="261"/>
      <c r="N102" s="261"/>
      <c r="O102" s="261"/>
      <c r="P102" s="261"/>
      <c r="Q102" s="261"/>
      <c r="R102" s="262">
        <v>46</v>
      </c>
      <c r="S102" s="262"/>
      <c r="T102" s="262"/>
      <c r="U102" s="262"/>
      <c r="V102" s="262"/>
      <c r="W102" s="262"/>
      <c r="X102" s="262"/>
      <c r="Y102" s="262"/>
      <c r="Z102" s="262"/>
      <c r="AA102" s="262"/>
      <c r="AB102" s="262"/>
      <c r="AC102" s="262"/>
      <c r="AD102" s="262"/>
      <c r="AE102" s="262"/>
      <c r="AF102" s="262"/>
      <c r="AG102" s="262"/>
      <c r="AH102" s="263"/>
      <c r="AI102" s="263"/>
      <c r="AJ102" s="263"/>
      <c r="AK102" s="263"/>
      <c r="AL102" s="263"/>
      <c r="AM102" s="263"/>
      <c r="AN102" s="263"/>
      <c r="AO102" s="263"/>
      <c r="AP102" s="263"/>
      <c r="AQ102" s="263"/>
      <c r="AR102" s="263"/>
      <c r="AS102" s="263"/>
      <c r="AT102" s="263"/>
      <c r="AU102" s="263"/>
      <c r="AV102" s="263"/>
      <c r="AW102" s="263"/>
      <c r="AX102" s="264"/>
      <c r="AY102" s="264"/>
      <c r="AZ102" s="264"/>
      <c r="BA102" s="264"/>
      <c r="BB102" s="264"/>
      <c r="BC102" s="264"/>
      <c r="BD102" s="264"/>
      <c r="BE102" s="264"/>
      <c r="BF102" s="264"/>
      <c r="BG102" s="264"/>
      <c r="BH102" s="264"/>
      <c r="BI102" s="264"/>
      <c r="BJ102" s="264"/>
      <c r="BK102" s="264"/>
      <c r="BL102" s="264"/>
      <c r="BM102" s="264"/>
      <c r="BN102" s="265"/>
      <c r="BO102" s="265"/>
      <c r="BP102" s="265"/>
      <c r="BQ102" s="265"/>
      <c r="BR102" s="265"/>
      <c r="BS102" s="265"/>
      <c r="BT102" s="265"/>
      <c r="BU102" s="265"/>
      <c r="BV102" s="265"/>
      <c r="BW102" s="265"/>
      <c r="BX102" s="265"/>
      <c r="BY102" s="265"/>
      <c r="BZ102" s="265"/>
      <c r="CA102" s="265"/>
      <c r="CB102" s="265"/>
      <c r="CC102" s="265"/>
      <c r="CD102" s="266"/>
      <c r="CE102" s="266"/>
      <c r="CF102" s="266"/>
      <c r="CG102" s="266"/>
      <c r="CH102" s="266"/>
      <c r="CI102" s="266"/>
      <c r="CJ102" s="266"/>
      <c r="CK102" s="266"/>
      <c r="CL102" s="266"/>
      <c r="CM102" s="266"/>
      <c r="CN102" s="266"/>
      <c r="CO102" s="266"/>
      <c r="CP102" s="266"/>
      <c r="CQ102" s="266"/>
      <c r="CR102" s="266"/>
      <c r="CS102" s="266"/>
      <c r="CT102" s="267"/>
      <c r="CU102" s="267"/>
      <c r="CV102" s="267"/>
      <c r="CW102" s="267"/>
      <c r="CX102" s="267"/>
      <c r="CY102" s="267"/>
      <c r="CZ102" s="267"/>
      <c r="DA102" s="267"/>
      <c r="DB102" s="267"/>
      <c r="DC102" s="267"/>
      <c r="DD102" s="267"/>
      <c r="DE102" s="267"/>
      <c r="DF102" s="267"/>
      <c r="DG102" s="267"/>
      <c r="DH102" s="267"/>
      <c r="DI102" s="267"/>
      <c r="DJ102" s="268">
        <v>118</v>
      </c>
      <c r="DK102" s="268"/>
      <c r="DL102" s="268"/>
      <c r="DM102" s="268"/>
      <c r="DN102" s="268"/>
      <c r="DO102" s="268"/>
      <c r="DP102" s="268"/>
      <c r="DQ102" s="268"/>
      <c r="DR102" s="268"/>
      <c r="DS102" s="268"/>
      <c r="DT102" s="268"/>
      <c r="DU102" s="268"/>
      <c r="DV102" s="268"/>
      <c r="DW102" s="268"/>
      <c r="DX102" s="268"/>
      <c r="DY102" s="268"/>
      <c r="EA102" s="13"/>
      <c r="EB102" s="96"/>
      <c r="EC102" s="96"/>
      <c r="ED102" s="96"/>
      <c r="EE102" s="96"/>
      <c r="EF102" s="96"/>
      <c r="EG102" s="96"/>
      <c r="EH102" s="96"/>
      <c r="EI102" s="96"/>
      <c r="EJ102" s="96"/>
      <c r="EK102" s="96"/>
      <c r="EL102" s="96"/>
      <c r="EM102" s="96"/>
      <c r="EN102" s="96"/>
      <c r="EO102" s="96"/>
      <c r="EP102" s="96"/>
      <c r="EQ102" s="96"/>
      <c r="ER102" s="96"/>
      <c r="ES102" s="96"/>
      <c r="ET102" s="96"/>
      <c r="EU102" s="96"/>
      <c r="EV102" s="96"/>
      <c r="EW102" s="96"/>
      <c r="EX102" s="96"/>
      <c r="EY102" s="96"/>
      <c r="EZ102" s="96"/>
      <c r="FA102" s="96"/>
      <c r="FB102" s="96"/>
      <c r="FC102" s="96"/>
      <c r="FD102" s="96"/>
      <c r="FE102" s="96"/>
      <c r="FF102" s="96"/>
      <c r="FG102" s="96"/>
      <c r="FH102" s="96"/>
      <c r="FI102" s="96"/>
      <c r="FJ102" s="96"/>
      <c r="FK102" s="96"/>
      <c r="FL102" s="96"/>
      <c r="FM102" s="96"/>
      <c r="FN102" s="96"/>
      <c r="FO102" s="96"/>
      <c r="FP102" s="96"/>
      <c r="FQ102" s="96"/>
      <c r="FR102" s="96"/>
      <c r="FS102" s="96"/>
      <c r="FT102" s="96"/>
      <c r="FU102" s="96"/>
      <c r="FV102" s="96"/>
      <c r="FW102" s="96"/>
      <c r="FX102" s="96"/>
      <c r="FY102" s="96"/>
      <c r="FZ102" s="96"/>
      <c r="GA102" s="96"/>
      <c r="GB102" s="96"/>
      <c r="GC102" s="96"/>
      <c r="GD102" s="96"/>
      <c r="GE102" s="96"/>
      <c r="GF102" s="96"/>
      <c r="GG102" s="96"/>
      <c r="GH102" s="96"/>
      <c r="GI102" s="96"/>
      <c r="GJ102" s="96"/>
      <c r="GK102" s="96"/>
      <c r="GL102" s="96"/>
      <c r="GM102" s="13"/>
      <c r="GN102" s="96"/>
      <c r="GO102" s="96"/>
      <c r="GP102" s="96"/>
      <c r="GQ102" s="96"/>
      <c r="GR102" s="96"/>
      <c r="GS102" s="96"/>
      <c r="GT102" s="96"/>
      <c r="GU102" s="96"/>
      <c r="GV102" s="96"/>
      <c r="GW102" s="96"/>
      <c r="GX102" s="96"/>
      <c r="GY102" s="96"/>
      <c r="GZ102" s="96"/>
      <c r="HA102" s="96"/>
      <c r="HB102" s="96"/>
      <c r="HC102" s="13"/>
      <c r="HD102" s="96"/>
      <c r="HE102" s="96"/>
      <c r="HF102" s="96"/>
      <c r="HG102" s="96"/>
      <c r="HH102" s="96"/>
      <c r="HI102" s="96"/>
      <c r="HJ102" s="96"/>
      <c r="HK102" s="96"/>
      <c r="HL102" s="96"/>
      <c r="HM102" s="96"/>
      <c r="HN102" s="96"/>
      <c r="HO102" s="96"/>
      <c r="HP102" s="96"/>
      <c r="HQ102" s="96"/>
      <c r="HR102" s="96"/>
      <c r="HS102" s="13"/>
      <c r="HT102" s="96"/>
      <c r="HU102" s="96"/>
      <c r="HV102" s="96"/>
      <c r="HW102" s="96"/>
      <c r="HX102" s="96"/>
      <c r="HY102" s="96"/>
      <c r="HZ102" s="96"/>
      <c r="IA102" s="96"/>
      <c r="IB102" s="96"/>
      <c r="IC102" s="96"/>
      <c r="ID102" s="96"/>
      <c r="IE102" s="96"/>
      <c r="IF102" s="96"/>
      <c r="IG102" s="96"/>
      <c r="IH102" s="96"/>
      <c r="II102" s="13"/>
      <c r="IJ102" s="96"/>
      <c r="IK102" s="96"/>
      <c r="IL102" s="96"/>
      <c r="IM102" s="96"/>
      <c r="IN102" s="96"/>
      <c r="IO102" s="96"/>
      <c r="IP102" s="96"/>
      <c r="IQ102" s="96"/>
      <c r="IR102" s="96"/>
      <c r="IS102" s="96"/>
      <c r="IT102" s="96"/>
      <c r="IU102" s="96"/>
      <c r="IV102" s="96"/>
      <c r="IW102" s="96"/>
      <c r="IX102" s="96"/>
      <c r="IY102" s="13"/>
    </row>
    <row r="103" spans="1:259" outlineLevel="1">
      <c r="A103" s="11">
        <f>'VAC &amp; MED'!C92</f>
        <v>46098</v>
      </c>
      <c r="B103" s="261">
        <v>40</v>
      </c>
      <c r="C103" s="261"/>
      <c r="D103" s="261"/>
      <c r="E103" s="261"/>
      <c r="F103" s="261"/>
      <c r="G103" s="261"/>
      <c r="H103" s="261"/>
      <c r="I103" s="261"/>
      <c r="J103" s="261"/>
      <c r="K103" s="261"/>
      <c r="L103" s="261"/>
      <c r="M103" s="261"/>
      <c r="N103" s="261"/>
      <c r="O103" s="261"/>
      <c r="P103" s="261"/>
      <c r="Q103" s="261"/>
      <c r="R103" s="262"/>
      <c r="S103" s="262"/>
      <c r="T103" s="262"/>
      <c r="U103" s="262"/>
      <c r="V103" s="262"/>
      <c r="W103" s="262"/>
      <c r="X103" s="262"/>
      <c r="Y103" s="262"/>
      <c r="Z103" s="262"/>
      <c r="AA103" s="262"/>
      <c r="AB103" s="262"/>
      <c r="AC103" s="262"/>
      <c r="AD103" s="262"/>
      <c r="AE103" s="262"/>
      <c r="AF103" s="262"/>
      <c r="AG103" s="262"/>
      <c r="AH103" s="263"/>
      <c r="AI103" s="263"/>
      <c r="AJ103" s="263"/>
      <c r="AK103" s="263"/>
      <c r="AL103" s="263"/>
      <c r="AM103" s="263"/>
      <c r="AN103" s="263"/>
      <c r="AO103" s="263"/>
      <c r="AP103" s="263"/>
      <c r="AQ103" s="263"/>
      <c r="AR103" s="263"/>
      <c r="AS103" s="263"/>
      <c r="AT103" s="263"/>
      <c r="AU103" s="263"/>
      <c r="AV103" s="263"/>
      <c r="AW103" s="263"/>
      <c r="AX103" s="264"/>
      <c r="AY103" s="264"/>
      <c r="AZ103" s="264"/>
      <c r="BA103" s="264"/>
      <c r="BB103" s="264"/>
      <c r="BC103" s="264"/>
      <c r="BD103" s="264"/>
      <c r="BE103" s="264"/>
      <c r="BF103" s="264"/>
      <c r="BG103" s="264"/>
      <c r="BH103" s="264"/>
      <c r="BI103" s="264"/>
      <c r="BJ103" s="264"/>
      <c r="BK103" s="264"/>
      <c r="BL103" s="264"/>
      <c r="BM103" s="264"/>
      <c r="BN103" s="265"/>
      <c r="BO103" s="265"/>
      <c r="BP103" s="265"/>
      <c r="BQ103" s="265"/>
      <c r="BR103" s="265"/>
      <c r="BS103" s="265"/>
      <c r="BT103" s="265"/>
      <c r="BU103" s="265"/>
      <c r="BV103" s="265"/>
      <c r="BW103" s="265"/>
      <c r="BX103" s="265"/>
      <c r="BY103" s="265"/>
      <c r="BZ103" s="265"/>
      <c r="CA103" s="265"/>
      <c r="CB103" s="265"/>
      <c r="CC103" s="265"/>
      <c r="CD103" s="266">
        <v>42</v>
      </c>
      <c r="CE103" s="266"/>
      <c r="CF103" s="266"/>
      <c r="CG103" s="266"/>
      <c r="CH103" s="266"/>
      <c r="CI103" s="266"/>
      <c r="CJ103" s="266"/>
      <c r="CK103" s="266"/>
      <c r="CL103" s="266"/>
      <c r="CM103" s="266"/>
      <c r="CN103" s="266"/>
      <c r="CO103" s="266"/>
      <c r="CP103" s="266"/>
      <c r="CQ103" s="266"/>
      <c r="CR103" s="266"/>
      <c r="CS103" s="266"/>
      <c r="CT103" s="267"/>
      <c r="CU103" s="267"/>
      <c r="CV103" s="267"/>
      <c r="CW103" s="267"/>
      <c r="CX103" s="267"/>
      <c r="CY103" s="267"/>
      <c r="CZ103" s="267"/>
      <c r="DA103" s="267"/>
      <c r="DB103" s="267"/>
      <c r="DC103" s="267"/>
      <c r="DD103" s="267"/>
      <c r="DE103" s="267"/>
      <c r="DF103" s="267"/>
      <c r="DG103" s="267"/>
      <c r="DH103" s="267"/>
      <c r="DI103" s="267"/>
      <c r="DJ103" s="268"/>
      <c r="DK103" s="268"/>
      <c r="DL103" s="268"/>
      <c r="DM103" s="268"/>
      <c r="DN103" s="268"/>
      <c r="DO103" s="268"/>
      <c r="DP103" s="268"/>
      <c r="DQ103" s="268"/>
      <c r="DR103" s="268"/>
      <c r="DS103" s="268"/>
      <c r="DT103" s="268"/>
      <c r="DU103" s="268"/>
      <c r="DV103" s="268"/>
      <c r="DW103" s="268"/>
      <c r="DX103" s="268"/>
      <c r="DY103" s="268"/>
      <c r="EA103" s="13"/>
      <c r="EB103" s="96"/>
      <c r="EC103" s="96"/>
      <c r="ED103" s="96"/>
      <c r="EE103" s="96"/>
      <c r="EF103" s="96"/>
      <c r="EG103" s="96"/>
      <c r="EH103" s="96"/>
      <c r="EI103" s="96"/>
      <c r="EJ103" s="96"/>
      <c r="EK103" s="96"/>
      <c r="EL103" s="96"/>
      <c r="EM103" s="96"/>
      <c r="EN103" s="96"/>
      <c r="EO103" s="96"/>
      <c r="EP103" s="96"/>
      <c r="EQ103" s="96"/>
      <c r="ER103" s="96"/>
      <c r="ES103" s="96"/>
      <c r="ET103" s="96"/>
      <c r="EU103" s="96"/>
      <c r="EV103" s="96"/>
      <c r="EW103" s="96"/>
      <c r="EX103" s="96"/>
      <c r="EY103" s="96"/>
      <c r="EZ103" s="96"/>
      <c r="FA103" s="96"/>
      <c r="FB103" s="96"/>
      <c r="FC103" s="96"/>
      <c r="FD103" s="96"/>
      <c r="FE103" s="96"/>
      <c r="FF103" s="96"/>
      <c r="FG103" s="96"/>
      <c r="FH103" s="96"/>
      <c r="FI103" s="96"/>
      <c r="FJ103" s="96"/>
      <c r="FK103" s="96"/>
      <c r="FL103" s="96"/>
      <c r="FM103" s="96"/>
      <c r="FN103" s="96"/>
      <c r="FO103" s="96"/>
      <c r="FP103" s="96"/>
      <c r="FQ103" s="96"/>
      <c r="FR103" s="96"/>
      <c r="FS103" s="96"/>
      <c r="FT103" s="96"/>
      <c r="FU103" s="96"/>
      <c r="FV103" s="96"/>
      <c r="FW103" s="96"/>
      <c r="FX103" s="96"/>
      <c r="FY103" s="96"/>
      <c r="FZ103" s="96"/>
      <c r="GA103" s="96"/>
      <c r="GB103" s="96"/>
      <c r="GC103" s="96"/>
      <c r="GD103" s="96"/>
      <c r="GE103" s="96"/>
      <c r="GF103" s="96"/>
      <c r="GG103" s="96"/>
      <c r="GH103" s="96"/>
      <c r="GI103" s="96"/>
      <c r="GJ103" s="96"/>
      <c r="GK103" s="96"/>
      <c r="GL103" s="96"/>
      <c r="GM103" s="13"/>
      <c r="GN103" s="96"/>
      <c r="GO103" s="96"/>
      <c r="GP103" s="96"/>
      <c r="GQ103" s="96"/>
      <c r="GR103" s="96"/>
      <c r="GS103" s="96"/>
      <c r="GT103" s="96"/>
      <c r="GU103" s="96"/>
      <c r="GV103" s="96"/>
      <c r="GW103" s="96"/>
      <c r="GX103" s="96"/>
      <c r="GY103" s="96"/>
      <c r="GZ103" s="96"/>
      <c r="HA103" s="96"/>
      <c r="HB103" s="96"/>
      <c r="HC103" s="13"/>
      <c r="HD103" s="96"/>
      <c r="HE103" s="96"/>
      <c r="HF103" s="96"/>
      <c r="HG103" s="96"/>
      <c r="HH103" s="96"/>
      <c r="HI103" s="96"/>
      <c r="HJ103" s="96"/>
      <c r="HK103" s="96"/>
      <c r="HL103" s="96"/>
      <c r="HM103" s="96"/>
      <c r="HN103" s="96"/>
      <c r="HO103" s="96"/>
      <c r="HP103" s="96"/>
      <c r="HQ103" s="96"/>
      <c r="HR103" s="96"/>
      <c r="HS103" s="13"/>
      <c r="HT103" s="96"/>
      <c r="HU103" s="96"/>
      <c r="HV103" s="96"/>
      <c r="HW103" s="96"/>
      <c r="HX103" s="96"/>
      <c r="HY103" s="96"/>
      <c r="HZ103" s="96"/>
      <c r="IA103" s="96"/>
      <c r="IB103" s="96"/>
      <c r="IC103" s="96"/>
      <c r="ID103" s="96"/>
      <c r="IE103" s="96"/>
      <c r="IF103" s="96"/>
      <c r="IG103" s="96"/>
      <c r="IH103" s="96"/>
      <c r="II103" s="13"/>
      <c r="IJ103" s="96"/>
      <c r="IK103" s="96"/>
      <c r="IL103" s="96"/>
      <c r="IM103" s="96"/>
      <c r="IN103" s="96"/>
      <c r="IO103" s="96"/>
      <c r="IP103" s="96"/>
      <c r="IQ103" s="96"/>
      <c r="IR103" s="96"/>
      <c r="IS103" s="96"/>
      <c r="IT103" s="96"/>
      <c r="IU103" s="96"/>
      <c r="IV103" s="96"/>
      <c r="IW103" s="96"/>
      <c r="IX103" s="96"/>
      <c r="IY103" s="13"/>
    </row>
    <row r="104" spans="1:259" outlineLevel="1">
      <c r="A104" s="11">
        <f>'VAC &amp; MED'!C93</f>
        <v>46099</v>
      </c>
      <c r="B104" s="261"/>
      <c r="C104" s="261"/>
      <c r="D104" s="261"/>
      <c r="E104" s="261"/>
      <c r="F104" s="261"/>
      <c r="G104" s="261"/>
      <c r="H104" s="261"/>
      <c r="I104" s="261"/>
      <c r="J104" s="261"/>
      <c r="K104" s="261"/>
      <c r="L104" s="261"/>
      <c r="M104" s="261"/>
      <c r="N104" s="261"/>
      <c r="O104" s="261"/>
      <c r="P104" s="261"/>
      <c r="Q104" s="261"/>
      <c r="R104" s="262">
        <v>68</v>
      </c>
      <c r="S104" s="262"/>
      <c r="T104" s="262"/>
      <c r="U104" s="262"/>
      <c r="V104" s="262"/>
      <c r="W104" s="262"/>
      <c r="X104" s="262"/>
      <c r="Y104" s="262"/>
      <c r="Z104" s="262"/>
      <c r="AA104" s="262"/>
      <c r="AB104" s="262"/>
      <c r="AC104" s="262"/>
      <c r="AD104" s="262"/>
      <c r="AE104" s="262"/>
      <c r="AF104" s="262"/>
      <c r="AG104" s="262"/>
      <c r="AH104" s="263"/>
      <c r="AI104" s="263"/>
      <c r="AJ104" s="263"/>
      <c r="AK104" s="263"/>
      <c r="AL104" s="263"/>
      <c r="AM104" s="263"/>
      <c r="AN104" s="263"/>
      <c r="AO104" s="263"/>
      <c r="AP104" s="263"/>
      <c r="AQ104" s="263"/>
      <c r="AR104" s="263"/>
      <c r="AS104" s="263"/>
      <c r="AT104" s="263"/>
      <c r="AU104" s="263"/>
      <c r="AV104" s="263"/>
      <c r="AW104" s="263"/>
      <c r="AX104" s="264"/>
      <c r="AY104" s="264"/>
      <c r="AZ104" s="264"/>
      <c r="BA104" s="264"/>
      <c r="BB104" s="264"/>
      <c r="BC104" s="264"/>
      <c r="BD104" s="264"/>
      <c r="BE104" s="264"/>
      <c r="BF104" s="264"/>
      <c r="BG104" s="264"/>
      <c r="BH104" s="264"/>
      <c r="BI104" s="264"/>
      <c r="BJ104" s="264"/>
      <c r="BK104" s="264"/>
      <c r="BL104" s="264"/>
      <c r="BM104" s="264"/>
      <c r="BN104" s="265"/>
      <c r="BO104" s="265"/>
      <c r="BP104" s="265"/>
      <c r="BQ104" s="265"/>
      <c r="BR104" s="265"/>
      <c r="BS104" s="265"/>
      <c r="BT104" s="265"/>
      <c r="BU104" s="265"/>
      <c r="BV104" s="265"/>
      <c r="BW104" s="265"/>
      <c r="BX104" s="265"/>
      <c r="BY104" s="265"/>
      <c r="BZ104" s="265"/>
      <c r="CA104" s="265"/>
      <c r="CB104" s="265"/>
      <c r="CC104" s="265"/>
      <c r="CD104" s="266"/>
      <c r="CE104" s="266"/>
      <c r="CF104" s="266"/>
      <c r="CG104" s="266"/>
      <c r="CH104" s="266"/>
      <c r="CI104" s="266"/>
      <c r="CJ104" s="266"/>
      <c r="CK104" s="266"/>
      <c r="CL104" s="266"/>
      <c r="CM104" s="266"/>
      <c r="CN104" s="266"/>
      <c r="CO104" s="266"/>
      <c r="CP104" s="266"/>
      <c r="CQ104" s="266"/>
      <c r="CR104" s="266"/>
      <c r="CS104" s="266"/>
      <c r="CT104" s="267">
        <v>50</v>
      </c>
      <c r="CU104" s="267"/>
      <c r="CV104" s="267"/>
      <c r="CW104" s="267"/>
      <c r="CX104" s="267"/>
      <c r="CY104" s="267"/>
      <c r="CZ104" s="267"/>
      <c r="DA104" s="267"/>
      <c r="DB104" s="267"/>
      <c r="DC104" s="267"/>
      <c r="DD104" s="267"/>
      <c r="DE104" s="267"/>
      <c r="DF104" s="267"/>
      <c r="DG104" s="267"/>
      <c r="DH104" s="267"/>
      <c r="DI104" s="267"/>
      <c r="DJ104" s="268"/>
      <c r="DK104" s="268"/>
      <c r="DL104" s="268"/>
      <c r="DM104" s="268"/>
      <c r="DN104" s="268"/>
      <c r="DO104" s="268"/>
      <c r="DP104" s="268"/>
      <c r="DQ104" s="268"/>
      <c r="DR104" s="268"/>
      <c r="DS104" s="268"/>
      <c r="DT104" s="268"/>
      <c r="DU104" s="268"/>
      <c r="DV104" s="268"/>
      <c r="DW104" s="268"/>
      <c r="DX104" s="268"/>
      <c r="DY104" s="268"/>
      <c r="EA104" s="13"/>
      <c r="EB104" s="96"/>
      <c r="EC104" s="96"/>
      <c r="ED104" s="96"/>
      <c r="EE104" s="96"/>
      <c r="EF104" s="96"/>
      <c r="EG104" s="96"/>
      <c r="EH104" s="96"/>
      <c r="EI104" s="96"/>
      <c r="EJ104" s="96"/>
      <c r="EK104" s="96"/>
      <c r="EL104" s="96"/>
      <c r="EM104" s="96"/>
      <c r="EN104" s="96"/>
      <c r="EO104" s="96"/>
      <c r="EP104" s="96"/>
      <c r="EQ104" s="96"/>
      <c r="ER104" s="96"/>
      <c r="ES104" s="96"/>
      <c r="ET104" s="96"/>
      <c r="EU104" s="96"/>
      <c r="EV104" s="96"/>
      <c r="EW104" s="96"/>
      <c r="EX104" s="96"/>
      <c r="EY104" s="96"/>
      <c r="EZ104" s="96"/>
      <c r="FA104" s="96"/>
      <c r="FB104" s="96"/>
      <c r="FC104" s="96"/>
      <c r="FD104" s="96"/>
      <c r="FE104" s="96"/>
      <c r="FF104" s="96"/>
      <c r="FG104" s="96"/>
      <c r="FH104" s="96"/>
      <c r="FI104" s="96"/>
      <c r="FJ104" s="96"/>
      <c r="FK104" s="96"/>
      <c r="FL104" s="96"/>
      <c r="FM104" s="96"/>
      <c r="FN104" s="96"/>
      <c r="FO104" s="96"/>
      <c r="FP104" s="96"/>
      <c r="FQ104" s="96"/>
      <c r="FR104" s="96"/>
      <c r="FS104" s="96"/>
      <c r="FT104" s="96"/>
      <c r="FU104" s="96"/>
      <c r="FV104" s="96"/>
      <c r="FW104" s="96"/>
      <c r="FX104" s="96"/>
      <c r="FY104" s="96"/>
      <c r="FZ104" s="96"/>
      <c r="GA104" s="96"/>
      <c r="GB104" s="96"/>
      <c r="GC104" s="96"/>
      <c r="GD104" s="96"/>
      <c r="GE104" s="96"/>
      <c r="GF104" s="96"/>
      <c r="GG104" s="96"/>
      <c r="GH104" s="96"/>
      <c r="GI104" s="96"/>
      <c r="GJ104" s="96"/>
      <c r="GK104" s="96"/>
      <c r="GL104" s="96"/>
      <c r="GM104" s="13"/>
      <c r="GN104" s="96"/>
      <c r="GO104" s="96"/>
      <c r="GP104" s="96"/>
      <c r="GQ104" s="96"/>
      <c r="GR104" s="96"/>
      <c r="GS104" s="96"/>
      <c r="GT104" s="96"/>
      <c r="GU104" s="96"/>
      <c r="GV104" s="96"/>
      <c r="GW104" s="96"/>
      <c r="GX104" s="96"/>
      <c r="GY104" s="96"/>
      <c r="GZ104" s="96"/>
      <c r="HA104" s="96"/>
      <c r="HB104" s="96"/>
      <c r="HC104" s="13"/>
      <c r="HD104" s="96"/>
      <c r="HE104" s="96"/>
      <c r="HF104" s="96"/>
      <c r="HG104" s="96"/>
      <c r="HH104" s="96"/>
      <c r="HI104" s="96"/>
      <c r="HJ104" s="96"/>
      <c r="HK104" s="96"/>
      <c r="HL104" s="96"/>
      <c r="HM104" s="96"/>
      <c r="HN104" s="96"/>
      <c r="HO104" s="96"/>
      <c r="HP104" s="96"/>
      <c r="HQ104" s="96"/>
      <c r="HR104" s="96"/>
      <c r="HS104" s="13"/>
      <c r="HT104" s="96"/>
      <c r="HU104" s="96"/>
      <c r="HV104" s="96"/>
      <c r="HW104" s="96"/>
      <c r="HX104" s="96"/>
      <c r="HY104" s="96"/>
      <c r="HZ104" s="96"/>
      <c r="IA104" s="96"/>
      <c r="IB104" s="96"/>
      <c r="IC104" s="96"/>
      <c r="ID104" s="96"/>
      <c r="IE104" s="96"/>
      <c r="IF104" s="96"/>
      <c r="IG104" s="96"/>
      <c r="IH104" s="96"/>
      <c r="II104" s="13"/>
      <c r="IJ104" s="96"/>
      <c r="IK104" s="96"/>
      <c r="IL104" s="96"/>
      <c r="IM104" s="96"/>
      <c r="IN104" s="96"/>
      <c r="IO104" s="96"/>
      <c r="IP104" s="96"/>
      <c r="IQ104" s="96"/>
      <c r="IR104" s="96"/>
      <c r="IS104" s="96"/>
      <c r="IT104" s="96"/>
      <c r="IU104" s="96"/>
      <c r="IV104" s="96"/>
      <c r="IW104" s="96"/>
      <c r="IX104" s="96"/>
      <c r="IY104" s="13"/>
    </row>
    <row r="105" spans="1:259" outlineLevel="1">
      <c r="A105" s="11">
        <f>'VAC &amp; MED'!C94</f>
        <v>46100</v>
      </c>
      <c r="B105" s="261"/>
      <c r="C105" s="261"/>
      <c r="D105" s="261"/>
      <c r="E105" s="261"/>
      <c r="F105" s="261"/>
      <c r="G105" s="261"/>
      <c r="H105" s="261"/>
      <c r="I105" s="261"/>
      <c r="J105" s="261"/>
      <c r="K105" s="261"/>
      <c r="L105" s="261"/>
      <c r="M105" s="261"/>
      <c r="N105" s="261"/>
      <c r="O105" s="261"/>
      <c r="P105" s="261"/>
      <c r="Q105" s="261"/>
      <c r="R105" s="262"/>
      <c r="S105" s="262"/>
      <c r="T105" s="262"/>
      <c r="U105" s="262"/>
      <c r="V105" s="262"/>
      <c r="W105" s="262"/>
      <c r="X105" s="262"/>
      <c r="Y105" s="262"/>
      <c r="Z105" s="262"/>
      <c r="AA105" s="262"/>
      <c r="AB105" s="262"/>
      <c r="AC105" s="262"/>
      <c r="AD105" s="262"/>
      <c r="AE105" s="262"/>
      <c r="AF105" s="262"/>
      <c r="AG105" s="262"/>
      <c r="AH105" s="263"/>
      <c r="AI105" s="263"/>
      <c r="AJ105" s="263"/>
      <c r="AK105" s="263"/>
      <c r="AL105" s="263"/>
      <c r="AM105" s="263"/>
      <c r="AN105" s="263"/>
      <c r="AO105" s="263"/>
      <c r="AP105" s="263"/>
      <c r="AQ105" s="263"/>
      <c r="AR105" s="263"/>
      <c r="AS105" s="263"/>
      <c r="AT105" s="263"/>
      <c r="AU105" s="263"/>
      <c r="AV105" s="263"/>
      <c r="AW105" s="263"/>
      <c r="AX105" s="264"/>
      <c r="AY105" s="264"/>
      <c r="AZ105" s="264"/>
      <c r="BA105" s="264"/>
      <c r="BB105" s="264"/>
      <c r="BC105" s="264"/>
      <c r="BD105" s="264"/>
      <c r="BE105" s="264"/>
      <c r="BF105" s="264"/>
      <c r="BG105" s="264"/>
      <c r="BH105" s="264"/>
      <c r="BI105" s="264"/>
      <c r="BJ105" s="264"/>
      <c r="BK105" s="264"/>
      <c r="BL105" s="264"/>
      <c r="BM105" s="264"/>
      <c r="BN105" s="265"/>
      <c r="BO105" s="265"/>
      <c r="BP105" s="265"/>
      <c r="BQ105" s="265"/>
      <c r="BR105" s="265"/>
      <c r="BS105" s="265"/>
      <c r="BT105" s="265"/>
      <c r="BU105" s="265"/>
      <c r="BV105" s="265"/>
      <c r="BW105" s="265"/>
      <c r="BX105" s="265"/>
      <c r="BY105" s="265"/>
      <c r="BZ105" s="265"/>
      <c r="CA105" s="265"/>
      <c r="CB105" s="265"/>
      <c r="CC105" s="265"/>
      <c r="CD105" s="266"/>
      <c r="CE105" s="266"/>
      <c r="CF105" s="266"/>
      <c r="CG105" s="266"/>
      <c r="CH105" s="266"/>
      <c r="CI105" s="266"/>
      <c r="CJ105" s="266"/>
      <c r="CK105" s="266"/>
      <c r="CL105" s="266"/>
      <c r="CM105" s="266"/>
      <c r="CN105" s="266"/>
      <c r="CO105" s="266"/>
      <c r="CP105" s="266"/>
      <c r="CQ105" s="266"/>
      <c r="CR105" s="266"/>
      <c r="CS105" s="266"/>
      <c r="CT105" s="267">
        <v>20</v>
      </c>
      <c r="CU105" s="267"/>
      <c r="CV105" s="267"/>
      <c r="CW105" s="267"/>
      <c r="CX105" s="267"/>
      <c r="CY105" s="267"/>
      <c r="CZ105" s="267"/>
      <c r="DA105" s="267"/>
      <c r="DB105" s="267"/>
      <c r="DC105" s="267"/>
      <c r="DD105" s="267"/>
      <c r="DE105" s="267"/>
      <c r="DF105" s="267"/>
      <c r="DG105" s="267"/>
      <c r="DH105" s="267"/>
      <c r="DI105" s="267"/>
      <c r="DJ105" s="268"/>
      <c r="DK105" s="268"/>
      <c r="DL105" s="268"/>
      <c r="DM105" s="268"/>
      <c r="DN105" s="268"/>
      <c r="DO105" s="268"/>
      <c r="DP105" s="268"/>
      <c r="DQ105" s="268"/>
      <c r="DR105" s="268"/>
      <c r="DS105" s="268"/>
      <c r="DT105" s="268"/>
      <c r="DU105" s="268"/>
      <c r="DV105" s="268"/>
      <c r="DW105" s="268"/>
      <c r="DX105" s="268"/>
      <c r="DY105" s="268"/>
      <c r="EA105" s="13"/>
      <c r="EB105" s="96"/>
      <c r="EC105" s="96"/>
      <c r="ED105" s="96"/>
      <c r="EE105" s="96"/>
      <c r="EF105" s="96"/>
      <c r="EG105" s="96"/>
      <c r="EH105" s="96"/>
      <c r="EI105" s="96"/>
      <c r="EJ105" s="96"/>
      <c r="EK105" s="96"/>
      <c r="EL105" s="96"/>
      <c r="EM105" s="96"/>
      <c r="EN105" s="96"/>
      <c r="EO105" s="96"/>
      <c r="EP105" s="96"/>
      <c r="EQ105" s="96"/>
      <c r="ER105" s="96"/>
      <c r="ES105" s="96"/>
      <c r="ET105" s="96"/>
      <c r="EU105" s="96"/>
      <c r="EV105" s="96"/>
      <c r="EW105" s="96"/>
      <c r="EX105" s="96"/>
      <c r="EY105" s="96"/>
      <c r="EZ105" s="96"/>
      <c r="FA105" s="96"/>
      <c r="FB105" s="96"/>
      <c r="FC105" s="96"/>
      <c r="FD105" s="96"/>
      <c r="FE105" s="96"/>
      <c r="FF105" s="96"/>
      <c r="FG105" s="96"/>
      <c r="FH105" s="96"/>
      <c r="FI105" s="96"/>
      <c r="FJ105" s="96"/>
      <c r="FK105" s="96"/>
      <c r="FL105" s="96"/>
      <c r="FM105" s="96"/>
      <c r="FN105" s="96"/>
      <c r="FO105" s="96"/>
      <c r="FP105" s="96"/>
      <c r="FQ105" s="96"/>
      <c r="FR105" s="96"/>
      <c r="FS105" s="96"/>
      <c r="FT105" s="96"/>
      <c r="FU105" s="96"/>
      <c r="FV105" s="96"/>
      <c r="FW105" s="96"/>
      <c r="FX105" s="96"/>
      <c r="FY105" s="96"/>
      <c r="FZ105" s="96"/>
      <c r="GA105" s="96"/>
      <c r="GB105" s="96"/>
      <c r="GC105" s="96"/>
      <c r="GD105" s="96"/>
      <c r="GE105" s="96"/>
      <c r="GF105" s="96"/>
      <c r="GG105" s="96"/>
      <c r="GH105" s="96"/>
      <c r="GI105" s="96"/>
      <c r="GJ105" s="96"/>
      <c r="GK105" s="96"/>
      <c r="GL105" s="96"/>
      <c r="GM105" s="13"/>
      <c r="GN105" s="96"/>
      <c r="GO105" s="96"/>
      <c r="GP105" s="96"/>
      <c r="GQ105" s="96"/>
      <c r="GR105" s="96"/>
      <c r="GS105" s="96"/>
      <c r="GT105" s="96"/>
      <c r="GU105" s="96"/>
      <c r="GV105" s="96"/>
      <c r="GW105" s="96"/>
      <c r="GX105" s="96"/>
      <c r="GY105" s="96"/>
      <c r="GZ105" s="96"/>
      <c r="HA105" s="96"/>
      <c r="HB105" s="96"/>
      <c r="HC105" s="13"/>
      <c r="HD105" s="96"/>
      <c r="HE105" s="96"/>
      <c r="HF105" s="96"/>
      <c r="HG105" s="96"/>
      <c r="HH105" s="96"/>
      <c r="HI105" s="96"/>
      <c r="HJ105" s="96"/>
      <c r="HK105" s="96"/>
      <c r="HL105" s="96"/>
      <c r="HM105" s="96"/>
      <c r="HN105" s="96"/>
      <c r="HO105" s="96"/>
      <c r="HP105" s="96"/>
      <c r="HQ105" s="96"/>
      <c r="HR105" s="96"/>
      <c r="HS105" s="13"/>
      <c r="HT105" s="96"/>
      <c r="HU105" s="96"/>
      <c r="HV105" s="96"/>
      <c r="HW105" s="96"/>
      <c r="HX105" s="96"/>
      <c r="HY105" s="96"/>
      <c r="HZ105" s="96"/>
      <c r="IA105" s="96"/>
      <c r="IB105" s="96"/>
      <c r="IC105" s="96"/>
      <c r="ID105" s="96"/>
      <c r="IE105" s="96"/>
      <c r="IF105" s="96"/>
      <c r="IG105" s="96"/>
      <c r="IH105" s="96"/>
      <c r="II105" s="13"/>
      <c r="IJ105" s="96"/>
      <c r="IK105" s="96"/>
      <c r="IL105" s="96"/>
      <c r="IM105" s="96"/>
      <c r="IN105" s="96"/>
      <c r="IO105" s="96"/>
      <c r="IP105" s="96"/>
      <c r="IQ105" s="96"/>
      <c r="IR105" s="96"/>
      <c r="IS105" s="96"/>
      <c r="IT105" s="96"/>
      <c r="IU105" s="96"/>
      <c r="IV105" s="96"/>
      <c r="IW105" s="96"/>
      <c r="IX105" s="96"/>
      <c r="IY105" s="13"/>
    </row>
    <row r="106" spans="1:259" outlineLevel="1">
      <c r="A106" s="11">
        <f>'VAC &amp; MED'!C95</f>
        <v>46101</v>
      </c>
      <c r="B106" s="261"/>
      <c r="C106" s="261"/>
      <c r="D106" s="261"/>
      <c r="E106" s="261"/>
      <c r="F106" s="261"/>
      <c r="G106" s="261"/>
      <c r="H106" s="261"/>
      <c r="I106" s="261"/>
      <c r="J106" s="261"/>
      <c r="K106" s="261"/>
      <c r="L106" s="261"/>
      <c r="M106" s="261"/>
      <c r="N106" s="261"/>
      <c r="O106" s="261"/>
      <c r="P106" s="261"/>
      <c r="Q106" s="261"/>
      <c r="R106" s="262"/>
      <c r="S106" s="262"/>
      <c r="T106" s="262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2"/>
      <c r="AG106" s="262"/>
      <c r="AH106" s="263"/>
      <c r="AI106" s="263"/>
      <c r="AJ106" s="263"/>
      <c r="AK106" s="263"/>
      <c r="AL106" s="263"/>
      <c r="AM106" s="263"/>
      <c r="AN106" s="263"/>
      <c r="AO106" s="263"/>
      <c r="AP106" s="263"/>
      <c r="AQ106" s="263"/>
      <c r="AR106" s="263"/>
      <c r="AS106" s="263"/>
      <c r="AT106" s="263"/>
      <c r="AU106" s="263"/>
      <c r="AV106" s="263"/>
      <c r="AW106" s="263"/>
      <c r="AX106" s="264"/>
      <c r="AY106" s="264"/>
      <c r="AZ106" s="264"/>
      <c r="BA106" s="264"/>
      <c r="BB106" s="264"/>
      <c r="BC106" s="264"/>
      <c r="BD106" s="264"/>
      <c r="BE106" s="264"/>
      <c r="BF106" s="264"/>
      <c r="BG106" s="264"/>
      <c r="BH106" s="264"/>
      <c r="BI106" s="264"/>
      <c r="BJ106" s="264"/>
      <c r="BK106" s="264"/>
      <c r="BL106" s="264"/>
      <c r="BM106" s="264"/>
      <c r="BN106" s="265"/>
      <c r="BO106" s="265"/>
      <c r="BP106" s="265"/>
      <c r="BQ106" s="265"/>
      <c r="BR106" s="265"/>
      <c r="BS106" s="265"/>
      <c r="BT106" s="265"/>
      <c r="BU106" s="265"/>
      <c r="BV106" s="265"/>
      <c r="BW106" s="265"/>
      <c r="BX106" s="265"/>
      <c r="BY106" s="265"/>
      <c r="BZ106" s="265"/>
      <c r="CA106" s="265"/>
      <c r="CB106" s="265"/>
      <c r="CC106" s="265"/>
      <c r="CD106" s="266"/>
      <c r="CE106" s="266"/>
      <c r="CF106" s="266"/>
      <c r="CG106" s="266"/>
      <c r="CH106" s="266"/>
      <c r="CI106" s="266"/>
      <c r="CJ106" s="266"/>
      <c r="CK106" s="266"/>
      <c r="CL106" s="266"/>
      <c r="CM106" s="266"/>
      <c r="CN106" s="266"/>
      <c r="CO106" s="266"/>
      <c r="CP106" s="266"/>
      <c r="CQ106" s="266"/>
      <c r="CR106" s="266"/>
      <c r="CS106" s="266"/>
      <c r="CT106" s="267"/>
      <c r="CU106" s="267"/>
      <c r="CV106" s="267"/>
      <c r="CW106" s="267"/>
      <c r="CX106" s="267"/>
      <c r="CY106" s="267"/>
      <c r="CZ106" s="267"/>
      <c r="DA106" s="267"/>
      <c r="DB106" s="267"/>
      <c r="DC106" s="267"/>
      <c r="DD106" s="267"/>
      <c r="DE106" s="267"/>
      <c r="DF106" s="267"/>
      <c r="DG106" s="267"/>
      <c r="DH106" s="267"/>
      <c r="DI106" s="267"/>
      <c r="DJ106" s="268"/>
      <c r="DK106" s="268"/>
      <c r="DL106" s="268"/>
      <c r="DM106" s="268"/>
      <c r="DN106" s="268"/>
      <c r="DO106" s="268"/>
      <c r="DP106" s="268"/>
      <c r="DQ106" s="268"/>
      <c r="DR106" s="268"/>
      <c r="DS106" s="268"/>
      <c r="DT106" s="268"/>
      <c r="DU106" s="268"/>
      <c r="DV106" s="268"/>
      <c r="DW106" s="268"/>
      <c r="DX106" s="268"/>
      <c r="DY106" s="268"/>
      <c r="EA106" s="13"/>
      <c r="EB106" s="96"/>
      <c r="EC106" s="96"/>
      <c r="ED106" s="96"/>
      <c r="EE106" s="96"/>
      <c r="EF106" s="96"/>
      <c r="EG106" s="96"/>
      <c r="EH106" s="96"/>
      <c r="EI106" s="96"/>
      <c r="EJ106" s="96"/>
      <c r="EK106" s="96"/>
      <c r="EL106" s="96"/>
      <c r="EM106" s="96"/>
      <c r="EN106" s="96"/>
      <c r="EO106" s="96"/>
      <c r="EP106" s="96"/>
      <c r="EQ106" s="96"/>
      <c r="ER106" s="96"/>
      <c r="ES106" s="96"/>
      <c r="ET106" s="96"/>
      <c r="EU106" s="96"/>
      <c r="EV106" s="96"/>
      <c r="EW106" s="96"/>
      <c r="EX106" s="96"/>
      <c r="EY106" s="96"/>
      <c r="EZ106" s="96"/>
      <c r="FA106" s="96"/>
      <c r="FB106" s="96"/>
      <c r="FC106" s="96"/>
      <c r="FD106" s="96"/>
      <c r="FE106" s="96"/>
      <c r="FF106" s="96"/>
      <c r="FG106" s="96"/>
      <c r="FH106" s="96"/>
      <c r="FI106" s="96"/>
      <c r="FJ106" s="96"/>
      <c r="FK106" s="96"/>
      <c r="FL106" s="96"/>
      <c r="FM106" s="96"/>
      <c r="FN106" s="96"/>
      <c r="FO106" s="96"/>
      <c r="FP106" s="96"/>
      <c r="FQ106" s="96"/>
      <c r="FR106" s="96"/>
      <c r="FS106" s="96"/>
      <c r="FT106" s="96"/>
      <c r="FU106" s="96"/>
      <c r="FV106" s="96"/>
      <c r="FW106" s="96"/>
      <c r="FX106" s="96"/>
      <c r="FY106" s="96"/>
      <c r="FZ106" s="96"/>
      <c r="GA106" s="96"/>
      <c r="GB106" s="96"/>
      <c r="GC106" s="96"/>
      <c r="GD106" s="96"/>
      <c r="GE106" s="96"/>
      <c r="GF106" s="96"/>
      <c r="GG106" s="96"/>
      <c r="GH106" s="96"/>
      <c r="GI106" s="96"/>
      <c r="GJ106" s="96"/>
      <c r="GK106" s="96"/>
      <c r="GL106" s="96"/>
      <c r="GM106" s="13"/>
      <c r="GN106" s="96"/>
      <c r="GO106" s="96"/>
      <c r="GP106" s="96"/>
      <c r="GQ106" s="96"/>
      <c r="GR106" s="96"/>
      <c r="GS106" s="96"/>
      <c r="GT106" s="96"/>
      <c r="GU106" s="96"/>
      <c r="GV106" s="96"/>
      <c r="GW106" s="96"/>
      <c r="GX106" s="96"/>
      <c r="GY106" s="96"/>
      <c r="GZ106" s="96"/>
      <c r="HA106" s="96"/>
      <c r="HB106" s="96"/>
      <c r="HC106" s="13"/>
      <c r="HD106" s="96"/>
      <c r="HE106" s="96"/>
      <c r="HF106" s="96"/>
      <c r="HG106" s="96"/>
      <c r="HH106" s="96"/>
      <c r="HI106" s="96"/>
      <c r="HJ106" s="96"/>
      <c r="HK106" s="96"/>
      <c r="HL106" s="96"/>
      <c r="HM106" s="96"/>
      <c r="HN106" s="96"/>
      <c r="HO106" s="96"/>
      <c r="HP106" s="96"/>
      <c r="HQ106" s="96"/>
      <c r="HR106" s="96"/>
      <c r="HS106" s="13"/>
      <c r="HT106" s="96"/>
      <c r="HU106" s="96"/>
      <c r="HV106" s="96"/>
      <c r="HW106" s="96"/>
      <c r="HX106" s="96"/>
      <c r="HY106" s="96"/>
      <c r="HZ106" s="96"/>
      <c r="IA106" s="96"/>
      <c r="IB106" s="96"/>
      <c r="IC106" s="96"/>
      <c r="ID106" s="96"/>
      <c r="IE106" s="96"/>
      <c r="IF106" s="96"/>
      <c r="IG106" s="96"/>
      <c r="IH106" s="96"/>
      <c r="II106" s="13"/>
      <c r="IJ106" s="96"/>
      <c r="IK106" s="96"/>
      <c r="IL106" s="96"/>
      <c r="IM106" s="96"/>
      <c r="IN106" s="96"/>
      <c r="IO106" s="96"/>
      <c r="IP106" s="96"/>
      <c r="IQ106" s="96"/>
      <c r="IR106" s="96"/>
      <c r="IS106" s="96"/>
      <c r="IT106" s="96"/>
      <c r="IU106" s="96"/>
      <c r="IV106" s="96"/>
      <c r="IW106" s="96"/>
      <c r="IX106" s="96"/>
      <c r="IY106" s="13"/>
    </row>
    <row r="107" spans="1:259" outlineLevel="1">
      <c r="A107" s="11">
        <f>'VAC &amp; MED'!C96</f>
        <v>46102</v>
      </c>
      <c r="B107" s="261"/>
      <c r="C107" s="261"/>
      <c r="D107" s="261"/>
      <c r="E107" s="261"/>
      <c r="F107" s="261"/>
      <c r="G107" s="261"/>
      <c r="H107" s="261"/>
      <c r="I107" s="261"/>
      <c r="J107" s="261"/>
      <c r="K107" s="261"/>
      <c r="L107" s="261"/>
      <c r="M107" s="261"/>
      <c r="N107" s="261"/>
      <c r="O107" s="261"/>
      <c r="P107" s="261"/>
      <c r="Q107" s="261"/>
      <c r="R107" s="262"/>
      <c r="S107" s="262"/>
      <c r="T107" s="262"/>
      <c r="U107" s="262"/>
      <c r="V107" s="262"/>
      <c r="W107" s="262"/>
      <c r="X107" s="262"/>
      <c r="Y107" s="262"/>
      <c r="Z107" s="262"/>
      <c r="AA107" s="262"/>
      <c r="AB107" s="262"/>
      <c r="AC107" s="262"/>
      <c r="AD107" s="262"/>
      <c r="AE107" s="262"/>
      <c r="AF107" s="262"/>
      <c r="AG107" s="262"/>
      <c r="AH107" s="263"/>
      <c r="AI107" s="263"/>
      <c r="AJ107" s="263"/>
      <c r="AK107" s="263"/>
      <c r="AL107" s="263"/>
      <c r="AM107" s="263"/>
      <c r="AN107" s="263"/>
      <c r="AO107" s="263"/>
      <c r="AP107" s="263"/>
      <c r="AQ107" s="263"/>
      <c r="AR107" s="263"/>
      <c r="AS107" s="263"/>
      <c r="AT107" s="263"/>
      <c r="AU107" s="263"/>
      <c r="AV107" s="263"/>
      <c r="AW107" s="263"/>
      <c r="AX107" s="264"/>
      <c r="AY107" s="264"/>
      <c r="AZ107" s="264"/>
      <c r="BA107" s="264"/>
      <c r="BB107" s="264"/>
      <c r="BC107" s="264"/>
      <c r="BD107" s="264"/>
      <c r="BE107" s="264"/>
      <c r="BF107" s="264"/>
      <c r="BG107" s="264"/>
      <c r="BH107" s="264"/>
      <c r="BI107" s="264"/>
      <c r="BJ107" s="264"/>
      <c r="BK107" s="264"/>
      <c r="BL107" s="264"/>
      <c r="BM107" s="264"/>
      <c r="BN107" s="265"/>
      <c r="BO107" s="265"/>
      <c r="BP107" s="265"/>
      <c r="BQ107" s="265"/>
      <c r="BR107" s="265"/>
      <c r="BS107" s="265"/>
      <c r="BT107" s="265"/>
      <c r="BU107" s="265"/>
      <c r="BV107" s="265"/>
      <c r="BW107" s="265"/>
      <c r="BX107" s="265"/>
      <c r="BY107" s="265"/>
      <c r="BZ107" s="265"/>
      <c r="CA107" s="265"/>
      <c r="CB107" s="265"/>
      <c r="CC107" s="265"/>
      <c r="CD107" s="266"/>
      <c r="CE107" s="266"/>
      <c r="CF107" s="266"/>
      <c r="CG107" s="266"/>
      <c r="CH107" s="266"/>
      <c r="CI107" s="266"/>
      <c r="CJ107" s="266"/>
      <c r="CK107" s="266"/>
      <c r="CL107" s="266"/>
      <c r="CM107" s="266"/>
      <c r="CN107" s="266"/>
      <c r="CO107" s="266"/>
      <c r="CP107" s="266"/>
      <c r="CQ107" s="266"/>
      <c r="CR107" s="266"/>
      <c r="CS107" s="266"/>
      <c r="CT107" s="267"/>
      <c r="CU107" s="267"/>
      <c r="CV107" s="267"/>
      <c r="CW107" s="267"/>
      <c r="CX107" s="267"/>
      <c r="CY107" s="267"/>
      <c r="CZ107" s="267"/>
      <c r="DA107" s="267"/>
      <c r="DB107" s="267"/>
      <c r="DC107" s="267"/>
      <c r="DD107" s="267"/>
      <c r="DE107" s="267"/>
      <c r="DF107" s="267"/>
      <c r="DG107" s="267"/>
      <c r="DH107" s="267"/>
      <c r="DI107" s="267"/>
      <c r="DJ107" s="268"/>
      <c r="DK107" s="268"/>
      <c r="DL107" s="268"/>
      <c r="DM107" s="268"/>
      <c r="DN107" s="268"/>
      <c r="DO107" s="268"/>
      <c r="DP107" s="268"/>
      <c r="DQ107" s="268"/>
      <c r="DR107" s="268"/>
      <c r="DS107" s="268"/>
      <c r="DT107" s="268"/>
      <c r="DU107" s="268"/>
      <c r="DV107" s="268"/>
      <c r="DW107" s="268"/>
      <c r="DX107" s="268"/>
      <c r="DY107" s="268"/>
      <c r="EA107" s="13"/>
      <c r="EB107" s="96"/>
      <c r="EC107" s="96"/>
      <c r="ED107" s="96"/>
      <c r="EE107" s="96"/>
      <c r="EF107" s="96"/>
      <c r="EG107" s="96"/>
      <c r="EH107" s="96"/>
      <c r="EI107" s="96"/>
      <c r="EJ107" s="96"/>
      <c r="EK107" s="96"/>
      <c r="EL107" s="96"/>
      <c r="EM107" s="96"/>
      <c r="EN107" s="96"/>
      <c r="EO107" s="96"/>
      <c r="EP107" s="96"/>
      <c r="EQ107" s="96"/>
      <c r="ER107" s="96"/>
      <c r="ES107" s="96"/>
      <c r="ET107" s="96"/>
      <c r="EU107" s="96"/>
      <c r="EV107" s="96"/>
      <c r="EW107" s="96"/>
      <c r="EX107" s="96"/>
      <c r="EY107" s="96"/>
      <c r="EZ107" s="96"/>
      <c r="FA107" s="96"/>
      <c r="FB107" s="96"/>
      <c r="FC107" s="96"/>
      <c r="FD107" s="96"/>
      <c r="FE107" s="96"/>
      <c r="FF107" s="96"/>
      <c r="FG107" s="96"/>
      <c r="FH107" s="96"/>
      <c r="FI107" s="96"/>
      <c r="FJ107" s="96"/>
      <c r="FK107" s="96"/>
      <c r="FL107" s="96"/>
      <c r="FM107" s="96"/>
      <c r="FN107" s="96"/>
      <c r="FO107" s="96"/>
      <c r="FP107" s="96"/>
      <c r="FQ107" s="96"/>
      <c r="FR107" s="96"/>
      <c r="FS107" s="96"/>
      <c r="FT107" s="96"/>
      <c r="FU107" s="96"/>
      <c r="FV107" s="96"/>
      <c r="FW107" s="96"/>
      <c r="FX107" s="96"/>
      <c r="FY107" s="96"/>
      <c r="FZ107" s="96"/>
      <c r="GA107" s="96"/>
      <c r="GB107" s="96"/>
      <c r="GC107" s="96"/>
      <c r="GD107" s="96"/>
      <c r="GE107" s="96"/>
      <c r="GF107" s="96"/>
      <c r="GG107" s="96"/>
      <c r="GH107" s="96"/>
      <c r="GI107" s="96"/>
      <c r="GJ107" s="96"/>
      <c r="GK107" s="96"/>
      <c r="GL107" s="96"/>
      <c r="GM107" s="13"/>
      <c r="GN107" s="96"/>
      <c r="GO107" s="96"/>
      <c r="GP107" s="96"/>
      <c r="GQ107" s="96"/>
      <c r="GR107" s="96"/>
      <c r="GS107" s="96"/>
      <c r="GT107" s="96"/>
      <c r="GU107" s="96"/>
      <c r="GV107" s="96"/>
      <c r="GW107" s="96"/>
      <c r="GX107" s="96"/>
      <c r="GY107" s="96"/>
      <c r="GZ107" s="96"/>
      <c r="HA107" s="96"/>
      <c r="HB107" s="96"/>
      <c r="HC107" s="13"/>
      <c r="HD107" s="96"/>
      <c r="HE107" s="96"/>
      <c r="HF107" s="96"/>
      <c r="HG107" s="96"/>
      <c r="HH107" s="96"/>
      <c r="HI107" s="96"/>
      <c r="HJ107" s="96"/>
      <c r="HK107" s="96"/>
      <c r="HL107" s="96"/>
      <c r="HM107" s="96"/>
      <c r="HN107" s="96"/>
      <c r="HO107" s="96"/>
      <c r="HP107" s="96"/>
      <c r="HQ107" s="96"/>
      <c r="HR107" s="96"/>
      <c r="HS107" s="13"/>
      <c r="HT107" s="96"/>
      <c r="HU107" s="96"/>
      <c r="HV107" s="96"/>
      <c r="HW107" s="96"/>
      <c r="HX107" s="96"/>
      <c r="HY107" s="96"/>
      <c r="HZ107" s="96"/>
      <c r="IA107" s="96"/>
      <c r="IB107" s="96"/>
      <c r="IC107" s="96"/>
      <c r="ID107" s="96"/>
      <c r="IE107" s="96"/>
      <c r="IF107" s="96"/>
      <c r="IG107" s="96"/>
      <c r="IH107" s="96"/>
      <c r="II107" s="13"/>
      <c r="IJ107" s="96"/>
      <c r="IK107" s="96"/>
      <c r="IL107" s="96"/>
      <c r="IM107" s="96"/>
      <c r="IN107" s="96"/>
      <c r="IO107" s="96"/>
      <c r="IP107" s="96"/>
      <c r="IQ107" s="96"/>
      <c r="IR107" s="96"/>
      <c r="IS107" s="96"/>
      <c r="IT107" s="96"/>
      <c r="IU107" s="96"/>
      <c r="IV107" s="96"/>
      <c r="IW107" s="96"/>
      <c r="IX107" s="96"/>
      <c r="IY107" s="13"/>
    </row>
    <row r="108" spans="1:259" outlineLevel="1">
      <c r="A108" s="11">
        <f>'VAC &amp; MED'!C97</f>
        <v>46103</v>
      </c>
      <c r="B108" s="261"/>
      <c r="C108" s="261"/>
      <c r="D108" s="261"/>
      <c r="E108" s="261"/>
      <c r="F108" s="261"/>
      <c r="G108" s="261"/>
      <c r="H108" s="261"/>
      <c r="I108" s="261"/>
      <c r="J108" s="261"/>
      <c r="K108" s="261"/>
      <c r="L108" s="261"/>
      <c r="M108" s="261"/>
      <c r="N108" s="261"/>
      <c r="O108" s="261"/>
      <c r="P108" s="261"/>
      <c r="Q108" s="261"/>
      <c r="R108" s="262"/>
      <c r="S108" s="262"/>
      <c r="T108" s="262"/>
      <c r="U108" s="262"/>
      <c r="V108" s="262"/>
      <c r="W108" s="262"/>
      <c r="X108" s="262"/>
      <c r="Y108" s="262"/>
      <c r="Z108" s="262"/>
      <c r="AA108" s="262"/>
      <c r="AB108" s="262"/>
      <c r="AC108" s="262"/>
      <c r="AD108" s="262"/>
      <c r="AE108" s="262"/>
      <c r="AF108" s="262"/>
      <c r="AG108" s="262"/>
      <c r="AH108" s="263"/>
      <c r="AI108" s="263"/>
      <c r="AJ108" s="263"/>
      <c r="AK108" s="263"/>
      <c r="AL108" s="263"/>
      <c r="AM108" s="263"/>
      <c r="AN108" s="263"/>
      <c r="AO108" s="263"/>
      <c r="AP108" s="263"/>
      <c r="AQ108" s="263"/>
      <c r="AR108" s="263"/>
      <c r="AS108" s="263"/>
      <c r="AT108" s="263"/>
      <c r="AU108" s="263"/>
      <c r="AV108" s="263"/>
      <c r="AW108" s="263"/>
      <c r="AX108" s="264"/>
      <c r="AY108" s="264"/>
      <c r="AZ108" s="264"/>
      <c r="BA108" s="264"/>
      <c r="BB108" s="264"/>
      <c r="BC108" s="264"/>
      <c r="BD108" s="264"/>
      <c r="BE108" s="264"/>
      <c r="BF108" s="264"/>
      <c r="BG108" s="264"/>
      <c r="BH108" s="264"/>
      <c r="BI108" s="264"/>
      <c r="BJ108" s="264"/>
      <c r="BK108" s="264"/>
      <c r="BL108" s="264"/>
      <c r="BM108" s="264"/>
      <c r="BN108" s="265"/>
      <c r="BO108" s="265"/>
      <c r="BP108" s="265"/>
      <c r="BQ108" s="265"/>
      <c r="BR108" s="265"/>
      <c r="BS108" s="265"/>
      <c r="BT108" s="265"/>
      <c r="BU108" s="265"/>
      <c r="BV108" s="265"/>
      <c r="BW108" s="265"/>
      <c r="BX108" s="265"/>
      <c r="BY108" s="265"/>
      <c r="BZ108" s="265"/>
      <c r="CA108" s="265"/>
      <c r="CB108" s="265"/>
      <c r="CC108" s="265"/>
      <c r="CD108" s="266"/>
      <c r="CE108" s="266"/>
      <c r="CF108" s="266"/>
      <c r="CG108" s="266"/>
      <c r="CH108" s="266"/>
      <c r="CI108" s="266"/>
      <c r="CJ108" s="266"/>
      <c r="CK108" s="266"/>
      <c r="CL108" s="266"/>
      <c r="CM108" s="266"/>
      <c r="CN108" s="266"/>
      <c r="CO108" s="266"/>
      <c r="CP108" s="266"/>
      <c r="CQ108" s="266"/>
      <c r="CR108" s="266"/>
      <c r="CS108" s="266"/>
      <c r="CT108" s="267"/>
      <c r="CU108" s="267"/>
      <c r="CV108" s="267"/>
      <c r="CW108" s="267"/>
      <c r="CX108" s="267"/>
      <c r="CY108" s="267"/>
      <c r="CZ108" s="267"/>
      <c r="DA108" s="267"/>
      <c r="DB108" s="267"/>
      <c r="DC108" s="267"/>
      <c r="DD108" s="267"/>
      <c r="DE108" s="267"/>
      <c r="DF108" s="267"/>
      <c r="DG108" s="267"/>
      <c r="DH108" s="267"/>
      <c r="DI108" s="267"/>
      <c r="DJ108" s="268"/>
      <c r="DK108" s="268"/>
      <c r="DL108" s="268"/>
      <c r="DM108" s="268"/>
      <c r="DN108" s="268"/>
      <c r="DO108" s="268"/>
      <c r="DP108" s="268"/>
      <c r="DQ108" s="268"/>
      <c r="DR108" s="268"/>
      <c r="DS108" s="268"/>
      <c r="DT108" s="268"/>
      <c r="DU108" s="268"/>
      <c r="DV108" s="268"/>
      <c r="DW108" s="268"/>
      <c r="DX108" s="268"/>
      <c r="DY108" s="268"/>
      <c r="EA108" s="13"/>
      <c r="EB108" s="96"/>
      <c r="EC108" s="96"/>
      <c r="ED108" s="96"/>
      <c r="EE108" s="96"/>
      <c r="EF108" s="96"/>
      <c r="EG108" s="96"/>
      <c r="EH108" s="96"/>
      <c r="EI108" s="96"/>
      <c r="EJ108" s="96"/>
      <c r="EK108" s="96"/>
      <c r="EL108" s="96"/>
      <c r="EM108" s="96"/>
      <c r="EN108" s="96"/>
      <c r="EO108" s="96"/>
      <c r="EP108" s="96"/>
      <c r="EQ108" s="96"/>
      <c r="ER108" s="96"/>
      <c r="ES108" s="96"/>
      <c r="ET108" s="96"/>
      <c r="EU108" s="96"/>
      <c r="EV108" s="96"/>
      <c r="EW108" s="96"/>
      <c r="EX108" s="96"/>
      <c r="EY108" s="96"/>
      <c r="EZ108" s="96"/>
      <c r="FA108" s="96"/>
      <c r="FB108" s="96"/>
      <c r="FC108" s="96"/>
      <c r="FD108" s="96"/>
      <c r="FE108" s="96"/>
      <c r="FF108" s="96"/>
      <c r="FG108" s="96"/>
      <c r="FH108" s="96"/>
      <c r="FI108" s="96"/>
      <c r="FJ108" s="96"/>
      <c r="FK108" s="96"/>
      <c r="FL108" s="96"/>
      <c r="FM108" s="96"/>
      <c r="FN108" s="96"/>
      <c r="FO108" s="96"/>
      <c r="FP108" s="96"/>
      <c r="FQ108" s="96"/>
      <c r="FR108" s="96"/>
      <c r="FS108" s="96"/>
      <c r="FT108" s="96"/>
      <c r="FU108" s="96"/>
      <c r="FV108" s="96"/>
      <c r="FW108" s="96"/>
      <c r="FX108" s="96"/>
      <c r="FY108" s="96"/>
      <c r="FZ108" s="96"/>
      <c r="GA108" s="96"/>
      <c r="GB108" s="96"/>
      <c r="GC108" s="96"/>
      <c r="GD108" s="96"/>
      <c r="GE108" s="96"/>
      <c r="GF108" s="96"/>
      <c r="GG108" s="96"/>
      <c r="GH108" s="96"/>
      <c r="GI108" s="96"/>
      <c r="GJ108" s="96"/>
      <c r="GK108" s="96"/>
      <c r="GL108" s="96"/>
      <c r="GM108" s="13"/>
      <c r="GN108" s="96"/>
      <c r="GO108" s="96"/>
      <c r="GP108" s="96"/>
      <c r="GQ108" s="96"/>
      <c r="GR108" s="96"/>
      <c r="GS108" s="96"/>
      <c r="GT108" s="96"/>
      <c r="GU108" s="96"/>
      <c r="GV108" s="96"/>
      <c r="GW108" s="96"/>
      <c r="GX108" s="96"/>
      <c r="GY108" s="96"/>
      <c r="GZ108" s="96"/>
      <c r="HA108" s="96"/>
      <c r="HB108" s="96"/>
      <c r="HC108" s="13"/>
      <c r="HD108" s="96"/>
      <c r="HE108" s="96"/>
      <c r="HF108" s="96"/>
      <c r="HG108" s="96"/>
      <c r="HH108" s="96"/>
      <c r="HI108" s="96"/>
      <c r="HJ108" s="96"/>
      <c r="HK108" s="96"/>
      <c r="HL108" s="96"/>
      <c r="HM108" s="96"/>
      <c r="HN108" s="96"/>
      <c r="HO108" s="96"/>
      <c r="HP108" s="96"/>
      <c r="HQ108" s="96"/>
      <c r="HR108" s="96"/>
      <c r="HS108" s="13"/>
      <c r="HT108" s="96"/>
      <c r="HU108" s="96"/>
      <c r="HV108" s="96"/>
      <c r="HW108" s="96"/>
      <c r="HX108" s="96"/>
      <c r="HY108" s="96"/>
      <c r="HZ108" s="96"/>
      <c r="IA108" s="96"/>
      <c r="IB108" s="96"/>
      <c r="IC108" s="96"/>
      <c r="ID108" s="96"/>
      <c r="IE108" s="96"/>
      <c r="IF108" s="96"/>
      <c r="IG108" s="96"/>
      <c r="IH108" s="96"/>
      <c r="II108" s="13"/>
      <c r="IJ108" s="96"/>
      <c r="IK108" s="96"/>
      <c r="IL108" s="96"/>
      <c r="IM108" s="96"/>
      <c r="IN108" s="96"/>
      <c r="IO108" s="96"/>
      <c r="IP108" s="96"/>
      <c r="IQ108" s="96"/>
      <c r="IR108" s="96"/>
      <c r="IS108" s="96"/>
      <c r="IT108" s="96"/>
      <c r="IU108" s="96"/>
      <c r="IV108" s="96"/>
      <c r="IW108" s="96"/>
      <c r="IX108" s="96"/>
      <c r="IY108" s="13"/>
    </row>
    <row r="109" spans="1:259" outlineLevel="1">
      <c r="A109" s="11">
        <f>'VAC &amp; MED'!C98</f>
        <v>46104</v>
      </c>
      <c r="B109" s="261"/>
      <c r="C109" s="261"/>
      <c r="D109" s="261"/>
      <c r="E109" s="261"/>
      <c r="F109" s="261"/>
      <c r="G109" s="261"/>
      <c r="H109" s="261"/>
      <c r="I109" s="261"/>
      <c r="J109" s="261"/>
      <c r="K109" s="261"/>
      <c r="L109" s="261"/>
      <c r="M109" s="261"/>
      <c r="N109" s="261"/>
      <c r="O109" s="261"/>
      <c r="P109" s="261"/>
      <c r="Q109" s="261"/>
      <c r="R109" s="262"/>
      <c r="S109" s="262"/>
      <c r="T109" s="262"/>
      <c r="U109" s="262"/>
      <c r="V109" s="262"/>
      <c r="W109" s="262"/>
      <c r="X109" s="262"/>
      <c r="Y109" s="262"/>
      <c r="Z109" s="262"/>
      <c r="AA109" s="262"/>
      <c r="AB109" s="262"/>
      <c r="AC109" s="262"/>
      <c r="AD109" s="262"/>
      <c r="AE109" s="262"/>
      <c r="AF109" s="262"/>
      <c r="AG109" s="262"/>
      <c r="AH109" s="263"/>
      <c r="AI109" s="263"/>
      <c r="AJ109" s="263"/>
      <c r="AK109" s="263"/>
      <c r="AL109" s="263"/>
      <c r="AM109" s="263"/>
      <c r="AN109" s="263"/>
      <c r="AO109" s="263"/>
      <c r="AP109" s="263"/>
      <c r="AQ109" s="263"/>
      <c r="AR109" s="263"/>
      <c r="AS109" s="263"/>
      <c r="AT109" s="263"/>
      <c r="AU109" s="263"/>
      <c r="AV109" s="263"/>
      <c r="AW109" s="263"/>
      <c r="AX109" s="264"/>
      <c r="AY109" s="264"/>
      <c r="AZ109" s="264"/>
      <c r="BA109" s="264"/>
      <c r="BB109" s="264"/>
      <c r="BC109" s="264"/>
      <c r="BD109" s="264"/>
      <c r="BE109" s="264"/>
      <c r="BF109" s="264"/>
      <c r="BG109" s="264"/>
      <c r="BH109" s="264"/>
      <c r="BI109" s="264"/>
      <c r="BJ109" s="264"/>
      <c r="BK109" s="264"/>
      <c r="BL109" s="264"/>
      <c r="BM109" s="264"/>
      <c r="BN109" s="265"/>
      <c r="BO109" s="265"/>
      <c r="BP109" s="265"/>
      <c r="BQ109" s="265"/>
      <c r="BR109" s="265"/>
      <c r="BS109" s="265"/>
      <c r="BT109" s="265"/>
      <c r="BU109" s="265"/>
      <c r="BV109" s="265"/>
      <c r="BW109" s="265"/>
      <c r="BX109" s="265"/>
      <c r="BY109" s="265"/>
      <c r="BZ109" s="265"/>
      <c r="CA109" s="265"/>
      <c r="CB109" s="265"/>
      <c r="CC109" s="265"/>
      <c r="CD109" s="266"/>
      <c r="CE109" s="266"/>
      <c r="CF109" s="266"/>
      <c r="CG109" s="266"/>
      <c r="CH109" s="266"/>
      <c r="CI109" s="266"/>
      <c r="CJ109" s="266"/>
      <c r="CK109" s="266"/>
      <c r="CL109" s="266"/>
      <c r="CM109" s="266"/>
      <c r="CN109" s="266"/>
      <c r="CO109" s="266"/>
      <c r="CP109" s="266"/>
      <c r="CQ109" s="266"/>
      <c r="CR109" s="266"/>
      <c r="CS109" s="266"/>
      <c r="CT109" s="267"/>
      <c r="CU109" s="267"/>
      <c r="CV109" s="267"/>
      <c r="CW109" s="267"/>
      <c r="CX109" s="267"/>
      <c r="CY109" s="267"/>
      <c r="CZ109" s="267"/>
      <c r="DA109" s="267"/>
      <c r="DB109" s="267"/>
      <c r="DC109" s="267"/>
      <c r="DD109" s="267"/>
      <c r="DE109" s="267"/>
      <c r="DF109" s="267"/>
      <c r="DG109" s="267"/>
      <c r="DH109" s="267"/>
      <c r="DI109" s="267"/>
      <c r="DJ109" s="268"/>
      <c r="DK109" s="268"/>
      <c r="DL109" s="268"/>
      <c r="DM109" s="268"/>
      <c r="DN109" s="268"/>
      <c r="DO109" s="268"/>
      <c r="DP109" s="268"/>
      <c r="DQ109" s="268"/>
      <c r="DR109" s="268"/>
      <c r="DS109" s="268"/>
      <c r="DT109" s="268"/>
      <c r="DU109" s="268"/>
      <c r="DV109" s="268"/>
      <c r="DW109" s="268"/>
      <c r="DX109" s="268"/>
      <c r="DY109" s="268"/>
      <c r="EA109" s="13"/>
      <c r="EB109" s="96"/>
      <c r="EC109" s="96"/>
      <c r="ED109" s="96"/>
      <c r="EE109" s="96"/>
      <c r="EF109" s="96"/>
      <c r="EG109" s="96"/>
      <c r="EH109" s="96"/>
      <c r="EI109" s="96"/>
      <c r="EJ109" s="96"/>
      <c r="EK109" s="96"/>
      <c r="EL109" s="96"/>
      <c r="EM109" s="96"/>
      <c r="EN109" s="96"/>
      <c r="EO109" s="96"/>
      <c r="EP109" s="96"/>
      <c r="EQ109" s="96"/>
      <c r="ER109" s="96"/>
      <c r="ES109" s="96"/>
      <c r="ET109" s="96"/>
      <c r="EU109" s="96"/>
      <c r="EV109" s="96"/>
      <c r="EW109" s="96"/>
      <c r="EX109" s="96"/>
      <c r="EY109" s="96"/>
      <c r="EZ109" s="96"/>
      <c r="FA109" s="96"/>
      <c r="FB109" s="96"/>
      <c r="FC109" s="96"/>
      <c r="FD109" s="96"/>
      <c r="FE109" s="96"/>
      <c r="FF109" s="96"/>
      <c r="FG109" s="96"/>
      <c r="FH109" s="96"/>
      <c r="FI109" s="96"/>
      <c r="FJ109" s="96"/>
      <c r="FK109" s="96"/>
      <c r="FL109" s="96"/>
      <c r="FM109" s="96"/>
      <c r="FN109" s="96"/>
      <c r="FO109" s="96"/>
      <c r="FP109" s="96"/>
      <c r="FQ109" s="96"/>
      <c r="FR109" s="96"/>
      <c r="FS109" s="96"/>
      <c r="FT109" s="96"/>
      <c r="FU109" s="96"/>
      <c r="FV109" s="96"/>
      <c r="FW109" s="96"/>
      <c r="FX109" s="96"/>
      <c r="FY109" s="96"/>
      <c r="FZ109" s="96"/>
      <c r="GA109" s="96"/>
      <c r="GB109" s="96"/>
      <c r="GC109" s="96"/>
      <c r="GD109" s="96"/>
      <c r="GE109" s="96"/>
      <c r="GF109" s="96"/>
      <c r="GG109" s="96"/>
      <c r="GH109" s="96"/>
      <c r="GI109" s="96"/>
      <c r="GJ109" s="96"/>
      <c r="GK109" s="96"/>
      <c r="GL109" s="96"/>
      <c r="GM109" s="13"/>
      <c r="GN109" s="96"/>
      <c r="GO109" s="96"/>
      <c r="GP109" s="96"/>
      <c r="GQ109" s="96"/>
      <c r="GR109" s="96"/>
      <c r="GS109" s="96"/>
      <c r="GT109" s="96"/>
      <c r="GU109" s="96"/>
      <c r="GV109" s="96"/>
      <c r="GW109" s="96"/>
      <c r="GX109" s="96"/>
      <c r="GY109" s="96"/>
      <c r="GZ109" s="96"/>
      <c r="HA109" s="96"/>
      <c r="HB109" s="96"/>
      <c r="HC109" s="13"/>
      <c r="HD109" s="96"/>
      <c r="HE109" s="96"/>
      <c r="HF109" s="96"/>
      <c r="HG109" s="96"/>
      <c r="HH109" s="96"/>
      <c r="HI109" s="96"/>
      <c r="HJ109" s="96"/>
      <c r="HK109" s="96"/>
      <c r="HL109" s="96"/>
      <c r="HM109" s="96"/>
      <c r="HN109" s="96"/>
      <c r="HO109" s="96"/>
      <c r="HP109" s="96"/>
      <c r="HQ109" s="96"/>
      <c r="HR109" s="96"/>
      <c r="HS109" s="13"/>
      <c r="HT109" s="96"/>
      <c r="HU109" s="96"/>
      <c r="HV109" s="96"/>
      <c r="HW109" s="96"/>
      <c r="HX109" s="96"/>
      <c r="HY109" s="96"/>
      <c r="HZ109" s="96"/>
      <c r="IA109" s="96"/>
      <c r="IB109" s="96"/>
      <c r="IC109" s="96"/>
      <c r="ID109" s="96"/>
      <c r="IE109" s="96"/>
      <c r="IF109" s="96"/>
      <c r="IG109" s="96"/>
      <c r="IH109" s="96"/>
      <c r="II109" s="13"/>
      <c r="IJ109" s="96"/>
      <c r="IK109" s="96"/>
      <c r="IL109" s="96"/>
      <c r="IM109" s="96"/>
      <c r="IN109" s="96"/>
      <c r="IO109" s="96"/>
      <c r="IP109" s="96"/>
      <c r="IQ109" s="96"/>
      <c r="IR109" s="96"/>
      <c r="IS109" s="96"/>
      <c r="IT109" s="96"/>
      <c r="IU109" s="96"/>
      <c r="IV109" s="96"/>
      <c r="IW109" s="96"/>
      <c r="IX109" s="96"/>
      <c r="IY109" s="13"/>
    </row>
    <row r="110" spans="1:259" outlineLevel="1">
      <c r="A110" s="11">
        <f>'VAC &amp; MED'!C99</f>
        <v>46105</v>
      </c>
      <c r="B110" s="261"/>
      <c r="C110" s="261"/>
      <c r="D110" s="261"/>
      <c r="E110" s="261"/>
      <c r="F110" s="261"/>
      <c r="G110" s="261"/>
      <c r="H110" s="261"/>
      <c r="I110" s="261"/>
      <c r="J110" s="261"/>
      <c r="K110" s="261"/>
      <c r="L110" s="261"/>
      <c r="M110" s="261"/>
      <c r="N110" s="261"/>
      <c r="O110" s="261"/>
      <c r="P110" s="261"/>
      <c r="Q110" s="261"/>
      <c r="R110" s="262"/>
      <c r="S110" s="262"/>
      <c r="T110" s="262"/>
      <c r="U110" s="262"/>
      <c r="V110" s="262"/>
      <c r="W110" s="262"/>
      <c r="X110" s="262"/>
      <c r="Y110" s="262"/>
      <c r="Z110" s="262"/>
      <c r="AA110" s="262"/>
      <c r="AB110" s="262"/>
      <c r="AC110" s="262"/>
      <c r="AD110" s="262"/>
      <c r="AE110" s="262"/>
      <c r="AF110" s="262"/>
      <c r="AG110" s="262"/>
      <c r="AH110" s="263"/>
      <c r="AI110" s="263"/>
      <c r="AJ110" s="263"/>
      <c r="AK110" s="263"/>
      <c r="AL110" s="263"/>
      <c r="AM110" s="263"/>
      <c r="AN110" s="263"/>
      <c r="AO110" s="263"/>
      <c r="AP110" s="263"/>
      <c r="AQ110" s="263"/>
      <c r="AR110" s="263"/>
      <c r="AS110" s="263"/>
      <c r="AT110" s="263"/>
      <c r="AU110" s="263"/>
      <c r="AV110" s="263"/>
      <c r="AW110" s="263"/>
      <c r="AX110" s="264"/>
      <c r="AY110" s="264"/>
      <c r="AZ110" s="264"/>
      <c r="BA110" s="264"/>
      <c r="BB110" s="264"/>
      <c r="BC110" s="264"/>
      <c r="BD110" s="264"/>
      <c r="BE110" s="264"/>
      <c r="BF110" s="264"/>
      <c r="BG110" s="264"/>
      <c r="BH110" s="264"/>
      <c r="BI110" s="264"/>
      <c r="BJ110" s="264"/>
      <c r="BK110" s="264"/>
      <c r="BL110" s="264"/>
      <c r="BM110" s="264"/>
      <c r="BN110" s="265"/>
      <c r="BO110" s="265"/>
      <c r="BP110" s="265"/>
      <c r="BQ110" s="265"/>
      <c r="BR110" s="265"/>
      <c r="BS110" s="265"/>
      <c r="BT110" s="265"/>
      <c r="BU110" s="265"/>
      <c r="BV110" s="265"/>
      <c r="BW110" s="265"/>
      <c r="BX110" s="265"/>
      <c r="BY110" s="265"/>
      <c r="BZ110" s="265"/>
      <c r="CA110" s="265"/>
      <c r="CB110" s="265"/>
      <c r="CC110" s="265"/>
      <c r="CD110" s="266"/>
      <c r="CE110" s="266"/>
      <c r="CF110" s="266"/>
      <c r="CG110" s="266"/>
      <c r="CH110" s="266"/>
      <c r="CI110" s="266"/>
      <c r="CJ110" s="266"/>
      <c r="CK110" s="266"/>
      <c r="CL110" s="266"/>
      <c r="CM110" s="266"/>
      <c r="CN110" s="266"/>
      <c r="CO110" s="266"/>
      <c r="CP110" s="266"/>
      <c r="CQ110" s="266"/>
      <c r="CR110" s="266"/>
      <c r="CS110" s="266"/>
      <c r="CT110" s="267">
        <v>40</v>
      </c>
      <c r="CU110" s="267"/>
      <c r="CV110" s="267"/>
      <c r="CW110" s="267"/>
      <c r="CX110" s="267"/>
      <c r="CY110" s="267"/>
      <c r="CZ110" s="267"/>
      <c r="DA110" s="267"/>
      <c r="DB110" s="267"/>
      <c r="DC110" s="267"/>
      <c r="DD110" s="267"/>
      <c r="DE110" s="267"/>
      <c r="DF110" s="267"/>
      <c r="DG110" s="267"/>
      <c r="DH110" s="267"/>
      <c r="DI110" s="267"/>
      <c r="DJ110" s="268"/>
      <c r="DK110" s="268"/>
      <c r="DL110" s="268"/>
      <c r="DM110" s="268"/>
      <c r="DN110" s="268"/>
      <c r="DO110" s="268"/>
      <c r="DP110" s="268"/>
      <c r="DQ110" s="268"/>
      <c r="DR110" s="268"/>
      <c r="DS110" s="268"/>
      <c r="DT110" s="268"/>
      <c r="DU110" s="268"/>
      <c r="DV110" s="268"/>
      <c r="DW110" s="268"/>
      <c r="DX110" s="268"/>
      <c r="DY110" s="268"/>
      <c r="EA110" s="13"/>
      <c r="EB110" s="96"/>
      <c r="EC110" s="96"/>
      <c r="ED110" s="96"/>
      <c r="EE110" s="96"/>
      <c r="EF110" s="96"/>
      <c r="EG110" s="96"/>
      <c r="EH110" s="96"/>
      <c r="EI110" s="96"/>
      <c r="EJ110" s="96"/>
      <c r="EK110" s="96"/>
      <c r="EL110" s="96"/>
      <c r="EM110" s="96"/>
      <c r="EN110" s="96"/>
      <c r="EO110" s="96"/>
      <c r="EP110" s="96"/>
      <c r="EQ110" s="96"/>
      <c r="ER110" s="96"/>
      <c r="ES110" s="96"/>
      <c r="ET110" s="96"/>
      <c r="EU110" s="96"/>
      <c r="EV110" s="96"/>
      <c r="EW110" s="96"/>
      <c r="EX110" s="96"/>
      <c r="EY110" s="96"/>
      <c r="EZ110" s="96"/>
      <c r="FA110" s="96"/>
      <c r="FB110" s="96"/>
      <c r="FC110" s="96"/>
      <c r="FD110" s="96"/>
      <c r="FE110" s="96"/>
      <c r="FF110" s="96"/>
      <c r="FG110" s="96"/>
      <c r="FH110" s="96"/>
      <c r="FI110" s="96"/>
      <c r="FJ110" s="96"/>
      <c r="FK110" s="96"/>
      <c r="FL110" s="96"/>
      <c r="FM110" s="96"/>
      <c r="FN110" s="96"/>
      <c r="FO110" s="96"/>
      <c r="FP110" s="96"/>
      <c r="FQ110" s="96"/>
      <c r="FR110" s="96"/>
      <c r="FS110" s="96"/>
      <c r="FT110" s="96"/>
      <c r="FU110" s="96"/>
      <c r="FV110" s="96"/>
      <c r="FW110" s="96"/>
      <c r="FX110" s="96"/>
      <c r="FY110" s="96"/>
      <c r="FZ110" s="96"/>
      <c r="GA110" s="96"/>
      <c r="GB110" s="96"/>
      <c r="GC110" s="96"/>
      <c r="GD110" s="96"/>
      <c r="GE110" s="96"/>
      <c r="GF110" s="96"/>
      <c r="GG110" s="96"/>
      <c r="GH110" s="96"/>
      <c r="GI110" s="96"/>
      <c r="GJ110" s="96"/>
      <c r="GK110" s="96"/>
      <c r="GL110" s="96"/>
      <c r="GM110" s="13"/>
      <c r="GN110" s="96"/>
      <c r="GO110" s="96"/>
      <c r="GP110" s="96"/>
      <c r="GQ110" s="96"/>
      <c r="GR110" s="96"/>
      <c r="GS110" s="96"/>
      <c r="GT110" s="96"/>
      <c r="GU110" s="96"/>
      <c r="GV110" s="96"/>
      <c r="GW110" s="96"/>
      <c r="GX110" s="96"/>
      <c r="GY110" s="96"/>
      <c r="GZ110" s="96"/>
      <c r="HA110" s="96"/>
      <c r="HB110" s="96"/>
      <c r="HC110" s="13"/>
      <c r="HD110" s="96"/>
      <c r="HE110" s="96"/>
      <c r="HF110" s="96"/>
      <c r="HG110" s="96"/>
      <c r="HH110" s="96"/>
      <c r="HI110" s="96"/>
      <c r="HJ110" s="96"/>
      <c r="HK110" s="96"/>
      <c r="HL110" s="96"/>
      <c r="HM110" s="96"/>
      <c r="HN110" s="96"/>
      <c r="HO110" s="96"/>
      <c r="HP110" s="96"/>
      <c r="HQ110" s="96"/>
      <c r="HR110" s="96"/>
      <c r="HS110" s="13"/>
      <c r="HT110" s="96"/>
      <c r="HU110" s="96"/>
      <c r="HV110" s="96"/>
      <c r="HW110" s="96"/>
      <c r="HX110" s="96"/>
      <c r="HY110" s="96"/>
      <c r="HZ110" s="96"/>
      <c r="IA110" s="96"/>
      <c r="IB110" s="96"/>
      <c r="IC110" s="96"/>
      <c r="ID110" s="96"/>
      <c r="IE110" s="96"/>
      <c r="IF110" s="96"/>
      <c r="IG110" s="96"/>
      <c r="IH110" s="96"/>
      <c r="II110" s="13"/>
      <c r="IJ110" s="96"/>
      <c r="IK110" s="96"/>
      <c r="IL110" s="96"/>
      <c r="IM110" s="96"/>
      <c r="IN110" s="96"/>
      <c r="IO110" s="96"/>
      <c r="IP110" s="96"/>
      <c r="IQ110" s="96"/>
      <c r="IR110" s="96"/>
      <c r="IS110" s="96"/>
      <c r="IT110" s="96"/>
      <c r="IU110" s="96"/>
      <c r="IV110" s="96"/>
      <c r="IW110" s="96"/>
      <c r="IX110" s="96"/>
      <c r="IY110" s="13"/>
    </row>
    <row r="111" spans="1:259" outlineLevel="1">
      <c r="A111" s="11">
        <f>'VAC &amp; MED'!C100</f>
        <v>46106</v>
      </c>
      <c r="B111" s="261"/>
      <c r="C111" s="261"/>
      <c r="D111" s="261"/>
      <c r="E111" s="261"/>
      <c r="F111" s="261"/>
      <c r="G111" s="261"/>
      <c r="H111" s="261"/>
      <c r="I111" s="261"/>
      <c r="J111" s="261"/>
      <c r="K111" s="261"/>
      <c r="L111" s="261"/>
      <c r="M111" s="261"/>
      <c r="N111" s="261"/>
      <c r="O111" s="261"/>
      <c r="P111" s="261"/>
      <c r="Q111" s="261"/>
      <c r="R111" s="262">
        <v>120</v>
      </c>
      <c r="S111" s="262"/>
      <c r="T111" s="262"/>
      <c r="U111" s="262"/>
      <c r="V111" s="262"/>
      <c r="W111" s="262"/>
      <c r="X111" s="262"/>
      <c r="Y111" s="262"/>
      <c r="Z111" s="262"/>
      <c r="AA111" s="262"/>
      <c r="AB111" s="262"/>
      <c r="AC111" s="262"/>
      <c r="AD111" s="262"/>
      <c r="AE111" s="262"/>
      <c r="AF111" s="262"/>
      <c r="AG111" s="262"/>
      <c r="AH111" s="263"/>
      <c r="AI111" s="263"/>
      <c r="AJ111" s="263"/>
      <c r="AK111" s="263"/>
      <c r="AL111" s="263"/>
      <c r="AM111" s="263"/>
      <c r="AN111" s="263"/>
      <c r="AO111" s="263"/>
      <c r="AP111" s="263"/>
      <c r="AQ111" s="263"/>
      <c r="AR111" s="263"/>
      <c r="AS111" s="263"/>
      <c r="AT111" s="263"/>
      <c r="AU111" s="263"/>
      <c r="AV111" s="263"/>
      <c r="AW111" s="263"/>
      <c r="AX111" s="264"/>
      <c r="AY111" s="264"/>
      <c r="AZ111" s="264"/>
      <c r="BA111" s="264"/>
      <c r="BB111" s="264"/>
      <c r="BC111" s="264"/>
      <c r="BD111" s="264"/>
      <c r="BE111" s="264"/>
      <c r="BF111" s="264"/>
      <c r="BG111" s="264"/>
      <c r="BH111" s="264"/>
      <c r="BI111" s="264"/>
      <c r="BJ111" s="264"/>
      <c r="BK111" s="264"/>
      <c r="BL111" s="264"/>
      <c r="BM111" s="264"/>
      <c r="BN111" s="265"/>
      <c r="BO111" s="265"/>
      <c r="BP111" s="265"/>
      <c r="BQ111" s="265"/>
      <c r="BR111" s="265"/>
      <c r="BS111" s="265"/>
      <c r="BT111" s="265"/>
      <c r="BU111" s="265"/>
      <c r="BV111" s="265"/>
      <c r="BW111" s="265"/>
      <c r="BX111" s="265"/>
      <c r="BY111" s="265"/>
      <c r="BZ111" s="265"/>
      <c r="CA111" s="265"/>
      <c r="CB111" s="265"/>
      <c r="CC111" s="265"/>
      <c r="CD111" s="266"/>
      <c r="CE111" s="266"/>
      <c r="CF111" s="266"/>
      <c r="CG111" s="266"/>
      <c r="CH111" s="266"/>
      <c r="CI111" s="266"/>
      <c r="CJ111" s="266"/>
      <c r="CK111" s="266"/>
      <c r="CL111" s="266"/>
      <c r="CM111" s="266"/>
      <c r="CN111" s="266"/>
      <c r="CO111" s="266"/>
      <c r="CP111" s="266"/>
      <c r="CQ111" s="266"/>
      <c r="CR111" s="266"/>
      <c r="CS111" s="266"/>
      <c r="CT111" s="267"/>
      <c r="CU111" s="267"/>
      <c r="CV111" s="267"/>
      <c r="CW111" s="267"/>
      <c r="CX111" s="267"/>
      <c r="CY111" s="267"/>
      <c r="CZ111" s="267"/>
      <c r="DA111" s="267"/>
      <c r="DB111" s="267"/>
      <c r="DC111" s="267"/>
      <c r="DD111" s="267"/>
      <c r="DE111" s="267"/>
      <c r="DF111" s="267"/>
      <c r="DG111" s="267"/>
      <c r="DH111" s="267"/>
      <c r="DI111" s="267"/>
      <c r="DJ111" s="268">
        <v>10</v>
      </c>
      <c r="DK111" s="268"/>
      <c r="DL111" s="268"/>
      <c r="DM111" s="268"/>
      <c r="DN111" s="268"/>
      <c r="DO111" s="268"/>
      <c r="DP111" s="268"/>
      <c r="DQ111" s="268"/>
      <c r="DR111" s="268"/>
      <c r="DS111" s="268"/>
      <c r="DT111" s="268"/>
      <c r="DU111" s="268"/>
      <c r="DV111" s="268"/>
      <c r="DW111" s="268"/>
      <c r="DX111" s="268"/>
      <c r="DY111" s="268"/>
      <c r="EA111" s="13"/>
      <c r="EB111" s="96"/>
      <c r="EC111" s="96"/>
      <c r="ED111" s="96"/>
      <c r="EE111" s="96"/>
      <c r="EF111" s="96"/>
      <c r="EG111" s="96"/>
      <c r="EH111" s="96"/>
      <c r="EI111" s="96"/>
      <c r="EJ111" s="96"/>
      <c r="EK111" s="96"/>
      <c r="EL111" s="96"/>
      <c r="EM111" s="96"/>
      <c r="EN111" s="96"/>
      <c r="EO111" s="96"/>
      <c r="EP111" s="96"/>
      <c r="EQ111" s="96"/>
      <c r="ER111" s="96"/>
      <c r="ES111" s="96"/>
      <c r="ET111" s="96"/>
      <c r="EU111" s="96"/>
      <c r="EV111" s="96"/>
      <c r="EW111" s="96"/>
      <c r="EX111" s="96"/>
      <c r="EY111" s="96"/>
      <c r="EZ111" s="96"/>
      <c r="FA111" s="96"/>
      <c r="FB111" s="96"/>
      <c r="FC111" s="96"/>
      <c r="FD111" s="96"/>
      <c r="FE111" s="96"/>
      <c r="FF111" s="96"/>
      <c r="FG111" s="96"/>
      <c r="FH111" s="96"/>
      <c r="FI111" s="96"/>
      <c r="FJ111" s="96"/>
      <c r="FK111" s="96"/>
      <c r="FL111" s="96"/>
      <c r="FM111" s="96"/>
      <c r="FN111" s="96"/>
      <c r="FO111" s="96"/>
      <c r="FP111" s="96"/>
      <c r="FQ111" s="96"/>
      <c r="FR111" s="96"/>
      <c r="FS111" s="96"/>
      <c r="FT111" s="96"/>
      <c r="FU111" s="96"/>
      <c r="FV111" s="96"/>
      <c r="FW111" s="96"/>
      <c r="FX111" s="96"/>
      <c r="FY111" s="96"/>
      <c r="FZ111" s="96"/>
      <c r="GA111" s="96"/>
      <c r="GB111" s="96"/>
      <c r="GC111" s="96"/>
      <c r="GD111" s="96"/>
      <c r="GE111" s="96"/>
      <c r="GF111" s="96"/>
      <c r="GG111" s="96"/>
      <c r="GH111" s="96"/>
      <c r="GI111" s="96"/>
      <c r="GJ111" s="96"/>
      <c r="GK111" s="96"/>
      <c r="GL111" s="96"/>
      <c r="GM111" s="13"/>
      <c r="GN111" s="96"/>
      <c r="GO111" s="96"/>
      <c r="GP111" s="96"/>
      <c r="GQ111" s="96"/>
      <c r="GR111" s="96"/>
      <c r="GS111" s="96"/>
      <c r="GT111" s="96"/>
      <c r="GU111" s="96"/>
      <c r="GV111" s="96"/>
      <c r="GW111" s="96"/>
      <c r="GX111" s="96"/>
      <c r="GY111" s="96"/>
      <c r="GZ111" s="96"/>
      <c r="HA111" s="96"/>
      <c r="HB111" s="96"/>
      <c r="HC111" s="13"/>
      <c r="HD111" s="96"/>
      <c r="HE111" s="96"/>
      <c r="HF111" s="96"/>
      <c r="HG111" s="96"/>
      <c r="HH111" s="96"/>
      <c r="HI111" s="96"/>
      <c r="HJ111" s="96"/>
      <c r="HK111" s="96"/>
      <c r="HL111" s="96"/>
      <c r="HM111" s="96"/>
      <c r="HN111" s="96"/>
      <c r="HO111" s="96"/>
      <c r="HP111" s="96"/>
      <c r="HQ111" s="96"/>
      <c r="HR111" s="96"/>
      <c r="HS111" s="13"/>
      <c r="HT111" s="96"/>
      <c r="HU111" s="96"/>
      <c r="HV111" s="96"/>
      <c r="HW111" s="96"/>
      <c r="HX111" s="96"/>
      <c r="HY111" s="96"/>
      <c r="HZ111" s="96"/>
      <c r="IA111" s="96"/>
      <c r="IB111" s="96"/>
      <c r="IC111" s="96"/>
      <c r="ID111" s="96"/>
      <c r="IE111" s="96"/>
      <c r="IF111" s="96"/>
      <c r="IG111" s="96"/>
      <c r="IH111" s="96"/>
      <c r="II111" s="13"/>
      <c r="IJ111" s="96"/>
      <c r="IK111" s="96"/>
      <c r="IL111" s="96"/>
      <c r="IM111" s="96"/>
      <c r="IN111" s="96"/>
      <c r="IO111" s="96"/>
      <c r="IP111" s="96"/>
      <c r="IQ111" s="96"/>
      <c r="IR111" s="96"/>
      <c r="IS111" s="96"/>
      <c r="IT111" s="96"/>
      <c r="IU111" s="96"/>
      <c r="IV111" s="96"/>
      <c r="IW111" s="96"/>
      <c r="IX111" s="96"/>
      <c r="IY111" s="13"/>
    </row>
    <row r="112" spans="1:259" outlineLevel="1">
      <c r="A112" s="11">
        <f>'VAC &amp; MED'!C101</f>
        <v>46107</v>
      </c>
      <c r="B112" s="261">
        <v>16</v>
      </c>
      <c r="C112" s="261"/>
      <c r="D112" s="261"/>
      <c r="E112" s="261"/>
      <c r="F112" s="261"/>
      <c r="G112" s="261"/>
      <c r="H112" s="261"/>
      <c r="I112" s="261"/>
      <c r="J112" s="261"/>
      <c r="K112" s="261"/>
      <c r="L112" s="261"/>
      <c r="M112" s="261"/>
      <c r="N112" s="261"/>
      <c r="O112" s="261"/>
      <c r="P112" s="261"/>
      <c r="Q112" s="261"/>
      <c r="R112" s="262"/>
      <c r="S112" s="262"/>
      <c r="T112" s="262"/>
      <c r="U112" s="262"/>
      <c r="V112" s="262"/>
      <c r="W112" s="262"/>
      <c r="X112" s="262"/>
      <c r="Y112" s="262"/>
      <c r="Z112" s="262"/>
      <c r="AA112" s="262"/>
      <c r="AB112" s="262"/>
      <c r="AC112" s="262"/>
      <c r="AD112" s="262"/>
      <c r="AE112" s="262"/>
      <c r="AF112" s="262"/>
      <c r="AG112" s="262"/>
      <c r="AH112" s="263"/>
      <c r="AI112" s="263"/>
      <c r="AJ112" s="263"/>
      <c r="AK112" s="263"/>
      <c r="AL112" s="263"/>
      <c r="AM112" s="263"/>
      <c r="AN112" s="263"/>
      <c r="AO112" s="263"/>
      <c r="AP112" s="263"/>
      <c r="AQ112" s="263"/>
      <c r="AR112" s="263"/>
      <c r="AS112" s="263"/>
      <c r="AT112" s="263"/>
      <c r="AU112" s="263"/>
      <c r="AV112" s="263"/>
      <c r="AW112" s="263"/>
      <c r="AX112" s="264"/>
      <c r="AY112" s="264"/>
      <c r="AZ112" s="264"/>
      <c r="BA112" s="264"/>
      <c r="BB112" s="264"/>
      <c r="BC112" s="264"/>
      <c r="BD112" s="264"/>
      <c r="BE112" s="264"/>
      <c r="BF112" s="264"/>
      <c r="BG112" s="264"/>
      <c r="BH112" s="264"/>
      <c r="BI112" s="264"/>
      <c r="BJ112" s="264"/>
      <c r="BK112" s="264"/>
      <c r="BL112" s="264"/>
      <c r="BM112" s="264"/>
      <c r="BN112" s="265"/>
      <c r="BO112" s="265"/>
      <c r="BP112" s="265"/>
      <c r="BQ112" s="265"/>
      <c r="BR112" s="265"/>
      <c r="BS112" s="265"/>
      <c r="BT112" s="265"/>
      <c r="BU112" s="265"/>
      <c r="BV112" s="265"/>
      <c r="BW112" s="265"/>
      <c r="BX112" s="265"/>
      <c r="BY112" s="265"/>
      <c r="BZ112" s="265"/>
      <c r="CA112" s="265"/>
      <c r="CB112" s="265"/>
      <c r="CC112" s="265"/>
      <c r="CD112" s="266">
        <v>24</v>
      </c>
      <c r="CE112" s="266"/>
      <c r="CF112" s="266"/>
      <c r="CG112" s="266"/>
      <c r="CH112" s="266"/>
      <c r="CI112" s="266"/>
      <c r="CJ112" s="266"/>
      <c r="CK112" s="266"/>
      <c r="CL112" s="266"/>
      <c r="CM112" s="266"/>
      <c r="CN112" s="266"/>
      <c r="CO112" s="266"/>
      <c r="CP112" s="266"/>
      <c r="CQ112" s="266"/>
      <c r="CR112" s="266"/>
      <c r="CS112" s="266"/>
      <c r="CT112" s="267"/>
      <c r="CU112" s="267"/>
      <c r="CV112" s="267"/>
      <c r="CW112" s="267"/>
      <c r="CX112" s="267"/>
      <c r="CY112" s="267"/>
      <c r="CZ112" s="267"/>
      <c r="DA112" s="267"/>
      <c r="DB112" s="267"/>
      <c r="DC112" s="267"/>
      <c r="DD112" s="267"/>
      <c r="DE112" s="267"/>
      <c r="DF112" s="267"/>
      <c r="DG112" s="267"/>
      <c r="DH112" s="267"/>
      <c r="DI112" s="267"/>
      <c r="DJ112" s="268">
        <v>10</v>
      </c>
      <c r="DK112" s="268"/>
      <c r="DL112" s="268"/>
      <c r="DM112" s="268"/>
      <c r="DN112" s="268"/>
      <c r="DO112" s="268"/>
      <c r="DP112" s="268"/>
      <c r="DQ112" s="268"/>
      <c r="DR112" s="268"/>
      <c r="DS112" s="268"/>
      <c r="DT112" s="268"/>
      <c r="DU112" s="268"/>
      <c r="DV112" s="268"/>
      <c r="DW112" s="268"/>
      <c r="DX112" s="268"/>
      <c r="DY112" s="268"/>
      <c r="EA112" s="13"/>
      <c r="EB112" s="96"/>
      <c r="EC112" s="96"/>
      <c r="ED112" s="96"/>
      <c r="EE112" s="96"/>
      <c r="EF112" s="96"/>
      <c r="EG112" s="96"/>
      <c r="EH112" s="96"/>
      <c r="EI112" s="96"/>
      <c r="EJ112" s="96"/>
      <c r="EK112" s="96"/>
      <c r="EL112" s="96"/>
      <c r="EM112" s="96"/>
      <c r="EN112" s="96"/>
      <c r="EO112" s="96"/>
      <c r="EP112" s="96"/>
      <c r="EQ112" s="96"/>
      <c r="ER112" s="96"/>
      <c r="ES112" s="96"/>
      <c r="ET112" s="96"/>
      <c r="EU112" s="96"/>
      <c r="EV112" s="96"/>
      <c r="EW112" s="96"/>
      <c r="EX112" s="96"/>
      <c r="EY112" s="96"/>
      <c r="EZ112" s="96"/>
      <c r="FA112" s="96"/>
      <c r="FB112" s="96"/>
      <c r="FC112" s="96"/>
      <c r="FD112" s="96"/>
      <c r="FE112" s="96"/>
      <c r="FF112" s="96"/>
      <c r="FG112" s="96"/>
      <c r="FH112" s="96"/>
      <c r="FI112" s="96"/>
      <c r="FJ112" s="96"/>
      <c r="FK112" s="96"/>
      <c r="FL112" s="96"/>
      <c r="FM112" s="96"/>
      <c r="FN112" s="96"/>
      <c r="FO112" s="96"/>
      <c r="FP112" s="96"/>
      <c r="FQ112" s="96"/>
      <c r="FR112" s="96"/>
      <c r="FS112" s="96"/>
      <c r="FT112" s="96"/>
      <c r="FU112" s="96"/>
      <c r="FV112" s="96"/>
      <c r="FW112" s="96"/>
      <c r="FX112" s="96"/>
      <c r="FY112" s="96"/>
      <c r="FZ112" s="96"/>
      <c r="GA112" s="96"/>
      <c r="GB112" s="96"/>
      <c r="GC112" s="96"/>
      <c r="GD112" s="96"/>
      <c r="GE112" s="96"/>
      <c r="GF112" s="96"/>
      <c r="GG112" s="96"/>
      <c r="GH112" s="96"/>
      <c r="GI112" s="96"/>
      <c r="GJ112" s="96"/>
      <c r="GK112" s="96"/>
      <c r="GL112" s="96"/>
      <c r="GM112" s="13"/>
      <c r="GN112" s="96"/>
      <c r="GO112" s="96"/>
      <c r="GP112" s="96"/>
      <c r="GQ112" s="96"/>
      <c r="GR112" s="96"/>
      <c r="GS112" s="96"/>
      <c r="GT112" s="96"/>
      <c r="GU112" s="96"/>
      <c r="GV112" s="96"/>
      <c r="GW112" s="96"/>
      <c r="GX112" s="96"/>
      <c r="GY112" s="96"/>
      <c r="GZ112" s="96"/>
      <c r="HA112" s="96"/>
      <c r="HB112" s="96"/>
      <c r="HC112" s="13"/>
      <c r="HD112" s="96"/>
      <c r="HE112" s="96"/>
      <c r="HF112" s="96"/>
      <c r="HG112" s="96"/>
      <c r="HH112" s="96"/>
      <c r="HI112" s="96"/>
      <c r="HJ112" s="96"/>
      <c r="HK112" s="96"/>
      <c r="HL112" s="96"/>
      <c r="HM112" s="96"/>
      <c r="HN112" s="96"/>
      <c r="HO112" s="96"/>
      <c r="HP112" s="96"/>
      <c r="HQ112" s="96"/>
      <c r="HR112" s="96"/>
      <c r="HS112" s="13"/>
      <c r="HT112" s="96"/>
      <c r="HU112" s="96"/>
      <c r="HV112" s="96"/>
      <c r="HW112" s="96"/>
      <c r="HX112" s="96"/>
      <c r="HY112" s="96"/>
      <c r="HZ112" s="96"/>
      <c r="IA112" s="96"/>
      <c r="IB112" s="96"/>
      <c r="IC112" s="96"/>
      <c r="ID112" s="96"/>
      <c r="IE112" s="96"/>
      <c r="IF112" s="96"/>
      <c r="IG112" s="96"/>
      <c r="IH112" s="96"/>
      <c r="II112" s="13"/>
      <c r="IJ112" s="96"/>
      <c r="IK112" s="96"/>
      <c r="IL112" s="96"/>
      <c r="IM112" s="96"/>
      <c r="IN112" s="96"/>
      <c r="IO112" s="96"/>
      <c r="IP112" s="96"/>
      <c r="IQ112" s="96"/>
      <c r="IR112" s="96"/>
      <c r="IS112" s="96"/>
      <c r="IT112" s="96"/>
      <c r="IU112" s="96"/>
      <c r="IV112" s="96"/>
      <c r="IW112" s="96"/>
      <c r="IX112" s="96"/>
      <c r="IY112" s="13"/>
    </row>
    <row r="113" spans="1:259" outlineLevel="1">
      <c r="A113" s="11">
        <f>'VAC &amp; MED'!C102</f>
        <v>46108</v>
      </c>
      <c r="B113" s="261"/>
      <c r="C113" s="261"/>
      <c r="D113" s="261"/>
      <c r="E113" s="261"/>
      <c r="F113" s="261"/>
      <c r="G113" s="261"/>
      <c r="H113" s="261"/>
      <c r="I113" s="261"/>
      <c r="J113" s="261"/>
      <c r="K113" s="261"/>
      <c r="L113" s="261"/>
      <c r="M113" s="261"/>
      <c r="N113" s="261"/>
      <c r="O113" s="261"/>
      <c r="P113" s="261"/>
      <c r="Q113" s="261"/>
      <c r="R113" s="262"/>
      <c r="S113" s="262"/>
      <c r="T113" s="262"/>
      <c r="U113" s="262"/>
      <c r="V113" s="262"/>
      <c r="W113" s="262"/>
      <c r="X113" s="262"/>
      <c r="Y113" s="262"/>
      <c r="Z113" s="262"/>
      <c r="AA113" s="262"/>
      <c r="AB113" s="262"/>
      <c r="AC113" s="262"/>
      <c r="AD113" s="262"/>
      <c r="AE113" s="262"/>
      <c r="AF113" s="262"/>
      <c r="AG113" s="262"/>
      <c r="AH113" s="263"/>
      <c r="AI113" s="263"/>
      <c r="AJ113" s="263"/>
      <c r="AK113" s="263"/>
      <c r="AL113" s="263"/>
      <c r="AM113" s="263"/>
      <c r="AN113" s="263"/>
      <c r="AO113" s="263"/>
      <c r="AP113" s="263"/>
      <c r="AQ113" s="263"/>
      <c r="AR113" s="263"/>
      <c r="AS113" s="263"/>
      <c r="AT113" s="263"/>
      <c r="AU113" s="263"/>
      <c r="AV113" s="263"/>
      <c r="AW113" s="263"/>
      <c r="AX113" s="264"/>
      <c r="AY113" s="264"/>
      <c r="AZ113" s="264"/>
      <c r="BA113" s="264"/>
      <c r="BB113" s="264"/>
      <c r="BC113" s="264"/>
      <c r="BD113" s="264"/>
      <c r="BE113" s="264"/>
      <c r="BF113" s="264"/>
      <c r="BG113" s="264"/>
      <c r="BH113" s="264"/>
      <c r="BI113" s="264"/>
      <c r="BJ113" s="264"/>
      <c r="BK113" s="264"/>
      <c r="BL113" s="264"/>
      <c r="BM113" s="264"/>
      <c r="BN113" s="265"/>
      <c r="BO113" s="265"/>
      <c r="BP113" s="265"/>
      <c r="BQ113" s="265"/>
      <c r="BR113" s="265"/>
      <c r="BS113" s="265"/>
      <c r="BT113" s="265"/>
      <c r="BU113" s="265"/>
      <c r="BV113" s="265"/>
      <c r="BW113" s="265"/>
      <c r="BX113" s="265"/>
      <c r="BY113" s="265"/>
      <c r="BZ113" s="265"/>
      <c r="CA113" s="265"/>
      <c r="CB113" s="265"/>
      <c r="CC113" s="265"/>
      <c r="CD113" s="266"/>
      <c r="CE113" s="266"/>
      <c r="CF113" s="266"/>
      <c r="CG113" s="266"/>
      <c r="CH113" s="266"/>
      <c r="CI113" s="266"/>
      <c r="CJ113" s="266"/>
      <c r="CK113" s="266"/>
      <c r="CL113" s="266"/>
      <c r="CM113" s="266"/>
      <c r="CN113" s="266"/>
      <c r="CO113" s="266"/>
      <c r="CP113" s="266"/>
      <c r="CQ113" s="266"/>
      <c r="CR113" s="266"/>
      <c r="CS113" s="266"/>
      <c r="CT113" s="267">
        <v>10</v>
      </c>
      <c r="CU113" s="267"/>
      <c r="CV113" s="267"/>
      <c r="CW113" s="267"/>
      <c r="CX113" s="267"/>
      <c r="CY113" s="267"/>
      <c r="CZ113" s="267"/>
      <c r="DA113" s="267"/>
      <c r="DB113" s="267"/>
      <c r="DC113" s="267"/>
      <c r="DD113" s="267"/>
      <c r="DE113" s="267"/>
      <c r="DF113" s="267"/>
      <c r="DG113" s="267"/>
      <c r="DH113" s="267"/>
      <c r="DI113" s="267"/>
      <c r="DJ113" s="268">
        <v>70</v>
      </c>
      <c r="DK113" s="268"/>
      <c r="DL113" s="268"/>
      <c r="DM113" s="268"/>
      <c r="DN113" s="268"/>
      <c r="DO113" s="268"/>
      <c r="DP113" s="268"/>
      <c r="DQ113" s="268"/>
      <c r="DR113" s="268"/>
      <c r="DS113" s="268"/>
      <c r="DT113" s="268"/>
      <c r="DU113" s="268"/>
      <c r="DV113" s="268"/>
      <c r="DW113" s="268"/>
      <c r="DX113" s="268"/>
      <c r="DY113" s="268"/>
      <c r="EA113" s="13"/>
      <c r="EB113" s="96"/>
      <c r="EC113" s="96"/>
      <c r="ED113" s="96"/>
      <c r="EE113" s="96"/>
      <c r="EF113" s="96"/>
      <c r="EG113" s="96"/>
      <c r="EH113" s="96"/>
      <c r="EI113" s="96"/>
      <c r="EJ113" s="96"/>
      <c r="EK113" s="96"/>
      <c r="EL113" s="96"/>
      <c r="EM113" s="96"/>
      <c r="EN113" s="96"/>
      <c r="EO113" s="96"/>
      <c r="EP113" s="96"/>
      <c r="EQ113" s="96"/>
      <c r="ER113" s="96"/>
      <c r="ES113" s="96"/>
      <c r="ET113" s="96"/>
      <c r="EU113" s="96"/>
      <c r="EV113" s="96"/>
      <c r="EW113" s="96"/>
      <c r="EX113" s="96"/>
      <c r="EY113" s="96"/>
      <c r="EZ113" s="96"/>
      <c r="FA113" s="96"/>
      <c r="FB113" s="96"/>
      <c r="FC113" s="96"/>
      <c r="FD113" s="96"/>
      <c r="FE113" s="96"/>
      <c r="FF113" s="96"/>
      <c r="FG113" s="96"/>
      <c r="FH113" s="96"/>
      <c r="FI113" s="96"/>
      <c r="FJ113" s="96"/>
      <c r="FK113" s="96"/>
      <c r="FL113" s="96"/>
      <c r="FM113" s="96"/>
      <c r="FN113" s="96"/>
      <c r="FO113" s="96"/>
      <c r="FP113" s="96"/>
      <c r="FQ113" s="96"/>
      <c r="FR113" s="96"/>
      <c r="FS113" s="96"/>
      <c r="FT113" s="96"/>
      <c r="FU113" s="96"/>
      <c r="FV113" s="96"/>
      <c r="FW113" s="96"/>
      <c r="FX113" s="96"/>
      <c r="FY113" s="96"/>
      <c r="FZ113" s="96"/>
      <c r="GA113" s="96"/>
      <c r="GB113" s="96"/>
      <c r="GC113" s="96"/>
      <c r="GD113" s="96"/>
      <c r="GE113" s="96"/>
      <c r="GF113" s="96"/>
      <c r="GG113" s="96"/>
      <c r="GH113" s="96"/>
      <c r="GI113" s="96"/>
      <c r="GJ113" s="96"/>
      <c r="GK113" s="96"/>
      <c r="GL113" s="96"/>
      <c r="GM113" s="13"/>
      <c r="GN113" s="96"/>
      <c r="GO113" s="96"/>
      <c r="GP113" s="96"/>
      <c r="GQ113" s="96"/>
      <c r="GR113" s="96"/>
      <c r="GS113" s="96"/>
      <c r="GT113" s="96"/>
      <c r="GU113" s="96"/>
      <c r="GV113" s="96"/>
      <c r="GW113" s="96"/>
      <c r="GX113" s="96"/>
      <c r="GY113" s="96"/>
      <c r="GZ113" s="96"/>
      <c r="HA113" s="96"/>
      <c r="HB113" s="96"/>
      <c r="HC113" s="13"/>
      <c r="HD113" s="96"/>
      <c r="HE113" s="96"/>
      <c r="HF113" s="96"/>
      <c r="HG113" s="96"/>
      <c r="HH113" s="96"/>
      <c r="HI113" s="96"/>
      <c r="HJ113" s="96"/>
      <c r="HK113" s="96"/>
      <c r="HL113" s="96"/>
      <c r="HM113" s="96"/>
      <c r="HN113" s="96"/>
      <c r="HO113" s="96"/>
      <c r="HP113" s="96"/>
      <c r="HQ113" s="96"/>
      <c r="HR113" s="96"/>
      <c r="HS113" s="13"/>
      <c r="HT113" s="96"/>
      <c r="HU113" s="96"/>
      <c r="HV113" s="96"/>
      <c r="HW113" s="96"/>
      <c r="HX113" s="96"/>
      <c r="HY113" s="96"/>
      <c r="HZ113" s="96"/>
      <c r="IA113" s="96"/>
      <c r="IB113" s="96"/>
      <c r="IC113" s="96"/>
      <c r="ID113" s="96"/>
      <c r="IE113" s="96"/>
      <c r="IF113" s="96"/>
      <c r="IG113" s="96"/>
      <c r="IH113" s="96"/>
      <c r="II113" s="13"/>
      <c r="IJ113" s="96"/>
      <c r="IK113" s="96"/>
      <c r="IL113" s="96"/>
      <c r="IM113" s="96"/>
      <c r="IN113" s="96"/>
      <c r="IO113" s="96"/>
      <c r="IP113" s="96"/>
      <c r="IQ113" s="96"/>
      <c r="IR113" s="96"/>
      <c r="IS113" s="96"/>
      <c r="IT113" s="96"/>
      <c r="IU113" s="96"/>
      <c r="IV113" s="96"/>
      <c r="IW113" s="96"/>
      <c r="IX113" s="96"/>
      <c r="IY113" s="13"/>
    </row>
    <row r="114" spans="1:259" outlineLevel="1">
      <c r="A114" s="11">
        <f>'VAC &amp; MED'!C103</f>
        <v>46109</v>
      </c>
      <c r="B114" s="261"/>
      <c r="C114" s="261"/>
      <c r="D114" s="261"/>
      <c r="E114" s="261"/>
      <c r="F114" s="261"/>
      <c r="G114" s="261"/>
      <c r="H114" s="261"/>
      <c r="I114" s="261"/>
      <c r="J114" s="261"/>
      <c r="K114" s="261"/>
      <c r="L114" s="261"/>
      <c r="M114" s="261"/>
      <c r="N114" s="261"/>
      <c r="O114" s="261"/>
      <c r="P114" s="261"/>
      <c r="Q114" s="261"/>
      <c r="R114" s="262"/>
      <c r="S114" s="262"/>
      <c r="T114" s="262"/>
      <c r="U114" s="262"/>
      <c r="V114" s="262"/>
      <c r="W114" s="262"/>
      <c r="X114" s="262"/>
      <c r="Y114" s="262"/>
      <c r="Z114" s="262"/>
      <c r="AA114" s="262"/>
      <c r="AB114" s="262"/>
      <c r="AC114" s="262"/>
      <c r="AD114" s="262"/>
      <c r="AE114" s="262"/>
      <c r="AF114" s="262"/>
      <c r="AG114" s="262"/>
      <c r="AH114" s="263"/>
      <c r="AI114" s="263"/>
      <c r="AJ114" s="263"/>
      <c r="AK114" s="263"/>
      <c r="AL114" s="263"/>
      <c r="AM114" s="263"/>
      <c r="AN114" s="263"/>
      <c r="AO114" s="263"/>
      <c r="AP114" s="263"/>
      <c r="AQ114" s="263"/>
      <c r="AR114" s="263"/>
      <c r="AS114" s="263"/>
      <c r="AT114" s="263"/>
      <c r="AU114" s="263"/>
      <c r="AV114" s="263"/>
      <c r="AW114" s="263"/>
      <c r="AX114" s="264"/>
      <c r="AY114" s="264"/>
      <c r="AZ114" s="264"/>
      <c r="BA114" s="264"/>
      <c r="BB114" s="264"/>
      <c r="BC114" s="264"/>
      <c r="BD114" s="264"/>
      <c r="BE114" s="264"/>
      <c r="BF114" s="264"/>
      <c r="BG114" s="264"/>
      <c r="BH114" s="264"/>
      <c r="BI114" s="264"/>
      <c r="BJ114" s="264"/>
      <c r="BK114" s="264"/>
      <c r="BL114" s="264"/>
      <c r="BM114" s="264"/>
      <c r="BN114" s="265"/>
      <c r="BO114" s="265"/>
      <c r="BP114" s="265"/>
      <c r="BQ114" s="265"/>
      <c r="BR114" s="265"/>
      <c r="BS114" s="265"/>
      <c r="BT114" s="265"/>
      <c r="BU114" s="265"/>
      <c r="BV114" s="265"/>
      <c r="BW114" s="265"/>
      <c r="BX114" s="265"/>
      <c r="BY114" s="265"/>
      <c r="BZ114" s="265"/>
      <c r="CA114" s="265"/>
      <c r="CB114" s="265"/>
      <c r="CC114" s="265"/>
      <c r="CD114" s="266">
        <v>30</v>
      </c>
      <c r="CE114" s="266"/>
      <c r="CF114" s="266"/>
      <c r="CG114" s="266"/>
      <c r="CH114" s="266"/>
      <c r="CI114" s="266"/>
      <c r="CJ114" s="266"/>
      <c r="CK114" s="266"/>
      <c r="CL114" s="266"/>
      <c r="CM114" s="266"/>
      <c r="CN114" s="266"/>
      <c r="CO114" s="266"/>
      <c r="CP114" s="266"/>
      <c r="CQ114" s="266"/>
      <c r="CR114" s="266"/>
      <c r="CS114" s="266"/>
      <c r="CT114" s="267">
        <v>36</v>
      </c>
      <c r="CU114" s="267"/>
      <c r="CV114" s="267"/>
      <c r="CW114" s="267"/>
      <c r="CX114" s="267"/>
      <c r="CY114" s="267"/>
      <c r="CZ114" s="267"/>
      <c r="DA114" s="267"/>
      <c r="DB114" s="267"/>
      <c r="DC114" s="267"/>
      <c r="DD114" s="267"/>
      <c r="DE114" s="267"/>
      <c r="DF114" s="267"/>
      <c r="DG114" s="267"/>
      <c r="DH114" s="267"/>
      <c r="DI114" s="267"/>
      <c r="DJ114" s="268"/>
      <c r="DK114" s="268"/>
      <c r="DL114" s="268"/>
      <c r="DM114" s="268"/>
      <c r="DN114" s="268"/>
      <c r="DO114" s="268"/>
      <c r="DP114" s="268"/>
      <c r="DQ114" s="268"/>
      <c r="DR114" s="268"/>
      <c r="DS114" s="268"/>
      <c r="DT114" s="268"/>
      <c r="DU114" s="268"/>
      <c r="DV114" s="268"/>
      <c r="DW114" s="268"/>
      <c r="DX114" s="268"/>
      <c r="DY114" s="268"/>
      <c r="EA114" s="13"/>
      <c r="EB114" s="96"/>
      <c r="EC114" s="96"/>
      <c r="ED114" s="96"/>
      <c r="EE114" s="96"/>
      <c r="EF114" s="96"/>
      <c r="EG114" s="96"/>
      <c r="EH114" s="96"/>
      <c r="EI114" s="96"/>
      <c r="EJ114" s="96"/>
      <c r="EK114" s="96"/>
      <c r="EL114" s="96"/>
      <c r="EM114" s="96"/>
      <c r="EN114" s="96"/>
      <c r="EO114" s="96"/>
      <c r="EP114" s="96"/>
      <c r="EQ114" s="96"/>
      <c r="ER114" s="96"/>
      <c r="ES114" s="96"/>
      <c r="ET114" s="96"/>
      <c r="EU114" s="96"/>
      <c r="EV114" s="96"/>
      <c r="EW114" s="96"/>
      <c r="EX114" s="96"/>
      <c r="EY114" s="96"/>
      <c r="EZ114" s="96"/>
      <c r="FA114" s="96"/>
      <c r="FB114" s="96"/>
      <c r="FC114" s="96"/>
      <c r="FD114" s="96"/>
      <c r="FE114" s="96"/>
      <c r="FF114" s="96"/>
      <c r="FG114" s="96"/>
      <c r="FH114" s="96"/>
      <c r="FI114" s="96"/>
      <c r="FJ114" s="96"/>
      <c r="FK114" s="96"/>
      <c r="FL114" s="96"/>
      <c r="FM114" s="96"/>
      <c r="FN114" s="96"/>
      <c r="FO114" s="96"/>
      <c r="FP114" s="96"/>
      <c r="FQ114" s="96"/>
      <c r="FR114" s="96"/>
      <c r="FS114" s="96"/>
      <c r="FT114" s="96"/>
      <c r="FU114" s="96"/>
      <c r="FV114" s="96"/>
      <c r="FW114" s="96"/>
      <c r="FX114" s="96"/>
      <c r="FY114" s="96"/>
      <c r="FZ114" s="96"/>
      <c r="GA114" s="96"/>
      <c r="GB114" s="96"/>
      <c r="GC114" s="96"/>
      <c r="GD114" s="96"/>
      <c r="GE114" s="96"/>
      <c r="GF114" s="96"/>
      <c r="GG114" s="96"/>
      <c r="GH114" s="96"/>
      <c r="GI114" s="96"/>
      <c r="GJ114" s="96"/>
      <c r="GK114" s="96"/>
      <c r="GL114" s="96"/>
      <c r="GM114" s="13"/>
      <c r="GN114" s="96"/>
      <c r="GO114" s="96"/>
      <c r="GP114" s="96"/>
      <c r="GQ114" s="96"/>
      <c r="GR114" s="96"/>
      <c r="GS114" s="96"/>
      <c r="GT114" s="96"/>
      <c r="GU114" s="96"/>
      <c r="GV114" s="96"/>
      <c r="GW114" s="96"/>
      <c r="GX114" s="96"/>
      <c r="GY114" s="96"/>
      <c r="GZ114" s="96"/>
      <c r="HA114" s="96"/>
      <c r="HB114" s="96"/>
      <c r="HC114" s="13"/>
      <c r="HD114" s="96"/>
      <c r="HE114" s="96"/>
      <c r="HF114" s="96"/>
      <c r="HG114" s="96"/>
      <c r="HH114" s="96"/>
      <c r="HI114" s="96"/>
      <c r="HJ114" s="96"/>
      <c r="HK114" s="96"/>
      <c r="HL114" s="96"/>
      <c r="HM114" s="96"/>
      <c r="HN114" s="96"/>
      <c r="HO114" s="96"/>
      <c r="HP114" s="96"/>
      <c r="HQ114" s="96"/>
      <c r="HR114" s="96"/>
      <c r="HS114" s="13"/>
      <c r="HT114" s="96"/>
      <c r="HU114" s="96"/>
      <c r="HV114" s="96"/>
      <c r="HW114" s="96"/>
      <c r="HX114" s="96"/>
      <c r="HY114" s="96"/>
      <c r="HZ114" s="96"/>
      <c r="IA114" s="96"/>
      <c r="IB114" s="96"/>
      <c r="IC114" s="96"/>
      <c r="ID114" s="96"/>
      <c r="IE114" s="96"/>
      <c r="IF114" s="96"/>
      <c r="IG114" s="96"/>
      <c r="IH114" s="96"/>
      <c r="II114" s="13"/>
      <c r="IJ114" s="96"/>
      <c r="IK114" s="96"/>
      <c r="IL114" s="96"/>
      <c r="IM114" s="96"/>
      <c r="IN114" s="96"/>
      <c r="IO114" s="96"/>
      <c r="IP114" s="96"/>
      <c r="IQ114" s="96"/>
      <c r="IR114" s="96"/>
      <c r="IS114" s="96"/>
      <c r="IT114" s="96"/>
      <c r="IU114" s="96"/>
      <c r="IV114" s="96"/>
      <c r="IW114" s="96"/>
      <c r="IX114" s="96"/>
      <c r="IY114" s="13"/>
    </row>
    <row r="115" spans="1:259" outlineLevel="1">
      <c r="A115" s="11">
        <f>'VAC &amp; MED'!C104</f>
        <v>46110</v>
      </c>
      <c r="B115" s="269"/>
      <c r="C115" s="269"/>
      <c r="D115" s="269"/>
      <c r="E115" s="269"/>
      <c r="F115" s="269"/>
      <c r="G115" s="269"/>
      <c r="H115" s="269"/>
      <c r="I115" s="269"/>
      <c r="J115" s="269"/>
      <c r="K115" s="269"/>
      <c r="L115" s="269"/>
      <c r="M115" s="269"/>
      <c r="N115" s="269"/>
      <c r="O115" s="269"/>
      <c r="P115" s="269"/>
      <c r="Q115" s="269"/>
      <c r="R115" s="270"/>
      <c r="S115" s="270"/>
      <c r="T115" s="270"/>
      <c r="U115" s="270"/>
      <c r="V115" s="270"/>
      <c r="W115" s="270"/>
      <c r="X115" s="270"/>
      <c r="Y115" s="270"/>
      <c r="Z115" s="270"/>
      <c r="AA115" s="270"/>
      <c r="AB115" s="270"/>
      <c r="AC115" s="270"/>
      <c r="AD115" s="270"/>
      <c r="AE115" s="270"/>
      <c r="AF115" s="270"/>
      <c r="AG115" s="270"/>
      <c r="AH115" s="271"/>
      <c r="AI115" s="271"/>
      <c r="AJ115" s="271"/>
      <c r="AK115" s="271"/>
      <c r="AL115" s="271"/>
      <c r="AM115" s="271"/>
      <c r="AN115" s="271"/>
      <c r="AO115" s="271"/>
      <c r="AP115" s="271"/>
      <c r="AQ115" s="271"/>
      <c r="AR115" s="271"/>
      <c r="AS115" s="271"/>
      <c r="AT115" s="271"/>
      <c r="AU115" s="271"/>
      <c r="AV115" s="271"/>
      <c r="AW115" s="271"/>
      <c r="AX115" s="272"/>
      <c r="AY115" s="272"/>
      <c r="AZ115" s="272"/>
      <c r="BA115" s="272"/>
      <c r="BB115" s="272"/>
      <c r="BC115" s="272"/>
      <c r="BD115" s="272"/>
      <c r="BE115" s="272"/>
      <c r="BF115" s="272"/>
      <c r="BG115" s="272"/>
      <c r="BH115" s="272"/>
      <c r="BI115" s="272"/>
      <c r="BJ115" s="272"/>
      <c r="BK115" s="272"/>
      <c r="BL115" s="272"/>
      <c r="BM115" s="272"/>
      <c r="BN115" s="273"/>
      <c r="BO115" s="273"/>
      <c r="BP115" s="273"/>
      <c r="BQ115" s="273"/>
      <c r="BR115" s="273"/>
      <c r="BS115" s="273"/>
      <c r="BT115" s="273"/>
      <c r="BU115" s="273"/>
      <c r="BV115" s="273"/>
      <c r="BW115" s="273"/>
      <c r="BX115" s="273"/>
      <c r="BY115" s="273"/>
      <c r="BZ115" s="273"/>
      <c r="CA115" s="273"/>
      <c r="CB115" s="273"/>
      <c r="CC115" s="273"/>
      <c r="CD115" s="274"/>
      <c r="CE115" s="274"/>
      <c r="CF115" s="274"/>
      <c r="CG115" s="274"/>
      <c r="CH115" s="274"/>
      <c r="CI115" s="274"/>
      <c r="CJ115" s="274"/>
      <c r="CK115" s="274"/>
      <c r="CL115" s="274"/>
      <c r="CM115" s="274"/>
      <c r="CN115" s="274"/>
      <c r="CO115" s="274"/>
      <c r="CP115" s="274"/>
      <c r="CQ115" s="274"/>
      <c r="CR115" s="274"/>
      <c r="CS115" s="274"/>
      <c r="CT115" s="275"/>
      <c r="CU115" s="275"/>
      <c r="CV115" s="275"/>
      <c r="CW115" s="275"/>
      <c r="CX115" s="275"/>
      <c r="CY115" s="275"/>
      <c r="CZ115" s="275"/>
      <c r="DA115" s="275"/>
      <c r="DB115" s="275"/>
      <c r="DC115" s="275"/>
      <c r="DD115" s="275"/>
      <c r="DE115" s="275"/>
      <c r="DF115" s="275"/>
      <c r="DG115" s="275"/>
      <c r="DH115" s="275"/>
      <c r="DI115" s="275"/>
      <c r="DJ115" s="276"/>
      <c r="DK115" s="276"/>
      <c r="DL115" s="276"/>
      <c r="DM115" s="276"/>
      <c r="DN115" s="276"/>
      <c r="DO115" s="276"/>
      <c r="DP115" s="276"/>
      <c r="DQ115" s="276"/>
      <c r="DR115" s="276"/>
      <c r="DS115" s="276"/>
      <c r="DT115" s="276"/>
      <c r="DU115" s="276"/>
      <c r="DV115" s="276"/>
      <c r="DW115" s="276"/>
      <c r="DX115" s="276"/>
      <c r="DY115" s="276"/>
      <c r="EA115" s="89"/>
      <c r="EB115" s="96"/>
      <c r="EC115" s="96"/>
      <c r="ED115" s="96"/>
      <c r="EE115" s="96"/>
      <c r="EF115" s="96"/>
      <c r="EG115" s="96"/>
      <c r="EH115" s="96"/>
      <c r="EI115" s="96"/>
      <c r="EJ115" s="96"/>
      <c r="EK115" s="96"/>
      <c r="EL115" s="96"/>
      <c r="EM115" s="96"/>
      <c r="EN115" s="96"/>
      <c r="EO115" s="96"/>
      <c r="EP115" s="96"/>
      <c r="EQ115" s="96"/>
      <c r="ER115" s="96"/>
      <c r="ES115" s="96"/>
      <c r="ET115" s="96"/>
      <c r="EU115" s="96"/>
      <c r="EV115" s="96"/>
      <c r="EW115" s="96"/>
      <c r="EX115" s="96"/>
      <c r="EY115" s="96"/>
      <c r="EZ115" s="96"/>
      <c r="FA115" s="96"/>
      <c r="FB115" s="96"/>
      <c r="FC115" s="96"/>
      <c r="FD115" s="96"/>
      <c r="FE115" s="96"/>
      <c r="FF115" s="96"/>
      <c r="FG115" s="96"/>
      <c r="FH115" s="96"/>
      <c r="FI115" s="96"/>
      <c r="FJ115" s="96"/>
      <c r="FK115" s="96"/>
      <c r="FL115" s="96"/>
      <c r="FM115" s="96"/>
      <c r="FN115" s="96"/>
      <c r="FO115" s="96"/>
      <c r="FP115" s="96"/>
      <c r="FQ115" s="96"/>
      <c r="FR115" s="96"/>
      <c r="FS115" s="96"/>
      <c r="FT115" s="96"/>
      <c r="FU115" s="96"/>
      <c r="FV115" s="96"/>
      <c r="FW115" s="96"/>
      <c r="FX115" s="96"/>
      <c r="FY115" s="96"/>
      <c r="FZ115" s="96"/>
      <c r="GA115" s="96"/>
      <c r="GB115" s="96"/>
      <c r="GC115" s="96"/>
      <c r="GD115" s="96"/>
      <c r="GE115" s="96"/>
      <c r="GF115" s="96"/>
      <c r="GG115" s="96"/>
      <c r="GH115" s="96"/>
      <c r="GI115" s="96"/>
      <c r="GJ115" s="96"/>
      <c r="GK115" s="96"/>
      <c r="GL115" s="96"/>
      <c r="GM115" s="13"/>
      <c r="GN115" s="96"/>
      <c r="GO115" s="96"/>
      <c r="GP115" s="96"/>
      <c r="GQ115" s="96"/>
      <c r="GR115" s="96"/>
      <c r="GS115" s="96"/>
      <c r="GT115" s="96"/>
      <c r="GU115" s="96"/>
      <c r="GV115" s="96"/>
      <c r="GW115" s="96"/>
      <c r="GX115" s="96"/>
      <c r="GY115" s="96"/>
      <c r="GZ115" s="96"/>
      <c r="HA115" s="96"/>
      <c r="HB115" s="96"/>
      <c r="HC115" s="13"/>
      <c r="HD115" s="96"/>
      <c r="HE115" s="96"/>
      <c r="HF115" s="96"/>
      <c r="HG115" s="96"/>
      <c r="HH115" s="96"/>
      <c r="HI115" s="96"/>
      <c r="HJ115" s="96"/>
      <c r="HK115" s="96"/>
      <c r="HL115" s="96"/>
      <c r="HM115" s="96"/>
      <c r="HN115" s="96"/>
      <c r="HO115" s="96"/>
      <c r="HP115" s="96"/>
      <c r="HQ115" s="96"/>
      <c r="HR115" s="96"/>
      <c r="HS115" s="13"/>
      <c r="HT115" s="96"/>
      <c r="HU115" s="96"/>
      <c r="HV115" s="96"/>
      <c r="HW115" s="96"/>
      <c r="HX115" s="96"/>
      <c r="HY115" s="96"/>
      <c r="HZ115" s="96"/>
      <c r="IA115" s="96"/>
      <c r="IB115" s="96"/>
      <c r="IC115" s="96"/>
      <c r="ID115" s="96"/>
      <c r="IE115" s="96"/>
      <c r="IF115" s="96"/>
      <c r="IG115" s="96"/>
      <c r="IH115" s="96"/>
      <c r="II115" s="13"/>
      <c r="IJ115" s="96"/>
      <c r="IK115" s="96"/>
      <c r="IL115" s="96"/>
      <c r="IM115" s="96"/>
      <c r="IN115" s="96"/>
      <c r="IO115" s="96"/>
      <c r="IP115" s="96"/>
      <c r="IQ115" s="96"/>
      <c r="IR115" s="96"/>
      <c r="IS115" s="96"/>
      <c r="IT115" s="96"/>
      <c r="IU115" s="96"/>
      <c r="IV115" s="96"/>
      <c r="IW115" s="96"/>
      <c r="IX115" s="96"/>
      <c r="IY115" s="13"/>
    </row>
    <row r="116" spans="1:259" outlineLevel="1">
      <c r="A116" s="11">
        <f>'VAC &amp; MED'!C105</f>
        <v>46111</v>
      </c>
      <c r="B116" s="261">
        <v>46</v>
      </c>
      <c r="C116" s="261"/>
      <c r="D116" s="261"/>
      <c r="E116" s="261"/>
      <c r="F116" s="261"/>
      <c r="G116" s="261"/>
      <c r="H116" s="261"/>
      <c r="I116" s="261"/>
      <c r="J116" s="261"/>
      <c r="K116" s="261"/>
      <c r="L116" s="261"/>
      <c r="M116" s="261"/>
      <c r="N116" s="261"/>
      <c r="O116" s="261"/>
      <c r="P116" s="261"/>
      <c r="Q116" s="261"/>
      <c r="R116" s="262"/>
      <c r="S116" s="262"/>
      <c r="T116" s="262"/>
      <c r="U116" s="262"/>
      <c r="V116" s="262"/>
      <c r="W116" s="262"/>
      <c r="X116" s="262"/>
      <c r="Y116" s="262"/>
      <c r="Z116" s="262"/>
      <c r="AA116" s="262"/>
      <c r="AB116" s="262"/>
      <c r="AC116" s="262"/>
      <c r="AD116" s="262"/>
      <c r="AE116" s="262"/>
      <c r="AF116" s="262"/>
      <c r="AG116" s="262"/>
      <c r="AH116" s="263">
        <v>38</v>
      </c>
      <c r="AI116" s="263"/>
      <c r="AJ116" s="263"/>
      <c r="AK116" s="263"/>
      <c r="AL116" s="263"/>
      <c r="AM116" s="263"/>
      <c r="AN116" s="263"/>
      <c r="AO116" s="263"/>
      <c r="AP116" s="263"/>
      <c r="AQ116" s="263"/>
      <c r="AR116" s="263"/>
      <c r="AS116" s="263"/>
      <c r="AT116" s="263"/>
      <c r="AU116" s="263"/>
      <c r="AV116" s="263"/>
      <c r="AW116" s="263"/>
      <c r="AX116" s="264"/>
      <c r="AY116" s="264"/>
      <c r="AZ116" s="264"/>
      <c r="BA116" s="264"/>
      <c r="BB116" s="264"/>
      <c r="BC116" s="264"/>
      <c r="BD116" s="264"/>
      <c r="BE116" s="264"/>
      <c r="BF116" s="264"/>
      <c r="BG116" s="264"/>
      <c r="BH116" s="264"/>
      <c r="BI116" s="264"/>
      <c r="BJ116" s="264"/>
      <c r="BK116" s="264"/>
      <c r="BL116" s="264"/>
      <c r="BM116" s="264"/>
      <c r="BN116" s="265"/>
      <c r="BO116" s="265"/>
      <c r="BP116" s="265"/>
      <c r="BQ116" s="265"/>
      <c r="BR116" s="265"/>
      <c r="BS116" s="265"/>
      <c r="BT116" s="265"/>
      <c r="BU116" s="265"/>
      <c r="BV116" s="265"/>
      <c r="BW116" s="265"/>
      <c r="BX116" s="265"/>
      <c r="BY116" s="265"/>
      <c r="BZ116" s="265"/>
      <c r="CA116" s="265"/>
      <c r="CB116" s="265"/>
      <c r="CC116" s="265"/>
      <c r="CD116" s="266"/>
      <c r="CE116" s="266"/>
      <c r="CF116" s="266"/>
      <c r="CG116" s="266"/>
      <c r="CH116" s="266"/>
      <c r="CI116" s="266"/>
      <c r="CJ116" s="266"/>
      <c r="CK116" s="266"/>
      <c r="CL116" s="266"/>
      <c r="CM116" s="266"/>
      <c r="CN116" s="266"/>
      <c r="CO116" s="266"/>
      <c r="CP116" s="266"/>
      <c r="CQ116" s="266"/>
      <c r="CR116" s="266"/>
      <c r="CS116" s="266"/>
      <c r="CT116" s="267"/>
      <c r="CU116" s="267"/>
      <c r="CV116" s="267"/>
      <c r="CW116" s="267"/>
      <c r="CX116" s="267"/>
      <c r="CY116" s="267"/>
      <c r="CZ116" s="267"/>
      <c r="DA116" s="267"/>
      <c r="DB116" s="267"/>
      <c r="DC116" s="267"/>
      <c r="DD116" s="267"/>
      <c r="DE116" s="267"/>
      <c r="DF116" s="267"/>
      <c r="DG116" s="267"/>
      <c r="DH116" s="267"/>
      <c r="DI116" s="267"/>
      <c r="DJ116" s="268"/>
      <c r="DK116" s="268"/>
      <c r="DL116" s="268"/>
      <c r="DM116" s="268"/>
      <c r="DN116" s="268"/>
      <c r="DO116" s="268"/>
      <c r="DP116" s="268"/>
      <c r="DQ116" s="268"/>
      <c r="DR116" s="268"/>
      <c r="DS116" s="268"/>
      <c r="DT116" s="268"/>
      <c r="DU116" s="268"/>
      <c r="DV116" s="268"/>
      <c r="DW116" s="268"/>
      <c r="DX116" s="268"/>
      <c r="DY116" s="268"/>
      <c r="EA116" s="13"/>
      <c r="EB116" s="95"/>
      <c r="EC116" s="95"/>
      <c r="ED116" s="95"/>
      <c r="EE116" s="95"/>
      <c r="EF116" s="95"/>
      <c r="EG116" s="95"/>
      <c r="EH116" s="95"/>
      <c r="EI116" s="95"/>
      <c r="EJ116" s="95"/>
      <c r="EK116" s="95"/>
      <c r="EL116" s="95"/>
      <c r="EM116" s="95"/>
      <c r="EN116" s="95"/>
      <c r="EO116" s="95"/>
      <c r="EP116" s="95"/>
      <c r="EQ116" s="95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</row>
    <row r="117" spans="1:259" outlineLevel="1">
      <c r="A117" s="11">
        <f>'VAC &amp; MED'!C106</f>
        <v>46112</v>
      </c>
      <c r="B117" s="261"/>
      <c r="C117" s="261"/>
      <c r="D117" s="261"/>
      <c r="E117" s="261"/>
      <c r="F117" s="261"/>
      <c r="G117" s="261"/>
      <c r="H117" s="261"/>
      <c r="I117" s="261"/>
      <c r="J117" s="261"/>
      <c r="K117" s="261"/>
      <c r="L117" s="261"/>
      <c r="M117" s="261"/>
      <c r="N117" s="261"/>
      <c r="O117" s="261"/>
      <c r="P117" s="261"/>
      <c r="Q117" s="261"/>
      <c r="R117" s="262">
        <v>50</v>
      </c>
      <c r="S117" s="262"/>
      <c r="T117" s="262"/>
      <c r="U117" s="262"/>
      <c r="V117" s="262"/>
      <c r="W117" s="262"/>
      <c r="X117" s="262"/>
      <c r="Y117" s="262"/>
      <c r="Z117" s="262"/>
      <c r="AA117" s="262"/>
      <c r="AB117" s="262"/>
      <c r="AC117" s="262"/>
      <c r="AD117" s="262"/>
      <c r="AE117" s="262"/>
      <c r="AF117" s="262"/>
      <c r="AG117" s="262"/>
      <c r="AH117" s="263"/>
      <c r="AI117" s="263"/>
      <c r="AJ117" s="263"/>
      <c r="AK117" s="263"/>
      <c r="AL117" s="263"/>
      <c r="AM117" s="263"/>
      <c r="AN117" s="263"/>
      <c r="AO117" s="263"/>
      <c r="AP117" s="263"/>
      <c r="AQ117" s="263"/>
      <c r="AR117" s="263"/>
      <c r="AS117" s="263"/>
      <c r="AT117" s="263"/>
      <c r="AU117" s="263"/>
      <c r="AV117" s="263"/>
      <c r="AW117" s="263"/>
      <c r="AX117" s="264"/>
      <c r="AY117" s="264"/>
      <c r="AZ117" s="264"/>
      <c r="BA117" s="264"/>
      <c r="BB117" s="264"/>
      <c r="BC117" s="264"/>
      <c r="BD117" s="264"/>
      <c r="BE117" s="264"/>
      <c r="BF117" s="264"/>
      <c r="BG117" s="264"/>
      <c r="BH117" s="264"/>
      <c r="BI117" s="264"/>
      <c r="BJ117" s="264"/>
      <c r="BK117" s="264"/>
      <c r="BL117" s="264"/>
      <c r="BM117" s="264"/>
      <c r="BN117" s="265"/>
      <c r="BO117" s="265"/>
      <c r="BP117" s="265"/>
      <c r="BQ117" s="265"/>
      <c r="BR117" s="265"/>
      <c r="BS117" s="265"/>
      <c r="BT117" s="265"/>
      <c r="BU117" s="265"/>
      <c r="BV117" s="265"/>
      <c r="BW117" s="265"/>
      <c r="BX117" s="265"/>
      <c r="BY117" s="265"/>
      <c r="BZ117" s="265"/>
      <c r="CA117" s="265"/>
      <c r="CB117" s="265"/>
      <c r="CC117" s="265"/>
      <c r="CD117" s="266"/>
      <c r="CE117" s="266"/>
      <c r="CF117" s="266"/>
      <c r="CG117" s="266"/>
      <c r="CH117" s="266"/>
      <c r="CI117" s="266"/>
      <c r="CJ117" s="266"/>
      <c r="CK117" s="266"/>
      <c r="CL117" s="266"/>
      <c r="CM117" s="266"/>
      <c r="CN117" s="266"/>
      <c r="CO117" s="266"/>
      <c r="CP117" s="266"/>
      <c r="CQ117" s="266"/>
      <c r="CR117" s="266"/>
      <c r="CS117" s="266"/>
      <c r="CT117" s="267"/>
      <c r="CU117" s="267"/>
      <c r="CV117" s="267"/>
      <c r="CW117" s="267"/>
      <c r="CX117" s="267"/>
      <c r="CY117" s="267"/>
      <c r="CZ117" s="267"/>
      <c r="DA117" s="267"/>
      <c r="DB117" s="267"/>
      <c r="DC117" s="267"/>
      <c r="DD117" s="267"/>
      <c r="DE117" s="267"/>
      <c r="DF117" s="267"/>
      <c r="DG117" s="267"/>
      <c r="DH117" s="267"/>
      <c r="DI117" s="267"/>
      <c r="DJ117" s="268"/>
      <c r="DK117" s="268"/>
      <c r="DL117" s="268"/>
      <c r="DM117" s="268"/>
      <c r="DN117" s="268"/>
      <c r="DO117" s="268"/>
      <c r="DP117" s="268"/>
      <c r="DQ117" s="268"/>
      <c r="DR117" s="268"/>
      <c r="DS117" s="268"/>
      <c r="DT117" s="268"/>
      <c r="DU117" s="268"/>
      <c r="DV117" s="268"/>
      <c r="DW117" s="268"/>
      <c r="DX117" s="268"/>
      <c r="DY117" s="268"/>
      <c r="EA117" s="13"/>
      <c r="EB117" s="95"/>
      <c r="EC117" s="95"/>
      <c r="ED117" s="95"/>
      <c r="EE117" s="95"/>
      <c r="EF117" s="95"/>
      <c r="EG117" s="95"/>
      <c r="EH117" s="95"/>
      <c r="EI117" s="95"/>
      <c r="EJ117" s="95"/>
      <c r="EK117" s="95"/>
      <c r="EL117" s="95"/>
      <c r="EM117" s="95"/>
      <c r="EN117" s="95"/>
      <c r="EO117" s="95"/>
      <c r="EP117" s="95"/>
      <c r="EQ117" s="95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</row>
    <row r="118" spans="1:259" outlineLevel="1">
      <c r="A118" s="11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06"/>
      <c r="AB118" s="106"/>
      <c r="AC118" s="106"/>
      <c r="AD118" s="106"/>
      <c r="AE118" s="106"/>
      <c r="AF118" s="106"/>
      <c r="AG118" s="106"/>
      <c r="AH118" s="106"/>
      <c r="AI118" s="106"/>
      <c r="AJ118" s="106"/>
      <c r="AK118" s="106"/>
      <c r="AL118" s="106"/>
      <c r="AM118" s="106"/>
      <c r="AN118" s="106"/>
      <c r="AO118" s="106"/>
      <c r="AP118" s="106"/>
      <c r="AQ118" s="106"/>
      <c r="AR118" s="106"/>
      <c r="AS118" s="106"/>
      <c r="AT118" s="106"/>
      <c r="AU118" s="106"/>
      <c r="AV118" s="106"/>
      <c r="AW118" s="106"/>
      <c r="AX118" s="106"/>
      <c r="AY118" s="106"/>
      <c r="AZ118" s="106"/>
      <c r="BA118" s="106"/>
      <c r="BB118" s="106"/>
      <c r="BC118" s="106"/>
      <c r="BD118" s="106"/>
      <c r="BE118" s="106"/>
      <c r="BF118" s="106"/>
      <c r="BG118" s="106"/>
      <c r="BH118" s="106"/>
      <c r="BI118" s="106"/>
      <c r="BJ118" s="106"/>
      <c r="BK118" s="106"/>
      <c r="BL118" s="106"/>
      <c r="BM118" s="106"/>
      <c r="BN118" s="106"/>
      <c r="BO118" s="106"/>
      <c r="BP118" s="106"/>
      <c r="BQ118" s="106"/>
      <c r="BR118" s="106"/>
      <c r="BS118" s="106"/>
      <c r="BT118" s="106"/>
      <c r="BU118" s="106"/>
      <c r="BV118" s="106"/>
      <c r="BW118" s="106"/>
      <c r="BX118" s="106"/>
      <c r="BY118" s="106"/>
      <c r="BZ118" s="106"/>
      <c r="CA118" s="106"/>
      <c r="CB118" s="106"/>
      <c r="CC118" s="106"/>
      <c r="CD118" s="106"/>
      <c r="CE118" s="106"/>
      <c r="CF118" s="106"/>
      <c r="CG118" s="106"/>
      <c r="CH118" s="106"/>
      <c r="CI118" s="106"/>
      <c r="CJ118" s="106"/>
      <c r="CK118" s="106"/>
      <c r="CL118" s="106"/>
      <c r="CM118" s="106"/>
      <c r="CN118" s="106"/>
      <c r="CO118" s="106"/>
      <c r="CP118" s="106"/>
      <c r="CQ118" s="106"/>
      <c r="CR118" s="106"/>
      <c r="CS118" s="106"/>
      <c r="CT118" s="106"/>
      <c r="CU118" s="106"/>
      <c r="CV118" s="106"/>
      <c r="CW118" s="106"/>
      <c r="CX118" s="106"/>
      <c r="CY118" s="106"/>
      <c r="CZ118" s="106"/>
      <c r="DA118" s="106"/>
      <c r="DB118" s="106"/>
      <c r="DC118" s="106"/>
      <c r="DD118" s="106"/>
      <c r="DE118" s="106"/>
      <c r="DF118" s="106"/>
      <c r="DG118" s="106"/>
      <c r="DH118" s="106"/>
      <c r="DI118" s="106"/>
      <c r="DJ118" s="106"/>
      <c r="DK118" s="106"/>
      <c r="DL118" s="106"/>
      <c r="DM118" s="106"/>
      <c r="DN118" s="106"/>
      <c r="DO118" s="106"/>
      <c r="DP118" s="106"/>
      <c r="DQ118" s="106"/>
      <c r="DR118" s="106"/>
      <c r="DS118" s="106"/>
      <c r="DT118" s="106"/>
      <c r="DU118" s="106"/>
      <c r="DV118" s="106"/>
      <c r="DW118" s="106"/>
      <c r="DX118" s="106"/>
      <c r="DY118" s="106"/>
      <c r="EA118" s="13"/>
      <c r="EB118" s="95"/>
      <c r="EC118" s="95"/>
      <c r="ED118" s="95"/>
      <c r="EE118" s="95"/>
      <c r="EF118" s="95"/>
      <c r="EG118" s="95"/>
      <c r="EH118" s="95"/>
      <c r="EI118" s="95"/>
      <c r="EJ118" s="95"/>
      <c r="EK118" s="95"/>
      <c r="EL118" s="95"/>
      <c r="EM118" s="95"/>
      <c r="EN118" s="95"/>
      <c r="EO118" s="95"/>
      <c r="EP118" s="95"/>
      <c r="EQ118" s="95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</row>
    <row r="119" spans="1:259" s="115" customFormat="1" ht="30.75" customHeight="1" outlineLevel="1" thickBot="1">
      <c r="B119" s="256" t="str">
        <f>FORMULA!$B$3</f>
        <v>WS 1101 (251124)</v>
      </c>
      <c r="C119" s="256" t="str">
        <f>FORMULA!$D$3</f>
        <v>WS 1101 (220526)</v>
      </c>
      <c r="D119" s="256">
        <f>FORMULA!$F$3</f>
        <v>0</v>
      </c>
      <c r="E119" s="256">
        <f>FORMULA!$H$3</f>
        <v>0</v>
      </c>
      <c r="F119" s="256">
        <f>FORMULA!$J$3</f>
        <v>0</v>
      </c>
      <c r="G119" s="111">
        <f>FORMULA!$L$3</f>
        <v>0</v>
      </c>
      <c r="H119" s="111">
        <f>FORMULA!$N$3</f>
        <v>0</v>
      </c>
      <c r="I119" s="111">
        <f>FORMULA!$P$3</f>
        <v>0</v>
      </c>
      <c r="J119" s="111">
        <f>FORMULA!$R$3</f>
        <v>0</v>
      </c>
      <c r="K119" s="111">
        <f>FORMULA!$T$3</f>
        <v>0</v>
      </c>
      <c r="L119" s="111">
        <f>FORMULA!$V$3</f>
        <v>0</v>
      </c>
      <c r="M119" s="111">
        <f>FORMULA!$X$3</f>
        <v>0</v>
      </c>
      <c r="N119" s="111">
        <f>FORMULA!$Z$3</f>
        <v>0</v>
      </c>
      <c r="O119" s="111">
        <f>FORMULA!$AB$3</f>
        <v>0</v>
      </c>
      <c r="P119" s="111">
        <f>FORMULA!$AD$3</f>
        <v>0</v>
      </c>
      <c r="Q119" s="111"/>
      <c r="R119" s="256" t="str">
        <f>FORMULA!$B$91</f>
        <v>WS 1102 (290825)</v>
      </c>
      <c r="S119" s="256">
        <f>FORMULA!$D$91</f>
        <v>0</v>
      </c>
      <c r="T119" s="256">
        <f>FORMULA!$F$91</f>
        <v>0</v>
      </c>
      <c r="U119" s="256">
        <f>FORMULA!$H$91</f>
        <v>0</v>
      </c>
      <c r="V119" s="256">
        <f>FORMULA!$J$91</f>
        <v>0</v>
      </c>
      <c r="W119" s="256">
        <f>FORMULA!$L$91</f>
        <v>0</v>
      </c>
      <c r="X119" s="256">
        <f>FORMULA!$N$91</f>
        <v>0</v>
      </c>
      <c r="Y119" s="256">
        <f>FORMULA!$P$91</f>
        <v>0</v>
      </c>
      <c r="Z119" s="256">
        <f>FORMULA!$R$91</f>
        <v>0</v>
      </c>
      <c r="AA119" s="256">
        <f>FORMULA!$T$91</f>
        <v>0</v>
      </c>
      <c r="AB119" s="256">
        <f>FORMULA!$V$91</f>
        <v>0</v>
      </c>
      <c r="AC119" s="256">
        <f>FORMULA!$X$91</f>
        <v>0</v>
      </c>
      <c r="AD119" s="111">
        <f>FORMULA!$Z$91</f>
        <v>0</v>
      </c>
      <c r="AE119" s="111">
        <f>FORMULA!$AB$91</f>
        <v>0</v>
      </c>
      <c r="AF119" s="111">
        <f>FORMULA!$AD$91</f>
        <v>0</v>
      </c>
      <c r="AG119" s="111"/>
      <c r="AH119" s="256" t="str">
        <f>FORMULA!$B$179</f>
        <v>WS 1103 (290825)</v>
      </c>
      <c r="AI119" s="256" t="str">
        <f>FORMULA!$D$179</f>
        <v>WS 1103 (220526)</v>
      </c>
      <c r="AJ119" s="256">
        <f>FORMULA!$F$179</f>
        <v>0</v>
      </c>
      <c r="AK119" s="256">
        <f>FORMULA!$H$179</f>
        <v>0</v>
      </c>
      <c r="AL119" s="256">
        <f>FORMULA!$J$179</f>
        <v>0</v>
      </c>
      <c r="AM119" s="256">
        <f>FORMULA!$L$179</f>
        <v>0</v>
      </c>
      <c r="AN119" s="256">
        <f>FORMULA!$N$179</f>
        <v>0</v>
      </c>
      <c r="AO119" s="256">
        <f>FORMULA!$P$179</f>
        <v>0</v>
      </c>
      <c r="AP119" s="256">
        <f>FORMULA!$R$179</f>
        <v>0</v>
      </c>
      <c r="AQ119" s="256">
        <f>FORMULA!$T$179</f>
        <v>0</v>
      </c>
      <c r="AR119" s="256">
        <f>FORMULA!$V$179</f>
        <v>0</v>
      </c>
      <c r="AS119" s="256">
        <f>FORMULA!$X$179</f>
        <v>0</v>
      </c>
      <c r="AT119" s="111">
        <f>FORMULA!$Z$179</f>
        <v>0</v>
      </c>
      <c r="AU119" s="111">
        <f>FORMULA!$AB$179</f>
        <v>0</v>
      </c>
      <c r="AV119" s="111">
        <f>FORMULA!$AD$179</f>
        <v>0</v>
      </c>
      <c r="AW119" s="111"/>
      <c r="AX119" s="111">
        <f>FORMULA!$B$267</f>
        <v>0</v>
      </c>
      <c r="AY119" s="111">
        <f>FORMULA!$D$267</f>
        <v>0</v>
      </c>
      <c r="AZ119" s="111">
        <f>FORMULA!$F$267</f>
        <v>0</v>
      </c>
      <c r="BA119" s="111">
        <f>FORMULA!$H$267</f>
        <v>0</v>
      </c>
      <c r="BB119" s="111">
        <f>FORMULA!$J$267</f>
        <v>0</v>
      </c>
      <c r="BC119" s="111">
        <f>FORMULA!$L$267</f>
        <v>0</v>
      </c>
      <c r="BD119" s="111">
        <f>FORMULA!$N$267</f>
        <v>0</v>
      </c>
      <c r="BE119" s="111">
        <f>FORMULA!$P$267</f>
        <v>0</v>
      </c>
      <c r="BF119" s="111">
        <f>FORMULA!$R$267</f>
        <v>0</v>
      </c>
      <c r="BG119" s="111">
        <f>FORMULA!$T$267</f>
        <v>0</v>
      </c>
      <c r="BH119" s="111">
        <f>FORMULA!$V$267</f>
        <v>0</v>
      </c>
      <c r="BI119" s="111">
        <f>FORMULA!$X$267</f>
        <v>0</v>
      </c>
      <c r="BJ119" s="111">
        <f>FORMULA!$Z$267</f>
        <v>0</v>
      </c>
      <c r="BK119" s="111">
        <f>FORMULA!$AB$267</f>
        <v>0</v>
      </c>
      <c r="BL119" s="111">
        <f>FORMULA!$AD$267</f>
        <v>0</v>
      </c>
      <c r="BM119" s="111"/>
      <c r="BN119" s="256" t="str">
        <f>FORMULA!$B$355</f>
        <v>WS 8100 (290825)</v>
      </c>
      <c r="BO119" s="256" t="str">
        <f>FORMULA!$D$355</f>
        <v>WS 8100 (280426)</v>
      </c>
      <c r="BP119" s="111">
        <f>FORMULA!$F$355</f>
        <v>0</v>
      </c>
      <c r="BQ119" s="256" t="str">
        <f>FORMULA!$H$355</f>
        <v>WS 8102 (290825)</v>
      </c>
      <c r="BR119" s="256" t="str">
        <f>FORMULA!$J$355</f>
        <v>WS 8102 (121225)</v>
      </c>
      <c r="BS119" s="256" t="str">
        <f>FORMULA!$L$355</f>
        <v>WS 8102 (020326)</v>
      </c>
      <c r="BT119" s="256" t="str">
        <f>FORMULA!$N$355</f>
        <v>WS 8102 (020326)</v>
      </c>
      <c r="BU119" s="256" t="str">
        <f>FORMULA!$P$355</f>
        <v>WS 8102 (060526)</v>
      </c>
      <c r="BV119" s="256" t="str">
        <f>FORMULA!$R$355</f>
        <v>WS 8102 (060526)</v>
      </c>
      <c r="BW119" s="256" t="str">
        <f>FORMULA!$T$355</f>
        <v>WS 8103 (070526)</v>
      </c>
      <c r="BX119" s="256" t="str">
        <f>FORMULA!$V$355</f>
        <v>WS 8102 (070526)</v>
      </c>
      <c r="BY119" s="256" t="str">
        <f>FORMULA!$X$355</f>
        <v>WS 8103 (061125)</v>
      </c>
      <c r="BZ119" s="256" t="str">
        <f>FORMULA!$Z$355</f>
        <v>WS 8103 (250226)</v>
      </c>
      <c r="CA119" s="256" t="str">
        <f>FORMULA!$AB$355</f>
        <v>WS 8102 (080526)</v>
      </c>
      <c r="CB119" s="256" t="str">
        <f>FORMULA!$AD$355</f>
        <v>WS 8109 (080526)</v>
      </c>
      <c r="CC119" s="111"/>
      <c r="CD119" s="256" t="str">
        <f>FORMULA!$B$443</f>
        <v>YH 121 (050226)</v>
      </c>
      <c r="CE119" s="256" t="str">
        <f>FORMULA!$D$443</f>
        <v>YH 121 (190326)</v>
      </c>
      <c r="CF119" s="256" t="str">
        <f>FORMULA!$F$443</f>
        <v>YH 121 (020426)</v>
      </c>
      <c r="CG119" s="111">
        <f>FORMULA!$H$443</f>
        <v>0</v>
      </c>
      <c r="CH119" s="111">
        <f>FORMULA!$J$443</f>
        <v>0</v>
      </c>
      <c r="CI119" s="111">
        <f>FORMULA!$L$443</f>
        <v>0</v>
      </c>
      <c r="CJ119" s="111">
        <f>FORMULA!$N$443</f>
        <v>0</v>
      </c>
      <c r="CK119" s="111">
        <f>FORMULA!$P$443</f>
        <v>0</v>
      </c>
      <c r="CL119" s="111">
        <f>FORMULA!$R$443</f>
        <v>0</v>
      </c>
      <c r="CM119" s="111" t="str">
        <f>FORMULA!$T$443</f>
        <v>311 (130526)</v>
      </c>
      <c r="CN119" s="111" t="str">
        <f>FORMULA!$V$443</f>
        <v>312 (130526)</v>
      </c>
      <c r="CO119" s="111">
        <f>FORMULA!$X$443</f>
        <v>0</v>
      </c>
      <c r="CP119" s="111">
        <f>FORMULA!$Z$443</f>
        <v>0</v>
      </c>
      <c r="CQ119" s="111">
        <f>FORMULA!$AB$443</f>
        <v>0</v>
      </c>
      <c r="CR119" s="111">
        <f>FORMULA!$AD$443</f>
        <v>0</v>
      </c>
      <c r="CS119" s="111"/>
      <c r="CT119" s="256" t="str">
        <f>FORMULA!$B$531</f>
        <v>YH 122 (050226)</v>
      </c>
      <c r="CU119" s="256" t="str">
        <f>FORMULA!$D$531</f>
        <v>YH 122 (190326)</v>
      </c>
      <c r="CV119" s="256" t="str">
        <f>FORMULA!$F$531</f>
        <v>YH 122 (200426)</v>
      </c>
      <c r="CW119" s="111">
        <f>FORMULA!$H$531</f>
        <v>0</v>
      </c>
      <c r="CX119" s="111">
        <f>FORMULA!$J$531</f>
        <v>0</v>
      </c>
      <c r="CY119" s="111">
        <f>FORMULA!$L$531</f>
        <v>0</v>
      </c>
      <c r="CZ119" s="111" t="str">
        <f>FORMULA!$N$531</f>
        <v>5201 (090426)</v>
      </c>
      <c r="DA119" s="111" t="str">
        <f>FORMULA!$P$531</f>
        <v>5201 (090426)</v>
      </c>
      <c r="DB119" s="111">
        <f>FORMULA!$R$531</f>
        <v>0</v>
      </c>
      <c r="DC119" s="111" t="str">
        <f>FORMULA!$T$531</f>
        <v>5202 (090426)</v>
      </c>
      <c r="DD119" s="111" t="str">
        <f>FORMULA!$V$531</f>
        <v>5202 (090426)</v>
      </c>
      <c r="DE119" s="111">
        <f>FORMULA!$X$531</f>
        <v>0</v>
      </c>
      <c r="DF119" s="111" t="str">
        <f>FORMULA!$Z$531</f>
        <v>5203 (090426)</v>
      </c>
      <c r="DG119" s="111" t="str">
        <f>FORMULA!$AB$531</f>
        <v>5203 (090426)</v>
      </c>
      <c r="DH119" s="111">
        <f>FORMULA!$AD$531</f>
        <v>0</v>
      </c>
      <c r="DI119" s="111"/>
      <c r="DJ119" s="256" t="str">
        <f>FORMULA!$B$619</f>
        <v>YH 123 (050226)</v>
      </c>
      <c r="DK119" s="256" t="str">
        <f>FORMULA!$D$619</f>
        <v>YH 123 (130326)</v>
      </c>
      <c r="DL119" s="256" t="str">
        <f>FORMULA!$F$619</f>
        <v>YH 123 (190326)</v>
      </c>
      <c r="DM119" s="256" t="str">
        <f>FORMULA!$H$619</f>
        <v>YH 123 (200426)</v>
      </c>
      <c r="DN119" s="111">
        <f>FORMULA!$J$619</f>
        <v>0</v>
      </c>
      <c r="DO119" s="111">
        <f>FORMULA!$L$619</f>
        <v>0</v>
      </c>
      <c r="DP119" s="111">
        <f>FORMULA!$N$619</f>
        <v>0</v>
      </c>
      <c r="DQ119" s="111">
        <f>FORMULA!$P$619</f>
        <v>0</v>
      </c>
      <c r="DR119" s="111">
        <f>FORMULA!$R$619</f>
        <v>0</v>
      </c>
      <c r="DS119" s="111">
        <f>FORMULA!$T$619</f>
        <v>0</v>
      </c>
      <c r="DT119" s="111">
        <f>FORMULA!$V$619</f>
        <v>0</v>
      </c>
      <c r="DU119" s="111">
        <f>FORMULA!$X$619</f>
        <v>0</v>
      </c>
      <c r="DV119" s="111">
        <f>FORMULA!$Z$619</f>
        <v>0</v>
      </c>
      <c r="DW119" s="111">
        <f>FORMULA!$AB$619</f>
        <v>0</v>
      </c>
      <c r="DX119" s="111">
        <f>FORMULA!$AD$619</f>
        <v>0</v>
      </c>
      <c r="DY119" s="111"/>
      <c r="EA119" s="118"/>
      <c r="EB119" s="119"/>
      <c r="EC119" s="119"/>
      <c r="ED119" s="119"/>
      <c r="EE119" s="119"/>
      <c r="EF119" s="119"/>
      <c r="EG119" s="119"/>
      <c r="EH119" s="119"/>
      <c r="EI119" s="119"/>
      <c r="EJ119" s="119"/>
      <c r="EK119" s="119"/>
      <c r="EL119" s="119"/>
      <c r="EM119" s="119"/>
      <c r="EN119" s="119"/>
      <c r="EO119" s="119"/>
      <c r="EP119" s="119"/>
      <c r="EQ119" s="119"/>
      <c r="ER119" s="118"/>
      <c r="ES119" s="118"/>
      <c r="ET119" s="118"/>
      <c r="EU119" s="118"/>
      <c r="EV119" s="118"/>
      <c r="EW119" s="118"/>
      <c r="EX119" s="118"/>
      <c r="EY119" s="118"/>
      <c r="EZ119" s="118"/>
      <c r="FA119" s="118"/>
      <c r="FB119" s="118"/>
      <c r="FC119" s="118"/>
      <c r="FD119" s="118"/>
      <c r="FE119" s="118"/>
      <c r="FF119" s="118"/>
      <c r="FG119" s="118"/>
      <c r="FH119" s="118"/>
      <c r="FI119" s="118"/>
      <c r="FJ119" s="118"/>
      <c r="FK119" s="118"/>
      <c r="FL119" s="118"/>
      <c r="FM119" s="118"/>
      <c r="FN119" s="118"/>
      <c r="FO119" s="118"/>
      <c r="FP119" s="118"/>
      <c r="FQ119" s="118"/>
      <c r="FR119" s="118"/>
      <c r="FS119" s="118"/>
      <c r="FT119" s="118"/>
      <c r="FU119" s="118"/>
      <c r="FV119" s="118"/>
      <c r="FW119" s="118"/>
      <c r="FX119" s="118"/>
      <c r="FY119" s="118"/>
      <c r="FZ119" s="118"/>
      <c r="GA119" s="118"/>
      <c r="GB119" s="118"/>
      <c r="GC119" s="118"/>
      <c r="GD119" s="118"/>
      <c r="GE119" s="118"/>
      <c r="GF119" s="118"/>
      <c r="GG119" s="118"/>
      <c r="GH119" s="118"/>
      <c r="GI119" s="118"/>
      <c r="GJ119" s="118"/>
      <c r="GK119" s="118"/>
      <c r="GL119" s="118"/>
      <c r="GM119" s="118"/>
      <c r="GN119" s="118"/>
      <c r="GO119" s="118"/>
      <c r="GP119" s="118"/>
      <c r="GQ119" s="118"/>
      <c r="GR119" s="118"/>
      <c r="GS119" s="118"/>
      <c r="GT119" s="118"/>
      <c r="GU119" s="118"/>
      <c r="GV119" s="118"/>
      <c r="GW119" s="118"/>
      <c r="GX119" s="118"/>
      <c r="GY119" s="118"/>
      <c r="GZ119" s="118"/>
      <c r="HA119" s="118"/>
      <c r="HB119" s="118"/>
      <c r="HC119" s="118"/>
      <c r="HD119" s="118"/>
      <c r="HE119" s="118"/>
      <c r="HF119" s="118"/>
      <c r="HG119" s="118"/>
      <c r="HH119" s="118"/>
      <c r="HI119" s="118"/>
      <c r="HJ119" s="118"/>
      <c r="HK119" s="118"/>
      <c r="HL119" s="118"/>
      <c r="HM119" s="118"/>
      <c r="HN119" s="118"/>
      <c r="HO119" s="118"/>
      <c r="HP119" s="118"/>
      <c r="HQ119" s="118"/>
      <c r="HR119" s="118"/>
      <c r="HS119" s="118"/>
      <c r="HT119" s="118"/>
      <c r="HU119" s="118"/>
      <c r="HV119" s="118"/>
      <c r="HW119" s="118"/>
      <c r="HX119" s="118"/>
      <c r="HY119" s="118"/>
      <c r="HZ119" s="118"/>
      <c r="IA119" s="118"/>
      <c r="IB119" s="118"/>
      <c r="IC119" s="118"/>
      <c r="ID119" s="118"/>
      <c r="IE119" s="118"/>
      <c r="IF119" s="118"/>
      <c r="IG119" s="118"/>
      <c r="IH119" s="118"/>
      <c r="II119" s="118"/>
      <c r="IJ119" s="118"/>
      <c r="IK119" s="118"/>
      <c r="IL119" s="118"/>
      <c r="IM119" s="118"/>
      <c r="IN119" s="118"/>
      <c r="IO119" s="118"/>
      <c r="IP119" s="118"/>
      <c r="IQ119" s="118"/>
      <c r="IR119" s="118"/>
      <c r="IS119" s="118"/>
      <c r="IT119" s="118"/>
      <c r="IU119" s="118"/>
      <c r="IV119" s="118"/>
      <c r="IW119" s="118"/>
      <c r="IX119" s="118"/>
      <c r="IY119" s="118"/>
    </row>
    <row r="120" spans="1:259" s="117" customFormat="1" ht="57" customHeight="1" outlineLevel="1" thickBot="1">
      <c r="A120" s="116" t="s">
        <v>143</v>
      </c>
      <c r="B120" s="257" t="str">
        <f>FORMULA!$B$4</f>
        <v>N01309AY</v>
      </c>
      <c r="C120" s="258">
        <f>FORMULA!$D$4</f>
        <v>0</v>
      </c>
      <c r="D120" s="258">
        <f>FORMULA!$F$4</f>
        <v>0</v>
      </c>
      <c r="E120" s="258">
        <f>FORMULA!$H$4</f>
        <v>0</v>
      </c>
      <c r="F120" s="258">
        <f>FORMULA!$J$4</f>
        <v>0</v>
      </c>
      <c r="G120" s="113">
        <f>FORMULA!$L$4</f>
        <v>0</v>
      </c>
      <c r="H120" s="113">
        <f>FORMULA!$N$4</f>
        <v>0</v>
      </c>
      <c r="I120" s="113">
        <f>FORMULA!$P$4</f>
        <v>0</v>
      </c>
      <c r="J120" s="113">
        <f>FORMULA!$R$4</f>
        <v>0</v>
      </c>
      <c r="K120" s="113">
        <f>FORMULA!$T$4</f>
        <v>0</v>
      </c>
      <c r="L120" s="113">
        <f>FORMULA!$V$4</f>
        <v>0</v>
      </c>
      <c r="M120" s="113">
        <f>FORMULA!$X$4</f>
        <v>0</v>
      </c>
      <c r="N120" s="113">
        <f>FORMULA!$Z$4</f>
        <v>0</v>
      </c>
      <c r="O120" s="113">
        <f>FORMULA!$AB$4</f>
        <v>0</v>
      </c>
      <c r="P120" s="113">
        <f>FORMULA!$AD$4</f>
        <v>0</v>
      </c>
      <c r="Q120" s="114"/>
      <c r="R120" s="257" t="str">
        <f>FORMULA!$B$92</f>
        <v>N025-06</v>
      </c>
      <c r="S120" s="258">
        <f>FORMULA!$D$92</f>
        <v>0</v>
      </c>
      <c r="T120" s="258">
        <f>FORMULA!$F$92</f>
        <v>0</v>
      </c>
      <c r="U120" s="258">
        <f>FORMULA!$H$92</f>
        <v>0</v>
      </c>
      <c r="V120" s="258">
        <f>FORMULA!$J$92</f>
        <v>0</v>
      </c>
      <c r="W120" s="258">
        <f>FORMULA!$L$92</f>
        <v>0</v>
      </c>
      <c r="X120" s="258">
        <f>FORMULA!$N$92</f>
        <v>0</v>
      </c>
      <c r="Y120" s="258">
        <f>FORMULA!$P$92</f>
        <v>0</v>
      </c>
      <c r="Z120" s="258">
        <f>FORMULA!$R$92</f>
        <v>0</v>
      </c>
      <c r="AA120" s="258">
        <f>FORMULA!$T$92</f>
        <v>0</v>
      </c>
      <c r="AB120" s="258">
        <f>FORMULA!$V$92</f>
        <v>0</v>
      </c>
      <c r="AC120" s="258">
        <f>FORMULA!$X$92</f>
        <v>0</v>
      </c>
      <c r="AD120" s="113">
        <f>FORMULA!$Z$92</f>
        <v>0</v>
      </c>
      <c r="AE120" s="113">
        <f>FORMULA!$AB$92</f>
        <v>0</v>
      </c>
      <c r="AF120" s="113">
        <f>FORMULA!$AD$92</f>
        <v>0</v>
      </c>
      <c r="AG120" s="114"/>
      <c r="AH120" s="257" t="str">
        <f>FORMULA!$B$180</f>
        <v>N035-06</v>
      </c>
      <c r="AI120" s="258" t="str">
        <f>FORMULA!$D$180</f>
        <v>WITH 1103 TOP UP</v>
      </c>
      <c r="AJ120" s="258">
        <f>FORMULA!$F$180</f>
        <v>0</v>
      </c>
      <c r="AK120" s="258">
        <f>FORMULA!$H$180</f>
        <v>0</v>
      </c>
      <c r="AL120" s="258">
        <f>FORMULA!$J$180</f>
        <v>0</v>
      </c>
      <c r="AM120" s="258">
        <f>FORMULA!$L$180</f>
        <v>0</v>
      </c>
      <c r="AN120" s="258">
        <f>FORMULA!$N$180</f>
        <v>0</v>
      </c>
      <c r="AO120" s="258">
        <f>FORMULA!$P$180</f>
        <v>0</v>
      </c>
      <c r="AP120" s="258">
        <f>FORMULA!$R$180</f>
        <v>0</v>
      </c>
      <c r="AQ120" s="258">
        <f>FORMULA!$T$180</f>
        <v>0</v>
      </c>
      <c r="AR120" s="258">
        <f>FORMULA!$V$180</f>
        <v>0</v>
      </c>
      <c r="AS120" s="258">
        <f>FORMULA!$X$180</f>
        <v>0</v>
      </c>
      <c r="AT120" s="113">
        <f>FORMULA!$Z$180</f>
        <v>0</v>
      </c>
      <c r="AU120" s="113">
        <f>FORMULA!$AB$180</f>
        <v>0</v>
      </c>
      <c r="AV120" s="113">
        <f>FORMULA!$AD$180</f>
        <v>0</v>
      </c>
      <c r="AW120" s="114"/>
      <c r="AX120" s="112">
        <f>FORMULA!$B$268</f>
        <v>0</v>
      </c>
      <c r="AY120" s="113">
        <f>FORMULA!$D$268</f>
        <v>0</v>
      </c>
      <c r="AZ120" s="113">
        <f>FORMULA!$F$268</f>
        <v>0</v>
      </c>
      <c r="BA120" s="113">
        <f>FORMULA!$H$268</f>
        <v>0</v>
      </c>
      <c r="BB120" s="113">
        <f>FORMULA!$J$268</f>
        <v>0</v>
      </c>
      <c r="BC120" s="113">
        <f>FORMULA!$L$268</f>
        <v>0</v>
      </c>
      <c r="BD120" s="113">
        <f>FORMULA!$N$268</f>
        <v>0</v>
      </c>
      <c r="BE120" s="113">
        <f>FORMULA!$P$268</f>
        <v>0</v>
      </c>
      <c r="BF120" s="113">
        <f>FORMULA!$R$268</f>
        <v>0</v>
      </c>
      <c r="BG120" s="113">
        <f>FORMULA!$T$268</f>
        <v>0</v>
      </c>
      <c r="BH120" s="113">
        <f>FORMULA!$V$268</f>
        <v>0</v>
      </c>
      <c r="BI120" s="113">
        <f>FORMULA!$X$268</f>
        <v>0</v>
      </c>
      <c r="BJ120" s="113">
        <f>FORMULA!$Z$268</f>
        <v>0</v>
      </c>
      <c r="BK120" s="113">
        <f>FORMULA!$AB$268</f>
        <v>0</v>
      </c>
      <c r="BL120" s="113">
        <f>FORMULA!$AD$268</f>
        <v>0</v>
      </c>
      <c r="BM120" s="114"/>
      <c r="BN120" s="111" t="str">
        <f>FORMULA!$B$356</f>
        <v>NR 14-04</v>
      </c>
      <c r="BO120" s="111">
        <f>FORMULA!$D$356</f>
        <v>0</v>
      </c>
      <c r="BP120" s="111">
        <f>FORMULA!$F$356</f>
        <v>0</v>
      </c>
      <c r="BQ120" s="111" t="str">
        <f>FORMULA!$H$356</f>
        <v>NR 24-04Z</v>
      </c>
      <c r="BR120" s="111" t="str">
        <f>FORMULA!$J$356</f>
        <v>WITH BMD</v>
      </c>
      <c r="BS120" s="256" t="str">
        <f>FORMULA!$L$356</f>
        <v>8102 Top Up&amp;PM 8108</v>
      </c>
      <c r="BT120" s="256" t="str">
        <f>FORMULA!$N$356</f>
        <v>8102 Top Up&amp;PM 8102</v>
      </c>
      <c r="BU120" s="256" t="str">
        <f>FORMULA!$P$356</f>
        <v>8102 Top Up&amp;PM 8102</v>
      </c>
      <c r="BV120" s="256" t="str">
        <f>FORMULA!$R$356</f>
        <v>8102 Top Up&amp;PM 8108</v>
      </c>
      <c r="BW120" s="256" t="str">
        <f>FORMULA!$T$356</f>
        <v>8103 Top Up&amp;PM 8103</v>
      </c>
      <c r="BX120" s="256" t="str">
        <f>FORMULA!$V$356</f>
        <v>8103 Top Up&amp;PM 8109</v>
      </c>
      <c r="BY120" s="256" t="str">
        <f>FORMULA!$X$356</f>
        <v xml:space="preserve">NR 34-04 </v>
      </c>
      <c r="BZ120" s="256" t="str">
        <f>FORMULA!$Z$356</f>
        <v xml:space="preserve">NR 34-04 </v>
      </c>
      <c r="CA120" s="111" t="str">
        <f>FORMULA!$AB$356</f>
        <v>8102 TOP UP</v>
      </c>
      <c r="CB120" s="111" t="str">
        <f>FORMULA!$AD$356</f>
        <v>8103 TOP UP</v>
      </c>
      <c r="CC120" s="114"/>
      <c r="CD120" s="256" t="str">
        <f>FORMULA!$B$444</f>
        <v>SOYTIDE&amp;TOXISORB</v>
      </c>
      <c r="CE120" s="256" t="str">
        <f>FORMULA!$D$444</f>
        <v>SOYTIDE&amp;TOXIWALL</v>
      </c>
      <c r="CF120" s="256" t="str">
        <f>FORMULA!$F$444</f>
        <v>EP 200&amp;TOXIWALL</v>
      </c>
      <c r="CG120" s="111">
        <f>FORMULA!$H$444</f>
        <v>0</v>
      </c>
      <c r="CH120" s="111">
        <f>FORMULA!$J$444</f>
        <v>0</v>
      </c>
      <c r="CI120" s="111">
        <f>FORMULA!$L$444</f>
        <v>0</v>
      </c>
      <c r="CJ120" s="111">
        <f>FORMULA!$N$444</f>
        <v>0</v>
      </c>
      <c r="CK120" s="111">
        <f>FORMULA!$P$444</f>
        <v>0</v>
      </c>
      <c r="CL120" s="111">
        <f>FORMULA!$R$444</f>
        <v>0</v>
      </c>
      <c r="CM120" s="111">
        <f>FORMULA!$T$444</f>
        <v>0</v>
      </c>
      <c r="CN120" s="111">
        <f>FORMULA!$V$444</f>
        <v>0</v>
      </c>
      <c r="CO120" s="111">
        <f>FORMULA!$X$444</f>
        <v>0</v>
      </c>
      <c r="CP120" s="111">
        <f>FORMULA!$Z$444</f>
        <v>0</v>
      </c>
      <c r="CQ120" s="111">
        <f>FORMULA!$AB$444</f>
        <v>0</v>
      </c>
      <c r="CR120" s="111">
        <f>FORMULA!$AD$444</f>
        <v>0</v>
      </c>
      <c r="CS120" s="114"/>
      <c r="CT120" s="256" t="str">
        <f>FORMULA!$B$532</f>
        <v>WITH TOXISORB</v>
      </c>
      <c r="CU120" s="256" t="str">
        <f>FORMULA!$D$532</f>
        <v>WITH TOXIWALL</v>
      </c>
      <c r="CV120" s="256" t="str">
        <f>FORMULA!$F$532</f>
        <v>WITH TOXIWALL, YM 20.50kg</v>
      </c>
      <c r="CW120" s="111">
        <f>FORMULA!$H$532</f>
        <v>0</v>
      </c>
      <c r="CX120" s="111">
        <f>FORMULA!$J$532</f>
        <v>0</v>
      </c>
      <c r="CY120" s="111">
        <f>FORMULA!$L$532</f>
        <v>0</v>
      </c>
      <c r="CZ120" s="111">
        <f>FORMULA!$N$532</f>
        <v>0</v>
      </c>
      <c r="DA120" s="111" t="str">
        <f>FORMULA!$P$532</f>
        <v>REDUCE CORN FOR 2MT</v>
      </c>
      <c r="DB120" s="111">
        <f>FORMULA!$R$532</f>
        <v>0</v>
      </c>
      <c r="DC120" s="111">
        <f>FORMULA!$T$532</f>
        <v>0</v>
      </c>
      <c r="DD120" s="111" t="str">
        <f>FORMULA!$V$532</f>
        <v>K20</v>
      </c>
      <c r="DE120" s="111">
        <f>FORMULA!$X$532</f>
        <v>0</v>
      </c>
      <c r="DF120" s="111" t="str">
        <f>FORMULA!$Z$532</f>
        <v>ALREADY 2MT</v>
      </c>
      <c r="DG120" s="111" t="str">
        <f>FORMULA!$AB$532</f>
        <v>K21</v>
      </c>
      <c r="DH120" s="111">
        <f>FORMULA!$AD$532</f>
        <v>0</v>
      </c>
      <c r="DI120" s="114"/>
      <c r="DJ120" s="256" t="str">
        <f>FORMULA!$B$620</f>
        <v>WITH TOXISORB</v>
      </c>
      <c r="DK120" s="256" t="str">
        <f>FORMULA!$D$620</f>
        <v>WITHOUT WHEAT POLLARD</v>
      </c>
      <c r="DL120" s="256" t="str">
        <f>FORMULA!$F$620</f>
        <v>WITH TOXIWALL</v>
      </c>
      <c r="DM120" s="256" t="str">
        <f>FORMULA!$H$620</f>
        <v>WITH TOXIWALL, YM 20.00kg</v>
      </c>
      <c r="DN120" s="111">
        <f>FORMULA!$J$620</f>
        <v>0</v>
      </c>
      <c r="DO120" s="111">
        <f>FORMULA!$L$620</f>
        <v>0</v>
      </c>
      <c r="DP120" s="111">
        <f>FORMULA!$N$620</f>
        <v>0</v>
      </c>
      <c r="DQ120" s="111">
        <f>FORMULA!$P$620</f>
        <v>0</v>
      </c>
      <c r="DR120" s="111">
        <f>FORMULA!$R$620</f>
        <v>0</v>
      </c>
      <c r="DS120" s="111">
        <f>FORMULA!$T$620</f>
        <v>0</v>
      </c>
      <c r="DT120" s="111">
        <f>FORMULA!$V$620</f>
        <v>0</v>
      </c>
      <c r="DU120" s="111">
        <f>FORMULA!$X$620</f>
        <v>0</v>
      </c>
      <c r="DV120" s="111">
        <f>FORMULA!$Z$620</f>
        <v>0</v>
      </c>
      <c r="DW120" s="111">
        <f>FORMULA!$AB$620</f>
        <v>0</v>
      </c>
      <c r="DX120" s="111">
        <f>FORMULA!$AD$620</f>
        <v>0</v>
      </c>
      <c r="DY120" s="114"/>
      <c r="EA120" s="721"/>
      <c r="EB120" s="721"/>
      <c r="EC120" s="721"/>
      <c r="ED120" s="721"/>
      <c r="EE120" s="721"/>
      <c r="EF120" s="721"/>
      <c r="EG120" s="721"/>
      <c r="EH120" s="721"/>
      <c r="EI120" s="721"/>
      <c r="EJ120" s="721"/>
      <c r="EK120" s="721"/>
      <c r="EL120" s="120"/>
      <c r="EM120" s="120"/>
      <c r="EN120" s="120"/>
      <c r="EO120" s="120"/>
      <c r="EP120" s="120"/>
      <c r="EQ120" s="120"/>
      <c r="ER120" s="721"/>
      <c r="ES120" s="721"/>
      <c r="ET120" s="721"/>
      <c r="EU120" s="721"/>
      <c r="EV120" s="721"/>
      <c r="EW120" s="721"/>
      <c r="EX120" s="721"/>
      <c r="EY120" s="721"/>
      <c r="EZ120" s="721"/>
      <c r="FA120" s="721"/>
      <c r="FB120" s="721"/>
      <c r="FC120" s="721"/>
      <c r="FD120" s="721"/>
      <c r="FE120" s="721"/>
      <c r="FF120" s="721"/>
      <c r="FG120" s="120"/>
      <c r="FH120" s="721"/>
      <c r="FI120" s="721"/>
      <c r="FJ120" s="721"/>
      <c r="FK120" s="721"/>
      <c r="FL120" s="721"/>
      <c r="FM120" s="721"/>
      <c r="FN120" s="721"/>
      <c r="FO120" s="721"/>
      <c r="FP120" s="721"/>
      <c r="FQ120" s="721"/>
      <c r="FR120" s="721"/>
      <c r="FS120" s="721"/>
      <c r="FT120" s="721"/>
      <c r="FU120" s="721"/>
      <c r="FV120" s="721"/>
      <c r="FW120" s="120"/>
      <c r="FX120" s="721"/>
      <c r="FY120" s="721"/>
      <c r="FZ120" s="721"/>
      <c r="GA120" s="721"/>
      <c r="GB120" s="721"/>
      <c r="GC120" s="721"/>
      <c r="GD120" s="721"/>
      <c r="GE120" s="721"/>
      <c r="GF120" s="721"/>
      <c r="GG120" s="721"/>
      <c r="GH120" s="721"/>
      <c r="GI120" s="721"/>
      <c r="GJ120" s="721"/>
      <c r="GK120" s="721"/>
      <c r="GL120" s="721"/>
      <c r="GM120" s="121"/>
      <c r="GN120" s="721"/>
      <c r="GO120" s="721"/>
      <c r="GP120" s="721"/>
      <c r="GQ120" s="721"/>
      <c r="GR120" s="721"/>
      <c r="GS120" s="721"/>
      <c r="GT120" s="721"/>
      <c r="GU120" s="721"/>
      <c r="GV120" s="721"/>
      <c r="GW120" s="721"/>
      <c r="GX120" s="721"/>
      <c r="GY120" s="721"/>
      <c r="GZ120" s="721"/>
      <c r="HA120" s="721"/>
      <c r="HB120" s="721"/>
      <c r="HC120" s="121"/>
      <c r="HD120" s="721"/>
      <c r="HE120" s="721"/>
      <c r="HF120" s="721"/>
      <c r="HG120" s="721"/>
      <c r="HH120" s="721"/>
      <c r="HI120" s="721"/>
      <c r="HJ120" s="721"/>
      <c r="HK120" s="721"/>
      <c r="HL120" s="721"/>
      <c r="HM120" s="721"/>
      <c r="HN120" s="721"/>
      <c r="HO120" s="721"/>
      <c r="HP120" s="721"/>
      <c r="HQ120" s="721"/>
      <c r="HR120" s="721"/>
      <c r="HS120" s="121"/>
      <c r="HT120" s="721"/>
      <c r="HU120" s="721"/>
      <c r="HV120" s="721"/>
      <c r="HW120" s="721"/>
      <c r="HX120" s="721"/>
      <c r="HY120" s="721"/>
      <c r="HZ120" s="721"/>
      <c r="IA120" s="721"/>
      <c r="IB120" s="721"/>
      <c r="IC120" s="721"/>
      <c r="ID120" s="721"/>
      <c r="IE120" s="721"/>
      <c r="IF120" s="721"/>
      <c r="IG120" s="721"/>
      <c r="IH120" s="721"/>
      <c r="II120" s="121"/>
      <c r="IJ120" s="721"/>
      <c r="IK120" s="721"/>
      <c r="IL120" s="721"/>
      <c r="IM120" s="721"/>
      <c r="IN120" s="721"/>
      <c r="IO120" s="721"/>
      <c r="IP120" s="721"/>
      <c r="IQ120" s="721"/>
      <c r="IR120" s="721"/>
      <c r="IS120" s="721"/>
      <c r="IT120" s="721"/>
      <c r="IU120" s="721"/>
      <c r="IV120" s="721"/>
      <c r="IW120" s="721"/>
      <c r="IX120" s="721"/>
      <c r="IY120" s="121"/>
    </row>
    <row r="121" spans="1:259" ht="15.75" customHeight="1" outlineLevel="1">
      <c r="A121" s="11">
        <f>'VAC &amp; MED'!C112</f>
        <v>46113</v>
      </c>
      <c r="B121" s="261"/>
      <c r="C121" s="261"/>
      <c r="D121" s="261"/>
      <c r="E121" s="261"/>
      <c r="F121" s="261"/>
      <c r="G121" s="261"/>
      <c r="H121" s="261"/>
      <c r="I121" s="261"/>
      <c r="J121" s="261"/>
      <c r="K121" s="261"/>
      <c r="L121" s="261"/>
      <c r="M121" s="261"/>
      <c r="N121" s="261"/>
      <c r="O121" s="261"/>
      <c r="P121" s="261"/>
      <c r="Q121" s="261"/>
      <c r="R121" s="262"/>
      <c r="S121" s="262"/>
      <c r="T121" s="262"/>
      <c r="U121" s="262"/>
      <c r="V121" s="262"/>
      <c r="W121" s="262"/>
      <c r="X121" s="262"/>
      <c r="Y121" s="262"/>
      <c r="Z121" s="262"/>
      <c r="AA121" s="262"/>
      <c r="AB121" s="262"/>
      <c r="AC121" s="262"/>
      <c r="AD121" s="262"/>
      <c r="AE121" s="262"/>
      <c r="AF121" s="262"/>
      <c r="AG121" s="262"/>
      <c r="AH121" s="263"/>
      <c r="AI121" s="263"/>
      <c r="AJ121" s="263"/>
      <c r="AK121" s="263"/>
      <c r="AL121" s="263"/>
      <c r="AM121" s="263"/>
      <c r="AN121" s="263"/>
      <c r="AO121" s="263"/>
      <c r="AP121" s="263"/>
      <c r="AQ121" s="263"/>
      <c r="AR121" s="263"/>
      <c r="AS121" s="263"/>
      <c r="AT121" s="263"/>
      <c r="AU121" s="263"/>
      <c r="AV121" s="263"/>
      <c r="AW121" s="263"/>
      <c r="AX121" s="264"/>
      <c r="AY121" s="264"/>
      <c r="AZ121" s="264"/>
      <c r="BA121" s="264"/>
      <c r="BB121" s="264"/>
      <c r="BC121" s="264"/>
      <c r="BD121" s="264"/>
      <c r="BE121" s="264"/>
      <c r="BF121" s="264"/>
      <c r="BG121" s="264"/>
      <c r="BH121" s="264"/>
      <c r="BI121" s="264"/>
      <c r="BJ121" s="264"/>
      <c r="BK121" s="264"/>
      <c r="BL121" s="264"/>
      <c r="BM121" s="264"/>
      <c r="BN121" s="265"/>
      <c r="BO121" s="265"/>
      <c r="BP121" s="265"/>
      <c r="BQ121" s="265"/>
      <c r="BR121" s="265"/>
      <c r="BS121" s="265"/>
      <c r="BT121" s="265"/>
      <c r="BU121" s="265"/>
      <c r="BV121" s="265"/>
      <c r="BW121" s="265"/>
      <c r="BX121" s="265"/>
      <c r="BY121" s="265"/>
      <c r="BZ121" s="265"/>
      <c r="CA121" s="265"/>
      <c r="CB121" s="265"/>
      <c r="CC121" s="265"/>
      <c r="CD121" s="266">
        <v>20</v>
      </c>
      <c r="CE121" s="266"/>
      <c r="CF121" s="266"/>
      <c r="CG121" s="266"/>
      <c r="CH121" s="266"/>
      <c r="CI121" s="266"/>
      <c r="CJ121" s="266"/>
      <c r="CK121" s="266"/>
      <c r="CL121" s="266"/>
      <c r="CM121" s="266"/>
      <c r="CN121" s="266"/>
      <c r="CO121" s="266"/>
      <c r="CP121" s="266"/>
      <c r="CQ121" s="266"/>
      <c r="CR121" s="266"/>
      <c r="CS121" s="266"/>
      <c r="CT121" s="267"/>
      <c r="CU121" s="267"/>
      <c r="CV121" s="267"/>
      <c r="CW121" s="267"/>
      <c r="CX121" s="267"/>
      <c r="CY121" s="267"/>
      <c r="CZ121" s="267"/>
      <c r="DA121" s="267"/>
      <c r="DB121" s="267"/>
      <c r="DC121" s="267"/>
      <c r="DD121" s="267"/>
      <c r="DE121" s="267"/>
      <c r="DF121" s="267"/>
      <c r="DG121" s="267"/>
      <c r="DH121" s="267"/>
      <c r="DI121" s="267"/>
      <c r="DJ121" s="268"/>
      <c r="DK121" s="268"/>
      <c r="DL121" s="268"/>
      <c r="DM121" s="268"/>
      <c r="DN121" s="268"/>
      <c r="DO121" s="268"/>
      <c r="DP121" s="268"/>
      <c r="DQ121" s="268"/>
      <c r="DR121" s="268"/>
      <c r="DS121" s="268"/>
      <c r="DT121" s="268"/>
      <c r="DU121" s="268"/>
      <c r="DV121" s="268"/>
      <c r="DW121" s="268"/>
      <c r="DX121" s="268"/>
      <c r="DY121" s="268"/>
      <c r="EA121" s="721"/>
      <c r="EB121" s="721"/>
      <c r="EC121" s="721"/>
      <c r="ED121" s="721"/>
      <c r="EE121" s="721"/>
      <c r="EF121" s="721"/>
      <c r="EG121" s="721"/>
      <c r="EH121" s="721"/>
      <c r="EI121" s="721"/>
      <c r="EJ121" s="721"/>
      <c r="EK121" s="721"/>
      <c r="EL121" s="494"/>
      <c r="EM121" s="494"/>
      <c r="EN121" s="494"/>
      <c r="EO121" s="494"/>
      <c r="EP121" s="494"/>
      <c r="EQ121" s="494"/>
      <c r="ER121" s="721"/>
      <c r="ES121" s="721"/>
      <c r="ET121" s="721"/>
      <c r="EU121" s="721"/>
      <c r="EV121" s="721"/>
      <c r="EW121" s="721"/>
      <c r="EX121" s="721"/>
      <c r="EY121" s="721"/>
      <c r="EZ121" s="721"/>
      <c r="FA121" s="721"/>
      <c r="FB121" s="721"/>
      <c r="FC121" s="721"/>
      <c r="FD121" s="721"/>
      <c r="FE121" s="721"/>
      <c r="FF121" s="721"/>
      <c r="FG121" s="494"/>
      <c r="FH121" s="721"/>
      <c r="FI121" s="721"/>
      <c r="FJ121" s="721"/>
      <c r="FK121" s="721"/>
      <c r="FL121" s="721"/>
      <c r="FM121" s="721"/>
      <c r="FN121" s="721"/>
      <c r="FO121" s="721"/>
      <c r="FP121" s="721"/>
      <c r="FQ121" s="721"/>
      <c r="FR121" s="721"/>
      <c r="FS121" s="721"/>
      <c r="FT121" s="721"/>
      <c r="FU121" s="721"/>
      <c r="FV121" s="721"/>
      <c r="FW121" s="494"/>
      <c r="FX121" s="721"/>
      <c r="FY121" s="721"/>
      <c r="FZ121" s="721"/>
      <c r="GA121" s="721"/>
      <c r="GB121" s="721"/>
      <c r="GC121" s="721"/>
      <c r="GD121" s="721"/>
      <c r="GE121" s="721"/>
      <c r="GF121" s="721"/>
      <c r="GG121" s="721"/>
      <c r="GH121" s="721"/>
      <c r="GI121" s="721"/>
      <c r="GJ121" s="721"/>
      <c r="GK121" s="721"/>
      <c r="GL121" s="721"/>
      <c r="GM121" s="13"/>
      <c r="GN121" s="721"/>
      <c r="GO121" s="721"/>
      <c r="GP121" s="721"/>
      <c r="GQ121" s="721"/>
      <c r="GR121" s="721"/>
      <c r="GS121" s="721"/>
      <c r="GT121" s="721"/>
      <c r="GU121" s="721"/>
      <c r="GV121" s="721"/>
      <c r="GW121" s="721"/>
      <c r="GX121" s="721"/>
      <c r="GY121" s="721"/>
      <c r="GZ121" s="721"/>
      <c r="HA121" s="721"/>
      <c r="HB121" s="721"/>
      <c r="HC121" s="13"/>
      <c r="HD121" s="721"/>
      <c r="HE121" s="721"/>
      <c r="HF121" s="721"/>
      <c r="HG121" s="721"/>
      <c r="HH121" s="721"/>
      <c r="HI121" s="721"/>
      <c r="HJ121" s="721"/>
      <c r="HK121" s="721"/>
      <c r="HL121" s="721"/>
      <c r="HM121" s="721"/>
      <c r="HN121" s="721"/>
      <c r="HO121" s="721"/>
      <c r="HP121" s="721"/>
      <c r="HQ121" s="721"/>
      <c r="HR121" s="721"/>
      <c r="HS121" s="13"/>
      <c r="HT121" s="721"/>
      <c r="HU121" s="721"/>
      <c r="HV121" s="721"/>
      <c r="HW121" s="721"/>
      <c r="HX121" s="721"/>
      <c r="HY121" s="721"/>
      <c r="HZ121" s="721"/>
      <c r="IA121" s="721"/>
      <c r="IB121" s="721"/>
      <c r="IC121" s="721"/>
      <c r="ID121" s="721"/>
      <c r="IE121" s="721"/>
      <c r="IF121" s="721"/>
      <c r="IG121" s="721"/>
      <c r="IH121" s="721"/>
      <c r="II121" s="13"/>
      <c r="IJ121" s="721"/>
      <c r="IK121" s="721"/>
      <c r="IL121" s="721"/>
      <c r="IM121" s="721"/>
      <c r="IN121" s="721"/>
      <c r="IO121" s="721"/>
      <c r="IP121" s="721"/>
      <c r="IQ121" s="721"/>
      <c r="IR121" s="721"/>
      <c r="IS121" s="721"/>
      <c r="IT121" s="721"/>
      <c r="IU121" s="721"/>
      <c r="IV121" s="721"/>
      <c r="IW121" s="721"/>
      <c r="IX121" s="721"/>
      <c r="IY121" s="13"/>
    </row>
    <row r="122" spans="1:259" outlineLevel="1">
      <c r="A122" s="11">
        <f>'VAC &amp; MED'!C113</f>
        <v>46114</v>
      </c>
      <c r="B122" s="261"/>
      <c r="C122" s="261"/>
      <c r="D122" s="261"/>
      <c r="E122" s="261"/>
      <c r="F122" s="261"/>
      <c r="G122" s="261"/>
      <c r="H122" s="261"/>
      <c r="I122" s="261"/>
      <c r="J122" s="261"/>
      <c r="K122" s="261"/>
      <c r="L122" s="261"/>
      <c r="M122" s="261"/>
      <c r="N122" s="261"/>
      <c r="O122" s="261"/>
      <c r="P122" s="261"/>
      <c r="Q122" s="261"/>
      <c r="R122" s="262"/>
      <c r="S122" s="262"/>
      <c r="T122" s="262"/>
      <c r="U122" s="262"/>
      <c r="V122" s="262"/>
      <c r="W122" s="262"/>
      <c r="X122" s="262"/>
      <c r="Y122" s="262"/>
      <c r="Z122" s="262"/>
      <c r="AA122" s="262"/>
      <c r="AB122" s="262"/>
      <c r="AC122" s="262"/>
      <c r="AD122" s="262"/>
      <c r="AE122" s="262"/>
      <c r="AF122" s="262"/>
      <c r="AG122" s="262"/>
      <c r="AH122" s="263"/>
      <c r="AI122" s="263"/>
      <c r="AJ122" s="263"/>
      <c r="AK122" s="263"/>
      <c r="AL122" s="263"/>
      <c r="AM122" s="263"/>
      <c r="AN122" s="263"/>
      <c r="AO122" s="263"/>
      <c r="AP122" s="263"/>
      <c r="AQ122" s="263"/>
      <c r="AR122" s="263"/>
      <c r="AS122" s="263"/>
      <c r="AT122" s="263"/>
      <c r="AU122" s="263"/>
      <c r="AV122" s="263"/>
      <c r="AW122" s="263"/>
      <c r="AX122" s="264"/>
      <c r="AY122" s="264"/>
      <c r="AZ122" s="264"/>
      <c r="BA122" s="264"/>
      <c r="BB122" s="264"/>
      <c r="BC122" s="264"/>
      <c r="BD122" s="264"/>
      <c r="BE122" s="264"/>
      <c r="BF122" s="264"/>
      <c r="BG122" s="264"/>
      <c r="BH122" s="264"/>
      <c r="BI122" s="264"/>
      <c r="BJ122" s="264"/>
      <c r="BK122" s="264"/>
      <c r="BL122" s="264"/>
      <c r="BM122" s="264"/>
      <c r="BN122" s="265"/>
      <c r="BO122" s="265"/>
      <c r="BP122" s="265"/>
      <c r="BQ122" s="265"/>
      <c r="BR122" s="265"/>
      <c r="BS122" s="265"/>
      <c r="BT122" s="265"/>
      <c r="BU122" s="265"/>
      <c r="BV122" s="265"/>
      <c r="BW122" s="265"/>
      <c r="BX122" s="265"/>
      <c r="BY122" s="265"/>
      <c r="BZ122" s="265"/>
      <c r="CA122" s="265"/>
      <c r="CB122" s="265"/>
      <c r="CC122" s="265"/>
      <c r="CD122" s="266"/>
      <c r="CE122" s="266"/>
      <c r="CF122" s="266"/>
      <c r="CG122" s="266"/>
      <c r="CH122" s="266"/>
      <c r="CI122" s="266"/>
      <c r="CJ122" s="266"/>
      <c r="CK122" s="266"/>
      <c r="CL122" s="266"/>
      <c r="CM122" s="266"/>
      <c r="CN122" s="266"/>
      <c r="CO122" s="266"/>
      <c r="CP122" s="266"/>
      <c r="CQ122" s="266"/>
      <c r="CR122" s="266"/>
      <c r="CS122" s="266"/>
      <c r="CT122" s="267"/>
      <c r="CU122" s="267"/>
      <c r="CV122" s="267"/>
      <c r="CW122" s="267"/>
      <c r="CX122" s="267"/>
      <c r="CY122" s="267"/>
      <c r="CZ122" s="267"/>
      <c r="DA122" s="267"/>
      <c r="DB122" s="267"/>
      <c r="DC122" s="267"/>
      <c r="DD122" s="267"/>
      <c r="DE122" s="267"/>
      <c r="DF122" s="267"/>
      <c r="DG122" s="267"/>
      <c r="DH122" s="267"/>
      <c r="DI122" s="267"/>
      <c r="DJ122" s="268"/>
      <c r="DK122" s="268"/>
      <c r="DL122" s="268"/>
      <c r="DM122" s="268"/>
      <c r="DN122" s="268"/>
      <c r="DO122" s="268"/>
      <c r="DP122" s="268"/>
      <c r="DQ122" s="268"/>
      <c r="DR122" s="268"/>
      <c r="DS122" s="268"/>
      <c r="DT122" s="268"/>
      <c r="DU122" s="268"/>
      <c r="DV122" s="268"/>
      <c r="DW122" s="268"/>
      <c r="DX122" s="268"/>
      <c r="DY122" s="268"/>
      <c r="EA122" s="721"/>
      <c r="EB122" s="714"/>
      <c r="EC122" s="714"/>
      <c r="ED122" s="714"/>
      <c r="EE122" s="714"/>
      <c r="EF122" s="714"/>
      <c r="EG122" s="714"/>
      <c r="EH122" s="714"/>
      <c r="EI122" s="714"/>
      <c r="EJ122" s="714"/>
      <c r="EK122" s="714"/>
      <c r="EL122" s="493"/>
      <c r="EM122" s="493"/>
      <c r="EN122" s="493"/>
      <c r="EO122" s="493"/>
      <c r="EP122" s="493"/>
      <c r="EQ122" s="493"/>
      <c r="ER122" s="714"/>
      <c r="ES122" s="714"/>
      <c r="ET122" s="714"/>
      <c r="EU122" s="714"/>
      <c r="EV122" s="714"/>
      <c r="EW122" s="714"/>
      <c r="EX122" s="714"/>
      <c r="EY122" s="714"/>
      <c r="EZ122" s="714"/>
      <c r="FA122" s="493"/>
      <c r="FB122" s="493"/>
      <c r="FC122" s="493"/>
      <c r="FD122" s="493"/>
      <c r="FE122" s="493"/>
      <c r="FF122" s="714"/>
      <c r="FG122" s="493"/>
      <c r="FH122" s="714"/>
      <c r="FI122" s="714"/>
      <c r="FJ122" s="714"/>
      <c r="FK122" s="714"/>
      <c r="FL122" s="714"/>
      <c r="FM122" s="714"/>
      <c r="FN122" s="714"/>
      <c r="FO122" s="714"/>
      <c r="FP122" s="714"/>
      <c r="FQ122" s="493"/>
      <c r="FR122" s="493"/>
      <c r="FS122" s="493"/>
      <c r="FT122" s="493"/>
      <c r="FU122" s="493"/>
      <c r="FV122" s="714"/>
      <c r="FW122" s="493"/>
      <c r="FX122" s="714"/>
      <c r="FY122" s="714"/>
      <c r="FZ122" s="714"/>
      <c r="GA122" s="714"/>
      <c r="GB122" s="714"/>
      <c r="GC122" s="714"/>
      <c r="GD122" s="714"/>
      <c r="GE122" s="714"/>
      <c r="GF122" s="714"/>
      <c r="GG122" s="493"/>
      <c r="GH122" s="493"/>
      <c r="GI122" s="493"/>
      <c r="GJ122" s="493"/>
      <c r="GK122" s="493"/>
      <c r="GL122" s="714"/>
      <c r="GM122" s="13"/>
      <c r="GN122" s="714"/>
      <c r="GO122" s="714"/>
      <c r="GP122" s="714"/>
      <c r="GQ122" s="714"/>
      <c r="GR122" s="714"/>
      <c r="GS122" s="714"/>
      <c r="GT122" s="714"/>
      <c r="GU122" s="714"/>
      <c r="GV122" s="714"/>
      <c r="GW122" s="493"/>
      <c r="GX122" s="493"/>
      <c r="GY122" s="493"/>
      <c r="GZ122" s="493"/>
      <c r="HA122" s="493"/>
      <c r="HB122" s="714"/>
      <c r="HC122" s="13"/>
      <c r="HD122" s="714"/>
      <c r="HE122" s="714"/>
      <c r="HF122" s="714"/>
      <c r="HG122" s="714"/>
      <c r="HH122" s="714"/>
      <c r="HI122" s="714"/>
      <c r="HJ122" s="714"/>
      <c r="HK122" s="714"/>
      <c r="HL122" s="714"/>
      <c r="HM122" s="493"/>
      <c r="HN122" s="493"/>
      <c r="HO122" s="493"/>
      <c r="HP122" s="493"/>
      <c r="HQ122" s="493"/>
      <c r="HR122" s="714"/>
      <c r="HS122" s="13"/>
      <c r="HT122" s="714"/>
      <c r="HU122" s="714"/>
      <c r="HV122" s="714"/>
      <c r="HW122" s="714"/>
      <c r="HX122" s="714"/>
      <c r="HY122" s="714"/>
      <c r="HZ122" s="714"/>
      <c r="IA122" s="714"/>
      <c r="IB122" s="714"/>
      <c r="IC122" s="493"/>
      <c r="ID122" s="493"/>
      <c r="IE122" s="493"/>
      <c r="IF122" s="493"/>
      <c r="IG122" s="493"/>
      <c r="IH122" s="714"/>
      <c r="II122" s="13"/>
      <c r="IJ122" s="714"/>
      <c r="IK122" s="714"/>
      <c r="IL122" s="714"/>
      <c r="IM122" s="714"/>
      <c r="IN122" s="714"/>
      <c r="IO122" s="714"/>
      <c r="IP122" s="714"/>
      <c r="IQ122" s="714"/>
      <c r="IR122" s="714"/>
      <c r="IS122" s="493"/>
      <c r="IT122" s="493"/>
      <c r="IU122" s="493"/>
      <c r="IV122" s="493"/>
      <c r="IW122" s="493"/>
      <c r="IX122" s="714"/>
      <c r="IY122" s="13"/>
    </row>
    <row r="123" spans="1:259" outlineLevel="1">
      <c r="A123" s="11">
        <f>'VAC &amp; MED'!C114</f>
        <v>46115</v>
      </c>
      <c r="B123" s="261">
        <v>76</v>
      </c>
      <c r="C123" s="261"/>
      <c r="D123" s="261"/>
      <c r="E123" s="261"/>
      <c r="F123" s="261"/>
      <c r="G123" s="261"/>
      <c r="H123" s="261"/>
      <c r="I123" s="261"/>
      <c r="J123" s="261"/>
      <c r="K123" s="261"/>
      <c r="L123" s="261"/>
      <c r="M123" s="261"/>
      <c r="N123" s="261"/>
      <c r="O123" s="261"/>
      <c r="P123" s="261"/>
      <c r="Q123" s="261"/>
      <c r="R123" s="262"/>
      <c r="S123" s="262"/>
      <c r="T123" s="262"/>
      <c r="U123" s="262"/>
      <c r="V123" s="262"/>
      <c r="W123" s="262"/>
      <c r="X123" s="262"/>
      <c r="Y123" s="262"/>
      <c r="Z123" s="262"/>
      <c r="AA123" s="262"/>
      <c r="AB123" s="262"/>
      <c r="AC123" s="262"/>
      <c r="AD123" s="262"/>
      <c r="AE123" s="262"/>
      <c r="AF123" s="262"/>
      <c r="AG123" s="262"/>
      <c r="AH123" s="263"/>
      <c r="AI123" s="263"/>
      <c r="AJ123" s="263"/>
      <c r="AK123" s="263"/>
      <c r="AL123" s="263"/>
      <c r="AM123" s="263"/>
      <c r="AN123" s="263"/>
      <c r="AO123" s="263"/>
      <c r="AP123" s="263"/>
      <c r="AQ123" s="263"/>
      <c r="AR123" s="263"/>
      <c r="AS123" s="263"/>
      <c r="AT123" s="263"/>
      <c r="AU123" s="263"/>
      <c r="AV123" s="263"/>
      <c r="AW123" s="263"/>
      <c r="AX123" s="264"/>
      <c r="AY123" s="264"/>
      <c r="AZ123" s="264"/>
      <c r="BA123" s="264"/>
      <c r="BB123" s="264"/>
      <c r="BC123" s="264"/>
      <c r="BD123" s="264"/>
      <c r="BE123" s="264"/>
      <c r="BF123" s="264"/>
      <c r="BG123" s="264"/>
      <c r="BH123" s="264"/>
      <c r="BI123" s="264"/>
      <c r="BJ123" s="264"/>
      <c r="BK123" s="264"/>
      <c r="BL123" s="264"/>
      <c r="BM123" s="264"/>
      <c r="BN123" s="265"/>
      <c r="BO123" s="265"/>
      <c r="BP123" s="265"/>
      <c r="BQ123" s="265"/>
      <c r="BR123" s="265"/>
      <c r="BS123" s="265"/>
      <c r="BT123" s="265"/>
      <c r="BU123" s="265"/>
      <c r="BV123" s="265"/>
      <c r="BW123" s="265"/>
      <c r="BX123" s="265"/>
      <c r="BY123" s="265"/>
      <c r="BZ123" s="265"/>
      <c r="CA123" s="265"/>
      <c r="CB123" s="265"/>
      <c r="CC123" s="265"/>
      <c r="CD123" s="266"/>
      <c r="CE123" s="266"/>
      <c r="CF123" s="266"/>
      <c r="CG123" s="266"/>
      <c r="CH123" s="266"/>
      <c r="CI123" s="266"/>
      <c r="CJ123" s="266"/>
      <c r="CK123" s="266"/>
      <c r="CL123" s="266"/>
      <c r="CM123" s="266"/>
      <c r="CN123" s="266"/>
      <c r="CO123" s="266"/>
      <c r="CP123" s="266"/>
      <c r="CQ123" s="266"/>
      <c r="CR123" s="266"/>
      <c r="CS123" s="266"/>
      <c r="CT123" s="267">
        <v>20</v>
      </c>
      <c r="CU123" s="267">
        <v>30</v>
      </c>
      <c r="CV123" s="267"/>
      <c r="CW123" s="267"/>
      <c r="CX123" s="267"/>
      <c r="CY123" s="267"/>
      <c r="CZ123" s="267"/>
      <c r="DA123" s="267"/>
      <c r="DB123" s="267"/>
      <c r="DC123" s="267"/>
      <c r="DD123" s="267"/>
      <c r="DE123" s="267"/>
      <c r="DF123" s="267"/>
      <c r="DG123" s="267"/>
      <c r="DH123" s="267"/>
      <c r="DI123" s="267"/>
      <c r="DJ123" s="268"/>
      <c r="DK123" s="268"/>
      <c r="DL123" s="268"/>
      <c r="DM123" s="268"/>
      <c r="DN123" s="268"/>
      <c r="DO123" s="268"/>
      <c r="DP123" s="268"/>
      <c r="DQ123" s="268"/>
      <c r="DR123" s="268"/>
      <c r="DS123" s="268"/>
      <c r="DT123" s="268"/>
      <c r="DU123" s="268"/>
      <c r="DV123" s="268"/>
      <c r="DW123" s="268"/>
      <c r="DX123" s="268"/>
      <c r="DY123" s="268"/>
      <c r="EA123" s="721"/>
      <c r="EB123" s="714"/>
      <c r="EC123" s="714"/>
      <c r="ED123" s="714"/>
      <c r="EE123" s="714"/>
      <c r="EF123" s="714"/>
      <c r="EG123" s="714"/>
      <c r="EH123" s="714"/>
      <c r="EI123" s="714"/>
      <c r="EJ123" s="714"/>
      <c r="EK123" s="714"/>
      <c r="EL123" s="493"/>
      <c r="EM123" s="493"/>
      <c r="EN123" s="493"/>
      <c r="EO123" s="493"/>
      <c r="EP123" s="493"/>
      <c r="EQ123" s="493"/>
      <c r="ER123" s="714"/>
      <c r="ES123" s="714"/>
      <c r="ET123" s="714"/>
      <c r="EU123" s="714"/>
      <c r="EV123" s="714"/>
      <c r="EW123" s="714"/>
      <c r="EX123" s="714"/>
      <c r="EY123" s="714"/>
      <c r="EZ123" s="714"/>
      <c r="FA123" s="493"/>
      <c r="FB123" s="493"/>
      <c r="FC123" s="493"/>
      <c r="FD123" s="493"/>
      <c r="FE123" s="493"/>
      <c r="FF123" s="714"/>
      <c r="FG123" s="493"/>
      <c r="FH123" s="714"/>
      <c r="FI123" s="714"/>
      <c r="FJ123" s="714"/>
      <c r="FK123" s="714"/>
      <c r="FL123" s="714"/>
      <c r="FM123" s="714"/>
      <c r="FN123" s="714"/>
      <c r="FO123" s="714"/>
      <c r="FP123" s="714"/>
      <c r="FQ123" s="493"/>
      <c r="FR123" s="493"/>
      <c r="FS123" s="493"/>
      <c r="FT123" s="493"/>
      <c r="FU123" s="493"/>
      <c r="FV123" s="714"/>
      <c r="FW123" s="493"/>
      <c r="FX123" s="714"/>
      <c r="FY123" s="714"/>
      <c r="FZ123" s="714"/>
      <c r="GA123" s="714"/>
      <c r="GB123" s="714"/>
      <c r="GC123" s="714"/>
      <c r="GD123" s="714"/>
      <c r="GE123" s="714"/>
      <c r="GF123" s="714"/>
      <c r="GG123" s="493"/>
      <c r="GH123" s="493"/>
      <c r="GI123" s="493"/>
      <c r="GJ123" s="493"/>
      <c r="GK123" s="493"/>
      <c r="GL123" s="714"/>
      <c r="GM123" s="13"/>
      <c r="GN123" s="714"/>
      <c r="GO123" s="714"/>
      <c r="GP123" s="714"/>
      <c r="GQ123" s="714"/>
      <c r="GR123" s="714"/>
      <c r="GS123" s="714"/>
      <c r="GT123" s="714"/>
      <c r="GU123" s="714"/>
      <c r="GV123" s="714"/>
      <c r="GW123" s="493"/>
      <c r="GX123" s="493"/>
      <c r="GY123" s="493"/>
      <c r="GZ123" s="493"/>
      <c r="HA123" s="493"/>
      <c r="HB123" s="714"/>
      <c r="HC123" s="13"/>
      <c r="HD123" s="714"/>
      <c r="HE123" s="714"/>
      <c r="HF123" s="714"/>
      <c r="HG123" s="714"/>
      <c r="HH123" s="714"/>
      <c r="HI123" s="714"/>
      <c r="HJ123" s="714"/>
      <c r="HK123" s="714"/>
      <c r="HL123" s="714"/>
      <c r="HM123" s="493"/>
      <c r="HN123" s="493"/>
      <c r="HO123" s="493"/>
      <c r="HP123" s="493"/>
      <c r="HQ123" s="493"/>
      <c r="HR123" s="714"/>
      <c r="HS123" s="13"/>
      <c r="HT123" s="714"/>
      <c r="HU123" s="714"/>
      <c r="HV123" s="714"/>
      <c r="HW123" s="714"/>
      <c r="HX123" s="714"/>
      <c r="HY123" s="714"/>
      <c r="HZ123" s="714"/>
      <c r="IA123" s="714"/>
      <c r="IB123" s="714"/>
      <c r="IC123" s="493"/>
      <c r="ID123" s="493"/>
      <c r="IE123" s="493"/>
      <c r="IF123" s="493"/>
      <c r="IG123" s="493"/>
      <c r="IH123" s="714"/>
      <c r="II123" s="13"/>
      <c r="IJ123" s="714"/>
      <c r="IK123" s="714"/>
      <c r="IL123" s="714"/>
      <c r="IM123" s="714"/>
      <c r="IN123" s="714"/>
      <c r="IO123" s="714"/>
      <c r="IP123" s="714"/>
      <c r="IQ123" s="714"/>
      <c r="IR123" s="714"/>
      <c r="IS123" s="493"/>
      <c r="IT123" s="493"/>
      <c r="IU123" s="493"/>
      <c r="IV123" s="493"/>
      <c r="IW123" s="493"/>
      <c r="IX123" s="714"/>
      <c r="IY123" s="13"/>
    </row>
    <row r="124" spans="1:259" outlineLevel="1">
      <c r="A124" s="11">
        <f>'VAC &amp; MED'!C115</f>
        <v>46116</v>
      </c>
      <c r="B124" s="261"/>
      <c r="C124" s="261"/>
      <c r="D124" s="261"/>
      <c r="E124" s="261"/>
      <c r="F124" s="261"/>
      <c r="G124" s="261"/>
      <c r="H124" s="261"/>
      <c r="I124" s="261"/>
      <c r="J124" s="261"/>
      <c r="K124" s="261"/>
      <c r="L124" s="261"/>
      <c r="M124" s="261"/>
      <c r="N124" s="261"/>
      <c r="O124" s="261"/>
      <c r="P124" s="261"/>
      <c r="Q124" s="261"/>
      <c r="R124" s="262"/>
      <c r="S124" s="262"/>
      <c r="T124" s="262"/>
      <c r="U124" s="262"/>
      <c r="V124" s="262"/>
      <c r="W124" s="262"/>
      <c r="X124" s="262"/>
      <c r="Y124" s="262"/>
      <c r="Z124" s="262"/>
      <c r="AA124" s="262"/>
      <c r="AB124" s="262"/>
      <c r="AC124" s="262"/>
      <c r="AD124" s="262"/>
      <c r="AE124" s="262"/>
      <c r="AF124" s="262"/>
      <c r="AG124" s="262"/>
      <c r="AH124" s="263"/>
      <c r="AI124" s="263"/>
      <c r="AJ124" s="263"/>
      <c r="AK124" s="263"/>
      <c r="AL124" s="263"/>
      <c r="AM124" s="263"/>
      <c r="AN124" s="263"/>
      <c r="AO124" s="263"/>
      <c r="AP124" s="263"/>
      <c r="AQ124" s="263"/>
      <c r="AR124" s="263"/>
      <c r="AS124" s="263"/>
      <c r="AT124" s="263"/>
      <c r="AU124" s="263"/>
      <c r="AV124" s="263"/>
      <c r="AW124" s="263"/>
      <c r="AX124" s="264"/>
      <c r="AY124" s="264"/>
      <c r="AZ124" s="264"/>
      <c r="BA124" s="264"/>
      <c r="BB124" s="264"/>
      <c r="BC124" s="264"/>
      <c r="BD124" s="264"/>
      <c r="BE124" s="264"/>
      <c r="BF124" s="264"/>
      <c r="BG124" s="264"/>
      <c r="BH124" s="264"/>
      <c r="BI124" s="264"/>
      <c r="BJ124" s="264"/>
      <c r="BK124" s="264"/>
      <c r="BL124" s="264"/>
      <c r="BM124" s="264"/>
      <c r="BN124" s="265"/>
      <c r="BO124" s="265"/>
      <c r="BP124" s="265"/>
      <c r="BQ124" s="265"/>
      <c r="BR124" s="265"/>
      <c r="BS124" s="265"/>
      <c r="BT124" s="265"/>
      <c r="BU124" s="265"/>
      <c r="BV124" s="265"/>
      <c r="BW124" s="265"/>
      <c r="BX124" s="265"/>
      <c r="BY124" s="265"/>
      <c r="BZ124" s="265"/>
      <c r="CA124" s="265"/>
      <c r="CB124" s="265"/>
      <c r="CC124" s="265"/>
      <c r="CD124" s="266"/>
      <c r="CE124" s="266"/>
      <c r="CF124" s="266"/>
      <c r="CG124" s="266"/>
      <c r="CH124" s="266"/>
      <c r="CI124" s="266"/>
      <c r="CJ124" s="266"/>
      <c r="CK124" s="266"/>
      <c r="CL124" s="266"/>
      <c r="CM124" s="266"/>
      <c r="CN124" s="266"/>
      <c r="CO124" s="266"/>
      <c r="CP124" s="266"/>
      <c r="CQ124" s="266"/>
      <c r="CR124" s="266"/>
      <c r="CS124" s="266"/>
      <c r="CT124" s="267"/>
      <c r="CU124" s="267"/>
      <c r="CV124" s="267"/>
      <c r="CW124" s="267"/>
      <c r="CX124" s="267"/>
      <c r="CY124" s="267"/>
      <c r="CZ124" s="267"/>
      <c r="DA124" s="267"/>
      <c r="DB124" s="267"/>
      <c r="DC124" s="267"/>
      <c r="DD124" s="267"/>
      <c r="DE124" s="267"/>
      <c r="DF124" s="267"/>
      <c r="DG124" s="267"/>
      <c r="DH124" s="267"/>
      <c r="DI124" s="267"/>
      <c r="DJ124" s="268"/>
      <c r="DK124" s="268"/>
      <c r="DL124" s="268"/>
      <c r="DM124" s="268"/>
      <c r="DN124" s="268"/>
      <c r="DO124" s="268"/>
      <c r="DP124" s="268"/>
      <c r="DQ124" s="268"/>
      <c r="DR124" s="268"/>
      <c r="DS124" s="268"/>
      <c r="DT124" s="268"/>
      <c r="DU124" s="268"/>
      <c r="DV124" s="268"/>
      <c r="DW124" s="268"/>
      <c r="DX124" s="268"/>
      <c r="DY124" s="268"/>
      <c r="EA124" s="13"/>
      <c r="EB124" s="96"/>
      <c r="EC124" s="96"/>
      <c r="ED124" s="96"/>
      <c r="EE124" s="96"/>
      <c r="EF124" s="96"/>
      <c r="EG124" s="96"/>
      <c r="EH124" s="96"/>
      <c r="EI124" s="96"/>
      <c r="EJ124" s="96"/>
      <c r="EK124" s="96"/>
      <c r="EL124" s="96"/>
      <c r="EM124" s="96"/>
      <c r="EN124" s="96"/>
      <c r="EO124" s="96"/>
      <c r="EP124" s="96"/>
      <c r="EQ124" s="96"/>
      <c r="ER124" s="96"/>
      <c r="ES124" s="96"/>
      <c r="ET124" s="96"/>
      <c r="EU124" s="96"/>
      <c r="EV124" s="96"/>
      <c r="EW124" s="96"/>
      <c r="EX124" s="96"/>
      <c r="EY124" s="96"/>
      <c r="EZ124" s="96"/>
      <c r="FA124" s="96"/>
      <c r="FB124" s="96"/>
      <c r="FC124" s="96"/>
      <c r="FD124" s="96"/>
      <c r="FE124" s="96"/>
      <c r="FF124" s="96"/>
      <c r="FG124" s="96"/>
      <c r="FH124" s="96"/>
      <c r="FI124" s="96"/>
      <c r="FJ124" s="96"/>
      <c r="FK124" s="96"/>
      <c r="FL124" s="96"/>
      <c r="FM124" s="96"/>
      <c r="FN124" s="96"/>
      <c r="FO124" s="96"/>
      <c r="FP124" s="96"/>
      <c r="FQ124" s="96"/>
      <c r="FR124" s="96"/>
      <c r="FS124" s="96"/>
      <c r="FT124" s="96"/>
      <c r="FU124" s="96"/>
      <c r="FV124" s="96"/>
      <c r="FW124" s="96"/>
      <c r="FX124" s="96"/>
      <c r="FY124" s="96"/>
      <c r="FZ124" s="96"/>
      <c r="GA124" s="96"/>
      <c r="GB124" s="96"/>
      <c r="GC124" s="96"/>
      <c r="GD124" s="96"/>
      <c r="GE124" s="96"/>
      <c r="GF124" s="96"/>
      <c r="GG124" s="96"/>
      <c r="GH124" s="96"/>
      <c r="GI124" s="96"/>
      <c r="GJ124" s="96"/>
      <c r="GK124" s="96"/>
      <c r="GL124" s="96"/>
      <c r="GM124" s="13"/>
      <c r="GN124" s="96"/>
      <c r="GO124" s="96"/>
      <c r="GP124" s="96"/>
      <c r="GQ124" s="96"/>
      <c r="GR124" s="96"/>
      <c r="GS124" s="96"/>
      <c r="GT124" s="96"/>
      <c r="GU124" s="96"/>
      <c r="GV124" s="96"/>
      <c r="GW124" s="96"/>
      <c r="GX124" s="96"/>
      <c r="GY124" s="96"/>
      <c r="GZ124" s="96"/>
      <c r="HA124" s="96"/>
      <c r="HB124" s="96"/>
      <c r="HC124" s="13"/>
      <c r="HD124" s="96"/>
      <c r="HE124" s="96"/>
      <c r="HF124" s="96"/>
      <c r="HG124" s="96"/>
      <c r="HH124" s="96"/>
      <c r="HI124" s="96"/>
      <c r="HJ124" s="96"/>
      <c r="HK124" s="96"/>
      <c r="HL124" s="96"/>
      <c r="HM124" s="96"/>
      <c r="HN124" s="96"/>
      <c r="HO124" s="96"/>
      <c r="HP124" s="96"/>
      <c r="HQ124" s="96"/>
      <c r="HR124" s="96"/>
      <c r="HS124" s="13"/>
      <c r="HT124" s="96"/>
      <c r="HU124" s="96"/>
      <c r="HV124" s="96"/>
      <c r="HW124" s="96"/>
      <c r="HX124" s="96"/>
      <c r="HY124" s="96"/>
      <c r="HZ124" s="96"/>
      <c r="IA124" s="96"/>
      <c r="IB124" s="96"/>
      <c r="IC124" s="96"/>
      <c r="ID124" s="96"/>
      <c r="IE124" s="96"/>
      <c r="IF124" s="96"/>
      <c r="IG124" s="96"/>
      <c r="IH124" s="96"/>
      <c r="II124" s="13"/>
      <c r="IJ124" s="96"/>
      <c r="IK124" s="96"/>
      <c r="IL124" s="96"/>
      <c r="IM124" s="96"/>
      <c r="IN124" s="96"/>
      <c r="IO124" s="96"/>
      <c r="IP124" s="96"/>
      <c r="IQ124" s="96"/>
      <c r="IR124" s="96"/>
      <c r="IS124" s="96"/>
      <c r="IT124" s="96"/>
      <c r="IU124" s="96"/>
      <c r="IV124" s="96"/>
      <c r="IW124" s="96"/>
      <c r="IX124" s="96"/>
      <c r="IY124" s="13"/>
    </row>
    <row r="125" spans="1:259" outlineLevel="1">
      <c r="A125" s="11">
        <f>'VAC &amp; MED'!C116</f>
        <v>46117</v>
      </c>
      <c r="B125" s="261"/>
      <c r="C125" s="261"/>
      <c r="D125" s="261"/>
      <c r="E125" s="261"/>
      <c r="F125" s="261"/>
      <c r="G125" s="261"/>
      <c r="H125" s="261"/>
      <c r="I125" s="261"/>
      <c r="J125" s="261"/>
      <c r="K125" s="261"/>
      <c r="L125" s="261"/>
      <c r="M125" s="261"/>
      <c r="N125" s="261"/>
      <c r="O125" s="261"/>
      <c r="P125" s="261"/>
      <c r="Q125" s="261"/>
      <c r="R125" s="262"/>
      <c r="S125" s="262"/>
      <c r="T125" s="262"/>
      <c r="U125" s="262"/>
      <c r="V125" s="262"/>
      <c r="W125" s="262"/>
      <c r="X125" s="262"/>
      <c r="Y125" s="262"/>
      <c r="Z125" s="262"/>
      <c r="AA125" s="262"/>
      <c r="AB125" s="262"/>
      <c r="AC125" s="262"/>
      <c r="AD125" s="262"/>
      <c r="AE125" s="262"/>
      <c r="AF125" s="262"/>
      <c r="AG125" s="262"/>
      <c r="AH125" s="263"/>
      <c r="AI125" s="263"/>
      <c r="AJ125" s="263"/>
      <c r="AK125" s="263"/>
      <c r="AL125" s="263"/>
      <c r="AM125" s="263"/>
      <c r="AN125" s="263"/>
      <c r="AO125" s="263"/>
      <c r="AP125" s="263"/>
      <c r="AQ125" s="263"/>
      <c r="AR125" s="263"/>
      <c r="AS125" s="263"/>
      <c r="AT125" s="263"/>
      <c r="AU125" s="263"/>
      <c r="AV125" s="263"/>
      <c r="AW125" s="263"/>
      <c r="AX125" s="264"/>
      <c r="AY125" s="264"/>
      <c r="AZ125" s="264"/>
      <c r="BA125" s="264"/>
      <c r="BB125" s="264"/>
      <c r="BC125" s="264"/>
      <c r="BD125" s="264"/>
      <c r="BE125" s="264"/>
      <c r="BF125" s="264"/>
      <c r="BG125" s="264"/>
      <c r="BH125" s="264"/>
      <c r="BI125" s="264"/>
      <c r="BJ125" s="264"/>
      <c r="BK125" s="264"/>
      <c r="BL125" s="264"/>
      <c r="BM125" s="264"/>
      <c r="BN125" s="265"/>
      <c r="BO125" s="265"/>
      <c r="BP125" s="265"/>
      <c r="BQ125" s="265"/>
      <c r="BR125" s="265"/>
      <c r="BS125" s="265"/>
      <c r="BT125" s="265"/>
      <c r="BU125" s="265"/>
      <c r="BV125" s="265"/>
      <c r="BW125" s="265"/>
      <c r="BX125" s="265"/>
      <c r="BY125" s="265"/>
      <c r="BZ125" s="265"/>
      <c r="CA125" s="265"/>
      <c r="CB125" s="265"/>
      <c r="CC125" s="265"/>
      <c r="CD125" s="266"/>
      <c r="CE125" s="266"/>
      <c r="CF125" s="266"/>
      <c r="CG125" s="266"/>
      <c r="CH125" s="266"/>
      <c r="CI125" s="266"/>
      <c r="CJ125" s="266"/>
      <c r="CK125" s="266"/>
      <c r="CL125" s="266"/>
      <c r="CM125" s="266"/>
      <c r="CN125" s="266"/>
      <c r="CO125" s="266"/>
      <c r="CP125" s="266"/>
      <c r="CQ125" s="266"/>
      <c r="CR125" s="266"/>
      <c r="CS125" s="266"/>
      <c r="CT125" s="267"/>
      <c r="CU125" s="267"/>
      <c r="CV125" s="267"/>
      <c r="CW125" s="267"/>
      <c r="CX125" s="267"/>
      <c r="CY125" s="267"/>
      <c r="CZ125" s="267"/>
      <c r="DA125" s="267"/>
      <c r="DB125" s="267"/>
      <c r="DC125" s="267"/>
      <c r="DD125" s="267"/>
      <c r="DE125" s="267"/>
      <c r="DF125" s="267"/>
      <c r="DG125" s="267"/>
      <c r="DH125" s="267"/>
      <c r="DI125" s="267"/>
      <c r="DJ125" s="268"/>
      <c r="DK125" s="268"/>
      <c r="DL125" s="268"/>
      <c r="DM125" s="268"/>
      <c r="DN125" s="268"/>
      <c r="DO125" s="268"/>
      <c r="DP125" s="268"/>
      <c r="DQ125" s="268"/>
      <c r="DR125" s="268"/>
      <c r="DS125" s="268"/>
      <c r="DT125" s="268"/>
      <c r="DU125" s="268"/>
      <c r="DV125" s="268"/>
      <c r="DW125" s="268"/>
      <c r="DX125" s="268"/>
      <c r="DY125" s="268"/>
      <c r="EA125" s="13"/>
      <c r="EB125" s="96"/>
      <c r="EC125" s="96"/>
      <c r="ED125" s="96"/>
      <c r="EE125" s="96"/>
      <c r="EF125" s="96"/>
      <c r="EG125" s="96"/>
      <c r="EH125" s="96"/>
      <c r="EI125" s="96"/>
      <c r="EJ125" s="96"/>
      <c r="EK125" s="96"/>
      <c r="EL125" s="96"/>
      <c r="EM125" s="96"/>
      <c r="EN125" s="96"/>
      <c r="EO125" s="96"/>
      <c r="EP125" s="96"/>
      <c r="EQ125" s="96"/>
      <c r="ER125" s="96"/>
      <c r="ES125" s="96"/>
      <c r="ET125" s="96"/>
      <c r="EU125" s="96"/>
      <c r="EV125" s="96"/>
      <c r="EW125" s="96"/>
      <c r="EX125" s="96"/>
      <c r="EY125" s="96"/>
      <c r="EZ125" s="96"/>
      <c r="FA125" s="96"/>
      <c r="FB125" s="96"/>
      <c r="FC125" s="96"/>
      <c r="FD125" s="96"/>
      <c r="FE125" s="96"/>
      <c r="FF125" s="96"/>
      <c r="FG125" s="96"/>
      <c r="FH125" s="96"/>
      <c r="FI125" s="96"/>
      <c r="FJ125" s="96"/>
      <c r="FK125" s="96"/>
      <c r="FL125" s="96"/>
      <c r="FM125" s="96"/>
      <c r="FN125" s="96"/>
      <c r="FO125" s="96"/>
      <c r="FP125" s="96"/>
      <c r="FQ125" s="96"/>
      <c r="FR125" s="96"/>
      <c r="FS125" s="96"/>
      <c r="FT125" s="96"/>
      <c r="FU125" s="96"/>
      <c r="FV125" s="96"/>
      <c r="FW125" s="96"/>
      <c r="FX125" s="96"/>
      <c r="FY125" s="96"/>
      <c r="FZ125" s="96"/>
      <c r="GA125" s="96"/>
      <c r="GB125" s="96"/>
      <c r="GC125" s="96"/>
      <c r="GD125" s="96"/>
      <c r="GE125" s="96"/>
      <c r="GF125" s="96"/>
      <c r="GG125" s="96"/>
      <c r="GH125" s="96"/>
      <c r="GI125" s="96"/>
      <c r="GJ125" s="96"/>
      <c r="GK125" s="96"/>
      <c r="GL125" s="96"/>
      <c r="GM125" s="13"/>
      <c r="GN125" s="96"/>
      <c r="GO125" s="96"/>
      <c r="GP125" s="96"/>
      <c r="GQ125" s="96"/>
      <c r="GR125" s="96"/>
      <c r="GS125" s="96"/>
      <c r="GT125" s="96"/>
      <c r="GU125" s="96"/>
      <c r="GV125" s="96"/>
      <c r="GW125" s="96"/>
      <c r="GX125" s="96"/>
      <c r="GY125" s="96"/>
      <c r="GZ125" s="96"/>
      <c r="HA125" s="96"/>
      <c r="HB125" s="96"/>
      <c r="HC125" s="13"/>
      <c r="HD125" s="96"/>
      <c r="HE125" s="96"/>
      <c r="HF125" s="96"/>
      <c r="HG125" s="96"/>
      <c r="HH125" s="96"/>
      <c r="HI125" s="96"/>
      <c r="HJ125" s="96"/>
      <c r="HK125" s="96"/>
      <c r="HL125" s="96"/>
      <c r="HM125" s="96"/>
      <c r="HN125" s="96"/>
      <c r="HO125" s="96"/>
      <c r="HP125" s="96"/>
      <c r="HQ125" s="96"/>
      <c r="HR125" s="96"/>
      <c r="HS125" s="13"/>
      <c r="HT125" s="96"/>
      <c r="HU125" s="96"/>
      <c r="HV125" s="96"/>
      <c r="HW125" s="96"/>
      <c r="HX125" s="96"/>
      <c r="HY125" s="96"/>
      <c r="HZ125" s="96"/>
      <c r="IA125" s="96"/>
      <c r="IB125" s="96"/>
      <c r="IC125" s="96"/>
      <c r="ID125" s="96"/>
      <c r="IE125" s="96"/>
      <c r="IF125" s="96"/>
      <c r="IG125" s="96"/>
      <c r="IH125" s="96"/>
      <c r="II125" s="13"/>
      <c r="IJ125" s="96"/>
      <c r="IK125" s="96"/>
      <c r="IL125" s="96"/>
      <c r="IM125" s="96"/>
      <c r="IN125" s="96"/>
      <c r="IO125" s="96"/>
      <c r="IP125" s="96"/>
      <c r="IQ125" s="96"/>
      <c r="IR125" s="96"/>
      <c r="IS125" s="96"/>
      <c r="IT125" s="96"/>
      <c r="IU125" s="96"/>
      <c r="IV125" s="96"/>
      <c r="IW125" s="96"/>
      <c r="IX125" s="96"/>
      <c r="IY125" s="13"/>
    </row>
    <row r="126" spans="1:259" outlineLevel="1">
      <c r="A126" s="11">
        <f>'VAC &amp; MED'!C117</f>
        <v>46118</v>
      </c>
      <c r="B126" s="261"/>
      <c r="C126" s="261"/>
      <c r="D126" s="261"/>
      <c r="E126" s="261"/>
      <c r="F126" s="261"/>
      <c r="G126" s="261"/>
      <c r="H126" s="261"/>
      <c r="I126" s="261"/>
      <c r="J126" s="261"/>
      <c r="K126" s="261"/>
      <c r="L126" s="261"/>
      <c r="M126" s="261"/>
      <c r="N126" s="261"/>
      <c r="O126" s="261"/>
      <c r="P126" s="261"/>
      <c r="Q126" s="261"/>
      <c r="R126" s="262"/>
      <c r="S126" s="262"/>
      <c r="T126" s="262"/>
      <c r="U126" s="262"/>
      <c r="V126" s="262"/>
      <c r="W126" s="262"/>
      <c r="X126" s="262"/>
      <c r="Y126" s="262"/>
      <c r="Z126" s="262"/>
      <c r="AA126" s="262"/>
      <c r="AB126" s="262"/>
      <c r="AC126" s="262"/>
      <c r="AD126" s="262"/>
      <c r="AE126" s="262"/>
      <c r="AF126" s="262"/>
      <c r="AG126" s="262"/>
      <c r="AH126" s="263"/>
      <c r="AI126" s="263"/>
      <c r="AJ126" s="263"/>
      <c r="AK126" s="263"/>
      <c r="AL126" s="263"/>
      <c r="AM126" s="263"/>
      <c r="AN126" s="263"/>
      <c r="AO126" s="263"/>
      <c r="AP126" s="263"/>
      <c r="AQ126" s="263"/>
      <c r="AR126" s="263"/>
      <c r="AS126" s="263"/>
      <c r="AT126" s="263"/>
      <c r="AU126" s="263"/>
      <c r="AV126" s="263"/>
      <c r="AW126" s="263"/>
      <c r="AX126" s="264"/>
      <c r="AY126" s="264"/>
      <c r="AZ126" s="264"/>
      <c r="BA126" s="264"/>
      <c r="BB126" s="264"/>
      <c r="BC126" s="264"/>
      <c r="BD126" s="264"/>
      <c r="BE126" s="264"/>
      <c r="BF126" s="264"/>
      <c r="BG126" s="264"/>
      <c r="BH126" s="264"/>
      <c r="BI126" s="264"/>
      <c r="BJ126" s="264"/>
      <c r="BK126" s="264"/>
      <c r="BL126" s="264"/>
      <c r="BM126" s="264"/>
      <c r="BN126" s="265"/>
      <c r="BO126" s="265"/>
      <c r="BP126" s="265"/>
      <c r="BQ126" s="265"/>
      <c r="BR126" s="265"/>
      <c r="BS126" s="265"/>
      <c r="BT126" s="265"/>
      <c r="BU126" s="265"/>
      <c r="BV126" s="265"/>
      <c r="BW126" s="265"/>
      <c r="BX126" s="265"/>
      <c r="BY126" s="265"/>
      <c r="BZ126" s="265"/>
      <c r="CA126" s="265"/>
      <c r="CB126" s="265"/>
      <c r="CC126" s="265"/>
      <c r="CD126" s="266">
        <v>16</v>
      </c>
      <c r="CE126" s="266">
        <v>32</v>
      </c>
      <c r="CF126" s="266">
        <v>2</v>
      </c>
      <c r="CG126" s="266"/>
      <c r="CH126" s="266"/>
      <c r="CI126" s="266"/>
      <c r="CJ126" s="266"/>
      <c r="CK126" s="266"/>
      <c r="CL126" s="266"/>
      <c r="CM126" s="266"/>
      <c r="CN126" s="266"/>
      <c r="CO126" s="266"/>
      <c r="CP126" s="266"/>
      <c r="CQ126" s="266"/>
      <c r="CR126" s="266"/>
      <c r="CS126" s="266"/>
      <c r="CT126" s="267"/>
      <c r="CU126" s="267">
        <v>50</v>
      </c>
      <c r="CV126" s="267"/>
      <c r="CW126" s="267"/>
      <c r="CX126" s="267"/>
      <c r="CY126" s="267"/>
      <c r="CZ126" s="267"/>
      <c r="DA126" s="267"/>
      <c r="DB126" s="267"/>
      <c r="DC126" s="267"/>
      <c r="DD126" s="267"/>
      <c r="DE126" s="267"/>
      <c r="DF126" s="267"/>
      <c r="DG126" s="267"/>
      <c r="DH126" s="267"/>
      <c r="DI126" s="267"/>
      <c r="DJ126" s="268"/>
      <c r="DK126" s="268"/>
      <c r="DL126" s="268"/>
      <c r="DM126" s="268"/>
      <c r="DN126" s="268"/>
      <c r="DO126" s="268"/>
      <c r="DP126" s="268"/>
      <c r="DQ126" s="268"/>
      <c r="DR126" s="268"/>
      <c r="DS126" s="268"/>
      <c r="DT126" s="268"/>
      <c r="DU126" s="268"/>
      <c r="DV126" s="268"/>
      <c r="DW126" s="268"/>
      <c r="DX126" s="268"/>
      <c r="DY126" s="268"/>
      <c r="EA126" s="13"/>
      <c r="EB126" s="96"/>
      <c r="EC126" s="96"/>
      <c r="ED126" s="96"/>
      <c r="EE126" s="96"/>
      <c r="EF126" s="96"/>
      <c r="EG126" s="96"/>
      <c r="EH126" s="96"/>
      <c r="EI126" s="96"/>
      <c r="EJ126" s="96"/>
      <c r="EK126" s="96"/>
      <c r="EL126" s="96"/>
      <c r="EM126" s="96"/>
      <c r="EN126" s="96"/>
      <c r="EO126" s="96"/>
      <c r="EP126" s="96"/>
      <c r="EQ126" s="96"/>
      <c r="ER126" s="96"/>
      <c r="ES126" s="96"/>
      <c r="ET126" s="96"/>
      <c r="EU126" s="96"/>
      <c r="EV126" s="96"/>
      <c r="EW126" s="96"/>
      <c r="EX126" s="96"/>
      <c r="EY126" s="96"/>
      <c r="EZ126" s="96"/>
      <c r="FA126" s="96"/>
      <c r="FB126" s="96"/>
      <c r="FC126" s="96"/>
      <c r="FD126" s="96"/>
      <c r="FE126" s="96"/>
      <c r="FF126" s="96"/>
      <c r="FG126" s="96"/>
      <c r="FH126" s="96"/>
      <c r="FI126" s="96"/>
      <c r="FJ126" s="96"/>
      <c r="FK126" s="96"/>
      <c r="FL126" s="96"/>
      <c r="FM126" s="96"/>
      <c r="FN126" s="96"/>
      <c r="FO126" s="96"/>
      <c r="FP126" s="96"/>
      <c r="FQ126" s="96"/>
      <c r="FR126" s="96"/>
      <c r="FS126" s="96"/>
      <c r="FT126" s="96"/>
      <c r="FU126" s="96"/>
      <c r="FV126" s="96"/>
      <c r="FW126" s="96"/>
      <c r="FX126" s="96"/>
      <c r="FY126" s="96"/>
      <c r="FZ126" s="96"/>
      <c r="GA126" s="96"/>
      <c r="GB126" s="96"/>
      <c r="GC126" s="96"/>
      <c r="GD126" s="96"/>
      <c r="GE126" s="96"/>
      <c r="GF126" s="96"/>
      <c r="GG126" s="96"/>
      <c r="GH126" s="96"/>
      <c r="GI126" s="96"/>
      <c r="GJ126" s="96"/>
      <c r="GK126" s="96"/>
      <c r="GL126" s="96"/>
      <c r="GM126" s="13"/>
      <c r="GN126" s="96"/>
      <c r="GO126" s="96"/>
      <c r="GP126" s="96"/>
      <c r="GQ126" s="96"/>
      <c r="GR126" s="96"/>
      <c r="GS126" s="96"/>
      <c r="GT126" s="96"/>
      <c r="GU126" s="96"/>
      <c r="GV126" s="96"/>
      <c r="GW126" s="96"/>
      <c r="GX126" s="96"/>
      <c r="GY126" s="96"/>
      <c r="GZ126" s="96"/>
      <c r="HA126" s="96"/>
      <c r="HB126" s="96"/>
      <c r="HC126" s="13"/>
      <c r="HD126" s="96"/>
      <c r="HE126" s="96"/>
      <c r="HF126" s="96"/>
      <c r="HG126" s="96"/>
      <c r="HH126" s="96"/>
      <c r="HI126" s="96"/>
      <c r="HJ126" s="96"/>
      <c r="HK126" s="96"/>
      <c r="HL126" s="96"/>
      <c r="HM126" s="96"/>
      <c r="HN126" s="96"/>
      <c r="HO126" s="96"/>
      <c r="HP126" s="96"/>
      <c r="HQ126" s="96"/>
      <c r="HR126" s="96"/>
      <c r="HS126" s="13"/>
      <c r="HT126" s="96"/>
      <c r="HU126" s="96"/>
      <c r="HV126" s="96"/>
      <c r="HW126" s="96"/>
      <c r="HX126" s="96"/>
      <c r="HY126" s="96"/>
      <c r="HZ126" s="96"/>
      <c r="IA126" s="96"/>
      <c r="IB126" s="96"/>
      <c r="IC126" s="96"/>
      <c r="ID126" s="96"/>
      <c r="IE126" s="96"/>
      <c r="IF126" s="96"/>
      <c r="IG126" s="96"/>
      <c r="IH126" s="96"/>
      <c r="II126" s="13"/>
      <c r="IJ126" s="96"/>
      <c r="IK126" s="96"/>
      <c r="IL126" s="96"/>
      <c r="IM126" s="96"/>
      <c r="IN126" s="96"/>
      <c r="IO126" s="96"/>
      <c r="IP126" s="96"/>
      <c r="IQ126" s="96"/>
      <c r="IR126" s="96"/>
      <c r="IS126" s="96"/>
      <c r="IT126" s="96"/>
      <c r="IU126" s="96"/>
      <c r="IV126" s="96"/>
      <c r="IW126" s="96"/>
      <c r="IX126" s="96"/>
      <c r="IY126" s="13"/>
    </row>
    <row r="127" spans="1:259" outlineLevel="1">
      <c r="A127" s="11">
        <f>'VAC &amp; MED'!C118</f>
        <v>46119</v>
      </c>
      <c r="B127" s="261"/>
      <c r="C127" s="261"/>
      <c r="D127" s="261"/>
      <c r="E127" s="261"/>
      <c r="F127" s="261"/>
      <c r="G127" s="261"/>
      <c r="H127" s="261"/>
      <c r="I127" s="261"/>
      <c r="J127" s="261"/>
      <c r="K127" s="261"/>
      <c r="L127" s="261"/>
      <c r="M127" s="261"/>
      <c r="N127" s="261"/>
      <c r="O127" s="261"/>
      <c r="P127" s="261"/>
      <c r="Q127" s="261"/>
      <c r="R127" s="262"/>
      <c r="S127" s="262"/>
      <c r="T127" s="262"/>
      <c r="U127" s="262"/>
      <c r="V127" s="262"/>
      <c r="W127" s="262"/>
      <c r="X127" s="262"/>
      <c r="Y127" s="262"/>
      <c r="Z127" s="262"/>
      <c r="AA127" s="262"/>
      <c r="AB127" s="262"/>
      <c r="AC127" s="262"/>
      <c r="AD127" s="262"/>
      <c r="AE127" s="262"/>
      <c r="AF127" s="262"/>
      <c r="AG127" s="262"/>
      <c r="AH127" s="263"/>
      <c r="AI127" s="263"/>
      <c r="AJ127" s="263"/>
      <c r="AK127" s="263"/>
      <c r="AL127" s="263"/>
      <c r="AM127" s="263"/>
      <c r="AN127" s="263"/>
      <c r="AO127" s="263"/>
      <c r="AP127" s="263"/>
      <c r="AQ127" s="263"/>
      <c r="AR127" s="263"/>
      <c r="AS127" s="263"/>
      <c r="AT127" s="263"/>
      <c r="AU127" s="263"/>
      <c r="AV127" s="263"/>
      <c r="AW127" s="263"/>
      <c r="AX127" s="264"/>
      <c r="AY127" s="264"/>
      <c r="AZ127" s="264"/>
      <c r="BA127" s="264"/>
      <c r="BB127" s="264"/>
      <c r="BC127" s="264"/>
      <c r="BD127" s="264"/>
      <c r="BE127" s="264"/>
      <c r="BF127" s="264"/>
      <c r="BG127" s="264"/>
      <c r="BH127" s="264"/>
      <c r="BI127" s="264"/>
      <c r="BJ127" s="264"/>
      <c r="BK127" s="264"/>
      <c r="BL127" s="264"/>
      <c r="BM127" s="264"/>
      <c r="BN127" s="265"/>
      <c r="BO127" s="265"/>
      <c r="BP127" s="265"/>
      <c r="BQ127" s="265"/>
      <c r="BR127" s="265"/>
      <c r="BS127" s="265"/>
      <c r="BT127" s="265"/>
      <c r="BU127" s="265"/>
      <c r="BV127" s="265"/>
      <c r="BW127" s="265"/>
      <c r="BX127" s="265"/>
      <c r="BY127" s="265"/>
      <c r="BZ127" s="265"/>
      <c r="CA127" s="265"/>
      <c r="CB127" s="265"/>
      <c r="CC127" s="265"/>
      <c r="CD127" s="266"/>
      <c r="CE127" s="266"/>
      <c r="CF127" s="266"/>
      <c r="CG127" s="266"/>
      <c r="CH127" s="266"/>
      <c r="CI127" s="266"/>
      <c r="CJ127" s="266"/>
      <c r="CK127" s="266"/>
      <c r="CL127" s="266"/>
      <c r="CM127" s="266"/>
      <c r="CN127" s="266"/>
      <c r="CO127" s="266"/>
      <c r="CP127" s="266"/>
      <c r="CQ127" s="266"/>
      <c r="CR127" s="266"/>
      <c r="CS127" s="266"/>
      <c r="CT127" s="267"/>
      <c r="CU127" s="267"/>
      <c r="CV127" s="267"/>
      <c r="CW127" s="267"/>
      <c r="CX127" s="267"/>
      <c r="CY127" s="267"/>
      <c r="CZ127" s="267"/>
      <c r="DA127" s="267"/>
      <c r="DB127" s="267"/>
      <c r="DC127" s="267"/>
      <c r="DD127" s="267"/>
      <c r="DE127" s="267"/>
      <c r="DF127" s="267"/>
      <c r="DG127" s="267"/>
      <c r="DH127" s="267"/>
      <c r="DI127" s="267"/>
      <c r="DJ127" s="268">
        <v>12</v>
      </c>
      <c r="DK127" s="268"/>
      <c r="DL127" s="268"/>
      <c r="DM127" s="268"/>
      <c r="DN127" s="268"/>
      <c r="DO127" s="268"/>
      <c r="DP127" s="268"/>
      <c r="DQ127" s="268"/>
      <c r="DR127" s="268"/>
      <c r="DS127" s="268"/>
      <c r="DT127" s="268"/>
      <c r="DU127" s="268"/>
      <c r="DV127" s="268"/>
      <c r="DW127" s="268"/>
      <c r="DX127" s="268"/>
      <c r="DY127" s="268"/>
      <c r="EA127" s="13"/>
      <c r="EB127" s="96"/>
      <c r="EC127" s="96"/>
      <c r="ED127" s="96"/>
      <c r="EE127" s="96"/>
      <c r="EF127" s="96"/>
      <c r="EG127" s="96"/>
      <c r="EH127" s="96"/>
      <c r="EI127" s="96"/>
      <c r="EJ127" s="96"/>
      <c r="EK127" s="96"/>
      <c r="EL127" s="96"/>
      <c r="EM127" s="96"/>
      <c r="EN127" s="96"/>
      <c r="EO127" s="96"/>
      <c r="EP127" s="96"/>
      <c r="EQ127" s="96"/>
      <c r="ER127" s="96"/>
      <c r="ES127" s="96"/>
      <c r="ET127" s="96"/>
      <c r="EU127" s="96"/>
      <c r="EV127" s="96"/>
      <c r="EW127" s="96"/>
      <c r="EX127" s="96"/>
      <c r="EY127" s="96"/>
      <c r="EZ127" s="96"/>
      <c r="FA127" s="96"/>
      <c r="FB127" s="96"/>
      <c r="FC127" s="96"/>
      <c r="FD127" s="96"/>
      <c r="FE127" s="96"/>
      <c r="FF127" s="96"/>
      <c r="FG127" s="96"/>
      <c r="FH127" s="96"/>
      <c r="FI127" s="96"/>
      <c r="FJ127" s="96"/>
      <c r="FK127" s="96"/>
      <c r="FL127" s="96"/>
      <c r="FM127" s="96"/>
      <c r="FN127" s="96"/>
      <c r="FO127" s="96"/>
      <c r="FP127" s="96"/>
      <c r="FQ127" s="96"/>
      <c r="FR127" s="96"/>
      <c r="FS127" s="96"/>
      <c r="FT127" s="96"/>
      <c r="FU127" s="96"/>
      <c r="FV127" s="96"/>
      <c r="FW127" s="96"/>
      <c r="FX127" s="96"/>
      <c r="FY127" s="96"/>
      <c r="FZ127" s="96"/>
      <c r="GA127" s="96"/>
      <c r="GB127" s="96"/>
      <c r="GC127" s="96"/>
      <c r="GD127" s="96"/>
      <c r="GE127" s="96"/>
      <c r="GF127" s="96"/>
      <c r="GG127" s="96"/>
      <c r="GH127" s="96"/>
      <c r="GI127" s="96"/>
      <c r="GJ127" s="96"/>
      <c r="GK127" s="96"/>
      <c r="GL127" s="96"/>
      <c r="GM127" s="13"/>
      <c r="GN127" s="96"/>
      <c r="GO127" s="96"/>
      <c r="GP127" s="96"/>
      <c r="GQ127" s="96"/>
      <c r="GR127" s="96"/>
      <c r="GS127" s="96"/>
      <c r="GT127" s="96"/>
      <c r="GU127" s="96"/>
      <c r="GV127" s="96"/>
      <c r="GW127" s="96"/>
      <c r="GX127" s="96"/>
      <c r="GY127" s="96"/>
      <c r="GZ127" s="96"/>
      <c r="HA127" s="96"/>
      <c r="HB127" s="96"/>
      <c r="HC127" s="13"/>
      <c r="HD127" s="96"/>
      <c r="HE127" s="96"/>
      <c r="HF127" s="96"/>
      <c r="HG127" s="96"/>
      <c r="HH127" s="96"/>
      <c r="HI127" s="96"/>
      <c r="HJ127" s="96"/>
      <c r="HK127" s="96"/>
      <c r="HL127" s="96"/>
      <c r="HM127" s="96"/>
      <c r="HN127" s="96"/>
      <c r="HO127" s="96"/>
      <c r="HP127" s="96"/>
      <c r="HQ127" s="96"/>
      <c r="HR127" s="96"/>
      <c r="HS127" s="13"/>
      <c r="HT127" s="96"/>
      <c r="HU127" s="96"/>
      <c r="HV127" s="96"/>
      <c r="HW127" s="96"/>
      <c r="HX127" s="96"/>
      <c r="HY127" s="96"/>
      <c r="HZ127" s="96"/>
      <c r="IA127" s="96"/>
      <c r="IB127" s="96"/>
      <c r="IC127" s="96"/>
      <c r="ID127" s="96"/>
      <c r="IE127" s="96"/>
      <c r="IF127" s="96"/>
      <c r="IG127" s="96"/>
      <c r="IH127" s="96"/>
      <c r="II127" s="13"/>
      <c r="IJ127" s="96"/>
      <c r="IK127" s="96"/>
      <c r="IL127" s="96"/>
      <c r="IM127" s="96"/>
      <c r="IN127" s="96"/>
      <c r="IO127" s="96"/>
      <c r="IP127" s="96"/>
      <c r="IQ127" s="96"/>
      <c r="IR127" s="96"/>
      <c r="IS127" s="96"/>
      <c r="IT127" s="96"/>
      <c r="IU127" s="96"/>
      <c r="IV127" s="96"/>
      <c r="IW127" s="96"/>
      <c r="IX127" s="96"/>
      <c r="IY127" s="13"/>
    </row>
    <row r="128" spans="1:259" outlineLevel="1">
      <c r="A128" s="11">
        <f>'VAC &amp; MED'!C119</f>
        <v>46120</v>
      </c>
      <c r="B128" s="261"/>
      <c r="C128" s="261"/>
      <c r="D128" s="261"/>
      <c r="E128" s="261"/>
      <c r="F128" s="261"/>
      <c r="G128" s="261"/>
      <c r="H128" s="261"/>
      <c r="I128" s="261"/>
      <c r="J128" s="261"/>
      <c r="K128" s="261"/>
      <c r="L128" s="261"/>
      <c r="M128" s="261"/>
      <c r="N128" s="261"/>
      <c r="O128" s="261"/>
      <c r="P128" s="261"/>
      <c r="Q128" s="261"/>
      <c r="R128" s="262"/>
      <c r="S128" s="262"/>
      <c r="T128" s="262"/>
      <c r="U128" s="262"/>
      <c r="V128" s="262"/>
      <c r="W128" s="262"/>
      <c r="X128" s="262"/>
      <c r="Y128" s="262"/>
      <c r="Z128" s="262"/>
      <c r="AA128" s="262"/>
      <c r="AB128" s="262"/>
      <c r="AC128" s="262"/>
      <c r="AD128" s="262"/>
      <c r="AE128" s="262"/>
      <c r="AF128" s="262"/>
      <c r="AG128" s="262"/>
      <c r="AH128" s="263"/>
      <c r="AI128" s="263"/>
      <c r="AJ128" s="263"/>
      <c r="AK128" s="263"/>
      <c r="AL128" s="263"/>
      <c r="AM128" s="263"/>
      <c r="AN128" s="263"/>
      <c r="AO128" s="263"/>
      <c r="AP128" s="263"/>
      <c r="AQ128" s="263"/>
      <c r="AR128" s="263"/>
      <c r="AS128" s="263"/>
      <c r="AT128" s="263"/>
      <c r="AU128" s="263"/>
      <c r="AV128" s="263"/>
      <c r="AW128" s="263"/>
      <c r="AX128" s="264"/>
      <c r="AY128" s="264"/>
      <c r="AZ128" s="264"/>
      <c r="BA128" s="264"/>
      <c r="BB128" s="264"/>
      <c r="BC128" s="264"/>
      <c r="BD128" s="264"/>
      <c r="BE128" s="264"/>
      <c r="BF128" s="264"/>
      <c r="BG128" s="264"/>
      <c r="BH128" s="264"/>
      <c r="BI128" s="264"/>
      <c r="BJ128" s="264"/>
      <c r="BK128" s="264"/>
      <c r="BL128" s="264"/>
      <c r="BM128" s="264"/>
      <c r="BN128" s="265"/>
      <c r="BO128" s="265"/>
      <c r="BP128" s="265"/>
      <c r="BQ128" s="265"/>
      <c r="BR128" s="265"/>
      <c r="BS128" s="265"/>
      <c r="BT128" s="265"/>
      <c r="BU128" s="265"/>
      <c r="BV128" s="265"/>
      <c r="BW128" s="265"/>
      <c r="BX128" s="265"/>
      <c r="BY128" s="265"/>
      <c r="BZ128" s="265"/>
      <c r="CA128" s="265"/>
      <c r="CB128" s="265"/>
      <c r="CC128" s="265"/>
      <c r="CD128" s="266"/>
      <c r="CE128" s="266"/>
      <c r="CF128" s="266"/>
      <c r="CG128" s="266"/>
      <c r="CH128" s="266"/>
      <c r="CI128" s="266"/>
      <c r="CJ128" s="266"/>
      <c r="CK128" s="266"/>
      <c r="CL128" s="266"/>
      <c r="CM128" s="266"/>
      <c r="CN128" s="266"/>
      <c r="CO128" s="266"/>
      <c r="CP128" s="266"/>
      <c r="CQ128" s="266"/>
      <c r="CR128" s="266"/>
      <c r="CS128" s="266"/>
      <c r="CT128" s="267"/>
      <c r="CU128" s="267">
        <v>70</v>
      </c>
      <c r="CV128" s="267"/>
      <c r="CW128" s="267"/>
      <c r="CX128" s="267"/>
      <c r="CY128" s="267"/>
      <c r="CZ128" s="267"/>
      <c r="DA128" s="267"/>
      <c r="DB128" s="267"/>
      <c r="DC128" s="267"/>
      <c r="DD128" s="267"/>
      <c r="DE128" s="267"/>
      <c r="DF128" s="267"/>
      <c r="DG128" s="267"/>
      <c r="DH128" s="267"/>
      <c r="DI128" s="267"/>
      <c r="DJ128" s="268"/>
      <c r="DK128" s="268"/>
      <c r="DL128" s="268"/>
      <c r="DM128" s="268"/>
      <c r="DN128" s="268"/>
      <c r="DO128" s="268"/>
      <c r="DP128" s="268"/>
      <c r="DQ128" s="268"/>
      <c r="DR128" s="268"/>
      <c r="DS128" s="268"/>
      <c r="DT128" s="268"/>
      <c r="DU128" s="268"/>
      <c r="DV128" s="268"/>
      <c r="DW128" s="268"/>
      <c r="DX128" s="268"/>
      <c r="DY128" s="268"/>
      <c r="EA128" s="13"/>
      <c r="EB128" s="96"/>
      <c r="EC128" s="96"/>
      <c r="ED128" s="96"/>
      <c r="EE128" s="96"/>
      <c r="EF128" s="96"/>
      <c r="EG128" s="96"/>
      <c r="EH128" s="96"/>
      <c r="EI128" s="96"/>
      <c r="EJ128" s="96"/>
      <c r="EK128" s="96"/>
      <c r="EL128" s="96"/>
      <c r="EM128" s="96"/>
      <c r="EN128" s="96"/>
      <c r="EO128" s="96"/>
      <c r="EP128" s="96"/>
      <c r="EQ128" s="96"/>
      <c r="ER128" s="96"/>
      <c r="ES128" s="96"/>
      <c r="ET128" s="96"/>
      <c r="EU128" s="96"/>
      <c r="EV128" s="96"/>
      <c r="EW128" s="96"/>
      <c r="EX128" s="96"/>
      <c r="EY128" s="96"/>
      <c r="EZ128" s="96"/>
      <c r="FA128" s="96"/>
      <c r="FB128" s="96"/>
      <c r="FC128" s="96"/>
      <c r="FD128" s="96"/>
      <c r="FE128" s="96"/>
      <c r="FF128" s="96"/>
      <c r="FG128" s="96"/>
      <c r="FH128" s="96"/>
      <c r="FI128" s="96"/>
      <c r="FJ128" s="96"/>
      <c r="FK128" s="96"/>
      <c r="FL128" s="96"/>
      <c r="FM128" s="96"/>
      <c r="FN128" s="96"/>
      <c r="FO128" s="96"/>
      <c r="FP128" s="96"/>
      <c r="FQ128" s="96"/>
      <c r="FR128" s="96"/>
      <c r="FS128" s="96"/>
      <c r="FT128" s="96"/>
      <c r="FU128" s="96"/>
      <c r="FV128" s="96"/>
      <c r="FW128" s="96"/>
      <c r="FX128" s="96"/>
      <c r="FY128" s="96"/>
      <c r="FZ128" s="96"/>
      <c r="GA128" s="96"/>
      <c r="GB128" s="96"/>
      <c r="GC128" s="96"/>
      <c r="GD128" s="96"/>
      <c r="GE128" s="96"/>
      <c r="GF128" s="96"/>
      <c r="GG128" s="96"/>
      <c r="GH128" s="96"/>
      <c r="GI128" s="96"/>
      <c r="GJ128" s="96"/>
      <c r="GK128" s="96"/>
      <c r="GL128" s="96"/>
      <c r="GM128" s="13"/>
      <c r="GN128" s="96"/>
      <c r="GO128" s="96"/>
      <c r="GP128" s="96"/>
      <c r="GQ128" s="96"/>
      <c r="GR128" s="96"/>
      <c r="GS128" s="96"/>
      <c r="GT128" s="96"/>
      <c r="GU128" s="96"/>
      <c r="GV128" s="96"/>
      <c r="GW128" s="96"/>
      <c r="GX128" s="96"/>
      <c r="GY128" s="96"/>
      <c r="GZ128" s="96"/>
      <c r="HA128" s="96"/>
      <c r="HB128" s="96"/>
      <c r="HC128" s="13"/>
      <c r="HD128" s="96"/>
      <c r="HE128" s="96"/>
      <c r="HF128" s="96"/>
      <c r="HG128" s="96"/>
      <c r="HH128" s="96"/>
      <c r="HI128" s="96"/>
      <c r="HJ128" s="96"/>
      <c r="HK128" s="96"/>
      <c r="HL128" s="96"/>
      <c r="HM128" s="96"/>
      <c r="HN128" s="96"/>
      <c r="HO128" s="96"/>
      <c r="HP128" s="96"/>
      <c r="HQ128" s="96"/>
      <c r="HR128" s="96"/>
      <c r="HS128" s="13"/>
      <c r="HT128" s="96"/>
      <c r="HU128" s="96"/>
      <c r="HV128" s="96"/>
      <c r="HW128" s="96"/>
      <c r="HX128" s="96"/>
      <c r="HY128" s="96"/>
      <c r="HZ128" s="96"/>
      <c r="IA128" s="96"/>
      <c r="IB128" s="96"/>
      <c r="IC128" s="96"/>
      <c r="ID128" s="96"/>
      <c r="IE128" s="96"/>
      <c r="IF128" s="96"/>
      <c r="IG128" s="96"/>
      <c r="IH128" s="96"/>
      <c r="II128" s="13"/>
      <c r="IJ128" s="96"/>
      <c r="IK128" s="96"/>
      <c r="IL128" s="96"/>
      <c r="IM128" s="96"/>
      <c r="IN128" s="96"/>
      <c r="IO128" s="96"/>
      <c r="IP128" s="96"/>
      <c r="IQ128" s="96"/>
      <c r="IR128" s="96"/>
      <c r="IS128" s="96"/>
      <c r="IT128" s="96"/>
      <c r="IU128" s="96"/>
      <c r="IV128" s="96"/>
      <c r="IW128" s="96"/>
      <c r="IX128" s="96"/>
      <c r="IY128" s="13"/>
    </row>
    <row r="129" spans="1:259" outlineLevel="1">
      <c r="A129" s="11">
        <f>'VAC &amp; MED'!C120</f>
        <v>46121</v>
      </c>
      <c r="B129" s="261"/>
      <c r="C129" s="261"/>
      <c r="D129" s="261"/>
      <c r="E129" s="261"/>
      <c r="F129" s="261"/>
      <c r="G129" s="261"/>
      <c r="H129" s="261"/>
      <c r="I129" s="261"/>
      <c r="J129" s="261"/>
      <c r="K129" s="261"/>
      <c r="L129" s="261"/>
      <c r="M129" s="261"/>
      <c r="N129" s="261"/>
      <c r="O129" s="261"/>
      <c r="P129" s="261"/>
      <c r="Q129" s="261"/>
      <c r="R129" s="262"/>
      <c r="S129" s="262"/>
      <c r="T129" s="262"/>
      <c r="U129" s="262"/>
      <c r="V129" s="262"/>
      <c r="W129" s="262"/>
      <c r="X129" s="262"/>
      <c r="Y129" s="262"/>
      <c r="Z129" s="262"/>
      <c r="AA129" s="262"/>
      <c r="AB129" s="262"/>
      <c r="AC129" s="262"/>
      <c r="AD129" s="262"/>
      <c r="AE129" s="262"/>
      <c r="AF129" s="262"/>
      <c r="AG129" s="262"/>
      <c r="AH129" s="263"/>
      <c r="AI129" s="263"/>
      <c r="AJ129" s="263"/>
      <c r="AK129" s="263"/>
      <c r="AL129" s="263"/>
      <c r="AM129" s="263"/>
      <c r="AN129" s="263"/>
      <c r="AO129" s="263"/>
      <c r="AP129" s="263"/>
      <c r="AQ129" s="263"/>
      <c r="AR129" s="263"/>
      <c r="AS129" s="263"/>
      <c r="AT129" s="263"/>
      <c r="AU129" s="263"/>
      <c r="AV129" s="263"/>
      <c r="AW129" s="263"/>
      <c r="AX129" s="264"/>
      <c r="AY129" s="264"/>
      <c r="AZ129" s="264"/>
      <c r="BA129" s="264"/>
      <c r="BB129" s="264"/>
      <c r="BC129" s="264"/>
      <c r="BD129" s="264"/>
      <c r="BE129" s="264"/>
      <c r="BF129" s="264"/>
      <c r="BG129" s="264"/>
      <c r="BH129" s="264"/>
      <c r="BI129" s="264"/>
      <c r="BJ129" s="264"/>
      <c r="BK129" s="264"/>
      <c r="BL129" s="264"/>
      <c r="BM129" s="264"/>
      <c r="BN129" s="265"/>
      <c r="BO129" s="265"/>
      <c r="BP129" s="265"/>
      <c r="BQ129" s="265"/>
      <c r="BR129" s="265"/>
      <c r="BS129" s="265"/>
      <c r="BT129" s="265"/>
      <c r="BU129" s="265"/>
      <c r="BV129" s="265"/>
      <c r="BW129" s="265"/>
      <c r="BX129" s="265"/>
      <c r="BY129" s="265"/>
      <c r="BZ129" s="265"/>
      <c r="CA129" s="265"/>
      <c r="CB129" s="265"/>
      <c r="CC129" s="265"/>
      <c r="CD129" s="266"/>
      <c r="CE129" s="266"/>
      <c r="CF129" s="266"/>
      <c r="CG129" s="266"/>
      <c r="CH129" s="266"/>
      <c r="CI129" s="266"/>
      <c r="CJ129" s="266"/>
      <c r="CK129" s="266"/>
      <c r="CL129" s="266"/>
      <c r="CM129" s="266"/>
      <c r="CN129" s="266"/>
      <c r="CO129" s="266"/>
      <c r="CP129" s="266"/>
      <c r="CQ129" s="266"/>
      <c r="CR129" s="266"/>
      <c r="CS129" s="266"/>
      <c r="CT129" s="267"/>
      <c r="CU129" s="267">
        <v>30</v>
      </c>
      <c r="CV129" s="267"/>
      <c r="CW129" s="267"/>
      <c r="CX129" s="267"/>
      <c r="CY129" s="267"/>
      <c r="CZ129" s="267"/>
      <c r="DA129" s="267"/>
      <c r="DB129" s="267"/>
      <c r="DC129" s="267"/>
      <c r="DD129" s="267"/>
      <c r="DE129" s="267"/>
      <c r="DF129" s="267"/>
      <c r="DG129" s="267"/>
      <c r="DH129" s="267"/>
      <c r="DI129" s="267"/>
      <c r="DJ129" s="268"/>
      <c r="DK129" s="268"/>
      <c r="DL129" s="268"/>
      <c r="DM129" s="268"/>
      <c r="DN129" s="268"/>
      <c r="DO129" s="268"/>
      <c r="DP129" s="268"/>
      <c r="DQ129" s="268"/>
      <c r="DR129" s="268"/>
      <c r="DS129" s="268"/>
      <c r="DT129" s="268"/>
      <c r="DU129" s="268"/>
      <c r="DV129" s="268"/>
      <c r="DW129" s="268"/>
      <c r="DX129" s="268"/>
      <c r="DY129" s="268"/>
      <c r="EA129" s="13"/>
      <c r="EB129" s="96"/>
      <c r="EC129" s="96"/>
      <c r="ED129" s="96"/>
      <c r="EE129" s="96"/>
      <c r="EF129" s="96"/>
      <c r="EG129" s="96"/>
      <c r="EH129" s="96"/>
      <c r="EI129" s="96"/>
      <c r="EJ129" s="96"/>
      <c r="EK129" s="96"/>
      <c r="EL129" s="96"/>
      <c r="EM129" s="96"/>
      <c r="EN129" s="96"/>
      <c r="EO129" s="96"/>
      <c r="EP129" s="96"/>
      <c r="EQ129" s="96"/>
      <c r="ER129" s="96"/>
      <c r="ES129" s="96"/>
      <c r="ET129" s="96"/>
      <c r="EU129" s="96"/>
      <c r="EV129" s="96"/>
      <c r="EW129" s="96"/>
      <c r="EX129" s="96"/>
      <c r="EY129" s="96"/>
      <c r="EZ129" s="96"/>
      <c r="FA129" s="96"/>
      <c r="FB129" s="96"/>
      <c r="FC129" s="96"/>
      <c r="FD129" s="96"/>
      <c r="FE129" s="96"/>
      <c r="FF129" s="96"/>
      <c r="FG129" s="96"/>
      <c r="FH129" s="96"/>
      <c r="FI129" s="96"/>
      <c r="FJ129" s="96"/>
      <c r="FK129" s="96"/>
      <c r="FL129" s="96"/>
      <c r="FM129" s="96"/>
      <c r="FN129" s="96"/>
      <c r="FO129" s="96"/>
      <c r="FP129" s="96"/>
      <c r="FQ129" s="96"/>
      <c r="FR129" s="96"/>
      <c r="FS129" s="96"/>
      <c r="FT129" s="96"/>
      <c r="FU129" s="96"/>
      <c r="FV129" s="96"/>
      <c r="FW129" s="96"/>
      <c r="FX129" s="96"/>
      <c r="FY129" s="96"/>
      <c r="FZ129" s="96"/>
      <c r="GA129" s="96"/>
      <c r="GB129" s="96"/>
      <c r="GC129" s="96"/>
      <c r="GD129" s="96"/>
      <c r="GE129" s="96"/>
      <c r="GF129" s="96"/>
      <c r="GG129" s="96"/>
      <c r="GH129" s="96"/>
      <c r="GI129" s="96"/>
      <c r="GJ129" s="96"/>
      <c r="GK129" s="96"/>
      <c r="GL129" s="96"/>
      <c r="GM129" s="13"/>
      <c r="GN129" s="96"/>
      <c r="GO129" s="96"/>
      <c r="GP129" s="96"/>
      <c r="GQ129" s="96"/>
      <c r="GR129" s="96"/>
      <c r="GS129" s="96"/>
      <c r="GT129" s="96"/>
      <c r="GU129" s="96"/>
      <c r="GV129" s="96"/>
      <c r="GW129" s="96"/>
      <c r="GX129" s="96"/>
      <c r="GY129" s="96"/>
      <c r="GZ129" s="96"/>
      <c r="HA129" s="96"/>
      <c r="HB129" s="96"/>
      <c r="HC129" s="13"/>
      <c r="HD129" s="96"/>
      <c r="HE129" s="96"/>
      <c r="HF129" s="96"/>
      <c r="HG129" s="96"/>
      <c r="HH129" s="96"/>
      <c r="HI129" s="96"/>
      <c r="HJ129" s="96"/>
      <c r="HK129" s="96"/>
      <c r="HL129" s="96"/>
      <c r="HM129" s="96"/>
      <c r="HN129" s="96"/>
      <c r="HO129" s="96"/>
      <c r="HP129" s="96"/>
      <c r="HQ129" s="96"/>
      <c r="HR129" s="96"/>
      <c r="HS129" s="13"/>
      <c r="HT129" s="96"/>
      <c r="HU129" s="96"/>
      <c r="HV129" s="96"/>
      <c r="HW129" s="96"/>
      <c r="HX129" s="96"/>
      <c r="HY129" s="96"/>
      <c r="HZ129" s="96"/>
      <c r="IA129" s="96"/>
      <c r="IB129" s="96"/>
      <c r="IC129" s="96"/>
      <c r="ID129" s="96"/>
      <c r="IE129" s="96"/>
      <c r="IF129" s="96"/>
      <c r="IG129" s="96"/>
      <c r="IH129" s="96"/>
      <c r="II129" s="13"/>
      <c r="IJ129" s="96"/>
      <c r="IK129" s="96"/>
      <c r="IL129" s="96"/>
      <c r="IM129" s="96"/>
      <c r="IN129" s="96"/>
      <c r="IO129" s="96"/>
      <c r="IP129" s="96"/>
      <c r="IQ129" s="96"/>
      <c r="IR129" s="96"/>
      <c r="IS129" s="96"/>
      <c r="IT129" s="96"/>
      <c r="IU129" s="96"/>
      <c r="IV129" s="96"/>
      <c r="IW129" s="96"/>
      <c r="IX129" s="96"/>
      <c r="IY129" s="13"/>
    </row>
    <row r="130" spans="1:259" outlineLevel="1">
      <c r="A130" s="11">
        <f>'VAC &amp; MED'!C121</f>
        <v>46122</v>
      </c>
      <c r="B130" s="261"/>
      <c r="C130" s="261"/>
      <c r="D130" s="261"/>
      <c r="E130" s="261"/>
      <c r="F130" s="261"/>
      <c r="G130" s="261"/>
      <c r="H130" s="261"/>
      <c r="I130" s="261"/>
      <c r="J130" s="261"/>
      <c r="K130" s="261"/>
      <c r="L130" s="261"/>
      <c r="M130" s="261"/>
      <c r="N130" s="261"/>
      <c r="O130" s="261"/>
      <c r="P130" s="261"/>
      <c r="Q130" s="261"/>
      <c r="R130" s="262"/>
      <c r="S130" s="262"/>
      <c r="T130" s="262"/>
      <c r="U130" s="262"/>
      <c r="V130" s="262"/>
      <c r="W130" s="262"/>
      <c r="X130" s="262"/>
      <c r="Y130" s="262"/>
      <c r="Z130" s="262"/>
      <c r="AA130" s="262"/>
      <c r="AB130" s="262"/>
      <c r="AC130" s="262"/>
      <c r="AD130" s="262"/>
      <c r="AE130" s="262"/>
      <c r="AF130" s="262"/>
      <c r="AG130" s="262"/>
      <c r="AH130" s="263"/>
      <c r="AI130" s="263"/>
      <c r="AJ130" s="263"/>
      <c r="AK130" s="263"/>
      <c r="AL130" s="263"/>
      <c r="AM130" s="263"/>
      <c r="AN130" s="263"/>
      <c r="AO130" s="263"/>
      <c r="AP130" s="263"/>
      <c r="AQ130" s="263"/>
      <c r="AR130" s="263"/>
      <c r="AS130" s="263"/>
      <c r="AT130" s="263"/>
      <c r="AU130" s="263"/>
      <c r="AV130" s="263"/>
      <c r="AW130" s="263"/>
      <c r="AX130" s="264"/>
      <c r="AY130" s="264"/>
      <c r="AZ130" s="264"/>
      <c r="BA130" s="264"/>
      <c r="BB130" s="264"/>
      <c r="BC130" s="264"/>
      <c r="BD130" s="264"/>
      <c r="BE130" s="264"/>
      <c r="BF130" s="264"/>
      <c r="BG130" s="264"/>
      <c r="BH130" s="264"/>
      <c r="BI130" s="264"/>
      <c r="BJ130" s="264"/>
      <c r="BK130" s="264"/>
      <c r="BL130" s="264"/>
      <c r="BM130" s="264"/>
      <c r="BN130" s="265"/>
      <c r="BO130" s="265"/>
      <c r="BP130" s="265"/>
      <c r="BQ130" s="265"/>
      <c r="BR130" s="265"/>
      <c r="BS130" s="265"/>
      <c r="BT130" s="265"/>
      <c r="BU130" s="265"/>
      <c r="BV130" s="265"/>
      <c r="BW130" s="265"/>
      <c r="BX130" s="265"/>
      <c r="BY130" s="265"/>
      <c r="BZ130" s="265"/>
      <c r="CA130" s="265"/>
      <c r="CB130" s="265"/>
      <c r="CC130" s="265"/>
      <c r="CD130" s="266"/>
      <c r="CE130" s="266"/>
      <c r="CF130" s="266"/>
      <c r="CG130" s="266"/>
      <c r="CH130" s="266"/>
      <c r="CI130" s="266"/>
      <c r="CJ130" s="266"/>
      <c r="CK130" s="266"/>
      <c r="CL130" s="266"/>
      <c r="CM130" s="266"/>
      <c r="CN130" s="266"/>
      <c r="CO130" s="266"/>
      <c r="CP130" s="266"/>
      <c r="CQ130" s="266"/>
      <c r="CR130" s="266"/>
      <c r="CS130" s="266"/>
      <c r="CT130" s="267"/>
      <c r="CU130" s="267"/>
      <c r="CV130" s="267"/>
      <c r="CW130" s="267"/>
      <c r="CX130" s="267"/>
      <c r="CY130" s="267"/>
      <c r="CZ130" s="267"/>
      <c r="DA130" s="267"/>
      <c r="DB130" s="267"/>
      <c r="DC130" s="267"/>
      <c r="DD130" s="267"/>
      <c r="DE130" s="267"/>
      <c r="DF130" s="267"/>
      <c r="DG130" s="267"/>
      <c r="DH130" s="267"/>
      <c r="DI130" s="267"/>
      <c r="DJ130" s="268"/>
      <c r="DK130" s="268"/>
      <c r="DL130" s="268">
        <v>26</v>
      </c>
      <c r="DM130" s="268"/>
      <c r="DN130" s="268"/>
      <c r="DO130" s="268"/>
      <c r="DP130" s="268"/>
      <c r="DQ130" s="268"/>
      <c r="DR130" s="268"/>
      <c r="DS130" s="268"/>
      <c r="DT130" s="268"/>
      <c r="DU130" s="268"/>
      <c r="DV130" s="268"/>
      <c r="DW130" s="268"/>
      <c r="DX130" s="268"/>
      <c r="DY130" s="268"/>
      <c r="EA130" s="13"/>
      <c r="EB130" s="96"/>
      <c r="EC130" s="96"/>
      <c r="ED130" s="96"/>
      <c r="EE130" s="96"/>
      <c r="EF130" s="96"/>
      <c r="EG130" s="96"/>
      <c r="EH130" s="96"/>
      <c r="EI130" s="96"/>
      <c r="EJ130" s="96"/>
      <c r="EK130" s="96"/>
      <c r="EL130" s="96"/>
      <c r="EM130" s="96"/>
      <c r="EN130" s="96"/>
      <c r="EO130" s="96"/>
      <c r="EP130" s="96"/>
      <c r="EQ130" s="96"/>
      <c r="ER130" s="96"/>
      <c r="ES130" s="96"/>
      <c r="ET130" s="96"/>
      <c r="EU130" s="96"/>
      <c r="EV130" s="96"/>
      <c r="EW130" s="96"/>
      <c r="EX130" s="96"/>
      <c r="EY130" s="96"/>
      <c r="EZ130" s="96"/>
      <c r="FA130" s="96"/>
      <c r="FB130" s="96"/>
      <c r="FC130" s="96"/>
      <c r="FD130" s="96"/>
      <c r="FE130" s="96"/>
      <c r="FF130" s="96"/>
      <c r="FG130" s="96"/>
      <c r="FH130" s="96"/>
      <c r="FI130" s="96"/>
      <c r="FJ130" s="96"/>
      <c r="FK130" s="96"/>
      <c r="FL130" s="96"/>
      <c r="FM130" s="96"/>
      <c r="FN130" s="96"/>
      <c r="FO130" s="96"/>
      <c r="FP130" s="96"/>
      <c r="FQ130" s="96"/>
      <c r="FR130" s="96"/>
      <c r="FS130" s="96"/>
      <c r="FT130" s="96"/>
      <c r="FU130" s="96"/>
      <c r="FV130" s="96"/>
      <c r="FW130" s="96"/>
      <c r="FX130" s="96"/>
      <c r="FY130" s="96"/>
      <c r="FZ130" s="96"/>
      <c r="GA130" s="96"/>
      <c r="GB130" s="96"/>
      <c r="GC130" s="96"/>
      <c r="GD130" s="96"/>
      <c r="GE130" s="96"/>
      <c r="GF130" s="96"/>
      <c r="GG130" s="96"/>
      <c r="GH130" s="96"/>
      <c r="GI130" s="96"/>
      <c r="GJ130" s="96"/>
      <c r="GK130" s="96"/>
      <c r="GL130" s="96"/>
      <c r="GM130" s="13"/>
      <c r="GN130" s="96"/>
      <c r="GO130" s="96"/>
      <c r="GP130" s="96"/>
      <c r="GQ130" s="96"/>
      <c r="GR130" s="96"/>
      <c r="GS130" s="96"/>
      <c r="GT130" s="96"/>
      <c r="GU130" s="96"/>
      <c r="GV130" s="96"/>
      <c r="GW130" s="96"/>
      <c r="GX130" s="96"/>
      <c r="GY130" s="96"/>
      <c r="GZ130" s="96"/>
      <c r="HA130" s="96"/>
      <c r="HB130" s="96"/>
      <c r="HC130" s="13"/>
      <c r="HD130" s="96"/>
      <c r="HE130" s="96"/>
      <c r="HF130" s="96"/>
      <c r="HG130" s="96"/>
      <c r="HH130" s="96"/>
      <c r="HI130" s="96"/>
      <c r="HJ130" s="96"/>
      <c r="HK130" s="96"/>
      <c r="HL130" s="96"/>
      <c r="HM130" s="96"/>
      <c r="HN130" s="96"/>
      <c r="HO130" s="96"/>
      <c r="HP130" s="96"/>
      <c r="HQ130" s="96"/>
      <c r="HR130" s="96"/>
      <c r="HS130" s="13"/>
      <c r="HT130" s="96"/>
      <c r="HU130" s="96"/>
      <c r="HV130" s="96"/>
      <c r="HW130" s="96"/>
      <c r="HX130" s="96"/>
      <c r="HY130" s="96"/>
      <c r="HZ130" s="96"/>
      <c r="IA130" s="96"/>
      <c r="IB130" s="96"/>
      <c r="IC130" s="96"/>
      <c r="ID130" s="96"/>
      <c r="IE130" s="96"/>
      <c r="IF130" s="96"/>
      <c r="IG130" s="96"/>
      <c r="IH130" s="96"/>
      <c r="II130" s="13"/>
      <c r="IJ130" s="96"/>
      <c r="IK130" s="96"/>
      <c r="IL130" s="96"/>
      <c r="IM130" s="96"/>
      <c r="IN130" s="96"/>
      <c r="IO130" s="96"/>
      <c r="IP130" s="96"/>
      <c r="IQ130" s="96"/>
      <c r="IR130" s="96"/>
      <c r="IS130" s="96"/>
      <c r="IT130" s="96"/>
      <c r="IU130" s="96"/>
      <c r="IV130" s="96"/>
      <c r="IW130" s="96"/>
      <c r="IX130" s="96"/>
      <c r="IY130" s="13"/>
    </row>
    <row r="131" spans="1:259" outlineLevel="1">
      <c r="A131" s="11">
        <f>'VAC &amp; MED'!C122</f>
        <v>46123</v>
      </c>
      <c r="B131" s="261"/>
      <c r="C131" s="261"/>
      <c r="D131" s="261"/>
      <c r="E131" s="261"/>
      <c r="F131" s="261"/>
      <c r="G131" s="261"/>
      <c r="H131" s="261"/>
      <c r="I131" s="261"/>
      <c r="J131" s="261"/>
      <c r="K131" s="261"/>
      <c r="L131" s="261"/>
      <c r="M131" s="261"/>
      <c r="N131" s="261"/>
      <c r="O131" s="261"/>
      <c r="P131" s="261"/>
      <c r="Q131" s="261"/>
      <c r="R131" s="262">
        <v>50</v>
      </c>
      <c r="S131" s="262"/>
      <c r="T131" s="262"/>
      <c r="U131" s="262"/>
      <c r="V131" s="262"/>
      <c r="W131" s="262"/>
      <c r="X131" s="262"/>
      <c r="Y131" s="262"/>
      <c r="Z131" s="262"/>
      <c r="AA131" s="262"/>
      <c r="AB131" s="262"/>
      <c r="AC131" s="262"/>
      <c r="AD131" s="262"/>
      <c r="AE131" s="262"/>
      <c r="AF131" s="262"/>
      <c r="AG131" s="262"/>
      <c r="AH131" s="263"/>
      <c r="AI131" s="263"/>
      <c r="AJ131" s="263"/>
      <c r="AK131" s="263"/>
      <c r="AL131" s="263"/>
      <c r="AM131" s="263"/>
      <c r="AN131" s="263"/>
      <c r="AO131" s="263"/>
      <c r="AP131" s="263"/>
      <c r="AQ131" s="263"/>
      <c r="AR131" s="263"/>
      <c r="AS131" s="263"/>
      <c r="AT131" s="263"/>
      <c r="AU131" s="263"/>
      <c r="AV131" s="263"/>
      <c r="AW131" s="263"/>
      <c r="AX131" s="264"/>
      <c r="AY131" s="264"/>
      <c r="AZ131" s="264"/>
      <c r="BA131" s="264"/>
      <c r="BB131" s="264"/>
      <c r="BC131" s="264"/>
      <c r="BD131" s="264"/>
      <c r="BE131" s="264"/>
      <c r="BF131" s="264"/>
      <c r="BG131" s="264"/>
      <c r="BH131" s="264"/>
      <c r="BI131" s="264"/>
      <c r="BJ131" s="264"/>
      <c r="BK131" s="264"/>
      <c r="BL131" s="264"/>
      <c r="BM131" s="264"/>
      <c r="BN131" s="265"/>
      <c r="BO131" s="265"/>
      <c r="BP131" s="265"/>
      <c r="BQ131" s="265"/>
      <c r="BR131" s="265"/>
      <c r="BS131" s="265"/>
      <c r="BT131" s="265"/>
      <c r="BU131" s="265"/>
      <c r="BV131" s="265"/>
      <c r="BW131" s="265"/>
      <c r="BX131" s="265"/>
      <c r="BY131" s="265"/>
      <c r="BZ131" s="265"/>
      <c r="CA131" s="265"/>
      <c r="CB131" s="265"/>
      <c r="CC131" s="265"/>
      <c r="CD131" s="266"/>
      <c r="CE131" s="266"/>
      <c r="CF131" s="266"/>
      <c r="CG131" s="266"/>
      <c r="CH131" s="266"/>
      <c r="CI131" s="266"/>
      <c r="CJ131" s="266"/>
      <c r="CK131" s="266"/>
      <c r="CL131" s="266"/>
      <c r="CM131" s="266"/>
      <c r="CN131" s="266"/>
      <c r="CO131" s="266"/>
      <c r="CP131" s="266"/>
      <c r="CQ131" s="266"/>
      <c r="CR131" s="266"/>
      <c r="CS131" s="266"/>
      <c r="CT131" s="267"/>
      <c r="CU131" s="267">
        <v>20</v>
      </c>
      <c r="CV131" s="267"/>
      <c r="CW131" s="267"/>
      <c r="CX131" s="267"/>
      <c r="CY131" s="267"/>
      <c r="CZ131" s="267"/>
      <c r="DA131" s="267"/>
      <c r="DB131" s="267"/>
      <c r="DC131" s="267"/>
      <c r="DD131" s="267"/>
      <c r="DE131" s="267"/>
      <c r="DF131" s="267"/>
      <c r="DG131" s="267"/>
      <c r="DH131" s="267"/>
      <c r="DI131" s="267"/>
      <c r="DJ131" s="268"/>
      <c r="DK131" s="268"/>
      <c r="DL131" s="268"/>
      <c r="DM131" s="268"/>
      <c r="DN131" s="268"/>
      <c r="DO131" s="268"/>
      <c r="DP131" s="268"/>
      <c r="DQ131" s="268"/>
      <c r="DR131" s="268"/>
      <c r="DS131" s="268"/>
      <c r="DT131" s="268"/>
      <c r="DU131" s="268"/>
      <c r="DV131" s="268"/>
      <c r="DW131" s="268"/>
      <c r="DX131" s="268"/>
      <c r="DY131" s="268"/>
      <c r="EA131" s="13"/>
      <c r="EB131" s="96"/>
      <c r="EC131" s="96"/>
      <c r="ED131" s="96"/>
      <c r="EE131" s="96"/>
      <c r="EF131" s="96"/>
      <c r="EG131" s="96"/>
      <c r="EH131" s="96"/>
      <c r="EI131" s="96"/>
      <c r="EJ131" s="96"/>
      <c r="EK131" s="96"/>
      <c r="EL131" s="96"/>
      <c r="EM131" s="96"/>
      <c r="EN131" s="96"/>
      <c r="EO131" s="96"/>
      <c r="EP131" s="96"/>
      <c r="EQ131" s="96"/>
      <c r="ER131" s="96"/>
      <c r="ES131" s="96"/>
      <c r="ET131" s="96"/>
      <c r="EU131" s="96"/>
      <c r="EV131" s="96"/>
      <c r="EW131" s="96"/>
      <c r="EX131" s="96"/>
      <c r="EY131" s="96"/>
      <c r="EZ131" s="96"/>
      <c r="FA131" s="96"/>
      <c r="FB131" s="96"/>
      <c r="FC131" s="96"/>
      <c r="FD131" s="96"/>
      <c r="FE131" s="96"/>
      <c r="FF131" s="96"/>
      <c r="FG131" s="96"/>
      <c r="FH131" s="96"/>
      <c r="FI131" s="96"/>
      <c r="FJ131" s="96"/>
      <c r="FK131" s="96"/>
      <c r="FL131" s="96"/>
      <c r="FM131" s="96"/>
      <c r="FN131" s="96"/>
      <c r="FO131" s="96"/>
      <c r="FP131" s="96"/>
      <c r="FQ131" s="96"/>
      <c r="FR131" s="96"/>
      <c r="FS131" s="96"/>
      <c r="FT131" s="96"/>
      <c r="FU131" s="96"/>
      <c r="FV131" s="96"/>
      <c r="FW131" s="96"/>
      <c r="FX131" s="96"/>
      <c r="FY131" s="96"/>
      <c r="FZ131" s="96"/>
      <c r="GA131" s="96"/>
      <c r="GB131" s="96"/>
      <c r="GC131" s="96"/>
      <c r="GD131" s="96"/>
      <c r="GE131" s="96"/>
      <c r="GF131" s="96"/>
      <c r="GG131" s="96"/>
      <c r="GH131" s="96"/>
      <c r="GI131" s="96"/>
      <c r="GJ131" s="96"/>
      <c r="GK131" s="96"/>
      <c r="GL131" s="96"/>
      <c r="GM131" s="13"/>
      <c r="GN131" s="96"/>
      <c r="GO131" s="96"/>
      <c r="GP131" s="96"/>
      <c r="GQ131" s="96"/>
      <c r="GR131" s="96"/>
      <c r="GS131" s="96"/>
      <c r="GT131" s="96"/>
      <c r="GU131" s="96"/>
      <c r="GV131" s="96"/>
      <c r="GW131" s="96"/>
      <c r="GX131" s="96"/>
      <c r="GY131" s="96"/>
      <c r="GZ131" s="96"/>
      <c r="HA131" s="96"/>
      <c r="HB131" s="96"/>
      <c r="HC131" s="13"/>
      <c r="HD131" s="96"/>
      <c r="HE131" s="96"/>
      <c r="HF131" s="96"/>
      <c r="HG131" s="96"/>
      <c r="HH131" s="96"/>
      <c r="HI131" s="96"/>
      <c r="HJ131" s="96"/>
      <c r="HK131" s="96"/>
      <c r="HL131" s="96"/>
      <c r="HM131" s="96"/>
      <c r="HN131" s="96"/>
      <c r="HO131" s="96"/>
      <c r="HP131" s="96"/>
      <c r="HQ131" s="96"/>
      <c r="HR131" s="96"/>
      <c r="HS131" s="13"/>
      <c r="HT131" s="96"/>
      <c r="HU131" s="96"/>
      <c r="HV131" s="96"/>
      <c r="HW131" s="96"/>
      <c r="HX131" s="96"/>
      <c r="HY131" s="96"/>
      <c r="HZ131" s="96"/>
      <c r="IA131" s="96"/>
      <c r="IB131" s="96"/>
      <c r="IC131" s="96"/>
      <c r="ID131" s="96"/>
      <c r="IE131" s="96"/>
      <c r="IF131" s="96"/>
      <c r="IG131" s="96"/>
      <c r="IH131" s="96"/>
      <c r="II131" s="13"/>
      <c r="IJ131" s="96"/>
      <c r="IK131" s="96"/>
      <c r="IL131" s="96"/>
      <c r="IM131" s="96"/>
      <c r="IN131" s="96"/>
      <c r="IO131" s="96"/>
      <c r="IP131" s="96"/>
      <c r="IQ131" s="96"/>
      <c r="IR131" s="96"/>
      <c r="IS131" s="96"/>
      <c r="IT131" s="96"/>
      <c r="IU131" s="96"/>
      <c r="IV131" s="96"/>
      <c r="IW131" s="96"/>
      <c r="IX131" s="96"/>
      <c r="IY131" s="13"/>
    </row>
    <row r="132" spans="1:259" outlineLevel="1">
      <c r="A132" s="11">
        <f>'VAC &amp; MED'!C123</f>
        <v>46124</v>
      </c>
      <c r="B132" s="261"/>
      <c r="C132" s="261"/>
      <c r="D132" s="261"/>
      <c r="E132" s="261"/>
      <c r="F132" s="261"/>
      <c r="G132" s="261"/>
      <c r="H132" s="261"/>
      <c r="I132" s="261"/>
      <c r="J132" s="261"/>
      <c r="K132" s="261"/>
      <c r="L132" s="261"/>
      <c r="M132" s="261"/>
      <c r="N132" s="261"/>
      <c r="O132" s="261"/>
      <c r="P132" s="261"/>
      <c r="Q132" s="261"/>
      <c r="R132" s="262"/>
      <c r="S132" s="262"/>
      <c r="T132" s="262"/>
      <c r="U132" s="262"/>
      <c r="V132" s="262"/>
      <c r="W132" s="262"/>
      <c r="X132" s="262"/>
      <c r="Y132" s="262"/>
      <c r="Z132" s="262"/>
      <c r="AA132" s="262"/>
      <c r="AB132" s="262"/>
      <c r="AC132" s="262"/>
      <c r="AD132" s="262"/>
      <c r="AE132" s="262"/>
      <c r="AF132" s="262"/>
      <c r="AG132" s="262"/>
      <c r="AH132" s="263"/>
      <c r="AI132" s="263"/>
      <c r="AJ132" s="263"/>
      <c r="AK132" s="263"/>
      <c r="AL132" s="263"/>
      <c r="AM132" s="263"/>
      <c r="AN132" s="263"/>
      <c r="AO132" s="263"/>
      <c r="AP132" s="263"/>
      <c r="AQ132" s="263"/>
      <c r="AR132" s="263"/>
      <c r="AS132" s="263"/>
      <c r="AT132" s="263"/>
      <c r="AU132" s="263"/>
      <c r="AV132" s="263"/>
      <c r="AW132" s="263"/>
      <c r="AX132" s="264"/>
      <c r="AY132" s="264"/>
      <c r="AZ132" s="264"/>
      <c r="BA132" s="264"/>
      <c r="BB132" s="264"/>
      <c r="BC132" s="264"/>
      <c r="BD132" s="264"/>
      <c r="BE132" s="264"/>
      <c r="BF132" s="264"/>
      <c r="BG132" s="264"/>
      <c r="BH132" s="264"/>
      <c r="BI132" s="264"/>
      <c r="BJ132" s="264"/>
      <c r="BK132" s="264"/>
      <c r="BL132" s="264"/>
      <c r="BM132" s="264"/>
      <c r="BN132" s="265"/>
      <c r="BO132" s="265"/>
      <c r="BP132" s="265"/>
      <c r="BQ132" s="265"/>
      <c r="BR132" s="265"/>
      <c r="BS132" s="265"/>
      <c r="BT132" s="265"/>
      <c r="BU132" s="265"/>
      <c r="BV132" s="265"/>
      <c r="BW132" s="265"/>
      <c r="BX132" s="265"/>
      <c r="BY132" s="265"/>
      <c r="BZ132" s="265"/>
      <c r="CA132" s="265"/>
      <c r="CB132" s="265"/>
      <c r="CC132" s="265"/>
      <c r="CD132" s="266"/>
      <c r="CE132" s="266"/>
      <c r="CF132" s="266"/>
      <c r="CG132" s="266"/>
      <c r="CH132" s="266"/>
      <c r="CI132" s="266"/>
      <c r="CJ132" s="266"/>
      <c r="CK132" s="266"/>
      <c r="CL132" s="266"/>
      <c r="CM132" s="266"/>
      <c r="CN132" s="266"/>
      <c r="CO132" s="266"/>
      <c r="CP132" s="266"/>
      <c r="CQ132" s="266"/>
      <c r="CR132" s="266"/>
      <c r="CS132" s="266"/>
      <c r="CT132" s="267"/>
      <c r="CU132" s="267"/>
      <c r="CV132" s="267"/>
      <c r="CW132" s="267"/>
      <c r="CX132" s="267"/>
      <c r="CY132" s="267"/>
      <c r="CZ132" s="267"/>
      <c r="DA132" s="267"/>
      <c r="DB132" s="267"/>
      <c r="DC132" s="267"/>
      <c r="DD132" s="267"/>
      <c r="DE132" s="267"/>
      <c r="DF132" s="267"/>
      <c r="DG132" s="267"/>
      <c r="DH132" s="267"/>
      <c r="DI132" s="267"/>
      <c r="DJ132" s="268"/>
      <c r="DK132" s="268"/>
      <c r="DL132" s="268"/>
      <c r="DM132" s="268"/>
      <c r="DN132" s="268"/>
      <c r="DO132" s="268"/>
      <c r="DP132" s="268"/>
      <c r="DQ132" s="268"/>
      <c r="DR132" s="268"/>
      <c r="DS132" s="268"/>
      <c r="DT132" s="268"/>
      <c r="DU132" s="268"/>
      <c r="DV132" s="268"/>
      <c r="DW132" s="268"/>
      <c r="DX132" s="268"/>
      <c r="DY132" s="268"/>
      <c r="EA132" s="13"/>
      <c r="EB132" s="96"/>
      <c r="EC132" s="96"/>
      <c r="ED132" s="96"/>
      <c r="EE132" s="96"/>
      <c r="EF132" s="96"/>
      <c r="EG132" s="96"/>
      <c r="EH132" s="96"/>
      <c r="EI132" s="96"/>
      <c r="EJ132" s="96"/>
      <c r="EK132" s="96"/>
      <c r="EL132" s="96"/>
      <c r="EM132" s="96"/>
      <c r="EN132" s="96"/>
      <c r="EO132" s="96"/>
      <c r="EP132" s="96"/>
      <c r="EQ132" s="96"/>
      <c r="ER132" s="96"/>
      <c r="ES132" s="96"/>
      <c r="ET132" s="96"/>
      <c r="EU132" s="96"/>
      <c r="EV132" s="96"/>
      <c r="EW132" s="96"/>
      <c r="EX132" s="96"/>
      <c r="EY132" s="96"/>
      <c r="EZ132" s="96"/>
      <c r="FA132" s="96"/>
      <c r="FB132" s="96"/>
      <c r="FC132" s="96"/>
      <c r="FD132" s="96"/>
      <c r="FE132" s="96"/>
      <c r="FF132" s="96"/>
      <c r="FG132" s="96"/>
      <c r="FH132" s="96"/>
      <c r="FI132" s="96"/>
      <c r="FJ132" s="96"/>
      <c r="FK132" s="96"/>
      <c r="FL132" s="96"/>
      <c r="FM132" s="96"/>
      <c r="FN132" s="96"/>
      <c r="FO132" s="96"/>
      <c r="FP132" s="96"/>
      <c r="FQ132" s="96"/>
      <c r="FR132" s="96"/>
      <c r="FS132" s="96"/>
      <c r="FT132" s="96"/>
      <c r="FU132" s="96"/>
      <c r="FV132" s="96"/>
      <c r="FW132" s="96"/>
      <c r="FX132" s="96"/>
      <c r="FY132" s="96"/>
      <c r="FZ132" s="96"/>
      <c r="GA132" s="96"/>
      <c r="GB132" s="96"/>
      <c r="GC132" s="96"/>
      <c r="GD132" s="96"/>
      <c r="GE132" s="96"/>
      <c r="GF132" s="96"/>
      <c r="GG132" s="96"/>
      <c r="GH132" s="96"/>
      <c r="GI132" s="96"/>
      <c r="GJ132" s="96"/>
      <c r="GK132" s="96"/>
      <c r="GL132" s="96"/>
      <c r="GM132" s="13"/>
      <c r="GN132" s="96"/>
      <c r="GO132" s="96"/>
      <c r="GP132" s="96"/>
      <c r="GQ132" s="96"/>
      <c r="GR132" s="96"/>
      <c r="GS132" s="96"/>
      <c r="GT132" s="96"/>
      <c r="GU132" s="96"/>
      <c r="GV132" s="96"/>
      <c r="GW132" s="96"/>
      <c r="GX132" s="96"/>
      <c r="GY132" s="96"/>
      <c r="GZ132" s="96"/>
      <c r="HA132" s="96"/>
      <c r="HB132" s="96"/>
      <c r="HC132" s="13"/>
      <c r="HD132" s="96"/>
      <c r="HE132" s="96"/>
      <c r="HF132" s="96"/>
      <c r="HG132" s="96"/>
      <c r="HH132" s="96"/>
      <c r="HI132" s="96"/>
      <c r="HJ132" s="96"/>
      <c r="HK132" s="96"/>
      <c r="HL132" s="96"/>
      <c r="HM132" s="96"/>
      <c r="HN132" s="96"/>
      <c r="HO132" s="96"/>
      <c r="HP132" s="96"/>
      <c r="HQ132" s="96"/>
      <c r="HR132" s="96"/>
      <c r="HS132" s="13"/>
      <c r="HT132" s="96"/>
      <c r="HU132" s="96"/>
      <c r="HV132" s="96"/>
      <c r="HW132" s="96"/>
      <c r="HX132" s="96"/>
      <c r="HY132" s="96"/>
      <c r="HZ132" s="96"/>
      <c r="IA132" s="96"/>
      <c r="IB132" s="96"/>
      <c r="IC132" s="96"/>
      <c r="ID132" s="96"/>
      <c r="IE132" s="96"/>
      <c r="IF132" s="96"/>
      <c r="IG132" s="96"/>
      <c r="IH132" s="96"/>
      <c r="II132" s="13"/>
      <c r="IJ132" s="96"/>
      <c r="IK132" s="96"/>
      <c r="IL132" s="96"/>
      <c r="IM132" s="96"/>
      <c r="IN132" s="96"/>
      <c r="IO132" s="96"/>
      <c r="IP132" s="96"/>
      <c r="IQ132" s="96"/>
      <c r="IR132" s="96"/>
      <c r="IS132" s="96"/>
      <c r="IT132" s="96"/>
      <c r="IU132" s="96"/>
      <c r="IV132" s="96"/>
      <c r="IW132" s="96"/>
      <c r="IX132" s="96"/>
      <c r="IY132" s="13"/>
    </row>
    <row r="133" spans="1:259" outlineLevel="1">
      <c r="A133" s="11">
        <f>'VAC &amp; MED'!C124</f>
        <v>46125</v>
      </c>
      <c r="B133" s="261"/>
      <c r="C133" s="261"/>
      <c r="D133" s="261"/>
      <c r="E133" s="261"/>
      <c r="F133" s="261"/>
      <c r="G133" s="261"/>
      <c r="H133" s="261"/>
      <c r="I133" s="261"/>
      <c r="J133" s="261"/>
      <c r="K133" s="261"/>
      <c r="L133" s="261"/>
      <c r="M133" s="261"/>
      <c r="N133" s="261"/>
      <c r="O133" s="261"/>
      <c r="P133" s="261"/>
      <c r="Q133" s="261"/>
      <c r="R133" s="262"/>
      <c r="S133" s="262"/>
      <c r="T133" s="262"/>
      <c r="U133" s="262"/>
      <c r="V133" s="262"/>
      <c r="W133" s="262"/>
      <c r="X133" s="262"/>
      <c r="Y133" s="262"/>
      <c r="Z133" s="262"/>
      <c r="AA133" s="262"/>
      <c r="AB133" s="262"/>
      <c r="AC133" s="262"/>
      <c r="AD133" s="262"/>
      <c r="AE133" s="262"/>
      <c r="AF133" s="262"/>
      <c r="AG133" s="262"/>
      <c r="AH133" s="263"/>
      <c r="AI133" s="263"/>
      <c r="AJ133" s="263"/>
      <c r="AK133" s="263"/>
      <c r="AL133" s="263"/>
      <c r="AM133" s="263"/>
      <c r="AN133" s="263"/>
      <c r="AO133" s="263"/>
      <c r="AP133" s="263"/>
      <c r="AQ133" s="263"/>
      <c r="AR133" s="263"/>
      <c r="AS133" s="263"/>
      <c r="AT133" s="263"/>
      <c r="AU133" s="263"/>
      <c r="AV133" s="263"/>
      <c r="AW133" s="263"/>
      <c r="AX133" s="264"/>
      <c r="AY133" s="264"/>
      <c r="AZ133" s="264"/>
      <c r="BA133" s="264"/>
      <c r="BB133" s="264"/>
      <c r="BC133" s="264"/>
      <c r="BD133" s="264"/>
      <c r="BE133" s="264"/>
      <c r="BF133" s="264"/>
      <c r="BG133" s="264"/>
      <c r="BH133" s="264"/>
      <c r="BI133" s="264"/>
      <c r="BJ133" s="264"/>
      <c r="BK133" s="264"/>
      <c r="BL133" s="264"/>
      <c r="BM133" s="264"/>
      <c r="BN133" s="265"/>
      <c r="BO133" s="265"/>
      <c r="BP133" s="265"/>
      <c r="BQ133" s="265"/>
      <c r="BR133" s="265"/>
      <c r="BS133" s="265"/>
      <c r="BT133" s="265"/>
      <c r="BU133" s="265"/>
      <c r="BV133" s="265"/>
      <c r="BW133" s="265"/>
      <c r="BX133" s="265"/>
      <c r="BY133" s="265"/>
      <c r="BZ133" s="265"/>
      <c r="CA133" s="265"/>
      <c r="CB133" s="265"/>
      <c r="CC133" s="265"/>
      <c r="CD133" s="266"/>
      <c r="CE133" s="266"/>
      <c r="CF133" s="266"/>
      <c r="CG133" s="266"/>
      <c r="CH133" s="266"/>
      <c r="CI133" s="266"/>
      <c r="CJ133" s="266"/>
      <c r="CK133" s="266"/>
      <c r="CL133" s="266"/>
      <c r="CM133" s="266"/>
      <c r="CN133" s="266"/>
      <c r="CO133" s="266"/>
      <c r="CP133" s="266"/>
      <c r="CQ133" s="266"/>
      <c r="CR133" s="266"/>
      <c r="CS133" s="266"/>
      <c r="CT133" s="267"/>
      <c r="CU133" s="267">
        <v>30</v>
      </c>
      <c r="CV133" s="267"/>
      <c r="CW133" s="267"/>
      <c r="CX133" s="267"/>
      <c r="CY133" s="267"/>
      <c r="CZ133" s="267"/>
      <c r="DA133" s="267"/>
      <c r="DB133" s="267"/>
      <c r="DC133" s="267"/>
      <c r="DD133" s="267"/>
      <c r="DE133" s="267"/>
      <c r="DF133" s="267"/>
      <c r="DG133" s="267"/>
      <c r="DH133" s="267"/>
      <c r="DI133" s="267"/>
      <c r="DJ133" s="268"/>
      <c r="DK133" s="268"/>
      <c r="DL133" s="268"/>
      <c r="DM133" s="268"/>
      <c r="DN133" s="268"/>
      <c r="DO133" s="268"/>
      <c r="DP133" s="268"/>
      <c r="DQ133" s="268"/>
      <c r="DR133" s="268"/>
      <c r="DS133" s="268"/>
      <c r="DT133" s="268"/>
      <c r="DU133" s="268"/>
      <c r="DV133" s="268"/>
      <c r="DW133" s="268"/>
      <c r="DX133" s="268"/>
      <c r="DY133" s="268"/>
      <c r="EA133" s="13"/>
      <c r="EB133" s="96"/>
      <c r="EC133" s="96"/>
      <c r="ED133" s="96"/>
      <c r="EE133" s="96"/>
      <c r="EF133" s="96"/>
      <c r="EG133" s="96"/>
      <c r="EH133" s="96"/>
      <c r="EI133" s="96"/>
      <c r="EJ133" s="96"/>
      <c r="EK133" s="96"/>
      <c r="EL133" s="96"/>
      <c r="EM133" s="96"/>
      <c r="EN133" s="96"/>
      <c r="EO133" s="96"/>
      <c r="EP133" s="96"/>
      <c r="EQ133" s="96"/>
      <c r="ER133" s="96"/>
      <c r="ES133" s="96"/>
      <c r="ET133" s="96"/>
      <c r="EU133" s="96"/>
      <c r="EV133" s="96"/>
      <c r="EW133" s="96"/>
      <c r="EX133" s="96"/>
      <c r="EY133" s="96"/>
      <c r="EZ133" s="96"/>
      <c r="FA133" s="96"/>
      <c r="FB133" s="96"/>
      <c r="FC133" s="96"/>
      <c r="FD133" s="96"/>
      <c r="FE133" s="96"/>
      <c r="FF133" s="96"/>
      <c r="FG133" s="96"/>
      <c r="FH133" s="96"/>
      <c r="FI133" s="96"/>
      <c r="FJ133" s="96"/>
      <c r="FK133" s="96"/>
      <c r="FL133" s="96"/>
      <c r="FM133" s="96"/>
      <c r="FN133" s="96"/>
      <c r="FO133" s="96"/>
      <c r="FP133" s="96"/>
      <c r="FQ133" s="96"/>
      <c r="FR133" s="96"/>
      <c r="FS133" s="96"/>
      <c r="FT133" s="96"/>
      <c r="FU133" s="96"/>
      <c r="FV133" s="96"/>
      <c r="FW133" s="96"/>
      <c r="FX133" s="96"/>
      <c r="FY133" s="96"/>
      <c r="FZ133" s="96"/>
      <c r="GA133" s="96"/>
      <c r="GB133" s="96"/>
      <c r="GC133" s="96"/>
      <c r="GD133" s="96"/>
      <c r="GE133" s="96"/>
      <c r="GF133" s="96"/>
      <c r="GG133" s="96"/>
      <c r="GH133" s="96"/>
      <c r="GI133" s="96"/>
      <c r="GJ133" s="96"/>
      <c r="GK133" s="96"/>
      <c r="GL133" s="96"/>
      <c r="GM133" s="13"/>
      <c r="GN133" s="96"/>
      <c r="GO133" s="96"/>
      <c r="GP133" s="96"/>
      <c r="GQ133" s="96"/>
      <c r="GR133" s="96"/>
      <c r="GS133" s="96"/>
      <c r="GT133" s="96"/>
      <c r="GU133" s="96"/>
      <c r="GV133" s="96"/>
      <c r="GW133" s="96"/>
      <c r="GX133" s="96"/>
      <c r="GY133" s="96"/>
      <c r="GZ133" s="96"/>
      <c r="HA133" s="96"/>
      <c r="HB133" s="96"/>
      <c r="HC133" s="13"/>
      <c r="HD133" s="96"/>
      <c r="HE133" s="96"/>
      <c r="HF133" s="96"/>
      <c r="HG133" s="96"/>
      <c r="HH133" s="96"/>
      <c r="HI133" s="96"/>
      <c r="HJ133" s="96"/>
      <c r="HK133" s="96"/>
      <c r="HL133" s="96"/>
      <c r="HM133" s="96"/>
      <c r="HN133" s="96"/>
      <c r="HO133" s="96"/>
      <c r="HP133" s="96"/>
      <c r="HQ133" s="96"/>
      <c r="HR133" s="96"/>
      <c r="HS133" s="13"/>
      <c r="HT133" s="96"/>
      <c r="HU133" s="96"/>
      <c r="HV133" s="96"/>
      <c r="HW133" s="96"/>
      <c r="HX133" s="96"/>
      <c r="HY133" s="96"/>
      <c r="HZ133" s="96"/>
      <c r="IA133" s="96"/>
      <c r="IB133" s="96"/>
      <c r="IC133" s="96"/>
      <c r="ID133" s="96"/>
      <c r="IE133" s="96"/>
      <c r="IF133" s="96"/>
      <c r="IG133" s="96"/>
      <c r="IH133" s="96"/>
      <c r="II133" s="13"/>
      <c r="IJ133" s="96"/>
      <c r="IK133" s="96"/>
      <c r="IL133" s="96"/>
      <c r="IM133" s="96"/>
      <c r="IN133" s="96"/>
      <c r="IO133" s="96"/>
      <c r="IP133" s="96"/>
      <c r="IQ133" s="96"/>
      <c r="IR133" s="96"/>
      <c r="IS133" s="96"/>
      <c r="IT133" s="96"/>
      <c r="IU133" s="96"/>
      <c r="IV133" s="96"/>
      <c r="IW133" s="96"/>
      <c r="IX133" s="96"/>
      <c r="IY133" s="13"/>
    </row>
    <row r="134" spans="1:259" outlineLevel="1">
      <c r="A134" s="11">
        <f>'VAC &amp; MED'!C125</f>
        <v>46126</v>
      </c>
      <c r="B134" s="261"/>
      <c r="C134" s="261"/>
      <c r="D134" s="261"/>
      <c r="E134" s="261"/>
      <c r="F134" s="261"/>
      <c r="G134" s="261"/>
      <c r="H134" s="261"/>
      <c r="I134" s="261"/>
      <c r="J134" s="261"/>
      <c r="K134" s="261"/>
      <c r="L134" s="261"/>
      <c r="M134" s="261"/>
      <c r="N134" s="261"/>
      <c r="O134" s="261"/>
      <c r="P134" s="261"/>
      <c r="Q134" s="261"/>
      <c r="R134" s="262"/>
      <c r="S134" s="262"/>
      <c r="T134" s="262"/>
      <c r="U134" s="262"/>
      <c r="V134" s="262"/>
      <c r="W134" s="262"/>
      <c r="X134" s="262"/>
      <c r="Y134" s="262"/>
      <c r="Z134" s="262"/>
      <c r="AA134" s="262"/>
      <c r="AB134" s="262"/>
      <c r="AC134" s="262"/>
      <c r="AD134" s="262"/>
      <c r="AE134" s="262"/>
      <c r="AF134" s="262"/>
      <c r="AG134" s="262"/>
      <c r="AH134" s="263"/>
      <c r="AI134" s="263"/>
      <c r="AJ134" s="263"/>
      <c r="AK134" s="263"/>
      <c r="AL134" s="263"/>
      <c r="AM134" s="263"/>
      <c r="AN134" s="263"/>
      <c r="AO134" s="263"/>
      <c r="AP134" s="263"/>
      <c r="AQ134" s="263"/>
      <c r="AR134" s="263"/>
      <c r="AS134" s="263"/>
      <c r="AT134" s="263"/>
      <c r="AU134" s="263"/>
      <c r="AV134" s="263"/>
      <c r="AW134" s="263"/>
      <c r="AX134" s="264"/>
      <c r="AY134" s="264"/>
      <c r="AZ134" s="264"/>
      <c r="BA134" s="264"/>
      <c r="BB134" s="264"/>
      <c r="BC134" s="264"/>
      <c r="BD134" s="264"/>
      <c r="BE134" s="264"/>
      <c r="BF134" s="264"/>
      <c r="BG134" s="264"/>
      <c r="BH134" s="264"/>
      <c r="BI134" s="264"/>
      <c r="BJ134" s="264"/>
      <c r="BK134" s="264"/>
      <c r="BL134" s="264"/>
      <c r="BM134" s="264"/>
      <c r="BN134" s="265"/>
      <c r="BO134" s="265"/>
      <c r="BP134" s="265"/>
      <c r="BQ134" s="265"/>
      <c r="BR134" s="265"/>
      <c r="BS134" s="265"/>
      <c r="BT134" s="265"/>
      <c r="BU134" s="265"/>
      <c r="BV134" s="265"/>
      <c r="BW134" s="265"/>
      <c r="BX134" s="265"/>
      <c r="BY134" s="265"/>
      <c r="BZ134" s="265"/>
      <c r="CA134" s="265"/>
      <c r="CB134" s="265"/>
      <c r="CC134" s="265"/>
      <c r="CD134" s="266"/>
      <c r="CE134" s="266"/>
      <c r="CF134" s="266">
        <v>30</v>
      </c>
      <c r="CG134" s="266"/>
      <c r="CH134" s="266"/>
      <c r="CI134" s="266"/>
      <c r="CJ134" s="266"/>
      <c r="CK134" s="266"/>
      <c r="CL134" s="266"/>
      <c r="CM134" s="266"/>
      <c r="CN134" s="266"/>
      <c r="CO134" s="266"/>
      <c r="CP134" s="266"/>
      <c r="CQ134" s="266"/>
      <c r="CR134" s="266"/>
      <c r="CS134" s="266"/>
      <c r="CT134" s="267"/>
      <c r="CU134" s="267">
        <v>100</v>
      </c>
      <c r="CV134" s="267"/>
      <c r="CW134" s="267"/>
      <c r="CX134" s="267"/>
      <c r="CY134" s="267"/>
      <c r="CZ134" s="267"/>
      <c r="DA134" s="267"/>
      <c r="DB134" s="267"/>
      <c r="DC134" s="267"/>
      <c r="DD134" s="267"/>
      <c r="DE134" s="267"/>
      <c r="DF134" s="267"/>
      <c r="DG134" s="267"/>
      <c r="DH134" s="267"/>
      <c r="DI134" s="267"/>
      <c r="DJ134" s="268"/>
      <c r="DK134" s="268"/>
      <c r="DL134" s="268"/>
      <c r="DM134" s="268"/>
      <c r="DN134" s="268"/>
      <c r="DO134" s="268"/>
      <c r="DP134" s="268"/>
      <c r="DQ134" s="268"/>
      <c r="DR134" s="268"/>
      <c r="DS134" s="268"/>
      <c r="DT134" s="268"/>
      <c r="DU134" s="268"/>
      <c r="DV134" s="268"/>
      <c r="DW134" s="268"/>
      <c r="DX134" s="268"/>
      <c r="DY134" s="268"/>
      <c r="EA134" s="13"/>
      <c r="EB134" s="96"/>
      <c r="EC134" s="96"/>
      <c r="ED134" s="96"/>
      <c r="EE134" s="96"/>
      <c r="EF134" s="96"/>
      <c r="EG134" s="96"/>
      <c r="EH134" s="96"/>
      <c r="EI134" s="96"/>
      <c r="EJ134" s="96"/>
      <c r="EK134" s="96"/>
      <c r="EL134" s="96"/>
      <c r="EM134" s="96"/>
      <c r="EN134" s="96"/>
      <c r="EO134" s="96"/>
      <c r="EP134" s="96"/>
      <c r="EQ134" s="96"/>
      <c r="ER134" s="96"/>
      <c r="ES134" s="96"/>
      <c r="ET134" s="96"/>
      <c r="EU134" s="96"/>
      <c r="EV134" s="96"/>
      <c r="EW134" s="96"/>
      <c r="EX134" s="96"/>
      <c r="EY134" s="96"/>
      <c r="EZ134" s="96"/>
      <c r="FA134" s="96"/>
      <c r="FB134" s="96"/>
      <c r="FC134" s="96"/>
      <c r="FD134" s="96"/>
      <c r="FE134" s="96"/>
      <c r="FF134" s="96"/>
      <c r="FG134" s="96"/>
      <c r="FH134" s="96"/>
      <c r="FI134" s="96"/>
      <c r="FJ134" s="96"/>
      <c r="FK134" s="96"/>
      <c r="FL134" s="96"/>
      <c r="FM134" s="96"/>
      <c r="FN134" s="96"/>
      <c r="FO134" s="96"/>
      <c r="FP134" s="96"/>
      <c r="FQ134" s="96"/>
      <c r="FR134" s="96"/>
      <c r="FS134" s="96"/>
      <c r="FT134" s="96"/>
      <c r="FU134" s="96"/>
      <c r="FV134" s="96"/>
      <c r="FW134" s="96"/>
      <c r="FX134" s="96"/>
      <c r="FY134" s="96"/>
      <c r="FZ134" s="96"/>
      <c r="GA134" s="96"/>
      <c r="GB134" s="96"/>
      <c r="GC134" s="96"/>
      <c r="GD134" s="96"/>
      <c r="GE134" s="96"/>
      <c r="GF134" s="96"/>
      <c r="GG134" s="96"/>
      <c r="GH134" s="96"/>
      <c r="GI134" s="96"/>
      <c r="GJ134" s="96"/>
      <c r="GK134" s="96"/>
      <c r="GL134" s="96"/>
      <c r="GM134" s="13"/>
      <c r="GN134" s="96"/>
      <c r="GO134" s="96"/>
      <c r="GP134" s="96"/>
      <c r="GQ134" s="96"/>
      <c r="GR134" s="96"/>
      <c r="GS134" s="96"/>
      <c r="GT134" s="96"/>
      <c r="GU134" s="96"/>
      <c r="GV134" s="96"/>
      <c r="GW134" s="96"/>
      <c r="GX134" s="96"/>
      <c r="GY134" s="96"/>
      <c r="GZ134" s="96"/>
      <c r="HA134" s="96"/>
      <c r="HB134" s="96"/>
      <c r="HC134" s="13"/>
      <c r="HD134" s="96"/>
      <c r="HE134" s="96"/>
      <c r="HF134" s="96"/>
      <c r="HG134" s="96"/>
      <c r="HH134" s="96"/>
      <c r="HI134" s="96"/>
      <c r="HJ134" s="96"/>
      <c r="HK134" s="96"/>
      <c r="HL134" s="96"/>
      <c r="HM134" s="96"/>
      <c r="HN134" s="96"/>
      <c r="HO134" s="96"/>
      <c r="HP134" s="96"/>
      <c r="HQ134" s="96"/>
      <c r="HR134" s="96"/>
      <c r="HS134" s="13"/>
      <c r="HT134" s="96"/>
      <c r="HU134" s="96"/>
      <c r="HV134" s="96"/>
      <c r="HW134" s="96"/>
      <c r="HX134" s="96"/>
      <c r="HY134" s="96"/>
      <c r="HZ134" s="96"/>
      <c r="IA134" s="96"/>
      <c r="IB134" s="96"/>
      <c r="IC134" s="96"/>
      <c r="ID134" s="96"/>
      <c r="IE134" s="96"/>
      <c r="IF134" s="96"/>
      <c r="IG134" s="96"/>
      <c r="IH134" s="96"/>
      <c r="II134" s="13"/>
      <c r="IJ134" s="96"/>
      <c r="IK134" s="96"/>
      <c r="IL134" s="96"/>
      <c r="IM134" s="96"/>
      <c r="IN134" s="96"/>
      <c r="IO134" s="96"/>
      <c r="IP134" s="96"/>
      <c r="IQ134" s="96"/>
      <c r="IR134" s="96"/>
      <c r="IS134" s="96"/>
      <c r="IT134" s="96"/>
      <c r="IU134" s="96"/>
      <c r="IV134" s="96"/>
      <c r="IW134" s="96"/>
      <c r="IX134" s="96"/>
      <c r="IY134" s="13"/>
    </row>
    <row r="135" spans="1:259" outlineLevel="1">
      <c r="A135" s="11">
        <f>'VAC &amp; MED'!C126</f>
        <v>46127</v>
      </c>
      <c r="B135" s="261"/>
      <c r="C135" s="261"/>
      <c r="D135" s="261"/>
      <c r="E135" s="261"/>
      <c r="F135" s="261"/>
      <c r="G135" s="261"/>
      <c r="H135" s="261"/>
      <c r="I135" s="261"/>
      <c r="J135" s="261"/>
      <c r="K135" s="261"/>
      <c r="L135" s="261"/>
      <c r="M135" s="261"/>
      <c r="N135" s="261"/>
      <c r="O135" s="261"/>
      <c r="P135" s="261"/>
      <c r="Q135" s="261"/>
      <c r="R135" s="262"/>
      <c r="S135" s="262"/>
      <c r="T135" s="262"/>
      <c r="U135" s="262"/>
      <c r="V135" s="262"/>
      <c r="W135" s="262"/>
      <c r="X135" s="262"/>
      <c r="Y135" s="262"/>
      <c r="Z135" s="262"/>
      <c r="AA135" s="262"/>
      <c r="AB135" s="262"/>
      <c r="AC135" s="262"/>
      <c r="AD135" s="262"/>
      <c r="AE135" s="262"/>
      <c r="AF135" s="262"/>
      <c r="AG135" s="262"/>
      <c r="AH135" s="263"/>
      <c r="AI135" s="263"/>
      <c r="AJ135" s="263"/>
      <c r="AK135" s="263"/>
      <c r="AL135" s="263"/>
      <c r="AM135" s="263"/>
      <c r="AN135" s="263"/>
      <c r="AO135" s="263"/>
      <c r="AP135" s="263"/>
      <c r="AQ135" s="263"/>
      <c r="AR135" s="263"/>
      <c r="AS135" s="263"/>
      <c r="AT135" s="263"/>
      <c r="AU135" s="263"/>
      <c r="AV135" s="263"/>
      <c r="AW135" s="263"/>
      <c r="AX135" s="264"/>
      <c r="AY135" s="264"/>
      <c r="AZ135" s="264"/>
      <c r="BA135" s="264"/>
      <c r="BB135" s="264"/>
      <c r="BC135" s="264"/>
      <c r="BD135" s="264"/>
      <c r="BE135" s="264"/>
      <c r="BF135" s="264"/>
      <c r="BG135" s="264"/>
      <c r="BH135" s="264"/>
      <c r="BI135" s="264"/>
      <c r="BJ135" s="264"/>
      <c r="BK135" s="264"/>
      <c r="BL135" s="264"/>
      <c r="BM135" s="264"/>
      <c r="BN135" s="265"/>
      <c r="BO135" s="265"/>
      <c r="BP135" s="265"/>
      <c r="BQ135" s="265"/>
      <c r="BR135" s="265"/>
      <c r="BS135" s="265"/>
      <c r="BT135" s="265"/>
      <c r="BU135" s="265"/>
      <c r="BV135" s="265"/>
      <c r="BW135" s="265"/>
      <c r="BX135" s="265"/>
      <c r="BY135" s="265"/>
      <c r="BZ135" s="265"/>
      <c r="CA135" s="265"/>
      <c r="CB135" s="265"/>
      <c r="CC135" s="265"/>
      <c r="CD135" s="266"/>
      <c r="CE135" s="266"/>
      <c r="CF135" s="266"/>
      <c r="CG135" s="266"/>
      <c r="CH135" s="266"/>
      <c r="CI135" s="266"/>
      <c r="CJ135" s="266"/>
      <c r="CK135" s="266"/>
      <c r="CL135" s="266"/>
      <c r="CM135" s="266"/>
      <c r="CN135" s="266"/>
      <c r="CO135" s="266"/>
      <c r="CP135" s="266"/>
      <c r="CQ135" s="266"/>
      <c r="CR135" s="266"/>
      <c r="CS135" s="266"/>
      <c r="CT135" s="267"/>
      <c r="CU135" s="267"/>
      <c r="CV135" s="267"/>
      <c r="CW135" s="267"/>
      <c r="CX135" s="267"/>
      <c r="CY135" s="267"/>
      <c r="CZ135" s="267"/>
      <c r="DA135" s="267"/>
      <c r="DB135" s="267"/>
      <c r="DC135" s="267"/>
      <c r="DD135" s="267"/>
      <c r="DE135" s="267"/>
      <c r="DF135" s="267"/>
      <c r="DG135" s="267"/>
      <c r="DH135" s="267"/>
      <c r="DI135" s="267"/>
      <c r="DJ135" s="268"/>
      <c r="DK135" s="268"/>
      <c r="DL135" s="268">
        <v>38</v>
      </c>
      <c r="DM135" s="268"/>
      <c r="DN135" s="268"/>
      <c r="DO135" s="268"/>
      <c r="DP135" s="268"/>
      <c r="DQ135" s="268"/>
      <c r="DR135" s="268"/>
      <c r="DS135" s="268"/>
      <c r="DT135" s="268"/>
      <c r="DU135" s="268"/>
      <c r="DV135" s="268"/>
      <c r="DW135" s="268"/>
      <c r="DX135" s="268"/>
      <c r="DY135" s="268"/>
      <c r="EA135" s="13"/>
      <c r="EB135" s="96"/>
      <c r="EC135" s="96"/>
      <c r="ED135" s="96"/>
      <c r="EE135" s="96"/>
      <c r="EF135" s="96"/>
      <c r="EG135" s="96"/>
      <c r="EH135" s="96"/>
      <c r="EI135" s="96"/>
      <c r="EJ135" s="96"/>
      <c r="EK135" s="96"/>
      <c r="EL135" s="96"/>
      <c r="EM135" s="96"/>
      <c r="EN135" s="96"/>
      <c r="EO135" s="96"/>
      <c r="EP135" s="96"/>
      <c r="EQ135" s="96"/>
      <c r="ER135" s="96"/>
      <c r="ES135" s="96"/>
      <c r="ET135" s="96"/>
      <c r="EU135" s="96"/>
      <c r="EV135" s="96"/>
      <c r="EW135" s="96"/>
      <c r="EX135" s="96"/>
      <c r="EY135" s="96"/>
      <c r="EZ135" s="96"/>
      <c r="FA135" s="96"/>
      <c r="FB135" s="96"/>
      <c r="FC135" s="96"/>
      <c r="FD135" s="96"/>
      <c r="FE135" s="96"/>
      <c r="FF135" s="96"/>
      <c r="FG135" s="96"/>
      <c r="FH135" s="96"/>
      <c r="FI135" s="96"/>
      <c r="FJ135" s="96"/>
      <c r="FK135" s="96"/>
      <c r="FL135" s="96"/>
      <c r="FM135" s="96"/>
      <c r="FN135" s="96"/>
      <c r="FO135" s="96"/>
      <c r="FP135" s="96"/>
      <c r="FQ135" s="96"/>
      <c r="FR135" s="96"/>
      <c r="FS135" s="96"/>
      <c r="FT135" s="96"/>
      <c r="FU135" s="96"/>
      <c r="FV135" s="96"/>
      <c r="FW135" s="96"/>
      <c r="FX135" s="96"/>
      <c r="FY135" s="96"/>
      <c r="FZ135" s="96"/>
      <c r="GA135" s="96"/>
      <c r="GB135" s="96"/>
      <c r="GC135" s="96"/>
      <c r="GD135" s="96"/>
      <c r="GE135" s="96"/>
      <c r="GF135" s="96"/>
      <c r="GG135" s="96"/>
      <c r="GH135" s="96"/>
      <c r="GI135" s="96"/>
      <c r="GJ135" s="96"/>
      <c r="GK135" s="96"/>
      <c r="GL135" s="96"/>
      <c r="GM135" s="13"/>
      <c r="GN135" s="96"/>
      <c r="GO135" s="96"/>
      <c r="GP135" s="96"/>
      <c r="GQ135" s="96"/>
      <c r="GR135" s="96"/>
      <c r="GS135" s="96"/>
      <c r="GT135" s="96"/>
      <c r="GU135" s="96"/>
      <c r="GV135" s="96"/>
      <c r="GW135" s="96"/>
      <c r="GX135" s="96"/>
      <c r="GY135" s="96"/>
      <c r="GZ135" s="96"/>
      <c r="HA135" s="96"/>
      <c r="HB135" s="96"/>
      <c r="HC135" s="13"/>
      <c r="HD135" s="96"/>
      <c r="HE135" s="96"/>
      <c r="HF135" s="96"/>
      <c r="HG135" s="96"/>
      <c r="HH135" s="96"/>
      <c r="HI135" s="96"/>
      <c r="HJ135" s="96"/>
      <c r="HK135" s="96"/>
      <c r="HL135" s="96"/>
      <c r="HM135" s="96"/>
      <c r="HN135" s="96"/>
      <c r="HO135" s="96"/>
      <c r="HP135" s="96"/>
      <c r="HQ135" s="96"/>
      <c r="HR135" s="96"/>
      <c r="HS135" s="13"/>
      <c r="HT135" s="96"/>
      <c r="HU135" s="96"/>
      <c r="HV135" s="96"/>
      <c r="HW135" s="96"/>
      <c r="HX135" s="96"/>
      <c r="HY135" s="96"/>
      <c r="HZ135" s="96"/>
      <c r="IA135" s="96"/>
      <c r="IB135" s="96"/>
      <c r="IC135" s="96"/>
      <c r="ID135" s="96"/>
      <c r="IE135" s="96"/>
      <c r="IF135" s="96"/>
      <c r="IG135" s="96"/>
      <c r="IH135" s="96"/>
      <c r="II135" s="13"/>
      <c r="IJ135" s="96"/>
      <c r="IK135" s="96"/>
      <c r="IL135" s="96"/>
      <c r="IM135" s="96"/>
      <c r="IN135" s="96"/>
      <c r="IO135" s="96"/>
      <c r="IP135" s="96"/>
      <c r="IQ135" s="96"/>
      <c r="IR135" s="96"/>
      <c r="IS135" s="96"/>
      <c r="IT135" s="96"/>
      <c r="IU135" s="96"/>
      <c r="IV135" s="96"/>
      <c r="IW135" s="96"/>
      <c r="IX135" s="96"/>
      <c r="IY135" s="13"/>
    </row>
    <row r="136" spans="1:259" outlineLevel="1">
      <c r="A136" s="11">
        <f>'VAC &amp; MED'!C127</f>
        <v>46128</v>
      </c>
      <c r="B136" s="261"/>
      <c r="C136" s="261"/>
      <c r="D136" s="261"/>
      <c r="E136" s="261"/>
      <c r="F136" s="261"/>
      <c r="G136" s="261"/>
      <c r="H136" s="261"/>
      <c r="I136" s="261"/>
      <c r="J136" s="261"/>
      <c r="K136" s="261"/>
      <c r="L136" s="261"/>
      <c r="M136" s="261"/>
      <c r="N136" s="261"/>
      <c r="O136" s="261"/>
      <c r="P136" s="261"/>
      <c r="Q136" s="261"/>
      <c r="R136" s="262"/>
      <c r="S136" s="262"/>
      <c r="T136" s="262"/>
      <c r="U136" s="262"/>
      <c r="V136" s="262"/>
      <c r="W136" s="262"/>
      <c r="X136" s="262"/>
      <c r="Y136" s="262"/>
      <c r="Z136" s="262"/>
      <c r="AA136" s="262"/>
      <c r="AB136" s="262"/>
      <c r="AC136" s="262"/>
      <c r="AD136" s="262"/>
      <c r="AE136" s="262"/>
      <c r="AF136" s="262"/>
      <c r="AG136" s="262"/>
      <c r="AH136" s="263"/>
      <c r="AI136" s="263"/>
      <c r="AJ136" s="263"/>
      <c r="AK136" s="263"/>
      <c r="AL136" s="263"/>
      <c r="AM136" s="263"/>
      <c r="AN136" s="263"/>
      <c r="AO136" s="263"/>
      <c r="AP136" s="263"/>
      <c r="AQ136" s="263"/>
      <c r="AR136" s="263"/>
      <c r="AS136" s="263"/>
      <c r="AT136" s="263"/>
      <c r="AU136" s="263"/>
      <c r="AV136" s="263"/>
      <c r="AW136" s="263"/>
      <c r="AX136" s="264"/>
      <c r="AY136" s="264"/>
      <c r="AZ136" s="264"/>
      <c r="BA136" s="264"/>
      <c r="BB136" s="264"/>
      <c r="BC136" s="264"/>
      <c r="BD136" s="264"/>
      <c r="BE136" s="264"/>
      <c r="BF136" s="264"/>
      <c r="BG136" s="264"/>
      <c r="BH136" s="264"/>
      <c r="BI136" s="264"/>
      <c r="BJ136" s="264"/>
      <c r="BK136" s="264"/>
      <c r="BL136" s="264"/>
      <c r="BM136" s="264"/>
      <c r="BN136" s="265"/>
      <c r="BO136" s="265"/>
      <c r="BP136" s="265"/>
      <c r="BQ136" s="265"/>
      <c r="BR136" s="265"/>
      <c r="BS136" s="265"/>
      <c r="BT136" s="265"/>
      <c r="BU136" s="265"/>
      <c r="BV136" s="265"/>
      <c r="BW136" s="265"/>
      <c r="BX136" s="265"/>
      <c r="BY136" s="265"/>
      <c r="BZ136" s="265"/>
      <c r="CA136" s="265"/>
      <c r="CB136" s="265"/>
      <c r="CC136" s="265"/>
      <c r="CD136" s="266"/>
      <c r="CE136" s="266"/>
      <c r="CF136" s="266"/>
      <c r="CG136" s="266"/>
      <c r="CH136" s="266"/>
      <c r="CI136" s="266"/>
      <c r="CJ136" s="266"/>
      <c r="CK136" s="266"/>
      <c r="CL136" s="266"/>
      <c r="CM136" s="266"/>
      <c r="CN136" s="266"/>
      <c r="CO136" s="266"/>
      <c r="CP136" s="266"/>
      <c r="CQ136" s="266"/>
      <c r="CR136" s="266"/>
      <c r="CS136" s="266"/>
      <c r="CT136" s="267"/>
      <c r="CU136" s="267">
        <v>60</v>
      </c>
      <c r="CV136" s="267"/>
      <c r="CW136" s="267"/>
      <c r="CX136" s="267"/>
      <c r="CY136" s="267"/>
      <c r="CZ136" s="267"/>
      <c r="DA136" s="267"/>
      <c r="DB136" s="267"/>
      <c r="DC136" s="267"/>
      <c r="DD136" s="267"/>
      <c r="DE136" s="267"/>
      <c r="DF136" s="267"/>
      <c r="DG136" s="267"/>
      <c r="DH136" s="267"/>
      <c r="DI136" s="267"/>
      <c r="DJ136" s="268"/>
      <c r="DK136" s="268"/>
      <c r="DL136" s="268"/>
      <c r="DM136" s="268"/>
      <c r="DN136" s="268"/>
      <c r="DO136" s="268"/>
      <c r="DP136" s="268"/>
      <c r="DQ136" s="268"/>
      <c r="DR136" s="268"/>
      <c r="DS136" s="268"/>
      <c r="DT136" s="268"/>
      <c r="DU136" s="268"/>
      <c r="DV136" s="268"/>
      <c r="DW136" s="268"/>
      <c r="DX136" s="268"/>
      <c r="DY136" s="268"/>
      <c r="EA136" s="13"/>
      <c r="EB136" s="96"/>
      <c r="EC136" s="96"/>
      <c r="ED136" s="96"/>
      <c r="EE136" s="96"/>
      <c r="EF136" s="96"/>
      <c r="EG136" s="96"/>
      <c r="EH136" s="96"/>
      <c r="EI136" s="96"/>
      <c r="EJ136" s="96"/>
      <c r="EK136" s="96"/>
      <c r="EL136" s="96"/>
      <c r="EM136" s="96"/>
      <c r="EN136" s="96"/>
      <c r="EO136" s="96"/>
      <c r="EP136" s="96"/>
      <c r="EQ136" s="96"/>
      <c r="ER136" s="96"/>
      <c r="ES136" s="96"/>
      <c r="ET136" s="96"/>
      <c r="EU136" s="96"/>
      <c r="EV136" s="96"/>
      <c r="EW136" s="96"/>
      <c r="EX136" s="96"/>
      <c r="EY136" s="96"/>
      <c r="EZ136" s="96"/>
      <c r="FA136" s="96"/>
      <c r="FB136" s="96"/>
      <c r="FC136" s="96"/>
      <c r="FD136" s="96"/>
      <c r="FE136" s="96"/>
      <c r="FF136" s="96"/>
      <c r="FG136" s="96"/>
      <c r="FH136" s="96"/>
      <c r="FI136" s="96"/>
      <c r="FJ136" s="96"/>
      <c r="FK136" s="96"/>
      <c r="FL136" s="96"/>
      <c r="FM136" s="96"/>
      <c r="FN136" s="96"/>
      <c r="FO136" s="96"/>
      <c r="FP136" s="96"/>
      <c r="FQ136" s="96"/>
      <c r="FR136" s="96"/>
      <c r="FS136" s="96"/>
      <c r="FT136" s="96"/>
      <c r="FU136" s="96"/>
      <c r="FV136" s="96"/>
      <c r="FW136" s="96"/>
      <c r="FX136" s="96"/>
      <c r="FY136" s="96"/>
      <c r="FZ136" s="96"/>
      <c r="GA136" s="96"/>
      <c r="GB136" s="96"/>
      <c r="GC136" s="96"/>
      <c r="GD136" s="96"/>
      <c r="GE136" s="96"/>
      <c r="GF136" s="96"/>
      <c r="GG136" s="96"/>
      <c r="GH136" s="96"/>
      <c r="GI136" s="96"/>
      <c r="GJ136" s="96"/>
      <c r="GK136" s="96"/>
      <c r="GL136" s="96"/>
      <c r="GM136" s="13"/>
      <c r="GN136" s="96"/>
      <c r="GO136" s="96"/>
      <c r="GP136" s="96"/>
      <c r="GQ136" s="96"/>
      <c r="GR136" s="96"/>
      <c r="GS136" s="96"/>
      <c r="GT136" s="96"/>
      <c r="GU136" s="96"/>
      <c r="GV136" s="96"/>
      <c r="GW136" s="96"/>
      <c r="GX136" s="96"/>
      <c r="GY136" s="96"/>
      <c r="GZ136" s="96"/>
      <c r="HA136" s="96"/>
      <c r="HB136" s="96"/>
      <c r="HC136" s="13"/>
      <c r="HD136" s="96"/>
      <c r="HE136" s="96"/>
      <c r="HF136" s="96"/>
      <c r="HG136" s="96"/>
      <c r="HH136" s="96"/>
      <c r="HI136" s="96"/>
      <c r="HJ136" s="96"/>
      <c r="HK136" s="96"/>
      <c r="HL136" s="96"/>
      <c r="HM136" s="96"/>
      <c r="HN136" s="96"/>
      <c r="HO136" s="96"/>
      <c r="HP136" s="96"/>
      <c r="HQ136" s="96"/>
      <c r="HR136" s="96"/>
      <c r="HS136" s="13"/>
      <c r="HT136" s="96"/>
      <c r="HU136" s="96"/>
      <c r="HV136" s="96"/>
      <c r="HW136" s="96"/>
      <c r="HX136" s="96"/>
      <c r="HY136" s="96"/>
      <c r="HZ136" s="96"/>
      <c r="IA136" s="96"/>
      <c r="IB136" s="96"/>
      <c r="IC136" s="96"/>
      <c r="ID136" s="96"/>
      <c r="IE136" s="96"/>
      <c r="IF136" s="96"/>
      <c r="IG136" s="96"/>
      <c r="IH136" s="96"/>
      <c r="II136" s="13"/>
      <c r="IJ136" s="96"/>
      <c r="IK136" s="96"/>
      <c r="IL136" s="96"/>
      <c r="IM136" s="96"/>
      <c r="IN136" s="96"/>
      <c r="IO136" s="96"/>
      <c r="IP136" s="96"/>
      <c r="IQ136" s="96"/>
      <c r="IR136" s="96"/>
      <c r="IS136" s="96"/>
      <c r="IT136" s="96"/>
      <c r="IU136" s="96"/>
      <c r="IV136" s="96"/>
      <c r="IW136" s="96"/>
      <c r="IX136" s="96"/>
      <c r="IY136" s="13"/>
    </row>
    <row r="137" spans="1:259" outlineLevel="1">
      <c r="A137" s="11">
        <f>'VAC &amp; MED'!C128</f>
        <v>46129</v>
      </c>
      <c r="B137" s="261"/>
      <c r="C137" s="261"/>
      <c r="D137" s="261"/>
      <c r="E137" s="261"/>
      <c r="F137" s="261"/>
      <c r="G137" s="261"/>
      <c r="H137" s="261"/>
      <c r="I137" s="261"/>
      <c r="J137" s="261"/>
      <c r="K137" s="261"/>
      <c r="L137" s="261"/>
      <c r="M137" s="261"/>
      <c r="N137" s="261"/>
      <c r="O137" s="261"/>
      <c r="P137" s="261"/>
      <c r="Q137" s="261"/>
      <c r="R137" s="262">
        <v>46</v>
      </c>
      <c r="S137" s="262"/>
      <c r="T137" s="262"/>
      <c r="U137" s="262"/>
      <c r="V137" s="262"/>
      <c r="W137" s="262"/>
      <c r="X137" s="262"/>
      <c r="Y137" s="262"/>
      <c r="Z137" s="262"/>
      <c r="AA137" s="262"/>
      <c r="AB137" s="262"/>
      <c r="AC137" s="262"/>
      <c r="AD137" s="262"/>
      <c r="AE137" s="262"/>
      <c r="AF137" s="262"/>
      <c r="AG137" s="262"/>
      <c r="AH137" s="263"/>
      <c r="AI137" s="263"/>
      <c r="AJ137" s="263"/>
      <c r="AK137" s="263"/>
      <c r="AL137" s="263"/>
      <c r="AM137" s="263"/>
      <c r="AN137" s="263"/>
      <c r="AO137" s="263"/>
      <c r="AP137" s="263"/>
      <c r="AQ137" s="263"/>
      <c r="AR137" s="263"/>
      <c r="AS137" s="263"/>
      <c r="AT137" s="263"/>
      <c r="AU137" s="263"/>
      <c r="AV137" s="263"/>
      <c r="AW137" s="263"/>
      <c r="AX137" s="264"/>
      <c r="AY137" s="264"/>
      <c r="AZ137" s="264"/>
      <c r="BA137" s="264"/>
      <c r="BB137" s="264"/>
      <c r="BC137" s="264"/>
      <c r="BD137" s="264"/>
      <c r="BE137" s="264"/>
      <c r="BF137" s="264"/>
      <c r="BG137" s="264"/>
      <c r="BH137" s="264"/>
      <c r="BI137" s="264"/>
      <c r="BJ137" s="264"/>
      <c r="BK137" s="264"/>
      <c r="BL137" s="264"/>
      <c r="BM137" s="264"/>
      <c r="BN137" s="265"/>
      <c r="BO137" s="265"/>
      <c r="BP137" s="265"/>
      <c r="BQ137" s="265"/>
      <c r="BR137" s="265"/>
      <c r="BS137" s="265"/>
      <c r="BT137" s="265"/>
      <c r="BU137" s="265"/>
      <c r="BV137" s="265"/>
      <c r="BW137" s="265"/>
      <c r="BX137" s="265"/>
      <c r="BY137" s="265"/>
      <c r="BZ137" s="265"/>
      <c r="CA137" s="265"/>
      <c r="CB137" s="265"/>
      <c r="CC137" s="265"/>
      <c r="CD137" s="266"/>
      <c r="CE137" s="266"/>
      <c r="CF137" s="266"/>
      <c r="CG137" s="266"/>
      <c r="CH137" s="266"/>
      <c r="CI137" s="266"/>
      <c r="CJ137" s="266"/>
      <c r="CK137" s="266"/>
      <c r="CL137" s="266"/>
      <c r="CM137" s="266"/>
      <c r="CN137" s="266"/>
      <c r="CO137" s="266"/>
      <c r="CP137" s="266"/>
      <c r="CQ137" s="266"/>
      <c r="CR137" s="266"/>
      <c r="CS137" s="266"/>
      <c r="CT137" s="267"/>
      <c r="CU137" s="267">
        <v>20</v>
      </c>
      <c r="CV137" s="267"/>
      <c r="CW137" s="267"/>
      <c r="CX137" s="267"/>
      <c r="CY137" s="267"/>
      <c r="CZ137" s="267"/>
      <c r="DA137" s="267"/>
      <c r="DB137" s="267"/>
      <c r="DC137" s="267"/>
      <c r="DD137" s="267"/>
      <c r="DE137" s="267"/>
      <c r="DF137" s="267"/>
      <c r="DG137" s="267"/>
      <c r="DH137" s="267"/>
      <c r="DI137" s="267"/>
      <c r="DJ137" s="268"/>
      <c r="DK137" s="268"/>
      <c r="DL137" s="268"/>
      <c r="DM137" s="268"/>
      <c r="DN137" s="268"/>
      <c r="DO137" s="268"/>
      <c r="DP137" s="268"/>
      <c r="DQ137" s="268"/>
      <c r="DR137" s="268"/>
      <c r="DS137" s="268"/>
      <c r="DT137" s="268"/>
      <c r="DU137" s="268"/>
      <c r="DV137" s="268"/>
      <c r="DW137" s="268"/>
      <c r="DX137" s="268"/>
      <c r="DY137" s="268"/>
      <c r="EA137" s="13"/>
      <c r="EB137" s="96"/>
      <c r="EC137" s="96"/>
      <c r="ED137" s="96"/>
      <c r="EE137" s="96"/>
      <c r="EF137" s="96"/>
      <c r="EG137" s="96"/>
      <c r="EH137" s="96"/>
      <c r="EI137" s="96"/>
      <c r="EJ137" s="96"/>
      <c r="EK137" s="96"/>
      <c r="EL137" s="96"/>
      <c r="EM137" s="96"/>
      <c r="EN137" s="96"/>
      <c r="EO137" s="96"/>
      <c r="EP137" s="96"/>
      <c r="EQ137" s="96"/>
      <c r="ER137" s="96"/>
      <c r="ES137" s="96"/>
      <c r="ET137" s="96"/>
      <c r="EU137" s="96"/>
      <c r="EV137" s="96"/>
      <c r="EW137" s="96"/>
      <c r="EX137" s="96"/>
      <c r="EY137" s="96"/>
      <c r="EZ137" s="96"/>
      <c r="FA137" s="96"/>
      <c r="FB137" s="96"/>
      <c r="FC137" s="96"/>
      <c r="FD137" s="96"/>
      <c r="FE137" s="96"/>
      <c r="FF137" s="96"/>
      <c r="FG137" s="96"/>
      <c r="FH137" s="96"/>
      <c r="FI137" s="96"/>
      <c r="FJ137" s="96"/>
      <c r="FK137" s="96"/>
      <c r="FL137" s="96"/>
      <c r="FM137" s="96"/>
      <c r="FN137" s="96"/>
      <c r="FO137" s="96"/>
      <c r="FP137" s="96"/>
      <c r="FQ137" s="96"/>
      <c r="FR137" s="96"/>
      <c r="FS137" s="96"/>
      <c r="FT137" s="96"/>
      <c r="FU137" s="96"/>
      <c r="FV137" s="96"/>
      <c r="FW137" s="96"/>
      <c r="FX137" s="96"/>
      <c r="FY137" s="96"/>
      <c r="FZ137" s="96"/>
      <c r="GA137" s="96"/>
      <c r="GB137" s="96"/>
      <c r="GC137" s="96"/>
      <c r="GD137" s="96"/>
      <c r="GE137" s="96"/>
      <c r="GF137" s="96"/>
      <c r="GG137" s="96"/>
      <c r="GH137" s="96"/>
      <c r="GI137" s="96"/>
      <c r="GJ137" s="96"/>
      <c r="GK137" s="96"/>
      <c r="GL137" s="96"/>
      <c r="GM137" s="13"/>
      <c r="GN137" s="96"/>
      <c r="GO137" s="96"/>
      <c r="GP137" s="96"/>
      <c r="GQ137" s="96"/>
      <c r="GR137" s="96"/>
      <c r="GS137" s="96"/>
      <c r="GT137" s="96"/>
      <c r="GU137" s="96"/>
      <c r="GV137" s="96"/>
      <c r="GW137" s="96"/>
      <c r="GX137" s="96"/>
      <c r="GY137" s="96"/>
      <c r="GZ137" s="96"/>
      <c r="HA137" s="96"/>
      <c r="HB137" s="96"/>
      <c r="HC137" s="13"/>
      <c r="HD137" s="96"/>
      <c r="HE137" s="96"/>
      <c r="HF137" s="96"/>
      <c r="HG137" s="96"/>
      <c r="HH137" s="96"/>
      <c r="HI137" s="96"/>
      <c r="HJ137" s="96"/>
      <c r="HK137" s="96"/>
      <c r="HL137" s="96"/>
      <c r="HM137" s="96"/>
      <c r="HN137" s="96"/>
      <c r="HO137" s="96"/>
      <c r="HP137" s="96"/>
      <c r="HQ137" s="96"/>
      <c r="HR137" s="96"/>
      <c r="HS137" s="13"/>
      <c r="HT137" s="96"/>
      <c r="HU137" s="96"/>
      <c r="HV137" s="96"/>
      <c r="HW137" s="96"/>
      <c r="HX137" s="96"/>
      <c r="HY137" s="96"/>
      <c r="HZ137" s="96"/>
      <c r="IA137" s="96"/>
      <c r="IB137" s="96"/>
      <c r="IC137" s="96"/>
      <c r="ID137" s="96"/>
      <c r="IE137" s="96"/>
      <c r="IF137" s="96"/>
      <c r="IG137" s="96"/>
      <c r="IH137" s="96"/>
      <c r="II137" s="13"/>
      <c r="IJ137" s="96"/>
      <c r="IK137" s="96"/>
      <c r="IL137" s="96"/>
      <c r="IM137" s="96"/>
      <c r="IN137" s="96"/>
      <c r="IO137" s="96"/>
      <c r="IP137" s="96"/>
      <c r="IQ137" s="96"/>
      <c r="IR137" s="96"/>
      <c r="IS137" s="96"/>
      <c r="IT137" s="96"/>
      <c r="IU137" s="96"/>
      <c r="IV137" s="96"/>
      <c r="IW137" s="96"/>
      <c r="IX137" s="96"/>
      <c r="IY137" s="13"/>
    </row>
    <row r="138" spans="1:259" outlineLevel="1">
      <c r="A138" s="11">
        <f>'VAC &amp; MED'!C129</f>
        <v>46130</v>
      </c>
      <c r="B138" s="261"/>
      <c r="C138" s="261"/>
      <c r="D138" s="261"/>
      <c r="E138" s="261"/>
      <c r="F138" s="261"/>
      <c r="G138" s="261"/>
      <c r="H138" s="261"/>
      <c r="I138" s="261"/>
      <c r="J138" s="261"/>
      <c r="K138" s="261"/>
      <c r="L138" s="261"/>
      <c r="M138" s="261"/>
      <c r="N138" s="261"/>
      <c r="O138" s="261"/>
      <c r="P138" s="261"/>
      <c r="Q138" s="261"/>
      <c r="R138" s="262"/>
      <c r="S138" s="262"/>
      <c r="T138" s="262"/>
      <c r="U138" s="262"/>
      <c r="V138" s="262"/>
      <c r="W138" s="262"/>
      <c r="X138" s="262"/>
      <c r="Y138" s="262"/>
      <c r="Z138" s="262"/>
      <c r="AA138" s="262"/>
      <c r="AB138" s="262"/>
      <c r="AC138" s="262"/>
      <c r="AD138" s="262"/>
      <c r="AE138" s="262"/>
      <c r="AF138" s="262"/>
      <c r="AG138" s="262"/>
      <c r="AH138" s="263"/>
      <c r="AI138" s="263"/>
      <c r="AJ138" s="263"/>
      <c r="AK138" s="263"/>
      <c r="AL138" s="263"/>
      <c r="AM138" s="263"/>
      <c r="AN138" s="263"/>
      <c r="AO138" s="263"/>
      <c r="AP138" s="263"/>
      <c r="AQ138" s="263"/>
      <c r="AR138" s="263"/>
      <c r="AS138" s="263"/>
      <c r="AT138" s="263"/>
      <c r="AU138" s="263"/>
      <c r="AV138" s="263"/>
      <c r="AW138" s="263"/>
      <c r="AX138" s="264"/>
      <c r="AY138" s="264"/>
      <c r="AZ138" s="264"/>
      <c r="BA138" s="264"/>
      <c r="BB138" s="264"/>
      <c r="BC138" s="264"/>
      <c r="BD138" s="264"/>
      <c r="BE138" s="264"/>
      <c r="BF138" s="264"/>
      <c r="BG138" s="264"/>
      <c r="BH138" s="264"/>
      <c r="BI138" s="264"/>
      <c r="BJ138" s="264"/>
      <c r="BK138" s="264"/>
      <c r="BL138" s="264"/>
      <c r="BM138" s="264"/>
      <c r="BN138" s="265"/>
      <c r="BO138" s="265"/>
      <c r="BP138" s="265"/>
      <c r="BQ138" s="265"/>
      <c r="BR138" s="265"/>
      <c r="BS138" s="265"/>
      <c r="BT138" s="265"/>
      <c r="BU138" s="265"/>
      <c r="BV138" s="265"/>
      <c r="BW138" s="265"/>
      <c r="BX138" s="265"/>
      <c r="BY138" s="265"/>
      <c r="BZ138" s="265"/>
      <c r="CA138" s="265"/>
      <c r="CB138" s="265"/>
      <c r="CC138" s="265"/>
      <c r="CD138" s="266"/>
      <c r="CE138" s="266"/>
      <c r="CF138" s="266"/>
      <c r="CG138" s="266"/>
      <c r="CH138" s="266"/>
      <c r="CI138" s="266"/>
      <c r="CJ138" s="266"/>
      <c r="CK138" s="266"/>
      <c r="CL138" s="266"/>
      <c r="CM138" s="266"/>
      <c r="CN138" s="266"/>
      <c r="CO138" s="266"/>
      <c r="CP138" s="266"/>
      <c r="CQ138" s="266"/>
      <c r="CR138" s="266"/>
      <c r="CS138" s="266"/>
      <c r="CT138" s="267"/>
      <c r="CU138" s="267"/>
      <c r="CV138" s="267"/>
      <c r="CW138" s="267"/>
      <c r="CX138" s="267"/>
      <c r="CY138" s="267"/>
      <c r="CZ138" s="267"/>
      <c r="DA138" s="267"/>
      <c r="DB138" s="267"/>
      <c r="DC138" s="267"/>
      <c r="DD138" s="267"/>
      <c r="DE138" s="267"/>
      <c r="DF138" s="267"/>
      <c r="DG138" s="267"/>
      <c r="DH138" s="267"/>
      <c r="DI138" s="267"/>
      <c r="DJ138" s="268"/>
      <c r="DK138" s="268"/>
      <c r="DL138" s="268">
        <v>56</v>
      </c>
      <c r="DM138" s="268"/>
      <c r="DN138" s="268"/>
      <c r="DO138" s="268"/>
      <c r="DP138" s="268"/>
      <c r="DQ138" s="268"/>
      <c r="DR138" s="268"/>
      <c r="DS138" s="268"/>
      <c r="DT138" s="268"/>
      <c r="DU138" s="268"/>
      <c r="DV138" s="268"/>
      <c r="DW138" s="268"/>
      <c r="DX138" s="268"/>
      <c r="DY138" s="268"/>
      <c r="EA138" s="13"/>
      <c r="EB138" s="96"/>
      <c r="EC138" s="96"/>
      <c r="ED138" s="96"/>
      <c r="EE138" s="96"/>
      <c r="EF138" s="96"/>
      <c r="EG138" s="96"/>
      <c r="EH138" s="96"/>
      <c r="EI138" s="96"/>
      <c r="EJ138" s="96"/>
      <c r="EK138" s="96"/>
      <c r="EL138" s="96"/>
      <c r="EM138" s="96"/>
      <c r="EN138" s="96"/>
      <c r="EO138" s="96"/>
      <c r="EP138" s="96"/>
      <c r="EQ138" s="96"/>
      <c r="ER138" s="96"/>
      <c r="ES138" s="96"/>
      <c r="ET138" s="96"/>
      <c r="EU138" s="96"/>
      <c r="EV138" s="96"/>
      <c r="EW138" s="96"/>
      <c r="EX138" s="96"/>
      <c r="EY138" s="96"/>
      <c r="EZ138" s="96"/>
      <c r="FA138" s="96"/>
      <c r="FB138" s="96"/>
      <c r="FC138" s="96"/>
      <c r="FD138" s="96"/>
      <c r="FE138" s="96"/>
      <c r="FF138" s="96"/>
      <c r="FG138" s="96"/>
      <c r="FH138" s="96"/>
      <c r="FI138" s="96"/>
      <c r="FJ138" s="96"/>
      <c r="FK138" s="96"/>
      <c r="FL138" s="96"/>
      <c r="FM138" s="96"/>
      <c r="FN138" s="96"/>
      <c r="FO138" s="96"/>
      <c r="FP138" s="96"/>
      <c r="FQ138" s="96"/>
      <c r="FR138" s="96"/>
      <c r="FS138" s="96"/>
      <c r="FT138" s="96"/>
      <c r="FU138" s="96"/>
      <c r="FV138" s="96"/>
      <c r="FW138" s="96"/>
      <c r="FX138" s="96"/>
      <c r="FY138" s="96"/>
      <c r="FZ138" s="96"/>
      <c r="GA138" s="96"/>
      <c r="GB138" s="96"/>
      <c r="GC138" s="96"/>
      <c r="GD138" s="96"/>
      <c r="GE138" s="96"/>
      <c r="GF138" s="96"/>
      <c r="GG138" s="96"/>
      <c r="GH138" s="96"/>
      <c r="GI138" s="96"/>
      <c r="GJ138" s="96"/>
      <c r="GK138" s="96"/>
      <c r="GL138" s="96"/>
      <c r="GM138" s="13"/>
      <c r="GN138" s="96"/>
      <c r="GO138" s="96"/>
      <c r="GP138" s="96"/>
      <c r="GQ138" s="96"/>
      <c r="GR138" s="96"/>
      <c r="GS138" s="96"/>
      <c r="GT138" s="96"/>
      <c r="GU138" s="96"/>
      <c r="GV138" s="96"/>
      <c r="GW138" s="96"/>
      <c r="GX138" s="96"/>
      <c r="GY138" s="96"/>
      <c r="GZ138" s="96"/>
      <c r="HA138" s="96"/>
      <c r="HB138" s="96"/>
      <c r="HC138" s="13"/>
      <c r="HD138" s="96"/>
      <c r="HE138" s="96"/>
      <c r="HF138" s="96"/>
      <c r="HG138" s="96"/>
      <c r="HH138" s="96"/>
      <c r="HI138" s="96"/>
      <c r="HJ138" s="96"/>
      <c r="HK138" s="96"/>
      <c r="HL138" s="96"/>
      <c r="HM138" s="96"/>
      <c r="HN138" s="96"/>
      <c r="HO138" s="96"/>
      <c r="HP138" s="96"/>
      <c r="HQ138" s="96"/>
      <c r="HR138" s="96"/>
      <c r="HS138" s="13"/>
      <c r="HT138" s="96"/>
      <c r="HU138" s="96"/>
      <c r="HV138" s="96"/>
      <c r="HW138" s="96"/>
      <c r="HX138" s="96"/>
      <c r="HY138" s="96"/>
      <c r="HZ138" s="96"/>
      <c r="IA138" s="96"/>
      <c r="IB138" s="96"/>
      <c r="IC138" s="96"/>
      <c r="ID138" s="96"/>
      <c r="IE138" s="96"/>
      <c r="IF138" s="96"/>
      <c r="IG138" s="96"/>
      <c r="IH138" s="96"/>
      <c r="II138" s="13"/>
      <c r="IJ138" s="96"/>
      <c r="IK138" s="96"/>
      <c r="IL138" s="96"/>
      <c r="IM138" s="96"/>
      <c r="IN138" s="96"/>
      <c r="IO138" s="96"/>
      <c r="IP138" s="96"/>
      <c r="IQ138" s="96"/>
      <c r="IR138" s="96"/>
      <c r="IS138" s="96"/>
      <c r="IT138" s="96"/>
      <c r="IU138" s="96"/>
      <c r="IV138" s="96"/>
      <c r="IW138" s="96"/>
      <c r="IX138" s="96"/>
      <c r="IY138" s="13"/>
    </row>
    <row r="139" spans="1:259" outlineLevel="1">
      <c r="A139" s="11">
        <f>'VAC &amp; MED'!C130</f>
        <v>46131</v>
      </c>
      <c r="B139" s="261"/>
      <c r="C139" s="261"/>
      <c r="D139" s="261"/>
      <c r="E139" s="261"/>
      <c r="F139" s="261"/>
      <c r="G139" s="261"/>
      <c r="H139" s="261"/>
      <c r="I139" s="261"/>
      <c r="J139" s="261"/>
      <c r="K139" s="261"/>
      <c r="L139" s="261"/>
      <c r="M139" s="261"/>
      <c r="N139" s="261"/>
      <c r="O139" s="261"/>
      <c r="P139" s="261"/>
      <c r="Q139" s="261"/>
      <c r="R139" s="262"/>
      <c r="S139" s="262"/>
      <c r="T139" s="262"/>
      <c r="U139" s="262"/>
      <c r="V139" s="262"/>
      <c r="W139" s="262"/>
      <c r="X139" s="262"/>
      <c r="Y139" s="262"/>
      <c r="Z139" s="262"/>
      <c r="AA139" s="262"/>
      <c r="AB139" s="262"/>
      <c r="AC139" s="262"/>
      <c r="AD139" s="262"/>
      <c r="AE139" s="262"/>
      <c r="AF139" s="262"/>
      <c r="AG139" s="262"/>
      <c r="AH139" s="263"/>
      <c r="AI139" s="263"/>
      <c r="AJ139" s="263"/>
      <c r="AK139" s="263"/>
      <c r="AL139" s="263"/>
      <c r="AM139" s="263"/>
      <c r="AN139" s="263"/>
      <c r="AO139" s="263"/>
      <c r="AP139" s="263"/>
      <c r="AQ139" s="263"/>
      <c r="AR139" s="263"/>
      <c r="AS139" s="263"/>
      <c r="AT139" s="263"/>
      <c r="AU139" s="263"/>
      <c r="AV139" s="263"/>
      <c r="AW139" s="263"/>
      <c r="AX139" s="264"/>
      <c r="AY139" s="264"/>
      <c r="AZ139" s="264"/>
      <c r="BA139" s="264"/>
      <c r="BB139" s="264"/>
      <c r="BC139" s="264"/>
      <c r="BD139" s="264"/>
      <c r="BE139" s="264"/>
      <c r="BF139" s="264"/>
      <c r="BG139" s="264"/>
      <c r="BH139" s="264"/>
      <c r="BI139" s="264"/>
      <c r="BJ139" s="264"/>
      <c r="BK139" s="264"/>
      <c r="BL139" s="264"/>
      <c r="BM139" s="264"/>
      <c r="BN139" s="265"/>
      <c r="BO139" s="265"/>
      <c r="BP139" s="265"/>
      <c r="BQ139" s="265"/>
      <c r="BR139" s="265"/>
      <c r="BS139" s="265"/>
      <c r="BT139" s="265"/>
      <c r="BU139" s="265"/>
      <c r="BV139" s="265"/>
      <c r="BW139" s="265"/>
      <c r="BX139" s="265"/>
      <c r="BY139" s="265"/>
      <c r="BZ139" s="265"/>
      <c r="CA139" s="265"/>
      <c r="CB139" s="265"/>
      <c r="CC139" s="265"/>
      <c r="CD139" s="266"/>
      <c r="CE139" s="266"/>
      <c r="CF139" s="266"/>
      <c r="CG139" s="266"/>
      <c r="CH139" s="266"/>
      <c r="CI139" s="266"/>
      <c r="CJ139" s="266"/>
      <c r="CK139" s="266"/>
      <c r="CL139" s="266"/>
      <c r="CM139" s="266"/>
      <c r="CN139" s="266"/>
      <c r="CO139" s="266"/>
      <c r="CP139" s="266"/>
      <c r="CQ139" s="266"/>
      <c r="CR139" s="266"/>
      <c r="CS139" s="266"/>
      <c r="CT139" s="267"/>
      <c r="CU139" s="267"/>
      <c r="CV139" s="267"/>
      <c r="CW139" s="267"/>
      <c r="CX139" s="267"/>
      <c r="CY139" s="267"/>
      <c r="CZ139" s="267"/>
      <c r="DA139" s="267"/>
      <c r="DB139" s="267"/>
      <c r="DC139" s="267"/>
      <c r="DD139" s="267"/>
      <c r="DE139" s="267"/>
      <c r="DF139" s="267"/>
      <c r="DG139" s="267"/>
      <c r="DH139" s="267"/>
      <c r="DI139" s="267"/>
      <c r="DJ139" s="268"/>
      <c r="DK139" s="268"/>
      <c r="DL139" s="268"/>
      <c r="DM139" s="268"/>
      <c r="DN139" s="268"/>
      <c r="DO139" s="268"/>
      <c r="DP139" s="268"/>
      <c r="DQ139" s="268"/>
      <c r="DR139" s="268"/>
      <c r="DS139" s="268"/>
      <c r="DT139" s="268"/>
      <c r="DU139" s="268"/>
      <c r="DV139" s="268"/>
      <c r="DW139" s="268"/>
      <c r="DX139" s="268"/>
      <c r="DY139" s="268"/>
      <c r="EA139" s="13"/>
      <c r="EB139" s="96"/>
      <c r="EC139" s="96"/>
      <c r="ED139" s="96"/>
      <c r="EE139" s="96"/>
      <c r="EF139" s="96"/>
      <c r="EG139" s="96"/>
      <c r="EH139" s="96"/>
      <c r="EI139" s="96"/>
      <c r="EJ139" s="96"/>
      <c r="EK139" s="96"/>
      <c r="EL139" s="96"/>
      <c r="EM139" s="96"/>
      <c r="EN139" s="96"/>
      <c r="EO139" s="96"/>
      <c r="EP139" s="96"/>
      <c r="EQ139" s="96"/>
      <c r="ER139" s="96"/>
      <c r="ES139" s="96"/>
      <c r="ET139" s="96"/>
      <c r="EU139" s="96"/>
      <c r="EV139" s="96"/>
      <c r="EW139" s="96"/>
      <c r="EX139" s="96"/>
      <c r="EY139" s="96"/>
      <c r="EZ139" s="96"/>
      <c r="FA139" s="96"/>
      <c r="FB139" s="96"/>
      <c r="FC139" s="96"/>
      <c r="FD139" s="96"/>
      <c r="FE139" s="96"/>
      <c r="FF139" s="96"/>
      <c r="FG139" s="96"/>
      <c r="FH139" s="96"/>
      <c r="FI139" s="96"/>
      <c r="FJ139" s="96"/>
      <c r="FK139" s="96"/>
      <c r="FL139" s="96"/>
      <c r="FM139" s="96"/>
      <c r="FN139" s="96"/>
      <c r="FO139" s="96"/>
      <c r="FP139" s="96"/>
      <c r="FQ139" s="96"/>
      <c r="FR139" s="96"/>
      <c r="FS139" s="96"/>
      <c r="FT139" s="96"/>
      <c r="FU139" s="96"/>
      <c r="FV139" s="96"/>
      <c r="FW139" s="96"/>
      <c r="FX139" s="96"/>
      <c r="FY139" s="96"/>
      <c r="FZ139" s="96"/>
      <c r="GA139" s="96"/>
      <c r="GB139" s="96"/>
      <c r="GC139" s="96"/>
      <c r="GD139" s="96"/>
      <c r="GE139" s="96"/>
      <c r="GF139" s="96"/>
      <c r="GG139" s="96"/>
      <c r="GH139" s="96"/>
      <c r="GI139" s="96"/>
      <c r="GJ139" s="96"/>
      <c r="GK139" s="96"/>
      <c r="GL139" s="96"/>
      <c r="GM139" s="13"/>
      <c r="GN139" s="96"/>
      <c r="GO139" s="96"/>
      <c r="GP139" s="96"/>
      <c r="GQ139" s="96"/>
      <c r="GR139" s="96"/>
      <c r="GS139" s="96"/>
      <c r="GT139" s="96"/>
      <c r="GU139" s="96"/>
      <c r="GV139" s="96"/>
      <c r="GW139" s="96"/>
      <c r="GX139" s="96"/>
      <c r="GY139" s="96"/>
      <c r="GZ139" s="96"/>
      <c r="HA139" s="96"/>
      <c r="HB139" s="96"/>
      <c r="HC139" s="13"/>
      <c r="HD139" s="96"/>
      <c r="HE139" s="96"/>
      <c r="HF139" s="96"/>
      <c r="HG139" s="96"/>
      <c r="HH139" s="96"/>
      <c r="HI139" s="96"/>
      <c r="HJ139" s="96"/>
      <c r="HK139" s="96"/>
      <c r="HL139" s="96"/>
      <c r="HM139" s="96"/>
      <c r="HN139" s="96"/>
      <c r="HO139" s="96"/>
      <c r="HP139" s="96"/>
      <c r="HQ139" s="96"/>
      <c r="HR139" s="96"/>
      <c r="HS139" s="13"/>
      <c r="HT139" s="96"/>
      <c r="HU139" s="96"/>
      <c r="HV139" s="96"/>
      <c r="HW139" s="96"/>
      <c r="HX139" s="96"/>
      <c r="HY139" s="96"/>
      <c r="HZ139" s="96"/>
      <c r="IA139" s="96"/>
      <c r="IB139" s="96"/>
      <c r="IC139" s="96"/>
      <c r="ID139" s="96"/>
      <c r="IE139" s="96"/>
      <c r="IF139" s="96"/>
      <c r="IG139" s="96"/>
      <c r="IH139" s="96"/>
      <c r="II139" s="13"/>
      <c r="IJ139" s="96"/>
      <c r="IK139" s="96"/>
      <c r="IL139" s="96"/>
      <c r="IM139" s="96"/>
      <c r="IN139" s="96"/>
      <c r="IO139" s="96"/>
      <c r="IP139" s="96"/>
      <c r="IQ139" s="96"/>
      <c r="IR139" s="96"/>
      <c r="IS139" s="96"/>
      <c r="IT139" s="96"/>
      <c r="IU139" s="96"/>
      <c r="IV139" s="96"/>
      <c r="IW139" s="96"/>
      <c r="IX139" s="96"/>
      <c r="IY139" s="13"/>
    </row>
    <row r="140" spans="1:259" outlineLevel="1">
      <c r="A140" s="11">
        <f>'VAC &amp; MED'!C131</f>
        <v>46132</v>
      </c>
      <c r="B140" s="261"/>
      <c r="C140" s="261"/>
      <c r="D140" s="261"/>
      <c r="E140" s="261"/>
      <c r="F140" s="261"/>
      <c r="G140" s="261"/>
      <c r="H140" s="261"/>
      <c r="I140" s="261"/>
      <c r="J140" s="261"/>
      <c r="K140" s="261"/>
      <c r="L140" s="261"/>
      <c r="M140" s="261"/>
      <c r="N140" s="261"/>
      <c r="O140" s="261"/>
      <c r="P140" s="261"/>
      <c r="Q140" s="261"/>
      <c r="R140" s="262">
        <v>40</v>
      </c>
      <c r="S140" s="262"/>
      <c r="T140" s="262"/>
      <c r="U140" s="262"/>
      <c r="V140" s="262"/>
      <c r="W140" s="262"/>
      <c r="X140" s="262"/>
      <c r="Y140" s="262"/>
      <c r="Z140" s="262"/>
      <c r="AA140" s="262"/>
      <c r="AB140" s="262"/>
      <c r="AC140" s="262"/>
      <c r="AD140" s="262"/>
      <c r="AE140" s="262"/>
      <c r="AF140" s="262"/>
      <c r="AG140" s="262"/>
      <c r="AH140" s="263"/>
      <c r="AI140" s="263"/>
      <c r="AJ140" s="263"/>
      <c r="AK140" s="263"/>
      <c r="AL140" s="263"/>
      <c r="AM140" s="263"/>
      <c r="AN140" s="263"/>
      <c r="AO140" s="263"/>
      <c r="AP140" s="263"/>
      <c r="AQ140" s="263"/>
      <c r="AR140" s="263"/>
      <c r="AS140" s="263"/>
      <c r="AT140" s="263"/>
      <c r="AU140" s="263"/>
      <c r="AV140" s="263"/>
      <c r="AW140" s="263"/>
      <c r="AX140" s="264"/>
      <c r="AY140" s="264"/>
      <c r="AZ140" s="264"/>
      <c r="BA140" s="264"/>
      <c r="BB140" s="264"/>
      <c r="BC140" s="264"/>
      <c r="BD140" s="264"/>
      <c r="BE140" s="264"/>
      <c r="BF140" s="264"/>
      <c r="BG140" s="264"/>
      <c r="BH140" s="264"/>
      <c r="BI140" s="264"/>
      <c r="BJ140" s="264"/>
      <c r="BK140" s="264"/>
      <c r="BL140" s="264"/>
      <c r="BM140" s="264"/>
      <c r="BN140" s="265"/>
      <c r="BO140" s="265"/>
      <c r="BP140" s="265"/>
      <c r="BQ140" s="265"/>
      <c r="BR140" s="265"/>
      <c r="BS140" s="265"/>
      <c r="BT140" s="265"/>
      <c r="BU140" s="265"/>
      <c r="BV140" s="265"/>
      <c r="BW140" s="265"/>
      <c r="BX140" s="265"/>
      <c r="BY140" s="265"/>
      <c r="BZ140" s="265"/>
      <c r="CA140" s="265"/>
      <c r="CB140" s="265"/>
      <c r="CC140" s="265"/>
      <c r="CD140" s="266"/>
      <c r="CE140" s="266">
        <v>20</v>
      </c>
      <c r="CF140" s="266"/>
      <c r="CG140" s="266"/>
      <c r="CH140" s="266"/>
      <c r="CI140" s="266"/>
      <c r="CJ140" s="266"/>
      <c r="CK140" s="266"/>
      <c r="CL140" s="266"/>
      <c r="CM140" s="266"/>
      <c r="CN140" s="266"/>
      <c r="CO140" s="266"/>
      <c r="CP140" s="266"/>
      <c r="CQ140" s="266"/>
      <c r="CR140" s="266"/>
      <c r="CS140" s="266"/>
      <c r="CT140" s="267"/>
      <c r="CU140" s="267">
        <v>30</v>
      </c>
      <c r="CV140" s="267"/>
      <c r="CW140" s="267"/>
      <c r="CX140" s="267"/>
      <c r="CY140" s="267"/>
      <c r="CZ140" s="267"/>
      <c r="DA140" s="267"/>
      <c r="DB140" s="267"/>
      <c r="DC140" s="267"/>
      <c r="DD140" s="267"/>
      <c r="DE140" s="267"/>
      <c r="DF140" s="267"/>
      <c r="DG140" s="267"/>
      <c r="DH140" s="267"/>
      <c r="DI140" s="267"/>
      <c r="DJ140" s="268"/>
      <c r="DK140" s="268"/>
      <c r="DL140" s="268"/>
      <c r="DM140" s="268"/>
      <c r="DN140" s="268"/>
      <c r="DO140" s="268"/>
      <c r="DP140" s="268"/>
      <c r="DQ140" s="268"/>
      <c r="DR140" s="268"/>
      <c r="DS140" s="268"/>
      <c r="DT140" s="268"/>
      <c r="DU140" s="268"/>
      <c r="DV140" s="268"/>
      <c r="DW140" s="268"/>
      <c r="DX140" s="268"/>
      <c r="DY140" s="268"/>
      <c r="EA140" s="13"/>
      <c r="EB140" s="96"/>
      <c r="EC140" s="96"/>
      <c r="ED140" s="96"/>
      <c r="EE140" s="96"/>
      <c r="EF140" s="96"/>
      <c r="EG140" s="96"/>
      <c r="EH140" s="96"/>
      <c r="EI140" s="96"/>
      <c r="EJ140" s="96"/>
      <c r="EK140" s="96"/>
      <c r="EL140" s="96"/>
      <c r="EM140" s="96"/>
      <c r="EN140" s="96"/>
      <c r="EO140" s="96"/>
      <c r="EP140" s="96"/>
      <c r="EQ140" s="96"/>
      <c r="ER140" s="96"/>
      <c r="ES140" s="96"/>
      <c r="ET140" s="96"/>
      <c r="EU140" s="96"/>
      <c r="EV140" s="96"/>
      <c r="EW140" s="96"/>
      <c r="EX140" s="96"/>
      <c r="EY140" s="96"/>
      <c r="EZ140" s="96"/>
      <c r="FA140" s="96"/>
      <c r="FB140" s="96"/>
      <c r="FC140" s="96"/>
      <c r="FD140" s="96"/>
      <c r="FE140" s="96"/>
      <c r="FF140" s="96"/>
      <c r="FG140" s="96"/>
      <c r="FH140" s="96"/>
      <c r="FI140" s="96"/>
      <c r="FJ140" s="96"/>
      <c r="FK140" s="96"/>
      <c r="FL140" s="96"/>
      <c r="FM140" s="96"/>
      <c r="FN140" s="96"/>
      <c r="FO140" s="96"/>
      <c r="FP140" s="96"/>
      <c r="FQ140" s="96"/>
      <c r="FR140" s="96"/>
      <c r="FS140" s="96"/>
      <c r="FT140" s="96"/>
      <c r="FU140" s="96"/>
      <c r="FV140" s="96"/>
      <c r="FW140" s="96"/>
      <c r="FX140" s="96"/>
      <c r="FY140" s="96"/>
      <c r="FZ140" s="96"/>
      <c r="GA140" s="96"/>
      <c r="GB140" s="96"/>
      <c r="GC140" s="96"/>
      <c r="GD140" s="96"/>
      <c r="GE140" s="96"/>
      <c r="GF140" s="96"/>
      <c r="GG140" s="96"/>
      <c r="GH140" s="96"/>
      <c r="GI140" s="96"/>
      <c r="GJ140" s="96"/>
      <c r="GK140" s="96"/>
      <c r="GL140" s="96"/>
      <c r="GM140" s="13"/>
      <c r="GN140" s="96"/>
      <c r="GO140" s="96"/>
      <c r="GP140" s="96"/>
      <c r="GQ140" s="96"/>
      <c r="GR140" s="96"/>
      <c r="GS140" s="96"/>
      <c r="GT140" s="96"/>
      <c r="GU140" s="96"/>
      <c r="GV140" s="96"/>
      <c r="GW140" s="96"/>
      <c r="GX140" s="96"/>
      <c r="GY140" s="96"/>
      <c r="GZ140" s="96"/>
      <c r="HA140" s="96"/>
      <c r="HB140" s="96"/>
      <c r="HC140" s="13"/>
      <c r="HD140" s="96"/>
      <c r="HE140" s="96"/>
      <c r="HF140" s="96"/>
      <c r="HG140" s="96"/>
      <c r="HH140" s="96"/>
      <c r="HI140" s="96"/>
      <c r="HJ140" s="96"/>
      <c r="HK140" s="96"/>
      <c r="HL140" s="96"/>
      <c r="HM140" s="96"/>
      <c r="HN140" s="96"/>
      <c r="HO140" s="96"/>
      <c r="HP140" s="96"/>
      <c r="HQ140" s="96"/>
      <c r="HR140" s="96"/>
      <c r="HS140" s="13"/>
      <c r="HT140" s="96"/>
      <c r="HU140" s="96"/>
      <c r="HV140" s="96"/>
      <c r="HW140" s="96"/>
      <c r="HX140" s="96"/>
      <c r="HY140" s="96"/>
      <c r="HZ140" s="96"/>
      <c r="IA140" s="96"/>
      <c r="IB140" s="96"/>
      <c r="IC140" s="96"/>
      <c r="ID140" s="96"/>
      <c r="IE140" s="96"/>
      <c r="IF140" s="96"/>
      <c r="IG140" s="96"/>
      <c r="IH140" s="96"/>
      <c r="II140" s="13"/>
      <c r="IJ140" s="96"/>
      <c r="IK140" s="96"/>
      <c r="IL140" s="96"/>
      <c r="IM140" s="96"/>
      <c r="IN140" s="96"/>
      <c r="IO140" s="96"/>
      <c r="IP140" s="96"/>
      <c r="IQ140" s="96"/>
      <c r="IR140" s="96"/>
      <c r="IS140" s="96"/>
      <c r="IT140" s="96"/>
      <c r="IU140" s="96"/>
      <c r="IV140" s="96"/>
      <c r="IW140" s="96"/>
      <c r="IX140" s="96"/>
      <c r="IY140" s="13"/>
    </row>
    <row r="141" spans="1:259" outlineLevel="1">
      <c r="A141" s="11">
        <f>'VAC &amp; MED'!C132</f>
        <v>46133</v>
      </c>
      <c r="B141" s="261"/>
      <c r="C141" s="261"/>
      <c r="D141" s="261"/>
      <c r="E141" s="261"/>
      <c r="F141" s="261"/>
      <c r="G141" s="261"/>
      <c r="H141" s="261"/>
      <c r="I141" s="261"/>
      <c r="J141" s="261"/>
      <c r="K141" s="261"/>
      <c r="L141" s="261"/>
      <c r="M141" s="261"/>
      <c r="N141" s="261"/>
      <c r="O141" s="261"/>
      <c r="P141" s="261"/>
      <c r="Q141" s="261"/>
      <c r="R141" s="262">
        <v>60</v>
      </c>
      <c r="S141" s="262"/>
      <c r="T141" s="262"/>
      <c r="U141" s="262"/>
      <c r="V141" s="262"/>
      <c r="W141" s="262"/>
      <c r="X141" s="262"/>
      <c r="Y141" s="262"/>
      <c r="Z141" s="262"/>
      <c r="AA141" s="262"/>
      <c r="AB141" s="262"/>
      <c r="AC141" s="262"/>
      <c r="AD141" s="262"/>
      <c r="AE141" s="262"/>
      <c r="AF141" s="262"/>
      <c r="AG141" s="262"/>
      <c r="AH141" s="263"/>
      <c r="AI141" s="263"/>
      <c r="AJ141" s="263"/>
      <c r="AK141" s="263"/>
      <c r="AL141" s="263"/>
      <c r="AM141" s="263"/>
      <c r="AN141" s="263"/>
      <c r="AO141" s="263"/>
      <c r="AP141" s="263"/>
      <c r="AQ141" s="263"/>
      <c r="AR141" s="263"/>
      <c r="AS141" s="263"/>
      <c r="AT141" s="263"/>
      <c r="AU141" s="263"/>
      <c r="AV141" s="263"/>
      <c r="AW141" s="263"/>
      <c r="AX141" s="264"/>
      <c r="AY141" s="264"/>
      <c r="AZ141" s="264"/>
      <c r="BA141" s="264"/>
      <c r="BB141" s="264"/>
      <c r="BC141" s="264"/>
      <c r="BD141" s="264"/>
      <c r="BE141" s="264"/>
      <c r="BF141" s="264"/>
      <c r="BG141" s="264"/>
      <c r="BH141" s="264"/>
      <c r="BI141" s="264"/>
      <c r="BJ141" s="264"/>
      <c r="BK141" s="264"/>
      <c r="BL141" s="264"/>
      <c r="BM141" s="264"/>
      <c r="BN141" s="265"/>
      <c r="BO141" s="265"/>
      <c r="BP141" s="265"/>
      <c r="BQ141" s="265"/>
      <c r="BR141" s="265"/>
      <c r="BS141" s="265"/>
      <c r="BT141" s="265"/>
      <c r="BU141" s="265"/>
      <c r="BV141" s="265"/>
      <c r="BW141" s="265"/>
      <c r="BX141" s="265"/>
      <c r="BY141" s="265"/>
      <c r="BZ141" s="265"/>
      <c r="CA141" s="265"/>
      <c r="CB141" s="265"/>
      <c r="CC141" s="265"/>
      <c r="CD141" s="266"/>
      <c r="CE141" s="266"/>
      <c r="CF141" s="266"/>
      <c r="CG141" s="266"/>
      <c r="CH141" s="266"/>
      <c r="CI141" s="266"/>
      <c r="CJ141" s="266"/>
      <c r="CK141" s="266"/>
      <c r="CL141" s="266"/>
      <c r="CM141" s="266"/>
      <c r="CN141" s="266"/>
      <c r="CO141" s="266"/>
      <c r="CP141" s="266"/>
      <c r="CQ141" s="266"/>
      <c r="CR141" s="266"/>
      <c r="CS141" s="266"/>
      <c r="CT141" s="267"/>
      <c r="CU141" s="267">
        <v>30</v>
      </c>
      <c r="CV141" s="267"/>
      <c r="CW141" s="267"/>
      <c r="CX141" s="267"/>
      <c r="CY141" s="267"/>
      <c r="CZ141" s="267"/>
      <c r="DA141" s="267"/>
      <c r="DB141" s="267"/>
      <c r="DC141" s="267"/>
      <c r="DD141" s="267"/>
      <c r="DE141" s="267"/>
      <c r="DF141" s="267"/>
      <c r="DG141" s="267"/>
      <c r="DH141" s="267"/>
      <c r="DI141" s="267"/>
      <c r="DJ141" s="268"/>
      <c r="DK141" s="268"/>
      <c r="DL141" s="268"/>
      <c r="DM141" s="268"/>
      <c r="DN141" s="268"/>
      <c r="DO141" s="268"/>
      <c r="DP141" s="268"/>
      <c r="DQ141" s="268"/>
      <c r="DR141" s="268"/>
      <c r="DS141" s="268"/>
      <c r="DT141" s="268"/>
      <c r="DU141" s="268"/>
      <c r="DV141" s="268"/>
      <c r="DW141" s="268"/>
      <c r="DX141" s="268"/>
      <c r="DY141" s="268"/>
      <c r="EA141" s="13"/>
      <c r="EB141" s="96"/>
      <c r="EC141" s="96"/>
      <c r="ED141" s="96"/>
      <c r="EE141" s="96"/>
      <c r="EF141" s="96"/>
      <c r="EG141" s="96"/>
      <c r="EH141" s="96"/>
      <c r="EI141" s="96"/>
      <c r="EJ141" s="96"/>
      <c r="EK141" s="96"/>
      <c r="EL141" s="96"/>
      <c r="EM141" s="96"/>
      <c r="EN141" s="96"/>
      <c r="EO141" s="96"/>
      <c r="EP141" s="96"/>
      <c r="EQ141" s="96"/>
      <c r="ER141" s="96"/>
      <c r="ES141" s="96"/>
      <c r="ET141" s="96"/>
      <c r="EU141" s="96"/>
      <c r="EV141" s="96"/>
      <c r="EW141" s="96"/>
      <c r="EX141" s="96"/>
      <c r="EY141" s="96"/>
      <c r="EZ141" s="96"/>
      <c r="FA141" s="96"/>
      <c r="FB141" s="96"/>
      <c r="FC141" s="96"/>
      <c r="FD141" s="96"/>
      <c r="FE141" s="96"/>
      <c r="FF141" s="96"/>
      <c r="FG141" s="96"/>
      <c r="FH141" s="96"/>
      <c r="FI141" s="96"/>
      <c r="FJ141" s="96"/>
      <c r="FK141" s="96"/>
      <c r="FL141" s="96"/>
      <c r="FM141" s="96"/>
      <c r="FN141" s="96"/>
      <c r="FO141" s="96"/>
      <c r="FP141" s="96"/>
      <c r="FQ141" s="96"/>
      <c r="FR141" s="96"/>
      <c r="FS141" s="96"/>
      <c r="FT141" s="96"/>
      <c r="FU141" s="96"/>
      <c r="FV141" s="96"/>
      <c r="FW141" s="96"/>
      <c r="FX141" s="96"/>
      <c r="FY141" s="96"/>
      <c r="FZ141" s="96"/>
      <c r="GA141" s="96"/>
      <c r="GB141" s="96"/>
      <c r="GC141" s="96"/>
      <c r="GD141" s="96"/>
      <c r="GE141" s="96"/>
      <c r="GF141" s="96"/>
      <c r="GG141" s="96"/>
      <c r="GH141" s="96"/>
      <c r="GI141" s="96"/>
      <c r="GJ141" s="96"/>
      <c r="GK141" s="96"/>
      <c r="GL141" s="96"/>
      <c r="GM141" s="13"/>
      <c r="GN141" s="96"/>
      <c r="GO141" s="96"/>
      <c r="GP141" s="96"/>
      <c r="GQ141" s="96"/>
      <c r="GR141" s="96"/>
      <c r="GS141" s="96"/>
      <c r="GT141" s="96"/>
      <c r="GU141" s="96"/>
      <c r="GV141" s="96"/>
      <c r="GW141" s="96"/>
      <c r="GX141" s="96"/>
      <c r="GY141" s="96"/>
      <c r="GZ141" s="96"/>
      <c r="HA141" s="96"/>
      <c r="HB141" s="96"/>
      <c r="HC141" s="13"/>
      <c r="HD141" s="96"/>
      <c r="HE141" s="96"/>
      <c r="HF141" s="96"/>
      <c r="HG141" s="96"/>
      <c r="HH141" s="96"/>
      <c r="HI141" s="96"/>
      <c r="HJ141" s="96"/>
      <c r="HK141" s="96"/>
      <c r="HL141" s="96"/>
      <c r="HM141" s="96"/>
      <c r="HN141" s="96"/>
      <c r="HO141" s="96"/>
      <c r="HP141" s="96"/>
      <c r="HQ141" s="96"/>
      <c r="HR141" s="96"/>
      <c r="HS141" s="13"/>
      <c r="HT141" s="96"/>
      <c r="HU141" s="96"/>
      <c r="HV141" s="96"/>
      <c r="HW141" s="96"/>
      <c r="HX141" s="96"/>
      <c r="HY141" s="96"/>
      <c r="HZ141" s="96"/>
      <c r="IA141" s="96"/>
      <c r="IB141" s="96"/>
      <c r="IC141" s="96"/>
      <c r="ID141" s="96"/>
      <c r="IE141" s="96"/>
      <c r="IF141" s="96"/>
      <c r="IG141" s="96"/>
      <c r="IH141" s="96"/>
      <c r="II141" s="13"/>
      <c r="IJ141" s="96"/>
      <c r="IK141" s="96"/>
      <c r="IL141" s="96"/>
      <c r="IM141" s="96"/>
      <c r="IN141" s="96"/>
      <c r="IO141" s="96"/>
      <c r="IP141" s="96"/>
      <c r="IQ141" s="96"/>
      <c r="IR141" s="96"/>
      <c r="IS141" s="96"/>
      <c r="IT141" s="96"/>
      <c r="IU141" s="96"/>
      <c r="IV141" s="96"/>
      <c r="IW141" s="96"/>
      <c r="IX141" s="96"/>
      <c r="IY141" s="13"/>
    </row>
    <row r="142" spans="1:259" outlineLevel="1">
      <c r="A142" s="11">
        <f>'VAC &amp; MED'!C133</f>
        <v>46134</v>
      </c>
      <c r="B142" s="261"/>
      <c r="C142" s="261"/>
      <c r="D142" s="261"/>
      <c r="E142" s="261"/>
      <c r="F142" s="261"/>
      <c r="G142" s="261"/>
      <c r="H142" s="261"/>
      <c r="I142" s="261"/>
      <c r="J142" s="261"/>
      <c r="K142" s="261"/>
      <c r="L142" s="261"/>
      <c r="M142" s="261"/>
      <c r="N142" s="261"/>
      <c r="O142" s="261"/>
      <c r="P142" s="261"/>
      <c r="Q142" s="261"/>
      <c r="R142" s="262"/>
      <c r="S142" s="262"/>
      <c r="T142" s="262"/>
      <c r="U142" s="262"/>
      <c r="V142" s="262"/>
      <c r="W142" s="262"/>
      <c r="X142" s="262"/>
      <c r="Y142" s="262"/>
      <c r="Z142" s="262"/>
      <c r="AA142" s="262"/>
      <c r="AB142" s="262"/>
      <c r="AC142" s="262"/>
      <c r="AD142" s="262"/>
      <c r="AE142" s="262"/>
      <c r="AF142" s="262"/>
      <c r="AG142" s="262"/>
      <c r="AH142" s="263"/>
      <c r="AI142" s="263"/>
      <c r="AJ142" s="263"/>
      <c r="AK142" s="263"/>
      <c r="AL142" s="263"/>
      <c r="AM142" s="263"/>
      <c r="AN142" s="263"/>
      <c r="AO142" s="263"/>
      <c r="AP142" s="263"/>
      <c r="AQ142" s="263"/>
      <c r="AR142" s="263"/>
      <c r="AS142" s="263"/>
      <c r="AT142" s="263"/>
      <c r="AU142" s="263"/>
      <c r="AV142" s="263"/>
      <c r="AW142" s="263"/>
      <c r="AX142" s="264"/>
      <c r="AY142" s="264"/>
      <c r="AZ142" s="264"/>
      <c r="BA142" s="264"/>
      <c r="BB142" s="264"/>
      <c r="BC142" s="264"/>
      <c r="BD142" s="264"/>
      <c r="BE142" s="264"/>
      <c r="BF142" s="264"/>
      <c r="BG142" s="264"/>
      <c r="BH142" s="264"/>
      <c r="BI142" s="264"/>
      <c r="BJ142" s="264"/>
      <c r="BK142" s="264"/>
      <c r="BL142" s="264"/>
      <c r="BM142" s="264"/>
      <c r="BN142" s="265"/>
      <c r="BO142" s="265"/>
      <c r="BP142" s="265"/>
      <c r="BQ142" s="265"/>
      <c r="BR142" s="265"/>
      <c r="BS142" s="265"/>
      <c r="BT142" s="265"/>
      <c r="BU142" s="265"/>
      <c r="BV142" s="265"/>
      <c r="BW142" s="265"/>
      <c r="BX142" s="265"/>
      <c r="BY142" s="265"/>
      <c r="BZ142" s="265"/>
      <c r="CA142" s="265"/>
      <c r="CB142" s="265"/>
      <c r="CC142" s="265"/>
      <c r="CD142" s="266"/>
      <c r="CE142" s="266"/>
      <c r="CF142" s="266"/>
      <c r="CG142" s="266"/>
      <c r="CH142" s="266"/>
      <c r="CI142" s="266"/>
      <c r="CJ142" s="266"/>
      <c r="CK142" s="266"/>
      <c r="CL142" s="266"/>
      <c r="CM142" s="266"/>
      <c r="CN142" s="266"/>
      <c r="CO142" s="266"/>
      <c r="CP142" s="266"/>
      <c r="CQ142" s="266"/>
      <c r="CR142" s="266"/>
      <c r="CS142" s="266"/>
      <c r="CT142" s="267"/>
      <c r="CU142" s="267"/>
      <c r="CV142" s="267"/>
      <c r="CW142" s="267"/>
      <c r="CX142" s="267"/>
      <c r="CY142" s="267"/>
      <c r="CZ142" s="267"/>
      <c r="DA142" s="267"/>
      <c r="DB142" s="267"/>
      <c r="DC142" s="267"/>
      <c r="DD142" s="267"/>
      <c r="DE142" s="267"/>
      <c r="DF142" s="267"/>
      <c r="DG142" s="267"/>
      <c r="DH142" s="267"/>
      <c r="DI142" s="267"/>
      <c r="DJ142" s="268"/>
      <c r="DK142" s="268"/>
      <c r="DL142" s="268"/>
      <c r="DM142" s="268"/>
      <c r="DN142" s="268"/>
      <c r="DO142" s="268"/>
      <c r="DP142" s="268"/>
      <c r="DQ142" s="268"/>
      <c r="DR142" s="268"/>
      <c r="DS142" s="268"/>
      <c r="DT142" s="268"/>
      <c r="DU142" s="268"/>
      <c r="DV142" s="268"/>
      <c r="DW142" s="268"/>
      <c r="DX142" s="268"/>
      <c r="DY142" s="268"/>
      <c r="EA142" s="13"/>
      <c r="EB142" s="96"/>
      <c r="EC142" s="96"/>
      <c r="ED142" s="96"/>
      <c r="EE142" s="96"/>
      <c r="EF142" s="96"/>
      <c r="EG142" s="96"/>
      <c r="EH142" s="96"/>
      <c r="EI142" s="96"/>
      <c r="EJ142" s="96"/>
      <c r="EK142" s="96"/>
      <c r="EL142" s="96"/>
      <c r="EM142" s="96"/>
      <c r="EN142" s="96"/>
      <c r="EO142" s="96"/>
      <c r="EP142" s="96"/>
      <c r="EQ142" s="96"/>
      <c r="ER142" s="96"/>
      <c r="ES142" s="96"/>
      <c r="ET142" s="96"/>
      <c r="EU142" s="96"/>
      <c r="EV142" s="96"/>
      <c r="EW142" s="96"/>
      <c r="EX142" s="96"/>
      <c r="EY142" s="96"/>
      <c r="EZ142" s="96"/>
      <c r="FA142" s="96"/>
      <c r="FB142" s="96"/>
      <c r="FC142" s="96"/>
      <c r="FD142" s="96"/>
      <c r="FE142" s="96"/>
      <c r="FF142" s="96"/>
      <c r="FG142" s="96"/>
      <c r="FH142" s="96"/>
      <c r="FI142" s="96"/>
      <c r="FJ142" s="96"/>
      <c r="FK142" s="96"/>
      <c r="FL142" s="96"/>
      <c r="FM142" s="96"/>
      <c r="FN142" s="96"/>
      <c r="FO142" s="96"/>
      <c r="FP142" s="96"/>
      <c r="FQ142" s="96"/>
      <c r="FR142" s="96"/>
      <c r="FS142" s="96"/>
      <c r="FT142" s="96"/>
      <c r="FU142" s="96"/>
      <c r="FV142" s="96"/>
      <c r="FW142" s="96"/>
      <c r="FX142" s="96"/>
      <c r="FY142" s="96"/>
      <c r="FZ142" s="96"/>
      <c r="GA142" s="96"/>
      <c r="GB142" s="96"/>
      <c r="GC142" s="96"/>
      <c r="GD142" s="96"/>
      <c r="GE142" s="96"/>
      <c r="GF142" s="96"/>
      <c r="GG142" s="96"/>
      <c r="GH142" s="96"/>
      <c r="GI142" s="96"/>
      <c r="GJ142" s="96"/>
      <c r="GK142" s="96"/>
      <c r="GL142" s="96"/>
      <c r="GM142" s="13"/>
      <c r="GN142" s="96"/>
      <c r="GO142" s="96"/>
      <c r="GP142" s="96"/>
      <c r="GQ142" s="96"/>
      <c r="GR142" s="96"/>
      <c r="GS142" s="96"/>
      <c r="GT142" s="96"/>
      <c r="GU142" s="96"/>
      <c r="GV142" s="96"/>
      <c r="GW142" s="96"/>
      <c r="GX142" s="96"/>
      <c r="GY142" s="96"/>
      <c r="GZ142" s="96"/>
      <c r="HA142" s="96"/>
      <c r="HB142" s="96"/>
      <c r="HC142" s="13"/>
      <c r="HD142" s="96"/>
      <c r="HE142" s="96"/>
      <c r="HF142" s="96"/>
      <c r="HG142" s="96"/>
      <c r="HH142" s="96"/>
      <c r="HI142" s="96"/>
      <c r="HJ142" s="96"/>
      <c r="HK142" s="96"/>
      <c r="HL142" s="96"/>
      <c r="HM142" s="96"/>
      <c r="HN142" s="96"/>
      <c r="HO142" s="96"/>
      <c r="HP142" s="96"/>
      <c r="HQ142" s="96"/>
      <c r="HR142" s="96"/>
      <c r="HS142" s="13"/>
      <c r="HT142" s="96"/>
      <c r="HU142" s="96"/>
      <c r="HV142" s="96"/>
      <c r="HW142" s="96"/>
      <c r="HX142" s="96"/>
      <c r="HY142" s="96"/>
      <c r="HZ142" s="96"/>
      <c r="IA142" s="96"/>
      <c r="IB142" s="96"/>
      <c r="IC142" s="96"/>
      <c r="ID142" s="96"/>
      <c r="IE142" s="96"/>
      <c r="IF142" s="96"/>
      <c r="IG142" s="96"/>
      <c r="IH142" s="96"/>
      <c r="II142" s="13"/>
      <c r="IJ142" s="96"/>
      <c r="IK142" s="96"/>
      <c r="IL142" s="96"/>
      <c r="IM142" s="96"/>
      <c r="IN142" s="96"/>
      <c r="IO142" s="96"/>
      <c r="IP142" s="96"/>
      <c r="IQ142" s="96"/>
      <c r="IR142" s="96"/>
      <c r="IS142" s="96"/>
      <c r="IT142" s="96"/>
      <c r="IU142" s="96"/>
      <c r="IV142" s="96"/>
      <c r="IW142" s="96"/>
      <c r="IX142" s="96"/>
      <c r="IY142" s="13"/>
    </row>
    <row r="143" spans="1:259" outlineLevel="1">
      <c r="A143" s="11">
        <f>'VAC &amp; MED'!C134</f>
        <v>46135</v>
      </c>
      <c r="B143" s="261"/>
      <c r="C143" s="261"/>
      <c r="D143" s="261"/>
      <c r="E143" s="261"/>
      <c r="F143" s="261"/>
      <c r="G143" s="261"/>
      <c r="H143" s="261"/>
      <c r="I143" s="261"/>
      <c r="J143" s="261"/>
      <c r="K143" s="261"/>
      <c r="L143" s="261"/>
      <c r="M143" s="261"/>
      <c r="N143" s="261"/>
      <c r="O143" s="261"/>
      <c r="P143" s="261"/>
      <c r="Q143" s="261"/>
      <c r="R143" s="262">
        <v>66</v>
      </c>
      <c r="S143" s="262"/>
      <c r="T143" s="262"/>
      <c r="U143" s="262"/>
      <c r="V143" s="262"/>
      <c r="W143" s="262"/>
      <c r="X143" s="262"/>
      <c r="Y143" s="262"/>
      <c r="Z143" s="262"/>
      <c r="AA143" s="262"/>
      <c r="AB143" s="262"/>
      <c r="AC143" s="262"/>
      <c r="AD143" s="262"/>
      <c r="AE143" s="262"/>
      <c r="AF143" s="262"/>
      <c r="AG143" s="262"/>
      <c r="AH143" s="263"/>
      <c r="AI143" s="263"/>
      <c r="AJ143" s="263"/>
      <c r="AK143" s="263"/>
      <c r="AL143" s="263"/>
      <c r="AM143" s="263"/>
      <c r="AN143" s="263"/>
      <c r="AO143" s="263"/>
      <c r="AP143" s="263"/>
      <c r="AQ143" s="263"/>
      <c r="AR143" s="263"/>
      <c r="AS143" s="263"/>
      <c r="AT143" s="263"/>
      <c r="AU143" s="263"/>
      <c r="AV143" s="263"/>
      <c r="AW143" s="263"/>
      <c r="AX143" s="264"/>
      <c r="AY143" s="264"/>
      <c r="AZ143" s="264"/>
      <c r="BA143" s="264"/>
      <c r="BB143" s="264"/>
      <c r="BC143" s="264"/>
      <c r="BD143" s="264"/>
      <c r="BE143" s="264"/>
      <c r="BF143" s="264"/>
      <c r="BG143" s="264"/>
      <c r="BH143" s="264"/>
      <c r="BI143" s="264"/>
      <c r="BJ143" s="264"/>
      <c r="BK143" s="264"/>
      <c r="BL143" s="264"/>
      <c r="BM143" s="264"/>
      <c r="BN143" s="265"/>
      <c r="BO143" s="265"/>
      <c r="BP143" s="265"/>
      <c r="BQ143" s="265"/>
      <c r="BR143" s="265"/>
      <c r="BS143" s="265"/>
      <c r="BT143" s="265"/>
      <c r="BU143" s="265"/>
      <c r="BV143" s="265"/>
      <c r="BW143" s="265"/>
      <c r="BX143" s="265"/>
      <c r="BY143" s="265"/>
      <c r="BZ143" s="265"/>
      <c r="CA143" s="265"/>
      <c r="CB143" s="265"/>
      <c r="CC143" s="265"/>
      <c r="CD143" s="266"/>
      <c r="CE143" s="266"/>
      <c r="CF143" s="266"/>
      <c r="CG143" s="266"/>
      <c r="CH143" s="266"/>
      <c r="CI143" s="266"/>
      <c r="CJ143" s="266"/>
      <c r="CK143" s="266"/>
      <c r="CL143" s="266"/>
      <c r="CM143" s="266"/>
      <c r="CN143" s="266"/>
      <c r="CO143" s="266"/>
      <c r="CP143" s="266"/>
      <c r="CQ143" s="266"/>
      <c r="CR143" s="266"/>
      <c r="CS143" s="266"/>
      <c r="CT143" s="267"/>
      <c r="CU143" s="267">
        <v>24</v>
      </c>
      <c r="CV143" s="267">
        <v>16</v>
      </c>
      <c r="CW143" s="267"/>
      <c r="CX143" s="267"/>
      <c r="CY143" s="267"/>
      <c r="CZ143" s="267"/>
      <c r="DA143" s="267"/>
      <c r="DB143" s="267"/>
      <c r="DC143" s="267"/>
      <c r="DD143" s="267"/>
      <c r="DE143" s="267"/>
      <c r="DF143" s="267"/>
      <c r="DG143" s="267"/>
      <c r="DH143" s="267"/>
      <c r="DI143" s="267"/>
      <c r="DJ143" s="268"/>
      <c r="DK143" s="268"/>
      <c r="DL143" s="268"/>
      <c r="DM143" s="268"/>
      <c r="DN143" s="268"/>
      <c r="DO143" s="268"/>
      <c r="DP143" s="268"/>
      <c r="DQ143" s="268"/>
      <c r="DR143" s="268"/>
      <c r="DS143" s="268"/>
      <c r="DT143" s="268"/>
      <c r="DU143" s="268"/>
      <c r="DV143" s="268"/>
      <c r="DW143" s="268"/>
      <c r="DX143" s="268"/>
      <c r="DY143" s="268"/>
      <c r="EA143" s="13"/>
      <c r="EB143" s="96"/>
      <c r="EC143" s="96"/>
      <c r="ED143" s="96"/>
      <c r="EE143" s="96"/>
      <c r="EF143" s="96"/>
      <c r="EG143" s="96"/>
      <c r="EH143" s="96"/>
      <c r="EI143" s="96"/>
      <c r="EJ143" s="96"/>
      <c r="EK143" s="96"/>
      <c r="EL143" s="96"/>
      <c r="EM143" s="96"/>
      <c r="EN143" s="96"/>
      <c r="EO143" s="96"/>
      <c r="EP143" s="96"/>
      <c r="EQ143" s="96"/>
      <c r="ER143" s="96"/>
      <c r="ES143" s="96"/>
      <c r="ET143" s="96"/>
      <c r="EU143" s="96"/>
      <c r="EV143" s="96"/>
      <c r="EW143" s="96"/>
      <c r="EX143" s="96"/>
      <c r="EY143" s="96"/>
      <c r="EZ143" s="96"/>
      <c r="FA143" s="96"/>
      <c r="FB143" s="96"/>
      <c r="FC143" s="96"/>
      <c r="FD143" s="96"/>
      <c r="FE143" s="96"/>
      <c r="FF143" s="96"/>
      <c r="FG143" s="96"/>
      <c r="FH143" s="96"/>
      <c r="FI143" s="96"/>
      <c r="FJ143" s="96"/>
      <c r="FK143" s="96"/>
      <c r="FL143" s="96"/>
      <c r="FM143" s="96"/>
      <c r="FN143" s="96"/>
      <c r="FO143" s="96"/>
      <c r="FP143" s="96"/>
      <c r="FQ143" s="96"/>
      <c r="FR143" s="96"/>
      <c r="FS143" s="96"/>
      <c r="FT143" s="96"/>
      <c r="FU143" s="96"/>
      <c r="FV143" s="96"/>
      <c r="FW143" s="96"/>
      <c r="FX143" s="96"/>
      <c r="FY143" s="96"/>
      <c r="FZ143" s="96"/>
      <c r="GA143" s="96"/>
      <c r="GB143" s="96"/>
      <c r="GC143" s="96"/>
      <c r="GD143" s="96"/>
      <c r="GE143" s="96"/>
      <c r="GF143" s="96"/>
      <c r="GG143" s="96"/>
      <c r="GH143" s="96"/>
      <c r="GI143" s="96"/>
      <c r="GJ143" s="96"/>
      <c r="GK143" s="96"/>
      <c r="GL143" s="96"/>
      <c r="GM143" s="13"/>
      <c r="GN143" s="96"/>
      <c r="GO143" s="96"/>
      <c r="GP143" s="96"/>
      <c r="GQ143" s="96"/>
      <c r="GR143" s="96"/>
      <c r="GS143" s="96"/>
      <c r="GT143" s="96"/>
      <c r="GU143" s="96"/>
      <c r="GV143" s="96"/>
      <c r="GW143" s="96"/>
      <c r="GX143" s="96"/>
      <c r="GY143" s="96"/>
      <c r="GZ143" s="96"/>
      <c r="HA143" s="96"/>
      <c r="HB143" s="96"/>
      <c r="HC143" s="13"/>
      <c r="HD143" s="96"/>
      <c r="HE143" s="96"/>
      <c r="HF143" s="96"/>
      <c r="HG143" s="96"/>
      <c r="HH143" s="96"/>
      <c r="HI143" s="96"/>
      <c r="HJ143" s="96"/>
      <c r="HK143" s="96"/>
      <c r="HL143" s="96"/>
      <c r="HM143" s="96"/>
      <c r="HN143" s="96"/>
      <c r="HO143" s="96"/>
      <c r="HP143" s="96"/>
      <c r="HQ143" s="96"/>
      <c r="HR143" s="96"/>
      <c r="HS143" s="13"/>
      <c r="HT143" s="96"/>
      <c r="HU143" s="96"/>
      <c r="HV143" s="96"/>
      <c r="HW143" s="96"/>
      <c r="HX143" s="96"/>
      <c r="HY143" s="96"/>
      <c r="HZ143" s="96"/>
      <c r="IA143" s="96"/>
      <c r="IB143" s="96"/>
      <c r="IC143" s="96"/>
      <c r="ID143" s="96"/>
      <c r="IE143" s="96"/>
      <c r="IF143" s="96"/>
      <c r="IG143" s="96"/>
      <c r="IH143" s="96"/>
      <c r="II143" s="13"/>
      <c r="IJ143" s="96"/>
      <c r="IK143" s="96"/>
      <c r="IL143" s="96"/>
      <c r="IM143" s="96"/>
      <c r="IN143" s="96"/>
      <c r="IO143" s="96"/>
      <c r="IP143" s="96"/>
      <c r="IQ143" s="96"/>
      <c r="IR143" s="96"/>
      <c r="IS143" s="96"/>
      <c r="IT143" s="96"/>
      <c r="IU143" s="96"/>
      <c r="IV143" s="96"/>
      <c r="IW143" s="96"/>
      <c r="IX143" s="96"/>
      <c r="IY143" s="13"/>
    </row>
    <row r="144" spans="1:259" outlineLevel="1">
      <c r="A144" s="11">
        <f>'VAC &amp; MED'!C135</f>
        <v>46136</v>
      </c>
      <c r="B144" s="261"/>
      <c r="C144" s="261"/>
      <c r="D144" s="261"/>
      <c r="E144" s="261"/>
      <c r="F144" s="261"/>
      <c r="G144" s="261"/>
      <c r="H144" s="261"/>
      <c r="I144" s="261"/>
      <c r="J144" s="261"/>
      <c r="K144" s="261"/>
      <c r="L144" s="261"/>
      <c r="M144" s="261"/>
      <c r="N144" s="261"/>
      <c r="O144" s="261"/>
      <c r="P144" s="261"/>
      <c r="Q144" s="261"/>
      <c r="R144" s="262"/>
      <c r="S144" s="262"/>
      <c r="T144" s="262"/>
      <c r="U144" s="262"/>
      <c r="V144" s="262"/>
      <c r="W144" s="262"/>
      <c r="X144" s="262"/>
      <c r="Y144" s="262"/>
      <c r="Z144" s="262"/>
      <c r="AA144" s="262"/>
      <c r="AB144" s="262"/>
      <c r="AC144" s="262"/>
      <c r="AD144" s="262"/>
      <c r="AE144" s="262"/>
      <c r="AF144" s="262"/>
      <c r="AG144" s="262"/>
      <c r="AH144" s="263">
        <v>58</v>
      </c>
      <c r="AI144" s="263"/>
      <c r="AJ144" s="263"/>
      <c r="AK144" s="263"/>
      <c r="AL144" s="263"/>
      <c r="AM144" s="263"/>
      <c r="AN144" s="263"/>
      <c r="AO144" s="263"/>
      <c r="AP144" s="263"/>
      <c r="AQ144" s="263"/>
      <c r="AR144" s="263"/>
      <c r="AS144" s="263"/>
      <c r="AT144" s="263"/>
      <c r="AU144" s="263"/>
      <c r="AV144" s="263"/>
      <c r="AW144" s="263"/>
      <c r="AX144" s="264"/>
      <c r="AY144" s="264"/>
      <c r="AZ144" s="264"/>
      <c r="BA144" s="264"/>
      <c r="BB144" s="264"/>
      <c r="BC144" s="264"/>
      <c r="BD144" s="264"/>
      <c r="BE144" s="264"/>
      <c r="BF144" s="264"/>
      <c r="BG144" s="264"/>
      <c r="BH144" s="264"/>
      <c r="BI144" s="264"/>
      <c r="BJ144" s="264"/>
      <c r="BK144" s="264"/>
      <c r="BL144" s="264"/>
      <c r="BM144" s="264"/>
      <c r="BN144" s="265"/>
      <c r="BO144" s="265"/>
      <c r="BP144" s="265"/>
      <c r="BQ144" s="265"/>
      <c r="BR144" s="265"/>
      <c r="BS144" s="265"/>
      <c r="BT144" s="265"/>
      <c r="BU144" s="265"/>
      <c r="BV144" s="265"/>
      <c r="BW144" s="265"/>
      <c r="BX144" s="265"/>
      <c r="BY144" s="265"/>
      <c r="BZ144" s="265"/>
      <c r="CA144" s="265"/>
      <c r="CB144" s="265"/>
      <c r="CC144" s="265"/>
      <c r="CD144" s="266"/>
      <c r="CE144" s="266"/>
      <c r="CF144" s="266"/>
      <c r="CG144" s="266"/>
      <c r="CH144" s="266"/>
      <c r="CI144" s="266"/>
      <c r="CJ144" s="266"/>
      <c r="CK144" s="266"/>
      <c r="CL144" s="266"/>
      <c r="CM144" s="266"/>
      <c r="CN144" s="266"/>
      <c r="CO144" s="266"/>
      <c r="CP144" s="266"/>
      <c r="CQ144" s="266"/>
      <c r="CR144" s="266"/>
      <c r="CS144" s="266"/>
      <c r="CT144" s="267"/>
      <c r="CU144" s="267"/>
      <c r="CV144" s="267"/>
      <c r="CW144" s="267"/>
      <c r="CX144" s="267"/>
      <c r="CY144" s="267"/>
      <c r="CZ144" s="267"/>
      <c r="DA144" s="267"/>
      <c r="DB144" s="267"/>
      <c r="DC144" s="267"/>
      <c r="DD144" s="267"/>
      <c r="DE144" s="267"/>
      <c r="DF144" s="267"/>
      <c r="DG144" s="267"/>
      <c r="DH144" s="267"/>
      <c r="DI144" s="267"/>
      <c r="DJ144" s="268"/>
      <c r="DK144" s="268"/>
      <c r="DL144" s="268"/>
      <c r="DM144" s="268"/>
      <c r="DN144" s="268"/>
      <c r="DO144" s="268"/>
      <c r="DP144" s="268"/>
      <c r="DQ144" s="268"/>
      <c r="DR144" s="268"/>
      <c r="DS144" s="268"/>
      <c r="DT144" s="268"/>
      <c r="DU144" s="268"/>
      <c r="DV144" s="268"/>
      <c r="DW144" s="268"/>
      <c r="DX144" s="268"/>
      <c r="DY144" s="268"/>
      <c r="EA144" s="13"/>
      <c r="EB144" s="96"/>
      <c r="EC144" s="96"/>
      <c r="ED144" s="96"/>
      <c r="EE144" s="96"/>
      <c r="EF144" s="96"/>
      <c r="EG144" s="96"/>
      <c r="EH144" s="96"/>
      <c r="EI144" s="96"/>
      <c r="EJ144" s="96"/>
      <c r="EK144" s="96"/>
      <c r="EL144" s="96"/>
      <c r="EM144" s="96"/>
      <c r="EN144" s="96"/>
      <c r="EO144" s="96"/>
      <c r="EP144" s="96"/>
      <c r="EQ144" s="96"/>
      <c r="ER144" s="96"/>
      <c r="ES144" s="96"/>
      <c r="ET144" s="96"/>
      <c r="EU144" s="96"/>
      <c r="EV144" s="96"/>
      <c r="EW144" s="96"/>
      <c r="EX144" s="96"/>
      <c r="EY144" s="96"/>
      <c r="EZ144" s="96"/>
      <c r="FA144" s="96"/>
      <c r="FB144" s="96"/>
      <c r="FC144" s="96"/>
      <c r="FD144" s="96"/>
      <c r="FE144" s="96"/>
      <c r="FF144" s="96"/>
      <c r="FG144" s="96"/>
      <c r="FH144" s="96"/>
      <c r="FI144" s="96"/>
      <c r="FJ144" s="96"/>
      <c r="FK144" s="96"/>
      <c r="FL144" s="96"/>
      <c r="FM144" s="96"/>
      <c r="FN144" s="96"/>
      <c r="FO144" s="96"/>
      <c r="FP144" s="96"/>
      <c r="FQ144" s="96"/>
      <c r="FR144" s="96"/>
      <c r="FS144" s="96"/>
      <c r="FT144" s="96"/>
      <c r="FU144" s="96"/>
      <c r="FV144" s="96"/>
      <c r="FW144" s="96"/>
      <c r="FX144" s="96"/>
      <c r="FY144" s="96"/>
      <c r="FZ144" s="96"/>
      <c r="GA144" s="96"/>
      <c r="GB144" s="96"/>
      <c r="GC144" s="96"/>
      <c r="GD144" s="96"/>
      <c r="GE144" s="96"/>
      <c r="GF144" s="96"/>
      <c r="GG144" s="96"/>
      <c r="GH144" s="96"/>
      <c r="GI144" s="96"/>
      <c r="GJ144" s="96"/>
      <c r="GK144" s="96"/>
      <c r="GL144" s="96"/>
      <c r="GM144" s="13"/>
      <c r="GN144" s="96"/>
      <c r="GO144" s="96"/>
      <c r="GP144" s="96"/>
      <c r="GQ144" s="96"/>
      <c r="GR144" s="96"/>
      <c r="GS144" s="96"/>
      <c r="GT144" s="96"/>
      <c r="GU144" s="96"/>
      <c r="GV144" s="96"/>
      <c r="GW144" s="96"/>
      <c r="GX144" s="96"/>
      <c r="GY144" s="96"/>
      <c r="GZ144" s="96"/>
      <c r="HA144" s="96"/>
      <c r="HB144" s="96"/>
      <c r="HC144" s="13"/>
      <c r="HD144" s="96"/>
      <c r="HE144" s="96"/>
      <c r="HF144" s="96"/>
      <c r="HG144" s="96"/>
      <c r="HH144" s="96"/>
      <c r="HI144" s="96"/>
      <c r="HJ144" s="96"/>
      <c r="HK144" s="96"/>
      <c r="HL144" s="96"/>
      <c r="HM144" s="96"/>
      <c r="HN144" s="96"/>
      <c r="HO144" s="96"/>
      <c r="HP144" s="96"/>
      <c r="HQ144" s="96"/>
      <c r="HR144" s="96"/>
      <c r="HS144" s="13"/>
      <c r="HT144" s="96"/>
      <c r="HU144" s="96"/>
      <c r="HV144" s="96"/>
      <c r="HW144" s="96"/>
      <c r="HX144" s="96"/>
      <c r="HY144" s="96"/>
      <c r="HZ144" s="96"/>
      <c r="IA144" s="96"/>
      <c r="IB144" s="96"/>
      <c r="IC144" s="96"/>
      <c r="ID144" s="96"/>
      <c r="IE144" s="96"/>
      <c r="IF144" s="96"/>
      <c r="IG144" s="96"/>
      <c r="IH144" s="96"/>
      <c r="II144" s="13"/>
      <c r="IJ144" s="96"/>
      <c r="IK144" s="96"/>
      <c r="IL144" s="96"/>
      <c r="IM144" s="96"/>
      <c r="IN144" s="96"/>
      <c r="IO144" s="96"/>
      <c r="IP144" s="96"/>
      <c r="IQ144" s="96"/>
      <c r="IR144" s="96"/>
      <c r="IS144" s="96"/>
      <c r="IT144" s="96"/>
      <c r="IU144" s="96"/>
      <c r="IV144" s="96"/>
      <c r="IW144" s="96"/>
      <c r="IX144" s="96"/>
      <c r="IY144" s="13"/>
    </row>
    <row r="145" spans="1:259" outlineLevel="1">
      <c r="A145" s="11">
        <f>'VAC &amp; MED'!C136</f>
        <v>46137</v>
      </c>
      <c r="B145" s="261"/>
      <c r="C145" s="261"/>
      <c r="D145" s="261"/>
      <c r="E145" s="261"/>
      <c r="F145" s="261"/>
      <c r="G145" s="261"/>
      <c r="H145" s="261"/>
      <c r="I145" s="261"/>
      <c r="J145" s="261"/>
      <c r="K145" s="261"/>
      <c r="L145" s="261"/>
      <c r="M145" s="261"/>
      <c r="N145" s="261"/>
      <c r="O145" s="261"/>
      <c r="P145" s="261"/>
      <c r="Q145" s="261"/>
      <c r="R145" s="262"/>
      <c r="S145" s="262"/>
      <c r="T145" s="262"/>
      <c r="U145" s="262"/>
      <c r="V145" s="262"/>
      <c r="W145" s="262"/>
      <c r="X145" s="262"/>
      <c r="Y145" s="262"/>
      <c r="Z145" s="262"/>
      <c r="AA145" s="262"/>
      <c r="AB145" s="262"/>
      <c r="AC145" s="262"/>
      <c r="AD145" s="262"/>
      <c r="AE145" s="262"/>
      <c r="AF145" s="262"/>
      <c r="AG145" s="262"/>
      <c r="AH145" s="263">
        <v>18</v>
      </c>
      <c r="AI145" s="263"/>
      <c r="AJ145" s="263"/>
      <c r="AK145" s="263"/>
      <c r="AL145" s="263"/>
      <c r="AM145" s="263"/>
      <c r="AN145" s="263"/>
      <c r="AO145" s="263"/>
      <c r="AP145" s="263"/>
      <c r="AQ145" s="263"/>
      <c r="AR145" s="263"/>
      <c r="AS145" s="263"/>
      <c r="AT145" s="263"/>
      <c r="AU145" s="263"/>
      <c r="AV145" s="263"/>
      <c r="AW145" s="263"/>
      <c r="AX145" s="264"/>
      <c r="AY145" s="264"/>
      <c r="AZ145" s="264"/>
      <c r="BA145" s="264"/>
      <c r="BB145" s="264"/>
      <c r="BC145" s="264"/>
      <c r="BD145" s="264"/>
      <c r="BE145" s="264"/>
      <c r="BF145" s="264"/>
      <c r="BG145" s="264"/>
      <c r="BH145" s="264"/>
      <c r="BI145" s="264"/>
      <c r="BJ145" s="264"/>
      <c r="BK145" s="264"/>
      <c r="BL145" s="264"/>
      <c r="BM145" s="264"/>
      <c r="BN145" s="265"/>
      <c r="BO145" s="265"/>
      <c r="BP145" s="265"/>
      <c r="BQ145" s="265"/>
      <c r="BR145" s="265"/>
      <c r="BS145" s="265"/>
      <c r="BT145" s="265"/>
      <c r="BU145" s="265"/>
      <c r="BV145" s="265"/>
      <c r="BW145" s="265"/>
      <c r="BX145" s="265"/>
      <c r="BY145" s="265"/>
      <c r="BZ145" s="265"/>
      <c r="CA145" s="265"/>
      <c r="CB145" s="265"/>
      <c r="CC145" s="265"/>
      <c r="CD145" s="266"/>
      <c r="CE145" s="266"/>
      <c r="CF145" s="266"/>
      <c r="CG145" s="266"/>
      <c r="CH145" s="266"/>
      <c r="CI145" s="266"/>
      <c r="CJ145" s="266"/>
      <c r="CK145" s="266"/>
      <c r="CL145" s="266"/>
      <c r="CM145" s="266"/>
      <c r="CN145" s="266"/>
      <c r="CO145" s="266"/>
      <c r="CP145" s="266"/>
      <c r="CQ145" s="266"/>
      <c r="CR145" s="266"/>
      <c r="CS145" s="266"/>
      <c r="CT145" s="267"/>
      <c r="CU145" s="267"/>
      <c r="CV145" s="267">
        <v>40</v>
      </c>
      <c r="CW145" s="267"/>
      <c r="CX145" s="267"/>
      <c r="CY145" s="267"/>
      <c r="CZ145" s="267"/>
      <c r="DA145" s="267"/>
      <c r="DB145" s="267"/>
      <c r="DC145" s="267"/>
      <c r="DD145" s="267"/>
      <c r="DE145" s="267"/>
      <c r="DF145" s="267"/>
      <c r="DG145" s="267"/>
      <c r="DH145" s="267"/>
      <c r="DI145" s="267"/>
      <c r="DJ145" s="268"/>
      <c r="DK145" s="268"/>
      <c r="DL145" s="268">
        <v>40</v>
      </c>
      <c r="DM145" s="268"/>
      <c r="DN145" s="268"/>
      <c r="DO145" s="268"/>
      <c r="DP145" s="268"/>
      <c r="DQ145" s="268"/>
      <c r="DR145" s="268"/>
      <c r="DS145" s="268"/>
      <c r="DT145" s="268"/>
      <c r="DU145" s="268"/>
      <c r="DV145" s="268"/>
      <c r="DW145" s="268"/>
      <c r="DX145" s="268"/>
      <c r="DY145" s="268"/>
      <c r="EA145" s="13"/>
      <c r="EB145" s="96"/>
      <c r="EC145" s="96"/>
      <c r="ED145" s="96"/>
      <c r="EE145" s="96"/>
      <c r="EF145" s="96"/>
      <c r="EG145" s="96"/>
      <c r="EH145" s="96"/>
      <c r="EI145" s="96"/>
      <c r="EJ145" s="96"/>
      <c r="EK145" s="96"/>
      <c r="EL145" s="96"/>
      <c r="EM145" s="96"/>
      <c r="EN145" s="96"/>
      <c r="EO145" s="96"/>
      <c r="EP145" s="96"/>
      <c r="EQ145" s="96"/>
      <c r="ER145" s="96"/>
      <c r="ES145" s="96"/>
      <c r="ET145" s="96"/>
      <c r="EU145" s="96"/>
      <c r="EV145" s="96"/>
      <c r="EW145" s="96"/>
      <c r="EX145" s="96"/>
      <c r="EY145" s="96"/>
      <c r="EZ145" s="96"/>
      <c r="FA145" s="96"/>
      <c r="FB145" s="96"/>
      <c r="FC145" s="96"/>
      <c r="FD145" s="96"/>
      <c r="FE145" s="96"/>
      <c r="FF145" s="96"/>
      <c r="FG145" s="96"/>
      <c r="FH145" s="96"/>
      <c r="FI145" s="96"/>
      <c r="FJ145" s="96"/>
      <c r="FK145" s="96"/>
      <c r="FL145" s="96"/>
      <c r="FM145" s="96"/>
      <c r="FN145" s="96"/>
      <c r="FO145" s="96"/>
      <c r="FP145" s="96"/>
      <c r="FQ145" s="96"/>
      <c r="FR145" s="96"/>
      <c r="FS145" s="96"/>
      <c r="FT145" s="96"/>
      <c r="FU145" s="96"/>
      <c r="FV145" s="96"/>
      <c r="FW145" s="96"/>
      <c r="FX145" s="96"/>
      <c r="FY145" s="96"/>
      <c r="FZ145" s="96"/>
      <c r="GA145" s="96"/>
      <c r="GB145" s="96"/>
      <c r="GC145" s="96"/>
      <c r="GD145" s="96"/>
      <c r="GE145" s="96"/>
      <c r="GF145" s="96"/>
      <c r="GG145" s="96"/>
      <c r="GH145" s="96"/>
      <c r="GI145" s="96"/>
      <c r="GJ145" s="96"/>
      <c r="GK145" s="96"/>
      <c r="GL145" s="96"/>
      <c r="GM145" s="13"/>
      <c r="GN145" s="96"/>
      <c r="GO145" s="96"/>
      <c r="GP145" s="96"/>
      <c r="GQ145" s="96"/>
      <c r="GR145" s="96"/>
      <c r="GS145" s="96"/>
      <c r="GT145" s="96"/>
      <c r="GU145" s="96"/>
      <c r="GV145" s="96"/>
      <c r="GW145" s="96"/>
      <c r="GX145" s="96"/>
      <c r="GY145" s="96"/>
      <c r="GZ145" s="96"/>
      <c r="HA145" s="96"/>
      <c r="HB145" s="96"/>
      <c r="HC145" s="13"/>
      <c r="HD145" s="96"/>
      <c r="HE145" s="96"/>
      <c r="HF145" s="96"/>
      <c r="HG145" s="96"/>
      <c r="HH145" s="96"/>
      <c r="HI145" s="96"/>
      <c r="HJ145" s="96"/>
      <c r="HK145" s="96"/>
      <c r="HL145" s="96"/>
      <c r="HM145" s="96"/>
      <c r="HN145" s="96"/>
      <c r="HO145" s="96"/>
      <c r="HP145" s="96"/>
      <c r="HQ145" s="96"/>
      <c r="HR145" s="96"/>
      <c r="HS145" s="13"/>
      <c r="HT145" s="96"/>
      <c r="HU145" s="96"/>
      <c r="HV145" s="96"/>
      <c r="HW145" s="96"/>
      <c r="HX145" s="96"/>
      <c r="HY145" s="96"/>
      <c r="HZ145" s="96"/>
      <c r="IA145" s="96"/>
      <c r="IB145" s="96"/>
      <c r="IC145" s="96"/>
      <c r="ID145" s="96"/>
      <c r="IE145" s="96"/>
      <c r="IF145" s="96"/>
      <c r="IG145" s="96"/>
      <c r="IH145" s="96"/>
      <c r="II145" s="13"/>
      <c r="IJ145" s="96"/>
      <c r="IK145" s="96"/>
      <c r="IL145" s="96"/>
      <c r="IM145" s="96"/>
      <c r="IN145" s="96"/>
      <c r="IO145" s="96"/>
      <c r="IP145" s="96"/>
      <c r="IQ145" s="96"/>
      <c r="IR145" s="96"/>
      <c r="IS145" s="96"/>
      <c r="IT145" s="96"/>
      <c r="IU145" s="96"/>
      <c r="IV145" s="96"/>
      <c r="IW145" s="96"/>
      <c r="IX145" s="96"/>
      <c r="IY145" s="13"/>
    </row>
    <row r="146" spans="1:259" outlineLevel="1">
      <c r="A146" s="11">
        <f>'VAC &amp; MED'!C137</f>
        <v>46138</v>
      </c>
      <c r="B146" s="261"/>
      <c r="C146" s="261"/>
      <c r="D146" s="261"/>
      <c r="E146" s="261"/>
      <c r="F146" s="261"/>
      <c r="G146" s="261"/>
      <c r="H146" s="261"/>
      <c r="I146" s="261"/>
      <c r="J146" s="261"/>
      <c r="K146" s="261"/>
      <c r="L146" s="261"/>
      <c r="M146" s="261"/>
      <c r="N146" s="261"/>
      <c r="O146" s="261"/>
      <c r="P146" s="261"/>
      <c r="Q146" s="261"/>
      <c r="R146" s="262"/>
      <c r="S146" s="262"/>
      <c r="T146" s="262"/>
      <c r="U146" s="262"/>
      <c r="V146" s="262"/>
      <c r="W146" s="262"/>
      <c r="X146" s="262"/>
      <c r="Y146" s="262"/>
      <c r="Z146" s="262"/>
      <c r="AA146" s="262"/>
      <c r="AB146" s="262"/>
      <c r="AC146" s="262"/>
      <c r="AD146" s="262"/>
      <c r="AE146" s="262"/>
      <c r="AF146" s="262"/>
      <c r="AG146" s="262"/>
      <c r="AH146" s="263"/>
      <c r="AI146" s="263"/>
      <c r="AJ146" s="263"/>
      <c r="AK146" s="263"/>
      <c r="AL146" s="263"/>
      <c r="AM146" s="263"/>
      <c r="AN146" s="263"/>
      <c r="AO146" s="263"/>
      <c r="AP146" s="263"/>
      <c r="AQ146" s="263"/>
      <c r="AR146" s="263"/>
      <c r="AS146" s="263"/>
      <c r="AT146" s="263"/>
      <c r="AU146" s="263"/>
      <c r="AV146" s="263"/>
      <c r="AW146" s="263"/>
      <c r="AX146" s="264"/>
      <c r="AY146" s="264"/>
      <c r="AZ146" s="264"/>
      <c r="BA146" s="264"/>
      <c r="BB146" s="264"/>
      <c r="BC146" s="264"/>
      <c r="BD146" s="264"/>
      <c r="BE146" s="264"/>
      <c r="BF146" s="264"/>
      <c r="BG146" s="264"/>
      <c r="BH146" s="264"/>
      <c r="BI146" s="264"/>
      <c r="BJ146" s="264"/>
      <c r="BK146" s="264"/>
      <c r="BL146" s="264"/>
      <c r="BM146" s="264"/>
      <c r="BN146" s="265"/>
      <c r="BO146" s="265"/>
      <c r="BP146" s="265"/>
      <c r="BQ146" s="265"/>
      <c r="BR146" s="265"/>
      <c r="BS146" s="265"/>
      <c r="BT146" s="265"/>
      <c r="BU146" s="265"/>
      <c r="BV146" s="265"/>
      <c r="BW146" s="265"/>
      <c r="BX146" s="265"/>
      <c r="BY146" s="265"/>
      <c r="BZ146" s="265"/>
      <c r="CA146" s="265"/>
      <c r="CB146" s="265"/>
      <c r="CC146" s="265"/>
      <c r="CD146" s="266"/>
      <c r="CE146" s="266"/>
      <c r="CF146" s="266"/>
      <c r="CG146" s="266"/>
      <c r="CH146" s="266"/>
      <c r="CI146" s="266"/>
      <c r="CJ146" s="266"/>
      <c r="CK146" s="266"/>
      <c r="CL146" s="266"/>
      <c r="CM146" s="266"/>
      <c r="CN146" s="266"/>
      <c r="CO146" s="266"/>
      <c r="CP146" s="266"/>
      <c r="CQ146" s="266"/>
      <c r="CR146" s="266"/>
      <c r="CS146" s="266"/>
      <c r="CT146" s="267"/>
      <c r="CU146" s="267"/>
      <c r="CV146" s="267"/>
      <c r="CW146" s="267"/>
      <c r="CX146" s="267"/>
      <c r="CY146" s="267"/>
      <c r="CZ146" s="267"/>
      <c r="DA146" s="267"/>
      <c r="DB146" s="267"/>
      <c r="DC146" s="267"/>
      <c r="DD146" s="267"/>
      <c r="DE146" s="267"/>
      <c r="DF146" s="267"/>
      <c r="DG146" s="267"/>
      <c r="DH146" s="267"/>
      <c r="DI146" s="267"/>
      <c r="DJ146" s="268"/>
      <c r="DK146" s="268"/>
      <c r="DL146" s="268"/>
      <c r="DM146" s="268"/>
      <c r="DN146" s="268"/>
      <c r="DO146" s="268"/>
      <c r="DP146" s="268"/>
      <c r="DQ146" s="268"/>
      <c r="DR146" s="268"/>
      <c r="DS146" s="268"/>
      <c r="DT146" s="268"/>
      <c r="DU146" s="268"/>
      <c r="DV146" s="268"/>
      <c r="DW146" s="268"/>
      <c r="DX146" s="268"/>
      <c r="DY146" s="268"/>
      <c r="EA146" s="13"/>
      <c r="EB146" s="96"/>
      <c r="EC146" s="96"/>
      <c r="ED146" s="96"/>
      <c r="EE146" s="96"/>
      <c r="EF146" s="96"/>
      <c r="EG146" s="96"/>
      <c r="EH146" s="96"/>
      <c r="EI146" s="96"/>
      <c r="EJ146" s="96"/>
      <c r="EK146" s="96"/>
      <c r="EL146" s="96"/>
      <c r="EM146" s="96"/>
      <c r="EN146" s="96"/>
      <c r="EO146" s="96"/>
      <c r="EP146" s="96"/>
      <c r="EQ146" s="96"/>
      <c r="ER146" s="96"/>
      <c r="ES146" s="96"/>
      <c r="ET146" s="96"/>
      <c r="EU146" s="96"/>
      <c r="EV146" s="96"/>
      <c r="EW146" s="96"/>
      <c r="EX146" s="96"/>
      <c r="EY146" s="96"/>
      <c r="EZ146" s="96"/>
      <c r="FA146" s="96"/>
      <c r="FB146" s="96"/>
      <c r="FC146" s="96"/>
      <c r="FD146" s="96"/>
      <c r="FE146" s="96"/>
      <c r="FF146" s="96"/>
      <c r="FG146" s="96"/>
      <c r="FH146" s="96"/>
      <c r="FI146" s="96"/>
      <c r="FJ146" s="96"/>
      <c r="FK146" s="96"/>
      <c r="FL146" s="96"/>
      <c r="FM146" s="96"/>
      <c r="FN146" s="96"/>
      <c r="FO146" s="96"/>
      <c r="FP146" s="96"/>
      <c r="FQ146" s="96"/>
      <c r="FR146" s="96"/>
      <c r="FS146" s="96"/>
      <c r="FT146" s="96"/>
      <c r="FU146" s="96"/>
      <c r="FV146" s="96"/>
      <c r="FW146" s="96"/>
      <c r="FX146" s="96"/>
      <c r="FY146" s="96"/>
      <c r="FZ146" s="96"/>
      <c r="GA146" s="96"/>
      <c r="GB146" s="96"/>
      <c r="GC146" s="96"/>
      <c r="GD146" s="96"/>
      <c r="GE146" s="96"/>
      <c r="GF146" s="96"/>
      <c r="GG146" s="96"/>
      <c r="GH146" s="96"/>
      <c r="GI146" s="96"/>
      <c r="GJ146" s="96"/>
      <c r="GK146" s="96"/>
      <c r="GL146" s="96"/>
      <c r="GM146" s="13"/>
      <c r="GN146" s="96"/>
      <c r="GO146" s="96"/>
      <c r="GP146" s="96"/>
      <c r="GQ146" s="96"/>
      <c r="GR146" s="96"/>
      <c r="GS146" s="96"/>
      <c r="GT146" s="96"/>
      <c r="GU146" s="96"/>
      <c r="GV146" s="96"/>
      <c r="GW146" s="96"/>
      <c r="GX146" s="96"/>
      <c r="GY146" s="96"/>
      <c r="GZ146" s="96"/>
      <c r="HA146" s="96"/>
      <c r="HB146" s="96"/>
      <c r="HC146" s="13"/>
      <c r="HD146" s="96"/>
      <c r="HE146" s="96"/>
      <c r="HF146" s="96"/>
      <c r="HG146" s="96"/>
      <c r="HH146" s="96"/>
      <c r="HI146" s="96"/>
      <c r="HJ146" s="96"/>
      <c r="HK146" s="96"/>
      <c r="HL146" s="96"/>
      <c r="HM146" s="96"/>
      <c r="HN146" s="96"/>
      <c r="HO146" s="96"/>
      <c r="HP146" s="96"/>
      <c r="HQ146" s="96"/>
      <c r="HR146" s="96"/>
      <c r="HS146" s="13"/>
      <c r="HT146" s="96"/>
      <c r="HU146" s="96"/>
      <c r="HV146" s="96"/>
      <c r="HW146" s="96"/>
      <c r="HX146" s="96"/>
      <c r="HY146" s="96"/>
      <c r="HZ146" s="96"/>
      <c r="IA146" s="96"/>
      <c r="IB146" s="96"/>
      <c r="IC146" s="96"/>
      <c r="ID146" s="96"/>
      <c r="IE146" s="96"/>
      <c r="IF146" s="96"/>
      <c r="IG146" s="96"/>
      <c r="IH146" s="96"/>
      <c r="II146" s="13"/>
      <c r="IJ146" s="96"/>
      <c r="IK146" s="96"/>
      <c r="IL146" s="96"/>
      <c r="IM146" s="96"/>
      <c r="IN146" s="96"/>
      <c r="IO146" s="96"/>
      <c r="IP146" s="96"/>
      <c r="IQ146" s="96"/>
      <c r="IR146" s="96"/>
      <c r="IS146" s="96"/>
      <c r="IT146" s="96"/>
      <c r="IU146" s="96"/>
      <c r="IV146" s="96"/>
      <c r="IW146" s="96"/>
      <c r="IX146" s="96"/>
      <c r="IY146" s="13"/>
    </row>
    <row r="147" spans="1:259" outlineLevel="1">
      <c r="A147" s="11">
        <f>'VAC &amp; MED'!C138</f>
        <v>46139</v>
      </c>
      <c r="B147" s="261"/>
      <c r="C147" s="261"/>
      <c r="D147" s="261"/>
      <c r="E147" s="261"/>
      <c r="F147" s="261"/>
      <c r="G147" s="261"/>
      <c r="H147" s="261"/>
      <c r="I147" s="261"/>
      <c r="J147" s="261"/>
      <c r="K147" s="261"/>
      <c r="L147" s="261"/>
      <c r="M147" s="261"/>
      <c r="N147" s="261"/>
      <c r="O147" s="261"/>
      <c r="P147" s="261"/>
      <c r="Q147" s="261"/>
      <c r="R147" s="262">
        <v>90</v>
      </c>
      <c r="S147" s="262"/>
      <c r="T147" s="262"/>
      <c r="U147" s="262"/>
      <c r="V147" s="262"/>
      <c r="W147" s="262"/>
      <c r="X147" s="262"/>
      <c r="Y147" s="262"/>
      <c r="Z147" s="262"/>
      <c r="AA147" s="262"/>
      <c r="AB147" s="262"/>
      <c r="AC147" s="262"/>
      <c r="AD147" s="262"/>
      <c r="AE147" s="262"/>
      <c r="AF147" s="262"/>
      <c r="AG147" s="262"/>
      <c r="AH147" s="263"/>
      <c r="AI147" s="263"/>
      <c r="AJ147" s="263"/>
      <c r="AK147" s="263"/>
      <c r="AL147" s="263"/>
      <c r="AM147" s="263"/>
      <c r="AN147" s="263"/>
      <c r="AO147" s="263"/>
      <c r="AP147" s="263"/>
      <c r="AQ147" s="263"/>
      <c r="AR147" s="263"/>
      <c r="AS147" s="263"/>
      <c r="AT147" s="263"/>
      <c r="AU147" s="263"/>
      <c r="AV147" s="263"/>
      <c r="AW147" s="263"/>
      <c r="AX147" s="264"/>
      <c r="AY147" s="264"/>
      <c r="AZ147" s="264"/>
      <c r="BA147" s="264"/>
      <c r="BB147" s="264"/>
      <c r="BC147" s="264"/>
      <c r="BD147" s="264"/>
      <c r="BE147" s="264"/>
      <c r="BF147" s="264"/>
      <c r="BG147" s="264"/>
      <c r="BH147" s="264"/>
      <c r="BI147" s="264"/>
      <c r="BJ147" s="264"/>
      <c r="BK147" s="264"/>
      <c r="BL147" s="264"/>
      <c r="BM147" s="264"/>
      <c r="BN147" s="265">
        <v>18</v>
      </c>
      <c r="BO147" s="265"/>
      <c r="BP147" s="265"/>
      <c r="BQ147" s="265"/>
      <c r="BR147" s="265"/>
      <c r="BS147" s="265">
        <v>48</v>
      </c>
      <c r="BT147" s="265"/>
      <c r="BU147" s="265"/>
      <c r="BV147" s="265"/>
      <c r="BW147" s="265"/>
      <c r="BX147" s="265"/>
      <c r="BY147" s="265"/>
      <c r="BZ147" s="265"/>
      <c r="CA147" s="265"/>
      <c r="CB147" s="265"/>
      <c r="CC147" s="265"/>
      <c r="CD147" s="266"/>
      <c r="CE147" s="266"/>
      <c r="CF147" s="266"/>
      <c r="CG147" s="266"/>
      <c r="CH147" s="266"/>
      <c r="CI147" s="266"/>
      <c r="CJ147" s="266"/>
      <c r="CK147" s="266"/>
      <c r="CL147" s="266"/>
      <c r="CM147" s="266"/>
      <c r="CN147" s="266"/>
      <c r="CO147" s="266"/>
      <c r="CP147" s="266"/>
      <c r="CQ147" s="266"/>
      <c r="CR147" s="266"/>
      <c r="CS147" s="266"/>
      <c r="CT147" s="267"/>
      <c r="CU147" s="267"/>
      <c r="CV147" s="267"/>
      <c r="CW147" s="267"/>
      <c r="CX147" s="267"/>
      <c r="CY147" s="267"/>
      <c r="CZ147" s="267"/>
      <c r="DA147" s="267"/>
      <c r="DB147" s="267"/>
      <c r="DC147" s="267"/>
      <c r="DD147" s="267"/>
      <c r="DE147" s="267"/>
      <c r="DF147" s="267"/>
      <c r="DG147" s="267"/>
      <c r="DH147" s="267"/>
      <c r="DI147" s="267"/>
      <c r="DJ147" s="268"/>
      <c r="DK147" s="268"/>
      <c r="DL147" s="268"/>
      <c r="DM147" s="268"/>
      <c r="DN147" s="268"/>
      <c r="DO147" s="268"/>
      <c r="DP147" s="268"/>
      <c r="DQ147" s="268"/>
      <c r="DR147" s="268"/>
      <c r="DS147" s="268"/>
      <c r="DT147" s="268"/>
      <c r="DU147" s="268"/>
      <c r="DV147" s="268"/>
      <c r="DW147" s="268"/>
      <c r="DX147" s="268"/>
      <c r="DY147" s="268"/>
      <c r="EA147" s="13"/>
      <c r="EB147" s="96"/>
      <c r="EC147" s="96"/>
      <c r="ED147" s="96"/>
      <c r="EE147" s="96"/>
      <c r="EF147" s="96"/>
      <c r="EG147" s="96"/>
      <c r="EH147" s="96"/>
      <c r="EI147" s="96"/>
      <c r="EJ147" s="96"/>
      <c r="EK147" s="96"/>
      <c r="EL147" s="96"/>
      <c r="EM147" s="96"/>
      <c r="EN147" s="96"/>
      <c r="EO147" s="96"/>
      <c r="EP147" s="96"/>
      <c r="EQ147" s="96"/>
      <c r="ER147" s="96"/>
      <c r="ES147" s="96"/>
      <c r="ET147" s="96"/>
      <c r="EU147" s="96"/>
      <c r="EV147" s="96"/>
      <c r="EW147" s="96"/>
      <c r="EX147" s="96"/>
      <c r="EY147" s="96"/>
      <c r="EZ147" s="96"/>
      <c r="FA147" s="96"/>
      <c r="FB147" s="96"/>
      <c r="FC147" s="96"/>
      <c r="FD147" s="96"/>
      <c r="FE147" s="96"/>
      <c r="FF147" s="96"/>
      <c r="FG147" s="96"/>
      <c r="FH147" s="96"/>
      <c r="FI147" s="96"/>
      <c r="FJ147" s="96"/>
      <c r="FK147" s="96"/>
      <c r="FL147" s="96"/>
      <c r="FM147" s="96"/>
      <c r="FN147" s="96"/>
      <c r="FO147" s="96"/>
      <c r="FP147" s="96"/>
      <c r="FQ147" s="96"/>
      <c r="FR147" s="96"/>
      <c r="FS147" s="96"/>
      <c r="FT147" s="96"/>
      <c r="FU147" s="96"/>
      <c r="FV147" s="96"/>
      <c r="FW147" s="96"/>
      <c r="FX147" s="96"/>
      <c r="FY147" s="96"/>
      <c r="FZ147" s="96"/>
      <c r="GA147" s="96"/>
      <c r="GB147" s="96"/>
      <c r="GC147" s="96"/>
      <c r="GD147" s="96"/>
      <c r="GE147" s="96"/>
      <c r="GF147" s="96"/>
      <c r="GG147" s="96"/>
      <c r="GH147" s="96"/>
      <c r="GI147" s="96"/>
      <c r="GJ147" s="96"/>
      <c r="GK147" s="96"/>
      <c r="GL147" s="96"/>
      <c r="GM147" s="13"/>
      <c r="GN147" s="96"/>
      <c r="GO147" s="96"/>
      <c r="GP147" s="96"/>
      <c r="GQ147" s="96"/>
      <c r="GR147" s="96"/>
      <c r="GS147" s="96"/>
      <c r="GT147" s="96"/>
      <c r="GU147" s="96"/>
      <c r="GV147" s="96"/>
      <c r="GW147" s="96"/>
      <c r="GX147" s="96"/>
      <c r="GY147" s="96"/>
      <c r="GZ147" s="96"/>
      <c r="HA147" s="96"/>
      <c r="HB147" s="96"/>
      <c r="HC147" s="13"/>
      <c r="HD147" s="96"/>
      <c r="HE147" s="96"/>
      <c r="HF147" s="96"/>
      <c r="HG147" s="96"/>
      <c r="HH147" s="96"/>
      <c r="HI147" s="96"/>
      <c r="HJ147" s="96"/>
      <c r="HK147" s="96"/>
      <c r="HL147" s="96"/>
      <c r="HM147" s="96"/>
      <c r="HN147" s="96"/>
      <c r="HO147" s="96"/>
      <c r="HP147" s="96"/>
      <c r="HQ147" s="96"/>
      <c r="HR147" s="96"/>
      <c r="HS147" s="13"/>
      <c r="HT147" s="96"/>
      <c r="HU147" s="96"/>
      <c r="HV147" s="96"/>
      <c r="HW147" s="96"/>
      <c r="HX147" s="96"/>
      <c r="HY147" s="96"/>
      <c r="HZ147" s="96"/>
      <c r="IA147" s="96"/>
      <c r="IB147" s="96"/>
      <c r="IC147" s="96"/>
      <c r="ID147" s="96"/>
      <c r="IE147" s="96"/>
      <c r="IF147" s="96"/>
      <c r="IG147" s="96"/>
      <c r="IH147" s="96"/>
      <c r="II147" s="13"/>
      <c r="IJ147" s="96"/>
      <c r="IK147" s="96"/>
      <c r="IL147" s="96"/>
      <c r="IM147" s="96"/>
      <c r="IN147" s="96"/>
      <c r="IO147" s="96"/>
      <c r="IP147" s="96"/>
      <c r="IQ147" s="96"/>
      <c r="IR147" s="96"/>
      <c r="IS147" s="96"/>
      <c r="IT147" s="96"/>
      <c r="IU147" s="96"/>
      <c r="IV147" s="96"/>
      <c r="IW147" s="96"/>
      <c r="IX147" s="96"/>
      <c r="IY147" s="13"/>
    </row>
    <row r="148" spans="1:259" outlineLevel="1">
      <c r="A148" s="11">
        <f>'VAC &amp; MED'!C139</f>
        <v>46140</v>
      </c>
      <c r="B148" s="261"/>
      <c r="C148" s="261"/>
      <c r="D148" s="261"/>
      <c r="E148" s="261"/>
      <c r="F148" s="261"/>
      <c r="G148" s="261"/>
      <c r="H148" s="261"/>
      <c r="I148" s="261"/>
      <c r="J148" s="261"/>
      <c r="K148" s="261"/>
      <c r="L148" s="261"/>
      <c r="M148" s="261"/>
      <c r="N148" s="261"/>
      <c r="O148" s="261"/>
      <c r="P148" s="261"/>
      <c r="Q148" s="261"/>
      <c r="R148" s="262"/>
      <c r="S148" s="262"/>
      <c r="T148" s="262"/>
      <c r="U148" s="262"/>
      <c r="V148" s="262"/>
      <c r="W148" s="262"/>
      <c r="X148" s="262"/>
      <c r="Y148" s="262"/>
      <c r="Z148" s="262"/>
      <c r="AA148" s="262"/>
      <c r="AB148" s="262"/>
      <c r="AC148" s="262"/>
      <c r="AD148" s="262"/>
      <c r="AE148" s="262"/>
      <c r="AF148" s="262"/>
      <c r="AG148" s="262"/>
      <c r="AH148" s="263"/>
      <c r="AI148" s="263"/>
      <c r="AJ148" s="263"/>
      <c r="AK148" s="263"/>
      <c r="AL148" s="263"/>
      <c r="AM148" s="263"/>
      <c r="AN148" s="263"/>
      <c r="AO148" s="263"/>
      <c r="AP148" s="263"/>
      <c r="AQ148" s="263"/>
      <c r="AR148" s="263"/>
      <c r="AS148" s="263"/>
      <c r="AT148" s="263"/>
      <c r="AU148" s="263"/>
      <c r="AV148" s="263"/>
      <c r="AW148" s="263"/>
      <c r="AX148" s="264"/>
      <c r="AY148" s="264"/>
      <c r="AZ148" s="264"/>
      <c r="BA148" s="264"/>
      <c r="BB148" s="264"/>
      <c r="BC148" s="264"/>
      <c r="BD148" s="264"/>
      <c r="BE148" s="264"/>
      <c r="BF148" s="264"/>
      <c r="BG148" s="264"/>
      <c r="BH148" s="264"/>
      <c r="BI148" s="264"/>
      <c r="BJ148" s="264"/>
      <c r="BK148" s="264"/>
      <c r="BL148" s="264"/>
      <c r="BM148" s="264"/>
      <c r="BN148" s="265"/>
      <c r="BO148" s="265"/>
      <c r="BP148" s="265"/>
      <c r="BQ148" s="265"/>
      <c r="BR148" s="265"/>
      <c r="BS148" s="265"/>
      <c r="BT148" s="265"/>
      <c r="BU148" s="265"/>
      <c r="BV148" s="265"/>
      <c r="BW148" s="265"/>
      <c r="BX148" s="265"/>
      <c r="BY148" s="265"/>
      <c r="BZ148" s="265"/>
      <c r="CA148" s="265"/>
      <c r="CB148" s="265"/>
      <c r="CC148" s="265"/>
      <c r="CD148" s="266"/>
      <c r="CE148" s="266"/>
      <c r="CF148" s="266"/>
      <c r="CG148" s="266"/>
      <c r="CH148" s="266"/>
      <c r="CI148" s="266"/>
      <c r="CJ148" s="266"/>
      <c r="CK148" s="266"/>
      <c r="CL148" s="266"/>
      <c r="CM148" s="266"/>
      <c r="CN148" s="266"/>
      <c r="CO148" s="266"/>
      <c r="CP148" s="266"/>
      <c r="CQ148" s="266"/>
      <c r="CR148" s="266"/>
      <c r="CS148" s="266"/>
      <c r="CT148" s="267"/>
      <c r="CU148" s="267"/>
      <c r="CV148" s="267">
        <v>20</v>
      </c>
      <c r="CW148" s="267"/>
      <c r="CX148" s="267"/>
      <c r="CY148" s="267"/>
      <c r="CZ148" s="267"/>
      <c r="DA148" s="267"/>
      <c r="DB148" s="267"/>
      <c r="DC148" s="267"/>
      <c r="DD148" s="267"/>
      <c r="DE148" s="267"/>
      <c r="DF148" s="267"/>
      <c r="DG148" s="267"/>
      <c r="DH148" s="267"/>
      <c r="DI148" s="267"/>
      <c r="DJ148" s="268"/>
      <c r="DK148" s="268"/>
      <c r="DL148" s="268">
        <v>20</v>
      </c>
      <c r="DM148" s="268"/>
      <c r="DN148" s="268"/>
      <c r="DO148" s="268"/>
      <c r="DP148" s="268"/>
      <c r="DQ148" s="268"/>
      <c r="DR148" s="268"/>
      <c r="DS148" s="268"/>
      <c r="DT148" s="268"/>
      <c r="DU148" s="268"/>
      <c r="DV148" s="268"/>
      <c r="DW148" s="268"/>
      <c r="DX148" s="268"/>
      <c r="DY148" s="268"/>
      <c r="EA148" s="13"/>
      <c r="EB148" s="96"/>
      <c r="EC148" s="96"/>
      <c r="ED148" s="96"/>
      <c r="EE148" s="96"/>
      <c r="EF148" s="96"/>
      <c r="EG148" s="96"/>
      <c r="EH148" s="96"/>
      <c r="EI148" s="96"/>
      <c r="EJ148" s="96"/>
      <c r="EK148" s="96"/>
      <c r="EL148" s="96"/>
      <c r="EM148" s="96"/>
      <c r="EN148" s="96"/>
      <c r="EO148" s="96"/>
      <c r="EP148" s="96"/>
      <c r="EQ148" s="96"/>
      <c r="ER148" s="96"/>
      <c r="ES148" s="96"/>
      <c r="ET148" s="96"/>
      <c r="EU148" s="96"/>
      <c r="EV148" s="96"/>
      <c r="EW148" s="96"/>
      <c r="EX148" s="96"/>
      <c r="EY148" s="96"/>
      <c r="EZ148" s="96"/>
      <c r="FA148" s="96"/>
      <c r="FB148" s="96"/>
      <c r="FC148" s="96"/>
      <c r="FD148" s="96"/>
      <c r="FE148" s="96"/>
      <c r="FF148" s="96"/>
      <c r="FG148" s="96"/>
      <c r="FH148" s="96"/>
      <c r="FI148" s="96"/>
      <c r="FJ148" s="96"/>
      <c r="FK148" s="96"/>
      <c r="FL148" s="96"/>
      <c r="FM148" s="96"/>
      <c r="FN148" s="96"/>
      <c r="FO148" s="96"/>
      <c r="FP148" s="96"/>
      <c r="FQ148" s="96"/>
      <c r="FR148" s="96"/>
      <c r="FS148" s="96"/>
      <c r="FT148" s="96"/>
      <c r="FU148" s="96"/>
      <c r="FV148" s="96"/>
      <c r="FW148" s="96"/>
      <c r="FX148" s="96"/>
      <c r="FY148" s="96"/>
      <c r="FZ148" s="96"/>
      <c r="GA148" s="96"/>
      <c r="GB148" s="96"/>
      <c r="GC148" s="96"/>
      <c r="GD148" s="96"/>
      <c r="GE148" s="96"/>
      <c r="GF148" s="96"/>
      <c r="GG148" s="96"/>
      <c r="GH148" s="96"/>
      <c r="GI148" s="96"/>
      <c r="GJ148" s="96"/>
      <c r="GK148" s="96"/>
      <c r="GL148" s="96"/>
      <c r="GM148" s="13"/>
      <c r="GN148" s="96"/>
      <c r="GO148" s="96"/>
      <c r="GP148" s="96"/>
      <c r="GQ148" s="96"/>
      <c r="GR148" s="96"/>
      <c r="GS148" s="96"/>
      <c r="GT148" s="96"/>
      <c r="GU148" s="96"/>
      <c r="GV148" s="96"/>
      <c r="GW148" s="96"/>
      <c r="GX148" s="96"/>
      <c r="GY148" s="96"/>
      <c r="GZ148" s="96"/>
      <c r="HA148" s="96"/>
      <c r="HB148" s="96"/>
      <c r="HC148" s="13"/>
      <c r="HD148" s="96"/>
      <c r="HE148" s="96"/>
      <c r="HF148" s="96"/>
      <c r="HG148" s="96"/>
      <c r="HH148" s="96"/>
      <c r="HI148" s="96"/>
      <c r="HJ148" s="96"/>
      <c r="HK148" s="96"/>
      <c r="HL148" s="96"/>
      <c r="HM148" s="96"/>
      <c r="HN148" s="96"/>
      <c r="HO148" s="96"/>
      <c r="HP148" s="96"/>
      <c r="HQ148" s="96"/>
      <c r="HR148" s="96"/>
      <c r="HS148" s="13"/>
      <c r="HT148" s="96"/>
      <c r="HU148" s="96"/>
      <c r="HV148" s="96"/>
      <c r="HW148" s="96"/>
      <c r="HX148" s="96"/>
      <c r="HY148" s="96"/>
      <c r="HZ148" s="96"/>
      <c r="IA148" s="96"/>
      <c r="IB148" s="96"/>
      <c r="IC148" s="96"/>
      <c r="ID148" s="96"/>
      <c r="IE148" s="96"/>
      <c r="IF148" s="96"/>
      <c r="IG148" s="96"/>
      <c r="IH148" s="96"/>
      <c r="II148" s="13"/>
      <c r="IJ148" s="96"/>
      <c r="IK148" s="96"/>
      <c r="IL148" s="96"/>
      <c r="IM148" s="96"/>
      <c r="IN148" s="96"/>
      <c r="IO148" s="96"/>
      <c r="IP148" s="96"/>
      <c r="IQ148" s="96"/>
      <c r="IR148" s="96"/>
      <c r="IS148" s="96"/>
      <c r="IT148" s="96"/>
      <c r="IU148" s="96"/>
      <c r="IV148" s="96"/>
      <c r="IW148" s="96"/>
      <c r="IX148" s="96"/>
      <c r="IY148" s="13"/>
    </row>
    <row r="149" spans="1:259" outlineLevel="1">
      <c r="A149" s="11">
        <f>'VAC &amp; MED'!C140</f>
        <v>46141</v>
      </c>
      <c r="B149" s="269"/>
      <c r="C149" s="269"/>
      <c r="D149" s="269"/>
      <c r="E149" s="269"/>
      <c r="F149" s="269"/>
      <c r="G149" s="269"/>
      <c r="H149" s="269"/>
      <c r="I149" s="269"/>
      <c r="J149" s="269"/>
      <c r="K149" s="269"/>
      <c r="L149" s="269"/>
      <c r="M149" s="269"/>
      <c r="N149" s="269"/>
      <c r="O149" s="269"/>
      <c r="P149" s="269"/>
      <c r="Q149" s="269"/>
      <c r="R149" s="270"/>
      <c r="S149" s="270"/>
      <c r="T149" s="270"/>
      <c r="U149" s="270"/>
      <c r="V149" s="270"/>
      <c r="W149" s="270"/>
      <c r="X149" s="270"/>
      <c r="Y149" s="270"/>
      <c r="Z149" s="270"/>
      <c r="AA149" s="270"/>
      <c r="AB149" s="270"/>
      <c r="AC149" s="270"/>
      <c r="AD149" s="270"/>
      <c r="AE149" s="270"/>
      <c r="AF149" s="270"/>
      <c r="AG149" s="270"/>
      <c r="AH149" s="271"/>
      <c r="AI149" s="271"/>
      <c r="AJ149" s="271"/>
      <c r="AK149" s="271"/>
      <c r="AL149" s="271"/>
      <c r="AM149" s="271"/>
      <c r="AN149" s="271"/>
      <c r="AO149" s="271"/>
      <c r="AP149" s="271"/>
      <c r="AQ149" s="271"/>
      <c r="AR149" s="271"/>
      <c r="AS149" s="271"/>
      <c r="AT149" s="271"/>
      <c r="AU149" s="271"/>
      <c r="AV149" s="271"/>
      <c r="AW149" s="271"/>
      <c r="AX149" s="272"/>
      <c r="AY149" s="272"/>
      <c r="AZ149" s="272"/>
      <c r="BA149" s="272"/>
      <c r="BB149" s="272"/>
      <c r="BC149" s="272"/>
      <c r="BD149" s="272"/>
      <c r="BE149" s="272"/>
      <c r="BF149" s="272"/>
      <c r="BG149" s="272"/>
      <c r="BH149" s="272"/>
      <c r="BI149" s="272"/>
      <c r="BJ149" s="272"/>
      <c r="BK149" s="272"/>
      <c r="BL149" s="272"/>
      <c r="BM149" s="272"/>
      <c r="BN149" s="273"/>
      <c r="BO149" s="273"/>
      <c r="BP149" s="273"/>
      <c r="BQ149" s="273"/>
      <c r="BR149" s="273"/>
      <c r="BS149" s="273"/>
      <c r="BT149" s="273"/>
      <c r="BU149" s="273"/>
      <c r="BV149" s="273"/>
      <c r="BW149" s="273"/>
      <c r="BX149" s="273"/>
      <c r="BY149" s="273"/>
      <c r="BZ149" s="273"/>
      <c r="CA149" s="273"/>
      <c r="CB149" s="273"/>
      <c r="CC149" s="273"/>
      <c r="CD149" s="274"/>
      <c r="CE149" s="274"/>
      <c r="CF149" s="274"/>
      <c r="CG149" s="274"/>
      <c r="CH149" s="274"/>
      <c r="CI149" s="274"/>
      <c r="CJ149" s="274"/>
      <c r="CK149" s="274"/>
      <c r="CL149" s="274"/>
      <c r="CM149" s="274"/>
      <c r="CN149" s="274"/>
      <c r="CO149" s="274"/>
      <c r="CP149" s="274"/>
      <c r="CQ149" s="274"/>
      <c r="CR149" s="274"/>
      <c r="CS149" s="274"/>
      <c r="CT149" s="275"/>
      <c r="CU149" s="275"/>
      <c r="CV149" s="275"/>
      <c r="CW149" s="275"/>
      <c r="CX149" s="275"/>
      <c r="CY149" s="275"/>
      <c r="CZ149" s="275"/>
      <c r="DA149" s="275"/>
      <c r="DB149" s="275"/>
      <c r="DC149" s="275"/>
      <c r="DD149" s="275"/>
      <c r="DE149" s="275"/>
      <c r="DF149" s="275"/>
      <c r="DG149" s="275"/>
      <c r="DH149" s="275"/>
      <c r="DI149" s="275"/>
      <c r="DJ149" s="276"/>
      <c r="DK149" s="276"/>
      <c r="DL149" s="276"/>
      <c r="DM149" s="276"/>
      <c r="DN149" s="276"/>
      <c r="DO149" s="276"/>
      <c r="DP149" s="276"/>
      <c r="DQ149" s="276"/>
      <c r="DR149" s="276"/>
      <c r="DS149" s="276"/>
      <c r="DT149" s="276"/>
      <c r="DU149" s="276"/>
      <c r="DV149" s="276"/>
      <c r="DW149" s="276"/>
      <c r="DX149" s="276"/>
      <c r="DY149" s="276"/>
      <c r="EA149" s="89"/>
      <c r="EB149" s="96"/>
      <c r="EC149" s="96"/>
      <c r="ED149" s="96"/>
      <c r="EE149" s="96"/>
      <c r="EF149" s="96"/>
      <c r="EG149" s="96"/>
      <c r="EH149" s="96"/>
      <c r="EI149" s="96"/>
      <c r="EJ149" s="96"/>
      <c r="EK149" s="96"/>
      <c r="EL149" s="96"/>
      <c r="EM149" s="96"/>
      <c r="EN149" s="96"/>
      <c r="EO149" s="96"/>
      <c r="EP149" s="96"/>
      <c r="EQ149" s="96"/>
      <c r="ER149" s="96"/>
      <c r="ES149" s="96"/>
      <c r="ET149" s="96"/>
      <c r="EU149" s="96"/>
      <c r="EV149" s="96"/>
      <c r="EW149" s="96"/>
      <c r="EX149" s="96"/>
      <c r="EY149" s="96"/>
      <c r="EZ149" s="96"/>
      <c r="FA149" s="96"/>
      <c r="FB149" s="96"/>
      <c r="FC149" s="96"/>
      <c r="FD149" s="96"/>
      <c r="FE149" s="96"/>
      <c r="FF149" s="96"/>
      <c r="FG149" s="96"/>
      <c r="FH149" s="96"/>
      <c r="FI149" s="96"/>
      <c r="FJ149" s="96"/>
      <c r="FK149" s="96"/>
      <c r="FL149" s="96"/>
      <c r="FM149" s="96"/>
      <c r="FN149" s="96"/>
      <c r="FO149" s="96"/>
      <c r="FP149" s="96"/>
      <c r="FQ149" s="96"/>
      <c r="FR149" s="96"/>
      <c r="FS149" s="96"/>
      <c r="FT149" s="96"/>
      <c r="FU149" s="96"/>
      <c r="FV149" s="96"/>
      <c r="FW149" s="96"/>
      <c r="FX149" s="96"/>
      <c r="FY149" s="96"/>
      <c r="FZ149" s="96"/>
      <c r="GA149" s="96"/>
      <c r="GB149" s="96"/>
      <c r="GC149" s="96"/>
      <c r="GD149" s="96"/>
      <c r="GE149" s="96"/>
      <c r="GF149" s="96"/>
      <c r="GG149" s="96"/>
      <c r="GH149" s="96"/>
      <c r="GI149" s="96"/>
      <c r="GJ149" s="96"/>
      <c r="GK149" s="96"/>
      <c r="GL149" s="96"/>
      <c r="GM149" s="13"/>
      <c r="GN149" s="96"/>
      <c r="GO149" s="96"/>
      <c r="GP149" s="96"/>
      <c r="GQ149" s="96"/>
      <c r="GR149" s="96"/>
      <c r="GS149" s="96"/>
      <c r="GT149" s="96"/>
      <c r="GU149" s="96"/>
      <c r="GV149" s="96"/>
      <c r="GW149" s="96"/>
      <c r="GX149" s="96"/>
      <c r="GY149" s="96"/>
      <c r="GZ149" s="96"/>
      <c r="HA149" s="96"/>
      <c r="HB149" s="96"/>
      <c r="HC149" s="13"/>
      <c r="HD149" s="96"/>
      <c r="HE149" s="96"/>
      <c r="HF149" s="96"/>
      <c r="HG149" s="96"/>
      <c r="HH149" s="96"/>
      <c r="HI149" s="96"/>
      <c r="HJ149" s="96"/>
      <c r="HK149" s="96"/>
      <c r="HL149" s="96"/>
      <c r="HM149" s="96"/>
      <c r="HN149" s="96"/>
      <c r="HO149" s="96"/>
      <c r="HP149" s="96"/>
      <c r="HQ149" s="96"/>
      <c r="HR149" s="96"/>
      <c r="HS149" s="13"/>
      <c r="HT149" s="96"/>
      <c r="HU149" s="96"/>
      <c r="HV149" s="96"/>
      <c r="HW149" s="96"/>
      <c r="HX149" s="96"/>
      <c r="HY149" s="96"/>
      <c r="HZ149" s="96"/>
      <c r="IA149" s="96"/>
      <c r="IB149" s="96"/>
      <c r="IC149" s="96"/>
      <c r="ID149" s="96"/>
      <c r="IE149" s="96"/>
      <c r="IF149" s="96"/>
      <c r="IG149" s="96"/>
      <c r="IH149" s="96"/>
      <c r="II149" s="13"/>
      <c r="IJ149" s="96"/>
      <c r="IK149" s="96"/>
      <c r="IL149" s="96"/>
      <c r="IM149" s="96"/>
      <c r="IN149" s="96"/>
      <c r="IO149" s="96"/>
      <c r="IP149" s="96"/>
      <c r="IQ149" s="96"/>
      <c r="IR149" s="96"/>
      <c r="IS149" s="96"/>
      <c r="IT149" s="96"/>
      <c r="IU149" s="96"/>
      <c r="IV149" s="96"/>
      <c r="IW149" s="96"/>
      <c r="IX149" s="96"/>
      <c r="IY149" s="13"/>
    </row>
    <row r="150" spans="1:259" outlineLevel="1">
      <c r="A150" s="11">
        <f>'VAC &amp; MED'!C141</f>
        <v>46142</v>
      </c>
      <c r="B150" s="261"/>
      <c r="C150" s="261"/>
      <c r="D150" s="261"/>
      <c r="E150" s="261"/>
      <c r="F150" s="261"/>
      <c r="G150" s="261"/>
      <c r="H150" s="261"/>
      <c r="I150" s="261"/>
      <c r="J150" s="261"/>
      <c r="K150" s="261"/>
      <c r="L150" s="261"/>
      <c r="M150" s="261"/>
      <c r="N150" s="261"/>
      <c r="O150" s="261"/>
      <c r="P150" s="261"/>
      <c r="Q150" s="261"/>
      <c r="R150" s="262"/>
      <c r="S150" s="262"/>
      <c r="T150" s="262"/>
      <c r="U150" s="262"/>
      <c r="V150" s="262"/>
      <c r="W150" s="262"/>
      <c r="X150" s="262"/>
      <c r="Y150" s="262"/>
      <c r="Z150" s="262"/>
      <c r="AA150" s="262"/>
      <c r="AB150" s="262"/>
      <c r="AC150" s="262"/>
      <c r="AD150" s="262"/>
      <c r="AE150" s="262"/>
      <c r="AF150" s="262"/>
      <c r="AG150" s="262"/>
      <c r="AH150" s="263"/>
      <c r="AI150" s="263"/>
      <c r="AJ150" s="263"/>
      <c r="AK150" s="263"/>
      <c r="AL150" s="263"/>
      <c r="AM150" s="263"/>
      <c r="AN150" s="263"/>
      <c r="AO150" s="263"/>
      <c r="AP150" s="263"/>
      <c r="AQ150" s="263"/>
      <c r="AR150" s="263"/>
      <c r="AS150" s="263"/>
      <c r="AT150" s="263"/>
      <c r="AU150" s="263"/>
      <c r="AV150" s="263"/>
      <c r="AW150" s="263"/>
      <c r="AX150" s="264"/>
      <c r="AY150" s="264"/>
      <c r="AZ150" s="264"/>
      <c r="BA150" s="264"/>
      <c r="BB150" s="264"/>
      <c r="BC150" s="264"/>
      <c r="BD150" s="264"/>
      <c r="BE150" s="264"/>
      <c r="BF150" s="264"/>
      <c r="BG150" s="264"/>
      <c r="BH150" s="264"/>
      <c r="BI150" s="264"/>
      <c r="BJ150" s="264"/>
      <c r="BK150" s="264"/>
      <c r="BL150" s="264"/>
      <c r="BM150" s="264"/>
      <c r="BN150" s="265"/>
      <c r="BO150" s="265">
        <v>20</v>
      </c>
      <c r="BP150" s="265"/>
      <c r="BQ150" s="265"/>
      <c r="BR150" s="265"/>
      <c r="BS150" s="265"/>
      <c r="BT150" s="265"/>
      <c r="BU150" s="265"/>
      <c r="BV150" s="265"/>
      <c r="BW150" s="265"/>
      <c r="BX150" s="265"/>
      <c r="BY150" s="265"/>
      <c r="BZ150" s="265"/>
      <c r="CA150" s="265"/>
      <c r="CB150" s="265"/>
      <c r="CC150" s="265"/>
      <c r="CD150" s="266"/>
      <c r="CE150" s="266"/>
      <c r="CF150" s="266"/>
      <c r="CG150" s="266"/>
      <c r="CH150" s="266"/>
      <c r="CI150" s="266"/>
      <c r="CJ150" s="266"/>
      <c r="CK150" s="266"/>
      <c r="CL150" s="266"/>
      <c r="CM150" s="266"/>
      <c r="CN150" s="266"/>
      <c r="CO150" s="266"/>
      <c r="CP150" s="266"/>
      <c r="CQ150" s="266"/>
      <c r="CR150" s="266"/>
      <c r="CS150" s="266"/>
      <c r="CT150" s="267"/>
      <c r="CU150" s="267"/>
      <c r="CV150" s="267"/>
      <c r="CW150" s="267"/>
      <c r="CX150" s="267"/>
      <c r="CY150" s="267"/>
      <c r="CZ150" s="267"/>
      <c r="DA150" s="267"/>
      <c r="DB150" s="267"/>
      <c r="DC150" s="267"/>
      <c r="DD150" s="267"/>
      <c r="DE150" s="267"/>
      <c r="DF150" s="267"/>
      <c r="DG150" s="267"/>
      <c r="DH150" s="267"/>
      <c r="DI150" s="267"/>
      <c r="DJ150" s="268"/>
      <c r="DK150" s="268"/>
      <c r="DL150" s="268"/>
      <c r="DM150" s="268"/>
      <c r="DN150" s="268"/>
      <c r="DO150" s="268"/>
      <c r="DP150" s="268"/>
      <c r="DQ150" s="268"/>
      <c r="DR150" s="268"/>
      <c r="DS150" s="268"/>
      <c r="DT150" s="268"/>
      <c r="DU150" s="268"/>
      <c r="DV150" s="268"/>
      <c r="DW150" s="268"/>
      <c r="DX150" s="268"/>
      <c r="DY150" s="268"/>
      <c r="EA150" s="13"/>
      <c r="EB150" s="95"/>
      <c r="EC150" s="95"/>
      <c r="ED150" s="95"/>
      <c r="EE150" s="95"/>
      <c r="EF150" s="95"/>
      <c r="EG150" s="95"/>
      <c r="EH150" s="95"/>
      <c r="EI150" s="95"/>
      <c r="EJ150" s="95"/>
      <c r="EK150" s="95"/>
      <c r="EL150" s="95"/>
      <c r="EM150" s="95"/>
      <c r="EN150" s="95"/>
      <c r="EO150" s="95"/>
      <c r="EP150" s="95"/>
      <c r="EQ150" s="95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</row>
    <row r="151" spans="1:259" outlineLevel="1">
      <c r="A151" s="11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06"/>
      <c r="AB151" s="106"/>
      <c r="AC151" s="106"/>
      <c r="AD151" s="106"/>
      <c r="AE151" s="106"/>
      <c r="AF151" s="106"/>
      <c r="AG151" s="106"/>
      <c r="AH151" s="106"/>
      <c r="AI151" s="106"/>
      <c r="AJ151" s="106"/>
      <c r="AK151" s="106"/>
      <c r="AL151" s="106"/>
      <c r="AM151" s="106"/>
      <c r="AN151" s="106"/>
      <c r="AO151" s="106"/>
      <c r="AP151" s="106"/>
      <c r="AQ151" s="106"/>
      <c r="AR151" s="106"/>
      <c r="AS151" s="106"/>
      <c r="AT151" s="106"/>
      <c r="AU151" s="106"/>
      <c r="AV151" s="106"/>
      <c r="AW151" s="106"/>
      <c r="AX151" s="106"/>
      <c r="AY151" s="106"/>
      <c r="AZ151" s="106"/>
      <c r="BA151" s="106"/>
      <c r="BB151" s="106"/>
      <c r="BC151" s="106"/>
      <c r="BD151" s="106"/>
      <c r="BE151" s="106"/>
      <c r="BF151" s="106"/>
      <c r="BG151" s="106"/>
      <c r="BH151" s="106"/>
      <c r="BI151" s="106"/>
      <c r="BJ151" s="106"/>
      <c r="BK151" s="106"/>
      <c r="BL151" s="106"/>
      <c r="BM151" s="106"/>
      <c r="BN151" s="106"/>
      <c r="BO151" s="106"/>
      <c r="BP151" s="106"/>
      <c r="BQ151" s="106"/>
      <c r="BR151" s="106"/>
      <c r="BS151" s="106"/>
      <c r="BT151" s="106"/>
      <c r="BU151" s="106"/>
      <c r="BV151" s="106"/>
      <c r="BW151" s="106"/>
      <c r="BX151" s="106"/>
      <c r="BY151" s="106"/>
      <c r="BZ151" s="106"/>
      <c r="CA151" s="106"/>
      <c r="CB151" s="106"/>
      <c r="CC151" s="106"/>
      <c r="CD151" s="106"/>
      <c r="CE151" s="106"/>
      <c r="CF151" s="106"/>
      <c r="CG151" s="106"/>
      <c r="CH151" s="106"/>
      <c r="CI151" s="106"/>
      <c r="CJ151" s="106"/>
      <c r="CK151" s="106"/>
      <c r="CL151" s="106"/>
      <c r="CM151" s="106"/>
      <c r="CN151" s="106"/>
      <c r="CO151" s="106"/>
      <c r="CP151" s="106"/>
      <c r="CQ151" s="106"/>
      <c r="CR151" s="106"/>
      <c r="CS151" s="106"/>
      <c r="CT151" s="106"/>
      <c r="CU151" s="106"/>
      <c r="CV151" s="106"/>
      <c r="CW151" s="106"/>
      <c r="CX151" s="106"/>
      <c r="CY151" s="106"/>
      <c r="CZ151" s="106"/>
      <c r="DA151" s="106"/>
      <c r="DB151" s="106"/>
      <c r="DC151" s="106"/>
      <c r="DD151" s="106"/>
      <c r="DE151" s="106"/>
      <c r="DF151" s="106"/>
      <c r="DG151" s="106"/>
      <c r="DH151" s="106"/>
      <c r="DI151" s="106"/>
      <c r="DJ151" s="106"/>
      <c r="DK151" s="106"/>
      <c r="DL151" s="106"/>
      <c r="DM151" s="106"/>
      <c r="DN151" s="106"/>
      <c r="DO151" s="106"/>
      <c r="DP151" s="106"/>
      <c r="DQ151" s="106"/>
      <c r="DR151" s="106"/>
      <c r="DS151" s="106"/>
      <c r="DT151" s="106"/>
      <c r="DU151" s="106"/>
      <c r="DV151" s="106"/>
      <c r="DW151" s="106"/>
      <c r="DX151" s="106"/>
      <c r="DY151" s="106"/>
      <c r="EA151" s="13"/>
      <c r="EB151" s="95"/>
      <c r="EC151" s="95"/>
      <c r="ED151" s="95"/>
      <c r="EE151" s="95"/>
      <c r="EF151" s="95"/>
      <c r="EG151" s="95"/>
      <c r="EH151" s="95"/>
      <c r="EI151" s="95"/>
      <c r="EJ151" s="95"/>
      <c r="EK151" s="95"/>
      <c r="EL151" s="95"/>
      <c r="EM151" s="95"/>
      <c r="EN151" s="95"/>
      <c r="EO151" s="95"/>
      <c r="EP151" s="95"/>
      <c r="EQ151" s="95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</row>
    <row r="152" spans="1:259" s="122" customFormat="1" ht="30.75" customHeight="1" thickBot="1">
      <c r="B152" s="256" t="str">
        <f>FORMULA!$B$3</f>
        <v>WS 1101 (251124)</v>
      </c>
      <c r="C152" s="256" t="str">
        <f>FORMULA!$D$3</f>
        <v>WS 1101 (220526)</v>
      </c>
      <c r="D152" s="256">
        <f>FORMULA!$F$3</f>
        <v>0</v>
      </c>
      <c r="E152" s="256">
        <f>FORMULA!$H$3</f>
        <v>0</v>
      </c>
      <c r="F152" s="256">
        <f>FORMULA!$J$3</f>
        <v>0</v>
      </c>
      <c r="G152" s="111">
        <f>FORMULA!$L$3</f>
        <v>0</v>
      </c>
      <c r="H152" s="111">
        <f>FORMULA!$N$3</f>
        <v>0</v>
      </c>
      <c r="I152" s="111">
        <f>FORMULA!$P$3</f>
        <v>0</v>
      </c>
      <c r="J152" s="111">
        <f>FORMULA!$R$3</f>
        <v>0</v>
      </c>
      <c r="K152" s="111">
        <f>FORMULA!$T$3</f>
        <v>0</v>
      </c>
      <c r="L152" s="111">
        <f>FORMULA!$V$3</f>
        <v>0</v>
      </c>
      <c r="M152" s="111">
        <f>FORMULA!$X$3</f>
        <v>0</v>
      </c>
      <c r="N152" s="111">
        <f>FORMULA!$Z$3</f>
        <v>0</v>
      </c>
      <c r="O152" s="111">
        <f>FORMULA!$AB$3</f>
        <v>0</v>
      </c>
      <c r="P152" s="111">
        <f>FORMULA!$AD$3</f>
        <v>0</v>
      </c>
      <c r="Q152" s="111"/>
      <c r="R152" s="256" t="str">
        <f>FORMULA!$B$91</f>
        <v>WS 1102 (290825)</v>
      </c>
      <c r="S152" s="256">
        <f>FORMULA!$D$91</f>
        <v>0</v>
      </c>
      <c r="T152" s="256">
        <f>FORMULA!$F$91</f>
        <v>0</v>
      </c>
      <c r="U152" s="256">
        <f>FORMULA!$H$91</f>
        <v>0</v>
      </c>
      <c r="V152" s="256">
        <f>FORMULA!$J$91</f>
        <v>0</v>
      </c>
      <c r="W152" s="256">
        <f>FORMULA!$L$91</f>
        <v>0</v>
      </c>
      <c r="X152" s="256">
        <f>FORMULA!$N$91</f>
        <v>0</v>
      </c>
      <c r="Y152" s="256">
        <f>FORMULA!$P$91</f>
        <v>0</v>
      </c>
      <c r="Z152" s="256">
        <f>FORMULA!$R$91</f>
        <v>0</v>
      </c>
      <c r="AA152" s="256">
        <f>FORMULA!$T$91</f>
        <v>0</v>
      </c>
      <c r="AB152" s="256">
        <f>FORMULA!$V$91</f>
        <v>0</v>
      </c>
      <c r="AC152" s="256">
        <f>FORMULA!$X$91</f>
        <v>0</v>
      </c>
      <c r="AD152" s="111">
        <f>FORMULA!$Z$91</f>
        <v>0</v>
      </c>
      <c r="AE152" s="111">
        <f>FORMULA!$AB$91</f>
        <v>0</v>
      </c>
      <c r="AF152" s="111">
        <f>FORMULA!$AD$91</f>
        <v>0</v>
      </c>
      <c r="AG152" s="111"/>
      <c r="AH152" s="256" t="str">
        <f>FORMULA!$B$179</f>
        <v>WS 1103 (290825)</v>
      </c>
      <c r="AI152" s="256" t="str">
        <f>FORMULA!$D$179</f>
        <v>WS 1103 (220526)</v>
      </c>
      <c r="AJ152" s="256">
        <f>FORMULA!$F$179</f>
        <v>0</v>
      </c>
      <c r="AK152" s="256">
        <f>FORMULA!$H$179</f>
        <v>0</v>
      </c>
      <c r="AL152" s="256">
        <f>FORMULA!$J$179</f>
        <v>0</v>
      </c>
      <c r="AM152" s="256">
        <f>FORMULA!$L$179</f>
        <v>0</v>
      </c>
      <c r="AN152" s="256">
        <f>FORMULA!$N$179</f>
        <v>0</v>
      </c>
      <c r="AO152" s="256">
        <f>FORMULA!$P$179</f>
        <v>0</v>
      </c>
      <c r="AP152" s="256">
        <f>FORMULA!$R$179</f>
        <v>0</v>
      </c>
      <c r="AQ152" s="256">
        <f>FORMULA!$T$179</f>
        <v>0</v>
      </c>
      <c r="AR152" s="256">
        <f>FORMULA!$V$179</f>
        <v>0</v>
      </c>
      <c r="AS152" s="256">
        <f>FORMULA!$X$179</f>
        <v>0</v>
      </c>
      <c r="AT152" s="256">
        <f>FORMULA!$Z$179</f>
        <v>0</v>
      </c>
      <c r="AU152" s="111">
        <f>FORMULA!$AB$179</f>
        <v>0</v>
      </c>
      <c r="AV152" s="111">
        <f>FORMULA!$AD$179</f>
        <v>0</v>
      </c>
      <c r="AW152" s="111"/>
      <c r="AX152" s="111">
        <f>FORMULA!$B$267</f>
        <v>0</v>
      </c>
      <c r="AY152" s="111">
        <f>FORMULA!$D$267</f>
        <v>0</v>
      </c>
      <c r="AZ152" s="111">
        <f>FORMULA!$F$267</f>
        <v>0</v>
      </c>
      <c r="BA152" s="111">
        <f>FORMULA!$H$267</f>
        <v>0</v>
      </c>
      <c r="BB152" s="111">
        <f>FORMULA!$J$267</f>
        <v>0</v>
      </c>
      <c r="BC152" s="111">
        <f>FORMULA!$L$267</f>
        <v>0</v>
      </c>
      <c r="BD152" s="111">
        <f>FORMULA!$N$267</f>
        <v>0</v>
      </c>
      <c r="BE152" s="111">
        <f>FORMULA!$P$267</f>
        <v>0</v>
      </c>
      <c r="BF152" s="111">
        <f>FORMULA!$R$267</f>
        <v>0</v>
      </c>
      <c r="BG152" s="111">
        <f>FORMULA!$T$267</f>
        <v>0</v>
      </c>
      <c r="BH152" s="111">
        <f>FORMULA!$V$267</f>
        <v>0</v>
      </c>
      <c r="BI152" s="111">
        <f>FORMULA!$X$267</f>
        <v>0</v>
      </c>
      <c r="BJ152" s="111">
        <f>FORMULA!$Z$267</f>
        <v>0</v>
      </c>
      <c r="BK152" s="111">
        <f>FORMULA!$AB$267</f>
        <v>0</v>
      </c>
      <c r="BL152" s="111">
        <f>FORMULA!$AD$267</f>
        <v>0</v>
      </c>
      <c r="BM152" s="111"/>
      <c r="BN152" s="256" t="str">
        <f>FORMULA!$B$355</f>
        <v>WS 8100 (290825)</v>
      </c>
      <c r="BO152" s="256" t="str">
        <f>FORMULA!$D$355</f>
        <v>WS 8100 (280426)</v>
      </c>
      <c r="BP152" s="111">
        <f>FORMULA!$F$355</f>
        <v>0</v>
      </c>
      <c r="BQ152" s="256" t="str">
        <f>FORMULA!$H$355</f>
        <v>WS 8102 (290825)</v>
      </c>
      <c r="BR152" s="256" t="str">
        <f>FORMULA!$J$355</f>
        <v>WS 8102 (121225)</v>
      </c>
      <c r="BS152" s="256" t="str">
        <f>FORMULA!$L$355</f>
        <v>WS 8102 (020326)</v>
      </c>
      <c r="BT152" s="256" t="str">
        <f>FORMULA!$N$355</f>
        <v>WS 8102 (020326)</v>
      </c>
      <c r="BU152" s="256" t="str">
        <f>FORMULA!$P$355</f>
        <v>WS 8102 (060526)</v>
      </c>
      <c r="BV152" s="256" t="str">
        <f>FORMULA!$R$355</f>
        <v>WS 8102 (060526)</v>
      </c>
      <c r="BW152" s="256" t="str">
        <f>FORMULA!$T$355</f>
        <v>WS 8103 (070526)</v>
      </c>
      <c r="BX152" s="256" t="str">
        <f>FORMULA!$V$355</f>
        <v>WS 8102 (070526)</v>
      </c>
      <c r="BY152" s="256" t="str">
        <f>FORMULA!$X$355</f>
        <v>WS 8103 (061125)</v>
      </c>
      <c r="BZ152" s="256" t="str">
        <f>FORMULA!$Z$355</f>
        <v>WS 8103 (250226)</v>
      </c>
      <c r="CA152" s="529" t="str">
        <f>FORMULA!$AB$355</f>
        <v>WS 8102 (080526)</v>
      </c>
      <c r="CB152" s="529" t="str">
        <f>FORMULA!$AD$355</f>
        <v>WS 8109 (080526)</v>
      </c>
      <c r="CC152" s="111"/>
      <c r="CD152" s="256" t="str">
        <f>FORMULA!$B$443</f>
        <v>YH 121 (050226)</v>
      </c>
      <c r="CE152" s="256" t="str">
        <f>FORMULA!$D$443</f>
        <v>YH 121 (190326)</v>
      </c>
      <c r="CF152" s="256" t="str">
        <f>FORMULA!$F$443</f>
        <v>YH 121 (020426)</v>
      </c>
      <c r="CG152" s="111">
        <f>FORMULA!$H$443</f>
        <v>0</v>
      </c>
      <c r="CH152" s="111">
        <f>FORMULA!$J$443</f>
        <v>0</v>
      </c>
      <c r="CI152" s="111">
        <f>FORMULA!$L$443</f>
        <v>0</v>
      </c>
      <c r="CJ152" s="111">
        <f>FORMULA!$N$443</f>
        <v>0</v>
      </c>
      <c r="CK152" s="111">
        <f>FORMULA!$P$443</f>
        <v>0</v>
      </c>
      <c r="CL152" s="111">
        <f>FORMULA!$R$443</f>
        <v>0</v>
      </c>
      <c r="CM152" s="111" t="str">
        <f>FORMULA!$T$443</f>
        <v>311 (130526)</v>
      </c>
      <c r="CN152" s="111" t="str">
        <f>FORMULA!$V$443</f>
        <v>312 (130526)</v>
      </c>
      <c r="CO152" s="111">
        <f>FORMULA!$X$443</f>
        <v>0</v>
      </c>
      <c r="CP152" s="111">
        <f>FORMULA!$Z$443</f>
        <v>0</v>
      </c>
      <c r="CQ152" s="111">
        <f>FORMULA!$AB$443</f>
        <v>0</v>
      </c>
      <c r="CR152" s="111">
        <f>FORMULA!$AD$443</f>
        <v>0</v>
      </c>
      <c r="CS152" s="111"/>
      <c r="CT152" s="256" t="str">
        <f>FORMULA!$B$531</f>
        <v>YH 122 (050226)</v>
      </c>
      <c r="CU152" s="256" t="str">
        <f>FORMULA!$D$531</f>
        <v>YH 122 (190326)</v>
      </c>
      <c r="CV152" s="256" t="str">
        <f>FORMULA!$F$531</f>
        <v>YH 122 (200426)</v>
      </c>
      <c r="CW152" s="111">
        <f>FORMULA!$H$531</f>
        <v>0</v>
      </c>
      <c r="CX152" s="111">
        <f>FORMULA!$J$531</f>
        <v>0</v>
      </c>
      <c r="CY152" s="111">
        <f>FORMULA!$L$531</f>
        <v>0</v>
      </c>
      <c r="CZ152" s="256" t="str">
        <f>FORMULA!$N$531</f>
        <v>5201 (090426)</v>
      </c>
      <c r="DA152" s="256" t="str">
        <f>FORMULA!$P$531</f>
        <v>5201 (090426)</v>
      </c>
      <c r="DB152" s="256">
        <f>FORMULA!$R$531</f>
        <v>0</v>
      </c>
      <c r="DC152" s="256" t="str">
        <f>FORMULA!$T$531</f>
        <v>5202 (090426)</v>
      </c>
      <c r="DD152" s="256" t="str">
        <f>FORMULA!$V$531</f>
        <v>5202 (090426)</v>
      </c>
      <c r="DE152" s="256">
        <f>FORMULA!$X$531</f>
        <v>0</v>
      </c>
      <c r="DF152" s="256" t="str">
        <f>FORMULA!$Z$531</f>
        <v>5203 (090426)</v>
      </c>
      <c r="DG152" s="111" t="str">
        <f>FORMULA!$AB$531</f>
        <v>5203 (090426)</v>
      </c>
      <c r="DH152" s="111">
        <f>FORMULA!$AD$531</f>
        <v>0</v>
      </c>
      <c r="DI152" s="111"/>
      <c r="DJ152" s="256" t="str">
        <f>FORMULA!$B$619</f>
        <v>YH 123 (050226)</v>
      </c>
      <c r="DK152" s="256" t="str">
        <f>FORMULA!$D$619</f>
        <v>YH 123 (130326)</v>
      </c>
      <c r="DL152" s="256" t="str">
        <f>FORMULA!$F$619</f>
        <v>YH 123 (190326)</v>
      </c>
      <c r="DM152" s="256" t="str">
        <f>FORMULA!$H$619</f>
        <v>YH 123 (200426)</v>
      </c>
      <c r="DN152" s="111">
        <f>FORMULA!$J$619</f>
        <v>0</v>
      </c>
      <c r="DO152" s="111">
        <f>FORMULA!$L$619</f>
        <v>0</v>
      </c>
      <c r="DP152" s="111">
        <f>FORMULA!$N$619</f>
        <v>0</v>
      </c>
      <c r="DQ152" s="111">
        <f>FORMULA!$P$619</f>
        <v>0</v>
      </c>
      <c r="DR152" s="111">
        <f>FORMULA!$R$619</f>
        <v>0</v>
      </c>
      <c r="DS152" s="111">
        <f>FORMULA!$T$619</f>
        <v>0</v>
      </c>
      <c r="DT152" s="111">
        <f>FORMULA!$V$619</f>
        <v>0</v>
      </c>
      <c r="DU152" s="111">
        <f>FORMULA!$X$619</f>
        <v>0</v>
      </c>
      <c r="DV152" s="111">
        <f>FORMULA!$Z$619</f>
        <v>0</v>
      </c>
      <c r="DW152" s="111">
        <f>FORMULA!$AB$619</f>
        <v>0</v>
      </c>
      <c r="DX152" s="111">
        <f>FORMULA!$AD$619</f>
        <v>0</v>
      </c>
      <c r="DY152" s="111"/>
      <c r="EA152" s="118"/>
      <c r="EB152" s="119"/>
      <c r="EC152" s="119"/>
      <c r="ED152" s="119"/>
      <c r="EE152" s="119"/>
      <c r="EF152" s="119"/>
      <c r="EG152" s="119"/>
      <c r="EH152" s="119"/>
      <c r="EI152" s="119"/>
      <c r="EJ152" s="119"/>
      <c r="EK152" s="119"/>
      <c r="EL152" s="119"/>
      <c r="EM152" s="119"/>
      <c r="EN152" s="119"/>
      <c r="EO152" s="119"/>
      <c r="EP152" s="119"/>
      <c r="EQ152" s="119"/>
      <c r="ER152" s="118"/>
      <c r="ES152" s="118"/>
      <c r="ET152" s="118"/>
      <c r="EU152" s="118"/>
      <c r="EV152" s="118"/>
      <c r="EW152" s="118"/>
      <c r="EX152" s="118"/>
      <c r="EY152" s="118"/>
      <c r="EZ152" s="118"/>
      <c r="FA152" s="118"/>
      <c r="FB152" s="118"/>
      <c r="FC152" s="118"/>
      <c r="FD152" s="118"/>
      <c r="FE152" s="118"/>
      <c r="FF152" s="118"/>
      <c r="FG152" s="118"/>
      <c r="FH152" s="118"/>
      <c r="FI152" s="118"/>
      <c r="FJ152" s="118"/>
      <c r="FK152" s="118"/>
      <c r="FL152" s="118"/>
      <c r="FM152" s="118"/>
      <c r="FN152" s="118"/>
      <c r="FO152" s="118"/>
      <c r="FP152" s="118"/>
      <c r="FQ152" s="118"/>
      <c r="FR152" s="118"/>
      <c r="FS152" s="118"/>
      <c r="FT152" s="118"/>
      <c r="FU152" s="118"/>
      <c r="FV152" s="118"/>
      <c r="FW152" s="118"/>
      <c r="FX152" s="118"/>
      <c r="FY152" s="118"/>
      <c r="FZ152" s="118"/>
      <c r="GA152" s="118"/>
      <c r="GB152" s="118"/>
      <c r="GC152" s="118"/>
      <c r="GD152" s="118"/>
      <c r="GE152" s="118"/>
      <c r="GF152" s="118"/>
      <c r="GG152" s="118"/>
      <c r="GH152" s="118"/>
      <c r="GI152" s="118"/>
      <c r="GJ152" s="118"/>
      <c r="GK152" s="118"/>
      <c r="GL152" s="118"/>
      <c r="GM152" s="118"/>
      <c r="GN152" s="118"/>
      <c r="GO152" s="118"/>
      <c r="GP152" s="118"/>
      <c r="GQ152" s="118"/>
      <c r="GR152" s="118"/>
      <c r="GS152" s="118"/>
      <c r="GT152" s="118"/>
      <c r="GU152" s="118"/>
      <c r="GV152" s="118"/>
      <c r="GW152" s="118"/>
      <c r="GX152" s="118"/>
      <c r="GY152" s="118"/>
      <c r="GZ152" s="118"/>
      <c r="HA152" s="118"/>
      <c r="HB152" s="118"/>
      <c r="HC152" s="118"/>
      <c r="HD152" s="118"/>
      <c r="HE152" s="118"/>
      <c r="HF152" s="118"/>
      <c r="HG152" s="118"/>
      <c r="HH152" s="118"/>
      <c r="HI152" s="118"/>
      <c r="HJ152" s="118"/>
      <c r="HK152" s="118"/>
      <c r="HL152" s="118"/>
      <c r="HM152" s="118"/>
      <c r="HN152" s="118"/>
      <c r="HO152" s="118"/>
      <c r="HP152" s="118"/>
      <c r="HQ152" s="118"/>
      <c r="HR152" s="118"/>
      <c r="HS152" s="118"/>
      <c r="HT152" s="118"/>
      <c r="HU152" s="118"/>
      <c r="HV152" s="118"/>
      <c r="HW152" s="118"/>
      <c r="HX152" s="118"/>
      <c r="HY152" s="118"/>
      <c r="HZ152" s="118"/>
      <c r="IA152" s="118"/>
      <c r="IB152" s="118"/>
      <c r="IC152" s="118"/>
      <c r="ID152" s="118"/>
      <c r="IE152" s="118"/>
      <c r="IF152" s="118"/>
      <c r="IG152" s="118"/>
      <c r="IH152" s="118"/>
      <c r="II152" s="118"/>
      <c r="IJ152" s="118"/>
      <c r="IK152" s="118"/>
      <c r="IL152" s="118"/>
      <c r="IM152" s="118"/>
      <c r="IN152" s="118"/>
      <c r="IO152" s="118"/>
      <c r="IP152" s="118"/>
      <c r="IQ152" s="118"/>
      <c r="IR152" s="118"/>
      <c r="IS152" s="118"/>
      <c r="IT152" s="118"/>
      <c r="IU152" s="118"/>
      <c r="IV152" s="118"/>
      <c r="IW152" s="118"/>
      <c r="IX152" s="118"/>
      <c r="IY152" s="118"/>
    </row>
    <row r="153" spans="1:259" s="124" customFormat="1" ht="51" customHeight="1" thickBot="1">
      <c r="A153" s="123" t="s">
        <v>144</v>
      </c>
      <c r="B153" s="257" t="str">
        <f>FORMULA!$B$4</f>
        <v>N01309AY</v>
      </c>
      <c r="C153" s="258">
        <f>FORMULA!$D$4</f>
        <v>0</v>
      </c>
      <c r="D153" s="258">
        <f>FORMULA!$F$4</f>
        <v>0</v>
      </c>
      <c r="E153" s="258">
        <f>FORMULA!$H$4</f>
        <v>0</v>
      </c>
      <c r="F153" s="258">
        <f>FORMULA!$J$4</f>
        <v>0</v>
      </c>
      <c r="G153" s="113">
        <f>FORMULA!$L$4</f>
        <v>0</v>
      </c>
      <c r="H153" s="113">
        <f>FORMULA!$N$4</f>
        <v>0</v>
      </c>
      <c r="I153" s="113">
        <f>FORMULA!$P$4</f>
        <v>0</v>
      </c>
      <c r="J153" s="113">
        <f>FORMULA!$R$4</f>
        <v>0</v>
      </c>
      <c r="K153" s="113">
        <f>FORMULA!$T$4</f>
        <v>0</v>
      </c>
      <c r="L153" s="113">
        <f>FORMULA!$V$4</f>
        <v>0</v>
      </c>
      <c r="M153" s="113">
        <f>FORMULA!$X$4</f>
        <v>0</v>
      </c>
      <c r="N153" s="113">
        <f>FORMULA!$Z$4</f>
        <v>0</v>
      </c>
      <c r="O153" s="113">
        <f>FORMULA!$AB$4</f>
        <v>0</v>
      </c>
      <c r="P153" s="113">
        <f>FORMULA!$AD$4</f>
        <v>0</v>
      </c>
      <c r="Q153" s="114"/>
      <c r="R153" s="257" t="str">
        <f>FORMULA!$B$92</f>
        <v>N025-06</v>
      </c>
      <c r="S153" s="258">
        <f>FORMULA!$D$92</f>
        <v>0</v>
      </c>
      <c r="T153" s="258">
        <f>FORMULA!$F$92</f>
        <v>0</v>
      </c>
      <c r="U153" s="258">
        <f>FORMULA!$H$92</f>
        <v>0</v>
      </c>
      <c r="V153" s="258">
        <f>FORMULA!$J$92</f>
        <v>0</v>
      </c>
      <c r="W153" s="258">
        <f>FORMULA!$L$92</f>
        <v>0</v>
      </c>
      <c r="X153" s="258">
        <f>FORMULA!$N$92</f>
        <v>0</v>
      </c>
      <c r="Y153" s="258">
        <f>FORMULA!$P$92</f>
        <v>0</v>
      </c>
      <c r="Z153" s="258">
        <f>FORMULA!$R$92</f>
        <v>0</v>
      </c>
      <c r="AA153" s="258">
        <f>FORMULA!$T$92</f>
        <v>0</v>
      </c>
      <c r="AB153" s="258">
        <f>FORMULA!$V$92</f>
        <v>0</v>
      </c>
      <c r="AC153" s="258">
        <f>FORMULA!$X$92</f>
        <v>0</v>
      </c>
      <c r="AD153" s="113">
        <f>FORMULA!$Z$92</f>
        <v>0</v>
      </c>
      <c r="AE153" s="113">
        <f>FORMULA!$AB$92</f>
        <v>0</v>
      </c>
      <c r="AF153" s="113">
        <f>FORMULA!$AD$92</f>
        <v>0</v>
      </c>
      <c r="AG153" s="114"/>
      <c r="AH153" s="257" t="str">
        <f>FORMULA!$B$180</f>
        <v>N035-06</v>
      </c>
      <c r="AI153" s="258" t="str">
        <f>FORMULA!$D$180</f>
        <v>WITH 1103 TOP UP</v>
      </c>
      <c r="AJ153" s="258">
        <f>FORMULA!$F$180</f>
        <v>0</v>
      </c>
      <c r="AK153" s="258">
        <f>FORMULA!$H$180</f>
        <v>0</v>
      </c>
      <c r="AL153" s="258">
        <f>FORMULA!$J$180</f>
        <v>0</v>
      </c>
      <c r="AM153" s="258">
        <f>FORMULA!$L$180</f>
        <v>0</v>
      </c>
      <c r="AN153" s="258">
        <f>FORMULA!$N$180</f>
        <v>0</v>
      </c>
      <c r="AO153" s="258">
        <f>FORMULA!$P$180</f>
        <v>0</v>
      </c>
      <c r="AP153" s="258">
        <f>FORMULA!$R$180</f>
        <v>0</v>
      </c>
      <c r="AQ153" s="258">
        <f>FORMULA!$T$180</f>
        <v>0</v>
      </c>
      <c r="AR153" s="258">
        <f>FORMULA!$V$180</f>
        <v>0</v>
      </c>
      <c r="AS153" s="258">
        <f>FORMULA!$X$180</f>
        <v>0</v>
      </c>
      <c r="AT153" s="258">
        <f>FORMULA!$Z$180</f>
        <v>0</v>
      </c>
      <c r="AU153" s="113">
        <f>FORMULA!$AB$180</f>
        <v>0</v>
      </c>
      <c r="AV153" s="113">
        <f>FORMULA!$AD$180</f>
        <v>0</v>
      </c>
      <c r="AW153" s="114"/>
      <c r="AX153" s="112">
        <f>FORMULA!$B$268</f>
        <v>0</v>
      </c>
      <c r="AY153" s="113">
        <f>FORMULA!$D$268</f>
        <v>0</v>
      </c>
      <c r="AZ153" s="113">
        <f>FORMULA!$F$268</f>
        <v>0</v>
      </c>
      <c r="BA153" s="113">
        <f>FORMULA!$H$268</f>
        <v>0</v>
      </c>
      <c r="BB153" s="113">
        <f>FORMULA!$J$268</f>
        <v>0</v>
      </c>
      <c r="BC153" s="113">
        <f>FORMULA!$L$268</f>
        <v>0</v>
      </c>
      <c r="BD153" s="113">
        <f>FORMULA!$N$268</f>
        <v>0</v>
      </c>
      <c r="BE153" s="113">
        <f>FORMULA!$P$268</f>
        <v>0</v>
      </c>
      <c r="BF153" s="113">
        <f>FORMULA!$R$268</f>
        <v>0</v>
      </c>
      <c r="BG153" s="113">
        <f>FORMULA!$T$268</f>
        <v>0</v>
      </c>
      <c r="BH153" s="113">
        <f>FORMULA!$V$268</f>
        <v>0</v>
      </c>
      <c r="BI153" s="113">
        <f>FORMULA!$X$268</f>
        <v>0</v>
      </c>
      <c r="BJ153" s="113">
        <f>FORMULA!$Z$268</f>
        <v>0</v>
      </c>
      <c r="BK153" s="113">
        <f>FORMULA!$AB$268</f>
        <v>0</v>
      </c>
      <c r="BL153" s="113">
        <f>FORMULA!$AD$268</f>
        <v>0</v>
      </c>
      <c r="BM153" s="114"/>
      <c r="BN153" s="111" t="str">
        <f>FORMULA!$B$356</f>
        <v>NR 14-04</v>
      </c>
      <c r="BO153" s="111">
        <f>FORMULA!$D$356</f>
        <v>0</v>
      </c>
      <c r="BP153" s="111">
        <f>FORMULA!$F$356</f>
        <v>0</v>
      </c>
      <c r="BQ153" s="256" t="str">
        <f>FORMULA!$H$356</f>
        <v>NR 24-04Z</v>
      </c>
      <c r="BR153" s="256" t="str">
        <f>FORMULA!$J$356</f>
        <v>WITH BMD</v>
      </c>
      <c r="BS153" s="256" t="str">
        <f>FORMULA!$L$356</f>
        <v>8102 Top Up&amp;PM 8108</v>
      </c>
      <c r="BT153" s="256" t="str">
        <f>FORMULA!$N$356</f>
        <v>8102 Top Up&amp;PM 8102</v>
      </c>
      <c r="BU153" s="256" t="str">
        <f>FORMULA!$P$356</f>
        <v>8102 Top Up&amp;PM 8102</v>
      </c>
      <c r="BV153" s="256" t="str">
        <f>FORMULA!$R$356</f>
        <v>8102 Top Up&amp;PM 8108</v>
      </c>
      <c r="BW153" s="256" t="str">
        <f>FORMULA!$T$356</f>
        <v>8103 Top Up&amp;PM 8103</v>
      </c>
      <c r="BX153" s="256" t="str">
        <f>FORMULA!$V$356</f>
        <v>8103 Top Up&amp;PM 8109</v>
      </c>
      <c r="BY153" s="256" t="str">
        <f>FORMULA!$X$356</f>
        <v xml:space="preserve">NR 34-04 </v>
      </c>
      <c r="BZ153" s="256" t="str">
        <f>FORMULA!$Z$356</f>
        <v xml:space="preserve">NR 34-04 </v>
      </c>
      <c r="CA153" s="529" t="str">
        <f>FORMULA!$AB$356</f>
        <v>8102 TOP UP</v>
      </c>
      <c r="CB153" s="529" t="str">
        <f>FORMULA!$AD$356</f>
        <v>8103 TOP UP</v>
      </c>
      <c r="CC153" s="114"/>
      <c r="CD153" s="256" t="str">
        <f>FORMULA!$B$444</f>
        <v>SOYTIDE&amp;TOXISORB</v>
      </c>
      <c r="CE153" s="256" t="str">
        <f>FORMULA!$D$444</f>
        <v>SOYTIDE&amp;TOXIWALL</v>
      </c>
      <c r="CF153" s="256" t="str">
        <f>FORMULA!$F$444</f>
        <v>EP 200&amp;TOXIWALL</v>
      </c>
      <c r="CG153" s="111">
        <f>FORMULA!$H$444</f>
        <v>0</v>
      </c>
      <c r="CH153" s="111">
        <f>FORMULA!$J$444</f>
        <v>0</v>
      </c>
      <c r="CI153" s="111">
        <f>FORMULA!$L$444</f>
        <v>0</v>
      </c>
      <c r="CJ153" s="111">
        <f>FORMULA!$N$444</f>
        <v>0</v>
      </c>
      <c r="CK153" s="111">
        <f>FORMULA!$P$444</f>
        <v>0</v>
      </c>
      <c r="CL153" s="111">
        <f>FORMULA!$R$444</f>
        <v>0</v>
      </c>
      <c r="CM153" s="111">
        <f>FORMULA!$T$444</f>
        <v>0</v>
      </c>
      <c r="CN153" s="111">
        <f>FORMULA!$V$444</f>
        <v>0</v>
      </c>
      <c r="CO153" s="111">
        <f>FORMULA!$X$444</f>
        <v>0</v>
      </c>
      <c r="CP153" s="111">
        <f>FORMULA!$Z$444</f>
        <v>0</v>
      </c>
      <c r="CQ153" s="111">
        <f>FORMULA!$AB$444</f>
        <v>0</v>
      </c>
      <c r="CR153" s="111">
        <f>FORMULA!$AD$444</f>
        <v>0</v>
      </c>
      <c r="CS153" s="114"/>
      <c r="CT153" s="256" t="str">
        <f>FORMULA!$B$532</f>
        <v>WITH TOXISORB</v>
      </c>
      <c r="CU153" s="256" t="str">
        <f>FORMULA!$D$532</f>
        <v>WITH TOXIWALL</v>
      </c>
      <c r="CV153" s="256" t="str">
        <f>FORMULA!$F$532</f>
        <v>WITH TOXIWALL, YM 20.50kg</v>
      </c>
      <c r="CW153" s="111">
        <f>FORMULA!$H$532</f>
        <v>0</v>
      </c>
      <c r="CX153" s="111">
        <f>FORMULA!$J$532</f>
        <v>0</v>
      </c>
      <c r="CY153" s="111">
        <f>FORMULA!$L$532</f>
        <v>0</v>
      </c>
      <c r="CZ153" s="256">
        <f>FORMULA!$N$532</f>
        <v>0</v>
      </c>
      <c r="DA153" s="256" t="str">
        <f>FORMULA!$P$532</f>
        <v>REDUCE CORN FOR 2MT</v>
      </c>
      <c r="DB153" s="256">
        <f>FORMULA!$R$532</f>
        <v>0</v>
      </c>
      <c r="DC153" s="256">
        <f>FORMULA!$T$532</f>
        <v>0</v>
      </c>
      <c r="DD153" s="256" t="str">
        <f>FORMULA!$V$532</f>
        <v>K20</v>
      </c>
      <c r="DE153" s="256">
        <f>FORMULA!$X$532</f>
        <v>0</v>
      </c>
      <c r="DF153" s="256" t="str">
        <f>FORMULA!$Z$532</f>
        <v>ALREADY 2MT</v>
      </c>
      <c r="DG153" s="111" t="str">
        <f>FORMULA!$AB$532</f>
        <v>K21</v>
      </c>
      <c r="DH153" s="111">
        <f>FORMULA!$AD$532</f>
        <v>0</v>
      </c>
      <c r="DI153" s="114"/>
      <c r="DJ153" s="256" t="str">
        <f>FORMULA!$B$620</f>
        <v>WITH TOXISORB</v>
      </c>
      <c r="DK153" s="256" t="str">
        <f>FORMULA!$D$620</f>
        <v>WITHOUT WHEAT POLLARD</v>
      </c>
      <c r="DL153" s="256" t="str">
        <f>FORMULA!$F$620</f>
        <v>WITH TOXIWALL</v>
      </c>
      <c r="DM153" s="256" t="str">
        <f>FORMULA!$H$620</f>
        <v>WITH TOXIWALL, YM 20.00kg</v>
      </c>
      <c r="DN153" s="111">
        <f>FORMULA!$J$620</f>
        <v>0</v>
      </c>
      <c r="DO153" s="111">
        <f>FORMULA!$L$620</f>
        <v>0</v>
      </c>
      <c r="DP153" s="111">
        <f>FORMULA!$N$620</f>
        <v>0</v>
      </c>
      <c r="DQ153" s="111">
        <f>FORMULA!$P$620</f>
        <v>0</v>
      </c>
      <c r="DR153" s="111">
        <f>FORMULA!$R$620</f>
        <v>0</v>
      </c>
      <c r="DS153" s="111">
        <f>FORMULA!$T$620</f>
        <v>0</v>
      </c>
      <c r="DT153" s="111">
        <f>FORMULA!$V$620</f>
        <v>0</v>
      </c>
      <c r="DU153" s="111">
        <f>FORMULA!$X$620</f>
        <v>0</v>
      </c>
      <c r="DV153" s="111">
        <f>FORMULA!$Z$620</f>
        <v>0</v>
      </c>
      <c r="DW153" s="111">
        <f>FORMULA!$AB$620</f>
        <v>0</v>
      </c>
      <c r="DX153" s="111">
        <f>FORMULA!$AD$620</f>
        <v>0</v>
      </c>
      <c r="DY153" s="114"/>
      <c r="EA153" s="721"/>
      <c r="EB153" s="721"/>
      <c r="EC153" s="721"/>
      <c r="ED153" s="721"/>
      <c r="EE153" s="721"/>
      <c r="EF153" s="721"/>
      <c r="EG153" s="721"/>
      <c r="EH153" s="721"/>
      <c r="EI153" s="721"/>
      <c r="EJ153" s="721"/>
      <c r="EK153" s="721"/>
      <c r="EL153" s="120"/>
      <c r="EM153" s="120"/>
      <c r="EN153" s="120"/>
      <c r="EO153" s="120"/>
      <c r="EP153" s="120"/>
      <c r="EQ153" s="120"/>
      <c r="ER153" s="721"/>
      <c r="ES153" s="721"/>
      <c r="ET153" s="721"/>
      <c r="EU153" s="721"/>
      <c r="EV153" s="721"/>
      <c r="EW153" s="721"/>
      <c r="EX153" s="721"/>
      <c r="EY153" s="721"/>
      <c r="EZ153" s="721"/>
      <c r="FA153" s="721"/>
      <c r="FB153" s="721"/>
      <c r="FC153" s="721"/>
      <c r="FD153" s="721"/>
      <c r="FE153" s="721"/>
      <c r="FF153" s="721"/>
      <c r="FG153" s="120"/>
      <c r="FH153" s="721"/>
      <c r="FI153" s="721"/>
      <c r="FJ153" s="721"/>
      <c r="FK153" s="721"/>
      <c r="FL153" s="721"/>
      <c r="FM153" s="721"/>
      <c r="FN153" s="721"/>
      <c r="FO153" s="721"/>
      <c r="FP153" s="721"/>
      <c r="FQ153" s="721"/>
      <c r="FR153" s="721"/>
      <c r="FS153" s="721"/>
      <c r="FT153" s="721"/>
      <c r="FU153" s="721"/>
      <c r="FV153" s="721"/>
      <c r="FW153" s="120"/>
      <c r="FX153" s="721"/>
      <c r="FY153" s="721"/>
      <c r="FZ153" s="721"/>
      <c r="GA153" s="721"/>
      <c r="GB153" s="721"/>
      <c r="GC153" s="721"/>
      <c r="GD153" s="721"/>
      <c r="GE153" s="721"/>
      <c r="GF153" s="721"/>
      <c r="GG153" s="721"/>
      <c r="GH153" s="721"/>
      <c r="GI153" s="721"/>
      <c r="GJ153" s="721"/>
      <c r="GK153" s="721"/>
      <c r="GL153" s="721"/>
      <c r="GM153" s="121"/>
      <c r="GN153" s="721"/>
      <c r="GO153" s="721"/>
      <c r="GP153" s="721"/>
      <c r="GQ153" s="721"/>
      <c r="GR153" s="721"/>
      <c r="GS153" s="721"/>
      <c r="GT153" s="721"/>
      <c r="GU153" s="721"/>
      <c r="GV153" s="721"/>
      <c r="GW153" s="721"/>
      <c r="GX153" s="721"/>
      <c r="GY153" s="721"/>
      <c r="GZ153" s="721"/>
      <c r="HA153" s="721"/>
      <c r="HB153" s="721"/>
      <c r="HC153" s="121"/>
      <c r="HD153" s="721"/>
      <c r="HE153" s="721"/>
      <c r="HF153" s="721"/>
      <c r="HG153" s="721"/>
      <c r="HH153" s="721"/>
      <c r="HI153" s="721"/>
      <c r="HJ153" s="721"/>
      <c r="HK153" s="721"/>
      <c r="HL153" s="721"/>
      <c r="HM153" s="721"/>
      <c r="HN153" s="721"/>
      <c r="HO153" s="721"/>
      <c r="HP153" s="721"/>
      <c r="HQ153" s="721"/>
      <c r="HR153" s="721"/>
      <c r="HS153" s="121"/>
      <c r="HT153" s="721"/>
      <c r="HU153" s="721"/>
      <c r="HV153" s="721"/>
      <c r="HW153" s="721"/>
      <c r="HX153" s="721"/>
      <c r="HY153" s="721"/>
      <c r="HZ153" s="721"/>
      <c r="IA153" s="721"/>
      <c r="IB153" s="721"/>
      <c r="IC153" s="721"/>
      <c r="ID153" s="721"/>
      <c r="IE153" s="721"/>
      <c r="IF153" s="721"/>
      <c r="IG153" s="721"/>
      <c r="IH153" s="721"/>
      <c r="II153" s="121"/>
      <c r="IJ153" s="721"/>
      <c r="IK153" s="721"/>
      <c r="IL153" s="721"/>
      <c r="IM153" s="721"/>
      <c r="IN153" s="721"/>
      <c r="IO153" s="721"/>
      <c r="IP153" s="721"/>
      <c r="IQ153" s="721"/>
      <c r="IR153" s="721"/>
      <c r="IS153" s="721"/>
      <c r="IT153" s="721"/>
      <c r="IU153" s="721"/>
      <c r="IV153" s="721"/>
      <c r="IW153" s="721"/>
      <c r="IX153" s="721"/>
      <c r="IY153" s="121"/>
    </row>
    <row r="154" spans="1:259" ht="15.75" customHeight="1" outlineLevel="1">
      <c r="A154" s="11">
        <f>'VAC &amp; MED'!C147</f>
        <v>46143</v>
      </c>
      <c r="B154" s="261"/>
      <c r="C154" s="261"/>
      <c r="D154" s="261"/>
      <c r="E154" s="261"/>
      <c r="F154" s="261"/>
      <c r="G154" s="261"/>
      <c r="H154" s="261"/>
      <c r="I154" s="261"/>
      <c r="J154" s="261"/>
      <c r="K154" s="261"/>
      <c r="L154" s="261"/>
      <c r="M154" s="261"/>
      <c r="N154" s="261"/>
      <c r="O154" s="261"/>
      <c r="P154" s="261"/>
      <c r="Q154" s="261"/>
      <c r="R154" s="262"/>
      <c r="S154" s="262"/>
      <c r="T154" s="262"/>
      <c r="U154" s="262"/>
      <c r="V154" s="262"/>
      <c r="W154" s="262"/>
      <c r="X154" s="262"/>
      <c r="Y154" s="262"/>
      <c r="Z154" s="262"/>
      <c r="AA154" s="262"/>
      <c r="AB154" s="262"/>
      <c r="AC154" s="262"/>
      <c r="AD154" s="262"/>
      <c r="AE154" s="262"/>
      <c r="AF154" s="262"/>
      <c r="AG154" s="262"/>
      <c r="AH154" s="263"/>
      <c r="AI154" s="263"/>
      <c r="AJ154" s="263"/>
      <c r="AK154" s="263"/>
      <c r="AL154" s="263"/>
      <c r="AM154" s="263"/>
      <c r="AN154" s="263"/>
      <c r="AO154" s="263"/>
      <c r="AP154" s="263"/>
      <c r="AQ154" s="263"/>
      <c r="AR154" s="263"/>
      <c r="AS154" s="263"/>
      <c r="AT154" s="263"/>
      <c r="AU154" s="263"/>
      <c r="AV154" s="263"/>
      <c r="AW154" s="263"/>
      <c r="AX154" s="264"/>
      <c r="AY154" s="264"/>
      <c r="AZ154" s="264"/>
      <c r="BA154" s="264"/>
      <c r="BB154" s="264"/>
      <c r="BC154" s="264"/>
      <c r="BD154" s="264"/>
      <c r="BE154" s="264"/>
      <c r="BF154" s="264"/>
      <c r="BG154" s="264"/>
      <c r="BH154" s="264"/>
      <c r="BI154" s="264"/>
      <c r="BJ154" s="264"/>
      <c r="BK154" s="264"/>
      <c r="BL154" s="264"/>
      <c r="BM154" s="264"/>
      <c r="BN154" s="265"/>
      <c r="BO154" s="265"/>
      <c r="BP154" s="265"/>
      <c r="BQ154" s="265"/>
      <c r="BR154" s="265"/>
      <c r="BS154" s="265"/>
      <c r="BT154" s="265"/>
      <c r="BU154" s="265"/>
      <c r="BV154" s="265"/>
      <c r="BW154" s="265"/>
      <c r="BX154" s="265"/>
      <c r="BY154" s="265"/>
      <c r="BZ154" s="265"/>
      <c r="CA154" s="265"/>
      <c r="CB154" s="265"/>
      <c r="CC154" s="265"/>
      <c r="CD154" s="266"/>
      <c r="CE154" s="266"/>
      <c r="CF154" s="266"/>
      <c r="CG154" s="266"/>
      <c r="CH154" s="266"/>
      <c r="CI154" s="266"/>
      <c r="CJ154" s="266"/>
      <c r="CK154" s="266"/>
      <c r="CL154" s="266"/>
      <c r="CM154" s="266"/>
      <c r="CN154" s="266"/>
      <c r="CO154" s="266"/>
      <c r="CP154" s="266"/>
      <c r="CQ154" s="266"/>
      <c r="CR154" s="266"/>
      <c r="CS154" s="266"/>
      <c r="CT154" s="267"/>
      <c r="CU154" s="267"/>
      <c r="CV154" s="267"/>
      <c r="CW154" s="267"/>
      <c r="CX154" s="267"/>
      <c r="CY154" s="267"/>
      <c r="CZ154" s="267"/>
      <c r="DA154" s="267"/>
      <c r="DB154" s="267"/>
      <c r="DC154" s="267"/>
      <c r="DD154" s="267"/>
      <c r="DE154" s="267"/>
      <c r="DF154" s="267"/>
      <c r="DG154" s="267"/>
      <c r="DH154" s="267"/>
      <c r="DI154" s="267"/>
      <c r="DJ154" s="268"/>
      <c r="DK154" s="268"/>
      <c r="DL154" s="268"/>
      <c r="DM154" s="268"/>
      <c r="DN154" s="268"/>
      <c r="DO154" s="268"/>
      <c r="DP154" s="268"/>
      <c r="DQ154" s="268"/>
      <c r="DR154" s="268"/>
      <c r="DS154" s="268"/>
      <c r="DT154" s="268"/>
      <c r="DU154" s="268"/>
      <c r="DV154" s="268"/>
      <c r="DW154" s="268"/>
      <c r="DX154" s="268"/>
      <c r="DY154" s="268"/>
      <c r="EA154" s="721"/>
      <c r="EB154" s="721"/>
      <c r="EC154" s="721"/>
      <c r="ED154" s="721"/>
      <c r="EE154" s="721"/>
      <c r="EF154" s="721"/>
      <c r="EG154" s="721"/>
      <c r="EH154" s="721"/>
      <c r="EI154" s="721"/>
      <c r="EJ154" s="721"/>
      <c r="EK154" s="721"/>
      <c r="EL154" s="494"/>
      <c r="EM154" s="494"/>
      <c r="EN154" s="494"/>
      <c r="EO154" s="494"/>
      <c r="EP154" s="494"/>
      <c r="EQ154" s="494"/>
      <c r="ER154" s="721"/>
      <c r="ES154" s="721"/>
      <c r="ET154" s="721"/>
      <c r="EU154" s="721"/>
      <c r="EV154" s="721"/>
      <c r="EW154" s="721"/>
      <c r="EX154" s="721"/>
      <c r="EY154" s="721"/>
      <c r="EZ154" s="721"/>
      <c r="FA154" s="721"/>
      <c r="FB154" s="721"/>
      <c r="FC154" s="721"/>
      <c r="FD154" s="721"/>
      <c r="FE154" s="721"/>
      <c r="FF154" s="721"/>
      <c r="FG154" s="494"/>
      <c r="FH154" s="721"/>
      <c r="FI154" s="721"/>
      <c r="FJ154" s="721"/>
      <c r="FK154" s="721"/>
      <c r="FL154" s="721"/>
      <c r="FM154" s="721"/>
      <c r="FN154" s="721"/>
      <c r="FO154" s="721"/>
      <c r="FP154" s="721"/>
      <c r="FQ154" s="721"/>
      <c r="FR154" s="721"/>
      <c r="FS154" s="721"/>
      <c r="FT154" s="721"/>
      <c r="FU154" s="721"/>
      <c r="FV154" s="721"/>
      <c r="FW154" s="494"/>
      <c r="FX154" s="721"/>
      <c r="FY154" s="721"/>
      <c r="FZ154" s="721"/>
      <c r="GA154" s="721"/>
      <c r="GB154" s="721"/>
      <c r="GC154" s="721"/>
      <c r="GD154" s="721"/>
      <c r="GE154" s="721"/>
      <c r="GF154" s="721"/>
      <c r="GG154" s="721"/>
      <c r="GH154" s="721"/>
      <c r="GI154" s="721"/>
      <c r="GJ154" s="721"/>
      <c r="GK154" s="721"/>
      <c r="GL154" s="721"/>
      <c r="GM154" s="13"/>
      <c r="GN154" s="721"/>
      <c r="GO154" s="721"/>
      <c r="GP154" s="721"/>
      <c r="GQ154" s="721"/>
      <c r="GR154" s="721"/>
      <c r="GS154" s="721"/>
      <c r="GT154" s="721"/>
      <c r="GU154" s="721"/>
      <c r="GV154" s="721"/>
      <c r="GW154" s="721"/>
      <c r="GX154" s="721"/>
      <c r="GY154" s="721"/>
      <c r="GZ154" s="721"/>
      <c r="HA154" s="721"/>
      <c r="HB154" s="721"/>
      <c r="HC154" s="13"/>
      <c r="HD154" s="721"/>
      <c r="HE154" s="721"/>
      <c r="HF154" s="721"/>
      <c r="HG154" s="721"/>
      <c r="HH154" s="721"/>
      <c r="HI154" s="721"/>
      <c r="HJ154" s="721"/>
      <c r="HK154" s="721"/>
      <c r="HL154" s="721"/>
      <c r="HM154" s="721"/>
      <c r="HN154" s="721"/>
      <c r="HO154" s="721"/>
      <c r="HP154" s="721"/>
      <c r="HQ154" s="721"/>
      <c r="HR154" s="721"/>
      <c r="HS154" s="13"/>
      <c r="HT154" s="721"/>
      <c r="HU154" s="721"/>
      <c r="HV154" s="721"/>
      <c r="HW154" s="721"/>
      <c r="HX154" s="721"/>
      <c r="HY154" s="721"/>
      <c r="HZ154" s="721"/>
      <c r="IA154" s="721"/>
      <c r="IB154" s="721"/>
      <c r="IC154" s="721"/>
      <c r="ID154" s="721"/>
      <c r="IE154" s="721"/>
      <c r="IF154" s="721"/>
      <c r="IG154" s="721"/>
      <c r="IH154" s="721"/>
      <c r="II154" s="13"/>
      <c r="IJ154" s="721"/>
      <c r="IK154" s="721"/>
      <c r="IL154" s="721"/>
      <c r="IM154" s="721"/>
      <c r="IN154" s="721"/>
      <c r="IO154" s="721"/>
      <c r="IP154" s="721"/>
      <c r="IQ154" s="721"/>
      <c r="IR154" s="721"/>
      <c r="IS154" s="721"/>
      <c r="IT154" s="721"/>
      <c r="IU154" s="721"/>
      <c r="IV154" s="721"/>
      <c r="IW154" s="721"/>
      <c r="IX154" s="721"/>
      <c r="IY154" s="13"/>
    </row>
    <row r="155" spans="1:259" outlineLevel="1">
      <c r="A155" s="11">
        <f>'VAC &amp; MED'!C148</f>
        <v>46144</v>
      </c>
      <c r="B155" s="261"/>
      <c r="C155" s="261"/>
      <c r="D155" s="261"/>
      <c r="E155" s="261"/>
      <c r="F155" s="261"/>
      <c r="G155" s="261"/>
      <c r="H155" s="261"/>
      <c r="I155" s="261"/>
      <c r="J155" s="261"/>
      <c r="K155" s="261"/>
      <c r="L155" s="261"/>
      <c r="M155" s="261"/>
      <c r="N155" s="261"/>
      <c r="O155" s="261"/>
      <c r="P155" s="261"/>
      <c r="Q155" s="261"/>
      <c r="R155" s="262"/>
      <c r="S155" s="262"/>
      <c r="T155" s="262"/>
      <c r="U155" s="262"/>
      <c r="V155" s="262"/>
      <c r="W155" s="262"/>
      <c r="X155" s="262"/>
      <c r="Y155" s="262"/>
      <c r="Z155" s="262"/>
      <c r="AA155" s="262"/>
      <c r="AB155" s="262"/>
      <c r="AC155" s="262"/>
      <c r="AD155" s="262"/>
      <c r="AE155" s="262"/>
      <c r="AF155" s="262"/>
      <c r="AG155" s="262"/>
      <c r="AH155" s="263"/>
      <c r="AI155" s="263"/>
      <c r="AJ155" s="263"/>
      <c r="AK155" s="263"/>
      <c r="AL155" s="263"/>
      <c r="AM155" s="263"/>
      <c r="AN155" s="263"/>
      <c r="AO155" s="263"/>
      <c r="AP155" s="263"/>
      <c r="AQ155" s="263"/>
      <c r="AR155" s="263"/>
      <c r="AS155" s="263"/>
      <c r="AT155" s="263"/>
      <c r="AU155" s="263"/>
      <c r="AV155" s="263"/>
      <c r="AW155" s="263"/>
      <c r="AX155" s="264"/>
      <c r="AY155" s="264"/>
      <c r="AZ155" s="264"/>
      <c r="BA155" s="264"/>
      <c r="BB155" s="264"/>
      <c r="BC155" s="264"/>
      <c r="BD155" s="264"/>
      <c r="BE155" s="264"/>
      <c r="BF155" s="264"/>
      <c r="BG155" s="264"/>
      <c r="BH155" s="264"/>
      <c r="BI155" s="264"/>
      <c r="BJ155" s="264"/>
      <c r="BK155" s="264"/>
      <c r="BL155" s="264"/>
      <c r="BM155" s="264"/>
      <c r="BN155" s="265"/>
      <c r="BO155" s="265"/>
      <c r="BP155" s="265"/>
      <c r="BQ155" s="265"/>
      <c r="BR155" s="265"/>
      <c r="BS155" s="265">
        <v>80</v>
      </c>
      <c r="BT155" s="265"/>
      <c r="BU155" s="265"/>
      <c r="BV155" s="265"/>
      <c r="BW155" s="265"/>
      <c r="BX155" s="265"/>
      <c r="BY155" s="265"/>
      <c r="BZ155" s="265"/>
      <c r="CA155" s="265"/>
      <c r="CB155" s="265"/>
      <c r="CC155" s="265"/>
      <c r="CD155" s="266"/>
      <c r="CE155" s="266"/>
      <c r="CF155" s="266"/>
      <c r="CG155" s="266"/>
      <c r="CH155" s="266"/>
      <c r="CI155" s="266"/>
      <c r="CJ155" s="266"/>
      <c r="CK155" s="266"/>
      <c r="CL155" s="266"/>
      <c r="CM155" s="266"/>
      <c r="CN155" s="266"/>
      <c r="CO155" s="266"/>
      <c r="CP155" s="266"/>
      <c r="CQ155" s="266"/>
      <c r="CR155" s="266"/>
      <c r="CS155" s="266"/>
      <c r="CT155" s="267"/>
      <c r="CU155" s="267"/>
      <c r="CV155" s="267"/>
      <c r="CW155" s="267"/>
      <c r="CX155" s="267"/>
      <c r="CY155" s="267"/>
      <c r="CZ155" s="267"/>
      <c r="DA155" s="267"/>
      <c r="DB155" s="267"/>
      <c r="DC155" s="267"/>
      <c r="DD155" s="267"/>
      <c r="DE155" s="267"/>
      <c r="DF155" s="267"/>
      <c r="DG155" s="267"/>
      <c r="DH155" s="267"/>
      <c r="DI155" s="267"/>
      <c r="DJ155" s="268"/>
      <c r="DK155" s="268"/>
      <c r="DL155" s="268"/>
      <c r="DM155" s="268"/>
      <c r="DN155" s="268"/>
      <c r="DO155" s="268"/>
      <c r="DP155" s="268"/>
      <c r="DQ155" s="268"/>
      <c r="DR155" s="268"/>
      <c r="DS155" s="268"/>
      <c r="DT155" s="268"/>
      <c r="DU155" s="268"/>
      <c r="DV155" s="268"/>
      <c r="DW155" s="268"/>
      <c r="DX155" s="268"/>
      <c r="DY155" s="268"/>
      <c r="EA155" s="721"/>
      <c r="EB155" s="714"/>
      <c r="EC155" s="714"/>
      <c r="ED155" s="714"/>
      <c r="EE155" s="714"/>
      <c r="EF155" s="714"/>
      <c r="EG155" s="714"/>
      <c r="EH155" s="714"/>
      <c r="EI155" s="714"/>
      <c r="EJ155" s="714"/>
      <c r="EK155" s="714"/>
      <c r="EL155" s="493"/>
      <c r="EM155" s="493"/>
      <c r="EN155" s="493"/>
      <c r="EO155" s="493"/>
      <c r="EP155" s="493"/>
      <c r="EQ155" s="493"/>
      <c r="ER155" s="714"/>
      <c r="ES155" s="714"/>
      <c r="ET155" s="714"/>
      <c r="EU155" s="714"/>
      <c r="EV155" s="714"/>
      <c r="EW155" s="714"/>
      <c r="EX155" s="714"/>
      <c r="EY155" s="714"/>
      <c r="EZ155" s="714"/>
      <c r="FA155" s="493"/>
      <c r="FB155" s="493"/>
      <c r="FC155" s="493"/>
      <c r="FD155" s="493"/>
      <c r="FE155" s="493"/>
      <c r="FF155" s="714"/>
      <c r="FG155" s="493"/>
      <c r="FH155" s="714"/>
      <c r="FI155" s="714"/>
      <c r="FJ155" s="714"/>
      <c r="FK155" s="714"/>
      <c r="FL155" s="714"/>
      <c r="FM155" s="714"/>
      <c r="FN155" s="714"/>
      <c r="FO155" s="714"/>
      <c r="FP155" s="714"/>
      <c r="FQ155" s="493"/>
      <c r="FR155" s="493"/>
      <c r="FS155" s="493"/>
      <c r="FT155" s="493"/>
      <c r="FU155" s="493"/>
      <c r="FV155" s="714"/>
      <c r="FW155" s="493"/>
      <c r="FX155" s="714"/>
      <c r="FY155" s="714"/>
      <c r="FZ155" s="714"/>
      <c r="GA155" s="714"/>
      <c r="GB155" s="714"/>
      <c r="GC155" s="714"/>
      <c r="GD155" s="714"/>
      <c r="GE155" s="714"/>
      <c r="GF155" s="714"/>
      <c r="GG155" s="493"/>
      <c r="GH155" s="493"/>
      <c r="GI155" s="493"/>
      <c r="GJ155" s="493"/>
      <c r="GK155" s="493"/>
      <c r="GL155" s="714"/>
      <c r="GM155" s="13"/>
      <c r="GN155" s="714"/>
      <c r="GO155" s="714"/>
      <c r="GP155" s="714"/>
      <c r="GQ155" s="714"/>
      <c r="GR155" s="714"/>
      <c r="GS155" s="714"/>
      <c r="GT155" s="714"/>
      <c r="GU155" s="714"/>
      <c r="GV155" s="714"/>
      <c r="GW155" s="493"/>
      <c r="GX155" s="493"/>
      <c r="GY155" s="493"/>
      <c r="GZ155" s="493"/>
      <c r="HA155" s="493"/>
      <c r="HB155" s="714"/>
      <c r="HC155" s="13"/>
      <c r="HD155" s="714"/>
      <c r="HE155" s="714"/>
      <c r="HF155" s="714"/>
      <c r="HG155" s="714"/>
      <c r="HH155" s="714"/>
      <c r="HI155" s="714"/>
      <c r="HJ155" s="714"/>
      <c r="HK155" s="714"/>
      <c r="HL155" s="714"/>
      <c r="HM155" s="493"/>
      <c r="HN155" s="493"/>
      <c r="HO155" s="493"/>
      <c r="HP155" s="493"/>
      <c r="HQ155" s="493"/>
      <c r="HR155" s="714"/>
      <c r="HS155" s="13"/>
      <c r="HT155" s="714"/>
      <c r="HU155" s="714"/>
      <c r="HV155" s="714"/>
      <c r="HW155" s="714"/>
      <c r="HX155" s="714"/>
      <c r="HY155" s="714"/>
      <c r="HZ155" s="714"/>
      <c r="IA155" s="714"/>
      <c r="IB155" s="714"/>
      <c r="IC155" s="493"/>
      <c r="ID155" s="493"/>
      <c r="IE155" s="493"/>
      <c r="IF155" s="493"/>
      <c r="IG155" s="493"/>
      <c r="IH155" s="714"/>
      <c r="II155" s="13"/>
      <c r="IJ155" s="714"/>
      <c r="IK155" s="714"/>
      <c r="IL155" s="714"/>
      <c r="IM155" s="714"/>
      <c r="IN155" s="714"/>
      <c r="IO155" s="714"/>
      <c r="IP155" s="714"/>
      <c r="IQ155" s="714"/>
      <c r="IR155" s="714"/>
      <c r="IS155" s="493"/>
      <c r="IT155" s="493"/>
      <c r="IU155" s="493"/>
      <c r="IV155" s="493"/>
      <c r="IW155" s="493"/>
      <c r="IX155" s="714"/>
      <c r="IY155" s="13"/>
    </row>
    <row r="156" spans="1:259" outlineLevel="1">
      <c r="A156" s="11">
        <f>'VAC &amp; MED'!C149</f>
        <v>46145</v>
      </c>
      <c r="B156" s="261"/>
      <c r="C156" s="261"/>
      <c r="D156" s="261"/>
      <c r="E156" s="261"/>
      <c r="F156" s="261"/>
      <c r="G156" s="261"/>
      <c r="H156" s="261"/>
      <c r="I156" s="261"/>
      <c r="J156" s="261"/>
      <c r="K156" s="261"/>
      <c r="L156" s="261"/>
      <c r="M156" s="261"/>
      <c r="N156" s="261"/>
      <c r="O156" s="261"/>
      <c r="P156" s="261"/>
      <c r="Q156" s="261"/>
      <c r="R156" s="262"/>
      <c r="S156" s="262"/>
      <c r="T156" s="262"/>
      <c r="U156" s="262"/>
      <c r="V156" s="262"/>
      <c r="W156" s="262"/>
      <c r="X156" s="262"/>
      <c r="Y156" s="262"/>
      <c r="Z156" s="262"/>
      <c r="AA156" s="262"/>
      <c r="AB156" s="262"/>
      <c r="AC156" s="262"/>
      <c r="AD156" s="262"/>
      <c r="AE156" s="262"/>
      <c r="AF156" s="262"/>
      <c r="AG156" s="262"/>
      <c r="AH156" s="263"/>
      <c r="AI156" s="263"/>
      <c r="AJ156" s="263"/>
      <c r="AK156" s="263"/>
      <c r="AL156" s="263"/>
      <c r="AM156" s="263"/>
      <c r="AN156" s="263"/>
      <c r="AO156" s="263"/>
      <c r="AP156" s="263"/>
      <c r="AQ156" s="263"/>
      <c r="AR156" s="263"/>
      <c r="AS156" s="263"/>
      <c r="AT156" s="263"/>
      <c r="AU156" s="263"/>
      <c r="AV156" s="263"/>
      <c r="AW156" s="263"/>
      <c r="AX156" s="264"/>
      <c r="AY156" s="264"/>
      <c r="AZ156" s="264"/>
      <c r="BA156" s="264"/>
      <c r="BB156" s="264"/>
      <c r="BC156" s="264"/>
      <c r="BD156" s="264"/>
      <c r="BE156" s="264"/>
      <c r="BF156" s="264"/>
      <c r="BG156" s="264"/>
      <c r="BH156" s="264"/>
      <c r="BI156" s="264"/>
      <c r="BJ156" s="264"/>
      <c r="BK156" s="264"/>
      <c r="BL156" s="264"/>
      <c r="BM156" s="264"/>
      <c r="BN156" s="265"/>
      <c r="BO156" s="265"/>
      <c r="BP156" s="265"/>
      <c r="BQ156" s="265"/>
      <c r="BR156" s="265"/>
      <c r="BS156" s="265"/>
      <c r="BT156" s="265"/>
      <c r="BU156" s="265"/>
      <c r="BV156" s="265"/>
      <c r="BW156" s="265"/>
      <c r="BX156" s="265"/>
      <c r="BY156" s="265"/>
      <c r="BZ156" s="265"/>
      <c r="CA156" s="265"/>
      <c r="CB156" s="265"/>
      <c r="CC156" s="265"/>
      <c r="CD156" s="266"/>
      <c r="CE156" s="266"/>
      <c r="CF156" s="266"/>
      <c r="CG156" s="266"/>
      <c r="CH156" s="266"/>
      <c r="CI156" s="266"/>
      <c r="CJ156" s="266"/>
      <c r="CK156" s="266"/>
      <c r="CL156" s="266"/>
      <c r="CM156" s="266"/>
      <c r="CN156" s="266"/>
      <c r="CO156" s="266"/>
      <c r="CP156" s="266"/>
      <c r="CQ156" s="266"/>
      <c r="CR156" s="266"/>
      <c r="CS156" s="266"/>
      <c r="CT156" s="267"/>
      <c r="CU156" s="267"/>
      <c r="CV156" s="267"/>
      <c r="CW156" s="267"/>
      <c r="CX156" s="267"/>
      <c r="CY156" s="267"/>
      <c r="CZ156" s="267"/>
      <c r="DA156" s="267"/>
      <c r="DB156" s="267"/>
      <c r="DC156" s="267"/>
      <c r="DD156" s="267"/>
      <c r="DE156" s="267"/>
      <c r="DF156" s="267"/>
      <c r="DG156" s="267"/>
      <c r="DH156" s="267"/>
      <c r="DI156" s="267"/>
      <c r="DJ156" s="268"/>
      <c r="DK156" s="268"/>
      <c r="DL156" s="268"/>
      <c r="DM156" s="268"/>
      <c r="DN156" s="268"/>
      <c r="DO156" s="268"/>
      <c r="DP156" s="268"/>
      <c r="DQ156" s="268"/>
      <c r="DR156" s="268"/>
      <c r="DS156" s="268"/>
      <c r="DT156" s="268"/>
      <c r="DU156" s="268"/>
      <c r="DV156" s="268"/>
      <c r="DW156" s="268"/>
      <c r="DX156" s="268"/>
      <c r="DY156" s="268"/>
      <c r="EA156" s="721"/>
      <c r="EB156" s="714"/>
      <c r="EC156" s="714"/>
      <c r="ED156" s="714"/>
      <c r="EE156" s="714"/>
      <c r="EF156" s="714"/>
      <c r="EG156" s="714"/>
      <c r="EH156" s="714"/>
      <c r="EI156" s="714"/>
      <c r="EJ156" s="714"/>
      <c r="EK156" s="714"/>
      <c r="EL156" s="493"/>
      <c r="EM156" s="493"/>
      <c r="EN156" s="493"/>
      <c r="EO156" s="493"/>
      <c r="EP156" s="493"/>
      <c r="EQ156" s="493"/>
      <c r="ER156" s="714"/>
      <c r="ES156" s="714"/>
      <c r="ET156" s="714"/>
      <c r="EU156" s="714"/>
      <c r="EV156" s="714"/>
      <c r="EW156" s="714"/>
      <c r="EX156" s="714"/>
      <c r="EY156" s="714"/>
      <c r="EZ156" s="714"/>
      <c r="FA156" s="493"/>
      <c r="FB156" s="493"/>
      <c r="FC156" s="493"/>
      <c r="FD156" s="493"/>
      <c r="FE156" s="493"/>
      <c r="FF156" s="714"/>
      <c r="FG156" s="493"/>
      <c r="FH156" s="714"/>
      <c r="FI156" s="714"/>
      <c r="FJ156" s="714"/>
      <c r="FK156" s="714"/>
      <c r="FL156" s="714"/>
      <c r="FM156" s="714"/>
      <c r="FN156" s="714"/>
      <c r="FO156" s="714"/>
      <c r="FP156" s="714"/>
      <c r="FQ156" s="493"/>
      <c r="FR156" s="493"/>
      <c r="FS156" s="493"/>
      <c r="FT156" s="493"/>
      <c r="FU156" s="493"/>
      <c r="FV156" s="714"/>
      <c r="FW156" s="493"/>
      <c r="FX156" s="714"/>
      <c r="FY156" s="714"/>
      <c r="FZ156" s="714"/>
      <c r="GA156" s="714"/>
      <c r="GB156" s="714"/>
      <c r="GC156" s="714"/>
      <c r="GD156" s="714"/>
      <c r="GE156" s="714"/>
      <c r="GF156" s="714"/>
      <c r="GG156" s="493"/>
      <c r="GH156" s="493"/>
      <c r="GI156" s="493"/>
      <c r="GJ156" s="493"/>
      <c r="GK156" s="493"/>
      <c r="GL156" s="714"/>
      <c r="GM156" s="13"/>
      <c r="GN156" s="714"/>
      <c r="GO156" s="714"/>
      <c r="GP156" s="714"/>
      <c r="GQ156" s="714"/>
      <c r="GR156" s="714"/>
      <c r="GS156" s="714"/>
      <c r="GT156" s="714"/>
      <c r="GU156" s="714"/>
      <c r="GV156" s="714"/>
      <c r="GW156" s="493"/>
      <c r="GX156" s="493"/>
      <c r="GY156" s="493"/>
      <c r="GZ156" s="493"/>
      <c r="HA156" s="493"/>
      <c r="HB156" s="714"/>
      <c r="HC156" s="13"/>
      <c r="HD156" s="714"/>
      <c r="HE156" s="714"/>
      <c r="HF156" s="714"/>
      <c r="HG156" s="714"/>
      <c r="HH156" s="714"/>
      <c r="HI156" s="714"/>
      <c r="HJ156" s="714"/>
      <c r="HK156" s="714"/>
      <c r="HL156" s="714"/>
      <c r="HM156" s="493"/>
      <c r="HN156" s="493"/>
      <c r="HO156" s="493"/>
      <c r="HP156" s="493"/>
      <c r="HQ156" s="493"/>
      <c r="HR156" s="714"/>
      <c r="HS156" s="13"/>
      <c r="HT156" s="714"/>
      <c r="HU156" s="714"/>
      <c r="HV156" s="714"/>
      <c r="HW156" s="714"/>
      <c r="HX156" s="714"/>
      <c r="HY156" s="714"/>
      <c r="HZ156" s="714"/>
      <c r="IA156" s="714"/>
      <c r="IB156" s="714"/>
      <c r="IC156" s="493"/>
      <c r="ID156" s="493"/>
      <c r="IE156" s="493"/>
      <c r="IF156" s="493"/>
      <c r="IG156" s="493"/>
      <c r="IH156" s="714"/>
      <c r="II156" s="13"/>
      <c r="IJ156" s="714"/>
      <c r="IK156" s="714"/>
      <c r="IL156" s="714"/>
      <c r="IM156" s="714"/>
      <c r="IN156" s="714"/>
      <c r="IO156" s="714"/>
      <c r="IP156" s="714"/>
      <c r="IQ156" s="714"/>
      <c r="IR156" s="714"/>
      <c r="IS156" s="493"/>
      <c r="IT156" s="493"/>
      <c r="IU156" s="493"/>
      <c r="IV156" s="493"/>
      <c r="IW156" s="493"/>
      <c r="IX156" s="714"/>
      <c r="IY156" s="13"/>
    </row>
    <row r="157" spans="1:259" outlineLevel="1">
      <c r="A157" s="11">
        <f>'VAC &amp; MED'!C150</f>
        <v>46146</v>
      </c>
      <c r="B157" s="261"/>
      <c r="C157" s="261"/>
      <c r="D157" s="261"/>
      <c r="E157" s="261"/>
      <c r="F157" s="261"/>
      <c r="G157" s="261"/>
      <c r="H157" s="261"/>
      <c r="I157" s="261"/>
      <c r="J157" s="261"/>
      <c r="K157" s="261"/>
      <c r="L157" s="261"/>
      <c r="M157" s="261"/>
      <c r="N157" s="261"/>
      <c r="O157" s="261"/>
      <c r="P157" s="261"/>
      <c r="Q157" s="261"/>
      <c r="R157" s="262"/>
      <c r="S157" s="262"/>
      <c r="T157" s="262"/>
      <c r="U157" s="262"/>
      <c r="V157" s="262"/>
      <c r="W157" s="262"/>
      <c r="X157" s="262"/>
      <c r="Y157" s="262"/>
      <c r="Z157" s="262"/>
      <c r="AA157" s="262"/>
      <c r="AB157" s="262"/>
      <c r="AC157" s="262"/>
      <c r="AD157" s="262"/>
      <c r="AE157" s="262"/>
      <c r="AF157" s="262"/>
      <c r="AG157" s="262"/>
      <c r="AH157" s="263">
        <v>50</v>
      </c>
      <c r="AI157" s="263"/>
      <c r="AJ157" s="263"/>
      <c r="AK157" s="263"/>
      <c r="AL157" s="263"/>
      <c r="AM157" s="263"/>
      <c r="AN157" s="263"/>
      <c r="AO157" s="263"/>
      <c r="AP157" s="263"/>
      <c r="AQ157" s="263"/>
      <c r="AR157" s="263"/>
      <c r="AS157" s="263"/>
      <c r="AT157" s="263"/>
      <c r="AU157" s="263"/>
      <c r="AV157" s="263"/>
      <c r="AW157" s="263"/>
      <c r="AX157" s="264"/>
      <c r="AY157" s="264"/>
      <c r="AZ157" s="264"/>
      <c r="BA157" s="264"/>
      <c r="BB157" s="264"/>
      <c r="BC157" s="264"/>
      <c r="BD157" s="264"/>
      <c r="BE157" s="264"/>
      <c r="BF157" s="264"/>
      <c r="BG157" s="264"/>
      <c r="BH157" s="264"/>
      <c r="BI157" s="264"/>
      <c r="BJ157" s="264"/>
      <c r="BK157" s="264"/>
      <c r="BL157" s="264"/>
      <c r="BM157" s="264"/>
      <c r="BN157" s="265"/>
      <c r="BO157" s="265"/>
      <c r="BP157" s="265"/>
      <c r="BQ157" s="265"/>
      <c r="BR157" s="265"/>
      <c r="BS157" s="265"/>
      <c r="BT157" s="265"/>
      <c r="BU157" s="265"/>
      <c r="BV157" s="265"/>
      <c r="BW157" s="265"/>
      <c r="BX157" s="265"/>
      <c r="BY157" s="265"/>
      <c r="BZ157" s="265"/>
      <c r="CA157" s="265"/>
      <c r="CB157" s="265"/>
      <c r="CC157" s="265"/>
      <c r="CD157" s="266"/>
      <c r="CE157" s="266"/>
      <c r="CF157" s="266"/>
      <c r="CG157" s="266"/>
      <c r="CH157" s="266"/>
      <c r="CI157" s="266"/>
      <c r="CJ157" s="266"/>
      <c r="CK157" s="266"/>
      <c r="CL157" s="266"/>
      <c r="CM157" s="266"/>
      <c r="CN157" s="266"/>
      <c r="CO157" s="266"/>
      <c r="CP157" s="266"/>
      <c r="CQ157" s="266"/>
      <c r="CR157" s="266"/>
      <c r="CS157" s="266"/>
      <c r="CT157" s="267"/>
      <c r="CU157" s="267"/>
      <c r="CV157" s="267"/>
      <c r="CW157" s="267"/>
      <c r="CX157" s="267"/>
      <c r="CY157" s="267"/>
      <c r="CZ157" s="267"/>
      <c r="DA157" s="267"/>
      <c r="DB157" s="267"/>
      <c r="DC157" s="267"/>
      <c r="DD157" s="267"/>
      <c r="DE157" s="267"/>
      <c r="DF157" s="267"/>
      <c r="DG157" s="267"/>
      <c r="DH157" s="267"/>
      <c r="DI157" s="267"/>
      <c r="DJ157" s="268"/>
      <c r="DK157" s="268"/>
      <c r="DL157" s="268">
        <v>50</v>
      </c>
      <c r="DM157" s="268"/>
      <c r="DN157" s="268"/>
      <c r="DO157" s="268"/>
      <c r="DP157" s="268"/>
      <c r="DQ157" s="268"/>
      <c r="DR157" s="268"/>
      <c r="DS157" s="268"/>
      <c r="DT157" s="268"/>
      <c r="DU157" s="268"/>
      <c r="DV157" s="268"/>
      <c r="DW157" s="268"/>
      <c r="DX157" s="268"/>
      <c r="DY157" s="268"/>
      <c r="EA157" s="13"/>
      <c r="EB157" s="96"/>
      <c r="EC157" s="96"/>
      <c r="ED157" s="96"/>
      <c r="EE157" s="96"/>
      <c r="EF157" s="96"/>
      <c r="EG157" s="96"/>
      <c r="EH157" s="96"/>
      <c r="EI157" s="96"/>
      <c r="EJ157" s="96"/>
      <c r="EK157" s="96"/>
      <c r="EL157" s="96"/>
      <c r="EM157" s="96"/>
      <c r="EN157" s="96"/>
      <c r="EO157" s="96"/>
      <c r="EP157" s="96"/>
      <c r="EQ157" s="96"/>
      <c r="ER157" s="96"/>
      <c r="ES157" s="96"/>
      <c r="ET157" s="96"/>
      <c r="EU157" s="96"/>
      <c r="EV157" s="96"/>
      <c r="EW157" s="96"/>
      <c r="EX157" s="96"/>
      <c r="EY157" s="96"/>
      <c r="EZ157" s="96"/>
      <c r="FA157" s="96"/>
      <c r="FB157" s="96"/>
      <c r="FC157" s="96"/>
      <c r="FD157" s="96"/>
      <c r="FE157" s="96"/>
      <c r="FF157" s="96"/>
      <c r="FG157" s="96"/>
      <c r="FH157" s="96"/>
      <c r="FI157" s="96"/>
      <c r="FJ157" s="96"/>
      <c r="FK157" s="96"/>
      <c r="FL157" s="96"/>
      <c r="FM157" s="96"/>
      <c r="FN157" s="96"/>
      <c r="FO157" s="96"/>
      <c r="FP157" s="96"/>
      <c r="FQ157" s="96"/>
      <c r="FR157" s="96"/>
      <c r="FS157" s="96"/>
      <c r="FT157" s="96"/>
      <c r="FU157" s="96"/>
      <c r="FV157" s="96"/>
      <c r="FW157" s="96"/>
      <c r="FX157" s="96"/>
      <c r="FY157" s="96"/>
      <c r="FZ157" s="96"/>
      <c r="GA157" s="96"/>
      <c r="GB157" s="96"/>
      <c r="GC157" s="96"/>
      <c r="GD157" s="96"/>
      <c r="GE157" s="96"/>
      <c r="GF157" s="96"/>
      <c r="GG157" s="96"/>
      <c r="GH157" s="96"/>
      <c r="GI157" s="96"/>
      <c r="GJ157" s="96"/>
      <c r="GK157" s="96"/>
      <c r="GL157" s="96"/>
      <c r="GM157" s="13"/>
      <c r="GN157" s="96"/>
      <c r="GO157" s="96"/>
      <c r="GP157" s="96"/>
      <c r="GQ157" s="96"/>
      <c r="GR157" s="96"/>
      <c r="GS157" s="96"/>
      <c r="GT157" s="96"/>
      <c r="GU157" s="96"/>
      <c r="GV157" s="96"/>
      <c r="GW157" s="96"/>
      <c r="GX157" s="96"/>
      <c r="GY157" s="96"/>
      <c r="GZ157" s="96"/>
      <c r="HA157" s="96"/>
      <c r="HB157" s="96"/>
      <c r="HC157" s="13"/>
      <c r="HD157" s="96"/>
      <c r="HE157" s="96"/>
      <c r="HF157" s="96"/>
      <c r="HG157" s="96"/>
      <c r="HH157" s="96"/>
      <c r="HI157" s="96"/>
      <c r="HJ157" s="96"/>
      <c r="HK157" s="96"/>
      <c r="HL157" s="96"/>
      <c r="HM157" s="96"/>
      <c r="HN157" s="96"/>
      <c r="HO157" s="96"/>
      <c r="HP157" s="96"/>
      <c r="HQ157" s="96"/>
      <c r="HR157" s="96"/>
      <c r="HS157" s="13"/>
      <c r="HT157" s="96"/>
      <c r="HU157" s="96"/>
      <c r="HV157" s="96"/>
      <c r="HW157" s="96"/>
      <c r="HX157" s="96"/>
      <c r="HY157" s="96"/>
      <c r="HZ157" s="96"/>
      <c r="IA157" s="96"/>
      <c r="IB157" s="96"/>
      <c r="IC157" s="96"/>
      <c r="ID157" s="96"/>
      <c r="IE157" s="96"/>
      <c r="IF157" s="96"/>
      <c r="IG157" s="96"/>
      <c r="IH157" s="96"/>
      <c r="II157" s="13"/>
      <c r="IJ157" s="96"/>
      <c r="IK157" s="96"/>
      <c r="IL157" s="96"/>
      <c r="IM157" s="96"/>
      <c r="IN157" s="96"/>
      <c r="IO157" s="96"/>
      <c r="IP157" s="96"/>
      <c r="IQ157" s="96"/>
      <c r="IR157" s="96"/>
      <c r="IS157" s="96"/>
      <c r="IT157" s="96"/>
      <c r="IU157" s="96"/>
      <c r="IV157" s="96"/>
      <c r="IW157" s="96"/>
      <c r="IX157" s="96"/>
      <c r="IY157" s="13"/>
    </row>
    <row r="158" spans="1:259" outlineLevel="1">
      <c r="A158" s="11">
        <f>'VAC &amp; MED'!C151</f>
        <v>46147</v>
      </c>
      <c r="B158" s="261"/>
      <c r="C158" s="261"/>
      <c r="D158" s="261"/>
      <c r="E158" s="261"/>
      <c r="F158" s="261"/>
      <c r="G158" s="261"/>
      <c r="H158" s="261"/>
      <c r="I158" s="261"/>
      <c r="J158" s="261"/>
      <c r="K158" s="261"/>
      <c r="L158" s="261"/>
      <c r="M158" s="261"/>
      <c r="N158" s="261"/>
      <c r="O158" s="261"/>
      <c r="P158" s="261"/>
      <c r="Q158" s="261"/>
      <c r="R158" s="262"/>
      <c r="S158" s="262"/>
      <c r="T158" s="262"/>
      <c r="U158" s="262"/>
      <c r="V158" s="262"/>
      <c r="W158" s="262"/>
      <c r="X158" s="262"/>
      <c r="Y158" s="262"/>
      <c r="Z158" s="262"/>
      <c r="AA158" s="262"/>
      <c r="AB158" s="262"/>
      <c r="AC158" s="262"/>
      <c r="AD158" s="262"/>
      <c r="AE158" s="262"/>
      <c r="AF158" s="262"/>
      <c r="AG158" s="262"/>
      <c r="AH158" s="263"/>
      <c r="AI158" s="263"/>
      <c r="AJ158" s="263"/>
      <c r="AK158" s="263"/>
      <c r="AL158" s="263"/>
      <c r="AM158" s="263"/>
      <c r="AN158" s="263"/>
      <c r="AO158" s="263"/>
      <c r="AP158" s="263"/>
      <c r="AQ158" s="263"/>
      <c r="AR158" s="263"/>
      <c r="AS158" s="263"/>
      <c r="AT158" s="263"/>
      <c r="AU158" s="263"/>
      <c r="AV158" s="263"/>
      <c r="AW158" s="263"/>
      <c r="AX158" s="264"/>
      <c r="AY158" s="264"/>
      <c r="AZ158" s="264"/>
      <c r="BA158" s="264"/>
      <c r="BB158" s="264"/>
      <c r="BC158" s="264"/>
      <c r="BD158" s="264"/>
      <c r="BE158" s="264"/>
      <c r="BF158" s="264"/>
      <c r="BG158" s="264"/>
      <c r="BH158" s="264"/>
      <c r="BI158" s="264"/>
      <c r="BJ158" s="264"/>
      <c r="BK158" s="264"/>
      <c r="BL158" s="264"/>
      <c r="BM158" s="264"/>
      <c r="BN158" s="265"/>
      <c r="BO158" s="265"/>
      <c r="BP158" s="265"/>
      <c r="BQ158" s="265"/>
      <c r="BR158" s="265"/>
      <c r="BS158" s="265"/>
      <c r="BT158" s="265"/>
      <c r="BU158" s="265"/>
      <c r="BV158" s="265"/>
      <c r="BW158" s="265"/>
      <c r="BX158" s="265"/>
      <c r="BY158" s="265"/>
      <c r="BZ158" s="265"/>
      <c r="CA158" s="265"/>
      <c r="CB158" s="265"/>
      <c r="CC158" s="265"/>
      <c r="CD158" s="266"/>
      <c r="CE158" s="266"/>
      <c r="CF158" s="266"/>
      <c r="CG158" s="266"/>
      <c r="CH158" s="266"/>
      <c r="CI158" s="266"/>
      <c r="CJ158" s="266"/>
      <c r="CK158" s="266"/>
      <c r="CL158" s="266"/>
      <c r="CM158" s="266"/>
      <c r="CN158" s="266"/>
      <c r="CO158" s="266"/>
      <c r="CP158" s="266"/>
      <c r="CQ158" s="266"/>
      <c r="CR158" s="266"/>
      <c r="CS158" s="266"/>
      <c r="CT158" s="267"/>
      <c r="CU158" s="267"/>
      <c r="CV158" s="267"/>
      <c r="CW158" s="267"/>
      <c r="CX158" s="267"/>
      <c r="CY158" s="267"/>
      <c r="CZ158" s="267"/>
      <c r="DA158" s="267"/>
      <c r="DB158" s="267"/>
      <c r="DC158" s="267"/>
      <c r="DD158" s="267"/>
      <c r="DE158" s="267"/>
      <c r="DF158" s="267"/>
      <c r="DG158" s="267"/>
      <c r="DH158" s="267"/>
      <c r="DI158" s="267"/>
      <c r="DJ158" s="268"/>
      <c r="DK158" s="268"/>
      <c r="DL158" s="268"/>
      <c r="DM158" s="268"/>
      <c r="DN158" s="268"/>
      <c r="DO158" s="268"/>
      <c r="DP158" s="268"/>
      <c r="DQ158" s="268"/>
      <c r="DR158" s="268"/>
      <c r="DS158" s="268"/>
      <c r="DT158" s="268"/>
      <c r="DU158" s="268"/>
      <c r="DV158" s="268"/>
      <c r="DW158" s="268"/>
      <c r="DX158" s="268"/>
      <c r="DY158" s="268"/>
      <c r="EA158" s="13"/>
      <c r="EB158" s="96"/>
      <c r="EC158" s="96"/>
      <c r="ED158" s="96"/>
      <c r="EE158" s="96"/>
      <c r="EF158" s="96"/>
      <c r="EG158" s="96"/>
      <c r="EH158" s="96"/>
      <c r="EI158" s="96"/>
      <c r="EJ158" s="96"/>
      <c r="EK158" s="96"/>
      <c r="EL158" s="96"/>
      <c r="EM158" s="96"/>
      <c r="EN158" s="96"/>
      <c r="EO158" s="96"/>
      <c r="EP158" s="96"/>
      <c r="EQ158" s="96"/>
      <c r="ER158" s="96"/>
      <c r="ES158" s="96"/>
      <c r="ET158" s="96"/>
      <c r="EU158" s="96"/>
      <c r="EV158" s="96"/>
      <c r="EW158" s="96"/>
      <c r="EX158" s="96"/>
      <c r="EY158" s="96"/>
      <c r="EZ158" s="96"/>
      <c r="FA158" s="96"/>
      <c r="FB158" s="96"/>
      <c r="FC158" s="96"/>
      <c r="FD158" s="96"/>
      <c r="FE158" s="96"/>
      <c r="FF158" s="96"/>
      <c r="FG158" s="96"/>
      <c r="FH158" s="96"/>
      <c r="FI158" s="96"/>
      <c r="FJ158" s="96"/>
      <c r="FK158" s="96"/>
      <c r="FL158" s="96"/>
      <c r="FM158" s="96"/>
      <c r="FN158" s="96"/>
      <c r="FO158" s="96"/>
      <c r="FP158" s="96"/>
      <c r="FQ158" s="96"/>
      <c r="FR158" s="96"/>
      <c r="FS158" s="96"/>
      <c r="FT158" s="96"/>
      <c r="FU158" s="96"/>
      <c r="FV158" s="96"/>
      <c r="FW158" s="96"/>
      <c r="FX158" s="96"/>
      <c r="FY158" s="96"/>
      <c r="FZ158" s="96"/>
      <c r="GA158" s="96"/>
      <c r="GB158" s="96"/>
      <c r="GC158" s="96"/>
      <c r="GD158" s="96"/>
      <c r="GE158" s="96"/>
      <c r="GF158" s="96"/>
      <c r="GG158" s="96"/>
      <c r="GH158" s="96"/>
      <c r="GI158" s="96"/>
      <c r="GJ158" s="96"/>
      <c r="GK158" s="96"/>
      <c r="GL158" s="96"/>
      <c r="GM158" s="13"/>
      <c r="GN158" s="96"/>
      <c r="GO158" s="96"/>
      <c r="GP158" s="96"/>
      <c r="GQ158" s="96"/>
      <c r="GR158" s="96"/>
      <c r="GS158" s="96"/>
      <c r="GT158" s="96"/>
      <c r="GU158" s="96"/>
      <c r="GV158" s="96"/>
      <c r="GW158" s="96"/>
      <c r="GX158" s="96"/>
      <c r="GY158" s="96"/>
      <c r="GZ158" s="96"/>
      <c r="HA158" s="96"/>
      <c r="HB158" s="96"/>
      <c r="HC158" s="13"/>
      <c r="HD158" s="96"/>
      <c r="HE158" s="96"/>
      <c r="HF158" s="96"/>
      <c r="HG158" s="96"/>
      <c r="HH158" s="96"/>
      <c r="HI158" s="96"/>
      <c r="HJ158" s="96"/>
      <c r="HK158" s="96"/>
      <c r="HL158" s="96"/>
      <c r="HM158" s="96"/>
      <c r="HN158" s="96"/>
      <c r="HO158" s="96"/>
      <c r="HP158" s="96"/>
      <c r="HQ158" s="96"/>
      <c r="HR158" s="96"/>
      <c r="HS158" s="13"/>
      <c r="HT158" s="96"/>
      <c r="HU158" s="96"/>
      <c r="HV158" s="96"/>
      <c r="HW158" s="96"/>
      <c r="HX158" s="96"/>
      <c r="HY158" s="96"/>
      <c r="HZ158" s="96"/>
      <c r="IA158" s="96"/>
      <c r="IB158" s="96"/>
      <c r="IC158" s="96"/>
      <c r="ID158" s="96"/>
      <c r="IE158" s="96"/>
      <c r="IF158" s="96"/>
      <c r="IG158" s="96"/>
      <c r="IH158" s="96"/>
      <c r="II158" s="13"/>
      <c r="IJ158" s="96"/>
      <c r="IK158" s="96"/>
      <c r="IL158" s="96"/>
      <c r="IM158" s="96"/>
      <c r="IN158" s="96"/>
      <c r="IO158" s="96"/>
      <c r="IP158" s="96"/>
      <c r="IQ158" s="96"/>
      <c r="IR158" s="96"/>
      <c r="IS158" s="96"/>
      <c r="IT158" s="96"/>
      <c r="IU158" s="96"/>
      <c r="IV158" s="96"/>
      <c r="IW158" s="96"/>
      <c r="IX158" s="96"/>
      <c r="IY158" s="13"/>
    </row>
    <row r="159" spans="1:259" outlineLevel="1">
      <c r="A159" s="11">
        <f>'VAC &amp; MED'!C152</f>
        <v>46148</v>
      </c>
      <c r="B159" s="261"/>
      <c r="C159" s="261"/>
      <c r="D159" s="261"/>
      <c r="E159" s="261"/>
      <c r="F159" s="261"/>
      <c r="G159" s="261"/>
      <c r="H159" s="261"/>
      <c r="I159" s="261"/>
      <c r="J159" s="261"/>
      <c r="K159" s="261"/>
      <c r="L159" s="261"/>
      <c r="M159" s="261"/>
      <c r="N159" s="261"/>
      <c r="O159" s="261"/>
      <c r="P159" s="261"/>
      <c r="Q159" s="261"/>
      <c r="R159" s="262"/>
      <c r="S159" s="262"/>
      <c r="T159" s="262"/>
      <c r="U159" s="262"/>
      <c r="V159" s="262"/>
      <c r="W159" s="262"/>
      <c r="X159" s="262"/>
      <c r="Y159" s="262"/>
      <c r="Z159" s="262"/>
      <c r="AA159" s="262"/>
      <c r="AB159" s="262"/>
      <c r="AC159" s="262"/>
      <c r="AD159" s="262"/>
      <c r="AE159" s="262"/>
      <c r="AF159" s="262"/>
      <c r="AG159" s="262"/>
      <c r="AH159" s="263"/>
      <c r="AI159" s="263"/>
      <c r="AJ159" s="263"/>
      <c r="AK159" s="263"/>
      <c r="AL159" s="263"/>
      <c r="AM159" s="263"/>
      <c r="AN159" s="263"/>
      <c r="AO159" s="263"/>
      <c r="AP159" s="263"/>
      <c r="AQ159" s="263"/>
      <c r="AR159" s="263"/>
      <c r="AS159" s="263"/>
      <c r="AT159" s="263"/>
      <c r="AU159" s="263"/>
      <c r="AV159" s="263"/>
      <c r="AW159" s="263"/>
      <c r="AX159" s="264"/>
      <c r="AY159" s="264"/>
      <c r="AZ159" s="264"/>
      <c r="BA159" s="264"/>
      <c r="BB159" s="264"/>
      <c r="BC159" s="264"/>
      <c r="BD159" s="264"/>
      <c r="BE159" s="264"/>
      <c r="BF159" s="264"/>
      <c r="BG159" s="264"/>
      <c r="BH159" s="264"/>
      <c r="BI159" s="264"/>
      <c r="BJ159" s="264"/>
      <c r="BK159" s="264"/>
      <c r="BL159" s="264"/>
      <c r="BM159" s="264"/>
      <c r="BN159" s="265"/>
      <c r="BO159" s="265"/>
      <c r="BP159" s="265"/>
      <c r="BQ159" s="265"/>
      <c r="BR159" s="265"/>
      <c r="BS159" s="265">
        <v>38</v>
      </c>
      <c r="BT159" s="265"/>
      <c r="BU159" s="265"/>
      <c r="BV159" s="265"/>
      <c r="BW159" s="265"/>
      <c r="BX159" s="265"/>
      <c r="BY159" s="265"/>
      <c r="BZ159" s="265"/>
      <c r="CA159" s="265"/>
      <c r="CB159" s="265"/>
      <c r="CC159" s="265"/>
      <c r="CD159" s="266"/>
      <c r="CE159" s="266"/>
      <c r="CF159" s="266"/>
      <c r="CG159" s="266"/>
      <c r="CH159" s="266"/>
      <c r="CI159" s="266"/>
      <c r="CJ159" s="266"/>
      <c r="CK159" s="266"/>
      <c r="CL159" s="266"/>
      <c r="CM159" s="266"/>
      <c r="CN159" s="266"/>
      <c r="CO159" s="266"/>
      <c r="CP159" s="266"/>
      <c r="CQ159" s="266"/>
      <c r="CR159" s="266"/>
      <c r="CS159" s="266"/>
      <c r="CT159" s="267"/>
      <c r="CU159" s="267"/>
      <c r="CV159" s="267"/>
      <c r="CW159" s="267"/>
      <c r="CX159" s="267"/>
      <c r="CY159" s="267"/>
      <c r="CZ159" s="267"/>
      <c r="DA159" s="267"/>
      <c r="DB159" s="267"/>
      <c r="DC159" s="267"/>
      <c r="DD159" s="267"/>
      <c r="DE159" s="267"/>
      <c r="DF159" s="267"/>
      <c r="DG159" s="267"/>
      <c r="DH159" s="267"/>
      <c r="DI159" s="267"/>
      <c r="DJ159" s="268"/>
      <c r="DK159" s="268"/>
      <c r="DL159" s="268"/>
      <c r="DM159" s="268"/>
      <c r="DN159" s="268"/>
      <c r="DO159" s="268"/>
      <c r="DP159" s="268"/>
      <c r="DQ159" s="268"/>
      <c r="DR159" s="268"/>
      <c r="DS159" s="268"/>
      <c r="DT159" s="268"/>
      <c r="DU159" s="268"/>
      <c r="DV159" s="268"/>
      <c r="DW159" s="268"/>
      <c r="DX159" s="268"/>
      <c r="DY159" s="268"/>
      <c r="EA159" s="13"/>
      <c r="EB159" s="96"/>
      <c r="EC159" s="96"/>
      <c r="ED159" s="96"/>
      <c r="EE159" s="96"/>
      <c r="EF159" s="96"/>
      <c r="EG159" s="96"/>
      <c r="EH159" s="96"/>
      <c r="EI159" s="96"/>
      <c r="EJ159" s="96"/>
      <c r="EK159" s="96"/>
      <c r="EL159" s="96"/>
      <c r="EM159" s="96"/>
      <c r="EN159" s="96"/>
      <c r="EO159" s="96"/>
      <c r="EP159" s="96"/>
      <c r="EQ159" s="96"/>
      <c r="ER159" s="96"/>
      <c r="ES159" s="96"/>
      <c r="ET159" s="96"/>
      <c r="EU159" s="96"/>
      <c r="EV159" s="96"/>
      <c r="EW159" s="96"/>
      <c r="EX159" s="96"/>
      <c r="EY159" s="96"/>
      <c r="EZ159" s="96"/>
      <c r="FA159" s="96"/>
      <c r="FB159" s="96"/>
      <c r="FC159" s="96"/>
      <c r="FD159" s="96"/>
      <c r="FE159" s="96"/>
      <c r="FF159" s="96"/>
      <c r="FG159" s="96"/>
      <c r="FH159" s="96"/>
      <c r="FI159" s="96"/>
      <c r="FJ159" s="96"/>
      <c r="FK159" s="96"/>
      <c r="FL159" s="96"/>
      <c r="FM159" s="96"/>
      <c r="FN159" s="96"/>
      <c r="FO159" s="96"/>
      <c r="FP159" s="96"/>
      <c r="FQ159" s="96"/>
      <c r="FR159" s="96"/>
      <c r="FS159" s="96"/>
      <c r="FT159" s="96"/>
      <c r="FU159" s="96"/>
      <c r="FV159" s="96"/>
      <c r="FW159" s="96"/>
      <c r="FX159" s="96"/>
      <c r="FY159" s="96"/>
      <c r="FZ159" s="96"/>
      <c r="GA159" s="96"/>
      <c r="GB159" s="96"/>
      <c r="GC159" s="96"/>
      <c r="GD159" s="96"/>
      <c r="GE159" s="96"/>
      <c r="GF159" s="96"/>
      <c r="GG159" s="96"/>
      <c r="GH159" s="96"/>
      <c r="GI159" s="96"/>
      <c r="GJ159" s="96"/>
      <c r="GK159" s="96"/>
      <c r="GL159" s="96"/>
      <c r="GM159" s="13"/>
      <c r="GN159" s="96"/>
      <c r="GO159" s="96"/>
      <c r="GP159" s="96"/>
      <c r="GQ159" s="96"/>
      <c r="GR159" s="96"/>
      <c r="GS159" s="96"/>
      <c r="GT159" s="96"/>
      <c r="GU159" s="96"/>
      <c r="GV159" s="96"/>
      <c r="GW159" s="96"/>
      <c r="GX159" s="96"/>
      <c r="GY159" s="96"/>
      <c r="GZ159" s="96"/>
      <c r="HA159" s="96"/>
      <c r="HB159" s="96"/>
      <c r="HC159" s="13"/>
      <c r="HD159" s="96"/>
      <c r="HE159" s="96"/>
      <c r="HF159" s="96"/>
      <c r="HG159" s="96"/>
      <c r="HH159" s="96"/>
      <c r="HI159" s="96"/>
      <c r="HJ159" s="96"/>
      <c r="HK159" s="96"/>
      <c r="HL159" s="96"/>
      <c r="HM159" s="96"/>
      <c r="HN159" s="96"/>
      <c r="HO159" s="96"/>
      <c r="HP159" s="96"/>
      <c r="HQ159" s="96"/>
      <c r="HR159" s="96"/>
      <c r="HS159" s="13"/>
      <c r="HT159" s="96"/>
      <c r="HU159" s="96"/>
      <c r="HV159" s="96"/>
      <c r="HW159" s="96"/>
      <c r="HX159" s="96"/>
      <c r="HY159" s="96"/>
      <c r="HZ159" s="96"/>
      <c r="IA159" s="96"/>
      <c r="IB159" s="96"/>
      <c r="IC159" s="96"/>
      <c r="ID159" s="96"/>
      <c r="IE159" s="96"/>
      <c r="IF159" s="96"/>
      <c r="IG159" s="96"/>
      <c r="IH159" s="96"/>
      <c r="II159" s="13"/>
      <c r="IJ159" s="96"/>
      <c r="IK159" s="96"/>
      <c r="IL159" s="96"/>
      <c r="IM159" s="96"/>
      <c r="IN159" s="96"/>
      <c r="IO159" s="96"/>
      <c r="IP159" s="96"/>
      <c r="IQ159" s="96"/>
      <c r="IR159" s="96"/>
      <c r="IS159" s="96"/>
      <c r="IT159" s="96"/>
      <c r="IU159" s="96"/>
      <c r="IV159" s="96"/>
      <c r="IW159" s="96"/>
      <c r="IX159" s="96"/>
      <c r="IY159" s="13"/>
    </row>
    <row r="160" spans="1:259" outlineLevel="1">
      <c r="A160" s="11">
        <f>'VAC &amp; MED'!C153</f>
        <v>46149</v>
      </c>
      <c r="B160" s="261"/>
      <c r="C160" s="261"/>
      <c r="D160" s="261"/>
      <c r="E160" s="261"/>
      <c r="F160" s="261"/>
      <c r="G160" s="261"/>
      <c r="H160" s="261"/>
      <c r="I160" s="261"/>
      <c r="J160" s="261"/>
      <c r="K160" s="261"/>
      <c r="L160" s="261"/>
      <c r="M160" s="261"/>
      <c r="N160" s="261"/>
      <c r="O160" s="261"/>
      <c r="P160" s="261"/>
      <c r="Q160" s="261"/>
      <c r="R160" s="262"/>
      <c r="S160" s="262"/>
      <c r="T160" s="262"/>
      <c r="U160" s="262"/>
      <c r="V160" s="262"/>
      <c r="W160" s="262"/>
      <c r="X160" s="262"/>
      <c r="Y160" s="262"/>
      <c r="Z160" s="262"/>
      <c r="AA160" s="262"/>
      <c r="AB160" s="262"/>
      <c r="AC160" s="262"/>
      <c r="AD160" s="262"/>
      <c r="AE160" s="262"/>
      <c r="AF160" s="262"/>
      <c r="AG160" s="262"/>
      <c r="AH160" s="263"/>
      <c r="AI160" s="263"/>
      <c r="AJ160" s="263"/>
      <c r="AK160" s="263"/>
      <c r="AL160" s="263"/>
      <c r="AM160" s="263"/>
      <c r="AN160" s="263"/>
      <c r="AO160" s="263"/>
      <c r="AP160" s="263"/>
      <c r="AQ160" s="263"/>
      <c r="AR160" s="263"/>
      <c r="AS160" s="263"/>
      <c r="AT160" s="263"/>
      <c r="AU160" s="263"/>
      <c r="AV160" s="263"/>
      <c r="AW160" s="263"/>
      <c r="AX160" s="264"/>
      <c r="AY160" s="264"/>
      <c r="AZ160" s="264"/>
      <c r="BA160" s="264"/>
      <c r="BB160" s="264"/>
      <c r="BC160" s="264"/>
      <c r="BD160" s="264"/>
      <c r="BE160" s="264"/>
      <c r="BF160" s="264"/>
      <c r="BG160" s="264"/>
      <c r="BH160" s="264"/>
      <c r="BI160" s="264"/>
      <c r="BJ160" s="264"/>
      <c r="BK160" s="264"/>
      <c r="BL160" s="264"/>
      <c r="BM160" s="264"/>
      <c r="BN160" s="265"/>
      <c r="BO160" s="265"/>
      <c r="BP160" s="265"/>
      <c r="BQ160" s="265"/>
      <c r="BR160" s="265"/>
      <c r="BS160" s="265"/>
      <c r="BT160" s="265"/>
      <c r="BU160" s="265"/>
      <c r="BV160" s="265">
        <v>82</v>
      </c>
      <c r="BW160" s="265"/>
      <c r="BX160" s="265"/>
      <c r="BY160" s="265"/>
      <c r="BZ160" s="265"/>
      <c r="CA160" s="265"/>
      <c r="CB160" s="265"/>
      <c r="CC160" s="265"/>
      <c r="CD160" s="266"/>
      <c r="CE160" s="266"/>
      <c r="CF160" s="266"/>
      <c r="CG160" s="266"/>
      <c r="CH160" s="266"/>
      <c r="CI160" s="266"/>
      <c r="CJ160" s="266"/>
      <c r="CK160" s="266"/>
      <c r="CL160" s="266"/>
      <c r="CM160" s="266"/>
      <c r="CN160" s="266"/>
      <c r="CO160" s="266"/>
      <c r="CP160" s="266"/>
      <c r="CQ160" s="266"/>
      <c r="CR160" s="266"/>
      <c r="CS160" s="266"/>
      <c r="CT160" s="267"/>
      <c r="CU160" s="267"/>
      <c r="CV160" s="267"/>
      <c r="CW160" s="267"/>
      <c r="CX160" s="267"/>
      <c r="CY160" s="267"/>
      <c r="CZ160" s="267"/>
      <c r="DA160" s="267"/>
      <c r="DB160" s="267"/>
      <c r="DC160" s="267"/>
      <c r="DD160" s="267"/>
      <c r="DE160" s="267"/>
      <c r="DF160" s="267"/>
      <c r="DG160" s="267"/>
      <c r="DH160" s="267"/>
      <c r="DI160" s="267"/>
      <c r="DJ160" s="268"/>
      <c r="DK160" s="268"/>
      <c r="DL160" s="268"/>
      <c r="DM160" s="268"/>
      <c r="DN160" s="268"/>
      <c r="DO160" s="268"/>
      <c r="DP160" s="268"/>
      <c r="DQ160" s="268"/>
      <c r="DR160" s="268"/>
      <c r="DS160" s="268"/>
      <c r="DT160" s="268"/>
      <c r="DU160" s="268"/>
      <c r="DV160" s="268"/>
      <c r="DW160" s="268"/>
      <c r="DX160" s="268"/>
      <c r="DY160" s="268"/>
      <c r="EA160" s="13"/>
      <c r="EB160" s="96"/>
      <c r="EC160" s="96"/>
      <c r="ED160" s="96"/>
      <c r="EE160" s="96"/>
      <c r="EF160" s="96"/>
      <c r="EG160" s="96"/>
      <c r="EH160" s="96"/>
      <c r="EI160" s="96"/>
      <c r="EJ160" s="96"/>
      <c r="EK160" s="96"/>
      <c r="EL160" s="96"/>
      <c r="EM160" s="96"/>
      <c r="EN160" s="96"/>
      <c r="EO160" s="96"/>
      <c r="EP160" s="96"/>
      <c r="EQ160" s="96"/>
      <c r="ER160" s="96"/>
      <c r="ES160" s="96"/>
      <c r="ET160" s="96"/>
      <c r="EU160" s="96"/>
      <c r="EV160" s="96"/>
      <c r="EW160" s="96"/>
      <c r="EX160" s="96"/>
      <c r="EY160" s="96"/>
      <c r="EZ160" s="96"/>
      <c r="FA160" s="96"/>
      <c r="FB160" s="96"/>
      <c r="FC160" s="96"/>
      <c r="FD160" s="96"/>
      <c r="FE160" s="96"/>
      <c r="FF160" s="96"/>
      <c r="FG160" s="96"/>
      <c r="FH160" s="96"/>
      <c r="FI160" s="96"/>
      <c r="FJ160" s="96"/>
      <c r="FK160" s="96"/>
      <c r="FL160" s="96"/>
      <c r="FM160" s="96"/>
      <c r="FN160" s="96"/>
      <c r="FO160" s="96"/>
      <c r="FP160" s="96"/>
      <c r="FQ160" s="96"/>
      <c r="FR160" s="96"/>
      <c r="FS160" s="96"/>
      <c r="FT160" s="96"/>
      <c r="FU160" s="96"/>
      <c r="FV160" s="96"/>
      <c r="FW160" s="96"/>
      <c r="FX160" s="96"/>
      <c r="FY160" s="96"/>
      <c r="FZ160" s="96"/>
      <c r="GA160" s="96"/>
      <c r="GB160" s="96"/>
      <c r="GC160" s="96"/>
      <c r="GD160" s="96"/>
      <c r="GE160" s="96"/>
      <c r="GF160" s="96"/>
      <c r="GG160" s="96"/>
      <c r="GH160" s="96"/>
      <c r="GI160" s="96"/>
      <c r="GJ160" s="96"/>
      <c r="GK160" s="96"/>
      <c r="GL160" s="96"/>
      <c r="GM160" s="13"/>
      <c r="GN160" s="96"/>
      <c r="GO160" s="96"/>
      <c r="GP160" s="96"/>
      <c r="GQ160" s="96"/>
      <c r="GR160" s="96"/>
      <c r="GS160" s="96"/>
      <c r="GT160" s="96"/>
      <c r="GU160" s="96"/>
      <c r="GV160" s="96"/>
      <c r="GW160" s="96"/>
      <c r="GX160" s="96"/>
      <c r="GY160" s="96"/>
      <c r="GZ160" s="96"/>
      <c r="HA160" s="96"/>
      <c r="HB160" s="96"/>
      <c r="HC160" s="13"/>
      <c r="HD160" s="96"/>
      <c r="HE160" s="96"/>
      <c r="HF160" s="96"/>
      <c r="HG160" s="96"/>
      <c r="HH160" s="96"/>
      <c r="HI160" s="96"/>
      <c r="HJ160" s="96"/>
      <c r="HK160" s="96"/>
      <c r="HL160" s="96"/>
      <c r="HM160" s="96"/>
      <c r="HN160" s="96"/>
      <c r="HO160" s="96"/>
      <c r="HP160" s="96"/>
      <c r="HQ160" s="96"/>
      <c r="HR160" s="96"/>
      <c r="HS160" s="13"/>
      <c r="HT160" s="96"/>
      <c r="HU160" s="96"/>
      <c r="HV160" s="96"/>
      <c r="HW160" s="96"/>
      <c r="HX160" s="96"/>
      <c r="HY160" s="96"/>
      <c r="HZ160" s="96"/>
      <c r="IA160" s="96"/>
      <c r="IB160" s="96"/>
      <c r="IC160" s="96"/>
      <c r="ID160" s="96"/>
      <c r="IE160" s="96"/>
      <c r="IF160" s="96"/>
      <c r="IG160" s="96"/>
      <c r="IH160" s="96"/>
      <c r="II160" s="13"/>
      <c r="IJ160" s="96"/>
      <c r="IK160" s="96"/>
      <c r="IL160" s="96"/>
      <c r="IM160" s="96"/>
      <c r="IN160" s="96"/>
      <c r="IO160" s="96"/>
      <c r="IP160" s="96"/>
      <c r="IQ160" s="96"/>
      <c r="IR160" s="96"/>
      <c r="IS160" s="96"/>
      <c r="IT160" s="96"/>
      <c r="IU160" s="96"/>
      <c r="IV160" s="96"/>
      <c r="IW160" s="96"/>
      <c r="IX160" s="96"/>
      <c r="IY160" s="13"/>
    </row>
    <row r="161" spans="1:259" outlineLevel="1">
      <c r="A161" s="11">
        <f>'VAC &amp; MED'!C154</f>
        <v>46150</v>
      </c>
      <c r="B161" s="261"/>
      <c r="C161" s="261"/>
      <c r="D161" s="261"/>
      <c r="E161" s="261"/>
      <c r="F161" s="261"/>
      <c r="G161" s="261"/>
      <c r="H161" s="261"/>
      <c r="I161" s="261"/>
      <c r="J161" s="261"/>
      <c r="K161" s="261"/>
      <c r="L161" s="261"/>
      <c r="M161" s="261"/>
      <c r="N161" s="261"/>
      <c r="O161" s="261"/>
      <c r="P161" s="261"/>
      <c r="Q161" s="261"/>
      <c r="R161" s="262"/>
      <c r="S161" s="262"/>
      <c r="T161" s="262"/>
      <c r="U161" s="262"/>
      <c r="V161" s="262"/>
      <c r="W161" s="262"/>
      <c r="X161" s="262"/>
      <c r="Y161" s="262"/>
      <c r="Z161" s="262"/>
      <c r="AA161" s="262"/>
      <c r="AB161" s="262"/>
      <c r="AC161" s="262"/>
      <c r="AD161" s="262"/>
      <c r="AE161" s="262"/>
      <c r="AF161" s="262"/>
      <c r="AG161" s="262"/>
      <c r="AH161" s="263"/>
      <c r="AI161" s="263"/>
      <c r="AJ161" s="263"/>
      <c r="AK161" s="263"/>
      <c r="AL161" s="263"/>
      <c r="AM161" s="263"/>
      <c r="AN161" s="263"/>
      <c r="AO161" s="263"/>
      <c r="AP161" s="263"/>
      <c r="AQ161" s="263"/>
      <c r="AR161" s="263"/>
      <c r="AS161" s="263"/>
      <c r="AT161" s="263"/>
      <c r="AU161" s="263"/>
      <c r="AV161" s="263"/>
      <c r="AW161" s="263"/>
      <c r="AX161" s="264"/>
      <c r="AY161" s="264"/>
      <c r="AZ161" s="264"/>
      <c r="BA161" s="264"/>
      <c r="BB161" s="264"/>
      <c r="BC161" s="264"/>
      <c r="BD161" s="264"/>
      <c r="BE161" s="264"/>
      <c r="BF161" s="264"/>
      <c r="BG161" s="264"/>
      <c r="BH161" s="264"/>
      <c r="BI161" s="264"/>
      <c r="BJ161" s="264"/>
      <c r="BK161" s="264"/>
      <c r="BL161" s="264"/>
      <c r="BM161" s="264"/>
      <c r="BN161" s="265"/>
      <c r="BO161" s="265"/>
      <c r="BP161" s="265"/>
      <c r="BQ161" s="265"/>
      <c r="BR161" s="265"/>
      <c r="BS161" s="265"/>
      <c r="BT161" s="265"/>
      <c r="BU161" s="265"/>
      <c r="BV161" s="265">
        <v>18</v>
      </c>
      <c r="BW161" s="265"/>
      <c r="BX161" s="265"/>
      <c r="BY161" s="265"/>
      <c r="BZ161" s="265"/>
      <c r="CA161" s="265"/>
      <c r="CB161" s="265">
        <f>20+32+2</f>
        <v>54</v>
      </c>
      <c r="CC161" s="265"/>
      <c r="CD161" s="266"/>
      <c r="CE161" s="266"/>
      <c r="CF161" s="266"/>
      <c r="CG161" s="266"/>
      <c r="CH161" s="266"/>
      <c r="CI161" s="266"/>
      <c r="CJ161" s="266"/>
      <c r="CK161" s="266"/>
      <c r="CL161" s="266"/>
      <c r="CM161" s="266"/>
      <c r="CN161" s="266"/>
      <c r="CO161" s="266"/>
      <c r="CP161" s="266"/>
      <c r="CQ161" s="266"/>
      <c r="CR161" s="266"/>
      <c r="CS161" s="266"/>
      <c r="CT161" s="267"/>
      <c r="CU161" s="267"/>
      <c r="CV161" s="267"/>
      <c r="CW161" s="267"/>
      <c r="CX161" s="267"/>
      <c r="CY161" s="267"/>
      <c r="CZ161" s="267"/>
      <c r="DA161" s="267"/>
      <c r="DB161" s="267"/>
      <c r="DC161" s="267"/>
      <c r="DD161" s="267"/>
      <c r="DE161" s="267"/>
      <c r="DF161" s="267"/>
      <c r="DG161" s="267"/>
      <c r="DH161" s="267"/>
      <c r="DI161" s="267"/>
      <c r="DJ161" s="268"/>
      <c r="DK161" s="268"/>
      <c r="DL161" s="268"/>
      <c r="DM161" s="268"/>
      <c r="DN161" s="268"/>
      <c r="DO161" s="268"/>
      <c r="DP161" s="268"/>
      <c r="DQ161" s="268"/>
      <c r="DR161" s="268"/>
      <c r="DS161" s="268"/>
      <c r="DT161" s="268"/>
      <c r="DU161" s="268"/>
      <c r="DV161" s="268"/>
      <c r="DW161" s="268"/>
      <c r="DX161" s="268"/>
      <c r="DY161" s="268"/>
      <c r="EA161" s="13"/>
      <c r="EB161" s="96"/>
      <c r="EC161" s="96"/>
      <c r="ED161" s="96"/>
      <c r="EE161" s="96"/>
      <c r="EF161" s="96"/>
      <c r="EG161" s="96"/>
      <c r="EH161" s="96"/>
      <c r="EI161" s="96"/>
      <c r="EJ161" s="96"/>
      <c r="EK161" s="96"/>
      <c r="EL161" s="96"/>
      <c r="EM161" s="96"/>
      <c r="EN161" s="96"/>
      <c r="EO161" s="96"/>
      <c r="EP161" s="96"/>
      <c r="EQ161" s="96"/>
      <c r="ER161" s="96"/>
      <c r="ES161" s="96"/>
      <c r="ET161" s="96"/>
      <c r="EU161" s="96"/>
      <c r="EV161" s="96"/>
      <c r="EW161" s="96"/>
      <c r="EX161" s="96"/>
      <c r="EY161" s="96"/>
      <c r="EZ161" s="96"/>
      <c r="FA161" s="96"/>
      <c r="FB161" s="96"/>
      <c r="FC161" s="96"/>
      <c r="FD161" s="96"/>
      <c r="FE161" s="96"/>
      <c r="FF161" s="96"/>
      <c r="FG161" s="96"/>
      <c r="FH161" s="96"/>
      <c r="FI161" s="96"/>
      <c r="FJ161" s="96"/>
      <c r="FK161" s="96"/>
      <c r="FL161" s="96"/>
      <c r="FM161" s="96"/>
      <c r="FN161" s="96"/>
      <c r="FO161" s="96"/>
      <c r="FP161" s="96"/>
      <c r="FQ161" s="96"/>
      <c r="FR161" s="96"/>
      <c r="FS161" s="96"/>
      <c r="FT161" s="96"/>
      <c r="FU161" s="96"/>
      <c r="FV161" s="96"/>
      <c r="FW161" s="96"/>
      <c r="FX161" s="96"/>
      <c r="FY161" s="96"/>
      <c r="FZ161" s="96"/>
      <c r="GA161" s="96"/>
      <c r="GB161" s="96"/>
      <c r="GC161" s="96"/>
      <c r="GD161" s="96"/>
      <c r="GE161" s="96"/>
      <c r="GF161" s="96"/>
      <c r="GG161" s="96"/>
      <c r="GH161" s="96"/>
      <c r="GI161" s="96"/>
      <c r="GJ161" s="96"/>
      <c r="GK161" s="96"/>
      <c r="GL161" s="96"/>
      <c r="GM161" s="13"/>
      <c r="GN161" s="96"/>
      <c r="GO161" s="96"/>
      <c r="GP161" s="96"/>
      <c r="GQ161" s="96"/>
      <c r="GR161" s="96"/>
      <c r="GS161" s="96"/>
      <c r="GT161" s="96"/>
      <c r="GU161" s="96"/>
      <c r="GV161" s="96"/>
      <c r="GW161" s="96"/>
      <c r="GX161" s="96"/>
      <c r="GY161" s="96"/>
      <c r="GZ161" s="96"/>
      <c r="HA161" s="96"/>
      <c r="HB161" s="96"/>
      <c r="HC161" s="13"/>
      <c r="HD161" s="96"/>
      <c r="HE161" s="96"/>
      <c r="HF161" s="96"/>
      <c r="HG161" s="96"/>
      <c r="HH161" s="96"/>
      <c r="HI161" s="96"/>
      <c r="HJ161" s="96"/>
      <c r="HK161" s="96"/>
      <c r="HL161" s="96"/>
      <c r="HM161" s="96"/>
      <c r="HN161" s="96"/>
      <c r="HO161" s="96"/>
      <c r="HP161" s="96"/>
      <c r="HQ161" s="96"/>
      <c r="HR161" s="96"/>
      <c r="HS161" s="13"/>
      <c r="HT161" s="96"/>
      <c r="HU161" s="96"/>
      <c r="HV161" s="96"/>
      <c r="HW161" s="96"/>
      <c r="HX161" s="96"/>
      <c r="HY161" s="96"/>
      <c r="HZ161" s="96"/>
      <c r="IA161" s="96"/>
      <c r="IB161" s="96"/>
      <c r="IC161" s="96"/>
      <c r="ID161" s="96"/>
      <c r="IE161" s="96"/>
      <c r="IF161" s="96"/>
      <c r="IG161" s="96"/>
      <c r="IH161" s="96"/>
      <c r="II161" s="13"/>
      <c r="IJ161" s="96"/>
      <c r="IK161" s="96"/>
      <c r="IL161" s="96"/>
      <c r="IM161" s="96"/>
      <c r="IN161" s="96"/>
      <c r="IO161" s="96"/>
      <c r="IP161" s="96"/>
      <c r="IQ161" s="96"/>
      <c r="IR161" s="96"/>
      <c r="IS161" s="96"/>
      <c r="IT161" s="96"/>
      <c r="IU161" s="96"/>
      <c r="IV161" s="96"/>
      <c r="IW161" s="96"/>
      <c r="IX161" s="96"/>
      <c r="IY161" s="13"/>
    </row>
    <row r="162" spans="1:259" outlineLevel="1">
      <c r="A162" s="11">
        <f>'VAC &amp; MED'!C155</f>
        <v>46151</v>
      </c>
      <c r="B162" s="261"/>
      <c r="C162" s="261"/>
      <c r="D162" s="261"/>
      <c r="E162" s="261"/>
      <c r="F162" s="261"/>
      <c r="G162" s="261"/>
      <c r="H162" s="261"/>
      <c r="I162" s="261"/>
      <c r="J162" s="261"/>
      <c r="K162" s="261"/>
      <c r="L162" s="261"/>
      <c r="M162" s="261"/>
      <c r="N162" s="261"/>
      <c r="O162" s="261"/>
      <c r="P162" s="261"/>
      <c r="Q162" s="261"/>
      <c r="R162" s="262"/>
      <c r="S162" s="262"/>
      <c r="T162" s="262"/>
      <c r="U162" s="262"/>
      <c r="V162" s="262"/>
      <c r="W162" s="262"/>
      <c r="X162" s="262"/>
      <c r="Y162" s="262"/>
      <c r="Z162" s="262"/>
      <c r="AA162" s="262"/>
      <c r="AB162" s="262"/>
      <c r="AC162" s="262"/>
      <c r="AD162" s="262"/>
      <c r="AE162" s="262"/>
      <c r="AF162" s="262"/>
      <c r="AG162" s="262"/>
      <c r="AH162" s="263"/>
      <c r="AI162" s="263"/>
      <c r="AJ162" s="263"/>
      <c r="AK162" s="263"/>
      <c r="AL162" s="263"/>
      <c r="AM162" s="263"/>
      <c r="AN162" s="263"/>
      <c r="AO162" s="263"/>
      <c r="AP162" s="263"/>
      <c r="AQ162" s="263"/>
      <c r="AR162" s="263"/>
      <c r="AS162" s="263"/>
      <c r="AT162" s="263"/>
      <c r="AU162" s="263"/>
      <c r="AV162" s="263"/>
      <c r="AW162" s="263"/>
      <c r="AX162" s="264"/>
      <c r="AY162" s="264"/>
      <c r="AZ162" s="264"/>
      <c r="BA162" s="264"/>
      <c r="BB162" s="264"/>
      <c r="BC162" s="264"/>
      <c r="BD162" s="264"/>
      <c r="BE162" s="264"/>
      <c r="BF162" s="264"/>
      <c r="BG162" s="264"/>
      <c r="BH162" s="264"/>
      <c r="BI162" s="264"/>
      <c r="BJ162" s="264"/>
      <c r="BK162" s="264"/>
      <c r="BL162" s="264"/>
      <c r="BM162" s="264"/>
      <c r="BN162" s="265"/>
      <c r="BO162" s="265">
        <v>10</v>
      </c>
      <c r="BP162" s="265"/>
      <c r="BQ162" s="265"/>
      <c r="BR162" s="265"/>
      <c r="BS162" s="265"/>
      <c r="BT162" s="265"/>
      <c r="BU162" s="265"/>
      <c r="BV162" s="265"/>
      <c r="BW162" s="265"/>
      <c r="BX162" s="265"/>
      <c r="BY162" s="265"/>
      <c r="BZ162" s="265"/>
      <c r="CA162" s="265"/>
      <c r="CB162" s="265"/>
      <c r="CC162" s="265"/>
      <c r="CD162" s="266"/>
      <c r="CE162" s="266"/>
      <c r="CF162" s="266"/>
      <c r="CG162" s="266"/>
      <c r="CH162" s="266"/>
      <c r="CI162" s="266"/>
      <c r="CJ162" s="266"/>
      <c r="CK162" s="266"/>
      <c r="CL162" s="266"/>
      <c r="CM162" s="266"/>
      <c r="CN162" s="266"/>
      <c r="CO162" s="266"/>
      <c r="CP162" s="266"/>
      <c r="CQ162" s="266"/>
      <c r="CR162" s="266"/>
      <c r="CS162" s="266"/>
      <c r="CT162" s="267"/>
      <c r="CU162" s="267"/>
      <c r="CV162" s="267"/>
      <c r="CW162" s="267"/>
      <c r="CX162" s="267"/>
      <c r="CY162" s="267"/>
      <c r="CZ162" s="267"/>
      <c r="DA162" s="267"/>
      <c r="DB162" s="267"/>
      <c r="DC162" s="267"/>
      <c r="DD162" s="267"/>
      <c r="DE162" s="267"/>
      <c r="DF162" s="267"/>
      <c r="DG162" s="267"/>
      <c r="DH162" s="267"/>
      <c r="DI162" s="267"/>
      <c r="DJ162" s="268"/>
      <c r="DK162" s="268"/>
      <c r="DL162" s="268"/>
      <c r="DM162" s="268"/>
      <c r="DN162" s="268"/>
      <c r="DO162" s="268"/>
      <c r="DP162" s="268"/>
      <c r="DQ162" s="268"/>
      <c r="DR162" s="268"/>
      <c r="DS162" s="268"/>
      <c r="DT162" s="268"/>
      <c r="DU162" s="268"/>
      <c r="DV162" s="268"/>
      <c r="DW162" s="268"/>
      <c r="DX162" s="268"/>
      <c r="DY162" s="268"/>
      <c r="EA162" s="13"/>
      <c r="EB162" s="96"/>
      <c r="EC162" s="96"/>
      <c r="ED162" s="96"/>
      <c r="EE162" s="96"/>
      <c r="EF162" s="96"/>
      <c r="EG162" s="96"/>
      <c r="EH162" s="96"/>
      <c r="EI162" s="96"/>
      <c r="EJ162" s="96"/>
      <c r="EK162" s="96"/>
      <c r="EL162" s="96"/>
      <c r="EM162" s="96"/>
      <c r="EN162" s="96"/>
      <c r="EO162" s="96"/>
      <c r="EP162" s="96"/>
      <c r="EQ162" s="96"/>
      <c r="ER162" s="96"/>
      <c r="ES162" s="96"/>
      <c r="ET162" s="96"/>
      <c r="EU162" s="96"/>
      <c r="EV162" s="96"/>
      <c r="EW162" s="96"/>
      <c r="EX162" s="96"/>
      <c r="EY162" s="96"/>
      <c r="EZ162" s="96"/>
      <c r="FA162" s="96"/>
      <c r="FB162" s="96"/>
      <c r="FC162" s="96"/>
      <c r="FD162" s="96"/>
      <c r="FE162" s="96"/>
      <c r="FF162" s="96"/>
      <c r="FG162" s="96"/>
      <c r="FH162" s="96"/>
      <c r="FI162" s="96"/>
      <c r="FJ162" s="96"/>
      <c r="FK162" s="96"/>
      <c r="FL162" s="96"/>
      <c r="FM162" s="96"/>
      <c r="FN162" s="96"/>
      <c r="FO162" s="96"/>
      <c r="FP162" s="96"/>
      <c r="FQ162" s="96"/>
      <c r="FR162" s="96"/>
      <c r="FS162" s="96"/>
      <c r="FT162" s="96"/>
      <c r="FU162" s="96"/>
      <c r="FV162" s="96"/>
      <c r="FW162" s="96"/>
      <c r="FX162" s="96"/>
      <c r="FY162" s="96"/>
      <c r="FZ162" s="96"/>
      <c r="GA162" s="96"/>
      <c r="GB162" s="96"/>
      <c r="GC162" s="96"/>
      <c r="GD162" s="96"/>
      <c r="GE162" s="96"/>
      <c r="GF162" s="96"/>
      <c r="GG162" s="96"/>
      <c r="GH162" s="96"/>
      <c r="GI162" s="96"/>
      <c r="GJ162" s="96"/>
      <c r="GK162" s="96"/>
      <c r="GL162" s="96"/>
      <c r="GM162" s="13"/>
      <c r="GN162" s="96"/>
      <c r="GO162" s="96"/>
      <c r="GP162" s="96"/>
      <c r="GQ162" s="96"/>
      <c r="GR162" s="96"/>
      <c r="GS162" s="96"/>
      <c r="GT162" s="96"/>
      <c r="GU162" s="96"/>
      <c r="GV162" s="96"/>
      <c r="GW162" s="96"/>
      <c r="GX162" s="96"/>
      <c r="GY162" s="96"/>
      <c r="GZ162" s="96"/>
      <c r="HA162" s="96"/>
      <c r="HB162" s="96"/>
      <c r="HC162" s="13"/>
      <c r="HD162" s="96"/>
      <c r="HE162" s="96"/>
      <c r="HF162" s="96"/>
      <c r="HG162" s="96"/>
      <c r="HH162" s="96"/>
      <c r="HI162" s="96"/>
      <c r="HJ162" s="96"/>
      <c r="HK162" s="96"/>
      <c r="HL162" s="96"/>
      <c r="HM162" s="96"/>
      <c r="HN162" s="96"/>
      <c r="HO162" s="96"/>
      <c r="HP162" s="96"/>
      <c r="HQ162" s="96"/>
      <c r="HR162" s="96"/>
      <c r="HS162" s="13"/>
      <c r="HT162" s="96"/>
      <c r="HU162" s="96"/>
      <c r="HV162" s="96"/>
      <c r="HW162" s="96"/>
      <c r="HX162" s="96"/>
      <c r="HY162" s="96"/>
      <c r="HZ162" s="96"/>
      <c r="IA162" s="96"/>
      <c r="IB162" s="96"/>
      <c r="IC162" s="96"/>
      <c r="ID162" s="96"/>
      <c r="IE162" s="96"/>
      <c r="IF162" s="96"/>
      <c r="IG162" s="96"/>
      <c r="IH162" s="96"/>
      <c r="II162" s="13"/>
      <c r="IJ162" s="96"/>
      <c r="IK162" s="96"/>
      <c r="IL162" s="96"/>
      <c r="IM162" s="96"/>
      <c r="IN162" s="96"/>
      <c r="IO162" s="96"/>
      <c r="IP162" s="96"/>
      <c r="IQ162" s="96"/>
      <c r="IR162" s="96"/>
      <c r="IS162" s="96"/>
      <c r="IT162" s="96"/>
      <c r="IU162" s="96"/>
      <c r="IV162" s="96"/>
      <c r="IW162" s="96"/>
      <c r="IX162" s="96"/>
      <c r="IY162" s="13"/>
    </row>
    <row r="163" spans="1:259" outlineLevel="1">
      <c r="A163" s="11">
        <f>'VAC &amp; MED'!C156</f>
        <v>46152</v>
      </c>
      <c r="B163" s="261"/>
      <c r="C163" s="261"/>
      <c r="D163" s="261"/>
      <c r="E163" s="261"/>
      <c r="F163" s="261"/>
      <c r="G163" s="261"/>
      <c r="H163" s="261"/>
      <c r="I163" s="261"/>
      <c r="J163" s="261"/>
      <c r="K163" s="261"/>
      <c r="L163" s="261"/>
      <c r="M163" s="261"/>
      <c r="N163" s="261"/>
      <c r="O163" s="261"/>
      <c r="P163" s="261"/>
      <c r="Q163" s="261"/>
      <c r="R163" s="262"/>
      <c r="S163" s="262"/>
      <c r="T163" s="262"/>
      <c r="U163" s="262"/>
      <c r="V163" s="262"/>
      <c r="W163" s="262"/>
      <c r="X163" s="262"/>
      <c r="Y163" s="262"/>
      <c r="Z163" s="262"/>
      <c r="AA163" s="262"/>
      <c r="AB163" s="262"/>
      <c r="AC163" s="262"/>
      <c r="AD163" s="262"/>
      <c r="AE163" s="262"/>
      <c r="AF163" s="262"/>
      <c r="AG163" s="262"/>
      <c r="AH163" s="263"/>
      <c r="AI163" s="263"/>
      <c r="AJ163" s="263"/>
      <c r="AK163" s="263"/>
      <c r="AL163" s="263"/>
      <c r="AM163" s="263"/>
      <c r="AN163" s="263"/>
      <c r="AO163" s="263"/>
      <c r="AP163" s="263"/>
      <c r="AQ163" s="263"/>
      <c r="AR163" s="263"/>
      <c r="AS163" s="263"/>
      <c r="AT163" s="263"/>
      <c r="AU163" s="263"/>
      <c r="AV163" s="263"/>
      <c r="AW163" s="263"/>
      <c r="AX163" s="264"/>
      <c r="AY163" s="264"/>
      <c r="AZ163" s="264"/>
      <c r="BA163" s="264"/>
      <c r="BB163" s="264"/>
      <c r="BC163" s="264"/>
      <c r="BD163" s="264"/>
      <c r="BE163" s="264"/>
      <c r="BF163" s="264"/>
      <c r="BG163" s="264"/>
      <c r="BH163" s="264"/>
      <c r="BI163" s="264"/>
      <c r="BJ163" s="264"/>
      <c r="BK163" s="264"/>
      <c r="BL163" s="264"/>
      <c r="BM163" s="264"/>
      <c r="BN163" s="265"/>
      <c r="BO163" s="265"/>
      <c r="BP163" s="265"/>
      <c r="BQ163" s="265"/>
      <c r="BR163" s="265"/>
      <c r="BS163" s="265"/>
      <c r="BT163" s="265"/>
      <c r="BU163" s="265"/>
      <c r="BV163" s="265"/>
      <c r="BW163" s="265"/>
      <c r="BX163" s="265"/>
      <c r="BY163" s="265"/>
      <c r="BZ163" s="265"/>
      <c r="CA163" s="265"/>
      <c r="CB163" s="265"/>
      <c r="CC163" s="265"/>
      <c r="CD163" s="266"/>
      <c r="CE163" s="266"/>
      <c r="CF163" s="266"/>
      <c r="CG163" s="266"/>
      <c r="CH163" s="266"/>
      <c r="CI163" s="266"/>
      <c r="CJ163" s="266"/>
      <c r="CK163" s="266"/>
      <c r="CL163" s="266"/>
      <c r="CM163" s="266"/>
      <c r="CN163" s="266"/>
      <c r="CO163" s="266"/>
      <c r="CP163" s="266"/>
      <c r="CQ163" s="266"/>
      <c r="CR163" s="266"/>
      <c r="CS163" s="266"/>
      <c r="CT163" s="267"/>
      <c r="CU163" s="267"/>
      <c r="CV163" s="267"/>
      <c r="CW163" s="267"/>
      <c r="CX163" s="267"/>
      <c r="CY163" s="267"/>
      <c r="CZ163" s="267"/>
      <c r="DA163" s="267"/>
      <c r="DB163" s="267"/>
      <c r="DC163" s="267"/>
      <c r="DD163" s="267"/>
      <c r="DE163" s="267"/>
      <c r="DF163" s="267"/>
      <c r="DG163" s="267"/>
      <c r="DH163" s="267"/>
      <c r="DI163" s="267"/>
      <c r="DJ163" s="268"/>
      <c r="DK163" s="268"/>
      <c r="DL163" s="268"/>
      <c r="DM163" s="268"/>
      <c r="DN163" s="268"/>
      <c r="DO163" s="268"/>
      <c r="DP163" s="268"/>
      <c r="DQ163" s="268"/>
      <c r="DR163" s="268"/>
      <c r="DS163" s="268"/>
      <c r="DT163" s="268"/>
      <c r="DU163" s="268"/>
      <c r="DV163" s="268"/>
      <c r="DW163" s="268"/>
      <c r="DX163" s="268"/>
      <c r="DY163" s="268"/>
      <c r="EA163" s="13"/>
      <c r="EB163" s="96"/>
      <c r="EC163" s="96"/>
      <c r="ED163" s="96"/>
      <c r="EE163" s="96"/>
      <c r="EF163" s="96"/>
      <c r="EG163" s="96"/>
      <c r="EH163" s="96"/>
      <c r="EI163" s="96"/>
      <c r="EJ163" s="96"/>
      <c r="EK163" s="96"/>
      <c r="EL163" s="96"/>
      <c r="EM163" s="96"/>
      <c r="EN163" s="96"/>
      <c r="EO163" s="96"/>
      <c r="EP163" s="96"/>
      <c r="EQ163" s="96"/>
      <c r="ER163" s="96"/>
      <c r="ES163" s="96"/>
      <c r="ET163" s="96"/>
      <c r="EU163" s="96"/>
      <c r="EV163" s="96"/>
      <c r="EW163" s="96"/>
      <c r="EX163" s="96"/>
      <c r="EY163" s="96"/>
      <c r="EZ163" s="96"/>
      <c r="FA163" s="96"/>
      <c r="FB163" s="96"/>
      <c r="FC163" s="96"/>
      <c r="FD163" s="96"/>
      <c r="FE163" s="96"/>
      <c r="FF163" s="96"/>
      <c r="FG163" s="96"/>
      <c r="FH163" s="96"/>
      <c r="FI163" s="96"/>
      <c r="FJ163" s="96"/>
      <c r="FK163" s="96"/>
      <c r="FL163" s="96"/>
      <c r="FM163" s="96"/>
      <c r="FN163" s="96"/>
      <c r="FO163" s="96"/>
      <c r="FP163" s="96"/>
      <c r="FQ163" s="96"/>
      <c r="FR163" s="96"/>
      <c r="FS163" s="96"/>
      <c r="FT163" s="96"/>
      <c r="FU163" s="96"/>
      <c r="FV163" s="96"/>
      <c r="FW163" s="96"/>
      <c r="FX163" s="96"/>
      <c r="FY163" s="96"/>
      <c r="FZ163" s="96"/>
      <c r="GA163" s="96"/>
      <c r="GB163" s="96"/>
      <c r="GC163" s="96"/>
      <c r="GD163" s="96"/>
      <c r="GE163" s="96"/>
      <c r="GF163" s="96"/>
      <c r="GG163" s="96"/>
      <c r="GH163" s="96"/>
      <c r="GI163" s="96"/>
      <c r="GJ163" s="96"/>
      <c r="GK163" s="96"/>
      <c r="GL163" s="96"/>
      <c r="GM163" s="13"/>
      <c r="GN163" s="96"/>
      <c r="GO163" s="96"/>
      <c r="GP163" s="96"/>
      <c r="GQ163" s="96"/>
      <c r="GR163" s="96"/>
      <c r="GS163" s="96"/>
      <c r="GT163" s="96"/>
      <c r="GU163" s="96"/>
      <c r="GV163" s="96"/>
      <c r="GW163" s="96"/>
      <c r="GX163" s="96"/>
      <c r="GY163" s="96"/>
      <c r="GZ163" s="96"/>
      <c r="HA163" s="96"/>
      <c r="HB163" s="96"/>
      <c r="HC163" s="13"/>
      <c r="HD163" s="96"/>
      <c r="HE163" s="96"/>
      <c r="HF163" s="96"/>
      <c r="HG163" s="96"/>
      <c r="HH163" s="96"/>
      <c r="HI163" s="96"/>
      <c r="HJ163" s="96"/>
      <c r="HK163" s="96"/>
      <c r="HL163" s="96"/>
      <c r="HM163" s="96"/>
      <c r="HN163" s="96"/>
      <c r="HO163" s="96"/>
      <c r="HP163" s="96"/>
      <c r="HQ163" s="96"/>
      <c r="HR163" s="96"/>
      <c r="HS163" s="13"/>
      <c r="HT163" s="96"/>
      <c r="HU163" s="96"/>
      <c r="HV163" s="96"/>
      <c r="HW163" s="96"/>
      <c r="HX163" s="96"/>
      <c r="HY163" s="96"/>
      <c r="HZ163" s="96"/>
      <c r="IA163" s="96"/>
      <c r="IB163" s="96"/>
      <c r="IC163" s="96"/>
      <c r="ID163" s="96"/>
      <c r="IE163" s="96"/>
      <c r="IF163" s="96"/>
      <c r="IG163" s="96"/>
      <c r="IH163" s="96"/>
      <c r="II163" s="13"/>
      <c r="IJ163" s="96"/>
      <c r="IK163" s="96"/>
      <c r="IL163" s="96"/>
      <c r="IM163" s="96"/>
      <c r="IN163" s="96"/>
      <c r="IO163" s="96"/>
      <c r="IP163" s="96"/>
      <c r="IQ163" s="96"/>
      <c r="IR163" s="96"/>
      <c r="IS163" s="96"/>
      <c r="IT163" s="96"/>
      <c r="IU163" s="96"/>
      <c r="IV163" s="96"/>
      <c r="IW163" s="96"/>
      <c r="IX163" s="96"/>
      <c r="IY163" s="13"/>
    </row>
    <row r="164" spans="1:259" outlineLevel="1">
      <c r="A164" s="11">
        <f>'VAC &amp; MED'!C157</f>
        <v>46153</v>
      </c>
      <c r="B164" s="261"/>
      <c r="C164" s="261"/>
      <c r="D164" s="261"/>
      <c r="E164" s="261"/>
      <c r="F164" s="261"/>
      <c r="G164" s="261"/>
      <c r="H164" s="261"/>
      <c r="I164" s="261"/>
      <c r="J164" s="261"/>
      <c r="K164" s="261"/>
      <c r="L164" s="261"/>
      <c r="M164" s="261"/>
      <c r="N164" s="261"/>
      <c r="O164" s="261"/>
      <c r="P164" s="261"/>
      <c r="Q164" s="261"/>
      <c r="R164" s="262"/>
      <c r="S164" s="262"/>
      <c r="T164" s="262"/>
      <c r="U164" s="262"/>
      <c r="V164" s="262"/>
      <c r="W164" s="262"/>
      <c r="X164" s="262"/>
      <c r="Y164" s="262"/>
      <c r="Z164" s="262"/>
      <c r="AA164" s="262"/>
      <c r="AB164" s="262"/>
      <c r="AC164" s="262"/>
      <c r="AD164" s="262"/>
      <c r="AE164" s="262"/>
      <c r="AF164" s="262"/>
      <c r="AG164" s="262"/>
      <c r="AH164" s="263"/>
      <c r="AI164" s="263"/>
      <c r="AJ164" s="263"/>
      <c r="AK164" s="263"/>
      <c r="AL164" s="263"/>
      <c r="AM164" s="263"/>
      <c r="AN164" s="263"/>
      <c r="AO164" s="263"/>
      <c r="AP164" s="263"/>
      <c r="AQ164" s="263"/>
      <c r="AR164" s="263"/>
      <c r="AS164" s="263"/>
      <c r="AT164" s="263"/>
      <c r="AU164" s="263"/>
      <c r="AV164" s="263"/>
      <c r="AW164" s="263"/>
      <c r="AX164" s="264"/>
      <c r="AY164" s="264"/>
      <c r="AZ164" s="264"/>
      <c r="BA164" s="264"/>
      <c r="BB164" s="264"/>
      <c r="BC164" s="264"/>
      <c r="BD164" s="264"/>
      <c r="BE164" s="264"/>
      <c r="BF164" s="264"/>
      <c r="BG164" s="264"/>
      <c r="BH164" s="264"/>
      <c r="BI164" s="264"/>
      <c r="BJ164" s="264"/>
      <c r="BK164" s="264"/>
      <c r="BL164" s="264"/>
      <c r="BM164" s="264"/>
      <c r="BN164" s="265"/>
      <c r="BO164" s="265"/>
      <c r="BP164" s="265"/>
      <c r="BQ164" s="265"/>
      <c r="BR164" s="265"/>
      <c r="BS164" s="265"/>
      <c r="BT164" s="265"/>
      <c r="BU164" s="265"/>
      <c r="BV164" s="265"/>
      <c r="BW164" s="265"/>
      <c r="BX164" s="265">
        <v>20</v>
      </c>
      <c r="BY164" s="265"/>
      <c r="BZ164" s="265"/>
      <c r="CA164" s="265"/>
      <c r="CB164" s="265">
        <v>50</v>
      </c>
      <c r="CC164" s="265"/>
      <c r="CD164" s="266"/>
      <c r="CE164" s="266"/>
      <c r="CF164" s="266"/>
      <c r="CG164" s="266"/>
      <c r="CH164" s="266"/>
      <c r="CI164" s="266"/>
      <c r="CJ164" s="266"/>
      <c r="CK164" s="266"/>
      <c r="CL164" s="266"/>
      <c r="CM164" s="266"/>
      <c r="CN164" s="266"/>
      <c r="CO164" s="266"/>
      <c r="CP164" s="266"/>
      <c r="CQ164" s="266"/>
      <c r="CR164" s="266"/>
      <c r="CS164" s="266"/>
      <c r="CT164" s="267"/>
      <c r="CU164" s="267"/>
      <c r="CV164" s="267"/>
      <c r="CW164" s="267"/>
      <c r="CX164" s="267"/>
      <c r="CY164" s="267"/>
      <c r="CZ164" s="267"/>
      <c r="DA164" s="267"/>
      <c r="DB164" s="267"/>
      <c r="DC164" s="267"/>
      <c r="DD164" s="267"/>
      <c r="DE164" s="267"/>
      <c r="DF164" s="267"/>
      <c r="DG164" s="267"/>
      <c r="DH164" s="267"/>
      <c r="DI164" s="267"/>
      <c r="DJ164" s="268"/>
      <c r="DK164" s="268"/>
      <c r="DL164" s="268"/>
      <c r="DM164" s="268"/>
      <c r="DN164" s="268"/>
      <c r="DO164" s="268"/>
      <c r="DP164" s="268"/>
      <c r="DQ164" s="268"/>
      <c r="DR164" s="268"/>
      <c r="DS164" s="268"/>
      <c r="DT164" s="268"/>
      <c r="DU164" s="268"/>
      <c r="DV164" s="268"/>
      <c r="DW164" s="268"/>
      <c r="DX164" s="268"/>
      <c r="DY164" s="268"/>
      <c r="EA164" s="13"/>
      <c r="EB164" s="96"/>
      <c r="EC164" s="96"/>
      <c r="ED164" s="96"/>
      <c r="EE164" s="96"/>
      <c r="EF164" s="96"/>
      <c r="EG164" s="96"/>
      <c r="EH164" s="96"/>
      <c r="EI164" s="96"/>
      <c r="EJ164" s="96"/>
      <c r="EK164" s="96"/>
      <c r="EL164" s="96"/>
      <c r="EM164" s="96"/>
      <c r="EN164" s="96"/>
      <c r="EO164" s="96"/>
      <c r="EP164" s="96"/>
      <c r="EQ164" s="96"/>
      <c r="ER164" s="96"/>
      <c r="ES164" s="96"/>
      <c r="ET164" s="96"/>
      <c r="EU164" s="96"/>
      <c r="EV164" s="96"/>
      <c r="EW164" s="96"/>
      <c r="EX164" s="96"/>
      <c r="EY164" s="96"/>
      <c r="EZ164" s="96"/>
      <c r="FA164" s="96"/>
      <c r="FB164" s="96"/>
      <c r="FC164" s="96"/>
      <c r="FD164" s="96"/>
      <c r="FE164" s="96"/>
      <c r="FF164" s="96"/>
      <c r="FG164" s="96"/>
      <c r="FH164" s="96"/>
      <c r="FI164" s="96"/>
      <c r="FJ164" s="96"/>
      <c r="FK164" s="96"/>
      <c r="FL164" s="96"/>
      <c r="FM164" s="96"/>
      <c r="FN164" s="96"/>
      <c r="FO164" s="96"/>
      <c r="FP164" s="96"/>
      <c r="FQ164" s="96"/>
      <c r="FR164" s="96"/>
      <c r="FS164" s="96"/>
      <c r="FT164" s="96"/>
      <c r="FU164" s="96"/>
      <c r="FV164" s="96"/>
      <c r="FW164" s="96"/>
      <c r="FX164" s="96"/>
      <c r="FY164" s="96"/>
      <c r="FZ164" s="96"/>
      <c r="GA164" s="96"/>
      <c r="GB164" s="96"/>
      <c r="GC164" s="96"/>
      <c r="GD164" s="96"/>
      <c r="GE164" s="96"/>
      <c r="GF164" s="96"/>
      <c r="GG164" s="96"/>
      <c r="GH164" s="96"/>
      <c r="GI164" s="96"/>
      <c r="GJ164" s="96"/>
      <c r="GK164" s="96"/>
      <c r="GL164" s="96"/>
      <c r="GM164" s="13"/>
      <c r="GN164" s="96"/>
      <c r="GO164" s="96"/>
      <c r="GP164" s="96"/>
      <c r="GQ164" s="96"/>
      <c r="GR164" s="96"/>
      <c r="GS164" s="96"/>
      <c r="GT164" s="96"/>
      <c r="GU164" s="96"/>
      <c r="GV164" s="96"/>
      <c r="GW164" s="96"/>
      <c r="GX164" s="96"/>
      <c r="GY164" s="96"/>
      <c r="GZ164" s="96"/>
      <c r="HA164" s="96"/>
      <c r="HB164" s="96"/>
      <c r="HC164" s="13"/>
      <c r="HD164" s="96"/>
      <c r="HE164" s="96"/>
      <c r="HF164" s="96"/>
      <c r="HG164" s="96"/>
      <c r="HH164" s="96"/>
      <c r="HI164" s="96"/>
      <c r="HJ164" s="96"/>
      <c r="HK164" s="96"/>
      <c r="HL164" s="96"/>
      <c r="HM164" s="96"/>
      <c r="HN164" s="96"/>
      <c r="HO164" s="96"/>
      <c r="HP164" s="96"/>
      <c r="HQ164" s="96"/>
      <c r="HR164" s="96"/>
      <c r="HS164" s="13"/>
      <c r="HT164" s="96"/>
      <c r="HU164" s="96"/>
      <c r="HV164" s="96"/>
      <c r="HW164" s="96"/>
      <c r="HX164" s="96"/>
      <c r="HY164" s="96"/>
      <c r="HZ164" s="96"/>
      <c r="IA164" s="96"/>
      <c r="IB164" s="96"/>
      <c r="IC164" s="96"/>
      <c r="ID164" s="96"/>
      <c r="IE164" s="96"/>
      <c r="IF164" s="96"/>
      <c r="IG164" s="96"/>
      <c r="IH164" s="96"/>
      <c r="II164" s="13"/>
      <c r="IJ164" s="96"/>
      <c r="IK164" s="96"/>
      <c r="IL164" s="96"/>
      <c r="IM164" s="96"/>
      <c r="IN164" s="96"/>
      <c r="IO164" s="96"/>
      <c r="IP164" s="96"/>
      <c r="IQ164" s="96"/>
      <c r="IR164" s="96"/>
      <c r="IS164" s="96"/>
      <c r="IT164" s="96"/>
      <c r="IU164" s="96"/>
      <c r="IV164" s="96"/>
      <c r="IW164" s="96"/>
      <c r="IX164" s="96"/>
      <c r="IY164" s="13"/>
    </row>
    <row r="165" spans="1:259" outlineLevel="1">
      <c r="A165" s="11">
        <f>'VAC &amp; MED'!C158</f>
        <v>46154</v>
      </c>
      <c r="B165" s="261"/>
      <c r="C165" s="261"/>
      <c r="D165" s="261"/>
      <c r="E165" s="261"/>
      <c r="F165" s="261"/>
      <c r="G165" s="261"/>
      <c r="H165" s="261"/>
      <c r="I165" s="261"/>
      <c r="J165" s="261"/>
      <c r="K165" s="261"/>
      <c r="L165" s="261"/>
      <c r="M165" s="261"/>
      <c r="N165" s="261"/>
      <c r="O165" s="261"/>
      <c r="P165" s="261"/>
      <c r="Q165" s="261"/>
      <c r="R165" s="262"/>
      <c r="S165" s="262"/>
      <c r="T165" s="262"/>
      <c r="U165" s="262"/>
      <c r="V165" s="262"/>
      <c r="W165" s="262"/>
      <c r="X165" s="262"/>
      <c r="Y165" s="262"/>
      <c r="Z165" s="262"/>
      <c r="AA165" s="262"/>
      <c r="AB165" s="262"/>
      <c r="AC165" s="262"/>
      <c r="AD165" s="262"/>
      <c r="AE165" s="262"/>
      <c r="AF165" s="262"/>
      <c r="AG165" s="262"/>
      <c r="AH165" s="263">
        <v>90</v>
      </c>
      <c r="AI165" s="263"/>
      <c r="AJ165" s="263"/>
      <c r="AK165" s="263"/>
      <c r="AL165" s="263"/>
      <c r="AM165" s="263"/>
      <c r="AN165" s="263"/>
      <c r="AO165" s="263"/>
      <c r="AP165" s="263"/>
      <c r="AQ165" s="263"/>
      <c r="AR165" s="263"/>
      <c r="AS165" s="263"/>
      <c r="AT165" s="263"/>
      <c r="AU165" s="263"/>
      <c r="AV165" s="263"/>
      <c r="AW165" s="263"/>
      <c r="AX165" s="264"/>
      <c r="AY165" s="264"/>
      <c r="AZ165" s="264"/>
      <c r="BA165" s="264"/>
      <c r="BB165" s="264"/>
      <c r="BC165" s="264"/>
      <c r="BD165" s="264"/>
      <c r="BE165" s="264"/>
      <c r="BF165" s="264"/>
      <c r="BG165" s="264"/>
      <c r="BH165" s="264"/>
      <c r="BI165" s="264"/>
      <c r="BJ165" s="264"/>
      <c r="BK165" s="264"/>
      <c r="BL165" s="264"/>
      <c r="BM165" s="264"/>
      <c r="BN165" s="265"/>
      <c r="BO165" s="265"/>
      <c r="BP165" s="265"/>
      <c r="BQ165" s="265"/>
      <c r="BR165" s="265"/>
      <c r="BS165" s="265"/>
      <c r="BT165" s="265"/>
      <c r="BU165" s="265"/>
      <c r="BV165" s="265"/>
      <c r="BW165" s="265"/>
      <c r="BX165" s="265"/>
      <c r="BY165" s="265"/>
      <c r="BZ165" s="265"/>
      <c r="CA165" s="265"/>
      <c r="CB165" s="265"/>
      <c r="CC165" s="265"/>
      <c r="CD165" s="266"/>
      <c r="CE165" s="266"/>
      <c r="CF165" s="266"/>
      <c r="CG165" s="266"/>
      <c r="CH165" s="266"/>
      <c r="CI165" s="266"/>
      <c r="CJ165" s="266"/>
      <c r="CK165" s="266"/>
      <c r="CL165" s="266"/>
      <c r="CM165" s="266"/>
      <c r="CN165" s="266"/>
      <c r="CO165" s="266"/>
      <c r="CP165" s="266"/>
      <c r="CQ165" s="266"/>
      <c r="CR165" s="266"/>
      <c r="CS165" s="266"/>
      <c r="CT165" s="267"/>
      <c r="CU165" s="267"/>
      <c r="CV165" s="267"/>
      <c r="CW165" s="267"/>
      <c r="CX165" s="267"/>
      <c r="CY165" s="267"/>
      <c r="CZ165" s="267"/>
      <c r="DA165" s="267"/>
      <c r="DB165" s="267"/>
      <c r="DC165" s="267"/>
      <c r="DD165" s="267"/>
      <c r="DE165" s="267"/>
      <c r="DF165" s="267"/>
      <c r="DG165" s="267"/>
      <c r="DH165" s="267"/>
      <c r="DI165" s="267"/>
      <c r="DJ165" s="268"/>
      <c r="DK165" s="268"/>
      <c r="DL165" s="268"/>
      <c r="DM165" s="268"/>
      <c r="DN165" s="268"/>
      <c r="DO165" s="268"/>
      <c r="DP165" s="268"/>
      <c r="DQ165" s="268"/>
      <c r="DR165" s="268"/>
      <c r="DS165" s="268"/>
      <c r="DT165" s="268"/>
      <c r="DU165" s="268"/>
      <c r="DV165" s="268"/>
      <c r="DW165" s="268"/>
      <c r="DX165" s="268"/>
      <c r="DY165" s="268"/>
      <c r="EA165" s="13"/>
      <c r="EB165" s="96"/>
      <c r="EC165" s="96"/>
      <c r="ED165" s="96"/>
      <c r="EE165" s="96"/>
      <c r="EF165" s="96"/>
      <c r="EG165" s="96"/>
      <c r="EH165" s="96"/>
      <c r="EI165" s="96"/>
      <c r="EJ165" s="96"/>
      <c r="EK165" s="96"/>
      <c r="EL165" s="96"/>
      <c r="EM165" s="96"/>
      <c r="EN165" s="96"/>
      <c r="EO165" s="96"/>
      <c r="EP165" s="96"/>
      <c r="EQ165" s="96"/>
      <c r="ER165" s="96"/>
      <c r="ES165" s="96"/>
      <c r="ET165" s="96"/>
      <c r="EU165" s="96"/>
      <c r="EV165" s="96"/>
      <c r="EW165" s="96"/>
      <c r="EX165" s="96"/>
      <c r="EY165" s="96"/>
      <c r="EZ165" s="96"/>
      <c r="FA165" s="96"/>
      <c r="FB165" s="96"/>
      <c r="FC165" s="96"/>
      <c r="FD165" s="96"/>
      <c r="FE165" s="96"/>
      <c r="FF165" s="96"/>
      <c r="FG165" s="96"/>
      <c r="FH165" s="96"/>
      <c r="FI165" s="96"/>
      <c r="FJ165" s="96"/>
      <c r="FK165" s="96"/>
      <c r="FL165" s="96"/>
      <c r="FM165" s="96"/>
      <c r="FN165" s="96"/>
      <c r="FO165" s="96"/>
      <c r="FP165" s="96"/>
      <c r="FQ165" s="96"/>
      <c r="FR165" s="96"/>
      <c r="FS165" s="96"/>
      <c r="FT165" s="96"/>
      <c r="FU165" s="96"/>
      <c r="FV165" s="96"/>
      <c r="FW165" s="96"/>
      <c r="FX165" s="96"/>
      <c r="FY165" s="96"/>
      <c r="FZ165" s="96"/>
      <c r="GA165" s="96"/>
      <c r="GB165" s="96"/>
      <c r="GC165" s="96"/>
      <c r="GD165" s="96"/>
      <c r="GE165" s="96"/>
      <c r="GF165" s="96"/>
      <c r="GG165" s="96"/>
      <c r="GH165" s="96"/>
      <c r="GI165" s="96"/>
      <c r="GJ165" s="96"/>
      <c r="GK165" s="96"/>
      <c r="GL165" s="96"/>
      <c r="GM165" s="13"/>
      <c r="GN165" s="96"/>
      <c r="GO165" s="96"/>
      <c r="GP165" s="96"/>
      <c r="GQ165" s="96"/>
      <c r="GR165" s="96"/>
      <c r="GS165" s="96"/>
      <c r="GT165" s="96"/>
      <c r="GU165" s="96"/>
      <c r="GV165" s="96"/>
      <c r="GW165" s="96"/>
      <c r="GX165" s="96"/>
      <c r="GY165" s="96"/>
      <c r="GZ165" s="96"/>
      <c r="HA165" s="96"/>
      <c r="HB165" s="96"/>
      <c r="HC165" s="13"/>
      <c r="HD165" s="96"/>
      <c r="HE165" s="96"/>
      <c r="HF165" s="96"/>
      <c r="HG165" s="96"/>
      <c r="HH165" s="96"/>
      <c r="HI165" s="96"/>
      <c r="HJ165" s="96"/>
      <c r="HK165" s="96"/>
      <c r="HL165" s="96"/>
      <c r="HM165" s="96"/>
      <c r="HN165" s="96"/>
      <c r="HO165" s="96"/>
      <c r="HP165" s="96"/>
      <c r="HQ165" s="96"/>
      <c r="HR165" s="96"/>
      <c r="HS165" s="13"/>
      <c r="HT165" s="96"/>
      <c r="HU165" s="96"/>
      <c r="HV165" s="96"/>
      <c r="HW165" s="96"/>
      <c r="HX165" s="96"/>
      <c r="HY165" s="96"/>
      <c r="HZ165" s="96"/>
      <c r="IA165" s="96"/>
      <c r="IB165" s="96"/>
      <c r="IC165" s="96"/>
      <c r="ID165" s="96"/>
      <c r="IE165" s="96"/>
      <c r="IF165" s="96"/>
      <c r="IG165" s="96"/>
      <c r="IH165" s="96"/>
      <c r="II165" s="13"/>
      <c r="IJ165" s="96"/>
      <c r="IK165" s="96"/>
      <c r="IL165" s="96"/>
      <c r="IM165" s="96"/>
      <c r="IN165" s="96"/>
      <c r="IO165" s="96"/>
      <c r="IP165" s="96"/>
      <c r="IQ165" s="96"/>
      <c r="IR165" s="96"/>
      <c r="IS165" s="96"/>
      <c r="IT165" s="96"/>
      <c r="IU165" s="96"/>
      <c r="IV165" s="96"/>
      <c r="IW165" s="96"/>
      <c r="IX165" s="96"/>
      <c r="IY165" s="13"/>
    </row>
    <row r="166" spans="1:259" outlineLevel="1">
      <c r="A166" s="11">
        <f>'VAC &amp; MED'!C159</f>
        <v>46155</v>
      </c>
      <c r="B166" s="261"/>
      <c r="C166" s="261"/>
      <c r="D166" s="261"/>
      <c r="E166" s="261"/>
      <c r="F166" s="261"/>
      <c r="G166" s="261"/>
      <c r="H166" s="261"/>
      <c r="I166" s="261"/>
      <c r="J166" s="261"/>
      <c r="K166" s="261"/>
      <c r="L166" s="261"/>
      <c r="M166" s="261"/>
      <c r="N166" s="261"/>
      <c r="O166" s="261"/>
      <c r="P166" s="261"/>
      <c r="Q166" s="261"/>
      <c r="R166" s="262">
        <v>46</v>
      </c>
      <c r="S166" s="262"/>
      <c r="T166" s="262"/>
      <c r="U166" s="262"/>
      <c r="V166" s="262"/>
      <c r="W166" s="262"/>
      <c r="X166" s="262"/>
      <c r="Y166" s="262"/>
      <c r="Z166" s="262"/>
      <c r="AA166" s="262"/>
      <c r="AB166" s="262"/>
      <c r="AC166" s="262"/>
      <c r="AD166" s="262"/>
      <c r="AE166" s="262"/>
      <c r="AF166" s="262"/>
      <c r="AG166" s="262"/>
      <c r="AH166" s="263"/>
      <c r="AI166" s="263"/>
      <c r="AJ166" s="263"/>
      <c r="AK166" s="263"/>
      <c r="AL166" s="263"/>
      <c r="AM166" s="263"/>
      <c r="AN166" s="263"/>
      <c r="AO166" s="263"/>
      <c r="AP166" s="263"/>
      <c r="AQ166" s="263"/>
      <c r="AR166" s="263"/>
      <c r="AS166" s="263"/>
      <c r="AT166" s="263"/>
      <c r="AU166" s="263"/>
      <c r="AV166" s="263"/>
      <c r="AW166" s="263"/>
      <c r="AX166" s="264"/>
      <c r="AY166" s="264"/>
      <c r="AZ166" s="264"/>
      <c r="BA166" s="264"/>
      <c r="BB166" s="264"/>
      <c r="BC166" s="264"/>
      <c r="BD166" s="264"/>
      <c r="BE166" s="264"/>
      <c r="BF166" s="264"/>
      <c r="BG166" s="264"/>
      <c r="BH166" s="264"/>
      <c r="BI166" s="264"/>
      <c r="BJ166" s="264"/>
      <c r="BK166" s="264"/>
      <c r="BL166" s="264"/>
      <c r="BM166" s="264"/>
      <c r="BN166" s="265"/>
      <c r="BO166" s="265">
        <v>44</v>
      </c>
      <c r="BP166" s="265"/>
      <c r="BQ166" s="265"/>
      <c r="BR166" s="265"/>
      <c r="BS166" s="265"/>
      <c r="BT166" s="265"/>
      <c r="BU166" s="265"/>
      <c r="BV166" s="265"/>
      <c r="BW166" s="265"/>
      <c r="BX166" s="265"/>
      <c r="BY166" s="265"/>
      <c r="BZ166" s="265"/>
      <c r="CA166" s="265"/>
      <c r="CB166" s="265"/>
      <c r="CC166" s="265"/>
      <c r="CD166" s="266"/>
      <c r="CE166" s="266"/>
      <c r="CF166" s="266"/>
      <c r="CG166" s="266"/>
      <c r="CH166" s="266"/>
      <c r="CI166" s="266"/>
      <c r="CJ166" s="266"/>
      <c r="CK166" s="266"/>
      <c r="CL166" s="266"/>
      <c r="CM166" s="266"/>
      <c r="CN166" s="266"/>
      <c r="CO166" s="266"/>
      <c r="CP166" s="266"/>
      <c r="CQ166" s="266"/>
      <c r="CR166" s="266"/>
      <c r="CS166" s="266"/>
      <c r="CT166" s="267"/>
      <c r="CU166" s="267"/>
      <c r="CV166" s="267"/>
      <c r="CW166" s="267"/>
      <c r="CX166" s="267"/>
      <c r="CY166" s="267"/>
      <c r="CZ166" s="267"/>
      <c r="DA166" s="267"/>
      <c r="DB166" s="267"/>
      <c r="DC166" s="267"/>
      <c r="DD166" s="267"/>
      <c r="DE166" s="267"/>
      <c r="DF166" s="267"/>
      <c r="DG166" s="267"/>
      <c r="DH166" s="267"/>
      <c r="DI166" s="267"/>
      <c r="DJ166" s="268"/>
      <c r="DK166" s="268"/>
      <c r="DL166" s="268"/>
      <c r="DM166" s="268"/>
      <c r="DN166" s="268"/>
      <c r="DO166" s="268"/>
      <c r="DP166" s="268"/>
      <c r="DQ166" s="268"/>
      <c r="DR166" s="268"/>
      <c r="DS166" s="268"/>
      <c r="DT166" s="268"/>
      <c r="DU166" s="268"/>
      <c r="DV166" s="268"/>
      <c r="DW166" s="268"/>
      <c r="DX166" s="268"/>
      <c r="DY166" s="268"/>
      <c r="EA166" s="13"/>
      <c r="EB166" s="96"/>
      <c r="EC166" s="96"/>
      <c r="ED166" s="96"/>
      <c r="EE166" s="96"/>
      <c r="EF166" s="96"/>
      <c r="EG166" s="96"/>
      <c r="EH166" s="96"/>
      <c r="EI166" s="96"/>
      <c r="EJ166" s="96"/>
      <c r="EK166" s="96"/>
      <c r="EL166" s="96"/>
      <c r="EM166" s="96"/>
      <c r="EN166" s="96"/>
      <c r="EO166" s="96"/>
      <c r="EP166" s="96"/>
      <c r="EQ166" s="96"/>
      <c r="ER166" s="96"/>
      <c r="ES166" s="96"/>
      <c r="ET166" s="96"/>
      <c r="EU166" s="96"/>
      <c r="EV166" s="96"/>
      <c r="EW166" s="96"/>
      <c r="EX166" s="96"/>
      <c r="EY166" s="96"/>
      <c r="EZ166" s="96"/>
      <c r="FA166" s="96"/>
      <c r="FB166" s="96"/>
      <c r="FC166" s="96"/>
      <c r="FD166" s="96"/>
      <c r="FE166" s="96"/>
      <c r="FF166" s="96"/>
      <c r="FG166" s="96"/>
      <c r="FH166" s="96"/>
      <c r="FI166" s="96"/>
      <c r="FJ166" s="96"/>
      <c r="FK166" s="96"/>
      <c r="FL166" s="96"/>
      <c r="FM166" s="96"/>
      <c r="FN166" s="96"/>
      <c r="FO166" s="96"/>
      <c r="FP166" s="96"/>
      <c r="FQ166" s="96"/>
      <c r="FR166" s="96"/>
      <c r="FS166" s="96"/>
      <c r="FT166" s="96"/>
      <c r="FU166" s="96"/>
      <c r="FV166" s="96"/>
      <c r="FW166" s="96"/>
      <c r="FX166" s="96"/>
      <c r="FY166" s="96"/>
      <c r="FZ166" s="96"/>
      <c r="GA166" s="96"/>
      <c r="GB166" s="96"/>
      <c r="GC166" s="96"/>
      <c r="GD166" s="96"/>
      <c r="GE166" s="96"/>
      <c r="GF166" s="96"/>
      <c r="GG166" s="96"/>
      <c r="GH166" s="96"/>
      <c r="GI166" s="96"/>
      <c r="GJ166" s="96"/>
      <c r="GK166" s="96"/>
      <c r="GL166" s="96"/>
      <c r="GM166" s="13"/>
      <c r="GN166" s="96"/>
      <c r="GO166" s="96"/>
      <c r="GP166" s="96"/>
      <c r="GQ166" s="96"/>
      <c r="GR166" s="96"/>
      <c r="GS166" s="96"/>
      <c r="GT166" s="96"/>
      <c r="GU166" s="96"/>
      <c r="GV166" s="96"/>
      <c r="GW166" s="96"/>
      <c r="GX166" s="96"/>
      <c r="GY166" s="96"/>
      <c r="GZ166" s="96"/>
      <c r="HA166" s="96"/>
      <c r="HB166" s="96"/>
      <c r="HC166" s="13"/>
      <c r="HD166" s="96"/>
      <c r="HE166" s="96"/>
      <c r="HF166" s="96"/>
      <c r="HG166" s="96"/>
      <c r="HH166" s="96"/>
      <c r="HI166" s="96"/>
      <c r="HJ166" s="96"/>
      <c r="HK166" s="96"/>
      <c r="HL166" s="96"/>
      <c r="HM166" s="96"/>
      <c r="HN166" s="96"/>
      <c r="HO166" s="96"/>
      <c r="HP166" s="96"/>
      <c r="HQ166" s="96"/>
      <c r="HR166" s="96"/>
      <c r="HS166" s="13"/>
      <c r="HT166" s="96"/>
      <c r="HU166" s="96"/>
      <c r="HV166" s="96"/>
      <c r="HW166" s="96"/>
      <c r="HX166" s="96"/>
      <c r="HY166" s="96"/>
      <c r="HZ166" s="96"/>
      <c r="IA166" s="96"/>
      <c r="IB166" s="96"/>
      <c r="IC166" s="96"/>
      <c r="ID166" s="96"/>
      <c r="IE166" s="96"/>
      <c r="IF166" s="96"/>
      <c r="IG166" s="96"/>
      <c r="IH166" s="96"/>
      <c r="II166" s="13"/>
      <c r="IJ166" s="96"/>
      <c r="IK166" s="96"/>
      <c r="IL166" s="96"/>
      <c r="IM166" s="96"/>
      <c r="IN166" s="96"/>
      <c r="IO166" s="96"/>
      <c r="IP166" s="96"/>
      <c r="IQ166" s="96"/>
      <c r="IR166" s="96"/>
      <c r="IS166" s="96"/>
      <c r="IT166" s="96"/>
      <c r="IU166" s="96"/>
      <c r="IV166" s="96"/>
      <c r="IW166" s="96"/>
      <c r="IX166" s="96"/>
      <c r="IY166" s="13"/>
    </row>
    <row r="167" spans="1:259" outlineLevel="1">
      <c r="A167" s="11">
        <f>'VAC &amp; MED'!C160</f>
        <v>46156</v>
      </c>
      <c r="B167" s="261"/>
      <c r="C167" s="261"/>
      <c r="D167" s="261"/>
      <c r="E167" s="261"/>
      <c r="F167" s="261"/>
      <c r="G167" s="261"/>
      <c r="H167" s="261"/>
      <c r="I167" s="261"/>
      <c r="J167" s="261"/>
      <c r="K167" s="261"/>
      <c r="L167" s="261"/>
      <c r="M167" s="261"/>
      <c r="N167" s="261"/>
      <c r="O167" s="261"/>
      <c r="P167" s="261"/>
      <c r="Q167" s="261"/>
      <c r="R167" s="262"/>
      <c r="S167" s="262"/>
      <c r="T167" s="262"/>
      <c r="U167" s="262"/>
      <c r="V167" s="262"/>
      <c r="W167" s="262"/>
      <c r="X167" s="262"/>
      <c r="Y167" s="262"/>
      <c r="Z167" s="262"/>
      <c r="AA167" s="262"/>
      <c r="AB167" s="262"/>
      <c r="AC167" s="262"/>
      <c r="AD167" s="262"/>
      <c r="AE167" s="262"/>
      <c r="AF167" s="262"/>
      <c r="AG167" s="262"/>
      <c r="AH167" s="263"/>
      <c r="AI167" s="263"/>
      <c r="AJ167" s="263"/>
      <c r="AK167" s="263"/>
      <c r="AL167" s="263"/>
      <c r="AM167" s="263"/>
      <c r="AN167" s="263"/>
      <c r="AO167" s="263"/>
      <c r="AP167" s="263"/>
      <c r="AQ167" s="263"/>
      <c r="AR167" s="263"/>
      <c r="AS167" s="263"/>
      <c r="AT167" s="263"/>
      <c r="AU167" s="263"/>
      <c r="AV167" s="263"/>
      <c r="AW167" s="263"/>
      <c r="AX167" s="264"/>
      <c r="AY167" s="264"/>
      <c r="AZ167" s="264"/>
      <c r="BA167" s="264"/>
      <c r="BB167" s="264"/>
      <c r="BC167" s="264"/>
      <c r="BD167" s="264"/>
      <c r="BE167" s="264"/>
      <c r="BF167" s="264"/>
      <c r="BG167" s="264"/>
      <c r="BH167" s="264"/>
      <c r="BI167" s="264"/>
      <c r="BJ167" s="264"/>
      <c r="BK167" s="264"/>
      <c r="BL167" s="264"/>
      <c r="BM167" s="264"/>
      <c r="BN167" s="265"/>
      <c r="BO167" s="265"/>
      <c r="BP167" s="265"/>
      <c r="BQ167" s="265"/>
      <c r="BR167" s="265"/>
      <c r="BS167" s="265"/>
      <c r="BT167" s="265"/>
      <c r="BU167" s="265"/>
      <c r="BV167" s="265"/>
      <c r="BW167" s="265"/>
      <c r="BX167" s="265"/>
      <c r="BY167" s="265"/>
      <c r="BZ167" s="265"/>
      <c r="CA167" s="265"/>
      <c r="CB167" s="265"/>
      <c r="CC167" s="265"/>
      <c r="CD167" s="266"/>
      <c r="CE167" s="266"/>
      <c r="CF167" s="266"/>
      <c r="CG167" s="266"/>
      <c r="CH167" s="266"/>
      <c r="CI167" s="266"/>
      <c r="CJ167" s="266"/>
      <c r="CK167" s="266"/>
      <c r="CL167" s="266"/>
      <c r="CM167" s="266">
        <v>14</v>
      </c>
      <c r="CN167" s="266"/>
      <c r="CO167" s="266"/>
      <c r="CP167" s="266"/>
      <c r="CQ167" s="266"/>
      <c r="CR167" s="266"/>
      <c r="CS167" s="266"/>
      <c r="CT167" s="267"/>
      <c r="CU167" s="267"/>
      <c r="CV167" s="267"/>
      <c r="CW167" s="267"/>
      <c r="CX167" s="267"/>
      <c r="CY167" s="267"/>
      <c r="CZ167" s="267"/>
      <c r="DA167" s="267"/>
      <c r="DB167" s="267"/>
      <c r="DC167" s="267"/>
      <c r="DD167" s="267"/>
      <c r="DE167" s="267"/>
      <c r="DF167" s="267"/>
      <c r="DG167" s="267"/>
      <c r="DH167" s="267"/>
      <c r="DI167" s="267"/>
      <c r="DJ167" s="268"/>
      <c r="DK167" s="268"/>
      <c r="DL167" s="268"/>
      <c r="DM167" s="268"/>
      <c r="DN167" s="268"/>
      <c r="DO167" s="268"/>
      <c r="DP167" s="268"/>
      <c r="DQ167" s="268"/>
      <c r="DR167" s="268"/>
      <c r="DS167" s="268"/>
      <c r="DT167" s="268"/>
      <c r="DU167" s="268"/>
      <c r="DV167" s="268"/>
      <c r="DW167" s="268"/>
      <c r="DX167" s="268"/>
      <c r="DY167" s="268"/>
      <c r="EA167" s="13"/>
      <c r="EB167" s="96"/>
      <c r="EC167" s="96"/>
      <c r="ED167" s="96"/>
      <c r="EE167" s="96"/>
      <c r="EF167" s="96"/>
      <c r="EG167" s="96"/>
      <c r="EH167" s="96"/>
      <c r="EI167" s="96"/>
      <c r="EJ167" s="96"/>
      <c r="EK167" s="96"/>
      <c r="EL167" s="96"/>
      <c r="EM167" s="96"/>
      <c r="EN167" s="96"/>
      <c r="EO167" s="96"/>
      <c r="EP167" s="96"/>
      <c r="EQ167" s="96"/>
      <c r="ER167" s="96"/>
      <c r="ES167" s="96"/>
      <c r="ET167" s="96"/>
      <c r="EU167" s="96"/>
      <c r="EV167" s="96"/>
      <c r="EW167" s="96"/>
      <c r="EX167" s="96"/>
      <c r="EY167" s="96"/>
      <c r="EZ167" s="96"/>
      <c r="FA167" s="96"/>
      <c r="FB167" s="96"/>
      <c r="FC167" s="96"/>
      <c r="FD167" s="96"/>
      <c r="FE167" s="96"/>
      <c r="FF167" s="96"/>
      <c r="FG167" s="96"/>
      <c r="FH167" s="96"/>
      <c r="FI167" s="96"/>
      <c r="FJ167" s="96"/>
      <c r="FK167" s="96"/>
      <c r="FL167" s="96"/>
      <c r="FM167" s="96"/>
      <c r="FN167" s="96"/>
      <c r="FO167" s="96"/>
      <c r="FP167" s="96"/>
      <c r="FQ167" s="96"/>
      <c r="FR167" s="96"/>
      <c r="FS167" s="96"/>
      <c r="FT167" s="96"/>
      <c r="FU167" s="96"/>
      <c r="FV167" s="96"/>
      <c r="FW167" s="96"/>
      <c r="FX167" s="96"/>
      <c r="FY167" s="96"/>
      <c r="FZ167" s="96"/>
      <c r="GA167" s="96"/>
      <c r="GB167" s="96"/>
      <c r="GC167" s="96"/>
      <c r="GD167" s="96"/>
      <c r="GE167" s="96"/>
      <c r="GF167" s="96"/>
      <c r="GG167" s="96"/>
      <c r="GH167" s="96"/>
      <c r="GI167" s="96"/>
      <c r="GJ167" s="96"/>
      <c r="GK167" s="96"/>
      <c r="GL167" s="96"/>
      <c r="GM167" s="13"/>
      <c r="GN167" s="96"/>
      <c r="GO167" s="96"/>
      <c r="GP167" s="96"/>
      <c r="GQ167" s="96"/>
      <c r="GR167" s="96"/>
      <c r="GS167" s="96"/>
      <c r="GT167" s="96"/>
      <c r="GU167" s="96"/>
      <c r="GV167" s="96"/>
      <c r="GW167" s="96"/>
      <c r="GX167" s="96"/>
      <c r="GY167" s="96"/>
      <c r="GZ167" s="96"/>
      <c r="HA167" s="96"/>
      <c r="HB167" s="96"/>
      <c r="HC167" s="13"/>
      <c r="HD167" s="96"/>
      <c r="HE167" s="96"/>
      <c r="HF167" s="96"/>
      <c r="HG167" s="96"/>
      <c r="HH167" s="96"/>
      <c r="HI167" s="96"/>
      <c r="HJ167" s="96"/>
      <c r="HK167" s="96"/>
      <c r="HL167" s="96"/>
      <c r="HM167" s="96"/>
      <c r="HN167" s="96"/>
      <c r="HO167" s="96"/>
      <c r="HP167" s="96"/>
      <c r="HQ167" s="96"/>
      <c r="HR167" s="96"/>
      <c r="HS167" s="13"/>
      <c r="HT167" s="96"/>
      <c r="HU167" s="96"/>
      <c r="HV167" s="96"/>
      <c r="HW167" s="96"/>
      <c r="HX167" s="96"/>
      <c r="HY167" s="96"/>
      <c r="HZ167" s="96"/>
      <c r="IA167" s="96"/>
      <c r="IB167" s="96"/>
      <c r="IC167" s="96"/>
      <c r="ID167" s="96"/>
      <c r="IE167" s="96"/>
      <c r="IF167" s="96"/>
      <c r="IG167" s="96"/>
      <c r="IH167" s="96"/>
      <c r="II167" s="13"/>
      <c r="IJ167" s="96"/>
      <c r="IK167" s="96"/>
      <c r="IL167" s="96"/>
      <c r="IM167" s="96"/>
      <c r="IN167" s="96"/>
      <c r="IO167" s="96"/>
      <c r="IP167" s="96"/>
      <c r="IQ167" s="96"/>
      <c r="IR167" s="96"/>
      <c r="IS167" s="96"/>
      <c r="IT167" s="96"/>
      <c r="IU167" s="96"/>
      <c r="IV167" s="96"/>
      <c r="IW167" s="96"/>
      <c r="IX167" s="96"/>
      <c r="IY167" s="13"/>
    </row>
    <row r="168" spans="1:259" outlineLevel="1">
      <c r="A168" s="11">
        <f>'VAC &amp; MED'!C161</f>
        <v>46157</v>
      </c>
      <c r="B168" s="261"/>
      <c r="C168" s="261"/>
      <c r="D168" s="261"/>
      <c r="E168" s="261"/>
      <c r="F168" s="261"/>
      <c r="G168" s="261"/>
      <c r="H168" s="261"/>
      <c r="I168" s="261"/>
      <c r="J168" s="261"/>
      <c r="K168" s="261"/>
      <c r="L168" s="261"/>
      <c r="M168" s="261"/>
      <c r="N168" s="261"/>
      <c r="O168" s="261"/>
      <c r="P168" s="261"/>
      <c r="Q168" s="261"/>
      <c r="R168" s="262"/>
      <c r="S168" s="262"/>
      <c r="T168" s="262"/>
      <c r="U168" s="262"/>
      <c r="V168" s="262"/>
      <c r="W168" s="262"/>
      <c r="X168" s="262"/>
      <c r="Y168" s="262"/>
      <c r="Z168" s="262"/>
      <c r="AA168" s="262"/>
      <c r="AB168" s="262"/>
      <c r="AC168" s="262"/>
      <c r="AD168" s="262"/>
      <c r="AE168" s="262"/>
      <c r="AF168" s="262"/>
      <c r="AG168" s="262"/>
      <c r="AH168" s="263">
        <v>40</v>
      </c>
      <c r="AI168" s="263"/>
      <c r="AJ168" s="263"/>
      <c r="AK168" s="263"/>
      <c r="AL168" s="263"/>
      <c r="AM168" s="263"/>
      <c r="AN168" s="263"/>
      <c r="AO168" s="263"/>
      <c r="AP168" s="263"/>
      <c r="AQ168" s="263"/>
      <c r="AR168" s="263"/>
      <c r="AS168" s="263"/>
      <c r="AT168" s="263"/>
      <c r="AU168" s="263"/>
      <c r="AV168" s="263"/>
      <c r="AW168" s="263"/>
      <c r="AX168" s="264"/>
      <c r="AY168" s="264"/>
      <c r="AZ168" s="264"/>
      <c r="BA168" s="264"/>
      <c r="BB168" s="264"/>
      <c r="BC168" s="264"/>
      <c r="BD168" s="264"/>
      <c r="BE168" s="264"/>
      <c r="BF168" s="264"/>
      <c r="BG168" s="264"/>
      <c r="BH168" s="264"/>
      <c r="BI168" s="264"/>
      <c r="BJ168" s="264"/>
      <c r="BK168" s="264"/>
      <c r="BL168" s="264"/>
      <c r="BM168" s="264"/>
      <c r="BN168" s="265"/>
      <c r="BO168" s="265"/>
      <c r="BP168" s="265"/>
      <c r="BQ168" s="265"/>
      <c r="BR168" s="265"/>
      <c r="BS168" s="265"/>
      <c r="BT168" s="265"/>
      <c r="BU168" s="265"/>
      <c r="BV168" s="265"/>
      <c r="BW168" s="265"/>
      <c r="BX168" s="265"/>
      <c r="BY168" s="265"/>
      <c r="BZ168" s="265"/>
      <c r="CA168" s="265"/>
      <c r="CB168" s="265"/>
      <c r="CC168" s="265"/>
      <c r="CD168" s="266"/>
      <c r="CE168" s="266"/>
      <c r="CF168" s="266"/>
      <c r="CG168" s="266"/>
      <c r="CH168" s="266"/>
      <c r="CI168" s="266"/>
      <c r="CJ168" s="266"/>
      <c r="CK168" s="266"/>
      <c r="CL168" s="266"/>
      <c r="CM168" s="266"/>
      <c r="CN168" s="266"/>
      <c r="CO168" s="266"/>
      <c r="CP168" s="266"/>
      <c r="CQ168" s="266"/>
      <c r="CR168" s="266"/>
      <c r="CS168" s="266"/>
      <c r="CT168" s="267"/>
      <c r="CU168" s="267"/>
      <c r="CV168" s="267"/>
      <c r="CW168" s="267"/>
      <c r="CX168" s="267"/>
      <c r="CY168" s="267"/>
      <c r="CZ168" s="267"/>
      <c r="DA168" s="267"/>
      <c r="DB168" s="267"/>
      <c r="DC168" s="267"/>
      <c r="DD168" s="267"/>
      <c r="DE168" s="267"/>
      <c r="DF168" s="267"/>
      <c r="DG168" s="267"/>
      <c r="DH168" s="267"/>
      <c r="DI168" s="267"/>
      <c r="DJ168" s="268"/>
      <c r="DK168" s="268"/>
      <c r="DL168" s="268"/>
      <c r="DM168" s="268"/>
      <c r="DN168" s="268"/>
      <c r="DO168" s="268"/>
      <c r="DP168" s="268"/>
      <c r="DQ168" s="268"/>
      <c r="DR168" s="268"/>
      <c r="DS168" s="268"/>
      <c r="DT168" s="268"/>
      <c r="DU168" s="268"/>
      <c r="DV168" s="268"/>
      <c r="DW168" s="268"/>
      <c r="DX168" s="268"/>
      <c r="DY168" s="268"/>
      <c r="EA168" s="13"/>
      <c r="EB168" s="96"/>
      <c r="EC168" s="96"/>
      <c r="ED168" s="96"/>
      <c r="EE168" s="96"/>
      <c r="EF168" s="96"/>
      <c r="EG168" s="96"/>
      <c r="EH168" s="96"/>
      <c r="EI168" s="96"/>
      <c r="EJ168" s="96"/>
      <c r="EK168" s="96"/>
      <c r="EL168" s="96"/>
      <c r="EM168" s="96"/>
      <c r="EN168" s="96"/>
      <c r="EO168" s="96"/>
      <c r="EP168" s="96"/>
      <c r="EQ168" s="96"/>
      <c r="ER168" s="96"/>
      <c r="ES168" s="96"/>
      <c r="ET168" s="96"/>
      <c r="EU168" s="96"/>
      <c r="EV168" s="96"/>
      <c r="EW168" s="96"/>
      <c r="EX168" s="96"/>
      <c r="EY168" s="96"/>
      <c r="EZ168" s="96"/>
      <c r="FA168" s="96"/>
      <c r="FB168" s="96"/>
      <c r="FC168" s="96"/>
      <c r="FD168" s="96"/>
      <c r="FE168" s="96"/>
      <c r="FF168" s="96"/>
      <c r="FG168" s="96"/>
      <c r="FH168" s="96"/>
      <c r="FI168" s="96"/>
      <c r="FJ168" s="96"/>
      <c r="FK168" s="96"/>
      <c r="FL168" s="96"/>
      <c r="FM168" s="96"/>
      <c r="FN168" s="96"/>
      <c r="FO168" s="96"/>
      <c r="FP168" s="96"/>
      <c r="FQ168" s="96"/>
      <c r="FR168" s="96"/>
      <c r="FS168" s="96"/>
      <c r="FT168" s="96"/>
      <c r="FU168" s="96"/>
      <c r="FV168" s="96"/>
      <c r="FW168" s="96"/>
      <c r="FX168" s="96"/>
      <c r="FY168" s="96"/>
      <c r="FZ168" s="96"/>
      <c r="GA168" s="96"/>
      <c r="GB168" s="96"/>
      <c r="GC168" s="96"/>
      <c r="GD168" s="96"/>
      <c r="GE168" s="96"/>
      <c r="GF168" s="96"/>
      <c r="GG168" s="96"/>
      <c r="GH168" s="96"/>
      <c r="GI168" s="96"/>
      <c r="GJ168" s="96"/>
      <c r="GK168" s="96"/>
      <c r="GL168" s="96"/>
      <c r="GM168" s="13"/>
      <c r="GN168" s="96"/>
      <c r="GO168" s="96"/>
      <c r="GP168" s="96"/>
      <c r="GQ168" s="96"/>
      <c r="GR168" s="96"/>
      <c r="GS168" s="96"/>
      <c r="GT168" s="96"/>
      <c r="GU168" s="96"/>
      <c r="GV168" s="96"/>
      <c r="GW168" s="96"/>
      <c r="GX168" s="96"/>
      <c r="GY168" s="96"/>
      <c r="GZ168" s="96"/>
      <c r="HA168" s="96"/>
      <c r="HB168" s="96"/>
      <c r="HC168" s="13"/>
      <c r="HD168" s="96"/>
      <c r="HE168" s="96"/>
      <c r="HF168" s="96"/>
      <c r="HG168" s="96"/>
      <c r="HH168" s="96"/>
      <c r="HI168" s="96"/>
      <c r="HJ168" s="96"/>
      <c r="HK168" s="96"/>
      <c r="HL168" s="96"/>
      <c r="HM168" s="96"/>
      <c r="HN168" s="96"/>
      <c r="HO168" s="96"/>
      <c r="HP168" s="96"/>
      <c r="HQ168" s="96"/>
      <c r="HR168" s="96"/>
      <c r="HS168" s="13"/>
      <c r="HT168" s="96"/>
      <c r="HU168" s="96"/>
      <c r="HV168" s="96"/>
      <c r="HW168" s="96"/>
      <c r="HX168" s="96"/>
      <c r="HY168" s="96"/>
      <c r="HZ168" s="96"/>
      <c r="IA168" s="96"/>
      <c r="IB168" s="96"/>
      <c r="IC168" s="96"/>
      <c r="ID168" s="96"/>
      <c r="IE168" s="96"/>
      <c r="IF168" s="96"/>
      <c r="IG168" s="96"/>
      <c r="IH168" s="96"/>
      <c r="II168" s="13"/>
      <c r="IJ168" s="96"/>
      <c r="IK168" s="96"/>
      <c r="IL168" s="96"/>
      <c r="IM168" s="96"/>
      <c r="IN168" s="96"/>
      <c r="IO168" s="96"/>
      <c r="IP168" s="96"/>
      <c r="IQ168" s="96"/>
      <c r="IR168" s="96"/>
      <c r="IS168" s="96"/>
      <c r="IT168" s="96"/>
      <c r="IU168" s="96"/>
      <c r="IV168" s="96"/>
      <c r="IW168" s="96"/>
      <c r="IX168" s="96"/>
      <c r="IY168" s="13"/>
    </row>
    <row r="169" spans="1:259" outlineLevel="1">
      <c r="A169" s="11">
        <f>'VAC &amp; MED'!C162</f>
        <v>46158</v>
      </c>
      <c r="B169" s="261"/>
      <c r="C169" s="261"/>
      <c r="D169" s="261"/>
      <c r="E169" s="261"/>
      <c r="F169" s="261"/>
      <c r="G169" s="261"/>
      <c r="H169" s="261"/>
      <c r="I169" s="261"/>
      <c r="J169" s="261"/>
      <c r="K169" s="261"/>
      <c r="L169" s="261"/>
      <c r="M169" s="261"/>
      <c r="N169" s="261"/>
      <c r="O169" s="261"/>
      <c r="P169" s="261"/>
      <c r="Q169" s="261"/>
      <c r="R169" s="262"/>
      <c r="S169" s="262"/>
      <c r="T169" s="262"/>
      <c r="U169" s="262"/>
      <c r="V169" s="262"/>
      <c r="W169" s="262"/>
      <c r="X169" s="262"/>
      <c r="Y169" s="262"/>
      <c r="Z169" s="262"/>
      <c r="AA169" s="262"/>
      <c r="AB169" s="262"/>
      <c r="AC169" s="262"/>
      <c r="AD169" s="262"/>
      <c r="AE169" s="262"/>
      <c r="AF169" s="262"/>
      <c r="AG169" s="262"/>
      <c r="AH169" s="263"/>
      <c r="AI169" s="263"/>
      <c r="AJ169" s="263"/>
      <c r="AK169" s="263"/>
      <c r="AL169" s="263"/>
      <c r="AM169" s="263"/>
      <c r="AN169" s="263"/>
      <c r="AO169" s="263"/>
      <c r="AP169" s="263"/>
      <c r="AQ169" s="263"/>
      <c r="AR169" s="263"/>
      <c r="AS169" s="263"/>
      <c r="AT169" s="263"/>
      <c r="AU169" s="263"/>
      <c r="AV169" s="263"/>
      <c r="AW169" s="263"/>
      <c r="AX169" s="264"/>
      <c r="AY169" s="264"/>
      <c r="AZ169" s="264"/>
      <c r="BA169" s="264"/>
      <c r="BB169" s="264"/>
      <c r="BC169" s="264"/>
      <c r="BD169" s="264"/>
      <c r="BE169" s="264"/>
      <c r="BF169" s="264"/>
      <c r="BG169" s="264"/>
      <c r="BH169" s="264"/>
      <c r="BI169" s="264"/>
      <c r="BJ169" s="264"/>
      <c r="BK169" s="264"/>
      <c r="BL169" s="264"/>
      <c r="BM169" s="264"/>
      <c r="BN169" s="265"/>
      <c r="BO169" s="265"/>
      <c r="BP169" s="265"/>
      <c r="BQ169" s="265"/>
      <c r="BR169" s="265"/>
      <c r="BS169" s="265"/>
      <c r="BT169" s="265"/>
      <c r="BU169" s="265"/>
      <c r="BV169" s="265"/>
      <c r="BW169" s="265"/>
      <c r="BX169" s="265">
        <v>60</v>
      </c>
      <c r="BY169" s="265"/>
      <c r="BZ169" s="265"/>
      <c r="CA169" s="265"/>
      <c r="CB169" s="265"/>
      <c r="CC169" s="265"/>
      <c r="CD169" s="266"/>
      <c r="CE169" s="266"/>
      <c r="CF169" s="266"/>
      <c r="CG169" s="266"/>
      <c r="CH169" s="266"/>
      <c r="CI169" s="266"/>
      <c r="CJ169" s="266"/>
      <c r="CK169" s="266"/>
      <c r="CL169" s="266"/>
      <c r="CM169" s="266"/>
      <c r="CN169" s="266"/>
      <c r="CO169" s="266"/>
      <c r="CP169" s="266"/>
      <c r="CQ169" s="266"/>
      <c r="CR169" s="266"/>
      <c r="CS169" s="266"/>
      <c r="CT169" s="267"/>
      <c r="CU169" s="267"/>
      <c r="CV169" s="267"/>
      <c r="CW169" s="267"/>
      <c r="CX169" s="267"/>
      <c r="CY169" s="267"/>
      <c r="CZ169" s="267"/>
      <c r="DA169" s="267"/>
      <c r="DB169" s="267"/>
      <c r="DC169" s="267"/>
      <c r="DD169" s="267"/>
      <c r="DE169" s="267"/>
      <c r="DF169" s="267"/>
      <c r="DG169" s="267"/>
      <c r="DH169" s="267"/>
      <c r="DI169" s="267"/>
      <c r="DJ169" s="268"/>
      <c r="DK169" s="268"/>
      <c r="DL169" s="268"/>
      <c r="DM169" s="268"/>
      <c r="DN169" s="268"/>
      <c r="DO169" s="268"/>
      <c r="DP169" s="268"/>
      <c r="DQ169" s="268"/>
      <c r="DR169" s="268"/>
      <c r="DS169" s="268"/>
      <c r="DT169" s="268"/>
      <c r="DU169" s="268"/>
      <c r="DV169" s="268"/>
      <c r="DW169" s="268"/>
      <c r="DX169" s="268"/>
      <c r="DY169" s="268"/>
      <c r="EA169" s="13"/>
      <c r="EB169" s="96"/>
      <c r="EC169" s="96"/>
      <c r="ED169" s="96"/>
      <c r="EE169" s="96"/>
      <c r="EF169" s="96"/>
      <c r="EG169" s="96"/>
      <c r="EH169" s="96"/>
      <c r="EI169" s="96"/>
      <c r="EJ169" s="96"/>
      <c r="EK169" s="96"/>
      <c r="EL169" s="96"/>
      <c r="EM169" s="96"/>
      <c r="EN169" s="96"/>
      <c r="EO169" s="96"/>
      <c r="EP169" s="96"/>
      <c r="EQ169" s="96"/>
      <c r="ER169" s="96"/>
      <c r="ES169" s="96"/>
      <c r="ET169" s="96"/>
      <c r="EU169" s="96"/>
      <c r="EV169" s="96"/>
      <c r="EW169" s="96"/>
      <c r="EX169" s="96"/>
      <c r="EY169" s="96"/>
      <c r="EZ169" s="96"/>
      <c r="FA169" s="96"/>
      <c r="FB169" s="96"/>
      <c r="FC169" s="96"/>
      <c r="FD169" s="96"/>
      <c r="FE169" s="96"/>
      <c r="FF169" s="96"/>
      <c r="FG169" s="96"/>
      <c r="FH169" s="96"/>
      <c r="FI169" s="96"/>
      <c r="FJ169" s="96"/>
      <c r="FK169" s="96"/>
      <c r="FL169" s="96"/>
      <c r="FM169" s="96"/>
      <c r="FN169" s="96"/>
      <c r="FO169" s="96"/>
      <c r="FP169" s="96"/>
      <c r="FQ169" s="96"/>
      <c r="FR169" s="96"/>
      <c r="FS169" s="96"/>
      <c r="FT169" s="96"/>
      <c r="FU169" s="96"/>
      <c r="FV169" s="96"/>
      <c r="FW169" s="96"/>
      <c r="FX169" s="96"/>
      <c r="FY169" s="96"/>
      <c r="FZ169" s="96"/>
      <c r="GA169" s="96"/>
      <c r="GB169" s="96"/>
      <c r="GC169" s="96"/>
      <c r="GD169" s="96"/>
      <c r="GE169" s="96"/>
      <c r="GF169" s="96"/>
      <c r="GG169" s="96"/>
      <c r="GH169" s="96"/>
      <c r="GI169" s="96"/>
      <c r="GJ169" s="96"/>
      <c r="GK169" s="96"/>
      <c r="GL169" s="96"/>
      <c r="GM169" s="13"/>
      <c r="GN169" s="96"/>
      <c r="GO169" s="96"/>
      <c r="GP169" s="96"/>
      <c r="GQ169" s="96"/>
      <c r="GR169" s="96"/>
      <c r="GS169" s="96"/>
      <c r="GT169" s="96"/>
      <c r="GU169" s="96"/>
      <c r="GV169" s="96"/>
      <c r="GW169" s="96"/>
      <c r="GX169" s="96"/>
      <c r="GY169" s="96"/>
      <c r="GZ169" s="96"/>
      <c r="HA169" s="96"/>
      <c r="HB169" s="96"/>
      <c r="HC169" s="13"/>
      <c r="HD169" s="96"/>
      <c r="HE169" s="96"/>
      <c r="HF169" s="96"/>
      <c r="HG169" s="96"/>
      <c r="HH169" s="96"/>
      <c r="HI169" s="96"/>
      <c r="HJ169" s="96"/>
      <c r="HK169" s="96"/>
      <c r="HL169" s="96"/>
      <c r="HM169" s="96"/>
      <c r="HN169" s="96"/>
      <c r="HO169" s="96"/>
      <c r="HP169" s="96"/>
      <c r="HQ169" s="96"/>
      <c r="HR169" s="96"/>
      <c r="HS169" s="13"/>
      <c r="HT169" s="96"/>
      <c r="HU169" s="96"/>
      <c r="HV169" s="96"/>
      <c r="HW169" s="96"/>
      <c r="HX169" s="96"/>
      <c r="HY169" s="96"/>
      <c r="HZ169" s="96"/>
      <c r="IA169" s="96"/>
      <c r="IB169" s="96"/>
      <c r="IC169" s="96"/>
      <c r="ID169" s="96"/>
      <c r="IE169" s="96"/>
      <c r="IF169" s="96"/>
      <c r="IG169" s="96"/>
      <c r="IH169" s="96"/>
      <c r="II169" s="13"/>
      <c r="IJ169" s="96"/>
      <c r="IK169" s="96"/>
      <c r="IL169" s="96"/>
      <c r="IM169" s="96"/>
      <c r="IN169" s="96"/>
      <c r="IO169" s="96"/>
      <c r="IP169" s="96"/>
      <c r="IQ169" s="96"/>
      <c r="IR169" s="96"/>
      <c r="IS169" s="96"/>
      <c r="IT169" s="96"/>
      <c r="IU169" s="96"/>
      <c r="IV169" s="96"/>
      <c r="IW169" s="96"/>
      <c r="IX169" s="96"/>
      <c r="IY169" s="13"/>
    </row>
    <row r="170" spans="1:259" outlineLevel="1">
      <c r="A170" s="11">
        <f>'VAC &amp; MED'!C163</f>
        <v>46159</v>
      </c>
      <c r="B170" s="261"/>
      <c r="C170" s="261"/>
      <c r="D170" s="261"/>
      <c r="E170" s="261"/>
      <c r="F170" s="261"/>
      <c r="G170" s="261"/>
      <c r="H170" s="261"/>
      <c r="I170" s="261"/>
      <c r="J170" s="261"/>
      <c r="K170" s="261"/>
      <c r="L170" s="261"/>
      <c r="M170" s="261"/>
      <c r="N170" s="261"/>
      <c r="O170" s="261"/>
      <c r="P170" s="261"/>
      <c r="Q170" s="261"/>
      <c r="R170" s="262"/>
      <c r="S170" s="262"/>
      <c r="T170" s="262"/>
      <c r="U170" s="262"/>
      <c r="V170" s="262"/>
      <c r="W170" s="262"/>
      <c r="X170" s="262"/>
      <c r="Y170" s="262"/>
      <c r="Z170" s="262"/>
      <c r="AA170" s="262"/>
      <c r="AB170" s="262"/>
      <c r="AC170" s="262"/>
      <c r="AD170" s="262"/>
      <c r="AE170" s="262"/>
      <c r="AF170" s="262"/>
      <c r="AG170" s="262"/>
      <c r="AH170" s="263"/>
      <c r="AI170" s="263"/>
      <c r="AJ170" s="263"/>
      <c r="AK170" s="263"/>
      <c r="AL170" s="263"/>
      <c r="AM170" s="263"/>
      <c r="AN170" s="263"/>
      <c r="AO170" s="263"/>
      <c r="AP170" s="263"/>
      <c r="AQ170" s="263"/>
      <c r="AR170" s="263"/>
      <c r="AS170" s="263"/>
      <c r="AT170" s="263"/>
      <c r="AU170" s="263"/>
      <c r="AV170" s="263"/>
      <c r="AW170" s="263"/>
      <c r="AX170" s="264"/>
      <c r="AY170" s="264"/>
      <c r="AZ170" s="264"/>
      <c r="BA170" s="264"/>
      <c r="BB170" s="264"/>
      <c r="BC170" s="264"/>
      <c r="BD170" s="264"/>
      <c r="BE170" s="264"/>
      <c r="BF170" s="264"/>
      <c r="BG170" s="264"/>
      <c r="BH170" s="264"/>
      <c r="BI170" s="264"/>
      <c r="BJ170" s="264"/>
      <c r="BK170" s="264"/>
      <c r="BL170" s="264"/>
      <c r="BM170" s="264"/>
      <c r="BN170" s="265"/>
      <c r="BO170" s="265"/>
      <c r="BP170" s="265"/>
      <c r="BQ170" s="265"/>
      <c r="BR170" s="265"/>
      <c r="BS170" s="265"/>
      <c r="BT170" s="265"/>
      <c r="BU170" s="265"/>
      <c r="BV170" s="265"/>
      <c r="BW170" s="265"/>
      <c r="BX170" s="265"/>
      <c r="BY170" s="265"/>
      <c r="BZ170" s="265"/>
      <c r="CA170" s="265"/>
      <c r="CB170" s="265"/>
      <c r="CC170" s="265"/>
      <c r="CD170" s="266"/>
      <c r="CE170" s="266"/>
      <c r="CF170" s="266"/>
      <c r="CG170" s="266"/>
      <c r="CH170" s="266"/>
      <c r="CI170" s="266"/>
      <c r="CJ170" s="266"/>
      <c r="CK170" s="266"/>
      <c r="CL170" s="266"/>
      <c r="CM170" s="266"/>
      <c r="CN170" s="266"/>
      <c r="CO170" s="266"/>
      <c r="CP170" s="266"/>
      <c r="CQ170" s="266"/>
      <c r="CR170" s="266"/>
      <c r="CS170" s="266"/>
      <c r="CT170" s="267"/>
      <c r="CU170" s="267"/>
      <c r="CV170" s="267"/>
      <c r="CW170" s="267"/>
      <c r="CX170" s="267"/>
      <c r="CY170" s="267"/>
      <c r="CZ170" s="267"/>
      <c r="DA170" s="267"/>
      <c r="DB170" s="267"/>
      <c r="DC170" s="267"/>
      <c r="DD170" s="267"/>
      <c r="DE170" s="267"/>
      <c r="DF170" s="267"/>
      <c r="DG170" s="267"/>
      <c r="DH170" s="267"/>
      <c r="DI170" s="267"/>
      <c r="DJ170" s="268"/>
      <c r="DK170" s="268"/>
      <c r="DL170" s="268"/>
      <c r="DM170" s="268"/>
      <c r="DN170" s="268"/>
      <c r="DO170" s="268"/>
      <c r="DP170" s="268"/>
      <c r="DQ170" s="268"/>
      <c r="DR170" s="268"/>
      <c r="DS170" s="268"/>
      <c r="DT170" s="268"/>
      <c r="DU170" s="268"/>
      <c r="DV170" s="268"/>
      <c r="DW170" s="268"/>
      <c r="DX170" s="268"/>
      <c r="DY170" s="268"/>
      <c r="EA170" s="13"/>
      <c r="EB170" s="96"/>
      <c r="EC170" s="96"/>
      <c r="ED170" s="96"/>
      <c r="EE170" s="96"/>
      <c r="EF170" s="96"/>
      <c r="EG170" s="96"/>
      <c r="EH170" s="96"/>
      <c r="EI170" s="96"/>
      <c r="EJ170" s="96"/>
      <c r="EK170" s="96"/>
      <c r="EL170" s="96"/>
      <c r="EM170" s="96"/>
      <c r="EN170" s="96"/>
      <c r="EO170" s="96"/>
      <c r="EP170" s="96"/>
      <c r="EQ170" s="96"/>
      <c r="ER170" s="96"/>
      <c r="ES170" s="96"/>
      <c r="ET170" s="96"/>
      <c r="EU170" s="96"/>
      <c r="EV170" s="96"/>
      <c r="EW170" s="96"/>
      <c r="EX170" s="96"/>
      <c r="EY170" s="96"/>
      <c r="EZ170" s="96"/>
      <c r="FA170" s="96"/>
      <c r="FB170" s="96"/>
      <c r="FC170" s="96"/>
      <c r="FD170" s="96"/>
      <c r="FE170" s="96"/>
      <c r="FF170" s="96"/>
      <c r="FG170" s="96"/>
      <c r="FH170" s="96"/>
      <c r="FI170" s="96"/>
      <c r="FJ170" s="96"/>
      <c r="FK170" s="96"/>
      <c r="FL170" s="96"/>
      <c r="FM170" s="96"/>
      <c r="FN170" s="96"/>
      <c r="FO170" s="96"/>
      <c r="FP170" s="96"/>
      <c r="FQ170" s="96"/>
      <c r="FR170" s="96"/>
      <c r="FS170" s="96"/>
      <c r="FT170" s="96"/>
      <c r="FU170" s="96"/>
      <c r="FV170" s="96"/>
      <c r="FW170" s="96"/>
      <c r="FX170" s="96"/>
      <c r="FY170" s="96"/>
      <c r="FZ170" s="96"/>
      <c r="GA170" s="96"/>
      <c r="GB170" s="96"/>
      <c r="GC170" s="96"/>
      <c r="GD170" s="96"/>
      <c r="GE170" s="96"/>
      <c r="GF170" s="96"/>
      <c r="GG170" s="96"/>
      <c r="GH170" s="96"/>
      <c r="GI170" s="96"/>
      <c r="GJ170" s="96"/>
      <c r="GK170" s="96"/>
      <c r="GL170" s="96"/>
      <c r="GM170" s="13"/>
      <c r="GN170" s="96"/>
      <c r="GO170" s="96"/>
      <c r="GP170" s="96"/>
      <c r="GQ170" s="96"/>
      <c r="GR170" s="96"/>
      <c r="GS170" s="96"/>
      <c r="GT170" s="96"/>
      <c r="GU170" s="96"/>
      <c r="GV170" s="96"/>
      <c r="GW170" s="96"/>
      <c r="GX170" s="96"/>
      <c r="GY170" s="96"/>
      <c r="GZ170" s="96"/>
      <c r="HA170" s="96"/>
      <c r="HB170" s="96"/>
      <c r="HC170" s="13"/>
      <c r="HD170" s="96"/>
      <c r="HE170" s="96"/>
      <c r="HF170" s="96"/>
      <c r="HG170" s="96"/>
      <c r="HH170" s="96"/>
      <c r="HI170" s="96"/>
      <c r="HJ170" s="96"/>
      <c r="HK170" s="96"/>
      <c r="HL170" s="96"/>
      <c r="HM170" s="96"/>
      <c r="HN170" s="96"/>
      <c r="HO170" s="96"/>
      <c r="HP170" s="96"/>
      <c r="HQ170" s="96"/>
      <c r="HR170" s="96"/>
      <c r="HS170" s="13"/>
      <c r="HT170" s="96"/>
      <c r="HU170" s="96"/>
      <c r="HV170" s="96"/>
      <c r="HW170" s="96"/>
      <c r="HX170" s="96"/>
      <c r="HY170" s="96"/>
      <c r="HZ170" s="96"/>
      <c r="IA170" s="96"/>
      <c r="IB170" s="96"/>
      <c r="IC170" s="96"/>
      <c r="ID170" s="96"/>
      <c r="IE170" s="96"/>
      <c r="IF170" s="96"/>
      <c r="IG170" s="96"/>
      <c r="IH170" s="96"/>
      <c r="II170" s="13"/>
      <c r="IJ170" s="96"/>
      <c r="IK170" s="96"/>
      <c r="IL170" s="96"/>
      <c r="IM170" s="96"/>
      <c r="IN170" s="96"/>
      <c r="IO170" s="96"/>
      <c r="IP170" s="96"/>
      <c r="IQ170" s="96"/>
      <c r="IR170" s="96"/>
      <c r="IS170" s="96"/>
      <c r="IT170" s="96"/>
      <c r="IU170" s="96"/>
      <c r="IV170" s="96"/>
      <c r="IW170" s="96"/>
      <c r="IX170" s="96"/>
      <c r="IY170" s="13"/>
    </row>
    <row r="171" spans="1:259" outlineLevel="1">
      <c r="A171" s="11">
        <f>'VAC &amp; MED'!C164</f>
        <v>46160</v>
      </c>
      <c r="B171" s="261"/>
      <c r="C171" s="261"/>
      <c r="D171" s="261"/>
      <c r="E171" s="261"/>
      <c r="F171" s="261"/>
      <c r="G171" s="261"/>
      <c r="H171" s="261"/>
      <c r="I171" s="261"/>
      <c r="J171" s="261"/>
      <c r="K171" s="261"/>
      <c r="L171" s="261"/>
      <c r="M171" s="261"/>
      <c r="N171" s="261"/>
      <c r="O171" s="261"/>
      <c r="P171" s="261"/>
      <c r="Q171" s="261"/>
      <c r="R171" s="262">
        <v>30</v>
      </c>
      <c r="S171" s="262"/>
      <c r="T171" s="262"/>
      <c r="U171" s="262"/>
      <c r="V171" s="262"/>
      <c r="W171" s="262"/>
      <c r="X171" s="262"/>
      <c r="Y171" s="262"/>
      <c r="Z171" s="262"/>
      <c r="AA171" s="262"/>
      <c r="AB171" s="262"/>
      <c r="AC171" s="262"/>
      <c r="AD171" s="262"/>
      <c r="AE171" s="262"/>
      <c r="AF171" s="262"/>
      <c r="AG171" s="262"/>
      <c r="AH171" s="263"/>
      <c r="AI171" s="263"/>
      <c r="AJ171" s="263"/>
      <c r="AK171" s="263"/>
      <c r="AL171" s="263"/>
      <c r="AM171" s="263"/>
      <c r="AN171" s="263"/>
      <c r="AO171" s="263"/>
      <c r="AP171" s="263"/>
      <c r="AQ171" s="263"/>
      <c r="AR171" s="263"/>
      <c r="AS171" s="263"/>
      <c r="AT171" s="263"/>
      <c r="AU171" s="263"/>
      <c r="AV171" s="263"/>
      <c r="AW171" s="263"/>
      <c r="AX171" s="264"/>
      <c r="AY171" s="264"/>
      <c r="AZ171" s="264"/>
      <c r="BA171" s="264"/>
      <c r="BB171" s="264"/>
      <c r="BC171" s="264"/>
      <c r="BD171" s="264"/>
      <c r="BE171" s="264"/>
      <c r="BF171" s="264"/>
      <c r="BG171" s="264"/>
      <c r="BH171" s="264"/>
      <c r="BI171" s="264"/>
      <c r="BJ171" s="264"/>
      <c r="BK171" s="264"/>
      <c r="BL171" s="264"/>
      <c r="BM171" s="264"/>
      <c r="BN171" s="265"/>
      <c r="BO171" s="265"/>
      <c r="BP171" s="265"/>
      <c r="BQ171" s="265"/>
      <c r="BR171" s="265"/>
      <c r="BS171" s="265"/>
      <c r="BT171" s="265"/>
      <c r="BU171" s="265"/>
      <c r="BV171" s="265"/>
      <c r="BW171" s="265"/>
      <c r="BX171" s="265">
        <v>50</v>
      </c>
      <c r="BY171" s="265"/>
      <c r="BZ171" s="265"/>
      <c r="CA171" s="265"/>
      <c r="CB171" s="265"/>
      <c r="CC171" s="265"/>
      <c r="CD171" s="266"/>
      <c r="CE171" s="266"/>
      <c r="CF171" s="266"/>
      <c r="CG171" s="266"/>
      <c r="CH171" s="266"/>
      <c r="CI171" s="266"/>
      <c r="CJ171" s="266"/>
      <c r="CK171" s="266"/>
      <c r="CL171" s="266"/>
      <c r="CM171" s="266"/>
      <c r="CN171" s="266"/>
      <c r="CO171" s="266"/>
      <c r="CP171" s="266"/>
      <c r="CQ171" s="266"/>
      <c r="CR171" s="266"/>
      <c r="CS171" s="266"/>
      <c r="CT171" s="267"/>
      <c r="CU171" s="267"/>
      <c r="CV171" s="267"/>
      <c r="CW171" s="267"/>
      <c r="CX171" s="267"/>
      <c r="CY171" s="267"/>
      <c r="CZ171" s="267"/>
      <c r="DA171" s="267"/>
      <c r="DB171" s="267"/>
      <c r="DC171" s="267"/>
      <c r="DD171" s="267"/>
      <c r="DE171" s="267"/>
      <c r="DF171" s="267"/>
      <c r="DG171" s="267"/>
      <c r="DH171" s="267"/>
      <c r="DI171" s="267"/>
      <c r="DJ171" s="268"/>
      <c r="DK171" s="268"/>
      <c r="DL171" s="268"/>
      <c r="DM171" s="268"/>
      <c r="DN171" s="268"/>
      <c r="DO171" s="268"/>
      <c r="DP171" s="268"/>
      <c r="DQ171" s="268"/>
      <c r="DR171" s="268"/>
      <c r="DS171" s="268"/>
      <c r="DT171" s="268"/>
      <c r="DU171" s="268"/>
      <c r="DV171" s="268"/>
      <c r="DW171" s="268"/>
      <c r="DX171" s="268"/>
      <c r="DY171" s="268"/>
      <c r="EA171" s="13"/>
      <c r="EB171" s="96"/>
      <c r="EC171" s="96"/>
      <c r="ED171" s="96"/>
      <c r="EE171" s="96"/>
      <c r="EF171" s="96"/>
      <c r="EG171" s="96"/>
      <c r="EH171" s="96"/>
      <c r="EI171" s="96"/>
      <c r="EJ171" s="96"/>
      <c r="EK171" s="96"/>
      <c r="EL171" s="96"/>
      <c r="EM171" s="96"/>
      <c r="EN171" s="96"/>
      <c r="EO171" s="96"/>
      <c r="EP171" s="96"/>
      <c r="EQ171" s="96"/>
      <c r="ER171" s="96"/>
      <c r="ES171" s="96"/>
      <c r="ET171" s="96"/>
      <c r="EU171" s="96"/>
      <c r="EV171" s="96"/>
      <c r="EW171" s="96"/>
      <c r="EX171" s="96"/>
      <c r="EY171" s="96"/>
      <c r="EZ171" s="96"/>
      <c r="FA171" s="96"/>
      <c r="FB171" s="96"/>
      <c r="FC171" s="96"/>
      <c r="FD171" s="96"/>
      <c r="FE171" s="96"/>
      <c r="FF171" s="96"/>
      <c r="FG171" s="96"/>
      <c r="FH171" s="96"/>
      <c r="FI171" s="96"/>
      <c r="FJ171" s="96"/>
      <c r="FK171" s="96"/>
      <c r="FL171" s="96"/>
      <c r="FM171" s="96"/>
      <c r="FN171" s="96"/>
      <c r="FO171" s="96"/>
      <c r="FP171" s="96"/>
      <c r="FQ171" s="96"/>
      <c r="FR171" s="96"/>
      <c r="FS171" s="96"/>
      <c r="FT171" s="96"/>
      <c r="FU171" s="96"/>
      <c r="FV171" s="96"/>
      <c r="FW171" s="96"/>
      <c r="FX171" s="96"/>
      <c r="FY171" s="96"/>
      <c r="FZ171" s="96"/>
      <c r="GA171" s="96"/>
      <c r="GB171" s="96"/>
      <c r="GC171" s="96"/>
      <c r="GD171" s="96"/>
      <c r="GE171" s="96"/>
      <c r="GF171" s="96"/>
      <c r="GG171" s="96"/>
      <c r="GH171" s="96"/>
      <c r="GI171" s="96"/>
      <c r="GJ171" s="96"/>
      <c r="GK171" s="96"/>
      <c r="GL171" s="96"/>
      <c r="GM171" s="13"/>
      <c r="GN171" s="96"/>
      <c r="GO171" s="96"/>
      <c r="GP171" s="96"/>
      <c r="GQ171" s="96"/>
      <c r="GR171" s="96"/>
      <c r="GS171" s="96"/>
      <c r="GT171" s="96"/>
      <c r="GU171" s="96"/>
      <c r="GV171" s="96"/>
      <c r="GW171" s="96"/>
      <c r="GX171" s="96"/>
      <c r="GY171" s="96"/>
      <c r="GZ171" s="96"/>
      <c r="HA171" s="96"/>
      <c r="HB171" s="96"/>
      <c r="HC171" s="13"/>
      <c r="HD171" s="96"/>
      <c r="HE171" s="96"/>
      <c r="HF171" s="96"/>
      <c r="HG171" s="96"/>
      <c r="HH171" s="96"/>
      <c r="HI171" s="96"/>
      <c r="HJ171" s="96"/>
      <c r="HK171" s="96"/>
      <c r="HL171" s="96"/>
      <c r="HM171" s="96"/>
      <c r="HN171" s="96"/>
      <c r="HO171" s="96"/>
      <c r="HP171" s="96"/>
      <c r="HQ171" s="96"/>
      <c r="HR171" s="96"/>
      <c r="HS171" s="13"/>
      <c r="HT171" s="96"/>
      <c r="HU171" s="96"/>
      <c r="HV171" s="96"/>
      <c r="HW171" s="96"/>
      <c r="HX171" s="96"/>
      <c r="HY171" s="96"/>
      <c r="HZ171" s="96"/>
      <c r="IA171" s="96"/>
      <c r="IB171" s="96"/>
      <c r="IC171" s="96"/>
      <c r="ID171" s="96"/>
      <c r="IE171" s="96"/>
      <c r="IF171" s="96"/>
      <c r="IG171" s="96"/>
      <c r="IH171" s="96"/>
      <c r="II171" s="13"/>
      <c r="IJ171" s="96"/>
      <c r="IK171" s="96"/>
      <c r="IL171" s="96"/>
      <c r="IM171" s="96"/>
      <c r="IN171" s="96"/>
      <c r="IO171" s="96"/>
      <c r="IP171" s="96"/>
      <c r="IQ171" s="96"/>
      <c r="IR171" s="96"/>
      <c r="IS171" s="96"/>
      <c r="IT171" s="96"/>
      <c r="IU171" s="96"/>
      <c r="IV171" s="96"/>
      <c r="IW171" s="96"/>
      <c r="IX171" s="96"/>
      <c r="IY171" s="13"/>
    </row>
    <row r="172" spans="1:259" outlineLevel="1">
      <c r="A172" s="11">
        <f>'VAC &amp; MED'!C165</f>
        <v>46161</v>
      </c>
      <c r="B172" s="261"/>
      <c r="C172" s="261"/>
      <c r="D172" s="261"/>
      <c r="E172" s="261"/>
      <c r="F172" s="261"/>
      <c r="G172" s="261"/>
      <c r="H172" s="261"/>
      <c r="I172" s="261"/>
      <c r="J172" s="261"/>
      <c r="K172" s="261"/>
      <c r="L172" s="261"/>
      <c r="M172" s="261"/>
      <c r="N172" s="261"/>
      <c r="O172" s="261"/>
      <c r="P172" s="261"/>
      <c r="Q172" s="261"/>
      <c r="R172" s="262"/>
      <c r="S172" s="262"/>
      <c r="T172" s="262"/>
      <c r="U172" s="262"/>
      <c r="V172" s="262"/>
      <c r="W172" s="262"/>
      <c r="X172" s="262"/>
      <c r="Y172" s="262"/>
      <c r="Z172" s="262"/>
      <c r="AA172" s="262"/>
      <c r="AB172" s="262"/>
      <c r="AC172" s="262"/>
      <c r="AD172" s="262"/>
      <c r="AE172" s="262"/>
      <c r="AF172" s="262"/>
      <c r="AG172" s="262"/>
      <c r="AH172" s="263">
        <v>90</v>
      </c>
      <c r="AI172" s="263"/>
      <c r="AJ172" s="263"/>
      <c r="AK172" s="263"/>
      <c r="AL172" s="263"/>
      <c r="AM172" s="263"/>
      <c r="AN172" s="263"/>
      <c r="AO172" s="263"/>
      <c r="AP172" s="263"/>
      <c r="AQ172" s="263"/>
      <c r="AR172" s="263"/>
      <c r="AS172" s="263"/>
      <c r="AT172" s="263"/>
      <c r="AU172" s="263"/>
      <c r="AV172" s="263"/>
      <c r="AW172" s="263"/>
      <c r="AX172" s="264"/>
      <c r="AY172" s="264"/>
      <c r="AZ172" s="264"/>
      <c r="BA172" s="264"/>
      <c r="BB172" s="264"/>
      <c r="BC172" s="264"/>
      <c r="BD172" s="264"/>
      <c r="BE172" s="264"/>
      <c r="BF172" s="264"/>
      <c r="BG172" s="264"/>
      <c r="BH172" s="264"/>
      <c r="BI172" s="264"/>
      <c r="BJ172" s="264"/>
      <c r="BK172" s="264"/>
      <c r="BL172" s="264"/>
      <c r="BM172" s="264"/>
      <c r="BN172" s="265"/>
      <c r="BO172" s="265"/>
      <c r="BP172" s="265"/>
      <c r="BQ172" s="265"/>
      <c r="BR172" s="265"/>
      <c r="BS172" s="265"/>
      <c r="BT172" s="265"/>
      <c r="BU172" s="265"/>
      <c r="BV172" s="265"/>
      <c r="BW172" s="265"/>
      <c r="BX172" s="265"/>
      <c r="BY172" s="265"/>
      <c r="BZ172" s="265"/>
      <c r="CA172" s="265"/>
      <c r="CB172" s="265"/>
      <c r="CC172" s="265"/>
      <c r="CD172" s="266"/>
      <c r="CE172" s="266"/>
      <c r="CF172" s="266"/>
      <c r="CG172" s="266"/>
      <c r="CH172" s="266"/>
      <c r="CI172" s="266"/>
      <c r="CJ172" s="266"/>
      <c r="CK172" s="266"/>
      <c r="CL172" s="266"/>
      <c r="CM172" s="266"/>
      <c r="CN172" s="266"/>
      <c r="CO172" s="266"/>
      <c r="CP172" s="266"/>
      <c r="CQ172" s="266"/>
      <c r="CR172" s="266"/>
      <c r="CS172" s="266"/>
      <c r="CT172" s="267"/>
      <c r="CU172" s="267"/>
      <c r="CV172" s="267"/>
      <c r="CW172" s="267"/>
      <c r="CX172" s="267"/>
      <c r="CY172" s="267"/>
      <c r="CZ172" s="267"/>
      <c r="DA172" s="267"/>
      <c r="DB172" s="267"/>
      <c r="DC172" s="267"/>
      <c r="DD172" s="267"/>
      <c r="DE172" s="267"/>
      <c r="DF172" s="267"/>
      <c r="DG172" s="267"/>
      <c r="DH172" s="267"/>
      <c r="DI172" s="267"/>
      <c r="DJ172" s="268"/>
      <c r="DK172" s="268"/>
      <c r="DL172" s="268"/>
      <c r="DM172" s="268"/>
      <c r="DN172" s="268"/>
      <c r="DO172" s="268"/>
      <c r="DP172" s="268"/>
      <c r="DQ172" s="268"/>
      <c r="DR172" s="268"/>
      <c r="DS172" s="268"/>
      <c r="DT172" s="268"/>
      <c r="DU172" s="268"/>
      <c r="DV172" s="268"/>
      <c r="DW172" s="268"/>
      <c r="DX172" s="268"/>
      <c r="DY172" s="268"/>
      <c r="EA172" s="13"/>
      <c r="EB172" s="96"/>
      <c r="EC172" s="96"/>
      <c r="ED172" s="96"/>
      <c r="EE172" s="96"/>
      <c r="EF172" s="96"/>
      <c r="EG172" s="96"/>
      <c r="EH172" s="96"/>
      <c r="EI172" s="96"/>
      <c r="EJ172" s="96"/>
      <c r="EK172" s="96"/>
      <c r="EL172" s="96"/>
      <c r="EM172" s="96"/>
      <c r="EN172" s="96"/>
      <c r="EO172" s="96"/>
      <c r="EP172" s="96"/>
      <c r="EQ172" s="96"/>
      <c r="ER172" s="96"/>
      <c r="ES172" s="96"/>
      <c r="ET172" s="96"/>
      <c r="EU172" s="96"/>
      <c r="EV172" s="96"/>
      <c r="EW172" s="96"/>
      <c r="EX172" s="96"/>
      <c r="EY172" s="96"/>
      <c r="EZ172" s="96"/>
      <c r="FA172" s="96"/>
      <c r="FB172" s="96"/>
      <c r="FC172" s="96"/>
      <c r="FD172" s="96"/>
      <c r="FE172" s="96"/>
      <c r="FF172" s="96"/>
      <c r="FG172" s="96"/>
      <c r="FH172" s="96"/>
      <c r="FI172" s="96"/>
      <c r="FJ172" s="96"/>
      <c r="FK172" s="96"/>
      <c r="FL172" s="96"/>
      <c r="FM172" s="96"/>
      <c r="FN172" s="96"/>
      <c r="FO172" s="96"/>
      <c r="FP172" s="96"/>
      <c r="FQ172" s="96"/>
      <c r="FR172" s="96"/>
      <c r="FS172" s="96"/>
      <c r="FT172" s="96"/>
      <c r="FU172" s="96"/>
      <c r="FV172" s="96"/>
      <c r="FW172" s="96"/>
      <c r="FX172" s="96"/>
      <c r="FY172" s="96"/>
      <c r="FZ172" s="96"/>
      <c r="GA172" s="96"/>
      <c r="GB172" s="96"/>
      <c r="GC172" s="96"/>
      <c r="GD172" s="96"/>
      <c r="GE172" s="96"/>
      <c r="GF172" s="96"/>
      <c r="GG172" s="96"/>
      <c r="GH172" s="96"/>
      <c r="GI172" s="96"/>
      <c r="GJ172" s="96"/>
      <c r="GK172" s="96"/>
      <c r="GL172" s="96"/>
      <c r="GM172" s="13"/>
      <c r="GN172" s="96"/>
      <c r="GO172" s="96"/>
      <c r="GP172" s="96"/>
      <c r="GQ172" s="96"/>
      <c r="GR172" s="96"/>
      <c r="GS172" s="96"/>
      <c r="GT172" s="96"/>
      <c r="GU172" s="96"/>
      <c r="GV172" s="96"/>
      <c r="GW172" s="96"/>
      <c r="GX172" s="96"/>
      <c r="GY172" s="96"/>
      <c r="GZ172" s="96"/>
      <c r="HA172" s="96"/>
      <c r="HB172" s="96"/>
      <c r="HC172" s="13"/>
      <c r="HD172" s="96"/>
      <c r="HE172" s="96"/>
      <c r="HF172" s="96"/>
      <c r="HG172" s="96"/>
      <c r="HH172" s="96"/>
      <c r="HI172" s="96"/>
      <c r="HJ172" s="96"/>
      <c r="HK172" s="96"/>
      <c r="HL172" s="96"/>
      <c r="HM172" s="96"/>
      <c r="HN172" s="96"/>
      <c r="HO172" s="96"/>
      <c r="HP172" s="96"/>
      <c r="HQ172" s="96"/>
      <c r="HR172" s="96"/>
      <c r="HS172" s="13"/>
      <c r="HT172" s="96"/>
      <c r="HU172" s="96"/>
      <c r="HV172" s="96"/>
      <c r="HW172" s="96"/>
      <c r="HX172" s="96"/>
      <c r="HY172" s="96"/>
      <c r="HZ172" s="96"/>
      <c r="IA172" s="96"/>
      <c r="IB172" s="96"/>
      <c r="IC172" s="96"/>
      <c r="ID172" s="96"/>
      <c r="IE172" s="96"/>
      <c r="IF172" s="96"/>
      <c r="IG172" s="96"/>
      <c r="IH172" s="96"/>
      <c r="II172" s="13"/>
      <c r="IJ172" s="96"/>
      <c r="IK172" s="96"/>
      <c r="IL172" s="96"/>
      <c r="IM172" s="96"/>
      <c r="IN172" s="96"/>
      <c r="IO172" s="96"/>
      <c r="IP172" s="96"/>
      <c r="IQ172" s="96"/>
      <c r="IR172" s="96"/>
      <c r="IS172" s="96"/>
      <c r="IT172" s="96"/>
      <c r="IU172" s="96"/>
      <c r="IV172" s="96"/>
      <c r="IW172" s="96"/>
      <c r="IX172" s="96"/>
      <c r="IY172" s="13"/>
    </row>
    <row r="173" spans="1:259" outlineLevel="1">
      <c r="A173" s="11">
        <f>'VAC &amp; MED'!C166</f>
        <v>46162</v>
      </c>
      <c r="B173" s="261"/>
      <c r="C173" s="261"/>
      <c r="D173" s="261"/>
      <c r="E173" s="261"/>
      <c r="F173" s="261"/>
      <c r="G173" s="261"/>
      <c r="H173" s="261"/>
      <c r="I173" s="261"/>
      <c r="J173" s="261"/>
      <c r="K173" s="261"/>
      <c r="L173" s="261"/>
      <c r="M173" s="261"/>
      <c r="N173" s="261"/>
      <c r="O173" s="261"/>
      <c r="P173" s="261"/>
      <c r="Q173" s="261"/>
      <c r="R173" s="262"/>
      <c r="S173" s="262"/>
      <c r="T173" s="262"/>
      <c r="U173" s="262"/>
      <c r="V173" s="262"/>
      <c r="W173" s="262"/>
      <c r="X173" s="262"/>
      <c r="Y173" s="262"/>
      <c r="Z173" s="262"/>
      <c r="AA173" s="262"/>
      <c r="AB173" s="262"/>
      <c r="AC173" s="262"/>
      <c r="AD173" s="262"/>
      <c r="AE173" s="262"/>
      <c r="AF173" s="262"/>
      <c r="AG173" s="262"/>
      <c r="AH173" s="263"/>
      <c r="AI173" s="263"/>
      <c r="AJ173" s="263"/>
      <c r="AK173" s="263"/>
      <c r="AL173" s="263"/>
      <c r="AM173" s="263"/>
      <c r="AN173" s="263"/>
      <c r="AO173" s="263"/>
      <c r="AP173" s="263"/>
      <c r="AQ173" s="263"/>
      <c r="AR173" s="263"/>
      <c r="AS173" s="263"/>
      <c r="AT173" s="263"/>
      <c r="AU173" s="263"/>
      <c r="AV173" s="263"/>
      <c r="AW173" s="263"/>
      <c r="AX173" s="264"/>
      <c r="AY173" s="264"/>
      <c r="AZ173" s="264"/>
      <c r="BA173" s="264"/>
      <c r="BB173" s="264"/>
      <c r="BC173" s="264"/>
      <c r="BD173" s="264"/>
      <c r="BE173" s="264"/>
      <c r="BF173" s="264"/>
      <c r="BG173" s="264"/>
      <c r="BH173" s="264"/>
      <c r="BI173" s="264"/>
      <c r="BJ173" s="264"/>
      <c r="BK173" s="264"/>
      <c r="BL173" s="264"/>
      <c r="BM173" s="264"/>
      <c r="BN173" s="265"/>
      <c r="BO173" s="265">
        <v>10</v>
      </c>
      <c r="BP173" s="265"/>
      <c r="BQ173" s="265"/>
      <c r="BR173" s="265"/>
      <c r="BS173" s="265"/>
      <c r="BT173" s="265"/>
      <c r="BU173" s="265"/>
      <c r="BV173" s="265"/>
      <c r="BW173" s="265"/>
      <c r="BX173" s="265"/>
      <c r="BY173" s="265"/>
      <c r="BZ173" s="265"/>
      <c r="CA173" s="265"/>
      <c r="CB173" s="265"/>
      <c r="CC173" s="265"/>
      <c r="CD173" s="266"/>
      <c r="CE173" s="266"/>
      <c r="CF173" s="266"/>
      <c r="CG173" s="266"/>
      <c r="CH173" s="266"/>
      <c r="CI173" s="266"/>
      <c r="CJ173" s="266"/>
      <c r="CK173" s="266"/>
      <c r="CL173" s="266"/>
      <c r="CM173" s="266"/>
      <c r="CN173" s="266"/>
      <c r="CO173" s="266"/>
      <c r="CP173" s="266"/>
      <c r="CQ173" s="266"/>
      <c r="CR173" s="266"/>
      <c r="CS173" s="266"/>
      <c r="CT173" s="267"/>
      <c r="CU173" s="267"/>
      <c r="CV173" s="267"/>
      <c r="CW173" s="267"/>
      <c r="CX173" s="267"/>
      <c r="CY173" s="267"/>
      <c r="CZ173" s="267"/>
      <c r="DA173" s="267"/>
      <c r="DB173" s="267"/>
      <c r="DC173" s="267"/>
      <c r="DD173" s="267"/>
      <c r="DE173" s="267"/>
      <c r="DF173" s="267"/>
      <c r="DG173" s="267"/>
      <c r="DH173" s="267"/>
      <c r="DI173" s="267"/>
      <c r="DJ173" s="268"/>
      <c r="DK173" s="268"/>
      <c r="DL173" s="268"/>
      <c r="DM173" s="268"/>
      <c r="DN173" s="268"/>
      <c r="DO173" s="268"/>
      <c r="DP173" s="268"/>
      <c r="DQ173" s="268"/>
      <c r="DR173" s="268"/>
      <c r="DS173" s="268"/>
      <c r="DT173" s="268"/>
      <c r="DU173" s="268"/>
      <c r="DV173" s="268"/>
      <c r="DW173" s="268"/>
      <c r="DX173" s="268"/>
      <c r="DY173" s="268"/>
      <c r="EA173" s="13"/>
      <c r="EB173" s="96"/>
      <c r="EC173" s="96"/>
      <c r="ED173" s="96"/>
      <c r="EE173" s="96"/>
      <c r="EF173" s="96"/>
      <c r="EG173" s="96"/>
      <c r="EH173" s="96"/>
      <c r="EI173" s="96"/>
      <c r="EJ173" s="96"/>
      <c r="EK173" s="96"/>
      <c r="EL173" s="96"/>
      <c r="EM173" s="96"/>
      <c r="EN173" s="96"/>
      <c r="EO173" s="96"/>
      <c r="EP173" s="96"/>
      <c r="EQ173" s="96"/>
      <c r="ER173" s="96"/>
      <c r="ES173" s="96"/>
      <c r="ET173" s="96"/>
      <c r="EU173" s="96"/>
      <c r="EV173" s="96"/>
      <c r="EW173" s="96"/>
      <c r="EX173" s="96"/>
      <c r="EY173" s="96"/>
      <c r="EZ173" s="96"/>
      <c r="FA173" s="96"/>
      <c r="FB173" s="96"/>
      <c r="FC173" s="96"/>
      <c r="FD173" s="96"/>
      <c r="FE173" s="96"/>
      <c r="FF173" s="96"/>
      <c r="FG173" s="96"/>
      <c r="FH173" s="96"/>
      <c r="FI173" s="96"/>
      <c r="FJ173" s="96"/>
      <c r="FK173" s="96"/>
      <c r="FL173" s="96"/>
      <c r="FM173" s="96"/>
      <c r="FN173" s="96"/>
      <c r="FO173" s="96"/>
      <c r="FP173" s="96"/>
      <c r="FQ173" s="96"/>
      <c r="FR173" s="96"/>
      <c r="FS173" s="96"/>
      <c r="FT173" s="96"/>
      <c r="FU173" s="96"/>
      <c r="FV173" s="96"/>
      <c r="FW173" s="96"/>
      <c r="FX173" s="96"/>
      <c r="FY173" s="96"/>
      <c r="FZ173" s="96"/>
      <c r="GA173" s="96"/>
      <c r="GB173" s="96"/>
      <c r="GC173" s="96"/>
      <c r="GD173" s="96"/>
      <c r="GE173" s="96"/>
      <c r="GF173" s="96"/>
      <c r="GG173" s="96"/>
      <c r="GH173" s="96"/>
      <c r="GI173" s="96"/>
      <c r="GJ173" s="96"/>
      <c r="GK173" s="96"/>
      <c r="GL173" s="96"/>
      <c r="GM173" s="13"/>
      <c r="GN173" s="96"/>
      <c r="GO173" s="96"/>
      <c r="GP173" s="96"/>
      <c r="GQ173" s="96"/>
      <c r="GR173" s="96"/>
      <c r="GS173" s="96"/>
      <c r="GT173" s="96"/>
      <c r="GU173" s="96"/>
      <c r="GV173" s="96"/>
      <c r="GW173" s="96"/>
      <c r="GX173" s="96"/>
      <c r="GY173" s="96"/>
      <c r="GZ173" s="96"/>
      <c r="HA173" s="96"/>
      <c r="HB173" s="96"/>
      <c r="HC173" s="13"/>
      <c r="HD173" s="96"/>
      <c r="HE173" s="96"/>
      <c r="HF173" s="96"/>
      <c r="HG173" s="96"/>
      <c r="HH173" s="96"/>
      <c r="HI173" s="96"/>
      <c r="HJ173" s="96"/>
      <c r="HK173" s="96"/>
      <c r="HL173" s="96"/>
      <c r="HM173" s="96"/>
      <c r="HN173" s="96"/>
      <c r="HO173" s="96"/>
      <c r="HP173" s="96"/>
      <c r="HQ173" s="96"/>
      <c r="HR173" s="96"/>
      <c r="HS173" s="13"/>
      <c r="HT173" s="96"/>
      <c r="HU173" s="96"/>
      <c r="HV173" s="96"/>
      <c r="HW173" s="96"/>
      <c r="HX173" s="96"/>
      <c r="HY173" s="96"/>
      <c r="HZ173" s="96"/>
      <c r="IA173" s="96"/>
      <c r="IB173" s="96"/>
      <c r="IC173" s="96"/>
      <c r="ID173" s="96"/>
      <c r="IE173" s="96"/>
      <c r="IF173" s="96"/>
      <c r="IG173" s="96"/>
      <c r="IH173" s="96"/>
      <c r="II173" s="13"/>
      <c r="IJ173" s="96"/>
      <c r="IK173" s="96"/>
      <c r="IL173" s="96"/>
      <c r="IM173" s="96"/>
      <c r="IN173" s="96"/>
      <c r="IO173" s="96"/>
      <c r="IP173" s="96"/>
      <c r="IQ173" s="96"/>
      <c r="IR173" s="96"/>
      <c r="IS173" s="96"/>
      <c r="IT173" s="96"/>
      <c r="IU173" s="96"/>
      <c r="IV173" s="96"/>
      <c r="IW173" s="96"/>
      <c r="IX173" s="96"/>
      <c r="IY173" s="13"/>
    </row>
    <row r="174" spans="1:259" outlineLevel="1">
      <c r="A174" s="11">
        <f>'VAC &amp; MED'!C167</f>
        <v>46163</v>
      </c>
      <c r="B174" s="261"/>
      <c r="C174" s="261"/>
      <c r="D174" s="261"/>
      <c r="E174" s="261"/>
      <c r="F174" s="261"/>
      <c r="G174" s="261"/>
      <c r="H174" s="261"/>
      <c r="I174" s="261"/>
      <c r="J174" s="261"/>
      <c r="K174" s="261"/>
      <c r="L174" s="261"/>
      <c r="M174" s="261"/>
      <c r="N174" s="261"/>
      <c r="O174" s="261"/>
      <c r="P174" s="261"/>
      <c r="Q174" s="261"/>
      <c r="R174" s="262"/>
      <c r="S174" s="262"/>
      <c r="T174" s="262"/>
      <c r="U174" s="262"/>
      <c r="V174" s="262"/>
      <c r="W174" s="262"/>
      <c r="X174" s="262"/>
      <c r="Y174" s="262"/>
      <c r="Z174" s="262"/>
      <c r="AA174" s="262"/>
      <c r="AB174" s="262"/>
      <c r="AC174" s="262"/>
      <c r="AD174" s="262"/>
      <c r="AE174" s="262"/>
      <c r="AF174" s="262"/>
      <c r="AG174" s="262"/>
      <c r="AH174" s="263"/>
      <c r="AI174" s="263"/>
      <c r="AJ174" s="263"/>
      <c r="AK174" s="263"/>
      <c r="AL174" s="263"/>
      <c r="AM174" s="263"/>
      <c r="AN174" s="263"/>
      <c r="AO174" s="263"/>
      <c r="AP174" s="263"/>
      <c r="AQ174" s="263"/>
      <c r="AR174" s="263"/>
      <c r="AS174" s="263"/>
      <c r="AT174" s="263"/>
      <c r="AU174" s="263"/>
      <c r="AV174" s="263"/>
      <c r="AW174" s="263"/>
      <c r="AX174" s="264"/>
      <c r="AY174" s="264"/>
      <c r="AZ174" s="264"/>
      <c r="BA174" s="264"/>
      <c r="BB174" s="264"/>
      <c r="BC174" s="264"/>
      <c r="BD174" s="264"/>
      <c r="BE174" s="264"/>
      <c r="BF174" s="264"/>
      <c r="BG174" s="264"/>
      <c r="BH174" s="264"/>
      <c r="BI174" s="264"/>
      <c r="BJ174" s="264"/>
      <c r="BK174" s="264"/>
      <c r="BL174" s="264"/>
      <c r="BM174" s="264"/>
      <c r="BN174" s="265"/>
      <c r="BO174" s="265"/>
      <c r="BP174" s="265"/>
      <c r="BQ174" s="265"/>
      <c r="BR174" s="265"/>
      <c r="BS174" s="265"/>
      <c r="BT174" s="265"/>
      <c r="BU174" s="265"/>
      <c r="BV174" s="265"/>
      <c r="BW174" s="265"/>
      <c r="BX174" s="265"/>
      <c r="BY174" s="265"/>
      <c r="BZ174" s="265"/>
      <c r="CA174" s="265"/>
      <c r="CB174" s="265"/>
      <c r="CC174" s="265"/>
      <c r="CD174" s="266"/>
      <c r="CE174" s="266"/>
      <c r="CF174" s="266"/>
      <c r="CG174" s="266"/>
      <c r="CH174" s="266"/>
      <c r="CI174" s="266"/>
      <c r="CJ174" s="266"/>
      <c r="CK174" s="266"/>
      <c r="CL174" s="266"/>
      <c r="CM174" s="266"/>
      <c r="CN174" s="266"/>
      <c r="CO174" s="266"/>
      <c r="CP174" s="266"/>
      <c r="CQ174" s="266"/>
      <c r="CR174" s="266"/>
      <c r="CS174" s="266"/>
      <c r="CT174" s="267"/>
      <c r="CU174" s="267"/>
      <c r="CV174" s="267"/>
      <c r="CW174" s="267"/>
      <c r="CX174" s="267"/>
      <c r="CY174" s="267"/>
      <c r="CZ174" s="267">
        <v>10</v>
      </c>
      <c r="DA174" s="267"/>
      <c r="DB174" s="267"/>
      <c r="DC174" s="267"/>
      <c r="DD174" s="267"/>
      <c r="DE174" s="267"/>
      <c r="DF174" s="267"/>
      <c r="DG174" s="267"/>
      <c r="DH174" s="267"/>
      <c r="DI174" s="267"/>
      <c r="DJ174" s="268"/>
      <c r="DK174" s="268"/>
      <c r="DL174" s="268"/>
      <c r="DM174" s="268"/>
      <c r="DN174" s="268"/>
      <c r="DO174" s="268"/>
      <c r="DP174" s="268"/>
      <c r="DQ174" s="268"/>
      <c r="DR174" s="268"/>
      <c r="DS174" s="268"/>
      <c r="DT174" s="268"/>
      <c r="DU174" s="268"/>
      <c r="DV174" s="268"/>
      <c r="DW174" s="268"/>
      <c r="DX174" s="268"/>
      <c r="DY174" s="268"/>
      <c r="EA174" s="13"/>
      <c r="EB174" s="96"/>
      <c r="EC174" s="96"/>
      <c r="ED174" s="96"/>
      <c r="EE174" s="96"/>
      <c r="EF174" s="96"/>
      <c r="EG174" s="96"/>
      <c r="EH174" s="96"/>
      <c r="EI174" s="96"/>
      <c r="EJ174" s="96"/>
      <c r="EK174" s="96"/>
      <c r="EL174" s="96"/>
      <c r="EM174" s="96"/>
      <c r="EN174" s="96"/>
      <c r="EO174" s="96"/>
      <c r="EP174" s="96"/>
      <c r="EQ174" s="96"/>
      <c r="ER174" s="96"/>
      <c r="ES174" s="96"/>
      <c r="ET174" s="96"/>
      <c r="EU174" s="96"/>
      <c r="EV174" s="96"/>
      <c r="EW174" s="96"/>
      <c r="EX174" s="96"/>
      <c r="EY174" s="96"/>
      <c r="EZ174" s="96"/>
      <c r="FA174" s="96"/>
      <c r="FB174" s="96"/>
      <c r="FC174" s="96"/>
      <c r="FD174" s="96"/>
      <c r="FE174" s="96"/>
      <c r="FF174" s="96"/>
      <c r="FG174" s="96"/>
      <c r="FH174" s="96"/>
      <c r="FI174" s="96"/>
      <c r="FJ174" s="96"/>
      <c r="FK174" s="96"/>
      <c r="FL174" s="96"/>
      <c r="FM174" s="96"/>
      <c r="FN174" s="96"/>
      <c r="FO174" s="96"/>
      <c r="FP174" s="96"/>
      <c r="FQ174" s="96"/>
      <c r="FR174" s="96"/>
      <c r="FS174" s="96"/>
      <c r="FT174" s="96"/>
      <c r="FU174" s="96"/>
      <c r="FV174" s="96"/>
      <c r="FW174" s="96"/>
      <c r="FX174" s="96"/>
      <c r="FY174" s="96"/>
      <c r="FZ174" s="96"/>
      <c r="GA174" s="96"/>
      <c r="GB174" s="96"/>
      <c r="GC174" s="96"/>
      <c r="GD174" s="96"/>
      <c r="GE174" s="96"/>
      <c r="GF174" s="96"/>
      <c r="GG174" s="96"/>
      <c r="GH174" s="96"/>
      <c r="GI174" s="96"/>
      <c r="GJ174" s="96"/>
      <c r="GK174" s="96"/>
      <c r="GL174" s="96"/>
      <c r="GM174" s="13"/>
      <c r="GN174" s="96"/>
      <c r="GO174" s="96"/>
      <c r="GP174" s="96"/>
      <c r="GQ174" s="96"/>
      <c r="GR174" s="96"/>
      <c r="GS174" s="96"/>
      <c r="GT174" s="96"/>
      <c r="GU174" s="96"/>
      <c r="GV174" s="96"/>
      <c r="GW174" s="96"/>
      <c r="GX174" s="96"/>
      <c r="GY174" s="96"/>
      <c r="GZ174" s="96"/>
      <c r="HA174" s="96"/>
      <c r="HB174" s="96"/>
      <c r="HC174" s="13"/>
      <c r="HD174" s="96"/>
      <c r="HE174" s="96"/>
      <c r="HF174" s="96"/>
      <c r="HG174" s="96"/>
      <c r="HH174" s="96"/>
      <c r="HI174" s="96"/>
      <c r="HJ174" s="96"/>
      <c r="HK174" s="96"/>
      <c r="HL174" s="96"/>
      <c r="HM174" s="96"/>
      <c r="HN174" s="96"/>
      <c r="HO174" s="96"/>
      <c r="HP174" s="96"/>
      <c r="HQ174" s="96"/>
      <c r="HR174" s="96"/>
      <c r="HS174" s="13"/>
      <c r="HT174" s="96"/>
      <c r="HU174" s="96"/>
      <c r="HV174" s="96"/>
      <c r="HW174" s="96"/>
      <c r="HX174" s="96"/>
      <c r="HY174" s="96"/>
      <c r="HZ174" s="96"/>
      <c r="IA174" s="96"/>
      <c r="IB174" s="96"/>
      <c r="IC174" s="96"/>
      <c r="ID174" s="96"/>
      <c r="IE174" s="96"/>
      <c r="IF174" s="96"/>
      <c r="IG174" s="96"/>
      <c r="IH174" s="96"/>
      <c r="II174" s="13"/>
      <c r="IJ174" s="96"/>
      <c r="IK174" s="96"/>
      <c r="IL174" s="96"/>
      <c r="IM174" s="96"/>
      <c r="IN174" s="96"/>
      <c r="IO174" s="96"/>
      <c r="IP174" s="96"/>
      <c r="IQ174" s="96"/>
      <c r="IR174" s="96"/>
      <c r="IS174" s="96"/>
      <c r="IT174" s="96"/>
      <c r="IU174" s="96"/>
      <c r="IV174" s="96"/>
      <c r="IW174" s="96"/>
      <c r="IX174" s="96"/>
      <c r="IY174" s="13"/>
    </row>
    <row r="175" spans="1:259" outlineLevel="1">
      <c r="A175" s="11">
        <f>'VAC &amp; MED'!C168</f>
        <v>46164</v>
      </c>
      <c r="B175" s="261"/>
      <c r="C175" s="261"/>
      <c r="D175" s="261"/>
      <c r="E175" s="261"/>
      <c r="F175" s="261"/>
      <c r="G175" s="261"/>
      <c r="H175" s="261"/>
      <c r="I175" s="261"/>
      <c r="J175" s="261"/>
      <c r="K175" s="261"/>
      <c r="L175" s="261"/>
      <c r="M175" s="261"/>
      <c r="N175" s="261"/>
      <c r="O175" s="261"/>
      <c r="P175" s="261"/>
      <c r="Q175" s="261"/>
      <c r="R175" s="262"/>
      <c r="S175" s="262"/>
      <c r="T175" s="262"/>
      <c r="U175" s="262"/>
      <c r="V175" s="262"/>
      <c r="W175" s="262"/>
      <c r="X175" s="262"/>
      <c r="Y175" s="262"/>
      <c r="Z175" s="262"/>
      <c r="AA175" s="262"/>
      <c r="AB175" s="262"/>
      <c r="AC175" s="262"/>
      <c r="AD175" s="262"/>
      <c r="AE175" s="262"/>
      <c r="AF175" s="262"/>
      <c r="AG175" s="262"/>
      <c r="AH175" s="263"/>
      <c r="AI175" s="263"/>
      <c r="AJ175" s="263"/>
      <c r="AK175" s="263"/>
      <c r="AL175" s="263"/>
      <c r="AM175" s="263"/>
      <c r="AN175" s="263"/>
      <c r="AO175" s="263"/>
      <c r="AP175" s="263"/>
      <c r="AQ175" s="263"/>
      <c r="AR175" s="263"/>
      <c r="AS175" s="263"/>
      <c r="AT175" s="263"/>
      <c r="AU175" s="263"/>
      <c r="AV175" s="263"/>
      <c r="AW175" s="263"/>
      <c r="AX175" s="264"/>
      <c r="AY175" s="264"/>
      <c r="AZ175" s="264"/>
      <c r="BA175" s="264"/>
      <c r="BB175" s="264"/>
      <c r="BC175" s="264"/>
      <c r="BD175" s="264"/>
      <c r="BE175" s="264"/>
      <c r="BF175" s="264"/>
      <c r="BG175" s="264"/>
      <c r="BH175" s="264"/>
      <c r="BI175" s="264"/>
      <c r="BJ175" s="264"/>
      <c r="BK175" s="264"/>
      <c r="BL175" s="264"/>
      <c r="BM175" s="264"/>
      <c r="BN175" s="265"/>
      <c r="BO175" s="265"/>
      <c r="BP175" s="265"/>
      <c r="BQ175" s="265"/>
      <c r="BR175" s="265"/>
      <c r="BS175" s="265"/>
      <c r="BT175" s="265"/>
      <c r="BU175" s="265"/>
      <c r="BV175" s="265"/>
      <c r="BW175" s="265"/>
      <c r="BX175" s="265"/>
      <c r="BY175" s="265"/>
      <c r="BZ175" s="265"/>
      <c r="CA175" s="265"/>
      <c r="CB175" s="265"/>
      <c r="CC175" s="265"/>
      <c r="CD175" s="266"/>
      <c r="CE175" s="266"/>
      <c r="CF175" s="266"/>
      <c r="CG175" s="266"/>
      <c r="CH175" s="266"/>
      <c r="CI175" s="266"/>
      <c r="CJ175" s="266"/>
      <c r="CK175" s="266"/>
      <c r="CL175" s="266"/>
      <c r="CM175" s="266">
        <v>36</v>
      </c>
      <c r="CN175" s="266"/>
      <c r="CO175" s="266"/>
      <c r="CP175" s="266"/>
      <c r="CQ175" s="266"/>
      <c r="CR175" s="266"/>
      <c r="CS175" s="266"/>
      <c r="CT175" s="267"/>
      <c r="CU175" s="267"/>
      <c r="CV175" s="267"/>
      <c r="CW175" s="267"/>
      <c r="CX175" s="267"/>
      <c r="CY175" s="267"/>
      <c r="CZ175" s="267"/>
      <c r="DA175" s="267"/>
      <c r="DB175" s="267"/>
      <c r="DC175" s="267"/>
      <c r="DD175" s="267"/>
      <c r="DE175" s="267"/>
      <c r="DF175" s="267"/>
      <c r="DG175" s="267"/>
      <c r="DH175" s="267"/>
      <c r="DI175" s="267"/>
      <c r="DJ175" s="268"/>
      <c r="DK175" s="268"/>
      <c r="DL175" s="268"/>
      <c r="DM175" s="268"/>
      <c r="DN175" s="268"/>
      <c r="DO175" s="268"/>
      <c r="DP175" s="268"/>
      <c r="DQ175" s="268"/>
      <c r="DR175" s="268"/>
      <c r="DS175" s="268"/>
      <c r="DT175" s="268"/>
      <c r="DU175" s="268"/>
      <c r="DV175" s="268"/>
      <c r="DW175" s="268"/>
      <c r="DX175" s="268"/>
      <c r="DY175" s="268"/>
      <c r="EA175" s="13"/>
      <c r="EB175" s="96"/>
      <c r="EC175" s="96"/>
      <c r="ED175" s="96"/>
      <c r="EE175" s="96"/>
      <c r="EF175" s="96"/>
      <c r="EG175" s="96"/>
      <c r="EH175" s="96"/>
      <c r="EI175" s="96"/>
      <c r="EJ175" s="96"/>
      <c r="EK175" s="96"/>
      <c r="EL175" s="96"/>
      <c r="EM175" s="96"/>
      <c r="EN175" s="96"/>
      <c r="EO175" s="96"/>
      <c r="EP175" s="96"/>
      <c r="EQ175" s="96"/>
      <c r="ER175" s="96"/>
      <c r="ES175" s="96"/>
      <c r="ET175" s="96"/>
      <c r="EU175" s="96"/>
      <c r="EV175" s="96"/>
      <c r="EW175" s="96"/>
      <c r="EX175" s="96"/>
      <c r="EY175" s="96"/>
      <c r="EZ175" s="96"/>
      <c r="FA175" s="96"/>
      <c r="FB175" s="96"/>
      <c r="FC175" s="96"/>
      <c r="FD175" s="96"/>
      <c r="FE175" s="96"/>
      <c r="FF175" s="96"/>
      <c r="FG175" s="96"/>
      <c r="FH175" s="96"/>
      <c r="FI175" s="96"/>
      <c r="FJ175" s="96"/>
      <c r="FK175" s="96"/>
      <c r="FL175" s="96"/>
      <c r="FM175" s="96"/>
      <c r="FN175" s="96"/>
      <c r="FO175" s="96"/>
      <c r="FP175" s="96"/>
      <c r="FQ175" s="96"/>
      <c r="FR175" s="96"/>
      <c r="FS175" s="96"/>
      <c r="FT175" s="96"/>
      <c r="FU175" s="96"/>
      <c r="FV175" s="96"/>
      <c r="FW175" s="96"/>
      <c r="FX175" s="96"/>
      <c r="FY175" s="96"/>
      <c r="FZ175" s="96"/>
      <c r="GA175" s="96"/>
      <c r="GB175" s="96"/>
      <c r="GC175" s="96"/>
      <c r="GD175" s="96"/>
      <c r="GE175" s="96"/>
      <c r="GF175" s="96"/>
      <c r="GG175" s="96"/>
      <c r="GH175" s="96"/>
      <c r="GI175" s="96"/>
      <c r="GJ175" s="96"/>
      <c r="GK175" s="96"/>
      <c r="GL175" s="96"/>
      <c r="GM175" s="13"/>
      <c r="GN175" s="96"/>
      <c r="GO175" s="96"/>
      <c r="GP175" s="96"/>
      <c r="GQ175" s="96"/>
      <c r="GR175" s="96"/>
      <c r="GS175" s="96"/>
      <c r="GT175" s="96"/>
      <c r="GU175" s="96"/>
      <c r="GV175" s="96"/>
      <c r="GW175" s="96"/>
      <c r="GX175" s="96"/>
      <c r="GY175" s="96"/>
      <c r="GZ175" s="96"/>
      <c r="HA175" s="96"/>
      <c r="HB175" s="96"/>
      <c r="HC175" s="13"/>
      <c r="HD175" s="96"/>
      <c r="HE175" s="96"/>
      <c r="HF175" s="96"/>
      <c r="HG175" s="96"/>
      <c r="HH175" s="96"/>
      <c r="HI175" s="96"/>
      <c r="HJ175" s="96"/>
      <c r="HK175" s="96"/>
      <c r="HL175" s="96"/>
      <c r="HM175" s="96"/>
      <c r="HN175" s="96"/>
      <c r="HO175" s="96"/>
      <c r="HP175" s="96"/>
      <c r="HQ175" s="96"/>
      <c r="HR175" s="96"/>
      <c r="HS175" s="13"/>
      <c r="HT175" s="96"/>
      <c r="HU175" s="96"/>
      <c r="HV175" s="96"/>
      <c r="HW175" s="96"/>
      <c r="HX175" s="96"/>
      <c r="HY175" s="96"/>
      <c r="HZ175" s="96"/>
      <c r="IA175" s="96"/>
      <c r="IB175" s="96"/>
      <c r="IC175" s="96"/>
      <c r="ID175" s="96"/>
      <c r="IE175" s="96"/>
      <c r="IF175" s="96"/>
      <c r="IG175" s="96"/>
      <c r="IH175" s="96"/>
      <c r="II175" s="13"/>
      <c r="IJ175" s="96"/>
      <c r="IK175" s="96"/>
      <c r="IL175" s="96"/>
      <c r="IM175" s="96"/>
      <c r="IN175" s="96"/>
      <c r="IO175" s="96"/>
      <c r="IP175" s="96"/>
      <c r="IQ175" s="96"/>
      <c r="IR175" s="96"/>
      <c r="IS175" s="96"/>
      <c r="IT175" s="96"/>
      <c r="IU175" s="96"/>
      <c r="IV175" s="96"/>
      <c r="IW175" s="96"/>
      <c r="IX175" s="96"/>
      <c r="IY175" s="13"/>
    </row>
    <row r="176" spans="1:259" outlineLevel="1">
      <c r="A176" s="11">
        <f>'VAC &amp; MED'!C169</f>
        <v>46165</v>
      </c>
      <c r="B176" s="261"/>
      <c r="C176" s="261"/>
      <c r="D176" s="261"/>
      <c r="E176" s="261"/>
      <c r="F176" s="261"/>
      <c r="G176" s="261"/>
      <c r="H176" s="261"/>
      <c r="I176" s="261"/>
      <c r="J176" s="261"/>
      <c r="K176" s="261"/>
      <c r="L176" s="261"/>
      <c r="M176" s="261"/>
      <c r="N176" s="261"/>
      <c r="O176" s="261"/>
      <c r="P176" s="261"/>
      <c r="Q176" s="261"/>
      <c r="R176" s="262"/>
      <c r="S176" s="262"/>
      <c r="T176" s="262"/>
      <c r="U176" s="262"/>
      <c r="V176" s="262"/>
      <c r="W176" s="262"/>
      <c r="X176" s="262"/>
      <c r="Y176" s="262"/>
      <c r="Z176" s="262"/>
      <c r="AA176" s="262"/>
      <c r="AB176" s="262"/>
      <c r="AC176" s="262"/>
      <c r="AD176" s="262"/>
      <c r="AE176" s="262"/>
      <c r="AF176" s="262"/>
      <c r="AG176" s="262"/>
      <c r="AH176" s="263"/>
      <c r="AI176" s="263"/>
      <c r="AJ176" s="263"/>
      <c r="AK176" s="263"/>
      <c r="AL176" s="263"/>
      <c r="AM176" s="263"/>
      <c r="AN176" s="263"/>
      <c r="AO176" s="263"/>
      <c r="AP176" s="263"/>
      <c r="AQ176" s="263"/>
      <c r="AR176" s="263"/>
      <c r="AS176" s="263"/>
      <c r="AT176" s="263"/>
      <c r="AU176" s="263"/>
      <c r="AV176" s="263"/>
      <c r="AW176" s="263"/>
      <c r="AX176" s="264"/>
      <c r="AY176" s="264"/>
      <c r="AZ176" s="264"/>
      <c r="BA176" s="264"/>
      <c r="BB176" s="264"/>
      <c r="BC176" s="264"/>
      <c r="BD176" s="264"/>
      <c r="BE176" s="264"/>
      <c r="BF176" s="264"/>
      <c r="BG176" s="264"/>
      <c r="BH176" s="264"/>
      <c r="BI176" s="264"/>
      <c r="BJ176" s="264"/>
      <c r="BK176" s="264"/>
      <c r="BL176" s="264"/>
      <c r="BM176" s="264"/>
      <c r="BN176" s="265"/>
      <c r="BO176" s="265"/>
      <c r="BP176" s="265"/>
      <c r="BQ176" s="265"/>
      <c r="BR176" s="265"/>
      <c r="BS176" s="265"/>
      <c r="BT176" s="265"/>
      <c r="BU176" s="265"/>
      <c r="BV176" s="265"/>
      <c r="BW176" s="265"/>
      <c r="BX176" s="265">
        <v>50</v>
      </c>
      <c r="BY176" s="265"/>
      <c r="BZ176" s="265"/>
      <c r="CA176" s="265"/>
      <c r="CB176" s="265"/>
      <c r="CC176" s="265"/>
      <c r="CD176" s="266"/>
      <c r="CE176" s="266"/>
      <c r="CF176" s="266"/>
      <c r="CG176" s="266"/>
      <c r="CH176" s="266"/>
      <c r="CI176" s="266"/>
      <c r="CJ176" s="266"/>
      <c r="CK176" s="266"/>
      <c r="CL176" s="266"/>
      <c r="CM176" s="266"/>
      <c r="CN176" s="266"/>
      <c r="CO176" s="266"/>
      <c r="CP176" s="266"/>
      <c r="CQ176" s="266"/>
      <c r="CR176" s="266"/>
      <c r="CS176" s="266"/>
      <c r="CT176" s="267"/>
      <c r="CU176" s="267"/>
      <c r="CV176" s="267"/>
      <c r="CW176" s="267"/>
      <c r="CX176" s="267"/>
      <c r="CY176" s="267"/>
      <c r="CZ176" s="267"/>
      <c r="DA176" s="267"/>
      <c r="DB176" s="267"/>
      <c r="DC176" s="267"/>
      <c r="DD176" s="267"/>
      <c r="DE176" s="267"/>
      <c r="DF176" s="267"/>
      <c r="DG176" s="267"/>
      <c r="DH176" s="267"/>
      <c r="DI176" s="267"/>
      <c r="DJ176" s="268"/>
      <c r="DK176" s="268"/>
      <c r="DL176" s="268"/>
      <c r="DM176" s="268"/>
      <c r="DN176" s="268"/>
      <c r="DO176" s="268"/>
      <c r="DP176" s="268"/>
      <c r="DQ176" s="268"/>
      <c r="DR176" s="268"/>
      <c r="DS176" s="268"/>
      <c r="DT176" s="268"/>
      <c r="DU176" s="268"/>
      <c r="DV176" s="268"/>
      <c r="DW176" s="268"/>
      <c r="DX176" s="268"/>
      <c r="DY176" s="268"/>
      <c r="EA176" s="13"/>
      <c r="EB176" s="96"/>
      <c r="EC176" s="96"/>
      <c r="ED176" s="96"/>
      <c r="EE176" s="96"/>
      <c r="EF176" s="96"/>
      <c r="EG176" s="96"/>
      <c r="EH176" s="96"/>
      <c r="EI176" s="96"/>
      <c r="EJ176" s="96"/>
      <c r="EK176" s="96"/>
      <c r="EL176" s="96"/>
      <c r="EM176" s="96"/>
      <c r="EN176" s="96"/>
      <c r="EO176" s="96"/>
      <c r="EP176" s="96"/>
      <c r="EQ176" s="96"/>
      <c r="ER176" s="96"/>
      <c r="ES176" s="96"/>
      <c r="ET176" s="96"/>
      <c r="EU176" s="96"/>
      <c r="EV176" s="96"/>
      <c r="EW176" s="96"/>
      <c r="EX176" s="96"/>
      <c r="EY176" s="96"/>
      <c r="EZ176" s="96"/>
      <c r="FA176" s="96"/>
      <c r="FB176" s="96"/>
      <c r="FC176" s="96"/>
      <c r="FD176" s="96"/>
      <c r="FE176" s="96"/>
      <c r="FF176" s="96"/>
      <c r="FG176" s="96"/>
      <c r="FH176" s="96"/>
      <c r="FI176" s="96"/>
      <c r="FJ176" s="96"/>
      <c r="FK176" s="96"/>
      <c r="FL176" s="96"/>
      <c r="FM176" s="96"/>
      <c r="FN176" s="96"/>
      <c r="FO176" s="96"/>
      <c r="FP176" s="96"/>
      <c r="FQ176" s="96"/>
      <c r="FR176" s="96"/>
      <c r="FS176" s="96"/>
      <c r="FT176" s="96"/>
      <c r="FU176" s="96"/>
      <c r="FV176" s="96"/>
      <c r="FW176" s="96"/>
      <c r="FX176" s="96"/>
      <c r="FY176" s="96"/>
      <c r="FZ176" s="96"/>
      <c r="GA176" s="96"/>
      <c r="GB176" s="96"/>
      <c r="GC176" s="96"/>
      <c r="GD176" s="96"/>
      <c r="GE176" s="96"/>
      <c r="GF176" s="96"/>
      <c r="GG176" s="96"/>
      <c r="GH176" s="96"/>
      <c r="GI176" s="96"/>
      <c r="GJ176" s="96"/>
      <c r="GK176" s="96"/>
      <c r="GL176" s="96"/>
      <c r="GM176" s="13"/>
      <c r="GN176" s="96"/>
      <c r="GO176" s="96"/>
      <c r="GP176" s="96"/>
      <c r="GQ176" s="96"/>
      <c r="GR176" s="96"/>
      <c r="GS176" s="96"/>
      <c r="GT176" s="96"/>
      <c r="GU176" s="96"/>
      <c r="GV176" s="96"/>
      <c r="GW176" s="96"/>
      <c r="GX176" s="96"/>
      <c r="GY176" s="96"/>
      <c r="GZ176" s="96"/>
      <c r="HA176" s="96"/>
      <c r="HB176" s="96"/>
      <c r="HC176" s="13"/>
      <c r="HD176" s="96"/>
      <c r="HE176" s="96"/>
      <c r="HF176" s="96"/>
      <c r="HG176" s="96"/>
      <c r="HH176" s="96"/>
      <c r="HI176" s="96"/>
      <c r="HJ176" s="96"/>
      <c r="HK176" s="96"/>
      <c r="HL176" s="96"/>
      <c r="HM176" s="96"/>
      <c r="HN176" s="96"/>
      <c r="HO176" s="96"/>
      <c r="HP176" s="96"/>
      <c r="HQ176" s="96"/>
      <c r="HR176" s="96"/>
      <c r="HS176" s="13"/>
      <c r="HT176" s="96"/>
      <c r="HU176" s="96"/>
      <c r="HV176" s="96"/>
      <c r="HW176" s="96"/>
      <c r="HX176" s="96"/>
      <c r="HY176" s="96"/>
      <c r="HZ176" s="96"/>
      <c r="IA176" s="96"/>
      <c r="IB176" s="96"/>
      <c r="IC176" s="96"/>
      <c r="ID176" s="96"/>
      <c r="IE176" s="96"/>
      <c r="IF176" s="96"/>
      <c r="IG176" s="96"/>
      <c r="IH176" s="96"/>
      <c r="II176" s="13"/>
      <c r="IJ176" s="96"/>
      <c r="IK176" s="96"/>
      <c r="IL176" s="96"/>
      <c r="IM176" s="96"/>
      <c r="IN176" s="96"/>
      <c r="IO176" s="96"/>
      <c r="IP176" s="96"/>
      <c r="IQ176" s="96"/>
      <c r="IR176" s="96"/>
      <c r="IS176" s="96"/>
      <c r="IT176" s="96"/>
      <c r="IU176" s="96"/>
      <c r="IV176" s="96"/>
      <c r="IW176" s="96"/>
      <c r="IX176" s="96"/>
      <c r="IY176" s="13"/>
    </row>
    <row r="177" spans="1:259" outlineLevel="1">
      <c r="A177" s="11">
        <f>'VAC &amp; MED'!C170</f>
        <v>46166</v>
      </c>
      <c r="B177" s="261"/>
      <c r="C177" s="261"/>
      <c r="D177" s="261"/>
      <c r="E177" s="261"/>
      <c r="F177" s="261"/>
      <c r="G177" s="261"/>
      <c r="H177" s="261"/>
      <c r="I177" s="261"/>
      <c r="J177" s="261"/>
      <c r="K177" s="261"/>
      <c r="L177" s="261"/>
      <c r="M177" s="261"/>
      <c r="N177" s="261"/>
      <c r="O177" s="261"/>
      <c r="P177" s="261"/>
      <c r="Q177" s="261"/>
      <c r="R177" s="262"/>
      <c r="S177" s="262"/>
      <c r="T177" s="262"/>
      <c r="U177" s="262"/>
      <c r="V177" s="262"/>
      <c r="W177" s="262"/>
      <c r="X177" s="262"/>
      <c r="Y177" s="262"/>
      <c r="Z177" s="262"/>
      <c r="AA177" s="262"/>
      <c r="AB177" s="262"/>
      <c r="AC177" s="262"/>
      <c r="AD177" s="262"/>
      <c r="AE177" s="262"/>
      <c r="AF177" s="262"/>
      <c r="AG177" s="262"/>
      <c r="AH177" s="263"/>
      <c r="AI177" s="263"/>
      <c r="AJ177" s="263"/>
      <c r="AK177" s="263"/>
      <c r="AL177" s="263"/>
      <c r="AM177" s="263"/>
      <c r="AN177" s="263"/>
      <c r="AO177" s="263"/>
      <c r="AP177" s="263"/>
      <c r="AQ177" s="263"/>
      <c r="AR177" s="263"/>
      <c r="AS177" s="263"/>
      <c r="AT177" s="263"/>
      <c r="AU177" s="263"/>
      <c r="AV177" s="263"/>
      <c r="AW177" s="263"/>
      <c r="AX177" s="264"/>
      <c r="AY177" s="264"/>
      <c r="AZ177" s="264"/>
      <c r="BA177" s="264"/>
      <c r="BB177" s="264"/>
      <c r="BC177" s="264"/>
      <c r="BD177" s="264"/>
      <c r="BE177" s="264"/>
      <c r="BF177" s="264"/>
      <c r="BG177" s="264"/>
      <c r="BH177" s="264"/>
      <c r="BI177" s="264"/>
      <c r="BJ177" s="264"/>
      <c r="BK177" s="264"/>
      <c r="BL177" s="264"/>
      <c r="BM177" s="264"/>
      <c r="BN177" s="265"/>
      <c r="BO177" s="265"/>
      <c r="BP177" s="265"/>
      <c r="BQ177" s="265"/>
      <c r="BR177" s="265"/>
      <c r="BS177" s="265"/>
      <c r="BT177" s="265"/>
      <c r="BU177" s="265"/>
      <c r="BV177" s="265"/>
      <c r="BW177" s="265"/>
      <c r="BX177" s="265"/>
      <c r="BY177" s="265"/>
      <c r="BZ177" s="265"/>
      <c r="CA177" s="265"/>
      <c r="CB177" s="265"/>
      <c r="CC177" s="265"/>
      <c r="CD177" s="266"/>
      <c r="CE177" s="266"/>
      <c r="CF177" s="266"/>
      <c r="CG177" s="266"/>
      <c r="CH177" s="266"/>
      <c r="CI177" s="266"/>
      <c r="CJ177" s="266"/>
      <c r="CK177" s="266"/>
      <c r="CL177" s="266"/>
      <c r="CM177" s="266"/>
      <c r="CN177" s="266"/>
      <c r="CO177" s="266"/>
      <c r="CP177" s="266"/>
      <c r="CQ177" s="266"/>
      <c r="CR177" s="266"/>
      <c r="CS177" s="266"/>
      <c r="CT177" s="267"/>
      <c r="CU177" s="267"/>
      <c r="CV177" s="267"/>
      <c r="CW177" s="267"/>
      <c r="CX177" s="267"/>
      <c r="CY177" s="267"/>
      <c r="CZ177" s="267"/>
      <c r="DA177" s="267"/>
      <c r="DB177" s="267"/>
      <c r="DC177" s="267"/>
      <c r="DD177" s="267"/>
      <c r="DE177" s="267"/>
      <c r="DF177" s="267"/>
      <c r="DG177" s="267"/>
      <c r="DH177" s="267"/>
      <c r="DI177" s="267"/>
      <c r="DJ177" s="268"/>
      <c r="DK177" s="268"/>
      <c r="DL177" s="268"/>
      <c r="DM177" s="268"/>
      <c r="DN177" s="268"/>
      <c r="DO177" s="268"/>
      <c r="DP177" s="268"/>
      <c r="DQ177" s="268"/>
      <c r="DR177" s="268"/>
      <c r="DS177" s="268"/>
      <c r="DT177" s="268"/>
      <c r="DU177" s="268"/>
      <c r="DV177" s="268"/>
      <c r="DW177" s="268"/>
      <c r="DX177" s="268"/>
      <c r="DY177" s="268"/>
      <c r="EA177" s="13"/>
      <c r="EB177" s="96"/>
      <c r="EC177" s="96"/>
      <c r="ED177" s="96"/>
      <c r="EE177" s="96"/>
      <c r="EF177" s="96"/>
      <c r="EG177" s="96"/>
      <c r="EH177" s="96"/>
      <c r="EI177" s="96"/>
      <c r="EJ177" s="96"/>
      <c r="EK177" s="96"/>
      <c r="EL177" s="96"/>
      <c r="EM177" s="96"/>
      <c r="EN177" s="96"/>
      <c r="EO177" s="96"/>
      <c r="EP177" s="96"/>
      <c r="EQ177" s="96"/>
      <c r="ER177" s="96"/>
      <c r="ES177" s="96"/>
      <c r="ET177" s="96"/>
      <c r="EU177" s="96"/>
      <c r="EV177" s="96"/>
      <c r="EW177" s="96"/>
      <c r="EX177" s="96"/>
      <c r="EY177" s="96"/>
      <c r="EZ177" s="96"/>
      <c r="FA177" s="96"/>
      <c r="FB177" s="96"/>
      <c r="FC177" s="96"/>
      <c r="FD177" s="96"/>
      <c r="FE177" s="96"/>
      <c r="FF177" s="96"/>
      <c r="FG177" s="96"/>
      <c r="FH177" s="96"/>
      <c r="FI177" s="96"/>
      <c r="FJ177" s="96"/>
      <c r="FK177" s="96"/>
      <c r="FL177" s="96"/>
      <c r="FM177" s="96"/>
      <c r="FN177" s="96"/>
      <c r="FO177" s="96"/>
      <c r="FP177" s="96"/>
      <c r="FQ177" s="96"/>
      <c r="FR177" s="96"/>
      <c r="FS177" s="96"/>
      <c r="FT177" s="96"/>
      <c r="FU177" s="96"/>
      <c r="FV177" s="96"/>
      <c r="FW177" s="96"/>
      <c r="FX177" s="96"/>
      <c r="FY177" s="96"/>
      <c r="FZ177" s="96"/>
      <c r="GA177" s="96"/>
      <c r="GB177" s="96"/>
      <c r="GC177" s="96"/>
      <c r="GD177" s="96"/>
      <c r="GE177" s="96"/>
      <c r="GF177" s="96"/>
      <c r="GG177" s="96"/>
      <c r="GH177" s="96"/>
      <c r="GI177" s="96"/>
      <c r="GJ177" s="96"/>
      <c r="GK177" s="96"/>
      <c r="GL177" s="96"/>
      <c r="GM177" s="13"/>
      <c r="GN177" s="96"/>
      <c r="GO177" s="96"/>
      <c r="GP177" s="96"/>
      <c r="GQ177" s="96"/>
      <c r="GR177" s="96"/>
      <c r="GS177" s="96"/>
      <c r="GT177" s="96"/>
      <c r="GU177" s="96"/>
      <c r="GV177" s="96"/>
      <c r="GW177" s="96"/>
      <c r="GX177" s="96"/>
      <c r="GY177" s="96"/>
      <c r="GZ177" s="96"/>
      <c r="HA177" s="96"/>
      <c r="HB177" s="96"/>
      <c r="HC177" s="13"/>
      <c r="HD177" s="96"/>
      <c r="HE177" s="96"/>
      <c r="HF177" s="96"/>
      <c r="HG177" s="96"/>
      <c r="HH177" s="96"/>
      <c r="HI177" s="96"/>
      <c r="HJ177" s="96"/>
      <c r="HK177" s="96"/>
      <c r="HL177" s="96"/>
      <c r="HM177" s="96"/>
      <c r="HN177" s="96"/>
      <c r="HO177" s="96"/>
      <c r="HP177" s="96"/>
      <c r="HQ177" s="96"/>
      <c r="HR177" s="96"/>
      <c r="HS177" s="13"/>
      <c r="HT177" s="96"/>
      <c r="HU177" s="96"/>
      <c r="HV177" s="96"/>
      <c r="HW177" s="96"/>
      <c r="HX177" s="96"/>
      <c r="HY177" s="96"/>
      <c r="HZ177" s="96"/>
      <c r="IA177" s="96"/>
      <c r="IB177" s="96"/>
      <c r="IC177" s="96"/>
      <c r="ID177" s="96"/>
      <c r="IE177" s="96"/>
      <c r="IF177" s="96"/>
      <c r="IG177" s="96"/>
      <c r="IH177" s="96"/>
      <c r="II177" s="13"/>
      <c r="IJ177" s="96"/>
      <c r="IK177" s="96"/>
      <c r="IL177" s="96"/>
      <c r="IM177" s="96"/>
      <c r="IN177" s="96"/>
      <c r="IO177" s="96"/>
      <c r="IP177" s="96"/>
      <c r="IQ177" s="96"/>
      <c r="IR177" s="96"/>
      <c r="IS177" s="96"/>
      <c r="IT177" s="96"/>
      <c r="IU177" s="96"/>
      <c r="IV177" s="96"/>
      <c r="IW177" s="96"/>
      <c r="IX177" s="96"/>
      <c r="IY177" s="13"/>
    </row>
    <row r="178" spans="1:259" outlineLevel="1">
      <c r="A178" s="11">
        <f>'VAC &amp; MED'!C171</f>
        <v>46167</v>
      </c>
      <c r="B178" s="261"/>
      <c r="C178" s="261"/>
      <c r="D178" s="261"/>
      <c r="E178" s="261"/>
      <c r="F178" s="261"/>
      <c r="G178" s="261"/>
      <c r="H178" s="261"/>
      <c r="I178" s="261"/>
      <c r="J178" s="261"/>
      <c r="K178" s="261"/>
      <c r="L178" s="261"/>
      <c r="M178" s="261"/>
      <c r="N178" s="261"/>
      <c r="O178" s="261"/>
      <c r="P178" s="261"/>
      <c r="Q178" s="261"/>
      <c r="R178" s="262"/>
      <c r="S178" s="262"/>
      <c r="T178" s="262"/>
      <c r="U178" s="262"/>
      <c r="V178" s="262"/>
      <c r="W178" s="262"/>
      <c r="X178" s="262"/>
      <c r="Y178" s="262"/>
      <c r="Z178" s="262"/>
      <c r="AA178" s="262"/>
      <c r="AB178" s="262"/>
      <c r="AC178" s="262"/>
      <c r="AD178" s="262"/>
      <c r="AE178" s="262"/>
      <c r="AF178" s="262"/>
      <c r="AG178" s="262"/>
      <c r="AH178" s="263"/>
      <c r="AI178" s="263"/>
      <c r="AJ178" s="263"/>
      <c r="AK178" s="263"/>
      <c r="AL178" s="263"/>
      <c r="AM178" s="263"/>
      <c r="AN178" s="263"/>
      <c r="AO178" s="263"/>
      <c r="AP178" s="263"/>
      <c r="AQ178" s="263"/>
      <c r="AR178" s="263"/>
      <c r="AS178" s="263"/>
      <c r="AT178" s="263"/>
      <c r="AU178" s="263"/>
      <c r="AV178" s="263"/>
      <c r="AW178" s="263"/>
      <c r="AX178" s="264"/>
      <c r="AY178" s="264"/>
      <c r="AZ178" s="264"/>
      <c r="BA178" s="264"/>
      <c r="BB178" s="264"/>
      <c r="BC178" s="264"/>
      <c r="BD178" s="264"/>
      <c r="BE178" s="264"/>
      <c r="BF178" s="264"/>
      <c r="BG178" s="264"/>
      <c r="BH178" s="264"/>
      <c r="BI178" s="264"/>
      <c r="BJ178" s="264"/>
      <c r="BK178" s="264"/>
      <c r="BL178" s="264"/>
      <c r="BM178" s="264"/>
      <c r="BN178" s="265"/>
      <c r="BO178" s="265">
        <v>14</v>
      </c>
      <c r="BP178" s="265"/>
      <c r="BQ178" s="265"/>
      <c r="BR178" s="265"/>
      <c r="BS178" s="265"/>
      <c r="BT178" s="265"/>
      <c r="BU178" s="265"/>
      <c r="BV178" s="265"/>
      <c r="BW178" s="265"/>
      <c r="BX178" s="265"/>
      <c r="BY178" s="265"/>
      <c r="BZ178" s="265"/>
      <c r="CA178" s="265"/>
      <c r="CB178" s="265"/>
      <c r="CC178" s="265"/>
      <c r="CD178" s="266"/>
      <c r="CE178" s="266"/>
      <c r="CF178" s="266"/>
      <c r="CG178" s="266"/>
      <c r="CH178" s="266"/>
      <c r="CI178" s="266"/>
      <c r="CJ178" s="266"/>
      <c r="CK178" s="266"/>
      <c r="CL178" s="266"/>
      <c r="CM178" s="266"/>
      <c r="CN178" s="266"/>
      <c r="CO178" s="266"/>
      <c r="CP178" s="266"/>
      <c r="CQ178" s="266"/>
      <c r="CR178" s="266"/>
      <c r="CS178" s="266"/>
      <c r="CT178" s="267"/>
      <c r="CU178" s="267"/>
      <c r="CV178" s="267"/>
      <c r="CW178" s="267"/>
      <c r="CX178" s="267"/>
      <c r="CY178" s="267"/>
      <c r="CZ178" s="267">
        <v>20</v>
      </c>
      <c r="DA178" s="267"/>
      <c r="DB178" s="267"/>
      <c r="DC178" s="267"/>
      <c r="DD178" s="267"/>
      <c r="DE178" s="267"/>
      <c r="DF178" s="267"/>
      <c r="DG178" s="267"/>
      <c r="DH178" s="267"/>
      <c r="DI178" s="267"/>
      <c r="DJ178" s="268"/>
      <c r="DK178" s="268"/>
      <c r="DL178" s="268"/>
      <c r="DM178" s="268"/>
      <c r="DN178" s="268"/>
      <c r="DO178" s="268"/>
      <c r="DP178" s="268"/>
      <c r="DQ178" s="268"/>
      <c r="DR178" s="268"/>
      <c r="DS178" s="268"/>
      <c r="DT178" s="268"/>
      <c r="DU178" s="268"/>
      <c r="DV178" s="268"/>
      <c r="DW178" s="268"/>
      <c r="DX178" s="268"/>
      <c r="DY178" s="268"/>
      <c r="EA178" s="13"/>
      <c r="EB178" s="96"/>
      <c r="EC178" s="96"/>
      <c r="ED178" s="96"/>
      <c r="EE178" s="96"/>
      <c r="EF178" s="96"/>
      <c r="EG178" s="96"/>
      <c r="EH178" s="96"/>
      <c r="EI178" s="96"/>
      <c r="EJ178" s="96"/>
      <c r="EK178" s="96"/>
      <c r="EL178" s="96"/>
      <c r="EM178" s="96"/>
      <c r="EN178" s="96"/>
      <c r="EO178" s="96"/>
      <c r="EP178" s="96"/>
      <c r="EQ178" s="96"/>
      <c r="ER178" s="96"/>
      <c r="ES178" s="96"/>
      <c r="ET178" s="96"/>
      <c r="EU178" s="96"/>
      <c r="EV178" s="96"/>
      <c r="EW178" s="96"/>
      <c r="EX178" s="96"/>
      <c r="EY178" s="96"/>
      <c r="EZ178" s="96"/>
      <c r="FA178" s="96"/>
      <c r="FB178" s="96"/>
      <c r="FC178" s="96"/>
      <c r="FD178" s="96"/>
      <c r="FE178" s="96"/>
      <c r="FF178" s="96"/>
      <c r="FG178" s="96"/>
      <c r="FH178" s="96"/>
      <c r="FI178" s="96"/>
      <c r="FJ178" s="96"/>
      <c r="FK178" s="96"/>
      <c r="FL178" s="96"/>
      <c r="FM178" s="96"/>
      <c r="FN178" s="96"/>
      <c r="FO178" s="96"/>
      <c r="FP178" s="96"/>
      <c r="FQ178" s="96"/>
      <c r="FR178" s="96"/>
      <c r="FS178" s="96"/>
      <c r="FT178" s="96"/>
      <c r="FU178" s="96"/>
      <c r="FV178" s="96"/>
      <c r="FW178" s="96"/>
      <c r="FX178" s="96"/>
      <c r="FY178" s="96"/>
      <c r="FZ178" s="96"/>
      <c r="GA178" s="96"/>
      <c r="GB178" s="96"/>
      <c r="GC178" s="96"/>
      <c r="GD178" s="96"/>
      <c r="GE178" s="96"/>
      <c r="GF178" s="96"/>
      <c r="GG178" s="96"/>
      <c r="GH178" s="96"/>
      <c r="GI178" s="96"/>
      <c r="GJ178" s="96"/>
      <c r="GK178" s="96"/>
      <c r="GL178" s="96"/>
      <c r="GM178" s="13"/>
      <c r="GN178" s="96"/>
      <c r="GO178" s="96"/>
      <c r="GP178" s="96"/>
      <c r="GQ178" s="96"/>
      <c r="GR178" s="96"/>
      <c r="GS178" s="96"/>
      <c r="GT178" s="96"/>
      <c r="GU178" s="96"/>
      <c r="GV178" s="96"/>
      <c r="GW178" s="96"/>
      <c r="GX178" s="96"/>
      <c r="GY178" s="96"/>
      <c r="GZ178" s="96"/>
      <c r="HA178" s="96"/>
      <c r="HB178" s="96"/>
      <c r="HC178" s="13"/>
      <c r="HD178" s="96"/>
      <c r="HE178" s="96"/>
      <c r="HF178" s="96"/>
      <c r="HG178" s="96"/>
      <c r="HH178" s="96"/>
      <c r="HI178" s="96"/>
      <c r="HJ178" s="96"/>
      <c r="HK178" s="96"/>
      <c r="HL178" s="96"/>
      <c r="HM178" s="96"/>
      <c r="HN178" s="96"/>
      <c r="HO178" s="96"/>
      <c r="HP178" s="96"/>
      <c r="HQ178" s="96"/>
      <c r="HR178" s="96"/>
      <c r="HS178" s="13"/>
      <c r="HT178" s="96"/>
      <c r="HU178" s="96"/>
      <c r="HV178" s="96"/>
      <c r="HW178" s="96"/>
      <c r="HX178" s="96"/>
      <c r="HY178" s="96"/>
      <c r="HZ178" s="96"/>
      <c r="IA178" s="96"/>
      <c r="IB178" s="96"/>
      <c r="IC178" s="96"/>
      <c r="ID178" s="96"/>
      <c r="IE178" s="96"/>
      <c r="IF178" s="96"/>
      <c r="IG178" s="96"/>
      <c r="IH178" s="96"/>
      <c r="II178" s="13"/>
      <c r="IJ178" s="96"/>
      <c r="IK178" s="96"/>
      <c r="IL178" s="96"/>
      <c r="IM178" s="96"/>
      <c r="IN178" s="96"/>
      <c r="IO178" s="96"/>
      <c r="IP178" s="96"/>
      <c r="IQ178" s="96"/>
      <c r="IR178" s="96"/>
      <c r="IS178" s="96"/>
      <c r="IT178" s="96"/>
      <c r="IU178" s="96"/>
      <c r="IV178" s="96"/>
      <c r="IW178" s="96"/>
      <c r="IX178" s="96"/>
      <c r="IY178" s="13"/>
    </row>
    <row r="179" spans="1:259" outlineLevel="1">
      <c r="A179" s="11">
        <f>'VAC &amp; MED'!C172</f>
        <v>46168</v>
      </c>
      <c r="B179" s="261"/>
      <c r="C179" s="261"/>
      <c r="D179" s="261"/>
      <c r="E179" s="261"/>
      <c r="F179" s="261"/>
      <c r="G179" s="261"/>
      <c r="H179" s="261"/>
      <c r="I179" s="261"/>
      <c r="J179" s="261"/>
      <c r="K179" s="261"/>
      <c r="L179" s="261"/>
      <c r="M179" s="261"/>
      <c r="N179" s="261"/>
      <c r="O179" s="261"/>
      <c r="P179" s="261"/>
      <c r="Q179" s="261"/>
      <c r="R179" s="262"/>
      <c r="S179" s="262"/>
      <c r="T179" s="262"/>
      <c r="U179" s="262"/>
      <c r="V179" s="262"/>
      <c r="W179" s="262"/>
      <c r="X179" s="262"/>
      <c r="Y179" s="262"/>
      <c r="Z179" s="262"/>
      <c r="AA179" s="262"/>
      <c r="AB179" s="262"/>
      <c r="AC179" s="262"/>
      <c r="AD179" s="262"/>
      <c r="AE179" s="262"/>
      <c r="AF179" s="262"/>
      <c r="AG179" s="262"/>
      <c r="AH179" s="263"/>
      <c r="AI179" s="263">
        <v>60</v>
      </c>
      <c r="AJ179" s="263"/>
      <c r="AK179" s="263"/>
      <c r="AL179" s="263"/>
      <c r="AM179" s="263"/>
      <c r="AN179" s="263"/>
      <c r="AO179" s="263"/>
      <c r="AP179" s="263"/>
      <c r="AQ179" s="263"/>
      <c r="AR179" s="263"/>
      <c r="AS179" s="263"/>
      <c r="AT179" s="263"/>
      <c r="AU179" s="263"/>
      <c r="AV179" s="263"/>
      <c r="AW179" s="263"/>
      <c r="AX179" s="264"/>
      <c r="AY179" s="264"/>
      <c r="AZ179" s="264"/>
      <c r="BA179" s="264"/>
      <c r="BB179" s="264"/>
      <c r="BC179" s="264"/>
      <c r="BD179" s="264"/>
      <c r="BE179" s="264"/>
      <c r="BF179" s="264"/>
      <c r="BG179" s="264"/>
      <c r="BH179" s="264"/>
      <c r="BI179" s="264"/>
      <c r="BJ179" s="264"/>
      <c r="BK179" s="264"/>
      <c r="BL179" s="264"/>
      <c r="BM179" s="264"/>
      <c r="BN179" s="265"/>
      <c r="BO179" s="265"/>
      <c r="BP179" s="265"/>
      <c r="BQ179" s="265"/>
      <c r="BR179" s="265"/>
      <c r="BS179" s="265"/>
      <c r="BT179" s="265"/>
      <c r="BU179" s="265"/>
      <c r="BV179" s="265"/>
      <c r="BW179" s="265"/>
      <c r="BX179" s="265"/>
      <c r="BY179" s="265"/>
      <c r="BZ179" s="265"/>
      <c r="CA179" s="265"/>
      <c r="CB179" s="265"/>
      <c r="CC179" s="265"/>
      <c r="CD179" s="266"/>
      <c r="CE179" s="266"/>
      <c r="CF179" s="266"/>
      <c r="CG179" s="266"/>
      <c r="CH179" s="266"/>
      <c r="CI179" s="266"/>
      <c r="CJ179" s="266"/>
      <c r="CK179" s="266"/>
      <c r="CL179" s="266"/>
      <c r="CM179" s="266"/>
      <c r="CN179" s="266"/>
      <c r="CO179" s="266"/>
      <c r="CP179" s="266"/>
      <c r="CQ179" s="266"/>
      <c r="CR179" s="266"/>
      <c r="CS179" s="266"/>
      <c r="CT179" s="267"/>
      <c r="CU179" s="267"/>
      <c r="CV179" s="267"/>
      <c r="CW179" s="267"/>
      <c r="CX179" s="267"/>
      <c r="CY179" s="267"/>
      <c r="CZ179" s="267"/>
      <c r="DA179" s="267"/>
      <c r="DB179" s="267"/>
      <c r="DC179" s="267"/>
      <c r="DD179" s="267"/>
      <c r="DE179" s="267"/>
      <c r="DF179" s="267"/>
      <c r="DG179" s="267"/>
      <c r="DH179" s="267"/>
      <c r="DI179" s="267"/>
      <c r="DJ179" s="268"/>
      <c r="DK179" s="268"/>
      <c r="DL179" s="268"/>
      <c r="DM179" s="268"/>
      <c r="DN179" s="268"/>
      <c r="DO179" s="268"/>
      <c r="DP179" s="268"/>
      <c r="DQ179" s="268"/>
      <c r="DR179" s="268"/>
      <c r="DS179" s="268"/>
      <c r="DT179" s="268"/>
      <c r="DU179" s="268"/>
      <c r="DV179" s="268"/>
      <c r="DW179" s="268"/>
      <c r="DX179" s="268"/>
      <c r="DY179" s="268"/>
      <c r="EA179" s="13"/>
      <c r="EB179" s="96"/>
      <c r="EC179" s="96"/>
      <c r="ED179" s="96"/>
      <c r="EE179" s="96"/>
      <c r="EF179" s="96"/>
      <c r="EG179" s="96"/>
      <c r="EH179" s="96"/>
      <c r="EI179" s="96"/>
      <c r="EJ179" s="96"/>
      <c r="EK179" s="96"/>
      <c r="EL179" s="96"/>
      <c r="EM179" s="96"/>
      <c r="EN179" s="96"/>
      <c r="EO179" s="96"/>
      <c r="EP179" s="96"/>
      <c r="EQ179" s="96"/>
      <c r="ER179" s="96"/>
      <c r="ES179" s="96"/>
      <c r="ET179" s="96"/>
      <c r="EU179" s="96"/>
      <c r="EV179" s="96"/>
      <c r="EW179" s="96"/>
      <c r="EX179" s="96"/>
      <c r="EY179" s="96"/>
      <c r="EZ179" s="96"/>
      <c r="FA179" s="96"/>
      <c r="FB179" s="96"/>
      <c r="FC179" s="96"/>
      <c r="FD179" s="96"/>
      <c r="FE179" s="96"/>
      <c r="FF179" s="96"/>
      <c r="FG179" s="96"/>
      <c r="FH179" s="96"/>
      <c r="FI179" s="96"/>
      <c r="FJ179" s="96"/>
      <c r="FK179" s="96"/>
      <c r="FL179" s="96"/>
      <c r="FM179" s="96"/>
      <c r="FN179" s="96"/>
      <c r="FO179" s="96"/>
      <c r="FP179" s="96"/>
      <c r="FQ179" s="96"/>
      <c r="FR179" s="96"/>
      <c r="FS179" s="96"/>
      <c r="FT179" s="96"/>
      <c r="FU179" s="96"/>
      <c r="FV179" s="96"/>
      <c r="FW179" s="96"/>
      <c r="FX179" s="96"/>
      <c r="FY179" s="96"/>
      <c r="FZ179" s="96"/>
      <c r="GA179" s="96"/>
      <c r="GB179" s="96"/>
      <c r="GC179" s="96"/>
      <c r="GD179" s="96"/>
      <c r="GE179" s="96"/>
      <c r="GF179" s="96"/>
      <c r="GG179" s="96"/>
      <c r="GH179" s="96"/>
      <c r="GI179" s="96"/>
      <c r="GJ179" s="96"/>
      <c r="GK179" s="96"/>
      <c r="GL179" s="96"/>
      <c r="GM179" s="13"/>
      <c r="GN179" s="96"/>
      <c r="GO179" s="96"/>
      <c r="GP179" s="96"/>
      <c r="GQ179" s="96"/>
      <c r="GR179" s="96"/>
      <c r="GS179" s="96"/>
      <c r="GT179" s="96"/>
      <c r="GU179" s="96"/>
      <c r="GV179" s="96"/>
      <c r="GW179" s="96"/>
      <c r="GX179" s="96"/>
      <c r="GY179" s="96"/>
      <c r="GZ179" s="96"/>
      <c r="HA179" s="96"/>
      <c r="HB179" s="96"/>
      <c r="HC179" s="13"/>
      <c r="HD179" s="96"/>
      <c r="HE179" s="96"/>
      <c r="HF179" s="96"/>
      <c r="HG179" s="96"/>
      <c r="HH179" s="96"/>
      <c r="HI179" s="96"/>
      <c r="HJ179" s="96"/>
      <c r="HK179" s="96"/>
      <c r="HL179" s="96"/>
      <c r="HM179" s="96"/>
      <c r="HN179" s="96"/>
      <c r="HO179" s="96"/>
      <c r="HP179" s="96"/>
      <c r="HQ179" s="96"/>
      <c r="HR179" s="96"/>
      <c r="HS179" s="13"/>
      <c r="HT179" s="96"/>
      <c r="HU179" s="96"/>
      <c r="HV179" s="96"/>
      <c r="HW179" s="96"/>
      <c r="HX179" s="96"/>
      <c r="HY179" s="96"/>
      <c r="HZ179" s="96"/>
      <c r="IA179" s="96"/>
      <c r="IB179" s="96"/>
      <c r="IC179" s="96"/>
      <c r="ID179" s="96"/>
      <c r="IE179" s="96"/>
      <c r="IF179" s="96"/>
      <c r="IG179" s="96"/>
      <c r="IH179" s="96"/>
      <c r="II179" s="13"/>
      <c r="IJ179" s="96"/>
      <c r="IK179" s="96"/>
      <c r="IL179" s="96"/>
      <c r="IM179" s="96"/>
      <c r="IN179" s="96"/>
      <c r="IO179" s="96"/>
      <c r="IP179" s="96"/>
      <c r="IQ179" s="96"/>
      <c r="IR179" s="96"/>
      <c r="IS179" s="96"/>
      <c r="IT179" s="96"/>
      <c r="IU179" s="96"/>
      <c r="IV179" s="96"/>
      <c r="IW179" s="96"/>
      <c r="IX179" s="96"/>
      <c r="IY179" s="13"/>
    </row>
    <row r="180" spans="1:259" outlineLevel="1">
      <c r="A180" s="11">
        <f>'VAC &amp; MED'!C173</f>
        <v>46169</v>
      </c>
      <c r="B180" s="261"/>
      <c r="C180" s="261"/>
      <c r="D180" s="261"/>
      <c r="E180" s="261"/>
      <c r="F180" s="261"/>
      <c r="G180" s="261"/>
      <c r="H180" s="261"/>
      <c r="I180" s="261"/>
      <c r="J180" s="261"/>
      <c r="K180" s="261"/>
      <c r="L180" s="261"/>
      <c r="M180" s="261"/>
      <c r="N180" s="261"/>
      <c r="O180" s="261"/>
      <c r="P180" s="261"/>
      <c r="Q180" s="261"/>
      <c r="R180" s="262"/>
      <c r="S180" s="262"/>
      <c r="T180" s="262"/>
      <c r="U180" s="262"/>
      <c r="V180" s="262"/>
      <c r="W180" s="262"/>
      <c r="X180" s="262"/>
      <c r="Y180" s="262"/>
      <c r="Z180" s="262"/>
      <c r="AA180" s="262"/>
      <c r="AB180" s="262"/>
      <c r="AC180" s="262"/>
      <c r="AD180" s="262"/>
      <c r="AE180" s="262"/>
      <c r="AF180" s="262"/>
      <c r="AG180" s="262"/>
      <c r="AH180" s="263"/>
      <c r="AI180" s="263"/>
      <c r="AJ180" s="263"/>
      <c r="AK180" s="263"/>
      <c r="AL180" s="263"/>
      <c r="AM180" s="263"/>
      <c r="AN180" s="263"/>
      <c r="AO180" s="263"/>
      <c r="AP180" s="263"/>
      <c r="AQ180" s="263"/>
      <c r="AR180" s="263"/>
      <c r="AS180" s="263"/>
      <c r="AT180" s="263"/>
      <c r="AU180" s="263"/>
      <c r="AV180" s="263"/>
      <c r="AW180" s="263"/>
      <c r="AX180" s="264"/>
      <c r="AY180" s="264"/>
      <c r="AZ180" s="264"/>
      <c r="BA180" s="264"/>
      <c r="BB180" s="264"/>
      <c r="BC180" s="264"/>
      <c r="BD180" s="264"/>
      <c r="BE180" s="264"/>
      <c r="BF180" s="264"/>
      <c r="BG180" s="264"/>
      <c r="BH180" s="264"/>
      <c r="BI180" s="264"/>
      <c r="BJ180" s="264"/>
      <c r="BK180" s="264"/>
      <c r="BL180" s="264"/>
      <c r="BM180" s="264"/>
      <c r="BN180" s="265"/>
      <c r="BO180" s="265"/>
      <c r="BP180" s="265"/>
      <c r="BQ180" s="265"/>
      <c r="BR180" s="265"/>
      <c r="BS180" s="265"/>
      <c r="BT180" s="265"/>
      <c r="BU180" s="265"/>
      <c r="BV180" s="265"/>
      <c r="BW180" s="265"/>
      <c r="BX180" s="265"/>
      <c r="BY180" s="265"/>
      <c r="BZ180" s="265"/>
      <c r="CA180" s="265"/>
      <c r="CB180" s="265"/>
      <c r="CC180" s="265"/>
      <c r="CD180" s="266"/>
      <c r="CE180" s="266"/>
      <c r="CF180" s="266"/>
      <c r="CG180" s="266"/>
      <c r="CH180" s="266"/>
      <c r="CI180" s="266"/>
      <c r="CJ180" s="266"/>
      <c r="CK180" s="266"/>
      <c r="CL180" s="266"/>
      <c r="CM180" s="266"/>
      <c r="CN180" s="266"/>
      <c r="CO180" s="266"/>
      <c r="CP180" s="266"/>
      <c r="CQ180" s="266"/>
      <c r="CR180" s="266"/>
      <c r="CS180" s="266"/>
      <c r="CT180" s="267"/>
      <c r="CU180" s="267"/>
      <c r="CV180" s="267"/>
      <c r="CW180" s="267"/>
      <c r="CX180" s="267"/>
      <c r="CY180" s="267"/>
      <c r="CZ180" s="267"/>
      <c r="DA180" s="267"/>
      <c r="DB180" s="267"/>
      <c r="DC180" s="267"/>
      <c r="DD180" s="267"/>
      <c r="DE180" s="267"/>
      <c r="DF180" s="267"/>
      <c r="DG180" s="267"/>
      <c r="DH180" s="267"/>
      <c r="DI180" s="267"/>
      <c r="DJ180" s="268"/>
      <c r="DK180" s="268"/>
      <c r="DL180" s="268"/>
      <c r="DM180" s="268"/>
      <c r="DN180" s="268"/>
      <c r="DO180" s="268"/>
      <c r="DP180" s="268"/>
      <c r="DQ180" s="268"/>
      <c r="DR180" s="268"/>
      <c r="DS180" s="268"/>
      <c r="DT180" s="268"/>
      <c r="DU180" s="268"/>
      <c r="DV180" s="268"/>
      <c r="DW180" s="268"/>
      <c r="DX180" s="268"/>
      <c r="DY180" s="268"/>
      <c r="EA180" s="13"/>
      <c r="EB180" s="96"/>
      <c r="EC180" s="96"/>
      <c r="ED180" s="96"/>
      <c r="EE180" s="96"/>
      <c r="EF180" s="96"/>
      <c r="EG180" s="96"/>
      <c r="EH180" s="96"/>
      <c r="EI180" s="96"/>
      <c r="EJ180" s="96"/>
      <c r="EK180" s="96"/>
      <c r="EL180" s="96"/>
      <c r="EM180" s="96"/>
      <c r="EN180" s="96"/>
      <c r="EO180" s="96"/>
      <c r="EP180" s="96"/>
      <c r="EQ180" s="96"/>
      <c r="ER180" s="96"/>
      <c r="ES180" s="96"/>
      <c r="ET180" s="96"/>
      <c r="EU180" s="96"/>
      <c r="EV180" s="96"/>
      <c r="EW180" s="96"/>
      <c r="EX180" s="96"/>
      <c r="EY180" s="96"/>
      <c r="EZ180" s="96"/>
      <c r="FA180" s="96"/>
      <c r="FB180" s="96"/>
      <c r="FC180" s="96"/>
      <c r="FD180" s="96"/>
      <c r="FE180" s="96"/>
      <c r="FF180" s="96"/>
      <c r="FG180" s="96"/>
      <c r="FH180" s="96"/>
      <c r="FI180" s="96"/>
      <c r="FJ180" s="96"/>
      <c r="FK180" s="96"/>
      <c r="FL180" s="96"/>
      <c r="FM180" s="96"/>
      <c r="FN180" s="96"/>
      <c r="FO180" s="96"/>
      <c r="FP180" s="96"/>
      <c r="FQ180" s="96"/>
      <c r="FR180" s="96"/>
      <c r="FS180" s="96"/>
      <c r="FT180" s="96"/>
      <c r="FU180" s="96"/>
      <c r="FV180" s="96"/>
      <c r="FW180" s="96"/>
      <c r="FX180" s="96"/>
      <c r="FY180" s="96"/>
      <c r="FZ180" s="96"/>
      <c r="GA180" s="96"/>
      <c r="GB180" s="96"/>
      <c r="GC180" s="96"/>
      <c r="GD180" s="96"/>
      <c r="GE180" s="96"/>
      <c r="GF180" s="96"/>
      <c r="GG180" s="96"/>
      <c r="GH180" s="96"/>
      <c r="GI180" s="96"/>
      <c r="GJ180" s="96"/>
      <c r="GK180" s="96"/>
      <c r="GL180" s="96"/>
      <c r="GM180" s="13"/>
      <c r="GN180" s="96"/>
      <c r="GO180" s="96"/>
      <c r="GP180" s="96"/>
      <c r="GQ180" s="96"/>
      <c r="GR180" s="96"/>
      <c r="GS180" s="96"/>
      <c r="GT180" s="96"/>
      <c r="GU180" s="96"/>
      <c r="GV180" s="96"/>
      <c r="GW180" s="96"/>
      <c r="GX180" s="96"/>
      <c r="GY180" s="96"/>
      <c r="GZ180" s="96"/>
      <c r="HA180" s="96"/>
      <c r="HB180" s="96"/>
      <c r="HC180" s="13"/>
      <c r="HD180" s="96"/>
      <c r="HE180" s="96"/>
      <c r="HF180" s="96"/>
      <c r="HG180" s="96"/>
      <c r="HH180" s="96"/>
      <c r="HI180" s="96"/>
      <c r="HJ180" s="96"/>
      <c r="HK180" s="96"/>
      <c r="HL180" s="96"/>
      <c r="HM180" s="96"/>
      <c r="HN180" s="96"/>
      <c r="HO180" s="96"/>
      <c r="HP180" s="96"/>
      <c r="HQ180" s="96"/>
      <c r="HR180" s="96"/>
      <c r="HS180" s="13"/>
      <c r="HT180" s="96"/>
      <c r="HU180" s="96"/>
      <c r="HV180" s="96"/>
      <c r="HW180" s="96"/>
      <c r="HX180" s="96"/>
      <c r="HY180" s="96"/>
      <c r="HZ180" s="96"/>
      <c r="IA180" s="96"/>
      <c r="IB180" s="96"/>
      <c r="IC180" s="96"/>
      <c r="ID180" s="96"/>
      <c r="IE180" s="96"/>
      <c r="IF180" s="96"/>
      <c r="IG180" s="96"/>
      <c r="IH180" s="96"/>
      <c r="II180" s="13"/>
      <c r="IJ180" s="96"/>
      <c r="IK180" s="96"/>
      <c r="IL180" s="96"/>
      <c r="IM180" s="96"/>
      <c r="IN180" s="96"/>
      <c r="IO180" s="96"/>
      <c r="IP180" s="96"/>
      <c r="IQ180" s="96"/>
      <c r="IR180" s="96"/>
      <c r="IS180" s="96"/>
      <c r="IT180" s="96"/>
      <c r="IU180" s="96"/>
      <c r="IV180" s="96"/>
      <c r="IW180" s="96"/>
      <c r="IX180" s="96"/>
      <c r="IY180" s="13"/>
    </row>
    <row r="181" spans="1:259" outlineLevel="1">
      <c r="A181" s="11">
        <f>'VAC &amp; MED'!C174</f>
        <v>46170</v>
      </c>
      <c r="B181" s="261"/>
      <c r="C181" s="261"/>
      <c r="D181" s="261"/>
      <c r="E181" s="261"/>
      <c r="F181" s="261"/>
      <c r="G181" s="261"/>
      <c r="H181" s="261"/>
      <c r="I181" s="261"/>
      <c r="J181" s="261"/>
      <c r="K181" s="261"/>
      <c r="L181" s="261"/>
      <c r="M181" s="261"/>
      <c r="N181" s="261"/>
      <c r="O181" s="261"/>
      <c r="P181" s="261"/>
      <c r="Q181" s="261"/>
      <c r="R181" s="262"/>
      <c r="S181" s="262"/>
      <c r="T181" s="262"/>
      <c r="U181" s="262"/>
      <c r="V181" s="262"/>
      <c r="W181" s="262"/>
      <c r="X181" s="262"/>
      <c r="Y181" s="262"/>
      <c r="Z181" s="262"/>
      <c r="AA181" s="262"/>
      <c r="AB181" s="262"/>
      <c r="AC181" s="262"/>
      <c r="AD181" s="262"/>
      <c r="AE181" s="262"/>
      <c r="AF181" s="262"/>
      <c r="AG181" s="262"/>
      <c r="AH181" s="263"/>
      <c r="AI181" s="263"/>
      <c r="AJ181" s="263"/>
      <c r="AK181" s="263"/>
      <c r="AL181" s="263"/>
      <c r="AM181" s="263"/>
      <c r="AN181" s="263"/>
      <c r="AO181" s="263"/>
      <c r="AP181" s="263"/>
      <c r="AQ181" s="263"/>
      <c r="AR181" s="263"/>
      <c r="AS181" s="263"/>
      <c r="AT181" s="263"/>
      <c r="AU181" s="263"/>
      <c r="AV181" s="263"/>
      <c r="AW181" s="263"/>
      <c r="AX181" s="264"/>
      <c r="AY181" s="264"/>
      <c r="AZ181" s="264"/>
      <c r="BA181" s="264"/>
      <c r="BB181" s="264"/>
      <c r="BC181" s="264"/>
      <c r="BD181" s="264"/>
      <c r="BE181" s="264"/>
      <c r="BF181" s="264"/>
      <c r="BG181" s="264"/>
      <c r="BH181" s="264"/>
      <c r="BI181" s="264"/>
      <c r="BJ181" s="264"/>
      <c r="BK181" s="264"/>
      <c r="BL181" s="264"/>
      <c r="BM181" s="264"/>
      <c r="BN181" s="265"/>
      <c r="BO181" s="265"/>
      <c r="BP181" s="265"/>
      <c r="BQ181" s="265"/>
      <c r="BR181" s="265"/>
      <c r="BS181" s="265"/>
      <c r="BT181" s="265"/>
      <c r="BU181" s="265"/>
      <c r="BV181" s="265"/>
      <c r="BW181" s="265"/>
      <c r="BX181" s="265">
        <v>14</v>
      </c>
      <c r="BY181" s="265"/>
      <c r="BZ181" s="265"/>
      <c r="CA181" s="265"/>
      <c r="CB181" s="265"/>
      <c r="CC181" s="265"/>
      <c r="CD181" s="266"/>
      <c r="CE181" s="266"/>
      <c r="CF181" s="266"/>
      <c r="CG181" s="266"/>
      <c r="CH181" s="266"/>
      <c r="CI181" s="266"/>
      <c r="CJ181" s="266"/>
      <c r="CK181" s="266"/>
      <c r="CL181" s="266"/>
      <c r="CM181" s="266"/>
      <c r="CN181" s="266"/>
      <c r="CO181" s="266"/>
      <c r="CP181" s="266"/>
      <c r="CQ181" s="266"/>
      <c r="CR181" s="266"/>
      <c r="CS181" s="266"/>
      <c r="CT181" s="267"/>
      <c r="CU181" s="267"/>
      <c r="CV181" s="267"/>
      <c r="CW181" s="267"/>
      <c r="CX181" s="267"/>
      <c r="CY181" s="267"/>
      <c r="CZ181" s="267"/>
      <c r="DA181" s="267"/>
      <c r="DB181" s="267"/>
      <c r="DC181" s="267"/>
      <c r="DD181" s="267"/>
      <c r="DE181" s="267"/>
      <c r="DF181" s="267"/>
      <c r="DG181" s="267"/>
      <c r="DH181" s="267"/>
      <c r="DI181" s="267"/>
      <c r="DJ181" s="268"/>
      <c r="DK181" s="268"/>
      <c r="DL181" s="268"/>
      <c r="DM181" s="268"/>
      <c r="DN181" s="268"/>
      <c r="DO181" s="268"/>
      <c r="DP181" s="268"/>
      <c r="DQ181" s="268"/>
      <c r="DR181" s="268"/>
      <c r="DS181" s="268"/>
      <c r="DT181" s="268"/>
      <c r="DU181" s="268"/>
      <c r="DV181" s="268"/>
      <c r="DW181" s="268"/>
      <c r="DX181" s="268"/>
      <c r="DY181" s="268"/>
      <c r="EA181" s="13"/>
      <c r="EB181" s="96"/>
      <c r="EC181" s="96"/>
      <c r="ED181" s="96"/>
      <c r="EE181" s="96"/>
      <c r="EF181" s="96"/>
      <c r="EG181" s="96"/>
      <c r="EH181" s="96"/>
      <c r="EI181" s="96"/>
      <c r="EJ181" s="96"/>
      <c r="EK181" s="96"/>
      <c r="EL181" s="96"/>
      <c r="EM181" s="96"/>
      <c r="EN181" s="96"/>
      <c r="EO181" s="96"/>
      <c r="EP181" s="96"/>
      <c r="EQ181" s="96"/>
      <c r="ER181" s="96"/>
      <c r="ES181" s="96"/>
      <c r="ET181" s="96"/>
      <c r="EU181" s="96"/>
      <c r="EV181" s="96"/>
      <c r="EW181" s="96"/>
      <c r="EX181" s="96"/>
      <c r="EY181" s="96"/>
      <c r="EZ181" s="96"/>
      <c r="FA181" s="96"/>
      <c r="FB181" s="96"/>
      <c r="FC181" s="96"/>
      <c r="FD181" s="96"/>
      <c r="FE181" s="96"/>
      <c r="FF181" s="96"/>
      <c r="FG181" s="96"/>
      <c r="FH181" s="96"/>
      <c r="FI181" s="96"/>
      <c r="FJ181" s="96"/>
      <c r="FK181" s="96"/>
      <c r="FL181" s="96"/>
      <c r="FM181" s="96"/>
      <c r="FN181" s="96"/>
      <c r="FO181" s="96"/>
      <c r="FP181" s="96"/>
      <c r="FQ181" s="96"/>
      <c r="FR181" s="96"/>
      <c r="FS181" s="96"/>
      <c r="FT181" s="96"/>
      <c r="FU181" s="96"/>
      <c r="FV181" s="96"/>
      <c r="FW181" s="96"/>
      <c r="FX181" s="96"/>
      <c r="FY181" s="96"/>
      <c r="FZ181" s="96"/>
      <c r="GA181" s="96"/>
      <c r="GB181" s="96"/>
      <c r="GC181" s="96"/>
      <c r="GD181" s="96"/>
      <c r="GE181" s="96"/>
      <c r="GF181" s="96"/>
      <c r="GG181" s="96"/>
      <c r="GH181" s="96"/>
      <c r="GI181" s="96"/>
      <c r="GJ181" s="96"/>
      <c r="GK181" s="96"/>
      <c r="GL181" s="96"/>
      <c r="GM181" s="13"/>
      <c r="GN181" s="96"/>
      <c r="GO181" s="96"/>
      <c r="GP181" s="96"/>
      <c r="GQ181" s="96"/>
      <c r="GR181" s="96"/>
      <c r="GS181" s="96"/>
      <c r="GT181" s="96"/>
      <c r="GU181" s="96"/>
      <c r="GV181" s="96"/>
      <c r="GW181" s="96"/>
      <c r="GX181" s="96"/>
      <c r="GY181" s="96"/>
      <c r="GZ181" s="96"/>
      <c r="HA181" s="96"/>
      <c r="HB181" s="96"/>
      <c r="HC181" s="13"/>
      <c r="HD181" s="96"/>
      <c r="HE181" s="96"/>
      <c r="HF181" s="96"/>
      <c r="HG181" s="96"/>
      <c r="HH181" s="96"/>
      <c r="HI181" s="96"/>
      <c r="HJ181" s="96"/>
      <c r="HK181" s="96"/>
      <c r="HL181" s="96"/>
      <c r="HM181" s="96"/>
      <c r="HN181" s="96"/>
      <c r="HO181" s="96"/>
      <c r="HP181" s="96"/>
      <c r="HQ181" s="96"/>
      <c r="HR181" s="96"/>
      <c r="HS181" s="13"/>
      <c r="HT181" s="96"/>
      <c r="HU181" s="96"/>
      <c r="HV181" s="96"/>
      <c r="HW181" s="96"/>
      <c r="HX181" s="96"/>
      <c r="HY181" s="96"/>
      <c r="HZ181" s="96"/>
      <c r="IA181" s="96"/>
      <c r="IB181" s="96"/>
      <c r="IC181" s="96"/>
      <c r="ID181" s="96"/>
      <c r="IE181" s="96"/>
      <c r="IF181" s="96"/>
      <c r="IG181" s="96"/>
      <c r="IH181" s="96"/>
      <c r="II181" s="13"/>
      <c r="IJ181" s="96"/>
      <c r="IK181" s="96"/>
      <c r="IL181" s="96"/>
      <c r="IM181" s="96"/>
      <c r="IN181" s="96"/>
      <c r="IO181" s="96"/>
      <c r="IP181" s="96"/>
      <c r="IQ181" s="96"/>
      <c r="IR181" s="96"/>
      <c r="IS181" s="96"/>
      <c r="IT181" s="96"/>
      <c r="IU181" s="96"/>
      <c r="IV181" s="96"/>
      <c r="IW181" s="96"/>
      <c r="IX181" s="96"/>
      <c r="IY181" s="13"/>
    </row>
    <row r="182" spans="1:259" outlineLevel="1">
      <c r="A182" s="11">
        <f>'VAC &amp; MED'!C175</f>
        <v>46171</v>
      </c>
      <c r="B182" s="269"/>
      <c r="C182" s="269"/>
      <c r="D182" s="269"/>
      <c r="E182" s="269"/>
      <c r="F182" s="269"/>
      <c r="G182" s="269"/>
      <c r="H182" s="269"/>
      <c r="I182" s="269"/>
      <c r="J182" s="269"/>
      <c r="K182" s="269"/>
      <c r="L182" s="269"/>
      <c r="M182" s="269"/>
      <c r="N182" s="269"/>
      <c r="O182" s="269"/>
      <c r="P182" s="269"/>
      <c r="Q182" s="269"/>
      <c r="R182" s="270"/>
      <c r="S182" s="270"/>
      <c r="T182" s="270"/>
      <c r="U182" s="270"/>
      <c r="V182" s="270"/>
      <c r="W182" s="270"/>
      <c r="X182" s="270"/>
      <c r="Y182" s="270"/>
      <c r="Z182" s="270"/>
      <c r="AA182" s="270"/>
      <c r="AB182" s="270"/>
      <c r="AC182" s="270"/>
      <c r="AD182" s="270"/>
      <c r="AE182" s="270"/>
      <c r="AF182" s="270"/>
      <c r="AG182" s="270"/>
      <c r="AH182" s="271"/>
      <c r="AI182" s="271"/>
      <c r="AJ182" s="271"/>
      <c r="AK182" s="271"/>
      <c r="AL182" s="271"/>
      <c r="AM182" s="271"/>
      <c r="AN182" s="271"/>
      <c r="AO182" s="271"/>
      <c r="AP182" s="271"/>
      <c r="AQ182" s="271"/>
      <c r="AR182" s="271"/>
      <c r="AS182" s="271"/>
      <c r="AT182" s="271"/>
      <c r="AU182" s="271"/>
      <c r="AV182" s="271"/>
      <c r="AW182" s="271"/>
      <c r="AX182" s="272"/>
      <c r="AY182" s="272"/>
      <c r="AZ182" s="272"/>
      <c r="BA182" s="272"/>
      <c r="BB182" s="272"/>
      <c r="BC182" s="272"/>
      <c r="BD182" s="272"/>
      <c r="BE182" s="272"/>
      <c r="BF182" s="272"/>
      <c r="BG182" s="272"/>
      <c r="BH182" s="272"/>
      <c r="BI182" s="272"/>
      <c r="BJ182" s="272"/>
      <c r="BK182" s="272"/>
      <c r="BL182" s="272"/>
      <c r="BM182" s="272"/>
      <c r="BN182" s="273"/>
      <c r="BO182" s="273"/>
      <c r="BP182" s="273"/>
      <c r="BQ182" s="273"/>
      <c r="BR182" s="273"/>
      <c r="BS182" s="273"/>
      <c r="BT182" s="273"/>
      <c r="BU182" s="273"/>
      <c r="BV182" s="273"/>
      <c r="BW182" s="273"/>
      <c r="BX182" s="273"/>
      <c r="BY182" s="273"/>
      <c r="BZ182" s="273"/>
      <c r="CA182" s="273"/>
      <c r="CB182" s="273"/>
      <c r="CC182" s="273"/>
      <c r="CD182" s="274"/>
      <c r="CE182" s="274"/>
      <c r="CF182" s="274"/>
      <c r="CG182" s="274"/>
      <c r="CH182" s="274"/>
      <c r="CI182" s="274"/>
      <c r="CJ182" s="274"/>
      <c r="CK182" s="274"/>
      <c r="CL182" s="274"/>
      <c r="CM182" s="274"/>
      <c r="CN182" s="274"/>
      <c r="CO182" s="274"/>
      <c r="CP182" s="274"/>
      <c r="CQ182" s="274"/>
      <c r="CR182" s="274"/>
      <c r="CS182" s="274"/>
      <c r="CT182" s="275"/>
      <c r="CU182" s="275"/>
      <c r="CV182" s="275"/>
      <c r="CW182" s="275"/>
      <c r="CX182" s="275"/>
      <c r="CY182" s="275"/>
      <c r="CZ182" s="275"/>
      <c r="DA182" s="275"/>
      <c r="DB182" s="275"/>
      <c r="DC182" s="275">
        <v>20</v>
      </c>
      <c r="DD182" s="275"/>
      <c r="DE182" s="275"/>
      <c r="DF182" s="275"/>
      <c r="DG182" s="275"/>
      <c r="DH182" s="275"/>
      <c r="DI182" s="275"/>
      <c r="DJ182" s="276"/>
      <c r="DK182" s="276"/>
      <c r="DL182" s="276"/>
      <c r="DM182" s="276"/>
      <c r="DN182" s="276"/>
      <c r="DO182" s="276"/>
      <c r="DP182" s="276"/>
      <c r="DQ182" s="276"/>
      <c r="DR182" s="276"/>
      <c r="DS182" s="276"/>
      <c r="DT182" s="276"/>
      <c r="DU182" s="276"/>
      <c r="DV182" s="276"/>
      <c r="DW182" s="276"/>
      <c r="DX182" s="276"/>
      <c r="DY182" s="276"/>
      <c r="EA182" s="89"/>
      <c r="EB182" s="96"/>
      <c r="EC182" s="96"/>
      <c r="ED182" s="96"/>
      <c r="EE182" s="96"/>
      <c r="EF182" s="96"/>
      <c r="EG182" s="96"/>
      <c r="EH182" s="96"/>
      <c r="EI182" s="96"/>
      <c r="EJ182" s="96"/>
      <c r="EK182" s="96"/>
      <c r="EL182" s="96"/>
      <c r="EM182" s="96"/>
      <c r="EN182" s="96"/>
      <c r="EO182" s="96"/>
      <c r="EP182" s="96"/>
      <c r="EQ182" s="96"/>
      <c r="ER182" s="96"/>
      <c r="ES182" s="96"/>
      <c r="ET182" s="96"/>
      <c r="EU182" s="96"/>
      <c r="EV182" s="96"/>
      <c r="EW182" s="96"/>
      <c r="EX182" s="96"/>
      <c r="EY182" s="96"/>
      <c r="EZ182" s="96"/>
      <c r="FA182" s="96"/>
      <c r="FB182" s="96"/>
      <c r="FC182" s="96"/>
      <c r="FD182" s="96"/>
      <c r="FE182" s="96"/>
      <c r="FF182" s="96"/>
      <c r="FG182" s="96"/>
      <c r="FH182" s="96"/>
      <c r="FI182" s="96"/>
      <c r="FJ182" s="96"/>
      <c r="FK182" s="96"/>
      <c r="FL182" s="96"/>
      <c r="FM182" s="96"/>
      <c r="FN182" s="96"/>
      <c r="FO182" s="96"/>
      <c r="FP182" s="96"/>
      <c r="FQ182" s="96"/>
      <c r="FR182" s="96"/>
      <c r="FS182" s="96"/>
      <c r="FT182" s="96"/>
      <c r="FU182" s="96"/>
      <c r="FV182" s="96"/>
      <c r="FW182" s="96"/>
      <c r="FX182" s="96"/>
      <c r="FY182" s="96"/>
      <c r="FZ182" s="96"/>
      <c r="GA182" s="96"/>
      <c r="GB182" s="96"/>
      <c r="GC182" s="96"/>
      <c r="GD182" s="96"/>
      <c r="GE182" s="96"/>
      <c r="GF182" s="96"/>
      <c r="GG182" s="96"/>
      <c r="GH182" s="96"/>
      <c r="GI182" s="96"/>
      <c r="GJ182" s="96"/>
      <c r="GK182" s="96"/>
      <c r="GL182" s="96"/>
      <c r="GM182" s="13"/>
      <c r="GN182" s="96"/>
      <c r="GO182" s="96"/>
      <c r="GP182" s="96"/>
      <c r="GQ182" s="96"/>
      <c r="GR182" s="96"/>
      <c r="GS182" s="96"/>
      <c r="GT182" s="96"/>
      <c r="GU182" s="96"/>
      <c r="GV182" s="96"/>
      <c r="GW182" s="96"/>
      <c r="GX182" s="96"/>
      <c r="GY182" s="96"/>
      <c r="GZ182" s="96"/>
      <c r="HA182" s="96"/>
      <c r="HB182" s="96"/>
      <c r="HC182" s="13"/>
      <c r="HD182" s="96"/>
      <c r="HE182" s="96"/>
      <c r="HF182" s="96"/>
      <c r="HG182" s="96"/>
      <c r="HH182" s="96"/>
      <c r="HI182" s="96"/>
      <c r="HJ182" s="96"/>
      <c r="HK182" s="96"/>
      <c r="HL182" s="96"/>
      <c r="HM182" s="96"/>
      <c r="HN182" s="96"/>
      <c r="HO182" s="96"/>
      <c r="HP182" s="96"/>
      <c r="HQ182" s="96"/>
      <c r="HR182" s="96"/>
      <c r="HS182" s="13"/>
      <c r="HT182" s="96"/>
      <c r="HU182" s="96"/>
      <c r="HV182" s="96"/>
      <c r="HW182" s="96"/>
      <c r="HX182" s="96"/>
      <c r="HY182" s="96"/>
      <c r="HZ182" s="96"/>
      <c r="IA182" s="96"/>
      <c r="IB182" s="96"/>
      <c r="IC182" s="96"/>
      <c r="ID182" s="96"/>
      <c r="IE182" s="96"/>
      <c r="IF182" s="96"/>
      <c r="IG182" s="96"/>
      <c r="IH182" s="96"/>
      <c r="II182" s="13"/>
      <c r="IJ182" s="96"/>
      <c r="IK182" s="96"/>
      <c r="IL182" s="96"/>
      <c r="IM182" s="96"/>
      <c r="IN182" s="96"/>
      <c r="IO182" s="96"/>
      <c r="IP182" s="96"/>
      <c r="IQ182" s="96"/>
      <c r="IR182" s="96"/>
      <c r="IS182" s="96"/>
      <c r="IT182" s="96"/>
      <c r="IU182" s="96"/>
      <c r="IV182" s="96"/>
      <c r="IW182" s="96"/>
      <c r="IX182" s="96"/>
      <c r="IY182" s="13"/>
    </row>
    <row r="183" spans="1:259" outlineLevel="1">
      <c r="A183" s="11">
        <f>'VAC &amp; MED'!C176</f>
        <v>46172</v>
      </c>
      <c r="B183" s="261"/>
      <c r="C183" s="261"/>
      <c r="D183" s="261"/>
      <c r="E183" s="261"/>
      <c r="F183" s="261"/>
      <c r="G183" s="261"/>
      <c r="H183" s="261"/>
      <c r="I183" s="261"/>
      <c r="J183" s="261"/>
      <c r="K183" s="261"/>
      <c r="L183" s="261"/>
      <c r="M183" s="261"/>
      <c r="N183" s="261"/>
      <c r="O183" s="261"/>
      <c r="P183" s="261"/>
      <c r="Q183" s="261"/>
      <c r="R183" s="262"/>
      <c r="S183" s="262"/>
      <c r="T183" s="262"/>
      <c r="U183" s="262"/>
      <c r="V183" s="262"/>
      <c r="W183" s="262"/>
      <c r="X183" s="262"/>
      <c r="Y183" s="262"/>
      <c r="Z183" s="262"/>
      <c r="AA183" s="262"/>
      <c r="AB183" s="262"/>
      <c r="AC183" s="262"/>
      <c r="AD183" s="262"/>
      <c r="AE183" s="262"/>
      <c r="AF183" s="262"/>
      <c r="AG183" s="262"/>
      <c r="AH183" s="263"/>
      <c r="AI183" s="263"/>
      <c r="AJ183" s="263"/>
      <c r="AK183" s="263"/>
      <c r="AL183" s="263"/>
      <c r="AM183" s="263"/>
      <c r="AN183" s="263"/>
      <c r="AO183" s="263"/>
      <c r="AP183" s="263"/>
      <c r="AQ183" s="263"/>
      <c r="AR183" s="263"/>
      <c r="AS183" s="263"/>
      <c r="AT183" s="263"/>
      <c r="AU183" s="263"/>
      <c r="AV183" s="263"/>
      <c r="AW183" s="263"/>
      <c r="AX183" s="264"/>
      <c r="AY183" s="264"/>
      <c r="AZ183" s="264"/>
      <c r="BA183" s="264"/>
      <c r="BB183" s="264"/>
      <c r="BC183" s="264"/>
      <c r="BD183" s="264"/>
      <c r="BE183" s="264"/>
      <c r="BF183" s="264"/>
      <c r="BG183" s="264"/>
      <c r="BH183" s="264"/>
      <c r="BI183" s="264"/>
      <c r="BJ183" s="264"/>
      <c r="BK183" s="264"/>
      <c r="BL183" s="264"/>
      <c r="BM183" s="264"/>
      <c r="BN183" s="265"/>
      <c r="BO183" s="265"/>
      <c r="BP183" s="265"/>
      <c r="BQ183" s="265"/>
      <c r="BR183" s="265"/>
      <c r="BS183" s="265"/>
      <c r="BT183" s="265"/>
      <c r="BU183" s="265"/>
      <c r="BV183" s="265"/>
      <c r="BW183" s="265"/>
      <c r="BX183" s="265"/>
      <c r="BY183" s="265"/>
      <c r="BZ183" s="265"/>
      <c r="CA183" s="265"/>
      <c r="CB183" s="265"/>
      <c r="CC183" s="265"/>
      <c r="CD183" s="266"/>
      <c r="CE183" s="266"/>
      <c r="CF183" s="266"/>
      <c r="CG183" s="266"/>
      <c r="CH183" s="266"/>
      <c r="CI183" s="266"/>
      <c r="CJ183" s="266"/>
      <c r="CK183" s="266"/>
      <c r="CL183" s="266"/>
      <c r="CM183" s="266"/>
      <c r="CN183" s="266"/>
      <c r="CO183" s="266"/>
      <c r="CP183" s="266"/>
      <c r="CQ183" s="266"/>
      <c r="CR183" s="266"/>
      <c r="CS183" s="266"/>
      <c r="CT183" s="267"/>
      <c r="CU183" s="267"/>
      <c r="CV183" s="267"/>
      <c r="CW183" s="267"/>
      <c r="CX183" s="267"/>
      <c r="CY183" s="267"/>
      <c r="CZ183" s="267"/>
      <c r="DA183" s="267"/>
      <c r="DB183" s="267"/>
      <c r="DC183" s="267">
        <v>4</v>
      </c>
      <c r="DD183" s="267"/>
      <c r="DE183" s="267"/>
      <c r="DF183" s="267"/>
      <c r="DG183" s="267"/>
      <c r="DH183" s="267"/>
      <c r="DI183" s="267"/>
      <c r="DJ183" s="268"/>
      <c r="DK183" s="268"/>
      <c r="DL183" s="268"/>
      <c r="DM183" s="268"/>
      <c r="DN183" s="268"/>
      <c r="DO183" s="268"/>
      <c r="DP183" s="268"/>
      <c r="DQ183" s="268"/>
      <c r="DR183" s="268"/>
      <c r="DS183" s="268"/>
      <c r="DT183" s="268"/>
      <c r="DU183" s="268"/>
      <c r="DV183" s="268"/>
      <c r="DW183" s="268"/>
      <c r="DX183" s="268"/>
      <c r="DY183" s="268"/>
      <c r="EA183" s="13"/>
      <c r="EB183" s="95"/>
      <c r="EC183" s="95"/>
      <c r="ED183" s="95"/>
      <c r="EE183" s="95"/>
      <c r="EF183" s="95"/>
      <c r="EG183" s="95"/>
      <c r="EH183" s="95"/>
      <c r="EI183" s="95"/>
      <c r="EJ183" s="95"/>
      <c r="EK183" s="95"/>
      <c r="EL183" s="95"/>
      <c r="EM183" s="95"/>
      <c r="EN183" s="95"/>
      <c r="EO183" s="95"/>
      <c r="EP183" s="95"/>
      <c r="EQ183" s="95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  <c r="IW183" s="13"/>
      <c r="IX183" s="13"/>
      <c r="IY183" s="13"/>
    </row>
    <row r="184" spans="1:259" outlineLevel="1">
      <c r="A184" s="11">
        <f>'VAC &amp; MED'!C177</f>
        <v>46173</v>
      </c>
      <c r="B184" s="261"/>
      <c r="C184" s="261"/>
      <c r="D184" s="261"/>
      <c r="E184" s="261"/>
      <c r="F184" s="261"/>
      <c r="G184" s="261"/>
      <c r="H184" s="261"/>
      <c r="I184" s="261"/>
      <c r="J184" s="261"/>
      <c r="K184" s="261"/>
      <c r="L184" s="261"/>
      <c r="M184" s="261"/>
      <c r="N184" s="261"/>
      <c r="O184" s="261"/>
      <c r="P184" s="261"/>
      <c r="Q184" s="261"/>
      <c r="R184" s="262"/>
      <c r="S184" s="262"/>
      <c r="T184" s="262"/>
      <c r="U184" s="262"/>
      <c r="V184" s="262"/>
      <c r="W184" s="262"/>
      <c r="X184" s="262"/>
      <c r="Y184" s="262"/>
      <c r="Z184" s="262"/>
      <c r="AA184" s="262"/>
      <c r="AB184" s="262"/>
      <c r="AC184" s="262"/>
      <c r="AD184" s="262"/>
      <c r="AE184" s="262"/>
      <c r="AF184" s="262"/>
      <c r="AG184" s="262"/>
      <c r="AH184" s="263"/>
      <c r="AI184" s="263"/>
      <c r="AJ184" s="263"/>
      <c r="AK184" s="263"/>
      <c r="AL184" s="263"/>
      <c r="AM184" s="263"/>
      <c r="AN184" s="263"/>
      <c r="AO184" s="263"/>
      <c r="AP184" s="263"/>
      <c r="AQ184" s="263"/>
      <c r="AR184" s="263"/>
      <c r="AS184" s="263"/>
      <c r="AT184" s="263"/>
      <c r="AU184" s="263"/>
      <c r="AV184" s="263"/>
      <c r="AW184" s="263"/>
      <c r="AX184" s="264"/>
      <c r="AY184" s="264"/>
      <c r="AZ184" s="264"/>
      <c r="BA184" s="264"/>
      <c r="BB184" s="264"/>
      <c r="BC184" s="264"/>
      <c r="BD184" s="264"/>
      <c r="BE184" s="264"/>
      <c r="BF184" s="264"/>
      <c r="BG184" s="264"/>
      <c r="BH184" s="264"/>
      <c r="BI184" s="264"/>
      <c r="BJ184" s="264"/>
      <c r="BK184" s="264"/>
      <c r="BL184" s="264"/>
      <c r="BM184" s="264"/>
      <c r="BN184" s="265"/>
      <c r="BO184" s="265"/>
      <c r="BP184" s="265"/>
      <c r="BQ184" s="265"/>
      <c r="BR184" s="265"/>
      <c r="BS184" s="265"/>
      <c r="BT184" s="265"/>
      <c r="BU184" s="265"/>
      <c r="BV184" s="265"/>
      <c r="BW184" s="265"/>
      <c r="BX184" s="265"/>
      <c r="BY184" s="265"/>
      <c r="BZ184" s="265"/>
      <c r="CA184" s="265"/>
      <c r="CB184" s="265"/>
      <c r="CC184" s="265"/>
      <c r="CD184" s="266"/>
      <c r="CE184" s="266"/>
      <c r="CF184" s="266"/>
      <c r="CG184" s="266"/>
      <c r="CH184" s="266"/>
      <c r="CI184" s="266"/>
      <c r="CJ184" s="266"/>
      <c r="CK184" s="266"/>
      <c r="CL184" s="266"/>
      <c r="CM184" s="266"/>
      <c r="CN184" s="266"/>
      <c r="CO184" s="266"/>
      <c r="CP184" s="266"/>
      <c r="CQ184" s="266"/>
      <c r="CR184" s="266"/>
      <c r="CS184" s="266"/>
      <c r="CT184" s="267"/>
      <c r="CU184" s="267"/>
      <c r="CV184" s="267"/>
      <c r="CW184" s="267"/>
      <c r="CX184" s="267"/>
      <c r="CY184" s="267"/>
      <c r="CZ184" s="267"/>
      <c r="DA184" s="267"/>
      <c r="DB184" s="267"/>
      <c r="DC184" s="267"/>
      <c r="DD184" s="267"/>
      <c r="DE184" s="267"/>
      <c r="DF184" s="267"/>
      <c r="DG184" s="267"/>
      <c r="DH184" s="267"/>
      <c r="DI184" s="267"/>
      <c r="DJ184" s="268"/>
      <c r="DK184" s="268"/>
      <c r="DL184" s="268"/>
      <c r="DM184" s="268"/>
      <c r="DN184" s="268"/>
      <c r="DO184" s="268"/>
      <c r="DP184" s="268"/>
      <c r="DQ184" s="268"/>
      <c r="DR184" s="268"/>
      <c r="DS184" s="268"/>
      <c r="DT184" s="268"/>
      <c r="DU184" s="268"/>
      <c r="DV184" s="268"/>
      <c r="DW184" s="268"/>
      <c r="DX184" s="268"/>
      <c r="DY184" s="268"/>
      <c r="EA184" s="13"/>
      <c r="EB184" s="95"/>
      <c r="EC184" s="95"/>
      <c r="ED184" s="95"/>
      <c r="EE184" s="95"/>
      <c r="EF184" s="95"/>
      <c r="EG184" s="95"/>
      <c r="EH184" s="95"/>
      <c r="EI184" s="95"/>
      <c r="EJ184" s="95"/>
      <c r="EK184" s="95"/>
      <c r="EL184" s="95"/>
      <c r="EM184" s="95"/>
      <c r="EN184" s="95"/>
      <c r="EO184" s="95"/>
      <c r="EP184" s="95"/>
      <c r="EQ184" s="95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13"/>
      <c r="IX184" s="13"/>
      <c r="IY184" s="13"/>
    </row>
    <row r="185" spans="1:259" outlineLevel="1">
      <c r="A185" s="11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  <c r="AA185" s="106"/>
      <c r="AB185" s="106"/>
      <c r="AC185" s="106"/>
      <c r="AD185" s="106"/>
      <c r="AE185" s="106"/>
      <c r="AF185" s="106"/>
      <c r="AG185" s="106"/>
      <c r="AH185" s="106"/>
      <c r="AI185" s="106"/>
      <c r="AJ185" s="106"/>
      <c r="AK185" s="106"/>
      <c r="AL185" s="106"/>
      <c r="AM185" s="106"/>
      <c r="AN185" s="106"/>
      <c r="AO185" s="106"/>
      <c r="AP185" s="106"/>
      <c r="AQ185" s="106"/>
      <c r="AR185" s="106"/>
      <c r="AS185" s="106"/>
      <c r="AT185" s="106"/>
      <c r="AU185" s="106"/>
      <c r="AV185" s="106"/>
      <c r="AW185" s="106"/>
      <c r="AX185" s="106"/>
      <c r="AY185" s="106"/>
      <c r="AZ185" s="106"/>
      <c r="BA185" s="106"/>
      <c r="BB185" s="106"/>
      <c r="BC185" s="106"/>
      <c r="BD185" s="106"/>
      <c r="BE185" s="106"/>
      <c r="BF185" s="106"/>
      <c r="BG185" s="106"/>
      <c r="BH185" s="106"/>
      <c r="BI185" s="106"/>
      <c r="BJ185" s="106"/>
      <c r="BK185" s="106"/>
      <c r="BL185" s="106"/>
      <c r="BM185" s="106"/>
      <c r="BN185" s="106"/>
      <c r="BO185" s="106"/>
      <c r="BP185" s="106"/>
      <c r="BQ185" s="106"/>
      <c r="BR185" s="106"/>
      <c r="BS185" s="106"/>
      <c r="BT185" s="106"/>
      <c r="BU185" s="106"/>
      <c r="BV185" s="106"/>
      <c r="BW185" s="106"/>
      <c r="BX185" s="106"/>
      <c r="BY185" s="106"/>
      <c r="BZ185" s="106"/>
      <c r="CA185" s="106"/>
      <c r="CB185" s="106"/>
      <c r="CC185" s="106"/>
      <c r="CD185" s="106"/>
      <c r="CE185" s="106"/>
      <c r="CF185" s="106"/>
      <c r="CG185" s="106"/>
      <c r="CH185" s="106"/>
      <c r="CI185" s="106"/>
      <c r="CJ185" s="106"/>
      <c r="CK185" s="106"/>
      <c r="CL185" s="106"/>
      <c r="CM185" s="106"/>
      <c r="CN185" s="106"/>
      <c r="CO185" s="106"/>
      <c r="CP185" s="106"/>
      <c r="CQ185" s="106"/>
      <c r="CR185" s="106"/>
      <c r="CS185" s="106"/>
      <c r="CT185" s="106"/>
      <c r="CU185" s="106"/>
      <c r="CV185" s="106"/>
      <c r="CW185" s="106"/>
      <c r="CX185" s="106"/>
      <c r="CY185" s="106"/>
      <c r="CZ185" s="106"/>
      <c r="DA185" s="106"/>
      <c r="DB185" s="106"/>
      <c r="DC185" s="106"/>
      <c r="DD185" s="106"/>
      <c r="DE185" s="106"/>
      <c r="DF185" s="106"/>
      <c r="DG185" s="106"/>
      <c r="DH185" s="106"/>
      <c r="DI185" s="106"/>
      <c r="DJ185" s="106"/>
      <c r="DK185" s="106"/>
      <c r="DL185" s="106"/>
      <c r="DM185" s="106"/>
      <c r="DN185" s="106"/>
      <c r="DO185" s="106"/>
      <c r="DP185" s="106"/>
      <c r="DQ185" s="106"/>
      <c r="DR185" s="106"/>
      <c r="DS185" s="106"/>
      <c r="DT185" s="106"/>
      <c r="DU185" s="106"/>
      <c r="DV185" s="106"/>
      <c r="DW185" s="106"/>
      <c r="DX185" s="106"/>
      <c r="DY185" s="106"/>
      <c r="EA185" s="13"/>
      <c r="EB185" s="95"/>
      <c r="EC185" s="95"/>
      <c r="ED185" s="95"/>
      <c r="EE185" s="95"/>
      <c r="EF185" s="95"/>
      <c r="EG185" s="95"/>
      <c r="EH185" s="95"/>
      <c r="EI185" s="95"/>
      <c r="EJ185" s="95"/>
      <c r="EK185" s="95"/>
      <c r="EL185" s="95"/>
      <c r="EM185" s="95"/>
      <c r="EN185" s="95"/>
      <c r="EO185" s="95"/>
      <c r="EP185" s="95"/>
      <c r="EQ185" s="95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13"/>
      <c r="IX185" s="13"/>
      <c r="IY185" s="13"/>
    </row>
    <row r="186" spans="1:259" s="122" customFormat="1" ht="30.75" customHeight="1" thickBot="1">
      <c r="B186" s="256" t="str">
        <f>FORMULA!$B$3</f>
        <v>WS 1101 (251124)</v>
      </c>
      <c r="C186" s="256" t="str">
        <f>FORMULA!$D$3</f>
        <v>WS 1101 (220526)</v>
      </c>
      <c r="D186" s="256">
        <f>FORMULA!$F$3</f>
        <v>0</v>
      </c>
      <c r="E186" s="256">
        <f>FORMULA!$H$3</f>
        <v>0</v>
      </c>
      <c r="F186" s="256">
        <f>FORMULA!$J$3</f>
        <v>0</v>
      </c>
      <c r="G186" s="111">
        <f>FORMULA!$L$3</f>
        <v>0</v>
      </c>
      <c r="H186" s="111">
        <f>FORMULA!$N$3</f>
        <v>0</v>
      </c>
      <c r="I186" s="111">
        <f>FORMULA!$P$3</f>
        <v>0</v>
      </c>
      <c r="J186" s="111">
        <f>FORMULA!$R$3</f>
        <v>0</v>
      </c>
      <c r="K186" s="111">
        <f>FORMULA!$T$3</f>
        <v>0</v>
      </c>
      <c r="L186" s="111">
        <f>FORMULA!$V$3</f>
        <v>0</v>
      </c>
      <c r="M186" s="111">
        <f>FORMULA!$X$3</f>
        <v>0</v>
      </c>
      <c r="N186" s="111">
        <f>FORMULA!$Z$3</f>
        <v>0</v>
      </c>
      <c r="O186" s="111">
        <f>FORMULA!$AB$3</f>
        <v>0</v>
      </c>
      <c r="P186" s="111">
        <f>FORMULA!$AD$3</f>
        <v>0</v>
      </c>
      <c r="Q186" s="111"/>
      <c r="R186" s="256" t="str">
        <f>FORMULA!$B$91</f>
        <v>WS 1102 (290825)</v>
      </c>
      <c r="S186" s="256">
        <f>FORMULA!$D$91</f>
        <v>0</v>
      </c>
      <c r="T186" s="256">
        <f>FORMULA!$F$91</f>
        <v>0</v>
      </c>
      <c r="U186" s="256">
        <f>FORMULA!$H$91</f>
        <v>0</v>
      </c>
      <c r="V186" s="256">
        <f>FORMULA!$J$91</f>
        <v>0</v>
      </c>
      <c r="W186" s="256">
        <f>FORMULA!$L$91</f>
        <v>0</v>
      </c>
      <c r="X186" s="256">
        <f>FORMULA!$N$91</f>
        <v>0</v>
      </c>
      <c r="Y186" s="256">
        <f>FORMULA!$P$91</f>
        <v>0</v>
      </c>
      <c r="Z186" s="256">
        <f>FORMULA!$R$91</f>
        <v>0</v>
      </c>
      <c r="AA186" s="256">
        <f>FORMULA!$T$91</f>
        <v>0</v>
      </c>
      <c r="AB186" s="256">
        <f>FORMULA!$V$91</f>
        <v>0</v>
      </c>
      <c r="AC186" s="256">
        <f>FORMULA!$X$91</f>
        <v>0</v>
      </c>
      <c r="AD186" s="111">
        <f>FORMULA!$Z$91</f>
        <v>0</v>
      </c>
      <c r="AE186" s="111">
        <f>FORMULA!$AB$91</f>
        <v>0</v>
      </c>
      <c r="AF186" s="111">
        <f>FORMULA!$AD$91</f>
        <v>0</v>
      </c>
      <c r="AG186" s="111"/>
      <c r="AH186" s="256" t="str">
        <f>FORMULA!$B$179</f>
        <v>WS 1103 (290825)</v>
      </c>
      <c r="AI186" s="256" t="str">
        <f>FORMULA!$D$179</f>
        <v>WS 1103 (220526)</v>
      </c>
      <c r="AJ186" s="256">
        <f>FORMULA!$F$179</f>
        <v>0</v>
      </c>
      <c r="AK186" s="256">
        <f>FORMULA!$H$179</f>
        <v>0</v>
      </c>
      <c r="AL186" s="256">
        <f>FORMULA!$J$179</f>
        <v>0</v>
      </c>
      <c r="AM186" s="256">
        <f>FORMULA!$L$179</f>
        <v>0</v>
      </c>
      <c r="AN186" s="256">
        <f>FORMULA!$N$179</f>
        <v>0</v>
      </c>
      <c r="AO186" s="256">
        <f>FORMULA!$P$179</f>
        <v>0</v>
      </c>
      <c r="AP186" s="256">
        <f>FORMULA!$R$179</f>
        <v>0</v>
      </c>
      <c r="AQ186" s="256">
        <f>FORMULA!$T$179</f>
        <v>0</v>
      </c>
      <c r="AR186" s="256">
        <f>FORMULA!$V$179</f>
        <v>0</v>
      </c>
      <c r="AS186" s="256">
        <f>FORMULA!$X$179</f>
        <v>0</v>
      </c>
      <c r="AT186" s="256">
        <f>FORMULA!$Z$179</f>
        <v>0</v>
      </c>
      <c r="AU186" s="111">
        <f>FORMULA!$AB$179</f>
        <v>0</v>
      </c>
      <c r="AV186" s="111">
        <f>FORMULA!$AD$179</f>
        <v>0</v>
      </c>
      <c r="AW186" s="111"/>
      <c r="AX186" s="111">
        <f>FORMULA!$B$267</f>
        <v>0</v>
      </c>
      <c r="AY186" s="111">
        <f>FORMULA!$D$267</f>
        <v>0</v>
      </c>
      <c r="AZ186" s="111">
        <f>FORMULA!$F$267</f>
        <v>0</v>
      </c>
      <c r="BA186" s="111">
        <f>FORMULA!$H$267</f>
        <v>0</v>
      </c>
      <c r="BB186" s="111">
        <f>FORMULA!$J$267</f>
        <v>0</v>
      </c>
      <c r="BC186" s="111">
        <f>FORMULA!$L$267</f>
        <v>0</v>
      </c>
      <c r="BD186" s="111">
        <f>FORMULA!$N$267</f>
        <v>0</v>
      </c>
      <c r="BE186" s="111">
        <f>FORMULA!$P$267</f>
        <v>0</v>
      </c>
      <c r="BF186" s="111">
        <f>FORMULA!$R$267</f>
        <v>0</v>
      </c>
      <c r="BG186" s="111">
        <f>FORMULA!$T$267</f>
        <v>0</v>
      </c>
      <c r="BH186" s="111">
        <f>FORMULA!$V$267</f>
        <v>0</v>
      </c>
      <c r="BI186" s="111">
        <f>FORMULA!$X$267</f>
        <v>0</v>
      </c>
      <c r="BJ186" s="111">
        <f>FORMULA!$Z$267</f>
        <v>0</v>
      </c>
      <c r="BK186" s="111">
        <f>FORMULA!$AB$267</f>
        <v>0</v>
      </c>
      <c r="BL186" s="111">
        <f>FORMULA!$AD$267</f>
        <v>0</v>
      </c>
      <c r="BM186" s="111"/>
      <c r="BN186" s="256" t="str">
        <f>FORMULA!$B$355</f>
        <v>WS 8100 (290825)</v>
      </c>
      <c r="BO186" s="256" t="str">
        <f>FORMULA!$D$355</f>
        <v>WS 8100 (280426)</v>
      </c>
      <c r="BP186" s="256">
        <f>FORMULA!$F$355</f>
        <v>0</v>
      </c>
      <c r="BQ186" s="256" t="str">
        <f>FORMULA!$H$355</f>
        <v>WS 8102 (290825)</v>
      </c>
      <c r="BR186" s="256" t="str">
        <f>FORMULA!$J$355</f>
        <v>WS 8102 (121225)</v>
      </c>
      <c r="BS186" s="256" t="str">
        <f>FORMULA!$L$355</f>
        <v>WS 8102 (020326)</v>
      </c>
      <c r="BT186" s="256" t="str">
        <f>FORMULA!$N$355</f>
        <v>WS 8102 (020326)</v>
      </c>
      <c r="BU186" s="256" t="str">
        <f>FORMULA!$P$355</f>
        <v>WS 8102 (060526)</v>
      </c>
      <c r="BV186" s="256" t="str">
        <f>FORMULA!$R$355</f>
        <v>WS 8102 (060526)</v>
      </c>
      <c r="BW186" s="256" t="str">
        <f>FORMULA!$T$355</f>
        <v>WS 8103 (070526)</v>
      </c>
      <c r="BX186" s="256" t="str">
        <f>FORMULA!$V$355</f>
        <v>WS 8102 (070526)</v>
      </c>
      <c r="BY186" s="256" t="str">
        <f>FORMULA!$X$355</f>
        <v>WS 8103 (061125)</v>
      </c>
      <c r="BZ186" s="256" t="str">
        <f>FORMULA!$Z$355</f>
        <v>WS 8103 (250226)</v>
      </c>
      <c r="CA186" s="256" t="str">
        <f>FORMULA!$AB$355</f>
        <v>WS 8102 (080526)</v>
      </c>
      <c r="CB186" s="256" t="str">
        <f>FORMULA!$AD$355</f>
        <v>WS 8109 (080526)</v>
      </c>
      <c r="CC186" s="111"/>
      <c r="CD186" s="256" t="str">
        <f>FORMULA!$B$443</f>
        <v>YH 121 (050226)</v>
      </c>
      <c r="CE186" s="256" t="str">
        <f>FORMULA!$D$443</f>
        <v>YH 121 (190326)</v>
      </c>
      <c r="CF186" s="256" t="str">
        <f>FORMULA!$F$443</f>
        <v>YH 121 (020426)</v>
      </c>
      <c r="CG186" s="111">
        <f>FORMULA!$H$443</f>
        <v>0</v>
      </c>
      <c r="CH186" s="111">
        <f>FORMULA!$J$443</f>
        <v>0</v>
      </c>
      <c r="CI186" s="111">
        <f>FORMULA!$L$443</f>
        <v>0</v>
      </c>
      <c r="CJ186" s="111">
        <f>FORMULA!$N$443</f>
        <v>0</v>
      </c>
      <c r="CK186" s="111">
        <f>FORMULA!$P$443</f>
        <v>0</v>
      </c>
      <c r="CL186" s="111">
        <f>FORMULA!$R$443</f>
        <v>0</v>
      </c>
      <c r="CM186" s="111" t="str">
        <f>FORMULA!$T$443</f>
        <v>311 (130526)</v>
      </c>
      <c r="CN186" s="111" t="str">
        <f>FORMULA!$V$443</f>
        <v>312 (130526)</v>
      </c>
      <c r="CO186" s="111">
        <f>FORMULA!$X$443</f>
        <v>0</v>
      </c>
      <c r="CP186" s="111">
        <f>FORMULA!$Z$443</f>
        <v>0</v>
      </c>
      <c r="CQ186" s="111">
        <f>FORMULA!$AB$443</f>
        <v>0</v>
      </c>
      <c r="CR186" s="111">
        <f>FORMULA!$AD$443</f>
        <v>0</v>
      </c>
      <c r="CS186" s="111"/>
      <c r="CT186" s="256" t="str">
        <f>FORMULA!$B$531</f>
        <v>YH 122 (050226)</v>
      </c>
      <c r="CU186" s="256" t="str">
        <f>FORMULA!$D$531</f>
        <v>YH 122 (190326)</v>
      </c>
      <c r="CV186" s="256" t="str">
        <f>FORMULA!$F$531</f>
        <v>YH 122 (200426)</v>
      </c>
      <c r="CW186" s="256">
        <f>FORMULA!$H$531</f>
        <v>0</v>
      </c>
      <c r="CX186" s="256">
        <f>FORMULA!$J$531</f>
        <v>0</v>
      </c>
      <c r="CY186" s="256">
        <f>FORMULA!$L$531</f>
        <v>0</v>
      </c>
      <c r="CZ186" s="256" t="str">
        <f>FORMULA!$N$531</f>
        <v>5201 (090426)</v>
      </c>
      <c r="DA186" s="256" t="str">
        <f>FORMULA!$P$531</f>
        <v>5201 (090426)</v>
      </c>
      <c r="DB186" s="256">
        <f>FORMULA!$R$531</f>
        <v>0</v>
      </c>
      <c r="DC186" s="256" t="str">
        <f>FORMULA!$T$531</f>
        <v>5202 (090426)</v>
      </c>
      <c r="DD186" s="256" t="str">
        <f>FORMULA!$V$531</f>
        <v>5202 (090426)</v>
      </c>
      <c r="DE186" s="256">
        <f>FORMULA!$X$531</f>
        <v>0</v>
      </c>
      <c r="DF186" s="256" t="str">
        <f>FORMULA!$Z$531</f>
        <v>5203 (090426)</v>
      </c>
      <c r="DG186" s="111" t="str">
        <f>FORMULA!$AB$531</f>
        <v>5203 (090426)</v>
      </c>
      <c r="DH186" s="111">
        <f>FORMULA!$AD$531</f>
        <v>0</v>
      </c>
      <c r="DI186" s="111"/>
      <c r="DJ186" s="256" t="str">
        <f>FORMULA!$B$619</f>
        <v>YH 123 (050226)</v>
      </c>
      <c r="DK186" s="256" t="str">
        <f>FORMULA!$D$619</f>
        <v>YH 123 (130326)</v>
      </c>
      <c r="DL186" s="256" t="str">
        <f>FORMULA!$F$619</f>
        <v>YH 123 (190326)</v>
      </c>
      <c r="DM186" s="256" t="str">
        <f>FORMULA!$H$619</f>
        <v>YH 123 (200426)</v>
      </c>
      <c r="DN186" s="111">
        <f>FORMULA!$J$619</f>
        <v>0</v>
      </c>
      <c r="DO186" s="111">
        <f>FORMULA!$L$619</f>
        <v>0</v>
      </c>
      <c r="DP186" s="111">
        <f>FORMULA!$N$619</f>
        <v>0</v>
      </c>
      <c r="DQ186" s="111">
        <f>FORMULA!$P$619</f>
        <v>0</v>
      </c>
      <c r="DR186" s="111">
        <f>FORMULA!$R$619</f>
        <v>0</v>
      </c>
      <c r="DS186" s="111">
        <f>FORMULA!$T$619</f>
        <v>0</v>
      </c>
      <c r="DT186" s="111">
        <f>FORMULA!$V$619</f>
        <v>0</v>
      </c>
      <c r="DU186" s="111">
        <f>FORMULA!$X$619</f>
        <v>0</v>
      </c>
      <c r="DV186" s="111">
        <f>FORMULA!$Z$619</f>
        <v>0</v>
      </c>
      <c r="DW186" s="111">
        <f>FORMULA!$AB$619</f>
        <v>0</v>
      </c>
      <c r="DX186" s="111">
        <f>FORMULA!$AD$619</f>
        <v>0</v>
      </c>
      <c r="DY186" s="111"/>
      <c r="EA186" s="118"/>
      <c r="EB186" s="119"/>
      <c r="EC186" s="119"/>
      <c r="ED186" s="119"/>
      <c r="EE186" s="119"/>
      <c r="EF186" s="119"/>
      <c r="EG186" s="119"/>
      <c r="EH186" s="119"/>
      <c r="EI186" s="119"/>
      <c r="EJ186" s="119"/>
      <c r="EK186" s="119"/>
      <c r="EL186" s="119"/>
      <c r="EM186" s="119"/>
      <c r="EN186" s="119"/>
      <c r="EO186" s="119"/>
      <c r="EP186" s="119"/>
      <c r="EQ186" s="119"/>
      <c r="ER186" s="118"/>
      <c r="ES186" s="118"/>
      <c r="ET186" s="118"/>
      <c r="EU186" s="118"/>
      <c r="EV186" s="118"/>
      <c r="EW186" s="118"/>
      <c r="EX186" s="118"/>
      <c r="EY186" s="118"/>
      <c r="EZ186" s="118"/>
      <c r="FA186" s="118"/>
      <c r="FB186" s="118"/>
      <c r="FC186" s="118"/>
      <c r="FD186" s="118"/>
      <c r="FE186" s="118"/>
      <c r="FF186" s="118"/>
      <c r="FG186" s="118"/>
      <c r="FH186" s="118"/>
      <c r="FI186" s="118"/>
      <c r="FJ186" s="118"/>
      <c r="FK186" s="118"/>
      <c r="FL186" s="118"/>
      <c r="FM186" s="118"/>
      <c r="FN186" s="118"/>
      <c r="FO186" s="118"/>
      <c r="FP186" s="118"/>
      <c r="FQ186" s="118"/>
      <c r="FR186" s="118"/>
      <c r="FS186" s="118"/>
      <c r="FT186" s="118"/>
      <c r="FU186" s="118"/>
      <c r="FV186" s="118"/>
      <c r="FW186" s="118"/>
      <c r="FX186" s="118"/>
      <c r="FY186" s="118"/>
      <c r="FZ186" s="118"/>
      <c r="GA186" s="118"/>
      <c r="GB186" s="118"/>
      <c r="GC186" s="118"/>
      <c r="GD186" s="118"/>
      <c r="GE186" s="118"/>
      <c r="GF186" s="118"/>
      <c r="GG186" s="118"/>
      <c r="GH186" s="118"/>
      <c r="GI186" s="118"/>
      <c r="GJ186" s="118"/>
      <c r="GK186" s="118"/>
      <c r="GL186" s="118"/>
      <c r="GM186" s="118"/>
      <c r="GN186" s="118"/>
      <c r="GO186" s="118"/>
      <c r="GP186" s="118"/>
      <c r="GQ186" s="118"/>
      <c r="GR186" s="118"/>
      <c r="GS186" s="118"/>
      <c r="GT186" s="118"/>
      <c r="GU186" s="118"/>
      <c r="GV186" s="118"/>
      <c r="GW186" s="118"/>
      <c r="GX186" s="118"/>
      <c r="GY186" s="118"/>
      <c r="GZ186" s="118"/>
      <c r="HA186" s="118"/>
      <c r="HB186" s="118"/>
      <c r="HC186" s="118"/>
      <c r="HD186" s="118"/>
      <c r="HE186" s="118"/>
      <c r="HF186" s="118"/>
      <c r="HG186" s="118"/>
      <c r="HH186" s="118"/>
      <c r="HI186" s="118"/>
      <c r="HJ186" s="118"/>
      <c r="HK186" s="118"/>
      <c r="HL186" s="118"/>
      <c r="HM186" s="118"/>
      <c r="HN186" s="118"/>
      <c r="HO186" s="118"/>
      <c r="HP186" s="118"/>
      <c r="HQ186" s="118"/>
      <c r="HR186" s="118"/>
      <c r="HS186" s="118"/>
      <c r="HT186" s="118"/>
      <c r="HU186" s="118"/>
      <c r="HV186" s="118"/>
      <c r="HW186" s="118"/>
      <c r="HX186" s="118"/>
      <c r="HY186" s="118"/>
      <c r="HZ186" s="118"/>
      <c r="IA186" s="118"/>
      <c r="IB186" s="118"/>
      <c r="IC186" s="118"/>
      <c r="ID186" s="118"/>
      <c r="IE186" s="118"/>
      <c r="IF186" s="118"/>
      <c r="IG186" s="118"/>
      <c r="IH186" s="118"/>
      <c r="II186" s="118"/>
      <c r="IJ186" s="118"/>
      <c r="IK186" s="118"/>
      <c r="IL186" s="118"/>
      <c r="IM186" s="118"/>
      <c r="IN186" s="118"/>
      <c r="IO186" s="118"/>
      <c r="IP186" s="118"/>
      <c r="IQ186" s="118"/>
      <c r="IR186" s="118"/>
      <c r="IS186" s="118"/>
      <c r="IT186" s="118"/>
      <c r="IU186" s="118"/>
      <c r="IV186" s="118"/>
      <c r="IW186" s="118"/>
      <c r="IX186" s="118"/>
      <c r="IY186" s="118"/>
    </row>
    <row r="187" spans="1:259" s="124" customFormat="1" ht="30.4" customHeight="1" thickBot="1">
      <c r="A187" s="123" t="s">
        <v>145</v>
      </c>
      <c r="B187" s="257" t="str">
        <f>FORMULA!$B$4</f>
        <v>N01309AY</v>
      </c>
      <c r="C187" s="258">
        <f>FORMULA!$D$4</f>
        <v>0</v>
      </c>
      <c r="D187" s="258">
        <f>FORMULA!$F$4</f>
        <v>0</v>
      </c>
      <c r="E187" s="258">
        <f>FORMULA!$H$4</f>
        <v>0</v>
      </c>
      <c r="F187" s="258">
        <f>FORMULA!$J$4</f>
        <v>0</v>
      </c>
      <c r="G187" s="113">
        <f>FORMULA!$L$4</f>
        <v>0</v>
      </c>
      <c r="H187" s="113">
        <f>FORMULA!$N$4</f>
        <v>0</v>
      </c>
      <c r="I187" s="113">
        <f>FORMULA!$P$4</f>
        <v>0</v>
      </c>
      <c r="J187" s="113">
        <f>FORMULA!$R$4</f>
        <v>0</v>
      </c>
      <c r="K187" s="113">
        <f>FORMULA!$T$4</f>
        <v>0</v>
      </c>
      <c r="L187" s="113">
        <f>FORMULA!$V$4</f>
        <v>0</v>
      </c>
      <c r="M187" s="113">
        <f>FORMULA!$X$4</f>
        <v>0</v>
      </c>
      <c r="N187" s="113">
        <f>FORMULA!$Z$4</f>
        <v>0</v>
      </c>
      <c r="O187" s="113">
        <f>FORMULA!$AB$4</f>
        <v>0</v>
      </c>
      <c r="P187" s="113">
        <f>FORMULA!$AD$4</f>
        <v>0</v>
      </c>
      <c r="Q187" s="114"/>
      <c r="R187" s="257" t="str">
        <f>FORMULA!$B$92</f>
        <v>N025-06</v>
      </c>
      <c r="S187" s="258">
        <f>FORMULA!$D$92</f>
        <v>0</v>
      </c>
      <c r="T187" s="258">
        <f>FORMULA!$F$92</f>
        <v>0</v>
      </c>
      <c r="U187" s="258">
        <f>FORMULA!$H$92</f>
        <v>0</v>
      </c>
      <c r="V187" s="258">
        <f>FORMULA!$J$92</f>
        <v>0</v>
      </c>
      <c r="W187" s="258">
        <f>FORMULA!$L$92</f>
        <v>0</v>
      </c>
      <c r="X187" s="258">
        <f>FORMULA!$N$92</f>
        <v>0</v>
      </c>
      <c r="Y187" s="258">
        <f>FORMULA!$P$92</f>
        <v>0</v>
      </c>
      <c r="Z187" s="258">
        <f>FORMULA!$R$92</f>
        <v>0</v>
      </c>
      <c r="AA187" s="258">
        <f>FORMULA!$T$92</f>
        <v>0</v>
      </c>
      <c r="AB187" s="258">
        <f>FORMULA!$V$92</f>
        <v>0</v>
      </c>
      <c r="AC187" s="258">
        <f>FORMULA!$X$92</f>
        <v>0</v>
      </c>
      <c r="AD187" s="113">
        <f>FORMULA!$Z$92</f>
        <v>0</v>
      </c>
      <c r="AE187" s="113">
        <f>FORMULA!$AB$92</f>
        <v>0</v>
      </c>
      <c r="AF187" s="113">
        <f>FORMULA!$AD$92</f>
        <v>0</v>
      </c>
      <c r="AG187" s="114"/>
      <c r="AH187" s="257" t="str">
        <f>FORMULA!$B$180</f>
        <v>N035-06</v>
      </c>
      <c r="AI187" s="258" t="str">
        <f>FORMULA!$D$180</f>
        <v>WITH 1103 TOP UP</v>
      </c>
      <c r="AJ187" s="258">
        <f>FORMULA!$F$180</f>
        <v>0</v>
      </c>
      <c r="AK187" s="258">
        <f>FORMULA!$H$180</f>
        <v>0</v>
      </c>
      <c r="AL187" s="258">
        <f>FORMULA!$J$180</f>
        <v>0</v>
      </c>
      <c r="AM187" s="258">
        <f>FORMULA!$L$180</f>
        <v>0</v>
      </c>
      <c r="AN187" s="258">
        <f>FORMULA!$N$180</f>
        <v>0</v>
      </c>
      <c r="AO187" s="258">
        <f>FORMULA!$P$180</f>
        <v>0</v>
      </c>
      <c r="AP187" s="258">
        <f>FORMULA!$R$180</f>
        <v>0</v>
      </c>
      <c r="AQ187" s="258">
        <f>FORMULA!$T$180</f>
        <v>0</v>
      </c>
      <c r="AR187" s="258">
        <f>FORMULA!$V$180</f>
        <v>0</v>
      </c>
      <c r="AS187" s="258">
        <f>FORMULA!$X$180</f>
        <v>0</v>
      </c>
      <c r="AT187" s="258">
        <f>FORMULA!$Z$180</f>
        <v>0</v>
      </c>
      <c r="AU187" s="113">
        <f>FORMULA!$AB$180</f>
        <v>0</v>
      </c>
      <c r="AV187" s="113">
        <f>FORMULA!$AD$180</f>
        <v>0</v>
      </c>
      <c r="AW187" s="114"/>
      <c r="AX187" s="112">
        <f>FORMULA!$B$268</f>
        <v>0</v>
      </c>
      <c r="AY187" s="113">
        <f>FORMULA!$D$268</f>
        <v>0</v>
      </c>
      <c r="AZ187" s="113">
        <f>FORMULA!$F$268</f>
        <v>0</v>
      </c>
      <c r="BA187" s="113">
        <f>FORMULA!$H$268</f>
        <v>0</v>
      </c>
      <c r="BB187" s="113">
        <f>FORMULA!$J$268</f>
        <v>0</v>
      </c>
      <c r="BC187" s="113">
        <f>FORMULA!$L$268</f>
        <v>0</v>
      </c>
      <c r="BD187" s="113">
        <f>FORMULA!$N$268</f>
        <v>0</v>
      </c>
      <c r="BE187" s="113">
        <f>FORMULA!$P$268</f>
        <v>0</v>
      </c>
      <c r="BF187" s="113">
        <f>FORMULA!$R$268</f>
        <v>0</v>
      </c>
      <c r="BG187" s="113">
        <f>FORMULA!$T$268</f>
        <v>0</v>
      </c>
      <c r="BH187" s="113">
        <f>FORMULA!$V$268</f>
        <v>0</v>
      </c>
      <c r="BI187" s="113">
        <f>FORMULA!$X$268</f>
        <v>0</v>
      </c>
      <c r="BJ187" s="113">
        <f>FORMULA!$Z$268</f>
        <v>0</v>
      </c>
      <c r="BK187" s="113">
        <f>FORMULA!$AB$268</f>
        <v>0</v>
      </c>
      <c r="BL187" s="113">
        <f>FORMULA!$AD$268</f>
        <v>0</v>
      </c>
      <c r="BM187" s="114"/>
      <c r="BN187" s="111" t="str">
        <f>FORMULA!$B$356</f>
        <v>NR 14-04</v>
      </c>
      <c r="BO187" s="256">
        <f>FORMULA!$D$356</f>
        <v>0</v>
      </c>
      <c r="BP187" s="256">
        <f>FORMULA!$F$356</f>
        <v>0</v>
      </c>
      <c r="BQ187" s="256" t="str">
        <f>FORMULA!$H$356</f>
        <v>NR 24-04Z</v>
      </c>
      <c r="BR187" s="256" t="str">
        <f>FORMULA!$J$356</f>
        <v>WITH BMD</v>
      </c>
      <c r="BS187" s="256" t="str">
        <f>FORMULA!$L$356</f>
        <v>8102 Top Up&amp;PM 8108</v>
      </c>
      <c r="BT187" s="256" t="str">
        <f>FORMULA!$N$356</f>
        <v>8102 Top Up&amp;PM 8102</v>
      </c>
      <c r="BU187" s="256" t="str">
        <f>FORMULA!$P$356</f>
        <v>8102 Top Up&amp;PM 8102</v>
      </c>
      <c r="BV187" s="256" t="str">
        <f>FORMULA!$R$356</f>
        <v>8102 Top Up&amp;PM 8108</v>
      </c>
      <c r="BW187" s="256" t="str">
        <f>FORMULA!$T$356</f>
        <v>8103 Top Up&amp;PM 8103</v>
      </c>
      <c r="BX187" s="256" t="str">
        <f>FORMULA!$V$356</f>
        <v>8103 Top Up&amp;PM 8109</v>
      </c>
      <c r="BY187" s="256" t="str">
        <f>FORMULA!$X$356</f>
        <v xml:space="preserve">NR 34-04 </v>
      </c>
      <c r="BZ187" s="256" t="str">
        <f>FORMULA!$Z$356</f>
        <v xml:space="preserve">NR 34-04 </v>
      </c>
      <c r="CA187" s="256" t="str">
        <f>FORMULA!$AB$356</f>
        <v>8102 TOP UP</v>
      </c>
      <c r="CB187" s="256" t="str">
        <f>FORMULA!$AD$356</f>
        <v>8103 TOP UP</v>
      </c>
      <c r="CC187" s="114"/>
      <c r="CD187" s="256" t="str">
        <f>FORMULA!$B$444</f>
        <v>SOYTIDE&amp;TOXISORB</v>
      </c>
      <c r="CE187" s="256" t="str">
        <f>FORMULA!$D$444</f>
        <v>SOYTIDE&amp;TOXIWALL</v>
      </c>
      <c r="CF187" s="256" t="str">
        <f>FORMULA!$F$444</f>
        <v>EP 200&amp;TOXIWALL</v>
      </c>
      <c r="CG187" s="111">
        <f>FORMULA!$H$444</f>
        <v>0</v>
      </c>
      <c r="CH187" s="111">
        <f>FORMULA!$J$444</f>
        <v>0</v>
      </c>
      <c r="CI187" s="111">
        <f>FORMULA!$L$444</f>
        <v>0</v>
      </c>
      <c r="CJ187" s="111">
        <f>FORMULA!$N$444</f>
        <v>0</v>
      </c>
      <c r="CK187" s="111">
        <f>FORMULA!$P$444</f>
        <v>0</v>
      </c>
      <c r="CL187" s="111">
        <f>FORMULA!$R$444</f>
        <v>0</v>
      </c>
      <c r="CM187" s="111">
        <f>FORMULA!$T$444</f>
        <v>0</v>
      </c>
      <c r="CN187" s="111">
        <f>FORMULA!$V$444</f>
        <v>0</v>
      </c>
      <c r="CO187" s="111">
        <f>FORMULA!$X$444</f>
        <v>0</v>
      </c>
      <c r="CP187" s="111">
        <f>FORMULA!$Z$444</f>
        <v>0</v>
      </c>
      <c r="CQ187" s="111">
        <f>FORMULA!$AB$444</f>
        <v>0</v>
      </c>
      <c r="CR187" s="111">
        <f>FORMULA!$AD$444</f>
        <v>0</v>
      </c>
      <c r="CS187" s="114"/>
      <c r="CT187" s="256" t="str">
        <f>FORMULA!$B$532</f>
        <v>WITH TOXISORB</v>
      </c>
      <c r="CU187" s="256" t="str">
        <f>FORMULA!$D$532</f>
        <v>WITH TOXIWALL</v>
      </c>
      <c r="CV187" s="256" t="str">
        <f>FORMULA!$F$532</f>
        <v>WITH TOXIWALL, YM 20.50kg</v>
      </c>
      <c r="CW187" s="256">
        <f>FORMULA!$H$532</f>
        <v>0</v>
      </c>
      <c r="CX187" s="256">
        <f>FORMULA!$J$532</f>
        <v>0</v>
      </c>
      <c r="CY187" s="256">
        <f>FORMULA!$L$532</f>
        <v>0</v>
      </c>
      <c r="CZ187" s="256">
        <f>FORMULA!$N$532</f>
        <v>0</v>
      </c>
      <c r="DA187" s="541" t="str">
        <f>FORMULA!$P$532</f>
        <v>REDUCE CORN FOR 2MT</v>
      </c>
      <c r="DB187" s="256">
        <f>FORMULA!$R$532</f>
        <v>0</v>
      </c>
      <c r="DC187" s="256">
        <f>FORMULA!$T$532</f>
        <v>0</v>
      </c>
      <c r="DD187" s="541" t="str">
        <f>FORMULA!$V$532</f>
        <v>K20</v>
      </c>
      <c r="DE187" s="256">
        <f>FORMULA!$X$532</f>
        <v>0</v>
      </c>
      <c r="DF187" s="256" t="str">
        <f>FORMULA!$Z$532</f>
        <v>ALREADY 2MT</v>
      </c>
      <c r="DG187" s="111" t="str">
        <f>FORMULA!$AB$532</f>
        <v>K21</v>
      </c>
      <c r="DH187" s="111">
        <f>FORMULA!$AD$532</f>
        <v>0</v>
      </c>
      <c r="DI187" s="114"/>
      <c r="DJ187" s="256" t="str">
        <f>FORMULA!$B$620</f>
        <v>WITH TOXISORB</v>
      </c>
      <c r="DK187" s="256" t="str">
        <f>FORMULA!$D$620</f>
        <v>WITHOUT WHEAT POLLARD</v>
      </c>
      <c r="DL187" s="256" t="str">
        <f>FORMULA!$F$620</f>
        <v>WITH TOXIWALL</v>
      </c>
      <c r="DM187" s="256" t="str">
        <f>FORMULA!$H$620</f>
        <v>WITH TOXIWALL, YM 20.00kg</v>
      </c>
      <c r="DN187" s="111">
        <f>FORMULA!$J$620</f>
        <v>0</v>
      </c>
      <c r="DO187" s="111">
        <f>FORMULA!$L$620</f>
        <v>0</v>
      </c>
      <c r="DP187" s="111">
        <f>FORMULA!$N$620</f>
        <v>0</v>
      </c>
      <c r="DQ187" s="111">
        <f>FORMULA!$P$620</f>
        <v>0</v>
      </c>
      <c r="DR187" s="111">
        <f>FORMULA!$R$620</f>
        <v>0</v>
      </c>
      <c r="DS187" s="111">
        <f>FORMULA!$T$620</f>
        <v>0</v>
      </c>
      <c r="DT187" s="111">
        <f>FORMULA!$V$620</f>
        <v>0</v>
      </c>
      <c r="DU187" s="111">
        <f>FORMULA!$X$620</f>
        <v>0</v>
      </c>
      <c r="DV187" s="111">
        <f>FORMULA!$Z$620</f>
        <v>0</v>
      </c>
      <c r="DW187" s="111">
        <f>FORMULA!$AB$620</f>
        <v>0</v>
      </c>
      <c r="DX187" s="111">
        <f>FORMULA!$AD$620</f>
        <v>0</v>
      </c>
      <c r="DY187" s="114"/>
      <c r="EA187" s="721"/>
      <c r="EB187" s="721"/>
      <c r="EC187" s="721"/>
      <c r="ED187" s="721"/>
      <c r="EE187" s="721"/>
      <c r="EF187" s="721"/>
      <c r="EG187" s="721"/>
      <c r="EH187" s="721"/>
      <c r="EI187" s="721"/>
      <c r="EJ187" s="721"/>
      <c r="EK187" s="721"/>
      <c r="EL187" s="120"/>
      <c r="EM187" s="120"/>
      <c r="EN187" s="120"/>
      <c r="EO187" s="120"/>
      <c r="EP187" s="120"/>
      <c r="EQ187" s="120"/>
      <c r="ER187" s="721"/>
      <c r="ES187" s="721"/>
      <c r="ET187" s="721"/>
      <c r="EU187" s="721"/>
      <c r="EV187" s="721"/>
      <c r="EW187" s="721"/>
      <c r="EX187" s="721"/>
      <c r="EY187" s="721"/>
      <c r="EZ187" s="721"/>
      <c r="FA187" s="721"/>
      <c r="FB187" s="721"/>
      <c r="FC187" s="721"/>
      <c r="FD187" s="721"/>
      <c r="FE187" s="721"/>
      <c r="FF187" s="721"/>
      <c r="FG187" s="120"/>
      <c r="FH187" s="721"/>
      <c r="FI187" s="721"/>
      <c r="FJ187" s="721"/>
      <c r="FK187" s="721"/>
      <c r="FL187" s="721"/>
      <c r="FM187" s="721"/>
      <c r="FN187" s="721"/>
      <c r="FO187" s="721"/>
      <c r="FP187" s="721"/>
      <c r="FQ187" s="721"/>
      <c r="FR187" s="721"/>
      <c r="FS187" s="721"/>
      <c r="FT187" s="721"/>
      <c r="FU187" s="721"/>
      <c r="FV187" s="721"/>
      <c r="FW187" s="120"/>
      <c r="FX187" s="721"/>
      <c r="FY187" s="721"/>
      <c r="FZ187" s="721"/>
      <c r="GA187" s="721"/>
      <c r="GB187" s="721"/>
      <c r="GC187" s="721"/>
      <c r="GD187" s="721"/>
      <c r="GE187" s="721"/>
      <c r="GF187" s="721"/>
      <c r="GG187" s="721"/>
      <c r="GH187" s="721"/>
      <c r="GI187" s="721"/>
      <c r="GJ187" s="721"/>
      <c r="GK187" s="721"/>
      <c r="GL187" s="721"/>
      <c r="GM187" s="121"/>
      <c r="GN187" s="721"/>
      <c r="GO187" s="721"/>
      <c r="GP187" s="721"/>
      <c r="GQ187" s="721"/>
      <c r="GR187" s="721"/>
      <c r="GS187" s="721"/>
      <c r="GT187" s="721"/>
      <c r="GU187" s="721"/>
      <c r="GV187" s="721"/>
      <c r="GW187" s="721"/>
      <c r="GX187" s="721"/>
      <c r="GY187" s="721"/>
      <c r="GZ187" s="721"/>
      <c r="HA187" s="721"/>
      <c r="HB187" s="721"/>
      <c r="HC187" s="121"/>
      <c r="HD187" s="721"/>
      <c r="HE187" s="721"/>
      <c r="HF187" s="721"/>
      <c r="HG187" s="721"/>
      <c r="HH187" s="721"/>
      <c r="HI187" s="721"/>
      <c r="HJ187" s="721"/>
      <c r="HK187" s="721"/>
      <c r="HL187" s="721"/>
      <c r="HM187" s="721"/>
      <c r="HN187" s="721"/>
      <c r="HO187" s="721"/>
      <c r="HP187" s="721"/>
      <c r="HQ187" s="721"/>
      <c r="HR187" s="721"/>
      <c r="HS187" s="121"/>
      <c r="HT187" s="721"/>
      <c r="HU187" s="721"/>
      <c r="HV187" s="721"/>
      <c r="HW187" s="721"/>
      <c r="HX187" s="721"/>
      <c r="HY187" s="721"/>
      <c r="HZ187" s="721"/>
      <c r="IA187" s="721"/>
      <c r="IB187" s="721"/>
      <c r="IC187" s="721"/>
      <c r="ID187" s="721"/>
      <c r="IE187" s="721"/>
      <c r="IF187" s="721"/>
      <c r="IG187" s="721"/>
      <c r="IH187" s="721"/>
      <c r="II187" s="121"/>
      <c r="IJ187" s="721"/>
      <c r="IK187" s="721"/>
      <c r="IL187" s="721"/>
      <c r="IM187" s="721"/>
      <c r="IN187" s="721"/>
      <c r="IO187" s="721"/>
      <c r="IP187" s="721"/>
      <c r="IQ187" s="721"/>
      <c r="IR187" s="721"/>
      <c r="IS187" s="721"/>
      <c r="IT187" s="721"/>
      <c r="IU187" s="721"/>
      <c r="IV187" s="721"/>
      <c r="IW187" s="721"/>
      <c r="IX187" s="721"/>
      <c r="IY187" s="121"/>
    </row>
    <row r="188" spans="1:259" ht="15.75" customHeight="1" outlineLevel="1">
      <c r="A188" s="11">
        <f>'VAC &amp; MED'!C183</f>
        <v>46174</v>
      </c>
      <c r="B188" s="261"/>
      <c r="C188" s="261"/>
      <c r="D188" s="261"/>
      <c r="E188" s="261"/>
      <c r="F188" s="261"/>
      <c r="G188" s="261"/>
      <c r="H188" s="261"/>
      <c r="I188" s="261"/>
      <c r="J188" s="261"/>
      <c r="K188" s="261"/>
      <c r="L188" s="261"/>
      <c r="M188" s="261"/>
      <c r="N188" s="261"/>
      <c r="O188" s="261"/>
      <c r="P188" s="261"/>
      <c r="Q188" s="261"/>
      <c r="R188" s="262"/>
      <c r="S188" s="262"/>
      <c r="T188" s="262"/>
      <c r="U188" s="262"/>
      <c r="V188" s="262"/>
      <c r="W188" s="262"/>
      <c r="X188" s="262"/>
      <c r="Y188" s="262"/>
      <c r="Z188" s="262"/>
      <c r="AA188" s="262"/>
      <c r="AB188" s="262"/>
      <c r="AC188" s="262"/>
      <c r="AD188" s="262"/>
      <c r="AE188" s="262"/>
      <c r="AF188" s="262"/>
      <c r="AG188" s="262"/>
      <c r="AH188" s="263"/>
      <c r="AI188" s="263"/>
      <c r="AJ188" s="263"/>
      <c r="AK188" s="263"/>
      <c r="AL188" s="263"/>
      <c r="AM188" s="263"/>
      <c r="AN188" s="263"/>
      <c r="AO188" s="263"/>
      <c r="AP188" s="263"/>
      <c r="AQ188" s="263"/>
      <c r="AR188" s="263"/>
      <c r="AS188" s="263"/>
      <c r="AT188" s="263"/>
      <c r="AU188" s="263"/>
      <c r="AV188" s="263"/>
      <c r="AW188" s="263"/>
      <c r="AX188" s="264"/>
      <c r="AY188" s="264"/>
      <c r="AZ188" s="264"/>
      <c r="BA188" s="264"/>
      <c r="BB188" s="264"/>
      <c r="BC188" s="264"/>
      <c r="BD188" s="264"/>
      <c r="BE188" s="264"/>
      <c r="BF188" s="264"/>
      <c r="BG188" s="264"/>
      <c r="BH188" s="264"/>
      <c r="BI188" s="264"/>
      <c r="BJ188" s="264"/>
      <c r="BK188" s="264"/>
      <c r="BL188" s="264"/>
      <c r="BM188" s="264"/>
      <c r="BN188" s="265"/>
      <c r="BO188" s="265"/>
      <c r="BP188" s="265"/>
      <c r="BQ188" s="265"/>
      <c r="BR188" s="265"/>
      <c r="BS188" s="265"/>
      <c r="BT188" s="265"/>
      <c r="BU188" s="265"/>
      <c r="BV188" s="265"/>
      <c r="BW188" s="265"/>
      <c r="BX188" s="265"/>
      <c r="BY188" s="265"/>
      <c r="BZ188" s="265"/>
      <c r="CA188" s="265"/>
      <c r="CB188" s="265"/>
      <c r="CC188" s="265"/>
      <c r="CD188" s="266"/>
      <c r="CE188" s="266"/>
      <c r="CF188" s="266"/>
      <c r="CG188" s="266"/>
      <c r="CH188" s="266"/>
      <c r="CI188" s="266"/>
      <c r="CJ188" s="266"/>
      <c r="CK188" s="266"/>
      <c r="CL188" s="266"/>
      <c r="CM188" s="266"/>
      <c r="CN188" s="266"/>
      <c r="CO188" s="266"/>
      <c r="CP188" s="266"/>
      <c r="CQ188" s="266"/>
      <c r="CR188" s="266"/>
      <c r="CS188" s="266"/>
      <c r="CT188" s="267"/>
      <c r="CU188" s="267"/>
      <c r="CV188" s="267"/>
      <c r="CW188" s="267"/>
      <c r="CX188" s="267"/>
      <c r="CY188" s="267"/>
      <c r="CZ188" s="267"/>
      <c r="DA188" s="267"/>
      <c r="DB188" s="267"/>
      <c r="DC188" s="267"/>
      <c r="DD188" s="267"/>
      <c r="DE188" s="267"/>
      <c r="DF188" s="267"/>
      <c r="DG188" s="267"/>
      <c r="DH188" s="267"/>
      <c r="DI188" s="267"/>
      <c r="DJ188" s="268"/>
      <c r="DK188" s="268"/>
      <c r="DL188" s="268"/>
      <c r="DM188" s="268"/>
      <c r="DN188" s="268"/>
      <c r="DO188" s="268"/>
      <c r="DP188" s="268"/>
      <c r="DQ188" s="268"/>
      <c r="DR188" s="268"/>
      <c r="DS188" s="268"/>
      <c r="DT188" s="268"/>
      <c r="DU188" s="268"/>
      <c r="DV188" s="268"/>
      <c r="DW188" s="268"/>
      <c r="DX188" s="268"/>
      <c r="DY188" s="268"/>
      <c r="EA188" s="721"/>
      <c r="EB188" s="721"/>
      <c r="EC188" s="721"/>
      <c r="ED188" s="721"/>
      <c r="EE188" s="721"/>
      <c r="EF188" s="721"/>
      <c r="EG188" s="721"/>
      <c r="EH188" s="721"/>
      <c r="EI188" s="721"/>
      <c r="EJ188" s="721"/>
      <c r="EK188" s="721"/>
      <c r="EL188" s="494"/>
      <c r="EM188" s="494"/>
      <c r="EN188" s="494"/>
      <c r="EO188" s="494"/>
      <c r="EP188" s="494"/>
      <c r="EQ188" s="494"/>
      <c r="ER188" s="721"/>
      <c r="ES188" s="721"/>
      <c r="ET188" s="721"/>
      <c r="EU188" s="721"/>
      <c r="EV188" s="721"/>
      <c r="EW188" s="721"/>
      <c r="EX188" s="721"/>
      <c r="EY188" s="721"/>
      <c r="EZ188" s="721"/>
      <c r="FA188" s="721"/>
      <c r="FB188" s="721"/>
      <c r="FC188" s="721"/>
      <c r="FD188" s="721"/>
      <c r="FE188" s="721"/>
      <c r="FF188" s="721"/>
      <c r="FG188" s="494"/>
      <c r="FH188" s="721"/>
      <c r="FI188" s="721"/>
      <c r="FJ188" s="721"/>
      <c r="FK188" s="721"/>
      <c r="FL188" s="721"/>
      <c r="FM188" s="721"/>
      <c r="FN188" s="721"/>
      <c r="FO188" s="721"/>
      <c r="FP188" s="721"/>
      <c r="FQ188" s="721"/>
      <c r="FR188" s="721"/>
      <c r="FS188" s="721"/>
      <c r="FT188" s="721"/>
      <c r="FU188" s="721"/>
      <c r="FV188" s="721"/>
      <c r="FW188" s="494"/>
      <c r="FX188" s="721"/>
      <c r="FY188" s="721"/>
      <c r="FZ188" s="721"/>
      <c r="GA188" s="721"/>
      <c r="GB188" s="721"/>
      <c r="GC188" s="721"/>
      <c r="GD188" s="721"/>
      <c r="GE188" s="721"/>
      <c r="GF188" s="721"/>
      <c r="GG188" s="721"/>
      <c r="GH188" s="721"/>
      <c r="GI188" s="721"/>
      <c r="GJ188" s="721"/>
      <c r="GK188" s="721"/>
      <c r="GL188" s="721"/>
      <c r="GM188" s="13"/>
      <c r="GN188" s="721"/>
      <c r="GO188" s="721"/>
      <c r="GP188" s="721"/>
      <c r="GQ188" s="721"/>
      <c r="GR188" s="721"/>
      <c r="GS188" s="721"/>
      <c r="GT188" s="721"/>
      <c r="GU188" s="721"/>
      <c r="GV188" s="721"/>
      <c r="GW188" s="721"/>
      <c r="GX188" s="721"/>
      <c r="GY188" s="721"/>
      <c r="GZ188" s="721"/>
      <c r="HA188" s="721"/>
      <c r="HB188" s="721"/>
      <c r="HC188" s="13"/>
      <c r="HD188" s="721"/>
      <c r="HE188" s="721"/>
      <c r="HF188" s="721"/>
      <c r="HG188" s="721"/>
      <c r="HH188" s="721"/>
      <c r="HI188" s="721"/>
      <c r="HJ188" s="721"/>
      <c r="HK188" s="721"/>
      <c r="HL188" s="721"/>
      <c r="HM188" s="721"/>
      <c r="HN188" s="721"/>
      <c r="HO188" s="721"/>
      <c r="HP188" s="721"/>
      <c r="HQ188" s="721"/>
      <c r="HR188" s="721"/>
      <c r="HS188" s="13"/>
      <c r="HT188" s="721"/>
      <c r="HU188" s="721"/>
      <c r="HV188" s="721"/>
      <c r="HW188" s="721"/>
      <c r="HX188" s="721"/>
      <c r="HY188" s="721"/>
      <c r="HZ188" s="721"/>
      <c r="IA188" s="721"/>
      <c r="IB188" s="721"/>
      <c r="IC188" s="721"/>
      <c r="ID188" s="721"/>
      <c r="IE188" s="721"/>
      <c r="IF188" s="721"/>
      <c r="IG188" s="721"/>
      <c r="IH188" s="721"/>
      <c r="II188" s="13"/>
      <c r="IJ188" s="721"/>
      <c r="IK188" s="721"/>
      <c r="IL188" s="721"/>
      <c r="IM188" s="721"/>
      <c r="IN188" s="721"/>
      <c r="IO188" s="721"/>
      <c r="IP188" s="721"/>
      <c r="IQ188" s="721"/>
      <c r="IR188" s="721"/>
      <c r="IS188" s="721"/>
      <c r="IT188" s="721"/>
      <c r="IU188" s="721"/>
      <c r="IV188" s="721"/>
      <c r="IW188" s="721"/>
      <c r="IX188" s="721"/>
      <c r="IY188" s="13"/>
    </row>
    <row r="189" spans="1:259" outlineLevel="1">
      <c r="A189" s="11">
        <f>'VAC &amp; MED'!C184</f>
        <v>46175</v>
      </c>
      <c r="B189" s="261"/>
      <c r="C189" s="261"/>
      <c r="D189" s="261"/>
      <c r="E189" s="261"/>
      <c r="F189" s="261"/>
      <c r="G189" s="261"/>
      <c r="H189" s="261"/>
      <c r="I189" s="261"/>
      <c r="J189" s="261"/>
      <c r="K189" s="261"/>
      <c r="L189" s="261"/>
      <c r="M189" s="261"/>
      <c r="N189" s="261"/>
      <c r="O189" s="261"/>
      <c r="P189" s="261"/>
      <c r="Q189" s="261"/>
      <c r="R189" s="262"/>
      <c r="S189" s="262"/>
      <c r="T189" s="262"/>
      <c r="U189" s="262"/>
      <c r="V189" s="262"/>
      <c r="W189" s="262"/>
      <c r="X189" s="262"/>
      <c r="Y189" s="262"/>
      <c r="Z189" s="262"/>
      <c r="AA189" s="262"/>
      <c r="AB189" s="262"/>
      <c r="AC189" s="262"/>
      <c r="AD189" s="262"/>
      <c r="AE189" s="262"/>
      <c r="AF189" s="262"/>
      <c r="AG189" s="262"/>
      <c r="AH189" s="263"/>
      <c r="AI189" s="263"/>
      <c r="AJ189" s="263"/>
      <c r="AK189" s="263"/>
      <c r="AL189" s="263"/>
      <c r="AM189" s="263"/>
      <c r="AN189" s="263"/>
      <c r="AO189" s="263"/>
      <c r="AP189" s="263"/>
      <c r="AQ189" s="263"/>
      <c r="AR189" s="263"/>
      <c r="AS189" s="263"/>
      <c r="AT189" s="263"/>
      <c r="AU189" s="263"/>
      <c r="AV189" s="263"/>
      <c r="AW189" s="263"/>
      <c r="AX189" s="264"/>
      <c r="AY189" s="264"/>
      <c r="AZ189" s="264"/>
      <c r="BA189" s="264"/>
      <c r="BB189" s="264"/>
      <c r="BC189" s="264"/>
      <c r="BD189" s="264"/>
      <c r="BE189" s="264"/>
      <c r="BF189" s="264"/>
      <c r="BG189" s="264"/>
      <c r="BH189" s="264"/>
      <c r="BI189" s="264"/>
      <c r="BJ189" s="264"/>
      <c r="BK189" s="264"/>
      <c r="BL189" s="264"/>
      <c r="BM189" s="264"/>
      <c r="BN189" s="265"/>
      <c r="BO189" s="265"/>
      <c r="BP189" s="265"/>
      <c r="BQ189" s="265"/>
      <c r="BR189" s="265"/>
      <c r="BS189" s="265"/>
      <c r="BT189" s="265"/>
      <c r="BU189" s="265"/>
      <c r="BV189" s="265"/>
      <c r="BW189" s="265"/>
      <c r="BX189" s="265">
        <v>16</v>
      </c>
      <c r="BY189" s="265"/>
      <c r="BZ189" s="265"/>
      <c r="CA189" s="265"/>
      <c r="CB189" s="265"/>
      <c r="CC189" s="265"/>
      <c r="CD189" s="266"/>
      <c r="CE189" s="266"/>
      <c r="CF189" s="266"/>
      <c r="CG189" s="266"/>
      <c r="CH189" s="266"/>
      <c r="CI189" s="266"/>
      <c r="CJ189" s="266"/>
      <c r="CK189" s="266"/>
      <c r="CL189" s="266"/>
      <c r="CM189" s="266"/>
      <c r="CN189" s="266"/>
      <c r="CO189" s="266"/>
      <c r="CP189" s="266"/>
      <c r="CQ189" s="266"/>
      <c r="CR189" s="266"/>
      <c r="CS189" s="266"/>
      <c r="CT189" s="267"/>
      <c r="CU189" s="267"/>
      <c r="CV189" s="267"/>
      <c r="CW189" s="267"/>
      <c r="CX189" s="267"/>
      <c r="CY189" s="267"/>
      <c r="CZ189" s="267"/>
      <c r="DA189" s="267"/>
      <c r="DB189" s="267"/>
      <c r="DC189" s="267"/>
      <c r="DD189" s="267"/>
      <c r="DE189" s="267"/>
      <c r="DF189" s="267"/>
      <c r="DG189" s="267"/>
      <c r="DH189" s="267"/>
      <c r="DI189" s="267"/>
      <c r="DJ189" s="268"/>
      <c r="DK189" s="268"/>
      <c r="DL189" s="268"/>
      <c r="DM189" s="268"/>
      <c r="DN189" s="268"/>
      <c r="DO189" s="268"/>
      <c r="DP189" s="268"/>
      <c r="DQ189" s="268"/>
      <c r="DR189" s="268"/>
      <c r="DS189" s="268"/>
      <c r="DT189" s="268"/>
      <c r="DU189" s="268"/>
      <c r="DV189" s="268"/>
      <c r="DW189" s="268"/>
      <c r="DX189" s="268"/>
      <c r="DY189" s="268"/>
      <c r="EA189" s="721"/>
      <c r="EB189" s="714"/>
      <c r="EC189" s="714"/>
      <c r="ED189" s="714"/>
      <c r="EE189" s="714"/>
      <c r="EF189" s="714"/>
      <c r="EG189" s="714"/>
      <c r="EH189" s="714"/>
      <c r="EI189" s="714"/>
      <c r="EJ189" s="714"/>
      <c r="EK189" s="714"/>
      <c r="EL189" s="493"/>
      <c r="EM189" s="493"/>
      <c r="EN189" s="493"/>
      <c r="EO189" s="493"/>
      <c r="EP189" s="493"/>
      <c r="EQ189" s="493"/>
      <c r="ER189" s="714"/>
      <c r="ES189" s="714"/>
      <c r="ET189" s="714"/>
      <c r="EU189" s="714"/>
      <c r="EV189" s="714"/>
      <c r="EW189" s="714"/>
      <c r="EX189" s="714"/>
      <c r="EY189" s="714"/>
      <c r="EZ189" s="714"/>
      <c r="FA189" s="493"/>
      <c r="FB189" s="493"/>
      <c r="FC189" s="493"/>
      <c r="FD189" s="493"/>
      <c r="FE189" s="493"/>
      <c r="FF189" s="714"/>
      <c r="FG189" s="493"/>
      <c r="FH189" s="714"/>
      <c r="FI189" s="714"/>
      <c r="FJ189" s="714"/>
      <c r="FK189" s="714"/>
      <c r="FL189" s="714"/>
      <c r="FM189" s="714"/>
      <c r="FN189" s="714"/>
      <c r="FO189" s="714"/>
      <c r="FP189" s="714"/>
      <c r="FQ189" s="493"/>
      <c r="FR189" s="493"/>
      <c r="FS189" s="493"/>
      <c r="FT189" s="493"/>
      <c r="FU189" s="493"/>
      <c r="FV189" s="714"/>
      <c r="FW189" s="493"/>
      <c r="FX189" s="714"/>
      <c r="FY189" s="714"/>
      <c r="FZ189" s="714"/>
      <c r="GA189" s="714"/>
      <c r="GB189" s="714"/>
      <c r="GC189" s="714"/>
      <c r="GD189" s="714"/>
      <c r="GE189" s="714"/>
      <c r="GF189" s="714"/>
      <c r="GG189" s="493"/>
      <c r="GH189" s="493"/>
      <c r="GI189" s="493"/>
      <c r="GJ189" s="493"/>
      <c r="GK189" s="493"/>
      <c r="GL189" s="714"/>
      <c r="GM189" s="13"/>
      <c r="GN189" s="714"/>
      <c r="GO189" s="714"/>
      <c r="GP189" s="714"/>
      <c r="GQ189" s="714"/>
      <c r="GR189" s="714"/>
      <c r="GS189" s="714"/>
      <c r="GT189" s="714"/>
      <c r="GU189" s="714"/>
      <c r="GV189" s="714"/>
      <c r="GW189" s="493"/>
      <c r="GX189" s="493"/>
      <c r="GY189" s="493"/>
      <c r="GZ189" s="493"/>
      <c r="HA189" s="493"/>
      <c r="HB189" s="714"/>
      <c r="HC189" s="13"/>
      <c r="HD189" s="714"/>
      <c r="HE189" s="714"/>
      <c r="HF189" s="714"/>
      <c r="HG189" s="714"/>
      <c r="HH189" s="714"/>
      <c r="HI189" s="714"/>
      <c r="HJ189" s="714"/>
      <c r="HK189" s="714"/>
      <c r="HL189" s="714"/>
      <c r="HM189" s="493"/>
      <c r="HN189" s="493"/>
      <c r="HO189" s="493"/>
      <c r="HP189" s="493"/>
      <c r="HQ189" s="493"/>
      <c r="HR189" s="714"/>
      <c r="HS189" s="13"/>
      <c r="HT189" s="714"/>
      <c r="HU189" s="714"/>
      <c r="HV189" s="714"/>
      <c r="HW189" s="714"/>
      <c r="HX189" s="714"/>
      <c r="HY189" s="714"/>
      <c r="HZ189" s="714"/>
      <c r="IA189" s="714"/>
      <c r="IB189" s="714"/>
      <c r="IC189" s="493"/>
      <c r="ID189" s="493"/>
      <c r="IE189" s="493"/>
      <c r="IF189" s="493"/>
      <c r="IG189" s="493"/>
      <c r="IH189" s="714"/>
      <c r="II189" s="13"/>
      <c r="IJ189" s="714"/>
      <c r="IK189" s="714"/>
      <c r="IL189" s="714"/>
      <c r="IM189" s="714"/>
      <c r="IN189" s="714"/>
      <c r="IO189" s="714"/>
      <c r="IP189" s="714"/>
      <c r="IQ189" s="714"/>
      <c r="IR189" s="714"/>
      <c r="IS189" s="493"/>
      <c r="IT189" s="493"/>
      <c r="IU189" s="493"/>
      <c r="IV189" s="493"/>
      <c r="IW189" s="493"/>
      <c r="IX189" s="714"/>
      <c r="IY189" s="13"/>
    </row>
    <row r="190" spans="1:259" outlineLevel="1">
      <c r="A190" s="11">
        <f>'VAC &amp; MED'!C185</f>
        <v>46176</v>
      </c>
      <c r="B190" s="261"/>
      <c r="C190" s="261"/>
      <c r="D190" s="261"/>
      <c r="E190" s="261"/>
      <c r="F190" s="261"/>
      <c r="G190" s="261"/>
      <c r="H190" s="261"/>
      <c r="I190" s="261"/>
      <c r="J190" s="261"/>
      <c r="K190" s="261"/>
      <c r="L190" s="261"/>
      <c r="M190" s="261"/>
      <c r="N190" s="261"/>
      <c r="O190" s="261"/>
      <c r="P190" s="261"/>
      <c r="Q190" s="261"/>
      <c r="R190" s="262"/>
      <c r="S190" s="262"/>
      <c r="T190" s="262"/>
      <c r="U190" s="262"/>
      <c r="V190" s="262"/>
      <c r="W190" s="262"/>
      <c r="X190" s="262"/>
      <c r="Y190" s="262"/>
      <c r="Z190" s="262"/>
      <c r="AA190" s="262"/>
      <c r="AB190" s="262"/>
      <c r="AC190" s="262"/>
      <c r="AD190" s="262"/>
      <c r="AE190" s="262"/>
      <c r="AF190" s="262"/>
      <c r="AG190" s="262"/>
      <c r="AH190" s="263"/>
      <c r="AI190" s="263"/>
      <c r="AJ190" s="263"/>
      <c r="AK190" s="263"/>
      <c r="AL190" s="263"/>
      <c r="AM190" s="263"/>
      <c r="AN190" s="263"/>
      <c r="AO190" s="263"/>
      <c r="AP190" s="263"/>
      <c r="AQ190" s="263"/>
      <c r="AR190" s="263"/>
      <c r="AS190" s="263"/>
      <c r="AT190" s="263"/>
      <c r="AU190" s="263"/>
      <c r="AV190" s="263"/>
      <c r="AW190" s="263"/>
      <c r="AX190" s="264"/>
      <c r="AY190" s="264"/>
      <c r="AZ190" s="264"/>
      <c r="BA190" s="264"/>
      <c r="BB190" s="264"/>
      <c r="BC190" s="264"/>
      <c r="BD190" s="264"/>
      <c r="BE190" s="264"/>
      <c r="BF190" s="264"/>
      <c r="BG190" s="264"/>
      <c r="BH190" s="264"/>
      <c r="BI190" s="264"/>
      <c r="BJ190" s="264"/>
      <c r="BK190" s="264"/>
      <c r="BL190" s="264"/>
      <c r="BM190" s="264"/>
      <c r="BN190" s="265"/>
      <c r="BO190" s="265"/>
      <c r="BP190" s="265"/>
      <c r="BQ190" s="265"/>
      <c r="BR190" s="265"/>
      <c r="BS190" s="265"/>
      <c r="BT190" s="265"/>
      <c r="BU190" s="265"/>
      <c r="BV190" s="265"/>
      <c r="BW190" s="265"/>
      <c r="BX190" s="265">
        <v>20</v>
      </c>
      <c r="BY190" s="265"/>
      <c r="BZ190" s="265"/>
      <c r="CA190" s="265"/>
      <c r="CB190" s="265"/>
      <c r="CC190" s="265"/>
      <c r="CD190" s="266"/>
      <c r="CE190" s="266"/>
      <c r="CF190" s="266"/>
      <c r="CG190" s="266"/>
      <c r="CH190" s="266"/>
      <c r="CI190" s="266"/>
      <c r="CJ190" s="266"/>
      <c r="CK190" s="266"/>
      <c r="CL190" s="266"/>
      <c r="CM190" s="266"/>
      <c r="CN190" s="266"/>
      <c r="CO190" s="266"/>
      <c r="CP190" s="266"/>
      <c r="CQ190" s="266"/>
      <c r="CR190" s="266"/>
      <c r="CS190" s="266"/>
      <c r="CT190" s="267"/>
      <c r="CU190" s="267"/>
      <c r="CV190" s="267"/>
      <c r="CW190" s="267"/>
      <c r="CX190" s="267"/>
      <c r="CY190" s="267"/>
      <c r="CZ190" s="267"/>
      <c r="DA190" s="267"/>
      <c r="DB190" s="267"/>
      <c r="DC190" s="267"/>
      <c r="DD190" s="267"/>
      <c r="DE190" s="267"/>
      <c r="DF190" s="267"/>
      <c r="DG190" s="267"/>
      <c r="DH190" s="267"/>
      <c r="DI190" s="267"/>
      <c r="DJ190" s="268"/>
      <c r="DK190" s="268"/>
      <c r="DL190" s="268"/>
      <c r="DM190" s="268"/>
      <c r="DN190" s="268"/>
      <c r="DO190" s="268"/>
      <c r="DP190" s="268"/>
      <c r="DQ190" s="268"/>
      <c r="DR190" s="268"/>
      <c r="DS190" s="268"/>
      <c r="DT190" s="268"/>
      <c r="DU190" s="268"/>
      <c r="DV190" s="268"/>
      <c r="DW190" s="268"/>
      <c r="DX190" s="268"/>
      <c r="DY190" s="268"/>
      <c r="EA190" s="721"/>
      <c r="EB190" s="714"/>
      <c r="EC190" s="714"/>
      <c r="ED190" s="714"/>
      <c r="EE190" s="714"/>
      <c r="EF190" s="714"/>
      <c r="EG190" s="714"/>
      <c r="EH190" s="714"/>
      <c r="EI190" s="714"/>
      <c r="EJ190" s="714"/>
      <c r="EK190" s="714"/>
      <c r="EL190" s="493"/>
      <c r="EM190" s="493"/>
      <c r="EN190" s="493"/>
      <c r="EO190" s="493"/>
      <c r="EP190" s="493"/>
      <c r="EQ190" s="493"/>
      <c r="ER190" s="714"/>
      <c r="ES190" s="714"/>
      <c r="ET190" s="714"/>
      <c r="EU190" s="714"/>
      <c r="EV190" s="714"/>
      <c r="EW190" s="714"/>
      <c r="EX190" s="714"/>
      <c r="EY190" s="714"/>
      <c r="EZ190" s="714"/>
      <c r="FA190" s="493"/>
      <c r="FB190" s="493"/>
      <c r="FC190" s="493"/>
      <c r="FD190" s="493"/>
      <c r="FE190" s="493"/>
      <c r="FF190" s="714"/>
      <c r="FG190" s="493"/>
      <c r="FH190" s="714"/>
      <c r="FI190" s="714"/>
      <c r="FJ190" s="714"/>
      <c r="FK190" s="714"/>
      <c r="FL190" s="714"/>
      <c r="FM190" s="714"/>
      <c r="FN190" s="714"/>
      <c r="FO190" s="714"/>
      <c r="FP190" s="714"/>
      <c r="FQ190" s="493"/>
      <c r="FR190" s="493"/>
      <c r="FS190" s="493"/>
      <c r="FT190" s="493"/>
      <c r="FU190" s="493"/>
      <c r="FV190" s="714"/>
      <c r="FW190" s="493"/>
      <c r="FX190" s="714"/>
      <c r="FY190" s="714"/>
      <c r="FZ190" s="714"/>
      <c r="GA190" s="714"/>
      <c r="GB190" s="714"/>
      <c r="GC190" s="714"/>
      <c r="GD190" s="714"/>
      <c r="GE190" s="714"/>
      <c r="GF190" s="714"/>
      <c r="GG190" s="493"/>
      <c r="GH190" s="493"/>
      <c r="GI190" s="493"/>
      <c r="GJ190" s="493"/>
      <c r="GK190" s="493"/>
      <c r="GL190" s="714"/>
      <c r="GM190" s="13"/>
      <c r="GN190" s="714"/>
      <c r="GO190" s="714"/>
      <c r="GP190" s="714"/>
      <c r="GQ190" s="714"/>
      <c r="GR190" s="714"/>
      <c r="GS190" s="714"/>
      <c r="GT190" s="714"/>
      <c r="GU190" s="714"/>
      <c r="GV190" s="714"/>
      <c r="GW190" s="493"/>
      <c r="GX190" s="493"/>
      <c r="GY190" s="493"/>
      <c r="GZ190" s="493"/>
      <c r="HA190" s="493"/>
      <c r="HB190" s="714"/>
      <c r="HC190" s="13"/>
      <c r="HD190" s="714"/>
      <c r="HE190" s="714"/>
      <c r="HF190" s="714"/>
      <c r="HG190" s="714"/>
      <c r="HH190" s="714"/>
      <c r="HI190" s="714"/>
      <c r="HJ190" s="714"/>
      <c r="HK190" s="714"/>
      <c r="HL190" s="714"/>
      <c r="HM190" s="493"/>
      <c r="HN190" s="493"/>
      <c r="HO190" s="493"/>
      <c r="HP190" s="493"/>
      <c r="HQ190" s="493"/>
      <c r="HR190" s="714"/>
      <c r="HS190" s="13"/>
      <c r="HT190" s="714"/>
      <c r="HU190" s="714"/>
      <c r="HV190" s="714"/>
      <c r="HW190" s="714"/>
      <c r="HX190" s="714"/>
      <c r="HY190" s="714"/>
      <c r="HZ190" s="714"/>
      <c r="IA190" s="714"/>
      <c r="IB190" s="714"/>
      <c r="IC190" s="493"/>
      <c r="ID190" s="493"/>
      <c r="IE190" s="493"/>
      <c r="IF190" s="493"/>
      <c r="IG190" s="493"/>
      <c r="IH190" s="714"/>
      <c r="II190" s="13"/>
      <c r="IJ190" s="714"/>
      <c r="IK190" s="714"/>
      <c r="IL190" s="714"/>
      <c r="IM190" s="714"/>
      <c r="IN190" s="714"/>
      <c r="IO190" s="714"/>
      <c r="IP190" s="714"/>
      <c r="IQ190" s="714"/>
      <c r="IR190" s="714"/>
      <c r="IS190" s="493"/>
      <c r="IT190" s="493"/>
      <c r="IU190" s="493"/>
      <c r="IV190" s="493"/>
      <c r="IW190" s="493"/>
      <c r="IX190" s="714"/>
      <c r="IY190" s="13"/>
    </row>
    <row r="191" spans="1:259" outlineLevel="1">
      <c r="A191" s="11">
        <f>'VAC &amp; MED'!C186</f>
        <v>46177</v>
      </c>
      <c r="B191" s="261"/>
      <c r="C191" s="261"/>
      <c r="D191" s="261"/>
      <c r="E191" s="261"/>
      <c r="F191" s="261"/>
      <c r="G191" s="261"/>
      <c r="H191" s="261"/>
      <c r="I191" s="261"/>
      <c r="J191" s="261"/>
      <c r="K191" s="261"/>
      <c r="L191" s="261"/>
      <c r="M191" s="261"/>
      <c r="N191" s="261"/>
      <c r="O191" s="261"/>
      <c r="P191" s="261"/>
      <c r="Q191" s="261"/>
      <c r="R191" s="262"/>
      <c r="S191" s="262"/>
      <c r="T191" s="262"/>
      <c r="U191" s="262"/>
      <c r="V191" s="262"/>
      <c r="W191" s="262"/>
      <c r="X191" s="262"/>
      <c r="Y191" s="262"/>
      <c r="Z191" s="262"/>
      <c r="AA191" s="262"/>
      <c r="AB191" s="262"/>
      <c r="AC191" s="262"/>
      <c r="AD191" s="262"/>
      <c r="AE191" s="262"/>
      <c r="AF191" s="262"/>
      <c r="AG191" s="262"/>
      <c r="AH191" s="263"/>
      <c r="AI191" s="263"/>
      <c r="AJ191" s="263"/>
      <c r="AK191" s="263"/>
      <c r="AL191" s="263"/>
      <c r="AM191" s="263"/>
      <c r="AN191" s="263"/>
      <c r="AO191" s="263"/>
      <c r="AP191" s="263"/>
      <c r="AQ191" s="263"/>
      <c r="AR191" s="263"/>
      <c r="AS191" s="263"/>
      <c r="AT191" s="263"/>
      <c r="AU191" s="263"/>
      <c r="AV191" s="263"/>
      <c r="AW191" s="263"/>
      <c r="AX191" s="264"/>
      <c r="AY191" s="264"/>
      <c r="AZ191" s="264"/>
      <c r="BA191" s="264"/>
      <c r="BB191" s="264"/>
      <c r="BC191" s="264"/>
      <c r="BD191" s="264"/>
      <c r="BE191" s="264"/>
      <c r="BF191" s="264"/>
      <c r="BG191" s="264"/>
      <c r="BH191" s="264"/>
      <c r="BI191" s="264"/>
      <c r="BJ191" s="264"/>
      <c r="BK191" s="264"/>
      <c r="BL191" s="264"/>
      <c r="BM191" s="264"/>
      <c r="BN191" s="265"/>
      <c r="BO191" s="265"/>
      <c r="BP191" s="265"/>
      <c r="BQ191" s="265"/>
      <c r="BR191" s="265"/>
      <c r="BS191" s="265"/>
      <c r="BT191" s="265"/>
      <c r="BU191" s="265"/>
      <c r="BV191" s="265"/>
      <c r="BW191" s="265"/>
      <c r="BX191" s="265">
        <v>40</v>
      </c>
      <c r="BY191" s="265"/>
      <c r="BZ191" s="265"/>
      <c r="CA191" s="265"/>
      <c r="CB191" s="265"/>
      <c r="CC191" s="265"/>
      <c r="CD191" s="266"/>
      <c r="CE191" s="266"/>
      <c r="CF191" s="266"/>
      <c r="CG191" s="266"/>
      <c r="CH191" s="266"/>
      <c r="CI191" s="266"/>
      <c r="CJ191" s="266"/>
      <c r="CK191" s="266"/>
      <c r="CL191" s="266"/>
      <c r="CM191" s="266"/>
      <c r="CN191" s="266"/>
      <c r="CO191" s="266"/>
      <c r="CP191" s="266"/>
      <c r="CQ191" s="266"/>
      <c r="CR191" s="266"/>
      <c r="CS191" s="266"/>
      <c r="CT191" s="267"/>
      <c r="CU191" s="267"/>
      <c r="CV191" s="267"/>
      <c r="CW191" s="267"/>
      <c r="CX191" s="267"/>
      <c r="CY191" s="267"/>
      <c r="CZ191" s="267"/>
      <c r="DA191" s="267">
        <v>20</v>
      </c>
      <c r="DB191" s="267"/>
      <c r="DC191" s="267">
        <v>30</v>
      </c>
      <c r="DD191" s="267"/>
      <c r="DE191" s="267"/>
      <c r="DF191" s="267"/>
      <c r="DG191" s="267"/>
      <c r="DH191" s="267"/>
      <c r="DI191" s="267"/>
      <c r="DJ191" s="268"/>
      <c r="DK191" s="268"/>
      <c r="DL191" s="268"/>
      <c r="DM191" s="268"/>
      <c r="DN191" s="268"/>
      <c r="DO191" s="268"/>
      <c r="DP191" s="268"/>
      <c r="DQ191" s="268"/>
      <c r="DR191" s="268"/>
      <c r="DS191" s="268"/>
      <c r="DT191" s="268"/>
      <c r="DU191" s="268"/>
      <c r="DV191" s="268"/>
      <c r="DW191" s="268"/>
      <c r="DX191" s="268"/>
      <c r="DY191" s="268"/>
      <c r="EA191" s="13"/>
      <c r="EB191" s="96"/>
      <c r="EC191" s="96"/>
      <c r="ED191" s="96"/>
      <c r="EE191" s="96"/>
      <c r="EF191" s="96"/>
      <c r="EG191" s="96"/>
      <c r="EH191" s="96"/>
      <c r="EI191" s="96"/>
      <c r="EJ191" s="96"/>
      <c r="EK191" s="96"/>
      <c r="EL191" s="96"/>
      <c r="EM191" s="96"/>
      <c r="EN191" s="96"/>
      <c r="EO191" s="96"/>
      <c r="EP191" s="96"/>
      <c r="EQ191" s="96"/>
      <c r="ER191" s="96"/>
      <c r="ES191" s="96"/>
      <c r="ET191" s="96"/>
      <c r="EU191" s="96"/>
      <c r="EV191" s="96"/>
      <c r="EW191" s="96"/>
      <c r="EX191" s="96"/>
      <c r="EY191" s="96"/>
      <c r="EZ191" s="96"/>
      <c r="FA191" s="96"/>
      <c r="FB191" s="96"/>
      <c r="FC191" s="96"/>
      <c r="FD191" s="96"/>
      <c r="FE191" s="96"/>
      <c r="FF191" s="96"/>
      <c r="FG191" s="96"/>
      <c r="FH191" s="96"/>
      <c r="FI191" s="96"/>
      <c r="FJ191" s="96"/>
      <c r="FK191" s="96"/>
      <c r="FL191" s="96"/>
      <c r="FM191" s="96"/>
      <c r="FN191" s="96"/>
      <c r="FO191" s="96"/>
      <c r="FP191" s="96"/>
      <c r="FQ191" s="96"/>
      <c r="FR191" s="96"/>
      <c r="FS191" s="96"/>
      <c r="FT191" s="96"/>
      <c r="FU191" s="96"/>
      <c r="FV191" s="96"/>
      <c r="FW191" s="96"/>
      <c r="FX191" s="96"/>
      <c r="FY191" s="96"/>
      <c r="FZ191" s="96"/>
      <c r="GA191" s="96"/>
      <c r="GB191" s="96"/>
      <c r="GC191" s="96"/>
      <c r="GD191" s="96"/>
      <c r="GE191" s="96"/>
      <c r="GF191" s="96"/>
      <c r="GG191" s="96"/>
      <c r="GH191" s="96"/>
      <c r="GI191" s="96"/>
      <c r="GJ191" s="96"/>
      <c r="GK191" s="96"/>
      <c r="GL191" s="96"/>
      <c r="GM191" s="13"/>
      <c r="GN191" s="96"/>
      <c r="GO191" s="96"/>
      <c r="GP191" s="96"/>
      <c r="GQ191" s="96"/>
      <c r="GR191" s="96"/>
      <c r="GS191" s="96"/>
      <c r="GT191" s="96"/>
      <c r="GU191" s="96"/>
      <c r="GV191" s="96"/>
      <c r="GW191" s="96"/>
      <c r="GX191" s="96"/>
      <c r="GY191" s="96"/>
      <c r="GZ191" s="96"/>
      <c r="HA191" s="96"/>
      <c r="HB191" s="96"/>
      <c r="HC191" s="13"/>
      <c r="HD191" s="96"/>
      <c r="HE191" s="96"/>
      <c r="HF191" s="96"/>
      <c r="HG191" s="96"/>
      <c r="HH191" s="96"/>
      <c r="HI191" s="96"/>
      <c r="HJ191" s="96"/>
      <c r="HK191" s="96"/>
      <c r="HL191" s="96"/>
      <c r="HM191" s="96"/>
      <c r="HN191" s="96"/>
      <c r="HO191" s="96"/>
      <c r="HP191" s="96"/>
      <c r="HQ191" s="96"/>
      <c r="HR191" s="96"/>
      <c r="HS191" s="13"/>
      <c r="HT191" s="96"/>
      <c r="HU191" s="96"/>
      <c r="HV191" s="96"/>
      <c r="HW191" s="96"/>
      <c r="HX191" s="96"/>
      <c r="HY191" s="96"/>
      <c r="HZ191" s="96"/>
      <c r="IA191" s="96"/>
      <c r="IB191" s="96"/>
      <c r="IC191" s="96"/>
      <c r="ID191" s="96"/>
      <c r="IE191" s="96"/>
      <c r="IF191" s="96"/>
      <c r="IG191" s="96"/>
      <c r="IH191" s="96"/>
      <c r="II191" s="13"/>
      <c r="IJ191" s="96"/>
      <c r="IK191" s="96"/>
      <c r="IL191" s="96"/>
      <c r="IM191" s="96"/>
      <c r="IN191" s="96"/>
      <c r="IO191" s="96"/>
      <c r="IP191" s="96"/>
      <c r="IQ191" s="96"/>
      <c r="IR191" s="96"/>
      <c r="IS191" s="96"/>
      <c r="IT191" s="96"/>
      <c r="IU191" s="96"/>
      <c r="IV191" s="96"/>
      <c r="IW191" s="96"/>
      <c r="IX191" s="96"/>
      <c r="IY191" s="13"/>
    </row>
    <row r="192" spans="1:259" outlineLevel="1">
      <c r="A192" s="11">
        <f>'VAC &amp; MED'!C187</f>
        <v>46178</v>
      </c>
      <c r="B192" s="261"/>
      <c r="C192" s="261"/>
      <c r="D192" s="261"/>
      <c r="E192" s="261"/>
      <c r="F192" s="261"/>
      <c r="G192" s="261"/>
      <c r="H192" s="261"/>
      <c r="I192" s="261"/>
      <c r="J192" s="261"/>
      <c r="K192" s="261"/>
      <c r="L192" s="261"/>
      <c r="M192" s="261"/>
      <c r="N192" s="261"/>
      <c r="O192" s="261"/>
      <c r="P192" s="261"/>
      <c r="Q192" s="261"/>
      <c r="R192" s="262"/>
      <c r="S192" s="262"/>
      <c r="T192" s="262"/>
      <c r="U192" s="262"/>
      <c r="V192" s="262"/>
      <c r="W192" s="262"/>
      <c r="X192" s="262"/>
      <c r="Y192" s="262"/>
      <c r="Z192" s="262"/>
      <c r="AA192" s="262"/>
      <c r="AB192" s="262"/>
      <c r="AC192" s="262"/>
      <c r="AD192" s="262"/>
      <c r="AE192" s="262"/>
      <c r="AF192" s="262"/>
      <c r="AG192" s="262"/>
      <c r="AH192" s="263"/>
      <c r="AI192" s="263"/>
      <c r="AJ192" s="263"/>
      <c r="AK192" s="263"/>
      <c r="AL192" s="263"/>
      <c r="AM192" s="263"/>
      <c r="AN192" s="263"/>
      <c r="AO192" s="263"/>
      <c r="AP192" s="263"/>
      <c r="AQ192" s="263"/>
      <c r="AR192" s="263"/>
      <c r="AS192" s="263"/>
      <c r="AT192" s="263"/>
      <c r="AU192" s="263"/>
      <c r="AV192" s="263"/>
      <c r="AW192" s="263"/>
      <c r="AX192" s="264"/>
      <c r="AY192" s="264"/>
      <c r="AZ192" s="264"/>
      <c r="BA192" s="264"/>
      <c r="BB192" s="264"/>
      <c r="BC192" s="264"/>
      <c r="BD192" s="264"/>
      <c r="BE192" s="264"/>
      <c r="BF192" s="264"/>
      <c r="BG192" s="264"/>
      <c r="BH192" s="264"/>
      <c r="BI192" s="264"/>
      <c r="BJ192" s="264"/>
      <c r="BK192" s="264"/>
      <c r="BL192" s="264"/>
      <c r="BM192" s="264"/>
      <c r="BN192" s="265"/>
      <c r="BO192" s="265"/>
      <c r="BP192" s="265"/>
      <c r="BQ192" s="265"/>
      <c r="BR192" s="265"/>
      <c r="BS192" s="265"/>
      <c r="BT192" s="265"/>
      <c r="BU192" s="265"/>
      <c r="BV192" s="265"/>
      <c r="BW192" s="265"/>
      <c r="BX192" s="265"/>
      <c r="BY192" s="265"/>
      <c r="BZ192" s="265"/>
      <c r="CA192" s="265"/>
      <c r="CB192" s="265"/>
      <c r="CC192" s="265"/>
      <c r="CD192" s="266"/>
      <c r="CE192" s="266"/>
      <c r="CF192" s="266"/>
      <c r="CG192" s="266"/>
      <c r="CH192" s="266"/>
      <c r="CI192" s="266"/>
      <c r="CJ192" s="266"/>
      <c r="CK192" s="266"/>
      <c r="CL192" s="266"/>
      <c r="CM192" s="266"/>
      <c r="CN192" s="266"/>
      <c r="CO192" s="266"/>
      <c r="CP192" s="266"/>
      <c r="CQ192" s="266"/>
      <c r="CR192" s="266"/>
      <c r="CS192" s="266"/>
      <c r="CT192" s="267"/>
      <c r="CU192" s="267"/>
      <c r="CV192" s="267"/>
      <c r="CW192" s="267"/>
      <c r="CX192" s="267"/>
      <c r="CY192" s="267"/>
      <c r="CZ192" s="267"/>
      <c r="DA192" s="267">
        <v>30</v>
      </c>
      <c r="DB192" s="267"/>
      <c r="DC192" s="267"/>
      <c r="DD192" s="267"/>
      <c r="DE192" s="267"/>
      <c r="DF192" s="267"/>
      <c r="DG192" s="267"/>
      <c r="DH192" s="267"/>
      <c r="DI192" s="267"/>
      <c r="DJ192" s="268"/>
      <c r="DK192" s="268"/>
      <c r="DL192" s="268"/>
      <c r="DM192" s="268"/>
      <c r="DN192" s="268"/>
      <c r="DO192" s="268"/>
      <c r="DP192" s="268"/>
      <c r="DQ192" s="268"/>
      <c r="DR192" s="268"/>
      <c r="DS192" s="268"/>
      <c r="DT192" s="268"/>
      <c r="DU192" s="268"/>
      <c r="DV192" s="268"/>
      <c r="DW192" s="268"/>
      <c r="DX192" s="268"/>
      <c r="DY192" s="268"/>
      <c r="EA192" s="13"/>
      <c r="EB192" s="96"/>
      <c r="EC192" s="96"/>
      <c r="ED192" s="96"/>
      <c r="EE192" s="96"/>
      <c r="EF192" s="96"/>
      <c r="EG192" s="96"/>
      <c r="EH192" s="96"/>
      <c r="EI192" s="96"/>
      <c r="EJ192" s="96"/>
      <c r="EK192" s="96"/>
      <c r="EL192" s="96"/>
      <c r="EM192" s="96"/>
      <c r="EN192" s="96"/>
      <c r="EO192" s="96"/>
      <c r="EP192" s="96"/>
      <c r="EQ192" s="96"/>
      <c r="ER192" s="96"/>
      <c r="ES192" s="96"/>
      <c r="ET192" s="96"/>
      <c r="EU192" s="96"/>
      <c r="EV192" s="96"/>
      <c r="EW192" s="96"/>
      <c r="EX192" s="96"/>
      <c r="EY192" s="96"/>
      <c r="EZ192" s="96"/>
      <c r="FA192" s="96"/>
      <c r="FB192" s="96"/>
      <c r="FC192" s="96"/>
      <c r="FD192" s="96"/>
      <c r="FE192" s="96"/>
      <c r="FF192" s="96"/>
      <c r="FG192" s="96"/>
      <c r="FH192" s="96"/>
      <c r="FI192" s="96"/>
      <c r="FJ192" s="96"/>
      <c r="FK192" s="96"/>
      <c r="FL192" s="96"/>
      <c r="FM192" s="96"/>
      <c r="FN192" s="96"/>
      <c r="FO192" s="96"/>
      <c r="FP192" s="96"/>
      <c r="FQ192" s="96"/>
      <c r="FR192" s="96"/>
      <c r="FS192" s="96"/>
      <c r="FT192" s="96"/>
      <c r="FU192" s="96"/>
      <c r="FV192" s="96"/>
      <c r="FW192" s="96"/>
      <c r="FX192" s="96"/>
      <c r="FY192" s="96"/>
      <c r="FZ192" s="96"/>
      <c r="GA192" s="96"/>
      <c r="GB192" s="96"/>
      <c r="GC192" s="96"/>
      <c r="GD192" s="96"/>
      <c r="GE192" s="96"/>
      <c r="GF192" s="96"/>
      <c r="GG192" s="96"/>
      <c r="GH192" s="96"/>
      <c r="GI192" s="96"/>
      <c r="GJ192" s="96"/>
      <c r="GK192" s="96"/>
      <c r="GL192" s="96"/>
      <c r="GM192" s="13"/>
      <c r="GN192" s="96"/>
      <c r="GO192" s="96"/>
      <c r="GP192" s="96"/>
      <c r="GQ192" s="96"/>
      <c r="GR192" s="96"/>
      <c r="GS192" s="96"/>
      <c r="GT192" s="96"/>
      <c r="GU192" s="96"/>
      <c r="GV192" s="96"/>
      <c r="GW192" s="96"/>
      <c r="GX192" s="96"/>
      <c r="GY192" s="96"/>
      <c r="GZ192" s="96"/>
      <c r="HA192" s="96"/>
      <c r="HB192" s="96"/>
      <c r="HC192" s="13"/>
      <c r="HD192" s="96"/>
      <c r="HE192" s="96"/>
      <c r="HF192" s="96"/>
      <c r="HG192" s="96"/>
      <c r="HH192" s="96"/>
      <c r="HI192" s="96"/>
      <c r="HJ192" s="96"/>
      <c r="HK192" s="96"/>
      <c r="HL192" s="96"/>
      <c r="HM192" s="96"/>
      <c r="HN192" s="96"/>
      <c r="HO192" s="96"/>
      <c r="HP192" s="96"/>
      <c r="HQ192" s="96"/>
      <c r="HR192" s="96"/>
      <c r="HS192" s="13"/>
      <c r="HT192" s="96"/>
      <c r="HU192" s="96"/>
      <c r="HV192" s="96"/>
      <c r="HW192" s="96"/>
      <c r="HX192" s="96"/>
      <c r="HY192" s="96"/>
      <c r="HZ192" s="96"/>
      <c r="IA192" s="96"/>
      <c r="IB192" s="96"/>
      <c r="IC192" s="96"/>
      <c r="ID192" s="96"/>
      <c r="IE192" s="96"/>
      <c r="IF192" s="96"/>
      <c r="IG192" s="96"/>
      <c r="IH192" s="96"/>
      <c r="II192" s="13"/>
      <c r="IJ192" s="96"/>
      <c r="IK192" s="96"/>
      <c r="IL192" s="96"/>
      <c r="IM192" s="96"/>
      <c r="IN192" s="96"/>
      <c r="IO192" s="96"/>
      <c r="IP192" s="96"/>
      <c r="IQ192" s="96"/>
      <c r="IR192" s="96"/>
      <c r="IS192" s="96"/>
      <c r="IT192" s="96"/>
      <c r="IU192" s="96"/>
      <c r="IV192" s="96"/>
      <c r="IW192" s="96"/>
      <c r="IX192" s="96"/>
      <c r="IY192" s="13"/>
    </row>
    <row r="193" spans="1:259" outlineLevel="1">
      <c r="A193" s="11">
        <f>'VAC &amp; MED'!C188</f>
        <v>46179</v>
      </c>
      <c r="B193" s="261"/>
      <c r="C193" s="261"/>
      <c r="D193" s="261"/>
      <c r="E193" s="261"/>
      <c r="F193" s="261"/>
      <c r="G193" s="261"/>
      <c r="H193" s="261"/>
      <c r="I193" s="261"/>
      <c r="J193" s="261"/>
      <c r="K193" s="261"/>
      <c r="L193" s="261"/>
      <c r="M193" s="261"/>
      <c r="N193" s="261"/>
      <c r="O193" s="261"/>
      <c r="P193" s="261"/>
      <c r="Q193" s="261"/>
      <c r="R193" s="262"/>
      <c r="S193" s="262"/>
      <c r="T193" s="262"/>
      <c r="U193" s="262"/>
      <c r="V193" s="262"/>
      <c r="W193" s="262"/>
      <c r="X193" s="262"/>
      <c r="Y193" s="262"/>
      <c r="Z193" s="262"/>
      <c r="AA193" s="262"/>
      <c r="AB193" s="262"/>
      <c r="AC193" s="262"/>
      <c r="AD193" s="262"/>
      <c r="AE193" s="262"/>
      <c r="AF193" s="262"/>
      <c r="AG193" s="262"/>
      <c r="AH193" s="263"/>
      <c r="AI193" s="263"/>
      <c r="AJ193" s="263"/>
      <c r="AK193" s="263"/>
      <c r="AL193" s="263"/>
      <c r="AM193" s="263"/>
      <c r="AN193" s="263"/>
      <c r="AO193" s="263"/>
      <c r="AP193" s="263"/>
      <c r="AQ193" s="263"/>
      <c r="AR193" s="263"/>
      <c r="AS193" s="263"/>
      <c r="AT193" s="263"/>
      <c r="AU193" s="263"/>
      <c r="AV193" s="263"/>
      <c r="AW193" s="263"/>
      <c r="AX193" s="264"/>
      <c r="AY193" s="264"/>
      <c r="AZ193" s="264"/>
      <c r="BA193" s="264"/>
      <c r="BB193" s="264"/>
      <c r="BC193" s="264"/>
      <c r="BD193" s="264"/>
      <c r="BE193" s="264"/>
      <c r="BF193" s="264"/>
      <c r="BG193" s="264"/>
      <c r="BH193" s="264"/>
      <c r="BI193" s="264"/>
      <c r="BJ193" s="264"/>
      <c r="BK193" s="264"/>
      <c r="BL193" s="264"/>
      <c r="BM193" s="264"/>
      <c r="BN193" s="265"/>
      <c r="BO193" s="265"/>
      <c r="BP193" s="265"/>
      <c r="BQ193" s="265"/>
      <c r="BR193" s="265"/>
      <c r="BS193" s="265"/>
      <c r="BT193" s="265"/>
      <c r="BU193" s="265"/>
      <c r="BV193" s="265"/>
      <c r="BW193" s="265"/>
      <c r="BX193" s="265">
        <v>38</v>
      </c>
      <c r="BY193" s="265"/>
      <c r="BZ193" s="265"/>
      <c r="CA193" s="265"/>
      <c r="CB193" s="265"/>
      <c r="CC193" s="265"/>
      <c r="CD193" s="266"/>
      <c r="CE193" s="266"/>
      <c r="CF193" s="266"/>
      <c r="CG193" s="266"/>
      <c r="CH193" s="266"/>
      <c r="CI193" s="266"/>
      <c r="CJ193" s="266"/>
      <c r="CK193" s="266"/>
      <c r="CL193" s="266"/>
      <c r="CM193" s="266">
        <v>30</v>
      </c>
      <c r="CN193" s="266"/>
      <c r="CO193" s="266"/>
      <c r="CP193" s="266"/>
      <c r="CQ193" s="266"/>
      <c r="CR193" s="266"/>
      <c r="CS193" s="266"/>
      <c r="CT193" s="267"/>
      <c r="CU193" s="267"/>
      <c r="CV193" s="267"/>
      <c r="CW193" s="267"/>
      <c r="CX193" s="267"/>
      <c r="CY193" s="267"/>
      <c r="CZ193" s="267"/>
      <c r="DA193" s="267"/>
      <c r="DB193" s="267"/>
      <c r="DC193" s="267"/>
      <c r="DD193" s="267"/>
      <c r="DE193" s="267"/>
      <c r="DF193" s="267"/>
      <c r="DG193" s="267"/>
      <c r="DH193" s="267"/>
      <c r="DI193" s="267"/>
      <c r="DJ193" s="268"/>
      <c r="DK193" s="268"/>
      <c r="DL193" s="268"/>
      <c r="DM193" s="268"/>
      <c r="DN193" s="268"/>
      <c r="DO193" s="268"/>
      <c r="DP193" s="268"/>
      <c r="DQ193" s="268"/>
      <c r="DR193" s="268"/>
      <c r="DS193" s="268"/>
      <c r="DT193" s="268"/>
      <c r="DU193" s="268"/>
      <c r="DV193" s="268"/>
      <c r="DW193" s="268"/>
      <c r="DX193" s="268"/>
      <c r="DY193" s="268"/>
      <c r="EA193" s="13"/>
      <c r="EB193" s="96"/>
      <c r="EC193" s="96"/>
      <c r="ED193" s="96"/>
      <c r="EE193" s="96"/>
      <c r="EF193" s="96"/>
      <c r="EG193" s="96"/>
      <c r="EH193" s="96"/>
      <c r="EI193" s="96"/>
      <c r="EJ193" s="96"/>
      <c r="EK193" s="96"/>
      <c r="EL193" s="96"/>
      <c r="EM193" s="96"/>
      <c r="EN193" s="96"/>
      <c r="EO193" s="96"/>
      <c r="EP193" s="96"/>
      <c r="EQ193" s="96"/>
      <c r="ER193" s="96"/>
      <c r="ES193" s="96"/>
      <c r="ET193" s="96"/>
      <c r="EU193" s="96"/>
      <c r="EV193" s="96"/>
      <c r="EW193" s="96"/>
      <c r="EX193" s="96"/>
      <c r="EY193" s="96"/>
      <c r="EZ193" s="96"/>
      <c r="FA193" s="96"/>
      <c r="FB193" s="96"/>
      <c r="FC193" s="96"/>
      <c r="FD193" s="96"/>
      <c r="FE193" s="96"/>
      <c r="FF193" s="96"/>
      <c r="FG193" s="96"/>
      <c r="FH193" s="96"/>
      <c r="FI193" s="96"/>
      <c r="FJ193" s="96"/>
      <c r="FK193" s="96"/>
      <c r="FL193" s="96"/>
      <c r="FM193" s="96"/>
      <c r="FN193" s="96"/>
      <c r="FO193" s="96"/>
      <c r="FP193" s="96"/>
      <c r="FQ193" s="96"/>
      <c r="FR193" s="96"/>
      <c r="FS193" s="96"/>
      <c r="FT193" s="96"/>
      <c r="FU193" s="96"/>
      <c r="FV193" s="96"/>
      <c r="FW193" s="96"/>
      <c r="FX193" s="96"/>
      <c r="FY193" s="96"/>
      <c r="FZ193" s="96"/>
      <c r="GA193" s="96"/>
      <c r="GB193" s="96"/>
      <c r="GC193" s="96"/>
      <c r="GD193" s="96"/>
      <c r="GE193" s="96"/>
      <c r="GF193" s="96"/>
      <c r="GG193" s="96"/>
      <c r="GH193" s="96"/>
      <c r="GI193" s="96"/>
      <c r="GJ193" s="96"/>
      <c r="GK193" s="96"/>
      <c r="GL193" s="96"/>
      <c r="GM193" s="13"/>
      <c r="GN193" s="96"/>
      <c r="GO193" s="96"/>
      <c r="GP193" s="96"/>
      <c r="GQ193" s="96"/>
      <c r="GR193" s="96"/>
      <c r="GS193" s="96"/>
      <c r="GT193" s="96"/>
      <c r="GU193" s="96"/>
      <c r="GV193" s="96"/>
      <c r="GW193" s="96"/>
      <c r="GX193" s="96"/>
      <c r="GY193" s="96"/>
      <c r="GZ193" s="96"/>
      <c r="HA193" s="96"/>
      <c r="HB193" s="96"/>
      <c r="HC193" s="13"/>
      <c r="HD193" s="96"/>
      <c r="HE193" s="96"/>
      <c r="HF193" s="96"/>
      <c r="HG193" s="96"/>
      <c r="HH193" s="96"/>
      <c r="HI193" s="96"/>
      <c r="HJ193" s="96"/>
      <c r="HK193" s="96"/>
      <c r="HL193" s="96"/>
      <c r="HM193" s="96"/>
      <c r="HN193" s="96"/>
      <c r="HO193" s="96"/>
      <c r="HP193" s="96"/>
      <c r="HQ193" s="96"/>
      <c r="HR193" s="96"/>
      <c r="HS193" s="13"/>
      <c r="HT193" s="96"/>
      <c r="HU193" s="96"/>
      <c r="HV193" s="96"/>
      <c r="HW193" s="96"/>
      <c r="HX193" s="96"/>
      <c r="HY193" s="96"/>
      <c r="HZ193" s="96"/>
      <c r="IA193" s="96"/>
      <c r="IB193" s="96"/>
      <c r="IC193" s="96"/>
      <c r="ID193" s="96"/>
      <c r="IE193" s="96"/>
      <c r="IF193" s="96"/>
      <c r="IG193" s="96"/>
      <c r="IH193" s="96"/>
      <c r="II193" s="13"/>
      <c r="IJ193" s="96"/>
      <c r="IK193" s="96"/>
      <c r="IL193" s="96"/>
      <c r="IM193" s="96"/>
      <c r="IN193" s="96"/>
      <c r="IO193" s="96"/>
      <c r="IP193" s="96"/>
      <c r="IQ193" s="96"/>
      <c r="IR193" s="96"/>
      <c r="IS193" s="96"/>
      <c r="IT193" s="96"/>
      <c r="IU193" s="96"/>
      <c r="IV193" s="96"/>
      <c r="IW193" s="96"/>
      <c r="IX193" s="96"/>
      <c r="IY193" s="13"/>
    </row>
    <row r="194" spans="1:259" outlineLevel="1">
      <c r="A194" s="11">
        <f>'VAC &amp; MED'!C189</f>
        <v>46180</v>
      </c>
      <c r="B194" s="261"/>
      <c r="C194" s="261"/>
      <c r="D194" s="261"/>
      <c r="E194" s="261"/>
      <c r="F194" s="261"/>
      <c r="G194" s="261"/>
      <c r="H194" s="261"/>
      <c r="I194" s="261"/>
      <c r="J194" s="261"/>
      <c r="K194" s="261"/>
      <c r="L194" s="261"/>
      <c r="M194" s="261"/>
      <c r="N194" s="261"/>
      <c r="O194" s="261"/>
      <c r="P194" s="261"/>
      <c r="Q194" s="261"/>
      <c r="R194" s="262"/>
      <c r="S194" s="262"/>
      <c r="T194" s="262"/>
      <c r="U194" s="262"/>
      <c r="V194" s="262"/>
      <c r="W194" s="262"/>
      <c r="X194" s="262"/>
      <c r="Y194" s="262"/>
      <c r="Z194" s="262"/>
      <c r="AA194" s="262"/>
      <c r="AB194" s="262"/>
      <c r="AC194" s="262"/>
      <c r="AD194" s="262"/>
      <c r="AE194" s="262"/>
      <c r="AF194" s="262"/>
      <c r="AG194" s="262"/>
      <c r="AH194" s="263"/>
      <c r="AI194" s="263"/>
      <c r="AJ194" s="263"/>
      <c r="AK194" s="263"/>
      <c r="AL194" s="263"/>
      <c r="AM194" s="263"/>
      <c r="AN194" s="263"/>
      <c r="AO194" s="263"/>
      <c r="AP194" s="263"/>
      <c r="AQ194" s="263"/>
      <c r="AR194" s="263"/>
      <c r="AS194" s="263"/>
      <c r="AT194" s="263"/>
      <c r="AU194" s="263"/>
      <c r="AV194" s="263"/>
      <c r="AW194" s="263"/>
      <c r="AX194" s="264"/>
      <c r="AY194" s="264"/>
      <c r="AZ194" s="264"/>
      <c r="BA194" s="264"/>
      <c r="BB194" s="264"/>
      <c r="BC194" s="264"/>
      <c r="BD194" s="264"/>
      <c r="BE194" s="264"/>
      <c r="BF194" s="264"/>
      <c r="BG194" s="264"/>
      <c r="BH194" s="264"/>
      <c r="BI194" s="264"/>
      <c r="BJ194" s="264"/>
      <c r="BK194" s="264"/>
      <c r="BL194" s="264"/>
      <c r="BM194" s="264"/>
      <c r="BN194" s="265"/>
      <c r="BO194" s="265"/>
      <c r="BP194" s="265"/>
      <c r="BQ194" s="265"/>
      <c r="BR194" s="265"/>
      <c r="BS194" s="265"/>
      <c r="BT194" s="265"/>
      <c r="BU194" s="265"/>
      <c r="BV194" s="265"/>
      <c r="BW194" s="265"/>
      <c r="BX194" s="265"/>
      <c r="BY194" s="265"/>
      <c r="BZ194" s="265"/>
      <c r="CA194" s="265"/>
      <c r="CB194" s="265"/>
      <c r="CC194" s="265"/>
      <c r="CD194" s="266"/>
      <c r="CE194" s="266"/>
      <c r="CF194" s="266"/>
      <c r="CG194" s="266"/>
      <c r="CH194" s="266"/>
      <c r="CI194" s="266"/>
      <c r="CJ194" s="266"/>
      <c r="CK194" s="266"/>
      <c r="CL194" s="266"/>
      <c r="CM194" s="266"/>
      <c r="CN194" s="266"/>
      <c r="CO194" s="266"/>
      <c r="CP194" s="266"/>
      <c r="CQ194" s="266"/>
      <c r="CR194" s="266"/>
      <c r="CS194" s="266"/>
      <c r="CT194" s="267"/>
      <c r="CU194" s="267"/>
      <c r="CV194" s="267"/>
      <c r="CW194" s="267"/>
      <c r="CX194" s="267"/>
      <c r="CY194" s="267"/>
      <c r="CZ194" s="267"/>
      <c r="DA194" s="267"/>
      <c r="DB194" s="267"/>
      <c r="DC194" s="267"/>
      <c r="DD194" s="267"/>
      <c r="DE194" s="267"/>
      <c r="DF194" s="267"/>
      <c r="DG194" s="267"/>
      <c r="DH194" s="267"/>
      <c r="DI194" s="267"/>
      <c r="DJ194" s="268"/>
      <c r="DK194" s="268"/>
      <c r="DL194" s="268"/>
      <c r="DM194" s="268"/>
      <c r="DN194" s="268"/>
      <c r="DO194" s="268"/>
      <c r="DP194" s="268"/>
      <c r="DQ194" s="268"/>
      <c r="DR194" s="268"/>
      <c r="DS194" s="268"/>
      <c r="DT194" s="268"/>
      <c r="DU194" s="268"/>
      <c r="DV194" s="268"/>
      <c r="DW194" s="268"/>
      <c r="DX194" s="268"/>
      <c r="DY194" s="268"/>
      <c r="EA194" s="13"/>
      <c r="EB194" s="96"/>
      <c r="EC194" s="96"/>
      <c r="ED194" s="96"/>
      <c r="EE194" s="96"/>
      <c r="EF194" s="96"/>
      <c r="EG194" s="96"/>
      <c r="EH194" s="96"/>
      <c r="EI194" s="96"/>
      <c r="EJ194" s="96"/>
      <c r="EK194" s="96"/>
      <c r="EL194" s="96"/>
      <c r="EM194" s="96"/>
      <c r="EN194" s="96"/>
      <c r="EO194" s="96"/>
      <c r="EP194" s="96"/>
      <c r="EQ194" s="96"/>
      <c r="ER194" s="96"/>
      <c r="ES194" s="96"/>
      <c r="ET194" s="96"/>
      <c r="EU194" s="96"/>
      <c r="EV194" s="96"/>
      <c r="EW194" s="96"/>
      <c r="EX194" s="96"/>
      <c r="EY194" s="96"/>
      <c r="EZ194" s="96"/>
      <c r="FA194" s="96"/>
      <c r="FB194" s="96"/>
      <c r="FC194" s="96"/>
      <c r="FD194" s="96"/>
      <c r="FE194" s="96"/>
      <c r="FF194" s="96"/>
      <c r="FG194" s="96"/>
      <c r="FH194" s="96"/>
      <c r="FI194" s="96"/>
      <c r="FJ194" s="96"/>
      <c r="FK194" s="96"/>
      <c r="FL194" s="96"/>
      <c r="FM194" s="96"/>
      <c r="FN194" s="96"/>
      <c r="FO194" s="96"/>
      <c r="FP194" s="96"/>
      <c r="FQ194" s="96"/>
      <c r="FR194" s="96"/>
      <c r="FS194" s="96"/>
      <c r="FT194" s="96"/>
      <c r="FU194" s="96"/>
      <c r="FV194" s="96"/>
      <c r="FW194" s="96"/>
      <c r="FX194" s="96"/>
      <c r="FY194" s="96"/>
      <c r="FZ194" s="96"/>
      <c r="GA194" s="96"/>
      <c r="GB194" s="96"/>
      <c r="GC194" s="96"/>
      <c r="GD194" s="96"/>
      <c r="GE194" s="96"/>
      <c r="GF194" s="96"/>
      <c r="GG194" s="96"/>
      <c r="GH194" s="96"/>
      <c r="GI194" s="96"/>
      <c r="GJ194" s="96"/>
      <c r="GK194" s="96"/>
      <c r="GL194" s="96"/>
      <c r="GM194" s="13"/>
      <c r="GN194" s="96"/>
      <c r="GO194" s="96"/>
      <c r="GP194" s="96"/>
      <c r="GQ194" s="96"/>
      <c r="GR194" s="96"/>
      <c r="GS194" s="96"/>
      <c r="GT194" s="96"/>
      <c r="GU194" s="96"/>
      <c r="GV194" s="96"/>
      <c r="GW194" s="96"/>
      <c r="GX194" s="96"/>
      <c r="GY194" s="96"/>
      <c r="GZ194" s="96"/>
      <c r="HA194" s="96"/>
      <c r="HB194" s="96"/>
      <c r="HC194" s="13"/>
      <c r="HD194" s="96"/>
      <c r="HE194" s="96"/>
      <c r="HF194" s="96"/>
      <c r="HG194" s="96"/>
      <c r="HH194" s="96"/>
      <c r="HI194" s="96"/>
      <c r="HJ194" s="96"/>
      <c r="HK194" s="96"/>
      <c r="HL194" s="96"/>
      <c r="HM194" s="96"/>
      <c r="HN194" s="96"/>
      <c r="HO194" s="96"/>
      <c r="HP194" s="96"/>
      <c r="HQ194" s="96"/>
      <c r="HR194" s="96"/>
      <c r="HS194" s="13"/>
      <c r="HT194" s="96"/>
      <c r="HU194" s="96"/>
      <c r="HV194" s="96"/>
      <c r="HW194" s="96"/>
      <c r="HX194" s="96"/>
      <c r="HY194" s="96"/>
      <c r="HZ194" s="96"/>
      <c r="IA194" s="96"/>
      <c r="IB194" s="96"/>
      <c r="IC194" s="96"/>
      <c r="ID194" s="96"/>
      <c r="IE194" s="96"/>
      <c r="IF194" s="96"/>
      <c r="IG194" s="96"/>
      <c r="IH194" s="96"/>
      <c r="II194" s="13"/>
      <c r="IJ194" s="96"/>
      <c r="IK194" s="96"/>
      <c r="IL194" s="96"/>
      <c r="IM194" s="96"/>
      <c r="IN194" s="96"/>
      <c r="IO194" s="96"/>
      <c r="IP194" s="96"/>
      <c r="IQ194" s="96"/>
      <c r="IR194" s="96"/>
      <c r="IS194" s="96"/>
      <c r="IT194" s="96"/>
      <c r="IU194" s="96"/>
      <c r="IV194" s="96"/>
      <c r="IW194" s="96"/>
      <c r="IX194" s="96"/>
      <c r="IY194" s="13"/>
    </row>
    <row r="195" spans="1:259" outlineLevel="1">
      <c r="A195" s="11">
        <f>'VAC &amp; MED'!C190</f>
        <v>46181</v>
      </c>
      <c r="B195" s="261"/>
      <c r="C195" s="261"/>
      <c r="D195" s="261"/>
      <c r="E195" s="261"/>
      <c r="F195" s="261"/>
      <c r="G195" s="261"/>
      <c r="H195" s="261"/>
      <c r="I195" s="261"/>
      <c r="J195" s="261"/>
      <c r="K195" s="261"/>
      <c r="L195" s="261"/>
      <c r="M195" s="261"/>
      <c r="N195" s="261"/>
      <c r="O195" s="261"/>
      <c r="P195" s="261"/>
      <c r="Q195" s="261"/>
      <c r="R195" s="262"/>
      <c r="S195" s="262"/>
      <c r="T195" s="262"/>
      <c r="U195" s="262"/>
      <c r="V195" s="262"/>
      <c r="W195" s="262"/>
      <c r="X195" s="262"/>
      <c r="Y195" s="262"/>
      <c r="Z195" s="262"/>
      <c r="AA195" s="262"/>
      <c r="AB195" s="262"/>
      <c r="AC195" s="262"/>
      <c r="AD195" s="262"/>
      <c r="AE195" s="262"/>
      <c r="AF195" s="262"/>
      <c r="AG195" s="262"/>
      <c r="AH195" s="263"/>
      <c r="AI195" s="263"/>
      <c r="AJ195" s="263"/>
      <c r="AK195" s="263"/>
      <c r="AL195" s="263"/>
      <c r="AM195" s="263"/>
      <c r="AN195" s="263"/>
      <c r="AO195" s="263"/>
      <c r="AP195" s="263"/>
      <c r="AQ195" s="263"/>
      <c r="AR195" s="263"/>
      <c r="AS195" s="263"/>
      <c r="AT195" s="263"/>
      <c r="AU195" s="263"/>
      <c r="AV195" s="263"/>
      <c r="AW195" s="263"/>
      <c r="AX195" s="264"/>
      <c r="AY195" s="264"/>
      <c r="AZ195" s="264"/>
      <c r="BA195" s="264"/>
      <c r="BB195" s="264"/>
      <c r="BC195" s="264"/>
      <c r="BD195" s="264"/>
      <c r="BE195" s="264"/>
      <c r="BF195" s="264"/>
      <c r="BG195" s="264"/>
      <c r="BH195" s="264"/>
      <c r="BI195" s="264"/>
      <c r="BJ195" s="264"/>
      <c r="BK195" s="264"/>
      <c r="BL195" s="264"/>
      <c r="BM195" s="264"/>
      <c r="BN195" s="265"/>
      <c r="BO195" s="265"/>
      <c r="BP195" s="265"/>
      <c r="BQ195" s="265"/>
      <c r="BR195" s="265"/>
      <c r="BS195" s="265"/>
      <c r="BT195" s="265"/>
      <c r="BU195" s="265"/>
      <c r="BV195" s="265"/>
      <c r="BW195" s="265"/>
      <c r="BX195" s="265">
        <v>40</v>
      </c>
      <c r="BY195" s="265"/>
      <c r="BZ195" s="265"/>
      <c r="CA195" s="265"/>
      <c r="CB195" s="265"/>
      <c r="CC195" s="265"/>
      <c r="CD195" s="266"/>
      <c r="CE195" s="266"/>
      <c r="CF195" s="266"/>
      <c r="CG195" s="266"/>
      <c r="CH195" s="266"/>
      <c r="CI195" s="266"/>
      <c r="CJ195" s="266"/>
      <c r="CK195" s="266"/>
      <c r="CL195" s="266"/>
      <c r="CM195" s="266"/>
      <c r="CN195" s="266"/>
      <c r="CO195" s="266"/>
      <c r="CP195" s="266"/>
      <c r="CQ195" s="266"/>
      <c r="CR195" s="266"/>
      <c r="CS195" s="266"/>
      <c r="CT195" s="267"/>
      <c r="CU195" s="267"/>
      <c r="CV195" s="267"/>
      <c r="CW195" s="267"/>
      <c r="CX195" s="267"/>
      <c r="CY195" s="267"/>
      <c r="CZ195" s="267"/>
      <c r="DA195" s="267"/>
      <c r="DB195" s="267"/>
      <c r="DC195" s="267">
        <v>20</v>
      </c>
      <c r="DD195" s="267"/>
      <c r="DE195" s="267"/>
      <c r="DF195" s="267"/>
      <c r="DG195" s="267"/>
      <c r="DH195" s="267"/>
      <c r="DI195" s="267"/>
      <c r="DJ195" s="268"/>
      <c r="DK195" s="268"/>
      <c r="DL195" s="268"/>
      <c r="DM195" s="268"/>
      <c r="DN195" s="268"/>
      <c r="DO195" s="268"/>
      <c r="DP195" s="268"/>
      <c r="DQ195" s="268"/>
      <c r="DR195" s="268"/>
      <c r="DS195" s="268"/>
      <c r="DT195" s="268"/>
      <c r="DU195" s="268"/>
      <c r="DV195" s="268"/>
      <c r="DW195" s="268"/>
      <c r="DX195" s="268"/>
      <c r="DY195" s="268"/>
      <c r="EA195" s="13"/>
      <c r="EB195" s="96"/>
      <c r="EC195" s="96"/>
      <c r="ED195" s="96"/>
      <c r="EE195" s="96"/>
      <c r="EF195" s="96"/>
      <c r="EG195" s="96"/>
      <c r="EH195" s="96"/>
      <c r="EI195" s="96"/>
      <c r="EJ195" s="96"/>
      <c r="EK195" s="96"/>
      <c r="EL195" s="96"/>
      <c r="EM195" s="96"/>
      <c r="EN195" s="96"/>
      <c r="EO195" s="96"/>
      <c r="EP195" s="96"/>
      <c r="EQ195" s="96"/>
      <c r="ER195" s="96"/>
      <c r="ES195" s="96"/>
      <c r="ET195" s="96"/>
      <c r="EU195" s="96"/>
      <c r="EV195" s="96"/>
      <c r="EW195" s="96"/>
      <c r="EX195" s="96"/>
      <c r="EY195" s="96"/>
      <c r="EZ195" s="96"/>
      <c r="FA195" s="96"/>
      <c r="FB195" s="96"/>
      <c r="FC195" s="96"/>
      <c r="FD195" s="96"/>
      <c r="FE195" s="96"/>
      <c r="FF195" s="96"/>
      <c r="FG195" s="96"/>
      <c r="FH195" s="96"/>
      <c r="FI195" s="96"/>
      <c r="FJ195" s="96"/>
      <c r="FK195" s="96"/>
      <c r="FL195" s="96"/>
      <c r="FM195" s="96"/>
      <c r="FN195" s="96"/>
      <c r="FO195" s="96"/>
      <c r="FP195" s="96"/>
      <c r="FQ195" s="96"/>
      <c r="FR195" s="96"/>
      <c r="FS195" s="96"/>
      <c r="FT195" s="96"/>
      <c r="FU195" s="96"/>
      <c r="FV195" s="96"/>
      <c r="FW195" s="96"/>
      <c r="FX195" s="96"/>
      <c r="FY195" s="96"/>
      <c r="FZ195" s="96"/>
      <c r="GA195" s="96"/>
      <c r="GB195" s="96"/>
      <c r="GC195" s="96"/>
      <c r="GD195" s="96"/>
      <c r="GE195" s="96"/>
      <c r="GF195" s="96"/>
      <c r="GG195" s="96"/>
      <c r="GH195" s="96"/>
      <c r="GI195" s="96"/>
      <c r="GJ195" s="96"/>
      <c r="GK195" s="96"/>
      <c r="GL195" s="96"/>
      <c r="GM195" s="13"/>
      <c r="GN195" s="96"/>
      <c r="GO195" s="96"/>
      <c r="GP195" s="96"/>
      <c r="GQ195" s="96"/>
      <c r="GR195" s="96"/>
      <c r="GS195" s="96"/>
      <c r="GT195" s="96"/>
      <c r="GU195" s="96"/>
      <c r="GV195" s="96"/>
      <c r="GW195" s="96"/>
      <c r="GX195" s="96"/>
      <c r="GY195" s="96"/>
      <c r="GZ195" s="96"/>
      <c r="HA195" s="96"/>
      <c r="HB195" s="96"/>
      <c r="HC195" s="13"/>
      <c r="HD195" s="96"/>
      <c r="HE195" s="96"/>
      <c r="HF195" s="96"/>
      <c r="HG195" s="96"/>
      <c r="HH195" s="96"/>
      <c r="HI195" s="96"/>
      <c r="HJ195" s="96"/>
      <c r="HK195" s="96"/>
      <c r="HL195" s="96"/>
      <c r="HM195" s="96"/>
      <c r="HN195" s="96"/>
      <c r="HO195" s="96"/>
      <c r="HP195" s="96"/>
      <c r="HQ195" s="96"/>
      <c r="HR195" s="96"/>
      <c r="HS195" s="13"/>
      <c r="HT195" s="96"/>
      <c r="HU195" s="96"/>
      <c r="HV195" s="96"/>
      <c r="HW195" s="96"/>
      <c r="HX195" s="96"/>
      <c r="HY195" s="96"/>
      <c r="HZ195" s="96"/>
      <c r="IA195" s="96"/>
      <c r="IB195" s="96"/>
      <c r="IC195" s="96"/>
      <c r="ID195" s="96"/>
      <c r="IE195" s="96"/>
      <c r="IF195" s="96"/>
      <c r="IG195" s="96"/>
      <c r="IH195" s="96"/>
      <c r="II195" s="13"/>
      <c r="IJ195" s="96"/>
      <c r="IK195" s="96"/>
      <c r="IL195" s="96"/>
      <c r="IM195" s="96"/>
      <c r="IN195" s="96"/>
      <c r="IO195" s="96"/>
      <c r="IP195" s="96"/>
      <c r="IQ195" s="96"/>
      <c r="IR195" s="96"/>
      <c r="IS195" s="96"/>
      <c r="IT195" s="96"/>
      <c r="IU195" s="96"/>
      <c r="IV195" s="96"/>
      <c r="IW195" s="96"/>
      <c r="IX195" s="96"/>
      <c r="IY195" s="13"/>
    </row>
    <row r="196" spans="1:259" outlineLevel="1">
      <c r="A196" s="11">
        <f>'VAC &amp; MED'!C191</f>
        <v>46182</v>
      </c>
      <c r="B196" s="261"/>
      <c r="C196" s="261"/>
      <c r="D196" s="261"/>
      <c r="E196" s="261"/>
      <c r="F196" s="261"/>
      <c r="G196" s="261"/>
      <c r="H196" s="261"/>
      <c r="I196" s="261"/>
      <c r="J196" s="261"/>
      <c r="K196" s="261"/>
      <c r="L196" s="261"/>
      <c r="M196" s="261"/>
      <c r="N196" s="261"/>
      <c r="O196" s="261"/>
      <c r="P196" s="261"/>
      <c r="Q196" s="261"/>
      <c r="R196" s="262"/>
      <c r="S196" s="262"/>
      <c r="T196" s="262"/>
      <c r="U196" s="262"/>
      <c r="V196" s="262"/>
      <c r="W196" s="262"/>
      <c r="X196" s="262"/>
      <c r="Y196" s="262"/>
      <c r="Z196" s="262"/>
      <c r="AA196" s="262"/>
      <c r="AB196" s="262"/>
      <c r="AC196" s="262"/>
      <c r="AD196" s="262"/>
      <c r="AE196" s="262"/>
      <c r="AF196" s="262"/>
      <c r="AG196" s="262"/>
      <c r="AH196" s="263"/>
      <c r="AI196" s="263"/>
      <c r="AJ196" s="263"/>
      <c r="AK196" s="263"/>
      <c r="AL196" s="263"/>
      <c r="AM196" s="263"/>
      <c r="AN196" s="263"/>
      <c r="AO196" s="263"/>
      <c r="AP196" s="263"/>
      <c r="AQ196" s="263"/>
      <c r="AR196" s="263"/>
      <c r="AS196" s="263"/>
      <c r="AT196" s="263"/>
      <c r="AU196" s="263"/>
      <c r="AV196" s="263"/>
      <c r="AW196" s="263"/>
      <c r="AX196" s="264"/>
      <c r="AY196" s="264"/>
      <c r="AZ196" s="264"/>
      <c r="BA196" s="264"/>
      <c r="BB196" s="264"/>
      <c r="BC196" s="264"/>
      <c r="BD196" s="264"/>
      <c r="BE196" s="264"/>
      <c r="BF196" s="264"/>
      <c r="BG196" s="264"/>
      <c r="BH196" s="264"/>
      <c r="BI196" s="264"/>
      <c r="BJ196" s="264"/>
      <c r="BK196" s="264"/>
      <c r="BL196" s="264"/>
      <c r="BM196" s="264"/>
      <c r="BN196" s="265"/>
      <c r="BO196" s="265"/>
      <c r="BP196" s="265"/>
      <c r="BQ196" s="265"/>
      <c r="BR196" s="265"/>
      <c r="BS196" s="265"/>
      <c r="BT196" s="265"/>
      <c r="BU196" s="265"/>
      <c r="BV196" s="265"/>
      <c r="BW196" s="265"/>
      <c r="BX196" s="265">
        <v>60</v>
      </c>
      <c r="BY196" s="265"/>
      <c r="BZ196" s="265"/>
      <c r="CA196" s="265"/>
      <c r="CB196" s="265"/>
      <c r="CC196" s="265"/>
      <c r="CD196" s="266"/>
      <c r="CE196" s="266"/>
      <c r="CF196" s="266"/>
      <c r="CG196" s="266"/>
      <c r="CH196" s="266"/>
      <c r="CI196" s="266"/>
      <c r="CJ196" s="266"/>
      <c r="CK196" s="266"/>
      <c r="CL196" s="266"/>
      <c r="CM196" s="266"/>
      <c r="CN196" s="266"/>
      <c r="CO196" s="266"/>
      <c r="CP196" s="266"/>
      <c r="CQ196" s="266"/>
      <c r="CR196" s="266"/>
      <c r="CS196" s="266"/>
      <c r="CT196" s="267"/>
      <c r="CU196" s="267"/>
      <c r="CV196" s="267"/>
      <c r="CW196" s="267"/>
      <c r="CX196" s="267"/>
      <c r="CY196" s="267"/>
      <c r="CZ196" s="267"/>
      <c r="DA196" s="267"/>
      <c r="DB196" s="267"/>
      <c r="DC196" s="267"/>
      <c r="DD196" s="267"/>
      <c r="DE196" s="267"/>
      <c r="DF196" s="267"/>
      <c r="DG196" s="267"/>
      <c r="DH196" s="267"/>
      <c r="DI196" s="267"/>
      <c r="DJ196" s="268"/>
      <c r="DK196" s="268"/>
      <c r="DL196" s="268"/>
      <c r="DM196" s="268"/>
      <c r="DN196" s="268"/>
      <c r="DO196" s="268"/>
      <c r="DP196" s="268"/>
      <c r="DQ196" s="268"/>
      <c r="DR196" s="268"/>
      <c r="DS196" s="268"/>
      <c r="DT196" s="268"/>
      <c r="DU196" s="268"/>
      <c r="DV196" s="268"/>
      <c r="DW196" s="268"/>
      <c r="DX196" s="268"/>
      <c r="DY196" s="268"/>
      <c r="EA196" s="13"/>
      <c r="EB196" s="96"/>
      <c r="EC196" s="96"/>
      <c r="ED196" s="96"/>
      <c r="EE196" s="96"/>
      <c r="EF196" s="96"/>
      <c r="EG196" s="96"/>
      <c r="EH196" s="96"/>
      <c r="EI196" s="96"/>
      <c r="EJ196" s="96"/>
      <c r="EK196" s="96"/>
      <c r="EL196" s="96"/>
      <c r="EM196" s="96"/>
      <c r="EN196" s="96"/>
      <c r="EO196" s="96"/>
      <c r="EP196" s="96"/>
      <c r="EQ196" s="96"/>
      <c r="ER196" s="96"/>
      <c r="ES196" s="96"/>
      <c r="ET196" s="96"/>
      <c r="EU196" s="96"/>
      <c r="EV196" s="96"/>
      <c r="EW196" s="96"/>
      <c r="EX196" s="96"/>
      <c r="EY196" s="96"/>
      <c r="EZ196" s="96"/>
      <c r="FA196" s="96"/>
      <c r="FB196" s="96"/>
      <c r="FC196" s="96"/>
      <c r="FD196" s="96"/>
      <c r="FE196" s="96"/>
      <c r="FF196" s="96"/>
      <c r="FG196" s="96"/>
      <c r="FH196" s="96"/>
      <c r="FI196" s="96"/>
      <c r="FJ196" s="96"/>
      <c r="FK196" s="96"/>
      <c r="FL196" s="96"/>
      <c r="FM196" s="96"/>
      <c r="FN196" s="96"/>
      <c r="FO196" s="96"/>
      <c r="FP196" s="96"/>
      <c r="FQ196" s="96"/>
      <c r="FR196" s="96"/>
      <c r="FS196" s="96"/>
      <c r="FT196" s="96"/>
      <c r="FU196" s="96"/>
      <c r="FV196" s="96"/>
      <c r="FW196" s="96"/>
      <c r="FX196" s="96"/>
      <c r="FY196" s="96"/>
      <c r="FZ196" s="96"/>
      <c r="GA196" s="96"/>
      <c r="GB196" s="96"/>
      <c r="GC196" s="96"/>
      <c r="GD196" s="96"/>
      <c r="GE196" s="96"/>
      <c r="GF196" s="96"/>
      <c r="GG196" s="96"/>
      <c r="GH196" s="96"/>
      <c r="GI196" s="96"/>
      <c r="GJ196" s="96"/>
      <c r="GK196" s="96"/>
      <c r="GL196" s="96"/>
      <c r="GM196" s="13"/>
      <c r="GN196" s="96"/>
      <c r="GO196" s="96"/>
      <c r="GP196" s="96"/>
      <c r="GQ196" s="96"/>
      <c r="GR196" s="96"/>
      <c r="GS196" s="96"/>
      <c r="GT196" s="96"/>
      <c r="GU196" s="96"/>
      <c r="GV196" s="96"/>
      <c r="GW196" s="96"/>
      <c r="GX196" s="96"/>
      <c r="GY196" s="96"/>
      <c r="GZ196" s="96"/>
      <c r="HA196" s="96"/>
      <c r="HB196" s="96"/>
      <c r="HC196" s="13"/>
      <c r="HD196" s="96"/>
      <c r="HE196" s="96"/>
      <c r="HF196" s="96"/>
      <c r="HG196" s="96"/>
      <c r="HH196" s="96"/>
      <c r="HI196" s="96"/>
      <c r="HJ196" s="96"/>
      <c r="HK196" s="96"/>
      <c r="HL196" s="96"/>
      <c r="HM196" s="96"/>
      <c r="HN196" s="96"/>
      <c r="HO196" s="96"/>
      <c r="HP196" s="96"/>
      <c r="HQ196" s="96"/>
      <c r="HR196" s="96"/>
      <c r="HS196" s="13"/>
      <c r="HT196" s="96"/>
      <c r="HU196" s="96"/>
      <c r="HV196" s="96"/>
      <c r="HW196" s="96"/>
      <c r="HX196" s="96"/>
      <c r="HY196" s="96"/>
      <c r="HZ196" s="96"/>
      <c r="IA196" s="96"/>
      <c r="IB196" s="96"/>
      <c r="IC196" s="96"/>
      <c r="ID196" s="96"/>
      <c r="IE196" s="96"/>
      <c r="IF196" s="96"/>
      <c r="IG196" s="96"/>
      <c r="IH196" s="96"/>
      <c r="II196" s="13"/>
      <c r="IJ196" s="96"/>
      <c r="IK196" s="96"/>
      <c r="IL196" s="96"/>
      <c r="IM196" s="96"/>
      <c r="IN196" s="96"/>
      <c r="IO196" s="96"/>
      <c r="IP196" s="96"/>
      <c r="IQ196" s="96"/>
      <c r="IR196" s="96"/>
      <c r="IS196" s="96"/>
      <c r="IT196" s="96"/>
      <c r="IU196" s="96"/>
      <c r="IV196" s="96"/>
      <c r="IW196" s="96"/>
      <c r="IX196" s="96"/>
      <c r="IY196" s="13"/>
    </row>
    <row r="197" spans="1:259" outlineLevel="1">
      <c r="A197" s="11">
        <f>'VAC &amp; MED'!C192</f>
        <v>46183</v>
      </c>
      <c r="B197" s="261"/>
      <c r="C197" s="261"/>
      <c r="D197" s="261"/>
      <c r="E197" s="261"/>
      <c r="F197" s="261"/>
      <c r="G197" s="261"/>
      <c r="H197" s="261"/>
      <c r="I197" s="261"/>
      <c r="J197" s="261"/>
      <c r="K197" s="261"/>
      <c r="L197" s="261"/>
      <c r="M197" s="261"/>
      <c r="N197" s="261"/>
      <c r="O197" s="261"/>
      <c r="P197" s="261"/>
      <c r="Q197" s="261"/>
      <c r="R197" s="262"/>
      <c r="S197" s="262"/>
      <c r="T197" s="262"/>
      <c r="U197" s="262"/>
      <c r="V197" s="262"/>
      <c r="W197" s="262"/>
      <c r="X197" s="262"/>
      <c r="Y197" s="262"/>
      <c r="Z197" s="262"/>
      <c r="AA197" s="262"/>
      <c r="AB197" s="262"/>
      <c r="AC197" s="262"/>
      <c r="AD197" s="262"/>
      <c r="AE197" s="262"/>
      <c r="AF197" s="262"/>
      <c r="AG197" s="262"/>
      <c r="AH197" s="263"/>
      <c r="AI197" s="263"/>
      <c r="AJ197" s="263"/>
      <c r="AK197" s="263"/>
      <c r="AL197" s="263"/>
      <c r="AM197" s="263"/>
      <c r="AN197" s="263"/>
      <c r="AO197" s="263"/>
      <c r="AP197" s="263"/>
      <c r="AQ197" s="263"/>
      <c r="AR197" s="263"/>
      <c r="AS197" s="263"/>
      <c r="AT197" s="263"/>
      <c r="AU197" s="263"/>
      <c r="AV197" s="263"/>
      <c r="AW197" s="263"/>
      <c r="AX197" s="264"/>
      <c r="AY197" s="264"/>
      <c r="AZ197" s="264"/>
      <c r="BA197" s="264"/>
      <c r="BB197" s="264"/>
      <c r="BC197" s="264"/>
      <c r="BD197" s="264"/>
      <c r="BE197" s="264"/>
      <c r="BF197" s="264"/>
      <c r="BG197" s="264"/>
      <c r="BH197" s="264"/>
      <c r="BI197" s="264"/>
      <c r="BJ197" s="264"/>
      <c r="BK197" s="264"/>
      <c r="BL197" s="264"/>
      <c r="BM197" s="264"/>
      <c r="BN197" s="265"/>
      <c r="BO197" s="265"/>
      <c r="BP197" s="265"/>
      <c r="BQ197" s="265"/>
      <c r="BR197" s="265"/>
      <c r="BS197" s="265"/>
      <c r="BT197" s="265"/>
      <c r="BU197" s="265"/>
      <c r="BV197" s="265"/>
      <c r="BW197" s="265"/>
      <c r="BX197" s="265"/>
      <c r="BY197" s="265"/>
      <c r="BZ197" s="265"/>
      <c r="CA197" s="265"/>
      <c r="CB197" s="265"/>
      <c r="CC197" s="265"/>
      <c r="CD197" s="266"/>
      <c r="CE197" s="266"/>
      <c r="CF197" s="266"/>
      <c r="CG197" s="266"/>
      <c r="CH197" s="266"/>
      <c r="CI197" s="266"/>
      <c r="CJ197" s="266"/>
      <c r="CK197" s="266"/>
      <c r="CL197" s="266"/>
      <c r="CM197" s="266"/>
      <c r="CN197" s="266"/>
      <c r="CO197" s="266"/>
      <c r="CP197" s="266"/>
      <c r="CQ197" s="266"/>
      <c r="CR197" s="266"/>
      <c r="CS197" s="266"/>
      <c r="CT197" s="267"/>
      <c r="CU197" s="267"/>
      <c r="CV197" s="267"/>
      <c r="CW197" s="267"/>
      <c r="CX197" s="267"/>
      <c r="CY197" s="267"/>
      <c r="CZ197" s="267"/>
      <c r="DA197" s="267"/>
      <c r="DB197" s="267"/>
      <c r="DC197" s="267"/>
      <c r="DD197" s="267"/>
      <c r="DE197" s="267"/>
      <c r="DF197" s="267"/>
      <c r="DG197" s="267"/>
      <c r="DH197" s="267"/>
      <c r="DI197" s="267"/>
      <c r="DJ197" s="268"/>
      <c r="DK197" s="268"/>
      <c r="DL197" s="268"/>
      <c r="DM197" s="268"/>
      <c r="DN197" s="268"/>
      <c r="DO197" s="268"/>
      <c r="DP197" s="268"/>
      <c r="DQ197" s="268"/>
      <c r="DR197" s="268"/>
      <c r="DS197" s="268"/>
      <c r="DT197" s="268"/>
      <c r="DU197" s="268"/>
      <c r="DV197" s="268"/>
      <c r="DW197" s="268"/>
      <c r="DX197" s="268"/>
      <c r="DY197" s="268"/>
      <c r="EA197" s="13"/>
      <c r="EB197" s="96"/>
      <c r="EC197" s="96"/>
      <c r="ED197" s="96"/>
      <c r="EE197" s="96"/>
      <c r="EF197" s="96"/>
      <c r="EG197" s="96"/>
      <c r="EH197" s="96"/>
      <c r="EI197" s="96"/>
      <c r="EJ197" s="96"/>
      <c r="EK197" s="96"/>
      <c r="EL197" s="96"/>
      <c r="EM197" s="96"/>
      <c r="EN197" s="96"/>
      <c r="EO197" s="96"/>
      <c r="EP197" s="96"/>
      <c r="EQ197" s="96"/>
      <c r="ER197" s="96"/>
      <c r="ES197" s="96"/>
      <c r="ET197" s="96"/>
      <c r="EU197" s="96"/>
      <c r="EV197" s="96"/>
      <c r="EW197" s="96"/>
      <c r="EX197" s="96"/>
      <c r="EY197" s="96"/>
      <c r="EZ197" s="96"/>
      <c r="FA197" s="96"/>
      <c r="FB197" s="96"/>
      <c r="FC197" s="96"/>
      <c r="FD197" s="96"/>
      <c r="FE197" s="96"/>
      <c r="FF197" s="96"/>
      <c r="FG197" s="96"/>
      <c r="FH197" s="96"/>
      <c r="FI197" s="96"/>
      <c r="FJ197" s="96"/>
      <c r="FK197" s="96"/>
      <c r="FL197" s="96"/>
      <c r="FM197" s="96"/>
      <c r="FN197" s="96"/>
      <c r="FO197" s="96"/>
      <c r="FP197" s="96"/>
      <c r="FQ197" s="96"/>
      <c r="FR197" s="96"/>
      <c r="FS197" s="96"/>
      <c r="FT197" s="96"/>
      <c r="FU197" s="96"/>
      <c r="FV197" s="96"/>
      <c r="FW197" s="96"/>
      <c r="FX197" s="96"/>
      <c r="FY197" s="96"/>
      <c r="FZ197" s="96"/>
      <c r="GA197" s="96"/>
      <c r="GB197" s="96"/>
      <c r="GC197" s="96"/>
      <c r="GD197" s="96"/>
      <c r="GE197" s="96"/>
      <c r="GF197" s="96"/>
      <c r="GG197" s="96"/>
      <c r="GH197" s="96"/>
      <c r="GI197" s="96"/>
      <c r="GJ197" s="96"/>
      <c r="GK197" s="96"/>
      <c r="GL197" s="96"/>
      <c r="GM197" s="13"/>
      <c r="GN197" s="96"/>
      <c r="GO197" s="96"/>
      <c r="GP197" s="96"/>
      <c r="GQ197" s="96"/>
      <c r="GR197" s="96"/>
      <c r="GS197" s="96"/>
      <c r="GT197" s="96"/>
      <c r="GU197" s="96"/>
      <c r="GV197" s="96"/>
      <c r="GW197" s="96"/>
      <c r="GX197" s="96"/>
      <c r="GY197" s="96"/>
      <c r="GZ197" s="96"/>
      <c r="HA197" s="96"/>
      <c r="HB197" s="96"/>
      <c r="HC197" s="13"/>
      <c r="HD197" s="96"/>
      <c r="HE197" s="96"/>
      <c r="HF197" s="96"/>
      <c r="HG197" s="96"/>
      <c r="HH197" s="96"/>
      <c r="HI197" s="96"/>
      <c r="HJ197" s="96"/>
      <c r="HK197" s="96"/>
      <c r="HL197" s="96"/>
      <c r="HM197" s="96"/>
      <c r="HN197" s="96"/>
      <c r="HO197" s="96"/>
      <c r="HP197" s="96"/>
      <c r="HQ197" s="96"/>
      <c r="HR197" s="96"/>
      <c r="HS197" s="13"/>
      <c r="HT197" s="96"/>
      <c r="HU197" s="96"/>
      <c r="HV197" s="96"/>
      <c r="HW197" s="96"/>
      <c r="HX197" s="96"/>
      <c r="HY197" s="96"/>
      <c r="HZ197" s="96"/>
      <c r="IA197" s="96"/>
      <c r="IB197" s="96"/>
      <c r="IC197" s="96"/>
      <c r="ID197" s="96"/>
      <c r="IE197" s="96"/>
      <c r="IF197" s="96"/>
      <c r="IG197" s="96"/>
      <c r="IH197" s="96"/>
      <c r="II197" s="13"/>
      <c r="IJ197" s="96"/>
      <c r="IK197" s="96"/>
      <c r="IL197" s="96"/>
      <c r="IM197" s="96"/>
      <c r="IN197" s="96"/>
      <c r="IO197" s="96"/>
      <c r="IP197" s="96"/>
      <c r="IQ197" s="96"/>
      <c r="IR197" s="96"/>
      <c r="IS197" s="96"/>
      <c r="IT197" s="96"/>
      <c r="IU197" s="96"/>
      <c r="IV197" s="96"/>
      <c r="IW197" s="96"/>
      <c r="IX197" s="96"/>
      <c r="IY197" s="13"/>
    </row>
    <row r="198" spans="1:259" outlineLevel="1">
      <c r="A198" s="11">
        <f>'VAC &amp; MED'!C193</f>
        <v>46184</v>
      </c>
      <c r="B198" s="261"/>
      <c r="C198" s="261"/>
      <c r="D198" s="261"/>
      <c r="E198" s="261"/>
      <c r="F198" s="261"/>
      <c r="G198" s="261"/>
      <c r="H198" s="261"/>
      <c r="I198" s="261"/>
      <c r="J198" s="261"/>
      <c r="K198" s="261"/>
      <c r="L198" s="261"/>
      <c r="M198" s="261"/>
      <c r="N198" s="261"/>
      <c r="O198" s="261"/>
      <c r="P198" s="261"/>
      <c r="Q198" s="261"/>
      <c r="R198" s="262"/>
      <c r="S198" s="262"/>
      <c r="T198" s="262"/>
      <c r="U198" s="262"/>
      <c r="V198" s="262"/>
      <c r="W198" s="262"/>
      <c r="X198" s="262"/>
      <c r="Y198" s="262"/>
      <c r="Z198" s="262"/>
      <c r="AA198" s="262"/>
      <c r="AB198" s="262"/>
      <c r="AC198" s="262"/>
      <c r="AD198" s="262"/>
      <c r="AE198" s="262"/>
      <c r="AF198" s="262"/>
      <c r="AG198" s="262"/>
      <c r="AH198" s="263"/>
      <c r="AI198" s="263"/>
      <c r="AJ198" s="263"/>
      <c r="AK198" s="263"/>
      <c r="AL198" s="263"/>
      <c r="AM198" s="263"/>
      <c r="AN198" s="263"/>
      <c r="AO198" s="263"/>
      <c r="AP198" s="263"/>
      <c r="AQ198" s="263"/>
      <c r="AR198" s="263"/>
      <c r="AS198" s="263"/>
      <c r="AT198" s="263"/>
      <c r="AU198" s="263"/>
      <c r="AV198" s="263"/>
      <c r="AW198" s="263"/>
      <c r="AX198" s="264"/>
      <c r="AY198" s="264"/>
      <c r="AZ198" s="264"/>
      <c r="BA198" s="264"/>
      <c r="BB198" s="264"/>
      <c r="BC198" s="264"/>
      <c r="BD198" s="264"/>
      <c r="BE198" s="264"/>
      <c r="BF198" s="264"/>
      <c r="BG198" s="264"/>
      <c r="BH198" s="264"/>
      <c r="BI198" s="264"/>
      <c r="BJ198" s="264"/>
      <c r="BK198" s="264"/>
      <c r="BL198" s="264"/>
      <c r="BM198" s="264"/>
      <c r="BN198" s="265"/>
      <c r="BO198" s="265"/>
      <c r="BP198" s="265"/>
      <c r="BQ198" s="265"/>
      <c r="BR198" s="265"/>
      <c r="BS198" s="265"/>
      <c r="BT198" s="265"/>
      <c r="BU198" s="265"/>
      <c r="BV198" s="265"/>
      <c r="BW198" s="265"/>
      <c r="BX198" s="265"/>
      <c r="BY198" s="265"/>
      <c r="BZ198" s="265"/>
      <c r="CA198" s="265"/>
      <c r="CB198" s="265"/>
      <c r="CC198" s="265"/>
      <c r="CD198" s="266"/>
      <c r="CE198" s="266"/>
      <c r="CF198" s="266"/>
      <c r="CG198" s="266"/>
      <c r="CH198" s="266"/>
      <c r="CI198" s="266"/>
      <c r="CJ198" s="266"/>
      <c r="CK198" s="266"/>
      <c r="CL198" s="266"/>
      <c r="CM198" s="266"/>
      <c r="CN198" s="266"/>
      <c r="CO198" s="266"/>
      <c r="CP198" s="266"/>
      <c r="CQ198" s="266"/>
      <c r="CR198" s="266"/>
      <c r="CS198" s="266"/>
      <c r="CT198" s="267"/>
      <c r="CU198" s="267"/>
      <c r="CV198" s="267"/>
      <c r="CW198" s="267"/>
      <c r="CX198" s="267"/>
      <c r="CY198" s="267"/>
      <c r="CZ198" s="267"/>
      <c r="DA198" s="267">
        <v>4</v>
      </c>
      <c r="DB198" s="267"/>
      <c r="DC198" s="267">
        <v>10</v>
      </c>
      <c r="DD198" s="267"/>
      <c r="DE198" s="267"/>
      <c r="DF198" s="267"/>
      <c r="DG198" s="267"/>
      <c r="DH198" s="267"/>
      <c r="DI198" s="267"/>
      <c r="DJ198" s="268"/>
      <c r="DK198" s="268"/>
      <c r="DL198" s="268"/>
      <c r="DM198" s="268"/>
      <c r="DN198" s="268"/>
      <c r="DO198" s="268"/>
      <c r="DP198" s="268"/>
      <c r="DQ198" s="268"/>
      <c r="DR198" s="268"/>
      <c r="DS198" s="268"/>
      <c r="DT198" s="268"/>
      <c r="DU198" s="268"/>
      <c r="DV198" s="268"/>
      <c r="DW198" s="268"/>
      <c r="DX198" s="268"/>
      <c r="DY198" s="268"/>
      <c r="EA198" s="13"/>
      <c r="EB198" s="96"/>
      <c r="EC198" s="96"/>
      <c r="ED198" s="96"/>
      <c r="EE198" s="96"/>
      <c r="EF198" s="96"/>
      <c r="EG198" s="96"/>
      <c r="EH198" s="96"/>
      <c r="EI198" s="96"/>
      <c r="EJ198" s="96"/>
      <c r="EK198" s="96"/>
      <c r="EL198" s="96"/>
      <c r="EM198" s="96"/>
      <c r="EN198" s="96"/>
      <c r="EO198" s="96"/>
      <c r="EP198" s="96"/>
      <c r="EQ198" s="96"/>
      <c r="ER198" s="96"/>
      <c r="ES198" s="96"/>
      <c r="ET198" s="96"/>
      <c r="EU198" s="96"/>
      <c r="EV198" s="96"/>
      <c r="EW198" s="96"/>
      <c r="EX198" s="96"/>
      <c r="EY198" s="96"/>
      <c r="EZ198" s="96"/>
      <c r="FA198" s="96"/>
      <c r="FB198" s="96"/>
      <c r="FC198" s="96"/>
      <c r="FD198" s="96"/>
      <c r="FE198" s="96"/>
      <c r="FF198" s="96"/>
      <c r="FG198" s="96"/>
      <c r="FH198" s="96"/>
      <c r="FI198" s="96"/>
      <c r="FJ198" s="96"/>
      <c r="FK198" s="96"/>
      <c r="FL198" s="96"/>
      <c r="FM198" s="96"/>
      <c r="FN198" s="96"/>
      <c r="FO198" s="96"/>
      <c r="FP198" s="96"/>
      <c r="FQ198" s="96"/>
      <c r="FR198" s="96"/>
      <c r="FS198" s="96"/>
      <c r="FT198" s="96"/>
      <c r="FU198" s="96"/>
      <c r="FV198" s="96"/>
      <c r="FW198" s="96"/>
      <c r="FX198" s="96"/>
      <c r="FY198" s="96"/>
      <c r="FZ198" s="96"/>
      <c r="GA198" s="96"/>
      <c r="GB198" s="96"/>
      <c r="GC198" s="96"/>
      <c r="GD198" s="96"/>
      <c r="GE198" s="96"/>
      <c r="GF198" s="96"/>
      <c r="GG198" s="96"/>
      <c r="GH198" s="96"/>
      <c r="GI198" s="96"/>
      <c r="GJ198" s="96"/>
      <c r="GK198" s="96"/>
      <c r="GL198" s="96"/>
      <c r="GM198" s="13"/>
      <c r="GN198" s="96"/>
      <c r="GO198" s="96"/>
      <c r="GP198" s="96"/>
      <c r="GQ198" s="96"/>
      <c r="GR198" s="96"/>
      <c r="GS198" s="96"/>
      <c r="GT198" s="96"/>
      <c r="GU198" s="96"/>
      <c r="GV198" s="96"/>
      <c r="GW198" s="96"/>
      <c r="GX198" s="96"/>
      <c r="GY198" s="96"/>
      <c r="GZ198" s="96"/>
      <c r="HA198" s="96"/>
      <c r="HB198" s="96"/>
      <c r="HC198" s="13"/>
      <c r="HD198" s="96"/>
      <c r="HE198" s="96"/>
      <c r="HF198" s="96"/>
      <c r="HG198" s="96"/>
      <c r="HH198" s="96"/>
      <c r="HI198" s="96"/>
      <c r="HJ198" s="96"/>
      <c r="HK198" s="96"/>
      <c r="HL198" s="96"/>
      <c r="HM198" s="96"/>
      <c r="HN198" s="96"/>
      <c r="HO198" s="96"/>
      <c r="HP198" s="96"/>
      <c r="HQ198" s="96"/>
      <c r="HR198" s="96"/>
      <c r="HS198" s="13"/>
      <c r="HT198" s="96"/>
      <c r="HU198" s="96"/>
      <c r="HV198" s="96"/>
      <c r="HW198" s="96"/>
      <c r="HX198" s="96"/>
      <c r="HY198" s="96"/>
      <c r="HZ198" s="96"/>
      <c r="IA198" s="96"/>
      <c r="IB198" s="96"/>
      <c r="IC198" s="96"/>
      <c r="ID198" s="96"/>
      <c r="IE198" s="96"/>
      <c r="IF198" s="96"/>
      <c r="IG198" s="96"/>
      <c r="IH198" s="96"/>
      <c r="II198" s="13"/>
      <c r="IJ198" s="96"/>
      <c r="IK198" s="96"/>
      <c r="IL198" s="96"/>
      <c r="IM198" s="96"/>
      <c r="IN198" s="96"/>
      <c r="IO198" s="96"/>
      <c r="IP198" s="96"/>
      <c r="IQ198" s="96"/>
      <c r="IR198" s="96"/>
      <c r="IS198" s="96"/>
      <c r="IT198" s="96"/>
      <c r="IU198" s="96"/>
      <c r="IV198" s="96"/>
      <c r="IW198" s="96"/>
      <c r="IX198" s="96"/>
      <c r="IY198" s="13"/>
    </row>
    <row r="199" spans="1:259" outlineLevel="1">
      <c r="A199" s="11">
        <f>'VAC &amp; MED'!C194</f>
        <v>46185</v>
      </c>
      <c r="B199" s="261"/>
      <c r="C199" s="261"/>
      <c r="D199" s="261"/>
      <c r="E199" s="261"/>
      <c r="F199" s="261"/>
      <c r="G199" s="261"/>
      <c r="H199" s="261"/>
      <c r="I199" s="261"/>
      <c r="J199" s="261"/>
      <c r="K199" s="261"/>
      <c r="L199" s="261"/>
      <c r="M199" s="261"/>
      <c r="N199" s="261"/>
      <c r="O199" s="261"/>
      <c r="P199" s="261"/>
      <c r="Q199" s="261"/>
      <c r="R199" s="262"/>
      <c r="S199" s="262"/>
      <c r="T199" s="262"/>
      <c r="U199" s="262"/>
      <c r="V199" s="262"/>
      <c r="W199" s="262"/>
      <c r="X199" s="262"/>
      <c r="Y199" s="262"/>
      <c r="Z199" s="262"/>
      <c r="AA199" s="262"/>
      <c r="AB199" s="262"/>
      <c r="AC199" s="262"/>
      <c r="AD199" s="262"/>
      <c r="AE199" s="262"/>
      <c r="AF199" s="262"/>
      <c r="AG199" s="262"/>
      <c r="AH199" s="263"/>
      <c r="AI199" s="263"/>
      <c r="AJ199" s="263"/>
      <c r="AK199" s="263"/>
      <c r="AL199" s="263"/>
      <c r="AM199" s="263"/>
      <c r="AN199" s="263"/>
      <c r="AO199" s="263"/>
      <c r="AP199" s="263"/>
      <c r="AQ199" s="263"/>
      <c r="AR199" s="263"/>
      <c r="AS199" s="263"/>
      <c r="AT199" s="263"/>
      <c r="AU199" s="263"/>
      <c r="AV199" s="263"/>
      <c r="AW199" s="263"/>
      <c r="AX199" s="264"/>
      <c r="AY199" s="264"/>
      <c r="AZ199" s="264"/>
      <c r="BA199" s="264"/>
      <c r="BB199" s="264"/>
      <c r="BC199" s="264"/>
      <c r="BD199" s="264"/>
      <c r="BE199" s="264"/>
      <c r="BF199" s="264"/>
      <c r="BG199" s="264"/>
      <c r="BH199" s="264"/>
      <c r="BI199" s="264"/>
      <c r="BJ199" s="264"/>
      <c r="BK199" s="264"/>
      <c r="BL199" s="264"/>
      <c r="BM199" s="264"/>
      <c r="BN199" s="265"/>
      <c r="BO199" s="265"/>
      <c r="BP199" s="265"/>
      <c r="BQ199" s="265"/>
      <c r="BR199" s="265"/>
      <c r="BS199" s="265"/>
      <c r="BT199" s="265"/>
      <c r="BU199" s="265"/>
      <c r="BV199" s="265"/>
      <c r="BW199" s="265"/>
      <c r="BX199" s="265">
        <v>90</v>
      </c>
      <c r="BY199" s="265"/>
      <c r="BZ199" s="265"/>
      <c r="CA199" s="265"/>
      <c r="CB199" s="265"/>
      <c r="CC199" s="265"/>
      <c r="CD199" s="266"/>
      <c r="CE199" s="266"/>
      <c r="CF199" s="266"/>
      <c r="CG199" s="266"/>
      <c r="CH199" s="266"/>
      <c r="CI199" s="266"/>
      <c r="CJ199" s="266"/>
      <c r="CK199" s="266"/>
      <c r="CL199" s="266"/>
      <c r="CM199" s="266">
        <v>30</v>
      </c>
      <c r="CN199" s="266"/>
      <c r="CO199" s="266"/>
      <c r="CP199" s="266"/>
      <c r="CQ199" s="266"/>
      <c r="CR199" s="266"/>
      <c r="CS199" s="266"/>
      <c r="CT199" s="267"/>
      <c r="CU199" s="267"/>
      <c r="CV199" s="267"/>
      <c r="CW199" s="267"/>
      <c r="CX199" s="267"/>
      <c r="CY199" s="267"/>
      <c r="CZ199" s="267"/>
      <c r="DA199" s="267"/>
      <c r="DB199" s="267"/>
      <c r="DC199" s="267"/>
      <c r="DD199" s="267"/>
      <c r="DE199" s="267"/>
      <c r="DF199" s="267"/>
      <c r="DG199" s="267"/>
      <c r="DH199" s="267"/>
      <c r="DI199" s="267"/>
      <c r="DJ199" s="268"/>
      <c r="DK199" s="268"/>
      <c r="DL199" s="268"/>
      <c r="DM199" s="268"/>
      <c r="DN199" s="268"/>
      <c r="DO199" s="268"/>
      <c r="DP199" s="268"/>
      <c r="DQ199" s="268"/>
      <c r="DR199" s="268"/>
      <c r="DS199" s="268"/>
      <c r="DT199" s="268"/>
      <c r="DU199" s="268"/>
      <c r="DV199" s="268"/>
      <c r="DW199" s="268"/>
      <c r="DX199" s="268"/>
      <c r="DY199" s="268"/>
      <c r="EA199" s="13"/>
      <c r="EB199" s="96"/>
      <c r="EC199" s="96"/>
      <c r="ED199" s="96"/>
      <c r="EE199" s="96"/>
      <c r="EF199" s="96"/>
      <c r="EG199" s="96"/>
      <c r="EH199" s="96"/>
      <c r="EI199" s="96"/>
      <c r="EJ199" s="96"/>
      <c r="EK199" s="96"/>
      <c r="EL199" s="96"/>
      <c r="EM199" s="96"/>
      <c r="EN199" s="96"/>
      <c r="EO199" s="96"/>
      <c r="EP199" s="96"/>
      <c r="EQ199" s="96"/>
      <c r="ER199" s="96"/>
      <c r="ES199" s="96"/>
      <c r="ET199" s="96"/>
      <c r="EU199" s="96"/>
      <c r="EV199" s="96"/>
      <c r="EW199" s="96"/>
      <c r="EX199" s="96"/>
      <c r="EY199" s="96"/>
      <c r="EZ199" s="96"/>
      <c r="FA199" s="96"/>
      <c r="FB199" s="96"/>
      <c r="FC199" s="96"/>
      <c r="FD199" s="96"/>
      <c r="FE199" s="96"/>
      <c r="FF199" s="96"/>
      <c r="FG199" s="96"/>
      <c r="FH199" s="96"/>
      <c r="FI199" s="96"/>
      <c r="FJ199" s="96"/>
      <c r="FK199" s="96"/>
      <c r="FL199" s="96"/>
      <c r="FM199" s="96"/>
      <c r="FN199" s="96"/>
      <c r="FO199" s="96"/>
      <c r="FP199" s="96"/>
      <c r="FQ199" s="96"/>
      <c r="FR199" s="96"/>
      <c r="FS199" s="96"/>
      <c r="FT199" s="96"/>
      <c r="FU199" s="96"/>
      <c r="FV199" s="96"/>
      <c r="FW199" s="96"/>
      <c r="FX199" s="96"/>
      <c r="FY199" s="96"/>
      <c r="FZ199" s="96"/>
      <c r="GA199" s="96"/>
      <c r="GB199" s="96"/>
      <c r="GC199" s="96"/>
      <c r="GD199" s="96"/>
      <c r="GE199" s="96"/>
      <c r="GF199" s="96"/>
      <c r="GG199" s="96"/>
      <c r="GH199" s="96"/>
      <c r="GI199" s="96"/>
      <c r="GJ199" s="96"/>
      <c r="GK199" s="96"/>
      <c r="GL199" s="96"/>
      <c r="GM199" s="13"/>
      <c r="GN199" s="96"/>
      <c r="GO199" s="96"/>
      <c r="GP199" s="96"/>
      <c r="GQ199" s="96"/>
      <c r="GR199" s="96"/>
      <c r="GS199" s="96"/>
      <c r="GT199" s="96"/>
      <c r="GU199" s="96"/>
      <c r="GV199" s="96"/>
      <c r="GW199" s="96"/>
      <c r="GX199" s="96"/>
      <c r="GY199" s="96"/>
      <c r="GZ199" s="96"/>
      <c r="HA199" s="96"/>
      <c r="HB199" s="96"/>
      <c r="HC199" s="13"/>
      <c r="HD199" s="96"/>
      <c r="HE199" s="96"/>
      <c r="HF199" s="96"/>
      <c r="HG199" s="96"/>
      <c r="HH199" s="96"/>
      <c r="HI199" s="96"/>
      <c r="HJ199" s="96"/>
      <c r="HK199" s="96"/>
      <c r="HL199" s="96"/>
      <c r="HM199" s="96"/>
      <c r="HN199" s="96"/>
      <c r="HO199" s="96"/>
      <c r="HP199" s="96"/>
      <c r="HQ199" s="96"/>
      <c r="HR199" s="96"/>
      <c r="HS199" s="13"/>
      <c r="HT199" s="96"/>
      <c r="HU199" s="96"/>
      <c r="HV199" s="96"/>
      <c r="HW199" s="96"/>
      <c r="HX199" s="96"/>
      <c r="HY199" s="96"/>
      <c r="HZ199" s="96"/>
      <c r="IA199" s="96"/>
      <c r="IB199" s="96"/>
      <c r="IC199" s="96"/>
      <c r="ID199" s="96"/>
      <c r="IE199" s="96"/>
      <c r="IF199" s="96"/>
      <c r="IG199" s="96"/>
      <c r="IH199" s="96"/>
      <c r="II199" s="13"/>
      <c r="IJ199" s="96"/>
      <c r="IK199" s="96"/>
      <c r="IL199" s="96"/>
      <c r="IM199" s="96"/>
      <c r="IN199" s="96"/>
      <c r="IO199" s="96"/>
      <c r="IP199" s="96"/>
      <c r="IQ199" s="96"/>
      <c r="IR199" s="96"/>
      <c r="IS199" s="96"/>
      <c r="IT199" s="96"/>
      <c r="IU199" s="96"/>
      <c r="IV199" s="96"/>
      <c r="IW199" s="96"/>
      <c r="IX199" s="96"/>
      <c r="IY199" s="13"/>
    </row>
    <row r="200" spans="1:259" outlineLevel="1">
      <c r="A200" s="11">
        <f>'VAC &amp; MED'!C195</f>
        <v>46186</v>
      </c>
      <c r="B200" s="261"/>
      <c r="C200" s="261"/>
      <c r="D200" s="261"/>
      <c r="E200" s="261"/>
      <c r="F200" s="261"/>
      <c r="G200" s="261"/>
      <c r="H200" s="261"/>
      <c r="I200" s="261"/>
      <c r="J200" s="261"/>
      <c r="K200" s="261"/>
      <c r="L200" s="261"/>
      <c r="M200" s="261"/>
      <c r="N200" s="261"/>
      <c r="O200" s="261"/>
      <c r="P200" s="261"/>
      <c r="Q200" s="261"/>
      <c r="R200" s="262"/>
      <c r="S200" s="262"/>
      <c r="T200" s="262"/>
      <c r="U200" s="262"/>
      <c r="V200" s="262"/>
      <c r="W200" s="262"/>
      <c r="X200" s="262"/>
      <c r="Y200" s="262"/>
      <c r="Z200" s="262"/>
      <c r="AA200" s="262"/>
      <c r="AB200" s="262"/>
      <c r="AC200" s="262"/>
      <c r="AD200" s="262"/>
      <c r="AE200" s="262"/>
      <c r="AF200" s="262"/>
      <c r="AG200" s="262"/>
      <c r="AH200" s="263"/>
      <c r="AI200" s="263"/>
      <c r="AJ200" s="263"/>
      <c r="AK200" s="263"/>
      <c r="AL200" s="263"/>
      <c r="AM200" s="263"/>
      <c r="AN200" s="263"/>
      <c r="AO200" s="263"/>
      <c r="AP200" s="263"/>
      <c r="AQ200" s="263"/>
      <c r="AR200" s="263"/>
      <c r="AS200" s="263"/>
      <c r="AT200" s="263"/>
      <c r="AU200" s="263"/>
      <c r="AV200" s="263"/>
      <c r="AW200" s="263"/>
      <c r="AX200" s="264"/>
      <c r="AY200" s="264"/>
      <c r="AZ200" s="264"/>
      <c r="BA200" s="264"/>
      <c r="BB200" s="264"/>
      <c r="BC200" s="264"/>
      <c r="BD200" s="264"/>
      <c r="BE200" s="264"/>
      <c r="BF200" s="264"/>
      <c r="BG200" s="264"/>
      <c r="BH200" s="264"/>
      <c r="BI200" s="264"/>
      <c r="BJ200" s="264"/>
      <c r="BK200" s="264"/>
      <c r="BL200" s="264"/>
      <c r="BM200" s="264"/>
      <c r="BN200" s="265"/>
      <c r="BO200" s="265"/>
      <c r="BP200" s="265"/>
      <c r="BQ200" s="265"/>
      <c r="BR200" s="265"/>
      <c r="BS200" s="265"/>
      <c r="BT200" s="265"/>
      <c r="BU200" s="265"/>
      <c r="BV200" s="265"/>
      <c r="BW200" s="265"/>
      <c r="BX200" s="265"/>
      <c r="BY200" s="265"/>
      <c r="BZ200" s="265"/>
      <c r="CA200" s="265"/>
      <c r="CB200" s="265"/>
      <c r="CC200" s="265"/>
      <c r="CD200" s="266"/>
      <c r="CE200" s="266"/>
      <c r="CF200" s="266"/>
      <c r="CG200" s="266"/>
      <c r="CH200" s="266"/>
      <c r="CI200" s="266"/>
      <c r="CJ200" s="266"/>
      <c r="CK200" s="266"/>
      <c r="CL200" s="266"/>
      <c r="CM200" s="266"/>
      <c r="CN200" s="266"/>
      <c r="CO200" s="266"/>
      <c r="CP200" s="266"/>
      <c r="CQ200" s="266"/>
      <c r="CR200" s="266"/>
      <c r="CS200" s="266"/>
      <c r="CT200" s="267"/>
      <c r="CU200" s="267"/>
      <c r="CV200" s="267"/>
      <c r="CW200" s="267"/>
      <c r="CX200" s="267"/>
      <c r="CY200" s="267"/>
      <c r="CZ200" s="267"/>
      <c r="DA200" s="267">
        <v>6</v>
      </c>
      <c r="DB200" s="267"/>
      <c r="DC200" s="267">
        <v>30</v>
      </c>
      <c r="DD200" s="267"/>
      <c r="DE200" s="267"/>
      <c r="DF200" s="267"/>
      <c r="DG200" s="267"/>
      <c r="DH200" s="267"/>
      <c r="DI200" s="267"/>
      <c r="DJ200" s="268"/>
      <c r="DK200" s="268"/>
      <c r="DL200" s="268"/>
      <c r="DM200" s="268"/>
      <c r="DN200" s="268"/>
      <c r="DO200" s="268"/>
      <c r="DP200" s="268"/>
      <c r="DQ200" s="268"/>
      <c r="DR200" s="268"/>
      <c r="DS200" s="268"/>
      <c r="DT200" s="268"/>
      <c r="DU200" s="268"/>
      <c r="DV200" s="268"/>
      <c r="DW200" s="268"/>
      <c r="DX200" s="268"/>
      <c r="DY200" s="268"/>
      <c r="EA200" s="13"/>
      <c r="EB200" s="96"/>
      <c r="EC200" s="96"/>
      <c r="ED200" s="96"/>
      <c r="EE200" s="96"/>
      <c r="EF200" s="96"/>
      <c r="EG200" s="96"/>
      <c r="EH200" s="96"/>
      <c r="EI200" s="96"/>
      <c r="EJ200" s="96"/>
      <c r="EK200" s="96"/>
      <c r="EL200" s="96"/>
      <c r="EM200" s="96"/>
      <c r="EN200" s="96"/>
      <c r="EO200" s="96"/>
      <c r="EP200" s="96"/>
      <c r="EQ200" s="96"/>
      <c r="ER200" s="96"/>
      <c r="ES200" s="96"/>
      <c r="ET200" s="96"/>
      <c r="EU200" s="96"/>
      <c r="EV200" s="96"/>
      <c r="EW200" s="96"/>
      <c r="EX200" s="96"/>
      <c r="EY200" s="96"/>
      <c r="EZ200" s="96"/>
      <c r="FA200" s="96"/>
      <c r="FB200" s="96"/>
      <c r="FC200" s="96"/>
      <c r="FD200" s="96"/>
      <c r="FE200" s="96"/>
      <c r="FF200" s="96"/>
      <c r="FG200" s="96"/>
      <c r="FH200" s="96"/>
      <c r="FI200" s="96"/>
      <c r="FJ200" s="96"/>
      <c r="FK200" s="96"/>
      <c r="FL200" s="96"/>
      <c r="FM200" s="96"/>
      <c r="FN200" s="96"/>
      <c r="FO200" s="96"/>
      <c r="FP200" s="96"/>
      <c r="FQ200" s="96"/>
      <c r="FR200" s="96"/>
      <c r="FS200" s="96"/>
      <c r="FT200" s="96"/>
      <c r="FU200" s="96"/>
      <c r="FV200" s="96"/>
      <c r="FW200" s="96"/>
      <c r="FX200" s="96"/>
      <c r="FY200" s="96"/>
      <c r="FZ200" s="96"/>
      <c r="GA200" s="96"/>
      <c r="GB200" s="96"/>
      <c r="GC200" s="96"/>
      <c r="GD200" s="96"/>
      <c r="GE200" s="96"/>
      <c r="GF200" s="96"/>
      <c r="GG200" s="96"/>
      <c r="GH200" s="96"/>
      <c r="GI200" s="96"/>
      <c r="GJ200" s="96"/>
      <c r="GK200" s="96"/>
      <c r="GL200" s="96"/>
      <c r="GM200" s="13"/>
      <c r="GN200" s="96"/>
      <c r="GO200" s="96"/>
      <c r="GP200" s="96"/>
      <c r="GQ200" s="96"/>
      <c r="GR200" s="96"/>
      <c r="GS200" s="96"/>
      <c r="GT200" s="96"/>
      <c r="GU200" s="96"/>
      <c r="GV200" s="96"/>
      <c r="GW200" s="96"/>
      <c r="GX200" s="96"/>
      <c r="GY200" s="96"/>
      <c r="GZ200" s="96"/>
      <c r="HA200" s="96"/>
      <c r="HB200" s="96"/>
      <c r="HC200" s="13"/>
      <c r="HD200" s="96"/>
      <c r="HE200" s="96"/>
      <c r="HF200" s="96"/>
      <c r="HG200" s="96"/>
      <c r="HH200" s="96"/>
      <c r="HI200" s="96"/>
      <c r="HJ200" s="96"/>
      <c r="HK200" s="96"/>
      <c r="HL200" s="96"/>
      <c r="HM200" s="96"/>
      <c r="HN200" s="96"/>
      <c r="HO200" s="96"/>
      <c r="HP200" s="96"/>
      <c r="HQ200" s="96"/>
      <c r="HR200" s="96"/>
      <c r="HS200" s="13"/>
      <c r="HT200" s="96"/>
      <c r="HU200" s="96"/>
      <c r="HV200" s="96"/>
      <c r="HW200" s="96"/>
      <c r="HX200" s="96"/>
      <c r="HY200" s="96"/>
      <c r="HZ200" s="96"/>
      <c r="IA200" s="96"/>
      <c r="IB200" s="96"/>
      <c r="IC200" s="96"/>
      <c r="ID200" s="96"/>
      <c r="IE200" s="96"/>
      <c r="IF200" s="96"/>
      <c r="IG200" s="96"/>
      <c r="IH200" s="96"/>
      <c r="II200" s="13"/>
      <c r="IJ200" s="96"/>
      <c r="IK200" s="96"/>
      <c r="IL200" s="96"/>
      <c r="IM200" s="96"/>
      <c r="IN200" s="96"/>
      <c r="IO200" s="96"/>
      <c r="IP200" s="96"/>
      <c r="IQ200" s="96"/>
      <c r="IR200" s="96"/>
      <c r="IS200" s="96"/>
      <c r="IT200" s="96"/>
      <c r="IU200" s="96"/>
      <c r="IV200" s="96"/>
      <c r="IW200" s="96"/>
      <c r="IX200" s="96"/>
      <c r="IY200" s="13"/>
    </row>
    <row r="201" spans="1:259" outlineLevel="1">
      <c r="A201" s="11">
        <f>'VAC &amp; MED'!C196</f>
        <v>46187</v>
      </c>
      <c r="B201" s="261"/>
      <c r="C201" s="261"/>
      <c r="D201" s="261"/>
      <c r="E201" s="261"/>
      <c r="F201" s="261"/>
      <c r="G201" s="261"/>
      <c r="H201" s="261"/>
      <c r="I201" s="261"/>
      <c r="J201" s="261"/>
      <c r="K201" s="261"/>
      <c r="L201" s="261"/>
      <c r="M201" s="261"/>
      <c r="N201" s="261"/>
      <c r="O201" s="261"/>
      <c r="P201" s="261"/>
      <c r="Q201" s="261"/>
      <c r="R201" s="262"/>
      <c r="S201" s="262"/>
      <c r="T201" s="262"/>
      <c r="U201" s="262"/>
      <c r="V201" s="262"/>
      <c r="W201" s="262"/>
      <c r="X201" s="262"/>
      <c r="Y201" s="262"/>
      <c r="Z201" s="262"/>
      <c r="AA201" s="262"/>
      <c r="AB201" s="262"/>
      <c r="AC201" s="262"/>
      <c r="AD201" s="262"/>
      <c r="AE201" s="262"/>
      <c r="AF201" s="262"/>
      <c r="AG201" s="262"/>
      <c r="AH201" s="263"/>
      <c r="AI201" s="263"/>
      <c r="AJ201" s="263"/>
      <c r="AK201" s="263"/>
      <c r="AL201" s="263"/>
      <c r="AM201" s="263"/>
      <c r="AN201" s="263"/>
      <c r="AO201" s="263"/>
      <c r="AP201" s="263"/>
      <c r="AQ201" s="263"/>
      <c r="AR201" s="263"/>
      <c r="AS201" s="263"/>
      <c r="AT201" s="263"/>
      <c r="AU201" s="263"/>
      <c r="AV201" s="263"/>
      <c r="AW201" s="263"/>
      <c r="AX201" s="264"/>
      <c r="AY201" s="264"/>
      <c r="AZ201" s="264"/>
      <c r="BA201" s="264"/>
      <c r="BB201" s="264"/>
      <c r="BC201" s="264"/>
      <c r="BD201" s="264"/>
      <c r="BE201" s="264"/>
      <c r="BF201" s="264"/>
      <c r="BG201" s="264"/>
      <c r="BH201" s="264"/>
      <c r="BI201" s="264"/>
      <c r="BJ201" s="264"/>
      <c r="BK201" s="264"/>
      <c r="BL201" s="264"/>
      <c r="BM201" s="264"/>
      <c r="BN201" s="265"/>
      <c r="BO201" s="265"/>
      <c r="BP201" s="265"/>
      <c r="BQ201" s="265"/>
      <c r="BR201" s="265"/>
      <c r="BS201" s="265"/>
      <c r="BT201" s="265"/>
      <c r="BU201" s="265"/>
      <c r="BV201" s="265"/>
      <c r="BW201" s="265"/>
      <c r="BX201" s="265"/>
      <c r="BY201" s="265"/>
      <c r="BZ201" s="265"/>
      <c r="CA201" s="265"/>
      <c r="CB201" s="265"/>
      <c r="CC201" s="265"/>
      <c r="CD201" s="266"/>
      <c r="CE201" s="266"/>
      <c r="CF201" s="266"/>
      <c r="CG201" s="266"/>
      <c r="CH201" s="266"/>
      <c r="CI201" s="266"/>
      <c r="CJ201" s="266"/>
      <c r="CK201" s="266"/>
      <c r="CL201" s="266"/>
      <c r="CM201" s="266"/>
      <c r="CN201" s="266"/>
      <c r="CO201" s="266"/>
      <c r="CP201" s="266"/>
      <c r="CQ201" s="266"/>
      <c r="CR201" s="266"/>
      <c r="CS201" s="266"/>
      <c r="CT201" s="267"/>
      <c r="CU201" s="267"/>
      <c r="CV201" s="267"/>
      <c r="CW201" s="267"/>
      <c r="CX201" s="267"/>
      <c r="CY201" s="267"/>
      <c r="CZ201" s="267"/>
      <c r="DA201" s="267"/>
      <c r="DB201" s="267"/>
      <c r="DC201" s="267"/>
      <c r="DD201" s="267"/>
      <c r="DE201" s="267"/>
      <c r="DF201" s="267"/>
      <c r="DG201" s="267"/>
      <c r="DH201" s="267"/>
      <c r="DI201" s="267"/>
      <c r="DJ201" s="268"/>
      <c r="DK201" s="268"/>
      <c r="DL201" s="268"/>
      <c r="DM201" s="268"/>
      <c r="DN201" s="268"/>
      <c r="DO201" s="268"/>
      <c r="DP201" s="268"/>
      <c r="DQ201" s="268"/>
      <c r="DR201" s="268"/>
      <c r="DS201" s="268"/>
      <c r="DT201" s="268"/>
      <c r="DU201" s="268"/>
      <c r="DV201" s="268"/>
      <c r="DW201" s="268"/>
      <c r="DX201" s="268"/>
      <c r="DY201" s="268"/>
      <c r="EA201" s="13"/>
      <c r="EB201" s="96"/>
      <c r="EC201" s="96"/>
      <c r="ED201" s="96"/>
      <c r="EE201" s="96"/>
      <c r="EF201" s="96"/>
      <c r="EG201" s="96"/>
      <c r="EH201" s="96"/>
      <c r="EI201" s="96"/>
      <c r="EJ201" s="96"/>
      <c r="EK201" s="96"/>
      <c r="EL201" s="96"/>
      <c r="EM201" s="96"/>
      <c r="EN201" s="96"/>
      <c r="EO201" s="96"/>
      <c r="EP201" s="96"/>
      <c r="EQ201" s="96"/>
      <c r="ER201" s="96"/>
      <c r="ES201" s="96"/>
      <c r="ET201" s="96"/>
      <c r="EU201" s="96"/>
      <c r="EV201" s="96"/>
      <c r="EW201" s="96"/>
      <c r="EX201" s="96"/>
      <c r="EY201" s="96"/>
      <c r="EZ201" s="96"/>
      <c r="FA201" s="96"/>
      <c r="FB201" s="96"/>
      <c r="FC201" s="96"/>
      <c r="FD201" s="96"/>
      <c r="FE201" s="96"/>
      <c r="FF201" s="96"/>
      <c r="FG201" s="96"/>
      <c r="FH201" s="96"/>
      <c r="FI201" s="96"/>
      <c r="FJ201" s="96"/>
      <c r="FK201" s="96"/>
      <c r="FL201" s="96"/>
      <c r="FM201" s="96"/>
      <c r="FN201" s="96"/>
      <c r="FO201" s="96"/>
      <c r="FP201" s="96"/>
      <c r="FQ201" s="96"/>
      <c r="FR201" s="96"/>
      <c r="FS201" s="96"/>
      <c r="FT201" s="96"/>
      <c r="FU201" s="96"/>
      <c r="FV201" s="96"/>
      <c r="FW201" s="96"/>
      <c r="FX201" s="96"/>
      <c r="FY201" s="96"/>
      <c r="FZ201" s="96"/>
      <c r="GA201" s="96"/>
      <c r="GB201" s="96"/>
      <c r="GC201" s="96"/>
      <c r="GD201" s="96"/>
      <c r="GE201" s="96"/>
      <c r="GF201" s="96"/>
      <c r="GG201" s="96"/>
      <c r="GH201" s="96"/>
      <c r="GI201" s="96"/>
      <c r="GJ201" s="96"/>
      <c r="GK201" s="96"/>
      <c r="GL201" s="96"/>
      <c r="GM201" s="13"/>
      <c r="GN201" s="96"/>
      <c r="GO201" s="96"/>
      <c r="GP201" s="96"/>
      <c r="GQ201" s="96"/>
      <c r="GR201" s="96"/>
      <c r="GS201" s="96"/>
      <c r="GT201" s="96"/>
      <c r="GU201" s="96"/>
      <c r="GV201" s="96"/>
      <c r="GW201" s="96"/>
      <c r="GX201" s="96"/>
      <c r="GY201" s="96"/>
      <c r="GZ201" s="96"/>
      <c r="HA201" s="96"/>
      <c r="HB201" s="96"/>
      <c r="HC201" s="13"/>
      <c r="HD201" s="96"/>
      <c r="HE201" s="96"/>
      <c r="HF201" s="96"/>
      <c r="HG201" s="96"/>
      <c r="HH201" s="96"/>
      <c r="HI201" s="96"/>
      <c r="HJ201" s="96"/>
      <c r="HK201" s="96"/>
      <c r="HL201" s="96"/>
      <c r="HM201" s="96"/>
      <c r="HN201" s="96"/>
      <c r="HO201" s="96"/>
      <c r="HP201" s="96"/>
      <c r="HQ201" s="96"/>
      <c r="HR201" s="96"/>
      <c r="HS201" s="13"/>
      <c r="HT201" s="96"/>
      <c r="HU201" s="96"/>
      <c r="HV201" s="96"/>
      <c r="HW201" s="96"/>
      <c r="HX201" s="96"/>
      <c r="HY201" s="96"/>
      <c r="HZ201" s="96"/>
      <c r="IA201" s="96"/>
      <c r="IB201" s="96"/>
      <c r="IC201" s="96"/>
      <c r="ID201" s="96"/>
      <c r="IE201" s="96"/>
      <c r="IF201" s="96"/>
      <c r="IG201" s="96"/>
      <c r="IH201" s="96"/>
      <c r="II201" s="13"/>
      <c r="IJ201" s="96"/>
      <c r="IK201" s="96"/>
      <c r="IL201" s="96"/>
      <c r="IM201" s="96"/>
      <c r="IN201" s="96"/>
      <c r="IO201" s="96"/>
      <c r="IP201" s="96"/>
      <c r="IQ201" s="96"/>
      <c r="IR201" s="96"/>
      <c r="IS201" s="96"/>
      <c r="IT201" s="96"/>
      <c r="IU201" s="96"/>
      <c r="IV201" s="96"/>
      <c r="IW201" s="96"/>
      <c r="IX201" s="96"/>
      <c r="IY201" s="13"/>
    </row>
    <row r="202" spans="1:259" outlineLevel="1">
      <c r="A202" s="11">
        <f>'VAC &amp; MED'!C197</f>
        <v>46188</v>
      </c>
      <c r="B202" s="261"/>
      <c r="C202" s="261"/>
      <c r="D202" s="261"/>
      <c r="E202" s="261"/>
      <c r="F202" s="261"/>
      <c r="G202" s="261"/>
      <c r="H202" s="261"/>
      <c r="I202" s="261"/>
      <c r="J202" s="261"/>
      <c r="K202" s="261"/>
      <c r="L202" s="261"/>
      <c r="M202" s="261"/>
      <c r="N202" s="261"/>
      <c r="O202" s="261"/>
      <c r="P202" s="261"/>
      <c r="Q202" s="261"/>
      <c r="R202" s="262"/>
      <c r="S202" s="262"/>
      <c r="T202" s="262"/>
      <c r="U202" s="262"/>
      <c r="V202" s="262"/>
      <c r="W202" s="262"/>
      <c r="X202" s="262"/>
      <c r="Y202" s="262"/>
      <c r="Z202" s="262"/>
      <c r="AA202" s="262"/>
      <c r="AB202" s="262"/>
      <c r="AC202" s="262"/>
      <c r="AD202" s="262"/>
      <c r="AE202" s="262"/>
      <c r="AF202" s="262"/>
      <c r="AG202" s="262"/>
      <c r="AH202" s="263"/>
      <c r="AI202" s="263"/>
      <c r="AJ202" s="263"/>
      <c r="AK202" s="263"/>
      <c r="AL202" s="263"/>
      <c r="AM202" s="263"/>
      <c r="AN202" s="263"/>
      <c r="AO202" s="263"/>
      <c r="AP202" s="263"/>
      <c r="AQ202" s="263"/>
      <c r="AR202" s="263"/>
      <c r="AS202" s="263"/>
      <c r="AT202" s="263"/>
      <c r="AU202" s="263"/>
      <c r="AV202" s="263"/>
      <c r="AW202" s="263"/>
      <c r="AX202" s="264"/>
      <c r="AY202" s="264"/>
      <c r="AZ202" s="264"/>
      <c r="BA202" s="264"/>
      <c r="BB202" s="264"/>
      <c r="BC202" s="264"/>
      <c r="BD202" s="264"/>
      <c r="BE202" s="264"/>
      <c r="BF202" s="264"/>
      <c r="BG202" s="264"/>
      <c r="BH202" s="264"/>
      <c r="BI202" s="264"/>
      <c r="BJ202" s="264"/>
      <c r="BK202" s="264"/>
      <c r="BL202" s="264"/>
      <c r="BM202" s="264"/>
      <c r="BN202" s="265"/>
      <c r="BO202" s="265"/>
      <c r="BP202" s="265"/>
      <c r="BQ202" s="265"/>
      <c r="BR202" s="265"/>
      <c r="BS202" s="265"/>
      <c r="BT202" s="265"/>
      <c r="BU202" s="265"/>
      <c r="BV202" s="265"/>
      <c r="BW202" s="265"/>
      <c r="BX202" s="265"/>
      <c r="BY202" s="265"/>
      <c r="BZ202" s="265"/>
      <c r="CA202" s="265"/>
      <c r="CB202" s="265"/>
      <c r="CC202" s="265"/>
      <c r="CD202" s="266"/>
      <c r="CE202" s="266"/>
      <c r="CF202" s="266"/>
      <c r="CG202" s="266"/>
      <c r="CH202" s="266"/>
      <c r="CI202" s="266"/>
      <c r="CJ202" s="266"/>
      <c r="CK202" s="266"/>
      <c r="CL202" s="266"/>
      <c r="CM202" s="266"/>
      <c r="CN202" s="266"/>
      <c r="CO202" s="266"/>
      <c r="CP202" s="266"/>
      <c r="CQ202" s="266"/>
      <c r="CR202" s="266"/>
      <c r="CS202" s="266"/>
      <c r="CT202" s="267"/>
      <c r="CU202" s="267"/>
      <c r="CV202" s="267"/>
      <c r="CW202" s="267"/>
      <c r="CX202" s="267"/>
      <c r="CY202" s="267"/>
      <c r="CZ202" s="267"/>
      <c r="DA202" s="267"/>
      <c r="DB202" s="267"/>
      <c r="DC202" s="267">
        <v>44</v>
      </c>
      <c r="DD202" s="267"/>
      <c r="DE202" s="267"/>
      <c r="DF202" s="267"/>
      <c r="DG202" s="267"/>
      <c r="DH202" s="267"/>
      <c r="DI202" s="267"/>
      <c r="DJ202" s="268"/>
      <c r="DK202" s="268"/>
      <c r="DL202" s="268"/>
      <c r="DM202" s="268"/>
      <c r="DN202" s="268"/>
      <c r="DO202" s="268"/>
      <c r="DP202" s="268"/>
      <c r="DQ202" s="268"/>
      <c r="DR202" s="268"/>
      <c r="DS202" s="268"/>
      <c r="DT202" s="268"/>
      <c r="DU202" s="268"/>
      <c r="DV202" s="268"/>
      <c r="DW202" s="268"/>
      <c r="DX202" s="268"/>
      <c r="DY202" s="268"/>
      <c r="EA202" s="13"/>
      <c r="EB202" s="96"/>
      <c r="EC202" s="96"/>
      <c r="ED202" s="96"/>
      <c r="EE202" s="96"/>
      <c r="EF202" s="96"/>
      <c r="EG202" s="96"/>
      <c r="EH202" s="96"/>
      <c r="EI202" s="96"/>
      <c r="EJ202" s="96"/>
      <c r="EK202" s="96"/>
      <c r="EL202" s="96"/>
      <c r="EM202" s="96"/>
      <c r="EN202" s="96"/>
      <c r="EO202" s="96"/>
      <c r="EP202" s="96"/>
      <c r="EQ202" s="96"/>
      <c r="ER202" s="96"/>
      <c r="ES202" s="96"/>
      <c r="ET202" s="96"/>
      <c r="EU202" s="96"/>
      <c r="EV202" s="96"/>
      <c r="EW202" s="96"/>
      <c r="EX202" s="96"/>
      <c r="EY202" s="96"/>
      <c r="EZ202" s="96"/>
      <c r="FA202" s="96"/>
      <c r="FB202" s="96"/>
      <c r="FC202" s="96"/>
      <c r="FD202" s="96"/>
      <c r="FE202" s="96"/>
      <c r="FF202" s="96"/>
      <c r="FG202" s="96"/>
      <c r="FH202" s="96"/>
      <c r="FI202" s="96"/>
      <c r="FJ202" s="96"/>
      <c r="FK202" s="96"/>
      <c r="FL202" s="96"/>
      <c r="FM202" s="96"/>
      <c r="FN202" s="96"/>
      <c r="FO202" s="96"/>
      <c r="FP202" s="96"/>
      <c r="FQ202" s="96"/>
      <c r="FR202" s="96"/>
      <c r="FS202" s="96"/>
      <c r="FT202" s="96"/>
      <c r="FU202" s="96"/>
      <c r="FV202" s="96"/>
      <c r="FW202" s="96"/>
      <c r="FX202" s="96"/>
      <c r="FY202" s="96"/>
      <c r="FZ202" s="96"/>
      <c r="GA202" s="96"/>
      <c r="GB202" s="96"/>
      <c r="GC202" s="96"/>
      <c r="GD202" s="96"/>
      <c r="GE202" s="96"/>
      <c r="GF202" s="96"/>
      <c r="GG202" s="96"/>
      <c r="GH202" s="96"/>
      <c r="GI202" s="96"/>
      <c r="GJ202" s="96"/>
      <c r="GK202" s="96"/>
      <c r="GL202" s="96"/>
      <c r="GM202" s="13"/>
      <c r="GN202" s="96"/>
      <c r="GO202" s="96"/>
      <c r="GP202" s="96"/>
      <c r="GQ202" s="96"/>
      <c r="GR202" s="96"/>
      <c r="GS202" s="96"/>
      <c r="GT202" s="96"/>
      <c r="GU202" s="96"/>
      <c r="GV202" s="96"/>
      <c r="GW202" s="96"/>
      <c r="GX202" s="96"/>
      <c r="GY202" s="96"/>
      <c r="GZ202" s="96"/>
      <c r="HA202" s="96"/>
      <c r="HB202" s="96"/>
      <c r="HC202" s="13"/>
      <c r="HD202" s="96"/>
      <c r="HE202" s="96"/>
      <c r="HF202" s="96"/>
      <c r="HG202" s="96"/>
      <c r="HH202" s="96"/>
      <c r="HI202" s="96"/>
      <c r="HJ202" s="96"/>
      <c r="HK202" s="96"/>
      <c r="HL202" s="96"/>
      <c r="HM202" s="96"/>
      <c r="HN202" s="96"/>
      <c r="HO202" s="96"/>
      <c r="HP202" s="96"/>
      <c r="HQ202" s="96"/>
      <c r="HR202" s="96"/>
      <c r="HS202" s="13"/>
      <c r="HT202" s="96"/>
      <c r="HU202" s="96"/>
      <c r="HV202" s="96"/>
      <c r="HW202" s="96"/>
      <c r="HX202" s="96"/>
      <c r="HY202" s="96"/>
      <c r="HZ202" s="96"/>
      <c r="IA202" s="96"/>
      <c r="IB202" s="96"/>
      <c r="IC202" s="96"/>
      <c r="ID202" s="96"/>
      <c r="IE202" s="96"/>
      <c r="IF202" s="96"/>
      <c r="IG202" s="96"/>
      <c r="IH202" s="96"/>
      <c r="II202" s="13"/>
      <c r="IJ202" s="96"/>
      <c r="IK202" s="96"/>
      <c r="IL202" s="96"/>
      <c r="IM202" s="96"/>
      <c r="IN202" s="96"/>
      <c r="IO202" s="96"/>
      <c r="IP202" s="96"/>
      <c r="IQ202" s="96"/>
      <c r="IR202" s="96"/>
      <c r="IS202" s="96"/>
      <c r="IT202" s="96"/>
      <c r="IU202" s="96"/>
      <c r="IV202" s="96"/>
      <c r="IW202" s="96"/>
      <c r="IX202" s="96"/>
      <c r="IY202" s="13"/>
    </row>
    <row r="203" spans="1:259" outlineLevel="1">
      <c r="A203" s="11">
        <f>'VAC &amp; MED'!C198</f>
        <v>46189</v>
      </c>
      <c r="B203" s="261"/>
      <c r="C203" s="261"/>
      <c r="D203" s="261"/>
      <c r="E203" s="261"/>
      <c r="F203" s="261"/>
      <c r="G203" s="261"/>
      <c r="H203" s="261"/>
      <c r="I203" s="261"/>
      <c r="J203" s="261"/>
      <c r="K203" s="261"/>
      <c r="L203" s="261"/>
      <c r="M203" s="261"/>
      <c r="N203" s="261"/>
      <c r="O203" s="261"/>
      <c r="P203" s="261"/>
      <c r="Q203" s="261"/>
      <c r="R203" s="262"/>
      <c r="S203" s="262"/>
      <c r="T203" s="262"/>
      <c r="U203" s="262"/>
      <c r="V203" s="262"/>
      <c r="W203" s="262"/>
      <c r="X203" s="262"/>
      <c r="Y203" s="262"/>
      <c r="Z203" s="262"/>
      <c r="AA203" s="262"/>
      <c r="AB203" s="262"/>
      <c r="AC203" s="262"/>
      <c r="AD203" s="262"/>
      <c r="AE203" s="262"/>
      <c r="AF203" s="262"/>
      <c r="AG203" s="262"/>
      <c r="AH203" s="263"/>
      <c r="AI203" s="263"/>
      <c r="AJ203" s="263"/>
      <c r="AK203" s="263"/>
      <c r="AL203" s="263"/>
      <c r="AM203" s="263"/>
      <c r="AN203" s="263"/>
      <c r="AO203" s="263"/>
      <c r="AP203" s="263"/>
      <c r="AQ203" s="263"/>
      <c r="AR203" s="263"/>
      <c r="AS203" s="263"/>
      <c r="AT203" s="263"/>
      <c r="AU203" s="263"/>
      <c r="AV203" s="263"/>
      <c r="AW203" s="263"/>
      <c r="AX203" s="264"/>
      <c r="AY203" s="264"/>
      <c r="AZ203" s="264"/>
      <c r="BA203" s="264"/>
      <c r="BB203" s="264"/>
      <c r="BC203" s="264"/>
      <c r="BD203" s="264"/>
      <c r="BE203" s="264"/>
      <c r="BF203" s="264"/>
      <c r="BG203" s="264"/>
      <c r="BH203" s="264"/>
      <c r="BI203" s="264"/>
      <c r="BJ203" s="264"/>
      <c r="BK203" s="264"/>
      <c r="BL203" s="264"/>
      <c r="BM203" s="264"/>
      <c r="BN203" s="265"/>
      <c r="BO203" s="265"/>
      <c r="BP203" s="265"/>
      <c r="BQ203" s="265"/>
      <c r="BR203" s="265"/>
      <c r="BS203" s="265"/>
      <c r="BT203" s="265"/>
      <c r="BU203" s="265"/>
      <c r="BV203" s="265"/>
      <c r="BW203" s="265"/>
      <c r="BX203" s="265"/>
      <c r="BY203" s="265"/>
      <c r="BZ203" s="265"/>
      <c r="CA203" s="265"/>
      <c r="CB203" s="265"/>
      <c r="CC203" s="265"/>
      <c r="CD203" s="266"/>
      <c r="CE203" s="266"/>
      <c r="CF203" s="266"/>
      <c r="CG203" s="266"/>
      <c r="CH203" s="266"/>
      <c r="CI203" s="266"/>
      <c r="CJ203" s="266"/>
      <c r="CK203" s="266"/>
      <c r="CL203" s="266"/>
      <c r="CM203" s="266"/>
      <c r="CN203" s="266"/>
      <c r="CO203" s="266"/>
      <c r="CP203" s="266"/>
      <c r="CQ203" s="266"/>
      <c r="CR203" s="266"/>
      <c r="CS203" s="266"/>
      <c r="CT203" s="267"/>
      <c r="CU203" s="267"/>
      <c r="CV203" s="267"/>
      <c r="CW203" s="267"/>
      <c r="CX203" s="267"/>
      <c r="CY203" s="267"/>
      <c r="CZ203" s="267"/>
      <c r="DA203" s="267"/>
      <c r="DB203" s="267"/>
      <c r="DC203" s="267">
        <v>20</v>
      </c>
      <c r="DD203" s="267"/>
      <c r="DE203" s="267"/>
      <c r="DF203" s="267"/>
      <c r="DG203" s="267"/>
      <c r="DH203" s="267"/>
      <c r="DI203" s="267"/>
      <c r="DJ203" s="268"/>
      <c r="DK203" s="268"/>
      <c r="DL203" s="268"/>
      <c r="DM203" s="268"/>
      <c r="DN203" s="268"/>
      <c r="DO203" s="268"/>
      <c r="DP203" s="268"/>
      <c r="DQ203" s="268"/>
      <c r="DR203" s="268"/>
      <c r="DS203" s="268"/>
      <c r="DT203" s="268"/>
      <c r="DU203" s="268"/>
      <c r="DV203" s="268"/>
      <c r="DW203" s="268"/>
      <c r="DX203" s="268"/>
      <c r="DY203" s="268"/>
      <c r="EA203" s="13"/>
      <c r="EB203" s="96"/>
      <c r="EC203" s="96"/>
      <c r="ED203" s="96"/>
      <c r="EE203" s="96"/>
      <c r="EF203" s="96"/>
      <c r="EG203" s="96"/>
      <c r="EH203" s="96"/>
      <c r="EI203" s="96"/>
      <c r="EJ203" s="96"/>
      <c r="EK203" s="96"/>
      <c r="EL203" s="96"/>
      <c r="EM203" s="96"/>
      <c r="EN203" s="96"/>
      <c r="EO203" s="96"/>
      <c r="EP203" s="96"/>
      <c r="EQ203" s="96"/>
      <c r="ER203" s="96"/>
      <c r="ES203" s="96"/>
      <c r="ET203" s="96"/>
      <c r="EU203" s="96"/>
      <c r="EV203" s="96"/>
      <c r="EW203" s="96"/>
      <c r="EX203" s="96"/>
      <c r="EY203" s="96"/>
      <c r="EZ203" s="96"/>
      <c r="FA203" s="96"/>
      <c r="FB203" s="96"/>
      <c r="FC203" s="96"/>
      <c r="FD203" s="96"/>
      <c r="FE203" s="96"/>
      <c r="FF203" s="96"/>
      <c r="FG203" s="96"/>
      <c r="FH203" s="96"/>
      <c r="FI203" s="96"/>
      <c r="FJ203" s="96"/>
      <c r="FK203" s="96"/>
      <c r="FL203" s="96"/>
      <c r="FM203" s="96"/>
      <c r="FN203" s="96"/>
      <c r="FO203" s="96"/>
      <c r="FP203" s="96"/>
      <c r="FQ203" s="96"/>
      <c r="FR203" s="96"/>
      <c r="FS203" s="96"/>
      <c r="FT203" s="96"/>
      <c r="FU203" s="96"/>
      <c r="FV203" s="96"/>
      <c r="FW203" s="96"/>
      <c r="FX203" s="96"/>
      <c r="FY203" s="96"/>
      <c r="FZ203" s="96"/>
      <c r="GA203" s="96"/>
      <c r="GB203" s="96"/>
      <c r="GC203" s="96"/>
      <c r="GD203" s="96"/>
      <c r="GE203" s="96"/>
      <c r="GF203" s="96"/>
      <c r="GG203" s="96"/>
      <c r="GH203" s="96"/>
      <c r="GI203" s="96"/>
      <c r="GJ203" s="96"/>
      <c r="GK203" s="96"/>
      <c r="GL203" s="96"/>
      <c r="GM203" s="13"/>
      <c r="GN203" s="96"/>
      <c r="GO203" s="96"/>
      <c r="GP203" s="96"/>
      <c r="GQ203" s="96"/>
      <c r="GR203" s="96"/>
      <c r="GS203" s="96"/>
      <c r="GT203" s="96"/>
      <c r="GU203" s="96"/>
      <c r="GV203" s="96"/>
      <c r="GW203" s="96"/>
      <c r="GX203" s="96"/>
      <c r="GY203" s="96"/>
      <c r="GZ203" s="96"/>
      <c r="HA203" s="96"/>
      <c r="HB203" s="96"/>
      <c r="HC203" s="13"/>
      <c r="HD203" s="96"/>
      <c r="HE203" s="96"/>
      <c r="HF203" s="96"/>
      <c r="HG203" s="96"/>
      <c r="HH203" s="96"/>
      <c r="HI203" s="96"/>
      <c r="HJ203" s="96"/>
      <c r="HK203" s="96"/>
      <c r="HL203" s="96"/>
      <c r="HM203" s="96"/>
      <c r="HN203" s="96"/>
      <c r="HO203" s="96"/>
      <c r="HP203" s="96"/>
      <c r="HQ203" s="96"/>
      <c r="HR203" s="96"/>
      <c r="HS203" s="13"/>
      <c r="HT203" s="96"/>
      <c r="HU203" s="96"/>
      <c r="HV203" s="96"/>
      <c r="HW203" s="96"/>
      <c r="HX203" s="96"/>
      <c r="HY203" s="96"/>
      <c r="HZ203" s="96"/>
      <c r="IA203" s="96"/>
      <c r="IB203" s="96"/>
      <c r="IC203" s="96"/>
      <c r="ID203" s="96"/>
      <c r="IE203" s="96"/>
      <c r="IF203" s="96"/>
      <c r="IG203" s="96"/>
      <c r="IH203" s="96"/>
      <c r="II203" s="13"/>
      <c r="IJ203" s="96"/>
      <c r="IK203" s="96"/>
      <c r="IL203" s="96"/>
      <c r="IM203" s="96"/>
      <c r="IN203" s="96"/>
      <c r="IO203" s="96"/>
      <c r="IP203" s="96"/>
      <c r="IQ203" s="96"/>
      <c r="IR203" s="96"/>
      <c r="IS203" s="96"/>
      <c r="IT203" s="96"/>
      <c r="IU203" s="96"/>
      <c r="IV203" s="96"/>
      <c r="IW203" s="96"/>
      <c r="IX203" s="96"/>
      <c r="IY203" s="13"/>
    </row>
    <row r="204" spans="1:259" outlineLevel="1">
      <c r="A204" s="11">
        <f>'VAC &amp; MED'!C199</f>
        <v>46190</v>
      </c>
      <c r="B204" s="261"/>
      <c r="C204" s="261"/>
      <c r="D204" s="261"/>
      <c r="E204" s="261"/>
      <c r="F204" s="261"/>
      <c r="G204" s="261"/>
      <c r="H204" s="261"/>
      <c r="I204" s="261"/>
      <c r="J204" s="261"/>
      <c r="K204" s="261"/>
      <c r="L204" s="261"/>
      <c r="M204" s="261"/>
      <c r="N204" s="261"/>
      <c r="O204" s="261"/>
      <c r="P204" s="261"/>
      <c r="Q204" s="261"/>
      <c r="R204" s="262"/>
      <c r="S204" s="262"/>
      <c r="T204" s="262"/>
      <c r="U204" s="262"/>
      <c r="V204" s="262"/>
      <c r="W204" s="262"/>
      <c r="X204" s="262"/>
      <c r="Y204" s="262"/>
      <c r="Z204" s="262"/>
      <c r="AA204" s="262"/>
      <c r="AB204" s="262"/>
      <c r="AC204" s="262"/>
      <c r="AD204" s="262"/>
      <c r="AE204" s="262"/>
      <c r="AF204" s="262"/>
      <c r="AG204" s="262"/>
      <c r="AH204" s="263"/>
      <c r="AI204" s="263"/>
      <c r="AJ204" s="263"/>
      <c r="AK204" s="263"/>
      <c r="AL204" s="263"/>
      <c r="AM204" s="263"/>
      <c r="AN204" s="263"/>
      <c r="AO204" s="263"/>
      <c r="AP204" s="263"/>
      <c r="AQ204" s="263"/>
      <c r="AR204" s="263"/>
      <c r="AS204" s="263"/>
      <c r="AT204" s="263"/>
      <c r="AU204" s="263"/>
      <c r="AV204" s="263"/>
      <c r="AW204" s="263"/>
      <c r="AX204" s="264"/>
      <c r="AY204" s="264"/>
      <c r="AZ204" s="264"/>
      <c r="BA204" s="264"/>
      <c r="BB204" s="264"/>
      <c r="BC204" s="264"/>
      <c r="BD204" s="264"/>
      <c r="BE204" s="264"/>
      <c r="BF204" s="264"/>
      <c r="BG204" s="264"/>
      <c r="BH204" s="264"/>
      <c r="BI204" s="264"/>
      <c r="BJ204" s="264"/>
      <c r="BK204" s="264"/>
      <c r="BL204" s="264"/>
      <c r="BM204" s="264"/>
      <c r="BN204" s="265"/>
      <c r="BO204" s="265"/>
      <c r="BP204" s="265"/>
      <c r="BQ204" s="265"/>
      <c r="BR204" s="265"/>
      <c r="BS204" s="265"/>
      <c r="BT204" s="265"/>
      <c r="BU204" s="265"/>
      <c r="BV204" s="265"/>
      <c r="BW204" s="265"/>
      <c r="BX204" s="265"/>
      <c r="BY204" s="265"/>
      <c r="BZ204" s="265"/>
      <c r="CA204" s="265"/>
      <c r="CB204" s="265"/>
      <c r="CC204" s="265"/>
      <c r="CD204" s="266"/>
      <c r="CE204" s="266"/>
      <c r="CF204" s="266"/>
      <c r="CG204" s="266"/>
      <c r="CH204" s="266"/>
      <c r="CI204" s="266"/>
      <c r="CJ204" s="266"/>
      <c r="CK204" s="266"/>
      <c r="CL204" s="266"/>
      <c r="CM204" s="266"/>
      <c r="CN204" s="266"/>
      <c r="CO204" s="266"/>
      <c r="CP204" s="266"/>
      <c r="CQ204" s="266"/>
      <c r="CR204" s="266"/>
      <c r="CS204" s="266"/>
      <c r="CT204" s="267"/>
      <c r="CU204" s="267"/>
      <c r="CV204" s="267"/>
      <c r="CW204" s="267"/>
      <c r="CX204" s="267"/>
      <c r="CY204" s="267"/>
      <c r="CZ204" s="267"/>
      <c r="DA204" s="267"/>
      <c r="DB204" s="267"/>
      <c r="DC204" s="267">
        <v>10</v>
      </c>
      <c r="DD204" s="267"/>
      <c r="DE204" s="267"/>
      <c r="DF204" s="267"/>
      <c r="DG204" s="267"/>
      <c r="DH204" s="267"/>
      <c r="DI204" s="267"/>
      <c r="DJ204" s="268"/>
      <c r="DK204" s="268"/>
      <c r="DL204" s="268"/>
      <c r="DM204" s="268"/>
      <c r="DN204" s="268"/>
      <c r="DO204" s="268"/>
      <c r="DP204" s="268"/>
      <c r="DQ204" s="268"/>
      <c r="DR204" s="268"/>
      <c r="DS204" s="268"/>
      <c r="DT204" s="268"/>
      <c r="DU204" s="268"/>
      <c r="DV204" s="268"/>
      <c r="DW204" s="268"/>
      <c r="DX204" s="268"/>
      <c r="DY204" s="268"/>
      <c r="EA204" s="13"/>
      <c r="EB204" s="96"/>
      <c r="EC204" s="96"/>
      <c r="ED204" s="96"/>
      <c r="EE204" s="96"/>
      <c r="EF204" s="96"/>
      <c r="EG204" s="96"/>
      <c r="EH204" s="96"/>
      <c r="EI204" s="96"/>
      <c r="EJ204" s="96"/>
      <c r="EK204" s="96"/>
      <c r="EL204" s="96"/>
      <c r="EM204" s="96"/>
      <c r="EN204" s="96"/>
      <c r="EO204" s="96"/>
      <c r="EP204" s="96"/>
      <c r="EQ204" s="96"/>
      <c r="ER204" s="96"/>
      <c r="ES204" s="96"/>
      <c r="ET204" s="96"/>
      <c r="EU204" s="96"/>
      <c r="EV204" s="96"/>
      <c r="EW204" s="96"/>
      <c r="EX204" s="96"/>
      <c r="EY204" s="96"/>
      <c r="EZ204" s="96"/>
      <c r="FA204" s="96"/>
      <c r="FB204" s="96"/>
      <c r="FC204" s="96"/>
      <c r="FD204" s="96"/>
      <c r="FE204" s="96"/>
      <c r="FF204" s="96"/>
      <c r="FG204" s="96"/>
      <c r="FH204" s="96"/>
      <c r="FI204" s="96"/>
      <c r="FJ204" s="96"/>
      <c r="FK204" s="96"/>
      <c r="FL204" s="96"/>
      <c r="FM204" s="96"/>
      <c r="FN204" s="96"/>
      <c r="FO204" s="96"/>
      <c r="FP204" s="96"/>
      <c r="FQ204" s="96"/>
      <c r="FR204" s="96"/>
      <c r="FS204" s="96"/>
      <c r="FT204" s="96"/>
      <c r="FU204" s="96"/>
      <c r="FV204" s="96"/>
      <c r="FW204" s="96"/>
      <c r="FX204" s="96"/>
      <c r="FY204" s="96"/>
      <c r="FZ204" s="96"/>
      <c r="GA204" s="96"/>
      <c r="GB204" s="96"/>
      <c r="GC204" s="96"/>
      <c r="GD204" s="96"/>
      <c r="GE204" s="96"/>
      <c r="GF204" s="96"/>
      <c r="GG204" s="96"/>
      <c r="GH204" s="96"/>
      <c r="GI204" s="96"/>
      <c r="GJ204" s="96"/>
      <c r="GK204" s="96"/>
      <c r="GL204" s="96"/>
      <c r="GM204" s="13"/>
      <c r="GN204" s="96"/>
      <c r="GO204" s="96"/>
      <c r="GP204" s="96"/>
      <c r="GQ204" s="96"/>
      <c r="GR204" s="96"/>
      <c r="GS204" s="96"/>
      <c r="GT204" s="96"/>
      <c r="GU204" s="96"/>
      <c r="GV204" s="96"/>
      <c r="GW204" s="96"/>
      <c r="GX204" s="96"/>
      <c r="GY204" s="96"/>
      <c r="GZ204" s="96"/>
      <c r="HA204" s="96"/>
      <c r="HB204" s="96"/>
      <c r="HC204" s="13"/>
      <c r="HD204" s="96"/>
      <c r="HE204" s="96"/>
      <c r="HF204" s="96"/>
      <c r="HG204" s="96"/>
      <c r="HH204" s="96"/>
      <c r="HI204" s="96"/>
      <c r="HJ204" s="96"/>
      <c r="HK204" s="96"/>
      <c r="HL204" s="96"/>
      <c r="HM204" s="96"/>
      <c r="HN204" s="96"/>
      <c r="HO204" s="96"/>
      <c r="HP204" s="96"/>
      <c r="HQ204" s="96"/>
      <c r="HR204" s="96"/>
      <c r="HS204" s="13"/>
      <c r="HT204" s="96"/>
      <c r="HU204" s="96"/>
      <c r="HV204" s="96"/>
      <c r="HW204" s="96"/>
      <c r="HX204" s="96"/>
      <c r="HY204" s="96"/>
      <c r="HZ204" s="96"/>
      <c r="IA204" s="96"/>
      <c r="IB204" s="96"/>
      <c r="IC204" s="96"/>
      <c r="ID204" s="96"/>
      <c r="IE204" s="96"/>
      <c r="IF204" s="96"/>
      <c r="IG204" s="96"/>
      <c r="IH204" s="96"/>
      <c r="II204" s="13"/>
      <c r="IJ204" s="96"/>
      <c r="IK204" s="96"/>
      <c r="IL204" s="96"/>
      <c r="IM204" s="96"/>
      <c r="IN204" s="96"/>
      <c r="IO204" s="96"/>
      <c r="IP204" s="96"/>
      <c r="IQ204" s="96"/>
      <c r="IR204" s="96"/>
      <c r="IS204" s="96"/>
      <c r="IT204" s="96"/>
      <c r="IU204" s="96"/>
      <c r="IV204" s="96"/>
      <c r="IW204" s="96"/>
      <c r="IX204" s="96"/>
      <c r="IY204" s="13"/>
    </row>
    <row r="205" spans="1:259" outlineLevel="1">
      <c r="A205" s="11">
        <f>'VAC &amp; MED'!C200</f>
        <v>46191</v>
      </c>
      <c r="B205" s="261"/>
      <c r="C205" s="261"/>
      <c r="D205" s="261"/>
      <c r="E205" s="261"/>
      <c r="F205" s="261"/>
      <c r="G205" s="261"/>
      <c r="H205" s="261"/>
      <c r="I205" s="261"/>
      <c r="J205" s="261"/>
      <c r="K205" s="261"/>
      <c r="L205" s="261"/>
      <c r="M205" s="261"/>
      <c r="N205" s="261"/>
      <c r="O205" s="261"/>
      <c r="P205" s="261"/>
      <c r="Q205" s="261"/>
      <c r="R205" s="262"/>
      <c r="S205" s="262"/>
      <c r="T205" s="262"/>
      <c r="U205" s="262"/>
      <c r="V205" s="262"/>
      <c r="W205" s="262"/>
      <c r="X205" s="262"/>
      <c r="Y205" s="262"/>
      <c r="Z205" s="262"/>
      <c r="AA205" s="262"/>
      <c r="AB205" s="262"/>
      <c r="AC205" s="262"/>
      <c r="AD205" s="262"/>
      <c r="AE205" s="262"/>
      <c r="AF205" s="262"/>
      <c r="AG205" s="262"/>
      <c r="AH205" s="263"/>
      <c r="AI205" s="263"/>
      <c r="AJ205" s="263"/>
      <c r="AK205" s="263"/>
      <c r="AL205" s="263"/>
      <c r="AM205" s="263"/>
      <c r="AN205" s="263"/>
      <c r="AO205" s="263"/>
      <c r="AP205" s="263"/>
      <c r="AQ205" s="263"/>
      <c r="AR205" s="263"/>
      <c r="AS205" s="263"/>
      <c r="AT205" s="263"/>
      <c r="AU205" s="263"/>
      <c r="AV205" s="263"/>
      <c r="AW205" s="263"/>
      <c r="AX205" s="264"/>
      <c r="AY205" s="264"/>
      <c r="AZ205" s="264"/>
      <c r="BA205" s="264"/>
      <c r="BB205" s="264"/>
      <c r="BC205" s="264"/>
      <c r="BD205" s="264"/>
      <c r="BE205" s="264"/>
      <c r="BF205" s="264"/>
      <c r="BG205" s="264"/>
      <c r="BH205" s="264"/>
      <c r="BI205" s="264"/>
      <c r="BJ205" s="264"/>
      <c r="BK205" s="264"/>
      <c r="BL205" s="264"/>
      <c r="BM205" s="264"/>
      <c r="BN205" s="265"/>
      <c r="BO205" s="265"/>
      <c r="BP205" s="265"/>
      <c r="BQ205" s="265"/>
      <c r="BR205" s="265"/>
      <c r="BS205" s="265"/>
      <c r="BT205" s="265"/>
      <c r="BU205" s="265"/>
      <c r="BV205" s="265"/>
      <c r="BW205" s="265"/>
      <c r="BX205" s="265"/>
      <c r="BY205" s="265"/>
      <c r="BZ205" s="265"/>
      <c r="CA205" s="265"/>
      <c r="CB205" s="265"/>
      <c r="CC205" s="265"/>
      <c r="CD205" s="266"/>
      <c r="CE205" s="266"/>
      <c r="CF205" s="266"/>
      <c r="CG205" s="266"/>
      <c r="CH205" s="266"/>
      <c r="CI205" s="266"/>
      <c r="CJ205" s="266"/>
      <c r="CK205" s="266"/>
      <c r="CL205" s="266"/>
      <c r="CM205" s="266"/>
      <c r="CN205" s="266"/>
      <c r="CO205" s="266"/>
      <c r="CP205" s="266"/>
      <c r="CQ205" s="266"/>
      <c r="CR205" s="266"/>
      <c r="CS205" s="266"/>
      <c r="CT205" s="267"/>
      <c r="CU205" s="267"/>
      <c r="CV205" s="267"/>
      <c r="CW205" s="267"/>
      <c r="CX205" s="267"/>
      <c r="CY205" s="267"/>
      <c r="CZ205" s="267"/>
      <c r="DA205" s="267"/>
      <c r="DB205" s="267"/>
      <c r="DC205" s="267"/>
      <c r="DD205" s="267"/>
      <c r="DE205" s="267"/>
      <c r="DF205" s="267"/>
      <c r="DG205" s="267"/>
      <c r="DH205" s="267"/>
      <c r="DI205" s="267"/>
      <c r="DJ205" s="268"/>
      <c r="DK205" s="268"/>
      <c r="DL205" s="268"/>
      <c r="DM205" s="268"/>
      <c r="DN205" s="268"/>
      <c r="DO205" s="268"/>
      <c r="DP205" s="268"/>
      <c r="DQ205" s="268"/>
      <c r="DR205" s="268"/>
      <c r="DS205" s="268"/>
      <c r="DT205" s="268"/>
      <c r="DU205" s="268"/>
      <c r="DV205" s="268"/>
      <c r="DW205" s="268"/>
      <c r="DX205" s="268"/>
      <c r="DY205" s="268"/>
      <c r="EA205" s="13"/>
      <c r="EB205" s="96"/>
      <c r="EC205" s="96"/>
      <c r="ED205" s="96"/>
      <c r="EE205" s="96"/>
      <c r="EF205" s="96"/>
      <c r="EG205" s="96"/>
      <c r="EH205" s="96"/>
      <c r="EI205" s="96"/>
      <c r="EJ205" s="96"/>
      <c r="EK205" s="96"/>
      <c r="EL205" s="96"/>
      <c r="EM205" s="96"/>
      <c r="EN205" s="96"/>
      <c r="EO205" s="96"/>
      <c r="EP205" s="96"/>
      <c r="EQ205" s="96"/>
      <c r="ER205" s="96"/>
      <c r="ES205" s="96"/>
      <c r="ET205" s="96"/>
      <c r="EU205" s="96"/>
      <c r="EV205" s="96"/>
      <c r="EW205" s="96"/>
      <c r="EX205" s="96"/>
      <c r="EY205" s="96"/>
      <c r="EZ205" s="96"/>
      <c r="FA205" s="96"/>
      <c r="FB205" s="96"/>
      <c r="FC205" s="96"/>
      <c r="FD205" s="96"/>
      <c r="FE205" s="96"/>
      <c r="FF205" s="96"/>
      <c r="FG205" s="96"/>
      <c r="FH205" s="96"/>
      <c r="FI205" s="96"/>
      <c r="FJ205" s="96"/>
      <c r="FK205" s="96"/>
      <c r="FL205" s="96"/>
      <c r="FM205" s="96"/>
      <c r="FN205" s="96"/>
      <c r="FO205" s="96"/>
      <c r="FP205" s="96"/>
      <c r="FQ205" s="96"/>
      <c r="FR205" s="96"/>
      <c r="FS205" s="96"/>
      <c r="FT205" s="96"/>
      <c r="FU205" s="96"/>
      <c r="FV205" s="96"/>
      <c r="FW205" s="96"/>
      <c r="FX205" s="96"/>
      <c r="FY205" s="96"/>
      <c r="FZ205" s="96"/>
      <c r="GA205" s="96"/>
      <c r="GB205" s="96"/>
      <c r="GC205" s="96"/>
      <c r="GD205" s="96"/>
      <c r="GE205" s="96"/>
      <c r="GF205" s="96"/>
      <c r="GG205" s="96"/>
      <c r="GH205" s="96"/>
      <c r="GI205" s="96"/>
      <c r="GJ205" s="96"/>
      <c r="GK205" s="96"/>
      <c r="GL205" s="96"/>
      <c r="GM205" s="13"/>
      <c r="GN205" s="96"/>
      <c r="GO205" s="96"/>
      <c r="GP205" s="96"/>
      <c r="GQ205" s="96"/>
      <c r="GR205" s="96"/>
      <c r="GS205" s="96"/>
      <c r="GT205" s="96"/>
      <c r="GU205" s="96"/>
      <c r="GV205" s="96"/>
      <c r="GW205" s="96"/>
      <c r="GX205" s="96"/>
      <c r="GY205" s="96"/>
      <c r="GZ205" s="96"/>
      <c r="HA205" s="96"/>
      <c r="HB205" s="96"/>
      <c r="HC205" s="13"/>
      <c r="HD205" s="96"/>
      <c r="HE205" s="96"/>
      <c r="HF205" s="96"/>
      <c r="HG205" s="96"/>
      <c r="HH205" s="96"/>
      <c r="HI205" s="96"/>
      <c r="HJ205" s="96"/>
      <c r="HK205" s="96"/>
      <c r="HL205" s="96"/>
      <c r="HM205" s="96"/>
      <c r="HN205" s="96"/>
      <c r="HO205" s="96"/>
      <c r="HP205" s="96"/>
      <c r="HQ205" s="96"/>
      <c r="HR205" s="96"/>
      <c r="HS205" s="13"/>
      <c r="HT205" s="96"/>
      <c r="HU205" s="96"/>
      <c r="HV205" s="96"/>
      <c r="HW205" s="96"/>
      <c r="HX205" s="96"/>
      <c r="HY205" s="96"/>
      <c r="HZ205" s="96"/>
      <c r="IA205" s="96"/>
      <c r="IB205" s="96"/>
      <c r="IC205" s="96"/>
      <c r="ID205" s="96"/>
      <c r="IE205" s="96"/>
      <c r="IF205" s="96"/>
      <c r="IG205" s="96"/>
      <c r="IH205" s="96"/>
      <c r="II205" s="13"/>
      <c r="IJ205" s="96"/>
      <c r="IK205" s="96"/>
      <c r="IL205" s="96"/>
      <c r="IM205" s="96"/>
      <c r="IN205" s="96"/>
      <c r="IO205" s="96"/>
      <c r="IP205" s="96"/>
      <c r="IQ205" s="96"/>
      <c r="IR205" s="96"/>
      <c r="IS205" s="96"/>
      <c r="IT205" s="96"/>
      <c r="IU205" s="96"/>
      <c r="IV205" s="96"/>
      <c r="IW205" s="96"/>
      <c r="IX205" s="96"/>
      <c r="IY205" s="13"/>
    </row>
    <row r="206" spans="1:259" outlineLevel="1">
      <c r="A206" s="11">
        <f>'VAC &amp; MED'!C201</f>
        <v>46192</v>
      </c>
      <c r="B206" s="261"/>
      <c r="C206" s="261"/>
      <c r="D206" s="261"/>
      <c r="E206" s="261"/>
      <c r="F206" s="261"/>
      <c r="G206" s="261"/>
      <c r="H206" s="261"/>
      <c r="I206" s="261"/>
      <c r="J206" s="261"/>
      <c r="K206" s="261"/>
      <c r="L206" s="261"/>
      <c r="M206" s="261"/>
      <c r="N206" s="261"/>
      <c r="O206" s="261"/>
      <c r="P206" s="261"/>
      <c r="Q206" s="261"/>
      <c r="R206" s="262"/>
      <c r="S206" s="262"/>
      <c r="T206" s="262"/>
      <c r="U206" s="262"/>
      <c r="V206" s="262"/>
      <c r="W206" s="262"/>
      <c r="X206" s="262"/>
      <c r="Y206" s="262"/>
      <c r="Z206" s="262"/>
      <c r="AA206" s="262"/>
      <c r="AB206" s="262"/>
      <c r="AC206" s="262"/>
      <c r="AD206" s="262"/>
      <c r="AE206" s="262"/>
      <c r="AF206" s="262"/>
      <c r="AG206" s="262"/>
      <c r="AH206" s="263"/>
      <c r="AI206" s="263"/>
      <c r="AJ206" s="263"/>
      <c r="AK206" s="263"/>
      <c r="AL206" s="263"/>
      <c r="AM206" s="263"/>
      <c r="AN206" s="263"/>
      <c r="AO206" s="263"/>
      <c r="AP206" s="263"/>
      <c r="AQ206" s="263"/>
      <c r="AR206" s="263"/>
      <c r="AS206" s="263"/>
      <c r="AT206" s="263"/>
      <c r="AU206" s="263"/>
      <c r="AV206" s="263"/>
      <c r="AW206" s="263"/>
      <c r="AX206" s="264"/>
      <c r="AY206" s="264"/>
      <c r="AZ206" s="264"/>
      <c r="BA206" s="264"/>
      <c r="BB206" s="264"/>
      <c r="BC206" s="264"/>
      <c r="BD206" s="264"/>
      <c r="BE206" s="264"/>
      <c r="BF206" s="264"/>
      <c r="BG206" s="264"/>
      <c r="BH206" s="264"/>
      <c r="BI206" s="264"/>
      <c r="BJ206" s="264"/>
      <c r="BK206" s="264"/>
      <c r="BL206" s="264"/>
      <c r="BM206" s="264"/>
      <c r="BN206" s="265"/>
      <c r="BO206" s="265"/>
      <c r="BP206" s="265"/>
      <c r="BQ206" s="265"/>
      <c r="BR206" s="265"/>
      <c r="BS206" s="265"/>
      <c r="BT206" s="265"/>
      <c r="BU206" s="265"/>
      <c r="BV206" s="265"/>
      <c r="BW206" s="265"/>
      <c r="BX206" s="265"/>
      <c r="BY206" s="265"/>
      <c r="BZ206" s="265"/>
      <c r="CA206" s="265"/>
      <c r="CB206" s="265"/>
      <c r="CC206" s="265"/>
      <c r="CD206" s="266"/>
      <c r="CE206" s="266"/>
      <c r="CF206" s="266"/>
      <c r="CG206" s="266"/>
      <c r="CH206" s="266"/>
      <c r="CI206" s="266"/>
      <c r="CJ206" s="266"/>
      <c r="CK206" s="266"/>
      <c r="CL206" s="266"/>
      <c r="CM206" s="266"/>
      <c r="CN206" s="266"/>
      <c r="CO206" s="266"/>
      <c r="CP206" s="266"/>
      <c r="CQ206" s="266"/>
      <c r="CR206" s="266"/>
      <c r="CS206" s="266"/>
      <c r="CT206" s="267"/>
      <c r="CU206" s="267"/>
      <c r="CV206" s="267"/>
      <c r="CW206" s="267"/>
      <c r="CX206" s="267"/>
      <c r="CY206" s="267"/>
      <c r="CZ206" s="267"/>
      <c r="DA206" s="267"/>
      <c r="DB206" s="267"/>
      <c r="DC206" s="267">
        <v>90</v>
      </c>
      <c r="DD206" s="267"/>
      <c r="DE206" s="267"/>
      <c r="DF206" s="267"/>
      <c r="DG206" s="267"/>
      <c r="DH206" s="267"/>
      <c r="DI206" s="267"/>
      <c r="DJ206" s="268"/>
      <c r="DK206" s="268"/>
      <c r="DL206" s="268"/>
      <c r="DM206" s="268"/>
      <c r="DN206" s="268"/>
      <c r="DO206" s="268"/>
      <c r="DP206" s="268"/>
      <c r="DQ206" s="268"/>
      <c r="DR206" s="268"/>
      <c r="DS206" s="268"/>
      <c r="DT206" s="268"/>
      <c r="DU206" s="268"/>
      <c r="DV206" s="268"/>
      <c r="DW206" s="268"/>
      <c r="DX206" s="268"/>
      <c r="DY206" s="268"/>
      <c r="EA206" s="13"/>
      <c r="EB206" s="96"/>
      <c r="EC206" s="96"/>
      <c r="ED206" s="96"/>
      <c r="EE206" s="96"/>
      <c r="EF206" s="96"/>
      <c r="EG206" s="96"/>
      <c r="EH206" s="96"/>
      <c r="EI206" s="96"/>
      <c r="EJ206" s="96"/>
      <c r="EK206" s="96"/>
      <c r="EL206" s="96"/>
      <c r="EM206" s="96"/>
      <c r="EN206" s="96"/>
      <c r="EO206" s="96"/>
      <c r="EP206" s="96"/>
      <c r="EQ206" s="96"/>
      <c r="ER206" s="96"/>
      <c r="ES206" s="96"/>
      <c r="ET206" s="96"/>
      <c r="EU206" s="96"/>
      <c r="EV206" s="96"/>
      <c r="EW206" s="96"/>
      <c r="EX206" s="96"/>
      <c r="EY206" s="96"/>
      <c r="EZ206" s="96"/>
      <c r="FA206" s="96"/>
      <c r="FB206" s="96"/>
      <c r="FC206" s="96"/>
      <c r="FD206" s="96"/>
      <c r="FE206" s="96"/>
      <c r="FF206" s="96"/>
      <c r="FG206" s="96"/>
      <c r="FH206" s="96"/>
      <c r="FI206" s="96"/>
      <c r="FJ206" s="96"/>
      <c r="FK206" s="96"/>
      <c r="FL206" s="96"/>
      <c r="FM206" s="96"/>
      <c r="FN206" s="96"/>
      <c r="FO206" s="96"/>
      <c r="FP206" s="96"/>
      <c r="FQ206" s="96"/>
      <c r="FR206" s="96"/>
      <c r="FS206" s="96"/>
      <c r="FT206" s="96"/>
      <c r="FU206" s="96"/>
      <c r="FV206" s="96"/>
      <c r="FW206" s="96"/>
      <c r="FX206" s="96"/>
      <c r="FY206" s="96"/>
      <c r="FZ206" s="96"/>
      <c r="GA206" s="96"/>
      <c r="GB206" s="96"/>
      <c r="GC206" s="96"/>
      <c r="GD206" s="96"/>
      <c r="GE206" s="96"/>
      <c r="GF206" s="96"/>
      <c r="GG206" s="96"/>
      <c r="GH206" s="96"/>
      <c r="GI206" s="96"/>
      <c r="GJ206" s="96"/>
      <c r="GK206" s="96"/>
      <c r="GL206" s="96"/>
      <c r="GM206" s="13"/>
      <c r="GN206" s="96"/>
      <c r="GO206" s="96"/>
      <c r="GP206" s="96"/>
      <c r="GQ206" s="96"/>
      <c r="GR206" s="96"/>
      <c r="GS206" s="96"/>
      <c r="GT206" s="96"/>
      <c r="GU206" s="96"/>
      <c r="GV206" s="96"/>
      <c r="GW206" s="96"/>
      <c r="GX206" s="96"/>
      <c r="GY206" s="96"/>
      <c r="GZ206" s="96"/>
      <c r="HA206" s="96"/>
      <c r="HB206" s="96"/>
      <c r="HC206" s="13"/>
      <c r="HD206" s="96"/>
      <c r="HE206" s="96"/>
      <c r="HF206" s="96"/>
      <c r="HG206" s="96"/>
      <c r="HH206" s="96"/>
      <c r="HI206" s="96"/>
      <c r="HJ206" s="96"/>
      <c r="HK206" s="96"/>
      <c r="HL206" s="96"/>
      <c r="HM206" s="96"/>
      <c r="HN206" s="96"/>
      <c r="HO206" s="96"/>
      <c r="HP206" s="96"/>
      <c r="HQ206" s="96"/>
      <c r="HR206" s="96"/>
      <c r="HS206" s="13"/>
      <c r="HT206" s="96"/>
      <c r="HU206" s="96"/>
      <c r="HV206" s="96"/>
      <c r="HW206" s="96"/>
      <c r="HX206" s="96"/>
      <c r="HY206" s="96"/>
      <c r="HZ206" s="96"/>
      <c r="IA206" s="96"/>
      <c r="IB206" s="96"/>
      <c r="IC206" s="96"/>
      <c r="ID206" s="96"/>
      <c r="IE206" s="96"/>
      <c r="IF206" s="96"/>
      <c r="IG206" s="96"/>
      <c r="IH206" s="96"/>
      <c r="II206" s="13"/>
      <c r="IJ206" s="96"/>
      <c r="IK206" s="96"/>
      <c r="IL206" s="96"/>
      <c r="IM206" s="96"/>
      <c r="IN206" s="96"/>
      <c r="IO206" s="96"/>
      <c r="IP206" s="96"/>
      <c r="IQ206" s="96"/>
      <c r="IR206" s="96"/>
      <c r="IS206" s="96"/>
      <c r="IT206" s="96"/>
      <c r="IU206" s="96"/>
      <c r="IV206" s="96"/>
      <c r="IW206" s="96"/>
      <c r="IX206" s="96"/>
      <c r="IY206" s="13"/>
    </row>
    <row r="207" spans="1:259" outlineLevel="1">
      <c r="A207" s="11">
        <f>'VAC &amp; MED'!C202</f>
        <v>46193</v>
      </c>
      <c r="B207" s="261"/>
      <c r="C207" s="261"/>
      <c r="D207" s="261"/>
      <c r="E207" s="261"/>
      <c r="F207" s="261"/>
      <c r="G207" s="261"/>
      <c r="H207" s="261"/>
      <c r="I207" s="261"/>
      <c r="J207" s="261"/>
      <c r="K207" s="261"/>
      <c r="L207" s="261"/>
      <c r="M207" s="261"/>
      <c r="N207" s="261"/>
      <c r="O207" s="261"/>
      <c r="P207" s="261"/>
      <c r="Q207" s="261"/>
      <c r="R207" s="262"/>
      <c r="S207" s="262"/>
      <c r="T207" s="262"/>
      <c r="U207" s="262"/>
      <c r="V207" s="262"/>
      <c r="W207" s="262"/>
      <c r="X207" s="262"/>
      <c r="Y207" s="262"/>
      <c r="Z207" s="262"/>
      <c r="AA207" s="262"/>
      <c r="AB207" s="262"/>
      <c r="AC207" s="262"/>
      <c r="AD207" s="262"/>
      <c r="AE207" s="262"/>
      <c r="AF207" s="262"/>
      <c r="AG207" s="262"/>
      <c r="AH207" s="263"/>
      <c r="AI207" s="263"/>
      <c r="AJ207" s="263"/>
      <c r="AK207" s="263"/>
      <c r="AL207" s="263"/>
      <c r="AM207" s="263"/>
      <c r="AN207" s="263"/>
      <c r="AO207" s="263"/>
      <c r="AP207" s="263"/>
      <c r="AQ207" s="263"/>
      <c r="AR207" s="263"/>
      <c r="AS207" s="263"/>
      <c r="AT207" s="263"/>
      <c r="AU207" s="263"/>
      <c r="AV207" s="263"/>
      <c r="AW207" s="263"/>
      <c r="AX207" s="264"/>
      <c r="AY207" s="264"/>
      <c r="AZ207" s="264"/>
      <c r="BA207" s="264"/>
      <c r="BB207" s="264"/>
      <c r="BC207" s="264"/>
      <c r="BD207" s="264"/>
      <c r="BE207" s="264"/>
      <c r="BF207" s="264"/>
      <c r="BG207" s="264"/>
      <c r="BH207" s="264"/>
      <c r="BI207" s="264"/>
      <c r="BJ207" s="264"/>
      <c r="BK207" s="264"/>
      <c r="BL207" s="264"/>
      <c r="BM207" s="264"/>
      <c r="BN207" s="265"/>
      <c r="BO207" s="265"/>
      <c r="BP207" s="265"/>
      <c r="BQ207" s="265"/>
      <c r="BR207" s="265"/>
      <c r="BS207" s="265"/>
      <c r="BT207" s="265"/>
      <c r="BU207" s="265"/>
      <c r="BV207" s="265"/>
      <c r="BW207" s="265"/>
      <c r="BX207" s="265"/>
      <c r="BY207" s="265"/>
      <c r="BZ207" s="265"/>
      <c r="CA207" s="265"/>
      <c r="CB207" s="265"/>
      <c r="CC207" s="265"/>
      <c r="CD207" s="266"/>
      <c r="CE207" s="266"/>
      <c r="CF207" s="266"/>
      <c r="CG207" s="266"/>
      <c r="CH207" s="266"/>
      <c r="CI207" s="266"/>
      <c r="CJ207" s="266"/>
      <c r="CK207" s="266"/>
      <c r="CL207" s="266"/>
      <c r="CM207" s="266"/>
      <c r="CN207" s="266"/>
      <c r="CO207" s="266"/>
      <c r="CP207" s="266"/>
      <c r="CQ207" s="266"/>
      <c r="CR207" s="266"/>
      <c r="CS207" s="266"/>
      <c r="CT207" s="267"/>
      <c r="CU207" s="267"/>
      <c r="CV207" s="267"/>
      <c r="CW207" s="267"/>
      <c r="CX207" s="267"/>
      <c r="CY207" s="267"/>
      <c r="CZ207" s="267"/>
      <c r="DA207" s="267"/>
      <c r="DB207" s="267"/>
      <c r="DC207" s="267"/>
      <c r="DD207" s="267"/>
      <c r="DE207" s="267"/>
      <c r="DF207" s="267">
        <v>20</v>
      </c>
      <c r="DG207" s="267"/>
      <c r="DH207" s="267"/>
      <c r="DI207" s="267"/>
      <c r="DJ207" s="268"/>
      <c r="DK207" s="268"/>
      <c r="DL207" s="268"/>
      <c r="DM207" s="268"/>
      <c r="DN207" s="268"/>
      <c r="DO207" s="268"/>
      <c r="DP207" s="268"/>
      <c r="DQ207" s="268"/>
      <c r="DR207" s="268"/>
      <c r="DS207" s="268"/>
      <c r="DT207" s="268"/>
      <c r="DU207" s="268"/>
      <c r="DV207" s="268"/>
      <c r="DW207" s="268"/>
      <c r="DX207" s="268"/>
      <c r="DY207" s="268"/>
      <c r="EA207" s="13"/>
      <c r="EB207" s="96"/>
      <c r="EC207" s="96"/>
      <c r="ED207" s="96"/>
      <c r="EE207" s="96"/>
      <c r="EF207" s="96"/>
      <c r="EG207" s="96"/>
      <c r="EH207" s="96"/>
      <c r="EI207" s="96"/>
      <c r="EJ207" s="96"/>
      <c r="EK207" s="96"/>
      <c r="EL207" s="96"/>
      <c r="EM207" s="96"/>
      <c r="EN207" s="96"/>
      <c r="EO207" s="96"/>
      <c r="EP207" s="96"/>
      <c r="EQ207" s="96"/>
      <c r="ER207" s="96"/>
      <c r="ES207" s="96"/>
      <c r="ET207" s="96"/>
      <c r="EU207" s="96"/>
      <c r="EV207" s="96"/>
      <c r="EW207" s="96"/>
      <c r="EX207" s="96"/>
      <c r="EY207" s="96"/>
      <c r="EZ207" s="96"/>
      <c r="FA207" s="96"/>
      <c r="FB207" s="96"/>
      <c r="FC207" s="96"/>
      <c r="FD207" s="96"/>
      <c r="FE207" s="96"/>
      <c r="FF207" s="96"/>
      <c r="FG207" s="96"/>
      <c r="FH207" s="96"/>
      <c r="FI207" s="96"/>
      <c r="FJ207" s="96"/>
      <c r="FK207" s="96"/>
      <c r="FL207" s="96"/>
      <c r="FM207" s="96"/>
      <c r="FN207" s="96"/>
      <c r="FO207" s="96"/>
      <c r="FP207" s="96"/>
      <c r="FQ207" s="96"/>
      <c r="FR207" s="96"/>
      <c r="FS207" s="96"/>
      <c r="FT207" s="96"/>
      <c r="FU207" s="96"/>
      <c r="FV207" s="96"/>
      <c r="FW207" s="96"/>
      <c r="FX207" s="96"/>
      <c r="FY207" s="96"/>
      <c r="FZ207" s="96"/>
      <c r="GA207" s="96"/>
      <c r="GB207" s="96"/>
      <c r="GC207" s="96"/>
      <c r="GD207" s="96"/>
      <c r="GE207" s="96"/>
      <c r="GF207" s="96"/>
      <c r="GG207" s="96"/>
      <c r="GH207" s="96"/>
      <c r="GI207" s="96"/>
      <c r="GJ207" s="96"/>
      <c r="GK207" s="96"/>
      <c r="GL207" s="96"/>
      <c r="GM207" s="13"/>
      <c r="GN207" s="96"/>
      <c r="GO207" s="96"/>
      <c r="GP207" s="96"/>
      <c r="GQ207" s="96"/>
      <c r="GR207" s="96"/>
      <c r="GS207" s="96"/>
      <c r="GT207" s="96"/>
      <c r="GU207" s="96"/>
      <c r="GV207" s="96"/>
      <c r="GW207" s="96"/>
      <c r="GX207" s="96"/>
      <c r="GY207" s="96"/>
      <c r="GZ207" s="96"/>
      <c r="HA207" s="96"/>
      <c r="HB207" s="96"/>
      <c r="HC207" s="13"/>
      <c r="HD207" s="96"/>
      <c r="HE207" s="96"/>
      <c r="HF207" s="96"/>
      <c r="HG207" s="96"/>
      <c r="HH207" s="96"/>
      <c r="HI207" s="96"/>
      <c r="HJ207" s="96"/>
      <c r="HK207" s="96"/>
      <c r="HL207" s="96"/>
      <c r="HM207" s="96"/>
      <c r="HN207" s="96"/>
      <c r="HO207" s="96"/>
      <c r="HP207" s="96"/>
      <c r="HQ207" s="96"/>
      <c r="HR207" s="96"/>
      <c r="HS207" s="13"/>
      <c r="HT207" s="96"/>
      <c r="HU207" s="96"/>
      <c r="HV207" s="96"/>
      <c r="HW207" s="96"/>
      <c r="HX207" s="96"/>
      <c r="HY207" s="96"/>
      <c r="HZ207" s="96"/>
      <c r="IA207" s="96"/>
      <c r="IB207" s="96"/>
      <c r="IC207" s="96"/>
      <c r="ID207" s="96"/>
      <c r="IE207" s="96"/>
      <c r="IF207" s="96"/>
      <c r="IG207" s="96"/>
      <c r="IH207" s="96"/>
      <c r="II207" s="13"/>
      <c r="IJ207" s="96"/>
      <c r="IK207" s="96"/>
      <c r="IL207" s="96"/>
      <c r="IM207" s="96"/>
      <c r="IN207" s="96"/>
      <c r="IO207" s="96"/>
      <c r="IP207" s="96"/>
      <c r="IQ207" s="96"/>
      <c r="IR207" s="96"/>
      <c r="IS207" s="96"/>
      <c r="IT207" s="96"/>
      <c r="IU207" s="96"/>
      <c r="IV207" s="96"/>
      <c r="IW207" s="96"/>
      <c r="IX207" s="96"/>
      <c r="IY207" s="13"/>
    </row>
    <row r="208" spans="1:259" outlineLevel="1">
      <c r="A208" s="11">
        <f>'VAC &amp; MED'!C203</f>
        <v>46194</v>
      </c>
      <c r="B208" s="261"/>
      <c r="C208" s="261"/>
      <c r="D208" s="261"/>
      <c r="E208" s="261"/>
      <c r="F208" s="261"/>
      <c r="G208" s="261"/>
      <c r="H208" s="261"/>
      <c r="I208" s="261"/>
      <c r="J208" s="261"/>
      <c r="K208" s="261"/>
      <c r="L208" s="261"/>
      <c r="M208" s="261"/>
      <c r="N208" s="261"/>
      <c r="O208" s="261"/>
      <c r="P208" s="261"/>
      <c r="Q208" s="261"/>
      <c r="R208" s="262"/>
      <c r="S208" s="262"/>
      <c r="T208" s="262"/>
      <c r="U208" s="262"/>
      <c r="V208" s="262"/>
      <c r="W208" s="262"/>
      <c r="X208" s="262"/>
      <c r="Y208" s="262"/>
      <c r="Z208" s="262"/>
      <c r="AA208" s="262"/>
      <c r="AB208" s="262"/>
      <c r="AC208" s="262"/>
      <c r="AD208" s="262"/>
      <c r="AE208" s="262"/>
      <c r="AF208" s="262"/>
      <c r="AG208" s="262"/>
      <c r="AH208" s="263"/>
      <c r="AI208" s="263"/>
      <c r="AJ208" s="263"/>
      <c r="AK208" s="263"/>
      <c r="AL208" s="263"/>
      <c r="AM208" s="263"/>
      <c r="AN208" s="263"/>
      <c r="AO208" s="263"/>
      <c r="AP208" s="263"/>
      <c r="AQ208" s="263"/>
      <c r="AR208" s="263"/>
      <c r="AS208" s="263"/>
      <c r="AT208" s="263"/>
      <c r="AU208" s="263"/>
      <c r="AV208" s="263"/>
      <c r="AW208" s="263"/>
      <c r="AX208" s="264"/>
      <c r="AY208" s="264"/>
      <c r="AZ208" s="264"/>
      <c r="BA208" s="264"/>
      <c r="BB208" s="264"/>
      <c r="BC208" s="264"/>
      <c r="BD208" s="264"/>
      <c r="BE208" s="264"/>
      <c r="BF208" s="264"/>
      <c r="BG208" s="264"/>
      <c r="BH208" s="264"/>
      <c r="BI208" s="264"/>
      <c r="BJ208" s="264"/>
      <c r="BK208" s="264"/>
      <c r="BL208" s="264"/>
      <c r="BM208" s="264"/>
      <c r="BN208" s="265"/>
      <c r="BO208" s="265"/>
      <c r="BP208" s="265"/>
      <c r="BQ208" s="265"/>
      <c r="BR208" s="265"/>
      <c r="BS208" s="265"/>
      <c r="BT208" s="265"/>
      <c r="BU208" s="265"/>
      <c r="BV208" s="265"/>
      <c r="BW208" s="265"/>
      <c r="BX208" s="265"/>
      <c r="BY208" s="265"/>
      <c r="BZ208" s="265"/>
      <c r="CA208" s="265"/>
      <c r="CB208" s="265"/>
      <c r="CC208" s="265"/>
      <c r="CD208" s="266"/>
      <c r="CE208" s="266"/>
      <c r="CF208" s="266"/>
      <c r="CG208" s="266"/>
      <c r="CH208" s="266"/>
      <c r="CI208" s="266"/>
      <c r="CJ208" s="266"/>
      <c r="CK208" s="266"/>
      <c r="CL208" s="266"/>
      <c r="CM208" s="266"/>
      <c r="CN208" s="266"/>
      <c r="CO208" s="266"/>
      <c r="CP208" s="266"/>
      <c r="CQ208" s="266"/>
      <c r="CR208" s="266"/>
      <c r="CS208" s="266"/>
      <c r="CT208" s="267"/>
      <c r="CU208" s="267"/>
      <c r="CV208" s="267"/>
      <c r="CW208" s="267"/>
      <c r="CX208" s="267"/>
      <c r="CY208" s="267"/>
      <c r="CZ208" s="267"/>
      <c r="DA208" s="267"/>
      <c r="DB208" s="267"/>
      <c r="DC208" s="267"/>
      <c r="DD208" s="267"/>
      <c r="DE208" s="267"/>
      <c r="DF208" s="267"/>
      <c r="DG208" s="267"/>
      <c r="DH208" s="267"/>
      <c r="DI208" s="267"/>
      <c r="DJ208" s="268"/>
      <c r="DK208" s="268"/>
      <c r="DL208" s="268"/>
      <c r="DM208" s="268"/>
      <c r="DN208" s="268"/>
      <c r="DO208" s="268"/>
      <c r="DP208" s="268"/>
      <c r="DQ208" s="268"/>
      <c r="DR208" s="268"/>
      <c r="DS208" s="268"/>
      <c r="DT208" s="268"/>
      <c r="DU208" s="268"/>
      <c r="DV208" s="268"/>
      <c r="DW208" s="268"/>
      <c r="DX208" s="268"/>
      <c r="DY208" s="268"/>
      <c r="EA208" s="13"/>
      <c r="EB208" s="96"/>
      <c r="EC208" s="96"/>
      <c r="ED208" s="96"/>
      <c r="EE208" s="96"/>
      <c r="EF208" s="96"/>
      <c r="EG208" s="96"/>
      <c r="EH208" s="96"/>
      <c r="EI208" s="96"/>
      <c r="EJ208" s="96"/>
      <c r="EK208" s="96"/>
      <c r="EL208" s="96"/>
      <c r="EM208" s="96"/>
      <c r="EN208" s="96"/>
      <c r="EO208" s="96"/>
      <c r="EP208" s="96"/>
      <c r="EQ208" s="96"/>
      <c r="ER208" s="96"/>
      <c r="ES208" s="96"/>
      <c r="ET208" s="96"/>
      <c r="EU208" s="96"/>
      <c r="EV208" s="96"/>
      <c r="EW208" s="96"/>
      <c r="EX208" s="96"/>
      <c r="EY208" s="96"/>
      <c r="EZ208" s="96"/>
      <c r="FA208" s="96"/>
      <c r="FB208" s="96"/>
      <c r="FC208" s="96"/>
      <c r="FD208" s="96"/>
      <c r="FE208" s="96"/>
      <c r="FF208" s="96"/>
      <c r="FG208" s="96"/>
      <c r="FH208" s="96"/>
      <c r="FI208" s="96"/>
      <c r="FJ208" s="96"/>
      <c r="FK208" s="96"/>
      <c r="FL208" s="96"/>
      <c r="FM208" s="96"/>
      <c r="FN208" s="96"/>
      <c r="FO208" s="96"/>
      <c r="FP208" s="96"/>
      <c r="FQ208" s="96"/>
      <c r="FR208" s="96"/>
      <c r="FS208" s="96"/>
      <c r="FT208" s="96"/>
      <c r="FU208" s="96"/>
      <c r="FV208" s="96"/>
      <c r="FW208" s="96"/>
      <c r="FX208" s="96"/>
      <c r="FY208" s="96"/>
      <c r="FZ208" s="96"/>
      <c r="GA208" s="96"/>
      <c r="GB208" s="96"/>
      <c r="GC208" s="96"/>
      <c r="GD208" s="96"/>
      <c r="GE208" s="96"/>
      <c r="GF208" s="96"/>
      <c r="GG208" s="96"/>
      <c r="GH208" s="96"/>
      <c r="GI208" s="96"/>
      <c r="GJ208" s="96"/>
      <c r="GK208" s="96"/>
      <c r="GL208" s="96"/>
      <c r="GM208" s="13"/>
      <c r="GN208" s="96"/>
      <c r="GO208" s="96"/>
      <c r="GP208" s="96"/>
      <c r="GQ208" s="96"/>
      <c r="GR208" s="96"/>
      <c r="GS208" s="96"/>
      <c r="GT208" s="96"/>
      <c r="GU208" s="96"/>
      <c r="GV208" s="96"/>
      <c r="GW208" s="96"/>
      <c r="GX208" s="96"/>
      <c r="GY208" s="96"/>
      <c r="GZ208" s="96"/>
      <c r="HA208" s="96"/>
      <c r="HB208" s="96"/>
      <c r="HC208" s="13"/>
      <c r="HD208" s="96"/>
      <c r="HE208" s="96"/>
      <c r="HF208" s="96"/>
      <c r="HG208" s="96"/>
      <c r="HH208" s="96"/>
      <c r="HI208" s="96"/>
      <c r="HJ208" s="96"/>
      <c r="HK208" s="96"/>
      <c r="HL208" s="96"/>
      <c r="HM208" s="96"/>
      <c r="HN208" s="96"/>
      <c r="HO208" s="96"/>
      <c r="HP208" s="96"/>
      <c r="HQ208" s="96"/>
      <c r="HR208" s="96"/>
      <c r="HS208" s="13"/>
      <c r="HT208" s="96"/>
      <c r="HU208" s="96"/>
      <c r="HV208" s="96"/>
      <c r="HW208" s="96"/>
      <c r="HX208" s="96"/>
      <c r="HY208" s="96"/>
      <c r="HZ208" s="96"/>
      <c r="IA208" s="96"/>
      <c r="IB208" s="96"/>
      <c r="IC208" s="96"/>
      <c r="ID208" s="96"/>
      <c r="IE208" s="96"/>
      <c r="IF208" s="96"/>
      <c r="IG208" s="96"/>
      <c r="IH208" s="96"/>
      <c r="II208" s="13"/>
      <c r="IJ208" s="96"/>
      <c r="IK208" s="96"/>
      <c r="IL208" s="96"/>
      <c r="IM208" s="96"/>
      <c r="IN208" s="96"/>
      <c r="IO208" s="96"/>
      <c r="IP208" s="96"/>
      <c r="IQ208" s="96"/>
      <c r="IR208" s="96"/>
      <c r="IS208" s="96"/>
      <c r="IT208" s="96"/>
      <c r="IU208" s="96"/>
      <c r="IV208" s="96"/>
      <c r="IW208" s="96"/>
      <c r="IX208" s="96"/>
      <c r="IY208" s="13"/>
    </row>
    <row r="209" spans="1:259" outlineLevel="1">
      <c r="A209" s="11">
        <f>'VAC &amp; MED'!C204</f>
        <v>46195</v>
      </c>
      <c r="B209" s="261"/>
      <c r="C209" s="261"/>
      <c r="D209" s="261"/>
      <c r="E209" s="261"/>
      <c r="F209" s="261"/>
      <c r="G209" s="261"/>
      <c r="H209" s="261"/>
      <c r="I209" s="261"/>
      <c r="J209" s="261"/>
      <c r="K209" s="261"/>
      <c r="L209" s="261"/>
      <c r="M209" s="261"/>
      <c r="N209" s="261"/>
      <c r="O209" s="261"/>
      <c r="P209" s="261"/>
      <c r="Q209" s="261"/>
      <c r="R209" s="262"/>
      <c r="S209" s="262"/>
      <c r="T209" s="262"/>
      <c r="U209" s="262"/>
      <c r="V209" s="262"/>
      <c r="W209" s="262"/>
      <c r="X209" s="262"/>
      <c r="Y209" s="262"/>
      <c r="Z209" s="262"/>
      <c r="AA209" s="262"/>
      <c r="AB209" s="262"/>
      <c r="AC209" s="262"/>
      <c r="AD209" s="262"/>
      <c r="AE209" s="262"/>
      <c r="AF209" s="262"/>
      <c r="AG209" s="262"/>
      <c r="AH209" s="263"/>
      <c r="AI209" s="263"/>
      <c r="AJ209" s="263"/>
      <c r="AK209" s="263"/>
      <c r="AL209" s="263"/>
      <c r="AM209" s="263"/>
      <c r="AN209" s="263"/>
      <c r="AO209" s="263"/>
      <c r="AP209" s="263"/>
      <c r="AQ209" s="263"/>
      <c r="AR209" s="263"/>
      <c r="AS209" s="263"/>
      <c r="AT209" s="263"/>
      <c r="AU209" s="263"/>
      <c r="AV209" s="263"/>
      <c r="AW209" s="263"/>
      <c r="AX209" s="264"/>
      <c r="AY209" s="264"/>
      <c r="AZ209" s="264"/>
      <c r="BA209" s="264"/>
      <c r="BB209" s="264"/>
      <c r="BC209" s="264"/>
      <c r="BD209" s="264"/>
      <c r="BE209" s="264"/>
      <c r="BF209" s="264"/>
      <c r="BG209" s="264"/>
      <c r="BH209" s="264"/>
      <c r="BI209" s="264"/>
      <c r="BJ209" s="264"/>
      <c r="BK209" s="264"/>
      <c r="BL209" s="264"/>
      <c r="BM209" s="264"/>
      <c r="BN209" s="265"/>
      <c r="BO209" s="265"/>
      <c r="BP209" s="265"/>
      <c r="BQ209" s="265"/>
      <c r="BR209" s="265"/>
      <c r="BS209" s="265"/>
      <c r="BT209" s="265"/>
      <c r="BU209" s="265"/>
      <c r="BV209" s="265"/>
      <c r="BW209" s="265"/>
      <c r="BX209" s="265"/>
      <c r="BY209" s="265"/>
      <c r="BZ209" s="265"/>
      <c r="CA209" s="265"/>
      <c r="CB209" s="265"/>
      <c r="CC209" s="265"/>
      <c r="CD209" s="266"/>
      <c r="CE209" s="266"/>
      <c r="CF209" s="266"/>
      <c r="CG209" s="266"/>
      <c r="CH209" s="266"/>
      <c r="CI209" s="266"/>
      <c r="CJ209" s="266"/>
      <c r="CK209" s="266"/>
      <c r="CL209" s="266"/>
      <c r="CM209" s="266"/>
      <c r="CN209" s="266"/>
      <c r="CO209" s="266"/>
      <c r="CP209" s="266"/>
      <c r="CQ209" s="266"/>
      <c r="CR209" s="266"/>
      <c r="CS209" s="266"/>
      <c r="CT209" s="267"/>
      <c r="CU209" s="267"/>
      <c r="CV209" s="267"/>
      <c r="CW209" s="267"/>
      <c r="CX209" s="267"/>
      <c r="CY209" s="267"/>
      <c r="CZ209" s="267"/>
      <c r="DA209" s="267"/>
      <c r="DB209" s="267"/>
      <c r="DC209" s="267"/>
      <c r="DD209" s="267"/>
      <c r="DE209" s="267"/>
      <c r="DF209" s="267"/>
      <c r="DG209" s="267"/>
      <c r="DH209" s="267"/>
      <c r="DI209" s="267"/>
      <c r="DJ209" s="268"/>
      <c r="DK209" s="268"/>
      <c r="DL209" s="268"/>
      <c r="DM209" s="268"/>
      <c r="DN209" s="268"/>
      <c r="DO209" s="268"/>
      <c r="DP209" s="268"/>
      <c r="DQ209" s="268"/>
      <c r="DR209" s="268"/>
      <c r="DS209" s="268"/>
      <c r="DT209" s="268"/>
      <c r="DU209" s="268"/>
      <c r="DV209" s="268"/>
      <c r="DW209" s="268"/>
      <c r="DX209" s="268"/>
      <c r="DY209" s="268"/>
      <c r="EA209" s="13"/>
      <c r="EB209" s="96"/>
      <c r="EC209" s="96"/>
      <c r="ED209" s="96"/>
      <c r="EE209" s="96"/>
      <c r="EF209" s="96"/>
      <c r="EG209" s="96"/>
      <c r="EH209" s="96"/>
      <c r="EI209" s="96"/>
      <c r="EJ209" s="96"/>
      <c r="EK209" s="96"/>
      <c r="EL209" s="96"/>
      <c r="EM209" s="96"/>
      <c r="EN209" s="96"/>
      <c r="EO209" s="96"/>
      <c r="EP209" s="96"/>
      <c r="EQ209" s="96"/>
      <c r="ER209" s="96"/>
      <c r="ES209" s="96"/>
      <c r="ET209" s="96"/>
      <c r="EU209" s="96"/>
      <c r="EV209" s="96"/>
      <c r="EW209" s="96"/>
      <c r="EX209" s="96"/>
      <c r="EY209" s="96"/>
      <c r="EZ209" s="96"/>
      <c r="FA209" s="96"/>
      <c r="FB209" s="96"/>
      <c r="FC209" s="96"/>
      <c r="FD209" s="96"/>
      <c r="FE209" s="96"/>
      <c r="FF209" s="96"/>
      <c r="FG209" s="96"/>
      <c r="FH209" s="96"/>
      <c r="FI209" s="96"/>
      <c r="FJ209" s="96"/>
      <c r="FK209" s="96"/>
      <c r="FL209" s="96"/>
      <c r="FM209" s="96"/>
      <c r="FN209" s="96"/>
      <c r="FO209" s="96"/>
      <c r="FP209" s="96"/>
      <c r="FQ209" s="96"/>
      <c r="FR209" s="96"/>
      <c r="FS209" s="96"/>
      <c r="FT209" s="96"/>
      <c r="FU209" s="96"/>
      <c r="FV209" s="96"/>
      <c r="FW209" s="96"/>
      <c r="FX209" s="96"/>
      <c r="FY209" s="96"/>
      <c r="FZ209" s="96"/>
      <c r="GA209" s="96"/>
      <c r="GB209" s="96"/>
      <c r="GC209" s="96"/>
      <c r="GD209" s="96"/>
      <c r="GE209" s="96"/>
      <c r="GF209" s="96"/>
      <c r="GG209" s="96"/>
      <c r="GH209" s="96"/>
      <c r="GI209" s="96"/>
      <c r="GJ209" s="96"/>
      <c r="GK209" s="96"/>
      <c r="GL209" s="96"/>
      <c r="GM209" s="13"/>
      <c r="GN209" s="96"/>
      <c r="GO209" s="96"/>
      <c r="GP209" s="96"/>
      <c r="GQ209" s="96"/>
      <c r="GR209" s="96"/>
      <c r="GS209" s="96"/>
      <c r="GT209" s="96"/>
      <c r="GU209" s="96"/>
      <c r="GV209" s="96"/>
      <c r="GW209" s="96"/>
      <c r="GX209" s="96"/>
      <c r="GY209" s="96"/>
      <c r="GZ209" s="96"/>
      <c r="HA209" s="96"/>
      <c r="HB209" s="96"/>
      <c r="HC209" s="13"/>
      <c r="HD209" s="96"/>
      <c r="HE209" s="96"/>
      <c r="HF209" s="96"/>
      <c r="HG209" s="96"/>
      <c r="HH209" s="96"/>
      <c r="HI209" s="96"/>
      <c r="HJ209" s="96"/>
      <c r="HK209" s="96"/>
      <c r="HL209" s="96"/>
      <c r="HM209" s="96"/>
      <c r="HN209" s="96"/>
      <c r="HO209" s="96"/>
      <c r="HP209" s="96"/>
      <c r="HQ209" s="96"/>
      <c r="HR209" s="96"/>
      <c r="HS209" s="13"/>
      <c r="HT209" s="96"/>
      <c r="HU209" s="96"/>
      <c r="HV209" s="96"/>
      <c r="HW209" s="96"/>
      <c r="HX209" s="96"/>
      <c r="HY209" s="96"/>
      <c r="HZ209" s="96"/>
      <c r="IA209" s="96"/>
      <c r="IB209" s="96"/>
      <c r="IC209" s="96"/>
      <c r="ID209" s="96"/>
      <c r="IE209" s="96"/>
      <c r="IF209" s="96"/>
      <c r="IG209" s="96"/>
      <c r="IH209" s="96"/>
      <c r="II209" s="13"/>
      <c r="IJ209" s="96"/>
      <c r="IK209" s="96"/>
      <c r="IL209" s="96"/>
      <c r="IM209" s="96"/>
      <c r="IN209" s="96"/>
      <c r="IO209" s="96"/>
      <c r="IP209" s="96"/>
      <c r="IQ209" s="96"/>
      <c r="IR209" s="96"/>
      <c r="IS209" s="96"/>
      <c r="IT209" s="96"/>
      <c r="IU209" s="96"/>
      <c r="IV209" s="96"/>
      <c r="IW209" s="96"/>
      <c r="IX209" s="96"/>
      <c r="IY209" s="13"/>
    </row>
    <row r="210" spans="1:259" outlineLevel="1">
      <c r="A210" s="11">
        <f>'VAC &amp; MED'!C205</f>
        <v>46196</v>
      </c>
      <c r="B210" s="261"/>
      <c r="C210" s="261"/>
      <c r="D210" s="261"/>
      <c r="E210" s="261"/>
      <c r="F210" s="261"/>
      <c r="G210" s="261"/>
      <c r="H210" s="261"/>
      <c r="I210" s="261"/>
      <c r="J210" s="261"/>
      <c r="K210" s="261"/>
      <c r="L210" s="261"/>
      <c r="M210" s="261"/>
      <c r="N210" s="261"/>
      <c r="O210" s="261"/>
      <c r="P210" s="261"/>
      <c r="Q210" s="261"/>
      <c r="R210" s="262"/>
      <c r="S210" s="262"/>
      <c r="T210" s="262"/>
      <c r="U210" s="262"/>
      <c r="V210" s="262"/>
      <c r="W210" s="262"/>
      <c r="X210" s="262"/>
      <c r="Y210" s="262"/>
      <c r="Z210" s="262"/>
      <c r="AA210" s="262"/>
      <c r="AB210" s="262"/>
      <c r="AC210" s="262"/>
      <c r="AD210" s="262"/>
      <c r="AE210" s="262"/>
      <c r="AF210" s="262"/>
      <c r="AG210" s="262"/>
      <c r="AH210" s="263"/>
      <c r="AI210" s="263"/>
      <c r="AJ210" s="263"/>
      <c r="AK210" s="263"/>
      <c r="AL210" s="263"/>
      <c r="AM210" s="263"/>
      <c r="AN210" s="263"/>
      <c r="AO210" s="263"/>
      <c r="AP210" s="263"/>
      <c r="AQ210" s="263"/>
      <c r="AR210" s="263"/>
      <c r="AS210" s="263"/>
      <c r="AT210" s="263"/>
      <c r="AU210" s="263"/>
      <c r="AV210" s="263"/>
      <c r="AW210" s="263"/>
      <c r="AX210" s="264"/>
      <c r="AY210" s="264"/>
      <c r="AZ210" s="264"/>
      <c r="BA210" s="264"/>
      <c r="BB210" s="264"/>
      <c r="BC210" s="264"/>
      <c r="BD210" s="264"/>
      <c r="BE210" s="264"/>
      <c r="BF210" s="264"/>
      <c r="BG210" s="264"/>
      <c r="BH210" s="264"/>
      <c r="BI210" s="264"/>
      <c r="BJ210" s="264"/>
      <c r="BK210" s="264"/>
      <c r="BL210" s="264"/>
      <c r="BM210" s="264"/>
      <c r="BN210" s="265"/>
      <c r="BO210" s="265"/>
      <c r="BP210" s="265"/>
      <c r="BQ210" s="265"/>
      <c r="BR210" s="265"/>
      <c r="BS210" s="265"/>
      <c r="BT210" s="265"/>
      <c r="BU210" s="265"/>
      <c r="BV210" s="265"/>
      <c r="BW210" s="265"/>
      <c r="BX210" s="265"/>
      <c r="BY210" s="265"/>
      <c r="BZ210" s="265"/>
      <c r="CA210" s="265"/>
      <c r="CB210" s="265"/>
      <c r="CC210" s="265"/>
      <c r="CD210" s="266"/>
      <c r="CE210" s="266"/>
      <c r="CF210" s="266"/>
      <c r="CG210" s="266"/>
      <c r="CH210" s="266"/>
      <c r="CI210" s="266"/>
      <c r="CJ210" s="266"/>
      <c r="CK210" s="266"/>
      <c r="CL210" s="266"/>
      <c r="CM210" s="266"/>
      <c r="CN210" s="266"/>
      <c r="CO210" s="266"/>
      <c r="CP210" s="266"/>
      <c r="CQ210" s="266"/>
      <c r="CR210" s="266"/>
      <c r="CS210" s="266"/>
      <c r="CT210" s="267"/>
      <c r="CU210" s="267"/>
      <c r="CV210" s="267"/>
      <c r="CW210" s="267"/>
      <c r="CX210" s="267"/>
      <c r="CY210" s="267"/>
      <c r="CZ210" s="267"/>
      <c r="DA210" s="267"/>
      <c r="DB210" s="267"/>
      <c r="DC210" s="267"/>
      <c r="DD210" s="267"/>
      <c r="DE210" s="267"/>
      <c r="DF210" s="267">
        <v>20</v>
      </c>
      <c r="DG210" s="267"/>
      <c r="DH210" s="267"/>
      <c r="DI210" s="267"/>
      <c r="DJ210" s="268"/>
      <c r="DK210" s="268"/>
      <c r="DL210" s="268"/>
      <c r="DM210" s="268"/>
      <c r="DN210" s="268"/>
      <c r="DO210" s="268"/>
      <c r="DP210" s="268"/>
      <c r="DQ210" s="268"/>
      <c r="DR210" s="268"/>
      <c r="DS210" s="268"/>
      <c r="DT210" s="268"/>
      <c r="DU210" s="268"/>
      <c r="DV210" s="268"/>
      <c r="DW210" s="268"/>
      <c r="DX210" s="268"/>
      <c r="DY210" s="268"/>
      <c r="EA210" s="13"/>
      <c r="EB210" s="96"/>
      <c r="EC210" s="96"/>
      <c r="ED210" s="96"/>
      <c r="EE210" s="96"/>
      <c r="EF210" s="96"/>
      <c r="EG210" s="96"/>
      <c r="EH210" s="96"/>
      <c r="EI210" s="96"/>
      <c r="EJ210" s="96"/>
      <c r="EK210" s="96"/>
      <c r="EL210" s="96"/>
      <c r="EM210" s="96"/>
      <c r="EN210" s="96"/>
      <c r="EO210" s="96"/>
      <c r="EP210" s="96"/>
      <c r="EQ210" s="96"/>
      <c r="ER210" s="96"/>
      <c r="ES210" s="96"/>
      <c r="ET210" s="96"/>
      <c r="EU210" s="96"/>
      <c r="EV210" s="96"/>
      <c r="EW210" s="96"/>
      <c r="EX210" s="96"/>
      <c r="EY210" s="96"/>
      <c r="EZ210" s="96"/>
      <c r="FA210" s="96"/>
      <c r="FB210" s="96"/>
      <c r="FC210" s="96"/>
      <c r="FD210" s="96"/>
      <c r="FE210" s="96"/>
      <c r="FF210" s="96"/>
      <c r="FG210" s="96"/>
      <c r="FH210" s="96"/>
      <c r="FI210" s="96"/>
      <c r="FJ210" s="96"/>
      <c r="FK210" s="96"/>
      <c r="FL210" s="96"/>
      <c r="FM210" s="96"/>
      <c r="FN210" s="96"/>
      <c r="FO210" s="96"/>
      <c r="FP210" s="96"/>
      <c r="FQ210" s="96"/>
      <c r="FR210" s="96"/>
      <c r="FS210" s="96"/>
      <c r="FT210" s="96"/>
      <c r="FU210" s="96"/>
      <c r="FV210" s="96"/>
      <c r="FW210" s="96"/>
      <c r="FX210" s="96"/>
      <c r="FY210" s="96"/>
      <c r="FZ210" s="96"/>
      <c r="GA210" s="96"/>
      <c r="GB210" s="96"/>
      <c r="GC210" s="96"/>
      <c r="GD210" s="96"/>
      <c r="GE210" s="96"/>
      <c r="GF210" s="96"/>
      <c r="GG210" s="96"/>
      <c r="GH210" s="96"/>
      <c r="GI210" s="96"/>
      <c r="GJ210" s="96"/>
      <c r="GK210" s="96"/>
      <c r="GL210" s="96"/>
      <c r="GM210" s="13"/>
      <c r="GN210" s="96"/>
      <c r="GO210" s="96"/>
      <c r="GP210" s="96"/>
      <c r="GQ210" s="96"/>
      <c r="GR210" s="96"/>
      <c r="GS210" s="96"/>
      <c r="GT210" s="96"/>
      <c r="GU210" s="96"/>
      <c r="GV210" s="96"/>
      <c r="GW210" s="96"/>
      <c r="GX210" s="96"/>
      <c r="GY210" s="96"/>
      <c r="GZ210" s="96"/>
      <c r="HA210" s="96"/>
      <c r="HB210" s="96"/>
      <c r="HC210" s="13"/>
      <c r="HD210" s="96"/>
      <c r="HE210" s="96"/>
      <c r="HF210" s="96"/>
      <c r="HG210" s="96"/>
      <c r="HH210" s="96"/>
      <c r="HI210" s="96"/>
      <c r="HJ210" s="96"/>
      <c r="HK210" s="96"/>
      <c r="HL210" s="96"/>
      <c r="HM210" s="96"/>
      <c r="HN210" s="96"/>
      <c r="HO210" s="96"/>
      <c r="HP210" s="96"/>
      <c r="HQ210" s="96"/>
      <c r="HR210" s="96"/>
      <c r="HS210" s="13"/>
      <c r="HT210" s="96"/>
      <c r="HU210" s="96"/>
      <c r="HV210" s="96"/>
      <c r="HW210" s="96"/>
      <c r="HX210" s="96"/>
      <c r="HY210" s="96"/>
      <c r="HZ210" s="96"/>
      <c r="IA210" s="96"/>
      <c r="IB210" s="96"/>
      <c r="IC210" s="96"/>
      <c r="ID210" s="96"/>
      <c r="IE210" s="96"/>
      <c r="IF210" s="96"/>
      <c r="IG210" s="96"/>
      <c r="IH210" s="96"/>
      <c r="II210" s="13"/>
      <c r="IJ210" s="96"/>
      <c r="IK210" s="96"/>
      <c r="IL210" s="96"/>
      <c r="IM210" s="96"/>
      <c r="IN210" s="96"/>
      <c r="IO210" s="96"/>
      <c r="IP210" s="96"/>
      <c r="IQ210" s="96"/>
      <c r="IR210" s="96"/>
      <c r="IS210" s="96"/>
      <c r="IT210" s="96"/>
      <c r="IU210" s="96"/>
      <c r="IV210" s="96"/>
      <c r="IW210" s="96"/>
      <c r="IX210" s="96"/>
      <c r="IY210" s="13"/>
    </row>
    <row r="211" spans="1:259" outlineLevel="1">
      <c r="A211" s="11">
        <f>'VAC &amp; MED'!C206</f>
        <v>46197</v>
      </c>
      <c r="B211" s="261"/>
      <c r="C211" s="261"/>
      <c r="D211" s="261"/>
      <c r="E211" s="261"/>
      <c r="F211" s="261"/>
      <c r="G211" s="261"/>
      <c r="H211" s="261"/>
      <c r="I211" s="261"/>
      <c r="J211" s="261"/>
      <c r="K211" s="261"/>
      <c r="L211" s="261"/>
      <c r="M211" s="261"/>
      <c r="N211" s="261"/>
      <c r="O211" s="261"/>
      <c r="P211" s="261"/>
      <c r="Q211" s="261"/>
      <c r="R211" s="262"/>
      <c r="S211" s="262"/>
      <c r="T211" s="262"/>
      <c r="U211" s="262"/>
      <c r="V211" s="262"/>
      <c r="W211" s="262"/>
      <c r="X211" s="262"/>
      <c r="Y211" s="262"/>
      <c r="Z211" s="262"/>
      <c r="AA211" s="262"/>
      <c r="AB211" s="262"/>
      <c r="AC211" s="262"/>
      <c r="AD211" s="262"/>
      <c r="AE211" s="262"/>
      <c r="AF211" s="262"/>
      <c r="AG211" s="262"/>
      <c r="AH211" s="263"/>
      <c r="AI211" s="263"/>
      <c r="AJ211" s="263"/>
      <c r="AK211" s="263"/>
      <c r="AL211" s="263"/>
      <c r="AM211" s="263"/>
      <c r="AN211" s="263"/>
      <c r="AO211" s="263"/>
      <c r="AP211" s="263"/>
      <c r="AQ211" s="263"/>
      <c r="AR211" s="263"/>
      <c r="AS211" s="263"/>
      <c r="AT211" s="263"/>
      <c r="AU211" s="263"/>
      <c r="AV211" s="263"/>
      <c r="AW211" s="263"/>
      <c r="AX211" s="264"/>
      <c r="AY211" s="264"/>
      <c r="AZ211" s="264"/>
      <c r="BA211" s="264"/>
      <c r="BB211" s="264"/>
      <c r="BC211" s="264"/>
      <c r="BD211" s="264"/>
      <c r="BE211" s="264"/>
      <c r="BF211" s="264"/>
      <c r="BG211" s="264"/>
      <c r="BH211" s="264"/>
      <c r="BI211" s="264"/>
      <c r="BJ211" s="264"/>
      <c r="BK211" s="264"/>
      <c r="BL211" s="264"/>
      <c r="BM211" s="264"/>
      <c r="BN211" s="265"/>
      <c r="BO211" s="265"/>
      <c r="BP211" s="265"/>
      <c r="BQ211" s="265"/>
      <c r="BR211" s="265"/>
      <c r="BS211" s="265"/>
      <c r="BT211" s="265"/>
      <c r="BU211" s="265"/>
      <c r="BV211" s="265"/>
      <c r="BW211" s="265"/>
      <c r="BX211" s="265"/>
      <c r="BY211" s="265"/>
      <c r="BZ211" s="265"/>
      <c r="CA211" s="265"/>
      <c r="CB211" s="265"/>
      <c r="CC211" s="265"/>
      <c r="CD211" s="266"/>
      <c r="CE211" s="266"/>
      <c r="CF211" s="266"/>
      <c r="CG211" s="266"/>
      <c r="CH211" s="266"/>
      <c r="CI211" s="266"/>
      <c r="CJ211" s="266"/>
      <c r="CK211" s="266"/>
      <c r="CL211" s="266"/>
      <c r="CM211" s="266"/>
      <c r="CN211" s="266"/>
      <c r="CO211" s="266"/>
      <c r="CP211" s="266"/>
      <c r="CQ211" s="266"/>
      <c r="CR211" s="266"/>
      <c r="CS211" s="266"/>
      <c r="CT211" s="267"/>
      <c r="CU211" s="267"/>
      <c r="CV211" s="267"/>
      <c r="CW211" s="267"/>
      <c r="CX211" s="267"/>
      <c r="CY211" s="267"/>
      <c r="CZ211" s="267"/>
      <c r="DA211" s="267"/>
      <c r="DB211" s="267"/>
      <c r="DC211" s="267"/>
      <c r="DD211" s="267">
        <v>24</v>
      </c>
      <c r="DE211" s="267"/>
      <c r="DF211" s="267"/>
      <c r="DG211" s="267"/>
      <c r="DH211" s="267"/>
      <c r="DI211" s="267"/>
      <c r="DJ211" s="268"/>
      <c r="DK211" s="268"/>
      <c r="DL211" s="268"/>
      <c r="DM211" s="268"/>
      <c r="DN211" s="268"/>
      <c r="DO211" s="268"/>
      <c r="DP211" s="268"/>
      <c r="DQ211" s="268"/>
      <c r="DR211" s="268"/>
      <c r="DS211" s="268"/>
      <c r="DT211" s="268"/>
      <c r="DU211" s="268"/>
      <c r="DV211" s="268"/>
      <c r="DW211" s="268"/>
      <c r="DX211" s="268"/>
      <c r="DY211" s="268"/>
      <c r="EA211" s="13"/>
      <c r="EB211" s="96"/>
      <c r="EC211" s="96"/>
      <c r="ED211" s="96"/>
      <c r="EE211" s="96"/>
      <c r="EF211" s="96"/>
      <c r="EG211" s="96"/>
      <c r="EH211" s="96"/>
      <c r="EI211" s="96"/>
      <c r="EJ211" s="96"/>
      <c r="EK211" s="96"/>
      <c r="EL211" s="96"/>
      <c r="EM211" s="96"/>
      <c r="EN211" s="96"/>
      <c r="EO211" s="96"/>
      <c r="EP211" s="96"/>
      <c r="EQ211" s="96"/>
      <c r="ER211" s="96"/>
      <c r="ES211" s="96"/>
      <c r="ET211" s="96"/>
      <c r="EU211" s="96"/>
      <c r="EV211" s="96"/>
      <c r="EW211" s="96"/>
      <c r="EX211" s="96"/>
      <c r="EY211" s="96"/>
      <c r="EZ211" s="96"/>
      <c r="FA211" s="96"/>
      <c r="FB211" s="96"/>
      <c r="FC211" s="96"/>
      <c r="FD211" s="96"/>
      <c r="FE211" s="96"/>
      <c r="FF211" s="96"/>
      <c r="FG211" s="96"/>
      <c r="FH211" s="96"/>
      <c r="FI211" s="96"/>
      <c r="FJ211" s="96"/>
      <c r="FK211" s="96"/>
      <c r="FL211" s="96"/>
      <c r="FM211" s="96"/>
      <c r="FN211" s="96"/>
      <c r="FO211" s="96"/>
      <c r="FP211" s="96"/>
      <c r="FQ211" s="96"/>
      <c r="FR211" s="96"/>
      <c r="FS211" s="96"/>
      <c r="FT211" s="96"/>
      <c r="FU211" s="96"/>
      <c r="FV211" s="96"/>
      <c r="FW211" s="96"/>
      <c r="FX211" s="96"/>
      <c r="FY211" s="96"/>
      <c r="FZ211" s="96"/>
      <c r="GA211" s="96"/>
      <c r="GB211" s="96"/>
      <c r="GC211" s="96"/>
      <c r="GD211" s="96"/>
      <c r="GE211" s="96"/>
      <c r="GF211" s="96"/>
      <c r="GG211" s="96"/>
      <c r="GH211" s="96"/>
      <c r="GI211" s="96"/>
      <c r="GJ211" s="96"/>
      <c r="GK211" s="96"/>
      <c r="GL211" s="96"/>
      <c r="GM211" s="13"/>
      <c r="GN211" s="96"/>
      <c r="GO211" s="96"/>
      <c r="GP211" s="96"/>
      <c r="GQ211" s="96"/>
      <c r="GR211" s="96"/>
      <c r="GS211" s="96"/>
      <c r="GT211" s="96"/>
      <c r="GU211" s="96"/>
      <c r="GV211" s="96"/>
      <c r="GW211" s="96"/>
      <c r="GX211" s="96"/>
      <c r="GY211" s="96"/>
      <c r="GZ211" s="96"/>
      <c r="HA211" s="96"/>
      <c r="HB211" s="96"/>
      <c r="HC211" s="13"/>
      <c r="HD211" s="96"/>
      <c r="HE211" s="96"/>
      <c r="HF211" s="96"/>
      <c r="HG211" s="96"/>
      <c r="HH211" s="96"/>
      <c r="HI211" s="96"/>
      <c r="HJ211" s="96"/>
      <c r="HK211" s="96"/>
      <c r="HL211" s="96"/>
      <c r="HM211" s="96"/>
      <c r="HN211" s="96"/>
      <c r="HO211" s="96"/>
      <c r="HP211" s="96"/>
      <c r="HQ211" s="96"/>
      <c r="HR211" s="96"/>
      <c r="HS211" s="13"/>
      <c r="HT211" s="96"/>
      <c r="HU211" s="96"/>
      <c r="HV211" s="96"/>
      <c r="HW211" s="96"/>
      <c r="HX211" s="96"/>
      <c r="HY211" s="96"/>
      <c r="HZ211" s="96"/>
      <c r="IA211" s="96"/>
      <c r="IB211" s="96"/>
      <c r="IC211" s="96"/>
      <c r="ID211" s="96"/>
      <c r="IE211" s="96"/>
      <c r="IF211" s="96"/>
      <c r="IG211" s="96"/>
      <c r="IH211" s="96"/>
      <c r="II211" s="13"/>
      <c r="IJ211" s="96"/>
      <c r="IK211" s="96"/>
      <c r="IL211" s="96"/>
      <c r="IM211" s="96"/>
      <c r="IN211" s="96"/>
      <c r="IO211" s="96"/>
      <c r="IP211" s="96"/>
      <c r="IQ211" s="96"/>
      <c r="IR211" s="96"/>
      <c r="IS211" s="96"/>
      <c r="IT211" s="96"/>
      <c r="IU211" s="96"/>
      <c r="IV211" s="96"/>
      <c r="IW211" s="96"/>
      <c r="IX211" s="96"/>
      <c r="IY211" s="13"/>
    </row>
    <row r="212" spans="1:259" outlineLevel="1">
      <c r="A212" s="11">
        <f>'VAC &amp; MED'!C207</f>
        <v>46198</v>
      </c>
      <c r="B212" s="261"/>
      <c r="C212" s="261"/>
      <c r="D212" s="261"/>
      <c r="E212" s="261"/>
      <c r="F212" s="261"/>
      <c r="G212" s="261"/>
      <c r="H212" s="261"/>
      <c r="I212" s="261"/>
      <c r="J212" s="261"/>
      <c r="K212" s="261"/>
      <c r="L212" s="261"/>
      <c r="M212" s="261"/>
      <c r="N212" s="261"/>
      <c r="O212" s="261"/>
      <c r="P212" s="261"/>
      <c r="Q212" s="261"/>
      <c r="R212" s="262"/>
      <c r="S212" s="262"/>
      <c r="T212" s="262"/>
      <c r="U212" s="262"/>
      <c r="V212" s="262"/>
      <c r="W212" s="262"/>
      <c r="X212" s="262"/>
      <c r="Y212" s="262"/>
      <c r="Z212" s="262"/>
      <c r="AA212" s="262"/>
      <c r="AB212" s="262"/>
      <c r="AC212" s="262"/>
      <c r="AD212" s="262"/>
      <c r="AE212" s="262"/>
      <c r="AF212" s="262"/>
      <c r="AG212" s="262"/>
      <c r="AH212" s="263"/>
      <c r="AI212" s="263"/>
      <c r="AJ212" s="263"/>
      <c r="AK212" s="263"/>
      <c r="AL212" s="263"/>
      <c r="AM212" s="263"/>
      <c r="AN212" s="263"/>
      <c r="AO212" s="263"/>
      <c r="AP212" s="263"/>
      <c r="AQ212" s="263"/>
      <c r="AR212" s="263"/>
      <c r="AS212" s="263"/>
      <c r="AT212" s="263"/>
      <c r="AU212" s="263"/>
      <c r="AV212" s="263"/>
      <c r="AW212" s="263"/>
      <c r="AX212" s="264"/>
      <c r="AY212" s="264"/>
      <c r="AZ212" s="264"/>
      <c r="BA212" s="264"/>
      <c r="BB212" s="264"/>
      <c r="BC212" s="264"/>
      <c r="BD212" s="264"/>
      <c r="BE212" s="264"/>
      <c r="BF212" s="264"/>
      <c r="BG212" s="264"/>
      <c r="BH212" s="264"/>
      <c r="BI212" s="264"/>
      <c r="BJ212" s="264"/>
      <c r="BK212" s="264"/>
      <c r="BL212" s="264"/>
      <c r="BM212" s="264"/>
      <c r="BN212" s="265"/>
      <c r="BO212" s="265"/>
      <c r="BP212" s="265"/>
      <c r="BQ212" s="265"/>
      <c r="BR212" s="265"/>
      <c r="BS212" s="265"/>
      <c r="BT212" s="265"/>
      <c r="BU212" s="265"/>
      <c r="BV212" s="265"/>
      <c r="BW212" s="265"/>
      <c r="BX212" s="265"/>
      <c r="BY212" s="265"/>
      <c r="BZ212" s="265"/>
      <c r="CA212" s="265"/>
      <c r="CB212" s="265"/>
      <c r="CC212" s="265"/>
      <c r="CD212" s="266"/>
      <c r="CE212" s="266"/>
      <c r="CF212" s="266"/>
      <c r="CG212" s="266"/>
      <c r="CH212" s="266"/>
      <c r="CI212" s="266"/>
      <c r="CJ212" s="266"/>
      <c r="CK212" s="266"/>
      <c r="CL212" s="266"/>
      <c r="CM212" s="266"/>
      <c r="CN212" s="266"/>
      <c r="CO212" s="266"/>
      <c r="CP212" s="266"/>
      <c r="CQ212" s="266"/>
      <c r="CR212" s="266"/>
      <c r="CS212" s="266"/>
      <c r="CT212" s="267"/>
      <c r="CU212" s="267"/>
      <c r="CV212" s="267"/>
      <c r="CW212" s="267"/>
      <c r="CX212" s="267"/>
      <c r="CY212" s="267"/>
      <c r="CZ212" s="267"/>
      <c r="DA212" s="267"/>
      <c r="DB212" s="267"/>
      <c r="DC212" s="267"/>
      <c r="DD212" s="267"/>
      <c r="DE212" s="267"/>
      <c r="DF212" s="267"/>
      <c r="DG212" s="267">
        <v>20</v>
      </c>
      <c r="DH212" s="267"/>
      <c r="DI212" s="267"/>
      <c r="DJ212" s="268"/>
      <c r="DK212" s="268"/>
      <c r="DL212" s="268"/>
      <c r="DM212" s="268"/>
      <c r="DN212" s="268"/>
      <c r="DO212" s="268"/>
      <c r="DP212" s="268"/>
      <c r="DQ212" s="268"/>
      <c r="DR212" s="268"/>
      <c r="DS212" s="268"/>
      <c r="DT212" s="268"/>
      <c r="DU212" s="268"/>
      <c r="DV212" s="268"/>
      <c r="DW212" s="268"/>
      <c r="DX212" s="268"/>
      <c r="DY212" s="268"/>
      <c r="EA212" s="13"/>
      <c r="EB212" s="96"/>
      <c r="EC212" s="96"/>
      <c r="ED212" s="96"/>
      <c r="EE212" s="96"/>
      <c r="EF212" s="96"/>
      <c r="EG212" s="96"/>
      <c r="EH212" s="96"/>
      <c r="EI212" s="96"/>
      <c r="EJ212" s="96"/>
      <c r="EK212" s="96"/>
      <c r="EL212" s="96"/>
      <c r="EM212" s="96"/>
      <c r="EN212" s="96"/>
      <c r="EO212" s="96"/>
      <c r="EP212" s="96"/>
      <c r="EQ212" s="96"/>
      <c r="ER212" s="96"/>
      <c r="ES212" s="96"/>
      <c r="ET212" s="96"/>
      <c r="EU212" s="96"/>
      <c r="EV212" s="96"/>
      <c r="EW212" s="96"/>
      <c r="EX212" s="96"/>
      <c r="EY212" s="96"/>
      <c r="EZ212" s="96"/>
      <c r="FA212" s="96"/>
      <c r="FB212" s="96"/>
      <c r="FC212" s="96"/>
      <c r="FD212" s="96"/>
      <c r="FE212" s="96"/>
      <c r="FF212" s="96"/>
      <c r="FG212" s="96"/>
      <c r="FH212" s="96"/>
      <c r="FI212" s="96"/>
      <c r="FJ212" s="96"/>
      <c r="FK212" s="96"/>
      <c r="FL212" s="96"/>
      <c r="FM212" s="96"/>
      <c r="FN212" s="96"/>
      <c r="FO212" s="96"/>
      <c r="FP212" s="96"/>
      <c r="FQ212" s="96"/>
      <c r="FR212" s="96"/>
      <c r="FS212" s="96"/>
      <c r="FT212" s="96"/>
      <c r="FU212" s="96"/>
      <c r="FV212" s="96"/>
      <c r="FW212" s="96"/>
      <c r="FX212" s="96"/>
      <c r="FY212" s="96"/>
      <c r="FZ212" s="96"/>
      <c r="GA212" s="96"/>
      <c r="GB212" s="96"/>
      <c r="GC212" s="96"/>
      <c r="GD212" s="96"/>
      <c r="GE212" s="96"/>
      <c r="GF212" s="96"/>
      <c r="GG212" s="96"/>
      <c r="GH212" s="96"/>
      <c r="GI212" s="96"/>
      <c r="GJ212" s="96"/>
      <c r="GK212" s="96"/>
      <c r="GL212" s="96"/>
      <c r="GM212" s="13"/>
      <c r="GN212" s="96"/>
      <c r="GO212" s="96"/>
      <c r="GP212" s="96"/>
      <c r="GQ212" s="96"/>
      <c r="GR212" s="96"/>
      <c r="GS212" s="96"/>
      <c r="GT212" s="96"/>
      <c r="GU212" s="96"/>
      <c r="GV212" s="96"/>
      <c r="GW212" s="96"/>
      <c r="GX212" s="96"/>
      <c r="GY212" s="96"/>
      <c r="GZ212" s="96"/>
      <c r="HA212" s="96"/>
      <c r="HB212" s="96"/>
      <c r="HC212" s="13"/>
      <c r="HD212" s="96"/>
      <c r="HE212" s="96"/>
      <c r="HF212" s="96"/>
      <c r="HG212" s="96"/>
      <c r="HH212" s="96"/>
      <c r="HI212" s="96"/>
      <c r="HJ212" s="96"/>
      <c r="HK212" s="96"/>
      <c r="HL212" s="96"/>
      <c r="HM212" s="96"/>
      <c r="HN212" s="96"/>
      <c r="HO212" s="96"/>
      <c r="HP212" s="96"/>
      <c r="HQ212" s="96"/>
      <c r="HR212" s="96"/>
      <c r="HS212" s="13"/>
      <c r="HT212" s="96"/>
      <c r="HU212" s="96"/>
      <c r="HV212" s="96"/>
      <c r="HW212" s="96"/>
      <c r="HX212" s="96"/>
      <c r="HY212" s="96"/>
      <c r="HZ212" s="96"/>
      <c r="IA212" s="96"/>
      <c r="IB212" s="96"/>
      <c r="IC212" s="96"/>
      <c r="ID212" s="96"/>
      <c r="IE212" s="96"/>
      <c r="IF212" s="96"/>
      <c r="IG212" s="96"/>
      <c r="IH212" s="96"/>
      <c r="II212" s="13"/>
      <c r="IJ212" s="96"/>
      <c r="IK212" s="96"/>
      <c r="IL212" s="96"/>
      <c r="IM212" s="96"/>
      <c r="IN212" s="96"/>
      <c r="IO212" s="96"/>
      <c r="IP212" s="96"/>
      <c r="IQ212" s="96"/>
      <c r="IR212" s="96"/>
      <c r="IS212" s="96"/>
      <c r="IT212" s="96"/>
      <c r="IU212" s="96"/>
      <c r="IV212" s="96"/>
      <c r="IW212" s="96"/>
      <c r="IX212" s="96"/>
      <c r="IY212" s="13"/>
    </row>
    <row r="213" spans="1:259" outlineLevel="1">
      <c r="A213" s="11">
        <f>'VAC &amp; MED'!C208</f>
        <v>46199</v>
      </c>
      <c r="B213" s="261"/>
      <c r="C213" s="261"/>
      <c r="D213" s="261"/>
      <c r="E213" s="261"/>
      <c r="F213" s="261"/>
      <c r="G213" s="261"/>
      <c r="H213" s="261"/>
      <c r="I213" s="261"/>
      <c r="J213" s="261"/>
      <c r="K213" s="261"/>
      <c r="L213" s="261"/>
      <c r="M213" s="261"/>
      <c r="N213" s="261"/>
      <c r="O213" s="261"/>
      <c r="P213" s="261"/>
      <c r="Q213" s="261"/>
      <c r="R213" s="262"/>
      <c r="S213" s="262"/>
      <c r="T213" s="262"/>
      <c r="U213" s="262"/>
      <c r="V213" s="262"/>
      <c r="W213" s="262"/>
      <c r="X213" s="262"/>
      <c r="Y213" s="262"/>
      <c r="Z213" s="262"/>
      <c r="AA213" s="262"/>
      <c r="AB213" s="262"/>
      <c r="AC213" s="262"/>
      <c r="AD213" s="262"/>
      <c r="AE213" s="262"/>
      <c r="AF213" s="262"/>
      <c r="AG213" s="262"/>
      <c r="AH213" s="263"/>
      <c r="AI213" s="263"/>
      <c r="AJ213" s="263"/>
      <c r="AK213" s="263"/>
      <c r="AL213" s="263"/>
      <c r="AM213" s="263"/>
      <c r="AN213" s="263"/>
      <c r="AO213" s="263"/>
      <c r="AP213" s="263"/>
      <c r="AQ213" s="263"/>
      <c r="AR213" s="263"/>
      <c r="AS213" s="263"/>
      <c r="AT213" s="263"/>
      <c r="AU213" s="263"/>
      <c r="AV213" s="263"/>
      <c r="AW213" s="263"/>
      <c r="AX213" s="264"/>
      <c r="AY213" s="264"/>
      <c r="AZ213" s="264"/>
      <c r="BA213" s="264"/>
      <c r="BB213" s="264"/>
      <c r="BC213" s="264"/>
      <c r="BD213" s="264"/>
      <c r="BE213" s="264"/>
      <c r="BF213" s="264"/>
      <c r="BG213" s="264"/>
      <c r="BH213" s="264"/>
      <c r="BI213" s="264"/>
      <c r="BJ213" s="264"/>
      <c r="BK213" s="264"/>
      <c r="BL213" s="264"/>
      <c r="BM213" s="264"/>
      <c r="BN213" s="265"/>
      <c r="BO213" s="265"/>
      <c r="BP213" s="265"/>
      <c r="BQ213" s="265"/>
      <c r="BR213" s="265"/>
      <c r="BS213" s="265"/>
      <c r="BT213" s="265"/>
      <c r="BU213" s="265"/>
      <c r="BV213" s="265"/>
      <c r="BW213" s="265"/>
      <c r="BX213" s="265">
        <v>10</v>
      </c>
      <c r="BY213" s="265"/>
      <c r="BZ213" s="265"/>
      <c r="CA213" s="265"/>
      <c r="CB213" s="265"/>
      <c r="CC213" s="265"/>
      <c r="CD213" s="266"/>
      <c r="CE213" s="266"/>
      <c r="CF213" s="266"/>
      <c r="CG213" s="266"/>
      <c r="CH213" s="266"/>
      <c r="CI213" s="266"/>
      <c r="CJ213" s="266"/>
      <c r="CK213" s="266"/>
      <c r="CL213" s="266"/>
      <c r="CM213" s="266"/>
      <c r="CN213" s="266"/>
      <c r="CO213" s="266"/>
      <c r="CP213" s="266"/>
      <c r="CQ213" s="266"/>
      <c r="CR213" s="266"/>
      <c r="CS213" s="266"/>
      <c r="CT213" s="267"/>
      <c r="CU213" s="267"/>
      <c r="CV213" s="267"/>
      <c r="CW213" s="267"/>
      <c r="CX213" s="267"/>
      <c r="CY213" s="267"/>
      <c r="CZ213" s="267"/>
      <c r="DA213" s="267"/>
      <c r="DB213" s="267"/>
      <c r="DC213" s="267"/>
      <c r="DD213" s="267">
        <v>46</v>
      </c>
      <c r="DE213" s="267"/>
      <c r="DF213" s="267"/>
      <c r="DG213" s="267">
        <v>60</v>
      </c>
      <c r="DH213" s="267"/>
      <c r="DI213" s="267"/>
      <c r="DJ213" s="268"/>
      <c r="DK213" s="268"/>
      <c r="DL213" s="268"/>
      <c r="DM213" s="268"/>
      <c r="DN213" s="268"/>
      <c r="DO213" s="268"/>
      <c r="DP213" s="268"/>
      <c r="DQ213" s="268"/>
      <c r="DR213" s="268"/>
      <c r="DS213" s="268"/>
      <c r="DT213" s="268"/>
      <c r="DU213" s="268"/>
      <c r="DV213" s="268"/>
      <c r="DW213" s="268"/>
      <c r="DX213" s="268"/>
      <c r="DY213" s="268"/>
      <c r="EA213" s="13"/>
      <c r="EB213" s="96"/>
      <c r="EC213" s="96"/>
      <c r="ED213" s="96"/>
      <c r="EE213" s="96"/>
      <c r="EF213" s="96"/>
      <c r="EG213" s="96"/>
      <c r="EH213" s="96"/>
      <c r="EI213" s="96"/>
      <c r="EJ213" s="96"/>
      <c r="EK213" s="96"/>
      <c r="EL213" s="96"/>
      <c r="EM213" s="96"/>
      <c r="EN213" s="96"/>
      <c r="EO213" s="96"/>
      <c r="EP213" s="96"/>
      <c r="EQ213" s="96"/>
      <c r="ER213" s="96"/>
      <c r="ES213" s="96"/>
      <c r="ET213" s="96"/>
      <c r="EU213" s="96"/>
      <c r="EV213" s="96"/>
      <c r="EW213" s="96"/>
      <c r="EX213" s="96"/>
      <c r="EY213" s="96"/>
      <c r="EZ213" s="96"/>
      <c r="FA213" s="96"/>
      <c r="FB213" s="96"/>
      <c r="FC213" s="96"/>
      <c r="FD213" s="96"/>
      <c r="FE213" s="96"/>
      <c r="FF213" s="96"/>
      <c r="FG213" s="96"/>
      <c r="FH213" s="96"/>
      <c r="FI213" s="96"/>
      <c r="FJ213" s="96"/>
      <c r="FK213" s="96"/>
      <c r="FL213" s="96"/>
      <c r="FM213" s="96"/>
      <c r="FN213" s="96"/>
      <c r="FO213" s="96"/>
      <c r="FP213" s="96"/>
      <c r="FQ213" s="96"/>
      <c r="FR213" s="96"/>
      <c r="FS213" s="96"/>
      <c r="FT213" s="96"/>
      <c r="FU213" s="96"/>
      <c r="FV213" s="96"/>
      <c r="FW213" s="96"/>
      <c r="FX213" s="96"/>
      <c r="FY213" s="96"/>
      <c r="FZ213" s="96"/>
      <c r="GA213" s="96"/>
      <c r="GB213" s="96"/>
      <c r="GC213" s="96"/>
      <c r="GD213" s="96"/>
      <c r="GE213" s="96"/>
      <c r="GF213" s="96"/>
      <c r="GG213" s="96"/>
      <c r="GH213" s="96"/>
      <c r="GI213" s="96"/>
      <c r="GJ213" s="96"/>
      <c r="GK213" s="96"/>
      <c r="GL213" s="96"/>
      <c r="GM213" s="13"/>
      <c r="GN213" s="96"/>
      <c r="GO213" s="96"/>
      <c r="GP213" s="96"/>
      <c r="GQ213" s="96"/>
      <c r="GR213" s="96"/>
      <c r="GS213" s="96"/>
      <c r="GT213" s="96"/>
      <c r="GU213" s="96"/>
      <c r="GV213" s="96"/>
      <c r="GW213" s="96"/>
      <c r="GX213" s="96"/>
      <c r="GY213" s="96"/>
      <c r="GZ213" s="96"/>
      <c r="HA213" s="96"/>
      <c r="HB213" s="96"/>
      <c r="HC213" s="13"/>
      <c r="HD213" s="96"/>
      <c r="HE213" s="96"/>
      <c r="HF213" s="96"/>
      <c r="HG213" s="96"/>
      <c r="HH213" s="96"/>
      <c r="HI213" s="96"/>
      <c r="HJ213" s="96"/>
      <c r="HK213" s="96"/>
      <c r="HL213" s="96"/>
      <c r="HM213" s="96"/>
      <c r="HN213" s="96"/>
      <c r="HO213" s="96"/>
      <c r="HP213" s="96"/>
      <c r="HQ213" s="96"/>
      <c r="HR213" s="96"/>
      <c r="HS213" s="13"/>
      <c r="HT213" s="96"/>
      <c r="HU213" s="96"/>
      <c r="HV213" s="96"/>
      <c r="HW213" s="96"/>
      <c r="HX213" s="96"/>
      <c r="HY213" s="96"/>
      <c r="HZ213" s="96"/>
      <c r="IA213" s="96"/>
      <c r="IB213" s="96"/>
      <c r="IC213" s="96"/>
      <c r="ID213" s="96"/>
      <c r="IE213" s="96"/>
      <c r="IF213" s="96"/>
      <c r="IG213" s="96"/>
      <c r="IH213" s="96"/>
      <c r="II213" s="13"/>
      <c r="IJ213" s="96"/>
      <c r="IK213" s="96"/>
      <c r="IL213" s="96"/>
      <c r="IM213" s="96"/>
      <c r="IN213" s="96"/>
      <c r="IO213" s="96"/>
      <c r="IP213" s="96"/>
      <c r="IQ213" s="96"/>
      <c r="IR213" s="96"/>
      <c r="IS213" s="96"/>
      <c r="IT213" s="96"/>
      <c r="IU213" s="96"/>
      <c r="IV213" s="96"/>
      <c r="IW213" s="96"/>
      <c r="IX213" s="96"/>
      <c r="IY213" s="13"/>
    </row>
    <row r="214" spans="1:259" outlineLevel="1">
      <c r="A214" s="11">
        <f>'VAC &amp; MED'!C209</f>
        <v>46200</v>
      </c>
      <c r="B214" s="261"/>
      <c r="C214" s="261"/>
      <c r="D214" s="261"/>
      <c r="E214" s="261"/>
      <c r="F214" s="261"/>
      <c r="G214" s="261"/>
      <c r="H214" s="261"/>
      <c r="I214" s="261"/>
      <c r="J214" s="261"/>
      <c r="K214" s="261"/>
      <c r="L214" s="261"/>
      <c r="M214" s="261"/>
      <c r="N214" s="261"/>
      <c r="O214" s="261"/>
      <c r="P214" s="261"/>
      <c r="Q214" s="261"/>
      <c r="R214" s="262"/>
      <c r="S214" s="262"/>
      <c r="T214" s="262"/>
      <c r="U214" s="262"/>
      <c r="V214" s="262"/>
      <c r="W214" s="262"/>
      <c r="X214" s="262"/>
      <c r="Y214" s="262"/>
      <c r="Z214" s="262"/>
      <c r="AA214" s="262"/>
      <c r="AB214" s="262"/>
      <c r="AC214" s="262"/>
      <c r="AD214" s="262"/>
      <c r="AE214" s="262"/>
      <c r="AF214" s="262"/>
      <c r="AG214" s="262"/>
      <c r="AH214" s="263"/>
      <c r="AI214" s="263"/>
      <c r="AJ214" s="263"/>
      <c r="AK214" s="263"/>
      <c r="AL214" s="263"/>
      <c r="AM214" s="263"/>
      <c r="AN214" s="263"/>
      <c r="AO214" s="263"/>
      <c r="AP214" s="263"/>
      <c r="AQ214" s="263"/>
      <c r="AR214" s="263"/>
      <c r="AS214" s="263"/>
      <c r="AT214" s="263"/>
      <c r="AU214" s="263"/>
      <c r="AV214" s="263"/>
      <c r="AW214" s="263"/>
      <c r="AX214" s="264"/>
      <c r="AY214" s="264"/>
      <c r="AZ214" s="264"/>
      <c r="BA214" s="264"/>
      <c r="BB214" s="264"/>
      <c r="BC214" s="264"/>
      <c r="BD214" s="264"/>
      <c r="BE214" s="264"/>
      <c r="BF214" s="264"/>
      <c r="BG214" s="264"/>
      <c r="BH214" s="264"/>
      <c r="BI214" s="264"/>
      <c r="BJ214" s="264"/>
      <c r="BK214" s="264"/>
      <c r="BL214" s="264"/>
      <c r="BM214" s="264"/>
      <c r="BN214" s="265"/>
      <c r="BO214" s="265">
        <v>6</v>
      </c>
      <c r="BP214" s="265"/>
      <c r="BQ214" s="265"/>
      <c r="BR214" s="265"/>
      <c r="BS214" s="265"/>
      <c r="BT214" s="265"/>
      <c r="BU214" s="265"/>
      <c r="BV214" s="265"/>
      <c r="BW214" s="265"/>
      <c r="BX214" s="265"/>
      <c r="BY214" s="265"/>
      <c r="BZ214" s="265"/>
      <c r="CA214" s="265"/>
      <c r="CB214" s="265"/>
      <c r="CC214" s="265"/>
      <c r="CD214" s="266"/>
      <c r="CE214" s="266"/>
      <c r="CF214" s="266"/>
      <c r="CG214" s="266"/>
      <c r="CH214" s="266"/>
      <c r="CI214" s="266"/>
      <c r="CJ214" s="266"/>
      <c r="CK214" s="266"/>
      <c r="CL214" s="266"/>
      <c r="CM214" s="266"/>
      <c r="CN214" s="266"/>
      <c r="CO214" s="266"/>
      <c r="CP214" s="266"/>
      <c r="CQ214" s="266"/>
      <c r="CR214" s="266"/>
      <c r="CS214" s="266"/>
      <c r="CT214" s="267"/>
      <c r="CU214" s="267"/>
      <c r="CV214" s="267"/>
      <c r="CW214" s="267"/>
      <c r="CX214" s="267"/>
      <c r="CY214" s="267"/>
      <c r="CZ214" s="267"/>
      <c r="DA214" s="267"/>
      <c r="DB214" s="267"/>
      <c r="DC214" s="267"/>
      <c r="DD214" s="267"/>
      <c r="DE214" s="267"/>
      <c r="DF214" s="267"/>
      <c r="DG214" s="267"/>
      <c r="DH214" s="267"/>
      <c r="DI214" s="267"/>
      <c r="DJ214" s="268"/>
      <c r="DK214" s="268"/>
      <c r="DL214" s="268"/>
      <c r="DM214" s="268"/>
      <c r="DN214" s="268"/>
      <c r="DO214" s="268"/>
      <c r="DP214" s="268"/>
      <c r="DQ214" s="268"/>
      <c r="DR214" s="268"/>
      <c r="DS214" s="268"/>
      <c r="DT214" s="268"/>
      <c r="DU214" s="268"/>
      <c r="DV214" s="268"/>
      <c r="DW214" s="268"/>
      <c r="DX214" s="268"/>
      <c r="DY214" s="268"/>
      <c r="EA214" s="13"/>
      <c r="EB214" s="96"/>
      <c r="EC214" s="96"/>
      <c r="ED214" s="96"/>
      <c r="EE214" s="96"/>
      <c r="EF214" s="96"/>
      <c r="EG214" s="96"/>
      <c r="EH214" s="96"/>
      <c r="EI214" s="96"/>
      <c r="EJ214" s="96"/>
      <c r="EK214" s="96"/>
      <c r="EL214" s="96"/>
      <c r="EM214" s="96"/>
      <c r="EN214" s="96"/>
      <c r="EO214" s="96"/>
      <c r="EP214" s="96"/>
      <c r="EQ214" s="96"/>
      <c r="ER214" s="96"/>
      <c r="ES214" s="96"/>
      <c r="ET214" s="96"/>
      <c r="EU214" s="96"/>
      <c r="EV214" s="96"/>
      <c r="EW214" s="96"/>
      <c r="EX214" s="96"/>
      <c r="EY214" s="96"/>
      <c r="EZ214" s="96"/>
      <c r="FA214" s="96"/>
      <c r="FB214" s="96"/>
      <c r="FC214" s="96"/>
      <c r="FD214" s="96"/>
      <c r="FE214" s="96"/>
      <c r="FF214" s="96"/>
      <c r="FG214" s="96"/>
      <c r="FH214" s="96"/>
      <c r="FI214" s="96"/>
      <c r="FJ214" s="96"/>
      <c r="FK214" s="96"/>
      <c r="FL214" s="96"/>
      <c r="FM214" s="96"/>
      <c r="FN214" s="96"/>
      <c r="FO214" s="96"/>
      <c r="FP214" s="96"/>
      <c r="FQ214" s="96"/>
      <c r="FR214" s="96"/>
      <c r="FS214" s="96"/>
      <c r="FT214" s="96"/>
      <c r="FU214" s="96"/>
      <c r="FV214" s="96"/>
      <c r="FW214" s="96"/>
      <c r="FX214" s="96"/>
      <c r="FY214" s="96"/>
      <c r="FZ214" s="96"/>
      <c r="GA214" s="96"/>
      <c r="GB214" s="96"/>
      <c r="GC214" s="96"/>
      <c r="GD214" s="96"/>
      <c r="GE214" s="96"/>
      <c r="GF214" s="96"/>
      <c r="GG214" s="96"/>
      <c r="GH214" s="96"/>
      <c r="GI214" s="96"/>
      <c r="GJ214" s="96"/>
      <c r="GK214" s="96"/>
      <c r="GL214" s="96"/>
      <c r="GM214" s="13"/>
      <c r="GN214" s="96"/>
      <c r="GO214" s="96"/>
      <c r="GP214" s="96"/>
      <c r="GQ214" s="96"/>
      <c r="GR214" s="96"/>
      <c r="GS214" s="96"/>
      <c r="GT214" s="96"/>
      <c r="GU214" s="96"/>
      <c r="GV214" s="96"/>
      <c r="GW214" s="96"/>
      <c r="GX214" s="96"/>
      <c r="GY214" s="96"/>
      <c r="GZ214" s="96"/>
      <c r="HA214" s="96"/>
      <c r="HB214" s="96"/>
      <c r="HC214" s="13"/>
      <c r="HD214" s="96"/>
      <c r="HE214" s="96"/>
      <c r="HF214" s="96"/>
      <c r="HG214" s="96"/>
      <c r="HH214" s="96"/>
      <c r="HI214" s="96"/>
      <c r="HJ214" s="96"/>
      <c r="HK214" s="96"/>
      <c r="HL214" s="96"/>
      <c r="HM214" s="96"/>
      <c r="HN214" s="96"/>
      <c r="HO214" s="96"/>
      <c r="HP214" s="96"/>
      <c r="HQ214" s="96"/>
      <c r="HR214" s="96"/>
      <c r="HS214" s="13"/>
      <c r="HT214" s="96"/>
      <c r="HU214" s="96"/>
      <c r="HV214" s="96"/>
      <c r="HW214" s="96"/>
      <c r="HX214" s="96"/>
      <c r="HY214" s="96"/>
      <c r="HZ214" s="96"/>
      <c r="IA214" s="96"/>
      <c r="IB214" s="96"/>
      <c r="IC214" s="96"/>
      <c r="ID214" s="96"/>
      <c r="IE214" s="96"/>
      <c r="IF214" s="96"/>
      <c r="IG214" s="96"/>
      <c r="IH214" s="96"/>
      <c r="II214" s="13"/>
      <c r="IJ214" s="96"/>
      <c r="IK214" s="96"/>
      <c r="IL214" s="96"/>
      <c r="IM214" s="96"/>
      <c r="IN214" s="96"/>
      <c r="IO214" s="96"/>
      <c r="IP214" s="96"/>
      <c r="IQ214" s="96"/>
      <c r="IR214" s="96"/>
      <c r="IS214" s="96"/>
      <c r="IT214" s="96"/>
      <c r="IU214" s="96"/>
      <c r="IV214" s="96"/>
      <c r="IW214" s="96"/>
      <c r="IX214" s="96"/>
      <c r="IY214" s="13"/>
    </row>
    <row r="215" spans="1:259" outlineLevel="1">
      <c r="A215" s="11">
        <f>'VAC &amp; MED'!C210</f>
        <v>46201</v>
      </c>
      <c r="B215" s="261"/>
      <c r="C215" s="261"/>
      <c r="D215" s="261"/>
      <c r="E215" s="261"/>
      <c r="F215" s="261"/>
      <c r="G215" s="261"/>
      <c r="H215" s="261"/>
      <c r="I215" s="261"/>
      <c r="J215" s="261"/>
      <c r="K215" s="261"/>
      <c r="L215" s="261"/>
      <c r="M215" s="261"/>
      <c r="N215" s="261"/>
      <c r="O215" s="261"/>
      <c r="P215" s="261"/>
      <c r="Q215" s="261"/>
      <c r="R215" s="262"/>
      <c r="S215" s="262"/>
      <c r="T215" s="262"/>
      <c r="U215" s="262"/>
      <c r="V215" s="262"/>
      <c r="W215" s="262"/>
      <c r="X215" s="262"/>
      <c r="Y215" s="262"/>
      <c r="Z215" s="262"/>
      <c r="AA215" s="262"/>
      <c r="AB215" s="262"/>
      <c r="AC215" s="262"/>
      <c r="AD215" s="262"/>
      <c r="AE215" s="262"/>
      <c r="AF215" s="262"/>
      <c r="AG215" s="262"/>
      <c r="AH215" s="263"/>
      <c r="AI215" s="263"/>
      <c r="AJ215" s="263"/>
      <c r="AK215" s="263"/>
      <c r="AL215" s="263"/>
      <c r="AM215" s="263"/>
      <c r="AN215" s="263"/>
      <c r="AO215" s="263"/>
      <c r="AP215" s="263"/>
      <c r="AQ215" s="263"/>
      <c r="AR215" s="263"/>
      <c r="AS215" s="263"/>
      <c r="AT215" s="263"/>
      <c r="AU215" s="263"/>
      <c r="AV215" s="263"/>
      <c r="AW215" s="263"/>
      <c r="AX215" s="264"/>
      <c r="AY215" s="264"/>
      <c r="AZ215" s="264"/>
      <c r="BA215" s="264"/>
      <c r="BB215" s="264"/>
      <c r="BC215" s="264"/>
      <c r="BD215" s="264"/>
      <c r="BE215" s="264"/>
      <c r="BF215" s="264"/>
      <c r="BG215" s="264"/>
      <c r="BH215" s="264"/>
      <c r="BI215" s="264"/>
      <c r="BJ215" s="264"/>
      <c r="BK215" s="264"/>
      <c r="BL215" s="264"/>
      <c r="BM215" s="264"/>
      <c r="BN215" s="265"/>
      <c r="BO215" s="265"/>
      <c r="BP215" s="265"/>
      <c r="BQ215" s="265"/>
      <c r="BR215" s="265"/>
      <c r="BS215" s="265"/>
      <c r="BT215" s="265"/>
      <c r="BU215" s="265"/>
      <c r="BV215" s="265"/>
      <c r="BW215" s="265"/>
      <c r="BX215" s="265"/>
      <c r="BY215" s="265"/>
      <c r="BZ215" s="265"/>
      <c r="CA215" s="265"/>
      <c r="CB215" s="265"/>
      <c r="CC215" s="265"/>
      <c r="CD215" s="266"/>
      <c r="CE215" s="266"/>
      <c r="CF215" s="266"/>
      <c r="CG215" s="266"/>
      <c r="CH215" s="266"/>
      <c r="CI215" s="266"/>
      <c r="CJ215" s="266"/>
      <c r="CK215" s="266"/>
      <c r="CL215" s="266"/>
      <c r="CM215" s="266"/>
      <c r="CN215" s="266"/>
      <c r="CO215" s="266"/>
      <c r="CP215" s="266"/>
      <c r="CQ215" s="266"/>
      <c r="CR215" s="266"/>
      <c r="CS215" s="266"/>
      <c r="CT215" s="267"/>
      <c r="CU215" s="267"/>
      <c r="CV215" s="267"/>
      <c r="CW215" s="267"/>
      <c r="CX215" s="267"/>
      <c r="CY215" s="267"/>
      <c r="CZ215" s="267"/>
      <c r="DA215" s="267"/>
      <c r="DB215" s="267"/>
      <c r="DC215" s="267"/>
      <c r="DD215" s="267"/>
      <c r="DE215" s="267"/>
      <c r="DF215" s="267"/>
      <c r="DG215" s="267"/>
      <c r="DH215" s="267"/>
      <c r="DI215" s="267"/>
      <c r="DJ215" s="268"/>
      <c r="DK215" s="268"/>
      <c r="DL215" s="268"/>
      <c r="DM215" s="268"/>
      <c r="DN215" s="268"/>
      <c r="DO215" s="268"/>
      <c r="DP215" s="268"/>
      <c r="DQ215" s="268"/>
      <c r="DR215" s="268"/>
      <c r="DS215" s="268"/>
      <c r="DT215" s="268"/>
      <c r="DU215" s="268"/>
      <c r="DV215" s="268"/>
      <c r="DW215" s="268"/>
      <c r="DX215" s="268"/>
      <c r="DY215" s="268"/>
      <c r="EA215" s="13"/>
      <c r="EB215" s="96"/>
      <c r="EC215" s="96"/>
      <c r="ED215" s="96"/>
      <c r="EE215" s="96"/>
      <c r="EF215" s="96"/>
      <c r="EG215" s="96"/>
      <c r="EH215" s="96"/>
      <c r="EI215" s="96"/>
      <c r="EJ215" s="96"/>
      <c r="EK215" s="96"/>
      <c r="EL215" s="96"/>
      <c r="EM215" s="96"/>
      <c r="EN215" s="96"/>
      <c r="EO215" s="96"/>
      <c r="EP215" s="96"/>
      <c r="EQ215" s="96"/>
      <c r="ER215" s="96"/>
      <c r="ES215" s="96"/>
      <c r="ET215" s="96"/>
      <c r="EU215" s="96"/>
      <c r="EV215" s="96"/>
      <c r="EW215" s="96"/>
      <c r="EX215" s="96"/>
      <c r="EY215" s="96"/>
      <c r="EZ215" s="96"/>
      <c r="FA215" s="96"/>
      <c r="FB215" s="96"/>
      <c r="FC215" s="96"/>
      <c r="FD215" s="96"/>
      <c r="FE215" s="96"/>
      <c r="FF215" s="96"/>
      <c r="FG215" s="96"/>
      <c r="FH215" s="96"/>
      <c r="FI215" s="96"/>
      <c r="FJ215" s="96"/>
      <c r="FK215" s="96"/>
      <c r="FL215" s="96"/>
      <c r="FM215" s="96"/>
      <c r="FN215" s="96"/>
      <c r="FO215" s="96"/>
      <c r="FP215" s="96"/>
      <c r="FQ215" s="96"/>
      <c r="FR215" s="96"/>
      <c r="FS215" s="96"/>
      <c r="FT215" s="96"/>
      <c r="FU215" s="96"/>
      <c r="FV215" s="96"/>
      <c r="FW215" s="96"/>
      <c r="FX215" s="96"/>
      <c r="FY215" s="96"/>
      <c r="FZ215" s="96"/>
      <c r="GA215" s="96"/>
      <c r="GB215" s="96"/>
      <c r="GC215" s="96"/>
      <c r="GD215" s="96"/>
      <c r="GE215" s="96"/>
      <c r="GF215" s="96"/>
      <c r="GG215" s="96"/>
      <c r="GH215" s="96"/>
      <c r="GI215" s="96"/>
      <c r="GJ215" s="96"/>
      <c r="GK215" s="96"/>
      <c r="GL215" s="96"/>
      <c r="GM215" s="13"/>
      <c r="GN215" s="96"/>
      <c r="GO215" s="96"/>
      <c r="GP215" s="96"/>
      <c r="GQ215" s="96"/>
      <c r="GR215" s="96"/>
      <c r="GS215" s="96"/>
      <c r="GT215" s="96"/>
      <c r="GU215" s="96"/>
      <c r="GV215" s="96"/>
      <c r="GW215" s="96"/>
      <c r="GX215" s="96"/>
      <c r="GY215" s="96"/>
      <c r="GZ215" s="96"/>
      <c r="HA215" s="96"/>
      <c r="HB215" s="96"/>
      <c r="HC215" s="13"/>
      <c r="HD215" s="96"/>
      <c r="HE215" s="96"/>
      <c r="HF215" s="96"/>
      <c r="HG215" s="96"/>
      <c r="HH215" s="96"/>
      <c r="HI215" s="96"/>
      <c r="HJ215" s="96"/>
      <c r="HK215" s="96"/>
      <c r="HL215" s="96"/>
      <c r="HM215" s="96"/>
      <c r="HN215" s="96"/>
      <c r="HO215" s="96"/>
      <c r="HP215" s="96"/>
      <c r="HQ215" s="96"/>
      <c r="HR215" s="96"/>
      <c r="HS215" s="13"/>
      <c r="HT215" s="96"/>
      <c r="HU215" s="96"/>
      <c r="HV215" s="96"/>
      <c r="HW215" s="96"/>
      <c r="HX215" s="96"/>
      <c r="HY215" s="96"/>
      <c r="HZ215" s="96"/>
      <c r="IA215" s="96"/>
      <c r="IB215" s="96"/>
      <c r="IC215" s="96"/>
      <c r="ID215" s="96"/>
      <c r="IE215" s="96"/>
      <c r="IF215" s="96"/>
      <c r="IG215" s="96"/>
      <c r="IH215" s="96"/>
      <c r="II215" s="13"/>
      <c r="IJ215" s="96"/>
      <c r="IK215" s="96"/>
      <c r="IL215" s="96"/>
      <c r="IM215" s="96"/>
      <c r="IN215" s="96"/>
      <c r="IO215" s="96"/>
      <c r="IP215" s="96"/>
      <c r="IQ215" s="96"/>
      <c r="IR215" s="96"/>
      <c r="IS215" s="96"/>
      <c r="IT215" s="96"/>
      <c r="IU215" s="96"/>
      <c r="IV215" s="96"/>
      <c r="IW215" s="96"/>
      <c r="IX215" s="96"/>
      <c r="IY215" s="13"/>
    </row>
    <row r="216" spans="1:259" outlineLevel="1">
      <c r="A216" s="11">
        <f>'VAC &amp; MED'!C211</f>
        <v>46202</v>
      </c>
      <c r="B216" s="269"/>
      <c r="C216" s="269"/>
      <c r="D216" s="269"/>
      <c r="E216" s="269"/>
      <c r="F216" s="269"/>
      <c r="G216" s="269"/>
      <c r="H216" s="269"/>
      <c r="I216" s="269"/>
      <c r="J216" s="269"/>
      <c r="K216" s="269"/>
      <c r="L216" s="269"/>
      <c r="M216" s="269"/>
      <c r="N216" s="269"/>
      <c r="O216" s="269"/>
      <c r="P216" s="269"/>
      <c r="Q216" s="269"/>
      <c r="R216" s="270"/>
      <c r="S216" s="270"/>
      <c r="T216" s="270"/>
      <c r="U216" s="270"/>
      <c r="V216" s="270"/>
      <c r="W216" s="270"/>
      <c r="X216" s="270"/>
      <c r="Y216" s="270"/>
      <c r="Z216" s="270"/>
      <c r="AA216" s="270"/>
      <c r="AB216" s="270"/>
      <c r="AC216" s="270"/>
      <c r="AD216" s="270"/>
      <c r="AE216" s="270"/>
      <c r="AF216" s="270"/>
      <c r="AG216" s="270"/>
      <c r="AH216" s="271"/>
      <c r="AI216" s="271"/>
      <c r="AJ216" s="271"/>
      <c r="AK216" s="271"/>
      <c r="AL216" s="271"/>
      <c r="AM216" s="271"/>
      <c r="AN216" s="271"/>
      <c r="AO216" s="271"/>
      <c r="AP216" s="271"/>
      <c r="AQ216" s="271"/>
      <c r="AR216" s="271"/>
      <c r="AS216" s="271"/>
      <c r="AT216" s="271"/>
      <c r="AU216" s="271"/>
      <c r="AV216" s="271"/>
      <c r="AW216" s="271"/>
      <c r="AX216" s="272"/>
      <c r="AY216" s="272"/>
      <c r="AZ216" s="272"/>
      <c r="BA216" s="272"/>
      <c r="BB216" s="272"/>
      <c r="BC216" s="272"/>
      <c r="BD216" s="272"/>
      <c r="BE216" s="272"/>
      <c r="BF216" s="272"/>
      <c r="BG216" s="272"/>
      <c r="BH216" s="272"/>
      <c r="BI216" s="272"/>
      <c r="BJ216" s="272"/>
      <c r="BK216" s="272"/>
      <c r="BL216" s="272"/>
      <c r="BM216" s="272"/>
      <c r="BN216" s="273"/>
      <c r="BO216" s="273"/>
      <c r="BP216" s="273"/>
      <c r="BQ216" s="273"/>
      <c r="BR216" s="273"/>
      <c r="BS216" s="273"/>
      <c r="BT216" s="273"/>
      <c r="BU216" s="273"/>
      <c r="BV216" s="273"/>
      <c r="BW216" s="273"/>
      <c r="BX216" s="273"/>
      <c r="BY216" s="273"/>
      <c r="BZ216" s="273"/>
      <c r="CA216" s="273"/>
      <c r="CB216" s="273"/>
      <c r="CC216" s="273"/>
      <c r="CD216" s="274"/>
      <c r="CE216" s="274"/>
      <c r="CF216" s="274"/>
      <c r="CG216" s="274"/>
      <c r="CH216" s="274"/>
      <c r="CI216" s="274"/>
      <c r="CJ216" s="274"/>
      <c r="CK216" s="274"/>
      <c r="CL216" s="274"/>
      <c r="CM216" s="274"/>
      <c r="CN216" s="274"/>
      <c r="CO216" s="274"/>
      <c r="CP216" s="274"/>
      <c r="CQ216" s="274"/>
      <c r="CR216" s="274"/>
      <c r="CS216" s="274"/>
      <c r="CT216" s="275"/>
      <c r="CU216" s="275"/>
      <c r="CV216" s="275"/>
      <c r="CW216" s="275"/>
      <c r="CX216" s="275"/>
      <c r="CY216" s="275"/>
      <c r="CZ216" s="275"/>
      <c r="DA216" s="275"/>
      <c r="DB216" s="275"/>
      <c r="DC216" s="275"/>
      <c r="DD216" s="275"/>
      <c r="DE216" s="275"/>
      <c r="DF216" s="275"/>
      <c r="DG216" s="275">
        <v>60</v>
      </c>
      <c r="DH216" s="275"/>
      <c r="DI216" s="275"/>
      <c r="DJ216" s="276"/>
      <c r="DK216" s="276"/>
      <c r="DL216" s="276"/>
      <c r="DM216" s="276"/>
      <c r="DN216" s="276"/>
      <c r="DO216" s="276"/>
      <c r="DP216" s="276"/>
      <c r="DQ216" s="276"/>
      <c r="DR216" s="276"/>
      <c r="DS216" s="276"/>
      <c r="DT216" s="276"/>
      <c r="DU216" s="276"/>
      <c r="DV216" s="276"/>
      <c r="DW216" s="276"/>
      <c r="DX216" s="276"/>
      <c r="DY216" s="276"/>
      <c r="EA216" s="89"/>
      <c r="EB216" s="96"/>
      <c r="EC216" s="96"/>
      <c r="ED216" s="96"/>
      <c r="EE216" s="96"/>
      <c r="EF216" s="96"/>
      <c r="EG216" s="96"/>
      <c r="EH216" s="96"/>
      <c r="EI216" s="96"/>
      <c r="EJ216" s="96"/>
      <c r="EK216" s="96"/>
      <c r="EL216" s="96"/>
      <c r="EM216" s="96"/>
      <c r="EN216" s="96"/>
      <c r="EO216" s="96"/>
      <c r="EP216" s="96"/>
      <c r="EQ216" s="96"/>
      <c r="ER216" s="96"/>
      <c r="ES216" s="96"/>
      <c r="ET216" s="96"/>
      <c r="EU216" s="96"/>
      <c r="EV216" s="96"/>
      <c r="EW216" s="96"/>
      <c r="EX216" s="96"/>
      <c r="EY216" s="96"/>
      <c r="EZ216" s="96"/>
      <c r="FA216" s="96"/>
      <c r="FB216" s="96"/>
      <c r="FC216" s="96"/>
      <c r="FD216" s="96"/>
      <c r="FE216" s="96"/>
      <c r="FF216" s="96"/>
      <c r="FG216" s="96"/>
      <c r="FH216" s="96"/>
      <c r="FI216" s="96"/>
      <c r="FJ216" s="96"/>
      <c r="FK216" s="96"/>
      <c r="FL216" s="96"/>
      <c r="FM216" s="96"/>
      <c r="FN216" s="96"/>
      <c r="FO216" s="96"/>
      <c r="FP216" s="96"/>
      <c r="FQ216" s="96"/>
      <c r="FR216" s="96"/>
      <c r="FS216" s="96"/>
      <c r="FT216" s="96"/>
      <c r="FU216" s="96"/>
      <c r="FV216" s="96"/>
      <c r="FW216" s="96"/>
      <c r="FX216" s="96"/>
      <c r="FY216" s="96"/>
      <c r="FZ216" s="96"/>
      <c r="GA216" s="96"/>
      <c r="GB216" s="96"/>
      <c r="GC216" s="96"/>
      <c r="GD216" s="96"/>
      <c r="GE216" s="96"/>
      <c r="GF216" s="96"/>
      <c r="GG216" s="96"/>
      <c r="GH216" s="96"/>
      <c r="GI216" s="96"/>
      <c r="GJ216" s="96"/>
      <c r="GK216" s="96"/>
      <c r="GL216" s="96"/>
      <c r="GM216" s="13"/>
      <c r="GN216" s="96"/>
      <c r="GO216" s="96"/>
      <c r="GP216" s="96"/>
      <c r="GQ216" s="96"/>
      <c r="GR216" s="96"/>
      <c r="GS216" s="96"/>
      <c r="GT216" s="96"/>
      <c r="GU216" s="96"/>
      <c r="GV216" s="96"/>
      <c r="GW216" s="96"/>
      <c r="GX216" s="96"/>
      <c r="GY216" s="96"/>
      <c r="GZ216" s="96"/>
      <c r="HA216" s="96"/>
      <c r="HB216" s="96"/>
      <c r="HC216" s="13"/>
      <c r="HD216" s="96"/>
      <c r="HE216" s="96"/>
      <c r="HF216" s="96"/>
      <c r="HG216" s="96"/>
      <c r="HH216" s="96"/>
      <c r="HI216" s="96"/>
      <c r="HJ216" s="96"/>
      <c r="HK216" s="96"/>
      <c r="HL216" s="96"/>
      <c r="HM216" s="96"/>
      <c r="HN216" s="96"/>
      <c r="HO216" s="96"/>
      <c r="HP216" s="96"/>
      <c r="HQ216" s="96"/>
      <c r="HR216" s="96"/>
      <c r="HS216" s="13"/>
      <c r="HT216" s="96"/>
      <c r="HU216" s="96"/>
      <c r="HV216" s="96"/>
      <c r="HW216" s="96"/>
      <c r="HX216" s="96"/>
      <c r="HY216" s="96"/>
      <c r="HZ216" s="96"/>
      <c r="IA216" s="96"/>
      <c r="IB216" s="96"/>
      <c r="IC216" s="96"/>
      <c r="ID216" s="96"/>
      <c r="IE216" s="96"/>
      <c r="IF216" s="96"/>
      <c r="IG216" s="96"/>
      <c r="IH216" s="96"/>
      <c r="II216" s="13"/>
      <c r="IJ216" s="96"/>
      <c r="IK216" s="96"/>
      <c r="IL216" s="96"/>
      <c r="IM216" s="96"/>
      <c r="IN216" s="96"/>
      <c r="IO216" s="96"/>
      <c r="IP216" s="96"/>
      <c r="IQ216" s="96"/>
      <c r="IR216" s="96"/>
      <c r="IS216" s="96"/>
      <c r="IT216" s="96"/>
      <c r="IU216" s="96"/>
      <c r="IV216" s="96"/>
      <c r="IW216" s="96"/>
      <c r="IX216" s="96"/>
      <c r="IY216" s="13"/>
    </row>
    <row r="217" spans="1:259" outlineLevel="1">
      <c r="A217" s="11">
        <f>'VAC &amp; MED'!C212</f>
        <v>46203</v>
      </c>
      <c r="B217" s="261"/>
      <c r="C217" s="261"/>
      <c r="D217" s="261"/>
      <c r="E217" s="261"/>
      <c r="F217" s="261"/>
      <c r="G217" s="261"/>
      <c r="H217" s="261"/>
      <c r="I217" s="261"/>
      <c r="J217" s="261"/>
      <c r="K217" s="261"/>
      <c r="L217" s="261"/>
      <c r="M217" s="261"/>
      <c r="N217" s="261"/>
      <c r="O217" s="261"/>
      <c r="P217" s="261"/>
      <c r="Q217" s="261"/>
      <c r="R217" s="262"/>
      <c r="S217" s="262"/>
      <c r="T217" s="262"/>
      <c r="U217" s="262"/>
      <c r="V217" s="262"/>
      <c r="W217" s="262"/>
      <c r="X217" s="262"/>
      <c r="Y217" s="262"/>
      <c r="Z217" s="262"/>
      <c r="AA217" s="262"/>
      <c r="AB217" s="262"/>
      <c r="AC217" s="262"/>
      <c r="AD217" s="262"/>
      <c r="AE217" s="262"/>
      <c r="AF217" s="262"/>
      <c r="AG217" s="262"/>
      <c r="AH217" s="263"/>
      <c r="AI217" s="263"/>
      <c r="AJ217" s="263"/>
      <c r="AK217" s="263"/>
      <c r="AL217" s="263"/>
      <c r="AM217" s="263"/>
      <c r="AN217" s="263"/>
      <c r="AO217" s="263"/>
      <c r="AP217" s="263"/>
      <c r="AQ217" s="263"/>
      <c r="AR217" s="263"/>
      <c r="AS217" s="263"/>
      <c r="AT217" s="263"/>
      <c r="AU217" s="263"/>
      <c r="AV217" s="263"/>
      <c r="AW217" s="263"/>
      <c r="AX217" s="264"/>
      <c r="AY217" s="264"/>
      <c r="AZ217" s="264"/>
      <c r="BA217" s="264"/>
      <c r="BB217" s="264"/>
      <c r="BC217" s="264"/>
      <c r="BD217" s="264"/>
      <c r="BE217" s="264"/>
      <c r="BF217" s="264"/>
      <c r="BG217" s="264"/>
      <c r="BH217" s="264"/>
      <c r="BI217" s="264"/>
      <c r="BJ217" s="264"/>
      <c r="BK217" s="264"/>
      <c r="BL217" s="264"/>
      <c r="BM217" s="264"/>
      <c r="BN217" s="265"/>
      <c r="BO217" s="265"/>
      <c r="BP217" s="265"/>
      <c r="BQ217" s="265"/>
      <c r="BR217" s="265"/>
      <c r="BS217" s="265"/>
      <c r="BT217" s="265"/>
      <c r="BU217" s="265"/>
      <c r="BV217" s="265"/>
      <c r="BW217" s="265"/>
      <c r="BX217" s="265"/>
      <c r="BY217" s="265"/>
      <c r="BZ217" s="265"/>
      <c r="CA217" s="265"/>
      <c r="CB217" s="265"/>
      <c r="CC217" s="265"/>
      <c r="CD217" s="266"/>
      <c r="CE217" s="266"/>
      <c r="CF217" s="266"/>
      <c r="CG217" s="266"/>
      <c r="CH217" s="266"/>
      <c r="CI217" s="266"/>
      <c r="CJ217" s="266"/>
      <c r="CK217" s="266"/>
      <c r="CL217" s="266"/>
      <c r="CM217" s="266"/>
      <c r="CN217" s="266"/>
      <c r="CO217" s="266"/>
      <c r="CP217" s="266"/>
      <c r="CQ217" s="266"/>
      <c r="CR217" s="266"/>
      <c r="CS217" s="266"/>
      <c r="CT217" s="267"/>
      <c r="CU217" s="267"/>
      <c r="CV217" s="267"/>
      <c r="CW217" s="267"/>
      <c r="CX217" s="267"/>
      <c r="CY217" s="267"/>
      <c r="CZ217" s="267"/>
      <c r="DA217" s="267"/>
      <c r="DB217" s="267"/>
      <c r="DC217" s="267"/>
      <c r="DD217" s="267"/>
      <c r="DE217" s="267"/>
      <c r="DF217" s="267"/>
      <c r="DG217" s="267">
        <v>60</v>
      </c>
      <c r="DH217" s="267"/>
      <c r="DI217" s="267"/>
      <c r="DJ217" s="268"/>
      <c r="DK217" s="268"/>
      <c r="DL217" s="268"/>
      <c r="DM217" s="268"/>
      <c r="DN217" s="268"/>
      <c r="DO217" s="268"/>
      <c r="DP217" s="268"/>
      <c r="DQ217" s="268"/>
      <c r="DR217" s="268"/>
      <c r="DS217" s="268"/>
      <c r="DT217" s="268"/>
      <c r="DU217" s="268"/>
      <c r="DV217" s="268"/>
      <c r="DW217" s="268"/>
      <c r="DX217" s="268"/>
      <c r="DY217" s="268"/>
      <c r="EA217" s="13"/>
      <c r="EB217" s="95"/>
      <c r="EC217" s="95"/>
      <c r="ED217" s="95"/>
      <c r="EE217" s="95"/>
      <c r="EF217" s="95"/>
      <c r="EG217" s="95"/>
      <c r="EH217" s="95"/>
      <c r="EI217" s="95"/>
      <c r="EJ217" s="95"/>
      <c r="EK217" s="95"/>
      <c r="EL217" s="95"/>
      <c r="EM217" s="95"/>
      <c r="EN217" s="95"/>
      <c r="EO217" s="95"/>
      <c r="EP217" s="95"/>
      <c r="EQ217" s="95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  <c r="IF217" s="13"/>
      <c r="IG217" s="13"/>
      <c r="IH217" s="13"/>
      <c r="II217" s="13"/>
      <c r="IJ217" s="13"/>
      <c r="IK217" s="13"/>
      <c r="IL217" s="13"/>
      <c r="IM217" s="13"/>
      <c r="IN217" s="13"/>
      <c r="IO217" s="13"/>
      <c r="IP217" s="13"/>
      <c r="IQ217" s="13"/>
      <c r="IR217" s="13"/>
      <c r="IS217" s="13"/>
      <c r="IT217" s="13"/>
      <c r="IU217" s="13"/>
      <c r="IV217" s="13"/>
      <c r="IW217" s="13"/>
      <c r="IX217" s="13"/>
      <c r="IY217" s="13"/>
    </row>
    <row r="218" spans="1:259" outlineLevel="1">
      <c r="A218" s="11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  <c r="AA218" s="106"/>
      <c r="AB218" s="106"/>
      <c r="AC218" s="106"/>
      <c r="AD218" s="106"/>
      <c r="AE218" s="106"/>
      <c r="AF218" s="106"/>
      <c r="AG218" s="106"/>
      <c r="AH218" s="106"/>
      <c r="AI218" s="106"/>
      <c r="AJ218" s="106"/>
      <c r="AK218" s="106"/>
      <c r="AL218" s="106"/>
      <c r="AM218" s="106"/>
      <c r="AN218" s="106"/>
      <c r="AO218" s="106"/>
      <c r="AP218" s="106"/>
      <c r="AQ218" s="106"/>
      <c r="AR218" s="106"/>
      <c r="AS218" s="106"/>
      <c r="AT218" s="106"/>
      <c r="AU218" s="106"/>
      <c r="AV218" s="106"/>
      <c r="AW218" s="106"/>
      <c r="AX218" s="106"/>
      <c r="AY218" s="106"/>
      <c r="AZ218" s="106"/>
      <c r="BA218" s="106"/>
      <c r="BB218" s="106"/>
      <c r="BC218" s="106"/>
      <c r="BD218" s="106"/>
      <c r="BE218" s="106"/>
      <c r="BF218" s="106"/>
      <c r="BG218" s="106"/>
      <c r="BH218" s="106"/>
      <c r="BI218" s="106"/>
      <c r="BJ218" s="106"/>
      <c r="BK218" s="106"/>
      <c r="BL218" s="106"/>
      <c r="BM218" s="106"/>
      <c r="BN218" s="106"/>
      <c r="BO218" s="106"/>
      <c r="BP218" s="106"/>
      <c r="BQ218" s="106"/>
      <c r="BR218" s="106"/>
      <c r="BS218" s="106"/>
      <c r="BT218" s="106"/>
      <c r="BU218" s="106"/>
      <c r="BV218" s="106"/>
      <c r="BW218" s="106"/>
      <c r="BX218" s="106"/>
      <c r="BY218" s="106"/>
      <c r="BZ218" s="106"/>
      <c r="CA218" s="106"/>
      <c r="CB218" s="106"/>
      <c r="CC218" s="106"/>
      <c r="CD218" s="106"/>
      <c r="CE218" s="106"/>
      <c r="CF218" s="106"/>
      <c r="CG218" s="106"/>
      <c r="CH218" s="106"/>
      <c r="CI218" s="106"/>
      <c r="CJ218" s="106"/>
      <c r="CK218" s="106"/>
      <c r="CL218" s="106"/>
      <c r="CM218" s="106"/>
      <c r="CN218" s="106"/>
      <c r="CO218" s="106"/>
      <c r="CP218" s="106"/>
      <c r="CQ218" s="106"/>
      <c r="CR218" s="106"/>
      <c r="CS218" s="106"/>
      <c r="CT218" s="106"/>
      <c r="CU218" s="106"/>
      <c r="CV218" s="106"/>
      <c r="CW218" s="106"/>
      <c r="CX218" s="106"/>
      <c r="CY218" s="106"/>
      <c r="CZ218" s="106"/>
      <c r="DA218" s="106"/>
      <c r="DB218" s="106"/>
      <c r="DC218" s="106"/>
      <c r="DD218" s="106"/>
      <c r="DE218" s="106"/>
      <c r="DF218" s="106"/>
      <c r="DG218" s="106"/>
      <c r="DH218" s="106"/>
      <c r="DI218" s="106"/>
      <c r="DJ218" s="106"/>
      <c r="DK218" s="106"/>
      <c r="DL218" s="106"/>
      <c r="DM218" s="106"/>
      <c r="DN218" s="106"/>
      <c r="DO218" s="106"/>
      <c r="DP218" s="106"/>
      <c r="DQ218" s="106"/>
      <c r="DR218" s="106"/>
      <c r="DS218" s="106"/>
      <c r="DT218" s="106"/>
      <c r="DU218" s="106"/>
      <c r="DV218" s="106"/>
      <c r="DW218" s="106"/>
      <c r="DX218" s="106"/>
      <c r="DY218" s="106"/>
      <c r="EA218" s="13"/>
      <c r="EB218" s="95"/>
      <c r="EC218" s="95"/>
      <c r="ED218" s="95"/>
      <c r="EE218" s="95"/>
      <c r="EF218" s="95"/>
      <c r="EG218" s="95"/>
      <c r="EH218" s="95"/>
      <c r="EI218" s="95"/>
      <c r="EJ218" s="95"/>
      <c r="EK218" s="95"/>
      <c r="EL218" s="95"/>
      <c r="EM218" s="95"/>
      <c r="EN218" s="95"/>
      <c r="EO218" s="95"/>
      <c r="EP218" s="95"/>
      <c r="EQ218" s="95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  <c r="IF218" s="13"/>
      <c r="IG218" s="13"/>
      <c r="IH218" s="13"/>
      <c r="II218" s="13"/>
      <c r="IJ218" s="13"/>
      <c r="IK218" s="13"/>
      <c r="IL218" s="13"/>
      <c r="IM218" s="13"/>
      <c r="IN218" s="13"/>
      <c r="IO218" s="13"/>
      <c r="IP218" s="13"/>
      <c r="IQ218" s="13"/>
      <c r="IR218" s="13"/>
      <c r="IS218" s="13"/>
      <c r="IT218" s="13"/>
      <c r="IU218" s="13"/>
      <c r="IV218" s="13"/>
      <c r="IW218" s="13"/>
      <c r="IX218" s="13"/>
      <c r="IY218" s="13"/>
    </row>
    <row r="219" spans="1:259" s="122" customFormat="1" ht="30.75" customHeight="1" thickBot="1">
      <c r="B219" s="256" t="str">
        <f>FORMULA!$B$3</f>
        <v>WS 1101 (251124)</v>
      </c>
      <c r="C219" s="256" t="s">
        <v>146</v>
      </c>
      <c r="D219" s="256">
        <f>FORMULA!$F$3</f>
        <v>0</v>
      </c>
      <c r="E219" s="256">
        <f>FORMULA!$H$3</f>
        <v>0</v>
      </c>
      <c r="F219" s="256">
        <f>FORMULA!$J$3</f>
        <v>0</v>
      </c>
      <c r="G219" s="111">
        <f>FORMULA!$L$3</f>
        <v>0</v>
      </c>
      <c r="H219" s="111">
        <f>FORMULA!$N$3</f>
        <v>0</v>
      </c>
      <c r="I219" s="111">
        <f>FORMULA!$P$3</f>
        <v>0</v>
      </c>
      <c r="J219" s="111">
        <f>FORMULA!$R$3</f>
        <v>0</v>
      </c>
      <c r="K219" s="111">
        <f>FORMULA!$T$3</f>
        <v>0</v>
      </c>
      <c r="L219" s="111">
        <f>FORMULA!$V$3</f>
        <v>0</v>
      </c>
      <c r="M219" s="111">
        <f>FORMULA!$X$3</f>
        <v>0</v>
      </c>
      <c r="N219" s="111">
        <f>FORMULA!$Z$3</f>
        <v>0</v>
      </c>
      <c r="O219" s="111">
        <f>FORMULA!$AB$3</f>
        <v>0</v>
      </c>
      <c r="P219" s="111">
        <f>FORMULA!$AD$3</f>
        <v>0</v>
      </c>
      <c r="Q219" s="111"/>
      <c r="R219" s="256" t="str">
        <f>FORMULA!$B$91</f>
        <v>WS 1102 (290825)</v>
      </c>
      <c r="S219" s="256">
        <f>FORMULA!$D$91</f>
        <v>0</v>
      </c>
      <c r="T219" s="256">
        <f>FORMULA!$F$91</f>
        <v>0</v>
      </c>
      <c r="U219" s="256">
        <f>FORMULA!$H$91</f>
        <v>0</v>
      </c>
      <c r="V219" s="256">
        <f>FORMULA!$J$91</f>
        <v>0</v>
      </c>
      <c r="W219" s="256">
        <f>FORMULA!$L$91</f>
        <v>0</v>
      </c>
      <c r="X219" s="256">
        <f>FORMULA!$N$91</f>
        <v>0</v>
      </c>
      <c r="Y219" s="256">
        <f>FORMULA!$P$91</f>
        <v>0</v>
      </c>
      <c r="Z219" s="256">
        <f>FORMULA!$R$91</f>
        <v>0</v>
      </c>
      <c r="AA219" s="256">
        <f>FORMULA!$T$91</f>
        <v>0</v>
      </c>
      <c r="AB219" s="256">
        <f>FORMULA!$V$91</f>
        <v>0</v>
      </c>
      <c r="AC219" s="256">
        <f>FORMULA!$X$91</f>
        <v>0</v>
      </c>
      <c r="AD219" s="111">
        <f>FORMULA!$Z$91</f>
        <v>0</v>
      </c>
      <c r="AE219" s="111">
        <f>FORMULA!$AB$91</f>
        <v>0</v>
      </c>
      <c r="AF219" s="111">
        <f>FORMULA!$AD$91</f>
        <v>0</v>
      </c>
      <c r="AG219" s="111"/>
      <c r="AH219" s="256" t="str">
        <f>FORMULA!$B$179</f>
        <v>WS 1103 (290825)</v>
      </c>
      <c r="AI219" s="256" t="str">
        <f>FORMULA!$D$179</f>
        <v>WS 1103 (220526)</v>
      </c>
      <c r="AJ219" s="256">
        <f>FORMULA!$F$179</f>
        <v>0</v>
      </c>
      <c r="AK219" s="256">
        <f>FORMULA!$H$179</f>
        <v>0</v>
      </c>
      <c r="AL219" s="256">
        <f>FORMULA!$J$179</f>
        <v>0</v>
      </c>
      <c r="AM219" s="256">
        <f>FORMULA!$L$179</f>
        <v>0</v>
      </c>
      <c r="AN219" s="256">
        <f>FORMULA!$N$179</f>
        <v>0</v>
      </c>
      <c r="AO219" s="256">
        <f>FORMULA!$P$179</f>
        <v>0</v>
      </c>
      <c r="AP219" s="256">
        <f>FORMULA!$R$179</f>
        <v>0</v>
      </c>
      <c r="AQ219" s="256">
        <f>FORMULA!$T$179</f>
        <v>0</v>
      </c>
      <c r="AR219" s="256">
        <f>FORMULA!$V$179</f>
        <v>0</v>
      </c>
      <c r="AS219" s="256">
        <f>FORMULA!$X$179</f>
        <v>0</v>
      </c>
      <c r="AT219" s="256">
        <f>FORMULA!$Z$179</f>
        <v>0</v>
      </c>
      <c r="AU219" s="111">
        <f>FORMULA!$AB$179</f>
        <v>0</v>
      </c>
      <c r="AV219" s="111">
        <f>FORMULA!$AD$179</f>
        <v>0</v>
      </c>
      <c r="AW219" s="111"/>
      <c r="AX219" s="111">
        <f>FORMULA!$B$267</f>
        <v>0</v>
      </c>
      <c r="AY219" s="111">
        <f>FORMULA!$D$267</f>
        <v>0</v>
      </c>
      <c r="AZ219" s="111">
        <f>FORMULA!$F$267</f>
        <v>0</v>
      </c>
      <c r="BA219" s="111">
        <f>FORMULA!$H$267</f>
        <v>0</v>
      </c>
      <c r="BB219" s="111">
        <f>FORMULA!$J$267</f>
        <v>0</v>
      </c>
      <c r="BC219" s="111">
        <f>FORMULA!$L$267</f>
        <v>0</v>
      </c>
      <c r="BD219" s="111">
        <f>FORMULA!$N$267</f>
        <v>0</v>
      </c>
      <c r="BE219" s="111">
        <f>FORMULA!$P$267</f>
        <v>0</v>
      </c>
      <c r="BF219" s="111">
        <f>FORMULA!$R$267</f>
        <v>0</v>
      </c>
      <c r="BG219" s="111">
        <f>FORMULA!$T$267</f>
        <v>0</v>
      </c>
      <c r="BH219" s="111">
        <f>FORMULA!$V$267</f>
        <v>0</v>
      </c>
      <c r="BI219" s="111">
        <f>FORMULA!$X$267</f>
        <v>0</v>
      </c>
      <c r="BJ219" s="111">
        <f>FORMULA!$Z$267</f>
        <v>0</v>
      </c>
      <c r="BK219" s="111">
        <f>FORMULA!$AB$267</f>
        <v>0</v>
      </c>
      <c r="BL219" s="111">
        <f>FORMULA!$AD$267</f>
        <v>0</v>
      </c>
      <c r="BM219" s="111"/>
      <c r="BN219" s="256" t="str">
        <f>FORMULA!$B$355</f>
        <v>WS 8100 (290825)</v>
      </c>
      <c r="BO219" s="256" t="str">
        <f>FORMULA!$D$355</f>
        <v>WS 8100 (280426)</v>
      </c>
      <c r="BP219" s="256" t="s">
        <v>147</v>
      </c>
      <c r="BQ219" s="256" t="str">
        <f>FORMULA!$H$355</f>
        <v>WS 8102 (290825)</v>
      </c>
      <c r="BR219" s="256" t="str">
        <f>FORMULA!$J$355</f>
        <v>WS 8102 (121225)</v>
      </c>
      <c r="BS219" s="256" t="str">
        <f>FORMULA!$L$355</f>
        <v>WS 8102 (020326)</v>
      </c>
      <c r="BT219" s="256" t="str">
        <f>FORMULA!$N$355</f>
        <v>WS 8102 (020326)</v>
      </c>
      <c r="BU219" s="256" t="str">
        <f>FORMULA!$P$355</f>
        <v>WS 8102 (060526)</v>
      </c>
      <c r="BV219" s="256" t="str">
        <f>FORMULA!$R$355</f>
        <v>WS 8102 (060526)</v>
      </c>
      <c r="BW219" s="256" t="str">
        <f>FORMULA!$T$355</f>
        <v>WS 8103 (070526)</v>
      </c>
      <c r="BX219" s="256" t="str">
        <f>FORMULA!$V$355</f>
        <v>WS 8102 (070526)</v>
      </c>
      <c r="BY219" s="256" t="str">
        <f>FORMULA!$X$355</f>
        <v>WS 8103 (061125)</v>
      </c>
      <c r="BZ219" s="256" t="str">
        <f>FORMULA!$Z$355</f>
        <v>WS 8103 (250226)</v>
      </c>
      <c r="CA219" s="256" t="str">
        <f>FORMULA!$AB$355</f>
        <v>WS 8102 (080526)</v>
      </c>
      <c r="CB219" s="256" t="str">
        <f>FORMULA!$AD$355</f>
        <v>WS 8109 (080526)</v>
      </c>
      <c r="CC219" s="111"/>
      <c r="CD219" s="256" t="str">
        <f>FORMULA!$B$443</f>
        <v>YH 121 (050226)</v>
      </c>
      <c r="CE219" s="256" t="str">
        <f>FORMULA!$D$443</f>
        <v>YH 121 (190326)</v>
      </c>
      <c r="CF219" s="256" t="str">
        <f>FORMULA!$F$443</f>
        <v>YH 121 (020426)</v>
      </c>
      <c r="CG219" s="256">
        <f>FORMULA!$H$443</f>
        <v>0</v>
      </c>
      <c r="CH219" s="256">
        <f>FORMULA!$J$443</f>
        <v>0</v>
      </c>
      <c r="CI219" s="256">
        <f>FORMULA!$L$443</f>
        <v>0</v>
      </c>
      <c r="CJ219" s="256">
        <f>FORMULA!$N$443</f>
        <v>0</v>
      </c>
      <c r="CK219" s="256">
        <f>FORMULA!$P$443</f>
        <v>0</v>
      </c>
      <c r="CL219" s="256">
        <f>FORMULA!$R$443</f>
        <v>0</v>
      </c>
      <c r="CM219" s="256" t="str">
        <f>FORMULA!$T$443</f>
        <v>311 (130526)</v>
      </c>
      <c r="CN219" s="256" t="str">
        <f>FORMULA!$V$443</f>
        <v>312 (130526)</v>
      </c>
      <c r="CO219" s="111">
        <f>FORMULA!$X$443</f>
        <v>0</v>
      </c>
      <c r="CP219" s="111">
        <f>FORMULA!$Z$443</f>
        <v>0</v>
      </c>
      <c r="CQ219" s="111">
        <f>FORMULA!$AB$443</f>
        <v>0</v>
      </c>
      <c r="CR219" s="111">
        <f>FORMULA!$AD$443</f>
        <v>0</v>
      </c>
      <c r="CS219" s="111"/>
      <c r="CT219" s="256" t="str">
        <f>FORMULA!$B$531</f>
        <v>YH 122 (050226)</v>
      </c>
      <c r="CU219" s="256" t="str">
        <f>FORMULA!$D$531</f>
        <v>YH 122 (190326)</v>
      </c>
      <c r="CV219" s="256" t="str">
        <f>FORMULA!$F$531</f>
        <v>YH 122 (200426)</v>
      </c>
      <c r="CW219" s="256">
        <f>FORMULA!$H$531</f>
        <v>0</v>
      </c>
      <c r="CX219" s="256">
        <f>FORMULA!$J$531</f>
        <v>0</v>
      </c>
      <c r="CY219" s="256">
        <f>FORMULA!$L$531</f>
        <v>0</v>
      </c>
      <c r="CZ219" s="256" t="str">
        <f>FORMULA!$N$531</f>
        <v>5201 (090426)</v>
      </c>
      <c r="DA219" s="256" t="str">
        <f>FORMULA!$P$531</f>
        <v>5201 (090426)</v>
      </c>
      <c r="DB219" s="256">
        <f>FORMULA!$R$531</f>
        <v>0</v>
      </c>
      <c r="DC219" s="256" t="str">
        <f>FORMULA!$T$531</f>
        <v>5202 (090426)</v>
      </c>
      <c r="DD219" s="256" t="str">
        <f>FORMULA!$V$531</f>
        <v>5202 (090426)</v>
      </c>
      <c r="DE219" s="256">
        <f>FORMULA!$X$531</f>
        <v>0</v>
      </c>
      <c r="DF219" s="256" t="str">
        <f>FORMULA!$Z$531</f>
        <v>5203 (090426)</v>
      </c>
      <c r="DG219" s="256" t="str">
        <f>FORMULA!$AB$531</f>
        <v>5203 (090426)</v>
      </c>
      <c r="DH219" s="111" t="s">
        <v>148</v>
      </c>
      <c r="DI219" s="111"/>
      <c r="DJ219" s="256" t="str">
        <f>FORMULA!$B$619</f>
        <v>YH 123 (050226)</v>
      </c>
      <c r="DK219" s="256" t="str">
        <f>FORMULA!$D$619</f>
        <v>YH 123 (130326)</v>
      </c>
      <c r="DL219" s="256" t="str">
        <f>FORMULA!$F$619</f>
        <v>YH 123 (190326)</v>
      </c>
      <c r="DM219" s="256" t="str">
        <f>FORMULA!$H$619</f>
        <v>YH 123 (200426)</v>
      </c>
      <c r="DN219" s="111">
        <f>FORMULA!$J$619</f>
        <v>0</v>
      </c>
      <c r="DO219" s="111">
        <f>FORMULA!$L$619</f>
        <v>0</v>
      </c>
      <c r="DP219" s="111">
        <f>FORMULA!$N$619</f>
        <v>0</v>
      </c>
      <c r="DQ219" s="111">
        <f>FORMULA!$P$619</f>
        <v>0</v>
      </c>
      <c r="DR219" s="111">
        <f>FORMULA!$R$619</f>
        <v>0</v>
      </c>
      <c r="DS219" s="111">
        <f>FORMULA!$T$619</f>
        <v>0</v>
      </c>
      <c r="DT219" s="111">
        <f>FORMULA!$V$619</f>
        <v>0</v>
      </c>
      <c r="DU219" s="111">
        <f>FORMULA!$X$619</f>
        <v>0</v>
      </c>
      <c r="DV219" s="111">
        <f>FORMULA!$Z$619</f>
        <v>0</v>
      </c>
      <c r="DW219" s="111">
        <f>FORMULA!$AB$619</f>
        <v>0</v>
      </c>
      <c r="DX219" s="111">
        <f>FORMULA!$AD$619</f>
        <v>0</v>
      </c>
      <c r="DY219" s="111"/>
      <c r="EA219" s="118"/>
      <c r="EB219" s="119"/>
      <c r="EC219" s="119"/>
      <c r="ED219" s="119"/>
      <c r="EE219" s="119"/>
      <c r="EF219" s="119"/>
      <c r="EG219" s="119"/>
      <c r="EH219" s="119"/>
      <c r="EI219" s="119"/>
      <c r="EJ219" s="119"/>
      <c r="EK219" s="119"/>
      <c r="EL219" s="119"/>
      <c r="EM219" s="119"/>
      <c r="EN219" s="119"/>
      <c r="EO219" s="119"/>
      <c r="EP219" s="119"/>
      <c r="EQ219" s="119"/>
      <c r="ER219" s="118"/>
      <c r="ES219" s="118"/>
      <c r="ET219" s="118"/>
      <c r="EU219" s="118"/>
      <c r="EV219" s="118"/>
      <c r="EW219" s="118"/>
      <c r="EX219" s="118"/>
      <c r="EY219" s="118"/>
      <c r="EZ219" s="118"/>
      <c r="FA219" s="118"/>
      <c r="FB219" s="118"/>
      <c r="FC219" s="118"/>
      <c r="FD219" s="118"/>
      <c r="FE219" s="118"/>
      <c r="FF219" s="118"/>
      <c r="FG219" s="118"/>
      <c r="FH219" s="118"/>
      <c r="FI219" s="118"/>
      <c r="FJ219" s="118"/>
      <c r="FK219" s="118"/>
      <c r="FL219" s="118"/>
      <c r="FM219" s="118"/>
      <c r="FN219" s="118"/>
      <c r="FO219" s="118"/>
      <c r="FP219" s="118"/>
      <c r="FQ219" s="118"/>
      <c r="FR219" s="118"/>
      <c r="FS219" s="118"/>
      <c r="FT219" s="118"/>
      <c r="FU219" s="118"/>
      <c r="FV219" s="118"/>
      <c r="FW219" s="118"/>
      <c r="FX219" s="118"/>
      <c r="FY219" s="118"/>
      <c r="FZ219" s="118"/>
      <c r="GA219" s="118"/>
      <c r="GB219" s="118"/>
      <c r="GC219" s="118"/>
      <c r="GD219" s="118"/>
      <c r="GE219" s="118"/>
      <c r="GF219" s="118"/>
      <c r="GG219" s="118"/>
      <c r="GH219" s="118"/>
      <c r="GI219" s="118"/>
      <c r="GJ219" s="118"/>
      <c r="GK219" s="118"/>
      <c r="GL219" s="118"/>
      <c r="GM219" s="118"/>
      <c r="GN219" s="118"/>
      <c r="GO219" s="118"/>
      <c r="GP219" s="118"/>
      <c r="GQ219" s="118"/>
      <c r="GR219" s="118"/>
      <c r="GS219" s="118"/>
      <c r="GT219" s="118"/>
      <c r="GU219" s="118"/>
      <c r="GV219" s="118"/>
      <c r="GW219" s="118"/>
      <c r="GX219" s="118"/>
      <c r="GY219" s="118"/>
      <c r="GZ219" s="118"/>
      <c r="HA219" s="118"/>
      <c r="HB219" s="118"/>
      <c r="HC219" s="118"/>
      <c r="HD219" s="118"/>
      <c r="HE219" s="118"/>
      <c r="HF219" s="118"/>
      <c r="HG219" s="118"/>
      <c r="HH219" s="118"/>
      <c r="HI219" s="118"/>
      <c r="HJ219" s="118"/>
      <c r="HK219" s="118"/>
      <c r="HL219" s="118"/>
      <c r="HM219" s="118"/>
      <c r="HN219" s="118"/>
      <c r="HO219" s="118"/>
      <c r="HP219" s="118"/>
      <c r="HQ219" s="118"/>
      <c r="HR219" s="118"/>
      <c r="HS219" s="118"/>
      <c r="HT219" s="118"/>
      <c r="HU219" s="118"/>
      <c r="HV219" s="118"/>
      <c r="HW219" s="118"/>
      <c r="HX219" s="118"/>
      <c r="HY219" s="118"/>
      <c r="HZ219" s="118"/>
      <c r="IA219" s="118"/>
      <c r="IB219" s="118"/>
      <c r="IC219" s="118"/>
      <c r="ID219" s="118"/>
      <c r="IE219" s="118"/>
      <c r="IF219" s="118"/>
      <c r="IG219" s="118"/>
      <c r="IH219" s="118"/>
      <c r="II219" s="118"/>
      <c r="IJ219" s="118"/>
      <c r="IK219" s="118"/>
      <c r="IL219" s="118"/>
      <c r="IM219" s="118"/>
      <c r="IN219" s="118"/>
      <c r="IO219" s="118"/>
      <c r="IP219" s="118"/>
      <c r="IQ219" s="118"/>
      <c r="IR219" s="118"/>
      <c r="IS219" s="118"/>
      <c r="IT219" s="118"/>
      <c r="IU219" s="118"/>
      <c r="IV219" s="118"/>
      <c r="IW219" s="118"/>
      <c r="IX219" s="118"/>
      <c r="IY219" s="118"/>
    </row>
    <row r="220" spans="1:259" s="124" customFormat="1" ht="46.5" customHeight="1" thickBot="1">
      <c r="A220" s="123" t="s">
        <v>149</v>
      </c>
      <c r="B220" s="257" t="str">
        <f>FORMULA!$B$4</f>
        <v>N01309AY</v>
      </c>
      <c r="C220" s="258">
        <f>FORMULA!$D$4</f>
        <v>0</v>
      </c>
      <c r="D220" s="258">
        <f>FORMULA!$F$4</f>
        <v>0</v>
      </c>
      <c r="E220" s="258">
        <f>FORMULA!$H$4</f>
        <v>0</v>
      </c>
      <c r="F220" s="258">
        <f>FORMULA!$J$4</f>
        <v>0</v>
      </c>
      <c r="G220" s="113">
        <f>FORMULA!$L$4</f>
        <v>0</v>
      </c>
      <c r="H220" s="113">
        <f>FORMULA!$N$4</f>
        <v>0</v>
      </c>
      <c r="I220" s="113">
        <f>FORMULA!$P$4</f>
        <v>0</v>
      </c>
      <c r="J220" s="113">
        <f>FORMULA!$R$4</f>
        <v>0</v>
      </c>
      <c r="K220" s="113">
        <f>FORMULA!$T$4</f>
        <v>0</v>
      </c>
      <c r="L220" s="113">
        <f>FORMULA!$V$4</f>
        <v>0</v>
      </c>
      <c r="M220" s="113">
        <f>FORMULA!$X$4</f>
        <v>0</v>
      </c>
      <c r="N220" s="113">
        <f>FORMULA!$Z$4</f>
        <v>0</v>
      </c>
      <c r="O220" s="113">
        <f>FORMULA!$AB$4</f>
        <v>0</v>
      </c>
      <c r="P220" s="113">
        <f>FORMULA!$AD$4</f>
        <v>0</v>
      </c>
      <c r="Q220" s="114"/>
      <c r="R220" s="257" t="str">
        <f>FORMULA!$B$92</f>
        <v>N025-06</v>
      </c>
      <c r="S220" s="258">
        <f>FORMULA!$D$92</f>
        <v>0</v>
      </c>
      <c r="T220" s="258">
        <f>FORMULA!$F$92</f>
        <v>0</v>
      </c>
      <c r="U220" s="258">
        <f>FORMULA!$H$92</f>
        <v>0</v>
      </c>
      <c r="V220" s="258">
        <f>FORMULA!$J$92</f>
        <v>0</v>
      </c>
      <c r="W220" s="258">
        <f>FORMULA!$L$92</f>
        <v>0</v>
      </c>
      <c r="X220" s="258">
        <f>FORMULA!$N$92</f>
        <v>0</v>
      </c>
      <c r="Y220" s="258">
        <f>FORMULA!$P$92</f>
        <v>0</v>
      </c>
      <c r="Z220" s="258">
        <f>FORMULA!$R$92</f>
        <v>0</v>
      </c>
      <c r="AA220" s="258">
        <f>FORMULA!$T$92</f>
        <v>0</v>
      </c>
      <c r="AB220" s="258">
        <f>FORMULA!$V$92</f>
        <v>0</v>
      </c>
      <c r="AC220" s="258">
        <f>FORMULA!$X$92</f>
        <v>0</v>
      </c>
      <c r="AD220" s="113">
        <f>FORMULA!$Z$92</f>
        <v>0</v>
      </c>
      <c r="AE220" s="113">
        <f>FORMULA!$AB$92</f>
        <v>0</v>
      </c>
      <c r="AF220" s="113">
        <f>FORMULA!$AD$92</f>
        <v>0</v>
      </c>
      <c r="AG220" s="114"/>
      <c r="AH220" s="257" t="str">
        <f>FORMULA!$B$180</f>
        <v>N035-06</v>
      </c>
      <c r="AI220" s="258" t="str">
        <f>FORMULA!$D$180</f>
        <v>WITH 1103 TOP UP</v>
      </c>
      <c r="AJ220" s="258">
        <f>FORMULA!$F$180</f>
        <v>0</v>
      </c>
      <c r="AK220" s="258">
        <f>FORMULA!$H$180</f>
        <v>0</v>
      </c>
      <c r="AL220" s="258">
        <f>FORMULA!$J$180</f>
        <v>0</v>
      </c>
      <c r="AM220" s="258">
        <f>FORMULA!$L$180</f>
        <v>0</v>
      </c>
      <c r="AN220" s="258">
        <f>FORMULA!$N$180</f>
        <v>0</v>
      </c>
      <c r="AO220" s="258">
        <f>FORMULA!$P$180</f>
        <v>0</v>
      </c>
      <c r="AP220" s="258">
        <f>FORMULA!$R$180</f>
        <v>0</v>
      </c>
      <c r="AQ220" s="258">
        <f>FORMULA!$T$180</f>
        <v>0</v>
      </c>
      <c r="AR220" s="258">
        <f>FORMULA!$V$180</f>
        <v>0</v>
      </c>
      <c r="AS220" s="258">
        <f>FORMULA!$X$180</f>
        <v>0</v>
      </c>
      <c r="AT220" s="258">
        <f>FORMULA!$Z$180</f>
        <v>0</v>
      </c>
      <c r="AU220" s="113">
        <f>FORMULA!$AB$180</f>
        <v>0</v>
      </c>
      <c r="AV220" s="113">
        <f>FORMULA!$AD$180</f>
        <v>0</v>
      </c>
      <c r="AW220" s="114"/>
      <c r="AX220" s="112">
        <f>FORMULA!$B$268</f>
        <v>0</v>
      </c>
      <c r="AY220" s="113">
        <f>FORMULA!$D$268</f>
        <v>0</v>
      </c>
      <c r="AZ220" s="113">
        <f>FORMULA!$F$268</f>
        <v>0</v>
      </c>
      <c r="BA220" s="113">
        <f>FORMULA!$H$268</f>
        <v>0</v>
      </c>
      <c r="BB220" s="113">
        <f>FORMULA!$J$268</f>
        <v>0</v>
      </c>
      <c r="BC220" s="113">
        <f>FORMULA!$L$268</f>
        <v>0</v>
      </c>
      <c r="BD220" s="113">
        <f>FORMULA!$N$268</f>
        <v>0</v>
      </c>
      <c r="BE220" s="113">
        <f>FORMULA!$P$268</f>
        <v>0</v>
      </c>
      <c r="BF220" s="113">
        <f>FORMULA!$R$268</f>
        <v>0</v>
      </c>
      <c r="BG220" s="113">
        <f>FORMULA!$T$268</f>
        <v>0</v>
      </c>
      <c r="BH220" s="113">
        <f>FORMULA!$V$268</f>
        <v>0</v>
      </c>
      <c r="BI220" s="113">
        <f>FORMULA!$X$268</f>
        <v>0</v>
      </c>
      <c r="BJ220" s="113">
        <f>FORMULA!$Z$268</f>
        <v>0</v>
      </c>
      <c r="BK220" s="113">
        <f>FORMULA!$AB$268</f>
        <v>0</v>
      </c>
      <c r="BL220" s="113">
        <f>FORMULA!$AD$268</f>
        <v>0</v>
      </c>
      <c r="BM220" s="114"/>
      <c r="BN220" s="111" t="str">
        <f>FORMULA!$B$356</f>
        <v>NR 14-04</v>
      </c>
      <c r="BO220" s="256">
        <f>FORMULA!$D$356</f>
        <v>0</v>
      </c>
      <c r="BP220" s="256">
        <f>FORMULA!$F$356</f>
        <v>0</v>
      </c>
      <c r="BQ220" s="256" t="str">
        <f>FORMULA!$H$356</f>
        <v>NR 24-04Z</v>
      </c>
      <c r="BR220" s="256" t="str">
        <f>FORMULA!$J$356</f>
        <v>WITH BMD</v>
      </c>
      <c r="BS220" s="256" t="str">
        <f>FORMULA!$L$356</f>
        <v>8102 Top Up&amp;PM 8108</v>
      </c>
      <c r="BT220" s="256" t="str">
        <f>FORMULA!$N$356</f>
        <v>8102 Top Up&amp;PM 8102</v>
      </c>
      <c r="BU220" s="256" t="str">
        <f>FORMULA!$P$356</f>
        <v>8102 Top Up&amp;PM 8102</v>
      </c>
      <c r="BV220" s="256" t="str">
        <f>FORMULA!$R$356</f>
        <v>8102 Top Up&amp;PM 8108</v>
      </c>
      <c r="BW220" s="256" t="str">
        <f>FORMULA!$T$356</f>
        <v>8103 Top Up&amp;PM 8103</v>
      </c>
      <c r="BX220" s="256" t="str">
        <f>FORMULA!$V$356</f>
        <v>8103 Top Up&amp;PM 8109</v>
      </c>
      <c r="BY220" s="256" t="str">
        <f>FORMULA!$X$356</f>
        <v xml:space="preserve">NR 34-04 </v>
      </c>
      <c r="BZ220" s="256" t="str">
        <f>FORMULA!$Z$356</f>
        <v xml:space="preserve">NR 34-04 </v>
      </c>
      <c r="CA220" s="256" t="str">
        <f>FORMULA!$AB$356</f>
        <v>8102 TOP UP</v>
      </c>
      <c r="CB220" s="256" t="str">
        <f>FORMULA!$AD$356</f>
        <v>8103 TOP UP</v>
      </c>
      <c r="CC220" s="114"/>
      <c r="CD220" s="256" t="str">
        <f>FORMULA!$B$444</f>
        <v>SOYTIDE&amp;TOXISORB</v>
      </c>
      <c r="CE220" s="256" t="str">
        <f>FORMULA!$D$444</f>
        <v>SOYTIDE&amp;TOXIWALL</v>
      </c>
      <c r="CF220" s="256" t="str">
        <f>FORMULA!$F$444</f>
        <v>EP 200&amp;TOXIWALL</v>
      </c>
      <c r="CG220" s="256">
        <f>FORMULA!$H$444</f>
        <v>0</v>
      </c>
      <c r="CH220" s="256">
        <f>FORMULA!$J$444</f>
        <v>0</v>
      </c>
      <c r="CI220" s="256">
        <f>FORMULA!$L$444</f>
        <v>0</v>
      </c>
      <c r="CJ220" s="256">
        <f>FORMULA!$N$444</f>
        <v>0</v>
      </c>
      <c r="CK220" s="256">
        <f>FORMULA!$P$444</f>
        <v>0</v>
      </c>
      <c r="CL220" s="256">
        <f>FORMULA!$R$444</f>
        <v>0</v>
      </c>
      <c r="CM220" s="256">
        <f>FORMULA!$T$444</f>
        <v>0</v>
      </c>
      <c r="CN220" s="256">
        <f>FORMULA!$V$444</f>
        <v>0</v>
      </c>
      <c r="CO220" s="111">
        <f>FORMULA!$X$444</f>
        <v>0</v>
      </c>
      <c r="CP220" s="111">
        <f>FORMULA!$Z$444</f>
        <v>0</v>
      </c>
      <c r="CQ220" s="111">
        <f>FORMULA!$AB$444</f>
        <v>0</v>
      </c>
      <c r="CR220" s="111">
        <f>FORMULA!$AD$444</f>
        <v>0</v>
      </c>
      <c r="CS220" s="114"/>
      <c r="CT220" s="256" t="str">
        <f>FORMULA!$B$532</f>
        <v>WITH TOXISORB</v>
      </c>
      <c r="CU220" s="256" t="str">
        <f>FORMULA!$D$532</f>
        <v>WITH TOXIWALL</v>
      </c>
      <c r="CV220" s="256" t="str">
        <f>FORMULA!$F$532</f>
        <v>WITH TOXIWALL, YM 20.50kg</v>
      </c>
      <c r="CW220" s="256">
        <f>FORMULA!$H$532</f>
        <v>0</v>
      </c>
      <c r="CX220" s="256">
        <f>FORMULA!$J$532</f>
        <v>0</v>
      </c>
      <c r="CY220" s="256">
        <f>FORMULA!$L$532</f>
        <v>0</v>
      </c>
      <c r="CZ220" s="256">
        <f>FORMULA!$N$532</f>
        <v>0</v>
      </c>
      <c r="DA220" s="256" t="str">
        <f>FORMULA!$P$532</f>
        <v>REDUCE CORN FOR 2MT</v>
      </c>
      <c r="DB220" s="256">
        <f>FORMULA!$R$532</f>
        <v>0</v>
      </c>
      <c r="DC220" s="256">
        <f>FORMULA!$T$532</f>
        <v>0</v>
      </c>
      <c r="DD220" s="256" t="str">
        <f>FORMULA!$V$532</f>
        <v>K20</v>
      </c>
      <c r="DE220" s="256">
        <f>FORMULA!$X$532</f>
        <v>0</v>
      </c>
      <c r="DF220" s="256" t="str">
        <f>FORMULA!$Z$532</f>
        <v>ALREADY 2MT</v>
      </c>
      <c r="DG220" s="256" t="str">
        <f>FORMULA!$AB$532</f>
        <v>K21</v>
      </c>
      <c r="DH220" s="111" t="s">
        <v>150</v>
      </c>
      <c r="DI220" s="114"/>
      <c r="DJ220" s="256" t="str">
        <f>FORMULA!$B$620</f>
        <v>WITH TOXISORB</v>
      </c>
      <c r="DK220" s="256" t="str">
        <f>FORMULA!$D$620</f>
        <v>WITHOUT WHEAT POLLARD</v>
      </c>
      <c r="DL220" s="256" t="str">
        <f>FORMULA!$F$620</f>
        <v>WITH TOXIWALL</v>
      </c>
      <c r="DM220" s="256" t="str">
        <f>FORMULA!$H$620</f>
        <v>WITH TOXIWALL, YM 20.00kg</v>
      </c>
      <c r="DN220" s="111">
        <f>FORMULA!$J$620</f>
        <v>0</v>
      </c>
      <c r="DO220" s="111">
        <f>FORMULA!$L$620</f>
        <v>0</v>
      </c>
      <c r="DP220" s="111">
        <f>FORMULA!$N$620</f>
        <v>0</v>
      </c>
      <c r="DQ220" s="111">
        <f>FORMULA!$P$620</f>
        <v>0</v>
      </c>
      <c r="DR220" s="111">
        <f>FORMULA!$R$620</f>
        <v>0</v>
      </c>
      <c r="DS220" s="111">
        <f>FORMULA!$T$620</f>
        <v>0</v>
      </c>
      <c r="DT220" s="111">
        <f>FORMULA!$V$620</f>
        <v>0</v>
      </c>
      <c r="DU220" s="111">
        <f>FORMULA!$X$620</f>
        <v>0</v>
      </c>
      <c r="DV220" s="111">
        <f>FORMULA!$Z$620</f>
        <v>0</v>
      </c>
      <c r="DW220" s="111">
        <f>FORMULA!$AB$620</f>
        <v>0</v>
      </c>
      <c r="DX220" s="111">
        <f>FORMULA!$AD$620</f>
        <v>0</v>
      </c>
      <c r="DY220" s="114"/>
      <c r="EA220" s="721"/>
      <c r="EB220" s="721"/>
      <c r="EC220" s="721"/>
      <c r="ED220" s="721"/>
      <c r="EE220" s="721"/>
      <c r="EF220" s="721"/>
      <c r="EG220" s="721"/>
      <c r="EH220" s="721"/>
      <c r="EI220" s="721"/>
      <c r="EJ220" s="721"/>
      <c r="EK220" s="721"/>
      <c r="EL220" s="120"/>
      <c r="EM220" s="120"/>
      <c r="EN220" s="120"/>
      <c r="EO220" s="120"/>
      <c r="EP220" s="120"/>
      <c r="EQ220" s="120"/>
      <c r="ER220" s="721"/>
      <c r="ES220" s="721"/>
      <c r="ET220" s="721"/>
      <c r="EU220" s="721"/>
      <c r="EV220" s="721"/>
      <c r="EW220" s="721"/>
      <c r="EX220" s="721"/>
      <c r="EY220" s="721"/>
      <c r="EZ220" s="721"/>
      <c r="FA220" s="721"/>
      <c r="FB220" s="721"/>
      <c r="FC220" s="721"/>
      <c r="FD220" s="721"/>
      <c r="FE220" s="721"/>
      <c r="FF220" s="721"/>
      <c r="FG220" s="120"/>
      <c r="FH220" s="721"/>
      <c r="FI220" s="721"/>
      <c r="FJ220" s="721"/>
      <c r="FK220" s="721"/>
      <c r="FL220" s="721"/>
      <c r="FM220" s="721"/>
      <c r="FN220" s="721"/>
      <c r="FO220" s="721"/>
      <c r="FP220" s="721"/>
      <c r="FQ220" s="721"/>
      <c r="FR220" s="721"/>
      <c r="FS220" s="721"/>
      <c r="FT220" s="721"/>
      <c r="FU220" s="721"/>
      <c r="FV220" s="721"/>
      <c r="FW220" s="120"/>
      <c r="FX220" s="721"/>
      <c r="FY220" s="721"/>
      <c r="FZ220" s="721"/>
      <c r="GA220" s="721"/>
      <c r="GB220" s="721"/>
      <c r="GC220" s="721"/>
      <c r="GD220" s="721"/>
      <c r="GE220" s="721"/>
      <c r="GF220" s="721"/>
      <c r="GG220" s="721"/>
      <c r="GH220" s="721"/>
      <c r="GI220" s="721"/>
      <c r="GJ220" s="721"/>
      <c r="GK220" s="721"/>
      <c r="GL220" s="721"/>
      <c r="GM220" s="121"/>
      <c r="GN220" s="721"/>
      <c r="GO220" s="721"/>
      <c r="GP220" s="721"/>
      <c r="GQ220" s="721"/>
      <c r="GR220" s="721"/>
      <c r="GS220" s="721"/>
      <c r="GT220" s="721"/>
      <c r="GU220" s="721"/>
      <c r="GV220" s="721"/>
      <c r="GW220" s="721"/>
      <c r="GX220" s="721"/>
      <c r="GY220" s="721"/>
      <c r="GZ220" s="721"/>
      <c r="HA220" s="721"/>
      <c r="HB220" s="721"/>
      <c r="HC220" s="121"/>
      <c r="HD220" s="721"/>
      <c r="HE220" s="721"/>
      <c r="HF220" s="721"/>
      <c r="HG220" s="721"/>
      <c r="HH220" s="721"/>
      <c r="HI220" s="721"/>
      <c r="HJ220" s="721"/>
      <c r="HK220" s="721"/>
      <c r="HL220" s="721"/>
      <c r="HM220" s="721"/>
      <c r="HN220" s="721"/>
      <c r="HO220" s="721"/>
      <c r="HP220" s="721"/>
      <c r="HQ220" s="721"/>
      <c r="HR220" s="721"/>
      <c r="HS220" s="121"/>
      <c r="HT220" s="721"/>
      <c r="HU220" s="721"/>
      <c r="HV220" s="721"/>
      <c r="HW220" s="721"/>
      <c r="HX220" s="721"/>
      <c r="HY220" s="721"/>
      <c r="HZ220" s="721"/>
      <c r="IA220" s="721"/>
      <c r="IB220" s="721"/>
      <c r="IC220" s="721"/>
      <c r="ID220" s="721"/>
      <c r="IE220" s="721"/>
      <c r="IF220" s="721"/>
      <c r="IG220" s="721"/>
      <c r="IH220" s="721"/>
      <c r="II220" s="121"/>
      <c r="IJ220" s="721"/>
      <c r="IK220" s="721"/>
      <c r="IL220" s="721"/>
      <c r="IM220" s="721"/>
      <c r="IN220" s="721"/>
      <c r="IO220" s="721"/>
      <c r="IP220" s="721"/>
      <c r="IQ220" s="721"/>
      <c r="IR220" s="721"/>
      <c r="IS220" s="721"/>
      <c r="IT220" s="721"/>
      <c r="IU220" s="721"/>
      <c r="IV220" s="721"/>
      <c r="IW220" s="721"/>
      <c r="IX220" s="721"/>
      <c r="IY220" s="121"/>
    </row>
    <row r="221" spans="1:259" ht="15.75" customHeight="1" outlineLevel="1">
      <c r="A221" s="11">
        <f>'VAC &amp; MED'!C218</f>
        <v>46204</v>
      </c>
      <c r="B221" s="261"/>
      <c r="C221" s="261"/>
      <c r="D221" s="261"/>
      <c r="E221" s="261"/>
      <c r="F221" s="261"/>
      <c r="G221" s="261"/>
      <c r="H221" s="261"/>
      <c r="I221" s="261"/>
      <c r="J221" s="261"/>
      <c r="K221" s="261"/>
      <c r="L221" s="261"/>
      <c r="M221" s="261"/>
      <c r="N221" s="261"/>
      <c r="O221" s="261"/>
      <c r="P221" s="261"/>
      <c r="Q221" s="261"/>
      <c r="R221" s="262"/>
      <c r="S221" s="262"/>
      <c r="T221" s="262"/>
      <c r="U221" s="262"/>
      <c r="V221" s="262"/>
      <c r="W221" s="262"/>
      <c r="X221" s="262"/>
      <c r="Y221" s="262"/>
      <c r="Z221" s="262"/>
      <c r="AA221" s="262"/>
      <c r="AB221" s="262"/>
      <c r="AC221" s="262"/>
      <c r="AD221" s="262"/>
      <c r="AE221" s="262"/>
      <c r="AF221" s="262"/>
      <c r="AG221" s="262"/>
      <c r="AH221" s="263"/>
      <c r="AI221" s="263"/>
      <c r="AJ221" s="263"/>
      <c r="AK221" s="263"/>
      <c r="AL221" s="263"/>
      <c r="AM221" s="263"/>
      <c r="AN221" s="263"/>
      <c r="AO221" s="263"/>
      <c r="AP221" s="263"/>
      <c r="AQ221" s="263"/>
      <c r="AR221" s="263"/>
      <c r="AS221" s="263"/>
      <c r="AT221" s="263"/>
      <c r="AU221" s="263"/>
      <c r="AV221" s="263"/>
      <c r="AW221" s="263"/>
      <c r="AX221" s="264"/>
      <c r="AY221" s="264"/>
      <c r="AZ221" s="264"/>
      <c r="BA221" s="264"/>
      <c r="BB221" s="264"/>
      <c r="BC221" s="264"/>
      <c r="BD221" s="264"/>
      <c r="BE221" s="264"/>
      <c r="BF221" s="264"/>
      <c r="BG221" s="264"/>
      <c r="BH221" s="264"/>
      <c r="BI221" s="264"/>
      <c r="BJ221" s="264"/>
      <c r="BK221" s="264"/>
      <c r="BL221" s="264"/>
      <c r="BM221" s="264"/>
      <c r="BN221" s="265"/>
      <c r="BO221" s="265"/>
      <c r="BP221" s="265"/>
      <c r="BQ221" s="265"/>
      <c r="BR221" s="265"/>
      <c r="BS221" s="265"/>
      <c r="BT221" s="265"/>
      <c r="BU221" s="265"/>
      <c r="BV221" s="265"/>
      <c r="BW221" s="265"/>
      <c r="BX221" s="265"/>
      <c r="BY221" s="265"/>
      <c r="BZ221" s="265"/>
      <c r="CA221" s="265"/>
      <c r="CB221" s="265"/>
      <c r="CC221" s="265"/>
      <c r="CD221" s="266"/>
      <c r="CE221" s="266"/>
      <c r="CF221" s="266"/>
      <c r="CG221" s="266"/>
      <c r="CH221" s="266"/>
      <c r="CI221" s="266"/>
      <c r="CJ221" s="266"/>
      <c r="CK221" s="266"/>
      <c r="CL221" s="266"/>
      <c r="CM221" s="266"/>
      <c r="CN221" s="266"/>
      <c r="CO221" s="266"/>
      <c r="CP221" s="266"/>
      <c r="CQ221" s="266"/>
      <c r="CR221" s="266"/>
      <c r="CS221" s="266"/>
      <c r="CT221" s="267"/>
      <c r="CU221" s="267"/>
      <c r="CV221" s="267"/>
      <c r="CW221" s="267"/>
      <c r="CX221" s="267"/>
      <c r="CY221" s="267"/>
      <c r="CZ221" s="267"/>
      <c r="DA221" s="267"/>
      <c r="DB221" s="267"/>
      <c r="DC221" s="267"/>
      <c r="DD221" s="267">
        <v>6</v>
      </c>
      <c r="DE221" s="267"/>
      <c r="DF221" s="267"/>
      <c r="DG221" s="267"/>
      <c r="DH221" s="267"/>
      <c r="DI221" s="267"/>
      <c r="DJ221" s="268"/>
      <c r="DK221" s="268"/>
      <c r="DL221" s="268"/>
      <c r="DM221" s="268"/>
      <c r="DN221" s="268"/>
      <c r="DO221" s="268"/>
      <c r="DP221" s="268"/>
      <c r="DQ221" s="268"/>
      <c r="DR221" s="268"/>
      <c r="DS221" s="268"/>
      <c r="DT221" s="268"/>
      <c r="DU221" s="268"/>
      <c r="DV221" s="268"/>
      <c r="DW221" s="268"/>
      <c r="DX221" s="268"/>
      <c r="DY221" s="268"/>
      <c r="EA221" s="721"/>
      <c r="EB221" s="721"/>
      <c r="EC221" s="721"/>
      <c r="ED221" s="721"/>
      <c r="EE221" s="721"/>
      <c r="EF221" s="721"/>
      <c r="EG221" s="721"/>
      <c r="EH221" s="721"/>
      <c r="EI221" s="721"/>
      <c r="EJ221" s="721"/>
      <c r="EK221" s="721"/>
      <c r="EL221" s="494"/>
      <c r="EM221" s="494"/>
      <c r="EN221" s="494"/>
      <c r="EO221" s="494"/>
      <c r="EP221" s="494"/>
      <c r="EQ221" s="494"/>
      <c r="ER221" s="721"/>
      <c r="ES221" s="721"/>
      <c r="ET221" s="721"/>
      <c r="EU221" s="721"/>
      <c r="EV221" s="721"/>
      <c r="EW221" s="721"/>
      <c r="EX221" s="721"/>
      <c r="EY221" s="721"/>
      <c r="EZ221" s="721"/>
      <c r="FA221" s="721"/>
      <c r="FB221" s="721"/>
      <c r="FC221" s="721"/>
      <c r="FD221" s="721"/>
      <c r="FE221" s="721"/>
      <c r="FF221" s="721"/>
      <c r="FG221" s="494"/>
      <c r="FH221" s="721"/>
      <c r="FI221" s="721"/>
      <c r="FJ221" s="721"/>
      <c r="FK221" s="721"/>
      <c r="FL221" s="721"/>
      <c r="FM221" s="721"/>
      <c r="FN221" s="721"/>
      <c r="FO221" s="721"/>
      <c r="FP221" s="721"/>
      <c r="FQ221" s="721"/>
      <c r="FR221" s="721"/>
      <c r="FS221" s="721"/>
      <c r="FT221" s="721"/>
      <c r="FU221" s="721"/>
      <c r="FV221" s="721"/>
      <c r="FW221" s="494"/>
      <c r="FX221" s="721"/>
      <c r="FY221" s="721"/>
      <c r="FZ221" s="721"/>
      <c r="GA221" s="721"/>
      <c r="GB221" s="721"/>
      <c r="GC221" s="721"/>
      <c r="GD221" s="721"/>
      <c r="GE221" s="721"/>
      <c r="GF221" s="721"/>
      <c r="GG221" s="721"/>
      <c r="GH221" s="721"/>
      <c r="GI221" s="721"/>
      <c r="GJ221" s="721"/>
      <c r="GK221" s="721"/>
      <c r="GL221" s="721"/>
      <c r="GM221" s="13"/>
      <c r="GN221" s="721"/>
      <c r="GO221" s="721"/>
      <c r="GP221" s="721"/>
      <c r="GQ221" s="721"/>
      <c r="GR221" s="721"/>
      <c r="GS221" s="721"/>
      <c r="GT221" s="721"/>
      <c r="GU221" s="721"/>
      <c r="GV221" s="721"/>
      <c r="GW221" s="721"/>
      <c r="GX221" s="721"/>
      <c r="GY221" s="721"/>
      <c r="GZ221" s="721"/>
      <c r="HA221" s="721"/>
      <c r="HB221" s="721"/>
      <c r="HC221" s="13"/>
      <c r="HD221" s="721"/>
      <c r="HE221" s="721"/>
      <c r="HF221" s="721"/>
      <c r="HG221" s="721"/>
      <c r="HH221" s="721"/>
      <c r="HI221" s="721"/>
      <c r="HJ221" s="721"/>
      <c r="HK221" s="721"/>
      <c r="HL221" s="721"/>
      <c r="HM221" s="721"/>
      <c r="HN221" s="721"/>
      <c r="HO221" s="721"/>
      <c r="HP221" s="721"/>
      <c r="HQ221" s="721"/>
      <c r="HR221" s="721"/>
      <c r="HS221" s="13"/>
      <c r="HT221" s="721"/>
      <c r="HU221" s="721"/>
      <c r="HV221" s="721"/>
      <c r="HW221" s="721"/>
      <c r="HX221" s="721"/>
      <c r="HY221" s="721"/>
      <c r="HZ221" s="721"/>
      <c r="IA221" s="721"/>
      <c r="IB221" s="721"/>
      <c r="IC221" s="721"/>
      <c r="ID221" s="721"/>
      <c r="IE221" s="721"/>
      <c r="IF221" s="721"/>
      <c r="IG221" s="721"/>
      <c r="IH221" s="721"/>
      <c r="II221" s="13"/>
      <c r="IJ221" s="721"/>
      <c r="IK221" s="721"/>
      <c r="IL221" s="721"/>
      <c r="IM221" s="721"/>
      <c r="IN221" s="721"/>
      <c r="IO221" s="721"/>
      <c r="IP221" s="721"/>
      <c r="IQ221" s="721"/>
      <c r="IR221" s="721"/>
      <c r="IS221" s="721"/>
      <c r="IT221" s="721"/>
      <c r="IU221" s="721"/>
      <c r="IV221" s="721"/>
      <c r="IW221" s="721"/>
      <c r="IX221" s="721"/>
      <c r="IY221" s="13"/>
    </row>
    <row r="222" spans="1:259" outlineLevel="1">
      <c r="A222" s="11">
        <f>'VAC &amp; MED'!C219</f>
        <v>46205</v>
      </c>
      <c r="B222" s="261"/>
      <c r="C222" s="261"/>
      <c r="D222" s="261"/>
      <c r="E222" s="261"/>
      <c r="F222" s="261"/>
      <c r="G222" s="261"/>
      <c r="H222" s="261"/>
      <c r="I222" s="261"/>
      <c r="J222" s="261"/>
      <c r="K222" s="261"/>
      <c r="L222" s="261"/>
      <c r="M222" s="261"/>
      <c r="N222" s="261"/>
      <c r="O222" s="261"/>
      <c r="P222" s="261"/>
      <c r="Q222" s="261"/>
      <c r="R222" s="262"/>
      <c r="S222" s="262"/>
      <c r="T222" s="262"/>
      <c r="U222" s="262"/>
      <c r="V222" s="262"/>
      <c r="W222" s="262"/>
      <c r="X222" s="262"/>
      <c r="Y222" s="262"/>
      <c r="Z222" s="262"/>
      <c r="AA222" s="262"/>
      <c r="AB222" s="262"/>
      <c r="AC222" s="262"/>
      <c r="AD222" s="262"/>
      <c r="AE222" s="262"/>
      <c r="AF222" s="262"/>
      <c r="AG222" s="262"/>
      <c r="AH222" s="263"/>
      <c r="AI222" s="263"/>
      <c r="AJ222" s="263"/>
      <c r="AK222" s="263"/>
      <c r="AL222" s="263"/>
      <c r="AM222" s="263"/>
      <c r="AN222" s="263"/>
      <c r="AO222" s="263"/>
      <c r="AP222" s="263"/>
      <c r="AQ222" s="263"/>
      <c r="AR222" s="263"/>
      <c r="AS222" s="263"/>
      <c r="AT222" s="263"/>
      <c r="AU222" s="263"/>
      <c r="AV222" s="263"/>
      <c r="AW222" s="263"/>
      <c r="AX222" s="264"/>
      <c r="AY222" s="264"/>
      <c r="AZ222" s="264"/>
      <c r="BA222" s="264"/>
      <c r="BB222" s="264"/>
      <c r="BC222" s="264"/>
      <c r="BD222" s="264"/>
      <c r="BE222" s="264"/>
      <c r="BF222" s="264"/>
      <c r="BG222" s="264"/>
      <c r="BH222" s="264"/>
      <c r="BI222" s="264"/>
      <c r="BJ222" s="264"/>
      <c r="BK222" s="264"/>
      <c r="BL222" s="264"/>
      <c r="BM222" s="264"/>
      <c r="BN222" s="265"/>
      <c r="BO222" s="265"/>
      <c r="BP222" s="265"/>
      <c r="BQ222" s="265"/>
      <c r="BR222" s="265"/>
      <c r="BS222" s="265"/>
      <c r="BT222" s="265"/>
      <c r="BU222" s="265"/>
      <c r="BV222" s="265"/>
      <c r="BW222" s="265"/>
      <c r="BX222" s="265"/>
      <c r="BY222" s="265"/>
      <c r="BZ222" s="265"/>
      <c r="CA222" s="265"/>
      <c r="CB222" s="265"/>
      <c r="CC222" s="265"/>
      <c r="CD222" s="266"/>
      <c r="CE222" s="266"/>
      <c r="CF222" s="266"/>
      <c r="CG222" s="266"/>
      <c r="CH222" s="266"/>
      <c r="CI222" s="266"/>
      <c r="CJ222" s="266"/>
      <c r="CK222" s="266"/>
      <c r="CL222" s="266"/>
      <c r="CM222" s="266"/>
      <c r="CN222" s="266"/>
      <c r="CO222" s="266"/>
      <c r="CP222" s="266"/>
      <c r="CQ222" s="266"/>
      <c r="CR222" s="266"/>
      <c r="CS222" s="266"/>
      <c r="CT222" s="267"/>
      <c r="CU222" s="267"/>
      <c r="CV222" s="267"/>
      <c r="CW222" s="267"/>
      <c r="CX222" s="267"/>
      <c r="CY222" s="267"/>
      <c r="CZ222" s="267"/>
      <c r="DA222" s="267"/>
      <c r="DB222" s="267"/>
      <c r="DC222" s="267"/>
      <c r="DD222" s="267"/>
      <c r="DE222" s="267"/>
      <c r="DF222" s="267"/>
      <c r="DG222" s="267"/>
      <c r="DH222" s="267">
        <v>50</v>
      </c>
      <c r="DI222" s="267"/>
      <c r="DJ222" s="268"/>
      <c r="DK222" s="268"/>
      <c r="DL222" s="268"/>
      <c r="DM222" s="268"/>
      <c r="DN222" s="268"/>
      <c r="DO222" s="268"/>
      <c r="DP222" s="268"/>
      <c r="DQ222" s="268"/>
      <c r="DR222" s="268"/>
      <c r="DS222" s="268"/>
      <c r="DT222" s="268"/>
      <c r="DU222" s="268"/>
      <c r="DV222" s="268"/>
      <c r="DW222" s="268"/>
      <c r="DX222" s="268"/>
      <c r="DY222" s="268"/>
      <c r="EA222" s="721"/>
      <c r="EB222" s="714"/>
      <c r="EC222" s="714"/>
      <c r="ED222" s="714"/>
      <c r="EE222" s="714"/>
      <c r="EF222" s="714"/>
      <c r="EG222" s="714"/>
      <c r="EH222" s="714"/>
      <c r="EI222" s="714"/>
      <c r="EJ222" s="714"/>
      <c r="EK222" s="714"/>
      <c r="EL222" s="493"/>
      <c r="EM222" s="493"/>
      <c r="EN222" s="493"/>
      <c r="EO222" s="493"/>
      <c r="EP222" s="493"/>
      <c r="EQ222" s="493"/>
      <c r="ER222" s="714"/>
      <c r="ES222" s="714"/>
      <c r="ET222" s="714"/>
      <c r="EU222" s="714"/>
      <c r="EV222" s="714"/>
      <c r="EW222" s="714"/>
      <c r="EX222" s="714"/>
      <c r="EY222" s="714"/>
      <c r="EZ222" s="714"/>
      <c r="FA222" s="493"/>
      <c r="FB222" s="493"/>
      <c r="FC222" s="493"/>
      <c r="FD222" s="493"/>
      <c r="FE222" s="493"/>
      <c r="FF222" s="714"/>
      <c r="FG222" s="493"/>
      <c r="FH222" s="714"/>
      <c r="FI222" s="714"/>
      <c r="FJ222" s="714"/>
      <c r="FK222" s="714"/>
      <c r="FL222" s="714"/>
      <c r="FM222" s="714"/>
      <c r="FN222" s="714"/>
      <c r="FO222" s="714"/>
      <c r="FP222" s="714"/>
      <c r="FQ222" s="493"/>
      <c r="FR222" s="493"/>
      <c r="FS222" s="493"/>
      <c r="FT222" s="493"/>
      <c r="FU222" s="493"/>
      <c r="FV222" s="714"/>
      <c r="FW222" s="493"/>
      <c r="FX222" s="714"/>
      <c r="FY222" s="714"/>
      <c r="FZ222" s="714"/>
      <c r="GA222" s="714"/>
      <c r="GB222" s="714"/>
      <c r="GC222" s="714"/>
      <c r="GD222" s="714"/>
      <c r="GE222" s="714"/>
      <c r="GF222" s="714"/>
      <c r="GG222" s="493"/>
      <c r="GH222" s="493"/>
      <c r="GI222" s="493"/>
      <c r="GJ222" s="493"/>
      <c r="GK222" s="493"/>
      <c r="GL222" s="714"/>
      <c r="GM222" s="13"/>
      <c r="GN222" s="714"/>
      <c r="GO222" s="714"/>
      <c r="GP222" s="714"/>
      <c r="GQ222" s="714"/>
      <c r="GR222" s="714"/>
      <c r="GS222" s="714"/>
      <c r="GT222" s="714"/>
      <c r="GU222" s="714"/>
      <c r="GV222" s="714"/>
      <c r="GW222" s="493"/>
      <c r="GX222" s="493"/>
      <c r="GY222" s="493"/>
      <c r="GZ222" s="493"/>
      <c r="HA222" s="493"/>
      <c r="HB222" s="714"/>
      <c r="HC222" s="13"/>
      <c r="HD222" s="714"/>
      <c r="HE222" s="714"/>
      <c r="HF222" s="714"/>
      <c r="HG222" s="714"/>
      <c r="HH222" s="714"/>
      <c r="HI222" s="714"/>
      <c r="HJ222" s="714"/>
      <c r="HK222" s="714"/>
      <c r="HL222" s="714"/>
      <c r="HM222" s="493"/>
      <c r="HN222" s="493"/>
      <c r="HO222" s="493"/>
      <c r="HP222" s="493"/>
      <c r="HQ222" s="493"/>
      <c r="HR222" s="714"/>
      <c r="HS222" s="13"/>
      <c r="HT222" s="714"/>
      <c r="HU222" s="714"/>
      <c r="HV222" s="714"/>
      <c r="HW222" s="714"/>
      <c r="HX222" s="714"/>
      <c r="HY222" s="714"/>
      <c r="HZ222" s="714"/>
      <c r="IA222" s="714"/>
      <c r="IB222" s="714"/>
      <c r="IC222" s="493"/>
      <c r="ID222" s="493"/>
      <c r="IE222" s="493"/>
      <c r="IF222" s="493"/>
      <c r="IG222" s="493"/>
      <c r="IH222" s="714"/>
      <c r="II222" s="13"/>
      <c r="IJ222" s="714"/>
      <c r="IK222" s="714"/>
      <c r="IL222" s="714"/>
      <c r="IM222" s="714"/>
      <c r="IN222" s="714"/>
      <c r="IO222" s="714"/>
      <c r="IP222" s="714"/>
      <c r="IQ222" s="714"/>
      <c r="IR222" s="714"/>
      <c r="IS222" s="493"/>
      <c r="IT222" s="493"/>
      <c r="IU222" s="493"/>
      <c r="IV222" s="493"/>
      <c r="IW222" s="493"/>
      <c r="IX222" s="714"/>
      <c r="IY222" s="13"/>
    </row>
    <row r="223" spans="1:259" outlineLevel="1">
      <c r="A223" s="11">
        <f>'VAC &amp; MED'!C220</f>
        <v>46206</v>
      </c>
      <c r="B223" s="261"/>
      <c r="C223" s="261"/>
      <c r="D223" s="261"/>
      <c r="E223" s="261"/>
      <c r="F223" s="261"/>
      <c r="G223" s="261"/>
      <c r="H223" s="261"/>
      <c r="I223" s="261"/>
      <c r="J223" s="261"/>
      <c r="K223" s="261"/>
      <c r="L223" s="261"/>
      <c r="M223" s="261"/>
      <c r="N223" s="261"/>
      <c r="O223" s="261"/>
      <c r="P223" s="261"/>
      <c r="Q223" s="261"/>
      <c r="R223" s="262"/>
      <c r="S223" s="262"/>
      <c r="T223" s="262"/>
      <c r="U223" s="262"/>
      <c r="V223" s="262"/>
      <c r="W223" s="262"/>
      <c r="X223" s="262"/>
      <c r="Y223" s="262"/>
      <c r="Z223" s="262"/>
      <c r="AA223" s="262"/>
      <c r="AB223" s="262"/>
      <c r="AC223" s="262"/>
      <c r="AD223" s="262"/>
      <c r="AE223" s="262"/>
      <c r="AF223" s="262"/>
      <c r="AG223" s="262"/>
      <c r="AH223" s="263"/>
      <c r="AI223" s="263"/>
      <c r="AJ223" s="263"/>
      <c r="AK223" s="263"/>
      <c r="AL223" s="263"/>
      <c r="AM223" s="263"/>
      <c r="AN223" s="263"/>
      <c r="AO223" s="263"/>
      <c r="AP223" s="263"/>
      <c r="AQ223" s="263"/>
      <c r="AR223" s="263"/>
      <c r="AS223" s="263"/>
      <c r="AT223" s="263"/>
      <c r="AU223" s="263"/>
      <c r="AV223" s="263"/>
      <c r="AW223" s="263"/>
      <c r="AX223" s="264"/>
      <c r="AY223" s="264"/>
      <c r="AZ223" s="264"/>
      <c r="BA223" s="264"/>
      <c r="BB223" s="264"/>
      <c r="BC223" s="264"/>
      <c r="BD223" s="264"/>
      <c r="BE223" s="264"/>
      <c r="BF223" s="264"/>
      <c r="BG223" s="264"/>
      <c r="BH223" s="264"/>
      <c r="BI223" s="264"/>
      <c r="BJ223" s="264"/>
      <c r="BK223" s="264"/>
      <c r="BL223" s="264"/>
      <c r="BM223" s="264"/>
      <c r="BN223" s="265"/>
      <c r="BO223" s="265"/>
      <c r="BP223" s="265"/>
      <c r="BQ223" s="265"/>
      <c r="BR223" s="265"/>
      <c r="BS223" s="265"/>
      <c r="BT223" s="265"/>
      <c r="BU223" s="265"/>
      <c r="BV223" s="265"/>
      <c r="BW223" s="265"/>
      <c r="BX223" s="265"/>
      <c r="BY223" s="265"/>
      <c r="BZ223" s="265"/>
      <c r="CA223" s="265"/>
      <c r="CB223" s="265"/>
      <c r="CC223" s="265"/>
      <c r="CD223" s="266"/>
      <c r="CE223" s="266"/>
      <c r="CF223" s="266"/>
      <c r="CG223" s="266"/>
      <c r="CH223" s="266"/>
      <c r="CI223" s="266"/>
      <c r="CJ223" s="266"/>
      <c r="CK223" s="266"/>
      <c r="CL223" s="266"/>
      <c r="CM223" s="266"/>
      <c r="CN223" s="266"/>
      <c r="CO223" s="266"/>
      <c r="CP223" s="266"/>
      <c r="CQ223" s="266"/>
      <c r="CR223" s="266"/>
      <c r="CS223" s="266"/>
      <c r="CT223" s="267"/>
      <c r="CU223" s="267"/>
      <c r="CV223" s="267"/>
      <c r="CW223" s="267"/>
      <c r="CX223" s="267"/>
      <c r="CY223" s="267"/>
      <c r="CZ223" s="267"/>
      <c r="DA223" s="267"/>
      <c r="DB223" s="267"/>
      <c r="DC223" s="267"/>
      <c r="DD223" s="267"/>
      <c r="DE223" s="267"/>
      <c r="DF223" s="267"/>
      <c r="DG223" s="267">
        <v>22</v>
      </c>
      <c r="DH223" s="267">
        <v>22</v>
      </c>
      <c r="DI223" s="267"/>
      <c r="DJ223" s="268"/>
      <c r="DK223" s="268"/>
      <c r="DL223" s="268"/>
      <c r="DM223" s="268"/>
      <c r="DN223" s="268"/>
      <c r="DO223" s="268"/>
      <c r="DP223" s="268"/>
      <c r="DQ223" s="268"/>
      <c r="DR223" s="268"/>
      <c r="DS223" s="268"/>
      <c r="DT223" s="268"/>
      <c r="DU223" s="268"/>
      <c r="DV223" s="268"/>
      <c r="DW223" s="268"/>
      <c r="DX223" s="268"/>
      <c r="DY223" s="268"/>
      <c r="EA223" s="721"/>
      <c r="EB223" s="714"/>
      <c r="EC223" s="714"/>
      <c r="ED223" s="714"/>
      <c r="EE223" s="714"/>
      <c r="EF223" s="714"/>
      <c r="EG223" s="714"/>
      <c r="EH223" s="714"/>
      <c r="EI223" s="714"/>
      <c r="EJ223" s="714"/>
      <c r="EK223" s="714"/>
      <c r="EL223" s="493"/>
      <c r="EM223" s="493"/>
      <c r="EN223" s="493"/>
      <c r="EO223" s="493"/>
      <c r="EP223" s="493"/>
      <c r="EQ223" s="493"/>
      <c r="ER223" s="714"/>
      <c r="ES223" s="714"/>
      <c r="ET223" s="714"/>
      <c r="EU223" s="714"/>
      <c r="EV223" s="714"/>
      <c r="EW223" s="714"/>
      <c r="EX223" s="714"/>
      <c r="EY223" s="714"/>
      <c r="EZ223" s="714"/>
      <c r="FA223" s="493"/>
      <c r="FB223" s="493"/>
      <c r="FC223" s="493"/>
      <c r="FD223" s="493"/>
      <c r="FE223" s="493"/>
      <c r="FF223" s="714"/>
      <c r="FG223" s="493"/>
      <c r="FH223" s="714"/>
      <c r="FI223" s="714"/>
      <c r="FJ223" s="714"/>
      <c r="FK223" s="714"/>
      <c r="FL223" s="714"/>
      <c r="FM223" s="714"/>
      <c r="FN223" s="714"/>
      <c r="FO223" s="714"/>
      <c r="FP223" s="714"/>
      <c r="FQ223" s="493"/>
      <c r="FR223" s="493"/>
      <c r="FS223" s="493"/>
      <c r="FT223" s="493"/>
      <c r="FU223" s="493"/>
      <c r="FV223" s="714"/>
      <c r="FW223" s="493"/>
      <c r="FX223" s="714"/>
      <c r="FY223" s="714"/>
      <c r="FZ223" s="714"/>
      <c r="GA223" s="714"/>
      <c r="GB223" s="714"/>
      <c r="GC223" s="714"/>
      <c r="GD223" s="714"/>
      <c r="GE223" s="714"/>
      <c r="GF223" s="714"/>
      <c r="GG223" s="493"/>
      <c r="GH223" s="493"/>
      <c r="GI223" s="493"/>
      <c r="GJ223" s="493"/>
      <c r="GK223" s="493"/>
      <c r="GL223" s="714"/>
      <c r="GM223" s="13"/>
      <c r="GN223" s="714"/>
      <c r="GO223" s="714"/>
      <c r="GP223" s="714"/>
      <c r="GQ223" s="714"/>
      <c r="GR223" s="714"/>
      <c r="GS223" s="714"/>
      <c r="GT223" s="714"/>
      <c r="GU223" s="714"/>
      <c r="GV223" s="714"/>
      <c r="GW223" s="493"/>
      <c r="GX223" s="493"/>
      <c r="GY223" s="493"/>
      <c r="GZ223" s="493"/>
      <c r="HA223" s="493"/>
      <c r="HB223" s="714"/>
      <c r="HC223" s="13"/>
      <c r="HD223" s="714"/>
      <c r="HE223" s="714"/>
      <c r="HF223" s="714"/>
      <c r="HG223" s="714"/>
      <c r="HH223" s="714"/>
      <c r="HI223" s="714"/>
      <c r="HJ223" s="714"/>
      <c r="HK223" s="714"/>
      <c r="HL223" s="714"/>
      <c r="HM223" s="493"/>
      <c r="HN223" s="493"/>
      <c r="HO223" s="493"/>
      <c r="HP223" s="493"/>
      <c r="HQ223" s="493"/>
      <c r="HR223" s="714"/>
      <c r="HS223" s="13"/>
      <c r="HT223" s="714"/>
      <c r="HU223" s="714"/>
      <c r="HV223" s="714"/>
      <c r="HW223" s="714"/>
      <c r="HX223" s="714"/>
      <c r="HY223" s="714"/>
      <c r="HZ223" s="714"/>
      <c r="IA223" s="714"/>
      <c r="IB223" s="714"/>
      <c r="IC223" s="493"/>
      <c r="ID223" s="493"/>
      <c r="IE223" s="493"/>
      <c r="IF223" s="493"/>
      <c r="IG223" s="493"/>
      <c r="IH223" s="714"/>
      <c r="II223" s="13"/>
      <c r="IJ223" s="714"/>
      <c r="IK223" s="714"/>
      <c r="IL223" s="714"/>
      <c r="IM223" s="714"/>
      <c r="IN223" s="714"/>
      <c r="IO223" s="714"/>
      <c r="IP223" s="714"/>
      <c r="IQ223" s="714"/>
      <c r="IR223" s="714"/>
      <c r="IS223" s="493"/>
      <c r="IT223" s="493"/>
      <c r="IU223" s="493"/>
      <c r="IV223" s="493"/>
      <c r="IW223" s="493"/>
      <c r="IX223" s="714"/>
      <c r="IY223" s="13"/>
    </row>
    <row r="224" spans="1:259" outlineLevel="1">
      <c r="A224" s="11">
        <f>'VAC &amp; MED'!C221</f>
        <v>46207</v>
      </c>
      <c r="B224" s="261"/>
      <c r="C224" s="261"/>
      <c r="D224" s="261"/>
      <c r="E224" s="261"/>
      <c r="F224" s="261"/>
      <c r="G224" s="261"/>
      <c r="H224" s="261"/>
      <c r="I224" s="261"/>
      <c r="J224" s="261"/>
      <c r="K224" s="261"/>
      <c r="L224" s="261"/>
      <c r="M224" s="261"/>
      <c r="N224" s="261"/>
      <c r="O224" s="261"/>
      <c r="P224" s="261"/>
      <c r="Q224" s="261"/>
      <c r="R224" s="262"/>
      <c r="S224" s="262"/>
      <c r="T224" s="262"/>
      <c r="U224" s="262"/>
      <c r="V224" s="262"/>
      <c r="W224" s="262"/>
      <c r="X224" s="262"/>
      <c r="Y224" s="262"/>
      <c r="Z224" s="262"/>
      <c r="AA224" s="262"/>
      <c r="AB224" s="262"/>
      <c r="AC224" s="262"/>
      <c r="AD224" s="262"/>
      <c r="AE224" s="262"/>
      <c r="AF224" s="262"/>
      <c r="AG224" s="262"/>
      <c r="AH224" s="263"/>
      <c r="AI224" s="263"/>
      <c r="AJ224" s="263"/>
      <c r="AK224" s="263"/>
      <c r="AL224" s="263"/>
      <c r="AM224" s="263"/>
      <c r="AN224" s="263"/>
      <c r="AO224" s="263"/>
      <c r="AP224" s="263"/>
      <c r="AQ224" s="263"/>
      <c r="AR224" s="263"/>
      <c r="AS224" s="263"/>
      <c r="AT224" s="263"/>
      <c r="AU224" s="263"/>
      <c r="AV224" s="263"/>
      <c r="AW224" s="263"/>
      <c r="AX224" s="264"/>
      <c r="AY224" s="264"/>
      <c r="AZ224" s="264"/>
      <c r="BA224" s="264"/>
      <c r="BB224" s="264"/>
      <c r="BC224" s="264"/>
      <c r="BD224" s="264"/>
      <c r="BE224" s="264"/>
      <c r="BF224" s="264"/>
      <c r="BG224" s="264"/>
      <c r="BH224" s="264"/>
      <c r="BI224" s="264"/>
      <c r="BJ224" s="264"/>
      <c r="BK224" s="264"/>
      <c r="BL224" s="264"/>
      <c r="BM224" s="264"/>
      <c r="BN224" s="265"/>
      <c r="BO224" s="265"/>
      <c r="BP224" s="265"/>
      <c r="BQ224" s="265"/>
      <c r="BR224" s="265"/>
      <c r="BS224" s="265"/>
      <c r="BT224" s="265"/>
      <c r="BU224" s="265"/>
      <c r="BV224" s="265"/>
      <c r="BW224" s="265"/>
      <c r="BX224" s="265">
        <v>4</v>
      </c>
      <c r="BY224" s="265"/>
      <c r="BZ224" s="265"/>
      <c r="CA224" s="265"/>
      <c r="CB224" s="265"/>
      <c r="CC224" s="265"/>
      <c r="CD224" s="266"/>
      <c r="CE224" s="266"/>
      <c r="CF224" s="266"/>
      <c r="CG224" s="266"/>
      <c r="CH224" s="266"/>
      <c r="CI224" s="266"/>
      <c r="CJ224" s="266"/>
      <c r="CK224" s="266"/>
      <c r="CL224" s="266"/>
      <c r="CM224" s="266"/>
      <c r="CN224" s="266"/>
      <c r="CO224" s="266"/>
      <c r="CP224" s="266"/>
      <c r="CQ224" s="266"/>
      <c r="CR224" s="266"/>
      <c r="CS224" s="266"/>
      <c r="CT224" s="267"/>
      <c r="CU224" s="267"/>
      <c r="CV224" s="267"/>
      <c r="CW224" s="267"/>
      <c r="CX224" s="267"/>
      <c r="CY224" s="267"/>
      <c r="CZ224" s="267"/>
      <c r="DA224" s="267"/>
      <c r="DB224" s="267"/>
      <c r="DC224" s="267"/>
      <c r="DD224" s="267"/>
      <c r="DE224" s="267"/>
      <c r="DF224" s="267"/>
      <c r="DG224" s="267"/>
      <c r="DH224" s="267">
        <v>70</v>
      </c>
      <c r="DI224" s="267"/>
      <c r="DJ224" s="268"/>
      <c r="DK224" s="268"/>
      <c r="DL224" s="268"/>
      <c r="DM224" s="268"/>
      <c r="DN224" s="268"/>
      <c r="DO224" s="268"/>
      <c r="DP224" s="268"/>
      <c r="DQ224" s="268"/>
      <c r="DR224" s="268"/>
      <c r="DS224" s="268"/>
      <c r="DT224" s="268"/>
      <c r="DU224" s="268"/>
      <c r="DV224" s="268"/>
      <c r="DW224" s="268"/>
      <c r="DX224" s="268"/>
      <c r="DY224" s="268"/>
      <c r="EA224" s="13"/>
      <c r="EB224" s="96"/>
      <c r="EC224" s="96"/>
      <c r="ED224" s="96"/>
      <c r="EE224" s="96"/>
      <c r="EF224" s="96"/>
      <c r="EG224" s="96"/>
      <c r="EH224" s="96"/>
      <c r="EI224" s="96"/>
      <c r="EJ224" s="96"/>
      <c r="EK224" s="96"/>
      <c r="EL224" s="96"/>
      <c r="EM224" s="96"/>
      <c r="EN224" s="96"/>
      <c r="EO224" s="96"/>
      <c r="EP224" s="96"/>
      <c r="EQ224" s="96"/>
      <c r="ER224" s="96"/>
      <c r="ES224" s="96"/>
      <c r="ET224" s="96"/>
      <c r="EU224" s="96"/>
      <c r="EV224" s="96"/>
      <c r="EW224" s="96"/>
      <c r="EX224" s="96"/>
      <c r="EY224" s="96"/>
      <c r="EZ224" s="96"/>
      <c r="FA224" s="96"/>
      <c r="FB224" s="96"/>
      <c r="FC224" s="96"/>
      <c r="FD224" s="96"/>
      <c r="FE224" s="96"/>
      <c r="FF224" s="96"/>
      <c r="FG224" s="96"/>
      <c r="FH224" s="96"/>
      <c r="FI224" s="96"/>
      <c r="FJ224" s="96"/>
      <c r="FK224" s="96"/>
      <c r="FL224" s="96"/>
      <c r="FM224" s="96"/>
      <c r="FN224" s="96"/>
      <c r="FO224" s="96"/>
      <c r="FP224" s="96"/>
      <c r="FQ224" s="96"/>
      <c r="FR224" s="96"/>
      <c r="FS224" s="96"/>
      <c r="FT224" s="96"/>
      <c r="FU224" s="96"/>
      <c r="FV224" s="96"/>
      <c r="FW224" s="96"/>
      <c r="FX224" s="96"/>
      <c r="FY224" s="96"/>
      <c r="FZ224" s="96"/>
      <c r="GA224" s="96"/>
      <c r="GB224" s="96"/>
      <c r="GC224" s="96"/>
      <c r="GD224" s="96"/>
      <c r="GE224" s="96"/>
      <c r="GF224" s="96"/>
      <c r="GG224" s="96"/>
      <c r="GH224" s="96"/>
      <c r="GI224" s="96"/>
      <c r="GJ224" s="96"/>
      <c r="GK224" s="96"/>
      <c r="GL224" s="96"/>
      <c r="GM224" s="13"/>
      <c r="GN224" s="96"/>
      <c r="GO224" s="96"/>
      <c r="GP224" s="96"/>
      <c r="GQ224" s="96"/>
      <c r="GR224" s="96"/>
      <c r="GS224" s="96"/>
      <c r="GT224" s="96"/>
      <c r="GU224" s="96"/>
      <c r="GV224" s="96"/>
      <c r="GW224" s="96"/>
      <c r="GX224" s="96"/>
      <c r="GY224" s="96"/>
      <c r="GZ224" s="96"/>
      <c r="HA224" s="96"/>
      <c r="HB224" s="96"/>
      <c r="HC224" s="13"/>
      <c r="HD224" s="96"/>
      <c r="HE224" s="96"/>
      <c r="HF224" s="96"/>
      <c r="HG224" s="96"/>
      <c r="HH224" s="96"/>
      <c r="HI224" s="96"/>
      <c r="HJ224" s="96"/>
      <c r="HK224" s="96"/>
      <c r="HL224" s="96"/>
      <c r="HM224" s="96"/>
      <c r="HN224" s="96"/>
      <c r="HO224" s="96"/>
      <c r="HP224" s="96"/>
      <c r="HQ224" s="96"/>
      <c r="HR224" s="96"/>
      <c r="HS224" s="13"/>
      <c r="HT224" s="96"/>
      <c r="HU224" s="96"/>
      <c r="HV224" s="96"/>
      <c r="HW224" s="96"/>
      <c r="HX224" s="96"/>
      <c r="HY224" s="96"/>
      <c r="HZ224" s="96"/>
      <c r="IA224" s="96"/>
      <c r="IB224" s="96"/>
      <c r="IC224" s="96"/>
      <c r="ID224" s="96"/>
      <c r="IE224" s="96"/>
      <c r="IF224" s="96"/>
      <c r="IG224" s="96"/>
      <c r="IH224" s="96"/>
      <c r="II224" s="13"/>
      <c r="IJ224" s="96"/>
      <c r="IK224" s="96"/>
      <c r="IL224" s="96"/>
      <c r="IM224" s="96"/>
      <c r="IN224" s="96"/>
      <c r="IO224" s="96"/>
      <c r="IP224" s="96"/>
      <c r="IQ224" s="96"/>
      <c r="IR224" s="96"/>
      <c r="IS224" s="96"/>
      <c r="IT224" s="96"/>
      <c r="IU224" s="96"/>
      <c r="IV224" s="96"/>
      <c r="IW224" s="96"/>
      <c r="IX224" s="96"/>
      <c r="IY224" s="13"/>
    </row>
    <row r="225" spans="1:259" outlineLevel="1">
      <c r="A225" s="11">
        <f>'VAC &amp; MED'!C222</f>
        <v>46208</v>
      </c>
      <c r="B225" s="261"/>
      <c r="C225" s="261"/>
      <c r="D225" s="261"/>
      <c r="E225" s="261"/>
      <c r="F225" s="261"/>
      <c r="G225" s="261"/>
      <c r="H225" s="261"/>
      <c r="I225" s="261"/>
      <c r="J225" s="261"/>
      <c r="K225" s="261"/>
      <c r="L225" s="261"/>
      <c r="M225" s="261"/>
      <c r="N225" s="261"/>
      <c r="O225" s="261"/>
      <c r="P225" s="261"/>
      <c r="Q225" s="261"/>
      <c r="R225" s="262"/>
      <c r="S225" s="262"/>
      <c r="T225" s="262"/>
      <c r="U225" s="262"/>
      <c r="V225" s="262"/>
      <c r="W225" s="262"/>
      <c r="X225" s="262"/>
      <c r="Y225" s="262"/>
      <c r="Z225" s="262"/>
      <c r="AA225" s="262"/>
      <c r="AB225" s="262"/>
      <c r="AC225" s="262"/>
      <c r="AD225" s="262"/>
      <c r="AE225" s="262"/>
      <c r="AF225" s="262"/>
      <c r="AG225" s="262"/>
      <c r="AH225" s="263"/>
      <c r="AI225" s="263"/>
      <c r="AJ225" s="263"/>
      <c r="AK225" s="263"/>
      <c r="AL225" s="263"/>
      <c r="AM225" s="263"/>
      <c r="AN225" s="263"/>
      <c r="AO225" s="263"/>
      <c r="AP225" s="263"/>
      <c r="AQ225" s="263"/>
      <c r="AR225" s="263"/>
      <c r="AS225" s="263"/>
      <c r="AT225" s="263"/>
      <c r="AU225" s="263"/>
      <c r="AV225" s="263"/>
      <c r="AW225" s="263" t="s">
        <v>151</v>
      </c>
      <c r="AX225" s="264"/>
      <c r="AY225" s="264"/>
      <c r="AZ225" s="264"/>
      <c r="BA225" s="264"/>
      <c r="BB225" s="264"/>
      <c r="BC225" s="264"/>
      <c r="BD225" s="264"/>
      <c r="BE225" s="264"/>
      <c r="BF225" s="264"/>
      <c r="BG225" s="264"/>
      <c r="BH225" s="264"/>
      <c r="BI225" s="264"/>
      <c r="BJ225" s="264"/>
      <c r="BK225" s="264"/>
      <c r="BL225" s="264"/>
      <c r="BM225" s="264"/>
      <c r="BN225" s="265"/>
      <c r="BO225" s="265"/>
      <c r="BP225" s="265"/>
      <c r="BQ225" s="265"/>
      <c r="BR225" s="265"/>
      <c r="BS225" s="265"/>
      <c r="BT225" s="265"/>
      <c r="BU225" s="265"/>
      <c r="BV225" s="265"/>
      <c r="BW225" s="265"/>
      <c r="BX225" s="265"/>
      <c r="BY225" s="265"/>
      <c r="BZ225" s="265"/>
      <c r="CA225" s="265"/>
      <c r="CB225" s="265"/>
      <c r="CC225" s="265"/>
      <c r="CD225" s="266"/>
      <c r="CE225" s="266"/>
      <c r="CF225" s="266"/>
      <c r="CG225" s="266"/>
      <c r="CH225" s="266"/>
      <c r="CI225" s="266"/>
      <c r="CJ225" s="266"/>
      <c r="CK225" s="266"/>
      <c r="CL225" s="266"/>
      <c r="CM225" s="266"/>
      <c r="CN225" s="266"/>
      <c r="CO225" s="266"/>
      <c r="CP225" s="266"/>
      <c r="CQ225" s="266"/>
      <c r="CR225" s="266"/>
      <c r="CS225" s="266"/>
      <c r="CT225" s="267"/>
      <c r="CU225" s="267"/>
      <c r="CV225" s="267"/>
      <c r="CW225" s="267"/>
      <c r="CX225" s="267"/>
      <c r="CY225" s="267"/>
      <c r="CZ225" s="267"/>
      <c r="DA225" s="267"/>
      <c r="DB225" s="267"/>
      <c r="DC225" s="267"/>
      <c r="DD225" s="267"/>
      <c r="DE225" s="267"/>
      <c r="DF225" s="267"/>
      <c r="DG225" s="267"/>
      <c r="DH225" s="267"/>
      <c r="DI225" s="267"/>
      <c r="DJ225" s="268"/>
      <c r="DK225" s="268"/>
      <c r="DL225" s="268"/>
      <c r="DM225" s="268"/>
      <c r="DN225" s="268"/>
      <c r="DO225" s="268"/>
      <c r="DP225" s="268"/>
      <c r="DQ225" s="268"/>
      <c r="DR225" s="268"/>
      <c r="DS225" s="268"/>
      <c r="DT225" s="268"/>
      <c r="DU225" s="268"/>
      <c r="DV225" s="268"/>
      <c r="DW225" s="268"/>
      <c r="DX225" s="268"/>
      <c r="DY225" s="268"/>
      <c r="EA225" s="13"/>
      <c r="EB225" s="96"/>
      <c r="EC225" s="96"/>
      <c r="ED225" s="96"/>
      <c r="EE225" s="96"/>
      <c r="EF225" s="96"/>
      <c r="EG225" s="96"/>
      <c r="EH225" s="96"/>
      <c r="EI225" s="96"/>
      <c r="EJ225" s="96"/>
      <c r="EK225" s="96"/>
      <c r="EL225" s="96"/>
      <c r="EM225" s="96"/>
      <c r="EN225" s="96"/>
      <c r="EO225" s="96"/>
      <c r="EP225" s="96"/>
      <c r="EQ225" s="96"/>
      <c r="ER225" s="96"/>
      <c r="ES225" s="96"/>
      <c r="ET225" s="96"/>
      <c r="EU225" s="96"/>
      <c r="EV225" s="96"/>
      <c r="EW225" s="96"/>
      <c r="EX225" s="96"/>
      <c r="EY225" s="96"/>
      <c r="EZ225" s="96"/>
      <c r="FA225" s="96"/>
      <c r="FB225" s="96"/>
      <c r="FC225" s="96"/>
      <c r="FD225" s="96"/>
      <c r="FE225" s="96"/>
      <c r="FF225" s="96"/>
      <c r="FG225" s="96"/>
      <c r="FH225" s="96"/>
      <c r="FI225" s="96"/>
      <c r="FJ225" s="96"/>
      <c r="FK225" s="96"/>
      <c r="FL225" s="96"/>
      <c r="FM225" s="96"/>
      <c r="FN225" s="96"/>
      <c r="FO225" s="96"/>
      <c r="FP225" s="96"/>
      <c r="FQ225" s="96"/>
      <c r="FR225" s="96"/>
      <c r="FS225" s="96"/>
      <c r="FT225" s="96"/>
      <c r="FU225" s="96"/>
      <c r="FV225" s="96"/>
      <c r="FW225" s="96"/>
      <c r="FX225" s="96"/>
      <c r="FY225" s="96"/>
      <c r="FZ225" s="96"/>
      <c r="GA225" s="96"/>
      <c r="GB225" s="96"/>
      <c r="GC225" s="96"/>
      <c r="GD225" s="96"/>
      <c r="GE225" s="96"/>
      <c r="GF225" s="96"/>
      <c r="GG225" s="96"/>
      <c r="GH225" s="96"/>
      <c r="GI225" s="96"/>
      <c r="GJ225" s="96"/>
      <c r="GK225" s="96"/>
      <c r="GL225" s="96"/>
      <c r="GM225" s="13"/>
      <c r="GN225" s="96"/>
      <c r="GO225" s="96"/>
      <c r="GP225" s="96"/>
      <c r="GQ225" s="96"/>
      <c r="GR225" s="96"/>
      <c r="GS225" s="96"/>
      <c r="GT225" s="96"/>
      <c r="GU225" s="96"/>
      <c r="GV225" s="96"/>
      <c r="GW225" s="96"/>
      <c r="GX225" s="96"/>
      <c r="GY225" s="96"/>
      <c r="GZ225" s="96"/>
      <c r="HA225" s="96"/>
      <c r="HB225" s="96"/>
      <c r="HC225" s="13"/>
      <c r="HD225" s="96"/>
      <c r="HE225" s="96"/>
      <c r="HF225" s="96"/>
      <c r="HG225" s="96"/>
      <c r="HH225" s="96"/>
      <c r="HI225" s="96"/>
      <c r="HJ225" s="96"/>
      <c r="HK225" s="96"/>
      <c r="HL225" s="96"/>
      <c r="HM225" s="96"/>
      <c r="HN225" s="96"/>
      <c r="HO225" s="96"/>
      <c r="HP225" s="96"/>
      <c r="HQ225" s="96"/>
      <c r="HR225" s="96"/>
      <c r="HS225" s="13"/>
      <c r="HT225" s="96"/>
      <c r="HU225" s="96"/>
      <c r="HV225" s="96"/>
      <c r="HW225" s="96"/>
      <c r="HX225" s="96"/>
      <c r="HY225" s="96"/>
      <c r="HZ225" s="96"/>
      <c r="IA225" s="96"/>
      <c r="IB225" s="96"/>
      <c r="IC225" s="96"/>
      <c r="ID225" s="96"/>
      <c r="IE225" s="96"/>
      <c r="IF225" s="96"/>
      <c r="IG225" s="96"/>
      <c r="IH225" s="96"/>
      <c r="II225" s="13"/>
      <c r="IJ225" s="96"/>
      <c r="IK225" s="96"/>
      <c r="IL225" s="96"/>
      <c r="IM225" s="96"/>
      <c r="IN225" s="96"/>
      <c r="IO225" s="96"/>
      <c r="IP225" s="96"/>
      <c r="IQ225" s="96"/>
      <c r="IR225" s="96"/>
      <c r="IS225" s="96"/>
      <c r="IT225" s="96"/>
      <c r="IU225" s="96"/>
      <c r="IV225" s="96"/>
      <c r="IW225" s="96"/>
      <c r="IX225" s="96"/>
      <c r="IY225" s="13"/>
    </row>
    <row r="226" spans="1:259" outlineLevel="1">
      <c r="A226" s="11">
        <f>'VAC &amp; MED'!C223</f>
        <v>46209</v>
      </c>
      <c r="B226" s="261">
        <v>16</v>
      </c>
      <c r="C226" s="261"/>
      <c r="D226" s="261"/>
      <c r="E226" s="261"/>
      <c r="F226" s="261"/>
      <c r="G226" s="261"/>
      <c r="H226" s="261"/>
      <c r="I226" s="261"/>
      <c r="J226" s="261"/>
      <c r="K226" s="261"/>
      <c r="L226" s="261"/>
      <c r="M226" s="261"/>
      <c r="N226" s="261"/>
      <c r="O226" s="261"/>
      <c r="P226" s="261"/>
      <c r="Q226" s="261"/>
      <c r="R226" s="262"/>
      <c r="S226" s="262"/>
      <c r="T226" s="262"/>
      <c r="U226" s="262"/>
      <c r="V226" s="262"/>
      <c r="W226" s="262"/>
      <c r="X226" s="262"/>
      <c r="Y226" s="262"/>
      <c r="Z226" s="262"/>
      <c r="AA226" s="262"/>
      <c r="AB226" s="262"/>
      <c r="AC226" s="262"/>
      <c r="AD226" s="262"/>
      <c r="AE226" s="262"/>
      <c r="AF226" s="262"/>
      <c r="AG226" s="262"/>
      <c r="AH226" s="263"/>
      <c r="AI226" s="263"/>
      <c r="AJ226" s="263"/>
      <c r="AK226" s="263"/>
      <c r="AL226" s="263"/>
      <c r="AM226" s="263"/>
      <c r="AN226" s="263"/>
      <c r="AO226" s="263"/>
      <c r="AP226" s="263"/>
      <c r="AQ226" s="263"/>
      <c r="AR226" s="263"/>
      <c r="AS226" s="263"/>
      <c r="AT226" s="263"/>
      <c r="AU226" s="263"/>
      <c r="AV226" s="263"/>
      <c r="AW226" s="263"/>
      <c r="AX226" s="264"/>
      <c r="AY226" s="264"/>
      <c r="AZ226" s="264"/>
      <c r="BA226" s="264"/>
      <c r="BB226" s="264"/>
      <c r="BC226" s="264"/>
      <c r="BD226" s="264"/>
      <c r="BE226" s="264"/>
      <c r="BF226" s="264"/>
      <c r="BG226" s="264"/>
      <c r="BH226" s="264"/>
      <c r="BI226" s="264"/>
      <c r="BJ226" s="264"/>
      <c r="BK226" s="264"/>
      <c r="BL226" s="264"/>
      <c r="BM226" s="264"/>
      <c r="BN226" s="265"/>
      <c r="BO226" s="265">
        <v>6</v>
      </c>
      <c r="BP226" s="265"/>
      <c r="BQ226" s="265"/>
      <c r="BR226" s="265"/>
      <c r="BS226" s="265"/>
      <c r="BT226" s="265"/>
      <c r="BU226" s="265"/>
      <c r="BV226" s="265"/>
      <c r="BW226" s="265"/>
      <c r="BX226" s="265"/>
      <c r="BY226" s="265"/>
      <c r="BZ226" s="265"/>
      <c r="CA226" s="265"/>
      <c r="CB226" s="265"/>
      <c r="CC226" s="265"/>
      <c r="CD226" s="266"/>
      <c r="CE226" s="266"/>
      <c r="CF226" s="266"/>
      <c r="CG226" s="266"/>
      <c r="CH226" s="266"/>
      <c r="CI226" s="266"/>
      <c r="CJ226" s="266"/>
      <c r="CK226" s="266"/>
      <c r="CL226" s="266"/>
      <c r="CM226" s="266"/>
      <c r="CN226" s="266"/>
      <c r="CO226" s="266"/>
      <c r="CP226" s="266"/>
      <c r="CQ226" s="266"/>
      <c r="CR226" s="266"/>
      <c r="CS226" s="266"/>
      <c r="CT226" s="267"/>
      <c r="CU226" s="267"/>
      <c r="CV226" s="267"/>
      <c r="CW226" s="267"/>
      <c r="CX226" s="267"/>
      <c r="CY226" s="267"/>
      <c r="CZ226" s="267"/>
      <c r="DA226" s="267">
        <v>10</v>
      </c>
      <c r="DB226" s="267"/>
      <c r="DC226" s="267"/>
      <c r="DD226" s="267"/>
      <c r="DE226" s="267"/>
      <c r="DF226" s="267"/>
      <c r="DG226" s="267"/>
      <c r="DH226" s="267"/>
      <c r="DI226" s="267"/>
      <c r="DJ226" s="268"/>
      <c r="DK226" s="268"/>
      <c r="DL226" s="268"/>
      <c r="DM226" s="268"/>
      <c r="DN226" s="268"/>
      <c r="DO226" s="268"/>
      <c r="DP226" s="268"/>
      <c r="DQ226" s="268"/>
      <c r="DR226" s="268"/>
      <c r="DS226" s="268"/>
      <c r="DT226" s="268"/>
      <c r="DU226" s="268"/>
      <c r="DV226" s="268"/>
      <c r="DW226" s="268"/>
      <c r="DX226" s="268"/>
      <c r="DY226" s="268"/>
      <c r="EA226" s="13"/>
      <c r="EB226" s="96"/>
      <c r="EC226" s="96"/>
      <c r="ED226" s="96"/>
      <c r="EE226" s="96"/>
      <c r="EF226" s="96"/>
      <c r="EG226" s="96"/>
      <c r="EH226" s="96"/>
      <c r="EI226" s="96"/>
      <c r="EJ226" s="96"/>
      <c r="EK226" s="96"/>
      <c r="EL226" s="96"/>
      <c r="EM226" s="96"/>
      <c r="EN226" s="96"/>
      <c r="EO226" s="96"/>
      <c r="EP226" s="96"/>
      <c r="EQ226" s="96"/>
      <c r="ER226" s="96"/>
      <c r="ES226" s="96"/>
      <c r="ET226" s="96"/>
      <c r="EU226" s="96"/>
      <c r="EV226" s="96"/>
      <c r="EW226" s="96"/>
      <c r="EX226" s="96"/>
      <c r="EY226" s="96"/>
      <c r="EZ226" s="96"/>
      <c r="FA226" s="96"/>
      <c r="FB226" s="96"/>
      <c r="FC226" s="96"/>
      <c r="FD226" s="96"/>
      <c r="FE226" s="96"/>
      <c r="FF226" s="96"/>
      <c r="FG226" s="96"/>
      <c r="FH226" s="96"/>
      <c r="FI226" s="96"/>
      <c r="FJ226" s="96"/>
      <c r="FK226" s="96"/>
      <c r="FL226" s="96"/>
      <c r="FM226" s="96"/>
      <c r="FN226" s="96"/>
      <c r="FO226" s="96"/>
      <c r="FP226" s="96"/>
      <c r="FQ226" s="96"/>
      <c r="FR226" s="96"/>
      <c r="FS226" s="96"/>
      <c r="FT226" s="96"/>
      <c r="FU226" s="96"/>
      <c r="FV226" s="96"/>
      <c r="FW226" s="96"/>
      <c r="FX226" s="96"/>
      <c r="FY226" s="96"/>
      <c r="FZ226" s="96"/>
      <c r="GA226" s="96"/>
      <c r="GB226" s="96"/>
      <c r="GC226" s="96"/>
      <c r="GD226" s="96"/>
      <c r="GE226" s="96"/>
      <c r="GF226" s="96"/>
      <c r="GG226" s="96"/>
      <c r="GH226" s="96"/>
      <c r="GI226" s="96"/>
      <c r="GJ226" s="96"/>
      <c r="GK226" s="96"/>
      <c r="GL226" s="96"/>
      <c r="GM226" s="13"/>
      <c r="GN226" s="96"/>
      <c r="GO226" s="96"/>
      <c r="GP226" s="96"/>
      <c r="GQ226" s="96"/>
      <c r="GR226" s="96"/>
      <c r="GS226" s="96"/>
      <c r="GT226" s="96"/>
      <c r="GU226" s="96"/>
      <c r="GV226" s="96"/>
      <c r="GW226" s="96"/>
      <c r="GX226" s="96"/>
      <c r="GY226" s="96"/>
      <c r="GZ226" s="96"/>
      <c r="HA226" s="96"/>
      <c r="HB226" s="96"/>
      <c r="HC226" s="13"/>
      <c r="HD226" s="96"/>
      <c r="HE226" s="96"/>
      <c r="HF226" s="96"/>
      <c r="HG226" s="96"/>
      <c r="HH226" s="96"/>
      <c r="HI226" s="96"/>
      <c r="HJ226" s="96"/>
      <c r="HK226" s="96"/>
      <c r="HL226" s="96"/>
      <c r="HM226" s="96"/>
      <c r="HN226" s="96"/>
      <c r="HO226" s="96"/>
      <c r="HP226" s="96"/>
      <c r="HQ226" s="96"/>
      <c r="HR226" s="96"/>
      <c r="HS226" s="13"/>
      <c r="HT226" s="96"/>
      <c r="HU226" s="96"/>
      <c r="HV226" s="96"/>
      <c r="HW226" s="96"/>
      <c r="HX226" s="96"/>
      <c r="HY226" s="96"/>
      <c r="HZ226" s="96"/>
      <c r="IA226" s="96"/>
      <c r="IB226" s="96"/>
      <c r="IC226" s="96"/>
      <c r="ID226" s="96"/>
      <c r="IE226" s="96"/>
      <c r="IF226" s="96"/>
      <c r="IG226" s="96"/>
      <c r="IH226" s="96"/>
      <c r="II226" s="13"/>
      <c r="IJ226" s="96"/>
      <c r="IK226" s="96"/>
      <c r="IL226" s="96"/>
      <c r="IM226" s="96"/>
      <c r="IN226" s="96"/>
      <c r="IO226" s="96"/>
      <c r="IP226" s="96"/>
      <c r="IQ226" s="96"/>
      <c r="IR226" s="96"/>
      <c r="IS226" s="96"/>
      <c r="IT226" s="96"/>
      <c r="IU226" s="96"/>
      <c r="IV226" s="96"/>
      <c r="IW226" s="96"/>
      <c r="IX226" s="96"/>
      <c r="IY226" s="13"/>
    </row>
    <row r="227" spans="1:259" outlineLevel="1">
      <c r="A227" s="11">
        <f>'VAC &amp; MED'!C224</f>
        <v>46210</v>
      </c>
      <c r="B227" s="261"/>
      <c r="C227" s="261"/>
      <c r="D227" s="261"/>
      <c r="E227" s="261"/>
      <c r="F227" s="261"/>
      <c r="G227" s="261"/>
      <c r="H227" s="261"/>
      <c r="I227" s="261"/>
      <c r="J227" s="261"/>
      <c r="K227" s="261"/>
      <c r="L227" s="261"/>
      <c r="M227" s="261"/>
      <c r="N227" s="261"/>
      <c r="O227" s="261"/>
      <c r="P227" s="261"/>
      <c r="Q227" s="261"/>
      <c r="R227" s="262"/>
      <c r="S227" s="262"/>
      <c r="T227" s="262"/>
      <c r="U227" s="262"/>
      <c r="V227" s="262"/>
      <c r="W227" s="262"/>
      <c r="X227" s="262"/>
      <c r="Y227" s="262"/>
      <c r="Z227" s="262"/>
      <c r="AA227" s="262"/>
      <c r="AB227" s="262"/>
      <c r="AC227" s="262"/>
      <c r="AD227" s="262"/>
      <c r="AE227" s="262"/>
      <c r="AF227" s="262"/>
      <c r="AG227" s="262"/>
      <c r="AH227" s="263"/>
      <c r="AI227" s="263"/>
      <c r="AJ227" s="263"/>
      <c r="AK227" s="263"/>
      <c r="AL227" s="263"/>
      <c r="AM227" s="263"/>
      <c r="AN227" s="263"/>
      <c r="AO227" s="263"/>
      <c r="AP227" s="263"/>
      <c r="AQ227" s="263"/>
      <c r="AR227" s="263"/>
      <c r="AS227" s="263"/>
      <c r="AT227" s="263"/>
      <c r="AU227" s="263"/>
      <c r="AV227" s="263"/>
      <c r="AW227" s="263"/>
      <c r="AX227" s="264"/>
      <c r="AY227" s="264"/>
      <c r="AZ227" s="264"/>
      <c r="BA227" s="264"/>
      <c r="BB227" s="264"/>
      <c r="BC227" s="264"/>
      <c r="BD227" s="264"/>
      <c r="BE227" s="264"/>
      <c r="BF227" s="264"/>
      <c r="BG227" s="264"/>
      <c r="BH227" s="264"/>
      <c r="BI227" s="264"/>
      <c r="BJ227" s="264"/>
      <c r="BK227" s="264"/>
      <c r="BL227" s="264"/>
      <c r="BM227" s="264"/>
      <c r="BN227" s="265"/>
      <c r="BO227" s="265"/>
      <c r="BP227" s="265"/>
      <c r="BQ227" s="265"/>
      <c r="BR227" s="265"/>
      <c r="BS227" s="265"/>
      <c r="BT227" s="265"/>
      <c r="BU227" s="265"/>
      <c r="BV227" s="265"/>
      <c r="BW227" s="265"/>
      <c r="BX227" s="265"/>
      <c r="BY227" s="265"/>
      <c r="BZ227" s="265"/>
      <c r="CA227" s="265"/>
      <c r="CB227" s="265"/>
      <c r="CC227" s="265"/>
      <c r="CD227" s="266"/>
      <c r="CE227" s="266"/>
      <c r="CF227" s="266"/>
      <c r="CG227" s="266"/>
      <c r="CH227" s="266"/>
      <c r="CI227" s="266"/>
      <c r="CJ227" s="266"/>
      <c r="CK227" s="266"/>
      <c r="CL227" s="266"/>
      <c r="CM227" s="266"/>
      <c r="CN227" s="266"/>
      <c r="CO227" s="266"/>
      <c r="CP227" s="266"/>
      <c r="CQ227" s="266"/>
      <c r="CR227" s="266"/>
      <c r="CS227" s="266"/>
      <c r="CT227" s="267"/>
      <c r="CU227" s="267"/>
      <c r="CV227" s="267"/>
      <c r="CW227" s="267"/>
      <c r="CX227" s="267"/>
      <c r="CY227" s="267"/>
      <c r="CZ227" s="267"/>
      <c r="DA227" s="267">
        <v>24</v>
      </c>
      <c r="DB227" s="267"/>
      <c r="DC227" s="267"/>
      <c r="DD227" s="267"/>
      <c r="DE227" s="267"/>
      <c r="DF227" s="267"/>
      <c r="DG227" s="267"/>
      <c r="DH227" s="267">
        <v>20</v>
      </c>
      <c r="DI227" s="267"/>
      <c r="DJ227" s="268"/>
      <c r="DK227" s="268"/>
      <c r="DL227" s="268"/>
      <c r="DM227" s="268"/>
      <c r="DN227" s="268"/>
      <c r="DO227" s="268"/>
      <c r="DP227" s="268"/>
      <c r="DQ227" s="268"/>
      <c r="DR227" s="268"/>
      <c r="DS227" s="268"/>
      <c r="DT227" s="268"/>
      <c r="DU227" s="268"/>
      <c r="DV227" s="268"/>
      <c r="DW227" s="268"/>
      <c r="DX227" s="268"/>
      <c r="DY227" s="268"/>
      <c r="EA227" s="13"/>
      <c r="EB227" s="96"/>
      <c r="EC227" s="96"/>
      <c r="ED227" s="96"/>
      <c r="EE227" s="96"/>
      <c r="EF227" s="96"/>
      <c r="EG227" s="96"/>
      <c r="EH227" s="96"/>
      <c r="EI227" s="96"/>
      <c r="EJ227" s="96"/>
      <c r="EK227" s="96"/>
      <c r="EL227" s="96"/>
      <c r="EM227" s="96"/>
      <c r="EN227" s="96"/>
      <c r="EO227" s="96"/>
      <c r="EP227" s="96"/>
      <c r="EQ227" s="96"/>
      <c r="ER227" s="96"/>
      <c r="ES227" s="96"/>
      <c r="ET227" s="96"/>
      <c r="EU227" s="96"/>
      <c r="EV227" s="96"/>
      <c r="EW227" s="96"/>
      <c r="EX227" s="96"/>
      <c r="EY227" s="96"/>
      <c r="EZ227" s="96"/>
      <c r="FA227" s="96"/>
      <c r="FB227" s="96"/>
      <c r="FC227" s="96"/>
      <c r="FD227" s="96"/>
      <c r="FE227" s="96"/>
      <c r="FF227" s="96"/>
      <c r="FG227" s="96"/>
      <c r="FH227" s="96"/>
      <c r="FI227" s="96"/>
      <c r="FJ227" s="96"/>
      <c r="FK227" s="96"/>
      <c r="FL227" s="96"/>
      <c r="FM227" s="96"/>
      <c r="FN227" s="96"/>
      <c r="FO227" s="96"/>
      <c r="FP227" s="96"/>
      <c r="FQ227" s="96"/>
      <c r="FR227" s="96"/>
      <c r="FS227" s="96"/>
      <c r="FT227" s="96"/>
      <c r="FU227" s="96"/>
      <c r="FV227" s="96"/>
      <c r="FW227" s="96"/>
      <c r="FX227" s="96"/>
      <c r="FY227" s="96"/>
      <c r="FZ227" s="96"/>
      <c r="GA227" s="96"/>
      <c r="GB227" s="96"/>
      <c r="GC227" s="96"/>
      <c r="GD227" s="96"/>
      <c r="GE227" s="96"/>
      <c r="GF227" s="96"/>
      <c r="GG227" s="96"/>
      <c r="GH227" s="96"/>
      <c r="GI227" s="96"/>
      <c r="GJ227" s="96"/>
      <c r="GK227" s="96"/>
      <c r="GL227" s="96"/>
      <c r="GM227" s="13"/>
      <c r="GN227" s="96"/>
      <c r="GO227" s="96"/>
      <c r="GP227" s="96"/>
      <c r="GQ227" s="96"/>
      <c r="GR227" s="96"/>
      <c r="GS227" s="96"/>
      <c r="GT227" s="96"/>
      <c r="GU227" s="96"/>
      <c r="GV227" s="96"/>
      <c r="GW227" s="96"/>
      <c r="GX227" s="96"/>
      <c r="GY227" s="96"/>
      <c r="GZ227" s="96"/>
      <c r="HA227" s="96"/>
      <c r="HB227" s="96"/>
      <c r="HC227" s="13"/>
      <c r="HD227" s="96"/>
      <c r="HE227" s="96"/>
      <c r="HF227" s="96"/>
      <c r="HG227" s="96"/>
      <c r="HH227" s="96"/>
      <c r="HI227" s="96"/>
      <c r="HJ227" s="96"/>
      <c r="HK227" s="96"/>
      <c r="HL227" s="96"/>
      <c r="HM227" s="96"/>
      <c r="HN227" s="96"/>
      <c r="HO227" s="96"/>
      <c r="HP227" s="96"/>
      <c r="HQ227" s="96"/>
      <c r="HR227" s="96"/>
      <c r="HS227" s="13"/>
      <c r="HT227" s="96"/>
      <c r="HU227" s="96"/>
      <c r="HV227" s="96"/>
      <c r="HW227" s="96"/>
      <c r="HX227" s="96"/>
      <c r="HY227" s="96"/>
      <c r="HZ227" s="96"/>
      <c r="IA227" s="96"/>
      <c r="IB227" s="96"/>
      <c r="IC227" s="96"/>
      <c r="ID227" s="96"/>
      <c r="IE227" s="96"/>
      <c r="IF227" s="96"/>
      <c r="IG227" s="96"/>
      <c r="IH227" s="96"/>
      <c r="II227" s="13"/>
      <c r="IJ227" s="96"/>
      <c r="IK227" s="96"/>
      <c r="IL227" s="96"/>
      <c r="IM227" s="96"/>
      <c r="IN227" s="96"/>
      <c r="IO227" s="96"/>
      <c r="IP227" s="96"/>
      <c r="IQ227" s="96"/>
      <c r="IR227" s="96"/>
      <c r="IS227" s="96"/>
      <c r="IT227" s="96"/>
      <c r="IU227" s="96"/>
      <c r="IV227" s="96"/>
      <c r="IW227" s="96"/>
      <c r="IX227" s="96"/>
      <c r="IY227" s="13"/>
    </row>
    <row r="228" spans="1:259" outlineLevel="1">
      <c r="A228" s="11">
        <f>'VAC &amp; MED'!C225</f>
        <v>46211</v>
      </c>
      <c r="B228" s="261"/>
      <c r="C228" s="261"/>
      <c r="D228" s="261"/>
      <c r="E228" s="261"/>
      <c r="F228" s="261"/>
      <c r="G228" s="261"/>
      <c r="H228" s="261"/>
      <c r="I228" s="261"/>
      <c r="J228" s="261"/>
      <c r="K228" s="261"/>
      <c r="L228" s="261"/>
      <c r="M228" s="261"/>
      <c r="N228" s="261"/>
      <c r="O228" s="261"/>
      <c r="P228" s="261"/>
      <c r="Q228" s="261"/>
      <c r="R228" s="262"/>
      <c r="S228" s="262"/>
      <c r="T228" s="262"/>
      <c r="U228" s="262"/>
      <c r="V228" s="262"/>
      <c r="W228" s="262"/>
      <c r="X228" s="262"/>
      <c r="Y228" s="262"/>
      <c r="Z228" s="262"/>
      <c r="AA228" s="262"/>
      <c r="AB228" s="262"/>
      <c r="AC228" s="262"/>
      <c r="AD228" s="262"/>
      <c r="AE228" s="262"/>
      <c r="AF228" s="262"/>
      <c r="AG228" s="262"/>
      <c r="AH228" s="263"/>
      <c r="AI228" s="263"/>
      <c r="AJ228" s="263"/>
      <c r="AK228" s="263"/>
      <c r="AL228" s="263"/>
      <c r="AM228" s="263"/>
      <c r="AN228" s="263"/>
      <c r="AO228" s="263"/>
      <c r="AP228" s="263"/>
      <c r="AQ228" s="263"/>
      <c r="AR228" s="263"/>
      <c r="AS228" s="263"/>
      <c r="AT228" s="263"/>
      <c r="AU228" s="263"/>
      <c r="AV228" s="263"/>
      <c r="AW228" s="263"/>
      <c r="AX228" s="264"/>
      <c r="AY228" s="264"/>
      <c r="AZ228" s="264"/>
      <c r="BA228" s="264"/>
      <c r="BB228" s="264"/>
      <c r="BC228" s="264"/>
      <c r="BD228" s="264"/>
      <c r="BE228" s="264"/>
      <c r="BF228" s="264"/>
      <c r="BG228" s="264"/>
      <c r="BH228" s="264"/>
      <c r="BI228" s="264"/>
      <c r="BJ228" s="264"/>
      <c r="BK228" s="264"/>
      <c r="BL228" s="264"/>
      <c r="BM228" s="264"/>
      <c r="BN228" s="265"/>
      <c r="BO228" s="265"/>
      <c r="BP228" s="265"/>
      <c r="BQ228" s="265"/>
      <c r="BR228" s="265"/>
      <c r="BS228" s="265"/>
      <c r="BT228" s="265"/>
      <c r="BU228" s="265"/>
      <c r="BV228" s="265"/>
      <c r="BW228" s="265"/>
      <c r="BX228" s="265"/>
      <c r="BY228" s="265"/>
      <c r="BZ228" s="265"/>
      <c r="CA228" s="265"/>
      <c r="CB228" s="265"/>
      <c r="CC228" s="265"/>
      <c r="CD228" s="266"/>
      <c r="CE228" s="266"/>
      <c r="CF228" s="266"/>
      <c r="CG228" s="266"/>
      <c r="CH228" s="266"/>
      <c r="CI228" s="266"/>
      <c r="CJ228" s="266"/>
      <c r="CK228" s="266"/>
      <c r="CL228" s="266"/>
      <c r="CM228" s="266"/>
      <c r="CN228" s="266"/>
      <c r="CO228" s="266"/>
      <c r="CP228" s="266"/>
      <c r="CQ228" s="266"/>
      <c r="CR228" s="266"/>
      <c r="CS228" s="266"/>
      <c r="CT228" s="267"/>
      <c r="CU228" s="267"/>
      <c r="CV228" s="267"/>
      <c r="CW228" s="267"/>
      <c r="CX228" s="267"/>
      <c r="CY228" s="267"/>
      <c r="CZ228" s="267"/>
      <c r="DA228" s="267"/>
      <c r="DB228" s="267"/>
      <c r="DC228" s="267"/>
      <c r="DD228" s="267"/>
      <c r="DE228" s="267"/>
      <c r="DF228" s="267"/>
      <c r="DG228" s="267"/>
      <c r="DH228" s="267">
        <v>20</v>
      </c>
      <c r="DI228" s="267"/>
      <c r="DJ228" s="268"/>
      <c r="DK228" s="268"/>
      <c r="DL228" s="268"/>
      <c r="DM228" s="268"/>
      <c r="DN228" s="268"/>
      <c r="DO228" s="268"/>
      <c r="DP228" s="268"/>
      <c r="DQ228" s="268"/>
      <c r="DR228" s="268"/>
      <c r="DS228" s="268"/>
      <c r="DT228" s="268"/>
      <c r="DU228" s="268"/>
      <c r="DV228" s="268"/>
      <c r="DW228" s="268"/>
      <c r="DX228" s="268"/>
      <c r="DY228" s="268"/>
      <c r="EA228" s="13"/>
      <c r="EB228" s="96"/>
      <c r="EC228" s="96"/>
      <c r="ED228" s="96"/>
      <c r="EE228" s="96"/>
      <c r="EF228" s="96"/>
      <c r="EG228" s="96"/>
      <c r="EH228" s="96"/>
      <c r="EI228" s="96"/>
      <c r="EJ228" s="96"/>
      <c r="EK228" s="96"/>
      <c r="EL228" s="96"/>
      <c r="EM228" s="96"/>
      <c r="EN228" s="96"/>
      <c r="EO228" s="96"/>
      <c r="EP228" s="96"/>
      <c r="EQ228" s="96"/>
      <c r="ER228" s="96"/>
      <c r="ES228" s="96"/>
      <c r="ET228" s="96"/>
      <c r="EU228" s="96"/>
      <c r="EV228" s="96"/>
      <c r="EW228" s="96"/>
      <c r="EX228" s="96"/>
      <c r="EY228" s="96"/>
      <c r="EZ228" s="96"/>
      <c r="FA228" s="96"/>
      <c r="FB228" s="96"/>
      <c r="FC228" s="96"/>
      <c r="FD228" s="96"/>
      <c r="FE228" s="96"/>
      <c r="FF228" s="96"/>
      <c r="FG228" s="96"/>
      <c r="FH228" s="96"/>
      <c r="FI228" s="96"/>
      <c r="FJ228" s="96"/>
      <c r="FK228" s="96"/>
      <c r="FL228" s="96"/>
      <c r="FM228" s="96"/>
      <c r="FN228" s="96"/>
      <c r="FO228" s="96"/>
      <c r="FP228" s="96"/>
      <c r="FQ228" s="96"/>
      <c r="FR228" s="96"/>
      <c r="FS228" s="96"/>
      <c r="FT228" s="96"/>
      <c r="FU228" s="96"/>
      <c r="FV228" s="96"/>
      <c r="FW228" s="96"/>
      <c r="FX228" s="96"/>
      <c r="FY228" s="96"/>
      <c r="FZ228" s="96"/>
      <c r="GA228" s="96"/>
      <c r="GB228" s="96"/>
      <c r="GC228" s="96"/>
      <c r="GD228" s="96"/>
      <c r="GE228" s="96"/>
      <c r="GF228" s="96"/>
      <c r="GG228" s="96"/>
      <c r="GH228" s="96"/>
      <c r="GI228" s="96"/>
      <c r="GJ228" s="96"/>
      <c r="GK228" s="96"/>
      <c r="GL228" s="96"/>
      <c r="GM228" s="13"/>
      <c r="GN228" s="96"/>
      <c r="GO228" s="96"/>
      <c r="GP228" s="96"/>
      <c r="GQ228" s="96"/>
      <c r="GR228" s="96"/>
      <c r="GS228" s="96"/>
      <c r="GT228" s="96"/>
      <c r="GU228" s="96"/>
      <c r="GV228" s="96"/>
      <c r="GW228" s="96"/>
      <c r="GX228" s="96"/>
      <c r="GY228" s="96"/>
      <c r="GZ228" s="96"/>
      <c r="HA228" s="96"/>
      <c r="HB228" s="96"/>
      <c r="HC228" s="13"/>
      <c r="HD228" s="96"/>
      <c r="HE228" s="96"/>
      <c r="HF228" s="96"/>
      <c r="HG228" s="96"/>
      <c r="HH228" s="96"/>
      <c r="HI228" s="96"/>
      <c r="HJ228" s="96"/>
      <c r="HK228" s="96"/>
      <c r="HL228" s="96"/>
      <c r="HM228" s="96"/>
      <c r="HN228" s="96"/>
      <c r="HO228" s="96"/>
      <c r="HP228" s="96"/>
      <c r="HQ228" s="96"/>
      <c r="HR228" s="96"/>
      <c r="HS228" s="13"/>
      <c r="HT228" s="96"/>
      <c r="HU228" s="96"/>
      <c r="HV228" s="96"/>
      <c r="HW228" s="96"/>
      <c r="HX228" s="96"/>
      <c r="HY228" s="96"/>
      <c r="HZ228" s="96"/>
      <c r="IA228" s="96"/>
      <c r="IB228" s="96"/>
      <c r="IC228" s="96"/>
      <c r="ID228" s="96"/>
      <c r="IE228" s="96"/>
      <c r="IF228" s="96"/>
      <c r="IG228" s="96"/>
      <c r="IH228" s="96"/>
      <c r="II228" s="13"/>
      <c r="IJ228" s="96"/>
      <c r="IK228" s="96"/>
      <c r="IL228" s="96"/>
      <c r="IM228" s="96"/>
      <c r="IN228" s="96"/>
      <c r="IO228" s="96"/>
      <c r="IP228" s="96"/>
      <c r="IQ228" s="96"/>
      <c r="IR228" s="96"/>
      <c r="IS228" s="96"/>
      <c r="IT228" s="96"/>
      <c r="IU228" s="96"/>
      <c r="IV228" s="96"/>
      <c r="IW228" s="96"/>
      <c r="IX228" s="96"/>
      <c r="IY228" s="13"/>
    </row>
    <row r="229" spans="1:259" outlineLevel="1">
      <c r="A229" s="11">
        <f>'VAC &amp; MED'!C226</f>
        <v>46212</v>
      </c>
      <c r="B229" s="261"/>
      <c r="C229" s="261"/>
      <c r="D229" s="261"/>
      <c r="E229" s="261"/>
      <c r="F229" s="261"/>
      <c r="G229" s="261"/>
      <c r="H229" s="261"/>
      <c r="I229" s="261"/>
      <c r="J229" s="261"/>
      <c r="K229" s="261"/>
      <c r="L229" s="261"/>
      <c r="M229" s="261"/>
      <c r="N229" s="261"/>
      <c r="O229" s="261"/>
      <c r="P229" s="261"/>
      <c r="Q229" s="261"/>
      <c r="R229" s="262"/>
      <c r="S229" s="262"/>
      <c r="T229" s="262"/>
      <c r="U229" s="262"/>
      <c r="V229" s="262"/>
      <c r="W229" s="262"/>
      <c r="X229" s="262"/>
      <c r="Y229" s="262"/>
      <c r="Z229" s="262"/>
      <c r="AA229" s="262"/>
      <c r="AB229" s="262"/>
      <c r="AC229" s="262"/>
      <c r="AD229" s="262"/>
      <c r="AE229" s="262"/>
      <c r="AF229" s="262"/>
      <c r="AG229" s="262"/>
      <c r="AH229" s="263"/>
      <c r="AI229" s="263"/>
      <c r="AJ229" s="263"/>
      <c r="AK229" s="263"/>
      <c r="AL229" s="263"/>
      <c r="AM229" s="263"/>
      <c r="AN229" s="263"/>
      <c r="AO229" s="263"/>
      <c r="AP229" s="263"/>
      <c r="AQ229" s="263"/>
      <c r="AR229" s="263"/>
      <c r="AS229" s="263"/>
      <c r="AT229" s="263"/>
      <c r="AU229" s="263"/>
      <c r="AV229" s="263"/>
      <c r="AW229" s="263"/>
      <c r="AX229" s="264"/>
      <c r="AY229" s="264"/>
      <c r="AZ229" s="264"/>
      <c r="BA229" s="264"/>
      <c r="BB229" s="264"/>
      <c r="BC229" s="264"/>
      <c r="BD229" s="264"/>
      <c r="BE229" s="264"/>
      <c r="BF229" s="264"/>
      <c r="BG229" s="264"/>
      <c r="BH229" s="264"/>
      <c r="BI229" s="264"/>
      <c r="BJ229" s="264"/>
      <c r="BK229" s="264"/>
      <c r="BL229" s="264"/>
      <c r="BM229" s="264"/>
      <c r="BN229" s="265"/>
      <c r="BO229" s="265"/>
      <c r="BP229" s="265"/>
      <c r="BQ229" s="265"/>
      <c r="BR229" s="265"/>
      <c r="BS229" s="265"/>
      <c r="BT229" s="265"/>
      <c r="BU229" s="265"/>
      <c r="BV229" s="265"/>
      <c r="BW229" s="265"/>
      <c r="BX229" s="265"/>
      <c r="BY229" s="265"/>
      <c r="BZ229" s="265"/>
      <c r="CA229" s="265"/>
      <c r="CB229" s="265"/>
      <c r="CC229" s="265"/>
      <c r="CD229" s="266"/>
      <c r="CE229" s="266"/>
      <c r="CF229" s="266"/>
      <c r="CG229" s="266"/>
      <c r="CH229" s="266"/>
      <c r="CI229" s="266"/>
      <c r="CJ229" s="266"/>
      <c r="CK229" s="266"/>
      <c r="CL229" s="266"/>
      <c r="CM229" s="266"/>
      <c r="CN229" s="266"/>
      <c r="CO229" s="266"/>
      <c r="CP229" s="266"/>
      <c r="CQ229" s="266"/>
      <c r="CR229" s="266"/>
      <c r="CS229" s="266"/>
      <c r="CT229" s="267"/>
      <c r="CU229" s="267"/>
      <c r="CV229" s="267"/>
      <c r="CW229" s="267"/>
      <c r="CX229" s="267"/>
      <c r="CY229" s="267"/>
      <c r="CZ229" s="267"/>
      <c r="DA229" s="267"/>
      <c r="DB229" s="267"/>
      <c r="DC229" s="267"/>
      <c r="DD229" s="267">
        <v>18</v>
      </c>
      <c r="DE229" s="267"/>
      <c r="DF229" s="267"/>
      <c r="DG229" s="267"/>
      <c r="DH229" s="267">
        <v>50</v>
      </c>
      <c r="DI229" s="267"/>
      <c r="DJ229" s="268"/>
      <c r="DK229" s="268"/>
      <c r="DL229" s="268"/>
      <c r="DM229" s="268"/>
      <c r="DN229" s="268"/>
      <c r="DO229" s="268"/>
      <c r="DP229" s="268"/>
      <c r="DQ229" s="268"/>
      <c r="DR229" s="268"/>
      <c r="DS229" s="268"/>
      <c r="DT229" s="268"/>
      <c r="DU229" s="268"/>
      <c r="DV229" s="268"/>
      <c r="DW229" s="268"/>
      <c r="DX229" s="268"/>
      <c r="DY229" s="268"/>
      <c r="EA229" s="13"/>
      <c r="EB229" s="96"/>
      <c r="EC229" s="96"/>
      <c r="ED229" s="96"/>
      <c r="EE229" s="96"/>
      <c r="EF229" s="96"/>
      <c r="EG229" s="96"/>
      <c r="EH229" s="96"/>
      <c r="EI229" s="96"/>
      <c r="EJ229" s="96"/>
      <c r="EK229" s="96"/>
      <c r="EL229" s="96"/>
      <c r="EM229" s="96"/>
      <c r="EN229" s="96"/>
      <c r="EO229" s="96"/>
      <c r="EP229" s="96"/>
      <c r="EQ229" s="96"/>
      <c r="ER229" s="96"/>
      <c r="ES229" s="96"/>
      <c r="ET229" s="96"/>
      <c r="EU229" s="96"/>
      <c r="EV229" s="96"/>
      <c r="EW229" s="96"/>
      <c r="EX229" s="96"/>
      <c r="EY229" s="96"/>
      <c r="EZ229" s="96"/>
      <c r="FA229" s="96"/>
      <c r="FB229" s="96"/>
      <c r="FC229" s="96"/>
      <c r="FD229" s="96"/>
      <c r="FE229" s="96"/>
      <c r="FF229" s="96"/>
      <c r="FG229" s="96"/>
      <c r="FH229" s="96"/>
      <c r="FI229" s="96"/>
      <c r="FJ229" s="96"/>
      <c r="FK229" s="96"/>
      <c r="FL229" s="96"/>
      <c r="FM229" s="96"/>
      <c r="FN229" s="96"/>
      <c r="FO229" s="96"/>
      <c r="FP229" s="96"/>
      <c r="FQ229" s="96"/>
      <c r="FR229" s="96"/>
      <c r="FS229" s="96"/>
      <c r="FT229" s="96"/>
      <c r="FU229" s="96"/>
      <c r="FV229" s="96"/>
      <c r="FW229" s="96"/>
      <c r="FX229" s="96"/>
      <c r="FY229" s="96"/>
      <c r="FZ229" s="96"/>
      <c r="GA229" s="96"/>
      <c r="GB229" s="96"/>
      <c r="GC229" s="96"/>
      <c r="GD229" s="96"/>
      <c r="GE229" s="96"/>
      <c r="GF229" s="96"/>
      <c r="GG229" s="96"/>
      <c r="GH229" s="96"/>
      <c r="GI229" s="96"/>
      <c r="GJ229" s="96"/>
      <c r="GK229" s="96"/>
      <c r="GL229" s="96"/>
      <c r="GM229" s="13"/>
      <c r="GN229" s="96"/>
      <c r="GO229" s="96"/>
      <c r="GP229" s="96"/>
      <c r="GQ229" s="96"/>
      <c r="GR229" s="96"/>
      <c r="GS229" s="96"/>
      <c r="GT229" s="96"/>
      <c r="GU229" s="96"/>
      <c r="GV229" s="96"/>
      <c r="GW229" s="96"/>
      <c r="GX229" s="96"/>
      <c r="GY229" s="96"/>
      <c r="GZ229" s="96"/>
      <c r="HA229" s="96"/>
      <c r="HB229" s="96"/>
      <c r="HC229" s="13"/>
      <c r="HD229" s="96"/>
      <c r="HE229" s="96"/>
      <c r="HF229" s="96"/>
      <c r="HG229" s="96"/>
      <c r="HH229" s="96"/>
      <c r="HI229" s="96"/>
      <c r="HJ229" s="96"/>
      <c r="HK229" s="96"/>
      <c r="HL229" s="96"/>
      <c r="HM229" s="96"/>
      <c r="HN229" s="96"/>
      <c r="HO229" s="96"/>
      <c r="HP229" s="96"/>
      <c r="HQ229" s="96"/>
      <c r="HR229" s="96"/>
      <c r="HS229" s="13"/>
      <c r="HT229" s="96"/>
      <c r="HU229" s="96"/>
      <c r="HV229" s="96"/>
      <c r="HW229" s="96"/>
      <c r="HX229" s="96"/>
      <c r="HY229" s="96"/>
      <c r="HZ229" s="96"/>
      <c r="IA229" s="96"/>
      <c r="IB229" s="96"/>
      <c r="IC229" s="96"/>
      <c r="ID229" s="96"/>
      <c r="IE229" s="96"/>
      <c r="IF229" s="96"/>
      <c r="IG229" s="96"/>
      <c r="IH229" s="96"/>
      <c r="II229" s="13"/>
      <c r="IJ229" s="96"/>
      <c r="IK229" s="96"/>
      <c r="IL229" s="96"/>
      <c r="IM229" s="96"/>
      <c r="IN229" s="96"/>
      <c r="IO229" s="96"/>
      <c r="IP229" s="96"/>
      <c r="IQ229" s="96"/>
      <c r="IR229" s="96"/>
      <c r="IS229" s="96"/>
      <c r="IT229" s="96"/>
      <c r="IU229" s="96"/>
      <c r="IV229" s="96"/>
      <c r="IW229" s="96"/>
      <c r="IX229" s="96"/>
      <c r="IY229" s="13"/>
    </row>
    <row r="230" spans="1:259" outlineLevel="1">
      <c r="A230" s="11">
        <f>'VAC &amp; MED'!C227</f>
        <v>46213</v>
      </c>
      <c r="B230" s="261"/>
      <c r="C230" s="261"/>
      <c r="D230" s="261"/>
      <c r="E230" s="261"/>
      <c r="F230" s="261"/>
      <c r="G230" s="261"/>
      <c r="H230" s="261"/>
      <c r="I230" s="261"/>
      <c r="J230" s="261"/>
      <c r="K230" s="261"/>
      <c r="L230" s="261"/>
      <c r="M230" s="261"/>
      <c r="N230" s="261"/>
      <c r="O230" s="261"/>
      <c r="P230" s="261"/>
      <c r="Q230" s="261"/>
      <c r="R230" s="262">
        <v>14</v>
      </c>
      <c r="S230" s="262"/>
      <c r="T230" s="262"/>
      <c r="U230" s="262"/>
      <c r="V230" s="262"/>
      <c r="W230" s="262"/>
      <c r="X230" s="262"/>
      <c r="Y230" s="262"/>
      <c r="Z230" s="262"/>
      <c r="AA230" s="262"/>
      <c r="AB230" s="262"/>
      <c r="AC230" s="262"/>
      <c r="AD230" s="262"/>
      <c r="AE230" s="262"/>
      <c r="AF230" s="262"/>
      <c r="AG230" s="262"/>
      <c r="AH230" s="263"/>
      <c r="AI230" s="263"/>
      <c r="AJ230" s="263"/>
      <c r="AK230" s="263"/>
      <c r="AL230" s="263"/>
      <c r="AM230" s="263"/>
      <c r="AN230" s="263"/>
      <c r="AO230" s="263"/>
      <c r="AP230" s="263"/>
      <c r="AQ230" s="263"/>
      <c r="AR230" s="263"/>
      <c r="AS230" s="263"/>
      <c r="AT230" s="263"/>
      <c r="AU230" s="263"/>
      <c r="AV230" s="263"/>
      <c r="AW230" s="263"/>
      <c r="AX230" s="264"/>
      <c r="AY230" s="264"/>
      <c r="AZ230" s="264"/>
      <c r="BA230" s="264"/>
      <c r="BB230" s="264"/>
      <c r="BC230" s="264"/>
      <c r="BD230" s="264"/>
      <c r="BE230" s="264"/>
      <c r="BF230" s="264"/>
      <c r="BG230" s="264"/>
      <c r="BH230" s="264"/>
      <c r="BI230" s="264"/>
      <c r="BJ230" s="264"/>
      <c r="BK230" s="264"/>
      <c r="BL230" s="264"/>
      <c r="BM230" s="264"/>
      <c r="BN230" s="265"/>
      <c r="BO230" s="265"/>
      <c r="BP230" s="265"/>
      <c r="BQ230" s="265"/>
      <c r="BR230" s="265"/>
      <c r="BS230" s="265"/>
      <c r="BT230" s="265"/>
      <c r="BU230" s="265"/>
      <c r="BV230" s="265"/>
      <c r="BW230" s="265"/>
      <c r="BX230" s="265">
        <v>72</v>
      </c>
      <c r="BY230" s="265"/>
      <c r="BZ230" s="265"/>
      <c r="CA230" s="265"/>
      <c r="CB230" s="265"/>
      <c r="CC230" s="265"/>
      <c r="CD230" s="266"/>
      <c r="CE230" s="266"/>
      <c r="CF230" s="266"/>
      <c r="CG230" s="266"/>
      <c r="CH230" s="266"/>
      <c r="CI230" s="266"/>
      <c r="CJ230" s="266"/>
      <c r="CK230" s="266"/>
      <c r="CL230" s="266"/>
      <c r="CM230" s="266"/>
      <c r="CN230" s="266"/>
      <c r="CO230" s="266"/>
      <c r="CP230" s="266"/>
      <c r="CQ230" s="266"/>
      <c r="CR230" s="266"/>
      <c r="CS230" s="266"/>
      <c r="CT230" s="267"/>
      <c r="CU230" s="267"/>
      <c r="CV230" s="267"/>
      <c r="CW230" s="267"/>
      <c r="CX230" s="267"/>
      <c r="CY230" s="267"/>
      <c r="CZ230" s="267"/>
      <c r="DA230" s="267"/>
      <c r="DB230" s="267"/>
      <c r="DC230" s="267"/>
      <c r="DD230" s="267">
        <v>80</v>
      </c>
      <c r="DE230" s="267"/>
      <c r="DF230" s="267"/>
      <c r="DG230" s="267"/>
      <c r="DH230" s="267"/>
      <c r="DI230" s="267"/>
      <c r="DJ230" s="268"/>
      <c r="DK230" s="268"/>
      <c r="DL230" s="268"/>
      <c r="DM230" s="268"/>
      <c r="DN230" s="268"/>
      <c r="DO230" s="268"/>
      <c r="DP230" s="268"/>
      <c r="DQ230" s="268"/>
      <c r="DR230" s="268"/>
      <c r="DS230" s="268"/>
      <c r="DT230" s="268"/>
      <c r="DU230" s="268"/>
      <c r="DV230" s="268"/>
      <c r="DW230" s="268"/>
      <c r="DX230" s="268"/>
      <c r="DY230" s="268"/>
      <c r="EA230" s="13"/>
      <c r="EB230" s="96"/>
      <c r="EC230" s="96"/>
      <c r="ED230" s="96"/>
      <c r="EE230" s="96"/>
      <c r="EF230" s="96"/>
      <c r="EG230" s="96"/>
      <c r="EH230" s="96"/>
      <c r="EI230" s="96"/>
      <c r="EJ230" s="96"/>
      <c r="EK230" s="96"/>
      <c r="EL230" s="96"/>
      <c r="EM230" s="96"/>
      <c r="EN230" s="96"/>
      <c r="EO230" s="96"/>
      <c r="EP230" s="96"/>
      <c r="EQ230" s="96"/>
      <c r="ER230" s="96"/>
      <c r="ES230" s="96"/>
      <c r="ET230" s="96"/>
      <c r="EU230" s="96"/>
      <c r="EV230" s="96"/>
      <c r="EW230" s="96"/>
      <c r="EX230" s="96"/>
      <c r="EY230" s="96"/>
      <c r="EZ230" s="96"/>
      <c r="FA230" s="96"/>
      <c r="FB230" s="96"/>
      <c r="FC230" s="96"/>
      <c r="FD230" s="96"/>
      <c r="FE230" s="96"/>
      <c r="FF230" s="96"/>
      <c r="FG230" s="96"/>
      <c r="FH230" s="96"/>
      <c r="FI230" s="96"/>
      <c r="FJ230" s="96"/>
      <c r="FK230" s="96"/>
      <c r="FL230" s="96"/>
      <c r="FM230" s="96"/>
      <c r="FN230" s="96"/>
      <c r="FO230" s="96"/>
      <c r="FP230" s="96"/>
      <c r="FQ230" s="96"/>
      <c r="FR230" s="96"/>
      <c r="FS230" s="96"/>
      <c r="FT230" s="96"/>
      <c r="FU230" s="96"/>
      <c r="FV230" s="96"/>
      <c r="FW230" s="96"/>
      <c r="FX230" s="96"/>
      <c r="FY230" s="96"/>
      <c r="FZ230" s="96"/>
      <c r="GA230" s="96"/>
      <c r="GB230" s="96"/>
      <c r="GC230" s="96"/>
      <c r="GD230" s="96"/>
      <c r="GE230" s="96"/>
      <c r="GF230" s="96"/>
      <c r="GG230" s="96"/>
      <c r="GH230" s="96"/>
      <c r="GI230" s="96"/>
      <c r="GJ230" s="96"/>
      <c r="GK230" s="96"/>
      <c r="GL230" s="96"/>
      <c r="GM230" s="13"/>
      <c r="GN230" s="96"/>
      <c r="GO230" s="96"/>
      <c r="GP230" s="96"/>
      <c r="GQ230" s="96"/>
      <c r="GR230" s="96"/>
      <c r="GS230" s="96"/>
      <c r="GT230" s="96"/>
      <c r="GU230" s="96"/>
      <c r="GV230" s="96"/>
      <c r="GW230" s="96"/>
      <c r="GX230" s="96"/>
      <c r="GY230" s="96"/>
      <c r="GZ230" s="96"/>
      <c r="HA230" s="96"/>
      <c r="HB230" s="96"/>
      <c r="HC230" s="13"/>
      <c r="HD230" s="96"/>
      <c r="HE230" s="96"/>
      <c r="HF230" s="96"/>
      <c r="HG230" s="96"/>
      <c r="HH230" s="96"/>
      <c r="HI230" s="96"/>
      <c r="HJ230" s="96"/>
      <c r="HK230" s="96"/>
      <c r="HL230" s="96"/>
      <c r="HM230" s="96"/>
      <c r="HN230" s="96"/>
      <c r="HO230" s="96"/>
      <c r="HP230" s="96"/>
      <c r="HQ230" s="96"/>
      <c r="HR230" s="96"/>
      <c r="HS230" s="13"/>
      <c r="HT230" s="96"/>
      <c r="HU230" s="96"/>
      <c r="HV230" s="96"/>
      <c r="HW230" s="96"/>
      <c r="HX230" s="96"/>
      <c r="HY230" s="96"/>
      <c r="HZ230" s="96"/>
      <c r="IA230" s="96"/>
      <c r="IB230" s="96"/>
      <c r="IC230" s="96"/>
      <c r="ID230" s="96"/>
      <c r="IE230" s="96"/>
      <c r="IF230" s="96"/>
      <c r="IG230" s="96"/>
      <c r="IH230" s="96"/>
      <c r="II230" s="13"/>
      <c r="IJ230" s="96"/>
      <c r="IK230" s="96"/>
      <c r="IL230" s="96"/>
      <c r="IM230" s="96"/>
      <c r="IN230" s="96"/>
      <c r="IO230" s="96"/>
      <c r="IP230" s="96"/>
      <c r="IQ230" s="96"/>
      <c r="IR230" s="96"/>
      <c r="IS230" s="96"/>
      <c r="IT230" s="96"/>
      <c r="IU230" s="96"/>
      <c r="IV230" s="96"/>
      <c r="IW230" s="96"/>
      <c r="IX230" s="96"/>
      <c r="IY230" s="13"/>
    </row>
    <row r="231" spans="1:259" outlineLevel="1">
      <c r="A231" s="11">
        <f>'VAC &amp; MED'!C228</f>
        <v>46214</v>
      </c>
      <c r="B231" s="261"/>
      <c r="C231" s="261"/>
      <c r="D231" s="261"/>
      <c r="E231" s="261"/>
      <c r="F231" s="261"/>
      <c r="G231" s="261"/>
      <c r="H231" s="261"/>
      <c r="I231" s="261"/>
      <c r="J231" s="261"/>
      <c r="K231" s="261"/>
      <c r="L231" s="261"/>
      <c r="M231" s="261"/>
      <c r="N231" s="261"/>
      <c r="O231" s="261"/>
      <c r="P231" s="261"/>
      <c r="Q231" s="261"/>
      <c r="R231" s="262"/>
      <c r="S231" s="262"/>
      <c r="T231" s="262"/>
      <c r="U231" s="262"/>
      <c r="V231" s="262"/>
      <c r="W231" s="262"/>
      <c r="X231" s="262"/>
      <c r="Y231" s="262"/>
      <c r="Z231" s="262"/>
      <c r="AA231" s="262"/>
      <c r="AB231" s="262"/>
      <c r="AC231" s="262"/>
      <c r="AD231" s="262"/>
      <c r="AE231" s="262"/>
      <c r="AF231" s="262"/>
      <c r="AG231" s="262"/>
      <c r="AH231" s="263"/>
      <c r="AI231" s="263"/>
      <c r="AJ231" s="263"/>
      <c r="AK231" s="263"/>
      <c r="AL231" s="263"/>
      <c r="AM231" s="263"/>
      <c r="AN231" s="263"/>
      <c r="AO231" s="263"/>
      <c r="AP231" s="263"/>
      <c r="AQ231" s="263"/>
      <c r="AR231" s="263"/>
      <c r="AS231" s="263"/>
      <c r="AT231" s="263"/>
      <c r="AU231" s="263"/>
      <c r="AV231" s="263"/>
      <c r="AW231" s="263"/>
      <c r="AX231" s="264"/>
      <c r="AY231" s="264"/>
      <c r="AZ231" s="264"/>
      <c r="BA231" s="264"/>
      <c r="BB231" s="264"/>
      <c r="BC231" s="264"/>
      <c r="BD231" s="264"/>
      <c r="BE231" s="264"/>
      <c r="BF231" s="264"/>
      <c r="BG231" s="264"/>
      <c r="BH231" s="264"/>
      <c r="BI231" s="264"/>
      <c r="BJ231" s="264"/>
      <c r="BK231" s="264"/>
      <c r="BL231" s="264"/>
      <c r="BM231" s="264"/>
      <c r="BN231" s="265"/>
      <c r="BO231" s="265"/>
      <c r="BP231" s="265"/>
      <c r="BQ231" s="265"/>
      <c r="BR231" s="265"/>
      <c r="BS231" s="265"/>
      <c r="BT231" s="265"/>
      <c r="BU231" s="265"/>
      <c r="BV231" s="265"/>
      <c r="BW231" s="265"/>
      <c r="BX231" s="265"/>
      <c r="BY231" s="265"/>
      <c r="BZ231" s="265"/>
      <c r="CA231" s="265"/>
      <c r="CB231" s="265"/>
      <c r="CC231" s="265"/>
      <c r="CD231" s="266"/>
      <c r="CE231" s="266"/>
      <c r="CF231" s="266"/>
      <c r="CG231" s="266"/>
      <c r="CH231" s="266"/>
      <c r="CI231" s="266"/>
      <c r="CJ231" s="266"/>
      <c r="CK231" s="266"/>
      <c r="CL231" s="266"/>
      <c r="CM231" s="266"/>
      <c r="CN231" s="266"/>
      <c r="CO231" s="266"/>
      <c r="CP231" s="266"/>
      <c r="CQ231" s="266"/>
      <c r="CR231" s="266"/>
      <c r="CS231" s="266"/>
      <c r="CT231" s="267"/>
      <c r="CU231" s="267"/>
      <c r="CV231" s="267"/>
      <c r="CW231" s="267"/>
      <c r="CX231" s="267"/>
      <c r="CY231" s="267"/>
      <c r="CZ231" s="267"/>
      <c r="DA231" s="267"/>
      <c r="DB231" s="267"/>
      <c r="DC231" s="267"/>
      <c r="DD231" s="267"/>
      <c r="DE231" s="267"/>
      <c r="DF231" s="267"/>
      <c r="DG231" s="267"/>
      <c r="DH231" s="267"/>
      <c r="DI231" s="267"/>
      <c r="DJ231" s="268"/>
      <c r="DK231" s="268"/>
      <c r="DL231" s="268"/>
      <c r="DM231" s="268"/>
      <c r="DN231" s="268"/>
      <c r="DO231" s="268"/>
      <c r="DP231" s="268"/>
      <c r="DQ231" s="268"/>
      <c r="DR231" s="268"/>
      <c r="DS231" s="268"/>
      <c r="DT231" s="268"/>
      <c r="DU231" s="268"/>
      <c r="DV231" s="268"/>
      <c r="DW231" s="268"/>
      <c r="DX231" s="268"/>
      <c r="DY231" s="268"/>
      <c r="EA231" s="13"/>
      <c r="EB231" s="96"/>
      <c r="EC231" s="96"/>
      <c r="ED231" s="96"/>
      <c r="EE231" s="96"/>
      <c r="EF231" s="96"/>
      <c r="EG231" s="96"/>
      <c r="EH231" s="96"/>
      <c r="EI231" s="96"/>
      <c r="EJ231" s="96"/>
      <c r="EK231" s="96"/>
      <c r="EL231" s="96"/>
      <c r="EM231" s="96"/>
      <c r="EN231" s="96"/>
      <c r="EO231" s="96"/>
      <c r="EP231" s="96"/>
      <c r="EQ231" s="96"/>
      <c r="ER231" s="96"/>
      <c r="ES231" s="96"/>
      <c r="ET231" s="96"/>
      <c r="EU231" s="96"/>
      <c r="EV231" s="96"/>
      <c r="EW231" s="96"/>
      <c r="EX231" s="96"/>
      <c r="EY231" s="96"/>
      <c r="EZ231" s="96"/>
      <c r="FA231" s="96"/>
      <c r="FB231" s="96"/>
      <c r="FC231" s="96"/>
      <c r="FD231" s="96"/>
      <c r="FE231" s="96"/>
      <c r="FF231" s="96"/>
      <c r="FG231" s="96"/>
      <c r="FH231" s="96"/>
      <c r="FI231" s="96"/>
      <c r="FJ231" s="96"/>
      <c r="FK231" s="96"/>
      <c r="FL231" s="96"/>
      <c r="FM231" s="96"/>
      <c r="FN231" s="96"/>
      <c r="FO231" s="96"/>
      <c r="FP231" s="96"/>
      <c r="FQ231" s="96"/>
      <c r="FR231" s="96"/>
      <c r="FS231" s="96"/>
      <c r="FT231" s="96"/>
      <c r="FU231" s="96"/>
      <c r="FV231" s="96"/>
      <c r="FW231" s="96"/>
      <c r="FX231" s="96"/>
      <c r="FY231" s="96"/>
      <c r="FZ231" s="96"/>
      <c r="GA231" s="96"/>
      <c r="GB231" s="96"/>
      <c r="GC231" s="96"/>
      <c r="GD231" s="96"/>
      <c r="GE231" s="96"/>
      <c r="GF231" s="96"/>
      <c r="GG231" s="96"/>
      <c r="GH231" s="96"/>
      <c r="GI231" s="96"/>
      <c r="GJ231" s="96"/>
      <c r="GK231" s="96"/>
      <c r="GL231" s="96"/>
      <c r="GM231" s="13"/>
      <c r="GN231" s="96"/>
      <c r="GO231" s="96"/>
      <c r="GP231" s="96"/>
      <c r="GQ231" s="96"/>
      <c r="GR231" s="96"/>
      <c r="GS231" s="96"/>
      <c r="GT231" s="96"/>
      <c r="GU231" s="96"/>
      <c r="GV231" s="96"/>
      <c r="GW231" s="96"/>
      <c r="GX231" s="96"/>
      <c r="GY231" s="96"/>
      <c r="GZ231" s="96"/>
      <c r="HA231" s="96"/>
      <c r="HB231" s="96"/>
      <c r="HC231" s="13"/>
      <c r="HD231" s="96"/>
      <c r="HE231" s="96"/>
      <c r="HF231" s="96"/>
      <c r="HG231" s="96"/>
      <c r="HH231" s="96"/>
      <c r="HI231" s="96"/>
      <c r="HJ231" s="96"/>
      <c r="HK231" s="96"/>
      <c r="HL231" s="96"/>
      <c r="HM231" s="96"/>
      <c r="HN231" s="96"/>
      <c r="HO231" s="96"/>
      <c r="HP231" s="96"/>
      <c r="HQ231" s="96"/>
      <c r="HR231" s="96"/>
      <c r="HS231" s="13"/>
      <c r="HT231" s="96"/>
      <c r="HU231" s="96"/>
      <c r="HV231" s="96"/>
      <c r="HW231" s="96"/>
      <c r="HX231" s="96"/>
      <c r="HY231" s="96"/>
      <c r="HZ231" s="96"/>
      <c r="IA231" s="96"/>
      <c r="IB231" s="96"/>
      <c r="IC231" s="96"/>
      <c r="ID231" s="96"/>
      <c r="IE231" s="96"/>
      <c r="IF231" s="96"/>
      <c r="IG231" s="96"/>
      <c r="IH231" s="96"/>
      <c r="II231" s="13"/>
      <c r="IJ231" s="96"/>
      <c r="IK231" s="96"/>
      <c r="IL231" s="96"/>
      <c r="IM231" s="96"/>
      <c r="IN231" s="96"/>
      <c r="IO231" s="96"/>
      <c r="IP231" s="96"/>
      <c r="IQ231" s="96"/>
      <c r="IR231" s="96"/>
      <c r="IS231" s="96"/>
      <c r="IT231" s="96"/>
      <c r="IU231" s="96"/>
      <c r="IV231" s="96"/>
      <c r="IW231" s="96"/>
      <c r="IX231" s="96"/>
      <c r="IY231" s="13"/>
    </row>
    <row r="232" spans="1:259" outlineLevel="1">
      <c r="A232" s="11">
        <f>'VAC &amp; MED'!C229</f>
        <v>46215</v>
      </c>
      <c r="B232" s="261"/>
      <c r="C232" s="261"/>
      <c r="D232" s="261"/>
      <c r="E232" s="261"/>
      <c r="F232" s="261"/>
      <c r="G232" s="261"/>
      <c r="H232" s="261"/>
      <c r="I232" s="261"/>
      <c r="J232" s="261"/>
      <c r="K232" s="261"/>
      <c r="L232" s="261"/>
      <c r="M232" s="261"/>
      <c r="N232" s="261"/>
      <c r="O232" s="261"/>
      <c r="P232" s="261"/>
      <c r="Q232" s="261"/>
      <c r="R232" s="262"/>
      <c r="S232" s="262"/>
      <c r="T232" s="262"/>
      <c r="U232" s="262"/>
      <c r="V232" s="262"/>
      <c r="W232" s="262"/>
      <c r="X232" s="262"/>
      <c r="Y232" s="262"/>
      <c r="Z232" s="262"/>
      <c r="AA232" s="262"/>
      <c r="AB232" s="262"/>
      <c r="AC232" s="262"/>
      <c r="AD232" s="262"/>
      <c r="AE232" s="262"/>
      <c r="AF232" s="262"/>
      <c r="AG232" s="262"/>
      <c r="AH232" s="263"/>
      <c r="AI232" s="263"/>
      <c r="AJ232" s="263"/>
      <c r="AK232" s="263"/>
      <c r="AL232" s="263"/>
      <c r="AM232" s="263"/>
      <c r="AN232" s="263"/>
      <c r="AO232" s="263"/>
      <c r="AP232" s="263"/>
      <c r="AQ232" s="263"/>
      <c r="AR232" s="263"/>
      <c r="AS232" s="263"/>
      <c r="AT232" s="263"/>
      <c r="AU232" s="263"/>
      <c r="AV232" s="263"/>
      <c r="AW232" s="263"/>
      <c r="AX232" s="264"/>
      <c r="AY232" s="264"/>
      <c r="AZ232" s="264"/>
      <c r="BA232" s="264"/>
      <c r="BB232" s="264"/>
      <c r="BC232" s="264"/>
      <c r="BD232" s="264"/>
      <c r="BE232" s="264"/>
      <c r="BF232" s="264"/>
      <c r="BG232" s="264"/>
      <c r="BH232" s="264"/>
      <c r="BI232" s="264"/>
      <c r="BJ232" s="264"/>
      <c r="BK232" s="264"/>
      <c r="BL232" s="264"/>
      <c r="BM232" s="264"/>
      <c r="BN232" s="265"/>
      <c r="BO232" s="265"/>
      <c r="BP232" s="265"/>
      <c r="BQ232" s="265"/>
      <c r="BR232" s="265"/>
      <c r="BS232" s="265"/>
      <c r="BT232" s="265"/>
      <c r="BU232" s="265"/>
      <c r="BV232" s="265"/>
      <c r="BW232" s="265"/>
      <c r="BX232" s="265"/>
      <c r="BY232" s="265"/>
      <c r="BZ232" s="265"/>
      <c r="CA232" s="265"/>
      <c r="CB232" s="265"/>
      <c r="CC232" s="265"/>
      <c r="CD232" s="266"/>
      <c r="CE232" s="266"/>
      <c r="CF232" s="266"/>
      <c r="CG232" s="266"/>
      <c r="CH232" s="266"/>
      <c r="CI232" s="266"/>
      <c r="CJ232" s="266"/>
      <c r="CK232" s="266"/>
      <c r="CL232" s="266"/>
      <c r="CM232" s="266"/>
      <c r="CN232" s="266"/>
      <c r="CO232" s="266"/>
      <c r="CP232" s="266"/>
      <c r="CQ232" s="266"/>
      <c r="CR232" s="266"/>
      <c r="CS232" s="266"/>
      <c r="CT232" s="267"/>
      <c r="CU232" s="267"/>
      <c r="CV232" s="267"/>
      <c r="CW232" s="267"/>
      <c r="CX232" s="267"/>
      <c r="CY232" s="267"/>
      <c r="CZ232" s="267"/>
      <c r="DA232" s="267"/>
      <c r="DB232" s="267"/>
      <c r="DC232" s="267"/>
      <c r="DD232" s="267"/>
      <c r="DE232" s="267"/>
      <c r="DF232" s="267"/>
      <c r="DG232" s="267"/>
      <c r="DH232" s="267"/>
      <c r="DI232" s="267"/>
      <c r="DJ232" s="268"/>
      <c r="DK232" s="268"/>
      <c r="DL232" s="268"/>
      <c r="DM232" s="268"/>
      <c r="DN232" s="268"/>
      <c r="DO232" s="268"/>
      <c r="DP232" s="268"/>
      <c r="DQ232" s="268"/>
      <c r="DR232" s="268"/>
      <c r="DS232" s="268"/>
      <c r="DT232" s="268"/>
      <c r="DU232" s="268"/>
      <c r="DV232" s="268"/>
      <c r="DW232" s="268"/>
      <c r="DX232" s="268"/>
      <c r="DY232" s="268"/>
      <c r="EA232" s="13"/>
      <c r="EB232" s="96"/>
      <c r="EC232" s="96"/>
      <c r="ED232" s="96"/>
      <c r="EE232" s="96"/>
      <c r="EF232" s="96"/>
      <c r="EG232" s="96"/>
      <c r="EH232" s="96"/>
      <c r="EI232" s="96"/>
      <c r="EJ232" s="96"/>
      <c r="EK232" s="96"/>
      <c r="EL232" s="96"/>
      <c r="EM232" s="96"/>
      <c r="EN232" s="96"/>
      <c r="EO232" s="96"/>
      <c r="EP232" s="96"/>
      <c r="EQ232" s="96"/>
      <c r="ER232" s="96"/>
      <c r="ES232" s="96"/>
      <c r="ET232" s="96"/>
      <c r="EU232" s="96"/>
      <c r="EV232" s="96"/>
      <c r="EW232" s="96"/>
      <c r="EX232" s="96"/>
      <c r="EY232" s="96"/>
      <c r="EZ232" s="96"/>
      <c r="FA232" s="96"/>
      <c r="FB232" s="96"/>
      <c r="FC232" s="96"/>
      <c r="FD232" s="96"/>
      <c r="FE232" s="96"/>
      <c r="FF232" s="96"/>
      <c r="FG232" s="96"/>
      <c r="FH232" s="96"/>
      <c r="FI232" s="96"/>
      <c r="FJ232" s="96"/>
      <c r="FK232" s="96"/>
      <c r="FL232" s="96"/>
      <c r="FM232" s="96"/>
      <c r="FN232" s="96"/>
      <c r="FO232" s="96"/>
      <c r="FP232" s="96"/>
      <c r="FQ232" s="96"/>
      <c r="FR232" s="96"/>
      <c r="FS232" s="96"/>
      <c r="FT232" s="96"/>
      <c r="FU232" s="96"/>
      <c r="FV232" s="96"/>
      <c r="FW232" s="96"/>
      <c r="FX232" s="96"/>
      <c r="FY232" s="96"/>
      <c r="FZ232" s="96"/>
      <c r="GA232" s="96"/>
      <c r="GB232" s="96"/>
      <c r="GC232" s="96"/>
      <c r="GD232" s="96"/>
      <c r="GE232" s="96"/>
      <c r="GF232" s="96"/>
      <c r="GG232" s="96"/>
      <c r="GH232" s="96"/>
      <c r="GI232" s="96"/>
      <c r="GJ232" s="96"/>
      <c r="GK232" s="96"/>
      <c r="GL232" s="96"/>
      <c r="GM232" s="13"/>
      <c r="GN232" s="96"/>
      <c r="GO232" s="96"/>
      <c r="GP232" s="96"/>
      <c r="GQ232" s="96"/>
      <c r="GR232" s="96"/>
      <c r="GS232" s="96"/>
      <c r="GT232" s="96"/>
      <c r="GU232" s="96"/>
      <c r="GV232" s="96"/>
      <c r="GW232" s="96"/>
      <c r="GX232" s="96"/>
      <c r="GY232" s="96"/>
      <c r="GZ232" s="96"/>
      <c r="HA232" s="96"/>
      <c r="HB232" s="96"/>
      <c r="HC232" s="13"/>
      <c r="HD232" s="96"/>
      <c r="HE232" s="96"/>
      <c r="HF232" s="96"/>
      <c r="HG232" s="96"/>
      <c r="HH232" s="96"/>
      <c r="HI232" s="96"/>
      <c r="HJ232" s="96"/>
      <c r="HK232" s="96"/>
      <c r="HL232" s="96"/>
      <c r="HM232" s="96"/>
      <c r="HN232" s="96"/>
      <c r="HO232" s="96"/>
      <c r="HP232" s="96"/>
      <c r="HQ232" s="96"/>
      <c r="HR232" s="96"/>
      <c r="HS232" s="13"/>
      <c r="HT232" s="96"/>
      <c r="HU232" s="96"/>
      <c r="HV232" s="96"/>
      <c r="HW232" s="96"/>
      <c r="HX232" s="96"/>
      <c r="HY232" s="96"/>
      <c r="HZ232" s="96"/>
      <c r="IA232" s="96"/>
      <c r="IB232" s="96"/>
      <c r="IC232" s="96"/>
      <c r="ID232" s="96"/>
      <c r="IE232" s="96"/>
      <c r="IF232" s="96"/>
      <c r="IG232" s="96"/>
      <c r="IH232" s="96"/>
      <c r="II232" s="13"/>
      <c r="IJ232" s="96"/>
      <c r="IK232" s="96"/>
      <c r="IL232" s="96"/>
      <c r="IM232" s="96"/>
      <c r="IN232" s="96"/>
      <c r="IO232" s="96"/>
      <c r="IP232" s="96"/>
      <c r="IQ232" s="96"/>
      <c r="IR232" s="96"/>
      <c r="IS232" s="96"/>
      <c r="IT232" s="96"/>
      <c r="IU232" s="96"/>
      <c r="IV232" s="96"/>
      <c r="IW232" s="96"/>
      <c r="IX232" s="96"/>
      <c r="IY232" s="13"/>
    </row>
    <row r="233" spans="1:259" outlineLevel="1">
      <c r="A233" s="11">
        <f>'VAC &amp; MED'!C230</f>
        <v>46216</v>
      </c>
      <c r="B233" s="261"/>
      <c r="C233" s="261"/>
      <c r="D233" s="261"/>
      <c r="E233" s="261"/>
      <c r="F233" s="261"/>
      <c r="G233" s="261"/>
      <c r="H233" s="261"/>
      <c r="I233" s="261"/>
      <c r="J233" s="261"/>
      <c r="K233" s="261"/>
      <c r="L233" s="261"/>
      <c r="M233" s="261"/>
      <c r="N233" s="261"/>
      <c r="O233" s="261"/>
      <c r="P233" s="261"/>
      <c r="Q233" s="261"/>
      <c r="R233" s="262"/>
      <c r="S233" s="262"/>
      <c r="T233" s="262"/>
      <c r="U233" s="262"/>
      <c r="V233" s="262"/>
      <c r="W233" s="262"/>
      <c r="X233" s="262"/>
      <c r="Y233" s="262"/>
      <c r="Z233" s="262"/>
      <c r="AA233" s="262"/>
      <c r="AB233" s="262"/>
      <c r="AC233" s="262"/>
      <c r="AD233" s="262"/>
      <c r="AE233" s="262"/>
      <c r="AF233" s="262"/>
      <c r="AG233" s="262"/>
      <c r="AH233" s="263"/>
      <c r="AI233" s="263"/>
      <c r="AJ233" s="263"/>
      <c r="AK233" s="263"/>
      <c r="AL233" s="263"/>
      <c r="AM233" s="263"/>
      <c r="AN233" s="263"/>
      <c r="AO233" s="263"/>
      <c r="AP233" s="263"/>
      <c r="AQ233" s="263"/>
      <c r="AR233" s="263"/>
      <c r="AS233" s="263"/>
      <c r="AT233" s="263"/>
      <c r="AU233" s="263"/>
      <c r="AV233" s="263"/>
      <c r="AW233" s="263"/>
      <c r="AX233" s="264"/>
      <c r="AY233" s="264"/>
      <c r="AZ233" s="264"/>
      <c r="BA233" s="264"/>
      <c r="BB233" s="264"/>
      <c r="BC233" s="264"/>
      <c r="BD233" s="264"/>
      <c r="BE233" s="264"/>
      <c r="BF233" s="264"/>
      <c r="BG233" s="264"/>
      <c r="BH233" s="264"/>
      <c r="BI233" s="264"/>
      <c r="BJ233" s="264"/>
      <c r="BK233" s="264"/>
      <c r="BL233" s="264"/>
      <c r="BM233" s="264"/>
      <c r="BN233" s="265"/>
      <c r="BO233" s="265"/>
      <c r="BP233" s="265"/>
      <c r="BQ233" s="265"/>
      <c r="BR233" s="265"/>
      <c r="BS233" s="265"/>
      <c r="BT233" s="265"/>
      <c r="BU233" s="265"/>
      <c r="BV233" s="265"/>
      <c r="BW233" s="265"/>
      <c r="BX233" s="265"/>
      <c r="BY233" s="265"/>
      <c r="BZ233" s="265"/>
      <c r="CA233" s="265"/>
      <c r="CB233" s="265"/>
      <c r="CC233" s="265"/>
      <c r="CD233" s="266"/>
      <c r="CE233" s="266"/>
      <c r="CF233" s="266"/>
      <c r="CG233" s="266"/>
      <c r="CH233" s="266"/>
      <c r="CI233" s="266"/>
      <c r="CJ233" s="266"/>
      <c r="CK233" s="266"/>
      <c r="CL233" s="266"/>
      <c r="CM233" s="266"/>
      <c r="CN233" s="266"/>
      <c r="CO233" s="266"/>
      <c r="CP233" s="266"/>
      <c r="CQ233" s="266"/>
      <c r="CR233" s="266"/>
      <c r="CS233" s="266"/>
      <c r="CT233" s="267"/>
      <c r="CU233" s="267"/>
      <c r="CV233" s="267"/>
      <c r="CW233" s="267"/>
      <c r="CX233" s="267"/>
      <c r="CY233" s="267"/>
      <c r="CZ233" s="267"/>
      <c r="DA233" s="267">
        <v>10</v>
      </c>
      <c r="DB233" s="267"/>
      <c r="DC233" s="267"/>
      <c r="DD233" s="267"/>
      <c r="DE233" s="267"/>
      <c r="DF233" s="267"/>
      <c r="DG233" s="267"/>
      <c r="DH233" s="267">
        <v>18</v>
      </c>
      <c r="DI233" s="267"/>
      <c r="DJ233" s="268"/>
      <c r="DK233" s="268"/>
      <c r="DL233" s="268"/>
      <c r="DM233" s="268"/>
      <c r="DN233" s="268"/>
      <c r="DO233" s="268"/>
      <c r="DP233" s="268"/>
      <c r="DQ233" s="268"/>
      <c r="DR233" s="268"/>
      <c r="DS233" s="268"/>
      <c r="DT233" s="268"/>
      <c r="DU233" s="268"/>
      <c r="DV233" s="268"/>
      <c r="DW233" s="268"/>
      <c r="DX233" s="268"/>
      <c r="DY233" s="268"/>
      <c r="EA233" s="13"/>
      <c r="EB233" s="96"/>
      <c r="EC233" s="96"/>
      <c r="ED233" s="96"/>
      <c r="EE233" s="96"/>
      <c r="EF233" s="96"/>
      <c r="EG233" s="96"/>
      <c r="EH233" s="96"/>
      <c r="EI233" s="96"/>
      <c r="EJ233" s="96"/>
      <c r="EK233" s="96"/>
      <c r="EL233" s="96"/>
      <c r="EM233" s="96"/>
      <c r="EN233" s="96"/>
      <c r="EO233" s="96"/>
      <c r="EP233" s="96"/>
      <c r="EQ233" s="96"/>
      <c r="ER233" s="96"/>
      <c r="ES233" s="96"/>
      <c r="ET233" s="96"/>
      <c r="EU233" s="96"/>
      <c r="EV233" s="96"/>
      <c r="EW233" s="96"/>
      <c r="EX233" s="96"/>
      <c r="EY233" s="96"/>
      <c r="EZ233" s="96"/>
      <c r="FA233" s="96"/>
      <c r="FB233" s="96"/>
      <c r="FC233" s="96"/>
      <c r="FD233" s="96"/>
      <c r="FE233" s="96"/>
      <c r="FF233" s="96"/>
      <c r="FG233" s="96"/>
      <c r="FH233" s="96"/>
      <c r="FI233" s="96"/>
      <c r="FJ233" s="96"/>
      <c r="FK233" s="96"/>
      <c r="FL233" s="96"/>
      <c r="FM233" s="96"/>
      <c r="FN233" s="96"/>
      <c r="FO233" s="96"/>
      <c r="FP233" s="96"/>
      <c r="FQ233" s="96"/>
      <c r="FR233" s="96"/>
      <c r="FS233" s="96"/>
      <c r="FT233" s="96"/>
      <c r="FU233" s="96"/>
      <c r="FV233" s="96"/>
      <c r="FW233" s="96"/>
      <c r="FX233" s="96"/>
      <c r="FY233" s="96"/>
      <c r="FZ233" s="96"/>
      <c r="GA233" s="96"/>
      <c r="GB233" s="96"/>
      <c r="GC233" s="96"/>
      <c r="GD233" s="96"/>
      <c r="GE233" s="96"/>
      <c r="GF233" s="96"/>
      <c r="GG233" s="96"/>
      <c r="GH233" s="96"/>
      <c r="GI233" s="96"/>
      <c r="GJ233" s="96"/>
      <c r="GK233" s="96"/>
      <c r="GL233" s="96"/>
      <c r="GM233" s="13"/>
      <c r="GN233" s="96"/>
      <c r="GO233" s="96"/>
      <c r="GP233" s="96"/>
      <c r="GQ233" s="96"/>
      <c r="GR233" s="96"/>
      <c r="GS233" s="96"/>
      <c r="GT233" s="96"/>
      <c r="GU233" s="96"/>
      <c r="GV233" s="96"/>
      <c r="GW233" s="96"/>
      <c r="GX233" s="96"/>
      <c r="GY233" s="96"/>
      <c r="GZ233" s="96"/>
      <c r="HA233" s="96"/>
      <c r="HB233" s="96"/>
      <c r="HC233" s="13"/>
      <c r="HD233" s="96"/>
      <c r="HE233" s="96"/>
      <c r="HF233" s="96"/>
      <c r="HG233" s="96"/>
      <c r="HH233" s="96"/>
      <c r="HI233" s="96"/>
      <c r="HJ233" s="96"/>
      <c r="HK233" s="96"/>
      <c r="HL233" s="96"/>
      <c r="HM233" s="96"/>
      <c r="HN233" s="96"/>
      <c r="HO233" s="96"/>
      <c r="HP233" s="96"/>
      <c r="HQ233" s="96"/>
      <c r="HR233" s="96"/>
      <c r="HS233" s="13"/>
      <c r="HT233" s="96"/>
      <c r="HU233" s="96"/>
      <c r="HV233" s="96"/>
      <c r="HW233" s="96"/>
      <c r="HX233" s="96"/>
      <c r="HY233" s="96"/>
      <c r="HZ233" s="96"/>
      <c r="IA233" s="96"/>
      <c r="IB233" s="96"/>
      <c r="IC233" s="96"/>
      <c r="ID233" s="96"/>
      <c r="IE233" s="96"/>
      <c r="IF233" s="96"/>
      <c r="IG233" s="96"/>
      <c r="IH233" s="96"/>
      <c r="II233" s="13"/>
      <c r="IJ233" s="96"/>
      <c r="IK233" s="96"/>
      <c r="IL233" s="96"/>
      <c r="IM233" s="96"/>
      <c r="IN233" s="96"/>
      <c r="IO233" s="96"/>
      <c r="IP233" s="96"/>
      <c r="IQ233" s="96"/>
      <c r="IR233" s="96"/>
      <c r="IS233" s="96"/>
      <c r="IT233" s="96"/>
      <c r="IU233" s="96"/>
      <c r="IV233" s="96"/>
      <c r="IW233" s="96"/>
      <c r="IX233" s="96"/>
      <c r="IY233" s="13"/>
    </row>
    <row r="234" spans="1:259" outlineLevel="1">
      <c r="A234" s="11">
        <f>'VAC &amp; MED'!C231</f>
        <v>46217</v>
      </c>
      <c r="B234" s="261"/>
      <c r="C234" s="261"/>
      <c r="D234" s="261"/>
      <c r="E234" s="261"/>
      <c r="F234" s="261"/>
      <c r="G234" s="261"/>
      <c r="H234" s="261"/>
      <c r="I234" s="261"/>
      <c r="J234" s="261"/>
      <c r="K234" s="261"/>
      <c r="L234" s="261"/>
      <c r="M234" s="261"/>
      <c r="N234" s="261"/>
      <c r="O234" s="261"/>
      <c r="P234" s="261"/>
      <c r="Q234" s="261"/>
      <c r="R234" s="262"/>
      <c r="S234" s="262"/>
      <c r="T234" s="262"/>
      <c r="U234" s="262"/>
      <c r="V234" s="262"/>
      <c r="W234" s="262"/>
      <c r="X234" s="262"/>
      <c r="Y234" s="262"/>
      <c r="Z234" s="262"/>
      <c r="AA234" s="262"/>
      <c r="AB234" s="262"/>
      <c r="AC234" s="262"/>
      <c r="AD234" s="262"/>
      <c r="AE234" s="262"/>
      <c r="AF234" s="262"/>
      <c r="AG234" s="262"/>
      <c r="AH234" s="263"/>
      <c r="AI234" s="263"/>
      <c r="AJ234" s="263"/>
      <c r="AK234" s="263"/>
      <c r="AL234" s="263"/>
      <c r="AM234" s="263"/>
      <c r="AN234" s="263"/>
      <c r="AO234" s="263"/>
      <c r="AP234" s="263"/>
      <c r="AQ234" s="263"/>
      <c r="AR234" s="263"/>
      <c r="AS234" s="263"/>
      <c r="AT234" s="263"/>
      <c r="AU234" s="263"/>
      <c r="AV234" s="263"/>
      <c r="AW234" s="263"/>
      <c r="AX234" s="264"/>
      <c r="AY234" s="264"/>
      <c r="AZ234" s="264"/>
      <c r="BA234" s="264"/>
      <c r="BB234" s="264"/>
      <c r="BC234" s="264"/>
      <c r="BD234" s="264"/>
      <c r="BE234" s="264"/>
      <c r="BF234" s="264"/>
      <c r="BG234" s="264"/>
      <c r="BH234" s="264"/>
      <c r="BI234" s="264"/>
      <c r="BJ234" s="264"/>
      <c r="BK234" s="264"/>
      <c r="BL234" s="264"/>
      <c r="BM234" s="264"/>
      <c r="BN234" s="265"/>
      <c r="BO234" s="265">
        <v>16</v>
      </c>
      <c r="BP234" s="265"/>
      <c r="BQ234" s="265"/>
      <c r="BR234" s="265"/>
      <c r="BS234" s="265"/>
      <c r="BT234" s="265"/>
      <c r="BU234" s="265"/>
      <c r="BV234" s="265"/>
      <c r="BW234" s="265"/>
      <c r="BX234" s="265">
        <v>30</v>
      </c>
      <c r="BY234" s="265"/>
      <c r="BZ234" s="265"/>
      <c r="CA234" s="265"/>
      <c r="CB234" s="265"/>
      <c r="CC234" s="265"/>
      <c r="CD234" s="266"/>
      <c r="CE234" s="266"/>
      <c r="CF234" s="266"/>
      <c r="CG234" s="266"/>
      <c r="CH234" s="266"/>
      <c r="CI234" s="266"/>
      <c r="CJ234" s="266"/>
      <c r="CK234" s="266"/>
      <c r="CL234" s="266"/>
      <c r="CM234" s="266"/>
      <c r="CN234" s="266"/>
      <c r="CO234" s="266"/>
      <c r="CP234" s="266"/>
      <c r="CQ234" s="266"/>
      <c r="CR234" s="266"/>
      <c r="CS234" s="266"/>
      <c r="CT234" s="267"/>
      <c r="CU234" s="267"/>
      <c r="CV234" s="267"/>
      <c r="CW234" s="267"/>
      <c r="CX234" s="267"/>
      <c r="CY234" s="267"/>
      <c r="CZ234" s="267"/>
      <c r="DA234" s="267"/>
      <c r="DB234" s="267"/>
      <c r="DC234" s="267"/>
      <c r="DD234" s="267"/>
      <c r="DE234" s="267"/>
      <c r="DF234" s="267"/>
      <c r="DG234" s="267"/>
      <c r="DH234" s="267">
        <v>80</v>
      </c>
      <c r="DI234" s="267"/>
      <c r="DJ234" s="268"/>
      <c r="DK234" s="268"/>
      <c r="DL234" s="268"/>
      <c r="DM234" s="268"/>
      <c r="DN234" s="268"/>
      <c r="DO234" s="268"/>
      <c r="DP234" s="268"/>
      <c r="DQ234" s="268"/>
      <c r="DR234" s="268"/>
      <c r="DS234" s="268"/>
      <c r="DT234" s="268"/>
      <c r="DU234" s="268"/>
      <c r="DV234" s="268"/>
      <c r="DW234" s="268"/>
      <c r="DX234" s="268"/>
      <c r="DY234" s="268"/>
      <c r="EA234" s="13"/>
      <c r="EB234" s="96"/>
      <c r="EC234" s="96"/>
      <c r="ED234" s="96"/>
      <c r="EE234" s="96"/>
      <c r="EF234" s="96"/>
      <c r="EG234" s="96"/>
      <c r="EH234" s="96"/>
      <c r="EI234" s="96"/>
      <c r="EJ234" s="96"/>
      <c r="EK234" s="96"/>
      <c r="EL234" s="96"/>
      <c r="EM234" s="96"/>
      <c r="EN234" s="96"/>
      <c r="EO234" s="96"/>
      <c r="EP234" s="96"/>
      <c r="EQ234" s="96"/>
      <c r="ER234" s="96"/>
      <c r="ES234" s="96"/>
      <c r="ET234" s="96"/>
      <c r="EU234" s="96"/>
      <c r="EV234" s="96"/>
      <c r="EW234" s="96"/>
      <c r="EX234" s="96"/>
      <c r="EY234" s="96"/>
      <c r="EZ234" s="96"/>
      <c r="FA234" s="96"/>
      <c r="FB234" s="96"/>
      <c r="FC234" s="96"/>
      <c r="FD234" s="96"/>
      <c r="FE234" s="96"/>
      <c r="FF234" s="96"/>
      <c r="FG234" s="96"/>
      <c r="FH234" s="96"/>
      <c r="FI234" s="96"/>
      <c r="FJ234" s="96"/>
      <c r="FK234" s="96"/>
      <c r="FL234" s="96"/>
      <c r="FM234" s="96"/>
      <c r="FN234" s="96"/>
      <c r="FO234" s="96"/>
      <c r="FP234" s="96"/>
      <c r="FQ234" s="96"/>
      <c r="FR234" s="96"/>
      <c r="FS234" s="96"/>
      <c r="FT234" s="96"/>
      <c r="FU234" s="96"/>
      <c r="FV234" s="96"/>
      <c r="FW234" s="96"/>
      <c r="FX234" s="96"/>
      <c r="FY234" s="96"/>
      <c r="FZ234" s="96"/>
      <c r="GA234" s="96"/>
      <c r="GB234" s="96"/>
      <c r="GC234" s="96"/>
      <c r="GD234" s="96"/>
      <c r="GE234" s="96"/>
      <c r="GF234" s="96"/>
      <c r="GG234" s="96"/>
      <c r="GH234" s="96"/>
      <c r="GI234" s="96"/>
      <c r="GJ234" s="96"/>
      <c r="GK234" s="96"/>
      <c r="GL234" s="96"/>
      <c r="GM234" s="13"/>
      <c r="GN234" s="96"/>
      <c r="GO234" s="96"/>
      <c r="GP234" s="96"/>
      <c r="GQ234" s="96"/>
      <c r="GR234" s="96"/>
      <c r="GS234" s="96"/>
      <c r="GT234" s="96"/>
      <c r="GU234" s="96"/>
      <c r="GV234" s="96"/>
      <c r="GW234" s="96"/>
      <c r="GX234" s="96"/>
      <c r="GY234" s="96"/>
      <c r="GZ234" s="96"/>
      <c r="HA234" s="96"/>
      <c r="HB234" s="96"/>
      <c r="HC234" s="13"/>
      <c r="HD234" s="96"/>
      <c r="HE234" s="96"/>
      <c r="HF234" s="96"/>
      <c r="HG234" s="96"/>
      <c r="HH234" s="96"/>
      <c r="HI234" s="96"/>
      <c r="HJ234" s="96"/>
      <c r="HK234" s="96"/>
      <c r="HL234" s="96"/>
      <c r="HM234" s="96"/>
      <c r="HN234" s="96"/>
      <c r="HO234" s="96"/>
      <c r="HP234" s="96"/>
      <c r="HQ234" s="96"/>
      <c r="HR234" s="96"/>
      <c r="HS234" s="13"/>
      <c r="HT234" s="96"/>
      <c r="HU234" s="96"/>
      <c r="HV234" s="96"/>
      <c r="HW234" s="96"/>
      <c r="HX234" s="96"/>
      <c r="HY234" s="96"/>
      <c r="HZ234" s="96"/>
      <c r="IA234" s="96"/>
      <c r="IB234" s="96"/>
      <c r="IC234" s="96"/>
      <c r="ID234" s="96"/>
      <c r="IE234" s="96"/>
      <c r="IF234" s="96"/>
      <c r="IG234" s="96"/>
      <c r="IH234" s="96"/>
      <c r="II234" s="13"/>
      <c r="IJ234" s="96"/>
      <c r="IK234" s="96"/>
      <c r="IL234" s="96"/>
      <c r="IM234" s="96"/>
      <c r="IN234" s="96"/>
      <c r="IO234" s="96"/>
      <c r="IP234" s="96"/>
      <c r="IQ234" s="96"/>
      <c r="IR234" s="96"/>
      <c r="IS234" s="96"/>
      <c r="IT234" s="96"/>
      <c r="IU234" s="96"/>
      <c r="IV234" s="96"/>
      <c r="IW234" s="96"/>
      <c r="IX234" s="96"/>
      <c r="IY234" s="13"/>
    </row>
    <row r="235" spans="1:259" outlineLevel="1">
      <c r="A235" s="11">
        <f>'VAC &amp; MED'!C232</f>
        <v>46218</v>
      </c>
      <c r="B235" s="261"/>
      <c r="C235" s="261"/>
      <c r="D235" s="261"/>
      <c r="E235" s="261"/>
      <c r="F235" s="261"/>
      <c r="G235" s="261"/>
      <c r="H235" s="261"/>
      <c r="I235" s="261"/>
      <c r="J235" s="261"/>
      <c r="K235" s="261"/>
      <c r="L235" s="261"/>
      <c r="M235" s="261"/>
      <c r="N235" s="261"/>
      <c r="O235" s="261"/>
      <c r="P235" s="261"/>
      <c r="Q235" s="261"/>
      <c r="R235" s="262"/>
      <c r="S235" s="262"/>
      <c r="T235" s="262"/>
      <c r="U235" s="262"/>
      <c r="V235" s="262"/>
      <c r="W235" s="262"/>
      <c r="X235" s="262"/>
      <c r="Y235" s="262"/>
      <c r="Z235" s="262"/>
      <c r="AA235" s="262"/>
      <c r="AB235" s="262"/>
      <c r="AC235" s="262"/>
      <c r="AD235" s="262"/>
      <c r="AE235" s="262"/>
      <c r="AF235" s="262"/>
      <c r="AG235" s="262"/>
      <c r="AH235" s="263"/>
      <c r="AI235" s="263"/>
      <c r="AJ235" s="263"/>
      <c r="AK235" s="263"/>
      <c r="AL235" s="263"/>
      <c r="AM235" s="263"/>
      <c r="AN235" s="263"/>
      <c r="AO235" s="263"/>
      <c r="AP235" s="263"/>
      <c r="AQ235" s="263"/>
      <c r="AR235" s="263"/>
      <c r="AS235" s="263"/>
      <c r="AT235" s="263"/>
      <c r="AU235" s="263"/>
      <c r="AV235" s="263"/>
      <c r="AW235" s="263"/>
      <c r="AX235" s="264"/>
      <c r="AY235" s="264"/>
      <c r="AZ235" s="264"/>
      <c r="BA235" s="264"/>
      <c r="BB235" s="264"/>
      <c r="BC235" s="264"/>
      <c r="BD235" s="264"/>
      <c r="BE235" s="264"/>
      <c r="BF235" s="264"/>
      <c r="BG235" s="264"/>
      <c r="BH235" s="264"/>
      <c r="BI235" s="264"/>
      <c r="BJ235" s="264"/>
      <c r="BK235" s="264"/>
      <c r="BL235" s="264"/>
      <c r="BM235" s="264"/>
      <c r="BN235" s="265"/>
      <c r="BO235" s="265"/>
      <c r="BP235" s="265"/>
      <c r="BQ235" s="265"/>
      <c r="BR235" s="265"/>
      <c r="BS235" s="265"/>
      <c r="BT235" s="265"/>
      <c r="BU235" s="265"/>
      <c r="BV235" s="265"/>
      <c r="BW235" s="265"/>
      <c r="BX235" s="265"/>
      <c r="BY235" s="265"/>
      <c r="BZ235" s="265"/>
      <c r="CA235" s="265"/>
      <c r="CB235" s="265"/>
      <c r="CC235" s="265"/>
      <c r="CD235" s="266"/>
      <c r="CE235" s="266"/>
      <c r="CF235" s="266"/>
      <c r="CG235" s="266"/>
      <c r="CH235" s="266"/>
      <c r="CI235" s="266"/>
      <c r="CJ235" s="266"/>
      <c r="CK235" s="266"/>
      <c r="CL235" s="266"/>
      <c r="CM235" s="266"/>
      <c r="CN235" s="266"/>
      <c r="CO235" s="266"/>
      <c r="CP235" s="266"/>
      <c r="CQ235" s="266"/>
      <c r="CR235" s="266"/>
      <c r="CS235" s="266"/>
      <c r="CT235" s="267"/>
      <c r="CU235" s="267"/>
      <c r="CV235" s="267"/>
      <c r="CW235" s="267"/>
      <c r="CX235" s="267"/>
      <c r="CY235" s="267"/>
      <c r="CZ235" s="267"/>
      <c r="DA235" s="267">
        <v>6</v>
      </c>
      <c r="DB235" s="267"/>
      <c r="DC235" s="267"/>
      <c r="DD235" s="267">
        <v>40</v>
      </c>
      <c r="DE235" s="267"/>
      <c r="DF235" s="267"/>
      <c r="DG235" s="267"/>
      <c r="DH235" s="267"/>
      <c r="DI235" s="267"/>
      <c r="DJ235" s="268"/>
      <c r="DK235" s="268"/>
      <c r="DL235" s="268"/>
      <c r="DM235" s="268"/>
      <c r="DN235" s="268"/>
      <c r="DO235" s="268"/>
      <c r="DP235" s="268"/>
      <c r="DQ235" s="268"/>
      <c r="DR235" s="268"/>
      <c r="DS235" s="268"/>
      <c r="DT235" s="268"/>
      <c r="DU235" s="268"/>
      <c r="DV235" s="268"/>
      <c r="DW235" s="268"/>
      <c r="DX235" s="268"/>
      <c r="DY235" s="268"/>
      <c r="EA235" s="13"/>
      <c r="EB235" s="96"/>
      <c r="EC235" s="96"/>
      <c r="ED235" s="96"/>
      <c r="EE235" s="96"/>
      <c r="EF235" s="96"/>
      <c r="EG235" s="96"/>
      <c r="EH235" s="96"/>
      <c r="EI235" s="96"/>
      <c r="EJ235" s="96"/>
      <c r="EK235" s="96"/>
      <c r="EL235" s="96"/>
      <c r="EM235" s="96"/>
      <c r="EN235" s="96"/>
      <c r="EO235" s="96"/>
      <c r="EP235" s="96"/>
      <c r="EQ235" s="96"/>
      <c r="ER235" s="96"/>
      <c r="ES235" s="96"/>
      <c r="ET235" s="96"/>
      <c r="EU235" s="96"/>
      <c r="EV235" s="96"/>
      <c r="EW235" s="96"/>
      <c r="EX235" s="96"/>
      <c r="EY235" s="96"/>
      <c r="EZ235" s="96"/>
      <c r="FA235" s="96"/>
      <c r="FB235" s="96"/>
      <c r="FC235" s="96"/>
      <c r="FD235" s="96"/>
      <c r="FE235" s="96"/>
      <c r="FF235" s="96"/>
      <c r="FG235" s="96"/>
      <c r="FH235" s="96"/>
      <c r="FI235" s="96"/>
      <c r="FJ235" s="96"/>
      <c r="FK235" s="96"/>
      <c r="FL235" s="96"/>
      <c r="FM235" s="96"/>
      <c r="FN235" s="96"/>
      <c r="FO235" s="96"/>
      <c r="FP235" s="96"/>
      <c r="FQ235" s="96"/>
      <c r="FR235" s="96"/>
      <c r="FS235" s="96"/>
      <c r="FT235" s="96"/>
      <c r="FU235" s="96"/>
      <c r="FV235" s="96"/>
      <c r="FW235" s="96"/>
      <c r="FX235" s="96"/>
      <c r="FY235" s="96"/>
      <c r="FZ235" s="96"/>
      <c r="GA235" s="96"/>
      <c r="GB235" s="96"/>
      <c r="GC235" s="96"/>
      <c r="GD235" s="96"/>
      <c r="GE235" s="96"/>
      <c r="GF235" s="96"/>
      <c r="GG235" s="96"/>
      <c r="GH235" s="96"/>
      <c r="GI235" s="96"/>
      <c r="GJ235" s="96"/>
      <c r="GK235" s="96"/>
      <c r="GL235" s="96"/>
      <c r="GM235" s="13"/>
      <c r="GN235" s="96"/>
      <c r="GO235" s="96"/>
      <c r="GP235" s="96"/>
      <c r="GQ235" s="96"/>
      <c r="GR235" s="96"/>
      <c r="GS235" s="96"/>
      <c r="GT235" s="96"/>
      <c r="GU235" s="96"/>
      <c r="GV235" s="96"/>
      <c r="GW235" s="96"/>
      <c r="GX235" s="96"/>
      <c r="GY235" s="96"/>
      <c r="GZ235" s="96"/>
      <c r="HA235" s="96"/>
      <c r="HB235" s="96"/>
      <c r="HC235" s="13"/>
      <c r="HD235" s="96"/>
      <c r="HE235" s="96"/>
      <c r="HF235" s="96"/>
      <c r="HG235" s="96"/>
      <c r="HH235" s="96"/>
      <c r="HI235" s="96"/>
      <c r="HJ235" s="96"/>
      <c r="HK235" s="96"/>
      <c r="HL235" s="96"/>
      <c r="HM235" s="96"/>
      <c r="HN235" s="96"/>
      <c r="HO235" s="96"/>
      <c r="HP235" s="96"/>
      <c r="HQ235" s="96"/>
      <c r="HR235" s="96"/>
      <c r="HS235" s="13"/>
      <c r="HT235" s="96"/>
      <c r="HU235" s="96"/>
      <c r="HV235" s="96"/>
      <c r="HW235" s="96"/>
      <c r="HX235" s="96"/>
      <c r="HY235" s="96"/>
      <c r="HZ235" s="96"/>
      <c r="IA235" s="96"/>
      <c r="IB235" s="96"/>
      <c r="IC235" s="96"/>
      <c r="ID235" s="96"/>
      <c r="IE235" s="96"/>
      <c r="IF235" s="96"/>
      <c r="IG235" s="96"/>
      <c r="IH235" s="96"/>
      <c r="II235" s="13"/>
      <c r="IJ235" s="96"/>
      <c r="IK235" s="96"/>
      <c r="IL235" s="96"/>
      <c r="IM235" s="96"/>
      <c r="IN235" s="96"/>
      <c r="IO235" s="96"/>
      <c r="IP235" s="96"/>
      <c r="IQ235" s="96"/>
      <c r="IR235" s="96"/>
      <c r="IS235" s="96"/>
      <c r="IT235" s="96"/>
      <c r="IU235" s="96"/>
      <c r="IV235" s="96"/>
      <c r="IW235" s="96"/>
      <c r="IX235" s="96"/>
      <c r="IY235" s="13"/>
    </row>
    <row r="236" spans="1:259" outlineLevel="1">
      <c r="A236" s="11">
        <f>'VAC &amp; MED'!C233</f>
        <v>46219</v>
      </c>
      <c r="B236" s="261"/>
      <c r="C236" s="261"/>
      <c r="D236" s="261"/>
      <c r="E236" s="261"/>
      <c r="F236" s="261"/>
      <c r="G236" s="261"/>
      <c r="H236" s="261"/>
      <c r="I236" s="261"/>
      <c r="J236" s="261"/>
      <c r="K236" s="261"/>
      <c r="L236" s="261"/>
      <c r="M236" s="261"/>
      <c r="N236" s="261"/>
      <c r="O236" s="261"/>
      <c r="P236" s="261"/>
      <c r="Q236" s="261"/>
      <c r="R236" s="262"/>
      <c r="S236" s="262"/>
      <c r="T236" s="262"/>
      <c r="U236" s="262"/>
      <c r="V236" s="262"/>
      <c r="W236" s="262"/>
      <c r="X236" s="262"/>
      <c r="Y236" s="262"/>
      <c r="Z236" s="262"/>
      <c r="AA236" s="262"/>
      <c r="AB236" s="262"/>
      <c r="AC236" s="262"/>
      <c r="AD236" s="262"/>
      <c r="AE236" s="262"/>
      <c r="AF236" s="262"/>
      <c r="AG236" s="262"/>
      <c r="AH236" s="263"/>
      <c r="AI236" s="263"/>
      <c r="AJ236" s="263"/>
      <c r="AK236" s="263"/>
      <c r="AL236" s="263"/>
      <c r="AM236" s="263"/>
      <c r="AN236" s="263"/>
      <c r="AO236" s="263"/>
      <c r="AP236" s="263"/>
      <c r="AQ236" s="263"/>
      <c r="AR236" s="263"/>
      <c r="AS236" s="263"/>
      <c r="AT236" s="263"/>
      <c r="AU236" s="263"/>
      <c r="AV236" s="263"/>
      <c r="AW236" s="263"/>
      <c r="AX236" s="264"/>
      <c r="AY236" s="264"/>
      <c r="AZ236" s="264"/>
      <c r="BA236" s="264"/>
      <c r="BB236" s="264"/>
      <c r="BC236" s="264"/>
      <c r="BD236" s="264"/>
      <c r="BE236" s="264"/>
      <c r="BF236" s="264"/>
      <c r="BG236" s="264"/>
      <c r="BH236" s="264"/>
      <c r="BI236" s="264"/>
      <c r="BJ236" s="264"/>
      <c r="BK236" s="264"/>
      <c r="BL236" s="264"/>
      <c r="BM236" s="264"/>
      <c r="BN236" s="265"/>
      <c r="BO236" s="265"/>
      <c r="BP236" s="265"/>
      <c r="BQ236" s="265"/>
      <c r="BR236" s="265"/>
      <c r="BS236" s="265"/>
      <c r="BT236" s="265"/>
      <c r="BU236" s="265"/>
      <c r="BV236" s="265"/>
      <c r="BW236" s="265"/>
      <c r="BX236" s="265">
        <v>16</v>
      </c>
      <c r="BY236" s="265"/>
      <c r="BZ236" s="265"/>
      <c r="CA236" s="265"/>
      <c r="CB236" s="265"/>
      <c r="CC236" s="265"/>
      <c r="CD236" s="266"/>
      <c r="CE236" s="266"/>
      <c r="CF236" s="266"/>
      <c r="CG236" s="266"/>
      <c r="CH236" s="266"/>
      <c r="CI236" s="266"/>
      <c r="CJ236" s="266"/>
      <c r="CK236" s="266"/>
      <c r="CL236" s="266"/>
      <c r="CM236" s="266"/>
      <c r="CN236" s="266"/>
      <c r="CO236" s="266"/>
      <c r="CP236" s="266"/>
      <c r="CQ236" s="266"/>
      <c r="CR236" s="266"/>
      <c r="CS236" s="266"/>
      <c r="CT236" s="267"/>
      <c r="CU236" s="267"/>
      <c r="CV236" s="267"/>
      <c r="CW236" s="267"/>
      <c r="CX236" s="267"/>
      <c r="CY236" s="267"/>
      <c r="CZ236" s="267"/>
      <c r="DA236" s="267"/>
      <c r="DB236" s="267"/>
      <c r="DC236" s="267"/>
      <c r="DD236" s="267"/>
      <c r="DE236" s="267"/>
      <c r="DF236" s="267"/>
      <c r="DG236" s="267"/>
      <c r="DH236" s="267">
        <v>60</v>
      </c>
      <c r="DI236" s="267"/>
      <c r="DJ236" s="268"/>
      <c r="DK236" s="268"/>
      <c r="DL236" s="268"/>
      <c r="DM236" s="268"/>
      <c r="DN236" s="268"/>
      <c r="DO236" s="268"/>
      <c r="DP236" s="268"/>
      <c r="DQ236" s="268"/>
      <c r="DR236" s="268"/>
      <c r="DS236" s="268"/>
      <c r="DT236" s="268"/>
      <c r="DU236" s="268"/>
      <c r="DV236" s="268"/>
      <c r="DW236" s="268"/>
      <c r="DX236" s="268"/>
      <c r="DY236" s="268"/>
      <c r="EA236" s="13"/>
      <c r="EB236" s="96"/>
      <c r="EC236" s="96"/>
      <c r="ED236" s="96"/>
      <c r="EE236" s="96"/>
      <c r="EF236" s="96"/>
      <c r="EG236" s="96"/>
      <c r="EH236" s="96"/>
      <c r="EI236" s="96"/>
      <c r="EJ236" s="96"/>
      <c r="EK236" s="96"/>
      <c r="EL236" s="96"/>
      <c r="EM236" s="96"/>
      <c r="EN236" s="96"/>
      <c r="EO236" s="96"/>
      <c r="EP236" s="96"/>
      <c r="EQ236" s="96"/>
      <c r="ER236" s="96"/>
      <c r="ES236" s="96"/>
      <c r="ET236" s="96"/>
      <c r="EU236" s="96"/>
      <c r="EV236" s="96"/>
      <c r="EW236" s="96"/>
      <c r="EX236" s="96"/>
      <c r="EY236" s="96"/>
      <c r="EZ236" s="96"/>
      <c r="FA236" s="96"/>
      <c r="FB236" s="96"/>
      <c r="FC236" s="96"/>
      <c r="FD236" s="96"/>
      <c r="FE236" s="96"/>
      <c r="FF236" s="96"/>
      <c r="FG236" s="96"/>
      <c r="FH236" s="96"/>
      <c r="FI236" s="96"/>
      <c r="FJ236" s="96"/>
      <c r="FK236" s="96"/>
      <c r="FL236" s="96"/>
      <c r="FM236" s="96"/>
      <c r="FN236" s="96"/>
      <c r="FO236" s="96"/>
      <c r="FP236" s="96"/>
      <c r="FQ236" s="96"/>
      <c r="FR236" s="96"/>
      <c r="FS236" s="96"/>
      <c r="FT236" s="96"/>
      <c r="FU236" s="96"/>
      <c r="FV236" s="96"/>
      <c r="FW236" s="96"/>
      <c r="FX236" s="96"/>
      <c r="FY236" s="96"/>
      <c r="FZ236" s="96"/>
      <c r="GA236" s="96"/>
      <c r="GB236" s="96"/>
      <c r="GC236" s="96"/>
      <c r="GD236" s="96"/>
      <c r="GE236" s="96"/>
      <c r="GF236" s="96"/>
      <c r="GG236" s="96"/>
      <c r="GH236" s="96"/>
      <c r="GI236" s="96"/>
      <c r="GJ236" s="96"/>
      <c r="GK236" s="96"/>
      <c r="GL236" s="96"/>
      <c r="GM236" s="13"/>
      <c r="GN236" s="96"/>
      <c r="GO236" s="96"/>
      <c r="GP236" s="96"/>
      <c r="GQ236" s="96"/>
      <c r="GR236" s="96"/>
      <c r="GS236" s="96"/>
      <c r="GT236" s="96"/>
      <c r="GU236" s="96"/>
      <c r="GV236" s="96"/>
      <c r="GW236" s="96"/>
      <c r="GX236" s="96"/>
      <c r="GY236" s="96"/>
      <c r="GZ236" s="96"/>
      <c r="HA236" s="96"/>
      <c r="HB236" s="96"/>
      <c r="HC236" s="13"/>
      <c r="HD236" s="96"/>
      <c r="HE236" s="96"/>
      <c r="HF236" s="96"/>
      <c r="HG236" s="96"/>
      <c r="HH236" s="96"/>
      <c r="HI236" s="96"/>
      <c r="HJ236" s="96"/>
      <c r="HK236" s="96"/>
      <c r="HL236" s="96"/>
      <c r="HM236" s="96"/>
      <c r="HN236" s="96"/>
      <c r="HO236" s="96"/>
      <c r="HP236" s="96"/>
      <c r="HQ236" s="96"/>
      <c r="HR236" s="96"/>
      <c r="HS236" s="13"/>
      <c r="HT236" s="96"/>
      <c r="HU236" s="96"/>
      <c r="HV236" s="96"/>
      <c r="HW236" s="96"/>
      <c r="HX236" s="96"/>
      <c r="HY236" s="96"/>
      <c r="HZ236" s="96"/>
      <c r="IA236" s="96"/>
      <c r="IB236" s="96"/>
      <c r="IC236" s="96"/>
      <c r="ID236" s="96"/>
      <c r="IE236" s="96"/>
      <c r="IF236" s="96"/>
      <c r="IG236" s="96"/>
      <c r="IH236" s="96"/>
      <c r="II236" s="13"/>
      <c r="IJ236" s="96"/>
      <c r="IK236" s="96"/>
      <c r="IL236" s="96"/>
      <c r="IM236" s="96"/>
      <c r="IN236" s="96"/>
      <c r="IO236" s="96"/>
      <c r="IP236" s="96"/>
      <c r="IQ236" s="96"/>
      <c r="IR236" s="96"/>
      <c r="IS236" s="96"/>
      <c r="IT236" s="96"/>
      <c r="IU236" s="96"/>
      <c r="IV236" s="96"/>
      <c r="IW236" s="96"/>
      <c r="IX236" s="96"/>
      <c r="IY236" s="13"/>
    </row>
    <row r="237" spans="1:259" outlineLevel="1">
      <c r="A237" s="11">
        <f>'VAC &amp; MED'!C234</f>
        <v>46220</v>
      </c>
      <c r="B237" s="261"/>
      <c r="C237" s="261"/>
      <c r="D237" s="261"/>
      <c r="E237" s="261"/>
      <c r="F237" s="261"/>
      <c r="G237" s="261"/>
      <c r="H237" s="261"/>
      <c r="I237" s="261"/>
      <c r="J237" s="261"/>
      <c r="K237" s="261"/>
      <c r="L237" s="261"/>
      <c r="M237" s="261"/>
      <c r="N237" s="261"/>
      <c r="O237" s="261"/>
      <c r="P237" s="261"/>
      <c r="Q237" s="261"/>
      <c r="R237" s="262"/>
      <c r="S237" s="262"/>
      <c r="T237" s="262"/>
      <c r="U237" s="262"/>
      <c r="V237" s="262"/>
      <c r="W237" s="262"/>
      <c r="X237" s="262"/>
      <c r="Y237" s="262"/>
      <c r="Z237" s="262"/>
      <c r="AA237" s="262"/>
      <c r="AB237" s="262"/>
      <c r="AC237" s="262"/>
      <c r="AD237" s="262"/>
      <c r="AE237" s="262"/>
      <c r="AF237" s="262"/>
      <c r="AG237" s="262"/>
      <c r="AH237" s="263"/>
      <c r="AI237" s="263"/>
      <c r="AJ237" s="263"/>
      <c r="AK237" s="263"/>
      <c r="AL237" s="263"/>
      <c r="AM237" s="263"/>
      <c r="AN237" s="263"/>
      <c r="AO237" s="263"/>
      <c r="AP237" s="263"/>
      <c r="AQ237" s="263"/>
      <c r="AR237" s="263"/>
      <c r="AS237" s="263"/>
      <c r="AT237" s="263"/>
      <c r="AU237" s="263"/>
      <c r="AV237" s="263"/>
      <c r="AW237" s="263"/>
      <c r="AX237" s="264"/>
      <c r="AY237" s="264"/>
      <c r="AZ237" s="264"/>
      <c r="BA237" s="264"/>
      <c r="BB237" s="264"/>
      <c r="BC237" s="264"/>
      <c r="BD237" s="264"/>
      <c r="BE237" s="264"/>
      <c r="BF237" s="264"/>
      <c r="BG237" s="264"/>
      <c r="BH237" s="264"/>
      <c r="BI237" s="264"/>
      <c r="BJ237" s="264"/>
      <c r="BK237" s="264"/>
      <c r="BL237" s="264"/>
      <c r="BM237" s="264"/>
      <c r="BN237" s="265"/>
      <c r="BO237" s="265"/>
      <c r="BP237" s="265"/>
      <c r="BQ237" s="265"/>
      <c r="BR237" s="265"/>
      <c r="BS237" s="265"/>
      <c r="BT237" s="265"/>
      <c r="BU237" s="265"/>
      <c r="BV237" s="265"/>
      <c r="BW237" s="265"/>
      <c r="BX237" s="265"/>
      <c r="BY237" s="265"/>
      <c r="BZ237" s="265"/>
      <c r="CA237" s="265"/>
      <c r="CB237" s="265"/>
      <c r="CC237" s="265"/>
      <c r="CD237" s="266"/>
      <c r="CE237" s="266"/>
      <c r="CF237" s="266"/>
      <c r="CG237" s="266"/>
      <c r="CH237" s="266"/>
      <c r="CI237" s="266"/>
      <c r="CJ237" s="266"/>
      <c r="CK237" s="266"/>
      <c r="CL237" s="266"/>
      <c r="CM237" s="266"/>
      <c r="CN237" s="266"/>
      <c r="CO237" s="266"/>
      <c r="CP237" s="266"/>
      <c r="CQ237" s="266"/>
      <c r="CR237" s="266"/>
      <c r="CS237" s="266"/>
      <c r="CT237" s="267"/>
      <c r="CU237" s="267"/>
      <c r="CV237" s="267"/>
      <c r="CW237" s="267"/>
      <c r="CX237" s="267"/>
      <c r="CY237" s="267"/>
      <c r="CZ237" s="267"/>
      <c r="DA237" s="267"/>
      <c r="DB237" s="267"/>
      <c r="DC237" s="267"/>
      <c r="DD237" s="267">
        <v>30</v>
      </c>
      <c r="DE237" s="267"/>
      <c r="DF237" s="267"/>
      <c r="DG237" s="267"/>
      <c r="DH237" s="267"/>
      <c r="DI237" s="267"/>
      <c r="DJ237" s="268"/>
      <c r="DK237" s="268"/>
      <c r="DL237" s="268"/>
      <c r="DM237" s="268"/>
      <c r="DN237" s="268"/>
      <c r="DO237" s="268"/>
      <c r="DP237" s="268"/>
      <c r="DQ237" s="268"/>
      <c r="DR237" s="268"/>
      <c r="DS237" s="268"/>
      <c r="DT237" s="268"/>
      <c r="DU237" s="268"/>
      <c r="DV237" s="268"/>
      <c r="DW237" s="268"/>
      <c r="DX237" s="268"/>
      <c r="DY237" s="268"/>
      <c r="EA237" s="13"/>
      <c r="EB237" s="96"/>
      <c r="EC237" s="96"/>
      <c r="ED237" s="96"/>
      <c r="EE237" s="96"/>
      <c r="EF237" s="96"/>
      <c r="EG237" s="96"/>
      <c r="EH237" s="96"/>
      <c r="EI237" s="96"/>
      <c r="EJ237" s="96"/>
      <c r="EK237" s="96"/>
      <c r="EL237" s="96"/>
      <c r="EM237" s="96"/>
      <c r="EN237" s="96"/>
      <c r="EO237" s="96"/>
      <c r="EP237" s="96"/>
      <c r="EQ237" s="96"/>
      <c r="ER237" s="96"/>
      <c r="ES237" s="96"/>
      <c r="ET237" s="96"/>
      <c r="EU237" s="96"/>
      <c r="EV237" s="96"/>
      <c r="EW237" s="96"/>
      <c r="EX237" s="96"/>
      <c r="EY237" s="96"/>
      <c r="EZ237" s="96"/>
      <c r="FA237" s="96"/>
      <c r="FB237" s="96"/>
      <c r="FC237" s="96"/>
      <c r="FD237" s="96"/>
      <c r="FE237" s="96"/>
      <c r="FF237" s="96"/>
      <c r="FG237" s="96"/>
      <c r="FH237" s="96"/>
      <c r="FI237" s="96"/>
      <c r="FJ237" s="96"/>
      <c r="FK237" s="96"/>
      <c r="FL237" s="96"/>
      <c r="FM237" s="96"/>
      <c r="FN237" s="96"/>
      <c r="FO237" s="96"/>
      <c r="FP237" s="96"/>
      <c r="FQ237" s="96"/>
      <c r="FR237" s="96"/>
      <c r="FS237" s="96"/>
      <c r="FT237" s="96"/>
      <c r="FU237" s="96"/>
      <c r="FV237" s="96"/>
      <c r="FW237" s="96"/>
      <c r="FX237" s="96"/>
      <c r="FY237" s="96"/>
      <c r="FZ237" s="96"/>
      <c r="GA237" s="96"/>
      <c r="GB237" s="96"/>
      <c r="GC237" s="96"/>
      <c r="GD237" s="96"/>
      <c r="GE237" s="96"/>
      <c r="GF237" s="96"/>
      <c r="GG237" s="96"/>
      <c r="GH237" s="96"/>
      <c r="GI237" s="96"/>
      <c r="GJ237" s="96"/>
      <c r="GK237" s="96"/>
      <c r="GL237" s="96"/>
      <c r="GM237" s="13"/>
      <c r="GN237" s="96"/>
      <c r="GO237" s="96"/>
      <c r="GP237" s="96"/>
      <c r="GQ237" s="96"/>
      <c r="GR237" s="96"/>
      <c r="GS237" s="96"/>
      <c r="GT237" s="96"/>
      <c r="GU237" s="96"/>
      <c r="GV237" s="96"/>
      <c r="GW237" s="96"/>
      <c r="GX237" s="96"/>
      <c r="GY237" s="96"/>
      <c r="GZ237" s="96"/>
      <c r="HA237" s="96"/>
      <c r="HB237" s="96"/>
      <c r="HC237" s="13"/>
      <c r="HD237" s="96"/>
      <c r="HE237" s="96"/>
      <c r="HF237" s="96"/>
      <c r="HG237" s="96"/>
      <c r="HH237" s="96"/>
      <c r="HI237" s="96"/>
      <c r="HJ237" s="96"/>
      <c r="HK237" s="96"/>
      <c r="HL237" s="96"/>
      <c r="HM237" s="96"/>
      <c r="HN237" s="96"/>
      <c r="HO237" s="96"/>
      <c r="HP237" s="96"/>
      <c r="HQ237" s="96"/>
      <c r="HR237" s="96"/>
      <c r="HS237" s="13"/>
      <c r="HT237" s="96"/>
      <c r="HU237" s="96"/>
      <c r="HV237" s="96"/>
      <c r="HW237" s="96"/>
      <c r="HX237" s="96"/>
      <c r="HY237" s="96"/>
      <c r="HZ237" s="96"/>
      <c r="IA237" s="96"/>
      <c r="IB237" s="96"/>
      <c r="IC237" s="96"/>
      <c r="ID237" s="96"/>
      <c r="IE237" s="96"/>
      <c r="IF237" s="96"/>
      <c r="IG237" s="96"/>
      <c r="IH237" s="96"/>
      <c r="II237" s="13"/>
      <c r="IJ237" s="96"/>
      <c r="IK237" s="96"/>
      <c r="IL237" s="96"/>
      <c r="IM237" s="96"/>
      <c r="IN237" s="96"/>
      <c r="IO237" s="96"/>
      <c r="IP237" s="96"/>
      <c r="IQ237" s="96"/>
      <c r="IR237" s="96"/>
      <c r="IS237" s="96"/>
      <c r="IT237" s="96"/>
      <c r="IU237" s="96"/>
      <c r="IV237" s="96"/>
      <c r="IW237" s="96"/>
      <c r="IX237" s="96"/>
      <c r="IY237" s="13"/>
    </row>
    <row r="238" spans="1:259" outlineLevel="1">
      <c r="A238" s="11">
        <f>'VAC &amp; MED'!C235</f>
        <v>46221</v>
      </c>
      <c r="B238" s="261"/>
      <c r="C238" s="261"/>
      <c r="D238" s="261"/>
      <c r="E238" s="261"/>
      <c r="F238" s="261"/>
      <c r="G238" s="261"/>
      <c r="H238" s="261"/>
      <c r="I238" s="261"/>
      <c r="J238" s="261"/>
      <c r="K238" s="261"/>
      <c r="L238" s="261"/>
      <c r="M238" s="261"/>
      <c r="N238" s="261"/>
      <c r="O238" s="261"/>
      <c r="P238" s="261"/>
      <c r="Q238" s="261"/>
      <c r="R238" s="262"/>
      <c r="S238" s="262"/>
      <c r="T238" s="262"/>
      <c r="U238" s="262"/>
      <c r="V238" s="262"/>
      <c r="W238" s="262"/>
      <c r="X238" s="262"/>
      <c r="Y238" s="262"/>
      <c r="Z238" s="262"/>
      <c r="AA238" s="262"/>
      <c r="AB238" s="262"/>
      <c r="AC238" s="262"/>
      <c r="AD238" s="262"/>
      <c r="AE238" s="262"/>
      <c r="AF238" s="262"/>
      <c r="AG238" s="262"/>
      <c r="AH238" s="263"/>
      <c r="AI238" s="263"/>
      <c r="AJ238" s="263"/>
      <c r="AK238" s="263"/>
      <c r="AL238" s="263"/>
      <c r="AM238" s="263"/>
      <c r="AN238" s="263"/>
      <c r="AO238" s="263"/>
      <c r="AP238" s="263"/>
      <c r="AQ238" s="263"/>
      <c r="AR238" s="263"/>
      <c r="AS238" s="263"/>
      <c r="AT238" s="263"/>
      <c r="AU238" s="263"/>
      <c r="AV238" s="263"/>
      <c r="AW238" s="263"/>
      <c r="AX238" s="264"/>
      <c r="AY238" s="264"/>
      <c r="AZ238" s="264"/>
      <c r="BA238" s="264"/>
      <c r="BB238" s="264"/>
      <c r="BC238" s="264"/>
      <c r="BD238" s="264"/>
      <c r="BE238" s="264"/>
      <c r="BF238" s="264"/>
      <c r="BG238" s="264"/>
      <c r="BH238" s="264"/>
      <c r="BI238" s="264"/>
      <c r="BJ238" s="264"/>
      <c r="BK238" s="264"/>
      <c r="BL238" s="264"/>
      <c r="BM238" s="264"/>
      <c r="BN238" s="265"/>
      <c r="BO238" s="265">
        <v>16</v>
      </c>
      <c r="BP238" s="265"/>
      <c r="BQ238" s="265"/>
      <c r="BR238" s="265"/>
      <c r="BS238" s="265"/>
      <c r="BT238" s="265"/>
      <c r="BU238" s="265">
        <v>12</v>
      </c>
      <c r="BV238" s="265"/>
      <c r="BW238" s="265"/>
      <c r="BX238" s="265">
        <v>4</v>
      </c>
      <c r="BY238" s="265"/>
      <c r="BZ238" s="265"/>
      <c r="CA238" s="265"/>
      <c r="CB238" s="265"/>
      <c r="CC238" s="265"/>
      <c r="CD238" s="266"/>
      <c r="CE238" s="266"/>
      <c r="CF238" s="266"/>
      <c r="CG238" s="266"/>
      <c r="CH238" s="266"/>
      <c r="CI238" s="266"/>
      <c r="CJ238" s="266"/>
      <c r="CK238" s="266"/>
      <c r="CL238" s="266"/>
      <c r="CM238" s="266"/>
      <c r="CN238" s="266"/>
      <c r="CO238" s="266"/>
      <c r="CP238" s="266"/>
      <c r="CQ238" s="266"/>
      <c r="CR238" s="266"/>
      <c r="CS238" s="266"/>
      <c r="CT238" s="267"/>
      <c r="CU238" s="267"/>
      <c r="CV238" s="267"/>
      <c r="CW238" s="267"/>
      <c r="CX238" s="267"/>
      <c r="CY238" s="267"/>
      <c r="CZ238" s="267"/>
      <c r="DA238" s="267">
        <v>10</v>
      </c>
      <c r="DB238" s="267"/>
      <c r="DC238" s="267"/>
      <c r="DD238" s="267">
        <v>10</v>
      </c>
      <c r="DE238" s="267"/>
      <c r="DF238" s="267"/>
      <c r="DG238" s="267"/>
      <c r="DH238" s="267"/>
      <c r="DI238" s="267"/>
      <c r="DJ238" s="268"/>
      <c r="DK238" s="268"/>
      <c r="DL238" s="268"/>
      <c r="DM238" s="268"/>
      <c r="DN238" s="268"/>
      <c r="DO238" s="268"/>
      <c r="DP238" s="268"/>
      <c r="DQ238" s="268"/>
      <c r="DR238" s="268"/>
      <c r="DS238" s="268"/>
      <c r="DT238" s="268"/>
      <c r="DU238" s="268"/>
      <c r="DV238" s="268"/>
      <c r="DW238" s="268"/>
      <c r="DX238" s="268"/>
      <c r="DY238" s="268"/>
      <c r="EA238" s="13"/>
      <c r="EB238" s="96"/>
      <c r="EC238" s="96"/>
      <c r="ED238" s="96"/>
      <c r="EE238" s="96"/>
      <c r="EF238" s="96"/>
      <c r="EG238" s="96"/>
      <c r="EH238" s="96"/>
      <c r="EI238" s="96"/>
      <c r="EJ238" s="96"/>
      <c r="EK238" s="96"/>
      <c r="EL238" s="96"/>
      <c r="EM238" s="96"/>
      <c r="EN238" s="96"/>
      <c r="EO238" s="96"/>
      <c r="EP238" s="96"/>
      <c r="EQ238" s="96"/>
      <c r="ER238" s="96"/>
      <c r="ES238" s="96"/>
      <c r="ET238" s="96"/>
      <c r="EU238" s="96"/>
      <c r="EV238" s="96"/>
      <c r="EW238" s="96"/>
      <c r="EX238" s="96"/>
      <c r="EY238" s="96"/>
      <c r="EZ238" s="96"/>
      <c r="FA238" s="96"/>
      <c r="FB238" s="96"/>
      <c r="FC238" s="96"/>
      <c r="FD238" s="96"/>
      <c r="FE238" s="96"/>
      <c r="FF238" s="96"/>
      <c r="FG238" s="96"/>
      <c r="FH238" s="96"/>
      <c r="FI238" s="96"/>
      <c r="FJ238" s="96"/>
      <c r="FK238" s="96"/>
      <c r="FL238" s="96"/>
      <c r="FM238" s="96"/>
      <c r="FN238" s="96"/>
      <c r="FO238" s="96"/>
      <c r="FP238" s="96"/>
      <c r="FQ238" s="96"/>
      <c r="FR238" s="96"/>
      <c r="FS238" s="96"/>
      <c r="FT238" s="96"/>
      <c r="FU238" s="96"/>
      <c r="FV238" s="96"/>
      <c r="FW238" s="96"/>
      <c r="FX238" s="96"/>
      <c r="FY238" s="96"/>
      <c r="FZ238" s="96"/>
      <c r="GA238" s="96"/>
      <c r="GB238" s="96"/>
      <c r="GC238" s="96"/>
      <c r="GD238" s="96"/>
      <c r="GE238" s="96"/>
      <c r="GF238" s="96"/>
      <c r="GG238" s="96"/>
      <c r="GH238" s="96"/>
      <c r="GI238" s="96"/>
      <c r="GJ238" s="96"/>
      <c r="GK238" s="96"/>
      <c r="GL238" s="96"/>
      <c r="GM238" s="13"/>
      <c r="GN238" s="96"/>
      <c r="GO238" s="96"/>
      <c r="GP238" s="96"/>
      <c r="GQ238" s="96"/>
      <c r="GR238" s="96"/>
      <c r="GS238" s="96"/>
      <c r="GT238" s="96"/>
      <c r="GU238" s="96"/>
      <c r="GV238" s="96"/>
      <c r="GW238" s="96"/>
      <c r="GX238" s="96"/>
      <c r="GY238" s="96"/>
      <c r="GZ238" s="96"/>
      <c r="HA238" s="96"/>
      <c r="HB238" s="96"/>
      <c r="HC238" s="13"/>
      <c r="HD238" s="96"/>
      <c r="HE238" s="96"/>
      <c r="HF238" s="96"/>
      <c r="HG238" s="96"/>
      <c r="HH238" s="96"/>
      <c r="HI238" s="96"/>
      <c r="HJ238" s="96"/>
      <c r="HK238" s="96"/>
      <c r="HL238" s="96"/>
      <c r="HM238" s="96"/>
      <c r="HN238" s="96"/>
      <c r="HO238" s="96"/>
      <c r="HP238" s="96"/>
      <c r="HQ238" s="96"/>
      <c r="HR238" s="96"/>
      <c r="HS238" s="13"/>
      <c r="HT238" s="96"/>
      <c r="HU238" s="96"/>
      <c r="HV238" s="96"/>
      <c r="HW238" s="96"/>
      <c r="HX238" s="96"/>
      <c r="HY238" s="96"/>
      <c r="HZ238" s="96"/>
      <c r="IA238" s="96"/>
      <c r="IB238" s="96"/>
      <c r="IC238" s="96"/>
      <c r="ID238" s="96"/>
      <c r="IE238" s="96"/>
      <c r="IF238" s="96"/>
      <c r="IG238" s="96"/>
      <c r="IH238" s="96"/>
      <c r="II238" s="13"/>
      <c r="IJ238" s="96"/>
      <c r="IK238" s="96"/>
      <c r="IL238" s="96"/>
      <c r="IM238" s="96"/>
      <c r="IN238" s="96"/>
      <c r="IO238" s="96"/>
      <c r="IP238" s="96"/>
      <c r="IQ238" s="96"/>
      <c r="IR238" s="96"/>
      <c r="IS238" s="96"/>
      <c r="IT238" s="96"/>
      <c r="IU238" s="96"/>
      <c r="IV238" s="96"/>
      <c r="IW238" s="96"/>
      <c r="IX238" s="96"/>
      <c r="IY238" s="13"/>
    </row>
    <row r="239" spans="1:259" outlineLevel="1">
      <c r="A239" s="11">
        <f>'VAC &amp; MED'!C236</f>
        <v>46222</v>
      </c>
      <c r="B239" s="261"/>
      <c r="C239" s="261"/>
      <c r="D239" s="261"/>
      <c r="E239" s="261"/>
      <c r="F239" s="261"/>
      <c r="G239" s="261"/>
      <c r="H239" s="261"/>
      <c r="I239" s="261"/>
      <c r="J239" s="261"/>
      <c r="K239" s="261"/>
      <c r="L239" s="261"/>
      <c r="M239" s="261"/>
      <c r="N239" s="261"/>
      <c r="O239" s="261"/>
      <c r="P239" s="261"/>
      <c r="Q239" s="261"/>
      <c r="R239" s="262"/>
      <c r="S239" s="262"/>
      <c r="T239" s="262"/>
      <c r="U239" s="262"/>
      <c r="V239" s="262"/>
      <c r="W239" s="262"/>
      <c r="X239" s="262"/>
      <c r="Y239" s="262"/>
      <c r="Z239" s="262"/>
      <c r="AA239" s="262"/>
      <c r="AB239" s="262"/>
      <c r="AC239" s="262"/>
      <c r="AD239" s="262"/>
      <c r="AE239" s="262"/>
      <c r="AF239" s="262"/>
      <c r="AG239" s="262"/>
      <c r="AH239" s="263"/>
      <c r="AI239" s="263"/>
      <c r="AJ239" s="263"/>
      <c r="AK239" s="263"/>
      <c r="AL239" s="263"/>
      <c r="AM239" s="263"/>
      <c r="AN239" s="263"/>
      <c r="AO239" s="263"/>
      <c r="AP239" s="263"/>
      <c r="AQ239" s="263"/>
      <c r="AR239" s="263"/>
      <c r="AS239" s="263"/>
      <c r="AT239" s="263"/>
      <c r="AU239" s="263"/>
      <c r="AV239" s="263"/>
      <c r="AW239" s="263"/>
      <c r="AX239" s="264"/>
      <c r="AY239" s="264"/>
      <c r="AZ239" s="264"/>
      <c r="BA239" s="264"/>
      <c r="BB239" s="264"/>
      <c r="BC239" s="264"/>
      <c r="BD239" s="264"/>
      <c r="BE239" s="264"/>
      <c r="BF239" s="264"/>
      <c r="BG239" s="264"/>
      <c r="BH239" s="264"/>
      <c r="BI239" s="264"/>
      <c r="BJ239" s="264"/>
      <c r="BK239" s="264"/>
      <c r="BL239" s="264"/>
      <c r="BM239" s="264"/>
      <c r="BN239" s="265"/>
      <c r="BO239" s="265"/>
      <c r="BP239" s="265"/>
      <c r="BQ239" s="265"/>
      <c r="BR239" s="265"/>
      <c r="BS239" s="265"/>
      <c r="BT239" s="265"/>
      <c r="BU239" s="265"/>
      <c r="BV239" s="265"/>
      <c r="BW239" s="265"/>
      <c r="BX239" s="265"/>
      <c r="BY239" s="265"/>
      <c r="BZ239" s="265"/>
      <c r="CA239" s="265"/>
      <c r="CB239" s="265"/>
      <c r="CC239" s="265"/>
      <c r="CD239" s="266"/>
      <c r="CE239" s="266"/>
      <c r="CF239" s="266"/>
      <c r="CG239" s="266"/>
      <c r="CH239" s="266"/>
      <c r="CI239" s="266"/>
      <c r="CJ239" s="266"/>
      <c r="CK239" s="266"/>
      <c r="CL239" s="266"/>
      <c r="CM239" s="266"/>
      <c r="CN239" s="266"/>
      <c r="CO239" s="266"/>
      <c r="CP239" s="266"/>
      <c r="CQ239" s="266"/>
      <c r="CR239" s="266"/>
      <c r="CS239" s="266"/>
      <c r="CT239" s="267"/>
      <c r="CU239" s="267"/>
      <c r="CV239" s="267"/>
      <c r="CW239" s="267"/>
      <c r="CX239" s="267"/>
      <c r="CY239" s="267"/>
      <c r="CZ239" s="267"/>
      <c r="DA239" s="267"/>
      <c r="DB239" s="267"/>
      <c r="DC239" s="267"/>
      <c r="DD239" s="267"/>
      <c r="DE239" s="267"/>
      <c r="DF239" s="267"/>
      <c r="DG239" s="267"/>
      <c r="DH239" s="267"/>
      <c r="DI239" s="267"/>
      <c r="DJ239" s="268"/>
      <c r="DK239" s="268"/>
      <c r="DL239" s="268"/>
      <c r="DM239" s="268"/>
      <c r="DN239" s="268"/>
      <c r="DO239" s="268"/>
      <c r="DP239" s="268"/>
      <c r="DQ239" s="268"/>
      <c r="DR239" s="268"/>
      <c r="DS239" s="268"/>
      <c r="DT239" s="268"/>
      <c r="DU239" s="268"/>
      <c r="DV239" s="268"/>
      <c r="DW239" s="268"/>
      <c r="DX239" s="268"/>
      <c r="DY239" s="268"/>
      <c r="EA239" s="13"/>
      <c r="EB239" s="96"/>
      <c r="EC239" s="96"/>
      <c r="ED239" s="96"/>
      <c r="EE239" s="96"/>
      <c r="EF239" s="96"/>
      <c r="EG239" s="96"/>
      <c r="EH239" s="96"/>
      <c r="EI239" s="96"/>
      <c r="EJ239" s="96"/>
      <c r="EK239" s="96"/>
      <c r="EL239" s="96"/>
      <c r="EM239" s="96"/>
      <c r="EN239" s="96"/>
      <c r="EO239" s="96"/>
      <c r="EP239" s="96"/>
      <c r="EQ239" s="96"/>
      <c r="ER239" s="96"/>
      <c r="ES239" s="96"/>
      <c r="ET239" s="96"/>
      <c r="EU239" s="96"/>
      <c r="EV239" s="96"/>
      <c r="EW239" s="96"/>
      <c r="EX239" s="96"/>
      <c r="EY239" s="96"/>
      <c r="EZ239" s="96"/>
      <c r="FA239" s="96"/>
      <c r="FB239" s="96"/>
      <c r="FC239" s="96"/>
      <c r="FD239" s="96"/>
      <c r="FE239" s="96"/>
      <c r="FF239" s="96"/>
      <c r="FG239" s="96"/>
      <c r="FH239" s="96"/>
      <c r="FI239" s="96"/>
      <c r="FJ239" s="96"/>
      <c r="FK239" s="96"/>
      <c r="FL239" s="96"/>
      <c r="FM239" s="96"/>
      <c r="FN239" s="96"/>
      <c r="FO239" s="96"/>
      <c r="FP239" s="96"/>
      <c r="FQ239" s="96"/>
      <c r="FR239" s="96"/>
      <c r="FS239" s="96"/>
      <c r="FT239" s="96"/>
      <c r="FU239" s="96"/>
      <c r="FV239" s="96"/>
      <c r="FW239" s="96"/>
      <c r="FX239" s="96"/>
      <c r="FY239" s="96"/>
      <c r="FZ239" s="96"/>
      <c r="GA239" s="96"/>
      <c r="GB239" s="96"/>
      <c r="GC239" s="96"/>
      <c r="GD239" s="96"/>
      <c r="GE239" s="96"/>
      <c r="GF239" s="96"/>
      <c r="GG239" s="96"/>
      <c r="GH239" s="96"/>
      <c r="GI239" s="96"/>
      <c r="GJ239" s="96"/>
      <c r="GK239" s="96"/>
      <c r="GL239" s="96"/>
      <c r="GM239" s="13"/>
      <c r="GN239" s="96"/>
      <c r="GO239" s="96"/>
      <c r="GP239" s="96"/>
      <c r="GQ239" s="96"/>
      <c r="GR239" s="96"/>
      <c r="GS239" s="96"/>
      <c r="GT239" s="96"/>
      <c r="GU239" s="96"/>
      <c r="GV239" s="96"/>
      <c r="GW239" s="96"/>
      <c r="GX239" s="96"/>
      <c r="GY239" s="96"/>
      <c r="GZ239" s="96"/>
      <c r="HA239" s="96"/>
      <c r="HB239" s="96"/>
      <c r="HC239" s="13"/>
      <c r="HD239" s="96"/>
      <c r="HE239" s="96"/>
      <c r="HF239" s="96"/>
      <c r="HG239" s="96"/>
      <c r="HH239" s="96"/>
      <c r="HI239" s="96"/>
      <c r="HJ239" s="96"/>
      <c r="HK239" s="96"/>
      <c r="HL239" s="96"/>
      <c r="HM239" s="96"/>
      <c r="HN239" s="96"/>
      <c r="HO239" s="96"/>
      <c r="HP239" s="96"/>
      <c r="HQ239" s="96"/>
      <c r="HR239" s="96"/>
      <c r="HS239" s="13"/>
      <c r="HT239" s="96"/>
      <c r="HU239" s="96"/>
      <c r="HV239" s="96"/>
      <c r="HW239" s="96"/>
      <c r="HX239" s="96"/>
      <c r="HY239" s="96"/>
      <c r="HZ239" s="96"/>
      <c r="IA239" s="96"/>
      <c r="IB239" s="96"/>
      <c r="IC239" s="96"/>
      <c r="ID239" s="96"/>
      <c r="IE239" s="96"/>
      <c r="IF239" s="96"/>
      <c r="IG239" s="96"/>
      <c r="IH239" s="96"/>
      <c r="II239" s="13"/>
      <c r="IJ239" s="96"/>
      <c r="IK239" s="96"/>
      <c r="IL239" s="96"/>
      <c r="IM239" s="96"/>
      <c r="IN239" s="96"/>
      <c r="IO239" s="96"/>
      <c r="IP239" s="96"/>
      <c r="IQ239" s="96"/>
      <c r="IR239" s="96"/>
      <c r="IS239" s="96"/>
      <c r="IT239" s="96"/>
      <c r="IU239" s="96"/>
      <c r="IV239" s="96"/>
      <c r="IW239" s="96"/>
      <c r="IX239" s="96"/>
      <c r="IY239" s="13"/>
    </row>
    <row r="240" spans="1:259" outlineLevel="1">
      <c r="A240" s="11">
        <f>'VAC &amp; MED'!C237</f>
        <v>46223</v>
      </c>
      <c r="B240" s="261"/>
      <c r="C240" s="261"/>
      <c r="D240" s="261"/>
      <c r="E240" s="261"/>
      <c r="F240" s="261"/>
      <c r="G240" s="261"/>
      <c r="H240" s="261"/>
      <c r="I240" s="261"/>
      <c r="J240" s="261"/>
      <c r="K240" s="261"/>
      <c r="L240" s="261"/>
      <c r="M240" s="261"/>
      <c r="N240" s="261"/>
      <c r="O240" s="261"/>
      <c r="P240" s="261"/>
      <c r="Q240" s="261"/>
      <c r="R240" s="262"/>
      <c r="S240" s="262"/>
      <c r="T240" s="262"/>
      <c r="U240" s="262"/>
      <c r="V240" s="262"/>
      <c r="W240" s="262"/>
      <c r="X240" s="262"/>
      <c r="Y240" s="262"/>
      <c r="Z240" s="262"/>
      <c r="AA240" s="262"/>
      <c r="AB240" s="262"/>
      <c r="AC240" s="262"/>
      <c r="AD240" s="262"/>
      <c r="AE240" s="262"/>
      <c r="AF240" s="262"/>
      <c r="AG240" s="262"/>
      <c r="AH240" s="263"/>
      <c r="AI240" s="263"/>
      <c r="AJ240" s="263"/>
      <c r="AK240" s="263"/>
      <c r="AL240" s="263"/>
      <c r="AM240" s="263"/>
      <c r="AN240" s="263"/>
      <c r="AO240" s="263"/>
      <c r="AP240" s="263"/>
      <c r="AQ240" s="263"/>
      <c r="AR240" s="263"/>
      <c r="AS240" s="263"/>
      <c r="AT240" s="263"/>
      <c r="AU240" s="263"/>
      <c r="AV240" s="263"/>
      <c r="AW240" s="263"/>
      <c r="AX240" s="264"/>
      <c r="AY240" s="264"/>
      <c r="AZ240" s="264"/>
      <c r="BA240" s="264"/>
      <c r="BB240" s="264"/>
      <c r="BC240" s="264"/>
      <c r="BD240" s="264"/>
      <c r="BE240" s="264"/>
      <c r="BF240" s="264"/>
      <c r="BG240" s="264"/>
      <c r="BH240" s="264"/>
      <c r="BI240" s="264"/>
      <c r="BJ240" s="264"/>
      <c r="BK240" s="264"/>
      <c r="BL240" s="264"/>
      <c r="BM240" s="264"/>
      <c r="BN240" s="265"/>
      <c r="BO240" s="265"/>
      <c r="BP240" s="265"/>
      <c r="BQ240" s="265"/>
      <c r="BR240" s="265"/>
      <c r="BS240" s="265"/>
      <c r="BT240" s="265"/>
      <c r="BU240" s="265"/>
      <c r="BV240" s="265"/>
      <c r="BW240" s="265"/>
      <c r="BX240" s="265"/>
      <c r="BY240" s="265"/>
      <c r="BZ240" s="265"/>
      <c r="CA240" s="265"/>
      <c r="CB240" s="265"/>
      <c r="CC240" s="265"/>
      <c r="CD240" s="266"/>
      <c r="CE240" s="266"/>
      <c r="CF240" s="266"/>
      <c r="CG240" s="266"/>
      <c r="CH240" s="266"/>
      <c r="CI240" s="266"/>
      <c r="CJ240" s="266"/>
      <c r="CK240" s="266"/>
      <c r="CL240" s="266"/>
      <c r="CM240" s="266"/>
      <c r="CN240" s="266"/>
      <c r="CO240" s="266"/>
      <c r="CP240" s="266"/>
      <c r="CQ240" s="266"/>
      <c r="CR240" s="266"/>
      <c r="CS240" s="266"/>
      <c r="CT240" s="267"/>
      <c r="CU240" s="267"/>
      <c r="CV240" s="267"/>
      <c r="CW240" s="267"/>
      <c r="CX240" s="267"/>
      <c r="CY240" s="267"/>
      <c r="CZ240" s="267"/>
      <c r="DA240" s="267"/>
      <c r="DB240" s="267"/>
      <c r="DC240" s="267"/>
      <c r="DD240" s="267"/>
      <c r="DE240" s="267"/>
      <c r="DF240" s="267"/>
      <c r="DG240" s="267"/>
      <c r="DH240" s="267"/>
      <c r="DI240" s="267"/>
      <c r="DJ240" s="268"/>
      <c r="DK240" s="268"/>
      <c r="DL240" s="268"/>
      <c r="DM240" s="268"/>
      <c r="DN240" s="268"/>
      <c r="DO240" s="268"/>
      <c r="DP240" s="268"/>
      <c r="DQ240" s="268"/>
      <c r="DR240" s="268"/>
      <c r="DS240" s="268"/>
      <c r="DT240" s="268"/>
      <c r="DU240" s="268"/>
      <c r="DV240" s="268"/>
      <c r="DW240" s="268"/>
      <c r="DX240" s="268"/>
      <c r="DY240" s="268"/>
      <c r="EA240" s="13"/>
      <c r="EB240" s="96"/>
      <c r="EC240" s="96"/>
      <c r="ED240" s="96"/>
      <c r="EE240" s="96"/>
      <c r="EF240" s="96"/>
      <c r="EG240" s="96"/>
      <c r="EH240" s="96"/>
      <c r="EI240" s="96"/>
      <c r="EJ240" s="96"/>
      <c r="EK240" s="96"/>
      <c r="EL240" s="96"/>
      <c r="EM240" s="96"/>
      <c r="EN240" s="96"/>
      <c r="EO240" s="96"/>
      <c r="EP240" s="96"/>
      <c r="EQ240" s="96"/>
      <c r="ER240" s="96"/>
      <c r="ES240" s="96"/>
      <c r="ET240" s="96"/>
      <c r="EU240" s="96"/>
      <c r="EV240" s="96"/>
      <c r="EW240" s="96"/>
      <c r="EX240" s="96"/>
      <c r="EY240" s="96"/>
      <c r="EZ240" s="96"/>
      <c r="FA240" s="96"/>
      <c r="FB240" s="96"/>
      <c r="FC240" s="96"/>
      <c r="FD240" s="96"/>
      <c r="FE240" s="96"/>
      <c r="FF240" s="96"/>
      <c r="FG240" s="96"/>
      <c r="FH240" s="96"/>
      <c r="FI240" s="96"/>
      <c r="FJ240" s="96"/>
      <c r="FK240" s="96"/>
      <c r="FL240" s="96"/>
      <c r="FM240" s="96"/>
      <c r="FN240" s="96"/>
      <c r="FO240" s="96"/>
      <c r="FP240" s="96"/>
      <c r="FQ240" s="96"/>
      <c r="FR240" s="96"/>
      <c r="FS240" s="96"/>
      <c r="FT240" s="96"/>
      <c r="FU240" s="96"/>
      <c r="FV240" s="96"/>
      <c r="FW240" s="96"/>
      <c r="FX240" s="96"/>
      <c r="FY240" s="96"/>
      <c r="FZ240" s="96"/>
      <c r="GA240" s="96"/>
      <c r="GB240" s="96"/>
      <c r="GC240" s="96"/>
      <c r="GD240" s="96"/>
      <c r="GE240" s="96"/>
      <c r="GF240" s="96"/>
      <c r="GG240" s="96"/>
      <c r="GH240" s="96"/>
      <c r="GI240" s="96"/>
      <c r="GJ240" s="96"/>
      <c r="GK240" s="96"/>
      <c r="GL240" s="96"/>
      <c r="GM240" s="13"/>
      <c r="GN240" s="96"/>
      <c r="GO240" s="96"/>
      <c r="GP240" s="96"/>
      <c r="GQ240" s="96"/>
      <c r="GR240" s="96"/>
      <c r="GS240" s="96"/>
      <c r="GT240" s="96"/>
      <c r="GU240" s="96"/>
      <c r="GV240" s="96"/>
      <c r="GW240" s="96"/>
      <c r="GX240" s="96"/>
      <c r="GY240" s="96"/>
      <c r="GZ240" s="96"/>
      <c r="HA240" s="96"/>
      <c r="HB240" s="96"/>
      <c r="HC240" s="13"/>
      <c r="HD240" s="96"/>
      <c r="HE240" s="96"/>
      <c r="HF240" s="96"/>
      <c r="HG240" s="96"/>
      <c r="HH240" s="96"/>
      <c r="HI240" s="96"/>
      <c r="HJ240" s="96"/>
      <c r="HK240" s="96"/>
      <c r="HL240" s="96"/>
      <c r="HM240" s="96"/>
      <c r="HN240" s="96"/>
      <c r="HO240" s="96"/>
      <c r="HP240" s="96"/>
      <c r="HQ240" s="96"/>
      <c r="HR240" s="96"/>
      <c r="HS240" s="13"/>
      <c r="HT240" s="96"/>
      <c r="HU240" s="96"/>
      <c r="HV240" s="96"/>
      <c r="HW240" s="96"/>
      <c r="HX240" s="96"/>
      <c r="HY240" s="96"/>
      <c r="HZ240" s="96"/>
      <c r="IA240" s="96"/>
      <c r="IB240" s="96"/>
      <c r="IC240" s="96"/>
      <c r="ID240" s="96"/>
      <c r="IE240" s="96"/>
      <c r="IF240" s="96"/>
      <c r="IG240" s="96"/>
      <c r="IH240" s="96"/>
      <c r="II240" s="13"/>
      <c r="IJ240" s="96"/>
      <c r="IK240" s="96"/>
      <c r="IL240" s="96"/>
      <c r="IM240" s="96"/>
      <c r="IN240" s="96"/>
      <c r="IO240" s="96"/>
      <c r="IP240" s="96"/>
      <c r="IQ240" s="96"/>
      <c r="IR240" s="96"/>
      <c r="IS240" s="96"/>
      <c r="IT240" s="96"/>
      <c r="IU240" s="96"/>
      <c r="IV240" s="96"/>
      <c r="IW240" s="96"/>
      <c r="IX240" s="96"/>
      <c r="IY240" s="13"/>
    </row>
    <row r="241" spans="1:259" outlineLevel="1">
      <c r="A241" s="11">
        <f>'VAC &amp; MED'!C238</f>
        <v>46224</v>
      </c>
      <c r="B241" s="261"/>
      <c r="C241" s="261"/>
      <c r="D241" s="261"/>
      <c r="E241" s="261"/>
      <c r="F241" s="261"/>
      <c r="G241" s="261"/>
      <c r="H241" s="261"/>
      <c r="I241" s="261"/>
      <c r="J241" s="261"/>
      <c r="K241" s="261"/>
      <c r="L241" s="261"/>
      <c r="M241" s="261"/>
      <c r="N241" s="261"/>
      <c r="O241" s="261"/>
      <c r="P241" s="261"/>
      <c r="Q241" s="261"/>
      <c r="R241" s="262"/>
      <c r="S241" s="262"/>
      <c r="T241" s="262"/>
      <c r="U241" s="262"/>
      <c r="V241" s="262"/>
      <c r="W241" s="262"/>
      <c r="X241" s="262"/>
      <c r="Y241" s="262"/>
      <c r="Z241" s="262"/>
      <c r="AA241" s="262"/>
      <c r="AB241" s="262"/>
      <c r="AC241" s="262"/>
      <c r="AD241" s="262"/>
      <c r="AE241" s="262"/>
      <c r="AF241" s="262"/>
      <c r="AG241" s="262"/>
      <c r="AH241" s="263"/>
      <c r="AI241" s="263"/>
      <c r="AJ241" s="263"/>
      <c r="AK241" s="263"/>
      <c r="AL241" s="263"/>
      <c r="AM241" s="263"/>
      <c r="AN241" s="263"/>
      <c r="AO241" s="263"/>
      <c r="AP241" s="263"/>
      <c r="AQ241" s="263"/>
      <c r="AR241" s="263"/>
      <c r="AS241" s="263"/>
      <c r="AT241" s="263"/>
      <c r="AU241" s="263"/>
      <c r="AV241" s="263"/>
      <c r="AW241" s="263"/>
      <c r="AX241" s="264"/>
      <c r="AY241" s="264"/>
      <c r="AZ241" s="264"/>
      <c r="BA241" s="264"/>
      <c r="BB241" s="264"/>
      <c r="BC241" s="264"/>
      <c r="BD241" s="264"/>
      <c r="BE241" s="264"/>
      <c r="BF241" s="264"/>
      <c r="BG241" s="264"/>
      <c r="BH241" s="264"/>
      <c r="BI241" s="264"/>
      <c r="BJ241" s="264"/>
      <c r="BK241" s="264"/>
      <c r="BL241" s="264"/>
      <c r="BM241" s="264"/>
      <c r="BN241" s="265"/>
      <c r="BO241" s="265"/>
      <c r="BP241" s="265"/>
      <c r="BQ241" s="265"/>
      <c r="BR241" s="265"/>
      <c r="BS241" s="265"/>
      <c r="BT241" s="265"/>
      <c r="BU241" s="265"/>
      <c r="BV241" s="265"/>
      <c r="BW241" s="265"/>
      <c r="BX241" s="265"/>
      <c r="BY241" s="265"/>
      <c r="BZ241" s="265"/>
      <c r="CA241" s="265"/>
      <c r="CB241" s="265"/>
      <c r="CC241" s="265"/>
      <c r="CD241" s="266"/>
      <c r="CE241" s="266"/>
      <c r="CF241" s="266"/>
      <c r="CG241" s="266"/>
      <c r="CH241" s="266"/>
      <c r="CI241" s="266"/>
      <c r="CJ241" s="266"/>
      <c r="CK241" s="266"/>
      <c r="CL241" s="266"/>
      <c r="CM241" s="266"/>
      <c r="CN241" s="266"/>
      <c r="CO241" s="266"/>
      <c r="CP241" s="266"/>
      <c r="CQ241" s="266"/>
      <c r="CR241" s="266"/>
      <c r="CS241" s="266"/>
      <c r="CT241" s="267"/>
      <c r="CU241" s="267"/>
      <c r="CV241" s="267"/>
      <c r="CW241" s="267"/>
      <c r="CX241" s="267"/>
      <c r="CY241" s="267"/>
      <c r="CZ241" s="267"/>
      <c r="DA241" s="267">
        <v>10</v>
      </c>
      <c r="DB241" s="267"/>
      <c r="DC241" s="267"/>
      <c r="DD241" s="267">
        <v>30</v>
      </c>
      <c r="DE241" s="267"/>
      <c r="DF241" s="267"/>
      <c r="DG241" s="267"/>
      <c r="DH241" s="267">
        <v>26</v>
      </c>
      <c r="DI241" s="267"/>
      <c r="DJ241" s="268"/>
      <c r="DK241" s="268"/>
      <c r="DL241" s="268"/>
      <c r="DM241" s="268"/>
      <c r="DN241" s="268"/>
      <c r="DO241" s="268"/>
      <c r="DP241" s="268"/>
      <c r="DQ241" s="268"/>
      <c r="DR241" s="268"/>
      <c r="DS241" s="268"/>
      <c r="DT241" s="268"/>
      <c r="DU241" s="268"/>
      <c r="DV241" s="268"/>
      <c r="DW241" s="268"/>
      <c r="DX241" s="268"/>
      <c r="DY241" s="268"/>
      <c r="EA241" s="13"/>
      <c r="EB241" s="96"/>
      <c r="EC241" s="96"/>
      <c r="ED241" s="96"/>
      <c r="EE241" s="96"/>
      <c r="EF241" s="96"/>
      <c r="EG241" s="96"/>
      <c r="EH241" s="96"/>
      <c r="EI241" s="96"/>
      <c r="EJ241" s="96"/>
      <c r="EK241" s="96"/>
      <c r="EL241" s="96"/>
      <c r="EM241" s="96"/>
      <c r="EN241" s="96"/>
      <c r="EO241" s="96"/>
      <c r="EP241" s="96"/>
      <c r="EQ241" s="96"/>
      <c r="ER241" s="96"/>
      <c r="ES241" s="96"/>
      <c r="ET241" s="96"/>
      <c r="EU241" s="96"/>
      <c r="EV241" s="96"/>
      <c r="EW241" s="96"/>
      <c r="EX241" s="96"/>
      <c r="EY241" s="96"/>
      <c r="EZ241" s="96"/>
      <c r="FA241" s="96"/>
      <c r="FB241" s="96"/>
      <c r="FC241" s="96"/>
      <c r="FD241" s="96"/>
      <c r="FE241" s="96"/>
      <c r="FF241" s="96"/>
      <c r="FG241" s="96"/>
      <c r="FH241" s="96"/>
      <c r="FI241" s="96"/>
      <c r="FJ241" s="96"/>
      <c r="FK241" s="96"/>
      <c r="FL241" s="96"/>
      <c r="FM241" s="96"/>
      <c r="FN241" s="96"/>
      <c r="FO241" s="96"/>
      <c r="FP241" s="96"/>
      <c r="FQ241" s="96"/>
      <c r="FR241" s="96"/>
      <c r="FS241" s="96"/>
      <c r="FT241" s="96"/>
      <c r="FU241" s="96"/>
      <c r="FV241" s="96"/>
      <c r="FW241" s="96"/>
      <c r="FX241" s="96"/>
      <c r="FY241" s="96"/>
      <c r="FZ241" s="96"/>
      <c r="GA241" s="96"/>
      <c r="GB241" s="96"/>
      <c r="GC241" s="96"/>
      <c r="GD241" s="96"/>
      <c r="GE241" s="96"/>
      <c r="GF241" s="96"/>
      <c r="GG241" s="96"/>
      <c r="GH241" s="96"/>
      <c r="GI241" s="96"/>
      <c r="GJ241" s="96"/>
      <c r="GK241" s="96"/>
      <c r="GL241" s="96"/>
      <c r="GM241" s="13"/>
      <c r="GN241" s="96"/>
      <c r="GO241" s="96"/>
      <c r="GP241" s="96"/>
      <c r="GQ241" s="96"/>
      <c r="GR241" s="96"/>
      <c r="GS241" s="96"/>
      <c r="GT241" s="96"/>
      <c r="GU241" s="96"/>
      <c r="GV241" s="96"/>
      <c r="GW241" s="96"/>
      <c r="GX241" s="96"/>
      <c r="GY241" s="96"/>
      <c r="GZ241" s="96"/>
      <c r="HA241" s="96"/>
      <c r="HB241" s="96"/>
      <c r="HC241" s="13"/>
      <c r="HD241" s="96"/>
      <c r="HE241" s="96"/>
      <c r="HF241" s="96"/>
      <c r="HG241" s="96"/>
      <c r="HH241" s="96"/>
      <c r="HI241" s="96"/>
      <c r="HJ241" s="96"/>
      <c r="HK241" s="96"/>
      <c r="HL241" s="96"/>
      <c r="HM241" s="96"/>
      <c r="HN241" s="96"/>
      <c r="HO241" s="96"/>
      <c r="HP241" s="96"/>
      <c r="HQ241" s="96"/>
      <c r="HR241" s="96"/>
      <c r="HS241" s="13"/>
      <c r="HT241" s="96"/>
      <c r="HU241" s="96"/>
      <c r="HV241" s="96"/>
      <c r="HW241" s="96"/>
      <c r="HX241" s="96"/>
      <c r="HY241" s="96"/>
      <c r="HZ241" s="96"/>
      <c r="IA241" s="96"/>
      <c r="IB241" s="96"/>
      <c r="IC241" s="96"/>
      <c r="ID241" s="96"/>
      <c r="IE241" s="96"/>
      <c r="IF241" s="96"/>
      <c r="IG241" s="96"/>
      <c r="IH241" s="96"/>
      <c r="II241" s="13"/>
      <c r="IJ241" s="96"/>
      <c r="IK241" s="96"/>
      <c r="IL241" s="96"/>
      <c r="IM241" s="96"/>
      <c r="IN241" s="96"/>
      <c r="IO241" s="96"/>
      <c r="IP241" s="96"/>
      <c r="IQ241" s="96"/>
      <c r="IR241" s="96"/>
      <c r="IS241" s="96"/>
      <c r="IT241" s="96"/>
      <c r="IU241" s="96"/>
      <c r="IV241" s="96"/>
      <c r="IW241" s="96"/>
      <c r="IX241" s="96"/>
      <c r="IY241" s="13"/>
    </row>
    <row r="242" spans="1:259" outlineLevel="1">
      <c r="A242" s="11">
        <f>'VAC &amp; MED'!C239</f>
        <v>46225</v>
      </c>
      <c r="B242" s="261"/>
      <c r="C242" s="261"/>
      <c r="D242" s="261"/>
      <c r="E242" s="261"/>
      <c r="F242" s="261"/>
      <c r="G242" s="261"/>
      <c r="H242" s="261"/>
      <c r="I242" s="261"/>
      <c r="J242" s="261"/>
      <c r="K242" s="261"/>
      <c r="L242" s="261"/>
      <c r="M242" s="261"/>
      <c r="N242" s="261"/>
      <c r="O242" s="261"/>
      <c r="P242" s="261"/>
      <c r="Q242" s="261"/>
      <c r="R242" s="262"/>
      <c r="S242" s="262"/>
      <c r="T242" s="262"/>
      <c r="U242" s="262"/>
      <c r="V242" s="262"/>
      <c r="W242" s="262"/>
      <c r="X242" s="262"/>
      <c r="Y242" s="262"/>
      <c r="Z242" s="262"/>
      <c r="AA242" s="262"/>
      <c r="AB242" s="262"/>
      <c r="AC242" s="262"/>
      <c r="AD242" s="262"/>
      <c r="AE242" s="262"/>
      <c r="AF242" s="262"/>
      <c r="AG242" s="262"/>
      <c r="AH242" s="263"/>
      <c r="AI242" s="263"/>
      <c r="AJ242" s="263"/>
      <c r="AK242" s="263"/>
      <c r="AL242" s="263"/>
      <c r="AM242" s="263"/>
      <c r="AN242" s="263"/>
      <c r="AO242" s="263"/>
      <c r="AP242" s="263"/>
      <c r="AQ242" s="263"/>
      <c r="AR242" s="263"/>
      <c r="AS242" s="263"/>
      <c r="AT242" s="263"/>
      <c r="AU242" s="263"/>
      <c r="AV242" s="263"/>
      <c r="AW242" s="263"/>
      <c r="AX242" s="264"/>
      <c r="AY242" s="264"/>
      <c r="AZ242" s="264"/>
      <c r="BA242" s="264"/>
      <c r="BB242" s="264"/>
      <c r="BC242" s="264"/>
      <c r="BD242" s="264"/>
      <c r="BE242" s="264"/>
      <c r="BF242" s="264"/>
      <c r="BG242" s="264"/>
      <c r="BH242" s="264"/>
      <c r="BI242" s="264"/>
      <c r="BJ242" s="264"/>
      <c r="BK242" s="264"/>
      <c r="BL242" s="264"/>
      <c r="BM242" s="264"/>
      <c r="BN242" s="265"/>
      <c r="BO242" s="265"/>
      <c r="BP242" s="265"/>
      <c r="BQ242" s="265"/>
      <c r="BR242" s="265"/>
      <c r="BS242" s="265"/>
      <c r="BT242" s="265"/>
      <c r="BU242" s="265"/>
      <c r="BV242" s="265"/>
      <c r="BW242" s="265"/>
      <c r="BX242" s="265"/>
      <c r="BY242" s="265"/>
      <c r="BZ242" s="265"/>
      <c r="CA242" s="265"/>
      <c r="CB242" s="265"/>
      <c r="CC242" s="265"/>
      <c r="CD242" s="266"/>
      <c r="CE242" s="266"/>
      <c r="CF242" s="266"/>
      <c r="CG242" s="266"/>
      <c r="CH242" s="266"/>
      <c r="CI242" s="266"/>
      <c r="CJ242" s="266"/>
      <c r="CK242" s="266"/>
      <c r="CL242" s="266"/>
      <c r="CM242" s="266"/>
      <c r="CN242" s="266"/>
      <c r="CO242" s="266"/>
      <c r="CP242" s="266"/>
      <c r="CQ242" s="266"/>
      <c r="CR242" s="266"/>
      <c r="CS242" s="266"/>
      <c r="CT242" s="267"/>
      <c r="CU242" s="267"/>
      <c r="CV242" s="267"/>
      <c r="CW242" s="267"/>
      <c r="CX242" s="267"/>
      <c r="CY242" s="267"/>
      <c r="CZ242" s="267"/>
      <c r="DA242" s="267"/>
      <c r="DB242" s="267"/>
      <c r="DC242" s="267"/>
      <c r="DD242" s="267"/>
      <c r="DE242" s="267"/>
      <c r="DF242" s="267"/>
      <c r="DG242" s="267"/>
      <c r="DH242" s="267"/>
      <c r="DI242" s="267"/>
      <c r="DJ242" s="268"/>
      <c r="DK242" s="268"/>
      <c r="DL242" s="268"/>
      <c r="DM242" s="268"/>
      <c r="DN242" s="268"/>
      <c r="DO242" s="268"/>
      <c r="DP242" s="268"/>
      <c r="DQ242" s="268"/>
      <c r="DR242" s="268"/>
      <c r="DS242" s="268"/>
      <c r="DT242" s="268"/>
      <c r="DU242" s="268"/>
      <c r="DV242" s="268"/>
      <c r="DW242" s="268"/>
      <c r="DX242" s="268"/>
      <c r="DY242" s="268"/>
      <c r="EA242" s="13"/>
      <c r="EB242" s="96"/>
      <c r="EC242" s="96"/>
      <c r="ED242" s="96"/>
      <c r="EE242" s="96"/>
      <c r="EF242" s="96"/>
      <c r="EG242" s="96"/>
      <c r="EH242" s="96"/>
      <c r="EI242" s="96"/>
      <c r="EJ242" s="96"/>
      <c r="EK242" s="96"/>
      <c r="EL242" s="96"/>
      <c r="EM242" s="96"/>
      <c r="EN242" s="96"/>
      <c r="EO242" s="96"/>
      <c r="EP242" s="96"/>
      <c r="EQ242" s="96"/>
      <c r="ER242" s="96"/>
      <c r="ES242" s="96"/>
      <c r="ET242" s="96"/>
      <c r="EU242" s="96"/>
      <c r="EV242" s="96"/>
      <c r="EW242" s="96"/>
      <c r="EX242" s="96"/>
      <c r="EY242" s="96"/>
      <c r="EZ242" s="96"/>
      <c r="FA242" s="96"/>
      <c r="FB242" s="96"/>
      <c r="FC242" s="96"/>
      <c r="FD242" s="96"/>
      <c r="FE242" s="96"/>
      <c r="FF242" s="96"/>
      <c r="FG242" s="96"/>
      <c r="FH242" s="96"/>
      <c r="FI242" s="96"/>
      <c r="FJ242" s="96"/>
      <c r="FK242" s="96"/>
      <c r="FL242" s="96"/>
      <c r="FM242" s="96"/>
      <c r="FN242" s="96"/>
      <c r="FO242" s="96"/>
      <c r="FP242" s="96"/>
      <c r="FQ242" s="96"/>
      <c r="FR242" s="96"/>
      <c r="FS242" s="96"/>
      <c r="FT242" s="96"/>
      <c r="FU242" s="96"/>
      <c r="FV242" s="96"/>
      <c r="FW242" s="96"/>
      <c r="FX242" s="96"/>
      <c r="FY242" s="96"/>
      <c r="FZ242" s="96"/>
      <c r="GA242" s="96"/>
      <c r="GB242" s="96"/>
      <c r="GC242" s="96"/>
      <c r="GD242" s="96"/>
      <c r="GE242" s="96"/>
      <c r="GF242" s="96"/>
      <c r="GG242" s="96"/>
      <c r="GH242" s="96"/>
      <c r="GI242" s="96"/>
      <c r="GJ242" s="96"/>
      <c r="GK242" s="96"/>
      <c r="GL242" s="96"/>
      <c r="GM242" s="13"/>
      <c r="GN242" s="96"/>
      <c r="GO242" s="96"/>
      <c r="GP242" s="96"/>
      <c r="GQ242" s="96"/>
      <c r="GR242" s="96"/>
      <c r="GS242" s="96"/>
      <c r="GT242" s="96"/>
      <c r="GU242" s="96"/>
      <c r="GV242" s="96"/>
      <c r="GW242" s="96"/>
      <c r="GX242" s="96"/>
      <c r="GY242" s="96"/>
      <c r="GZ242" s="96"/>
      <c r="HA242" s="96"/>
      <c r="HB242" s="96"/>
      <c r="HC242" s="13"/>
      <c r="HD242" s="96"/>
      <c r="HE242" s="96"/>
      <c r="HF242" s="96"/>
      <c r="HG242" s="96"/>
      <c r="HH242" s="96"/>
      <c r="HI242" s="96"/>
      <c r="HJ242" s="96"/>
      <c r="HK242" s="96"/>
      <c r="HL242" s="96"/>
      <c r="HM242" s="96"/>
      <c r="HN242" s="96"/>
      <c r="HO242" s="96"/>
      <c r="HP242" s="96"/>
      <c r="HQ242" s="96"/>
      <c r="HR242" s="96"/>
      <c r="HS242" s="13"/>
      <c r="HT242" s="96"/>
      <c r="HU242" s="96"/>
      <c r="HV242" s="96"/>
      <c r="HW242" s="96"/>
      <c r="HX242" s="96"/>
      <c r="HY242" s="96"/>
      <c r="HZ242" s="96"/>
      <c r="IA242" s="96"/>
      <c r="IB242" s="96"/>
      <c r="IC242" s="96"/>
      <c r="ID242" s="96"/>
      <c r="IE242" s="96"/>
      <c r="IF242" s="96"/>
      <c r="IG242" s="96"/>
      <c r="IH242" s="96"/>
      <c r="II242" s="13"/>
      <c r="IJ242" s="96"/>
      <c r="IK242" s="96"/>
      <c r="IL242" s="96"/>
      <c r="IM242" s="96"/>
      <c r="IN242" s="96"/>
      <c r="IO242" s="96"/>
      <c r="IP242" s="96"/>
      <c r="IQ242" s="96"/>
      <c r="IR242" s="96"/>
      <c r="IS242" s="96"/>
      <c r="IT242" s="96"/>
      <c r="IU242" s="96"/>
      <c r="IV242" s="96"/>
      <c r="IW242" s="96"/>
      <c r="IX242" s="96"/>
      <c r="IY242" s="13"/>
    </row>
    <row r="243" spans="1:259" outlineLevel="1">
      <c r="A243" s="11">
        <f>'VAC &amp; MED'!C240</f>
        <v>46226</v>
      </c>
      <c r="B243" s="261"/>
      <c r="C243" s="261"/>
      <c r="D243" s="261"/>
      <c r="E243" s="261"/>
      <c r="F243" s="261"/>
      <c r="G243" s="261"/>
      <c r="H243" s="261"/>
      <c r="I243" s="261"/>
      <c r="J243" s="261"/>
      <c r="K243" s="261"/>
      <c r="L243" s="261"/>
      <c r="M243" s="261"/>
      <c r="N243" s="261"/>
      <c r="O243" s="261"/>
      <c r="P243" s="261"/>
      <c r="Q243" s="261"/>
      <c r="R243" s="262"/>
      <c r="S243" s="262"/>
      <c r="T243" s="262"/>
      <c r="U243" s="262"/>
      <c r="V243" s="262"/>
      <c r="W243" s="262"/>
      <c r="X243" s="262"/>
      <c r="Y243" s="262"/>
      <c r="Z243" s="262"/>
      <c r="AA243" s="262"/>
      <c r="AB243" s="262"/>
      <c r="AC243" s="262"/>
      <c r="AD243" s="262"/>
      <c r="AE243" s="262"/>
      <c r="AF243" s="262"/>
      <c r="AG243" s="262"/>
      <c r="AH243" s="263"/>
      <c r="AI243" s="263"/>
      <c r="AJ243" s="263"/>
      <c r="AK243" s="263"/>
      <c r="AL243" s="263"/>
      <c r="AM243" s="263"/>
      <c r="AN243" s="263"/>
      <c r="AO243" s="263"/>
      <c r="AP243" s="263"/>
      <c r="AQ243" s="263"/>
      <c r="AR243" s="263"/>
      <c r="AS243" s="263"/>
      <c r="AT243" s="263"/>
      <c r="AU243" s="263"/>
      <c r="AV243" s="263"/>
      <c r="AW243" s="263"/>
      <c r="AX243" s="264"/>
      <c r="AY243" s="264"/>
      <c r="AZ243" s="264"/>
      <c r="BA243" s="264"/>
      <c r="BB243" s="264"/>
      <c r="BC243" s="264"/>
      <c r="BD243" s="264"/>
      <c r="BE243" s="264"/>
      <c r="BF243" s="264"/>
      <c r="BG243" s="264"/>
      <c r="BH243" s="264"/>
      <c r="BI243" s="264"/>
      <c r="BJ243" s="264"/>
      <c r="BK243" s="264"/>
      <c r="BL243" s="264"/>
      <c r="BM243" s="264"/>
      <c r="BN243" s="265"/>
      <c r="BO243" s="265"/>
      <c r="BP243" s="265"/>
      <c r="BQ243" s="265"/>
      <c r="BR243" s="265"/>
      <c r="BS243" s="265"/>
      <c r="BT243" s="265"/>
      <c r="BU243" s="265">
        <v>30</v>
      </c>
      <c r="BV243" s="265"/>
      <c r="BW243" s="265"/>
      <c r="BX243" s="265"/>
      <c r="BY243" s="265"/>
      <c r="BZ243" s="265"/>
      <c r="CA243" s="265"/>
      <c r="CB243" s="265"/>
      <c r="CC243" s="265"/>
      <c r="CD243" s="266"/>
      <c r="CE243" s="266"/>
      <c r="CF243" s="266"/>
      <c r="CG243" s="266"/>
      <c r="CH243" s="266"/>
      <c r="CI243" s="266"/>
      <c r="CJ243" s="266"/>
      <c r="CK243" s="266"/>
      <c r="CL243" s="266"/>
      <c r="CM243" s="266"/>
      <c r="CN243" s="266"/>
      <c r="CO243" s="266"/>
      <c r="CP243" s="266"/>
      <c r="CQ243" s="266"/>
      <c r="CR243" s="266"/>
      <c r="CS243" s="266"/>
      <c r="CT243" s="267"/>
      <c r="CU243" s="267"/>
      <c r="CV243" s="267"/>
      <c r="CW243" s="267"/>
      <c r="CX243" s="267"/>
      <c r="CY243" s="267"/>
      <c r="CZ243" s="267"/>
      <c r="DA243" s="267"/>
      <c r="DB243" s="267"/>
      <c r="DC243" s="267"/>
      <c r="DD243" s="267"/>
      <c r="DE243" s="267"/>
      <c r="DF243" s="267"/>
      <c r="DG243" s="267"/>
      <c r="DH243" s="267"/>
      <c r="DI243" s="267"/>
      <c r="DJ243" s="268"/>
      <c r="DK243" s="268"/>
      <c r="DL243" s="268"/>
      <c r="DM243" s="268"/>
      <c r="DN243" s="268"/>
      <c r="DO243" s="268"/>
      <c r="DP243" s="268"/>
      <c r="DQ243" s="268"/>
      <c r="DR243" s="268"/>
      <c r="DS243" s="268"/>
      <c r="DT243" s="268"/>
      <c r="DU243" s="268"/>
      <c r="DV243" s="268"/>
      <c r="DW243" s="268"/>
      <c r="DX243" s="268"/>
      <c r="DY243" s="268"/>
      <c r="EA243" s="13"/>
      <c r="EB243" s="96"/>
      <c r="EC243" s="96"/>
      <c r="ED243" s="96"/>
      <c r="EE243" s="96"/>
      <c r="EF243" s="96"/>
      <c r="EG243" s="96"/>
      <c r="EH243" s="96"/>
      <c r="EI243" s="96"/>
      <c r="EJ243" s="96"/>
      <c r="EK243" s="96"/>
      <c r="EL243" s="96"/>
      <c r="EM243" s="96"/>
      <c r="EN243" s="96"/>
      <c r="EO243" s="96"/>
      <c r="EP243" s="96"/>
      <c r="EQ243" s="96"/>
      <c r="ER243" s="96"/>
      <c r="ES243" s="96"/>
      <c r="ET243" s="96"/>
      <c r="EU243" s="96"/>
      <c r="EV243" s="96"/>
      <c r="EW243" s="96"/>
      <c r="EX243" s="96"/>
      <c r="EY243" s="96"/>
      <c r="EZ243" s="96"/>
      <c r="FA243" s="96"/>
      <c r="FB243" s="96"/>
      <c r="FC243" s="96"/>
      <c r="FD243" s="96"/>
      <c r="FE243" s="96"/>
      <c r="FF243" s="96"/>
      <c r="FG243" s="96"/>
      <c r="FH243" s="96"/>
      <c r="FI243" s="96"/>
      <c r="FJ243" s="96"/>
      <c r="FK243" s="96"/>
      <c r="FL243" s="96"/>
      <c r="FM243" s="96"/>
      <c r="FN243" s="96"/>
      <c r="FO243" s="96"/>
      <c r="FP243" s="96"/>
      <c r="FQ243" s="96"/>
      <c r="FR243" s="96"/>
      <c r="FS243" s="96"/>
      <c r="FT243" s="96"/>
      <c r="FU243" s="96"/>
      <c r="FV243" s="96"/>
      <c r="FW243" s="96"/>
      <c r="FX243" s="96"/>
      <c r="FY243" s="96"/>
      <c r="FZ243" s="96"/>
      <c r="GA243" s="96"/>
      <c r="GB243" s="96"/>
      <c r="GC243" s="96"/>
      <c r="GD243" s="96"/>
      <c r="GE243" s="96"/>
      <c r="GF243" s="96"/>
      <c r="GG243" s="96"/>
      <c r="GH243" s="96"/>
      <c r="GI243" s="96"/>
      <c r="GJ243" s="96"/>
      <c r="GK243" s="96"/>
      <c r="GL243" s="96"/>
      <c r="GM243" s="13"/>
      <c r="GN243" s="96"/>
      <c r="GO243" s="96"/>
      <c r="GP243" s="96"/>
      <c r="GQ243" s="96"/>
      <c r="GR243" s="96"/>
      <c r="GS243" s="96"/>
      <c r="GT243" s="96"/>
      <c r="GU243" s="96"/>
      <c r="GV243" s="96"/>
      <c r="GW243" s="96"/>
      <c r="GX243" s="96"/>
      <c r="GY243" s="96"/>
      <c r="GZ243" s="96"/>
      <c r="HA243" s="96"/>
      <c r="HB243" s="96"/>
      <c r="HC243" s="13"/>
      <c r="HD243" s="96"/>
      <c r="HE243" s="96"/>
      <c r="HF243" s="96"/>
      <c r="HG243" s="96"/>
      <c r="HH243" s="96"/>
      <c r="HI243" s="96"/>
      <c r="HJ243" s="96"/>
      <c r="HK243" s="96"/>
      <c r="HL243" s="96"/>
      <c r="HM243" s="96"/>
      <c r="HN243" s="96"/>
      <c r="HO243" s="96"/>
      <c r="HP243" s="96"/>
      <c r="HQ243" s="96"/>
      <c r="HR243" s="96"/>
      <c r="HS243" s="13"/>
      <c r="HT243" s="96"/>
      <c r="HU243" s="96"/>
      <c r="HV243" s="96"/>
      <c r="HW243" s="96"/>
      <c r="HX243" s="96"/>
      <c r="HY243" s="96"/>
      <c r="HZ243" s="96"/>
      <c r="IA243" s="96"/>
      <c r="IB243" s="96"/>
      <c r="IC243" s="96"/>
      <c r="ID243" s="96"/>
      <c r="IE243" s="96"/>
      <c r="IF243" s="96"/>
      <c r="IG243" s="96"/>
      <c r="IH243" s="96"/>
      <c r="II243" s="13"/>
      <c r="IJ243" s="96"/>
      <c r="IK243" s="96"/>
      <c r="IL243" s="96"/>
      <c r="IM243" s="96"/>
      <c r="IN243" s="96"/>
      <c r="IO243" s="96"/>
      <c r="IP243" s="96"/>
      <c r="IQ243" s="96"/>
      <c r="IR243" s="96"/>
      <c r="IS243" s="96"/>
      <c r="IT243" s="96"/>
      <c r="IU243" s="96"/>
      <c r="IV243" s="96"/>
      <c r="IW243" s="96"/>
      <c r="IX243" s="96"/>
      <c r="IY243" s="13"/>
    </row>
    <row r="244" spans="1:259" outlineLevel="1">
      <c r="A244" s="11">
        <f>'VAC &amp; MED'!C241</f>
        <v>46227</v>
      </c>
      <c r="B244" s="261"/>
      <c r="C244" s="261">
        <v>30</v>
      </c>
      <c r="D244" s="261"/>
      <c r="E244" s="261"/>
      <c r="F244" s="261"/>
      <c r="G244" s="261"/>
      <c r="H244" s="261"/>
      <c r="I244" s="261"/>
      <c r="J244" s="261"/>
      <c r="K244" s="261"/>
      <c r="L244" s="261"/>
      <c r="M244" s="261"/>
      <c r="N244" s="261"/>
      <c r="O244" s="261"/>
      <c r="P244" s="261"/>
      <c r="Q244" s="261"/>
      <c r="R244" s="262"/>
      <c r="S244" s="262"/>
      <c r="T244" s="262"/>
      <c r="U244" s="262"/>
      <c r="V244" s="262"/>
      <c r="W244" s="262"/>
      <c r="X244" s="262"/>
      <c r="Y244" s="262"/>
      <c r="Z244" s="262"/>
      <c r="AA244" s="262"/>
      <c r="AB244" s="262"/>
      <c r="AC244" s="262"/>
      <c r="AD244" s="262"/>
      <c r="AE244" s="262"/>
      <c r="AF244" s="262"/>
      <c r="AG244" s="262"/>
      <c r="AH244" s="263"/>
      <c r="AI244" s="263"/>
      <c r="AJ244" s="263"/>
      <c r="AK244" s="263"/>
      <c r="AL244" s="263"/>
      <c r="AM244" s="263"/>
      <c r="AN244" s="263"/>
      <c r="AO244" s="263"/>
      <c r="AP244" s="263"/>
      <c r="AQ244" s="263"/>
      <c r="AR244" s="263"/>
      <c r="AS244" s="263"/>
      <c r="AT244" s="263"/>
      <c r="AU244" s="263"/>
      <c r="AV244" s="263"/>
      <c r="AW244" s="263"/>
      <c r="AX244" s="264"/>
      <c r="AY244" s="264"/>
      <c r="AZ244" s="264"/>
      <c r="BA244" s="264"/>
      <c r="BB244" s="264"/>
      <c r="BC244" s="264"/>
      <c r="BD244" s="264"/>
      <c r="BE244" s="264"/>
      <c r="BF244" s="264"/>
      <c r="BG244" s="264"/>
      <c r="BH244" s="264"/>
      <c r="BI244" s="264"/>
      <c r="BJ244" s="264"/>
      <c r="BK244" s="264"/>
      <c r="BL244" s="264"/>
      <c r="BM244" s="264"/>
      <c r="BN244" s="265"/>
      <c r="BO244" s="265"/>
      <c r="BP244" s="265">
        <v>18</v>
      </c>
      <c r="BQ244" s="265"/>
      <c r="BR244" s="265"/>
      <c r="BS244" s="265"/>
      <c r="BT244" s="265"/>
      <c r="BU244" s="265"/>
      <c r="BV244" s="265"/>
      <c r="BW244" s="265"/>
      <c r="BX244" s="265"/>
      <c r="BY244" s="265"/>
      <c r="BZ244" s="265"/>
      <c r="CA244" s="265"/>
      <c r="CB244" s="265"/>
      <c r="CC244" s="265"/>
      <c r="CD244" s="266"/>
      <c r="CE244" s="266"/>
      <c r="CF244" s="266"/>
      <c r="CG244" s="266"/>
      <c r="CH244" s="266"/>
      <c r="CI244" s="266"/>
      <c r="CJ244" s="266"/>
      <c r="CK244" s="266"/>
      <c r="CL244" s="266"/>
      <c r="CM244" s="266"/>
      <c r="CN244" s="266"/>
      <c r="CO244" s="266"/>
      <c r="CP244" s="266"/>
      <c r="CQ244" s="266"/>
      <c r="CR244" s="266"/>
      <c r="CS244" s="266"/>
      <c r="CT244" s="267"/>
      <c r="CU244" s="267"/>
      <c r="CV244" s="267"/>
      <c r="CW244" s="267"/>
      <c r="CX244" s="267"/>
      <c r="CY244" s="267"/>
      <c r="CZ244" s="267"/>
      <c r="DA244" s="267"/>
      <c r="DB244" s="267"/>
      <c r="DC244" s="267"/>
      <c r="DD244" s="267"/>
      <c r="DE244" s="267"/>
      <c r="DF244" s="267"/>
      <c r="DG244" s="267"/>
      <c r="DH244" s="267"/>
      <c r="DI244" s="267"/>
      <c r="DJ244" s="268"/>
      <c r="DK244" s="268"/>
      <c r="DL244" s="268"/>
      <c r="DM244" s="268"/>
      <c r="DN244" s="268"/>
      <c r="DO244" s="268"/>
      <c r="DP244" s="268"/>
      <c r="DQ244" s="268"/>
      <c r="DR244" s="268"/>
      <c r="DS244" s="268"/>
      <c r="DT244" s="268"/>
      <c r="DU244" s="268"/>
      <c r="DV244" s="268"/>
      <c r="DW244" s="268"/>
      <c r="DX244" s="268"/>
      <c r="DY244" s="268"/>
      <c r="EA244" s="13"/>
      <c r="EB244" s="96"/>
      <c r="EC244" s="96"/>
      <c r="ED244" s="96"/>
      <c r="EE244" s="96"/>
      <c r="EF244" s="96"/>
      <c r="EG244" s="96"/>
      <c r="EH244" s="96"/>
      <c r="EI244" s="96"/>
      <c r="EJ244" s="96"/>
      <c r="EK244" s="96"/>
      <c r="EL244" s="96"/>
      <c r="EM244" s="96"/>
      <c r="EN244" s="96"/>
      <c r="EO244" s="96"/>
      <c r="EP244" s="96"/>
      <c r="EQ244" s="96"/>
      <c r="ER244" s="96"/>
      <c r="ES244" s="96"/>
      <c r="ET244" s="96"/>
      <c r="EU244" s="96"/>
      <c r="EV244" s="96"/>
      <c r="EW244" s="96"/>
      <c r="EX244" s="96"/>
      <c r="EY244" s="96"/>
      <c r="EZ244" s="96"/>
      <c r="FA244" s="96"/>
      <c r="FB244" s="96"/>
      <c r="FC244" s="96"/>
      <c r="FD244" s="96"/>
      <c r="FE244" s="96"/>
      <c r="FF244" s="96"/>
      <c r="FG244" s="96"/>
      <c r="FH244" s="96"/>
      <c r="FI244" s="96"/>
      <c r="FJ244" s="96"/>
      <c r="FK244" s="96"/>
      <c r="FL244" s="96"/>
      <c r="FM244" s="96"/>
      <c r="FN244" s="96"/>
      <c r="FO244" s="96"/>
      <c r="FP244" s="96"/>
      <c r="FQ244" s="96"/>
      <c r="FR244" s="96"/>
      <c r="FS244" s="96"/>
      <c r="FT244" s="96"/>
      <c r="FU244" s="96"/>
      <c r="FV244" s="96"/>
      <c r="FW244" s="96"/>
      <c r="FX244" s="96"/>
      <c r="FY244" s="96"/>
      <c r="FZ244" s="96"/>
      <c r="GA244" s="96"/>
      <c r="GB244" s="96"/>
      <c r="GC244" s="96"/>
      <c r="GD244" s="96"/>
      <c r="GE244" s="96"/>
      <c r="GF244" s="96"/>
      <c r="GG244" s="96"/>
      <c r="GH244" s="96"/>
      <c r="GI244" s="96"/>
      <c r="GJ244" s="96"/>
      <c r="GK244" s="96"/>
      <c r="GL244" s="96"/>
      <c r="GM244" s="13"/>
      <c r="GN244" s="96"/>
      <c r="GO244" s="96"/>
      <c r="GP244" s="96"/>
      <c r="GQ244" s="96"/>
      <c r="GR244" s="96"/>
      <c r="GS244" s="96"/>
      <c r="GT244" s="96"/>
      <c r="GU244" s="96"/>
      <c r="GV244" s="96"/>
      <c r="GW244" s="96"/>
      <c r="GX244" s="96"/>
      <c r="GY244" s="96"/>
      <c r="GZ244" s="96"/>
      <c r="HA244" s="96"/>
      <c r="HB244" s="96"/>
      <c r="HC244" s="13"/>
      <c r="HD244" s="96"/>
      <c r="HE244" s="96"/>
      <c r="HF244" s="96"/>
      <c r="HG244" s="96"/>
      <c r="HH244" s="96"/>
      <c r="HI244" s="96"/>
      <c r="HJ244" s="96"/>
      <c r="HK244" s="96"/>
      <c r="HL244" s="96"/>
      <c r="HM244" s="96"/>
      <c r="HN244" s="96"/>
      <c r="HO244" s="96"/>
      <c r="HP244" s="96"/>
      <c r="HQ244" s="96"/>
      <c r="HR244" s="96"/>
      <c r="HS244" s="13"/>
      <c r="HT244" s="96"/>
      <c r="HU244" s="96"/>
      <c r="HV244" s="96"/>
      <c r="HW244" s="96"/>
      <c r="HX244" s="96"/>
      <c r="HY244" s="96"/>
      <c r="HZ244" s="96"/>
      <c r="IA244" s="96"/>
      <c r="IB244" s="96"/>
      <c r="IC244" s="96"/>
      <c r="ID244" s="96"/>
      <c r="IE244" s="96"/>
      <c r="IF244" s="96"/>
      <c r="IG244" s="96"/>
      <c r="IH244" s="96"/>
      <c r="II244" s="13"/>
      <c r="IJ244" s="96"/>
      <c r="IK244" s="96"/>
      <c r="IL244" s="96"/>
      <c r="IM244" s="96"/>
      <c r="IN244" s="96"/>
      <c r="IO244" s="96"/>
      <c r="IP244" s="96"/>
      <c r="IQ244" s="96"/>
      <c r="IR244" s="96"/>
      <c r="IS244" s="96"/>
      <c r="IT244" s="96"/>
      <c r="IU244" s="96"/>
      <c r="IV244" s="96"/>
      <c r="IW244" s="96"/>
      <c r="IX244" s="96"/>
      <c r="IY244" s="13"/>
    </row>
    <row r="245" spans="1:259" outlineLevel="1">
      <c r="A245" s="11">
        <f>'VAC &amp; MED'!C242</f>
        <v>46228</v>
      </c>
      <c r="B245" s="261"/>
      <c r="C245" s="261"/>
      <c r="D245" s="261"/>
      <c r="E245" s="261"/>
      <c r="F245" s="261"/>
      <c r="G245" s="261"/>
      <c r="H245" s="261"/>
      <c r="I245" s="261"/>
      <c r="J245" s="261"/>
      <c r="K245" s="261"/>
      <c r="L245" s="261"/>
      <c r="M245" s="261"/>
      <c r="N245" s="261"/>
      <c r="O245" s="261"/>
      <c r="P245" s="261"/>
      <c r="Q245" s="261"/>
      <c r="R245" s="262"/>
      <c r="S245" s="262"/>
      <c r="T245" s="262"/>
      <c r="U245" s="262"/>
      <c r="V245" s="262"/>
      <c r="W245" s="262"/>
      <c r="X245" s="262"/>
      <c r="Y245" s="262"/>
      <c r="Z245" s="262"/>
      <c r="AA245" s="262"/>
      <c r="AB245" s="262"/>
      <c r="AC245" s="262"/>
      <c r="AD245" s="262"/>
      <c r="AE245" s="262"/>
      <c r="AF245" s="262"/>
      <c r="AG245" s="262"/>
      <c r="AH245" s="263"/>
      <c r="AI245" s="263"/>
      <c r="AJ245" s="263"/>
      <c r="AK245" s="263"/>
      <c r="AL245" s="263"/>
      <c r="AM245" s="263"/>
      <c r="AN245" s="263"/>
      <c r="AO245" s="263"/>
      <c r="AP245" s="263"/>
      <c r="AQ245" s="263"/>
      <c r="AR245" s="263"/>
      <c r="AS245" s="263"/>
      <c r="AT245" s="263"/>
      <c r="AU245" s="263"/>
      <c r="AV245" s="263"/>
      <c r="AW245" s="263"/>
      <c r="AX245" s="264"/>
      <c r="AY245" s="264"/>
      <c r="AZ245" s="264"/>
      <c r="BA245" s="264"/>
      <c r="BB245" s="264"/>
      <c r="BC245" s="264"/>
      <c r="BD245" s="264"/>
      <c r="BE245" s="264"/>
      <c r="BF245" s="264"/>
      <c r="BG245" s="264"/>
      <c r="BH245" s="264"/>
      <c r="BI245" s="264"/>
      <c r="BJ245" s="264"/>
      <c r="BK245" s="264"/>
      <c r="BL245" s="264"/>
      <c r="BM245" s="264"/>
      <c r="BN245" s="265"/>
      <c r="BO245" s="265"/>
      <c r="BP245" s="265"/>
      <c r="BQ245" s="265"/>
      <c r="BR245" s="265"/>
      <c r="BS245" s="265"/>
      <c r="BT245" s="265"/>
      <c r="BU245" s="265"/>
      <c r="BV245" s="265"/>
      <c r="BW245" s="265"/>
      <c r="BX245" s="265"/>
      <c r="BY245" s="265"/>
      <c r="BZ245" s="265"/>
      <c r="CA245" s="265"/>
      <c r="CB245" s="265"/>
      <c r="CC245" s="265"/>
      <c r="CD245" s="266"/>
      <c r="CE245" s="266"/>
      <c r="CF245" s="266"/>
      <c r="CG245" s="266"/>
      <c r="CH245" s="266"/>
      <c r="CI245" s="266"/>
      <c r="CJ245" s="266"/>
      <c r="CK245" s="266"/>
      <c r="CL245" s="266"/>
      <c r="CM245" s="266"/>
      <c r="CN245" s="266"/>
      <c r="CO245" s="266"/>
      <c r="CP245" s="266"/>
      <c r="CQ245" s="266"/>
      <c r="CR245" s="266"/>
      <c r="CS245" s="266"/>
      <c r="CT245" s="267"/>
      <c r="CU245" s="267"/>
      <c r="CV245" s="267"/>
      <c r="CW245" s="267"/>
      <c r="CX245" s="267"/>
      <c r="CY245" s="267"/>
      <c r="CZ245" s="267"/>
      <c r="DA245" s="267">
        <v>30</v>
      </c>
      <c r="DB245" s="267"/>
      <c r="DC245" s="267"/>
      <c r="DD245" s="267">
        <v>30</v>
      </c>
      <c r="DE245" s="267"/>
      <c r="DF245" s="267"/>
      <c r="DG245" s="267"/>
      <c r="DH245" s="267"/>
      <c r="DI245" s="267"/>
      <c r="DJ245" s="268"/>
      <c r="DK245" s="268"/>
      <c r="DL245" s="268"/>
      <c r="DM245" s="268"/>
      <c r="DN245" s="268"/>
      <c r="DO245" s="268"/>
      <c r="DP245" s="268"/>
      <c r="DQ245" s="268"/>
      <c r="DR245" s="268"/>
      <c r="DS245" s="268"/>
      <c r="DT245" s="268"/>
      <c r="DU245" s="268"/>
      <c r="DV245" s="268"/>
      <c r="DW245" s="268"/>
      <c r="DX245" s="268"/>
      <c r="DY245" s="268"/>
      <c r="EA245" s="13"/>
      <c r="EB245" s="96"/>
      <c r="EC245" s="96"/>
      <c r="ED245" s="96"/>
      <c r="EE245" s="96"/>
      <c r="EF245" s="96"/>
      <c r="EG245" s="96"/>
      <c r="EH245" s="96"/>
      <c r="EI245" s="96"/>
      <c r="EJ245" s="96"/>
      <c r="EK245" s="96"/>
      <c r="EL245" s="96"/>
      <c r="EM245" s="96"/>
      <c r="EN245" s="96"/>
      <c r="EO245" s="96"/>
      <c r="EP245" s="96"/>
      <c r="EQ245" s="96"/>
      <c r="ER245" s="96"/>
      <c r="ES245" s="96"/>
      <c r="ET245" s="96"/>
      <c r="EU245" s="96"/>
      <c r="EV245" s="96"/>
      <c r="EW245" s="96"/>
      <c r="EX245" s="96"/>
      <c r="EY245" s="96"/>
      <c r="EZ245" s="96"/>
      <c r="FA245" s="96"/>
      <c r="FB245" s="96"/>
      <c r="FC245" s="96"/>
      <c r="FD245" s="96"/>
      <c r="FE245" s="96"/>
      <c r="FF245" s="96"/>
      <c r="FG245" s="96"/>
      <c r="FH245" s="96"/>
      <c r="FI245" s="96"/>
      <c r="FJ245" s="96"/>
      <c r="FK245" s="96"/>
      <c r="FL245" s="96"/>
      <c r="FM245" s="96"/>
      <c r="FN245" s="96"/>
      <c r="FO245" s="96"/>
      <c r="FP245" s="96"/>
      <c r="FQ245" s="96"/>
      <c r="FR245" s="96"/>
      <c r="FS245" s="96"/>
      <c r="FT245" s="96"/>
      <c r="FU245" s="96"/>
      <c r="FV245" s="96"/>
      <c r="FW245" s="96"/>
      <c r="FX245" s="96"/>
      <c r="FY245" s="96"/>
      <c r="FZ245" s="96"/>
      <c r="GA245" s="96"/>
      <c r="GB245" s="96"/>
      <c r="GC245" s="96"/>
      <c r="GD245" s="96"/>
      <c r="GE245" s="96"/>
      <c r="GF245" s="96"/>
      <c r="GG245" s="96"/>
      <c r="GH245" s="96"/>
      <c r="GI245" s="96"/>
      <c r="GJ245" s="96"/>
      <c r="GK245" s="96"/>
      <c r="GL245" s="96"/>
      <c r="GM245" s="13"/>
      <c r="GN245" s="96"/>
      <c r="GO245" s="96"/>
      <c r="GP245" s="96"/>
      <c r="GQ245" s="96"/>
      <c r="GR245" s="96"/>
      <c r="GS245" s="96"/>
      <c r="GT245" s="96"/>
      <c r="GU245" s="96"/>
      <c r="GV245" s="96"/>
      <c r="GW245" s="96"/>
      <c r="GX245" s="96"/>
      <c r="GY245" s="96"/>
      <c r="GZ245" s="96"/>
      <c r="HA245" s="96"/>
      <c r="HB245" s="96"/>
      <c r="HC245" s="13"/>
      <c r="HD245" s="96"/>
      <c r="HE245" s="96"/>
      <c r="HF245" s="96"/>
      <c r="HG245" s="96"/>
      <c r="HH245" s="96"/>
      <c r="HI245" s="96"/>
      <c r="HJ245" s="96"/>
      <c r="HK245" s="96"/>
      <c r="HL245" s="96"/>
      <c r="HM245" s="96"/>
      <c r="HN245" s="96"/>
      <c r="HO245" s="96"/>
      <c r="HP245" s="96"/>
      <c r="HQ245" s="96"/>
      <c r="HR245" s="96"/>
      <c r="HS245" s="13"/>
      <c r="HT245" s="96"/>
      <c r="HU245" s="96"/>
      <c r="HV245" s="96"/>
      <c r="HW245" s="96"/>
      <c r="HX245" s="96"/>
      <c r="HY245" s="96"/>
      <c r="HZ245" s="96"/>
      <c r="IA245" s="96"/>
      <c r="IB245" s="96"/>
      <c r="IC245" s="96"/>
      <c r="ID245" s="96"/>
      <c r="IE245" s="96"/>
      <c r="IF245" s="96"/>
      <c r="IG245" s="96"/>
      <c r="IH245" s="96"/>
      <c r="II245" s="13"/>
      <c r="IJ245" s="96"/>
      <c r="IK245" s="96"/>
      <c r="IL245" s="96"/>
      <c r="IM245" s="96"/>
      <c r="IN245" s="96"/>
      <c r="IO245" s="96"/>
      <c r="IP245" s="96"/>
      <c r="IQ245" s="96"/>
      <c r="IR245" s="96"/>
      <c r="IS245" s="96"/>
      <c r="IT245" s="96"/>
      <c r="IU245" s="96"/>
      <c r="IV245" s="96"/>
      <c r="IW245" s="96"/>
      <c r="IX245" s="96"/>
      <c r="IY245" s="13"/>
    </row>
    <row r="246" spans="1:259" outlineLevel="1">
      <c r="A246" s="11">
        <f>'VAC &amp; MED'!C243</f>
        <v>46229</v>
      </c>
      <c r="B246" s="261"/>
      <c r="C246" s="261"/>
      <c r="D246" s="261"/>
      <c r="E246" s="261"/>
      <c r="F246" s="261"/>
      <c r="G246" s="261"/>
      <c r="H246" s="261"/>
      <c r="I246" s="261"/>
      <c r="J246" s="261"/>
      <c r="K246" s="261"/>
      <c r="L246" s="261"/>
      <c r="M246" s="261"/>
      <c r="N246" s="261"/>
      <c r="O246" s="261"/>
      <c r="P246" s="261"/>
      <c r="Q246" s="261"/>
      <c r="R246" s="262"/>
      <c r="S246" s="262"/>
      <c r="T246" s="262"/>
      <c r="U246" s="262"/>
      <c r="V246" s="262"/>
      <c r="W246" s="262"/>
      <c r="X246" s="262"/>
      <c r="Y246" s="262"/>
      <c r="Z246" s="262"/>
      <c r="AA246" s="262"/>
      <c r="AB246" s="262"/>
      <c r="AC246" s="262"/>
      <c r="AD246" s="262"/>
      <c r="AE246" s="262"/>
      <c r="AF246" s="262"/>
      <c r="AG246" s="262"/>
      <c r="AH246" s="263"/>
      <c r="AI246" s="263"/>
      <c r="AJ246" s="263"/>
      <c r="AK246" s="263"/>
      <c r="AL246" s="263"/>
      <c r="AM246" s="263"/>
      <c r="AN246" s="263"/>
      <c r="AO246" s="263"/>
      <c r="AP246" s="263"/>
      <c r="AQ246" s="263"/>
      <c r="AR246" s="263"/>
      <c r="AS246" s="263"/>
      <c r="AT246" s="263"/>
      <c r="AU246" s="263"/>
      <c r="AV246" s="263"/>
      <c r="AW246" s="263"/>
      <c r="AX246" s="264"/>
      <c r="AY246" s="264"/>
      <c r="AZ246" s="264"/>
      <c r="BA246" s="264"/>
      <c r="BB246" s="264"/>
      <c r="BC246" s="264"/>
      <c r="BD246" s="264"/>
      <c r="BE246" s="264"/>
      <c r="BF246" s="264"/>
      <c r="BG246" s="264"/>
      <c r="BH246" s="264"/>
      <c r="BI246" s="264"/>
      <c r="BJ246" s="264"/>
      <c r="BK246" s="264"/>
      <c r="BL246" s="264"/>
      <c r="BM246" s="264"/>
      <c r="BN246" s="265"/>
      <c r="BO246" s="265"/>
      <c r="BP246" s="265"/>
      <c r="BQ246" s="265"/>
      <c r="BR246" s="265"/>
      <c r="BS246" s="265"/>
      <c r="BT246" s="265"/>
      <c r="BU246" s="265"/>
      <c r="BV246" s="265"/>
      <c r="BW246" s="265"/>
      <c r="BX246" s="265"/>
      <c r="BY246" s="265"/>
      <c r="BZ246" s="265"/>
      <c r="CA246" s="265"/>
      <c r="CB246" s="265"/>
      <c r="CC246" s="265"/>
      <c r="CD246" s="266"/>
      <c r="CE246" s="266"/>
      <c r="CF246" s="266"/>
      <c r="CG246" s="266"/>
      <c r="CH246" s="266"/>
      <c r="CI246" s="266"/>
      <c r="CJ246" s="266"/>
      <c r="CK246" s="266"/>
      <c r="CL246" s="266"/>
      <c r="CM246" s="266"/>
      <c r="CN246" s="266"/>
      <c r="CO246" s="266"/>
      <c r="CP246" s="266"/>
      <c r="CQ246" s="266"/>
      <c r="CR246" s="266"/>
      <c r="CS246" s="266"/>
      <c r="CT246" s="267"/>
      <c r="CU246" s="267"/>
      <c r="CV246" s="267"/>
      <c r="CW246" s="267"/>
      <c r="CX246" s="267"/>
      <c r="CY246" s="267"/>
      <c r="CZ246" s="267"/>
      <c r="DA246" s="267"/>
      <c r="DB246" s="267"/>
      <c r="DC246" s="267"/>
      <c r="DD246" s="267"/>
      <c r="DE246" s="267"/>
      <c r="DF246" s="267"/>
      <c r="DG246" s="267"/>
      <c r="DH246" s="267"/>
      <c r="DI246" s="267"/>
      <c r="DJ246" s="268"/>
      <c r="DK246" s="268"/>
      <c r="DL246" s="268"/>
      <c r="DM246" s="268"/>
      <c r="DN246" s="268"/>
      <c r="DO246" s="268"/>
      <c r="DP246" s="268"/>
      <c r="DQ246" s="268"/>
      <c r="DR246" s="268"/>
      <c r="DS246" s="268"/>
      <c r="DT246" s="268"/>
      <c r="DU246" s="268"/>
      <c r="DV246" s="268"/>
      <c r="DW246" s="268"/>
      <c r="DX246" s="268"/>
      <c r="DY246" s="268"/>
      <c r="EA246" s="13"/>
      <c r="EB246" s="96"/>
      <c r="EC246" s="96"/>
      <c r="ED246" s="96"/>
      <c r="EE246" s="96"/>
      <c r="EF246" s="96"/>
      <c r="EG246" s="96"/>
      <c r="EH246" s="96"/>
      <c r="EI246" s="96"/>
      <c r="EJ246" s="96"/>
      <c r="EK246" s="96"/>
      <c r="EL246" s="96"/>
      <c r="EM246" s="96"/>
      <c r="EN246" s="96"/>
      <c r="EO246" s="96"/>
      <c r="EP246" s="96"/>
      <c r="EQ246" s="96"/>
      <c r="ER246" s="96"/>
      <c r="ES246" s="96"/>
      <c r="ET246" s="96"/>
      <c r="EU246" s="96"/>
      <c r="EV246" s="96"/>
      <c r="EW246" s="96"/>
      <c r="EX246" s="96"/>
      <c r="EY246" s="96"/>
      <c r="EZ246" s="96"/>
      <c r="FA246" s="96"/>
      <c r="FB246" s="96"/>
      <c r="FC246" s="96"/>
      <c r="FD246" s="96"/>
      <c r="FE246" s="96"/>
      <c r="FF246" s="96"/>
      <c r="FG246" s="96"/>
      <c r="FH246" s="96"/>
      <c r="FI246" s="96"/>
      <c r="FJ246" s="96"/>
      <c r="FK246" s="96"/>
      <c r="FL246" s="96"/>
      <c r="FM246" s="96"/>
      <c r="FN246" s="96"/>
      <c r="FO246" s="96"/>
      <c r="FP246" s="96"/>
      <c r="FQ246" s="96"/>
      <c r="FR246" s="96"/>
      <c r="FS246" s="96"/>
      <c r="FT246" s="96"/>
      <c r="FU246" s="96"/>
      <c r="FV246" s="96"/>
      <c r="FW246" s="96"/>
      <c r="FX246" s="96"/>
      <c r="FY246" s="96"/>
      <c r="FZ246" s="96"/>
      <c r="GA246" s="96"/>
      <c r="GB246" s="96"/>
      <c r="GC246" s="96"/>
      <c r="GD246" s="96"/>
      <c r="GE246" s="96"/>
      <c r="GF246" s="96"/>
      <c r="GG246" s="96"/>
      <c r="GH246" s="96"/>
      <c r="GI246" s="96"/>
      <c r="GJ246" s="96"/>
      <c r="GK246" s="96"/>
      <c r="GL246" s="96"/>
      <c r="GM246" s="13"/>
      <c r="GN246" s="96"/>
      <c r="GO246" s="96"/>
      <c r="GP246" s="96"/>
      <c r="GQ246" s="96"/>
      <c r="GR246" s="96"/>
      <c r="GS246" s="96"/>
      <c r="GT246" s="96"/>
      <c r="GU246" s="96"/>
      <c r="GV246" s="96"/>
      <c r="GW246" s="96"/>
      <c r="GX246" s="96"/>
      <c r="GY246" s="96"/>
      <c r="GZ246" s="96"/>
      <c r="HA246" s="96"/>
      <c r="HB246" s="96"/>
      <c r="HC246" s="13"/>
      <c r="HD246" s="96"/>
      <c r="HE246" s="96"/>
      <c r="HF246" s="96"/>
      <c r="HG246" s="96"/>
      <c r="HH246" s="96"/>
      <c r="HI246" s="96"/>
      <c r="HJ246" s="96"/>
      <c r="HK246" s="96"/>
      <c r="HL246" s="96"/>
      <c r="HM246" s="96"/>
      <c r="HN246" s="96"/>
      <c r="HO246" s="96"/>
      <c r="HP246" s="96"/>
      <c r="HQ246" s="96"/>
      <c r="HR246" s="96"/>
      <c r="HS246" s="13"/>
      <c r="HT246" s="96"/>
      <c r="HU246" s="96"/>
      <c r="HV246" s="96"/>
      <c r="HW246" s="96"/>
      <c r="HX246" s="96"/>
      <c r="HY246" s="96"/>
      <c r="HZ246" s="96"/>
      <c r="IA246" s="96"/>
      <c r="IB246" s="96"/>
      <c r="IC246" s="96"/>
      <c r="ID246" s="96"/>
      <c r="IE246" s="96"/>
      <c r="IF246" s="96"/>
      <c r="IG246" s="96"/>
      <c r="IH246" s="96"/>
      <c r="II246" s="13"/>
      <c r="IJ246" s="96"/>
      <c r="IK246" s="96"/>
      <c r="IL246" s="96"/>
      <c r="IM246" s="96"/>
      <c r="IN246" s="96"/>
      <c r="IO246" s="96"/>
      <c r="IP246" s="96"/>
      <c r="IQ246" s="96"/>
      <c r="IR246" s="96"/>
      <c r="IS246" s="96"/>
      <c r="IT246" s="96"/>
      <c r="IU246" s="96"/>
      <c r="IV246" s="96"/>
      <c r="IW246" s="96"/>
      <c r="IX246" s="96"/>
      <c r="IY246" s="13"/>
    </row>
    <row r="247" spans="1:259" outlineLevel="1">
      <c r="A247" s="11">
        <f>'VAC &amp; MED'!C244</f>
        <v>46230</v>
      </c>
      <c r="B247" s="261"/>
      <c r="C247" s="261"/>
      <c r="D247" s="261"/>
      <c r="E247" s="261"/>
      <c r="F247" s="261"/>
      <c r="G247" s="261"/>
      <c r="H247" s="261"/>
      <c r="I247" s="261"/>
      <c r="J247" s="261"/>
      <c r="K247" s="261"/>
      <c r="L247" s="261"/>
      <c r="M247" s="261"/>
      <c r="N247" s="261"/>
      <c r="O247" s="261"/>
      <c r="P247" s="261"/>
      <c r="Q247" s="261"/>
      <c r="R247" s="262"/>
      <c r="S247" s="262"/>
      <c r="T247" s="262"/>
      <c r="U247" s="262"/>
      <c r="V247" s="262"/>
      <c r="W247" s="262"/>
      <c r="X247" s="262"/>
      <c r="Y247" s="262"/>
      <c r="Z247" s="262"/>
      <c r="AA247" s="262"/>
      <c r="AB247" s="262"/>
      <c r="AC247" s="262"/>
      <c r="AD247" s="262"/>
      <c r="AE247" s="262"/>
      <c r="AF247" s="262"/>
      <c r="AG247" s="262"/>
      <c r="AH247" s="263"/>
      <c r="AI247" s="263"/>
      <c r="AJ247" s="263"/>
      <c r="AK247" s="263"/>
      <c r="AL247" s="263"/>
      <c r="AM247" s="263"/>
      <c r="AN247" s="263"/>
      <c r="AO247" s="263"/>
      <c r="AP247" s="263"/>
      <c r="AQ247" s="263"/>
      <c r="AR247" s="263"/>
      <c r="AS247" s="263"/>
      <c r="AT247" s="263"/>
      <c r="AU247" s="263"/>
      <c r="AV247" s="263"/>
      <c r="AW247" s="263"/>
      <c r="AX247" s="264"/>
      <c r="AY247" s="264"/>
      <c r="AZ247" s="264"/>
      <c r="BA247" s="264"/>
      <c r="BB247" s="264"/>
      <c r="BC247" s="264"/>
      <c r="BD247" s="264"/>
      <c r="BE247" s="264"/>
      <c r="BF247" s="264"/>
      <c r="BG247" s="264"/>
      <c r="BH247" s="264"/>
      <c r="BI247" s="264"/>
      <c r="BJ247" s="264"/>
      <c r="BK247" s="264"/>
      <c r="BL247" s="264"/>
      <c r="BM247" s="264"/>
      <c r="BN247" s="265"/>
      <c r="BO247" s="265"/>
      <c r="BP247" s="265"/>
      <c r="BQ247" s="265"/>
      <c r="BR247" s="265"/>
      <c r="BS247" s="265"/>
      <c r="BT247" s="265"/>
      <c r="BU247" s="265"/>
      <c r="BV247" s="265"/>
      <c r="BW247" s="265"/>
      <c r="BX247" s="265"/>
      <c r="BY247" s="265"/>
      <c r="BZ247" s="265"/>
      <c r="CA247" s="265"/>
      <c r="CB247" s="265"/>
      <c r="CC247" s="265"/>
      <c r="CD247" s="266"/>
      <c r="CE247" s="266"/>
      <c r="CF247" s="266"/>
      <c r="CG247" s="266"/>
      <c r="CH247" s="266"/>
      <c r="CI247" s="266"/>
      <c r="CJ247" s="266"/>
      <c r="CK247" s="266"/>
      <c r="CL247" s="266"/>
      <c r="CM247" s="266"/>
      <c r="CN247" s="266"/>
      <c r="CO247" s="266"/>
      <c r="CP247" s="266"/>
      <c r="CQ247" s="266"/>
      <c r="CR247" s="266"/>
      <c r="CS247" s="266"/>
      <c r="CT247" s="267"/>
      <c r="CU247" s="267"/>
      <c r="CV247" s="267"/>
      <c r="CW247" s="267"/>
      <c r="CX247" s="267"/>
      <c r="CY247" s="267"/>
      <c r="CZ247" s="267"/>
      <c r="DA247" s="267"/>
      <c r="DB247" s="267"/>
      <c r="DC247" s="267"/>
      <c r="DD247" s="267"/>
      <c r="DE247" s="267"/>
      <c r="DF247" s="267"/>
      <c r="DG247" s="267"/>
      <c r="DH247" s="267">
        <v>60</v>
      </c>
      <c r="DI247" s="267"/>
      <c r="DJ247" s="268"/>
      <c r="DK247" s="268"/>
      <c r="DL247" s="268"/>
      <c r="DM247" s="268"/>
      <c r="DN247" s="268"/>
      <c r="DO247" s="268"/>
      <c r="DP247" s="268"/>
      <c r="DQ247" s="268"/>
      <c r="DR247" s="268"/>
      <c r="DS247" s="268"/>
      <c r="DT247" s="268"/>
      <c r="DU247" s="268"/>
      <c r="DV247" s="268"/>
      <c r="DW247" s="268"/>
      <c r="DX247" s="268"/>
      <c r="DY247" s="268"/>
      <c r="EA247" s="13"/>
      <c r="EB247" s="96"/>
      <c r="EC247" s="96"/>
      <c r="ED247" s="96"/>
      <c r="EE247" s="96"/>
      <c r="EF247" s="96"/>
      <c r="EG247" s="96"/>
      <c r="EH247" s="96"/>
      <c r="EI247" s="96"/>
      <c r="EJ247" s="96"/>
      <c r="EK247" s="96"/>
      <c r="EL247" s="96"/>
      <c r="EM247" s="96"/>
      <c r="EN247" s="96"/>
      <c r="EO247" s="96"/>
      <c r="EP247" s="96"/>
      <c r="EQ247" s="96"/>
      <c r="ER247" s="96"/>
      <c r="ES247" s="96"/>
      <c r="ET247" s="96"/>
      <c r="EU247" s="96"/>
      <c r="EV247" s="96"/>
      <c r="EW247" s="96"/>
      <c r="EX247" s="96"/>
      <c r="EY247" s="96"/>
      <c r="EZ247" s="96"/>
      <c r="FA247" s="96"/>
      <c r="FB247" s="96"/>
      <c r="FC247" s="96"/>
      <c r="FD247" s="96"/>
      <c r="FE247" s="96"/>
      <c r="FF247" s="96"/>
      <c r="FG247" s="96"/>
      <c r="FH247" s="96"/>
      <c r="FI247" s="96"/>
      <c r="FJ247" s="96"/>
      <c r="FK247" s="96"/>
      <c r="FL247" s="96"/>
      <c r="FM247" s="96"/>
      <c r="FN247" s="96"/>
      <c r="FO247" s="96"/>
      <c r="FP247" s="96"/>
      <c r="FQ247" s="96"/>
      <c r="FR247" s="96"/>
      <c r="FS247" s="96"/>
      <c r="FT247" s="96"/>
      <c r="FU247" s="96"/>
      <c r="FV247" s="96"/>
      <c r="FW247" s="96"/>
      <c r="FX247" s="96"/>
      <c r="FY247" s="96"/>
      <c r="FZ247" s="96"/>
      <c r="GA247" s="96"/>
      <c r="GB247" s="96"/>
      <c r="GC247" s="96"/>
      <c r="GD247" s="96"/>
      <c r="GE247" s="96"/>
      <c r="GF247" s="96"/>
      <c r="GG247" s="96"/>
      <c r="GH247" s="96"/>
      <c r="GI247" s="96"/>
      <c r="GJ247" s="96"/>
      <c r="GK247" s="96"/>
      <c r="GL247" s="96"/>
      <c r="GM247" s="13"/>
      <c r="GN247" s="96"/>
      <c r="GO247" s="96"/>
      <c r="GP247" s="96"/>
      <c r="GQ247" s="96"/>
      <c r="GR247" s="96"/>
      <c r="GS247" s="96"/>
      <c r="GT247" s="96"/>
      <c r="GU247" s="96"/>
      <c r="GV247" s="96"/>
      <c r="GW247" s="96"/>
      <c r="GX247" s="96"/>
      <c r="GY247" s="96"/>
      <c r="GZ247" s="96"/>
      <c r="HA247" s="96"/>
      <c r="HB247" s="96"/>
      <c r="HC247" s="13"/>
      <c r="HD247" s="96"/>
      <c r="HE247" s="96"/>
      <c r="HF247" s="96"/>
      <c r="HG247" s="96"/>
      <c r="HH247" s="96"/>
      <c r="HI247" s="96"/>
      <c r="HJ247" s="96"/>
      <c r="HK247" s="96"/>
      <c r="HL247" s="96"/>
      <c r="HM247" s="96"/>
      <c r="HN247" s="96"/>
      <c r="HO247" s="96"/>
      <c r="HP247" s="96"/>
      <c r="HQ247" s="96"/>
      <c r="HR247" s="96"/>
      <c r="HS247" s="13"/>
      <c r="HT247" s="96"/>
      <c r="HU247" s="96"/>
      <c r="HV247" s="96"/>
      <c r="HW247" s="96"/>
      <c r="HX247" s="96"/>
      <c r="HY247" s="96"/>
      <c r="HZ247" s="96"/>
      <c r="IA247" s="96"/>
      <c r="IB247" s="96"/>
      <c r="IC247" s="96"/>
      <c r="ID247" s="96"/>
      <c r="IE247" s="96"/>
      <c r="IF247" s="96"/>
      <c r="IG247" s="96"/>
      <c r="IH247" s="96"/>
      <c r="II247" s="13"/>
      <c r="IJ247" s="96"/>
      <c r="IK247" s="96"/>
      <c r="IL247" s="96"/>
      <c r="IM247" s="96"/>
      <c r="IN247" s="96"/>
      <c r="IO247" s="96"/>
      <c r="IP247" s="96"/>
      <c r="IQ247" s="96"/>
      <c r="IR247" s="96"/>
      <c r="IS247" s="96"/>
      <c r="IT247" s="96"/>
      <c r="IU247" s="96"/>
      <c r="IV247" s="96"/>
      <c r="IW247" s="96"/>
      <c r="IX247" s="96"/>
      <c r="IY247" s="13"/>
    </row>
    <row r="248" spans="1:259" outlineLevel="1">
      <c r="A248" s="11">
        <f>'VAC &amp; MED'!C245</f>
        <v>46231</v>
      </c>
      <c r="B248" s="261"/>
      <c r="C248" s="261"/>
      <c r="D248" s="261"/>
      <c r="E248" s="261"/>
      <c r="F248" s="261"/>
      <c r="G248" s="261"/>
      <c r="H248" s="261"/>
      <c r="I248" s="261"/>
      <c r="J248" s="261"/>
      <c r="K248" s="261"/>
      <c r="L248" s="261"/>
      <c r="M248" s="261"/>
      <c r="N248" s="261"/>
      <c r="O248" s="261"/>
      <c r="P248" s="261"/>
      <c r="Q248" s="261"/>
      <c r="R248" s="262"/>
      <c r="S248" s="262"/>
      <c r="T248" s="262"/>
      <c r="U248" s="262"/>
      <c r="V248" s="262"/>
      <c r="W248" s="262"/>
      <c r="X248" s="262"/>
      <c r="Y248" s="262"/>
      <c r="Z248" s="262"/>
      <c r="AA248" s="262"/>
      <c r="AB248" s="262"/>
      <c r="AC248" s="262"/>
      <c r="AD248" s="262"/>
      <c r="AE248" s="262"/>
      <c r="AF248" s="262"/>
      <c r="AG248" s="262"/>
      <c r="AH248" s="263"/>
      <c r="AI248" s="263"/>
      <c r="AJ248" s="263"/>
      <c r="AK248" s="263"/>
      <c r="AL248" s="263"/>
      <c r="AM248" s="263"/>
      <c r="AN248" s="263"/>
      <c r="AO248" s="263"/>
      <c r="AP248" s="263"/>
      <c r="AQ248" s="263"/>
      <c r="AR248" s="263"/>
      <c r="AS248" s="263"/>
      <c r="AT248" s="263"/>
      <c r="AU248" s="263"/>
      <c r="AV248" s="263"/>
      <c r="AW248" s="263"/>
      <c r="AX248" s="264"/>
      <c r="AY248" s="264"/>
      <c r="AZ248" s="264"/>
      <c r="BA248" s="264"/>
      <c r="BB248" s="264"/>
      <c r="BC248" s="264"/>
      <c r="BD248" s="264"/>
      <c r="BE248" s="264"/>
      <c r="BF248" s="264"/>
      <c r="BG248" s="264"/>
      <c r="BH248" s="264"/>
      <c r="BI248" s="264"/>
      <c r="BJ248" s="264"/>
      <c r="BK248" s="264"/>
      <c r="BL248" s="264"/>
      <c r="BM248" s="264"/>
      <c r="BN248" s="265"/>
      <c r="BO248" s="265"/>
      <c r="BP248" s="265"/>
      <c r="BQ248" s="265"/>
      <c r="BR248" s="265"/>
      <c r="BS248" s="265"/>
      <c r="BT248" s="265"/>
      <c r="BU248" s="265"/>
      <c r="BV248" s="265"/>
      <c r="BW248" s="265"/>
      <c r="BX248" s="265"/>
      <c r="BY248" s="265"/>
      <c r="BZ248" s="265"/>
      <c r="CA248" s="265"/>
      <c r="CB248" s="265"/>
      <c r="CC248" s="265"/>
      <c r="CD248" s="266"/>
      <c r="CE248" s="266"/>
      <c r="CF248" s="266"/>
      <c r="CG248" s="266"/>
      <c r="CH248" s="266"/>
      <c r="CI248" s="266"/>
      <c r="CJ248" s="266"/>
      <c r="CK248" s="266"/>
      <c r="CL248" s="266"/>
      <c r="CM248" s="266"/>
      <c r="CN248" s="266"/>
      <c r="CO248" s="266"/>
      <c r="CP248" s="266"/>
      <c r="CQ248" s="266"/>
      <c r="CR248" s="266"/>
      <c r="CS248" s="266"/>
      <c r="CT248" s="267"/>
      <c r="CU248" s="267"/>
      <c r="CV248" s="267"/>
      <c r="CW248" s="267"/>
      <c r="CX248" s="267"/>
      <c r="CY248" s="267"/>
      <c r="CZ248" s="267"/>
      <c r="DA248" s="267"/>
      <c r="DB248" s="267"/>
      <c r="DC248" s="267"/>
      <c r="DD248" s="267"/>
      <c r="DE248" s="267"/>
      <c r="DF248" s="267"/>
      <c r="DG248" s="267"/>
      <c r="DH248" s="267"/>
      <c r="DI248" s="267"/>
      <c r="DJ248" s="268"/>
      <c r="DK248" s="268"/>
      <c r="DL248" s="268"/>
      <c r="DM248" s="268"/>
      <c r="DN248" s="268"/>
      <c r="DO248" s="268"/>
      <c r="DP248" s="268"/>
      <c r="DQ248" s="268"/>
      <c r="DR248" s="268"/>
      <c r="DS248" s="268"/>
      <c r="DT248" s="268"/>
      <c r="DU248" s="268"/>
      <c r="DV248" s="268"/>
      <c r="DW248" s="268"/>
      <c r="DX248" s="268"/>
      <c r="DY248" s="268"/>
      <c r="EA248" s="13"/>
      <c r="EB248" s="96"/>
      <c r="EC248" s="96"/>
      <c r="ED248" s="96"/>
      <c r="EE248" s="96"/>
      <c r="EF248" s="96"/>
      <c r="EG248" s="96"/>
      <c r="EH248" s="96"/>
      <c r="EI248" s="96"/>
      <c r="EJ248" s="96"/>
      <c r="EK248" s="96"/>
      <c r="EL248" s="96"/>
      <c r="EM248" s="96"/>
      <c r="EN248" s="96"/>
      <c r="EO248" s="96"/>
      <c r="EP248" s="96"/>
      <c r="EQ248" s="96"/>
      <c r="ER248" s="96"/>
      <c r="ES248" s="96"/>
      <c r="ET248" s="96"/>
      <c r="EU248" s="96"/>
      <c r="EV248" s="96"/>
      <c r="EW248" s="96"/>
      <c r="EX248" s="96"/>
      <c r="EY248" s="96"/>
      <c r="EZ248" s="96"/>
      <c r="FA248" s="96"/>
      <c r="FB248" s="96"/>
      <c r="FC248" s="96"/>
      <c r="FD248" s="96"/>
      <c r="FE248" s="96"/>
      <c r="FF248" s="96"/>
      <c r="FG248" s="96"/>
      <c r="FH248" s="96"/>
      <c r="FI248" s="96"/>
      <c r="FJ248" s="96"/>
      <c r="FK248" s="96"/>
      <c r="FL248" s="96"/>
      <c r="FM248" s="96"/>
      <c r="FN248" s="96"/>
      <c r="FO248" s="96"/>
      <c r="FP248" s="96"/>
      <c r="FQ248" s="96"/>
      <c r="FR248" s="96"/>
      <c r="FS248" s="96"/>
      <c r="FT248" s="96"/>
      <c r="FU248" s="96"/>
      <c r="FV248" s="96"/>
      <c r="FW248" s="96"/>
      <c r="FX248" s="96"/>
      <c r="FY248" s="96"/>
      <c r="FZ248" s="96"/>
      <c r="GA248" s="96"/>
      <c r="GB248" s="96"/>
      <c r="GC248" s="96"/>
      <c r="GD248" s="96"/>
      <c r="GE248" s="96"/>
      <c r="GF248" s="96"/>
      <c r="GG248" s="96"/>
      <c r="GH248" s="96"/>
      <c r="GI248" s="96"/>
      <c r="GJ248" s="96"/>
      <c r="GK248" s="96"/>
      <c r="GL248" s="96"/>
      <c r="GM248" s="13"/>
      <c r="GN248" s="96"/>
      <c r="GO248" s="96"/>
      <c r="GP248" s="96"/>
      <c r="GQ248" s="96"/>
      <c r="GR248" s="96"/>
      <c r="GS248" s="96"/>
      <c r="GT248" s="96"/>
      <c r="GU248" s="96"/>
      <c r="GV248" s="96"/>
      <c r="GW248" s="96"/>
      <c r="GX248" s="96"/>
      <c r="GY248" s="96"/>
      <c r="GZ248" s="96"/>
      <c r="HA248" s="96"/>
      <c r="HB248" s="96"/>
      <c r="HC248" s="13"/>
      <c r="HD248" s="96"/>
      <c r="HE248" s="96"/>
      <c r="HF248" s="96"/>
      <c r="HG248" s="96"/>
      <c r="HH248" s="96"/>
      <c r="HI248" s="96"/>
      <c r="HJ248" s="96"/>
      <c r="HK248" s="96"/>
      <c r="HL248" s="96"/>
      <c r="HM248" s="96"/>
      <c r="HN248" s="96"/>
      <c r="HO248" s="96"/>
      <c r="HP248" s="96"/>
      <c r="HQ248" s="96"/>
      <c r="HR248" s="96"/>
      <c r="HS248" s="13"/>
      <c r="HT248" s="96"/>
      <c r="HU248" s="96"/>
      <c r="HV248" s="96"/>
      <c r="HW248" s="96"/>
      <c r="HX248" s="96"/>
      <c r="HY248" s="96"/>
      <c r="HZ248" s="96"/>
      <c r="IA248" s="96"/>
      <c r="IB248" s="96"/>
      <c r="IC248" s="96"/>
      <c r="ID248" s="96"/>
      <c r="IE248" s="96"/>
      <c r="IF248" s="96"/>
      <c r="IG248" s="96"/>
      <c r="IH248" s="96"/>
      <c r="II248" s="13"/>
      <c r="IJ248" s="96"/>
      <c r="IK248" s="96"/>
      <c r="IL248" s="96"/>
      <c r="IM248" s="96"/>
      <c r="IN248" s="96"/>
      <c r="IO248" s="96"/>
      <c r="IP248" s="96"/>
      <c r="IQ248" s="96"/>
      <c r="IR248" s="96"/>
      <c r="IS248" s="96"/>
      <c r="IT248" s="96"/>
      <c r="IU248" s="96"/>
      <c r="IV248" s="96"/>
      <c r="IW248" s="96"/>
      <c r="IX248" s="96"/>
      <c r="IY248" s="13"/>
    </row>
    <row r="249" spans="1:259" outlineLevel="1">
      <c r="A249" s="11">
        <f>'VAC &amp; MED'!C246</f>
        <v>46232</v>
      </c>
      <c r="B249" s="269"/>
      <c r="C249" s="269"/>
      <c r="D249" s="269"/>
      <c r="E249" s="269"/>
      <c r="F249" s="269"/>
      <c r="G249" s="269"/>
      <c r="H249" s="269"/>
      <c r="I249" s="269"/>
      <c r="J249" s="269"/>
      <c r="K249" s="269"/>
      <c r="L249" s="269"/>
      <c r="M249" s="269"/>
      <c r="N249" s="269"/>
      <c r="O249" s="269"/>
      <c r="P249" s="269"/>
      <c r="Q249" s="269"/>
      <c r="R249" s="270"/>
      <c r="S249" s="270"/>
      <c r="T249" s="270"/>
      <c r="U249" s="270"/>
      <c r="V249" s="270"/>
      <c r="W249" s="270"/>
      <c r="X249" s="270"/>
      <c r="Y249" s="270"/>
      <c r="Z249" s="270"/>
      <c r="AA249" s="270"/>
      <c r="AB249" s="270"/>
      <c r="AC249" s="270"/>
      <c r="AD249" s="270"/>
      <c r="AE249" s="270"/>
      <c r="AF249" s="270"/>
      <c r="AG249" s="270"/>
      <c r="AH249" s="271"/>
      <c r="AI249" s="271"/>
      <c r="AJ249" s="271"/>
      <c r="AK249" s="271"/>
      <c r="AL249" s="271"/>
      <c r="AM249" s="271"/>
      <c r="AN249" s="271"/>
      <c r="AO249" s="271"/>
      <c r="AP249" s="271"/>
      <c r="AQ249" s="271"/>
      <c r="AR249" s="271"/>
      <c r="AS249" s="271"/>
      <c r="AT249" s="271"/>
      <c r="AU249" s="271"/>
      <c r="AV249" s="271"/>
      <c r="AW249" s="271"/>
      <c r="AX249" s="272"/>
      <c r="AY249" s="272"/>
      <c r="AZ249" s="272"/>
      <c r="BA249" s="272"/>
      <c r="BB249" s="272"/>
      <c r="BC249" s="272"/>
      <c r="BD249" s="272"/>
      <c r="BE249" s="272"/>
      <c r="BF249" s="272"/>
      <c r="BG249" s="272"/>
      <c r="BH249" s="272"/>
      <c r="BI249" s="272"/>
      <c r="BJ249" s="272"/>
      <c r="BK249" s="272"/>
      <c r="BL249" s="272"/>
      <c r="BM249" s="272"/>
      <c r="BN249" s="273"/>
      <c r="BO249" s="273"/>
      <c r="BP249" s="273"/>
      <c r="BQ249" s="273"/>
      <c r="BR249" s="273"/>
      <c r="BS249" s="273"/>
      <c r="BT249" s="273"/>
      <c r="BU249" s="273"/>
      <c r="BV249" s="273"/>
      <c r="BW249" s="273"/>
      <c r="BX249" s="273"/>
      <c r="BY249" s="273"/>
      <c r="BZ249" s="273"/>
      <c r="CA249" s="273"/>
      <c r="CB249" s="273"/>
      <c r="CC249" s="273"/>
      <c r="CD249" s="274"/>
      <c r="CE249" s="274"/>
      <c r="CF249" s="274"/>
      <c r="CG249" s="274"/>
      <c r="CH249" s="274"/>
      <c r="CI249" s="274"/>
      <c r="CJ249" s="274"/>
      <c r="CK249" s="274"/>
      <c r="CL249" s="274"/>
      <c r="CM249" s="274"/>
      <c r="CN249" s="274"/>
      <c r="CO249" s="274"/>
      <c r="CP249" s="274"/>
      <c r="CQ249" s="274"/>
      <c r="CR249" s="274"/>
      <c r="CS249" s="274"/>
      <c r="CT249" s="275"/>
      <c r="CU249" s="275"/>
      <c r="CV249" s="275"/>
      <c r="CW249" s="275"/>
      <c r="CX249" s="275"/>
      <c r="CY249" s="275"/>
      <c r="CZ249" s="275"/>
      <c r="DA249" s="275"/>
      <c r="DB249" s="275"/>
      <c r="DC249" s="275"/>
      <c r="DD249" s="275"/>
      <c r="DE249" s="275"/>
      <c r="DF249" s="275"/>
      <c r="DG249" s="275"/>
      <c r="DH249" s="275"/>
      <c r="DI249" s="275"/>
      <c r="DJ249" s="276"/>
      <c r="DK249" s="276"/>
      <c r="DL249" s="276"/>
      <c r="DM249" s="276"/>
      <c r="DN249" s="276"/>
      <c r="DO249" s="276"/>
      <c r="DP249" s="276"/>
      <c r="DQ249" s="276"/>
      <c r="DR249" s="276"/>
      <c r="DS249" s="276"/>
      <c r="DT249" s="276"/>
      <c r="DU249" s="276"/>
      <c r="DV249" s="276"/>
      <c r="DW249" s="276"/>
      <c r="DX249" s="276"/>
      <c r="DY249" s="276"/>
      <c r="EA249" s="89"/>
      <c r="EB249" s="96"/>
      <c r="EC249" s="96"/>
      <c r="ED249" s="96"/>
      <c r="EE249" s="96"/>
      <c r="EF249" s="96"/>
      <c r="EG249" s="96"/>
      <c r="EH249" s="96"/>
      <c r="EI249" s="96"/>
      <c r="EJ249" s="96"/>
      <c r="EK249" s="96"/>
      <c r="EL249" s="96"/>
      <c r="EM249" s="96"/>
      <c r="EN249" s="96"/>
      <c r="EO249" s="96"/>
      <c r="EP249" s="96"/>
      <c r="EQ249" s="96"/>
      <c r="ER249" s="96"/>
      <c r="ES249" s="96"/>
      <c r="ET249" s="96"/>
      <c r="EU249" s="96"/>
      <c r="EV249" s="96"/>
      <c r="EW249" s="96"/>
      <c r="EX249" s="96"/>
      <c r="EY249" s="96"/>
      <c r="EZ249" s="96"/>
      <c r="FA249" s="96"/>
      <c r="FB249" s="96"/>
      <c r="FC249" s="96"/>
      <c r="FD249" s="96"/>
      <c r="FE249" s="96"/>
      <c r="FF249" s="96"/>
      <c r="FG249" s="96"/>
      <c r="FH249" s="96"/>
      <c r="FI249" s="96"/>
      <c r="FJ249" s="96"/>
      <c r="FK249" s="96"/>
      <c r="FL249" s="96"/>
      <c r="FM249" s="96"/>
      <c r="FN249" s="96"/>
      <c r="FO249" s="96"/>
      <c r="FP249" s="96"/>
      <c r="FQ249" s="96"/>
      <c r="FR249" s="96"/>
      <c r="FS249" s="96"/>
      <c r="FT249" s="96"/>
      <c r="FU249" s="96"/>
      <c r="FV249" s="96"/>
      <c r="FW249" s="96"/>
      <c r="FX249" s="96"/>
      <c r="FY249" s="96"/>
      <c r="FZ249" s="96"/>
      <c r="GA249" s="96"/>
      <c r="GB249" s="96"/>
      <c r="GC249" s="96"/>
      <c r="GD249" s="96"/>
      <c r="GE249" s="96"/>
      <c r="GF249" s="96"/>
      <c r="GG249" s="96"/>
      <c r="GH249" s="96"/>
      <c r="GI249" s="96"/>
      <c r="GJ249" s="96"/>
      <c r="GK249" s="96"/>
      <c r="GL249" s="96"/>
      <c r="GM249" s="13"/>
      <c r="GN249" s="96"/>
      <c r="GO249" s="96"/>
      <c r="GP249" s="96"/>
      <c r="GQ249" s="96"/>
      <c r="GR249" s="96"/>
      <c r="GS249" s="96"/>
      <c r="GT249" s="96"/>
      <c r="GU249" s="96"/>
      <c r="GV249" s="96"/>
      <c r="GW249" s="96"/>
      <c r="GX249" s="96"/>
      <c r="GY249" s="96"/>
      <c r="GZ249" s="96"/>
      <c r="HA249" s="96"/>
      <c r="HB249" s="96"/>
      <c r="HC249" s="13"/>
      <c r="HD249" s="96"/>
      <c r="HE249" s="96"/>
      <c r="HF249" s="96"/>
      <c r="HG249" s="96"/>
      <c r="HH249" s="96"/>
      <c r="HI249" s="96"/>
      <c r="HJ249" s="96"/>
      <c r="HK249" s="96"/>
      <c r="HL249" s="96"/>
      <c r="HM249" s="96"/>
      <c r="HN249" s="96"/>
      <c r="HO249" s="96"/>
      <c r="HP249" s="96"/>
      <c r="HQ249" s="96"/>
      <c r="HR249" s="96"/>
      <c r="HS249" s="13"/>
      <c r="HT249" s="96"/>
      <c r="HU249" s="96"/>
      <c r="HV249" s="96"/>
      <c r="HW249" s="96"/>
      <c r="HX249" s="96"/>
      <c r="HY249" s="96"/>
      <c r="HZ249" s="96"/>
      <c r="IA249" s="96"/>
      <c r="IB249" s="96"/>
      <c r="IC249" s="96"/>
      <c r="ID249" s="96"/>
      <c r="IE249" s="96"/>
      <c r="IF249" s="96"/>
      <c r="IG249" s="96"/>
      <c r="IH249" s="96"/>
      <c r="II249" s="13"/>
      <c r="IJ249" s="96"/>
      <c r="IK249" s="96"/>
      <c r="IL249" s="96"/>
      <c r="IM249" s="96"/>
      <c r="IN249" s="96"/>
      <c r="IO249" s="96"/>
      <c r="IP249" s="96"/>
      <c r="IQ249" s="96"/>
      <c r="IR249" s="96"/>
      <c r="IS249" s="96"/>
      <c r="IT249" s="96"/>
      <c r="IU249" s="96"/>
      <c r="IV249" s="96"/>
      <c r="IW249" s="96"/>
      <c r="IX249" s="96"/>
      <c r="IY249" s="13"/>
    </row>
    <row r="250" spans="1:259" outlineLevel="1">
      <c r="A250" s="11">
        <f>'VAC &amp; MED'!C247</f>
        <v>46233</v>
      </c>
      <c r="B250" s="261"/>
      <c r="C250" s="261"/>
      <c r="D250" s="261"/>
      <c r="E250" s="261"/>
      <c r="F250" s="261"/>
      <c r="G250" s="261"/>
      <c r="H250" s="261"/>
      <c r="I250" s="261"/>
      <c r="J250" s="261"/>
      <c r="K250" s="261"/>
      <c r="L250" s="261"/>
      <c r="M250" s="261"/>
      <c r="N250" s="261"/>
      <c r="O250" s="261"/>
      <c r="P250" s="261"/>
      <c r="Q250" s="261"/>
      <c r="R250" s="262"/>
      <c r="S250" s="262"/>
      <c r="T250" s="262"/>
      <c r="U250" s="262"/>
      <c r="V250" s="262"/>
      <c r="W250" s="262"/>
      <c r="X250" s="262"/>
      <c r="Y250" s="262"/>
      <c r="Z250" s="262"/>
      <c r="AA250" s="262"/>
      <c r="AB250" s="262"/>
      <c r="AC250" s="262"/>
      <c r="AD250" s="262"/>
      <c r="AE250" s="262"/>
      <c r="AF250" s="262"/>
      <c r="AG250" s="262"/>
      <c r="AH250" s="263"/>
      <c r="AI250" s="263"/>
      <c r="AJ250" s="263"/>
      <c r="AK250" s="263"/>
      <c r="AL250" s="263"/>
      <c r="AM250" s="263"/>
      <c r="AN250" s="263"/>
      <c r="AO250" s="263"/>
      <c r="AP250" s="263"/>
      <c r="AQ250" s="263"/>
      <c r="AR250" s="263"/>
      <c r="AS250" s="263"/>
      <c r="AT250" s="263"/>
      <c r="AU250" s="263"/>
      <c r="AV250" s="263"/>
      <c r="AW250" s="263"/>
      <c r="AX250" s="264"/>
      <c r="AY250" s="264"/>
      <c r="AZ250" s="264"/>
      <c r="BA250" s="264"/>
      <c r="BB250" s="264"/>
      <c r="BC250" s="264"/>
      <c r="BD250" s="264"/>
      <c r="BE250" s="264"/>
      <c r="BF250" s="264"/>
      <c r="BG250" s="264"/>
      <c r="BH250" s="264"/>
      <c r="BI250" s="264"/>
      <c r="BJ250" s="264"/>
      <c r="BK250" s="264"/>
      <c r="BL250" s="264"/>
      <c r="BM250" s="264"/>
      <c r="BN250" s="265"/>
      <c r="BO250" s="265"/>
      <c r="BP250" s="265"/>
      <c r="BQ250" s="265"/>
      <c r="BR250" s="265"/>
      <c r="BS250" s="265"/>
      <c r="BT250" s="265"/>
      <c r="BU250" s="265"/>
      <c r="BV250" s="265"/>
      <c r="BW250" s="265"/>
      <c r="BX250" s="265"/>
      <c r="BY250" s="265"/>
      <c r="BZ250" s="265"/>
      <c r="CA250" s="265"/>
      <c r="CB250" s="265"/>
      <c r="CC250" s="265"/>
      <c r="CD250" s="266"/>
      <c r="CE250" s="266"/>
      <c r="CF250" s="266"/>
      <c r="CG250" s="266"/>
      <c r="CH250" s="266"/>
      <c r="CI250" s="266"/>
      <c r="CJ250" s="266"/>
      <c r="CK250" s="266"/>
      <c r="CL250" s="266"/>
      <c r="CM250" s="266"/>
      <c r="CN250" s="266"/>
      <c r="CO250" s="266"/>
      <c r="CP250" s="266"/>
      <c r="CQ250" s="266"/>
      <c r="CR250" s="266"/>
      <c r="CS250" s="266"/>
      <c r="CT250" s="267"/>
      <c r="CU250" s="267"/>
      <c r="CV250" s="267"/>
      <c r="CW250" s="267"/>
      <c r="CX250" s="267"/>
      <c r="CY250" s="267"/>
      <c r="CZ250" s="267"/>
      <c r="DA250" s="267"/>
      <c r="DB250" s="267"/>
      <c r="DC250" s="267"/>
      <c r="DD250" s="267"/>
      <c r="DE250" s="267"/>
      <c r="DF250" s="267"/>
      <c r="DG250" s="267"/>
      <c r="DH250" s="267"/>
      <c r="DI250" s="267"/>
      <c r="DJ250" s="268"/>
      <c r="DK250" s="268"/>
      <c r="DL250" s="268"/>
      <c r="DM250" s="268"/>
      <c r="DN250" s="268"/>
      <c r="DO250" s="268"/>
      <c r="DP250" s="268"/>
      <c r="DQ250" s="268"/>
      <c r="DR250" s="268"/>
      <c r="DS250" s="268"/>
      <c r="DT250" s="268"/>
      <c r="DU250" s="268"/>
      <c r="DV250" s="268"/>
      <c r="DW250" s="268"/>
      <c r="DX250" s="268"/>
      <c r="DY250" s="268"/>
      <c r="EA250" s="13"/>
      <c r="EB250" s="95"/>
      <c r="EC250" s="95"/>
      <c r="ED250" s="95"/>
      <c r="EE250" s="95"/>
      <c r="EF250" s="95"/>
      <c r="EG250" s="95"/>
      <c r="EH250" s="95"/>
      <c r="EI250" s="95"/>
      <c r="EJ250" s="95"/>
      <c r="EK250" s="95"/>
      <c r="EL250" s="95"/>
      <c r="EM250" s="95"/>
      <c r="EN250" s="95"/>
      <c r="EO250" s="95"/>
      <c r="EP250" s="95"/>
      <c r="EQ250" s="95"/>
      <c r="ER250" s="13"/>
      <c r="ES250" s="13"/>
      <c r="ET250" s="13"/>
      <c r="EU250" s="13"/>
      <c r="EV250" s="13"/>
      <c r="EW250" s="13"/>
      <c r="EX250" s="13"/>
      <c r="EY250" s="13"/>
      <c r="EZ250" s="13"/>
      <c r="FA250" s="13"/>
      <c r="FB250" s="13"/>
      <c r="FC250" s="13"/>
      <c r="FD250" s="13"/>
      <c r="FE250" s="13"/>
      <c r="FF250" s="13"/>
      <c r="FG250" s="13"/>
      <c r="FH250" s="13"/>
      <c r="FI250" s="13"/>
      <c r="FJ250" s="13"/>
      <c r="FK250" s="13"/>
      <c r="FL250" s="13"/>
      <c r="FM250" s="13"/>
      <c r="FN250" s="13"/>
      <c r="FO250" s="13"/>
      <c r="FP250" s="13"/>
      <c r="FQ250" s="13"/>
      <c r="FR250" s="13"/>
      <c r="FS250" s="13"/>
      <c r="FT250" s="13"/>
      <c r="FU250" s="13"/>
      <c r="FV250" s="13"/>
      <c r="FW250" s="13"/>
      <c r="FX250" s="13"/>
      <c r="FY250" s="13"/>
      <c r="FZ250" s="13"/>
      <c r="GA250" s="13"/>
      <c r="GB250" s="13"/>
      <c r="GC250" s="13"/>
      <c r="GD250" s="13"/>
      <c r="GE250" s="13"/>
      <c r="GF250" s="13"/>
      <c r="GG250" s="13"/>
      <c r="GH250" s="13"/>
      <c r="GI250" s="13"/>
      <c r="GJ250" s="13"/>
      <c r="GK250" s="13"/>
      <c r="GL250" s="13"/>
      <c r="GM250" s="13"/>
      <c r="GN250" s="13"/>
      <c r="GO250" s="13"/>
      <c r="GP250" s="13"/>
      <c r="GQ250" s="13"/>
      <c r="GR250" s="13"/>
      <c r="GS250" s="13"/>
      <c r="GT250" s="13"/>
      <c r="GU250" s="13"/>
      <c r="GV250" s="13"/>
      <c r="GW250" s="13"/>
      <c r="GX250" s="13"/>
      <c r="GY250" s="13"/>
      <c r="GZ250" s="13"/>
      <c r="HA250" s="13"/>
      <c r="HB250" s="13"/>
      <c r="HC250" s="13"/>
      <c r="HD250" s="13"/>
      <c r="HE250" s="13"/>
      <c r="HF250" s="13"/>
      <c r="HG250" s="13"/>
      <c r="HH250" s="13"/>
      <c r="HI250" s="13"/>
      <c r="HJ250" s="13"/>
      <c r="HK250" s="13"/>
      <c r="HL250" s="13"/>
      <c r="HM250" s="13"/>
      <c r="HN250" s="13"/>
      <c r="HO250" s="13"/>
      <c r="HP250" s="13"/>
      <c r="HQ250" s="13"/>
      <c r="HR250" s="13"/>
      <c r="HS250" s="13"/>
      <c r="HT250" s="13"/>
      <c r="HU250" s="13"/>
      <c r="HV250" s="13"/>
      <c r="HW250" s="13"/>
      <c r="HX250" s="13"/>
      <c r="HY250" s="13"/>
      <c r="HZ250" s="13"/>
      <c r="IA250" s="13"/>
      <c r="IB250" s="13"/>
      <c r="IC250" s="13"/>
      <c r="ID250" s="13"/>
      <c r="IE250" s="13"/>
      <c r="IF250" s="13"/>
      <c r="IG250" s="13"/>
      <c r="IH250" s="13"/>
      <c r="II250" s="13"/>
      <c r="IJ250" s="13"/>
      <c r="IK250" s="13"/>
      <c r="IL250" s="13"/>
      <c r="IM250" s="13"/>
      <c r="IN250" s="13"/>
      <c r="IO250" s="13"/>
      <c r="IP250" s="13"/>
      <c r="IQ250" s="13"/>
      <c r="IR250" s="13"/>
      <c r="IS250" s="13"/>
      <c r="IT250" s="13"/>
      <c r="IU250" s="13"/>
      <c r="IV250" s="13"/>
      <c r="IW250" s="13"/>
      <c r="IX250" s="13"/>
      <c r="IY250" s="13"/>
    </row>
    <row r="251" spans="1:259" outlineLevel="1">
      <c r="A251" s="11">
        <f>'VAC &amp; MED'!C248</f>
        <v>46234</v>
      </c>
      <c r="B251" s="261"/>
      <c r="C251" s="261"/>
      <c r="D251" s="261"/>
      <c r="E251" s="261"/>
      <c r="F251" s="261"/>
      <c r="G251" s="261"/>
      <c r="H251" s="261"/>
      <c r="I251" s="261"/>
      <c r="J251" s="261"/>
      <c r="K251" s="261"/>
      <c r="L251" s="261"/>
      <c r="M251" s="261"/>
      <c r="N251" s="261"/>
      <c r="O251" s="261"/>
      <c r="P251" s="261"/>
      <c r="Q251" s="261"/>
      <c r="R251" s="262"/>
      <c r="S251" s="262"/>
      <c r="T251" s="262"/>
      <c r="U251" s="262"/>
      <c r="V251" s="262"/>
      <c r="W251" s="262"/>
      <c r="X251" s="262"/>
      <c r="Y251" s="262"/>
      <c r="Z251" s="262"/>
      <c r="AA251" s="262"/>
      <c r="AB251" s="262"/>
      <c r="AC251" s="262"/>
      <c r="AD251" s="262"/>
      <c r="AE251" s="262"/>
      <c r="AF251" s="262"/>
      <c r="AG251" s="262"/>
      <c r="AH251" s="263"/>
      <c r="AI251" s="263"/>
      <c r="AJ251" s="263"/>
      <c r="AK251" s="263"/>
      <c r="AL251" s="263"/>
      <c r="AM251" s="263"/>
      <c r="AN251" s="263"/>
      <c r="AO251" s="263"/>
      <c r="AP251" s="263"/>
      <c r="AQ251" s="263"/>
      <c r="AR251" s="263"/>
      <c r="AS251" s="263"/>
      <c r="AT251" s="263"/>
      <c r="AU251" s="263"/>
      <c r="AV251" s="263"/>
      <c r="AW251" s="263"/>
      <c r="AX251" s="264"/>
      <c r="AY251" s="264"/>
      <c r="AZ251" s="264"/>
      <c r="BA251" s="264"/>
      <c r="BB251" s="264"/>
      <c r="BC251" s="264"/>
      <c r="BD251" s="264"/>
      <c r="BE251" s="264"/>
      <c r="BF251" s="264"/>
      <c r="BG251" s="264"/>
      <c r="BH251" s="264"/>
      <c r="BI251" s="264"/>
      <c r="BJ251" s="264"/>
      <c r="BK251" s="264"/>
      <c r="BL251" s="264"/>
      <c r="BM251" s="264"/>
      <c r="BN251" s="265"/>
      <c r="BO251" s="265"/>
      <c r="BP251" s="265"/>
      <c r="BQ251" s="265"/>
      <c r="BR251" s="265"/>
      <c r="BS251" s="265"/>
      <c r="BT251" s="265"/>
      <c r="BU251" s="265"/>
      <c r="BV251" s="265"/>
      <c r="BW251" s="265"/>
      <c r="BX251" s="265"/>
      <c r="BY251" s="265"/>
      <c r="BZ251" s="265"/>
      <c r="CA251" s="265"/>
      <c r="CB251" s="265"/>
      <c r="CC251" s="265"/>
      <c r="CD251" s="266"/>
      <c r="CE251" s="266"/>
      <c r="CF251" s="266"/>
      <c r="CG251" s="266"/>
      <c r="CH251" s="266"/>
      <c r="CI251" s="266"/>
      <c r="CJ251" s="266"/>
      <c r="CK251" s="266"/>
      <c r="CL251" s="266"/>
      <c r="CM251" s="266"/>
      <c r="CN251" s="266"/>
      <c r="CO251" s="266"/>
      <c r="CP251" s="266"/>
      <c r="CQ251" s="266"/>
      <c r="CR251" s="266"/>
      <c r="CS251" s="266"/>
      <c r="CT251" s="267"/>
      <c r="CU251" s="267"/>
      <c r="CV251" s="267"/>
      <c r="CW251" s="267"/>
      <c r="CX251" s="267"/>
      <c r="CY251" s="267"/>
      <c r="CZ251" s="267"/>
      <c r="DA251" s="267"/>
      <c r="DB251" s="267"/>
      <c r="DC251" s="267"/>
      <c r="DD251" s="267"/>
      <c r="DE251" s="267"/>
      <c r="DF251" s="267"/>
      <c r="DG251" s="267"/>
      <c r="DH251" s="267"/>
      <c r="DI251" s="267"/>
      <c r="DJ251" s="268"/>
      <c r="DK251" s="268"/>
      <c r="DL251" s="268"/>
      <c r="DM251" s="268"/>
      <c r="DN251" s="268"/>
      <c r="DO251" s="268"/>
      <c r="DP251" s="268"/>
      <c r="DQ251" s="268"/>
      <c r="DR251" s="268"/>
      <c r="DS251" s="268"/>
      <c r="DT251" s="268"/>
      <c r="DU251" s="268"/>
      <c r="DV251" s="268"/>
      <c r="DW251" s="268"/>
      <c r="DX251" s="268"/>
      <c r="DY251" s="268"/>
      <c r="EA251" s="13"/>
      <c r="EB251" s="95"/>
      <c r="EC251" s="95"/>
      <c r="ED251" s="95"/>
      <c r="EE251" s="95"/>
      <c r="EF251" s="95"/>
      <c r="EG251" s="95"/>
      <c r="EH251" s="95"/>
      <c r="EI251" s="95"/>
      <c r="EJ251" s="95"/>
      <c r="EK251" s="95"/>
      <c r="EL251" s="95"/>
      <c r="EM251" s="95"/>
      <c r="EN251" s="95"/>
      <c r="EO251" s="95"/>
      <c r="EP251" s="95"/>
      <c r="EQ251" s="95"/>
      <c r="ER251" s="13"/>
      <c r="ES251" s="13"/>
      <c r="ET251" s="13"/>
      <c r="EU251" s="13"/>
      <c r="EV251" s="13"/>
      <c r="EW251" s="13"/>
      <c r="EX251" s="13"/>
      <c r="EY251" s="13"/>
      <c r="EZ251" s="13"/>
      <c r="FA251" s="13"/>
      <c r="FB251" s="13"/>
      <c r="FC251" s="13"/>
      <c r="FD251" s="13"/>
      <c r="FE251" s="13"/>
      <c r="FF251" s="13"/>
      <c r="FG251" s="13"/>
      <c r="FH251" s="13"/>
      <c r="FI251" s="13"/>
      <c r="FJ251" s="13"/>
      <c r="FK251" s="13"/>
      <c r="FL251" s="13"/>
      <c r="FM251" s="13"/>
      <c r="FN251" s="13"/>
      <c r="FO251" s="13"/>
      <c r="FP251" s="13"/>
      <c r="FQ251" s="13"/>
      <c r="FR251" s="13"/>
      <c r="FS251" s="13"/>
      <c r="FT251" s="13"/>
      <c r="FU251" s="13"/>
      <c r="FV251" s="13"/>
      <c r="FW251" s="13"/>
      <c r="FX251" s="13"/>
      <c r="FY251" s="13"/>
      <c r="FZ251" s="13"/>
      <c r="GA251" s="13"/>
      <c r="GB251" s="13"/>
      <c r="GC251" s="13"/>
      <c r="GD251" s="13"/>
      <c r="GE251" s="13"/>
      <c r="GF251" s="13"/>
      <c r="GG251" s="13"/>
      <c r="GH251" s="13"/>
      <c r="GI251" s="13"/>
      <c r="GJ251" s="13"/>
      <c r="GK251" s="13"/>
      <c r="GL251" s="13"/>
      <c r="GM251" s="13"/>
      <c r="GN251" s="13"/>
      <c r="GO251" s="13"/>
      <c r="GP251" s="13"/>
      <c r="GQ251" s="13"/>
      <c r="GR251" s="13"/>
      <c r="GS251" s="13"/>
      <c r="GT251" s="13"/>
      <c r="GU251" s="13"/>
      <c r="GV251" s="13"/>
      <c r="GW251" s="13"/>
      <c r="GX251" s="13"/>
      <c r="GY251" s="13"/>
      <c r="GZ251" s="13"/>
      <c r="HA251" s="13"/>
      <c r="HB251" s="13"/>
      <c r="HC251" s="13"/>
      <c r="HD251" s="13"/>
      <c r="HE251" s="13"/>
      <c r="HF251" s="13"/>
      <c r="HG251" s="13"/>
      <c r="HH251" s="13"/>
      <c r="HI251" s="13"/>
      <c r="HJ251" s="13"/>
      <c r="HK251" s="13"/>
      <c r="HL251" s="13"/>
      <c r="HM251" s="13"/>
      <c r="HN251" s="13"/>
      <c r="HO251" s="13"/>
      <c r="HP251" s="13"/>
      <c r="HQ251" s="13"/>
      <c r="HR251" s="13"/>
      <c r="HS251" s="13"/>
      <c r="HT251" s="13"/>
      <c r="HU251" s="13"/>
      <c r="HV251" s="13"/>
      <c r="HW251" s="13"/>
      <c r="HX251" s="13"/>
      <c r="HY251" s="13"/>
      <c r="HZ251" s="13"/>
      <c r="IA251" s="13"/>
      <c r="IB251" s="13"/>
      <c r="IC251" s="13"/>
      <c r="ID251" s="13"/>
      <c r="IE251" s="13"/>
      <c r="IF251" s="13"/>
      <c r="IG251" s="13"/>
      <c r="IH251" s="13"/>
      <c r="II251" s="13"/>
      <c r="IJ251" s="13"/>
      <c r="IK251" s="13"/>
      <c r="IL251" s="13"/>
      <c r="IM251" s="13"/>
      <c r="IN251" s="13"/>
      <c r="IO251" s="13"/>
      <c r="IP251" s="13"/>
      <c r="IQ251" s="13"/>
      <c r="IR251" s="13"/>
      <c r="IS251" s="13"/>
      <c r="IT251" s="13"/>
      <c r="IU251" s="13"/>
      <c r="IV251" s="13"/>
      <c r="IW251" s="13"/>
      <c r="IX251" s="13"/>
      <c r="IY251" s="13"/>
    </row>
    <row r="252" spans="1:259" outlineLevel="1">
      <c r="A252" s="11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  <c r="AA252" s="106"/>
      <c r="AB252" s="106"/>
      <c r="AC252" s="106"/>
      <c r="AD252" s="106"/>
      <c r="AE252" s="106"/>
      <c r="AF252" s="106"/>
      <c r="AG252" s="106"/>
      <c r="AH252" s="106"/>
      <c r="AI252" s="106"/>
      <c r="AJ252" s="106"/>
      <c r="AK252" s="106"/>
      <c r="AL252" s="106"/>
      <c r="AM252" s="106"/>
      <c r="AN252" s="106"/>
      <c r="AO252" s="106"/>
      <c r="AP252" s="106"/>
      <c r="AQ252" s="106"/>
      <c r="AR252" s="106"/>
      <c r="AS252" s="106"/>
      <c r="AT252" s="106"/>
      <c r="AU252" s="106"/>
      <c r="AV252" s="106"/>
      <c r="AW252" s="106"/>
      <c r="AX252" s="106"/>
      <c r="AY252" s="106"/>
      <c r="AZ252" s="106"/>
      <c r="BA252" s="106"/>
      <c r="BB252" s="106"/>
      <c r="BC252" s="106"/>
      <c r="BD252" s="106"/>
      <c r="BE252" s="106"/>
      <c r="BF252" s="106"/>
      <c r="BG252" s="106"/>
      <c r="BH252" s="106"/>
      <c r="BI252" s="106"/>
      <c r="BJ252" s="106"/>
      <c r="BK252" s="106"/>
      <c r="BL252" s="106"/>
      <c r="BM252" s="106"/>
      <c r="BN252" s="106"/>
      <c r="BO252" s="106"/>
      <c r="BP252" s="106"/>
      <c r="BQ252" s="106"/>
      <c r="BR252" s="106"/>
      <c r="BS252" s="106"/>
      <c r="BT252" s="106"/>
      <c r="BU252" s="106"/>
      <c r="BV252" s="106"/>
      <c r="BW252" s="106"/>
      <c r="BX252" s="106"/>
      <c r="BY252" s="106"/>
      <c r="BZ252" s="106"/>
      <c r="CA252" s="106"/>
      <c r="CB252" s="106"/>
      <c r="CC252" s="106"/>
      <c r="CD252" s="106"/>
      <c r="CE252" s="106"/>
      <c r="CF252" s="106"/>
      <c r="CG252" s="106"/>
      <c r="CH252" s="106"/>
      <c r="CI252" s="106"/>
      <c r="CJ252" s="106"/>
      <c r="CK252" s="106"/>
      <c r="CL252" s="106"/>
      <c r="CM252" s="106"/>
      <c r="CN252" s="106"/>
      <c r="CO252" s="106"/>
      <c r="CP252" s="106"/>
      <c r="CQ252" s="106"/>
      <c r="CR252" s="106"/>
      <c r="CS252" s="106"/>
      <c r="CT252" s="106"/>
      <c r="CU252" s="106"/>
      <c r="CV252" s="106"/>
      <c r="CW252" s="106"/>
      <c r="CX252" s="106"/>
      <c r="CY252" s="106"/>
      <c r="CZ252" s="106"/>
      <c r="DA252" s="106"/>
      <c r="DB252" s="106"/>
      <c r="DC252" s="106"/>
      <c r="DD252" s="106"/>
      <c r="DE252" s="106"/>
      <c r="DF252" s="106"/>
      <c r="DG252" s="106"/>
      <c r="DH252" s="106"/>
      <c r="DI252" s="106"/>
      <c r="DJ252" s="106"/>
      <c r="DK252" s="106"/>
      <c r="DL252" s="106"/>
      <c r="DM252" s="106"/>
      <c r="DN252" s="106"/>
      <c r="DO252" s="106"/>
      <c r="DP252" s="106"/>
      <c r="DQ252" s="106"/>
      <c r="DR252" s="106"/>
      <c r="DS252" s="106"/>
      <c r="DT252" s="106"/>
      <c r="DU252" s="106"/>
      <c r="DV252" s="106"/>
      <c r="DW252" s="106"/>
      <c r="DX252" s="106"/>
      <c r="DY252" s="106"/>
      <c r="EA252" s="13"/>
      <c r="EB252" s="95"/>
      <c r="EC252" s="95"/>
      <c r="ED252" s="95"/>
      <c r="EE252" s="95"/>
      <c r="EF252" s="95"/>
      <c r="EG252" s="95"/>
      <c r="EH252" s="95"/>
      <c r="EI252" s="95"/>
      <c r="EJ252" s="95"/>
      <c r="EK252" s="95"/>
      <c r="EL252" s="95"/>
      <c r="EM252" s="95"/>
      <c r="EN252" s="95"/>
      <c r="EO252" s="95"/>
      <c r="EP252" s="95"/>
      <c r="EQ252" s="95"/>
      <c r="ER252" s="13"/>
      <c r="ES252" s="13"/>
      <c r="ET252" s="13"/>
      <c r="EU252" s="13"/>
      <c r="EV252" s="13"/>
      <c r="EW252" s="13"/>
      <c r="EX252" s="13"/>
      <c r="EY252" s="13"/>
      <c r="EZ252" s="13"/>
      <c r="FA252" s="13"/>
      <c r="FB252" s="13"/>
      <c r="FC252" s="13"/>
      <c r="FD252" s="13"/>
      <c r="FE252" s="13"/>
      <c r="FF252" s="13"/>
      <c r="FG252" s="13"/>
      <c r="FH252" s="13"/>
      <c r="FI252" s="13"/>
      <c r="FJ252" s="13"/>
      <c r="FK252" s="13"/>
      <c r="FL252" s="13"/>
      <c r="FM252" s="13"/>
      <c r="FN252" s="13"/>
      <c r="FO252" s="13"/>
      <c r="FP252" s="13"/>
      <c r="FQ252" s="13"/>
      <c r="FR252" s="13"/>
      <c r="FS252" s="13"/>
      <c r="FT252" s="13"/>
      <c r="FU252" s="13"/>
      <c r="FV252" s="13"/>
      <c r="FW252" s="13"/>
      <c r="FX252" s="13"/>
      <c r="FY252" s="13"/>
      <c r="FZ252" s="13"/>
      <c r="GA252" s="13"/>
      <c r="GB252" s="13"/>
      <c r="GC252" s="13"/>
      <c r="GD252" s="13"/>
      <c r="GE252" s="13"/>
      <c r="GF252" s="13"/>
      <c r="GG252" s="13"/>
      <c r="GH252" s="13"/>
      <c r="GI252" s="13"/>
      <c r="GJ252" s="13"/>
      <c r="GK252" s="13"/>
      <c r="GL252" s="13"/>
      <c r="GM252" s="13"/>
      <c r="GN252" s="13"/>
      <c r="GO252" s="13"/>
      <c r="GP252" s="13"/>
      <c r="GQ252" s="13"/>
      <c r="GR252" s="13"/>
      <c r="GS252" s="13"/>
      <c r="GT252" s="13"/>
      <c r="GU252" s="13"/>
      <c r="GV252" s="13"/>
      <c r="GW252" s="13"/>
      <c r="GX252" s="13"/>
      <c r="GY252" s="13"/>
      <c r="GZ252" s="13"/>
      <c r="HA252" s="13"/>
      <c r="HB252" s="13"/>
      <c r="HC252" s="13"/>
      <c r="HD252" s="13"/>
      <c r="HE252" s="13"/>
      <c r="HF252" s="13"/>
      <c r="HG252" s="13"/>
      <c r="HH252" s="13"/>
      <c r="HI252" s="13"/>
      <c r="HJ252" s="13"/>
      <c r="HK252" s="13"/>
      <c r="HL252" s="13"/>
      <c r="HM252" s="13"/>
      <c r="HN252" s="13"/>
      <c r="HO252" s="13"/>
      <c r="HP252" s="13"/>
      <c r="HQ252" s="13"/>
      <c r="HR252" s="13"/>
      <c r="HS252" s="13"/>
      <c r="HT252" s="13"/>
      <c r="HU252" s="13"/>
      <c r="HV252" s="13"/>
      <c r="HW252" s="13"/>
      <c r="HX252" s="13"/>
      <c r="HY252" s="13"/>
      <c r="HZ252" s="13"/>
      <c r="IA252" s="13"/>
      <c r="IB252" s="13"/>
      <c r="IC252" s="13"/>
      <c r="ID252" s="13"/>
      <c r="IE252" s="13"/>
      <c r="IF252" s="13"/>
      <c r="IG252" s="13"/>
      <c r="IH252" s="13"/>
      <c r="II252" s="13"/>
      <c r="IJ252" s="13"/>
      <c r="IK252" s="13"/>
      <c r="IL252" s="13"/>
      <c r="IM252" s="13"/>
      <c r="IN252" s="13"/>
      <c r="IO252" s="13"/>
      <c r="IP252" s="13"/>
      <c r="IQ252" s="13"/>
      <c r="IR252" s="13"/>
      <c r="IS252" s="13"/>
      <c r="IT252" s="13"/>
      <c r="IU252" s="13"/>
      <c r="IV252" s="13"/>
      <c r="IW252" s="13"/>
      <c r="IX252" s="13"/>
      <c r="IY252" s="13"/>
    </row>
    <row r="253" spans="1:259" s="122" customFormat="1" ht="30.75" customHeight="1" thickBot="1">
      <c r="A253" s="122" t="s">
        <v>152</v>
      </c>
      <c r="B253" s="256" t="str">
        <f>FORMULA!$B$3</f>
        <v>WS 1101 (251124)</v>
      </c>
      <c r="C253" s="256" t="s">
        <v>153</v>
      </c>
      <c r="D253" s="256">
        <f>FORMULA!$F$3</f>
        <v>0</v>
      </c>
      <c r="E253" s="256">
        <f>FORMULA!$H$3</f>
        <v>0</v>
      </c>
      <c r="F253" s="256">
        <f>FORMULA!$J$3</f>
        <v>0</v>
      </c>
      <c r="G253" s="111">
        <f>FORMULA!$L$3</f>
        <v>0</v>
      </c>
      <c r="H253" s="111">
        <f>FORMULA!$N$3</f>
        <v>0</v>
      </c>
      <c r="I253" s="111">
        <f>FORMULA!$P$3</f>
        <v>0</v>
      </c>
      <c r="J253" s="111">
        <f>FORMULA!$R$3</f>
        <v>0</v>
      </c>
      <c r="K253" s="111">
        <f>FORMULA!$T$3</f>
        <v>0</v>
      </c>
      <c r="L253" s="111">
        <f>FORMULA!$V$3</f>
        <v>0</v>
      </c>
      <c r="M253" s="111">
        <f>FORMULA!$X$3</f>
        <v>0</v>
      </c>
      <c r="N253" s="111">
        <f>FORMULA!$Z$3</f>
        <v>0</v>
      </c>
      <c r="O253" s="111">
        <f>FORMULA!$AB$3</f>
        <v>0</v>
      </c>
      <c r="P253" s="111">
        <f>FORMULA!$AD$3</f>
        <v>0</v>
      </c>
      <c r="Q253" s="111"/>
      <c r="R253" s="256" t="str">
        <f>FORMULA!$B$91</f>
        <v>WS 1102 (290825)</v>
      </c>
      <c r="S253" s="256" t="s">
        <v>154</v>
      </c>
      <c r="T253" s="256">
        <f>FORMULA!$F$91</f>
        <v>0</v>
      </c>
      <c r="U253" s="256">
        <f>FORMULA!$H$91</f>
        <v>0</v>
      </c>
      <c r="V253" s="256">
        <f>FORMULA!$J$91</f>
        <v>0</v>
      </c>
      <c r="W253" s="256">
        <f>FORMULA!$L$91</f>
        <v>0</v>
      </c>
      <c r="X253" s="256">
        <f>FORMULA!$N$91</f>
        <v>0</v>
      </c>
      <c r="Y253" s="256">
        <f>FORMULA!$P$91</f>
        <v>0</v>
      </c>
      <c r="Z253" s="256">
        <f>FORMULA!$R$91</f>
        <v>0</v>
      </c>
      <c r="AA253" s="256">
        <f>FORMULA!$T$91</f>
        <v>0</v>
      </c>
      <c r="AB253" s="256">
        <f>FORMULA!$V$91</f>
        <v>0</v>
      </c>
      <c r="AC253" s="256">
        <f>FORMULA!$X$91</f>
        <v>0</v>
      </c>
      <c r="AD253" s="111">
        <f>FORMULA!$Z$91</f>
        <v>0</v>
      </c>
      <c r="AE253" s="111">
        <f>FORMULA!$AB$91</f>
        <v>0</v>
      </c>
      <c r="AF253" s="111">
        <f>FORMULA!$AD$91</f>
        <v>0</v>
      </c>
      <c r="AG253" s="111"/>
      <c r="AH253" s="256" t="str">
        <f>FORMULA!$B$179</f>
        <v>WS 1103 (290825)</v>
      </c>
      <c r="AI253" s="256" t="str">
        <f>FORMULA!$D$179</f>
        <v>WS 1103 (220526)</v>
      </c>
      <c r="AJ253" s="256">
        <f>FORMULA!$F$179</f>
        <v>0</v>
      </c>
      <c r="AK253" s="256">
        <f>FORMULA!$H$179</f>
        <v>0</v>
      </c>
      <c r="AL253" s="256">
        <f>FORMULA!$J$179</f>
        <v>0</v>
      </c>
      <c r="AM253" s="256">
        <f>FORMULA!$L$179</f>
        <v>0</v>
      </c>
      <c r="AN253" s="256">
        <f>FORMULA!$N$179</f>
        <v>0</v>
      </c>
      <c r="AO253" s="256">
        <f>FORMULA!$P$179</f>
        <v>0</v>
      </c>
      <c r="AP253" s="256">
        <f>FORMULA!$R$179</f>
        <v>0</v>
      </c>
      <c r="AQ253" s="256">
        <f>FORMULA!$T$179</f>
        <v>0</v>
      </c>
      <c r="AR253" s="256">
        <f>FORMULA!$V$179</f>
        <v>0</v>
      </c>
      <c r="AS253" s="256">
        <f>FORMULA!$X$179</f>
        <v>0</v>
      </c>
      <c r="AT253" s="256">
        <f>FORMULA!$Z$179</f>
        <v>0</v>
      </c>
      <c r="AU253" s="256">
        <f>FORMULA!$AB$179</f>
        <v>0</v>
      </c>
      <c r="AV253" s="111">
        <f>FORMULA!$AD$179</f>
        <v>0</v>
      </c>
      <c r="AW253" s="111"/>
      <c r="AX253" s="111">
        <f>FORMULA!$B$267</f>
        <v>0</v>
      </c>
      <c r="AY253" s="111">
        <f>FORMULA!$D$267</f>
        <v>0</v>
      </c>
      <c r="AZ253" s="111">
        <f>FORMULA!$F$267</f>
        <v>0</v>
      </c>
      <c r="BA253" s="111">
        <f>FORMULA!$H$267</f>
        <v>0</v>
      </c>
      <c r="BB253" s="111">
        <f>FORMULA!$J$267</f>
        <v>0</v>
      </c>
      <c r="BC253" s="111">
        <f>FORMULA!$L$267</f>
        <v>0</v>
      </c>
      <c r="BD253" s="111">
        <f>FORMULA!$N$267</f>
        <v>0</v>
      </c>
      <c r="BE253" s="111">
        <f>FORMULA!$P$267</f>
        <v>0</v>
      </c>
      <c r="BF253" s="111">
        <f>FORMULA!$R$267</f>
        <v>0</v>
      </c>
      <c r="BG253" s="111">
        <f>FORMULA!$T$267</f>
        <v>0</v>
      </c>
      <c r="BH253" s="111">
        <f>FORMULA!$V$267</f>
        <v>0</v>
      </c>
      <c r="BI253" s="111">
        <f>FORMULA!$X$267</f>
        <v>0</v>
      </c>
      <c r="BJ253" s="111">
        <f>FORMULA!$Z$267</f>
        <v>0</v>
      </c>
      <c r="BK253" s="111">
        <f>FORMULA!$AB$267</f>
        <v>0</v>
      </c>
      <c r="BL253" s="111">
        <f>FORMULA!$AD$267</f>
        <v>0</v>
      </c>
      <c r="BM253" s="111"/>
      <c r="BN253" s="256" t="str">
        <f>FORMULA!$B$355</f>
        <v>WS 8100 (290825)</v>
      </c>
      <c r="BO253" s="256" t="str">
        <f>FORMULA!$D$355</f>
        <v>WS 8100 (280426)</v>
      </c>
      <c r="BP253" s="256" t="s">
        <v>155</v>
      </c>
      <c r="BQ253" s="256" t="str">
        <f>FORMULA!$H$355</f>
        <v>WS 8102 (290825)</v>
      </c>
      <c r="BR253" s="256" t="str">
        <f>FORMULA!$J$355</f>
        <v>WS 8102 (121225)</v>
      </c>
      <c r="BS253" s="256" t="str">
        <f>FORMULA!$L$355</f>
        <v>WS 8102 (020326)</v>
      </c>
      <c r="BT253" s="256" t="str">
        <f>FORMULA!$N$355</f>
        <v>WS 8102 (020326)</v>
      </c>
      <c r="BU253" s="256" t="str">
        <f>FORMULA!$P$355</f>
        <v>WS 8102 (060526)</v>
      </c>
      <c r="BV253" s="256" t="str">
        <f>FORMULA!$R$355</f>
        <v>WS 8102 (060526)</v>
      </c>
      <c r="BW253" s="256" t="str">
        <f>FORMULA!$T$355</f>
        <v>WS 8103 (070526)</v>
      </c>
      <c r="BX253" s="256" t="str">
        <f>FORMULA!$V$355</f>
        <v>WS 8102 (070526)</v>
      </c>
      <c r="BY253" s="256" t="str">
        <f>FORMULA!$X$355</f>
        <v>WS 8103 (061125)</v>
      </c>
      <c r="BZ253" s="256" t="str">
        <f>FORMULA!$Z$355</f>
        <v>WS 8103 (250226)</v>
      </c>
      <c r="CA253" s="256" t="str">
        <f>FORMULA!$AB$355</f>
        <v>WS 8102 (080526)</v>
      </c>
      <c r="CB253" s="256" t="str">
        <f>FORMULA!$AD$355</f>
        <v>WS 8109 (080526)</v>
      </c>
      <c r="CC253" s="256"/>
      <c r="CD253" s="256" t="str">
        <f>FORMULA!$B$443</f>
        <v>YH 121 (050226)</v>
      </c>
      <c r="CE253" s="256" t="str">
        <f>FORMULA!$D$443</f>
        <v>YH 121 (190326)</v>
      </c>
      <c r="CF253" s="256" t="str">
        <f>FORMULA!$F$443</f>
        <v>YH 121 (020426)</v>
      </c>
      <c r="CG253" s="256">
        <f>FORMULA!$H$443</f>
        <v>0</v>
      </c>
      <c r="CH253" s="256">
        <f>FORMULA!$J$443</f>
        <v>0</v>
      </c>
      <c r="CI253" s="256">
        <f>FORMULA!$L$443</f>
        <v>0</v>
      </c>
      <c r="CJ253" s="256">
        <f>FORMULA!$N$443</f>
        <v>0</v>
      </c>
      <c r="CK253" s="256">
        <f>FORMULA!$P$443</f>
        <v>0</v>
      </c>
      <c r="CL253" s="256">
        <f>FORMULA!$R$443</f>
        <v>0</v>
      </c>
      <c r="CM253" s="256" t="str">
        <f>FORMULA!$T$443</f>
        <v>311 (130526)</v>
      </c>
      <c r="CN253" s="256" t="str">
        <f>FORMULA!$V$443</f>
        <v>312 (130526)</v>
      </c>
      <c r="CO253" s="111">
        <f>FORMULA!$X$443</f>
        <v>0</v>
      </c>
      <c r="CP253" s="111">
        <f>FORMULA!$Z$443</f>
        <v>0</v>
      </c>
      <c r="CQ253" s="111">
        <f>FORMULA!$AB$443</f>
        <v>0</v>
      </c>
      <c r="CR253" s="111">
        <f>FORMULA!$AD$443</f>
        <v>0</v>
      </c>
      <c r="CS253" s="111"/>
      <c r="CT253" s="256" t="str">
        <f>FORMULA!$B$531</f>
        <v>YH 122 (050226)</v>
      </c>
      <c r="CU253" s="256" t="str">
        <f>FORMULA!$D$531</f>
        <v>YH 122 (190326)</v>
      </c>
      <c r="CV253" s="256" t="str">
        <f>FORMULA!$F$531</f>
        <v>YH 122 (200426)</v>
      </c>
      <c r="CW253" s="256">
        <f>FORMULA!$H$531</f>
        <v>0</v>
      </c>
      <c r="CX253" s="256">
        <f>FORMULA!$J$531</f>
        <v>0</v>
      </c>
      <c r="CY253" s="256">
        <f>FORMULA!$L$531</f>
        <v>0</v>
      </c>
      <c r="CZ253" s="256" t="str">
        <f>FORMULA!$N$531</f>
        <v>5201 (090426)</v>
      </c>
      <c r="DA253" s="256" t="str">
        <f>FORMULA!$P$531</f>
        <v>5201 (090426)</v>
      </c>
      <c r="DB253" s="256">
        <f>FORMULA!$R$531</f>
        <v>0</v>
      </c>
      <c r="DC253" s="256" t="str">
        <f>FORMULA!$T$531</f>
        <v>5202 (090426)</v>
      </c>
      <c r="DD253" s="256" t="str">
        <f>FORMULA!$V$531</f>
        <v>5202 (090426)</v>
      </c>
      <c r="DE253" s="256">
        <f>FORMULA!$X$531</f>
        <v>0</v>
      </c>
      <c r="DF253" s="256" t="str">
        <f>FORMULA!$Z$531</f>
        <v>5203 (090426)</v>
      </c>
      <c r="DG253" s="256" t="str">
        <f>FORMULA!$AB$531</f>
        <v>5203 (090426)</v>
      </c>
      <c r="DH253" s="111" t="s">
        <v>148</v>
      </c>
      <c r="DI253" s="111"/>
      <c r="DJ253" s="111" t="str">
        <f>FORMULA!$B$619</f>
        <v>YH 123 (050226)</v>
      </c>
      <c r="DK253" s="111" t="str">
        <f>FORMULA!$D$619</f>
        <v>YH 123 (130326)</v>
      </c>
      <c r="DL253" s="111" t="str">
        <f>FORMULA!$F$619</f>
        <v>YH 123 (190326)</v>
      </c>
      <c r="DM253" s="111" t="str">
        <f>FORMULA!$H$619</f>
        <v>YH 123 (200426)</v>
      </c>
      <c r="DN253" s="111">
        <f>FORMULA!$J$619</f>
        <v>0</v>
      </c>
      <c r="DO253" s="111">
        <f>FORMULA!$L$619</f>
        <v>0</v>
      </c>
      <c r="DP253" s="111">
        <f>FORMULA!$N$619</f>
        <v>0</v>
      </c>
      <c r="DQ253" s="111">
        <f>FORMULA!$P$619</f>
        <v>0</v>
      </c>
      <c r="DR253" s="111">
        <f>FORMULA!$R$619</f>
        <v>0</v>
      </c>
      <c r="DS253" s="111">
        <f>FORMULA!$T$619</f>
        <v>0</v>
      </c>
      <c r="DT253" s="111">
        <f>FORMULA!$V$619</f>
        <v>0</v>
      </c>
      <c r="DU253" s="111">
        <f>FORMULA!$X$619</f>
        <v>0</v>
      </c>
      <c r="DV253" s="111">
        <f>FORMULA!$Z$619</f>
        <v>0</v>
      </c>
      <c r="DW253" s="111">
        <f>FORMULA!$AB$619</f>
        <v>0</v>
      </c>
      <c r="DX253" s="111">
        <f>FORMULA!$AD$619</f>
        <v>0</v>
      </c>
      <c r="DY253" s="111"/>
      <c r="EA253" s="118"/>
      <c r="EB253" s="119"/>
      <c r="EC253" s="119"/>
      <c r="ED253" s="119"/>
      <c r="EE253" s="119"/>
      <c r="EF253" s="119"/>
      <c r="EG253" s="119"/>
      <c r="EH253" s="119"/>
      <c r="EI253" s="119"/>
      <c r="EJ253" s="119"/>
      <c r="EK253" s="119"/>
      <c r="EL253" s="119"/>
      <c r="EM253" s="119"/>
      <c r="EN253" s="119"/>
      <c r="EO253" s="119"/>
      <c r="EP253" s="119"/>
      <c r="EQ253" s="119"/>
      <c r="ER253" s="118"/>
      <c r="ES253" s="118"/>
      <c r="ET253" s="118"/>
      <c r="EU253" s="118"/>
      <c r="EV253" s="118"/>
      <c r="EW253" s="118"/>
      <c r="EX253" s="118"/>
      <c r="EY253" s="118"/>
      <c r="EZ253" s="118"/>
      <c r="FA253" s="118"/>
      <c r="FB253" s="118"/>
      <c r="FC253" s="118"/>
      <c r="FD253" s="118"/>
      <c r="FE253" s="118"/>
      <c r="FF253" s="118"/>
      <c r="FG253" s="118"/>
      <c r="FH253" s="118"/>
      <c r="FI253" s="118"/>
      <c r="FJ253" s="118"/>
      <c r="FK253" s="118"/>
      <c r="FL253" s="118"/>
      <c r="FM253" s="118"/>
      <c r="FN253" s="118"/>
      <c r="FO253" s="118"/>
      <c r="FP253" s="118"/>
      <c r="FQ253" s="118"/>
      <c r="FR253" s="118"/>
      <c r="FS253" s="118"/>
      <c r="FT253" s="118"/>
      <c r="FU253" s="118"/>
      <c r="FV253" s="118"/>
      <c r="FW253" s="118"/>
      <c r="FX253" s="118"/>
      <c r="FY253" s="118"/>
      <c r="FZ253" s="118"/>
      <c r="GA253" s="118"/>
      <c r="GB253" s="118"/>
      <c r="GC253" s="118"/>
      <c r="GD253" s="118"/>
      <c r="GE253" s="118"/>
      <c r="GF253" s="118"/>
      <c r="GG253" s="118"/>
      <c r="GH253" s="118"/>
      <c r="GI253" s="118"/>
      <c r="GJ253" s="118"/>
      <c r="GK253" s="118"/>
      <c r="GL253" s="118"/>
      <c r="GM253" s="118"/>
      <c r="GN253" s="118"/>
      <c r="GO253" s="118"/>
      <c r="GP253" s="118"/>
      <c r="GQ253" s="118"/>
      <c r="GR253" s="118"/>
      <c r="GS253" s="118"/>
      <c r="GT253" s="118"/>
      <c r="GU253" s="118"/>
      <c r="GV253" s="118"/>
      <c r="GW253" s="118"/>
      <c r="GX253" s="118"/>
      <c r="GY253" s="118"/>
      <c r="GZ253" s="118"/>
      <c r="HA253" s="118"/>
      <c r="HB253" s="118"/>
      <c r="HC253" s="118"/>
      <c r="HD253" s="118"/>
      <c r="HE253" s="118"/>
      <c r="HF253" s="118"/>
      <c r="HG253" s="118"/>
      <c r="HH253" s="118"/>
      <c r="HI253" s="118"/>
      <c r="HJ253" s="118"/>
      <c r="HK253" s="118"/>
      <c r="HL253" s="118"/>
      <c r="HM253" s="118"/>
      <c r="HN253" s="118"/>
      <c r="HO253" s="118"/>
      <c r="HP253" s="118"/>
      <c r="HQ253" s="118"/>
      <c r="HR253" s="118"/>
      <c r="HS253" s="118"/>
      <c r="HT253" s="118"/>
      <c r="HU253" s="118"/>
      <c r="HV253" s="118"/>
      <c r="HW253" s="118"/>
      <c r="HX253" s="118"/>
      <c r="HY253" s="118"/>
      <c r="HZ253" s="118"/>
      <c r="IA253" s="118"/>
      <c r="IB253" s="118"/>
      <c r="IC253" s="118"/>
      <c r="ID253" s="118"/>
      <c r="IE253" s="118"/>
      <c r="IF253" s="118"/>
      <c r="IG253" s="118"/>
      <c r="IH253" s="118"/>
      <c r="II253" s="118"/>
      <c r="IJ253" s="118"/>
      <c r="IK253" s="118"/>
      <c r="IL253" s="118"/>
      <c r="IM253" s="118"/>
      <c r="IN253" s="118"/>
      <c r="IO253" s="118"/>
      <c r="IP253" s="118"/>
      <c r="IQ253" s="118"/>
      <c r="IR253" s="118"/>
      <c r="IS253" s="118"/>
      <c r="IT253" s="118"/>
      <c r="IU253" s="118"/>
      <c r="IV253" s="118"/>
      <c r="IW253" s="118"/>
      <c r="IX253" s="118"/>
      <c r="IY253" s="118"/>
    </row>
    <row r="254" spans="1:259" s="124" customFormat="1" ht="30.4" customHeight="1" thickBot="1">
      <c r="A254" s="123" t="s">
        <v>156</v>
      </c>
      <c r="B254" s="257" t="str">
        <f>FORMULA!$B$4</f>
        <v>N01309AY</v>
      </c>
      <c r="C254" s="258">
        <f>FORMULA!$D$4</f>
        <v>0</v>
      </c>
      <c r="D254" s="258">
        <f>FORMULA!$F$4</f>
        <v>0</v>
      </c>
      <c r="E254" s="258">
        <f>FORMULA!$H$4</f>
        <v>0</v>
      </c>
      <c r="F254" s="258">
        <f>FORMULA!$J$4</f>
        <v>0</v>
      </c>
      <c r="G254" s="113">
        <f>FORMULA!$L$4</f>
        <v>0</v>
      </c>
      <c r="H254" s="113">
        <f>FORMULA!$N$4</f>
        <v>0</v>
      </c>
      <c r="I254" s="113">
        <f>FORMULA!$P$4</f>
        <v>0</v>
      </c>
      <c r="J254" s="113">
        <f>FORMULA!$R$4</f>
        <v>0</v>
      </c>
      <c r="K254" s="113">
        <f>FORMULA!$T$4</f>
        <v>0</v>
      </c>
      <c r="L254" s="113">
        <f>FORMULA!$V$4</f>
        <v>0</v>
      </c>
      <c r="M254" s="113">
        <f>FORMULA!$X$4</f>
        <v>0</v>
      </c>
      <c r="N254" s="113">
        <f>FORMULA!$Z$4</f>
        <v>0</v>
      </c>
      <c r="O254" s="113">
        <f>FORMULA!$AB$4</f>
        <v>0</v>
      </c>
      <c r="P254" s="113">
        <f>FORMULA!$AD$4</f>
        <v>0</v>
      </c>
      <c r="Q254" s="114"/>
      <c r="R254" s="257" t="str">
        <f>FORMULA!$B$92</f>
        <v>N025-06</v>
      </c>
      <c r="S254" s="258">
        <f>FORMULA!$D$92</f>
        <v>0</v>
      </c>
      <c r="T254" s="258">
        <f>FORMULA!$F$92</f>
        <v>0</v>
      </c>
      <c r="U254" s="258">
        <f>FORMULA!$H$92</f>
        <v>0</v>
      </c>
      <c r="V254" s="258">
        <f>FORMULA!$J$92</f>
        <v>0</v>
      </c>
      <c r="W254" s="258">
        <f>FORMULA!$L$92</f>
        <v>0</v>
      </c>
      <c r="X254" s="258">
        <f>FORMULA!$N$92</f>
        <v>0</v>
      </c>
      <c r="Y254" s="258">
        <f>FORMULA!$P$92</f>
        <v>0</v>
      </c>
      <c r="Z254" s="258">
        <f>FORMULA!$R$92</f>
        <v>0</v>
      </c>
      <c r="AA254" s="258">
        <f>FORMULA!$T$92</f>
        <v>0</v>
      </c>
      <c r="AB254" s="258">
        <f>FORMULA!$V$92</f>
        <v>0</v>
      </c>
      <c r="AC254" s="258">
        <f>FORMULA!$X$92</f>
        <v>0</v>
      </c>
      <c r="AD254" s="113">
        <f>FORMULA!$Z$92</f>
        <v>0</v>
      </c>
      <c r="AE254" s="113">
        <f>FORMULA!$AB$92</f>
        <v>0</v>
      </c>
      <c r="AF254" s="113">
        <f>FORMULA!$AD$92</f>
        <v>0</v>
      </c>
      <c r="AG254" s="114"/>
      <c r="AH254" s="257" t="str">
        <f>FORMULA!$B$180</f>
        <v>N035-06</v>
      </c>
      <c r="AI254" s="258" t="str">
        <f>FORMULA!$D$180</f>
        <v>WITH 1103 TOP UP</v>
      </c>
      <c r="AJ254" s="258">
        <f>FORMULA!$F$180</f>
        <v>0</v>
      </c>
      <c r="AK254" s="258">
        <f>FORMULA!$H$180</f>
        <v>0</v>
      </c>
      <c r="AL254" s="258">
        <f>FORMULA!$J$180</f>
        <v>0</v>
      </c>
      <c r="AM254" s="258">
        <f>FORMULA!$L$180</f>
        <v>0</v>
      </c>
      <c r="AN254" s="258">
        <f>FORMULA!$N$180</f>
        <v>0</v>
      </c>
      <c r="AO254" s="258">
        <f>FORMULA!$P$180</f>
        <v>0</v>
      </c>
      <c r="AP254" s="258">
        <f>FORMULA!$R$180</f>
        <v>0</v>
      </c>
      <c r="AQ254" s="258">
        <f>FORMULA!$T$180</f>
        <v>0</v>
      </c>
      <c r="AR254" s="258">
        <f>FORMULA!$V$180</f>
        <v>0</v>
      </c>
      <c r="AS254" s="258">
        <f>FORMULA!$X$180</f>
        <v>0</v>
      </c>
      <c r="AT254" s="258">
        <f>FORMULA!$Z$180</f>
        <v>0</v>
      </c>
      <c r="AU254" s="258">
        <f>FORMULA!$AB$180</f>
        <v>0</v>
      </c>
      <c r="AV254" s="113">
        <f>FORMULA!$AD$180</f>
        <v>0</v>
      </c>
      <c r="AW254" s="114"/>
      <c r="AX254" s="112">
        <f>FORMULA!$B$268</f>
        <v>0</v>
      </c>
      <c r="AY254" s="113">
        <f>FORMULA!$D$268</f>
        <v>0</v>
      </c>
      <c r="AZ254" s="113">
        <f>FORMULA!$F$268</f>
        <v>0</v>
      </c>
      <c r="BA254" s="113">
        <f>FORMULA!$H$268</f>
        <v>0</v>
      </c>
      <c r="BB254" s="113">
        <f>FORMULA!$J$268</f>
        <v>0</v>
      </c>
      <c r="BC254" s="113">
        <f>FORMULA!$L$268</f>
        <v>0</v>
      </c>
      <c r="BD254" s="113">
        <f>FORMULA!$N$268</f>
        <v>0</v>
      </c>
      <c r="BE254" s="113">
        <f>FORMULA!$P$268</f>
        <v>0</v>
      </c>
      <c r="BF254" s="113">
        <f>FORMULA!$R$268</f>
        <v>0</v>
      </c>
      <c r="BG254" s="113">
        <f>FORMULA!$T$268</f>
        <v>0</v>
      </c>
      <c r="BH254" s="113">
        <f>FORMULA!$V$268</f>
        <v>0</v>
      </c>
      <c r="BI254" s="113">
        <f>FORMULA!$X$268</f>
        <v>0</v>
      </c>
      <c r="BJ254" s="113">
        <f>FORMULA!$Z$268</f>
        <v>0</v>
      </c>
      <c r="BK254" s="113">
        <f>FORMULA!$AB$268</f>
        <v>0</v>
      </c>
      <c r="BL254" s="113">
        <f>FORMULA!$AD$268</f>
        <v>0</v>
      </c>
      <c r="BM254" s="114"/>
      <c r="BN254" s="256" t="str">
        <f>FORMULA!$B$356</f>
        <v>NR 14-04</v>
      </c>
      <c r="BO254" s="256">
        <f>FORMULA!$D$356</f>
        <v>0</v>
      </c>
      <c r="BP254" s="256">
        <f>FORMULA!$F$356</f>
        <v>0</v>
      </c>
      <c r="BQ254" s="256" t="str">
        <f>FORMULA!$H$356</f>
        <v>NR 24-04Z</v>
      </c>
      <c r="BR254" s="256" t="str">
        <f>FORMULA!$J$356</f>
        <v>WITH BMD</v>
      </c>
      <c r="BS254" s="256" t="str">
        <f>FORMULA!$L$356</f>
        <v>8102 Top Up&amp;PM 8108</v>
      </c>
      <c r="BT254" s="256" t="str">
        <f>FORMULA!$N$356</f>
        <v>8102 Top Up&amp;PM 8102</v>
      </c>
      <c r="BU254" s="256" t="str">
        <f>FORMULA!$P$356</f>
        <v>8102 Top Up&amp;PM 8102</v>
      </c>
      <c r="BV254" s="256" t="str">
        <f>FORMULA!$R$356</f>
        <v>8102 Top Up&amp;PM 8108</v>
      </c>
      <c r="BW254" s="256" t="str">
        <f>FORMULA!$T$356</f>
        <v>8103 Top Up&amp;PM 8103</v>
      </c>
      <c r="BX254" s="256" t="str">
        <f>FORMULA!$V$356</f>
        <v>8103 Top Up&amp;PM 8109</v>
      </c>
      <c r="BY254" s="256" t="str">
        <f>FORMULA!$X$356</f>
        <v xml:space="preserve">NR 34-04 </v>
      </c>
      <c r="BZ254" s="256" t="str">
        <f>FORMULA!$Z$356</f>
        <v xml:space="preserve">NR 34-04 </v>
      </c>
      <c r="CA254" s="256" t="str">
        <f>FORMULA!$AB$356</f>
        <v>8102 TOP UP</v>
      </c>
      <c r="CB254" s="256" t="str">
        <f>FORMULA!$AD$356</f>
        <v>8103 TOP UP</v>
      </c>
      <c r="CC254" s="259"/>
      <c r="CD254" s="256" t="str">
        <f>FORMULA!$B$444</f>
        <v>SOYTIDE&amp;TOXISORB</v>
      </c>
      <c r="CE254" s="256" t="str">
        <f>FORMULA!$D$444</f>
        <v>SOYTIDE&amp;TOXIWALL</v>
      </c>
      <c r="CF254" s="256" t="str">
        <f>FORMULA!$F$444</f>
        <v>EP 200&amp;TOXIWALL</v>
      </c>
      <c r="CG254" s="256">
        <f>FORMULA!$H$444</f>
        <v>0</v>
      </c>
      <c r="CH254" s="256">
        <f>FORMULA!$J$444</f>
        <v>0</v>
      </c>
      <c r="CI254" s="256">
        <f>FORMULA!$L$444</f>
        <v>0</v>
      </c>
      <c r="CJ254" s="256">
        <f>FORMULA!$N$444</f>
        <v>0</v>
      </c>
      <c r="CK254" s="256">
        <f>FORMULA!$P$444</f>
        <v>0</v>
      </c>
      <c r="CL254" s="256">
        <f>FORMULA!$R$444</f>
        <v>0</v>
      </c>
      <c r="CM254" s="256">
        <f>FORMULA!$T$444</f>
        <v>0</v>
      </c>
      <c r="CN254" s="256">
        <f>FORMULA!$V$444</f>
        <v>0</v>
      </c>
      <c r="CO254" s="111">
        <f>FORMULA!$X$444</f>
        <v>0</v>
      </c>
      <c r="CP254" s="111">
        <f>FORMULA!$Z$444</f>
        <v>0</v>
      </c>
      <c r="CQ254" s="111">
        <f>FORMULA!$AB$444</f>
        <v>0</v>
      </c>
      <c r="CR254" s="111">
        <f>FORMULA!$AD$444</f>
        <v>0</v>
      </c>
      <c r="CS254" s="114"/>
      <c r="CT254" s="256" t="str">
        <f>FORMULA!$B$532</f>
        <v>WITH TOXISORB</v>
      </c>
      <c r="CU254" s="256" t="str">
        <f>FORMULA!$D$532</f>
        <v>WITH TOXIWALL</v>
      </c>
      <c r="CV254" s="256" t="str">
        <f>FORMULA!$F$532</f>
        <v>WITH TOXIWALL, YM 20.50kg</v>
      </c>
      <c r="CW254" s="256">
        <f>FORMULA!$H$532</f>
        <v>0</v>
      </c>
      <c r="CX254" s="256">
        <f>FORMULA!$J$532</f>
        <v>0</v>
      </c>
      <c r="CY254" s="256">
        <f>FORMULA!$L$532</f>
        <v>0</v>
      </c>
      <c r="CZ254" s="256">
        <f>FORMULA!$N$532</f>
        <v>0</v>
      </c>
      <c r="DA254" s="256" t="str">
        <f>FORMULA!$P$532</f>
        <v>REDUCE CORN FOR 2MT</v>
      </c>
      <c r="DB254" s="256">
        <f>FORMULA!$R$532</f>
        <v>0</v>
      </c>
      <c r="DC254" s="256">
        <f>FORMULA!$T$532</f>
        <v>0</v>
      </c>
      <c r="DD254" s="256" t="str">
        <f>FORMULA!$V$532</f>
        <v>K20</v>
      </c>
      <c r="DE254" s="256">
        <f>FORMULA!$X$532</f>
        <v>0</v>
      </c>
      <c r="DF254" s="256" t="str">
        <f>FORMULA!$Z$532</f>
        <v>ALREADY 2MT</v>
      </c>
      <c r="DG254" s="256" t="str">
        <f>FORMULA!$AB$532</f>
        <v>K21</v>
      </c>
      <c r="DH254" s="111" t="s">
        <v>127</v>
      </c>
      <c r="DI254" s="114"/>
      <c r="DJ254" s="111" t="str">
        <f>FORMULA!$B$620</f>
        <v>WITH TOXISORB</v>
      </c>
      <c r="DK254" s="111" t="str">
        <f>FORMULA!$D$620</f>
        <v>WITHOUT WHEAT POLLARD</v>
      </c>
      <c r="DL254" s="111" t="str">
        <f>FORMULA!$F$620</f>
        <v>WITH TOXIWALL</v>
      </c>
      <c r="DM254" s="111" t="str">
        <f>FORMULA!$H$620</f>
        <v>WITH TOXIWALL, YM 20.00kg</v>
      </c>
      <c r="DN254" s="111">
        <f>FORMULA!$J$620</f>
        <v>0</v>
      </c>
      <c r="DO254" s="111">
        <f>FORMULA!$L$620</f>
        <v>0</v>
      </c>
      <c r="DP254" s="111">
        <f>FORMULA!$N$620</f>
        <v>0</v>
      </c>
      <c r="DQ254" s="111">
        <f>FORMULA!$P$620</f>
        <v>0</v>
      </c>
      <c r="DR254" s="111">
        <f>FORMULA!$R$620</f>
        <v>0</v>
      </c>
      <c r="DS254" s="111">
        <f>FORMULA!$T$620</f>
        <v>0</v>
      </c>
      <c r="DT254" s="111">
        <f>FORMULA!$V$620</f>
        <v>0</v>
      </c>
      <c r="DU254" s="111">
        <f>FORMULA!$X$620</f>
        <v>0</v>
      </c>
      <c r="DV254" s="111">
        <f>FORMULA!$Z$620</f>
        <v>0</v>
      </c>
      <c r="DW254" s="111">
        <f>FORMULA!$AB$620</f>
        <v>0</v>
      </c>
      <c r="DX254" s="111">
        <f>FORMULA!$AD$620</f>
        <v>0</v>
      </c>
      <c r="DY254" s="114"/>
      <c r="EA254" s="721"/>
      <c r="EB254" s="721"/>
      <c r="EC254" s="721"/>
      <c r="ED254" s="721"/>
      <c r="EE254" s="721"/>
      <c r="EF254" s="721"/>
      <c r="EG254" s="721"/>
      <c r="EH254" s="721"/>
      <c r="EI254" s="721"/>
      <c r="EJ254" s="721"/>
      <c r="EK254" s="721"/>
      <c r="EL254" s="120"/>
      <c r="EM254" s="120"/>
      <c r="EN254" s="120"/>
      <c r="EO254" s="120"/>
      <c r="EP254" s="120"/>
      <c r="EQ254" s="120"/>
      <c r="ER254" s="721"/>
      <c r="ES254" s="721"/>
      <c r="ET254" s="721"/>
      <c r="EU254" s="721"/>
      <c r="EV254" s="721"/>
      <c r="EW254" s="721"/>
      <c r="EX254" s="721"/>
      <c r="EY254" s="721"/>
      <c r="EZ254" s="721"/>
      <c r="FA254" s="721"/>
      <c r="FB254" s="721"/>
      <c r="FC254" s="721"/>
      <c r="FD254" s="721"/>
      <c r="FE254" s="721"/>
      <c r="FF254" s="721"/>
      <c r="FG254" s="120"/>
      <c r="FH254" s="721"/>
      <c r="FI254" s="721"/>
      <c r="FJ254" s="721"/>
      <c r="FK254" s="721"/>
      <c r="FL254" s="721"/>
      <c r="FM254" s="721"/>
      <c r="FN254" s="721"/>
      <c r="FO254" s="721"/>
      <c r="FP254" s="721"/>
      <c r="FQ254" s="721"/>
      <c r="FR254" s="721"/>
      <c r="FS254" s="721"/>
      <c r="FT254" s="721"/>
      <c r="FU254" s="721"/>
      <c r="FV254" s="721"/>
      <c r="FW254" s="120"/>
      <c r="FX254" s="721"/>
      <c r="FY254" s="721"/>
      <c r="FZ254" s="721"/>
      <c r="GA254" s="721"/>
      <c r="GB254" s="721"/>
      <c r="GC254" s="721"/>
      <c r="GD254" s="721"/>
      <c r="GE254" s="721"/>
      <c r="GF254" s="721"/>
      <c r="GG254" s="721"/>
      <c r="GH254" s="721"/>
      <c r="GI254" s="721"/>
      <c r="GJ254" s="721"/>
      <c r="GK254" s="721"/>
      <c r="GL254" s="721"/>
      <c r="GM254" s="121"/>
      <c r="GN254" s="721"/>
      <c r="GO254" s="721"/>
      <c r="GP254" s="721"/>
      <c r="GQ254" s="721"/>
      <c r="GR254" s="721"/>
      <c r="GS254" s="721"/>
      <c r="GT254" s="721"/>
      <c r="GU254" s="721"/>
      <c r="GV254" s="721"/>
      <c r="GW254" s="721"/>
      <c r="GX254" s="721"/>
      <c r="GY254" s="721"/>
      <c r="GZ254" s="721"/>
      <c r="HA254" s="721"/>
      <c r="HB254" s="721"/>
      <c r="HC254" s="121"/>
      <c r="HD254" s="721"/>
      <c r="HE254" s="721"/>
      <c r="HF254" s="721"/>
      <c r="HG254" s="721"/>
      <c r="HH254" s="721"/>
      <c r="HI254" s="721"/>
      <c r="HJ254" s="721"/>
      <c r="HK254" s="721"/>
      <c r="HL254" s="721"/>
      <c r="HM254" s="721"/>
      <c r="HN254" s="721"/>
      <c r="HO254" s="721"/>
      <c r="HP254" s="721"/>
      <c r="HQ254" s="721"/>
      <c r="HR254" s="721"/>
      <c r="HS254" s="121"/>
      <c r="HT254" s="721"/>
      <c r="HU254" s="721"/>
      <c r="HV254" s="721"/>
      <c r="HW254" s="721"/>
      <c r="HX254" s="721"/>
      <c r="HY254" s="721"/>
      <c r="HZ254" s="721"/>
      <c r="IA254" s="721"/>
      <c r="IB254" s="721"/>
      <c r="IC254" s="721"/>
      <c r="ID254" s="721"/>
      <c r="IE254" s="721"/>
      <c r="IF254" s="721"/>
      <c r="IG254" s="721"/>
      <c r="IH254" s="721"/>
      <c r="II254" s="121"/>
      <c r="IJ254" s="721"/>
      <c r="IK254" s="721"/>
      <c r="IL254" s="721"/>
      <c r="IM254" s="721"/>
      <c r="IN254" s="721"/>
      <c r="IO254" s="721"/>
      <c r="IP254" s="721"/>
      <c r="IQ254" s="721"/>
      <c r="IR254" s="721"/>
      <c r="IS254" s="721"/>
      <c r="IT254" s="721"/>
      <c r="IU254" s="721"/>
      <c r="IV254" s="721"/>
      <c r="IW254" s="721"/>
      <c r="IX254" s="721"/>
      <c r="IY254" s="121"/>
    </row>
    <row r="255" spans="1:259" ht="15.75" customHeight="1" outlineLevel="1">
      <c r="A255" s="11">
        <f>'VAC &amp; MED'!C254</f>
        <v>46235</v>
      </c>
      <c r="B255" s="261"/>
      <c r="C255" s="261"/>
      <c r="D255" s="261"/>
      <c r="E255" s="261"/>
      <c r="F255" s="261"/>
      <c r="G255" s="261"/>
      <c r="H255" s="261"/>
      <c r="I255" s="261"/>
      <c r="J255" s="261"/>
      <c r="K255" s="261"/>
      <c r="L255" s="261"/>
      <c r="M255" s="261"/>
      <c r="N255" s="261"/>
      <c r="O255" s="261"/>
      <c r="P255" s="261"/>
      <c r="Q255" s="261"/>
      <c r="R255" s="262"/>
      <c r="S255" s="262"/>
      <c r="T255" s="262"/>
      <c r="U255" s="262"/>
      <c r="V255" s="262"/>
      <c r="W255" s="262"/>
      <c r="X255" s="262"/>
      <c r="Y255" s="262"/>
      <c r="Z255" s="262"/>
      <c r="AA255" s="262"/>
      <c r="AB255" s="262"/>
      <c r="AC255" s="262"/>
      <c r="AD255" s="262"/>
      <c r="AE255" s="262"/>
      <c r="AF255" s="262"/>
      <c r="AG255" s="262"/>
      <c r="AH255" s="263"/>
      <c r="AI255" s="263"/>
      <c r="AJ255" s="263"/>
      <c r="AK255" s="263"/>
      <c r="AL255" s="263"/>
      <c r="AM255" s="263"/>
      <c r="AN255" s="263"/>
      <c r="AO255" s="263"/>
      <c r="AP255" s="263"/>
      <c r="AQ255" s="263"/>
      <c r="AR255" s="263"/>
      <c r="AS255" s="263"/>
      <c r="AT255" s="263"/>
      <c r="AU255" s="263"/>
      <c r="AV255" s="263"/>
      <c r="AW255" s="263"/>
      <c r="AX255" s="264"/>
      <c r="AY255" s="264"/>
      <c r="AZ255" s="264"/>
      <c r="BA255" s="264"/>
      <c r="BB255" s="264"/>
      <c r="BC255" s="264"/>
      <c r="BD255" s="264"/>
      <c r="BE255" s="264"/>
      <c r="BF255" s="264"/>
      <c r="BG255" s="264"/>
      <c r="BH255" s="264"/>
      <c r="BI255" s="264"/>
      <c r="BJ255" s="264"/>
      <c r="BK255" s="264"/>
      <c r="BL255" s="264"/>
      <c r="BM255" s="264"/>
      <c r="BN255" s="265"/>
      <c r="BO255" s="265"/>
      <c r="BP255" s="265"/>
      <c r="BQ255" s="265"/>
      <c r="BR255" s="265"/>
      <c r="BS255" s="265"/>
      <c r="BT255" s="265"/>
      <c r="BU255" s="265"/>
      <c r="BV255" s="265"/>
      <c r="BW255" s="265"/>
      <c r="BX255" s="265"/>
      <c r="BY255" s="265"/>
      <c r="BZ255" s="265"/>
      <c r="CA255" s="265">
        <v>1</v>
      </c>
      <c r="CB255" s="265"/>
      <c r="CC255" s="265"/>
      <c r="CD255" s="266"/>
      <c r="CE255" s="266"/>
      <c r="CF255" s="266"/>
      <c r="CG255" s="266"/>
      <c r="CH255" s="266"/>
      <c r="CI255" s="266"/>
      <c r="CJ255" s="266"/>
      <c r="CK255" s="266"/>
      <c r="CL255" s="266"/>
      <c r="CM255" s="266"/>
      <c r="CN255" s="266"/>
      <c r="CO255" s="266"/>
      <c r="CP255" s="266"/>
      <c r="CQ255" s="266"/>
      <c r="CR255" s="266"/>
      <c r="CS255" s="266"/>
      <c r="CT255" s="267"/>
      <c r="CU255" s="267"/>
      <c r="CV255" s="267"/>
      <c r="CW255" s="267"/>
      <c r="CX255" s="267"/>
      <c r="CY255" s="267"/>
      <c r="CZ255" s="267"/>
      <c r="DA255" s="267"/>
      <c r="DB255" s="267"/>
      <c r="DC255" s="267"/>
      <c r="DD255" s="267"/>
      <c r="DE255" s="267"/>
      <c r="DF255" s="267"/>
      <c r="DG255" s="267"/>
      <c r="DH255" s="267"/>
      <c r="DI255" s="267"/>
      <c r="DJ255" s="268"/>
      <c r="DK255" s="268"/>
      <c r="DL255" s="268"/>
      <c r="DM255" s="268"/>
      <c r="DN255" s="268"/>
      <c r="DO255" s="268"/>
      <c r="DP255" s="268"/>
      <c r="DQ255" s="268"/>
      <c r="DR255" s="268"/>
      <c r="DS255" s="268"/>
      <c r="DT255" s="268"/>
      <c r="DU255" s="268"/>
      <c r="DV255" s="268"/>
      <c r="DW255" s="268"/>
      <c r="DX255" s="268"/>
      <c r="DY255" s="268"/>
      <c r="EA255" s="721"/>
      <c r="EB255" s="721"/>
      <c r="EC255" s="721"/>
      <c r="ED255" s="721"/>
      <c r="EE255" s="721"/>
      <c r="EF255" s="721"/>
      <c r="EG255" s="721"/>
      <c r="EH255" s="721"/>
      <c r="EI255" s="721"/>
      <c r="EJ255" s="721"/>
      <c r="EK255" s="721"/>
      <c r="EL255" s="494"/>
      <c r="EM255" s="494"/>
      <c r="EN255" s="494"/>
      <c r="EO255" s="494"/>
      <c r="EP255" s="494"/>
      <c r="EQ255" s="494"/>
      <c r="ER255" s="721"/>
      <c r="ES255" s="721"/>
      <c r="ET255" s="721"/>
      <c r="EU255" s="721"/>
      <c r="EV255" s="721"/>
      <c r="EW255" s="721"/>
      <c r="EX255" s="721"/>
      <c r="EY255" s="721"/>
      <c r="EZ255" s="721"/>
      <c r="FA255" s="721"/>
      <c r="FB255" s="721"/>
      <c r="FC255" s="721"/>
      <c r="FD255" s="721"/>
      <c r="FE255" s="721"/>
      <c r="FF255" s="721"/>
      <c r="FG255" s="494"/>
      <c r="FH255" s="721"/>
      <c r="FI255" s="721"/>
      <c r="FJ255" s="721"/>
      <c r="FK255" s="721"/>
      <c r="FL255" s="721"/>
      <c r="FM255" s="721"/>
      <c r="FN255" s="721"/>
      <c r="FO255" s="721"/>
      <c r="FP255" s="721"/>
      <c r="FQ255" s="721"/>
      <c r="FR255" s="721"/>
      <c r="FS255" s="721"/>
      <c r="FT255" s="721"/>
      <c r="FU255" s="721"/>
      <c r="FV255" s="721"/>
      <c r="FW255" s="494"/>
      <c r="FX255" s="721"/>
      <c r="FY255" s="721"/>
      <c r="FZ255" s="721"/>
      <c r="GA255" s="721"/>
      <c r="GB255" s="721"/>
      <c r="GC255" s="721"/>
      <c r="GD255" s="721"/>
      <c r="GE255" s="721"/>
      <c r="GF255" s="721"/>
      <c r="GG255" s="721"/>
      <c r="GH255" s="721"/>
      <c r="GI255" s="721"/>
      <c r="GJ255" s="721"/>
      <c r="GK255" s="721"/>
      <c r="GL255" s="721"/>
      <c r="GM255" s="13"/>
      <c r="GN255" s="721"/>
      <c r="GO255" s="721"/>
      <c r="GP255" s="721"/>
      <c r="GQ255" s="721"/>
      <c r="GR255" s="721"/>
      <c r="GS255" s="721"/>
      <c r="GT255" s="721"/>
      <c r="GU255" s="721"/>
      <c r="GV255" s="721"/>
      <c r="GW255" s="721"/>
      <c r="GX255" s="721"/>
      <c r="GY255" s="721"/>
      <c r="GZ255" s="721"/>
      <c r="HA255" s="721"/>
      <c r="HB255" s="721"/>
      <c r="HC255" s="13"/>
      <c r="HD255" s="721"/>
      <c r="HE255" s="721"/>
      <c r="HF255" s="721"/>
      <c r="HG255" s="721"/>
      <c r="HH255" s="721"/>
      <c r="HI255" s="721"/>
      <c r="HJ255" s="721"/>
      <c r="HK255" s="721"/>
      <c r="HL255" s="721"/>
      <c r="HM255" s="721"/>
      <c r="HN255" s="721"/>
      <c r="HO255" s="721"/>
      <c r="HP255" s="721"/>
      <c r="HQ255" s="721"/>
      <c r="HR255" s="721"/>
      <c r="HS255" s="13"/>
      <c r="HT255" s="721"/>
      <c r="HU255" s="721"/>
      <c r="HV255" s="721"/>
      <c r="HW255" s="721"/>
      <c r="HX255" s="721"/>
      <c r="HY255" s="721"/>
      <c r="HZ255" s="721"/>
      <c r="IA255" s="721"/>
      <c r="IB255" s="721"/>
      <c r="IC255" s="721"/>
      <c r="ID255" s="721"/>
      <c r="IE255" s="721"/>
      <c r="IF255" s="721"/>
      <c r="IG255" s="721"/>
      <c r="IH255" s="721"/>
      <c r="II255" s="13"/>
      <c r="IJ255" s="721"/>
      <c r="IK255" s="721"/>
      <c r="IL255" s="721"/>
      <c r="IM255" s="721"/>
      <c r="IN255" s="721"/>
      <c r="IO255" s="721"/>
      <c r="IP255" s="721"/>
      <c r="IQ255" s="721"/>
      <c r="IR255" s="721"/>
      <c r="IS255" s="721"/>
      <c r="IT255" s="721"/>
      <c r="IU255" s="721"/>
      <c r="IV255" s="721"/>
      <c r="IW255" s="721"/>
      <c r="IX255" s="721"/>
      <c r="IY255" s="13"/>
    </row>
    <row r="256" spans="1:259" outlineLevel="1">
      <c r="A256" s="11">
        <f>'VAC &amp; MED'!C255</f>
        <v>46236</v>
      </c>
      <c r="B256" s="261"/>
      <c r="C256" s="261"/>
      <c r="D256" s="261"/>
      <c r="E256" s="261"/>
      <c r="F256" s="261"/>
      <c r="G256" s="261"/>
      <c r="H256" s="261"/>
      <c r="I256" s="261"/>
      <c r="J256" s="261"/>
      <c r="K256" s="261"/>
      <c r="L256" s="261"/>
      <c r="M256" s="261"/>
      <c r="N256" s="261"/>
      <c r="O256" s="261"/>
      <c r="P256" s="261"/>
      <c r="Q256" s="261"/>
      <c r="R256" s="262"/>
      <c r="S256" s="262"/>
      <c r="T256" s="262"/>
      <c r="U256" s="262"/>
      <c r="V256" s="262"/>
      <c r="W256" s="262"/>
      <c r="X256" s="262"/>
      <c r="Y256" s="262"/>
      <c r="Z256" s="262"/>
      <c r="AA256" s="262"/>
      <c r="AB256" s="262"/>
      <c r="AC256" s="262"/>
      <c r="AD256" s="262"/>
      <c r="AE256" s="262"/>
      <c r="AF256" s="262"/>
      <c r="AG256" s="262"/>
      <c r="AH256" s="263"/>
      <c r="AI256" s="263"/>
      <c r="AJ256" s="263"/>
      <c r="AK256" s="263"/>
      <c r="AL256" s="263"/>
      <c r="AM256" s="263"/>
      <c r="AN256" s="263"/>
      <c r="AO256" s="263"/>
      <c r="AP256" s="263"/>
      <c r="AQ256" s="263"/>
      <c r="AR256" s="263"/>
      <c r="AS256" s="263"/>
      <c r="AT256" s="263"/>
      <c r="AU256" s="263"/>
      <c r="AV256" s="263"/>
      <c r="AW256" s="263"/>
      <c r="AX256" s="264"/>
      <c r="AY256" s="264"/>
      <c r="AZ256" s="264"/>
      <c r="BA256" s="264"/>
      <c r="BB256" s="264"/>
      <c r="BC256" s="264"/>
      <c r="BD256" s="264"/>
      <c r="BE256" s="264"/>
      <c r="BF256" s="264"/>
      <c r="BG256" s="264"/>
      <c r="BH256" s="264"/>
      <c r="BI256" s="264"/>
      <c r="BJ256" s="264"/>
      <c r="BK256" s="264"/>
      <c r="BL256" s="264"/>
      <c r="BM256" s="264"/>
      <c r="BN256" s="265"/>
      <c r="BO256" s="265"/>
      <c r="BP256" s="265"/>
      <c r="BQ256" s="265"/>
      <c r="BR256" s="265"/>
      <c r="BS256" s="265"/>
      <c r="BT256" s="265"/>
      <c r="BU256" s="265"/>
      <c r="BV256" s="265"/>
      <c r="BW256" s="265"/>
      <c r="BX256" s="265"/>
      <c r="BY256" s="265"/>
      <c r="BZ256" s="265"/>
      <c r="CA256" s="265"/>
      <c r="CB256" s="265"/>
      <c r="CC256" s="265"/>
      <c r="CD256" s="266"/>
      <c r="CE256" s="266"/>
      <c r="CF256" s="266"/>
      <c r="CG256" s="266"/>
      <c r="CH256" s="266"/>
      <c r="CI256" s="266"/>
      <c r="CJ256" s="266"/>
      <c r="CK256" s="266"/>
      <c r="CL256" s="266"/>
      <c r="CM256" s="266"/>
      <c r="CN256" s="266"/>
      <c r="CO256" s="266"/>
      <c r="CP256" s="266"/>
      <c r="CQ256" s="266"/>
      <c r="CR256" s="266"/>
      <c r="CS256" s="266"/>
      <c r="CT256" s="267"/>
      <c r="CU256" s="267"/>
      <c r="CV256" s="267"/>
      <c r="CW256" s="267"/>
      <c r="CX256" s="267"/>
      <c r="CY256" s="267"/>
      <c r="CZ256" s="267"/>
      <c r="DA256" s="267"/>
      <c r="DB256" s="267"/>
      <c r="DC256" s="267"/>
      <c r="DD256" s="267"/>
      <c r="DE256" s="267"/>
      <c r="DF256" s="267"/>
      <c r="DG256" s="267"/>
      <c r="DH256" s="267"/>
      <c r="DI256" s="267"/>
      <c r="DJ256" s="268"/>
      <c r="DK256" s="268"/>
      <c r="DL256" s="268"/>
      <c r="DM256" s="268"/>
      <c r="DN256" s="268"/>
      <c r="DO256" s="268"/>
      <c r="DP256" s="268"/>
      <c r="DQ256" s="268"/>
      <c r="DR256" s="268"/>
      <c r="DS256" s="268"/>
      <c r="DT256" s="268"/>
      <c r="DU256" s="268"/>
      <c r="DV256" s="268"/>
      <c r="DW256" s="268"/>
      <c r="DX256" s="268"/>
      <c r="DY256" s="268"/>
      <c r="EA256" s="721"/>
      <c r="EB256" s="714"/>
      <c r="EC256" s="714"/>
      <c r="ED256" s="714"/>
      <c r="EE256" s="714"/>
      <c r="EF256" s="714"/>
      <c r="EG256" s="714"/>
      <c r="EH256" s="714"/>
      <c r="EI256" s="714"/>
      <c r="EJ256" s="714"/>
      <c r="EK256" s="714"/>
      <c r="EL256" s="493"/>
      <c r="EM256" s="493"/>
      <c r="EN256" s="493"/>
      <c r="EO256" s="493"/>
      <c r="EP256" s="493"/>
      <c r="EQ256" s="493"/>
      <c r="ER256" s="714"/>
      <c r="ES256" s="714"/>
      <c r="ET256" s="714"/>
      <c r="EU256" s="714"/>
      <c r="EV256" s="714"/>
      <c r="EW256" s="714"/>
      <c r="EX256" s="714"/>
      <c r="EY256" s="714"/>
      <c r="EZ256" s="714"/>
      <c r="FA256" s="493"/>
      <c r="FB256" s="493"/>
      <c r="FC256" s="493"/>
      <c r="FD256" s="493"/>
      <c r="FE256" s="493"/>
      <c r="FF256" s="714"/>
      <c r="FG256" s="493"/>
      <c r="FH256" s="714"/>
      <c r="FI256" s="714"/>
      <c r="FJ256" s="714"/>
      <c r="FK256" s="714"/>
      <c r="FL256" s="714"/>
      <c r="FM256" s="714"/>
      <c r="FN256" s="714"/>
      <c r="FO256" s="714"/>
      <c r="FP256" s="714"/>
      <c r="FQ256" s="493"/>
      <c r="FR256" s="493"/>
      <c r="FS256" s="493"/>
      <c r="FT256" s="493"/>
      <c r="FU256" s="493"/>
      <c r="FV256" s="714"/>
      <c r="FW256" s="493"/>
      <c r="FX256" s="714"/>
      <c r="FY256" s="714"/>
      <c r="FZ256" s="714"/>
      <c r="GA256" s="714"/>
      <c r="GB256" s="714"/>
      <c r="GC256" s="714"/>
      <c r="GD256" s="714"/>
      <c r="GE256" s="714"/>
      <c r="GF256" s="714"/>
      <c r="GG256" s="493"/>
      <c r="GH256" s="493"/>
      <c r="GI256" s="493"/>
      <c r="GJ256" s="493"/>
      <c r="GK256" s="493"/>
      <c r="GL256" s="714"/>
      <c r="GM256" s="13"/>
      <c r="GN256" s="714"/>
      <c r="GO256" s="714"/>
      <c r="GP256" s="714"/>
      <c r="GQ256" s="714"/>
      <c r="GR256" s="714"/>
      <c r="GS256" s="714"/>
      <c r="GT256" s="714"/>
      <c r="GU256" s="714"/>
      <c r="GV256" s="714"/>
      <c r="GW256" s="493"/>
      <c r="GX256" s="493"/>
      <c r="GY256" s="493"/>
      <c r="GZ256" s="493"/>
      <c r="HA256" s="493"/>
      <c r="HB256" s="714"/>
      <c r="HC256" s="13"/>
      <c r="HD256" s="714"/>
      <c r="HE256" s="714"/>
      <c r="HF256" s="714"/>
      <c r="HG256" s="714"/>
      <c r="HH256" s="714"/>
      <c r="HI256" s="714"/>
      <c r="HJ256" s="714"/>
      <c r="HK256" s="714"/>
      <c r="HL256" s="714"/>
      <c r="HM256" s="493"/>
      <c r="HN256" s="493"/>
      <c r="HO256" s="493"/>
      <c r="HP256" s="493"/>
      <c r="HQ256" s="493"/>
      <c r="HR256" s="714"/>
      <c r="HS256" s="13"/>
      <c r="HT256" s="714"/>
      <c r="HU256" s="714"/>
      <c r="HV256" s="714"/>
      <c r="HW256" s="714"/>
      <c r="HX256" s="714"/>
      <c r="HY256" s="714"/>
      <c r="HZ256" s="714"/>
      <c r="IA256" s="714"/>
      <c r="IB256" s="714"/>
      <c r="IC256" s="493"/>
      <c r="ID256" s="493"/>
      <c r="IE256" s="493"/>
      <c r="IF256" s="493"/>
      <c r="IG256" s="493"/>
      <c r="IH256" s="714"/>
      <c r="II256" s="13"/>
      <c r="IJ256" s="714"/>
      <c r="IK256" s="714"/>
      <c r="IL256" s="714"/>
      <c r="IM256" s="714"/>
      <c r="IN256" s="714"/>
      <c r="IO256" s="714"/>
      <c r="IP256" s="714"/>
      <c r="IQ256" s="714"/>
      <c r="IR256" s="714"/>
      <c r="IS256" s="493"/>
      <c r="IT256" s="493"/>
      <c r="IU256" s="493"/>
      <c r="IV256" s="493"/>
      <c r="IW256" s="493"/>
      <c r="IX256" s="714"/>
      <c r="IY256" s="13"/>
    </row>
    <row r="257" spans="1:259" outlineLevel="1">
      <c r="A257" s="11">
        <f>'VAC &amp; MED'!C256</f>
        <v>46237</v>
      </c>
      <c r="B257" s="261"/>
      <c r="C257" s="261"/>
      <c r="D257" s="261"/>
      <c r="E257" s="261"/>
      <c r="F257" s="261"/>
      <c r="G257" s="261"/>
      <c r="H257" s="261"/>
      <c r="I257" s="261"/>
      <c r="J257" s="261"/>
      <c r="K257" s="261"/>
      <c r="L257" s="261"/>
      <c r="M257" s="261"/>
      <c r="N257" s="261"/>
      <c r="O257" s="261"/>
      <c r="P257" s="261"/>
      <c r="Q257" s="261"/>
      <c r="R257" s="262"/>
      <c r="S257" s="262"/>
      <c r="T257" s="262"/>
      <c r="U257" s="262"/>
      <c r="V257" s="262"/>
      <c r="W257" s="262"/>
      <c r="X257" s="262"/>
      <c r="Y257" s="262"/>
      <c r="Z257" s="262"/>
      <c r="AA257" s="262"/>
      <c r="AB257" s="262"/>
      <c r="AC257" s="262"/>
      <c r="AD257" s="262"/>
      <c r="AE257" s="262"/>
      <c r="AF257" s="262"/>
      <c r="AG257" s="262"/>
      <c r="AH257" s="263"/>
      <c r="AI257" s="263"/>
      <c r="AJ257" s="263"/>
      <c r="AK257" s="263"/>
      <c r="AL257" s="263"/>
      <c r="AM257" s="263"/>
      <c r="AN257" s="263"/>
      <c r="AO257" s="263"/>
      <c r="AP257" s="263"/>
      <c r="AQ257" s="263"/>
      <c r="AR257" s="263"/>
      <c r="AS257" s="263"/>
      <c r="AT257" s="263"/>
      <c r="AU257" s="263"/>
      <c r="AV257" s="263"/>
      <c r="AW257" s="263"/>
      <c r="AX257" s="264"/>
      <c r="AY257" s="264"/>
      <c r="AZ257" s="264"/>
      <c r="BA257" s="264"/>
      <c r="BB257" s="264"/>
      <c r="BC257" s="264"/>
      <c r="BD257" s="264"/>
      <c r="BE257" s="264"/>
      <c r="BF257" s="264"/>
      <c r="BG257" s="264"/>
      <c r="BH257" s="264"/>
      <c r="BI257" s="264"/>
      <c r="BJ257" s="264"/>
      <c r="BK257" s="264"/>
      <c r="BL257" s="264"/>
      <c r="BM257" s="264"/>
      <c r="BN257" s="265"/>
      <c r="BO257" s="265"/>
      <c r="BP257" s="265">
        <v>40</v>
      </c>
      <c r="BQ257" s="265"/>
      <c r="BR257" s="265"/>
      <c r="BS257" s="265"/>
      <c r="BT257" s="265"/>
      <c r="BU257" s="265"/>
      <c r="BV257" s="265"/>
      <c r="BW257" s="265"/>
      <c r="BX257" s="265"/>
      <c r="BY257" s="265"/>
      <c r="BZ257" s="265"/>
      <c r="CA257" s="265"/>
      <c r="CB257" s="265"/>
      <c r="CC257" s="265"/>
      <c r="CD257" s="266"/>
      <c r="CE257" s="266"/>
      <c r="CF257" s="266"/>
      <c r="CG257" s="266"/>
      <c r="CH257" s="266"/>
      <c r="CI257" s="266"/>
      <c r="CJ257" s="266"/>
      <c r="CK257" s="266"/>
      <c r="CL257" s="266"/>
      <c r="CM257" s="266"/>
      <c r="CN257" s="266"/>
      <c r="CO257" s="266"/>
      <c r="CP257" s="266"/>
      <c r="CQ257" s="266"/>
      <c r="CR257" s="266"/>
      <c r="CS257" s="266"/>
      <c r="CT257" s="267"/>
      <c r="CU257" s="267"/>
      <c r="CV257" s="267"/>
      <c r="CW257" s="267"/>
      <c r="CX257" s="267"/>
      <c r="CY257" s="267"/>
      <c r="CZ257" s="267"/>
      <c r="DA257" s="267"/>
      <c r="DB257" s="267"/>
      <c r="DC257" s="267"/>
      <c r="DD257" s="267">
        <v>20</v>
      </c>
      <c r="DE257" s="267"/>
      <c r="DF257" s="267"/>
      <c r="DG257" s="267"/>
      <c r="DH257" s="267"/>
      <c r="DI257" s="267"/>
      <c r="DJ257" s="268"/>
      <c r="DK257" s="268"/>
      <c r="DL257" s="268"/>
      <c r="DM257" s="268"/>
      <c r="DN257" s="268"/>
      <c r="DO257" s="268"/>
      <c r="DP257" s="268"/>
      <c r="DQ257" s="268"/>
      <c r="DR257" s="268"/>
      <c r="DS257" s="268"/>
      <c r="DT257" s="268"/>
      <c r="DU257" s="268"/>
      <c r="DV257" s="268"/>
      <c r="DW257" s="268"/>
      <c r="DX257" s="268"/>
      <c r="DY257" s="268"/>
      <c r="EA257" s="721"/>
      <c r="EB257" s="714"/>
      <c r="EC257" s="714"/>
      <c r="ED257" s="714"/>
      <c r="EE257" s="714"/>
      <c r="EF257" s="714"/>
      <c r="EG257" s="714"/>
      <c r="EH257" s="714"/>
      <c r="EI257" s="714"/>
      <c r="EJ257" s="714"/>
      <c r="EK257" s="714"/>
      <c r="EL257" s="493"/>
      <c r="EM257" s="493"/>
      <c r="EN257" s="493"/>
      <c r="EO257" s="493"/>
      <c r="EP257" s="493"/>
      <c r="EQ257" s="493"/>
      <c r="ER257" s="714"/>
      <c r="ES257" s="714"/>
      <c r="ET257" s="714"/>
      <c r="EU257" s="714"/>
      <c r="EV257" s="714"/>
      <c r="EW257" s="714"/>
      <c r="EX257" s="714"/>
      <c r="EY257" s="714"/>
      <c r="EZ257" s="714"/>
      <c r="FA257" s="493"/>
      <c r="FB257" s="493"/>
      <c r="FC257" s="493"/>
      <c r="FD257" s="493"/>
      <c r="FE257" s="493"/>
      <c r="FF257" s="714"/>
      <c r="FG257" s="493"/>
      <c r="FH257" s="714"/>
      <c r="FI257" s="714"/>
      <c r="FJ257" s="714"/>
      <c r="FK257" s="714"/>
      <c r="FL257" s="714"/>
      <c r="FM257" s="714"/>
      <c r="FN257" s="714"/>
      <c r="FO257" s="714"/>
      <c r="FP257" s="714"/>
      <c r="FQ257" s="493"/>
      <c r="FR257" s="493"/>
      <c r="FS257" s="493"/>
      <c r="FT257" s="493"/>
      <c r="FU257" s="493"/>
      <c r="FV257" s="714"/>
      <c r="FW257" s="493"/>
      <c r="FX257" s="714"/>
      <c r="FY257" s="714"/>
      <c r="FZ257" s="714"/>
      <c r="GA257" s="714"/>
      <c r="GB257" s="714"/>
      <c r="GC257" s="714"/>
      <c r="GD257" s="714"/>
      <c r="GE257" s="714"/>
      <c r="GF257" s="714"/>
      <c r="GG257" s="493"/>
      <c r="GH257" s="493"/>
      <c r="GI257" s="493"/>
      <c r="GJ257" s="493"/>
      <c r="GK257" s="493"/>
      <c r="GL257" s="714"/>
      <c r="GM257" s="13"/>
      <c r="GN257" s="714"/>
      <c r="GO257" s="714"/>
      <c r="GP257" s="714"/>
      <c r="GQ257" s="714"/>
      <c r="GR257" s="714"/>
      <c r="GS257" s="714"/>
      <c r="GT257" s="714"/>
      <c r="GU257" s="714"/>
      <c r="GV257" s="714"/>
      <c r="GW257" s="493"/>
      <c r="GX257" s="493"/>
      <c r="GY257" s="493"/>
      <c r="GZ257" s="493"/>
      <c r="HA257" s="493"/>
      <c r="HB257" s="714"/>
      <c r="HC257" s="13"/>
      <c r="HD257" s="714"/>
      <c r="HE257" s="714"/>
      <c r="HF257" s="714"/>
      <c r="HG257" s="714"/>
      <c r="HH257" s="714"/>
      <c r="HI257" s="714"/>
      <c r="HJ257" s="714"/>
      <c r="HK257" s="714"/>
      <c r="HL257" s="714"/>
      <c r="HM257" s="493"/>
      <c r="HN257" s="493"/>
      <c r="HO257" s="493"/>
      <c r="HP257" s="493"/>
      <c r="HQ257" s="493"/>
      <c r="HR257" s="714"/>
      <c r="HS257" s="13"/>
      <c r="HT257" s="714"/>
      <c r="HU257" s="714"/>
      <c r="HV257" s="714"/>
      <c r="HW257" s="714"/>
      <c r="HX257" s="714"/>
      <c r="HY257" s="714"/>
      <c r="HZ257" s="714"/>
      <c r="IA257" s="714"/>
      <c r="IB257" s="714"/>
      <c r="IC257" s="493"/>
      <c r="ID257" s="493"/>
      <c r="IE257" s="493"/>
      <c r="IF257" s="493"/>
      <c r="IG257" s="493"/>
      <c r="IH257" s="714"/>
      <c r="II257" s="13"/>
      <c r="IJ257" s="714"/>
      <c r="IK257" s="714"/>
      <c r="IL257" s="714"/>
      <c r="IM257" s="714"/>
      <c r="IN257" s="714"/>
      <c r="IO257" s="714"/>
      <c r="IP257" s="714"/>
      <c r="IQ257" s="714"/>
      <c r="IR257" s="714"/>
      <c r="IS257" s="493"/>
      <c r="IT257" s="493"/>
      <c r="IU257" s="493"/>
      <c r="IV257" s="493"/>
      <c r="IW257" s="493"/>
      <c r="IX257" s="714"/>
      <c r="IY257" s="13"/>
    </row>
    <row r="258" spans="1:259" outlineLevel="1">
      <c r="A258" s="11">
        <f>'VAC &amp; MED'!C257</f>
        <v>46238</v>
      </c>
      <c r="B258" s="261"/>
      <c r="C258" s="261">
        <f>26</f>
        <v>26</v>
      </c>
      <c r="D258" s="261"/>
      <c r="E258" s="261"/>
      <c r="F258" s="261"/>
      <c r="G258" s="261"/>
      <c r="H258" s="261"/>
      <c r="I258" s="261"/>
      <c r="J258" s="261"/>
      <c r="K258" s="261"/>
      <c r="L258" s="261"/>
      <c r="M258" s="261"/>
      <c r="N258" s="261"/>
      <c r="O258" s="261"/>
      <c r="P258" s="261"/>
      <c r="Q258" s="261"/>
      <c r="R258" s="262"/>
      <c r="S258" s="262"/>
      <c r="T258" s="262"/>
      <c r="U258" s="262"/>
      <c r="V258" s="262"/>
      <c r="W258" s="262"/>
      <c r="X258" s="262"/>
      <c r="Y258" s="262"/>
      <c r="Z258" s="262"/>
      <c r="AA258" s="262"/>
      <c r="AB258" s="262"/>
      <c r="AC258" s="262"/>
      <c r="AD258" s="262"/>
      <c r="AE258" s="262"/>
      <c r="AF258" s="262"/>
      <c r="AG258" s="262"/>
      <c r="AH258" s="263"/>
      <c r="AI258" s="263"/>
      <c r="AJ258" s="263"/>
      <c r="AK258" s="263"/>
      <c r="AL258" s="263"/>
      <c r="AM258" s="263"/>
      <c r="AN258" s="263"/>
      <c r="AO258" s="263"/>
      <c r="AP258" s="263"/>
      <c r="AQ258" s="263"/>
      <c r="AR258" s="263"/>
      <c r="AS258" s="263"/>
      <c r="AT258" s="263"/>
      <c r="AU258" s="263"/>
      <c r="AV258" s="263"/>
      <c r="AW258" s="263"/>
      <c r="AX258" s="264"/>
      <c r="AY258" s="264"/>
      <c r="AZ258" s="264"/>
      <c r="BA258" s="264"/>
      <c r="BB258" s="264"/>
      <c r="BC258" s="264"/>
      <c r="BD258" s="264"/>
      <c r="BE258" s="264"/>
      <c r="BF258" s="264"/>
      <c r="BG258" s="264"/>
      <c r="BH258" s="264"/>
      <c r="BI258" s="264"/>
      <c r="BJ258" s="264"/>
      <c r="BK258" s="264"/>
      <c r="BL258" s="264"/>
      <c r="BM258" s="264"/>
      <c r="BN258" s="265"/>
      <c r="BO258" s="265"/>
      <c r="BP258" s="265"/>
      <c r="BQ258" s="265"/>
      <c r="BR258" s="265"/>
      <c r="BS258" s="265"/>
      <c r="BT258" s="265"/>
      <c r="BU258" s="265"/>
      <c r="BV258" s="265"/>
      <c r="BW258" s="265"/>
      <c r="BX258" s="265"/>
      <c r="BY258" s="265"/>
      <c r="BZ258" s="265"/>
      <c r="CA258" s="265"/>
      <c r="CB258" s="265"/>
      <c r="CC258" s="265"/>
      <c r="CD258" s="266"/>
      <c r="CE258" s="266"/>
      <c r="CF258" s="266"/>
      <c r="CG258" s="266"/>
      <c r="CH258" s="266"/>
      <c r="CI258" s="266"/>
      <c r="CJ258" s="266"/>
      <c r="CK258" s="266"/>
      <c r="CL258" s="266"/>
      <c r="CM258" s="266"/>
      <c r="CN258" s="266"/>
      <c r="CO258" s="266"/>
      <c r="CP258" s="266"/>
      <c r="CQ258" s="266"/>
      <c r="CR258" s="266"/>
      <c r="CS258" s="266"/>
      <c r="CT258" s="267"/>
      <c r="CU258" s="267"/>
      <c r="CV258" s="267"/>
      <c r="CW258" s="267"/>
      <c r="CX258" s="267"/>
      <c r="CY258" s="267"/>
      <c r="CZ258" s="267"/>
      <c r="DA258" s="267"/>
      <c r="DB258" s="267"/>
      <c r="DC258" s="267"/>
      <c r="DD258" s="267"/>
      <c r="DE258" s="267"/>
      <c r="DF258" s="267"/>
      <c r="DG258" s="267"/>
      <c r="DH258" s="267">
        <v>32</v>
      </c>
      <c r="DI258" s="267"/>
      <c r="DJ258" s="268"/>
      <c r="DK258" s="268"/>
      <c r="DL258" s="268"/>
      <c r="DM258" s="268"/>
      <c r="DN258" s="268"/>
      <c r="DO258" s="268"/>
      <c r="DP258" s="268"/>
      <c r="DQ258" s="268"/>
      <c r="DR258" s="268"/>
      <c r="DS258" s="268"/>
      <c r="DT258" s="268"/>
      <c r="DU258" s="268"/>
      <c r="DV258" s="268"/>
      <c r="DW258" s="268"/>
      <c r="DX258" s="268"/>
      <c r="DY258" s="268"/>
      <c r="EA258" s="13"/>
      <c r="EB258" s="96"/>
      <c r="EC258" s="96"/>
      <c r="ED258" s="96"/>
      <c r="EE258" s="96"/>
      <c r="EF258" s="96"/>
      <c r="EG258" s="96"/>
      <c r="EH258" s="96"/>
      <c r="EI258" s="96"/>
      <c r="EJ258" s="96"/>
      <c r="EK258" s="96"/>
      <c r="EL258" s="96"/>
      <c r="EM258" s="96"/>
      <c r="EN258" s="96"/>
      <c r="EO258" s="96"/>
      <c r="EP258" s="96"/>
      <c r="EQ258" s="96"/>
      <c r="ER258" s="96"/>
      <c r="ES258" s="96"/>
      <c r="ET258" s="96"/>
      <c r="EU258" s="96"/>
      <c r="EV258" s="96"/>
      <c r="EW258" s="96"/>
      <c r="EX258" s="96"/>
      <c r="EY258" s="96"/>
      <c r="EZ258" s="96"/>
      <c r="FA258" s="96"/>
      <c r="FB258" s="96"/>
      <c r="FC258" s="96"/>
      <c r="FD258" s="96"/>
      <c r="FE258" s="96"/>
      <c r="FF258" s="96"/>
      <c r="FG258" s="96"/>
      <c r="FH258" s="96"/>
      <c r="FI258" s="96"/>
      <c r="FJ258" s="96"/>
      <c r="FK258" s="96"/>
      <c r="FL258" s="96"/>
      <c r="FM258" s="96"/>
      <c r="FN258" s="96"/>
      <c r="FO258" s="96"/>
      <c r="FP258" s="96"/>
      <c r="FQ258" s="96"/>
      <c r="FR258" s="96"/>
      <c r="FS258" s="96"/>
      <c r="FT258" s="96"/>
      <c r="FU258" s="96"/>
      <c r="FV258" s="96"/>
      <c r="FW258" s="96"/>
      <c r="FX258" s="96"/>
      <c r="FY258" s="96"/>
      <c r="FZ258" s="96"/>
      <c r="GA258" s="96"/>
      <c r="GB258" s="96"/>
      <c r="GC258" s="96"/>
      <c r="GD258" s="96"/>
      <c r="GE258" s="96"/>
      <c r="GF258" s="96"/>
      <c r="GG258" s="96"/>
      <c r="GH258" s="96"/>
      <c r="GI258" s="96"/>
      <c r="GJ258" s="96"/>
      <c r="GK258" s="96"/>
      <c r="GL258" s="96"/>
      <c r="GM258" s="13"/>
      <c r="GN258" s="96"/>
      <c r="GO258" s="96"/>
      <c r="GP258" s="96"/>
      <c r="GQ258" s="96"/>
      <c r="GR258" s="96"/>
      <c r="GS258" s="96"/>
      <c r="GT258" s="96"/>
      <c r="GU258" s="96"/>
      <c r="GV258" s="96"/>
      <c r="GW258" s="96"/>
      <c r="GX258" s="96"/>
      <c r="GY258" s="96"/>
      <c r="GZ258" s="96"/>
      <c r="HA258" s="96"/>
      <c r="HB258" s="96"/>
      <c r="HC258" s="13"/>
      <c r="HD258" s="96"/>
      <c r="HE258" s="96"/>
      <c r="HF258" s="96"/>
      <c r="HG258" s="96"/>
      <c r="HH258" s="96"/>
      <c r="HI258" s="96"/>
      <c r="HJ258" s="96"/>
      <c r="HK258" s="96"/>
      <c r="HL258" s="96"/>
      <c r="HM258" s="96"/>
      <c r="HN258" s="96"/>
      <c r="HO258" s="96"/>
      <c r="HP258" s="96"/>
      <c r="HQ258" s="96"/>
      <c r="HR258" s="96"/>
      <c r="HS258" s="13"/>
      <c r="HT258" s="96"/>
      <c r="HU258" s="96"/>
      <c r="HV258" s="96"/>
      <c r="HW258" s="96"/>
      <c r="HX258" s="96"/>
      <c r="HY258" s="96"/>
      <c r="HZ258" s="96"/>
      <c r="IA258" s="96"/>
      <c r="IB258" s="96"/>
      <c r="IC258" s="96"/>
      <c r="ID258" s="96"/>
      <c r="IE258" s="96"/>
      <c r="IF258" s="96"/>
      <c r="IG258" s="96"/>
      <c r="IH258" s="96"/>
      <c r="II258" s="13"/>
      <c r="IJ258" s="96"/>
      <c r="IK258" s="96"/>
      <c r="IL258" s="96"/>
      <c r="IM258" s="96"/>
      <c r="IN258" s="96"/>
      <c r="IO258" s="96"/>
      <c r="IP258" s="96"/>
      <c r="IQ258" s="96"/>
      <c r="IR258" s="96"/>
      <c r="IS258" s="96"/>
      <c r="IT258" s="96"/>
      <c r="IU258" s="96"/>
      <c r="IV258" s="96"/>
      <c r="IW258" s="96"/>
      <c r="IX258" s="96"/>
      <c r="IY258" s="13"/>
    </row>
    <row r="259" spans="1:259" outlineLevel="1">
      <c r="A259" s="11">
        <f>'VAC &amp; MED'!C258</f>
        <v>46239</v>
      </c>
      <c r="B259" s="261"/>
      <c r="C259" s="261"/>
      <c r="D259" s="261"/>
      <c r="E259" s="261"/>
      <c r="F259" s="261"/>
      <c r="G259" s="261"/>
      <c r="H259" s="261"/>
      <c r="I259" s="261"/>
      <c r="J259" s="261"/>
      <c r="K259" s="261"/>
      <c r="L259" s="261"/>
      <c r="M259" s="261"/>
      <c r="N259" s="261"/>
      <c r="O259" s="261"/>
      <c r="P259" s="261"/>
      <c r="Q259" s="261"/>
      <c r="R259" s="262"/>
      <c r="S259" s="262"/>
      <c r="T259" s="262"/>
      <c r="U259" s="262"/>
      <c r="V259" s="262"/>
      <c r="W259" s="262"/>
      <c r="X259" s="262"/>
      <c r="Y259" s="262"/>
      <c r="Z259" s="262"/>
      <c r="AA259" s="262"/>
      <c r="AB259" s="262"/>
      <c r="AC259" s="262"/>
      <c r="AD259" s="262"/>
      <c r="AE259" s="262"/>
      <c r="AF259" s="262"/>
      <c r="AG259" s="262"/>
      <c r="AH259" s="263"/>
      <c r="AI259" s="263"/>
      <c r="AJ259" s="263"/>
      <c r="AK259" s="263"/>
      <c r="AL259" s="263"/>
      <c r="AM259" s="263"/>
      <c r="AN259" s="263"/>
      <c r="AO259" s="263"/>
      <c r="AP259" s="263"/>
      <c r="AQ259" s="263"/>
      <c r="AR259" s="263"/>
      <c r="AS259" s="263"/>
      <c r="AT259" s="263"/>
      <c r="AU259" s="263"/>
      <c r="AV259" s="263"/>
      <c r="AW259" s="263"/>
      <c r="AX259" s="264"/>
      <c r="AY259" s="264"/>
      <c r="AZ259" s="264"/>
      <c r="BA259" s="264"/>
      <c r="BB259" s="264"/>
      <c r="BC259" s="264"/>
      <c r="BD259" s="264"/>
      <c r="BE259" s="264"/>
      <c r="BF259" s="264"/>
      <c r="BG259" s="264"/>
      <c r="BH259" s="264"/>
      <c r="BI259" s="264"/>
      <c r="BJ259" s="264"/>
      <c r="BK259" s="264"/>
      <c r="BL259" s="264"/>
      <c r="BM259" s="264"/>
      <c r="BN259" s="265"/>
      <c r="BO259" s="265">
        <v>10</v>
      </c>
      <c r="BP259" s="265"/>
      <c r="BQ259" s="265"/>
      <c r="BR259" s="265"/>
      <c r="BS259" s="265"/>
      <c r="BT259" s="265"/>
      <c r="BU259" s="265"/>
      <c r="BV259" s="265"/>
      <c r="BW259" s="265"/>
      <c r="BX259" s="265"/>
      <c r="BY259" s="265"/>
      <c r="BZ259" s="265"/>
      <c r="CA259" s="265"/>
      <c r="CB259" s="265"/>
      <c r="CC259" s="265"/>
      <c r="CD259" s="266"/>
      <c r="CE259" s="266"/>
      <c r="CF259" s="266"/>
      <c r="CG259" s="266"/>
      <c r="CH259" s="266"/>
      <c r="CI259" s="266"/>
      <c r="CJ259" s="266"/>
      <c r="CK259" s="266"/>
      <c r="CL259" s="266"/>
      <c r="CM259" s="266"/>
      <c r="CN259" s="266"/>
      <c r="CO259" s="266"/>
      <c r="CP259" s="266"/>
      <c r="CQ259" s="266"/>
      <c r="CR259" s="266"/>
      <c r="CS259" s="266"/>
      <c r="CT259" s="267"/>
      <c r="CU259" s="267"/>
      <c r="CV259" s="267"/>
      <c r="CW259" s="267"/>
      <c r="CX259" s="267"/>
      <c r="CY259" s="267"/>
      <c r="CZ259" s="267"/>
      <c r="DA259" s="267"/>
      <c r="DB259" s="267"/>
      <c r="DC259" s="267"/>
      <c r="DD259" s="267"/>
      <c r="DE259" s="267"/>
      <c r="DF259" s="267"/>
      <c r="DG259" s="267"/>
      <c r="DH259" s="267"/>
      <c r="DI259" s="267"/>
      <c r="DJ259" s="268"/>
      <c r="DK259" s="268"/>
      <c r="DL259" s="268"/>
      <c r="DM259" s="268"/>
      <c r="DN259" s="268"/>
      <c r="DO259" s="268"/>
      <c r="DP259" s="268"/>
      <c r="DQ259" s="268"/>
      <c r="DR259" s="268"/>
      <c r="DS259" s="268"/>
      <c r="DT259" s="268"/>
      <c r="DU259" s="268"/>
      <c r="DV259" s="268"/>
      <c r="DW259" s="268"/>
      <c r="DX259" s="268"/>
      <c r="DY259" s="268"/>
      <c r="EA259" s="13"/>
      <c r="EB259" s="96"/>
      <c r="EC259" s="96"/>
      <c r="ED259" s="96"/>
      <c r="EE259" s="96"/>
      <c r="EF259" s="96"/>
      <c r="EG259" s="96"/>
      <c r="EH259" s="96"/>
      <c r="EI259" s="96"/>
      <c r="EJ259" s="96"/>
      <c r="EK259" s="96"/>
      <c r="EL259" s="96"/>
      <c r="EM259" s="96"/>
      <c r="EN259" s="96"/>
      <c r="EO259" s="96"/>
      <c r="EP259" s="96"/>
      <c r="EQ259" s="96"/>
      <c r="ER259" s="96"/>
      <c r="ES259" s="96"/>
      <c r="ET259" s="96"/>
      <c r="EU259" s="96"/>
      <c r="EV259" s="96"/>
      <c r="EW259" s="96"/>
      <c r="EX259" s="96"/>
      <c r="EY259" s="96"/>
      <c r="EZ259" s="96"/>
      <c r="FA259" s="96"/>
      <c r="FB259" s="96"/>
      <c r="FC259" s="96"/>
      <c r="FD259" s="96"/>
      <c r="FE259" s="96"/>
      <c r="FF259" s="96"/>
      <c r="FG259" s="96"/>
      <c r="FH259" s="96"/>
      <c r="FI259" s="96"/>
      <c r="FJ259" s="96"/>
      <c r="FK259" s="96"/>
      <c r="FL259" s="96"/>
      <c r="FM259" s="96"/>
      <c r="FN259" s="96"/>
      <c r="FO259" s="96"/>
      <c r="FP259" s="96"/>
      <c r="FQ259" s="96"/>
      <c r="FR259" s="96"/>
      <c r="FS259" s="96"/>
      <c r="FT259" s="96"/>
      <c r="FU259" s="96"/>
      <c r="FV259" s="96"/>
      <c r="FW259" s="96"/>
      <c r="FX259" s="96"/>
      <c r="FY259" s="96"/>
      <c r="FZ259" s="96"/>
      <c r="GA259" s="96"/>
      <c r="GB259" s="96"/>
      <c r="GC259" s="96"/>
      <c r="GD259" s="96"/>
      <c r="GE259" s="96"/>
      <c r="GF259" s="96"/>
      <c r="GG259" s="96"/>
      <c r="GH259" s="96"/>
      <c r="GI259" s="96"/>
      <c r="GJ259" s="96"/>
      <c r="GK259" s="96"/>
      <c r="GL259" s="96"/>
      <c r="GM259" s="13"/>
      <c r="GN259" s="96"/>
      <c r="GO259" s="96"/>
      <c r="GP259" s="96"/>
      <c r="GQ259" s="96"/>
      <c r="GR259" s="96"/>
      <c r="GS259" s="96"/>
      <c r="GT259" s="96"/>
      <c r="GU259" s="96"/>
      <c r="GV259" s="96"/>
      <c r="GW259" s="96"/>
      <c r="GX259" s="96"/>
      <c r="GY259" s="96"/>
      <c r="GZ259" s="96"/>
      <c r="HA259" s="96"/>
      <c r="HB259" s="96"/>
      <c r="HC259" s="13"/>
      <c r="HD259" s="96"/>
      <c r="HE259" s="96"/>
      <c r="HF259" s="96"/>
      <c r="HG259" s="96"/>
      <c r="HH259" s="96"/>
      <c r="HI259" s="96"/>
      <c r="HJ259" s="96"/>
      <c r="HK259" s="96"/>
      <c r="HL259" s="96"/>
      <c r="HM259" s="96"/>
      <c r="HN259" s="96"/>
      <c r="HO259" s="96"/>
      <c r="HP259" s="96"/>
      <c r="HQ259" s="96"/>
      <c r="HR259" s="96"/>
      <c r="HS259" s="13"/>
      <c r="HT259" s="96"/>
      <c r="HU259" s="96"/>
      <c r="HV259" s="96"/>
      <c r="HW259" s="96"/>
      <c r="HX259" s="96"/>
      <c r="HY259" s="96"/>
      <c r="HZ259" s="96"/>
      <c r="IA259" s="96"/>
      <c r="IB259" s="96"/>
      <c r="IC259" s="96"/>
      <c r="ID259" s="96"/>
      <c r="IE259" s="96"/>
      <c r="IF259" s="96"/>
      <c r="IG259" s="96"/>
      <c r="IH259" s="96"/>
      <c r="II259" s="13"/>
      <c r="IJ259" s="96"/>
      <c r="IK259" s="96"/>
      <c r="IL259" s="96"/>
      <c r="IM259" s="96"/>
      <c r="IN259" s="96"/>
      <c r="IO259" s="96"/>
      <c r="IP259" s="96"/>
      <c r="IQ259" s="96"/>
      <c r="IR259" s="96"/>
      <c r="IS259" s="96"/>
      <c r="IT259" s="96"/>
      <c r="IU259" s="96"/>
      <c r="IV259" s="96"/>
      <c r="IW259" s="96"/>
      <c r="IX259" s="96"/>
      <c r="IY259" s="13"/>
    </row>
    <row r="260" spans="1:259" outlineLevel="1">
      <c r="A260" s="11">
        <f>'VAC &amp; MED'!C259</f>
        <v>46240</v>
      </c>
      <c r="B260" s="261"/>
      <c r="C260" s="261"/>
      <c r="D260" s="261"/>
      <c r="E260" s="261"/>
      <c r="F260" s="261"/>
      <c r="G260" s="261"/>
      <c r="H260" s="261"/>
      <c r="I260" s="261"/>
      <c r="J260" s="261"/>
      <c r="K260" s="261"/>
      <c r="L260" s="261"/>
      <c r="M260" s="261"/>
      <c r="N260" s="261"/>
      <c r="O260" s="261"/>
      <c r="P260" s="261"/>
      <c r="Q260" s="261"/>
      <c r="R260" s="262"/>
      <c r="S260" s="262"/>
      <c r="T260" s="262"/>
      <c r="U260" s="262"/>
      <c r="V260" s="262"/>
      <c r="W260" s="262"/>
      <c r="X260" s="262"/>
      <c r="Y260" s="262"/>
      <c r="Z260" s="262"/>
      <c r="AA260" s="262"/>
      <c r="AB260" s="262"/>
      <c r="AC260" s="262"/>
      <c r="AD260" s="262"/>
      <c r="AE260" s="262"/>
      <c r="AF260" s="262"/>
      <c r="AG260" s="262"/>
      <c r="AH260" s="263"/>
      <c r="AI260" s="263"/>
      <c r="AJ260" s="263"/>
      <c r="AK260" s="263"/>
      <c r="AL260" s="263"/>
      <c r="AM260" s="263"/>
      <c r="AN260" s="263"/>
      <c r="AO260" s="263"/>
      <c r="AP260" s="263"/>
      <c r="AQ260" s="263"/>
      <c r="AR260" s="263"/>
      <c r="AS260" s="263"/>
      <c r="AT260" s="263"/>
      <c r="AU260" s="263"/>
      <c r="AV260" s="263"/>
      <c r="AW260" s="263"/>
      <c r="AX260" s="264"/>
      <c r="AY260" s="264"/>
      <c r="AZ260" s="264"/>
      <c r="BA260" s="264"/>
      <c r="BB260" s="264"/>
      <c r="BC260" s="264"/>
      <c r="BD260" s="264"/>
      <c r="BE260" s="264"/>
      <c r="BF260" s="264"/>
      <c r="BG260" s="264"/>
      <c r="BH260" s="264"/>
      <c r="BI260" s="264"/>
      <c r="BJ260" s="264"/>
      <c r="BK260" s="264"/>
      <c r="BL260" s="264"/>
      <c r="BM260" s="264"/>
      <c r="BN260" s="265"/>
      <c r="BO260" s="265"/>
      <c r="BP260" s="265">
        <v>40</v>
      </c>
      <c r="BQ260" s="265"/>
      <c r="BR260" s="265"/>
      <c r="BS260" s="265"/>
      <c r="BT260" s="265"/>
      <c r="BU260" s="265"/>
      <c r="BV260" s="265"/>
      <c r="BW260" s="265"/>
      <c r="BX260" s="265"/>
      <c r="BY260" s="265"/>
      <c r="BZ260" s="265"/>
      <c r="CA260" s="265"/>
      <c r="CB260" s="265"/>
      <c r="CC260" s="265"/>
      <c r="CD260" s="266"/>
      <c r="CE260" s="266"/>
      <c r="CF260" s="266"/>
      <c r="CG260" s="266"/>
      <c r="CH260" s="266"/>
      <c r="CI260" s="266"/>
      <c r="CJ260" s="266"/>
      <c r="CK260" s="266"/>
      <c r="CL260" s="266"/>
      <c r="CM260" s="266"/>
      <c r="CN260" s="266"/>
      <c r="CO260" s="266"/>
      <c r="CP260" s="266"/>
      <c r="CQ260" s="266"/>
      <c r="CR260" s="266"/>
      <c r="CS260" s="266"/>
      <c r="CT260" s="267"/>
      <c r="CU260" s="267"/>
      <c r="CV260" s="267"/>
      <c r="CW260" s="267"/>
      <c r="CX260" s="267"/>
      <c r="CY260" s="267"/>
      <c r="CZ260" s="267"/>
      <c r="DA260" s="267"/>
      <c r="DB260" s="267"/>
      <c r="DC260" s="267"/>
      <c r="DD260" s="267"/>
      <c r="DE260" s="267"/>
      <c r="DF260" s="267"/>
      <c r="DG260" s="267"/>
      <c r="DH260" s="267"/>
      <c r="DI260" s="267"/>
      <c r="DJ260" s="268"/>
      <c r="DK260" s="268"/>
      <c r="DL260" s="268"/>
      <c r="DM260" s="268"/>
      <c r="DN260" s="268"/>
      <c r="DO260" s="268"/>
      <c r="DP260" s="268"/>
      <c r="DQ260" s="268"/>
      <c r="DR260" s="268"/>
      <c r="DS260" s="268"/>
      <c r="DT260" s="268"/>
      <c r="DU260" s="268"/>
      <c r="DV260" s="268"/>
      <c r="DW260" s="268"/>
      <c r="DX260" s="268"/>
      <c r="DY260" s="268"/>
      <c r="EA260" s="13"/>
      <c r="EB260" s="96"/>
      <c r="EC260" s="96"/>
      <c r="ED260" s="96"/>
      <c r="EE260" s="96"/>
      <c r="EF260" s="96"/>
      <c r="EG260" s="96"/>
      <c r="EH260" s="96"/>
      <c r="EI260" s="96"/>
      <c r="EJ260" s="96"/>
      <c r="EK260" s="96"/>
      <c r="EL260" s="96"/>
      <c r="EM260" s="96"/>
      <c r="EN260" s="96"/>
      <c r="EO260" s="96"/>
      <c r="EP260" s="96"/>
      <c r="EQ260" s="96"/>
      <c r="ER260" s="96"/>
      <c r="ES260" s="96"/>
      <c r="ET260" s="96"/>
      <c r="EU260" s="96"/>
      <c r="EV260" s="96"/>
      <c r="EW260" s="96"/>
      <c r="EX260" s="96"/>
      <c r="EY260" s="96"/>
      <c r="EZ260" s="96"/>
      <c r="FA260" s="96"/>
      <c r="FB260" s="96"/>
      <c r="FC260" s="96"/>
      <c r="FD260" s="96"/>
      <c r="FE260" s="96"/>
      <c r="FF260" s="96"/>
      <c r="FG260" s="96"/>
      <c r="FH260" s="96"/>
      <c r="FI260" s="96"/>
      <c r="FJ260" s="96"/>
      <c r="FK260" s="96"/>
      <c r="FL260" s="96"/>
      <c r="FM260" s="96"/>
      <c r="FN260" s="96"/>
      <c r="FO260" s="96"/>
      <c r="FP260" s="96"/>
      <c r="FQ260" s="96"/>
      <c r="FR260" s="96"/>
      <c r="FS260" s="96"/>
      <c r="FT260" s="96"/>
      <c r="FU260" s="96"/>
      <c r="FV260" s="96"/>
      <c r="FW260" s="96"/>
      <c r="FX260" s="96"/>
      <c r="FY260" s="96"/>
      <c r="FZ260" s="96"/>
      <c r="GA260" s="96"/>
      <c r="GB260" s="96"/>
      <c r="GC260" s="96"/>
      <c r="GD260" s="96"/>
      <c r="GE260" s="96"/>
      <c r="GF260" s="96"/>
      <c r="GG260" s="96"/>
      <c r="GH260" s="96"/>
      <c r="GI260" s="96"/>
      <c r="GJ260" s="96"/>
      <c r="GK260" s="96"/>
      <c r="GL260" s="96"/>
      <c r="GM260" s="13"/>
      <c r="GN260" s="96"/>
      <c r="GO260" s="96"/>
      <c r="GP260" s="96"/>
      <c r="GQ260" s="96"/>
      <c r="GR260" s="96"/>
      <c r="GS260" s="96"/>
      <c r="GT260" s="96"/>
      <c r="GU260" s="96"/>
      <c r="GV260" s="96"/>
      <c r="GW260" s="96"/>
      <c r="GX260" s="96"/>
      <c r="GY260" s="96"/>
      <c r="GZ260" s="96"/>
      <c r="HA260" s="96"/>
      <c r="HB260" s="96"/>
      <c r="HC260" s="13"/>
      <c r="HD260" s="96"/>
      <c r="HE260" s="96"/>
      <c r="HF260" s="96"/>
      <c r="HG260" s="96"/>
      <c r="HH260" s="96"/>
      <c r="HI260" s="96"/>
      <c r="HJ260" s="96"/>
      <c r="HK260" s="96"/>
      <c r="HL260" s="96"/>
      <c r="HM260" s="96"/>
      <c r="HN260" s="96"/>
      <c r="HO260" s="96"/>
      <c r="HP260" s="96"/>
      <c r="HQ260" s="96"/>
      <c r="HR260" s="96"/>
      <c r="HS260" s="13"/>
      <c r="HT260" s="96"/>
      <c r="HU260" s="96"/>
      <c r="HV260" s="96"/>
      <c r="HW260" s="96"/>
      <c r="HX260" s="96"/>
      <c r="HY260" s="96"/>
      <c r="HZ260" s="96"/>
      <c r="IA260" s="96"/>
      <c r="IB260" s="96"/>
      <c r="IC260" s="96"/>
      <c r="ID260" s="96"/>
      <c r="IE260" s="96"/>
      <c r="IF260" s="96"/>
      <c r="IG260" s="96"/>
      <c r="IH260" s="96"/>
      <c r="II260" s="13"/>
      <c r="IJ260" s="96"/>
      <c r="IK260" s="96"/>
      <c r="IL260" s="96"/>
      <c r="IM260" s="96"/>
      <c r="IN260" s="96"/>
      <c r="IO260" s="96"/>
      <c r="IP260" s="96"/>
      <c r="IQ260" s="96"/>
      <c r="IR260" s="96"/>
      <c r="IS260" s="96"/>
      <c r="IT260" s="96"/>
      <c r="IU260" s="96"/>
      <c r="IV260" s="96"/>
      <c r="IW260" s="96"/>
      <c r="IX260" s="96"/>
      <c r="IY260" s="13"/>
    </row>
    <row r="261" spans="1:259" outlineLevel="1">
      <c r="A261" s="11">
        <f>'VAC &amp; MED'!C260</f>
        <v>46241</v>
      </c>
      <c r="B261" s="261"/>
      <c r="C261" s="261"/>
      <c r="D261" s="261"/>
      <c r="E261" s="261"/>
      <c r="F261" s="261"/>
      <c r="G261" s="261"/>
      <c r="H261" s="261"/>
      <c r="I261" s="261"/>
      <c r="J261" s="261"/>
      <c r="K261" s="261"/>
      <c r="L261" s="261"/>
      <c r="M261" s="261"/>
      <c r="N261" s="261"/>
      <c r="O261" s="261"/>
      <c r="P261" s="261"/>
      <c r="Q261" s="261"/>
      <c r="R261" s="262"/>
      <c r="S261" s="262"/>
      <c r="T261" s="262"/>
      <c r="U261" s="262"/>
      <c r="V261" s="262"/>
      <c r="W261" s="262"/>
      <c r="X261" s="262"/>
      <c r="Y261" s="262"/>
      <c r="Z261" s="262"/>
      <c r="AA261" s="262"/>
      <c r="AB261" s="262"/>
      <c r="AC261" s="262"/>
      <c r="AD261" s="262"/>
      <c r="AE261" s="262"/>
      <c r="AF261" s="262"/>
      <c r="AG261" s="262"/>
      <c r="AH261" s="263"/>
      <c r="AI261" s="263"/>
      <c r="AJ261" s="263"/>
      <c r="AK261" s="263"/>
      <c r="AL261" s="263"/>
      <c r="AM261" s="263"/>
      <c r="AN261" s="263"/>
      <c r="AO261" s="263"/>
      <c r="AP261" s="263"/>
      <c r="AQ261" s="263"/>
      <c r="AR261" s="263"/>
      <c r="AS261" s="263"/>
      <c r="AT261" s="263"/>
      <c r="AU261" s="263"/>
      <c r="AV261" s="263"/>
      <c r="AW261" s="263"/>
      <c r="AX261" s="264"/>
      <c r="AY261" s="264"/>
      <c r="AZ261" s="264"/>
      <c r="BA261" s="264"/>
      <c r="BB261" s="264"/>
      <c r="BC261" s="264"/>
      <c r="BD261" s="264"/>
      <c r="BE261" s="264"/>
      <c r="BF261" s="264"/>
      <c r="BG261" s="264"/>
      <c r="BH261" s="264"/>
      <c r="BI261" s="264"/>
      <c r="BJ261" s="264"/>
      <c r="BK261" s="264"/>
      <c r="BL261" s="264"/>
      <c r="BM261" s="264"/>
      <c r="BN261" s="265"/>
      <c r="BO261" s="265"/>
      <c r="BP261" s="265">
        <v>50</v>
      </c>
      <c r="BQ261" s="265"/>
      <c r="BR261" s="265"/>
      <c r="BS261" s="265"/>
      <c r="BT261" s="265"/>
      <c r="BU261" s="265"/>
      <c r="BV261" s="265"/>
      <c r="BW261" s="265"/>
      <c r="BX261" s="265"/>
      <c r="BY261" s="265"/>
      <c r="BZ261" s="265"/>
      <c r="CA261" s="265"/>
      <c r="CB261" s="265"/>
      <c r="CC261" s="265"/>
      <c r="CD261" s="266"/>
      <c r="CE261" s="266"/>
      <c r="CF261" s="266"/>
      <c r="CG261" s="266"/>
      <c r="CH261" s="266"/>
      <c r="CI261" s="266"/>
      <c r="CJ261" s="266"/>
      <c r="CK261" s="266"/>
      <c r="CL261" s="266"/>
      <c r="CM261" s="266"/>
      <c r="CN261" s="266"/>
      <c r="CO261" s="266"/>
      <c r="CP261" s="266"/>
      <c r="CQ261" s="266"/>
      <c r="CR261" s="266"/>
      <c r="CS261" s="266"/>
      <c r="CT261" s="267"/>
      <c r="CU261" s="267"/>
      <c r="CV261" s="267"/>
      <c r="CW261" s="267"/>
      <c r="CX261" s="267"/>
      <c r="CY261" s="267"/>
      <c r="CZ261" s="267"/>
      <c r="DA261" s="267"/>
      <c r="DB261" s="267"/>
      <c r="DC261" s="267"/>
      <c r="DD261" s="267">
        <v>30</v>
      </c>
      <c r="DE261" s="267"/>
      <c r="DF261" s="267"/>
      <c r="DG261" s="267"/>
      <c r="DH261" s="267"/>
      <c r="DI261" s="267"/>
      <c r="DJ261" s="268"/>
      <c r="DK261" s="268"/>
      <c r="DL261" s="268"/>
      <c r="DM261" s="268"/>
      <c r="DN261" s="268"/>
      <c r="DO261" s="268"/>
      <c r="DP261" s="268"/>
      <c r="DQ261" s="268"/>
      <c r="DR261" s="268"/>
      <c r="DS261" s="268"/>
      <c r="DT261" s="268"/>
      <c r="DU261" s="268"/>
      <c r="DV261" s="268"/>
      <c r="DW261" s="268"/>
      <c r="DX261" s="268"/>
      <c r="DY261" s="268"/>
      <c r="EA261" s="13"/>
      <c r="EB261" s="96"/>
      <c r="EC261" s="96"/>
      <c r="ED261" s="96"/>
      <c r="EE261" s="96"/>
      <c r="EF261" s="96"/>
      <c r="EG261" s="96"/>
      <c r="EH261" s="96"/>
      <c r="EI261" s="96"/>
      <c r="EJ261" s="96"/>
      <c r="EK261" s="96"/>
      <c r="EL261" s="96"/>
      <c r="EM261" s="96"/>
      <c r="EN261" s="96"/>
      <c r="EO261" s="96"/>
      <c r="EP261" s="96"/>
      <c r="EQ261" s="96"/>
      <c r="ER261" s="96"/>
      <c r="ES261" s="96"/>
      <c r="ET261" s="96"/>
      <c r="EU261" s="96"/>
      <c r="EV261" s="96"/>
      <c r="EW261" s="96"/>
      <c r="EX261" s="96"/>
      <c r="EY261" s="96"/>
      <c r="EZ261" s="96"/>
      <c r="FA261" s="96"/>
      <c r="FB261" s="96"/>
      <c r="FC261" s="96"/>
      <c r="FD261" s="96"/>
      <c r="FE261" s="96"/>
      <c r="FF261" s="96"/>
      <c r="FG261" s="96"/>
      <c r="FH261" s="96"/>
      <c r="FI261" s="96"/>
      <c r="FJ261" s="96"/>
      <c r="FK261" s="96"/>
      <c r="FL261" s="96"/>
      <c r="FM261" s="96"/>
      <c r="FN261" s="96"/>
      <c r="FO261" s="96"/>
      <c r="FP261" s="96"/>
      <c r="FQ261" s="96"/>
      <c r="FR261" s="96"/>
      <c r="FS261" s="96"/>
      <c r="FT261" s="96"/>
      <c r="FU261" s="96"/>
      <c r="FV261" s="96"/>
      <c r="FW261" s="96"/>
      <c r="FX261" s="96"/>
      <c r="FY261" s="96"/>
      <c r="FZ261" s="96"/>
      <c r="GA261" s="96"/>
      <c r="GB261" s="96"/>
      <c r="GC261" s="96"/>
      <c r="GD261" s="96"/>
      <c r="GE261" s="96"/>
      <c r="GF261" s="96"/>
      <c r="GG261" s="96"/>
      <c r="GH261" s="96"/>
      <c r="GI261" s="96"/>
      <c r="GJ261" s="96"/>
      <c r="GK261" s="96"/>
      <c r="GL261" s="96"/>
      <c r="GM261" s="13"/>
      <c r="GN261" s="96"/>
      <c r="GO261" s="96"/>
      <c r="GP261" s="96"/>
      <c r="GQ261" s="96"/>
      <c r="GR261" s="96"/>
      <c r="GS261" s="96"/>
      <c r="GT261" s="96"/>
      <c r="GU261" s="96"/>
      <c r="GV261" s="96"/>
      <c r="GW261" s="96"/>
      <c r="GX261" s="96"/>
      <c r="GY261" s="96"/>
      <c r="GZ261" s="96"/>
      <c r="HA261" s="96"/>
      <c r="HB261" s="96"/>
      <c r="HC261" s="13"/>
      <c r="HD261" s="96"/>
      <c r="HE261" s="96"/>
      <c r="HF261" s="96"/>
      <c r="HG261" s="96"/>
      <c r="HH261" s="96"/>
      <c r="HI261" s="96"/>
      <c r="HJ261" s="96"/>
      <c r="HK261" s="96"/>
      <c r="HL261" s="96"/>
      <c r="HM261" s="96"/>
      <c r="HN261" s="96"/>
      <c r="HO261" s="96"/>
      <c r="HP261" s="96"/>
      <c r="HQ261" s="96"/>
      <c r="HR261" s="96"/>
      <c r="HS261" s="13"/>
      <c r="HT261" s="96"/>
      <c r="HU261" s="96"/>
      <c r="HV261" s="96"/>
      <c r="HW261" s="96"/>
      <c r="HX261" s="96"/>
      <c r="HY261" s="96"/>
      <c r="HZ261" s="96"/>
      <c r="IA261" s="96"/>
      <c r="IB261" s="96"/>
      <c r="IC261" s="96"/>
      <c r="ID261" s="96"/>
      <c r="IE261" s="96"/>
      <c r="IF261" s="96"/>
      <c r="IG261" s="96"/>
      <c r="IH261" s="96"/>
      <c r="II261" s="13"/>
      <c r="IJ261" s="96"/>
      <c r="IK261" s="96"/>
      <c r="IL261" s="96"/>
      <c r="IM261" s="96"/>
      <c r="IN261" s="96"/>
      <c r="IO261" s="96"/>
      <c r="IP261" s="96"/>
      <c r="IQ261" s="96"/>
      <c r="IR261" s="96"/>
      <c r="IS261" s="96"/>
      <c r="IT261" s="96"/>
      <c r="IU261" s="96"/>
      <c r="IV261" s="96"/>
      <c r="IW261" s="96"/>
      <c r="IX261" s="96"/>
      <c r="IY261" s="13"/>
    </row>
    <row r="262" spans="1:259" outlineLevel="1">
      <c r="A262" s="11">
        <f>'VAC &amp; MED'!C261</f>
        <v>46242</v>
      </c>
      <c r="B262" s="261"/>
      <c r="C262" s="261"/>
      <c r="D262" s="261"/>
      <c r="E262" s="261"/>
      <c r="F262" s="261"/>
      <c r="G262" s="261"/>
      <c r="H262" s="261"/>
      <c r="I262" s="261"/>
      <c r="J262" s="261"/>
      <c r="K262" s="261"/>
      <c r="L262" s="261"/>
      <c r="M262" s="261"/>
      <c r="N262" s="261"/>
      <c r="O262" s="261"/>
      <c r="P262" s="261"/>
      <c r="Q262" s="261"/>
      <c r="R262" s="262"/>
      <c r="S262" s="262"/>
      <c r="T262" s="262"/>
      <c r="U262" s="262"/>
      <c r="V262" s="262"/>
      <c r="W262" s="262"/>
      <c r="X262" s="262"/>
      <c r="Y262" s="262"/>
      <c r="Z262" s="262"/>
      <c r="AA262" s="262"/>
      <c r="AB262" s="262"/>
      <c r="AC262" s="262"/>
      <c r="AD262" s="262"/>
      <c r="AE262" s="262"/>
      <c r="AF262" s="262"/>
      <c r="AG262" s="262"/>
      <c r="AH262" s="263"/>
      <c r="AI262" s="263"/>
      <c r="AJ262" s="263"/>
      <c r="AK262" s="263"/>
      <c r="AL262" s="263"/>
      <c r="AM262" s="263"/>
      <c r="AN262" s="263"/>
      <c r="AO262" s="263"/>
      <c r="AP262" s="263"/>
      <c r="AQ262" s="263"/>
      <c r="AR262" s="263"/>
      <c r="AS262" s="263"/>
      <c r="AT262" s="263"/>
      <c r="AU262" s="263"/>
      <c r="AV262" s="263"/>
      <c r="AW262" s="263"/>
      <c r="AX262" s="264"/>
      <c r="AY262" s="264"/>
      <c r="AZ262" s="264"/>
      <c r="BA262" s="264"/>
      <c r="BB262" s="264"/>
      <c r="BC262" s="264"/>
      <c r="BD262" s="264"/>
      <c r="BE262" s="264"/>
      <c r="BF262" s="264"/>
      <c r="BG262" s="264"/>
      <c r="BH262" s="264"/>
      <c r="BI262" s="264"/>
      <c r="BJ262" s="264"/>
      <c r="BK262" s="264"/>
      <c r="BL262" s="264"/>
      <c r="BM262" s="264"/>
      <c r="BN262" s="265"/>
      <c r="BO262" s="265">
        <v>26</v>
      </c>
      <c r="BP262" s="265"/>
      <c r="BQ262" s="265"/>
      <c r="BR262" s="265"/>
      <c r="BS262" s="265"/>
      <c r="BT262" s="265"/>
      <c r="BU262" s="265"/>
      <c r="BV262" s="265"/>
      <c r="BW262" s="265"/>
      <c r="BX262" s="265"/>
      <c r="BY262" s="265"/>
      <c r="BZ262" s="265"/>
      <c r="CA262" s="265"/>
      <c r="CB262" s="265"/>
      <c r="CC262" s="265"/>
      <c r="CD262" s="266"/>
      <c r="CE262" s="266"/>
      <c r="CF262" s="266"/>
      <c r="CG262" s="266"/>
      <c r="CH262" s="266"/>
      <c r="CI262" s="266"/>
      <c r="CJ262" s="266"/>
      <c r="CK262" s="266"/>
      <c r="CL262" s="266"/>
      <c r="CM262" s="266"/>
      <c r="CN262" s="266"/>
      <c r="CO262" s="266"/>
      <c r="CP262" s="266"/>
      <c r="CQ262" s="266"/>
      <c r="CR262" s="266"/>
      <c r="CS262" s="266"/>
      <c r="CT262" s="267"/>
      <c r="CU262" s="267"/>
      <c r="CV262" s="267"/>
      <c r="CW262" s="267"/>
      <c r="CX262" s="267"/>
      <c r="CY262" s="267"/>
      <c r="CZ262" s="267"/>
      <c r="DA262" s="267"/>
      <c r="DB262" s="267"/>
      <c r="DC262" s="267"/>
      <c r="DD262" s="267">
        <v>30</v>
      </c>
      <c r="DE262" s="267"/>
      <c r="DF262" s="267"/>
      <c r="DG262" s="267"/>
      <c r="DH262" s="267">
        <v>34</v>
      </c>
      <c r="DI262" s="267"/>
      <c r="DJ262" s="268"/>
      <c r="DK262" s="268"/>
      <c r="DL262" s="268"/>
      <c r="DM262" s="268"/>
      <c r="DN262" s="268"/>
      <c r="DO262" s="268"/>
      <c r="DP262" s="268"/>
      <c r="DQ262" s="268"/>
      <c r="DR262" s="268"/>
      <c r="DS262" s="268"/>
      <c r="DT262" s="268"/>
      <c r="DU262" s="268"/>
      <c r="DV262" s="268"/>
      <c r="DW262" s="268"/>
      <c r="DX262" s="268"/>
      <c r="DY262" s="268"/>
      <c r="EA262" s="13"/>
      <c r="EB262" s="96"/>
      <c r="EC262" s="96"/>
      <c r="ED262" s="96"/>
      <c r="EE262" s="96"/>
      <c r="EF262" s="96"/>
      <c r="EG262" s="96"/>
      <c r="EH262" s="96"/>
      <c r="EI262" s="96"/>
      <c r="EJ262" s="96"/>
      <c r="EK262" s="96"/>
      <c r="EL262" s="96"/>
      <c r="EM262" s="96"/>
      <c r="EN262" s="96"/>
      <c r="EO262" s="96"/>
      <c r="EP262" s="96"/>
      <c r="EQ262" s="96"/>
      <c r="ER262" s="96"/>
      <c r="ES262" s="96"/>
      <c r="ET262" s="96"/>
      <c r="EU262" s="96"/>
      <c r="EV262" s="96"/>
      <c r="EW262" s="96"/>
      <c r="EX262" s="96"/>
      <c r="EY262" s="96"/>
      <c r="EZ262" s="96"/>
      <c r="FA262" s="96"/>
      <c r="FB262" s="96"/>
      <c r="FC262" s="96"/>
      <c r="FD262" s="96"/>
      <c r="FE262" s="96"/>
      <c r="FF262" s="96"/>
      <c r="FG262" s="96"/>
      <c r="FH262" s="96"/>
      <c r="FI262" s="96"/>
      <c r="FJ262" s="96"/>
      <c r="FK262" s="96"/>
      <c r="FL262" s="96"/>
      <c r="FM262" s="96"/>
      <c r="FN262" s="96"/>
      <c r="FO262" s="96"/>
      <c r="FP262" s="96"/>
      <c r="FQ262" s="96"/>
      <c r="FR262" s="96"/>
      <c r="FS262" s="96"/>
      <c r="FT262" s="96"/>
      <c r="FU262" s="96"/>
      <c r="FV262" s="96"/>
      <c r="FW262" s="96"/>
      <c r="FX262" s="96"/>
      <c r="FY262" s="96"/>
      <c r="FZ262" s="96"/>
      <c r="GA262" s="96"/>
      <c r="GB262" s="96"/>
      <c r="GC262" s="96"/>
      <c r="GD262" s="96"/>
      <c r="GE262" s="96"/>
      <c r="GF262" s="96"/>
      <c r="GG262" s="96"/>
      <c r="GH262" s="96"/>
      <c r="GI262" s="96"/>
      <c r="GJ262" s="96"/>
      <c r="GK262" s="96"/>
      <c r="GL262" s="96"/>
      <c r="GM262" s="13"/>
      <c r="GN262" s="96"/>
      <c r="GO262" s="96"/>
      <c r="GP262" s="96"/>
      <c r="GQ262" s="96"/>
      <c r="GR262" s="96"/>
      <c r="GS262" s="96"/>
      <c r="GT262" s="96"/>
      <c r="GU262" s="96"/>
      <c r="GV262" s="96"/>
      <c r="GW262" s="96"/>
      <c r="GX262" s="96"/>
      <c r="GY262" s="96"/>
      <c r="GZ262" s="96"/>
      <c r="HA262" s="96"/>
      <c r="HB262" s="96"/>
      <c r="HC262" s="13"/>
      <c r="HD262" s="96"/>
      <c r="HE262" s="96"/>
      <c r="HF262" s="96"/>
      <c r="HG262" s="96"/>
      <c r="HH262" s="96"/>
      <c r="HI262" s="96"/>
      <c r="HJ262" s="96"/>
      <c r="HK262" s="96"/>
      <c r="HL262" s="96"/>
      <c r="HM262" s="96"/>
      <c r="HN262" s="96"/>
      <c r="HO262" s="96"/>
      <c r="HP262" s="96"/>
      <c r="HQ262" s="96"/>
      <c r="HR262" s="96"/>
      <c r="HS262" s="13"/>
      <c r="HT262" s="96"/>
      <c r="HU262" s="96"/>
      <c r="HV262" s="96"/>
      <c r="HW262" s="96"/>
      <c r="HX262" s="96"/>
      <c r="HY262" s="96"/>
      <c r="HZ262" s="96"/>
      <c r="IA262" s="96"/>
      <c r="IB262" s="96"/>
      <c r="IC262" s="96"/>
      <c r="ID262" s="96"/>
      <c r="IE262" s="96"/>
      <c r="IF262" s="96"/>
      <c r="IG262" s="96"/>
      <c r="IH262" s="96"/>
      <c r="II262" s="13"/>
      <c r="IJ262" s="96"/>
      <c r="IK262" s="96"/>
      <c r="IL262" s="96"/>
      <c r="IM262" s="96"/>
      <c r="IN262" s="96"/>
      <c r="IO262" s="96"/>
      <c r="IP262" s="96"/>
      <c r="IQ262" s="96"/>
      <c r="IR262" s="96"/>
      <c r="IS262" s="96"/>
      <c r="IT262" s="96"/>
      <c r="IU262" s="96"/>
      <c r="IV262" s="96"/>
      <c r="IW262" s="96"/>
      <c r="IX262" s="96"/>
      <c r="IY262" s="13"/>
    </row>
    <row r="263" spans="1:259" outlineLevel="1">
      <c r="A263" s="11">
        <f>'VAC &amp; MED'!C262</f>
        <v>46243</v>
      </c>
      <c r="B263" s="261"/>
      <c r="C263" s="261"/>
      <c r="D263" s="261"/>
      <c r="E263" s="261"/>
      <c r="F263" s="261"/>
      <c r="G263" s="261"/>
      <c r="H263" s="261"/>
      <c r="I263" s="261"/>
      <c r="J263" s="261"/>
      <c r="K263" s="261"/>
      <c r="L263" s="261"/>
      <c r="M263" s="261"/>
      <c r="N263" s="261"/>
      <c r="O263" s="261"/>
      <c r="P263" s="261"/>
      <c r="Q263" s="261"/>
      <c r="R263" s="262"/>
      <c r="S263" s="262"/>
      <c r="T263" s="262"/>
      <c r="U263" s="262"/>
      <c r="V263" s="262"/>
      <c r="W263" s="262"/>
      <c r="X263" s="262"/>
      <c r="Y263" s="262"/>
      <c r="Z263" s="262"/>
      <c r="AA263" s="262"/>
      <c r="AB263" s="262"/>
      <c r="AC263" s="262"/>
      <c r="AD263" s="262"/>
      <c r="AE263" s="262"/>
      <c r="AF263" s="262"/>
      <c r="AG263" s="262"/>
      <c r="AH263" s="263"/>
      <c r="AI263" s="263"/>
      <c r="AJ263" s="263"/>
      <c r="AK263" s="263"/>
      <c r="AL263" s="263"/>
      <c r="AM263" s="263"/>
      <c r="AN263" s="263"/>
      <c r="AO263" s="263"/>
      <c r="AP263" s="263"/>
      <c r="AQ263" s="263"/>
      <c r="AR263" s="263"/>
      <c r="AS263" s="263"/>
      <c r="AT263" s="263"/>
      <c r="AU263" s="263"/>
      <c r="AV263" s="263"/>
      <c r="AW263" s="263"/>
      <c r="AX263" s="264"/>
      <c r="AY263" s="264"/>
      <c r="AZ263" s="264"/>
      <c r="BA263" s="264"/>
      <c r="BB263" s="264"/>
      <c r="BC263" s="264"/>
      <c r="BD263" s="264"/>
      <c r="BE263" s="264"/>
      <c r="BF263" s="264"/>
      <c r="BG263" s="264"/>
      <c r="BH263" s="264"/>
      <c r="BI263" s="264"/>
      <c r="BJ263" s="264"/>
      <c r="BK263" s="264"/>
      <c r="BL263" s="264"/>
      <c r="BM263" s="264"/>
      <c r="BN263" s="265"/>
      <c r="BO263" s="265"/>
      <c r="BP263" s="265"/>
      <c r="BQ263" s="265"/>
      <c r="BR263" s="265"/>
      <c r="BS263" s="265"/>
      <c r="BT263" s="265"/>
      <c r="BU263" s="265"/>
      <c r="BV263" s="265"/>
      <c r="BW263" s="265"/>
      <c r="BX263" s="265"/>
      <c r="BY263" s="265"/>
      <c r="BZ263" s="265"/>
      <c r="CA263" s="265"/>
      <c r="CB263" s="265"/>
      <c r="CC263" s="265"/>
      <c r="CD263" s="266"/>
      <c r="CE263" s="266"/>
      <c r="CF263" s="266"/>
      <c r="CG263" s="266"/>
      <c r="CH263" s="266"/>
      <c r="CI263" s="266"/>
      <c r="CJ263" s="266"/>
      <c r="CK263" s="266"/>
      <c r="CL263" s="266"/>
      <c r="CM263" s="266"/>
      <c r="CN263" s="266"/>
      <c r="CO263" s="266"/>
      <c r="CP263" s="266"/>
      <c r="CQ263" s="266"/>
      <c r="CR263" s="266"/>
      <c r="CS263" s="266"/>
      <c r="CT263" s="267"/>
      <c r="CU263" s="267"/>
      <c r="CV263" s="267"/>
      <c r="CW263" s="267"/>
      <c r="CX263" s="267"/>
      <c r="CY263" s="267"/>
      <c r="CZ263" s="267"/>
      <c r="DA263" s="267"/>
      <c r="DB263" s="267"/>
      <c r="DC263" s="267"/>
      <c r="DD263" s="267"/>
      <c r="DE263" s="267"/>
      <c r="DF263" s="267"/>
      <c r="DG263" s="267"/>
      <c r="DH263" s="267"/>
      <c r="DI263" s="267"/>
      <c r="DJ263" s="268"/>
      <c r="DK263" s="268"/>
      <c r="DL263" s="268"/>
      <c r="DM263" s="268"/>
      <c r="DN263" s="268"/>
      <c r="DO263" s="268"/>
      <c r="DP263" s="268"/>
      <c r="DQ263" s="268"/>
      <c r="DR263" s="268"/>
      <c r="DS263" s="268"/>
      <c r="DT263" s="268"/>
      <c r="DU263" s="268"/>
      <c r="DV263" s="268"/>
      <c r="DW263" s="268"/>
      <c r="DX263" s="268"/>
      <c r="DY263" s="268"/>
      <c r="EA263" s="13"/>
      <c r="EB263" s="96"/>
      <c r="EC263" s="96"/>
      <c r="ED263" s="96"/>
      <c r="EE263" s="96"/>
      <c r="EF263" s="96"/>
      <c r="EG263" s="96"/>
      <c r="EH263" s="96"/>
      <c r="EI263" s="96"/>
      <c r="EJ263" s="96"/>
      <c r="EK263" s="96"/>
      <c r="EL263" s="96"/>
      <c r="EM263" s="96"/>
      <c r="EN263" s="96"/>
      <c r="EO263" s="96"/>
      <c r="EP263" s="96"/>
      <c r="EQ263" s="96"/>
      <c r="ER263" s="96"/>
      <c r="ES263" s="96"/>
      <c r="ET263" s="96"/>
      <c r="EU263" s="96"/>
      <c r="EV263" s="96"/>
      <c r="EW263" s="96"/>
      <c r="EX263" s="96"/>
      <c r="EY263" s="96"/>
      <c r="EZ263" s="96"/>
      <c r="FA263" s="96"/>
      <c r="FB263" s="96"/>
      <c r="FC263" s="96"/>
      <c r="FD263" s="96"/>
      <c r="FE263" s="96"/>
      <c r="FF263" s="96"/>
      <c r="FG263" s="96"/>
      <c r="FH263" s="96"/>
      <c r="FI263" s="96"/>
      <c r="FJ263" s="96"/>
      <c r="FK263" s="96"/>
      <c r="FL263" s="96"/>
      <c r="FM263" s="96"/>
      <c r="FN263" s="96"/>
      <c r="FO263" s="96"/>
      <c r="FP263" s="96"/>
      <c r="FQ263" s="96"/>
      <c r="FR263" s="96"/>
      <c r="FS263" s="96"/>
      <c r="FT263" s="96"/>
      <c r="FU263" s="96"/>
      <c r="FV263" s="96"/>
      <c r="FW263" s="96"/>
      <c r="FX263" s="96"/>
      <c r="FY263" s="96"/>
      <c r="FZ263" s="96"/>
      <c r="GA263" s="96"/>
      <c r="GB263" s="96"/>
      <c r="GC263" s="96"/>
      <c r="GD263" s="96"/>
      <c r="GE263" s="96"/>
      <c r="GF263" s="96"/>
      <c r="GG263" s="96"/>
      <c r="GH263" s="96"/>
      <c r="GI263" s="96"/>
      <c r="GJ263" s="96"/>
      <c r="GK263" s="96"/>
      <c r="GL263" s="96"/>
      <c r="GM263" s="13"/>
      <c r="GN263" s="96"/>
      <c r="GO263" s="96"/>
      <c r="GP263" s="96"/>
      <c r="GQ263" s="96"/>
      <c r="GR263" s="96"/>
      <c r="GS263" s="96"/>
      <c r="GT263" s="96"/>
      <c r="GU263" s="96"/>
      <c r="GV263" s="96"/>
      <c r="GW263" s="96"/>
      <c r="GX263" s="96"/>
      <c r="GY263" s="96"/>
      <c r="GZ263" s="96"/>
      <c r="HA263" s="96"/>
      <c r="HB263" s="96"/>
      <c r="HC263" s="13"/>
      <c r="HD263" s="96"/>
      <c r="HE263" s="96"/>
      <c r="HF263" s="96"/>
      <c r="HG263" s="96"/>
      <c r="HH263" s="96"/>
      <c r="HI263" s="96"/>
      <c r="HJ263" s="96"/>
      <c r="HK263" s="96"/>
      <c r="HL263" s="96"/>
      <c r="HM263" s="96"/>
      <c r="HN263" s="96"/>
      <c r="HO263" s="96"/>
      <c r="HP263" s="96"/>
      <c r="HQ263" s="96"/>
      <c r="HR263" s="96"/>
      <c r="HS263" s="13"/>
      <c r="HT263" s="96"/>
      <c r="HU263" s="96"/>
      <c r="HV263" s="96"/>
      <c r="HW263" s="96"/>
      <c r="HX263" s="96"/>
      <c r="HY263" s="96"/>
      <c r="HZ263" s="96"/>
      <c r="IA263" s="96"/>
      <c r="IB263" s="96"/>
      <c r="IC263" s="96"/>
      <c r="ID263" s="96"/>
      <c r="IE263" s="96"/>
      <c r="IF263" s="96"/>
      <c r="IG263" s="96"/>
      <c r="IH263" s="96"/>
      <c r="II263" s="13"/>
      <c r="IJ263" s="96"/>
      <c r="IK263" s="96"/>
      <c r="IL263" s="96"/>
      <c r="IM263" s="96"/>
      <c r="IN263" s="96"/>
      <c r="IO263" s="96"/>
      <c r="IP263" s="96"/>
      <c r="IQ263" s="96"/>
      <c r="IR263" s="96"/>
      <c r="IS263" s="96"/>
      <c r="IT263" s="96"/>
      <c r="IU263" s="96"/>
      <c r="IV263" s="96"/>
      <c r="IW263" s="96"/>
      <c r="IX263" s="96"/>
      <c r="IY263" s="13"/>
    </row>
    <row r="264" spans="1:259" outlineLevel="1">
      <c r="A264" s="11">
        <f>'VAC &amp; MED'!C263</f>
        <v>46244</v>
      </c>
      <c r="B264" s="261"/>
      <c r="C264" s="261"/>
      <c r="D264" s="261"/>
      <c r="E264" s="261"/>
      <c r="F264" s="261"/>
      <c r="G264" s="261"/>
      <c r="H264" s="261"/>
      <c r="I264" s="261"/>
      <c r="J264" s="261"/>
      <c r="K264" s="261"/>
      <c r="L264" s="261"/>
      <c r="M264" s="261"/>
      <c r="N264" s="261"/>
      <c r="O264" s="261"/>
      <c r="P264" s="261"/>
      <c r="Q264" s="261"/>
      <c r="R264" s="262"/>
      <c r="S264" s="262"/>
      <c r="T264" s="262"/>
      <c r="U264" s="262"/>
      <c r="V264" s="262"/>
      <c r="W264" s="262"/>
      <c r="X264" s="262"/>
      <c r="Y264" s="262"/>
      <c r="Z264" s="262"/>
      <c r="AA264" s="262"/>
      <c r="AB264" s="262"/>
      <c r="AC264" s="262"/>
      <c r="AD264" s="262"/>
      <c r="AE264" s="262"/>
      <c r="AF264" s="262"/>
      <c r="AG264" s="262"/>
      <c r="AH264" s="263"/>
      <c r="AI264" s="263"/>
      <c r="AJ264" s="263"/>
      <c r="AK264" s="263"/>
      <c r="AL264" s="263"/>
      <c r="AM264" s="263"/>
      <c r="AN264" s="263"/>
      <c r="AO264" s="263"/>
      <c r="AP264" s="263"/>
      <c r="AQ264" s="263"/>
      <c r="AR264" s="263"/>
      <c r="AS264" s="263"/>
      <c r="AT264" s="263"/>
      <c r="AU264" s="263"/>
      <c r="AV264" s="263"/>
      <c r="AW264" s="263"/>
      <c r="AX264" s="264"/>
      <c r="AY264" s="264"/>
      <c r="AZ264" s="264"/>
      <c r="BA264" s="264"/>
      <c r="BB264" s="264"/>
      <c r="BC264" s="264"/>
      <c r="BD264" s="264"/>
      <c r="BE264" s="264"/>
      <c r="BF264" s="264"/>
      <c r="BG264" s="264"/>
      <c r="BH264" s="264"/>
      <c r="BI264" s="264"/>
      <c r="BJ264" s="264"/>
      <c r="BK264" s="264"/>
      <c r="BL264" s="264"/>
      <c r="BM264" s="264"/>
      <c r="BN264" s="265"/>
      <c r="BO264" s="265"/>
      <c r="BP264" s="265"/>
      <c r="BQ264" s="265"/>
      <c r="BR264" s="265"/>
      <c r="BS264" s="265"/>
      <c r="BT264" s="265"/>
      <c r="BU264" s="265"/>
      <c r="BV264" s="265"/>
      <c r="BW264" s="265"/>
      <c r="BX264" s="265"/>
      <c r="BY264" s="265"/>
      <c r="BZ264" s="265"/>
      <c r="CA264" s="265"/>
      <c r="CB264" s="265"/>
      <c r="CC264" s="265"/>
      <c r="CD264" s="266"/>
      <c r="CE264" s="266"/>
      <c r="CF264" s="266"/>
      <c r="CG264" s="266"/>
      <c r="CH264" s="266"/>
      <c r="CI264" s="266"/>
      <c r="CJ264" s="266"/>
      <c r="CK264" s="266"/>
      <c r="CL264" s="266"/>
      <c r="CM264" s="266"/>
      <c r="CN264" s="266"/>
      <c r="CO264" s="266"/>
      <c r="CP264" s="266"/>
      <c r="CQ264" s="266"/>
      <c r="CR264" s="266"/>
      <c r="CS264" s="266"/>
      <c r="CT264" s="267"/>
      <c r="CU264" s="267"/>
      <c r="CV264" s="267"/>
      <c r="CW264" s="267"/>
      <c r="CX264" s="267"/>
      <c r="CY264" s="267"/>
      <c r="CZ264" s="267"/>
      <c r="DA264" s="267"/>
      <c r="DB264" s="267"/>
      <c r="DC264" s="267"/>
      <c r="DD264" s="267"/>
      <c r="DE264" s="267"/>
      <c r="DF264" s="267"/>
      <c r="DG264" s="267"/>
      <c r="DH264" s="267"/>
      <c r="DI264" s="267"/>
      <c r="DJ264" s="268"/>
      <c r="DK264" s="268"/>
      <c r="DL264" s="268"/>
      <c r="DM264" s="268"/>
      <c r="DN264" s="268"/>
      <c r="DO264" s="268"/>
      <c r="DP264" s="268"/>
      <c r="DQ264" s="268"/>
      <c r="DR264" s="268"/>
      <c r="DS264" s="268"/>
      <c r="DT264" s="268"/>
      <c r="DU264" s="268"/>
      <c r="DV264" s="268"/>
      <c r="DW264" s="268"/>
      <c r="DX264" s="268"/>
      <c r="DY264" s="268"/>
      <c r="EA264" s="13"/>
      <c r="EB264" s="96"/>
      <c r="EC264" s="96"/>
      <c r="ED264" s="96"/>
      <c r="EE264" s="96"/>
      <c r="EF264" s="96"/>
      <c r="EG264" s="96"/>
      <c r="EH264" s="96"/>
      <c r="EI264" s="96"/>
      <c r="EJ264" s="96"/>
      <c r="EK264" s="96"/>
      <c r="EL264" s="96"/>
      <c r="EM264" s="96"/>
      <c r="EN264" s="96"/>
      <c r="EO264" s="96"/>
      <c r="EP264" s="96"/>
      <c r="EQ264" s="96"/>
      <c r="ER264" s="96"/>
      <c r="ES264" s="96"/>
      <c r="ET264" s="96"/>
      <c r="EU264" s="96"/>
      <c r="EV264" s="96"/>
      <c r="EW264" s="96"/>
      <c r="EX264" s="96"/>
      <c r="EY264" s="96"/>
      <c r="EZ264" s="96"/>
      <c r="FA264" s="96"/>
      <c r="FB264" s="96"/>
      <c r="FC264" s="96"/>
      <c r="FD264" s="96"/>
      <c r="FE264" s="96"/>
      <c r="FF264" s="96"/>
      <c r="FG264" s="96"/>
      <c r="FH264" s="96"/>
      <c r="FI264" s="96"/>
      <c r="FJ264" s="96"/>
      <c r="FK264" s="96"/>
      <c r="FL264" s="96"/>
      <c r="FM264" s="96"/>
      <c r="FN264" s="96"/>
      <c r="FO264" s="96"/>
      <c r="FP264" s="96"/>
      <c r="FQ264" s="96"/>
      <c r="FR264" s="96"/>
      <c r="FS264" s="96"/>
      <c r="FT264" s="96"/>
      <c r="FU264" s="96"/>
      <c r="FV264" s="96"/>
      <c r="FW264" s="96"/>
      <c r="FX264" s="96"/>
      <c r="FY264" s="96"/>
      <c r="FZ264" s="96"/>
      <c r="GA264" s="96"/>
      <c r="GB264" s="96"/>
      <c r="GC264" s="96"/>
      <c r="GD264" s="96"/>
      <c r="GE264" s="96"/>
      <c r="GF264" s="96"/>
      <c r="GG264" s="96"/>
      <c r="GH264" s="96"/>
      <c r="GI264" s="96"/>
      <c r="GJ264" s="96"/>
      <c r="GK264" s="96"/>
      <c r="GL264" s="96"/>
      <c r="GM264" s="13"/>
      <c r="GN264" s="96"/>
      <c r="GO264" s="96"/>
      <c r="GP264" s="96"/>
      <c r="GQ264" s="96"/>
      <c r="GR264" s="96"/>
      <c r="GS264" s="96"/>
      <c r="GT264" s="96"/>
      <c r="GU264" s="96"/>
      <c r="GV264" s="96"/>
      <c r="GW264" s="96"/>
      <c r="GX264" s="96"/>
      <c r="GY264" s="96"/>
      <c r="GZ264" s="96"/>
      <c r="HA264" s="96"/>
      <c r="HB264" s="96"/>
      <c r="HC264" s="13"/>
      <c r="HD264" s="96"/>
      <c r="HE264" s="96"/>
      <c r="HF264" s="96"/>
      <c r="HG264" s="96"/>
      <c r="HH264" s="96"/>
      <c r="HI264" s="96"/>
      <c r="HJ264" s="96"/>
      <c r="HK264" s="96"/>
      <c r="HL264" s="96"/>
      <c r="HM264" s="96"/>
      <c r="HN264" s="96"/>
      <c r="HO264" s="96"/>
      <c r="HP264" s="96"/>
      <c r="HQ264" s="96"/>
      <c r="HR264" s="96"/>
      <c r="HS264" s="13"/>
      <c r="HT264" s="96"/>
      <c r="HU264" s="96"/>
      <c r="HV264" s="96"/>
      <c r="HW264" s="96"/>
      <c r="HX264" s="96"/>
      <c r="HY264" s="96"/>
      <c r="HZ264" s="96"/>
      <c r="IA264" s="96"/>
      <c r="IB264" s="96"/>
      <c r="IC264" s="96"/>
      <c r="ID264" s="96"/>
      <c r="IE264" s="96"/>
      <c r="IF264" s="96"/>
      <c r="IG264" s="96"/>
      <c r="IH264" s="96"/>
      <c r="II264" s="13"/>
      <c r="IJ264" s="96"/>
      <c r="IK264" s="96"/>
      <c r="IL264" s="96"/>
      <c r="IM264" s="96"/>
      <c r="IN264" s="96"/>
      <c r="IO264" s="96"/>
      <c r="IP264" s="96"/>
      <c r="IQ264" s="96"/>
      <c r="IR264" s="96"/>
      <c r="IS264" s="96"/>
      <c r="IT264" s="96"/>
      <c r="IU264" s="96"/>
      <c r="IV264" s="96"/>
      <c r="IW264" s="96"/>
      <c r="IX264" s="96"/>
      <c r="IY264" s="13"/>
    </row>
    <row r="265" spans="1:259" outlineLevel="1">
      <c r="A265" s="11">
        <f>'VAC &amp; MED'!C264</f>
        <v>46245</v>
      </c>
      <c r="B265" s="261"/>
      <c r="C265" s="261"/>
      <c r="D265" s="261"/>
      <c r="E265" s="261"/>
      <c r="F265" s="261"/>
      <c r="G265" s="261"/>
      <c r="H265" s="261"/>
      <c r="I265" s="261"/>
      <c r="J265" s="261"/>
      <c r="K265" s="261"/>
      <c r="L265" s="261"/>
      <c r="M265" s="261"/>
      <c r="N265" s="261"/>
      <c r="O265" s="261"/>
      <c r="P265" s="261"/>
      <c r="Q265" s="261"/>
      <c r="R265" s="262"/>
      <c r="S265" s="262"/>
      <c r="T265" s="262"/>
      <c r="U265" s="262"/>
      <c r="V265" s="262"/>
      <c r="W265" s="262"/>
      <c r="X265" s="262"/>
      <c r="Y265" s="262"/>
      <c r="Z265" s="262"/>
      <c r="AA265" s="262"/>
      <c r="AB265" s="262"/>
      <c r="AC265" s="262"/>
      <c r="AD265" s="262"/>
      <c r="AE265" s="262"/>
      <c r="AF265" s="262"/>
      <c r="AG265" s="262"/>
      <c r="AH265" s="263"/>
      <c r="AI265" s="263"/>
      <c r="AJ265" s="263"/>
      <c r="AK265" s="263"/>
      <c r="AL265" s="263"/>
      <c r="AM265" s="263"/>
      <c r="AN265" s="263"/>
      <c r="AO265" s="263"/>
      <c r="AP265" s="263"/>
      <c r="AQ265" s="263"/>
      <c r="AR265" s="263"/>
      <c r="AS265" s="263"/>
      <c r="AT265" s="263"/>
      <c r="AU265" s="263"/>
      <c r="AV265" s="263"/>
      <c r="AW265" s="263"/>
      <c r="AX265" s="264"/>
      <c r="AY265" s="264"/>
      <c r="AZ265" s="264"/>
      <c r="BA265" s="264"/>
      <c r="BB265" s="264"/>
      <c r="BC265" s="264"/>
      <c r="BD265" s="264"/>
      <c r="BE265" s="264"/>
      <c r="BF265" s="264"/>
      <c r="BG265" s="264"/>
      <c r="BH265" s="264"/>
      <c r="BI265" s="264"/>
      <c r="BJ265" s="264"/>
      <c r="BK265" s="264"/>
      <c r="BL265" s="264"/>
      <c r="BM265" s="264"/>
      <c r="BN265" s="265"/>
      <c r="BO265" s="265"/>
      <c r="BP265" s="265">
        <v>36</v>
      </c>
      <c r="BQ265" s="265"/>
      <c r="BR265" s="265"/>
      <c r="BS265" s="265"/>
      <c r="BT265" s="265"/>
      <c r="BU265" s="265"/>
      <c r="BV265" s="265"/>
      <c r="BW265" s="265"/>
      <c r="BX265" s="265"/>
      <c r="BY265" s="265"/>
      <c r="BZ265" s="265"/>
      <c r="CA265" s="265"/>
      <c r="CB265" s="265"/>
      <c r="CC265" s="265"/>
      <c r="CD265" s="266"/>
      <c r="CE265" s="266"/>
      <c r="CF265" s="266"/>
      <c r="CG265" s="266"/>
      <c r="CH265" s="266"/>
      <c r="CI265" s="266"/>
      <c r="CJ265" s="266"/>
      <c r="CK265" s="266"/>
      <c r="CL265" s="266"/>
      <c r="CM265" s="266"/>
      <c r="CN265" s="266"/>
      <c r="CO265" s="266"/>
      <c r="CP265" s="266"/>
      <c r="CQ265" s="266"/>
      <c r="CR265" s="266"/>
      <c r="CS265" s="266"/>
      <c r="CT265" s="267"/>
      <c r="CU265" s="267"/>
      <c r="CV265" s="267"/>
      <c r="CW265" s="267"/>
      <c r="CX265" s="267"/>
      <c r="CY265" s="267"/>
      <c r="CZ265" s="267"/>
      <c r="DA265" s="267"/>
      <c r="DB265" s="267"/>
      <c r="DC265" s="267"/>
      <c r="DD265" s="267">
        <v>30</v>
      </c>
      <c r="DE265" s="267"/>
      <c r="DF265" s="267"/>
      <c r="DG265" s="267"/>
      <c r="DH265" s="267">
        <v>10</v>
      </c>
      <c r="DI265" s="267"/>
      <c r="DJ265" s="268"/>
      <c r="DK265" s="268"/>
      <c r="DL265" s="268"/>
      <c r="DM265" s="268"/>
      <c r="DN265" s="268"/>
      <c r="DO265" s="268"/>
      <c r="DP265" s="268"/>
      <c r="DQ265" s="268"/>
      <c r="DR265" s="268"/>
      <c r="DS265" s="268"/>
      <c r="DT265" s="268"/>
      <c r="DU265" s="268"/>
      <c r="DV265" s="268"/>
      <c r="DW265" s="268"/>
      <c r="DX265" s="268"/>
      <c r="DY265" s="268"/>
      <c r="EA265" s="13"/>
      <c r="EB265" s="96"/>
      <c r="EC265" s="96"/>
      <c r="ED265" s="96"/>
      <c r="EE265" s="96"/>
      <c r="EF265" s="96"/>
      <c r="EG265" s="96"/>
      <c r="EH265" s="96"/>
      <c r="EI265" s="96"/>
      <c r="EJ265" s="96"/>
      <c r="EK265" s="96"/>
      <c r="EL265" s="96"/>
      <c r="EM265" s="96"/>
      <c r="EN265" s="96"/>
      <c r="EO265" s="96"/>
      <c r="EP265" s="96"/>
      <c r="EQ265" s="96"/>
      <c r="ER265" s="96"/>
      <c r="ES265" s="96"/>
      <c r="ET265" s="96"/>
      <c r="EU265" s="96"/>
      <c r="EV265" s="96"/>
      <c r="EW265" s="96"/>
      <c r="EX265" s="96"/>
      <c r="EY265" s="96"/>
      <c r="EZ265" s="96"/>
      <c r="FA265" s="96"/>
      <c r="FB265" s="96"/>
      <c r="FC265" s="96"/>
      <c r="FD265" s="96"/>
      <c r="FE265" s="96"/>
      <c r="FF265" s="96"/>
      <c r="FG265" s="96"/>
      <c r="FH265" s="96"/>
      <c r="FI265" s="96"/>
      <c r="FJ265" s="96"/>
      <c r="FK265" s="96"/>
      <c r="FL265" s="96"/>
      <c r="FM265" s="96"/>
      <c r="FN265" s="96"/>
      <c r="FO265" s="96"/>
      <c r="FP265" s="96"/>
      <c r="FQ265" s="96"/>
      <c r="FR265" s="96"/>
      <c r="FS265" s="96"/>
      <c r="FT265" s="96"/>
      <c r="FU265" s="96"/>
      <c r="FV265" s="96"/>
      <c r="FW265" s="96"/>
      <c r="FX265" s="96"/>
      <c r="FY265" s="96"/>
      <c r="FZ265" s="96"/>
      <c r="GA265" s="96"/>
      <c r="GB265" s="96"/>
      <c r="GC265" s="96"/>
      <c r="GD265" s="96"/>
      <c r="GE265" s="96"/>
      <c r="GF265" s="96"/>
      <c r="GG265" s="96"/>
      <c r="GH265" s="96"/>
      <c r="GI265" s="96"/>
      <c r="GJ265" s="96"/>
      <c r="GK265" s="96"/>
      <c r="GL265" s="96"/>
      <c r="GM265" s="13"/>
      <c r="GN265" s="96"/>
      <c r="GO265" s="96"/>
      <c r="GP265" s="96"/>
      <c r="GQ265" s="96"/>
      <c r="GR265" s="96"/>
      <c r="GS265" s="96"/>
      <c r="GT265" s="96"/>
      <c r="GU265" s="96"/>
      <c r="GV265" s="96"/>
      <c r="GW265" s="96"/>
      <c r="GX265" s="96"/>
      <c r="GY265" s="96"/>
      <c r="GZ265" s="96"/>
      <c r="HA265" s="96"/>
      <c r="HB265" s="96"/>
      <c r="HC265" s="13"/>
      <c r="HD265" s="96"/>
      <c r="HE265" s="96"/>
      <c r="HF265" s="96"/>
      <c r="HG265" s="96"/>
      <c r="HH265" s="96"/>
      <c r="HI265" s="96"/>
      <c r="HJ265" s="96"/>
      <c r="HK265" s="96"/>
      <c r="HL265" s="96"/>
      <c r="HM265" s="96"/>
      <c r="HN265" s="96"/>
      <c r="HO265" s="96"/>
      <c r="HP265" s="96"/>
      <c r="HQ265" s="96"/>
      <c r="HR265" s="96"/>
      <c r="HS265" s="13"/>
      <c r="HT265" s="96"/>
      <c r="HU265" s="96"/>
      <c r="HV265" s="96"/>
      <c r="HW265" s="96"/>
      <c r="HX265" s="96"/>
      <c r="HY265" s="96"/>
      <c r="HZ265" s="96"/>
      <c r="IA265" s="96"/>
      <c r="IB265" s="96"/>
      <c r="IC265" s="96"/>
      <c r="ID265" s="96"/>
      <c r="IE265" s="96"/>
      <c r="IF265" s="96"/>
      <c r="IG265" s="96"/>
      <c r="IH265" s="96"/>
      <c r="II265" s="13"/>
      <c r="IJ265" s="96"/>
      <c r="IK265" s="96"/>
      <c r="IL265" s="96"/>
      <c r="IM265" s="96"/>
      <c r="IN265" s="96"/>
      <c r="IO265" s="96"/>
      <c r="IP265" s="96"/>
      <c r="IQ265" s="96"/>
      <c r="IR265" s="96"/>
      <c r="IS265" s="96"/>
      <c r="IT265" s="96"/>
      <c r="IU265" s="96"/>
      <c r="IV265" s="96"/>
      <c r="IW265" s="96"/>
      <c r="IX265" s="96"/>
      <c r="IY265" s="13"/>
    </row>
    <row r="266" spans="1:259" outlineLevel="1">
      <c r="A266" s="11">
        <f>'VAC &amp; MED'!C265</f>
        <v>46246</v>
      </c>
      <c r="B266" s="261"/>
      <c r="C266" s="261"/>
      <c r="D266" s="261"/>
      <c r="E266" s="261"/>
      <c r="F266" s="261"/>
      <c r="G266" s="261"/>
      <c r="H266" s="261"/>
      <c r="I266" s="261"/>
      <c r="J266" s="261"/>
      <c r="K266" s="261"/>
      <c r="L266" s="261"/>
      <c r="M266" s="261"/>
      <c r="N266" s="261"/>
      <c r="O266" s="261"/>
      <c r="P266" s="261"/>
      <c r="Q266" s="261"/>
      <c r="R266" s="262"/>
      <c r="S266" s="262"/>
      <c r="T266" s="262"/>
      <c r="U266" s="262"/>
      <c r="V266" s="262"/>
      <c r="W266" s="262"/>
      <c r="X266" s="262"/>
      <c r="Y266" s="262"/>
      <c r="Z266" s="262"/>
      <c r="AA266" s="262"/>
      <c r="AB266" s="262"/>
      <c r="AC266" s="262"/>
      <c r="AD266" s="262"/>
      <c r="AE266" s="262"/>
      <c r="AF266" s="262"/>
      <c r="AG266" s="262"/>
      <c r="AH266" s="263"/>
      <c r="AI266" s="263"/>
      <c r="AJ266" s="263"/>
      <c r="AK266" s="263"/>
      <c r="AL266" s="263"/>
      <c r="AM266" s="263"/>
      <c r="AN266" s="263"/>
      <c r="AO266" s="263"/>
      <c r="AP266" s="263"/>
      <c r="AQ266" s="263"/>
      <c r="AR266" s="263"/>
      <c r="AS266" s="263"/>
      <c r="AT266" s="263"/>
      <c r="AU266" s="263"/>
      <c r="AV266" s="263"/>
      <c r="AW266" s="263"/>
      <c r="AX266" s="264"/>
      <c r="AY266" s="264"/>
      <c r="AZ266" s="264"/>
      <c r="BA266" s="264"/>
      <c r="BB266" s="264"/>
      <c r="BC266" s="264"/>
      <c r="BD266" s="264"/>
      <c r="BE266" s="264"/>
      <c r="BF266" s="264"/>
      <c r="BG266" s="264"/>
      <c r="BH266" s="264"/>
      <c r="BI266" s="264"/>
      <c r="BJ266" s="264"/>
      <c r="BK266" s="264"/>
      <c r="BL266" s="264"/>
      <c r="BM266" s="264"/>
      <c r="BN266" s="265"/>
      <c r="BO266" s="265">
        <v>8</v>
      </c>
      <c r="BP266" s="265">
        <v>26</v>
      </c>
      <c r="BQ266" s="265"/>
      <c r="BR266" s="265"/>
      <c r="BS266" s="265"/>
      <c r="BT266" s="265"/>
      <c r="BU266" s="265"/>
      <c r="BV266" s="265"/>
      <c r="BW266" s="265"/>
      <c r="BX266" s="265"/>
      <c r="BY266" s="265"/>
      <c r="BZ266" s="265"/>
      <c r="CA266" s="265"/>
      <c r="CB266" s="265"/>
      <c r="CC266" s="265"/>
      <c r="CD266" s="266"/>
      <c r="CE266" s="266"/>
      <c r="CF266" s="266"/>
      <c r="CG266" s="266"/>
      <c r="CH266" s="266"/>
      <c r="CI266" s="266"/>
      <c r="CJ266" s="266"/>
      <c r="CK266" s="266"/>
      <c r="CL266" s="266"/>
      <c r="CM266" s="266"/>
      <c r="CN266" s="266"/>
      <c r="CO266" s="266"/>
      <c r="CP266" s="266"/>
      <c r="CQ266" s="266"/>
      <c r="CR266" s="266"/>
      <c r="CS266" s="266"/>
      <c r="CT266" s="267"/>
      <c r="CU266" s="267"/>
      <c r="CV266" s="267"/>
      <c r="CW266" s="267"/>
      <c r="CX266" s="267"/>
      <c r="CY266" s="267"/>
      <c r="CZ266" s="267"/>
      <c r="DA266" s="267"/>
      <c r="DB266" s="267"/>
      <c r="DC266" s="267"/>
      <c r="DD266" s="267"/>
      <c r="DE266" s="267"/>
      <c r="DF266" s="267"/>
      <c r="DG266" s="267"/>
      <c r="DH266" s="267"/>
      <c r="DI266" s="267"/>
      <c r="DJ266" s="268"/>
      <c r="DK266" s="268"/>
      <c r="DL266" s="268"/>
      <c r="DM266" s="268"/>
      <c r="DN266" s="268"/>
      <c r="DO266" s="268"/>
      <c r="DP266" s="268"/>
      <c r="DQ266" s="268"/>
      <c r="DR266" s="268"/>
      <c r="DS266" s="268"/>
      <c r="DT266" s="268"/>
      <c r="DU266" s="268"/>
      <c r="DV266" s="268"/>
      <c r="DW266" s="268"/>
      <c r="DX266" s="268"/>
      <c r="DY266" s="268"/>
      <c r="EA266" s="13"/>
      <c r="EB266" s="96"/>
      <c r="EC266" s="96"/>
      <c r="ED266" s="96"/>
      <c r="EE266" s="96"/>
      <c r="EF266" s="96"/>
      <c r="EG266" s="96"/>
      <c r="EH266" s="96"/>
      <c r="EI266" s="96"/>
      <c r="EJ266" s="96"/>
      <c r="EK266" s="96"/>
      <c r="EL266" s="96"/>
      <c r="EM266" s="96"/>
      <c r="EN266" s="96"/>
      <c r="EO266" s="96"/>
      <c r="EP266" s="96"/>
      <c r="EQ266" s="96"/>
      <c r="ER266" s="96"/>
      <c r="ES266" s="96"/>
      <c r="ET266" s="96"/>
      <c r="EU266" s="96"/>
      <c r="EV266" s="96"/>
      <c r="EW266" s="96"/>
      <c r="EX266" s="96"/>
      <c r="EY266" s="96"/>
      <c r="EZ266" s="96"/>
      <c r="FA266" s="96"/>
      <c r="FB266" s="96"/>
      <c r="FC266" s="96"/>
      <c r="FD266" s="96"/>
      <c r="FE266" s="96"/>
      <c r="FF266" s="96"/>
      <c r="FG266" s="96"/>
      <c r="FH266" s="96"/>
      <c r="FI266" s="96"/>
      <c r="FJ266" s="96"/>
      <c r="FK266" s="96"/>
      <c r="FL266" s="96"/>
      <c r="FM266" s="96"/>
      <c r="FN266" s="96"/>
      <c r="FO266" s="96"/>
      <c r="FP266" s="96"/>
      <c r="FQ266" s="96"/>
      <c r="FR266" s="96"/>
      <c r="FS266" s="96"/>
      <c r="FT266" s="96"/>
      <c r="FU266" s="96"/>
      <c r="FV266" s="96"/>
      <c r="FW266" s="96"/>
      <c r="FX266" s="96"/>
      <c r="FY266" s="96"/>
      <c r="FZ266" s="96"/>
      <c r="GA266" s="96"/>
      <c r="GB266" s="96"/>
      <c r="GC266" s="96"/>
      <c r="GD266" s="96"/>
      <c r="GE266" s="96"/>
      <c r="GF266" s="96"/>
      <c r="GG266" s="96"/>
      <c r="GH266" s="96"/>
      <c r="GI266" s="96"/>
      <c r="GJ266" s="96"/>
      <c r="GK266" s="96"/>
      <c r="GL266" s="96"/>
      <c r="GM266" s="13"/>
      <c r="GN266" s="96"/>
      <c r="GO266" s="96"/>
      <c r="GP266" s="96"/>
      <c r="GQ266" s="96"/>
      <c r="GR266" s="96"/>
      <c r="GS266" s="96"/>
      <c r="GT266" s="96"/>
      <c r="GU266" s="96"/>
      <c r="GV266" s="96"/>
      <c r="GW266" s="96"/>
      <c r="GX266" s="96"/>
      <c r="GY266" s="96"/>
      <c r="GZ266" s="96"/>
      <c r="HA266" s="96"/>
      <c r="HB266" s="96"/>
      <c r="HC266" s="13"/>
      <c r="HD266" s="96"/>
      <c r="HE266" s="96"/>
      <c r="HF266" s="96"/>
      <c r="HG266" s="96"/>
      <c r="HH266" s="96"/>
      <c r="HI266" s="96"/>
      <c r="HJ266" s="96"/>
      <c r="HK266" s="96"/>
      <c r="HL266" s="96"/>
      <c r="HM266" s="96"/>
      <c r="HN266" s="96"/>
      <c r="HO266" s="96"/>
      <c r="HP266" s="96"/>
      <c r="HQ266" s="96"/>
      <c r="HR266" s="96"/>
      <c r="HS266" s="13"/>
      <c r="HT266" s="96"/>
      <c r="HU266" s="96"/>
      <c r="HV266" s="96"/>
      <c r="HW266" s="96"/>
      <c r="HX266" s="96"/>
      <c r="HY266" s="96"/>
      <c r="HZ266" s="96"/>
      <c r="IA266" s="96"/>
      <c r="IB266" s="96"/>
      <c r="IC266" s="96"/>
      <c r="ID266" s="96"/>
      <c r="IE266" s="96"/>
      <c r="IF266" s="96"/>
      <c r="IG266" s="96"/>
      <c r="IH266" s="96"/>
      <c r="II266" s="13"/>
      <c r="IJ266" s="96"/>
      <c r="IK266" s="96"/>
      <c r="IL266" s="96"/>
      <c r="IM266" s="96"/>
      <c r="IN266" s="96"/>
      <c r="IO266" s="96"/>
      <c r="IP266" s="96"/>
      <c r="IQ266" s="96"/>
      <c r="IR266" s="96"/>
      <c r="IS266" s="96"/>
      <c r="IT266" s="96"/>
      <c r="IU266" s="96"/>
      <c r="IV266" s="96"/>
      <c r="IW266" s="96"/>
      <c r="IX266" s="96"/>
      <c r="IY266" s="13"/>
    </row>
    <row r="267" spans="1:259" outlineLevel="1">
      <c r="A267" s="11">
        <f>'VAC &amp; MED'!C266</f>
        <v>46247</v>
      </c>
      <c r="B267" s="261">
        <v>20</v>
      </c>
      <c r="C267" s="261"/>
      <c r="D267" s="261"/>
      <c r="E267" s="261"/>
      <c r="F267" s="261"/>
      <c r="G267" s="261"/>
      <c r="H267" s="261"/>
      <c r="I267" s="261"/>
      <c r="J267" s="261"/>
      <c r="K267" s="261"/>
      <c r="L267" s="261"/>
      <c r="M267" s="261"/>
      <c r="N267" s="261"/>
      <c r="O267" s="261"/>
      <c r="P267" s="261"/>
      <c r="Q267" s="261"/>
      <c r="R267" s="262"/>
      <c r="S267" s="262"/>
      <c r="T267" s="262"/>
      <c r="U267" s="262"/>
      <c r="V267" s="262"/>
      <c r="W267" s="262"/>
      <c r="X267" s="262"/>
      <c r="Y267" s="262"/>
      <c r="Z267" s="262"/>
      <c r="AA267" s="262"/>
      <c r="AB267" s="262"/>
      <c r="AC267" s="262"/>
      <c r="AD267" s="262"/>
      <c r="AE267" s="262"/>
      <c r="AF267" s="262"/>
      <c r="AG267" s="262"/>
      <c r="AH267" s="263"/>
      <c r="AI267" s="263"/>
      <c r="AJ267" s="263"/>
      <c r="AK267" s="263"/>
      <c r="AL267" s="263"/>
      <c r="AM267" s="263"/>
      <c r="AN267" s="263"/>
      <c r="AO267" s="263"/>
      <c r="AP267" s="263"/>
      <c r="AQ267" s="263"/>
      <c r="AR267" s="263"/>
      <c r="AS267" s="263"/>
      <c r="AT267" s="263"/>
      <c r="AU267" s="263"/>
      <c r="AV267" s="263"/>
      <c r="AW267" s="263"/>
      <c r="AX267" s="264"/>
      <c r="AY267" s="264"/>
      <c r="AZ267" s="264"/>
      <c r="BA267" s="264"/>
      <c r="BB267" s="264"/>
      <c r="BC267" s="264"/>
      <c r="BD267" s="264"/>
      <c r="BE267" s="264"/>
      <c r="BF267" s="264"/>
      <c r="BG267" s="264"/>
      <c r="BH267" s="264"/>
      <c r="BI267" s="264"/>
      <c r="BJ267" s="264"/>
      <c r="BK267" s="264"/>
      <c r="BL267" s="264"/>
      <c r="BM267" s="264"/>
      <c r="BN267" s="265"/>
      <c r="BO267" s="265"/>
      <c r="BP267" s="265">
        <v>60</v>
      </c>
      <c r="BQ267" s="265"/>
      <c r="BR267" s="265"/>
      <c r="BS267" s="265"/>
      <c r="BT267" s="265"/>
      <c r="BU267" s="265"/>
      <c r="BV267" s="265"/>
      <c r="BW267" s="265"/>
      <c r="BX267" s="265"/>
      <c r="BY267" s="265"/>
      <c r="BZ267" s="265"/>
      <c r="CA267" s="265"/>
      <c r="CB267" s="265"/>
      <c r="CC267" s="265"/>
      <c r="CD267" s="266"/>
      <c r="CE267" s="266"/>
      <c r="CF267" s="266"/>
      <c r="CG267" s="266"/>
      <c r="CH267" s="266"/>
      <c r="CI267" s="266"/>
      <c r="CJ267" s="266"/>
      <c r="CK267" s="266"/>
      <c r="CL267" s="266"/>
      <c r="CM267" s="266"/>
      <c r="CN267" s="266"/>
      <c r="CO267" s="266"/>
      <c r="CP267" s="266"/>
      <c r="CQ267" s="266"/>
      <c r="CR267" s="266"/>
      <c r="CS267" s="266"/>
      <c r="CT267" s="267"/>
      <c r="CU267" s="267"/>
      <c r="CV267" s="267"/>
      <c r="CW267" s="267"/>
      <c r="CX267" s="267"/>
      <c r="CY267" s="267"/>
      <c r="CZ267" s="267"/>
      <c r="DA267" s="267"/>
      <c r="DB267" s="267"/>
      <c r="DC267" s="267"/>
      <c r="DD267" s="267"/>
      <c r="DE267" s="267"/>
      <c r="DF267" s="267"/>
      <c r="DG267" s="267"/>
      <c r="DH267" s="267"/>
      <c r="DI267" s="267"/>
      <c r="DJ267" s="268"/>
      <c r="DK267" s="268"/>
      <c r="DL267" s="268"/>
      <c r="DM267" s="268"/>
      <c r="DN267" s="268"/>
      <c r="DO267" s="268"/>
      <c r="DP267" s="268"/>
      <c r="DQ267" s="268"/>
      <c r="DR267" s="268"/>
      <c r="DS267" s="268"/>
      <c r="DT267" s="268"/>
      <c r="DU267" s="268"/>
      <c r="DV267" s="268"/>
      <c r="DW267" s="268"/>
      <c r="DX267" s="268"/>
      <c r="DY267" s="268"/>
      <c r="EA267" s="13"/>
      <c r="EB267" s="96"/>
      <c r="EC267" s="96"/>
      <c r="ED267" s="96"/>
      <c r="EE267" s="96"/>
      <c r="EF267" s="96"/>
      <c r="EG267" s="96"/>
      <c r="EH267" s="96"/>
      <c r="EI267" s="96"/>
      <c r="EJ267" s="96"/>
      <c r="EK267" s="96"/>
      <c r="EL267" s="96"/>
      <c r="EM267" s="96"/>
      <c r="EN267" s="96"/>
      <c r="EO267" s="96"/>
      <c r="EP267" s="96"/>
      <c r="EQ267" s="96"/>
      <c r="ER267" s="96"/>
      <c r="ES267" s="96"/>
      <c r="ET267" s="96"/>
      <c r="EU267" s="96"/>
      <c r="EV267" s="96"/>
      <c r="EW267" s="96"/>
      <c r="EX267" s="96"/>
      <c r="EY267" s="96"/>
      <c r="EZ267" s="96"/>
      <c r="FA267" s="96"/>
      <c r="FB267" s="96"/>
      <c r="FC267" s="96"/>
      <c r="FD267" s="96"/>
      <c r="FE267" s="96"/>
      <c r="FF267" s="96"/>
      <c r="FG267" s="96"/>
      <c r="FH267" s="96"/>
      <c r="FI267" s="96"/>
      <c r="FJ267" s="96"/>
      <c r="FK267" s="96"/>
      <c r="FL267" s="96"/>
      <c r="FM267" s="96"/>
      <c r="FN267" s="96"/>
      <c r="FO267" s="96"/>
      <c r="FP267" s="96"/>
      <c r="FQ267" s="96"/>
      <c r="FR267" s="96"/>
      <c r="FS267" s="96"/>
      <c r="FT267" s="96"/>
      <c r="FU267" s="96"/>
      <c r="FV267" s="96"/>
      <c r="FW267" s="96"/>
      <c r="FX267" s="96"/>
      <c r="FY267" s="96"/>
      <c r="FZ267" s="96"/>
      <c r="GA267" s="96"/>
      <c r="GB267" s="96"/>
      <c r="GC267" s="96"/>
      <c r="GD267" s="96"/>
      <c r="GE267" s="96"/>
      <c r="GF267" s="96"/>
      <c r="GG267" s="96"/>
      <c r="GH267" s="96"/>
      <c r="GI267" s="96"/>
      <c r="GJ267" s="96"/>
      <c r="GK267" s="96"/>
      <c r="GL267" s="96"/>
      <c r="GM267" s="13"/>
      <c r="GN267" s="96"/>
      <c r="GO267" s="96"/>
      <c r="GP267" s="96"/>
      <c r="GQ267" s="96"/>
      <c r="GR267" s="96"/>
      <c r="GS267" s="96"/>
      <c r="GT267" s="96"/>
      <c r="GU267" s="96"/>
      <c r="GV267" s="96"/>
      <c r="GW267" s="96"/>
      <c r="GX267" s="96"/>
      <c r="GY267" s="96"/>
      <c r="GZ267" s="96"/>
      <c r="HA267" s="96"/>
      <c r="HB267" s="96"/>
      <c r="HC267" s="13"/>
      <c r="HD267" s="96"/>
      <c r="HE267" s="96"/>
      <c r="HF267" s="96"/>
      <c r="HG267" s="96"/>
      <c r="HH267" s="96"/>
      <c r="HI267" s="96"/>
      <c r="HJ267" s="96"/>
      <c r="HK267" s="96"/>
      <c r="HL267" s="96"/>
      <c r="HM267" s="96"/>
      <c r="HN267" s="96"/>
      <c r="HO267" s="96"/>
      <c r="HP267" s="96"/>
      <c r="HQ267" s="96"/>
      <c r="HR267" s="96"/>
      <c r="HS267" s="13"/>
      <c r="HT267" s="96"/>
      <c r="HU267" s="96"/>
      <c r="HV267" s="96"/>
      <c r="HW267" s="96"/>
      <c r="HX267" s="96"/>
      <c r="HY267" s="96"/>
      <c r="HZ267" s="96"/>
      <c r="IA267" s="96"/>
      <c r="IB267" s="96"/>
      <c r="IC267" s="96"/>
      <c r="ID267" s="96"/>
      <c r="IE267" s="96"/>
      <c r="IF267" s="96"/>
      <c r="IG267" s="96"/>
      <c r="IH267" s="96"/>
      <c r="II267" s="13"/>
      <c r="IJ267" s="96"/>
      <c r="IK267" s="96"/>
      <c r="IL267" s="96"/>
      <c r="IM267" s="96"/>
      <c r="IN267" s="96"/>
      <c r="IO267" s="96"/>
      <c r="IP267" s="96"/>
      <c r="IQ267" s="96"/>
      <c r="IR267" s="96"/>
      <c r="IS267" s="96"/>
      <c r="IT267" s="96"/>
      <c r="IU267" s="96"/>
      <c r="IV267" s="96"/>
      <c r="IW267" s="96"/>
      <c r="IX267" s="96"/>
      <c r="IY267" s="13"/>
    </row>
    <row r="268" spans="1:259" outlineLevel="1">
      <c r="A268" s="11">
        <f>'VAC &amp; MED'!C267</f>
        <v>46248</v>
      </c>
      <c r="B268" s="261"/>
      <c r="C268" s="261"/>
      <c r="D268" s="261"/>
      <c r="E268" s="261"/>
      <c r="F268" s="261"/>
      <c r="G268" s="261"/>
      <c r="H268" s="261"/>
      <c r="I268" s="261"/>
      <c r="J268" s="261"/>
      <c r="K268" s="261"/>
      <c r="L268" s="261"/>
      <c r="M268" s="261"/>
      <c r="N268" s="261"/>
      <c r="O268" s="261"/>
      <c r="P268" s="261"/>
      <c r="Q268" s="261"/>
      <c r="R268" s="262"/>
      <c r="S268" s="262"/>
      <c r="T268" s="262"/>
      <c r="U268" s="262"/>
      <c r="V268" s="262"/>
      <c r="W268" s="262"/>
      <c r="X268" s="262"/>
      <c r="Y268" s="262"/>
      <c r="Z268" s="262"/>
      <c r="AA268" s="262"/>
      <c r="AB268" s="262"/>
      <c r="AC268" s="262"/>
      <c r="AD268" s="262"/>
      <c r="AE268" s="262"/>
      <c r="AF268" s="262"/>
      <c r="AG268" s="262"/>
      <c r="AH268" s="263"/>
      <c r="AI268" s="263"/>
      <c r="AJ268" s="263"/>
      <c r="AK268" s="263"/>
      <c r="AL268" s="263"/>
      <c r="AM268" s="263"/>
      <c r="AN268" s="263"/>
      <c r="AO268" s="263"/>
      <c r="AP268" s="263"/>
      <c r="AQ268" s="263"/>
      <c r="AR268" s="263"/>
      <c r="AS268" s="263"/>
      <c r="AT268" s="263"/>
      <c r="AU268" s="263"/>
      <c r="AV268" s="263"/>
      <c r="AW268" s="263"/>
      <c r="AX268" s="264"/>
      <c r="AY268" s="264"/>
      <c r="AZ268" s="264"/>
      <c r="BA268" s="264"/>
      <c r="BB268" s="264"/>
      <c r="BC268" s="264"/>
      <c r="BD268" s="264"/>
      <c r="BE268" s="264"/>
      <c r="BF268" s="264"/>
      <c r="BG268" s="264"/>
      <c r="BH268" s="264"/>
      <c r="BI268" s="264"/>
      <c r="BJ268" s="264"/>
      <c r="BK268" s="264"/>
      <c r="BL268" s="264"/>
      <c r="BM268" s="264"/>
      <c r="BN268" s="265"/>
      <c r="BO268" s="265"/>
      <c r="BP268" s="265"/>
      <c r="BQ268" s="265"/>
      <c r="BR268" s="265"/>
      <c r="BS268" s="265"/>
      <c r="BT268" s="265"/>
      <c r="BU268" s="265"/>
      <c r="BV268" s="265"/>
      <c r="BW268" s="265"/>
      <c r="BX268" s="265"/>
      <c r="BY268" s="265"/>
      <c r="BZ268" s="265"/>
      <c r="CA268" s="265"/>
      <c r="CB268" s="265"/>
      <c r="CC268" s="265"/>
      <c r="CD268" s="266"/>
      <c r="CE268" s="266"/>
      <c r="CF268" s="266"/>
      <c r="CG268" s="266"/>
      <c r="CH268" s="266"/>
      <c r="CI268" s="266"/>
      <c r="CJ268" s="266"/>
      <c r="CK268" s="266"/>
      <c r="CL268" s="266"/>
      <c r="CM268" s="266"/>
      <c r="CN268" s="266"/>
      <c r="CO268" s="266"/>
      <c r="CP268" s="266"/>
      <c r="CQ268" s="266"/>
      <c r="CR268" s="266"/>
      <c r="CS268" s="266"/>
      <c r="CT268" s="267"/>
      <c r="CU268" s="267"/>
      <c r="CV268" s="267"/>
      <c r="CW268" s="267"/>
      <c r="CX268" s="267"/>
      <c r="CY268" s="267"/>
      <c r="CZ268" s="267"/>
      <c r="DA268" s="267"/>
      <c r="DB268" s="267"/>
      <c r="DC268" s="267"/>
      <c r="DD268" s="267">
        <v>20</v>
      </c>
      <c r="DE268" s="267"/>
      <c r="DF268" s="267"/>
      <c r="DG268" s="267"/>
      <c r="DH268" s="267">
        <v>46</v>
      </c>
      <c r="DI268" s="267"/>
      <c r="DJ268" s="268"/>
      <c r="DK268" s="268"/>
      <c r="DL268" s="268"/>
      <c r="DM268" s="268"/>
      <c r="DN268" s="268"/>
      <c r="DO268" s="268"/>
      <c r="DP268" s="268"/>
      <c r="DQ268" s="268"/>
      <c r="DR268" s="268"/>
      <c r="DS268" s="268"/>
      <c r="DT268" s="268"/>
      <c r="DU268" s="268"/>
      <c r="DV268" s="268"/>
      <c r="DW268" s="268"/>
      <c r="DX268" s="268"/>
      <c r="DY268" s="268"/>
      <c r="EA268" s="13"/>
      <c r="EB268" s="96"/>
      <c r="EC268" s="96"/>
      <c r="ED268" s="96"/>
      <c r="EE268" s="96"/>
      <c r="EF268" s="96"/>
      <c r="EG268" s="96"/>
      <c r="EH268" s="96"/>
      <c r="EI268" s="96"/>
      <c r="EJ268" s="96"/>
      <c r="EK268" s="96"/>
      <c r="EL268" s="96"/>
      <c r="EM268" s="96"/>
      <c r="EN268" s="96"/>
      <c r="EO268" s="96"/>
      <c r="EP268" s="96"/>
      <c r="EQ268" s="96"/>
      <c r="ER268" s="96"/>
      <c r="ES268" s="96"/>
      <c r="ET268" s="96"/>
      <c r="EU268" s="96"/>
      <c r="EV268" s="96"/>
      <c r="EW268" s="96"/>
      <c r="EX268" s="96"/>
      <c r="EY268" s="96"/>
      <c r="EZ268" s="96"/>
      <c r="FA268" s="96"/>
      <c r="FB268" s="96"/>
      <c r="FC268" s="96"/>
      <c r="FD268" s="96"/>
      <c r="FE268" s="96"/>
      <c r="FF268" s="96"/>
      <c r="FG268" s="96"/>
      <c r="FH268" s="96"/>
      <c r="FI268" s="96"/>
      <c r="FJ268" s="96"/>
      <c r="FK268" s="96"/>
      <c r="FL268" s="96"/>
      <c r="FM268" s="96"/>
      <c r="FN268" s="96"/>
      <c r="FO268" s="96"/>
      <c r="FP268" s="96"/>
      <c r="FQ268" s="96"/>
      <c r="FR268" s="96"/>
      <c r="FS268" s="96"/>
      <c r="FT268" s="96"/>
      <c r="FU268" s="96"/>
      <c r="FV268" s="96"/>
      <c r="FW268" s="96"/>
      <c r="FX268" s="96"/>
      <c r="FY268" s="96"/>
      <c r="FZ268" s="96"/>
      <c r="GA268" s="96"/>
      <c r="GB268" s="96"/>
      <c r="GC268" s="96"/>
      <c r="GD268" s="96"/>
      <c r="GE268" s="96"/>
      <c r="GF268" s="96"/>
      <c r="GG268" s="96"/>
      <c r="GH268" s="96"/>
      <c r="GI268" s="96"/>
      <c r="GJ268" s="96"/>
      <c r="GK268" s="96"/>
      <c r="GL268" s="96"/>
      <c r="GM268" s="13"/>
      <c r="GN268" s="96"/>
      <c r="GO268" s="96"/>
      <c r="GP268" s="96"/>
      <c r="GQ268" s="96"/>
      <c r="GR268" s="96"/>
      <c r="GS268" s="96"/>
      <c r="GT268" s="96"/>
      <c r="GU268" s="96"/>
      <c r="GV268" s="96"/>
      <c r="GW268" s="96"/>
      <c r="GX268" s="96"/>
      <c r="GY268" s="96"/>
      <c r="GZ268" s="96"/>
      <c r="HA268" s="96"/>
      <c r="HB268" s="96"/>
      <c r="HC268" s="13"/>
      <c r="HD268" s="96"/>
      <c r="HE268" s="96"/>
      <c r="HF268" s="96"/>
      <c r="HG268" s="96"/>
      <c r="HH268" s="96"/>
      <c r="HI268" s="96"/>
      <c r="HJ268" s="96"/>
      <c r="HK268" s="96"/>
      <c r="HL268" s="96"/>
      <c r="HM268" s="96"/>
      <c r="HN268" s="96"/>
      <c r="HO268" s="96"/>
      <c r="HP268" s="96"/>
      <c r="HQ268" s="96"/>
      <c r="HR268" s="96"/>
      <c r="HS268" s="13"/>
      <c r="HT268" s="96"/>
      <c r="HU268" s="96"/>
      <c r="HV268" s="96"/>
      <c r="HW268" s="96"/>
      <c r="HX268" s="96"/>
      <c r="HY268" s="96"/>
      <c r="HZ268" s="96"/>
      <c r="IA268" s="96"/>
      <c r="IB268" s="96"/>
      <c r="IC268" s="96"/>
      <c r="ID268" s="96"/>
      <c r="IE268" s="96"/>
      <c r="IF268" s="96"/>
      <c r="IG268" s="96"/>
      <c r="IH268" s="96"/>
      <c r="II268" s="13"/>
      <c r="IJ268" s="96"/>
      <c r="IK268" s="96"/>
      <c r="IL268" s="96"/>
      <c r="IM268" s="96"/>
      <c r="IN268" s="96"/>
      <c r="IO268" s="96"/>
      <c r="IP268" s="96"/>
      <c r="IQ268" s="96"/>
      <c r="IR268" s="96"/>
      <c r="IS268" s="96"/>
      <c r="IT268" s="96"/>
      <c r="IU268" s="96"/>
      <c r="IV268" s="96"/>
      <c r="IW268" s="96"/>
      <c r="IX268" s="96"/>
      <c r="IY268" s="13"/>
    </row>
    <row r="269" spans="1:259" outlineLevel="1">
      <c r="A269" s="11">
        <f>'VAC &amp; MED'!C268</f>
        <v>46249</v>
      </c>
      <c r="B269" s="261"/>
      <c r="C269" s="261"/>
      <c r="D269" s="261"/>
      <c r="E269" s="261"/>
      <c r="F269" s="261"/>
      <c r="G269" s="261"/>
      <c r="H269" s="261"/>
      <c r="I269" s="261"/>
      <c r="J269" s="261"/>
      <c r="K269" s="261"/>
      <c r="L269" s="261"/>
      <c r="M269" s="261"/>
      <c r="N269" s="261"/>
      <c r="O269" s="261"/>
      <c r="P269" s="261"/>
      <c r="Q269" s="261"/>
      <c r="R269" s="262"/>
      <c r="S269" s="262"/>
      <c r="T269" s="262"/>
      <c r="U269" s="262"/>
      <c r="V269" s="262"/>
      <c r="W269" s="262"/>
      <c r="X269" s="262"/>
      <c r="Y269" s="262"/>
      <c r="Z269" s="262"/>
      <c r="AA269" s="262"/>
      <c r="AB269" s="262"/>
      <c r="AC269" s="262"/>
      <c r="AD269" s="262"/>
      <c r="AE269" s="262"/>
      <c r="AF269" s="262"/>
      <c r="AG269" s="262"/>
      <c r="AH269" s="263"/>
      <c r="AI269" s="263"/>
      <c r="AJ269" s="263"/>
      <c r="AK269" s="263"/>
      <c r="AL269" s="263"/>
      <c r="AM269" s="263"/>
      <c r="AN269" s="263"/>
      <c r="AO269" s="263"/>
      <c r="AP269" s="263"/>
      <c r="AQ269" s="263"/>
      <c r="AR269" s="263"/>
      <c r="AS269" s="263"/>
      <c r="AT269" s="263"/>
      <c r="AU269" s="263"/>
      <c r="AV269" s="263"/>
      <c r="AW269" s="263"/>
      <c r="AX269" s="264"/>
      <c r="AY269" s="264"/>
      <c r="AZ269" s="264"/>
      <c r="BA269" s="264"/>
      <c r="BB269" s="264"/>
      <c r="BC269" s="264"/>
      <c r="BD269" s="264"/>
      <c r="BE269" s="264"/>
      <c r="BF269" s="264"/>
      <c r="BG269" s="264"/>
      <c r="BH269" s="264"/>
      <c r="BI269" s="264"/>
      <c r="BJ269" s="264"/>
      <c r="BK269" s="264"/>
      <c r="BL269" s="264"/>
      <c r="BM269" s="264"/>
      <c r="BN269" s="265"/>
      <c r="BO269" s="265"/>
      <c r="BP269" s="265"/>
      <c r="BQ269" s="265"/>
      <c r="BR269" s="265"/>
      <c r="BS269" s="265"/>
      <c r="BT269" s="265"/>
      <c r="BU269" s="265"/>
      <c r="BV269" s="265"/>
      <c r="BW269" s="265"/>
      <c r="BX269" s="265"/>
      <c r="BY269" s="265"/>
      <c r="BZ269" s="265"/>
      <c r="CA269" s="265"/>
      <c r="CB269" s="265"/>
      <c r="CC269" s="265"/>
      <c r="CD269" s="266"/>
      <c r="CE269" s="266"/>
      <c r="CF269" s="266"/>
      <c r="CG269" s="266"/>
      <c r="CH269" s="266"/>
      <c r="CI269" s="266"/>
      <c r="CJ269" s="266"/>
      <c r="CK269" s="266"/>
      <c r="CL269" s="266"/>
      <c r="CM269" s="266"/>
      <c r="CN269" s="266"/>
      <c r="CO269" s="266"/>
      <c r="CP269" s="266"/>
      <c r="CQ269" s="266"/>
      <c r="CR269" s="266"/>
      <c r="CS269" s="266"/>
      <c r="CT269" s="267"/>
      <c r="CU269" s="267"/>
      <c r="CV269" s="267"/>
      <c r="CW269" s="267"/>
      <c r="CX269" s="267"/>
      <c r="CY269" s="267"/>
      <c r="CZ269" s="267"/>
      <c r="DA269" s="267"/>
      <c r="DB269" s="267"/>
      <c r="DC269" s="267"/>
      <c r="DD269" s="267"/>
      <c r="DE269" s="267"/>
      <c r="DF269" s="267"/>
      <c r="DG269" s="267"/>
      <c r="DH269" s="267">
        <v>30</v>
      </c>
      <c r="DI269" s="267"/>
      <c r="DJ269" s="268"/>
      <c r="DK269" s="268"/>
      <c r="DL269" s="268"/>
      <c r="DM269" s="268"/>
      <c r="DN269" s="268"/>
      <c r="DO269" s="268"/>
      <c r="DP269" s="268"/>
      <c r="DQ269" s="268"/>
      <c r="DR269" s="268"/>
      <c r="DS269" s="268"/>
      <c r="DT269" s="268"/>
      <c r="DU269" s="268"/>
      <c r="DV269" s="268"/>
      <c r="DW269" s="268"/>
      <c r="DX269" s="268"/>
      <c r="DY269" s="268"/>
      <c r="EA269" s="13"/>
      <c r="EB269" s="96"/>
      <c r="EC269" s="96"/>
      <c r="ED269" s="96"/>
      <c r="EE269" s="96"/>
      <c r="EF269" s="96"/>
      <c r="EG269" s="96"/>
      <c r="EH269" s="96"/>
      <c r="EI269" s="96"/>
      <c r="EJ269" s="96"/>
      <c r="EK269" s="96"/>
      <c r="EL269" s="96"/>
      <c r="EM269" s="96"/>
      <c r="EN269" s="96"/>
      <c r="EO269" s="96"/>
      <c r="EP269" s="96"/>
      <c r="EQ269" s="96"/>
      <c r="ER269" s="96"/>
      <c r="ES269" s="96"/>
      <c r="ET269" s="96"/>
      <c r="EU269" s="96"/>
      <c r="EV269" s="96"/>
      <c r="EW269" s="96"/>
      <c r="EX269" s="96"/>
      <c r="EY269" s="96"/>
      <c r="EZ269" s="96"/>
      <c r="FA269" s="96"/>
      <c r="FB269" s="96"/>
      <c r="FC269" s="96"/>
      <c r="FD269" s="96"/>
      <c r="FE269" s="96"/>
      <c r="FF269" s="96"/>
      <c r="FG269" s="96"/>
      <c r="FH269" s="96"/>
      <c r="FI269" s="96"/>
      <c r="FJ269" s="96"/>
      <c r="FK269" s="96"/>
      <c r="FL269" s="96"/>
      <c r="FM269" s="96"/>
      <c r="FN269" s="96"/>
      <c r="FO269" s="96"/>
      <c r="FP269" s="96"/>
      <c r="FQ269" s="96"/>
      <c r="FR269" s="96"/>
      <c r="FS269" s="96"/>
      <c r="FT269" s="96"/>
      <c r="FU269" s="96"/>
      <c r="FV269" s="96"/>
      <c r="FW269" s="96"/>
      <c r="FX269" s="96"/>
      <c r="FY269" s="96"/>
      <c r="FZ269" s="96"/>
      <c r="GA269" s="96"/>
      <c r="GB269" s="96"/>
      <c r="GC269" s="96"/>
      <c r="GD269" s="96"/>
      <c r="GE269" s="96"/>
      <c r="GF269" s="96"/>
      <c r="GG269" s="96"/>
      <c r="GH269" s="96"/>
      <c r="GI269" s="96"/>
      <c r="GJ269" s="96"/>
      <c r="GK269" s="96"/>
      <c r="GL269" s="96"/>
      <c r="GM269" s="13"/>
      <c r="GN269" s="96"/>
      <c r="GO269" s="96"/>
      <c r="GP269" s="96"/>
      <c r="GQ269" s="96"/>
      <c r="GR269" s="96"/>
      <c r="GS269" s="96"/>
      <c r="GT269" s="96"/>
      <c r="GU269" s="96"/>
      <c r="GV269" s="96"/>
      <c r="GW269" s="96"/>
      <c r="GX269" s="96"/>
      <c r="GY269" s="96"/>
      <c r="GZ269" s="96"/>
      <c r="HA269" s="96"/>
      <c r="HB269" s="96"/>
      <c r="HC269" s="13"/>
      <c r="HD269" s="96"/>
      <c r="HE269" s="96"/>
      <c r="HF269" s="96"/>
      <c r="HG269" s="96"/>
      <c r="HH269" s="96"/>
      <c r="HI269" s="96"/>
      <c r="HJ269" s="96"/>
      <c r="HK269" s="96"/>
      <c r="HL269" s="96"/>
      <c r="HM269" s="96"/>
      <c r="HN269" s="96"/>
      <c r="HO269" s="96"/>
      <c r="HP269" s="96"/>
      <c r="HQ269" s="96"/>
      <c r="HR269" s="96"/>
      <c r="HS269" s="13"/>
      <c r="HT269" s="96"/>
      <c r="HU269" s="96"/>
      <c r="HV269" s="96"/>
      <c r="HW269" s="96"/>
      <c r="HX269" s="96"/>
      <c r="HY269" s="96"/>
      <c r="HZ269" s="96"/>
      <c r="IA269" s="96"/>
      <c r="IB269" s="96"/>
      <c r="IC269" s="96"/>
      <c r="ID269" s="96"/>
      <c r="IE269" s="96"/>
      <c r="IF269" s="96"/>
      <c r="IG269" s="96"/>
      <c r="IH269" s="96"/>
      <c r="II269" s="13"/>
      <c r="IJ269" s="96"/>
      <c r="IK269" s="96"/>
      <c r="IL269" s="96"/>
      <c r="IM269" s="96"/>
      <c r="IN269" s="96"/>
      <c r="IO269" s="96"/>
      <c r="IP269" s="96"/>
      <c r="IQ269" s="96"/>
      <c r="IR269" s="96"/>
      <c r="IS269" s="96"/>
      <c r="IT269" s="96"/>
      <c r="IU269" s="96"/>
      <c r="IV269" s="96"/>
      <c r="IW269" s="96"/>
      <c r="IX269" s="96"/>
      <c r="IY269" s="13"/>
    </row>
    <row r="270" spans="1:259" outlineLevel="1">
      <c r="A270" s="11">
        <f>'VAC &amp; MED'!C269</f>
        <v>46250</v>
      </c>
      <c r="B270" s="261"/>
      <c r="C270" s="261"/>
      <c r="D270" s="261"/>
      <c r="E270" s="261"/>
      <c r="F270" s="261"/>
      <c r="G270" s="261"/>
      <c r="H270" s="261"/>
      <c r="I270" s="261"/>
      <c r="J270" s="261"/>
      <c r="K270" s="261"/>
      <c r="L270" s="261"/>
      <c r="M270" s="261"/>
      <c r="N270" s="261"/>
      <c r="O270" s="261"/>
      <c r="P270" s="261"/>
      <c r="Q270" s="261"/>
      <c r="R270" s="262"/>
      <c r="S270" s="262"/>
      <c r="T270" s="262"/>
      <c r="U270" s="262"/>
      <c r="V270" s="262"/>
      <c r="W270" s="262"/>
      <c r="X270" s="262"/>
      <c r="Y270" s="262"/>
      <c r="Z270" s="262"/>
      <c r="AA270" s="262"/>
      <c r="AB270" s="262"/>
      <c r="AC270" s="262"/>
      <c r="AD270" s="262"/>
      <c r="AE270" s="262"/>
      <c r="AF270" s="262"/>
      <c r="AG270" s="262"/>
      <c r="AH270" s="263"/>
      <c r="AI270" s="263"/>
      <c r="AJ270" s="263"/>
      <c r="AK270" s="263"/>
      <c r="AL270" s="263"/>
      <c r="AM270" s="263"/>
      <c r="AN270" s="263"/>
      <c r="AO270" s="263"/>
      <c r="AP270" s="263"/>
      <c r="AQ270" s="263"/>
      <c r="AR270" s="263"/>
      <c r="AS270" s="263"/>
      <c r="AT270" s="263"/>
      <c r="AU270" s="263"/>
      <c r="AV270" s="263"/>
      <c r="AW270" s="263"/>
      <c r="AX270" s="264"/>
      <c r="AY270" s="264"/>
      <c r="AZ270" s="264"/>
      <c r="BA270" s="264"/>
      <c r="BB270" s="264"/>
      <c r="BC270" s="264"/>
      <c r="BD270" s="264"/>
      <c r="BE270" s="264"/>
      <c r="BF270" s="264"/>
      <c r="BG270" s="264"/>
      <c r="BH270" s="264"/>
      <c r="BI270" s="264"/>
      <c r="BJ270" s="264"/>
      <c r="BK270" s="264"/>
      <c r="BL270" s="264"/>
      <c r="BM270" s="264"/>
      <c r="BN270" s="265"/>
      <c r="BO270" s="265"/>
      <c r="BP270" s="265"/>
      <c r="BQ270" s="265"/>
      <c r="BR270" s="265"/>
      <c r="BS270" s="265"/>
      <c r="BT270" s="265"/>
      <c r="BU270" s="265"/>
      <c r="BV270" s="265"/>
      <c r="BW270" s="265"/>
      <c r="BX270" s="265"/>
      <c r="BY270" s="265"/>
      <c r="BZ270" s="265"/>
      <c r="CA270" s="265"/>
      <c r="CB270" s="265"/>
      <c r="CC270" s="265"/>
      <c r="CD270" s="266"/>
      <c r="CE270" s="266"/>
      <c r="CF270" s="266"/>
      <c r="CG270" s="266"/>
      <c r="CH270" s="266"/>
      <c r="CI270" s="266"/>
      <c r="CJ270" s="266"/>
      <c r="CK270" s="266"/>
      <c r="CL270" s="266"/>
      <c r="CM270" s="266"/>
      <c r="CN270" s="266"/>
      <c r="CO270" s="266"/>
      <c r="CP270" s="266"/>
      <c r="CQ270" s="266"/>
      <c r="CR270" s="266"/>
      <c r="CS270" s="266"/>
      <c r="CT270" s="267"/>
      <c r="CU270" s="267"/>
      <c r="CV270" s="267"/>
      <c r="CW270" s="267"/>
      <c r="CX270" s="267"/>
      <c r="CY270" s="267"/>
      <c r="CZ270" s="267"/>
      <c r="DA270" s="267"/>
      <c r="DB270" s="267"/>
      <c r="DC270" s="267"/>
      <c r="DD270" s="267"/>
      <c r="DE270" s="267"/>
      <c r="DF270" s="267"/>
      <c r="DG270" s="267"/>
      <c r="DH270" s="267"/>
      <c r="DI270" s="267"/>
      <c r="DJ270" s="268"/>
      <c r="DK270" s="268"/>
      <c r="DL270" s="268"/>
      <c r="DM270" s="268"/>
      <c r="DN270" s="268"/>
      <c r="DO270" s="268"/>
      <c r="DP270" s="268"/>
      <c r="DQ270" s="268"/>
      <c r="DR270" s="268"/>
      <c r="DS270" s="268"/>
      <c r="DT270" s="268"/>
      <c r="DU270" s="268"/>
      <c r="DV270" s="268"/>
      <c r="DW270" s="268"/>
      <c r="DX270" s="268"/>
      <c r="DY270" s="268"/>
      <c r="EA270" s="13"/>
      <c r="EB270" s="96"/>
      <c r="EC270" s="96"/>
      <c r="ED270" s="96"/>
      <c r="EE270" s="96"/>
      <c r="EF270" s="96"/>
      <c r="EG270" s="96"/>
      <c r="EH270" s="96"/>
      <c r="EI270" s="96"/>
      <c r="EJ270" s="96"/>
      <c r="EK270" s="96"/>
      <c r="EL270" s="96"/>
      <c r="EM270" s="96"/>
      <c r="EN270" s="96"/>
      <c r="EO270" s="96"/>
      <c r="EP270" s="96"/>
      <c r="EQ270" s="96"/>
      <c r="ER270" s="96"/>
      <c r="ES270" s="96"/>
      <c r="ET270" s="96"/>
      <c r="EU270" s="96"/>
      <c r="EV270" s="96"/>
      <c r="EW270" s="96"/>
      <c r="EX270" s="96"/>
      <c r="EY270" s="96"/>
      <c r="EZ270" s="96"/>
      <c r="FA270" s="96"/>
      <c r="FB270" s="96"/>
      <c r="FC270" s="96"/>
      <c r="FD270" s="96"/>
      <c r="FE270" s="96"/>
      <c r="FF270" s="96"/>
      <c r="FG270" s="96"/>
      <c r="FH270" s="96"/>
      <c r="FI270" s="96"/>
      <c r="FJ270" s="96"/>
      <c r="FK270" s="96"/>
      <c r="FL270" s="96"/>
      <c r="FM270" s="96"/>
      <c r="FN270" s="96"/>
      <c r="FO270" s="96"/>
      <c r="FP270" s="96"/>
      <c r="FQ270" s="96"/>
      <c r="FR270" s="96"/>
      <c r="FS270" s="96"/>
      <c r="FT270" s="96"/>
      <c r="FU270" s="96"/>
      <c r="FV270" s="96"/>
      <c r="FW270" s="96"/>
      <c r="FX270" s="96"/>
      <c r="FY270" s="96"/>
      <c r="FZ270" s="96"/>
      <c r="GA270" s="96"/>
      <c r="GB270" s="96"/>
      <c r="GC270" s="96"/>
      <c r="GD270" s="96"/>
      <c r="GE270" s="96"/>
      <c r="GF270" s="96"/>
      <c r="GG270" s="96"/>
      <c r="GH270" s="96"/>
      <c r="GI270" s="96"/>
      <c r="GJ270" s="96"/>
      <c r="GK270" s="96"/>
      <c r="GL270" s="96"/>
      <c r="GM270" s="13"/>
      <c r="GN270" s="96"/>
      <c r="GO270" s="96"/>
      <c r="GP270" s="96"/>
      <c r="GQ270" s="96"/>
      <c r="GR270" s="96"/>
      <c r="GS270" s="96"/>
      <c r="GT270" s="96"/>
      <c r="GU270" s="96"/>
      <c r="GV270" s="96"/>
      <c r="GW270" s="96"/>
      <c r="GX270" s="96"/>
      <c r="GY270" s="96"/>
      <c r="GZ270" s="96"/>
      <c r="HA270" s="96"/>
      <c r="HB270" s="96"/>
      <c r="HC270" s="13"/>
      <c r="HD270" s="96"/>
      <c r="HE270" s="96"/>
      <c r="HF270" s="96"/>
      <c r="HG270" s="96"/>
      <c r="HH270" s="96"/>
      <c r="HI270" s="96"/>
      <c r="HJ270" s="96"/>
      <c r="HK270" s="96"/>
      <c r="HL270" s="96"/>
      <c r="HM270" s="96"/>
      <c r="HN270" s="96"/>
      <c r="HO270" s="96"/>
      <c r="HP270" s="96"/>
      <c r="HQ270" s="96"/>
      <c r="HR270" s="96"/>
      <c r="HS270" s="13"/>
      <c r="HT270" s="96"/>
      <c r="HU270" s="96"/>
      <c r="HV270" s="96"/>
      <c r="HW270" s="96"/>
      <c r="HX270" s="96"/>
      <c r="HY270" s="96"/>
      <c r="HZ270" s="96"/>
      <c r="IA270" s="96"/>
      <c r="IB270" s="96"/>
      <c r="IC270" s="96"/>
      <c r="ID270" s="96"/>
      <c r="IE270" s="96"/>
      <c r="IF270" s="96"/>
      <c r="IG270" s="96"/>
      <c r="IH270" s="96"/>
      <c r="II270" s="13"/>
      <c r="IJ270" s="96"/>
      <c r="IK270" s="96"/>
      <c r="IL270" s="96"/>
      <c r="IM270" s="96"/>
      <c r="IN270" s="96"/>
      <c r="IO270" s="96"/>
      <c r="IP270" s="96"/>
      <c r="IQ270" s="96"/>
      <c r="IR270" s="96"/>
      <c r="IS270" s="96"/>
      <c r="IT270" s="96"/>
      <c r="IU270" s="96"/>
      <c r="IV270" s="96"/>
      <c r="IW270" s="96"/>
      <c r="IX270" s="96"/>
      <c r="IY270" s="13"/>
    </row>
    <row r="271" spans="1:259" outlineLevel="1">
      <c r="A271" s="11">
        <f>'VAC &amp; MED'!C270</f>
        <v>46251</v>
      </c>
      <c r="B271" s="261"/>
      <c r="C271" s="261"/>
      <c r="D271" s="261"/>
      <c r="E271" s="261"/>
      <c r="F271" s="261"/>
      <c r="G271" s="261"/>
      <c r="H271" s="261"/>
      <c r="I271" s="261"/>
      <c r="J271" s="261"/>
      <c r="K271" s="261"/>
      <c r="L271" s="261"/>
      <c r="M271" s="261"/>
      <c r="N271" s="261"/>
      <c r="O271" s="261"/>
      <c r="P271" s="261"/>
      <c r="Q271" s="261"/>
      <c r="R271" s="262"/>
      <c r="S271" s="262"/>
      <c r="T271" s="262"/>
      <c r="U271" s="262"/>
      <c r="V271" s="262"/>
      <c r="W271" s="262"/>
      <c r="X271" s="262"/>
      <c r="Y271" s="262"/>
      <c r="Z271" s="262"/>
      <c r="AA271" s="262"/>
      <c r="AB271" s="262"/>
      <c r="AC271" s="262"/>
      <c r="AD271" s="262"/>
      <c r="AE271" s="262"/>
      <c r="AF271" s="262"/>
      <c r="AG271" s="262"/>
      <c r="AH271" s="263"/>
      <c r="AI271" s="263"/>
      <c r="AJ271" s="263"/>
      <c r="AK271" s="263"/>
      <c r="AL271" s="263"/>
      <c r="AM271" s="263"/>
      <c r="AN271" s="263"/>
      <c r="AO271" s="263"/>
      <c r="AP271" s="263"/>
      <c r="AQ271" s="263"/>
      <c r="AR271" s="263"/>
      <c r="AS271" s="263"/>
      <c r="AT271" s="263"/>
      <c r="AU271" s="263"/>
      <c r="AV271" s="263"/>
      <c r="AW271" s="263"/>
      <c r="AX271" s="264"/>
      <c r="AY271" s="264"/>
      <c r="AZ271" s="264"/>
      <c r="BA271" s="264"/>
      <c r="BB271" s="264"/>
      <c r="BC271" s="264"/>
      <c r="BD271" s="264"/>
      <c r="BE271" s="264"/>
      <c r="BF271" s="264"/>
      <c r="BG271" s="264"/>
      <c r="BH271" s="264"/>
      <c r="BI271" s="264"/>
      <c r="BJ271" s="264"/>
      <c r="BK271" s="264"/>
      <c r="BL271" s="264"/>
      <c r="BM271" s="264"/>
      <c r="BN271" s="265"/>
      <c r="BO271" s="265"/>
      <c r="BP271" s="265"/>
      <c r="BQ271" s="265"/>
      <c r="BR271" s="265"/>
      <c r="BS271" s="265"/>
      <c r="BT271" s="265"/>
      <c r="BU271" s="265"/>
      <c r="BV271" s="265"/>
      <c r="BW271" s="265"/>
      <c r="BX271" s="265"/>
      <c r="BY271" s="265"/>
      <c r="BZ271" s="265"/>
      <c r="CA271" s="265"/>
      <c r="CB271" s="265"/>
      <c r="CC271" s="265"/>
      <c r="CD271" s="266"/>
      <c r="CE271" s="266"/>
      <c r="CF271" s="266"/>
      <c r="CG271" s="266"/>
      <c r="CH271" s="266"/>
      <c r="CI271" s="266"/>
      <c r="CJ271" s="266"/>
      <c r="CK271" s="266"/>
      <c r="CL271" s="266"/>
      <c r="CM271" s="266"/>
      <c r="CN271" s="266"/>
      <c r="CO271" s="266"/>
      <c r="CP271" s="266"/>
      <c r="CQ271" s="266"/>
      <c r="CR271" s="266"/>
      <c r="CS271" s="266"/>
      <c r="CT271" s="267"/>
      <c r="CU271" s="267"/>
      <c r="CV271" s="267"/>
      <c r="CW271" s="267"/>
      <c r="CX271" s="267"/>
      <c r="CY271" s="267"/>
      <c r="CZ271" s="267"/>
      <c r="DA271" s="267"/>
      <c r="DB271" s="267"/>
      <c r="DC271" s="267"/>
      <c r="DD271" s="267"/>
      <c r="DE271" s="267"/>
      <c r="DF271" s="267"/>
      <c r="DG271" s="267"/>
      <c r="DH271" s="267"/>
      <c r="DI271" s="267"/>
      <c r="DJ271" s="268"/>
      <c r="DK271" s="268"/>
      <c r="DL271" s="268"/>
      <c r="DM271" s="268"/>
      <c r="DN271" s="268"/>
      <c r="DO271" s="268"/>
      <c r="DP271" s="268"/>
      <c r="DQ271" s="268"/>
      <c r="DR271" s="268"/>
      <c r="DS271" s="268"/>
      <c r="DT271" s="268"/>
      <c r="DU271" s="268"/>
      <c r="DV271" s="268"/>
      <c r="DW271" s="268"/>
      <c r="DX271" s="268"/>
      <c r="DY271" s="268"/>
      <c r="EA271" s="13"/>
      <c r="EB271" s="96"/>
      <c r="EC271" s="96"/>
      <c r="ED271" s="96"/>
      <c r="EE271" s="96"/>
      <c r="EF271" s="96"/>
      <c r="EG271" s="96"/>
      <c r="EH271" s="96"/>
      <c r="EI271" s="96"/>
      <c r="EJ271" s="96"/>
      <c r="EK271" s="96"/>
      <c r="EL271" s="96"/>
      <c r="EM271" s="96"/>
      <c r="EN271" s="96"/>
      <c r="EO271" s="96"/>
      <c r="EP271" s="96"/>
      <c r="EQ271" s="96"/>
      <c r="ER271" s="96"/>
      <c r="ES271" s="96"/>
      <c r="ET271" s="96"/>
      <c r="EU271" s="96"/>
      <c r="EV271" s="96"/>
      <c r="EW271" s="96"/>
      <c r="EX271" s="96"/>
      <c r="EY271" s="96"/>
      <c r="EZ271" s="96"/>
      <c r="FA271" s="96"/>
      <c r="FB271" s="96"/>
      <c r="FC271" s="96"/>
      <c r="FD271" s="96"/>
      <c r="FE271" s="96"/>
      <c r="FF271" s="96"/>
      <c r="FG271" s="96"/>
      <c r="FH271" s="96"/>
      <c r="FI271" s="96"/>
      <c r="FJ271" s="96"/>
      <c r="FK271" s="96"/>
      <c r="FL271" s="96"/>
      <c r="FM271" s="96"/>
      <c r="FN271" s="96"/>
      <c r="FO271" s="96"/>
      <c r="FP271" s="96"/>
      <c r="FQ271" s="96"/>
      <c r="FR271" s="96"/>
      <c r="FS271" s="96"/>
      <c r="FT271" s="96"/>
      <c r="FU271" s="96"/>
      <c r="FV271" s="96"/>
      <c r="FW271" s="96"/>
      <c r="FX271" s="96"/>
      <c r="FY271" s="96"/>
      <c r="FZ271" s="96"/>
      <c r="GA271" s="96"/>
      <c r="GB271" s="96"/>
      <c r="GC271" s="96"/>
      <c r="GD271" s="96"/>
      <c r="GE271" s="96"/>
      <c r="GF271" s="96"/>
      <c r="GG271" s="96"/>
      <c r="GH271" s="96"/>
      <c r="GI271" s="96"/>
      <c r="GJ271" s="96"/>
      <c r="GK271" s="96"/>
      <c r="GL271" s="96"/>
      <c r="GM271" s="13"/>
      <c r="GN271" s="96"/>
      <c r="GO271" s="96"/>
      <c r="GP271" s="96"/>
      <c r="GQ271" s="96"/>
      <c r="GR271" s="96"/>
      <c r="GS271" s="96"/>
      <c r="GT271" s="96"/>
      <c r="GU271" s="96"/>
      <c r="GV271" s="96"/>
      <c r="GW271" s="96"/>
      <c r="GX271" s="96"/>
      <c r="GY271" s="96"/>
      <c r="GZ271" s="96"/>
      <c r="HA271" s="96"/>
      <c r="HB271" s="96"/>
      <c r="HC271" s="13"/>
      <c r="HD271" s="96"/>
      <c r="HE271" s="96"/>
      <c r="HF271" s="96"/>
      <c r="HG271" s="96"/>
      <c r="HH271" s="96"/>
      <c r="HI271" s="96"/>
      <c r="HJ271" s="96"/>
      <c r="HK271" s="96"/>
      <c r="HL271" s="96"/>
      <c r="HM271" s="96"/>
      <c r="HN271" s="96"/>
      <c r="HO271" s="96"/>
      <c r="HP271" s="96"/>
      <c r="HQ271" s="96"/>
      <c r="HR271" s="96"/>
      <c r="HS271" s="13"/>
      <c r="HT271" s="96"/>
      <c r="HU271" s="96"/>
      <c r="HV271" s="96"/>
      <c r="HW271" s="96"/>
      <c r="HX271" s="96"/>
      <c r="HY271" s="96"/>
      <c r="HZ271" s="96"/>
      <c r="IA271" s="96"/>
      <c r="IB271" s="96"/>
      <c r="IC271" s="96"/>
      <c r="ID271" s="96"/>
      <c r="IE271" s="96"/>
      <c r="IF271" s="96"/>
      <c r="IG271" s="96"/>
      <c r="IH271" s="96"/>
      <c r="II271" s="13"/>
      <c r="IJ271" s="96"/>
      <c r="IK271" s="96"/>
      <c r="IL271" s="96"/>
      <c r="IM271" s="96"/>
      <c r="IN271" s="96"/>
      <c r="IO271" s="96"/>
      <c r="IP271" s="96"/>
      <c r="IQ271" s="96"/>
      <c r="IR271" s="96"/>
      <c r="IS271" s="96"/>
      <c r="IT271" s="96"/>
      <c r="IU271" s="96"/>
      <c r="IV271" s="96"/>
      <c r="IW271" s="96"/>
      <c r="IX271" s="96"/>
      <c r="IY271" s="13"/>
    </row>
    <row r="272" spans="1:259" outlineLevel="1">
      <c r="A272" s="11">
        <f>'VAC &amp; MED'!C271</f>
        <v>46252</v>
      </c>
      <c r="B272" s="261"/>
      <c r="C272" s="261"/>
      <c r="D272" s="261"/>
      <c r="E272" s="261"/>
      <c r="F272" s="261"/>
      <c r="G272" s="261"/>
      <c r="H272" s="261"/>
      <c r="I272" s="261"/>
      <c r="J272" s="261"/>
      <c r="K272" s="261"/>
      <c r="L272" s="261"/>
      <c r="M272" s="261"/>
      <c r="N272" s="261"/>
      <c r="O272" s="261"/>
      <c r="P272" s="261"/>
      <c r="Q272" s="261"/>
      <c r="R272" s="262"/>
      <c r="S272" s="262"/>
      <c r="T272" s="262"/>
      <c r="U272" s="262"/>
      <c r="V272" s="262"/>
      <c r="W272" s="262"/>
      <c r="X272" s="262"/>
      <c r="Y272" s="262"/>
      <c r="Z272" s="262"/>
      <c r="AA272" s="262"/>
      <c r="AB272" s="262"/>
      <c r="AC272" s="262"/>
      <c r="AD272" s="262"/>
      <c r="AE272" s="262"/>
      <c r="AF272" s="262"/>
      <c r="AG272" s="262"/>
      <c r="AH272" s="263"/>
      <c r="AI272" s="263"/>
      <c r="AJ272" s="263"/>
      <c r="AK272" s="263"/>
      <c r="AL272" s="263"/>
      <c r="AM272" s="263"/>
      <c r="AN272" s="263"/>
      <c r="AO272" s="263"/>
      <c r="AP272" s="263"/>
      <c r="AQ272" s="263"/>
      <c r="AR272" s="263"/>
      <c r="AS272" s="263"/>
      <c r="AT272" s="263"/>
      <c r="AU272" s="263"/>
      <c r="AV272" s="263"/>
      <c r="AW272" s="263"/>
      <c r="AX272" s="264"/>
      <c r="AY272" s="264"/>
      <c r="AZ272" s="264"/>
      <c r="BA272" s="264"/>
      <c r="BB272" s="264"/>
      <c r="BC272" s="264"/>
      <c r="BD272" s="264"/>
      <c r="BE272" s="264"/>
      <c r="BF272" s="264"/>
      <c r="BG272" s="264"/>
      <c r="BH272" s="264"/>
      <c r="BI272" s="264"/>
      <c r="BJ272" s="264"/>
      <c r="BK272" s="264"/>
      <c r="BL272" s="264"/>
      <c r="BM272" s="264"/>
      <c r="BN272" s="265"/>
      <c r="BO272" s="265"/>
      <c r="BP272" s="265">
        <v>40</v>
      </c>
      <c r="BQ272" s="265"/>
      <c r="BR272" s="265"/>
      <c r="BS272" s="265"/>
      <c r="BT272" s="265"/>
      <c r="BU272" s="265"/>
      <c r="BV272" s="265"/>
      <c r="BW272" s="265"/>
      <c r="BX272" s="265"/>
      <c r="BY272" s="265"/>
      <c r="BZ272" s="265"/>
      <c r="CA272" s="265"/>
      <c r="CB272" s="265"/>
      <c r="CC272" s="265"/>
      <c r="CD272" s="266"/>
      <c r="CE272" s="266"/>
      <c r="CF272" s="266"/>
      <c r="CG272" s="266"/>
      <c r="CH272" s="266"/>
      <c r="CI272" s="266"/>
      <c r="CJ272" s="266"/>
      <c r="CK272" s="266"/>
      <c r="CL272" s="266"/>
      <c r="CM272" s="266"/>
      <c r="CN272" s="266"/>
      <c r="CO272" s="266"/>
      <c r="CP272" s="266"/>
      <c r="CQ272" s="266"/>
      <c r="CR272" s="266"/>
      <c r="CS272" s="266"/>
      <c r="CT272" s="267"/>
      <c r="CU272" s="267"/>
      <c r="CV272" s="267"/>
      <c r="CW272" s="267"/>
      <c r="CX272" s="267"/>
      <c r="CY272" s="267"/>
      <c r="CZ272" s="267"/>
      <c r="DA272" s="267"/>
      <c r="DB272" s="267"/>
      <c r="DC272" s="267"/>
      <c r="DD272" s="267"/>
      <c r="DE272" s="267"/>
      <c r="DF272" s="267"/>
      <c r="DG272" s="267"/>
      <c r="DH272" s="267">
        <v>22</v>
      </c>
      <c r="DI272" s="267"/>
      <c r="DJ272" s="268"/>
      <c r="DK272" s="268"/>
      <c r="DL272" s="268"/>
      <c r="DM272" s="268"/>
      <c r="DN272" s="268"/>
      <c r="DO272" s="268"/>
      <c r="DP272" s="268"/>
      <c r="DQ272" s="268"/>
      <c r="DR272" s="268"/>
      <c r="DS272" s="268"/>
      <c r="DT272" s="268"/>
      <c r="DU272" s="268"/>
      <c r="DV272" s="268"/>
      <c r="DW272" s="268"/>
      <c r="DX272" s="268"/>
      <c r="DY272" s="268"/>
      <c r="EA272" s="13"/>
      <c r="EB272" s="96"/>
      <c r="EC272" s="96"/>
      <c r="ED272" s="96"/>
      <c r="EE272" s="96"/>
      <c r="EF272" s="96"/>
      <c r="EG272" s="96"/>
      <c r="EH272" s="96"/>
      <c r="EI272" s="96"/>
      <c r="EJ272" s="96"/>
      <c r="EK272" s="96"/>
      <c r="EL272" s="96"/>
      <c r="EM272" s="96"/>
      <c r="EN272" s="96"/>
      <c r="EO272" s="96"/>
      <c r="EP272" s="96"/>
      <c r="EQ272" s="96"/>
      <c r="ER272" s="96"/>
      <c r="ES272" s="96"/>
      <c r="ET272" s="96"/>
      <c r="EU272" s="96"/>
      <c r="EV272" s="96"/>
      <c r="EW272" s="96"/>
      <c r="EX272" s="96"/>
      <c r="EY272" s="96"/>
      <c r="EZ272" s="96"/>
      <c r="FA272" s="96"/>
      <c r="FB272" s="96"/>
      <c r="FC272" s="96"/>
      <c r="FD272" s="96"/>
      <c r="FE272" s="96"/>
      <c r="FF272" s="96"/>
      <c r="FG272" s="96"/>
      <c r="FH272" s="96"/>
      <c r="FI272" s="96"/>
      <c r="FJ272" s="96"/>
      <c r="FK272" s="96"/>
      <c r="FL272" s="96"/>
      <c r="FM272" s="96"/>
      <c r="FN272" s="96"/>
      <c r="FO272" s="96"/>
      <c r="FP272" s="96"/>
      <c r="FQ272" s="96"/>
      <c r="FR272" s="96"/>
      <c r="FS272" s="96"/>
      <c r="FT272" s="96"/>
      <c r="FU272" s="96"/>
      <c r="FV272" s="96"/>
      <c r="FW272" s="96"/>
      <c r="FX272" s="96"/>
      <c r="FY272" s="96"/>
      <c r="FZ272" s="96"/>
      <c r="GA272" s="96"/>
      <c r="GB272" s="96"/>
      <c r="GC272" s="96"/>
      <c r="GD272" s="96"/>
      <c r="GE272" s="96"/>
      <c r="GF272" s="96"/>
      <c r="GG272" s="96"/>
      <c r="GH272" s="96"/>
      <c r="GI272" s="96"/>
      <c r="GJ272" s="96"/>
      <c r="GK272" s="96"/>
      <c r="GL272" s="96"/>
      <c r="GM272" s="13"/>
      <c r="GN272" s="96"/>
      <c r="GO272" s="96"/>
      <c r="GP272" s="96"/>
      <c r="GQ272" s="96"/>
      <c r="GR272" s="96"/>
      <c r="GS272" s="96"/>
      <c r="GT272" s="96"/>
      <c r="GU272" s="96"/>
      <c r="GV272" s="96"/>
      <c r="GW272" s="96"/>
      <c r="GX272" s="96"/>
      <c r="GY272" s="96"/>
      <c r="GZ272" s="96"/>
      <c r="HA272" s="96"/>
      <c r="HB272" s="96"/>
      <c r="HC272" s="13"/>
      <c r="HD272" s="96"/>
      <c r="HE272" s="96"/>
      <c r="HF272" s="96"/>
      <c r="HG272" s="96"/>
      <c r="HH272" s="96"/>
      <c r="HI272" s="96"/>
      <c r="HJ272" s="96"/>
      <c r="HK272" s="96"/>
      <c r="HL272" s="96"/>
      <c r="HM272" s="96"/>
      <c r="HN272" s="96"/>
      <c r="HO272" s="96"/>
      <c r="HP272" s="96"/>
      <c r="HQ272" s="96"/>
      <c r="HR272" s="96"/>
      <c r="HS272" s="13"/>
      <c r="HT272" s="96"/>
      <c r="HU272" s="96"/>
      <c r="HV272" s="96"/>
      <c r="HW272" s="96"/>
      <c r="HX272" s="96"/>
      <c r="HY272" s="96"/>
      <c r="HZ272" s="96"/>
      <c r="IA272" s="96"/>
      <c r="IB272" s="96"/>
      <c r="IC272" s="96"/>
      <c r="ID272" s="96"/>
      <c r="IE272" s="96"/>
      <c r="IF272" s="96"/>
      <c r="IG272" s="96"/>
      <c r="IH272" s="96"/>
      <c r="II272" s="13"/>
      <c r="IJ272" s="96"/>
      <c r="IK272" s="96"/>
      <c r="IL272" s="96"/>
      <c r="IM272" s="96"/>
      <c r="IN272" s="96"/>
      <c r="IO272" s="96"/>
      <c r="IP272" s="96"/>
      <c r="IQ272" s="96"/>
      <c r="IR272" s="96"/>
      <c r="IS272" s="96"/>
      <c r="IT272" s="96"/>
      <c r="IU272" s="96"/>
      <c r="IV272" s="96"/>
      <c r="IW272" s="96"/>
      <c r="IX272" s="96"/>
      <c r="IY272" s="13"/>
    </row>
    <row r="273" spans="1:259" outlineLevel="1">
      <c r="A273" s="11">
        <f>'VAC &amp; MED'!C272</f>
        <v>46253</v>
      </c>
      <c r="B273" s="261"/>
      <c r="C273" s="261"/>
      <c r="D273" s="261"/>
      <c r="E273" s="261"/>
      <c r="F273" s="261"/>
      <c r="G273" s="261"/>
      <c r="H273" s="261"/>
      <c r="I273" s="261"/>
      <c r="J273" s="261"/>
      <c r="K273" s="261"/>
      <c r="L273" s="261"/>
      <c r="M273" s="261"/>
      <c r="N273" s="261"/>
      <c r="O273" s="261"/>
      <c r="P273" s="261"/>
      <c r="Q273" s="261"/>
      <c r="R273" s="262"/>
      <c r="S273" s="262">
        <v>20</v>
      </c>
      <c r="T273" s="262"/>
      <c r="U273" s="262"/>
      <c r="V273" s="262"/>
      <c r="W273" s="262"/>
      <c r="X273" s="262"/>
      <c r="Y273" s="262"/>
      <c r="Z273" s="262"/>
      <c r="AA273" s="262"/>
      <c r="AB273" s="262"/>
      <c r="AC273" s="262"/>
      <c r="AD273" s="262"/>
      <c r="AE273" s="262"/>
      <c r="AF273" s="262"/>
      <c r="AG273" s="262"/>
      <c r="AH273" s="263"/>
      <c r="AI273" s="263">
        <v>30</v>
      </c>
      <c r="AJ273" s="263"/>
      <c r="AK273" s="263"/>
      <c r="AL273" s="263"/>
      <c r="AM273" s="263"/>
      <c r="AN273" s="263"/>
      <c r="AO273" s="263"/>
      <c r="AP273" s="263"/>
      <c r="AQ273" s="263"/>
      <c r="AR273" s="263"/>
      <c r="AS273" s="263"/>
      <c r="AT273" s="263"/>
      <c r="AU273" s="263"/>
      <c r="AV273" s="263"/>
      <c r="AW273" s="263"/>
      <c r="AX273" s="264"/>
      <c r="AY273" s="264"/>
      <c r="AZ273" s="264"/>
      <c r="BA273" s="264"/>
      <c r="BB273" s="264"/>
      <c r="BC273" s="264"/>
      <c r="BD273" s="264"/>
      <c r="BE273" s="264"/>
      <c r="BF273" s="264"/>
      <c r="BG273" s="264"/>
      <c r="BH273" s="264"/>
      <c r="BI273" s="264"/>
      <c r="BJ273" s="264"/>
      <c r="BK273" s="264"/>
      <c r="BL273" s="264"/>
      <c r="BM273" s="264"/>
      <c r="BN273" s="265"/>
      <c r="BO273" s="265"/>
      <c r="BP273" s="265"/>
      <c r="BQ273" s="265"/>
      <c r="BR273" s="265"/>
      <c r="BS273" s="265"/>
      <c r="BT273" s="265"/>
      <c r="BU273" s="265"/>
      <c r="BV273" s="265"/>
      <c r="BW273" s="265"/>
      <c r="BX273" s="265"/>
      <c r="BY273" s="265"/>
      <c r="BZ273" s="265"/>
      <c r="CA273" s="265"/>
      <c r="CB273" s="265"/>
      <c r="CC273" s="265"/>
      <c r="CD273" s="266"/>
      <c r="CE273" s="266"/>
      <c r="CF273" s="266"/>
      <c r="CG273" s="266"/>
      <c r="CH273" s="266"/>
      <c r="CI273" s="266"/>
      <c r="CJ273" s="266"/>
      <c r="CK273" s="266"/>
      <c r="CL273" s="266"/>
      <c r="CM273" s="266"/>
      <c r="CN273" s="266"/>
      <c r="CO273" s="266"/>
      <c r="CP273" s="266"/>
      <c r="CQ273" s="266"/>
      <c r="CR273" s="266"/>
      <c r="CS273" s="266"/>
      <c r="CT273" s="267"/>
      <c r="CU273" s="267"/>
      <c r="CV273" s="267"/>
      <c r="CW273" s="267"/>
      <c r="CX273" s="267"/>
      <c r="CY273" s="267"/>
      <c r="CZ273" s="267"/>
      <c r="DA273" s="267"/>
      <c r="DB273" s="267"/>
      <c r="DC273" s="267"/>
      <c r="DD273" s="267"/>
      <c r="DE273" s="267"/>
      <c r="DF273" s="267"/>
      <c r="DG273" s="267"/>
      <c r="DH273" s="267"/>
      <c r="DI273" s="267"/>
      <c r="DJ273" s="268"/>
      <c r="DK273" s="268"/>
      <c r="DL273" s="268"/>
      <c r="DM273" s="268"/>
      <c r="DN273" s="268"/>
      <c r="DO273" s="268"/>
      <c r="DP273" s="268"/>
      <c r="DQ273" s="268"/>
      <c r="DR273" s="268"/>
      <c r="DS273" s="268"/>
      <c r="DT273" s="268"/>
      <c r="DU273" s="268"/>
      <c r="DV273" s="268"/>
      <c r="DW273" s="268"/>
      <c r="DX273" s="268"/>
      <c r="DY273" s="268"/>
      <c r="EA273" s="13"/>
      <c r="EB273" s="96"/>
      <c r="EC273" s="96"/>
      <c r="ED273" s="96"/>
      <c r="EE273" s="96"/>
      <c r="EF273" s="96"/>
      <c r="EG273" s="96"/>
      <c r="EH273" s="96"/>
      <c r="EI273" s="96"/>
      <c r="EJ273" s="96"/>
      <c r="EK273" s="96"/>
      <c r="EL273" s="96"/>
      <c r="EM273" s="96"/>
      <c r="EN273" s="96"/>
      <c r="EO273" s="96"/>
      <c r="EP273" s="96"/>
      <c r="EQ273" s="96"/>
      <c r="ER273" s="96"/>
      <c r="ES273" s="96"/>
      <c r="ET273" s="96"/>
      <c r="EU273" s="96"/>
      <c r="EV273" s="96"/>
      <c r="EW273" s="96"/>
      <c r="EX273" s="96"/>
      <c r="EY273" s="96"/>
      <c r="EZ273" s="96"/>
      <c r="FA273" s="96"/>
      <c r="FB273" s="96"/>
      <c r="FC273" s="96"/>
      <c r="FD273" s="96"/>
      <c r="FE273" s="96"/>
      <c r="FF273" s="96"/>
      <c r="FG273" s="96"/>
      <c r="FH273" s="96"/>
      <c r="FI273" s="96"/>
      <c r="FJ273" s="96"/>
      <c r="FK273" s="96"/>
      <c r="FL273" s="96"/>
      <c r="FM273" s="96"/>
      <c r="FN273" s="96"/>
      <c r="FO273" s="96"/>
      <c r="FP273" s="96"/>
      <c r="FQ273" s="96"/>
      <c r="FR273" s="96"/>
      <c r="FS273" s="96"/>
      <c r="FT273" s="96"/>
      <c r="FU273" s="96"/>
      <c r="FV273" s="96"/>
      <c r="FW273" s="96"/>
      <c r="FX273" s="96"/>
      <c r="FY273" s="96"/>
      <c r="FZ273" s="96"/>
      <c r="GA273" s="96"/>
      <c r="GB273" s="96"/>
      <c r="GC273" s="96"/>
      <c r="GD273" s="96"/>
      <c r="GE273" s="96"/>
      <c r="GF273" s="96"/>
      <c r="GG273" s="96"/>
      <c r="GH273" s="96"/>
      <c r="GI273" s="96"/>
      <c r="GJ273" s="96"/>
      <c r="GK273" s="96"/>
      <c r="GL273" s="96"/>
      <c r="GM273" s="13"/>
      <c r="GN273" s="96"/>
      <c r="GO273" s="96"/>
      <c r="GP273" s="96"/>
      <c r="GQ273" s="96"/>
      <c r="GR273" s="96"/>
      <c r="GS273" s="96"/>
      <c r="GT273" s="96"/>
      <c r="GU273" s="96"/>
      <c r="GV273" s="96"/>
      <c r="GW273" s="96"/>
      <c r="GX273" s="96"/>
      <c r="GY273" s="96"/>
      <c r="GZ273" s="96"/>
      <c r="HA273" s="96"/>
      <c r="HB273" s="96"/>
      <c r="HC273" s="13"/>
      <c r="HD273" s="96"/>
      <c r="HE273" s="96"/>
      <c r="HF273" s="96"/>
      <c r="HG273" s="96"/>
      <c r="HH273" s="96"/>
      <c r="HI273" s="96"/>
      <c r="HJ273" s="96"/>
      <c r="HK273" s="96"/>
      <c r="HL273" s="96"/>
      <c r="HM273" s="96"/>
      <c r="HN273" s="96"/>
      <c r="HO273" s="96"/>
      <c r="HP273" s="96"/>
      <c r="HQ273" s="96"/>
      <c r="HR273" s="96"/>
      <c r="HS273" s="13"/>
      <c r="HT273" s="96"/>
      <c r="HU273" s="96"/>
      <c r="HV273" s="96"/>
      <c r="HW273" s="96"/>
      <c r="HX273" s="96"/>
      <c r="HY273" s="96"/>
      <c r="HZ273" s="96"/>
      <c r="IA273" s="96"/>
      <c r="IB273" s="96"/>
      <c r="IC273" s="96"/>
      <c r="ID273" s="96"/>
      <c r="IE273" s="96"/>
      <c r="IF273" s="96"/>
      <c r="IG273" s="96"/>
      <c r="IH273" s="96"/>
      <c r="II273" s="13"/>
      <c r="IJ273" s="96"/>
      <c r="IK273" s="96"/>
      <c r="IL273" s="96"/>
      <c r="IM273" s="96"/>
      <c r="IN273" s="96"/>
      <c r="IO273" s="96"/>
      <c r="IP273" s="96"/>
      <c r="IQ273" s="96"/>
      <c r="IR273" s="96"/>
      <c r="IS273" s="96"/>
      <c r="IT273" s="96"/>
      <c r="IU273" s="96"/>
      <c r="IV273" s="96"/>
      <c r="IW273" s="96"/>
      <c r="IX273" s="96"/>
      <c r="IY273" s="13"/>
    </row>
    <row r="274" spans="1:259" outlineLevel="1">
      <c r="A274" s="11">
        <f>'VAC &amp; MED'!C273</f>
        <v>46254</v>
      </c>
      <c r="B274" s="261"/>
      <c r="C274" s="261"/>
      <c r="D274" s="261"/>
      <c r="E274" s="261"/>
      <c r="F274" s="261"/>
      <c r="G274" s="261"/>
      <c r="H274" s="261"/>
      <c r="I274" s="261"/>
      <c r="J274" s="261"/>
      <c r="K274" s="261"/>
      <c r="L274" s="261"/>
      <c r="M274" s="261"/>
      <c r="N274" s="261"/>
      <c r="O274" s="261"/>
      <c r="P274" s="261"/>
      <c r="Q274" s="261"/>
      <c r="R274" s="262"/>
      <c r="S274" s="262"/>
      <c r="T274" s="262"/>
      <c r="U274" s="262"/>
      <c r="V274" s="262"/>
      <c r="W274" s="262"/>
      <c r="X274" s="262"/>
      <c r="Y274" s="262"/>
      <c r="Z274" s="262"/>
      <c r="AA274" s="262"/>
      <c r="AB274" s="262"/>
      <c r="AC274" s="262"/>
      <c r="AD274" s="262"/>
      <c r="AE274" s="262"/>
      <c r="AF274" s="262"/>
      <c r="AG274" s="262"/>
      <c r="AH274" s="263"/>
      <c r="AI274" s="263"/>
      <c r="AJ274" s="263"/>
      <c r="AK274" s="263"/>
      <c r="AL274" s="263"/>
      <c r="AM274" s="263"/>
      <c r="AN274" s="263"/>
      <c r="AO274" s="263"/>
      <c r="AP274" s="263"/>
      <c r="AQ274" s="263"/>
      <c r="AR274" s="263"/>
      <c r="AS274" s="263"/>
      <c r="AT274" s="263"/>
      <c r="AU274" s="263"/>
      <c r="AV274" s="263"/>
      <c r="AW274" s="263"/>
      <c r="AX274" s="264"/>
      <c r="AY274" s="264"/>
      <c r="AZ274" s="264"/>
      <c r="BA274" s="264"/>
      <c r="BB274" s="264"/>
      <c r="BC274" s="264"/>
      <c r="BD274" s="264"/>
      <c r="BE274" s="264"/>
      <c r="BF274" s="264"/>
      <c r="BG274" s="264"/>
      <c r="BH274" s="264"/>
      <c r="BI274" s="264"/>
      <c r="BJ274" s="264"/>
      <c r="BK274" s="264"/>
      <c r="BL274" s="264"/>
      <c r="BM274" s="264"/>
      <c r="BN274" s="265"/>
      <c r="BO274" s="265"/>
      <c r="BP274" s="265"/>
      <c r="BQ274" s="265"/>
      <c r="BR274" s="265"/>
      <c r="BS274" s="265"/>
      <c r="BT274" s="265"/>
      <c r="BU274" s="265"/>
      <c r="BV274" s="265"/>
      <c r="BW274" s="265"/>
      <c r="BX274" s="265"/>
      <c r="BY274" s="265"/>
      <c r="BZ274" s="265"/>
      <c r="CA274" s="265"/>
      <c r="CB274" s="265"/>
      <c r="CC274" s="265"/>
      <c r="CD274" s="266"/>
      <c r="CE274" s="266"/>
      <c r="CF274" s="266"/>
      <c r="CG274" s="266"/>
      <c r="CH274" s="266"/>
      <c r="CI274" s="266"/>
      <c r="CJ274" s="266"/>
      <c r="CK274" s="266"/>
      <c r="CL274" s="266"/>
      <c r="CM274" s="266"/>
      <c r="CN274" s="266"/>
      <c r="CO274" s="266"/>
      <c r="CP274" s="266"/>
      <c r="CQ274" s="266"/>
      <c r="CR274" s="266"/>
      <c r="CS274" s="266"/>
      <c r="CT274" s="267"/>
      <c r="CU274" s="267"/>
      <c r="CV274" s="267"/>
      <c r="CW274" s="267"/>
      <c r="CX274" s="267"/>
      <c r="CY274" s="267"/>
      <c r="CZ274" s="267"/>
      <c r="DA274" s="267"/>
      <c r="DB274" s="267"/>
      <c r="DC274" s="267"/>
      <c r="DD274" s="267"/>
      <c r="DE274" s="267"/>
      <c r="DF274" s="267"/>
      <c r="DG274" s="267"/>
      <c r="DH274" s="267">
        <v>38</v>
      </c>
      <c r="DI274" s="267"/>
      <c r="DJ274" s="268"/>
      <c r="DK274" s="268"/>
      <c r="DL274" s="268"/>
      <c r="DM274" s="268"/>
      <c r="DN274" s="268"/>
      <c r="DO274" s="268"/>
      <c r="DP274" s="268"/>
      <c r="DQ274" s="268"/>
      <c r="DR274" s="268"/>
      <c r="DS274" s="268"/>
      <c r="DT274" s="268"/>
      <c r="DU274" s="268"/>
      <c r="DV274" s="268"/>
      <c r="DW274" s="268"/>
      <c r="DX274" s="268"/>
      <c r="DY274" s="268"/>
      <c r="EA274" s="13"/>
      <c r="EB274" s="96"/>
      <c r="EC274" s="96"/>
      <c r="ED274" s="96"/>
      <c r="EE274" s="96"/>
      <c r="EF274" s="96"/>
      <c r="EG274" s="96"/>
      <c r="EH274" s="96"/>
      <c r="EI274" s="96"/>
      <c r="EJ274" s="96"/>
      <c r="EK274" s="96"/>
      <c r="EL274" s="96"/>
      <c r="EM274" s="96"/>
      <c r="EN274" s="96"/>
      <c r="EO274" s="96"/>
      <c r="EP274" s="96"/>
      <c r="EQ274" s="96"/>
      <c r="ER274" s="96"/>
      <c r="ES274" s="96"/>
      <c r="ET274" s="96"/>
      <c r="EU274" s="96"/>
      <c r="EV274" s="96"/>
      <c r="EW274" s="96"/>
      <c r="EX274" s="96"/>
      <c r="EY274" s="96"/>
      <c r="EZ274" s="96"/>
      <c r="FA274" s="96"/>
      <c r="FB274" s="96"/>
      <c r="FC274" s="96"/>
      <c r="FD274" s="96"/>
      <c r="FE274" s="96"/>
      <c r="FF274" s="96"/>
      <c r="FG274" s="96"/>
      <c r="FH274" s="96"/>
      <c r="FI274" s="96"/>
      <c r="FJ274" s="96"/>
      <c r="FK274" s="96"/>
      <c r="FL274" s="96"/>
      <c r="FM274" s="96"/>
      <c r="FN274" s="96"/>
      <c r="FO274" s="96"/>
      <c r="FP274" s="96"/>
      <c r="FQ274" s="96"/>
      <c r="FR274" s="96"/>
      <c r="FS274" s="96"/>
      <c r="FT274" s="96"/>
      <c r="FU274" s="96"/>
      <c r="FV274" s="96"/>
      <c r="FW274" s="96"/>
      <c r="FX274" s="96"/>
      <c r="FY274" s="96"/>
      <c r="FZ274" s="96"/>
      <c r="GA274" s="96"/>
      <c r="GB274" s="96"/>
      <c r="GC274" s="96"/>
      <c r="GD274" s="96"/>
      <c r="GE274" s="96"/>
      <c r="GF274" s="96"/>
      <c r="GG274" s="96"/>
      <c r="GH274" s="96"/>
      <c r="GI274" s="96"/>
      <c r="GJ274" s="96"/>
      <c r="GK274" s="96"/>
      <c r="GL274" s="96"/>
      <c r="GM274" s="13"/>
      <c r="GN274" s="96"/>
      <c r="GO274" s="96"/>
      <c r="GP274" s="96"/>
      <c r="GQ274" s="96"/>
      <c r="GR274" s="96"/>
      <c r="GS274" s="96"/>
      <c r="GT274" s="96"/>
      <c r="GU274" s="96"/>
      <c r="GV274" s="96"/>
      <c r="GW274" s="96"/>
      <c r="GX274" s="96"/>
      <c r="GY274" s="96"/>
      <c r="GZ274" s="96"/>
      <c r="HA274" s="96"/>
      <c r="HB274" s="96"/>
      <c r="HC274" s="13"/>
      <c r="HD274" s="96"/>
      <c r="HE274" s="96"/>
      <c r="HF274" s="96"/>
      <c r="HG274" s="96"/>
      <c r="HH274" s="96"/>
      <c r="HI274" s="96"/>
      <c r="HJ274" s="96"/>
      <c r="HK274" s="96"/>
      <c r="HL274" s="96"/>
      <c r="HM274" s="96"/>
      <c r="HN274" s="96"/>
      <c r="HO274" s="96"/>
      <c r="HP274" s="96"/>
      <c r="HQ274" s="96"/>
      <c r="HR274" s="96"/>
      <c r="HS274" s="13"/>
      <c r="HT274" s="96"/>
      <c r="HU274" s="96"/>
      <c r="HV274" s="96"/>
      <c r="HW274" s="96"/>
      <c r="HX274" s="96"/>
      <c r="HY274" s="96"/>
      <c r="HZ274" s="96"/>
      <c r="IA274" s="96"/>
      <c r="IB274" s="96"/>
      <c r="IC274" s="96"/>
      <c r="ID274" s="96"/>
      <c r="IE274" s="96"/>
      <c r="IF274" s="96"/>
      <c r="IG274" s="96"/>
      <c r="IH274" s="96"/>
      <c r="II274" s="13"/>
      <c r="IJ274" s="96"/>
      <c r="IK274" s="96"/>
      <c r="IL274" s="96"/>
      <c r="IM274" s="96"/>
      <c r="IN274" s="96"/>
      <c r="IO274" s="96"/>
      <c r="IP274" s="96"/>
      <c r="IQ274" s="96"/>
      <c r="IR274" s="96"/>
      <c r="IS274" s="96"/>
      <c r="IT274" s="96"/>
      <c r="IU274" s="96"/>
      <c r="IV274" s="96"/>
      <c r="IW274" s="96"/>
      <c r="IX274" s="96"/>
      <c r="IY274" s="13"/>
    </row>
    <row r="275" spans="1:259" outlineLevel="1">
      <c r="A275" s="11">
        <f>'VAC &amp; MED'!C274</f>
        <v>46255</v>
      </c>
      <c r="B275" s="261"/>
      <c r="C275" s="261"/>
      <c r="D275" s="261"/>
      <c r="E275" s="261"/>
      <c r="F275" s="261"/>
      <c r="G275" s="261"/>
      <c r="H275" s="261"/>
      <c r="I275" s="261"/>
      <c r="J275" s="261"/>
      <c r="K275" s="261"/>
      <c r="L275" s="261"/>
      <c r="M275" s="261"/>
      <c r="N275" s="261"/>
      <c r="O275" s="261"/>
      <c r="P275" s="261"/>
      <c r="Q275" s="261"/>
      <c r="R275" s="262"/>
      <c r="S275" s="262"/>
      <c r="T275" s="262"/>
      <c r="U275" s="262"/>
      <c r="V275" s="262"/>
      <c r="W275" s="262"/>
      <c r="X275" s="262"/>
      <c r="Y275" s="262"/>
      <c r="Z275" s="262"/>
      <c r="AA275" s="262"/>
      <c r="AB275" s="262"/>
      <c r="AC275" s="262"/>
      <c r="AD275" s="262"/>
      <c r="AE275" s="262"/>
      <c r="AF275" s="262"/>
      <c r="AG275" s="262"/>
      <c r="AH275" s="263"/>
      <c r="AI275" s="263"/>
      <c r="AJ275" s="263"/>
      <c r="AK275" s="263"/>
      <c r="AL275" s="263"/>
      <c r="AM275" s="263"/>
      <c r="AN275" s="263"/>
      <c r="AO275" s="263"/>
      <c r="AP275" s="263"/>
      <c r="AQ275" s="263"/>
      <c r="AR275" s="263"/>
      <c r="AS275" s="263"/>
      <c r="AT275" s="263"/>
      <c r="AU275" s="263"/>
      <c r="AV275" s="263"/>
      <c r="AW275" s="263"/>
      <c r="AX275" s="264"/>
      <c r="AY275" s="264"/>
      <c r="AZ275" s="264"/>
      <c r="BA275" s="264"/>
      <c r="BB275" s="264"/>
      <c r="BC275" s="264"/>
      <c r="BD275" s="264"/>
      <c r="BE275" s="264"/>
      <c r="BF275" s="264"/>
      <c r="BG275" s="264"/>
      <c r="BH275" s="264"/>
      <c r="BI275" s="264"/>
      <c r="BJ275" s="264"/>
      <c r="BK275" s="264"/>
      <c r="BL275" s="264"/>
      <c r="BM275" s="264"/>
      <c r="BN275" s="265"/>
      <c r="BO275" s="265"/>
      <c r="BP275" s="265"/>
      <c r="BQ275" s="265"/>
      <c r="BR275" s="265"/>
      <c r="BS275" s="265"/>
      <c r="BT275" s="265"/>
      <c r="BU275" s="265"/>
      <c r="BV275" s="265"/>
      <c r="BW275" s="265"/>
      <c r="BX275" s="265"/>
      <c r="BY275" s="265"/>
      <c r="BZ275" s="265"/>
      <c r="CA275" s="265"/>
      <c r="CB275" s="265"/>
      <c r="CC275" s="265"/>
      <c r="CD275" s="266"/>
      <c r="CE275" s="266"/>
      <c r="CF275" s="266"/>
      <c r="CG275" s="266"/>
      <c r="CH275" s="266"/>
      <c r="CI275" s="266"/>
      <c r="CJ275" s="266"/>
      <c r="CK275" s="266"/>
      <c r="CL275" s="266"/>
      <c r="CM275" s="266"/>
      <c r="CN275" s="266"/>
      <c r="CO275" s="266"/>
      <c r="CP275" s="266"/>
      <c r="CQ275" s="266"/>
      <c r="CR275" s="266"/>
      <c r="CS275" s="266"/>
      <c r="CT275" s="267"/>
      <c r="CU275" s="267"/>
      <c r="CV275" s="267"/>
      <c r="CW275" s="267"/>
      <c r="CX275" s="267"/>
      <c r="CY275" s="267"/>
      <c r="CZ275" s="267"/>
      <c r="DA275" s="267"/>
      <c r="DB275" s="267"/>
      <c r="DC275" s="267"/>
      <c r="DD275" s="267"/>
      <c r="DE275" s="267"/>
      <c r="DF275" s="267"/>
      <c r="DG275" s="267"/>
      <c r="DH275" s="267"/>
      <c r="DI275" s="267"/>
      <c r="DJ275" s="268"/>
      <c r="DK275" s="268"/>
      <c r="DL275" s="268"/>
      <c r="DM275" s="268"/>
      <c r="DN275" s="268"/>
      <c r="DO275" s="268"/>
      <c r="DP275" s="268"/>
      <c r="DQ275" s="268"/>
      <c r="DR275" s="268"/>
      <c r="DS275" s="268"/>
      <c r="DT275" s="268"/>
      <c r="DU275" s="268"/>
      <c r="DV275" s="268"/>
      <c r="DW275" s="268"/>
      <c r="DX275" s="268"/>
      <c r="DY275" s="268"/>
      <c r="EA275" s="13"/>
      <c r="EB275" s="96"/>
      <c r="EC275" s="96"/>
      <c r="ED275" s="96"/>
      <c r="EE275" s="96"/>
      <c r="EF275" s="96"/>
      <c r="EG275" s="96"/>
      <c r="EH275" s="96"/>
      <c r="EI275" s="96"/>
      <c r="EJ275" s="96"/>
      <c r="EK275" s="96"/>
      <c r="EL275" s="96"/>
      <c r="EM275" s="96"/>
      <c r="EN275" s="96"/>
      <c r="EO275" s="96"/>
      <c r="EP275" s="96"/>
      <c r="EQ275" s="96"/>
      <c r="ER275" s="96"/>
      <c r="ES275" s="96"/>
      <c r="ET275" s="96"/>
      <c r="EU275" s="96"/>
      <c r="EV275" s="96"/>
      <c r="EW275" s="96"/>
      <c r="EX275" s="96"/>
      <c r="EY275" s="96"/>
      <c r="EZ275" s="96"/>
      <c r="FA275" s="96"/>
      <c r="FB275" s="96"/>
      <c r="FC275" s="96"/>
      <c r="FD275" s="96"/>
      <c r="FE275" s="96"/>
      <c r="FF275" s="96"/>
      <c r="FG275" s="96"/>
      <c r="FH275" s="96"/>
      <c r="FI275" s="96"/>
      <c r="FJ275" s="96"/>
      <c r="FK275" s="96"/>
      <c r="FL275" s="96"/>
      <c r="FM275" s="96"/>
      <c r="FN275" s="96"/>
      <c r="FO275" s="96"/>
      <c r="FP275" s="96"/>
      <c r="FQ275" s="96"/>
      <c r="FR275" s="96"/>
      <c r="FS275" s="96"/>
      <c r="FT275" s="96"/>
      <c r="FU275" s="96"/>
      <c r="FV275" s="96"/>
      <c r="FW275" s="96"/>
      <c r="FX275" s="96"/>
      <c r="FY275" s="96"/>
      <c r="FZ275" s="96"/>
      <c r="GA275" s="96"/>
      <c r="GB275" s="96"/>
      <c r="GC275" s="96"/>
      <c r="GD275" s="96"/>
      <c r="GE275" s="96"/>
      <c r="GF275" s="96"/>
      <c r="GG275" s="96"/>
      <c r="GH275" s="96"/>
      <c r="GI275" s="96"/>
      <c r="GJ275" s="96"/>
      <c r="GK275" s="96"/>
      <c r="GL275" s="96"/>
      <c r="GM275" s="13"/>
      <c r="GN275" s="96"/>
      <c r="GO275" s="96"/>
      <c r="GP275" s="96"/>
      <c r="GQ275" s="96"/>
      <c r="GR275" s="96"/>
      <c r="GS275" s="96"/>
      <c r="GT275" s="96"/>
      <c r="GU275" s="96"/>
      <c r="GV275" s="96"/>
      <c r="GW275" s="96"/>
      <c r="GX275" s="96"/>
      <c r="GY275" s="96"/>
      <c r="GZ275" s="96"/>
      <c r="HA275" s="96"/>
      <c r="HB275" s="96"/>
      <c r="HC275" s="13"/>
      <c r="HD275" s="96"/>
      <c r="HE275" s="96"/>
      <c r="HF275" s="96"/>
      <c r="HG275" s="96"/>
      <c r="HH275" s="96"/>
      <c r="HI275" s="96"/>
      <c r="HJ275" s="96"/>
      <c r="HK275" s="96"/>
      <c r="HL275" s="96"/>
      <c r="HM275" s="96"/>
      <c r="HN275" s="96"/>
      <c r="HO275" s="96"/>
      <c r="HP275" s="96"/>
      <c r="HQ275" s="96"/>
      <c r="HR275" s="96"/>
      <c r="HS275" s="13"/>
      <c r="HT275" s="96"/>
      <c r="HU275" s="96"/>
      <c r="HV275" s="96"/>
      <c r="HW275" s="96"/>
      <c r="HX275" s="96"/>
      <c r="HY275" s="96"/>
      <c r="HZ275" s="96"/>
      <c r="IA275" s="96"/>
      <c r="IB275" s="96"/>
      <c r="IC275" s="96"/>
      <c r="ID275" s="96"/>
      <c r="IE275" s="96"/>
      <c r="IF275" s="96"/>
      <c r="IG275" s="96"/>
      <c r="IH275" s="96"/>
      <c r="II275" s="13"/>
      <c r="IJ275" s="96"/>
      <c r="IK275" s="96"/>
      <c r="IL275" s="96"/>
      <c r="IM275" s="96"/>
      <c r="IN275" s="96"/>
      <c r="IO275" s="96"/>
      <c r="IP275" s="96"/>
      <c r="IQ275" s="96"/>
      <c r="IR275" s="96"/>
      <c r="IS275" s="96"/>
      <c r="IT275" s="96"/>
      <c r="IU275" s="96"/>
      <c r="IV275" s="96"/>
      <c r="IW275" s="96"/>
      <c r="IX275" s="96"/>
      <c r="IY275" s="13"/>
    </row>
    <row r="276" spans="1:259" outlineLevel="1">
      <c r="A276" s="11">
        <f>'VAC &amp; MED'!C275</f>
        <v>46256</v>
      </c>
      <c r="B276" s="261"/>
      <c r="C276" s="261"/>
      <c r="D276" s="261"/>
      <c r="E276" s="261"/>
      <c r="F276" s="261"/>
      <c r="G276" s="261"/>
      <c r="H276" s="261"/>
      <c r="I276" s="261"/>
      <c r="J276" s="261"/>
      <c r="K276" s="261"/>
      <c r="L276" s="261"/>
      <c r="M276" s="261"/>
      <c r="N276" s="261"/>
      <c r="O276" s="261"/>
      <c r="P276" s="261"/>
      <c r="Q276" s="261"/>
      <c r="R276" s="262"/>
      <c r="S276" s="262"/>
      <c r="T276" s="262"/>
      <c r="U276" s="262"/>
      <c r="V276" s="262"/>
      <c r="W276" s="262"/>
      <c r="X276" s="262"/>
      <c r="Y276" s="262"/>
      <c r="Z276" s="262"/>
      <c r="AA276" s="262"/>
      <c r="AB276" s="262"/>
      <c r="AC276" s="262"/>
      <c r="AD276" s="262"/>
      <c r="AE276" s="262"/>
      <c r="AF276" s="262"/>
      <c r="AG276" s="262"/>
      <c r="AH276" s="263"/>
      <c r="AI276" s="263"/>
      <c r="AJ276" s="263"/>
      <c r="AK276" s="263"/>
      <c r="AL276" s="263"/>
      <c r="AM276" s="263"/>
      <c r="AN276" s="263"/>
      <c r="AO276" s="263"/>
      <c r="AP276" s="263"/>
      <c r="AQ276" s="263"/>
      <c r="AR276" s="263"/>
      <c r="AS276" s="263"/>
      <c r="AT276" s="263"/>
      <c r="AU276" s="263"/>
      <c r="AV276" s="263"/>
      <c r="AW276" s="263"/>
      <c r="AX276" s="264"/>
      <c r="AY276" s="264"/>
      <c r="AZ276" s="264"/>
      <c r="BA276" s="264"/>
      <c r="BB276" s="264"/>
      <c r="BC276" s="264"/>
      <c r="BD276" s="264"/>
      <c r="BE276" s="264"/>
      <c r="BF276" s="264"/>
      <c r="BG276" s="264"/>
      <c r="BH276" s="264"/>
      <c r="BI276" s="264"/>
      <c r="BJ276" s="264"/>
      <c r="BK276" s="264"/>
      <c r="BL276" s="264"/>
      <c r="BM276" s="264"/>
      <c r="BN276" s="265"/>
      <c r="BO276" s="265"/>
      <c r="BP276" s="265"/>
      <c r="BQ276" s="265"/>
      <c r="BR276" s="265"/>
      <c r="BS276" s="265"/>
      <c r="BT276" s="265"/>
      <c r="BU276" s="265"/>
      <c r="BV276" s="265"/>
      <c r="BW276" s="265"/>
      <c r="BX276" s="265"/>
      <c r="BY276" s="265"/>
      <c r="BZ276" s="265"/>
      <c r="CA276" s="265"/>
      <c r="CB276" s="265"/>
      <c r="CC276" s="265"/>
      <c r="CD276" s="266"/>
      <c r="CE276" s="266"/>
      <c r="CF276" s="266"/>
      <c r="CG276" s="266"/>
      <c r="CH276" s="266"/>
      <c r="CI276" s="266"/>
      <c r="CJ276" s="266"/>
      <c r="CK276" s="266"/>
      <c r="CL276" s="266"/>
      <c r="CM276" s="266"/>
      <c r="CN276" s="266"/>
      <c r="CO276" s="266"/>
      <c r="CP276" s="266"/>
      <c r="CQ276" s="266"/>
      <c r="CR276" s="266"/>
      <c r="CS276" s="266"/>
      <c r="CT276" s="267"/>
      <c r="CU276" s="267"/>
      <c r="CV276" s="267"/>
      <c r="CW276" s="267"/>
      <c r="CX276" s="267"/>
      <c r="CY276" s="267"/>
      <c r="CZ276" s="267"/>
      <c r="DA276" s="267"/>
      <c r="DB276" s="267"/>
      <c r="DC276" s="267"/>
      <c r="DD276" s="267"/>
      <c r="DE276" s="267"/>
      <c r="DF276" s="267"/>
      <c r="DG276" s="267"/>
      <c r="DH276" s="267"/>
      <c r="DI276" s="267"/>
      <c r="DJ276" s="268"/>
      <c r="DK276" s="268"/>
      <c r="DL276" s="268"/>
      <c r="DM276" s="268"/>
      <c r="DN276" s="268"/>
      <c r="DO276" s="268"/>
      <c r="DP276" s="268"/>
      <c r="DQ276" s="268"/>
      <c r="DR276" s="268"/>
      <c r="DS276" s="268"/>
      <c r="DT276" s="268"/>
      <c r="DU276" s="268"/>
      <c r="DV276" s="268"/>
      <c r="DW276" s="268"/>
      <c r="DX276" s="268"/>
      <c r="DY276" s="268"/>
      <c r="EA276" s="13"/>
      <c r="EB276" s="96"/>
      <c r="EC276" s="96"/>
      <c r="ED276" s="96"/>
      <c r="EE276" s="96"/>
      <c r="EF276" s="96"/>
      <c r="EG276" s="96"/>
      <c r="EH276" s="96"/>
      <c r="EI276" s="96"/>
      <c r="EJ276" s="96"/>
      <c r="EK276" s="96"/>
      <c r="EL276" s="96"/>
      <c r="EM276" s="96"/>
      <c r="EN276" s="96"/>
      <c r="EO276" s="96"/>
      <c r="EP276" s="96"/>
      <c r="EQ276" s="96"/>
      <c r="ER276" s="96"/>
      <c r="ES276" s="96"/>
      <c r="ET276" s="96"/>
      <c r="EU276" s="96"/>
      <c r="EV276" s="96"/>
      <c r="EW276" s="96"/>
      <c r="EX276" s="96"/>
      <c r="EY276" s="96"/>
      <c r="EZ276" s="96"/>
      <c r="FA276" s="96"/>
      <c r="FB276" s="96"/>
      <c r="FC276" s="96"/>
      <c r="FD276" s="96"/>
      <c r="FE276" s="96"/>
      <c r="FF276" s="96"/>
      <c r="FG276" s="96"/>
      <c r="FH276" s="96"/>
      <c r="FI276" s="96"/>
      <c r="FJ276" s="96"/>
      <c r="FK276" s="96"/>
      <c r="FL276" s="96"/>
      <c r="FM276" s="96"/>
      <c r="FN276" s="96"/>
      <c r="FO276" s="96"/>
      <c r="FP276" s="96"/>
      <c r="FQ276" s="96"/>
      <c r="FR276" s="96"/>
      <c r="FS276" s="96"/>
      <c r="FT276" s="96"/>
      <c r="FU276" s="96"/>
      <c r="FV276" s="96"/>
      <c r="FW276" s="96"/>
      <c r="FX276" s="96"/>
      <c r="FY276" s="96"/>
      <c r="FZ276" s="96"/>
      <c r="GA276" s="96"/>
      <c r="GB276" s="96"/>
      <c r="GC276" s="96"/>
      <c r="GD276" s="96"/>
      <c r="GE276" s="96"/>
      <c r="GF276" s="96"/>
      <c r="GG276" s="96"/>
      <c r="GH276" s="96"/>
      <c r="GI276" s="96"/>
      <c r="GJ276" s="96"/>
      <c r="GK276" s="96"/>
      <c r="GL276" s="96"/>
      <c r="GM276" s="13"/>
      <c r="GN276" s="96"/>
      <c r="GO276" s="96"/>
      <c r="GP276" s="96"/>
      <c r="GQ276" s="96"/>
      <c r="GR276" s="96"/>
      <c r="GS276" s="96"/>
      <c r="GT276" s="96"/>
      <c r="GU276" s="96"/>
      <c r="GV276" s="96"/>
      <c r="GW276" s="96"/>
      <c r="GX276" s="96"/>
      <c r="GY276" s="96"/>
      <c r="GZ276" s="96"/>
      <c r="HA276" s="96"/>
      <c r="HB276" s="96"/>
      <c r="HC276" s="13"/>
      <c r="HD276" s="96"/>
      <c r="HE276" s="96"/>
      <c r="HF276" s="96"/>
      <c r="HG276" s="96"/>
      <c r="HH276" s="96"/>
      <c r="HI276" s="96"/>
      <c r="HJ276" s="96"/>
      <c r="HK276" s="96"/>
      <c r="HL276" s="96"/>
      <c r="HM276" s="96"/>
      <c r="HN276" s="96"/>
      <c r="HO276" s="96"/>
      <c r="HP276" s="96"/>
      <c r="HQ276" s="96"/>
      <c r="HR276" s="96"/>
      <c r="HS276" s="13"/>
      <c r="HT276" s="96"/>
      <c r="HU276" s="96"/>
      <c r="HV276" s="96"/>
      <c r="HW276" s="96"/>
      <c r="HX276" s="96"/>
      <c r="HY276" s="96"/>
      <c r="HZ276" s="96"/>
      <c r="IA276" s="96"/>
      <c r="IB276" s="96"/>
      <c r="IC276" s="96"/>
      <c r="ID276" s="96"/>
      <c r="IE276" s="96"/>
      <c r="IF276" s="96"/>
      <c r="IG276" s="96"/>
      <c r="IH276" s="96"/>
      <c r="II276" s="13"/>
      <c r="IJ276" s="96"/>
      <c r="IK276" s="96"/>
      <c r="IL276" s="96"/>
      <c r="IM276" s="96"/>
      <c r="IN276" s="96"/>
      <c r="IO276" s="96"/>
      <c r="IP276" s="96"/>
      <c r="IQ276" s="96"/>
      <c r="IR276" s="96"/>
      <c r="IS276" s="96"/>
      <c r="IT276" s="96"/>
      <c r="IU276" s="96"/>
      <c r="IV276" s="96"/>
      <c r="IW276" s="96"/>
      <c r="IX276" s="96"/>
      <c r="IY276" s="13"/>
    </row>
    <row r="277" spans="1:259" outlineLevel="1">
      <c r="A277" s="11">
        <f>'VAC &amp; MED'!C276</f>
        <v>46257</v>
      </c>
      <c r="B277" s="261"/>
      <c r="C277" s="261"/>
      <c r="D277" s="261"/>
      <c r="E277" s="261"/>
      <c r="F277" s="261"/>
      <c r="G277" s="261"/>
      <c r="H277" s="261"/>
      <c r="I277" s="261"/>
      <c r="J277" s="261"/>
      <c r="K277" s="261"/>
      <c r="L277" s="261"/>
      <c r="M277" s="261"/>
      <c r="N277" s="261"/>
      <c r="O277" s="261"/>
      <c r="P277" s="261"/>
      <c r="Q277" s="261"/>
      <c r="R277" s="262"/>
      <c r="S277" s="262"/>
      <c r="T277" s="262"/>
      <c r="U277" s="262"/>
      <c r="V277" s="262"/>
      <c r="W277" s="262"/>
      <c r="X277" s="262"/>
      <c r="Y277" s="262"/>
      <c r="Z277" s="262"/>
      <c r="AA277" s="262"/>
      <c r="AB277" s="262"/>
      <c r="AC277" s="262"/>
      <c r="AD277" s="262"/>
      <c r="AE277" s="262"/>
      <c r="AF277" s="262"/>
      <c r="AG277" s="262"/>
      <c r="AH277" s="263"/>
      <c r="AI277" s="263"/>
      <c r="AJ277" s="263"/>
      <c r="AK277" s="263"/>
      <c r="AL277" s="263"/>
      <c r="AM277" s="263"/>
      <c r="AN277" s="263"/>
      <c r="AO277" s="263"/>
      <c r="AP277" s="263"/>
      <c r="AQ277" s="263"/>
      <c r="AR277" s="263"/>
      <c r="AS277" s="263"/>
      <c r="AT277" s="263"/>
      <c r="AU277" s="263"/>
      <c r="AV277" s="263"/>
      <c r="AW277" s="263"/>
      <c r="AX277" s="264"/>
      <c r="AY277" s="264"/>
      <c r="AZ277" s="264"/>
      <c r="BA277" s="264"/>
      <c r="BB277" s="264"/>
      <c r="BC277" s="264"/>
      <c r="BD277" s="264"/>
      <c r="BE277" s="264"/>
      <c r="BF277" s="264"/>
      <c r="BG277" s="264"/>
      <c r="BH277" s="264"/>
      <c r="BI277" s="264"/>
      <c r="BJ277" s="264"/>
      <c r="BK277" s="264"/>
      <c r="BL277" s="264"/>
      <c r="BM277" s="264"/>
      <c r="BN277" s="265"/>
      <c r="BO277" s="265"/>
      <c r="BP277" s="265"/>
      <c r="BQ277" s="265"/>
      <c r="BR277" s="265"/>
      <c r="BS277" s="265"/>
      <c r="BT277" s="265"/>
      <c r="BU277" s="265"/>
      <c r="BV277" s="265"/>
      <c r="BW277" s="265"/>
      <c r="BX277" s="265"/>
      <c r="BY277" s="265"/>
      <c r="BZ277" s="265"/>
      <c r="CA277" s="265"/>
      <c r="CB277" s="265"/>
      <c r="CC277" s="265"/>
      <c r="CD277" s="266"/>
      <c r="CE277" s="266"/>
      <c r="CF277" s="266"/>
      <c r="CG277" s="266"/>
      <c r="CH277" s="266"/>
      <c r="CI277" s="266"/>
      <c r="CJ277" s="266"/>
      <c r="CK277" s="266"/>
      <c r="CL277" s="266"/>
      <c r="CM277" s="266"/>
      <c r="CN277" s="266"/>
      <c r="CO277" s="266"/>
      <c r="CP277" s="266"/>
      <c r="CQ277" s="266"/>
      <c r="CR277" s="266"/>
      <c r="CS277" s="266"/>
      <c r="CT277" s="267"/>
      <c r="CU277" s="267"/>
      <c r="CV277" s="267"/>
      <c r="CW277" s="267"/>
      <c r="CX277" s="267"/>
      <c r="CY277" s="267"/>
      <c r="CZ277" s="267"/>
      <c r="DA277" s="267"/>
      <c r="DB277" s="267"/>
      <c r="DC277" s="267"/>
      <c r="DD277" s="267"/>
      <c r="DE277" s="267"/>
      <c r="DF277" s="267"/>
      <c r="DG277" s="267"/>
      <c r="DH277" s="267"/>
      <c r="DI277" s="267"/>
      <c r="DJ277" s="268"/>
      <c r="DK277" s="268"/>
      <c r="DL277" s="268"/>
      <c r="DM277" s="268"/>
      <c r="DN277" s="268"/>
      <c r="DO277" s="268"/>
      <c r="DP277" s="268"/>
      <c r="DQ277" s="268"/>
      <c r="DR277" s="268"/>
      <c r="DS277" s="268"/>
      <c r="DT277" s="268"/>
      <c r="DU277" s="268"/>
      <c r="DV277" s="268"/>
      <c r="DW277" s="268"/>
      <c r="DX277" s="268"/>
      <c r="DY277" s="268"/>
      <c r="EA277" s="13"/>
      <c r="EB277" s="96"/>
      <c r="EC277" s="96"/>
      <c r="ED277" s="96"/>
      <c r="EE277" s="96"/>
      <c r="EF277" s="96"/>
      <c r="EG277" s="96"/>
      <c r="EH277" s="96"/>
      <c r="EI277" s="96"/>
      <c r="EJ277" s="96"/>
      <c r="EK277" s="96"/>
      <c r="EL277" s="96"/>
      <c r="EM277" s="96"/>
      <c r="EN277" s="96"/>
      <c r="EO277" s="96"/>
      <c r="EP277" s="96"/>
      <c r="EQ277" s="96"/>
      <c r="ER277" s="96"/>
      <c r="ES277" s="96"/>
      <c r="ET277" s="96"/>
      <c r="EU277" s="96"/>
      <c r="EV277" s="96"/>
      <c r="EW277" s="96"/>
      <c r="EX277" s="96"/>
      <c r="EY277" s="96"/>
      <c r="EZ277" s="96"/>
      <c r="FA277" s="96"/>
      <c r="FB277" s="96"/>
      <c r="FC277" s="96"/>
      <c r="FD277" s="96"/>
      <c r="FE277" s="96"/>
      <c r="FF277" s="96"/>
      <c r="FG277" s="96"/>
      <c r="FH277" s="96"/>
      <c r="FI277" s="96"/>
      <c r="FJ277" s="96"/>
      <c r="FK277" s="96"/>
      <c r="FL277" s="96"/>
      <c r="FM277" s="96"/>
      <c r="FN277" s="96"/>
      <c r="FO277" s="96"/>
      <c r="FP277" s="96"/>
      <c r="FQ277" s="96"/>
      <c r="FR277" s="96"/>
      <c r="FS277" s="96"/>
      <c r="FT277" s="96"/>
      <c r="FU277" s="96"/>
      <c r="FV277" s="96"/>
      <c r="FW277" s="96"/>
      <c r="FX277" s="96"/>
      <c r="FY277" s="96"/>
      <c r="FZ277" s="96"/>
      <c r="GA277" s="96"/>
      <c r="GB277" s="96"/>
      <c r="GC277" s="96"/>
      <c r="GD277" s="96"/>
      <c r="GE277" s="96"/>
      <c r="GF277" s="96"/>
      <c r="GG277" s="96"/>
      <c r="GH277" s="96"/>
      <c r="GI277" s="96"/>
      <c r="GJ277" s="96"/>
      <c r="GK277" s="96"/>
      <c r="GL277" s="96"/>
      <c r="GM277" s="13"/>
      <c r="GN277" s="96"/>
      <c r="GO277" s="96"/>
      <c r="GP277" s="96"/>
      <c r="GQ277" s="96"/>
      <c r="GR277" s="96"/>
      <c r="GS277" s="96"/>
      <c r="GT277" s="96"/>
      <c r="GU277" s="96"/>
      <c r="GV277" s="96"/>
      <c r="GW277" s="96"/>
      <c r="GX277" s="96"/>
      <c r="GY277" s="96"/>
      <c r="GZ277" s="96"/>
      <c r="HA277" s="96"/>
      <c r="HB277" s="96"/>
      <c r="HC277" s="13"/>
      <c r="HD277" s="96"/>
      <c r="HE277" s="96"/>
      <c r="HF277" s="96"/>
      <c r="HG277" s="96"/>
      <c r="HH277" s="96"/>
      <c r="HI277" s="96"/>
      <c r="HJ277" s="96"/>
      <c r="HK277" s="96"/>
      <c r="HL277" s="96"/>
      <c r="HM277" s="96"/>
      <c r="HN277" s="96"/>
      <c r="HO277" s="96"/>
      <c r="HP277" s="96"/>
      <c r="HQ277" s="96"/>
      <c r="HR277" s="96"/>
      <c r="HS277" s="13"/>
      <c r="HT277" s="96"/>
      <c r="HU277" s="96"/>
      <c r="HV277" s="96"/>
      <c r="HW277" s="96"/>
      <c r="HX277" s="96"/>
      <c r="HY277" s="96"/>
      <c r="HZ277" s="96"/>
      <c r="IA277" s="96"/>
      <c r="IB277" s="96"/>
      <c r="IC277" s="96"/>
      <c r="ID277" s="96"/>
      <c r="IE277" s="96"/>
      <c r="IF277" s="96"/>
      <c r="IG277" s="96"/>
      <c r="IH277" s="96"/>
      <c r="II277" s="13"/>
      <c r="IJ277" s="96"/>
      <c r="IK277" s="96"/>
      <c r="IL277" s="96"/>
      <c r="IM277" s="96"/>
      <c r="IN277" s="96"/>
      <c r="IO277" s="96"/>
      <c r="IP277" s="96"/>
      <c r="IQ277" s="96"/>
      <c r="IR277" s="96"/>
      <c r="IS277" s="96"/>
      <c r="IT277" s="96"/>
      <c r="IU277" s="96"/>
      <c r="IV277" s="96"/>
      <c r="IW277" s="96"/>
      <c r="IX277" s="96"/>
      <c r="IY277" s="13"/>
    </row>
    <row r="278" spans="1:259" outlineLevel="1">
      <c r="A278" s="11">
        <f>'VAC &amp; MED'!C277</f>
        <v>46258</v>
      </c>
      <c r="B278" s="261"/>
      <c r="C278" s="261"/>
      <c r="D278" s="261"/>
      <c r="E278" s="261"/>
      <c r="F278" s="261"/>
      <c r="G278" s="261"/>
      <c r="H278" s="261"/>
      <c r="I278" s="261"/>
      <c r="J278" s="261"/>
      <c r="K278" s="261"/>
      <c r="L278" s="261"/>
      <c r="M278" s="261"/>
      <c r="N278" s="261"/>
      <c r="O278" s="261"/>
      <c r="P278" s="261"/>
      <c r="Q278" s="261"/>
      <c r="R278" s="262"/>
      <c r="S278" s="262"/>
      <c r="T278" s="262"/>
      <c r="U278" s="262"/>
      <c r="V278" s="262"/>
      <c r="W278" s="262"/>
      <c r="X278" s="262"/>
      <c r="Y278" s="262"/>
      <c r="Z278" s="262"/>
      <c r="AA278" s="262"/>
      <c r="AB278" s="262"/>
      <c r="AC278" s="262"/>
      <c r="AD278" s="262"/>
      <c r="AE278" s="262"/>
      <c r="AF278" s="262"/>
      <c r="AG278" s="262"/>
      <c r="AH278" s="263"/>
      <c r="AI278" s="263"/>
      <c r="AJ278" s="263"/>
      <c r="AK278" s="263"/>
      <c r="AL278" s="263"/>
      <c r="AM278" s="263"/>
      <c r="AN278" s="263"/>
      <c r="AO278" s="263"/>
      <c r="AP278" s="263"/>
      <c r="AQ278" s="263"/>
      <c r="AR278" s="263"/>
      <c r="AS278" s="263"/>
      <c r="AT278" s="263"/>
      <c r="AU278" s="263"/>
      <c r="AV278" s="263"/>
      <c r="AW278" s="263"/>
      <c r="AX278" s="264"/>
      <c r="AY278" s="264"/>
      <c r="AZ278" s="264"/>
      <c r="BA278" s="264"/>
      <c r="BB278" s="264"/>
      <c r="BC278" s="264"/>
      <c r="BD278" s="264"/>
      <c r="BE278" s="264"/>
      <c r="BF278" s="264"/>
      <c r="BG278" s="264"/>
      <c r="BH278" s="264"/>
      <c r="BI278" s="264"/>
      <c r="BJ278" s="264"/>
      <c r="BK278" s="264"/>
      <c r="BL278" s="264"/>
      <c r="BM278" s="264"/>
      <c r="BN278" s="265"/>
      <c r="BO278" s="265"/>
      <c r="BP278" s="265"/>
      <c r="BQ278" s="265"/>
      <c r="BR278" s="265"/>
      <c r="BS278" s="265"/>
      <c r="BT278" s="265"/>
      <c r="BU278" s="265"/>
      <c r="BV278" s="265"/>
      <c r="BW278" s="265"/>
      <c r="BX278" s="265"/>
      <c r="BY278" s="265"/>
      <c r="BZ278" s="265"/>
      <c r="CA278" s="265"/>
      <c r="CB278" s="265"/>
      <c r="CC278" s="265"/>
      <c r="CD278" s="266"/>
      <c r="CE278" s="266"/>
      <c r="CF278" s="266"/>
      <c r="CG278" s="266"/>
      <c r="CH278" s="266"/>
      <c r="CI278" s="266"/>
      <c r="CJ278" s="266"/>
      <c r="CK278" s="266"/>
      <c r="CL278" s="266"/>
      <c r="CM278" s="266"/>
      <c r="CN278" s="266"/>
      <c r="CO278" s="266"/>
      <c r="CP278" s="266"/>
      <c r="CQ278" s="266"/>
      <c r="CR278" s="266"/>
      <c r="CS278" s="266"/>
      <c r="CT278" s="267"/>
      <c r="CU278" s="267"/>
      <c r="CV278" s="267"/>
      <c r="CW278" s="267"/>
      <c r="CX278" s="267"/>
      <c r="CY278" s="267"/>
      <c r="CZ278" s="267"/>
      <c r="DA278" s="267"/>
      <c r="DB278" s="267"/>
      <c r="DC278" s="267"/>
      <c r="DD278" s="267"/>
      <c r="DE278" s="267"/>
      <c r="DF278" s="267"/>
      <c r="DG278" s="267"/>
      <c r="DH278" s="267"/>
      <c r="DI278" s="267"/>
      <c r="DJ278" s="268"/>
      <c r="DK278" s="268"/>
      <c r="DL278" s="268"/>
      <c r="DM278" s="268"/>
      <c r="DN278" s="268"/>
      <c r="DO278" s="268"/>
      <c r="DP278" s="268"/>
      <c r="DQ278" s="268"/>
      <c r="DR278" s="268"/>
      <c r="DS278" s="268"/>
      <c r="DT278" s="268"/>
      <c r="DU278" s="268"/>
      <c r="DV278" s="268"/>
      <c r="DW278" s="268"/>
      <c r="DX278" s="268"/>
      <c r="DY278" s="268"/>
      <c r="EA278" s="13"/>
      <c r="EB278" s="96"/>
      <c r="EC278" s="96"/>
      <c r="ED278" s="96"/>
      <c r="EE278" s="96"/>
      <c r="EF278" s="96"/>
      <c r="EG278" s="96"/>
      <c r="EH278" s="96"/>
      <c r="EI278" s="96"/>
      <c r="EJ278" s="96"/>
      <c r="EK278" s="96"/>
      <c r="EL278" s="96"/>
      <c r="EM278" s="96"/>
      <c r="EN278" s="96"/>
      <c r="EO278" s="96"/>
      <c r="EP278" s="96"/>
      <c r="EQ278" s="96"/>
      <c r="ER278" s="96"/>
      <c r="ES278" s="96"/>
      <c r="ET278" s="96"/>
      <c r="EU278" s="96"/>
      <c r="EV278" s="96"/>
      <c r="EW278" s="96"/>
      <c r="EX278" s="96"/>
      <c r="EY278" s="96"/>
      <c r="EZ278" s="96"/>
      <c r="FA278" s="96"/>
      <c r="FB278" s="96"/>
      <c r="FC278" s="96"/>
      <c r="FD278" s="96"/>
      <c r="FE278" s="96"/>
      <c r="FF278" s="96"/>
      <c r="FG278" s="96"/>
      <c r="FH278" s="96"/>
      <c r="FI278" s="96"/>
      <c r="FJ278" s="96"/>
      <c r="FK278" s="96"/>
      <c r="FL278" s="96"/>
      <c r="FM278" s="96"/>
      <c r="FN278" s="96"/>
      <c r="FO278" s="96"/>
      <c r="FP278" s="96"/>
      <c r="FQ278" s="96"/>
      <c r="FR278" s="96"/>
      <c r="FS278" s="96"/>
      <c r="FT278" s="96"/>
      <c r="FU278" s="96"/>
      <c r="FV278" s="96"/>
      <c r="FW278" s="96"/>
      <c r="FX278" s="96"/>
      <c r="FY278" s="96"/>
      <c r="FZ278" s="96"/>
      <c r="GA278" s="96"/>
      <c r="GB278" s="96"/>
      <c r="GC278" s="96"/>
      <c r="GD278" s="96"/>
      <c r="GE278" s="96"/>
      <c r="GF278" s="96"/>
      <c r="GG278" s="96"/>
      <c r="GH278" s="96"/>
      <c r="GI278" s="96"/>
      <c r="GJ278" s="96"/>
      <c r="GK278" s="96"/>
      <c r="GL278" s="96"/>
      <c r="GM278" s="13"/>
      <c r="GN278" s="96"/>
      <c r="GO278" s="96"/>
      <c r="GP278" s="96"/>
      <c r="GQ278" s="96"/>
      <c r="GR278" s="96"/>
      <c r="GS278" s="96"/>
      <c r="GT278" s="96"/>
      <c r="GU278" s="96"/>
      <c r="GV278" s="96"/>
      <c r="GW278" s="96"/>
      <c r="GX278" s="96"/>
      <c r="GY278" s="96"/>
      <c r="GZ278" s="96"/>
      <c r="HA278" s="96"/>
      <c r="HB278" s="96"/>
      <c r="HC278" s="13"/>
      <c r="HD278" s="96"/>
      <c r="HE278" s="96"/>
      <c r="HF278" s="96"/>
      <c r="HG278" s="96"/>
      <c r="HH278" s="96"/>
      <c r="HI278" s="96"/>
      <c r="HJ278" s="96"/>
      <c r="HK278" s="96"/>
      <c r="HL278" s="96"/>
      <c r="HM278" s="96"/>
      <c r="HN278" s="96"/>
      <c r="HO278" s="96"/>
      <c r="HP278" s="96"/>
      <c r="HQ278" s="96"/>
      <c r="HR278" s="96"/>
      <c r="HS278" s="13"/>
      <c r="HT278" s="96"/>
      <c r="HU278" s="96"/>
      <c r="HV278" s="96"/>
      <c r="HW278" s="96"/>
      <c r="HX278" s="96"/>
      <c r="HY278" s="96"/>
      <c r="HZ278" s="96"/>
      <c r="IA278" s="96"/>
      <c r="IB278" s="96"/>
      <c r="IC278" s="96"/>
      <c r="ID278" s="96"/>
      <c r="IE278" s="96"/>
      <c r="IF278" s="96"/>
      <c r="IG278" s="96"/>
      <c r="IH278" s="96"/>
      <c r="II278" s="13"/>
      <c r="IJ278" s="96"/>
      <c r="IK278" s="96"/>
      <c r="IL278" s="96"/>
      <c r="IM278" s="96"/>
      <c r="IN278" s="96"/>
      <c r="IO278" s="96"/>
      <c r="IP278" s="96"/>
      <c r="IQ278" s="96"/>
      <c r="IR278" s="96"/>
      <c r="IS278" s="96"/>
      <c r="IT278" s="96"/>
      <c r="IU278" s="96"/>
      <c r="IV278" s="96"/>
      <c r="IW278" s="96"/>
      <c r="IX278" s="96"/>
      <c r="IY278" s="13"/>
    </row>
    <row r="279" spans="1:259" outlineLevel="1">
      <c r="A279" s="11">
        <f>'VAC &amp; MED'!C278</f>
        <v>46259</v>
      </c>
      <c r="B279" s="261"/>
      <c r="C279" s="261"/>
      <c r="D279" s="261"/>
      <c r="E279" s="261"/>
      <c r="F279" s="261"/>
      <c r="G279" s="261"/>
      <c r="H279" s="261"/>
      <c r="I279" s="261"/>
      <c r="J279" s="261"/>
      <c r="K279" s="261"/>
      <c r="L279" s="261"/>
      <c r="M279" s="261"/>
      <c r="N279" s="261"/>
      <c r="O279" s="261"/>
      <c r="P279" s="261"/>
      <c r="Q279" s="261"/>
      <c r="R279" s="262"/>
      <c r="S279" s="262"/>
      <c r="T279" s="262"/>
      <c r="U279" s="262"/>
      <c r="V279" s="262"/>
      <c r="W279" s="262"/>
      <c r="X279" s="262"/>
      <c r="Y279" s="262"/>
      <c r="Z279" s="262"/>
      <c r="AA279" s="262"/>
      <c r="AB279" s="262"/>
      <c r="AC279" s="262"/>
      <c r="AD279" s="262"/>
      <c r="AE279" s="262"/>
      <c r="AF279" s="262"/>
      <c r="AG279" s="262"/>
      <c r="AH279" s="263"/>
      <c r="AI279" s="263"/>
      <c r="AJ279" s="263"/>
      <c r="AK279" s="263"/>
      <c r="AL279" s="263"/>
      <c r="AM279" s="263"/>
      <c r="AN279" s="263"/>
      <c r="AO279" s="263"/>
      <c r="AP279" s="263"/>
      <c r="AQ279" s="263"/>
      <c r="AR279" s="263"/>
      <c r="AS279" s="263"/>
      <c r="AT279" s="263"/>
      <c r="AU279" s="263"/>
      <c r="AV279" s="263"/>
      <c r="AW279" s="263"/>
      <c r="AX279" s="264"/>
      <c r="AY279" s="264"/>
      <c r="AZ279" s="264"/>
      <c r="BA279" s="264"/>
      <c r="BB279" s="264"/>
      <c r="BC279" s="264"/>
      <c r="BD279" s="264"/>
      <c r="BE279" s="264"/>
      <c r="BF279" s="264"/>
      <c r="BG279" s="264"/>
      <c r="BH279" s="264"/>
      <c r="BI279" s="264"/>
      <c r="BJ279" s="264"/>
      <c r="BK279" s="264"/>
      <c r="BL279" s="264"/>
      <c r="BM279" s="264"/>
      <c r="BN279" s="265"/>
      <c r="BO279" s="265"/>
      <c r="BP279" s="265"/>
      <c r="BQ279" s="265"/>
      <c r="BR279" s="265"/>
      <c r="BS279" s="265"/>
      <c r="BT279" s="265"/>
      <c r="BU279" s="265"/>
      <c r="BV279" s="265"/>
      <c r="BW279" s="265"/>
      <c r="BX279" s="265"/>
      <c r="BY279" s="265"/>
      <c r="BZ279" s="265"/>
      <c r="CA279" s="265"/>
      <c r="CB279" s="265"/>
      <c r="CC279" s="265"/>
      <c r="CD279" s="266"/>
      <c r="CE279" s="266"/>
      <c r="CF279" s="266"/>
      <c r="CG279" s="266"/>
      <c r="CH279" s="266"/>
      <c r="CI279" s="266"/>
      <c r="CJ279" s="266"/>
      <c r="CK279" s="266"/>
      <c r="CL279" s="266"/>
      <c r="CM279" s="266"/>
      <c r="CN279" s="266"/>
      <c r="CO279" s="266"/>
      <c r="CP279" s="266"/>
      <c r="CQ279" s="266"/>
      <c r="CR279" s="266"/>
      <c r="CS279" s="266"/>
      <c r="CT279" s="267"/>
      <c r="CU279" s="267"/>
      <c r="CV279" s="267"/>
      <c r="CW279" s="267"/>
      <c r="CX279" s="267"/>
      <c r="CY279" s="267"/>
      <c r="CZ279" s="267"/>
      <c r="DA279" s="267"/>
      <c r="DB279" s="267"/>
      <c r="DC279" s="267"/>
      <c r="DD279" s="267"/>
      <c r="DE279" s="267"/>
      <c r="DF279" s="267"/>
      <c r="DG279" s="267"/>
      <c r="DH279" s="267"/>
      <c r="DI279" s="267"/>
      <c r="DJ279" s="268"/>
      <c r="DK279" s="268"/>
      <c r="DL279" s="268"/>
      <c r="DM279" s="268"/>
      <c r="DN279" s="268"/>
      <c r="DO279" s="268"/>
      <c r="DP279" s="268"/>
      <c r="DQ279" s="268"/>
      <c r="DR279" s="268"/>
      <c r="DS279" s="268"/>
      <c r="DT279" s="268"/>
      <c r="DU279" s="268"/>
      <c r="DV279" s="268"/>
      <c r="DW279" s="268"/>
      <c r="DX279" s="268"/>
      <c r="DY279" s="268"/>
      <c r="EA279" s="13"/>
      <c r="EB279" s="96"/>
      <c r="EC279" s="96"/>
      <c r="ED279" s="96"/>
      <c r="EE279" s="96"/>
      <c r="EF279" s="96"/>
      <c r="EG279" s="96"/>
      <c r="EH279" s="96"/>
      <c r="EI279" s="96"/>
      <c r="EJ279" s="96"/>
      <c r="EK279" s="96"/>
      <c r="EL279" s="96"/>
      <c r="EM279" s="96"/>
      <c r="EN279" s="96"/>
      <c r="EO279" s="96"/>
      <c r="EP279" s="96"/>
      <c r="EQ279" s="96"/>
      <c r="ER279" s="96"/>
      <c r="ES279" s="96"/>
      <c r="ET279" s="96"/>
      <c r="EU279" s="96"/>
      <c r="EV279" s="96"/>
      <c r="EW279" s="96"/>
      <c r="EX279" s="96"/>
      <c r="EY279" s="96"/>
      <c r="EZ279" s="96"/>
      <c r="FA279" s="96"/>
      <c r="FB279" s="96"/>
      <c r="FC279" s="96"/>
      <c r="FD279" s="96"/>
      <c r="FE279" s="96"/>
      <c r="FF279" s="96"/>
      <c r="FG279" s="96"/>
      <c r="FH279" s="96"/>
      <c r="FI279" s="96"/>
      <c r="FJ279" s="96"/>
      <c r="FK279" s="96"/>
      <c r="FL279" s="96"/>
      <c r="FM279" s="96"/>
      <c r="FN279" s="96"/>
      <c r="FO279" s="96"/>
      <c r="FP279" s="96"/>
      <c r="FQ279" s="96"/>
      <c r="FR279" s="96"/>
      <c r="FS279" s="96"/>
      <c r="FT279" s="96"/>
      <c r="FU279" s="96"/>
      <c r="FV279" s="96"/>
      <c r="FW279" s="96"/>
      <c r="FX279" s="96"/>
      <c r="FY279" s="96"/>
      <c r="FZ279" s="96"/>
      <c r="GA279" s="96"/>
      <c r="GB279" s="96"/>
      <c r="GC279" s="96"/>
      <c r="GD279" s="96"/>
      <c r="GE279" s="96"/>
      <c r="GF279" s="96"/>
      <c r="GG279" s="96"/>
      <c r="GH279" s="96"/>
      <c r="GI279" s="96"/>
      <c r="GJ279" s="96"/>
      <c r="GK279" s="96"/>
      <c r="GL279" s="96"/>
      <c r="GM279" s="13"/>
      <c r="GN279" s="96"/>
      <c r="GO279" s="96"/>
      <c r="GP279" s="96"/>
      <c r="GQ279" s="96"/>
      <c r="GR279" s="96"/>
      <c r="GS279" s="96"/>
      <c r="GT279" s="96"/>
      <c r="GU279" s="96"/>
      <c r="GV279" s="96"/>
      <c r="GW279" s="96"/>
      <c r="GX279" s="96"/>
      <c r="GY279" s="96"/>
      <c r="GZ279" s="96"/>
      <c r="HA279" s="96"/>
      <c r="HB279" s="96"/>
      <c r="HC279" s="13"/>
      <c r="HD279" s="96"/>
      <c r="HE279" s="96"/>
      <c r="HF279" s="96"/>
      <c r="HG279" s="96"/>
      <c r="HH279" s="96"/>
      <c r="HI279" s="96"/>
      <c r="HJ279" s="96"/>
      <c r="HK279" s="96"/>
      <c r="HL279" s="96"/>
      <c r="HM279" s="96"/>
      <c r="HN279" s="96"/>
      <c r="HO279" s="96"/>
      <c r="HP279" s="96"/>
      <c r="HQ279" s="96"/>
      <c r="HR279" s="96"/>
      <c r="HS279" s="13"/>
      <c r="HT279" s="96"/>
      <c r="HU279" s="96"/>
      <c r="HV279" s="96"/>
      <c r="HW279" s="96"/>
      <c r="HX279" s="96"/>
      <c r="HY279" s="96"/>
      <c r="HZ279" s="96"/>
      <c r="IA279" s="96"/>
      <c r="IB279" s="96"/>
      <c r="IC279" s="96"/>
      <c r="ID279" s="96"/>
      <c r="IE279" s="96"/>
      <c r="IF279" s="96"/>
      <c r="IG279" s="96"/>
      <c r="IH279" s="96"/>
      <c r="II279" s="13"/>
      <c r="IJ279" s="96"/>
      <c r="IK279" s="96"/>
      <c r="IL279" s="96"/>
      <c r="IM279" s="96"/>
      <c r="IN279" s="96"/>
      <c r="IO279" s="96"/>
      <c r="IP279" s="96"/>
      <c r="IQ279" s="96"/>
      <c r="IR279" s="96"/>
      <c r="IS279" s="96"/>
      <c r="IT279" s="96"/>
      <c r="IU279" s="96"/>
      <c r="IV279" s="96"/>
      <c r="IW279" s="96"/>
      <c r="IX279" s="96"/>
      <c r="IY279" s="13"/>
    </row>
    <row r="280" spans="1:259" outlineLevel="1">
      <c r="A280" s="11">
        <f>'VAC &amp; MED'!C279</f>
        <v>46260</v>
      </c>
      <c r="B280" s="261"/>
      <c r="C280" s="261"/>
      <c r="D280" s="261"/>
      <c r="E280" s="261"/>
      <c r="F280" s="261"/>
      <c r="G280" s="261"/>
      <c r="H280" s="261"/>
      <c r="I280" s="261"/>
      <c r="J280" s="261"/>
      <c r="K280" s="261"/>
      <c r="L280" s="261"/>
      <c r="M280" s="261"/>
      <c r="N280" s="261"/>
      <c r="O280" s="261"/>
      <c r="P280" s="261"/>
      <c r="Q280" s="261"/>
      <c r="R280" s="262"/>
      <c r="S280" s="262"/>
      <c r="T280" s="262"/>
      <c r="U280" s="262"/>
      <c r="V280" s="262"/>
      <c r="W280" s="262"/>
      <c r="X280" s="262"/>
      <c r="Y280" s="262"/>
      <c r="Z280" s="262"/>
      <c r="AA280" s="262"/>
      <c r="AB280" s="262"/>
      <c r="AC280" s="262"/>
      <c r="AD280" s="262"/>
      <c r="AE280" s="262"/>
      <c r="AF280" s="262"/>
      <c r="AG280" s="262"/>
      <c r="AH280" s="263"/>
      <c r="AI280" s="263"/>
      <c r="AJ280" s="263"/>
      <c r="AK280" s="263"/>
      <c r="AL280" s="263"/>
      <c r="AM280" s="263"/>
      <c r="AN280" s="263"/>
      <c r="AO280" s="263"/>
      <c r="AP280" s="263"/>
      <c r="AQ280" s="263"/>
      <c r="AR280" s="263"/>
      <c r="AS280" s="263"/>
      <c r="AT280" s="263"/>
      <c r="AU280" s="263"/>
      <c r="AV280" s="263"/>
      <c r="AW280" s="263"/>
      <c r="AX280" s="264"/>
      <c r="AY280" s="264"/>
      <c r="AZ280" s="264"/>
      <c r="BA280" s="264"/>
      <c r="BB280" s="264"/>
      <c r="BC280" s="264"/>
      <c r="BD280" s="264"/>
      <c r="BE280" s="264"/>
      <c r="BF280" s="264"/>
      <c r="BG280" s="264"/>
      <c r="BH280" s="264"/>
      <c r="BI280" s="264"/>
      <c r="BJ280" s="264"/>
      <c r="BK280" s="264"/>
      <c r="BL280" s="264"/>
      <c r="BM280" s="264"/>
      <c r="BN280" s="265"/>
      <c r="BO280" s="265"/>
      <c r="BP280" s="265"/>
      <c r="BQ280" s="265"/>
      <c r="BR280" s="265"/>
      <c r="BS280" s="265"/>
      <c r="BT280" s="265"/>
      <c r="BU280" s="265"/>
      <c r="BV280" s="265"/>
      <c r="BW280" s="265"/>
      <c r="BX280" s="265"/>
      <c r="BY280" s="265"/>
      <c r="BZ280" s="265"/>
      <c r="CA280" s="265"/>
      <c r="CB280" s="265"/>
      <c r="CC280" s="265"/>
      <c r="CD280" s="266"/>
      <c r="CE280" s="266"/>
      <c r="CF280" s="266"/>
      <c r="CG280" s="266"/>
      <c r="CH280" s="266"/>
      <c r="CI280" s="266"/>
      <c r="CJ280" s="266"/>
      <c r="CK280" s="266"/>
      <c r="CL280" s="266"/>
      <c r="CM280" s="266"/>
      <c r="CN280" s="266"/>
      <c r="CO280" s="266"/>
      <c r="CP280" s="266"/>
      <c r="CQ280" s="266"/>
      <c r="CR280" s="266"/>
      <c r="CS280" s="266"/>
      <c r="CT280" s="267"/>
      <c r="CU280" s="267"/>
      <c r="CV280" s="267"/>
      <c r="CW280" s="267"/>
      <c r="CX280" s="267"/>
      <c r="CY280" s="267"/>
      <c r="CZ280" s="267"/>
      <c r="DA280" s="267"/>
      <c r="DB280" s="267"/>
      <c r="DC280" s="267"/>
      <c r="DD280" s="267"/>
      <c r="DE280" s="267"/>
      <c r="DF280" s="267"/>
      <c r="DG280" s="267"/>
      <c r="DH280" s="267"/>
      <c r="DI280" s="267"/>
      <c r="DJ280" s="268"/>
      <c r="DK280" s="268"/>
      <c r="DL280" s="268"/>
      <c r="DM280" s="268"/>
      <c r="DN280" s="268"/>
      <c r="DO280" s="268"/>
      <c r="DP280" s="268"/>
      <c r="DQ280" s="268"/>
      <c r="DR280" s="268"/>
      <c r="DS280" s="268"/>
      <c r="DT280" s="268"/>
      <c r="DU280" s="268"/>
      <c r="DV280" s="268"/>
      <c r="DW280" s="268"/>
      <c r="DX280" s="268"/>
      <c r="DY280" s="268"/>
      <c r="EA280" s="13"/>
      <c r="EB280" s="96"/>
      <c r="EC280" s="96"/>
      <c r="ED280" s="96"/>
      <c r="EE280" s="96"/>
      <c r="EF280" s="96"/>
      <c r="EG280" s="96"/>
      <c r="EH280" s="96"/>
      <c r="EI280" s="96"/>
      <c r="EJ280" s="96"/>
      <c r="EK280" s="96"/>
      <c r="EL280" s="96"/>
      <c r="EM280" s="96"/>
      <c r="EN280" s="96"/>
      <c r="EO280" s="96"/>
      <c r="EP280" s="96"/>
      <c r="EQ280" s="96"/>
      <c r="ER280" s="96"/>
      <c r="ES280" s="96"/>
      <c r="ET280" s="96"/>
      <c r="EU280" s="96"/>
      <c r="EV280" s="96"/>
      <c r="EW280" s="96"/>
      <c r="EX280" s="96"/>
      <c r="EY280" s="96"/>
      <c r="EZ280" s="96"/>
      <c r="FA280" s="96"/>
      <c r="FB280" s="96"/>
      <c r="FC280" s="96"/>
      <c r="FD280" s="96"/>
      <c r="FE280" s="96"/>
      <c r="FF280" s="96"/>
      <c r="FG280" s="96"/>
      <c r="FH280" s="96"/>
      <c r="FI280" s="96"/>
      <c r="FJ280" s="96"/>
      <c r="FK280" s="96"/>
      <c r="FL280" s="96"/>
      <c r="FM280" s="96"/>
      <c r="FN280" s="96"/>
      <c r="FO280" s="96"/>
      <c r="FP280" s="96"/>
      <c r="FQ280" s="96"/>
      <c r="FR280" s="96"/>
      <c r="FS280" s="96"/>
      <c r="FT280" s="96"/>
      <c r="FU280" s="96"/>
      <c r="FV280" s="96"/>
      <c r="FW280" s="96"/>
      <c r="FX280" s="96"/>
      <c r="FY280" s="96"/>
      <c r="FZ280" s="96"/>
      <c r="GA280" s="96"/>
      <c r="GB280" s="96"/>
      <c r="GC280" s="96"/>
      <c r="GD280" s="96"/>
      <c r="GE280" s="96"/>
      <c r="GF280" s="96"/>
      <c r="GG280" s="96"/>
      <c r="GH280" s="96"/>
      <c r="GI280" s="96"/>
      <c r="GJ280" s="96"/>
      <c r="GK280" s="96"/>
      <c r="GL280" s="96"/>
      <c r="GM280" s="13"/>
      <c r="GN280" s="96"/>
      <c r="GO280" s="96"/>
      <c r="GP280" s="96"/>
      <c r="GQ280" s="96"/>
      <c r="GR280" s="96"/>
      <c r="GS280" s="96"/>
      <c r="GT280" s="96"/>
      <c r="GU280" s="96"/>
      <c r="GV280" s="96"/>
      <c r="GW280" s="96"/>
      <c r="GX280" s="96"/>
      <c r="GY280" s="96"/>
      <c r="GZ280" s="96"/>
      <c r="HA280" s="96"/>
      <c r="HB280" s="96"/>
      <c r="HC280" s="13"/>
      <c r="HD280" s="96"/>
      <c r="HE280" s="96"/>
      <c r="HF280" s="96"/>
      <c r="HG280" s="96"/>
      <c r="HH280" s="96"/>
      <c r="HI280" s="96"/>
      <c r="HJ280" s="96"/>
      <c r="HK280" s="96"/>
      <c r="HL280" s="96"/>
      <c r="HM280" s="96"/>
      <c r="HN280" s="96"/>
      <c r="HO280" s="96"/>
      <c r="HP280" s="96"/>
      <c r="HQ280" s="96"/>
      <c r="HR280" s="96"/>
      <c r="HS280" s="13"/>
      <c r="HT280" s="96"/>
      <c r="HU280" s="96"/>
      <c r="HV280" s="96"/>
      <c r="HW280" s="96"/>
      <c r="HX280" s="96"/>
      <c r="HY280" s="96"/>
      <c r="HZ280" s="96"/>
      <c r="IA280" s="96"/>
      <c r="IB280" s="96"/>
      <c r="IC280" s="96"/>
      <c r="ID280" s="96"/>
      <c r="IE280" s="96"/>
      <c r="IF280" s="96"/>
      <c r="IG280" s="96"/>
      <c r="IH280" s="96"/>
      <c r="II280" s="13"/>
      <c r="IJ280" s="96"/>
      <c r="IK280" s="96"/>
      <c r="IL280" s="96"/>
      <c r="IM280" s="96"/>
      <c r="IN280" s="96"/>
      <c r="IO280" s="96"/>
      <c r="IP280" s="96"/>
      <c r="IQ280" s="96"/>
      <c r="IR280" s="96"/>
      <c r="IS280" s="96"/>
      <c r="IT280" s="96"/>
      <c r="IU280" s="96"/>
      <c r="IV280" s="96"/>
      <c r="IW280" s="96"/>
      <c r="IX280" s="96"/>
      <c r="IY280" s="13"/>
    </row>
    <row r="281" spans="1:259" outlineLevel="1">
      <c r="A281" s="11">
        <f>'VAC &amp; MED'!C280</f>
        <v>46261</v>
      </c>
      <c r="B281" s="261"/>
      <c r="C281" s="261"/>
      <c r="D281" s="261"/>
      <c r="E281" s="261"/>
      <c r="F281" s="261"/>
      <c r="G281" s="261"/>
      <c r="H281" s="261"/>
      <c r="I281" s="261"/>
      <c r="J281" s="261"/>
      <c r="K281" s="261"/>
      <c r="L281" s="261"/>
      <c r="M281" s="261"/>
      <c r="N281" s="261"/>
      <c r="O281" s="261"/>
      <c r="P281" s="261"/>
      <c r="Q281" s="261"/>
      <c r="R281" s="262"/>
      <c r="S281" s="262"/>
      <c r="T281" s="262"/>
      <c r="U281" s="262"/>
      <c r="V281" s="262"/>
      <c r="W281" s="262"/>
      <c r="X281" s="262"/>
      <c r="Y281" s="262"/>
      <c r="Z281" s="262"/>
      <c r="AA281" s="262"/>
      <c r="AB281" s="262"/>
      <c r="AC281" s="262"/>
      <c r="AD281" s="262"/>
      <c r="AE281" s="262"/>
      <c r="AF281" s="262"/>
      <c r="AG281" s="262"/>
      <c r="AH281" s="263"/>
      <c r="AI281" s="263"/>
      <c r="AJ281" s="263"/>
      <c r="AK281" s="263"/>
      <c r="AL281" s="263"/>
      <c r="AM281" s="263"/>
      <c r="AN281" s="263"/>
      <c r="AO281" s="263"/>
      <c r="AP281" s="263"/>
      <c r="AQ281" s="263"/>
      <c r="AR281" s="263"/>
      <c r="AS281" s="263"/>
      <c r="AT281" s="263"/>
      <c r="AU281" s="263"/>
      <c r="AV281" s="263"/>
      <c r="AW281" s="263"/>
      <c r="AX281" s="264"/>
      <c r="AY281" s="264"/>
      <c r="AZ281" s="264"/>
      <c r="BA281" s="264"/>
      <c r="BB281" s="264"/>
      <c r="BC281" s="264"/>
      <c r="BD281" s="264"/>
      <c r="BE281" s="264"/>
      <c r="BF281" s="264"/>
      <c r="BG281" s="264"/>
      <c r="BH281" s="264"/>
      <c r="BI281" s="264"/>
      <c r="BJ281" s="264"/>
      <c r="BK281" s="264"/>
      <c r="BL281" s="264"/>
      <c r="BM281" s="264"/>
      <c r="BN281" s="265"/>
      <c r="BO281" s="265"/>
      <c r="BP281" s="265"/>
      <c r="BQ281" s="265"/>
      <c r="BR281" s="265"/>
      <c r="BS281" s="265"/>
      <c r="BT281" s="265"/>
      <c r="BU281" s="265"/>
      <c r="BV281" s="265"/>
      <c r="BW281" s="265"/>
      <c r="BX281" s="265"/>
      <c r="BY281" s="265"/>
      <c r="BZ281" s="265"/>
      <c r="CA281" s="265"/>
      <c r="CB281" s="265"/>
      <c r="CC281" s="265"/>
      <c r="CD281" s="266"/>
      <c r="CE281" s="266"/>
      <c r="CF281" s="266"/>
      <c r="CG281" s="266"/>
      <c r="CH281" s="266"/>
      <c r="CI281" s="266"/>
      <c r="CJ281" s="266"/>
      <c r="CK281" s="266"/>
      <c r="CL281" s="266"/>
      <c r="CM281" s="266"/>
      <c r="CN281" s="266"/>
      <c r="CO281" s="266"/>
      <c r="CP281" s="266"/>
      <c r="CQ281" s="266"/>
      <c r="CR281" s="266"/>
      <c r="CS281" s="266"/>
      <c r="CT281" s="267"/>
      <c r="CU281" s="267"/>
      <c r="CV281" s="267"/>
      <c r="CW281" s="267"/>
      <c r="CX281" s="267"/>
      <c r="CY281" s="267"/>
      <c r="CZ281" s="267"/>
      <c r="DA281" s="267"/>
      <c r="DB281" s="267"/>
      <c r="DC281" s="267"/>
      <c r="DD281" s="267"/>
      <c r="DE281" s="267"/>
      <c r="DF281" s="267"/>
      <c r="DG281" s="267"/>
      <c r="DH281" s="267"/>
      <c r="DI281" s="267"/>
      <c r="DJ281" s="268"/>
      <c r="DK281" s="268"/>
      <c r="DL281" s="268"/>
      <c r="DM281" s="268"/>
      <c r="DN281" s="268"/>
      <c r="DO281" s="268"/>
      <c r="DP281" s="268"/>
      <c r="DQ281" s="268"/>
      <c r="DR281" s="268"/>
      <c r="DS281" s="268"/>
      <c r="DT281" s="268"/>
      <c r="DU281" s="268"/>
      <c r="DV281" s="268"/>
      <c r="DW281" s="268"/>
      <c r="DX281" s="268"/>
      <c r="DY281" s="268"/>
      <c r="EA281" s="13"/>
      <c r="EB281" s="96"/>
      <c r="EC281" s="96"/>
      <c r="ED281" s="96"/>
      <c r="EE281" s="96"/>
      <c r="EF281" s="96"/>
      <c r="EG281" s="96"/>
      <c r="EH281" s="96"/>
      <c r="EI281" s="96"/>
      <c r="EJ281" s="96"/>
      <c r="EK281" s="96"/>
      <c r="EL281" s="96"/>
      <c r="EM281" s="96"/>
      <c r="EN281" s="96"/>
      <c r="EO281" s="96"/>
      <c r="EP281" s="96"/>
      <c r="EQ281" s="96"/>
      <c r="ER281" s="96"/>
      <c r="ES281" s="96"/>
      <c r="ET281" s="96"/>
      <c r="EU281" s="96"/>
      <c r="EV281" s="96"/>
      <c r="EW281" s="96"/>
      <c r="EX281" s="96"/>
      <c r="EY281" s="96"/>
      <c r="EZ281" s="96"/>
      <c r="FA281" s="96"/>
      <c r="FB281" s="96"/>
      <c r="FC281" s="96"/>
      <c r="FD281" s="96"/>
      <c r="FE281" s="96"/>
      <c r="FF281" s="96"/>
      <c r="FG281" s="96"/>
      <c r="FH281" s="96"/>
      <c r="FI281" s="96"/>
      <c r="FJ281" s="96"/>
      <c r="FK281" s="96"/>
      <c r="FL281" s="96"/>
      <c r="FM281" s="96"/>
      <c r="FN281" s="96"/>
      <c r="FO281" s="96"/>
      <c r="FP281" s="96"/>
      <c r="FQ281" s="96"/>
      <c r="FR281" s="96"/>
      <c r="FS281" s="96"/>
      <c r="FT281" s="96"/>
      <c r="FU281" s="96"/>
      <c r="FV281" s="96"/>
      <c r="FW281" s="96"/>
      <c r="FX281" s="96"/>
      <c r="FY281" s="96"/>
      <c r="FZ281" s="96"/>
      <c r="GA281" s="96"/>
      <c r="GB281" s="96"/>
      <c r="GC281" s="96"/>
      <c r="GD281" s="96"/>
      <c r="GE281" s="96"/>
      <c r="GF281" s="96"/>
      <c r="GG281" s="96"/>
      <c r="GH281" s="96"/>
      <c r="GI281" s="96"/>
      <c r="GJ281" s="96"/>
      <c r="GK281" s="96"/>
      <c r="GL281" s="96"/>
      <c r="GM281" s="13"/>
      <c r="GN281" s="96"/>
      <c r="GO281" s="96"/>
      <c r="GP281" s="96"/>
      <c r="GQ281" s="96"/>
      <c r="GR281" s="96"/>
      <c r="GS281" s="96"/>
      <c r="GT281" s="96"/>
      <c r="GU281" s="96"/>
      <c r="GV281" s="96"/>
      <c r="GW281" s="96"/>
      <c r="GX281" s="96"/>
      <c r="GY281" s="96"/>
      <c r="GZ281" s="96"/>
      <c r="HA281" s="96"/>
      <c r="HB281" s="96"/>
      <c r="HC281" s="13"/>
      <c r="HD281" s="96"/>
      <c r="HE281" s="96"/>
      <c r="HF281" s="96"/>
      <c r="HG281" s="96"/>
      <c r="HH281" s="96"/>
      <c r="HI281" s="96"/>
      <c r="HJ281" s="96"/>
      <c r="HK281" s="96"/>
      <c r="HL281" s="96"/>
      <c r="HM281" s="96"/>
      <c r="HN281" s="96"/>
      <c r="HO281" s="96"/>
      <c r="HP281" s="96"/>
      <c r="HQ281" s="96"/>
      <c r="HR281" s="96"/>
      <c r="HS281" s="13"/>
      <c r="HT281" s="96"/>
      <c r="HU281" s="96"/>
      <c r="HV281" s="96"/>
      <c r="HW281" s="96"/>
      <c r="HX281" s="96"/>
      <c r="HY281" s="96"/>
      <c r="HZ281" s="96"/>
      <c r="IA281" s="96"/>
      <c r="IB281" s="96"/>
      <c r="IC281" s="96"/>
      <c r="ID281" s="96"/>
      <c r="IE281" s="96"/>
      <c r="IF281" s="96"/>
      <c r="IG281" s="96"/>
      <c r="IH281" s="96"/>
      <c r="II281" s="13"/>
      <c r="IJ281" s="96"/>
      <c r="IK281" s="96"/>
      <c r="IL281" s="96"/>
      <c r="IM281" s="96"/>
      <c r="IN281" s="96"/>
      <c r="IO281" s="96"/>
      <c r="IP281" s="96"/>
      <c r="IQ281" s="96"/>
      <c r="IR281" s="96"/>
      <c r="IS281" s="96"/>
      <c r="IT281" s="96"/>
      <c r="IU281" s="96"/>
      <c r="IV281" s="96"/>
      <c r="IW281" s="96"/>
      <c r="IX281" s="96"/>
      <c r="IY281" s="13"/>
    </row>
    <row r="282" spans="1:259" outlineLevel="1">
      <c r="A282" s="11">
        <f>'VAC &amp; MED'!C281</f>
        <v>46262</v>
      </c>
      <c r="B282" s="261"/>
      <c r="C282" s="261"/>
      <c r="D282" s="261"/>
      <c r="E282" s="261"/>
      <c r="F282" s="261"/>
      <c r="G282" s="261"/>
      <c r="H282" s="261"/>
      <c r="I282" s="261"/>
      <c r="J282" s="261"/>
      <c r="K282" s="261"/>
      <c r="L282" s="261"/>
      <c r="M282" s="261"/>
      <c r="N282" s="261"/>
      <c r="O282" s="261"/>
      <c r="P282" s="261"/>
      <c r="Q282" s="261"/>
      <c r="R282" s="262"/>
      <c r="S282" s="262"/>
      <c r="T282" s="262"/>
      <c r="U282" s="262"/>
      <c r="V282" s="262"/>
      <c r="W282" s="262"/>
      <c r="X282" s="262"/>
      <c r="Y282" s="262"/>
      <c r="Z282" s="262"/>
      <c r="AA282" s="262"/>
      <c r="AB282" s="262"/>
      <c r="AC282" s="262"/>
      <c r="AD282" s="262"/>
      <c r="AE282" s="262"/>
      <c r="AF282" s="262"/>
      <c r="AG282" s="262"/>
      <c r="AH282" s="263"/>
      <c r="AI282" s="263"/>
      <c r="AJ282" s="263"/>
      <c r="AK282" s="263"/>
      <c r="AL282" s="263"/>
      <c r="AM282" s="263"/>
      <c r="AN282" s="263"/>
      <c r="AO282" s="263"/>
      <c r="AP282" s="263"/>
      <c r="AQ282" s="263"/>
      <c r="AR282" s="263"/>
      <c r="AS282" s="263"/>
      <c r="AT282" s="263"/>
      <c r="AU282" s="263"/>
      <c r="AV282" s="263"/>
      <c r="AW282" s="263"/>
      <c r="AX282" s="264"/>
      <c r="AY282" s="264"/>
      <c r="AZ282" s="264"/>
      <c r="BA282" s="264"/>
      <c r="BB282" s="264"/>
      <c r="BC282" s="264"/>
      <c r="BD282" s="264"/>
      <c r="BE282" s="264"/>
      <c r="BF282" s="264"/>
      <c r="BG282" s="264"/>
      <c r="BH282" s="264"/>
      <c r="BI282" s="264"/>
      <c r="BJ282" s="264"/>
      <c r="BK282" s="264"/>
      <c r="BL282" s="264"/>
      <c r="BM282" s="264"/>
      <c r="BN282" s="265"/>
      <c r="BO282" s="265"/>
      <c r="BP282" s="265"/>
      <c r="BQ282" s="265"/>
      <c r="BR282" s="265"/>
      <c r="BS282" s="265"/>
      <c r="BT282" s="265"/>
      <c r="BU282" s="265"/>
      <c r="BV282" s="265"/>
      <c r="BW282" s="265"/>
      <c r="BX282" s="265"/>
      <c r="BY282" s="265"/>
      <c r="BZ282" s="265"/>
      <c r="CA282" s="265"/>
      <c r="CB282" s="265"/>
      <c r="CC282" s="265"/>
      <c r="CD282" s="266"/>
      <c r="CE282" s="266"/>
      <c r="CF282" s="266"/>
      <c r="CG282" s="266"/>
      <c r="CH282" s="266"/>
      <c r="CI282" s="266"/>
      <c r="CJ282" s="266"/>
      <c r="CK282" s="266"/>
      <c r="CL282" s="266"/>
      <c r="CM282" s="266"/>
      <c r="CN282" s="266"/>
      <c r="CO282" s="266"/>
      <c r="CP282" s="266"/>
      <c r="CQ282" s="266"/>
      <c r="CR282" s="266"/>
      <c r="CS282" s="266"/>
      <c r="CT282" s="267"/>
      <c r="CU282" s="267"/>
      <c r="CV282" s="267"/>
      <c r="CW282" s="267"/>
      <c r="CX282" s="267"/>
      <c r="CY282" s="267"/>
      <c r="CZ282" s="267"/>
      <c r="DA282" s="267"/>
      <c r="DB282" s="267"/>
      <c r="DC282" s="267"/>
      <c r="DD282" s="267"/>
      <c r="DE282" s="267"/>
      <c r="DF282" s="267"/>
      <c r="DG282" s="267"/>
      <c r="DH282" s="267"/>
      <c r="DI282" s="267"/>
      <c r="DJ282" s="268"/>
      <c r="DK282" s="268"/>
      <c r="DL282" s="268"/>
      <c r="DM282" s="268"/>
      <c r="DN282" s="268"/>
      <c r="DO282" s="268"/>
      <c r="DP282" s="268"/>
      <c r="DQ282" s="268"/>
      <c r="DR282" s="268"/>
      <c r="DS282" s="268"/>
      <c r="DT282" s="268"/>
      <c r="DU282" s="268"/>
      <c r="DV282" s="268"/>
      <c r="DW282" s="268"/>
      <c r="DX282" s="268"/>
      <c r="DY282" s="268"/>
      <c r="EA282" s="13"/>
      <c r="EB282" s="96"/>
      <c r="EC282" s="96"/>
      <c r="ED282" s="96"/>
      <c r="EE282" s="96"/>
      <c r="EF282" s="96"/>
      <c r="EG282" s="96"/>
      <c r="EH282" s="96"/>
      <c r="EI282" s="96"/>
      <c r="EJ282" s="96"/>
      <c r="EK282" s="96"/>
      <c r="EL282" s="96"/>
      <c r="EM282" s="96"/>
      <c r="EN282" s="96"/>
      <c r="EO282" s="96"/>
      <c r="EP282" s="96"/>
      <c r="EQ282" s="96"/>
      <c r="ER282" s="96"/>
      <c r="ES282" s="96"/>
      <c r="ET282" s="96"/>
      <c r="EU282" s="96"/>
      <c r="EV282" s="96"/>
      <c r="EW282" s="96"/>
      <c r="EX282" s="96"/>
      <c r="EY282" s="96"/>
      <c r="EZ282" s="96"/>
      <c r="FA282" s="96"/>
      <c r="FB282" s="96"/>
      <c r="FC282" s="96"/>
      <c r="FD282" s="96"/>
      <c r="FE282" s="96"/>
      <c r="FF282" s="96"/>
      <c r="FG282" s="96"/>
      <c r="FH282" s="96"/>
      <c r="FI282" s="96"/>
      <c r="FJ282" s="96"/>
      <c r="FK282" s="96"/>
      <c r="FL282" s="96"/>
      <c r="FM282" s="96"/>
      <c r="FN282" s="96"/>
      <c r="FO282" s="96"/>
      <c r="FP282" s="96"/>
      <c r="FQ282" s="96"/>
      <c r="FR282" s="96"/>
      <c r="FS282" s="96"/>
      <c r="FT282" s="96"/>
      <c r="FU282" s="96"/>
      <c r="FV282" s="96"/>
      <c r="FW282" s="96"/>
      <c r="FX282" s="96"/>
      <c r="FY282" s="96"/>
      <c r="FZ282" s="96"/>
      <c r="GA282" s="96"/>
      <c r="GB282" s="96"/>
      <c r="GC282" s="96"/>
      <c r="GD282" s="96"/>
      <c r="GE282" s="96"/>
      <c r="GF282" s="96"/>
      <c r="GG282" s="96"/>
      <c r="GH282" s="96"/>
      <c r="GI282" s="96"/>
      <c r="GJ282" s="96"/>
      <c r="GK282" s="96"/>
      <c r="GL282" s="96"/>
      <c r="GM282" s="13"/>
      <c r="GN282" s="96"/>
      <c r="GO282" s="96"/>
      <c r="GP282" s="96"/>
      <c r="GQ282" s="96"/>
      <c r="GR282" s="96"/>
      <c r="GS282" s="96"/>
      <c r="GT282" s="96"/>
      <c r="GU282" s="96"/>
      <c r="GV282" s="96"/>
      <c r="GW282" s="96"/>
      <c r="GX282" s="96"/>
      <c r="GY282" s="96"/>
      <c r="GZ282" s="96"/>
      <c r="HA282" s="96"/>
      <c r="HB282" s="96"/>
      <c r="HC282" s="13"/>
      <c r="HD282" s="96"/>
      <c r="HE282" s="96"/>
      <c r="HF282" s="96"/>
      <c r="HG282" s="96"/>
      <c r="HH282" s="96"/>
      <c r="HI282" s="96"/>
      <c r="HJ282" s="96"/>
      <c r="HK282" s="96"/>
      <c r="HL282" s="96"/>
      <c r="HM282" s="96"/>
      <c r="HN282" s="96"/>
      <c r="HO282" s="96"/>
      <c r="HP282" s="96"/>
      <c r="HQ282" s="96"/>
      <c r="HR282" s="96"/>
      <c r="HS282" s="13"/>
      <c r="HT282" s="96"/>
      <c r="HU282" s="96"/>
      <c r="HV282" s="96"/>
      <c r="HW282" s="96"/>
      <c r="HX282" s="96"/>
      <c r="HY282" s="96"/>
      <c r="HZ282" s="96"/>
      <c r="IA282" s="96"/>
      <c r="IB282" s="96"/>
      <c r="IC282" s="96"/>
      <c r="ID282" s="96"/>
      <c r="IE282" s="96"/>
      <c r="IF282" s="96"/>
      <c r="IG282" s="96"/>
      <c r="IH282" s="96"/>
      <c r="II282" s="13"/>
      <c r="IJ282" s="96"/>
      <c r="IK282" s="96"/>
      <c r="IL282" s="96"/>
      <c r="IM282" s="96"/>
      <c r="IN282" s="96"/>
      <c r="IO282" s="96"/>
      <c r="IP282" s="96"/>
      <c r="IQ282" s="96"/>
      <c r="IR282" s="96"/>
      <c r="IS282" s="96"/>
      <c r="IT282" s="96"/>
      <c r="IU282" s="96"/>
      <c r="IV282" s="96"/>
      <c r="IW282" s="96"/>
      <c r="IX282" s="96"/>
      <c r="IY282" s="13"/>
    </row>
    <row r="283" spans="1:259" outlineLevel="1">
      <c r="A283" s="11">
        <f>'VAC &amp; MED'!C282</f>
        <v>46263</v>
      </c>
      <c r="B283" s="269"/>
      <c r="C283" s="269"/>
      <c r="D283" s="269"/>
      <c r="E283" s="269"/>
      <c r="F283" s="269"/>
      <c r="G283" s="269"/>
      <c r="H283" s="269"/>
      <c r="I283" s="269"/>
      <c r="J283" s="269"/>
      <c r="K283" s="269"/>
      <c r="L283" s="269"/>
      <c r="M283" s="269"/>
      <c r="N283" s="269"/>
      <c r="O283" s="269"/>
      <c r="P283" s="269"/>
      <c r="Q283" s="269"/>
      <c r="R283" s="270"/>
      <c r="S283" s="270"/>
      <c r="T283" s="270"/>
      <c r="U283" s="270"/>
      <c r="V283" s="270"/>
      <c r="W283" s="270"/>
      <c r="X283" s="270"/>
      <c r="Y283" s="270"/>
      <c r="Z283" s="270"/>
      <c r="AA283" s="270"/>
      <c r="AB283" s="270"/>
      <c r="AC283" s="270"/>
      <c r="AD283" s="270"/>
      <c r="AE283" s="270"/>
      <c r="AF283" s="270"/>
      <c r="AG283" s="270"/>
      <c r="AH283" s="271"/>
      <c r="AI283" s="271"/>
      <c r="AJ283" s="271"/>
      <c r="AK283" s="271"/>
      <c r="AL283" s="271"/>
      <c r="AM283" s="271"/>
      <c r="AN283" s="271"/>
      <c r="AO283" s="271"/>
      <c r="AP283" s="271"/>
      <c r="AQ283" s="271"/>
      <c r="AR283" s="271"/>
      <c r="AS283" s="271"/>
      <c r="AT283" s="271"/>
      <c r="AU283" s="271"/>
      <c r="AV283" s="271"/>
      <c r="AW283" s="271"/>
      <c r="AX283" s="272"/>
      <c r="AY283" s="272"/>
      <c r="AZ283" s="272"/>
      <c r="BA283" s="272"/>
      <c r="BB283" s="272"/>
      <c r="BC283" s="272"/>
      <c r="BD283" s="272"/>
      <c r="BE283" s="272"/>
      <c r="BF283" s="272"/>
      <c r="BG283" s="272"/>
      <c r="BH283" s="272"/>
      <c r="BI283" s="272"/>
      <c r="BJ283" s="272"/>
      <c r="BK283" s="272"/>
      <c r="BL283" s="272"/>
      <c r="BM283" s="272"/>
      <c r="BN283" s="273"/>
      <c r="BO283" s="273"/>
      <c r="BP283" s="273"/>
      <c r="BQ283" s="273"/>
      <c r="BR283" s="273"/>
      <c r="BS283" s="273"/>
      <c r="BT283" s="273"/>
      <c r="BU283" s="273"/>
      <c r="BV283" s="273"/>
      <c r="BW283" s="273"/>
      <c r="BX283" s="273"/>
      <c r="BY283" s="273"/>
      <c r="BZ283" s="273"/>
      <c r="CA283" s="273"/>
      <c r="CB283" s="273"/>
      <c r="CC283" s="273"/>
      <c r="CD283" s="274"/>
      <c r="CE283" s="274"/>
      <c r="CF283" s="274"/>
      <c r="CG283" s="274"/>
      <c r="CH283" s="274"/>
      <c r="CI283" s="274"/>
      <c r="CJ283" s="274"/>
      <c r="CK283" s="274"/>
      <c r="CL283" s="274"/>
      <c r="CM283" s="274"/>
      <c r="CN283" s="274"/>
      <c r="CO283" s="274"/>
      <c r="CP283" s="274"/>
      <c r="CQ283" s="274"/>
      <c r="CR283" s="274"/>
      <c r="CS283" s="274"/>
      <c r="CT283" s="275"/>
      <c r="CU283" s="275"/>
      <c r="CV283" s="275"/>
      <c r="CW283" s="275"/>
      <c r="CX283" s="275"/>
      <c r="CY283" s="275"/>
      <c r="CZ283" s="275"/>
      <c r="DA283" s="275"/>
      <c r="DB283" s="275"/>
      <c r="DC283" s="275"/>
      <c r="DD283" s="275"/>
      <c r="DE283" s="275"/>
      <c r="DF283" s="275"/>
      <c r="DG283" s="275"/>
      <c r="DH283" s="275"/>
      <c r="DI283" s="275"/>
      <c r="DJ283" s="276"/>
      <c r="DK283" s="276"/>
      <c r="DL283" s="276"/>
      <c r="DM283" s="276"/>
      <c r="DN283" s="276"/>
      <c r="DO283" s="276"/>
      <c r="DP283" s="276"/>
      <c r="DQ283" s="276"/>
      <c r="DR283" s="276"/>
      <c r="DS283" s="276"/>
      <c r="DT283" s="276"/>
      <c r="DU283" s="276"/>
      <c r="DV283" s="276"/>
      <c r="DW283" s="276"/>
      <c r="DX283" s="276"/>
      <c r="DY283" s="276"/>
      <c r="EA283" s="89"/>
      <c r="EB283" s="96"/>
      <c r="EC283" s="96"/>
      <c r="ED283" s="96"/>
      <c r="EE283" s="96"/>
      <c r="EF283" s="96"/>
      <c r="EG283" s="96"/>
      <c r="EH283" s="96"/>
      <c r="EI283" s="96"/>
      <c r="EJ283" s="96"/>
      <c r="EK283" s="96"/>
      <c r="EL283" s="96"/>
      <c r="EM283" s="96"/>
      <c r="EN283" s="96"/>
      <c r="EO283" s="96"/>
      <c r="EP283" s="96"/>
      <c r="EQ283" s="96"/>
      <c r="ER283" s="96"/>
      <c r="ES283" s="96"/>
      <c r="ET283" s="96"/>
      <c r="EU283" s="96"/>
      <c r="EV283" s="96"/>
      <c r="EW283" s="96"/>
      <c r="EX283" s="96"/>
      <c r="EY283" s="96"/>
      <c r="EZ283" s="96"/>
      <c r="FA283" s="96"/>
      <c r="FB283" s="96"/>
      <c r="FC283" s="96"/>
      <c r="FD283" s="96"/>
      <c r="FE283" s="96"/>
      <c r="FF283" s="96"/>
      <c r="FG283" s="96"/>
      <c r="FH283" s="96"/>
      <c r="FI283" s="96"/>
      <c r="FJ283" s="96"/>
      <c r="FK283" s="96"/>
      <c r="FL283" s="96"/>
      <c r="FM283" s="96"/>
      <c r="FN283" s="96"/>
      <c r="FO283" s="96"/>
      <c r="FP283" s="96"/>
      <c r="FQ283" s="96"/>
      <c r="FR283" s="96"/>
      <c r="FS283" s="96"/>
      <c r="FT283" s="96"/>
      <c r="FU283" s="96"/>
      <c r="FV283" s="96"/>
      <c r="FW283" s="96"/>
      <c r="FX283" s="96"/>
      <c r="FY283" s="96"/>
      <c r="FZ283" s="96"/>
      <c r="GA283" s="96"/>
      <c r="GB283" s="96"/>
      <c r="GC283" s="96"/>
      <c r="GD283" s="96"/>
      <c r="GE283" s="96"/>
      <c r="GF283" s="96"/>
      <c r="GG283" s="96"/>
      <c r="GH283" s="96"/>
      <c r="GI283" s="96"/>
      <c r="GJ283" s="96"/>
      <c r="GK283" s="96"/>
      <c r="GL283" s="96"/>
      <c r="GM283" s="13"/>
      <c r="GN283" s="96"/>
      <c r="GO283" s="96"/>
      <c r="GP283" s="96"/>
      <c r="GQ283" s="96"/>
      <c r="GR283" s="96"/>
      <c r="GS283" s="96"/>
      <c r="GT283" s="96"/>
      <c r="GU283" s="96"/>
      <c r="GV283" s="96"/>
      <c r="GW283" s="96"/>
      <c r="GX283" s="96"/>
      <c r="GY283" s="96"/>
      <c r="GZ283" s="96"/>
      <c r="HA283" s="96"/>
      <c r="HB283" s="96"/>
      <c r="HC283" s="13"/>
      <c r="HD283" s="96"/>
      <c r="HE283" s="96"/>
      <c r="HF283" s="96"/>
      <c r="HG283" s="96"/>
      <c r="HH283" s="96"/>
      <c r="HI283" s="96"/>
      <c r="HJ283" s="96"/>
      <c r="HK283" s="96"/>
      <c r="HL283" s="96"/>
      <c r="HM283" s="96"/>
      <c r="HN283" s="96"/>
      <c r="HO283" s="96"/>
      <c r="HP283" s="96"/>
      <c r="HQ283" s="96"/>
      <c r="HR283" s="96"/>
      <c r="HS283" s="13"/>
      <c r="HT283" s="96"/>
      <c r="HU283" s="96"/>
      <c r="HV283" s="96"/>
      <c r="HW283" s="96"/>
      <c r="HX283" s="96"/>
      <c r="HY283" s="96"/>
      <c r="HZ283" s="96"/>
      <c r="IA283" s="96"/>
      <c r="IB283" s="96"/>
      <c r="IC283" s="96"/>
      <c r="ID283" s="96"/>
      <c r="IE283" s="96"/>
      <c r="IF283" s="96"/>
      <c r="IG283" s="96"/>
      <c r="IH283" s="96"/>
      <c r="II283" s="13"/>
      <c r="IJ283" s="96"/>
      <c r="IK283" s="96"/>
      <c r="IL283" s="96"/>
      <c r="IM283" s="96"/>
      <c r="IN283" s="96"/>
      <c r="IO283" s="96"/>
      <c r="IP283" s="96"/>
      <c r="IQ283" s="96"/>
      <c r="IR283" s="96"/>
      <c r="IS283" s="96"/>
      <c r="IT283" s="96"/>
      <c r="IU283" s="96"/>
      <c r="IV283" s="96"/>
      <c r="IW283" s="96"/>
      <c r="IX283" s="96"/>
      <c r="IY283" s="13"/>
    </row>
    <row r="284" spans="1:259" outlineLevel="1">
      <c r="A284" s="11">
        <f>'VAC &amp; MED'!C283</f>
        <v>46264</v>
      </c>
      <c r="B284" s="261"/>
      <c r="C284" s="261"/>
      <c r="D284" s="261"/>
      <c r="E284" s="261"/>
      <c r="F284" s="261"/>
      <c r="G284" s="261"/>
      <c r="H284" s="261"/>
      <c r="I284" s="261"/>
      <c r="J284" s="261"/>
      <c r="K284" s="261"/>
      <c r="L284" s="261"/>
      <c r="M284" s="261"/>
      <c r="N284" s="261"/>
      <c r="O284" s="261"/>
      <c r="P284" s="261"/>
      <c r="Q284" s="261"/>
      <c r="R284" s="262"/>
      <c r="S284" s="262"/>
      <c r="T284" s="262"/>
      <c r="U284" s="262"/>
      <c r="V284" s="262"/>
      <c r="W284" s="262"/>
      <c r="X284" s="262"/>
      <c r="Y284" s="262"/>
      <c r="Z284" s="262"/>
      <c r="AA284" s="262"/>
      <c r="AB284" s="262"/>
      <c r="AC284" s="262"/>
      <c r="AD284" s="262"/>
      <c r="AE284" s="262"/>
      <c r="AF284" s="262"/>
      <c r="AG284" s="262"/>
      <c r="AH284" s="263"/>
      <c r="AI284" s="263"/>
      <c r="AJ284" s="263"/>
      <c r="AK284" s="263"/>
      <c r="AL284" s="263"/>
      <c r="AM284" s="263"/>
      <c r="AN284" s="263"/>
      <c r="AO284" s="263"/>
      <c r="AP284" s="263"/>
      <c r="AQ284" s="263"/>
      <c r="AR284" s="263"/>
      <c r="AS284" s="263"/>
      <c r="AT284" s="263"/>
      <c r="AU284" s="263"/>
      <c r="AV284" s="263"/>
      <c r="AW284" s="263"/>
      <c r="AX284" s="264"/>
      <c r="AY284" s="264"/>
      <c r="AZ284" s="264"/>
      <c r="BA284" s="264"/>
      <c r="BB284" s="264"/>
      <c r="BC284" s="264"/>
      <c r="BD284" s="264"/>
      <c r="BE284" s="264"/>
      <c r="BF284" s="264"/>
      <c r="BG284" s="264"/>
      <c r="BH284" s="264"/>
      <c r="BI284" s="264"/>
      <c r="BJ284" s="264"/>
      <c r="BK284" s="264"/>
      <c r="BL284" s="264"/>
      <c r="BM284" s="264"/>
      <c r="BN284" s="265"/>
      <c r="BO284" s="265"/>
      <c r="BP284" s="265"/>
      <c r="BQ284" s="265"/>
      <c r="BR284" s="265"/>
      <c r="BS284" s="265"/>
      <c r="BT284" s="265"/>
      <c r="BU284" s="265"/>
      <c r="BV284" s="265"/>
      <c r="BW284" s="265"/>
      <c r="BX284" s="265"/>
      <c r="BY284" s="265"/>
      <c r="BZ284" s="265"/>
      <c r="CA284" s="265"/>
      <c r="CB284" s="265"/>
      <c r="CC284" s="265"/>
      <c r="CD284" s="266"/>
      <c r="CE284" s="266"/>
      <c r="CF284" s="266"/>
      <c r="CG284" s="266"/>
      <c r="CH284" s="266"/>
      <c r="CI284" s="266"/>
      <c r="CJ284" s="266"/>
      <c r="CK284" s="266"/>
      <c r="CL284" s="266"/>
      <c r="CM284" s="266"/>
      <c r="CN284" s="266"/>
      <c r="CO284" s="266"/>
      <c r="CP284" s="266"/>
      <c r="CQ284" s="266"/>
      <c r="CR284" s="266"/>
      <c r="CS284" s="266"/>
      <c r="CT284" s="267"/>
      <c r="CU284" s="267"/>
      <c r="CV284" s="267"/>
      <c r="CW284" s="267"/>
      <c r="CX284" s="267"/>
      <c r="CY284" s="267"/>
      <c r="CZ284" s="267"/>
      <c r="DA284" s="267"/>
      <c r="DB284" s="267"/>
      <c r="DC284" s="267"/>
      <c r="DD284" s="267"/>
      <c r="DE284" s="267"/>
      <c r="DF284" s="267"/>
      <c r="DG284" s="267"/>
      <c r="DH284" s="267"/>
      <c r="DI284" s="267"/>
      <c r="DJ284" s="268"/>
      <c r="DK284" s="268"/>
      <c r="DL284" s="268"/>
      <c r="DM284" s="268"/>
      <c r="DN284" s="268"/>
      <c r="DO284" s="268"/>
      <c r="DP284" s="268"/>
      <c r="DQ284" s="268"/>
      <c r="DR284" s="268"/>
      <c r="DS284" s="268"/>
      <c r="DT284" s="268"/>
      <c r="DU284" s="268"/>
      <c r="DV284" s="268"/>
      <c r="DW284" s="268"/>
      <c r="DX284" s="268"/>
      <c r="DY284" s="268"/>
      <c r="EA284" s="13"/>
      <c r="EB284" s="95"/>
      <c r="EC284" s="95"/>
      <c r="ED284" s="95"/>
      <c r="EE284" s="95"/>
      <c r="EF284" s="95"/>
      <c r="EG284" s="95"/>
      <c r="EH284" s="95"/>
      <c r="EI284" s="95"/>
      <c r="EJ284" s="95"/>
      <c r="EK284" s="95"/>
      <c r="EL284" s="95"/>
      <c r="EM284" s="95"/>
      <c r="EN284" s="95"/>
      <c r="EO284" s="95"/>
      <c r="EP284" s="95"/>
      <c r="EQ284" s="95"/>
      <c r="ER284" s="13"/>
      <c r="ES284" s="13"/>
      <c r="ET284" s="13"/>
      <c r="EU284" s="13"/>
      <c r="EV284" s="13"/>
      <c r="EW284" s="13"/>
      <c r="EX284" s="13"/>
      <c r="EY284" s="13"/>
      <c r="EZ284" s="13"/>
      <c r="FA284" s="13"/>
      <c r="FB284" s="13"/>
      <c r="FC284" s="13"/>
      <c r="FD284" s="13"/>
      <c r="FE284" s="13"/>
      <c r="FF284" s="13"/>
      <c r="FG284" s="13"/>
      <c r="FH284" s="13"/>
      <c r="FI284" s="13"/>
      <c r="FJ284" s="13"/>
      <c r="FK284" s="13"/>
      <c r="FL284" s="13"/>
      <c r="FM284" s="13"/>
      <c r="FN284" s="13"/>
      <c r="FO284" s="13"/>
      <c r="FP284" s="13"/>
      <c r="FQ284" s="13"/>
      <c r="FR284" s="13"/>
      <c r="FS284" s="13"/>
      <c r="FT284" s="13"/>
      <c r="FU284" s="13"/>
      <c r="FV284" s="13"/>
      <c r="FW284" s="13"/>
      <c r="FX284" s="13"/>
      <c r="FY284" s="13"/>
      <c r="FZ284" s="13"/>
      <c r="GA284" s="13"/>
      <c r="GB284" s="13"/>
      <c r="GC284" s="13"/>
      <c r="GD284" s="13"/>
      <c r="GE284" s="13"/>
      <c r="GF284" s="13"/>
      <c r="GG284" s="13"/>
      <c r="GH284" s="13"/>
      <c r="GI284" s="13"/>
      <c r="GJ284" s="13"/>
      <c r="GK284" s="13"/>
      <c r="GL284" s="13"/>
      <c r="GM284" s="13"/>
      <c r="GN284" s="13"/>
      <c r="GO284" s="13"/>
      <c r="GP284" s="13"/>
      <c r="GQ284" s="13"/>
      <c r="GR284" s="13"/>
      <c r="GS284" s="13"/>
      <c r="GT284" s="13"/>
      <c r="GU284" s="13"/>
      <c r="GV284" s="13"/>
      <c r="GW284" s="13"/>
      <c r="GX284" s="13"/>
      <c r="GY284" s="13"/>
      <c r="GZ284" s="13"/>
      <c r="HA284" s="13"/>
      <c r="HB284" s="13"/>
      <c r="HC284" s="13"/>
      <c r="HD284" s="13"/>
      <c r="HE284" s="13"/>
      <c r="HF284" s="13"/>
      <c r="HG284" s="13"/>
      <c r="HH284" s="13"/>
      <c r="HI284" s="13"/>
      <c r="HJ284" s="13"/>
      <c r="HK284" s="13"/>
      <c r="HL284" s="13"/>
      <c r="HM284" s="13"/>
      <c r="HN284" s="13"/>
      <c r="HO284" s="13"/>
      <c r="HP284" s="13"/>
      <c r="HQ284" s="13"/>
      <c r="HR284" s="13"/>
      <c r="HS284" s="13"/>
      <c r="HT284" s="13"/>
      <c r="HU284" s="13"/>
      <c r="HV284" s="13"/>
      <c r="HW284" s="13"/>
      <c r="HX284" s="13"/>
      <c r="HY284" s="13"/>
      <c r="HZ284" s="13"/>
      <c r="IA284" s="13"/>
      <c r="IB284" s="13"/>
      <c r="IC284" s="13"/>
      <c r="ID284" s="13"/>
      <c r="IE284" s="13"/>
      <c r="IF284" s="13"/>
      <c r="IG284" s="13"/>
      <c r="IH284" s="13"/>
      <c r="II284" s="13"/>
      <c r="IJ284" s="13"/>
      <c r="IK284" s="13"/>
      <c r="IL284" s="13"/>
      <c r="IM284" s="13"/>
      <c r="IN284" s="13"/>
      <c r="IO284" s="13"/>
      <c r="IP284" s="13"/>
      <c r="IQ284" s="13"/>
      <c r="IR284" s="13"/>
      <c r="IS284" s="13"/>
      <c r="IT284" s="13"/>
      <c r="IU284" s="13"/>
      <c r="IV284" s="13"/>
      <c r="IW284" s="13"/>
      <c r="IX284" s="13"/>
      <c r="IY284" s="13"/>
    </row>
    <row r="285" spans="1:259" outlineLevel="1">
      <c r="A285" s="11">
        <f>'VAC &amp; MED'!C284</f>
        <v>46265</v>
      </c>
      <c r="B285" s="261"/>
      <c r="C285" s="261"/>
      <c r="D285" s="261"/>
      <c r="E285" s="261"/>
      <c r="F285" s="261"/>
      <c r="G285" s="261"/>
      <c r="H285" s="261"/>
      <c r="I285" s="261"/>
      <c r="J285" s="261"/>
      <c r="K285" s="261"/>
      <c r="L285" s="261"/>
      <c r="M285" s="261"/>
      <c r="N285" s="261"/>
      <c r="O285" s="261"/>
      <c r="P285" s="261"/>
      <c r="Q285" s="261"/>
      <c r="R285" s="262"/>
      <c r="S285" s="262"/>
      <c r="T285" s="262"/>
      <c r="U285" s="262"/>
      <c r="V285" s="262"/>
      <c r="W285" s="262"/>
      <c r="X285" s="262"/>
      <c r="Y285" s="262"/>
      <c r="Z285" s="262"/>
      <c r="AA285" s="262"/>
      <c r="AB285" s="262"/>
      <c r="AC285" s="262"/>
      <c r="AD285" s="262"/>
      <c r="AE285" s="262"/>
      <c r="AF285" s="262"/>
      <c r="AG285" s="262"/>
      <c r="AH285" s="263"/>
      <c r="AI285" s="263"/>
      <c r="AJ285" s="263"/>
      <c r="AK285" s="263"/>
      <c r="AL285" s="263"/>
      <c r="AM285" s="263"/>
      <c r="AN285" s="263"/>
      <c r="AO285" s="263"/>
      <c r="AP285" s="263"/>
      <c r="AQ285" s="263"/>
      <c r="AR285" s="263"/>
      <c r="AS285" s="263"/>
      <c r="AT285" s="263"/>
      <c r="AU285" s="263"/>
      <c r="AV285" s="263"/>
      <c r="AW285" s="263"/>
      <c r="AX285" s="264"/>
      <c r="AY285" s="264"/>
      <c r="AZ285" s="264"/>
      <c r="BA285" s="264"/>
      <c r="BB285" s="264"/>
      <c r="BC285" s="264"/>
      <c r="BD285" s="264"/>
      <c r="BE285" s="264"/>
      <c r="BF285" s="264"/>
      <c r="BG285" s="264"/>
      <c r="BH285" s="264"/>
      <c r="BI285" s="264"/>
      <c r="BJ285" s="264"/>
      <c r="BK285" s="264"/>
      <c r="BL285" s="264"/>
      <c r="BM285" s="264"/>
      <c r="BN285" s="265"/>
      <c r="BO285" s="265"/>
      <c r="BP285" s="265"/>
      <c r="BQ285" s="265"/>
      <c r="BR285" s="265"/>
      <c r="BS285" s="265"/>
      <c r="BT285" s="265"/>
      <c r="BU285" s="265"/>
      <c r="BV285" s="265"/>
      <c r="BW285" s="265"/>
      <c r="BX285" s="265"/>
      <c r="BY285" s="265"/>
      <c r="BZ285" s="265"/>
      <c r="CA285" s="265"/>
      <c r="CB285" s="265"/>
      <c r="CC285" s="265"/>
      <c r="CD285" s="266"/>
      <c r="CE285" s="266"/>
      <c r="CF285" s="266"/>
      <c r="CG285" s="266"/>
      <c r="CH285" s="266"/>
      <c r="CI285" s="266"/>
      <c r="CJ285" s="266"/>
      <c r="CK285" s="266"/>
      <c r="CL285" s="266"/>
      <c r="CM285" s="266"/>
      <c r="CN285" s="266"/>
      <c r="CO285" s="266"/>
      <c r="CP285" s="266"/>
      <c r="CQ285" s="266"/>
      <c r="CR285" s="266"/>
      <c r="CS285" s="266"/>
      <c r="CT285" s="267"/>
      <c r="CU285" s="267"/>
      <c r="CV285" s="267"/>
      <c r="CW285" s="267"/>
      <c r="CX285" s="267"/>
      <c r="CY285" s="267"/>
      <c r="CZ285" s="267"/>
      <c r="DA285" s="267"/>
      <c r="DB285" s="267"/>
      <c r="DC285" s="267"/>
      <c r="DD285" s="267"/>
      <c r="DE285" s="267"/>
      <c r="DF285" s="267"/>
      <c r="DG285" s="267"/>
      <c r="DH285" s="267"/>
      <c r="DI285" s="267"/>
      <c r="DJ285" s="268"/>
      <c r="DK285" s="268"/>
      <c r="DL285" s="268"/>
      <c r="DM285" s="268"/>
      <c r="DN285" s="268"/>
      <c r="DO285" s="268"/>
      <c r="DP285" s="268"/>
      <c r="DQ285" s="268"/>
      <c r="DR285" s="268"/>
      <c r="DS285" s="268"/>
      <c r="DT285" s="268"/>
      <c r="DU285" s="268"/>
      <c r="DV285" s="268"/>
      <c r="DW285" s="268"/>
      <c r="DX285" s="268"/>
      <c r="DY285" s="268"/>
      <c r="EA285" s="13"/>
      <c r="EB285" s="95"/>
      <c r="EC285" s="95"/>
      <c r="ED285" s="95"/>
      <c r="EE285" s="95"/>
      <c r="EF285" s="95"/>
      <c r="EG285" s="95"/>
      <c r="EH285" s="95"/>
      <c r="EI285" s="95"/>
      <c r="EJ285" s="95"/>
      <c r="EK285" s="95"/>
      <c r="EL285" s="95"/>
      <c r="EM285" s="95"/>
      <c r="EN285" s="95"/>
      <c r="EO285" s="95"/>
      <c r="EP285" s="95"/>
      <c r="EQ285" s="95"/>
      <c r="ER285" s="13"/>
      <c r="ES285" s="13"/>
      <c r="ET285" s="13"/>
      <c r="EU285" s="13"/>
      <c r="EV285" s="13"/>
      <c r="EW285" s="13"/>
      <c r="EX285" s="13"/>
      <c r="EY285" s="13"/>
      <c r="EZ285" s="13"/>
      <c r="FA285" s="13"/>
      <c r="FB285" s="13"/>
      <c r="FC285" s="13"/>
      <c r="FD285" s="13"/>
      <c r="FE285" s="13"/>
      <c r="FF285" s="13"/>
      <c r="FG285" s="13"/>
      <c r="FH285" s="13"/>
      <c r="FI285" s="13"/>
      <c r="FJ285" s="13"/>
      <c r="FK285" s="13"/>
      <c r="FL285" s="13"/>
      <c r="FM285" s="13"/>
      <c r="FN285" s="13"/>
      <c r="FO285" s="13"/>
      <c r="FP285" s="13"/>
      <c r="FQ285" s="13"/>
      <c r="FR285" s="13"/>
      <c r="FS285" s="13"/>
      <c r="FT285" s="13"/>
      <c r="FU285" s="13"/>
      <c r="FV285" s="13"/>
      <c r="FW285" s="13"/>
      <c r="FX285" s="13"/>
      <c r="FY285" s="13"/>
      <c r="FZ285" s="13"/>
      <c r="GA285" s="13"/>
      <c r="GB285" s="13"/>
      <c r="GC285" s="13"/>
      <c r="GD285" s="13"/>
      <c r="GE285" s="13"/>
      <c r="GF285" s="13"/>
      <c r="GG285" s="13"/>
      <c r="GH285" s="13"/>
      <c r="GI285" s="13"/>
      <c r="GJ285" s="13"/>
      <c r="GK285" s="13"/>
      <c r="GL285" s="13"/>
      <c r="GM285" s="13"/>
      <c r="GN285" s="13"/>
      <c r="GO285" s="13"/>
      <c r="GP285" s="13"/>
      <c r="GQ285" s="13"/>
      <c r="GR285" s="13"/>
      <c r="GS285" s="13"/>
      <c r="GT285" s="13"/>
      <c r="GU285" s="13"/>
      <c r="GV285" s="13"/>
      <c r="GW285" s="13"/>
      <c r="GX285" s="13"/>
      <c r="GY285" s="13"/>
      <c r="GZ285" s="13"/>
      <c r="HA285" s="13"/>
      <c r="HB285" s="13"/>
      <c r="HC285" s="13"/>
      <c r="HD285" s="13"/>
      <c r="HE285" s="13"/>
      <c r="HF285" s="13"/>
      <c r="HG285" s="13"/>
      <c r="HH285" s="13"/>
      <c r="HI285" s="13"/>
      <c r="HJ285" s="13"/>
      <c r="HK285" s="13"/>
      <c r="HL285" s="13"/>
      <c r="HM285" s="13"/>
      <c r="HN285" s="13"/>
      <c r="HO285" s="13"/>
      <c r="HP285" s="13"/>
      <c r="HQ285" s="13"/>
      <c r="HR285" s="13"/>
      <c r="HS285" s="13"/>
      <c r="HT285" s="13"/>
      <c r="HU285" s="13"/>
      <c r="HV285" s="13"/>
      <c r="HW285" s="13"/>
      <c r="HX285" s="13"/>
      <c r="HY285" s="13"/>
      <c r="HZ285" s="13"/>
      <c r="IA285" s="13"/>
      <c r="IB285" s="13"/>
      <c r="IC285" s="13"/>
      <c r="ID285" s="13"/>
      <c r="IE285" s="13"/>
      <c r="IF285" s="13"/>
      <c r="IG285" s="13"/>
      <c r="IH285" s="13"/>
      <c r="II285" s="13"/>
      <c r="IJ285" s="13"/>
      <c r="IK285" s="13"/>
      <c r="IL285" s="13"/>
      <c r="IM285" s="13"/>
      <c r="IN285" s="13"/>
      <c r="IO285" s="13"/>
      <c r="IP285" s="13"/>
      <c r="IQ285" s="13"/>
      <c r="IR285" s="13"/>
      <c r="IS285" s="13"/>
      <c r="IT285" s="13"/>
      <c r="IU285" s="13"/>
      <c r="IV285" s="13"/>
      <c r="IW285" s="13"/>
      <c r="IX285" s="13"/>
      <c r="IY285" s="13"/>
    </row>
    <row r="286" spans="1:259" outlineLevel="1">
      <c r="A286" s="11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  <c r="AA286" s="106"/>
      <c r="AB286" s="106"/>
      <c r="AC286" s="106"/>
      <c r="AD286" s="106"/>
      <c r="AE286" s="106"/>
      <c r="AF286" s="106"/>
      <c r="AG286" s="106"/>
      <c r="AH286" s="106"/>
      <c r="AI286" s="106"/>
      <c r="AJ286" s="106"/>
      <c r="AK286" s="106"/>
      <c r="AL286" s="106"/>
      <c r="AM286" s="106"/>
      <c r="AN286" s="106"/>
      <c r="AO286" s="106"/>
      <c r="AP286" s="106"/>
      <c r="AQ286" s="106"/>
      <c r="AR286" s="106"/>
      <c r="AS286" s="106"/>
      <c r="AT286" s="106"/>
      <c r="AU286" s="106"/>
      <c r="AV286" s="106"/>
      <c r="AW286" s="106"/>
      <c r="AX286" s="106"/>
      <c r="AY286" s="106"/>
      <c r="AZ286" s="106"/>
      <c r="BA286" s="106"/>
      <c r="BB286" s="106"/>
      <c r="BC286" s="106"/>
      <c r="BD286" s="106"/>
      <c r="BE286" s="106"/>
      <c r="BF286" s="106"/>
      <c r="BG286" s="106"/>
      <c r="BH286" s="106"/>
      <c r="BI286" s="106"/>
      <c r="BJ286" s="106"/>
      <c r="BK286" s="106"/>
      <c r="BL286" s="106"/>
      <c r="BM286" s="106"/>
      <c r="BN286" s="106"/>
      <c r="BO286" s="106"/>
      <c r="BP286" s="106"/>
      <c r="BQ286" s="106"/>
      <c r="BR286" s="106"/>
      <c r="BS286" s="106"/>
      <c r="BT286" s="106"/>
      <c r="BU286" s="106"/>
      <c r="BV286" s="106"/>
      <c r="BW286" s="106"/>
      <c r="BX286" s="106"/>
      <c r="BY286" s="106"/>
      <c r="BZ286" s="106"/>
      <c r="CA286" s="106"/>
      <c r="CB286" s="106"/>
      <c r="CC286" s="106"/>
      <c r="CD286" s="106"/>
      <c r="CE286" s="106"/>
      <c r="CF286" s="106"/>
      <c r="CG286" s="106"/>
      <c r="CH286" s="106"/>
      <c r="CI286" s="106"/>
      <c r="CJ286" s="106"/>
      <c r="CK286" s="106"/>
      <c r="CL286" s="106"/>
      <c r="CM286" s="106"/>
      <c r="CN286" s="106"/>
      <c r="CO286" s="106"/>
      <c r="CP286" s="106"/>
      <c r="CQ286" s="106"/>
      <c r="CR286" s="106"/>
      <c r="CS286" s="106"/>
      <c r="CT286" s="106"/>
      <c r="CU286" s="106"/>
      <c r="CV286" s="106"/>
      <c r="CW286" s="106"/>
      <c r="CX286" s="106"/>
      <c r="CY286" s="106"/>
      <c r="CZ286" s="106"/>
      <c r="DA286" s="106"/>
      <c r="DB286" s="106"/>
      <c r="DC286" s="106"/>
      <c r="DD286" s="106"/>
      <c r="DE286" s="106"/>
      <c r="DF286" s="106"/>
      <c r="DG286" s="106"/>
      <c r="DH286" s="106"/>
      <c r="DI286" s="106"/>
      <c r="DJ286" s="106"/>
      <c r="DK286" s="106"/>
      <c r="DL286" s="106"/>
      <c r="DM286" s="106"/>
      <c r="DN286" s="106"/>
      <c r="DO286" s="106"/>
      <c r="DP286" s="106"/>
      <c r="DQ286" s="106"/>
      <c r="DR286" s="106"/>
      <c r="DS286" s="106"/>
      <c r="DT286" s="106"/>
      <c r="DU286" s="106"/>
      <c r="DV286" s="106"/>
      <c r="DW286" s="106"/>
      <c r="DX286" s="106"/>
      <c r="DY286" s="106"/>
      <c r="EA286" s="13"/>
      <c r="EB286" s="95"/>
      <c r="EC286" s="95"/>
      <c r="ED286" s="95"/>
      <c r="EE286" s="95"/>
      <c r="EF286" s="95"/>
      <c r="EG286" s="95"/>
      <c r="EH286" s="95"/>
      <c r="EI286" s="95"/>
      <c r="EJ286" s="95"/>
      <c r="EK286" s="95"/>
      <c r="EL286" s="95"/>
      <c r="EM286" s="95"/>
      <c r="EN286" s="95"/>
      <c r="EO286" s="95"/>
      <c r="EP286" s="95"/>
      <c r="EQ286" s="95"/>
      <c r="ER286" s="13"/>
      <c r="ES286" s="13"/>
      <c r="ET286" s="13"/>
      <c r="EU286" s="13"/>
      <c r="EV286" s="13"/>
      <c r="EW286" s="13"/>
      <c r="EX286" s="13"/>
      <c r="EY286" s="13"/>
      <c r="EZ286" s="13"/>
      <c r="FA286" s="13"/>
      <c r="FB286" s="13"/>
      <c r="FC286" s="13"/>
      <c r="FD286" s="13"/>
      <c r="FE286" s="13"/>
      <c r="FF286" s="13"/>
      <c r="FG286" s="13"/>
      <c r="FH286" s="13"/>
      <c r="FI286" s="13"/>
      <c r="FJ286" s="13"/>
      <c r="FK286" s="13"/>
      <c r="FL286" s="13"/>
      <c r="FM286" s="13"/>
      <c r="FN286" s="13"/>
      <c r="FO286" s="13"/>
      <c r="FP286" s="13"/>
      <c r="FQ286" s="13"/>
      <c r="FR286" s="13"/>
      <c r="FS286" s="13"/>
      <c r="FT286" s="13"/>
      <c r="FU286" s="13"/>
      <c r="FV286" s="13"/>
      <c r="FW286" s="13"/>
      <c r="FX286" s="13"/>
      <c r="FY286" s="13"/>
      <c r="FZ286" s="13"/>
      <c r="GA286" s="13"/>
      <c r="GB286" s="13"/>
      <c r="GC286" s="13"/>
      <c r="GD286" s="13"/>
      <c r="GE286" s="13"/>
      <c r="GF286" s="13"/>
      <c r="GG286" s="13"/>
      <c r="GH286" s="13"/>
      <c r="GI286" s="13"/>
      <c r="GJ286" s="13"/>
      <c r="GK286" s="13"/>
      <c r="GL286" s="13"/>
      <c r="GM286" s="13"/>
      <c r="GN286" s="13"/>
      <c r="GO286" s="13"/>
      <c r="GP286" s="13"/>
      <c r="GQ286" s="13"/>
      <c r="GR286" s="13"/>
      <c r="GS286" s="13"/>
      <c r="GT286" s="13"/>
      <c r="GU286" s="13"/>
      <c r="GV286" s="13"/>
      <c r="GW286" s="13"/>
      <c r="GX286" s="13"/>
      <c r="GY286" s="13"/>
      <c r="GZ286" s="13"/>
      <c r="HA286" s="13"/>
      <c r="HB286" s="13"/>
      <c r="HC286" s="13"/>
      <c r="HD286" s="13"/>
      <c r="HE286" s="13"/>
      <c r="HF286" s="13"/>
      <c r="HG286" s="13"/>
      <c r="HH286" s="13"/>
      <c r="HI286" s="13"/>
      <c r="HJ286" s="13"/>
      <c r="HK286" s="13"/>
      <c r="HL286" s="13"/>
      <c r="HM286" s="13"/>
      <c r="HN286" s="13"/>
      <c r="HO286" s="13"/>
      <c r="HP286" s="13"/>
      <c r="HQ286" s="13"/>
      <c r="HR286" s="13"/>
      <c r="HS286" s="13"/>
      <c r="HT286" s="13"/>
      <c r="HU286" s="13"/>
      <c r="HV286" s="13"/>
      <c r="HW286" s="13"/>
      <c r="HX286" s="13"/>
      <c r="HY286" s="13"/>
      <c r="HZ286" s="13"/>
      <c r="IA286" s="13"/>
      <c r="IB286" s="13"/>
      <c r="IC286" s="13"/>
      <c r="ID286" s="13"/>
      <c r="IE286" s="13"/>
      <c r="IF286" s="13"/>
      <c r="IG286" s="13"/>
      <c r="IH286" s="13"/>
      <c r="II286" s="13"/>
      <c r="IJ286" s="13"/>
      <c r="IK286" s="13"/>
      <c r="IL286" s="13"/>
      <c r="IM286" s="13"/>
      <c r="IN286" s="13"/>
      <c r="IO286" s="13"/>
      <c r="IP286" s="13"/>
      <c r="IQ286" s="13"/>
      <c r="IR286" s="13"/>
      <c r="IS286" s="13"/>
      <c r="IT286" s="13"/>
      <c r="IU286" s="13"/>
      <c r="IV286" s="13"/>
      <c r="IW286" s="13"/>
      <c r="IX286" s="13"/>
      <c r="IY286" s="13"/>
    </row>
    <row r="287" spans="1:259" s="122" customFormat="1" ht="30.75" customHeight="1" thickBot="1">
      <c r="B287" s="256" t="str">
        <f>FORMULA!$B$3</f>
        <v>WS 1101 (251124)</v>
      </c>
      <c r="C287" s="256" t="str">
        <f>FORMULA!$D$3</f>
        <v>WS 1101 (220526)</v>
      </c>
      <c r="D287" s="256">
        <f>FORMULA!$F$3</f>
        <v>0</v>
      </c>
      <c r="E287" s="256">
        <f>FORMULA!$H$3</f>
        <v>0</v>
      </c>
      <c r="F287" s="256">
        <f>FORMULA!$J$3</f>
        <v>0</v>
      </c>
      <c r="G287" s="111">
        <f>FORMULA!$L$3</f>
        <v>0</v>
      </c>
      <c r="H287" s="111">
        <f>FORMULA!$N$3</f>
        <v>0</v>
      </c>
      <c r="I287" s="111">
        <f>FORMULA!$P$3</f>
        <v>0</v>
      </c>
      <c r="J287" s="111">
        <f>FORMULA!$R$3</f>
        <v>0</v>
      </c>
      <c r="K287" s="111">
        <f>FORMULA!$T$3</f>
        <v>0</v>
      </c>
      <c r="L287" s="111">
        <f>FORMULA!$V$3</f>
        <v>0</v>
      </c>
      <c r="M287" s="111">
        <f>FORMULA!$X$3</f>
        <v>0</v>
      </c>
      <c r="N287" s="111">
        <f>FORMULA!$Z$3</f>
        <v>0</v>
      </c>
      <c r="O287" s="111">
        <f>FORMULA!$AB$3</f>
        <v>0</v>
      </c>
      <c r="P287" s="111">
        <f>FORMULA!$AD$3</f>
        <v>0</v>
      </c>
      <c r="Q287" s="111"/>
      <c r="R287" s="256" t="str">
        <f>FORMULA!$B$91</f>
        <v>WS 1102 (290825)</v>
      </c>
      <c r="S287" s="256">
        <f>FORMULA!$D$91</f>
        <v>0</v>
      </c>
      <c r="T287" s="256">
        <f>FORMULA!$F$91</f>
        <v>0</v>
      </c>
      <c r="U287" s="256">
        <f>FORMULA!$H$91</f>
        <v>0</v>
      </c>
      <c r="V287" s="256">
        <f>FORMULA!$J$91</f>
        <v>0</v>
      </c>
      <c r="W287" s="256">
        <f>FORMULA!$L$91</f>
        <v>0</v>
      </c>
      <c r="X287" s="256">
        <f>FORMULA!$N$91</f>
        <v>0</v>
      </c>
      <c r="Y287" s="111">
        <f>FORMULA!$P$91</f>
        <v>0</v>
      </c>
      <c r="Z287" s="111">
        <f>FORMULA!$R$91</f>
        <v>0</v>
      </c>
      <c r="AA287" s="111">
        <f>FORMULA!$T$91</f>
        <v>0</v>
      </c>
      <c r="AB287" s="111">
        <f>FORMULA!$V$91</f>
        <v>0</v>
      </c>
      <c r="AC287" s="111">
        <f>FORMULA!$X$91</f>
        <v>0</v>
      </c>
      <c r="AD287" s="111">
        <f>FORMULA!$Z$91</f>
        <v>0</v>
      </c>
      <c r="AE287" s="111">
        <f>FORMULA!$AB$91</f>
        <v>0</v>
      </c>
      <c r="AF287" s="111">
        <f>FORMULA!$AD$91</f>
        <v>0</v>
      </c>
      <c r="AG287" s="111"/>
      <c r="AH287" s="256" t="str">
        <f>FORMULA!$B$179</f>
        <v>WS 1103 (290825)</v>
      </c>
      <c r="AI287" s="256" t="str">
        <f>FORMULA!$D$179</f>
        <v>WS 1103 (220526)</v>
      </c>
      <c r="AJ287" s="256">
        <f>FORMULA!$F$179</f>
        <v>0</v>
      </c>
      <c r="AK287" s="256">
        <f>FORMULA!$H$179</f>
        <v>0</v>
      </c>
      <c r="AL287" s="256">
        <f>FORMULA!$J$179</f>
        <v>0</v>
      </c>
      <c r="AM287" s="256">
        <f>FORMULA!$L$179</f>
        <v>0</v>
      </c>
      <c r="AN287" s="256">
        <f>FORMULA!$N$179</f>
        <v>0</v>
      </c>
      <c r="AO287" s="256">
        <f>FORMULA!$P$179</f>
        <v>0</v>
      </c>
      <c r="AP287" s="111">
        <f>FORMULA!$R$179</f>
        <v>0</v>
      </c>
      <c r="AQ287" s="111">
        <f>FORMULA!$T$179</f>
        <v>0</v>
      </c>
      <c r="AR287" s="111">
        <f>FORMULA!$V$179</f>
        <v>0</v>
      </c>
      <c r="AS287" s="111">
        <f>FORMULA!$X$179</f>
        <v>0</v>
      </c>
      <c r="AT287" s="111">
        <f>FORMULA!$Z$179</f>
        <v>0</v>
      </c>
      <c r="AU287" s="111">
        <f>FORMULA!$AB$179</f>
        <v>0</v>
      </c>
      <c r="AV287" s="111">
        <f>FORMULA!$AD$179</f>
        <v>0</v>
      </c>
      <c r="AW287" s="111"/>
      <c r="AX287" s="111">
        <f>FORMULA!$B$267</f>
        <v>0</v>
      </c>
      <c r="AY287" s="111">
        <f>FORMULA!$D$267</f>
        <v>0</v>
      </c>
      <c r="AZ287" s="111">
        <f>FORMULA!$F$267</f>
        <v>0</v>
      </c>
      <c r="BA287" s="111">
        <f>FORMULA!$H$267</f>
        <v>0</v>
      </c>
      <c r="BB287" s="111">
        <f>FORMULA!$J$267</f>
        <v>0</v>
      </c>
      <c r="BC287" s="111">
        <f>FORMULA!$L$267</f>
        <v>0</v>
      </c>
      <c r="BD287" s="111">
        <f>FORMULA!$N$267</f>
        <v>0</v>
      </c>
      <c r="BE287" s="111">
        <f>FORMULA!$P$267</f>
        <v>0</v>
      </c>
      <c r="BF287" s="111">
        <f>FORMULA!$R$267</f>
        <v>0</v>
      </c>
      <c r="BG287" s="111">
        <f>FORMULA!$T$267</f>
        <v>0</v>
      </c>
      <c r="BH287" s="111">
        <f>FORMULA!$V$267</f>
        <v>0</v>
      </c>
      <c r="BI287" s="111">
        <f>FORMULA!$X$267</f>
        <v>0</v>
      </c>
      <c r="BJ287" s="111">
        <f>FORMULA!$Z$267</f>
        <v>0</v>
      </c>
      <c r="BK287" s="111">
        <f>FORMULA!$AB$267</f>
        <v>0</v>
      </c>
      <c r="BL287" s="111">
        <f>FORMULA!$AD$267</f>
        <v>0</v>
      </c>
      <c r="BM287" s="111"/>
      <c r="BN287" s="111" t="str">
        <f>FORMULA!$B$355</f>
        <v>WS 8100 (290825)</v>
      </c>
      <c r="BO287" s="111" t="str">
        <f>FORMULA!$D$355</f>
        <v>WS 8100 (280426)</v>
      </c>
      <c r="BP287" s="111">
        <f>FORMULA!$F$355</f>
        <v>0</v>
      </c>
      <c r="BQ287" s="111" t="str">
        <f>FORMULA!$H$355</f>
        <v>WS 8102 (290825)</v>
      </c>
      <c r="BR287" s="111" t="str">
        <f>FORMULA!$J$355</f>
        <v>WS 8102 (121225)</v>
      </c>
      <c r="BS287" s="111" t="str">
        <f>FORMULA!$L$355</f>
        <v>WS 8102 (020326)</v>
      </c>
      <c r="BT287" s="111" t="str">
        <f>FORMULA!$N$355</f>
        <v>WS 8102 (020326)</v>
      </c>
      <c r="BU287" s="111" t="str">
        <f>FORMULA!$P$355</f>
        <v>WS 8102 (060526)</v>
      </c>
      <c r="BV287" s="111" t="str">
        <f>FORMULA!$R$355</f>
        <v>WS 8102 (060526)</v>
      </c>
      <c r="BW287" s="111" t="str">
        <f>FORMULA!$T$355</f>
        <v>WS 8103 (070526)</v>
      </c>
      <c r="BX287" s="111" t="str">
        <f>FORMULA!$V$355</f>
        <v>WS 8102 (070526)</v>
      </c>
      <c r="BY287" s="111" t="str">
        <f>FORMULA!$X$355</f>
        <v>WS 8103 (061125)</v>
      </c>
      <c r="BZ287" s="111" t="str">
        <f>FORMULA!$Z$355</f>
        <v>WS 8103 (250226)</v>
      </c>
      <c r="CA287" s="111" t="str">
        <f>FORMULA!$AB$355</f>
        <v>WS 8102 (080526)</v>
      </c>
      <c r="CB287" s="111" t="str">
        <f>FORMULA!$AD$355</f>
        <v>WS 8109 (080526)</v>
      </c>
      <c r="CC287" s="111"/>
      <c r="CD287" s="111" t="str">
        <f>FORMULA!$B$443</f>
        <v>YH 121 (050226)</v>
      </c>
      <c r="CE287" s="111" t="str">
        <f>FORMULA!$D$443</f>
        <v>YH 121 (190326)</v>
      </c>
      <c r="CF287" s="111" t="str">
        <f>FORMULA!$F$443</f>
        <v>YH 121 (020426)</v>
      </c>
      <c r="CG287" s="111">
        <f>FORMULA!$H$443</f>
        <v>0</v>
      </c>
      <c r="CH287" s="111">
        <f>FORMULA!$J$443</f>
        <v>0</v>
      </c>
      <c r="CI287" s="111">
        <f>FORMULA!$L$443</f>
        <v>0</v>
      </c>
      <c r="CJ287" s="111">
        <f>FORMULA!$N$443</f>
        <v>0</v>
      </c>
      <c r="CK287" s="111">
        <f>FORMULA!$P$443</f>
        <v>0</v>
      </c>
      <c r="CL287" s="111">
        <f>FORMULA!$R$443</f>
        <v>0</v>
      </c>
      <c r="CM287" s="111" t="str">
        <f>FORMULA!$T$443</f>
        <v>311 (130526)</v>
      </c>
      <c r="CN287" s="111" t="str">
        <f>FORMULA!$V$443</f>
        <v>312 (130526)</v>
      </c>
      <c r="CO287" s="111">
        <f>FORMULA!$X$443</f>
        <v>0</v>
      </c>
      <c r="CP287" s="111">
        <f>FORMULA!$Z$443</f>
        <v>0</v>
      </c>
      <c r="CQ287" s="111">
        <f>FORMULA!$AB$443</f>
        <v>0</v>
      </c>
      <c r="CR287" s="111">
        <f>FORMULA!$AD$443</f>
        <v>0</v>
      </c>
      <c r="CS287" s="111"/>
      <c r="CT287" s="111" t="str">
        <f>FORMULA!$B$531</f>
        <v>YH 122 (050226)</v>
      </c>
      <c r="CU287" s="111" t="str">
        <f>FORMULA!$D$531</f>
        <v>YH 122 (190326)</v>
      </c>
      <c r="CV287" s="111" t="str">
        <f>FORMULA!$F$531</f>
        <v>YH 122 (200426)</v>
      </c>
      <c r="CW287" s="111">
        <f>FORMULA!$H$531</f>
        <v>0</v>
      </c>
      <c r="CX287" s="111">
        <f>FORMULA!$J$531</f>
        <v>0</v>
      </c>
      <c r="CY287" s="111">
        <f>FORMULA!$L$531</f>
        <v>0</v>
      </c>
      <c r="CZ287" s="111" t="str">
        <f>FORMULA!$N$531</f>
        <v>5201 (090426)</v>
      </c>
      <c r="DA287" s="111" t="str">
        <f>FORMULA!$P$531</f>
        <v>5201 (090426)</v>
      </c>
      <c r="DB287" s="111">
        <f>FORMULA!$R$531</f>
        <v>0</v>
      </c>
      <c r="DC287" s="111" t="str">
        <f>FORMULA!$T$531</f>
        <v>5202 (090426)</v>
      </c>
      <c r="DD287" s="111" t="str">
        <f>FORMULA!$V$531</f>
        <v>5202 (090426)</v>
      </c>
      <c r="DE287" s="111">
        <f>FORMULA!$X$531</f>
        <v>0</v>
      </c>
      <c r="DF287" s="111" t="str">
        <f>FORMULA!$Z$531</f>
        <v>5203 (090426)</v>
      </c>
      <c r="DG287" s="111" t="str">
        <f>FORMULA!$AB$531</f>
        <v>5203 (090426)</v>
      </c>
      <c r="DH287" s="111">
        <f>FORMULA!$AD$531</f>
        <v>0</v>
      </c>
      <c r="DI287" s="111"/>
      <c r="DJ287" s="111" t="str">
        <f>FORMULA!$B$619</f>
        <v>YH 123 (050226)</v>
      </c>
      <c r="DK287" s="111" t="str">
        <f>FORMULA!$D$619</f>
        <v>YH 123 (130326)</v>
      </c>
      <c r="DL287" s="111" t="str">
        <f>FORMULA!$F$619</f>
        <v>YH 123 (190326)</v>
      </c>
      <c r="DM287" s="111" t="str">
        <f>FORMULA!$H$619</f>
        <v>YH 123 (200426)</v>
      </c>
      <c r="DN287" s="111">
        <f>FORMULA!$J$619</f>
        <v>0</v>
      </c>
      <c r="DO287" s="111">
        <f>FORMULA!$L$619</f>
        <v>0</v>
      </c>
      <c r="DP287" s="111">
        <f>FORMULA!$N$619</f>
        <v>0</v>
      </c>
      <c r="DQ287" s="111">
        <f>FORMULA!$P$619</f>
        <v>0</v>
      </c>
      <c r="DR287" s="111">
        <f>FORMULA!$R$619</f>
        <v>0</v>
      </c>
      <c r="DS287" s="111">
        <f>FORMULA!$T$619</f>
        <v>0</v>
      </c>
      <c r="DT287" s="111">
        <f>FORMULA!$V$619</f>
        <v>0</v>
      </c>
      <c r="DU287" s="111">
        <f>FORMULA!$X$619</f>
        <v>0</v>
      </c>
      <c r="DV287" s="111">
        <f>FORMULA!$Z$619</f>
        <v>0</v>
      </c>
      <c r="DW287" s="111">
        <f>FORMULA!$AB$619</f>
        <v>0</v>
      </c>
      <c r="DX287" s="111">
        <f>FORMULA!$AD$619</f>
        <v>0</v>
      </c>
      <c r="DY287" s="111"/>
      <c r="EA287" s="118"/>
      <c r="EB287" s="119"/>
      <c r="EC287" s="119"/>
      <c r="ED287" s="119"/>
      <c r="EE287" s="119"/>
      <c r="EF287" s="119"/>
      <c r="EG287" s="119"/>
      <c r="EH287" s="119"/>
      <c r="EI287" s="119"/>
      <c r="EJ287" s="119"/>
      <c r="EK287" s="119"/>
      <c r="EL287" s="119"/>
      <c r="EM287" s="119"/>
      <c r="EN287" s="119"/>
      <c r="EO287" s="119"/>
      <c r="EP287" s="119"/>
      <c r="EQ287" s="119"/>
      <c r="ER287" s="118"/>
      <c r="ES287" s="118"/>
      <c r="ET287" s="118"/>
      <c r="EU287" s="118"/>
      <c r="EV287" s="118"/>
      <c r="EW287" s="118"/>
      <c r="EX287" s="118"/>
      <c r="EY287" s="118"/>
      <c r="EZ287" s="118"/>
      <c r="FA287" s="118"/>
      <c r="FB287" s="118"/>
      <c r="FC287" s="118"/>
      <c r="FD287" s="118"/>
      <c r="FE287" s="118"/>
      <c r="FF287" s="118"/>
      <c r="FG287" s="118"/>
      <c r="FH287" s="118"/>
      <c r="FI287" s="118"/>
      <c r="FJ287" s="118"/>
      <c r="FK287" s="118"/>
      <c r="FL287" s="118"/>
      <c r="FM287" s="118"/>
      <c r="FN287" s="118"/>
      <c r="FO287" s="118"/>
      <c r="FP287" s="118"/>
      <c r="FQ287" s="118"/>
      <c r="FR287" s="118"/>
      <c r="FS287" s="118"/>
      <c r="FT287" s="118"/>
      <c r="FU287" s="118"/>
      <c r="FV287" s="118"/>
      <c r="FW287" s="118"/>
      <c r="FX287" s="118"/>
      <c r="FY287" s="118"/>
      <c r="FZ287" s="118"/>
      <c r="GA287" s="118"/>
      <c r="GB287" s="118"/>
      <c r="GC287" s="118"/>
      <c r="GD287" s="118"/>
      <c r="GE287" s="118"/>
      <c r="GF287" s="118"/>
      <c r="GG287" s="118"/>
      <c r="GH287" s="118"/>
      <c r="GI287" s="118"/>
      <c r="GJ287" s="118"/>
      <c r="GK287" s="118"/>
      <c r="GL287" s="118"/>
      <c r="GM287" s="118"/>
      <c r="GN287" s="118"/>
      <c r="GO287" s="118"/>
      <c r="GP287" s="118"/>
      <c r="GQ287" s="118"/>
      <c r="GR287" s="118"/>
      <c r="GS287" s="118"/>
      <c r="GT287" s="118"/>
      <c r="GU287" s="118"/>
      <c r="GV287" s="118"/>
      <c r="GW287" s="118"/>
      <c r="GX287" s="118"/>
      <c r="GY287" s="118"/>
      <c r="GZ287" s="118"/>
      <c r="HA287" s="118"/>
      <c r="HB287" s="118"/>
      <c r="HC287" s="118"/>
      <c r="HD287" s="118"/>
      <c r="HE287" s="118"/>
      <c r="HF287" s="118"/>
      <c r="HG287" s="118"/>
      <c r="HH287" s="118"/>
      <c r="HI287" s="118"/>
      <c r="HJ287" s="118"/>
      <c r="HK287" s="118"/>
      <c r="HL287" s="118"/>
      <c r="HM287" s="118"/>
      <c r="HN287" s="118"/>
      <c r="HO287" s="118"/>
      <c r="HP287" s="118"/>
      <c r="HQ287" s="118"/>
      <c r="HR287" s="118"/>
      <c r="HS287" s="118"/>
      <c r="HT287" s="118"/>
      <c r="HU287" s="118"/>
      <c r="HV287" s="118"/>
      <c r="HW287" s="118"/>
      <c r="HX287" s="118"/>
      <c r="HY287" s="118"/>
      <c r="HZ287" s="118"/>
      <c r="IA287" s="118"/>
      <c r="IB287" s="118"/>
      <c r="IC287" s="118"/>
      <c r="ID287" s="118"/>
      <c r="IE287" s="118"/>
      <c r="IF287" s="118"/>
      <c r="IG287" s="118"/>
      <c r="IH287" s="118"/>
      <c r="II287" s="118"/>
      <c r="IJ287" s="118"/>
      <c r="IK287" s="118"/>
      <c r="IL287" s="118"/>
      <c r="IM287" s="118"/>
      <c r="IN287" s="118"/>
      <c r="IO287" s="118"/>
      <c r="IP287" s="118"/>
      <c r="IQ287" s="118"/>
      <c r="IR287" s="118"/>
      <c r="IS287" s="118"/>
      <c r="IT287" s="118"/>
      <c r="IU287" s="118"/>
      <c r="IV287" s="118"/>
      <c r="IW287" s="118"/>
      <c r="IX287" s="118"/>
      <c r="IY287" s="118"/>
    </row>
    <row r="288" spans="1:259" s="124" customFormat="1" ht="30.4" customHeight="1" thickBot="1">
      <c r="A288" s="123" t="s">
        <v>157</v>
      </c>
      <c r="B288" s="257" t="str">
        <f>FORMULA!$B$4</f>
        <v>N01309AY</v>
      </c>
      <c r="C288" s="258">
        <f>FORMULA!$D$4</f>
        <v>0</v>
      </c>
      <c r="D288" s="258">
        <f>FORMULA!$F$4</f>
        <v>0</v>
      </c>
      <c r="E288" s="258">
        <f>FORMULA!$H$4</f>
        <v>0</v>
      </c>
      <c r="F288" s="258">
        <f>FORMULA!$J$4</f>
        <v>0</v>
      </c>
      <c r="G288" s="113">
        <f>FORMULA!$L$4</f>
        <v>0</v>
      </c>
      <c r="H288" s="113">
        <f>FORMULA!$N$4</f>
        <v>0</v>
      </c>
      <c r="I288" s="113">
        <f>FORMULA!$P$4</f>
        <v>0</v>
      </c>
      <c r="J288" s="113">
        <f>FORMULA!$R$4</f>
        <v>0</v>
      </c>
      <c r="K288" s="113">
        <f>FORMULA!$T$4</f>
        <v>0</v>
      </c>
      <c r="L288" s="113">
        <f>FORMULA!$V$4</f>
        <v>0</v>
      </c>
      <c r="M288" s="113">
        <f>FORMULA!$X$4</f>
        <v>0</v>
      </c>
      <c r="N288" s="113">
        <f>FORMULA!$Z$4</f>
        <v>0</v>
      </c>
      <c r="O288" s="113">
        <f>FORMULA!$AB$4</f>
        <v>0</v>
      </c>
      <c r="P288" s="113">
        <f>FORMULA!$AD$4</f>
        <v>0</v>
      </c>
      <c r="Q288" s="114"/>
      <c r="R288" s="257" t="str">
        <f>FORMULA!$B$92</f>
        <v>N025-06</v>
      </c>
      <c r="S288" s="258">
        <f>FORMULA!$D$92</f>
        <v>0</v>
      </c>
      <c r="T288" s="258">
        <f>FORMULA!$F$92</f>
        <v>0</v>
      </c>
      <c r="U288" s="258">
        <f>FORMULA!$H$92</f>
        <v>0</v>
      </c>
      <c r="V288" s="258">
        <f>FORMULA!$J$92</f>
        <v>0</v>
      </c>
      <c r="W288" s="258">
        <f>FORMULA!$L$92</f>
        <v>0</v>
      </c>
      <c r="X288" s="258">
        <f>FORMULA!$N$92</f>
        <v>0</v>
      </c>
      <c r="Y288" s="113">
        <f>FORMULA!$P$92</f>
        <v>0</v>
      </c>
      <c r="Z288" s="113">
        <f>FORMULA!$R$92</f>
        <v>0</v>
      </c>
      <c r="AA288" s="113">
        <f>FORMULA!$T$92</f>
        <v>0</v>
      </c>
      <c r="AB288" s="113">
        <f>FORMULA!$V$92</f>
        <v>0</v>
      </c>
      <c r="AC288" s="113">
        <f>FORMULA!$X$92</f>
        <v>0</v>
      </c>
      <c r="AD288" s="113">
        <f>FORMULA!$Z$92</f>
        <v>0</v>
      </c>
      <c r="AE288" s="113">
        <f>FORMULA!$AB$92</f>
        <v>0</v>
      </c>
      <c r="AF288" s="113">
        <f>FORMULA!$AD$92</f>
        <v>0</v>
      </c>
      <c r="AG288" s="114"/>
      <c r="AH288" s="257" t="str">
        <f>FORMULA!$B$180</f>
        <v>N035-06</v>
      </c>
      <c r="AI288" s="258" t="str">
        <f>FORMULA!$D$180</f>
        <v>WITH 1103 TOP UP</v>
      </c>
      <c r="AJ288" s="258">
        <f>FORMULA!$F$180</f>
        <v>0</v>
      </c>
      <c r="AK288" s="258">
        <f>FORMULA!$H$180</f>
        <v>0</v>
      </c>
      <c r="AL288" s="258">
        <f>FORMULA!$J$180</f>
        <v>0</v>
      </c>
      <c r="AM288" s="258">
        <f>FORMULA!$L$180</f>
        <v>0</v>
      </c>
      <c r="AN288" s="258">
        <f>FORMULA!$N$180</f>
        <v>0</v>
      </c>
      <c r="AO288" s="258">
        <f>FORMULA!$P$180</f>
        <v>0</v>
      </c>
      <c r="AP288" s="113">
        <f>FORMULA!$R$180</f>
        <v>0</v>
      </c>
      <c r="AQ288" s="113">
        <f>FORMULA!$T$180</f>
        <v>0</v>
      </c>
      <c r="AR288" s="113">
        <f>FORMULA!$V$180</f>
        <v>0</v>
      </c>
      <c r="AS288" s="113">
        <f>FORMULA!$X$180</f>
        <v>0</v>
      </c>
      <c r="AT288" s="113">
        <f>FORMULA!$Z$180</f>
        <v>0</v>
      </c>
      <c r="AU288" s="113">
        <f>FORMULA!$AB$180</f>
        <v>0</v>
      </c>
      <c r="AV288" s="113">
        <f>FORMULA!$AD$180</f>
        <v>0</v>
      </c>
      <c r="AW288" s="114"/>
      <c r="AX288" s="112">
        <f>FORMULA!$B$268</f>
        <v>0</v>
      </c>
      <c r="AY288" s="113">
        <f>FORMULA!$D$268</f>
        <v>0</v>
      </c>
      <c r="AZ288" s="113">
        <f>FORMULA!$F$268</f>
        <v>0</v>
      </c>
      <c r="BA288" s="113">
        <f>FORMULA!$H$268</f>
        <v>0</v>
      </c>
      <c r="BB288" s="113">
        <f>FORMULA!$J$268</f>
        <v>0</v>
      </c>
      <c r="BC288" s="113">
        <f>FORMULA!$L$268</f>
        <v>0</v>
      </c>
      <c r="BD288" s="113">
        <f>FORMULA!$N$268</f>
        <v>0</v>
      </c>
      <c r="BE288" s="113">
        <f>FORMULA!$P$268</f>
        <v>0</v>
      </c>
      <c r="BF288" s="113">
        <f>FORMULA!$R$268</f>
        <v>0</v>
      </c>
      <c r="BG288" s="113">
        <f>FORMULA!$T$268</f>
        <v>0</v>
      </c>
      <c r="BH288" s="113">
        <f>FORMULA!$V$268</f>
        <v>0</v>
      </c>
      <c r="BI288" s="113">
        <f>FORMULA!$X$268</f>
        <v>0</v>
      </c>
      <c r="BJ288" s="113">
        <f>FORMULA!$Z$268</f>
        <v>0</v>
      </c>
      <c r="BK288" s="113">
        <f>FORMULA!$AB$268</f>
        <v>0</v>
      </c>
      <c r="BL288" s="113">
        <f>FORMULA!$AD$268</f>
        <v>0</v>
      </c>
      <c r="BM288" s="114"/>
      <c r="BN288" s="111" t="str">
        <f>FORMULA!$B$356</f>
        <v>NR 14-04</v>
      </c>
      <c r="BO288" s="111">
        <f>FORMULA!$D$356</f>
        <v>0</v>
      </c>
      <c r="BP288" s="111">
        <f>FORMULA!$F$356</f>
        <v>0</v>
      </c>
      <c r="BQ288" s="111" t="str">
        <f>FORMULA!$H$356</f>
        <v>NR 24-04Z</v>
      </c>
      <c r="BR288" s="111" t="str">
        <f>FORMULA!$J$356</f>
        <v>WITH BMD</v>
      </c>
      <c r="BS288" s="111" t="str">
        <f>FORMULA!$L$356</f>
        <v>8102 Top Up&amp;PM 8108</v>
      </c>
      <c r="BT288" s="111" t="str">
        <f>FORMULA!$N$356</f>
        <v>8102 Top Up&amp;PM 8102</v>
      </c>
      <c r="BU288" s="111" t="str">
        <f>FORMULA!$P$356</f>
        <v>8102 Top Up&amp;PM 8102</v>
      </c>
      <c r="BV288" s="111" t="str">
        <f>FORMULA!$R$356</f>
        <v>8102 Top Up&amp;PM 8108</v>
      </c>
      <c r="BW288" s="111" t="str">
        <f>FORMULA!$T$356</f>
        <v>8103 Top Up&amp;PM 8103</v>
      </c>
      <c r="BX288" s="111" t="str">
        <f>FORMULA!$V$356</f>
        <v>8103 Top Up&amp;PM 8109</v>
      </c>
      <c r="BY288" s="111" t="str">
        <f>FORMULA!$X$356</f>
        <v xml:space="preserve">NR 34-04 </v>
      </c>
      <c r="BZ288" s="111" t="str">
        <f>FORMULA!$Z$356</f>
        <v xml:space="preserve">NR 34-04 </v>
      </c>
      <c r="CA288" s="111" t="str">
        <f>FORMULA!$AB$356</f>
        <v>8102 TOP UP</v>
      </c>
      <c r="CB288" s="111" t="str">
        <f>FORMULA!$AD$356</f>
        <v>8103 TOP UP</v>
      </c>
      <c r="CC288" s="114"/>
      <c r="CD288" s="111" t="str">
        <f>FORMULA!$B$444</f>
        <v>SOYTIDE&amp;TOXISORB</v>
      </c>
      <c r="CE288" s="111" t="str">
        <f>FORMULA!$D$444</f>
        <v>SOYTIDE&amp;TOXIWALL</v>
      </c>
      <c r="CF288" s="111" t="str">
        <f>FORMULA!$F$444</f>
        <v>EP 200&amp;TOXIWALL</v>
      </c>
      <c r="CG288" s="111">
        <f>FORMULA!$H$444</f>
        <v>0</v>
      </c>
      <c r="CH288" s="111">
        <f>FORMULA!$J$444</f>
        <v>0</v>
      </c>
      <c r="CI288" s="111">
        <f>FORMULA!$L$444</f>
        <v>0</v>
      </c>
      <c r="CJ288" s="111">
        <f>FORMULA!$N$444</f>
        <v>0</v>
      </c>
      <c r="CK288" s="111">
        <f>FORMULA!$P$444</f>
        <v>0</v>
      </c>
      <c r="CL288" s="111">
        <f>FORMULA!$R$444</f>
        <v>0</v>
      </c>
      <c r="CM288" s="111">
        <f>FORMULA!$T$444</f>
        <v>0</v>
      </c>
      <c r="CN288" s="111">
        <f>FORMULA!$V$444</f>
        <v>0</v>
      </c>
      <c r="CO288" s="111">
        <f>FORMULA!$X$444</f>
        <v>0</v>
      </c>
      <c r="CP288" s="111">
        <f>FORMULA!$Z$444</f>
        <v>0</v>
      </c>
      <c r="CQ288" s="111">
        <f>FORMULA!$AB$444</f>
        <v>0</v>
      </c>
      <c r="CR288" s="111">
        <f>FORMULA!$AD$444</f>
        <v>0</v>
      </c>
      <c r="CS288" s="114"/>
      <c r="CT288" s="111" t="str">
        <f>FORMULA!$B$532</f>
        <v>WITH TOXISORB</v>
      </c>
      <c r="CU288" s="111" t="str">
        <f>FORMULA!$D$532</f>
        <v>WITH TOXIWALL</v>
      </c>
      <c r="CV288" s="111" t="str">
        <f>FORMULA!$F$532</f>
        <v>WITH TOXIWALL, YM 20.50kg</v>
      </c>
      <c r="CW288" s="111">
        <f>FORMULA!$H$532</f>
        <v>0</v>
      </c>
      <c r="CX288" s="111">
        <f>FORMULA!$J$532</f>
        <v>0</v>
      </c>
      <c r="CY288" s="111">
        <f>FORMULA!$L$532</f>
        <v>0</v>
      </c>
      <c r="CZ288" s="111">
        <f>FORMULA!$N$532</f>
        <v>0</v>
      </c>
      <c r="DA288" s="111" t="str">
        <f>FORMULA!$P$532</f>
        <v>REDUCE CORN FOR 2MT</v>
      </c>
      <c r="DB288" s="111">
        <f>FORMULA!$R$532</f>
        <v>0</v>
      </c>
      <c r="DC288" s="111">
        <f>FORMULA!$T$532</f>
        <v>0</v>
      </c>
      <c r="DD288" s="111" t="str">
        <f>FORMULA!$V$532</f>
        <v>K20</v>
      </c>
      <c r="DE288" s="111">
        <f>FORMULA!$X$532</f>
        <v>0</v>
      </c>
      <c r="DF288" s="111" t="str">
        <f>FORMULA!$Z$532</f>
        <v>ALREADY 2MT</v>
      </c>
      <c r="DG288" s="111" t="str">
        <f>FORMULA!$AB$532</f>
        <v>K21</v>
      </c>
      <c r="DH288" s="111">
        <f>FORMULA!$AD$532</f>
        <v>0</v>
      </c>
      <c r="DI288" s="114"/>
      <c r="DJ288" s="111" t="str">
        <f>FORMULA!$B$620</f>
        <v>WITH TOXISORB</v>
      </c>
      <c r="DK288" s="111" t="str">
        <f>FORMULA!$D$620</f>
        <v>WITHOUT WHEAT POLLARD</v>
      </c>
      <c r="DL288" s="111" t="str">
        <f>FORMULA!$F$620</f>
        <v>WITH TOXIWALL</v>
      </c>
      <c r="DM288" s="111" t="str">
        <f>FORMULA!$H$620</f>
        <v>WITH TOXIWALL, YM 20.00kg</v>
      </c>
      <c r="DN288" s="111">
        <f>FORMULA!$J$620</f>
        <v>0</v>
      </c>
      <c r="DO288" s="111">
        <f>FORMULA!$L$620</f>
        <v>0</v>
      </c>
      <c r="DP288" s="111">
        <f>FORMULA!$N$620</f>
        <v>0</v>
      </c>
      <c r="DQ288" s="111">
        <f>FORMULA!$P$620</f>
        <v>0</v>
      </c>
      <c r="DR288" s="111">
        <f>FORMULA!$R$620</f>
        <v>0</v>
      </c>
      <c r="DS288" s="111">
        <f>FORMULA!$T$620</f>
        <v>0</v>
      </c>
      <c r="DT288" s="111">
        <f>FORMULA!$V$620</f>
        <v>0</v>
      </c>
      <c r="DU288" s="111">
        <f>FORMULA!$X$620</f>
        <v>0</v>
      </c>
      <c r="DV288" s="111">
        <f>FORMULA!$Z$620</f>
        <v>0</v>
      </c>
      <c r="DW288" s="111">
        <f>FORMULA!$AB$620</f>
        <v>0</v>
      </c>
      <c r="DX288" s="111">
        <f>FORMULA!$AD$620</f>
        <v>0</v>
      </c>
      <c r="DY288" s="114"/>
      <c r="EA288" s="721"/>
      <c r="EB288" s="721"/>
      <c r="EC288" s="721"/>
      <c r="ED288" s="721"/>
      <c r="EE288" s="721"/>
      <c r="EF288" s="721"/>
      <c r="EG288" s="721"/>
      <c r="EH288" s="721"/>
      <c r="EI288" s="721"/>
      <c r="EJ288" s="721"/>
      <c r="EK288" s="721"/>
      <c r="EL288" s="120"/>
      <c r="EM288" s="120"/>
      <c r="EN288" s="120"/>
      <c r="EO288" s="120"/>
      <c r="EP288" s="120"/>
      <c r="EQ288" s="120"/>
      <c r="ER288" s="721"/>
      <c r="ES288" s="721"/>
      <c r="ET288" s="721"/>
      <c r="EU288" s="721"/>
      <c r="EV288" s="721"/>
      <c r="EW288" s="721"/>
      <c r="EX288" s="721"/>
      <c r="EY288" s="721"/>
      <c r="EZ288" s="721"/>
      <c r="FA288" s="721"/>
      <c r="FB288" s="721"/>
      <c r="FC288" s="721"/>
      <c r="FD288" s="721"/>
      <c r="FE288" s="721"/>
      <c r="FF288" s="721"/>
      <c r="FG288" s="120"/>
      <c r="FH288" s="721"/>
      <c r="FI288" s="721"/>
      <c r="FJ288" s="721"/>
      <c r="FK288" s="721"/>
      <c r="FL288" s="721"/>
      <c r="FM288" s="721"/>
      <c r="FN288" s="721"/>
      <c r="FO288" s="721"/>
      <c r="FP288" s="721"/>
      <c r="FQ288" s="721"/>
      <c r="FR288" s="721"/>
      <c r="FS288" s="721"/>
      <c r="FT288" s="721"/>
      <c r="FU288" s="721"/>
      <c r="FV288" s="721"/>
      <c r="FW288" s="120"/>
      <c r="FX288" s="721"/>
      <c r="FY288" s="721"/>
      <c r="FZ288" s="721"/>
      <c r="GA288" s="721"/>
      <c r="GB288" s="721"/>
      <c r="GC288" s="721"/>
      <c r="GD288" s="721"/>
      <c r="GE288" s="721"/>
      <c r="GF288" s="721"/>
      <c r="GG288" s="721"/>
      <c r="GH288" s="721"/>
      <c r="GI288" s="721"/>
      <c r="GJ288" s="721"/>
      <c r="GK288" s="721"/>
      <c r="GL288" s="721"/>
      <c r="GM288" s="121"/>
      <c r="GN288" s="721"/>
      <c r="GO288" s="721"/>
      <c r="GP288" s="721"/>
      <c r="GQ288" s="721"/>
      <c r="GR288" s="721"/>
      <c r="GS288" s="721"/>
      <c r="GT288" s="721"/>
      <c r="GU288" s="721"/>
      <c r="GV288" s="721"/>
      <c r="GW288" s="721"/>
      <c r="GX288" s="721"/>
      <c r="GY288" s="721"/>
      <c r="GZ288" s="721"/>
      <c r="HA288" s="721"/>
      <c r="HB288" s="721"/>
      <c r="HC288" s="121"/>
      <c r="HD288" s="721"/>
      <c r="HE288" s="721"/>
      <c r="HF288" s="721"/>
      <c r="HG288" s="721"/>
      <c r="HH288" s="721"/>
      <c r="HI288" s="721"/>
      <c r="HJ288" s="721"/>
      <c r="HK288" s="721"/>
      <c r="HL288" s="721"/>
      <c r="HM288" s="721"/>
      <c r="HN288" s="721"/>
      <c r="HO288" s="721"/>
      <c r="HP288" s="721"/>
      <c r="HQ288" s="721"/>
      <c r="HR288" s="721"/>
      <c r="HS288" s="121"/>
      <c r="HT288" s="721"/>
      <c r="HU288" s="721"/>
      <c r="HV288" s="721"/>
      <c r="HW288" s="721"/>
      <c r="HX288" s="721"/>
      <c r="HY288" s="721"/>
      <c r="HZ288" s="721"/>
      <c r="IA288" s="721"/>
      <c r="IB288" s="721"/>
      <c r="IC288" s="721"/>
      <c r="ID288" s="721"/>
      <c r="IE288" s="721"/>
      <c r="IF288" s="721"/>
      <c r="IG288" s="721"/>
      <c r="IH288" s="721"/>
      <c r="II288" s="121"/>
      <c r="IJ288" s="721"/>
      <c r="IK288" s="721"/>
      <c r="IL288" s="721"/>
      <c r="IM288" s="721"/>
      <c r="IN288" s="721"/>
      <c r="IO288" s="721"/>
      <c r="IP288" s="721"/>
      <c r="IQ288" s="721"/>
      <c r="IR288" s="721"/>
      <c r="IS288" s="721"/>
      <c r="IT288" s="721"/>
      <c r="IU288" s="721"/>
      <c r="IV288" s="721"/>
      <c r="IW288" s="721"/>
      <c r="IX288" s="721"/>
      <c r="IY288" s="121"/>
    </row>
    <row r="289" spans="1:259" ht="15.75" customHeight="1" outlineLevel="1">
      <c r="A289" s="11">
        <f>'VAC &amp; MED'!C290</f>
        <v>46266</v>
      </c>
      <c r="B289" s="261"/>
      <c r="C289" s="261"/>
      <c r="D289" s="261"/>
      <c r="E289" s="261"/>
      <c r="F289" s="261"/>
      <c r="G289" s="261"/>
      <c r="H289" s="261"/>
      <c r="I289" s="261"/>
      <c r="J289" s="261"/>
      <c r="K289" s="261"/>
      <c r="L289" s="261"/>
      <c r="M289" s="261"/>
      <c r="N289" s="261"/>
      <c r="O289" s="261"/>
      <c r="P289" s="261"/>
      <c r="Q289" s="261"/>
      <c r="R289" s="262"/>
      <c r="S289" s="262"/>
      <c r="T289" s="262"/>
      <c r="U289" s="262"/>
      <c r="V289" s="262"/>
      <c r="W289" s="262"/>
      <c r="X289" s="262"/>
      <c r="Y289" s="262"/>
      <c r="Z289" s="262"/>
      <c r="AA289" s="262"/>
      <c r="AB289" s="262"/>
      <c r="AC289" s="262"/>
      <c r="AD289" s="262"/>
      <c r="AE289" s="262"/>
      <c r="AF289" s="262"/>
      <c r="AG289" s="262"/>
      <c r="AH289" s="263"/>
      <c r="AI289" s="263"/>
      <c r="AJ289" s="263"/>
      <c r="AK289" s="263"/>
      <c r="AL289" s="263"/>
      <c r="AM289" s="263"/>
      <c r="AN289" s="263"/>
      <c r="AO289" s="263"/>
      <c r="AP289" s="263"/>
      <c r="AQ289" s="263"/>
      <c r="AR289" s="263"/>
      <c r="AS289" s="263"/>
      <c r="AT289" s="263"/>
      <c r="AU289" s="263"/>
      <c r="AV289" s="263"/>
      <c r="AW289" s="263"/>
      <c r="AX289" s="264"/>
      <c r="AY289" s="264"/>
      <c r="AZ289" s="264"/>
      <c r="BA289" s="264"/>
      <c r="BB289" s="264"/>
      <c r="BC289" s="264"/>
      <c r="BD289" s="264"/>
      <c r="BE289" s="264"/>
      <c r="BF289" s="264"/>
      <c r="BG289" s="264"/>
      <c r="BH289" s="264"/>
      <c r="BI289" s="264"/>
      <c r="BJ289" s="264"/>
      <c r="BK289" s="264"/>
      <c r="BL289" s="264"/>
      <c r="BM289" s="264"/>
      <c r="BN289" s="265"/>
      <c r="BO289" s="265"/>
      <c r="BP289" s="265"/>
      <c r="BQ289" s="265"/>
      <c r="BR289" s="265"/>
      <c r="BS289" s="265"/>
      <c r="BT289" s="265"/>
      <c r="BU289" s="265"/>
      <c r="BV289" s="265"/>
      <c r="BW289" s="265"/>
      <c r="BX289" s="265"/>
      <c r="BY289" s="265"/>
      <c r="BZ289" s="265"/>
      <c r="CA289" s="265"/>
      <c r="CB289" s="265"/>
      <c r="CC289" s="265"/>
      <c r="CD289" s="266"/>
      <c r="CE289" s="266"/>
      <c r="CF289" s="266"/>
      <c r="CG289" s="266"/>
      <c r="CH289" s="266"/>
      <c r="CI289" s="266"/>
      <c r="CJ289" s="266"/>
      <c r="CK289" s="266"/>
      <c r="CL289" s="266"/>
      <c r="CM289" s="266"/>
      <c r="CN289" s="266"/>
      <c r="CO289" s="266"/>
      <c r="CP289" s="266"/>
      <c r="CQ289" s="266"/>
      <c r="CR289" s="266"/>
      <c r="CS289" s="266"/>
      <c r="CT289" s="267"/>
      <c r="CU289" s="267"/>
      <c r="CV289" s="267"/>
      <c r="CW289" s="267"/>
      <c r="CX289" s="267"/>
      <c r="CY289" s="267"/>
      <c r="CZ289" s="267"/>
      <c r="DA289" s="267"/>
      <c r="DB289" s="267"/>
      <c r="DC289" s="267"/>
      <c r="DD289" s="267"/>
      <c r="DE289" s="267"/>
      <c r="DF289" s="267"/>
      <c r="DG289" s="267"/>
      <c r="DH289" s="267"/>
      <c r="DI289" s="267"/>
      <c r="DJ289" s="268"/>
      <c r="DK289" s="268"/>
      <c r="DL289" s="268"/>
      <c r="DM289" s="268"/>
      <c r="DN289" s="268"/>
      <c r="DO289" s="268"/>
      <c r="DP289" s="268"/>
      <c r="DQ289" s="268"/>
      <c r="DR289" s="268"/>
      <c r="DS289" s="268"/>
      <c r="DT289" s="268"/>
      <c r="DU289" s="268"/>
      <c r="DV289" s="268"/>
      <c r="DW289" s="268"/>
      <c r="DX289" s="268"/>
      <c r="DY289" s="268"/>
      <c r="EA289" s="721"/>
      <c r="EB289" s="721"/>
      <c r="EC289" s="721"/>
      <c r="ED289" s="721"/>
      <c r="EE289" s="721"/>
      <c r="EF289" s="721"/>
      <c r="EG289" s="721"/>
      <c r="EH289" s="721"/>
      <c r="EI289" s="721"/>
      <c r="EJ289" s="721"/>
      <c r="EK289" s="721"/>
      <c r="EL289" s="494"/>
      <c r="EM289" s="494"/>
      <c r="EN289" s="494"/>
      <c r="EO289" s="494"/>
      <c r="EP289" s="494"/>
      <c r="EQ289" s="494"/>
      <c r="ER289" s="721"/>
      <c r="ES289" s="721"/>
      <c r="ET289" s="721"/>
      <c r="EU289" s="721"/>
      <c r="EV289" s="721"/>
      <c r="EW289" s="721"/>
      <c r="EX289" s="721"/>
      <c r="EY289" s="721"/>
      <c r="EZ289" s="721"/>
      <c r="FA289" s="721"/>
      <c r="FB289" s="721"/>
      <c r="FC289" s="721"/>
      <c r="FD289" s="721"/>
      <c r="FE289" s="721"/>
      <c r="FF289" s="721"/>
      <c r="FG289" s="494"/>
      <c r="FH289" s="721"/>
      <c r="FI289" s="721"/>
      <c r="FJ289" s="721"/>
      <c r="FK289" s="721"/>
      <c r="FL289" s="721"/>
      <c r="FM289" s="721"/>
      <c r="FN289" s="721"/>
      <c r="FO289" s="721"/>
      <c r="FP289" s="721"/>
      <c r="FQ289" s="721"/>
      <c r="FR289" s="721"/>
      <c r="FS289" s="721"/>
      <c r="FT289" s="721"/>
      <c r="FU289" s="721"/>
      <c r="FV289" s="721"/>
      <c r="FW289" s="494"/>
      <c r="FX289" s="721"/>
      <c r="FY289" s="721"/>
      <c r="FZ289" s="721"/>
      <c r="GA289" s="721"/>
      <c r="GB289" s="721"/>
      <c r="GC289" s="721"/>
      <c r="GD289" s="721"/>
      <c r="GE289" s="721"/>
      <c r="GF289" s="721"/>
      <c r="GG289" s="721"/>
      <c r="GH289" s="721"/>
      <c r="GI289" s="721"/>
      <c r="GJ289" s="721"/>
      <c r="GK289" s="721"/>
      <c r="GL289" s="721"/>
      <c r="GM289" s="13"/>
      <c r="GN289" s="721"/>
      <c r="GO289" s="721"/>
      <c r="GP289" s="721"/>
      <c r="GQ289" s="721"/>
      <c r="GR289" s="721"/>
      <c r="GS289" s="721"/>
      <c r="GT289" s="721"/>
      <c r="GU289" s="721"/>
      <c r="GV289" s="721"/>
      <c r="GW289" s="721"/>
      <c r="GX289" s="721"/>
      <c r="GY289" s="721"/>
      <c r="GZ289" s="721"/>
      <c r="HA289" s="721"/>
      <c r="HB289" s="721"/>
      <c r="HC289" s="13"/>
      <c r="HD289" s="721"/>
      <c r="HE289" s="721"/>
      <c r="HF289" s="721"/>
      <c r="HG289" s="721"/>
      <c r="HH289" s="721"/>
      <c r="HI289" s="721"/>
      <c r="HJ289" s="721"/>
      <c r="HK289" s="721"/>
      <c r="HL289" s="721"/>
      <c r="HM289" s="721"/>
      <c r="HN289" s="721"/>
      <c r="HO289" s="721"/>
      <c r="HP289" s="721"/>
      <c r="HQ289" s="721"/>
      <c r="HR289" s="721"/>
      <c r="HS289" s="13"/>
      <c r="HT289" s="721"/>
      <c r="HU289" s="721"/>
      <c r="HV289" s="721"/>
      <c r="HW289" s="721"/>
      <c r="HX289" s="721"/>
      <c r="HY289" s="721"/>
      <c r="HZ289" s="721"/>
      <c r="IA289" s="721"/>
      <c r="IB289" s="721"/>
      <c r="IC289" s="721"/>
      <c r="ID289" s="721"/>
      <c r="IE289" s="721"/>
      <c r="IF289" s="721"/>
      <c r="IG289" s="721"/>
      <c r="IH289" s="721"/>
      <c r="II289" s="13"/>
      <c r="IJ289" s="721"/>
      <c r="IK289" s="721"/>
      <c r="IL289" s="721"/>
      <c r="IM289" s="721"/>
      <c r="IN289" s="721"/>
      <c r="IO289" s="721"/>
      <c r="IP289" s="721"/>
      <c r="IQ289" s="721"/>
      <c r="IR289" s="721"/>
      <c r="IS289" s="721"/>
      <c r="IT289" s="721"/>
      <c r="IU289" s="721"/>
      <c r="IV289" s="721"/>
      <c r="IW289" s="721"/>
      <c r="IX289" s="721"/>
      <c r="IY289" s="13"/>
    </row>
    <row r="290" spans="1:259" outlineLevel="1">
      <c r="A290" s="11">
        <f>'VAC &amp; MED'!C291</f>
        <v>46267</v>
      </c>
      <c r="B290" s="261"/>
      <c r="C290" s="261"/>
      <c r="D290" s="261"/>
      <c r="E290" s="261"/>
      <c r="F290" s="261"/>
      <c r="G290" s="261"/>
      <c r="H290" s="261"/>
      <c r="I290" s="261"/>
      <c r="J290" s="261"/>
      <c r="K290" s="261"/>
      <c r="L290" s="261"/>
      <c r="M290" s="261"/>
      <c r="N290" s="261"/>
      <c r="O290" s="261"/>
      <c r="P290" s="261"/>
      <c r="Q290" s="261"/>
      <c r="R290" s="262"/>
      <c r="S290" s="262"/>
      <c r="T290" s="262"/>
      <c r="U290" s="262"/>
      <c r="V290" s="262"/>
      <c r="W290" s="262"/>
      <c r="X290" s="262"/>
      <c r="Y290" s="262"/>
      <c r="Z290" s="262"/>
      <c r="AA290" s="262"/>
      <c r="AB290" s="262"/>
      <c r="AC290" s="262"/>
      <c r="AD290" s="262"/>
      <c r="AE290" s="262"/>
      <c r="AF290" s="262"/>
      <c r="AG290" s="262"/>
      <c r="AH290" s="263"/>
      <c r="AI290" s="263"/>
      <c r="AJ290" s="263"/>
      <c r="AK290" s="263"/>
      <c r="AL290" s="263"/>
      <c r="AM290" s="263"/>
      <c r="AN290" s="263"/>
      <c r="AO290" s="263"/>
      <c r="AP290" s="263"/>
      <c r="AQ290" s="263"/>
      <c r="AR290" s="263"/>
      <c r="AS290" s="263"/>
      <c r="AT290" s="263"/>
      <c r="AU290" s="263"/>
      <c r="AV290" s="263"/>
      <c r="AW290" s="263"/>
      <c r="AX290" s="264"/>
      <c r="AY290" s="264"/>
      <c r="AZ290" s="264"/>
      <c r="BA290" s="264"/>
      <c r="BB290" s="264"/>
      <c r="BC290" s="264"/>
      <c r="BD290" s="264"/>
      <c r="BE290" s="264"/>
      <c r="BF290" s="264"/>
      <c r="BG290" s="264"/>
      <c r="BH290" s="264"/>
      <c r="BI290" s="264"/>
      <c r="BJ290" s="264"/>
      <c r="BK290" s="264"/>
      <c r="BL290" s="264"/>
      <c r="BM290" s="264"/>
      <c r="BN290" s="265"/>
      <c r="BO290" s="265"/>
      <c r="BP290" s="265"/>
      <c r="BQ290" s="265"/>
      <c r="BR290" s="265"/>
      <c r="BS290" s="265"/>
      <c r="BT290" s="265"/>
      <c r="BU290" s="265"/>
      <c r="BV290" s="265"/>
      <c r="BW290" s="265"/>
      <c r="BX290" s="265"/>
      <c r="BY290" s="265"/>
      <c r="BZ290" s="265"/>
      <c r="CA290" s="265"/>
      <c r="CB290" s="265"/>
      <c r="CC290" s="265"/>
      <c r="CD290" s="266"/>
      <c r="CE290" s="266"/>
      <c r="CF290" s="266"/>
      <c r="CG290" s="266"/>
      <c r="CH290" s="266"/>
      <c r="CI290" s="266"/>
      <c r="CJ290" s="266"/>
      <c r="CK290" s="266"/>
      <c r="CL290" s="266"/>
      <c r="CM290" s="266"/>
      <c r="CN290" s="266"/>
      <c r="CO290" s="266"/>
      <c r="CP290" s="266"/>
      <c r="CQ290" s="266"/>
      <c r="CR290" s="266"/>
      <c r="CS290" s="266"/>
      <c r="CT290" s="267"/>
      <c r="CU290" s="267"/>
      <c r="CV290" s="267"/>
      <c r="CW290" s="267"/>
      <c r="CX290" s="267"/>
      <c r="CY290" s="267"/>
      <c r="CZ290" s="267"/>
      <c r="DA290" s="267"/>
      <c r="DB290" s="267"/>
      <c r="DC290" s="267"/>
      <c r="DD290" s="267"/>
      <c r="DE290" s="267"/>
      <c r="DF290" s="267"/>
      <c r="DG290" s="267"/>
      <c r="DH290" s="267"/>
      <c r="DI290" s="267"/>
      <c r="DJ290" s="268"/>
      <c r="DK290" s="268"/>
      <c r="DL290" s="268"/>
      <c r="DM290" s="268"/>
      <c r="DN290" s="268"/>
      <c r="DO290" s="268"/>
      <c r="DP290" s="268"/>
      <c r="DQ290" s="268"/>
      <c r="DR290" s="268"/>
      <c r="DS290" s="268"/>
      <c r="DT290" s="268"/>
      <c r="DU290" s="268"/>
      <c r="DV290" s="268"/>
      <c r="DW290" s="268"/>
      <c r="DX290" s="268"/>
      <c r="DY290" s="268"/>
      <c r="EA290" s="721"/>
      <c r="EB290" s="714"/>
      <c r="EC290" s="714"/>
      <c r="ED290" s="714"/>
      <c r="EE290" s="714"/>
      <c r="EF290" s="714"/>
      <c r="EG290" s="714"/>
      <c r="EH290" s="714"/>
      <c r="EI290" s="714"/>
      <c r="EJ290" s="714"/>
      <c r="EK290" s="714"/>
      <c r="EL290" s="493"/>
      <c r="EM290" s="493"/>
      <c r="EN290" s="493"/>
      <c r="EO290" s="493"/>
      <c r="EP290" s="493"/>
      <c r="EQ290" s="493"/>
      <c r="ER290" s="714"/>
      <c r="ES290" s="714"/>
      <c r="ET290" s="714"/>
      <c r="EU290" s="714"/>
      <c r="EV290" s="714"/>
      <c r="EW290" s="714"/>
      <c r="EX290" s="714"/>
      <c r="EY290" s="714"/>
      <c r="EZ290" s="714"/>
      <c r="FA290" s="493"/>
      <c r="FB290" s="493"/>
      <c r="FC290" s="493"/>
      <c r="FD290" s="493"/>
      <c r="FE290" s="493"/>
      <c r="FF290" s="714"/>
      <c r="FG290" s="493"/>
      <c r="FH290" s="714"/>
      <c r="FI290" s="714"/>
      <c r="FJ290" s="714"/>
      <c r="FK290" s="714"/>
      <c r="FL290" s="714"/>
      <c r="FM290" s="714"/>
      <c r="FN290" s="714"/>
      <c r="FO290" s="714"/>
      <c r="FP290" s="714"/>
      <c r="FQ290" s="493"/>
      <c r="FR290" s="493"/>
      <c r="FS290" s="493"/>
      <c r="FT290" s="493"/>
      <c r="FU290" s="493"/>
      <c r="FV290" s="714"/>
      <c r="FW290" s="493"/>
      <c r="FX290" s="714"/>
      <c r="FY290" s="714"/>
      <c r="FZ290" s="714"/>
      <c r="GA290" s="714"/>
      <c r="GB290" s="714"/>
      <c r="GC290" s="714"/>
      <c r="GD290" s="714"/>
      <c r="GE290" s="714"/>
      <c r="GF290" s="714"/>
      <c r="GG290" s="493"/>
      <c r="GH290" s="493"/>
      <c r="GI290" s="493"/>
      <c r="GJ290" s="493"/>
      <c r="GK290" s="493"/>
      <c r="GL290" s="714"/>
      <c r="GM290" s="13"/>
      <c r="GN290" s="714"/>
      <c r="GO290" s="714"/>
      <c r="GP290" s="714"/>
      <c r="GQ290" s="714"/>
      <c r="GR290" s="714"/>
      <c r="GS290" s="714"/>
      <c r="GT290" s="714"/>
      <c r="GU290" s="714"/>
      <c r="GV290" s="714"/>
      <c r="GW290" s="493"/>
      <c r="GX290" s="493"/>
      <c r="GY290" s="493"/>
      <c r="GZ290" s="493"/>
      <c r="HA290" s="493"/>
      <c r="HB290" s="714"/>
      <c r="HC290" s="13"/>
      <c r="HD290" s="714"/>
      <c r="HE290" s="714"/>
      <c r="HF290" s="714"/>
      <c r="HG290" s="714"/>
      <c r="HH290" s="714"/>
      <c r="HI290" s="714"/>
      <c r="HJ290" s="714"/>
      <c r="HK290" s="714"/>
      <c r="HL290" s="714"/>
      <c r="HM290" s="493"/>
      <c r="HN290" s="493"/>
      <c r="HO290" s="493"/>
      <c r="HP290" s="493"/>
      <c r="HQ290" s="493"/>
      <c r="HR290" s="714"/>
      <c r="HS290" s="13"/>
      <c r="HT290" s="714"/>
      <c r="HU290" s="714"/>
      <c r="HV290" s="714"/>
      <c r="HW290" s="714"/>
      <c r="HX290" s="714"/>
      <c r="HY290" s="714"/>
      <c r="HZ290" s="714"/>
      <c r="IA290" s="714"/>
      <c r="IB290" s="714"/>
      <c r="IC290" s="493"/>
      <c r="ID290" s="493"/>
      <c r="IE290" s="493"/>
      <c r="IF290" s="493"/>
      <c r="IG290" s="493"/>
      <c r="IH290" s="714"/>
      <c r="II290" s="13"/>
      <c r="IJ290" s="714"/>
      <c r="IK290" s="714"/>
      <c r="IL290" s="714"/>
      <c r="IM290" s="714"/>
      <c r="IN290" s="714"/>
      <c r="IO290" s="714"/>
      <c r="IP290" s="714"/>
      <c r="IQ290" s="714"/>
      <c r="IR290" s="714"/>
      <c r="IS290" s="493"/>
      <c r="IT290" s="493"/>
      <c r="IU290" s="493"/>
      <c r="IV290" s="493"/>
      <c r="IW290" s="493"/>
      <c r="IX290" s="714"/>
      <c r="IY290" s="13"/>
    </row>
    <row r="291" spans="1:259" outlineLevel="1">
      <c r="A291" s="11">
        <f>'VAC &amp; MED'!C292</f>
        <v>46268</v>
      </c>
      <c r="B291" s="261"/>
      <c r="C291" s="261"/>
      <c r="D291" s="261"/>
      <c r="E291" s="261"/>
      <c r="F291" s="261"/>
      <c r="G291" s="261"/>
      <c r="H291" s="261"/>
      <c r="I291" s="261"/>
      <c r="J291" s="261"/>
      <c r="K291" s="261"/>
      <c r="L291" s="261"/>
      <c r="M291" s="261"/>
      <c r="N291" s="261"/>
      <c r="O291" s="261"/>
      <c r="P291" s="261"/>
      <c r="Q291" s="261"/>
      <c r="R291" s="262"/>
      <c r="S291" s="262"/>
      <c r="T291" s="262"/>
      <c r="U291" s="262"/>
      <c r="V291" s="262"/>
      <c r="W291" s="262"/>
      <c r="X291" s="262"/>
      <c r="Y291" s="262"/>
      <c r="Z291" s="262"/>
      <c r="AA291" s="262"/>
      <c r="AB291" s="262"/>
      <c r="AC291" s="262"/>
      <c r="AD291" s="262"/>
      <c r="AE291" s="262"/>
      <c r="AF291" s="262"/>
      <c r="AG291" s="262"/>
      <c r="AH291" s="263"/>
      <c r="AI291" s="263"/>
      <c r="AJ291" s="263"/>
      <c r="AK291" s="263"/>
      <c r="AL291" s="263"/>
      <c r="AM291" s="263"/>
      <c r="AN291" s="263"/>
      <c r="AO291" s="263"/>
      <c r="AP291" s="263"/>
      <c r="AQ291" s="263"/>
      <c r="AR291" s="263"/>
      <c r="AS291" s="263"/>
      <c r="AT291" s="263"/>
      <c r="AU291" s="263"/>
      <c r="AV291" s="263"/>
      <c r="AW291" s="263"/>
      <c r="AX291" s="264"/>
      <c r="AY291" s="264"/>
      <c r="AZ291" s="264"/>
      <c r="BA291" s="264"/>
      <c r="BB291" s="264"/>
      <c r="BC291" s="264"/>
      <c r="BD291" s="264"/>
      <c r="BE291" s="264"/>
      <c r="BF291" s="264"/>
      <c r="BG291" s="264"/>
      <c r="BH291" s="264"/>
      <c r="BI291" s="264"/>
      <c r="BJ291" s="264"/>
      <c r="BK291" s="264"/>
      <c r="BL291" s="264"/>
      <c r="BM291" s="264"/>
      <c r="BN291" s="265"/>
      <c r="BO291" s="265"/>
      <c r="BP291" s="265"/>
      <c r="BQ291" s="265"/>
      <c r="BR291" s="265"/>
      <c r="BS291" s="265"/>
      <c r="BT291" s="265"/>
      <c r="BU291" s="265"/>
      <c r="BV291" s="265"/>
      <c r="BW291" s="265"/>
      <c r="BX291" s="265"/>
      <c r="BY291" s="265"/>
      <c r="BZ291" s="265"/>
      <c r="CA291" s="265"/>
      <c r="CB291" s="265"/>
      <c r="CC291" s="265"/>
      <c r="CD291" s="266"/>
      <c r="CE291" s="266"/>
      <c r="CF291" s="266"/>
      <c r="CG291" s="266"/>
      <c r="CH291" s="266"/>
      <c r="CI291" s="266"/>
      <c r="CJ291" s="266"/>
      <c r="CK291" s="266"/>
      <c r="CL291" s="266"/>
      <c r="CM291" s="266"/>
      <c r="CN291" s="266"/>
      <c r="CO291" s="266"/>
      <c r="CP291" s="266"/>
      <c r="CQ291" s="266"/>
      <c r="CR291" s="266"/>
      <c r="CS291" s="266"/>
      <c r="CT291" s="267"/>
      <c r="CU291" s="267"/>
      <c r="CV291" s="267"/>
      <c r="CW291" s="267"/>
      <c r="CX291" s="267"/>
      <c r="CY291" s="267"/>
      <c r="CZ291" s="267"/>
      <c r="DA291" s="267"/>
      <c r="DB291" s="267"/>
      <c r="DC291" s="267"/>
      <c r="DD291" s="267"/>
      <c r="DE291" s="267"/>
      <c r="DF291" s="267"/>
      <c r="DG291" s="267"/>
      <c r="DH291" s="267"/>
      <c r="DI291" s="267"/>
      <c r="DJ291" s="268"/>
      <c r="DK291" s="268"/>
      <c r="DL291" s="268"/>
      <c r="DM291" s="268"/>
      <c r="DN291" s="268"/>
      <c r="DO291" s="268"/>
      <c r="DP291" s="268"/>
      <c r="DQ291" s="268"/>
      <c r="DR291" s="268"/>
      <c r="DS291" s="268"/>
      <c r="DT291" s="268"/>
      <c r="DU291" s="268"/>
      <c r="DV291" s="268"/>
      <c r="DW291" s="268"/>
      <c r="DX291" s="268"/>
      <c r="DY291" s="268"/>
      <c r="EA291" s="721"/>
      <c r="EB291" s="714"/>
      <c r="EC291" s="714"/>
      <c r="ED291" s="714"/>
      <c r="EE291" s="714"/>
      <c r="EF291" s="714"/>
      <c r="EG291" s="714"/>
      <c r="EH291" s="714"/>
      <c r="EI291" s="714"/>
      <c r="EJ291" s="714"/>
      <c r="EK291" s="714"/>
      <c r="EL291" s="493"/>
      <c r="EM291" s="493"/>
      <c r="EN291" s="493"/>
      <c r="EO291" s="493"/>
      <c r="EP291" s="493"/>
      <c r="EQ291" s="493"/>
      <c r="ER291" s="714"/>
      <c r="ES291" s="714"/>
      <c r="ET291" s="714"/>
      <c r="EU291" s="714"/>
      <c r="EV291" s="714"/>
      <c r="EW291" s="714"/>
      <c r="EX291" s="714"/>
      <c r="EY291" s="714"/>
      <c r="EZ291" s="714"/>
      <c r="FA291" s="493"/>
      <c r="FB291" s="493"/>
      <c r="FC291" s="493"/>
      <c r="FD291" s="493"/>
      <c r="FE291" s="493"/>
      <c r="FF291" s="714"/>
      <c r="FG291" s="493"/>
      <c r="FH291" s="714"/>
      <c r="FI291" s="714"/>
      <c r="FJ291" s="714"/>
      <c r="FK291" s="714"/>
      <c r="FL291" s="714"/>
      <c r="FM291" s="714"/>
      <c r="FN291" s="714"/>
      <c r="FO291" s="714"/>
      <c r="FP291" s="714"/>
      <c r="FQ291" s="493"/>
      <c r="FR291" s="493"/>
      <c r="FS291" s="493"/>
      <c r="FT291" s="493"/>
      <c r="FU291" s="493"/>
      <c r="FV291" s="714"/>
      <c r="FW291" s="493"/>
      <c r="FX291" s="714"/>
      <c r="FY291" s="714"/>
      <c r="FZ291" s="714"/>
      <c r="GA291" s="714"/>
      <c r="GB291" s="714"/>
      <c r="GC291" s="714"/>
      <c r="GD291" s="714"/>
      <c r="GE291" s="714"/>
      <c r="GF291" s="714"/>
      <c r="GG291" s="493"/>
      <c r="GH291" s="493"/>
      <c r="GI291" s="493"/>
      <c r="GJ291" s="493"/>
      <c r="GK291" s="493"/>
      <c r="GL291" s="714"/>
      <c r="GM291" s="13"/>
      <c r="GN291" s="714"/>
      <c r="GO291" s="714"/>
      <c r="GP291" s="714"/>
      <c r="GQ291" s="714"/>
      <c r="GR291" s="714"/>
      <c r="GS291" s="714"/>
      <c r="GT291" s="714"/>
      <c r="GU291" s="714"/>
      <c r="GV291" s="714"/>
      <c r="GW291" s="493"/>
      <c r="GX291" s="493"/>
      <c r="GY291" s="493"/>
      <c r="GZ291" s="493"/>
      <c r="HA291" s="493"/>
      <c r="HB291" s="714"/>
      <c r="HC291" s="13"/>
      <c r="HD291" s="714"/>
      <c r="HE291" s="714"/>
      <c r="HF291" s="714"/>
      <c r="HG291" s="714"/>
      <c r="HH291" s="714"/>
      <c r="HI291" s="714"/>
      <c r="HJ291" s="714"/>
      <c r="HK291" s="714"/>
      <c r="HL291" s="714"/>
      <c r="HM291" s="493"/>
      <c r="HN291" s="493"/>
      <c r="HO291" s="493"/>
      <c r="HP291" s="493"/>
      <c r="HQ291" s="493"/>
      <c r="HR291" s="714"/>
      <c r="HS291" s="13"/>
      <c r="HT291" s="714"/>
      <c r="HU291" s="714"/>
      <c r="HV291" s="714"/>
      <c r="HW291" s="714"/>
      <c r="HX291" s="714"/>
      <c r="HY291" s="714"/>
      <c r="HZ291" s="714"/>
      <c r="IA291" s="714"/>
      <c r="IB291" s="714"/>
      <c r="IC291" s="493"/>
      <c r="ID291" s="493"/>
      <c r="IE291" s="493"/>
      <c r="IF291" s="493"/>
      <c r="IG291" s="493"/>
      <c r="IH291" s="714"/>
      <c r="II291" s="13"/>
      <c r="IJ291" s="714"/>
      <c r="IK291" s="714"/>
      <c r="IL291" s="714"/>
      <c r="IM291" s="714"/>
      <c r="IN291" s="714"/>
      <c r="IO291" s="714"/>
      <c r="IP291" s="714"/>
      <c r="IQ291" s="714"/>
      <c r="IR291" s="714"/>
      <c r="IS291" s="493"/>
      <c r="IT291" s="493"/>
      <c r="IU291" s="493"/>
      <c r="IV291" s="493"/>
      <c r="IW291" s="493"/>
      <c r="IX291" s="714"/>
      <c r="IY291" s="13"/>
    </row>
    <row r="292" spans="1:259" outlineLevel="1">
      <c r="A292" s="11">
        <f>'VAC &amp; MED'!C293</f>
        <v>46269</v>
      </c>
      <c r="B292" s="261"/>
      <c r="C292" s="261"/>
      <c r="D292" s="261"/>
      <c r="E292" s="261"/>
      <c r="F292" s="261"/>
      <c r="G292" s="261"/>
      <c r="H292" s="261"/>
      <c r="I292" s="261"/>
      <c r="J292" s="261"/>
      <c r="K292" s="261"/>
      <c r="L292" s="261"/>
      <c r="M292" s="261"/>
      <c r="N292" s="261"/>
      <c r="O292" s="261"/>
      <c r="P292" s="261"/>
      <c r="Q292" s="261"/>
      <c r="R292" s="262"/>
      <c r="S292" s="262"/>
      <c r="T292" s="262"/>
      <c r="U292" s="262"/>
      <c r="V292" s="262"/>
      <c r="W292" s="262"/>
      <c r="X292" s="262"/>
      <c r="Y292" s="262"/>
      <c r="Z292" s="262"/>
      <c r="AA292" s="262"/>
      <c r="AB292" s="262"/>
      <c r="AC292" s="262"/>
      <c r="AD292" s="262"/>
      <c r="AE292" s="262"/>
      <c r="AF292" s="262"/>
      <c r="AG292" s="262"/>
      <c r="AH292" s="263"/>
      <c r="AI292" s="263"/>
      <c r="AJ292" s="263"/>
      <c r="AK292" s="263"/>
      <c r="AL292" s="263"/>
      <c r="AM292" s="263"/>
      <c r="AN292" s="263"/>
      <c r="AO292" s="263"/>
      <c r="AP292" s="263"/>
      <c r="AQ292" s="263"/>
      <c r="AR292" s="263"/>
      <c r="AS292" s="263"/>
      <c r="AT292" s="263"/>
      <c r="AU292" s="263"/>
      <c r="AV292" s="263"/>
      <c r="AW292" s="263"/>
      <c r="AX292" s="264"/>
      <c r="AY292" s="264"/>
      <c r="AZ292" s="264"/>
      <c r="BA292" s="264"/>
      <c r="BB292" s="264"/>
      <c r="BC292" s="264"/>
      <c r="BD292" s="264"/>
      <c r="BE292" s="264"/>
      <c r="BF292" s="264"/>
      <c r="BG292" s="264"/>
      <c r="BH292" s="264"/>
      <c r="BI292" s="264"/>
      <c r="BJ292" s="264"/>
      <c r="BK292" s="264"/>
      <c r="BL292" s="264"/>
      <c r="BM292" s="264"/>
      <c r="BN292" s="265"/>
      <c r="BO292" s="265"/>
      <c r="BP292" s="265"/>
      <c r="BQ292" s="265"/>
      <c r="BR292" s="265"/>
      <c r="BS292" s="265"/>
      <c r="BT292" s="265"/>
      <c r="BU292" s="265"/>
      <c r="BV292" s="265"/>
      <c r="BW292" s="265"/>
      <c r="BX292" s="265"/>
      <c r="BY292" s="265"/>
      <c r="BZ292" s="265"/>
      <c r="CA292" s="265"/>
      <c r="CB292" s="265"/>
      <c r="CC292" s="265"/>
      <c r="CD292" s="266"/>
      <c r="CE292" s="266"/>
      <c r="CF292" s="266"/>
      <c r="CG292" s="266"/>
      <c r="CH292" s="266"/>
      <c r="CI292" s="266"/>
      <c r="CJ292" s="266"/>
      <c r="CK292" s="266"/>
      <c r="CL292" s="266"/>
      <c r="CM292" s="266"/>
      <c r="CN292" s="266"/>
      <c r="CO292" s="266"/>
      <c r="CP292" s="266"/>
      <c r="CQ292" s="266"/>
      <c r="CR292" s="266"/>
      <c r="CS292" s="266"/>
      <c r="CT292" s="267"/>
      <c r="CU292" s="267"/>
      <c r="CV292" s="267"/>
      <c r="CW292" s="267"/>
      <c r="CX292" s="267"/>
      <c r="CY292" s="267"/>
      <c r="CZ292" s="267"/>
      <c r="DA292" s="267"/>
      <c r="DB292" s="267"/>
      <c r="DC292" s="267"/>
      <c r="DD292" s="267"/>
      <c r="DE292" s="267"/>
      <c r="DF292" s="267"/>
      <c r="DG292" s="267"/>
      <c r="DH292" s="267"/>
      <c r="DI292" s="267"/>
      <c r="DJ292" s="268"/>
      <c r="DK292" s="268"/>
      <c r="DL292" s="268"/>
      <c r="DM292" s="268"/>
      <c r="DN292" s="268"/>
      <c r="DO292" s="268"/>
      <c r="DP292" s="268"/>
      <c r="DQ292" s="268"/>
      <c r="DR292" s="268"/>
      <c r="DS292" s="268"/>
      <c r="DT292" s="268"/>
      <c r="DU292" s="268"/>
      <c r="DV292" s="268"/>
      <c r="DW292" s="268"/>
      <c r="DX292" s="268"/>
      <c r="DY292" s="268"/>
      <c r="EA292" s="13"/>
      <c r="EB292" s="96"/>
      <c r="EC292" s="96"/>
      <c r="ED292" s="96"/>
      <c r="EE292" s="96"/>
      <c r="EF292" s="96"/>
      <c r="EG292" s="96"/>
      <c r="EH292" s="96"/>
      <c r="EI292" s="96"/>
      <c r="EJ292" s="96"/>
      <c r="EK292" s="96"/>
      <c r="EL292" s="96"/>
      <c r="EM292" s="96"/>
      <c r="EN292" s="96"/>
      <c r="EO292" s="96"/>
      <c r="EP292" s="96"/>
      <c r="EQ292" s="96"/>
      <c r="ER292" s="96"/>
      <c r="ES292" s="96"/>
      <c r="ET292" s="96"/>
      <c r="EU292" s="96"/>
      <c r="EV292" s="96"/>
      <c r="EW292" s="96"/>
      <c r="EX292" s="96"/>
      <c r="EY292" s="96"/>
      <c r="EZ292" s="96"/>
      <c r="FA292" s="96"/>
      <c r="FB292" s="96"/>
      <c r="FC292" s="96"/>
      <c r="FD292" s="96"/>
      <c r="FE292" s="96"/>
      <c r="FF292" s="96"/>
      <c r="FG292" s="96"/>
      <c r="FH292" s="96"/>
      <c r="FI292" s="96"/>
      <c r="FJ292" s="96"/>
      <c r="FK292" s="96"/>
      <c r="FL292" s="96"/>
      <c r="FM292" s="96"/>
      <c r="FN292" s="96"/>
      <c r="FO292" s="96"/>
      <c r="FP292" s="96"/>
      <c r="FQ292" s="96"/>
      <c r="FR292" s="96"/>
      <c r="FS292" s="96"/>
      <c r="FT292" s="96"/>
      <c r="FU292" s="96"/>
      <c r="FV292" s="96"/>
      <c r="FW292" s="96"/>
      <c r="FX292" s="96"/>
      <c r="FY292" s="96"/>
      <c r="FZ292" s="96"/>
      <c r="GA292" s="96"/>
      <c r="GB292" s="96"/>
      <c r="GC292" s="96"/>
      <c r="GD292" s="96"/>
      <c r="GE292" s="96"/>
      <c r="GF292" s="96"/>
      <c r="GG292" s="96"/>
      <c r="GH292" s="96"/>
      <c r="GI292" s="96"/>
      <c r="GJ292" s="96"/>
      <c r="GK292" s="96"/>
      <c r="GL292" s="96"/>
      <c r="GM292" s="13"/>
      <c r="GN292" s="96"/>
      <c r="GO292" s="96"/>
      <c r="GP292" s="96"/>
      <c r="GQ292" s="96"/>
      <c r="GR292" s="96"/>
      <c r="GS292" s="96"/>
      <c r="GT292" s="96"/>
      <c r="GU292" s="96"/>
      <c r="GV292" s="96"/>
      <c r="GW292" s="96"/>
      <c r="GX292" s="96"/>
      <c r="GY292" s="96"/>
      <c r="GZ292" s="96"/>
      <c r="HA292" s="96"/>
      <c r="HB292" s="96"/>
      <c r="HC292" s="13"/>
      <c r="HD292" s="96"/>
      <c r="HE292" s="96"/>
      <c r="HF292" s="96"/>
      <c r="HG292" s="96"/>
      <c r="HH292" s="96"/>
      <c r="HI292" s="96"/>
      <c r="HJ292" s="96"/>
      <c r="HK292" s="96"/>
      <c r="HL292" s="96"/>
      <c r="HM292" s="96"/>
      <c r="HN292" s="96"/>
      <c r="HO292" s="96"/>
      <c r="HP292" s="96"/>
      <c r="HQ292" s="96"/>
      <c r="HR292" s="96"/>
      <c r="HS292" s="13"/>
      <c r="HT292" s="96"/>
      <c r="HU292" s="96"/>
      <c r="HV292" s="96"/>
      <c r="HW292" s="96"/>
      <c r="HX292" s="96"/>
      <c r="HY292" s="96"/>
      <c r="HZ292" s="96"/>
      <c r="IA292" s="96"/>
      <c r="IB292" s="96"/>
      <c r="IC292" s="96"/>
      <c r="ID292" s="96"/>
      <c r="IE292" s="96"/>
      <c r="IF292" s="96"/>
      <c r="IG292" s="96"/>
      <c r="IH292" s="96"/>
      <c r="II292" s="13"/>
      <c r="IJ292" s="96"/>
      <c r="IK292" s="96"/>
      <c r="IL292" s="96"/>
      <c r="IM292" s="96"/>
      <c r="IN292" s="96"/>
      <c r="IO292" s="96"/>
      <c r="IP292" s="96"/>
      <c r="IQ292" s="96"/>
      <c r="IR292" s="96"/>
      <c r="IS292" s="96"/>
      <c r="IT292" s="96"/>
      <c r="IU292" s="96"/>
      <c r="IV292" s="96"/>
      <c r="IW292" s="96"/>
      <c r="IX292" s="96"/>
      <c r="IY292" s="13"/>
    </row>
    <row r="293" spans="1:259" outlineLevel="1">
      <c r="A293" s="11">
        <f>'VAC &amp; MED'!C294</f>
        <v>46270</v>
      </c>
      <c r="B293" s="261"/>
      <c r="C293" s="261"/>
      <c r="D293" s="261"/>
      <c r="E293" s="261"/>
      <c r="F293" s="261"/>
      <c r="G293" s="261"/>
      <c r="H293" s="261"/>
      <c r="I293" s="261"/>
      <c r="J293" s="261"/>
      <c r="K293" s="261"/>
      <c r="L293" s="261"/>
      <c r="M293" s="261"/>
      <c r="N293" s="261"/>
      <c r="O293" s="261"/>
      <c r="P293" s="261"/>
      <c r="Q293" s="261"/>
      <c r="R293" s="262"/>
      <c r="S293" s="262"/>
      <c r="T293" s="262"/>
      <c r="U293" s="262"/>
      <c r="V293" s="262"/>
      <c r="W293" s="262"/>
      <c r="X293" s="262"/>
      <c r="Y293" s="262"/>
      <c r="Z293" s="262"/>
      <c r="AA293" s="262"/>
      <c r="AB293" s="262"/>
      <c r="AC293" s="262"/>
      <c r="AD293" s="262"/>
      <c r="AE293" s="262"/>
      <c r="AF293" s="262"/>
      <c r="AG293" s="262"/>
      <c r="AH293" s="263"/>
      <c r="AI293" s="263"/>
      <c r="AJ293" s="263"/>
      <c r="AK293" s="263"/>
      <c r="AL293" s="263"/>
      <c r="AM293" s="263"/>
      <c r="AN293" s="263"/>
      <c r="AO293" s="263"/>
      <c r="AP293" s="263"/>
      <c r="AQ293" s="263"/>
      <c r="AR293" s="263"/>
      <c r="AS293" s="263"/>
      <c r="AT293" s="263"/>
      <c r="AU293" s="263"/>
      <c r="AV293" s="263"/>
      <c r="AW293" s="263"/>
      <c r="AX293" s="264"/>
      <c r="AY293" s="264"/>
      <c r="AZ293" s="264"/>
      <c r="BA293" s="264"/>
      <c r="BB293" s="264"/>
      <c r="BC293" s="264"/>
      <c r="BD293" s="264"/>
      <c r="BE293" s="264"/>
      <c r="BF293" s="264"/>
      <c r="BG293" s="264"/>
      <c r="BH293" s="264"/>
      <c r="BI293" s="264"/>
      <c r="BJ293" s="264"/>
      <c r="BK293" s="264"/>
      <c r="BL293" s="264"/>
      <c r="BM293" s="264"/>
      <c r="BN293" s="265"/>
      <c r="BO293" s="265"/>
      <c r="BP293" s="265"/>
      <c r="BQ293" s="265"/>
      <c r="BR293" s="265"/>
      <c r="BS293" s="265"/>
      <c r="BT293" s="265"/>
      <c r="BU293" s="265"/>
      <c r="BV293" s="265"/>
      <c r="BW293" s="265"/>
      <c r="BX293" s="265"/>
      <c r="BY293" s="265"/>
      <c r="BZ293" s="265"/>
      <c r="CA293" s="265"/>
      <c r="CB293" s="265"/>
      <c r="CC293" s="265"/>
      <c r="CD293" s="266"/>
      <c r="CE293" s="266"/>
      <c r="CF293" s="266"/>
      <c r="CG293" s="266"/>
      <c r="CH293" s="266"/>
      <c r="CI293" s="266"/>
      <c r="CJ293" s="266"/>
      <c r="CK293" s="266"/>
      <c r="CL293" s="266"/>
      <c r="CM293" s="266"/>
      <c r="CN293" s="266"/>
      <c r="CO293" s="266"/>
      <c r="CP293" s="266"/>
      <c r="CQ293" s="266"/>
      <c r="CR293" s="266"/>
      <c r="CS293" s="266"/>
      <c r="CT293" s="267"/>
      <c r="CU293" s="267"/>
      <c r="CV293" s="267"/>
      <c r="CW293" s="267"/>
      <c r="CX293" s="267"/>
      <c r="CY293" s="267"/>
      <c r="CZ293" s="267"/>
      <c r="DA293" s="267"/>
      <c r="DB293" s="267"/>
      <c r="DC293" s="267"/>
      <c r="DD293" s="267"/>
      <c r="DE293" s="267"/>
      <c r="DF293" s="267"/>
      <c r="DG293" s="267"/>
      <c r="DH293" s="267"/>
      <c r="DI293" s="267"/>
      <c r="DJ293" s="268"/>
      <c r="DK293" s="268"/>
      <c r="DL293" s="268"/>
      <c r="DM293" s="268"/>
      <c r="DN293" s="268"/>
      <c r="DO293" s="268"/>
      <c r="DP293" s="268"/>
      <c r="DQ293" s="268"/>
      <c r="DR293" s="268"/>
      <c r="DS293" s="268"/>
      <c r="DT293" s="268"/>
      <c r="DU293" s="268"/>
      <c r="DV293" s="268"/>
      <c r="DW293" s="268"/>
      <c r="DX293" s="268"/>
      <c r="DY293" s="268"/>
      <c r="EA293" s="13"/>
      <c r="EB293" s="96"/>
      <c r="EC293" s="96"/>
      <c r="ED293" s="96"/>
      <c r="EE293" s="96"/>
      <c r="EF293" s="96"/>
      <c r="EG293" s="96"/>
      <c r="EH293" s="96"/>
      <c r="EI293" s="96"/>
      <c r="EJ293" s="96"/>
      <c r="EK293" s="96"/>
      <c r="EL293" s="96"/>
      <c r="EM293" s="96"/>
      <c r="EN293" s="96"/>
      <c r="EO293" s="96"/>
      <c r="EP293" s="96"/>
      <c r="EQ293" s="96"/>
      <c r="ER293" s="96"/>
      <c r="ES293" s="96"/>
      <c r="ET293" s="96"/>
      <c r="EU293" s="96"/>
      <c r="EV293" s="96"/>
      <c r="EW293" s="96"/>
      <c r="EX293" s="96"/>
      <c r="EY293" s="96"/>
      <c r="EZ293" s="96"/>
      <c r="FA293" s="96"/>
      <c r="FB293" s="96"/>
      <c r="FC293" s="96"/>
      <c r="FD293" s="96"/>
      <c r="FE293" s="96"/>
      <c r="FF293" s="96"/>
      <c r="FG293" s="96"/>
      <c r="FH293" s="96"/>
      <c r="FI293" s="96"/>
      <c r="FJ293" s="96"/>
      <c r="FK293" s="96"/>
      <c r="FL293" s="96"/>
      <c r="FM293" s="96"/>
      <c r="FN293" s="96"/>
      <c r="FO293" s="96"/>
      <c r="FP293" s="96"/>
      <c r="FQ293" s="96"/>
      <c r="FR293" s="96"/>
      <c r="FS293" s="96"/>
      <c r="FT293" s="96"/>
      <c r="FU293" s="96"/>
      <c r="FV293" s="96"/>
      <c r="FW293" s="96"/>
      <c r="FX293" s="96"/>
      <c r="FY293" s="96"/>
      <c r="FZ293" s="96"/>
      <c r="GA293" s="96"/>
      <c r="GB293" s="96"/>
      <c r="GC293" s="96"/>
      <c r="GD293" s="96"/>
      <c r="GE293" s="96"/>
      <c r="GF293" s="96"/>
      <c r="GG293" s="96"/>
      <c r="GH293" s="96"/>
      <c r="GI293" s="96"/>
      <c r="GJ293" s="96"/>
      <c r="GK293" s="96"/>
      <c r="GL293" s="96"/>
      <c r="GM293" s="13"/>
      <c r="GN293" s="96"/>
      <c r="GO293" s="96"/>
      <c r="GP293" s="96"/>
      <c r="GQ293" s="96"/>
      <c r="GR293" s="96"/>
      <c r="GS293" s="96"/>
      <c r="GT293" s="96"/>
      <c r="GU293" s="96"/>
      <c r="GV293" s="96"/>
      <c r="GW293" s="96"/>
      <c r="GX293" s="96"/>
      <c r="GY293" s="96"/>
      <c r="GZ293" s="96"/>
      <c r="HA293" s="96"/>
      <c r="HB293" s="96"/>
      <c r="HC293" s="13"/>
      <c r="HD293" s="96"/>
      <c r="HE293" s="96"/>
      <c r="HF293" s="96"/>
      <c r="HG293" s="96"/>
      <c r="HH293" s="96"/>
      <c r="HI293" s="96"/>
      <c r="HJ293" s="96"/>
      <c r="HK293" s="96"/>
      <c r="HL293" s="96"/>
      <c r="HM293" s="96"/>
      <c r="HN293" s="96"/>
      <c r="HO293" s="96"/>
      <c r="HP293" s="96"/>
      <c r="HQ293" s="96"/>
      <c r="HR293" s="96"/>
      <c r="HS293" s="13"/>
      <c r="HT293" s="96"/>
      <c r="HU293" s="96"/>
      <c r="HV293" s="96"/>
      <c r="HW293" s="96"/>
      <c r="HX293" s="96"/>
      <c r="HY293" s="96"/>
      <c r="HZ293" s="96"/>
      <c r="IA293" s="96"/>
      <c r="IB293" s="96"/>
      <c r="IC293" s="96"/>
      <c r="ID293" s="96"/>
      <c r="IE293" s="96"/>
      <c r="IF293" s="96"/>
      <c r="IG293" s="96"/>
      <c r="IH293" s="96"/>
      <c r="II293" s="13"/>
      <c r="IJ293" s="96"/>
      <c r="IK293" s="96"/>
      <c r="IL293" s="96"/>
      <c r="IM293" s="96"/>
      <c r="IN293" s="96"/>
      <c r="IO293" s="96"/>
      <c r="IP293" s="96"/>
      <c r="IQ293" s="96"/>
      <c r="IR293" s="96"/>
      <c r="IS293" s="96"/>
      <c r="IT293" s="96"/>
      <c r="IU293" s="96"/>
      <c r="IV293" s="96"/>
      <c r="IW293" s="96"/>
      <c r="IX293" s="96"/>
      <c r="IY293" s="13"/>
    </row>
    <row r="294" spans="1:259" outlineLevel="1">
      <c r="A294" s="11">
        <f>'VAC &amp; MED'!C295</f>
        <v>46271</v>
      </c>
      <c r="B294" s="261"/>
      <c r="C294" s="261"/>
      <c r="D294" s="261"/>
      <c r="E294" s="261"/>
      <c r="F294" s="261"/>
      <c r="G294" s="261"/>
      <c r="H294" s="261"/>
      <c r="I294" s="261"/>
      <c r="J294" s="261"/>
      <c r="K294" s="261"/>
      <c r="L294" s="261"/>
      <c r="M294" s="261"/>
      <c r="N294" s="261"/>
      <c r="O294" s="261"/>
      <c r="P294" s="261"/>
      <c r="Q294" s="261"/>
      <c r="R294" s="262"/>
      <c r="S294" s="262"/>
      <c r="T294" s="262"/>
      <c r="U294" s="262"/>
      <c r="V294" s="262"/>
      <c r="W294" s="262"/>
      <c r="X294" s="262"/>
      <c r="Y294" s="262"/>
      <c r="Z294" s="262"/>
      <c r="AA294" s="262"/>
      <c r="AB294" s="262"/>
      <c r="AC294" s="262"/>
      <c r="AD294" s="262"/>
      <c r="AE294" s="262"/>
      <c r="AF294" s="262"/>
      <c r="AG294" s="262"/>
      <c r="AH294" s="263"/>
      <c r="AI294" s="263"/>
      <c r="AJ294" s="263"/>
      <c r="AK294" s="263"/>
      <c r="AL294" s="263"/>
      <c r="AM294" s="263"/>
      <c r="AN294" s="263"/>
      <c r="AO294" s="263"/>
      <c r="AP294" s="263"/>
      <c r="AQ294" s="263"/>
      <c r="AR294" s="263"/>
      <c r="AS294" s="263"/>
      <c r="AT294" s="263"/>
      <c r="AU294" s="263"/>
      <c r="AV294" s="263"/>
      <c r="AW294" s="263"/>
      <c r="AX294" s="264"/>
      <c r="AY294" s="264"/>
      <c r="AZ294" s="264"/>
      <c r="BA294" s="264"/>
      <c r="BB294" s="264"/>
      <c r="BC294" s="264"/>
      <c r="BD294" s="264"/>
      <c r="BE294" s="264"/>
      <c r="BF294" s="264"/>
      <c r="BG294" s="264"/>
      <c r="BH294" s="264"/>
      <c r="BI294" s="264"/>
      <c r="BJ294" s="264"/>
      <c r="BK294" s="264"/>
      <c r="BL294" s="264"/>
      <c r="BM294" s="264"/>
      <c r="BN294" s="265"/>
      <c r="BO294" s="265"/>
      <c r="BP294" s="265"/>
      <c r="BQ294" s="265"/>
      <c r="BR294" s="265"/>
      <c r="BS294" s="265"/>
      <c r="BT294" s="265"/>
      <c r="BU294" s="265"/>
      <c r="BV294" s="265"/>
      <c r="BW294" s="265"/>
      <c r="BX294" s="265"/>
      <c r="BY294" s="265"/>
      <c r="BZ294" s="265"/>
      <c r="CA294" s="265"/>
      <c r="CB294" s="265"/>
      <c r="CC294" s="265"/>
      <c r="CD294" s="266"/>
      <c r="CE294" s="266"/>
      <c r="CF294" s="266"/>
      <c r="CG294" s="266"/>
      <c r="CH294" s="266"/>
      <c r="CI294" s="266"/>
      <c r="CJ294" s="266"/>
      <c r="CK294" s="266"/>
      <c r="CL294" s="266"/>
      <c r="CM294" s="266"/>
      <c r="CN294" s="266"/>
      <c r="CO294" s="266"/>
      <c r="CP294" s="266"/>
      <c r="CQ294" s="266"/>
      <c r="CR294" s="266"/>
      <c r="CS294" s="266"/>
      <c r="CT294" s="267"/>
      <c r="CU294" s="267"/>
      <c r="CV294" s="267"/>
      <c r="CW294" s="267"/>
      <c r="CX294" s="267"/>
      <c r="CY294" s="267"/>
      <c r="CZ294" s="267"/>
      <c r="DA294" s="267"/>
      <c r="DB294" s="267"/>
      <c r="DC294" s="267"/>
      <c r="DD294" s="267"/>
      <c r="DE294" s="267"/>
      <c r="DF294" s="267"/>
      <c r="DG294" s="267"/>
      <c r="DH294" s="267"/>
      <c r="DI294" s="267"/>
      <c r="DJ294" s="268"/>
      <c r="DK294" s="268"/>
      <c r="DL294" s="268"/>
      <c r="DM294" s="268"/>
      <c r="DN294" s="268"/>
      <c r="DO294" s="268"/>
      <c r="DP294" s="268"/>
      <c r="DQ294" s="268"/>
      <c r="DR294" s="268"/>
      <c r="DS294" s="268"/>
      <c r="DT294" s="268"/>
      <c r="DU294" s="268"/>
      <c r="DV294" s="268"/>
      <c r="DW294" s="268"/>
      <c r="DX294" s="268"/>
      <c r="DY294" s="268"/>
      <c r="EA294" s="13"/>
      <c r="EB294" s="96"/>
      <c r="EC294" s="96"/>
      <c r="ED294" s="96"/>
      <c r="EE294" s="96"/>
      <c r="EF294" s="96"/>
      <c r="EG294" s="96"/>
      <c r="EH294" s="96"/>
      <c r="EI294" s="96"/>
      <c r="EJ294" s="96"/>
      <c r="EK294" s="96"/>
      <c r="EL294" s="96"/>
      <c r="EM294" s="96"/>
      <c r="EN294" s="96"/>
      <c r="EO294" s="96"/>
      <c r="EP294" s="96"/>
      <c r="EQ294" s="96"/>
      <c r="ER294" s="96"/>
      <c r="ES294" s="96"/>
      <c r="ET294" s="96"/>
      <c r="EU294" s="96"/>
      <c r="EV294" s="96"/>
      <c r="EW294" s="96"/>
      <c r="EX294" s="96"/>
      <c r="EY294" s="96"/>
      <c r="EZ294" s="96"/>
      <c r="FA294" s="96"/>
      <c r="FB294" s="96"/>
      <c r="FC294" s="96"/>
      <c r="FD294" s="96"/>
      <c r="FE294" s="96"/>
      <c r="FF294" s="96"/>
      <c r="FG294" s="96"/>
      <c r="FH294" s="96"/>
      <c r="FI294" s="96"/>
      <c r="FJ294" s="96"/>
      <c r="FK294" s="96"/>
      <c r="FL294" s="96"/>
      <c r="FM294" s="96"/>
      <c r="FN294" s="96"/>
      <c r="FO294" s="96"/>
      <c r="FP294" s="96"/>
      <c r="FQ294" s="96"/>
      <c r="FR294" s="96"/>
      <c r="FS294" s="96"/>
      <c r="FT294" s="96"/>
      <c r="FU294" s="96"/>
      <c r="FV294" s="96"/>
      <c r="FW294" s="96"/>
      <c r="FX294" s="96"/>
      <c r="FY294" s="96"/>
      <c r="FZ294" s="96"/>
      <c r="GA294" s="96"/>
      <c r="GB294" s="96"/>
      <c r="GC294" s="96"/>
      <c r="GD294" s="96"/>
      <c r="GE294" s="96"/>
      <c r="GF294" s="96"/>
      <c r="GG294" s="96"/>
      <c r="GH294" s="96"/>
      <c r="GI294" s="96"/>
      <c r="GJ294" s="96"/>
      <c r="GK294" s="96"/>
      <c r="GL294" s="96"/>
      <c r="GM294" s="13"/>
      <c r="GN294" s="96"/>
      <c r="GO294" s="96"/>
      <c r="GP294" s="96"/>
      <c r="GQ294" s="96"/>
      <c r="GR294" s="96"/>
      <c r="GS294" s="96"/>
      <c r="GT294" s="96"/>
      <c r="GU294" s="96"/>
      <c r="GV294" s="96"/>
      <c r="GW294" s="96"/>
      <c r="GX294" s="96"/>
      <c r="GY294" s="96"/>
      <c r="GZ294" s="96"/>
      <c r="HA294" s="96"/>
      <c r="HB294" s="96"/>
      <c r="HC294" s="13"/>
      <c r="HD294" s="96"/>
      <c r="HE294" s="96"/>
      <c r="HF294" s="96"/>
      <c r="HG294" s="96"/>
      <c r="HH294" s="96"/>
      <c r="HI294" s="96"/>
      <c r="HJ294" s="96"/>
      <c r="HK294" s="96"/>
      <c r="HL294" s="96"/>
      <c r="HM294" s="96"/>
      <c r="HN294" s="96"/>
      <c r="HO294" s="96"/>
      <c r="HP294" s="96"/>
      <c r="HQ294" s="96"/>
      <c r="HR294" s="96"/>
      <c r="HS294" s="13"/>
      <c r="HT294" s="96"/>
      <c r="HU294" s="96"/>
      <c r="HV294" s="96"/>
      <c r="HW294" s="96"/>
      <c r="HX294" s="96"/>
      <c r="HY294" s="96"/>
      <c r="HZ294" s="96"/>
      <c r="IA294" s="96"/>
      <c r="IB294" s="96"/>
      <c r="IC294" s="96"/>
      <c r="ID294" s="96"/>
      <c r="IE294" s="96"/>
      <c r="IF294" s="96"/>
      <c r="IG294" s="96"/>
      <c r="IH294" s="96"/>
      <c r="II294" s="13"/>
      <c r="IJ294" s="96"/>
      <c r="IK294" s="96"/>
      <c r="IL294" s="96"/>
      <c r="IM294" s="96"/>
      <c r="IN294" s="96"/>
      <c r="IO294" s="96"/>
      <c r="IP294" s="96"/>
      <c r="IQ294" s="96"/>
      <c r="IR294" s="96"/>
      <c r="IS294" s="96"/>
      <c r="IT294" s="96"/>
      <c r="IU294" s="96"/>
      <c r="IV294" s="96"/>
      <c r="IW294" s="96"/>
      <c r="IX294" s="96"/>
      <c r="IY294" s="13"/>
    </row>
    <row r="295" spans="1:259" outlineLevel="1">
      <c r="A295" s="11">
        <f>'VAC &amp; MED'!C296</f>
        <v>46272</v>
      </c>
      <c r="B295" s="261"/>
      <c r="C295" s="261"/>
      <c r="D295" s="261"/>
      <c r="E295" s="261"/>
      <c r="F295" s="261"/>
      <c r="G295" s="261"/>
      <c r="H295" s="261"/>
      <c r="I295" s="261"/>
      <c r="J295" s="261"/>
      <c r="K295" s="261"/>
      <c r="L295" s="261"/>
      <c r="M295" s="261"/>
      <c r="N295" s="261"/>
      <c r="O295" s="261"/>
      <c r="P295" s="261"/>
      <c r="Q295" s="261"/>
      <c r="R295" s="262"/>
      <c r="S295" s="262"/>
      <c r="T295" s="262"/>
      <c r="U295" s="262"/>
      <c r="V295" s="262"/>
      <c r="W295" s="262"/>
      <c r="X295" s="262"/>
      <c r="Y295" s="262"/>
      <c r="Z295" s="262"/>
      <c r="AA295" s="262"/>
      <c r="AB295" s="262"/>
      <c r="AC295" s="262"/>
      <c r="AD295" s="262"/>
      <c r="AE295" s="262"/>
      <c r="AF295" s="262"/>
      <c r="AG295" s="262"/>
      <c r="AH295" s="263"/>
      <c r="AI295" s="263"/>
      <c r="AJ295" s="263"/>
      <c r="AK295" s="263"/>
      <c r="AL295" s="263"/>
      <c r="AM295" s="263"/>
      <c r="AN295" s="263"/>
      <c r="AO295" s="263"/>
      <c r="AP295" s="263"/>
      <c r="AQ295" s="263"/>
      <c r="AR295" s="263"/>
      <c r="AS295" s="263"/>
      <c r="AT295" s="263"/>
      <c r="AU295" s="263"/>
      <c r="AV295" s="263"/>
      <c r="AW295" s="263"/>
      <c r="AX295" s="264"/>
      <c r="AY295" s="264"/>
      <c r="AZ295" s="264"/>
      <c r="BA295" s="264"/>
      <c r="BB295" s="264"/>
      <c r="BC295" s="264"/>
      <c r="BD295" s="264"/>
      <c r="BE295" s="264"/>
      <c r="BF295" s="264"/>
      <c r="BG295" s="264"/>
      <c r="BH295" s="264"/>
      <c r="BI295" s="264"/>
      <c r="BJ295" s="264"/>
      <c r="BK295" s="264"/>
      <c r="BL295" s="264"/>
      <c r="BM295" s="264"/>
      <c r="BN295" s="265"/>
      <c r="BO295" s="265"/>
      <c r="BP295" s="265"/>
      <c r="BQ295" s="265"/>
      <c r="BR295" s="265"/>
      <c r="BS295" s="265"/>
      <c r="BT295" s="265"/>
      <c r="BU295" s="265"/>
      <c r="BV295" s="265"/>
      <c r="BW295" s="265"/>
      <c r="BX295" s="265"/>
      <c r="BY295" s="265"/>
      <c r="BZ295" s="265"/>
      <c r="CA295" s="265"/>
      <c r="CB295" s="265"/>
      <c r="CC295" s="265"/>
      <c r="CD295" s="266"/>
      <c r="CE295" s="266"/>
      <c r="CF295" s="266"/>
      <c r="CG295" s="266"/>
      <c r="CH295" s="266"/>
      <c r="CI295" s="266"/>
      <c r="CJ295" s="266"/>
      <c r="CK295" s="266"/>
      <c r="CL295" s="266"/>
      <c r="CM295" s="266"/>
      <c r="CN295" s="266"/>
      <c r="CO295" s="266"/>
      <c r="CP295" s="266"/>
      <c r="CQ295" s="266"/>
      <c r="CR295" s="266"/>
      <c r="CS295" s="266"/>
      <c r="CT295" s="267"/>
      <c r="CU295" s="267"/>
      <c r="CV295" s="267"/>
      <c r="CW295" s="267"/>
      <c r="CX295" s="267"/>
      <c r="CY295" s="267"/>
      <c r="CZ295" s="267"/>
      <c r="DA295" s="267"/>
      <c r="DB295" s="267"/>
      <c r="DC295" s="267"/>
      <c r="DD295" s="267"/>
      <c r="DE295" s="267"/>
      <c r="DF295" s="267"/>
      <c r="DG295" s="267"/>
      <c r="DH295" s="267"/>
      <c r="DI295" s="267"/>
      <c r="DJ295" s="268"/>
      <c r="DK295" s="268"/>
      <c r="DL295" s="268"/>
      <c r="DM295" s="268"/>
      <c r="DN295" s="268"/>
      <c r="DO295" s="268"/>
      <c r="DP295" s="268"/>
      <c r="DQ295" s="268"/>
      <c r="DR295" s="268"/>
      <c r="DS295" s="268"/>
      <c r="DT295" s="268"/>
      <c r="DU295" s="268"/>
      <c r="DV295" s="268"/>
      <c r="DW295" s="268"/>
      <c r="DX295" s="268"/>
      <c r="DY295" s="268"/>
      <c r="EA295" s="13"/>
      <c r="EB295" s="96"/>
      <c r="EC295" s="96"/>
      <c r="ED295" s="96"/>
      <c r="EE295" s="96"/>
      <c r="EF295" s="96"/>
      <c r="EG295" s="96"/>
      <c r="EH295" s="96"/>
      <c r="EI295" s="96"/>
      <c r="EJ295" s="96"/>
      <c r="EK295" s="96"/>
      <c r="EL295" s="96"/>
      <c r="EM295" s="96"/>
      <c r="EN295" s="96"/>
      <c r="EO295" s="96"/>
      <c r="EP295" s="96"/>
      <c r="EQ295" s="96"/>
      <c r="ER295" s="96"/>
      <c r="ES295" s="96"/>
      <c r="ET295" s="96"/>
      <c r="EU295" s="96"/>
      <c r="EV295" s="96"/>
      <c r="EW295" s="96"/>
      <c r="EX295" s="96"/>
      <c r="EY295" s="96"/>
      <c r="EZ295" s="96"/>
      <c r="FA295" s="96"/>
      <c r="FB295" s="96"/>
      <c r="FC295" s="96"/>
      <c r="FD295" s="96"/>
      <c r="FE295" s="96"/>
      <c r="FF295" s="96"/>
      <c r="FG295" s="96"/>
      <c r="FH295" s="96"/>
      <c r="FI295" s="96"/>
      <c r="FJ295" s="96"/>
      <c r="FK295" s="96"/>
      <c r="FL295" s="96"/>
      <c r="FM295" s="96"/>
      <c r="FN295" s="96"/>
      <c r="FO295" s="96"/>
      <c r="FP295" s="96"/>
      <c r="FQ295" s="96"/>
      <c r="FR295" s="96"/>
      <c r="FS295" s="96"/>
      <c r="FT295" s="96"/>
      <c r="FU295" s="96"/>
      <c r="FV295" s="96"/>
      <c r="FW295" s="96"/>
      <c r="FX295" s="96"/>
      <c r="FY295" s="96"/>
      <c r="FZ295" s="96"/>
      <c r="GA295" s="96"/>
      <c r="GB295" s="96"/>
      <c r="GC295" s="96"/>
      <c r="GD295" s="96"/>
      <c r="GE295" s="96"/>
      <c r="GF295" s="96"/>
      <c r="GG295" s="96"/>
      <c r="GH295" s="96"/>
      <c r="GI295" s="96"/>
      <c r="GJ295" s="96"/>
      <c r="GK295" s="96"/>
      <c r="GL295" s="96"/>
      <c r="GM295" s="13"/>
      <c r="GN295" s="96"/>
      <c r="GO295" s="96"/>
      <c r="GP295" s="96"/>
      <c r="GQ295" s="96"/>
      <c r="GR295" s="96"/>
      <c r="GS295" s="96"/>
      <c r="GT295" s="96"/>
      <c r="GU295" s="96"/>
      <c r="GV295" s="96"/>
      <c r="GW295" s="96"/>
      <c r="GX295" s="96"/>
      <c r="GY295" s="96"/>
      <c r="GZ295" s="96"/>
      <c r="HA295" s="96"/>
      <c r="HB295" s="96"/>
      <c r="HC295" s="13"/>
      <c r="HD295" s="96"/>
      <c r="HE295" s="96"/>
      <c r="HF295" s="96"/>
      <c r="HG295" s="96"/>
      <c r="HH295" s="96"/>
      <c r="HI295" s="96"/>
      <c r="HJ295" s="96"/>
      <c r="HK295" s="96"/>
      <c r="HL295" s="96"/>
      <c r="HM295" s="96"/>
      <c r="HN295" s="96"/>
      <c r="HO295" s="96"/>
      <c r="HP295" s="96"/>
      <c r="HQ295" s="96"/>
      <c r="HR295" s="96"/>
      <c r="HS295" s="13"/>
      <c r="HT295" s="96"/>
      <c r="HU295" s="96"/>
      <c r="HV295" s="96"/>
      <c r="HW295" s="96"/>
      <c r="HX295" s="96"/>
      <c r="HY295" s="96"/>
      <c r="HZ295" s="96"/>
      <c r="IA295" s="96"/>
      <c r="IB295" s="96"/>
      <c r="IC295" s="96"/>
      <c r="ID295" s="96"/>
      <c r="IE295" s="96"/>
      <c r="IF295" s="96"/>
      <c r="IG295" s="96"/>
      <c r="IH295" s="96"/>
      <c r="II295" s="13"/>
      <c r="IJ295" s="96"/>
      <c r="IK295" s="96"/>
      <c r="IL295" s="96"/>
      <c r="IM295" s="96"/>
      <c r="IN295" s="96"/>
      <c r="IO295" s="96"/>
      <c r="IP295" s="96"/>
      <c r="IQ295" s="96"/>
      <c r="IR295" s="96"/>
      <c r="IS295" s="96"/>
      <c r="IT295" s="96"/>
      <c r="IU295" s="96"/>
      <c r="IV295" s="96"/>
      <c r="IW295" s="96"/>
      <c r="IX295" s="96"/>
      <c r="IY295" s="13"/>
    </row>
    <row r="296" spans="1:259" outlineLevel="1">
      <c r="A296" s="11">
        <f>'VAC &amp; MED'!C297</f>
        <v>46273</v>
      </c>
      <c r="B296" s="261"/>
      <c r="C296" s="261"/>
      <c r="D296" s="261"/>
      <c r="E296" s="261"/>
      <c r="F296" s="261"/>
      <c r="G296" s="261"/>
      <c r="H296" s="261"/>
      <c r="I296" s="261"/>
      <c r="J296" s="261"/>
      <c r="K296" s="261"/>
      <c r="L296" s="261"/>
      <c r="M296" s="261"/>
      <c r="N296" s="261"/>
      <c r="O296" s="261"/>
      <c r="P296" s="261"/>
      <c r="Q296" s="261"/>
      <c r="R296" s="262"/>
      <c r="S296" s="262"/>
      <c r="T296" s="262"/>
      <c r="U296" s="262"/>
      <c r="V296" s="262"/>
      <c r="W296" s="262"/>
      <c r="X296" s="262"/>
      <c r="Y296" s="262"/>
      <c r="Z296" s="262"/>
      <c r="AA296" s="262"/>
      <c r="AB296" s="262"/>
      <c r="AC296" s="262"/>
      <c r="AD296" s="262"/>
      <c r="AE296" s="262"/>
      <c r="AF296" s="262"/>
      <c r="AG296" s="262"/>
      <c r="AH296" s="263"/>
      <c r="AI296" s="263"/>
      <c r="AJ296" s="263"/>
      <c r="AK296" s="263"/>
      <c r="AL296" s="263"/>
      <c r="AM296" s="263"/>
      <c r="AN296" s="263"/>
      <c r="AO296" s="263"/>
      <c r="AP296" s="263"/>
      <c r="AQ296" s="263"/>
      <c r="AR296" s="263"/>
      <c r="AS296" s="263"/>
      <c r="AT296" s="263"/>
      <c r="AU296" s="263"/>
      <c r="AV296" s="263"/>
      <c r="AW296" s="263"/>
      <c r="AX296" s="264"/>
      <c r="AY296" s="264"/>
      <c r="AZ296" s="264"/>
      <c r="BA296" s="264"/>
      <c r="BB296" s="264"/>
      <c r="BC296" s="264"/>
      <c r="BD296" s="264"/>
      <c r="BE296" s="264"/>
      <c r="BF296" s="264"/>
      <c r="BG296" s="264"/>
      <c r="BH296" s="264"/>
      <c r="BI296" s="264"/>
      <c r="BJ296" s="264"/>
      <c r="BK296" s="264"/>
      <c r="BL296" s="264"/>
      <c r="BM296" s="264"/>
      <c r="BN296" s="265"/>
      <c r="BO296" s="265"/>
      <c r="BP296" s="265"/>
      <c r="BQ296" s="265"/>
      <c r="BR296" s="265"/>
      <c r="BS296" s="265"/>
      <c r="BT296" s="265"/>
      <c r="BU296" s="265"/>
      <c r="BV296" s="265"/>
      <c r="BW296" s="265"/>
      <c r="BX296" s="265"/>
      <c r="BY296" s="265"/>
      <c r="BZ296" s="265"/>
      <c r="CA296" s="265"/>
      <c r="CB296" s="265"/>
      <c r="CC296" s="265"/>
      <c r="CD296" s="266"/>
      <c r="CE296" s="266"/>
      <c r="CF296" s="266"/>
      <c r="CG296" s="266"/>
      <c r="CH296" s="266"/>
      <c r="CI296" s="266"/>
      <c r="CJ296" s="266"/>
      <c r="CK296" s="266"/>
      <c r="CL296" s="266"/>
      <c r="CM296" s="266"/>
      <c r="CN296" s="266"/>
      <c r="CO296" s="266"/>
      <c r="CP296" s="266"/>
      <c r="CQ296" s="266"/>
      <c r="CR296" s="266"/>
      <c r="CS296" s="266"/>
      <c r="CT296" s="267"/>
      <c r="CU296" s="267"/>
      <c r="CV296" s="267"/>
      <c r="CW296" s="267"/>
      <c r="CX296" s="267"/>
      <c r="CY296" s="267"/>
      <c r="CZ296" s="267"/>
      <c r="DA296" s="267"/>
      <c r="DB296" s="267"/>
      <c r="DC296" s="267"/>
      <c r="DD296" s="267"/>
      <c r="DE296" s="267"/>
      <c r="DF296" s="267"/>
      <c r="DG296" s="267"/>
      <c r="DH296" s="267"/>
      <c r="DI296" s="267"/>
      <c r="DJ296" s="268"/>
      <c r="DK296" s="268"/>
      <c r="DL296" s="268"/>
      <c r="DM296" s="268"/>
      <c r="DN296" s="268"/>
      <c r="DO296" s="268"/>
      <c r="DP296" s="268"/>
      <c r="DQ296" s="268"/>
      <c r="DR296" s="268"/>
      <c r="DS296" s="268"/>
      <c r="DT296" s="268"/>
      <c r="DU296" s="268"/>
      <c r="DV296" s="268"/>
      <c r="DW296" s="268"/>
      <c r="DX296" s="268"/>
      <c r="DY296" s="268"/>
      <c r="EA296" s="13"/>
      <c r="EB296" s="96"/>
      <c r="EC296" s="96"/>
      <c r="ED296" s="96"/>
      <c r="EE296" s="96"/>
      <c r="EF296" s="96"/>
      <c r="EG296" s="96"/>
      <c r="EH296" s="96"/>
      <c r="EI296" s="96"/>
      <c r="EJ296" s="96"/>
      <c r="EK296" s="96"/>
      <c r="EL296" s="96"/>
      <c r="EM296" s="96"/>
      <c r="EN296" s="96"/>
      <c r="EO296" s="96"/>
      <c r="EP296" s="96"/>
      <c r="EQ296" s="96"/>
      <c r="ER296" s="96"/>
      <c r="ES296" s="96"/>
      <c r="ET296" s="96"/>
      <c r="EU296" s="96"/>
      <c r="EV296" s="96"/>
      <c r="EW296" s="96"/>
      <c r="EX296" s="96"/>
      <c r="EY296" s="96"/>
      <c r="EZ296" s="96"/>
      <c r="FA296" s="96"/>
      <c r="FB296" s="96"/>
      <c r="FC296" s="96"/>
      <c r="FD296" s="96"/>
      <c r="FE296" s="96"/>
      <c r="FF296" s="96"/>
      <c r="FG296" s="96"/>
      <c r="FH296" s="96"/>
      <c r="FI296" s="96"/>
      <c r="FJ296" s="96"/>
      <c r="FK296" s="96"/>
      <c r="FL296" s="96"/>
      <c r="FM296" s="96"/>
      <c r="FN296" s="96"/>
      <c r="FO296" s="96"/>
      <c r="FP296" s="96"/>
      <c r="FQ296" s="96"/>
      <c r="FR296" s="96"/>
      <c r="FS296" s="96"/>
      <c r="FT296" s="96"/>
      <c r="FU296" s="96"/>
      <c r="FV296" s="96"/>
      <c r="FW296" s="96"/>
      <c r="FX296" s="96"/>
      <c r="FY296" s="96"/>
      <c r="FZ296" s="96"/>
      <c r="GA296" s="96"/>
      <c r="GB296" s="96"/>
      <c r="GC296" s="96"/>
      <c r="GD296" s="96"/>
      <c r="GE296" s="96"/>
      <c r="GF296" s="96"/>
      <c r="GG296" s="96"/>
      <c r="GH296" s="96"/>
      <c r="GI296" s="96"/>
      <c r="GJ296" s="96"/>
      <c r="GK296" s="96"/>
      <c r="GL296" s="96"/>
      <c r="GM296" s="13"/>
      <c r="GN296" s="96"/>
      <c r="GO296" s="96"/>
      <c r="GP296" s="96"/>
      <c r="GQ296" s="96"/>
      <c r="GR296" s="96"/>
      <c r="GS296" s="96"/>
      <c r="GT296" s="96"/>
      <c r="GU296" s="96"/>
      <c r="GV296" s="96"/>
      <c r="GW296" s="96"/>
      <c r="GX296" s="96"/>
      <c r="GY296" s="96"/>
      <c r="GZ296" s="96"/>
      <c r="HA296" s="96"/>
      <c r="HB296" s="96"/>
      <c r="HC296" s="13"/>
      <c r="HD296" s="96"/>
      <c r="HE296" s="96"/>
      <c r="HF296" s="96"/>
      <c r="HG296" s="96"/>
      <c r="HH296" s="96"/>
      <c r="HI296" s="96"/>
      <c r="HJ296" s="96"/>
      <c r="HK296" s="96"/>
      <c r="HL296" s="96"/>
      <c r="HM296" s="96"/>
      <c r="HN296" s="96"/>
      <c r="HO296" s="96"/>
      <c r="HP296" s="96"/>
      <c r="HQ296" s="96"/>
      <c r="HR296" s="96"/>
      <c r="HS296" s="13"/>
      <c r="HT296" s="96"/>
      <c r="HU296" s="96"/>
      <c r="HV296" s="96"/>
      <c r="HW296" s="96"/>
      <c r="HX296" s="96"/>
      <c r="HY296" s="96"/>
      <c r="HZ296" s="96"/>
      <c r="IA296" s="96"/>
      <c r="IB296" s="96"/>
      <c r="IC296" s="96"/>
      <c r="ID296" s="96"/>
      <c r="IE296" s="96"/>
      <c r="IF296" s="96"/>
      <c r="IG296" s="96"/>
      <c r="IH296" s="96"/>
      <c r="II296" s="13"/>
      <c r="IJ296" s="96"/>
      <c r="IK296" s="96"/>
      <c r="IL296" s="96"/>
      <c r="IM296" s="96"/>
      <c r="IN296" s="96"/>
      <c r="IO296" s="96"/>
      <c r="IP296" s="96"/>
      <c r="IQ296" s="96"/>
      <c r="IR296" s="96"/>
      <c r="IS296" s="96"/>
      <c r="IT296" s="96"/>
      <c r="IU296" s="96"/>
      <c r="IV296" s="96"/>
      <c r="IW296" s="96"/>
      <c r="IX296" s="96"/>
      <c r="IY296" s="13"/>
    </row>
    <row r="297" spans="1:259" outlineLevel="1">
      <c r="A297" s="11">
        <f>'VAC &amp; MED'!C298</f>
        <v>46274</v>
      </c>
      <c r="B297" s="261"/>
      <c r="C297" s="261"/>
      <c r="D297" s="261"/>
      <c r="E297" s="261"/>
      <c r="F297" s="261"/>
      <c r="G297" s="261"/>
      <c r="H297" s="261"/>
      <c r="I297" s="261"/>
      <c r="J297" s="261"/>
      <c r="K297" s="261"/>
      <c r="L297" s="261"/>
      <c r="M297" s="261"/>
      <c r="N297" s="261"/>
      <c r="O297" s="261"/>
      <c r="P297" s="261"/>
      <c r="Q297" s="261"/>
      <c r="R297" s="262"/>
      <c r="S297" s="262"/>
      <c r="T297" s="262"/>
      <c r="U297" s="262"/>
      <c r="V297" s="262"/>
      <c r="W297" s="262"/>
      <c r="X297" s="262"/>
      <c r="Y297" s="262"/>
      <c r="Z297" s="262"/>
      <c r="AA297" s="262"/>
      <c r="AB297" s="262"/>
      <c r="AC297" s="262"/>
      <c r="AD297" s="262"/>
      <c r="AE297" s="262"/>
      <c r="AF297" s="262"/>
      <c r="AG297" s="262"/>
      <c r="AH297" s="263"/>
      <c r="AI297" s="263"/>
      <c r="AJ297" s="263"/>
      <c r="AK297" s="263"/>
      <c r="AL297" s="263"/>
      <c r="AM297" s="263"/>
      <c r="AN297" s="263"/>
      <c r="AO297" s="263"/>
      <c r="AP297" s="263"/>
      <c r="AQ297" s="263"/>
      <c r="AR297" s="263"/>
      <c r="AS297" s="263"/>
      <c r="AT297" s="263"/>
      <c r="AU297" s="263"/>
      <c r="AV297" s="263"/>
      <c r="AW297" s="263"/>
      <c r="AX297" s="264"/>
      <c r="AY297" s="264"/>
      <c r="AZ297" s="264"/>
      <c r="BA297" s="264"/>
      <c r="BB297" s="264"/>
      <c r="BC297" s="264"/>
      <c r="BD297" s="264"/>
      <c r="BE297" s="264"/>
      <c r="BF297" s="264"/>
      <c r="BG297" s="264"/>
      <c r="BH297" s="264"/>
      <c r="BI297" s="264"/>
      <c r="BJ297" s="264"/>
      <c r="BK297" s="264"/>
      <c r="BL297" s="264"/>
      <c r="BM297" s="264"/>
      <c r="BN297" s="265"/>
      <c r="BO297" s="265"/>
      <c r="BP297" s="265"/>
      <c r="BQ297" s="265"/>
      <c r="BR297" s="265"/>
      <c r="BS297" s="265"/>
      <c r="BT297" s="265"/>
      <c r="BU297" s="265"/>
      <c r="BV297" s="265"/>
      <c r="BW297" s="265"/>
      <c r="BX297" s="265"/>
      <c r="BY297" s="265"/>
      <c r="BZ297" s="265"/>
      <c r="CA297" s="265"/>
      <c r="CB297" s="265"/>
      <c r="CC297" s="265"/>
      <c r="CD297" s="266"/>
      <c r="CE297" s="266"/>
      <c r="CF297" s="266"/>
      <c r="CG297" s="266"/>
      <c r="CH297" s="266"/>
      <c r="CI297" s="266"/>
      <c r="CJ297" s="266"/>
      <c r="CK297" s="266"/>
      <c r="CL297" s="266"/>
      <c r="CM297" s="266"/>
      <c r="CN297" s="266"/>
      <c r="CO297" s="266"/>
      <c r="CP297" s="266"/>
      <c r="CQ297" s="266"/>
      <c r="CR297" s="266"/>
      <c r="CS297" s="266"/>
      <c r="CT297" s="267"/>
      <c r="CU297" s="267"/>
      <c r="CV297" s="267"/>
      <c r="CW297" s="267"/>
      <c r="CX297" s="267"/>
      <c r="CY297" s="267"/>
      <c r="CZ297" s="267"/>
      <c r="DA297" s="267"/>
      <c r="DB297" s="267"/>
      <c r="DC297" s="267"/>
      <c r="DD297" s="267"/>
      <c r="DE297" s="267"/>
      <c r="DF297" s="267"/>
      <c r="DG297" s="267"/>
      <c r="DH297" s="267"/>
      <c r="DI297" s="267"/>
      <c r="DJ297" s="268"/>
      <c r="DK297" s="268"/>
      <c r="DL297" s="268"/>
      <c r="DM297" s="268"/>
      <c r="DN297" s="268"/>
      <c r="DO297" s="268"/>
      <c r="DP297" s="268"/>
      <c r="DQ297" s="268"/>
      <c r="DR297" s="268"/>
      <c r="DS297" s="268"/>
      <c r="DT297" s="268"/>
      <c r="DU297" s="268"/>
      <c r="DV297" s="268"/>
      <c r="DW297" s="268"/>
      <c r="DX297" s="268"/>
      <c r="DY297" s="268"/>
      <c r="EA297" s="13"/>
      <c r="EB297" s="96"/>
      <c r="EC297" s="96"/>
      <c r="ED297" s="96"/>
      <c r="EE297" s="96"/>
      <c r="EF297" s="96"/>
      <c r="EG297" s="96"/>
      <c r="EH297" s="96"/>
      <c r="EI297" s="96"/>
      <c r="EJ297" s="96"/>
      <c r="EK297" s="96"/>
      <c r="EL297" s="96"/>
      <c r="EM297" s="96"/>
      <c r="EN297" s="96"/>
      <c r="EO297" s="96"/>
      <c r="EP297" s="96"/>
      <c r="EQ297" s="96"/>
      <c r="ER297" s="96"/>
      <c r="ES297" s="96"/>
      <c r="ET297" s="96"/>
      <c r="EU297" s="96"/>
      <c r="EV297" s="96"/>
      <c r="EW297" s="96"/>
      <c r="EX297" s="96"/>
      <c r="EY297" s="96"/>
      <c r="EZ297" s="96"/>
      <c r="FA297" s="96"/>
      <c r="FB297" s="96"/>
      <c r="FC297" s="96"/>
      <c r="FD297" s="96"/>
      <c r="FE297" s="96"/>
      <c r="FF297" s="96"/>
      <c r="FG297" s="96"/>
      <c r="FH297" s="96"/>
      <c r="FI297" s="96"/>
      <c r="FJ297" s="96"/>
      <c r="FK297" s="96"/>
      <c r="FL297" s="96"/>
      <c r="FM297" s="96"/>
      <c r="FN297" s="96"/>
      <c r="FO297" s="96"/>
      <c r="FP297" s="96"/>
      <c r="FQ297" s="96"/>
      <c r="FR297" s="96"/>
      <c r="FS297" s="96"/>
      <c r="FT297" s="96"/>
      <c r="FU297" s="96"/>
      <c r="FV297" s="96"/>
      <c r="FW297" s="96"/>
      <c r="FX297" s="96"/>
      <c r="FY297" s="96"/>
      <c r="FZ297" s="96"/>
      <c r="GA297" s="96"/>
      <c r="GB297" s="96"/>
      <c r="GC297" s="96"/>
      <c r="GD297" s="96"/>
      <c r="GE297" s="96"/>
      <c r="GF297" s="96"/>
      <c r="GG297" s="96"/>
      <c r="GH297" s="96"/>
      <c r="GI297" s="96"/>
      <c r="GJ297" s="96"/>
      <c r="GK297" s="96"/>
      <c r="GL297" s="96"/>
      <c r="GM297" s="13"/>
      <c r="GN297" s="96"/>
      <c r="GO297" s="96"/>
      <c r="GP297" s="96"/>
      <c r="GQ297" s="96"/>
      <c r="GR297" s="96"/>
      <c r="GS297" s="96"/>
      <c r="GT297" s="96"/>
      <c r="GU297" s="96"/>
      <c r="GV297" s="96"/>
      <c r="GW297" s="96"/>
      <c r="GX297" s="96"/>
      <c r="GY297" s="96"/>
      <c r="GZ297" s="96"/>
      <c r="HA297" s="96"/>
      <c r="HB297" s="96"/>
      <c r="HC297" s="13"/>
      <c r="HD297" s="96"/>
      <c r="HE297" s="96"/>
      <c r="HF297" s="96"/>
      <c r="HG297" s="96"/>
      <c r="HH297" s="96"/>
      <c r="HI297" s="96"/>
      <c r="HJ297" s="96"/>
      <c r="HK297" s="96"/>
      <c r="HL297" s="96"/>
      <c r="HM297" s="96"/>
      <c r="HN297" s="96"/>
      <c r="HO297" s="96"/>
      <c r="HP297" s="96"/>
      <c r="HQ297" s="96"/>
      <c r="HR297" s="96"/>
      <c r="HS297" s="13"/>
      <c r="HT297" s="96"/>
      <c r="HU297" s="96"/>
      <c r="HV297" s="96"/>
      <c r="HW297" s="96"/>
      <c r="HX297" s="96"/>
      <c r="HY297" s="96"/>
      <c r="HZ297" s="96"/>
      <c r="IA297" s="96"/>
      <c r="IB297" s="96"/>
      <c r="IC297" s="96"/>
      <c r="ID297" s="96"/>
      <c r="IE297" s="96"/>
      <c r="IF297" s="96"/>
      <c r="IG297" s="96"/>
      <c r="IH297" s="96"/>
      <c r="II297" s="13"/>
      <c r="IJ297" s="96"/>
      <c r="IK297" s="96"/>
      <c r="IL297" s="96"/>
      <c r="IM297" s="96"/>
      <c r="IN297" s="96"/>
      <c r="IO297" s="96"/>
      <c r="IP297" s="96"/>
      <c r="IQ297" s="96"/>
      <c r="IR297" s="96"/>
      <c r="IS297" s="96"/>
      <c r="IT297" s="96"/>
      <c r="IU297" s="96"/>
      <c r="IV297" s="96"/>
      <c r="IW297" s="96"/>
      <c r="IX297" s="96"/>
      <c r="IY297" s="13"/>
    </row>
    <row r="298" spans="1:259" outlineLevel="1">
      <c r="A298" s="11">
        <f>'VAC &amp; MED'!C299</f>
        <v>46275</v>
      </c>
      <c r="B298" s="261"/>
      <c r="C298" s="261"/>
      <c r="D298" s="261"/>
      <c r="E298" s="261"/>
      <c r="F298" s="261"/>
      <c r="G298" s="261"/>
      <c r="H298" s="261"/>
      <c r="I298" s="261"/>
      <c r="J298" s="261"/>
      <c r="K298" s="261"/>
      <c r="L298" s="261"/>
      <c r="M298" s="261"/>
      <c r="N298" s="261"/>
      <c r="O298" s="261"/>
      <c r="P298" s="261"/>
      <c r="Q298" s="261"/>
      <c r="R298" s="262"/>
      <c r="S298" s="262"/>
      <c r="T298" s="262"/>
      <c r="U298" s="262"/>
      <c r="V298" s="262"/>
      <c r="W298" s="262"/>
      <c r="X298" s="262"/>
      <c r="Y298" s="262"/>
      <c r="Z298" s="262"/>
      <c r="AA298" s="262"/>
      <c r="AB298" s="262"/>
      <c r="AC298" s="262"/>
      <c r="AD298" s="262"/>
      <c r="AE298" s="262"/>
      <c r="AF298" s="262"/>
      <c r="AG298" s="262"/>
      <c r="AH298" s="263"/>
      <c r="AI298" s="263"/>
      <c r="AJ298" s="263"/>
      <c r="AK298" s="263"/>
      <c r="AL298" s="263"/>
      <c r="AM298" s="263"/>
      <c r="AN298" s="263"/>
      <c r="AO298" s="263"/>
      <c r="AP298" s="263"/>
      <c r="AQ298" s="263"/>
      <c r="AR298" s="263"/>
      <c r="AS298" s="263"/>
      <c r="AT298" s="263"/>
      <c r="AU298" s="263"/>
      <c r="AV298" s="263"/>
      <c r="AW298" s="263"/>
      <c r="AX298" s="264"/>
      <c r="AY298" s="264"/>
      <c r="AZ298" s="264"/>
      <c r="BA298" s="264"/>
      <c r="BB298" s="264"/>
      <c r="BC298" s="264"/>
      <c r="BD298" s="264"/>
      <c r="BE298" s="264"/>
      <c r="BF298" s="264"/>
      <c r="BG298" s="264"/>
      <c r="BH298" s="264"/>
      <c r="BI298" s="264"/>
      <c r="BJ298" s="264"/>
      <c r="BK298" s="264"/>
      <c r="BL298" s="264"/>
      <c r="BM298" s="264"/>
      <c r="BN298" s="265"/>
      <c r="BO298" s="265"/>
      <c r="BP298" s="265"/>
      <c r="BQ298" s="265"/>
      <c r="BR298" s="265"/>
      <c r="BS298" s="265"/>
      <c r="BT298" s="265"/>
      <c r="BU298" s="265"/>
      <c r="BV298" s="265"/>
      <c r="BW298" s="265"/>
      <c r="BX298" s="265"/>
      <c r="BY298" s="265"/>
      <c r="BZ298" s="265"/>
      <c r="CA298" s="265"/>
      <c r="CB298" s="265"/>
      <c r="CC298" s="265"/>
      <c r="CD298" s="266"/>
      <c r="CE298" s="266"/>
      <c r="CF298" s="266"/>
      <c r="CG298" s="266"/>
      <c r="CH298" s="266"/>
      <c r="CI298" s="266"/>
      <c r="CJ298" s="266"/>
      <c r="CK298" s="266"/>
      <c r="CL298" s="266"/>
      <c r="CM298" s="266"/>
      <c r="CN298" s="266"/>
      <c r="CO298" s="266"/>
      <c r="CP298" s="266"/>
      <c r="CQ298" s="266"/>
      <c r="CR298" s="266"/>
      <c r="CS298" s="266"/>
      <c r="CT298" s="267"/>
      <c r="CU298" s="267"/>
      <c r="CV298" s="267"/>
      <c r="CW298" s="267"/>
      <c r="CX298" s="267"/>
      <c r="CY298" s="267"/>
      <c r="CZ298" s="267"/>
      <c r="DA298" s="267"/>
      <c r="DB298" s="267"/>
      <c r="DC298" s="267"/>
      <c r="DD298" s="267"/>
      <c r="DE298" s="267"/>
      <c r="DF298" s="267"/>
      <c r="DG298" s="267"/>
      <c r="DH298" s="267"/>
      <c r="DI298" s="267"/>
      <c r="DJ298" s="268"/>
      <c r="DK298" s="268"/>
      <c r="DL298" s="268"/>
      <c r="DM298" s="268"/>
      <c r="DN298" s="268"/>
      <c r="DO298" s="268"/>
      <c r="DP298" s="268"/>
      <c r="DQ298" s="268"/>
      <c r="DR298" s="268"/>
      <c r="DS298" s="268"/>
      <c r="DT298" s="268"/>
      <c r="DU298" s="268"/>
      <c r="DV298" s="268"/>
      <c r="DW298" s="268"/>
      <c r="DX298" s="268"/>
      <c r="DY298" s="268"/>
      <c r="EA298" s="13"/>
      <c r="EB298" s="96"/>
      <c r="EC298" s="96"/>
      <c r="ED298" s="96"/>
      <c r="EE298" s="96"/>
      <c r="EF298" s="96"/>
      <c r="EG298" s="96"/>
      <c r="EH298" s="96"/>
      <c r="EI298" s="96"/>
      <c r="EJ298" s="96"/>
      <c r="EK298" s="96"/>
      <c r="EL298" s="96"/>
      <c r="EM298" s="96"/>
      <c r="EN298" s="96"/>
      <c r="EO298" s="96"/>
      <c r="EP298" s="96"/>
      <c r="EQ298" s="96"/>
      <c r="ER298" s="96"/>
      <c r="ES298" s="96"/>
      <c r="ET298" s="96"/>
      <c r="EU298" s="96"/>
      <c r="EV298" s="96"/>
      <c r="EW298" s="96"/>
      <c r="EX298" s="96"/>
      <c r="EY298" s="96"/>
      <c r="EZ298" s="96"/>
      <c r="FA298" s="96"/>
      <c r="FB298" s="96"/>
      <c r="FC298" s="96"/>
      <c r="FD298" s="96"/>
      <c r="FE298" s="96"/>
      <c r="FF298" s="96"/>
      <c r="FG298" s="96"/>
      <c r="FH298" s="96"/>
      <c r="FI298" s="96"/>
      <c r="FJ298" s="96"/>
      <c r="FK298" s="96"/>
      <c r="FL298" s="96"/>
      <c r="FM298" s="96"/>
      <c r="FN298" s="96"/>
      <c r="FO298" s="96"/>
      <c r="FP298" s="96"/>
      <c r="FQ298" s="96"/>
      <c r="FR298" s="96"/>
      <c r="FS298" s="96"/>
      <c r="FT298" s="96"/>
      <c r="FU298" s="96"/>
      <c r="FV298" s="96"/>
      <c r="FW298" s="96"/>
      <c r="FX298" s="96"/>
      <c r="FY298" s="96"/>
      <c r="FZ298" s="96"/>
      <c r="GA298" s="96"/>
      <c r="GB298" s="96"/>
      <c r="GC298" s="96"/>
      <c r="GD298" s="96"/>
      <c r="GE298" s="96"/>
      <c r="GF298" s="96"/>
      <c r="GG298" s="96"/>
      <c r="GH298" s="96"/>
      <c r="GI298" s="96"/>
      <c r="GJ298" s="96"/>
      <c r="GK298" s="96"/>
      <c r="GL298" s="96"/>
      <c r="GM298" s="13"/>
      <c r="GN298" s="96"/>
      <c r="GO298" s="96"/>
      <c r="GP298" s="96"/>
      <c r="GQ298" s="96"/>
      <c r="GR298" s="96"/>
      <c r="GS298" s="96"/>
      <c r="GT298" s="96"/>
      <c r="GU298" s="96"/>
      <c r="GV298" s="96"/>
      <c r="GW298" s="96"/>
      <c r="GX298" s="96"/>
      <c r="GY298" s="96"/>
      <c r="GZ298" s="96"/>
      <c r="HA298" s="96"/>
      <c r="HB298" s="96"/>
      <c r="HC298" s="13"/>
      <c r="HD298" s="96"/>
      <c r="HE298" s="96"/>
      <c r="HF298" s="96"/>
      <c r="HG298" s="96"/>
      <c r="HH298" s="96"/>
      <c r="HI298" s="96"/>
      <c r="HJ298" s="96"/>
      <c r="HK298" s="96"/>
      <c r="HL298" s="96"/>
      <c r="HM298" s="96"/>
      <c r="HN298" s="96"/>
      <c r="HO298" s="96"/>
      <c r="HP298" s="96"/>
      <c r="HQ298" s="96"/>
      <c r="HR298" s="96"/>
      <c r="HS298" s="13"/>
      <c r="HT298" s="96"/>
      <c r="HU298" s="96"/>
      <c r="HV298" s="96"/>
      <c r="HW298" s="96"/>
      <c r="HX298" s="96"/>
      <c r="HY298" s="96"/>
      <c r="HZ298" s="96"/>
      <c r="IA298" s="96"/>
      <c r="IB298" s="96"/>
      <c r="IC298" s="96"/>
      <c r="ID298" s="96"/>
      <c r="IE298" s="96"/>
      <c r="IF298" s="96"/>
      <c r="IG298" s="96"/>
      <c r="IH298" s="96"/>
      <c r="II298" s="13"/>
      <c r="IJ298" s="96"/>
      <c r="IK298" s="96"/>
      <c r="IL298" s="96"/>
      <c r="IM298" s="96"/>
      <c r="IN298" s="96"/>
      <c r="IO298" s="96"/>
      <c r="IP298" s="96"/>
      <c r="IQ298" s="96"/>
      <c r="IR298" s="96"/>
      <c r="IS298" s="96"/>
      <c r="IT298" s="96"/>
      <c r="IU298" s="96"/>
      <c r="IV298" s="96"/>
      <c r="IW298" s="96"/>
      <c r="IX298" s="96"/>
      <c r="IY298" s="13"/>
    </row>
    <row r="299" spans="1:259" outlineLevel="1">
      <c r="A299" s="11">
        <f>'VAC &amp; MED'!C300</f>
        <v>46276</v>
      </c>
      <c r="B299" s="261"/>
      <c r="C299" s="261"/>
      <c r="D299" s="261"/>
      <c r="E299" s="261"/>
      <c r="F299" s="261"/>
      <c r="G299" s="261"/>
      <c r="H299" s="261"/>
      <c r="I299" s="261"/>
      <c r="J299" s="261"/>
      <c r="K299" s="261"/>
      <c r="L299" s="261"/>
      <c r="M299" s="261"/>
      <c r="N299" s="261"/>
      <c r="O299" s="261"/>
      <c r="P299" s="261"/>
      <c r="Q299" s="261"/>
      <c r="R299" s="262"/>
      <c r="S299" s="262"/>
      <c r="T299" s="262"/>
      <c r="U299" s="262"/>
      <c r="V299" s="262"/>
      <c r="W299" s="262"/>
      <c r="X299" s="262"/>
      <c r="Y299" s="262"/>
      <c r="Z299" s="262"/>
      <c r="AA299" s="262"/>
      <c r="AB299" s="262"/>
      <c r="AC299" s="262"/>
      <c r="AD299" s="262"/>
      <c r="AE299" s="262"/>
      <c r="AF299" s="262"/>
      <c r="AG299" s="262"/>
      <c r="AH299" s="263"/>
      <c r="AI299" s="263"/>
      <c r="AJ299" s="263"/>
      <c r="AK299" s="263"/>
      <c r="AL299" s="263"/>
      <c r="AM299" s="263"/>
      <c r="AN299" s="263"/>
      <c r="AO299" s="263"/>
      <c r="AP299" s="263"/>
      <c r="AQ299" s="263"/>
      <c r="AR299" s="263"/>
      <c r="AS299" s="263"/>
      <c r="AT299" s="263"/>
      <c r="AU299" s="263"/>
      <c r="AV299" s="263"/>
      <c r="AW299" s="263"/>
      <c r="AX299" s="264"/>
      <c r="AY299" s="264"/>
      <c r="AZ299" s="264"/>
      <c r="BA299" s="264"/>
      <c r="BB299" s="264"/>
      <c r="BC299" s="264"/>
      <c r="BD299" s="264"/>
      <c r="BE299" s="264"/>
      <c r="BF299" s="264"/>
      <c r="BG299" s="264"/>
      <c r="BH299" s="264"/>
      <c r="BI299" s="264"/>
      <c r="BJ299" s="264"/>
      <c r="BK299" s="264"/>
      <c r="BL299" s="264"/>
      <c r="BM299" s="264"/>
      <c r="BN299" s="265"/>
      <c r="BO299" s="265"/>
      <c r="BP299" s="265"/>
      <c r="BQ299" s="265"/>
      <c r="BR299" s="265"/>
      <c r="BS299" s="265"/>
      <c r="BT299" s="265"/>
      <c r="BU299" s="265"/>
      <c r="BV299" s="265"/>
      <c r="BW299" s="265"/>
      <c r="BX299" s="265"/>
      <c r="BY299" s="265"/>
      <c r="BZ299" s="265"/>
      <c r="CA299" s="265"/>
      <c r="CB299" s="265"/>
      <c r="CC299" s="265"/>
      <c r="CD299" s="266"/>
      <c r="CE299" s="266"/>
      <c r="CF299" s="266"/>
      <c r="CG299" s="266"/>
      <c r="CH299" s="266"/>
      <c r="CI299" s="266"/>
      <c r="CJ299" s="266"/>
      <c r="CK299" s="266"/>
      <c r="CL299" s="266"/>
      <c r="CM299" s="266"/>
      <c r="CN299" s="266"/>
      <c r="CO299" s="266"/>
      <c r="CP299" s="266"/>
      <c r="CQ299" s="266"/>
      <c r="CR299" s="266"/>
      <c r="CS299" s="266"/>
      <c r="CT299" s="267"/>
      <c r="CU299" s="267"/>
      <c r="CV299" s="267"/>
      <c r="CW299" s="267"/>
      <c r="CX299" s="267"/>
      <c r="CY299" s="267"/>
      <c r="CZ299" s="267"/>
      <c r="DA299" s="267"/>
      <c r="DB299" s="267"/>
      <c r="DC299" s="267"/>
      <c r="DD299" s="267"/>
      <c r="DE299" s="267"/>
      <c r="DF299" s="267"/>
      <c r="DG299" s="267"/>
      <c r="DH299" s="267"/>
      <c r="DI299" s="267"/>
      <c r="DJ299" s="268"/>
      <c r="DK299" s="268"/>
      <c r="DL299" s="268"/>
      <c r="DM299" s="268"/>
      <c r="DN299" s="268"/>
      <c r="DO299" s="268"/>
      <c r="DP299" s="268"/>
      <c r="DQ299" s="268"/>
      <c r="DR299" s="268"/>
      <c r="DS299" s="268"/>
      <c r="DT299" s="268"/>
      <c r="DU299" s="268"/>
      <c r="DV299" s="268"/>
      <c r="DW299" s="268"/>
      <c r="DX299" s="268"/>
      <c r="DY299" s="268"/>
      <c r="EA299" s="13"/>
      <c r="EB299" s="96"/>
      <c r="EC299" s="96"/>
      <c r="ED299" s="96"/>
      <c r="EE299" s="96"/>
      <c r="EF299" s="96"/>
      <c r="EG299" s="96"/>
      <c r="EH299" s="96"/>
      <c r="EI299" s="96"/>
      <c r="EJ299" s="96"/>
      <c r="EK299" s="96"/>
      <c r="EL299" s="96"/>
      <c r="EM299" s="96"/>
      <c r="EN299" s="96"/>
      <c r="EO299" s="96"/>
      <c r="EP299" s="96"/>
      <c r="EQ299" s="96"/>
      <c r="ER299" s="96"/>
      <c r="ES299" s="96"/>
      <c r="ET299" s="96"/>
      <c r="EU299" s="96"/>
      <c r="EV299" s="96"/>
      <c r="EW299" s="96"/>
      <c r="EX299" s="96"/>
      <c r="EY299" s="96"/>
      <c r="EZ299" s="96"/>
      <c r="FA299" s="96"/>
      <c r="FB299" s="96"/>
      <c r="FC299" s="96"/>
      <c r="FD299" s="96"/>
      <c r="FE299" s="96"/>
      <c r="FF299" s="96"/>
      <c r="FG299" s="96"/>
      <c r="FH299" s="96"/>
      <c r="FI299" s="96"/>
      <c r="FJ299" s="96"/>
      <c r="FK299" s="96"/>
      <c r="FL299" s="96"/>
      <c r="FM299" s="96"/>
      <c r="FN299" s="96"/>
      <c r="FO299" s="96"/>
      <c r="FP299" s="96"/>
      <c r="FQ299" s="96"/>
      <c r="FR299" s="96"/>
      <c r="FS299" s="96"/>
      <c r="FT299" s="96"/>
      <c r="FU299" s="96"/>
      <c r="FV299" s="96"/>
      <c r="FW299" s="96"/>
      <c r="FX299" s="96"/>
      <c r="FY299" s="96"/>
      <c r="FZ299" s="96"/>
      <c r="GA299" s="96"/>
      <c r="GB299" s="96"/>
      <c r="GC299" s="96"/>
      <c r="GD299" s="96"/>
      <c r="GE299" s="96"/>
      <c r="GF299" s="96"/>
      <c r="GG299" s="96"/>
      <c r="GH299" s="96"/>
      <c r="GI299" s="96"/>
      <c r="GJ299" s="96"/>
      <c r="GK299" s="96"/>
      <c r="GL299" s="96"/>
      <c r="GM299" s="13"/>
      <c r="GN299" s="96"/>
      <c r="GO299" s="96"/>
      <c r="GP299" s="96"/>
      <c r="GQ299" s="96"/>
      <c r="GR299" s="96"/>
      <c r="GS299" s="96"/>
      <c r="GT299" s="96"/>
      <c r="GU299" s="96"/>
      <c r="GV299" s="96"/>
      <c r="GW299" s="96"/>
      <c r="GX299" s="96"/>
      <c r="GY299" s="96"/>
      <c r="GZ299" s="96"/>
      <c r="HA299" s="96"/>
      <c r="HB299" s="96"/>
      <c r="HC299" s="13"/>
      <c r="HD299" s="96"/>
      <c r="HE299" s="96"/>
      <c r="HF299" s="96"/>
      <c r="HG299" s="96"/>
      <c r="HH299" s="96"/>
      <c r="HI299" s="96"/>
      <c r="HJ299" s="96"/>
      <c r="HK299" s="96"/>
      <c r="HL299" s="96"/>
      <c r="HM299" s="96"/>
      <c r="HN299" s="96"/>
      <c r="HO299" s="96"/>
      <c r="HP299" s="96"/>
      <c r="HQ299" s="96"/>
      <c r="HR299" s="96"/>
      <c r="HS299" s="13"/>
      <c r="HT299" s="96"/>
      <c r="HU299" s="96"/>
      <c r="HV299" s="96"/>
      <c r="HW299" s="96"/>
      <c r="HX299" s="96"/>
      <c r="HY299" s="96"/>
      <c r="HZ299" s="96"/>
      <c r="IA299" s="96"/>
      <c r="IB299" s="96"/>
      <c r="IC299" s="96"/>
      <c r="ID299" s="96"/>
      <c r="IE299" s="96"/>
      <c r="IF299" s="96"/>
      <c r="IG299" s="96"/>
      <c r="IH299" s="96"/>
      <c r="II299" s="13"/>
      <c r="IJ299" s="96"/>
      <c r="IK299" s="96"/>
      <c r="IL299" s="96"/>
      <c r="IM299" s="96"/>
      <c r="IN299" s="96"/>
      <c r="IO299" s="96"/>
      <c r="IP299" s="96"/>
      <c r="IQ299" s="96"/>
      <c r="IR299" s="96"/>
      <c r="IS299" s="96"/>
      <c r="IT299" s="96"/>
      <c r="IU299" s="96"/>
      <c r="IV299" s="96"/>
      <c r="IW299" s="96"/>
      <c r="IX299" s="96"/>
      <c r="IY299" s="13"/>
    </row>
    <row r="300" spans="1:259" outlineLevel="1">
      <c r="A300" s="11">
        <f>'VAC &amp; MED'!C301</f>
        <v>46277</v>
      </c>
      <c r="B300" s="261"/>
      <c r="C300" s="261"/>
      <c r="D300" s="261"/>
      <c r="E300" s="261"/>
      <c r="F300" s="261"/>
      <c r="G300" s="261"/>
      <c r="H300" s="261"/>
      <c r="I300" s="261"/>
      <c r="J300" s="261"/>
      <c r="K300" s="261"/>
      <c r="L300" s="261"/>
      <c r="M300" s="261"/>
      <c r="N300" s="261"/>
      <c r="O300" s="261"/>
      <c r="P300" s="261"/>
      <c r="Q300" s="261"/>
      <c r="R300" s="262"/>
      <c r="S300" s="262"/>
      <c r="T300" s="262"/>
      <c r="U300" s="262"/>
      <c r="V300" s="262"/>
      <c r="W300" s="262"/>
      <c r="X300" s="262"/>
      <c r="Y300" s="262"/>
      <c r="Z300" s="262"/>
      <c r="AA300" s="262"/>
      <c r="AB300" s="262"/>
      <c r="AC300" s="262"/>
      <c r="AD300" s="262"/>
      <c r="AE300" s="262"/>
      <c r="AF300" s="262"/>
      <c r="AG300" s="262"/>
      <c r="AH300" s="263"/>
      <c r="AI300" s="263"/>
      <c r="AJ300" s="263"/>
      <c r="AK300" s="263"/>
      <c r="AL300" s="263"/>
      <c r="AM300" s="263"/>
      <c r="AN300" s="263"/>
      <c r="AO300" s="263"/>
      <c r="AP300" s="263"/>
      <c r="AQ300" s="263"/>
      <c r="AR300" s="263"/>
      <c r="AS300" s="263"/>
      <c r="AT300" s="263"/>
      <c r="AU300" s="263"/>
      <c r="AV300" s="263"/>
      <c r="AW300" s="263"/>
      <c r="AX300" s="264"/>
      <c r="AY300" s="264"/>
      <c r="AZ300" s="264"/>
      <c r="BA300" s="264"/>
      <c r="BB300" s="264"/>
      <c r="BC300" s="264"/>
      <c r="BD300" s="264"/>
      <c r="BE300" s="264"/>
      <c r="BF300" s="264"/>
      <c r="BG300" s="264"/>
      <c r="BH300" s="264"/>
      <c r="BI300" s="264"/>
      <c r="BJ300" s="264"/>
      <c r="BK300" s="264"/>
      <c r="BL300" s="264"/>
      <c r="BM300" s="264"/>
      <c r="BN300" s="265"/>
      <c r="BO300" s="265"/>
      <c r="BP300" s="265"/>
      <c r="BQ300" s="265"/>
      <c r="BR300" s="265"/>
      <c r="BS300" s="265"/>
      <c r="BT300" s="265"/>
      <c r="BU300" s="265"/>
      <c r="BV300" s="265"/>
      <c r="BW300" s="265"/>
      <c r="BX300" s="265"/>
      <c r="BY300" s="265"/>
      <c r="BZ300" s="265"/>
      <c r="CA300" s="265"/>
      <c r="CB300" s="265"/>
      <c r="CC300" s="265"/>
      <c r="CD300" s="266"/>
      <c r="CE300" s="266"/>
      <c r="CF300" s="266"/>
      <c r="CG300" s="266"/>
      <c r="CH300" s="266"/>
      <c r="CI300" s="266"/>
      <c r="CJ300" s="266"/>
      <c r="CK300" s="266"/>
      <c r="CL300" s="266"/>
      <c r="CM300" s="266"/>
      <c r="CN300" s="266"/>
      <c r="CO300" s="266"/>
      <c r="CP300" s="266"/>
      <c r="CQ300" s="266"/>
      <c r="CR300" s="266"/>
      <c r="CS300" s="266"/>
      <c r="CT300" s="267"/>
      <c r="CU300" s="267"/>
      <c r="CV300" s="267"/>
      <c r="CW300" s="267"/>
      <c r="CX300" s="267"/>
      <c r="CY300" s="267"/>
      <c r="CZ300" s="267"/>
      <c r="DA300" s="267"/>
      <c r="DB300" s="267"/>
      <c r="DC300" s="267"/>
      <c r="DD300" s="267"/>
      <c r="DE300" s="267"/>
      <c r="DF300" s="267"/>
      <c r="DG300" s="267"/>
      <c r="DH300" s="267"/>
      <c r="DI300" s="267"/>
      <c r="DJ300" s="268"/>
      <c r="DK300" s="268"/>
      <c r="DL300" s="268"/>
      <c r="DM300" s="268"/>
      <c r="DN300" s="268"/>
      <c r="DO300" s="268"/>
      <c r="DP300" s="268"/>
      <c r="DQ300" s="268"/>
      <c r="DR300" s="268"/>
      <c r="DS300" s="268"/>
      <c r="DT300" s="268"/>
      <c r="DU300" s="268"/>
      <c r="DV300" s="268"/>
      <c r="DW300" s="268"/>
      <c r="DX300" s="268"/>
      <c r="DY300" s="268"/>
      <c r="EA300" s="13"/>
      <c r="EB300" s="96"/>
      <c r="EC300" s="96"/>
      <c r="ED300" s="96"/>
      <c r="EE300" s="96"/>
      <c r="EF300" s="96"/>
      <c r="EG300" s="96"/>
      <c r="EH300" s="96"/>
      <c r="EI300" s="96"/>
      <c r="EJ300" s="96"/>
      <c r="EK300" s="96"/>
      <c r="EL300" s="96"/>
      <c r="EM300" s="96"/>
      <c r="EN300" s="96"/>
      <c r="EO300" s="96"/>
      <c r="EP300" s="96"/>
      <c r="EQ300" s="96"/>
      <c r="ER300" s="96"/>
      <c r="ES300" s="96"/>
      <c r="ET300" s="96"/>
      <c r="EU300" s="96"/>
      <c r="EV300" s="96"/>
      <c r="EW300" s="96"/>
      <c r="EX300" s="96"/>
      <c r="EY300" s="96"/>
      <c r="EZ300" s="96"/>
      <c r="FA300" s="96"/>
      <c r="FB300" s="96"/>
      <c r="FC300" s="96"/>
      <c r="FD300" s="96"/>
      <c r="FE300" s="96"/>
      <c r="FF300" s="96"/>
      <c r="FG300" s="96"/>
      <c r="FH300" s="96"/>
      <c r="FI300" s="96"/>
      <c r="FJ300" s="96"/>
      <c r="FK300" s="96"/>
      <c r="FL300" s="96"/>
      <c r="FM300" s="96"/>
      <c r="FN300" s="96"/>
      <c r="FO300" s="96"/>
      <c r="FP300" s="96"/>
      <c r="FQ300" s="96"/>
      <c r="FR300" s="96"/>
      <c r="FS300" s="96"/>
      <c r="FT300" s="96"/>
      <c r="FU300" s="96"/>
      <c r="FV300" s="96"/>
      <c r="FW300" s="96"/>
      <c r="FX300" s="96"/>
      <c r="FY300" s="96"/>
      <c r="FZ300" s="96"/>
      <c r="GA300" s="96"/>
      <c r="GB300" s="96"/>
      <c r="GC300" s="96"/>
      <c r="GD300" s="96"/>
      <c r="GE300" s="96"/>
      <c r="GF300" s="96"/>
      <c r="GG300" s="96"/>
      <c r="GH300" s="96"/>
      <c r="GI300" s="96"/>
      <c r="GJ300" s="96"/>
      <c r="GK300" s="96"/>
      <c r="GL300" s="96"/>
      <c r="GM300" s="13"/>
      <c r="GN300" s="96"/>
      <c r="GO300" s="96"/>
      <c r="GP300" s="96"/>
      <c r="GQ300" s="96"/>
      <c r="GR300" s="96"/>
      <c r="GS300" s="96"/>
      <c r="GT300" s="96"/>
      <c r="GU300" s="96"/>
      <c r="GV300" s="96"/>
      <c r="GW300" s="96"/>
      <c r="GX300" s="96"/>
      <c r="GY300" s="96"/>
      <c r="GZ300" s="96"/>
      <c r="HA300" s="96"/>
      <c r="HB300" s="96"/>
      <c r="HC300" s="13"/>
      <c r="HD300" s="96"/>
      <c r="HE300" s="96"/>
      <c r="HF300" s="96"/>
      <c r="HG300" s="96"/>
      <c r="HH300" s="96"/>
      <c r="HI300" s="96"/>
      <c r="HJ300" s="96"/>
      <c r="HK300" s="96"/>
      <c r="HL300" s="96"/>
      <c r="HM300" s="96"/>
      <c r="HN300" s="96"/>
      <c r="HO300" s="96"/>
      <c r="HP300" s="96"/>
      <c r="HQ300" s="96"/>
      <c r="HR300" s="96"/>
      <c r="HS300" s="13"/>
      <c r="HT300" s="96"/>
      <c r="HU300" s="96"/>
      <c r="HV300" s="96"/>
      <c r="HW300" s="96"/>
      <c r="HX300" s="96"/>
      <c r="HY300" s="96"/>
      <c r="HZ300" s="96"/>
      <c r="IA300" s="96"/>
      <c r="IB300" s="96"/>
      <c r="IC300" s="96"/>
      <c r="ID300" s="96"/>
      <c r="IE300" s="96"/>
      <c r="IF300" s="96"/>
      <c r="IG300" s="96"/>
      <c r="IH300" s="96"/>
      <c r="II300" s="13"/>
      <c r="IJ300" s="96"/>
      <c r="IK300" s="96"/>
      <c r="IL300" s="96"/>
      <c r="IM300" s="96"/>
      <c r="IN300" s="96"/>
      <c r="IO300" s="96"/>
      <c r="IP300" s="96"/>
      <c r="IQ300" s="96"/>
      <c r="IR300" s="96"/>
      <c r="IS300" s="96"/>
      <c r="IT300" s="96"/>
      <c r="IU300" s="96"/>
      <c r="IV300" s="96"/>
      <c r="IW300" s="96"/>
      <c r="IX300" s="96"/>
      <c r="IY300" s="13"/>
    </row>
    <row r="301" spans="1:259" outlineLevel="1">
      <c r="A301" s="11">
        <f>'VAC &amp; MED'!C302</f>
        <v>46278</v>
      </c>
      <c r="B301" s="261"/>
      <c r="C301" s="261"/>
      <c r="D301" s="261"/>
      <c r="E301" s="261"/>
      <c r="F301" s="261"/>
      <c r="G301" s="261"/>
      <c r="H301" s="261"/>
      <c r="I301" s="261"/>
      <c r="J301" s="261"/>
      <c r="K301" s="261"/>
      <c r="L301" s="261"/>
      <c r="M301" s="261"/>
      <c r="N301" s="261"/>
      <c r="O301" s="261"/>
      <c r="P301" s="261"/>
      <c r="Q301" s="261"/>
      <c r="R301" s="262"/>
      <c r="S301" s="262"/>
      <c r="T301" s="262"/>
      <c r="U301" s="262"/>
      <c r="V301" s="262"/>
      <c r="W301" s="262"/>
      <c r="X301" s="262"/>
      <c r="Y301" s="262"/>
      <c r="Z301" s="262"/>
      <c r="AA301" s="262"/>
      <c r="AB301" s="262"/>
      <c r="AC301" s="262"/>
      <c r="AD301" s="262"/>
      <c r="AE301" s="262"/>
      <c r="AF301" s="262"/>
      <c r="AG301" s="262"/>
      <c r="AH301" s="263"/>
      <c r="AI301" s="263"/>
      <c r="AJ301" s="263"/>
      <c r="AK301" s="263"/>
      <c r="AL301" s="263"/>
      <c r="AM301" s="263"/>
      <c r="AN301" s="263"/>
      <c r="AO301" s="263"/>
      <c r="AP301" s="263"/>
      <c r="AQ301" s="263"/>
      <c r="AR301" s="263"/>
      <c r="AS301" s="263"/>
      <c r="AT301" s="263"/>
      <c r="AU301" s="263"/>
      <c r="AV301" s="263"/>
      <c r="AW301" s="263"/>
      <c r="AX301" s="264"/>
      <c r="AY301" s="264"/>
      <c r="AZ301" s="264"/>
      <c r="BA301" s="264"/>
      <c r="BB301" s="264"/>
      <c r="BC301" s="264"/>
      <c r="BD301" s="264"/>
      <c r="BE301" s="264"/>
      <c r="BF301" s="264"/>
      <c r="BG301" s="264"/>
      <c r="BH301" s="264"/>
      <c r="BI301" s="264"/>
      <c r="BJ301" s="264"/>
      <c r="BK301" s="264"/>
      <c r="BL301" s="264"/>
      <c r="BM301" s="264"/>
      <c r="BN301" s="265"/>
      <c r="BO301" s="265"/>
      <c r="BP301" s="265"/>
      <c r="BQ301" s="265"/>
      <c r="BR301" s="265"/>
      <c r="BS301" s="265"/>
      <c r="BT301" s="265"/>
      <c r="BU301" s="265"/>
      <c r="BV301" s="265"/>
      <c r="BW301" s="265"/>
      <c r="BX301" s="265"/>
      <c r="BY301" s="265"/>
      <c r="BZ301" s="265"/>
      <c r="CA301" s="265"/>
      <c r="CB301" s="265"/>
      <c r="CC301" s="265"/>
      <c r="CD301" s="266"/>
      <c r="CE301" s="266"/>
      <c r="CF301" s="266"/>
      <c r="CG301" s="266"/>
      <c r="CH301" s="266"/>
      <c r="CI301" s="266"/>
      <c r="CJ301" s="266"/>
      <c r="CK301" s="266"/>
      <c r="CL301" s="266"/>
      <c r="CM301" s="266"/>
      <c r="CN301" s="266"/>
      <c r="CO301" s="266"/>
      <c r="CP301" s="266"/>
      <c r="CQ301" s="266"/>
      <c r="CR301" s="266"/>
      <c r="CS301" s="266"/>
      <c r="CT301" s="267"/>
      <c r="CU301" s="267"/>
      <c r="CV301" s="267"/>
      <c r="CW301" s="267"/>
      <c r="CX301" s="267"/>
      <c r="CY301" s="267"/>
      <c r="CZ301" s="267"/>
      <c r="DA301" s="267"/>
      <c r="DB301" s="267"/>
      <c r="DC301" s="267"/>
      <c r="DD301" s="267"/>
      <c r="DE301" s="267"/>
      <c r="DF301" s="267"/>
      <c r="DG301" s="267"/>
      <c r="DH301" s="267"/>
      <c r="DI301" s="267"/>
      <c r="DJ301" s="268"/>
      <c r="DK301" s="268"/>
      <c r="DL301" s="268"/>
      <c r="DM301" s="268"/>
      <c r="DN301" s="268"/>
      <c r="DO301" s="268"/>
      <c r="DP301" s="268"/>
      <c r="DQ301" s="268"/>
      <c r="DR301" s="268"/>
      <c r="DS301" s="268"/>
      <c r="DT301" s="268"/>
      <c r="DU301" s="268"/>
      <c r="DV301" s="268"/>
      <c r="DW301" s="268"/>
      <c r="DX301" s="268"/>
      <c r="DY301" s="268"/>
      <c r="EA301" s="13"/>
      <c r="EB301" s="96"/>
      <c r="EC301" s="96"/>
      <c r="ED301" s="96"/>
      <c r="EE301" s="96"/>
      <c r="EF301" s="96"/>
      <c r="EG301" s="96"/>
      <c r="EH301" s="96"/>
      <c r="EI301" s="96"/>
      <c r="EJ301" s="96"/>
      <c r="EK301" s="96"/>
      <c r="EL301" s="96"/>
      <c r="EM301" s="96"/>
      <c r="EN301" s="96"/>
      <c r="EO301" s="96"/>
      <c r="EP301" s="96"/>
      <c r="EQ301" s="96"/>
      <c r="ER301" s="96"/>
      <c r="ES301" s="96"/>
      <c r="ET301" s="96"/>
      <c r="EU301" s="96"/>
      <c r="EV301" s="96"/>
      <c r="EW301" s="96"/>
      <c r="EX301" s="96"/>
      <c r="EY301" s="96"/>
      <c r="EZ301" s="96"/>
      <c r="FA301" s="96"/>
      <c r="FB301" s="96"/>
      <c r="FC301" s="96"/>
      <c r="FD301" s="96"/>
      <c r="FE301" s="96"/>
      <c r="FF301" s="96"/>
      <c r="FG301" s="96"/>
      <c r="FH301" s="96"/>
      <c r="FI301" s="96"/>
      <c r="FJ301" s="96"/>
      <c r="FK301" s="96"/>
      <c r="FL301" s="96"/>
      <c r="FM301" s="96"/>
      <c r="FN301" s="96"/>
      <c r="FO301" s="96"/>
      <c r="FP301" s="96"/>
      <c r="FQ301" s="96"/>
      <c r="FR301" s="96"/>
      <c r="FS301" s="96"/>
      <c r="FT301" s="96"/>
      <c r="FU301" s="96"/>
      <c r="FV301" s="96"/>
      <c r="FW301" s="96"/>
      <c r="FX301" s="96"/>
      <c r="FY301" s="96"/>
      <c r="FZ301" s="96"/>
      <c r="GA301" s="96"/>
      <c r="GB301" s="96"/>
      <c r="GC301" s="96"/>
      <c r="GD301" s="96"/>
      <c r="GE301" s="96"/>
      <c r="GF301" s="96"/>
      <c r="GG301" s="96"/>
      <c r="GH301" s="96"/>
      <c r="GI301" s="96"/>
      <c r="GJ301" s="96"/>
      <c r="GK301" s="96"/>
      <c r="GL301" s="96"/>
      <c r="GM301" s="13"/>
      <c r="GN301" s="96"/>
      <c r="GO301" s="96"/>
      <c r="GP301" s="96"/>
      <c r="GQ301" s="96"/>
      <c r="GR301" s="96"/>
      <c r="GS301" s="96"/>
      <c r="GT301" s="96"/>
      <c r="GU301" s="96"/>
      <c r="GV301" s="96"/>
      <c r="GW301" s="96"/>
      <c r="GX301" s="96"/>
      <c r="GY301" s="96"/>
      <c r="GZ301" s="96"/>
      <c r="HA301" s="96"/>
      <c r="HB301" s="96"/>
      <c r="HC301" s="13"/>
      <c r="HD301" s="96"/>
      <c r="HE301" s="96"/>
      <c r="HF301" s="96"/>
      <c r="HG301" s="96"/>
      <c r="HH301" s="96"/>
      <c r="HI301" s="96"/>
      <c r="HJ301" s="96"/>
      <c r="HK301" s="96"/>
      <c r="HL301" s="96"/>
      <c r="HM301" s="96"/>
      <c r="HN301" s="96"/>
      <c r="HO301" s="96"/>
      <c r="HP301" s="96"/>
      <c r="HQ301" s="96"/>
      <c r="HR301" s="96"/>
      <c r="HS301" s="13"/>
      <c r="HT301" s="96"/>
      <c r="HU301" s="96"/>
      <c r="HV301" s="96"/>
      <c r="HW301" s="96"/>
      <c r="HX301" s="96"/>
      <c r="HY301" s="96"/>
      <c r="HZ301" s="96"/>
      <c r="IA301" s="96"/>
      <c r="IB301" s="96"/>
      <c r="IC301" s="96"/>
      <c r="ID301" s="96"/>
      <c r="IE301" s="96"/>
      <c r="IF301" s="96"/>
      <c r="IG301" s="96"/>
      <c r="IH301" s="96"/>
      <c r="II301" s="13"/>
      <c r="IJ301" s="96"/>
      <c r="IK301" s="96"/>
      <c r="IL301" s="96"/>
      <c r="IM301" s="96"/>
      <c r="IN301" s="96"/>
      <c r="IO301" s="96"/>
      <c r="IP301" s="96"/>
      <c r="IQ301" s="96"/>
      <c r="IR301" s="96"/>
      <c r="IS301" s="96"/>
      <c r="IT301" s="96"/>
      <c r="IU301" s="96"/>
      <c r="IV301" s="96"/>
      <c r="IW301" s="96"/>
      <c r="IX301" s="96"/>
      <c r="IY301" s="13"/>
    </row>
    <row r="302" spans="1:259" outlineLevel="1">
      <c r="A302" s="11">
        <f>'VAC &amp; MED'!C303</f>
        <v>46279</v>
      </c>
      <c r="B302" s="261"/>
      <c r="C302" s="261"/>
      <c r="D302" s="261"/>
      <c r="E302" s="261"/>
      <c r="F302" s="261"/>
      <c r="G302" s="261"/>
      <c r="H302" s="261"/>
      <c r="I302" s="261"/>
      <c r="J302" s="261"/>
      <c r="K302" s="261"/>
      <c r="L302" s="261"/>
      <c r="M302" s="261"/>
      <c r="N302" s="261"/>
      <c r="O302" s="261"/>
      <c r="P302" s="261"/>
      <c r="Q302" s="261"/>
      <c r="R302" s="262"/>
      <c r="S302" s="262"/>
      <c r="T302" s="262"/>
      <c r="U302" s="262"/>
      <c r="V302" s="262"/>
      <c r="W302" s="262"/>
      <c r="X302" s="262"/>
      <c r="Y302" s="262"/>
      <c r="Z302" s="262"/>
      <c r="AA302" s="262"/>
      <c r="AB302" s="262"/>
      <c r="AC302" s="262"/>
      <c r="AD302" s="262"/>
      <c r="AE302" s="262"/>
      <c r="AF302" s="262"/>
      <c r="AG302" s="262"/>
      <c r="AH302" s="263"/>
      <c r="AI302" s="263"/>
      <c r="AJ302" s="263"/>
      <c r="AK302" s="263"/>
      <c r="AL302" s="263"/>
      <c r="AM302" s="263"/>
      <c r="AN302" s="263"/>
      <c r="AO302" s="263"/>
      <c r="AP302" s="263"/>
      <c r="AQ302" s="263"/>
      <c r="AR302" s="263"/>
      <c r="AS302" s="263"/>
      <c r="AT302" s="263"/>
      <c r="AU302" s="263"/>
      <c r="AV302" s="263"/>
      <c r="AW302" s="263"/>
      <c r="AX302" s="264"/>
      <c r="AY302" s="264"/>
      <c r="AZ302" s="264"/>
      <c r="BA302" s="264"/>
      <c r="BB302" s="264"/>
      <c r="BC302" s="264"/>
      <c r="BD302" s="264"/>
      <c r="BE302" s="264"/>
      <c r="BF302" s="264"/>
      <c r="BG302" s="264"/>
      <c r="BH302" s="264"/>
      <c r="BI302" s="264"/>
      <c r="BJ302" s="264"/>
      <c r="BK302" s="264"/>
      <c r="BL302" s="264"/>
      <c r="BM302" s="264"/>
      <c r="BN302" s="265"/>
      <c r="BO302" s="265"/>
      <c r="BP302" s="265"/>
      <c r="BQ302" s="265"/>
      <c r="BR302" s="265"/>
      <c r="BS302" s="265"/>
      <c r="BT302" s="265"/>
      <c r="BU302" s="265"/>
      <c r="BV302" s="265"/>
      <c r="BW302" s="265"/>
      <c r="BX302" s="265"/>
      <c r="BY302" s="265"/>
      <c r="BZ302" s="265"/>
      <c r="CA302" s="265"/>
      <c r="CB302" s="265"/>
      <c r="CC302" s="265"/>
      <c r="CD302" s="266"/>
      <c r="CE302" s="266"/>
      <c r="CF302" s="266"/>
      <c r="CG302" s="266"/>
      <c r="CH302" s="266"/>
      <c r="CI302" s="266"/>
      <c r="CJ302" s="266"/>
      <c r="CK302" s="266"/>
      <c r="CL302" s="266"/>
      <c r="CM302" s="266"/>
      <c r="CN302" s="266"/>
      <c r="CO302" s="266"/>
      <c r="CP302" s="266"/>
      <c r="CQ302" s="266"/>
      <c r="CR302" s="266"/>
      <c r="CS302" s="266"/>
      <c r="CT302" s="267"/>
      <c r="CU302" s="267"/>
      <c r="CV302" s="267"/>
      <c r="CW302" s="267"/>
      <c r="CX302" s="267"/>
      <c r="CY302" s="267"/>
      <c r="CZ302" s="267"/>
      <c r="DA302" s="267"/>
      <c r="DB302" s="267"/>
      <c r="DC302" s="267"/>
      <c r="DD302" s="267"/>
      <c r="DE302" s="267"/>
      <c r="DF302" s="267"/>
      <c r="DG302" s="267"/>
      <c r="DH302" s="267"/>
      <c r="DI302" s="267"/>
      <c r="DJ302" s="268"/>
      <c r="DK302" s="268"/>
      <c r="DL302" s="268"/>
      <c r="DM302" s="268"/>
      <c r="DN302" s="268"/>
      <c r="DO302" s="268"/>
      <c r="DP302" s="268"/>
      <c r="DQ302" s="268"/>
      <c r="DR302" s="268"/>
      <c r="DS302" s="268"/>
      <c r="DT302" s="268"/>
      <c r="DU302" s="268"/>
      <c r="DV302" s="268"/>
      <c r="DW302" s="268"/>
      <c r="DX302" s="268"/>
      <c r="DY302" s="268"/>
      <c r="EA302" s="13"/>
      <c r="EB302" s="96"/>
      <c r="EC302" s="96"/>
      <c r="ED302" s="96"/>
      <c r="EE302" s="96"/>
      <c r="EF302" s="96"/>
      <c r="EG302" s="96"/>
      <c r="EH302" s="96"/>
      <c r="EI302" s="96"/>
      <c r="EJ302" s="96"/>
      <c r="EK302" s="96"/>
      <c r="EL302" s="96"/>
      <c r="EM302" s="96"/>
      <c r="EN302" s="96"/>
      <c r="EO302" s="96"/>
      <c r="EP302" s="96"/>
      <c r="EQ302" s="96"/>
      <c r="ER302" s="96"/>
      <c r="ES302" s="96"/>
      <c r="ET302" s="96"/>
      <c r="EU302" s="96"/>
      <c r="EV302" s="96"/>
      <c r="EW302" s="96"/>
      <c r="EX302" s="96"/>
      <c r="EY302" s="96"/>
      <c r="EZ302" s="96"/>
      <c r="FA302" s="96"/>
      <c r="FB302" s="96"/>
      <c r="FC302" s="96"/>
      <c r="FD302" s="96"/>
      <c r="FE302" s="96"/>
      <c r="FF302" s="96"/>
      <c r="FG302" s="96"/>
      <c r="FH302" s="96"/>
      <c r="FI302" s="96"/>
      <c r="FJ302" s="96"/>
      <c r="FK302" s="96"/>
      <c r="FL302" s="96"/>
      <c r="FM302" s="96"/>
      <c r="FN302" s="96"/>
      <c r="FO302" s="96"/>
      <c r="FP302" s="96"/>
      <c r="FQ302" s="96"/>
      <c r="FR302" s="96"/>
      <c r="FS302" s="96"/>
      <c r="FT302" s="96"/>
      <c r="FU302" s="96"/>
      <c r="FV302" s="96"/>
      <c r="FW302" s="96"/>
      <c r="FX302" s="96"/>
      <c r="FY302" s="96"/>
      <c r="FZ302" s="96"/>
      <c r="GA302" s="96"/>
      <c r="GB302" s="96"/>
      <c r="GC302" s="96"/>
      <c r="GD302" s="96"/>
      <c r="GE302" s="96"/>
      <c r="GF302" s="96"/>
      <c r="GG302" s="96"/>
      <c r="GH302" s="96"/>
      <c r="GI302" s="96"/>
      <c r="GJ302" s="96"/>
      <c r="GK302" s="96"/>
      <c r="GL302" s="96"/>
      <c r="GM302" s="13"/>
      <c r="GN302" s="96"/>
      <c r="GO302" s="96"/>
      <c r="GP302" s="96"/>
      <c r="GQ302" s="96"/>
      <c r="GR302" s="96"/>
      <c r="GS302" s="96"/>
      <c r="GT302" s="96"/>
      <c r="GU302" s="96"/>
      <c r="GV302" s="96"/>
      <c r="GW302" s="96"/>
      <c r="GX302" s="96"/>
      <c r="GY302" s="96"/>
      <c r="GZ302" s="96"/>
      <c r="HA302" s="96"/>
      <c r="HB302" s="96"/>
      <c r="HC302" s="13"/>
      <c r="HD302" s="96"/>
      <c r="HE302" s="96"/>
      <c r="HF302" s="96"/>
      <c r="HG302" s="96"/>
      <c r="HH302" s="96"/>
      <c r="HI302" s="96"/>
      <c r="HJ302" s="96"/>
      <c r="HK302" s="96"/>
      <c r="HL302" s="96"/>
      <c r="HM302" s="96"/>
      <c r="HN302" s="96"/>
      <c r="HO302" s="96"/>
      <c r="HP302" s="96"/>
      <c r="HQ302" s="96"/>
      <c r="HR302" s="96"/>
      <c r="HS302" s="13"/>
      <c r="HT302" s="96"/>
      <c r="HU302" s="96"/>
      <c r="HV302" s="96"/>
      <c r="HW302" s="96"/>
      <c r="HX302" s="96"/>
      <c r="HY302" s="96"/>
      <c r="HZ302" s="96"/>
      <c r="IA302" s="96"/>
      <c r="IB302" s="96"/>
      <c r="IC302" s="96"/>
      <c r="ID302" s="96"/>
      <c r="IE302" s="96"/>
      <c r="IF302" s="96"/>
      <c r="IG302" s="96"/>
      <c r="IH302" s="96"/>
      <c r="II302" s="13"/>
      <c r="IJ302" s="96"/>
      <c r="IK302" s="96"/>
      <c r="IL302" s="96"/>
      <c r="IM302" s="96"/>
      <c r="IN302" s="96"/>
      <c r="IO302" s="96"/>
      <c r="IP302" s="96"/>
      <c r="IQ302" s="96"/>
      <c r="IR302" s="96"/>
      <c r="IS302" s="96"/>
      <c r="IT302" s="96"/>
      <c r="IU302" s="96"/>
      <c r="IV302" s="96"/>
      <c r="IW302" s="96"/>
      <c r="IX302" s="96"/>
      <c r="IY302" s="13"/>
    </row>
    <row r="303" spans="1:259" outlineLevel="1">
      <c r="A303" s="11">
        <f>'VAC &amp; MED'!C304</f>
        <v>46280</v>
      </c>
      <c r="B303" s="261"/>
      <c r="C303" s="261"/>
      <c r="D303" s="261"/>
      <c r="E303" s="261"/>
      <c r="F303" s="261"/>
      <c r="G303" s="261"/>
      <c r="H303" s="261"/>
      <c r="I303" s="261"/>
      <c r="J303" s="261"/>
      <c r="K303" s="261"/>
      <c r="L303" s="261"/>
      <c r="M303" s="261"/>
      <c r="N303" s="261"/>
      <c r="O303" s="261"/>
      <c r="P303" s="261"/>
      <c r="Q303" s="261"/>
      <c r="R303" s="262"/>
      <c r="S303" s="262"/>
      <c r="T303" s="262"/>
      <c r="U303" s="262"/>
      <c r="V303" s="262"/>
      <c r="W303" s="262"/>
      <c r="X303" s="262"/>
      <c r="Y303" s="262"/>
      <c r="Z303" s="262"/>
      <c r="AA303" s="262"/>
      <c r="AB303" s="262"/>
      <c r="AC303" s="262"/>
      <c r="AD303" s="262"/>
      <c r="AE303" s="262"/>
      <c r="AF303" s="262"/>
      <c r="AG303" s="262"/>
      <c r="AH303" s="263"/>
      <c r="AI303" s="263"/>
      <c r="AJ303" s="263"/>
      <c r="AK303" s="263"/>
      <c r="AL303" s="263"/>
      <c r="AM303" s="263"/>
      <c r="AN303" s="263"/>
      <c r="AO303" s="263"/>
      <c r="AP303" s="263"/>
      <c r="AQ303" s="263"/>
      <c r="AR303" s="263"/>
      <c r="AS303" s="263"/>
      <c r="AT303" s="263"/>
      <c r="AU303" s="263"/>
      <c r="AV303" s="263"/>
      <c r="AW303" s="263"/>
      <c r="AX303" s="264"/>
      <c r="AY303" s="264"/>
      <c r="AZ303" s="264"/>
      <c r="BA303" s="264"/>
      <c r="BB303" s="264"/>
      <c r="BC303" s="264"/>
      <c r="BD303" s="264"/>
      <c r="BE303" s="264"/>
      <c r="BF303" s="264"/>
      <c r="BG303" s="264"/>
      <c r="BH303" s="264"/>
      <c r="BI303" s="264"/>
      <c r="BJ303" s="264"/>
      <c r="BK303" s="264"/>
      <c r="BL303" s="264"/>
      <c r="BM303" s="264"/>
      <c r="BN303" s="265"/>
      <c r="BO303" s="265"/>
      <c r="BP303" s="265"/>
      <c r="BQ303" s="265"/>
      <c r="BR303" s="265"/>
      <c r="BS303" s="265"/>
      <c r="BT303" s="265"/>
      <c r="BU303" s="265"/>
      <c r="BV303" s="265"/>
      <c r="BW303" s="265"/>
      <c r="BX303" s="265"/>
      <c r="BY303" s="265"/>
      <c r="BZ303" s="265"/>
      <c r="CA303" s="265"/>
      <c r="CB303" s="265"/>
      <c r="CC303" s="265"/>
      <c r="CD303" s="266"/>
      <c r="CE303" s="266"/>
      <c r="CF303" s="266"/>
      <c r="CG303" s="266"/>
      <c r="CH303" s="266"/>
      <c r="CI303" s="266"/>
      <c r="CJ303" s="266"/>
      <c r="CK303" s="266"/>
      <c r="CL303" s="266"/>
      <c r="CM303" s="266"/>
      <c r="CN303" s="266"/>
      <c r="CO303" s="266"/>
      <c r="CP303" s="266"/>
      <c r="CQ303" s="266"/>
      <c r="CR303" s="266"/>
      <c r="CS303" s="266"/>
      <c r="CT303" s="267"/>
      <c r="CU303" s="267"/>
      <c r="CV303" s="267"/>
      <c r="CW303" s="267"/>
      <c r="CX303" s="267"/>
      <c r="CY303" s="267"/>
      <c r="CZ303" s="267"/>
      <c r="DA303" s="267"/>
      <c r="DB303" s="267"/>
      <c r="DC303" s="267"/>
      <c r="DD303" s="267"/>
      <c r="DE303" s="267"/>
      <c r="DF303" s="267"/>
      <c r="DG303" s="267"/>
      <c r="DH303" s="267"/>
      <c r="DI303" s="267"/>
      <c r="DJ303" s="268"/>
      <c r="DK303" s="268"/>
      <c r="DL303" s="268"/>
      <c r="DM303" s="268"/>
      <c r="DN303" s="268"/>
      <c r="DO303" s="268"/>
      <c r="DP303" s="268"/>
      <c r="DQ303" s="268"/>
      <c r="DR303" s="268"/>
      <c r="DS303" s="268"/>
      <c r="DT303" s="268"/>
      <c r="DU303" s="268"/>
      <c r="DV303" s="268"/>
      <c r="DW303" s="268"/>
      <c r="DX303" s="268"/>
      <c r="DY303" s="268"/>
      <c r="EA303" s="13"/>
      <c r="EB303" s="96"/>
      <c r="EC303" s="96"/>
      <c r="ED303" s="96"/>
      <c r="EE303" s="96"/>
      <c r="EF303" s="96"/>
      <c r="EG303" s="96"/>
      <c r="EH303" s="96"/>
      <c r="EI303" s="96"/>
      <c r="EJ303" s="96"/>
      <c r="EK303" s="96"/>
      <c r="EL303" s="96"/>
      <c r="EM303" s="96"/>
      <c r="EN303" s="96"/>
      <c r="EO303" s="96"/>
      <c r="EP303" s="96"/>
      <c r="EQ303" s="96"/>
      <c r="ER303" s="96"/>
      <c r="ES303" s="96"/>
      <c r="ET303" s="96"/>
      <c r="EU303" s="96"/>
      <c r="EV303" s="96"/>
      <c r="EW303" s="96"/>
      <c r="EX303" s="96"/>
      <c r="EY303" s="96"/>
      <c r="EZ303" s="96"/>
      <c r="FA303" s="96"/>
      <c r="FB303" s="96"/>
      <c r="FC303" s="96"/>
      <c r="FD303" s="96"/>
      <c r="FE303" s="96"/>
      <c r="FF303" s="96"/>
      <c r="FG303" s="96"/>
      <c r="FH303" s="96"/>
      <c r="FI303" s="96"/>
      <c r="FJ303" s="96"/>
      <c r="FK303" s="96"/>
      <c r="FL303" s="96"/>
      <c r="FM303" s="96"/>
      <c r="FN303" s="96"/>
      <c r="FO303" s="96"/>
      <c r="FP303" s="96"/>
      <c r="FQ303" s="96"/>
      <c r="FR303" s="96"/>
      <c r="FS303" s="96"/>
      <c r="FT303" s="96"/>
      <c r="FU303" s="96"/>
      <c r="FV303" s="96"/>
      <c r="FW303" s="96"/>
      <c r="FX303" s="96"/>
      <c r="FY303" s="96"/>
      <c r="FZ303" s="96"/>
      <c r="GA303" s="96"/>
      <c r="GB303" s="96"/>
      <c r="GC303" s="96"/>
      <c r="GD303" s="96"/>
      <c r="GE303" s="96"/>
      <c r="GF303" s="96"/>
      <c r="GG303" s="96"/>
      <c r="GH303" s="96"/>
      <c r="GI303" s="96"/>
      <c r="GJ303" s="96"/>
      <c r="GK303" s="96"/>
      <c r="GL303" s="96"/>
      <c r="GM303" s="13"/>
      <c r="GN303" s="96"/>
      <c r="GO303" s="96"/>
      <c r="GP303" s="96"/>
      <c r="GQ303" s="96"/>
      <c r="GR303" s="96"/>
      <c r="GS303" s="96"/>
      <c r="GT303" s="96"/>
      <c r="GU303" s="96"/>
      <c r="GV303" s="96"/>
      <c r="GW303" s="96"/>
      <c r="GX303" s="96"/>
      <c r="GY303" s="96"/>
      <c r="GZ303" s="96"/>
      <c r="HA303" s="96"/>
      <c r="HB303" s="96"/>
      <c r="HC303" s="13"/>
      <c r="HD303" s="96"/>
      <c r="HE303" s="96"/>
      <c r="HF303" s="96"/>
      <c r="HG303" s="96"/>
      <c r="HH303" s="96"/>
      <c r="HI303" s="96"/>
      <c r="HJ303" s="96"/>
      <c r="HK303" s="96"/>
      <c r="HL303" s="96"/>
      <c r="HM303" s="96"/>
      <c r="HN303" s="96"/>
      <c r="HO303" s="96"/>
      <c r="HP303" s="96"/>
      <c r="HQ303" s="96"/>
      <c r="HR303" s="96"/>
      <c r="HS303" s="13"/>
      <c r="HT303" s="96"/>
      <c r="HU303" s="96"/>
      <c r="HV303" s="96"/>
      <c r="HW303" s="96"/>
      <c r="HX303" s="96"/>
      <c r="HY303" s="96"/>
      <c r="HZ303" s="96"/>
      <c r="IA303" s="96"/>
      <c r="IB303" s="96"/>
      <c r="IC303" s="96"/>
      <c r="ID303" s="96"/>
      <c r="IE303" s="96"/>
      <c r="IF303" s="96"/>
      <c r="IG303" s="96"/>
      <c r="IH303" s="96"/>
      <c r="II303" s="13"/>
      <c r="IJ303" s="96"/>
      <c r="IK303" s="96"/>
      <c r="IL303" s="96"/>
      <c r="IM303" s="96"/>
      <c r="IN303" s="96"/>
      <c r="IO303" s="96"/>
      <c r="IP303" s="96"/>
      <c r="IQ303" s="96"/>
      <c r="IR303" s="96"/>
      <c r="IS303" s="96"/>
      <c r="IT303" s="96"/>
      <c r="IU303" s="96"/>
      <c r="IV303" s="96"/>
      <c r="IW303" s="96"/>
      <c r="IX303" s="96"/>
      <c r="IY303" s="13"/>
    </row>
    <row r="304" spans="1:259" outlineLevel="1">
      <c r="A304" s="11">
        <f>'VAC &amp; MED'!C305</f>
        <v>46281</v>
      </c>
      <c r="B304" s="261"/>
      <c r="C304" s="261"/>
      <c r="D304" s="261"/>
      <c r="E304" s="261"/>
      <c r="F304" s="261"/>
      <c r="G304" s="261"/>
      <c r="H304" s="261"/>
      <c r="I304" s="261"/>
      <c r="J304" s="261"/>
      <c r="K304" s="261"/>
      <c r="L304" s="261"/>
      <c r="M304" s="261"/>
      <c r="N304" s="261"/>
      <c r="O304" s="261"/>
      <c r="P304" s="261"/>
      <c r="Q304" s="261"/>
      <c r="R304" s="262"/>
      <c r="S304" s="262"/>
      <c r="T304" s="262"/>
      <c r="U304" s="262"/>
      <c r="V304" s="262"/>
      <c r="W304" s="262"/>
      <c r="X304" s="262"/>
      <c r="Y304" s="262"/>
      <c r="Z304" s="262"/>
      <c r="AA304" s="262"/>
      <c r="AB304" s="262"/>
      <c r="AC304" s="262"/>
      <c r="AD304" s="262"/>
      <c r="AE304" s="262"/>
      <c r="AF304" s="262"/>
      <c r="AG304" s="262"/>
      <c r="AH304" s="263"/>
      <c r="AI304" s="263"/>
      <c r="AJ304" s="263"/>
      <c r="AK304" s="263"/>
      <c r="AL304" s="263"/>
      <c r="AM304" s="263"/>
      <c r="AN304" s="263"/>
      <c r="AO304" s="263"/>
      <c r="AP304" s="263"/>
      <c r="AQ304" s="263"/>
      <c r="AR304" s="263"/>
      <c r="AS304" s="263"/>
      <c r="AT304" s="263"/>
      <c r="AU304" s="263"/>
      <c r="AV304" s="263"/>
      <c r="AW304" s="263"/>
      <c r="AX304" s="264"/>
      <c r="AY304" s="264"/>
      <c r="AZ304" s="264"/>
      <c r="BA304" s="264"/>
      <c r="BB304" s="264"/>
      <c r="BC304" s="264"/>
      <c r="BD304" s="264"/>
      <c r="BE304" s="264"/>
      <c r="BF304" s="264"/>
      <c r="BG304" s="264"/>
      <c r="BH304" s="264"/>
      <c r="BI304" s="264"/>
      <c r="BJ304" s="264"/>
      <c r="BK304" s="264"/>
      <c r="BL304" s="264"/>
      <c r="BM304" s="264"/>
      <c r="BN304" s="265"/>
      <c r="BO304" s="265"/>
      <c r="BP304" s="265"/>
      <c r="BQ304" s="265"/>
      <c r="BR304" s="265"/>
      <c r="BS304" s="265"/>
      <c r="BT304" s="265"/>
      <c r="BU304" s="265"/>
      <c r="BV304" s="265"/>
      <c r="BW304" s="265"/>
      <c r="BX304" s="265"/>
      <c r="BY304" s="265"/>
      <c r="BZ304" s="265"/>
      <c r="CA304" s="265"/>
      <c r="CB304" s="265"/>
      <c r="CC304" s="265"/>
      <c r="CD304" s="266"/>
      <c r="CE304" s="266"/>
      <c r="CF304" s="266"/>
      <c r="CG304" s="266"/>
      <c r="CH304" s="266"/>
      <c r="CI304" s="266"/>
      <c r="CJ304" s="266"/>
      <c r="CK304" s="266"/>
      <c r="CL304" s="266"/>
      <c r="CM304" s="266"/>
      <c r="CN304" s="266"/>
      <c r="CO304" s="266"/>
      <c r="CP304" s="266"/>
      <c r="CQ304" s="266"/>
      <c r="CR304" s="266"/>
      <c r="CS304" s="266"/>
      <c r="CT304" s="267"/>
      <c r="CU304" s="267"/>
      <c r="CV304" s="267"/>
      <c r="CW304" s="267"/>
      <c r="CX304" s="267"/>
      <c r="CY304" s="267"/>
      <c r="CZ304" s="267"/>
      <c r="DA304" s="267"/>
      <c r="DB304" s="267"/>
      <c r="DC304" s="267"/>
      <c r="DD304" s="267"/>
      <c r="DE304" s="267"/>
      <c r="DF304" s="267"/>
      <c r="DG304" s="267"/>
      <c r="DH304" s="267"/>
      <c r="DI304" s="267"/>
      <c r="DJ304" s="268"/>
      <c r="DK304" s="268"/>
      <c r="DL304" s="268"/>
      <c r="DM304" s="268"/>
      <c r="DN304" s="268"/>
      <c r="DO304" s="268"/>
      <c r="DP304" s="268"/>
      <c r="DQ304" s="268"/>
      <c r="DR304" s="268"/>
      <c r="DS304" s="268"/>
      <c r="DT304" s="268"/>
      <c r="DU304" s="268"/>
      <c r="DV304" s="268"/>
      <c r="DW304" s="268"/>
      <c r="DX304" s="268"/>
      <c r="DY304" s="268"/>
      <c r="EA304" s="13"/>
      <c r="EB304" s="96"/>
      <c r="EC304" s="96"/>
      <c r="ED304" s="96"/>
      <c r="EE304" s="96"/>
      <c r="EF304" s="96"/>
      <c r="EG304" s="96"/>
      <c r="EH304" s="96"/>
      <c r="EI304" s="96"/>
      <c r="EJ304" s="96"/>
      <c r="EK304" s="96"/>
      <c r="EL304" s="96"/>
      <c r="EM304" s="96"/>
      <c r="EN304" s="96"/>
      <c r="EO304" s="96"/>
      <c r="EP304" s="96"/>
      <c r="EQ304" s="96"/>
      <c r="ER304" s="96"/>
      <c r="ES304" s="96"/>
      <c r="ET304" s="96"/>
      <c r="EU304" s="96"/>
      <c r="EV304" s="96"/>
      <c r="EW304" s="96"/>
      <c r="EX304" s="96"/>
      <c r="EY304" s="96"/>
      <c r="EZ304" s="96"/>
      <c r="FA304" s="96"/>
      <c r="FB304" s="96"/>
      <c r="FC304" s="96"/>
      <c r="FD304" s="96"/>
      <c r="FE304" s="96"/>
      <c r="FF304" s="96"/>
      <c r="FG304" s="96"/>
      <c r="FH304" s="96"/>
      <c r="FI304" s="96"/>
      <c r="FJ304" s="96"/>
      <c r="FK304" s="96"/>
      <c r="FL304" s="96"/>
      <c r="FM304" s="96"/>
      <c r="FN304" s="96"/>
      <c r="FO304" s="96"/>
      <c r="FP304" s="96"/>
      <c r="FQ304" s="96"/>
      <c r="FR304" s="96"/>
      <c r="FS304" s="96"/>
      <c r="FT304" s="96"/>
      <c r="FU304" s="96"/>
      <c r="FV304" s="96"/>
      <c r="FW304" s="96"/>
      <c r="FX304" s="96"/>
      <c r="FY304" s="96"/>
      <c r="FZ304" s="96"/>
      <c r="GA304" s="96"/>
      <c r="GB304" s="96"/>
      <c r="GC304" s="96"/>
      <c r="GD304" s="96"/>
      <c r="GE304" s="96"/>
      <c r="GF304" s="96"/>
      <c r="GG304" s="96"/>
      <c r="GH304" s="96"/>
      <c r="GI304" s="96"/>
      <c r="GJ304" s="96"/>
      <c r="GK304" s="96"/>
      <c r="GL304" s="96"/>
      <c r="GM304" s="13"/>
      <c r="GN304" s="96"/>
      <c r="GO304" s="96"/>
      <c r="GP304" s="96"/>
      <c r="GQ304" s="96"/>
      <c r="GR304" s="96"/>
      <c r="GS304" s="96"/>
      <c r="GT304" s="96"/>
      <c r="GU304" s="96"/>
      <c r="GV304" s="96"/>
      <c r="GW304" s="96"/>
      <c r="GX304" s="96"/>
      <c r="GY304" s="96"/>
      <c r="GZ304" s="96"/>
      <c r="HA304" s="96"/>
      <c r="HB304" s="96"/>
      <c r="HC304" s="13"/>
      <c r="HD304" s="96"/>
      <c r="HE304" s="96"/>
      <c r="HF304" s="96"/>
      <c r="HG304" s="96"/>
      <c r="HH304" s="96"/>
      <c r="HI304" s="96"/>
      <c r="HJ304" s="96"/>
      <c r="HK304" s="96"/>
      <c r="HL304" s="96"/>
      <c r="HM304" s="96"/>
      <c r="HN304" s="96"/>
      <c r="HO304" s="96"/>
      <c r="HP304" s="96"/>
      <c r="HQ304" s="96"/>
      <c r="HR304" s="96"/>
      <c r="HS304" s="13"/>
      <c r="HT304" s="96"/>
      <c r="HU304" s="96"/>
      <c r="HV304" s="96"/>
      <c r="HW304" s="96"/>
      <c r="HX304" s="96"/>
      <c r="HY304" s="96"/>
      <c r="HZ304" s="96"/>
      <c r="IA304" s="96"/>
      <c r="IB304" s="96"/>
      <c r="IC304" s="96"/>
      <c r="ID304" s="96"/>
      <c r="IE304" s="96"/>
      <c r="IF304" s="96"/>
      <c r="IG304" s="96"/>
      <c r="IH304" s="96"/>
      <c r="II304" s="13"/>
      <c r="IJ304" s="96"/>
      <c r="IK304" s="96"/>
      <c r="IL304" s="96"/>
      <c r="IM304" s="96"/>
      <c r="IN304" s="96"/>
      <c r="IO304" s="96"/>
      <c r="IP304" s="96"/>
      <c r="IQ304" s="96"/>
      <c r="IR304" s="96"/>
      <c r="IS304" s="96"/>
      <c r="IT304" s="96"/>
      <c r="IU304" s="96"/>
      <c r="IV304" s="96"/>
      <c r="IW304" s="96"/>
      <c r="IX304" s="96"/>
      <c r="IY304" s="13"/>
    </row>
    <row r="305" spans="1:259" outlineLevel="1">
      <c r="A305" s="11">
        <f>'VAC &amp; MED'!C306</f>
        <v>46282</v>
      </c>
      <c r="B305" s="261"/>
      <c r="C305" s="261"/>
      <c r="D305" s="261"/>
      <c r="E305" s="261"/>
      <c r="F305" s="261"/>
      <c r="G305" s="261"/>
      <c r="H305" s="261"/>
      <c r="I305" s="261"/>
      <c r="J305" s="261"/>
      <c r="K305" s="261"/>
      <c r="L305" s="261"/>
      <c r="M305" s="261"/>
      <c r="N305" s="261"/>
      <c r="O305" s="261"/>
      <c r="P305" s="261"/>
      <c r="Q305" s="261"/>
      <c r="R305" s="262"/>
      <c r="S305" s="262"/>
      <c r="T305" s="262"/>
      <c r="U305" s="262"/>
      <c r="V305" s="262"/>
      <c r="W305" s="262"/>
      <c r="X305" s="262"/>
      <c r="Y305" s="262"/>
      <c r="Z305" s="262"/>
      <c r="AA305" s="262"/>
      <c r="AB305" s="262"/>
      <c r="AC305" s="262"/>
      <c r="AD305" s="262"/>
      <c r="AE305" s="262"/>
      <c r="AF305" s="262"/>
      <c r="AG305" s="262"/>
      <c r="AH305" s="263"/>
      <c r="AI305" s="263"/>
      <c r="AJ305" s="263"/>
      <c r="AK305" s="263"/>
      <c r="AL305" s="263"/>
      <c r="AM305" s="263"/>
      <c r="AN305" s="263"/>
      <c r="AO305" s="263"/>
      <c r="AP305" s="263"/>
      <c r="AQ305" s="263"/>
      <c r="AR305" s="263"/>
      <c r="AS305" s="263"/>
      <c r="AT305" s="263"/>
      <c r="AU305" s="263"/>
      <c r="AV305" s="263"/>
      <c r="AW305" s="263"/>
      <c r="AX305" s="264"/>
      <c r="AY305" s="264"/>
      <c r="AZ305" s="264"/>
      <c r="BA305" s="264"/>
      <c r="BB305" s="264"/>
      <c r="BC305" s="264"/>
      <c r="BD305" s="264"/>
      <c r="BE305" s="264"/>
      <c r="BF305" s="264"/>
      <c r="BG305" s="264"/>
      <c r="BH305" s="264"/>
      <c r="BI305" s="264"/>
      <c r="BJ305" s="264"/>
      <c r="BK305" s="264"/>
      <c r="BL305" s="264"/>
      <c r="BM305" s="264"/>
      <c r="BN305" s="265"/>
      <c r="BO305" s="265"/>
      <c r="BP305" s="265"/>
      <c r="BQ305" s="265"/>
      <c r="BR305" s="265"/>
      <c r="BS305" s="265"/>
      <c r="BT305" s="265"/>
      <c r="BU305" s="265"/>
      <c r="BV305" s="265"/>
      <c r="BW305" s="265"/>
      <c r="BX305" s="265"/>
      <c r="BY305" s="265"/>
      <c r="BZ305" s="265"/>
      <c r="CA305" s="265"/>
      <c r="CB305" s="265"/>
      <c r="CC305" s="265"/>
      <c r="CD305" s="266"/>
      <c r="CE305" s="266"/>
      <c r="CF305" s="266"/>
      <c r="CG305" s="266"/>
      <c r="CH305" s="266"/>
      <c r="CI305" s="266"/>
      <c r="CJ305" s="266"/>
      <c r="CK305" s="266"/>
      <c r="CL305" s="266"/>
      <c r="CM305" s="266"/>
      <c r="CN305" s="266"/>
      <c r="CO305" s="266"/>
      <c r="CP305" s="266"/>
      <c r="CQ305" s="266"/>
      <c r="CR305" s="266"/>
      <c r="CS305" s="266"/>
      <c r="CT305" s="267"/>
      <c r="CU305" s="267"/>
      <c r="CV305" s="267"/>
      <c r="CW305" s="267"/>
      <c r="CX305" s="267"/>
      <c r="CY305" s="267"/>
      <c r="CZ305" s="267"/>
      <c r="DA305" s="267"/>
      <c r="DB305" s="267"/>
      <c r="DC305" s="267"/>
      <c r="DD305" s="267"/>
      <c r="DE305" s="267"/>
      <c r="DF305" s="267"/>
      <c r="DG305" s="267"/>
      <c r="DH305" s="267"/>
      <c r="DI305" s="267"/>
      <c r="DJ305" s="268"/>
      <c r="DK305" s="268"/>
      <c r="DL305" s="268"/>
      <c r="DM305" s="268"/>
      <c r="DN305" s="268"/>
      <c r="DO305" s="268"/>
      <c r="DP305" s="268"/>
      <c r="DQ305" s="268"/>
      <c r="DR305" s="268"/>
      <c r="DS305" s="268"/>
      <c r="DT305" s="268"/>
      <c r="DU305" s="268"/>
      <c r="DV305" s="268"/>
      <c r="DW305" s="268"/>
      <c r="DX305" s="268"/>
      <c r="DY305" s="268"/>
      <c r="EA305" s="13"/>
      <c r="EB305" s="96"/>
      <c r="EC305" s="96"/>
      <c r="ED305" s="96"/>
      <c r="EE305" s="96"/>
      <c r="EF305" s="96"/>
      <c r="EG305" s="96"/>
      <c r="EH305" s="96"/>
      <c r="EI305" s="96"/>
      <c r="EJ305" s="96"/>
      <c r="EK305" s="96"/>
      <c r="EL305" s="96"/>
      <c r="EM305" s="96"/>
      <c r="EN305" s="96"/>
      <c r="EO305" s="96"/>
      <c r="EP305" s="96"/>
      <c r="EQ305" s="96"/>
      <c r="ER305" s="96"/>
      <c r="ES305" s="96"/>
      <c r="ET305" s="96"/>
      <c r="EU305" s="96"/>
      <c r="EV305" s="96"/>
      <c r="EW305" s="96"/>
      <c r="EX305" s="96"/>
      <c r="EY305" s="96"/>
      <c r="EZ305" s="96"/>
      <c r="FA305" s="96"/>
      <c r="FB305" s="96"/>
      <c r="FC305" s="96"/>
      <c r="FD305" s="96"/>
      <c r="FE305" s="96"/>
      <c r="FF305" s="96"/>
      <c r="FG305" s="96"/>
      <c r="FH305" s="96"/>
      <c r="FI305" s="96"/>
      <c r="FJ305" s="96"/>
      <c r="FK305" s="96"/>
      <c r="FL305" s="96"/>
      <c r="FM305" s="96"/>
      <c r="FN305" s="96"/>
      <c r="FO305" s="96"/>
      <c r="FP305" s="96"/>
      <c r="FQ305" s="96"/>
      <c r="FR305" s="96"/>
      <c r="FS305" s="96"/>
      <c r="FT305" s="96"/>
      <c r="FU305" s="96"/>
      <c r="FV305" s="96"/>
      <c r="FW305" s="96"/>
      <c r="FX305" s="96"/>
      <c r="FY305" s="96"/>
      <c r="FZ305" s="96"/>
      <c r="GA305" s="96"/>
      <c r="GB305" s="96"/>
      <c r="GC305" s="96"/>
      <c r="GD305" s="96"/>
      <c r="GE305" s="96"/>
      <c r="GF305" s="96"/>
      <c r="GG305" s="96"/>
      <c r="GH305" s="96"/>
      <c r="GI305" s="96"/>
      <c r="GJ305" s="96"/>
      <c r="GK305" s="96"/>
      <c r="GL305" s="96"/>
      <c r="GM305" s="13"/>
      <c r="GN305" s="96"/>
      <c r="GO305" s="96"/>
      <c r="GP305" s="96"/>
      <c r="GQ305" s="96"/>
      <c r="GR305" s="96"/>
      <c r="GS305" s="96"/>
      <c r="GT305" s="96"/>
      <c r="GU305" s="96"/>
      <c r="GV305" s="96"/>
      <c r="GW305" s="96"/>
      <c r="GX305" s="96"/>
      <c r="GY305" s="96"/>
      <c r="GZ305" s="96"/>
      <c r="HA305" s="96"/>
      <c r="HB305" s="96"/>
      <c r="HC305" s="13"/>
      <c r="HD305" s="96"/>
      <c r="HE305" s="96"/>
      <c r="HF305" s="96"/>
      <c r="HG305" s="96"/>
      <c r="HH305" s="96"/>
      <c r="HI305" s="96"/>
      <c r="HJ305" s="96"/>
      <c r="HK305" s="96"/>
      <c r="HL305" s="96"/>
      <c r="HM305" s="96"/>
      <c r="HN305" s="96"/>
      <c r="HO305" s="96"/>
      <c r="HP305" s="96"/>
      <c r="HQ305" s="96"/>
      <c r="HR305" s="96"/>
      <c r="HS305" s="13"/>
      <c r="HT305" s="96"/>
      <c r="HU305" s="96"/>
      <c r="HV305" s="96"/>
      <c r="HW305" s="96"/>
      <c r="HX305" s="96"/>
      <c r="HY305" s="96"/>
      <c r="HZ305" s="96"/>
      <c r="IA305" s="96"/>
      <c r="IB305" s="96"/>
      <c r="IC305" s="96"/>
      <c r="ID305" s="96"/>
      <c r="IE305" s="96"/>
      <c r="IF305" s="96"/>
      <c r="IG305" s="96"/>
      <c r="IH305" s="96"/>
      <c r="II305" s="13"/>
      <c r="IJ305" s="96"/>
      <c r="IK305" s="96"/>
      <c r="IL305" s="96"/>
      <c r="IM305" s="96"/>
      <c r="IN305" s="96"/>
      <c r="IO305" s="96"/>
      <c r="IP305" s="96"/>
      <c r="IQ305" s="96"/>
      <c r="IR305" s="96"/>
      <c r="IS305" s="96"/>
      <c r="IT305" s="96"/>
      <c r="IU305" s="96"/>
      <c r="IV305" s="96"/>
      <c r="IW305" s="96"/>
      <c r="IX305" s="96"/>
      <c r="IY305" s="13"/>
    </row>
    <row r="306" spans="1:259" outlineLevel="1">
      <c r="A306" s="11">
        <f>'VAC &amp; MED'!C307</f>
        <v>46283</v>
      </c>
      <c r="B306" s="261"/>
      <c r="C306" s="261"/>
      <c r="D306" s="261"/>
      <c r="E306" s="261"/>
      <c r="F306" s="261"/>
      <c r="G306" s="261"/>
      <c r="H306" s="261"/>
      <c r="I306" s="261"/>
      <c r="J306" s="261"/>
      <c r="K306" s="261"/>
      <c r="L306" s="261"/>
      <c r="M306" s="261"/>
      <c r="N306" s="261"/>
      <c r="O306" s="261"/>
      <c r="P306" s="261"/>
      <c r="Q306" s="261"/>
      <c r="R306" s="262"/>
      <c r="S306" s="262"/>
      <c r="T306" s="262"/>
      <c r="U306" s="262"/>
      <c r="V306" s="262"/>
      <c r="W306" s="262"/>
      <c r="X306" s="262"/>
      <c r="Y306" s="262"/>
      <c r="Z306" s="262"/>
      <c r="AA306" s="262"/>
      <c r="AB306" s="262"/>
      <c r="AC306" s="262"/>
      <c r="AD306" s="262"/>
      <c r="AE306" s="262"/>
      <c r="AF306" s="262"/>
      <c r="AG306" s="262"/>
      <c r="AH306" s="263"/>
      <c r="AI306" s="263"/>
      <c r="AJ306" s="263"/>
      <c r="AK306" s="263"/>
      <c r="AL306" s="263"/>
      <c r="AM306" s="263"/>
      <c r="AN306" s="263"/>
      <c r="AO306" s="263"/>
      <c r="AP306" s="263"/>
      <c r="AQ306" s="263"/>
      <c r="AR306" s="263"/>
      <c r="AS306" s="263"/>
      <c r="AT306" s="263"/>
      <c r="AU306" s="263"/>
      <c r="AV306" s="263"/>
      <c r="AW306" s="263"/>
      <c r="AX306" s="264"/>
      <c r="AY306" s="264"/>
      <c r="AZ306" s="264"/>
      <c r="BA306" s="264"/>
      <c r="BB306" s="264"/>
      <c r="BC306" s="264"/>
      <c r="BD306" s="264"/>
      <c r="BE306" s="264"/>
      <c r="BF306" s="264"/>
      <c r="BG306" s="264"/>
      <c r="BH306" s="264"/>
      <c r="BI306" s="264"/>
      <c r="BJ306" s="264"/>
      <c r="BK306" s="264"/>
      <c r="BL306" s="264"/>
      <c r="BM306" s="264"/>
      <c r="BN306" s="265"/>
      <c r="BO306" s="265"/>
      <c r="BP306" s="265"/>
      <c r="BQ306" s="265"/>
      <c r="BR306" s="265"/>
      <c r="BS306" s="265"/>
      <c r="BT306" s="265"/>
      <c r="BU306" s="265"/>
      <c r="BV306" s="265"/>
      <c r="BW306" s="265"/>
      <c r="BX306" s="265"/>
      <c r="BY306" s="265"/>
      <c r="BZ306" s="265"/>
      <c r="CA306" s="265"/>
      <c r="CB306" s="265"/>
      <c r="CC306" s="265"/>
      <c r="CD306" s="266"/>
      <c r="CE306" s="266"/>
      <c r="CF306" s="266"/>
      <c r="CG306" s="266"/>
      <c r="CH306" s="266"/>
      <c r="CI306" s="266"/>
      <c r="CJ306" s="266"/>
      <c r="CK306" s="266"/>
      <c r="CL306" s="266"/>
      <c r="CM306" s="266"/>
      <c r="CN306" s="266"/>
      <c r="CO306" s="266"/>
      <c r="CP306" s="266"/>
      <c r="CQ306" s="266"/>
      <c r="CR306" s="266"/>
      <c r="CS306" s="266"/>
      <c r="CT306" s="267"/>
      <c r="CU306" s="267"/>
      <c r="CV306" s="267"/>
      <c r="CW306" s="267"/>
      <c r="CX306" s="267"/>
      <c r="CY306" s="267"/>
      <c r="CZ306" s="267"/>
      <c r="DA306" s="267"/>
      <c r="DB306" s="267"/>
      <c r="DC306" s="267"/>
      <c r="DD306" s="267"/>
      <c r="DE306" s="267"/>
      <c r="DF306" s="267"/>
      <c r="DG306" s="267"/>
      <c r="DH306" s="267"/>
      <c r="DI306" s="267"/>
      <c r="DJ306" s="268"/>
      <c r="DK306" s="268"/>
      <c r="DL306" s="268"/>
      <c r="DM306" s="268"/>
      <c r="DN306" s="268"/>
      <c r="DO306" s="268"/>
      <c r="DP306" s="268"/>
      <c r="DQ306" s="268"/>
      <c r="DR306" s="268"/>
      <c r="DS306" s="268"/>
      <c r="DT306" s="268"/>
      <c r="DU306" s="268"/>
      <c r="DV306" s="268"/>
      <c r="DW306" s="268"/>
      <c r="DX306" s="268"/>
      <c r="DY306" s="268"/>
      <c r="EA306" s="13"/>
      <c r="EB306" s="96"/>
      <c r="EC306" s="96"/>
      <c r="ED306" s="96"/>
      <c r="EE306" s="96"/>
      <c r="EF306" s="96"/>
      <c r="EG306" s="96"/>
      <c r="EH306" s="96"/>
      <c r="EI306" s="96"/>
      <c r="EJ306" s="96"/>
      <c r="EK306" s="96"/>
      <c r="EL306" s="96"/>
      <c r="EM306" s="96"/>
      <c r="EN306" s="96"/>
      <c r="EO306" s="96"/>
      <c r="EP306" s="96"/>
      <c r="EQ306" s="96"/>
      <c r="ER306" s="96"/>
      <c r="ES306" s="96"/>
      <c r="ET306" s="96"/>
      <c r="EU306" s="96"/>
      <c r="EV306" s="96"/>
      <c r="EW306" s="96"/>
      <c r="EX306" s="96"/>
      <c r="EY306" s="96"/>
      <c r="EZ306" s="96"/>
      <c r="FA306" s="96"/>
      <c r="FB306" s="96"/>
      <c r="FC306" s="96"/>
      <c r="FD306" s="96"/>
      <c r="FE306" s="96"/>
      <c r="FF306" s="96"/>
      <c r="FG306" s="96"/>
      <c r="FH306" s="96"/>
      <c r="FI306" s="96"/>
      <c r="FJ306" s="96"/>
      <c r="FK306" s="96"/>
      <c r="FL306" s="96"/>
      <c r="FM306" s="96"/>
      <c r="FN306" s="96"/>
      <c r="FO306" s="96"/>
      <c r="FP306" s="96"/>
      <c r="FQ306" s="96"/>
      <c r="FR306" s="96"/>
      <c r="FS306" s="96"/>
      <c r="FT306" s="96"/>
      <c r="FU306" s="96"/>
      <c r="FV306" s="96"/>
      <c r="FW306" s="96"/>
      <c r="FX306" s="96"/>
      <c r="FY306" s="96"/>
      <c r="FZ306" s="96"/>
      <c r="GA306" s="96"/>
      <c r="GB306" s="96"/>
      <c r="GC306" s="96"/>
      <c r="GD306" s="96"/>
      <c r="GE306" s="96"/>
      <c r="GF306" s="96"/>
      <c r="GG306" s="96"/>
      <c r="GH306" s="96"/>
      <c r="GI306" s="96"/>
      <c r="GJ306" s="96"/>
      <c r="GK306" s="96"/>
      <c r="GL306" s="96"/>
      <c r="GM306" s="13"/>
      <c r="GN306" s="96"/>
      <c r="GO306" s="96"/>
      <c r="GP306" s="96"/>
      <c r="GQ306" s="96"/>
      <c r="GR306" s="96"/>
      <c r="GS306" s="96"/>
      <c r="GT306" s="96"/>
      <c r="GU306" s="96"/>
      <c r="GV306" s="96"/>
      <c r="GW306" s="96"/>
      <c r="GX306" s="96"/>
      <c r="GY306" s="96"/>
      <c r="GZ306" s="96"/>
      <c r="HA306" s="96"/>
      <c r="HB306" s="96"/>
      <c r="HC306" s="13"/>
      <c r="HD306" s="96"/>
      <c r="HE306" s="96"/>
      <c r="HF306" s="96"/>
      <c r="HG306" s="96"/>
      <c r="HH306" s="96"/>
      <c r="HI306" s="96"/>
      <c r="HJ306" s="96"/>
      <c r="HK306" s="96"/>
      <c r="HL306" s="96"/>
      <c r="HM306" s="96"/>
      <c r="HN306" s="96"/>
      <c r="HO306" s="96"/>
      <c r="HP306" s="96"/>
      <c r="HQ306" s="96"/>
      <c r="HR306" s="96"/>
      <c r="HS306" s="13"/>
      <c r="HT306" s="96"/>
      <c r="HU306" s="96"/>
      <c r="HV306" s="96"/>
      <c r="HW306" s="96"/>
      <c r="HX306" s="96"/>
      <c r="HY306" s="96"/>
      <c r="HZ306" s="96"/>
      <c r="IA306" s="96"/>
      <c r="IB306" s="96"/>
      <c r="IC306" s="96"/>
      <c r="ID306" s="96"/>
      <c r="IE306" s="96"/>
      <c r="IF306" s="96"/>
      <c r="IG306" s="96"/>
      <c r="IH306" s="96"/>
      <c r="II306" s="13"/>
      <c r="IJ306" s="96"/>
      <c r="IK306" s="96"/>
      <c r="IL306" s="96"/>
      <c r="IM306" s="96"/>
      <c r="IN306" s="96"/>
      <c r="IO306" s="96"/>
      <c r="IP306" s="96"/>
      <c r="IQ306" s="96"/>
      <c r="IR306" s="96"/>
      <c r="IS306" s="96"/>
      <c r="IT306" s="96"/>
      <c r="IU306" s="96"/>
      <c r="IV306" s="96"/>
      <c r="IW306" s="96"/>
      <c r="IX306" s="96"/>
      <c r="IY306" s="13"/>
    </row>
    <row r="307" spans="1:259" outlineLevel="1">
      <c r="A307" s="11">
        <f>'VAC &amp; MED'!C308</f>
        <v>46284</v>
      </c>
      <c r="B307" s="261"/>
      <c r="C307" s="261"/>
      <c r="D307" s="261"/>
      <c r="E307" s="261"/>
      <c r="F307" s="261"/>
      <c r="G307" s="261"/>
      <c r="H307" s="261"/>
      <c r="I307" s="261"/>
      <c r="J307" s="261"/>
      <c r="K307" s="261"/>
      <c r="L307" s="261"/>
      <c r="M307" s="261"/>
      <c r="N307" s="261"/>
      <c r="O307" s="261"/>
      <c r="P307" s="261"/>
      <c r="Q307" s="261"/>
      <c r="R307" s="262"/>
      <c r="S307" s="262"/>
      <c r="T307" s="262"/>
      <c r="U307" s="262"/>
      <c r="V307" s="262"/>
      <c r="W307" s="262"/>
      <c r="X307" s="262"/>
      <c r="Y307" s="262"/>
      <c r="Z307" s="262"/>
      <c r="AA307" s="262"/>
      <c r="AB307" s="262"/>
      <c r="AC307" s="262"/>
      <c r="AD307" s="262"/>
      <c r="AE307" s="262"/>
      <c r="AF307" s="262"/>
      <c r="AG307" s="262"/>
      <c r="AH307" s="263"/>
      <c r="AI307" s="263"/>
      <c r="AJ307" s="263"/>
      <c r="AK307" s="263"/>
      <c r="AL307" s="263"/>
      <c r="AM307" s="263"/>
      <c r="AN307" s="263"/>
      <c r="AO307" s="263"/>
      <c r="AP307" s="263"/>
      <c r="AQ307" s="263"/>
      <c r="AR307" s="263"/>
      <c r="AS307" s="263"/>
      <c r="AT307" s="263"/>
      <c r="AU307" s="263"/>
      <c r="AV307" s="263"/>
      <c r="AW307" s="263"/>
      <c r="AX307" s="264"/>
      <c r="AY307" s="264"/>
      <c r="AZ307" s="264"/>
      <c r="BA307" s="264"/>
      <c r="BB307" s="264"/>
      <c r="BC307" s="264"/>
      <c r="BD307" s="264"/>
      <c r="BE307" s="264"/>
      <c r="BF307" s="264"/>
      <c r="BG307" s="264"/>
      <c r="BH307" s="264"/>
      <c r="BI307" s="264"/>
      <c r="BJ307" s="264"/>
      <c r="BK307" s="264"/>
      <c r="BL307" s="264"/>
      <c r="BM307" s="264"/>
      <c r="BN307" s="265"/>
      <c r="BO307" s="265"/>
      <c r="BP307" s="265"/>
      <c r="BQ307" s="265"/>
      <c r="BR307" s="265"/>
      <c r="BS307" s="265"/>
      <c r="BT307" s="265"/>
      <c r="BU307" s="265"/>
      <c r="BV307" s="265"/>
      <c r="BW307" s="265"/>
      <c r="BX307" s="265"/>
      <c r="BY307" s="265"/>
      <c r="BZ307" s="265"/>
      <c r="CA307" s="265"/>
      <c r="CB307" s="265"/>
      <c r="CC307" s="265"/>
      <c r="CD307" s="266"/>
      <c r="CE307" s="266"/>
      <c r="CF307" s="266"/>
      <c r="CG307" s="266"/>
      <c r="CH307" s="266"/>
      <c r="CI307" s="266"/>
      <c r="CJ307" s="266"/>
      <c r="CK307" s="266"/>
      <c r="CL307" s="266"/>
      <c r="CM307" s="266"/>
      <c r="CN307" s="266"/>
      <c r="CO307" s="266"/>
      <c r="CP307" s="266"/>
      <c r="CQ307" s="266"/>
      <c r="CR307" s="266"/>
      <c r="CS307" s="266"/>
      <c r="CT307" s="267"/>
      <c r="CU307" s="267"/>
      <c r="CV307" s="267"/>
      <c r="CW307" s="267"/>
      <c r="CX307" s="267"/>
      <c r="CY307" s="267"/>
      <c r="CZ307" s="267"/>
      <c r="DA307" s="267"/>
      <c r="DB307" s="267"/>
      <c r="DC307" s="267"/>
      <c r="DD307" s="267"/>
      <c r="DE307" s="267"/>
      <c r="DF307" s="267"/>
      <c r="DG307" s="267"/>
      <c r="DH307" s="267"/>
      <c r="DI307" s="267"/>
      <c r="DJ307" s="268"/>
      <c r="DK307" s="268"/>
      <c r="DL307" s="268"/>
      <c r="DM307" s="268"/>
      <c r="DN307" s="268"/>
      <c r="DO307" s="268"/>
      <c r="DP307" s="268"/>
      <c r="DQ307" s="268"/>
      <c r="DR307" s="268"/>
      <c r="DS307" s="268"/>
      <c r="DT307" s="268"/>
      <c r="DU307" s="268"/>
      <c r="DV307" s="268"/>
      <c r="DW307" s="268"/>
      <c r="DX307" s="268"/>
      <c r="DY307" s="268"/>
      <c r="EA307" s="13"/>
      <c r="EB307" s="96"/>
      <c r="EC307" s="96"/>
      <c r="ED307" s="96"/>
      <c r="EE307" s="96"/>
      <c r="EF307" s="96"/>
      <c r="EG307" s="96"/>
      <c r="EH307" s="96"/>
      <c r="EI307" s="96"/>
      <c r="EJ307" s="96"/>
      <c r="EK307" s="96"/>
      <c r="EL307" s="96"/>
      <c r="EM307" s="96"/>
      <c r="EN307" s="96"/>
      <c r="EO307" s="96"/>
      <c r="EP307" s="96"/>
      <c r="EQ307" s="96"/>
      <c r="ER307" s="96"/>
      <c r="ES307" s="96"/>
      <c r="ET307" s="96"/>
      <c r="EU307" s="96"/>
      <c r="EV307" s="96"/>
      <c r="EW307" s="96"/>
      <c r="EX307" s="96"/>
      <c r="EY307" s="96"/>
      <c r="EZ307" s="96"/>
      <c r="FA307" s="96"/>
      <c r="FB307" s="96"/>
      <c r="FC307" s="96"/>
      <c r="FD307" s="96"/>
      <c r="FE307" s="96"/>
      <c r="FF307" s="96"/>
      <c r="FG307" s="96"/>
      <c r="FH307" s="96"/>
      <c r="FI307" s="96"/>
      <c r="FJ307" s="96"/>
      <c r="FK307" s="96"/>
      <c r="FL307" s="96"/>
      <c r="FM307" s="96"/>
      <c r="FN307" s="96"/>
      <c r="FO307" s="96"/>
      <c r="FP307" s="96"/>
      <c r="FQ307" s="96"/>
      <c r="FR307" s="96"/>
      <c r="FS307" s="96"/>
      <c r="FT307" s="96"/>
      <c r="FU307" s="96"/>
      <c r="FV307" s="96"/>
      <c r="FW307" s="96"/>
      <c r="FX307" s="96"/>
      <c r="FY307" s="96"/>
      <c r="FZ307" s="96"/>
      <c r="GA307" s="96"/>
      <c r="GB307" s="96"/>
      <c r="GC307" s="96"/>
      <c r="GD307" s="96"/>
      <c r="GE307" s="96"/>
      <c r="GF307" s="96"/>
      <c r="GG307" s="96"/>
      <c r="GH307" s="96"/>
      <c r="GI307" s="96"/>
      <c r="GJ307" s="96"/>
      <c r="GK307" s="96"/>
      <c r="GL307" s="96"/>
      <c r="GM307" s="13"/>
      <c r="GN307" s="96"/>
      <c r="GO307" s="96"/>
      <c r="GP307" s="96"/>
      <c r="GQ307" s="96"/>
      <c r="GR307" s="96"/>
      <c r="GS307" s="96"/>
      <c r="GT307" s="96"/>
      <c r="GU307" s="96"/>
      <c r="GV307" s="96"/>
      <c r="GW307" s="96"/>
      <c r="GX307" s="96"/>
      <c r="GY307" s="96"/>
      <c r="GZ307" s="96"/>
      <c r="HA307" s="96"/>
      <c r="HB307" s="96"/>
      <c r="HC307" s="13"/>
      <c r="HD307" s="96"/>
      <c r="HE307" s="96"/>
      <c r="HF307" s="96"/>
      <c r="HG307" s="96"/>
      <c r="HH307" s="96"/>
      <c r="HI307" s="96"/>
      <c r="HJ307" s="96"/>
      <c r="HK307" s="96"/>
      <c r="HL307" s="96"/>
      <c r="HM307" s="96"/>
      <c r="HN307" s="96"/>
      <c r="HO307" s="96"/>
      <c r="HP307" s="96"/>
      <c r="HQ307" s="96"/>
      <c r="HR307" s="96"/>
      <c r="HS307" s="13"/>
      <c r="HT307" s="96"/>
      <c r="HU307" s="96"/>
      <c r="HV307" s="96"/>
      <c r="HW307" s="96"/>
      <c r="HX307" s="96"/>
      <c r="HY307" s="96"/>
      <c r="HZ307" s="96"/>
      <c r="IA307" s="96"/>
      <c r="IB307" s="96"/>
      <c r="IC307" s="96"/>
      <c r="ID307" s="96"/>
      <c r="IE307" s="96"/>
      <c r="IF307" s="96"/>
      <c r="IG307" s="96"/>
      <c r="IH307" s="96"/>
      <c r="II307" s="13"/>
      <c r="IJ307" s="96"/>
      <c r="IK307" s="96"/>
      <c r="IL307" s="96"/>
      <c r="IM307" s="96"/>
      <c r="IN307" s="96"/>
      <c r="IO307" s="96"/>
      <c r="IP307" s="96"/>
      <c r="IQ307" s="96"/>
      <c r="IR307" s="96"/>
      <c r="IS307" s="96"/>
      <c r="IT307" s="96"/>
      <c r="IU307" s="96"/>
      <c r="IV307" s="96"/>
      <c r="IW307" s="96"/>
      <c r="IX307" s="96"/>
      <c r="IY307" s="13"/>
    </row>
    <row r="308" spans="1:259" outlineLevel="1">
      <c r="A308" s="11">
        <f>'VAC &amp; MED'!C309</f>
        <v>46285</v>
      </c>
      <c r="B308" s="261"/>
      <c r="C308" s="261"/>
      <c r="D308" s="261"/>
      <c r="E308" s="261"/>
      <c r="F308" s="261"/>
      <c r="G308" s="261"/>
      <c r="H308" s="261"/>
      <c r="I308" s="261"/>
      <c r="J308" s="261"/>
      <c r="K308" s="261"/>
      <c r="L308" s="261"/>
      <c r="M308" s="261"/>
      <c r="N308" s="261"/>
      <c r="O308" s="261"/>
      <c r="P308" s="261"/>
      <c r="Q308" s="261"/>
      <c r="R308" s="262"/>
      <c r="S308" s="262"/>
      <c r="T308" s="262"/>
      <c r="U308" s="262"/>
      <c r="V308" s="262"/>
      <c r="W308" s="262"/>
      <c r="X308" s="262"/>
      <c r="Y308" s="262"/>
      <c r="Z308" s="262"/>
      <c r="AA308" s="262"/>
      <c r="AB308" s="262"/>
      <c r="AC308" s="262"/>
      <c r="AD308" s="262"/>
      <c r="AE308" s="262"/>
      <c r="AF308" s="262"/>
      <c r="AG308" s="262"/>
      <c r="AH308" s="263"/>
      <c r="AI308" s="263"/>
      <c r="AJ308" s="263"/>
      <c r="AK308" s="263"/>
      <c r="AL308" s="263"/>
      <c r="AM308" s="263"/>
      <c r="AN308" s="263"/>
      <c r="AO308" s="263"/>
      <c r="AP308" s="263"/>
      <c r="AQ308" s="263"/>
      <c r="AR308" s="263"/>
      <c r="AS308" s="263"/>
      <c r="AT308" s="263"/>
      <c r="AU308" s="263"/>
      <c r="AV308" s="263"/>
      <c r="AW308" s="263"/>
      <c r="AX308" s="264"/>
      <c r="AY308" s="264"/>
      <c r="AZ308" s="264"/>
      <c r="BA308" s="264"/>
      <c r="BB308" s="264"/>
      <c r="BC308" s="264"/>
      <c r="BD308" s="264"/>
      <c r="BE308" s="264"/>
      <c r="BF308" s="264"/>
      <c r="BG308" s="264"/>
      <c r="BH308" s="264"/>
      <c r="BI308" s="264"/>
      <c r="BJ308" s="264"/>
      <c r="BK308" s="264"/>
      <c r="BL308" s="264"/>
      <c r="BM308" s="264"/>
      <c r="BN308" s="265"/>
      <c r="BO308" s="265"/>
      <c r="BP308" s="265"/>
      <c r="BQ308" s="265"/>
      <c r="BR308" s="265"/>
      <c r="BS308" s="265"/>
      <c r="BT308" s="265"/>
      <c r="BU308" s="265"/>
      <c r="BV308" s="265"/>
      <c r="BW308" s="265"/>
      <c r="BX308" s="265"/>
      <c r="BY308" s="265"/>
      <c r="BZ308" s="265"/>
      <c r="CA308" s="265"/>
      <c r="CB308" s="265"/>
      <c r="CC308" s="265"/>
      <c r="CD308" s="266"/>
      <c r="CE308" s="266"/>
      <c r="CF308" s="266"/>
      <c r="CG308" s="266"/>
      <c r="CH308" s="266"/>
      <c r="CI308" s="266"/>
      <c r="CJ308" s="266"/>
      <c r="CK308" s="266"/>
      <c r="CL308" s="266"/>
      <c r="CM308" s="266"/>
      <c r="CN308" s="266"/>
      <c r="CO308" s="266"/>
      <c r="CP308" s="266"/>
      <c r="CQ308" s="266"/>
      <c r="CR308" s="266"/>
      <c r="CS308" s="266"/>
      <c r="CT308" s="267"/>
      <c r="CU308" s="267"/>
      <c r="CV308" s="267"/>
      <c r="CW308" s="267"/>
      <c r="CX308" s="267"/>
      <c r="CY308" s="267"/>
      <c r="CZ308" s="267"/>
      <c r="DA308" s="267"/>
      <c r="DB308" s="267"/>
      <c r="DC308" s="267"/>
      <c r="DD308" s="267"/>
      <c r="DE308" s="267"/>
      <c r="DF308" s="267"/>
      <c r="DG308" s="267"/>
      <c r="DH308" s="267"/>
      <c r="DI308" s="267"/>
      <c r="DJ308" s="268"/>
      <c r="DK308" s="268"/>
      <c r="DL308" s="268"/>
      <c r="DM308" s="268"/>
      <c r="DN308" s="268"/>
      <c r="DO308" s="268"/>
      <c r="DP308" s="268"/>
      <c r="DQ308" s="268"/>
      <c r="DR308" s="268"/>
      <c r="DS308" s="268"/>
      <c r="DT308" s="268"/>
      <c r="DU308" s="268"/>
      <c r="DV308" s="268"/>
      <c r="DW308" s="268"/>
      <c r="DX308" s="268"/>
      <c r="DY308" s="268"/>
      <c r="EA308" s="13"/>
      <c r="EB308" s="96"/>
      <c r="EC308" s="96"/>
      <c r="ED308" s="96"/>
      <c r="EE308" s="96"/>
      <c r="EF308" s="96"/>
      <c r="EG308" s="96"/>
      <c r="EH308" s="96"/>
      <c r="EI308" s="96"/>
      <c r="EJ308" s="96"/>
      <c r="EK308" s="96"/>
      <c r="EL308" s="96"/>
      <c r="EM308" s="96"/>
      <c r="EN308" s="96"/>
      <c r="EO308" s="96"/>
      <c r="EP308" s="96"/>
      <c r="EQ308" s="96"/>
      <c r="ER308" s="96"/>
      <c r="ES308" s="96"/>
      <c r="ET308" s="96"/>
      <c r="EU308" s="96"/>
      <c r="EV308" s="96"/>
      <c r="EW308" s="96"/>
      <c r="EX308" s="96"/>
      <c r="EY308" s="96"/>
      <c r="EZ308" s="96"/>
      <c r="FA308" s="96"/>
      <c r="FB308" s="96"/>
      <c r="FC308" s="96"/>
      <c r="FD308" s="96"/>
      <c r="FE308" s="96"/>
      <c r="FF308" s="96"/>
      <c r="FG308" s="96"/>
      <c r="FH308" s="96"/>
      <c r="FI308" s="96"/>
      <c r="FJ308" s="96"/>
      <c r="FK308" s="96"/>
      <c r="FL308" s="96"/>
      <c r="FM308" s="96"/>
      <c r="FN308" s="96"/>
      <c r="FO308" s="96"/>
      <c r="FP308" s="96"/>
      <c r="FQ308" s="96"/>
      <c r="FR308" s="96"/>
      <c r="FS308" s="96"/>
      <c r="FT308" s="96"/>
      <c r="FU308" s="96"/>
      <c r="FV308" s="96"/>
      <c r="FW308" s="96"/>
      <c r="FX308" s="96"/>
      <c r="FY308" s="96"/>
      <c r="FZ308" s="96"/>
      <c r="GA308" s="96"/>
      <c r="GB308" s="96"/>
      <c r="GC308" s="96"/>
      <c r="GD308" s="96"/>
      <c r="GE308" s="96"/>
      <c r="GF308" s="96"/>
      <c r="GG308" s="96"/>
      <c r="GH308" s="96"/>
      <c r="GI308" s="96"/>
      <c r="GJ308" s="96"/>
      <c r="GK308" s="96"/>
      <c r="GL308" s="96"/>
      <c r="GM308" s="13"/>
      <c r="GN308" s="96"/>
      <c r="GO308" s="96"/>
      <c r="GP308" s="96"/>
      <c r="GQ308" s="96"/>
      <c r="GR308" s="96"/>
      <c r="GS308" s="96"/>
      <c r="GT308" s="96"/>
      <c r="GU308" s="96"/>
      <c r="GV308" s="96"/>
      <c r="GW308" s="96"/>
      <c r="GX308" s="96"/>
      <c r="GY308" s="96"/>
      <c r="GZ308" s="96"/>
      <c r="HA308" s="96"/>
      <c r="HB308" s="96"/>
      <c r="HC308" s="13"/>
      <c r="HD308" s="96"/>
      <c r="HE308" s="96"/>
      <c r="HF308" s="96"/>
      <c r="HG308" s="96"/>
      <c r="HH308" s="96"/>
      <c r="HI308" s="96"/>
      <c r="HJ308" s="96"/>
      <c r="HK308" s="96"/>
      <c r="HL308" s="96"/>
      <c r="HM308" s="96"/>
      <c r="HN308" s="96"/>
      <c r="HO308" s="96"/>
      <c r="HP308" s="96"/>
      <c r="HQ308" s="96"/>
      <c r="HR308" s="96"/>
      <c r="HS308" s="13"/>
      <c r="HT308" s="96"/>
      <c r="HU308" s="96"/>
      <c r="HV308" s="96"/>
      <c r="HW308" s="96"/>
      <c r="HX308" s="96"/>
      <c r="HY308" s="96"/>
      <c r="HZ308" s="96"/>
      <c r="IA308" s="96"/>
      <c r="IB308" s="96"/>
      <c r="IC308" s="96"/>
      <c r="ID308" s="96"/>
      <c r="IE308" s="96"/>
      <c r="IF308" s="96"/>
      <c r="IG308" s="96"/>
      <c r="IH308" s="96"/>
      <c r="II308" s="13"/>
      <c r="IJ308" s="96"/>
      <c r="IK308" s="96"/>
      <c r="IL308" s="96"/>
      <c r="IM308" s="96"/>
      <c r="IN308" s="96"/>
      <c r="IO308" s="96"/>
      <c r="IP308" s="96"/>
      <c r="IQ308" s="96"/>
      <c r="IR308" s="96"/>
      <c r="IS308" s="96"/>
      <c r="IT308" s="96"/>
      <c r="IU308" s="96"/>
      <c r="IV308" s="96"/>
      <c r="IW308" s="96"/>
      <c r="IX308" s="96"/>
      <c r="IY308" s="13"/>
    </row>
    <row r="309" spans="1:259" outlineLevel="1">
      <c r="A309" s="11">
        <f>'VAC &amp; MED'!C310</f>
        <v>46286</v>
      </c>
      <c r="B309" s="261"/>
      <c r="C309" s="261"/>
      <c r="D309" s="261"/>
      <c r="E309" s="261"/>
      <c r="F309" s="261"/>
      <c r="G309" s="261"/>
      <c r="H309" s="261"/>
      <c r="I309" s="261"/>
      <c r="J309" s="261"/>
      <c r="K309" s="261"/>
      <c r="L309" s="261"/>
      <c r="M309" s="261"/>
      <c r="N309" s="261"/>
      <c r="O309" s="261"/>
      <c r="P309" s="261"/>
      <c r="Q309" s="261"/>
      <c r="R309" s="262"/>
      <c r="S309" s="262"/>
      <c r="T309" s="262"/>
      <c r="U309" s="262"/>
      <c r="V309" s="262"/>
      <c r="W309" s="262"/>
      <c r="X309" s="262"/>
      <c r="Y309" s="262"/>
      <c r="Z309" s="262"/>
      <c r="AA309" s="262"/>
      <c r="AB309" s="262"/>
      <c r="AC309" s="262"/>
      <c r="AD309" s="262"/>
      <c r="AE309" s="262"/>
      <c r="AF309" s="262"/>
      <c r="AG309" s="262"/>
      <c r="AH309" s="263"/>
      <c r="AI309" s="263"/>
      <c r="AJ309" s="263"/>
      <c r="AK309" s="263"/>
      <c r="AL309" s="263"/>
      <c r="AM309" s="263"/>
      <c r="AN309" s="263"/>
      <c r="AO309" s="263"/>
      <c r="AP309" s="263"/>
      <c r="AQ309" s="263"/>
      <c r="AR309" s="263"/>
      <c r="AS309" s="263"/>
      <c r="AT309" s="263"/>
      <c r="AU309" s="263"/>
      <c r="AV309" s="263"/>
      <c r="AW309" s="263"/>
      <c r="AX309" s="264"/>
      <c r="AY309" s="264"/>
      <c r="AZ309" s="264"/>
      <c r="BA309" s="264"/>
      <c r="BB309" s="264"/>
      <c r="BC309" s="264"/>
      <c r="BD309" s="264"/>
      <c r="BE309" s="264"/>
      <c r="BF309" s="264"/>
      <c r="BG309" s="264"/>
      <c r="BH309" s="264"/>
      <c r="BI309" s="264"/>
      <c r="BJ309" s="264"/>
      <c r="BK309" s="264"/>
      <c r="BL309" s="264"/>
      <c r="BM309" s="264"/>
      <c r="BN309" s="265"/>
      <c r="BO309" s="265"/>
      <c r="BP309" s="265"/>
      <c r="BQ309" s="265"/>
      <c r="BR309" s="265"/>
      <c r="BS309" s="265"/>
      <c r="BT309" s="265"/>
      <c r="BU309" s="265"/>
      <c r="BV309" s="265"/>
      <c r="BW309" s="265"/>
      <c r="BX309" s="265"/>
      <c r="BY309" s="265"/>
      <c r="BZ309" s="265"/>
      <c r="CA309" s="265"/>
      <c r="CB309" s="265"/>
      <c r="CC309" s="265"/>
      <c r="CD309" s="266"/>
      <c r="CE309" s="266"/>
      <c r="CF309" s="266"/>
      <c r="CG309" s="266"/>
      <c r="CH309" s="266"/>
      <c r="CI309" s="266"/>
      <c r="CJ309" s="266"/>
      <c r="CK309" s="266"/>
      <c r="CL309" s="266"/>
      <c r="CM309" s="266"/>
      <c r="CN309" s="266"/>
      <c r="CO309" s="266"/>
      <c r="CP309" s="266"/>
      <c r="CQ309" s="266"/>
      <c r="CR309" s="266"/>
      <c r="CS309" s="266"/>
      <c r="CT309" s="267"/>
      <c r="CU309" s="267"/>
      <c r="CV309" s="267"/>
      <c r="CW309" s="267"/>
      <c r="CX309" s="267"/>
      <c r="CY309" s="267"/>
      <c r="CZ309" s="267"/>
      <c r="DA309" s="267"/>
      <c r="DB309" s="267"/>
      <c r="DC309" s="267"/>
      <c r="DD309" s="267"/>
      <c r="DE309" s="267"/>
      <c r="DF309" s="267"/>
      <c r="DG309" s="267"/>
      <c r="DH309" s="267"/>
      <c r="DI309" s="267"/>
      <c r="DJ309" s="268"/>
      <c r="DK309" s="268"/>
      <c r="DL309" s="268"/>
      <c r="DM309" s="268"/>
      <c r="DN309" s="268"/>
      <c r="DO309" s="268"/>
      <c r="DP309" s="268"/>
      <c r="DQ309" s="268"/>
      <c r="DR309" s="268"/>
      <c r="DS309" s="268"/>
      <c r="DT309" s="268"/>
      <c r="DU309" s="268"/>
      <c r="DV309" s="268"/>
      <c r="DW309" s="268"/>
      <c r="DX309" s="268"/>
      <c r="DY309" s="268"/>
      <c r="EA309" s="13"/>
      <c r="EB309" s="96"/>
      <c r="EC309" s="96"/>
      <c r="ED309" s="96"/>
      <c r="EE309" s="96"/>
      <c r="EF309" s="96"/>
      <c r="EG309" s="96"/>
      <c r="EH309" s="96"/>
      <c r="EI309" s="96"/>
      <c r="EJ309" s="96"/>
      <c r="EK309" s="96"/>
      <c r="EL309" s="96"/>
      <c r="EM309" s="96"/>
      <c r="EN309" s="96"/>
      <c r="EO309" s="96"/>
      <c r="EP309" s="96"/>
      <c r="EQ309" s="96"/>
      <c r="ER309" s="96"/>
      <c r="ES309" s="96"/>
      <c r="ET309" s="96"/>
      <c r="EU309" s="96"/>
      <c r="EV309" s="96"/>
      <c r="EW309" s="96"/>
      <c r="EX309" s="96"/>
      <c r="EY309" s="96"/>
      <c r="EZ309" s="96"/>
      <c r="FA309" s="96"/>
      <c r="FB309" s="96"/>
      <c r="FC309" s="96"/>
      <c r="FD309" s="96"/>
      <c r="FE309" s="96"/>
      <c r="FF309" s="96"/>
      <c r="FG309" s="96"/>
      <c r="FH309" s="96"/>
      <c r="FI309" s="96"/>
      <c r="FJ309" s="96"/>
      <c r="FK309" s="96"/>
      <c r="FL309" s="96"/>
      <c r="FM309" s="96"/>
      <c r="FN309" s="96"/>
      <c r="FO309" s="96"/>
      <c r="FP309" s="96"/>
      <c r="FQ309" s="96"/>
      <c r="FR309" s="96"/>
      <c r="FS309" s="96"/>
      <c r="FT309" s="96"/>
      <c r="FU309" s="96"/>
      <c r="FV309" s="96"/>
      <c r="FW309" s="96"/>
      <c r="FX309" s="96"/>
      <c r="FY309" s="96"/>
      <c r="FZ309" s="96"/>
      <c r="GA309" s="96"/>
      <c r="GB309" s="96"/>
      <c r="GC309" s="96"/>
      <c r="GD309" s="96"/>
      <c r="GE309" s="96"/>
      <c r="GF309" s="96"/>
      <c r="GG309" s="96"/>
      <c r="GH309" s="96"/>
      <c r="GI309" s="96"/>
      <c r="GJ309" s="96"/>
      <c r="GK309" s="96"/>
      <c r="GL309" s="96"/>
      <c r="GM309" s="13"/>
      <c r="GN309" s="96"/>
      <c r="GO309" s="96"/>
      <c r="GP309" s="96"/>
      <c r="GQ309" s="96"/>
      <c r="GR309" s="96"/>
      <c r="GS309" s="96"/>
      <c r="GT309" s="96"/>
      <c r="GU309" s="96"/>
      <c r="GV309" s="96"/>
      <c r="GW309" s="96"/>
      <c r="GX309" s="96"/>
      <c r="GY309" s="96"/>
      <c r="GZ309" s="96"/>
      <c r="HA309" s="96"/>
      <c r="HB309" s="96"/>
      <c r="HC309" s="13"/>
      <c r="HD309" s="96"/>
      <c r="HE309" s="96"/>
      <c r="HF309" s="96"/>
      <c r="HG309" s="96"/>
      <c r="HH309" s="96"/>
      <c r="HI309" s="96"/>
      <c r="HJ309" s="96"/>
      <c r="HK309" s="96"/>
      <c r="HL309" s="96"/>
      <c r="HM309" s="96"/>
      <c r="HN309" s="96"/>
      <c r="HO309" s="96"/>
      <c r="HP309" s="96"/>
      <c r="HQ309" s="96"/>
      <c r="HR309" s="96"/>
      <c r="HS309" s="13"/>
      <c r="HT309" s="96"/>
      <c r="HU309" s="96"/>
      <c r="HV309" s="96"/>
      <c r="HW309" s="96"/>
      <c r="HX309" s="96"/>
      <c r="HY309" s="96"/>
      <c r="HZ309" s="96"/>
      <c r="IA309" s="96"/>
      <c r="IB309" s="96"/>
      <c r="IC309" s="96"/>
      <c r="ID309" s="96"/>
      <c r="IE309" s="96"/>
      <c r="IF309" s="96"/>
      <c r="IG309" s="96"/>
      <c r="IH309" s="96"/>
      <c r="II309" s="13"/>
      <c r="IJ309" s="96"/>
      <c r="IK309" s="96"/>
      <c r="IL309" s="96"/>
      <c r="IM309" s="96"/>
      <c r="IN309" s="96"/>
      <c r="IO309" s="96"/>
      <c r="IP309" s="96"/>
      <c r="IQ309" s="96"/>
      <c r="IR309" s="96"/>
      <c r="IS309" s="96"/>
      <c r="IT309" s="96"/>
      <c r="IU309" s="96"/>
      <c r="IV309" s="96"/>
      <c r="IW309" s="96"/>
      <c r="IX309" s="96"/>
      <c r="IY309" s="13"/>
    </row>
    <row r="310" spans="1:259" outlineLevel="1">
      <c r="A310" s="11">
        <f>'VAC &amp; MED'!C311</f>
        <v>46287</v>
      </c>
      <c r="B310" s="261"/>
      <c r="C310" s="261"/>
      <c r="D310" s="261"/>
      <c r="E310" s="261"/>
      <c r="F310" s="261"/>
      <c r="G310" s="261"/>
      <c r="H310" s="261"/>
      <c r="I310" s="261"/>
      <c r="J310" s="261"/>
      <c r="K310" s="261"/>
      <c r="L310" s="261"/>
      <c r="M310" s="261"/>
      <c r="N310" s="261"/>
      <c r="O310" s="261"/>
      <c r="P310" s="261"/>
      <c r="Q310" s="261"/>
      <c r="R310" s="262"/>
      <c r="S310" s="262"/>
      <c r="T310" s="262"/>
      <c r="U310" s="262"/>
      <c r="V310" s="262"/>
      <c r="W310" s="262"/>
      <c r="X310" s="262"/>
      <c r="Y310" s="262"/>
      <c r="Z310" s="262"/>
      <c r="AA310" s="262"/>
      <c r="AB310" s="262"/>
      <c r="AC310" s="262"/>
      <c r="AD310" s="262"/>
      <c r="AE310" s="262"/>
      <c r="AF310" s="262"/>
      <c r="AG310" s="262"/>
      <c r="AH310" s="263"/>
      <c r="AI310" s="263"/>
      <c r="AJ310" s="263"/>
      <c r="AK310" s="263"/>
      <c r="AL310" s="263"/>
      <c r="AM310" s="263"/>
      <c r="AN310" s="263"/>
      <c r="AO310" s="263"/>
      <c r="AP310" s="263"/>
      <c r="AQ310" s="263"/>
      <c r="AR310" s="263"/>
      <c r="AS310" s="263"/>
      <c r="AT310" s="263"/>
      <c r="AU310" s="263"/>
      <c r="AV310" s="263"/>
      <c r="AW310" s="263"/>
      <c r="AX310" s="264"/>
      <c r="AY310" s="264"/>
      <c r="AZ310" s="264"/>
      <c r="BA310" s="264"/>
      <c r="BB310" s="264"/>
      <c r="BC310" s="264"/>
      <c r="BD310" s="264"/>
      <c r="BE310" s="264"/>
      <c r="BF310" s="264"/>
      <c r="BG310" s="264"/>
      <c r="BH310" s="264"/>
      <c r="BI310" s="264"/>
      <c r="BJ310" s="264"/>
      <c r="BK310" s="264"/>
      <c r="BL310" s="264"/>
      <c r="BM310" s="264"/>
      <c r="BN310" s="265"/>
      <c r="BO310" s="265"/>
      <c r="BP310" s="265"/>
      <c r="BQ310" s="265"/>
      <c r="BR310" s="265"/>
      <c r="BS310" s="265"/>
      <c r="BT310" s="265"/>
      <c r="BU310" s="265"/>
      <c r="BV310" s="265"/>
      <c r="BW310" s="265"/>
      <c r="BX310" s="265"/>
      <c r="BY310" s="265"/>
      <c r="BZ310" s="265"/>
      <c r="CA310" s="265"/>
      <c r="CB310" s="265"/>
      <c r="CC310" s="265"/>
      <c r="CD310" s="266"/>
      <c r="CE310" s="266"/>
      <c r="CF310" s="266"/>
      <c r="CG310" s="266"/>
      <c r="CH310" s="266"/>
      <c r="CI310" s="266"/>
      <c r="CJ310" s="266"/>
      <c r="CK310" s="266"/>
      <c r="CL310" s="266"/>
      <c r="CM310" s="266"/>
      <c r="CN310" s="266"/>
      <c r="CO310" s="266"/>
      <c r="CP310" s="266"/>
      <c r="CQ310" s="266"/>
      <c r="CR310" s="266"/>
      <c r="CS310" s="266"/>
      <c r="CT310" s="267"/>
      <c r="CU310" s="267"/>
      <c r="CV310" s="267"/>
      <c r="CW310" s="267"/>
      <c r="CX310" s="267"/>
      <c r="CY310" s="267"/>
      <c r="CZ310" s="267"/>
      <c r="DA310" s="267"/>
      <c r="DB310" s="267"/>
      <c r="DC310" s="267"/>
      <c r="DD310" s="267"/>
      <c r="DE310" s="267"/>
      <c r="DF310" s="267"/>
      <c r="DG310" s="267"/>
      <c r="DH310" s="267"/>
      <c r="DI310" s="267"/>
      <c r="DJ310" s="268"/>
      <c r="DK310" s="268"/>
      <c r="DL310" s="268"/>
      <c r="DM310" s="268"/>
      <c r="DN310" s="268"/>
      <c r="DO310" s="268"/>
      <c r="DP310" s="268"/>
      <c r="DQ310" s="268"/>
      <c r="DR310" s="268"/>
      <c r="DS310" s="268"/>
      <c r="DT310" s="268"/>
      <c r="DU310" s="268"/>
      <c r="DV310" s="268"/>
      <c r="DW310" s="268"/>
      <c r="DX310" s="268"/>
      <c r="DY310" s="268"/>
      <c r="EA310" s="13"/>
      <c r="EB310" s="96"/>
      <c r="EC310" s="96"/>
      <c r="ED310" s="96"/>
      <c r="EE310" s="96"/>
      <c r="EF310" s="96"/>
      <c r="EG310" s="96"/>
      <c r="EH310" s="96"/>
      <c r="EI310" s="96"/>
      <c r="EJ310" s="96"/>
      <c r="EK310" s="96"/>
      <c r="EL310" s="96"/>
      <c r="EM310" s="96"/>
      <c r="EN310" s="96"/>
      <c r="EO310" s="96"/>
      <c r="EP310" s="96"/>
      <c r="EQ310" s="96"/>
      <c r="ER310" s="96"/>
      <c r="ES310" s="96"/>
      <c r="ET310" s="96"/>
      <c r="EU310" s="96"/>
      <c r="EV310" s="96"/>
      <c r="EW310" s="96"/>
      <c r="EX310" s="96"/>
      <c r="EY310" s="96"/>
      <c r="EZ310" s="96"/>
      <c r="FA310" s="96"/>
      <c r="FB310" s="96"/>
      <c r="FC310" s="96"/>
      <c r="FD310" s="96"/>
      <c r="FE310" s="96"/>
      <c r="FF310" s="96"/>
      <c r="FG310" s="96"/>
      <c r="FH310" s="96"/>
      <c r="FI310" s="96"/>
      <c r="FJ310" s="96"/>
      <c r="FK310" s="96"/>
      <c r="FL310" s="96"/>
      <c r="FM310" s="96"/>
      <c r="FN310" s="96"/>
      <c r="FO310" s="96"/>
      <c r="FP310" s="96"/>
      <c r="FQ310" s="96"/>
      <c r="FR310" s="96"/>
      <c r="FS310" s="96"/>
      <c r="FT310" s="96"/>
      <c r="FU310" s="96"/>
      <c r="FV310" s="96"/>
      <c r="FW310" s="96"/>
      <c r="FX310" s="96"/>
      <c r="FY310" s="96"/>
      <c r="FZ310" s="96"/>
      <c r="GA310" s="96"/>
      <c r="GB310" s="96"/>
      <c r="GC310" s="96"/>
      <c r="GD310" s="96"/>
      <c r="GE310" s="96"/>
      <c r="GF310" s="96"/>
      <c r="GG310" s="96"/>
      <c r="GH310" s="96"/>
      <c r="GI310" s="96"/>
      <c r="GJ310" s="96"/>
      <c r="GK310" s="96"/>
      <c r="GL310" s="96"/>
      <c r="GM310" s="13"/>
      <c r="GN310" s="96"/>
      <c r="GO310" s="96"/>
      <c r="GP310" s="96"/>
      <c r="GQ310" s="96"/>
      <c r="GR310" s="96"/>
      <c r="GS310" s="96"/>
      <c r="GT310" s="96"/>
      <c r="GU310" s="96"/>
      <c r="GV310" s="96"/>
      <c r="GW310" s="96"/>
      <c r="GX310" s="96"/>
      <c r="GY310" s="96"/>
      <c r="GZ310" s="96"/>
      <c r="HA310" s="96"/>
      <c r="HB310" s="96"/>
      <c r="HC310" s="13"/>
      <c r="HD310" s="96"/>
      <c r="HE310" s="96"/>
      <c r="HF310" s="96"/>
      <c r="HG310" s="96"/>
      <c r="HH310" s="96"/>
      <c r="HI310" s="96"/>
      <c r="HJ310" s="96"/>
      <c r="HK310" s="96"/>
      <c r="HL310" s="96"/>
      <c r="HM310" s="96"/>
      <c r="HN310" s="96"/>
      <c r="HO310" s="96"/>
      <c r="HP310" s="96"/>
      <c r="HQ310" s="96"/>
      <c r="HR310" s="96"/>
      <c r="HS310" s="13"/>
      <c r="HT310" s="96"/>
      <c r="HU310" s="96"/>
      <c r="HV310" s="96"/>
      <c r="HW310" s="96"/>
      <c r="HX310" s="96"/>
      <c r="HY310" s="96"/>
      <c r="HZ310" s="96"/>
      <c r="IA310" s="96"/>
      <c r="IB310" s="96"/>
      <c r="IC310" s="96"/>
      <c r="ID310" s="96"/>
      <c r="IE310" s="96"/>
      <c r="IF310" s="96"/>
      <c r="IG310" s="96"/>
      <c r="IH310" s="96"/>
      <c r="II310" s="13"/>
      <c r="IJ310" s="96"/>
      <c r="IK310" s="96"/>
      <c r="IL310" s="96"/>
      <c r="IM310" s="96"/>
      <c r="IN310" s="96"/>
      <c r="IO310" s="96"/>
      <c r="IP310" s="96"/>
      <c r="IQ310" s="96"/>
      <c r="IR310" s="96"/>
      <c r="IS310" s="96"/>
      <c r="IT310" s="96"/>
      <c r="IU310" s="96"/>
      <c r="IV310" s="96"/>
      <c r="IW310" s="96"/>
      <c r="IX310" s="96"/>
      <c r="IY310" s="13"/>
    </row>
    <row r="311" spans="1:259" outlineLevel="1">
      <c r="A311" s="11">
        <f>'VAC &amp; MED'!C312</f>
        <v>46288</v>
      </c>
      <c r="B311" s="261"/>
      <c r="C311" s="261"/>
      <c r="D311" s="261"/>
      <c r="E311" s="261"/>
      <c r="F311" s="261"/>
      <c r="G311" s="261"/>
      <c r="H311" s="261"/>
      <c r="I311" s="261"/>
      <c r="J311" s="261"/>
      <c r="K311" s="261"/>
      <c r="L311" s="261"/>
      <c r="M311" s="261"/>
      <c r="N311" s="261"/>
      <c r="O311" s="261"/>
      <c r="P311" s="261"/>
      <c r="Q311" s="261"/>
      <c r="R311" s="262"/>
      <c r="S311" s="262"/>
      <c r="T311" s="262"/>
      <c r="U311" s="262"/>
      <c r="V311" s="262"/>
      <c r="W311" s="262"/>
      <c r="X311" s="262"/>
      <c r="Y311" s="262"/>
      <c r="Z311" s="262"/>
      <c r="AA311" s="262"/>
      <c r="AB311" s="262"/>
      <c r="AC311" s="262"/>
      <c r="AD311" s="262"/>
      <c r="AE311" s="262"/>
      <c r="AF311" s="262"/>
      <c r="AG311" s="262"/>
      <c r="AH311" s="263"/>
      <c r="AI311" s="263"/>
      <c r="AJ311" s="263"/>
      <c r="AK311" s="263"/>
      <c r="AL311" s="263"/>
      <c r="AM311" s="263"/>
      <c r="AN311" s="263"/>
      <c r="AO311" s="263"/>
      <c r="AP311" s="263"/>
      <c r="AQ311" s="263"/>
      <c r="AR311" s="263"/>
      <c r="AS311" s="263"/>
      <c r="AT311" s="263"/>
      <c r="AU311" s="263"/>
      <c r="AV311" s="263"/>
      <c r="AW311" s="263"/>
      <c r="AX311" s="264"/>
      <c r="AY311" s="264"/>
      <c r="AZ311" s="264"/>
      <c r="BA311" s="264"/>
      <c r="BB311" s="264"/>
      <c r="BC311" s="264"/>
      <c r="BD311" s="264"/>
      <c r="BE311" s="264"/>
      <c r="BF311" s="264"/>
      <c r="BG311" s="264"/>
      <c r="BH311" s="264"/>
      <c r="BI311" s="264"/>
      <c r="BJ311" s="264"/>
      <c r="BK311" s="264"/>
      <c r="BL311" s="264"/>
      <c r="BM311" s="264"/>
      <c r="BN311" s="265"/>
      <c r="BO311" s="265"/>
      <c r="BP311" s="265"/>
      <c r="BQ311" s="265"/>
      <c r="BR311" s="265"/>
      <c r="BS311" s="265"/>
      <c r="BT311" s="265"/>
      <c r="BU311" s="265"/>
      <c r="BV311" s="265"/>
      <c r="BW311" s="265"/>
      <c r="BX311" s="265"/>
      <c r="BY311" s="265"/>
      <c r="BZ311" s="265"/>
      <c r="CA311" s="265"/>
      <c r="CB311" s="265"/>
      <c r="CC311" s="265"/>
      <c r="CD311" s="266"/>
      <c r="CE311" s="266"/>
      <c r="CF311" s="266"/>
      <c r="CG311" s="266"/>
      <c r="CH311" s="266"/>
      <c r="CI311" s="266"/>
      <c r="CJ311" s="266"/>
      <c r="CK311" s="266"/>
      <c r="CL311" s="266"/>
      <c r="CM311" s="266"/>
      <c r="CN311" s="266"/>
      <c r="CO311" s="266"/>
      <c r="CP311" s="266"/>
      <c r="CQ311" s="266"/>
      <c r="CR311" s="266"/>
      <c r="CS311" s="266"/>
      <c r="CT311" s="267"/>
      <c r="CU311" s="267"/>
      <c r="CV311" s="267"/>
      <c r="CW311" s="267"/>
      <c r="CX311" s="267"/>
      <c r="CY311" s="267"/>
      <c r="CZ311" s="267"/>
      <c r="DA311" s="267"/>
      <c r="DB311" s="267"/>
      <c r="DC311" s="267"/>
      <c r="DD311" s="267"/>
      <c r="DE311" s="267"/>
      <c r="DF311" s="267"/>
      <c r="DG311" s="267"/>
      <c r="DH311" s="267"/>
      <c r="DI311" s="267"/>
      <c r="DJ311" s="268"/>
      <c r="DK311" s="268"/>
      <c r="DL311" s="268"/>
      <c r="DM311" s="268"/>
      <c r="DN311" s="268"/>
      <c r="DO311" s="268"/>
      <c r="DP311" s="268"/>
      <c r="DQ311" s="268"/>
      <c r="DR311" s="268"/>
      <c r="DS311" s="268"/>
      <c r="DT311" s="268"/>
      <c r="DU311" s="268"/>
      <c r="DV311" s="268"/>
      <c r="DW311" s="268"/>
      <c r="DX311" s="268"/>
      <c r="DY311" s="268"/>
      <c r="EA311" s="13"/>
      <c r="EB311" s="96"/>
      <c r="EC311" s="96"/>
      <c r="ED311" s="96"/>
      <c r="EE311" s="96"/>
      <c r="EF311" s="96"/>
      <c r="EG311" s="96"/>
      <c r="EH311" s="96"/>
      <c r="EI311" s="96"/>
      <c r="EJ311" s="96"/>
      <c r="EK311" s="96"/>
      <c r="EL311" s="96"/>
      <c r="EM311" s="96"/>
      <c r="EN311" s="96"/>
      <c r="EO311" s="96"/>
      <c r="EP311" s="96"/>
      <c r="EQ311" s="96"/>
      <c r="ER311" s="96"/>
      <c r="ES311" s="96"/>
      <c r="ET311" s="96"/>
      <c r="EU311" s="96"/>
      <c r="EV311" s="96"/>
      <c r="EW311" s="96"/>
      <c r="EX311" s="96"/>
      <c r="EY311" s="96"/>
      <c r="EZ311" s="96"/>
      <c r="FA311" s="96"/>
      <c r="FB311" s="96"/>
      <c r="FC311" s="96"/>
      <c r="FD311" s="96"/>
      <c r="FE311" s="96"/>
      <c r="FF311" s="96"/>
      <c r="FG311" s="96"/>
      <c r="FH311" s="96"/>
      <c r="FI311" s="96"/>
      <c r="FJ311" s="96"/>
      <c r="FK311" s="96"/>
      <c r="FL311" s="96"/>
      <c r="FM311" s="96"/>
      <c r="FN311" s="96"/>
      <c r="FO311" s="96"/>
      <c r="FP311" s="96"/>
      <c r="FQ311" s="96"/>
      <c r="FR311" s="96"/>
      <c r="FS311" s="96"/>
      <c r="FT311" s="96"/>
      <c r="FU311" s="96"/>
      <c r="FV311" s="96"/>
      <c r="FW311" s="96"/>
      <c r="FX311" s="96"/>
      <c r="FY311" s="96"/>
      <c r="FZ311" s="96"/>
      <c r="GA311" s="96"/>
      <c r="GB311" s="96"/>
      <c r="GC311" s="96"/>
      <c r="GD311" s="96"/>
      <c r="GE311" s="96"/>
      <c r="GF311" s="96"/>
      <c r="GG311" s="96"/>
      <c r="GH311" s="96"/>
      <c r="GI311" s="96"/>
      <c r="GJ311" s="96"/>
      <c r="GK311" s="96"/>
      <c r="GL311" s="96"/>
      <c r="GM311" s="13"/>
      <c r="GN311" s="96"/>
      <c r="GO311" s="96"/>
      <c r="GP311" s="96"/>
      <c r="GQ311" s="96"/>
      <c r="GR311" s="96"/>
      <c r="GS311" s="96"/>
      <c r="GT311" s="96"/>
      <c r="GU311" s="96"/>
      <c r="GV311" s="96"/>
      <c r="GW311" s="96"/>
      <c r="GX311" s="96"/>
      <c r="GY311" s="96"/>
      <c r="GZ311" s="96"/>
      <c r="HA311" s="96"/>
      <c r="HB311" s="96"/>
      <c r="HC311" s="13"/>
      <c r="HD311" s="96"/>
      <c r="HE311" s="96"/>
      <c r="HF311" s="96"/>
      <c r="HG311" s="96"/>
      <c r="HH311" s="96"/>
      <c r="HI311" s="96"/>
      <c r="HJ311" s="96"/>
      <c r="HK311" s="96"/>
      <c r="HL311" s="96"/>
      <c r="HM311" s="96"/>
      <c r="HN311" s="96"/>
      <c r="HO311" s="96"/>
      <c r="HP311" s="96"/>
      <c r="HQ311" s="96"/>
      <c r="HR311" s="96"/>
      <c r="HS311" s="13"/>
      <c r="HT311" s="96"/>
      <c r="HU311" s="96"/>
      <c r="HV311" s="96"/>
      <c r="HW311" s="96"/>
      <c r="HX311" s="96"/>
      <c r="HY311" s="96"/>
      <c r="HZ311" s="96"/>
      <c r="IA311" s="96"/>
      <c r="IB311" s="96"/>
      <c r="IC311" s="96"/>
      <c r="ID311" s="96"/>
      <c r="IE311" s="96"/>
      <c r="IF311" s="96"/>
      <c r="IG311" s="96"/>
      <c r="IH311" s="96"/>
      <c r="II311" s="13"/>
      <c r="IJ311" s="96"/>
      <c r="IK311" s="96"/>
      <c r="IL311" s="96"/>
      <c r="IM311" s="96"/>
      <c r="IN311" s="96"/>
      <c r="IO311" s="96"/>
      <c r="IP311" s="96"/>
      <c r="IQ311" s="96"/>
      <c r="IR311" s="96"/>
      <c r="IS311" s="96"/>
      <c r="IT311" s="96"/>
      <c r="IU311" s="96"/>
      <c r="IV311" s="96"/>
      <c r="IW311" s="96"/>
      <c r="IX311" s="96"/>
      <c r="IY311" s="13"/>
    </row>
    <row r="312" spans="1:259" outlineLevel="1">
      <c r="A312" s="11">
        <f>'VAC &amp; MED'!C313</f>
        <v>46289</v>
      </c>
      <c r="B312" s="261"/>
      <c r="C312" s="261"/>
      <c r="D312" s="261"/>
      <c r="E312" s="261"/>
      <c r="F312" s="261"/>
      <c r="G312" s="261"/>
      <c r="H312" s="261"/>
      <c r="I312" s="261"/>
      <c r="J312" s="261"/>
      <c r="K312" s="261"/>
      <c r="L312" s="261"/>
      <c r="M312" s="261"/>
      <c r="N312" s="261"/>
      <c r="O312" s="261"/>
      <c r="P312" s="261"/>
      <c r="Q312" s="261"/>
      <c r="R312" s="262"/>
      <c r="S312" s="262"/>
      <c r="T312" s="262"/>
      <c r="U312" s="262"/>
      <c r="V312" s="262"/>
      <c r="W312" s="262"/>
      <c r="X312" s="262"/>
      <c r="Y312" s="262"/>
      <c r="Z312" s="262"/>
      <c r="AA312" s="262"/>
      <c r="AB312" s="262"/>
      <c r="AC312" s="262"/>
      <c r="AD312" s="262"/>
      <c r="AE312" s="262"/>
      <c r="AF312" s="262"/>
      <c r="AG312" s="262"/>
      <c r="AH312" s="263"/>
      <c r="AI312" s="263"/>
      <c r="AJ312" s="263"/>
      <c r="AK312" s="263"/>
      <c r="AL312" s="263"/>
      <c r="AM312" s="263"/>
      <c r="AN312" s="263"/>
      <c r="AO312" s="263"/>
      <c r="AP312" s="263"/>
      <c r="AQ312" s="263"/>
      <c r="AR312" s="263"/>
      <c r="AS312" s="263"/>
      <c r="AT312" s="263"/>
      <c r="AU312" s="263"/>
      <c r="AV312" s="263"/>
      <c r="AW312" s="263"/>
      <c r="AX312" s="264"/>
      <c r="AY312" s="264"/>
      <c r="AZ312" s="264"/>
      <c r="BA312" s="264"/>
      <c r="BB312" s="264"/>
      <c r="BC312" s="264"/>
      <c r="BD312" s="264"/>
      <c r="BE312" s="264"/>
      <c r="BF312" s="264"/>
      <c r="BG312" s="264"/>
      <c r="BH312" s="264"/>
      <c r="BI312" s="264"/>
      <c r="BJ312" s="264"/>
      <c r="BK312" s="264"/>
      <c r="BL312" s="264"/>
      <c r="BM312" s="264"/>
      <c r="BN312" s="265"/>
      <c r="BO312" s="265"/>
      <c r="BP312" s="265"/>
      <c r="BQ312" s="265"/>
      <c r="BR312" s="265"/>
      <c r="BS312" s="265"/>
      <c r="BT312" s="265"/>
      <c r="BU312" s="265"/>
      <c r="BV312" s="265"/>
      <c r="BW312" s="265"/>
      <c r="BX312" s="265"/>
      <c r="BY312" s="265"/>
      <c r="BZ312" s="265"/>
      <c r="CA312" s="265"/>
      <c r="CB312" s="265"/>
      <c r="CC312" s="265"/>
      <c r="CD312" s="266"/>
      <c r="CE312" s="266"/>
      <c r="CF312" s="266"/>
      <c r="CG312" s="266"/>
      <c r="CH312" s="266"/>
      <c r="CI312" s="266"/>
      <c r="CJ312" s="266"/>
      <c r="CK312" s="266"/>
      <c r="CL312" s="266"/>
      <c r="CM312" s="266"/>
      <c r="CN312" s="266"/>
      <c r="CO312" s="266"/>
      <c r="CP312" s="266"/>
      <c r="CQ312" s="266"/>
      <c r="CR312" s="266"/>
      <c r="CS312" s="266"/>
      <c r="CT312" s="267"/>
      <c r="CU312" s="267"/>
      <c r="CV312" s="267"/>
      <c r="CW312" s="267"/>
      <c r="CX312" s="267"/>
      <c r="CY312" s="267"/>
      <c r="CZ312" s="267"/>
      <c r="DA312" s="267"/>
      <c r="DB312" s="267"/>
      <c r="DC312" s="267"/>
      <c r="DD312" s="267"/>
      <c r="DE312" s="267"/>
      <c r="DF312" s="267"/>
      <c r="DG312" s="267"/>
      <c r="DH312" s="267"/>
      <c r="DI312" s="267"/>
      <c r="DJ312" s="268"/>
      <c r="DK312" s="268"/>
      <c r="DL312" s="268"/>
      <c r="DM312" s="268"/>
      <c r="DN312" s="268"/>
      <c r="DO312" s="268"/>
      <c r="DP312" s="268"/>
      <c r="DQ312" s="268"/>
      <c r="DR312" s="268"/>
      <c r="DS312" s="268"/>
      <c r="DT312" s="268"/>
      <c r="DU312" s="268"/>
      <c r="DV312" s="268"/>
      <c r="DW312" s="268"/>
      <c r="DX312" s="268"/>
      <c r="DY312" s="268"/>
      <c r="EA312" s="13"/>
      <c r="EB312" s="96"/>
      <c r="EC312" s="96"/>
      <c r="ED312" s="96"/>
      <c r="EE312" s="96"/>
      <c r="EF312" s="96"/>
      <c r="EG312" s="96"/>
      <c r="EH312" s="96"/>
      <c r="EI312" s="96"/>
      <c r="EJ312" s="96"/>
      <c r="EK312" s="96"/>
      <c r="EL312" s="96"/>
      <c r="EM312" s="96"/>
      <c r="EN312" s="96"/>
      <c r="EO312" s="96"/>
      <c r="EP312" s="96"/>
      <c r="EQ312" s="96"/>
      <c r="ER312" s="96"/>
      <c r="ES312" s="96"/>
      <c r="ET312" s="96"/>
      <c r="EU312" s="96"/>
      <c r="EV312" s="96"/>
      <c r="EW312" s="96"/>
      <c r="EX312" s="96"/>
      <c r="EY312" s="96"/>
      <c r="EZ312" s="96"/>
      <c r="FA312" s="96"/>
      <c r="FB312" s="96"/>
      <c r="FC312" s="96"/>
      <c r="FD312" s="96"/>
      <c r="FE312" s="96"/>
      <c r="FF312" s="96"/>
      <c r="FG312" s="96"/>
      <c r="FH312" s="96"/>
      <c r="FI312" s="96"/>
      <c r="FJ312" s="96"/>
      <c r="FK312" s="96"/>
      <c r="FL312" s="96"/>
      <c r="FM312" s="96"/>
      <c r="FN312" s="96"/>
      <c r="FO312" s="96"/>
      <c r="FP312" s="96"/>
      <c r="FQ312" s="96"/>
      <c r="FR312" s="96"/>
      <c r="FS312" s="96"/>
      <c r="FT312" s="96"/>
      <c r="FU312" s="96"/>
      <c r="FV312" s="96"/>
      <c r="FW312" s="96"/>
      <c r="FX312" s="96"/>
      <c r="FY312" s="96"/>
      <c r="FZ312" s="96"/>
      <c r="GA312" s="96"/>
      <c r="GB312" s="96"/>
      <c r="GC312" s="96"/>
      <c r="GD312" s="96"/>
      <c r="GE312" s="96"/>
      <c r="GF312" s="96"/>
      <c r="GG312" s="96"/>
      <c r="GH312" s="96"/>
      <c r="GI312" s="96"/>
      <c r="GJ312" s="96"/>
      <c r="GK312" s="96"/>
      <c r="GL312" s="96"/>
      <c r="GM312" s="13"/>
      <c r="GN312" s="96"/>
      <c r="GO312" s="96"/>
      <c r="GP312" s="96"/>
      <c r="GQ312" s="96"/>
      <c r="GR312" s="96"/>
      <c r="GS312" s="96"/>
      <c r="GT312" s="96"/>
      <c r="GU312" s="96"/>
      <c r="GV312" s="96"/>
      <c r="GW312" s="96"/>
      <c r="GX312" s="96"/>
      <c r="GY312" s="96"/>
      <c r="GZ312" s="96"/>
      <c r="HA312" s="96"/>
      <c r="HB312" s="96"/>
      <c r="HC312" s="13"/>
      <c r="HD312" s="96"/>
      <c r="HE312" s="96"/>
      <c r="HF312" s="96"/>
      <c r="HG312" s="96"/>
      <c r="HH312" s="96"/>
      <c r="HI312" s="96"/>
      <c r="HJ312" s="96"/>
      <c r="HK312" s="96"/>
      <c r="HL312" s="96"/>
      <c r="HM312" s="96"/>
      <c r="HN312" s="96"/>
      <c r="HO312" s="96"/>
      <c r="HP312" s="96"/>
      <c r="HQ312" s="96"/>
      <c r="HR312" s="96"/>
      <c r="HS312" s="13"/>
      <c r="HT312" s="96"/>
      <c r="HU312" s="96"/>
      <c r="HV312" s="96"/>
      <c r="HW312" s="96"/>
      <c r="HX312" s="96"/>
      <c r="HY312" s="96"/>
      <c r="HZ312" s="96"/>
      <c r="IA312" s="96"/>
      <c r="IB312" s="96"/>
      <c r="IC312" s="96"/>
      <c r="ID312" s="96"/>
      <c r="IE312" s="96"/>
      <c r="IF312" s="96"/>
      <c r="IG312" s="96"/>
      <c r="IH312" s="96"/>
      <c r="II312" s="13"/>
      <c r="IJ312" s="96"/>
      <c r="IK312" s="96"/>
      <c r="IL312" s="96"/>
      <c r="IM312" s="96"/>
      <c r="IN312" s="96"/>
      <c r="IO312" s="96"/>
      <c r="IP312" s="96"/>
      <c r="IQ312" s="96"/>
      <c r="IR312" s="96"/>
      <c r="IS312" s="96"/>
      <c r="IT312" s="96"/>
      <c r="IU312" s="96"/>
      <c r="IV312" s="96"/>
      <c r="IW312" s="96"/>
      <c r="IX312" s="96"/>
      <c r="IY312" s="13"/>
    </row>
    <row r="313" spans="1:259" outlineLevel="1">
      <c r="A313" s="11">
        <f>'VAC &amp; MED'!C314</f>
        <v>46290</v>
      </c>
      <c r="B313" s="261"/>
      <c r="C313" s="261"/>
      <c r="D313" s="261"/>
      <c r="E313" s="261"/>
      <c r="F313" s="261"/>
      <c r="G313" s="261"/>
      <c r="H313" s="261"/>
      <c r="I313" s="261"/>
      <c r="J313" s="261"/>
      <c r="K313" s="261"/>
      <c r="L313" s="261"/>
      <c r="M313" s="261"/>
      <c r="N313" s="261"/>
      <c r="O313" s="261"/>
      <c r="P313" s="261"/>
      <c r="Q313" s="261"/>
      <c r="R313" s="262"/>
      <c r="S313" s="262"/>
      <c r="T313" s="262"/>
      <c r="U313" s="262"/>
      <c r="V313" s="262"/>
      <c r="W313" s="262"/>
      <c r="X313" s="262"/>
      <c r="Y313" s="262"/>
      <c r="Z313" s="262"/>
      <c r="AA313" s="262"/>
      <c r="AB313" s="262"/>
      <c r="AC313" s="262"/>
      <c r="AD313" s="262"/>
      <c r="AE313" s="262"/>
      <c r="AF313" s="262"/>
      <c r="AG313" s="262"/>
      <c r="AH313" s="263"/>
      <c r="AI313" s="263"/>
      <c r="AJ313" s="263"/>
      <c r="AK313" s="263"/>
      <c r="AL313" s="263"/>
      <c r="AM313" s="263"/>
      <c r="AN313" s="263"/>
      <c r="AO313" s="263"/>
      <c r="AP313" s="263"/>
      <c r="AQ313" s="263"/>
      <c r="AR313" s="263"/>
      <c r="AS313" s="263"/>
      <c r="AT313" s="263"/>
      <c r="AU313" s="263"/>
      <c r="AV313" s="263"/>
      <c r="AW313" s="263"/>
      <c r="AX313" s="264"/>
      <c r="AY313" s="264"/>
      <c r="AZ313" s="264"/>
      <c r="BA313" s="264"/>
      <c r="BB313" s="264"/>
      <c r="BC313" s="264"/>
      <c r="BD313" s="264"/>
      <c r="BE313" s="264"/>
      <c r="BF313" s="264"/>
      <c r="BG313" s="264"/>
      <c r="BH313" s="264"/>
      <c r="BI313" s="264"/>
      <c r="BJ313" s="264"/>
      <c r="BK313" s="264"/>
      <c r="BL313" s="264"/>
      <c r="BM313" s="264"/>
      <c r="BN313" s="265"/>
      <c r="BO313" s="265"/>
      <c r="BP313" s="265"/>
      <c r="BQ313" s="265"/>
      <c r="BR313" s="265"/>
      <c r="BS313" s="265"/>
      <c r="BT313" s="265"/>
      <c r="BU313" s="265"/>
      <c r="BV313" s="265"/>
      <c r="BW313" s="265"/>
      <c r="BX313" s="265"/>
      <c r="BY313" s="265"/>
      <c r="BZ313" s="265"/>
      <c r="CA313" s="265"/>
      <c r="CB313" s="265"/>
      <c r="CC313" s="265"/>
      <c r="CD313" s="266"/>
      <c r="CE313" s="266"/>
      <c r="CF313" s="266"/>
      <c r="CG313" s="266"/>
      <c r="CH313" s="266"/>
      <c r="CI313" s="266"/>
      <c r="CJ313" s="266"/>
      <c r="CK313" s="266"/>
      <c r="CL313" s="266"/>
      <c r="CM313" s="266"/>
      <c r="CN313" s="266"/>
      <c r="CO313" s="266"/>
      <c r="CP313" s="266"/>
      <c r="CQ313" s="266"/>
      <c r="CR313" s="266"/>
      <c r="CS313" s="266"/>
      <c r="CT313" s="267"/>
      <c r="CU313" s="267"/>
      <c r="CV313" s="267"/>
      <c r="CW313" s="267"/>
      <c r="CX313" s="267"/>
      <c r="CY313" s="267"/>
      <c r="CZ313" s="267"/>
      <c r="DA313" s="267"/>
      <c r="DB313" s="267"/>
      <c r="DC313" s="267"/>
      <c r="DD313" s="267"/>
      <c r="DE313" s="267"/>
      <c r="DF313" s="267"/>
      <c r="DG313" s="267"/>
      <c r="DH313" s="267"/>
      <c r="DI313" s="267"/>
      <c r="DJ313" s="268"/>
      <c r="DK313" s="268"/>
      <c r="DL313" s="268"/>
      <c r="DM313" s="268"/>
      <c r="DN313" s="268"/>
      <c r="DO313" s="268"/>
      <c r="DP313" s="268"/>
      <c r="DQ313" s="268"/>
      <c r="DR313" s="268"/>
      <c r="DS313" s="268"/>
      <c r="DT313" s="268"/>
      <c r="DU313" s="268"/>
      <c r="DV313" s="268"/>
      <c r="DW313" s="268"/>
      <c r="DX313" s="268"/>
      <c r="DY313" s="268"/>
      <c r="EA313" s="13"/>
      <c r="EB313" s="96"/>
      <c r="EC313" s="96"/>
      <c r="ED313" s="96"/>
      <c r="EE313" s="96"/>
      <c r="EF313" s="96"/>
      <c r="EG313" s="96"/>
      <c r="EH313" s="96"/>
      <c r="EI313" s="96"/>
      <c r="EJ313" s="96"/>
      <c r="EK313" s="96"/>
      <c r="EL313" s="96"/>
      <c r="EM313" s="96"/>
      <c r="EN313" s="96"/>
      <c r="EO313" s="96"/>
      <c r="EP313" s="96"/>
      <c r="EQ313" s="96"/>
      <c r="ER313" s="96"/>
      <c r="ES313" s="96"/>
      <c r="ET313" s="96"/>
      <c r="EU313" s="96"/>
      <c r="EV313" s="96"/>
      <c r="EW313" s="96"/>
      <c r="EX313" s="96"/>
      <c r="EY313" s="96"/>
      <c r="EZ313" s="96"/>
      <c r="FA313" s="96"/>
      <c r="FB313" s="96"/>
      <c r="FC313" s="96"/>
      <c r="FD313" s="96"/>
      <c r="FE313" s="96"/>
      <c r="FF313" s="96"/>
      <c r="FG313" s="96"/>
      <c r="FH313" s="96"/>
      <c r="FI313" s="96"/>
      <c r="FJ313" s="96"/>
      <c r="FK313" s="96"/>
      <c r="FL313" s="96"/>
      <c r="FM313" s="96"/>
      <c r="FN313" s="96"/>
      <c r="FO313" s="96"/>
      <c r="FP313" s="96"/>
      <c r="FQ313" s="96"/>
      <c r="FR313" s="96"/>
      <c r="FS313" s="96"/>
      <c r="FT313" s="96"/>
      <c r="FU313" s="96"/>
      <c r="FV313" s="96"/>
      <c r="FW313" s="96"/>
      <c r="FX313" s="96"/>
      <c r="FY313" s="96"/>
      <c r="FZ313" s="96"/>
      <c r="GA313" s="96"/>
      <c r="GB313" s="96"/>
      <c r="GC313" s="96"/>
      <c r="GD313" s="96"/>
      <c r="GE313" s="96"/>
      <c r="GF313" s="96"/>
      <c r="GG313" s="96"/>
      <c r="GH313" s="96"/>
      <c r="GI313" s="96"/>
      <c r="GJ313" s="96"/>
      <c r="GK313" s="96"/>
      <c r="GL313" s="96"/>
      <c r="GM313" s="13"/>
      <c r="GN313" s="96"/>
      <c r="GO313" s="96"/>
      <c r="GP313" s="96"/>
      <c r="GQ313" s="96"/>
      <c r="GR313" s="96"/>
      <c r="GS313" s="96"/>
      <c r="GT313" s="96"/>
      <c r="GU313" s="96"/>
      <c r="GV313" s="96"/>
      <c r="GW313" s="96"/>
      <c r="GX313" s="96"/>
      <c r="GY313" s="96"/>
      <c r="GZ313" s="96"/>
      <c r="HA313" s="96"/>
      <c r="HB313" s="96"/>
      <c r="HC313" s="13"/>
      <c r="HD313" s="96"/>
      <c r="HE313" s="96"/>
      <c r="HF313" s="96"/>
      <c r="HG313" s="96"/>
      <c r="HH313" s="96"/>
      <c r="HI313" s="96"/>
      <c r="HJ313" s="96"/>
      <c r="HK313" s="96"/>
      <c r="HL313" s="96"/>
      <c r="HM313" s="96"/>
      <c r="HN313" s="96"/>
      <c r="HO313" s="96"/>
      <c r="HP313" s="96"/>
      <c r="HQ313" s="96"/>
      <c r="HR313" s="96"/>
      <c r="HS313" s="13"/>
      <c r="HT313" s="96"/>
      <c r="HU313" s="96"/>
      <c r="HV313" s="96"/>
      <c r="HW313" s="96"/>
      <c r="HX313" s="96"/>
      <c r="HY313" s="96"/>
      <c r="HZ313" s="96"/>
      <c r="IA313" s="96"/>
      <c r="IB313" s="96"/>
      <c r="IC313" s="96"/>
      <c r="ID313" s="96"/>
      <c r="IE313" s="96"/>
      <c r="IF313" s="96"/>
      <c r="IG313" s="96"/>
      <c r="IH313" s="96"/>
      <c r="II313" s="13"/>
      <c r="IJ313" s="96"/>
      <c r="IK313" s="96"/>
      <c r="IL313" s="96"/>
      <c r="IM313" s="96"/>
      <c r="IN313" s="96"/>
      <c r="IO313" s="96"/>
      <c r="IP313" s="96"/>
      <c r="IQ313" s="96"/>
      <c r="IR313" s="96"/>
      <c r="IS313" s="96"/>
      <c r="IT313" s="96"/>
      <c r="IU313" s="96"/>
      <c r="IV313" s="96"/>
      <c r="IW313" s="96"/>
      <c r="IX313" s="96"/>
      <c r="IY313" s="13"/>
    </row>
    <row r="314" spans="1:259" outlineLevel="1">
      <c r="A314" s="11">
        <f>'VAC &amp; MED'!C315</f>
        <v>46291</v>
      </c>
      <c r="B314" s="261"/>
      <c r="C314" s="261"/>
      <c r="D314" s="261"/>
      <c r="E314" s="261"/>
      <c r="F314" s="261"/>
      <c r="G314" s="261"/>
      <c r="H314" s="261"/>
      <c r="I314" s="261"/>
      <c r="J314" s="261"/>
      <c r="K314" s="261"/>
      <c r="L314" s="261"/>
      <c r="M314" s="261"/>
      <c r="N314" s="261"/>
      <c r="O314" s="261"/>
      <c r="P314" s="261"/>
      <c r="Q314" s="261"/>
      <c r="R314" s="262"/>
      <c r="S314" s="262"/>
      <c r="T314" s="262"/>
      <c r="U314" s="262"/>
      <c r="V314" s="262"/>
      <c r="W314" s="262"/>
      <c r="X314" s="262"/>
      <c r="Y314" s="262"/>
      <c r="Z314" s="262"/>
      <c r="AA314" s="262"/>
      <c r="AB314" s="262"/>
      <c r="AC314" s="262"/>
      <c r="AD314" s="262"/>
      <c r="AE314" s="262"/>
      <c r="AF314" s="262"/>
      <c r="AG314" s="262"/>
      <c r="AH314" s="263"/>
      <c r="AI314" s="263"/>
      <c r="AJ314" s="263"/>
      <c r="AK314" s="263"/>
      <c r="AL314" s="263"/>
      <c r="AM314" s="263"/>
      <c r="AN314" s="263"/>
      <c r="AO314" s="263"/>
      <c r="AP314" s="263"/>
      <c r="AQ314" s="263"/>
      <c r="AR314" s="263"/>
      <c r="AS314" s="263"/>
      <c r="AT314" s="263"/>
      <c r="AU314" s="263"/>
      <c r="AV314" s="263"/>
      <c r="AW314" s="263"/>
      <c r="AX314" s="264"/>
      <c r="AY314" s="264"/>
      <c r="AZ314" s="264"/>
      <c r="BA314" s="264"/>
      <c r="BB314" s="264"/>
      <c r="BC314" s="264"/>
      <c r="BD314" s="264"/>
      <c r="BE314" s="264"/>
      <c r="BF314" s="264"/>
      <c r="BG314" s="264"/>
      <c r="BH314" s="264"/>
      <c r="BI314" s="264"/>
      <c r="BJ314" s="264"/>
      <c r="BK314" s="264"/>
      <c r="BL314" s="264"/>
      <c r="BM314" s="264"/>
      <c r="BN314" s="265"/>
      <c r="BO314" s="265"/>
      <c r="BP314" s="265"/>
      <c r="BQ314" s="265"/>
      <c r="BR314" s="265"/>
      <c r="BS314" s="265"/>
      <c r="BT314" s="265"/>
      <c r="BU314" s="265"/>
      <c r="BV314" s="265"/>
      <c r="BW314" s="265"/>
      <c r="BX314" s="265"/>
      <c r="BY314" s="265"/>
      <c r="BZ314" s="265"/>
      <c r="CA314" s="265"/>
      <c r="CB314" s="265"/>
      <c r="CC314" s="265"/>
      <c r="CD314" s="266"/>
      <c r="CE314" s="266"/>
      <c r="CF314" s="266"/>
      <c r="CG314" s="266"/>
      <c r="CH314" s="266"/>
      <c r="CI314" s="266"/>
      <c r="CJ314" s="266"/>
      <c r="CK314" s="266"/>
      <c r="CL314" s="266"/>
      <c r="CM314" s="266"/>
      <c r="CN314" s="266"/>
      <c r="CO314" s="266"/>
      <c r="CP314" s="266"/>
      <c r="CQ314" s="266"/>
      <c r="CR314" s="266"/>
      <c r="CS314" s="266"/>
      <c r="CT314" s="267"/>
      <c r="CU314" s="267"/>
      <c r="CV314" s="267"/>
      <c r="CW314" s="267"/>
      <c r="CX314" s="267"/>
      <c r="CY314" s="267"/>
      <c r="CZ314" s="267"/>
      <c r="DA314" s="267"/>
      <c r="DB314" s="267"/>
      <c r="DC314" s="267"/>
      <c r="DD314" s="267"/>
      <c r="DE314" s="267"/>
      <c r="DF314" s="267"/>
      <c r="DG314" s="267"/>
      <c r="DH314" s="267"/>
      <c r="DI314" s="267"/>
      <c r="DJ314" s="268"/>
      <c r="DK314" s="268"/>
      <c r="DL314" s="268"/>
      <c r="DM314" s="268"/>
      <c r="DN314" s="268"/>
      <c r="DO314" s="268"/>
      <c r="DP314" s="268"/>
      <c r="DQ314" s="268"/>
      <c r="DR314" s="268"/>
      <c r="DS314" s="268"/>
      <c r="DT314" s="268"/>
      <c r="DU314" s="268"/>
      <c r="DV314" s="268"/>
      <c r="DW314" s="268"/>
      <c r="DX314" s="268"/>
      <c r="DY314" s="268"/>
      <c r="EA314" s="13"/>
      <c r="EB314" s="96"/>
      <c r="EC314" s="96"/>
      <c r="ED314" s="96"/>
      <c r="EE314" s="96"/>
      <c r="EF314" s="96"/>
      <c r="EG314" s="96"/>
      <c r="EH314" s="96"/>
      <c r="EI314" s="96"/>
      <c r="EJ314" s="96"/>
      <c r="EK314" s="96"/>
      <c r="EL314" s="96"/>
      <c r="EM314" s="96"/>
      <c r="EN314" s="96"/>
      <c r="EO314" s="96"/>
      <c r="EP314" s="96"/>
      <c r="EQ314" s="96"/>
      <c r="ER314" s="96"/>
      <c r="ES314" s="96"/>
      <c r="ET314" s="96"/>
      <c r="EU314" s="96"/>
      <c r="EV314" s="96"/>
      <c r="EW314" s="96"/>
      <c r="EX314" s="96"/>
      <c r="EY314" s="96"/>
      <c r="EZ314" s="96"/>
      <c r="FA314" s="96"/>
      <c r="FB314" s="96"/>
      <c r="FC314" s="96"/>
      <c r="FD314" s="96"/>
      <c r="FE314" s="96"/>
      <c r="FF314" s="96"/>
      <c r="FG314" s="96"/>
      <c r="FH314" s="96"/>
      <c r="FI314" s="96"/>
      <c r="FJ314" s="96"/>
      <c r="FK314" s="96"/>
      <c r="FL314" s="96"/>
      <c r="FM314" s="96"/>
      <c r="FN314" s="96"/>
      <c r="FO314" s="96"/>
      <c r="FP314" s="96"/>
      <c r="FQ314" s="96"/>
      <c r="FR314" s="96"/>
      <c r="FS314" s="96"/>
      <c r="FT314" s="96"/>
      <c r="FU314" s="96"/>
      <c r="FV314" s="96"/>
      <c r="FW314" s="96"/>
      <c r="FX314" s="96"/>
      <c r="FY314" s="96"/>
      <c r="FZ314" s="96"/>
      <c r="GA314" s="96"/>
      <c r="GB314" s="96"/>
      <c r="GC314" s="96"/>
      <c r="GD314" s="96"/>
      <c r="GE314" s="96"/>
      <c r="GF314" s="96"/>
      <c r="GG314" s="96"/>
      <c r="GH314" s="96"/>
      <c r="GI314" s="96"/>
      <c r="GJ314" s="96"/>
      <c r="GK314" s="96"/>
      <c r="GL314" s="96"/>
      <c r="GM314" s="13"/>
      <c r="GN314" s="96"/>
      <c r="GO314" s="96"/>
      <c r="GP314" s="96"/>
      <c r="GQ314" s="96"/>
      <c r="GR314" s="96"/>
      <c r="GS314" s="96"/>
      <c r="GT314" s="96"/>
      <c r="GU314" s="96"/>
      <c r="GV314" s="96"/>
      <c r="GW314" s="96"/>
      <c r="GX314" s="96"/>
      <c r="GY314" s="96"/>
      <c r="GZ314" s="96"/>
      <c r="HA314" s="96"/>
      <c r="HB314" s="96"/>
      <c r="HC314" s="13"/>
      <c r="HD314" s="96"/>
      <c r="HE314" s="96"/>
      <c r="HF314" s="96"/>
      <c r="HG314" s="96"/>
      <c r="HH314" s="96"/>
      <c r="HI314" s="96"/>
      <c r="HJ314" s="96"/>
      <c r="HK314" s="96"/>
      <c r="HL314" s="96"/>
      <c r="HM314" s="96"/>
      <c r="HN314" s="96"/>
      <c r="HO314" s="96"/>
      <c r="HP314" s="96"/>
      <c r="HQ314" s="96"/>
      <c r="HR314" s="96"/>
      <c r="HS314" s="13"/>
      <c r="HT314" s="96"/>
      <c r="HU314" s="96"/>
      <c r="HV314" s="96"/>
      <c r="HW314" s="96"/>
      <c r="HX314" s="96"/>
      <c r="HY314" s="96"/>
      <c r="HZ314" s="96"/>
      <c r="IA314" s="96"/>
      <c r="IB314" s="96"/>
      <c r="IC314" s="96"/>
      <c r="ID314" s="96"/>
      <c r="IE314" s="96"/>
      <c r="IF314" s="96"/>
      <c r="IG314" s="96"/>
      <c r="IH314" s="96"/>
      <c r="II314" s="13"/>
      <c r="IJ314" s="96"/>
      <c r="IK314" s="96"/>
      <c r="IL314" s="96"/>
      <c r="IM314" s="96"/>
      <c r="IN314" s="96"/>
      <c r="IO314" s="96"/>
      <c r="IP314" s="96"/>
      <c r="IQ314" s="96"/>
      <c r="IR314" s="96"/>
      <c r="IS314" s="96"/>
      <c r="IT314" s="96"/>
      <c r="IU314" s="96"/>
      <c r="IV314" s="96"/>
      <c r="IW314" s="96"/>
      <c r="IX314" s="96"/>
      <c r="IY314" s="13"/>
    </row>
    <row r="315" spans="1:259" outlineLevel="1">
      <c r="A315" s="11">
        <f>'VAC &amp; MED'!C316</f>
        <v>46292</v>
      </c>
      <c r="B315" s="261"/>
      <c r="C315" s="261"/>
      <c r="D315" s="261"/>
      <c r="E315" s="261"/>
      <c r="F315" s="261"/>
      <c r="G315" s="261"/>
      <c r="H315" s="261"/>
      <c r="I315" s="261"/>
      <c r="J315" s="261"/>
      <c r="K315" s="261"/>
      <c r="L315" s="261"/>
      <c r="M315" s="261"/>
      <c r="N315" s="261"/>
      <c r="O315" s="261"/>
      <c r="P315" s="261"/>
      <c r="Q315" s="261"/>
      <c r="R315" s="262"/>
      <c r="S315" s="262"/>
      <c r="T315" s="262"/>
      <c r="U315" s="262"/>
      <c r="V315" s="262"/>
      <c r="W315" s="262"/>
      <c r="X315" s="262"/>
      <c r="Y315" s="262"/>
      <c r="Z315" s="262"/>
      <c r="AA315" s="262"/>
      <c r="AB315" s="262"/>
      <c r="AC315" s="262"/>
      <c r="AD315" s="262"/>
      <c r="AE315" s="262"/>
      <c r="AF315" s="262"/>
      <c r="AG315" s="262"/>
      <c r="AH315" s="263"/>
      <c r="AI315" s="263"/>
      <c r="AJ315" s="263"/>
      <c r="AK315" s="263"/>
      <c r="AL315" s="263"/>
      <c r="AM315" s="263"/>
      <c r="AN315" s="263"/>
      <c r="AO315" s="263"/>
      <c r="AP315" s="263"/>
      <c r="AQ315" s="263"/>
      <c r="AR315" s="263"/>
      <c r="AS315" s="263"/>
      <c r="AT315" s="263"/>
      <c r="AU315" s="263"/>
      <c r="AV315" s="263"/>
      <c r="AW315" s="263"/>
      <c r="AX315" s="264"/>
      <c r="AY315" s="264"/>
      <c r="AZ315" s="264"/>
      <c r="BA315" s="264"/>
      <c r="BB315" s="264"/>
      <c r="BC315" s="264"/>
      <c r="BD315" s="264"/>
      <c r="BE315" s="264"/>
      <c r="BF315" s="264"/>
      <c r="BG315" s="264"/>
      <c r="BH315" s="264"/>
      <c r="BI315" s="264"/>
      <c r="BJ315" s="264"/>
      <c r="BK315" s="264"/>
      <c r="BL315" s="264"/>
      <c r="BM315" s="264"/>
      <c r="BN315" s="265"/>
      <c r="BO315" s="265"/>
      <c r="BP315" s="265"/>
      <c r="BQ315" s="265"/>
      <c r="BR315" s="265"/>
      <c r="BS315" s="265"/>
      <c r="BT315" s="265"/>
      <c r="BU315" s="265"/>
      <c r="BV315" s="265"/>
      <c r="BW315" s="265"/>
      <c r="BX315" s="265"/>
      <c r="BY315" s="265"/>
      <c r="BZ315" s="265"/>
      <c r="CA315" s="265"/>
      <c r="CB315" s="265"/>
      <c r="CC315" s="265"/>
      <c r="CD315" s="266"/>
      <c r="CE315" s="266"/>
      <c r="CF315" s="266"/>
      <c r="CG315" s="266"/>
      <c r="CH315" s="266"/>
      <c r="CI315" s="266"/>
      <c r="CJ315" s="266"/>
      <c r="CK315" s="266"/>
      <c r="CL315" s="266"/>
      <c r="CM315" s="266"/>
      <c r="CN315" s="266"/>
      <c r="CO315" s="266"/>
      <c r="CP315" s="266"/>
      <c r="CQ315" s="266"/>
      <c r="CR315" s="266"/>
      <c r="CS315" s="266"/>
      <c r="CT315" s="267"/>
      <c r="CU315" s="267"/>
      <c r="CV315" s="267"/>
      <c r="CW315" s="267"/>
      <c r="CX315" s="267"/>
      <c r="CY315" s="267"/>
      <c r="CZ315" s="267"/>
      <c r="DA315" s="267"/>
      <c r="DB315" s="267"/>
      <c r="DC315" s="267"/>
      <c r="DD315" s="267"/>
      <c r="DE315" s="267"/>
      <c r="DF315" s="267"/>
      <c r="DG315" s="267"/>
      <c r="DH315" s="267"/>
      <c r="DI315" s="267"/>
      <c r="DJ315" s="268"/>
      <c r="DK315" s="268"/>
      <c r="DL315" s="268"/>
      <c r="DM315" s="268"/>
      <c r="DN315" s="268"/>
      <c r="DO315" s="268"/>
      <c r="DP315" s="268"/>
      <c r="DQ315" s="268"/>
      <c r="DR315" s="268"/>
      <c r="DS315" s="268"/>
      <c r="DT315" s="268"/>
      <c r="DU315" s="268"/>
      <c r="DV315" s="268"/>
      <c r="DW315" s="268"/>
      <c r="DX315" s="268"/>
      <c r="DY315" s="268"/>
      <c r="EA315" s="13"/>
      <c r="EB315" s="96"/>
      <c r="EC315" s="96"/>
      <c r="ED315" s="96"/>
      <c r="EE315" s="96"/>
      <c r="EF315" s="96"/>
      <c r="EG315" s="96"/>
      <c r="EH315" s="96"/>
      <c r="EI315" s="96"/>
      <c r="EJ315" s="96"/>
      <c r="EK315" s="96"/>
      <c r="EL315" s="96"/>
      <c r="EM315" s="96"/>
      <c r="EN315" s="96"/>
      <c r="EO315" s="96"/>
      <c r="EP315" s="96"/>
      <c r="EQ315" s="96"/>
      <c r="ER315" s="96"/>
      <c r="ES315" s="96"/>
      <c r="ET315" s="96"/>
      <c r="EU315" s="96"/>
      <c r="EV315" s="96"/>
      <c r="EW315" s="96"/>
      <c r="EX315" s="96"/>
      <c r="EY315" s="96"/>
      <c r="EZ315" s="96"/>
      <c r="FA315" s="96"/>
      <c r="FB315" s="96"/>
      <c r="FC315" s="96"/>
      <c r="FD315" s="96"/>
      <c r="FE315" s="96"/>
      <c r="FF315" s="96"/>
      <c r="FG315" s="96"/>
      <c r="FH315" s="96"/>
      <c r="FI315" s="96"/>
      <c r="FJ315" s="96"/>
      <c r="FK315" s="96"/>
      <c r="FL315" s="96"/>
      <c r="FM315" s="96"/>
      <c r="FN315" s="96"/>
      <c r="FO315" s="96"/>
      <c r="FP315" s="96"/>
      <c r="FQ315" s="96"/>
      <c r="FR315" s="96"/>
      <c r="FS315" s="96"/>
      <c r="FT315" s="96"/>
      <c r="FU315" s="96"/>
      <c r="FV315" s="96"/>
      <c r="FW315" s="96"/>
      <c r="FX315" s="96"/>
      <c r="FY315" s="96"/>
      <c r="FZ315" s="96"/>
      <c r="GA315" s="96"/>
      <c r="GB315" s="96"/>
      <c r="GC315" s="96"/>
      <c r="GD315" s="96"/>
      <c r="GE315" s="96"/>
      <c r="GF315" s="96"/>
      <c r="GG315" s="96"/>
      <c r="GH315" s="96"/>
      <c r="GI315" s="96"/>
      <c r="GJ315" s="96"/>
      <c r="GK315" s="96"/>
      <c r="GL315" s="96"/>
      <c r="GM315" s="13"/>
      <c r="GN315" s="96"/>
      <c r="GO315" s="96"/>
      <c r="GP315" s="96"/>
      <c r="GQ315" s="96"/>
      <c r="GR315" s="96"/>
      <c r="GS315" s="96"/>
      <c r="GT315" s="96"/>
      <c r="GU315" s="96"/>
      <c r="GV315" s="96"/>
      <c r="GW315" s="96"/>
      <c r="GX315" s="96"/>
      <c r="GY315" s="96"/>
      <c r="GZ315" s="96"/>
      <c r="HA315" s="96"/>
      <c r="HB315" s="96"/>
      <c r="HC315" s="13"/>
      <c r="HD315" s="96"/>
      <c r="HE315" s="96"/>
      <c r="HF315" s="96"/>
      <c r="HG315" s="96"/>
      <c r="HH315" s="96"/>
      <c r="HI315" s="96"/>
      <c r="HJ315" s="96"/>
      <c r="HK315" s="96"/>
      <c r="HL315" s="96"/>
      <c r="HM315" s="96"/>
      <c r="HN315" s="96"/>
      <c r="HO315" s="96"/>
      <c r="HP315" s="96"/>
      <c r="HQ315" s="96"/>
      <c r="HR315" s="96"/>
      <c r="HS315" s="13"/>
      <c r="HT315" s="96"/>
      <c r="HU315" s="96"/>
      <c r="HV315" s="96"/>
      <c r="HW315" s="96"/>
      <c r="HX315" s="96"/>
      <c r="HY315" s="96"/>
      <c r="HZ315" s="96"/>
      <c r="IA315" s="96"/>
      <c r="IB315" s="96"/>
      <c r="IC315" s="96"/>
      <c r="ID315" s="96"/>
      <c r="IE315" s="96"/>
      <c r="IF315" s="96"/>
      <c r="IG315" s="96"/>
      <c r="IH315" s="96"/>
      <c r="II315" s="13"/>
      <c r="IJ315" s="96"/>
      <c r="IK315" s="96"/>
      <c r="IL315" s="96"/>
      <c r="IM315" s="96"/>
      <c r="IN315" s="96"/>
      <c r="IO315" s="96"/>
      <c r="IP315" s="96"/>
      <c r="IQ315" s="96"/>
      <c r="IR315" s="96"/>
      <c r="IS315" s="96"/>
      <c r="IT315" s="96"/>
      <c r="IU315" s="96"/>
      <c r="IV315" s="96"/>
      <c r="IW315" s="96"/>
      <c r="IX315" s="96"/>
      <c r="IY315" s="13"/>
    </row>
    <row r="316" spans="1:259" outlineLevel="1">
      <c r="A316" s="11">
        <f>'VAC &amp; MED'!C317</f>
        <v>46293</v>
      </c>
      <c r="B316" s="261"/>
      <c r="C316" s="261"/>
      <c r="D316" s="261"/>
      <c r="E316" s="261"/>
      <c r="F316" s="261"/>
      <c r="G316" s="261"/>
      <c r="H316" s="261"/>
      <c r="I316" s="261"/>
      <c r="J316" s="261"/>
      <c r="K316" s="261"/>
      <c r="L316" s="261"/>
      <c r="M316" s="261"/>
      <c r="N316" s="261"/>
      <c r="O316" s="261"/>
      <c r="P316" s="261"/>
      <c r="Q316" s="261"/>
      <c r="R316" s="262"/>
      <c r="S316" s="262"/>
      <c r="T316" s="262"/>
      <c r="U316" s="262"/>
      <c r="V316" s="262"/>
      <c r="W316" s="262"/>
      <c r="X316" s="262"/>
      <c r="Y316" s="262"/>
      <c r="Z316" s="262"/>
      <c r="AA316" s="262"/>
      <c r="AB316" s="262"/>
      <c r="AC316" s="262"/>
      <c r="AD316" s="262"/>
      <c r="AE316" s="262"/>
      <c r="AF316" s="262"/>
      <c r="AG316" s="262"/>
      <c r="AH316" s="263"/>
      <c r="AI316" s="263"/>
      <c r="AJ316" s="263"/>
      <c r="AK316" s="263"/>
      <c r="AL316" s="263"/>
      <c r="AM316" s="263"/>
      <c r="AN316" s="263"/>
      <c r="AO316" s="263"/>
      <c r="AP316" s="263"/>
      <c r="AQ316" s="263"/>
      <c r="AR316" s="263"/>
      <c r="AS316" s="263"/>
      <c r="AT316" s="263"/>
      <c r="AU316" s="263"/>
      <c r="AV316" s="263"/>
      <c r="AW316" s="263"/>
      <c r="AX316" s="264"/>
      <c r="AY316" s="264"/>
      <c r="AZ316" s="264"/>
      <c r="BA316" s="264"/>
      <c r="BB316" s="264"/>
      <c r="BC316" s="264"/>
      <c r="BD316" s="264"/>
      <c r="BE316" s="264"/>
      <c r="BF316" s="264"/>
      <c r="BG316" s="264"/>
      <c r="BH316" s="264"/>
      <c r="BI316" s="264"/>
      <c r="BJ316" s="264"/>
      <c r="BK316" s="264"/>
      <c r="BL316" s="264"/>
      <c r="BM316" s="264"/>
      <c r="BN316" s="265"/>
      <c r="BO316" s="265"/>
      <c r="BP316" s="265"/>
      <c r="BQ316" s="265"/>
      <c r="BR316" s="265"/>
      <c r="BS316" s="265"/>
      <c r="BT316" s="265"/>
      <c r="BU316" s="265"/>
      <c r="BV316" s="265"/>
      <c r="BW316" s="265"/>
      <c r="BX316" s="265"/>
      <c r="BY316" s="265"/>
      <c r="BZ316" s="265"/>
      <c r="CA316" s="265"/>
      <c r="CB316" s="265"/>
      <c r="CC316" s="265"/>
      <c r="CD316" s="266"/>
      <c r="CE316" s="266"/>
      <c r="CF316" s="266"/>
      <c r="CG316" s="266"/>
      <c r="CH316" s="266"/>
      <c r="CI316" s="266"/>
      <c r="CJ316" s="266"/>
      <c r="CK316" s="266"/>
      <c r="CL316" s="266"/>
      <c r="CM316" s="266"/>
      <c r="CN316" s="266"/>
      <c r="CO316" s="266"/>
      <c r="CP316" s="266"/>
      <c r="CQ316" s="266"/>
      <c r="CR316" s="266"/>
      <c r="CS316" s="266"/>
      <c r="CT316" s="267"/>
      <c r="CU316" s="267"/>
      <c r="CV316" s="267"/>
      <c r="CW316" s="267"/>
      <c r="CX316" s="267"/>
      <c r="CY316" s="267"/>
      <c r="CZ316" s="267"/>
      <c r="DA316" s="267"/>
      <c r="DB316" s="267"/>
      <c r="DC316" s="267"/>
      <c r="DD316" s="267"/>
      <c r="DE316" s="267"/>
      <c r="DF316" s="267"/>
      <c r="DG316" s="267"/>
      <c r="DH316" s="267"/>
      <c r="DI316" s="267"/>
      <c r="DJ316" s="268"/>
      <c r="DK316" s="268"/>
      <c r="DL316" s="268"/>
      <c r="DM316" s="268"/>
      <c r="DN316" s="268"/>
      <c r="DO316" s="268"/>
      <c r="DP316" s="268"/>
      <c r="DQ316" s="268"/>
      <c r="DR316" s="268"/>
      <c r="DS316" s="268"/>
      <c r="DT316" s="268"/>
      <c r="DU316" s="268"/>
      <c r="DV316" s="268"/>
      <c r="DW316" s="268"/>
      <c r="DX316" s="268"/>
      <c r="DY316" s="268"/>
      <c r="EA316" s="13"/>
      <c r="EB316" s="96"/>
      <c r="EC316" s="96"/>
      <c r="ED316" s="96"/>
      <c r="EE316" s="96"/>
      <c r="EF316" s="96"/>
      <c r="EG316" s="96"/>
      <c r="EH316" s="96"/>
      <c r="EI316" s="96"/>
      <c r="EJ316" s="96"/>
      <c r="EK316" s="96"/>
      <c r="EL316" s="96"/>
      <c r="EM316" s="96"/>
      <c r="EN316" s="96"/>
      <c r="EO316" s="96"/>
      <c r="EP316" s="96"/>
      <c r="EQ316" s="96"/>
      <c r="ER316" s="96"/>
      <c r="ES316" s="96"/>
      <c r="ET316" s="96"/>
      <c r="EU316" s="96"/>
      <c r="EV316" s="96"/>
      <c r="EW316" s="96"/>
      <c r="EX316" s="96"/>
      <c r="EY316" s="96"/>
      <c r="EZ316" s="96"/>
      <c r="FA316" s="96"/>
      <c r="FB316" s="96"/>
      <c r="FC316" s="96"/>
      <c r="FD316" s="96"/>
      <c r="FE316" s="96"/>
      <c r="FF316" s="96"/>
      <c r="FG316" s="96"/>
      <c r="FH316" s="96"/>
      <c r="FI316" s="96"/>
      <c r="FJ316" s="96"/>
      <c r="FK316" s="96"/>
      <c r="FL316" s="96"/>
      <c r="FM316" s="96"/>
      <c r="FN316" s="96"/>
      <c r="FO316" s="96"/>
      <c r="FP316" s="96"/>
      <c r="FQ316" s="96"/>
      <c r="FR316" s="96"/>
      <c r="FS316" s="96"/>
      <c r="FT316" s="96"/>
      <c r="FU316" s="96"/>
      <c r="FV316" s="96"/>
      <c r="FW316" s="96"/>
      <c r="FX316" s="96"/>
      <c r="FY316" s="96"/>
      <c r="FZ316" s="96"/>
      <c r="GA316" s="96"/>
      <c r="GB316" s="96"/>
      <c r="GC316" s="96"/>
      <c r="GD316" s="96"/>
      <c r="GE316" s="96"/>
      <c r="GF316" s="96"/>
      <c r="GG316" s="96"/>
      <c r="GH316" s="96"/>
      <c r="GI316" s="96"/>
      <c r="GJ316" s="96"/>
      <c r="GK316" s="96"/>
      <c r="GL316" s="96"/>
      <c r="GM316" s="13"/>
      <c r="GN316" s="96"/>
      <c r="GO316" s="96"/>
      <c r="GP316" s="96"/>
      <c r="GQ316" s="96"/>
      <c r="GR316" s="96"/>
      <c r="GS316" s="96"/>
      <c r="GT316" s="96"/>
      <c r="GU316" s="96"/>
      <c r="GV316" s="96"/>
      <c r="GW316" s="96"/>
      <c r="GX316" s="96"/>
      <c r="GY316" s="96"/>
      <c r="GZ316" s="96"/>
      <c r="HA316" s="96"/>
      <c r="HB316" s="96"/>
      <c r="HC316" s="13"/>
      <c r="HD316" s="96"/>
      <c r="HE316" s="96"/>
      <c r="HF316" s="96"/>
      <c r="HG316" s="96"/>
      <c r="HH316" s="96"/>
      <c r="HI316" s="96"/>
      <c r="HJ316" s="96"/>
      <c r="HK316" s="96"/>
      <c r="HL316" s="96"/>
      <c r="HM316" s="96"/>
      <c r="HN316" s="96"/>
      <c r="HO316" s="96"/>
      <c r="HP316" s="96"/>
      <c r="HQ316" s="96"/>
      <c r="HR316" s="96"/>
      <c r="HS316" s="13"/>
      <c r="HT316" s="96"/>
      <c r="HU316" s="96"/>
      <c r="HV316" s="96"/>
      <c r="HW316" s="96"/>
      <c r="HX316" s="96"/>
      <c r="HY316" s="96"/>
      <c r="HZ316" s="96"/>
      <c r="IA316" s="96"/>
      <c r="IB316" s="96"/>
      <c r="IC316" s="96"/>
      <c r="ID316" s="96"/>
      <c r="IE316" s="96"/>
      <c r="IF316" s="96"/>
      <c r="IG316" s="96"/>
      <c r="IH316" s="96"/>
      <c r="II316" s="13"/>
      <c r="IJ316" s="96"/>
      <c r="IK316" s="96"/>
      <c r="IL316" s="96"/>
      <c r="IM316" s="96"/>
      <c r="IN316" s="96"/>
      <c r="IO316" s="96"/>
      <c r="IP316" s="96"/>
      <c r="IQ316" s="96"/>
      <c r="IR316" s="96"/>
      <c r="IS316" s="96"/>
      <c r="IT316" s="96"/>
      <c r="IU316" s="96"/>
      <c r="IV316" s="96"/>
      <c r="IW316" s="96"/>
      <c r="IX316" s="96"/>
      <c r="IY316" s="13"/>
    </row>
    <row r="317" spans="1:259" outlineLevel="1">
      <c r="A317" s="11">
        <f>'VAC &amp; MED'!C318</f>
        <v>46294</v>
      </c>
      <c r="B317" s="269"/>
      <c r="C317" s="269"/>
      <c r="D317" s="269"/>
      <c r="E317" s="269"/>
      <c r="F317" s="269"/>
      <c r="G317" s="269"/>
      <c r="H317" s="269"/>
      <c r="I317" s="269"/>
      <c r="J317" s="269"/>
      <c r="K317" s="269"/>
      <c r="L317" s="269"/>
      <c r="M317" s="269"/>
      <c r="N317" s="269"/>
      <c r="O317" s="269"/>
      <c r="P317" s="269"/>
      <c r="Q317" s="269"/>
      <c r="R317" s="270"/>
      <c r="S317" s="270"/>
      <c r="T317" s="270"/>
      <c r="U317" s="270"/>
      <c r="V317" s="270"/>
      <c r="W317" s="270"/>
      <c r="X317" s="270"/>
      <c r="Y317" s="270"/>
      <c r="Z317" s="270"/>
      <c r="AA317" s="270"/>
      <c r="AB317" s="270"/>
      <c r="AC317" s="270"/>
      <c r="AD317" s="270"/>
      <c r="AE317" s="270"/>
      <c r="AF317" s="270"/>
      <c r="AG317" s="270"/>
      <c r="AH317" s="271"/>
      <c r="AI317" s="271"/>
      <c r="AJ317" s="271"/>
      <c r="AK317" s="271"/>
      <c r="AL317" s="271"/>
      <c r="AM317" s="271"/>
      <c r="AN317" s="271"/>
      <c r="AO317" s="271"/>
      <c r="AP317" s="271"/>
      <c r="AQ317" s="271"/>
      <c r="AR317" s="271"/>
      <c r="AS317" s="271"/>
      <c r="AT317" s="271"/>
      <c r="AU317" s="271"/>
      <c r="AV317" s="271"/>
      <c r="AW317" s="271"/>
      <c r="AX317" s="272"/>
      <c r="AY317" s="272"/>
      <c r="AZ317" s="272"/>
      <c r="BA317" s="272"/>
      <c r="BB317" s="272"/>
      <c r="BC317" s="272"/>
      <c r="BD317" s="272"/>
      <c r="BE317" s="272"/>
      <c r="BF317" s="272"/>
      <c r="BG317" s="272"/>
      <c r="BH317" s="272"/>
      <c r="BI317" s="272"/>
      <c r="BJ317" s="272"/>
      <c r="BK317" s="272"/>
      <c r="BL317" s="272"/>
      <c r="BM317" s="272"/>
      <c r="BN317" s="273"/>
      <c r="BO317" s="273"/>
      <c r="BP317" s="273"/>
      <c r="BQ317" s="273"/>
      <c r="BR317" s="273"/>
      <c r="BS317" s="273"/>
      <c r="BT317" s="273"/>
      <c r="BU317" s="273"/>
      <c r="BV317" s="273"/>
      <c r="BW317" s="273"/>
      <c r="BX317" s="273"/>
      <c r="BY317" s="273"/>
      <c r="BZ317" s="273"/>
      <c r="CA317" s="273"/>
      <c r="CB317" s="273"/>
      <c r="CC317" s="273"/>
      <c r="CD317" s="274"/>
      <c r="CE317" s="274"/>
      <c r="CF317" s="274"/>
      <c r="CG317" s="274"/>
      <c r="CH317" s="274"/>
      <c r="CI317" s="274"/>
      <c r="CJ317" s="274"/>
      <c r="CK317" s="274"/>
      <c r="CL317" s="274"/>
      <c r="CM317" s="274"/>
      <c r="CN317" s="274"/>
      <c r="CO317" s="274"/>
      <c r="CP317" s="274"/>
      <c r="CQ317" s="274"/>
      <c r="CR317" s="274"/>
      <c r="CS317" s="274"/>
      <c r="CT317" s="275"/>
      <c r="CU317" s="275"/>
      <c r="CV317" s="275"/>
      <c r="CW317" s="275"/>
      <c r="CX317" s="275"/>
      <c r="CY317" s="275"/>
      <c r="CZ317" s="275"/>
      <c r="DA317" s="275"/>
      <c r="DB317" s="275"/>
      <c r="DC317" s="275"/>
      <c r="DD317" s="275"/>
      <c r="DE317" s="275"/>
      <c r="DF317" s="275"/>
      <c r="DG317" s="275"/>
      <c r="DH317" s="275"/>
      <c r="DI317" s="275"/>
      <c r="DJ317" s="276"/>
      <c r="DK317" s="276"/>
      <c r="DL317" s="276"/>
      <c r="DM317" s="276"/>
      <c r="DN317" s="276"/>
      <c r="DO317" s="276"/>
      <c r="DP317" s="276"/>
      <c r="DQ317" s="276"/>
      <c r="DR317" s="276"/>
      <c r="DS317" s="276"/>
      <c r="DT317" s="276"/>
      <c r="DU317" s="276"/>
      <c r="DV317" s="276"/>
      <c r="DW317" s="276"/>
      <c r="DX317" s="276"/>
      <c r="DY317" s="276"/>
      <c r="EA317" s="89"/>
      <c r="EB317" s="96"/>
      <c r="EC317" s="96"/>
      <c r="ED317" s="96"/>
      <c r="EE317" s="96"/>
      <c r="EF317" s="96"/>
      <c r="EG317" s="96"/>
      <c r="EH317" s="96"/>
      <c r="EI317" s="96"/>
      <c r="EJ317" s="96"/>
      <c r="EK317" s="96"/>
      <c r="EL317" s="96"/>
      <c r="EM317" s="96"/>
      <c r="EN317" s="96"/>
      <c r="EO317" s="96"/>
      <c r="EP317" s="96"/>
      <c r="EQ317" s="96"/>
      <c r="ER317" s="96"/>
      <c r="ES317" s="96"/>
      <c r="ET317" s="96"/>
      <c r="EU317" s="96"/>
      <c r="EV317" s="96"/>
      <c r="EW317" s="96"/>
      <c r="EX317" s="96"/>
      <c r="EY317" s="96"/>
      <c r="EZ317" s="96"/>
      <c r="FA317" s="96"/>
      <c r="FB317" s="96"/>
      <c r="FC317" s="96"/>
      <c r="FD317" s="96"/>
      <c r="FE317" s="96"/>
      <c r="FF317" s="96"/>
      <c r="FG317" s="96"/>
      <c r="FH317" s="96"/>
      <c r="FI317" s="96"/>
      <c r="FJ317" s="96"/>
      <c r="FK317" s="96"/>
      <c r="FL317" s="96"/>
      <c r="FM317" s="96"/>
      <c r="FN317" s="96"/>
      <c r="FO317" s="96"/>
      <c r="FP317" s="96"/>
      <c r="FQ317" s="96"/>
      <c r="FR317" s="96"/>
      <c r="FS317" s="96"/>
      <c r="FT317" s="96"/>
      <c r="FU317" s="96"/>
      <c r="FV317" s="96"/>
      <c r="FW317" s="96"/>
      <c r="FX317" s="96"/>
      <c r="FY317" s="96"/>
      <c r="FZ317" s="96"/>
      <c r="GA317" s="96"/>
      <c r="GB317" s="96"/>
      <c r="GC317" s="96"/>
      <c r="GD317" s="96"/>
      <c r="GE317" s="96"/>
      <c r="GF317" s="96"/>
      <c r="GG317" s="96"/>
      <c r="GH317" s="96"/>
      <c r="GI317" s="96"/>
      <c r="GJ317" s="96"/>
      <c r="GK317" s="96"/>
      <c r="GL317" s="96"/>
      <c r="GM317" s="13"/>
      <c r="GN317" s="96"/>
      <c r="GO317" s="96"/>
      <c r="GP317" s="96"/>
      <c r="GQ317" s="96"/>
      <c r="GR317" s="96"/>
      <c r="GS317" s="96"/>
      <c r="GT317" s="96"/>
      <c r="GU317" s="96"/>
      <c r="GV317" s="96"/>
      <c r="GW317" s="96"/>
      <c r="GX317" s="96"/>
      <c r="GY317" s="96"/>
      <c r="GZ317" s="96"/>
      <c r="HA317" s="96"/>
      <c r="HB317" s="96"/>
      <c r="HC317" s="13"/>
      <c r="HD317" s="96"/>
      <c r="HE317" s="96"/>
      <c r="HF317" s="96"/>
      <c r="HG317" s="96"/>
      <c r="HH317" s="96"/>
      <c r="HI317" s="96"/>
      <c r="HJ317" s="96"/>
      <c r="HK317" s="96"/>
      <c r="HL317" s="96"/>
      <c r="HM317" s="96"/>
      <c r="HN317" s="96"/>
      <c r="HO317" s="96"/>
      <c r="HP317" s="96"/>
      <c r="HQ317" s="96"/>
      <c r="HR317" s="96"/>
      <c r="HS317" s="13"/>
      <c r="HT317" s="96"/>
      <c r="HU317" s="96"/>
      <c r="HV317" s="96"/>
      <c r="HW317" s="96"/>
      <c r="HX317" s="96"/>
      <c r="HY317" s="96"/>
      <c r="HZ317" s="96"/>
      <c r="IA317" s="96"/>
      <c r="IB317" s="96"/>
      <c r="IC317" s="96"/>
      <c r="ID317" s="96"/>
      <c r="IE317" s="96"/>
      <c r="IF317" s="96"/>
      <c r="IG317" s="96"/>
      <c r="IH317" s="96"/>
      <c r="II317" s="13"/>
      <c r="IJ317" s="96"/>
      <c r="IK317" s="96"/>
      <c r="IL317" s="96"/>
      <c r="IM317" s="96"/>
      <c r="IN317" s="96"/>
      <c r="IO317" s="96"/>
      <c r="IP317" s="96"/>
      <c r="IQ317" s="96"/>
      <c r="IR317" s="96"/>
      <c r="IS317" s="96"/>
      <c r="IT317" s="96"/>
      <c r="IU317" s="96"/>
      <c r="IV317" s="96"/>
      <c r="IW317" s="96"/>
      <c r="IX317" s="96"/>
      <c r="IY317" s="13"/>
    </row>
    <row r="318" spans="1:259" outlineLevel="1">
      <c r="A318" s="11">
        <f>'VAC &amp; MED'!C319</f>
        <v>46295</v>
      </c>
      <c r="B318" s="261"/>
      <c r="C318" s="261"/>
      <c r="D318" s="261"/>
      <c r="E318" s="261"/>
      <c r="F318" s="261"/>
      <c r="G318" s="261"/>
      <c r="H318" s="261"/>
      <c r="I318" s="261"/>
      <c r="J318" s="261"/>
      <c r="K318" s="261"/>
      <c r="L318" s="261"/>
      <c r="M318" s="261"/>
      <c r="N318" s="261"/>
      <c r="O318" s="261"/>
      <c r="P318" s="261"/>
      <c r="Q318" s="261"/>
      <c r="R318" s="262"/>
      <c r="S318" s="262"/>
      <c r="T318" s="262"/>
      <c r="U318" s="262"/>
      <c r="V318" s="262"/>
      <c r="W318" s="262"/>
      <c r="X318" s="262"/>
      <c r="Y318" s="262"/>
      <c r="Z318" s="262"/>
      <c r="AA318" s="262"/>
      <c r="AB318" s="262"/>
      <c r="AC318" s="262"/>
      <c r="AD318" s="262"/>
      <c r="AE318" s="262"/>
      <c r="AF318" s="262"/>
      <c r="AG318" s="262"/>
      <c r="AH318" s="263"/>
      <c r="AI318" s="263"/>
      <c r="AJ318" s="263"/>
      <c r="AK318" s="263"/>
      <c r="AL318" s="263"/>
      <c r="AM318" s="263"/>
      <c r="AN318" s="263"/>
      <c r="AO318" s="263"/>
      <c r="AP318" s="263"/>
      <c r="AQ318" s="263"/>
      <c r="AR318" s="263"/>
      <c r="AS318" s="263"/>
      <c r="AT318" s="263"/>
      <c r="AU318" s="263"/>
      <c r="AV318" s="263"/>
      <c r="AW318" s="263"/>
      <c r="AX318" s="264"/>
      <c r="AY318" s="264"/>
      <c r="AZ318" s="264"/>
      <c r="BA318" s="264"/>
      <c r="BB318" s="264"/>
      <c r="BC318" s="264"/>
      <c r="BD318" s="264"/>
      <c r="BE318" s="264"/>
      <c r="BF318" s="264"/>
      <c r="BG318" s="264"/>
      <c r="BH318" s="264"/>
      <c r="BI318" s="264"/>
      <c r="BJ318" s="264"/>
      <c r="BK318" s="264"/>
      <c r="BL318" s="264"/>
      <c r="BM318" s="264"/>
      <c r="BN318" s="265"/>
      <c r="BO318" s="265"/>
      <c r="BP318" s="265"/>
      <c r="BQ318" s="265"/>
      <c r="BR318" s="265"/>
      <c r="BS318" s="265"/>
      <c r="BT318" s="265"/>
      <c r="BU318" s="265"/>
      <c r="BV318" s="265"/>
      <c r="BW318" s="265"/>
      <c r="BX318" s="265"/>
      <c r="BY318" s="265"/>
      <c r="BZ318" s="265"/>
      <c r="CA318" s="265"/>
      <c r="CB318" s="265"/>
      <c r="CC318" s="265"/>
      <c r="CD318" s="266"/>
      <c r="CE318" s="266"/>
      <c r="CF318" s="266"/>
      <c r="CG318" s="266"/>
      <c r="CH318" s="266"/>
      <c r="CI318" s="266"/>
      <c r="CJ318" s="266"/>
      <c r="CK318" s="266"/>
      <c r="CL318" s="266"/>
      <c r="CM318" s="266"/>
      <c r="CN318" s="266"/>
      <c r="CO318" s="266"/>
      <c r="CP318" s="266"/>
      <c r="CQ318" s="266"/>
      <c r="CR318" s="266"/>
      <c r="CS318" s="266"/>
      <c r="CT318" s="267"/>
      <c r="CU318" s="267"/>
      <c r="CV318" s="267"/>
      <c r="CW318" s="267"/>
      <c r="CX318" s="267"/>
      <c r="CY318" s="267"/>
      <c r="CZ318" s="267"/>
      <c r="DA318" s="267"/>
      <c r="DB318" s="267"/>
      <c r="DC318" s="267"/>
      <c r="DD318" s="267"/>
      <c r="DE318" s="267"/>
      <c r="DF318" s="267"/>
      <c r="DG318" s="267"/>
      <c r="DH318" s="267"/>
      <c r="DI318" s="267"/>
      <c r="DJ318" s="268"/>
      <c r="DK318" s="268"/>
      <c r="DL318" s="268"/>
      <c r="DM318" s="268"/>
      <c r="DN318" s="268"/>
      <c r="DO318" s="268"/>
      <c r="DP318" s="268"/>
      <c r="DQ318" s="268"/>
      <c r="DR318" s="268"/>
      <c r="DS318" s="268"/>
      <c r="DT318" s="268"/>
      <c r="DU318" s="268"/>
      <c r="DV318" s="268"/>
      <c r="DW318" s="268"/>
      <c r="DX318" s="268"/>
      <c r="DY318" s="268"/>
      <c r="EA318" s="13"/>
      <c r="EB318" s="95"/>
      <c r="EC318" s="95"/>
      <c r="ED318" s="95"/>
      <c r="EE318" s="95"/>
      <c r="EF318" s="95"/>
      <c r="EG318" s="95"/>
      <c r="EH318" s="95"/>
      <c r="EI318" s="95"/>
      <c r="EJ318" s="95"/>
      <c r="EK318" s="95"/>
      <c r="EL318" s="95"/>
      <c r="EM318" s="95"/>
      <c r="EN318" s="95"/>
      <c r="EO318" s="95"/>
      <c r="EP318" s="95"/>
      <c r="EQ318" s="95"/>
      <c r="ER318" s="13"/>
      <c r="ES318" s="13"/>
      <c r="ET318" s="13"/>
      <c r="EU318" s="13"/>
      <c r="EV318" s="13"/>
      <c r="EW318" s="13"/>
      <c r="EX318" s="13"/>
      <c r="EY318" s="13"/>
      <c r="EZ318" s="13"/>
      <c r="FA318" s="13"/>
      <c r="FB318" s="13"/>
      <c r="FC318" s="13"/>
      <c r="FD318" s="13"/>
      <c r="FE318" s="13"/>
      <c r="FF318" s="13"/>
      <c r="FG318" s="13"/>
      <c r="FH318" s="13"/>
      <c r="FI318" s="13"/>
      <c r="FJ318" s="13"/>
      <c r="FK318" s="13"/>
      <c r="FL318" s="13"/>
      <c r="FM318" s="13"/>
      <c r="FN318" s="13"/>
      <c r="FO318" s="13"/>
      <c r="FP318" s="13"/>
      <c r="FQ318" s="13"/>
      <c r="FR318" s="13"/>
      <c r="FS318" s="13"/>
      <c r="FT318" s="13"/>
      <c r="FU318" s="13"/>
      <c r="FV318" s="13"/>
      <c r="FW318" s="13"/>
      <c r="FX318" s="13"/>
      <c r="FY318" s="13"/>
      <c r="FZ318" s="13"/>
      <c r="GA318" s="13"/>
      <c r="GB318" s="13"/>
      <c r="GC318" s="13"/>
      <c r="GD318" s="13"/>
      <c r="GE318" s="13"/>
      <c r="GF318" s="13"/>
      <c r="GG318" s="13"/>
      <c r="GH318" s="13"/>
      <c r="GI318" s="13"/>
      <c r="GJ318" s="13"/>
      <c r="GK318" s="13"/>
      <c r="GL318" s="13"/>
      <c r="GM318" s="13"/>
      <c r="GN318" s="13"/>
      <c r="GO318" s="13"/>
      <c r="GP318" s="13"/>
      <c r="GQ318" s="13"/>
      <c r="GR318" s="13"/>
      <c r="GS318" s="13"/>
      <c r="GT318" s="13"/>
      <c r="GU318" s="13"/>
      <c r="GV318" s="13"/>
      <c r="GW318" s="13"/>
      <c r="GX318" s="13"/>
      <c r="GY318" s="13"/>
      <c r="GZ318" s="13"/>
      <c r="HA318" s="13"/>
      <c r="HB318" s="13"/>
      <c r="HC318" s="13"/>
      <c r="HD318" s="13"/>
      <c r="HE318" s="13"/>
      <c r="HF318" s="13"/>
      <c r="HG318" s="13"/>
      <c r="HH318" s="13"/>
      <c r="HI318" s="13"/>
      <c r="HJ318" s="13"/>
      <c r="HK318" s="13"/>
      <c r="HL318" s="13"/>
      <c r="HM318" s="13"/>
      <c r="HN318" s="13"/>
      <c r="HO318" s="13"/>
      <c r="HP318" s="13"/>
      <c r="HQ318" s="13"/>
      <c r="HR318" s="13"/>
      <c r="HS318" s="13"/>
      <c r="HT318" s="13"/>
      <c r="HU318" s="13"/>
      <c r="HV318" s="13"/>
      <c r="HW318" s="13"/>
      <c r="HX318" s="13"/>
      <c r="HY318" s="13"/>
      <c r="HZ318" s="13"/>
      <c r="IA318" s="13"/>
      <c r="IB318" s="13"/>
      <c r="IC318" s="13"/>
      <c r="ID318" s="13"/>
      <c r="IE318" s="13"/>
      <c r="IF318" s="13"/>
      <c r="IG318" s="13"/>
      <c r="IH318" s="13"/>
      <c r="II318" s="13"/>
      <c r="IJ318" s="13"/>
      <c r="IK318" s="13"/>
      <c r="IL318" s="13"/>
      <c r="IM318" s="13"/>
      <c r="IN318" s="13"/>
      <c r="IO318" s="13"/>
      <c r="IP318" s="13"/>
      <c r="IQ318" s="13"/>
      <c r="IR318" s="13"/>
      <c r="IS318" s="13"/>
      <c r="IT318" s="13"/>
      <c r="IU318" s="13"/>
      <c r="IV318" s="13"/>
      <c r="IW318" s="13"/>
      <c r="IX318" s="13"/>
      <c r="IY318" s="13"/>
    </row>
    <row r="319" spans="1:259" outlineLevel="1">
      <c r="A319" s="11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  <c r="AA319" s="106"/>
      <c r="AB319" s="106"/>
      <c r="AC319" s="106"/>
      <c r="AD319" s="106"/>
      <c r="AE319" s="106"/>
      <c r="AF319" s="106"/>
      <c r="AG319" s="106"/>
      <c r="AH319" s="106"/>
      <c r="AI319" s="106"/>
      <c r="AJ319" s="106"/>
      <c r="AK319" s="106"/>
      <c r="AL319" s="106"/>
      <c r="AM319" s="106"/>
      <c r="AN319" s="106"/>
      <c r="AO319" s="106"/>
      <c r="AP319" s="106"/>
      <c r="AQ319" s="106"/>
      <c r="AR319" s="106"/>
      <c r="AS319" s="106"/>
      <c r="AT319" s="106"/>
      <c r="AU319" s="106"/>
      <c r="AV319" s="106"/>
      <c r="AW319" s="106"/>
      <c r="AX319" s="106"/>
      <c r="AY319" s="106"/>
      <c r="AZ319" s="106"/>
      <c r="BA319" s="106"/>
      <c r="BB319" s="106"/>
      <c r="BC319" s="106"/>
      <c r="BD319" s="106"/>
      <c r="BE319" s="106"/>
      <c r="BF319" s="106"/>
      <c r="BG319" s="106"/>
      <c r="BH319" s="106"/>
      <c r="BI319" s="106"/>
      <c r="BJ319" s="106"/>
      <c r="BK319" s="106"/>
      <c r="BL319" s="106"/>
      <c r="BM319" s="106"/>
      <c r="BN319" s="106"/>
      <c r="BO319" s="106"/>
      <c r="BP319" s="106"/>
      <c r="BQ319" s="106"/>
      <c r="BR319" s="106"/>
      <c r="BS319" s="106"/>
      <c r="BT319" s="106"/>
      <c r="BU319" s="106"/>
      <c r="BV319" s="106"/>
      <c r="BW319" s="106"/>
      <c r="BX319" s="106"/>
      <c r="BY319" s="106"/>
      <c r="BZ319" s="106"/>
      <c r="CA319" s="106"/>
      <c r="CB319" s="106"/>
      <c r="CC319" s="106"/>
      <c r="CD319" s="106"/>
      <c r="CE319" s="106"/>
      <c r="CF319" s="106"/>
      <c r="CG319" s="106"/>
      <c r="CH319" s="106"/>
      <c r="CI319" s="106"/>
      <c r="CJ319" s="106"/>
      <c r="CK319" s="106"/>
      <c r="CL319" s="106"/>
      <c r="CM319" s="106"/>
      <c r="CN319" s="106"/>
      <c r="CO319" s="106"/>
      <c r="CP319" s="106"/>
      <c r="CQ319" s="106"/>
      <c r="CR319" s="106"/>
      <c r="CS319" s="106"/>
      <c r="CT319" s="106"/>
      <c r="CU319" s="106"/>
      <c r="CV319" s="106"/>
      <c r="CW319" s="106"/>
      <c r="CX319" s="106"/>
      <c r="CY319" s="106"/>
      <c r="CZ319" s="106"/>
      <c r="DA319" s="106"/>
      <c r="DB319" s="106"/>
      <c r="DC319" s="106"/>
      <c r="DD319" s="106"/>
      <c r="DE319" s="106"/>
      <c r="DF319" s="106"/>
      <c r="DG319" s="106"/>
      <c r="DH319" s="106"/>
      <c r="DI319" s="106"/>
      <c r="DJ319" s="106"/>
      <c r="DK319" s="106"/>
      <c r="DL319" s="106"/>
      <c r="DM319" s="106"/>
      <c r="DN319" s="106"/>
      <c r="DO319" s="106"/>
      <c r="DP319" s="106"/>
      <c r="DQ319" s="106"/>
      <c r="DR319" s="106"/>
      <c r="DS319" s="106"/>
      <c r="DT319" s="106"/>
      <c r="DU319" s="106"/>
      <c r="DV319" s="106"/>
      <c r="DW319" s="106"/>
      <c r="DX319" s="106"/>
      <c r="DY319" s="106"/>
      <c r="EA319" s="13"/>
      <c r="EB319" s="95"/>
      <c r="EC319" s="95"/>
      <c r="ED319" s="95"/>
      <c r="EE319" s="95"/>
      <c r="EF319" s="95"/>
      <c r="EG319" s="95"/>
      <c r="EH319" s="95"/>
      <c r="EI319" s="95"/>
      <c r="EJ319" s="95"/>
      <c r="EK319" s="95"/>
      <c r="EL319" s="95"/>
      <c r="EM319" s="95"/>
      <c r="EN319" s="95"/>
      <c r="EO319" s="95"/>
      <c r="EP319" s="95"/>
      <c r="EQ319" s="95"/>
      <c r="ER319" s="13"/>
      <c r="ES319" s="13"/>
      <c r="ET319" s="13"/>
      <c r="EU319" s="13"/>
      <c r="EV319" s="13"/>
      <c r="EW319" s="13"/>
      <c r="EX319" s="13"/>
      <c r="EY319" s="13"/>
      <c r="EZ319" s="13"/>
      <c r="FA319" s="13"/>
      <c r="FB319" s="13"/>
      <c r="FC319" s="13"/>
      <c r="FD319" s="13"/>
      <c r="FE319" s="13"/>
      <c r="FF319" s="13"/>
      <c r="FG319" s="13"/>
      <c r="FH319" s="13"/>
      <c r="FI319" s="13"/>
      <c r="FJ319" s="13"/>
      <c r="FK319" s="13"/>
      <c r="FL319" s="13"/>
      <c r="FM319" s="13"/>
      <c r="FN319" s="13"/>
      <c r="FO319" s="13"/>
      <c r="FP319" s="13"/>
      <c r="FQ319" s="13"/>
      <c r="FR319" s="13"/>
      <c r="FS319" s="13"/>
      <c r="FT319" s="13"/>
      <c r="FU319" s="13"/>
      <c r="FV319" s="13"/>
      <c r="FW319" s="13"/>
      <c r="FX319" s="13"/>
      <c r="FY319" s="13"/>
      <c r="FZ319" s="13"/>
      <c r="GA319" s="13"/>
      <c r="GB319" s="13"/>
      <c r="GC319" s="13"/>
      <c r="GD319" s="13"/>
      <c r="GE319" s="13"/>
      <c r="GF319" s="13"/>
      <c r="GG319" s="13"/>
      <c r="GH319" s="13"/>
      <c r="GI319" s="13"/>
      <c r="GJ319" s="13"/>
      <c r="GK319" s="13"/>
      <c r="GL319" s="13"/>
      <c r="GM319" s="13"/>
      <c r="GN319" s="13"/>
      <c r="GO319" s="13"/>
      <c r="GP319" s="13"/>
      <c r="GQ319" s="13"/>
      <c r="GR319" s="13"/>
      <c r="GS319" s="13"/>
      <c r="GT319" s="13"/>
      <c r="GU319" s="13"/>
      <c r="GV319" s="13"/>
      <c r="GW319" s="13"/>
      <c r="GX319" s="13"/>
      <c r="GY319" s="13"/>
      <c r="GZ319" s="13"/>
      <c r="HA319" s="13"/>
      <c r="HB319" s="13"/>
      <c r="HC319" s="13"/>
      <c r="HD319" s="13"/>
      <c r="HE319" s="13"/>
      <c r="HF319" s="13"/>
      <c r="HG319" s="13"/>
      <c r="HH319" s="13"/>
      <c r="HI319" s="13"/>
      <c r="HJ319" s="13"/>
      <c r="HK319" s="13"/>
      <c r="HL319" s="13"/>
      <c r="HM319" s="13"/>
      <c r="HN319" s="13"/>
      <c r="HO319" s="13"/>
      <c r="HP319" s="13"/>
      <c r="HQ319" s="13"/>
      <c r="HR319" s="13"/>
      <c r="HS319" s="13"/>
      <c r="HT319" s="13"/>
      <c r="HU319" s="13"/>
      <c r="HV319" s="13"/>
      <c r="HW319" s="13"/>
      <c r="HX319" s="13"/>
      <c r="HY319" s="13"/>
      <c r="HZ319" s="13"/>
      <c r="IA319" s="13"/>
      <c r="IB319" s="13"/>
      <c r="IC319" s="13"/>
      <c r="ID319" s="13"/>
      <c r="IE319" s="13"/>
      <c r="IF319" s="13"/>
      <c r="IG319" s="13"/>
      <c r="IH319" s="13"/>
      <c r="II319" s="13"/>
      <c r="IJ319" s="13"/>
      <c r="IK319" s="13"/>
      <c r="IL319" s="13"/>
      <c r="IM319" s="13"/>
      <c r="IN319" s="13"/>
      <c r="IO319" s="13"/>
      <c r="IP319" s="13"/>
      <c r="IQ319" s="13"/>
      <c r="IR319" s="13"/>
      <c r="IS319" s="13"/>
      <c r="IT319" s="13"/>
      <c r="IU319" s="13"/>
      <c r="IV319" s="13"/>
      <c r="IW319" s="13"/>
      <c r="IX319" s="13"/>
      <c r="IY319" s="13"/>
    </row>
    <row r="320" spans="1:259" s="122" customFormat="1" ht="30.75" customHeight="1" thickBot="1">
      <c r="B320" s="256" t="str">
        <f>FORMULA!$B$3</f>
        <v>WS 1101 (251124)</v>
      </c>
      <c r="C320" s="256" t="str">
        <f>FORMULA!$D$3</f>
        <v>WS 1101 (220526)</v>
      </c>
      <c r="D320" s="256">
        <f>FORMULA!$F$3</f>
        <v>0</v>
      </c>
      <c r="E320" s="111">
        <f>FORMULA!$H$3</f>
        <v>0</v>
      </c>
      <c r="F320" s="111">
        <f>FORMULA!$J$3</f>
        <v>0</v>
      </c>
      <c r="G320" s="111">
        <f>FORMULA!$L$3</f>
        <v>0</v>
      </c>
      <c r="H320" s="111">
        <f>FORMULA!$N$3</f>
        <v>0</v>
      </c>
      <c r="I320" s="111">
        <f>FORMULA!$P$3</f>
        <v>0</v>
      </c>
      <c r="J320" s="111">
        <f>FORMULA!$R$3</f>
        <v>0</v>
      </c>
      <c r="K320" s="111">
        <f>FORMULA!$T$3</f>
        <v>0</v>
      </c>
      <c r="L320" s="111">
        <f>FORMULA!$V$3</f>
        <v>0</v>
      </c>
      <c r="M320" s="111">
        <f>FORMULA!$X$3</f>
        <v>0</v>
      </c>
      <c r="N320" s="111">
        <f>FORMULA!$Z$3</f>
        <v>0</v>
      </c>
      <c r="O320" s="111">
        <f>FORMULA!$AB$3</f>
        <v>0</v>
      </c>
      <c r="P320" s="111">
        <f>FORMULA!$AD$3</f>
        <v>0</v>
      </c>
      <c r="Q320" s="111"/>
      <c r="R320" s="256" t="str">
        <f>FORMULA!$B$91</f>
        <v>WS 1102 (290825)</v>
      </c>
      <c r="S320" s="256">
        <f>FORMULA!$D$91</f>
        <v>0</v>
      </c>
      <c r="T320" s="256">
        <f>FORMULA!$F$91</f>
        <v>0</v>
      </c>
      <c r="U320" s="256">
        <f>FORMULA!$H$91</f>
        <v>0</v>
      </c>
      <c r="V320" s="256">
        <f>FORMULA!$J$91</f>
        <v>0</v>
      </c>
      <c r="W320" s="111">
        <f>FORMULA!$L$91</f>
        <v>0</v>
      </c>
      <c r="X320" s="111">
        <f>FORMULA!$N$91</f>
        <v>0</v>
      </c>
      <c r="Y320" s="111">
        <f>FORMULA!$P$91</f>
        <v>0</v>
      </c>
      <c r="Z320" s="111">
        <f>FORMULA!$R$91</f>
        <v>0</v>
      </c>
      <c r="AA320" s="111">
        <f>FORMULA!$T$91</f>
        <v>0</v>
      </c>
      <c r="AB320" s="111">
        <f>FORMULA!$V$91</f>
        <v>0</v>
      </c>
      <c r="AC320" s="111">
        <f>FORMULA!$X$91</f>
        <v>0</v>
      </c>
      <c r="AD320" s="111">
        <f>FORMULA!$Z$91</f>
        <v>0</v>
      </c>
      <c r="AE320" s="111">
        <f>FORMULA!$AB$91</f>
        <v>0</v>
      </c>
      <c r="AF320" s="111">
        <f>FORMULA!$AD$91</f>
        <v>0</v>
      </c>
      <c r="AG320" s="111"/>
      <c r="AH320" s="256" t="str">
        <f>FORMULA!$B$179</f>
        <v>WS 1103 (290825)</v>
      </c>
      <c r="AI320" s="256" t="str">
        <f>FORMULA!$D$179</f>
        <v>WS 1103 (220526)</v>
      </c>
      <c r="AJ320" s="256">
        <f>FORMULA!$F$179</f>
        <v>0</v>
      </c>
      <c r="AK320" s="256">
        <f>FORMULA!$H$179</f>
        <v>0</v>
      </c>
      <c r="AL320" s="256">
        <f>FORMULA!$J$179</f>
        <v>0</v>
      </c>
      <c r="AM320" s="256">
        <f>FORMULA!$L$179</f>
        <v>0</v>
      </c>
      <c r="AN320" s="256">
        <f>FORMULA!$N$179</f>
        <v>0</v>
      </c>
      <c r="AO320" s="256">
        <f>FORMULA!$P$179</f>
        <v>0</v>
      </c>
      <c r="AP320" s="111">
        <f>FORMULA!$R$179</f>
        <v>0</v>
      </c>
      <c r="AQ320" s="111">
        <f>FORMULA!$T$179</f>
        <v>0</v>
      </c>
      <c r="AR320" s="111">
        <f>FORMULA!$V$179</f>
        <v>0</v>
      </c>
      <c r="AS320" s="111">
        <f>FORMULA!$X$179</f>
        <v>0</v>
      </c>
      <c r="AT320" s="111">
        <f>FORMULA!$Z$179</f>
        <v>0</v>
      </c>
      <c r="AU320" s="111">
        <f>FORMULA!$AB$179</f>
        <v>0</v>
      </c>
      <c r="AV320" s="111">
        <f>FORMULA!$AD$179</f>
        <v>0</v>
      </c>
      <c r="AW320" s="111"/>
      <c r="AX320" s="111">
        <f>FORMULA!$B$267</f>
        <v>0</v>
      </c>
      <c r="AY320" s="111">
        <f>FORMULA!$D$267</f>
        <v>0</v>
      </c>
      <c r="AZ320" s="111">
        <f>FORMULA!$F$267</f>
        <v>0</v>
      </c>
      <c r="BA320" s="111">
        <f>FORMULA!$H$267</f>
        <v>0</v>
      </c>
      <c r="BB320" s="111">
        <f>FORMULA!$J$267</f>
        <v>0</v>
      </c>
      <c r="BC320" s="111">
        <f>FORMULA!$L$267</f>
        <v>0</v>
      </c>
      <c r="BD320" s="111">
        <f>FORMULA!$N$267</f>
        <v>0</v>
      </c>
      <c r="BE320" s="111">
        <f>FORMULA!$P$267</f>
        <v>0</v>
      </c>
      <c r="BF320" s="111">
        <f>FORMULA!$R$267</f>
        <v>0</v>
      </c>
      <c r="BG320" s="111">
        <f>FORMULA!$T$267</f>
        <v>0</v>
      </c>
      <c r="BH320" s="111">
        <f>FORMULA!$V$267</f>
        <v>0</v>
      </c>
      <c r="BI320" s="111">
        <f>FORMULA!$X$267</f>
        <v>0</v>
      </c>
      <c r="BJ320" s="111">
        <f>FORMULA!$Z$267</f>
        <v>0</v>
      </c>
      <c r="BK320" s="111">
        <f>FORMULA!$AB$267</f>
        <v>0</v>
      </c>
      <c r="BL320" s="111">
        <f>FORMULA!$AD$267</f>
        <v>0</v>
      </c>
      <c r="BM320" s="111"/>
      <c r="BN320" s="111" t="str">
        <f>FORMULA!$B$355</f>
        <v>WS 8100 (290825)</v>
      </c>
      <c r="BO320" s="111" t="str">
        <f>FORMULA!$D$355</f>
        <v>WS 8100 (280426)</v>
      </c>
      <c r="BP320" s="111">
        <f>FORMULA!$F$355</f>
        <v>0</v>
      </c>
      <c r="BQ320" s="111" t="str">
        <f>FORMULA!$H$355</f>
        <v>WS 8102 (290825)</v>
      </c>
      <c r="BR320" s="111" t="str">
        <f>FORMULA!$J$355</f>
        <v>WS 8102 (121225)</v>
      </c>
      <c r="BS320" s="111" t="str">
        <f>FORMULA!$L$355</f>
        <v>WS 8102 (020326)</v>
      </c>
      <c r="BT320" s="111" t="str">
        <f>FORMULA!$N$355</f>
        <v>WS 8102 (020326)</v>
      </c>
      <c r="BU320" s="111" t="str">
        <f>FORMULA!$P$355</f>
        <v>WS 8102 (060526)</v>
      </c>
      <c r="BV320" s="111" t="str">
        <f>FORMULA!$R$355</f>
        <v>WS 8102 (060526)</v>
      </c>
      <c r="BW320" s="111" t="str">
        <f>FORMULA!$T$355</f>
        <v>WS 8103 (070526)</v>
      </c>
      <c r="BX320" s="111" t="str">
        <f>FORMULA!$V$355</f>
        <v>WS 8102 (070526)</v>
      </c>
      <c r="BY320" s="111" t="str">
        <f>FORMULA!$X$355</f>
        <v>WS 8103 (061125)</v>
      </c>
      <c r="BZ320" s="111" t="str">
        <f>FORMULA!$Z$355</f>
        <v>WS 8103 (250226)</v>
      </c>
      <c r="CA320" s="111" t="str">
        <f>FORMULA!$AB$355</f>
        <v>WS 8102 (080526)</v>
      </c>
      <c r="CB320" s="111" t="str">
        <f>FORMULA!$AD$355</f>
        <v>WS 8109 (080526)</v>
      </c>
      <c r="CC320" s="111"/>
      <c r="CD320" s="111" t="str">
        <f>FORMULA!$B$443</f>
        <v>YH 121 (050226)</v>
      </c>
      <c r="CE320" s="111" t="str">
        <f>FORMULA!$D$443</f>
        <v>YH 121 (190326)</v>
      </c>
      <c r="CF320" s="111" t="str">
        <f>FORMULA!$F$443</f>
        <v>YH 121 (020426)</v>
      </c>
      <c r="CG320" s="111">
        <f>FORMULA!$H$443</f>
        <v>0</v>
      </c>
      <c r="CH320" s="111">
        <f>FORMULA!$J$443</f>
        <v>0</v>
      </c>
      <c r="CI320" s="111">
        <f>FORMULA!$L$443</f>
        <v>0</v>
      </c>
      <c r="CJ320" s="111">
        <f>FORMULA!$N$443</f>
        <v>0</v>
      </c>
      <c r="CK320" s="111">
        <f>FORMULA!$P$443</f>
        <v>0</v>
      </c>
      <c r="CL320" s="111">
        <f>FORMULA!$R$443</f>
        <v>0</v>
      </c>
      <c r="CM320" s="111" t="str">
        <f>FORMULA!$T$443</f>
        <v>311 (130526)</v>
      </c>
      <c r="CN320" s="111" t="str">
        <f>FORMULA!$V$443</f>
        <v>312 (130526)</v>
      </c>
      <c r="CO320" s="111">
        <f>FORMULA!$X$443</f>
        <v>0</v>
      </c>
      <c r="CP320" s="111">
        <f>FORMULA!$Z$443</f>
        <v>0</v>
      </c>
      <c r="CQ320" s="111">
        <f>FORMULA!$AB$443</f>
        <v>0</v>
      </c>
      <c r="CR320" s="111">
        <f>FORMULA!$AD$443</f>
        <v>0</v>
      </c>
      <c r="CS320" s="111"/>
      <c r="CT320" s="111" t="str">
        <f>FORMULA!$B$531</f>
        <v>YH 122 (050226)</v>
      </c>
      <c r="CU320" s="111" t="str">
        <f>FORMULA!$D$531</f>
        <v>YH 122 (190326)</v>
      </c>
      <c r="CV320" s="111" t="str">
        <f>FORMULA!$F$531</f>
        <v>YH 122 (200426)</v>
      </c>
      <c r="CW320" s="111">
        <f>FORMULA!$H$531</f>
        <v>0</v>
      </c>
      <c r="CX320" s="111">
        <f>FORMULA!$J$531</f>
        <v>0</v>
      </c>
      <c r="CY320" s="111">
        <f>FORMULA!$L$531</f>
        <v>0</v>
      </c>
      <c r="CZ320" s="111" t="str">
        <f>FORMULA!$N$531</f>
        <v>5201 (090426)</v>
      </c>
      <c r="DA320" s="111" t="str">
        <f>FORMULA!$P$531</f>
        <v>5201 (090426)</v>
      </c>
      <c r="DB320" s="111">
        <f>FORMULA!$R$531</f>
        <v>0</v>
      </c>
      <c r="DC320" s="111" t="str">
        <f>FORMULA!$T$531</f>
        <v>5202 (090426)</v>
      </c>
      <c r="DD320" s="111" t="str">
        <f>FORMULA!$V$531</f>
        <v>5202 (090426)</v>
      </c>
      <c r="DE320" s="111">
        <f>FORMULA!$X$531</f>
        <v>0</v>
      </c>
      <c r="DF320" s="111" t="str">
        <f>FORMULA!$Z$531</f>
        <v>5203 (090426)</v>
      </c>
      <c r="DG320" s="111" t="str">
        <f>FORMULA!$AB$531</f>
        <v>5203 (090426)</v>
      </c>
      <c r="DH320" s="111">
        <f>FORMULA!$AD$531</f>
        <v>0</v>
      </c>
      <c r="DI320" s="111"/>
      <c r="DJ320" s="111" t="str">
        <f>FORMULA!$B$619</f>
        <v>YH 123 (050226)</v>
      </c>
      <c r="DK320" s="111" t="str">
        <f>FORMULA!$D$619</f>
        <v>YH 123 (130326)</v>
      </c>
      <c r="DL320" s="111" t="str">
        <f>FORMULA!$F$619</f>
        <v>YH 123 (190326)</v>
      </c>
      <c r="DM320" s="111" t="str">
        <f>FORMULA!$H$619</f>
        <v>YH 123 (200426)</v>
      </c>
      <c r="DN320" s="111">
        <f>FORMULA!$J$619</f>
        <v>0</v>
      </c>
      <c r="DO320" s="111">
        <f>FORMULA!$L$619</f>
        <v>0</v>
      </c>
      <c r="DP320" s="111">
        <f>FORMULA!$N$619</f>
        <v>0</v>
      </c>
      <c r="DQ320" s="111">
        <f>FORMULA!$P$619</f>
        <v>0</v>
      </c>
      <c r="DR320" s="111">
        <f>FORMULA!$R$619</f>
        <v>0</v>
      </c>
      <c r="DS320" s="111">
        <f>FORMULA!$T$619</f>
        <v>0</v>
      </c>
      <c r="DT320" s="111">
        <f>FORMULA!$V$619</f>
        <v>0</v>
      </c>
      <c r="DU320" s="111">
        <f>FORMULA!$X$619</f>
        <v>0</v>
      </c>
      <c r="DV320" s="111">
        <f>FORMULA!$Z$619</f>
        <v>0</v>
      </c>
      <c r="DW320" s="111">
        <f>FORMULA!$AB$619</f>
        <v>0</v>
      </c>
      <c r="DX320" s="111">
        <f>FORMULA!$AD$619</f>
        <v>0</v>
      </c>
      <c r="DY320" s="111"/>
      <c r="EA320" s="118"/>
      <c r="EB320" s="119"/>
      <c r="EC320" s="119"/>
      <c r="ED320" s="119"/>
      <c r="EE320" s="119"/>
      <c r="EF320" s="119"/>
      <c r="EG320" s="119"/>
      <c r="EH320" s="119"/>
      <c r="EI320" s="119"/>
      <c r="EJ320" s="119"/>
      <c r="EK320" s="119"/>
      <c r="EL320" s="119"/>
      <c r="EM320" s="119"/>
      <c r="EN320" s="119"/>
      <c r="EO320" s="119"/>
      <c r="EP320" s="119"/>
      <c r="EQ320" s="119"/>
      <c r="ER320" s="118"/>
      <c r="ES320" s="118"/>
      <c r="ET320" s="118"/>
      <c r="EU320" s="118"/>
      <c r="EV320" s="118"/>
      <c r="EW320" s="118"/>
      <c r="EX320" s="118"/>
      <c r="EY320" s="118"/>
      <c r="EZ320" s="118"/>
      <c r="FA320" s="118"/>
      <c r="FB320" s="118"/>
      <c r="FC320" s="118"/>
      <c r="FD320" s="118"/>
      <c r="FE320" s="118"/>
      <c r="FF320" s="118"/>
      <c r="FG320" s="118"/>
      <c r="FH320" s="118"/>
      <c r="FI320" s="118"/>
      <c r="FJ320" s="118"/>
      <c r="FK320" s="118"/>
      <c r="FL320" s="118"/>
      <c r="FM320" s="118"/>
      <c r="FN320" s="118"/>
      <c r="FO320" s="118"/>
      <c r="FP320" s="118"/>
      <c r="FQ320" s="118"/>
      <c r="FR320" s="118"/>
      <c r="FS320" s="118"/>
      <c r="FT320" s="118"/>
      <c r="FU320" s="118"/>
      <c r="FV320" s="118"/>
      <c r="FW320" s="118"/>
      <c r="FX320" s="118"/>
      <c r="FY320" s="118"/>
      <c r="FZ320" s="118"/>
      <c r="GA320" s="118"/>
      <c r="GB320" s="118"/>
      <c r="GC320" s="118"/>
      <c r="GD320" s="118"/>
      <c r="GE320" s="118"/>
      <c r="GF320" s="118"/>
      <c r="GG320" s="118"/>
      <c r="GH320" s="118"/>
      <c r="GI320" s="118"/>
      <c r="GJ320" s="118"/>
      <c r="GK320" s="118"/>
      <c r="GL320" s="118"/>
      <c r="GM320" s="118"/>
      <c r="GN320" s="118"/>
      <c r="GO320" s="118"/>
      <c r="GP320" s="118"/>
      <c r="GQ320" s="118"/>
      <c r="GR320" s="118"/>
      <c r="GS320" s="118"/>
      <c r="GT320" s="118"/>
      <c r="GU320" s="118"/>
      <c r="GV320" s="118"/>
      <c r="GW320" s="118"/>
      <c r="GX320" s="118"/>
      <c r="GY320" s="118"/>
      <c r="GZ320" s="118"/>
      <c r="HA320" s="118"/>
      <c r="HB320" s="118"/>
      <c r="HC320" s="118"/>
      <c r="HD320" s="118"/>
      <c r="HE320" s="118"/>
      <c r="HF320" s="118"/>
      <c r="HG320" s="118"/>
      <c r="HH320" s="118"/>
      <c r="HI320" s="118"/>
      <c r="HJ320" s="118"/>
      <c r="HK320" s="118"/>
      <c r="HL320" s="118"/>
      <c r="HM320" s="118"/>
      <c r="HN320" s="118"/>
      <c r="HO320" s="118"/>
      <c r="HP320" s="118"/>
      <c r="HQ320" s="118"/>
      <c r="HR320" s="118"/>
      <c r="HS320" s="118"/>
      <c r="HT320" s="118"/>
      <c r="HU320" s="118"/>
      <c r="HV320" s="118"/>
      <c r="HW320" s="118"/>
      <c r="HX320" s="118"/>
      <c r="HY320" s="118"/>
      <c r="HZ320" s="118"/>
      <c r="IA320" s="118"/>
      <c r="IB320" s="118"/>
      <c r="IC320" s="118"/>
      <c r="ID320" s="118"/>
      <c r="IE320" s="118"/>
      <c r="IF320" s="118"/>
      <c r="IG320" s="118"/>
      <c r="IH320" s="118"/>
      <c r="II320" s="118"/>
      <c r="IJ320" s="118"/>
      <c r="IK320" s="118"/>
      <c r="IL320" s="118"/>
      <c r="IM320" s="118"/>
      <c r="IN320" s="118"/>
      <c r="IO320" s="118"/>
      <c r="IP320" s="118"/>
      <c r="IQ320" s="118"/>
      <c r="IR320" s="118"/>
      <c r="IS320" s="118"/>
      <c r="IT320" s="118"/>
      <c r="IU320" s="118"/>
      <c r="IV320" s="118"/>
      <c r="IW320" s="118"/>
      <c r="IX320" s="118"/>
      <c r="IY320" s="118"/>
    </row>
    <row r="321" spans="1:259" s="124" customFormat="1" ht="30.4" customHeight="1" thickBot="1">
      <c r="A321" s="123" t="s">
        <v>158</v>
      </c>
      <c r="B321" s="257" t="str">
        <f>FORMULA!$B$4</f>
        <v>N01309AY</v>
      </c>
      <c r="C321" s="258">
        <f>FORMULA!$D$4</f>
        <v>0</v>
      </c>
      <c r="D321" s="258">
        <f>FORMULA!$F$4</f>
        <v>0</v>
      </c>
      <c r="E321" s="113">
        <f>FORMULA!$H$4</f>
        <v>0</v>
      </c>
      <c r="F321" s="113">
        <f>FORMULA!$J$4</f>
        <v>0</v>
      </c>
      <c r="G321" s="113">
        <f>FORMULA!$L$4</f>
        <v>0</v>
      </c>
      <c r="H321" s="113">
        <f>FORMULA!$N$4</f>
        <v>0</v>
      </c>
      <c r="I321" s="113">
        <f>FORMULA!$P$4</f>
        <v>0</v>
      </c>
      <c r="J321" s="113">
        <f>FORMULA!$R$4</f>
        <v>0</v>
      </c>
      <c r="K321" s="113">
        <f>FORMULA!$T$4</f>
        <v>0</v>
      </c>
      <c r="L321" s="113">
        <f>FORMULA!$V$4</f>
        <v>0</v>
      </c>
      <c r="M321" s="113">
        <f>FORMULA!$X$4</f>
        <v>0</v>
      </c>
      <c r="N321" s="113">
        <f>FORMULA!$Z$4</f>
        <v>0</v>
      </c>
      <c r="O321" s="113">
        <f>FORMULA!$AB$4</f>
        <v>0</v>
      </c>
      <c r="P321" s="113">
        <f>FORMULA!$AD$4</f>
        <v>0</v>
      </c>
      <c r="Q321" s="114"/>
      <c r="R321" s="257" t="str">
        <f>FORMULA!$B$92</f>
        <v>N025-06</v>
      </c>
      <c r="S321" s="258">
        <f>FORMULA!$D$92</f>
        <v>0</v>
      </c>
      <c r="T321" s="258">
        <f>FORMULA!$F$92</f>
        <v>0</v>
      </c>
      <c r="U321" s="258">
        <f>FORMULA!$H$92</f>
        <v>0</v>
      </c>
      <c r="V321" s="258">
        <f>FORMULA!$J$92</f>
        <v>0</v>
      </c>
      <c r="W321" s="113">
        <f>FORMULA!$L$92</f>
        <v>0</v>
      </c>
      <c r="X321" s="113">
        <f>FORMULA!$N$92</f>
        <v>0</v>
      </c>
      <c r="Y321" s="113">
        <f>FORMULA!$P$92</f>
        <v>0</v>
      </c>
      <c r="Z321" s="113">
        <f>FORMULA!$R$92</f>
        <v>0</v>
      </c>
      <c r="AA321" s="113">
        <f>FORMULA!$T$92</f>
        <v>0</v>
      </c>
      <c r="AB321" s="113">
        <f>FORMULA!$V$92</f>
        <v>0</v>
      </c>
      <c r="AC321" s="113">
        <f>FORMULA!$X$92</f>
        <v>0</v>
      </c>
      <c r="AD321" s="113">
        <f>FORMULA!$Z$92</f>
        <v>0</v>
      </c>
      <c r="AE321" s="113">
        <f>FORMULA!$AB$92</f>
        <v>0</v>
      </c>
      <c r="AF321" s="113">
        <f>FORMULA!$AD$92</f>
        <v>0</v>
      </c>
      <c r="AG321" s="114"/>
      <c r="AH321" s="257" t="str">
        <f>FORMULA!$B$180</f>
        <v>N035-06</v>
      </c>
      <c r="AI321" s="258" t="str">
        <f>FORMULA!$D$180</f>
        <v>WITH 1103 TOP UP</v>
      </c>
      <c r="AJ321" s="258">
        <f>FORMULA!$F$180</f>
        <v>0</v>
      </c>
      <c r="AK321" s="258">
        <f>FORMULA!$H$180</f>
        <v>0</v>
      </c>
      <c r="AL321" s="258">
        <f>FORMULA!$J$180</f>
        <v>0</v>
      </c>
      <c r="AM321" s="258">
        <f>FORMULA!$L$180</f>
        <v>0</v>
      </c>
      <c r="AN321" s="258">
        <f>FORMULA!$N$180</f>
        <v>0</v>
      </c>
      <c r="AO321" s="258">
        <f>FORMULA!$P$180</f>
        <v>0</v>
      </c>
      <c r="AP321" s="113">
        <f>FORMULA!$R$180</f>
        <v>0</v>
      </c>
      <c r="AQ321" s="113">
        <f>FORMULA!$T$180</f>
        <v>0</v>
      </c>
      <c r="AR321" s="113">
        <f>FORMULA!$V$180</f>
        <v>0</v>
      </c>
      <c r="AS321" s="113">
        <f>FORMULA!$X$180</f>
        <v>0</v>
      </c>
      <c r="AT321" s="113">
        <f>FORMULA!$Z$180</f>
        <v>0</v>
      </c>
      <c r="AU321" s="113">
        <f>FORMULA!$AB$180</f>
        <v>0</v>
      </c>
      <c r="AV321" s="113">
        <f>FORMULA!$AD$180</f>
        <v>0</v>
      </c>
      <c r="AW321" s="114"/>
      <c r="AX321" s="112">
        <f>FORMULA!$B$268</f>
        <v>0</v>
      </c>
      <c r="AY321" s="113">
        <f>FORMULA!$D$268</f>
        <v>0</v>
      </c>
      <c r="AZ321" s="113">
        <f>FORMULA!$F$268</f>
        <v>0</v>
      </c>
      <c r="BA321" s="113">
        <f>FORMULA!$H$268</f>
        <v>0</v>
      </c>
      <c r="BB321" s="113">
        <f>FORMULA!$J$268</f>
        <v>0</v>
      </c>
      <c r="BC321" s="113">
        <f>FORMULA!$L$268</f>
        <v>0</v>
      </c>
      <c r="BD321" s="113">
        <f>FORMULA!$N$268</f>
        <v>0</v>
      </c>
      <c r="BE321" s="113">
        <f>FORMULA!$P$268</f>
        <v>0</v>
      </c>
      <c r="BF321" s="113">
        <f>FORMULA!$R$268</f>
        <v>0</v>
      </c>
      <c r="BG321" s="113">
        <f>FORMULA!$T$268</f>
        <v>0</v>
      </c>
      <c r="BH321" s="113">
        <f>FORMULA!$V$268</f>
        <v>0</v>
      </c>
      <c r="BI321" s="113">
        <f>FORMULA!$X$268</f>
        <v>0</v>
      </c>
      <c r="BJ321" s="113">
        <f>FORMULA!$Z$268</f>
        <v>0</v>
      </c>
      <c r="BK321" s="113">
        <f>FORMULA!$AB$268</f>
        <v>0</v>
      </c>
      <c r="BL321" s="113">
        <f>FORMULA!$AD$268</f>
        <v>0</v>
      </c>
      <c r="BM321" s="114"/>
      <c r="BN321" s="111" t="str">
        <f>FORMULA!$B$356</f>
        <v>NR 14-04</v>
      </c>
      <c r="BO321" s="111">
        <f>FORMULA!$D$356</f>
        <v>0</v>
      </c>
      <c r="BP321" s="111">
        <f>FORMULA!$F$356</f>
        <v>0</v>
      </c>
      <c r="BQ321" s="111" t="str">
        <f>FORMULA!$H$356</f>
        <v>NR 24-04Z</v>
      </c>
      <c r="BR321" s="111" t="str">
        <f>FORMULA!$J$356</f>
        <v>WITH BMD</v>
      </c>
      <c r="BS321" s="111" t="str">
        <f>FORMULA!$L$356</f>
        <v>8102 Top Up&amp;PM 8108</v>
      </c>
      <c r="BT321" s="111" t="str">
        <f>FORMULA!$N$356</f>
        <v>8102 Top Up&amp;PM 8102</v>
      </c>
      <c r="BU321" s="111" t="str">
        <f>FORMULA!$P$356</f>
        <v>8102 Top Up&amp;PM 8102</v>
      </c>
      <c r="BV321" s="111" t="str">
        <f>FORMULA!$R$356</f>
        <v>8102 Top Up&amp;PM 8108</v>
      </c>
      <c r="BW321" s="111" t="str">
        <f>FORMULA!$T$356</f>
        <v>8103 Top Up&amp;PM 8103</v>
      </c>
      <c r="BX321" s="111" t="str">
        <f>FORMULA!$V$356</f>
        <v>8103 Top Up&amp;PM 8109</v>
      </c>
      <c r="BY321" s="111" t="str">
        <f>FORMULA!$X$356</f>
        <v xml:space="preserve">NR 34-04 </v>
      </c>
      <c r="BZ321" s="111" t="str">
        <f>FORMULA!$Z$356</f>
        <v xml:space="preserve">NR 34-04 </v>
      </c>
      <c r="CA321" s="111" t="str">
        <f>FORMULA!$AB$356</f>
        <v>8102 TOP UP</v>
      </c>
      <c r="CB321" s="111" t="str">
        <f>FORMULA!$AD$356</f>
        <v>8103 TOP UP</v>
      </c>
      <c r="CC321" s="114"/>
      <c r="CD321" s="111" t="str">
        <f>FORMULA!$B$444</f>
        <v>SOYTIDE&amp;TOXISORB</v>
      </c>
      <c r="CE321" s="111" t="str">
        <f>FORMULA!$D$444</f>
        <v>SOYTIDE&amp;TOXIWALL</v>
      </c>
      <c r="CF321" s="111" t="str">
        <f>FORMULA!$F$444</f>
        <v>EP 200&amp;TOXIWALL</v>
      </c>
      <c r="CG321" s="111">
        <f>FORMULA!$H$444</f>
        <v>0</v>
      </c>
      <c r="CH321" s="111">
        <f>FORMULA!$J$444</f>
        <v>0</v>
      </c>
      <c r="CI321" s="111">
        <f>FORMULA!$L$444</f>
        <v>0</v>
      </c>
      <c r="CJ321" s="111">
        <f>FORMULA!$N$444</f>
        <v>0</v>
      </c>
      <c r="CK321" s="111">
        <f>FORMULA!$P$444</f>
        <v>0</v>
      </c>
      <c r="CL321" s="111">
        <f>FORMULA!$R$444</f>
        <v>0</v>
      </c>
      <c r="CM321" s="111">
        <f>FORMULA!$T$444</f>
        <v>0</v>
      </c>
      <c r="CN321" s="111">
        <f>FORMULA!$V$444</f>
        <v>0</v>
      </c>
      <c r="CO321" s="111">
        <f>FORMULA!$X$444</f>
        <v>0</v>
      </c>
      <c r="CP321" s="111">
        <f>FORMULA!$Z$444</f>
        <v>0</v>
      </c>
      <c r="CQ321" s="111">
        <f>FORMULA!$AB$444</f>
        <v>0</v>
      </c>
      <c r="CR321" s="111">
        <f>FORMULA!$AD$444</f>
        <v>0</v>
      </c>
      <c r="CS321" s="114"/>
      <c r="CT321" s="111" t="str">
        <f>FORMULA!$B$532</f>
        <v>WITH TOXISORB</v>
      </c>
      <c r="CU321" s="111" t="str">
        <f>FORMULA!$D$532</f>
        <v>WITH TOXIWALL</v>
      </c>
      <c r="CV321" s="111" t="str">
        <f>FORMULA!$F$532</f>
        <v>WITH TOXIWALL, YM 20.50kg</v>
      </c>
      <c r="CW321" s="111">
        <f>FORMULA!$H$532</f>
        <v>0</v>
      </c>
      <c r="CX321" s="111">
        <f>FORMULA!$J$532</f>
        <v>0</v>
      </c>
      <c r="CY321" s="111">
        <f>FORMULA!$L$532</f>
        <v>0</v>
      </c>
      <c r="CZ321" s="111">
        <f>FORMULA!$N$532</f>
        <v>0</v>
      </c>
      <c r="DA321" s="111" t="str">
        <f>FORMULA!$P$532</f>
        <v>REDUCE CORN FOR 2MT</v>
      </c>
      <c r="DB321" s="111">
        <f>FORMULA!$R$532</f>
        <v>0</v>
      </c>
      <c r="DC321" s="111">
        <f>FORMULA!$T$532</f>
        <v>0</v>
      </c>
      <c r="DD321" s="111" t="str">
        <f>FORMULA!$V$532</f>
        <v>K20</v>
      </c>
      <c r="DE321" s="111">
        <f>FORMULA!$X$532</f>
        <v>0</v>
      </c>
      <c r="DF321" s="111" t="str">
        <f>FORMULA!$Z$532</f>
        <v>ALREADY 2MT</v>
      </c>
      <c r="DG321" s="111" t="str">
        <f>FORMULA!$AB$532</f>
        <v>K21</v>
      </c>
      <c r="DH321" s="111">
        <f>FORMULA!$AD$532</f>
        <v>0</v>
      </c>
      <c r="DI321" s="114"/>
      <c r="DJ321" s="111" t="str">
        <f>FORMULA!$B$620</f>
        <v>WITH TOXISORB</v>
      </c>
      <c r="DK321" s="111" t="str">
        <f>FORMULA!$D$620</f>
        <v>WITHOUT WHEAT POLLARD</v>
      </c>
      <c r="DL321" s="111" t="str">
        <f>FORMULA!$F$620</f>
        <v>WITH TOXIWALL</v>
      </c>
      <c r="DM321" s="111" t="str">
        <f>FORMULA!$H$620</f>
        <v>WITH TOXIWALL, YM 20.00kg</v>
      </c>
      <c r="DN321" s="111">
        <f>FORMULA!$J$620</f>
        <v>0</v>
      </c>
      <c r="DO321" s="111">
        <f>FORMULA!$L$620</f>
        <v>0</v>
      </c>
      <c r="DP321" s="111">
        <f>FORMULA!$N$620</f>
        <v>0</v>
      </c>
      <c r="DQ321" s="111">
        <f>FORMULA!$P$620</f>
        <v>0</v>
      </c>
      <c r="DR321" s="111">
        <f>FORMULA!$R$620</f>
        <v>0</v>
      </c>
      <c r="DS321" s="111">
        <f>FORMULA!$T$620</f>
        <v>0</v>
      </c>
      <c r="DT321" s="111">
        <f>FORMULA!$V$620</f>
        <v>0</v>
      </c>
      <c r="DU321" s="111">
        <f>FORMULA!$X$620</f>
        <v>0</v>
      </c>
      <c r="DV321" s="111">
        <f>FORMULA!$Z$620</f>
        <v>0</v>
      </c>
      <c r="DW321" s="111">
        <f>FORMULA!$AB$620</f>
        <v>0</v>
      </c>
      <c r="DX321" s="111">
        <f>FORMULA!$AD$620</f>
        <v>0</v>
      </c>
      <c r="DY321" s="114"/>
      <c r="EA321" s="721"/>
      <c r="EB321" s="721"/>
      <c r="EC321" s="721"/>
      <c r="ED321" s="721"/>
      <c r="EE321" s="721"/>
      <c r="EF321" s="721"/>
      <c r="EG321" s="721"/>
      <c r="EH321" s="721"/>
      <c r="EI321" s="721"/>
      <c r="EJ321" s="721"/>
      <c r="EK321" s="721"/>
      <c r="EL321" s="120"/>
      <c r="EM321" s="120"/>
      <c r="EN321" s="120"/>
      <c r="EO321" s="120"/>
      <c r="EP321" s="120"/>
      <c r="EQ321" s="120"/>
      <c r="ER321" s="721"/>
      <c r="ES321" s="721"/>
      <c r="ET321" s="721"/>
      <c r="EU321" s="721"/>
      <c r="EV321" s="721"/>
      <c r="EW321" s="721"/>
      <c r="EX321" s="721"/>
      <c r="EY321" s="721"/>
      <c r="EZ321" s="721"/>
      <c r="FA321" s="721"/>
      <c r="FB321" s="721"/>
      <c r="FC321" s="721"/>
      <c r="FD321" s="721"/>
      <c r="FE321" s="721"/>
      <c r="FF321" s="721"/>
      <c r="FG321" s="120"/>
      <c r="FH321" s="721"/>
      <c r="FI321" s="721"/>
      <c r="FJ321" s="721"/>
      <c r="FK321" s="721"/>
      <c r="FL321" s="721"/>
      <c r="FM321" s="721"/>
      <c r="FN321" s="721"/>
      <c r="FO321" s="721"/>
      <c r="FP321" s="721"/>
      <c r="FQ321" s="721"/>
      <c r="FR321" s="721"/>
      <c r="FS321" s="721"/>
      <c r="FT321" s="721"/>
      <c r="FU321" s="721"/>
      <c r="FV321" s="721"/>
      <c r="FW321" s="120"/>
      <c r="FX321" s="721"/>
      <c r="FY321" s="721"/>
      <c r="FZ321" s="721"/>
      <c r="GA321" s="721"/>
      <c r="GB321" s="721"/>
      <c r="GC321" s="721"/>
      <c r="GD321" s="721"/>
      <c r="GE321" s="721"/>
      <c r="GF321" s="721"/>
      <c r="GG321" s="721"/>
      <c r="GH321" s="721"/>
      <c r="GI321" s="721"/>
      <c r="GJ321" s="721"/>
      <c r="GK321" s="721"/>
      <c r="GL321" s="721"/>
      <c r="GM321" s="121"/>
      <c r="GN321" s="721"/>
      <c r="GO321" s="721"/>
      <c r="GP321" s="721"/>
      <c r="GQ321" s="721"/>
      <c r="GR321" s="721"/>
      <c r="GS321" s="721"/>
      <c r="GT321" s="721"/>
      <c r="GU321" s="721"/>
      <c r="GV321" s="721"/>
      <c r="GW321" s="721"/>
      <c r="GX321" s="721"/>
      <c r="GY321" s="721"/>
      <c r="GZ321" s="721"/>
      <c r="HA321" s="721"/>
      <c r="HB321" s="721"/>
      <c r="HC321" s="121"/>
      <c r="HD321" s="721"/>
      <c r="HE321" s="721"/>
      <c r="HF321" s="721"/>
      <c r="HG321" s="721"/>
      <c r="HH321" s="721"/>
      <c r="HI321" s="721"/>
      <c r="HJ321" s="721"/>
      <c r="HK321" s="721"/>
      <c r="HL321" s="721"/>
      <c r="HM321" s="721"/>
      <c r="HN321" s="721"/>
      <c r="HO321" s="721"/>
      <c r="HP321" s="721"/>
      <c r="HQ321" s="721"/>
      <c r="HR321" s="721"/>
      <c r="HS321" s="121"/>
      <c r="HT321" s="721"/>
      <c r="HU321" s="721"/>
      <c r="HV321" s="721"/>
      <c r="HW321" s="721"/>
      <c r="HX321" s="721"/>
      <c r="HY321" s="721"/>
      <c r="HZ321" s="721"/>
      <c r="IA321" s="721"/>
      <c r="IB321" s="721"/>
      <c r="IC321" s="721"/>
      <c r="ID321" s="721"/>
      <c r="IE321" s="721"/>
      <c r="IF321" s="721"/>
      <c r="IG321" s="721"/>
      <c r="IH321" s="721"/>
      <c r="II321" s="121"/>
      <c r="IJ321" s="721"/>
      <c r="IK321" s="721"/>
      <c r="IL321" s="721"/>
      <c r="IM321" s="721"/>
      <c r="IN321" s="721"/>
      <c r="IO321" s="721"/>
      <c r="IP321" s="721"/>
      <c r="IQ321" s="721"/>
      <c r="IR321" s="721"/>
      <c r="IS321" s="721"/>
      <c r="IT321" s="721"/>
      <c r="IU321" s="721"/>
      <c r="IV321" s="721"/>
      <c r="IW321" s="721"/>
      <c r="IX321" s="721"/>
      <c r="IY321" s="121"/>
    </row>
    <row r="322" spans="1:259" ht="15.75" customHeight="1" outlineLevel="1">
      <c r="A322" s="11">
        <f>'VAC &amp; MED'!C325</f>
        <v>46296</v>
      </c>
      <c r="B322" s="261"/>
      <c r="C322" s="261"/>
      <c r="D322" s="261"/>
      <c r="E322" s="261"/>
      <c r="F322" s="261"/>
      <c r="G322" s="261"/>
      <c r="H322" s="261"/>
      <c r="I322" s="261"/>
      <c r="J322" s="261"/>
      <c r="K322" s="261"/>
      <c r="L322" s="261"/>
      <c r="M322" s="261"/>
      <c r="N322" s="261"/>
      <c r="O322" s="261"/>
      <c r="P322" s="261"/>
      <c r="Q322" s="261"/>
      <c r="R322" s="262"/>
      <c r="S322" s="262"/>
      <c r="T322" s="262"/>
      <c r="U322" s="262"/>
      <c r="V322" s="262"/>
      <c r="W322" s="262"/>
      <c r="X322" s="262"/>
      <c r="Y322" s="262"/>
      <c r="Z322" s="262"/>
      <c r="AA322" s="262"/>
      <c r="AB322" s="262"/>
      <c r="AC322" s="262"/>
      <c r="AD322" s="262"/>
      <c r="AE322" s="262"/>
      <c r="AF322" s="262"/>
      <c r="AG322" s="262"/>
      <c r="AH322" s="263"/>
      <c r="AI322" s="263"/>
      <c r="AJ322" s="263"/>
      <c r="AK322" s="263"/>
      <c r="AL322" s="263"/>
      <c r="AM322" s="263"/>
      <c r="AN322" s="263"/>
      <c r="AO322" s="263"/>
      <c r="AP322" s="263"/>
      <c r="AQ322" s="263"/>
      <c r="AR322" s="263"/>
      <c r="AS322" s="263"/>
      <c r="AT322" s="263"/>
      <c r="AU322" s="263"/>
      <c r="AV322" s="263"/>
      <c r="AW322" s="263"/>
      <c r="AX322" s="264"/>
      <c r="AY322" s="264"/>
      <c r="AZ322" s="264"/>
      <c r="BA322" s="264"/>
      <c r="BB322" s="264"/>
      <c r="BC322" s="264"/>
      <c r="BD322" s="264"/>
      <c r="BE322" s="264"/>
      <c r="BF322" s="264"/>
      <c r="BG322" s="264"/>
      <c r="BH322" s="264"/>
      <c r="BI322" s="264"/>
      <c r="BJ322" s="264"/>
      <c r="BK322" s="264"/>
      <c r="BL322" s="264"/>
      <c r="BM322" s="264"/>
      <c r="BN322" s="265"/>
      <c r="BO322" s="265"/>
      <c r="BP322" s="265"/>
      <c r="BQ322" s="265"/>
      <c r="BR322" s="265"/>
      <c r="BS322" s="265"/>
      <c r="BT322" s="265"/>
      <c r="BU322" s="265"/>
      <c r="BV322" s="265"/>
      <c r="BW322" s="265"/>
      <c r="BX322" s="265"/>
      <c r="BY322" s="265"/>
      <c r="BZ322" s="265"/>
      <c r="CA322" s="265"/>
      <c r="CB322" s="265"/>
      <c r="CC322" s="265"/>
      <c r="CD322" s="266"/>
      <c r="CE322" s="266"/>
      <c r="CF322" s="266"/>
      <c r="CG322" s="266"/>
      <c r="CH322" s="266"/>
      <c r="CI322" s="266"/>
      <c r="CJ322" s="266"/>
      <c r="CK322" s="266"/>
      <c r="CL322" s="266"/>
      <c r="CM322" s="266"/>
      <c r="CN322" s="266"/>
      <c r="CO322" s="266"/>
      <c r="CP322" s="266"/>
      <c r="CQ322" s="266"/>
      <c r="CR322" s="266"/>
      <c r="CS322" s="266"/>
      <c r="CT322" s="267"/>
      <c r="CU322" s="267"/>
      <c r="CV322" s="267"/>
      <c r="CW322" s="267"/>
      <c r="CX322" s="267"/>
      <c r="CY322" s="267"/>
      <c r="CZ322" s="267"/>
      <c r="DA322" s="267"/>
      <c r="DB322" s="267"/>
      <c r="DC322" s="267"/>
      <c r="DD322" s="267"/>
      <c r="DE322" s="267"/>
      <c r="DF322" s="267"/>
      <c r="DG322" s="267"/>
      <c r="DH322" s="267"/>
      <c r="DI322" s="267"/>
      <c r="DJ322" s="268"/>
      <c r="DK322" s="268"/>
      <c r="DL322" s="268"/>
      <c r="DM322" s="268"/>
      <c r="DN322" s="268"/>
      <c r="DO322" s="268"/>
      <c r="DP322" s="268"/>
      <c r="DQ322" s="268"/>
      <c r="DR322" s="268"/>
      <c r="DS322" s="268"/>
      <c r="DT322" s="268"/>
      <c r="DU322" s="268"/>
      <c r="DV322" s="268"/>
      <c r="DW322" s="268"/>
      <c r="DX322" s="268"/>
      <c r="DY322" s="268"/>
      <c r="EA322" s="721"/>
      <c r="EB322" s="721"/>
      <c r="EC322" s="721"/>
      <c r="ED322" s="721"/>
      <c r="EE322" s="721"/>
      <c r="EF322" s="721"/>
      <c r="EG322" s="721"/>
      <c r="EH322" s="721"/>
      <c r="EI322" s="721"/>
      <c r="EJ322" s="721"/>
      <c r="EK322" s="721"/>
      <c r="EL322" s="494"/>
      <c r="EM322" s="494"/>
      <c r="EN322" s="494"/>
      <c r="EO322" s="494"/>
      <c r="EP322" s="494"/>
      <c r="EQ322" s="494"/>
      <c r="ER322" s="721"/>
      <c r="ES322" s="721"/>
      <c r="ET322" s="721"/>
      <c r="EU322" s="721"/>
      <c r="EV322" s="721"/>
      <c r="EW322" s="721"/>
      <c r="EX322" s="721"/>
      <c r="EY322" s="721"/>
      <c r="EZ322" s="721"/>
      <c r="FA322" s="721"/>
      <c r="FB322" s="721"/>
      <c r="FC322" s="721"/>
      <c r="FD322" s="721"/>
      <c r="FE322" s="721"/>
      <c r="FF322" s="721"/>
      <c r="FG322" s="494"/>
      <c r="FH322" s="721"/>
      <c r="FI322" s="721"/>
      <c r="FJ322" s="721"/>
      <c r="FK322" s="721"/>
      <c r="FL322" s="721"/>
      <c r="FM322" s="721"/>
      <c r="FN322" s="721"/>
      <c r="FO322" s="721"/>
      <c r="FP322" s="721"/>
      <c r="FQ322" s="721"/>
      <c r="FR322" s="721"/>
      <c r="FS322" s="721"/>
      <c r="FT322" s="721"/>
      <c r="FU322" s="721"/>
      <c r="FV322" s="721"/>
      <c r="FW322" s="494"/>
      <c r="FX322" s="721"/>
      <c r="FY322" s="721"/>
      <c r="FZ322" s="721"/>
      <c r="GA322" s="721"/>
      <c r="GB322" s="721"/>
      <c r="GC322" s="721"/>
      <c r="GD322" s="721"/>
      <c r="GE322" s="721"/>
      <c r="GF322" s="721"/>
      <c r="GG322" s="721"/>
      <c r="GH322" s="721"/>
      <c r="GI322" s="721"/>
      <c r="GJ322" s="721"/>
      <c r="GK322" s="721"/>
      <c r="GL322" s="721"/>
      <c r="GM322" s="13"/>
      <c r="GN322" s="721"/>
      <c r="GO322" s="721"/>
      <c r="GP322" s="721"/>
      <c r="GQ322" s="721"/>
      <c r="GR322" s="721"/>
      <c r="GS322" s="721"/>
      <c r="GT322" s="721"/>
      <c r="GU322" s="721"/>
      <c r="GV322" s="721"/>
      <c r="GW322" s="721"/>
      <c r="GX322" s="721"/>
      <c r="GY322" s="721"/>
      <c r="GZ322" s="721"/>
      <c r="HA322" s="721"/>
      <c r="HB322" s="721"/>
      <c r="HC322" s="13"/>
      <c r="HD322" s="721"/>
      <c r="HE322" s="721"/>
      <c r="HF322" s="721"/>
      <c r="HG322" s="721"/>
      <c r="HH322" s="721"/>
      <c r="HI322" s="721"/>
      <c r="HJ322" s="721"/>
      <c r="HK322" s="721"/>
      <c r="HL322" s="721"/>
      <c r="HM322" s="721"/>
      <c r="HN322" s="721"/>
      <c r="HO322" s="721"/>
      <c r="HP322" s="721"/>
      <c r="HQ322" s="721"/>
      <c r="HR322" s="721"/>
      <c r="HS322" s="13"/>
      <c r="HT322" s="721"/>
      <c r="HU322" s="721"/>
      <c r="HV322" s="721"/>
      <c r="HW322" s="721"/>
      <c r="HX322" s="721"/>
      <c r="HY322" s="721"/>
      <c r="HZ322" s="721"/>
      <c r="IA322" s="721"/>
      <c r="IB322" s="721"/>
      <c r="IC322" s="721"/>
      <c r="ID322" s="721"/>
      <c r="IE322" s="721"/>
      <c r="IF322" s="721"/>
      <c r="IG322" s="721"/>
      <c r="IH322" s="721"/>
      <c r="II322" s="13"/>
      <c r="IJ322" s="721"/>
      <c r="IK322" s="721"/>
      <c r="IL322" s="721"/>
      <c r="IM322" s="721"/>
      <c r="IN322" s="721"/>
      <c r="IO322" s="721"/>
      <c r="IP322" s="721"/>
      <c r="IQ322" s="721"/>
      <c r="IR322" s="721"/>
      <c r="IS322" s="721"/>
      <c r="IT322" s="721"/>
      <c r="IU322" s="721"/>
      <c r="IV322" s="721"/>
      <c r="IW322" s="721"/>
      <c r="IX322" s="721"/>
      <c r="IY322" s="13"/>
    </row>
    <row r="323" spans="1:259" outlineLevel="1">
      <c r="A323" s="11">
        <f>'VAC &amp; MED'!C326</f>
        <v>46297</v>
      </c>
      <c r="B323" s="261"/>
      <c r="C323" s="261"/>
      <c r="D323" s="261"/>
      <c r="E323" s="261"/>
      <c r="F323" s="261"/>
      <c r="G323" s="261"/>
      <c r="H323" s="261"/>
      <c r="I323" s="261"/>
      <c r="J323" s="261"/>
      <c r="K323" s="261"/>
      <c r="L323" s="261"/>
      <c r="M323" s="261"/>
      <c r="N323" s="261"/>
      <c r="O323" s="261"/>
      <c r="P323" s="261"/>
      <c r="Q323" s="261"/>
      <c r="R323" s="262"/>
      <c r="S323" s="262"/>
      <c r="T323" s="262"/>
      <c r="U323" s="262"/>
      <c r="V323" s="262"/>
      <c r="W323" s="262"/>
      <c r="X323" s="262"/>
      <c r="Y323" s="262"/>
      <c r="Z323" s="262"/>
      <c r="AA323" s="262"/>
      <c r="AB323" s="262"/>
      <c r="AC323" s="262"/>
      <c r="AD323" s="262"/>
      <c r="AE323" s="262"/>
      <c r="AF323" s="262"/>
      <c r="AG323" s="262"/>
      <c r="AH323" s="263"/>
      <c r="AI323" s="263"/>
      <c r="AJ323" s="263"/>
      <c r="AK323" s="263"/>
      <c r="AL323" s="263"/>
      <c r="AM323" s="263"/>
      <c r="AN323" s="263"/>
      <c r="AO323" s="263"/>
      <c r="AP323" s="263"/>
      <c r="AQ323" s="263"/>
      <c r="AR323" s="263"/>
      <c r="AS323" s="263"/>
      <c r="AT323" s="263"/>
      <c r="AU323" s="263"/>
      <c r="AV323" s="263"/>
      <c r="AW323" s="263"/>
      <c r="AX323" s="264"/>
      <c r="AY323" s="264"/>
      <c r="AZ323" s="264"/>
      <c r="BA323" s="264"/>
      <c r="BB323" s="264"/>
      <c r="BC323" s="264"/>
      <c r="BD323" s="264"/>
      <c r="BE323" s="264"/>
      <c r="BF323" s="264"/>
      <c r="BG323" s="264"/>
      <c r="BH323" s="264"/>
      <c r="BI323" s="264"/>
      <c r="BJ323" s="264"/>
      <c r="BK323" s="264"/>
      <c r="BL323" s="264"/>
      <c r="BM323" s="264"/>
      <c r="BN323" s="265"/>
      <c r="BO323" s="265"/>
      <c r="BP323" s="265"/>
      <c r="BQ323" s="265"/>
      <c r="BR323" s="265"/>
      <c r="BS323" s="265"/>
      <c r="BT323" s="265"/>
      <c r="BU323" s="265"/>
      <c r="BV323" s="265"/>
      <c r="BW323" s="265"/>
      <c r="BX323" s="265"/>
      <c r="BY323" s="265"/>
      <c r="BZ323" s="265"/>
      <c r="CA323" s="265"/>
      <c r="CB323" s="265"/>
      <c r="CC323" s="265"/>
      <c r="CD323" s="266"/>
      <c r="CE323" s="266"/>
      <c r="CF323" s="266"/>
      <c r="CG323" s="266"/>
      <c r="CH323" s="266"/>
      <c r="CI323" s="266"/>
      <c r="CJ323" s="266"/>
      <c r="CK323" s="266"/>
      <c r="CL323" s="266"/>
      <c r="CM323" s="266"/>
      <c r="CN323" s="266"/>
      <c r="CO323" s="266"/>
      <c r="CP323" s="266"/>
      <c r="CQ323" s="266"/>
      <c r="CR323" s="266"/>
      <c r="CS323" s="266"/>
      <c r="CT323" s="267"/>
      <c r="CU323" s="267"/>
      <c r="CV323" s="267"/>
      <c r="CW323" s="267"/>
      <c r="CX323" s="267"/>
      <c r="CY323" s="267"/>
      <c r="CZ323" s="267"/>
      <c r="DA323" s="267"/>
      <c r="DB323" s="267"/>
      <c r="DC323" s="267"/>
      <c r="DD323" s="267"/>
      <c r="DE323" s="267"/>
      <c r="DF323" s="267"/>
      <c r="DG323" s="267"/>
      <c r="DH323" s="267"/>
      <c r="DI323" s="267"/>
      <c r="DJ323" s="268"/>
      <c r="DK323" s="268"/>
      <c r="DL323" s="268"/>
      <c r="DM323" s="268"/>
      <c r="DN323" s="268"/>
      <c r="DO323" s="268"/>
      <c r="DP323" s="268"/>
      <c r="DQ323" s="268"/>
      <c r="DR323" s="268"/>
      <c r="DS323" s="268"/>
      <c r="DT323" s="268"/>
      <c r="DU323" s="268"/>
      <c r="DV323" s="268"/>
      <c r="DW323" s="268"/>
      <c r="DX323" s="268"/>
      <c r="DY323" s="268"/>
      <c r="EA323" s="721"/>
      <c r="EB323" s="714"/>
      <c r="EC323" s="714"/>
      <c r="ED323" s="714"/>
      <c r="EE323" s="714"/>
      <c r="EF323" s="714"/>
      <c r="EG323" s="714"/>
      <c r="EH323" s="714"/>
      <c r="EI323" s="714"/>
      <c r="EJ323" s="714"/>
      <c r="EK323" s="714"/>
      <c r="EL323" s="493"/>
      <c r="EM323" s="493"/>
      <c r="EN323" s="493"/>
      <c r="EO323" s="493"/>
      <c r="EP323" s="493"/>
      <c r="EQ323" s="493"/>
      <c r="ER323" s="714"/>
      <c r="ES323" s="714"/>
      <c r="ET323" s="714"/>
      <c r="EU323" s="714"/>
      <c r="EV323" s="714"/>
      <c r="EW323" s="714"/>
      <c r="EX323" s="714"/>
      <c r="EY323" s="714"/>
      <c r="EZ323" s="714"/>
      <c r="FA323" s="493"/>
      <c r="FB323" s="493"/>
      <c r="FC323" s="493"/>
      <c r="FD323" s="493"/>
      <c r="FE323" s="493"/>
      <c r="FF323" s="714"/>
      <c r="FG323" s="493"/>
      <c r="FH323" s="714"/>
      <c r="FI323" s="714"/>
      <c r="FJ323" s="714"/>
      <c r="FK323" s="714"/>
      <c r="FL323" s="714"/>
      <c r="FM323" s="714"/>
      <c r="FN323" s="714"/>
      <c r="FO323" s="714"/>
      <c r="FP323" s="714"/>
      <c r="FQ323" s="493"/>
      <c r="FR323" s="493"/>
      <c r="FS323" s="493"/>
      <c r="FT323" s="493"/>
      <c r="FU323" s="493"/>
      <c r="FV323" s="714"/>
      <c r="FW323" s="493"/>
      <c r="FX323" s="714"/>
      <c r="FY323" s="714"/>
      <c r="FZ323" s="714"/>
      <c r="GA323" s="714"/>
      <c r="GB323" s="714"/>
      <c r="GC323" s="714"/>
      <c r="GD323" s="714"/>
      <c r="GE323" s="714"/>
      <c r="GF323" s="714"/>
      <c r="GG323" s="493"/>
      <c r="GH323" s="493"/>
      <c r="GI323" s="493"/>
      <c r="GJ323" s="493"/>
      <c r="GK323" s="493"/>
      <c r="GL323" s="714"/>
      <c r="GM323" s="13"/>
      <c r="GN323" s="714"/>
      <c r="GO323" s="714"/>
      <c r="GP323" s="714"/>
      <c r="GQ323" s="714"/>
      <c r="GR323" s="714"/>
      <c r="GS323" s="714"/>
      <c r="GT323" s="714"/>
      <c r="GU323" s="714"/>
      <c r="GV323" s="714"/>
      <c r="GW323" s="493"/>
      <c r="GX323" s="493"/>
      <c r="GY323" s="493"/>
      <c r="GZ323" s="493"/>
      <c r="HA323" s="493"/>
      <c r="HB323" s="714"/>
      <c r="HC323" s="13"/>
      <c r="HD323" s="714"/>
      <c r="HE323" s="714"/>
      <c r="HF323" s="714"/>
      <c r="HG323" s="714"/>
      <c r="HH323" s="714"/>
      <c r="HI323" s="714"/>
      <c r="HJ323" s="714"/>
      <c r="HK323" s="714"/>
      <c r="HL323" s="714"/>
      <c r="HM323" s="493"/>
      <c r="HN323" s="493"/>
      <c r="HO323" s="493"/>
      <c r="HP323" s="493"/>
      <c r="HQ323" s="493"/>
      <c r="HR323" s="714"/>
      <c r="HS323" s="13"/>
      <c r="HT323" s="714"/>
      <c r="HU323" s="714"/>
      <c r="HV323" s="714"/>
      <c r="HW323" s="714"/>
      <c r="HX323" s="714"/>
      <c r="HY323" s="714"/>
      <c r="HZ323" s="714"/>
      <c r="IA323" s="714"/>
      <c r="IB323" s="714"/>
      <c r="IC323" s="493"/>
      <c r="ID323" s="493"/>
      <c r="IE323" s="493"/>
      <c r="IF323" s="493"/>
      <c r="IG323" s="493"/>
      <c r="IH323" s="714"/>
      <c r="II323" s="13"/>
      <c r="IJ323" s="714"/>
      <c r="IK323" s="714"/>
      <c r="IL323" s="714"/>
      <c r="IM323" s="714"/>
      <c r="IN323" s="714"/>
      <c r="IO323" s="714"/>
      <c r="IP323" s="714"/>
      <c r="IQ323" s="714"/>
      <c r="IR323" s="714"/>
      <c r="IS323" s="493"/>
      <c r="IT323" s="493"/>
      <c r="IU323" s="493"/>
      <c r="IV323" s="493"/>
      <c r="IW323" s="493"/>
      <c r="IX323" s="714"/>
      <c r="IY323" s="13"/>
    </row>
    <row r="324" spans="1:259" outlineLevel="1">
      <c r="A324" s="11">
        <f>'VAC &amp; MED'!C327</f>
        <v>46298</v>
      </c>
      <c r="B324" s="261"/>
      <c r="C324" s="261"/>
      <c r="D324" s="261"/>
      <c r="E324" s="261"/>
      <c r="F324" s="261"/>
      <c r="G324" s="261"/>
      <c r="H324" s="261"/>
      <c r="I324" s="261"/>
      <c r="J324" s="261"/>
      <c r="K324" s="261"/>
      <c r="L324" s="261"/>
      <c r="M324" s="261"/>
      <c r="N324" s="261"/>
      <c r="O324" s="261"/>
      <c r="P324" s="261"/>
      <c r="Q324" s="261"/>
      <c r="R324" s="262"/>
      <c r="S324" s="262"/>
      <c r="T324" s="262"/>
      <c r="U324" s="262"/>
      <c r="V324" s="262"/>
      <c r="W324" s="262"/>
      <c r="X324" s="262"/>
      <c r="Y324" s="262"/>
      <c r="Z324" s="262"/>
      <c r="AA324" s="262"/>
      <c r="AB324" s="262"/>
      <c r="AC324" s="262"/>
      <c r="AD324" s="262"/>
      <c r="AE324" s="262"/>
      <c r="AF324" s="262"/>
      <c r="AG324" s="262"/>
      <c r="AH324" s="263"/>
      <c r="AI324" s="263"/>
      <c r="AJ324" s="263"/>
      <c r="AK324" s="263"/>
      <c r="AL324" s="263"/>
      <c r="AM324" s="263"/>
      <c r="AN324" s="263"/>
      <c r="AO324" s="263"/>
      <c r="AP324" s="263"/>
      <c r="AQ324" s="263"/>
      <c r="AR324" s="263"/>
      <c r="AS324" s="263"/>
      <c r="AT324" s="263"/>
      <c r="AU324" s="263"/>
      <c r="AV324" s="263"/>
      <c r="AW324" s="263"/>
      <c r="AX324" s="264"/>
      <c r="AY324" s="264"/>
      <c r="AZ324" s="264"/>
      <c r="BA324" s="264"/>
      <c r="BB324" s="264"/>
      <c r="BC324" s="264"/>
      <c r="BD324" s="264"/>
      <c r="BE324" s="264"/>
      <c r="BF324" s="264"/>
      <c r="BG324" s="264"/>
      <c r="BH324" s="264"/>
      <c r="BI324" s="264"/>
      <c r="BJ324" s="264"/>
      <c r="BK324" s="264"/>
      <c r="BL324" s="264"/>
      <c r="BM324" s="264"/>
      <c r="BN324" s="265"/>
      <c r="BO324" s="265"/>
      <c r="BP324" s="265"/>
      <c r="BQ324" s="265"/>
      <c r="BR324" s="265"/>
      <c r="BS324" s="265"/>
      <c r="BT324" s="265"/>
      <c r="BU324" s="265"/>
      <c r="BV324" s="265"/>
      <c r="BW324" s="265"/>
      <c r="BX324" s="265"/>
      <c r="BY324" s="265"/>
      <c r="BZ324" s="265"/>
      <c r="CA324" s="265"/>
      <c r="CB324" s="265"/>
      <c r="CC324" s="265"/>
      <c r="CD324" s="266"/>
      <c r="CE324" s="266"/>
      <c r="CF324" s="266"/>
      <c r="CG324" s="266"/>
      <c r="CH324" s="266"/>
      <c r="CI324" s="266"/>
      <c r="CJ324" s="266"/>
      <c r="CK324" s="266"/>
      <c r="CL324" s="266"/>
      <c r="CM324" s="266"/>
      <c r="CN324" s="266"/>
      <c r="CO324" s="266"/>
      <c r="CP324" s="266"/>
      <c r="CQ324" s="266"/>
      <c r="CR324" s="266"/>
      <c r="CS324" s="266"/>
      <c r="CT324" s="267"/>
      <c r="CU324" s="267"/>
      <c r="CV324" s="267"/>
      <c r="CW324" s="267"/>
      <c r="CX324" s="267"/>
      <c r="CY324" s="267"/>
      <c r="CZ324" s="267"/>
      <c r="DA324" s="267"/>
      <c r="DB324" s="267"/>
      <c r="DC324" s="267"/>
      <c r="DD324" s="267"/>
      <c r="DE324" s="267"/>
      <c r="DF324" s="267"/>
      <c r="DG324" s="267"/>
      <c r="DH324" s="267"/>
      <c r="DI324" s="267"/>
      <c r="DJ324" s="268"/>
      <c r="DK324" s="268"/>
      <c r="DL324" s="268"/>
      <c r="DM324" s="268"/>
      <c r="DN324" s="268"/>
      <c r="DO324" s="268"/>
      <c r="DP324" s="268"/>
      <c r="DQ324" s="268"/>
      <c r="DR324" s="268"/>
      <c r="DS324" s="268"/>
      <c r="DT324" s="268"/>
      <c r="DU324" s="268"/>
      <c r="DV324" s="268"/>
      <c r="DW324" s="268"/>
      <c r="DX324" s="268"/>
      <c r="DY324" s="268"/>
      <c r="EA324" s="721"/>
      <c r="EB324" s="714"/>
      <c r="EC324" s="714"/>
      <c r="ED324" s="714"/>
      <c r="EE324" s="714"/>
      <c r="EF324" s="714"/>
      <c r="EG324" s="714"/>
      <c r="EH324" s="714"/>
      <c r="EI324" s="714"/>
      <c r="EJ324" s="714"/>
      <c r="EK324" s="714"/>
      <c r="EL324" s="493"/>
      <c r="EM324" s="493"/>
      <c r="EN324" s="493"/>
      <c r="EO324" s="493"/>
      <c r="EP324" s="493"/>
      <c r="EQ324" s="493"/>
      <c r="ER324" s="714"/>
      <c r="ES324" s="714"/>
      <c r="ET324" s="714"/>
      <c r="EU324" s="714"/>
      <c r="EV324" s="714"/>
      <c r="EW324" s="714"/>
      <c r="EX324" s="714"/>
      <c r="EY324" s="714"/>
      <c r="EZ324" s="714"/>
      <c r="FA324" s="493"/>
      <c r="FB324" s="493"/>
      <c r="FC324" s="493"/>
      <c r="FD324" s="493"/>
      <c r="FE324" s="493"/>
      <c r="FF324" s="714"/>
      <c r="FG324" s="493"/>
      <c r="FH324" s="714"/>
      <c r="FI324" s="714"/>
      <c r="FJ324" s="714"/>
      <c r="FK324" s="714"/>
      <c r="FL324" s="714"/>
      <c r="FM324" s="714"/>
      <c r="FN324" s="714"/>
      <c r="FO324" s="714"/>
      <c r="FP324" s="714"/>
      <c r="FQ324" s="493"/>
      <c r="FR324" s="493"/>
      <c r="FS324" s="493"/>
      <c r="FT324" s="493"/>
      <c r="FU324" s="493"/>
      <c r="FV324" s="714"/>
      <c r="FW324" s="493"/>
      <c r="FX324" s="714"/>
      <c r="FY324" s="714"/>
      <c r="FZ324" s="714"/>
      <c r="GA324" s="714"/>
      <c r="GB324" s="714"/>
      <c r="GC324" s="714"/>
      <c r="GD324" s="714"/>
      <c r="GE324" s="714"/>
      <c r="GF324" s="714"/>
      <c r="GG324" s="493"/>
      <c r="GH324" s="493"/>
      <c r="GI324" s="493"/>
      <c r="GJ324" s="493"/>
      <c r="GK324" s="493"/>
      <c r="GL324" s="714"/>
      <c r="GM324" s="13"/>
      <c r="GN324" s="714"/>
      <c r="GO324" s="714"/>
      <c r="GP324" s="714"/>
      <c r="GQ324" s="714"/>
      <c r="GR324" s="714"/>
      <c r="GS324" s="714"/>
      <c r="GT324" s="714"/>
      <c r="GU324" s="714"/>
      <c r="GV324" s="714"/>
      <c r="GW324" s="493"/>
      <c r="GX324" s="493"/>
      <c r="GY324" s="493"/>
      <c r="GZ324" s="493"/>
      <c r="HA324" s="493"/>
      <c r="HB324" s="714"/>
      <c r="HC324" s="13"/>
      <c r="HD324" s="714"/>
      <c r="HE324" s="714"/>
      <c r="HF324" s="714"/>
      <c r="HG324" s="714"/>
      <c r="HH324" s="714"/>
      <c r="HI324" s="714"/>
      <c r="HJ324" s="714"/>
      <c r="HK324" s="714"/>
      <c r="HL324" s="714"/>
      <c r="HM324" s="493"/>
      <c r="HN324" s="493"/>
      <c r="HO324" s="493"/>
      <c r="HP324" s="493"/>
      <c r="HQ324" s="493"/>
      <c r="HR324" s="714"/>
      <c r="HS324" s="13"/>
      <c r="HT324" s="714"/>
      <c r="HU324" s="714"/>
      <c r="HV324" s="714"/>
      <c r="HW324" s="714"/>
      <c r="HX324" s="714"/>
      <c r="HY324" s="714"/>
      <c r="HZ324" s="714"/>
      <c r="IA324" s="714"/>
      <c r="IB324" s="714"/>
      <c r="IC324" s="493"/>
      <c r="ID324" s="493"/>
      <c r="IE324" s="493"/>
      <c r="IF324" s="493"/>
      <c r="IG324" s="493"/>
      <c r="IH324" s="714"/>
      <c r="II324" s="13"/>
      <c r="IJ324" s="714"/>
      <c r="IK324" s="714"/>
      <c r="IL324" s="714"/>
      <c r="IM324" s="714"/>
      <c r="IN324" s="714"/>
      <c r="IO324" s="714"/>
      <c r="IP324" s="714"/>
      <c r="IQ324" s="714"/>
      <c r="IR324" s="714"/>
      <c r="IS324" s="493"/>
      <c r="IT324" s="493"/>
      <c r="IU324" s="493"/>
      <c r="IV324" s="493"/>
      <c r="IW324" s="493"/>
      <c r="IX324" s="714"/>
      <c r="IY324" s="13"/>
    </row>
    <row r="325" spans="1:259" outlineLevel="1">
      <c r="A325" s="11">
        <f>'VAC &amp; MED'!C328</f>
        <v>46299</v>
      </c>
      <c r="B325" s="261"/>
      <c r="C325" s="261"/>
      <c r="D325" s="261"/>
      <c r="E325" s="261"/>
      <c r="F325" s="261"/>
      <c r="G325" s="261"/>
      <c r="H325" s="261"/>
      <c r="I325" s="261"/>
      <c r="J325" s="261"/>
      <c r="K325" s="261"/>
      <c r="L325" s="261"/>
      <c r="M325" s="261"/>
      <c r="N325" s="261"/>
      <c r="O325" s="261"/>
      <c r="P325" s="261"/>
      <c r="Q325" s="261"/>
      <c r="R325" s="262"/>
      <c r="S325" s="262"/>
      <c r="T325" s="262"/>
      <c r="U325" s="262"/>
      <c r="V325" s="262"/>
      <c r="W325" s="262"/>
      <c r="X325" s="262"/>
      <c r="Y325" s="262"/>
      <c r="Z325" s="262"/>
      <c r="AA325" s="262"/>
      <c r="AB325" s="262"/>
      <c r="AC325" s="262"/>
      <c r="AD325" s="262"/>
      <c r="AE325" s="262"/>
      <c r="AF325" s="262"/>
      <c r="AG325" s="262"/>
      <c r="AH325" s="263"/>
      <c r="AI325" s="263"/>
      <c r="AJ325" s="263"/>
      <c r="AK325" s="263"/>
      <c r="AL325" s="263"/>
      <c r="AM325" s="263"/>
      <c r="AN325" s="263"/>
      <c r="AO325" s="263"/>
      <c r="AP325" s="263"/>
      <c r="AQ325" s="263"/>
      <c r="AR325" s="263"/>
      <c r="AS325" s="263"/>
      <c r="AT325" s="263"/>
      <c r="AU325" s="263"/>
      <c r="AV325" s="263"/>
      <c r="AW325" s="263"/>
      <c r="AX325" s="264"/>
      <c r="AY325" s="264"/>
      <c r="AZ325" s="264"/>
      <c r="BA325" s="264"/>
      <c r="BB325" s="264"/>
      <c r="BC325" s="264"/>
      <c r="BD325" s="264"/>
      <c r="BE325" s="264"/>
      <c r="BF325" s="264"/>
      <c r="BG325" s="264"/>
      <c r="BH325" s="264"/>
      <c r="BI325" s="264"/>
      <c r="BJ325" s="264"/>
      <c r="BK325" s="264"/>
      <c r="BL325" s="264"/>
      <c r="BM325" s="264"/>
      <c r="BN325" s="265"/>
      <c r="BO325" s="265"/>
      <c r="BP325" s="265"/>
      <c r="BQ325" s="265"/>
      <c r="BR325" s="265"/>
      <c r="BS325" s="265"/>
      <c r="BT325" s="265"/>
      <c r="BU325" s="265"/>
      <c r="BV325" s="265"/>
      <c r="BW325" s="265"/>
      <c r="BX325" s="265"/>
      <c r="BY325" s="265"/>
      <c r="BZ325" s="265"/>
      <c r="CA325" s="265"/>
      <c r="CB325" s="265"/>
      <c r="CC325" s="265"/>
      <c r="CD325" s="266"/>
      <c r="CE325" s="266"/>
      <c r="CF325" s="266"/>
      <c r="CG325" s="266"/>
      <c r="CH325" s="266"/>
      <c r="CI325" s="266"/>
      <c r="CJ325" s="266"/>
      <c r="CK325" s="266"/>
      <c r="CL325" s="266"/>
      <c r="CM325" s="266"/>
      <c r="CN325" s="266"/>
      <c r="CO325" s="266"/>
      <c r="CP325" s="266"/>
      <c r="CQ325" s="266"/>
      <c r="CR325" s="266"/>
      <c r="CS325" s="266"/>
      <c r="CT325" s="267"/>
      <c r="CU325" s="267"/>
      <c r="CV325" s="267"/>
      <c r="CW325" s="267"/>
      <c r="CX325" s="267"/>
      <c r="CY325" s="267"/>
      <c r="CZ325" s="267"/>
      <c r="DA325" s="267"/>
      <c r="DB325" s="267"/>
      <c r="DC325" s="267"/>
      <c r="DD325" s="267"/>
      <c r="DE325" s="267"/>
      <c r="DF325" s="267"/>
      <c r="DG325" s="267"/>
      <c r="DH325" s="267"/>
      <c r="DI325" s="267"/>
      <c r="DJ325" s="268"/>
      <c r="DK325" s="268"/>
      <c r="DL325" s="268"/>
      <c r="DM325" s="268"/>
      <c r="DN325" s="268"/>
      <c r="DO325" s="268"/>
      <c r="DP325" s="268"/>
      <c r="DQ325" s="268"/>
      <c r="DR325" s="268"/>
      <c r="DS325" s="268"/>
      <c r="DT325" s="268"/>
      <c r="DU325" s="268"/>
      <c r="DV325" s="268"/>
      <c r="DW325" s="268"/>
      <c r="DX325" s="268"/>
      <c r="DY325" s="268"/>
      <c r="EA325" s="13"/>
      <c r="EB325" s="96"/>
      <c r="EC325" s="96"/>
      <c r="ED325" s="96"/>
      <c r="EE325" s="96"/>
      <c r="EF325" s="96"/>
      <c r="EG325" s="96"/>
      <c r="EH325" s="96"/>
      <c r="EI325" s="96"/>
      <c r="EJ325" s="96"/>
      <c r="EK325" s="96"/>
      <c r="EL325" s="96"/>
      <c r="EM325" s="96"/>
      <c r="EN325" s="96"/>
      <c r="EO325" s="96"/>
      <c r="EP325" s="96"/>
      <c r="EQ325" s="96"/>
      <c r="ER325" s="96"/>
      <c r="ES325" s="96"/>
      <c r="ET325" s="96"/>
      <c r="EU325" s="96"/>
      <c r="EV325" s="96"/>
      <c r="EW325" s="96"/>
      <c r="EX325" s="96"/>
      <c r="EY325" s="96"/>
      <c r="EZ325" s="96"/>
      <c r="FA325" s="96"/>
      <c r="FB325" s="96"/>
      <c r="FC325" s="96"/>
      <c r="FD325" s="96"/>
      <c r="FE325" s="96"/>
      <c r="FF325" s="96"/>
      <c r="FG325" s="96"/>
      <c r="FH325" s="96"/>
      <c r="FI325" s="96"/>
      <c r="FJ325" s="96"/>
      <c r="FK325" s="96"/>
      <c r="FL325" s="96"/>
      <c r="FM325" s="96"/>
      <c r="FN325" s="96"/>
      <c r="FO325" s="96"/>
      <c r="FP325" s="96"/>
      <c r="FQ325" s="96"/>
      <c r="FR325" s="96"/>
      <c r="FS325" s="96"/>
      <c r="FT325" s="96"/>
      <c r="FU325" s="96"/>
      <c r="FV325" s="96"/>
      <c r="FW325" s="96"/>
      <c r="FX325" s="96"/>
      <c r="FY325" s="96"/>
      <c r="FZ325" s="96"/>
      <c r="GA325" s="96"/>
      <c r="GB325" s="96"/>
      <c r="GC325" s="96"/>
      <c r="GD325" s="96"/>
      <c r="GE325" s="96"/>
      <c r="GF325" s="96"/>
      <c r="GG325" s="96"/>
      <c r="GH325" s="96"/>
      <c r="GI325" s="96"/>
      <c r="GJ325" s="96"/>
      <c r="GK325" s="96"/>
      <c r="GL325" s="96"/>
      <c r="GM325" s="13"/>
      <c r="GN325" s="96"/>
      <c r="GO325" s="96"/>
      <c r="GP325" s="96"/>
      <c r="GQ325" s="96"/>
      <c r="GR325" s="96"/>
      <c r="GS325" s="96"/>
      <c r="GT325" s="96"/>
      <c r="GU325" s="96"/>
      <c r="GV325" s="96"/>
      <c r="GW325" s="96"/>
      <c r="GX325" s="96"/>
      <c r="GY325" s="96"/>
      <c r="GZ325" s="96"/>
      <c r="HA325" s="96"/>
      <c r="HB325" s="96"/>
      <c r="HC325" s="13"/>
      <c r="HD325" s="96"/>
      <c r="HE325" s="96"/>
      <c r="HF325" s="96"/>
      <c r="HG325" s="96"/>
      <c r="HH325" s="96"/>
      <c r="HI325" s="96"/>
      <c r="HJ325" s="96"/>
      <c r="HK325" s="96"/>
      <c r="HL325" s="96"/>
      <c r="HM325" s="96"/>
      <c r="HN325" s="96"/>
      <c r="HO325" s="96"/>
      <c r="HP325" s="96"/>
      <c r="HQ325" s="96"/>
      <c r="HR325" s="96"/>
      <c r="HS325" s="13"/>
      <c r="HT325" s="96"/>
      <c r="HU325" s="96"/>
      <c r="HV325" s="96"/>
      <c r="HW325" s="96"/>
      <c r="HX325" s="96"/>
      <c r="HY325" s="96"/>
      <c r="HZ325" s="96"/>
      <c r="IA325" s="96"/>
      <c r="IB325" s="96"/>
      <c r="IC325" s="96"/>
      <c r="ID325" s="96"/>
      <c r="IE325" s="96"/>
      <c r="IF325" s="96"/>
      <c r="IG325" s="96"/>
      <c r="IH325" s="96"/>
      <c r="II325" s="13"/>
      <c r="IJ325" s="96"/>
      <c r="IK325" s="96"/>
      <c r="IL325" s="96"/>
      <c r="IM325" s="96"/>
      <c r="IN325" s="96"/>
      <c r="IO325" s="96"/>
      <c r="IP325" s="96"/>
      <c r="IQ325" s="96"/>
      <c r="IR325" s="96"/>
      <c r="IS325" s="96"/>
      <c r="IT325" s="96"/>
      <c r="IU325" s="96"/>
      <c r="IV325" s="96"/>
      <c r="IW325" s="96"/>
      <c r="IX325" s="96"/>
      <c r="IY325" s="13"/>
    </row>
    <row r="326" spans="1:259" outlineLevel="1">
      <c r="A326" s="11">
        <f>'VAC &amp; MED'!C329</f>
        <v>46300</v>
      </c>
      <c r="B326" s="261"/>
      <c r="C326" s="261"/>
      <c r="D326" s="261"/>
      <c r="E326" s="261"/>
      <c r="F326" s="261"/>
      <c r="G326" s="261"/>
      <c r="H326" s="261"/>
      <c r="I326" s="261"/>
      <c r="J326" s="261"/>
      <c r="K326" s="261"/>
      <c r="L326" s="261"/>
      <c r="M326" s="261"/>
      <c r="N326" s="261"/>
      <c r="O326" s="261"/>
      <c r="P326" s="261"/>
      <c r="Q326" s="261"/>
      <c r="R326" s="262"/>
      <c r="S326" s="262"/>
      <c r="T326" s="262"/>
      <c r="U326" s="262"/>
      <c r="V326" s="262"/>
      <c r="W326" s="262"/>
      <c r="X326" s="262"/>
      <c r="Y326" s="262"/>
      <c r="Z326" s="262"/>
      <c r="AA326" s="262"/>
      <c r="AB326" s="262"/>
      <c r="AC326" s="262"/>
      <c r="AD326" s="262"/>
      <c r="AE326" s="262"/>
      <c r="AF326" s="262"/>
      <c r="AG326" s="262"/>
      <c r="AH326" s="263"/>
      <c r="AI326" s="263"/>
      <c r="AJ326" s="263"/>
      <c r="AK326" s="263"/>
      <c r="AL326" s="263"/>
      <c r="AM326" s="263"/>
      <c r="AN326" s="263"/>
      <c r="AO326" s="263"/>
      <c r="AP326" s="263"/>
      <c r="AQ326" s="263"/>
      <c r="AR326" s="263"/>
      <c r="AS326" s="263"/>
      <c r="AT326" s="263"/>
      <c r="AU326" s="263"/>
      <c r="AV326" s="263"/>
      <c r="AW326" s="263"/>
      <c r="AX326" s="264"/>
      <c r="AY326" s="264"/>
      <c r="AZ326" s="264"/>
      <c r="BA326" s="264"/>
      <c r="BB326" s="264"/>
      <c r="BC326" s="264"/>
      <c r="BD326" s="264"/>
      <c r="BE326" s="264"/>
      <c r="BF326" s="264"/>
      <c r="BG326" s="264"/>
      <c r="BH326" s="264"/>
      <c r="BI326" s="264"/>
      <c r="BJ326" s="264"/>
      <c r="BK326" s="264"/>
      <c r="BL326" s="264"/>
      <c r="BM326" s="264"/>
      <c r="BN326" s="265"/>
      <c r="BO326" s="265"/>
      <c r="BP326" s="265"/>
      <c r="BQ326" s="265"/>
      <c r="BR326" s="265"/>
      <c r="BS326" s="265"/>
      <c r="BT326" s="265"/>
      <c r="BU326" s="265"/>
      <c r="BV326" s="265"/>
      <c r="BW326" s="265"/>
      <c r="BX326" s="265"/>
      <c r="BY326" s="265"/>
      <c r="BZ326" s="265"/>
      <c r="CA326" s="265"/>
      <c r="CB326" s="265"/>
      <c r="CC326" s="265"/>
      <c r="CD326" s="266"/>
      <c r="CE326" s="266"/>
      <c r="CF326" s="266"/>
      <c r="CG326" s="266"/>
      <c r="CH326" s="266"/>
      <c r="CI326" s="266"/>
      <c r="CJ326" s="266"/>
      <c r="CK326" s="266"/>
      <c r="CL326" s="266"/>
      <c r="CM326" s="266"/>
      <c r="CN326" s="266"/>
      <c r="CO326" s="266"/>
      <c r="CP326" s="266"/>
      <c r="CQ326" s="266"/>
      <c r="CR326" s="266"/>
      <c r="CS326" s="266"/>
      <c r="CT326" s="267"/>
      <c r="CU326" s="267"/>
      <c r="CV326" s="267"/>
      <c r="CW326" s="267"/>
      <c r="CX326" s="267"/>
      <c r="CY326" s="267"/>
      <c r="CZ326" s="267"/>
      <c r="DA326" s="267"/>
      <c r="DB326" s="267"/>
      <c r="DC326" s="267"/>
      <c r="DD326" s="267"/>
      <c r="DE326" s="267"/>
      <c r="DF326" s="267"/>
      <c r="DG326" s="267"/>
      <c r="DH326" s="267"/>
      <c r="DI326" s="267"/>
      <c r="DJ326" s="268"/>
      <c r="DK326" s="268"/>
      <c r="DL326" s="268"/>
      <c r="DM326" s="268"/>
      <c r="DN326" s="268"/>
      <c r="DO326" s="268"/>
      <c r="DP326" s="268"/>
      <c r="DQ326" s="268"/>
      <c r="DR326" s="268"/>
      <c r="DS326" s="268"/>
      <c r="DT326" s="268"/>
      <c r="DU326" s="268"/>
      <c r="DV326" s="268"/>
      <c r="DW326" s="268"/>
      <c r="DX326" s="268"/>
      <c r="DY326" s="268"/>
      <c r="EA326" s="13"/>
      <c r="EB326" s="96"/>
      <c r="EC326" s="96"/>
      <c r="ED326" s="96"/>
      <c r="EE326" s="96"/>
      <c r="EF326" s="96"/>
      <c r="EG326" s="96"/>
      <c r="EH326" s="96"/>
      <c r="EI326" s="96"/>
      <c r="EJ326" s="96"/>
      <c r="EK326" s="96"/>
      <c r="EL326" s="96"/>
      <c r="EM326" s="96"/>
      <c r="EN326" s="96"/>
      <c r="EO326" s="96"/>
      <c r="EP326" s="96"/>
      <c r="EQ326" s="96"/>
      <c r="ER326" s="96"/>
      <c r="ES326" s="96"/>
      <c r="ET326" s="96"/>
      <c r="EU326" s="96"/>
      <c r="EV326" s="96"/>
      <c r="EW326" s="96"/>
      <c r="EX326" s="96"/>
      <c r="EY326" s="96"/>
      <c r="EZ326" s="96"/>
      <c r="FA326" s="96"/>
      <c r="FB326" s="96"/>
      <c r="FC326" s="96"/>
      <c r="FD326" s="96"/>
      <c r="FE326" s="96"/>
      <c r="FF326" s="96"/>
      <c r="FG326" s="96"/>
      <c r="FH326" s="96"/>
      <c r="FI326" s="96"/>
      <c r="FJ326" s="96"/>
      <c r="FK326" s="96"/>
      <c r="FL326" s="96"/>
      <c r="FM326" s="96"/>
      <c r="FN326" s="96"/>
      <c r="FO326" s="96"/>
      <c r="FP326" s="96"/>
      <c r="FQ326" s="96"/>
      <c r="FR326" s="96"/>
      <c r="FS326" s="96"/>
      <c r="FT326" s="96"/>
      <c r="FU326" s="96"/>
      <c r="FV326" s="96"/>
      <c r="FW326" s="96"/>
      <c r="FX326" s="96"/>
      <c r="FY326" s="96"/>
      <c r="FZ326" s="96"/>
      <c r="GA326" s="96"/>
      <c r="GB326" s="96"/>
      <c r="GC326" s="96"/>
      <c r="GD326" s="96"/>
      <c r="GE326" s="96"/>
      <c r="GF326" s="96"/>
      <c r="GG326" s="96"/>
      <c r="GH326" s="96"/>
      <c r="GI326" s="96"/>
      <c r="GJ326" s="96"/>
      <c r="GK326" s="96"/>
      <c r="GL326" s="96"/>
      <c r="GM326" s="13"/>
      <c r="GN326" s="96"/>
      <c r="GO326" s="96"/>
      <c r="GP326" s="96"/>
      <c r="GQ326" s="96"/>
      <c r="GR326" s="96"/>
      <c r="GS326" s="96"/>
      <c r="GT326" s="96"/>
      <c r="GU326" s="96"/>
      <c r="GV326" s="96"/>
      <c r="GW326" s="96"/>
      <c r="GX326" s="96"/>
      <c r="GY326" s="96"/>
      <c r="GZ326" s="96"/>
      <c r="HA326" s="96"/>
      <c r="HB326" s="96"/>
      <c r="HC326" s="13"/>
      <c r="HD326" s="96"/>
      <c r="HE326" s="96"/>
      <c r="HF326" s="96"/>
      <c r="HG326" s="96"/>
      <c r="HH326" s="96"/>
      <c r="HI326" s="96"/>
      <c r="HJ326" s="96"/>
      <c r="HK326" s="96"/>
      <c r="HL326" s="96"/>
      <c r="HM326" s="96"/>
      <c r="HN326" s="96"/>
      <c r="HO326" s="96"/>
      <c r="HP326" s="96"/>
      <c r="HQ326" s="96"/>
      <c r="HR326" s="96"/>
      <c r="HS326" s="13"/>
      <c r="HT326" s="96"/>
      <c r="HU326" s="96"/>
      <c r="HV326" s="96"/>
      <c r="HW326" s="96"/>
      <c r="HX326" s="96"/>
      <c r="HY326" s="96"/>
      <c r="HZ326" s="96"/>
      <c r="IA326" s="96"/>
      <c r="IB326" s="96"/>
      <c r="IC326" s="96"/>
      <c r="ID326" s="96"/>
      <c r="IE326" s="96"/>
      <c r="IF326" s="96"/>
      <c r="IG326" s="96"/>
      <c r="IH326" s="96"/>
      <c r="II326" s="13"/>
      <c r="IJ326" s="96"/>
      <c r="IK326" s="96"/>
      <c r="IL326" s="96"/>
      <c r="IM326" s="96"/>
      <c r="IN326" s="96"/>
      <c r="IO326" s="96"/>
      <c r="IP326" s="96"/>
      <c r="IQ326" s="96"/>
      <c r="IR326" s="96"/>
      <c r="IS326" s="96"/>
      <c r="IT326" s="96"/>
      <c r="IU326" s="96"/>
      <c r="IV326" s="96"/>
      <c r="IW326" s="96"/>
      <c r="IX326" s="96"/>
      <c r="IY326" s="13"/>
    </row>
    <row r="327" spans="1:259" outlineLevel="1">
      <c r="A327" s="11">
        <f>'VAC &amp; MED'!C330</f>
        <v>46301</v>
      </c>
      <c r="B327" s="261"/>
      <c r="C327" s="261"/>
      <c r="D327" s="261"/>
      <c r="E327" s="261"/>
      <c r="F327" s="261"/>
      <c r="G327" s="261"/>
      <c r="H327" s="261"/>
      <c r="I327" s="261"/>
      <c r="J327" s="261"/>
      <c r="K327" s="261"/>
      <c r="L327" s="261"/>
      <c r="M327" s="261"/>
      <c r="N327" s="261"/>
      <c r="O327" s="261"/>
      <c r="P327" s="261"/>
      <c r="Q327" s="261"/>
      <c r="R327" s="262"/>
      <c r="S327" s="262"/>
      <c r="T327" s="262"/>
      <c r="U327" s="262"/>
      <c r="V327" s="262"/>
      <c r="W327" s="262"/>
      <c r="X327" s="262"/>
      <c r="Y327" s="262"/>
      <c r="Z327" s="262"/>
      <c r="AA327" s="262"/>
      <c r="AB327" s="262"/>
      <c r="AC327" s="262"/>
      <c r="AD327" s="262"/>
      <c r="AE327" s="262"/>
      <c r="AF327" s="262"/>
      <c r="AG327" s="262"/>
      <c r="AH327" s="263"/>
      <c r="AI327" s="263"/>
      <c r="AJ327" s="263"/>
      <c r="AK327" s="263"/>
      <c r="AL327" s="263"/>
      <c r="AM327" s="263"/>
      <c r="AN327" s="263"/>
      <c r="AO327" s="263"/>
      <c r="AP327" s="263"/>
      <c r="AQ327" s="263"/>
      <c r="AR327" s="263"/>
      <c r="AS327" s="263"/>
      <c r="AT327" s="263"/>
      <c r="AU327" s="263"/>
      <c r="AV327" s="263"/>
      <c r="AW327" s="263"/>
      <c r="AX327" s="264"/>
      <c r="AY327" s="264"/>
      <c r="AZ327" s="264"/>
      <c r="BA327" s="264"/>
      <c r="BB327" s="264"/>
      <c r="BC327" s="264"/>
      <c r="BD327" s="264"/>
      <c r="BE327" s="264"/>
      <c r="BF327" s="264"/>
      <c r="BG327" s="264"/>
      <c r="BH327" s="264"/>
      <c r="BI327" s="264"/>
      <c r="BJ327" s="264"/>
      <c r="BK327" s="264"/>
      <c r="BL327" s="264"/>
      <c r="BM327" s="264"/>
      <c r="BN327" s="265"/>
      <c r="BO327" s="265"/>
      <c r="BP327" s="265"/>
      <c r="BQ327" s="265"/>
      <c r="BR327" s="265"/>
      <c r="BS327" s="265"/>
      <c r="BT327" s="265"/>
      <c r="BU327" s="265"/>
      <c r="BV327" s="265"/>
      <c r="BW327" s="265"/>
      <c r="BX327" s="265"/>
      <c r="BY327" s="265"/>
      <c r="BZ327" s="265"/>
      <c r="CA327" s="265"/>
      <c r="CB327" s="265"/>
      <c r="CC327" s="265"/>
      <c r="CD327" s="266"/>
      <c r="CE327" s="266"/>
      <c r="CF327" s="266"/>
      <c r="CG327" s="266"/>
      <c r="CH327" s="266"/>
      <c r="CI327" s="266"/>
      <c r="CJ327" s="266"/>
      <c r="CK327" s="266"/>
      <c r="CL327" s="266"/>
      <c r="CM327" s="266"/>
      <c r="CN327" s="266"/>
      <c r="CO327" s="266"/>
      <c r="CP327" s="266"/>
      <c r="CQ327" s="266"/>
      <c r="CR327" s="266"/>
      <c r="CS327" s="266"/>
      <c r="CT327" s="267"/>
      <c r="CU327" s="267"/>
      <c r="CV327" s="267"/>
      <c r="CW327" s="267"/>
      <c r="CX327" s="267"/>
      <c r="CY327" s="267"/>
      <c r="CZ327" s="267"/>
      <c r="DA327" s="267"/>
      <c r="DB327" s="267"/>
      <c r="DC327" s="267"/>
      <c r="DD327" s="267"/>
      <c r="DE327" s="267"/>
      <c r="DF327" s="267"/>
      <c r="DG327" s="267"/>
      <c r="DH327" s="267"/>
      <c r="DI327" s="267"/>
      <c r="DJ327" s="268"/>
      <c r="DK327" s="268"/>
      <c r="DL327" s="268"/>
      <c r="DM327" s="268"/>
      <c r="DN327" s="268"/>
      <c r="DO327" s="268"/>
      <c r="DP327" s="268"/>
      <c r="DQ327" s="268"/>
      <c r="DR327" s="268"/>
      <c r="DS327" s="268"/>
      <c r="DT327" s="268"/>
      <c r="DU327" s="268"/>
      <c r="DV327" s="268"/>
      <c r="DW327" s="268"/>
      <c r="DX327" s="268"/>
      <c r="DY327" s="268"/>
      <c r="EA327" s="13"/>
      <c r="EB327" s="96"/>
      <c r="EC327" s="96"/>
      <c r="ED327" s="96"/>
      <c r="EE327" s="96"/>
      <c r="EF327" s="96"/>
      <c r="EG327" s="96"/>
      <c r="EH327" s="96"/>
      <c r="EI327" s="96"/>
      <c r="EJ327" s="96"/>
      <c r="EK327" s="96"/>
      <c r="EL327" s="96"/>
      <c r="EM327" s="96"/>
      <c r="EN327" s="96"/>
      <c r="EO327" s="96"/>
      <c r="EP327" s="96"/>
      <c r="EQ327" s="96"/>
      <c r="ER327" s="96"/>
      <c r="ES327" s="96"/>
      <c r="ET327" s="96"/>
      <c r="EU327" s="96"/>
      <c r="EV327" s="96"/>
      <c r="EW327" s="96"/>
      <c r="EX327" s="96"/>
      <c r="EY327" s="96"/>
      <c r="EZ327" s="96"/>
      <c r="FA327" s="96"/>
      <c r="FB327" s="96"/>
      <c r="FC327" s="96"/>
      <c r="FD327" s="96"/>
      <c r="FE327" s="96"/>
      <c r="FF327" s="96"/>
      <c r="FG327" s="96"/>
      <c r="FH327" s="96"/>
      <c r="FI327" s="96"/>
      <c r="FJ327" s="96"/>
      <c r="FK327" s="96"/>
      <c r="FL327" s="96"/>
      <c r="FM327" s="96"/>
      <c r="FN327" s="96"/>
      <c r="FO327" s="96"/>
      <c r="FP327" s="96"/>
      <c r="FQ327" s="96"/>
      <c r="FR327" s="96"/>
      <c r="FS327" s="96"/>
      <c r="FT327" s="96"/>
      <c r="FU327" s="96"/>
      <c r="FV327" s="96"/>
      <c r="FW327" s="96"/>
      <c r="FX327" s="96"/>
      <c r="FY327" s="96"/>
      <c r="FZ327" s="96"/>
      <c r="GA327" s="96"/>
      <c r="GB327" s="96"/>
      <c r="GC327" s="96"/>
      <c r="GD327" s="96"/>
      <c r="GE327" s="96"/>
      <c r="GF327" s="96"/>
      <c r="GG327" s="96"/>
      <c r="GH327" s="96"/>
      <c r="GI327" s="96"/>
      <c r="GJ327" s="96"/>
      <c r="GK327" s="96"/>
      <c r="GL327" s="96"/>
      <c r="GM327" s="13"/>
      <c r="GN327" s="96"/>
      <c r="GO327" s="96"/>
      <c r="GP327" s="96"/>
      <c r="GQ327" s="96"/>
      <c r="GR327" s="96"/>
      <c r="GS327" s="96"/>
      <c r="GT327" s="96"/>
      <c r="GU327" s="96"/>
      <c r="GV327" s="96"/>
      <c r="GW327" s="96"/>
      <c r="GX327" s="96"/>
      <c r="GY327" s="96"/>
      <c r="GZ327" s="96"/>
      <c r="HA327" s="96"/>
      <c r="HB327" s="96"/>
      <c r="HC327" s="13"/>
      <c r="HD327" s="96"/>
      <c r="HE327" s="96"/>
      <c r="HF327" s="96"/>
      <c r="HG327" s="96"/>
      <c r="HH327" s="96"/>
      <c r="HI327" s="96"/>
      <c r="HJ327" s="96"/>
      <c r="HK327" s="96"/>
      <c r="HL327" s="96"/>
      <c r="HM327" s="96"/>
      <c r="HN327" s="96"/>
      <c r="HO327" s="96"/>
      <c r="HP327" s="96"/>
      <c r="HQ327" s="96"/>
      <c r="HR327" s="96"/>
      <c r="HS327" s="13"/>
      <c r="HT327" s="96"/>
      <c r="HU327" s="96"/>
      <c r="HV327" s="96"/>
      <c r="HW327" s="96"/>
      <c r="HX327" s="96"/>
      <c r="HY327" s="96"/>
      <c r="HZ327" s="96"/>
      <c r="IA327" s="96"/>
      <c r="IB327" s="96"/>
      <c r="IC327" s="96"/>
      <c r="ID327" s="96"/>
      <c r="IE327" s="96"/>
      <c r="IF327" s="96"/>
      <c r="IG327" s="96"/>
      <c r="IH327" s="96"/>
      <c r="II327" s="13"/>
      <c r="IJ327" s="96"/>
      <c r="IK327" s="96"/>
      <c r="IL327" s="96"/>
      <c r="IM327" s="96"/>
      <c r="IN327" s="96"/>
      <c r="IO327" s="96"/>
      <c r="IP327" s="96"/>
      <c r="IQ327" s="96"/>
      <c r="IR327" s="96"/>
      <c r="IS327" s="96"/>
      <c r="IT327" s="96"/>
      <c r="IU327" s="96"/>
      <c r="IV327" s="96"/>
      <c r="IW327" s="96"/>
      <c r="IX327" s="96"/>
      <c r="IY327" s="13"/>
    </row>
    <row r="328" spans="1:259" outlineLevel="1">
      <c r="A328" s="11">
        <f>'VAC &amp; MED'!C331</f>
        <v>46302</v>
      </c>
      <c r="B328" s="261"/>
      <c r="C328" s="261"/>
      <c r="D328" s="261"/>
      <c r="E328" s="261"/>
      <c r="F328" s="261"/>
      <c r="G328" s="261"/>
      <c r="H328" s="261"/>
      <c r="I328" s="261"/>
      <c r="J328" s="261"/>
      <c r="K328" s="261"/>
      <c r="L328" s="261"/>
      <c r="M328" s="261"/>
      <c r="N328" s="261"/>
      <c r="O328" s="261"/>
      <c r="P328" s="261"/>
      <c r="Q328" s="261"/>
      <c r="R328" s="262"/>
      <c r="S328" s="262"/>
      <c r="T328" s="262"/>
      <c r="U328" s="262"/>
      <c r="V328" s="262"/>
      <c r="W328" s="262"/>
      <c r="X328" s="262"/>
      <c r="Y328" s="262"/>
      <c r="Z328" s="262"/>
      <c r="AA328" s="262"/>
      <c r="AB328" s="262"/>
      <c r="AC328" s="262"/>
      <c r="AD328" s="262"/>
      <c r="AE328" s="262"/>
      <c r="AF328" s="262"/>
      <c r="AG328" s="262"/>
      <c r="AH328" s="263"/>
      <c r="AI328" s="263"/>
      <c r="AJ328" s="263"/>
      <c r="AK328" s="263"/>
      <c r="AL328" s="263"/>
      <c r="AM328" s="263"/>
      <c r="AN328" s="263"/>
      <c r="AO328" s="263"/>
      <c r="AP328" s="263"/>
      <c r="AQ328" s="263"/>
      <c r="AR328" s="263"/>
      <c r="AS328" s="263"/>
      <c r="AT328" s="263"/>
      <c r="AU328" s="263"/>
      <c r="AV328" s="263"/>
      <c r="AW328" s="263"/>
      <c r="AX328" s="264"/>
      <c r="AY328" s="264"/>
      <c r="AZ328" s="264"/>
      <c r="BA328" s="264"/>
      <c r="BB328" s="264"/>
      <c r="BC328" s="264"/>
      <c r="BD328" s="264"/>
      <c r="BE328" s="264"/>
      <c r="BF328" s="264"/>
      <c r="BG328" s="264"/>
      <c r="BH328" s="264"/>
      <c r="BI328" s="264"/>
      <c r="BJ328" s="264"/>
      <c r="BK328" s="264"/>
      <c r="BL328" s="264"/>
      <c r="BM328" s="264"/>
      <c r="BN328" s="265"/>
      <c r="BO328" s="265"/>
      <c r="BP328" s="265"/>
      <c r="BQ328" s="265"/>
      <c r="BR328" s="265"/>
      <c r="BS328" s="265"/>
      <c r="BT328" s="265"/>
      <c r="BU328" s="265"/>
      <c r="BV328" s="265"/>
      <c r="BW328" s="265"/>
      <c r="BX328" s="265"/>
      <c r="BY328" s="265"/>
      <c r="BZ328" s="265"/>
      <c r="CA328" s="265"/>
      <c r="CB328" s="265"/>
      <c r="CC328" s="265"/>
      <c r="CD328" s="266"/>
      <c r="CE328" s="266"/>
      <c r="CF328" s="266"/>
      <c r="CG328" s="266"/>
      <c r="CH328" s="266"/>
      <c r="CI328" s="266"/>
      <c r="CJ328" s="266"/>
      <c r="CK328" s="266"/>
      <c r="CL328" s="266"/>
      <c r="CM328" s="266"/>
      <c r="CN328" s="266"/>
      <c r="CO328" s="266"/>
      <c r="CP328" s="266"/>
      <c r="CQ328" s="266"/>
      <c r="CR328" s="266"/>
      <c r="CS328" s="266"/>
      <c r="CT328" s="267"/>
      <c r="CU328" s="267"/>
      <c r="CV328" s="267"/>
      <c r="CW328" s="267"/>
      <c r="CX328" s="267"/>
      <c r="CY328" s="267"/>
      <c r="CZ328" s="267"/>
      <c r="DA328" s="267"/>
      <c r="DB328" s="267"/>
      <c r="DC328" s="267"/>
      <c r="DD328" s="267"/>
      <c r="DE328" s="267"/>
      <c r="DF328" s="267"/>
      <c r="DG328" s="267"/>
      <c r="DH328" s="267"/>
      <c r="DI328" s="267"/>
      <c r="DJ328" s="268"/>
      <c r="DK328" s="268"/>
      <c r="DL328" s="268"/>
      <c r="DM328" s="268"/>
      <c r="DN328" s="268"/>
      <c r="DO328" s="268"/>
      <c r="DP328" s="268"/>
      <c r="DQ328" s="268"/>
      <c r="DR328" s="268"/>
      <c r="DS328" s="268"/>
      <c r="DT328" s="268"/>
      <c r="DU328" s="268"/>
      <c r="DV328" s="268"/>
      <c r="DW328" s="268"/>
      <c r="DX328" s="268"/>
      <c r="DY328" s="268"/>
      <c r="EA328" s="13"/>
      <c r="EB328" s="96"/>
      <c r="EC328" s="96"/>
      <c r="ED328" s="96"/>
      <c r="EE328" s="96"/>
      <c r="EF328" s="96"/>
      <c r="EG328" s="96"/>
      <c r="EH328" s="96"/>
      <c r="EI328" s="96"/>
      <c r="EJ328" s="96"/>
      <c r="EK328" s="96"/>
      <c r="EL328" s="96"/>
      <c r="EM328" s="96"/>
      <c r="EN328" s="96"/>
      <c r="EO328" s="96"/>
      <c r="EP328" s="96"/>
      <c r="EQ328" s="96"/>
      <c r="ER328" s="96"/>
      <c r="ES328" s="96"/>
      <c r="ET328" s="96"/>
      <c r="EU328" s="96"/>
      <c r="EV328" s="96"/>
      <c r="EW328" s="96"/>
      <c r="EX328" s="96"/>
      <c r="EY328" s="96"/>
      <c r="EZ328" s="96"/>
      <c r="FA328" s="96"/>
      <c r="FB328" s="96"/>
      <c r="FC328" s="96"/>
      <c r="FD328" s="96"/>
      <c r="FE328" s="96"/>
      <c r="FF328" s="96"/>
      <c r="FG328" s="96"/>
      <c r="FH328" s="96"/>
      <c r="FI328" s="96"/>
      <c r="FJ328" s="96"/>
      <c r="FK328" s="96"/>
      <c r="FL328" s="96"/>
      <c r="FM328" s="96"/>
      <c r="FN328" s="96"/>
      <c r="FO328" s="96"/>
      <c r="FP328" s="96"/>
      <c r="FQ328" s="96"/>
      <c r="FR328" s="96"/>
      <c r="FS328" s="96"/>
      <c r="FT328" s="96"/>
      <c r="FU328" s="96"/>
      <c r="FV328" s="96"/>
      <c r="FW328" s="96"/>
      <c r="FX328" s="96"/>
      <c r="FY328" s="96"/>
      <c r="FZ328" s="96"/>
      <c r="GA328" s="96"/>
      <c r="GB328" s="96"/>
      <c r="GC328" s="96"/>
      <c r="GD328" s="96"/>
      <c r="GE328" s="96"/>
      <c r="GF328" s="96"/>
      <c r="GG328" s="96"/>
      <c r="GH328" s="96"/>
      <c r="GI328" s="96"/>
      <c r="GJ328" s="96"/>
      <c r="GK328" s="96"/>
      <c r="GL328" s="96"/>
      <c r="GM328" s="13"/>
      <c r="GN328" s="96"/>
      <c r="GO328" s="96"/>
      <c r="GP328" s="96"/>
      <c r="GQ328" s="96"/>
      <c r="GR328" s="96"/>
      <c r="GS328" s="96"/>
      <c r="GT328" s="96"/>
      <c r="GU328" s="96"/>
      <c r="GV328" s="96"/>
      <c r="GW328" s="96"/>
      <c r="GX328" s="96"/>
      <c r="GY328" s="96"/>
      <c r="GZ328" s="96"/>
      <c r="HA328" s="96"/>
      <c r="HB328" s="96"/>
      <c r="HC328" s="13"/>
      <c r="HD328" s="96"/>
      <c r="HE328" s="96"/>
      <c r="HF328" s="96"/>
      <c r="HG328" s="96"/>
      <c r="HH328" s="96"/>
      <c r="HI328" s="96"/>
      <c r="HJ328" s="96"/>
      <c r="HK328" s="96"/>
      <c r="HL328" s="96"/>
      <c r="HM328" s="96"/>
      <c r="HN328" s="96"/>
      <c r="HO328" s="96"/>
      <c r="HP328" s="96"/>
      <c r="HQ328" s="96"/>
      <c r="HR328" s="96"/>
      <c r="HS328" s="13"/>
      <c r="HT328" s="96"/>
      <c r="HU328" s="96"/>
      <c r="HV328" s="96"/>
      <c r="HW328" s="96"/>
      <c r="HX328" s="96"/>
      <c r="HY328" s="96"/>
      <c r="HZ328" s="96"/>
      <c r="IA328" s="96"/>
      <c r="IB328" s="96"/>
      <c r="IC328" s="96"/>
      <c r="ID328" s="96"/>
      <c r="IE328" s="96"/>
      <c r="IF328" s="96"/>
      <c r="IG328" s="96"/>
      <c r="IH328" s="96"/>
      <c r="II328" s="13"/>
      <c r="IJ328" s="96"/>
      <c r="IK328" s="96"/>
      <c r="IL328" s="96"/>
      <c r="IM328" s="96"/>
      <c r="IN328" s="96"/>
      <c r="IO328" s="96"/>
      <c r="IP328" s="96"/>
      <c r="IQ328" s="96"/>
      <c r="IR328" s="96"/>
      <c r="IS328" s="96"/>
      <c r="IT328" s="96"/>
      <c r="IU328" s="96"/>
      <c r="IV328" s="96"/>
      <c r="IW328" s="96"/>
      <c r="IX328" s="96"/>
      <c r="IY328" s="13"/>
    </row>
    <row r="329" spans="1:259" outlineLevel="1">
      <c r="A329" s="11">
        <f>'VAC &amp; MED'!C332</f>
        <v>46303</v>
      </c>
      <c r="B329" s="261"/>
      <c r="C329" s="261"/>
      <c r="D329" s="261"/>
      <c r="E329" s="261"/>
      <c r="F329" s="261"/>
      <c r="G329" s="261"/>
      <c r="H329" s="261"/>
      <c r="I329" s="261"/>
      <c r="J329" s="261"/>
      <c r="K329" s="261"/>
      <c r="L329" s="261"/>
      <c r="M329" s="261"/>
      <c r="N329" s="261"/>
      <c r="O329" s="261"/>
      <c r="P329" s="261"/>
      <c r="Q329" s="261"/>
      <c r="R329" s="262"/>
      <c r="S329" s="262"/>
      <c r="T329" s="262"/>
      <c r="U329" s="262"/>
      <c r="V329" s="262"/>
      <c r="W329" s="262"/>
      <c r="X329" s="262"/>
      <c r="Y329" s="262"/>
      <c r="Z329" s="262"/>
      <c r="AA329" s="262"/>
      <c r="AB329" s="262"/>
      <c r="AC329" s="262"/>
      <c r="AD329" s="262"/>
      <c r="AE329" s="262"/>
      <c r="AF329" s="262"/>
      <c r="AG329" s="262"/>
      <c r="AH329" s="263"/>
      <c r="AI329" s="263"/>
      <c r="AJ329" s="263"/>
      <c r="AK329" s="263"/>
      <c r="AL329" s="263"/>
      <c r="AM329" s="263"/>
      <c r="AN329" s="263"/>
      <c r="AO329" s="263"/>
      <c r="AP329" s="263"/>
      <c r="AQ329" s="263"/>
      <c r="AR329" s="263"/>
      <c r="AS329" s="263"/>
      <c r="AT329" s="263"/>
      <c r="AU329" s="263"/>
      <c r="AV329" s="263"/>
      <c r="AW329" s="263"/>
      <c r="AX329" s="264"/>
      <c r="AY329" s="264"/>
      <c r="AZ329" s="264"/>
      <c r="BA329" s="264"/>
      <c r="BB329" s="264"/>
      <c r="BC329" s="264"/>
      <c r="BD329" s="264"/>
      <c r="BE329" s="264"/>
      <c r="BF329" s="264"/>
      <c r="BG329" s="264"/>
      <c r="BH329" s="264"/>
      <c r="BI329" s="264"/>
      <c r="BJ329" s="264"/>
      <c r="BK329" s="264"/>
      <c r="BL329" s="264"/>
      <c r="BM329" s="264"/>
      <c r="BN329" s="265"/>
      <c r="BO329" s="265"/>
      <c r="BP329" s="265"/>
      <c r="BQ329" s="265"/>
      <c r="BR329" s="265"/>
      <c r="BS329" s="265"/>
      <c r="BT329" s="265"/>
      <c r="BU329" s="265"/>
      <c r="BV329" s="265"/>
      <c r="BW329" s="265"/>
      <c r="BX329" s="265"/>
      <c r="BY329" s="265"/>
      <c r="BZ329" s="265"/>
      <c r="CA329" s="265"/>
      <c r="CB329" s="265"/>
      <c r="CC329" s="265"/>
      <c r="CD329" s="266"/>
      <c r="CE329" s="266"/>
      <c r="CF329" s="266"/>
      <c r="CG329" s="266"/>
      <c r="CH329" s="266"/>
      <c r="CI329" s="266"/>
      <c r="CJ329" s="266"/>
      <c r="CK329" s="266"/>
      <c r="CL329" s="266"/>
      <c r="CM329" s="266"/>
      <c r="CN329" s="266"/>
      <c r="CO329" s="266"/>
      <c r="CP329" s="266"/>
      <c r="CQ329" s="266"/>
      <c r="CR329" s="266"/>
      <c r="CS329" s="266"/>
      <c r="CT329" s="267"/>
      <c r="CU329" s="267"/>
      <c r="CV329" s="267"/>
      <c r="CW329" s="267"/>
      <c r="CX329" s="267"/>
      <c r="CY329" s="267"/>
      <c r="CZ329" s="267"/>
      <c r="DA329" s="267"/>
      <c r="DB329" s="267"/>
      <c r="DC329" s="267"/>
      <c r="DD329" s="267"/>
      <c r="DE329" s="267"/>
      <c r="DF329" s="267"/>
      <c r="DG329" s="267"/>
      <c r="DH329" s="267"/>
      <c r="DI329" s="267"/>
      <c r="DJ329" s="268"/>
      <c r="DK329" s="268"/>
      <c r="DL329" s="268"/>
      <c r="DM329" s="268"/>
      <c r="DN329" s="268"/>
      <c r="DO329" s="268"/>
      <c r="DP329" s="268"/>
      <c r="DQ329" s="268"/>
      <c r="DR329" s="268"/>
      <c r="DS329" s="268"/>
      <c r="DT329" s="268"/>
      <c r="DU329" s="268"/>
      <c r="DV329" s="268"/>
      <c r="DW329" s="268"/>
      <c r="DX329" s="268"/>
      <c r="DY329" s="268"/>
      <c r="EA329" s="13"/>
      <c r="EB329" s="96"/>
      <c r="EC329" s="96"/>
      <c r="ED329" s="96"/>
      <c r="EE329" s="96"/>
      <c r="EF329" s="96"/>
      <c r="EG329" s="96"/>
      <c r="EH329" s="96"/>
      <c r="EI329" s="96"/>
      <c r="EJ329" s="96"/>
      <c r="EK329" s="96"/>
      <c r="EL329" s="96"/>
      <c r="EM329" s="96"/>
      <c r="EN329" s="96"/>
      <c r="EO329" s="96"/>
      <c r="EP329" s="96"/>
      <c r="EQ329" s="96"/>
      <c r="ER329" s="96"/>
      <c r="ES329" s="96"/>
      <c r="ET329" s="96"/>
      <c r="EU329" s="96"/>
      <c r="EV329" s="96"/>
      <c r="EW329" s="96"/>
      <c r="EX329" s="96"/>
      <c r="EY329" s="96"/>
      <c r="EZ329" s="96"/>
      <c r="FA329" s="96"/>
      <c r="FB329" s="96"/>
      <c r="FC329" s="96"/>
      <c r="FD329" s="96"/>
      <c r="FE329" s="96"/>
      <c r="FF329" s="96"/>
      <c r="FG329" s="96"/>
      <c r="FH329" s="96"/>
      <c r="FI329" s="96"/>
      <c r="FJ329" s="96"/>
      <c r="FK329" s="96"/>
      <c r="FL329" s="96"/>
      <c r="FM329" s="96"/>
      <c r="FN329" s="96"/>
      <c r="FO329" s="96"/>
      <c r="FP329" s="96"/>
      <c r="FQ329" s="96"/>
      <c r="FR329" s="96"/>
      <c r="FS329" s="96"/>
      <c r="FT329" s="96"/>
      <c r="FU329" s="96"/>
      <c r="FV329" s="96"/>
      <c r="FW329" s="96"/>
      <c r="FX329" s="96"/>
      <c r="FY329" s="96"/>
      <c r="FZ329" s="96"/>
      <c r="GA329" s="96"/>
      <c r="GB329" s="96"/>
      <c r="GC329" s="96"/>
      <c r="GD329" s="96"/>
      <c r="GE329" s="96"/>
      <c r="GF329" s="96"/>
      <c r="GG329" s="96"/>
      <c r="GH329" s="96"/>
      <c r="GI329" s="96"/>
      <c r="GJ329" s="96"/>
      <c r="GK329" s="96"/>
      <c r="GL329" s="96"/>
      <c r="GM329" s="13"/>
      <c r="GN329" s="96"/>
      <c r="GO329" s="96"/>
      <c r="GP329" s="96"/>
      <c r="GQ329" s="96"/>
      <c r="GR329" s="96"/>
      <c r="GS329" s="96"/>
      <c r="GT329" s="96"/>
      <c r="GU329" s="96"/>
      <c r="GV329" s="96"/>
      <c r="GW329" s="96"/>
      <c r="GX329" s="96"/>
      <c r="GY329" s="96"/>
      <c r="GZ329" s="96"/>
      <c r="HA329" s="96"/>
      <c r="HB329" s="96"/>
      <c r="HC329" s="13"/>
      <c r="HD329" s="96"/>
      <c r="HE329" s="96"/>
      <c r="HF329" s="96"/>
      <c r="HG329" s="96"/>
      <c r="HH329" s="96"/>
      <c r="HI329" s="96"/>
      <c r="HJ329" s="96"/>
      <c r="HK329" s="96"/>
      <c r="HL329" s="96"/>
      <c r="HM329" s="96"/>
      <c r="HN329" s="96"/>
      <c r="HO329" s="96"/>
      <c r="HP329" s="96"/>
      <c r="HQ329" s="96"/>
      <c r="HR329" s="96"/>
      <c r="HS329" s="13"/>
      <c r="HT329" s="96"/>
      <c r="HU329" s="96"/>
      <c r="HV329" s="96"/>
      <c r="HW329" s="96"/>
      <c r="HX329" s="96"/>
      <c r="HY329" s="96"/>
      <c r="HZ329" s="96"/>
      <c r="IA329" s="96"/>
      <c r="IB329" s="96"/>
      <c r="IC329" s="96"/>
      <c r="ID329" s="96"/>
      <c r="IE329" s="96"/>
      <c r="IF329" s="96"/>
      <c r="IG329" s="96"/>
      <c r="IH329" s="96"/>
      <c r="II329" s="13"/>
      <c r="IJ329" s="96"/>
      <c r="IK329" s="96"/>
      <c r="IL329" s="96"/>
      <c r="IM329" s="96"/>
      <c r="IN329" s="96"/>
      <c r="IO329" s="96"/>
      <c r="IP329" s="96"/>
      <c r="IQ329" s="96"/>
      <c r="IR329" s="96"/>
      <c r="IS329" s="96"/>
      <c r="IT329" s="96"/>
      <c r="IU329" s="96"/>
      <c r="IV329" s="96"/>
      <c r="IW329" s="96"/>
      <c r="IX329" s="96"/>
      <c r="IY329" s="13"/>
    </row>
    <row r="330" spans="1:259" outlineLevel="1">
      <c r="A330" s="11">
        <f>'VAC &amp; MED'!C333</f>
        <v>46304</v>
      </c>
      <c r="B330" s="261"/>
      <c r="C330" s="261"/>
      <c r="D330" s="261"/>
      <c r="E330" s="261"/>
      <c r="F330" s="261"/>
      <c r="G330" s="261"/>
      <c r="H330" s="261"/>
      <c r="I330" s="261"/>
      <c r="J330" s="261"/>
      <c r="K330" s="261"/>
      <c r="L330" s="261"/>
      <c r="M330" s="261"/>
      <c r="N330" s="261"/>
      <c r="O330" s="261"/>
      <c r="P330" s="261"/>
      <c r="Q330" s="261"/>
      <c r="R330" s="262"/>
      <c r="S330" s="262"/>
      <c r="T330" s="262"/>
      <c r="U330" s="262"/>
      <c r="V330" s="262"/>
      <c r="W330" s="262"/>
      <c r="X330" s="262"/>
      <c r="Y330" s="262"/>
      <c r="Z330" s="262"/>
      <c r="AA330" s="262"/>
      <c r="AB330" s="262"/>
      <c r="AC330" s="262"/>
      <c r="AD330" s="262"/>
      <c r="AE330" s="262"/>
      <c r="AF330" s="262"/>
      <c r="AG330" s="262"/>
      <c r="AH330" s="263"/>
      <c r="AI330" s="263"/>
      <c r="AJ330" s="263"/>
      <c r="AK330" s="263"/>
      <c r="AL330" s="263"/>
      <c r="AM330" s="263"/>
      <c r="AN330" s="263"/>
      <c r="AO330" s="263"/>
      <c r="AP330" s="263"/>
      <c r="AQ330" s="263"/>
      <c r="AR330" s="263"/>
      <c r="AS330" s="263"/>
      <c r="AT330" s="263"/>
      <c r="AU330" s="263"/>
      <c r="AV330" s="263"/>
      <c r="AW330" s="263"/>
      <c r="AX330" s="264"/>
      <c r="AY330" s="264"/>
      <c r="AZ330" s="264"/>
      <c r="BA330" s="264"/>
      <c r="BB330" s="264"/>
      <c r="BC330" s="264"/>
      <c r="BD330" s="264"/>
      <c r="BE330" s="264"/>
      <c r="BF330" s="264"/>
      <c r="BG330" s="264"/>
      <c r="BH330" s="264"/>
      <c r="BI330" s="264"/>
      <c r="BJ330" s="264"/>
      <c r="BK330" s="264"/>
      <c r="BL330" s="264"/>
      <c r="BM330" s="264"/>
      <c r="BN330" s="265"/>
      <c r="BO330" s="265"/>
      <c r="BP330" s="265"/>
      <c r="BQ330" s="265"/>
      <c r="BR330" s="265"/>
      <c r="BS330" s="265"/>
      <c r="BT330" s="265"/>
      <c r="BU330" s="265"/>
      <c r="BV330" s="265"/>
      <c r="BW330" s="265"/>
      <c r="BX330" s="265"/>
      <c r="BY330" s="265"/>
      <c r="BZ330" s="265"/>
      <c r="CA330" s="265"/>
      <c r="CB330" s="265"/>
      <c r="CC330" s="265"/>
      <c r="CD330" s="266"/>
      <c r="CE330" s="266"/>
      <c r="CF330" s="266"/>
      <c r="CG330" s="266"/>
      <c r="CH330" s="266"/>
      <c r="CI330" s="266"/>
      <c r="CJ330" s="266"/>
      <c r="CK330" s="266"/>
      <c r="CL330" s="266"/>
      <c r="CM330" s="266"/>
      <c r="CN330" s="266"/>
      <c r="CO330" s="266"/>
      <c r="CP330" s="266"/>
      <c r="CQ330" s="266"/>
      <c r="CR330" s="266"/>
      <c r="CS330" s="266"/>
      <c r="CT330" s="267"/>
      <c r="CU330" s="267"/>
      <c r="CV330" s="267"/>
      <c r="CW330" s="267"/>
      <c r="CX330" s="267"/>
      <c r="CY330" s="267"/>
      <c r="CZ330" s="267"/>
      <c r="DA330" s="267"/>
      <c r="DB330" s="267"/>
      <c r="DC330" s="267"/>
      <c r="DD330" s="267"/>
      <c r="DE330" s="267"/>
      <c r="DF330" s="267"/>
      <c r="DG330" s="267"/>
      <c r="DH330" s="267"/>
      <c r="DI330" s="267"/>
      <c r="DJ330" s="268"/>
      <c r="DK330" s="268"/>
      <c r="DL330" s="268"/>
      <c r="DM330" s="268"/>
      <c r="DN330" s="268"/>
      <c r="DO330" s="268"/>
      <c r="DP330" s="268"/>
      <c r="DQ330" s="268"/>
      <c r="DR330" s="268"/>
      <c r="DS330" s="268"/>
      <c r="DT330" s="268"/>
      <c r="DU330" s="268"/>
      <c r="DV330" s="268"/>
      <c r="DW330" s="268"/>
      <c r="DX330" s="268"/>
      <c r="DY330" s="268"/>
      <c r="EA330" s="13"/>
      <c r="EB330" s="96"/>
      <c r="EC330" s="96"/>
      <c r="ED330" s="96"/>
      <c r="EE330" s="96"/>
      <c r="EF330" s="96"/>
      <c r="EG330" s="96"/>
      <c r="EH330" s="96"/>
      <c r="EI330" s="96"/>
      <c r="EJ330" s="96"/>
      <c r="EK330" s="96"/>
      <c r="EL330" s="96"/>
      <c r="EM330" s="96"/>
      <c r="EN330" s="96"/>
      <c r="EO330" s="96"/>
      <c r="EP330" s="96"/>
      <c r="EQ330" s="96"/>
      <c r="ER330" s="96"/>
      <c r="ES330" s="96"/>
      <c r="ET330" s="96"/>
      <c r="EU330" s="96"/>
      <c r="EV330" s="96"/>
      <c r="EW330" s="96"/>
      <c r="EX330" s="96"/>
      <c r="EY330" s="96"/>
      <c r="EZ330" s="96"/>
      <c r="FA330" s="96"/>
      <c r="FB330" s="96"/>
      <c r="FC330" s="96"/>
      <c r="FD330" s="96"/>
      <c r="FE330" s="96"/>
      <c r="FF330" s="96"/>
      <c r="FG330" s="96"/>
      <c r="FH330" s="96"/>
      <c r="FI330" s="96"/>
      <c r="FJ330" s="96"/>
      <c r="FK330" s="96"/>
      <c r="FL330" s="96"/>
      <c r="FM330" s="96"/>
      <c r="FN330" s="96"/>
      <c r="FO330" s="96"/>
      <c r="FP330" s="96"/>
      <c r="FQ330" s="96"/>
      <c r="FR330" s="96"/>
      <c r="FS330" s="96"/>
      <c r="FT330" s="96"/>
      <c r="FU330" s="96"/>
      <c r="FV330" s="96"/>
      <c r="FW330" s="96"/>
      <c r="FX330" s="96"/>
      <c r="FY330" s="96"/>
      <c r="FZ330" s="96"/>
      <c r="GA330" s="96"/>
      <c r="GB330" s="96"/>
      <c r="GC330" s="96"/>
      <c r="GD330" s="96"/>
      <c r="GE330" s="96"/>
      <c r="GF330" s="96"/>
      <c r="GG330" s="96"/>
      <c r="GH330" s="96"/>
      <c r="GI330" s="96"/>
      <c r="GJ330" s="96"/>
      <c r="GK330" s="96"/>
      <c r="GL330" s="96"/>
      <c r="GM330" s="13"/>
      <c r="GN330" s="96"/>
      <c r="GO330" s="96"/>
      <c r="GP330" s="96"/>
      <c r="GQ330" s="96"/>
      <c r="GR330" s="96"/>
      <c r="GS330" s="96"/>
      <c r="GT330" s="96"/>
      <c r="GU330" s="96"/>
      <c r="GV330" s="96"/>
      <c r="GW330" s="96"/>
      <c r="GX330" s="96"/>
      <c r="GY330" s="96"/>
      <c r="GZ330" s="96"/>
      <c r="HA330" s="96"/>
      <c r="HB330" s="96"/>
      <c r="HC330" s="13"/>
      <c r="HD330" s="96"/>
      <c r="HE330" s="96"/>
      <c r="HF330" s="96"/>
      <c r="HG330" s="96"/>
      <c r="HH330" s="96"/>
      <c r="HI330" s="96"/>
      <c r="HJ330" s="96"/>
      <c r="HK330" s="96"/>
      <c r="HL330" s="96"/>
      <c r="HM330" s="96"/>
      <c r="HN330" s="96"/>
      <c r="HO330" s="96"/>
      <c r="HP330" s="96"/>
      <c r="HQ330" s="96"/>
      <c r="HR330" s="96"/>
      <c r="HS330" s="13"/>
      <c r="HT330" s="96"/>
      <c r="HU330" s="96"/>
      <c r="HV330" s="96"/>
      <c r="HW330" s="96"/>
      <c r="HX330" s="96"/>
      <c r="HY330" s="96"/>
      <c r="HZ330" s="96"/>
      <c r="IA330" s="96"/>
      <c r="IB330" s="96"/>
      <c r="IC330" s="96"/>
      <c r="ID330" s="96"/>
      <c r="IE330" s="96"/>
      <c r="IF330" s="96"/>
      <c r="IG330" s="96"/>
      <c r="IH330" s="96"/>
      <c r="II330" s="13"/>
      <c r="IJ330" s="96"/>
      <c r="IK330" s="96"/>
      <c r="IL330" s="96"/>
      <c r="IM330" s="96"/>
      <c r="IN330" s="96"/>
      <c r="IO330" s="96"/>
      <c r="IP330" s="96"/>
      <c r="IQ330" s="96"/>
      <c r="IR330" s="96"/>
      <c r="IS330" s="96"/>
      <c r="IT330" s="96"/>
      <c r="IU330" s="96"/>
      <c r="IV330" s="96"/>
      <c r="IW330" s="96"/>
      <c r="IX330" s="96"/>
      <c r="IY330" s="13"/>
    </row>
    <row r="331" spans="1:259" outlineLevel="1">
      <c r="A331" s="11">
        <f>'VAC &amp; MED'!C334</f>
        <v>46305</v>
      </c>
      <c r="B331" s="261"/>
      <c r="C331" s="261"/>
      <c r="D331" s="261"/>
      <c r="E331" s="261"/>
      <c r="F331" s="261"/>
      <c r="G331" s="261"/>
      <c r="H331" s="261"/>
      <c r="I331" s="261"/>
      <c r="J331" s="261"/>
      <c r="K331" s="261"/>
      <c r="L331" s="261"/>
      <c r="M331" s="261"/>
      <c r="N331" s="261"/>
      <c r="O331" s="261"/>
      <c r="P331" s="261"/>
      <c r="Q331" s="261"/>
      <c r="R331" s="262"/>
      <c r="S331" s="262"/>
      <c r="T331" s="262"/>
      <c r="U331" s="262"/>
      <c r="V331" s="262"/>
      <c r="W331" s="262"/>
      <c r="X331" s="262"/>
      <c r="Y331" s="262"/>
      <c r="Z331" s="262"/>
      <c r="AA331" s="262"/>
      <c r="AB331" s="262"/>
      <c r="AC331" s="262"/>
      <c r="AD331" s="262"/>
      <c r="AE331" s="262"/>
      <c r="AF331" s="262"/>
      <c r="AG331" s="262"/>
      <c r="AH331" s="263"/>
      <c r="AI331" s="263"/>
      <c r="AJ331" s="263"/>
      <c r="AK331" s="263"/>
      <c r="AL331" s="263"/>
      <c r="AM331" s="263"/>
      <c r="AN331" s="263"/>
      <c r="AO331" s="263"/>
      <c r="AP331" s="263"/>
      <c r="AQ331" s="263"/>
      <c r="AR331" s="263"/>
      <c r="AS331" s="263"/>
      <c r="AT331" s="263"/>
      <c r="AU331" s="263"/>
      <c r="AV331" s="263"/>
      <c r="AW331" s="263"/>
      <c r="AX331" s="264"/>
      <c r="AY331" s="264"/>
      <c r="AZ331" s="264"/>
      <c r="BA331" s="264"/>
      <c r="BB331" s="264"/>
      <c r="BC331" s="264"/>
      <c r="BD331" s="264"/>
      <c r="BE331" s="264"/>
      <c r="BF331" s="264"/>
      <c r="BG331" s="264"/>
      <c r="BH331" s="264"/>
      <c r="BI331" s="264"/>
      <c r="BJ331" s="264"/>
      <c r="BK331" s="264"/>
      <c r="BL331" s="264"/>
      <c r="BM331" s="264"/>
      <c r="BN331" s="265"/>
      <c r="BO331" s="265"/>
      <c r="BP331" s="265"/>
      <c r="BQ331" s="265"/>
      <c r="BR331" s="265"/>
      <c r="BS331" s="265"/>
      <c r="BT331" s="265"/>
      <c r="BU331" s="265"/>
      <c r="BV331" s="265"/>
      <c r="BW331" s="265"/>
      <c r="BX331" s="265"/>
      <c r="BY331" s="265"/>
      <c r="BZ331" s="265"/>
      <c r="CA331" s="265"/>
      <c r="CB331" s="265"/>
      <c r="CC331" s="265"/>
      <c r="CD331" s="266"/>
      <c r="CE331" s="266"/>
      <c r="CF331" s="266"/>
      <c r="CG331" s="266"/>
      <c r="CH331" s="266"/>
      <c r="CI331" s="266"/>
      <c r="CJ331" s="266"/>
      <c r="CK331" s="266"/>
      <c r="CL331" s="266"/>
      <c r="CM331" s="266"/>
      <c r="CN331" s="266"/>
      <c r="CO331" s="266"/>
      <c r="CP331" s="266"/>
      <c r="CQ331" s="266"/>
      <c r="CR331" s="266"/>
      <c r="CS331" s="266"/>
      <c r="CT331" s="267"/>
      <c r="CU331" s="267"/>
      <c r="CV331" s="267"/>
      <c r="CW331" s="267"/>
      <c r="CX331" s="267"/>
      <c r="CY331" s="267"/>
      <c r="CZ331" s="267"/>
      <c r="DA331" s="267"/>
      <c r="DB331" s="267"/>
      <c r="DC331" s="267"/>
      <c r="DD331" s="267"/>
      <c r="DE331" s="267"/>
      <c r="DF331" s="267"/>
      <c r="DG331" s="267"/>
      <c r="DH331" s="267"/>
      <c r="DI331" s="267"/>
      <c r="DJ331" s="268"/>
      <c r="DK331" s="268"/>
      <c r="DL331" s="268"/>
      <c r="DM331" s="268"/>
      <c r="DN331" s="268"/>
      <c r="DO331" s="268"/>
      <c r="DP331" s="268"/>
      <c r="DQ331" s="268"/>
      <c r="DR331" s="268"/>
      <c r="DS331" s="268"/>
      <c r="DT331" s="268"/>
      <c r="DU331" s="268"/>
      <c r="DV331" s="268"/>
      <c r="DW331" s="268"/>
      <c r="DX331" s="268"/>
      <c r="DY331" s="268"/>
      <c r="EA331" s="13"/>
      <c r="EB331" s="96"/>
      <c r="EC331" s="96"/>
      <c r="ED331" s="96"/>
      <c r="EE331" s="96"/>
      <c r="EF331" s="96"/>
      <c r="EG331" s="96"/>
      <c r="EH331" s="96"/>
      <c r="EI331" s="96"/>
      <c r="EJ331" s="96"/>
      <c r="EK331" s="96"/>
      <c r="EL331" s="96"/>
      <c r="EM331" s="96"/>
      <c r="EN331" s="96"/>
      <c r="EO331" s="96"/>
      <c r="EP331" s="96"/>
      <c r="EQ331" s="96"/>
      <c r="ER331" s="96"/>
      <c r="ES331" s="96"/>
      <c r="ET331" s="96"/>
      <c r="EU331" s="96"/>
      <c r="EV331" s="96"/>
      <c r="EW331" s="96"/>
      <c r="EX331" s="96"/>
      <c r="EY331" s="96"/>
      <c r="EZ331" s="96"/>
      <c r="FA331" s="96"/>
      <c r="FB331" s="96"/>
      <c r="FC331" s="96"/>
      <c r="FD331" s="96"/>
      <c r="FE331" s="96"/>
      <c r="FF331" s="96"/>
      <c r="FG331" s="96"/>
      <c r="FH331" s="96"/>
      <c r="FI331" s="96"/>
      <c r="FJ331" s="96"/>
      <c r="FK331" s="96"/>
      <c r="FL331" s="96"/>
      <c r="FM331" s="96"/>
      <c r="FN331" s="96"/>
      <c r="FO331" s="96"/>
      <c r="FP331" s="96"/>
      <c r="FQ331" s="96"/>
      <c r="FR331" s="96"/>
      <c r="FS331" s="96"/>
      <c r="FT331" s="96"/>
      <c r="FU331" s="96"/>
      <c r="FV331" s="96"/>
      <c r="FW331" s="96"/>
      <c r="FX331" s="96"/>
      <c r="FY331" s="96"/>
      <c r="FZ331" s="96"/>
      <c r="GA331" s="96"/>
      <c r="GB331" s="96"/>
      <c r="GC331" s="96"/>
      <c r="GD331" s="96"/>
      <c r="GE331" s="96"/>
      <c r="GF331" s="96"/>
      <c r="GG331" s="96"/>
      <c r="GH331" s="96"/>
      <c r="GI331" s="96"/>
      <c r="GJ331" s="96"/>
      <c r="GK331" s="96"/>
      <c r="GL331" s="96"/>
      <c r="GM331" s="13"/>
      <c r="GN331" s="96"/>
      <c r="GO331" s="96"/>
      <c r="GP331" s="96"/>
      <c r="GQ331" s="96"/>
      <c r="GR331" s="96"/>
      <c r="GS331" s="96"/>
      <c r="GT331" s="96"/>
      <c r="GU331" s="96"/>
      <c r="GV331" s="96"/>
      <c r="GW331" s="96"/>
      <c r="GX331" s="96"/>
      <c r="GY331" s="96"/>
      <c r="GZ331" s="96"/>
      <c r="HA331" s="96"/>
      <c r="HB331" s="96"/>
      <c r="HC331" s="13"/>
      <c r="HD331" s="96"/>
      <c r="HE331" s="96"/>
      <c r="HF331" s="96"/>
      <c r="HG331" s="96"/>
      <c r="HH331" s="96"/>
      <c r="HI331" s="96"/>
      <c r="HJ331" s="96"/>
      <c r="HK331" s="96"/>
      <c r="HL331" s="96"/>
      <c r="HM331" s="96"/>
      <c r="HN331" s="96"/>
      <c r="HO331" s="96"/>
      <c r="HP331" s="96"/>
      <c r="HQ331" s="96"/>
      <c r="HR331" s="96"/>
      <c r="HS331" s="13"/>
      <c r="HT331" s="96"/>
      <c r="HU331" s="96"/>
      <c r="HV331" s="96"/>
      <c r="HW331" s="96"/>
      <c r="HX331" s="96"/>
      <c r="HY331" s="96"/>
      <c r="HZ331" s="96"/>
      <c r="IA331" s="96"/>
      <c r="IB331" s="96"/>
      <c r="IC331" s="96"/>
      <c r="ID331" s="96"/>
      <c r="IE331" s="96"/>
      <c r="IF331" s="96"/>
      <c r="IG331" s="96"/>
      <c r="IH331" s="96"/>
      <c r="II331" s="13"/>
      <c r="IJ331" s="96"/>
      <c r="IK331" s="96"/>
      <c r="IL331" s="96"/>
      <c r="IM331" s="96"/>
      <c r="IN331" s="96"/>
      <c r="IO331" s="96"/>
      <c r="IP331" s="96"/>
      <c r="IQ331" s="96"/>
      <c r="IR331" s="96"/>
      <c r="IS331" s="96"/>
      <c r="IT331" s="96"/>
      <c r="IU331" s="96"/>
      <c r="IV331" s="96"/>
      <c r="IW331" s="96"/>
      <c r="IX331" s="96"/>
      <c r="IY331" s="13"/>
    </row>
    <row r="332" spans="1:259" outlineLevel="1">
      <c r="A332" s="11">
        <f>'VAC &amp; MED'!C335</f>
        <v>46306</v>
      </c>
      <c r="B332" s="261"/>
      <c r="C332" s="261"/>
      <c r="D332" s="261"/>
      <c r="E332" s="261"/>
      <c r="F332" s="261"/>
      <c r="G332" s="261"/>
      <c r="H332" s="261"/>
      <c r="I332" s="261"/>
      <c r="J332" s="261"/>
      <c r="K332" s="261"/>
      <c r="L332" s="261"/>
      <c r="M332" s="261"/>
      <c r="N332" s="261"/>
      <c r="O332" s="261"/>
      <c r="P332" s="261"/>
      <c r="Q332" s="261"/>
      <c r="R332" s="262"/>
      <c r="S332" s="262"/>
      <c r="T332" s="262"/>
      <c r="U332" s="262"/>
      <c r="V332" s="262"/>
      <c r="W332" s="262"/>
      <c r="X332" s="262"/>
      <c r="Y332" s="262"/>
      <c r="Z332" s="262"/>
      <c r="AA332" s="262"/>
      <c r="AB332" s="262"/>
      <c r="AC332" s="262"/>
      <c r="AD332" s="262"/>
      <c r="AE332" s="262"/>
      <c r="AF332" s="262"/>
      <c r="AG332" s="262"/>
      <c r="AH332" s="263"/>
      <c r="AI332" s="263"/>
      <c r="AJ332" s="263"/>
      <c r="AK332" s="263"/>
      <c r="AL332" s="263"/>
      <c r="AM332" s="263"/>
      <c r="AN332" s="263"/>
      <c r="AO332" s="263"/>
      <c r="AP332" s="263"/>
      <c r="AQ332" s="263"/>
      <c r="AR332" s="263"/>
      <c r="AS332" s="263"/>
      <c r="AT332" s="263"/>
      <c r="AU332" s="263"/>
      <c r="AV332" s="263"/>
      <c r="AW332" s="263"/>
      <c r="AX332" s="264"/>
      <c r="AY332" s="264"/>
      <c r="AZ332" s="264"/>
      <c r="BA332" s="264"/>
      <c r="BB332" s="264"/>
      <c r="BC332" s="264"/>
      <c r="BD332" s="264"/>
      <c r="BE332" s="264"/>
      <c r="BF332" s="264"/>
      <c r="BG332" s="264"/>
      <c r="BH332" s="264"/>
      <c r="BI332" s="264"/>
      <c r="BJ332" s="264"/>
      <c r="BK332" s="264"/>
      <c r="BL332" s="264"/>
      <c r="BM332" s="264"/>
      <c r="BN332" s="265"/>
      <c r="BO332" s="265"/>
      <c r="BP332" s="265"/>
      <c r="BQ332" s="265"/>
      <c r="BR332" s="265"/>
      <c r="BS332" s="265"/>
      <c r="BT332" s="265"/>
      <c r="BU332" s="265"/>
      <c r="BV332" s="265"/>
      <c r="BW332" s="265"/>
      <c r="BX332" s="265"/>
      <c r="BY332" s="265"/>
      <c r="BZ332" s="265"/>
      <c r="CA332" s="265"/>
      <c r="CB332" s="265"/>
      <c r="CC332" s="265"/>
      <c r="CD332" s="266"/>
      <c r="CE332" s="266"/>
      <c r="CF332" s="266"/>
      <c r="CG332" s="266"/>
      <c r="CH332" s="266"/>
      <c r="CI332" s="266"/>
      <c r="CJ332" s="266"/>
      <c r="CK332" s="266"/>
      <c r="CL332" s="266"/>
      <c r="CM332" s="266"/>
      <c r="CN332" s="266"/>
      <c r="CO332" s="266"/>
      <c r="CP332" s="266"/>
      <c r="CQ332" s="266"/>
      <c r="CR332" s="266"/>
      <c r="CS332" s="266"/>
      <c r="CT332" s="267"/>
      <c r="CU332" s="267"/>
      <c r="CV332" s="267"/>
      <c r="CW332" s="267"/>
      <c r="CX332" s="267"/>
      <c r="CY332" s="267"/>
      <c r="CZ332" s="267"/>
      <c r="DA332" s="267"/>
      <c r="DB332" s="267"/>
      <c r="DC332" s="267"/>
      <c r="DD332" s="267"/>
      <c r="DE332" s="267"/>
      <c r="DF332" s="267"/>
      <c r="DG332" s="267"/>
      <c r="DH332" s="267"/>
      <c r="DI332" s="267"/>
      <c r="DJ332" s="268"/>
      <c r="DK332" s="268"/>
      <c r="DL332" s="268"/>
      <c r="DM332" s="268"/>
      <c r="DN332" s="268"/>
      <c r="DO332" s="268"/>
      <c r="DP332" s="268"/>
      <c r="DQ332" s="268"/>
      <c r="DR332" s="268"/>
      <c r="DS332" s="268"/>
      <c r="DT332" s="268"/>
      <c r="DU332" s="268"/>
      <c r="DV332" s="268"/>
      <c r="DW332" s="268"/>
      <c r="DX332" s="268"/>
      <c r="DY332" s="268"/>
      <c r="EA332" s="13"/>
      <c r="EB332" s="96"/>
      <c r="EC332" s="96"/>
      <c r="ED332" s="96"/>
      <c r="EE332" s="96"/>
      <c r="EF332" s="96"/>
      <c r="EG332" s="96"/>
      <c r="EH332" s="96"/>
      <c r="EI332" s="96"/>
      <c r="EJ332" s="96"/>
      <c r="EK332" s="96"/>
      <c r="EL332" s="96"/>
      <c r="EM332" s="96"/>
      <c r="EN332" s="96"/>
      <c r="EO332" s="96"/>
      <c r="EP332" s="96"/>
      <c r="EQ332" s="96"/>
      <c r="ER332" s="96"/>
      <c r="ES332" s="96"/>
      <c r="ET332" s="96"/>
      <c r="EU332" s="96"/>
      <c r="EV332" s="96"/>
      <c r="EW332" s="96"/>
      <c r="EX332" s="96"/>
      <c r="EY332" s="96"/>
      <c r="EZ332" s="96"/>
      <c r="FA332" s="96"/>
      <c r="FB332" s="96"/>
      <c r="FC332" s="96"/>
      <c r="FD332" s="96"/>
      <c r="FE332" s="96"/>
      <c r="FF332" s="96"/>
      <c r="FG332" s="96"/>
      <c r="FH332" s="96"/>
      <c r="FI332" s="96"/>
      <c r="FJ332" s="96"/>
      <c r="FK332" s="96"/>
      <c r="FL332" s="96"/>
      <c r="FM332" s="96"/>
      <c r="FN332" s="96"/>
      <c r="FO332" s="96"/>
      <c r="FP332" s="96"/>
      <c r="FQ332" s="96"/>
      <c r="FR332" s="96"/>
      <c r="FS332" s="96"/>
      <c r="FT332" s="96"/>
      <c r="FU332" s="96"/>
      <c r="FV332" s="96"/>
      <c r="FW332" s="96"/>
      <c r="FX332" s="96"/>
      <c r="FY332" s="96"/>
      <c r="FZ332" s="96"/>
      <c r="GA332" s="96"/>
      <c r="GB332" s="96"/>
      <c r="GC332" s="96"/>
      <c r="GD332" s="96"/>
      <c r="GE332" s="96"/>
      <c r="GF332" s="96"/>
      <c r="GG332" s="96"/>
      <c r="GH332" s="96"/>
      <c r="GI332" s="96"/>
      <c r="GJ332" s="96"/>
      <c r="GK332" s="96"/>
      <c r="GL332" s="96"/>
      <c r="GM332" s="13"/>
      <c r="GN332" s="96"/>
      <c r="GO332" s="96"/>
      <c r="GP332" s="96"/>
      <c r="GQ332" s="96"/>
      <c r="GR332" s="96"/>
      <c r="GS332" s="96"/>
      <c r="GT332" s="96"/>
      <c r="GU332" s="96"/>
      <c r="GV332" s="96"/>
      <c r="GW332" s="96"/>
      <c r="GX332" s="96"/>
      <c r="GY332" s="96"/>
      <c r="GZ332" s="96"/>
      <c r="HA332" s="96"/>
      <c r="HB332" s="96"/>
      <c r="HC332" s="13"/>
      <c r="HD332" s="96"/>
      <c r="HE332" s="96"/>
      <c r="HF332" s="96"/>
      <c r="HG332" s="96"/>
      <c r="HH332" s="96"/>
      <c r="HI332" s="96"/>
      <c r="HJ332" s="96"/>
      <c r="HK332" s="96"/>
      <c r="HL332" s="96"/>
      <c r="HM332" s="96"/>
      <c r="HN332" s="96"/>
      <c r="HO332" s="96"/>
      <c r="HP332" s="96"/>
      <c r="HQ332" s="96"/>
      <c r="HR332" s="96"/>
      <c r="HS332" s="13"/>
      <c r="HT332" s="96"/>
      <c r="HU332" s="96"/>
      <c r="HV332" s="96"/>
      <c r="HW332" s="96"/>
      <c r="HX332" s="96"/>
      <c r="HY332" s="96"/>
      <c r="HZ332" s="96"/>
      <c r="IA332" s="96"/>
      <c r="IB332" s="96"/>
      <c r="IC332" s="96"/>
      <c r="ID332" s="96"/>
      <c r="IE332" s="96"/>
      <c r="IF332" s="96"/>
      <c r="IG332" s="96"/>
      <c r="IH332" s="96"/>
      <c r="II332" s="13"/>
      <c r="IJ332" s="96"/>
      <c r="IK332" s="96"/>
      <c r="IL332" s="96"/>
      <c r="IM332" s="96"/>
      <c r="IN332" s="96"/>
      <c r="IO332" s="96"/>
      <c r="IP332" s="96"/>
      <c r="IQ332" s="96"/>
      <c r="IR332" s="96"/>
      <c r="IS332" s="96"/>
      <c r="IT332" s="96"/>
      <c r="IU332" s="96"/>
      <c r="IV332" s="96"/>
      <c r="IW332" s="96"/>
      <c r="IX332" s="96"/>
      <c r="IY332" s="13"/>
    </row>
    <row r="333" spans="1:259" outlineLevel="1">
      <c r="A333" s="11">
        <f>'VAC &amp; MED'!C336</f>
        <v>46307</v>
      </c>
      <c r="B333" s="261"/>
      <c r="C333" s="261"/>
      <c r="D333" s="261"/>
      <c r="E333" s="261"/>
      <c r="F333" s="261"/>
      <c r="G333" s="261"/>
      <c r="H333" s="261"/>
      <c r="I333" s="261"/>
      <c r="J333" s="261"/>
      <c r="K333" s="261"/>
      <c r="L333" s="261"/>
      <c r="M333" s="261"/>
      <c r="N333" s="261"/>
      <c r="O333" s="261"/>
      <c r="P333" s="261"/>
      <c r="Q333" s="261"/>
      <c r="R333" s="262"/>
      <c r="S333" s="262"/>
      <c r="T333" s="262"/>
      <c r="U333" s="262"/>
      <c r="V333" s="262"/>
      <c r="W333" s="262"/>
      <c r="X333" s="262"/>
      <c r="Y333" s="262"/>
      <c r="Z333" s="262"/>
      <c r="AA333" s="262"/>
      <c r="AB333" s="262"/>
      <c r="AC333" s="262"/>
      <c r="AD333" s="262"/>
      <c r="AE333" s="262"/>
      <c r="AF333" s="262"/>
      <c r="AG333" s="262"/>
      <c r="AH333" s="263"/>
      <c r="AI333" s="263"/>
      <c r="AJ333" s="263"/>
      <c r="AK333" s="263"/>
      <c r="AL333" s="263"/>
      <c r="AM333" s="263"/>
      <c r="AN333" s="263"/>
      <c r="AO333" s="263"/>
      <c r="AP333" s="263"/>
      <c r="AQ333" s="263"/>
      <c r="AR333" s="263"/>
      <c r="AS333" s="263"/>
      <c r="AT333" s="263"/>
      <c r="AU333" s="263"/>
      <c r="AV333" s="263"/>
      <c r="AW333" s="263"/>
      <c r="AX333" s="264"/>
      <c r="AY333" s="264"/>
      <c r="AZ333" s="264"/>
      <c r="BA333" s="264"/>
      <c r="BB333" s="264"/>
      <c r="BC333" s="264"/>
      <c r="BD333" s="264"/>
      <c r="BE333" s="264"/>
      <c r="BF333" s="264"/>
      <c r="BG333" s="264"/>
      <c r="BH333" s="264"/>
      <c r="BI333" s="264"/>
      <c r="BJ333" s="264"/>
      <c r="BK333" s="264"/>
      <c r="BL333" s="264"/>
      <c r="BM333" s="264"/>
      <c r="BN333" s="265"/>
      <c r="BO333" s="265"/>
      <c r="BP333" s="265"/>
      <c r="BQ333" s="265"/>
      <c r="BR333" s="265"/>
      <c r="BS333" s="265"/>
      <c r="BT333" s="265"/>
      <c r="BU333" s="265"/>
      <c r="BV333" s="265"/>
      <c r="BW333" s="265"/>
      <c r="BX333" s="265"/>
      <c r="BY333" s="265"/>
      <c r="BZ333" s="265"/>
      <c r="CA333" s="265"/>
      <c r="CB333" s="265"/>
      <c r="CC333" s="265"/>
      <c r="CD333" s="266"/>
      <c r="CE333" s="266"/>
      <c r="CF333" s="266"/>
      <c r="CG333" s="266"/>
      <c r="CH333" s="266"/>
      <c r="CI333" s="266"/>
      <c r="CJ333" s="266"/>
      <c r="CK333" s="266"/>
      <c r="CL333" s="266"/>
      <c r="CM333" s="266"/>
      <c r="CN333" s="266"/>
      <c r="CO333" s="266"/>
      <c r="CP333" s="266"/>
      <c r="CQ333" s="266"/>
      <c r="CR333" s="266"/>
      <c r="CS333" s="266"/>
      <c r="CT333" s="267"/>
      <c r="CU333" s="267"/>
      <c r="CV333" s="267"/>
      <c r="CW333" s="267"/>
      <c r="CX333" s="267"/>
      <c r="CY333" s="267"/>
      <c r="CZ333" s="267"/>
      <c r="DA333" s="267"/>
      <c r="DB333" s="267"/>
      <c r="DC333" s="267"/>
      <c r="DD333" s="267"/>
      <c r="DE333" s="267"/>
      <c r="DF333" s="267"/>
      <c r="DG333" s="267"/>
      <c r="DH333" s="267"/>
      <c r="DI333" s="267"/>
      <c r="DJ333" s="268"/>
      <c r="DK333" s="268"/>
      <c r="DL333" s="268"/>
      <c r="DM333" s="268"/>
      <c r="DN333" s="268"/>
      <c r="DO333" s="268"/>
      <c r="DP333" s="268"/>
      <c r="DQ333" s="268"/>
      <c r="DR333" s="268"/>
      <c r="DS333" s="268"/>
      <c r="DT333" s="268"/>
      <c r="DU333" s="268"/>
      <c r="DV333" s="268"/>
      <c r="DW333" s="268"/>
      <c r="DX333" s="268"/>
      <c r="DY333" s="268"/>
      <c r="EA333" s="13"/>
      <c r="EB333" s="96"/>
      <c r="EC333" s="96"/>
      <c r="ED333" s="96"/>
      <c r="EE333" s="96"/>
      <c r="EF333" s="96"/>
      <c r="EG333" s="96"/>
      <c r="EH333" s="96"/>
      <c r="EI333" s="96"/>
      <c r="EJ333" s="96"/>
      <c r="EK333" s="96"/>
      <c r="EL333" s="96"/>
      <c r="EM333" s="96"/>
      <c r="EN333" s="96"/>
      <c r="EO333" s="96"/>
      <c r="EP333" s="96"/>
      <c r="EQ333" s="96"/>
      <c r="ER333" s="96"/>
      <c r="ES333" s="96"/>
      <c r="ET333" s="96"/>
      <c r="EU333" s="96"/>
      <c r="EV333" s="96"/>
      <c r="EW333" s="96"/>
      <c r="EX333" s="96"/>
      <c r="EY333" s="96"/>
      <c r="EZ333" s="96"/>
      <c r="FA333" s="96"/>
      <c r="FB333" s="96"/>
      <c r="FC333" s="96"/>
      <c r="FD333" s="96"/>
      <c r="FE333" s="96"/>
      <c r="FF333" s="96"/>
      <c r="FG333" s="96"/>
      <c r="FH333" s="96"/>
      <c r="FI333" s="96"/>
      <c r="FJ333" s="96"/>
      <c r="FK333" s="96"/>
      <c r="FL333" s="96"/>
      <c r="FM333" s="96"/>
      <c r="FN333" s="96"/>
      <c r="FO333" s="96"/>
      <c r="FP333" s="96"/>
      <c r="FQ333" s="96"/>
      <c r="FR333" s="96"/>
      <c r="FS333" s="96"/>
      <c r="FT333" s="96"/>
      <c r="FU333" s="96"/>
      <c r="FV333" s="96"/>
      <c r="FW333" s="96"/>
      <c r="FX333" s="96"/>
      <c r="FY333" s="96"/>
      <c r="FZ333" s="96"/>
      <c r="GA333" s="96"/>
      <c r="GB333" s="96"/>
      <c r="GC333" s="96"/>
      <c r="GD333" s="96"/>
      <c r="GE333" s="96"/>
      <c r="GF333" s="96"/>
      <c r="GG333" s="96"/>
      <c r="GH333" s="96"/>
      <c r="GI333" s="96"/>
      <c r="GJ333" s="96"/>
      <c r="GK333" s="96"/>
      <c r="GL333" s="96"/>
      <c r="GM333" s="13"/>
      <c r="GN333" s="96"/>
      <c r="GO333" s="96"/>
      <c r="GP333" s="96"/>
      <c r="GQ333" s="96"/>
      <c r="GR333" s="96"/>
      <c r="GS333" s="96"/>
      <c r="GT333" s="96"/>
      <c r="GU333" s="96"/>
      <c r="GV333" s="96"/>
      <c r="GW333" s="96"/>
      <c r="GX333" s="96"/>
      <c r="GY333" s="96"/>
      <c r="GZ333" s="96"/>
      <c r="HA333" s="96"/>
      <c r="HB333" s="96"/>
      <c r="HC333" s="13"/>
      <c r="HD333" s="96"/>
      <c r="HE333" s="96"/>
      <c r="HF333" s="96"/>
      <c r="HG333" s="96"/>
      <c r="HH333" s="96"/>
      <c r="HI333" s="96"/>
      <c r="HJ333" s="96"/>
      <c r="HK333" s="96"/>
      <c r="HL333" s="96"/>
      <c r="HM333" s="96"/>
      <c r="HN333" s="96"/>
      <c r="HO333" s="96"/>
      <c r="HP333" s="96"/>
      <c r="HQ333" s="96"/>
      <c r="HR333" s="96"/>
      <c r="HS333" s="13"/>
      <c r="HT333" s="96"/>
      <c r="HU333" s="96"/>
      <c r="HV333" s="96"/>
      <c r="HW333" s="96"/>
      <c r="HX333" s="96"/>
      <c r="HY333" s="96"/>
      <c r="HZ333" s="96"/>
      <c r="IA333" s="96"/>
      <c r="IB333" s="96"/>
      <c r="IC333" s="96"/>
      <c r="ID333" s="96"/>
      <c r="IE333" s="96"/>
      <c r="IF333" s="96"/>
      <c r="IG333" s="96"/>
      <c r="IH333" s="96"/>
      <c r="II333" s="13"/>
      <c r="IJ333" s="96"/>
      <c r="IK333" s="96"/>
      <c r="IL333" s="96"/>
      <c r="IM333" s="96"/>
      <c r="IN333" s="96"/>
      <c r="IO333" s="96"/>
      <c r="IP333" s="96"/>
      <c r="IQ333" s="96"/>
      <c r="IR333" s="96"/>
      <c r="IS333" s="96"/>
      <c r="IT333" s="96"/>
      <c r="IU333" s="96"/>
      <c r="IV333" s="96"/>
      <c r="IW333" s="96"/>
      <c r="IX333" s="96"/>
      <c r="IY333" s="13"/>
    </row>
    <row r="334" spans="1:259" outlineLevel="1">
      <c r="A334" s="11">
        <f>'VAC &amp; MED'!C337</f>
        <v>46308</v>
      </c>
      <c r="B334" s="261"/>
      <c r="C334" s="261"/>
      <c r="D334" s="261"/>
      <c r="E334" s="261"/>
      <c r="F334" s="261"/>
      <c r="G334" s="261"/>
      <c r="H334" s="261"/>
      <c r="I334" s="261"/>
      <c r="J334" s="261"/>
      <c r="K334" s="261"/>
      <c r="L334" s="261"/>
      <c r="M334" s="261"/>
      <c r="N334" s="261"/>
      <c r="O334" s="261"/>
      <c r="P334" s="261"/>
      <c r="Q334" s="261"/>
      <c r="R334" s="262"/>
      <c r="S334" s="262"/>
      <c r="T334" s="262"/>
      <c r="U334" s="262"/>
      <c r="V334" s="262"/>
      <c r="W334" s="262"/>
      <c r="X334" s="262"/>
      <c r="Y334" s="262"/>
      <c r="Z334" s="262"/>
      <c r="AA334" s="262"/>
      <c r="AB334" s="262"/>
      <c r="AC334" s="262"/>
      <c r="AD334" s="262"/>
      <c r="AE334" s="262"/>
      <c r="AF334" s="262"/>
      <c r="AG334" s="262"/>
      <c r="AH334" s="263"/>
      <c r="AI334" s="263"/>
      <c r="AJ334" s="263"/>
      <c r="AK334" s="263"/>
      <c r="AL334" s="263"/>
      <c r="AM334" s="263"/>
      <c r="AN334" s="263"/>
      <c r="AO334" s="263"/>
      <c r="AP334" s="263"/>
      <c r="AQ334" s="263"/>
      <c r="AR334" s="263"/>
      <c r="AS334" s="263"/>
      <c r="AT334" s="263"/>
      <c r="AU334" s="263"/>
      <c r="AV334" s="263"/>
      <c r="AW334" s="263"/>
      <c r="AX334" s="264"/>
      <c r="AY334" s="264"/>
      <c r="AZ334" s="264"/>
      <c r="BA334" s="264"/>
      <c r="BB334" s="264"/>
      <c r="BC334" s="264"/>
      <c r="BD334" s="264"/>
      <c r="BE334" s="264"/>
      <c r="BF334" s="264"/>
      <c r="BG334" s="264"/>
      <c r="BH334" s="264"/>
      <c r="BI334" s="264"/>
      <c r="BJ334" s="264"/>
      <c r="BK334" s="264"/>
      <c r="BL334" s="264"/>
      <c r="BM334" s="264"/>
      <c r="BN334" s="265"/>
      <c r="BO334" s="265"/>
      <c r="BP334" s="265"/>
      <c r="BQ334" s="265"/>
      <c r="BR334" s="265"/>
      <c r="BS334" s="265"/>
      <c r="BT334" s="265"/>
      <c r="BU334" s="265"/>
      <c r="BV334" s="265"/>
      <c r="BW334" s="265"/>
      <c r="BX334" s="265"/>
      <c r="BY334" s="265"/>
      <c r="BZ334" s="265"/>
      <c r="CA334" s="265"/>
      <c r="CB334" s="265"/>
      <c r="CC334" s="265"/>
      <c r="CD334" s="266"/>
      <c r="CE334" s="266"/>
      <c r="CF334" s="266"/>
      <c r="CG334" s="266"/>
      <c r="CH334" s="266"/>
      <c r="CI334" s="266"/>
      <c r="CJ334" s="266"/>
      <c r="CK334" s="266"/>
      <c r="CL334" s="266"/>
      <c r="CM334" s="266"/>
      <c r="CN334" s="266"/>
      <c r="CO334" s="266"/>
      <c r="CP334" s="266"/>
      <c r="CQ334" s="266"/>
      <c r="CR334" s="266"/>
      <c r="CS334" s="266"/>
      <c r="CT334" s="267"/>
      <c r="CU334" s="267"/>
      <c r="CV334" s="267"/>
      <c r="CW334" s="267"/>
      <c r="CX334" s="267"/>
      <c r="CY334" s="267"/>
      <c r="CZ334" s="267"/>
      <c r="DA334" s="267"/>
      <c r="DB334" s="267"/>
      <c r="DC334" s="267"/>
      <c r="DD334" s="267"/>
      <c r="DE334" s="267"/>
      <c r="DF334" s="267"/>
      <c r="DG334" s="267"/>
      <c r="DH334" s="267"/>
      <c r="DI334" s="267"/>
      <c r="DJ334" s="268"/>
      <c r="DK334" s="268"/>
      <c r="DL334" s="268"/>
      <c r="DM334" s="268"/>
      <c r="DN334" s="268"/>
      <c r="DO334" s="268"/>
      <c r="DP334" s="268"/>
      <c r="DQ334" s="268"/>
      <c r="DR334" s="268"/>
      <c r="DS334" s="268"/>
      <c r="DT334" s="268"/>
      <c r="DU334" s="268"/>
      <c r="DV334" s="268"/>
      <c r="DW334" s="268"/>
      <c r="DX334" s="268"/>
      <c r="DY334" s="268"/>
      <c r="EA334" s="13"/>
      <c r="EB334" s="96"/>
      <c r="EC334" s="96"/>
      <c r="ED334" s="96"/>
      <c r="EE334" s="96"/>
      <c r="EF334" s="96"/>
      <c r="EG334" s="96"/>
      <c r="EH334" s="96"/>
      <c r="EI334" s="96"/>
      <c r="EJ334" s="96"/>
      <c r="EK334" s="96"/>
      <c r="EL334" s="96"/>
      <c r="EM334" s="96"/>
      <c r="EN334" s="96"/>
      <c r="EO334" s="96"/>
      <c r="EP334" s="96"/>
      <c r="EQ334" s="96"/>
      <c r="ER334" s="96"/>
      <c r="ES334" s="96"/>
      <c r="ET334" s="96"/>
      <c r="EU334" s="96"/>
      <c r="EV334" s="96"/>
      <c r="EW334" s="96"/>
      <c r="EX334" s="96"/>
      <c r="EY334" s="96"/>
      <c r="EZ334" s="96"/>
      <c r="FA334" s="96"/>
      <c r="FB334" s="96"/>
      <c r="FC334" s="96"/>
      <c r="FD334" s="96"/>
      <c r="FE334" s="96"/>
      <c r="FF334" s="96"/>
      <c r="FG334" s="96"/>
      <c r="FH334" s="96"/>
      <c r="FI334" s="96"/>
      <c r="FJ334" s="96"/>
      <c r="FK334" s="96"/>
      <c r="FL334" s="96"/>
      <c r="FM334" s="96"/>
      <c r="FN334" s="96"/>
      <c r="FO334" s="96"/>
      <c r="FP334" s="96"/>
      <c r="FQ334" s="96"/>
      <c r="FR334" s="96"/>
      <c r="FS334" s="96"/>
      <c r="FT334" s="96"/>
      <c r="FU334" s="96"/>
      <c r="FV334" s="96"/>
      <c r="FW334" s="96"/>
      <c r="FX334" s="96"/>
      <c r="FY334" s="96"/>
      <c r="FZ334" s="96"/>
      <c r="GA334" s="96"/>
      <c r="GB334" s="96"/>
      <c r="GC334" s="96"/>
      <c r="GD334" s="96"/>
      <c r="GE334" s="96"/>
      <c r="GF334" s="96"/>
      <c r="GG334" s="96"/>
      <c r="GH334" s="96"/>
      <c r="GI334" s="96"/>
      <c r="GJ334" s="96"/>
      <c r="GK334" s="96"/>
      <c r="GL334" s="96"/>
      <c r="GM334" s="13"/>
      <c r="GN334" s="96"/>
      <c r="GO334" s="96"/>
      <c r="GP334" s="96"/>
      <c r="GQ334" s="96"/>
      <c r="GR334" s="96"/>
      <c r="GS334" s="96"/>
      <c r="GT334" s="96"/>
      <c r="GU334" s="96"/>
      <c r="GV334" s="96"/>
      <c r="GW334" s="96"/>
      <c r="GX334" s="96"/>
      <c r="GY334" s="96"/>
      <c r="GZ334" s="96"/>
      <c r="HA334" s="96"/>
      <c r="HB334" s="96"/>
      <c r="HC334" s="13"/>
      <c r="HD334" s="96"/>
      <c r="HE334" s="96"/>
      <c r="HF334" s="96"/>
      <c r="HG334" s="96"/>
      <c r="HH334" s="96"/>
      <c r="HI334" s="96"/>
      <c r="HJ334" s="96"/>
      <c r="HK334" s="96"/>
      <c r="HL334" s="96"/>
      <c r="HM334" s="96"/>
      <c r="HN334" s="96"/>
      <c r="HO334" s="96"/>
      <c r="HP334" s="96"/>
      <c r="HQ334" s="96"/>
      <c r="HR334" s="96"/>
      <c r="HS334" s="13"/>
      <c r="HT334" s="96"/>
      <c r="HU334" s="96"/>
      <c r="HV334" s="96"/>
      <c r="HW334" s="96"/>
      <c r="HX334" s="96"/>
      <c r="HY334" s="96"/>
      <c r="HZ334" s="96"/>
      <c r="IA334" s="96"/>
      <c r="IB334" s="96"/>
      <c r="IC334" s="96"/>
      <c r="ID334" s="96"/>
      <c r="IE334" s="96"/>
      <c r="IF334" s="96"/>
      <c r="IG334" s="96"/>
      <c r="IH334" s="96"/>
      <c r="II334" s="13"/>
      <c r="IJ334" s="96"/>
      <c r="IK334" s="96"/>
      <c r="IL334" s="96"/>
      <c r="IM334" s="96"/>
      <c r="IN334" s="96"/>
      <c r="IO334" s="96"/>
      <c r="IP334" s="96"/>
      <c r="IQ334" s="96"/>
      <c r="IR334" s="96"/>
      <c r="IS334" s="96"/>
      <c r="IT334" s="96"/>
      <c r="IU334" s="96"/>
      <c r="IV334" s="96"/>
      <c r="IW334" s="96"/>
      <c r="IX334" s="96"/>
      <c r="IY334" s="13"/>
    </row>
    <row r="335" spans="1:259" outlineLevel="1">
      <c r="A335" s="11">
        <f>'VAC &amp; MED'!C338</f>
        <v>46309</v>
      </c>
      <c r="B335" s="261"/>
      <c r="C335" s="261"/>
      <c r="D335" s="261"/>
      <c r="E335" s="261"/>
      <c r="F335" s="261"/>
      <c r="G335" s="261"/>
      <c r="H335" s="261"/>
      <c r="I335" s="261"/>
      <c r="J335" s="261"/>
      <c r="K335" s="261"/>
      <c r="L335" s="261"/>
      <c r="M335" s="261"/>
      <c r="N335" s="261"/>
      <c r="O335" s="261"/>
      <c r="P335" s="261"/>
      <c r="Q335" s="261"/>
      <c r="R335" s="262"/>
      <c r="S335" s="262"/>
      <c r="T335" s="262"/>
      <c r="U335" s="262"/>
      <c r="V335" s="262"/>
      <c r="W335" s="262"/>
      <c r="X335" s="262"/>
      <c r="Y335" s="262"/>
      <c r="Z335" s="262"/>
      <c r="AA335" s="262"/>
      <c r="AB335" s="262"/>
      <c r="AC335" s="262"/>
      <c r="AD335" s="262"/>
      <c r="AE335" s="262"/>
      <c r="AF335" s="262"/>
      <c r="AG335" s="262"/>
      <c r="AH335" s="263"/>
      <c r="AI335" s="263"/>
      <c r="AJ335" s="263"/>
      <c r="AK335" s="263"/>
      <c r="AL335" s="263"/>
      <c r="AM335" s="263"/>
      <c r="AN335" s="263"/>
      <c r="AO335" s="263"/>
      <c r="AP335" s="263"/>
      <c r="AQ335" s="263"/>
      <c r="AR335" s="263"/>
      <c r="AS335" s="263"/>
      <c r="AT335" s="263"/>
      <c r="AU335" s="263"/>
      <c r="AV335" s="263"/>
      <c r="AW335" s="263"/>
      <c r="AX335" s="264"/>
      <c r="AY335" s="264"/>
      <c r="AZ335" s="264"/>
      <c r="BA335" s="264"/>
      <c r="BB335" s="264"/>
      <c r="BC335" s="264"/>
      <c r="BD335" s="264"/>
      <c r="BE335" s="264"/>
      <c r="BF335" s="264"/>
      <c r="BG335" s="264"/>
      <c r="BH335" s="264"/>
      <c r="BI335" s="264"/>
      <c r="BJ335" s="264"/>
      <c r="BK335" s="264"/>
      <c r="BL335" s="264"/>
      <c r="BM335" s="264"/>
      <c r="BN335" s="265"/>
      <c r="BO335" s="265"/>
      <c r="BP335" s="265"/>
      <c r="BQ335" s="265"/>
      <c r="BR335" s="265"/>
      <c r="BS335" s="265"/>
      <c r="BT335" s="265"/>
      <c r="BU335" s="265"/>
      <c r="BV335" s="265"/>
      <c r="BW335" s="265"/>
      <c r="BX335" s="265"/>
      <c r="BY335" s="265"/>
      <c r="BZ335" s="265"/>
      <c r="CA335" s="265"/>
      <c r="CB335" s="265"/>
      <c r="CC335" s="265"/>
      <c r="CD335" s="266"/>
      <c r="CE335" s="266"/>
      <c r="CF335" s="266"/>
      <c r="CG335" s="266"/>
      <c r="CH335" s="266"/>
      <c r="CI335" s="266"/>
      <c r="CJ335" s="266"/>
      <c r="CK335" s="266"/>
      <c r="CL335" s="266"/>
      <c r="CM335" s="266"/>
      <c r="CN335" s="266"/>
      <c r="CO335" s="266"/>
      <c r="CP335" s="266"/>
      <c r="CQ335" s="266"/>
      <c r="CR335" s="266"/>
      <c r="CS335" s="266"/>
      <c r="CT335" s="267"/>
      <c r="CU335" s="267"/>
      <c r="CV335" s="267"/>
      <c r="CW335" s="267"/>
      <c r="CX335" s="267"/>
      <c r="CY335" s="267"/>
      <c r="CZ335" s="267"/>
      <c r="DA335" s="267"/>
      <c r="DB335" s="267"/>
      <c r="DC335" s="267"/>
      <c r="DD335" s="267"/>
      <c r="DE335" s="267"/>
      <c r="DF335" s="267"/>
      <c r="DG335" s="267"/>
      <c r="DH335" s="267"/>
      <c r="DI335" s="267"/>
      <c r="DJ335" s="268"/>
      <c r="DK335" s="268"/>
      <c r="DL335" s="268"/>
      <c r="DM335" s="268"/>
      <c r="DN335" s="268"/>
      <c r="DO335" s="268"/>
      <c r="DP335" s="268"/>
      <c r="DQ335" s="268"/>
      <c r="DR335" s="268"/>
      <c r="DS335" s="268"/>
      <c r="DT335" s="268"/>
      <c r="DU335" s="268"/>
      <c r="DV335" s="268"/>
      <c r="DW335" s="268"/>
      <c r="DX335" s="268"/>
      <c r="DY335" s="268"/>
      <c r="EA335" s="13"/>
      <c r="EB335" s="96"/>
      <c r="EC335" s="96"/>
      <c r="ED335" s="96"/>
      <c r="EE335" s="96"/>
      <c r="EF335" s="96"/>
      <c r="EG335" s="96"/>
      <c r="EH335" s="96"/>
      <c r="EI335" s="96"/>
      <c r="EJ335" s="96"/>
      <c r="EK335" s="96"/>
      <c r="EL335" s="96"/>
      <c r="EM335" s="96"/>
      <c r="EN335" s="96"/>
      <c r="EO335" s="96"/>
      <c r="EP335" s="96"/>
      <c r="EQ335" s="96"/>
      <c r="ER335" s="96"/>
      <c r="ES335" s="96"/>
      <c r="ET335" s="96"/>
      <c r="EU335" s="96"/>
      <c r="EV335" s="96"/>
      <c r="EW335" s="96"/>
      <c r="EX335" s="96"/>
      <c r="EY335" s="96"/>
      <c r="EZ335" s="96"/>
      <c r="FA335" s="96"/>
      <c r="FB335" s="96"/>
      <c r="FC335" s="96"/>
      <c r="FD335" s="96"/>
      <c r="FE335" s="96"/>
      <c r="FF335" s="96"/>
      <c r="FG335" s="96"/>
      <c r="FH335" s="96"/>
      <c r="FI335" s="96"/>
      <c r="FJ335" s="96"/>
      <c r="FK335" s="96"/>
      <c r="FL335" s="96"/>
      <c r="FM335" s="96"/>
      <c r="FN335" s="96"/>
      <c r="FO335" s="96"/>
      <c r="FP335" s="96"/>
      <c r="FQ335" s="96"/>
      <c r="FR335" s="96"/>
      <c r="FS335" s="96"/>
      <c r="FT335" s="96"/>
      <c r="FU335" s="96"/>
      <c r="FV335" s="96"/>
      <c r="FW335" s="96"/>
      <c r="FX335" s="96"/>
      <c r="FY335" s="96"/>
      <c r="FZ335" s="96"/>
      <c r="GA335" s="96"/>
      <c r="GB335" s="96"/>
      <c r="GC335" s="96"/>
      <c r="GD335" s="96"/>
      <c r="GE335" s="96"/>
      <c r="GF335" s="96"/>
      <c r="GG335" s="96"/>
      <c r="GH335" s="96"/>
      <c r="GI335" s="96"/>
      <c r="GJ335" s="96"/>
      <c r="GK335" s="96"/>
      <c r="GL335" s="96"/>
      <c r="GM335" s="13"/>
      <c r="GN335" s="96"/>
      <c r="GO335" s="96"/>
      <c r="GP335" s="96"/>
      <c r="GQ335" s="96"/>
      <c r="GR335" s="96"/>
      <c r="GS335" s="96"/>
      <c r="GT335" s="96"/>
      <c r="GU335" s="96"/>
      <c r="GV335" s="96"/>
      <c r="GW335" s="96"/>
      <c r="GX335" s="96"/>
      <c r="GY335" s="96"/>
      <c r="GZ335" s="96"/>
      <c r="HA335" s="96"/>
      <c r="HB335" s="96"/>
      <c r="HC335" s="13"/>
      <c r="HD335" s="96"/>
      <c r="HE335" s="96"/>
      <c r="HF335" s="96"/>
      <c r="HG335" s="96"/>
      <c r="HH335" s="96"/>
      <c r="HI335" s="96"/>
      <c r="HJ335" s="96"/>
      <c r="HK335" s="96"/>
      <c r="HL335" s="96"/>
      <c r="HM335" s="96"/>
      <c r="HN335" s="96"/>
      <c r="HO335" s="96"/>
      <c r="HP335" s="96"/>
      <c r="HQ335" s="96"/>
      <c r="HR335" s="96"/>
      <c r="HS335" s="13"/>
      <c r="HT335" s="96"/>
      <c r="HU335" s="96"/>
      <c r="HV335" s="96"/>
      <c r="HW335" s="96"/>
      <c r="HX335" s="96"/>
      <c r="HY335" s="96"/>
      <c r="HZ335" s="96"/>
      <c r="IA335" s="96"/>
      <c r="IB335" s="96"/>
      <c r="IC335" s="96"/>
      <c r="ID335" s="96"/>
      <c r="IE335" s="96"/>
      <c r="IF335" s="96"/>
      <c r="IG335" s="96"/>
      <c r="IH335" s="96"/>
      <c r="II335" s="13"/>
      <c r="IJ335" s="96"/>
      <c r="IK335" s="96"/>
      <c r="IL335" s="96"/>
      <c r="IM335" s="96"/>
      <c r="IN335" s="96"/>
      <c r="IO335" s="96"/>
      <c r="IP335" s="96"/>
      <c r="IQ335" s="96"/>
      <c r="IR335" s="96"/>
      <c r="IS335" s="96"/>
      <c r="IT335" s="96"/>
      <c r="IU335" s="96"/>
      <c r="IV335" s="96"/>
      <c r="IW335" s="96"/>
      <c r="IX335" s="96"/>
      <c r="IY335" s="13"/>
    </row>
    <row r="336" spans="1:259" outlineLevel="1">
      <c r="A336" s="11">
        <f>'VAC &amp; MED'!C339</f>
        <v>46310</v>
      </c>
      <c r="B336" s="261"/>
      <c r="C336" s="261"/>
      <c r="D336" s="261"/>
      <c r="E336" s="261"/>
      <c r="F336" s="261"/>
      <c r="G336" s="261"/>
      <c r="H336" s="261"/>
      <c r="I336" s="261"/>
      <c r="J336" s="261"/>
      <c r="K336" s="261"/>
      <c r="L336" s="261"/>
      <c r="M336" s="261"/>
      <c r="N336" s="261"/>
      <c r="O336" s="261"/>
      <c r="P336" s="261"/>
      <c r="Q336" s="261"/>
      <c r="R336" s="262"/>
      <c r="S336" s="262"/>
      <c r="T336" s="262"/>
      <c r="U336" s="262"/>
      <c r="V336" s="262"/>
      <c r="W336" s="262"/>
      <c r="X336" s="262"/>
      <c r="Y336" s="262"/>
      <c r="Z336" s="262"/>
      <c r="AA336" s="262"/>
      <c r="AB336" s="262"/>
      <c r="AC336" s="262"/>
      <c r="AD336" s="262"/>
      <c r="AE336" s="262"/>
      <c r="AF336" s="262"/>
      <c r="AG336" s="262"/>
      <c r="AH336" s="263"/>
      <c r="AI336" s="263"/>
      <c r="AJ336" s="263"/>
      <c r="AK336" s="263"/>
      <c r="AL336" s="263"/>
      <c r="AM336" s="263"/>
      <c r="AN336" s="263"/>
      <c r="AO336" s="263"/>
      <c r="AP336" s="263"/>
      <c r="AQ336" s="263"/>
      <c r="AR336" s="263"/>
      <c r="AS336" s="263"/>
      <c r="AT336" s="263"/>
      <c r="AU336" s="263"/>
      <c r="AV336" s="263"/>
      <c r="AW336" s="263"/>
      <c r="AX336" s="264"/>
      <c r="AY336" s="264"/>
      <c r="AZ336" s="264"/>
      <c r="BA336" s="264"/>
      <c r="BB336" s="264"/>
      <c r="BC336" s="264"/>
      <c r="BD336" s="264"/>
      <c r="BE336" s="264"/>
      <c r="BF336" s="264"/>
      <c r="BG336" s="264"/>
      <c r="BH336" s="264"/>
      <c r="BI336" s="264"/>
      <c r="BJ336" s="264"/>
      <c r="BK336" s="264"/>
      <c r="BL336" s="264"/>
      <c r="BM336" s="264"/>
      <c r="BN336" s="265"/>
      <c r="BO336" s="265"/>
      <c r="BP336" s="265"/>
      <c r="BQ336" s="265"/>
      <c r="BR336" s="265"/>
      <c r="BS336" s="265"/>
      <c r="BT336" s="265"/>
      <c r="BU336" s="265"/>
      <c r="BV336" s="265"/>
      <c r="BW336" s="265"/>
      <c r="BX336" s="265"/>
      <c r="BY336" s="265"/>
      <c r="BZ336" s="265"/>
      <c r="CA336" s="265"/>
      <c r="CB336" s="265"/>
      <c r="CC336" s="265"/>
      <c r="CD336" s="266"/>
      <c r="CE336" s="266"/>
      <c r="CF336" s="266"/>
      <c r="CG336" s="266"/>
      <c r="CH336" s="266"/>
      <c r="CI336" s="266"/>
      <c r="CJ336" s="266"/>
      <c r="CK336" s="266"/>
      <c r="CL336" s="266"/>
      <c r="CM336" s="266"/>
      <c r="CN336" s="266"/>
      <c r="CO336" s="266"/>
      <c r="CP336" s="266"/>
      <c r="CQ336" s="266"/>
      <c r="CR336" s="266"/>
      <c r="CS336" s="266"/>
      <c r="CT336" s="267"/>
      <c r="CU336" s="267"/>
      <c r="CV336" s="267"/>
      <c r="CW336" s="267"/>
      <c r="CX336" s="267"/>
      <c r="CY336" s="267"/>
      <c r="CZ336" s="267"/>
      <c r="DA336" s="267"/>
      <c r="DB336" s="267"/>
      <c r="DC336" s="267"/>
      <c r="DD336" s="267"/>
      <c r="DE336" s="267"/>
      <c r="DF336" s="267"/>
      <c r="DG336" s="267"/>
      <c r="DH336" s="267"/>
      <c r="DI336" s="267"/>
      <c r="DJ336" s="268"/>
      <c r="DK336" s="268"/>
      <c r="DL336" s="268"/>
      <c r="DM336" s="268"/>
      <c r="DN336" s="268"/>
      <c r="DO336" s="268"/>
      <c r="DP336" s="268"/>
      <c r="DQ336" s="268"/>
      <c r="DR336" s="268"/>
      <c r="DS336" s="268"/>
      <c r="DT336" s="268"/>
      <c r="DU336" s="268"/>
      <c r="DV336" s="268"/>
      <c r="DW336" s="268"/>
      <c r="DX336" s="268"/>
      <c r="DY336" s="268"/>
      <c r="EA336" s="13"/>
      <c r="EB336" s="96"/>
      <c r="EC336" s="96"/>
      <c r="ED336" s="96"/>
      <c r="EE336" s="96"/>
      <c r="EF336" s="96"/>
      <c r="EG336" s="96"/>
      <c r="EH336" s="96"/>
      <c r="EI336" s="96"/>
      <c r="EJ336" s="96"/>
      <c r="EK336" s="96"/>
      <c r="EL336" s="96"/>
      <c r="EM336" s="96"/>
      <c r="EN336" s="96"/>
      <c r="EO336" s="96"/>
      <c r="EP336" s="96"/>
      <c r="EQ336" s="96"/>
      <c r="ER336" s="96"/>
      <c r="ES336" s="96"/>
      <c r="ET336" s="96"/>
      <c r="EU336" s="96"/>
      <c r="EV336" s="96"/>
      <c r="EW336" s="96"/>
      <c r="EX336" s="96"/>
      <c r="EY336" s="96"/>
      <c r="EZ336" s="96"/>
      <c r="FA336" s="96"/>
      <c r="FB336" s="96"/>
      <c r="FC336" s="96"/>
      <c r="FD336" s="96"/>
      <c r="FE336" s="96"/>
      <c r="FF336" s="96"/>
      <c r="FG336" s="96"/>
      <c r="FH336" s="96"/>
      <c r="FI336" s="96"/>
      <c r="FJ336" s="96"/>
      <c r="FK336" s="96"/>
      <c r="FL336" s="96"/>
      <c r="FM336" s="96"/>
      <c r="FN336" s="96"/>
      <c r="FO336" s="96"/>
      <c r="FP336" s="96"/>
      <c r="FQ336" s="96"/>
      <c r="FR336" s="96"/>
      <c r="FS336" s="96"/>
      <c r="FT336" s="96"/>
      <c r="FU336" s="96"/>
      <c r="FV336" s="96"/>
      <c r="FW336" s="96"/>
      <c r="FX336" s="96"/>
      <c r="FY336" s="96"/>
      <c r="FZ336" s="96"/>
      <c r="GA336" s="96"/>
      <c r="GB336" s="96"/>
      <c r="GC336" s="96"/>
      <c r="GD336" s="96"/>
      <c r="GE336" s="96"/>
      <c r="GF336" s="96"/>
      <c r="GG336" s="96"/>
      <c r="GH336" s="96"/>
      <c r="GI336" s="96"/>
      <c r="GJ336" s="96"/>
      <c r="GK336" s="96"/>
      <c r="GL336" s="96"/>
      <c r="GM336" s="13"/>
      <c r="GN336" s="96"/>
      <c r="GO336" s="96"/>
      <c r="GP336" s="96"/>
      <c r="GQ336" s="96"/>
      <c r="GR336" s="96"/>
      <c r="GS336" s="96"/>
      <c r="GT336" s="96"/>
      <c r="GU336" s="96"/>
      <c r="GV336" s="96"/>
      <c r="GW336" s="96"/>
      <c r="GX336" s="96"/>
      <c r="GY336" s="96"/>
      <c r="GZ336" s="96"/>
      <c r="HA336" s="96"/>
      <c r="HB336" s="96"/>
      <c r="HC336" s="13"/>
      <c r="HD336" s="96"/>
      <c r="HE336" s="96"/>
      <c r="HF336" s="96"/>
      <c r="HG336" s="96"/>
      <c r="HH336" s="96"/>
      <c r="HI336" s="96"/>
      <c r="HJ336" s="96"/>
      <c r="HK336" s="96"/>
      <c r="HL336" s="96"/>
      <c r="HM336" s="96"/>
      <c r="HN336" s="96"/>
      <c r="HO336" s="96"/>
      <c r="HP336" s="96"/>
      <c r="HQ336" s="96"/>
      <c r="HR336" s="96"/>
      <c r="HS336" s="13"/>
      <c r="HT336" s="96"/>
      <c r="HU336" s="96"/>
      <c r="HV336" s="96"/>
      <c r="HW336" s="96"/>
      <c r="HX336" s="96"/>
      <c r="HY336" s="96"/>
      <c r="HZ336" s="96"/>
      <c r="IA336" s="96"/>
      <c r="IB336" s="96"/>
      <c r="IC336" s="96"/>
      <c r="ID336" s="96"/>
      <c r="IE336" s="96"/>
      <c r="IF336" s="96"/>
      <c r="IG336" s="96"/>
      <c r="IH336" s="96"/>
      <c r="II336" s="13"/>
      <c r="IJ336" s="96"/>
      <c r="IK336" s="96"/>
      <c r="IL336" s="96"/>
      <c r="IM336" s="96"/>
      <c r="IN336" s="96"/>
      <c r="IO336" s="96"/>
      <c r="IP336" s="96"/>
      <c r="IQ336" s="96"/>
      <c r="IR336" s="96"/>
      <c r="IS336" s="96"/>
      <c r="IT336" s="96"/>
      <c r="IU336" s="96"/>
      <c r="IV336" s="96"/>
      <c r="IW336" s="96"/>
      <c r="IX336" s="96"/>
      <c r="IY336" s="13"/>
    </row>
    <row r="337" spans="1:259" outlineLevel="1">
      <c r="A337" s="11">
        <f>'VAC &amp; MED'!C340</f>
        <v>46311</v>
      </c>
      <c r="B337" s="261"/>
      <c r="C337" s="261"/>
      <c r="D337" s="261"/>
      <c r="E337" s="261"/>
      <c r="F337" s="261"/>
      <c r="G337" s="261"/>
      <c r="H337" s="261"/>
      <c r="I337" s="261"/>
      <c r="J337" s="261"/>
      <c r="K337" s="261"/>
      <c r="L337" s="261"/>
      <c r="M337" s="261"/>
      <c r="N337" s="261"/>
      <c r="O337" s="261"/>
      <c r="P337" s="261"/>
      <c r="Q337" s="261"/>
      <c r="R337" s="262"/>
      <c r="S337" s="262"/>
      <c r="T337" s="262"/>
      <c r="U337" s="262"/>
      <c r="V337" s="262"/>
      <c r="W337" s="262"/>
      <c r="X337" s="262"/>
      <c r="Y337" s="262"/>
      <c r="Z337" s="262"/>
      <c r="AA337" s="262"/>
      <c r="AB337" s="262"/>
      <c r="AC337" s="262"/>
      <c r="AD337" s="262"/>
      <c r="AE337" s="262"/>
      <c r="AF337" s="262"/>
      <c r="AG337" s="262"/>
      <c r="AH337" s="263"/>
      <c r="AI337" s="263"/>
      <c r="AJ337" s="263"/>
      <c r="AK337" s="263"/>
      <c r="AL337" s="263"/>
      <c r="AM337" s="263"/>
      <c r="AN337" s="263"/>
      <c r="AO337" s="263"/>
      <c r="AP337" s="263"/>
      <c r="AQ337" s="263"/>
      <c r="AR337" s="263"/>
      <c r="AS337" s="263"/>
      <c r="AT337" s="263"/>
      <c r="AU337" s="263"/>
      <c r="AV337" s="263"/>
      <c r="AW337" s="263"/>
      <c r="AX337" s="264"/>
      <c r="AY337" s="264"/>
      <c r="AZ337" s="264"/>
      <c r="BA337" s="264"/>
      <c r="BB337" s="264"/>
      <c r="BC337" s="264"/>
      <c r="BD337" s="264"/>
      <c r="BE337" s="264"/>
      <c r="BF337" s="264"/>
      <c r="BG337" s="264"/>
      <c r="BH337" s="264"/>
      <c r="BI337" s="264"/>
      <c r="BJ337" s="264"/>
      <c r="BK337" s="264"/>
      <c r="BL337" s="264"/>
      <c r="BM337" s="264"/>
      <c r="BN337" s="265"/>
      <c r="BO337" s="265"/>
      <c r="BP337" s="265"/>
      <c r="BQ337" s="265"/>
      <c r="BR337" s="265"/>
      <c r="BS337" s="265"/>
      <c r="BT337" s="265"/>
      <c r="BU337" s="265"/>
      <c r="BV337" s="265"/>
      <c r="BW337" s="265"/>
      <c r="BX337" s="265"/>
      <c r="BY337" s="265"/>
      <c r="BZ337" s="265"/>
      <c r="CA337" s="265"/>
      <c r="CB337" s="265"/>
      <c r="CC337" s="265"/>
      <c r="CD337" s="266"/>
      <c r="CE337" s="266"/>
      <c r="CF337" s="266"/>
      <c r="CG337" s="266"/>
      <c r="CH337" s="266"/>
      <c r="CI337" s="266"/>
      <c r="CJ337" s="266"/>
      <c r="CK337" s="266"/>
      <c r="CL337" s="266"/>
      <c r="CM337" s="266"/>
      <c r="CN337" s="266"/>
      <c r="CO337" s="266"/>
      <c r="CP337" s="266"/>
      <c r="CQ337" s="266"/>
      <c r="CR337" s="266"/>
      <c r="CS337" s="266"/>
      <c r="CT337" s="267"/>
      <c r="CU337" s="267"/>
      <c r="CV337" s="267"/>
      <c r="CW337" s="267"/>
      <c r="CX337" s="267"/>
      <c r="CY337" s="267"/>
      <c r="CZ337" s="267"/>
      <c r="DA337" s="267"/>
      <c r="DB337" s="267"/>
      <c r="DC337" s="267"/>
      <c r="DD337" s="267"/>
      <c r="DE337" s="267"/>
      <c r="DF337" s="267"/>
      <c r="DG337" s="267"/>
      <c r="DH337" s="267"/>
      <c r="DI337" s="267"/>
      <c r="DJ337" s="268"/>
      <c r="DK337" s="268"/>
      <c r="DL337" s="268"/>
      <c r="DM337" s="268"/>
      <c r="DN337" s="268"/>
      <c r="DO337" s="268"/>
      <c r="DP337" s="268"/>
      <c r="DQ337" s="268"/>
      <c r="DR337" s="268"/>
      <c r="DS337" s="268"/>
      <c r="DT337" s="268"/>
      <c r="DU337" s="268"/>
      <c r="DV337" s="268"/>
      <c r="DW337" s="268"/>
      <c r="DX337" s="268"/>
      <c r="DY337" s="268"/>
      <c r="EA337" s="13"/>
      <c r="EB337" s="96"/>
      <c r="EC337" s="96"/>
      <c r="ED337" s="96"/>
      <c r="EE337" s="96"/>
      <c r="EF337" s="96"/>
      <c r="EG337" s="96"/>
      <c r="EH337" s="96"/>
      <c r="EI337" s="96"/>
      <c r="EJ337" s="96"/>
      <c r="EK337" s="96"/>
      <c r="EL337" s="96"/>
      <c r="EM337" s="96"/>
      <c r="EN337" s="96"/>
      <c r="EO337" s="96"/>
      <c r="EP337" s="96"/>
      <c r="EQ337" s="96"/>
      <c r="ER337" s="96"/>
      <c r="ES337" s="96"/>
      <c r="ET337" s="96"/>
      <c r="EU337" s="96"/>
      <c r="EV337" s="96"/>
      <c r="EW337" s="96"/>
      <c r="EX337" s="96"/>
      <c r="EY337" s="96"/>
      <c r="EZ337" s="96"/>
      <c r="FA337" s="96"/>
      <c r="FB337" s="96"/>
      <c r="FC337" s="96"/>
      <c r="FD337" s="96"/>
      <c r="FE337" s="96"/>
      <c r="FF337" s="96"/>
      <c r="FG337" s="96"/>
      <c r="FH337" s="96"/>
      <c r="FI337" s="96"/>
      <c r="FJ337" s="96"/>
      <c r="FK337" s="96"/>
      <c r="FL337" s="96"/>
      <c r="FM337" s="96"/>
      <c r="FN337" s="96"/>
      <c r="FO337" s="96"/>
      <c r="FP337" s="96"/>
      <c r="FQ337" s="96"/>
      <c r="FR337" s="96"/>
      <c r="FS337" s="96"/>
      <c r="FT337" s="96"/>
      <c r="FU337" s="96"/>
      <c r="FV337" s="96"/>
      <c r="FW337" s="96"/>
      <c r="FX337" s="96"/>
      <c r="FY337" s="96"/>
      <c r="FZ337" s="96"/>
      <c r="GA337" s="96"/>
      <c r="GB337" s="96"/>
      <c r="GC337" s="96"/>
      <c r="GD337" s="96"/>
      <c r="GE337" s="96"/>
      <c r="GF337" s="96"/>
      <c r="GG337" s="96"/>
      <c r="GH337" s="96"/>
      <c r="GI337" s="96"/>
      <c r="GJ337" s="96"/>
      <c r="GK337" s="96"/>
      <c r="GL337" s="96"/>
      <c r="GM337" s="13"/>
      <c r="GN337" s="96"/>
      <c r="GO337" s="96"/>
      <c r="GP337" s="96"/>
      <c r="GQ337" s="96"/>
      <c r="GR337" s="96"/>
      <c r="GS337" s="96"/>
      <c r="GT337" s="96"/>
      <c r="GU337" s="96"/>
      <c r="GV337" s="96"/>
      <c r="GW337" s="96"/>
      <c r="GX337" s="96"/>
      <c r="GY337" s="96"/>
      <c r="GZ337" s="96"/>
      <c r="HA337" s="96"/>
      <c r="HB337" s="96"/>
      <c r="HC337" s="13"/>
      <c r="HD337" s="96"/>
      <c r="HE337" s="96"/>
      <c r="HF337" s="96"/>
      <c r="HG337" s="96"/>
      <c r="HH337" s="96"/>
      <c r="HI337" s="96"/>
      <c r="HJ337" s="96"/>
      <c r="HK337" s="96"/>
      <c r="HL337" s="96"/>
      <c r="HM337" s="96"/>
      <c r="HN337" s="96"/>
      <c r="HO337" s="96"/>
      <c r="HP337" s="96"/>
      <c r="HQ337" s="96"/>
      <c r="HR337" s="96"/>
      <c r="HS337" s="13"/>
      <c r="HT337" s="96"/>
      <c r="HU337" s="96"/>
      <c r="HV337" s="96"/>
      <c r="HW337" s="96"/>
      <c r="HX337" s="96"/>
      <c r="HY337" s="96"/>
      <c r="HZ337" s="96"/>
      <c r="IA337" s="96"/>
      <c r="IB337" s="96"/>
      <c r="IC337" s="96"/>
      <c r="ID337" s="96"/>
      <c r="IE337" s="96"/>
      <c r="IF337" s="96"/>
      <c r="IG337" s="96"/>
      <c r="IH337" s="96"/>
      <c r="II337" s="13"/>
      <c r="IJ337" s="96"/>
      <c r="IK337" s="96"/>
      <c r="IL337" s="96"/>
      <c r="IM337" s="96"/>
      <c r="IN337" s="96"/>
      <c r="IO337" s="96"/>
      <c r="IP337" s="96"/>
      <c r="IQ337" s="96"/>
      <c r="IR337" s="96"/>
      <c r="IS337" s="96"/>
      <c r="IT337" s="96"/>
      <c r="IU337" s="96"/>
      <c r="IV337" s="96"/>
      <c r="IW337" s="96"/>
      <c r="IX337" s="96"/>
      <c r="IY337" s="13"/>
    </row>
    <row r="338" spans="1:259" outlineLevel="1">
      <c r="A338" s="11">
        <f>'VAC &amp; MED'!C341</f>
        <v>46312</v>
      </c>
      <c r="B338" s="261"/>
      <c r="C338" s="261"/>
      <c r="D338" s="261"/>
      <c r="E338" s="261"/>
      <c r="F338" s="261"/>
      <c r="G338" s="261"/>
      <c r="H338" s="261"/>
      <c r="I338" s="261"/>
      <c r="J338" s="261"/>
      <c r="K338" s="261"/>
      <c r="L338" s="261"/>
      <c r="M338" s="261"/>
      <c r="N338" s="261"/>
      <c r="O338" s="261"/>
      <c r="P338" s="261"/>
      <c r="Q338" s="261"/>
      <c r="R338" s="262"/>
      <c r="S338" s="262"/>
      <c r="T338" s="262"/>
      <c r="U338" s="262"/>
      <c r="V338" s="262"/>
      <c r="W338" s="262"/>
      <c r="X338" s="262"/>
      <c r="Y338" s="262"/>
      <c r="Z338" s="262"/>
      <c r="AA338" s="262"/>
      <c r="AB338" s="262"/>
      <c r="AC338" s="262"/>
      <c r="AD338" s="262"/>
      <c r="AE338" s="262"/>
      <c r="AF338" s="262"/>
      <c r="AG338" s="262"/>
      <c r="AH338" s="263"/>
      <c r="AI338" s="263"/>
      <c r="AJ338" s="263"/>
      <c r="AK338" s="263"/>
      <c r="AL338" s="263"/>
      <c r="AM338" s="263"/>
      <c r="AN338" s="263"/>
      <c r="AO338" s="263"/>
      <c r="AP338" s="263"/>
      <c r="AQ338" s="263"/>
      <c r="AR338" s="263"/>
      <c r="AS338" s="263"/>
      <c r="AT338" s="263"/>
      <c r="AU338" s="263"/>
      <c r="AV338" s="263"/>
      <c r="AW338" s="263"/>
      <c r="AX338" s="264"/>
      <c r="AY338" s="264"/>
      <c r="AZ338" s="264"/>
      <c r="BA338" s="264"/>
      <c r="BB338" s="264"/>
      <c r="BC338" s="264"/>
      <c r="BD338" s="264"/>
      <c r="BE338" s="264"/>
      <c r="BF338" s="264"/>
      <c r="BG338" s="264"/>
      <c r="BH338" s="264"/>
      <c r="BI338" s="264"/>
      <c r="BJ338" s="264"/>
      <c r="BK338" s="264"/>
      <c r="BL338" s="264"/>
      <c r="BM338" s="264"/>
      <c r="BN338" s="265"/>
      <c r="BO338" s="265"/>
      <c r="BP338" s="265"/>
      <c r="BQ338" s="265"/>
      <c r="BR338" s="265"/>
      <c r="BS338" s="265"/>
      <c r="BT338" s="265"/>
      <c r="BU338" s="265"/>
      <c r="BV338" s="265"/>
      <c r="BW338" s="265"/>
      <c r="BX338" s="265"/>
      <c r="BY338" s="265"/>
      <c r="BZ338" s="265"/>
      <c r="CA338" s="265"/>
      <c r="CB338" s="265"/>
      <c r="CC338" s="265"/>
      <c r="CD338" s="266"/>
      <c r="CE338" s="266"/>
      <c r="CF338" s="266"/>
      <c r="CG338" s="266"/>
      <c r="CH338" s="266"/>
      <c r="CI338" s="266"/>
      <c r="CJ338" s="266"/>
      <c r="CK338" s="266"/>
      <c r="CL338" s="266"/>
      <c r="CM338" s="266"/>
      <c r="CN338" s="266"/>
      <c r="CO338" s="266"/>
      <c r="CP338" s="266"/>
      <c r="CQ338" s="266"/>
      <c r="CR338" s="266"/>
      <c r="CS338" s="266"/>
      <c r="CT338" s="267"/>
      <c r="CU338" s="267"/>
      <c r="CV338" s="267"/>
      <c r="CW338" s="267"/>
      <c r="CX338" s="267"/>
      <c r="CY338" s="267"/>
      <c r="CZ338" s="267"/>
      <c r="DA338" s="267"/>
      <c r="DB338" s="267"/>
      <c r="DC338" s="267"/>
      <c r="DD338" s="267"/>
      <c r="DE338" s="267"/>
      <c r="DF338" s="267"/>
      <c r="DG338" s="267"/>
      <c r="DH338" s="267"/>
      <c r="DI338" s="267"/>
      <c r="DJ338" s="268"/>
      <c r="DK338" s="268"/>
      <c r="DL338" s="268"/>
      <c r="DM338" s="268"/>
      <c r="DN338" s="268"/>
      <c r="DO338" s="268"/>
      <c r="DP338" s="268"/>
      <c r="DQ338" s="268"/>
      <c r="DR338" s="268"/>
      <c r="DS338" s="268"/>
      <c r="DT338" s="268"/>
      <c r="DU338" s="268"/>
      <c r="DV338" s="268"/>
      <c r="DW338" s="268"/>
      <c r="DX338" s="268"/>
      <c r="DY338" s="268"/>
      <c r="EA338" s="13"/>
      <c r="EB338" s="96"/>
      <c r="EC338" s="96"/>
      <c r="ED338" s="96"/>
      <c r="EE338" s="96"/>
      <c r="EF338" s="96"/>
      <c r="EG338" s="96"/>
      <c r="EH338" s="96"/>
      <c r="EI338" s="96"/>
      <c r="EJ338" s="96"/>
      <c r="EK338" s="96"/>
      <c r="EL338" s="96"/>
      <c r="EM338" s="96"/>
      <c r="EN338" s="96"/>
      <c r="EO338" s="96"/>
      <c r="EP338" s="96"/>
      <c r="EQ338" s="96"/>
      <c r="ER338" s="96"/>
      <c r="ES338" s="96"/>
      <c r="ET338" s="96"/>
      <c r="EU338" s="96"/>
      <c r="EV338" s="96"/>
      <c r="EW338" s="96"/>
      <c r="EX338" s="96"/>
      <c r="EY338" s="96"/>
      <c r="EZ338" s="96"/>
      <c r="FA338" s="96"/>
      <c r="FB338" s="96"/>
      <c r="FC338" s="96"/>
      <c r="FD338" s="96"/>
      <c r="FE338" s="96"/>
      <c r="FF338" s="96"/>
      <c r="FG338" s="96"/>
      <c r="FH338" s="96"/>
      <c r="FI338" s="96"/>
      <c r="FJ338" s="96"/>
      <c r="FK338" s="96"/>
      <c r="FL338" s="96"/>
      <c r="FM338" s="96"/>
      <c r="FN338" s="96"/>
      <c r="FO338" s="96"/>
      <c r="FP338" s="96"/>
      <c r="FQ338" s="96"/>
      <c r="FR338" s="96"/>
      <c r="FS338" s="96"/>
      <c r="FT338" s="96"/>
      <c r="FU338" s="96"/>
      <c r="FV338" s="96"/>
      <c r="FW338" s="96"/>
      <c r="FX338" s="96"/>
      <c r="FY338" s="96"/>
      <c r="FZ338" s="96"/>
      <c r="GA338" s="96"/>
      <c r="GB338" s="96"/>
      <c r="GC338" s="96"/>
      <c r="GD338" s="96"/>
      <c r="GE338" s="96"/>
      <c r="GF338" s="96"/>
      <c r="GG338" s="96"/>
      <c r="GH338" s="96"/>
      <c r="GI338" s="96"/>
      <c r="GJ338" s="96"/>
      <c r="GK338" s="96"/>
      <c r="GL338" s="96"/>
      <c r="GM338" s="13"/>
      <c r="GN338" s="96"/>
      <c r="GO338" s="96"/>
      <c r="GP338" s="96"/>
      <c r="GQ338" s="96"/>
      <c r="GR338" s="96"/>
      <c r="GS338" s="96"/>
      <c r="GT338" s="96"/>
      <c r="GU338" s="96"/>
      <c r="GV338" s="96"/>
      <c r="GW338" s="96"/>
      <c r="GX338" s="96"/>
      <c r="GY338" s="96"/>
      <c r="GZ338" s="96"/>
      <c r="HA338" s="96"/>
      <c r="HB338" s="96"/>
      <c r="HC338" s="13"/>
      <c r="HD338" s="96"/>
      <c r="HE338" s="96"/>
      <c r="HF338" s="96"/>
      <c r="HG338" s="96"/>
      <c r="HH338" s="96"/>
      <c r="HI338" s="96"/>
      <c r="HJ338" s="96"/>
      <c r="HK338" s="96"/>
      <c r="HL338" s="96"/>
      <c r="HM338" s="96"/>
      <c r="HN338" s="96"/>
      <c r="HO338" s="96"/>
      <c r="HP338" s="96"/>
      <c r="HQ338" s="96"/>
      <c r="HR338" s="96"/>
      <c r="HS338" s="13"/>
      <c r="HT338" s="96"/>
      <c r="HU338" s="96"/>
      <c r="HV338" s="96"/>
      <c r="HW338" s="96"/>
      <c r="HX338" s="96"/>
      <c r="HY338" s="96"/>
      <c r="HZ338" s="96"/>
      <c r="IA338" s="96"/>
      <c r="IB338" s="96"/>
      <c r="IC338" s="96"/>
      <c r="ID338" s="96"/>
      <c r="IE338" s="96"/>
      <c r="IF338" s="96"/>
      <c r="IG338" s="96"/>
      <c r="IH338" s="96"/>
      <c r="II338" s="13"/>
      <c r="IJ338" s="96"/>
      <c r="IK338" s="96"/>
      <c r="IL338" s="96"/>
      <c r="IM338" s="96"/>
      <c r="IN338" s="96"/>
      <c r="IO338" s="96"/>
      <c r="IP338" s="96"/>
      <c r="IQ338" s="96"/>
      <c r="IR338" s="96"/>
      <c r="IS338" s="96"/>
      <c r="IT338" s="96"/>
      <c r="IU338" s="96"/>
      <c r="IV338" s="96"/>
      <c r="IW338" s="96"/>
      <c r="IX338" s="96"/>
      <c r="IY338" s="13"/>
    </row>
    <row r="339" spans="1:259" outlineLevel="1">
      <c r="A339" s="11">
        <f>'VAC &amp; MED'!C342</f>
        <v>46313</v>
      </c>
      <c r="B339" s="261"/>
      <c r="C339" s="261"/>
      <c r="D339" s="261"/>
      <c r="E339" s="261"/>
      <c r="F339" s="261"/>
      <c r="G339" s="261"/>
      <c r="H339" s="261"/>
      <c r="I339" s="261"/>
      <c r="J339" s="261"/>
      <c r="K339" s="261"/>
      <c r="L339" s="261"/>
      <c r="M339" s="261"/>
      <c r="N339" s="261"/>
      <c r="O339" s="261"/>
      <c r="P339" s="261"/>
      <c r="Q339" s="261"/>
      <c r="R339" s="262"/>
      <c r="S339" s="262"/>
      <c r="T339" s="262"/>
      <c r="U339" s="262"/>
      <c r="V339" s="262"/>
      <c r="W339" s="262"/>
      <c r="X339" s="262"/>
      <c r="Y339" s="262"/>
      <c r="Z339" s="262"/>
      <c r="AA339" s="262"/>
      <c r="AB339" s="262"/>
      <c r="AC339" s="262"/>
      <c r="AD339" s="262"/>
      <c r="AE339" s="262"/>
      <c r="AF339" s="262"/>
      <c r="AG339" s="262"/>
      <c r="AH339" s="263"/>
      <c r="AI339" s="263"/>
      <c r="AJ339" s="263"/>
      <c r="AK339" s="263"/>
      <c r="AL339" s="263"/>
      <c r="AM339" s="263"/>
      <c r="AN339" s="263"/>
      <c r="AO339" s="263"/>
      <c r="AP339" s="263"/>
      <c r="AQ339" s="263"/>
      <c r="AR339" s="263"/>
      <c r="AS339" s="263"/>
      <c r="AT339" s="263"/>
      <c r="AU339" s="263"/>
      <c r="AV339" s="263"/>
      <c r="AW339" s="263"/>
      <c r="AX339" s="264"/>
      <c r="AY339" s="264"/>
      <c r="AZ339" s="264"/>
      <c r="BA339" s="264"/>
      <c r="BB339" s="264"/>
      <c r="BC339" s="264"/>
      <c r="BD339" s="264"/>
      <c r="BE339" s="264"/>
      <c r="BF339" s="264"/>
      <c r="BG339" s="264"/>
      <c r="BH339" s="264"/>
      <c r="BI339" s="264"/>
      <c r="BJ339" s="264"/>
      <c r="BK339" s="264"/>
      <c r="BL339" s="264"/>
      <c r="BM339" s="264"/>
      <c r="BN339" s="265"/>
      <c r="BO339" s="265"/>
      <c r="BP339" s="265"/>
      <c r="BQ339" s="265"/>
      <c r="BR339" s="265"/>
      <c r="BS339" s="265"/>
      <c r="BT339" s="265"/>
      <c r="BU339" s="265"/>
      <c r="BV339" s="265"/>
      <c r="BW339" s="265"/>
      <c r="BX339" s="265"/>
      <c r="BY339" s="265"/>
      <c r="BZ339" s="265"/>
      <c r="CA339" s="265"/>
      <c r="CB339" s="265"/>
      <c r="CC339" s="265"/>
      <c r="CD339" s="266"/>
      <c r="CE339" s="266"/>
      <c r="CF339" s="266"/>
      <c r="CG339" s="266"/>
      <c r="CH339" s="266"/>
      <c r="CI339" s="266"/>
      <c r="CJ339" s="266"/>
      <c r="CK339" s="266"/>
      <c r="CL339" s="266"/>
      <c r="CM339" s="266"/>
      <c r="CN339" s="266"/>
      <c r="CO339" s="266"/>
      <c r="CP339" s="266"/>
      <c r="CQ339" s="266"/>
      <c r="CR339" s="266"/>
      <c r="CS339" s="266"/>
      <c r="CT339" s="267"/>
      <c r="CU339" s="267"/>
      <c r="CV339" s="267"/>
      <c r="CW339" s="267"/>
      <c r="CX339" s="267"/>
      <c r="CY339" s="267"/>
      <c r="CZ339" s="267"/>
      <c r="DA339" s="267"/>
      <c r="DB339" s="267"/>
      <c r="DC339" s="267"/>
      <c r="DD339" s="267"/>
      <c r="DE339" s="267"/>
      <c r="DF339" s="267"/>
      <c r="DG339" s="267"/>
      <c r="DH339" s="267"/>
      <c r="DI339" s="267"/>
      <c r="DJ339" s="268"/>
      <c r="DK339" s="268"/>
      <c r="DL339" s="268"/>
      <c r="DM339" s="268"/>
      <c r="DN339" s="268"/>
      <c r="DO339" s="268"/>
      <c r="DP339" s="268"/>
      <c r="DQ339" s="268"/>
      <c r="DR339" s="268"/>
      <c r="DS339" s="268"/>
      <c r="DT339" s="268"/>
      <c r="DU339" s="268"/>
      <c r="DV339" s="268"/>
      <c r="DW339" s="268"/>
      <c r="DX339" s="268"/>
      <c r="DY339" s="268"/>
      <c r="EA339" s="13"/>
      <c r="EB339" s="96"/>
      <c r="EC339" s="96"/>
      <c r="ED339" s="96"/>
      <c r="EE339" s="96"/>
      <c r="EF339" s="96"/>
      <c r="EG339" s="96"/>
      <c r="EH339" s="96"/>
      <c r="EI339" s="96"/>
      <c r="EJ339" s="96"/>
      <c r="EK339" s="96"/>
      <c r="EL339" s="96"/>
      <c r="EM339" s="96"/>
      <c r="EN339" s="96"/>
      <c r="EO339" s="96"/>
      <c r="EP339" s="96"/>
      <c r="EQ339" s="96"/>
      <c r="ER339" s="96"/>
      <c r="ES339" s="96"/>
      <c r="ET339" s="96"/>
      <c r="EU339" s="96"/>
      <c r="EV339" s="96"/>
      <c r="EW339" s="96"/>
      <c r="EX339" s="96"/>
      <c r="EY339" s="96"/>
      <c r="EZ339" s="96"/>
      <c r="FA339" s="96"/>
      <c r="FB339" s="96"/>
      <c r="FC339" s="96"/>
      <c r="FD339" s="96"/>
      <c r="FE339" s="96"/>
      <c r="FF339" s="96"/>
      <c r="FG339" s="96"/>
      <c r="FH339" s="96"/>
      <c r="FI339" s="96"/>
      <c r="FJ339" s="96"/>
      <c r="FK339" s="96"/>
      <c r="FL339" s="96"/>
      <c r="FM339" s="96"/>
      <c r="FN339" s="96"/>
      <c r="FO339" s="96"/>
      <c r="FP339" s="96"/>
      <c r="FQ339" s="96"/>
      <c r="FR339" s="96"/>
      <c r="FS339" s="96"/>
      <c r="FT339" s="96"/>
      <c r="FU339" s="96"/>
      <c r="FV339" s="96"/>
      <c r="FW339" s="96"/>
      <c r="FX339" s="96"/>
      <c r="FY339" s="96"/>
      <c r="FZ339" s="96"/>
      <c r="GA339" s="96"/>
      <c r="GB339" s="96"/>
      <c r="GC339" s="96"/>
      <c r="GD339" s="96"/>
      <c r="GE339" s="96"/>
      <c r="GF339" s="96"/>
      <c r="GG339" s="96"/>
      <c r="GH339" s="96"/>
      <c r="GI339" s="96"/>
      <c r="GJ339" s="96"/>
      <c r="GK339" s="96"/>
      <c r="GL339" s="96"/>
      <c r="GM339" s="13"/>
      <c r="GN339" s="96"/>
      <c r="GO339" s="96"/>
      <c r="GP339" s="96"/>
      <c r="GQ339" s="96"/>
      <c r="GR339" s="96"/>
      <c r="GS339" s="96"/>
      <c r="GT339" s="96"/>
      <c r="GU339" s="96"/>
      <c r="GV339" s="96"/>
      <c r="GW339" s="96"/>
      <c r="GX339" s="96"/>
      <c r="GY339" s="96"/>
      <c r="GZ339" s="96"/>
      <c r="HA339" s="96"/>
      <c r="HB339" s="96"/>
      <c r="HC339" s="13"/>
      <c r="HD339" s="96"/>
      <c r="HE339" s="96"/>
      <c r="HF339" s="96"/>
      <c r="HG339" s="96"/>
      <c r="HH339" s="96"/>
      <c r="HI339" s="96"/>
      <c r="HJ339" s="96"/>
      <c r="HK339" s="96"/>
      <c r="HL339" s="96"/>
      <c r="HM339" s="96"/>
      <c r="HN339" s="96"/>
      <c r="HO339" s="96"/>
      <c r="HP339" s="96"/>
      <c r="HQ339" s="96"/>
      <c r="HR339" s="96"/>
      <c r="HS339" s="13"/>
      <c r="HT339" s="96"/>
      <c r="HU339" s="96"/>
      <c r="HV339" s="96"/>
      <c r="HW339" s="96"/>
      <c r="HX339" s="96"/>
      <c r="HY339" s="96"/>
      <c r="HZ339" s="96"/>
      <c r="IA339" s="96"/>
      <c r="IB339" s="96"/>
      <c r="IC339" s="96"/>
      <c r="ID339" s="96"/>
      <c r="IE339" s="96"/>
      <c r="IF339" s="96"/>
      <c r="IG339" s="96"/>
      <c r="IH339" s="96"/>
      <c r="II339" s="13"/>
      <c r="IJ339" s="96"/>
      <c r="IK339" s="96"/>
      <c r="IL339" s="96"/>
      <c r="IM339" s="96"/>
      <c r="IN339" s="96"/>
      <c r="IO339" s="96"/>
      <c r="IP339" s="96"/>
      <c r="IQ339" s="96"/>
      <c r="IR339" s="96"/>
      <c r="IS339" s="96"/>
      <c r="IT339" s="96"/>
      <c r="IU339" s="96"/>
      <c r="IV339" s="96"/>
      <c r="IW339" s="96"/>
      <c r="IX339" s="96"/>
      <c r="IY339" s="13"/>
    </row>
    <row r="340" spans="1:259" outlineLevel="1">
      <c r="A340" s="11">
        <f>'VAC &amp; MED'!C343</f>
        <v>46314</v>
      </c>
      <c r="B340" s="261"/>
      <c r="C340" s="261"/>
      <c r="D340" s="261"/>
      <c r="E340" s="261"/>
      <c r="F340" s="261"/>
      <c r="G340" s="261"/>
      <c r="H340" s="261"/>
      <c r="I340" s="261"/>
      <c r="J340" s="261"/>
      <c r="K340" s="261"/>
      <c r="L340" s="261"/>
      <c r="M340" s="261"/>
      <c r="N340" s="261"/>
      <c r="O340" s="261"/>
      <c r="P340" s="261"/>
      <c r="Q340" s="261"/>
      <c r="R340" s="262"/>
      <c r="S340" s="262"/>
      <c r="T340" s="262"/>
      <c r="U340" s="262"/>
      <c r="V340" s="262"/>
      <c r="W340" s="262"/>
      <c r="X340" s="262"/>
      <c r="Y340" s="262"/>
      <c r="Z340" s="262"/>
      <c r="AA340" s="262"/>
      <c r="AB340" s="262"/>
      <c r="AC340" s="262"/>
      <c r="AD340" s="262"/>
      <c r="AE340" s="262"/>
      <c r="AF340" s="262"/>
      <c r="AG340" s="262"/>
      <c r="AH340" s="263"/>
      <c r="AI340" s="263"/>
      <c r="AJ340" s="263"/>
      <c r="AK340" s="263"/>
      <c r="AL340" s="263"/>
      <c r="AM340" s="263"/>
      <c r="AN340" s="263"/>
      <c r="AO340" s="263"/>
      <c r="AP340" s="263"/>
      <c r="AQ340" s="263"/>
      <c r="AR340" s="263"/>
      <c r="AS340" s="263"/>
      <c r="AT340" s="263"/>
      <c r="AU340" s="263"/>
      <c r="AV340" s="263"/>
      <c r="AW340" s="263"/>
      <c r="AX340" s="264"/>
      <c r="AY340" s="264"/>
      <c r="AZ340" s="264"/>
      <c r="BA340" s="264"/>
      <c r="BB340" s="264"/>
      <c r="BC340" s="264"/>
      <c r="BD340" s="264"/>
      <c r="BE340" s="264"/>
      <c r="BF340" s="264"/>
      <c r="BG340" s="264"/>
      <c r="BH340" s="264"/>
      <c r="BI340" s="264"/>
      <c r="BJ340" s="264"/>
      <c r="BK340" s="264"/>
      <c r="BL340" s="264"/>
      <c r="BM340" s="264"/>
      <c r="BN340" s="265"/>
      <c r="BO340" s="265"/>
      <c r="BP340" s="265"/>
      <c r="BQ340" s="265"/>
      <c r="BR340" s="265"/>
      <c r="BS340" s="265"/>
      <c r="BT340" s="265"/>
      <c r="BU340" s="265"/>
      <c r="BV340" s="265"/>
      <c r="BW340" s="265"/>
      <c r="BX340" s="265"/>
      <c r="BY340" s="265"/>
      <c r="BZ340" s="265"/>
      <c r="CA340" s="265"/>
      <c r="CB340" s="265"/>
      <c r="CC340" s="265"/>
      <c r="CD340" s="266"/>
      <c r="CE340" s="266"/>
      <c r="CF340" s="266"/>
      <c r="CG340" s="266"/>
      <c r="CH340" s="266"/>
      <c r="CI340" s="266"/>
      <c r="CJ340" s="266"/>
      <c r="CK340" s="266"/>
      <c r="CL340" s="266"/>
      <c r="CM340" s="266"/>
      <c r="CN340" s="266"/>
      <c r="CO340" s="266"/>
      <c r="CP340" s="266"/>
      <c r="CQ340" s="266"/>
      <c r="CR340" s="266"/>
      <c r="CS340" s="266"/>
      <c r="CT340" s="267"/>
      <c r="CU340" s="267"/>
      <c r="CV340" s="267"/>
      <c r="CW340" s="267"/>
      <c r="CX340" s="267"/>
      <c r="CY340" s="267"/>
      <c r="CZ340" s="267"/>
      <c r="DA340" s="267"/>
      <c r="DB340" s="267"/>
      <c r="DC340" s="267"/>
      <c r="DD340" s="267"/>
      <c r="DE340" s="267"/>
      <c r="DF340" s="267"/>
      <c r="DG340" s="267"/>
      <c r="DH340" s="267"/>
      <c r="DI340" s="267"/>
      <c r="DJ340" s="268"/>
      <c r="DK340" s="268"/>
      <c r="DL340" s="268"/>
      <c r="DM340" s="268"/>
      <c r="DN340" s="268"/>
      <c r="DO340" s="268"/>
      <c r="DP340" s="268"/>
      <c r="DQ340" s="268"/>
      <c r="DR340" s="268"/>
      <c r="DS340" s="268"/>
      <c r="DT340" s="268"/>
      <c r="DU340" s="268"/>
      <c r="DV340" s="268"/>
      <c r="DW340" s="268"/>
      <c r="DX340" s="268"/>
      <c r="DY340" s="268"/>
      <c r="EA340" s="13"/>
      <c r="EB340" s="96"/>
      <c r="EC340" s="96"/>
      <c r="ED340" s="96"/>
      <c r="EE340" s="96"/>
      <c r="EF340" s="96"/>
      <c r="EG340" s="96"/>
      <c r="EH340" s="96"/>
      <c r="EI340" s="96"/>
      <c r="EJ340" s="96"/>
      <c r="EK340" s="96"/>
      <c r="EL340" s="96"/>
      <c r="EM340" s="96"/>
      <c r="EN340" s="96"/>
      <c r="EO340" s="96"/>
      <c r="EP340" s="96"/>
      <c r="EQ340" s="96"/>
      <c r="ER340" s="96"/>
      <c r="ES340" s="96"/>
      <c r="ET340" s="96"/>
      <c r="EU340" s="96"/>
      <c r="EV340" s="96"/>
      <c r="EW340" s="96"/>
      <c r="EX340" s="96"/>
      <c r="EY340" s="96"/>
      <c r="EZ340" s="96"/>
      <c r="FA340" s="96"/>
      <c r="FB340" s="96"/>
      <c r="FC340" s="96"/>
      <c r="FD340" s="96"/>
      <c r="FE340" s="96"/>
      <c r="FF340" s="96"/>
      <c r="FG340" s="96"/>
      <c r="FH340" s="96"/>
      <c r="FI340" s="96"/>
      <c r="FJ340" s="96"/>
      <c r="FK340" s="96"/>
      <c r="FL340" s="96"/>
      <c r="FM340" s="96"/>
      <c r="FN340" s="96"/>
      <c r="FO340" s="96"/>
      <c r="FP340" s="96"/>
      <c r="FQ340" s="96"/>
      <c r="FR340" s="96"/>
      <c r="FS340" s="96"/>
      <c r="FT340" s="96"/>
      <c r="FU340" s="96"/>
      <c r="FV340" s="96"/>
      <c r="FW340" s="96"/>
      <c r="FX340" s="96"/>
      <c r="FY340" s="96"/>
      <c r="FZ340" s="96"/>
      <c r="GA340" s="96"/>
      <c r="GB340" s="96"/>
      <c r="GC340" s="96"/>
      <c r="GD340" s="96"/>
      <c r="GE340" s="96"/>
      <c r="GF340" s="96"/>
      <c r="GG340" s="96"/>
      <c r="GH340" s="96"/>
      <c r="GI340" s="96"/>
      <c r="GJ340" s="96"/>
      <c r="GK340" s="96"/>
      <c r="GL340" s="96"/>
      <c r="GM340" s="13"/>
      <c r="GN340" s="96"/>
      <c r="GO340" s="96"/>
      <c r="GP340" s="96"/>
      <c r="GQ340" s="96"/>
      <c r="GR340" s="96"/>
      <c r="GS340" s="96"/>
      <c r="GT340" s="96"/>
      <c r="GU340" s="96"/>
      <c r="GV340" s="96"/>
      <c r="GW340" s="96"/>
      <c r="GX340" s="96"/>
      <c r="GY340" s="96"/>
      <c r="GZ340" s="96"/>
      <c r="HA340" s="96"/>
      <c r="HB340" s="96"/>
      <c r="HC340" s="13"/>
      <c r="HD340" s="96"/>
      <c r="HE340" s="96"/>
      <c r="HF340" s="96"/>
      <c r="HG340" s="96"/>
      <c r="HH340" s="96"/>
      <c r="HI340" s="96"/>
      <c r="HJ340" s="96"/>
      <c r="HK340" s="96"/>
      <c r="HL340" s="96"/>
      <c r="HM340" s="96"/>
      <c r="HN340" s="96"/>
      <c r="HO340" s="96"/>
      <c r="HP340" s="96"/>
      <c r="HQ340" s="96"/>
      <c r="HR340" s="96"/>
      <c r="HS340" s="13"/>
      <c r="HT340" s="96"/>
      <c r="HU340" s="96"/>
      <c r="HV340" s="96"/>
      <c r="HW340" s="96"/>
      <c r="HX340" s="96"/>
      <c r="HY340" s="96"/>
      <c r="HZ340" s="96"/>
      <c r="IA340" s="96"/>
      <c r="IB340" s="96"/>
      <c r="IC340" s="96"/>
      <c r="ID340" s="96"/>
      <c r="IE340" s="96"/>
      <c r="IF340" s="96"/>
      <c r="IG340" s="96"/>
      <c r="IH340" s="96"/>
      <c r="II340" s="13"/>
      <c r="IJ340" s="96"/>
      <c r="IK340" s="96"/>
      <c r="IL340" s="96"/>
      <c r="IM340" s="96"/>
      <c r="IN340" s="96"/>
      <c r="IO340" s="96"/>
      <c r="IP340" s="96"/>
      <c r="IQ340" s="96"/>
      <c r="IR340" s="96"/>
      <c r="IS340" s="96"/>
      <c r="IT340" s="96"/>
      <c r="IU340" s="96"/>
      <c r="IV340" s="96"/>
      <c r="IW340" s="96"/>
      <c r="IX340" s="96"/>
      <c r="IY340" s="13"/>
    </row>
    <row r="341" spans="1:259" outlineLevel="1">
      <c r="A341" s="11">
        <f>'VAC &amp; MED'!C344</f>
        <v>46315</v>
      </c>
      <c r="B341" s="261"/>
      <c r="C341" s="261"/>
      <c r="D341" s="261"/>
      <c r="E341" s="261"/>
      <c r="F341" s="261"/>
      <c r="G341" s="261"/>
      <c r="H341" s="261"/>
      <c r="I341" s="261"/>
      <c r="J341" s="261"/>
      <c r="K341" s="261"/>
      <c r="L341" s="261"/>
      <c r="M341" s="261"/>
      <c r="N341" s="261"/>
      <c r="O341" s="261"/>
      <c r="P341" s="261"/>
      <c r="Q341" s="261"/>
      <c r="R341" s="262"/>
      <c r="S341" s="262"/>
      <c r="T341" s="262"/>
      <c r="U341" s="262"/>
      <c r="V341" s="262"/>
      <c r="W341" s="262"/>
      <c r="X341" s="262"/>
      <c r="Y341" s="262"/>
      <c r="Z341" s="262"/>
      <c r="AA341" s="262"/>
      <c r="AB341" s="262"/>
      <c r="AC341" s="262"/>
      <c r="AD341" s="262"/>
      <c r="AE341" s="262"/>
      <c r="AF341" s="262"/>
      <c r="AG341" s="262"/>
      <c r="AH341" s="263"/>
      <c r="AI341" s="263"/>
      <c r="AJ341" s="263"/>
      <c r="AK341" s="263"/>
      <c r="AL341" s="263"/>
      <c r="AM341" s="263"/>
      <c r="AN341" s="263"/>
      <c r="AO341" s="263"/>
      <c r="AP341" s="263"/>
      <c r="AQ341" s="263"/>
      <c r="AR341" s="263"/>
      <c r="AS341" s="263"/>
      <c r="AT341" s="263"/>
      <c r="AU341" s="263"/>
      <c r="AV341" s="263"/>
      <c r="AW341" s="263"/>
      <c r="AX341" s="264"/>
      <c r="AY341" s="264"/>
      <c r="AZ341" s="264"/>
      <c r="BA341" s="264"/>
      <c r="BB341" s="264"/>
      <c r="BC341" s="264"/>
      <c r="BD341" s="264"/>
      <c r="BE341" s="264"/>
      <c r="BF341" s="264"/>
      <c r="BG341" s="264"/>
      <c r="BH341" s="264"/>
      <c r="BI341" s="264"/>
      <c r="BJ341" s="264"/>
      <c r="BK341" s="264"/>
      <c r="BL341" s="264"/>
      <c r="BM341" s="264"/>
      <c r="BN341" s="265"/>
      <c r="BO341" s="265"/>
      <c r="BP341" s="265"/>
      <c r="BQ341" s="265"/>
      <c r="BR341" s="265"/>
      <c r="BS341" s="265"/>
      <c r="BT341" s="265"/>
      <c r="BU341" s="265"/>
      <c r="BV341" s="265"/>
      <c r="BW341" s="265"/>
      <c r="BX341" s="265"/>
      <c r="BY341" s="265"/>
      <c r="BZ341" s="265"/>
      <c r="CA341" s="265"/>
      <c r="CB341" s="265"/>
      <c r="CC341" s="265"/>
      <c r="CD341" s="266"/>
      <c r="CE341" s="266"/>
      <c r="CF341" s="266"/>
      <c r="CG341" s="266"/>
      <c r="CH341" s="266"/>
      <c r="CI341" s="266"/>
      <c r="CJ341" s="266"/>
      <c r="CK341" s="266"/>
      <c r="CL341" s="266"/>
      <c r="CM341" s="266"/>
      <c r="CN341" s="266"/>
      <c r="CO341" s="266"/>
      <c r="CP341" s="266"/>
      <c r="CQ341" s="266"/>
      <c r="CR341" s="266"/>
      <c r="CS341" s="266"/>
      <c r="CT341" s="267"/>
      <c r="CU341" s="267"/>
      <c r="CV341" s="267"/>
      <c r="CW341" s="267"/>
      <c r="CX341" s="267"/>
      <c r="CY341" s="267"/>
      <c r="CZ341" s="267"/>
      <c r="DA341" s="267"/>
      <c r="DB341" s="267"/>
      <c r="DC341" s="267"/>
      <c r="DD341" s="267"/>
      <c r="DE341" s="267"/>
      <c r="DF341" s="267"/>
      <c r="DG341" s="267"/>
      <c r="DH341" s="267"/>
      <c r="DI341" s="267"/>
      <c r="DJ341" s="268"/>
      <c r="DK341" s="268"/>
      <c r="DL341" s="268"/>
      <c r="DM341" s="268"/>
      <c r="DN341" s="268"/>
      <c r="DO341" s="268"/>
      <c r="DP341" s="268"/>
      <c r="DQ341" s="268"/>
      <c r="DR341" s="268"/>
      <c r="DS341" s="268"/>
      <c r="DT341" s="268"/>
      <c r="DU341" s="268"/>
      <c r="DV341" s="268"/>
      <c r="DW341" s="268"/>
      <c r="DX341" s="268"/>
      <c r="DY341" s="268"/>
      <c r="EA341" s="13"/>
      <c r="EB341" s="96"/>
      <c r="EC341" s="96"/>
      <c r="ED341" s="96"/>
      <c r="EE341" s="96"/>
      <c r="EF341" s="96"/>
      <c r="EG341" s="96"/>
      <c r="EH341" s="96"/>
      <c r="EI341" s="96"/>
      <c r="EJ341" s="96"/>
      <c r="EK341" s="96"/>
      <c r="EL341" s="96"/>
      <c r="EM341" s="96"/>
      <c r="EN341" s="96"/>
      <c r="EO341" s="96"/>
      <c r="EP341" s="96"/>
      <c r="EQ341" s="96"/>
      <c r="ER341" s="96"/>
      <c r="ES341" s="96"/>
      <c r="ET341" s="96"/>
      <c r="EU341" s="96"/>
      <c r="EV341" s="96"/>
      <c r="EW341" s="96"/>
      <c r="EX341" s="96"/>
      <c r="EY341" s="96"/>
      <c r="EZ341" s="96"/>
      <c r="FA341" s="96"/>
      <c r="FB341" s="96"/>
      <c r="FC341" s="96"/>
      <c r="FD341" s="96"/>
      <c r="FE341" s="96"/>
      <c r="FF341" s="96"/>
      <c r="FG341" s="96"/>
      <c r="FH341" s="96"/>
      <c r="FI341" s="96"/>
      <c r="FJ341" s="96"/>
      <c r="FK341" s="96"/>
      <c r="FL341" s="96"/>
      <c r="FM341" s="96"/>
      <c r="FN341" s="96"/>
      <c r="FO341" s="96"/>
      <c r="FP341" s="96"/>
      <c r="FQ341" s="96"/>
      <c r="FR341" s="96"/>
      <c r="FS341" s="96"/>
      <c r="FT341" s="96"/>
      <c r="FU341" s="96"/>
      <c r="FV341" s="96"/>
      <c r="FW341" s="96"/>
      <c r="FX341" s="96"/>
      <c r="FY341" s="96"/>
      <c r="FZ341" s="96"/>
      <c r="GA341" s="96"/>
      <c r="GB341" s="96"/>
      <c r="GC341" s="96"/>
      <c r="GD341" s="96"/>
      <c r="GE341" s="96"/>
      <c r="GF341" s="96"/>
      <c r="GG341" s="96"/>
      <c r="GH341" s="96"/>
      <c r="GI341" s="96"/>
      <c r="GJ341" s="96"/>
      <c r="GK341" s="96"/>
      <c r="GL341" s="96"/>
      <c r="GM341" s="13"/>
      <c r="GN341" s="96"/>
      <c r="GO341" s="96"/>
      <c r="GP341" s="96"/>
      <c r="GQ341" s="96"/>
      <c r="GR341" s="96"/>
      <c r="GS341" s="96"/>
      <c r="GT341" s="96"/>
      <c r="GU341" s="96"/>
      <c r="GV341" s="96"/>
      <c r="GW341" s="96"/>
      <c r="GX341" s="96"/>
      <c r="GY341" s="96"/>
      <c r="GZ341" s="96"/>
      <c r="HA341" s="96"/>
      <c r="HB341" s="96"/>
      <c r="HC341" s="13"/>
      <c r="HD341" s="96"/>
      <c r="HE341" s="96"/>
      <c r="HF341" s="96"/>
      <c r="HG341" s="96"/>
      <c r="HH341" s="96"/>
      <c r="HI341" s="96"/>
      <c r="HJ341" s="96"/>
      <c r="HK341" s="96"/>
      <c r="HL341" s="96"/>
      <c r="HM341" s="96"/>
      <c r="HN341" s="96"/>
      <c r="HO341" s="96"/>
      <c r="HP341" s="96"/>
      <c r="HQ341" s="96"/>
      <c r="HR341" s="96"/>
      <c r="HS341" s="13"/>
      <c r="HT341" s="96"/>
      <c r="HU341" s="96"/>
      <c r="HV341" s="96"/>
      <c r="HW341" s="96"/>
      <c r="HX341" s="96"/>
      <c r="HY341" s="96"/>
      <c r="HZ341" s="96"/>
      <c r="IA341" s="96"/>
      <c r="IB341" s="96"/>
      <c r="IC341" s="96"/>
      <c r="ID341" s="96"/>
      <c r="IE341" s="96"/>
      <c r="IF341" s="96"/>
      <c r="IG341" s="96"/>
      <c r="IH341" s="96"/>
      <c r="II341" s="13"/>
      <c r="IJ341" s="96"/>
      <c r="IK341" s="96"/>
      <c r="IL341" s="96"/>
      <c r="IM341" s="96"/>
      <c r="IN341" s="96"/>
      <c r="IO341" s="96"/>
      <c r="IP341" s="96"/>
      <c r="IQ341" s="96"/>
      <c r="IR341" s="96"/>
      <c r="IS341" s="96"/>
      <c r="IT341" s="96"/>
      <c r="IU341" s="96"/>
      <c r="IV341" s="96"/>
      <c r="IW341" s="96"/>
      <c r="IX341" s="96"/>
      <c r="IY341" s="13"/>
    </row>
    <row r="342" spans="1:259" outlineLevel="1">
      <c r="A342" s="11">
        <f>'VAC &amp; MED'!C345</f>
        <v>46316</v>
      </c>
      <c r="B342" s="261"/>
      <c r="C342" s="261"/>
      <c r="D342" s="261"/>
      <c r="E342" s="261"/>
      <c r="F342" s="261"/>
      <c r="G342" s="261"/>
      <c r="H342" s="261"/>
      <c r="I342" s="261"/>
      <c r="J342" s="261"/>
      <c r="K342" s="261"/>
      <c r="L342" s="261"/>
      <c r="M342" s="261"/>
      <c r="N342" s="261"/>
      <c r="O342" s="261"/>
      <c r="P342" s="261"/>
      <c r="Q342" s="261"/>
      <c r="R342" s="262"/>
      <c r="S342" s="262"/>
      <c r="T342" s="262"/>
      <c r="U342" s="262"/>
      <c r="V342" s="262"/>
      <c r="W342" s="262"/>
      <c r="X342" s="262"/>
      <c r="Y342" s="262"/>
      <c r="Z342" s="262"/>
      <c r="AA342" s="262"/>
      <c r="AB342" s="262"/>
      <c r="AC342" s="262"/>
      <c r="AD342" s="262"/>
      <c r="AE342" s="262"/>
      <c r="AF342" s="262"/>
      <c r="AG342" s="262"/>
      <c r="AH342" s="263"/>
      <c r="AI342" s="263"/>
      <c r="AJ342" s="263"/>
      <c r="AK342" s="263"/>
      <c r="AL342" s="263"/>
      <c r="AM342" s="263"/>
      <c r="AN342" s="263"/>
      <c r="AO342" s="263"/>
      <c r="AP342" s="263"/>
      <c r="AQ342" s="263"/>
      <c r="AR342" s="263"/>
      <c r="AS342" s="263"/>
      <c r="AT342" s="263"/>
      <c r="AU342" s="263"/>
      <c r="AV342" s="263"/>
      <c r="AW342" s="263"/>
      <c r="AX342" s="264"/>
      <c r="AY342" s="264"/>
      <c r="AZ342" s="264"/>
      <c r="BA342" s="264"/>
      <c r="BB342" s="264"/>
      <c r="BC342" s="264"/>
      <c r="BD342" s="264"/>
      <c r="BE342" s="264"/>
      <c r="BF342" s="264"/>
      <c r="BG342" s="264"/>
      <c r="BH342" s="264"/>
      <c r="BI342" s="264"/>
      <c r="BJ342" s="264"/>
      <c r="BK342" s="264"/>
      <c r="BL342" s="264"/>
      <c r="BM342" s="264"/>
      <c r="BN342" s="265"/>
      <c r="BO342" s="265"/>
      <c r="BP342" s="265"/>
      <c r="BQ342" s="265"/>
      <c r="BR342" s="265"/>
      <c r="BS342" s="265"/>
      <c r="BT342" s="265"/>
      <c r="BU342" s="265"/>
      <c r="BV342" s="265"/>
      <c r="BW342" s="265"/>
      <c r="BX342" s="265"/>
      <c r="BY342" s="265"/>
      <c r="BZ342" s="265"/>
      <c r="CA342" s="265"/>
      <c r="CB342" s="265"/>
      <c r="CC342" s="265"/>
      <c r="CD342" s="266"/>
      <c r="CE342" s="266"/>
      <c r="CF342" s="266"/>
      <c r="CG342" s="266"/>
      <c r="CH342" s="266"/>
      <c r="CI342" s="266"/>
      <c r="CJ342" s="266"/>
      <c r="CK342" s="266"/>
      <c r="CL342" s="266"/>
      <c r="CM342" s="266"/>
      <c r="CN342" s="266"/>
      <c r="CO342" s="266"/>
      <c r="CP342" s="266"/>
      <c r="CQ342" s="266"/>
      <c r="CR342" s="266"/>
      <c r="CS342" s="266"/>
      <c r="CT342" s="267"/>
      <c r="CU342" s="267"/>
      <c r="CV342" s="267"/>
      <c r="CW342" s="267"/>
      <c r="CX342" s="267"/>
      <c r="CY342" s="267"/>
      <c r="CZ342" s="267"/>
      <c r="DA342" s="267"/>
      <c r="DB342" s="267"/>
      <c r="DC342" s="267"/>
      <c r="DD342" s="267"/>
      <c r="DE342" s="267"/>
      <c r="DF342" s="267"/>
      <c r="DG342" s="267"/>
      <c r="DH342" s="267"/>
      <c r="DI342" s="267"/>
      <c r="DJ342" s="268"/>
      <c r="DK342" s="268"/>
      <c r="DL342" s="268"/>
      <c r="DM342" s="268"/>
      <c r="DN342" s="268"/>
      <c r="DO342" s="268"/>
      <c r="DP342" s="268"/>
      <c r="DQ342" s="268"/>
      <c r="DR342" s="268"/>
      <c r="DS342" s="268"/>
      <c r="DT342" s="268"/>
      <c r="DU342" s="268"/>
      <c r="DV342" s="268"/>
      <c r="DW342" s="268"/>
      <c r="DX342" s="268"/>
      <c r="DY342" s="268"/>
      <c r="EA342" s="13"/>
      <c r="EB342" s="96"/>
      <c r="EC342" s="96"/>
      <c r="ED342" s="96"/>
      <c r="EE342" s="96"/>
      <c r="EF342" s="96"/>
      <c r="EG342" s="96"/>
      <c r="EH342" s="96"/>
      <c r="EI342" s="96"/>
      <c r="EJ342" s="96"/>
      <c r="EK342" s="96"/>
      <c r="EL342" s="96"/>
      <c r="EM342" s="96"/>
      <c r="EN342" s="96"/>
      <c r="EO342" s="96"/>
      <c r="EP342" s="96"/>
      <c r="EQ342" s="96"/>
      <c r="ER342" s="96"/>
      <c r="ES342" s="96"/>
      <c r="ET342" s="96"/>
      <c r="EU342" s="96"/>
      <c r="EV342" s="96"/>
      <c r="EW342" s="96"/>
      <c r="EX342" s="96"/>
      <c r="EY342" s="96"/>
      <c r="EZ342" s="96"/>
      <c r="FA342" s="96"/>
      <c r="FB342" s="96"/>
      <c r="FC342" s="96"/>
      <c r="FD342" s="96"/>
      <c r="FE342" s="96"/>
      <c r="FF342" s="96"/>
      <c r="FG342" s="96"/>
      <c r="FH342" s="96"/>
      <c r="FI342" s="96"/>
      <c r="FJ342" s="96"/>
      <c r="FK342" s="96"/>
      <c r="FL342" s="96"/>
      <c r="FM342" s="96"/>
      <c r="FN342" s="96"/>
      <c r="FO342" s="96"/>
      <c r="FP342" s="96"/>
      <c r="FQ342" s="96"/>
      <c r="FR342" s="96"/>
      <c r="FS342" s="96"/>
      <c r="FT342" s="96"/>
      <c r="FU342" s="96"/>
      <c r="FV342" s="96"/>
      <c r="FW342" s="96"/>
      <c r="FX342" s="96"/>
      <c r="FY342" s="96"/>
      <c r="FZ342" s="96"/>
      <c r="GA342" s="96"/>
      <c r="GB342" s="96"/>
      <c r="GC342" s="96"/>
      <c r="GD342" s="96"/>
      <c r="GE342" s="96"/>
      <c r="GF342" s="96"/>
      <c r="GG342" s="96"/>
      <c r="GH342" s="96"/>
      <c r="GI342" s="96"/>
      <c r="GJ342" s="96"/>
      <c r="GK342" s="96"/>
      <c r="GL342" s="96"/>
      <c r="GM342" s="13"/>
      <c r="GN342" s="96"/>
      <c r="GO342" s="96"/>
      <c r="GP342" s="96"/>
      <c r="GQ342" s="96"/>
      <c r="GR342" s="96"/>
      <c r="GS342" s="96"/>
      <c r="GT342" s="96"/>
      <c r="GU342" s="96"/>
      <c r="GV342" s="96"/>
      <c r="GW342" s="96"/>
      <c r="GX342" s="96"/>
      <c r="GY342" s="96"/>
      <c r="GZ342" s="96"/>
      <c r="HA342" s="96"/>
      <c r="HB342" s="96"/>
      <c r="HC342" s="13"/>
      <c r="HD342" s="96"/>
      <c r="HE342" s="96"/>
      <c r="HF342" s="96"/>
      <c r="HG342" s="96"/>
      <c r="HH342" s="96"/>
      <c r="HI342" s="96"/>
      <c r="HJ342" s="96"/>
      <c r="HK342" s="96"/>
      <c r="HL342" s="96"/>
      <c r="HM342" s="96"/>
      <c r="HN342" s="96"/>
      <c r="HO342" s="96"/>
      <c r="HP342" s="96"/>
      <c r="HQ342" s="96"/>
      <c r="HR342" s="96"/>
      <c r="HS342" s="13"/>
      <c r="HT342" s="96"/>
      <c r="HU342" s="96"/>
      <c r="HV342" s="96"/>
      <c r="HW342" s="96"/>
      <c r="HX342" s="96"/>
      <c r="HY342" s="96"/>
      <c r="HZ342" s="96"/>
      <c r="IA342" s="96"/>
      <c r="IB342" s="96"/>
      <c r="IC342" s="96"/>
      <c r="ID342" s="96"/>
      <c r="IE342" s="96"/>
      <c r="IF342" s="96"/>
      <c r="IG342" s="96"/>
      <c r="IH342" s="96"/>
      <c r="II342" s="13"/>
      <c r="IJ342" s="96"/>
      <c r="IK342" s="96"/>
      <c r="IL342" s="96"/>
      <c r="IM342" s="96"/>
      <c r="IN342" s="96"/>
      <c r="IO342" s="96"/>
      <c r="IP342" s="96"/>
      <c r="IQ342" s="96"/>
      <c r="IR342" s="96"/>
      <c r="IS342" s="96"/>
      <c r="IT342" s="96"/>
      <c r="IU342" s="96"/>
      <c r="IV342" s="96"/>
      <c r="IW342" s="96"/>
      <c r="IX342" s="96"/>
      <c r="IY342" s="13"/>
    </row>
    <row r="343" spans="1:259" outlineLevel="1">
      <c r="A343" s="11">
        <f>'VAC &amp; MED'!C346</f>
        <v>46317</v>
      </c>
      <c r="B343" s="261"/>
      <c r="C343" s="261"/>
      <c r="D343" s="261"/>
      <c r="E343" s="261"/>
      <c r="F343" s="261"/>
      <c r="G343" s="261"/>
      <c r="H343" s="261"/>
      <c r="I343" s="261"/>
      <c r="J343" s="261"/>
      <c r="K343" s="261"/>
      <c r="L343" s="261"/>
      <c r="M343" s="261"/>
      <c r="N343" s="261"/>
      <c r="O343" s="261"/>
      <c r="P343" s="261"/>
      <c r="Q343" s="261"/>
      <c r="R343" s="262"/>
      <c r="S343" s="262"/>
      <c r="T343" s="262"/>
      <c r="U343" s="262"/>
      <c r="V343" s="262"/>
      <c r="W343" s="262"/>
      <c r="X343" s="262"/>
      <c r="Y343" s="262"/>
      <c r="Z343" s="262"/>
      <c r="AA343" s="262"/>
      <c r="AB343" s="262"/>
      <c r="AC343" s="262"/>
      <c r="AD343" s="262"/>
      <c r="AE343" s="262"/>
      <c r="AF343" s="262"/>
      <c r="AG343" s="262"/>
      <c r="AH343" s="263"/>
      <c r="AI343" s="263"/>
      <c r="AJ343" s="263"/>
      <c r="AK343" s="263"/>
      <c r="AL343" s="263"/>
      <c r="AM343" s="263"/>
      <c r="AN343" s="263"/>
      <c r="AO343" s="263"/>
      <c r="AP343" s="263"/>
      <c r="AQ343" s="263"/>
      <c r="AR343" s="263"/>
      <c r="AS343" s="263"/>
      <c r="AT343" s="263"/>
      <c r="AU343" s="263"/>
      <c r="AV343" s="263"/>
      <c r="AW343" s="263"/>
      <c r="AX343" s="264"/>
      <c r="AY343" s="264"/>
      <c r="AZ343" s="264"/>
      <c r="BA343" s="264"/>
      <c r="BB343" s="264"/>
      <c r="BC343" s="264"/>
      <c r="BD343" s="264"/>
      <c r="BE343" s="264"/>
      <c r="BF343" s="264"/>
      <c r="BG343" s="264"/>
      <c r="BH343" s="264"/>
      <c r="BI343" s="264"/>
      <c r="BJ343" s="264"/>
      <c r="BK343" s="264"/>
      <c r="BL343" s="264"/>
      <c r="BM343" s="264"/>
      <c r="BN343" s="265"/>
      <c r="BO343" s="265"/>
      <c r="BP343" s="265"/>
      <c r="BQ343" s="265"/>
      <c r="BR343" s="265"/>
      <c r="BS343" s="265"/>
      <c r="BT343" s="265"/>
      <c r="BU343" s="265"/>
      <c r="BV343" s="265"/>
      <c r="BW343" s="265"/>
      <c r="BX343" s="265"/>
      <c r="BY343" s="265"/>
      <c r="BZ343" s="265"/>
      <c r="CA343" s="265"/>
      <c r="CB343" s="265"/>
      <c r="CC343" s="265"/>
      <c r="CD343" s="266"/>
      <c r="CE343" s="266"/>
      <c r="CF343" s="266"/>
      <c r="CG343" s="266"/>
      <c r="CH343" s="266"/>
      <c r="CI343" s="266"/>
      <c r="CJ343" s="266"/>
      <c r="CK343" s="266"/>
      <c r="CL343" s="266"/>
      <c r="CM343" s="266"/>
      <c r="CN343" s="266"/>
      <c r="CO343" s="266"/>
      <c r="CP343" s="266"/>
      <c r="CQ343" s="266"/>
      <c r="CR343" s="266"/>
      <c r="CS343" s="266"/>
      <c r="CT343" s="267"/>
      <c r="CU343" s="267"/>
      <c r="CV343" s="267"/>
      <c r="CW343" s="267"/>
      <c r="CX343" s="267"/>
      <c r="CY343" s="267"/>
      <c r="CZ343" s="267"/>
      <c r="DA343" s="267"/>
      <c r="DB343" s="267"/>
      <c r="DC343" s="267"/>
      <c r="DD343" s="267"/>
      <c r="DE343" s="267"/>
      <c r="DF343" s="267"/>
      <c r="DG343" s="267"/>
      <c r="DH343" s="267"/>
      <c r="DI343" s="267"/>
      <c r="DJ343" s="268"/>
      <c r="DK343" s="268"/>
      <c r="DL343" s="268"/>
      <c r="DM343" s="268"/>
      <c r="DN343" s="268"/>
      <c r="DO343" s="268"/>
      <c r="DP343" s="268"/>
      <c r="DQ343" s="268"/>
      <c r="DR343" s="268"/>
      <c r="DS343" s="268"/>
      <c r="DT343" s="268"/>
      <c r="DU343" s="268"/>
      <c r="DV343" s="268"/>
      <c r="DW343" s="268"/>
      <c r="DX343" s="268"/>
      <c r="DY343" s="268"/>
      <c r="EA343" s="13"/>
      <c r="EB343" s="96"/>
      <c r="EC343" s="96"/>
      <c r="ED343" s="96"/>
      <c r="EE343" s="96"/>
      <c r="EF343" s="96"/>
      <c r="EG343" s="96"/>
      <c r="EH343" s="96"/>
      <c r="EI343" s="96"/>
      <c r="EJ343" s="96"/>
      <c r="EK343" s="96"/>
      <c r="EL343" s="96"/>
      <c r="EM343" s="96"/>
      <c r="EN343" s="96"/>
      <c r="EO343" s="96"/>
      <c r="EP343" s="96"/>
      <c r="EQ343" s="96"/>
      <c r="ER343" s="96"/>
      <c r="ES343" s="96"/>
      <c r="ET343" s="96"/>
      <c r="EU343" s="96"/>
      <c r="EV343" s="96"/>
      <c r="EW343" s="96"/>
      <c r="EX343" s="96"/>
      <c r="EY343" s="96"/>
      <c r="EZ343" s="96"/>
      <c r="FA343" s="96"/>
      <c r="FB343" s="96"/>
      <c r="FC343" s="96"/>
      <c r="FD343" s="96"/>
      <c r="FE343" s="96"/>
      <c r="FF343" s="96"/>
      <c r="FG343" s="96"/>
      <c r="FH343" s="96"/>
      <c r="FI343" s="96"/>
      <c r="FJ343" s="96"/>
      <c r="FK343" s="96"/>
      <c r="FL343" s="96"/>
      <c r="FM343" s="96"/>
      <c r="FN343" s="96"/>
      <c r="FO343" s="96"/>
      <c r="FP343" s="96"/>
      <c r="FQ343" s="96"/>
      <c r="FR343" s="96"/>
      <c r="FS343" s="96"/>
      <c r="FT343" s="96"/>
      <c r="FU343" s="96"/>
      <c r="FV343" s="96"/>
      <c r="FW343" s="96"/>
      <c r="FX343" s="96"/>
      <c r="FY343" s="96"/>
      <c r="FZ343" s="96"/>
      <c r="GA343" s="96"/>
      <c r="GB343" s="96"/>
      <c r="GC343" s="96"/>
      <c r="GD343" s="96"/>
      <c r="GE343" s="96"/>
      <c r="GF343" s="96"/>
      <c r="GG343" s="96"/>
      <c r="GH343" s="96"/>
      <c r="GI343" s="96"/>
      <c r="GJ343" s="96"/>
      <c r="GK343" s="96"/>
      <c r="GL343" s="96"/>
      <c r="GM343" s="13"/>
      <c r="GN343" s="96"/>
      <c r="GO343" s="96"/>
      <c r="GP343" s="96"/>
      <c r="GQ343" s="96"/>
      <c r="GR343" s="96"/>
      <c r="GS343" s="96"/>
      <c r="GT343" s="96"/>
      <c r="GU343" s="96"/>
      <c r="GV343" s="96"/>
      <c r="GW343" s="96"/>
      <c r="GX343" s="96"/>
      <c r="GY343" s="96"/>
      <c r="GZ343" s="96"/>
      <c r="HA343" s="96"/>
      <c r="HB343" s="96"/>
      <c r="HC343" s="13"/>
      <c r="HD343" s="96"/>
      <c r="HE343" s="96"/>
      <c r="HF343" s="96"/>
      <c r="HG343" s="96"/>
      <c r="HH343" s="96"/>
      <c r="HI343" s="96"/>
      <c r="HJ343" s="96"/>
      <c r="HK343" s="96"/>
      <c r="HL343" s="96"/>
      <c r="HM343" s="96"/>
      <c r="HN343" s="96"/>
      <c r="HO343" s="96"/>
      <c r="HP343" s="96"/>
      <c r="HQ343" s="96"/>
      <c r="HR343" s="96"/>
      <c r="HS343" s="13"/>
      <c r="HT343" s="96"/>
      <c r="HU343" s="96"/>
      <c r="HV343" s="96"/>
      <c r="HW343" s="96"/>
      <c r="HX343" s="96"/>
      <c r="HY343" s="96"/>
      <c r="HZ343" s="96"/>
      <c r="IA343" s="96"/>
      <c r="IB343" s="96"/>
      <c r="IC343" s="96"/>
      <c r="ID343" s="96"/>
      <c r="IE343" s="96"/>
      <c r="IF343" s="96"/>
      <c r="IG343" s="96"/>
      <c r="IH343" s="96"/>
      <c r="II343" s="13"/>
      <c r="IJ343" s="96"/>
      <c r="IK343" s="96"/>
      <c r="IL343" s="96"/>
      <c r="IM343" s="96"/>
      <c r="IN343" s="96"/>
      <c r="IO343" s="96"/>
      <c r="IP343" s="96"/>
      <c r="IQ343" s="96"/>
      <c r="IR343" s="96"/>
      <c r="IS343" s="96"/>
      <c r="IT343" s="96"/>
      <c r="IU343" s="96"/>
      <c r="IV343" s="96"/>
      <c r="IW343" s="96"/>
      <c r="IX343" s="96"/>
      <c r="IY343" s="13"/>
    </row>
    <row r="344" spans="1:259" outlineLevel="1">
      <c r="A344" s="11">
        <f>'VAC &amp; MED'!C347</f>
        <v>46318</v>
      </c>
      <c r="B344" s="261"/>
      <c r="C344" s="261"/>
      <c r="D344" s="261"/>
      <c r="E344" s="261"/>
      <c r="F344" s="261"/>
      <c r="G344" s="261"/>
      <c r="H344" s="261"/>
      <c r="I344" s="261"/>
      <c r="J344" s="261"/>
      <c r="K344" s="261"/>
      <c r="L344" s="261"/>
      <c r="M344" s="261"/>
      <c r="N344" s="261"/>
      <c r="O344" s="261"/>
      <c r="P344" s="261"/>
      <c r="Q344" s="261"/>
      <c r="R344" s="262"/>
      <c r="S344" s="262"/>
      <c r="T344" s="262"/>
      <c r="U344" s="262"/>
      <c r="V344" s="262"/>
      <c r="W344" s="262"/>
      <c r="X344" s="262"/>
      <c r="Y344" s="262"/>
      <c r="Z344" s="262"/>
      <c r="AA344" s="262"/>
      <c r="AB344" s="262"/>
      <c r="AC344" s="262"/>
      <c r="AD344" s="262"/>
      <c r="AE344" s="262"/>
      <c r="AF344" s="262"/>
      <c r="AG344" s="262"/>
      <c r="AH344" s="263"/>
      <c r="AI344" s="263"/>
      <c r="AJ344" s="263"/>
      <c r="AK344" s="263"/>
      <c r="AL344" s="263"/>
      <c r="AM344" s="263"/>
      <c r="AN344" s="263"/>
      <c r="AO344" s="263"/>
      <c r="AP344" s="263"/>
      <c r="AQ344" s="263"/>
      <c r="AR344" s="263"/>
      <c r="AS344" s="263"/>
      <c r="AT344" s="263"/>
      <c r="AU344" s="263"/>
      <c r="AV344" s="263"/>
      <c r="AW344" s="263"/>
      <c r="AX344" s="264"/>
      <c r="AY344" s="264"/>
      <c r="AZ344" s="264"/>
      <c r="BA344" s="264"/>
      <c r="BB344" s="264"/>
      <c r="BC344" s="264"/>
      <c r="BD344" s="264"/>
      <c r="BE344" s="264"/>
      <c r="BF344" s="264"/>
      <c r="BG344" s="264"/>
      <c r="BH344" s="264"/>
      <c r="BI344" s="264"/>
      <c r="BJ344" s="264"/>
      <c r="BK344" s="264"/>
      <c r="BL344" s="264"/>
      <c r="BM344" s="264"/>
      <c r="BN344" s="265"/>
      <c r="BO344" s="265"/>
      <c r="BP344" s="265"/>
      <c r="BQ344" s="265"/>
      <c r="BR344" s="265"/>
      <c r="BS344" s="265"/>
      <c r="BT344" s="265"/>
      <c r="BU344" s="265"/>
      <c r="BV344" s="265"/>
      <c r="BW344" s="265"/>
      <c r="BX344" s="265"/>
      <c r="BY344" s="265"/>
      <c r="BZ344" s="265"/>
      <c r="CA344" s="265"/>
      <c r="CB344" s="265"/>
      <c r="CC344" s="265"/>
      <c r="CD344" s="266"/>
      <c r="CE344" s="266"/>
      <c r="CF344" s="266"/>
      <c r="CG344" s="266"/>
      <c r="CH344" s="266"/>
      <c r="CI344" s="266"/>
      <c r="CJ344" s="266"/>
      <c r="CK344" s="266"/>
      <c r="CL344" s="266"/>
      <c r="CM344" s="266"/>
      <c r="CN344" s="266"/>
      <c r="CO344" s="266"/>
      <c r="CP344" s="266"/>
      <c r="CQ344" s="266"/>
      <c r="CR344" s="266"/>
      <c r="CS344" s="266"/>
      <c r="CT344" s="267"/>
      <c r="CU344" s="267"/>
      <c r="CV344" s="267"/>
      <c r="CW344" s="267"/>
      <c r="CX344" s="267"/>
      <c r="CY344" s="267"/>
      <c r="CZ344" s="267"/>
      <c r="DA344" s="267"/>
      <c r="DB344" s="267"/>
      <c r="DC344" s="267"/>
      <c r="DD344" s="267"/>
      <c r="DE344" s="267"/>
      <c r="DF344" s="267"/>
      <c r="DG344" s="267"/>
      <c r="DH344" s="267"/>
      <c r="DI344" s="267"/>
      <c r="DJ344" s="268"/>
      <c r="DK344" s="268"/>
      <c r="DL344" s="268"/>
      <c r="DM344" s="268"/>
      <c r="DN344" s="268"/>
      <c r="DO344" s="268"/>
      <c r="DP344" s="268"/>
      <c r="DQ344" s="268"/>
      <c r="DR344" s="268"/>
      <c r="DS344" s="268"/>
      <c r="DT344" s="268"/>
      <c r="DU344" s="268"/>
      <c r="DV344" s="268"/>
      <c r="DW344" s="268"/>
      <c r="DX344" s="268"/>
      <c r="DY344" s="268"/>
      <c r="EA344" s="13"/>
      <c r="EB344" s="96"/>
      <c r="EC344" s="96"/>
      <c r="ED344" s="96"/>
      <c r="EE344" s="96"/>
      <c r="EF344" s="96"/>
      <c r="EG344" s="96"/>
      <c r="EH344" s="96"/>
      <c r="EI344" s="96"/>
      <c r="EJ344" s="96"/>
      <c r="EK344" s="96"/>
      <c r="EL344" s="96"/>
      <c r="EM344" s="96"/>
      <c r="EN344" s="96"/>
      <c r="EO344" s="96"/>
      <c r="EP344" s="96"/>
      <c r="EQ344" s="96"/>
      <c r="ER344" s="96"/>
      <c r="ES344" s="96"/>
      <c r="ET344" s="96"/>
      <c r="EU344" s="96"/>
      <c r="EV344" s="96"/>
      <c r="EW344" s="96"/>
      <c r="EX344" s="96"/>
      <c r="EY344" s="96"/>
      <c r="EZ344" s="96"/>
      <c r="FA344" s="96"/>
      <c r="FB344" s="96"/>
      <c r="FC344" s="96"/>
      <c r="FD344" s="96"/>
      <c r="FE344" s="96"/>
      <c r="FF344" s="96"/>
      <c r="FG344" s="96"/>
      <c r="FH344" s="96"/>
      <c r="FI344" s="96"/>
      <c r="FJ344" s="96"/>
      <c r="FK344" s="96"/>
      <c r="FL344" s="96"/>
      <c r="FM344" s="96"/>
      <c r="FN344" s="96"/>
      <c r="FO344" s="96"/>
      <c r="FP344" s="96"/>
      <c r="FQ344" s="96"/>
      <c r="FR344" s="96"/>
      <c r="FS344" s="96"/>
      <c r="FT344" s="96"/>
      <c r="FU344" s="96"/>
      <c r="FV344" s="96"/>
      <c r="FW344" s="96"/>
      <c r="FX344" s="96"/>
      <c r="FY344" s="96"/>
      <c r="FZ344" s="96"/>
      <c r="GA344" s="96"/>
      <c r="GB344" s="96"/>
      <c r="GC344" s="96"/>
      <c r="GD344" s="96"/>
      <c r="GE344" s="96"/>
      <c r="GF344" s="96"/>
      <c r="GG344" s="96"/>
      <c r="GH344" s="96"/>
      <c r="GI344" s="96"/>
      <c r="GJ344" s="96"/>
      <c r="GK344" s="96"/>
      <c r="GL344" s="96"/>
      <c r="GM344" s="13"/>
      <c r="GN344" s="96"/>
      <c r="GO344" s="96"/>
      <c r="GP344" s="96"/>
      <c r="GQ344" s="96"/>
      <c r="GR344" s="96"/>
      <c r="GS344" s="96"/>
      <c r="GT344" s="96"/>
      <c r="GU344" s="96"/>
      <c r="GV344" s="96"/>
      <c r="GW344" s="96"/>
      <c r="GX344" s="96"/>
      <c r="GY344" s="96"/>
      <c r="GZ344" s="96"/>
      <c r="HA344" s="96"/>
      <c r="HB344" s="96"/>
      <c r="HC344" s="13"/>
      <c r="HD344" s="96"/>
      <c r="HE344" s="96"/>
      <c r="HF344" s="96"/>
      <c r="HG344" s="96"/>
      <c r="HH344" s="96"/>
      <c r="HI344" s="96"/>
      <c r="HJ344" s="96"/>
      <c r="HK344" s="96"/>
      <c r="HL344" s="96"/>
      <c r="HM344" s="96"/>
      <c r="HN344" s="96"/>
      <c r="HO344" s="96"/>
      <c r="HP344" s="96"/>
      <c r="HQ344" s="96"/>
      <c r="HR344" s="96"/>
      <c r="HS344" s="13"/>
      <c r="HT344" s="96"/>
      <c r="HU344" s="96"/>
      <c r="HV344" s="96"/>
      <c r="HW344" s="96"/>
      <c r="HX344" s="96"/>
      <c r="HY344" s="96"/>
      <c r="HZ344" s="96"/>
      <c r="IA344" s="96"/>
      <c r="IB344" s="96"/>
      <c r="IC344" s="96"/>
      <c r="ID344" s="96"/>
      <c r="IE344" s="96"/>
      <c r="IF344" s="96"/>
      <c r="IG344" s="96"/>
      <c r="IH344" s="96"/>
      <c r="II344" s="13"/>
      <c r="IJ344" s="96"/>
      <c r="IK344" s="96"/>
      <c r="IL344" s="96"/>
      <c r="IM344" s="96"/>
      <c r="IN344" s="96"/>
      <c r="IO344" s="96"/>
      <c r="IP344" s="96"/>
      <c r="IQ344" s="96"/>
      <c r="IR344" s="96"/>
      <c r="IS344" s="96"/>
      <c r="IT344" s="96"/>
      <c r="IU344" s="96"/>
      <c r="IV344" s="96"/>
      <c r="IW344" s="96"/>
      <c r="IX344" s="96"/>
      <c r="IY344" s="13"/>
    </row>
    <row r="345" spans="1:259" outlineLevel="1">
      <c r="A345" s="11">
        <f>'VAC &amp; MED'!C348</f>
        <v>46319</v>
      </c>
      <c r="B345" s="261"/>
      <c r="C345" s="261"/>
      <c r="D345" s="261"/>
      <c r="E345" s="261"/>
      <c r="F345" s="261"/>
      <c r="G345" s="261"/>
      <c r="H345" s="261"/>
      <c r="I345" s="261"/>
      <c r="J345" s="261"/>
      <c r="K345" s="261"/>
      <c r="L345" s="261"/>
      <c r="M345" s="261"/>
      <c r="N345" s="261"/>
      <c r="O345" s="261"/>
      <c r="P345" s="261"/>
      <c r="Q345" s="261"/>
      <c r="R345" s="262"/>
      <c r="S345" s="262"/>
      <c r="T345" s="262"/>
      <c r="U345" s="262"/>
      <c r="V345" s="262"/>
      <c r="W345" s="262"/>
      <c r="X345" s="262"/>
      <c r="Y345" s="262"/>
      <c r="Z345" s="262"/>
      <c r="AA345" s="262"/>
      <c r="AB345" s="262"/>
      <c r="AC345" s="262"/>
      <c r="AD345" s="262"/>
      <c r="AE345" s="262"/>
      <c r="AF345" s="262"/>
      <c r="AG345" s="262"/>
      <c r="AH345" s="263"/>
      <c r="AI345" s="263"/>
      <c r="AJ345" s="263"/>
      <c r="AK345" s="263"/>
      <c r="AL345" s="263"/>
      <c r="AM345" s="263"/>
      <c r="AN345" s="263"/>
      <c r="AO345" s="263"/>
      <c r="AP345" s="263"/>
      <c r="AQ345" s="263"/>
      <c r="AR345" s="263"/>
      <c r="AS345" s="263"/>
      <c r="AT345" s="263"/>
      <c r="AU345" s="263"/>
      <c r="AV345" s="263"/>
      <c r="AW345" s="263"/>
      <c r="AX345" s="264"/>
      <c r="AY345" s="264"/>
      <c r="AZ345" s="264"/>
      <c r="BA345" s="264"/>
      <c r="BB345" s="264"/>
      <c r="BC345" s="264"/>
      <c r="BD345" s="264"/>
      <c r="BE345" s="264"/>
      <c r="BF345" s="264"/>
      <c r="BG345" s="264"/>
      <c r="BH345" s="264"/>
      <c r="BI345" s="264"/>
      <c r="BJ345" s="264"/>
      <c r="BK345" s="264"/>
      <c r="BL345" s="264"/>
      <c r="BM345" s="264"/>
      <c r="BN345" s="265"/>
      <c r="BO345" s="265"/>
      <c r="BP345" s="265"/>
      <c r="BQ345" s="265"/>
      <c r="BR345" s="265"/>
      <c r="BS345" s="265"/>
      <c r="BT345" s="265"/>
      <c r="BU345" s="265"/>
      <c r="BV345" s="265"/>
      <c r="BW345" s="265"/>
      <c r="BX345" s="265"/>
      <c r="BY345" s="265"/>
      <c r="BZ345" s="265"/>
      <c r="CA345" s="265"/>
      <c r="CB345" s="265"/>
      <c r="CC345" s="265"/>
      <c r="CD345" s="266"/>
      <c r="CE345" s="266"/>
      <c r="CF345" s="266"/>
      <c r="CG345" s="266"/>
      <c r="CH345" s="266"/>
      <c r="CI345" s="266"/>
      <c r="CJ345" s="266"/>
      <c r="CK345" s="266"/>
      <c r="CL345" s="266"/>
      <c r="CM345" s="266"/>
      <c r="CN345" s="266"/>
      <c r="CO345" s="266"/>
      <c r="CP345" s="266"/>
      <c r="CQ345" s="266"/>
      <c r="CR345" s="266"/>
      <c r="CS345" s="266"/>
      <c r="CT345" s="267"/>
      <c r="CU345" s="267"/>
      <c r="CV345" s="267"/>
      <c r="CW345" s="267"/>
      <c r="CX345" s="267"/>
      <c r="CY345" s="267"/>
      <c r="CZ345" s="267"/>
      <c r="DA345" s="267"/>
      <c r="DB345" s="267"/>
      <c r="DC345" s="267"/>
      <c r="DD345" s="267"/>
      <c r="DE345" s="267"/>
      <c r="DF345" s="267"/>
      <c r="DG345" s="267"/>
      <c r="DH345" s="267"/>
      <c r="DI345" s="267"/>
      <c r="DJ345" s="268"/>
      <c r="DK345" s="268"/>
      <c r="DL345" s="268"/>
      <c r="DM345" s="268"/>
      <c r="DN345" s="268"/>
      <c r="DO345" s="268"/>
      <c r="DP345" s="268"/>
      <c r="DQ345" s="268"/>
      <c r="DR345" s="268"/>
      <c r="DS345" s="268"/>
      <c r="DT345" s="268"/>
      <c r="DU345" s="268"/>
      <c r="DV345" s="268"/>
      <c r="DW345" s="268"/>
      <c r="DX345" s="268"/>
      <c r="DY345" s="268"/>
      <c r="EA345" s="13"/>
      <c r="EB345" s="96"/>
      <c r="EC345" s="96"/>
      <c r="ED345" s="96"/>
      <c r="EE345" s="96"/>
      <c r="EF345" s="96"/>
      <c r="EG345" s="96"/>
      <c r="EH345" s="96"/>
      <c r="EI345" s="96"/>
      <c r="EJ345" s="96"/>
      <c r="EK345" s="96"/>
      <c r="EL345" s="96"/>
      <c r="EM345" s="96"/>
      <c r="EN345" s="96"/>
      <c r="EO345" s="96"/>
      <c r="EP345" s="96"/>
      <c r="EQ345" s="96"/>
      <c r="ER345" s="96"/>
      <c r="ES345" s="96"/>
      <c r="ET345" s="96"/>
      <c r="EU345" s="96"/>
      <c r="EV345" s="96"/>
      <c r="EW345" s="96"/>
      <c r="EX345" s="96"/>
      <c r="EY345" s="96"/>
      <c r="EZ345" s="96"/>
      <c r="FA345" s="96"/>
      <c r="FB345" s="96"/>
      <c r="FC345" s="96"/>
      <c r="FD345" s="96"/>
      <c r="FE345" s="96"/>
      <c r="FF345" s="96"/>
      <c r="FG345" s="96"/>
      <c r="FH345" s="96"/>
      <c r="FI345" s="96"/>
      <c r="FJ345" s="96"/>
      <c r="FK345" s="96"/>
      <c r="FL345" s="96"/>
      <c r="FM345" s="96"/>
      <c r="FN345" s="96"/>
      <c r="FO345" s="96"/>
      <c r="FP345" s="96"/>
      <c r="FQ345" s="96"/>
      <c r="FR345" s="96"/>
      <c r="FS345" s="96"/>
      <c r="FT345" s="96"/>
      <c r="FU345" s="96"/>
      <c r="FV345" s="96"/>
      <c r="FW345" s="96"/>
      <c r="FX345" s="96"/>
      <c r="FY345" s="96"/>
      <c r="FZ345" s="96"/>
      <c r="GA345" s="96"/>
      <c r="GB345" s="96"/>
      <c r="GC345" s="96"/>
      <c r="GD345" s="96"/>
      <c r="GE345" s="96"/>
      <c r="GF345" s="96"/>
      <c r="GG345" s="96"/>
      <c r="GH345" s="96"/>
      <c r="GI345" s="96"/>
      <c r="GJ345" s="96"/>
      <c r="GK345" s="96"/>
      <c r="GL345" s="96"/>
      <c r="GM345" s="13"/>
      <c r="GN345" s="96"/>
      <c r="GO345" s="96"/>
      <c r="GP345" s="96"/>
      <c r="GQ345" s="96"/>
      <c r="GR345" s="96"/>
      <c r="GS345" s="96"/>
      <c r="GT345" s="96"/>
      <c r="GU345" s="96"/>
      <c r="GV345" s="96"/>
      <c r="GW345" s="96"/>
      <c r="GX345" s="96"/>
      <c r="GY345" s="96"/>
      <c r="GZ345" s="96"/>
      <c r="HA345" s="96"/>
      <c r="HB345" s="96"/>
      <c r="HC345" s="13"/>
      <c r="HD345" s="96"/>
      <c r="HE345" s="96"/>
      <c r="HF345" s="96"/>
      <c r="HG345" s="96"/>
      <c r="HH345" s="96"/>
      <c r="HI345" s="96"/>
      <c r="HJ345" s="96"/>
      <c r="HK345" s="96"/>
      <c r="HL345" s="96"/>
      <c r="HM345" s="96"/>
      <c r="HN345" s="96"/>
      <c r="HO345" s="96"/>
      <c r="HP345" s="96"/>
      <c r="HQ345" s="96"/>
      <c r="HR345" s="96"/>
      <c r="HS345" s="13"/>
      <c r="HT345" s="96"/>
      <c r="HU345" s="96"/>
      <c r="HV345" s="96"/>
      <c r="HW345" s="96"/>
      <c r="HX345" s="96"/>
      <c r="HY345" s="96"/>
      <c r="HZ345" s="96"/>
      <c r="IA345" s="96"/>
      <c r="IB345" s="96"/>
      <c r="IC345" s="96"/>
      <c r="ID345" s="96"/>
      <c r="IE345" s="96"/>
      <c r="IF345" s="96"/>
      <c r="IG345" s="96"/>
      <c r="IH345" s="96"/>
      <c r="II345" s="13"/>
      <c r="IJ345" s="96"/>
      <c r="IK345" s="96"/>
      <c r="IL345" s="96"/>
      <c r="IM345" s="96"/>
      <c r="IN345" s="96"/>
      <c r="IO345" s="96"/>
      <c r="IP345" s="96"/>
      <c r="IQ345" s="96"/>
      <c r="IR345" s="96"/>
      <c r="IS345" s="96"/>
      <c r="IT345" s="96"/>
      <c r="IU345" s="96"/>
      <c r="IV345" s="96"/>
      <c r="IW345" s="96"/>
      <c r="IX345" s="96"/>
      <c r="IY345" s="13"/>
    </row>
    <row r="346" spans="1:259" outlineLevel="1">
      <c r="A346" s="11">
        <f>'VAC &amp; MED'!C349</f>
        <v>46320</v>
      </c>
      <c r="B346" s="261"/>
      <c r="C346" s="261"/>
      <c r="D346" s="261"/>
      <c r="E346" s="261"/>
      <c r="F346" s="261"/>
      <c r="G346" s="261"/>
      <c r="H346" s="261"/>
      <c r="I346" s="261"/>
      <c r="J346" s="261"/>
      <c r="K346" s="261"/>
      <c r="L346" s="261"/>
      <c r="M346" s="261"/>
      <c r="N346" s="261"/>
      <c r="O346" s="261"/>
      <c r="P346" s="261"/>
      <c r="Q346" s="261"/>
      <c r="R346" s="262"/>
      <c r="S346" s="262"/>
      <c r="T346" s="262"/>
      <c r="U346" s="262"/>
      <c r="V346" s="262"/>
      <c r="W346" s="262"/>
      <c r="X346" s="262"/>
      <c r="Y346" s="262"/>
      <c r="Z346" s="262"/>
      <c r="AA346" s="262"/>
      <c r="AB346" s="262"/>
      <c r="AC346" s="262"/>
      <c r="AD346" s="262"/>
      <c r="AE346" s="262"/>
      <c r="AF346" s="262"/>
      <c r="AG346" s="262"/>
      <c r="AH346" s="263"/>
      <c r="AI346" s="263"/>
      <c r="AJ346" s="263"/>
      <c r="AK346" s="263"/>
      <c r="AL346" s="263"/>
      <c r="AM346" s="263"/>
      <c r="AN346" s="263"/>
      <c r="AO346" s="263"/>
      <c r="AP346" s="263"/>
      <c r="AQ346" s="263"/>
      <c r="AR346" s="263"/>
      <c r="AS346" s="263"/>
      <c r="AT346" s="263"/>
      <c r="AU346" s="263"/>
      <c r="AV346" s="263"/>
      <c r="AW346" s="263"/>
      <c r="AX346" s="264"/>
      <c r="AY346" s="264"/>
      <c r="AZ346" s="264"/>
      <c r="BA346" s="264"/>
      <c r="BB346" s="264"/>
      <c r="BC346" s="264"/>
      <c r="BD346" s="264"/>
      <c r="BE346" s="264"/>
      <c r="BF346" s="264"/>
      <c r="BG346" s="264"/>
      <c r="BH346" s="264"/>
      <c r="BI346" s="264"/>
      <c r="BJ346" s="264"/>
      <c r="BK346" s="264"/>
      <c r="BL346" s="264"/>
      <c r="BM346" s="264"/>
      <c r="BN346" s="265"/>
      <c r="BO346" s="265"/>
      <c r="BP346" s="265"/>
      <c r="BQ346" s="265"/>
      <c r="BR346" s="265"/>
      <c r="BS346" s="265"/>
      <c r="BT346" s="265"/>
      <c r="BU346" s="265"/>
      <c r="BV346" s="265"/>
      <c r="BW346" s="265"/>
      <c r="BX346" s="265"/>
      <c r="BY346" s="265"/>
      <c r="BZ346" s="265"/>
      <c r="CA346" s="265"/>
      <c r="CB346" s="265"/>
      <c r="CC346" s="265"/>
      <c r="CD346" s="266"/>
      <c r="CE346" s="266"/>
      <c r="CF346" s="266"/>
      <c r="CG346" s="266"/>
      <c r="CH346" s="266"/>
      <c r="CI346" s="266"/>
      <c r="CJ346" s="266"/>
      <c r="CK346" s="266"/>
      <c r="CL346" s="266"/>
      <c r="CM346" s="266"/>
      <c r="CN346" s="266"/>
      <c r="CO346" s="266"/>
      <c r="CP346" s="266"/>
      <c r="CQ346" s="266"/>
      <c r="CR346" s="266"/>
      <c r="CS346" s="266"/>
      <c r="CT346" s="267"/>
      <c r="CU346" s="267"/>
      <c r="CV346" s="267"/>
      <c r="CW346" s="267"/>
      <c r="CX346" s="267"/>
      <c r="CY346" s="267"/>
      <c r="CZ346" s="267"/>
      <c r="DA346" s="267"/>
      <c r="DB346" s="267"/>
      <c r="DC346" s="267"/>
      <c r="DD346" s="267"/>
      <c r="DE346" s="267"/>
      <c r="DF346" s="267"/>
      <c r="DG346" s="267"/>
      <c r="DH346" s="267"/>
      <c r="DI346" s="267"/>
      <c r="DJ346" s="268"/>
      <c r="DK346" s="268"/>
      <c r="DL346" s="268"/>
      <c r="DM346" s="268"/>
      <c r="DN346" s="268"/>
      <c r="DO346" s="268"/>
      <c r="DP346" s="268"/>
      <c r="DQ346" s="268"/>
      <c r="DR346" s="268"/>
      <c r="DS346" s="268"/>
      <c r="DT346" s="268"/>
      <c r="DU346" s="268"/>
      <c r="DV346" s="268"/>
      <c r="DW346" s="268"/>
      <c r="DX346" s="268"/>
      <c r="DY346" s="268"/>
      <c r="EA346" s="13"/>
      <c r="EB346" s="96"/>
      <c r="EC346" s="96"/>
      <c r="ED346" s="96"/>
      <c r="EE346" s="96"/>
      <c r="EF346" s="96"/>
      <c r="EG346" s="96"/>
      <c r="EH346" s="96"/>
      <c r="EI346" s="96"/>
      <c r="EJ346" s="96"/>
      <c r="EK346" s="96"/>
      <c r="EL346" s="96"/>
      <c r="EM346" s="96"/>
      <c r="EN346" s="96"/>
      <c r="EO346" s="96"/>
      <c r="EP346" s="96"/>
      <c r="EQ346" s="96"/>
      <c r="ER346" s="96"/>
      <c r="ES346" s="96"/>
      <c r="ET346" s="96"/>
      <c r="EU346" s="96"/>
      <c r="EV346" s="96"/>
      <c r="EW346" s="96"/>
      <c r="EX346" s="96"/>
      <c r="EY346" s="96"/>
      <c r="EZ346" s="96"/>
      <c r="FA346" s="96"/>
      <c r="FB346" s="96"/>
      <c r="FC346" s="96"/>
      <c r="FD346" s="96"/>
      <c r="FE346" s="96"/>
      <c r="FF346" s="96"/>
      <c r="FG346" s="96"/>
      <c r="FH346" s="96"/>
      <c r="FI346" s="96"/>
      <c r="FJ346" s="96"/>
      <c r="FK346" s="96"/>
      <c r="FL346" s="96"/>
      <c r="FM346" s="96"/>
      <c r="FN346" s="96"/>
      <c r="FO346" s="96"/>
      <c r="FP346" s="96"/>
      <c r="FQ346" s="96"/>
      <c r="FR346" s="96"/>
      <c r="FS346" s="96"/>
      <c r="FT346" s="96"/>
      <c r="FU346" s="96"/>
      <c r="FV346" s="96"/>
      <c r="FW346" s="96"/>
      <c r="FX346" s="96"/>
      <c r="FY346" s="96"/>
      <c r="FZ346" s="96"/>
      <c r="GA346" s="96"/>
      <c r="GB346" s="96"/>
      <c r="GC346" s="96"/>
      <c r="GD346" s="96"/>
      <c r="GE346" s="96"/>
      <c r="GF346" s="96"/>
      <c r="GG346" s="96"/>
      <c r="GH346" s="96"/>
      <c r="GI346" s="96"/>
      <c r="GJ346" s="96"/>
      <c r="GK346" s="96"/>
      <c r="GL346" s="96"/>
      <c r="GM346" s="13"/>
      <c r="GN346" s="96"/>
      <c r="GO346" s="96"/>
      <c r="GP346" s="96"/>
      <c r="GQ346" s="96"/>
      <c r="GR346" s="96"/>
      <c r="GS346" s="96"/>
      <c r="GT346" s="96"/>
      <c r="GU346" s="96"/>
      <c r="GV346" s="96"/>
      <c r="GW346" s="96"/>
      <c r="GX346" s="96"/>
      <c r="GY346" s="96"/>
      <c r="GZ346" s="96"/>
      <c r="HA346" s="96"/>
      <c r="HB346" s="96"/>
      <c r="HC346" s="13"/>
      <c r="HD346" s="96"/>
      <c r="HE346" s="96"/>
      <c r="HF346" s="96"/>
      <c r="HG346" s="96"/>
      <c r="HH346" s="96"/>
      <c r="HI346" s="96"/>
      <c r="HJ346" s="96"/>
      <c r="HK346" s="96"/>
      <c r="HL346" s="96"/>
      <c r="HM346" s="96"/>
      <c r="HN346" s="96"/>
      <c r="HO346" s="96"/>
      <c r="HP346" s="96"/>
      <c r="HQ346" s="96"/>
      <c r="HR346" s="96"/>
      <c r="HS346" s="13"/>
      <c r="HT346" s="96"/>
      <c r="HU346" s="96"/>
      <c r="HV346" s="96"/>
      <c r="HW346" s="96"/>
      <c r="HX346" s="96"/>
      <c r="HY346" s="96"/>
      <c r="HZ346" s="96"/>
      <c r="IA346" s="96"/>
      <c r="IB346" s="96"/>
      <c r="IC346" s="96"/>
      <c r="ID346" s="96"/>
      <c r="IE346" s="96"/>
      <c r="IF346" s="96"/>
      <c r="IG346" s="96"/>
      <c r="IH346" s="96"/>
      <c r="II346" s="13"/>
      <c r="IJ346" s="96"/>
      <c r="IK346" s="96"/>
      <c r="IL346" s="96"/>
      <c r="IM346" s="96"/>
      <c r="IN346" s="96"/>
      <c r="IO346" s="96"/>
      <c r="IP346" s="96"/>
      <c r="IQ346" s="96"/>
      <c r="IR346" s="96"/>
      <c r="IS346" s="96"/>
      <c r="IT346" s="96"/>
      <c r="IU346" s="96"/>
      <c r="IV346" s="96"/>
      <c r="IW346" s="96"/>
      <c r="IX346" s="96"/>
      <c r="IY346" s="13"/>
    </row>
    <row r="347" spans="1:259" outlineLevel="1">
      <c r="A347" s="11">
        <f>'VAC &amp; MED'!C350</f>
        <v>46321</v>
      </c>
      <c r="B347" s="261"/>
      <c r="C347" s="261"/>
      <c r="D347" s="261"/>
      <c r="E347" s="261"/>
      <c r="F347" s="261"/>
      <c r="G347" s="261"/>
      <c r="H347" s="261"/>
      <c r="I347" s="261"/>
      <c r="J347" s="261"/>
      <c r="K347" s="261"/>
      <c r="L347" s="261"/>
      <c r="M347" s="261"/>
      <c r="N347" s="261"/>
      <c r="O347" s="261"/>
      <c r="P347" s="261"/>
      <c r="Q347" s="261"/>
      <c r="R347" s="262"/>
      <c r="S347" s="262"/>
      <c r="T347" s="262"/>
      <c r="U347" s="262"/>
      <c r="V347" s="262"/>
      <c r="W347" s="262"/>
      <c r="X347" s="262"/>
      <c r="Y347" s="262"/>
      <c r="Z347" s="262"/>
      <c r="AA347" s="262"/>
      <c r="AB347" s="262"/>
      <c r="AC347" s="262"/>
      <c r="AD347" s="262"/>
      <c r="AE347" s="262"/>
      <c r="AF347" s="262"/>
      <c r="AG347" s="262"/>
      <c r="AH347" s="263"/>
      <c r="AI347" s="263"/>
      <c r="AJ347" s="263"/>
      <c r="AK347" s="263"/>
      <c r="AL347" s="263"/>
      <c r="AM347" s="263"/>
      <c r="AN347" s="263"/>
      <c r="AO347" s="263"/>
      <c r="AP347" s="263"/>
      <c r="AQ347" s="263"/>
      <c r="AR347" s="263"/>
      <c r="AS347" s="263"/>
      <c r="AT347" s="263"/>
      <c r="AU347" s="263"/>
      <c r="AV347" s="263"/>
      <c r="AW347" s="263"/>
      <c r="AX347" s="264"/>
      <c r="AY347" s="264"/>
      <c r="AZ347" s="264"/>
      <c r="BA347" s="264"/>
      <c r="BB347" s="264"/>
      <c r="BC347" s="264"/>
      <c r="BD347" s="264"/>
      <c r="BE347" s="264"/>
      <c r="BF347" s="264"/>
      <c r="BG347" s="264"/>
      <c r="BH347" s="264"/>
      <c r="BI347" s="264"/>
      <c r="BJ347" s="264"/>
      <c r="BK347" s="264"/>
      <c r="BL347" s="264"/>
      <c r="BM347" s="264"/>
      <c r="BN347" s="265"/>
      <c r="BO347" s="265"/>
      <c r="BP347" s="265"/>
      <c r="BQ347" s="265"/>
      <c r="BR347" s="265"/>
      <c r="BS347" s="265"/>
      <c r="BT347" s="265"/>
      <c r="BU347" s="265"/>
      <c r="BV347" s="265"/>
      <c r="BW347" s="265"/>
      <c r="BX347" s="265"/>
      <c r="BY347" s="265"/>
      <c r="BZ347" s="265"/>
      <c r="CA347" s="265"/>
      <c r="CB347" s="265"/>
      <c r="CC347" s="265"/>
      <c r="CD347" s="266"/>
      <c r="CE347" s="266"/>
      <c r="CF347" s="266"/>
      <c r="CG347" s="266"/>
      <c r="CH347" s="266"/>
      <c r="CI347" s="266"/>
      <c r="CJ347" s="266"/>
      <c r="CK347" s="266"/>
      <c r="CL347" s="266"/>
      <c r="CM347" s="266"/>
      <c r="CN347" s="266"/>
      <c r="CO347" s="266"/>
      <c r="CP347" s="266"/>
      <c r="CQ347" s="266"/>
      <c r="CR347" s="266"/>
      <c r="CS347" s="266"/>
      <c r="CT347" s="267"/>
      <c r="CU347" s="267"/>
      <c r="CV347" s="267"/>
      <c r="CW347" s="267"/>
      <c r="CX347" s="267"/>
      <c r="CY347" s="267"/>
      <c r="CZ347" s="267"/>
      <c r="DA347" s="267"/>
      <c r="DB347" s="267"/>
      <c r="DC347" s="267"/>
      <c r="DD347" s="267"/>
      <c r="DE347" s="267"/>
      <c r="DF347" s="267"/>
      <c r="DG347" s="267"/>
      <c r="DH347" s="267"/>
      <c r="DI347" s="267"/>
      <c r="DJ347" s="268"/>
      <c r="DK347" s="268"/>
      <c r="DL347" s="268"/>
      <c r="DM347" s="268"/>
      <c r="DN347" s="268"/>
      <c r="DO347" s="268"/>
      <c r="DP347" s="268"/>
      <c r="DQ347" s="268"/>
      <c r="DR347" s="268"/>
      <c r="DS347" s="268"/>
      <c r="DT347" s="268"/>
      <c r="DU347" s="268"/>
      <c r="DV347" s="268"/>
      <c r="DW347" s="268"/>
      <c r="DX347" s="268"/>
      <c r="DY347" s="268"/>
      <c r="EA347" s="13"/>
      <c r="EB347" s="96"/>
      <c r="EC347" s="96"/>
      <c r="ED347" s="96"/>
      <c r="EE347" s="96"/>
      <c r="EF347" s="96"/>
      <c r="EG347" s="96"/>
      <c r="EH347" s="96"/>
      <c r="EI347" s="96"/>
      <c r="EJ347" s="96"/>
      <c r="EK347" s="96"/>
      <c r="EL347" s="96"/>
      <c r="EM347" s="96"/>
      <c r="EN347" s="96"/>
      <c r="EO347" s="96"/>
      <c r="EP347" s="96"/>
      <c r="EQ347" s="96"/>
      <c r="ER347" s="96"/>
      <c r="ES347" s="96"/>
      <c r="ET347" s="96"/>
      <c r="EU347" s="96"/>
      <c r="EV347" s="96"/>
      <c r="EW347" s="96"/>
      <c r="EX347" s="96"/>
      <c r="EY347" s="96"/>
      <c r="EZ347" s="96"/>
      <c r="FA347" s="96"/>
      <c r="FB347" s="96"/>
      <c r="FC347" s="96"/>
      <c r="FD347" s="96"/>
      <c r="FE347" s="96"/>
      <c r="FF347" s="96"/>
      <c r="FG347" s="96"/>
      <c r="FH347" s="96"/>
      <c r="FI347" s="96"/>
      <c r="FJ347" s="96"/>
      <c r="FK347" s="96"/>
      <c r="FL347" s="96"/>
      <c r="FM347" s="96"/>
      <c r="FN347" s="96"/>
      <c r="FO347" s="96"/>
      <c r="FP347" s="96"/>
      <c r="FQ347" s="96"/>
      <c r="FR347" s="96"/>
      <c r="FS347" s="96"/>
      <c r="FT347" s="96"/>
      <c r="FU347" s="96"/>
      <c r="FV347" s="96"/>
      <c r="FW347" s="96"/>
      <c r="FX347" s="96"/>
      <c r="FY347" s="96"/>
      <c r="FZ347" s="96"/>
      <c r="GA347" s="96"/>
      <c r="GB347" s="96"/>
      <c r="GC347" s="96"/>
      <c r="GD347" s="96"/>
      <c r="GE347" s="96"/>
      <c r="GF347" s="96"/>
      <c r="GG347" s="96"/>
      <c r="GH347" s="96"/>
      <c r="GI347" s="96"/>
      <c r="GJ347" s="96"/>
      <c r="GK347" s="96"/>
      <c r="GL347" s="96"/>
      <c r="GM347" s="13"/>
      <c r="GN347" s="96"/>
      <c r="GO347" s="96"/>
      <c r="GP347" s="96"/>
      <c r="GQ347" s="96"/>
      <c r="GR347" s="96"/>
      <c r="GS347" s="96"/>
      <c r="GT347" s="96"/>
      <c r="GU347" s="96"/>
      <c r="GV347" s="96"/>
      <c r="GW347" s="96"/>
      <c r="GX347" s="96"/>
      <c r="GY347" s="96"/>
      <c r="GZ347" s="96"/>
      <c r="HA347" s="96"/>
      <c r="HB347" s="96"/>
      <c r="HC347" s="13"/>
      <c r="HD347" s="96"/>
      <c r="HE347" s="96"/>
      <c r="HF347" s="96"/>
      <c r="HG347" s="96"/>
      <c r="HH347" s="96"/>
      <c r="HI347" s="96"/>
      <c r="HJ347" s="96"/>
      <c r="HK347" s="96"/>
      <c r="HL347" s="96"/>
      <c r="HM347" s="96"/>
      <c r="HN347" s="96"/>
      <c r="HO347" s="96"/>
      <c r="HP347" s="96"/>
      <c r="HQ347" s="96"/>
      <c r="HR347" s="96"/>
      <c r="HS347" s="13"/>
      <c r="HT347" s="96"/>
      <c r="HU347" s="96"/>
      <c r="HV347" s="96"/>
      <c r="HW347" s="96"/>
      <c r="HX347" s="96"/>
      <c r="HY347" s="96"/>
      <c r="HZ347" s="96"/>
      <c r="IA347" s="96"/>
      <c r="IB347" s="96"/>
      <c r="IC347" s="96"/>
      <c r="ID347" s="96"/>
      <c r="IE347" s="96"/>
      <c r="IF347" s="96"/>
      <c r="IG347" s="96"/>
      <c r="IH347" s="96"/>
      <c r="II347" s="13"/>
      <c r="IJ347" s="96"/>
      <c r="IK347" s="96"/>
      <c r="IL347" s="96"/>
      <c r="IM347" s="96"/>
      <c r="IN347" s="96"/>
      <c r="IO347" s="96"/>
      <c r="IP347" s="96"/>
      <c r="IQ347" s="96"/>
      <c r="IR347" s="96"/>
      <c r="IS347" s="96"/>
      <c r="IT347" s="96"/>
      <c r="IU347" s="96"/>
      <c r="IV347" s="96"/>
      <c r="IW347" s="96"/>
      <c r="IX347" s="96"/>
      <c r="IY347" s="13"/>
    </row>
    <row r="348" spans="1:259" outlineLevel="1">
      <c r="A348" s="11">
        <f>'VAC &amp; MED'!C351</f>
        <v>46322</v>
      </c>
      <c r="B348" s="261"/>
      <c r="C348" s="261"/>
      <c r="D348" s="261"/>
      <c r="E348" s="261"/>
      <c r="F348" s="261"/>
      <c r="G348" s="261"/>
      <c r="H348" s="261"/>
      <c r="I348" s="261"/>
      <c r="J348" s="261"/>
      <c r="K348" s="261"/>
      <c r="L348" s="261"/>
      <c r="M348" s="261"/>
      <c r="N348" s="261"/>
      <c r="O348" s="261"/>
      <c r="P348" s="261"/>
      <c r="Q348" s="261"/>
      <c r="R348" s="262"/>
      <c r="S348" s="262"/>
      <c r="T348" s="262"/>
      <c r="U348" s="262"/>
      <c r="V348" s="262"/>
      <c r="W348" s="262"/>
      <c r="X348" s="262"/>
      <c r="Y348" s="262"/>
      <c r="Z348" s="262"/>
      <c r="AA348" s="262"/>
      <c r="AB348" s="262"/>
      <c r="AC348" s="262"/>
      <c r="AD348" s="262"/>
      <c r="AE348" s="262"/>
      <c r="AF348" s="262"/>
      <c r="AG348" s="262"/>
      <c r="AH348" s="263"/>
      <c r="AI348" s="263"/>
      <c r="AJ348" s="263"/>
      <c r="AK348" s="263"/>
      <c r="AL348" s="263"/>
      <c r="AM348" s="263"/>
      <c r="AN348" s="263"/>
      <c r="AO348" s="263"/>
      <c r="AP348" s="263"/>
      <c r="AQ348" s="263"/>
      <c r="AR348" s="263"/>
      <c r="AS348" s="263"/>
      <c r="AT348" s="263"/>
      <c r="AU348" s="263"/>
      <c r="AV348" s="263"/>
      <c r="AW348" s="263"/>
      <c r="AX348" s="264"/>
      <c r="AY348" s="264"/>
      <c r="AZ348" s="264"/>
      <c r="BA348" s="264"/>
      <c r="BB348" s="264"/>
      <c r="BC348" s="264"/>
      <c r="BD348" s="264"/>
      <c r="BE348" s="264"/>
      <c r="BF348" s="264"/>
      <c r="BG348" s="264"/>
      <c r="BH348" s="264"/>
      <c r="BI348" s="264"/>
      <c r="BJ348" s="264"/>
      <c r="BK348" s="264"/>
      <c r="BL348" s="264"/>
      <c r="BM348" s="264"/>
      <c r="BN348" s="265"/>
      <c r="BO348" s="265"/>
      <c r="BP348" s="265"/>
      <c r="BQ348" s="265"/>
      <c r="BR348" s="265"/>
      <c r="BS348" s="265"/>
      <c r="BT348" s="265"/>
      <c r="BU348" s="265"/>
      <c r="BV348" s="265"/>
      <c r="BW348" s="265"/>
      <c r="BX348" s="265"/>
      <c r="BY348" s="265"/>
      <c r="BZ348" s="265"/>
      <c r="CA348" s="265"/>
      <c r="CB348" s="265"/>
      <c r="CC348" s="265"/>
      <c r="CD348" s="266"/>
      <c r="CE348" s="266"/>
      <c r="CF348" s="266"/>
      <c r="CG348" s="266"/>
      <c r="CH348" s="266"/>
      <c r="CI348" s="266"/>
      <c r="CJ348" s="266"/>
      <c r="CK348" s="266"/>
      <c r="CL348" s="266"/>
      <c r="CM348" s="266"/>
      <c r="CN348" s="266"/>
      <c r="CO348" s="266"/>
      <c r="CP348" s="266"/>
      <c r="CQ348" s="266"/>
      <c r="CR348" s="266"/>
      <c r="CS348" s="266"/>
      <c r="CT348" s="267"/>
      <c r="CU348" s="267"/>
      <c r="CV348" s="267"/>
      <c r="CW348" s="267"/>
      <c r="CX348" s="267"/>
      <c r="CY348" s="267"/>
      <c r="CZ348" s="267"/>
      <c r="DA348" s="267"/>
      <c r="DB348" s="267"/>
      <c r="DC348" s="267"/>
      <c r="DD348" s="267"/>
      <c r="DE348" s="267"/>
      <c r="DF348" s="267"/>
      <c r="DG348" s="267"/>
      <c r="DH348" s="267"/>
      <c r="DI348" s="267"/>
      <c r="DJ348" s="268"/>
      <c r="DK348" s="268"/>
      <c r="DL348" s="268"/>
      <c r="DM348" s="268"/>
      <c r="DN348" s="268"/>
      <c r="DO348" s="268"/>
      <c r="DP348" s="268"/>
      <c r="DQ348" s="268"/>
      <c r="DR348" s="268"/>
      <c r="DS348" s="268"/>
      <c r="DT348" s="268"/>
      <c r="DU348" s="268"/>
      <c r="DV348" s="268"/>
      <c r="DW348" s="268"/>
      <c r="DX348" s="268"/>
      <c r="DY348" s="268"/>
      <c r="EA348" s="13"/>
      <c r="EB348" s="96"/>
      <c r="EC348" s="96"/>
      <c r="ED348" s="96"/>
      <c r="EE348" s="96"/>
      <c r="EF348" s="96"/>
      <c r="EG348" s="96"/>
      <c r="EH348" s="96"/>
      <c r="EI348" s="96"/>
      <c r="EJ348" s="96"/>
      <c r="EK348" s="96"/>
      <c r="EL348" s="96"/>
      <c r="EM348" s="96"/>
      <c r="EN348" s="96"/>
      <c r="EO348" s="96"/>
      <c r="EP348" s="96"/>
      <c r="EQ348" s="96"/>
      <c r="ER348" s="96"/>
      <c r="ES348" s="96"/>
      <c r="ET348" s="96"/>
      <c r="EU348" s="96"/>
      <c r="EV348" s="96"/>
      <c r="EW348" s="96"/>
      <c r="EX348" s="96"/>
      <c r="EY348" s="96"/>
      <c r="EZ348" s="96"/>
      <c r="FA348" s="96"/>
      <c r="FB348" s="96"/>
      <c r="FC348" s="96"/>
      <c r="FD348" s="96"/>
      <c r="FE348" s="96"/>
      <c r="FF348" s="96"/>
      <c r="FG348" s="96"/>
      <c r="FH348" s="96"/>
      <c r="FI348" s="96"/>
      <c r="FJ348" s="96"/>
      <c r="FK348" s="96"/>
      <c r="FL348" s="96"/>
      <c r="FM348" s="96"/>
      <c r="FN348" s="96"/>
      <c r="FO348" s="96"/>
      <c r="FP348" s="96"/>
      <c r="FQ348" s="96"/>
      <c r="FR348" s="96"/>
      <c r="FS348" s="96"/>
      <c r="FT348" s="96"/>
      <c r="FU348" s="96"/>
      <c r="FV348" s="96"/>
      <c r="FW348" s="96"/>
      <c r="FX348" s="96"/>
      <c r="FY348" s="96"/>
      <c r="FZ348" s="96"/>
      <c r="GA348" s="96"/>
      <c r="GB348" s="96"/>
      <c r="GC348" s="96"/>
      <c r="GD348" s="96"/>
      <c r="GE348" s="96"/>
      <c r="GF348" s="96"/>
      <c r="GG348" s="96"/>
      <c r="GH348" s="96"/>
      <c r="GI348" s="96"/>
      <c r="GJ348" s="96"/>
      <c r="GK348" s="96"/>
      <c r="GL348" s="96"/>
      <c r="GM348" s="13"/>
      <c r="GN348" s="96"/>
      <c r="GO348" s="96"/>
      <c r="GP348" s="96"/>
      <c r="GQ348" s="96"/>
      <c r="GR348" s="96"/>
      <c r="GS348" s="96"/>
      <c r="GT348" s="96"/>
      <c r="GU348" s="96"/>
      <c r="GV348" s="96"/>
      <c r="GW348" s="96"/>
      <c r="GX348" s="96"/>
      <c r="GY348" s="96"/>
      <c r="GZ348" s="96"/>
      <c r="HA348" s="96"/>
      <c r="HB348" s="96"/>
      <c r="HC348" s="13"/>
      <c r="HD348" s="96"/>
      <c r="HE348" s="96"/>
      <c r="HF348" s="96"/>
      <c r="HG348" s="96"/>
      <c r="HH348" s="96"/>
      <c r="HI348" s="96"/>
      <c r="HJ348" s="96"/>
      <c r="HK348" s="96"/>
      <c r="HL348" s="96"/>
      <c r="HM348" s="96"/>
      <c r="HN348" s="96"/>
      <c r="HO348" s="96"/>
      <c r="HP348" s="96"/>
      <c r="HQ348" s="96"/>
      <c r="HR348" s="96"/>
      <c r="HS348" s="13"/>
      <c r="HT348" s="96"/>
      <c r="HU348" s="96"/>
      <c r="HV348" s="96"/>
      <c r="HW348" s="96"/>
      <c r="HX348" s="96"/>
      <c r="HY348" s="96"/>
      <c r="HZ348" s="96"/>
      <c r="IA348" s="96"/>
      <c r="IB348" s="96"/>
      <c r="IC348" s="96"/>
      <c r="ID348" s="96"/>
      <c r="IE348" s="96"/>
      <c r="IF348" s="96"/>
      <c r="IG348" s="96"/>
      <c r="IH348" s="96"/>
      <c r="II348" s="13"/>
      <c r="IJ348" s="96"/>
      <c r="IK348" s="96"/>
      <c r="IL348" s="96"/>
      <c r="IM348" s="96"/>
      <c r="IN348" s="96"/>
      <c r="IO348" s="96"/>
      <c r="IP348" s="96"/>
      <c r="IQ348" s="96"/>
      <c r="IR348" s="96"/>
      <c r="IS348" s="96"/>
      <c r="IT348" s="96"/>
      <c r="IU348" s="96"/>
      <c r="IV348" s="96"/>
      <c r="IW348" s="96"/>
      <c r="IX348" s="96"/>
      <c r="IY348" s="13"/>
    </row>
    <row r="349" spans="1:259" outlineLevel="1">
      <c r="A349" s="11">
        <f>'VAC &amp; MED'!C352</f>
        <v>46323</v>
      </c>
      <c r="B349" s="261"/>
      <c r="C349" s="261"/>
      <c r="D349" s="261"/>
      <c r="E349" s="261"/>
      <c r="F349" s="261"/>
      <c r="G349" s="261"/>
      <c r="H349" s="261"/>
      <c r="I349" s="261"/>
      <c r="J349" s="261"/>
      <c r="K349" s="261"/>
      <c r="L349" s="261"/>
      <c r="M349" s="261"/>
      <c r="N349" s="261"/>
      <c r="O349" s="261"/>
      <c r="P349" s="261"/>
      <c r="Q349" s="261"/>
      <c r="R349" s="262"/>
      <c r="S349" s="262"/>
      <c r="T349" s="262"/>
      <c r="U349" s="262"/>
      <c r="V349" s="262"/>
      <c r="W349" s="262"/>
      <c r="X349" s="262"/>
      <c r="Y349" s="262"/>
      <c r="Z349" s="262"/>
      <c r="AA349" s="262"/>
      <c r="AB349" s="262"/>
      <c r="AC349" s="262"/>
      <c r="AD349" s="262"/>
      <c r="AE349" s="262"/>
      <c r="AF349" s="262"/>
      <c r="AG349" s="262"/>
      <c r="AH349" s="263"/>
      <c r="AI349" s="263"/>
      <c r="AJ349" s="263"/>
      <c r="AK349" s="263"/>
      <c r="AL349" s="263"/>
      <c r="AM349" s="263"/>
      <c r="AN349" s="263"/>
      <c r="AO349" s="263"/>
      <c r="AP349" s="263"/>
      <c r="AQ349" s="263"/>
      <c r="AR349" s="263"/>
      <c r="AS349" s="263"/>
      <c r="AT349" s="263"/>
      <c r="AU349" s="263"/>
      <c r="AV349" s="263"/>
      <c r="AW349" s="263"/>
      <c r="AX349" s="264"/>
      <c r="AY349" s="264"/>
      <c r="AZ349" s="264"/>
      <c r="BA349" s="264"/>
      <c r="BB349" s="264"/>
      <c r="BC349" s="264"/>
      <c r="BD349" s="264"/>
      <c r="BE349" s="264"/>
      <c r="BF349" s="264"/>
      <c r="BG349" s="264"/>
      <c r="BH349" s="264"/>
      <c r="BI349" s="264"/>
      <c r="BJ349" s="264"/>
      <c r="BK349" s="264"/>
      <c r="BL349" s="264"/>
      <c r="BM349" s="264"/>
      <c r="BN349" s="265"/>
      <c r="BO349" s="265"/>
      <c r="BP349" s="265"/>
      <c r="BQ349" s="265"/>
      <c r="BR349" s="265"/>
      <c r="BS349" s="265"/>
      <c r="BT349" s="265"/>
      <c r="BU349" s="265"/>
      <c r="BV349" s="265"/>
      <c r="BW349" s="265"/>
      <c r="BX349" s="265"/>
      <c r="BY349" s="265"/>
      <c r="BZ349" s="265"/>
      <c r="CA349" s="265"/>
      <c r="CB349" s="265"/>
      <c r="CC349" s="265"/>
      <c r="CD349" s="266"/>
      <c r="CE349" s="266"/>
      <c r="CF349" s="266"/>
      <c r="CG349" s="266"/>
      <c r="CH349" s="266"/>
      <c r="CI349" s="266"/>
      <c r="CJ349" s="266"/>
      <c r="CK349" s="266"/>
      <c r="CL349" s="266"/>
      <c r="CM349" s="266"/>
      <c r="CN349" s="266"/>
      <c r="CO349" s="266"/>
      <c r="CP349" s="266"/>
      <c r="CQ349" s="266"/>
      <c r="CR349" s="266"/>
      <c r="CS349" s="266"/>
      <c r="CT349" s="267"/>
      <c r="CU349" s="267"/>
      <c r="CV349" s="267"/>
      <c r="CW349" s="267"/>
      <c r="CX349" s="267"/>
      <c r="CY349" s="267"/>
      <c r="CZ349" s="267"/>
      <c r="DA349" s="267"/>
      <c r="DB349" s="267"/>
      <c r="DC349" s="267"/>
      <c r="DD349" s="267"/>
      <c r="DE349" s="267"/>
      <c r="DF349" s="267"/>
      <c r="DG349" s="267"/>
      <c r="DH349" s="267"/>
      <c r="DI349" s="267"/>
      <c r="DJ349" s="268"/>
      <c r="DK349" s="268"/>
      <c r="DL349" s="268"/>
      <c r="DM349" s="268"/>
      <c r="DN349" s="268"/>
      <c r="DO349" s="268"/>
      <c r="DP349" s="268"/>
      <c r="DQ349" s="268"/>
      <c r="DR349" s="268"/>
      <c r="DS349" s="268"/>
      <c r="DT349" s="268"/>
      <c r="DU349" s="268"/>
      <c r="DV349" s="268"/>
      <c r="DW349" s="268"/>
      <c r="DX349" s="268"/>
      <c r="DY349" s="268"/>
      <c r="EA349" s="13"/>
      <c r="EB349" s="96"/>
      <c r="EC349" s="96"/>
      <c r="ED349" s="96"/>
      <c r="EE349" s="96"/>
      <c r="EF349" s="96"/>
      <c r="EG349" s="96"/>
      <c r="EH349" s="96"/>
      <c r="EI349" s="96"/>
      <c r="EJ349" s="96"/>
      <c r="EK349" s="96"/>
      <c r="EL349" s="96"/>
      <c r="EM349" s="96"/>
      <c r="EN349" s="96"/>
      <c r="EO349" s="96"/>
      <c r="EP349" s="96"/>
      <c r="EQ349" s="96"/>
      <c r="ER349" s="96"/>
      <c r="ES349" s="96"/>
      <c r="ET349" s="96"/>
      <c r="EU349" s="96"/>
      <c r="EV349" s="96"/>
      <c r="EW349" s="96"/>
      <c r="EX349" s="96"/>
      <c r="EY349" s="96"/>
      <c r="EZ349" s="96"/>
      <c r="FA349" s="96"/>
      <c r="FB349" s="96"/>
      <c r="FC349" s="96"/>
      <c r="FD349" s="96"/>
      <c r="FE349" s="96"/>
      <c r="FF349" s="96"/>
      <c r="FG349" s="96"/>
      <c r="FH349" s="96"/>
      <c r="FI349" s="96"/>
      <c r="FJ349" s="96"/>
      <c r="FK349" s="96"/>
      <c r="FL349" s="96"/>
      <c r="FM349" s="96"/>
      <c r="FN349" s="96"/>
      <c r="FO349" s="96"/>
      <c r="FP349" s="96"/>
      <c r="FQ349" s="96"/>
      <c r="FR349" s="96"/>
      <c r="FS349" s="96"/>
      <c r="FT349" s="96"/>
      <c r="FU349" s="96"/>
      <c r="FV349" s="96"/>
      <c r="FW349" s="96"/>
      <c r="FX349" s="96"/>
      <c r="FY349" s="96"/>
      <c r="FZ349" s="96"/>
      <c r="GA349" s="96"/>
      <c r="GB349" s="96"/>
      <c r="GC349" s="96"/>
      <c r="GD349" s="96"/>
      <c r="GE349" s="96"/>
      <c r="GF349" s="96"/>
      <c r="GG349" s="96"/>
      <c r="GH349" s="96"/>
      <c r="GI349" s="96"/>
      <c r="GJ349" s="96"/>
      <c r="GK349" s="96"/>
      <c r="GL349" s="96"/>
      <c r="GM349" s="13"/>
      <c r="GN349" s="96"/>
      <c r="GO349" s="96"/>
      <c r="GP349" s="96"/>
      <c r="GQ349" s="96"/>
      <c r="GR349" s="96"/>
      <c r="GS349" s="96"/>
      <c r="GT349" s="96"/>
      <c r="GU349" s="96"/>
      <c r="GV349" s="96"/>
      <c r="GW349" s="96"/>
      <c r="GX349" s="96"/>
      <c r="GY349" s="96"/>
      <c r="GZ349" s="96"/>
      <c r="HA349" s="96"/>
      <c r="HB349" s="96"/>
      <c r="HC349" s="13"/>
      <c r="HD349" s="96"/>
      <c r="HE349" s="96"/>
      <c r="HF349" s="96"/>
      <c r="HG349" s="96"/>
      <c r="HH349" s="96"/>
      <c r="HI349" s="96"/>
      <c r="HJ349" s="96"/>
      <c r="HK349" s="96"/>
      <c r="HL349" s="96"/>
      <c r="HM349" s="96"/>
      <c r="HN349" s="96"/>
      <c r="HO349" s="96"/>
      <c r="HP349" s="96"/>
      <c r="HQ349" s="96"/>
      <c r="HR349" s="96"/>
      <c r="HS349" s="13"/>
      <c r="HT349" s="96"/>
      <c r="HU349" s="96"/>
      <c r="HV349" s="96"/>
      <c r="HW349" s="96"/>
      <c r="HX349" s="96"/>
      <c r="HY349" s="96"/>
      <c r="HZ349" s="96"/>
      <c r="IA349" s="96"/>
      <c r="IB349" s="96"/>
      <c r="IC349" s="96"/>
      <c r="ID349" s="96"/>
      <c r="IE349" s="96"/>
      <c r="IF349" s="96"/>
      <c r="IG349" s="96"/>
      <c r="IH349" s="96"/>
      <c r="II349" s="13"/>
      <c r="IJ349" s="96"/>
      <c r="IK349" s="96"/>
      <c r="IL349" s="96"/>
      <c r="IM349" s="96"/>
      <c r="IN349" s="96"/>
      <c r="IO349" s="96"/>
      <c r="IP349" s="96"/>
      <c r="IQ349" s="96"/>
      <c r="IR349" s="96"/>
      <c r="IS349" s="96"/>
      <c r="IT349" s="96"/>
      <c r="IU349" s="96"/>
      <c r="IV349" s="96"/>
      <c r="IW349" s="96"/>
      <c r="IX349" s="96"/>
      <c r="IY349" s="13"/>
    </row>
    <row r="350" spans="1:259" outlineLevel="1">
      <c r="A350" s="11">
        <f>'VAC &amp; MED'!C353</f>
        <v>46324</v>
      </c>
      <c r="B350" s="269"/>
      <c r="C350" s="269"/>
      <c r="D350" s="269"/>
      <c r="E350" s="269"/>
      <c r="F350" s="269"/>
      <c r="G350" s="269"/>
      <c r="H350" s="269"/>
      <c r="I350" s="269"/>
      <c r="J350" s="269"/>
      <c r="K350" s="269"/>
      <c r="L350" s="269"/>
      <c r="M350" s="269"/>
      <c r="N350" s="269"/>
      <c r="O350" s="269"/>
      <c r="P350" s="269"/>
      <c r="Q350" s="269"/>
      <c r="R350" s="270"/>
      <c r="S350" s="270"/>
      <c r="T350" s="270"/>
      <c r="U350" s="270"/>
      <c r="V350" s="270"/>
      <c r="W350" s="270"/>
      <c r="X350" s="270"/>
      <c r="Y350" s="270"/>
      <c r="Z350" s="270"/>
      <c r="AA350" s="270"/>
      <c r="AB350" s="270"/>
      <c r="AC350" s="270"/>
      <c r="AD350" s="270"/>
      <c r="AE350" s="270"/>
      <c r="AF350" s="270"/>
      <c r="AG350" s="270"/>
      <c r="AH350" s="271"/>
      <c r="AI350" s="271"/>
      <c r="AJ350" s="271"/>
      <c r="AK350" s="271"/>
      <c r="AL350" s="271"/>
      <c r="AM350" s="271"/>
      <c r="AN350" s="271"/>
      <c r="AO350" s="271"/>
      <c r="AP350" s="271"/>
      <c r="AQ350" s="271"/>
      <c r="AR350" s="271"/>
      <c r="AS350" s="271"/>
      <c r="AT350" s="271"/>
      <c r="AU350" s="271"/>
      <c r="AV350" s="271"/>
      <c r="AW350" s="271"/>
      <c r="AX350" s="272"/>
      <c r="AY350" s="272"/>
      <c r="AZ350" s="272"/>
      <c r="BA350" s="272"/>
      <c r="BB350" s="272"/>
      <c r="BC350" s="272"/>
      <c r="BD350" s="272"/>
      <c r="BE350" s="272"/>
      <c r="BF350" s="272"/>
      <c r="BG350" s="272"/>
      <c r="BH350" s="272"/>
      <c r="BI350" s="272"/>
      <c r="BJ350" s="272"/>
      <c r="BK350" s="272"/>
      <c r="BL350" s="272"/>
      <c r="BM350" s="272"/>
      <c r="BN350" s="273"/>
      <c r="BO350" s="273"/>
      <c r="BP350" s="273"/>
      <c r="BQ350" s="273"/>
      <c r="BR350" s="273"/>
      <c r="BS350" s="273"/>
      <c r="BT350" s="273"/>
      <c r="BU350" s="273"/>
      <c r="BV350" s="273"/>
      <c r="BW350" s="273"/>
      <c r="BX350" s="273"/>
      <c r="BY350" s="273"/>
      <c r="BZ350" s="273"/>
      <c r="CA350" s="273"/>
      <c r="CB350" s="273"/>
      <c r="CC350" s="273"/>
      <c r="CD350" s="274"/>
      <c r="CE350" s="274"/>
      <c r="CF350" s="274"/>
      <c r="CG350" s="274"/>
      <c r="CH350" s="274"/>
      <c r="CI350" s="274"/>
      <c r="CJ350" s="274"/>
      <c r="CK350" s="274"/>
      <c r="CL350" s="274"/>
      <c r="CM350" s="274"/>
      <c r="CN350" s="274"/>
      <c r="CO350" s="274"/>
      <c r="CP350" s="274"/>
      <c r="CQ350" s="274"/>
      <c r="CR350" s="274"/>
      <c r="CS350" s="274"/>
      <c r="CT350" s="275"/>
      <c r="CU350" s="275"/>
      <c r="CV350" s="275"/>
      <c r="CW350" s="275"/>
      <c r="CX350" s="275"/>
      <c r="CY350" s="275"/>
      <c r="CZ350" s="275"/>
      <c r="DA350" s="275"/>
      <c r="DB350" s="275"/>
      <c r="DC350" s="275"/>
      <c r="DD350" s="275"/>
      <c r="DE350" s="275"/>
      <c r="DF350" s="275"/>
      <c r="DG350" s="275"/>
      <c r="DH350" s="275"/>
      <c r="DI350" s="275"/>
      <c r="DJ350" s="276"/>
      <c r="DK350" s="276"/>
      <c r="DL350" s="276"/>
      <c r="DM350" s="276"/>
      <c r="DN350" s="276"/>
      <c r="DO350" s="276"/>
      <c r="DP350" s="276"/>
      <c r="DQ350" s="276"/>
      <c r="DR350" s="276"/>
      <c r="DS350" s="276"/>
      <c r="DT350" s="276"/>
      <c r="DU350" s="276"/>
      <c r="DV350" s="276"/>
      <c r="DW350" s="276"/>
      <c r="DX350" s="276"/>
      <c r="DY350" s="276"/>
      <c r="EA350" s="89"/>
      <c r="EB350" s="96"/>
      <c r="EC350" s="96"/>
      <c r="ED350" s="96"/>
      <c r="EE350" s="96"/>
      <c r="EF350" s="96"/>
      <c r="EG350" s="96"/>
      <c r="EH350" s="96"/>
      <c r="EI350" s="96"/>
      <c r="EJ350" s="96"/>
      <c r="EK350" s="96"/>
      <c r="EL350" s="96"/>
      <c r="EM350" s="96"/>
      <c r="EN350" s="96"/>
      <c r="EO350" s="96"/>
      <c r="EP350" s="96"/>
      <c r="EQ350" s="96"/>
      <c r="ER350" s="96"/>
      <c r="ES350" s="96"/>
      <c r="ET350" s="96"/>
      <c r="EU350" s="96"/>
      <c r="EV350" s="96"/>
      <c r="EW350" s="96"/>
      <c r="EX350" s="96"/>
      <c r="EY350" s="96"/>
      <c r="EZ350" s="96"/>
      <c r="FA350" s="96"/>
      <c r="FB350" s="96"/>
      <c r="FC350" s="96"/>
      <c r="FD350" s="96"/>
      <c r="FE350" s="96"/>
      <c r="FF350" s="96"/>
      <c r="FG350" s="96"/>
      <c r="FH350" s="96"/>
      <c r="FI350" s="96"/>
      <c r="FJ350" s="96"/>
      <c r="FK350" s="96"/>
      <c r="FL350" s="96"/>
      <c r="FM350" s="96"/>
      <c r="FN350" s="96"/>
      <c r="FO350" s="96"/>
      <c r="FP350" s="96"/>
      <c r="FQ350" s="96"/>
      <c r="FR350" s="96"/>
      <c r="FS350" s="96"/>
      <c r="FT350" s="96"/>
      <c r="FU350" s="96"/>
      <c r="FV350" s="96"/>
      <c r="FW350" s="96"/>
      <c r="FX350" s="96"/>
      <c r="FY350" s="96"/>
      <c r="FZ350" s="96"/>
      <c r="GA350" s="96"/>
      <c r="GB350" s="96"/>
      <c r="GC350" s="96"/>
      <c r="GD350" s="96"/>
      <c r="GE350" s="96"/>
      <c r="GF350" s="96"/>
      <c r="GG350" s="96"/>
      <c r="GH350" s="96"/>
      <c r="GI350" s="96"/>
      <c r="GJ350" s="96"/>
      <c r="GK350" s="96"/>
      <c r="GL350" s="96"/>
      <c r="GM350" s="13"/>
      <c r="GN350" s="96"/>
      <c r="GO350" s="96"/>
      <c r="GP350" s="96"/>
      <c r="GQ350" s="96"/>
      <c r="GR350" s="96"/>
      <c r="GS350" s="96"/>
      <c r="GT350" s="96"/>
      <c r="GU350" s="96"/>
      <c r="GV350" s="96"/>
      <c r="GW350" s="96"/>
      <c r="GX350" s="96"/>
      <c r="GY350" s="96"/>
      <c r="GZ350" s="96"/>
      <c r="HA350" s="96"/>
      <c r="HB350" s="96"/>
      <c r="HC350" s="13"/>
      <c r="HD350" s="96"/>
      <c r="HE350" s="96"/>
      <c r="HF350" s="96"/>
      <c r="HG350" s="96"/>
      <c r="HH350" s="96"/>
      <c r="HI350" s="96"/>
      <c r="HJ350" s="96"/>
      <c r="HK350" s="96"/>
      <c r="HL350" s="96"/>
      <c r="HM350" s="96"/>
      <c r="HN350" s="96"/>
      <c r="HO350" s="96"/>
      <c r="HP350" s="96"/>
      <c r="HQ350" s="96"/>
      <c r="HR350" s="96"/>
      <c r="HS350" s="13"/>
      <c r="HT350" s="96"/>
      <c r="HU350" s="96"/>
      <c r="HV350" s="96"/>
      <c r="HW350" s="96"/>
      <c r="HX350" s="96"/>
      <c r="HY350" s="96"/>
      <c r="HZ350" s="96"/>
      <c r="IA350" s="96"/>
      <c r="IB350" s="96"/>
      <c r="IC350" s="96"/>
      <c r="ID350" s="96"/>
      <c r="IE350" s="96"/>
      <c r="IF350" s="96"/>
      <c r="IG350" s="96"/>
      <c r="IH350" s="96"/>
      <c r="II350" s="13"/>
      <c r="IJ350" s="96"/>
      <c r="IK350" s="96"/>
      <c r="IL350" s="96"/>
      <c r="IM350" s="96"/>
      <c r="IN350" s="96"/>
      <c r="IO350" s="96"/>
      <c r="IP350" s="96"/>
      <c r="IQ350" s="96"/>
      <c r="IR350" s="96"/>
      <c r="IS350" s="96"/>
      <c r="IT350" s="96"/>
      <c r="IU350" s="96"/>
      <c r="IV350" s="96"/>
      <c r="IW350" s="96"/>
      <c r="IX350" s="96"/>
      <c r="IY350" s="13"/>
    </row>
    <row r="351" spans="1:259" outlineLevel="1">
      <c r="A351" s="11">
        <f>'VAC &amp; MED'!C354</f>
        <v>46325</v>
      </c>
      <c r="B351" s="261"/>
      <c r="C351" s="261"/>
      <c r="D351" s="261"/>
      <c r="E351" s="261"/>
      <c r="F351" s="261"/>
      <c r="G351" s="261"/>
      <c r="H351" s="261"/>
      <c r="I351" s="261"/>
      <c r="J351" s="261"/>
      <c r="K351" s="261"/>
      <c r="L351" s="261"/>
      <c r="M351" s="261"/>
      <c r="N351" s="261"/>
      <c r="O351" s="261"/>
      <c r="P351" s="261"/>
      <c r="Q351" s="261"/>
      <c r="R351" s="262"/>
      <c r="S351" s="262"/>
      <c r="T351" s="262"/>
      <c r="U351" s="262"/>
      <c r="V351" s="262"/>
      <c r="W351" s="262"/>
      <c r="X351" s="262"/>
      <c r="Y351" s="262"/>
      <c r="Z351" s="262"/>
      <c r="AA351" s="262"/>
      <c r="AB351" s="262"/>
      <c r="AC351" s="262"/>
      <c r="AD351" s="262"/>
      <c r="AE351" s="262"/>
      <c r="AF351" s="262"/>
      <c r="AG351" s="262"/>
      <c r="AH351" s="263"/>
      <c r="AI351" s="263"/>
      <c r="AJ351" s="263"/>
      <c r="AK351" s="263"/>
      <c r="AL351" s="263"/>
      <c r="AM351" s="263"/>
      <c r="AN351" s="263"/>
      <c r="AO351" s="263"/>
      <c r="AP351" s="263"/>
      <c r="AQ351" s="263"/>
      <c r="AR351" s="263"/>
      <c r="AS351" s="263"/>
      <c r="AT351" s="263"/>
      <c r="AU351" s="263"/>
      <c r="AV351" s="263"/>
      <c r="AW351" s="263"/>
      <c r="AX351" s="264"/>
      <c r="AY351" s="264"/>
      <c r="AZ351" s="264"/>
      <c r="BA351" s="264"/>
      <c r="BB351" s="264"/>
      <c r="BC351" s="264"/>
      <c r="BD351" s="264"/>
      <c r="BE351" s="264"/>
      <c r="BF351" s="264"/>
      <c r="BG351" s="264"/>
      <c r="BH351" s="264"/>
      <c r="BI351" s="264"/>
      <c r="BJ351" s="264"/>
      <c r="BK351" s="264"/>
      <c r="BL351" s="264"/>
      <c r="BM351" s="264"/>
      <c r="BN351" s="265"/>
      <c r="BO351" s="265"/>
      <c r="BP351" s="265"/>
      <c r="BQ351" s="265"/>
      <c r="BR351" s="265"/>
      <c r="BS351" s="265"/>
      <c r="BT351" s="265"/>
      <c r="BU351" s="265"/>
      <c r="BV351" s="265"/>
      <c r="BW351" s="265"/>
      <c r="BX351" s="265"/>
      <c r="BY351" s="265"/>
      <c r="BZ351" s="265"/>
      <c r="CA351" s="265"/>
      <c r="CB351" s="265"/>
      <c r="CC351" s="265"/>
      <c r="CD351" s="266"/>
      <c r="CE351" s="266"/>
      <c r="CF351" s="266"/>
      <c r="CG351" s="266"/>
      <c r="CH351" s="266"/>
      <c r="CI351" s="266"/>
      <c r="CJ351" s="266"/>
      <c r="CK351" s="266"/>
      <c r="CL351" s="266"/>
      <c r="CM351" s="266"/>
      <c r="CN351" s="266"/>
      <c r="CO351" s="266"/>
      <c r="CP351" s="266"/>
      <c r="CQ351" s="266"/>
      <c r="CR351" s="266"/>
      <c r="CS351" s="266"/>
      <c r="CT351" s="267"/>
      <c r="CU351" s="267"/>
      <c r="CV351" s="267"/>
      <c r="CW351" s="267"/>
      <c r="CX351" s="267"/>
      <c r="CY351" s="267"/>
      <c r="CZ351" s="267"/>
      <c r="DA351" s="267"/>
      <c r="DB351" s="267"/>
      <c r="DC351" s="267"/>
      <c r="DD351" s="267"/>
      <c r="DE351" s="267"/>
      <c r="DF351" s="267"/>
      <c r="DG351" s="267"/>
      <c r="DH351" s="267"/>
      <c r="DI351" s="267"/>
      <c r="DJ351" s="268"/>
      <c r="DK351" s="268"/>
      <c r="DL351" s="268"/>
      <c r="DM351" s="268"/>
      <c r="DN351" s="268"/>
      <c r="DO351" s="268"/>
      <c r="DP351" s="268"/>
      <c r="DQ351" s="268"/>
      <c r="DR351" s="268"/>
      <c r="DS351" s="268"/>
      <c r="DT351" s="268"/>
      <c r="DU351" s="268"/>
      <c r="DV351" s="268"/>
      <c r="DW351" s="268"/>
      <c r="DX351" s="268"/>
      <c r="DY351" s="268"/>
      <c r="EA351" s="13"/>
      <c r="EB351" s="95"/>
      <c r="EC351" s="95"/>
      <c r="ED351" s="95"/>
      <c r="EE351" s="95"/>
      <c r="EF351" s="95"/>
      <c r="EG351" s="95"/>
      <c r="EH351" s="95"/>
      <c r="EI351" s="95"/>
      <c r="EJ351" s="95"/>
      <c r="EK351" s="95"/>
      <c r="EL351" s="95"/>
      <c r="EM351" s="95"/>
      <c r="EN351" s="95"/>
      <c r="EO351" s="95"/>
      <c r="EP351" s="95"/>
      <c r="EQ351" s="95"/>
      <c r="ER351" s="13"/>
      <c r="ES351" s="13"/>
      <c r="ET351" s="13"/>
      <c r="EU351" s="13"/>
      <c r="EV351" s="13"/>
      <c r="EW351" s="13"/>
      <c r="EX351" s="13"/>
      <c r="EY351" s="13"/>
      <c r="EZ351" s="13"/>
      <c r="FA351" s="13"/>
      <c r="FB351" s="13"/>
      <c r="FC351" s="13"/>
      <c r="FD351" s="13"/>
      <c r="FE351" s="13"/>
      <c r="FF351" s="13"/>
      <c r="FG351" s="13"/>
      <c r="FH351" s="13"/>
      <c r="FI351" s="13"/>
      <c r="FJ351" s="13"/>
      <c r="FK351" s="13"/>
      <c r="FL351" s="13"/>
      <c r="FM351" s="13"/>
      <c r="FN351" s="13"/>
      <c r="FO351" s="13"/>
      <c r="FP351" s="13"/>
      <c r="FQ351" s="13"/>
      <c r="FR351" s="13"/>
      <c r="FS351" s="13"/>
      <c r="FT351" s="13"/>
      <c r="FU351" s="13"/>
      <c r="FV351" s="13"/>
      <c r="FW351" s="13"/>
      <c r="FX351" s="13"/>
      <c r="FY351" s="13"/>
      <c r="FZ351" s="13"/>
      <c r="GA351" s="13"/>
      <c r="GB351" s="13"/>
      <c r="GC351" s="13"/>
      <c r="GD351" s="13"/>
      <c r="GE351" s="13"/>
      <c r="GF351" s="13"/>
      <c r="GG351" s="13"/>
      <c r="GH351" s="13"/>
      <c r="GI351" s="13"/>
      <c r="GJ351" s="13"/>
      <c r="GK351" s="13"/>
      <c r="GL351" s="13"/>
      <c r="GM351" s="13"/>
      <c r="GN351" s="13"/>
      <c r="GO351" s="13"/>
      <c r="GP351" s="13"/>
      <c r="GQ351" s="13"/>
      <c r="GR351" s="13"/>
      <c r="GS351" s="13"/>
      <c r="GT351" s="13"/>
      <c r="GU351" s="13"/>
      <c r="GV351" s="13"/>
      <c r="GW351" s="13"/>
      <c r="GX351" s="13"/>
      <c r="GY351" s="13"/>
      <c r="GZ351" s="13"/>
      <c r="HA351" s="13"/>
      <c r="HB351" s="13"/>
      <c r="HC351" s="13"/>
      <c r="HD351" s="13"/>
      <c r="HE351" s="13"/>
      <c r="HF351" s="13"/>
      <c r="HG351" s="13"/>
      <c r="HH351" s="13"/>
      <c r="HI351" s="13"/>
      <c r="HJ351" s="13"/>
      <c r="HK351" s="13"/>
      <c r="HL351" s="13"/>
      <c r="HM351" s="13"/>
      <c r="HN351" s="13"/>
      <c r="HO351" s="13"/>
      <c r="HP351" s="13"/>
      <c r="HQ351" s="13"/>
      <c r="HR351" s="13"/>
      <c r="HS351" s="13"/>
      <c r="HT351" s="13"/>
      <c r="HU351" s="13"/>
      <c r="HV351" s="13"/>
      <c r="HW351" s="13"/>
      <c r="HX351" s="13"/>
      <c r="HY351" s="13"/>
      <c r="HZ351" s="13"/>
      <c r="IA351" s="13"/>
      <c r="IB351" s="13"/>
      <c r="IC351" s="13"/>
      <c r="ID351" s="13"/>
      <c r="IE351" s="13"/>
      <c r="IF351" s="13"/>
      <c r="IG351" s="13"/>
      <c r="IH351" s="13"/>
      <c r="II351" s="13"/>
      <c r="IJ351" s="13"/>
      <c r="IK351" s="13"/>
      <c r="IL351" s="13"/>
      <c r="IM351" s="13"/>
      <c r="IN351" s="13"/>
      <c r="IO351" s="13"/>
      <c r="IP351" s="13"/>
      <c r="IQ351" s="13"/>
      <c r="IR351" s="13"/>
      <c r="IS351" s="13"/>
      <c r="IT351" s="13"/>
      <c r="IU351" s="13"/>
      <c r="IV351" s="13"/>
      <c r="IW351" s="13"/>
      <c r="IX351" s="13"/>
      <c r="IY351" s="13"/>
    </row>
    <row r="352" spans="1:259" outlineLevel="1">
      <c r="A352" s="11">
        <f>'VAC &amp; MED'!C355</f>
        <v>46326</v>
      </c>
      <c r="B352" s="261"/>
      <c r="C352" s="261"/>
      <c r="D352" s="261"/>
      <c r="E352" s="261"/>
      <c r="F352" s="261"/>
      <c r="G352" s="261"/>
      <c r="H352" s="261"/>
      <c r="I352" s="261"/>
      <c r="J352" s="261"/>
      <c r="K352" s="261"/>
      <c r="L352" s="261"/>
      <c r="M352" s="261"/>
      <c r="N352" s="261"/>
      <c r="O352" s="261"/>
      <c r="P352" s="261"/>
      <c r="Q352" s="261"/>
      <c r="R352" s="262"/>
      <c r="S352" s="262"/>
      <c r="T352" s="262"/>
      <c r="U352" s="262"/>
      <c r="V352" s="262"/>
      <c r="W352" s="262"/>
      <c r="X352" s="262"/>
      <c r="Y352" s="262"/>
      <c r="Z352" s="262"/>
      <c r="AA352" s="262"/>
      <c r="AB352" s="262"/>
      <c r="AC352" s="262"/>
      <c r="AD352" s="262"/>
      <c r="AE352" s="262"/>
      <c r="AF352" s="262"/>
      <c r="AG352" s="262"/>
      <c r="AH352" s="263"/>
      <c r="AI352" s="263"/>
      <c r="AJ352" s="263"/>
      <c r="AK352" s="263"/>
      <c r="AL352" s="263"/>
      <c r="AM352" s="263"/>
      <c r="AN352" s="263"/>
      <c r="AO352" s="263"/>
      <c r="AP352" s="263"/>
      <c r="AQ352" s="263"/>
      <c r="AR352" s="263"/>
      <c r="AS352" s="263"/>
      <c r="AT352" s="263"/>
      <c r="AU352" s="263"/>
      <c r="AV352" s="263"/>
      <c r="AW352" s="263"/>
      <c r="AX352" s="264"/>
      <c r="AY352" s="264"/>
      <c r="AZ352" s="264"/>
      <c r="BA352" s="264"/>
      <c r="BB352" s="264"/>
      <c r="BC352" s="264"/>
      <c r="BD352" s="264"/>
      <c r="BE352" s="264"/>
      <c r="BF352" s="264"/>
      <c r="BG352" s="264"/>
      <c r="BH352" s="264"/>
      <c r="BI352" s="264"/>
      <c r="BJ352" s="264"/>
      <c r="BK352" s="264"/>
      <c r="BL352" s="264"/>
      <c r="BM352" s="264"/>
      <c r="BN352" s="265"/>
      <c r="BO352" s="265"/>
      <c r="BP352" s="265"/>
      <c r="BQ352" s="265"/>
      <c r="BR352" s="265"/>
      <c r="BS352" s="265"/>
      <c r="BT352" s="265"/>
      <c r="BU352" s="265"/>
      <c r="BV352" s="265"/>
      <c r="BW352" s="265"/>
      <c r="BX352" s="265"/>
      <c r="BY352" s="265"/>
      <c r="BZ352" s="265"/>
      <c r="CA352" s="265"/>
      <c r="CB352" s="265"/>
      <c r="CC352" s="265"/>
      <c r="CD352" s="266"/>
      <c r="CE352" s="266"/>
      <c r="CF352" s="266"/>
      <c r="CG352" s="266"/>
      <c r="CH352" s="266"/>
      <c r="CI352" s="266"/>
      <c r="CJ352" s="266"/>
      <c r="CK352" s="266"/>
      <c r="CL352" s="266"/>
      <c r="CM352" s="266"/>
      <c r="CN352" s="266"/>
      <c r="CO352" s="266"/>
      <c r="CP352" s="266"/>
      <c r="CQ352" s="266"/>
      <c r="CR352" s="266"/>
      <c r="CS352" s="266"/>
      <c r="CT352" s="267"/>
      <c r="CU352" s="267"/>
      <c r="CV352" s="267"/>
      <c r="CW352" s="267"/>
      <c r="CX352" s="267"/>
      <c r="CY352" s="267"/>
      <c r="CZ352" s="267"/>
      <c r="DA352" s="267"/>
      <c r="DB352" s="267"/>
      <c r="DC352" s="267"/>
      <c r="DD352" s="267"/>
      <c r="DE352" s="267"/>
      <c r="DF352" s="267"/>
      <c r="DG352" s="267"/>
      <c r="DH352" s="267"/>
      <c r="DI352" s="267"/>
      <c r="DJ352" s="268"/>
      <c r="DK352" s="268"/>
      <c r="DL352" s="268"/>
      <c r="DM352" s="268"/>
      <c r="DN352" s="268"/>
      <c r="DO352" s="268"/>
      <c r="DP352" s="268"/>
      <c r="DQ352" s="268"/>
      <c r="DR352" s="268"/>
      <c r="DS352" s="268"/>
      <c r="DT352" s="268"/>
      <c r="DU352" s="268"/>
      <c r="DV352" s="268"/>
      <c r="DW352" s="268"/>
      <c r="DX352" s="268"/>
      <c r="DY352" s="268"/>
      <c r="EA352" s="13"/>
      <c r="EB352" s="95"/>
      <c r="EC352" s="95"/>
      <c r="ED352" s="95"/>
      <c r="EE352" s="95"/>
      <c r="EF352" s="95"/>
      <c r="EG352" s="95"/>
      <c r="EH352" s="95"/>
      <c r="EI352" s="95"/>
      <c r="EJ352" s="95"/>
      <c r="EK352" s="95"/>
      <c r="EL352" s="95"/>
      <c r="EM352" s="95"/>
      <c r="EN352" s="95"/>
      <c r="EO352" s="95"/>
      <c r="EP352" s="95"/>
      <c r="EQ352" s="95"/>
      <c r="ER352" s="13"/>
      <c r="ES352" s="13"/>
      <c r="ET352" s="13"/>
      <c r="EU352" s="13"/>
      <c r="EV352" s="13"/>
      <c r="EW352" s="13"/>
      <c r="EX352" s="13"/>
      <c r="EY352" s="13"/>
      <c r="EZ352" s="13"/>
      <c r="FA352" s="13"/>
      <c r="FB352" s="13"/>
      <c r="FC352" s="13"/>
      <c r="FD352" s="13"/>
      <c r="FE352" s="13"/>
      <c r="FF352" s="13"/>
      <c r="FG352" s="13"/>
      <c r="FH352" s="13"/>
      <c r="FI352" s="13"/>
      <c r="FJ352" s="13"/>
      <c r="FK352" s="13"/>
      <c r="FL352" s="13"/>
      <c r="FM352" s="13"/>
      <c r="FN352" s="13"/>
      <c r="FO352" s="13"/>
      <c r="FP352" s="13"/>
      <c r="FQ352" s="13"/>
      <c r="FR352" s="13"/>
      <c r="FS352" s="13"/>
      <c r="FT352" s="13"/>
      <c r="FU352" s="13"/>
      <c r="FV352" s="13"/>
      <c r="FW352" s="13"/>
      <c r="FX352" s="13"/>
      <c r="FY352" s="13"/>
      <c r="FZ352" s="13"/>
      <c r="GA352" s="13"/>
      <c r="GB352" s="13"/>
      <c r="GC352" s="13"/>
      <c r="GD352" s="13"/>
      <c r="GE352" s="13"/>
      <c r="GF352" s="13"/>
      <c r="GG352" s="13"/>
      <c r="GH352" s="13"/>
      <c r="GI352" s="13"/>
      <c r="GJ352" s="13"/>
      <c r="GK352" s="13"/>
      <c r="GL352" s="13"/>
      <c r="GM352" s="13"/>
      <c r="GN352" s="13"/>
      <c r="GO352" s="13"/>
      <c r="GP352" s="13"/>
      <c r="GQ352" s="13"/>
      <c r="GR352" s="13"/>
      <c r="GS352" s="13"/>
      <c r="GT352" s="13"/>
      <c r="GU352" s="13"/>
      <c r="GV352" s="13"/>
      <c r="GW352" s="13"/>
      <c r="GX352" s="13"/>
      <c r="GY352" s="13"/>
      <c r="GZ352" s="13"/>
      <c r="HA352" s="13"/>
      <c r="HB352" s="13"/>
      <c r="HC352" s="13"/>
      <c r="HD352" s="13"/>
      <c r="HE352" s="13"/>
      <c r="HF352" s="13"/>
      <c r="HG352" s="13"/>
      <c r="HH352" s="13"/>
      <c r="HI352" s="13"/>
      <c r="HJ352" s="13"/>
      <c r="HK352" s="13"/>
      <c r="HL352" s="13"/>
      <c r="HM352" s="13"/>
      <c r="HN352" s="13"/>
      <c r="HO352" s="13"/>
      <c r="HP352" s="13"/>
      <c r="HQ352" s="13"/>
      <c r="HR352" s="13"/>
      <c r="HS352" s="13"/>
      <c r="HT352" s="13"/>
      <c r="HU352" s="13"/>
      <c r="HV352" s="13"/>
      <c r="HW352" s="13"/>
      <c r="HX352" s="13"/>
      <c r="HY352" s="13"/>
      <c r="HZ352" s="13"/>
      <c r="IA352" s="13"/>
      <c r="IB352" s="13"/>
      <c r="IC352" s="13"/>
      <c r="ID352" s="13"/>
      <c r="IE352" s="13"/>
      <c r="IF352" s="13"/>
      <c r="IG352" s="13"/>
      <c r="IH352" s="13"/>
      <c r="II352" s="13"/>
      <c r="IJ352" s="13"/>
      <c r="IK352" s="13"/>
      <c r="IL352" s="13"/>
      <c r="IM352" s="13"/>
      <c r="IN352" s="13"/>
      <c r="IO352" s="13"/>
      <c r="IP352" s="13"/>
      <c r="IQ352" s="13"/>
      <c r="IR352" s="13"/>
      <c r="IS352" s="13"/>
      <c r="IT352" s="13"/>
      <c r="IU352" s="13"/>
      <c r="IV352" s="13"/>
      <c r="IW352" s="13"/>
      <c r="IX352" s="13"/>
      <c r="IY352" s="13"/>
    </row>
    <row r="353" spans="1:259" outlineLevel="1">
      <c r="A353" s="11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  <c r="AA353" s="106"/>
      <c r="AB353" s="106"/>
      <c r="AC353" s="106"/>
      <c r="AD353" s="106"/>
      <c r="AE353" s="106"/>
      <c r="AF353" s="106"/>
      <c r="AG353" s="106"/>
      <c r="AH353" s="106"/>
      <c r="AI353" s="106"/>
      <c r="AJ353" s="106"/>
      <c r="AK353" s="106"/>
      <c r="AL353" s="106"/>
      <c r="AM353" s="106"/>
      <c r="AN353" s="106"/>
      <c r="AO353" s="106"/>
      <c r="AP353" s="106"/>
      <c r="AQ353" s="106"/>
      <c r="AR353" s="106"/>
      <c r="AS353" s="106"/>
      <c r="AT353" s="106"/>
      <c r="AU353" s="106"/>
      <c r="AV353" s="106"/>
      <c r="AW353" s="106"/>
      <c r="AX353" s="106"/>
      <c r="AY353" s="106"/>
      <c r="AZ353" s="106"/>
      <c r="BA353" s="106"/>
      <c r="BB353" s="106"/>
      <c r="BC353" s="106"/>
      <c r="BD353" s="106"/>
      <c r="BE353" s="106"/>
      <c r="BF353" s="106"/>
      <c r="BG353" s="106"/>
      <c r="BH353" s="106"/>
      <c r="BI353" s="106"/>
      <c r="BJ353" s="106"/>
      <c r="BK353" s="106"/>
      <c r="BL353" s="106"/>
      <c r="BM353" s="106"/>
      <c r="BN353" s="106"/>
      <c r="BO353" s="106"/>
      <c r="BP353" s="106"/>
      <c r="BQ353" s="106"/>
      <c r="BR353" s="106"/>
      <c r="BS353" s="106"/>
      <c r="BT353" s="106"/>
      <c r="BU353" s="106"/>
      <c r="BV353" s="106"/>
      <c r="BW353" s="106"/>
      <c r="BX353" s="106"/>
      <c r="BY353" s="106"/>
      <c r="BZ353" s="106"/>
      <c r="CA353" s="106"/>
      <c r="CB353" s="106"/>
      <c r="CC353" s="106"/>
      <c r="CD353" s="106"/>
      <c r="CE353" s="106"/>
      <c r="CF353" s="106"/>
      <c r="CG353" s="106"/>
      <c r="CH353" s="106"/>
      <c r="CI353" s="106"/>
      <c r="CJ353" s="106"/>
      <c r="CK353" s="106"/>
      <c r="CL353" s="106"/>
      <c r="CM353" s="106"/>
      <c r="CN353" s="106"/>
      <c r="CO353" s="106"/>
      <c r="CP353" s="106"/>
      <c r="CQ353" s="106"/>
      <c r="CR353" s="106"/>
      <c r="CS353" s="106"/>
      <c r="CT353" s="106"/>
      <c r="CU353" s="106"/>
      <c r="CV353" s="106"/>
      <c r="CW353" s="106"/>
      <c r="CX353" s="106"/>
      <c r="CY353" s="106"/>
      <c r="CZ353" s="106"/>
      <c r="DA353" s="106"/>
      <c r="DB353" s="106"/>
      <c r="DC353" s="106"/>
      <c r="DD353" s="106"/>
      <c r="DE353" s="106"/>
      <c r="DF353" s="106"/>
      <c r="DG353" s="106"/>
      <c r="DH353" s="106"/>
      <c r="DI353" s="106"/>
      <c r="DJ353" s="106"/>
      <c r="DK353" s="106"/>
      <c r="DL353" s="106"/>
      <c r="DM353" s="106"/>
      <c r="DN353" s="106"/>
      <c r="DO353" s="106"/>
      <c r="DP353" s="106"/>
      <c r="DQ353" s="106"/>
      <c r="DR353" s="106"/>
      <c r="DS353" s="106"/>
      <c r="DT353" s="106"/>
      <c r="DU353" s="106"/>
      <c r="DV353" s="106"/>
      <c r="DW353" s="106"/>
      <c r="DX353" s="106"/>
      <c r="DY353" s="106"/>
      <c r="EA353" s="13"/>
      <c r="EB353" s="95"/>
      <c r="EC353" s="95"/>
      <c r="ED353" s="95"/>
      <c r="EE353" s="95"/>
      <c r="EF353" s="95"/>
      <c r="EG353" s="95"/>
      <c r="EH353" s="95"/>
      <c r="EI353" s="95"/>
      <c r="EJ353" s="95"/>
      <c r="EK353" s="95"/>
      <c r="EL353" s="95"/>
      <c r="EM353" s="95"/>
      <c r="EN353" s="95"/>
      <c r="EO353" s="95"/>
      <c r="EP353" s="95"/>
      <c r="EQ353" s="95"/>
      <c r="ER353" s="13"/>
      <c r="ES353" s="13"/>
      <c r="ET353" s="13"/>
      <c r="EU353" s="13"/>
      <c r="EV353" s="13"/>
      <c r="EW353" s="13"/>
      <c r="EX353" s="13"/>
      <c r="EY353" s="13"/>
      <c r="EZ353" s="13"/>
      <c r="FA353" s="13"/>
      <c r="FB353" s="13"/>
      <c r="FC353" s="13"/>
      <c r="FD353" s="13"/>
      <c r="FE353" s="13"/>
      <c r="FF353" s="13"/>
      <c r="FG353" s="13"/>
      <c r="FH353" s="13"/>
      <c r="FI353" s="13"/>
      <c r="FJ353" s="13"/>
      <c r="FK353" s="13"/>
      <c r="FL353" s="13"/>
      <c r="FM353" s="13"/>
      <c r="FN353" s="13"/>
      <c r="FO353" s="13"/>
      <c r="FP353" s="13"/>
      <c r="FQ353" s="13"/>
      <c r="FR353" s="13"/>
      <c r="FS353" s="13"/>
      <c r="FT353" s="13"/>
      <c r="FU353" s="13"/>
      <c r="FV353" s="13"/>
      <c r="FW353" s="13"/>
      <c r="FX353" s="13"/>
      <c r="FY353" s="13"/>
      <c r="FZ353" s="13"/>
      <c r="GA353" s="13"/>
      <c r="GB353" s="13"/>
      <c r="GC353" s="13"/>
      <c r="GD353" s="13"/>
      <c r="GE353" s="13"/>
      <c r="GF353" s="13"/>
      <c r="GG353" s="13"/>
      <c r="GH353" s="13"/>
      <c r="GI353" s="13"/>
      <c r="GJ353" s="13"/>
      <c r="GK353" s="13"/>
      <c r="GL353" s="13"/>
      <c r="GM353" s="13"/>
      <c r="GN353" s="13"/>
      <c r="GO353" s="13"/>
      <c r="GP353" s="13"/>
      <c r="GQ353" s="13"/>
      <c r="GR353" s="13"/>
      <c r="GS353" s="13"/>
      <c r="GT353" s="13"/>
      <c r="GU353" s="13"/>
      <c r="GV353" s="13"/>
      <c r="GW353" s="13"/>
      <c r="GX353" s="13"/>
      <c r="GY353" s="13"/>
      <c r="GZ353" s="13"/>
      <c r="HA353" s="13"/>
      <c r="HB353" s="13"/>
      <c r="HC353" s="13"/>
      <c r="HD353" s="13"/>
      <c r="HE353" s="13"/>
      <c r="HF353" s="13"/>
      <c r="HG353" s="13"/>
      <c r="HH353" s="13"/>
      <c r="HI353" s="13"/>
      <c r="HJ353" s="13"/>
      <c r="HK353" s="13"/>
      <c r="HL353" s="13"/>
      <c r="HM353" s="13"/>
      <c r="HN353" s="13"/>
      <c r="HO353" s="13"/>
      <c r="HP353" s="13"/>
      <c r="HQ353" s="13"/>
      <c r="HR353" s="13"/>
      <c r="HS353" s="13"/>
      <c r="HT353" s="13"/>
      <c r="HU353" s="13"/>
      <c r="HV353" s="13"/>
      <c r="HW353" s="13"/>
      <c r="HX353" s="13"/>
      <c r="HY353" s="13"/>
      <c r="HZ353" s="13"/>
      <c r="IA353" s="13"/>
      <c r="IB353" s="13"/>
      <c r="IC353" s="13"/>
      <c r="ID353" s="13"/>
      <c r="IE353" s="13"/>
      <c r="IF353" s="13"/>
      <c r="IG353" s="13"/>
      <c r="IH353" s="13"/>
      <c r="II353" s="13"/>
      <c r="IJ353" s="13"/>
      <c r="IK353" s="13"/>
      <c r="IL353" s="13"/>
      <c r="IM353" s="13"/>
      <c r="IN353" s="13"/>
      <c r="IO353" s="13"/>
      <c r="IP353" s="13"/>
      <c r="IQ353" s="13"/>
      <c r="IR353" s="13"/>
      <c r="IS353" s="13"/>
      <c r="IT353" s="13"/>
      <c r="IU353" s="13"/>
      <c r="IV353" s="13"/>
      <c r="IW353" s="13"/>
      <c r="IX353" s="13"/>
      <c r="IY353" s="13"/>
    </row>
    <row r="354" spans="1:259" s="122" customFormat="1" ht="30.75" customHeight="1" thickBot="1">
      <c r="B354" s="256" t="str">
        <f>FORMULA!$B$3</f>
        <v>WS 1101 (251124)</v>
      </c>
      <c r="C354" s="256" t="str">
        <f>FORMULA!$D$3</f>
        <v>WS 1101 (220526)</v>
      </c>
      <c r="D354" s="256">
        <f>FORMULA!$F$3</f>
        <v>0</v>
      </c>
      <c r="E354" s="256">
        <f>FORMULA!$H$3</f>
        <v>0</v>
      </c>
      <c r="F354" s="256">
        <f>FORMULA!$J$3</f>
        <v>0</v>
      </c>
      <c r="G354" s="111">
        <f>FORMULA!$L$3</f>
        <v>0</v>
      </c>
      <c r="H354" s="111">
        <f>FORMULA!$N$3</f>
        <v>0</v>
      </c>
      <c r="I354" s="111">
        <f>FORMULA!$P$3</f>
        <v>0</v>
      </c>
      <c r="J354" s="111">
        <f>FORMULA!$R$3</f>
        <v>0</v>
      </c>
      <c r="K354" s="111">
        <f>FORMULA!$T$3</f>
        <v>0</v>
      </c>
      <c r="L354" s="111">
        <f>FORMULA!$V$3</f>
        <v>0</v>
      </c>
      <c r="M354" s="111">
        <f>FORMULA!$X$3</f>
        <v>0</v>
      </c>
      <c r="N354" s="111">
        <f>FORMULA!$Z$3</f>
        <v>0</v>
      </c>
      <c r="O354" s="111">
        <f>FORMULA!$AB$3</f>
        <v>0</v>
      </c>
      <c r="P354" s="111">
        <f>FORMULA!$AD$3</f>
        <v>0</v>
      </c>
      <c r="Q354" s="111"/>
      <c r="R354" s="256" t="str">
        <f>FORMULA!$B$91</f>
        <v>WS 1102 (290825)</v>
      </c>
      <c r="S354" s="256">
        <f>FORMULA!$D$91</f>
        <v>0</v>
      </c>
      <c r="T354" s="256">
        <f>FORMULA!$F$91</f>
        <v>0</v>
      </c>
      <c r="U354" s="256">
        <f>FORMULA!$H$91</f>
        <v>0</v>
      </c>
      <c r="V354" s="256">
        <f>FORMULA!$J$91</f>
        <v>0</v>
      </c>
      <c r="W354" s="256">
        <f>FORMULA!$L$91</f>
        <v>0</v>
      </c>
      <c r="X354" s="256">
        <f>FORMULA!$N$91</f>
        <v>0</v>
      </c>
      <c r="Y354" s="256">
        <f>FORMULA!$P$91</f>
        <v>0</v>
      </c>
      <c r="Z354" s="256">
        <f>FORMULA!$R$91</f>
        <v>0</v>
      </c>
      <c r="AA354" s="256">
        <f>FORMULA!$T$91</f>
        <v>0</v>
      </c>
      <c r="AB354" s="111">
        <f>FORMULA!$V$91</f>
        <v>0</v>
      </c>
      <c r="AC354" s="111">
        <f>FORMULA!$X$91</f>
        <v>0</v>
      </c>
      <c r="AD354" s="111">
        <f>FORMULA!$Z$91</f>
        <v>0</v>
      </c>
      <c r="AE354" s="111">
        <f>FORMULA!$AB$91</f>
        <v>0</v>
      </c>
      <c r="AF354" s="111">
        <f>FORMULA!$AD$91</f>
        <v>0</v>
      </c>
      <c r="AG354" s="111"/>
      <c r="AH354" s="256" t="str">
        <f>FORMULA!$B$179</f>
        <v>WS 1103 (290825)</v>
      </c>
      <c r="AI354" s="256" t="str">
        <f>FORMULA!$D$179</f>
        <v>WS 1103 (220526)</v>
      </c>
      <c r="AJ354" s="256">
        <f>FORMULA!$F$179</f>
        <v>0</v>
      </c>
      <c r="AK354" s="256">
        <f>FORMULA!$H$179</f>
        <v>0</v>
      </c>
      <c r="AL354" s="256">
        <f>FORMULA!$J$179</f>
        <v>0</v>
      </c>
      <c r="AM354" s="256">
        <f>FORMULA!$L$179</f>
        <v>0</v>
      </c>
      <c r="AN354" s="256">
        <f>FORMULA!$N$179</f>
        <v>0</v>
      </c>
      <c r="AO354" s="256">
        <f>FORMULA!$P$179</f>
        <v>0</v>
      </c>
      <c r="AP354" s="256">
        <f>FORMULA!$R$179</f>
        <v>0</v>
      </c>
      <c r="AQ354" s="256">
        <f>FORMULA!$T$179</f>
        <v>0</v>
      </c>
      <c r="AR354" s="256">
        <f>FORMULA!$V$179</f>
        <v>0</v>
      </c>
      <c r="AS354" s="256">
        <f>FORMULA!$X$179</f>
        <v>0</v>
      </c>
      <c r="AT354" s="111">
        <f>FORMULA!$Z$179</f>
        <v>0</v>
      </c>
      <c r="AU354" s="111">
        <f>FORMULA!$AB$179</f>
        <v>0</v>
      </c>
      <c r="AV354" s="111">
        <f>FORMULA!$AD$179</f>
        <v>0</v>
      </c>
      <c r="AW354" s="111"/>
      <c r="AX354" s="111">
        <f>FORMULA!$B$267</f>
        <v>0</v>
      </c>
      <c r="AY354" s="111">
        <f>FORMULA!$D$267</f>
        <v>0</v>
      </c>
      <c r="AZ354" s="111">
        <f>FORMULA!$F$267</f>
        <v>0</v>
      </c>
      <c r="BA354" s="111">
        <f>FORMULA!$H$267</f>
        <v>0</v>
      </c>
      <c r="BB354" s="111">
        <f>FORMULA!$J$267</f>
        <v>0</v>
      </c>
      <c r="BC354" s="111">
        <f>FORMULA!$L$267</f>
        <v>0</v>
      </c>
      <c r="BD354" s="111">
        <f>FORMULA!$N$267</f>
        <v>0</v>
      </c>
      <c r="BE354" s="111">
        <f>FORMULA!$P$267</f>
        <v>0</v>
      </c>
      <c r="BF354" s="111">
        <f>FORMULA!$R$267</f>
        <v>0</v>
      </c>
      <c r="BG354" s="111">
        <f>FORMULA!$T$267</f>
        <v>0</v>
      </c>
      <c r="BH354" s="111">
        <f>FORMULA!$V$267</f>
        <v>0</v>
      </c>
      <c r="BI354" s="111">
        <f>FORMULA!$X$267</f>
        <v>0</v>
      </c>
      <c r="BJ354" s="111">
        <f>FORMULA!$Z$267</f>
        <v>0</v>
      </c>
      <c r="BK354" s="111">
        <f>FORMULA!$AB$267</f>
        <v>0</v>
      </c>
      <c r="BL354" s="111">
        <f>FORMULA!$AD$267</f>
        <v>0</v>
      </c>
      <c r="BM354" s="111"/>
      <c r="BN354" s="111" t="str">
        <f>FORMULA!$B$355</f>
        <v>WS 8100 (290825)</v>
      </c>
      <c r="BO354" s="111" t="str">
        <f>FORMULA!$D$355</f>
        <v>WS 8100 (280426)</v>
      </c>
      <c r="BP354" s="111">
        <f>FORMULA!$F$355</f>
        <v>0</v>
      </c>
      <c r="BQ354" s="111" t="str">
        <f>FORMULA!$H$355</f>
        <v>WS 8102 (290825)</v>
      </c>
      <c r="BR354" s="111" t="str">
        <f>FORMULA!$J$355</f>
        <v>WS 8102 (121225)</v>
      </c>
      <c r="BS354" s="111" t="str">
        <f>FORMULA!$L$355</f>
        <v>WS 8102 (020326)</v>
      </c>
      <c r="BT354" s="111" t="str">
        <f>FORMULA!$N$355</f>
        <v>WS 8102 (020326)</v>
      </c>
      <c r="BU354" s="111" t="str">
        <f>FORMULA!$P$355</f>
        <v>WS 8102 (060526)</v>
      </c>
      <c r="BV354" s="111" t="str">
        <f>FORMULA!$R$355</f>
        <v>WS 8102 (060526)</v>
      </c>
      <c r="BW354" s="111" t="str">
        <f>FORMULA!$T$355</f>
        <v>WS 8103 (070526)</v>
      </c>
      <c r="BX354" s="111" t="str">
        <f>FORMULA!$V$355</f>
        <v>WS 8102 (070526)</v>
      </c>
      <c r="BY354" s="111" t="str">
        <f>FORMULA!$X$355</f>
        <v>WS 8103 (061125)</v>
      </c>
      <c r="BZ354" s="111" t="str">
        <f>FORMULA!$Z$355</f>
        <v>WS 8103 (250226)</v>
      </c>
      <c r="CA354" s="111" t="str">
        <f>FORMULA!$AB$355</f>
        <v>WS 8102 (080526)</v>
      </c>
      <c r="CB354" s="111" t="str">
        <f>FORMULA!$AD$355</f>
        <v>WS 8109 (080526)</v>
      </c>
      <c r="CC354" s="111"/>
      <c r="CD354" s="256" t="str">
        <f>FORMULA!$B$443</f>
        <v>YH 121 (050226)</v>
      </c>
      <c r="CE354" s="111" t="str">
        <f>FORMULA!$D$443</f>
        <v>YH 121 (190326)</v>
      </c>
      <c r="CF354" s="111" t="str">
        <f>FORMULA!$F$443</f>
        <v>YH 121 (020426)</v>
      </c>
      <c r="CG354" s="111">
        <f>FORMULA!$H$443</f>
        <v>0</v>
      </c>
      <c r="CH354" s="111">
        <f>FORMULA!$J$443</f>
        <v>0</v>
      </c>
      <c r="CI354" s="111">
        <f>FORMULA!$L$443</f>
        <v>0</v>
      </c>
      <c r="CJ354" s="111">
        <f>FORMULA!$N$443</f>
        <v>0</v>
      </c>
      <c r="CK354" s="111">
        <f>FORMULA!$P$443</f>
        <v>0</v>
      </c>
      <c r="CL354" s="111">
        <f>FORMULA!$R$443</f>
        <v>0</v>
      </c>
      <c r="CM354" s="111" t="str">
        <f>FORMULA!$T$443</f>
        <v>311 (130526)</v>
      </c>
      <c r="CN354" s="111" t="str">
        <f>FORMULA!$V$443</f>
        <v>312 (130526)</v>
      </c>
      <c r="CO354" s="111">
        <f>FORMULA!$X$443</f>
        <v>0</v>
      </c>
      <c r="CP354" s="111">
        <f>FORMULA!$Z$443</f>
        <v>0</v>
      </c>
      <c r="CQ354" s="111">
        <f>FORMULA!$AB$443</f>
        <v>0</v>
      </c>
      <c r="CR354" s="111">
        <f>FORMULA!$AD$443</f>
        <v>0</v>
      </c>
      <c r="CS354" s="111"/>
      <c r="CT354" s="111" t="str">
        <f>FORMULA!$B$531</f>
        <v>YH 122 (050226)</v>
      </c>
      <c r="CU354" s="111" t="str">
        <f>FORMULA!$D$531</f>
        <v>YH 122 (190326)</v>
      </c>
      <c r="CV354" s="111" t="str">
        <f>FORMULA!$F$531</f>
        <v>YH 122 (200426)</v>
      </c>
      <c r="CW354" s="111">
        <f>FORMULA!$H$531</f>
        <v>0</v>
      </c>
      <c r="CX354" s="111">
        <f>FORMULA!$J$531</f>
        <v>0</v>
      </c>
      <c r="CY354" s="111">
        <f>FORMULA!$L$531</f>
        <v>0</v>
      </c>
      <c r="CZ354" s="111" t="str">
        <f>FORMULA!$N$531</f>
        <v>5201 (090426)</v>
      </c>
      <c r="DA354" s="111" t="str">
        <f>FORMULA!$P$531</f>
        <v>5201 (090426)</v>
      </c>
      <c r="DB354" s="111">
        <f>FORMULA!$R$531</f>
        <v>0</v>
      </c>
      <c r="DC354" s="111" t="str">
        <f>FORMULA!$T$531</f>
        <v>5202 (090426)</v>
      </c>
      <c r="DD354" s="111" t="str">
        <f>FORMULA!$V$531</f>
        <v>5202 (090426)</v>
      </c>
      <c r="DE354" s="111">
        <f>FORMULA!$X$531</f>
        <v>0</v>
      </c>
      <c r="DF354" s="111" t="str">
        <f>FORMULA!$Z$531</f>
        <v>5203 (090426)</v>
      </c>
      <c r="DG354" s="111" t="str">
        <f>FORMULA!$AB$531</f>
        <v>5203 (090426)</v>
      </c>
      <c r="DH354" s="111">
        <f>FORMULA!$AD$531</f>
        <v>0</v>
      </c>
      <c r="DI354" s="111"/>
      <c r="DJ354" s="111" t="str">
        <f>FORMULA!$B$619</f>
        <v>YH 123 (050226)</v>
      </c>
      <c r="DK354" s="111" t="str">
        <f>FORMULA!$D$619</f>
        <v>YH 123 (130326)</v>
      </c>
      <c r="DL354" s="111" t="str">
        <f>FORMULA!$F$619</f>
        <v>YH 123 (190326)</v>
      </c>
      <c r="DM354" s="111" t="str">
        <f>FORMULA!$H$619</f>
        <v>YH 123 (200426)</v>
      </c>
      <c r="DN354" s="111">
        <f>FORMULA!$J$619</f>
        <v>0</v>
      </c>
      <c r="DO354" s="111">
        <f>FORMULA!$L$619</f>
        <v>0</v>
      </c>
      <c r="DP354" s="111">
        <f>FORMULA!$N$619</f>
        <v>0</v>
      </c>
      <c r="DQ354" s="111">
        <f>FORMULA!$P$619</f>
        <v>0</v>
      </c>
      <c r="DR354" s="111">
        <f>FORMULA!$R$619</f>
        <v>0</v>
      </c>
      <c r="DS354" s="111">
        <f>FORMULA!$T$619</f>
        <v>0</v>
      </c>
      <c r="DT354" s="111">
        <f>FORMULA!$V$619</f>
        <v>0</v>
      </c>
      <c r="DU354" s="111">
        <f>FORMULA!$X$619</f>
        <v>0</v>
      </c>
      <c r="DV354" s="111">
        <f>FORMULA!$Z$619</f>
        <v>0</v>
      </c>
      <c r="DW354" s="111">
        <f>FORMULA!$AB$619</f>
        <v>0</v>
      </c>
      <c r="DX354" s="111">
        <f>FORMULA!$AD$619</f>
        <v>0</v>
      </c>
      <c r="DY354" s="111"/>
      <c r="EA354" s="118"/>
      <c r="EB354" s="119"/>
      <c r="EC354" s="119"/>
      <c r="ED354" s="119"/>
      <c r="EE354" s="119"/>
      <c r="EF354" s="119"/>
      <c r="EG354" s="119"/>
      <c r="EH354" s="119"/>
      <c r="EI354" s="119"/>
      <c r="EJ354" s="119"/>
      <c r="EK354" s="119"/>
      <c r="EL354" s="119"/>
      <c r="EM354" s="119"/>
      <c r="EN354" s="119"/>
      <c r="EO354" s="119"/>
      <c r="EP354" s="119"/>
      <c r="EQ354" s="119"/>
      <c r="ER354" s="118"/>
      <c r="ES354" s="118"/>
      <c r="ET354" s="118"/>
      <c r="EU354" s="118"/>
      <c r="EV354" s="118"/>
      <c r="EW354" s="118"/>
      <c r="EX354" s="118"/>
      <c r="EY354" s="118"/>
      <c r="EZ354" s="118"/>
      <c r="FA354" s="118"/>
      <c r="FB354" s="118"/>
      <c r="FC354" s="118"/>
      <c r="FD354" s="118"/>
      <c r="FE354" s="118"/>
      <c r="FF354" s="118"/>
      <c r="FG354" s="118"/>
      <c r="FH354" s="118"/>
      <c r="FI354" s="118"/>
      <c r="FJ354" s="118"/>
      <c r="FK354" s="118"/>
      <c r="FL354" s="118"/>
      <c r="FM354" s="118"/>
      <c r="FN354" s="118"/>
      <c r="FO354" s="118"/>
      <c r="FP354" s="118"/>
      <c r="FQ354" s="118"/>
      <c r="FR354" s="118"/>
      <c r="FS354" s="118"/>
      <c r="FT354" s="118"/>
      <c r="FU354" s="118"/>
      <c r="FV354" s="118"/>
      <c r="FW354" s="118"/>
      <c r="FX354" s="118"/>
      <c r="FY354" s="118"/>
      <c r="FZ354" s="118"/>
      <c r="GA354" s="118"/>
      <c r="GB354" s="118"/>
      <c r="GC354" s="118"/>
      <c r="GD354" s="118"/>
      <c r="GE354" s="118"/>
      <c r="GF354" s="118"/>
      <c r="GG354" s="118"/>
      <c r="GH354" s="118"/>
      <c r="GI354" s="118"/>
      <c r="GJ354" s="118"/>
      <c r="GK354" s="118"/>
      <c r="GL354" s="118"/>
      <c r="GM354" s="118"/>
      <c r="GN354" s="118"/>
      <c r="GO354" s="118"/>
      <c r="GP354" s="118"/>
      <c r="GQ354" s="118"/>
      <c r="GR354" s="118"/>
      <c r="GS354" s="118"/>
      <c r="GT354" s="118"/>
      <c r="GU354" s="118"/>
      <c r="GV354" s="118"/>
      <c r="GW354" s="118"/>
      <c r="GX354" s="118"/>
      <c r="GY354" s="118"/>
      <c r="GZ354" s="118"/>
      <c r="HA354" s="118"/>
      <c r="HB354" s="118"/>
      <c r="HC354" s="118"/>
      <c r="HD354" s="118"/>
      <c r="HE354" s="118"/>
      <c r="HF354" s="118"/>
      <c r="HG354" s="118"/>
      <c r="HH354" s="118"/>
      <c r="HI354" s="118"/>
      <c r="HJ354" s="118"/>
      <c r="HK354" s="118"/>
      <c r="HL354" s="118"/>
      <c r="HM354" s="118"/>
      <c r="HN354" s="118"/>
      <c r="HO354" s="118"/>
      <c r="HP354" s="118"/>
      <c r="HQ354" s="118"/>
      <c r="HR354" s="118"/>
      <c r="HS354" s="118"/>
      <c r="HT354" s="118"/>
      <c r="HU354" s="118"/>
      <c r="HV354" s="118"/>
      <c r="HW354" s="118"/>
      <c r="HX354" s="118"/>
      <c r="HY354" s="118"/>
      <c r="HZ354" s="118"/>
      <c r="IA354" s="118"/>
      <c r="IB354" s="118"/>
      <c r="IC354" s="118"/>
      <c r="ID354" s="118"/>
      <c r="IE354" s="118"/>
      <c r="IF354" s="118"/>
      <c r="IG354" s="118"/>
      <c r="IH354" s="118"/>
      <c r="II354" s="118"/>
      <c r="IJ354" s="118"/>
      <c r="IK354" s="118"/>
      <c r="IL354" s="118"/>
      <c r="IM354" s="118"/>
      <c r="IN354" s="118"/>
      <c r="IO354" s="118"/>
      <c r="IP354" s="118"/>
      <c r="IQ354" s="118"/>
      <c r="IR354" s="118"/>
      <c r="IS354" s="118"/>
      <c r="IT354" s="118"/>
      <c r="IU354" s="118"/>
      <c r="IV354" s="118"/>
      <c r="IW354" s="118"/>
      <c r="IX354" s="118"/>
      <c r="IY354" s="118"/>
    </row>
    <row r="355" spans="1:259" s="124" customFormat="1" ht="30.4" customHeight="1" thickBot="1">
      <c r="A355" s="123" t="s">
        <v>159</v>
      </c>
      <c r="B355" s="257" t="str">
        <f>FORMULA!$B$4</f>
        <v>N01309AY</v>
      </c>
      <c r="C355" s="333">
        <f>FORMULA!$D$4</f>
        <v>0</v>
      </c>
      <c r="D355" s="258">
        <f>FORMULA!$F$4</f>
        <v>0</v>
      </c>
      <c r="E355" s="332">
        <f>FORMULA!$H$4</f>
        <v>0</v>
      </c>
      <c r="F355" s="258">
        <f>FORMULA!$J$4</f>
        <v>0</v>
      </c>
      <c r="G355" s="113">
        <f>FORMULA!$L$4</f>
        <v>0</v>
      </c>
      <c r="H355" s="113">
        <f>FORMULA!$N$4</f>
        <v>0</v>
      </c>
      <c r="I355" s="113">
        <f>FORMULA!$P$4</f>
        <v>0</v>
      </c>
      <c r="J355" s="113">
        <f>FORMULA!$R$4</f>
        <v>0</v>
      </c>
      <c r="K355" s="113">
        <f>FORMULA!$T$4</f>
        <v>0</v>
      </c>
      <c r="L355" s="113">
        <f>FORMULA!$V$4</f>
        <v>0</v>
      </c>
      <c r="M355" s="113">
        <f>FORMULA!$X$4</f>
        <v>0</v>
      </c>
      <c r="N355" s="113">
        <f>FORMULA!$Z$4</f>
        <v>0</v>
      </c>
      <c r="O355" s="113">
        <f>FORMULA!$AB$4</f>
        <v>0</v>
      </c>
      <c r="P355" s="113">
        <f>FORMULA!$AD$4</f>
        <v>0</v>
      </c>
      <c r="Q355" s="114"/>
      <c r="R355" s="257" t="str">
        <f>FORMULA!$B$92</f>
        <v>N025-06</v>
      </c>
      <c r="S355" s="258">
        <f>FORMULA!$D$92</f>
        <v>0</v>
      </c>
      <c r="T355" s="258">
        <f>FORMULA!$F$92</f>
        <v>0</v>
      </c>
      <c r="U355" s="332">
        <f>FORMULA!$H$92</f>
        <v>0</v>
      </c>
      <c r="V355" s="332">
        <f>FORMULA!$J$92</f>
        <v>0</v>
      </c>
      <c r="W355" s="333">
        <f>FORMULA!$L$92</f>
        <v>0</v>
      </c>
      <c r="X355" s="333">
        <f>FORMULA!$N$92</f>
        <v>0</v>
      </c>
      <c r="Y355" s="258">
        <f>FORMULA!$P$92</f>
        <v>0</v>
      </c>
      <c r="Z355" s="333">
        <f>FORMULA!$R$92</f>
        <v>0</v>
      </c>
      <c r="AA355" s="258">
        <f>FORMULA!$T$92</f>
        <v>0</v>
      </c>
      <c r="AB355" s="113">
        <f>FORMULA!$V$92</f>
        <v>0</v>
      </c>
      <c r="AC355" s="113">
        <f>FORMULA!$X$92</f>
        <v>0</v>
      </c>
      <c r="AD355" s="113">
        <f>FORMULA!$Z$92</f>
        <v>0</v>
      </c>
      <c r="AE355" s="113">
        <f>FORMULA!$AB$92</f>
        <v>0</v>
      </c>
      <c r="AF355" s="113">
        <f>FORMULA!$AD$92</f>
        <v>0</v>
      </c>
      <c r="AG355" s="114"/>
      <c r="AH355" s="257" t="str">
        <f>FORMULA!$B$180</f>
        <v>N035-06</v>
      </c>
      <c r="AI355" s="258" t="str">
        <f>FORMULA!$D$180</f>
        <v>WITH 1103 TOP UP</v>
      </c>
      <c r="AJ355" s="332">
        <f>FORMULA!$F$180</f>
        <v>0</v>
      </c>
      <c r="AK355" s="332">
        <f>FORMULA!$H$180</f>
        <v>0</v>
      </c>
      <c r="AL355" s="333">
        <f>FORMULA!$J$180</f>
        <v>0</v>
      </c>
      <c r="AM355" s="333">
        <f>FORMULA!$L$180</f>
        <v>0</v>
      </c>
      <c r="AN355" s="332">
        <f>FORMULA!$N$180</f>
        <v>0</v>
      </c>
      <c r="AO355" s="258">
        <f>FORMULA!$P$180</f>
        <v>0</v>
      </c>
      <c r="AP355" s="333">
        <f>FORMULA!$R$180</f>
        <v>0</v>
      </c>
      <c r="AQ355" s="333">
        <f>FORMULA!$T$180</f>
        <v>0</v>
      </c>
      <c r="AR355" s="258">
        <f>FORMULA!$V$180</f>
        <v>0</v>
      </c>
      <c r="AS355" s="258">
        <f>FORMULA!$X$180</f>
        <v>0</v>
      </c>
      <c r="AT355" s="113">
        <f>FORMULA!$Z$180</f>
        <v>0</v>
      </c>
      <c r="AU355" s="113">
        <f>FORMULA!$AB$180</f>
        <v>0</v>
      </c>
      <c r="AV355" s="113">
        <f>FORMULA!$AD$180</f>
        <v>0</v>
      </c>
      <c r="AW355" s="114"/>
      <c r="AX355" s="112">
        <f>FORMULA!$B$268</f>
        <v>0</v>
      </c>
      <c r="AY355" s="113">
        <f>FORMULA!$D$268</f>
        <v>0</v>
      </c>
      <c r="AZ355" s="113">
        <f>FORMULA!$F$268</f>
        <v>0</v>
      </c>
      <c r="BA355" s="113">
        <f>FORMULA!$H$268</f>
        <v>0</v>
      </c>
      <c r="BB355" s="113">
        <f>FORMULA!$J$268</f>
        <v>0</v>
      </c>
      <c r="BC355" s="113">
        <f>FORMULA!$L$268</f>
        <v>0</v>
      </c>
      <c r="BD355" s="113">
        <f>FORMULA!$N$268</f>
        <v>0</v>
      </c>
      <c r="BE355" s="113">
        <f>FORMULA!$P$268</f>
        <v>0</v>
      </c>
      <c r="BF355" s="113">
        <f>FORMULA!$R$268</f>
        <v>0</v>
      </c>
      <c r="BG355" s="113">
        <f>FORMULA!$T$268</f>
        <v>0</v>
      </c>
      <c r="BH355" s="113">
        <f>FORMULA!$V$268</f>
        <v>0</v>
      </c>
      <c r="BI355" s="113">
        <f>FORMULA!$X$268</f>
        <v>0</v>
      </c>
      <c r="BJ355" s="113">
        <f>FORMULA!$Z$268</f>
        <v>0</v>
      </c>
      <c r="BK355" s="113">
        <f>FORMULA!$AB$268</f>
        <v>0</v>
      </c>
      <c r="BL355" s="113">
        <f>FORMULA!$AD$268</f>
        <v>0</v>
      </c>
      <c r="BM355" s="114"/>
      <c r="BN355" s="111" t="str">
        <f>FORMULA!$B$356</f>
        <v>NR 14-04</v>
      </c>
      <c r="BO355" s="111">
        <f>FORMULA!$D$356</f>
        <v>0</v>
      </c>
      <c r="BP355" s="111">
        <f>FORMULA!$F$356</f>
        <v>0</v>
      </c>
      <c r="BQ355" s="111" t="str">
        <f>FORMULA!$H$356</f>
        <v>NR 24-04Z</v>
      </c>
      <c r="BR355" s="111" t="str">
        <f>FORMULA!$J$356</f>
        <v>WITH BMD</v>
      </c>
      <c r="BS355" s="111" t="str">
        <f>FORMULA!$L$356</f>
        <v>8102 Top Up&amp;PM 8108</v>
      </c>
      <c r="BT355" s="111" t="str">
        <f>FORMULA!$N$356</f>
        <v>8102 Top Up&amp;PM 8102</v>
      </c>
      <c r="BU355" s="111" t="str">
        <f>FORMULA!$P$356</f>
        <v>8102 Top Up&amp;PM 8102</v>
      </c>
      <c r="BV355" s="111" t="str">
        <f>FORMULA!$R$356</f>
        <v>8102 Top Up&amp;PM 8108</v>
      </c>
      <c r="BW355" s="111" t="str">
        <f>FORMULA!$T$356</f>
        <v>8103 Top Up&amp;PM 8103</v>
      </c>
      <c r="BX355" s="111" t="str">
        <f>FORMULA!$V$356</f>
        <v>8103 Top Up&amp;PM 8109</v>
      </c>
      <c r="BY355" s="111" t="str">
        <f>FORMULA!$X$356</f>
        <v xml:space="preserve">NR 34-04 </v>
      </c>
      <c r="BZ355" s="111" t="str">
        <f>FORMULA!$Z$356</f>
        <v xml:space="preserve">NR 34-04 </v>
      </c>
      <c r="CA355" s="111" t="str">
        <f>FORMULA!$AB$356</f>
        <v>8102 TOP UP</v>
      </c>
      <c r="CB355" s="111" t="str">
        <f>FORMULA!$AD$356</f>
        <v>8103 TOP UP</v>
      </c>
      <c r="CC355" s="114"/>
      <c r="CD355" s="111" t="str">
        <f>FORMULA!$B$444</f>
        <v>SOYTIDE&amp;TOXISORB</v>
      </c>
      <c r="CE355" s="111" t="str">
        <f>FORMULA!$D$444</f>
        <v>SOYTIDE&amp;TOXIWALL</v>
      </c>
      <c r="CF355" s="111" t="str">
        <f>FORMULA!$F$444</f>
        <v>EP 200&amp;TOXIWALL</v>
      </c>
      <c r="CG355" s="111">
        <f>FORMULA!$H$444</f>
        <v>0</v>
      </c>
      <c r="CH355" s="111">
        <f>FORMULA!$J$444</f>
        <v>0</v>
      </c>
      <c r="CI355" s="111">
        <f>FORMULA!$L$444</f>
        <v>0</v>
      </c>
      <c r="CJ355" s="111">
        <f>FORMULA!$N$444</f>
        <v>0</v>
      </c>
      <c r="CK355" s="111">
        <f>FORMULA!$P$444</f>
        <v>0</v>
      </c>
      <c r="CL355" s="111">
        <f>FORMULA!$R$444</f>
        <v>0</v>
      </c>
      <c r="CM355" s="111">
        <f>FORMULA!$T$444</f>
        <v>0</v>
      </c>
      <c r="CN355" s="111">
        <f>FORMULA!$V$444</f>
        <v>0</v>
      </c>
      <c r="CO355" s="111">
        <f>FORMULA!$X$444</f>
        <v>0</v>
      </c>
      <c r="CP355" s="111">
        <f>FORMULA!$Z$444</f>
        <v>0</v>
      </c>
      <c r="CQ355" s="111">
        <f>FORMULA!$AB$444</f>
        <v>0</v>
      </c>
      <c r="CR355" s="111">
        <f>FORMULA!$AD$444</f>
        <v>0</v>
      </c>
      <c r="CS355" s="114"/>
      <c r="CT355" s="111" t="str">
        <f>FORMULA!$B$532</f>
        <v>WITH TOXISORB</v>
      </c>
      <c r="CU355" s="111" t="str">
        <f>FORMULA!$D$532</f>
        <v>WITH TOXIWALL</v>
      </c>
      <c r="CV355" s="111" t="str">
        <f>FORMULA!$F$532</f>
        <v>WITH TOXIWALL, YM 20.50kg</v>
      </c>
      <c r="CW355" s="111">
        <f>FORMULA!$H$532</f>
        <v>0</v>
      </c>
      <c r="CX355" s="111">
        <f>FORMULA!$J$532</f>
        <v>0</v>
      </c>
      <c r="CY355" s="111">
        <f>FORMULA!$L$532</f>
        <v>0</v>
      </c>
      <c r="CZ355" s="111">
        <f>FORMULA!$N$532</f>
        <v>0</v>
      </c>
      <c r="DA355" s="111" t="str">
        <f>FORMULA!$P$532</f>
        <v>REDUCE CORN FOR 2MT</v>
      </c>
      <c r="DB355" s="111">
        <f>FORMULA!$R$532</f>
        <v>0</v>
      </c>
      <c r="DC355" s="111">
        <f>FORMULA!$T$532</f>
        <v>0</v>
      </c>
      <c r="DD355" s="111" t="str">
        <f>FORMULA!$V$532</f>
        <v>K20</v>
      </c>
      <c r="DE355" s="111">
        <f>FORMULA!$X$532</f>
        <v>0</v>
      </c>
      <c r="DF355" s="111" t="str">
        <f>FORMULA!$Z$532</f>
        <v>ALREADY 2MT</v>
      </c>
      <c r="DG355" s="111" t="str">
        <f>FORMULA!$AB$532</f>
        <v>K21</v>
      </c>
      <c r="DH355" s="111">
        <f>FORMULA!$AD$532</f>
        <v>0</v>
      </c>
      <c r="DI355" s="114"/>
      <c r="DJ355" s="111" t="str">
        <f>FORMULA!$B$620</f>
        <v>WITH TOXISORB</v>
      </c>
      <c r="DK355" s="111" t="str">
        <f>FORMULA!$D$620</f>
        <v>WITHOUT WHEAT POLLARD</v>
      </c>
      <c r="DL355" s="111" t="str">
        <f>FORMULA!$F$620</f>
        <v>WITH TOXIWALL</v>
      </c>
      <c r="DM355" s="111" t="str">
        <f>FORMULA!$H$620</f>
        <v>WITH TOXIWALL, YM 20.00kg</v>
      </c>
      <c r="DN355" s="111">
        <f>FORMULA!$J$620</f>
        <v>0</v>
      </c>
      <c r="DO355" s="111">
        <f>FORMULA!$L$620</f>
        <v>0</v>
      </c>
      <c r="DP355" s="111">
        <f>FORMULA!$N$620</f>
        <v>0</v>
      </c>
      <c r="DQ355" s="111">
        <f>FORMULA!$P$620</f>
        <v>0</v>
      </c>
      <c r="DR355" s="111">
        <f>FORMULA!$R$620</f>
        <v>0</v>
      </c>
      <c r="DS355" s="111">
        <f>FORMULA!$T$620</f>
        <v>0</v>
      </c>
      <c r="DT355" s="111">
        <f>FORMULA!$V$620</f>
        <v>0</v>
      </c>
      <c r="DU355" s="111">
        <f>FORMULA!$X$620</f>
        <v>0</v>
      </c>
      <c r="DV355" s="111">
        <f>FORMULA!$Z$620</f>
        <v>0</v>
      </c>
      <c r="DW355" s="111">
        <f>FORMULA!$AB$620</f>
        <v>0</v>
      </c>
      <c r="DX355" s="111">
        <f>FORMULA!$AD$620</f>
        <v>0</v>
      </c>
      <c r="DY355" s="114"/>
      <c r="EA355" s="721"/>
      <c r="EB355" s="721"/>
      <c r="EC355" s="721"/>
      <c r="ED355" s="721"/>
      <c r="EE355" s="721"/>
      <c r="EF355" s="721"/>
      <c r="EG355" s="721"/>
      <c r="EH355" s="721"/>
      <c r="EI355" s="721"/>
      <c r="EJ355" s="721"/>
      <c r="EK355" s="721"/>
      <c r="EL355" s="120"/>
      <c r="EM355" s="120"/>
      <c r="EN355" s="120"/>
      <c r="EO355" s="120"/>
      <c r="EP355" s="120"/>
      <c r="EQ355" s="120"/>
      <c r="ER355" s="721"/>
      <c r="ES355" s="721"/>
      <c r="ET355" s="721"/>
      <c r="EU355" s="721"/>
      <c r="EV355" s="721"/>
      <c r="EW355" s="721"/>
      <c r="EX355" s="721"/>
      <c r="EY355" s="721"/>
      <c r="EZ355" s="721"/>
      <c r="FA355" s="721"/>
      <c r="FB355" s="721"/>
      <c r="FC355" s="721"/>
      <c r="FD355" s="721"/>
      <c r="FE355" s="721"/>
      <c r="FF355" s="721"/>
      <c r="FG355" s="120"/>
      <c r="FH355" s="721"/>
      <c r="FI355" s="721"/>
      <c r="FJ355" s="721"/>
      <c r="FK355" s="721"/>
      <c r="FL355" s="721"/>
      <c r="FM355" s="721"/>
      <c r="FN355" s="721"/>
      <c r="FO355" s="721"/>
      <c r="FP355" s="721"/>
      <c r="FQ355" s="721"/>
      <c r="FR355" s="721"/>
      <c r="FS355" s="721"/>
      <c r="FT355" s="721"/>
      <c r="FU355" s="721"/>
      <c r="FV355" s="721"/>
      <c r="FW355" s="120"/>
      <c r="FX355" s="721"/>
      <c r="FY355" s="721"/>
      <c r="FZ355" s="721"/>
      <c r="GA355" s="721"/>
      <c r="GB355" s="721"/>
      <c r="GC355" s="721"/>
      <c r="GD355" s="721"/>
      <c r="GE355" s="721"/>
      <c r="GF355" s="721"/>
      <c r="GG355" s="721"/>
      <c r="GH355" s="721"/>
      <c r="GI355" s="721"/>
      <c r="GJ355" s="721"/>
      <c r="GK355" s="721"/>
      <c r="GL355" s="721"/>
      <c r="GM355" s="121"/>
      <c r="GN355" s="721"/>
      <c r="GO355" s="721"/>
      <c r="GP355" s="721"/>
      <c r="GQ355" s="721"/>
      <c r="GR355" s="721"/>
      <c r="GS355" s="721"/>
      <c r="GT355" s="721"/>
      <c r="GU355" s="721"/>
      <c r="GV355" s="721"/>
      <c r="GW355" s="721"/>
      <c r="GX355" s="721"/>
      <c r="GY355" s="721"/>
      <c r="GZ355" s="721"/>
      <c r="HA355" s="721"/>
      <c r="HB355" s="721"/>
      <c r="HC355" s="121"/>
      <c r="HD355" s="721"/>
      <c r="HE355" s="721"/>
      <c r="HF355" s="721"/>
      <c r="HG355" s="721"/>
      <c r="HH355" s="721"/>
      <c r="HI355" s="721"/>
      <c r="HJ355" s="721"/>
      <c r="HK355" s="721"/>
      <c r="HL355" s="721"/>
      <c r="HM355" s="721"/>
      <c r="HN355" s="721"/>
      <c r="HO355" s="721"/>
      <c r="HP355" s="721"/>
      <c r="HQ355" s="721"/>
      <c r="HR355" s="721"/>
      <c r="HS355" s="121"/>
      <c r="HT355" s="721"/>
      <c r="HU355" s="721"/>
      <c r="HV355" s="721"/>
      <c r="HW355" s="721"/>
      <c r="HX355" s="721"/>
      <c r="HY355" s="721"/>
      <c r="HZ355" s="721"/>
      <c r="IA355" s="721"/>
      <c r="IB355" s="721"/>
      <c r="IC355" s="721"/>
      <c r="ID355" s="721"/>
      <c r="IE355" s="721"/>
      <c r="IF355" s="721"/>
      <c r="IG355" s="721"/>
      <c r="IH355" s="721"/>
      <c r="II355" s="121"/>
      <c r="IJ355" s="721"/>
      <c r="IK355" s="721"/>
      <c r="IL355" s="721"/>
      <c r="IM355" s="721"/>
      <c r="IN355" s="721"/>
      <c r="IO355" s="721"/>
      <c r="IP355" s="721"/>
      <c r="IQ355" s="721"/>
      <c r="IR355" s="721"/>
      <c r="IS355" s="721"/>
      <c r="IT355" s="721"/>
      <c r="IU355" s="721"/>
      <c r="IV355" s="721"/>
      <c r="IW355" s="721"/>
      <c r="IX355" s="721"/>
      <c r="IY355" s="121"/>
    </row>
    <row r="356" spans="1:259" ht="15.75" customHeight="1" outlineLevel="1">
      <c r="A356" s="11">
        <f>'VAC &amp; MED'!C361</f>
        <v>46327</v>
      </c>
      <c r="B356" s="261"/>
      <c r="C356" s="261"/>
      <c r="D356" s="261"/>
      <c r="E356" s="261"/>
      <c r="F356" s="261"/>
      <c r="G356" s="261"/>
      <c r="H356" s="261"/>
      <c r="I356" s="261"/>
      <c r="J356" s="261"/>
      <c r="K356" s="261"/>
      <c r="L356" s="261"/>
      <c r="M356" s="261"/>
      <c r="N356" s="261"/>
      <c r="O356" s="261"/>
      <c r="P356" s="261"/>
      <c r="Q356" s="261"/>
      <c r="R356" s="262"/>
      <c r="S356" s="262"/>
      <c r="T356" s="262"/>
      <c r="U356" s="262"/>
      <c r="V356" s="262"/>
      <c r="W356" s="262"/>
      <c r="X356" s="262"/>
      <c r="Y356" s="262"/>
      <c r="Z356" s="262"/>
      <c r="AA356" s="262"/>
      <c r="AB356" s="262"/>
      <c r="AC356" s="262"/>
      <c r="AD356" s="262"/>
      <c r="AE356" s="262"/>
      <c r="AF356" s="262"/>
      <c r="AG356" s="262"/>
      <c r="AH356" s="263"/>
      <c r="AI356" s="263"/>
      <c r="AJ356" s="263"/>
      <c r="AK356" s="263"/>
      <c r="AL356" s="263"/>
      <c r="AM356" s="263"/>
      <c r="AN356" s="263"/>
      <c r="AO356" s="263"/>
      <c r="AP356" s="263"/>
      <c r="AQ356" s="263"/>
      <c r="AR356" s="263"/>
      <c r="AS356" s="263"/>
      <c r="AT356" s="263"/>
      <c r="AU356" s="263"/>
      <c r="AV356" s="263"/>
      <c r="AW356" s="263"/>
      <c r="AX356" s="264"/>
      <c r="AY356" s="264"/>
      <c r="AZ356" s="264"/>
      <c r="BA356" s="264"/>
      <c r="BB356" s="264"/>
      <c r="BC356" s="264"/>
      <c r="BD356" s="264"/>
      <c r="BE356" s="264"/>
      <c r="BF356" s="264"/>
      <c r="BG356" s="264"/>
      <c r="BH356" s="264"/>
      <c r="BI356" s="264"/>
      <c r="BJ356" s="264"/>
      <c r="BK356" s="264"/>
      <c r="BL356" s="264"/>
      <c r="BM356" s="264"/>
      <c r="BN356" s="265"/>
      <c r="BO356" s="265"/>
      <c r="BP356" s="265"/>
      <c r="BQ356" s="265"/>
      <c r="BR356" s="265"/>
      <c r="BS356" s="265"/>
      <c r="BT356" s="265"/>
      <c r="BU356" s="265"/>
      <c r="BV356" s="265"/>
      <c r="BW356" s="265"/>
      <c r="BX356" s="265"/>
      <c r="BY356" s="265"/>
      <c r="BZ356" s="265"/>
      <c r="CA356" s="265"/>
      <c r="CB356" s="265"/>
      <c r="CC356" s="265"/>
      <c r="CD356" s="266"/>
      <c r="CE356" s="266"/>
      <c r="CF356" s="266"/>
      <c r="CG356" s="266"/>
      <c r="CH356" s="266"/>
      <c r="CI356" s="266"/>
      <c r="CJ356" s="266"/>
      <c r="CK356" s="266"/>
      <c r="CL356" s="266"/>
      <c r="CM356" s="266"/>
      <c r="CN356" s="266"/>
      <c r="CO356" s="266"/>
      <c r="CP356" s="266"/>
      <c r="CQ356" s="266"/>
      <c r="CR356" s="266"/>
      <c r="CS356" s="266"/>
      <c r="CT356" s="267"/>
      <c r="CU356" s="267"/>
      <c r="CV356" s="267"/>
      <c r="CW356" s="267"/>
      <c r="CX356" s="267"/>
      <c r="CY356" s="267"/>
      <c r="CZ356" s="267"/>
      <c r="DA356" s="267"/>
      <c r="DB356" s="267"/>
      <c r="DC356" s="267"/>
      <c r="DD356" s="267"/>
      <c r="DE356" s="267"/>
      <c r="DF356" s="267"/>
      <c r="DG356" s="267"/>
      <c r="DH356" s="267"/>
      <c r="DI356" s="267"/>
      <c r="DJ356" s="268"/>
      <c r="DK356" s="268"/>
      <c r="DL356" s="268"/>
      <c r="DM356" s="268"/>
      <c r="DN356" s="268"/>
      <c r="DO356" s="268"/>
      <c r="DP356" s="268"/>
      <c r="DQ356" s="268"/>
      <c r="DR356" s="268"/>
      <c r="DS356" s="268"/>
      <c r="DT356" s="268"/>
      <c r="DU356" s="268"/>
      <c r="DV356" s="268"/>
      <c r="DW356" s="268"/>
      <c r="DX356" s="268"/>
      <c r="DY356" s="268"/>
      <c r="EA356" s="721"/>
      <c r="EB356" s="721"/>
      <c r="EC356" s="721"/>
      <c r="ED356" s="721"/>
      <c r="EE356" s="721"/>
      <c r="EF356" s="721"/>
      <c r="EG356" s="721"/>
      <c r="EH356" s="721"/>
      <c r="EI356" s="721"/>
      <c r="EJ356" s="721"/>
      <c r="EK356" s="721"/>
      <c r="EL356" s="494"/>
      <c r="EM356" s="494"/>
      <c r="EN356" s="494"/>
      <c r="EO356" s="494"/>
      <c r="EP356" s="494"/>
      <c r="EQ356" s="494"/>
      <c r="ER356" s="721"/>
      <c r="ES356" s="721"/>
      <c r="ET356" s="721"/>
      <c r="EU356" s="721"/>
      <c r="EV356" s="721"/>
      <c r="EW356" s="721"/>
      <c r="EX356" s="721"/>
      <c r="EY356" s="721"/>
      <c r="EZ356" s="721"/>
      <c r="FA356" s="721"/>
      <c r="FB356" s="721"/>
      <c r="FC356" s="721"/>
      <c r="FD356" s="721"/>
      <c r="FE356" s="721"/>
      <c r="FF356" s="721"/>
      <c r="FG356" s="494"/>
      <c r="FH356" s="721"/>
      <c r="FI356" s="721"/>
      <c r="FJ356" s="721"/>
      <c r="FK356" s="721"/>
      <c r="FL356" s="721"/>
      <c r="FM356" s="721"/>
      <c r="FN356" s="721"/>
      <c r="FO356" s="721"/>
      <c r="FP356" s="721"/>
      <c r="FQ356" s="721"/>
      <c r="FR356" s="721"/>
      <c r="FS356" s="721"/>
      <c r="FT356" s="721"/>
      <c r="FU356" s="721"/>
      <c r="FV356" s="721"/>
      <c r="FW356" s="494"/>
      <c r="FX356" s="721"/>
      <c r="FY356" s="721"/>
      <c r="FZ356" s="721"/>
      <c r="GA356" s="721"/>
      <c r="GB356" s="721"/>
      <c r="GC356" s="721"/>
      <c r="GD356" s="721"/>
      <c r="GE356" s="721"/>
      <c r="GF356" s="721"/>
      <c r="GG356" s="721"/>
      <c r="GH356" s="721"/>
      <c r="GI356" s="721"/>
      <c r="GJ356" s="721"/>
      <c r="GK356" s="721"/>
      <c r="GL356" s="721"/>
      <c r="GM356" s="13"/>
      <c r="GN356" s="721"/>
      <c r="GO356" s="721"/>
      <c r="GP356" s="721"/>
      <c r="GQ356" s="721"/>
      <c r="GR356" s="721"/>
      <c r="GS356" s="721"/>
      <c r="GT356" s="721"/>
      <c r="GU356" s="721"/>
      <c r="GV356" s="721"/>
      <c r="GW356" s="721"/>
      <c r="GX356" s="721"/>
      <c r="GY356" s="721"/>
      <c r="GZ356" s="721"/>
      <c r="HA356" s="721"/>
      <c r="HB356" s="721"/>
      <c r="HC356" s="13"/>
      <c r="HD356" s="721"/>
      <c r="HE356" s="721"/>
      <c r="HF356" s="721"/>
      <c r="HG356" s="721"/>
      <c r="HH356" s="721"/>
      <c r="HI356" s="721"/>
      <c r="HJ356" s="721"/>
      <c r="HK356" s="721"/>
      <c r="HL356" s="721"/>
      <c r="HM356" s="721"/>
      <c r="HN356" s="721"/>
      <c r="HO356" s="721"/>
      <c r="HP356" s="721"/>
      <c r="HQ356" s="721"/>
      <c r="HR356" s="721"/>
      <c r="HS356" s="13"/>
      <c r="HT356" s="721"/>
      <c r="HU356" s="721"/>
      <c r="HV356" s="721"/>
      <c r="HW356" s="721"/>
      <c r="HX356" s="721"/>
      <c r="HY356" s="721"/>
      <c r="HZ356" s="721"/>
      <c r="IA356" s="721"/>
      <c r="IB356" s="721"/>
      <c r="IC356" s="721"/>
      <c r="ID356" s="721"/>
      <c r="IE356" s="721"/>
      <c r="IF356" s="721"/>
      <c r="IG356" s="721"/>
      <c r="IH356" s="721"/>
      <c r="II356" s="13"/>
      <c r="IJ356" s="721"/>
      <c r="IK356" s="721"/>
      <c r="IL356" s="721"/>
      <c r="IM356" s="721"/>
      <c r="IN356" s="721"/>
      <c r="IO356" s="721"/>
      <c r="IP356" s="721"/>
      <c r="IQ356" s="721"/>
      <c r="IR356" s="721"/>
      <c r="IS356" s="721"/>
      <c r="IT356" s="721"/>
      <c r="IU356" s="721"/>
      <c r="IV356" s="721"/>
      <c r="IW356" s="721"/>
      <c r="IX356" s="721"/>
      <c r="IY356" s="13"/>
    </row>
    <row r="357" spans="1:259" outlineLevel="1">
      <c r="A357" s="11">
        <f>'VAC &amp; MED'!C362</f>
        <v>46328</v>
      </c>
      <c r="B357" s="261"/>
      <c r="C357" s="261"/>
      <c r="D357" s="261"/>
      <c r="E357" s="261"/>
      <c r="F357" s="261"/>
      <c r="G357" s="261"/>
      <c r="H357" s="261"/>
      <c r="I357" s="261"/>
      <c r="J357" s="261"/>
      <c r="K357" s="261"/>
      <c r="L357" s="261"/>
      <c r="M357" s="261"/>
      <c r="N357" s="261"/>
      <c r="O357" s="261"/>
      <c r="P357" s="261"/>
      <c r="Q357" s="261"/>
      <c r="R357" s="262"/>
      <c r="S357" s="262"/>
      <c r="T357" s="262"/>
      <c r="U357" s="262"/>
      <c r="V357" s="262"/>
      <c r="W357" s="262"/>
      <c r="X357" s="262"/>
      <c r="Y357" s="262"/>
      <c r="Z357" s="262"/>
      <c r="AA357" s="262"/>
      <c r="AB357" s="262"/>
      <c r="AC357" s="262"/>
      <c r="AD357" s="262"/>
      <c r="AE357" s="262"/>
      <c r="AF357" s="262"/>
      <c r="AG357" s="262"/>
      <c r="AH357" s="263"/>
      <c r="AI357" s="263"/>
      <c r="AJ357" s="263"/>
      <c r="AK357" s="263"/>
      <c r="AL357" s="263"/>
      <c r="AM357" s="263"/>
      <c r="AN357" s="263"/>
      <c r="AO357" s="263"/>
      <c r="AP357" s="263"/>
      <c r="AQ357" s="263"/>
      <c r="AR357" s="263"/>
      <c r="AS357" s="263"/>
      <c r="AT357" s="263"/>
      <c r="AU357" s="263"/>
      <c r="AV357" s="263"/>
      <c r="AW357" s="263"/>
      <c r="AX357" s="264"/>
      <c r="AY357" s="264"/>
      <c r="AZ357" s="264"/>
      <c r="BA357" s="264"/>
      <c r="BB357" s="264"/>
      <c r="BC357" s="264"/>
      <c r="BD357" s="264"/>
      <c r="BE357" s="264"/>
      <c r="BF357" s="264"/>
      <c r="BG357" s="264"/>
      <c r="BH357" s="264"/>
      <c r="BI357" s="264"/>
      <c r="BJ357" s="264"/>
      <c r="BK357" s="264"/>
      <c r="BL357" s="264"/>
      <c r="BM357" s="264"/>
      <c r="BN357" s="265"/>
      <c r="BO357" s="265"/>
      <c r="BP357" s="265"/>
      <c r="BQ357" s="265"/>
      <c r="BR357" s="265"/>
      <c r="BS357" s="265"/>
      <c r="BT357" s="265"/>
      <c r="BU357" s="265"/>
      <c r="BV357" s="265"/>
      <c r="BW357" s="265"/>
      <c r="BX357" s="265"/>
      <c r="BY357" s="265"/>
      <c r="BZ357" s="265"/>
      <c r="CA357" s="265"/>
      <c r="CB357" s="265"/>
      <c r="CC357" s="265"/>
      <c r="CD357" s="266"/>
      <c r="CE357" s="266"/>
      <c r="CF357" s="266"/>
      <c r="CG357" s="266"/>
      <c r="CH357" s="266"/>
      <c r="CI357" s="266"/>
      <c r="CJ357" s="266"/>
      <c r="CK357" s="266"/>
      <c r="CL357" s="266"/>
      <c r="CM357" s="266"/>
      <c r="CN357" s="266"/>
      <c r="CO357" s="266"/>
      <c r="CP357" s="266"/>
      <c r="CQ357" s="266"/>
      <c r="CR357" s="266"/>
      <c r="CS357" s="266"/>
      <c r="CT357" s="267"/>
      <c r="CU357" s="267"/>
      <c r="CV357" s="267"/>
      <c r="CW357" s="267"/>
      <c r="CX357" s="267"/>
      <c r="CY357" s="267"/>
      <c r="CZ357" s="267"/>
      <c r="DA357" s="267"/>
      <c r="DB357" s="267"/>
      <c r="DC357" s="267"/>
      <c r="DD357" s="267"/>
      <c r="DE357" s="267"/>
      <c r="DF357" s="267"/>
      <c r="DG357" s="267"/>
      <c r="DH357" s="267"/>
      <c r="DI357" s="267"/>
      <c r="DJ357" s="268"/>
      <c r="DK357" s="268"/>
      <c r="DL357" s="268"/>
      <c r="DM357" s="268"/>
      <c r="DN357" s="268"/>
      <c r="DO357" s="268"/>
      <c r="DP357" s="268"/>
      <c r="DQ357" s="268"/>
      <c r="DR357" s="268"/>
      <c r="DS357" s="268"/>
      <c r="DT357" s="268"/>
      <c r="DU357" s="268"/>
      <c r="DV357" s="268"/>
      <c r="DW357" s="268"/>
      <c r="DX357" s="268"/>
      <c r="DY357" s="268"/>
      <c r="EA357" s="721"/>
      <c r="EB357" s="714"/>
      <c r="EC357" s="714"/>
      <c r="ED357" s="714"/>
      <c r="EE357" s="714"/>
      <c r="EF357" s="714"/>
      <c r="EG357" s="714"/>
      <c r="EH357" s="714"/>
      <c r="EI357" s="714"/>
      <c r="EJ357" s="714"/>
      <c r="EK357" s="714"/>
      <c r="EL357" s="493"/>
      <c r="EM357" s="493"/>
      <c r="EN357" s="493"/>
      <c r="EO357" s="493"/>
      <c r="EP357" s="493"/>
      <c r="EQ357" s="493"/>
      <c r="ER357" s="714"/>
      <c r="ES357" s="714"/>
      <c r="ET357" s="714"/>
      <c r="EU357" s="714"/>
      <c r="EV357" s="714"/>
      <c r="EW357" s="714"/>
      <c r="EX357" s="714"/>
      <c r="EY357" s="714"/>
      <c r="EZ357" s="714"/>
      <c r="FA357" s="493"/>
      <c r="FB357" s="493"/>
      <c r="FC357" s="493"/>
      <c r="FD357" s="493"/>
      <c r="FE357" s="493"/>
      <c r="FF357" s="714"/>
      <c r="FG357" s="493"/>
      <c r="FH357" s="714"/>
      <c r="FI357" s="714"/>
      <c r="FJ357" s="714"/>
      <c r="FK357" s="714"/>
      <c r="FL357" s="714"/>
      <c r="FM357" s="714"/>
      <c r="FN357" s="714"/>
      <c r="FO357" s="714"/>
      <c r="FP357" s="714"/>
      <c r="FQ357" s="493"/>
      <c r="FR357" s="493"/>
      <c r="FS357" s="493"/>
      <c r="FT357" s="493"/>
      <c r="FU357" s="493"/>
      <c r="FV357" s="714"/>
      <c r="FW357" s="493"/>
      <c r="FX357" s="714"/>
      <c r="FY357" s="714"/>
      <c r="FZ357" s="714"/>
      <c r="GA357" s="714"/>
      <c r="GB357" s="714"/>
      <c r="GC357" s="714"/>
      <c r="GD357" s="714"/>
      <c r="GE357" s="714"/>
      <c r="GF357" s="714"/>
      <c r="GG357" s="493"/>
      <c r="GH357" s="493"/>
      <c r="GI357" s="493"/>
      <c r="GJ357" s="493"/>
      <c r="GK357" s="493"/>
      <c r="GL357" s="714"/>
      <c r="GM357" s="13"/>
      <c r="GN357" s="714"/>
      <c r="GO357" s="714"/>
      <c r="GP357" s="714"/>
      <c r="GQ357" s="714"/>
      <c r="GR357" s="714"/>
      <c r="GS357" s="714"/>
      <c r="GT357" s="714"/>
      <c r="GU357" s="714"/>
      <c r="GV357" s="714"/>
      <c r="GW357" s="493"/>
      <c r="GX357" s="493"/>
      <c r="GY357" s="493"/>
      <c r="GZ357" s="493"/>
      <c r="HA357" s="493"/>
      <c r="HB357" s="714"/>
      <c r="HC357" s="13"/>
      <c r="HD357" s="714"/>
      <c r="HE357" s="714"/>
      <c r="HF357" s="714"/>
      <c r="HG357" s="714"/>
      <c r="HH357" s="714"/>
      <c r="HI357" s="714"/>
      <c r="HJ357" s="714"/>
      <c r="HK357" s="714"/>
      <c r="HL357" s="714"/>
      <c r="HM357" s="493"/>
      <c r="HN357" s="493"/>
      <c r="HO357" s="493"/>
      <c r="HP357" s="493"/>
      <c r="HQ357" s="493"/>
      <c r="HR357" s="714"/>
      <c r="HS357" s="13"/>
      <c r="HT357" s="714"/>
      <c r="HU357" s="714"/>
      <c r="HV357" s="714"/>
      <c r="HW357" s="714"/>
      <c r="HX357" s="714"/>
      <c r="HY357" s="714"/>
      <c r="HZ357" s="714"/>
      <c r="IA357" s="714"/>
      <c r="IB357" s="714"/>
      <c r="IC357" s="493"/>
      <c r="ID357" s="493"/>
      <c r="IE357" s="493"/>
      <c r="IF357" s="493"/>
      <c r="IG357" s="493"/>
      <c r="IH357" s="714"/>
      <c r="II357" s="13"/>
      <c r="IJ357" s="714"/>
      <c r="IK357" s="714"/>
      <c r="IL357" s="714"/>
      <c r="IM357" s="714"/>
      <c r="IN357" s="714"/>
      <c r="IO357" s="714"/>
      <c r="IP357" s="714"/>
      <c r="IQ357" s="714"/>
      <c r="IR357" s="714"/>
      <c r="IS357" s="493"/>
      <c r="IT357" s="493"/>
      <c r="IU357" s="493"/>
      <c r="IV357" s="493"/>
      <c r="IW357" s="493"/>
      <c r="IX357" s="714"/>
      <c r="IY357" s="13"/>
    </row>
    <row r="358" spans="1:259" outlineLevel="1">
      <c r="A358" s="11">
        <f>'VAC &amp; MED'!C363</f>
        <v>46329</v>
      </c>
      <c r="B358" s="261"/>
      <c r="C358" s="261"/>
      <c r="D358" s="261"/>
      <c r="E358" s="261"/>
      <c r="F358" s="261"/>
      <c r="G358" s="261"/>
      <c r="H358" s="261"/>
      <c r="I358" s="261"/>
      <c r="J358" s="261"/>
      <c r="K358" s="261"/>
      <c r="L358" s="261"/>
      <c r="M358" s="261"/>
      <c r="N358" s="261"/>
      <c r="O358" s="261"/>
      <c r="P358" s="261"/>
      <c r="Q358" s="261"/>
      <c r="R358" s="262"/>
      <c r="S358" s="262"/>
      <c r="T358" s="262"/>
      <c r="U358" s="262"/>
      <c r="V358" s="262"/>
      <c r="W358" s="262"/>
      <c r="X358" s="262"/>
      <c r="Y358" s="262"/>
      <c r="Z358" s="262"/>
      <c r="AA358" s="262"/>
      <c r="AB358" s="262"/>
      <c r="AC358" s="262"/>
      <c r="AD358" s="262"/>
      <c r="AE358" s="262"/>
      <c r="AF358" s="262"/>
      <c r="AG358" s="262"/>
      <c r="AH358" s="263"/>
      <c r="AI358" s="263"/>
      <c r="AJ358" s="263"/>
      <c r="AK358" s="263"/>
      <c r="AL358" s="263"/>
      <c r="AM358" s="263"/>
      <c r="AN358" s="263"/>
      <c r="AO358" s="263"/>
      <c r="AP358" s="263"/>
      <c r="AQ358" s="263"/>
      <c r="AR358" s="263"/>
      <c r="AS358" s="263"/>
      <c r="AT358" s="263"/>
      <c r="AU358" s="263"/>
      <c r="AV358" s="263"/>
      <c r="AW358" s="263"/>
      <c r="AX358" s="264"/>
      <c r="AY358" s="264"/>
      <c r="AZ358" s="264"/>
      <c r="BA358" s="264"/>
      <c r="BB358" s="264"/>
      <c r="BC358" s="264"/>
      <c r="BD358" s="264"/>
      <c r="BE358" s="264"/>
      <c r="BF358" s="264"/>
      <c r="BG358" s="264"/>
      <c r="BH358" s="264"/>
      <c r="BI358" s="264"/>
      <c r="BJ358" s="264"/>
      <c r="BK358" s="264"/>
      <c r="BL358" s="264"/>
      <c r="BM358" s="264"/>
      <c r="BN358" s="265"/>
      <c r="BO358" s="265"/>
      <c r="BP358" s="265"/>
      <c r="BQ358" s="265"/>
      <c r="BR358" s="265"/>
      <c r="BS358" s="265"/>
      <c r="BT358" s="265"/>
      <c r="BU358" s="265"/>
      <c r="BV358" s="265"/>
      <c r="BW358" s="265"/>
      <c r="BX358" s="265"/>
      <c r="BY358" s="265"/>
      <c r="BZ358" s="265"/>
      <c r="CA358" s="265"/>
      <c r="CB358" s="265"/>
      <c r="CC358" s="265"/>
      <c r="CD358" s="266"/>
      <c r="CE358" s="266"/>
      <c r="CF358" s="266"/>
      <c r="CG358" s="266"/>
      <c r="CH358" s="266"/>
      <c r="CI358" s="266"/>
      <c r="CJ358" s="266"/>
      <c r="CK358" s="266"/>
      <c r="CL358" s="266"/>
      <c r="CM358" s="266"/>
      <c r="CN358" s="266"/>
      <c r="CO358" s="266"/>
      <c r="CP358" s="266"/>
      <c r="CQ358" s="266"/>
      <c r="CR358" s="266"/>
      <c r="CS358" s="266"/>
      <c r="CT358" s="267"/>
      <c r="CU358" s="267"/>
      <c r="CV358" s="267"/>
      <c r="CW358" s="267"/>
      <c r="CX358" s="267"/>
      <c r="CY358" s="267"/>
      <c r="CZ358" s="267"/>
      <c r="DA358" s="267"/>
      <c r="DB358" s="267"/>
      <c r="DC358" s="267"/>
      <c r="DD358" s="267"/>
      <c r="DE358" s="267"/>
      <c r="DF358" s="267"/>
      <c r="DG358" s="267"/>
      <c r="DH358" s="267"/>
      <c r="DI358" s="267"/>
      <c r="DJ358" s="268"/>
      <c r="DK358" s="268"/>
      <c r="DL358" s="268"/>
      <c r="DM358" s="268"/>
      <c r="DN358" s="268"/>
      <c r="DO358" s="268"/>
      <c r="DP358" s="268"/>
      <c r="DQ358" s="268"/>
      <c r="DR358" s="268"/>
      <c r="DS358" s="268"/>
      <c r="DT358" s="268"/>
      <c r="DU358" s="268"/>
      <c r="DV358" s="268"/>
      <c r="DW358" s="268"/>
      <c r="DX358" s="268"/>
      <c r="DY358" s="268"/>
      <c r="EA358" s="721"/>
      <c r="EB358" s="714"/>
      <c r="EC358" s="714"/>
      <c r="ED358" s="714"/>
      <c r="EE358" s="714"/>
      <c r="EF358" s="714"/>
      <c r="EG358" s="714"/>
      <c r="EH358" s="714"/>
      <c r="EI358" s="714"/>
      <c r="EJ358" s="714"/>
      <c r="EK358" s="714"/>
      <c r="EL358" s="493"/>
      <c r="EM358" s="493"/>
      <c r="EN358" s="493"/>
      <c r="EO358" s="493"/>
      <c r="EP358" s="493"/>
      <c r="EQ358" s="493"/>
      <c r="ER358" s="714"/>
      <c r="ES358" s="714"/>
      <c r="ET358" s="714"/>
      <c r="EU358" s="714"/>
      <c r="EV358" s="714"/>
      <c r="EW358" s="714"/>
      <c r="EX358" s="714"/>
      <c r="EY358" s="714"/>
      <c r="EZ358" s="714"/>
      <c r="FA358" s="493"/>
      <c r="FB358" s="493"/>
      <c r="FC358" s="493"/>
      <c r="FD358" s="493"/>
      <c r="FE358" s="493"/>
      <c r="FF358" s="714"/>
      <c r="FG358" s="493"/>
      <c r="FH358" s="714"/>
      <c r="FI358" s="714"/>
      <c r="FJ358" s="714"/>
      <c r="FK358" s="714"/>
      <c r="FL358" s="714"/>
      <c r="FM358" s="714"/>
      <c r="FN358" s="714"/>
      <c r="FO358" s="714"/>
      <c r="FP358" s="714"/>
      <c r="FQ358" s="493"/>
      <c r="FR358" s="493"/>
      <c r="FS358" s="493"/>
      <c r="FT358" s="493"/>
      <c r="FU358" s="493"/>
      <c r="FV358" s="714"/>
      <c r="FW358" s="493"/>
      <c r="FX358" s="714"/>
      <c r="FY358" s="714"/>
      <c r="FZ358" s="714"/>
      <c r="GA358" s="714"/>
      <c r="GB358" s="714"/>
      <c r="GC358" s="714"/>
      <c r="GD358" s="714"/>
      <c r="GE358" s="714"/>
      <c r="GF358" s="714"/>
      <c r="GG358" s="493"/>
      <c r="GH358" s="493"/>
      <c r="GI358" s="493"/>
      <c r="GJ358" s="493"/>
      <c r="GK358" s="493"/>
      <c r="GL358" s="714"/>
      <c r="GM358" s="13"/>
      <c r="GN358" s="714"/>
      <c r="GO358" s="714"/>
      <c r="GP358" s="714"/>
      <c r="GQ358" s="714"/>
      <c r="GR358" s="714"/>
      <c r="GS358" s="714"/>
      <c r="GT358" s="714"/>
      <c r="GU358" s="714"/>
      <c r="GV358" s="714"/>
      <c r="GW358" s="493"/>
      <c r="GX358" s="493"/>
      <c r="GY358" s="493"/>
      <c r="GZ358" s="493"/>
      <c r="HA358" s="493"/>
      <c r="HB358" s="714"/>
      <c r="HC358" s="13"/>
      <c r="HD358" s="714"/>
      <c r="HE358" s="714"/>
      <c r="HF358" s="714"/>
      <c r="HG358" s="714"/>
      <c r="HH358" s="714"/>
      <c r="HI358" s="714"/>
      <c r="HJ358" s="714"/>
      <c r="HK358" s="714"/>
      <c r="HL358" s="714"/>
      <c r="HM358" s="493"/>
      <c r="HN358" s="493"/>
      <c r="HO358" s="493"/>
      <c r="HP358" s="493"/>
      <c r="HQ358" s="493"/>
      <c r="HR358" s="714"/>
      <c r="HS358" s="13"/>
      <c r="HT358" s="714"/>
      <c r="HU358" s="714"/>
      <c r="HV358" s="714"/>
      <c r="HW358" s="714"/>
      <c r="HX358" s="714"/>
      <c r="HY358" s="714"/>
      <c r="HZ358" s="714"/>
      <c r="IA358" s="714"/>
      <c r="IB358" s="714"/>
      <c r="IC358" s="493"/>
      <c r="ID358" s="493"/>
      <c r="IE358" s="493"/>
      <c r="IF358" s="493"/>
      <c r="IG358" s="493"/>
      <c r="IH358" s="714"/>
      <c r="II358" s="13"/>
      <c r="IJ358" s="714"/>
      <c r="IK358" s="714"/>
      <c r="IL358" s="714"/>
      <c r="IM358" s="714"/>
      <c r="IN358" s="714"/>
      <c r="IO358" s="714"/>
      <c r="IP358" s="714"/>
      <c r="IQ358" s="714"/>
      <c r="IR358" s="714"/>
      <c r="IS358" s="493"/>
      <c r="IT358" s="493"/>
      <c r="IU358" s="493"/>
      <c r="IV358" s="493"/>
      <c r="IW358" s="493"/>
      <c r="IX358" s="714"/>
      <c r="IY358" s="13"/>
    </row>
    <row r="359" spans="1:259" outlineLevel="1">
      <c r="A359" s="11">
        <f>'VAC &amp; MED'!C364</f>
        <v>46330</v>
      </c>
      <c r="B359" s="261"/>
      <c r="C359" s="261"/>
      <c r="D359" s="261"/>
      <c r="E359" s="261"/>
      <c r="F359" s="261"/>
      <c r="G359" s="261"/>
      <c r="H359" s="261"/>
      <c r="I359" s="261"/>
      <c r="J359" s="261"/>
      <c r="K359" s="261"/>
      <c r="L359" s="261"/>
      <c r="M359" s="261"/>
      <c r="N359" s="261"/>
      <c r="O359" s="261"/>
      <c r="P359" s="261"/>
      <c r="Q359" s="261"/>
      <c r="R359" s="262"/>
      <c r="S359" s="262"/>
      <c r="T359" s="262"/>
      <c r="U359" s="262"/>
      <c r="V359" s="262"/>
      <c r="W359" s="262"/>
      <c r="X359" s="262"/>
      <c r="Y359" s="262"/>
      <c r="Z359" s="262"/>
      <c r="AA359" s="262"/>
      <c r="AB359" s="262"/>
      <c r="AC359" s="262"/>
      <c r="AD359" s="262"/>
      <c r="AE359" s="262"/>
      <c r="AF359" s="262"/>
      <c r="AG359" s="262"/>
      <c r="AH359" s="263"/>
      <c r="AI359" s="263"/>
      <c r="AJ359" s="263"/>
      <c r="AK359" s="263"/>
      <c r="AL359" s="263"/>
      <c r="AM359" s="263"/>
      <c r="AN359" s="263"/>
      <c r="AO359" s="263"/>
      <c r="AP359" s="263"/>
      <c r="AQ359" s="263"/>
      <c r="AR359" s="263"/>
      <c r="AS359" s="263"/>
      <c r="AT359" s="263"/>
      <c r="AU359" s="263"/>
      <c r="AV359" s="263"/>
      <c r="AW359" s="263"/>
      <c r="AX359" s="264"/>
      <c r="AY359" s="264"/>
      <c r="AZ359" s="264"/>
      <c r="BA359" s="264"/>
      <c r="BB359" s="264"/>
      <c r="BC359" s="264"/>
      <c r="BD359" s="264"/>
      <c r="BE359" s="264"/>
      <c r="BF359" s="264"/>
      <c r="BG359" s="264"/>
      <c r="BH359" s="264"/>
      <c r="BI359" s="264"/>
      <c r="BJ359" s="264"/>
      <c r="BK359" s="264"/>
      <c r="BL359" s="264"/>
      <c r="BM359" s="264"/>
      <c r="BN359" s="265"/>
      <c r="BO359" s="265"/>
      <c r="BP359" s="265"/>
      <c r="BQ359" s="265"/>
      <c r="BR359" s="265"/>
      <c r="BS359" s="265"/>
      <c r="BT359" s="265"/>
      <c r="BU359" s="265"/>
      <c r="BV359" s="265"/>
      <c r="BW359" s="265"/>
      <c r="BX359" s="265"/>
      <c r="BY359" s="265"/>
      <c r="BZ359" s="265"/>
      <c r="CA359" s="265"/>
      <c r="CB359" s="265"/>
      <c r="CC359" s="265"/>
      <c r="CD359" s="266"/>
      <c r="CE359" s="266"/>
      <c r="CF359" s="266"/>
      <c r="CG359" s="266"/>
      <c r="CH359" s="266"/>
      <c r="CI359" s="266"/>
      <c r="CJ359" s="266"/>
      <c r="CK359" s="266"/>
      <c r="CL359" s="266"/>
      <c r="CM359" s="266"/>
      <c r="CN359" s="266"/>
      <c r="CO359" s="266"/>
      <c r="CP359" s="266"/>
      <c r="CQ359" s="266"/>
      <c r="CR359" s="266"/>
      <c r="CS359" s="266"/>
      <c r="CT359" s="267"/>
      <c r="CU359" s="267"/>
      <c r="CV359" s="267"/>
      <c r="CW359" s="267"/>
      <c r="CX359" s="267"/>
      <c r="CY359" s="267"/>
      <c r="CZ359" s="267"/>
      <c r="DA359" s="267"/>
      <c r="DB359" s="267"/>
      <c r="DC359" s="267"/>
      <c r="DD359" s="267"/>
      <c r="DE359" s="267"/>
      <c r="DF359" s="267"/>
      <c r="DG359" s="267"/>
      <c r="DH359" s="267"/>
      <c r="DI359" s="267"/>
      <c r="DJ359" s="268"/>
      <c r="DK359" s="268"/>
      <c r="DL359" s="268"/>
      <c r="DM359" s="268"/>
      <c r="DN359" s="268"/>
      <c r="DO359" s="268"/>
      <c r="DP359" s="268"/>
      <c r="DQ359" s="268"/>
      <c r="DR359" s="268"/>
      <c r="DS359" s="268"/>
      <c r="DT359" s="268"/>
      <c r="DU359" s="268"/>
      <c r="DV359" s="268"/>
      <c r="DW359" s="268"/>
      <c r="DX359" s="268"/>
      <c r="DY359" s="268"/>
      <c r="EA359" s="13"/>
      <c r="EB359" s="96"/>
      <c r="EC359" s="96"/>
      <c r="ED359" s="96"/>
      <c r="EE359" s="96"/>
      <c r="EF359" s="96"/>
      <c r="EG359" s="96"/>
      <c r="EH359" s="96"/>
      <c r="EI359" s="96"/>
      <c r="EJ359" s="96"/>
      <c r="EK359" s="96"/>
      <c r="EL359" s="96"/>
      <c r="EM359" s="96"/>
      <c r="EN359" s="96"/>
      <c r="EO359" s="96"/>
      <c r="EP359" s="96"/>
      <c r="EQ359" s="96"/>
      <c r="ER359" s="96"/>
      <c r="ES359" s="96"/>
      <c r="ET359" s="96"/>
      <c r="EU359" s="96"/>
      <c r="EV359" s="96"/>
      <c r="EW359" s="96"/>
      <c r="EX359" s="96"/>
      <c r="EY359" s="96"/>
      <c r="EZ359" s="96"/>
      <c r="FA359" s="96"/>
      <c r="FB359" s="96"/>
      <c r="FC359" s="96"/>
      <c r="FD359" s="96"/>
      <c r="FE359" s="96"/>
      <c r="FF359" s="96"/>
      <c r="FG359" s="96"/>
      <c r="FH359" s="96"/>
      <c r="FI359" s="96"/>
      <c r="FJ359" s="96"/>
      <c r="FK359" s="96"/>
      <c r="FL359" s="96"/>
      <c r="FM359" s="96"/>
      <c r="FN359" s="96"/>
      <c r="FO359" s="96"/>
      <c r="FP359" s="96"/>
      <c r="FQ359" s="96"/>
      <c r="FR359" s="96"/>
      <c r="FS359" s="96"/>
      <c r="FT359" s="96"/>
      <c r="FU359" s="96"/>
      <c r="FV359" s="96"/>
      <c r="FW359" s="96"/>
      <c r="FX359" s="96"/>
      <c r="FY359" s="96"/>
      <c r="FZ359" s="96"/>
      <c r="GA359" s="96"/>
      <c r="GB359" s="96"/>
      <c r="GC359" s="96"/>
      <c r="GD359" s="96"/>
      <c r="GE359" s="96"/>
      <c r="GF359" s="96"/>
      <c r="GG359" s="96"/>
      <c r="GH359" s="96"/>
      <c r="GI359" s="96"/>
      <c r="GJ359" s="96"/>
      <c r="GK359" s="96"/>
      <c r="GL359" s="96"/>
      <c r="GM359" s="13"/>
      <c r="GN359" s="96"/>
      <c r="GO359" s="96"/>
      <c r="GP359" s="96"/>
      <c r="GQ359" s="96"/>
      <c r="GR359" s="96"/>
      <c r="GS359" s="96"/>
      <c r="GT359" s="96"/>
      <c r="GU359" s="96"/>
      <c r="GV359" s="96"/>
      <c r="GW359" s="96"/>
      <c r="GX359" s="96"/>
      <c r="GY359" s="96"/>
      <c r="GZ359" s="96"/>
      <c r="HA359" s="96"/>
      <c r="HB359" s="96"/>
      <c r="HC359" s="13"/>
      <c r="HD359" s="96"/>
      <c r="HE359" s="96"/>
      <c r="HF359" s="96"/>
      <c r="HG359" s="96"/>
      <c r="HH359" s="96"/>
      <c r="HI359" s="96"/>
      <c r="HJ359" s="96"/>
      <c r="HK359" s="96"/>
      <c r="HL359" s="96"/>
      <c r="HM359" s="96"/>
      <c r="HN359" s="96"/>
      <c r="HO359" s="96"/>
      <c r="HP359" s="96"/>
      <c r="HQ359" s="96"/>
      <c r="HR359" s="96"/>
      <c r="HS359" s="13"/>
      <c r="HT359" s="96"/>
      <c r="HU359" s="96"/>
      <c r="HV359" s="96"/>
      <c r="HW359" s="96"/>
      <c r="HX359" s="96"/>
      <c r="HY359" s="96"/>
      <c r="HZ359" s="96"/>
      <c r="IA359" s="96"/>
      <c r="IB359" s="96"/>
      <c r="IC359" s="96"/>
      <c r="ID359" s="96"/>
      <c r="IE359" s="96"/>
      <c r="IF359" s="96"/>
      <c r="IG359" s="96"/>
      <c r="IH359" s="96"/>
      <c r="II359" s="13"/>
      <c r="IJ359" s="96"/>
      <c r="IK359" s="96"/>
      <c r="IL359" s="96"/>
      <c r="IM359" s="96"/>
      <c r="IN359" s="96"/>
      <c r="IO359" s="96"/>
      <c r="IP359" s="96"/>
      <c r="IQ359" s="96"/>
      <c r="IR359" s="96"/>
      <c r="IS359" s="96"/>
      <c r="IT359" s="96"/>
      <c r="IU359" s="96"/>
      <c r="IV359" s="96"/>
      <c r="IW359" s="96"/>
      <c r="IX359" s="96"/>
      <c r="IY359" s="13"/>
    </row>
    <row r="360" spans="1:259" outlineLevel="1">
      <c r="A360" s="11">
        <f>'VAC &amp; MED'!C365</f>
        <v>46331</v>
      </c>
      <c r="B360" s="261"/>
      <c r="C360" s="261"/>
      <c r="D360" s="261"/>
      <c r="E360" s="261"/>
      <c r="F360" s="261"/>
      <c r="G360" s="261"/>
      <c r="H360" s="261"/>
      <c r="I360" s="261"/>
      <c r="J360" s="261"/>
      <c r="K360" s="261"/>
      <c r="L360" s="261"/>
      <c r="M360" s="261"/>
      <c r="N360" s="261"/>
      <c r="O360" s="261"/>
      <c r="P360" s="261"/>
      <c r="Q360" s="261"/>
      <c r="R360" s="262"/>
      <c r="S360" s="262"/>
      <c r="T360" s="262"/>
      <c r="U360" s="262"/>
      <c r="V360" s="262"/>
      <c r="W360" s="262"/>
      <c r="X360" s="262"/>
      <c r="Y360" s="262"/>
      <c r="Z360" s="262"/>
      <c r="AA360" s="262"/>
      <c r="AB360" s="262"/>
      <c r="AC360" s="262"/>
      <c r="AD360" s="262"/>
      <c r="AE360" s="262"/>
      <c r="AF360" s="262"/>
      <c r="AG360" s="262"/>
      <c r="AH360" s="263"/>
      <c r="AI360" s="263"/>
      <c r="AJ360" s="263"/>
      <c r="AK360" s="263"/>
      <c r="AL360" s="263"/>
      <c r="AM360" s="263"/>
      <c r="AN360" s="263"/>
      <c r="AO360" s="263"/>
      <c r="AP360" s="263"/>
      <c r="AQ360" s="263"/>
      <c r="AR360" s="263"/>
      <c r="AS360" s="263"/>
      <c r="AT360" s="263"/>
      <c r="AU360" s="263"/>
      <c r="AV360" s="263"/>
      <c r="AW360" s="263"/>
      <c r="AX360" s="264"/>
      <c r="AY360" s="264"/>
      <c r="AZ360" s="264"/>
      <c r="BA360" s="264"/>
      <c r="BB360" s="264"/>
      <c r="BC360" s="264"/>
      <c r="BD360" s="264"/>
      <c r="BE360" s="264"/>
      <c r="BF360" s="264"/>
      <c r="BG360" s="264"/>
      <c r="BH360" s="264"/>
      <c r="BI360" s="264"/>
      <c r="BJ360" s="264"/>
      <c r="BK360" s="264"/>
      <c r="BL360" s="264"/>
      <c r="BM360" s="264"/>
      <c r="BN360" s="265"/>
      <c r="BO360" s="265"/>
      <c r="BP360" s="265"/>
      <c r="BQ360" s="265"/>
      <c r="BR360" s="265"/>
      <c r="BS360" s="265"/>
      <c r="BT360" s="265"/>
      <c r="BU360" s="265"/>
      <c r="BV360" s="265"/>
      <c r="BW360" s="265"/>
      <c r="BX360" s="265"/>
      <c r="BY360" s="265"/>
      <c r="BZ360" s="265"/>
      <c r="CA360" s="265"/>
      <c r="CB360" s="265"/>
      <c r="CC360" s="265"/>
      <c r="CD360" s="266"/>
      <c r="CE360" s="266"/>
      <c r="CF360" s="266"/>
      <c r="CG360" s="266"/>
      <c r="CH360" s="266"/>
      <c r="CI360" s="266"/>
      <c r="CJ360" s="266"/>
      <c r="CK360" s="266"/>
      <c r="CL360" s="266"/>
      <c r="CM360" s="266"/>
      <c r="CN360" s="266"/>
      <c r="CO360" s="266"/>
      <c r="CP360" s="266"/>
      <c r="CQ360" s="266"/>
      <c r="CR360" s="266"/>
      <c r="CS360" s="266"/>
      <c r="CT360" s="267"/>
      <c r="CU360" s="267"/>
      <c r="CV360" s="267"/>
      <c r="CW360" s="267"/>
      <c r="CX360" s="267"/>
      <c r="CY360" s="267"/>
      <c r="CZ360" s="267"/>
      <c r="DA360" s="267"/>
      <c r="DB360" s="267"/>
      <c r="DC360" s="267"/>
      <c r="DD360" s="267"/>
      <c r="DE360" s="267"/>
      <c r="DF360" s="267"/>
      <c r="DG360" s="267"/>
      <c r="DH360" s="267"/>
      <c r="DI360" s="267"/>
      <c r="DJ360" s="268"/>
      <c r="DK360" s="268"/>
      <c r="DL360" s="268"/>
      <c r="DM360" s="268"/>
      <c r="DN360" s="268"/>
      <c r="DO360" s="268"/>
      <c r="DP360" s="268"/>
      <c r="DQ360" s="268"/>
      <c r="DR360" s="268"/>
      <c r="DS360" s="268"/>
      <c r="DT360" s="268"/>
      <c r="DU360" s="268"/>
      <c r="DV360" s="268"/>
      <c r="DW360" s="268"/>
      <c r="DX360" s="268"/>
      <c r="DY360" s="268"/>
      <c r="EA360" s="13"/>
      <c r="EB360" s="96"/>
      <c r="EC360" s="96"/>
      <c r="ED360" s="96"/>
      <c r="EE360" s="96"/>
      <c r="EF360" s="96"/>
      <c r="EG360" s="96"/>
      <c r="EH360" s="96"/>
      <c r="EI360" s="96"/>
      <c r="EJ360" s="96"/>
      <c r="EK360" s="96"/>
      <c r="EL360" s="96"/>
      <c r="EM360" s="96"/>
      <c r="EN360" s="96"/>
      <c r="EO360" s="96"/>
      <c r="EP360" s="96"/>
      <c r="EQ360" s="96"/>
      <c r="ER360" s="96"/>
      <c r="ES360" s="96"/>
      <c r="ET360" s="96"/>
      <c r="EU360" s="96"/>
      <c r="EV360" s="96"/>
      <c r="EW360" s="96"/>
      <c r="EX360" s="96"/>
      <c r="EY360" s="96"/>
      <c r="EZ360" s="96"/>
      <c r="FA360" s="96"/>
      <c r="FB360" s="96"/>
      <c r="FC360" s="96"/>
      <c r="FD360" s="96"/>
      <c r="FE360" s="96"/>
      <c r="FF360" s="96"/>
      <c r="FG360" s="96"/>
      <c r="FH360" s="96"/>
      <c r="FI360" s="96"/>
      <c r="FJ360" s="96"/>
      <c r="FK360" s="96"/>
      <c r="FL360" s="96"/>
      <c r="FM360" s="96"/>
      <c r="FN360" s="96"/>
      <c r="FO360" s="96"/>
      <c r="FP360" s="96"/>
      <c r="FQ360" s="96"/>
      <c r="FR360" s="96"/>
      <c r="FS360" s="96"/>
      <c r="FT360" s="96"/>
      <c r="FU360" s="96"/>
      <c r="FV360" s="96"/>
      <c r="FW360" s="96"/>
      <c r="FX360" s="96"/>
      <c r="FY360" s="96"/>
      <c r="FZ360" s="96"/>
      <c r="GA360" s="96"/>
      <c r="GB360" s="96"/>
      <c r="GC360" s="96"/>
      <c r="GD360" s="96"/>
      <c r="GE360" s="96"/>
      <c r="GF360" s="96"/>
      <c r="GG360" s="96"/>
      <c r="GH360" s="96"/>
      <c r="GI360" s="96"/>
      <c r="GJ360" s="96"/>
      <c r="GK360" s="96"/>
      <c r="GL360" s="96"/>
      <c r="GM360" s="13"/>
      <c r="GN360" s="96"/>
      <c r="GO360" s="96"/>
      <c r="GP360" s="96"/>
      <c r="GQ360" s="96"/>
      <c r="GR360" s="96"/>
      <c r="GS360" s="96"/>
      <c r="GT360" s="96"/>
      <c r="GU360" s="96"/>
      <c r="GV360" s="96"/>
      <c r="GW360" s="96"/>
      <c r="GX360" s="96"/>
      <c r="GY360" s="96"/>
      <c r="GZ360" s="96"/>
      <c r="HA360" s="96"/>
      <c r="HB360" s="96"/>
      <c r="HC360" s="13"/>
      <c r="HD360" s="96"/>
      <c r="HE360" s="96"/>
      <c r="HF360" s="96"/>
      <c r="HG360" s="96"/>
      <c r="HH360" s="96"/>
      <c r="HI360" s="96"/>
      <c r="HJ360" s="96"/>
      <c r="HK360" s="96"/>
      <c r="HL360" s="96"/>
      <c r="HM360" s="96"/>
      <c r="HN360" s="96"/>
      <c r="HO360" s="96"/>
      <c r="HP360" s="96"/>
      <c r="HQ360" s="96"/>
      <c r="HR360" s="96"/>
      <c r="HS360" s="13"/>
      <c r="HT360" s="96"/>
      <c r="HU360" s="96"/>
      <c r="HV360" s="96"/>
      <c r="HW360" s="96"/>
      <c r="HX360" s="96"/>
      <c r="HY360" s="96"/>
      <c r="HZ360" s="96"/>
      <c r="IA360" s="96"/>
      <c r="IB360" s="96"/>
      <c r="IC360" s="96"/>
      <c r="ID360" s="96"/>
      <c r="IE360" s="96"/>
      <c r="IF360" s="96"/>
      <c r="IG360" s="96"/>
      <c r="IH360" s="96"/>
      <c r="II360" s="13"/>
      <c r="IJ360" s="96"/>
      <c r="IK360" s="96"/>
      <c r="IL360" s="96"/>
      <c r="IM360" s="96"/>
      <c r="IN360" s="96"/>
      <c r="IO360" s="96"/>
      <c r="IP360" s="96"/>
      <c r="IQ360" s="96"/>
      <c r="IR360" s="96"/>
      <c r="IS360" s="96"/>
      <c r="IT360" s="96"/>
      <c r="IU360" s="96"/>
      <c r="IV360" s="96"/>
      <c r="IW360" s="96"/>
      <c r="IX360" s="96"/>
      <c r="IY360" s="13"/>
    </row>
    <row r="361" spans="1:259" outlineLevel="1">
      <c r="A361" s="11">
        <f>'VAC &amp; MED'!C366</f>
        <v>46332</v>
      </c>
      <c r="B361" s="261"/>
      <c r="C361" s="261"/>
      <c r="D361" s="261"/>
      <c r="E361" s="261"/>
      <c r="F361" s="261"/>
      <c r="G361" s="261"/>
      <c r="H361" s="261"/>
      <c r="I361" s="261"/>
      <c r="J361" s="261"/>
      <c r="K361" s="261"/>
      <c r="L361" s="261"/>
      <c r="M361" s="261"/>
      <c r="N361" s="261"/>
      <c r="O361" s="261"/>
      <c r="P361" s="261"/>
      <c r="Q361" s="261"/>
      <c r="R361" s="262"/>
      <c r="S361" s="262"/>
      <c r="T361" s="262"/>
      <c r="U361" s="262"/>
      <c r="V361" s="262"/>
      <c r="W361" s="262"/>
      <c r="X361" s="262"/>
      <c r="Y361" s="262"/>
      <c r="Z361" s="262"/>
      <c r="AA361" s="262"/>
      <c r="AB361" s="262"/>
      <c r="AC361" s="262"/>
      <c r="AD361" s="262"/>
      <c r="AE361" s="262"/>
      <c r="AF361" s="262"/>
      <c r="AG361" s="262"/>
      <c r="AH361" s="263"/>
      <c r="AI361" s="263"/>
      <c r="AJ361" s="263"/>
      <c r="AK361" s="263"/>
      <c r="AL361" s="263"/>
      <c r="AM361" s="263"/>
      <c r="AN361" s="263"/>
      <c r="AO361" s="263"/>
      <c r="AP361" s="263"/>
      <c r="AQ361" s="263"/>
      <c r="AR361" s="263"/>
      <c r="AS361" s="263"/>
      <c r="AT361" s="263"/>
      <c r="AU361" s="263"/>
      <c r="AV361" s="263"/>
      <c r="AW361" s="263"/>
      <c r="AX361" s="264"/>
      <c r="AY361" s="264"/>
      <c r="AZ361" s="264"/>
      <c r="BA361" s="264"/>
      <c r="BB361" s="264"/>
      <c r="BC361" s="264"/>
      <c r="BD361" s="264"/>
      <c r="BE361" s="264"/>
      <c r="BF361" s="264"/>
      <c r="BG361" s="264"/>
      <c r="BH361" s="264"/>
      <c r="BI361" s="264"/>
      <c r="BJ361" s="264"/>
      <c r="BK361" s="264"/>
      <c r="BL361" s="264"/>
      <c r="BM361" s="264"/>
      <c r="BN361" s="265"/>
      <c r="BO361" s="265"/>
      <c r="BP361" s="265"/>
      <c r="BQ361" s="265"/>
      <c r="BR361" s="265"/>
      <c r="BS361" s="265"/>
      <c r="BT361" s="265"/>
      <c r="BU361" s="265"/>
      <c r="BV361" s="265"/>
      <c r="BW361" s="265"/>
      <c r="BX361" s="265"/>
      <c r="BY361" s="265"/>
      <c r="BZ361" s="265"/>
      <c r="CA361" s="265"/>
      <c r="CB361" s="265"/>
      <c r="CC361" s="265"/>
      <c r="CD361" s="266"/>
      <c r="CE361" s="266"/>
      <c r="CF361" s="266"/>
      <c r="CG361" s="266"/>
      <c r="CH361" s="266"/>
      <c r="CI361" s="266"/>
      <c r="CJ361" s="266"/>
      <c r="CK361" s="266"/>
      <c r="CL361" s="266"/>
      <c r="CM361" s="266"/>
      <c r="CN361" s="266"/>
      <c r="CO361" s="266"/>
      <c r="CP361" s="266"/>
      <c r="CQ361" s="266"/>
      <c r="CR361" s="266"/>
      <c r="CS361" s="266"/>
      <c r="CT361" s="267"/>
      <c r="CU361" s="267"/>
      <c r="CV361" s="267"/>
      <c r="CW361" s="267"/>
      <c r="CX361" s="267"/>
      <c r="CY361" s="267"/>
      <c r="CZ361" s="267"/>
      <c r="DA361" s="267"/>
      <c r="DB361" s="267"/>
      <c r="DC361" s="267"/>
      <c r="DD361" s="267"/>
      <c r="DE361" s="267"/>
      <c r="DF361" s="267"/>
      <c r="DG361" s="267"/>
      <c r="DH361" s="267"/>
      <c r="DI361" s="267"/>
      <c r="DJ361" s="268"/>
      <c r="DK361" s="268"/>
      <c r="DL361" s="268"/>
      <c r="DM361" s="268"/>
      <c r="DN361" s="268"/>
      <c r="DO361" s="268"/>
      <c r="DP361" s="268"/>
      <c r="DQ361" s="268"/>
      <c r="DR361" s="268"/>
      <c r="DS361" s="268"/>
      <c r="DT361" s="268"/>
      <c r="DU361" s="268"/>
      <c r="DV361" s="268"/>
      <c r="DW361" s="268"/>
      <c r="DX361" s="268"/>
      <c r="DY361" s="268"/>
      <c r="EA361" s="13"/>
      <c r="EB361" s="96"/>
      <c r="EC361" s="96"/>
      <c r="ED361" s="96"/>
      <c r="EE361" s="96"/>
      <c r="EF361" s="96"/>
      <c r="EG361" s="96"/>
      <c r="EH361" s="96"/>
      <c r="EI361" s="96"/>
      <c r="EJ361" s="96"/>
      <c r="EK361" s="96"/>
      <c r="EL361" s="96"/>
      <c r="EM361" s="96"/>
      <c r="EN361" s="96"/>
      <c r="EO361" s="96"/>
      <c r="EP361" s="96"/>
      <c r="EQ361" s="96"/>
      <c r="ER361" s="96"/>
      <c r="ES361" s="96"/>
      <c r="ET361" s="96"/>
      <c r="EU361" s="96"/>
      <c r="EV361" s="96"/>
      <c r="EW361" s="96"/>
      <c r="EX361" s="96"/>
      <c r="EY361" s="96"/>
      <c r="EZ361" s="96"/>
      <c r="FA361" s="96"/>
      <c r="FB361" s="96"/>
      <c r="FC361" s="96"/>
      <c r="FD361" s="96"/>
      <c r="FE361" s="96"/>
      <c r="FF361" s="96"/>
      <c r="FG361" s="96"/>
      <c r="FH361" s="96"/>
      <c r="FI361" s="96"/>
      <c r="FJ361" s="96"/>
      <c r="FK361" s="96"/>
      <c r="FL361" s="96"/>
      <c r="FM361" s="96"/>
      <c r="FN361" s="96"/>
      <c r="FO361" s="96"/>
      <c r="FP361" s="96"/>
      <c r="FQ361" s="96"/>
      <c r="FR361" s="96"/>
      <c r="FS361" s="96"/>
      <c r="FT361" s="96"/>
      <c r="FU361" s="96"/>
      <c r="FV361" s="96"/>
      <c r="FW361" s="96"/>
      <c r="FX361" s="96"/>
      <c r="FY361" s="96"/>
      <c r="FZ361" s="96"/>
      <c r="GA361" s="96"/>
      <c r="GB361" s="96"/>
      <c r="GC361" s="96"/>
      <c r="GD361" s="96"/>
      <c r="GE361" s="96"/>
      <c r="GF361" s="96"/>
      <c r="GG361" s="96"/>
      <c r="GH361" s="96"/>
      <c r="GI361" s="96"/>
      <c r="GJ361" s="96"/>
      <c r="GK361" s="96"/>
      <c r="GL361" s="96"/>
      <c r="GM361" s="13"/>
      <c r="GN361" s="96"/>
      <c r="GO361" s="96"/>
      <c r="GP361" s="96"/>
      <c r="GQ361" s="96"/>
      <c r="GR361" s="96"/>
      <c r="GS361" s="96"/>
      <c r="GT361" s="96"/>
      <c r="GU361" s="96"/>
      <c r="GV361" s="96"/>
      <c r="GW361" s="96"/>
      <c r="GX361" s="96"/>
      <c r="GY361" s="96"/>
      <c r="GZ361" s="96"/>
      <c r="HA361" s="96"/>
      <c r="HB361" s="96"/>
      <c r="HC361" s="13"/>
      <c r="HD361" s="96"/>
      <c r="HE361" s="96"/>
      <c r="HF361" s="96"/>
      <c r="HG361" s="96"/>
      <c r="HH361" s="96"/>
      <c r="HI361" s="96"/>
      <c r="HJ361" s="96"/>
      <c r="HK361" s="96"/>
      <c r="HL361" s="96"/>
      <c r="HM361" s="96"/>
      <c r="HN361" s="96"/>
      <c r="HO361" s="96"/>
      <c r="HP361" s="96"/>
      <c r="HQ361" s="96"/>
      <c r="HR361" s="96"/>
      <c r="HS361" s="13"/>
      <c r="HT361" s="96"/>
      <c r="HU361" s="96"/>
      <c r="HV361" s="96"/>
      <c r="HW361" s="96"/>
      <c r="HX361" s="96"/>
      <c r="HY361" s="96"/>
      <c r="HZ361" s="96"/>
      <c r="IA361" s="96"/>
      <c r="IB361" s="96"/>
      <c r="IC361" s="96"/>
      <c r="ID361" s="96"/>
      <c r="IE361" s="96"/>
      <c r="IF361" s="96"/>
      <c r="IG361" s="96"/>
      <c r="IH361" s="96"/>
      <c r="II361" s="13"/>
      <c r="IJ361" s="96"/>
      <c r="IK361" s="96"/>
      <c r="IL361" s="96"/>
      <c r="IM361" s="96"/>
      <c r="IN361" s="96"/>
      <c r="IO361" s="96"/>
      <c r="IP361" s="96"/>
      <c r="IQ361" s="96"/>
      <c r="IR361" s="96"/>
      <c r="IS361" s="96"/>
      <c r="IT361" s="96"/>
      <c r="IU361" s="96"/>
      <c r="IV361" s="96"/>
      <c r="IW361" s="96"/>
      <c r="IX361" s="96"/>
      <c r="IY361" s="13"/>
    </row>
    <row r="362" spans="1:259" outlineLevel="1">
      <c r="A362" s="11">
        <f>'VAC &amp; MED'!C367</f>
        <v>46333</v>
      </c>
      <c r="B362" s="261"/>
      <c r="C362" s="261"/>
      <c r="D362" s="261"/>
      <c r="E362" s="261"/>
      <c r="F362" s="261"/>
      <c r="G362" s="261"/>
      <c r="H362" s="261"/>
      <c r="I362" s="261"/>
      <c r="J362" s="261"/>
      <c r="K362" s="261"/>
      <c r="L362" s="261"/>
      <c r="M362" s="261"/>
      <c r="N362" s="261"/>
      <c r="O362" s="261"/>
      <c r="P362" s="261"/>
      <c r="Q362" s="261"/>
      <c r="R362" s="262"/>
      <c r="S362" s="262"/>
      <c r="T362" s="262"/>
      <c r="U362" s="262"/>
      <c r="V362" s="262"/>
      <c r="W362" s="262"/>
      <c r="X362" s="262"/>
      <c r="Y362" s="262"/>
      <c r="Z362" s="262"/>
      <c r="AA362" s="262"/>
      <c r="AB362" s="262"/>
      <c r="AC362" s="262"/>
      <c r="AD362" s="262"/>
      <c r="AE362" s="262"/>
      <c r="AF362" s="262"/>
      <c r="AG362" s="262"/>
      <c r="AH362" s="263"/>
      <c r="AI362" s="263"/>
      <c r="AJ362" s="263"/>
      <c r="AK362" s="263"/>
      <c r="AL362" s="263"/>
      <c r="AM362" s="263"/>
      <c r="AN362" s="263"/>
      <c r="AO362" s="263"/>
      <c r="AP362" s="263"/>
      <c r="AQ362" s="263"/>
      <c r="AR362" s="263"/>
      <c r="AS362" s="263"/>
      <c r="AT362" s="263"/>
      <c r="AU362" s="263"/>
      <c r="AV362" s="263"/>
      <c r="AW362" s="263"/>
      <c r="AX362" s="264"/>
      <c r="AY362" s="264"/>
      <c r="AZ362" s="264"/>
      <c r="BA362" s="264"/>
      <c r="BB362" s="264"/>
      <c r="BC362" s="264"/>
      <c r="BD362" s="264"/>
      <c r="BE362" s="264"/>
      <c r="BF362" s="264"/>
      <c r="BG362" s="264"/>
      <c r="BH362" s="264"/>
      <c r="BI362" s="264"/>
      <c r="BJ362" s="264"/>
      <c r="BK362" s="264"/>
      <c r="BL362" s="264"/>
      <c r="BM362" s="264"/>
      <c r="BN362" s="265"/>
      <c r="BO362" s="265"/>
      <c r="BP362" s="265"/>
      <c r="BQ362" s="265"/>
      <c r="BR362" s="265"/>
      <c r="BS362" s="265"/>
      <c r="BT362" s="265"/>
      <c r="BU362" s="265"/>
      <c r="BV362" s="265"/>
      <c r="BW362" s="265"/>
      <c r="BX362" s="265"/>
      <c r="BY362" s="265"/>
      <c r="BZ362" s="265"/>
      <c r="CA362" s="265"/>
      <c r="CB362" s="265"/>
      <c r="CC362" s="265"/>
      <c r="CD362" s="266"/>
      <c r="CE362" s="266"/>
      <c r="CF362" s="266"/>
      <c r="CG362" s="266"/>
      <c r="CH362" s="266"/>
      <c r="CI362" s="266"/>
      <c r="CJ362" s="266"/>
      <c r="CK362" s="266"/>
      <c r="CL362" s="266"/>
      <c r="CM362" s="266"/>
      <c r="CN362" s="266"/>
      <c r="CO362" s="266"/>
      <c r="CP362" s="266"/>
      <c r="CQ362" s="266"/>
      <c r="CR362" s="266"/>
      <c r="CS362" s="266"/>
      <c r="CT362" s="267"/>
      <c r="CU362" s="267"/>
      <c r="CV362" s="267"/>
      <c r="CW362" s="267"/>
      <c r="CX362" s="267"/>
      <c r="CY362" s="267"/>
      <c r="CZ362" s="267"/>
      <c r="DA362" s="267"/>
      <c r="DB362" s="267"/>
      <c r="DC362" s="267"/>
      <c r="DD362" s="267"/>
      <c r="DE362" s="267"/>
      <c r="DF362" s="267"/>
      <c r="DG362" s="267"/>
      <c r="DH362" s="267"/>
      <c r="DI362" s="267"/>
      <c r="DJ362" s="268"/>
      <c r="DK362" s="268"/>
      <c r="DL362" s="268"/>
      <c r="DM362" s="268"/>
      <c r="DN362" s="268"/>
      <c r="DO362" s="268"/>
      <c r="DP362" s="268"/>
      <c r="DQ362" s="268"/>
      <c r="DR362" s="268"/>
      <c r="DS362" s="268"/>
      <c r="DT362" s="268"/>
      <c r="DU362" s="268"/>
      <c r="DV362" s="268"/>
      <c r="DW362" s="268"/>
      <c r="DX362" s="268"/>
      <c r="DY362" s="268"/>
      <c r="EA362" s="13"/>
      <c r="EB362" s="96"/>
      <c r="EC362" s="96"/>
      <c r="ED362" s="96"/>
      <c r="EE362" s="96"/>
      <c r="EF362" s="96"/>
      <c r="EG362" s="96"/>
      <c r="EH362" s="96"/>
      <c r="EI362" s="96"/>
      <c r="EJ362" s="96"/>
      <c r="EK362" s="96"/>
      <c r="EL362" s="96"/>
      <c r="EM362" s="96"/>
      <c r="EN362" s="96"/>
      <c r="EO362" s="96"/>
      <c r="EP362" s="96"/>
      <c r="EQ362" s="96"/>
      <c r="ER362" s="96"/>
      <c r="ES362" s="96"/>
      <c r="ET362" s="96"/>
      <c r="EU362" s="96"/>
      <c r="EV362" s="96"/>
      <c r="EW362" s="96"/>
      <c r="EX362" s="96"/>
      <c r="EY362" s="96"/>
      <c r="EZ362" s="96"/>
      <c r="FA362" s="96"/>
      <c r="FB362" s="96"/>
      <c r="FC362" s="96"/>
      <c r="FD362" s="96"/>
      <c r="FE362" s="96"/>
      <c r="FF362" s="96"/>
      <c r="FG362" s="96"/>
      <c r="FH362" s="96"/>
      <c r="FI362" s="96"/>
      <c r="FJ362" s="96"/>
      <c r="FK362" s="96"/>
      <c r="FL362" s="96"/>
      <c r="FM362" s="96"/>
      <c r="FN362" s="96"/>
      <c r="FO362" s="96"/>
      <c r="FP362" s="96"/>
      <c r="FQ362" s="96"/>
      <c r="FR362" s="96"/>
      <c r="FS362" s="96"/>
      <c r="FT362" s="96"/>
      <c r="FU362" s="96"/>
      <c r="FV362" s="96"/>
      <c r="FW362" s="96"/>
      <c r="FX362" s="96"/>
      <c r="FY362" s="96"/>
      <c r="FZ362" s="96"/>
      <c r="GA362" s="96"/>
      <c r="GB362" s="96"/>
      <c r="GC362" s="96"/>
      <c r="GD362" s="96"/>
      <c r="GE362" s="96"/>
      <c r="GF362" s="96"/>
      <c r="GG362" s="96"/>
      <c r="GH362" s="96"/>
      <c r="GI362" s="96"/>
      <c r="GJ362" s="96"/>
      <c r="GK362" s="96"/>
      <c r="GL362" s="96"/>
      <c r="GM362" s="13"/>
      <c r="GN362" s="96"/>
      <c r="GO362" s="96"/>
      <c r="GP362" s="96"/>
      <c r="GQ362" s="96"/>
      <c r="GR362" s="96"/>
      <c r="GS362" s="96"/>
      <c r="GT362" s="96"/>
      <c r="GU362" s="96"/>
      <c r="GV362" s="96"/>
      <c r="GW362" s="96"/>
      <c r="GX362" s="96"/>
      <c r="GY362" s="96"/>
      <c r="GZ362" s="96"/>
      <c r="HA362" s="96"/>
      <c r="HB362" s="96"/>
      <c r="HC362" s="13"/>
      <c r="HD362" s="96"/>
      <c r="HE362" s="96"/>
      <c r="HF362" s="96"/>
      <c r="HG362" s="96"/>
      <c r="HH362" s="96"/>
      <c r="HI362" s="96"/>
      <c r="HJ362" s="96"/>
      <c r="HK362" s="96"/>
      <c r="HL362" s="96"/>
      <c r="HM362" s="96"/>
      <c r="HN362" s="96"/>
      <c r="HO362" s="96"/>
      <c r="HP362" s="96"/>
      <c r="HQ362" s="96"/>
      <c r="HR362" s="96"/>
      <c r="HS362" s="13"/>
      <c r="HT362" s="96"/>
      <c r="HU362" s="96"/>
      <c r="HV362" s="96"/>
      <c r="HW362" s="96"/>
      <c r="HX362" s="96"/>
      <c r="HY362" s="96"/>
      <c r="HZ362" s="96"/>
      <c r="IA362" s="96"/>
      <c r="IB362" s="96"/>
      <c r="IC362" s="96"/>
      <c r="ID362" s="96"/>
      <c r="IE362" s="96"/>
      <c r="IF362" s="96"/>
      <c r="IG362" s="96"/>
      <c r="IH362" s="96"/>
      <c r="II362" s="13"/>
      <c r="IJ362" s="96"/>
      <c r="IK362" s="96"/>
      <c r="IL362" s="96"/>
      <c r="IM362" s="96"/>
      <c r="IN362" s="96"/>
      <c r="IO362" s="96"/>
      <c r="IP362" s="96"/>
      <c r="IQ362" s="96"/>
      <c r="IR362" s="96"/>
      <c r="IS362" s="96"/>
      <c r="IT362" s="96"/>
      <c r="IU362" s="96"/>
      <c r="IV362" s="96"/>
      <c r="IW362" s="96"/>
      <c r="IX362" s="96"/>
      <c r="IY362" s="13"/>
    </row>
    <row r="363" spans="1:259" outlineLevel="1">
      <c r="A363" s="11">
        <f>'VAC &amp; MED'!C368</f>
        <v>46334</v>
      </c>
      <c r="B363" s="261"/>
      <c r="C363" s="261"/>
      <c r="D363" s="261"/>
      <c r="E363" s="261"/>
      <c r="F363" s="261"/>
      <c r="G363" s="261"/>
      <c r="H363" s="261"/>
      <c r="I363" s="261"/>
      <c r="J363" s="261"/>
      <c r="K363" s="261"/>
      <c r="L363" s="261"/>
      <c r="M363" s="261"/>
      <c r="N363" s="261"/>
      <c r="O363" s="261"/>
      <c r="P363" s="261"/>
      <c r="Q363" s="261"/>
      <c r="R363" s="262"/>
      <c r="S363" s="262"/>
      <c r="T363" s="262"/>
      <c r="U363" s="262"/>
      <c r="V363" s="262"/>
      <c r="W363" s="262"/>
      <c r="X363" s="262"/>
      <c r="Y363" s="262"/>
      <c r="Z363" s="262"/>
      <c r="AA363" s="262"/>
      <c r="AB363" s="262"/>
      <c r="AC363" s="262"/>
      <c r="AD363" s="262"/>
      <c r="AE363" s="262"/>
      <c r="AF363" s="262"/>
      <c r="AG363" s="262"/>
      <c r="AH363" s="263"/>
      <c r="AI363" s="263"/>
      <c r="AJ363" s="263"/>
      <c r="AK363" s="263"/>
      <c r="AL363" s="263"/>
      <c r="AM363" s="263"/>
      <c r="AN363" s="263"/>
      <c r="AO363" s="263"/>
      <c r="AP363" s="263"/>
      <c r="AQ363" s="263"/>
      <c r="AR363" s="263"/>
      <c r="AS363" s="263"/>
      <c r="AT363" s="263"/>
      <c r="AU363" s="263"/>
      <c r="AV363" s="263"/>
      <c r="AW363" s="263"/>
      <c r="AX363" s="264"/>
      <c r="AY363" s="264"/>
      <c r="AZ363" s="264"/>
      <c r="BA363" s="264"/>
      <c r="BB363" s="264"/>
      <c r="BC363" s="264"/>
      <c r="BD363" s="264"/>
      <c r="BE363" s="264"/>
      <c r="BF363" s="264"/>
      <c r="BG363" s="264"/>
      <c r="BH363" s="264"/>
      <c r="BI363" s="264"/>
      <c r="BJ363" s="264"/>
      <c r="BK363" s="264"/>
      <c r="BL363" s="264"/>
      <c r="BM363" s="264"/>
      <c r="BN363" s="265"/>
      <c r="BO363" s="265"/>
      <c r="BP363" s="265"/>
      <c r="BQ363" s="265"/>
      <c r="BR363" s="265"/>
      <c r="BS363" s="265"/>
      <c r="BT363" s="265"/>
      <c r="BU363" s="265"/>
      <c r="BV363" s="265"/>
      <c r="BW363" s="265"/>
      <c r="BX363" s="265"/>
      <c r="BY363" s="265"/>
      <c r="BZ363" s="265"/>
      <c r="CA363" s="265"/>
      <c r="CB363" s="265"/>
      <c r="CC363" s="265"/>
      <c r="CD363" s="266"/>
      <c r="CE363" s="266"/>
      <c r="CF363" s="266"/>
      <c r="CG363" s="266"/>
      <c r="CH363" s="266"/>
      <c r="CI363" s="266"/>
      <c r="CJ363" s="266"/>
      <c r="CK363" s="266"/>
      <c r="CL363" s="266"/>
      <c r="CM363" s="266"/>
      <c r="CN363" s="266"/>
      <c r="CO363" s="266"/>
      <c r="CP363" s="266"/>
      <c r="CQ363" s="266"/>
      <c r="CR363" s="266"/>
      <c r="CS363" s="266"/>
      <c r="CT363" s="267"/>
      <c r="CU363" s="267"/>
      <c r="CV363" s="267"/>
      <c r="CW363" s="267"/>
      <c r="CX363" s="267"/>
      <c r="CY363" s="267"/>
      <c r="CZ363" s="267"/>
      <c r="DA363" s="267"/>
      <c r="DB363" s="267"/>
      <c r="DC363" s="267"/>
      <c r="DD363" s="267"/>
      <c r="DE363" s="267"/>
      <c r="DF363" s="267"/>
      <c r="DG363" s="267"/>
      <c r="DH363" s="267"/>
      <c r="DI363" s="267"/>
      <c r="DJ363" s="268"/>
      <c r="DK363" s="268"/>
      <c r="DL363" s="268"/>
      <c r="DM363" s="268"/>
      <c r="DN363" s="268"/>
      <c r="DO363" s="268"/>
      <c r="DP363" s="268"/>
      <c r="DQ363" s="268"/>
      <c r="DR363" s="268"/>
      <c r="DS363" s="268"/>
      <c r="DT363" s="268"/>
      <c r="DU363" s="268"/>
      <c r="DV363" s="268"/>
      <c r="DW363" s="268"/>
      <c r="DX363" s="268"/>
      <c r="DY363" s="268"/>
      <c r="EA363" s="13"/>
      <c r="EB363" s="96"/>
      <c r="EC363" s="96"/>
      <c r="ED363" s="96"/>
      <c r="EE363" s="96"/>
      <c r="EF363" s="96"/>
      <c r="EG363" s="96"/>
      <c r="EH363" s="96"/>
      <c r="EI363" s="96"/>
      <c r="EJ363" s="96"/>
      <c r="EK363" s="96"/>
      <c r="EL363" s="96"/>
      <c r="EM363" s="96"/>
      <c r="EN363" s="96"/>
      <c r="EO363" s="96"/>
      <c r="EP363" s="96"/>
      <c r="EQ363" s="96"/>
      <c r="ER363" s="96"/>
      <c r="ES363" s="96"/>
      <c r="ET363" s="96"/>
      <c r="EU363" s="96"/>
      <c r="EV363" s="96"/>
      <c r="EW363" s="96"/>
      <c r="EX363" s="96"/>
      <c r="EY363" s="96"/>
      <c r="EZ363" s="96"/>
      <c r="FA363" s="96"/>
      <c r="FB363" s="96"/>
      <c r="FC363" s="96"/>
      <c r="FD363" s="96"/>
      <c r="FE363" s="96"/>
      <c r="FF363" s="96"/>
      <c r="FG363" s="96"/>
      <c r="FH363" s="96"/>
      <c r="FI363" s="96"/>
      <c r="FJ363" s="96"/>
      <c r="FK363" s="96"/>
      <c r="FL363" s="96"/>
      <c r="FM363" s="96"/>
      <c r="FN363" s="96"/>
      <c r="FO363" s="96"/>
      <c r="FP363" s="96"/>
      <c r="FQ363" s="96"/>
      <c r="FR363" s="96"/>
      <c r="FS363" s="96"/>
      <c r="FT363" s="96"/>
      <c r="FU363" s="96"/>
      <c r="FV363" s="96"/>
      <c r="FW363" s="96"/>
      <c r="FX363" s="96"/>
      <c r="FY363" s="96"/>
      <c r="FZ363" s="96"/>
      <c r="GA363" s="96"/>
      <c r="GB363" s="96"/>
      <c r="GC363" s="96"/>
      <c r="GD363" s="96"/>
      <c r="GE363" s="96"/>
      <c r="GF363" s="96"/>
      <c r="GG363" s="96"/>
      <c r="GH363" s="96"/>
      <c r="GI363" s="96"/>
      <c r="GJ363" s="96"/>
      <c r="GK363" s="96"/>
      <c r="GL363" s="96"/>
      <c r="GM363" s="13"/>
      <c r="GN363" s="96"/>
      <c r="GO363" s="96"/>
      <c r="GP363" s="96"/>
      <c r="GQ363" s="96"/>
      <c r="GR363" s="96"/>
      <c r="GS363" s="96"/>
      <c r="GT363" s="96"/>
      <c r="GU363" s="96"/>
      <c r="GV363" s="96"/>
      <c r="GW363" s="96"/>
      <c r="GX363" s="96"/>
      <c r="GY363" s="96"/>
      <c r="GZ363" s="96"/>
      <c r="HA363" s="96"/>
      <c r="HB363" s="96"/>
      <c r="HC363" s="13"/>
      <c r="HD363" s="96"/>
      <c r="HE363" s="96"/>
      <c r="HF363" s="96"/>
      <c r="HG363" s="96"/>
      <c r="HH363" s="96"/>
      <c r="HI363" s="96"/>
      <c r="HJ363" s="96"/>
      <c r="HK363" s="96"/>
      <c r="HL363" s="96"/>
      <c r="HM363" s="96"/>
      <c r="HN363" s="96"/>
      <c r="HO363" s="96"/>
      <c r="HP363" s="96"/>
      <c r="HQ363" s="96"/>
      <c r="HR363" s="96"/>
      <c r="HS363" s="13"/>
      <c r="HT363" s="96"/>
      <c r="HU363" s="96"/>
      <c r="HV363" s="96"/>
      <c r="HW363" s="96"/>
      <c r="HX363" s="96"/>
      <c r="HY363" s="96"/>
      <c r="HZ363" s="96"/>
      <c r="IA363" s="96"/>
      <c r="IB363" s="96"/>
      <c r="IC363" s="96"/>
      <c r="ID363" s="96"/>
      <c r="IE363" s="96"/>
      <c r="IF363" s="96"/>
      <c r="IG363" s="96"/>
      <c r="IH363" s="96"/>
      <c r="II363" s="13"/>
      <c r="IJ363" s="96"/>
      <c r="IK363" s="96"/>
      <c r="IL363" s="96"/>
      <c r="IM363" s="96"/>
      <c r="IN363" s="96"/>
      <c r="IO363" s="96"/>
      <c r="IP363" s="96"/>
      <c r="IQ363" s="96"/>
      <c r="IR363" s="96"/>
      <c r="IS363" s="96"/>
      <c r="IT363" s="96"/>
      <c r="IU363" s="96"/>
      <c r="IV363" s="96"/>
      <c r="IW363" s="96"/>
      <c r="IX363" s="96"/>
      <c r="IY363" s="13"/>
    </row>
    <row r="364" spans="1:259" outlineLevel="1">
      <c r="A364" s="11">
        <f>'VAC &amp; MED'!C369</f>
        <v>46335</v>
      </c>
      <c r="B364" s="261"/>
      <c r="C364" s="261"/>
      <c r="D364" s="261"/>
      <c r="E364" s="261"/>
      <c r="F364" s="261"/>
      <c r="G364" s="261"/>
      <c r="H364" s="261"/>
      <c r="I364" s="261"/>
      <c r="J364" s="261"/>
      <c r="K364" s="261"/>
      <c r="L364" s="261"/>
      <c r="M364" s="261"/>
      <c r="N364" s="261"/>
      <c r="O364" s="261"/>
      <c r="P364" s="261"/>
      <c r="Q364" s="261"/>
      <c r="R364" s="262"/>
      <c r="S364" s="262"/>
      <c r="T364" s="262"/>
      <c r="U364" s="262"/>
      <c r="V364" s="262"/>
      <c r="W364" s="262"/>
      <c r="X364" s="262"/>
      <c r="Y364" s="262"/>
      <c r="Z364" s="262"/>
      <c r="AA364" s="262"/>
      <c r="AB364" s="262"/>
      <c r="AC364" s="262"/>
      <c r="AD364" s="262"/>
      <c r="AE364" s="262"/>
      <c r="AF364" s="262"/>
      <c r="AG364" s="262"/>
      <c r="AH364" s="263"/>
      <c r="AI364" s="263"/>
      <c r="AJ364" s="263"/>
      <c r="AK364" s="263"/>
      <c r="AL364" s="263"/>
      <c r="AM364" s="263"/>
      <c r="AN364" s="263"/>
      <c r="AO364" s="263"/>
      <c r="AP364" s="263"/>
      <c r="AQ364" s="263"/>
      <c r="AR364" s="263"/>
      <c r="AS364" s="263"/>
      <c r="AT364" s="263"/>
      <c r="AU364" s="263"/>
      <c r="AV364" s="263"/>
      <c r="AW364" s="263"/>
      <c r="AX364" s="264"/>
      <c r="AY364" s="264"/>
      <c r="AZ364" s="264"/>
      <c r="BA364" s="264"/>
      <c r="BB364" s="264"/>
      <c r="BC364" s="264"/>
      <c r="BD364" s="264"/>
      <c r="BE364" s="264"/>
      <c r="BF364" s="264"/>
      <c r="BG364" s="264"/>
      <c r="BH364" s="264"/>
      <c r="BI364" s="264"/>
      <c r="BJ364" s="264"/>
      <c r="BK364" s="264"/>
      <c r="BL364" s="264"/>
      <c r="BM364" s="264"/>
      <c r="BN364" s="265"/>
      <c r="BO364" s="265"/>
      <c r="BP364" s="265"/>
      <c r="BQ364" s="265"/>
      <c r="BR364" s="265"/>
      <c r="BS364" s="265"/>
      <c r="BT364" s="265"/>
      <c r="BU364" s="265"/>
      <c r="BV364" s="265"/>
      <c r="BW364" s="265"/>
      <c r="BX364" s="265"/>
      <c r="BY364" s="265"/>
      <c r="BZ364" s="265"/>
      <c r="CA364" s="265"/>
      <c r="CB364" s="265"/>
      <c r="CC364" s="265"/>
      <c r="CD364" s="266"/>
      <c r="CE364" s="266"/>
      <c r="CF364" s="266"/>
      <c r="CG364" s="266"/>
      <c r="CH364" s="266"/>
      <c r="CI364" s="266"/>
      <c r="CJ364" s="266"/>
      <c r="CK364" s="266"/>
      <c r="CL364" s="266"/>
      <c r="CM364" s="266"/>
      <c r="CN364" s="266"/>
      <c r="CO364" s="266"/>
      <c r="CP364" s="266"/>
      <c r="CQ364" s="266"/>
      <c r="CR364" s="266"/>
      <c r="CS364" s="266"/>
      <c r="CT364" s="267"/>
      <c r="CU364" s="267"/>
      <c r="CV364" s="267"/>
      <c r="CW364" s="267"/>
      <c r="CX364" s="267"/>
      <c r="CY364" s="267"/>
      <c r="CZ364" s="267"/>
      <c r="DA364" s="267"/>
      <c r="DB364" s="267"/>
      <c r="DC364" s="267"/>
      <c r="DD364" s="267"/>
      <c r="DE364" s="267"/>
      <c r="DF364" s="267"/>
      <c r="DG364" s="267"/>
      <c r="DH364" s="267"/>
      <c r="DI364" s="267"/>
      <c r="DJ364" s="268"/>
      <c r="DK364" s="268"/>
      <c r="DL364" s="268"/>
      <c r="DM364" s="268"/>
      <c r="DN364" s="268"/>
      <c r="DO364" s="268"/>
      <c r="DP364" s="268"/>
      <c r="DQ364" s="268"/>
      <c r="DR364" s="268"/>
      <c r="DS364" s="268"/>
      <c r="DT364" s="268"/>
      <c r="DU364" s="268"/>
      <c r="DV364" s="268"/>
      <c r="DW364" s="268"/>
      <c r="DX364" s="268"/>
      <c r="DY364" s="268"/>
      <c r="EA364" s="13"/>
      <c r="EB364" s="96"/>
      <c r="EC364" s="96"/>
      <c r="ED364" s="96"/>
      <c r="EE364" s="96"/>
      <c r="EF364" s="96"/>
      <c r="EG364" s="96"/>
      <c r="EH364" s="96"/>
      <c r="EI364" s="96"/>
      <c r="EJ364" s="96"/>
      <c r="EK364" s="96"/>
      <c r="EL364" s="96"/>
      <c r="EM364" s="96"/>
      <c r="EN364" s="96"/>
      <c r="EO364" s="96"/>
      <c r="EP364" s="96"/>
      <c r="EQ364" s="96"/>
      <c r="ER364" s="96"/>
      <c r="ES364" s="96"/>
      <c r="ET364" s="96"/>
      <c r="EU364" s="96"/>
      <c r="EV364" s="96"/>
      <c r="EW364" s="96"/>
      <c r="EX364" s="96"/>
      <c r="EY364" s="96"/>
      <c r="EZ364" s="96"/>
      <c r="FA364" s="96"/>
      <c r="FB364" s="96"/>
      <c r="FC364" s="96"/>
      <c r="FD364" s="96"/>
      <c r="FE364" s="96"/>
      <c r="FF364" s="96"/>
      <c r="FG364" s="96"/>
      <c r="FH364" s="96"/>
      <c r="FI364" s="96"/>
      <c r="FJ364" s="96"/>
      <c r="FK364" s="96"/>
      <c r="FL364" s="96"/>
      <c r="FM364" s="96"/>
      <c r="FN364" s="96"/>
      <c r="FO364" s="96"/>
      <c r="FP364" s="96"/>
      <c r="FQ364" s="96"/>
      <c r="FR364" s="96"/>
      <c r="FS364" s="96"/>
      <c r="FT364" s="96"/>
      <c r="FU364" s="96"/>
      <c r="FV364" s="96"/>
      <c r="FW364" s="96"/>
      <c r="FX364" s="96"/>
      <c r="FY364" s="96"/>
      <c r="FZ364" s="96"/>
      <c r="GA364" s="96"/>
      <c r="GB364" s="96"/>
      <c r="GC364" s="96"/>
      <c r="GD364" s="96"/>
      <c r="GE364" s="96"/>
      <c r="GF364" s="96"/>
      <c r="GG364" s="96"/>
      <c r="GH364" s="96"/>
      <c r="GI364" s="96"/>
      <c r="GJ364" s="96"/>
      <c r="GK364" s="96"/>
      <c r="GL364" s="96"/>
      <c r="GM364" s="13"/>
      <c r="GN364" s="96"/>
      <c r="GO364" s="96"/>
      <c r="GP364" s="96"/>
      <c r="GQ364" s="96"/>
      <c r="GR364" s="96"/>
      <c r="GS364" s="96"/>
      <c r="GT364" s="96"/>
      <c r="GU364" s="96"/>
      <c r="GV364" s="96"/>
      <c r="GW364" s="96"/>
      <c r="GX364" s="96"/>
      <c r="GY364" s="96"/>
      <c r="GZ364" s="96"/>
      <c r="HA364" s="96"/>
      <c r="HB364" s="96"/>
      <c r="HC364" s="13"/>
      <c r="HD364" s="96"/>
      <c r="HE364" s="96"/>
      <c r="HF364" s="96"/>
      <c r="HG364" s="96"/>
      <c r="HH364" s="96"/>
      <c r="HI364" s="96"/>
      <c r="HJ364" s="96"/>
      <c r="HK364" s="96"/>
      <c r="HL364" s="96"/>
      <c r="HM364" s="96"/>
      <c r="HN364" s="96"/>
      <c r="HO364" s="96"/>
      <c r="HP364" s="96"/>
      <c r="HQ364" s="96"/>
      <c r="HR364" s="96"/>
      <c r="HS364" s="13"/>
      <c r="HT364" s="96"/>
      <c r="HU364" s="96"/>
      <c r="HV364" s="96"/>
      <c r="HW364" s="96"/>
      <c r="HX364" s="96"/>
      <c r="HY364" s="96"/>
      <c r="HZ364" s="96"/>
      <c r="IA364" s="96"/>
      <c r="IB364" s="96"/>
      <c r="IC364" s="96"/>
      <c r="ID364" s="96"/>
      <c r="IE364" s="96"/>
      <c r="IF364" s="96"/>
      <c r="IG364" s="96"/>
      <c r="IH364" s="96"/>
      <c r="II364" s="13"/>
      <c r="IJ364" s="96"/>
      <c r="IK364" s="96"/>
      <c r="IL364" s="96"/>
      <c r="IM364" s="96"/>
      <c r="IN364" s="96"/>
      <c r="IO364" s="96"/>
      <c r="IP364" s="96"/>
      <c r="IQ364" s="96"/>
      <c r="IR364" s="96"/>
      <c r="IS364" s="96"/>
      <c r="IT364" s="96"/>
      <c r="IU364" s="96"/>
      <c r="IV364" s="96"/>
      <c r="IW364" s="96"/>
      <c r="IX364" s="96"/>
      <c r="IY364" s="13"/>
    </row>
    <row r="365" spans="1:259" outlineLevel="1">
      <c r="A365" s="11">
        <f>'VAC &amp; MED'!C370</f>
        <v>46336</v>
      </c>
      <c r="B365" s="261"/>
      <c r="C365" s="261"/>
      <c r="D365" s="261"/>
      <c r="E365" s="261"/>
      <c r="F365" s="261"/>
      <c r="G365" s="261"/>
      <c r="H365" s="261"/>
      <c r="I365" s="261"/>
      <c r="J365" s="261"/>
      <c r="K365" s="261"/>
      <c r="L365" s="261"/>
      <c r="M365" s="261"/>
      <c r="N365" s="261"/>
      <c r="O365" s="261"/>
      <c r="P365" s="261"/>
      <c r="Q365" s="261"/>
      <c r="R365" s="262"/>
      <c r="S365" s="262"/>
      <c r="T365" s="262"/>
      <c r="U365" s="262"/>
      <c r="V365" s="262"/>
      <c r="W365" s="262"/>
      <c r="X365" s="262"/>
      <c r="Y365" s="262"/>
      <c r="Z365" s="262"/>
      <c r="AA365" s="262"/>
      <c r="AB365" s="262"/>
      <c r="AC365" s="262"/>
      <c r="AD365" s="262"/>
      <c r="AE365" s="262"/>
      <c r="AF365" s="262"/>
      <c r="AG365" s="262"/>
      <c r="AH365" s="263"/>
      <c r="AI365" s="263"/>
      <c r="AJ365" s="263"/>
      <c r="AK365" s="263"/>
      <c r="AL365" s="263"/>
      <c r="AM365" s="263"/>
      <c r="AN365" s="263"/>
      <c r="AO365" s="263"/>
      <c r="AP365" s="263"/>
      <c r="AQ365" s="263"/>
      <c r="AR365" s="263"/>
      <c r="AS365" s="263"/>
      <c r="AT365" s="263"/>
      <c r="AU365" s="263"/>
      <c r="AV365" s="263"/>
      <c r="AW365" s="263"/>
      <c r="AX365" s="264"/>
      <c r="AY365" s="264"/>
      <c r="AZ365" s="264"/>
      <c r="BA365" s="264"/>
      <c r="BB365" s="264"/>
      <c r="BC365" s="264"/>
      <c r="BD365" s="264"/>
      <c r="BE365" s="264"/>
      <c r="BF365" s="264"/>
      <c r="BG365" s="264"/>
      <c r="BH365" s="264"/>
      <c r="BI365" s="264"/>
      <c r="BJ365" s="264"/>
      <c r="BK365" s="264"/>
      <c r="BL365" s="264"/>
      <c r="BM365" s="264"/>
      <c r="BN365" s="265"/>
      <c r="BO365" s="265"/>
      <c r="BP365" s="265"/>
      <c r="BQ365" s="265"/>
      <c r="BR365" s="265"/>
      <c r="BS365" s="265"/>
      <c r="BT365" s="265"/>
      <c r="BU365" s="265"/>
      <c r="BV365" s="265"/>
      <c r="BW365" s="265"/>
      <c r="BX365" s="265"/>
      <c r="BY365" s="265"/>
      <c r="BZ365" s="265"/>
      <c r="CA365" s="265"/>
      <c r="CB365" s="265"/>
      <c r="CC365" s="265"/>
      <c r="CD365" s="266"/>
      <c r="CE365" s="266"/>
      <c r="CF365" s="266"/>
      <c r="CG365" s="266"/>
      <c r="CH365" s="266"/>
      <c r="CI365" s="266"/>
      <c r="CJ365" s="266"/>
      <c r="CK365" s="266"/>
      <c r="CL365" s="266"/>
      <c r="CM365" s="266"/>
      <c r="CN365" s="266"/>
      <c r="CO365" s="266"/>
      <c r="CP365" s="266"/>
      <c r="CQ365" s="266"/>
      <c r="CR365" s="266"/>
      <c r="CS365" s="266"/>
      <c r="CT365" s="267"/>
      <c r="CU365" s="267"/>
      <c r="CV365" s="267"/>
      <c r="CW365" s="267"/>
      <c r="CX365" s="267"/>
      <c r="CY365" s="267"/>
      <c r="CZ365" s="267"/>
      <c r="DA365" s="267"/>
      <c r="DB365" s="267"/>
      <c r="DC365" s="267"/>
      <c r="DD365" s="267"/>
      <c r="DE365" s="267"/>
      <c r="DF365" s="267"/>
      <c r="DG365" s="267"/>
      <c r="DH365" s="267"/>
      <c r="DI365" s="267"/>
      <c r="DJ365" s="268"/>
      <c r="DK365" s="268"/>
      <c r="DL365" s="268"/>
      <c r="DM365" s="268"/>
      <c r="DN365" s="268"/>
      <c r="DO365" s="268"/>
      <c r="DP365" s="268"/>
      <c r="DQ365" s="268"/>
      <c r="DR365" s="268"/>
      <c r="DS365" s="268"/>
      <c r="DT365" s="268"/>
      <c r="DU365" s="268"/>
      <c r="DV365" s="268"/>
      <c r="DW365" s="268"/>
      <c r="DX365" s="268"/>
      <c r="DY365" s="268"/>
      <c r="EA365" s="13"/>
      <c r="EB365" s="96"/>
      <c r="EC365" s="96"/>
      <c r="ED365" s="96"/>
      <c r="EE365" s="96"/>
      <c r="EF365" s="96"/>
      <c r="EG365" s="96"/>
      <c r="EH365" s="96"/>
      <c r="EI365" s="96"/>
      <c r="EJ365" s="96"/>
      <c r="EK365" s="96"/>
      <c r="EL365" s="96"/>
      <c r="EM365" s="96"/>
      <c r="EN365" s="96"/>
      <c r="EO365" s="96"/>
      <c r="EP365" s="96"/>
      <c r="EQ365" s="96"/>
      <c r="ER365" s="96"/>
      <c r="ES365" s="96"/>
      <c r="ET365" s="96"/>
      <c r="EU365" s="96"/>
      <c r="EV365" s="96"/>
      <c r="EW365" s="96"/>
      <c r="EX365" s="96"/>
      <c r="EY365" s="96"/>
      <c r="EZ365" s="96"/>
      <c r="FA365" s="96"/>
      <c r="FB365" s="96"/>
      <c r="FC365" s="96"/>
      <c r="FD365" s="96"/>
      <c r="FE365" s="96"/>
      <c r="FF365" s="96"/>
      <c r="FG365" s="96"/>
      <c r="FH365" s="96"/>
      <c r="FI365" s="96"/>
      <c r="FJ365" s="96"/>
      <c r="FK365" s="96"/>
      <c r="FL365" s="96"/>
      <c r="FM365" s="96"/>
      <c r="FN365" s="96"/>
      <c r="FO365" s="96"/>
      <c r="FP365" s="96"/>
      <c r="FQ365" s="96"/>
      <c r="FR365" s="96"/>
      <c r="FS365" s="96"/>
      <c r="FT365" s="96"/>
      <c r="FU365" s="96"/>
      <c r="FV365" s="96"/>
      <c r="FW365" s="96"/>
      <c r="FX365" s="96"/>
      <c r="FY365" s="96"/>
      <c r="FZ365" s="96"/>
      <c r="GA365" s="96"/>
      <c r="GB365" s="96"/>
      <c r="GC365" s="96"/>
      <c r="GD365" s="96"/>
      <c r="GE365" s="96"/>
      <c r="GF365" s="96"/>
      <c r="GG365" s="96"/>
      <c r="GH365" s="96"/>
      <c r="GI365" s="96"/>
      <c r="GJ365" s="96"/>
      <c r="GK365" s="96"/>
      <c r="GL365" s="96"/>
      <c r="GM365" s="13"/>
      <c r="GN365" s="96"/>
      <c r="GO365" s="96"/>
      <c r="GP365" s="96"/>
      <c r="GQ365" s="96"/>
      <c r="GR365" s="96"/>
      <c r="GS365" s="96"/>
      <c r="GT365" s="96"/>
      <c r="GU365" s="96"/>
      <c r="GV365" s="96"/>
      <c r="GW365" s="96"/>
      <c r="GX365" s="96"/>
      <c r="GY365" s="96"/>
      <c r="GZ365" s="96"/>
      <c r="HA365" s="96"/>
      <c r="HB365" s="96"/>
      <c r="HC365" s="13"/>
      <c r="HD365" s="96"/>
      <c r="HE365" s="96"/>
      <c r="HF365" s="96"/>
      <c r="HG365" s="96"/>
      <c r="HH365" s="96"/>
      <c r="HI365" s="96"/>
      <c r="HJ365" s="96"/>
      <c r="HK365" s="96"/>
      <c r="HL365" s="96"/>
      <c r="HM365" s="96"/>
      <c r="HN365" s="96"/>
      <c r="HO365" s="96"/>
      <c r="HP365" s="96"/>
      <c r="HQ365" s="96"/>
      <c r="HR365" s="96"/>
      <c r="HS365" s="13"/>
      <c r="HT365" s="96"/>
      <c r="HU365" s="96"/>
      <c r="HV365" s="96"/>
      <c r="HW365" s="96"/>
      <c r="HX365" s="96"/>
      <c r="HY365" s="96"/>
      <c r="HZ365" s="96"/>
      <c r="IA365" s="96"/>
      <c r="IB365" s="96"/>
      <c r="IC365" s="96"/>
      <c r="ID365" s="96"/>
      <c r="IE365" s="96"/>
      <c r="IF365" s="96"/>
      <c r="IG365" s="96"/>
      <c r="IH365" s="96"/>
      <c r="II365" s="13"/>
      <c r="IJ365" s="96"/>
      <c r="IK365" s="96"/>
      <c r="IL365" s="96"/>
      <c r="IM365" s="96"/>
      <c r="IN365" s="96"/>
      <c r="IO365" s="96"/>
      <c r="IP365" s="96"/>
      <c r="IQ365" s="96"/>
      <c r="IR365" s="96"/>
      <c r="IS365" s="96"/>
      <c r="IT365" s="96"/>
      <c r="IU365" s="96"/>
      <c r="IV365" s="96"/>
      <c r="IW365" s="96"/>
      <c r="IX365" s="96"/>
      <c r="IY365" s="13"/>
    </row>
    <row r="366" spans="1:259" outlineLevel="1">
      <c r="A366" s="11">
        <f>'VAC &amp; MED'!C371</f>
        <v>46337</v>
      </c>
      <c r="B366" s="261"/>
      <c r="C366" s="261"/>
      <c r="D366" s="261"/>
      <c r="E366" s="261"/>
      <c r="F366" s="261"/>
      <c r="G366" s="261"/>
      <c r="H366" s="261"/>
      <c r="I366" s="261"/>
      <c r="J366" s="261"/>
      <c r="K366" s="261"/>
      <c r="L366" s="261"/>
      <c r="M366" s="261"/>
      <c r="N366" s="261"/>
      <c r="O366" s="261"/>
      <c r="P366" s="261"/>
      <c r="Q366" s="261"/>
      <c r="R366" s="262"/>
      <c r="S366" s="262"/>
      <c r="T366" s="262"/>
      <c r="U366" s="262"/>
      <c r="V366" s="262"/>
      <c r="W366" s="262"/>
      <c r="X366" s="262"/>
      <c r="Y366" s="262"/>
      <c r="Z366" s="262"/>
      <c r="AA366" s="262"/>
      <c r="AB366" s="262"/>
      <c r="AC366" s="262"/>
      <c r="AD366" s="262"/>
      <c r="AE366" s="262"/>
      <c r="AF366" s="262"/>
      <c r="AG366" s="262"/>
      <c r="AH366" s="263"/>
      <c r="AI366" s="263"/>
      <c r="AJ366" s="263"/>
      <c r="AK366" s="263"/>
      <c r="AL366" s="263"/>
      <c r="AM366" s="263"/>
      <c r="AN366" s="263"/>
      <c r="AO366" s="263"/>
      <c r="AP366" s="263"/>
      <c r="AQ366" s="263"/>
      <c r="AR366" s="263"/>
      <c r="AS366" s="263"/>
      <c r="AT366" s="263"/>
      <c r="AU366" s="263"/>
      <c r="AV366" s="263"/>
      <c r="AW366" s="263"/>
      <c r="AX366" s="264"/>
      <c r="AY366" s="264"/>
      <c r="AZ366" s="264"/>
      <c r="BA366" s="264"/>
      <c r="BB366" s="264"/>
      <c r="BC366" s="264"/>
      <c r="BD366" s="264"/>
      <c r="BE366" s="264"/>
      <c r="BF366" s="264"/>
      <c r="BG366" s="264"/>
      <c r="BH366" s="264"/>
      <c r="BI366" s="264"/>
      <c r="BJ366" s="264"/>
      <c r="BK366" s="264"/>
      <c r="BL366" s="264"/>
      <c r="BM366" s="264"/>
      <c r="BN366" s="265"/>
      <c r="BO366" s="265"/>
      <c r="BP366" s="265"/>
      <c r="BQ366" s="265"/>
      <c r="BR366" s="265"/>
      <c r="BS366" s="265"/>
      <c r="BT366" s="265"/>
      <c r="BU366" s="265"/>
      <c r="BV366" s="265"/>
      <c r="BW366" s="265"/>
      <c r="BX366" s="265"/>
      <c r="BY366" s="265"/>
      <c r="BZ366" s="265"/>
      <c r="CA366" s="265"/>
      <c r="CB366" s="265"/>
      <c r="CC366" s="265"/>
      <c r="CD366" s="266"/>
      <c r="CE366" s="266"/>
      <c r="CF366" s="266"/>
      <c r="CG366" s="266"/>
      <c r="CH366" s="266"/>
      <c r="CI366" s="266"/>
      <c r="CJ366" s="266"/>
      <c r="CK366" s="266"/>
      <c r="CL366" s="266"/>
      <c r="CM366" s="266"/>
      <c r="CN366" s="266"/>
      <c r="CO366" s="266"/>
      <c r="CP366" s="266"/>
      <c r="CQ366" s="266"/>
      <c r="CR366" s="266"/>
      <c r="CS366" s="266"/>
      <c r="CT366" s="267"/>
      <c r="CU366" s="267"/>
      <c r="CV366" s="267"/>
      <c r="CW366" s="267"/>
      <c r="CX366" s="267"/>
      <c r="CY366" s="267"/>
      <c r="CZ366" s="267"/>
      <c r="DA366" s="267"/>
      <c r="DB366" s="267"/>
      <c r="DC366" s="267"/>
      <c r="DD366" s="267"/>
      <c r="DE366" s="267"/>
      <c r="DF366" s="267"/>
      <c r="DG366" s="267"/>
      <c r="DH366" s="267"/>
      <c r="DI366" s="267"/>
      <c r="DJ366" s="268"/>
      <c r="DK366" s="268"/>
      <c r="DL366" s="268"/>
      <c r="DM366" s="268"/>
      <c r="DN366" s="268"/>
      <c r="DO366" s="268"/>
      <c r="DP366" s="268"/>
      <c r="DQ366" s="268"/>
      <c r="DR366" s="268"/>
      <c r="DS366" s="268"/>
      <c r="DT366" s="268"/>
      <c r="DU366" s="268"/>
      <c r="DV366" s="268"/>
      <c r="DW366" s="268"/>
      <c r="DX366" s="268"/>
      <c r="DY366" s="268"/>
      <c r="EA366" s="13"/>
      <c r="EB366" s="96"/>
      <c r="EC366" s="96"/>
      <c r="ED366" s="96"/>
      <c r="EE366" s="96"/>
      <c r="EF366" s="96"/>
      <c r="EG366" s="96"/>
      <c r="EH366" s="96"/>
      <c r="EI366" s="96"/>
      <c r="EJ366" s="96"/>
      <c r="EK366" s="96"/>
      <c r="EL366" s="96"/>
      <c r="EM366" s="96"/>
      <c r="EN366" s="96"/>
      <c r="EO366" s="96"/>
      <c r="EP366" s="96"/>
      <c r="EQ366" s="96"/>
      <c r="ER366" s="96"/>
      <c r="ES366" s="96"/>
      <c r="ET366" s="96"/>
      <c r="EU366" s="96"/>
      <c r="EV366" s="96"/>
      <c r="EW366" s="96"/>
      <c r="EX366" s="96"/>
      <c r="EY366" s="96"/>
      <c r="EZ366" s="96"/>
      <c r="FA366" s="96"/>
      <c r="FB366" s="96"/>
      <c r="FC366" s="96"/>
      <c r="FD366" s="96"/>
      <c r="FE366" s="96"/>
      <c r="FF366" s="96"/>
      <c r="FG366" s="96"/>
      <c r="FH366" s="96"/>
      <c r="FI366" s="96"/>
      <c r="FJ366" s="96"/>
      <c r="FK366" s="96"/>
      <c r="FL366" s="96"/>
      <c r="FM366" s="96"/>
      <c r="FN366" s="96"/>
      <c r="FO366" s="96"/>
      <c r="FP366" s="96"/>
      <c r="FQ366" s="96"/>
      <c r="FR366" s="96"/>
      <c r="FS366" s="96"/>
      <c r="FT366" s="96"/>
      <c r="FU366" s="96"/>
      <c r="FV366" s="96"/>
      <c r="FW366" s="96"/>
      <c r="FX366" s="96"/>
      <c r="FY366" s="96"/>
      <c r="FZ366" s="96"/>
      <c r="GA366" s="96"/>
      <c r="GB366" s="96"/>
      <c r="GC366" s="96"/>
      <c r="GD366" s="96"/>
      <c r="GE366" s="96"/>
      <c r="GF366" s="96"/>
      <c r="GG366" s="96"/>
      <c r="GH366" s="96"/>
      <c r="GI366" s="96"/>
      <c r="GJ366" s="96"/>
      <c r="GK366" s="96"/>
      <c r="GL366" s="96"/>
      <c r="GM366" s="13"/>
      <c r="GN366" s="96"/>
      <c r="GO366" s="96"/>
      <c r="GP366" s="96"/>
      <c r="GQ366" s="96"/>
      <c r="GR366" s="96"/>
      <c r="GS366" s="96"/>
      <c r="GT366" s="96"/>
      <c r="GU366" s="96"/>
      <c r="GV366" s="96"/>
      <c r="GW366" s="96"/>
      <c r="GX366" s="96"/>
      <c r="GY366" s="96"/>
      <c r="GZ366" s="96"/>
      <c r="HA366" s="96"/>
      <c r="HB366" s="96"/>
      <c r="HC366" s="13"/>
      <c r="HD366" s="96"/>
      <c r="HE366" s="96"/>
      <c r="HF366" s="96"/>
      <c r="HG366" s="96"/>
      <c r="HH366" s="96"/>
      <c r="HI366" s="96"/>
      <c r="HJ366" s="96"/>
      <c r="HK366" s="96"/>
      <c r="HL366" s="96"/>
      <c r="HM366" s="96"/>
      <c r="HN366" s="96"/>
      <c r="HO366" s="96"/>
      <c r="HP366" s="96"/>
      <c r="HQ366" s="96"/>
      <c r="HR366" s="96"/>
      <c r="HS366" s="13"/>
      <c r="HT366" s="96"/>
      <c r="HU366" s="96"/>
      <c r="HV366" s="96"/>
      <c r="HW366" s="96"/>
      <c r="HX366" s="96"/>
      <c r="HY366" s="96"/>
      <c r="HZ366" s="96"/>
      <c r="IA366" s="96"/>
      <c r="IB366" s="96"/>
      <c r="IC366" s="96"/>
      <c r="ID366" s="96"/>
      <c r="IE366" s="96"/>
      <c r="IF366" s="96"/>
      <c r="IG366" s="96"/>
      <c r="IH366" s="96"/>
      <c r="II366" s="13"/>
      <c r="IJ366" s="96"/>
      <c r="IK366" s="96"/>
      <c r="IL366" s="96"/>
      <c r="IM366" s="96"/>
      <c r="IN366" s="96"/>
      <c r="IO366" s="96"/>
      <c r="IP366" s="96"/>
      <c r="IQ366" s="96"/>
      <c r="IR366" s="96"/>
      <c r="IS366" s="96"/>
      <c r="IT366" s="96"/>
      <c r="IU366" s="96"/>
      <c r="IV366" s="96"/>
      <c r="IW366" s="96"/>
      <c r="IX366" s="96"/>
      <c r="IY366" s="13"/>
    </row>
    <row r="367" spans="1:259" outlineLevel="1">
      <c r="A367" s="11">
        <f>'VAC &amp; MED'!C372</f>
        <v>46338</v>
      </c>
      <c r="B367" s="261"/>
      <c r="C367" s="261"/>
      <c r="D367" s="261"/>
      <c r="E367" s="261"/>
      <c r="F367" s="261"/>
      <c r="G367" s="261"/>
      <c r="H367" s="261"/>
      <c r="I367" s="261"/>
      <c r="J367" s="261"/>
      <c r="K367" s="261"/>
      <c r="L367" s="261"/>
      <c r="M367" s="261"/>
      <c r="N367" s="261"/>
      <c r="O367" s="261"/>
      <c r="P367" s="261"/>
      <c r="Q367" s="261"/>
      <c r="R367" s="262"/>
      <c r="S367" s="262"/>
      <c r="T367" s="262"/>
      <c r="U367" s="262"/>
      <c r="V367" s="262"/>
      <c r="W367" s="262"/>
      <c r="X367" s="262"/>
      <c r="Y367" s="262"/>
      <c r="Z367" s="262"/>
      <c r="AA367" s="262"/>
      <c r="AB367" s="262"/>
      <c r="AC367" s="262"/>
      <c r="AD367" s="262"/>
      <c r="AE367" s="262"/>
      <c r="AF367" s="262"/>
      <c r="AG367" s="262"/>
      <c r="AH367" s="263"/>
      <c r="AI367" s="263"/>
      <c r="AJ367" s="263"/>
      <c r="AK367" s="263"/>
      <c r="AL367" s="263"/>
      <c r="AM367" s="263"/>
      <c r="AN367" s="263"/>
      <c r="AO367" s="263"/>
      <c r="AP367" s="263"/>
      <c r="AQ367" s="263"/>
      <c r="AR367" s="263"/>
      <c r="AS367" s="263"/>
      <c r="AT367" s="263"/>
      <c r="AU367" s="263"/>
      <c r="AV367" s="263"/>
      <c r="AW367" s="263"/>
      <c r="AX367" s="264"/>
      <c r="AY367" s="264"/>
      <c r="AZ367" s="264"/>
      <c r="BA367" s="264"/>
      <c r="BB367" s="264"/>
      <c r="BC367" s="264"/>
      <c r="BD367" s="264"/>
      <c r="BE367" s="264"/>
      <c r="BF367" s="264"/>
      <c r="BG367" s="264"/>
      <c r="BH367" s="264"/>
      <c r="BI367" s="264"/>
      <c r="BJ367" s="264"/>
      <c r="BK367" s="264"/>
      <c r="BL367" s="264"/>
      <c r="BM367" s="264"/>
      <c r="BN367" s="265"/>
      <c r="BO367" s="265"/>
      <c r="BP367" s="265"/>
      <c r="BQ367" s="265"/>
      <c r="BR367" s="265"/>
      <c r="BS367" s="265"/>
      <c r="BT367" s="265"/>
      <c r="BU367" s="265"/>
      <c r="BV367" s="265"/>
      <c r="BW367" s="265"/>
      <c r="BX367" s="265"/>
      <c r="BY367" s="265"/>
      <c r="BZ367" s="265"/>
      <c r="CA367" s="265"/>
      <c r="CB367" s="265"/>
      <c r="CC367" s="265"/>
      <c r="CD367" s="266"/>
      <c r="CE367" s="266"/>
      <c r="CF367" s="266"/>
      <c r="CG367" s="266"/>
      <c r="CH367" s="266"/>
      <c r="CI367" s="266"/>
      <c r="CJ367" s="266"/>
      <c r="CK367" s="266"/>
      <c r="CL367" s="266"/>
      <c r="CM367" s="266"/>
      <c r="CN367" s="266"/>
      <c r="CO367" s="266"/>
      <c r="CP367" s="266"/>
      <c r="CQ367" s="266"/>
      <c r="CR367" s="266"/>
      <c r="CS367" s="266"/>
      <c r="CT367" s="267"/>
      <c r="CU367" s="267"/>
      <c r="CV367" s="267"/>
      <c r="CW367" s="267"/>
      <c r="CX367" s="267"/>
      <c r="CY367" s="267"/>
      <c r="CZ367" s="267"/>
      <c r="DA367" s="267"/>
      <c r="DB367" s="267"/>
      <c r="DC367" s="267"/>
      <c r="DD367" s="267"/>
      <c r="DE367" s="267"/>
      <c r="DF367" s="267"/>
      <c r="DG367" s="267"/>
      <c r="DH367" s="267"/>
      <c r="DI367" s="267"/>
      <c r="DJ367" s="268"/>
      <c r="DK367" s="268"/>
      <c r="DL367" s="268"/>
      <c r="DM367" s="268"/>
      <c r="DN367" s="268"/>
      <c r="DO367" s="268"/>
      <c r="DP367" s="268"/>
      <c r="DQ367" s="268"/>
      <c r="DR367" s="268"/>
      <c r="DS367" s="268"/>
      <c r="DT367" s="268"/>
      <c r="DU367" s="268"/>
      <c r="DV367" s="268"/>
      <c r="DW367" s="268"/>
      <c r="DX367" s="268"/>
      <c r="DY367" s="268"/>
      <c r="EA367" s="13"/>
      <c r="EB367" s="96"/>
      <c r="EC367" s="96"/>
      <c r="ED367" s="96"/>
      <c r="EE367" s="96"/>
      <c r="EF367" s="96"/>
      <c r="EG367" s="96"/>
      <c r="EH367" s="96"/>
      <c r="EI367" s="96"/>
      <c r="EJ367" s="96"/>
      <c r="EK367" s="96"/>
      <c r="EL367" s="96"/>
      <c r="EM367" s="96"/>
      <c r="EN367" s="96"/>
      <c r="EO367" s="96"/>
      <c r="EP367" s="96"/>
      <c r="EQ367" s="96"/>
      <c r="ER367" s="96"/>
      <c r="ES367" s="96"/>
      <c r="ET367" s="96"/>
      <c r="EU367" s="96"/>
      <c r="EV367" s="96"/>
      <c r="EW367" s="96"/>
      <c r="EX367" s="96"/>
      <c r="EY367" s="96"/>
      <c r="EZ367" s="96"/>
      <c r="FA367" s="96"/>
      <c r="FB367" s="96"/>
      <c r="FC367" s="96"/>
      <c r="FD367" s="96"/>
      <c r="FE367" s="96"/>
      <c r="FF367" s="96"/>
      <c r="FG367" s="96"/>
      <c r="FH367" s="96"/>
      <c r="FI367" s="96"/>
      <c r="FJ367" s="96"/>
      <c r="FK367" s="96"/>
      <c r="FL367" s="96"/>
      <c r="FM367" s="96"/>
      <c r="FN367" s="96"/>
      <c r="FO367" s="96"/>
      <c r="FP367" s="96"/>
      <c r="FQ367" s="96"/>
      <c r="FR367" s="96"/>
      <c r="FS367" s="96"/>
      <c r="FT367" s="96"/>
      <c r="FU367" s="96"/>
      <c r="FV367" s="96"/>
      <c r="FW367" s="96"/>
      <c r="FX367" s="96"/>
      <c r="FY367" s="96"/>
      <c r="FZ367" s="96"/>
      <c r="GA367" s="96"/>
      <c r="GB367" s="96"/>
      <c r="GC367" s="96"/>
      <c r="GD367" s="96"/>
      <c r="GE367" s="96"/>
      <c r="GF367" s="96"/>
      <c r="GG367" s="96"/>
      <c r="GH367" s="96"/>
      <c r="GI367" s="96"/>
      <c r="GJ367" s="96"/>
      <c r="GK367" s="96"/>
      <c r="GL367" s="96"/>
      <c r="GM367" s="13"/>
      <c r="GN367" s="96"/>
      <c r="GO367" s="96"/>
      <c r="GP367" s="96"/>
      <c r="GQ367" s="96"/>
      <c r="GR367" s="96"/>
      <c r="GS367" s="96"/>
      <c r="GT367" s="96"/>
      <c r="GU367" s="96"/>
      <c r="GV367" s="96"/>
      <c r="GW367" s="96"/>
      <c r="GX367" s="96"/>
      <c r="GY367" s="96"/>
      <c r="GZ367" s="96"/>
      <c r="HA367" s="96"/>
      <c r="HB367" s="96"/>
      <c r="HC367" s="13"/>
      <c r="HD367" s="96"/>
      <c r="HE367" s="96"/>
      <c r="HF367" s="96"/>
      <c r="HG367" s="96"/>
      <c r="HH367" s="96"/>
      <c r="HI367" s="96"/>
      <c r="HJ367" s="96"/>
      <c r="HK367" s="96"/>
      <c r="HL367" s="96"/>
      <c r="HM367" s="96"/>
      <c r="HN367" s="96"/>
      <c r="HO367" s="96"/>
      <c r="HP367" s="96"/>
      <c r="HQ367" s="96"/>
      <c r="HR367" s="96"/>
      <c r="HS367" s="13"/>
      <c r="HT367" s="96"/>
      <c r="HU367" s="96"/>
      <c r="HV367" s="96"/>
      <c r="HW367" s="96"/>
      <c r="HX367" s="96"/>
      <c r="HY367" s="96"/>
      <c r="HZ367" s="96"/>
      <c r="IA367" s="96"/>
      <c r="IB367" s="96"/>
      <c r="IC367" s="96"/>
      <c r="ID367" s="96"/>
      <c r="IE367" s="96"/>
      <c r="IF367" s="96"/>
      <c r="IG367" s="96"/>
      <c r="IH367" s="96"/>
      <c r="II367" s="13"/>
      <c r="IJ367" s="96"/>
      <c r="IK367" s="96"/>
      <c r="IL367" s="96"/>
      <c r="IM367" s="96"/>
      <c r="IN367" s="96"/>
      <c r="IO367" s="96"/>
      <c r="IP367" s="96"/>
      <c r="IQ367" s="96"/>
      <c r="IR367" s="96"/>
      <c r="IS367" s="96"/>
      <c r="IT367" s="96"/>
      <c r="IU367" s="96"/>
      <c r="IV367" s="96"/>
      <c r="IW367" s="96"/>
      <c r="IX367" s="96"/>
      <c r="IY367" s="13"/>
    </row>
    <row r="368" spans="1:259" outlineLevel="1">
      <c r="A368" s="11">
        <f>'VAC &amp; MED'!C373</f>
        <v>46339</v>
      </c>
      <c r="B368" s="261"/>
      <c r="C368" s="261"/>
      <c r="D368" s="261"/>
      <c r="E368" s="261"/>
      <c r="F368" s="261"/>
      <c r="G368" s="261"/>
      <c r="H368" s="261"/>
      <c r="I368" s="261"/>
      <c r="J368" s="261"/>
      <c r="K368" s="261"/>
      <c r="L368" s="261"/>
      <c r="M368" s="261"/>
      <c r="N368" s="261"/>
      <c r="O368" s="261"/>
      <c r="P368" s="261"/>
      <c r="Q368" s="261"/>
      <c r="R368" s="262"/>
      <c r="S368" s="262"/>
      <c r="T368" s="262"/>
      <c r="U368" s="262"/>
      <c r="V368" s="262"/>
      <c r="W368" s="262"/>
      <c r="X368" s="262"/>
      <c r="Y368" s="262"/>
      <c r="Z368" s="262"/>
      <c r="AA368" s="262"/>
      <c r="AB368" s="262"/>
      <c r="AC368" s="262"/>
      <c r="AD368" s="262"/>
      <c r="AE368" s="262"/>
      <c r="AF368" s="262"/>
      <c r="AG368" s="262"/>
      <c r="AH368" s="263"/>
      <c r="AI368" s="263"/>
      <c r="AJ368" s="263"/>
      <c r="AK368" s="263"/>
      <c r="AL368" s="263"/>
      <c r="AM368" s="263"/>
      <c r="AN368" s="263"/>
      <c r="AO368" s="263"/>
      <c r="AP368" s="263"/>
      <c r="AQ368" s="263"/>
      <c r="AR368" s="263"/>
      <c r="AS368" s="263"/>
      <c r="AT368" s="263"/>
      <c r="AU368" s="263"/>
      <c r="AV368" s="263"/>
      <c r="AW368" s="263"/>
      <c r="AX368" s="264"/>
      <c r="AY368" s="264"/>
      <c r="AZ368" s="264"/>
      <c r="BA368" s="264"/>
      <c r="BB368" s="264"/>
      <c r="BC368" s="264"/>
      <c r="BD368" s="264"/>
      <c r="BE368" s="264"/>
      <c r="BF368" s="264"/>
      <c r="BG368" s="264"/>
      <c r="BH368" s="264"/>
      <c r="BI368" s="264"/>
      <c r="BJ368" s="264"/>
      <c r="BK368" s="264"/>
      <c r="BL368" s="264"/>
      <c r="BM368" s="264"/>
      <c r="BN368" s="265"/>
      <c r="BO368" s="265"/>
      <c r="BP368" s="265"/>
      <c r="BQ368" s="265"/>
      <c r="BR368" s="265"/>
      <c r="BS368" s="265"/>
      <c r="BT368" s="265"/>
      <c r="BU368" s="265"/>
      <c r="BV368" s="265"/>
      <c r="BW368" s="265"/>
      <c r="BX368" s="265"/>
      <c r="BY368" s="265"/>
      <c r="BZ368" s="265"/>
      <c r="CA368" s="265"/>
      <c r="CB368" s="265"/>
      <c r="CC368" s="265"/>
      <c r="CD368" s="266"/>
      <c r="CE368" s="266"/>
      <c r="CF368" s="266"/>
      <c r="CG368" s="266"/>
      <c r="CH368" s="266"/>
      <c r="CI368" s="266"/>
      <c r="CJ368" s="266"/>
      <c r="CK368" s="266"/>
      <c r="CL368" s="266"/>
      <c r="CM368" s="266"/>
      <c r="CN368" s="266"/>
      <c r="CO368" s="266"/>
      <c r="CP368" s="266"/>
      <c r="CQ368" s="266"/>
      <c r="CR368" s="266"/>
      <c r="CS368" s="266"/>
      <c r="CT368" s="267"/>
      <c r="CU368" s="267"/>
      <c r="CV368" s="267"/>
      <c r="CW368" s="267"/>
      <c r="CX368" s="267"/>
      <c r="CY368" s="267"/>
      <c r="CZ368" s="267"/>
      <c r="DA368" s="267"/>
      <c r="DB368" s="267"/>
      <c r="DC368" s="267"/>
      <c r="DD368" s="267"/>
      <c r="DE368" s="267"/>
      <c r="DF368" s="267"/>
      <c r="DG368" s="267"/>
      <c r="DH368" s="267"/>
      <c r="DI368" s="267"/>
      <c r="DJ368" s="268"/>
      <c r="DK368" s="268"/>
      <c r="DL368" s="268"/>
      <c r="DM368" s="268"/>
      <c r="DN368" s="268"/>
      <c r="DO368" s="268"/>
      <c r="DP368" s="268"/>
      <c r="DQ368" s="268"/>
      <c r="DR368" s="268"/>
      <c r="DS368" s="268"/>
      <c r="DT368" s="268"/>
      <c r="DU368" s="268"/>
      <c r="DV368" s="268"/>
      <c r="DW368" s="268"/>
      <c r="DX368" s="268"/>
      <c r="DY368" s="268"/>
      <c r="EA368" s="13"/>
      <c r="EB368" s="96"/>
      <c r="EC368" s="96"/>
      <c r="ED368" s="96"/>
      <c r="EE368" s="96"/>
      <c r="EF368" s="96"/>
      <c r="EG368" s="96"/>
      <c r="EH368" s="96"/>
      <c r="EI368" s="96"/>
      <c r="EJ368" s="96"/>
      <c r="EK368" s="96"/>
      <c r="EL368" s="96"/>
      <c r="EM368" s="96"/>
      <c r="EN368" s="96"/>
      <c r="EO368" s="96"/>
      <c r="EP368" s="96"/>
      <c r="EQ368" s="96"/>
      <c r="ER368" s="96"/>
      <c r="ES368" s="96"/>
      <c r="ET368" s="96"/>
      <c r="EU368" s="96"/>
      <c r="EV368" s="96"/>
      <c r="EW368" s="96"/>
      <c r="EX368" s="96"/>
      <c r="EY368" s="96"/>
      <c r="EZ368" s="96"/>
      <c r="FA368" s="96"/>
      <c r="FB368" s="96"/>
      <c r="FC368" s="96"/>
      <c r="FD368" s="96"/>
      <c r="FE368" s="96"/>
      <c r="FF368" s="96"/>
      <c r="FG368" s="96"/>
      <c r="FH368" s="96"/>
      <c r="FI368" s="96"/>
      <c r="FJ368" s="96"/>
      <c r="FK368" s="96"/>
      <c r="FL368" s="96"/>
      <c r="FM368" s="96"/>
      <c r="FN368" s="96"/>
      <c r="FO368" s="96"/>
      <c r="FP368" s="96"/>
      <c r="FQ368" s="96"/>
      <c r="FR368" s="96"/>
      <c r="FS368" s="96"/>
      <c r="FT368" s="96"/>
      <c r="FU368" s="96"/>
      <c r="FV368" s="96"/>
      <c r="FW368" s="96"/>
      <c r="FX368" s="96"/>
      <c r="FY368" s="96"/>
      <c r="FZ368" s="96"/>
      <c r="GA368" s="96"/>
      <c r="GB368" s="96"/>
      <c r="GC368" s="96"/>
      <c r="GD368" s="96"/>
      <c r="GE368" s="96"/>
      <c r="GF368" s="96"/>
      <c r="GG368" s="96"/>
      <c r="GH368" s="96"/>
      <c r="GI368" s="96"/>
      <c r="GJ368" s="96"/>
      <c r="GK368" s="96"/>
      <c r="GL368" s="96"/>
      <c r="GM368" s="13"/>
      <c r="GN368" s="96"/>
      <c r="GO368" s="96"/>
      <c r="GP368" s="96"/>
      <c r="GQ368" s="96"/>
      <c r="GR368" s="96"/>
      <c r="GS368" s="96"/>
      <c r="GT368" s="96"/>
      <c r="GU368" s="96"/>
      <c r="GV368" s="96"/>
      <c r="GW368" s="96"/>
      <c r="GX368" s="96"/>
      <c r="GY368" s="96"/>
      <c r="GZ368" s="96"/>
      <c r="HA368" s="96"/>
      <c r="HB368" s="96"/>
      <c r="HC368" s="13"/>
      <c r="HD368" s="96"/>
      <c r="HE368" s="96"/>
      <c r="HF368" s="96"/>
      <c r="HG368" s="96"/>
      <c r="HH368" s="96"/>
      <c r="HI368" s="96"/>
      <c r="HJ368" s="96"/>
      <c r="HK368" s="96"/>
      <c r="HL368" s="96"/>
      <c r="HM368" s="96"/>
      <c r="HN368" s="96"/>
      <c r="HO368" s="96"/>
      <c r="HP368" s="96"/>
      <c r="HQ368" s="96"/>
      <c r="HR368" s="96"/>
      <c r="HS368" s="13"/>
      <c r="HT368" s="96"/>
      <c r="HU368" s="96"/>
      <c r="HV368" s="96"/>
      <c r="HW368" s="96"/>
      <c r="HX368" s="96"/>
      <c r="HY368" s="96"/>
      <c r="HZ368" s="96"/>
      <c r="IA368" s="96"/>
      <c r="IB368" s="96"/>
      <c r="IC368" s="96"/>
      <c r="ID368" s="96"/>
      <c r="IE368" s="96"/>
      <c r="IF368" s="96"/>
      <c r="IG368" s="96"/>
      <c r="IH368" s="96"/>
      <c r="II368" s="13"/>
      <c r="IJ368" s="96"/>
      <c r="IK368" s="96"/>
      <c r="IL368" s="96"/>
      <c r="IM368" s="96"/>
      <c r="IN368" s="96"/>
      <c r="IO368" s="96"/>
      <c r="IP368" s="96"/>
      <c r="IQ368" s="96"/>
      <c r="IR368" s="96"/>
      <c r="IS368" s="96"/>
      <c r="IT368" s="96"/>
      <c r="IU368" s="96"/>
      <c r="IV368" s="96"/>
      <c r="IW368" s="96"/>
      <c r="IX368" s="96"/>
      <c r="IY368" s="13"/>
    </row>
    <row r="369" spans="1:259" outlineLevel="1">
      <c r="A369" s="11">
        <f>'VAC &amp; MED'!C374</f>
        <v>46340</v>
      </c>
      <c r="B369" s="261"/>
      <c r="C369" s="261"/>
      <c r="D369" s="261"/>
      <c r="E369" s="261"/>
      <c r="F369" s="261"/>
      <c r="G369" s="261"/>
      <c r="H369" s="261"/>
      <c r="I369" s="261"/>
      <c r="J369" s="261"/>
      <c r="K369" s="261"/>
      <c r="L369" s="261"/>
      <c r="M369" s="261"/>
      <c r="N369" s="261"/>
      <c r="O369" s="261"/>
      <c r="P369" s="261"/>
      <c r="Q369" s="261"/>
      <c r="R369" s="262"/>
      <c r="S369" s="262"/>
      <c r="T369" s="262"/>
      <c r="U369" s="262"/>
      <c r="V369" s="262"/>
      <c r="W369" s="262"/>
      <c r="X369" s="262"/>
      <c r="Y369" s="262"/>
      <c r="Z369" s="262"/>
      <c r="AA369" s="262"/>
      <c r="AB369" s="262"/>
      <c r="AC369" s="262"/>
      <c r="AD369" s="262"/>
      <c r="AE369" s="262"/>
      <c r="AF369" s="262"/>
      <c r="AG369" s="262"/>
      <c r="AH369" s="263"/>
      <c r="AI369" s="263"/>
      <c r="AJ369" s="263"/>
      <c r="AK369" s="263"/>
      <c r="AL369" s="263"/>
      <c r="AM369" s="263"/>
      <c r="AN369" s="263"/>
      <c r="AO369" s="263"/>
      <c r="AP369" s="263"/>
      <c r="AQ369" s="263"/>
      <c r="AR369" s="263"/>
      <c r="AS369" s="263"/>
      <c r="AT369" s="263"/>
      <c r="AU369" s="263"/>
      <c r="AV369" s="263"/>
      <c r="AW369" s="263"/>
      <c r="AX369" s="264"/>
      <c r="AY369" s="264"/>
      <c r="AZ369" s="264"/>
      <c r="BA369" s="264"/>
      <c r="BB369" s="264"/>
      <c r="BC369" s="264"/>
      <c r="BD369" s="264"/>
      <c r="BE369" s="264"/>
      <c r="BF369" s="264"/>
      <c r="BG369" s="264"/>
      <c r="BH369" s="264"/>
      <c r="BI369" s="264"/>
      <c r="BJ369" s="264"/>
      <c r="BK369" s="264"/>
      <c r="BL369" s="264"/>
      <c r="BM369" s="264"/>
      <c r="BN369" s="265"/>
      <c r="BO369" s="265"/>
      <c r="BP369" s="265"/>
      <c r="BQ369" s="265"/>
      <c r="BR369" s="265"/>
      <c r="BS369" s="265"/>
      <c r="BT369" s="265"/>
      <c r="BU369" s="265"/>
      <c r="BV369" s="265"/>
      <c r="BW369" s="265"/>
      <c r="BX369" s="265"/>
      <c r="BY369" s="265"/>
      <c r="BZ369" s="265"/>
      <c r="CA369" s="265"/>
      <c r="CB369" s="265"/>
      <c r="CC369" s="265"/>
      <c r="CD369" s="266"/>
      <c r="CE369" s="266"/>
      <c r="CF369" s="266"/>
      <c r="CG369" s="266"/>
      <c r="CH369" s="266"/>
      <c r="CI369" s="266"/>
      <c r="CJ369" s="266"/>
      <c r="CK369" s="266"/>
      <c r="CL369" s="266"/>
      <c r="CM369" s="266"/>
      <c r="CN369" s="266"/>
      <c r="CO369" s="266"/>
      <c r="CP369" s="266"/>
      <c r="CQ369" s="266"/>
      <c r="CR369" s="266"/>
      <c r="CS369" s="266"/>
      <c r="CT369" s="267"/>
      <c r="CU369" s="267"/>
      <c r="CV369" s="267"/>
      <c r="CW369" s="267"/>
      <c r="CX369" s="267"/>
      <c r="CY369" s="267"/>
      <c r="CZ369" s="267"/>
      <c r="DA369" s="267"/>
      <c r="DB369" s="267"/>
      <c r="DC369" s="267"/>
      <c r="DD369" s="267"/>
      <c r="DE369" s="267"/>
      <c r="DF369" s="267"/>
      <c r="DG369" s="267"/>
      <c r="DH369" s="267"/>
      <c r="DI369" s="267"/>
      <c r="DJ369" s="268"/>
      <c r="DK369" s="268"/>
      <c r="DL369" s="268"/>
      <c r="DM369" s="268"/>
      <c r="DN369" s="268"/>
      <c r="DO369" s="268"/>
      <c r="DP369" s="268"/>
      <c r="DQ369" s="268"/>
      <c r="DR369" s="268"/>
      <c r="DS369" s="268"/>
      <c r="DT369" s="268"/>
      <c r="DU369" s="268"/>
      <c r="DV369" s="268"/>
      <c r="DW369" s="268"/>
      <c r="DX369" s="268"/>
      <c r="DY369" s="268"/>
      <c r="EA369" s="13"/>
      <c r="EB369" s="96"/>
      <c r="EC369" s="96"/>
      <c r="ED369" s="96"/>
      <c r="EE369" s="96"/>
      <c r="EF369" s="96"/>
      <c r="EG369" s="96"/>
      <c r="EH369" s="96"/>
      <c r="EI369" s="96"/>
      <c r="EJ369" s="96"/>
      <c r="EK369" s="96"/>
      <c r="EL369" s="96"/>
      <c r="EM369" s="96"/>
      <c r="EN369" s="96"/>
      <c r="EO369" s="96"/>
      <c r="EP369" s="96"/>
      <c r="EQ369" s="96"/>
      <c r="ER369" s="96"/>
      <c r="ES369" s="96"/>
      <c r="ET369" s="96"/>
      <c r="EU369" s="96"/>
      <c r="EV369" s="96"/>
      <c r="EW369" s="96"/>
      <c r="EX369" s="96"/>
      <c r="EY369" s="96"/>
      <c r="EZ369" s="96"/>
      <c r="FA369" s="96"/>
      <c r="FB369" s="96"/>
      <c r="FC369" s="96"/>
      <c r="FD369" s="96"/>
      <c r="FE369" s="96"/>
      <c r="FF369" s="96"/>
      <c r="FG369" s="96"/>
      <c r="FH369" s="96"/>
      <c r="FI369" s="96"/>
      <c r="FJ369" s="96"/>
      <c r="FK369" s="96"/>
      <c r="FL369" s="96"/>
      <c r="FM369" s="96"/>
      <c r="FN369" s="96"/>
      <c r="FO369" s="96"/>
      <c r="FP369" s="96"/>
      <c r="FQ369" s="96"/>
      <c r="FR369" s="96"/>
      <c r="FS369" s="96"/>
      <c r="FT369" s="96"/>
      <c r="FU369" s="96"/>
      <c r="FV369" s="96"/>
      <c r="FW369" s="96"/>
      <c r="FX369" s="96"/>
      <c r="FY369" s="96"/>
      <c r="FZ369" s="96"/>
      <c r="GA369" s="96"/>
      <c r="GB369" s="96"/>
      <c r="GC369" s="96"/>
      <c r="GD369" s="96"/>
      <c r="GE369" s="96"/>
      <c r="GF369" s="96"/>
      <c r="GG369" s="96"/>
      <c r="GH369" s="96"/>
      <c r="GI369" s="96"/>
      <c r="GJ369" s="96"/>
      <c r="GK369" s="96"/>
      <c r="GL369" s="96"/>
      <c r="GM369" s="13"/>
      <c r="GN369" s="96"/>
      <c r="GO369" s="96"/>
      <c r="GP369" s="96"/>
      <c r="GQ369" s="96"/>
      <c r="GR369" s="96"/>
      <c r="GS369" s="96"/>
      <c r="GT369" s="96"/>
      <c r="GU369" s="96"/>
      <c r="GV369" s="96"/>
      <c r="GW369" s="96"/>
      <c r="GX369" s="96"/>
      <c r="GY369" s="96"/>
      <c r="GZ369" s="96"/>
      <c r="HA369" s="96"/>
      <c r="HB369" s="96"/>
      <c r="HC369" s="13"/>
      <c r="HD369" s="96"/>
      <c r="HE369" s="96"/>
      <c r="HF369" s="96"/>
      <c r="HG369" s="96"/>
      <c r="HH369" s="96"/>
      <c r="HI369" s="96"/>
      <c r="HJ369" s="96"/>
      <c r="HK369" s="96"/>
      <c r="HL369" s="96"/>
      <c r="HM369" s="96"/>
      <c r="HN369" s="96"/>
      <c r="HO369" s="96"/>
      <c r="HP369" s="96"/>
      <c r="HQ369" s="96"/>
      <c r="HR369" s="96"/>
      <c r="HS369" s="13"/>
      <c r="HT369" s="96"/>
      <c r="HU369" s="96"/>
      <c r="HV369" s="96"/>
      <c r="HW369" s="96"/>
      <c r="HX369" s="96"/>
      <c r="HY369" s="96"/>
      <c r="HZ369" s="96"/>
      <c r="IA369" s="96"/>
      <c r="IB369" s="96"/>
      <c r="IC369" s="96"/>
      <c r="ID369" s="96"/>
      <c r="IE369" s="96"/>
      <c r="IF369" s="96"/>
      <c r="IG369" s="96"/>
      <c r="IH369" s="96"/>
      <c r="II369" s="13"/>
      <c r="IJ369" s="96"/>
      <c r="IK369" s="96"/>
      <c r="IL369" s="96"/>
      <c r="IM369" s="96"/>
      <c r="IN369" s="96"/>
      <c r="IO369" s="96"/>
      <c r="IP369" s="96"/>
      <c r="IQ369" s="96"/>
      <c r="IR369" s="96"/>
      <c r="IS369" s="96"/>
      <c r="IT369" s="96"/>
      <c r="IU369" s="96"/>
      <c r="IV369" s="96"/>
      <c r="IW369" s="96"/>
      <c r="IX369" s="96"/>
      <c r="IY369" s="13"/>
    </row>
    <row r="370" spans="1:259" outlineLevel="1">
      <c r="A370" s="11">
        <f>'VAC &amp; MED'!C375</f>
        <v>46341</v>
      </c>
      <c r="B370" s="261"/>
      <c r="C370" s="261"/>
      <c r="D370" s="261"/>
      <c r="E370" s="261"/>
      <c r="F370" s="261"/>
      <c r="G370" s="261"/>
      <c r="H370" s="261"/>
      <c r="I370" s="261"/>
      <c r="J370" s="261"/>
      <c r="K370" s="261"/>
      <c r="L370" s="261"/>
      <c r="M370" s="261"/>
      <c r="N370" s="261"/>
      <c r="O370" s="261"/>
      <c r="P370" s="261"/>
      <c r="Q370" s="261"/>
      <c r="R370" s="262"/>
      <c r="S370" s="262"/>
      <c r="T370" s="262"/>
      <c r="U370" s="262"/>
      <c r="V370" s="262"/>
      <c r="W370" s="262"/>
      <c r="X370" s="262"/>
      <c r="Y370" s="262"/>
      <c r="Z370" s="262"/>
      <c r="AA370" s="262"/>
      <c r="AB370" s="262"/>
      <c r="AC370" s="262"/>
      <c r="AD370" s="262"/>
      <c r="AE370" s="262"/>
      <c r="AF370" s="262"/>
      <c r="AG370" s="262"/>
      <c r="AH370" s="263"/>
      <c r="AI370" s="263"/>
      <c r="AJ370" s="263"/>
      <c r="AK370" s="263"/>
      <c r="AL370" s="263"/>
      <c r="AM370" s="263"/>
      <c r="AN370" s="263"/>
      <c r="AO370" s="263"/>
      <c r="AP370" s="263"/>
      <c r="AQ370" s="263"/>
      <c r="AR370" s="263"/>
      <c r="AS370" s="263"/>
      <c r="AT370" s="263"/>
      <c r="AU370" s="263"/>
      <c r="AV370" s="263"/>
      <c r="AW370" s="263"/>
      <c r="AX370" s="264"/>
      <c r="AY370" s="264"/>
      <c r="AZ370" s="264"/>
      <c r="BA370" s="264"/>
      <c r="BB370" s="264"/>
      <c r="BC370" s="264"/>
      <c r="BD370" s="264"/>
      <c r="BE370" s="264"/>
      <c r="BF370" s="264"/>
      <c r="BG370" s="264"/>
      <c r="BH370" s="264"/>
      <c r="BI370" s="264"/>
      <c r="BJ370" s="264"/>
      <c r="BK370" s="264"/>
      <c r="BL370" s="264"/>
      <c r="BM370" s="264"/>
      <c r="BN370" s="265"/>
      <c r="BO370" s="265"/>
      <c r="BP370" s="265"/>
      <c r="BQ370" s="265"/>
      <c r="BR370" s="265"/>
      <c r="BS370" s="265"/>
      <c r="BT370" s="265"/>
      <c r="BU370" s="265"/>
      <c r="BV370" s="265"/>
      <c r="BW370" s="265"/>
      <c r="BX370" s="265"/>
      <c r="BY370" s="265"/>
      <c r="BZ370" s="265"/>
      <c r="CA370" s="265"/>
      <c r="CB370" s="265"/>
      <c r="CC370" s="265"/>
      <c r="CD370" s="266"/>
      <c r="CE370" s="266"/>
      <c r="CF370" s="266"/>
      <c r="CG370" s="266"/>
      <c r="CH370" s="266"/>
      <c r="CI370" s="266"/>
      <c r="CJ370" s="266"/>
      <c r="CK370" s="266"/>
      <c r="CL370" s="266"/>
      <c r="CM370" s="266"/>
      <c r="CN370" s="266"/>
      <c r="CO370" s="266"/>
      <c r="CP370" s="266"/>
      <c r="CQ370" s="266"/>
      <c r="CR370" s="266"/>
      <c r="CS370" s="266"/>
      <c r="CT370" s="267"/>
      <c r="CU370" s="267"/>
      <c r="CV370" s="267"/>
      <c r="CW370" s="267"/>
      <c r="CX370" s="267"/>
      <c r="CY370" s="267"/>
      <c r="CZ370" s="267"/>
      <c r="DA370" s="267"/>
      <c r="DB370" s="267"/>
      <c r="DC370" s="267"/>
      <c r="DD370" s="267"/>
      <c r="DE370" s="267"/>
      <c r="DF370" s="267"/>
      <c r="DG370" s="267"/>
      <c r="DH370" s="267"/>
      <c r="DI370" s="267"/>
      <c r="DJ370" s="268"/>
      <c r="DK370" s="268"/>
      <c r="DL370" s="268"/>
      <c r="DM370" s="268"/>
      <c r="DN370" s="268"/>
      <c r="DO370" s="268"/>
      <c r="DP370" s="268"/>
      <c r="DQ370" s="268"/>
      <c r="DR370" s="268"/>
      <c r="DS370" s="268"/>
      <c r="DT370" s="268"/>
      <c r="DU370" s="268"/>
      <c r="DV370" s="268"/>
      <c r="DW370" s="268"/>
      <c r="DX370" s="268"/>
      <c r="DY370" s="268"/>
      <c r="EA370" s="13"/>
      <c r="EB370" s="96"/>
      <c r="EC370" s="96"/>
      <c r="ED370" s="96"/>
      <c r="EE370" s="96"/>
      <c r="EF370" s="96"/>
      <c r="EG370" s="96"/>
      <c r="EH370" s="96"/>
      <c r="EI370" s="96"/>
      <c r="EJ370" s="96"/>
      <c r="EK370" s="96"/>
      <c r="EL370" s="96"/>
      <c r="EM370" s="96"/>
      <c r="EN370" s="96"/>
      <c r="EO370" s="96"/>
      <c r="EP370" s="96"/>
      <c r="EQ370" s="96"/>
      <c r="ER370" s="96"/>
      <c r="ES370" s="96"/>
      <c r="ET370" s="96"/>
      <c r="EU370" s="96"/>
      <c r="EV370" s="96"/>
      <c r="EW370" s="96"/>
      <c r="EX370" s="96"/>
      <c r="EY370" s="96"/>
      <c r="EZ370" s="96"/>
      <c r="FA370" s="96"/>
      <c r="FB370" s="96"/>
      <c r="FC370" s="96"/>
      <c r="FD370" s="96"/>
      <c r="FE370" s="96"/>
      <c r="FF370" s="96"/>
      <c r="FG370" s="96"/>
      <c r="FH370" s="96"/>
      <c r="FI370" s="96"/>
      <c r="FJ370" s="96"/>
      <c r="FK370" s="96"/>
      <c r="FL370" s="96"/>
      <c r="FM370" s="96"/>
      <c r="FN370" s="96"/>
      <c r="FO370" s="96"/>
      <c r="FP370" s="96"/>
      <c r="FQ370" s="96"/>
      <c r="FR370" s="96"/>
      <c r="FS370" s="96"/>
      <c r="FT370" s="96"/>
      <c r="FU370" s="96"/>
      <c r="FV370" s="96"/>
      <c r="FW370" s="96"/>
      <c r="FX370" s="96"/>
      <c r="FY370" s="96"/>
      <c r="FZ370" s="96"/>
      <c r="GA370" s="96"/>
      <c r="GB370" s="96"/>
      <c r="GC370" s="96"/>
      <c r="GD370" s="96"/>
      <c r="GE370" s="96"/>
      <c r="GF370" s="96"/>
      <c r="GG370" s="96"/>
      <c r="GH370" s="96"/>
      <c r="GI370" s="96"/>
      <c r="GJ370" s="96"/>
      <c r="GK370" s="96"/>
      <c r="GL370" s="96"/>
      <c r="GM370" s="13"/>
      <c r="GN370" s="96"/>
      <c r="GO370" s="96"/>
      <c r="GP370" s="96"/>
      <c r="GQ370" s="96"/>
      <c r="GR370" s="96"/>
      <c r="GS370" s="96"/>
      <c r="GT370" s="96"/>
      <c r="GU370" s="96"/>
      <c r="GV370" s="96"/>
      <c r="GW370" s="96"/>
      <c r="GX370" s="96"/>
      <c r="GY370" s="96"/>
      <c r="GZ370" s="96"/>
      <c r="HA370" s="96"/>
      <c r="HB370" s="96"/>
      <c r="HC370" s="13"/>
      <c r="HD370" s="96"/>
      <c r="HE370" s="96"/>
      <c r="HF370" s="96"/>
      <c r="HG370" s="96"/>
      <c r="HH370" s="96"/>
      <c r="HI370" s="96"/>
      <c r="HJ370" s="96"/>
      <c r="HK370" s="96"/>
      <c r="HL370" s="96"/>
      <c r="HM370" s="96"/>
      <c r="HN370" s="96"/>
      <c r="HO370" s="96"/>
      <c r="HP370" s="96"/>
      <c r="HQ370" s="96"/>
      <c r="HR370" s="96"/>
      <c r="HS370" s="13"/>
      <c r="HT370" s="96"/>
      <c r="HU370" s="96"/>
      <c r="HV370" s="96"/>
      <c r="HW370" s="96"/>
      <c r="HX370" s="96"/>
      <c r="HY370" s="96"/>
      <c r="HZ370" s="96"/>
      <c r="IA370" s="96"/>
      <c r="IB370" s="96"/>
      <c r="IC370" s="96"/>
      <c r="ID370" s="96"/>
      <c r="IE370" s="96"/>
      <c r="IF370" s="96"/>
      <c r="IG370" s="96"/>
      <c r="IH370" s="96"/>
      <c r="II370" s="13"/>
      <c r="IJ370" s="96"/>
      <c r="IK370" s="96"/>
      <c r="IL370" s="96"/>
      <c r="IM370" s="96"/>
      <c r="IN370" s="96"/>
      <c r="IO370" s="96"/>
      <c r="IP370" s="96"/>
      <c r="IQ370" s="96"/>
      <c r="IR370" s="96"/>
      <c r="IS370" s="96"/>
      <c r="IT370" s="96"/>
      <c r="IU370" s="96"/>
      <c r="IV370" s="96"/>
      <c r="IW370" s="96"/>
      <c r="IX370" s="96"/>
      <c r="IY370" s="13"/>
    </row>
    <row r="371" spans="1:259" outlineLevel="1">
      <c r="A371" s="11">
        <f>'VAC &amp; MED'!C376</f>
        <v>46342</v>
      </c>
      <c r="B371" s="261"/>
      <c r="C371" s="261"/>
      <c r="D371" s="261"/>
      <c r="E371" s="261"/>
      <c r="F371" s="261"/>
      <c r="G371" s="261"/>
      <c r="H371" s="261"/>
      <c r="I371" s="261"/>
      <c r="J371" s="261"/>
      <c r="K371" s="261"/>
      <c r="L371" s="261"/>
      <c r="M371" s="261"/>
      <c r="N371" s="261"/>
      <c r="O371" s="261"/>
      <c r="P371" s="261"/>
      <c r="Q371" s="261"/>
      <c r="R371" s="262"/>
      <c r="S371" s="262"/>
      <c r="T371" s="262"/>
      <c r="U371" s="262"/>
      <c r="V371" s="262"/>
      <c r="W371" s="262"/>
      <c r="X371" s="262"/>
      <c r="Y371" s="262"/>
      <c r="Z371" s="262"/>
      <c r="AA371" s="262"/>
      <c r="AB371" s="262"/>
      <c r="AC371" s="262"/>
      <c r="AD371" s="262"/>
      <c r="AE371" s="262"/>
      <c r="AF371" s="262"/>
      <c r="AG371" s="262"/>
      <c r="AH371" s="263"/>
      <c r="AI371" s="263"/>
      <c r="AJ371" s="263"/>
      <c r="AK371" s="263"/>
      <c r="AL371" s="263"/>
      <c r="AM371" s="263"/>
      <c r="AN371" s="263"/>
      <c r="AO371" s="263"/>
      <c r="AP371" s="263"/>
      <c r="AQ371" s="263"/>
      <c r="AR371" s="263"/>
      <c r="AS371" s="263"/>
      <c r="AT371" s="263"/>
      <c r="AU371" s="263"/>
      <c r="AV371" s="263"/>
      <c r="AW371" s="263"/>
      <c r="AX371" s="264"/>
      <c r="AY371" s="264"/>
      <c r="AZ371" s="264"/>
      <c r="BA371" s="264"/>
      <c r="BB371" s="264"/>
      <c r="BC371" s="264"/>
      <c r="BD371" s="264"/>
      <c r="BE371" s="264"/>
      <c r="BF371" s="264"/>
      <c r="BG371" s="264"/>
      <c r="BH371" s="264"/>
      <c r="BI371" s="264"/>
      <c r="BJ371" s="264"/>
      <c r="BK371" s="264"/>
      <c r="BL371" s="264"/>
      <c r="BM371" s="264"/>
      <c r="BN371" s="265"/>
      <c r="BO371" s="265"/>
      <c r="BP371" s="265"/>
      <c r="BQ371" s="265"/>
      <c r="BR371" s="265"/>
      <c r="BS371" s="265"/>
      <c r="BT371" s="265"/>
      <c r="BU371" s="265"/>
      <c r="BV371" s="265"/>
      <c r="BW371" s="265"/>
      <c r="BX371" s="265"/>
      <c r="BY371" s="265"/>
      <c r="BZ371" s="265"/>
      <c r="CA371" s="265"/>
      <c r="CB371" s="265"/>
      <c r="CC371" s="265"/>
      <c r="CD371" s="266"/>
      <c r="CE371" s="266"/>
      <c r="CF371" s="266"/>
      <c r="CG371" s="266"/>
      <c r="CH371" s="266"/>
      <c r="CI371" s="266"/>
      <c r="CJ371" s="266"/>
      <c r="CK371" s="266"/>
      <c r="CL371" s="266"/>
      <c r="CM371" s="266"/>
      <c r="CN371" s="266"/>
      <c r="CO371" s="266"/>
      <c r="CP371" s="266"/>
      <c r="CQ371" s="266"/>
      <c r="CR371" s="266"/>
      <c r="CS371" s="266"/>
      <c r="CT371" s="267"/>
      <c r="CU371" s="267"/>
      <c r="CV371" s="267"/>
      <c r="CW371" s="267"/>
      <c r="CX371" s="267"/>
      <c r="CY371" s="267"/>
      <c r="CZ371" s="267"/>
      <c r="DA371" s="267"/>
      <c r="DB371" s="267"/>
      <c r="DC371" s="267"/>
      <c r="DD371" s="267"/>
      <c r="DE371" s="267"/>
      <c r="DF371" s="267"/>
      <c r="DG371" s="267"/>
      <c r="DH371" s="267"/>
      <c r="DI371" s="267"/>
      <c r="DJ371" s="268"/>
      <c r="DK371" s="268"/>
      <c r="DL371" s="268"/>
      <c r="DM371" s="268"/>
      <c r="DN371" s="268"/>
      <c r="DO371" s="268"/>
      <c r="DP371" s="268"/>
      <c r="DQ371" s="268"/>
      <c r="DR371" s="268"/>
      <c r="DS371" s="268"/>
      <c r="DT371" s="268"/>
      <c r="DU371" s="268"/>
      <c r="DV371" s="268"/>
      <c r="DW371" s="268"/>
      <c r="DX371" s="268"/>
      <c r="DY371" s="268"/>
      <c r="EA371" s="13"/>
      <c r="EB371" s="96"/>
      <c r="EC371" s="96"/>
      <c r="ED371" s="96"/>
      <c r="EE371" s="96"/>
      <c r="EF371" s="96"/>
      <c r="EG371" s="96"/>
      <c r="EH371" s="96"/>
      <c r="EI371" s="96"/>
      <c r="EJ371" s="96"/>
      <c r="EK371" s="96"/>
      <c r="EL371" s="96"/>
      <c r="EM371" s="96"/>
      <c r="EN371" s="96"/>
      <c r="EO371" s="96"/>
      <c r="EP371" s="96"/>
      <c r="EQ371" s="96"/>
      <c r="ER371" s="96"/>
      <c r="ES371" s="96"/>
      <c r="ET371" s="96"/>
      <c r="EU371" s="96"/>
      <c r="EV371" s="96"/>
      <c r="EW371" s="96"/>
      <c r="EX371" s="96"/>
      <c r="EY371" s="96"/>
      <c r="EZ371" s="96"/>
      <c r="FA371" s="96"/>
      <c r="FB371" s="96"/>
      <c r="FC371" s="96"/>
      <c r="FD371" s="96"/>
      <c r="FE371" s="96"/>
      <c r="FF371" s="96"/>
      <c r="FG371" s="96"/>
      <c r="FH371" s="96"/>
      <c r="FI371" s="96"/>
      <c r="FJ371" s="96"/>
      <c r="FK371" s="96"/>
      <c r="FL371" s="96"/>
      <c r="FM371" s="96"/>
      <c r="FN371" s="96"/>
      <c r="FO371" s="96"/>
      <c r="FP371" s="96"/>
      <c r="FQ371" s="96"/>
      <c r="FR371" s="96"/>
      <c r="FS371" s="96"/>
      <c r="FT371" s="96"/>
      <c r="FU371" s="96"/>
      <c r="FV371" s="96"/>
      <c r="FW371" s="96"/>
      <c r="FX371" s="96"/>
      <c r="FY371" s="96"/>
      <c r="FZ371" s="96"/>
      <c r="GA371" s="96"/>
      <c r="GB371" s="96"/>
      <c r="GC371" s="96"/>
      <c r="GD371" s="96"/>
      <c r="GE371" s="96"/>
      <c r="GF371" s="96"/>
      <c r="GG371" s="96"/>
      <c r="GH371" s="96"/>
      <c r="GI371" s="96"/>
      <c r="GJ371" s="96"/>
      <c r="GK371" s="96"/>
      <c r="GL371" s="96"/>
      <c r="GM371" s="13"/>
      <c r="GN371" s="96"/>
      <c r="GO371" s="96"/>
      <c r="GP371" s="96"/>
      <c r="GQ371" s="96"/>
      <c r="GR371" s="96"/>
      <c r="GS371" s="96"/>
      <c r="GT371" s="96"/>
      <c r="GU371" s="96"/>
      <c r="GV371" s="96"/>
      <c r="GW371" s="96"/>
      <c r="GX371" s="96"/>
      <c r="GY371" s="96"/>
      <c r="GZ371" s="96"/>
      <c r="HA371" s="96"/>
      <c r="HB371" s="96"/>
      <c r="HC371" s="13"/>
      <c r="HD371" s="96"/>
      <c r="HE371" s="96"/>
      <c r="HF371" s="96"/>
      <c r="HG371" s="96"/>
      <c r="HH371" s="96"/>
      <c r="HI371" s="96"/>
      <c r="HJ371" s="96"/>
      <c r="HK371" s="96"/>
      <c r="HL371" s="96"/>
      <c r="HM371" s="96"/>
      <c r="HN371" s="96"/>
      <c r="HO371" s="96"/>
      <c r="HP371" s="96"/>
      <c r="HQ371" s="96"/>
      <c r="HR371" s="96"/>
      <c r="HS371" s="13"/>
      <c r="HT371" s="96"/>
      <c r="HU371" s="96"/>
      <c r="HV371" s="96"/>
      <c r="HW371" s="96"/>
      <c r="HX371" s="96"/>
      <c r="HY371" s="96"/>
      <c r="HZ371" s="96"/>
      <c r="IA371" s="96"/>
      <c r="IB371" s="96"/>
      <c r="IC371" s="96"/>
      <c r="ID371" s="96"/>
      <c r="IE371" s="96"/>
      <c r="IF371" s="96"/>
      <c r="IG371" s="96"/>
      <c r="IH371" s="96"/>
      <c r="II371" s="13"/>
      <c r="IJ371" s="96"/>
      <c r="IK371" s="96"/>
      <c r="IL371" s="96"/>
      <c r="IM371" s="96"/>
      <c r="IN371" s="96"/>
      <c r="IO371" s="96"/>
      <c r="IP371" s="96"/>
      <c r="IQ371" s="96"/>
      <c r="IR371" s="96"/>
      <c r="IS371" s="96"/>
      <c r="IT371" s="96"/>
      <c r="IU371" s="96"/>
      <c r="IV371" s="96"/>
      <c r="IW371" s="96"/>
      <c r="IX371" s="96"/>
      <c r="IY371" s="13"/>
    </row>
    <row r="372" spans="1:259" outlineLevel="1">
      <c r="A372" s="11">
        <f>'VAC &amp; MED'!C377</f>
        <v>46343</v>
      </c>
      <c r="B372" s="261"/>
      <c r="C372" s="261"/>
      <c r="D372" s="261"/>
      <c r="E372" s="261"/>
      <c r="F372" s="261"/>
      <c r="G372" s="261"/>
      <c r="H372" s="261"/>
      <c r="I372" s="261"/>
      <c r="J372" s="261"/>
      <c r="K372" s="261"/>
      <c r="L372" s="261"/>
      <c r="M372" s="261"/>
      <c r="N372" s="261"/>
      <c r="O372" s="261"/>
      <c r="P372" s="261"/>
      <c r="Q372" s="261"/>
      <c r="R372" s="262"/>
      <c r="S372" s="262"/>
      <c r="T372" s="262"/>
      <c r="U372" s="262"/>
      <c r="V372" s="262"/>
      <c r="W372" s="262"/>
      <c r="X372" s="262"/>
      <c r="Y372" s="262"/>
      <c r="Z372" s="262"/>
      <c r="AA372" s="262"/>
      <c r="AB372" s="262"/>
      <c r="AC372" s="262"/>
      <c r="AD372" s="262"/>
      <c r="AE372" s="262"/>
      <c r="AF372" s="262"/>
      <c r="AG372" s="262"/>
      <c r="AH372" s="263"/>
      <c r="AI372" s="263"/>
      <c r="AJ372" s="263"/>
      <c r="AK372" s="263"/>
      <c r="AL372" s="263"/>
      <c r="AM372" s="263"/>
      <c r="AN372" s="263"/>
      <c r="AO372" s="263"/>
      <c r="AP372" s="263"/>
      <c r="AQ372" s="263"/>
      <c r="AR372" s="263"/>
      <c r="AS372" s="263"/>
      <c r="AT372" s="263"/>
      <c r="AU372" s="263"/>
      <c r="AV372" s="263"/>
      <c r="AW372" s="263"/>
      <c r="AX372" s="264"/>
      <c r="AY372" s="264"/>
      <c r="AZ372" s="264"/>
      <c r="BA372" s="264"/>
      <c r="BB372" s="264"/>
      <c r="BC372" s="264"/>
      <c r="BD372" s="264"/>
      <c r="BE372" s="264"/>
      <c r="BF372" s="264"/>
      <c r="BG372" s="264"/>
      <c r="BH372" s="264"/>
      <c r="BI372" s="264"/>
      <c r="BJ372" s="264"/>
      <c r="BK372" s="264"/>
      <c r="BL372" s="264"/>
      <c r="BM372" s="264"/>
      <c r="BN372" s="265"/>
      <c r="BO372" s="265"/>
      <c r="BP372" s="265"/>
      <c r="BQ372" s="265"/>
      <c r="BR372" s="265"/>
      <c r="BS372" s="265"/>
      <c r="BT372" s="265"/>
      <c r="BU372" s="265"/>
      <c r="BV372" s="265"/>
      <c r="BW372" s="265"/>
      <c r="BX372" s="265"/>
      <c r="BY372" s="265"/>
      <c r="BZ372" s="265"/>
      <c r="CA372" s="265"/>
      <c r="CB372" s="265"/>
      <c r="CC372" s="265"/>
      <c r="CD372" s="266"/>
      <c r="CE372" s="266"/>
      <c r="CF372" s="266"/>
      <c r="CG372" s="266"/>
      <c r="CH372" s="266"/>
      <c r="CI372" s="266"/>
      <c r="CJ372" s="266"/>
      <c r="CK372" s="266"/>
      <c r="CL372" s="266"/>
      <c r="CM372" s="266"/>
      <c r="CN372" s="266"/>
      <c r="CO372" s="266"/>
      <c r="CP372" s="266"/>
      <c r="CQ372" s="266"/>
      <c r="CR372" s="266"/>
      <c r="CS372" s="266"/>
      <c r="CT372" s="267"/>
      <c r="CU372" s="267"/>
      <c r="CV372" s="267"/>
      <c r="CW372" s="267"/>
      <c r="CX372" s="267"/>
      <c r="CY372" s="267"/>
      <c r="CZ372" s="267"/>
      <c r="DA372" s="267"/>
      <c r="DB372" s="267"/>
      <c r="DC372" s="267"/>
      <c r="DD372" s="267"/>
      <c r="DE372" s="267"/>
      <c r="DF372" s="267"/>
      <c r="DG372" s="267"/>
      <c r="DH372" s="267"/>
      <c r="DI372" s="267"/>
      <c r="DJ372" s="268"/>
      <c r="DK372" s="268"/>
      <c r="DL372" s="268"/>
      <c r="DM372" s="268"/>
      <c r="DN372" s="268"/>
      <c r="DO372" s="268"/>
      <c r="DP372" s="268"/>
      <c r="DQ372" s="268"/>
      <c r="DR372" s="268"/>
      <c r="DS372" s="268"/>
      <c r="DT372" s="268"/>
      <c r="DU372" s="268"/>
      <c r="DV372" s="268"/>
      <c r="DW372" s="268"/>
      <c r="DX372" s="268"/>
      <c r="DY372" s="268"/>
      <c r="EA372" s="13"/>
      <c r="EB372" s="96"/>
      <c r="EC372" s="96"/>
      <c r="ED372" s="96"/>
      <c r="EE372" s="96"/>
      <c r="EF372" s="96"/>
      <c r="EG372" s="96"/>
      <c r="EH372" s="96"/>
      <c r="EI372" s="96"/>
      <c r="EJ372" s="96"/>
      <c r="EK372" s="96"/>
      <c r="EL372" s="96"/>
      <c r="EM372" s="96"/>
      <c r="EN372" s="96"/>
      <c r="EO372" s="96"/>
      <c r="EP372" s="96"/>
      <c r="EQ372" s="96"/>
      <c r="ER372" s="96"/>
      <c r="ES372" s="96"/>
      <c r="ET372" s="96"/>
      <c r="EU372" s="96"/>
      <c r="EV372" s="96"/>
      <c r="EW372" s="96"/>
      <c r="EX372" s="96"/>
      <c r="EY372" s="96"/>
      <c r="EZ372" s="96"/>
      <c r="FA372" s="96"/>
      <c r="FB372" s="96"/>
      <c r="FC372" s="96"/>
      <c r="FD372" s="96"/>
      <c r="FE372" s="96"/>
      <c r="FF372" s="96"/>
      <c r="FG372" s="96"/>
      <c r="FH372" s="96"/>
      <c r="FI372" s="96"/>
      <c r="FJ372" s="96"/>
      <c r="FK372" s="96"/>
      <c r="FL372" s="96"/>
      <c r="FM372" s="96"/>
      <c r="FN372" s="96"/>
      <c r="FO372" s="96"/>
      <c r="FP372" s="96"/>
      <c r="FQ372" s="96"/>
      <c r="FR372" s="96"/>
      <c r="FS372" s="96"/>
      <c r="FT372" s="96"/>
      <c r="FU372" s="96"/>
      <c r="FV372" s="96"/>
      <c r="FW372" s="96"/>
      <c r="FX372" s="96"/>
      <c r="FY372" s="96"/>
      <c r="FZ372" s="96"/>
      <c r="GA372" s="96"/>
      <c r="GB372" s="96"/>
      <c r="GC372" s="96"/>
      <c r="GD372" s="96"/>
      <c r="GE372" s="96"/>
      <c r="GF372" s="96"/>
      <c r="GG372" s="96"/>
      <c r="GH372" s="96"/>
      <c r="GI372" s="96"/>
      <c r="GJ372" s="96"/>
      <c r="GK372" s="96"/>
      <c r="GL372" s="96"/>
      <c r="GM372" s="13"/>
      <c r="GN372" s="96"/>
      <c r="GO372" s="96"/>
      <c r="GP372" s="96"/>
      <c r="GQ372" s="96"/>
      <c r="GR372" s="96"/>
      <c r="GS372" s="96"/>
      <c r="GT372" s="96"/>
      <c r="GU372" s="96"/>
      <c r="GV372" s="96"/>
      <c r="GW372" s="96"/>
      <c r="GX372" s="96"/>
      <c r="GY372" s="96"/>
      <c r="GZ372" s="96"/>
      <c r="HA372" s="96"/>
      <c r="HB372" s="96"/>
      <c r="HC372" s="13"/>
      <c r="HD372" s="96"/>
      <c r="HE372" s="96"/>
      <c r="HF372" s="96"/>
      <c r="HG372" s="96"/>
      <c r="HH372" s="96"/>
      <c r="HI372" s="96"/>
      <c r="HJ372" s="96"/>
      <c r="HK372" s="96"/>
      <c r="HL372" s="96"/>
      <c r="HM372" s="96"/>
      <c r="HN372" s="96"/>
      <c r="HO372" s="96"/>
      <c r="HP372" s="96"/>
      <c r="HQ372" s="96"/>
      <c r="HR372" s="96"/>
      <c r="HS372" s="13"/>
      <c r="HT372" s="96"/>
      <c r="HU372" s="96"/>
      <c r="HV372" s="96"/>
      <c r="HW372" s="96"/>
      <c r="HX372" s="96"/>
      <c r="HY372" s="96"/>
      <c r="HZ372" s="96"/>
      <c r="IA372" s="96"/>
      <c r="IB372" s="96"/>
      <c r="IC372" s="96"/>
      <c r="ID372" s="96"/>
      <c r="IE372" s="96"/>
      <c r="IF372" s="96"/>
      <c r="IG372" s="96"/>
      <c r="IH372" s="96"/>
      <c r="II372" s="13"/>
      <c r="IJ372" s="96"/>
      <c r="IK372" s="96"/>
      <c r="IL372" s="96"/>
      <c r="IM372" s="96"/>
      <c r="IN372" s="96"/>
      <c r="IO372" s="96"/>
      <c r="IP372" s="96"/>
      <c r="IQ372" s="96"/>
      <c r="IR372" s="96"/>
      <c r="IS372" s="96"/>
      <c r="IT372" s="96"/>
      <c r="IU372" s="96"/>
      <c r="IV372" s="96"/>
      <c r="IW372" s="96"/>
      <c r="IX372" s="96"/>
      <c r="IY372" s="13"/>
    </row>
    <row r="373" spans="1:259" outlineLevel="1">
      <c r="A373" s="11">
        <f>'VAC &amp; MED'!C378</f>
        <v>46344</v>
      </c>
      <c r="B373" s="261"/>
      <c r="C373" s="261"/>
      <c r="D373" s="261"/>
      <c r="E373" s="261"/>
      <c r="F373" s="261"/>
      <c r="G373" s="261"/>
      <c r="H373" s="261"/>
      <c r="I373" s="261"/>
      <c r="J373" s="261"/>
      <c r="K373" s="261"/>
      <c r="L373" s="261"/>
      <c r="M373" s="261"/>
      <c r="N373" s="261"/>
      <c r="O373" s="261"/>
      <c r="P373" s="261"/>
      <c r="Q373" s="261"/>
      <c r="R373" s="262"/>
      <c r="S373" s="262"/>
      <c r="T373" s="262"/>
      <c r="U373" s="262"/>
      <c r="V373" s="262"/>
      <c r="W373" s="262"/>
      <c r="X373" s="262"/>
      <c r="Y373" s="262"/>
      <c r="Z373" s="262"/>
      <c r="AA373" s="262"/>
      <c r="AB373" s="262"/>
      <c r="AC373" s="262"/>
      <c r="AD373" s="262"/>
      <c r="AE373" s="262"/>
      <c r="AF373" s="262"/>
      <c r="AG373" s="262"/>
      <c r="AH373" s="263"/>
      <c r="AI373" s="263"/>
      <c r="AJ373" s="263"/>
      <c r="AK373" s="263"/>
      <c r="AL373" s="263"/>
      <c r="AM373" s="263"/>
      <c r="AN373" s="263"/>
      <c r="AO373" s="263"/>
      <c r="AP373" s="263"/>
      <c r="AQ373" s="263"/>
      <c r="AR373" s="263"/>
      <c r="AS373" s="263"/>
      <c r="AT373" s="263"/>
      <c r="AU373" s="263"/>
      <c r="AV373" s="263"/>
      <c r="AW373" s="263"/>
      <c r="AX373" s="264"/>
      <c r="AY373" s="264"/>
      <c r="AZ373" s="264"/>
      <c r="BA373" s="264"/>
      <c r="BB373" s="264"/>
      <c r="BC373" s="264"/>
      <c r="BD373" s="264"/>
      <c r="BE373" s="264"/>
      <c r="BF373" s="264"/>
      <c r="BG373" s="264"/>
      <c r="BH373" s="264"/>
      <c r="BI373" s="264"/>
      <c r="BJ373" s="264"/>
      <c r="BK373" s="264"/>
      <c r="BL373" s="264"/>
      <c r="BM373" s="264"/>
      <c r="BN373" s="265"/>
      <c r="BO373" s="265"/>
      <c r="BP373" s="265"/>
      <c r="BQ373" s="265"/>
      <c r="BR373" s="265"/>
      <c r="BS373" s="265"/>
      <c r="BT373" s="265"/>
      <c r="BU373" s="265"/>
      <c r="BV373" s="265"/>
      <c r="BW373" s="265"/>
      <c r="BX373" s="265"/>
      <c r="BY373" s="265"/>
      <c r="BZ373" s="265"/>
      <c r="CA373" s="265"/>
      <c r="CB373" s="265"/>
      <c r="CC373" s="265"/>
      <c r="CD373" s="266"/>
      <c r="CE373" s="266"/>
      <c r="CF373" s="266"/>
      <c r="CG373" s="266"/>
      <c r="CH373" s="266"/>
      <c r="CI373" s="266"/>
      <c r="CJ373" s="266"/>
      <c r="CK373" s="266"/>
      <c r="CL373" s="266"/>
      <c r="CM373" s="266"/>
      <c r="CN373" s="266"/>
      <c r="CO373" s="266"/>
      <c r="CP373" s="266"/>
      <c r="CQ373" s="266"/>
      <c r="CR373" s="266"/>
      <c r="CS373" s="266"/>
      <c r="CT373" s="267"/>
      <c r="CU373" s="267"/>
      <c r="CV373" s="267"/>
      <c r="CW373" s="267"/>
      <c r="CX373" s="267"/>
      <c r="CY373" s="267"/>
      <c r="CZ373" s="267"/>
      <c r="DA373" s="267"/>
      <c r="DB373" s="267"/>
      <c r="DC373" s="267"/>
      <c r="DD373" s="267"/>
      <c r="DE373" s="267"/>
      <c r="DF373" s="267"/>
      <c r="DG373" s="267"/>
      <c r="DH373" s="267"/>
      <c r="DI373" s="267"/>
      <c r="DJ373" s="268"/>
      <c r="DK373" s="268"/>
      <c r="DL373" s="268"/>
      <c r="DM373" s="268"/>
      <c r="DN373" s="268"/>
      <c r="DO373" s="268"/>
      <c r="DP373" s="268"/>
      <c r="DQ373" s="268"/>
      <c r="DR373" s="268"/>
      <c r="DS373" s="268"/>
      <c r="DT373" s="268"/>
      <c r="DU373" s="268"/>
      <c r="DV373" s="268"/>
      <c r="DW373" s="268"/>
      <c r="DX373" s="268"/>
      <c r="DY373" s="268"/>
      <c r="EA373" s="13"/>
      <c r="EB373" s="96"/>
      <c r="EC373" s="96"/>
      <c r="ED373" s="96"/>
      <c r="EE373" s="96"/>
      <c r="EF373" s="96"/>
      <c r="EG373" s="96"/>
      <c r="EH373" s="96"/>
      <c r="EI373" s="96"/>
      <c r="EJ373" s="96"/>
      <c r="EK373" s="96"/>
      <c r="EL373" s="96"/>
      <c r="EM373" s="96"/>
      <c r="EN373" s="96"/>
      <c r="EO373" s="96"/>
      <c r="EP373" s="96"/>
      <c r="EQ373" s="96"/>
      <c r="ER373" s="96"/>
      <c r="ES373" s="96"/>
      <c r="ET373" s="96"/>
      <c r="EU373" s="96"/>
      <c r="EV373" s="96"/>
      <c r="EW373" s="96"/>
      <c r="EX373" s="96"/>
      <c r="EY373" s="96"/>
      <c r="EZ373" s="96"/>
      <c r="FA373" s="96"/>
      <c r="FB373" s="96"/>
      <c r="FC373" s="96"/>
      <c r="FD373" s="96"/>
      <c r="FE373" s="96"/>
      <c r="FF373" s="96"/>
      <c r="FG373" s="96"/>
      <c r="FH373" s="96"/>
      <c r="FI373" s="96"/>
      <c r="FJ373" s="96"/>
      <c r="FK373" s="96"/>
      <c r="FL373" s="96"/>
      <c r="FM373" s="96"/>
      <c r="FN373" s="96"/>
      <c r="FO373" s="96"/>
      <c r="FP373" s="96"/>
      <c r="FQ373" s="96"/>
      <c r="FR373" s="96"/>
      <c r="FS373" s="96"/>
      <c r="FT373" s="96"/>
      <c r="FU373" s="96"/>
      <c r="FV373" s="96"/>
      <c r="FW373" s="96"/>
      <c r="FX373" s="96"/>
      <c r="FY373" s="96"/>
      <c r="FZ373" s="96"/>
      <c r="GA373" s="96"/>
      <c r="GB373" s="96"/>
      <c r="GC373" s="96"/>
      <c r="GD373" s="96"/>
      <c r="GE373" s="96"/>
      <c r="GF373" s="96"/>
      <c r="GG373" s="96"/>
      <c r="GH373" s="96"/>
      <c r="GI373" s="96"/>
      <c r="GJ373" s="96"/>
      <c r="GK373" s="96"/>
      <c r="GL373" s="96"/>
      <c r="GM373" s="13"/>
      <c r="GN373" s="96"/>
      <c r="GO373" s="96"/>
      <c r="GP373" s="96"/>
      <c r="GQ373" s="96"/>
      <c r="GR373" s="96"/>
      <c r="GS373" s="96"/>
      <c r="GT373" s="96"/>
      <c r="GU373" s="96"/>
      <c r="GV373" s="96"/>
      <c r="GW373" s="96"/>
      <c r="GX373" s="96"/>
      <c r="GY373" s="96"/>
      <c r="GZ373" s="96"/>
      <c r="HA373" s="96"/>
      <c r="HB373" s="96"/>
      <c r="HC373" s="13"/>
      <c r="HD373" s="96"/>
      <c r="HE373" s="96"/>
      <c r="HF373" s="96"/>
      <c r="HG373" s="96"/>
      <c r="HH373" s="96"/>
      <c r="HI373" s="96"/>
      <c r="HJ373" s="96"/>
      <c r="HK373" s="96"/>
      <c r="HL373" s="96"/>
      <c r="HM373" s="96"/>
      <c r="HN373" s="96"/>
      <c r="HO373" s="96"/>
      <c r="HP373" s="96"/>
      <c r="HQ373" s="96"/>
      <c r="HR373" s="96"/>
      <c r="HS373" s="13"/>
      <c r="HT373" s="96"/>
      <c r="HU373" s="96"/>
      <c r="HV373" s="96"/>
      <c r="HW373" s="96"/>
      <c r="HX373" s="96"/>
      <c r="HY373" s="96"/>
      <c r="HZ373" s="96"/>
      <c r="IA373" s="96"/>
      <c r="IB373" s="96"/>
      <c r="IC373" s="96"/>
      <c r="ID373" s="96"/>
      <c r="IE373" s="96"/>
      <c r="IF373" s="96"/>
      <c r="IG373" s="96"/>
      <c r="IH373" s="96"/>
      <c r="II373" s="13"/>
      <c r="IJ373" s="96"/>
      <c r="IK373" s="96"/>
      <c r="IL373" s="96"/>
      <c r="IM373" s="96"/>
      <c r="IN373" s="96"/>
      <c r="IO373" s="96"/>
      <c r="IP373" s="96"/>
      <c r="IQ373" s="96"/>
      <c r="IR373" s="96"/>
      <c r="IS373" s="96"/>
      <c r="IT373" s="96"/>
      <c r="IU373" s="96"/>
      <c r="IV373" s="96"/>
      <c r="IW373" s="96"/>
      <c r="IX373" s="96"/>
      <c r="IY373" s="13"/>
    </row>
    <row r="374" spans="1:259" outlineLevel="1">
      <c r="A374" s="11">
        <f>'VAC &amp; MED'!C379</f>
        <v>46345</v>
      </c>
      <c r="B374" s="261"/>
      <c r="C374" s="261"/>
      <c r="D374" s="261"/>
      <c r="E374" s="261"/>
      <c r="F374" s="261"/>
      <c r="G374" s="261"/>
      <c r="H374" s="261"/>
      <c r="I374" s="261"/>
      <c r="J374" s="261"/>
      <c r="K374" s="261"/>
      <c r="L374" s="261"/>
      <c r="M374" s="261"/>
      <c r="N374" s="261"/>
      <c r="O374" s="261"/>
      <c r="P374" s="261"/>
      <c r="Q374" s="261"/>
      <c r="R374" s="262"/>
      <c r="S374" s="262"/>
      <c r="T374" s="262"/>
      <c r="U374" s="262"/>
      <c r="V374" s="262"/>
      <c r="W374" s="262"/>
      <c r="X374" s="262"/>
      <c r="Y374" s="262"/>
      <c r="Z374" s="262"/>
      <c r="AA374" s="262"/>
      <c r="AB374" s="262"/>
      <c r="AC374" s="262"/>
      <c r="AD374" s="262"/>
      <c r="AE374" s="262"/>
      <c r="AF374" s="262"/>
      <c r="AG374" s="262"/>
      <c r="AH374" s="263"/>
      <c r="AI374" s="263"/>
      <c r="AJ374" s="263"/>
      <c r="AK374" s="263"/>
      <c r="AL374" s="263"/>
      <c r="AM374" s="263"/>
      <c r="AN374" s="263"/>
      <c r="AO374" s="263"/>
      <c r="AP374" s="263"/>
      <c r="AQ374" s="263"/>
      <c r="AR374" s="263"/>
      <c r="AS374" s="263"/>
      <c r="AT374" s="263"/>
      <c r="AU374" s="263"/>
      <c r="AV374" s="263"/>
      <c r="AW374" s="263"/>
      <c r="AX374" s="264"/>
      <c r="AY374" s="264"/>
      <c r="AZ374" s="264"/>
      <c r="BA374" s="264"/>
      <c r="BB374" s="264"/>
      <c r="BC374" s="264"/>
      <c r="BD374" s="264"/>
      <c r="BE374" s="264"/>
      <c r="BF374" s="264"/>
      <c r="BG374" s="264"/>
      <c r="BH374" s="264"/>
      <c r="BI374" s="264"/>
      <c r="BJ374" s="264"/>
      <c r="BK374" s="264"/>
      <c r="BL374" s="264"/>
      <c r="BM374" s="264"/>
      <c r="BN374" s="265"/>
      <c r="BO374" s="265"/>
      <c r="BP374" s="265"/>
      <c r="BQ374" s="265"/>
      <c r="BR374" s="265"/>
      <c r="BS374" s="265"/>
      <c r="BT374" s="265"/>
      <c r="BU374" s="265"/>
      <c r="BV374" s="265"/>
      <c r="BW374" s="265"/>
      <c r="BX374" s="265"/>
      <c r="BY374" s="265"/>
      <c r="BZ374" s="265"/>
      <c r="CA374" s="265"/>
      <c r="CB374" s="265"/>
      <c r="CC374" s="265"/>
      <c r="CD374" s="266"/>
      <c r="CE374" s="266"/>
      <c r="CF374" s="266"/>
      <c r="CG374" s="266"/>
      <c r="CH374" s="266"/>
      <c r="CI374" s="266"/>
      <c r="CJ374" s="266"/>
      <c r="CK374" s="266"/>
      <c r="CL374" s="266"/>
      <c r="CM374" s="266"/>
      <c r="CN374" s="266"/>
      <c r="CO374" s="266"/>
      <c r="CP374" s="266"/>
      <c r="CQ374" s="266"/>
      <c r="CR374" s="266"/>
      <c r="CS374" s="266"/>
      <c r="CT374" s="267"/>
      <c r="CU374" s="267"/>
      <c r="CV374" s="267"/>
      <c r="CW374" s="267"/>
      <c r="CX374" s="267"/>
      <c r="CY374" s="267"/>
      <c r="CZ374" s="267"/>
      <c r="DA374" s="267"/>
      <c r="DB374" s="267"/>
      <c r="DC374" s="267"/>
      <c r="DD374" s="267"/>
      <c r="DE374" s="267"/>
      <c r="DF374" s="267"/>
      <c r="DG374" s="267"/>
      <c r="DH374" s="267"/>
      <c r="DI374" s="267"/>
      <c r="DJ374" s="268"/>
      <c r="DK374" s="268"/>
      <c r="DL374" s="268"/>
      <c r="DM374" s="268"/>
      <c r="DN374" s="268"/>
      <c r="DO374" s="268"/>
      <c r="DP374" s="268"/>
      <c r="DQ374" s="268"/>
      <c r="DR374" s="268"/>
      <c r="DS374" s="268"/>
      <c r="DT374" s="268"/>
      <c r="DU374" s="268"/>
      <c r="DV374" s="268"/>
      <c r="DW374" s="268"/>
      <c r="DX374" s="268"/>
      <c r="DY374" s="268"/>
      <c r="EA374" s="13"/>
      <c r="EB374" s="96"/>
      <c r="EC374" s="96"/>
      <c r="ED374" s="96"/>
      <c r="EE374" s="96"/>
      <c r="EF374" s="96"/>
      <c r="EG374" s="96"/>
      <c r="EH374" s="96"/>
      <c r="EI374" s="96"/>
      <c r="EJ374" s="96"/>
      <c r="EK374" s="96"/>
      <c r="EL374" s="96"/>
      <c r="EM374" s="96"/>
      <c r="EN374" s="96"/>
      <c r="EO374" s="96"/>
      <c r="EP374" s="96"/>
      <c r="EQ374" s="96"/>
      <c r="ER374" s="96"/>
      <c r="ES374" s="96"/>
      <c r="ET374" s="96"/>
      <c r="EU374" s="96"/>
      <c r="EV374" s="96"/>
      <c r="EW374" s="96"/>
      <c r="EX374" s="96"/>
      <c r="EY374" s="96"/>
      <c r="EZ374" s="96"/>
      <c r="FA374" s="96"/>
      <c r="FB374" s="96"/>
      <c r="FC374" s="96"/>
      <c r="FD374" s="96"/>
      <c r="FE374" s="96"/>
      <c r="FF374" s="96"/>
      <c r="FG374" s="96"/>
      <c r="FH374" s="96"/>
      <c r="FI374" s="96"/>
      <c r="FJ374" s="96"/>
      <c r="FK374" s="96"/>
      <c r="FL374" s="96"/>
      <c r="FM374" s="96"/>
      <c r="FN374" s="96"/>
      <c r="FO374" s="96"/>
      <c r="FP374" s="96"/>
      <c r="FQ374" s="96"/>
      <c r="FR374" s="96"/>
      <c r="FS374" s="96"/>
      <c r="FT374" s="96"/>
      <c r="FU374" s="96"/>
      <c r="FV374" s="96"/>
      <c r="FW374" s="96"/>
      <c r="FX374" s="96"/>
      <c r="FY374" s="96"/>
      <c r="FZ374" s="96"/>
      <c r="GA374" s="96"/>
      <c r="GB374" s="96"/>
      <c r="GC374" s="96"/>
      <c r="GD374" s="96"/>
      <c r="GE374" s="96"/>
      <c r="GF374" s="96"/>
      <c r="GG374" s="96"/>
      <c r="GH374" s="96"/>
      <c r="GI374" s="96"/>
      <c r="GJ374" s="96"/>
      <c r="GK374" s="96"/>
      <c r="GL374" s="96"/>
      <c r="GM374" s="13"/>
      <c r="GN374" s="96"/>
      <c r="GO374" s="96"/>
      <c r="GP374" s="96"/>
      <c r="GQ374" s="96"/>
      <c r="GR374" s="96"/>
      <c r="GS374" s="96"/>
      <c r="GT374" s="96"/>
      <c r="GU374" s="96"/>
      <c r="GV374" s="96"/>
      <c r="GW374" s="96"/>
      <c r="GX374" s="96"/>
      <c r="GY374" s="96"/>
      <c r="GZ374" s="96"/>
      <c r="HA374" s="96"/>
      <c r="HB374" s="96"/>
      <c r="HC374" s="13"/>
      <c r="HD374" s="96"/>
      <c r="HE374" s="96"/>
      <c r="HF374" s="96"/>
      <c r="HG374" s="96"/>
      <c r="HH374" s="96"/>
      <c r="HI374" s="96"/>
      <c r="HJ374" s="96"/>
      <c r="HK374" s="96"/>
      <c r="HL374" s="96"/>
      <c r="HM374" s="96"/>
      <c r="HN374" s="96"/>
      <c r="HO374" s="96"/>
      <c r="HP374" s="96"/>
      <c r="HQ374" s="96"/>
      <c r="HR374" s="96"/>
      <c r="HS374" s="13"/>
      <c r="HT374" s="96"/>
      <c r="HU374" s="96"/>
      <c r="HV374" s="96"/>
      <c r="HW374" s="96"/>
      <c r="HX374" s="96"/>
      <c r="HY374" s="96"/>
      <c r="HZ374" s="96"/>
      <c r="IA374" s="96"/>
      <c r="IB374" s="96"/>
      <c r="IC374" s="96"/>
      <c r="ID374" s="96"/>
      <c r="IE374" s="96"/>
      <c r="IF374" s="96"/>
      <c r="IG374" s="96"/>
      <c r="IH374" s="96"/>
      <c r="II374" s="13"/>
      <c r="IJ374" s="96"/>
      <c r="IK374" s="96"/>
      <c r="IL374" s="96"/>
      <c r="IM374" s="96"/>
      <c r="IN374" s="96"/>
      <c r="IO374" s="96"/>
      <c r="IP374" s="96"/>
      <c r="IQ374" s="96"/>
      <c r="IR374" s="96"/>
      <c r="IS374" s="96"/>
      <c r="IT374" s="96"/>
      <c r="IU374" s="96"/>
      <c r="IV374" s="96"/>
      <c r="IW374" s="96"/>
      <c r="IX374" s="96"/>
      <c r="IY374" s="13"/>
    </row>
    <row r="375" spans="1:259" outlineLevel="1">
      <c r="A375" s="11">
        <f>'VAC &amp; MED'!C380</f>
        <v>46346</v>
      </c>
      <c r="B375" s="261"/>
      <c r="C375" s="261"/>
      <c r="D375" s="261"/>
      <c r="E375" s="261"/>
      <c r="F375" s="261"/>
      <c r="G375" s="261"/>
      <c r="H375" s="261"/>
      <c r="I375" s="261"/>
      <c r="J375" s="261"/>
      <c r="K375" s="261"/>
      <c r="L375" s="261"/>
      <c r="M375" s="261"/>
      <c r="N375" s="261"/>
      <c r="O375" s="261"/>
      <c r="P375" s="261"/>
      <c r="Q375" s="261"/>
      <c r="R375" s="262"/>
      <c r="S375" s="262"/>
      <c r="T375" s="262"/>
      <c r="U375" s="262"/>
      <c r="V375" s="262"/>
      <c r="W375" s="262"/>
      <c r="X375" s="262"/>
      <c r="Y375" s="262"/>
      <c r="Z375" s="262"/>
      <c r="AA375" s="262"/>
      <c r="AB375" s="262"/>
      <c r="AC375" s="262"/>
      <c r="AD375" s="262"/>
      <c r="AE375" s="262"/>
      <c r="AF375" s="262"/>
      <c r="AG375" s="262"/>
      <c r="AH375" s="263"/>
      <c r="AI375" s="263"/>
      <c r="AJ375" s="263"/>
      <c r="AK375" s="263"/>
      <c r="AL375" s="263"/>
      <c r="AM375" s="263"/>
      <c r="AN375" s="263"/>
      <c r="AO375" s="263"/>
      <c r="AP375" s="263"/>
      <c r="AQ375" s="263"/>
      <c r="AR375" s="263"/>
      <c r="AS375" s="263"/>
      <c r="AT375" s="263"/>
      <c r="AU375" s="263"/>
      <c r="AV375" s="263"/>
      <c r="AW375" s="263"/>
      <c r="AX375" s="264"/>
      <c r="AY375" s="264"/>
      <c r="AZ375" s="264"/>
      <c r="BA375" s="264"/>
      <c r="BB375" s="264"/>
      <c r="BC375" s="264"/>
      <c r="BD375" s="264"/>
      <c r="BE375" s="264"/>
      <c r="BF375" s="264"/>
      <c r="BG375" s="264"/>
      <c r="BH375" s="264"/>
      <c r="BI375" s="264"/>
      <c r="BJ375" s="264"/>
      <c r="BK375" s="264"/>
      <c r="BL375" s="264"/>
      <c r="BM375" s="264"/>
      <c r="BN375" s="265"/>
      <c r="BO375" s="265"/>
      <c r="BP375" s="265"/>
      <c r="BQ375" s="265"/>
      <c r="BR375" s="265"/>
      <c r="BS375" s="265"/>
      <c r="BT375" s="265"/>
      <c r="BU375" s="265"/>
      <c r="BV375" s="265"/>
      <c r="BW375" s="265"/>
      <c r="BX375" s="265"/>
      <c r="BY375" s="265"/>
      <c r="BZ375" s="265"/>
      <c r="CA375" s="265"/>
      <c r="CB375" s="265"/>
      <c r="CC375" s="265"/>
      <c r="CD375" s="266"/>
      <c r="CE375" s="266"/>
      <c r="CF375" s="266"/>
      <c r="CG375" s="266"/>
      <c r="CH375" s="266"/>
      <c r="CI375" s="266"/>
      <c r="CJ375" s="266"/>
      <c r="CK375" s="266"/>
      <c r="CL375" s="266"/>
      <c r="CM375" s="266"/>
      <c r="CN375" s="266"/>
      <c r="CO375" s="266"/>
      <c r="CP375" s="266"/>
      <c r="CQ375" s="266"/>
      <c r="CR375" s="266"/>
      <c r="CS375" s="266"/>
      <c r="CT375" s="267"/>
      <c r="CU375" s="267"/>
      <c r="CV375" s="267"/>
      <c r="CW375" s="267"/>
      <c r="CX375" s="267"/>
      <c r="CY375" s="267"/>
      <c r="CZ375" s="267"/>
      <c r="DA375" s="267"/>
      <c r="DB375" s="267"/>
      <c r="DC375" s="267"/>
      <c r="DD375" s="267"/>
      <c r="DE375" s="267"/>
      <c r="DF375" s="267"/>
      <c r="DG375" s="267"/>
      <c r="DH375" s="267"/>
      <c r="DI375" s="267"/>
      <c r="DJ375" s="268"/>
      <c r="DK375" s="268"/>
      <c r="DL375" s="268"/>
      <c r="DM375" s="268"/>
      <c r="DN375" s="268"/>
      <c r="DO375" s="268"/>
      <c r="DP375" s="268"/>
      <c r="DQ375" s="268"/>
      <c r="DR375" s="268"/>
      <c r="DS375" s="268"/>
      <c r="DT375" s="268"/>
      <c r="DU375" s="268"/>
      <c r="DV375" s="268"/>
      <c r="DW375" s="268"/>
      <c r="DX375" s="268"/>
      <c r="DY375" s="268"/>
      <c r="EA375" s="13"/>
      <c r="EB375" s="96"/>
      <c r="EC375" s="96"/>
      <c r="ED375" s="96"/>
      <c r="EE375" s="96"/>
      <c r="EF375" s="96"/>
      <c r="EG375" s="96"/>
      <c r="EH375" s="96"/>
      <c r="EI375" s="96"/>
      <c r="EJ375" s="96"/>
      <c r="EK375" s="96"/>
      <c r="EL375" s="96"/>
      <c r="EM375" s="96"/>
      <c r="EN375" s="96"/>
      <c r="EO375" s="96"/>
      <c r="EP375" s="96"/>
      <c r="EQ375" s="96"/>
      <c r="ER375" s="96"/>
      <c r="ES375" s="96"/>
      <c r="ET375" s="96"/>
      <c r="EU375" s="96"/>
      <c r="EV375" s="96"/>
      <c r="EW375" s="96"/>
      <c r="EX375" s="96"/>
      <c r="EY375" s="96"/>
      <c r="EZ375" s="96"/>
      <c r="FA375" s="96"/>
      <c r="FB375" s="96"/>
      <c r="FC375" s="96"/>
      <c r="FD375" s="96"/>
      <c r="FE375" s="96"/>
      <c r="FF375" s="96"/>
      <c r="FG375" s="96"/>
      <c r="FH375" s="96"/>
      <c r="FI375" s="96"/>
      <c r="FJ375" s="96"/>
      <c r="FK375" s="96"/>
      <c r="FL375" s="96"/>
      <c r="FM375" s="96"/>
      <c r="FN375" s="96"/>
      <c r="FO375" s="96"/>
      <c r="FP375" s="96"/>
      <c r="FQ375" s="96"/>
      <c r="FR375" s="96"/>
      <c r="FS375" s="96"/>
      <c r="FT375" s="96"/>
      <c r="FU375" s="96"/>
      <c r="FV375" s="96"/>
      <c r="FW375" s="96"/>
      <c r="FX375" s="96"/>
      <c r="FY375" s="96"/>
      <c r="FZ375" s="96"/>
      <c r="GA375" s="96"/>
      <c r="GB375" s="96"/>
      <c r="GC375" s="96"/>
      <c r="GD375" s="96"/>
      <c r="GE375" s="96"/>
      <c r="GF375" s="96"/>
      <c r="GG375" s="96"/>
      <c r="GH375" s="96"/>
      <c r="GI375" s="96"/>
      <c r="GJ375" s="96"/>
      <c r="GK375" s="96"/>
      <c r="GL375" s="96"/>
      <c r="GM375" s="13"/>
      <c r="GN375" s="96"/>
      <c r="GO375" s="96"/>
      <c r="GP375" s="96"/>
      <c r="GQ375" s="96"/>
      <c r="GR375" s="96"/>
      <c r="GS375" s="96"/>
      <c r="GT375" s="96"/>
      <c r="GU375" s="96"/>
      <c r="GV375" s="96"/>
      <c r="GW375" s="96"/>
      <c r="GX375" s="96"/>
      <c r="GY375" s="96"/>
      <c r="GZ375" s="96"/>
      <c r="HA375" s="96"/>
      <c r="HB375" s="96"/>
      <c r="HC375" s="13"/>
      <c r="HD375" s="96"/>
      <c r="HE375" s="96"/>
      <c r="HF375" s="96"/>
      <c r="HG375" s="96"/>
      <c r="HH375" s="96"/>
      <c r="HI375" s="96"/>
      <c r="HJ375" s="96"/>
      <c r="HK375" s="96"/>
      <c r="HL375" s="96"/>
      <c r="HM375" s="96"/>
      <c r="HN375" s="96"/>
      <c r="HO375" s="96"/>
      <c r="HP375" s="96"/>
      <c r="HQ375" s="96"/>
      <c r="HR375" s="96"/>
      <c r="HS375" s="13"/>
      <c r="HT375" s="96"/>
      <c r="HU375" s="96"/>
      <c r="HV375" s="96"/>
      <c r="HW375" s="96"/>
      <c r="HX375" s="96"/>
      <c r="HY375" s="96"/>
      <c r="HZ375" s="96"/>
      <c r="IA375" s="96"/>
      <c r="IB375" s="96"/>
      <c r="IC375" s="96"/>
      <c r="ID375" s="96"/>
      <c r="IE375" s="96"/>
      <c r="IF375" s="96"/>
      <c r="IG375" s="96"/>
      <c r="IH375" s="96"/>
      <c r="II375" s="13"/>
      <c r="IJ375" s="96"/>
      <c r="IK375" s="96"/>
      <c r="IL375" s="96"/>
      <c r="IM375" s="96"/>
      <c r="IN375" s="96"/>
      <c r="IO375" s="96"/>
      <c r="IP375" s="96"/>
      <c r="IQ375" s="96"/>
      <c r="IR375" s="96"/>
      <c r="IS375" s="96"/>
      <c r="IT375" s="96"/>
      <c r="IU375" s="96"/>
      <c r="IV375" s="96"/>
      <c r="IW375" s="96"/>
      <c r="IX375" s="96"/>
      <c r="IY375" s="13"/>
    </row>
    <row r="376" spans="1:259" outlineLevel="1">
      <c r="A376" s="11">
        <f>'VAC &amp; MED'!C381</f>
        <v>46347</v>
      </c>
      <c r="B376" s="261"/>
      <c r="C376" s="261"/>
      <c r="D376" s="261"/>
      <c r="E376" s="261"/>
      <c r="F376" s="261"/>
      <c r="G376" s="261"/>
      <c r="H376" s="261"/>
      <c r="I376" s="261"/>
      <c r="J376" s="261"/>
      <c r="K376" s="261"/>
      <c r="L376" s="261"/>
      <c r="M376" s="261"/>
      <c r="N376" s="261"/>
      <c r="O376" s="261"/>
      <c r="P376" s="261"/>
      <c r="Q376" s="261"/>
      <c r="R376" s="262"/>
      <c r="S376" s="262"/>
      <c r="T376" s="262"/>
      <c r="U376" s="262"/>
      <c r="V376" s="262"/>
      <c r="W376" s="262"/>
      <c r="X376" s="262"/>
      <c r="Y376" s="262"/>
      <c r="Z376" s="262"/>
      <c r="AA376" s="262"/>
      <c r="AB376" s="262"/>
      <c r="AC376" s="262"/>
      <c r="AD376" s="262"/>
      <c r="AE376" s="262"/>
      <c r="AF376" s="262"/>
      <c r="AG376" s="262"/>
      <c r="AH376" s="263"/>
      <c r="AI376" s="263"/>
      <c r="AJ376" s="263"/>
      <c r="AK376" s="263"/>
      <c r="AL376" s="263"/>
      <c r="AM376" s="263"/>
      <c r="AN376" s="263"/>
      <c r="AO376" s="263"/>
      <c r="AP376" s="263"/>
      <c r="AQ376" s="263"/>
      <c r="AR376" s="263"/>
      <c r="AS376" s="263"/>
      <c r="AT376" s="263"/>
      <c r="AU376" s="263"/>
      <c r="AV376" s="263"/>
      <c r="AW376" s="263"/>
      <c r="AX376" s="264"/>
      <c r="AY376" s="264"/>
      <c r="AZ376" s="264"/>
      <c r="BA376" s="264"/>
      <c r="BB376" s="264"/>
      <c r="BC376" s="264"/>
      <c r="BD376" s="264"/>
      <c r="BE376" s="264"/>
      <c r="BF376" s="264"/>
      <c r="BG376" s="264"/>
      <c r="BH376" s="264"/>
      <c r="BI376" s="264"/>
      <c r="BJ376" s="264"/>
      <c r="BK376" s="264"/>
      <c r="BL376" s="264"/>
      <c r="BM376" s="264"/>
      <c r="BN376" s="265"/>
      <c r="BO376" s="265"/>
      <c r="BP376" s="265"/>
      <c r="BQ376" s="265"/>
      <c r="BR376" s="265"/>
      <c r="BS376" s="265"/>
      <c r="BT376" s="265"/>
      <c r="BU376" s="265"/>
      <c r="BV376" s="265"/>
      <c r="BW376" s="265"/>
      <c r="BX376" s="265"/>
      <c r="BY376" s="265"/>
      <c r="BZ376" s="265"/>
      <c r="CA376" s="265"/>
      <c r="CB376" s="265"/>
      <c r="CC376" s="265"/>
      <c r="CD376" s="266"/>
      <c r="CE376" s="266"/>
      <c r="CF376" s="266"/>
      <c r="CG376" s="266"/>
      <c r="CH376" s="266"/>
      <c r="CI376" s="266"/>
      <c r="CJ376" s="266"/>
      <c r="CK376" s="266"/>
      <c r="CL376" s="266"/>
      <c r="CM376" s="266"/>
      <c r="CN376" s="266"/>
      <c r="CO376" s="266"/>
      <c r="CP376" s="266"/>
      <c r="CQ376" s="266"/>
      <c r="CR376" s="266"/>
      <c r="CS376" s="266"/>
      <c r="CT376" s="267"/>
      <c r="CU376" s="267"/>
      <c r="CV376" s="267"/>
      <c r="CW376" s="267"/>
      <c r="CX376" s="267"/>
      <c r="CY376" s="267"/>
      <c r="CZ376" s="267"/>
      <c r="DA376" s="267"/>
      <c r="DB376" s="267"/>
      <c r="DC376" s="267"/>
      <c r="DD376" s="267"/>
      <c r="DE376" s="267"/>
      <c r="DF376" s="267"/>
      <c r="DG376" s="267"/>
      <c r="DH376" s="267"/>
      <c r="DI376" s="267"/>
      <c r="DJ376" s="268"/>
      <c r="DK376" s="268"/>
      <c r="DL376" s="268"/>
      <c r="DM376" s="268"/>
      <c r="DN376" s="268"/>
      <c r="DO376" s="268"/>
      <c r="DP376" s="268"/>
      <c r="DQ376" s="268"/>
      <c r="DR376" s="268"/>
      <c r="DS376" s="268"/>
      <c r="DT376" s="268"/>
      <c r="DU376" s="268"/>
      <c r="DV376" s="268"/>
      <c r="DW376" s="268"/>
      <c r="DX376" s="268"/>
      <c r="DY376" s="268"/>
      <c r="EA376" s="13"/>
      <c r="EB376" s="96"/>
      <c r="EC376" s="96"/>
      <c r="ED376" s="96"/>
      <c r="EE376" s="96"/>
      <c r="EF376" s="96"/>
      <c r="EG376" s="96"/>
      <c r="EH376" s="96"/>
      <c r="EI376" s="96"/>
      <c r="EJ376" s="96"/>
      <c r="EK376" s="96"/>
      <c r="EL376" s="96"/>
      <c r="EM376" s="96"/>
      <c r="EN376" s="96"/>
      <c r="EO376" s="96"/>
      <c r="EP376" s="96"/>
      <c r="EQ376" s="96"/>
      <c r="ER376" s="96"/>
      <c r="ES376" s="96"/>
      <c r="ET376" s="96"/>
      <c r="EU376" s="96"/>
      <c r="EV376" s="96"/>
      <c r="EW376" s="96"/>
      <c r="EX376" s="96"/>
      <c r="EY376" s="96"/>
      <c r="EZ376" s="96"/>
      <c r="FA376" s="96"/>
      <c r="FB376" s="96"/>
      <c r="FC376" s="96"/>
      <c r="FD376" s="96"/>
      <c r="FE376" s="96"/>
      <c r="FF376" s="96"/>
      <c r="FG376" s="96"/>
      <c r="FH376" s="96"/>
      <c r="FI376" s="96"/>
      <c r="FJ376" s="96"/>
      <c r="FK376" s="96"/>
      <c r="FL376" s="96"/>
      <c r="FM376" s="96"/>
      <c r="FN376" s="96"/>
      <c r="FO376" s="96"/>
      <c r="FP376" s="96"/>
      <c r="FQ376" s="96"/>
      <c r="FR376" s="96"/>
      <c r="FS376" s="96"/>
      <c r="FT376" s="96"/>
      <c r="FU376" s="96"/>
      <c r="FV376" s="96"/>
      <c r="FW376" s="96"/>
      <c r="FX376" s="96"/>
      <c r="FY376" s="96"/>
      <c r="FZ376" s="96"/>
      <c r="GA376" s="96"/>
      <c r="GB376" s="96"/>
      <c r="GC376" s="96"/>
      <c r="GD376" s="96"/>
      <c r="GE376" s="96"/>
      <c r="GF376" s="96"/>
      <c r="GG376" s="96"/>
      <c r="GH376" s="96"/>
      <c r="GI376" s="96"/>
      <c r="GJ376" s="96"/>
      <c r="GK376" s="96"/>
      <c r="GL376" s="96"/>
      <c r="GM376" s="13"/>
      <c r="GN376" s="96"/>
      <c r="GO376" s="96"/>
      <c r="GP376" s="96"/>
      <c r="GQ376" s="96"/>
      <c r="GR376" s="96"/>
      <c r="GS376" s="96"/>
      <c r="GT376" s="96"/>
      <c r="GU376" s="96"/>
      <c r="GV376" s="96"/>
      <c r="GW376" s="96"/>
      <c r="GX376" s="96"/>
      <c r="GY376" s="96"/>
      <c r="GZ376" s="96"/>
      <c r="HA376" s="96"/>
      <c r="HB376" s="96"/>
      <c r="HC376" s="13"/>
      <c r="HD376" s="96"/>
      <c r="HE376" s="96"/>
      <c r="HF376" s="96"/>
      <c r="HG376" s="96"/>
      <c r="HH376" s="96"/>
      <c r="HI376" s="96"/>
      <c r="HJ376" s="96"/>
      <c r="HK376" s="96"/>
      <c r="HL376" s="96"/>
      <c r="HM376" s="96"/>
      <c r="HN376" s="96"/>
      <c r="HO376" s="96"/>
      <c r="HP376" s="96"/>
      <c r="HQ376" s="96"/>
      <c r="HR376" s="96"/>
      <c r="HS376" s="13"/>
      <c r="HT376" s="96"/>
      <c r="HU376" s="96"/>
      <c r="HV376" s="96"/>
      <c r="HW376" s="96"/>
      <c r="HX376" s="96"/>
      <c r="HY376" s="96"/>
      <c r="HZ376" s="96"/>
      <c r="IA376" s="96"/>
      <c r="IB376" s="96"/>
      <c r="IC376" s="96"/>
      <c r="ID376" s="96"/>
      <c r="IE376" s="96"/>
      <c r="IF376" s="96"/>
      <c r="IG376" s="96"/>
      <c r="IH376" s="96"/>
      <c r="II376" s="13"/>
      <c r="IJ376" s="96"/>
      <c r="IK376" s="96"/>
      <c r="IL376" s="96"/>
      <c r="IM376" s="96"/>
      <c r="IN376" s="96"/>
      <c r="IO376" s="96"/>
      <c r="IP376" s="96"/>
      <c r="IQ376" s="96"/>
      <c r="IR376" s="96"/>
      <c r="IS376" s="96"/>
      <c r="IT376" s="96"/>
      <c r="IU376" s="96"/>
      <c r="IV376" s="96"/>
      <c r="IW376" s="96"/>
      <c r="IX376" s="96"/>
      <c r="IY376" s="13"/>
    </row>
    <row r="377" spans="1:259" outlineLevel="1">
      <c r="A377" s="11">
        <f>'VAC &amp; MED'!C382</f>
        <v>46348</v>
      </c>
      <c r="B377" s="261"/>
      <c r="C377" s="261"/>
      <c r="D377" s="261"/>
      <c r="E377" s="261"/>
      <c r="F377" s="261"/>
      <c r="G377" s="261"/>
      <c r="H377" s="261"/>
      <c r="I377" s="261"/>
      <c r="J377" s="261"/>
      <c r="K377" s="261"/>
      <c r="L377" s="261"/>
      <c r="M377" s="261"/>
      <c r="N377" s="261"/>
      <c r="O377" s="261"/>
      <c r="P377" s="261"/>
      <c r="Q377" s="261"/>
      <c r="R377" s="262"/>
      <c r="S377" s="262"/>
      <c r="T377" s="262"/>
      <c r="U377" s="262"/>
      <c r="V377" s="262"/>
      <c r="W377" s="262"/>
      <c r="X377" s="262"/>
      <c r="Y377" s="262"/>
      <c r="Z377" s="262"/>
      <c r="AA377" s="262"/>
      <c r="AB377" s="262"/>
      <c r="AC377" s="262"/>
      <c r="AD377" s="262"/>
      <c r="AE377" s="262"/>
      <c r="AF377" s="262"/>
      <c r="AG377" s="262"/>
      <c r="AH377" s="263"/>
      <c r="AI377" s="263"/>
      <c r="AJ377" s="263"/>
      <c r="AK377" s="263"/>
      <c r="AL377" s="263"/>
      <c r="AM377" s="263"/>
      <c r="AN377" s="263"/>
      <c r="AO377" s="263"/>
      <c r="AP377" s="263"/>
      <c r="AQ377" s="263"/>
      <c r="AR377" s="263"/>
      <c r="AS377" s="263"/>
      <c r="AT377" s="263"/>
      <c r="AU377" s="263"/>
      <c r="AV377" s="263"/>
      <c r="AW377" s="263"/>
      <c r="AX377" s="264"/>
      <c r="AY377" s="264"/>
      <c r="AZ377" s="264"/>
      <c r="BA377" s="264"/>
      <c r="BB377" s="264"/>
      <c r="BC377" s="264"/>
      <c r="BD377" s="264"/>
      <c r="BE377" s="264"/>
      <c r="BF377" s="264"/>
      <c r="BG377" s="264"/>
      <c r="BH377" s="264"/>
      <c r="BI377" s="264"/>
      <c r="BJ377" s="264"/>
      <c r="BK377" s="264"/>
      <c r="BL377" s="264"/>
      <c r="BM377" s="264"/>
      <c r="BN377" s="265"/>
      <c r="BO377" s="265"/>
      <c r="BP377" s="265"/>
      <c r="BQ377" s="265"/>
      <c r="BR377" s="265"/>
      <c r="BS377" s="265"/>
      <c r="BT377" s="265"/>
      <c r="BU377" s="265"/>
      <c r="BV377" s="265"/>
      <c r="BW377" s="265"/>
      <c r="BX377" s="265"/>
      <c r="BY377" s="265"/>
      <c r="BZ377" s="265"/>
      <c r="CA377" s="265"/>
      <c r="CB377" s="265"/>
      <c r="CC377" s="265"/>
      <c r="CD377" s="266"/>
      <c r="CE377" s="266"/>
      <c r="CF377" s="266"/>
      <c r="CG377" s="266"/>
      <c r="CH377" s="266"/>
      <c r="CI377" s="266"/>
      <c r="CJ377" s="266"/>
      <c r="CK377" s="266"/>
      <c r="CL377" s="266"/>
      <c r="CM377" s="266"/>
      <c r="CN377" s="266"/>
      <c r="CO377" s="266"/>
      <c r="CP377" s="266"/>
      <c r="CQ377" s="266"/>
      <c r="CR377" s="266"/>
      <c r="CS377" s="266"/>
      <c r="CT377" s="267"/>
      <c r="CU377" s="267"/>
      <c r="CV377" s="267"/>
      <c r="CW377" s="267"/>
      <c r="CX377" s="267"/>
      <c r="CY377" s="267"/>
      <c r="CZ377" s="267"/>
      <c r="DA377" s="267"/>
      <c r="DB377" s="267"/>
      <c r="DC377" s="267"/>
      <c r="DD377" s="267"/>
      <c r="DE377" s="267"/>
      <c r="DF377" s="267"/>
      <c r="DG377" s="267"/>
      <c r="DH377" s="267"/>
      <c r="DI377" s="267"/>
      <c r="DJ377" s="268"/>
      <c r="DK377" s="268"/>
      <c r="DL377" s="268"/>
      <c r="DM377" s="268"/>
      <c r="DN377" s="268"/>
      <c r="DO377" s="268"/>
      <c r="DP377" s="268"/>
      <c r="DQ377" s="268"/>
      <c r="DR377" s="268"/>
      <c r="DS377" s="268"/>
      <c r="DT377" s="268"/>
      <c r="DU377" s="268"/>
      <c r="DV377" s="268"/>
      <c r="DW377" s="268"/>
      <c r="DX377" s="268"/>
      <c r="DY377" s="268"/>
      <c r="EA377" s="13"/>
      <c r="EB377" s="96"/>
      <c r="EC377" s="96"/>
      <c r="ED377" s="96"/>
      <c r="EE377" s="96"/>
      <c r="EF377" s="96"/>
      <c r="EG377" s="96"/>
      <c r="EH377" s="96"/>
      <c r="EI377" s="96"/>
      <c r="EJ377" s="96"/>
      <c r="EK377" s="96"/>
      <c r="EL377" s="96"/>
      <c r="EM377" s="96"/>
      <c r="EN377" s="96"/>
      <c r="EO377" s="96"/>
      <c r="EP377" s="96"/>
      <c r="EQ377" s="96"/>
      <c r="ER377" s="96"/>
      <c r="ES377" s="96"/>
      <c r="ET377" s="96"/>
      <c r="EU377" s="96"/>
      <c r="EV377" s="96"/>
      <c r="EW377" s="96"/>
      <c r="EX377" s="96"/>
      <c r="EY377" s="96"/>
      <c r="EZ377" s="96"/>
      <c r="FA377" s="96"/>
      <c r="FB377" s="96"/>
      <c r="FC377" s="96"/>
      <c r="FD377" s="96"/>
      <c r="FE377" s="96"/>
      <c r="FF377" s="96"/>
      <c r="FG377" s="96"/>
      <c r="FH377" s="96"/>
      <c r="FI377" s="96"/>
      <c r="FJ377" s="96"/>
      <c r="FK377" s="96"/>
      <c r="FL377" s="96"/>
      <c r="FM377" s="96"/>
      <c r="FN377" s="96"/>
      <c r="FO377" s="96"/>
      <c r="FP377" s="96"/>
      <c r="FQ377" s="96"/>
      <c r="FR377" s="96"/>
      <c r="FS377" s="96"/>
      <c r="FT377" s="96"/>
      <c r="FU377" s="96"/>
      <c r="FV377" s="96"/>
      <c r="FW377" s="96"/>
      <c r="FX377" s="96"/>
      <c r="FY377" s="96"/>
      <c r="FZ377" s="96"/>
      <c r="GA377" s="96"/>
      <c r="GB377" s="96"/>
      <c r="GC377" s="96"/>
      <c r="GD377" s="96"/>
      <c r="GE377" s="96"/>
      <c r="GF377" s="96"/>
      <c r="GG377" s="96"/>
      <c r="GH377" s="96"/>
      <c r="GI377" s="96"/>
      <c r="GJ377" s="96"/>
      <c r="GK377" s="96"/>
      <c r="GL377" s="96"/>
      <c r="GM377" s="13"/>
      <c r="GN377" s="96"/>
      <c r="GO377" s="96"/>
      <c r="GP377" s="96"/>
      <c r="GQ377" s="96"/>
      <c r="GR377" s="96"/>
      <c r="GS377" s="96"/>
      <c r="GT377" s="96"/>
      <c r="GU377" s="96"/>
      <c r="GV377" s="96"/>
      <c r="GW377" s="96"/>
      <c r="GX377" s="96"/>
      <c r="GY377" s="96"/>
      <c r="GZ377" s="96"/>
      <c r="HA377" s="96"/>
      <c r="HB377" s="96"/>
      <c r="HC377" s="13"/>
      <c r="HD377" s="96"/>
      <c r="HE377" s="96"/>
      <c r="HF377" s="96"/>
      <c r="HG377" s="96"/>
      <c r="HH377" s="96"/>
      <c r="HI377" s="96"/>
      <c r="HJ377" s="96"/>
      <c r="HK377" s="96"/>
      <c r="HL377" s="96"/>
      <c r="HM377" s="96"/>
      <c r="HN377" s="96"/>
      <c r="HO377" s="96"/>
      <c r="HP377" s="96"/>
      <c r="HQ377" s="96"/>
      <c r="HR377" s="96"/>
      <c r="HS377" s="13"/>
      <c r="HT377" s="96"/>
      <c r="HU377" s="96"/>
      <c r="HV377" s="96"/>
      <c r="HW377" s="96"/>
      <c r="HX377" s="96"/>
      <c r="HY377" s="96"/>
      <c r="HZ377" s="96"/>
      <c r="IA377" s="96"/>
      <c r="IB377" s="96"/>
      <c r="IC377" s="96"/>
      <c r="ID377" s="96"/>
      <c r="IE377" s="96"/>
      <c r="IF377" s="96"/>
      <c r="IG377" s="96"/>
      <c r="IH377" s="96"/>
      <c r="II377" s="13"/>
      <c r="IJ377" s="96"/>
      <c r="IK377" s="96"/>
      <c r="IL377" s="96"/>
      <c r="IM377" s="96"/>
      <c r="IN377" s="96"/>
      <c r="IO377" s="96"/>
      <c r="IP377" s="96"/>
      <c r="IQ377" s="96"/>
      <c r="IR377" s="96"/>
      <c r="IS377" s="96"/>
      <c r="IT377" s="96"/>
      <c r="IU377" s="96"/>
      <c r="IV377" s="96"/>
      <c r="IW377" s="96"/>
      <c r="IX377" s="96"/>
      <c r="IY377" s="13"/>
    </row>
    <row r="378" spans="1:259" outlineLevel="1">
      <c r="A378" s="11">
        <f>'VAC &amp; MED'!C383</f>
        <v>46349</v>
      </c>
      <c r="B378" s="261"/>
      <c r="C378" s="261"/>
      <c r="D378" s="261"/>
      <c r="E378" s="261"/>
      <c r="F378" s="261"/>
      <c r="G378" s="261"/>
      <c r="H378" s="261"/>
      <c r="I378" s="261"/>
      <c r="J378" s="261"/>
      <c r="K378" s="261"/>
      <c r="L378" s="261"/>
      <c r="M378" s="261"/>
      <c r="N378" s="261"/>
      <c r="O378" s="261"/>
      <c r="P378" s="261"/>
      <c r="Q378" s="261"/>
      <c r="R378" s="262"/>
      <c r="S378" s="262"/>
      <c r="T378" s="262"/>
      <c r="U378" s="262"/>
      <c r="V378" s="262"/>
      <c r="W378" s="262"/>
      <c r="X378" s="262"/>
      <c r="Y378" s="262"/>
      <c r="Z378" s="262"/>
      <c r="AA378" s="262"/>
      <c r="AB378" s="262"/>
      <c r="AC378" s="262"/>
      <c r="AD378" s="262"/>
      <c r="AE378" s="262"/>
      <c r="AF378" s="262"/>
      <c r="AG378" s="262"/>
      <c r="AH378" s="263"/>
      <c r="AI378" s="263"/>
      <c r="AJ378" s="263"/>
      <c r="AK378" s="263"/>
      <c r="AL378" s="263"/>
      <c r="AM378" s="263"/>
      <c r="AN378" s="263"/>
      <c r="AO378" s="263"/>
      <c r="AP378" s="263"/>
      <c r="AQ378" s="263"/>
      <c r="AR378" s="263"/>
      <c r="AS378" s="263"/>
      <c r="AT378" s="263"/>
      <c r="AU378" s="263"/>
      <c r="AV378" s="263"/>
      <c r="AW378" s="263"/>
      <c r="AX378" s="264"/>
      <c r="AY378" s="264"/>
      <c r="AZ378" s="264"/>
      <c r="BA378" s="264"/>
      <c r="BB378" s="264"/>
      <c r="BC378" s="264"/>
      <c r="BD378" s="264"/>
      <c r="BE378" s="264"/>
      <c r="BF378" s="264"/>
      <c r="BG378" s="264"/>
      <c r="BH378" s="264"/>
      <c r="BI378" s="264"/>
      <c r="BJ378" s="264"/>
      <c r="BK378" s="264"/>
      <c r="BL378" s="264"/>
      <c r="BM378" s="264"/>
      <c r="BN378" s="265"/>
      <c r="BO378" s="265"/>
      <c r="BP378" s="265"/>
      <c r="BQ378" s="265"/>
      <c r="BR378" s="265"/>
      <c r="BS378" s="265"/>
      <c r="BT378" s="265"/>
      <c r="BU378" s="265"/>
      <c r="BV378" s="265"/>
      <c r="BW378" s="265"/>
      <c r="BX378" s="265"/>
      <c r="BY378" s="265"/>
      <c r="BZ378" s="265"/>
      <c r="CA378" s="265"/>
      <c r="CB378" s="265"/>
      <c r="CC378" s="265"/>
      <c r="CD378" s="266"/>
      <c r="CE378" s="266"/>
      <c r="CF378" s="266"/>
      <c r="CG378" s="266"/>
      <c r="CH378" s="266"/>
      <c r="CI378" s="266"/>
      <c r="CJ378" s="266"/>
      <c r="CK378" s="266"/>
      <c r="CL378" s="266"/>
      <c r="CM378" s="266"/>
      <c r="CN378" s="266"/>
      <c r="CO378" s="266"/>
      <c r="CP378" s="266"/>
      <c r="CQ378" s="266"/>
      <c r="CR378" s="266"/>
      <c r="CS378" s="266"/>
      <c r="CT378" s="267"/>
      <c r="CU378" s="267"/>
      <c r="CV378" s="267"/>
      <c r="CW378" s="267"/>
      <c r="CX378" s="267"/>
      <c r="CY378" s="267"/>
      <c r="CZ378" s="267"/>
      <c r="DA378" s="267"/>
      <c r="DB378" s="267"/>
      <c r="DC378" s="267"/>
      <c r="DD378" s="267"/>
      <c r="DE378" s="267"/>
      <c r="DF378" s="267"/>
      <c r="DG378" s="267"/>
      <c r="DH378" s="267"/>
      <c r="DI378" s="267"/>
      <c r="DJ378" s="268"/>
      <c r="DK378" s="268"/>
      <c r="DL378" s="268"/>
      <c r="DM378" s="268"/>
      <c r="DN378" s="268"/>
      <c r="DO378" s="268"/>
      <c r="DP378" s="268"/>
      <c r="DQ378" s="268"/>
      <c r="DR378" s="268"/>
      <c r="DS378" s="268"/>
      <c r="DT378" s="268"/>
      <c r="DU378" s="268"/>
      <c r="DV378" s="268"/>
      <c r="DW378" s="268"/>
      <c r="DX378" s="268"/>
      <c r="DY378" s="268"/>
      <c r="EA378" s="13"/>
      <c r="EB378" s="96"/>
      <c r="EC378" s="96"/>
      <c r="ED378" s="96"/>
      <c r="EE378" s="96"/>
      <c r="EF378" s="96"/>
      <c r="EG378" s="96"/>
      <c r="EH378" s="96"/>
      <c r="EI378" s="96"/>
      <c r="EJ378" s="96"/>
      <c r="EK378" s="96"/>
      <c r="EL378" s="96"/>
      <c r="EM378" s="96"/>
      <c r="EN378" s="96"/>
      <c r="EO378" s="96"/>
      <c r="EP378" s="96"/>
      <c r="EQ378" s="96"/>
      <c r="ER378" s="96"/>
      <c r="ES378" s="96"/>
      <c r="ET378" s="96"/>
      <c r="EU378" s="96"/>
      <c r="EV378" s="96"/>
      <c r="EW378" s="96"/>
      <c r="EX378" s="96"/>
      <c r="EY378" s="96"/>
      <c r="EZ378" s="96"/>
      <c r="FA378" s="96"/>
      <c r="FB378" s="96"/>
      <c r="FC378" s="96"/>
      <c r="FD378" s="96"/>
      <c r="FE378" s="96"/>
      <c r="FF378" s="96"/>
      <c r="FG378" s="96"/>
      <c r="FH378" s="96"/>
      <c r="FI378" s="96"/>
      <c r="FJ378" s="96"/>
      <c r="FK378" s="96"/>
      <c r="FL378" s="96"/>
      <c r="FM378" s="96"/>
      <c r="FN378" s="96"/>
      <c r="FO378" s="96"/>
      <c r="FP378" s="96"/>
      <c r="FQ378" s="96"/>
      <c r="FR378" s="96"/>
      <c r="FS378" s="96"/>
      <c r="FT378" s="96"/>
      <c r="FU378" s="96"/>
      <c r="FV378" s="96"/>
      <c r="FW378" s="96"/>
      <c r="FX378" s="96"/>
      <c r="FY378" s="96"/>
      <c r="FZ378" s="96"/>
      <c r="GA378" s="96"/>
      <c r="GB378" s="96"/>
      <c r="GC378" s="96"/>
      <c r="GD378" s="96"/>
      <c r="GE378" s="96"/>
      <c r="GF378" s="96"/>
      <c r="GG378" s="96"/>
      <c r="GH378" s="96"/>
      <c r="GI378" s="96"/>
      <c r="GJ378" s="96"/>
      <c r="GK378" s="96"/>
      <c r="GL378" s="96"/>
      <c r="GM378" s="13"/>
      <c r="GN378" s="96"/>
      <c r="GO378" s="96"/>
      <c r="GP378" s="96"/>
      <c r="GQ378" s="96"/>
      <c r="GR378" s="96"/>
      <c r="GS378" s="96"/>
      <c r="GT378" s="96"/>
      <c r="GU378" s="96"/>
      <c r="GV378" s="96"/>
      <c r="GW378" s="96"/>
      <c r="GX378" s="96"/>
      <c r="GY378" s="96"/>
      <c r="GZ378" s="96"/>
      <c r="HA378" s="96"/>
      <c r="HB378" s="96"/>
      <c r="HC378" s="13"/>
      <c r="HD378" s="96"/>
      <c r="HE378" s="96"/>
      <c r="HF378" s="96"/>
      <c r="HG378" s="96"/>
      <c r="HH378" s="96"/>
      <c r="HI378" s="96"/>
      <c r="HJ378" s="96"/>
      <c r="HK378" s="96"/>
      <c r="HL378" s="96"/>
      <c r="HM378" s="96"/>
      <c r="HN378" s="96"/>
      <c r="HO378" s="96"/>
      <c r="HP378" s="96"/>
      <c r="HQ378" s="96"/>
      <c r="HR378" s="96"/>
      <c r="HS378" s="13"/>
      <c r="HT378" s="96"/>
      <c r="HU378" s="96"/>
      <c r="HV378" s="96"/>
      <c r="HW378" s="96"/>
      <c r="HX378" s="96"/>
      <c r="HY378" s="96"/>
      <c r="HZ378" s="96"/>
      <c r="IA378" s="96"/>
      <c r="IB378" s="96"/>
      <c r="IC378" s="96"/>
      <c r="ID378" s="96"/>
      <c r="IE378" s="96"/>
      <c r="IF378" s="96"/>
      <c r="IG378" s="96"/>
      <c r="IH378" s="96"/>
      <c r="II378" s="13"/>
      <c r="IJ378" s="96"/>
      <c r="IK378" s="96"/>
      <c r="IL378" s="96"/>
      <c r="IM378" s="96"/>
      <c r="IN378" s="96"/>
      <c r="IO378" s="96"/>
      <c r="IP378" s="96"/>
      <c r="IQ378" s="96"/>
      <c r="IR378" s="96"/>
      <c r="IS378" s="96"/>
      <c r="IT378" s="96"/>
      <c r="IU378" s="96"/>
      <c r="IV378" s="96"/>
      <c r="IW378" s="96"/>
      <c r="IX378" s="96"/>
      <c r="IY378" s="13"/>
    </row>
    <row r="379" spans="1:259" outlineLevel="1">
      <c r="A379" s="11">
        <f>'VAC &amp; MED'!C384</f>
        <v>46350</v>
      </c>
      <c r="B379" s="261"/>
      <c r="C379" s="261"/>
      <c r="D379" s="261"/>
      <c r="E379" s="261"/>
      <c r="F379" s="261"/>
      <c r="G379" s="261"/>
      <c r="H379" s="261"/>
      <c r="I379" s="261"/>
      <c r="J379" s="261"/>
      <c r="K379" s="261"/>
      <c r="L379" s="261"/>
      <c r="M379" s="261"/>
      <c r="N379" s="261"/>
      <c r="O379" s="261"/>
      <c r="P379" s="261"/>
      <c r="Q379" s="261"/>
      <c r="R379" s="262"/>
      <c r="S379" s="262"/>
      <c r="T379" s="262"/>
      <c r="U379" s="262"/>
      <c r="V379" s="262"/>
      <c r="W379" s="262"/>
      <c r="X379" s="262"/>
      <c r="Y379" s="262"/>
      <c r="Z379" s="262"/>
      <c r="AA379" s="262"/>
      <c r="AB379" s="262"/>
      <c r="AC379" s="262"/>
      <c r="AD379" s="262"/>
      <c r="AE379" s="262"/>
      <c r="AF379" s="262"/>
      <c r="AG379" s="262"/>
      <c r="AH379" s="263"/>
      <c r="AI379" s="263"/>
      <c r="AJ379" s="263"/>
      <c r="AK379" s="263"/>
      <c r="AL379" s="263"/>
      <c r="AM379" s="263"/>
      <c r="AN379" s="263"/>
      <c r="AO379" s="263"/>
      <c r="AP379" s="263"/>
      <c r="AQ379" s="263"/>
      <c r="AR379" s="263"/>
      <c r="AS379" s="263"/>
      <c r="AT379" s="263"/>
      <c r="AU379" s="263"/>
      <c r="AV379" s="263"/>
      <c r="AW379" s="263"/>
      <c r="AX379" s="264"/>
      <c r="AY379" s="264"/>
      <c r="AZ379" s="264"/>
      <c r="BA379" s="264"/>
      <c r="BB379" s="264"/>
      <c r="BC379" s="264"/>
      <c r="BD379" s="264"/>
      <c r="BE379" s="264"/>
      <c r="BF379" s="264"/>
      <c r="BG379" s="264"/>
      <c r="BH379" s="264"/>
      <c r="BI379" s="264"/>
      <c r="BJ379" s="264"/>
      <c r="BK379" s="264"/>
      <c r="BL379" s="264"/>
      <c r="BM379" s="264"/>
      <c r="BN379" s="265"/>
      <c r="BO379" s="265"/>
      <c r="BP379" s="265"/>
      <c r="BQ379" s="265"/>
      <c r="BR379" s="265"/>
      <c r="BS379" s="265"/>
      <c r="BT379" s="265"/>
      <c r="BU379" s="265"/>
      <c r="BV379" s="265"/>
      <c r="BW379" s="265"/>
      <c r="BX379" s="265"/>
      <c r="BY379" s="265"/>
      <c r="BZ379" s="265"/>
      <c r="CA379" s="265"/>
      <c r="CB379" s="265"/>
      <c r="CC379" s="265"/>
      <c r="CD379" s="266"/>
      <c r="CE379" s="266"/>
      <c r="CF379" s="266"/>
      <c r="CG379" s="266"/>
      <c r="CH379" s="266"/>
      <c r="CI379" s="266"/>
      <c r="CJ379" s="266"/>
      <c r="CK379" s="266"/>
      <c r="CL379" s="266"/>
      <c r="CM379" s="266"/>
      <c r="CN379" s="266"/>
      <c r="CO379" s="266"/>
      <c r="CP379" s="266"/>
      <c r="CQ379" s="266"/>
      <c r="CR379" s="266"/>
      <c r="CS379" s="266"/>
      <c r="CT379" s="267"/>
      <c r="CU379" s="267"/>
      <c r="CV379" s="267"/>
      <c r="CW379" s="267"/>
      <c r="CX379" s="267"/>
      <c r="CY379" s="267"/>
      <c r="CZ379" s="267"/>
      <c r="DA379" s="267"/>
      <c r="DB379" s="267"/>
      <c r="DC379" s="267"/>
      <c r="DD379" s="267"/>
      <c r="DE379" s="267"/>
      <c r="DF379" s="267"/>
      <c r="DG379" s="267"/>
      <c r="DH379" s="267"/>
      <c r="DI379" s="267"/>
      <c r="DJ379" s="268"/>
      <c r="DK379" s="268"/>
      <c r="DL379" s="268"/>
      <c r="DM379" s="268"/>
      <c r="DN379" s="268"/>
      <c r="DO379" s="268"/>
      <c r="DP379" s="268"/>
      <c r="DQ379" s="268"/>
      <c r="DR379" s="268"/>
      <c r="DS379" s="268"/>
      <c r="DT379" s="268"/>
      <c r="DU379" s="268"/>
      <c r="DV379" s="268"/>
      <c r="DW379" s="268"/>
      <c r="DX379" s="268"/>
      <c r="DY379" s="268"/>
      <c r="EA379" s="13"/>
      <c r="EB379" s="96"/>
      <c r="EC379" s="96"/>
      <c r="ED379" s="96"/>
      <c r="EE379" s="96"/>
      <c r="EF379" s="96"/>
      <c r="EG379" s="96"/>
      <c r="EH379" s="96"/>
      <c r="EI379" s="96"/>
      <c r="EJ379" s="96"/>
      <c r="EK379" s="96"/>
      <c r="EL379" s="96"/>
      <c r="EM379" s="96"/>
      <c r="EN379" s="96"/>
      <c r="EO379" s="96"/>
      <c r="EP379" s="96"/>
      <c r="EQ379" s="96"/>
      <c r="ER379" s="96"/>
      <c r="ES379" s="96"/>
      <c r="ET379" s="96"/>
      <c r="EU379" s="96"/>
      <c r="EV379" s="96"/>
      <c r="EW379" s="96"/>
      <c r="EX379" s="96"/>
      <c r="EY379" s="96"/>
      <c r="EZ379" s="96"/>
      <c r="FA379" s="96"/>
      <c r="FB379" s="96"/>
      <c r="FC379" s="96"/>
      <c r="FD379" s="96"/>
      <c r="FE379" s="96"/>
      <c r="FF379" s="96"/>
      <c r="FG379" s="96"/>
      <c r="FH379" s="96"/>
      <c r="FI379" s="96"/>
      <c r="FJ379" s="96"/>
      <c r="FK379" s="96"/>
      <c r="FL379" s="96"/>
      <c r="FM379" s="96"/>
      <c r="FN379" s="96"/>
      <c r="FO379" s="96"/>
      <c r="FP379" s="96"/>
      <c r="FQ379" s="96"/>
      <c r="FR379" s="96"/>
      <c r="FS379" s="96"/>
      <c r="FT379" s="96"/>
      <c r="FU379" s="96"/>
      <c r="FV379" s="96"/>
      <c r="FW379" s="96"/>
      <c r="FX379" s="96"/>
      <c r="FY379" s="96"/>
      <c r="FZ379" s="96"/>
      <c r="GA379" s="96"/>
      <c r="GB379" s="96"/>
      <c r="GC379" s="96"/>
      <c r="GD379" s="96"/>
      <c r="GE379" s="96"/>
      <c r="GF379" s="96"/>
      <c r="GG379" s="96"/>
      <c r="GH379" s="96"/>
      <c r="GI379" s="96"/>
      <c r="GJ379" s="96"/>
      <c r="GK379" s="96"/>
      <c r="GL379" s="96"/>
      <c r="GM379" s="13"/>
      <c r="GN379" s="96"/>
      <c r="GO379" s="96"/>
      <c r="GP379" s="96"/>
      <c r="GQ379" s="96"/>
      <c r="GR379" s="96"/>
      <c r="GS379" s="96"/>
      <c r="GT379" s="96"/>
      <c r="GU379" s="96"/>
      <c r="GV379" s="96"/>
      <c r="GW379" s="96"/>
      <c r="GX379" s="96"/>
      <c r="GY379" s="96"/>
      <c r="GZ379" s="96"/>
      <c r="HA379" s="96"/>
      <c r="HB379" s="96"/>
      <c r="HC379" s="13"/>
      <c r="HD379" s="96"/>
      <c r="HE379" s="96"/>
      <c r="HF379" s="96"/>
      <c r="HG379" s="96"/>
      <c r="HH379" s="96"/>
      <c r="HI379" s="96"/>
      <c r="HJ379" s="96"/>
      <c r="HK379" s="96"/>
      <c r="HL379" s="96"/>
      <c r="HM379" s="96"/>
      <c r="HN379" s="96"/>
      <c r="HO379" s="96"/>
      <c r="HP379" s="96"/>
      <c r="HQ379" s="96"/>
      <c r="HR379" s="96"/>
      <c r="HS379" s="13"/>
      <c r="HT379" s="96"/>
      <c r="HU379" s="96"/>
      <c r="HV379" s="96"/>
      <c r="HW379" s="96"/>
      <c r="HX379" s="96"/>
      <c r="HY379" s="96"/>
      <c r="HZ379" s="96"/>
      <c r="IA379" s="96"/>
      <c r="IB379" s="96"/>
      <c r="IC379" s="96"/>
      <c r="ID379" s="96"/>
      <c r="IE379" s="96"/>
      <c r="IF379" s="96"/>
      <c r="IG379" s="96"/>
      <c r="IH379" s="96"/>
      <c r="II379" s="13"/>
      <c r="IJ379" s="96"/>
      <c r="IK379" s="96"/>
      <c r="IL379" s="96"/>
      <c r="IM379" s="96"/>
      <c r="IN379" s="96"/>
      <c r="IO379" s="96"/>
      <c r="IP379" s="96"/>
      <c r="IQ379" s="96"/>
      <c r="IR379" s="96"/>
      <c r="IS379" s="96"/>
      <c r="IT379" s="96"/>
      <c r="IU379" s="96"/>
      <c r="IV379" s="96"/>
      <c r="IW379" s="96"/>
      <c r="IX379" s="96"/>
      <c r="IY379" s="13"/>
    </row>
    <row r="380" spans="1:259" outlineLevel="1">
      <c r="A380" s="11">
        <f>'VAC &amp; MED'!C385</f>
        <v>46351</v>
      </c>
      <c r="B380" s="261"/>
      <c r="C380" s="261"/>
      <c r="D380" s="261"/>
      <c r="E380" s="261"/>
      <c r="F380" s="261"/>
      <c r="G380" s="261"/>
      <c r="H380" s="261"/>
      <c r="I380" s="261"/>
      <c r="J380" s="261"/>
      <c r="K380" s="261"/>
      <c r="L380" s="261"/>
      <c r="M380" s="261"/>
      <c r="N380" s="261"/>
      <c r="O380" s="261"/>
      <c r="P380" s="261"/>
      <c r="Q380" s="261"/>
      <c r="R380" s="262"/>
      <c r="S380" s="262"/>
      <c r="T380" s="262"/>
      <c r="U380" s="262"/>
      <c r="V380" s="262"/>
      <c r="W380" s="262"/>
      <c r="X380" s="262"/>
      <c r="Y380" s="262"/>
      <c r="Z380" s="262"/>
      <c r="AA380" s="262"/>
      <c r="AB380" s="262"/>
      <c r="AC380" s="262"/>
      <c r="AD380" s="262"/>
      <c r="AE380" s="262"/>
      <c r="AF380" s="262"/>
      <c r="AG380" s="262"/>
      <c r="AH380" s="263"/>
      <c r="AI380" s="263"/>
      <c r="AJ380" s="263"/>
      <c r="AK380" s="263"/>
      <c r="AL380" s="263"/>
      <c r="AM380" s="263"/>
      <c r="AN380" s="263"/>
      <c r="AO380" s="263"/>
      <c r="AP380" s="263"/>
      <c r="AQ380" s="263"/>
      <c r="AR380" s="263"/>
      <c r="AS380" s="263"/>
      <c r="AT380" s="263"/>
      <c r="AU380" s="263"/>
      <c r="AV380" s="263"/>
      <c r="AW380" s="263"/>
      <c r="AX380" s="264"/>
      <c r="AY380" s="264"/>
      <c r="AZ380" s="264"/>
      <c r="BA380" s="264"/>
      <c r="BB380" s="264"/>
      <c r="BC380" s="264"/>
      <c r="BD380" s="264"/>
      <c r="BE380" s="264"/>
      <c r="BF380" s="264"/>
      <c r="BG380" s="264"/>
      <c r="BH380" s="264"/>
      <c r="BI380" s="264"/>
      <c r="BJ380" s="264"/>
      <c r="BK380" s="264"/>
      <c r="BL380" s="264"/>
      <c r="BM380" s="264"/>
      <c r="BN380" s="265"/>
      <c r="BO380" s="265"/>
      <c r="BP380" s="265"/>
      <c r="BQ380" s="265"/>
      <c r="BR380" s="265"/>
      <c r="BS380" s="265"/>
      <c r="BT380" s="265"/>
      <c r="BU380" s="265"/>
      <c r="BV380" s="265"/>
      <c r="BW380" s="265"/>
      <c r="BX380" s="265"/>
      <c r="BY380" s="265"/>
      <c r="BZ380" s="265"/>
      <c r="CA380" s="265"/>
      <c r="CB380" s="265"/>
      <c r="CC380" s="265"/>
      <c r="CD380" s="266"/>
      <c r="CE380" s="266"/>
      <c r="CF380" s="266"/>
      <c r="CG380" s="266"/>
      <c r="CH380" s="266"/>
      <c r="CI380" s="266"/>
      <c r="CJ380" s="266"/>
      <c r="CK380" s="266"/>
      <c r="CL380" s="266"/>
      <c r="CM380" s="266"/>
      <c r="CN380" s="266"/>
      <c r="CO380" s="266"/>
      <c r="CP380" s="266"/>
      <c r="CQ380" s="266"/>
      <c r="CR380" s="266"/>
      <c r="CS380" s="266"/>
      <c r="CT380" s="267"/>
      <c r="CU380" s="267"/>
      <c r="CV380" s="267"/>
      <c r="CW380" s="267"/>
      <c r="CX380" s="267"/>
      <c r="CY380" s="267"/>
      <c r="CZ380" s="267"/>
      <c r="DA380" s="267"/>
      <c r="DB380" s="267"/>
      <c r="DC380" s="267"/>
      <c r="DD380" s="267"/>
      <c r="DE380" s="267"/>
      <c r="DF380" s="267"/>
      <c r="DG380" s="267"/>
      <c r="DH380" s="267"/>
      <c r="DI380" s="267"/>
      <c r="DJ380" s="268"/>
      <c r="DK380" s="268"/>
      <c r="DL380" s="268"/>
      <c r="DM380" s="268"/>
      <c r="DN380" s="268"/>
      <c r="DO380" s="268"/>
      <c r="DP380" s="268"/>
      <c r="DQ380" s="268"/>
      <c r="DR380" s="268"/>
      <c r="DS380" s="268"/>
      <c r="DT380" s="268"/>
      <c r="DU380" s="268"/>
      <c r="DV380" s="268"/>
      <c r="DW380" s="268"/>
      <c r="DX380" s="268"/>
      <c r="DY380" s="268"/>
      <c r="EA380" s="13"/>
      <c r="EB380" s="96"/>
      <c r="EC380" s="96"/>
      <c r="ED380" s="96"/>
      <c r="EE380" s="96"/>
      <c r="EF380" s="96"/>
      <c r="EG380" s="96"/>
      <c r="EH380" s="96"/>
      <c r="EI380" s="96"/>
      <c r="EJ380" s="96"/>
      <c r="EK380" s="96"/>
      <c r="EL380" s="96"/>
      <c r="EM380" s="96"/>
      <c r="EN380" s="96"/>
      <c r="EO380" s="96"/>
      <c r="EP380" s="96"/>
      <c r="EQ380" s="96"/>
      <c r="ER380" s="96"/>
      <c r="ES380" s="96"/>
      <c r="ET380" s="96"/>
      <c r="EU380" s="96"/>
      <c r="EV380" s="96"/>
      <c r="EW380" s="96"/>
      <c r="EX380" s="96"/>
      <c r="EY380" s="96"/>
      <c r="EZ380" s="96"/>
      <c r="FA380" s="96"/>
      <c r="FB380" s="96"/>
      <c r="FC380" s="96"/>
      <c r="FD380" s="96"/>
      <c r="FE380" s="96"/>
      <c r="FF380" s="96"/>
      <c r="FG380" s="96"/>
      <c r="FH380" s="96"/>
      <c r="FI380" s="96"/>
      <c r="FJ380" s="96"/>
      <c r="FK380" s="96"/>
      <c r="FL380" s="96"/>
      <c r="FM380" s="96"/>
      <c r="FN380" s="96"/>
      <c r="FO380" s="96"/>
      <c r="FP380" s="96"/>
      <c r="FQ380" s="96"/>
      <c r="FR380" s="96"/>
      <c r="FS380" s="96"/>
      <c r="FT380" s="96"/>
      <c r="FU380" s="96"/>
      <c r="FV380" s="96"/>
      <c r="FW380" s="96"/>
      <c r="FX380" s="96"/>
      <c r="FY380" s="96"/>
      <c r="FZ380" s="96"/>
      <c r="GA380" s="96"/>
      <c r="GB380" s="96"/>
      <c r="GC380" s="96"/>
      <c r="GD380" s="96"/>
      <c r="GE380" s="96"/>
      <c r="GF380" s="96"/>
      <c r="GG380" s="96"/>
      <c r="GH380" s="96"/>
      <c r="GI380" s="96"/>
      <c r="GJ380" s="96"/>
      <c r="GK380" s="96"/>
      <c r="GL380" s="96"/>
      <c r="GM380" s="13"/>
      <c r="GN380" s="96"/>
      <c r="GO380" s="96"/>
      <c r="GP380" s="96"/>
      <c r="GQ380" s="96"/>
      <c r="GR380" s="96"/>
      <c r="GS380" s="96"/>
      <c r="GT380" s="96"/>
      <c r="GU380" s="96"/>
      <c r="GV380" s="96"/>
      <c r="GW380" s="96"/>
      <c r="GX380" s="96"/>
      <c r="GY380" s="96"/>
      <c r="GZ380" s="96"/>
      <c r="HA380" s="96"/>
      <c r="HB380" s="96"/>
      <c r="HC380" s="13"/>
      <c r="HD380" s="96"/>
      <c r="HE380" s="96"/>
      <c r="HF380" s="96"/>
      <c r="HG380" s="96"/>
      <c r="HH380" s="96"/>
      <c r="HI380" s="96"/>
      <c r="HJ380" s="96"/>
      <c r="HK380" s="96"/>
      <c r="HL380" s="96"/>
      <c r="HM380" s="96"/>
      <c r="HN380" s="96"/>
      <c r="HO380" s="96"/>
      <c r="HP380" s="96"/>
      <c r="HQ380" s="96"/>
      <c r="HR380" s="96"/>
      <c r="HS380" s="13"/>
      <c r="HT380" s="96"/>
      <c r="HU380" s="96"/>
      <c r="HV380" s="96"/>
      <c r="HW380" s="96"/>
      <c r="HX380" s="96"/>
      <c r="HY380" s="96"/>
      <c r="HZ380" s="96"/>
      <c r="IA380" s="96"/>
      <c r="IB380" s="96"/>
      <c r="IC380" s="96"/>
      <c r="ID380" s="96"/>
      <c r="IE380" s="96"/>
      <c r="IF380" s="96"/>
      <c r="IG380" s="96"/>
      <c r="IH380" s="96"/>
      <c r="II380" s="13"/>
      <c r="IJ380" s="96"/>
      <c r="IK380" s="96"/>
      <c r="IL380" s="96"/>
      <c r="IM380" s="96"/>
      <c r="IN380" s="96"/>
      <c r="IO380" s="96"/>
      <c r="IP380" s="96"/>
      <c r="IQ380" s="96"/>
      <c r="IR380" s="96"/>
      <c r="IS380" s="96"/>
      <c r="IT380" s="96"/>
      <c r="IU380" s="96"/>
      <c r="IV380" s="96"/>
      <c r="IW380" s="96"/>
      <c r="IX380" s="96"/>
      <c r="IY380" s="13"/>
    </row>
    <row r="381" spans="1:259" outlineLevel="1">
      <c r="A381" s="11">
        <f>'VAC &amp; MED'!C386</f>
        <v>46352</v>
      </c>
      <c r="B381" s="261"/>
      <c r="C381" s="261"/>
      <c r="D381" s="261"/>
      <c r="E381" s="261"/>
      <c r="F381" s="261"/>
      <c r="G381" s="261"/>
      <c r="H381" s="261"/>
      <c r="I381" s="261"/>
      <c r="J381" s="261"/>
      <c r="K381" s="261"/>
      <c r="L381" s="261"/>
      <c r="M381" s="261"/>
      <c r="N381" s="261"/>
      <c r="O381" s="261"/>
      <c r="P381" s="261"/>
      <c r="Q381" s="261"/>
      <c r="R381" s="262"/>
      <c r="S381" s="262"/>
      <c r="T381" s="262"/>
      <c r="U381" s="262"/>
      <c r="V381" s="262"/>
      <c r="W381" s="262"/>
      <c r="X381" s="262"/>
      <c r="Y381" s="262"/>
      <c r="Z381" s="262"/>
      <c r="AA381" s="262"/>
      <c r="AB381" s="262"/>
      <c r="AC381" s="262"/>
      <c r="AD381" s="262"/>
      <c r="AE381" s="262"/>
      <c r="AF381" s="262"/>
      <c r="AG381" s="262"/>
      <c r="AH381" s="263"/>
      <c r="AI381" s="263"/>
      <c r="AJ381" s="263"/>
      <c r="AK381" s="263"/>
      <c r="AL381" s="263"/>
      <c r="AM381" s="263"/>
      <c r="AN381" s="263"/>
      <c r="AO381" s="263"/>
      <c r="AP381" s="263"/>
      <c r="AQ381" s="263"/>
      <c r="AR381" s="263"/>
      <c r="AS381" s="263"/>
      <c r="AT381" s="263"/>
      <c r="AU381" s="263"/>
      <c r="AV381" s="263"/>
      <c r="AW381" s="263"/>
      <c r="AX381" s="264"/>
      <c r="AY381" s="264"/>
      <c r="AZ381" s="264"/>
      <c r="BA381" s="264"/>
      <c r="BB381" s="264"/>
      <c r="BC381" s="264"/>
      <c r="BD381" s="264"/>
      <c r="BE381" s="264"/>
      <c r="BF381" s="264"/>
      <c r="BG381" s="264"/>
      <c r="BH381" s="264"/>
      <c r="BI381" s="264"/>
      <c r="BJ381" s="264"/>
      <c r="BK381" s="264"/>
      <c r="BL381" s="264"/>
      <c r="BM381" s="264"/>
      <c r="BN381" s="265"/>
      <c r="BO381" s="265"/>
      <c r="BP381" s="265"/>
      <c r="BQ381" s="265"/>
      <c r="BR381" s="265"/>
      <c r="BS381" s="265"/>
      <c r="BT381" s="265"/>
      <c r="BU381" s="265"/>
      <c r="BV381" s="265"/>
      <c r="BW381" s="265"/>
      <c r="BX381" s="265"/>
      <c r="BY381" s="265"/>
      <c r="BZ381" s="265"/>
      <c r="CA381" s="265"/>
      <c r="CB381" s="265"/>
      <c r="CC381" s="265"/>
      <c r="CD381" s="266"/>
      <c r="CE381" s="266"/>
      <c r="CF381" s="266"/>
      <c r="CG381" s="266"/>
      <c r="CH381" s="266"/>
      <c r="CI381" s="266"/>
      <c r="CJ381" s="266"/>
      <c r="CK381" s="266"/>
      <c r="CL381" s="266"/>
      <c r="CM381" s="266"/>
      <c r="CN381" s="266"/>
      <c r="CO381" s="266"/>
      <c r="CP381" s="266"/>
      <c r="CQ381" s="266"/>
      <c r="CR381" s="266"/>
      <c r="CS381" s="266"/>
      <c r="CT381" s="267"/>
      <c r="CU381" s="267"/>
      <c r="CV381" s="267"/>
      <c r="CW381" s="267"/>
      <c r="CX381" s="267"/>
      <c r="CY381" s="267"/>
      <c r="CZ381" s="267"/>
      <c r="DA381" s="267"/>
      <c r="DB381" s="267"/>
      <c r="DC381" s="267"/>
      <c r="DD381" s="267"/>
      <c r="DE381" s="267"/>
      <c r="DF381" s="267"/>
      <c r="DG381" s="267"/>
      <c r="DH381" s="267"/>
      <c r="DI381" s="267"/>
      <c r="DJ381" s="268"/>
      <c r="DK381" s="268"/>
      <c r="DL381" s="268"/>
      <c r="DM381" s="268"/>
      <c r="DN381" s="268"/>
      <c r="DO381" s="268"/>
      <c r="DP381" s="268"/>
      <c r="DQ381" s="268"/>
      <c r="DR381" s="268"/>
      <c r="DS381" s="268"/>
      <c r="DT381" s="268"/>
      <c r="DU381" s="268"/>
      <c r="DV381" s="268"/>
      <c r="DW381" s="268"/>
      <c r="DX381" s="268"/>
      <c r="DY381" s="268"/>
      <c r="EA381" s="13"/>
      <c r="EB381" s="96"/>
      <c r="EC381" s="96"/>
      <c r="ED381" s="96"/>
      <c r="EE381" s="96"/>
      <c r="EF381" s="96"/>
      <c r="EG381" s="96"/>
      <c r="EH381" s="96"/>
      <c r="EI381" s="96"/>
      <c r="EJ381" s="96"/>
      <c r="EK381" s="96"/>
      <c r="EL381" s="96"/>
      <c r="EM381" s="96"/>
      <c r="EN381" s="96"/>
      <c r="EO381" s="96"/>
      <c r="EP381" s="96"/>
      <c r="EQ381" s="96"/>
      <c r="ER381" s="96"/>
      <c r="ES381" s="96"/>
      <c r="ET381" s="96"/>
      <c r="EU381" s="96"/>
      <c r="EV381" s="96"/>
      <c r="EW381" s="96"/>
      <c r="EX381" s="96"/>
      <c r="EY381" s="96"/>
      <c r="EZ381" s="96"/>
      <c r="FA381" s="96"/>
      <c r="FB381" s="96"/>
      <c r="FC381" s="96"/>
      <c r="FD381" s="96"/>
      <c r="FE381" s="96"/>
      <c r="FF381" s="96"/>
      <c r="FG381" s="96"/>
      <c r="FH381" s="96"/>
      <c r="FI381" s="96"/>
      <c r="FJ381" s="96"/>
      <c r="FK381" s="96"/>
      <c r="FL381" s="96"/>
      <c r="FM381" s="96"/>
      <c r="FN381" s="96"/>
      <c r="FO381" s="96"/>
      <c r="FP381" s="96"/>
      <c r="FQ381" s="96"/>
      <c r="FR381" s="96"/>
      <c r="FS381" s="96"/>
      <c r="FT381" s="96"/>
      <c r="FU381" s="96"/>
      <c r="FV381" s="96"/>
      <c r="FW381" s="96"/>
      <c r="FX381" s="96"/>
      <c r="FY381" s="96"/>
      <c r="FZ381" s="96"/>
      <c r="GA381" s="96"/>
      <c r="GB381" s="96"/>
      <c r="GC381" s="96"/>
      <c r="GD381" s="96"/>
      <c r="GE381" s="96"/>
      <c r="GF381" s="96"/>
      <c r="GG381" s="96"/>
      <c r="GH381" s="96"/>
      <c r="GI381" s="96"/>
      <c r="GJ381" s="96"/>
      <c r="GK381" s="96"/>
      <c r="GL381" s="96"/>
      <c r="GM381" s="13"/>
      <c r="GN381" s="96"/>
      <c r="GO381" s="96"/>
      <c r="GP381" s="96"/>
      <c r="GQ381" s="96"/>
      <c r="GR381" s="96"/>
      <c r="GS381" s="96"/>
      <c r="GT381" s="96"/>
      <c r="GU381" s="96"/>
      <c r="GV381" s="96"/>
      <c r="GW381" s="96"/>
      <c r="GX381" s="96"/>
      <c r="GY381" s="96"/>
      <c r="GZ381" s="96"/>
      <c r="HA381" s="96"/>
      <c r="HB381" s="96"/>
      <c r="HC381" s="13"/>
      <c r="HD381" s="96"/>
      <c r="HE381" s="96"/>
      <c r="HF381" s="96"/>
      <c r="HG381" s="96"/>
      <c r="HH381" s="96"/>
      <c r="HI381" s="96"/>
      <c r="HJ381" s="96"/>
      <c r="HK381" s="96"/>
      <c r="HL381" s="96"/>
      <c r="HM381" s="96"/>
      <c r="HN381" s="96"/>
      <c r="HO381" s="96"/>
      <c r="HP381" s="96"/>
      <c r="HQ381" s="96"/>
      <c r="HR381" s="96"/>
      <c r="HS381" s="13"/>
      <c r="HT381" s="96"/>
      <c r="HU381" s="96"/>
      <c r="HV381" s="96"/>
      <c r="HW381" s="96"/>
      <c r="HX381" s="96"/>
      <c r="HY381" s="96"/>
      <c r="HZ381" s="96"/>
      <c r="IA381" s="96"/>
      <c r="IB381" s="96"/>
      <c r="IC381" s="96"/>
      <c r="ID381" s="96"/>
      <c r="IE381" s="96"/>
      <c r="IF381" s="96"/>
      <c r="IG381" s="96"/>
      <c r="IH381" s="96"/>
      <c r="II381" s="13"/>
      <c r="IJ381" s="96"/>
      <c r="IK381" s="96"/>
      <c r="IL381" s="96"/>
      <c r="IM381" s="96"/>
      <c r="IN381" s="96"/>
      <c r="IO381" s="96"/>
      <c r="IP381" s="96"/>
      <c r="IQ381" s="96"/>
      <c r="IR381" s="96"/>
      <c r="IS381" s="96"/>
      <c r="IT381" s="96"/>
      <c r="IU381" s="96"/>
      <c r="IV381" s="96"/>
      <c r="IW381" s="96"/>
      <c r="IX381" s="96"/>
      <c r="IY381" s="13"/>
    </row>
    <row r="382" spans="1:259" outlineLevel="1">
      <c r="A382" s="11">
        <f>'VAC &amp; MED'!C387</f>
        <v>46353</v>
      </c>
      <c r="B382" s="261"/>
      <c r="C382" s="261"/>
      <c r="D382" s="261"/>
      <c r="E382" s="261"/>
      <c r="F382" s="261"/>
      <c r="G382" s="261"/>
      <c r="H382" s="261"/>
      <c r="I382" s="261"/>
      <c r="J382" s="261"/>
      <c r="K382" s="261"/>
      <c r="L382" s="261"/>
      <c r="M382" s="261"/>
      <c r="N382" s="261"/>
      <c r="O382" s="261"/>
      <c r="P382" s="261"/>
      <c r="Q382" s="261"/>
      <c r="R382" s="262"/>
      <c r="S382" s="262"/>
      <c r="T382" s="262"/>
      <c r="U382" s="262"/>
      <c r="V382" s="262"/>
      <c r="W382" s="262"/>
      <c r="X382" s="262"/>
      <c r="Y382" s="262"/>
      <c r="Z382" s="262"/>
      <c r="AA382" s="262"/>
      <c r="AB382" s="262"/>
      <c r="AC382" s="262"/>
      <c r="AD382" s="262"/>
      <c r="AE382" s="262"/>
      <c r="AF382" s="262"/>
      <c r="AG382" s="262"/>
      <c r="AH382" s="263"/>
      <c r="AI382" s="263"/>
      <c r="AJ382" s="263"/>
      <c r="AK382" s="263"/>
      <c r="AL382" s="263"/>
      <c r="AM382" s="263"/>
      <c r="AN382" s="263"/>
      <c r="AO382" s="263"/>
      <c r="AP382" s="263"/>
      <c r="AQ382" s="263"/>
      <c r="AR382" s="263"/>
      <c r="AS382" s="263"/>
      <c r="AT382" s="263"/>
      <c r="AU382" s="263"/>
      <c r="AV382" s="263"/>
      <c r="AW382" s="263"/>
      <c r="AX382" s="264"/>
      <c r="AY382" s="264"/>
      <c r="AZ382" s="264"/>
      <c r="BA382" s="264"/>
      <c r="BB382" s="264"/>
      <c r="BC382" s="264"/>
      <c r="BD382" s="264"/>
      <c r="BE382" s="264"/>
      <c r="BF382" s="264"/>
      <c r="BG382" s="264"/>
      <c r="BH382" s="264"/>
      <c r="BI382" s="264"/>
      <c r="BJ382" s="264"/>
      <c r="BK382" s="264"/>
      <c r="BL382" s="264"/>
      <c r="BM382" s="264"/>
      <c r="BN382" s="265"/>
      <c r="BO382" s="265"/>
      <c r="BP382" s="265"/>
      <c r="BQ382" s="265"/>
      <c r="BR382" s="265"/>
      <c r="BS382" s="265"/>
      <c r="BT382" s="265"/>
      <c r="BU382" s="265"/>
      <c r="BV382" s="265"/>
      <c r="BW382" s="265"/>
      <c r="BX382" s="265"/>
      <c r="BY382" s="265"/>
      <c r="BZ382" s="265"/>
      <c r="CA382" s="265"/>
      <c r="CB382" s="265"/>
      <c r="CC382" s="265"/>
      <c r="CD382" s="266"/>
      <c r="CE382" s="266"/>
      <c r="CF382" s="266"/>
      <c r="CG382" s="266"/>
      <c r="CH382" s="266"/>
      <c r="CI382" s="266"/>
      <c r="CJ382" s="266"/>
      <c r="CK382" s="266"/>
      <c r="CL382" s="266"/>
      <c r="CM382" s="266"/>
      <c r="CN382" s="266"/>
      <c r="CO382" s="266"/>
      <c r="CP382" s="266"/>
      <c r="CQ382" s="266"/>
      <c r="CR382" s="266"/>
      <c r="CS382" s="266"/>
      <c r="CT382" s="267"/>
      <c r="CU382" s="267"/>
      <c r="CV382" s="267"/>
      <c r="CW382" s="267"/>
      <c r="CX382" s="267"/>
      <c r="CY382" s="267"/>
      <c r="CZ382" s="267"/>
      <c r="DA382" s="267"/>
      <c r="DB382" s="267"/>
      <c r="DC382" s="267"/>
      <c r="DD382" s="267"/>
      <c r="DE382" s="267"/>
      <c r="DF382" s="267"/>
      <c r="DG382" s="267"/>
      <c r="DH382" s="267"/>
      <c r="DI382" s="267"/>
      <c r="DJ382" s="268"/>
      <c r="DK382" s="268"/>
      <c r="DL382" s="268"/>
      <c r="DM382" s="268"/>
      <c r="DN382" s="268"/>
      <c r="DO382" s="268"/>
      <c r="DP382" s="268"/>
      <c r="DQ382" s="268"/>
      <c r="DR382" s="268"/>
      <c r="DS382" s="268"/>
      <c r="DT382" s="268"/>
      <c r="DU382" s="268"/>
      <c r="DV382" s="268"/>
      <c r="DW382" s="268"/>
      <c r="DX382" s="268"/>
      <c r="DY382" s="268"/>
      <c r="EA382" s="13"/>
      <c r="EB382" s="96"/>
      <c r="EC382" s="96"/>
      <c r="ED382" s="96"/>
      <c r="EE382" s="96"/>
      <c r="EF382" s="96"/>
      <c r="EG382" s="96"/>
      <c r="EH382" s="96"/>
      <c r="EI382" s="96"/>
      <c r="EJ382" s="96"/>
      <c r="EK382" s="96"/>
      <c r="EL382" s="96"/>
      <c r="EM382" s="96"/>
      <c r="EN382" s="96"/>
      <c r="EO382" s="96"/>
      <c r="EP382" s="96"/>
      <c r="EQ382" s="96"/>
      <c r="ER382" s="96"/>
      <c r="ES382" s="96"/>
      <c r="ET382" s="96"/>
      <c r="EU382" s="96"/>
      <c r="EV382" s="96"/>
      <c r="EW382" s="96"/>
      <c r="EX382" s="96"/>
      <c r="EY382" s="96"/>
      <c r="EZ382" s="96"/>
      <c r="FA382" s="96"/>
      <c r="FB382" s="96"/>
      <c r="FC382" s="96"/>
      <c r="FD382" s="96"/>
      <c r="FE382" s="96"/>
      <c r="FF382" s="96"/>
      <c r="FG382" s="96"/>
      <c r="FH382" s="96"/>
      <c r="FI382" s="96"/>
      <c r="FJ382" s="96"/>
      <c r="FK382" s="96"/>
      <c r="FL382" s="96"/>
      <c r="FM382" s="96"/>
      <c r="FN382" s="96"/>
      <c r="FO382" s="96"/>
      <c r="FP382" s="96"/>
      <c r="FQ382" s="96"/>
      <c r="FR382" s="96"/>
      <c r="FS382" s="96"/>
      <c r="FT382" s="96"/>
      <c r="FU382" s="96"/>
      <c r="FV382" s="96"/>
      <c r="FW382" s="96"/>
      <c r="FX382" s="96"/>
      <c r="FY382" s="96"/>
      <c r="FZ382" s="96"/>
      <c r="GA382" s="96"/>
      <c r="GB382" s="96"/>
      <c r="GC382" s="96"/>
      <c r="GD382" s="96"/>
      <c r="GE382" s="96"/>
      <c r="GF382" s="96"/>
      <c r="GG382" s="96"/>
      <c r="GH382" s="96"/>
      <c r="GI382" s="96"/>
      <c r="GJ382" s="96"/>
      <c r="GK382" s="96"/>
      <c r="GL382" s="96"/>
      <c r="GM382" s="13"/>
      <c r="GN382" s="96"/>
      <c r="GO382" s="96"/>
      <c r="GP382" s="96"/>
      <c r="GQ382" s="96"/>
      <c r="GR382" s="96"/>
      <c r="GS382" s="96"/>
      <c r="GT382" s="96"/>
      <c r="GU382" s="96"/>
      <c r="GV382" s="96"/>
      <c r="GW382" s="96"/>
      <c r="GX382" s="96"/>
      <c r="GY382" s="96"/>
      <c r="GZ382" s="96"/>
      <c r="HA382" s="96"/>
      <c r="HB382" s="96"/>
      <c r="HC382" s="13"/>
      <c r="HD382" s="96"/>
      <c r="HE382" s="96"/>
      <c r="HF382" s="96"/>
      <c r="HG382" s="96"/>
      <c r="HH382" s="96"/>
      <c r="HI382" s="96"/>
      <c r="HJ382" s="96"/>
      <c r="HK382" s="96"/>
      <c r="HL382" s="96"/>
      <c r="HM382" s="96"/>
      <c r="HN382" s="96"/>
      <c r="HO382" s="96"/>
      <c r="HP382" s="96"/>
      <c r="HQ382" s="96"/>
      <c r="HR382" s="96"/>
      <c r="HS382" s="13"/>
      <c r="HT382" s="96"/>
      <c r="HU382" s="96"/>
      <c r="HV382" s="96"/>
      <c r="HW382" s="96"/>
      <c r="HX382" s="96"/>
      <c r="HY382" s="96"/>
      <c r="HZ382" s="96"/>
      <c r="IA382" s="96"/>
      <c r="IB382" s="96"/>
      <c r="IC382" s="96"/>
      <c r="ID382" s="96"/>
      <c r="IE382" s="96"/>
      <c r="IF382" s="96"/>
      <c r="IG382" s="96"/>
      <c r="IH382" s="96"/>
      <c r="II382" s="13"/>
      <c r="IJ382" s="96"/>
      <c r="IK382" s="96"/>
      <c r="IL382" s="96"/>
      <c r="IM382" s="96"/>
      <c r="IN382" s="96"/>
      <c r="IO382" s="96"/>
      <c r="IP382" s="96"/>
      <c r="IQ382" s="96"/>
      <c r="IR382" s="96"/>
      <c r="IS382" s="96"/>
      <c r="IT382" s="96"/>
      <c r="IU382" s="96"/>
      <c r="IV382" s="96"/>
      <c r="IW382" s="96"/>
      <c r="IX382" s="96"/>
      <c r="IY382" s="13"/>
    </row>
    <row r="383" spans="1:259" outlineLevel="1">
      <c r="A383" s="11">
        <f>'VAC &amp; MED'!C388</f>
        <v>46354</v>
      </c>
      <c r="B383" s="261"/>
      <c r="C383" s="261"/>
      <c r="D383" s="261"/>
      <c r="E383" s="261"/>
      <c r="F383" s="261"/>
      <c r="G383" s="261"/>
      <c r="H383" s="261"/>
      <c r="I383" s="261"/>
      <c r="J383" s="261"/>
      <c r="K383" s="261"/>
      <c r="L383" s="261"/>
      <c r="M383" s="261"/>
      <c r="N383" s="261"/>
      <c r="O383" s="261"/>
      <c r="P383" s="261"/>
      <c r="Q383" s="261"/>
      <c r="R383" s="262"/>
      <c r="S383" s="262"/>
      <c r="T383" s="262"/>
      <c r="U383" s="262"/>
      <c r="V383" s="262"/>
      <c r="W383" s="262"/>
      <c r="X383" s="262"/>
      <c r="Y383" s="262"/>
      <c r="Z383" s="262"/>
      <c r="AA383" s="262"/>
      <c r="AB383" s="262"/>
      <c r="AC383" s="262"/>
      <c r="AD383" s="262"/>
      <c r="AE383" s="262"/>
      <c r="AF383" s="262"/>
      <c r="AG383" s="262"/>
      <c r="AH383" s="263"/>
      <c r="AI383" s="263"/>
      <c r="AJ383" s="263"/>
      <c r="AK383" s="263"/>
      <c r="AL383" s="263"/>
      <c r="AM383" s="263"/>
      <c r="AN383" s="263"/>
      <c r="AO383" s="263"/>
      <c r="AP383" s="263"/>
      <c r="AQ383" s="263"/>
      <c r="AR383" s="263"/>
      <c r="AS383" s="263"/>
      <c r="AT383" s="263"/>
      <c r="AU383" s="263"/>
      <c r="AV383" s="263"/>
      <c r="AW383" s="263"/>
      <c r="AX383" s="264"/>
      <c r="AY383" s="264"/>
      <c r="AZ383" s="264"/>
      <c r="BA383" s="264"/>
      <c r="BB383" s="264"/>
      <c r="BC383" s="264"/>
      <c r="BD383" s="264"/>
      <c r="BE383" s="264"/>
      <c r="BF383" s="264"/>
      <c r="BG383" s="264"/>
      <c r="BH383" s="264"/>
      <c r="BI383" s="264"/>
      <c r="BJ383" s="264"/>
      <c r="BK383" s="264"/>
      <c r="BL383" s="264"/>
      <c r="BM383" s="264"/>
      <c r="BN383" s="265"/>
      <c r="BO383" s="265"/>
      <c r="BP383" s="265"/>
      <c r="BQ383" s="265"/>
      <c r="BR383" s="265"/>
      <c r="BS383" s="265"/>
      <c r="BT383" s="265"/>
      <c r="BU383" s="265"/>
      <c r="BV383" s="265"/>
      <c r="BW383" s="265"/>
      <c r="BX383" s="265"/>
      <c r="BY383" s="265"/>
      <c r="BZ383" s="265"/>
      <c r="CA383" s="265"/>
      <c r="CB383" s="265"/>
      <c r="CC383" s="265"/>
      <c r="CD383" s="266"/>
      <c r="CE383" s="266"/>
      <c r="CF383" s="266"/>
      <c r="CG383" s="266"/>
      <c r="CH383" s="266"/>
      <c r="CI383" s="266"/>
      <c r="CJ383" s="266"/>
      <c r="CK383" s="266"/>
      <c r="CL383" s="266"/>
      <c r="CM383" s="266"/>
      <c r="CN383" s="266"/>
      <c r="CO383" s="266"/>
      <c r="CP383" s="266"/>
      <c r="CQ383" s="266"/>
      <c r="CR383" s="266"/>
      <c r="CS383" s="266"/>
      <c r="CT383" s="267"/>
      <c r="CU383" s="267"/>
      <c r="CV383" s="267"/>
      <c r="CW383" s="267"/>
      <c r="CX383" s="267"/>
      <c r="CY383" s="267"/>
      <c r="CZ383" s="267"/>
      <c r="DA383" s="267"/>
      <c r="DB383" s="267"/>
      <c r="DC383" s="267"/>
      <c r="DD383" s="267"/>
      <c r="DE383" s="267"/>
      <c r="DF383" s="267"/>
      <c r="DG383" s="267"/>
      <c r="DH383" s="267"/>
      <c r="DI383" s="267"/>
      <c r="DJ383" s="268"/>
      <c r="DK383" s="268"/>
      <c r="DL383" s="268"/>
      <c r="DM383" s="268"/>
      <c r="DN383" s="268"/>
      <c r="DO383" s="268"/>
      <c r="DP383" s="268"/>
      <c r="DQ383" s="268"/>
      <c r="DR383" s="268"/>
      <c r="DS383" s="268"/>
      <c r="DT383" s="268"/>
      <c r="DU383" s="268"/>
      <c r="DV383" s="268"/>
      <c r="DW383" s="268"/>
      <c r="DX383" s="268"/>
      <c r="DY383" s="268"/>
      <c r="EA383" s="13"/>
      <c r="EB383" s="96"/>
      <c r="EC383" s="96"/>
      <c r="ED383" s="96"/>
      <c r="EE383" s="96"/>
      <c r="EF383" s="96"/>
      <c r="EG383" s="96"/>
      <c r="EH383" s="96"/>
      <c r="EI383" s="96"/>
      <c r="EJ383" s="96"/>
      <c r="EK383" s="96"/>
      <c r="EL383" s="96"/>
      <c r="EM383" s="96"/>
      <c r="EN383" s="96"/>
      <c r="EO383" s="96"/>
      <c r="EP383" s="96"/>
      <c r="EQ383" s="96"/>
      <c r="ER383" s="96"/>
      <c r="ES383" s="96"/>
      <c r="ET383" s="96"/>
      <c r="EU383" s="96"/>
      <c r="EV383" s="96"/>
      <c r="EW383" s="96"/>
      <c r="EX383" s="96"/>
      <c r="EY383" s="96"/>
      <c r="EZ383" s="96"/>
      <c r="FA383" s="96"/>
      <c r="FB383" s="96"/>
      <c r="FC383" s="96"/>
      <c r="FD383" s="96"/>
      <c r="FE383" s="96"/>
      <c r="FF383" s="96"/>
      <c r="FG383" s="96"/>
      <c r="FH383" s="96"/>
      <c r="FI383" s="96"/>
      <c r="FJ383" s="96"/>
      <c r="FK383" s="96"/>
      <c r="FL383" s="96"/>
      <c r="FM383" s="96"/>
      <c r="FN383" s="96"/>
      <c r="FO383" s="96"/>
      <c r="FP383" s="96"/>
      <c r="FQ383" s="96"/>
      <c r="FR383" s="96"/>
      <c r="FS383" s="96"/>
      <c r="FT383" s="96"/>
      <c r="FU383" s="96"/>
      <c r="FV383" s="96"/>
      <c r="FW383" s="96"/>
      <c r="FX383" s="96"/>
      <c r="FY383" s="96"/>
      <c r="FZ383" s="96"/>
      <c r="GA383" s="96"/>
      <c r="GB383" s="96"/>
      <c r="GC383" s="96"/>
      <c r="GD383" s="96"/>
      <c r="GE383" s="96"/>
      <c r="GF383" s="96"/>
      <c r="GG383" s="96"/>
      <c r="GH383" s="96"/>
      <c r="GI383" s="96"/>
      <c r="GJ383" s="96"/>
      <c r="GK383" s="96"/>
      <c r="GL383" s="96"/>
      <c r="GM383" s="13"/>
      <c r="GN383" s="96"/>
      <c r="GO383" s="96"/>
      <c r="GP383" s="96"/>
      <c r="GQ383" s="96"/>
      <c r="GR383" s="96"/>
      <c r="GS383" s="96"/>
      <c r="GT383" s="96"/>
      <c r="GU383" s="96"/>
      <c r="GV383" s="96"/>
      <c r="GW383" s="96"/>
      <c r="GX383" s="96"/>
      <c r="GY383" s="96"/>
      <c r="GZ383" s="96"/>
      <c r="HA383" s="96"/>
      <c r="HB383" s="96"/>
      <c r="HC383" s="13"/>
      <c r="HD383" s="96"/>
      <c r="HE383" s="96"/>
      <c r="HF383" s="96"/>
      <c r="HG383" s="96"/>
      <c r="HH383" s="96"/>
      <c r="HI383" s="96"/>
      <c r="HJ383" s="96"/>
      <c r="HK383" s="96"/>
      <c r="HL383" s="96"/>
      <c r="HM383" s="96"/>
      <c r="HN383" s="96"/>
      <c r="HO383" s="96"/>
      <c r="HP383" s="96"/>
      <c r="HQ383" s="96"/>
      <c r="HR383" s="96"/>
      <c r="HS383" s="13"/>
      <c r="HT383" s="96"/>
      <c r="HU383" s="96"/>
      <c r="HV383" s="96"/>
      <c r="HW383" s="96"/>
      <c r="HX383" s="96"/>
      <c r="HY383" s="96"/>
      <c r="HZ383" s="96"/>
      <c r="IA383" s="96"/>
      <c r="IB383" s="96"/>
      <c r="IC383" s="96"/>
      <c r="ID383" s="96"/>
      <c r="IE383" s="96"/>
      <c r="IF383" s="96"/>
      <c r="IG383" s="96"/>
      <c r="IH383" s="96"/>
      <c r="II383" s="13"/>
      <c r="IJ383" s="96"/>
      <c r="IK383" s="96"/>
      <c r="IL383" s="96"/>
      <c r="IM383" s="96"/>
      <c r="IN383" s="96"/>
      <c r="IO383" s="96"/>
      <c r="IP383" s="96"/>
      <c r="IQ383" s="96"/>
      <c r="IR383" s="96"/>
      <c r="IS383" s="96"/>
      <c r="IT383" s="96"/>
      <c r="IU383" s="96"/>
      <c r="IV383" s="96"/>
      <c r="IW383" s="96"/>
      <c r="IX383" s="96"/>
      <c r="IY383" s="13"/>
    </row>
    <row r="384" spans="1:259" outlineLevel="1">
      <c r="A384" s="11">
        <f>'VAC &amp; MED'!C389</f>
        <v>46355</v>
      </c>
      <c r="B384" s="269"/>
      <c r="C384" s="269"/>
      <c r="D384" s="269"/>
      <c r="E384" s="269"/>
      <c r="F384" s="269"/>
      <c r="G384" s="269"/>
      <c r="H384" s="269"/>
      <c r="I384" s="269"/>
      <c r="J384" s="269"/>
      <c r="K384" s="269"/>
      <c r="L384" s="269"/>
      <c r="M384" s="269"/>
      <c r="N384" s="269"/>
      <c r="O384" s="269"/>
      <c r="P384" s="269"/>
      <c r="Q384" s="269"/>
      <c r="R384" s="270"/>
      <c r="S384" s="270"/>
      <c r="T384" s="270"/>
      <c r="U384" s="270"/>
      <c r="V384" s="270"/>
      <c r="W384" s="270"/>
      <c r="X384" s="270"/>
      <c r="Y384" s="270"/>
      <c r="Z384" s="270"/>
      <c r="AA384" s="270"/>
      <c r="AB384" s="270"/>
      <c r="AC384" s="270"/>
      <c r="AD384" s="270"/>
      <c r="AE384" s="270"/>
      <c r="AF384" s="270"/>
      <c r="AG384" s="270"/>
      <c r="AH384" s="271"/>
      <c r="AI384" s="271"/>
      <c r="AJ384" s="271"/>
      <c r="AK384" s="271"/>
      <c r="AL384" s="271"/>
      <c r="AM384" s="271"/>
      <c r="AN384" s="271"/>
      <c r="AO384" s="271"/>
      <c r="AP384" s="271"/>
      <c r="AQ384" s="271"/>
      <c r="AR384" s="271"/>
      <c r="AS384" s="271"/>
      <c r="AT384" s="271"/>
      <c r="AU384" s="271"/>
      <c r="AV384" s="271"/>
      <c r="AW384" s="271"/>
      <c r="AX384" s="272"/>
      <c r="AY384" s="272"/>
      <c r="AZ384" s="272"/>
      <c r="BA384" s="272"/>
      <c r="BB384" s="272"/>
      <c r="BC384" s="272"/>
      <c r="BD384" s="272"/>
      <c r="BE384" s="272"/>
      <c r="BF384" s="272"/>
      <c r="BG384" s="272"/>
      <c r="BH384" s="272"/>
      <c r="BI384" s="272"/>
      <c r="BJ384" s="272"/>
      <c r="BK384" s="272"/>
      <c r="BL384" s="272"/>
      <c r="BM384" s="272"/>
      <c r="BN384" s="273"/>
      <c r="BO384" s="273"/>
      <c r="BP384" s="273"/>
      <c r="BQ384" s="273"/>
      <c r="BR384" s="273"/>
      <c r="BS384" s="273"/>
      <c r="BT384" s="273"/>
      <c r="BU384" s="273"/>
      <c r="BV384" s="273"/>
      <c r="BW384" s="273"/>
      <c r="BX384" s="273"/>
      <c r="BY384" s="273"/>
      <c r="BZ384" s="273"/>
      <c r="CA384" s="273"/>
      <c r="CB384" s="273"/>
      <c r="CC384" s="273"/>
      <c r="CD384" s="274"/>
      <c r="CE384" s="274"/>
      <c r="CF384" s="274"/>
      <c r="CG384" s="274"/>
      <c r="CH384" s="274"/>
      <c r="CI384" s="274"/>
      <c r="CJ384" s="274"/>
      <c r="CK384" s="274"/>
      <c r="CL384" s="274"/>
      <c r="CM384" s="274"/>
      <c r="CN384" s="274"/>
      <c r="CO384" s="274"/>
      <c r="CP384" s="274"/>
      <c r="CQ384" s="274"/>
      <c r="CR384" s="274"/>
      <c r="CS384" s="274"/>
      <c r="CT384" s="275"/>
      <c r="CU384" s="275"/>
      <c r="CV384" s="275"/>
      <c r="CW384" s="275"/>
      <c r="CX384" s="275"/>
      <c r="CY384" s="275"/>
      <c r="CZ384" s="275"/>
      <c r="DA384" s="275"/>
      <c r="DB384" s="275"/>
      <c r="DC384" s="275"/>
      <c r="DD384" s="275"/>
      <c r="DE384" s="275"/>
      <c r="DF384" s="275"/>
      <c r="DG384" s="275"/>
      <c r="DH384" s="275"/>
      <c r="DI384" s="275"/>
      <c r="DJ384" s="276"/>
      <c r="DK384" s="276"/>
      <c r="DL384" s="276"/>
      <c r="DM384" s="276"/>
      <c r="DN384" s="276"/>
      <c r="DO384" s="276"/>
      <c r="DP384" s="276"/>
      <c r="DQ384" s="276"/>
      <c r="DR384" s="276"/>
      <c r="DS384" s="276"/>
      <c r="DT384" s="276"/>
      <c r="DU384" s="276"/>
      <c r="DV384" s="276"/>
      <c r="DW384" s="276"/>
      <c r="DX384" s="276"/>
      <c r="DY384" s="276"/>
      <c r="EA384" s="89"/>
      <c r="EB384" s="96"/>
      <c r="EC384" s="96"/>
      <c r="ED384" s="96"/>
      <c r="EE384" s="96"/>
      <c r="EF384" s="96"/>
      <c r="EG384" s="96"/>
      <c r="EH384" s="96"/>
      <c r="EI384" s="96"/>
      <c r="EJ384" s="96"/>
      <c r="EK384" s="96"/>
      <c r="EL384" s="96"/>
      <c r="EM384" s="96"/>
      <c r="EN384" s="96"/>
      <c r="EO384" s="96"/>
      <c r="EP384" s="96"/>
      <c r="EQ384" s="96"/>
      <c r="ER384" s="96"/>
      <c r="ES384" s="96"/>
      <c r="ET384" s="96"/>
      <c r="EU384" s="96"/>
      <c r="EV384" s="96"/>
      <c r="EW384" s="96"/>
      <c r="EX384" s="96"/>
      <c r="EY384" s="96"/>
      <c r="EZ384" s="96"/>
      <c r="FA384" s="96"/>
      <c r="FB384" s="96"/>
      <c r="FC384" s="96"/>
      <c r="FD384" s="96"/>
      <c r="FE384" s="96"/>
      <c r="FF384" s="96"/>
      <c r="FG384" s="96"/>
      <c r="FH384" s="96"/>
      <c r="FI384" s="96"/>
      <c r="FJ384" s="96"/>
      <c r="FK384" s="96"/>
      <c r="FL384" s="96"/>
      <c r="FM384" s="96"/>
      <c r="FN384" s="96"/>
      <c r="FO384" s="96"/>
      <c r="FP384" s="96"/>
      <c r="FQ384" s="96"/>
      <c r="FR384" s="96"/>
      <c r="FS384" s="96"/>
      <c r="FT384" s="96"/>
      <c r="FU384" s="96"/>
      <c r="FV384" s="96"/>
      <c r="FW384" s="96"/>
      <c r="FX384" s="96"/>
      <c r="FY384" s="96"/>
      <c r="FZ384" s="96"/>
      <c r="GA384" s="96"/>
      <c r="GB384" s="96"/>
      <c r="GC384" s="96"/>
      <c r="GD384" s="96"/>
      <c r="GE384" s="96"/>
      <c r="GF384" s="96"/>
      <c r="GG384" s="96"/>
      <c r="GH384" s="96"/>
      <c r="GI384" s="96"/>
      <c r="GJ384" s="96"/>
      <c r="GK384" s="96"/>
      <c r="GL384" s="96"/>
      <c r="GM384" s="13"/>
      <c r="GN384" s="96"/>
      <c r="GO384" s="96"/>
      <c r="GP384" s="96"/>
      <c r="GQ384" s="96"/>
      <c r="GR384" s="96"/>
      <c r="GS384" s="96"/>
      <c r="GT384" s="96"/>
      <c r="GU384" s="96"/>
      <c r="GV384" s="96"/>
      <c r="GW384" s="96"/>
      <c r="GX384" s="96"/>
      <c r="GY384" s="96"/>
      <c r="GZ384" s="96"/>
      <c r="HA384" s="96"/>
      <c r="HB384" s="96"/>
      <c r="HC384" s="13"/>
      <c r="HD384" s="96"/>
      <c r="HE384" s="96"/>
      <c r="HF384" s="96"/>
      <c r="HG384" s="96"/>
      <c r="HH384" s="96"/>
      <c r="HI384" s="96"/>
      <c r="HJ384" s="96"/>
      <c r="HK384" s="96"/>
      <c r="HL384" s="96"/>
      <c r="HM384" s="96"/>
      <c r="HN384" s="96"/>
      <c r="HO384" s="96"/>
      <c r="HP384" s="96"/>
      <c r="HQ384" s="96"/>
      <c r="HR384" s="96"/>
      <c r="HS384" s="13"/>
      <c r="HT384" s="96"/>
      <c r="HU384" s="96"/>
      <c r="HV384" s="96"/>
      <c r="HW384" s="96"/>
      <c r="HX384" s="96"/>
      <c r="HY384" s="96"/>
      <c r="HZ384" s="96"/>
      <c r="IA384" s="96"/>
      <c r="IB384" s="96"/>
      <c r="IC384" s="96"/>
      <c r="ID384" s="96"/>
      <c r="IE384" s="96"/>
      <c r="IF384" s="96"/>
      <c r="IG384" s="96"/>
      <c r="IH384" s="96"/>
      <c r="II384" s="13"/>
      <c r="IJ384" s="96"/>
      <c r="IK384" s="96"/>
      <c r="IL384" s="96"/>
      <c r="IM384" s="96"/>
      <c r="IN384" s="96"/>
      <c r="IO384" s="96"/>
      <c r="IP384" s="96"/>
      <c r="IQ384" s="96"/>
      <c r="IR384" s="96"/>
      <c r="IS384" s="96"/>
      <c r="IT384" s="96"/>
      <c r="IU384" s="96"/>
      <c r="IV384" s="96"/>
      <c r="IW384" s="96"/>
      <c r="IX384" s="96"/>
      <c r="IY384" s="13"/>
    </row>
    <row r="385" spans="1:259" outlineLevel="1">
      <c r="A385" s="11">
        <f>'VAC &amp; MED'!C390</f>
        <v>46356</v>
      </c>
      <c r="B385" s="261"/>
      <c r="C385" s="261"/>
      <c r="D385" s="261"/>
      <c r="E385" s="261"/>
      <c r="F385" s="261"/>
      <c r="G385" s="261"/>
      <c r="H385" s="261"/>
      <c r="I385" s="261"/>
      <c r="J385" s="261"/>
      <c r="K385" s="261"/>
      <c r="L385" s="261"/>
      <c r="M385" s="261"/>
      <c r="N385" s="261"/>
      <c r="O385" s="261"/>
      <c r="P385" s="261"/>
      <c r="Q385" s="261"/>
      <c r="R385" s="262"/>
      <c r="S385" s="262"/>
      <c r="T385" s="262"/>
      <c r="U385" s="262"/>
      <c r="V385" s="262"/>
      <c r="W385" s="262"/>
      <c r="X385" s="262"/>
      <c r="Y385" s="262"/>
      <c r="Z385" s="262"/>
      <c r="AA385" s="262"/>
      <c r="AB385" s="262"/>
      <c r="AC385" s="262"/>
      <c r="AD385" s="262"/>
      <c r="AE385" s="262"/>
      <c r="AF385" s="262"/>
      <c r="AG385" s="262"/>
      <c r="AH385" s="263"/>
      <c r="AI385" s="263"/>
      <c r="AJ385" s="263"/>
      <c r="AK385" s="263"/>
      <c r="AL385" s="263"/>
      <c r="AM385" s="263"/>
      <c r="AN385" s="263"/>
      <c r="AO385" s="263"/>
      <c r="AP385" s="263"/>
      <c r="AQ385" s="263"/>
      <c r="AR385" s="263"/>
      <c r="AS385" s="263"/>
      <c r="AT385" s="263"/>
      <c r="AU385" s="263"/>
      <c r="AV385" s="263"/>
      <c r="AW385" s="263"/>
      <c r="AX385" s="264"/>
      <c r="AY385" s="264"/>
      <c r="AZ385" s="264"/>
      <c r="BA385" s="264"/>
      <c r="BB385" s="264"/>
      <c r="BC385" s="264"/>
      <c r="BD385" s="264"/>
      <c r="BE385" s="264"/>
      <c r="BF385" s="264"/>
      <c r="BG385" s="264"/>
      <c r="BH385" s="264"/>
      <c r="BI385" s="264"/>
      <c r="BJ385" s="264"/>
      <c r="BK385" s="264"/>
      <c r="BL385" s="264"/>
      <c r="BM385" s="264"/>
      <c r="BN385" s="265"/>
      <c r="BO385" s="265"/>
      <c r="BP385" s="265"/>
      <c r="BQ385" s="265"/>
      <c r="BR385" s="265"/>
      <c r="BS385" s="265"/>
      <c r="BT385" s="265"/>
      <c r="BU385" s="265"/>
      <c r="BV385" s="265"/>
      <c r="BW385" s="265"/>
      <c r="BX385" s="265"/>
      <c r="BY385" s="265"/>
      <c r="BZ385" s="265"/>
      <c r="CA385" s="265"/>
      <c r="CB385" s="265"/>
      <c r="CC385" s="265"/>
      <c r="CD385" s="266"/>
      <c r="CE385" s="266"/>
      <c r="CF385" s="266"/>
      <c r="CG385" s="266"/>
      <c r="CH385" s="266"/>
      <c r="CI385" s="266"/>
      <c r="CJ385" s="266"/>
      <c r="CK385" s="266"/>
      <c r="CL385" s="266"/>
      <c r="CM385" s="266"/>
      <c r="CN385" s="266"/>
      <c r="CO385" s="266"/>
      <c r="CP385" s="266"/>
      <c r="CQ385" s="266"/>
      <c r="CR385" s="266"/>
      <c r="CS385" s="266"/>
      <c r="CT385" s="267"/>
      <c r="CU385" s="267"/>
      <c r="CV385" s="267"/>
      <c r="CW385" s="267"/>
      <c r="CX385" s="267"/>
      <c r="CY385" s="267"/>
      <c r="CZ385" s="267"/>
      <c r="DA385" s="267"/>
      <c r="DB385" s="267"/>
      <c r="DC385" s="267"/>
      <c r="DD385" s="267"/>
      <c r="DE385" s="267"/>
      <c r="DF385" s="267"/>
      <c r="DG385" s="267"/>
      <c r="DH385" s="267"/>
      <c r="DI385" s="267"/>
      <c r="DJ385" s="268"/>
      <c r="DK385" s="268"/>
      <c r="DL385" s="268"/>
      <c r="DM385" s="268"/>
      <c r="DN385" s="268"/>
      <c r="DO385" s="268"/>
      <c r="DP385" s="268"/>
      <c r="DQ385" s="268"/>
      <c r="DR385" s="268"/>
      <c r="DS385" s="268"/>
      <c r="DT385" s="268"/>
      <c r="DU385" s="268"/>
      <c r="DV385" s="268"/>
      <c r="DW385" s="268"/>
      <c r="DX385" s="268"/>
      <c r="DY385" s="268"/>
      <c r="EA385" s="13"/>
      <c r="EB385" s="95"/>
      <c r="EC385" s="95"/>
      <c r="ED385" s="95"/>
      <c r="EE385" s="95"/>
      <c r="EF385" s="95"/>
      <c r="EG385" s="95"/>
      <c r="EH385" s="95"/>
      <c r="EI385" s="95"/>
      <c r="EJ385" s="95"/>
      <c r="EK385" s="95"/>
      <c r="EL385" s="95"/>
      <c r="EM385" s="95"/>
      <c r="EN385" s="95"/>
      <c r="EO385" s="95"/>
      <c r="EP385" s="95"/>
      <c r="EQ385" s="95"/>
      <c r="ER385" s="13"/>
      <c r="ES385" s="13"/>
      <c r="ET385" s="13"/>
      <c r="EU385" s="13"/>
      <c r="EV385" s="13"/>
      <c r="EW385" s="13"/>
      <c r="EX385" s="13"/>
      <c r="EY385" s="13"/>
      <c r="EZ385" s="13"/>
      <c r="FA385" s="13"/>
      <c r="FB385" s="13"/>
      <c r="FC385" s="13"/>
      <c r="FD385" s="13"/>
      <c r="FE385" s="13"/>
      <c r="FF385" s="13"/>
      <c r="FG385" s="13"/>
      <c r="FH385" s="13"/>
      <c r="FI385" s="13"/>
      <c r="FJ385" s="13"/>
      <c r="FK385" s="13"/>
      <c r="FL385" s="13"/>
      <c r="FM385" s="13"/>
      <c r="FN385" s="13"/>
      <c r="FO385" s="13"/>
      <c r="FP385" s="13"/>
      <c r="FQ385" s="13"/>
      <c r="FR385" s="13"/>
      <c r="FS385" s="13"/>
      <c r="FT385" s="13"/>
      <c r="FU385" s="13"/>
      <c r="FV385" s="13"/>
      <c r="FW385" s="13"/>
      <c r="FX385" s="13"/>
      <c r="FY385" s="13"/>
      <c r="FZ385" s="13"/>
      <c r="GA385" s="13"/>
      <c r="GB385" s="13"/>
      <c r="GC385" s="13"/>
      <c r="GD385" s="13"/>
      <c r="GE385" s="13"/>
      <c r="GF385" s="13"/>
      <c r="GG385" s="13"/>
      <c r="GH385" s="13"/>
      <c r="GI385" s="13"/>
      <c r="GJ385" s="13"/>
      <c r="GK385" s="13"/>
      <c r="GL385" s="13"/>
      <c r="GM385" s="13"/>
      <c r="GN385" s="13"/>
      <c r="GO385" s="13"/>
      <c r="GP385" s="13"/>
      <c r="GQ385" s="13"/>
      <c r="GR385" s="13"/>
      <c r="GS385" s="13"/>
      <c r="GT385" s="13"/>
      <c r="GU385" s="13"/>
      <c r="GV385" s="13"/>
      <c r="GW385" s="13"/>
      <c r="GX385" s="13"/>
      <c r="GY385" s="13"/>
      <c r="GZ385" s="13"/>
      <c r="HA385" s="13"/>
      <c r="HB385" s="13"/>
      <c r="HC385" s="13"/>
      <c r="HD385" s="13"/>
      <c r="HE385" s="13"/>
      <c r="HF385" s="13"/>
      <c r="HG385" s="13"/>
      <c r="HH385" s="13"/>
      <c r="HI385" s="13"/>
      <c r="HJ385" s="13"/>
      <c r="HK385" s="13"/>
      <c r="HL385" s="13"/>
      <c r="HM385" s="13"/>
      <c r="HN385" s="13"/>
      <c r="HO385" s="13"/>
      <c r="HP385" s="13"/>
      <c r="HQ385" s="13"/>
      <c r="HR385" s="13"/>
      <c r="HS385" s="13"/>
      <c r="HT385" s="13"/>
      <c r="HU385" s="13"/>
      <c r="HV385" s="13"/>
      <c r="HW385" s="13"/>
      <c r="HX385" s="13"/>
      <c r="HY385" s="13"/>
      <c r="HZ385" s="13"/>
      <c r="IA385" s="13"/>
      <c r="IB385" s="13"/>
      <c r="IC385" s="13"/>
      <c r="ID385" s="13"/>
      <c r="IE385" s="13"/>
      <c r="IF385" s="13"/>
      <c r="IG385" s="13"/>
      <c r="IH385" s="13"/>
      <c r="II385" s="13"/>
      <c r="IJ385" s="13"/>
      <c r="IK385" s="13"/>
      <c r="IL385" s="13"/>
      <c r="IM385" s="13"/>
      <c r="IN385" s="13"/>
      <c r="IO385" s="13"/>
      <c r="IP385" s="13"/>
      <c r="IQ385" s="13"/>
      <c r="IR385" s="13"/>
      <c r="IS385" s="13"/>
      <c r="IT385" s="13"/>
      <c r="IU385" s="13"/>
      <c r="IV385" s="13"/>
      <c r="IW385" s="13"/>
      <c r="IX385" s="13"/>
      <c r="IY385" s="13"/>
    </row>
    <row r="386" spans="1:259" outlineLevel="1">
      <c r="A386" s="11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  <c r="AA386" s="106"/>
      <c r="AB386" s="106"/>
      <c r="AC386" s="106"/>
      <c r="AD386" s="106"/>
      <c r="AE386" s="106"/>
      <c r="AF386" s="106"/>
      <c r="AG386" s="106"/>
      <c r="AH386" s="106"/>
      <c r="AI386" s="106"/>
      <c r="AJ386" s="106"/>
      <c r="AK386" s="106"/>
      <c r="AL386" s="106"/>
      <c r="AM386" s="106"/>
      <c r="AN386" s="106"/>
      <c r="AO386" s="106"/>
      <c r="AP386" s="106"/>
      <c r="AQ386" s="106"/>
      <c r="AR386" s="106"/>
      <c r="AS386" s="106"/>
      <c r="AT386" s="106"/>
      <c r="AU386" s="106"/>
      <c r="AV386" s="106"/>
      <c r="AW386" s="106"/>
      <c r="AX386" s="106"/>
      <c r="AY386" s="106"/>
      <c r="AZ386" s="106"/>
      <c r="BA386" s="106"/>
      <c r="BB386" s="106"/>
      <c r="BC386" s="106"/>
      <c r="BD386" s="106"/>
      <c r="BE386" s="106"/>
      <c r="BF386" s="106"/>
      <c r="BG386" s="106"/>
      <c r="BH386" s="106"/>
      <c r="BI386" s="106"/>
      <c r="BJ386" s="106"/>
      <c r="BK386" s="106"/>
      <c r="BL386" s="106"/>
      <c r="BM386" s="106"/>
      <c r="BN386" s="106"/>
      <c r="BO386" s="106"/>
      <c r="BP386" s="106"/>
      <c r="BQ386" s="106"/>
      <c r="BR386" s="106"/>
      <c r="BS386" s="106"/>
      <c r="BT386" s="106"/>
      <c r="BU386" s="106"/>
      <c r="BV386" s="106"/>
      <c r="BW386" s="106"/>
      <c r="BX386" s="106"/>
      <c r="BY386" s="106"/>
      <c r="BZ386" s="106"/>
      <c r="CA386" s="106"/>
      <c r="CB386" s="106"/>
      <c r="CC386" s="106"/>
      <c r="CD386" s="106"/>
      <c r="CE386" s="106"/>
      <c r="CF386" s="106"/>
      <c r="CG386" s="106"/>
      <c r="CH386" s="106"/>
      <c r="CI386" s="106"/>
      <c r="CJ386" s="106"/>
      <c r="CK386" s="106"/>
      <c r="CL386" s="106"/>
      <c r="CM386" s="106"/>
      <c r="CN386" s="106"/>
      <c r="CO386" s="106"/>
      <c r="CP386" s="106"/>
      <c r="CQ386" s="106"/>
      <c r="CR386" s="106"/>
      <c r="CS386" s="106"/>
      <c r="CT386" s="106"/>
      <c r="CU386" s="106"/>
      <c r="CV386" s="106"/>
      <c r="CW386" s="106"/>
      <c r="CX386" s="106"/>
      <c r="CY386" s="106"/>
      <c r="CZ386" s="106"/>
      <c r="DA386" s="106"/>
      <c r="DB386" s="106"/>
      <c r="DC386" s="106"/>
      <c r="DD386" s="106"/>
      <c r="DE386" s="106"/>
      <c r="DF386" s="106"/>
      <c r="DG386" s="106"/>
      <c r="DH386" s="106"/>
      <c r="DI386" s="106"/>
      <c r="DJ386" s="106"/>
      <c r="DK386" s="106"/>
      <c r="DL386" s="106"/>
      <c r="DM386" s="106"/>
      <c r="DN386" s="106"/>
      <c r="DO386" s="106"/>
      <c r="DP386" s="106"/>
      <c r="DQ386" s="106"/>
      <c r="DR386" s="106"/>
      <c r="DS386" s="106"/>
      <c r="DT386" s="106"/>
      <c r="DU386" s="106"/>
      <c r="DV386" s="106"/>
      <c r="DW386" s="106"/>
      <c r="DX386" s="106"/>
      <c r="DY386" s="106"/>
      <c r="EA386" s="13"/>
      <c r="EB386" s="95"/>
      <c r="EC386" s="95"/>
      <c r="ED386" s="95"/>
      <c r="EE386" s="95"/>
      <c r="EF386" s="95"/>
      <c r="EG386" s="95"/>
      <c r="EH386" s="95"/>
      <c r="EI386" s="95"/>
      <c r="EJ386" s="95"/>
      <c r="EK386" s="95"/>
      <c r="EL386" s="95"/>
      <c r="EM386" s="95"/>
      <c r="EN386" s="95"/>
      <c r="EO386" s="95"/>
      <c r="EP386" s="95"/>
      <c r="EQ386" s="95"/>
      <c r="ER386" s="13"/>
      <c r="ES386" s="13"/>
      <c r="ET386" s="13"/>
      <c r="EU386" s="13"/>
      <c r="EV386" s="13"/>
      <c r="EW386" s="13"/>
      <c r="EX386" s="13"/>
      <c r="EY386" s="13"/>
      <c r="EZ386" s="13"/>
      <c r="FA386" s="13"/>
      <c r="FB386" s="13"/>
      <c r="FC386" s="13"/>
      <c r="FD386" s="13"/>
      <c r="FE386" s="13"/>
      <c r="FF386" s="13"/>
      <c r="FG386" s="13"/>
      <c r="FH386" s="13"/>
      <c r="FI386" s="13"/>
      <c r="FJ386" s="13"/>
      <c r="FK386" s="13"/>
      <c r="FL386" s="13"/>
      <c r="FM386" s="13"/>
      <c r="FN386" s="13"/>
      <c r="FO386" s="13"/>
      <c r="FP386" s="13"/>
      <c r="FQ386" s="13"/>
      <c r="FR386" s="13"/>
      <c r="FS386" s="13"/>
      <c r="FT386" s="13"/>
      <c r="FU386" s="13"/>
      <c r="FV386" s="13"/>
      <c r="FW386" s="13"/>
      <c r="FX386" s="13"/>
      <c r="FY386" s="13"/>
      <c r="FZ386" s="13"/>
      <c r="GA386" s="13"/>
      <c r="GB386" s="13"/>
      <c r="GC386" s="13"/>
      <c r="GD386" s="13"/>
      <c r="GE386" s="13"/>
      <c r="GF386" s="13"/>
      <c r="GG386" s="13"/>
      <c r="GH386" s="13"/>
      <c r="GI386" s="13"/>
      <c r="GJ386" s="13"/>
      <c r="GK386" s="13"/>
      <c r="GL386" s="13"/>
      <c r="GM386" s="13"/>
      <c r="GN386" s="13"/>
      <c r="GO386" s="13"/>
      <c r="GP386" s="13"/>
      <c r="GQ386" s="13"/>
      <c r="GR386" s="13"/>
      <c r="GS386" s="13"/>
      <c r="GT386" s="13"/>
      <c r="GU386" s="13"/>
      <c r="GV386" s="13"/>
      <c r="GW386" s="13"/>
      <c r="GX386" s="13"/>
      <c r="GY386" s="13"/>
      <c r="GZ386" s="13"/>
      <c r="HA386" s="13"/>
      <c r="HB386" s="13"/>
      <c r="HC386" s="13"/>
      <c r="HD386" s="13"/>
      <c r="HE386" s="13"/>
      <c r="HF386" s="13"/>
      <c r="HG386" s="13"/>
      <c r="HH386" s="13"/>
      <c r="HI386" s="13"/>
      <c r="HJ386" s="13"/>
      <c r="HK386" s="13"/>
      <c r="HL386" s="13"/>
      <c r="HM386" s="13"/>
      <c r="HN386" s="13"/>
      <c r="HO386" s="13"/>
      <c r="HP386" s="13"/>
      <c r="HQ386" s="13"/>
      <c r="HR386" s="13"/>
      <c r="HS386" s="13"/>
      <c r="HT386" s="13"/>
      <c r="HU386" s="13"/>
      <c r="HV386" s="13"/>
      <c r="HW386" s="13"/>
      <c r="HX386" s="13"/>
      <c r="HY386" s="13"/>
      <c r="HZ386" s="13"/>
      <c r="IA386" s="13"/>
      <c r="IB386" s="13"/>
      <c r="IC386" s="13"/>
      <c r="ID386" s="13"/>
      <c r="IE386" s="13"/>
      <c r="IF386" s="13"/>
      <c r="IG386" s="13"/>
      <c r="IH386" s="13"/>
      <c r="II386" s="13"/>
      <c r="IJ386" s="13"/>
      <c r="IK386" s="13"/>
      <c r="IL386" s="13"/>
      <c r="IM386" s="13"/>
      <c r="IN386" s="13"/>
      <c r="IO386" s="13"/>
      <c r="IP386" s="13"/>
      <c r="IQ386" s="13"/>
      <c r="IR386" s="13"/>
      <c r="IS386" s="13"/>
      <c r="IT386" s="13"/>
      <c r="IU386" s="13"/>
      <c r="IV386" s="13"/>
      <c r="IW386" s="13"/>
      <c r="IX386" s="13"/>
      <c r="IY386" s="13"/>
    </row>
    <row r="387" spans="1:259" s="115" customFormat="1" ht="30.75" customHeight="1" thickBot="1">
      <c r="B387" s="256" t="str">
        <f>FORMULA!$B$3</f>
        <v>WS 1101 (251124)</v>
      </c>
      <c r="C387" s="256" t="str">
        <f>FORMULA!$D$3</f>
        <v>WS 1101 (220526)</v>
      </c>
      <c r="D387" s="256">
        <f>FORMULA!$F$3</f>
        <v>0</v>
      </c>
      <c r="E387" s="256">
        <f>FORMULA!$H$3</f>
        <v>0</v>
      </c>
      <c r="F387" s="256">
        <f>FORMULA!$J$3</f>
        <v>0</v>
      </c>
      <c r="G387" s="111">
        <f>FORMULA!$L$3</f>
        <v>0</v>
      </c>
      <c r="H387" s="111">
        <f>FORMULA!$N$3</f>
        <v>0</v>
      </c>
      <c r="I387" s="111">
        <f>FORMULA!$P$3</f>
        <v>0</v>
      </c>
      <c r="J387" s="111">
        <f>FORMULA!$R$3</f>
        <v>0</v>
      </c>
      <c r="K387" s="111">
        <f>FORMULA!$T$3</f>
        <v>0</v>
      </c>
      <c r="L387" s="111">
        <f>FORMULA!$V$3</f>
        <v>0</v>
      </c>
      <c r="M387" s="111">
        <f>FORMULA!$X$3</f>
        <v>0</v>
      </c>
      <c r="N387" s="111">
        <f>FORMULA!$Z$3</f>
        <v>0</v>
      </c>
      <c r="O387" s="111">
        <f>FORMULA!$AB$3</f>
        <v>0</v>
      </c>
      <c r="P387" s="111">
        <f>FORMULA!$AD$3</f>
        <v>0</v>
      </c>
      <c r="Q387" s="111"/>
      <c r="R387" s="256" t="str">
        <f>FORMULA!$B$91</f>
        <v>WS 1102 (290825)</v>
      </c>
      <c r="S387" s="256">
        <f>FORMULA!$D$91</f>
        <v>0</v>
      </c>
      <c r="T387" s="256">
        <f>FORMULA!$F$91</f>
        <v>0</v>
      </c>
      <c r="U387" s="256">
        <f>FORMULA!$H$91</f>
        <v>0</v>
      </c>
      <c r="V387" s="256">
        <f>FORMULA!$J$91</f>
        <v>0</v>
      </c>
      <c r="W387" s="256">
        <f>FORMULA!$L$91</f>
        <v>0</v>
      </c>
      <c r="X387" s="256">
        <f>FORMULA!$N$91</f>
        <v>0</v>
      </c>
      <c r="Y387" s="256">
        <f>FORMULA!$P$91</f>
        <v>0</v>
      </c>
      <c r="Z387" s="256">
        <f>FORMULA!$R$91</f>
        <v>0</v>
      </c>
      <c r="AA387" s="256">
        <f>FORMULA!$T$91</f>
        <v>0</v>
      </c>
      <c r="AB387" s="111">
        <f>FORMULA!$V$91</f>
        <v>0</v>
      </c>
      <c r="AC387" s="111">
        <f>FORMULA!$X$91</f>
        <v>0</v>
      </c>
      <c r="AD387" s="111">
        <f>FORMULA!$Z$91</f>
        <v>0</v>
      </c>
      <c r="AE387" s="111">
        <f>FORMULA!$AB$91</f>
        <v>0</v>
      </c>
      <c r="AF387" s="111">
        <f>FORMULA!$AD$91</f>
        <v>0</v>
      </c>
      <c r="AG387" s="111"/>
      <c r="AH387" s="256" t="str">
        <f>FORMULA!$B$179</f>
        <v>WS 1103 (290825)</v>
      </c>
      <c r="AI387" s="256" t="str">
        <f>FORMULA!$D$179</f>
        <v>WS 1103 (220526)</v>
      </c>
      <c r="AJ387" s="256">
        <f>FORMULA!$F$179</f>
        <v>0</v>
      </c>
      <c r="AK387" s="256">
        <f>FORMULA!$H$179</f>
        <v>0</v>
      </c>
      <c r="AL387" s="256">
        <f>FORMULA!$J$179</f>
        <v>0</v>
      </c>
      <c r="AM387" s="256">
        <f>FORMULA!$L$179</f>
        <v>0</v>
      </c>
      <c r="AN387" s="256">
        <f>FORMULA!$N$179</f>
        <v>0</v>
      </c>
      <c r="AO387" s="256">
        <f>FORMULA!$P$179</f>
        <v>0</v>
      </c>
      <c r="AP387" s="256">
        <f>FORMULA!$R$179</f>
        <v>0</v>
      </c>
      <c r="AQ387" s="256">
        <f>FORMULA!$T$179</f>
        <v>0</v>
      </c>
      <c r="AR387" s="256">
        <f>FORMULA!$V$179</f>
        <v>0</v>
      </c>
      <c r="AS387" s="256">
        <f>FORMULA!$X$179</f>
        <v>0</v>
      </c>
      <c r="AT387" s="111">
        <f>FORMULA!$Z$179</f>
        <v>0</v>
      </c>
      <c r="AU387" s="111">
        <f>FORMULA!$AB$179</f>
        <v>0</v>
      </c>
      <c r="AV387" s="111">
        <f>FORMULA!$AD$179</f>
        <v>0</v>
      </c>
      <c r="AW387" s="111"/>
      <c r="AX387" s="111">
        <f>FORMULA!$B$267</f>
        <v>0</v>
      </c>
      <c r="AY387" s="111">
        <f>FORMULA!$D$267</f>
        <v>0</v>
      </c>
      <c r="AZ387" s="111">
        <f>FORMULA!$F$267</f>
        <v>0</v>
      </c>
      <c r="BA387" s="111">
        <f>FORMULA!$H$267</f>
        <v>0</v>
      </c>
      <c r="BB387" s="111">
        <f>FORMULA!$J$267</f>
        <v>0</v>
      </c>
      <c r="BC387" s="111">
        <f>FORMULA!$L$267</f>
        <v>0</v>
      </c>
      <c r="BD387" s="111">
        <f>FORMULA!$N$267</f>
        <v>0</v>
      </c>
      <c r="BE387" s="111">
        <f>FORMULA!$P$267</f>
        <v>0</v>
      </c>
      <c r="BF387" s="111">
        <f>FORMULA!$R$267</f>
        <v>0</v>
      </c>
      <c r="BG387" s="111">
        <f>FORMULA!$T$267</f>
        <v>0</v>
      </c>
      <c r="BH387" s="111">
        <f>FORMULA!$V$267</f>
        <v>0</v>
      </c>
      <c r="BI387" s="111">
        <f>FORMULA!$X$267</f>
        <v>0</v>
      </c>
      <c r="BJ387" s="111">
        <f>FORMULA!$Z$267</f>
        <v>0</v>
      </c>
      <c r="BK387" s="111">
        <f>FORMULA!$AB$267</f>
        <v>0</v>
      </c>
      <c r="BL387" s="111">
        <f>FORMULA!$AD$267</f>
        <v>0</v>
      </c>
      <c r="BM387" s="111"/>
      <c r="BN387" s="111" t="str">
        <f>FORMULA!$B$355</f>
        <v>WS 8100 (290825)</v>
      </c>
      <c r="BO387" s="111" t="str">
        <f>FORMULA!$D$355</f>
        <v>WS 8100 (280426)</v>
      </c>
      <c r="BP387" s="111">
        <f>FORMULA!$F$355</f>
        <v>0</v>
      </c>
      <c r="BQ387" s="111" t="str">
        <f>FORMULA!$H$355</f>
        <v>WS 8102 (290825)</v>
      </c>
      <c r="BR387" s="111" t="str">
        <f>FORMULA!$J$355</f>
        <v>WS 8102 (121225)</v>
      </c>
      <c r="BS387" s="111" t="str">
        <f>FORMULA!$L$355</f>
        <v>WS 8102 (020326)</v>
      </c>
      <c r="BT387" s="111" t="str">
        <f>FORMULA!$N$355</f>
        <v>WS 8102 (020326)</v>
      </c>
      <c r="BU387" s="111" t="str">
        <f>FORMULA!$P$355</f>
        <v>WS 8102 (060526)</v>
      </c>
      <c r="BV387" s="111" t="str">
        <f>FORMULA!$R$355</f>
        <v>WS 8102 (060526)</v>
      </c>
      <c r="BW387" s="111" t="str">
        <f>FORMULA!$T$355</f>
        <v>WS 8103 (070526)</v>
      </c>
      <c r="BX387" s="111" t="str">
        <f>FORMULA!$V$355</f>
        <v>WS 8102 (070526)</v>
      </c>
      <c r="BY387" s="111" t="str">
        <f>FORMULA!$X$355</f>
        <v>WS 8103 (061125)</v>
      </c>
      <c r="BZ387" s="111" t="str">
        <f>FORMULA!$Z$355</f>
        <v>WS 8103 (250226)</v>
      </c>
      <c r="CA387" s="111" t="str">
        <f>FORMULA!$AB$355</f>
        <v>WS 8102 (080526)</v>
      </c>
      <c r="CB387" s="111" t="str">
        <f>FORMULA!$AD$355</f>
        <v>WS 8109 (080526)</v>
      </c>
      <c r="CC387" s="111"/>
      <c r="CD387" s="256" t="str">
        <f>FORMULA!$B$443</f>
        <v>YH 121 (050226)</v>
      </c>
      <c r="CE387" s="111" t="str">
        <f>FORMULA!$D$443</f>
        <v>YH 121 (190326)</v>
      </c>
      <c r="CF387" s="111" t="str">
        <f>FORMULA!$F$443</f>
        <v>YH 121 (020426)</v>
      </c>
      <c r="CG387" s="111">
        <f>FORMULA!$H$443</f>
        <v>0</v>
      </c>
      <c r="CH387" s="111">
        <f>FORMULA!$J$443</f>
        <v>0</v>
      </c>
      <c r="CI387" s="111">
        <f>FORMULA!$L$443</f>
        <v>0</v>
      </c>
      <c r="CJ387" s="111">
        <f>FORMULA!$N$443</f>
        <v>0</v>
      </c>
      <c r="CK387" s="111">
        <f>FORMULA!$P$443</f>
        <v>0</v>
      </c>
      <c r="CL387" s="111">
        <f>FORMULA!$R$443</f>
        <v>0</v>
      </c>
      <c r="CM387" s="111" t="str">
        <f>FORMULA!$T$443</f>
        <v>311 (130526)</v>
      </c>
      <c r="CN387" s="111" t="str">
        <f>FORMULA!$V$443</f>
        <v>312 (130526)</v>
      </c>
      <c r="CO387" s="111">
        <f>FORMULA!$X$443</f>
        <v>0</v>
      </c>
      <c r="CP387" s="111">
        <f>FORMULA!$Z$443</f>
        <v>0</v>
      </c>
      <c r="CQ387" s="111">
        <f>FORMULA!$AB$443</f>
        <v>0</v>
      </c>
      <c r="CR387" s="111">
        <f>FORMULA!$AD$443</f>
        <v>0</v>
      </c>
      <c r="CS387" s="111"/>
      <c r="CT387" s="111" t="str">
        <f>FORMULA!$B$531</f>
        <v>YH 122 (050226)</v>
      </c>
      <c r="CU387" s="111" t="str">
        <f>FORMULA!$D$531</f>
        <v>YH 122 (190326)</v>
      </c>
      <c r="CV387" s="111" t="str">
        <f>FORMULA!$F$531</f>
        <v>YH 122 (200426)</v>
      </c>
      <c r="CW387" s="111">
        <f>FORMULA!$H$531</f>
        <v>0</v>
      </c>
      <c r="CX387" s="111">
        <f>FORMULA!$J$531</f>
        <v>0</v>
      </c>
      <c r="CY387" s="111">
        <f>FORMULA!$L$531</f>
        <v>0</v>
      </c>
      <c r="CZ387" s="111" t="str">
        <f>FORMULA!$N$531</f>
        <v>5201 (090426)</v>
      </c>
      <c r="DA387" s="111" t="str">
        <f>FORMULA!$P$531</f>
        <v>5201 (090426)</v>
      </c>
      <c r="DB387" s="111">
        <f>FORMULA!$R$531</f>
        <v>0</v>
      </c>
      <c r="DC387" s="111" t="str">
        <f>FORMULA!$T$531</f>
        <v>5202 (090426)</v>
      </c>
      <c r="DD387" s="111" t="str">
        <f>FORMULA!$V$531</f>
        <v>5202 (090426)</v>
      </c>
      <c r="DE387" s="111">
        <f>FORMULA!$X$531</f>
        <v>0</v>
      </c>
      <c r="DF387" s="111" t="str">
        <f>FORMULA!$Z$531</f>
        <v>5203 (090426)</v>
      </c>
      <c r="DG387" s="111" t="str">
        <f>FORMULA!$AB$531</f>
        <v>5203 (090426)</v>
      </c>
      <c r="DH387" s="111">
        <f>FORMULA!$AD$531</f>
        <v>0</v>
      </c>
      <c r="DI387" s="111"/>
      <c r="DJ387" s="111" t="str">
        <f>FORMULA!$B$619</f>
        <v>YH 123 (050226)</v>
      </c>
      <c r="DK387" s="111" t="str">
        <f>FORMULA!$D$619</f>
        <v>YH 123 (130326)</v>
      </c>
      <c r="DL387" s="111" t="str">
        <f>FORMULA!$F$619</f>
        <v>YH 123 (190326)</v>
      </c>
      <c r="DM387" s="111" t="str">
        <f>FORMULA!$H$619</f>
        <v>YH 123 (200426)</v>
      </c>
      <c r="DN387" s="111">
        <f>FORMULA!$J$619</f>
        <v>0</v>
      </c>
      <c r="DO387" s="111">
        <f>FORMULA!$L$619</f>
        <v>0</v>
      </c>
      <c r="DP387" s="111">
        <f>FORMULA!$N$619</f>
        <v>0</v>
      </c>
      <c r="DQ387" s="111">
        <f>FORMULA!$P$619</f>
        <v>0</v>
      </c>
      <c r="DR387" s="111">
        <f>FORMULA!$R$619</f>
        <v>0</v>
      </c>
      <c r="DS387" s="111">
        <f>FORMULA!$T$619</f>
        <v>0</v>
      </c>
      <c r="DT387" s="111">
        <f>FORMULA!$V$619</f>
        <v>0</v>
      </c>
      <c r="DU387" s="111">
        <f>FORMULA!$X$619</f>
        <v>0</v>
      </c>
      <c r="DV387" s="111">
        <f>FORMULA!$Z$619</f>
        <v>0</v>
      </c>
      <c r="DW387" s="111">
        <f>FORMULA!$AB$619</f>
        <v>0</v>
      </c>
      <c r="DX387" s="111">
        <f>FORMULA!$AD$619</f>
        <v>0</v>
      </c>
      <c r="DY387" s="111"/>
      <c r="EA387" s="118"/>
      <c r="EB387" s="119"/>
      <c r="EC387" s="119"/>
      <c r="ED387" s="119"/>
      <c r="EE387" s="119"/>
      <c r="EF387" s="119"/>
      <c r="EG387" s="119"/>
      <c r="EH387" s="119"/>
      <c r="EI387" s="119"/>
      <c r="EJ387" s="119"/>
      <c r="EK387" s="119"/>
      <c r="EL387" s="119"/>
      <c r="EM387" s="119"/>
      <c r="EN387" s="119"/>
      <c r="EO387" s="119"/>
      <c r="EP387" s="119"/>
      <c r="EQ387" s="119"/>
      <c r="ER387" s="118"/>
      <c r="ES387" s="118"/>
      <c r="ET387" s="118"/>
      <c r="EU387" s="118"/>
      <c r="EV387" s="118"/>
      <c r="EW387" s="118"/>
      <c r="EX387" s="118"/>
      <c r="EY387" s="118"/>
      <c r="EZ387" s="118"/>
      <c r="FA387" s="118"/>
      <c r="FB387" s="118"/>
      <c r="FC387" s="118"/>
      <c r="FD387" s="118"/>
      <c r="FE387" s="118"/>
      <c r="FF387" s="118"/>
      <c r="FG387" s="118"/>
      <c r="FH387" s="118"/>
      <c r="FI387" s="118"/>
      <c r="FJ387" s="118"/>
      <c r="FK387" s="118"/>
      <c r="FL387" s="118"/>
      <c r="FM387" s="118"/>
      <c r="FN387" s="118"/>
      <c r="FO387" s="118"/>
      <c r="FP387" s="118"/>
      <c r="FQ387" s="118"/>
      <c r="FR387" s="118"/>
      <c r="FS387" s="118"/>
      <c r="FT387" s="118"/>
      <c r="FU387" s="118"/>
      <c r="FV387" s="118"/>
      <c r="FW387" s="118"/>
      <c r="FX387" s="118"/>
      <c r="FY387" s="118"/>
      <c r="FZ387" s="118"/>
      <c r="GA387" s="118"/>
      <c r="GB387" s="118"/>
      <c r="GC387" s="118"/>
      <c r="GD387" s="118"/>
      <c r="GE387" s="118"/>
      <c r="GF387" s="118"/>
      <c r="GG387" s="118"/>
      <c r="GH387" s="118"/>
      <c r="GI387" s="118"/>
      <c r="GJ387" s="118"/>
      <c r="GK387" s="118"/>
      <c r="GL387" s="118"/>
      <c r="GM387" s="118"/>
      <c r="GN387" s="118"/>
      <c r="GO387" s="118"/>
      <c r="GP387" s="118"/>
      <c r="GQ387" s="118"/>
      <c r="GR387" s="118"/>
      <c r="GS387" s="118"/>
      <c r="GT387" s="118"/>
      <c r="GU387" s="118"/>
      <c r="GV387" s="118"/>
      <c r="GW387" s="118"/>
      <c r="GX387" s="118"/>
      <c r="GY387" s="118"/>
      <c r="GZ387" s="118"/>
      <c r="HA387" s="118"/>
      <c r="HB387" s="118"/>
      <c r="HC387" s="118"/>
      <c r="HD387" s="118"/>
      <c r="HE387" s="118"/>
      <c r="HF387" s="118"/>
      <c r="HG387" s="118"/>
      <c r="HH387" s="118"/>
      <c r="HI387" s="118"/>
      <c r="HJ387" s="118"/>
      <c r="HK387" s="118"/>
      <c r="HL387" s="118"/>
      <c r="HM387" s="118"/>
      <c r="HN387" s="118"/>
      <c r="HO387" s="118"/>
      <c r="HP387" s="118"/>
      <c r="HQ387" s="118"/>
      <c r="HR387" s="118"/>
      <c r="HS387" s="118"/>
      <c r="HT387" s="118"/>
      <c r="HU387" s="118"/>
      <c r="HV387" s="118"/>
      <c r="HW387" s="118"/>
      <c r="HX387" s="118"/>
      <c r="HY387" s="118"/>
      <c r="HZ387" s="118"/>
      <c r="IA387" s="118"/>
      <c r="IB387" s="118"/>
      <c r="IC387" s="118"/>
      <c r="ID387" s="118"/>
      <c r="IE387" s="118"/>
      <c r="IF387" s="118"/>
      <c r="IG387" s="118"/>
      <c r="IH387" s="118"/>
      <c r="II387" s="118"/>
      <c r="IJ387" s="118"/>
      <c r="IK387" s="118"/>
      <c r="IL387" s="118"/>
      <c r="IM387" s="118"/>
      <c r="IN387" s="118"/>
      <c r="IO387" s="118"/>
      <c r="IP387" s="118"/>
      <c r="IQ387" s="118"/>
      <c r="IR387" s="118"/>
      <c r="IS387" s="118"/>
      <c r="IT387" s="118"/>
      <c r="IU387" s="118"/>
      <c r="IV387" s="118"/>
      <c r="IW387" s="118"/>
      <c r="IX387" s="118"/>
      <c r="IY387" s="118"/>
    </row>
    <row r="388" spans="1:259" s="117" customFormat="1" ht="30.4" customHeight="1" thickBot="1">
      <c r="A388" s="116" t="s">
        <v>160</v>
      </c>
      <c r="B388" s="257" t="str">
        <f>FORMULA!$B$4</f>
        <v>N01309AY</v>
      </c>
      <c r="C388" s="258">
        <f>FORMULA!$D$4</f>
        <v>0</v>
      </c>
      <c r="D388" s="258">
        <f>FORMULA!$F$4</f>
        <v>0</v>
      </c>
      <c r="E388" s="258">
        <f>FORMULA!$H$4</f>
        <v>0</v>
      </c>
      <c r="F388" s="258">
        <f>FORMULA!$J$4</f>
        <v>0</v>
      </c>
      <c r="G388" s="113">
        <f>FORMULA!$L$4</f>
        <v>0</v>
      </c>
      <c r="H388" s="113">
        <f>FORMULA!$N$4</f>
        <v>0</v>
      </c>
      <c r="I388" s="113">
        <f>FORMULA!$P$4</f>
        <v>0</v>
      </c>
      <c r="J388" s="113">
        <f>FORMULA!$R$4</f>
        <v>0</v>
      </c>
      <c r="K388" s="113">
        <f>FORMULA!$T$4</f>
        <v>0</v>
      </c>
      <c r="L388" s="113">
        <f>FORMULA!$V$4</f>
        <v>0</v>
      </c>
      <c r="M388" s="113">
        <f>FORMULA!$X$4</f>
        <v>0</v>
      </c>
      <c r="N388" s="113">
        <f>FORMULA!$Z$4</f>
        <v>0</v>
      </c>
      <c r="O388" s="113">
        <f>FORMULA!$AB$4</f>
        <v>0</v>
      </c>
      <c r="P388" s="113">
        <f>FORMULA!$AD$4</f>
        <v>0</v>
      </c>
      <c r="Q388" s="114"/>
      <c r="R388" s="257" t="str">
        <f>FORMULA!$B$92</f>
        <v>N025-06</v>
      </c>
      <c r="S388" s="258">
        <f>FORMULA!$D$92</f>
        <v>0</v>
      </c>
      <c r="T388" s="258">
        <f>FORMULA!$F$92</f>
        <v>0</v>
      </c>
      <c r="U388" s="258">
        <f>FORMULA!$H$92</f>
        <v>0</v>
      </c>
      <c r="V388" s="258">
        <f>FORMULA!$J$92</f>
        <v>0</v>
      </c>
      <c r="W388" s="258">
        <f>FORMULA!$L$92</f>
        <v>0</v>
      </c>
      <c r="X388" s="258">
        <f>FORMULA!$N$92</f>
        <v>0</v>
      </c>
      <c r="Y388" s="258">
        <f>FORMULA!$P$92</f>
        <v>0</v>
      </c>
      <c r="Z388" s="258">
        <f>FORMULA!$R$92</f>
        <v>0</v>
      </c>
      <c r="AA388" s="258">
        <f>FORMULA!$T$92</f>
        <v>0</v>
      </c>
      <c r="AB388" s="113">
        <f>FORMULA!$V$92</f>
        <v>0</v>
      </c>
      <c r="AC388" s="113">
        <f>FORMULA!$X$92</f>
        <v>0</v>
      </c>
      <c r="AD388" s="113">
        <f>FORMULA!$Z$92</f>
        <v>0</v>
      </c>
      <c r="AE388" s="113">
        <f>FORMULA!$AB$92</f>
        <v>0</v>
      </c>
      <c r="AF388" s="113">
        <f>FORMULA!$AD$92</f>
        <v>0</v>
      </c>
      <c r="AG388" s="114"/>
      <c r="AH388" s="257" t="str">
        <f>FORMULA!$B$180</f>
        <v>N035-06</v>
      </c>
      <c r="AI388" s="258" t="str">
        <f>FORMULA!$D$180</f>
        <v>WITH 1103 TOP UP</v>
      </c>
      <c r="AJ388" s="258">
        <f>FORMULA!$F$180</f>
        <v>0</v>
      </c>
      <c r="AK388" s="258">
        <f>FORMULA!$H$180</f>
        <v>0</v>
      </c>
      <c r="AL388" s="258">
        <f>FORMULA!$J$180</f>
        <v>0</v>
      </c>
      <c r="AM388" s="258">
        <f>FORMULA!$L$180</f>
        <v>0</v>
      </c>
      <c r="AN388" s="258">
        <f>FORMULA!$N$180</f>
        <v>0</v>
      </c>
      <c r="AO388" s="258">
        <f>FORMULA!$P$180</f>
        <v>0</v>
      </c>
      <c r="AP388" s="258">
        <f>FORMULA!$R$180</f>
        <v>0</v>
      </c>
      <c r="AQ388" s="258">
        <f>FORMULA!$T$180</f>
        <v>0</v>
      </c>
      <c r="AR388" s="258">
        <f>FORMULA!$V$180</f>
        <v>0</v>
      </c>
      <c r="AS388" s="258">
        <f>FORMULA!$X$180</f>
        <v>0</v>
      </c>
      <c r="AT388" s="113">
        <f>FORMULA!$Z$180</f>
        <v>0</v>
      </c>
      <c r="AU388" s="113">
        <f>FORMULA!$AB$180</f>
        <v>0</v>
      </c>
      <c r="AV388" s="113">
        <f>FORMULA!$AD$180</f>
        <v>0</v>
      </c>
      <c r="AW388" s="114"/>
      <c r="AX388" s="112">
        <f>FORMULA!$B$268</f>
        <v>0</v>
      </c>
      <c r="AY388" s="113">
        <f>FORMULA!$D$268</f>
        <v>0</v>
      </c>
      <c r="AZ388" s="113">
        <f>FORMULA!$F$268</f>
        <v>0</v>
      </c>
      <c r="BA388" s="113">
        <f>FORMULA!$H$268</f>
        <v>0</v>
      </c>
      <c r="BB388" s="113">
        <f>FORMULA!$J$268</f>
        <v>0</v>
      </c>
      <c r="BC388" s="113">
        <f>FORMULA!$L$268</f>
        <v>0</v>
      </c>
      <c r="BD388" s="113">
        <f>FORMULA!$N$268</f>
        <v>0</v>
      </c>
      <c r="BE388" s="113">
        <f>FORMULA!$P$268</f>
        <v>0</v>
      </c>
      <c r="BF388" s="113">
        <f>FORMULA!$R$268</f>
        <v>0</v>
      </c>
      <c r="BG388" s="113">
        <f>FORMULA!$T$268</f>
        <v>0</v>
      </c>
      <c r="BH388" s="113">
        <f>FORMULA!$V$268</f>
        <v>0</v>
      </c>
      <c r="BI388" s="113">
        <f>FORMULA!$X$268</f>
        <v>0</v>
      </c>
      <c r="BJ388" s="113">
        <f>FORMULA!$Z$268</f>
        <v>0</v>
      </c>
      <c r="BK388" s="113">
        <f>FORMULA!$AB$268</f>
        <v>0</v>
      </c>
      <c r="BL388" s="113">
        <f>FORMULA!$AD$268</f>
        <v>0</v>
      </c>
      <c r="BM388" s="114"/>
      <c r="BN388" s="111" t="str">
        <f>FORMULA!$B$356</f>
        <v>NR 14-04</v>
      </c>
      <c r="BO388" s="111">
        <f>FORMULA!$D$356</f>
        <v>0</v>
      </c>
      <c r="BP388" s="111">
        <f>FORMULA!$F$356</f>
        <v>0</v>
      </c>
      <c r="BQ388" s="111" t="str">
        <f>FORMULA!$H$356</f>
        <v>NR 24-04Z</v>
      </c>
      <c r="BR388" s="111" t="str">
        <f>FORMULA!$J$356</f>
        <v>WITH BMD</v>
      </c>
      <c r="BS388" s="111" t="str">
        <f>FORMULA!$L$356</f>
        <v>8102 Top Up&amp;PM 8108</v>
      </c>
      <c r="BT388" s="111" t="str">
        <f>FORMULA!$N$356</f>
        <v>8102 Top Up&amp;PM 8102</v>
      </c>
      <c r="BU388" s="111" t="str">
        <f>FORMULA!$P$356</f>
        <v>8102 Top Up&amp;PM 8102</v>
      </c>
      <c r="BV388" s="111" t="str">
        <f>FORMULA!$R$356</f>
        <v>8102 Top Up&amp;PM 8108</v>
      </c>
      <c r="BW388" s="111" t="str">
        <f>FORMULA!$T$356</f>
        <v>8103 Top Up&amp;PM 8103</v>
      </c>
      <c r="BX388" s="111" t="str">
        <f>FORMULA!$V$356</f>
        <v>8103 Top Up&amp;PM 8109</v>
      </c>
      <c r="BY388" s="111" t="str">
        <f>FORMULA!$X$356</f>
        <v xml:space="preserve">NR 34-04 </v>
      </c>
      <c r="BZ388" s="111" t="str">
        <f>FORMULA!$Z$356</f>
        <v xml:space="preserve">NR 34-04 </v>
      </c>
      <c r="CA388" s="111" t="str">
        <f>FORMULA!$AB$356</f>
        <v>8102 TOP UP</v>
      </c>
      <c r="CB388" s="111" t="str">
        <f>FORMULA!$AD$356</f>
        <v>8103 TOP UP</v>
      </c>
      <c r="CC388" s="114"/>
      <c r="CD388" s="111" t="str">
        <f>FORMULA!$B$444</f>
        <v>SOYTIDE&amp;TOXISORB</v>
      </c>
      <c r="CE388" s="111" t="str">
        <f>FORMULA!$D$444</f>
        <v>SOYTIDE&amp;TOXIWALL</v>
      </c>
      <c r="CF388" s="111" t="str">
        <f>FORMULA!$F$444</f>
        <v>EP 200&amp;TOXIWALL</v>
      </c>
      <c r="CG388" s="111">
        <f>FORMULA!$H$444</f>
        <v>0</v>
      </c>
      <c r="CH388" s="111">
        <f>FORMULA!$J$444</f>
        <v>0</v>
      </c>
      <c r="CI388" s="111">
        <f>FORMULA!$L$444</f>
        <v>0</v>
      </c>
      <c r="CJ388" s="111">
        <f>FORMULA!$N$444</f>
        <v>0</v>
      </c>
      <c r="CK388" s="111">
        <f>FORMULA!$P$444</f>
        <v>0</v>
      </c>
      <c r="CL388" s="111">
        <f>FORMULA!$R$444</f>
        <v>0</v>
      </c>
      <c r="CM388" s="111">
        <f>FORMULA!$T$444</f>
        <v>0</v>
      </c>
      <c r="CN388" s="111">
        <f>FORMULA!$V$444</f>
        <v>0</v>
      </c>
      <c r="CO388" s="111">
        <f>FORMULA!$X$444</f>
        <v>0</v>
      </c>
      <c r="CP388" s="111">
        <f>FORMULA!$Z$444</f>
        <v>0</v>
      </c>
      <c r="CQ388" s="111">
        <f>FORMULA!$AB$444</f>
        <v>0</v>
      </c>
      <c r="CR388" s="111">
        <f>FORMULA!$AD$444</f>
        <v>0</v>
      </c>
      <c r="CS388" s="114"/>
      <c r="CT388" s="111" t="str">
        <f>FORMULA!$B$532</f>
        <v>WITH TOXISORB</v>
      </c>
      <c r="CU388" s="111" t="str">
        <f>FORMULA!$D$532</f>
        <v>WITH TOXIWALL</v>
      </c>
      <c r="CV388" s="111" t="str">
        <f>FORMULA!$F$532</f>
        <v>WITH TOXIWALL, YM 20.50kg</v>
      </c>
      <c r="CW388" s="111">
        <f>FORMULA!$H$532</f>
        <v>0</v>
      </c>
      <c r="CX388" s="111">
        <f>FORMULA!$J$532</f>
        <v>0</v>
      </c>
      <c r="CY388" s="111">
        <f>FORMULA!$L$532</f>
        <v>0</v>
      </c>
      <c r="CZ388" s="111">
        <f>FORMULA!$N$532</f>
        <v>0</v>
      </c>
      <c r="DA388" s="111" t="str">
        <f>FORMULA!$P$532</f>
        <v>REDUCE CORN FOR 2MT</v>
      </c>
      <c r="DB388" s="111">
        <f>FORMULA!$R$532</f>
        <v>0</v>
      </c>
      <c r="DC388" s="111">
        <f>FORMULA!$T$532</f>
        <v>0</v>
      </c>
      <c r="DD388" s="111" t="str">
        <f>FORMULA!$V$532</f>
        <v>K20</v>
      </c>
      <c r="DE388" s="111">
        <f>FORMULA!$X$532</f>
        <v>0</v>
      </c>
      <c r="DF388" s="111" t="str">
        <f>FORMULA!$Z$532</f>
        <v>ALREADY 2MT</v>
      </c>
      <c r="DG388" s="111" t="str">
        <f>FORMULA!$AB$532</f>
        <v>K21</v>
      </c>
      <c r="DH388" s="111">
        <f>FORMULA!$AD$532</f>
        <v>0</v>
      </c>
      <c r="DI388" s="114"/>
      <c r="DJ388" s="111" t="str">
        <f>FORMULA!$B$620</f>
        <v>WITH TOXISORB</v>
      </c>
      <c r="DK388" s="111" t="str">
        <f>FORMULA!$D$620</f>
        <v>WITHOUT WHEAT POLLARD</v>
      </c>
      <c r="DL388" s="111" t="str">
        <f>FORMULA!$F$620</f>
        <v>WITH TOXIWALL</v>
      </c>
      <c r="DM388" s="111" t="str">
        <f>FORMULA!$H$620</f>
        <v>WITH TOXIWALL, YM 20.00kg</v>
      </c>
      <c r="DN388" s="111">
        <f>FORMULA!$J$620</f>
        <v>0</v>
      </c>
      <c r="DO388" s="111">
        <f>FORMULA!$L$620</f>
        <v>0</v>
      </c>
      <c r="DP388" s="111">
        <f>FORMULA!$N$620</f>
        <v>0</v>
      </c>
      <c r="DQ388" s="111">
        <f>FORMULA!$P$620</f>
        <v>0</v>
      </c>
      <c r="DR388" s="111">
        <f>FORMULA!$R$620</f>
        <v>0</v>
      </c>
      <c r="DS388" s="111">
        <f>FORMULA!$T$620</f>
        <v>0</v>
      </c>
      <c r="DT388" s="111">
        <f>FORMULA!$V$620</f>
        <v>0</v>
      </c>
      <c r="DU388" s="111">
        <f>FORMULA!$X$620</f>
        <v>0</v>
      </c>
      <c r="DV388" s="111">
        <f>FORMULA!$Z$620</f>
        <v>0</v>
      </c>
      <c r="DW388" s="111">
        <f>FORMULA!$AB$620</f>
        <v>0</v>
      </c>
      <c r="DX388" s="111">
        <f>FORMULA!$AD$620</f>
        <v>0</v>
      </c>
      <c r="DY388" s="114"/>
      <c r="EA388" s="721"/>
      <c r="EB388" s="721"/>
      <c r="EC388" s="721"/>
      <c r="ED388" s="721"/>
      <c r="EE388" s="721"/>
      <c r="EF388" s="721"/>
      <c r="EG388" s="721"/>
      <c r="EH388" s="721"/>
      <c r="EI388" s="721"/>
      <c r="EJ388" s="721"/>
      <c r="EK388" s="721"/>
      <c r="EL388" s="120"/>
      <c r="EM388" s="120"/>
      <c r="EN388" s="120"/>
      <c r="EO388" s="120"/>
      <c r="EP388" s="120"/>
      <c r="EQ388" s="120"/>
      <c r="ER388" s="721"/>
      <c r="ES388" s="721"/>
      <c r="ET388" s="721"/>
      <c r="EU388" s="721"/>
      <c r="EV388" s="721"/>
      <c r="EW388" s="721"/>
      <c r="EX388" s="721"/>
      <c r="EY388" s="721"/>
      <c r="EZ388" s="721"/>
      <c r="FA388" s="721"/>
      <c r="FB388" s="721"/>
      <c r="FC388" s="721"/>
      <c r="FD388" s="721"/>
      <c r="FE388" s="721"/>
      <c r="FF388" s="721"/>
      <c r="FG388" s="120"/>
      <c r="FH388" s="721"/>
      <c r="FI388" s="721"/>
      <c r="FJ388" s="721"/>
      <c r="FK388" s="721"/>
      <c r="FL388" s="721"/>
      <c r="FM388" s="721"/>
      <c r="FN388" s="721"/>
      <c r="FO388" s="721"/>
      <c r="FP388" s="721"/>
      <c r="FQ388" s="721"/>
      <c r="FR388" s="721"/>
      <c r="FS388" s="721"/>
      <c r="FT388" s="721"/>
      <c r="FU388" s="721"/>
      <c r="FV388" s="721"/>
      <c r="FW388" s="120"/>
      <c r="FX388" s="721"/>
      <c r="FY388" s="721"/>
      <c r="FZ388" s="721"/>
      <c r="GA388" s="721"/>
      <c r="GB388" s="721"/>
      <c r="GC388" s="721"/>
      <c r="GD388" s="721"/>
      <c r="GE388" s="721"/>
      <c r="GF388" s="721"/>
      <c r="GG388" s="721"/>
      <c r="GH388" s="721"/>
      <c r="GI388" s="721"/>
      <c r="GJ388" s="721"/>
      <c r="GK388" s="721"/>
      <c r="GL388" s="721"/>
      <c r="GM388" s="121"/>
      <c r="GN388" s="721"/>
      <c r="GO388" s="721"/>
      <c r="GP388" s="721"/>
      <c r="GQ388" s="721"/>
      <c r="GR388" s="721"/>
      <c r="GS388" s="721"/>
      <c r="GT388" s="721"/>
      <c r="GU388" s="721"/>
      <c r="GV388" s="721"/>
      <c r="GW388" s="721"/>
      <c r="GX388" s="721"/>
      <c r="GY388" s="721"/>
      <c r="GZ388" s="721"/>
      <c r="HA388" s="721"/>
      <c r="HB388" s="721"/>
      <c r="HC388" s="121"/>
      <c r="HD388" s="721"/>
      <c r="HE388" s="721"/>
      <c r="HF388" s="721"/>
      <c r="HG388" s="721"/>
      <c r="HH388" s="721"/>
      <c r="HI388" s="721"/>
      <c r="HJ388" s="721"/>
      <c r="HK388" s="721"/>
      <c r="HL388" s="721"/>
      <c r="HM388" s="721"/>
      <c r="HN388" s="721"/>
      <c r="HO388" s="721"/>
      <c r="HP388" s="721"/>
      <c r="HQ388" s="721"/>
      <c r="HR388" s="721"/>
      <c r="HS388" s="121"/>
      <c r="HT388" s="721"/>
      <c r="HU388" s="721"/>
      <c r="HV388" s="721"/>
      <c r="HW388" s="721"/>
      <c r="HX388" s="721"/>
      <c r="HY388" s="721"/>
      <c r="HZ388" s="721"/>
      <c r="IA388" s="721"/>
      <c r="IB388" s="721"/>
      <c r="IC388" s="721"/>
      <c r="ID388" s="721"/>
      <c r="IE388" s="721"/>
      <c r="IF388" s="721"/>
      <c r="IG388" s="721"/>
      <c r="IH388" s="721"/>
      <c r="II388" s="121"/>
      <c r="IJ388" s="721"/>
      <c r="IK388" s="721"/>
      <c r="IL388" s="721"/>
      <c r="IM388" s="721"/>
      <c r="IN388" s="721"/>
      <c r="IO388" s="721"/>
      <c r="IP388" s="721"/>
      <c r="IQ388" s="721"/>
      <c r="IR388" s="721"/>
      <c r="IS388" s="721"/>
      <c r="IT388" s="721"/>
      <c r="IU388" s="721"/>
      <c r="IV388" s="721"/>
      <c r="IW388" s="721"/>
      <c r="IX388" s="721"/>
      <c r="IY388" s="121"/>
    </row>
    <row r="389" spans="1:259" ht="15.75" customHeight="1" outlineLevel="1">
      <c r="A389" s="11">
        <f>'VAC &amp; MED'!C396</f>
        <v>46357</v>
      </c>
      <c r="B389" s="261"/>
      <c r="C389" s="261"/>
      <c r="D389" s="261"/>
      <c r="E389" s="261"/>
      <c r="F389" s="261"/>
      <c r="G389" s="261"/>
      <c r="H389" s="261"/>
      <c r="I389" s="261"/>
      <c r="J389" s="261"/>
      <c r="K389" s="261"/>
      <c r="L389" s="261"/>
      <c r="M389" s="261"/>
      <c r="N389" s="261"/>
      <c r="O389" s="261"/>
      <c r="P389" s="261"/>
      <c r="Q389" s="261"/>
      <c r="R389" s="262"/>
      <c r="S389" s="262"/>
      <c r="T389" s="262"/>
      <c r="U389" s="262"/>
      <c r="V389" s="262"/>
      <c r="W389" s="262"/>
      <c r="X389" s="262"/>
      <c r="Y389" s="262"/>
      <c r="Z389" s="262"/>
      <c r="AA389" s="262"/>
      <c r="AB389" s="262"/>
      <c r="AC389" s="262"/>
      <c r="AD389" s="262"/>
      <c r="AE389" s="262"/>
      <c r="AF389" s="262"/>
      <c r="AG389" s="262"/>
      <c r="AH389" s="263"/>
      <c r="AI389" s="263"/>
      <c r="AJ389" s="263"/>
      <c r="AK389" s="263"/>
      <c r="AL389" s="263"/>
      <c r="AM389" s="263"/>
      <c r="AN389" s="263"/>
      <c r="AO389" s="263"/>
      <c r="AP389" s="263"/>
      <c r="AQ389" s="263"/>
      <c r="AR389" s="263"/>
      <c r="AS389" s="263"/>
      <c r="AT389" s="263"/>
      <c r="AU389" s="263"/>
      <c r="AV389" s="263"/>
      <c r="AW389" s="263"/>
      <c r="AX389" s="264"/>
      <c r="AY389" s="264"/>
      <c r="AZ389" s="264"/>
      <c r="BA389" s="264"/>
      <c r="BB389" s="264"/>
      <c r="BC389" s="264"/>
      <c r="BD389" s="264"/>
      <c r="BE389" s="264"/>
      <c r="BF389" s="264"/>
      <c r="BG389" s="264"/>
      <c r="BH389" s="264"/>
      <c r="BI389" s="264"/>
      <c r="BJ389" s="264"/>
      <c r="BK389" s="264"/>
      <c r="BL389" s="264"/>
      <c r="BM389" s="264"/>
      <c r="BN389" s="265"/>
      <c r="BO389" s="265"/>
      <c r="BP389" s="265"/>
      <c r="BQ389" s="265"/>
      <c r="BR389" s="265"/>
      <c r="BS389" s="265"/>
      <c r="BT389" s="265"/>
      <c r="BU389" s="265"/>
      <c r="BV389" s="265"/>
      <c r="BW389" s="265"/>
      <c r="BX389" s="265"/>
      <c r="BY389" s="265"/>
      <c r="BZ389" s="265"/>
      <c r="CA389" s="265"/>
      <c r="CB389" s="265"/>
      <c r="CC389" s="265"/>
      <c r="CD389" s="266"/>
      <c r="CE389" s="266"/>
      <c r="CF389" s="266"/>
      <c r="CG389" s="266"/>
      <c r="CH389" s="266"/>
      <c r="CI389" s="266"/>
      <c r="CJ389" s="266"/>
      <c r="CK389" s="266"/>
      <c r="CL389" s="266"/>
      <c r="CM389" s="266"/>
      <c r="CN389" s="266"/>
      <c r="CO389" s="266"/>
      <c r="CP389" s="266"/>
      <c r="CQ389" s="266"/>
      <c r="CR389" s="266"/>
      <c r="CS389" s="266"/>
      <c r="CT389" s="267"/>
      <c r="CU389" s="267"/>
      <c r="CV389" s="267"/>
      <c r="CW389" s="267"/>
      <c r="CX389" s="267"/>
      <c r="CY389" s="267"/>
      <c r="CZ389" s="267"/>
      <c r="DA389" s="267"/>
      <c r="DB389" s="267"/>
      <c r="DC389" s="267"/>
      <c r="DD389" s="267"/>
      <c r="DE389" s="267"/>
      <c r="DF389" s="267"/>
      <c r="DG389" s="267"/>
      <c r="DH389" s="267"/>
      <c r="DI389" s="267"/>
      <c r="DJ389" s="268"/>
      <c r="DK389" s="268"/>
      <c r="DL389" s="268"/>
      <c r="DM389" s="268"/>
      <c r="DN389" s="268"/>
      <c r="DO389" s="268"/>
      <c r="DP389" s="268"/>
      <c r="DQ389" s="268"/>
      <c r="DR389" s="268"/>
      <c r="DS389" s="268"/>
      <c r="DT389" s="268"/>
      <c r="DU389" s="268"/>
      <c r="DV389" s="268"/>
      <c r="DW389" s="268"/>
      <c r="DX389" s="268"/>
      <c r="DY389" s="268"/>
      <c r="EA389" s="721"/>
      <c r="EB389" s="721"/>
      <c r="EC389" s="721"/>
      <c r="ED389" s="721"/>
      <c r="EE389" s="721"/>
      <c r="EF389" s="721"/>
      <c r="EG389" s="721"/>
      <c r="EH389" s="721"/>
      <c r="EI389" s="721"/>
      <c r="EJ389" s="721"/>
      <c r="EK389" s="721"/>
      <c r="EL389" s="494"/>
      <c r="EM389" s="494"/>
      <c r="EN389" s="494"/>
      <c r="EO389" s="494"/>
      <c r="EP389" s="494"/>
      <c r="EQ389" s="494"/>
      <c r="ER389" s="721"/>
      <c r="ES389" s="721"/>
      <c r="ET389" s="721"/>
      <c r="EU389" s="721"/>
      <c r="EV389" s="721"/>
      <c r="EW389" s="721"/>
      <c r="EX389" s="721"/>
      <c r="EY389" s="721"/>
      <c r="EZ389" s="721"/>
      <c r="FA389" s="721"/>
      <c r="FB389" s="721"/>
      <c r="FC389" s="721"/>
      <c r="FD389" s="721"/>
      <c r="FE389" s="721"/>
      <c r="FF389" s="721"/>
      <c r="FG389" s="494"/>
      <c r="FH389" s="721"/>
      <c r="FI389" s="721"/>
      <c r="FJ389" s="721"/>
      <c r="FK389" s="721"/>
      <c r="FL389" s="721"/>
      <c r="FM389" s="721"/>
      <c r="FN389" s="721"/>
      <c r="FO389" s="721"/>
      <c r="FP389" s="721"/>
      <c r="FQ389" s="721"/>
      <c r="FR389" s="721"/>
      <c r="FS389" s="721"/>
      <c r="FT389" s="721"/>
      <c r="FU389" s="721"/>
      <c r="FV389" s="721"/>
      <c r="FW389" s="494"/>
      <c r="FX389" s="721"/>
      <c r="FY389" s="721"/>
      <c r="FZ389" s="721"/>
      <c r="GA389" s="721"/>
      <c r="GB389" s="721"/>
      <c r="GC389" s="721"/>
      <c r="GD389" s="721"/>
      <c r="GE389" s="721"/>
      <c r="GF389" s="721"/>
      <c r="GG389" s="721"/>
      <c r="GH389" s="721"/>
      <c r="GI389" s="721"/>
      <c r="GJ389" s="721"/>
      <c r="GK389" s="721"/>
      <c r="GL389" s="721"/>
      <c r="GM389" s="13"/>
      <c r="GN389" s="721"/>
      <c r="GO389" s="721"/>
      <c r="GP389" s="721"/>
      <c r="GQ389" s="721"/>
      <c r="GR389" s="721"/>
      <c r="GS389" s="721"/>
      <c r="GT389" s="721"/>
      <c r="GU389" s="721"/>
      <c r="GV389" s="721"/>
      <c r="GW389" s="721"/>
      <c r="GX389" s="721"/>
      <c r="GY389" s="721"/>
      <c r="GZ389" s="721"/>
      <c r="HA389" s="721"/>
      <c r="HB389" s="721"/>
      <c r="HC389" s="13"/>
      <c r="HD389" s="721"/>
      <c r="HE389" s="721"/>
      <c r="HF389" s="721"/>
      <c r="HG389" s="721"/>
      <c r="HH389" s="721"/>
      <c r="HI389" s="721"/>
      <c r="HJ389" s="721"/>
      <c r="HK389" s="721"/>
      <c r="HL389" s="721"/>
      <c r="HM389" s="721"/>
      <c r="HN389" s="721"/>
      <c r="HO389" s="721"/>
      <c r="HP389" s="721"/>
      <c r="HQ389" s="721"/>
      <c r="HR389" s="721"/>
      <c r="HS389" s="13"/>
      <c r="HT389" s="721"/>
      <c r="HU389" s="721"/>
      <c r="HV389" s="721"/>
      <c r="HW389" s="721"/>
      <c r="HX389" s="721"/>
      <c r="HY389" s="721"/>
      <c r="HZ389" s="721"/>
      <c r="IA389" s="721"/>
      <c r="IB389" s="721"/>
      <c r="IC389" s="721"/>
      <c r="ID389" s="721"/>
      <c r="IE389" s="721"/>
      <c r="IF389" s="721"/>
      <c r="IG389" s="721"/>
      <c r="IH389" s="721"/>
      <c r="II389" s="13"/>
      <c r="IJ389" s="721"/>
      <c r="IK389" s="721"/>
      <c r="IL389" s="721"/>
      <c r="IM389" s="721"/>
      <c r="IN389" s="721"/>
      <c r="IO389" s="721"/>
      <c r="IP389" s="721"/>
      <c r="IQ389" s="721"/>
      <c r="IR389" s="721"/>
      <c r="IS389" s="721"/>
      <c r="IT389" s="721"/>
      <c r="IU389" s="721"/>
      <c r="IV389" s="721"/>
      <c r="IW389" s="721"/>
      <c r="IX389" s="721"/>
      <c r="IY389" s="13"/>
    </row>
    <row r="390" spans="1:259" outlineLevel="1">
      <c r="A390" s="11">
        <f>'VAC &amp; MED'!C397</f>
        <v>46358</v>
      </c>
      <c r="B390" s="261"/>
      <c r="C390" s="261"/>
      <c r="D390" s="261"/>
      <c r="E390" s="261"/>
      <c r="F390" s="261"/>
      <c r="G390" s="261"/>
      <c r="H390" s="261"/>
      <c r="I390" s="261"/>
      <c r="J390" s="261"/>
      <c r="K390" s="261"/>
      <c r="L390" s="261"/>
      <c r="M390" s="261"/>
      <c r="N390" s="261"/>
      <c r="O390" s="261"/>
      <c r="P390" s="261"/>
      <c r="Q390" s="261"/>
      <c r="R390" s="262"/>
      <c r="S390" s="262"/>
      <c r="T390" s="262"/>
      <c r="U390" s="262"/>
      <c r="V390" s="262"/>
      <c r="W390" s="262"/>
      <c r="X390" s="262"/>
      <c r="Y390" s="262"/>
      <c r="Z390" s="262"/>
      <c r="AA390" s="262"/>
      <c r="AB390" s="262"/>
      <c r="AC390" s="262"/>
      <c r="AD390" s="262"/>
      <c r="AE390" s="262"/>
      <c r="AF390" s="262"/>
      <c r="AG390" s="262"/>
      <c r="AH390" s="263"/>
      <c r="AI390" s="263"/>
      <c r="AJ390" s="263"/>
      <c r="AK390" s="263"/>
      <c r="AL390" s="263"/>
      <c r="AM390" s="263"/>
      <c r="AN390" s="263"/>
      <c r="AO390" s="263"/>
      <c r="AP390" s="263"/>
      <c r="AQ390" s="263"/>
      <c r="AR390" s="263"/>
      <c r="AS390" s="263"/>
      <c r="AT390" s="263"/>
      <c r="AU390" s="263"/>
      <c r="AV390" s="263"/>
      <c r="AW390" s="263"/>
      <c r="AX390" s="264"/>
      <c r="AY390" s="264"/>
      <c r="AZ390" s="264"/>
      <c r="BA390" s="264"/>
      <c r="BB390" s="264"/>
      <c r="BC390" s="264"/>
      <c r="BD390" s="264"/>
      <c r="BE390" s="264"/>
      <c r="BF390" s="264"/>
      <c r="BG390" s="264"/>
      <c r="BH390" s="264"/>
      <c r="BI390" s="264"/>
      <c r="BJ390" s="264"/>
      <c r="BK390" s="264"/>
      <c r="BL390" s="264"/>
      <c r="BM390" s="264"/>
      <c r="BN390" s="265"/>
      <c r="BO390" s="265"/>
      <c r="BP390" s="265"/>
      <c r="BQ390" s="265"/>
      <c r="BR390" s="265"/>
      <c r="BS390" s="265"/>
      <c r="BT390" s="265"/>
      <c r="BU390" s="265"/>
      <c r="BV390" s="265"/>
      <c r="BW390" s="265"/>
      <c r="BX390" s="265"/>
      <c r="BY390" s="265"/>
      <c r="BZ390" s="265"/>
      <c r="CA390" s="265"/>
      <c r="CB390" s="265"/>
      <c r="CC390" s="265"/>
      <c r="CD390" s="266"/>
      <c r="CE390" s="266"/>
      <c r="CF390" s="266"/>
      <c r="CG390" s="266"/>
      <c r="CH390" s="266"/>
      <c r="CI390" s="266"/>
      <c r="CJ390" s="266"/>
      <c r="CK390" s="266"/>
      <c r="CL390" s="266"/>
      <c r="CM390" s="266"/>
      <c r="CN390" s="266"/>
      <c r="CO390" s="266"/>
      <c r="CP390" s="266"/>
      <c r="CQ390" s="266"/>
      <c r="CR390" s="266"/>
      <c r="CS390" s="266"/>
      <c r="CT390" s="267"/>
      <c r="CU390" s="267"/>
      <c r="CV390" s="267"/>
      <c r="CW390" s="267"/>
      <c r="CX390" s="267"/>
      <c r="CY390" s="267"/>
      <c r="CZ390" s="267"/>
      <c r="DA390" s="267"/>
      <c r="DB390" s="267"/>
      <c r="DC390" s="267"/>
      <c r="DD390" s="267"/>
      <c r="DE390" s="267"/>
      <c r="DF390" s="267"/>
      <c r="DG390" s="267"/>
      <c r="DH390" s="267"/>
      <c r="DI390" s="267"/>
      <c r="DJ390" s="268"/>
      <c r="DK390" s="268"/>
      <c r="DL390" s="268"/>
      <c r="DM390" s="268"/>
      <c r="DN390" s="268"/>
      <c r="DO390" s="268"/>
      <c r="DP390" s="268"/>
      <c r="DQ390" s="268"/>
      <c r="DR390" s="268"/>
      <c r="DS390" s="268"/>
      <c r="DT390" s="268"/>
      <c r="DU390" s="268"/>
      <c r="DV390" s="268"/>
      <c r="DW390" s="268"/>
      <c r="DX390" s="268"/>
      <c r="DY390" s="268"/>
      <c r="EA390" s="721"/>
      <c r="EB390" s="714"/>
      <c r="EC390" s="714"/>
      <c r="ED390" s="714"/>
      <c r="EE390" s="714"/>
      <c r="EF390" s="714"/>
      <c r="EG390" s="714"/>
      <c r="EH390" s="714"/>
      <c r="EI390" s="714"/>
      <c r="EJ390" s="714"/>
      <c r="EK390" s="714"/>
      <c r="EL390" s="493"/>
      <c r="EM390" s="493"/>
      <c r="EN390" s="493"/>
      <c r="EO390" s="493"/>
      <c r="EP390" s="493"/>
      <c r="EQ390" s="493"/>
      <c r="ER390" s="714"/>
      <c r="ES390" s="714"/>
      <c r="ET390" s="714"/>
      <c r="EU390" s="714"/>
      <c r="EV390" s="714"/>
      <c r="EW390" s="714"/>
      <c r="EX390" s="714"/>
      <c r="EY390" s="714"/>
      <c r="EZ390" s="714"/>
      <c r="FA390" s="493"/>
      <c r="FB390" s="493"/>
      <c r="FC390" s="493"/>
      <c r="FD390" s="493"/>
      <c r="FE390" s="493"/>
      <c r="FF390" s="714"/>
      <c r="FG390" s="493"/>
      <c r="FH390" s="714"/>
      <c r="FI390" s="714"/>
      <c r="FJ390" s="714"/>
      <c r="FK390" s="714"/>
      <c r="FL390" s="714"/>
      <c r="FM390" s="714"/>
      <c r="FN390" s="714"/>
      <c r="FO390" s="714"/>
      <c r="FP390" s="714"/>
      <c r="FQ390" s="493"/>
      <c r="FR390" s="493"/>
      <c r="FS390" s="493"/>
      <c r="FT390" s="493"/>
      <c r="FU390" s="493"/>
      <c r="FV390" s="714"/>
      <c r="FW390" s="493"/>
      <c r="FX390" s="714"/>
      <c r="FY390" s="714"/>
      <c r="FZ390" s="714"/>
      <c r="GA390" s="714"/>
      <c r="GB390" s="714"/>
      <c r="GC390" s="714"/>
      <c r="GD390" s="714"/>
      <c r="GE390" s="714"/>
      <c r="GF390" s="714"/>
      <c r="GG390" s="493"/>
      <c r="GH390" s="493"/>
      <c r="GI390" s="493"/>
      <c r="GJ390" s="493"/>
      <c r="GK390" s="493"/>
      <c r="GL390" s="714"/>
      <c r="GM390" s="13"/>
      <c r="GN390" s="714"/>
      <c r="GO390" s="714"/>
      <c r="GP390" s="714"/>
      <c r="GQ390" s="714"/>
      <c r="GR390" s="714"/>
      <c r="GS390" s="714"/>
      <c r="GT390" s="714"/>
      <c r="GU390" s="714"/>
      <c r="GV390" s="714"/>
      <c r="GW390" s="493"/>
      <c r="GX390" s="493"/>
      <c r="GY390" s="493"/>
      <c r="GZ390" s="493"/>
      <c r="HA390" s="493"/>
      <c r="HB390" s="714"/>
      <c r="HC390" s="13"/>
      <c r="HD390" s="714"/>
      <c r="HE390" s="714"/>
      <c r="HF390" s="714"/>
      <c r="HG390" s="714"/>
      <c r="HH390" s="714"/>
      <c r="HI390" s="714"/>
      <c r="HJ390" s="714"/>
      <c r="HK390" s="714"/>
      <c r="HL390" s="714"/>
      <c r="HM390" s="493"/>
      <c r="HN390" s="493"/>
      <c r="HO390" s="493"/>
      <c r="HP390" s="493"/>
      <c r="HQ390" s="493"/>
      <c r="HR390" s="714"/>
      <c r="HS390" s="13"/>
      <c r="HT390" s="714"/>
      <c r="HU390" s="714"/>
      <c r="HV390" s="714"/>
      <c r="HW390" s="714"/>
      <c r="HX390" s="714"/>
      <c r="HY390" s="714"/>
      <c r="HZ390" s="714"/>
      <c r="IA390" s="714"/>
      <c r="IB390" s="714"/>
      <c r="IC390" s="493"/>
      <c r="ID390" s="493"/>
      <c r="IE390" s="493"/>
      <c r="IF390" s="493"/>
      <c r="IG390" s="493"/>
      <c r="IH390" s="714"/>
      <c r="II390" s="13"/>
      <c r="IJ390" s="714"/>
      <c r="IK390" s="714"/>
      <c r="IL390" s="714"/>
      <c r="IM390" s="714"/>
      <c r="IN390" s="714"/>
      <c r="IO390" s="714"/>
      <c r="IP390" s="714"/>
      <c r="IQ390" s="714"/>
      <c r="IR390" s="714"/>
      <c r="IS390" s="493"/>
      <c r="IT390" s="493"/>
      <c r="IU390" s="493"/>
      <c r="IV390" s="493"/>
      <c r="IW390" s="493"/>
      <c r="IX390" s="714"/>
      <c r="IY390" s="13"/>
    </row>
    <row r="391" spans="1:259" outlineLevel="1">
      <c r="A391" s="11">
        <f>'VAC &amp; MED'!C398</f>
        <v>46359</v>
      </c>
      <c r="B391" s="261"/>
      <c r="C391" s="261"/>
      <c r="D391" s="261"/>
      <c r="E391" s="261"/>
      <c r="F391" s="261"/>
      <c r="G391" s="261"/>
      <c r="H391" s="261"/>
      <c r="I391" s="261"/>
      <c r="J391" s="261"/>
      <c r="K391" s="261"/>
      <c r="L391" s="261"/>
      <c r="M391" s="261"/>
      <c r="N391" s="261"/>
      <c r="O391" s="261"/>
      <c r="P391" s="261"/>
      <c r="Q391" s="261"/>
      <c r="R391" s="262"/>
      <c r="S391" s="262"/>
      <c r="T391" s="262"/>
      <c r="U391" s="262"/>
      <c r="V391" s="262"/>
      <c r="W391" s="262"/>
      <c r="X391" s="262"/>
      <c r="Y391" s="262"/>
      <c r="Z391" s="262"/>
      <c r="AA391" s="262"/>
      <c r="AB391" s="262"/>
      <c r="AC391" s="262"/>
      <c r="AD391" s="262"/>
      <c r="AE391" s="262"/>
      <c r="AF391" s="262"/>
      <c r="AG391" s="262"/>
      <c r="AH391" s="263"/>
      <c r="AI391" s="263"/>
      <c r="AJ391" s="263"/>
      <c r="AK391" s="263"/>
      <c r="AL391" s="263"/>
      <c r="AM391" s="263"/>
      <c r="AN391" s="263"/>
      <c r="AO391" s="263"/>
      <c r="AP391" s="263"/>
      <c r="AQ391" s="263"/>
      <c r="AR391" s="263"/>
      <c r="AS391" s="263"/>
      <c r="AT391" s="263"/>
      <c r="AU391" s="263"/>
      <c r="AV391" s="263"/>
      <c r="AW391" s="263"/>
      <c r="AX391" s="264"/>
      <c r="AY391" s="264"/>
      <c r="AZ391" s="264"/>
      <c r="BA391" s="264"/>
      <c r="BB391" s="264"/>
      <c r="BC391" s="264"/>
      <c r="BD391" s="264"/>
      <c r="BE391" s="264"/>
      <c r="BF391" s="264"/>
      <c r="BG391" s="264"/>
      <c r="BH391" s="264"/>
      <c r="BI391" s="264"/>
      <c r="BJ391" s="264"/>
      <c r="BK391" s="264"/>
      <c r="BL391" s="264"/>
      <c r="BM391" s="264"/>
      <c r="BN391" s="265"/>
      <c r="BO391" s="265"/>
      <c r="BP391" s="265"/>
      <c r="BQ391" s="265"/>
      <c r="BR391" s="265"/>
      <c r="BS391" s="265"/>
      <c r="BT391" s="265"/>
      <c r="BU391" s="265"/>
      <c r="BV391" s="265"/>
      <c r="BW391" s="265"/>
      <c r="BX391" s="265"/>
      <c r="BY391" s="265"/>
      <c r="BZ391" s="265"/>
      <c r="CA391" s="265"/>
      <c r="CB391" s="265"/>
      <c r="CC391" s="265"/>
      <c r="CD391" s="266"/>
      <c r="CE391" s="266"/>
      <c r="CF391" s="266"/>
      <c r="CG391" s="266"/>
      <c r="CH391" s="266"/>
      <c r="CI391" s="266"/>
      <c r="CJ391" s="266"/>
      <c r="CK391" s="266"/>
      <c r="CL391" s="266"/>
      <c r="CM391" s="266"/>
      <c r="CN391" s="266"/>
      <c r="CO391" s="266"/>
      <c r="CP391" s="266"/>
      <c r="CQ391" s="266"/>
      <c r="CR391" s="266"/>
      <c r="CS391" s="266"/>
      <c r="CT391" s="267"/>
      <c r="CU391" s="267"/>
      <c r="CV391" s="267"/>
      <c r="CW391" s="267"/>
      <c r="CX391" s="267"/>
      <c r="CY391" s="267"/>
      <c r="CZ391" s="267"/>
      <c r="DA391" s="267"/>
      <c r="DB391" s="267"/>
      <c r="DC391" s="267"/>
      <c r="DD391" s="267"/>
      <c r="DE391" s="267"/>
      <c r="DF391" s="267"/>
      <c r="DG391" s="267"/>
      <c r="DH391" s="267"/>
      <c r="DI391" s="267"/>
      <c r="DJ391" s="268"/>
      <c r="DK391" s="268"/>
      <c r="DL391" s="268"/>
      <c r="DM391" s="268"/>
      <c r="DN391" s="268"/>
      <c r="DO391" s="268"/>
      <c r="DP391" s="268"/>
      <c r="DQ391" s="268"/>
      <c r="DR391" s="268"/>
      <c r="DS391" s="268"/>
      <c r="DT391" s="268"/>
      <c r="DU391" s="268"/>
      <c r="DV391" s="268"/>
      <c r="DW391" s="268"/>
      <c r="DX391" s="268"/>
      <c r="DY391" s="268"/>
      <c r="EA391" s="721"/>
      <c r="EB391" s="714"/>
      <c r="EC391" s="714"/>
      <c r="ED391" s="714"/>
      <c r="EE391" s="714"/>
      <c r="EF391" s="714"/>
      <c r="EG391" s="714"/>
      <c r="EH391" s="714"/>
      <c r="EI391" s="714"/>
      <c r="EJ391" s="714"/>
      <c r="EK391" s="714"/>
      <c r="EL391" s="493"/>
      <c r="EM391" s="493"/>
      <c r="EN391" s="493"/>
      <c r="EO391" s="493"/>
      <c r="EP391" s="493"/>
      <c r="EQ391" s="493"/>
      <c r="ER391" s="714"/>
      <c r="ES391" s="714"/>
      <c r="ET391" s="714"/>
      <c r="EU391" s="714"/>
      <c r="EV391" s="714"/>
      <c r="EW391" s="714"/>
      <c r="EX391" s="714"/>
      <c r="EY391" s="714"/>
      <c r="EZ391" s="714"/>
      <c r="FA391" s="493"/>
      <c r="FB391" s="493"/>
      <c r="FC391" s="493"/>
      <c r="FD391" s="493"/>
      <c r="FE391" s="493"/>
      <c r="FF391" s="714"/>
      <c r="FG391" s="493"/>
      <c r="FH391" s="714"/>
      <c r="FI391" s="714"/>
      <c r="FJ391" s="714"/>
      <c r="FK391" s="714"/>
      <c r="FL391" s="714"/>
      <c r="FM391" s="714"/>
      <c r="FN391" s="714"/>
      <c r="FO391" s="714"/>
      <c r="FP391" s="714"/>
      <c r="FQ391" s="493"/>
      <c r="FR391" s="493"/>
      <c r="FS391" s="493"/>
      <c r="FT391" s="493"/>
      <c r="FU391" s="493"/>
      <c r="FV391" s="714"/>
      <c r="FW391" s="493"/>
      <c r="FX391" s="714"/>
      <c r="FY391" s="714"/>
      <c r="FZ391" s="714"/>
      <c r="GA391" s="714"/>
      <c r="GB391" s="714"/>
      <c r="GC391" s="714"/>
      <c r="GD391" s="714"/>
      <c r="GE391" s="714"/>
      <c r="GF391" s="714"/>
      <c r="GG391" s="493"/>
      <c r="GH391" s="493"/>
      <c r="GI391" s="493"/>
      <c r="GJ391" s="493"/>
      <c r="GK391" s="493"/>
      <c r="GL391" s="714"/>
      <c r="GM391" s="13"/>
      <c r="GN391" s="714"/>
      <c r="GO391" s="714"/>
      <c r="GP391" s="714"/>
      <c r="GQ391" s="714"/>
      <c r="GR391" s="714"/>
      <c r="GS391" s="714"/>
      <c r="GT391" s="714"/>
      <c r="GU391" s="714"/>
      <c r="GV391" s="714"/>
      <c r="GW391" s="493"/>
      <c r="GX391" s="493"/>
      <c r="GY391" s="493"/>
      <c r="GZ391" s="493"/>
      <c r="HA391" s="493"/>
      <c r="HB391" s="714"/>
      <c r="HC391" s="13"/>
      <c r="HD391" s="714"/>
      <c r="HE391" s="714"/>
      <c r="HF391" s="714"/>
      <c r="HG391" s="714"/>
      <c r="HH391" s="714"/>
      <c r="HI391" s="714"/>
      <c r="HJ391" s="714"/>
      <c r="HK391" s="714"/>
      <c r="HL391" s="714"/>
      <c r="HM391" s="493"/>
      <c r="HN391" s="493"/>
      <c r="HO391" s="493"/>
      <c r="HP391" s="493"/>
      <c r="HQ391" s="493"/>
      <c r="HR391" s="714"/>
      <c r="HS391" s="13"/>
      <c r="HT391" s="714"/>
      <c r="HU391" s="714"/>
      <c r="HV391" s="714"/>
      <c r="HW391" s="714"/>
      <c r="HX391" s="714"/>
      <c r="HY391" s="714"/>
      <c r="HZ391" s="714"/>
      <c r="IA391" s="714"/>
      <c r="IB391" s="714"/>
      <c r="IC391" s="493"/>
      <c r="ID391" s="493"/>
      <c r="IE391" s="493"/>
      <c r="IF391" s="493"/>
      <c r="IG391" s="493"/>
      <c r="IH391" s="714"/>
      <c r="II391" s="13"/>
      <c r="IJ391" s="714"/>
      <c r="IK391" s="714"/>
      <c r="IL391" s="714"/>
      <c r="IM391" s="714"/>
      <c r="IN391" s="714"/>
      <c r="IO391" s="714"/>
      <c r="IP391" s="714"/>
      <c r="IQ391" s="714"/>
      <c r="IR391" s="714"/>
      <c r="IS391" s="493"/>
      <c r="IT391" s="493"/>
      <c r="IU391" s="493"/>
      <c r="IV391" s="493"/>
      <c r="IW391" s="493"/>
      <c r="IX391" s="714"/>
      <c r="IY391" s="13"/>
    </row>
    <row r="392" spans="1:259" outlineLevel="1">
      <c r="A392" s="11">
        <f>'VAC &amp; MED'!C399</f>
        <v>46360</v>
      </c>
      <c r="B392" s="261"/>
      <c r="C392" s="261"/>
      <c r="D392" s="261"/>
      <c r="E392" s="261"/>
      <c r="F392" s="261"/>
      <c r="G392" s="261"/>
      <c r="H392" s="261"/>
      <c r="I392" s="261"/>
      <c r="J392" s="261"/>
      <c r="K392" s="261"/>
      <c r="L392" s="261"/>
      <c r="M392" s="261"/>
      <c r="N392" s="261"/>
      <c r="O392" s="261"/>
      <c r="P392" s="261"/>
      <c r="Q392" s="261"/>
      <c r="R392" s="262"/>
      <c r="S392" s="262"/>
      <c r="T392" s="262"/>
      <c r="U392" s="262"/>
      <c r="V392" s="262"/>
      <c r="W392" s="262"/>
      <c r="X392" s="262"/>
      <c r="Y392" s="262"/>
      <c r="Z392" s="262"/>
      <c r="AA392" s="262"/>
      <c r="AB392" s="262"/>
      <c r="AC392" s="262"/>
      <c r="AD392" s="262"/>
      <c r="AE392" s="262"/>
      <c r="AF392" s="262"/>
      <c r="AG392" s="262"/>
      <c r="AH392" s="263"/>
      <c r="AI392" s="263"/>
      <c r="AJ392" s="263"/>
      <c r="AK392" s="263"/>
      <c r="AL392" s="263"/>
      <c r="AM392" s="263"/>
      <c r="AN392" s="263"/>
      <c r="AO392" s="263"/>
      <c r="AP392" s="263"/>
      <c r="AQ392" s="263"/>
      <c r="AR392" s="263"/>
      <c r="AS392" s="263"/>
      <c r="AT392" s="263"/>
      <c r="AU392" s="263"/>
      <c r="AV392" s="263"/>
      <c r="AW392" s="263"/>
      <c r="AX392" s="264"/>
      <c r="AY392" s="264"/>
      <c r="AZ392" s="264"/>
      <c r="BA392" s="264"/>
      <c r="BB392" s="264"/>
      <c r="BC392" s="264"/>
      <c r="BD392" s="264"/>
      <c r="BE392" s="264"/>
      <c r="BF392" s="264"/>
      <c r="BG392" s="264"/>
      <c r="BH392" s="264"/>
      <c r="BI392" s="264"/>
      <c r="BJ392" s="264"/>
      <c r="BK392" s="264"/>
      <c r="BL392" s="264"/>
      <c r="BM392" s="264"/>
      <c r="BN392" s="265"/>
      <c r="BO392" s="265"/>
      <c r="BP392" s="265"/>
      <c r="BQ392" s="265"/>
      <c r="BR392" s="265"/>
      <c r="BS392" s="265"/>
      <c r="BT392" s="265"/>
      <c r="BU392" s="265"/>
      <c r="BV392" s="265"/>
      <c r="BW392" s="265"/>
      <c r="BX392" s="265"/>
      <c r="BY392" s="265"/>
      <c r="BZ392" s="265"/>
      <c r="CA392" s="265"/>
      <c r="CB392" s="265"/>
      <c r="CC392" s="265"/>
      <c r="CD392" s="266"/>
      <c r="CE392" s="266"/>
      <c r="CF392" s="266"/>
      <c r="CG392" s="266"/>
      <c r="CH392" s="266"/>
      <c r="CI392" s="266"/>
      <c r="CJ392" s="266"/>
      <c r="CK392" s="266"/>
      <c r="CL392" s="266"/>
      <c r="CM392" s="266"/>
      <c r="CN392" s="266"/>
      <c r="CO392" s="266"/>
      <c r="CP392" s="266"/>
      <c r="CQ392" s="266"/>
      <c r="CR392" s="266"/>
      <c r="CS392" s="266"/>
      <c r="CT392" s="267"/>
      <c r="CU392" s="267"/>
      <c r="CV392" s="267"/>
      <c r="CW392" s="267"/>
      <c r="CX392" s="267"/>
      <c r="CY392" s="267"/>
      <c r="CZ392" s="267"/>
      <c r="DA392" s="267"/>
      <c r="DB392" s="267"/>
      <c r="DC392" s="267"/>
      <c r="DD392" s="267"/>
      <c r="DE392" s="267"/>
      <c r="DF392" s="267"/>
      <c r="DG392" s="267"/>
      <c r="DH392" s="267"/>
      <c r="DI392" s="267"/>
      <c r="DJ392" s="268"/>
      <c r="DK392" s="268"/>
      <c r="DL392" s="268"/>
      <c r="DM392" s="268"/>
      <c r="DN392" s="268"/>
      <c r="DO392" s="268"/>
      <c r="DP392" s="268"/>
      <c r="DQ392" s="268"/>
      <c r="DR392" s="268"/>
      <c r="DS392" s="268"/>
      <c r="DT392" s="268"/>
      <c r="DU392" s="268"/>
      <c r="DV392" s="268"/>
      <c r="DW392" s="268"/>
      <c r="DX392" s="268"/>
      <c r="DY392" s="268"/>
      <c r="EA392" s="13"/>
      <c r="EB392" s="96"/>
      <c r="EC392" s="96"/>
      <c r="ED392" s="96"/>
      <c r="EE392" s="96"/>
      <c r="EF392" s="96"/>
      <c r="EG392" s="96"/>
      <c r="EH392" s="96"/>
      <c r="EI392" s="96"/>
      <c r="EJ392" s="96"/>
      <c r="EK392" s="96"/>
      <c r="EL392" s="96"/>
      <c r="EM392" s="96"/>
      <c r="EN392" s="96"/>
      <c r="EO392" s="96"/>
      <c r="EP392" s="96"/>
      <c r="EQ392" s="96"/>
      <c r="ER392" s="96"/>
      <c r="ES392" s="96"/>
      <c r="ET392" s="96"/>
      <c r="EU392" s="96"/>
      <c r="EV392" s="96"/>
      <c r="EW392" s="96"/>
      <c r="EX392" s="96"/>
      <c r="EY392" s="96"/>
      <c r="EZ392" s="96"/>
      <c r="FA392" s="96"/>
      <c r="FB392" s="96"/>
      <c r="FC392" s="96"/>
      <c r="FD392" s="96"/>
      <c r="FE392" s="96"/>
      <c r="FF392" s="96"/>
      <c r="FG392" s="96"/>
      <c r="FH392" s="96"/>
      <c r="FI392" s="96"/>
      <c r="FJ392" s="96"/>
      <c r="FK392" s="96"/>
      <c r="FL392" s="96"/>
      <c r="FM392" s="96"/>
      <c r="FN392" s="96"/>
      <c r="FO392" s="96"/>
      <c r="FP392" s="96"/>
      <c r="FQ392" s="96"/>
      <c r="FR392" s="96"/>
      <c r="FS392" s="96"/>
      <c r="FT392" s="96"/>
      <c r="FU392" s="96"/>
      <c r="FV392" s="96"/>
      <c r="FW392" s="96"/>
      <c r="FX392" s="96"/>
      <c r="FY392" s="96"/>
      <c r="FZ392" s="96"/>
      <c r="GA392" s="96"/>
      <c r="GB392" s="96"/>
      <c r="GC392" s="96"/>
      <c r="GD392" s="96"/>
      <c r="GE392" s="96"/>
      <c r="GF392" s="96"/>
      <c r="GG392" s="96"/>
      <c r="GH392" s="96"/>
      <c r="GI392" s="96"/>
      <c r="GJ392" s="96"/>
      <c r="GK392" s="96"/>
      <c r="GL392" s="96"/>
      <c r="GM392" s="13"/>
      <c r="GN392" s="96"/>
      <c r="GO392" s="96"/>
      <c r="GP392" s="96"/>
      <c r="GQ392" s="96"/>
      <c r="GR392" s="96"/>
      <c r="GS392" s="96"/>
      <c r="GT392" s="96"/>
      <c r="GU392" s="96"/>
      <c r="GV392" s="96"/>
      <c r="GW392" s="96"/>
      <c r="GX392" s="96"/>
      <c r="GY392" s="96"/>
      <c r="GZ392" s="96"/>
      <c r="HA392" s="96"/>
      <c r="HB392" s="96"/>
      <c r="HC392" s="13"/>
      <c r="HD392" s="96"/>
      <c r="HE392" s="96"/>
      <c r="HF392" s="96"/>
      <c r="HG392" s="96"/>
      <c r="HH392" s="96"/>
      <c r="HI392" s="96"/>
      <c r="HJ392" s="96"/>
      <c r="HK392" s="96"/>
      <c r="HL392" s="96"/>
      <c r="HM392" s="96"/>
      <c r="HN392" s="96"/>
      <c r="HO392" s="96"/>
      <c r="HP392" s="96"/>
      <c r="HQ392" s="96"/>
      <c r="HR392" s="96"/>
      <c r="HS392" s="13"/>
      <c r="HT392" s="96"/>
      <c r="HU392" s="96"/>
      <c r="HV392" s="96"/>
      <c r="HW392" s="96"/>
      <c r="HX392" s="96"/>
      <c r="HY392" s="96"/>
      <c r="HZ392" s="96"/>
      <c r="IA392" s="96"/>
      <c r="IB392" s="96"/>
      <c r="IC392" s="96"/>
      <c r="ID392" s="96"/>
      <c r="IE392" s="96"/>
      <c r="IF392" s="96"/>
      <c r="IG392" s="96"/>
      <c r="IH392" s="96"/>
      <c r="II392" s="13"/>
      <c r="IJ392" s="96"/>
      <c r="IK392" s="96"/>
      <c r="IL392" s="96"/>
      <c r="IM392" s="96"/>
      <c r="IN392" s="96"/>
      <c r="IO392" s="96"/>
      <c r="IP392" s="96"/>
      <c r="IQ392" s="96"/>
      <c r="IR392" s="96"/>
      <c r="IS392" s="96"/>
      <c r="IT392" s="96"/>
      <c r="IU392" s="96"/>
      <c r="IV392" s="96"/>
      <c r="IW392" s="96"/>
      <c r="IX392" s="96"/>
      <c r="IY392" s="13"/>
    </row>
    <row r="393" spans="1:259" outlineLevel="1">
      <c r="A393" s="11">
        <f>'VAC &amp; MED'!C400</f>
        <v>46361</v>
      </c>
      <c r="B393" s="261"/>
      <c r="C393" s="261"/>
      <c r="D393" s="261"/>
      <c r="E393" s="261"/>
      <c r="F393" s="261"/>
      <c r="G393" s="261"/>
      <c r="H393" s="261"/>
      <c r="I393" s="261"/>
      <c r="J393" s="261"/>
      <c r="K393" s="261"/>
      <c r="L393" s="261"/>
      <c r="M393" s="261"/>
      <c r="N393" s="261"/>
      <c r="O393" s="261"/>
      <c r="P393" s="261"/>
      <c r="Q393" s="261"/>
      <c r="R393" s="262"/>
      <c r="S393" s="262"/>
      <c r="T393" s="262"/>
      <c r="U393" s="262"/>
      <c r="V393" s="262"/>
      <c r="W393" s="262"/>
      <c r="X393" s="262"/>
      <c r="Y393" s="262"/>
      <c r="Z393" s="262"/>
      <c r="AA393" s="262"/>
      <c r="AB393" s="262"/>
      <c r="AC393" s="262"/>
      <c r="AD393" s="262"/>
      <c r="AE393" s="262"/>
      <c r="AF393" s="262"/>
      <c r="AG393" s="262"/>
      <c r="AH393" s="263"/>
      <c r="AI393" s="263"/>
      <c r="AJ393" s="263"/>
      <c r="AK393" s="263"/>
      <c r="AL393" s="263"/>
      <c r="AM393" s="263"/>
      <c r="AN393" s="263"/>
      <c r="AO393" s="263"/>
      <c r="AP393" s="263"/>
      <c r="AQ393" s="263"/>
      <c r="AR393" s="263"/>
      <c r="AS393" s="263"/>
      <c r="AT393" s="263"/>
      <c r="AU393" s="263"/>
      <c r="AV393" s="263"/>
      <c r="AW393" s="263"/>
      <c r="AX393" s="264"/>
      <c r="AY393" s="264"/>
      <c r="AZ393" s="264"/>
      <c r="BA393" s="264"/>
      <c r="BB393" s="264"/>
      <c r="BC393" s="264"/>
      <c r="BD393" s="264"/>
      <c r="BE393" s="264"/>
      <c r="BF393" s="264"/>
      <c r="BG393" s="264"/>
      <c r="BH393" s="264"/>
      <c r="BI393" s="264"/>
      <c r="BJ393" s="264"/>
      <c r="BK393" s="264"/>
      <c r="BL393" s="264"/>
      <c r="BM393" s="264"/>
      <c r="BN393" s="265"/>
      <c r="BO393" s="265"/>
      <c r="BP393" s="265"/>
      <c r="BQ393" s="265"/>
      <c r="BR393" s="265"/>
      <c r="BS393" s="265"/>
      <c r="BT393" s="265"/>
      <c r="BU393" s="265"/>
      <c r="BV393" s="265"/>
      <c r="BW393" s="265"/>
      <c r="BX393" s="265"/>
      <c r="BY393" s="265"/>
      <c r="BZ393" s="265"/>
      <c r="CA393" s="265"/>
      <c r="CB393" s="265"/>
      <c r="CC393" s="265"/>
      <c r="CD393" s="266"/>
      <c r="CE393" s="266"/>
      <c r="CF393" s="266"/>
      <c r="CG393" s="266"/>
      <c r="CH393" s="266"/>
      <c r="CI393" s="266"/>
      <c r="CJ393" s="266"/>
      <c r="CK393" s="266"/>
      <c r="CL393" s="266"/>
      <c r="CM393" s="266"/>
      <c r="CN393" s="266"/>
      <c r="CO393" s="266"/>
      <c r="CP393" s="266"/>
      <c r="CQ393" s="266"/>
      <c r="CR393" s="266"/>
      <c r="CS393" s="266"/>
      <c r="CT393" s="267"/>
      <c r="CU393" s="267"/>
      <c r="CV393" s="267"/>
      <c r="CW393" s="267"/>
      <c r="CX393" s="267"/>
      <c r="CY393" s="267"/>
      <c r="CZ393" s="267"/>
      <c r="DA393" s="267"/>
      <c r="DB393" s="267"/>
      <c r="DC393" s="267"/>
      <c r="DD393" s="267"/>
      <c r="DE393" s="267"/>
      <c r="DF393" s="267"/>
      <c r="DG393" s="267"/>
      <c r="DH393" s="267"/>
      <c r="DI393" s="267"/>
      <c r="DJ393" s="268"/>
      <c r="DK393" s="268"/>
      <c r="DL393" s="268"/>
      <c r="DM393" s="268"/>
      <c r="DN393" s="268"/>
      <c r="DO393" s="268"/>
      <c r="DP393" s="268"/>
      <c r="DQ393" s="268"/>
      <c r="DR393" s="268"/>
      <c r="DS393" s="268"/>
      <c r="DT393" s="268"/>
      <c r="DU393" s="268"/>
      <c r="DV393" s="268"/>
      <c r="DW393" s="268"/>
      <c r="DX393" s="268"/>
      <c r="DY393" s="268"/>
      <c r="EA393" s="13"/>
      <c r="EB393" s="96"/>
      <c r="EC393" s="96"/>
      <c r="ED393" s="96"/>
      <c r="EE393" s="96"/>
      <c r="EF393" s="96"/>
      <c r="EG393" s="96"/>
      <c r="EH393" s="96"/>
      <c r="EI393" s="96"/>
      <c r="EJ393" s="96"/>
      <c r="EK393" s="96"/>
      <c r="EL393" s="96"/>
      <c r="EM393" s="96"/>
      <c r="EN393" s="96"/>
      <c r="EO393" s="96"/>
      <c r="EP393" s="96"/>
      <c r="EQ393" s="96"/>
      <c r="ER393" s="96"/>
      <c r="ES393" s="96"/>
      <c r="ET393" s="96"/>
      <c r="EU393" s="96"/>
      <c r="EV393" s="96"/>
      <c r="EW393" s="96"/>
      <c r="EX393" s="96"/>
      <c r="EY393" s="96"/>
      <c r="EZ393" s="96"/>
      <c r="FA393" s="96"/>
      <c r="FB393" s="96"/>
      <c r="FC393" s="96"/>
      <c r="FD393" s="96"/>
      <c r="FE393" s="96"/>
      <c r="FF393" s="96"/>
      <c r="FG393" s="96"/>
      <c r="FH393" s="96"/>
      <c r="FI393" s="96"/>
      <c r="FJ393" s="96"/>
      <c r="FK393" s="96"/>
      <c r="FL393" s="96"/>
      <c r="FM393" s="96"/>
      <c r="FN393" s="96"/>
      <c r="FO393" s="96"/>
      <c r="FP393" s="96"/>
      <c r="FQ393" s="96"/>
      <c r="FR393" s="96"/>
      <c r="FS393" s="96"/>
      <c r="FT393" s="96"/>
      <c r="FU393" s="96"/>
      <c r="FV393" s="96"/>
      <c r="FW393" s="96"/>
      <c r="FX393" s="96"/>
      <c r="FY393" s="96"/>
      <c r="FZ393" s="96"/>
      <c r="GA393" s="96"/>
      <c r="GB393" s="96"/>
      <c r="GC393" s="96"/>
      <c r="GD393" s="96"/>
      <c r="GE393" s="96"/>
      <c r="GF393" s="96"/>
      <c r="GG393" s="96"/>
      <c r="GH393" s="96"/>
      <c r="GI393" s="96"/>
      <c r="GJ393" s="96"/>
      <c r="GK393" s="96"/>
      <c r="GL393" s="96"/>
      <c r="GM393" s="13"/>
      <c r="GN393" s="96"/>
      <c r="GO393" s="96"/>
      <c r="GP393" s="96"/>
      <c r="GQ393" s="96"/>
      <c r="GR393" s="96"/>
      <c r="GS393" s="96"/>
      <c r="GT393" s="96"/>
      <c r="GU393" s="96"/>
      <c r="GV393" s="96"/>
      <c r="GW393" s="96"/>
      <c r="GX393" s="96"/>
      <c r="GY393" s="96"/>
      <c r="GZ393" s="96"/>
      <c r="HA393" s="96"/>
      <c r="HB393" s="96"/>
      <c r="HC393" s="13"/>
      <c r="HD393" s="96"/>
      <c r="HE393" s="96"/>
      <c r="HF393" s="96"/>
      <c r="HG393" s="96"/>
      <c r="HH393" s="96"/>
      <c r="HI393" s="96"/>
      <c r="HJ393" s="96"/>
      <c r="HK393" s="96"/>
      <c r="HL393" s="96"/>
      <c r="HM393" s="96"/>
      <c r="HN393" s="96"/>
      <c r="HO393" s="96"/>
      <c r="HP393" s="96"/>
      <c r="HQ393" s="96"/>
      <c r="HR393" s="96"/>
      <c r="HS393" s="13"/>
      <c r="HT393" s="96"/>
      <c r="HU393" s="96"/>
      <c r="HV393" s="96"/>
      <c r="HW393" s="96"/>
      <c r="HX393" s="96"/>
      <c r="HY393" s="96"/>
      <c r="HZ393" s="96"/>
      <c r="IA393" s="96"/>
      <c r="IB393" s="96"/>
      <c r="IC393" s="96"/>
      <c r="ID393" s="96"/>
      <c r="IE393" s="96"/>
      <c r="IF393" s="96"/>
      <c r="IG393" s="96"/>
      <c r="IH393" s="96"/>
      <c r="II393" s="13"/>
      <c r="IJ393" s="96"/>
      <c r="IK393" s="96"/>
      <c r="IL393" s="96"/>
      <c r="IM393" s="96"/>
      <c r="IN393" s="96"/>
      <c r="IO393" s="96"/>
      <c r="IP393" s="96"/>
      <c r="IQ393" s="96"/>
      <c r="IR393" s="96"/>
      <c r="IS393" s="96"/>
      <c r="IT393" s="96"/>
      <c r="IU393" s="96"/>
      <c r="IV393" s="96"/>
      <c r="IW393" s="96"/>
      <c r="IX393" s="96"/>
      <c r="IY393" s="13"/>
    </row>
    <row r="394" spans="1:259" outlineLevel="1">
      <c r="A394" s="11">
        <f>'VAC &amp; MED'!C401</f>
        <v>46362</v>
      </c>
      <c r="B394" s="261"/>
      <c r="C394" s="261"/>
      <c r="D394" s="261"/>
      <c r="E394" s="261"/>
      <c r="F394" s="261"/>
      <c r="G394" s="261"/>
      <c r="H394" s="261"/>
      <c r="I394" s="261"/>
      <c r="J394" s="261"/>
      <c r="K394" s="261"/>
      <c r="L394" s="261"/>
      <c r="M394" s="261"/>
      <c r="N394" s="261"/>
      <c r="O394" s="261"/>
      <c r="P394" s="261"/>
      <c r="Q394" s="261"/>
      <c r="R394" s="262"/>
      <c r="S394" s="262"/>
      <c r="T394" s="262"/>
      <c r="U394" s="262"/>
      <c r="V394" s="262"/>
      <c r="W394" s="262"/>
      <c r="X394" s="262"/>
      <c r="Y394" s="262"/>
      <c r="Z394" s="262"/>
      <c r="AA394" s="262"/>
      <c r="AB394" s="262"/>
      <c r="AC394" s="262"/>
      <c r="AD394" s="262"/>
      <c r="AE394" s="262"/>
      <c r="AF394" s="262"/>
      <c r="AG394" s="262"/>
      <c r="AH394" s="263"/>
      <c r="AI394" s="263"/>
      <c r="AJ394" s="263"/>
      <c r="AK394" s="263"/>
      <c r="AL394" s="263"/>
      <c r="AM394" s="263"/>
      <c r="AN394" s="263"/>
      <c r="AO394" s="263"/>
      <c r="AP394" s="263"/>
      <c r="AQ394" s="263"/>
      <c r="AR394" s="263"/>
      <c r="AS394" s="263"/>
      <c r="AT394" s="263"/>
      <c r="AU394" s="263"/>
      <c r="AV394" s="263"/>
      <c r="AW394" s="263"/>
      <c r="AX394" s="264"/>
      <c r="AY394" s="264"/>
      <c r="AZ394" s="264"/>
      <c r="BA394" s="264"/>
      <c r="BB394" s="264"/>
      <c r="BC394" s="264"/>
      <c r="BD394" s="264"/>
      <c r="BE394" s="264"/>
      <c r="BF394" s="264"/>
      <c r="BG394" s="264"/>
      <c r="BH394" s="264"/>
      <c r="BI394" s="264"/>
      <c r="BJ394" s="264"/>
      <c r="BK394" s="264"/>
      <c r="BL394" s="264"/>
      <c r="BM394" s="264"/>
      <c r="BN394" s="265"/>
      <c r="BO394" s="265"/>
      <c r="BP394" s="265"/>
      <c r="BQ394" s="265"/>
      <c r="BR394" s="265"/>
      <c r="BS394" s="265"/>
      <c r="BT394" s="265"/>
      <c r="BU394" s="265"/>
      <c r="BV394" s="265"/>
      <c r="BW394" s="265"/>
      <c r="BX394" s="265"/>
      <c r="BY394" s="265"/>
      <c r="BZ394" s="265"/>
      <c r="CA394" s="265"/>
      <c r="CB394" s="265"/>
      <c r="CC394" s="265"/>
      <c r="CD394" s="266"/>
      <c r="CE394" s="266"/>
      <c r="CF394" s="266"/>
      <c r="CG394" s="266"/>
      <c r="CH394" s="266"/>
      <c r="CI394" s="266"/>
      <c r="CJ394" s="266"/>
      <c r="CK394" s="266"/>
      <c r="CL394" s="266"/>
      <c r="CM394" s="266"/>
      <c r="CN394" s="266"/>
      <c r="CO394" s="266"/>
      <c r="CP394" s="266"/>
      <c r="CQ394" s="266"/>
      <c r="CR394" s="266"/>
      <c r="CS394" s="266"/>
      <c r="CT394" s="267"/>
      <c r="CU394" s="267"/>
      <c r="CV394" s="267"/>
      <c r="CW394" s="267"/>
      <c r="CX394" s="267"/>
      <c r="CY394" s="267"/>
      <c r="CZ394" s="267"/>
      <c r="DA394" s="267"/>
      <c r="DB394" s="267"/>
      <c r="DC394" s="267"/>
      <c r="DD394" s="267"/>
      <c r="DE394" s="267"/>
      <c r="DF394" s="267"/>
      <c r="DG394" s="267"/>
      <c r="DH394" s="267"/>
      <c r="DI394" s="267"/>
      <c r="DJ394" s="268"/>
      <c r="DK394" s="268"/>
      <c r="DL394" s="268"/>
      <c r="DM394" s="268"/>
      <c r="DN394" s="268"/>
      <c r="DO394" s="268"/>
      <c r="DP394" s="268"/>
      <c r="DQ394" s="268"/>
      <c r="DR394" s="268"/>
      <c r="DS394" s="268"/>
      <c r="DT394" s="268"/>
      <c r="DU394" s="268"/>
      <c r="DV394" s="268"/>
      <c r="DW394" s="268"/>
      <c r="DX394" s="268"/>
      <c r="DY394" s="268"/>
      <c r="EA394" s="13"/>
      <c r="EB394" s="96"/>
      <c r="EC394" s="96"/>
      <c r="ED394" s="96"/>
      <c r="EE394" s="96"/>
      <c r="EF394" s="96"/>
      <c r="EG394" s="96"/>
      <c r="EH394" s="96"/>
      <c r="EI394" s="96"/>
      <c r="EJ394" s="96"/>
      <c r="EK394" s="96"/>
      <c r="EL394" s="96"/>
      <c r="EM394" s="96"/>
      <c r="EN394" s="96"/>
      <c r="EO394" s="96"/>
      <c r="EP394" s="96"/>
      <c r="EQ394" s="96"/>
      <c r="ER394" s="96"/>
      <c r="ES394" s="96"/>
      <c r="ET394" s="96"/>
      <c r="EU394" s="96"/>
      <c r="EV394" s="96"/>
      <c r="EW394" s="96"/>
      <c r="EX394" s="96"/>
      <c r="EY394" s="96"/>
      <c r="EZ394" s="96"/>
      <c r="FA394" s="96"/>
      <c r="FB394" s="96"/>
      <c r="FC394" s="96"/>
      <c r="FD394" s="96"/>
      <c r="FE394" s="96"/>
      <c r="FF394" s="96"/>
      <c r="FG394" s="96"/>
      <c r="FH394" s="96"/>
      <c r="FI394" s="96"/>
      <c r="FJ394" s="96"/>
      <c r="FK394" s="96"/>
      <c r="FL394" s="96"/>
      <c r="FM394" s="96"/>
      <c r="FN394" s="96"/>
      <c r="FO394" s="96"/>
      <c r="FP394" s="96"/>
      <c r="FQ394" s="96"/>
      <c r="FR394" s="96"/>
      <c r="FS394" s="96"/>
      <c r="FT394" s="96"/>
      <c r="FU394" s="96"/>
      <c r="FV394" s="96"/>
      <c r="FW394" s="96"/>
      <c r="FX394" s="96"/>
      <c r="FY394" s="96"/>
      <c r="FZ394" s="96"/>
      <c r="GA394" s="96"/>
      <c r="GB394" s="96"/>
      <c r="GC394" s="96"/>
      <c r="GD394" s="96"/>
      <c r="GE394" s="96"/>
      <c r="GF394" s="96"/>
      <c r="GG394" s="96"/>
      <c r="GH394" s="96"/>
      <c r="GI394" s="96"/>
      <c r="GJ394" s="96"/>
      <c r="GK394" s="96"/>
      <c r="GL394" s="96"/>
      <c r="GM394" s="13"/>
      <c r="GN394" s="96"/>
      <c r="GO394" s="96"/>
      <c r="GP394" s="96"/>
      <c r="GQ394" s="96"/>
      <c r="GR394" s="96"/>
      <c r="GS394" s="96"/>
      <c r="GT394" s="96"/>
      <c r="GU394" s="96"/>
      <c r="GV394" s="96"/>
      <c r="GW394" s="96"/>
      <c r="GX394" s="96"/>
      <c r="GY394" s="96"/>
      <c r="GZ394" s="96"/>
      <c r="HA394" s="96"/>
      <c r="HB394" s="96"/>
      <c r="HC394" s="13"/>
      <c r="HD394" s="96"/>
      <c r="HE394" s="96"/>
      <c r="HF394" s="96"/>
      <c r="HG394" s="96"/>
      <c r="HH394" s="96"/>
      <c r="HI394" s="96"/>
      <c r="HJ394" s="96"/>
      <c r="HK394" s="96"/>
      <c r="HL394" s="96"/>
      <c r="HM394" s="96"/>
      <c r="HN394" s="96"/>
      <c r="HO394" s="96"/>
      <c r="HP394" s="96"/>
      <c r="HQ394" s="96"/>
      <c r="HR394" s="96"/>
      <c r="HS394" s="13"/>
      <c r="HT394" s="96"/>
      <c r="HU394" s="96"/>
      <c r="HV394" s="96"/>
      <c r="HW394" s="96"/>
      <c r="HX394" s="96"/>
      <c r="HY394" s="96"/>
      <c r="HZ394" s="96"/>
      <c r="IA394" s="96"/>
      <c r="IB394" s="96"/>
      <c r="IC394" s="96"/>
      <c r="ID394" s="96"/>
      <c r="IE394" s="96"/>
      <c r="IF394" s="96"/>
      <c r="IG394" s="96"/>
      <c r="IH394" s="96"/>
      <c r="II394" s="13"/>
      <c r="IJ394" s="96"/>
      <c r="IK394" s="96"/>
      <c r="IL394" s="96"/>
      <c r="IM394" s="96"/>
      <c r="IN394" s="96"/>
      <c r="IO394" s="96"/>
      <c r="IP394" s="96"/>
      <c r="IQ394" s="96"/>
      <c r="IR394" s="96"/>
      <c r="IS394" s="96"/>
      <c r="IT394" s="96"/>
      <c r="IU394" s="96"/>
      <c r="IV394" s="96"/>
      <c r="IW394" s="96"/>
      <c r="IX394" s="96"/>
      <c r="IY394" s="13"/>
    </row>
    <row r="395" spans="1:259" outlineLevel="1">
      <c r="A395" s="11">
        <f>'VAC &amp; MED'!C402</f>
        <v>46363</v>
      </c>
      <c r="B395" s="261"/>
      <c r="C395" s="261"/>
      <c r="D395" s="261"/>
      <c r="E395" s="261"/>
      <c r="F395" s="261"/>
      <c r="G395" s="261"/>
      <c r="H395" s="261"/>
      <c r="I395" s="261"/>
      <c r="J395" s="261"/>
      <c r="K395" s="261"/>
      <c r="L395" s="261"/>
      <c r="M395" s="261"/>
      <c r="N395" s="261"/>
      <c r="O395" s="261"/>
      <c r="P395" s="261"/>
      <c r="Q395" s="261"/>
      <c r="R395" s="262"/>
      <c r="S395" s="262"/>
      <c r="T395" s="262"/>
      <c r="U395" s="262"/>
      <c r="V395" s="262"/>
      <c r="W395" s="262"/>
      <c r="X395" s="262"/>
      <c r="Y395" s="262"/>
      <c r="Z395" s="262"/>
      <c r="AA395" s="262"/>
      <c r="AB395" s="262"/>
      <c r="AC395" s="262"/>
      <c r="AD395" s="262"/>
      <c r="AE395" s="262"/>
      <c r="AF395" s="262"/>
      <c r="AG395" s="262"/>
      <c r="AH395" s="263"/>
      <c r="AI395" s="263"/>
      <c r="AJ395" s="263"/>
      <c r="AK395" s="263"/>
      <c r="AL395" s="263"/>
      <c r="AM395" s="263"/>
      <c r="AN395" s="263"/>
      <c r="AO395" s="263"/>
      <c r="AP395" s="263"/>
      <c r="AQ395" s="263"/>
      <c r="AR395" s="263"/>
      <c r="AS395" s="263"/>
      <c r="AT395" s="263"/>
      <c r="AU395" s="263"/>
      <c r="AV395" s="263"/>
      <c r="AW395" s="263"/>
      <c r="AX395" s="264"/>
      <c r="AY395" s="264"/>
      <c r="AZ395" s="264"/>
      <c r="BA395" s="264"/>
      <c r="BB395" s="264"/>
      <c r="BC395" s="264"/>
      <c r="BD395" s="264"/>
      <c r="BE395" s="264"/>
      <c r="BF395" s="264"/>
      <c r="BG395" s="264"/>
      <c r="BH395" s="264"/>
      <c r="BI395" s="264"/>
      <c r="BJ395" s="264"/>
      <c r="BK395" s="264"/>
      <c r="BL395" s="264"/>
      <c r="BM395" s="264"/>
      <c r="BN395" s="265"/>
      <c r="BO395" s="265"/>
      <c r="BP395" s="265"/>
      <c r="BQ395" s="265"/>
      <c r="BR395" s="265"/>
      <c r="BS395" s="265"/>
      <c r="BT395" s="265"/>
      <c r="BU395" s="265"/>
      <c r="BV395" s="265"/>
      <c r="BW395" s="265"/>
      <c r="BX395" s="265"/>
      <c r="BY395" s="265"/>
      <c r="BZ395" s="265"/>
      <c r="CA395" s="265"/>
      <c r="CB395" s="265"/>
      <c r="CC395" s="265"/>
      <c r="CD395" s="266"/>
      <c r="CE395" s="266"/>
      <c r="CF395" s="266"/>
      <c r="CG395" s="266"/>
      <c r="CH395" s="266"/>
      <c r="CI395" s="266"/>
      <c r="CJ395" s="266"/>
      <c r="CK395" s="266"/>
      <c r="CL395" s="266"/>
      <c r="CM395" s="266"/>
      <c r="CN395" s="266"/>
      <c r="CO395" s="266"/>
      <c r="CP395" s="266"/>
      <c r="CQ395" s="266"/>
      <c r="CR395" s="266"/>
      <c r="CS395" s="266"/>
      <c r="CT395" s="267"/>
      <c r="CU395" s="267"/>
      <c r="CV395" s="267"/>
      <c r="CW395" s="267"/>
      <c r="CX395" s="267"/>
      <c r="CY395" s="267"/>
      <c r="CZ395" s="267"/>
      <c r="DA395" s="267"/>
      <c r="DB395" s="267"/>
      <c r="DC395" s="267"/>
      <c r="DD395" s="267"/>
      <c r="DE395" s="267"/>
      <c r="DF395" s="267"/>
      <c r="DG395" s="267"/>
      <c r="DH395" s="267"/>
      <c r="DI395" s="267"/>
      <c r="DJ395" s="268"/>
      <c r="DK395" s="268"/>
      <c r="DL395" s="268"/>
      <c r="DM395" s="268"/>
      <c r="DN395" s="268"/>
      <c r="DO395" s="268"/>
      <c r="DP395" s="268"/>
      <c r="DQ395" s="268"/>
      <c r="DR395" s="268"/>
      <c r="DS395" s="268"/>
      <c r="DT395" s="268"/>
      <c r="DU395" s="268"/>
      <c r="DV395" s="268"/>
      <c r="DW395" s="268"/>
      <c r="DX395" s="268"/>
      <c r="DY395" s="268"/>
      <c r="EA395" s="13"/>
      <c r="EB395" s="96"/>
      <c r="EC395" s="96"/>
      <c r="ED395" s="96"/>
      <c r="EE395" s="96"/>
      <c r="EF395" s="96"/>
      <c r="EG395" s="96"/>
      <c r="EH395" s="96"/>
      <c r="EI395" s="96"/>
      <c r="EJ395" s="96"/>
      <c r="EK395" s="96"/>
      <c r="EL395" s="96"/>
      <c r="EM395" s="96"/>
      <c r="EN395" s="96"/>
      <c r="EO395" s="96"/>
      <c r="EP395" s="96"/>
      <c r="EQ395" s="96"/>
      <c r="ER395" s="96"/>
      <c r="ES395" s="96"/>
      <c r="ET395" s="96"/>
      <c r="EU395" s="96"/>
      <c r="EV395" s="96"/>
      <c r="EW395" s="96"/>
      <c r="EX395" s="96"/>
      <c r="EY395" s="96"/>
      <c r="EZ395" s="96"/>
      <c r="FA395" s="96"/>
      <c r="FB395" s="96"/>
      <c r="FC395" s="96"/>
      <c r="FD395" s="96"/>
      <c r="FE395" s="96"/>
      <c r="FF395" s="96"/>
      <c r="FG395" s="96"/>
      <c r="FH395" s="96"/>
      <c r="FI395" s="96"/>
      <c r="FJ395" s="96"/>
      <c r="FK395" s="96"/>
      <c r="FL395" s="96"/>
      <c r="FM395" s="96"/>
      <c r="FN395" s="96"/>
      <c r="FO395" s="96"/>
      <c r="FP395" s="96"/>
      <c r="FQ395" s="96"/>
      <c r="FR395" s="96"/>
      <c r="FS395" s="96"/>
      <c r="FT395" s="96"/>
      <c r="FU395" s="96"/>
      <c r="FV395" s="96"/>
      <c r="FW395" s="96"/>
      <c r="FX395" s="96"/>
      <c r="FY395" s="96"/>
      <c r="FZ395" s="96"/>
      <c r="GA395" s="96"/>
      <c r="GB395" s="96"/>
      <c r="GC395" s="96"/>
      <c r="GD395" s="96"/>
      <c r="GE395" s="96"/>
      <c r="GF395" s="96"/>
      <c r="GG395" s="96"/>
      <c r="GH395" s="96"/>
      <c r="GI395" s="96"/>
      <c r="GJ395" s="96"/>
      <c r="GK395" s="96"/>
      <c r="GL395" s="96"/>
      <c r="GM395" s="13"/>
      <c r="GN395" s="96"/>
      <c r="GO395" s="96"/>
      <c r="GP395" s="96"/>
      <c r="GQ395" s="96"/>
      <c r="GR395" s="96"/>
      <c r="GS395" s="96"/>
      <c r="GT395" s="96"/>
      <c r="GU395" s="96"/>
      <c r="GV395" s="96"/>
      <c r="GW395" s="96"/>
      <c r="GX395" s="96"/>
      <c r="GY395" s="96"/>
      <c r="GZ395" s="96"/>
      <c r="HA395" s="96"/>
      <c r="HB395" s="96"/>
      <c r="HC395" s="13"/>
      <c r="HD395" s="96"/>
      <c r="HE395" s="96"/>
      <c r="HF395" s="96"/>
      <c r="HG395" s="96"/>
      <c r="HH395" s="96"/>
      <c r="HI395" s="96"/>
      <c r="HJ395" s="96"/>
      <c r="HK395" s="96"/>
      <c r="HL395" s="96"/>
      <c r="HM395" s="96"/>
      <c r="HN395" s="96"/>
      <c r="HO395" s="96"/>
      <c r="HP395" s="96"/>
      <c r="HQ395" s="96"/>
      <c r="HR395" s="96"/>
      <c r="HS395" s="13"/>
      <c r="HT395" s="96"/>
      <c r="HU395" s="96"/>
      <c r="HV395" s="96"/>
      <c r="HW395" s="96"/>
      <c r="HX395" s="96"/>
      <c r="HY395" s="96"/>
      <c r="HZ395" s="96"/>
      <c r="IA395" s="96"/>
      <c r="IB395" s="96"/>
      <c r="IC395" s="96"/>
      <c r="ID395" s="96"/>
      <c r="IE395" s="96"/>
      <c r="IF395" s="96"/>
      <c r="IG395" s="96"/>
      <c r="IH395" s="96"/>
      <c r="II395" s="13"/>
      <c r="IJ395" s="96"/>
      <c r="IK395" s="96"/>
      <c r="IL395" s="96"/>
      <c r="IM395" s="96"/>
      <c r="IN395" s="96"/>
      <c r="IO395" s="96"/>
      <c r="IP395" s="96"/>
      <c r="IQ395" s="96"/>
      <c r="IR395" s="96"/>
      <c r="IS395" s="96"/>
      <c r="IT395" s="96"/>
      <c r="IU395" s="96"/>
      <c r="IV395" s="96"/>
      <c r="IW395" s="96"/>
      <c r="IX395" s="96"/>
      <c r="IY395" s="13"/>
    </row>
    <row r="396" spans="1:259" outlineLevel="1">
      <c r="A396" s="11">
        <f>'VAC &amp; MED'!C403</f>
        <v>46364</v>
      </c>
      <c r="B396" s="261"/>
      <c r="C396" s="261"/>
      <c r="D396" s="261"/>
      <c r="E396" s="261"/>
      <c r="F396" s="261"/>
      <c r="G396" s="261"/>
      <c r="H396" s="261"/>
      <c r="I396" s="261"/>
      <c r="J396" s="261"/>
      <c r="K396" s="261"/>
      <c r="L396" s="261"/>
      <c r="M396" s="261"/>
      <c r="N396" s="261"/>
      <c r="O396" s="261"/>
      <c r="P396" s="261"/>
      <c r="Q396" s="261"/>
      <c r="R396" s="262"/>
      <c r="S396" s="262"/>
      <c r="T396" s="262"/>
      <c r="U396" s="262"/>
      <c r="V396" s="262"/>
      <c r="W396" s="262"/>
      <c r="X396" s="262"/>
      <c r="Y396" s="262"/>
      <c r="Z396" s="262"/>
      <c r="AA396" s="262"/>
      <c r="AB396" s="262"/>
      <c r="AC396" s="262"/>
      <c r="AD396" s="262"/>
      <c r="AE396" s="262"/>
      <c r="AF396" s="262"/>
      <c r="AG396" s="262"/>
      <c r="AH396" s="263"/>
      <c r="AI396" s="263"/>
      <c r="AJ396" s="263"/>
      <c r="AK396" s="263"/>
      <c r="AL396" s="263"/>
      <c r="AM396" s="263"/>
      <c r="AN396" s="263"/>
      <c r="AO396" s="263"/>
      <c r="AP396" s="263"/>
      <c r="AQ396" s="263"/>
      <c r="AR396" s="263"/>
      <c r="AS396" s="263"/>
      <c r="AT396" s="263"/>
      <c r="AU396" s="263"/>
      <c r="AV396" s="263"/>
      <c r="AW396" s="263"/>
      <c r="AX396" s="264"/>
      <c r="AY396" s="264"/>
      <c r="AZ396" s="264"/>
      <c r="BA396" s="264"/>
      <c r="BB396" s="264"/>
      <c r="BC396" s="264"/>
      <c r="BD396" s="264"/>
      <c r="BE396" s="264"/>
      <c r="BF396" s="264"/>
      <c r="BG396" s="264"/>
      <c r="BH396" s="264"/>
      <c r="BI396" s="264"/>
      <c r="BJ396" s="264"/>
      <c r="BK396" s="264"/>
      <c r="BL396" s="264"/>
      <c r="BM396" s="264"/>
      <c r="BN396" s="265"/>
      <c r="BO396" s="265"/>
      <c r="BP396" s="265"/>
      <c r="BQ396" s="265"/>
      <c r="BR396" s="265"/>
      <c r="BS396" s="265"/>
      <c r="BT396" s="265"/>
      <c r="BU396" s="265"/>
      <c r="BV396" s="265"/>
      <c r="BW396" s="265"/>
      <c r="BX396" s="265"/>
      <c r="BY396" s="265"/>
      <c r="BZ396" s="265"/>
      <c r="CA396" s="265"/>
      <c r="CB396" s="265"/>
      <c r="CC396" s="265"/>
      <c r="CD396" s="266"/>
      <c r="CE396" s="266"/>
      <c r="CF396" s="266"/>
      <c r="CG396" s="266"/>
      <c r="CH396" s="266"/>
      <c r="CI396" s="266"/>
      <c r="CJ396" s="266"/>
      <c r="CK396" s="266"/>
      <c r="CL396" s="266"/>
      <c r="CM396" s="266"/>
      <c r="CN396" s="266"/>
      <c r="CO396" s="266"/>
      <c r="CP396" s="266"/>
      <c r="CQ396" s="266"/>
      <c r="CR396" s="266"/>
      <c r="CS396" s="266"/>
      <c r="CT396" s="267"/>
      <c r="CU396" s="267"/>
      <c r="CV396" s="267"/>
      <c r="CW396" s="267"/>
      <c r="CX396" s="267"/>
      <c r="CY396" s="267"/>
      <c r="CZ396" s="267"/>
      <c r="DA396" s="267"/>
      <c r="DB396" s="267"/>
      <c r="DC396" s="267"/>
      <c r="DD396" s="267"/>
      <c r="DE396" s="267"/>
      <c r="DF396" s="267"/>
      <c r="DG396" s="267"/>
      <c r="DH396" s="267"/>
      <c r="DI396" s="267"/>
      <c r="DJ396" s="268"/>
      <c r="DK396" s="268"/>
      <c r="DL396" s="268"/>
      <c r="DM396" s="268"/>
      <c r="DN396" s="268"/>
      <c r="DO396" s="268"/>
      <c r="DP396" s="268"/>
      <c r="DQ396" s="268"/>
      <c r="DR396" s="268"/>
      <c r="DS396" s="268"/>
      <c r="DT396" s="268"/>
      <c r="DU396" s="268"/>
      <c r="DV396" s="268"/>
      <c r="DW396" s="268"/>
      <c r="DX396" s="268"/>
      <c r="DY396" s="268"/>
      <c r="EA396" s="13"/>
      <c r="EB396" s="96"/>
      <c r="EC396" s="96"/>
      <c r="ED396" s="96"/>
      <c r="EE396" s="96"/>
      <c r="EF396" s="96"/>
      <c r="EG396" s="96"/>
      <c r="EH396" s="96"/>
      <c r="EI396" s="96"/>
      <c r="EJ396" s="96"/>
      <c r="EK396" s="96"/>
      <c r="EL396" s="96"/>
      <c r="EM396" s="96"/>
      <c r="EN396" s="96"/>
      <c r="EO396" s="96"/>
      <c r="EP396" s="96"/>
      <c r="EQ396" s="96"/>
      <c r="ER396" s="96"/>
      <c r="ES396" s="96"/>
      <c r="ET396" s="96"/>
      <c r="EU396" s="96"/>
      <c r="EV396" s="96"/>
      <c r="EW396" s="96"/>
      <c r="EX396" s="96"/>
      <c r="EY396" s="96"/>
      <c r="EZ396" s="96"/>
      <c r="FA396" s="96"/>
      <c r="FB396" s="96"/>
      <c r="FC396" s="96"/>
      <c r="FD396" s="96"/>
      <c r="FE396" s="96"/>
      <c r="FF396" s="96"/>
      <c r="FG396" s="96"/>
      <c r="FH396" s="96"/>
      <c r="FI396" s="96"/>
      <c r="FJ396" s="96"/>
      <c r="FK396" s="96"/>
      <c r="FL396" s="96"/>
      <c r="FM396" s="96"/>
      <c r="FN396" s="96"/>
      <c r="FO396" s="96"/>
      <c r="FP396" s="96"/>
      <c r="FQ396" s="96"/>
      <c r="FR396" s="96"/>
      <c r="FS396" s="96"/>
      <c r="FT396" s="96"/>
      <c r="FU396" s="96"/>
      <c r="FV396" s="96"/>
      <c r="FW396" s="96"/>
      <c r="FX396" s="96"/>
      <c r="FY396" s="96"/>
      <c r="FZ396" s="96"/>
      <c r="GA396" s="96"/>
      <c r="GB396" s="96"/>
      <c r="GC396" s="96"/>
      <c r="GD396" s="96"/>
      <c r="GE396" s="96"/>
      <c r="GF396" s="96"/>
      <c r="GG396" s="96"/>
      <c r="GH396" s="96"/>
      <c r="GI396" s="96"/>
      <c r="GJ396" s="96"/>
      <c r="GK396" s="96"/>
      <c r="GL396" s="96"/>
      <c r="GM396" s="13"/>
      <c r="GN396" s="96"/>
      <c r="GO396" s="96"/>
      <c r="GP396" s="96"/>
      <c r="GQ396" s="96"/>
      <c r="GR396" s="96"/>
      <c r="GS396" s="96"/>
      <c r="GT396" s="96"/>
      <c r="GU396" s="96"/>
      <c r="GV396" s="96"/>
      <c r="GW396" s="96"/>
      <c r="GX396" s="96"/>
      <c r="GY396" s="96"/>
      <c r="GZ396" s="96"/>
      <c r="HA396" s="96"/>
      <c r="HB396" s="96"/>
      <c r="HC396" s="13"/>
      <c r="HD396" s="96"/>
      <c r="HE396" s="96"/>
      <c r="HF396" s="96"/>
      <c r="HG396" s="96"/>
      <c r="HH396" s="96"/>
      <c r="HI396" s="96"/>
      <c r="HJ396" s="96"/>
      <c r="HK396" s="96"/>
      <c r="HL396" s="96"/>
      <c r="HM396" s="96"/>
      <c r="HN396" s="96"/>
      <c r="HO396" s="96"/>
      <c r="HP396" s="96"/>
      <c r="HQ396" s="96"/>
      <c r="HR396" s="96"/>
      <c r="HS396" s="13"/>
      <c r="HT396" s="96"/>
      <c r="HU396" s="96"/>
      <c r="HV396" s="96"/>
      <c r="HW396" s="96"/>
      <c r="HX396" s="96"/>
      <c r="HY396" s="96"/>
      <c r="HZ396" s="96"/>
      <c r="IA396" s="96"/>
      <c r="IB396" s="96"/>
      <c r="IC396" s="96"/>
      <c r="ID396" s="96"/>
      <c r="IE396" s="96"/>
      <c r="IF396" s="96"/>
      <c r="IG396" s="96"/>
      <c r="IH396" s="96"/>
      <c r="II396" s="13"/>
      <c r="IJ396" s="96"/>
      <c r="IK396" s="96"/>
      <c r="IL396" s="96"/>
      <c r="IM396" s="96"/>
      <c r="IN396" s="96"/>
      <c r="IO396" s="96"/>
      <c r="IP396" s="96"/>
      <c r="IQ396" s="96"/>
      <c r="IR396" s="96"/>
      <c r="IS396" s="96"/>
      <c r="IT396" s="96"/>
      <c r="IU396" s="96"/>
      <c r="IV396" s="96"/>
      <c r="IW396" s="96"/>
      <c r="IX396" s="96"/>
      <c r="IY396" s="13"/>
    </row>
    <row r="397" spans="1:259" outlineLevel="1">
      <c r="A397" s="11">
        <f>'VAC &amp; MED'!C404</f>
        <v>46365</v>
      </c>
      <c r="B397" s="261"/>
      <c r="C397" s="261"/>
      <c r="D397" s="261"/>
      <c r="E397" s="261"/>
      <c r="F397" s="261"/>
      <c r="G397" s="261"/>
      <c r="H397" s="261"/>
      <c r="I397" s="261"/>
      <c r="J397" s="261"/>
      <c r="K397" s="261"/>
      <c r="L397" s="261"/>
      <c r="M397" s="261"/>
      <c r="N397" s="261"/>
      <c r="O397" s="261"/>
      <c r="P397" s="261"/>
      <c r="Q397" s="261"/>
      <c r="R397" s="262"/>
      <c r="S397" s="262"/>
      <c r="T397" s="262"/>
      <c r="U397" s="262"/>
      <c r="V397" s="262"/>
      <c r="W397" s="262"/>
      <c r="X397" s="262"/>
      <c r="Y397" s="262"/>
      <c r="Z397" s="262"/>
      <c r="AA397" s="262"/>
      <c r="AB397" s="262"/>
      <c r="AC397" s="262"/>
      <c r="AD397" s="262"/>
      <c r="AE397" s="262"/>
      <c r="AF397" s="262"/>
      <c r="AG397" s="262"/>
      <c r="AH397" s="263"/>
      <c r="AI397" s="263"/>
      <c r="AJ397" s="263"/>
      <c r="AK397" s="263"/>
      <c r="AL397" s="263"/>
      <c r="AM397" s="263"/>
      <c r="AN397" s="263"/>
      <c r="AO397" s="263"/>
      <c r="AP397" s="263"/>
      <c r="AQ397" s="263"/>
      <c r="AR397" s="263"/>
      <c r="AS397" s="263"/>
      <c r="AT397" s="263"/>
      <c r="AU397" s="263"/>
      <c r="AV397" s="263"/>
      <c r="AW397" s="263"/>
      <c r="AX397" s="264"/>
      <c r="AY397" s="264"/>
      <c r="AZ397" s="264"/>
      <c r="BA397" s="264"/>
      <c r="BB397" s="264"/>
      <c r="BC397" s="264"/>
      <c r="BD397" s="264"/>
      <c r="BE397" s="264"/>
      <c r="BF397" s="264"/>
      <c r="BG397" s="264"/>
      <c r="BH397" s="264"/>
      <c r="BI397" s="264"/>
      <c r="BJ397" s="264"/>
      <c r="BK397" s="264"/>
      <c r="BL397" s="264"/>
      <c r="BM397" s="264"/>
      <c r="BN397" s="265"/>
      <c r="BO397" s="265"/>
      <c r="BP397" s="265"/>
      <c r="BQ397" s="265"/>
      <c r="BR397" s="265"/>
      <c r="BS397" s="265"/>
      <c r="BT397" s="265"/>
      <c r="BU397" s="265"/>
      <c r="BV397" s="265"/>
      <c r="BW397" s="265"/>
      <c r="BX397" s="265"/>
      <c r="BY397" s="265"/>
      <c r="BZ397" s="265"/>
      <c r="CA397" s="265"/>
      <c r="CB397" s="265"/>
      <c r="CC397" s="265"/>
      <c r="CD397" s="266"/>
      <c r="CE397" s="266"/>
      <c r="CF397" s="266"/>
      <c r="CG397" s="266"/>
      <c r="CH397" s="266"/>
      <c r="CI397" s="266"/>
      <c r="CJ397" s="266"/>
      <c r="CK397" s="266"/>
      <c r="CL397" s="266"/>
      <c r="CM397" s="266"/>
      <c r="CN397" s="266"/>
      <c r="CO397" s="266"/>
      <c r="CP397" s="266"/>
      <c r="CQ397" s="266"/>
      <c r="CR397" s="266"/>
      <c r="CS397" s="266"/>
      <c r="CT397" s="267"/>
      <c r="CU397" s="267"/>
      <c r="CV397" s="267"/>
      <c r="CW397" s="267"/>
      <c r="CX397" s="267"/>
      <c r="CY397" s="267"/>
      <c r="CZ397" s="267"/>
      <c r="DA397" s="267"/>
      <c r="DB397" s="267"/>
      <c r="DC397" s="267"/>
      <c r="DD397" s="267"/>
      <c r="DE397" s="267"/>
      <c r="DF397" s="267"/>
      <c r="DG397" s="267"/>
      <c r="DH397" s="267"/>
      <c r="DI397" s="267"/>
      <c r="DJ397" s="268"/>
      <c r="DK397" s="268"/>
      <c r="DL397" s="268"/>
      <c r="DM397" s="268"/>
      <c r="DN397" s="268"/>
      <c r="DO397" s="268"/>
      <c r="DP397" s="268"/>
      <c r="DQ397" s="268"/>
      <c r="DR397" s="268"/>
      <c r="DS397" s="268"/>
      <c r="DT397" s="268"/>
      <c r="DU397" s="268"/>
      <c r="DV397" s="268"/>
      <c r="DW397" s="268"/>
      <c r="DX397" s="268"/>
      <c r="DY397" s="268"/>
      <c r="EA397" s="13"/>
      <c r="EB397" s="96"/>
      <c r="EC397" s="96"/>
      <c r="ED397" s="96"/>
      <c r="EE397" s="96"/>
      <c r="EF397" s="96"/>
      <c r="EG397" s="96"/>
      <c r="EH397" s="96"/>
      <c r="EI397" s="96"/>
      <c r="EJ397" s="96"/>
      <c r="EK397" s="96"/>
      <c r="EL397" s="96"/>
      <c r="EM397" s="96"/>
      <c r="EN397" s="96"/>
      <c r="EO397" s="96"/>
      <c r="EP397" s="96"/>
      <c r="EQ397" s="96"/>
      <c r="ER397" s="96"/>
      <c r="ES397" s="96"/>
      <c r="ET397" s="96"/>
      <c r="EU397" s="96"/>
      <c r="EV397" s="96"/>
      <c r="EW397" s="96"/>
      <c r="EX397" s="96"/>
      <c r="EY397" s="96"/>
      <c r="EZ397" s="96"/>
      <c r="FA397" s="96"/>
      <c r="FB397" s="96"/>
      <c r="FC397" s="96"/>
      <c r="FD397" s="96"/>
      <c r="FE397" s="96"/>
      <c r="FF397" s="96"/>
      <c r="FG397" s="96"/>
      <c r="FH397" s="96"/>
      <c r="FI397" s="96"/>
      <c r="FJ397" s="96"/>
      <c r="FK397" s="96"/>
      <c r="FL397" s="96"/>
      <c r="FM397" s="96"/>
      <c r="FN397" s="96"/>
      <c r="FO397" s="96"/>
      <c r="FP397" s="96"/>
      <c r="FQ397" s="96"/>
      <c r="FR397" s="96"/>
      <c r="FS397" s="96"/>
      <c r="FT397" s="96"/>
      <c r="FU397" s="96"/>
      <c r="FV397" s="96"/>
      <c r="FW397" s="96"/>
      <c r="FX397" s="96"/>
      <c r="FY397" s="96"/>
      <c r="FZ397" s="96"/>
      <c r="GA397" s="96"/>
      <c r="GB397" s="96"/>
      <c r="GC397" s="96"/>
      <c r="GD397" s="96"/>
      <c r="GE397" s="96"/>
      <c r="GF397" s="96"/>
      <c r="GG397" s="96"/>
      <c r="GH397" s="96"/>
      <c r="GI397" s="96"/>
      <c r="GJ397" s="96"/>
      <c r="GK397" s="96"/>
      <c r="GL397" s="96"/>
      <c r="GM397" s="13"/>
      <c r="GN397" s="96"/>
      <c r="GO397" s="96"/>
      <c r="GP397" s="96"/>
      <c r="GQ397" s="96"/>
      <c r="GR397" s="96"/>
      <c r="GS397" s="96"/>
      <c r="GT397" s="96"/>
      <c r="GU397" s="96"/>
      <c r="GV397" s="96"/>
      <c r="GW397" s="96"/>
      <c r="GX397" s="96"/>
      <c r="GY397" s="96"/>
      <c r="GZ397" s="96"/>
      <c r="HA397" s="96"/>
      <c r="HB397" s="96"/>
      <c r="HC397" s="13"/>
      <c r="HD397" s="96"/>
      <c r="HE397" s="96"/>
      <c r="HF397" s="96"/>
      <c r="HG397" s="96"/>
      <c r="HH397" s="96"/>
      <c r="HI397" s="96"/>
      <c r="HJ397" s="96"/>
      <c r="HK397" s="96"/>
      <c r="HL397" s="96"/>
      <c r="HM397" s="96"/>
      <c r="HN397" s="96"/>
      <c r="HO397" s="96"/>
      <c r="HP397" s="96"/>
      <c r="HQ397" s="96"/>
      <c r="HR397" s="96"/>
      <c r="HS397" s="13"/>
      <c r="HT397" s="96"/>
      <c r="HU397" s="96"/>
      <c r="HV397" s="96"/>
      <c r="HW397" s="96"/>
      <c r="HX397" s="96"/>
      <c r="HY397" s="96"/>
      <c r="HZ397" s="96"/>
      <c r="IA397" s="96"/>
      <c r="IB397" s="96"/>
      <c r="IC397" s="96"/>
      <c r="ID397" s="96"/>
      <c r="IE397" s="96"/>
      <c r="IF397" s="96"/>
      <c r="IG397" s="96"/>
      <c r="IH397" s="96"/>
      <c r="II397" s="13"/>
      <c r="IJ397" s="96"/>
      <c r="IK397" s="96"/>
      <c r="IL397" s="96"/>
      <c r="IM397" s="96"/>
      <c r="IN397" s="96"/>
      <c r="IO397" s="96"/>
      <c r="IP397" s="96"/>
      <c r="IQ397" s="96"/>
      <c r="IR397" s="96"/>
      <c r="IS397" s="96"/>
      <c r="IT397" s="96"/>
      <c r="IU397" s="96"/>
      <c r="IV397" s="96"/>
      <c r="IW397" s="96"/>
      <c r="IX397" s="96"/>
      <c r="IY397" s="13"/>
    </row>
    <row r="398" spans="1:259" outlineLevel="1">
      <c r="A398" s="11">
        <f>'VAC &amp; MED'!C405</f>
        <v>46366</v>
      </c>
      <c r="B398" s="261"/>
      <c r="C398" s="261"/>
      <c r="D398" s="261"/>
      <c r="E398" s="261"/>
      <c r="F398" s="261"/>
      <c r="G398" s="261"/>
      <c r="H398" s="261"/>
      <c r="I398" s="261"/>
      <c r="J398" s="261"/>
      <c r="K398" s="261"/>
      <c r="L398" s="261"/>
      <c r="M398" s="261"/>
      <c r="N398" s="261"/>
      <c r="O398" s="261"/>
      <c r="P398" s="261"/>
      <c r="Q398" s="261"/>
      <c r="R398" s="262"/>
      <c r="S398" s="262"/>
      <c r="T398" s="262"/>
      <c r="U398" s="262"/>
      <c r="V398" s="262"/>
      <c r="W398" s="262"/>
      <c r="X398" s="262"/>
      <c r="Y398" s="262"/>
      <c r="Z398" s="262"/>
      <c r="AA398" s="262"/>
      <c r="AB398" s="262"/>
      <c r="AC398" s="262"/>
      <c r="AD398" s="262"/>
      <c r="AE398" s="262"/>
      <c r="AF398" s="262"/>
      <c r="AG398" s="262"/>
      <c r="AH398" s="263"/>
      <c r="AI398" s="263"/>
      <c r="AJ398" s="263"/>
      <c r="AK398" s="263"/>
      <c r="AL398" s="263"/>
      <c r="AM398" s="263"/>
      <c r="AN398" s="263"/>
      <c r="AO398" s="263"/>
      <c r="AP398" s="263"/>
      <c r="AQ398" s="263"/>
      <c r="AR398" s="263"/>
      <c r="AS398" s="263"/>
      <c r="AT398" s="263"/>
      <c r="AU398" s="263"/>
      <c r="AV398" s="263"/>
      <c r="AW398" s="263"/>
      <c r="AX398" s="264"/>
      <c r="AY398" s="264"/>
      <c r="AZ398" s="264"/>
      <c r="BA398" s="264"/>
      <c r="BB398" s="264"/>
      <c r="BC398" s="264"/>
      <c r="BD398" s="264"/>
      <c r="BE398" s="264"/>
      <c r="BF398" s="264"/>
      <c r="BG398" s="264"/>
      <c r="BH398" s="264"/>
      <c r="BI398" s="264"/>
      <c r="BJ398" s="264"/>
      <c r="BK398" s="264"/>
      <c r="BL398" s="264"/>
      <c r="BM398" s="264"/>
      <c r="BN398" s="265"/>
      <c r="BO398" s="265"/>
      <c r="BP398" s="265"/>
      <c r="BQ398" s="265"/>
      <c r="BR398" s="265"/>
      <c r="BS398" s="265"/>
      <c r="BT398" s="265"/>
      <c r="BU398" s="265"/>
      <c r="BV398" s="265"/>
      <c r="BW398" s="265"/>
      <c r="BX398" s="265"/>
      <c r="BY398" s="265"/>
      <c r="BZ398" s="265"/>
      <c r="CA398" s="265"/>
      <c r="CB398" s="265"/>
      <c r="CC398" s="265"/>
      <c r="CD398" s="266"/>
      <c r="CE398" s="266"/>
      <c r="CF398" s="266"/>
      <c r="CG398" s="266"/>
      <c r="CH398" s="266"/>
      <c r="CI398" s="266"/>
      <c r="CJ398" s="266"/>
      <c r="CK398" s="266"/>
      <c r="CL398" s="266"/>
      <c r="CM398" s="266"/>
      <c r="CN398" s="266"/>
      <c r="CO398" s="266"/>
      <c r="CP398" s="266"/>
      <c r="CQ398" s="266"/>
      <c r="CR398" s="266"/>
      <c r="CS398" s="266"/>
      <c r="CT398" s="267"/>
      <c r="CU398" s="267"/>
      <c r="CV398" s="267"/>
      <c r="CW398" s="267"/>
      <c r="CX398" s="267"/>
      <c r="CY398" s="267"/>
      <c r="CZ398" s="267"/>
      <c r="DA398" s="267"/>
      <c r="DB398" s="267"/>
      <c r="DC398" s="267"/>
      <c r="DD398" s="267"/>
      <c r="DE398" s="267"/>
      <c r="DF398" s="267"/>
      <c r="DG398" s="267"/>
      <c r="DH398" s="267"/>
      <c r="DI398" s="267"/>
      <c r="DJ398" s="268"/>
      <c r="DK398" s="268"/>
      <c r="DL398" s="268"/>
      <c r="DM398" s="268"/>
      <c r="DN398" s="268"/>
      <c r="DO398" s="268"/>
      <c r="DP398" s="268"/>
      <c r="DQ398" s="268"/>
      <c r="DR398" s="268"/>
      <c r="DS398" s="268"/>
      <c r="DT398" s="268"/>
      <c r="DU398" s="268"/>
      <c r="DV398" s="268"/>
      <c r="DW398" s="268"/>
      <c r="DX398" s="268"/>
      <c r="DY398" s="268"/>
      <c r="EA398" s="13"/>
      <c r="EB398" s="96"/>
      <c r="EC398" s="96"/>
      <c r="ED398" s="96"/>
      <c r="EE398" s="96"/>
      <c r="EF398" s="96"/>
      <c r="EG398" s="96"/>
      <c r="EH398" s="96"/>
      <c r="EI398" s="96"/>
      <c r="EJ398" s="96"/>
      <c r="EK398" s="96"/>
      <c r="EL398" s="96"/>
      <c r="EM398" s="96"/>
      <c r="EN398" s="96"/>
      <c r="EO398" s="96"/>
      <c r="EP398" s="96"/>
      <c r="EQ398" s="96"/>
      <c r="ER398" s="96"/>
      <c r="ES398" s="96"/>
      <c r="ET398" s="96"/>
      <c r="EU398" s="96"/>
      <c r="EV398" s="96"/>
      <c r="EW398" s="96"/>
      <c r="EX398" s="96"/>
      <c r="EY398" s="96"/>
      <c r="EZ398" s="96"/>
      <c r="FA398" s="96"/>
      <c r="FB398" s="96"/>
      <c r="FC398" s="96"/>
      <c r="FD398" s="96"/>
      <c r="FE398" s="96"/>
      <c r="FF398" s="96"/>
      <c r="FG398" s="96"/>
      <c r="FH398" s="96"/>
      <c r="FI398" s="96"/>
      <c r="FJ398" s="96"/>
      <c r="FK398" s="96"/>
      <c r="FL398" s="96"/>
      <c r="FM398" s="96"/>
      <c r="FN398" s="96"/>
      <c r="FO398" s="96"/>
      <c r="FP398" s="96"/>
      <c r="FQ398" s="96"/>
      <c r="FR398" s="96"/>
      <c r="FS398" s="96"/>
      <c r="FT398" s="96"/>
      <c r="FU398" s="96"/>
      <c r="FV398" s="96"/>
      <c r="FW398" s="96"/>
      <c r="FX398" s="96"/>
      <c r="FY398" s="96"/>
      <c r="FZ398" s="96"/>
      <c r="GA398" s="96"/>
      <c r="GB398" s="96"/>
      <c r="GC398" s="96"/>
      <c r="GD398" s="96"/>
      <c r="GE398" s="96"/>
      <c r="GF398" s="96"/>
      <c r="GG398" s="96"/>
      <c r="GH398" s="96"/>
      <c r="GI398" s="96"/>
      <c r="GJ398" s="96"/>
      <c r="GK398" s="96"/>
      <c r="GL398" s="96"/>
      <c r="GM398" s="13"/>
      <c r="GN398" s="96"/>
      <c r="GO398" s="96"/>
      <c r="GP398" s="96"/>
      <c r="GQ398" s="96"/>
      <c r="GR398" s="96"/>
      <c r="GS398" s="96"/>
      <c r="GT398" s="96"/>
      <c r="GU398" s="96"/>
      <c r="GV398" s="96"/>
      <c r="GW398" s="96"/>
      <c r="GX398" s="96"/>
      <c r="GY398" s="96"/>
      <c r="GZ398" s="96"/>
      <c r="HA398" s="96"/>
      <c r="HB398" s="96"/>
      <c r="HC398" s="13"/>
      <c r="HD398" s="96"/>
      <c r="HE398" s="96"/>
      <c r="HF398" s="96"/>
      <c r="HG398" s="96"/>
      <c r="HH398" s="96"/>
      <c r="HI398" s="96"/>
      <c r="HJ398" s="96"/>
      <c r="HK398" s="96"/>
      <c r="HL398" s="96"/>
      <c r="HM398" s="96"/>
      <c r="HN398" s="96"/>
      <c r="HO398" s="96"/>
      <c r="HP398" s="96"/>
      <c r="HQ398" s="96"/>
      <c r="HR398" s="96"/>
      <c r="HS398" s="13"/>
      <c r="HT398" s="96"/>
      <c r="HU398" s="96"/>
      <c r="HV398" s="96"/>
      <c r="HW398" s="96"/>
      <c r="HX398" s="96"/>
      <c r="HY398" s="96"/>
      <c r="HZ398" s="96"/>
      <c r="IA398" s="96"/>
      <c r="IB398" s="96"/>
      <c r="IC398" s="96"/>
      <c r="ID398" s="96"/>
      <c r="IE398" s="96"/>
      <c r="IF398" s="96"/>
      <c r="IG398" s="96"/>
      <c r="IH398" s="96"/>
      <c r="II398" s="13"/>
      <c r="IJ398" s="96"/>
      <c r="IK398" s="96"/>
      <c r="IL398" s="96"/>
      <c r="IM398" s="96"/>
      <c r="IN398" s="96"/>
      <c r="IO398" s="96"/>
      <c r="IP398" s="96"/>
      <c r="IQ398" s="96"/>
      <c r="IR398" s="96"/>
      <c r="IS398" s="96"/>
      <c r="IT398" s="96"/>
      <c r="IU398" s="96"/>
      <c r="IV398" s="96"/>
      <c r="IW398" s="96"/>
      <c r="IX398" s="96"/>
      <c r="IY398" s="13"/>
    </row>
    <row r="399" spans="1:259" outlineLevel="1">
      <c r="A399" s="11">
        <f>'VAC &amp; MED'!C406</f>
        <v>46367</v>
      </c>
      <c r="B399" s="261"/>
      <c r="C399" s="261"/>
      <c r="D399" s="261"/>
      <c r="E399" s="261"/>
      <c r="F399" s="261"/>
      <c r="G399" s="261"/>
      <c r="H399" s="261"/>
      <c r="I399" s="261"/>
      <c r="J399" s="261"/>
      <c r="K399" s="261"/>
      <c r="L399" s="261"/>
      <c r="M399" s="261"/>
      <c r="N399" s="261"/>
      <c r="O399" s="261"/>
      <c r="P399" s="261"/>
      <c r="Q399" s="261"/>
      <c r="R399" s="262"/>
      <c r="S399" s="262"/>
      <c r="T399" s="262"/>
      <c r="U399" s="262"/>
      <c r="V399" s="262"/>
      <c r="W399" s="262"/>
      <c r="X399" s="262"/>
      <c r="Y399" s="262"/>
      <c r="Z399" s="262"/>
      <c r="AA399" s="262"/>
      <c r="AB399" s="262"/>
      <c r="AC399" s="262"/>
      <c r="AD399" s="262"/>
      <c r="AE399" s="262"/>
      <c r="AF399" s="262"/>
      <c r="AG399" s="262"/>
      <c r="AH399" s="263"/>
      <c r="AI399" s="263"/>
      <c r="AJ399" s="263"/>
      <c r="AK399" s="263"/>
      <c r="AL399" s="263"/>
      <c r="AM399" s="263"/>
      <c r="AN399" s="263"/>
      <c r="AO399" s="263"/>
      <c r="AP399" s="263"/>
      <c r="AQ399" s="263"/>
      <c r="AR399" s="263"/>
      <c r="AS399" s="263"/>
      <c r="AT399" s="263"/>
      <c r="AU399" s="263"/>
      <c r="AV399" s="263"/>
      <c r="AW399" s="263"/>
      <c r="AX399" s="264"/>
      <c r="AY399" s="264"/>
      <c r="AZ399" s="264"/>
      <c r="BA399" s="264"/>
      <c r="BB399" s="264"/>
      <c r="BC399" s="264"/>
      <c r="BD399" s="264"/>
      <c r="BE399" s="264"/>
      <c r="BF399" s="264"/>
      <c r="BG399" s="264"/>
      <c r="BH399" s="264"/>
      <c r="BI399" s="264"/>
      <c r="BJ399" s="264"/>
      <c r="BK399" s="264"/>
      <c r="BL399" s="264"/>
      <c r="BM399" s="264"/>
      <c r="BN399" s="265"/>
      <c r="BO399" s="265"/>
      <c r="BP399" s="265"/>
      <c r="BQ399" s="265"/>
      <c r="BR399" s="265"/>
      <c r="BS399" s="265"/>
      <c r="BT399" s="265"/>
      <c r="BU399" s="265"/>
      <c r="BV399" s="265"/>
      <c r="BW399" s="265"/>
      <c r="BX399" s="265"/>
      <c r="BY399" s="265"/>
      <c r="BZ399" s="265"/>
      <c r="CA399" s="265"/>
      <c r="CB399" s="265"/>
      <c r="CC399" s="265"/>
      <c r="CD399" s="266"/>
      <c r="CE399" s="266"/>
      <c r="CF399" s="266"/>
      <c r="CG399" s="266"/>
      <c r="CH399" s="266"/>
      <c r="CI399" s="266"/>
      <c r="CJ399" s="266"/>
      <c r="CK399" s="266"/>
      <c r="CL399" s="266"/>
      <c r="CM399" s="266"/>
      <c r="CN399" s="266"/>
      <c r="CO399" s="266"/>
      <c r="CP399" s="266"/>
      <c r="CQ399" s="266"/>
      <c r="CR399" s="266"/>
      <c r="CS399" s="266"/>
      <c r="CT399" s="267"/>
      <c r="CU399" s="267"/>
      <c r="CV399" s="267"/>
      <c r="CW399" s="267"/>
      <c r="CX399" s="267"/>
      <c r="CY399" s="267"/>
      <c r="CZ399" s="267"/>
      <c r="DA399" s="267"/>
      <c r="DB399" s="267"/>
      <c r="DC399" s="267"/>
      <c r="DD399" s="267"/>
      <c r="DE399" s="267"/>
      <c r="DF399" s="267"/>
      <c r="DG399" s="267"/>
      <c r="DH399" s="267"/>
      <c r="DI399" s="267"/>
      <c r="DJ399" s="268"/>
      <c r="DK399" s="268"/>
      <c r="DL399" s="268"/>
      <c r="DM399" s="268"/>
      <c r="DN399" s="268"/>
      <c r="DO399" s="268"/>
      <c r="DP399" s="268"/>
      <c r="DQ399" s="268"/>
      <c r="DR399" s="268"/>
      <c r="DS399" s="268"/>
      <c r="DT399" s="268"/>
      <c r="DU399" s="268"/>
      <c r="DV399" s="268"/>
      <c r="DW399" s="268"/>
      <c r="DX399" s="268"/>
      <c r="DY399" s="268"/>
      <c r="EA399" s="13"/>
      <c r="EB399" s="96"/>
      <c r="EC399" s="96"/>
      <c r="ED399" s="96"/>
      <c r="EE399" s="96"/>
      <c r="EF399" s="96"/>
      <c r="EG399" s="96"/>
      <c r="EH399" s="96"/>
      <c r="EI399" s="96"/>
      <c r="EJ399" s="96"/>
      <c r="EK399" s="96"/>
      <c r="EL399" s="96"/>
      <c r="EM399" s="96"/>
      <c r="EN399" s="96"/>
      <c r="EO399" s="96"/>
      <c r="EP399" s="96"/>
      <c r="EQ399" s="96"/>
      <c r="ER399" s="96"/>
      <c r="ES399" s="96"/>
      <c r="ET399" s="96"/>
      <c r="EU399" s="96"/>
      <c r="EV399" s="96"/>
      <c r="EW399" s="96"/>
      <c r="EX399" s="96"/>
      <c r="EY399" s="96"/>
      <c r="EZ399" s="96"/>
      <c r="FA399" s="96"/>
      <c r="FB399" s="96"/>
      <c r="FC399" s="96"/>
      <c r="FD399" s="96"/>
      <c r="FE399" s="96"/>
      <c r="FF399" s="96"/>
      <c r="FG399" s="96"/>
      <c r="FH399" s="96"/>
      <c r="FI399" s="96"/>
      <c r="FJ399" s="96"/>
      <c r="FK399" s="96"/>
      <c r="FL399" s="96"/>
      <c r="FM399" s="96"/>
      <c r="FN399" s="96"/>
      <c r="FO399" s="96"/>
      <c r="FP399" s="96"/>
      <c r="FQ399" s="96"/>
      <c r="FR399" s="96"/>
      <c r="FS399" s="96"/>
      <c r="FT399" s="96"/>
      <c r="FU399" s="96"/>
      <c r="FV399" s="96"/>
      <c r="FW399" s="96"/>
      <c r="FX399" s="96"/>
      <c r="FY399" s="96"/>
      <c r="FZ399" s="96"/>
      <c r="GA399" s="96"/>
      <c r="GB399" s="96"/>
      <c r="GC399" s="96"/>
      <c r="GD399" s="96"/>
      <c r="GE399" s="96"/>
      <c r="GF399" s="96"/>
      <c r="GG399" s="96"/>
      <c r="GH399" s="96"/>
      <c r="GI399" s="96"/>
      <c r="GJ399" s="96"/>
      <c r="GK399" s="96"/>
      <c r="GL399" s="96"/>
      <c r="GM399" s="13"/>
      <c r="GN399" s="96"/>
      <c r="GO399" s="96"/>
      <c r="GP399" s="96"/>
      <c r="GQ399" s="96"/>
      <c r="GR399" s="96"/>
      <c r="GS399" s="96"/>
      <c r="GT399" s="96"/>
      <c r="GU399" s="96"/>
      <c r="GV399" s="96"/>
      <c r="GW399" s="96"/>
      <c r="GX399" s="96"/>
      <c r="GY399" s="96"/>
      <c r="GZ399" s="96"/>
      <c r="HA399" s="96"/>
      <c r="HB399" s="96"/>
      <c r="HC399" s="13"/>
      <c r="HD399" s="96"/>
      <c r="HE399" s="96"/>
      <c r="HF399" s="96"/>
      <c r="HG399" s="96"/>
      <c r="HH399" s="96"/>
      <c r="HI399" s="96"/>
      <c r="HJ399" s="96"/>
      <c r="HK399" s="96"/>
      <c r="HL399" s="96"/>
      <c r="HM399" s="96"/>
      <c r="HN399" s="96"/>
      <c r="HO399" s="96"/>
      <c r="HP399" s="96"/>
      <c r="HQ399" s="96"/>
      <c r="HR399" s="96"/>
      <c r="HS399" s="13"/>
      <c r="HT399" s="96"/>
      <c r="HU399" s="96"/>
      <c r="HV399" s="96"/>
      <c r="HW399" s="96"/>
      <c r="HX399" s="96"/>
      <c r="HY399" s="96"/>
      <c r="HZ399" s="96"/>
      <c r="IA399" s="96"/>
      <c r="IB399" s="96"/>
      <c r="IC399" s="96"/>
      <c r="ID399" s="96"/>
      <c r="IE399" s="96"/>
      <c r="IF399" s="96"/>
      <c r="IG399" s="96"/>
      <c r="IH399" s="96"/>
      <c r="II399" s="13"/>
      <c r="IJ399" s="96"/>
      <c r="IK399" s="96"/>
      <c r="IL399" s="96"/>
      <c r="IM399" s="96"/>
      <c r="IN399" s="96"/>
      <c r="IO399" s="96"/>
      <c r="IP399" s="96"/>
      <c r="IQ399" s="96"/>
      <c r="IR399" s="96"/>
      <c r="IS399" s="96"/>
      <c r="IT399" s="96"/>
      <c r="IU399" s="96"/>
      <c r="IV399" s="96"/>
      <c r="IW399" s="96"/>
      <c r="IX399" s="96"/>
      <c r="IY399" s="13"/>
    </row>
    <row r="400" spans="1:259" outlineLevel="1">
      <c r="A400" s="11">
        <f>'VAC &amp; MED'!C407</f>
        <v>46368</v>
      </c>
      <c r="B400" s="261"/>
      <c r="C400" s="261"/>
      <c r="D400" s="261"/>
      <c r="E400" s="261"/>
      <c r="F400" s="261"/>
      <c r="G400" s="261"/>
      <c r="H400" s="261"/>
      <c r="I400" s="261"/>
      <c r="J400" s="261"/>
      <c r="K400" s="261"/>
      <c r="L400" s="261"/>
      <c r="M400" s="261"/>
      <c r="N400" s="261"/>
      <c r="O400" s="261"/>
      <c r="P400" s="261"/>
      <c r="Q400" s="261"/>
      <c r="R400" s="262"/>
      <c r="S400" s="262"/>
      <c r="T400" s="262"/>
      <c r="U400" s="262"/>
      <c r="V400" s="262"/>
      <c r="W400" s="262"/>
      <c r="X400" s="262"/>
      <c r="Y400" s="262"/>
      <c r="Z400" s="262"/>
      <c r="AA400" s="262"/>
      <c r="AB400" s="262"/>
      <c r="AC400" s="262"/>
      <c r="AD400" s="262"/>
      <c r="AE400" s="262"/>
      <c r="AF400" s="262"/>
      <c r="AG400" s="262"/>
      <c r="AH400" s="263"/>
      <c r="AI400" s="263"/>
      <c r="AJ400" s="263"/>
      <c r="AK400" s="263"/>
      <c r="AL400" s="263"/>
      <c r="AM400" s="263"/>
      <c r="AN400" s="263"/>
      <c r="AO400" s="263"/>
      <c r="AP400" s="263"/>
      <c r="AQ400" s="263"/>
      <c r="AR400" s="263"/>
      <c r="AS400" s="263"/>
      <c r="AT400" s="263"/>
      <c r="AU400" s="263"/>
      <c r="AV400" s="263"/>
      <c r="AW400" s="263"/>
      <c r="AX400" s="264"/>
      <c r="AY400" s="264"/>
      <c r="AZ400" s="264"/>
      <c r="BA400" s="264"/>
      <c r="BB400" s="264"/>
      <c r="BC400" s="264"/>
      <c r="BD400" s="264"/>
      <c r="BE400" s="264"/>
      <c r="BF400" s="264"/>
      <c r="BG400" s="264"/>
      <c r="BH400" s="264"/>
      <c r="BI400" s="264"/>
      <c r="BJ400" s="264"/>
      <c r="BK400" s="264"/>
      <c r="BL400" s="264"/>
      <c r="BM400" s="264"/>
      <c r="BN400" s="265"/>
      <c r="BO400" s="265"/>
      <c r="BP400" s="265"/>
      <c r="BQ400" s="265"/>
      <c r="BR400" s="265"/>
      <c r="BS400" s="265"/>
      <c r="BT400" s="265"/>
      <c r="BU400" s="265"/>
      <c r="BV400" s="265"/>
      <c r="BW400" s="265"/>
      <c r="BX400" s="265"/>
      <c r="BY400" s="265"/>
      <c r="BZ400" s="265"/>
      <c r="CA400" s="265"/>
      <c r="CB400" s="265"/>
      <c r="CC400" s="265"/>
      <c r="CD400" s="266"/>
      <c r="CE400" s="266"/>
      <c r="CF400" s="266"/>
      <c r="CG400" s="266"/>
      <c r="CH400" s="266"/>
      <c r="CI400" s="266"/>
      <c r="CJ400" s="266"/>
      <c r="CK400" s="266"/>
      <c r="CL400" s="266"/>
      <c r="CM400" s="266"/>
      <c r="CN400" s="266"/>
      <c r="CO400" s="266"/>
      <c r="CP400" s="266"/>
      <c r="CQ400" s="266"/>
      <c r="CR400" s="266"/>
      <c r="CS400" s="266"/>
      <c r="CT400" s="267"/>
      <c r="CU400" s="267"/>
      <c r="CV400" s="267"/>
      <c r="CW400" s="267"/>
      <c r="CX400" s="267"/>
      <c r="CY400" s="267"/>
      <c r="CZ400" s="267"/>
      <c r="DA400" s="267"/>
      <c r="DB400" s="267"/>
      <c r="DC400" s="267"/>
      <c r="DD400" s="267"/>
      <c r="DE400" s="267"/>
      <c r="DF400" s="267"/>
      <c r="DG400" s="267"/>
      <c r="DH400" s="267"/>
      <c r="DI400" s="267"/>
      <c r="DJ400" s="268"/>
      <c r="DK400" s="268"/>
      <c r="DL400" s="268"/>
      <c r="DM400" s="268"/>
      <c r="DN400" s="268"/>
      <c r="DO400" s="268"/>
      <c r="DP400" s="268"/>
      <c r="DQ400" s="268"/>
      <c r="DR400" s="268"/>
      <c r="DS400" s="268"/>
      <c r="DT400" s="268"/>
      <c r="DU400" s="268"/>
      <c r="DV400" s="268"/>
      <c r="DW400" s="268"/>
      <c r="DX400" s="268"/>
      <c r="DY400" s="268"/>
      <c r="EA400" s="13"/>
      <c r="EB400" s="96"/>
      <c r="EC400" s="96"/>
      <c r="ED400" s="96"/>
      <c r="EE400" s="96"/>
      <c r="EF400" s="96"/>
      <c r="EG400" s="96"/>
      <c r="EH400" s="96"/>
      <c r="EI400" s="96"/>
      <c r="EJ400" s="96"/>
      <c r="EK400" s="96"/>
      <c r="EL400" s="96"/>
      <c r="EM400" s="96"/>
      <c r="EN400" s="96"/>
      <c r="EO400" s="96"/>
      <c r="EP400" s="96"/>
      <c r="EQ400" s="96"/>
      <c r="ER400" s="96"/>
      <c r="ES400" s="96"/>
      <c r="ET400" s="96"/>
      <c r="EU400" s="96"/>
      <c r="EV400" s="96"/>
      <c r="EW400" s="96"/>
      <c r="EX400" s="96"/>
      <c r="EY400" s="96"/>
      <c r="EZ400" s="96"/>
      <c r="FA400" s="96"/>
      <c r="FB400" s="96"/>
      <c r="FC400" s="96"/>
      <c r="FD400" s="96"/>
      <c r="FE400" s="96"/>
      <c r="FF400" s="96"/>
      <c r="FG400" s="96"/>
      <c r="FH400" s="96"/>
      <c r="FI400" s="96"/>
      <c r="FJ400" s="96"/>
      <c r="FK400" s="96"/>
      <c r="FL400" s="96"/>
      <c r="FM400" s="96"/>
      <c r="FN400" s="96"/>
      <c r="FO400" s="96"/>
      <c r="FP400" s="96"/>
      <c r="FQ400" s="96"/>
      <c r="FR400" s="96"/>
      <c r="FS400" s="96"/>
      <c r="FT400" s="96"/>
      <c r="FU400" s="96"/>
      <c r="FV400" s="96"/>
      <c r="FW400" s="96"/>
      <c r="FX400" s="96"/>
      <c r="FY400" s="96"/>
      <c r="FZ400" s="96"/>
      <c r="GA400" s="96"/>
      <c r="GB400" s="96"/>
      <c r="GC400" s="96"/>
      <c r="GD400" s="96"/>
      <c r="GE400" s="96"/>
      <c r="GF400" s="96"/>
      <c r="GG400" s="96"/>
      <c r="GH400" s="96"/>
      <c r="GI400" s="96"/>
      <c r="GJ400" s="96"/>
      <c r="GK400" s="96"/>
      <c r="GL400" s="96"/>
      <c r="GM400" s="13"/>
      <c r="GN400" s="96"/>
      <c r="GO400" s="96"/>
      <c r="GP400" s="96"/>
      <c r="GQ400" s="96"/>
      <c r="GR400" s="96"/>
      <c r="GS400" s="96"/>
      <c r="GT400" s="96"/>
      <c r="GU400" s="96"/>
      <c r="GV400" s="96"/>
      <c r="GW400" s="96"/>
      <c r="GX400" s="96"/>
      <c r="GY400" s="96"/>
      <c r="GZ400" s="96"/>
      <c r="HA400" s="96"/>
      <c r="HB400" s="96"/>
      <c r="HC400" s="13"/>
      <c r="HD400" s="96"/>
      <c r="HE400" s="96"/>
      <c r="HF400" s="96"/>
      <c r="HG400" s="96"/>
      <c r="HH400" s="96"/>
      <c r="HI400" s="96"/>
      <c r="HJ400" s="96"/>
      <c r="HK400" s="96"/>
      <c r="HL400" s="96"/>
      <c r="HM400" s="96"/>
      <c r="HN400" s="96"/>
      <c r="HO400" s="96"/>
      <c r="HP400" s="96"/>
      <c r="HQ400" s="96"/>
      <c r="HR400" s="96"/>
      <c r="HS400" s="13"/>
      <c r="HT400" s="96"/>
      <c r="HU400" s="96"/>
      <c r="HV400" s="96"/>
      <c r="HW400" s="96"/>
      <c r="HX400" s="96"/>
      <c r="HY400" s="96"/>
      <c r="HZ400" s="96"/>
      <c r="IA400" s="96"/>
      <c r="IB400" s="96"/>
      <c r="IC400" s="96"/>
      <c r="ID400" s="96"/>
      <c r="IE400" s="96"/>
      <c r="IF400" s="96"/>
      <c r="IG400" s="96"/>
      <c r="IH400" s="96"/>
      <c r="II400" s="13"/>
      <c r="IJ400" s="96"/>
      <c r="IK400" s="96"/>
      <c r="IL400" s="96"/>
      <c r="IM400" s="96"/>
      <c r="IN400" s="96"/>
      <c r="IO400" s="96"/>
      <c r="IP400" s="96"/>
      <c r="IQ400" s="96"/>
      <c r="IR400" s="96"/>
      <c r="IS400" s="96"/>
      <c r="IT400" s="96"/>
      <c r="IU400" s="96"/>
      <c r="IV400" s="96"/>
      <c r="IW400" s="96"/>
      <c r="IX400" s="96"/>
      <c r="IY400" s="13"/>
    </row>
    <row r="401" spans="1:259" outlineLevel="1">
      <c r="A401" s="11">
        <f>'VAC &amp; MED'!C408</f>
        <v>46369</v>
      </c>
      <c r="B401" s="261"/>
      <c r="C401" s="261"/>
      <c r="D401" s="261"/>
      <c r="E401" s="261"/>
      <c r="F401" s="261"/>
      <c r="G401" s="261"/>
      <c r="H401" s="261"/>
      <c r="I401" s="261"/>
      <c r="J401" s="261"/>
      <c r="K401" s="261"/>
      <c r="L401" s="261"/>
      <c r="M401" s="261"/>
      <c r="N401" s="261"/>
      <c r="O401" s="261"/>
      <c r="P401" s="261"/>
      <c r="Q401" s="261"/>
      <c r="R401" s="262"/>
      <c r="S401" s="262"/>
      <c r="T401" s="262"/>
      <c r="U401" s="262"/>
      <c r="V401" s="262"/>
      <c r="W401" s="262"/>
      <c r="X401" s="262"/>
      <c r="Y401" s="262"/>
      <c r="Z401" s="262"/>
      <c r="AA401" s="262"/>
      <c r="AB401" s="262"/>
      <c r="AC401" s="262"/>
      <c r="AD401" s="262"/>
      <c r="AE401" s="262"/>
      <c r="AF401" s="262"/>
      <c r="AG401" s="262"/>
      <c r="AH401" s="263"/>
      <c r="AI401" s="263"/>
      <c r="AJ401" s="263"/>
      <c r="AK401" s="263"/>
      <c r="AL401" s="263"/>
      <c r="AM401" s="263"/>
      <c r="AN401" s="263"/>
      <c r="AO401" s="263"/>
      <c r="AP401" s="263"/>
      <c r="AQ401" s="263"/>
      <c r="AR401" s="263"/>
      <c r="AS401" s="263"/>
      <c r="AT401" s="263"/>
      <c r="AU401" s="263"/>
      <c r="AV401" s="263"/>
      <c r="AW401" s="263"/>
      <c r="AX401" s="264"/>
      <c r="AY401" s="264"/>
      <c r="AZ401" s="264"/>
      <c r="BA401" s="264"/>
      <c r="BB401" s="264"/>
      <c r="BC401" s="264"/>
      <c r="BD401" s="264"/>
      <c r="BE401" s="264"/>
      <c r="BF401" s="264"/>
      <c r="BG401" s="264"/>
      <c r="BH401" s="264"/>
      <c r="BI401" s="264"/>
      <c r="BJ401" s="264"/>
      <c r="BK401" s="264"/>
      <c r="BL401" s="264"/>
      <c r="BM401" s="264"/>
      <c r="BN401" s="265"/>
      <c r="BO401" s="265"/>
      <c r="BP401" s="265"/>
      <c r="BQ401" s="265"/>
      <c r="BR401" s="265"/>
      <c r="BS401" s="265"/>
      <c r="BT401" s="265"/>
      <c r="BU401" s="265"/>
      <c r="BV401" s="265"/>
      <c r="BW401" s="265"/>
      <c r="BX401" s="265"/>
      <c r="BY401" s="265"/>
      <c r="BZ401" s="265"/>
      <c r="CA401" s="265"/>
      <c r="CB401" s="265"/>
      <c r="CC401" s="265"/>
      <c r="CD401" s="266"/>
      <c r="CE401" s="266"/>
      <c r="CF401" s="266"/>
      <c r="CG401" s="266"/>
      <c r="CH401" s="266"/>
      <c r="CI401" s="266"/>
      <c r="CJ401" s="266"/>
      <c r="CK401" s="266"/>
      <c r="CL401" s="266"/>
      <c r="CM401" s="266"/>
      <c r="CN401" s="266"/>
      <c r="CO401" s="266"/>
      <c r="CP401" s="266"/>
      <c r="CQ401" s="266"/>
      <c r="CR401" s="266"/>
      <c r="CS401" s="266"/>
      <c r="CT401" s="267"/>
      <c r="CU401" s="267"/>
      <c r="CV401" s="267"/>
      <c r="CW401" s="267"/>
      <c r="CX401" s="267"/>
      <c r="CY401" s="267"/>
      <c r="CZ401" s="267"/>
      <c r="DA401" s="267"/>
      <c r="DB401" s="267"/>
      <c r="DC401" s="267"/>
      <c r="DD401" s="267"/>
      <c r="DE401" s="267"/>
      <c r="DF401" s="267"/>
      <c r="DG401" s="267"/>
      <c r="DH401" s="267"/>
      <c r="DI401" s="267"/>
      <c r="DJ401" s="268"/>
      <c r="DK401" s="268"/>
      <c r="DL401" s="268"/>
      <c r="DM401" s="268"/>
      <c r="DN401" s="268"/>
      <c r="DO401" s="268"/>
      <c r="DP401" s="268"/>
      <c r="DQ401" s="268"/>
      <c r="DR401" s="268"/>
      <c r="DS401" s="268"/>
      <c r="DT401" s="268"/>
      <c r="DU401" s="268"/>
      <c r="DV401" s="268"/>
      <c r="DW401" s="268"/>
      <c r="DX401" s="268"/>
      <c r="DY401" s="268"/>
      <c r="EA401" s="13"/>
      <c r="EB401" s="96"/>
      <c r="EC401" s="96"/>
      <c r="ED401" s="96"/>
      <c r="EE401" s="96"/>
      <c r="EF401" s="96"/>
      <c r="EG401" s="96"/>
      <c r="EH401" s="96"/>
      <c r="EI401" s="96"/>
      <c r="EJ401" s="96"/>
      <c r="EK401" s="96"/>
      <c r="EL401" s="96"/>
      <c r="EM401" s="96"/>
      <c r="EN401" s="96"/>
      <c r="EO401" s="96"/>
      <c r="EP401" s="96"/>
      <c r="EQ401" s="96"/>
      <c r="ER401" s="96"/>
      <c r="ES401" s="96"/>
      <c r="ET401" s="96"/>
      <c r="EU401" s="96"/>
      <c r="EV401" s="96"/>
      <c r="EW401" s="96"/>
      <c r="EX401" s="96"/>
      <c r="EY401" s="96"/>
      <c r="EZ401" s="96"/>
      <c r="FA401" s="96"/>
      <c r="FB401" s="96"/>
      <c r="FC401" s="96"/>
      <c r="FD401" s="96"/>
      <c r="FE401" s="96"/>
      <c r="FF401" s="96"/>
      <c r="FG401" s="96"/>
      <c r="FH401" s="96"/>
      <c r="FI401" s="96"/>
      <c r="FJ401" s="96"/>
      <c r="FK401" s="96"/>
      <c r="FL401" s="96"/>
      <c r="FM401" s="96"/>
      <c r="FN401" s="96"/>
      <c r="FO401" s="96"/>
      <c r="FP401" s="96"/>
      <c r="FQ401" s="96"/>
      <c r="FR401" s="96"/>
      <c r="FS401" s="96"/>
      <c r="FT401" s="96"/>
      <c r="FU401" s="96"/>
      <c r="FV401" s="96"/>
      <c r="FW401" s="96"/>
      <c r="FX401" s="96"/>
      <c r="FY401" s="96"/>
      <c r="FZ401" s="96"/>
      <c r="GA401" s="96"/>
      <c r="GB401" s="96"/>
      <c r="GC401" s="96"/>
      <c r="GD401" s="96"/>
      <c r="GE401" s="96"/>
      <c r="GF401" s="96"/>
      <c r="GG401" s="96"/>
      <c r="GH401" s="96"/>
      <c r="GI401" s="96"/>
      <c r="GJ401" s="96"/>
      <c r="GK401" s="96"/>
      <c r="GL401" s="96"/>
      <c r="GM401" s="13"/>
      <c r="GN401" s="96"/>
      <c r="GO401" s="96"/>
      <c r="GP401" s="96"/>
      <c r="GQ401" s="96"/>
      <c r="GR401" s="96"/>
      <c r="GS401" s="96"/>
      <c r="GT401" s="96"/>
      <c r="GU401" s="96"/>
      <c r="GV401" s="96"/>
      <c r="GW401" s="96"/>
      <c r="GX401" s="96"/>
      <c r="GY401" s="96"/>
      <c r="GZ401" s="96"/>
      <c r="HA401" s="96"/>
      <c r="HB401" s="96"/>
      <c r="HC401" s="13"/>
      <c r="HD401" s="96"/>
      <c r="HE401" s="96"/>
      <c r="HF401" s="96"/>
      <c r="HG401" s="96"/>
      <c r="HH401" s="96"/>
      <c r="HI401" s="96"/>
      <c r="HJ401" s="96"/>
      <c r="HK401" s="96"/>
      <c r="HL401" s="96"/>
      <c r="HM401" s="96"/>
      <c r="HN401" s="96"/>
      <c r="HO401" s="96"/>
      <c r="HP401" s="96"/>
      <c r="HQ401" s="96"/>
      <c r="HR401" s="96"/>
      <c r="HS401" s="13"/>
      <c r="HT401" s="96"/>
      <c r="HU401" s="96"/>
      <c r="HV401" s="96"/>
      <c r="HW401" s="96"/>
      <c r="HX401" s="96"/>
      <c r="HY401" s="96"/>
      <c r="HZ401" s="96"/>
      <c r="IA401" s="96"/>
      <c r="IB401" s="96"/>
      <c r="IC401" s="96"/>
      <c r="ID401" s="96"/>
      <c r="IE401" s="96"/>
      <c r="IF401" s="96"/>
      <c r="IG401" s="96"/>
      <c r="IH401" s="96"/>
      <c r="II401" s="13"/>
      <c r="IJ401" s="96"/>
      <c r="IK401" s="96"/>
      <c r="IL401" s="96"/>
      <c r="IM401" s="96"/>
      <c r="IN401" s="96"/>
      <c r="IO401" s="96"/>
      <c r="IP401" s="96"/>
      <c r="IQ401" s="96"/>
      <c r="IR401" s="96"/>
      <c r="IS401" s="96"/>
      <c r="IT401" s="96"/>
      <c r="IU401" s="96"/>
      <c r="IV401" s="96"/>
      <c r="IW401" s="96"/>
      <c r="IX401" s="96"/>
      <c r="IY401" s="13"/>
    </row>
    <row r="402" spans="1:259" outlineLevel="1">
      <c r="A402" s="11">
        <f>'VAC &amp; MED'!C409</f>
        <v>46370</v>
      </c>
      <c r="B402" s="261"/>
      <c r="C402" s="261"/>
      <c r="D402" s="261"/>
      <c r="E402" s="261"/>
      <c r="F402" s="261"/>
      <c r="G402" s="261"/>
      <c r="H402" s="261"/>
      <c r="I402" s="261"/>
      <c r="J402" s="261"/>
      <c r="K402" s="261"/>
      <c r="L402" s="261"/>
      <c r="M402" s="261"/>
      <c r="N402" s="261"/>
      <c r="O402" s="261"/>
      <c r="P402" s="261"/>
      <c r="Q402" s="261"/>
      <c r="R402" s="262"/>
      <c r="S402" s="262"/>
      <c r="T402" s="262"/>
      <c r="U402" s="262"/>
      <c r="V402" s="262"/>
      <c r="W402" s="262"/>
      <c r="X402" s="262"/>
      <c r="Y402" s="262"/>
      <c r="Z402" s="262"/>
      <c r="AA402" s="262"/>
      <c r="AB402" s="262"/>
      <c r="AC402" s="262"/>
      <c r="AD402" s="262"/>
      <c r="AE402" s="262"/>
      <c r="AF402" s="262"/>
      <c r="AG402" s="262"/>
      <c r="AH402" s="263"/>
      <c r="AI402" s="263"/>
      <c r="AJ402" s="263"/>
      <c r="AK402" s="263"/>
      <c r="AL402" s="263"/>
      <c r="AM402" s="263"/>
      <c r="AN402" s="263"/>
      <c r="AO402" s="263"/>
      <c r="AP402" s="263"/>
      <c r="AQ402" s="263"/>
      <c r="AR402" s="263"/>
      <c r="AS402" s="263"/>
      <c r="AT402" s="263"/>
      <c r="AU402" s="263"/>
      <c r="AV402" s="263"/>
      <c r="AW402" s="263"/>
      <c r="AX402" s="264"/>
      <c r="AY402" s="264"/>
      <c r="AZ402" s="264"/>
      <c r="BA402" s="264"/>
      <c r="BB402" s="264"/>
      <c r="BC402" s="264"/>
      <c r="BD402" s="264"/>
      <c r="BE402" s="264"/>
      <c r="BF402" s="264"/>
      <c r="BG402" s="264"/>
      <c r="BH402" s="264"/>
      <c r="BI402" s="264"/>
      <c r="BJ402" s="264"/>
      <c r="BK402" s="264"/>
      <c r="BL402" s="264"/>
      <c r="BM402" s="264"/>
      <c r="BN402" s="265"/>
      <c r="BO402" s="265"/>
      <c r="BP402" s="265"/>
      <c r="BQ402" s="265"/>
      <c r="BR402" s="265"/>
      <c r="BS402" s="265"/>
      <c r="BT402" s="265"/>
      <c r="BU402" s="265"/>
      <c r="BV402" s="265"/>
      <c r="BW402" s="265"/>
      <c r="BX402" s="265"/>
      <c r="BY402" s="265"/>
      <c r="BZ402" s="265"/>
      <c r="CA402" s="265"/>
      <c r="CB402" s="265"/>
      <c r="CC402" s="265"/>
      <c r="CD402" s="266"/>
      <c r="CE402" s="266"/>
      <c r="CF402" s="266"/>
      <c r="CG402" s="266"/>
      <c r="CH402" s="266"/>
      <c r="CI402" s="266"/>
      <c r="CJ402" s="266"/>
      <c r="CK402" s="266"/>
      <c r="CL402" s="266"/>
      <c r="CM402" s="266"/>
      <c r="CN402" s="266"/>
      <c r="CO402" s="266"/>
      <c r="CP402" s="266"/>
      <c r="CQ402" s="266"/>
      <c r="CR402" s="266"/>
      <c r="CS402" s="266"/>
      <c r="CT402" s="267"/>
      <c r="CU402" s="267"/>
      <c r="CV402" s="267"/>
      <c r="CW402" s="267"/>
      <c r="CX402" s="267"/>
      <c r="CY402" s="267"/>
      <c r="CZ402" s="267"/>
      <c r="DA402" s="267"/>
      <c r="DB402" s="267"/>
      <c r="DC402" s="267"/>
      <c r="DD402" s="267"/>
      <c r="DE402" s="267"/>
      <c r="DF402" s="267"/>
      <c r="DG402" s="267"/>
      <c r="DH402" s="267"/>
      <c r="DI402" s="267"/>
      <c r="DJ402" s="268"/>
      <c r="DK402" s="268"/>
      <c r="DL402" s="268"/>
      <c r="DM402" s="268"/>
      <c r="DN402" s="268"/>
      <c r="DO402" s="268"/>
      <c r="DP402" s="268"/>
      <c r="DQ402" s="268"/>
      <c r="DR402" s="268"/>
      <c r="DS402" s="268"/>
      <c r="DT402" s="268"/>
      <c r="DU402" s="268"/>
      <c r="DV402" s="268"/>
      <c r="DW402" s="268"/>
      <c r="DX402" s="268"/>
      <c r="DY402" s="268"/>
      <c r="EA402" s="13"/>
      <c r="EB402" s="96"/>
      <c r="EC402" s="96"/>
      <c r="ED402" s="96"/>
      <c r="EE402" s="96"/>
      <c r="EF402" s="96"/>
      <c r="EG402" s="96"/>
      <c r="EH402" s="96"/>
      <c r="EI402" s="96"/>
      <c r="EJ402" s="96"/>
      <c r="EK402" s="96"/>
      <c r="EL402" s="96"/>
      <c r="EM402" s="96"/>
      <c r="EN402" s="96"/>
      <c r="EO402" s="96"/>
      <c r="EP402" s="96"/>
      <c r="EQ402" s="96"/>
      <c r="ER402" s="96"/>
      <c r="ES402" s="96"/>
      <c r="ET402" s="96"/>
      <c r="EU402" s="96"/>
      <c r="EV402" s="96"/>
      <c r="EW402" s="96"/>
      <c r="EX402" s="96"/>
      <c r="EY402" s="96"/>
      <c r="EZ402" s="96"/>
      <c r="FA402" s="96"/>
      <c r="FB402" s="96"/>
      <c r="FC402" s="96"/>
      <c r="FD402" s="96"/>
      <c r="FE402" s="96"/>
      <c r="FF402" s="96"/>
      <c r="FG402" s="96"/>
      <c r="FH402" s="96"/>
      <c r="FI402" s="96"/>
      <c r="FJ402" s="96"/>
      <c r="FK402" s="96"/>
      <c r="FL402" s="96"/>
      <c r="FM402" s="96"/>
      <c r="FN402" s="96"/>
      <c r="FO402" s="96"/>
      <c r="FP402" s="96"/>
      <c r="FQ402" s="96"/>
      <c r="FR402" s="96"/>
      <c r="FS402" s="96"/>
      <c r="FT402" s="96"/>
      <c r="FU402" s="96"/>
      <c r="FV402" s="96"/>
      <c r="FW402" s="96"/>
      <c r="FX402" s="96"/>
      <c r="FY402" s="96"/>
      <c r="FZ402" s="96"/>
      <c r="GA402" s="96"/>
      <c r="GB402" s="96"/>
      <c r="GC402" s="96"/>
      <c r="GD402" s="96"/>
      <c r="GE402" s="96"/>
      <c r="GF402" s="96"/>
      <c r="GG402" s="96"/>
      <c r="GH402" s="96"/>
      <c r="GI402" s="96"/>
      <c r="GJ402" s="96"/>
      <c r="GK402" s="96"/>
      <c r="GL402" s="96"/>
      <c r="GM402" s="13"/>
      <c r="GN402" s="96"/>
      <c r="GO402" s="96"/>
      <c r="GP402" s="96"/>
      <c r="GQ402" s="96"/>
      <c r="GR402" s="96"/>
      <c r="GS402" s="96"/>
      <c r="GT402" s="96"/>
      <c r="GU402" s="96"/>
      <c r="GV402" s="96"/>
      <c r="GW402" s="96"/>
      <c r="GX402" s="96"/>
      <c r="GY402" s="96"/>
      <c r="GZ402" s="96"/>
      <c r="HA402" s="96"/>
      <c r="HB402" s="96"/>
      <c r="HC402" s="13"/>
      <c r="HD402" s="96"/>
      <c r="HE402" s="96"/>
      <c r="HF402" s="96"/>
      <c r="HG402" s="96"/>
      <c r="HH402" s="96"/>
      <c r="HI402" s="96"/>
      <c r="HJ402" s="96"/>
      <c r="HK402" s="96"/>
      <c r="HL402" s="96"/>
      <c r="HM402" s="96"/>
      <c r="HN402" s="96"/>
      <c r="HO402" s="96"/>
      <c r="HP402" s="96"/>
      <c r="HQ402" s="96"/>
      <c r="HR402" s="96"/>
      <c r="HS402" s="13"/>
      <c r="HT402" s="96"/>
      <c r="HU402" s="96"/>
      <c r="HV402" s="96"/>
      <c r="HW402" s="96"/>
      <c r="HX402" s="96"/>
      <c r="HY402" s="96"/>
      <c r="HZ402" s="96"/>
      <c r="IA402" s="96"/>
      <c r="IB402" s="96"/>
      <c r="IC402" s="96"/>
      <c r="ID402" s="96"/>
      <c r="IE402" s="96"/>
      <c r="IF402" s="96"/>
      <c r="IG402" s="96"/>
      <c r="IH402" s="96"/>
      <c r="II402" s="13"/>
      <c r="IJ402" s="96"/>
      <c r="IK402" s="96"/>
      <c r="IL402" s="96"/>
      <c r="IM402" s="96"/>
      <c r="IN402" s="96"/>
      <c r="IO402" s="96"/>
      <c r="IP402" s="96"/>
      <c r="IQ402" s="96"/>
      <c r="IR402" s="96"/>
      <c r="IS402" s="96"/>
      <c r="IT402" s="96"/>
      <c r="IU402" s="96"/>
      <c r="IV402" s="96"/>
      <c r="IW402" s="96"/>
      <c r="IX402" s="96"/>
      <c r="IY402" s="13"/>
    </row>
    <row r="403" spans="1:259" outlineLevel="1">
      <c r="A403" s="11">
        <f>'VAC &amp; MED'!C410</f>
        <v>46371</v>
      </c>
      <c r="B403" s="261"/>
      <c r="C403" s="261"/>
      <c r="D403" s="261"/>
      <c r="E403" s="261"/>
      <c r="F403" s="261"/>
      <c r="G403" s="261"/>
      <c r="H403" s="261"/>
      <c r="I403" s="261"/>
      <c r="J403" s="261"/>
      <c r="K403" s="261"/>
      <c r="L403" s="261"/>
      <c r="M403" s="261"/>
      <c r="N403" s="261"/>
      <c r="O403" s="261"/>
      <c r="P403" s="261"/>
      <c r="Q403" s="261"/>
      <c r="R403" s="262"/>
      <c r="S403" s="262"/>
      <c r="T403" s="262"/>
      <c r="U403" s="262"/>
      <c r="V403" s="262"/>
      <c r="W403" s="262"/>
      <c r="X403" s="262"/>
      <c r="Y403" s="262"/>
      <c r="Z403" s="262"/>
      <c r="AA403" s="262"/>
      <c r="AB403" s="262"/>
      <c r="AC403" s="262"/>
      <c r="AD403" s="262"/>
      <c r="AE403" s="262"/>
      <c r="AF403" s="262"/>
      <c r="AG403" s="262"/>
      <c r="AH403" s="263"/>
      <c r="AI403" s="263"/>
      <c r="AJ403" s="263"/>
      <c r="AK403" s="263"/>
      <c r="AL403" s="263"/>
      <c r="AM403" s="263"/>
      <c r="AN403" s="263"/>
      <c r="AO403" s="263"/>
      <c r="AP403" s="263"/>
      <c r="AQ403" s="263"/>
      <c r="AR403" s="263"/>
      <c r="AS403" s="263"/>
      <c r="AT403" s="263"/>
      <c r="AU403" s="263"/>
      <c r="AV403" s="263"/>
      <c r="AW403" s="263"/>
      <c r="AX403" s="264"/>
      <c r="AY403" s="264"/>
      <c r="AZ403" s="264"/>
      <c r="BA403" s="264"/>
      <c r="BB403" s="264"/>
      <c r="BC403" s="264"/>
      <c r="BD403" s="264"/>
      <c r="BE403" s="264"/>
      <c r="BF403" s="264"/>
      <c r="BG403" s="264"/>
      <c r="BH403" s="264"/>
      <c r="BI403" s="264"/>
      <c r="BJ403" s="264"/>
      <c r="BK403" s="264"/>
      <c r="BL403" s="264"/>
      <c r="BM403" s="264"/>
      <c r="BN403" s="265"/>
      <c r="BO403" s="265"/>
      <c r="BP403" s="265"/>
      <c r="BQ403" s="265"/>
      <c r="BR403" s="265"/>
      <c r="BS403" s="265"/>
      <c r="BT403" s="265"/>
      <c r="BU403" s="265"/>
      <c r="BV403" s="265"/>
      <c r="BW403" s="265"/>
      <c r="BX403" s="265"/>
      <c r="BY403" s="265"/>
      <c r="BZ403" s="265"/>
      <c r="CA403" s="265"/>
      <c r="CB403" s="265"/>
      <c r="CC403" s="265"/>
      <c r="CD403" s="266"/>
      <c r="CE403" s="266"/>
      <c r="CF403" s="266"/>
      <c r="CG403" s="266"/>
      <c r="CH403" s="266"/>
      <c r="CI403" s="266"/>
      <c r="CJ403" s="266"/>
      <c r="CK403" s="266"/>
      <c r="CL403" s="266"/>
      <c r="CM403" s="266"/>
      <c r="CN403" s="266"/>
      <c r="CO403" s="266"/>
      <c r="CP403" s="266"/>
      <c r="CQ403" s="266"/>
      <c r="CR403" s="266"/>
      <c r="CS403" s="266"/>
      <c r="CT403" s="267"/>
      <c r="CU403" s="267"/>
      <c r="CV403" s="267"/>
      <c r="CW403" s="267"/>
      <c r="CX403" s="267"/>
      <c r="CY403" s="267"/>
      <c r="CZ403" s="267"/>
      <c r="DA403" s="267"/>
      <c r="DB403" s="267"/>
      <c r="DC403" s="267"/>
      <c r="DD403" s="267"/>
      <c r="DE403" s="267"/>
      <c r="DF403" s="267"/>
      <c r="DG403" s="267"/>
      <c r="DH403" s="267"/>
      <c r="DI403" s="267"/>
      <c r="DJ403" s="268"/>
      <c r="DK403" s="268"/>
      <c r="DL403" s="268"/>
      <c r="DM403" s="268"/>
      <c r="DN403" s="268"/>
      <c r="DO403" s="268"/>
      <c r="DP403" s="268"/>
      <c r="DQ403" s="268"/>
      <c r="DR403" s="268"/>
      <c r="DS403" s="268"/>
      <c r="DT403" s="268"/>
      <c r="DU403" s="268"/>
      <c r="DV403" s="268"/>
      <c r="DW403" s="268"/>
      <c r="DX403" s="268"/>
      <c r="DY403" s="268"/>
      <c r="EA403" s="13"/>
      <c r="EB403" s="96"/>
      <c r="EC403" s="96"/>
      <c r="ED403" s="96"/>
      <c r="EE403" s="96"/>
      <c r="EF403" s="96"/>
      <c r="EG403" s="96"/>
      <c r="EH403" s="96"/>
      <c r="EI403" s="96"/>
      <c r="EJ403" s="96"/>
      <c r="EK403" s="96"/>
      <c r="EL403" s="96"/>
      <c r="EM403" s="96"/>
      <c r="EN403" s="96"/>
      <c r="EO403" s="96"/>
      <c r="EP403" s="96"/>
      <c r="EQ403" s="96"/>
      <c r="ER403" s="96"/>
      <c r="ES403" s="96"/>
      <c r="ET403" s="96"/>
      <c r="EU403" s="96"/>
      <c r="EV403" s="96"/>
      <c r="EW403" s="96"/>
      <c r="EX403" s="96"/>
      <c r="EY403" s="96"/>
      <c r="EZ403" s="96"/>
      <c r="FA403" s="96"/>
      <c r="FB403" s="96"/>
      <c r="FC403" s="96"/>
      <c r="FD403" s="96"/>
      <c r="FE403" s="96"/>
      <c r="FF403" s="96"/>
      <c r="FG403" s="96"/>
      <c r="FH403" s="96"/>
      <c r="FI403" s="96"/>
      <c r="FJ403" s="96"/>
      <c r="FK403" s="96"/>
      <c r="FL403" s="96"/>
      <c r="FM403" s="96"/>
      <c r="FN403" s="96"/>
      <c r="FO403" s="96"/>
      <c r="FP403" s="96"/>
      <c r="FQ403" s="96"/>
      <c r="FR403" s="96"/>
      <c r="FS403" s="96"/>
      <c r="FT403" s="96"/>
      <c r="FU403" s="96"/>
      <c r="FV403" s="96"/>
      <c r="FW403" s="96"/>
      <c r="FX403" s="96"/>
      <c r="FY403" s="96"/>
      <c r="FZ403" s="96"/>
      <c r="GA403" s="96"/>
      <c r="GB403" s="96"/>
      <c r="GC403" s="96"/>
      <c r="GD403" s="96"/>
      <c r="GE403" s="96"/>
      <c r="GF403" s="96"/>
      <c r="GG403" s="96"/>
      <c r="GH403" s="96"/>
      <c r="GI403" s="96"/>
      <c r="GJ403" s="96"/>
      <c r="GK403" s="96"/>
      <c r="GL403" s="96"/>
      <c r="GM403" s="13"/>
      <c r="GN403" s="96"/>
      <c r="GO403" s="96"/>
      <c r="GP403" s="96"/>
      <c r="GQ403" s="96"/>
      <c r="GR403" s="96"/>
      <c r="GS403" s="96"/>
      <c r="GT403" s="96"/>
      <c r="GU403" s="96"/>
      <c r="GV403" s="96"/>
      <c r="GW403" s="96"/>
      <c r="GX403" s="96"/>
      <c r="GY403" s="96"/>
      <c r="GZ403" s="96"/>
      <c r="HA403" s="96"/>
      <c r="HB403" s="96"/>
      <c r="HC403" s="13"/>
      <c r="HD403" s="96"/>
      <c r="HE403" s="96"/>
      <c r="HF403" s="96"/>
      <c r="HG403" s="96"/>
      <c r="HH403" s="96"/>
      <c r="HI403" s="96"/>
      <c r="HJ403" s="96"/>
      <c r="HK403" s="96"/>
      <c r="HL403" s="96"/>
      <c r="HM403" s="96"/>
      <c r="HN403" s="96"/>
      <c r="HO403" s="96"/>
      <c r="HP403" s="96"/>
      <c r="HQ403" s="96"/>
      <c r="HR403" s="96"/>
      <c r="HS403" s="13"/>
      <c r="HT403" s="96"/>
      <c r="HU403" s="96"/>
      <c r="HV403" s="96"/>
      <c r="HW403" s="96"/>
      <c r="HX403" s="96"/>
      <c r="HY403" s="96"/>
      <c r="HZ403" s="96"/>
      <c r="IA403" s="96"/>
      <c r="IB403" s="96"/>
      <c r="IC403" s="96"/>
      <c r="ID403" s="96"/>
      <c r="IE403" s="96"/>
      <c r="IF403" s="96"/>
      <c r="IG403" s="96"/>
      <c r="IH403" s="96"/>
      <c r="II403" s="13"/>
      <c r="IJ403" s="96"/>
      <c r="IK403" s="96"/>
      <c r="IL403" s="96"/>
      <c r="IM403" s="96"/>
      <c r="IN403" s="96"/>
      <c r="IO403" s="96"/>
      <c r="IP403" s="96"/>
      <c r="IQ403" s="96"/>
      <c r="IR403" s="96"/>
      <c r="IS403" s="96"/>
      <c r="IT403" s="96"/>
      <c r="IU403" s="96"/>
      <c r="IV403" s="96"/>
      <c r="IW403" s="96"/>
      <c r="IX403" s="96"/>
      <c r="IY403" s="13"/>
    </row>
    <row r="404" spans="1:259" outlineLevel="1">
      <c r="A404" s="11">
        <f>'VAC &amp; MED'!C411</f>
        <v>46372</v>
      </c>
      <c r="B404" s="261"/>
      <c r="C404" s="261"/>
      <c r="D404" s="261"/>
      <c r="E404" s="261"/>
      <c r="F404" s="261"/>
      <c r="G404" s="261"/>
      <c r="H404" s="261"/>
      <c r="I404" s="261"/>
      <c r="J404" s="261"/>
      <c r="K404" s="261"/>
      <c r="L404" s="261"/>
      <c r="M404" s="261"/>
      <c r="N404" s="261"/>
      <c r="O404" s="261"/>
      <c r="P404" s="261"/>
      <c r="Q404" s="261"/>
      <c r="R404" s="262"/>
      <c r="S404" s="262"/>
      <c r="T404" s="262"/>
      <c r="U404" s="262"/>
      <c r="V404" s="262"/>
      <c r="W404" s="262"/>
      <c r="X404" s="262"/>
      <c r="Y404" s="262"/>
      <c r="Z404" s="262"/>
      <c r="AA404" s="262"/>
      <c r="AB404" s="262"/>
      <c r="AC404" s="262"/>
      <c r="AD404" s="262"/>
      <c r="AE404" s="262"/>
      <c r="AF404" s="262"/>
      <c r="AG404" s="262"/>
      <c r="AH404" s="263"/>
      <c r="AI404" s="263"/>
      <c r="AJ404" s="263"/>
      <c r="AK404" s="263"/>
      <c r="AL404" s="263"/>
      <c r="AM404" s="263"/>
      <c r="AN404" s="263"/>
      <c r="AO404" s="263"/>
      <c r="AP404" s="263"/>
      <c r="AQ404" s="263"/>
      <c r="AR404" s="263"/>
      <c r="AS404" s="263"/>
      <c r="AT404" s="263"/>
      <c r="AU404" s="263"/>
      <c r="AV404" s="263"/>
      <c r="AW404" s="263"/>
      <c r="AX404" s="264"/>
      <c r="AY404" s="264"/>
      <c r="AZ404" s="264"/>
      <c r="BA404" s="264"/>
      <c r="BB404" s="264"/>
      <c r="BC404" s="264"/>
      <c r="BD404" s="264"/>
      <c r="BE404" s="264"/>
      <c r="BF404" s="264"/>
      <c r="BG404" s="264"/>
      <c r="BH404" s="264"/>
      <c r="BI404" s="264"/>
      <c r="BJ404" s="264"/>
      <c r="BK404" s="264"/>
      <c r="BL404" s="264"/>
      <c r="BM404" s="264"/>
      <c r="BN404" s="265"/>
      <c r="BO404" s="265"/>
      <c r="BP404" s="265"/>
      <c r="BQ404" s="265"/>
      <c r="BR404" s="265"/>
      <c r="BS404" s="265"/>
      <c r="BT404" s="265"/>
      <c r="BU404" s="265"/>
      <c r="BV404" s="265"/>
      <c r="BW404" s="265"/>
      <c r="BX404" s="265"/>
      <c r="BY404" s="265"/>
      <c r="BZ404" s="265"/>
      <c r="CA404" s="265"/>
      <c r="CB404" s="265"/>
      <c r="CC404" s="265"/>
      <c r="CD404" s="266"/>
      <c r="CE404" s="266"/>
      <c r="CF404" s="266"/>
      <c r="CG404" s="266"/>
      <c r="CH404" s="266"/>
      <c r="CI404" s="266"/>
      <c r="CJ404" s="266"/>
      <c r="CK404" s="266"/>
      <c r="CL404" s="266"/>
      <c r="CM404" s="266"/>
      <c r="CN404" s="266"/>
      <c r="CO404" s="266"/>
      <c r="CP404" s="266"/>
      <c r="CQ404" s="266"/>
      <c r="CR404" s="266"/>
      <c r="CS404" s="266"/>
      <c r="CT404" s="267"/>
      <c r="CU404" s="267"/>
      <c r="CV404" s="267"/>
      <c r="CW404" s="267"/>
      <c r="CX404" s="267"/>
      <c r="CY404" s="267"/>
      <c r="CZ404" s="267"/>
      <c r="DA404" s="267"/>
      <c r="DB404" s="267"/>
      <c r="DC404" s="267"/>
      <c r="DD404" s="267"/>
      <c r="DE404" s="267"/>
      <c r="DF404" s="267"/>
      <c r="DG404" s="267"/>
      <c r="DH404" s="267"/>
      <c r="DI404" s="267"/>
      <c r="DJ404" s="268"/>
      <c r="DK404" s="268"/>
      <c r="DL404" s="268"/>
      <c r="DM404" s="268"/>
      <c r="DN404" s="268"/>
      <c r="DO404" s="268"/>
      <c r="DP404" s="268"/>
      <c r="DQ404" s="268"/>
      <c r="DR404" s="268"/>
      <c r="DS404" s="268"/>
      <c r="DT404" s="268"/>
      <c r="DU404" s="268"/>
      <c r="DV404" s="268"/>
      <c r="DW404" s="268"/>
      <c r="DX404" s="268"/>
      <c r="DY404" s="268"/>
      <c r="EA404" s="13"/>
      <c r="EB404" s="96"/>
      <c r="EC404" s="96"/>
      <c r="ED404" s="96"/>
      <c r="EE404" s="96"/>
      <c r="EF404" s="96"/>
      <c r="EG404" s="96"/>
      <c r="EH404" s="96"/>
      <c r="EI404" s="96"/>
      <c r="EJ404" s="96"/>
      <c r="EK404" s="96"/>
      <c r="EL404" s="96"/>
      <c r="EM404" s="96"/>
      <c r="EN404" s="96"/>
      <c r="EO404" s="96"/>
      <c r="EP404" s="96"/>
      <c r="EQ404" s="96"/>
      <c r="ER404" s="96"/>
      <c r="ES404" s="96"/>
      <c r="ET404" s="96"/>
      <c r="EU404" s="96"/>
      <c r="EV404" s="96"/>
      <c r="EW404" s="96"/>
      <c r="EX404" s="96"/>
      <c r="EY404" s="96"/>
      <c r="EZ404" s="96"/>
      <c r="FA404" s="96"/>
      <c r="FB404" s="96"/>
      <c r="FC404" s="96"/>
      <c r="FD404" s="96"/>
      <c r="FE404" s="96"/>
      <c r="FF404" s="96"/>
      <c r="FG404" s="96"/>
      <c r="FH404" s="96"/>
      <c r="FI404" s="96"/>
      <c r="FJ404" s="96"/>
      <c r="FK404" s="96"/>
      <c r="FL404" s="96"/>
      <c r="FM404" s="96"/>
      <c r="FN404" s="96"/>
      <c r="FO404" s="96"/>
      <c r="FP404" s="96"/>
      <c r="FQ404" s="96"/>
      <c r="FR404" s="96"/>
      <c r="FS404" s="96"/>
      <c r="FT404" s="96"/>
      <c r="FU404" s="96"/>
      <c r="FV404" s="96"/>
      <c r="FW404" s="96"/>
      <c r="FX404" s="96"/>
      <c r="FY404" s="96"/>
      <c r="FZ404" s="96"/>
      <c r="GA404" s="96"/>
      <c r="GB404" s="96"/>
      <c r="GC404" s="96"/>
      <c r="GD404" s="96"/>
      <c r="GE404" s="96"/>
      <c r="GF404" s="96"/>
      <c r="GG404" s="96"/>
      <c r="GH404" s="96"/>
      <c r="GI404" s="96"/>
      <c r="GJ404" s="96"/>
      <c r="GK404" s="96"/>
      <c r="GL404" s="96"/>
      <c r="GM404" s="13"/>
      <c r="GN404" s="96"/>
      <c r="GO404" s="96"/>
      <c r="GP404" s="96"/>
      <c r="GQ404" s="96"/>
      <c r="GR404" s="96"/>
      <c r="GS404" s="96"/>
      <c r="GT404" s="96"/>
      <c r="GU404" s="96"/>
      <c r="GV404" s="96"/>
      <c r="GW404" s="96"/>
      <c r="GX404" s="96"/>
      <c r="GY404" s="96"/>
      <c r="GZ404" s="96"/>
      <c r="HA404" s="96"/>
      <c r="HB404" s="96"/>
      <c r="HC404" s="13"/>
      <c r="HD404" s="96"/>
      <c r="HE404" s="96"/>
      <c r="HF404" s="96"/>
      <c r="HG404" s="96"/>
      <c r="HH404" s="96"/>
      <c r="HI404" s="96"/>
      <c r="HJ404" s="96"/>
      <c r="HK404" s="96"/>
      <c r="HL404" s="96"/>
      <c r="HM404" s="96"/>
      <c r="HN404" s="96"/>
      <c r="HO404" s="96"/>
      <c r="HP404" s="96"/>
      <c r="HQ404" s="96"/>
      <c r="HR404" s="96"/>
      <c r="HS404" s="13"/>
      <c r="HT404" s="96"/>
      <c r="HU404" s="96"/>
      <c r="HV404" s="96"/>
      <c r="HW404" s="96"/>
      <c r="HX404" s="96"/>
      <c r="HY404" s="96"/>
      <c r="HZ404" s="96"/>
      <c r="IA404" s="96"/>
      <c r="IB404" s="96"/>
      <c r="IC404" s="96"/>
      <c r="ID404" s="96"/>
      <c r="IE404" s="96"/>
      <c r="IF404" s="96"/>
      <c r="IG404" s="96"/>
      <c r="IH404" s="96"/>
      <c r="II404" s="13"/>
      <c r="IJ404" s="96"/>
      <c r="IK404" s="96"/>
      <c r="IL404" s="96"/>
      <c r="IM404" s="96"/>
      <c r="IN404" s="96"/>
      <c r="IO404" s="96"/>
      <c r="IP404" s="96"/>
      <c r="IQ404" s="96"/>
      <c r="IR404" s="96"/>
      <c r="IS404" s="96"/>
      <c r="IT404" s="96"/>
      <c r="IU404" s="96"/>
      <c r="IV404" s="96"/>
      <c r="IW404" s="96"/>
      <c r="IX404" s="96"/>
      <c r="IY404" s="13"/>
    </row>
    <row r="405" spans="1:259" outlineLevel="1">
      <c r="A405" s="11">
        <f>'VAC &amp; MED'!C412</f>
        <v>46373</v>
      </c>
      <c r="B405" s="261"/>
      <c r="C405" s="261"/>
      <c r="D405" s="261"/>
      <c r="E405" s="261"/>
      <c r="F405" s="261"/>
      <c r="G405" s="261"/>
      <c r="H405" s="261"/>
      <c r="I405" s="261"/>
      <c r="J405" s="261"/>
      <c r="K405" s="261"/>
      <c r="L405" s="261"/>
      <c r="M405" s="261"/>
      <c r="N405" s="261"/>
      <c r="O405" s="261"/>
      <c r="P405" s="261"/>
      <c r="Q405" s="261"/>
      <c r="R405" s="262"/>
      <c r="S405" s="262"/>
      <c r="T405" s="262"/>
      <c r="U405" s="262"/>
      <c r="V405" s="262"/>
      <c r="W405" s="262"/>
      <c r="X405" s="262"/>
      <c r="Y405" s="262"/>
      <c r="Z405" s="262"/>
      <c r="AA405" s="262"/>
      <c r="AB405" s="262"/>
      <c r="AC405" s="262"/>
      <c r="AD405" s="262"/>
      <c r="AE405" s="262"/>
      <c r="AF405" s="262"/>
      <c r="AG405" s="262"/>
      <c r="AH405" s="263"/>
      <c r="AI405" s="263"/>
      <c r="AJ405" s="263"/>
      <c r="AK405" s="263"/>
      <c r="AL405" s="263"/>
      <c r="AM405" s="263"/>
      <c r="AN405" s="263"/>
      <c r="AO405" s="263"/>
      <c r="AP405" s="263"/>
      <c r="AQ405" s="263"/>
      <c r="AR405" s="263"/>
      <c r="AS405" s="263"/>
      <c r="AT405" s="263"/>
      <c r="AU405" s="263"/>
      <c r="AV405" s="263"/>
      <c r="AW405" s="263"/>
      <c r="AX405" s="264"/>
      <c r="AY405" s="264"/>
      <c r="AZ405" s="264"/>
      <c r="BA405" s="264"/>
      <c r="BB405" s="264"/>
      <c r="BC405" s="264"/>
      <c r="BD405" s="264"/>
      <c r="BE405" s="264"/>
      <c r="BF405" s="264"/>
      <c r="BG405" s="264"/>
      <c r="BH405" s="264"/>
      <c r="BI405" s="264"/>
      <c r="BJ405" s="264"/>
      <c r="BK405" s="264"/>
      <c r="BL405" s="264"/>
      <c r="BM405" s="264"/>
      <c r="BN405" s="265"/>
      <c r="BO405" s="265"/>
      <c r="BP405" s="265"/>
      <c r="BQ405" s="265"/>
      <c r="BR405" s="265"/>
      <c r="BS405" s="265"/>
      <c r="BT405" s="265"/>
      <c r="BU405" s="265"/>
      <c r="BV405" s="265"/>
      <c r="BW405" s="265"/>
      <c r="BX405" s="265"/>
      <c r="BY405" s="265"/>
      <c r="BZ405" s="265"/>
      <c r="CA405" s="265"/>
      <c r="CB405" s="265"/>
      <c r="CC405" s="265"/>
      <c r="CD405" s="266"/>
      <c r="CE405" s="266"/>
      <c r="CF405" s="266"/>
      <c r="CG405" s="266"/>
      <c r="CH405" s="266"/>
      <c r="CI405" s="266"/>
      <c r="CJ405" s="266"/>
      <c r="CK405" s="266"/>
      <c r="CL405" s="266"/>
      <c r="CM405" s="266"/>
      <c r="CN405" s="266"/>
      <c r="CO405" s="266"/>
      <c r="CP405" s="266"/>
      <c r="CQ405" s="266"/>
      <c r="CR405" s="266"/>
      <c r="CS405" s="266"/>
      <c r="CT405" s="267"/>
      <c r="CU405" s="267"/>
      <c r="CV405" s="267"/>
      <c r="CW405" s="267"/>
      <c r="CX405" s="267"/>
      <c r="CY405" s="267"/>
      <c r="CZ405" s="267"/>
      <c r="DA405" s="267"/>
      <c r="DB405" s="267"/>
      <c r="DC405" s="267"/>
      <c r="DD405" s="267"/>
      <c r="DE405" s="267"/>
      <c r="DF405" s="267"/>
      <c r="DG405" s="267"/>
      <c r="DH405" s="267"/>
      <c r="DI405" s="267"/>
      <c r="DJ405" s="268"/>
      <c r="DK405" s="268"/>
      <c r="DL405" s="268"/>
      <c r="DM405" s="268"/>
      <c r="DN405" s="268"/>
      <c r="DO405" s="268"/>
      <c r="DP405" s="268"/>
      <c r="DQ405" s="268"/>
      <c r="DR405" s="268"/>
      <c r="DS405" s="268"/>
      <c r="DT405" s="268"/>
      <c r="DU405" s="268"/>
      <c r="DV405" s="268"/>
      <c r="DW405" s="268"/>
      <c r="DX405" s="268"/>
      <c r="DY405" s="268"/>
      <c r="EA405" s="13"/>
      <c r="EB405" s="96"/>
      <c r="EC405" s="96"/>
      <c r="ED405" s="96"/>
      <c r="EE405" s="96"/>
      <c r="EF405" s="96"/>
      <c r="EG405" s="96"/>
      <c r="EH405" s="96"/>
      <c r="EI405" s="96"/>
      <c r="EJ405" s="96"/>
      <c r="EK405" s="96"/>
      <c r="EL405" s="96"/>
      <c r="EM405" s="96"/>
      <c r="EN405" s="96"/>
      <c r="EO405" s="96"/>
      <c r="EP405" s="96"/>
      <c r="EQ405" s="96"/>
      <c r="ER405" s="96"/>
      <c r="ES405" s="96"/>
      <c r="ET405" s="96"/>
      <c r="EU405" s="96"/>
      <c r="EV405" s="96"/>
      <c r="EW405" s="96"/>
      <c r="EX405" s="96"/>
      <c r="EY405" s="96"/>
      <c r="EZ405" s="96"/>
      <c r="FA405" s="96"/>
      <c r="FB405" s="96"/>
      <c r="FC405" s="96"/>
      <c r="FD405" s="96"/>
      <c r="FE405" s="96"/>
      <c r="FF405" s="96"/>
      <c r="FG405" s="96"/>
      <c r="FH405" s="96"/>
      <c r="FI405" s="96"/>
      <c r="FJ405" s="96"/>
      <c r="FK405" s="96"/>
      <c r="FL405" s="96"/>
      <c r="FM405" s="96"/>
      <c r="FN405" s="96"/>
      <c r="FO405" s="96"/>
      <c r="FP405" s="96"/>
      <c r="FQ405" s="96"/>
      <c r="FR405" s="96"/>
      <c r="FS405" s="96"/>
      <c r="FT405" s="96"/>
      <c r="FU405" s="96"/>
      <c r="FV405" s="96"/>
      <c r="FW405" s="96"/>
      <c r="FX405" s="96"/>
      <c r="FY405" s="96"/>
      <c r="FZ405" s="96"/>
      <c r="GA405" s="96"/>
      <c r="GB405" s="96"/>
      <c r="GC405" s="96"/>
      <c r="GD405" s="96"/>
      <c r="GE405" s="96"/>
      <c r="GF405" s="96"/>
      <c r="GG405" s="96"/>
      <c r="GH405" s="96"/>
      <c r="GI405" s="96"/>
      <c r="GJ405" s="96"/>
      <c r="GK405" s="96"/>
      <c r="GL405" s="96"/>
      <c r="GM405" s="13"/>
      <c r="GN405" s="96"/>
      <c r="GO405" s="96"/>
      <c r="GP405" s="96"/>
      <c r="GQ405" s="96"/>
      <c r="GR405" s="96"/>
      <c r="GS405" s="96"/>
      <c r="GT405" s="96"/>
      <c r="GU405" s="96"/>
      <c r="GV405" s="96"/>
      <c r="GW405" s="96"/>
      <c r="GX405" s="96"/>
      <c r="GY405" s="96"/>
      <c r="GZ405" s="96"/>
      <c r="HA405" s="96"/>
      <c r="HB405" s="96"/>
      <c r="HC405" s="13"/>
      <c r="HD405" s="96"/>
      <c r="HE405" s="96"/>
      <c r="HF405" s="96"/>
      <c r="HG405" s="96"/>
      <c r="HH405" s="96"/>
      <c r="HI405" s="96"/>
      <c r="HJ405" s="96"/>
      <c r="HK405" s="96"/>
      <c r="HL405" s="96"/>
      <c r="HM405" s="96"/>
      <c r="HN405" s="96"/>
      <c r="HO405" s="96"/>
      <c r="HP405" s="96"/>
      <c r="HQ405" s="96"/>
      <c r="HR405" s="96"/>
      <c r="HS405" s="13"/>
      <c r="HT405" s="96"/>
      <c r="HU405" s="96"/>
      <c r="HV405" s="96"/>
      <c r="HW405" s="96"/>
      <c r="HX405" s="96"/>
      <c r="HY405" s="96"/>
      <c r="HZ405" s="96"/>
      <c r="IA405" s="96"/>
      <c r="IB405" s="96"/>
      <c r="IC405" s="96"/>
      <c r="ID405" s="96"/>
      <c r="IE405" s="96"/>
      <c r="IF405" s="96"/>
      <c r="IG405" s="96"/>
      <c r="IH405" s="96"/>
      <c r="II405" s="13"/>
      <c r="IJ405" s="96"/>
      <c r="IK405" s="96"/>
      <c r="IL405" s="96"/>
      <c r="IM405" s="96"/>
      <c r="IN405" s="96"/>
      <c r="IO405" s="96"/>
      <c r="IP405" s="96"/>
      <c r="IQ405" s="96"/>
      <c r="IR405" s="96"/>
      <c r="IS405" s="96"/>
      <c r="IT405" s="96"/>
      <c r="IU405" s="96"/>
      <c r="IV405" s="96"/>
      <c r="IW405" s="96"/>
      <c r="IX405" s="96"/>
      <c r="IY405" s="13"/>
    </row>
    <row r="406" spans="1:259" outlineLevel="1">
      <c r="A406" s="11">
        <f>'VAC &amp; MED'!C413</f>
        <v>46374</v>
      </c>
      <c r="B406" s="261"/>
      <c r="C406" s="261"/>
      <c r="D406" s="261"/>
      <c r="E406" s="261"/>
      <c r="F406" s="261"/>
      <c r="G406" s="261"/>
      <c r="H406" s="261"/>
      <c r="I406" s="261"/>
      <c r="J406" s="261"/>
      <c r="K406" s="261"/>
      <c r="L406" s="261"/>
      <c r="M406" s="261"/>
      <c r="N406" s="261"/>
      <c r="O406" s="261"/>
      <c r="P406" s="261"/>
      <c r="Q406" s="261"/>
      <c r="R406" s="262"/>
      <c r="S406" s="262"/>
      <c r="T406" s="262"/>
      <c r="U406" s="262"/>
      <c r="V406" s="262"/>
      <c r="W406" s="262"/>
      <c r="X406" s="262"/>
      <c r="Y406" s="262"/>
      <c r="Z406" s="262"/>
      <c r="AA406" s="262"/>
      <c r="AB406" s="262"/>
      <c r="AC406" s="262"/>
      <c r="AD406" s="262"/>
      <c r="AE406" s="262"/>
      <c r="AF406" s="262"/>
      <c r="AG406" s="262"/>
      <c r="AH406" s="263"/>
      <c r="AI406" s="263"/>
      <c r="AJ406" s="263"/>
      <c r="AK406" s="263"/>
      <c r="AL406" s="263"/>
      <c r="AM406" s="263"/>
      <c r="AN406" s="263"/>
      <c r="AO406" s="263"/>
      <c r="AP406" s="263"/>
      <c r="AQ406" s="263"/>
      <c r="AR406" s="263"/>
      <c r="AS406" s="263"/>
      <c r="AT406" s="263"/>
      <c r="AU406" s="263"/>
      <c r="AV406" s="263"/>
      <c r="AW406" s="263"/>
      <c r="AX406" s="264"/>
      <c r="AY406" s="264"/>
      <c r="AZ406" s="264"/>
      <c r="BA406" s="264"/>
      <c r="BB406" s="264"/>
      <c r="BC406" s="264"/>
      <c r="BD406" s="264"/>
      <c r="BE406" s="264"/>
      <c r="BF406" s="264"/>
      <c r="BG406" s="264"/>
      <c r="BH406" s="264"/>
      <c r="BI406" s="264"/>
      <c r="BJ406" s="264"/>
      <c r="BK406" s="264"/>
      <c r="BL406" s="264"/>
      <c r="BM406" s="264"/>
      <c r="BN406" s="265"/>
      <c r="BO406" s="265"/>
      <c r="BP406" s="265"/>
      <c r="BQ406" s="265"/>
      <c r="BR406" s="265"/>
      <c r="BS406" s="265"/>
      <c r="BT406" s="265"/>
      <c r="BU406" s="265"/>
      <c r="BV406" s="265"/>
      <c r="BW406" s="265"/>
      <c r="BX406" s="265"/>
      <c r="BY406" s="265"/>
      <c r="BZ406" s="265"/>
      <c r="CA406" s="265"/>
      <c r="CB406" s="265"/>
      <c r="CC406" s="265"/>
      <c r="CD406" s="266"/>
      <c r="CE406" s="266"/>
      <c r="CF406" s="266"/>
      <c r="CG406" s="266"/>
      <c r="CH406" s="266"/>
      <c r="CI406" s="266"/>
      <c r="CJ406" s="266"/>
      <c r="CK406" s="266"/>
      <c r="CL406" s="266"/>
      <c r="CM406" s="266"/>
      <c r="CN406" s="266"/>
      <c r="CO406" s="266"/>
      <c r="CP406" s="266"/>
      <c r="CQ406" s="266"/>
      <c r="CR406" s="266"/>
      <c r="CS406" s="266"/>
      <c r="CT406" s="267"/>
      <c r="CU406" s="267"/>
      <c r="CV406" s="267"/>
      <c r="CW406" s="267"/>
      <c r="CX406" s="267"/>
      <c r="CY406" s="267"/>
      <c r="CZ406" s="267"/>
      <c r="DA406" s="267"/>
      <c r="DB406" s="267"/>
      <c r="DC406" s="267"/>
      <c r="DD406" s="267"/>
      <c r="DE406" s="267"/>
      <c r="DF406" s="267"/>
      <c r="DG406" s="267"/>
      <c r="DH406" s="267"/>
      <c r="DI406" s="267"/>
      <c r="DJ406" s="268"/>
      <c r="DK406" s="268"/>
      <c r="DL406" s="268"/>
      <c r="DM406" s="268"/>
      <c r="DN406" s="268"/>
      <c r="DO406" s="268"/>
      <c r="DP406" s="268"/>
      <c r="DQ406" s="268"/>
      <c r="DR406" s="268"/>
      <c r="DS406" s="268"/>
      <c r="DT406" s="268"/>
      <c r="DU406" s="268"/>
      <c r="DV406" s="268"/>
      <c r="DW406" s="268"/>
      <c r="DX406" s="268"/>
      <c r="DY406" s="268"/>
      <c r="EA406" s="13"/>
      <c r="EB406" s="96"/>
      <c r="EC406" s="96"/>
      <c r="ED406" s="96"/>
      <c r="EE406" s="96"/>
      <c r="EF406" s="96"/>
      <c r="EG406" s="96"/>
      <c r="EH406" s="96"/>
      <c r="EI406" s="96"/>
      <c r="EJ406" s="96"/>
      <c r="EK406" s="96"/>
      <c r="EL406" s="96"/>
      <c r="EM406" s="96"/>
      <c r="EN406" s="96"/>
      <c r="EO406" s="96"/>
      <c r="EP406" s="96"/>
      <c r="EQ406" s="96"/>
      <c r="ER406" s="96"/>
      <c r="ES406" s="96"/>
      <c r="ET406" s="96"/>
      <c r="EU406" s="96"/>
      <c r="EV406" s="96"/>
      <c r="EW406" s="96"/>
      <c r="EX406" s="96"/>
      <c r="EY406" s="96"/>
      <c r="EZ406" s="96"/>
      <c r="FA406" s="96"/>
      <c r="FB406" s="96"/>
      <c r="FC406" s="96"/>
      <c r="FD406" s="96"/>
      <c r="FE406" s="96"/>
      <c r="FF406" s="96"/>
      <c r="FG406" s="96"/>
      <c r="FH406" s="96"/>
      <c r="FI406" s="96"/>
      <c r="FJ406" s="96"/>
      <c r="FK406" s="96"/>
      <c r="FL406" s="96"/>
      <c r="FM406" s="96"/>
      <c r="FN406" s="96"/>
      <c r="FO406" s="96"/>
      <c r="FP406" s="96"/>
      <c r="FQ406" s="96"/>
      <c r="FR406" s="96"/>
      <c r="FS406" s="96"/>
      <c r="FT406" s="96"/>
      <c r="FU406" s="96"/>
      <c r="FV406" s="96"/>
      <c r="FW406" s="96"/>
      <c r="FX406" s="96"/>
      <c r="FY406" s="96"/>
      <c r="FZ406" s="96"/>
      <c r="GA406" s="96"/>
      <c r="GB406" s="96"/>
      <c r="GC406" s="96"/>
      <c r="GD406" s="96"/>
      <c r="GE406" s="96"/>
      <c r="GF406" s="96"/>
      <c r="GG406" s="96"/>
      <c r="GH406" s="96"/>
      <c r="GI406" s="96"/>
      <c r="GJ406" s="96"/>
      <c r="GK406" s="96"/>
      <c r="GL406" s="96"/>
      <c r="GM406" s="13"/>
      <c r="GN406" s="96"/>
      <c r="GO406" s="96"/>
      <c r="GP406" s="96"/>
      <c r="GQ406" s="96"/>
      <c r="GR406" s="96"/>
      <c r="GS406" s="96"/>
      <c r="GT406" s="96"/>
      <c r="GU406" s="96"/>
      <c r="GV406" s="96"/>
      <c r="GW406" s="96"/>
      <c r="GX406" s="96"/>
      <c r="GY406" s="96"/>
      <c r="GZ406" s="96"/>
      <c r="HA406" s="96"/>
      <c r="HB406" s="96"/>
      <c r="HC406" s="13"/>
      <c r="HD406" s="96"/>
      <c r="HE406" s="96"/>
      <c r="HF406" s="96"/>
      <c r="HG406" s="96"/>
      <c r="HH406" s="96"/>
      <c r="HI406" s="96"/>
      <c r="HJ406" s="96"/>
      <c r="HK406" s="96"/>
      <c r="HL406" s="96"/>
      <c r="HM406" s="96"/>
      <c r="HN406" s="96"/>
      <c r="HO406" s="96"/>
      <c r="HP406" s="96"/>
      <c r="HQ406" s="96"/>
      <c r="HR406" s="96"/>
      <c r="HS406" s="13"/>
      <c r="HT406" s="96"/>
      <c r="HU406" s="96"/>
      <c r="HV406" s="96"/>
      <c r="HW406" s="96"/>
      <c r="HX406" s="96"/>
      <c r="HY406" s="96"/>
      <c r="HZ406" s="96"/>
      <c r="IA406" s="96"/>
      <c r="IB406" s="96"/>
      <c r="IC406" s="96"/>
      <c r="ID406" s="96"/>
      <c r="IE406" s="96"/>
      <c r="IF406" s="96"/>
      <c r="IG406" s="96"/>
      <c r="IH406" s="96"/>
      <c r="II406" s="13"/>
      <c r="IJ406" s="96"/>
      <c r="IK406" s="96"/>
      <c r="IL406" s="96"/>
      <c r="IM406" s="96"/>
      <c r="IN406" s="96"/>
      <c r="IO406" s="96"/>
      <c r="IP406" s="96"/>
      <c r="IQ406" s="96"/>
      <c r="IR406" s="96"/>
      <c r="IS406" s="96"/>
      <c r="IT406" s="96"/>
      <c r="IU406" s="96"/>
      <c r="IV406" s="96"/>
      <c r="IW406" s="96"/>
      <c r="IX406" s="96"/>
      <c r="IY406" s="13"/>
    </row>
    <row r="407" spans="1:259" outlineLevel="1">
      <c r="A407" s="11">
        <f>'VAC &amp; MED'!C414</f>
        <v>46375</v>
      </c>
      <c r="B407" s="261"/>
      <c r="C407" s="261"/>
      <c r="D407" s="261"/>
      <c r="E407" s="261"/>
      <c r="F407" s="261"/>
      <c r="G407" s="261"/>
      <c r="H407" s="261"/>
      <c r="I407" s="261"/>
      <c r="J407" s="261"/>
      <c r="K407" s="261"/>
      <c r="L407" s="261"/>
      <c r="M407" s="261"/>
      <c r="N407" s="261"/>
      <c r="O407" s="261"/>
      <c r="P407" s="261"/>
      <c r="Q407" s="261"/>
      <c r="R407" s="262"/>
      <c r="S407" s="262"/>
      <c r="T407" s="262"/>
      <c r="U407" s="262"/>
      <c r="V407" s="262"/>
      <c r="W407" s="262"/>
      <c r="X407" s="262"/>
      <c r="Y407" s="262"/>
      <c r="Z407" s="262"/>
      <c r="AA407" s="262"/>
      <c r="AB407" s="262"/>
      <c r="AC407" s="262"/>
      <c r="AD407" s="262"/>
      <c r="AE407" s="262"/>
      <c r="AF407" s="262"/>
      <c r="AG407" s="262"/>
      <c r="AH407" s="263"/>
      <c r="AI407" s="263"/>
      <c r="AJ407" s="263"/>
      <c r="AK407" s="263"/>
      <c r="AL407" s="263"/>
      <c r="AM407" s="263"/>
      <c r="AN407" s="263"/>
      <c r="AO407" s="263"/>
      <c r="AP407" s="263"/>
      <c r="AQ407" s="263"/>
      <c r="AR407" s="263"/>
      <c r="AS407" s="263"/>
      <c r="AT407" s="263"/>
      <c r="AU407" s="263"/>
      <c r="AV407" s="263"/>
      <c r="AW407" s="263"/>
      <c r="AX407" s="264"/>
      <c r="AY407" s="264"/>
      <c r="AZ407" s="264"/>
      <c r="BA407" s="264"/>
      <c r="BB407" s="264"/>
      <c r="BC407" s="264"/>
      <c r="BD407" s="264"/>
      <c r="BE407" s="264"/>
      <c r="BF407" s="264"/>
      <c r="BG407" s="264"/>
      <c r="BH407" s="264"/>
      <c r="BI407" s="264"/>
      <c r="BJ407" s="264"/>
      <c r="BK407" s="264"/>
      <c r="BL407" s="264"/>
      <c r="BM407" s="264"/>
      <c r="BN407" s="265"/>
      <c r="BO407" s="265"/>
      <c r="BP407" s="265"/>
      <c r="BQ407" s="265"/>
      <c r="BR407" s="265"/>
      <c r="BS407" s="265"/>
      <c r="BT407" s="265"/>
      <c r="BU407" s="265"/>
      <c r="BV407" s="265"/>
      <c r="BW407" s="265"/>
      <c r="BX407" s="265"/>
      <c r="BY407" s="265"/>
      <c r="BZ407" s="265"/>
      <c r="CA407" s="265"/>
      <c r="CB407" s="265"/>
      <c r="CC407" s="265"/>
      <c r="CD407" s="266"/>
      <c r="CE407" s="266"/>
      <c r="CF407" s="266"/>
      <c r="CG407" s="266"/>
      <c r="CH407" s="266"/>
      <c r="CI407" s="266"/>
      <c r="CJ407" s="266"/>
      <c r="CK407" s="266"/>
      <c r="CL407" s="266"/>
      <c r="CM407" s="266"/>
      <c r="CN407" s="266"/>
      <c r="CO407" s="266"/>
      <c r="CP407" s="266"/>
      <c r="CQ407" s="266"/>
      <c r="CR407" s="266"/>
      <c r="CS407" s="266"/>
      <c r="CT407" s="267"/>
      <c r="CU407" s="267"/>
      <c r="CV407" s="267"/>
      <c r="CW407" s="267"/>
      <c r="CX407" s="267"/>
      <c r="CY407" s="267"/>
      <c r="CZ407" s="267"/>
      <c r="DA407" s="267"/>
      <c r="DB407" s="267"/>
      <c r="DC407" s="267"/>
      <c r="DD407" s="267"/>
      <c r="DE407" s="267"/>
      <c r="DF407" s="267"/>
      <c r="DG407" s="267"/>
      <c r="DH407" s="267"/>
      <c r="DI407" s="267"/>
      <c r="DJ407" s="268"/>
      <c r="DK407" s="268"/>
      <c r="DL407" s="268"/>
      <c r="DM407" s="268"/>
      <c r="DN407" s="268"/>
      <c r="DO407" s="268"/>
      <c r="DP407" s="268"/>
      <c r="DQ407" s="268"/>
      <c r="DR407" s="268"/>
      <c r="DS407" s="268"/>
      <c r="DT407" s="268"/>
      <c r="DU407" s="268"/>
      <c r="DV407" s="268"/>
      <c r="DW407" s="268"/>
      <c r="DX407" s="268"/>
      <c r="DY407" s="268"/>
      <c r="EA407" s="13"/>
      <c r="EB407" s="96"/>
      <c r="EC407" s="96"/>
      <c r="ED407" s="96"/>
      <c r="EE407" s="96"/>
      <c r="EF407" s="96"/>
      <c r="EG407" s="96"/>
      <c r="EH407" s="96"/>
      <c r="EI407" s="96"/>
      <c r="EJ407" s="96"/>
      <c r="EK407" s="96"/>
      <c r="EL407" s="96"/>
      <c r="EM407" s="96"/>
      <c r="EN407" s="96"/>
      <c r="EO407" s="96"/>
      <c r="EP407" s="96"/>
      <c r="EQ407" s="96"/>
      <c r="ER407" s="96"/>
      <c r="ES407" s="96"/>
      <c r="ET407" s="96"/>
      <c r="EU407" s="96"/>
      <c r="EV407" s="96"/>
      <c r="EW407" s="96"/>
      <c r="EX407" s="96"/>
      <c r="EY407" s="96"/>
      <c r="EZ407" s="96"/>
      <c r="FA407" s="96"/>
      <c r="FB407" s="96"/>
      <c r="FC407" s="96"/>
      <c r="FD407" s="96"/>
      <c r="FE407" s="96"/>
      <c r="FF407" s="96"/>
      <c r="FG407" s="96"/>
      <c r="FH407" s="96"/>
      <c r="FI407" s="96"/>
      <c r="FJ407" s="96"/>
      <c r="FK407" s="96"/>
      <c r="FL407" s="96"/>
      <c r="FM407" s="96"/>
      <c r="FN407" s="96"/>
      <c r="FO407" s="96"/>
      <c r="FP407" s="96"/>
      <c r="FQ407" s="96"/>
      <c r="FR407" s="96"/>
      <c r="FS407" s="96"/>
      <c r="FT407" s="96"/>
      <c r="FU407" s="96"/>
      <c r="FV407" s="96"/>
      <c r="FW407" s="96"/>
      <c r="FX407" s="96"/>
      <c r="FY407" s="96"/>
      <c r="FZ407" s="96"/>
      <c r="GA407" s="96"/>
      <c r="GB407" s="96"/>
      <c r="GC407" s="96"/>
      <c r="GD407" s="96"/>
      <c r="GE407" s="96"/>
      <c r="GF407" s="96"/>
      <c r="GG407" s="96"/>
      <c r="GH407" s="96"/>
      <c r="GI407" s="96"/>
      <c r="GJ407" s="96"/>
      <c r="GK407" s="96"/>
      <c r="GL407" s="96"/>
      <c r="GM407" s="13"/>
      <c r="GN407" s="96"/>
      <c r="GO407" s="96"/>
      <c r="GP407" s="96"/>
      <c r="GQ407" s="96"/>
      <c r="GR407" s="96"/>
      <c r="GS407" s="96"/>
      <c r="GT407" s="96"/>
      <c r="GU407" s="96"/>
      <c r="GV407" s="96"/>
      <c r="GW407" s="96"/>
      <c r="GX407" s="96"/>
      <c r="GY407" s="96"/>
      <c r="GZ407" s="96"/>
      <c r="HA407" s="96"/>
      <c r="HB407" s="96"/>
      <c r="HC407" s="13"/>
      <c r="HD407" s="96"/>
      <c r="HE407" s="96"/>
      <c r="HF407" s="96"/>
      <c r="HG407" s="96"/>
      <c r="HH407" s="96"/>
      <c r="HI407" s="96"/>
      <c r="HJ407" s="96"/>
      <c r="HK407" s="96"/>
      <c r="HL407" s="96"/>
      <c r="HM407" s="96"/>
      <c r="HN407" s="96"/>
      <c r="HO407" s="96"/>
      <c r="HP407" s="96"/>
      <c r="HQ407" s="96"/>
      <c r="HR407" s="96"/>
      <c r="HS407" s="13"/>
      <c r="HT407" s="96"/>
      <c r="HU407" s="96"/>
      <c r="HV407" s="96"/>
      <c r="HW407" s="96"/>
      <c r="HX407" s="96"/>
      <c r="HY407" s="96"/>
      <c r="HZ407" s="96"/>
      <c r="IA407" s="96"/>
      <c r="IB407" s="96"/>
      <c r="IC407" s="96"/>
      <c r="ID407" s="96"/>
      <c r="IE407" s="96"/>
      <c r="IF407" s="96"/>
      <c r="IG407" s="96"/>
      <c r="IH407" s="96"/>
      <c r="II407" s="13"/>
      <c r="IJ407" s="96"/>
      <c r="IK407" s="96"/>
      <c r="IL407" s="96"/>
      <c r="IM407" s="96"/>
      <c r="IN407" s="96"/>
      <c r="IO407" s="96"/>
      <c r="IP407" s="96"/>
      <c r="IQ407" s="96"/>
      <c r="IR407" s="96"/>
      <c r="IS407" s="96"/>
      <c r="IT407" s="96"/>
      <c r="IU407" s="96"/>
      <c r="IV407" s="96"/>
      <c r="IW407" s="96"/>
      <c r="IX407" s="96"/>
      <c r="IY407" s="13"/>
    </row>
    <row r="408" spans="1:259" outlineLevel="1">
      <c r="A408" s="11">
        <f>'VAC &amp; MED'!C415</f>
        <v>46376</v>
      </c>
      <c r="B408" s="261"/>
      <c r="C408" s="261"/>
      <c r="D408" s="261"/>
      <c r="E408" s="261"/>
      <c r="F408" s="261"/>
      <c r="G408" s="261"/>
      <c r="H408" s="261"/>
      <c r="I408" s="261"/>
      <c r="J408" s="261"/>
      <c r="K408" s="261"/>
      <c r="L408" s="261"/>
      <c r="M408" s="261"/>
      <c r="N408" s="261"/>
      <c r="O408" s="261"/>
      <c r="P408" s="261"/>
      <c r="Q408" s="261"/>
      <c r="R408" s="262"/>
      <c r="S408" s="262"/>
      <c r="T408" s="262"/>
      <c r="U408" s="262"/>
      <c r="V408" s="262"/>
      <c r="W408" s="262"/>
      <c r="X408" s="262"/>
      <c r="Y408" s="262"/>
      <c r="Z408" s="262"/>
      <c r="AA408" s="262"/>
      <c r="AB408" s="262"/>
      <c r="AC408" s="262"/>
      <c r="AD408" s="262"/>
      <c r="AE408" s="262"/>
      <c r="AF408" s="262"/>
      <c r="AG408" s="262"/>
      <c r="AH408" s="263"/>
      <c r="AI408" s="263"/>
      <c r="AJ408" s="263"/>
      <c r="AK408" s="263"/>
      <c r="AL408" s="263"/>
      <c r="AM408" s="263"/>
      <c r="AN408" s="263"/>
      <c r="AO408" s="263"/>
      <c r="AP408" s="263"/>
      <c r="AQ408" s="263"/>
      <c r="AR408" s="263"/>
      <c r="AS408" s="263"/>
      <c r="AT408" s="263"/>
      <c r="AU408" s="263"/>
      <c r="AV408" s="263"/>
      <c r="AW408" s="263"/>
      <c r="AX408" s="264"/>
      <c r="AY408" s="264"/>
      <c r="AZ408" s="264"/>
      <c r="BA408" s="264"/>
      <c r="BB408" s="264"/>
      <c r="BC408" s="264"/>
      <c r="BD408" s="264"/>
      <c r="BE408" s="264"/>
      <c r="BF408" s="264"/>
      <c r="BG408" s="264"/>
      <c r="BH408" s="264"/>
      <c r="BI408" s="264"/>
      <c r="BJ408" s="264"/>
      <c r="BK408" s="264"/>
      <c r="BL408" s="264"/>
      <c r="BM408" s="264"/>
      <c r="BN408" s="265"/>
      <c r="BO408" s="265"/>
      <c r="BP408" s="265"/>
      <c r="BQ408" s="265"/>
      <c r="BR408" s="265"/>
      <c r="BS408" s="265"/>
      <c r="BT408" s="265"/>
      <c r="BU408" s="265"/>
      <c r="BV408" s="265"/>
      <c r="BW408" s="265"/>
      <c r="BX408" s="265"/>
      <c r="BY408" s="265"/>
      <c r="BZ408" s="265"/>
      <c r="CA408" s="265"/>
      <c r="CB408" s="265"/>
      <c r="CC408" s="265"/>
      <c r="CD408" s="266"/>
      <c r="CE408" s="266"/>
      <c r="CF408" s="266"/>
      <c r="CG408" s="266"/>
      <c r="CH408" s="266"/>
      <c r="CI408" s="266"/>
      <c r="CJ408" s="266"/>
      <c r="CK408" s="266"/>
      <c r="CL408" s="266"/>
      <c r="CM408" s="266"/>
      <c r="CN408" s="266"/>
      <c r="CO408" s="266"/>
      <c r="CP408" s="266"/>
      <c r="CQ408" s="266"/>
      <c r="CR408" s="266"/>
      <c r="CS408" s="266"/>
      <c r="CT408" s="267"/>
      <c r="CU408" s="267"/>
      <c r="CV408" s="267"/>
      <c r="CW408" s="267"/>
      <c r="CX408" s="267"/>
      <c r="CY408" s="267"/>
      <c r="CZ408" s="267"/>
      <c r="DA408" s="267"/>
      <c r="DB408" s="267"/>
      <c r="DC408" s="267"/>
      <c r="DD408" s="267"/>
      <c r="DE408" s="267"/>
      <c r="DF408" s="267"/>
      <c r="DG408" s="267"/>
      <c r="DH408" s="267"/>
      <c r="DI408" s="267"/>
      <c r="DJ408" s="268"/>
      <c r="DK408" s="268"/>
      <c r="DL408" s="268"/>
      <c r="DM408" s="268"/>
      <c r="DN408" s="268"/>
      <c r="DO408" s="268"/>
      <c r="DP408" s="268"/>
      <c r="DQ408" s="268"/>
      <c r="DR408" s="268"/>
      <c r="DS408" s="268"/>
      <c r="DT408" s="268"/>
      <c r="DU408" s="268"/>
      <c r="DV408" s="268"/>
      <c r="DW408" s="268"/>
      <c r="DX408" s="268"/>
      <c r="DY408" s="268"/>
      <c r="EA408" s="13"/>
      <c r="EB408" s="96"/>
      <c r="EC408" s="96"/>
      <c r="ED408" s="96"/>
      <c r="EE408" s="96"/>
      <c r="EF408" s="96"/>
      <c r="EG408" s="96"/>
      <c r="EH408" s="96"/>
      <c r="EI408" s="96"/>
      <c r="EJ408" s="96"/>
      <c r="EK408" s="96"/>
      <c r="EL408" s="96"/>
      <c r="EM408" s="96"/>
      <c r="EN408" s="96"/>
      <c r="EO408" s="96"/>
      <c r="EP408" s="96"/>
      <c r="EQ408" s="96"/>
      <c r="ER408" s="96"/>
      <c r="ES408" s="96"/>
      <c r="ET408" s="96"/>
      <c r="EU408" s="96"/>
      <c r="EV408" s="96"/>
      <c r="EW408" s="96"/>
      <c r="EX408" s="96"/>
      <c r="EY408" s="96"/>
      <c r="EZ408" s="96"/>
      <c r="FA408" s="96"/>
      <c r="FB408" s="96"/>
      <c r="FC408" s="96"/>
      <c r="FD408" s="96"/>
      <c r="FE408" s="96"/>
      <c r="FF408" s="96"/>
      <c r="FG408" s="96"/>
      <c r="FH408" s="96"/>
      <c r="FI408" s="96"/>
      <c r="FJ408" s="96"/>
      <c r="FK408" s="96"/>
      <c r="FL408" s="96"/>
      <c r="FM408" s="96"/>
      <c r="FN408" s="96"/>
      <c r="FO408" s="96"/>
      <c r="FP408" s="96"/>
      <c r="FQ408" s="96"/>
      <c r="FR408" s="96"/>
      <c r="FS408" s="96"/>
      <c r="FT408" s="96"/>
      <c r="FU408" s="96"/>
      <c r="FV408" s="96"/>
      <c r="FW408" s="96"/>
      <c r="FX408" s="96"/>
      <c r="FY408" s="96"/>
      <c r="FZ408" s="96"/>
      <c r="GA408" s="96"/>
      <c r="GB408" s="96"/>
      <c r="GC408" s="96"/>
      <c r="GD408" s="96"/>
      <c r="GE408" s="96"/>
      <c r="GF408" s="96"/>
      <c r="GG408" s="96"/>
      <c r="GH408" s="96"/>
      <c r="GI408" s="96"/>
      <c r="GJ408" s="96"/>
      <c r="GK408" s="96"/>
      <c r="GL408" s="96"/>
      <c r="GM408" s="13"/>
      <c r="GN408" s="96"/>
      <c r="GO408" s="96"/>
      <c r="GP408" s="96"/>
      <c r="GQ408" s="96"/>
      <c r="GR408" s="96"/>
      <c r="GS408" s="96"/>
      <c r="GT408" s="96"/>
      <c r="GU408" s="96"/>
      <c r="GV408" s="96"/>
      <c r="GW408" s="96"/>
      <c r="GX408" s="96"/>
      <c r="GY408" s="96"/>
      <c r="GZ408" s="96"/>
      <c r="HA408" s="96"/>
      <c r="HB408" s="96"/>
      <c r="HC408" s="13"/>
      <c r="HD408" s="96"/>
      <c r="HE408" s="96"/>
      <c r="HF408" s="96"/>
      <c r="HG408" s="96"/>
      <c r="HH408" s="96"/>
      <c r="HI408" s="96"/>
      <c r="HJ408" s="96"/>
      <c r="HK408" s="96"/>
      <c r="HL408" s="96"/>
      <c r="HM408" s="96"/>
      <c r="HN408" s="96"/>
      <c r="HO408" s="96"/>
      <c r="HP408" s="96"/>
      <c r="HQ408" s="96"/>
      <c r="HR408" s="96"/>
      <c r="HS408" s="13"/>
      <c r="HT408" s="96"/>
      <c r="HU408" s="96"/>
      <c r="HV408" s="96"/>
      <c r="HW408" s="96"/>
      <c r="HX408" s="96"/>
      <c r="HY408" s="96"/>
      <c r="HZ408" s="96"/>
      <c r="IA408" s="96"/>
      <c r="IB408" s="96"/>
      <c r="IC408" s="96"/>
      <c r="ID408" s="96"/>
      <c r="IE408" s="96"/>
      <c r="IF408" s="96"/>
      <c r="IG408" s="96"/>
      <c r="IH408" s="96"/>
      <c r="II408" s="13"/>
      <c r="IJ408" s="96"/>
      <c r="IK408" s="96"/>
      <c r="IL408" s="96"/>
      <c r="IM408" s="96"/>
      <c r="IN408" s="96"/>
      <c r="IO408" s="96"/>
      <c r="IP408" s="96"/>
      <c r="IQ408" s="96"/>
      <c r="IR408" s="96"/>
      <c r="IS408" s="96"/>
      <c r="IT408" s="96"/>
      <c r="IU408" s="96"/>
      <c r="IV408" s="96"/>
      <c r="IW408" s="96"/>
      <c r="IX408" s="96"/>
      <c r="IY408" s="13"/>
    </row>
    <row r="409" spans="1:259" outlineLevel="1">
      <c r="A409" s="11">
        <f>'VAC &amp; MED'!C416</f>
        <v>46377</v>
      </c>
      <c r="B409" s="261"/>
      <c r="C409" s="261"/>
      <c r="D409" s="261"/>
      <c r="E409" s="261"/>
      <c r="F409" s="261"/>
      <c r="G409" s="261"/>
      <c r="H409" s="261"/>
      <c r="I409" s="261"/>
      <c r="J409" s="261"/>
      <c r="K409" s="261"/>
      <c r="L409" s="261"/>
      <c r="M409" s="261"/>
      <c r="N409" s="261"/>
      <c r="O409" s="261"/>
      <c r="P409" s="261"/>
      <c r="Q409" s="261"/>
      <c r="R409" s="262"/>
      <c r="S409" s="262"/>
      <c r="T409" s="262"/>
      <c r="U409" s="262"/>
      <c r="V409" s="262"/>
      <c r="W409" s="262"/>
      <c r="X409" s="262"/>
      <c r="Y409" s="262"/>
      <c r="Z409" s="262"/>
      <c r="AA409" s="262"/>
      <c r="AB409" s="262"/>
      <c r="AC409" s="262"/>
      <c r="AD409" s="262"/>
      <c r="AE409" s="262"/>
      <c r="AF409" s="262"/>
      <c r="AG409" s="262"/>
      <c r="AH409" s="263"/>
      <c r="AI409" s="263"/>
      <c r="AJ409" s="263"/>
      <c r="AK409" s="263"/>
      <c r="AL409" s="263"/>
      <c r="AM409" s="263"/>
      <c r="AN409" s="263"/>
      <c r="AO409" s="263"/>
      <c r="AP409" s="263"/>
      <c r="AQ409" s="263"/>
      <c r="AR409" s="263"/>
      <c r="AS409" s="263"/>
      <c r="AT409" s="263"/>
      <c r="AU409" s="263"/>
      <c r="AV409" s="263"/>
      <c r="AW409" s="263"/>
      <c r="AX409" s="264"/>
      <c r="AY409" s="264"/>
      <c r="AZ409" s="264"/>
      <c r="BA409" s="264"/>
      <c r="BB409" s="264"/>
      <c r="BC409" s="264"/>
      <c r="BD409" s="264"/>
      <c r="BE409" s="264"/>
      <c r="BF409" s="264"/>
      <c r="BG409" s="264"/>
      <c r="BH409" s="264"/>
      <c r="BI409" s="264"/>
      <c r="BJ409" s="264"/>
      <c r="BK409" s="264"/>
      <c r="BL409" s="264"/>
      <c r="BM409" s="264"/>
      <c r="BN409" s="265"/>
      <c r="BO409" s="265"/>
      <c r="BP409" s="265"/>
      <c r="BQ409" s="265"/>
      <c r="BR409" s="265"/>
      <c r="BS409" s="265"/>
      <c r="BT409" s="265"/>
      <c r="BU409" s="265"/>
      <c r="BV409" s="265"/>
      <c r="BW409" s="265"/>
      <c r="BX409" s="265"/>
      <c r="BY409" s="265"/>
      <c r="BZ409" s="265"/>
      <c r="CA409" s="265"/>
      <c r="CB409" s="265"/>
      <c r="CC409" s="265"/>
      <c r="CD409" s="266"/>
      <c r="CE409" s="266"/>
      <c r="CF409" s="266"/>
      <c r="CG409" s="266"/>
      <c r="CH409" s="266"/>
      <c r="CI409" s="266"/>
      <c r="CJ409" s="266"/>
      <c r="CK409" s="266"/>
      <c r="CL409" s="266"/>
      <c r="CM409" s="266"/>
      <c r="CN409" s="266"/>
      <c r="CO409" s="266"/>
      <c r="CP409" s="266"/>
      <c r="CQ409" s="266"/>
      <c r="CR409" s="266"/>
      <c r="CS409" s="266"/>
      <c r="CT409" s="267"/>
      <c r="CU409" s="267"/>
      <c r="CV409" s="267"/>
      <c r="CW409" s="267"/>
      <c r="CX409" s="267"/>
      <c r="CY409" s="267"/>
      <c r="CZ409" s="267"/>
      <c r="DA409" s="267"/>
      <c r="DB409" s="267"/>
      <c r="DC409" s="267"/>
      <c r="DD409" s="267"/>
      <c r="DE409" s="267"/>
      <c r="DF409" s="267"/>
      <c r="DG409" s="267"/>
      <c r="DH409" s="267"/>
      <c r="DI409" s="267"/>
      <c r="DJ409" s="268"/>
      <c r="DK409" s="268"/>
      <c r="DL409" s="268"/>
      <c r="DM409" s="268"/>
      <c r="DN409" s="268"/>
      <c r="DO409" s="268"/>
      <c r="DP409" s="268"/>
      <c r="DQ409" s="268"/>
      <c r="DR409" s="268"/>
      <c r="DS409" s="268"/>
      <c r="DT409" s="268"/>
      <c r="DU409" s="268"/>
      <c r="DV409" s="268"/>
      <c r="DW409" s="268"/>
      <c r="DX409" s="268"/>
      <c r="DY409" s="268"/>
      <c r="EA409" s="13"/>
      <c r="EB409" s="96"/>
      <c r="EC409" s="96"/>
      <c r="ED409" s="96"/>
      <c r="EE409" s="96"/>
      <c r="EF409" s="96"/>
      <c r="EG409" s="96"/>
      <c r="EH409" s="96"/>
      <c r="EI409" s="96"/>
      <c r="EJ409" s="96"/>
      <c r="EK409" s="96"/>
      <c r="EL409" s="96"/>
      <c r="EM409" s="96"/>
      <c r="EN409" s="96"/>
      <c r="EO409" s="96"/>
      <c r="EP409" s="96"/>
      <c r="EQ409" s="96"/>
      <c r="ER409" s="96"/>
      <c r="ES409" s="96"/>
      <c r="ET409" s="96"/>
      <c r="EU409" s="96"/>
      <c r="EV409" s="96"/>
      <c r="EW409" s="96"/>
      <c r="EX409" s="96"/>
      <c r="EY409" s="96"/>
      <c r="EZ409" s="96"/>
      <c r="FA409" s="96"/>
      <c r="FB409" s="96"/>
      <c r="FC409" s="96"/>
      <c r="FD409" s="96"/>
      <c r="FE409" s="96"/>
      <c r="FF409" s="96"/>
      <c r="FG409" s="96"/>
      <c r="FH409" s="96"/>
      <c r="FI409" s="96"/>
      <c r="FJ409" s="96"/>
      <c r="FK409" s="96"/>
      <c r="FL409" s="96"/>
      <c r="FM409" s="96"/>
      <c r="FN409" s="96"/>
      <c r="FO409" s="96"/>
      <c r="FP409" s="96"/>
      <c r="FQ409" s="96"/>
      <c r="FR409" s="96"/>
      <c r="FS409" s="96"/>
      <c r="FT409" s="96"/>
      <c r="FU409" s="96"/>
      <c r="FV409" s="96"/>
      <c r="FW409" s="96"/>
      <c r="FX409" s="96"/>
      <c r="FY409" s="96"/>
      <c r="FZ409" s="96"/>
      <c r="GA409" s="96"/>
      <c r="GB409" s="96"/>
      <c r="GC409" s="96"/>
      <c r="GD409" s="96"/>
      <c r="GE409" s="96"/>
      <c r="GF409" s="96"/>
      <c r="GG409" s="96"/>
      <c r="GH409" s="96"/>
      <c r="GI409" s="96"/>
      <c r="GJ409" s="96"/>
      <c r="GK409" s="96"/>
      <c r="GL409" s="96"/>
      <c r="GM409" s="13"/>
      <c r="GN409" s="96"/>
      <c r="GO409" s="96"/>
      <c r="GP409" s="96"/>
      <c r="GQ409" s="96"/>
      <c r="GR409" s="96"/>
      <c r="GS409" s="96"/>
      <c r="GT409" s="96"/>
      <c r="GU409" s="96"/>
      <c r="GV409" s="96"/>
      <c r="GW409" s="96"/>
      <c r="GX409" s="96"/>
      <c r="GY409" s="96"/>
      <c r="GZ409" s="96"/>
      <c r="HA409" s="96"/>
      <c r="HB409" s="96"/>
      <c r="HC409" s="13"/>
      <c r="HD409" s="96"/>
      <c r="HE409" s="96"/>
      <c r="HF409" s="96"/>
      <c r="HG409" s="96"/>
      <c r="HH409" s="96"/>
      <c r="HI409" s="96"/>
      <c r="HJ409" s="96"/>
      <c r="HK409" s="96"/>
      <c r="HL409" s="96"/>
      <c r="HM409" s="96"/>
      <c r="HN409" s="96"/>
      <c r="HO409" s="96"/>
      <c r="HP409" s="96"/>
      <c r="HQ409" s="96"/>
      <c r="HR409" s="96"/>
      <c r="HS409" s="13"/>
      <c r="HT409" s="96"/>
      <c r="HU409" s="96"/>
      <c r="HV409" s="96"/>
      <c r="HW409" s="96"/>
      <c r="HX409" s="96"/>
      <c r="HY409" s="96"/>
      <c r="HZ409" s="96"/>
      <c r="IA409" s="96"/>
      <c r="IB409" s="96"/>
      <c r="IC409" s="96"/>
      <c r="ID409" s="96"/>
      <c r="IE409" s="96"/>
      <c r="IF409" s="96"/>
      <c r="IG409" s="96"/>
      <c r="IH409" s="96"/>
      <c r="II409" s="13"/>
      <c r="IJ409" s="96"/>
      <c r="IK409" s="96"/>
      <c r="IL409" s="96"/>
      <c r="IM409" s="96"/>
      <c r="IN409" s="96"/>
      <c r="IO409" s="96"/>
      <c r="IP409" s="96"/>
      <c r="IQ409" s="96"/>
      <c r="IR409" s="96"/>
      <c r="IS409" s="96"/>
      <c r="IT409" s="96"/>
      <c r="IU409" s="96"/>
      <c r="IV409" s="96"/>
      <c r="IW409" s="96"/>
      <c r="IX409" s="96"/>
      <c r="IY409" s="13"/>
    </row>
    <row r="410" spans="1:259" outlineLevel="1">
      <c r="A410" s="11">
        <f>'VAC &amp; MED'!C417</f>
        <v>46378</v>
      </c>
      <c r="B410" s="261"/>
      <c r="C410" s="261"/>
      <c r="D410" s="261"/>
      <c r="E410" s="261"/>
      <c r="F410" s="261"/>
      <c r="G410" s="261"/>
      <c r="H410" s="261"/>
      <c r="I410" s="261"/>
      <c r="J410" s="261"/>
      <c r="K410" s="261"/>
      <c r="L410" s="261"/>
      <c r="M410" s="261"/>
      <c r="N410" s="261"/>
      <c r="O410" s="261"/>
      <c r="P410" s="261"/>
      <c r="Q410" s="261"/>
      <c r="R410" s="262"/>
      <c r="S410" s="262"/>
      <c r="T410" s="262"/>
      <c r="U410" s="262"/>
      <c r="V410" s="262"/>
      <c r="W410" s="262"/>
      <c r="X410" s="262"/>
      <c r="Y410" s="262"/>
      <c r="Z410" s="262"/>
      <c r="AA410" s="262"/>
      <c r="AB410" s="262"/>
      <c r="AC410" s="262"/>
      <c r="AD410" s="262"/>
      <c r="AE410" s="262"/>
      <c r="AF410" s="262"/>
      <c r="AG410" s="262"/>
      <c r="AH410" s="263"/>
      <c r="AI410" s="263"/>
      <c r="AJ410" s="263"/>
      <c r="AK410" s="263"/>
      <c r="AL410" s="263"/>
      <c r="AM410" s="263"/>
      <c r="AN410" s="263"/>
      <c r="AO410" s="263"/>
      <c r="AP410" s="263"/>
      <c r="AQ410" s="263"/>
      <c r="AR410" s="263"/>
      <c r="AS410" s="263"/>
      <c r="AT410" s="263"/>
      <c r="AU410" s="263"/>
      <c r="AV410" s="263"/>
      <c r="AW410" s="263"/>
      <c r="AX410" s="264"/>
      <c r="AY410" s="264"/>
      <c r="AZ410" s="264"/>
      <c r="BA410" s="264"/>
      <c r="BB410" s="264"/>
      <c r="BC410" s="264"/>
      <c r="BD410" s="264"/>
      <c r="BE410" s="264"/>
      <c r="BF410" s="264"/>
      <c r="BG410" s="264"/>
      <c r="BH410" s="264"/>
      <c r="BI410" s="264"/>
      <c r="BJ410" s="264"/>
      <c r="BK410" s="264"/>
      <c r="BL410" s="264"/>
      <c r="BM410" s="264"/>
      <c r="BN410" s="265"/>
      <c r="BO410" s="265"/>
      <c r="BP410" s="265"/>
      <c r="BQ410" s="265"/>
      <c r="BR410" s="265"/>
      <c r="BS410" s="265"/>
      <c r="BT410" s="265"/>
      <c r="BU410" s="265"/>
      <c r="BV410" s="265"/>
      <c r="BW410" s="265"/>
      <c r="BX410" s="265"/>
      <c r="BY410" s="265"/>
      <c r="BZ410" s="265"/>
      <c r="CA410" s="265"/>
      <c r="CB410" s="265"/>
      <c r="CC410" s="265"/>
      <c r="CD410" s="266"/>
      <c r="CE410" s="266"/>
      <c r="CF410" s="266"/>
      <c r="CG410" s="266"/>
      <c r="CH410" s="266"/>
      <c r="CI410" s="266"/>
      <c r="CJ410" s="266"/>
      <c r="CK410" s="266"/>
      <c r="CL410" s="266"/>
      <c r="CM410" s="266"/>
      <c r="CN410" s="266"/>
      <c r="CO410" s="266"/>
      <c r="CP410" s="266"/>
      <c r="CQ410" s="266"/>
      <c r="CR410" s="266"/>
      <c r="CS410" s="266"/>
      <c r="CT410" s="267"/>
      <c r="CU410" s="267"/>
      <c r="CV410" s="267"/>
      <c r="CW410" s="267"/>
      <c r="CX410" s="267"/>
      <c r="CY410" s="267"/>
      <c r="CZ410" s="267"/>
      <c r="DA410" s="267"/>
      <c r="DB410" s="267"/>
      <c r="DC410" s="267"/>
      <c r="DD410" s="267"/>
      <c r="DE410" s="267"/>
      <c r="DF410" s="267"/>
      <c r="DG410" s="267"/>
      <c r="DH410" s="267"/>
      <c r="DI410" s="267"/>
      <c r="DJ410" s="268"/>
      <c r="DK410" s="268"/>
      <c r="DL410" s="268"/>
      <c r="DM410" s="268"/>
      <c r="DN410" s="268"/>
      <c r="DO410" s="268"/>
      <c r="DP410" s="268"/>
      <c r="DQ410" s="268"/>
      <c r="DR410" s="268"/>
      <c r="DS410" s="268"/>
      <c r="DT410" s="268"/>
      <c r="DU410" s="268"/>
      <c r="DV410" s="268"/>
      <c r="DW410" s="268"/>
      <c r="DX410" s="268"/>
      <c r="DY410" s="268"/>
      <c r="EA410" s="13"/>
      <c r="EB410" s="96"/>
      <c r="EC410" s="96"/>
      <c r="ED410" s="96"/>
      <c r="EE410" s="96"/>
      <c r="EF410" s="96"/>
      <c r="EG410" s="96"/>
      <c r="EH410" s="96"/>
      <c r="EI410" s="96"/>
      <c r="EJ410" s="96"/>
      <c r="EK410" s="96"/>
      <c r="EL410" s="96"/>
      <c r="EM410" s="96"/>
      <c r="EN410" s="96"/>
      <c r="EO410" s="96"/>
      <c r="EP410" s="96"/>
      <c r="EQ410" s="96"/>
      <c r="ER410" s="96"/>
      <c r="ES410" s="96"/>
      <c r="ET410" s="96"/>
      <c r="EU410" s="96"/>
      <c r="EV410" s="96"/>
      <c r="EW410" s="96"/>
      <c r="EX410" s="96"/>
      <c r="EY410" s="96"/>
      <c r="EZ410" s="96"/>
      <c r="FA410" s="96"/>
      <c r="FB410" s="96"/>
      <c r="FC410" s="96"/>
      <c r="FD410" s="96"/>
      <c r="FE410" s="96"/>
      <c r="FF410" s="96"/>
      <c r="FG410" s="96"/>
      <c r="FH410" s="96"/>
      <c r="FI410" s="96"/>
      <c r="FJ410" s="96"/>
      <c r="FK410" s="96"/>
      <c r="FL410" s="96"/>
      <c r="FM410" s="96"/>
      <c r="FN410" s="96"/>
      <c r="FO410" s="96"/>
      <c r="FP410" s="96"/>
      <c r="FQ410" s="96"/>
      <c r="FR410" s="96"/>
      <c r="FS410" s="96"/>
      <c r="FT410" s="96"/>
      <c r="FU410" s="96"/>
      <c r="FV410" s="96"/>
      <c r="FW410" s="96"/>
      <c r="FX410" s="96"/>
      <c r="FY410" s="96"/>
      <c r="FZ410" s="96"/>
      <c r="GA410" s="96"/>
      <c r="GB410" s="96"/>
      <c r="GC410" s="96"/>
      <c r="GD410" s="96"/>
      <c r="GE410" s="96"/>
      <c r="GF410" s="96"/>
      <c r="GG410" s="96"/>
      <c r="GH410" s="96"/>
      <c r="GI410" s="96"/>
      <c r="GJ410" s="96"/>
      <c r="GK410" s="96"/>
      <c r="GL410" s="96"/>
      <c r="GM410" s="13"/>
      <c r="GN410" s="96"/>
      <c r="GO410" s="96"/>
      <c r="GP410" s="96"/>
      <c r="GQ410" s="96"/>
      <c r="GR410" s="96"/>
      <c r="GS410" s="96"/>
      <c r="GT410" s="96"/>
      <c r="GU410" s="96"/>
      <c r="GV410" s="96"/>
      <c r="GW410" s="96"/>
      <c r="GX410" s="96"/>
      <c r="GY410" s="96"/>
      <c r="GZ410" s="96"/>
      <c r="HA410" s="96"/>
      <c r="HB410" s="96"/>
      <c r="HC410" s="13"/>
      <c r="HD410" s="96"/>
      <c r="HE410" s="96"/>
      <c r="HF410" s="96"/>
      <c r="HG410" s="96"/>
      <c r="HH410" s="96"/>
      <c r="HI410" s="96"/>
      <c r="HJ410" s="96"/>
      <c r="HK410" s="96"/>
      <c r="HL410" s="96"/>
      <c r="HM410" s="96"/>
      <c r="HN410" s="96"/>
      <c r="HO410" s="96"/>
      <c r="HP410" s="96"/>
      <c r="HQ410" s="96"/>
      <c r="HR410" s="96"/>
      <c r="HS410" s="13"/>
      <c r="HT410" s="96"/>
      <c r="HU410" s="96"/>
      <c r="HV410" s="96"/>
      <c r="HW410" s="96"/>
      <c r="HX410" s="96"/>
      <c r="HY410" s="96"/>
      <c r="HZ410" s="96"/>
      <c r="IA410" s="96"/>
      <c r="IB410" s="96"/>
      <c r="IC410" s="96"/>
      <c r="ID410" s="96"/>
      <c r="IE410" s="96"/>
      <c r="IF410" s="96"/>
      <c r="IG410" s="96"/>
      <c r="IH410" s="96"/>
      <c r="II410" s="13"/>
      <c r="IJ410" s="96"/>
      <c r="IK410" s="96"/>
      <c r="IL410" s="96"/>
      <c r="IM410" s="96"/>
      <c r="IN410" s="96"/>
      <c r="IO410" s="96"/>
      <c r="IP410" s="96"/>
      <c r="IQ410" s="96"/>
      <c r="IR410" s="96"/>
      <c r="IS410" s="96"/>
      <c r="IT410" s="96"/>
      <c r="IU410" s="96"/>
      <c r="IV410" s="96"/>
      <c r="IW410" s="96"/>
      <c r="IX410" s="96"/>
      <c r="IY410" s="13"/>
    </row>
    <row r="411" spans="1:259" outlineLevel="1">
      <c r="A411" s="11">
        <f>'VAC &amp; MED'!C418</f>
        <v>46379</v>
      </c>
      <c r="B411" s="261"/>
      <c r="C411" s="261"/>
      <c r="D411" s="261"/>
      <c r="E411" s="261"/>
      <c r="F411" s="261"/>
      <c r="G411" s="261"/>
      <c r="H411" s="261"/>
      <c r="I411" s="261"/>
      <c r="J411" s="261"/>
      <c r="K411" s="261"/>
      <c r="L411" s="261"/>
      <c r="M411" s="261"/>
      <c r="N411" s="261"/>
      <c r="O411" s="261"/>
      <c r="P411" s="261"/>
      <c r="Q411" s="261"/>
      <c r="R411" s="262"/>
      <c r="S411" s="262"/>
      <c r="T411" s="262"/>
      <c r="U411" s="262"/>
      <c r="V411" s="262"/>
      <c r="W411" s="262"/>
      <c r="X411" s="262"/>
      <c r="Y411" s="262"/>
      <c r="Z411" s="262"/>
      <c r="AA411" s="262"/>
      <c r="AB411" s="262"/>
      <c r="AC411" s="262"/>
      <c r="AD411" s="262"/>
      <c r="AE411" s="262"/>
      <c r="AF411" s="262"/>
      <c r="AG411" s="262"/>
      <c r="AH411" s="263"/>
      <c r="AI411" s="263"/>
      <c r="AJ411" s="263"/>
      <c r="AK411" s="263"/>
      <c r="AL411" s="263"/>
      <c r="AM411" s="263"/>
      <c r="AN411" s="263"/>
      <c r="AO411" s="263"/>
      <c r="AP411" s="263"/>
      <c r="AQ411" s="263"/>
      <c r="AR411" s="263"/>
      <c r="AS411" s="263"/>
      <c r="AT411" s="263"/>
      <c r="AU411" s="263"/>
      <c r="AV411" s="263"/>
      <c r="AW411" s="263"/>
      <c r="AX411" s="264"/>
      <c r="AY411" s="264"/>
      <c r="AZ411" s="264"/>
      <c r="BA411" s="264"/>
      <c r="BB411" s="264"/>
      <c r="BC411" s="264"/>
      <c r="BD411" s="264"/>
      <c r="BE411" s="264"/>
      <c r="BF411" s="264"/>
      <c r="BG411" s="264"/>
      <c r="BH411" s="264"/>
      <c r="BI411" s="264"/>
      <c r="BJ411" s="264"/>
      <c r="BK411" s="264"/>
      <c r="BL411" s="264"/>
      <c r="BM411" s="264"/>
      <c r="BN411" s="265"/>
      <c r="BO411" s="265"/>
      <c r="BP411" s="265"/>
      <c r="BQ411" s="265"/>
      <c r="BR411" s="265"/>
      <c r="BS411" s="265"/>
      <c r="BT411" s="265"/>
      <c r="BU411" s="265"/>
      <c r="BV411" s="265"/>
      <c r="BW411" s="265"/>
      <c r="BX411" s="265"/>
      <c r="BY411" s="265"/>
      <c r="BZ411" s="265"/>
      <c r="CA411" s="265"/>
      <c r="CB411" s="265"/>
      <c r="CC411" s="265"/>
      <c r="CD411" s="266"/>
      <c r="CE411" s="266"/>
      <c r="CF411" s="266"/>
      <c r="CG411" s="266"/>
      <c r="CH411" s="266"/>
      <c r="CI411" s="266"/>
      <c r="CJ411" s="266"/>
      <c r="CK411" s="266"/>
      <c r="CL411" s="266"/>
      <c r="CM411" s="266"/>
      <c r="CN411" s="266"/>
      <c r="CO411" s="266"/>
      <c r="CP411" s="266"/>
      <c r="CQ411" s="266"/>
      <c r="CR411" s="266"/>
      <c r="CS411" s="266"/>
      <c r="CT411" s="267"/>
      <c r="CU411" s="267"/>
      <c r="CV411" s="267"/>
      <c r="CW411" s="267"/>
      <c r="CX411" s="267"/>
      <c r="CY411" s="267"/>
      <c r="CZ411" s="267"/>
      <c r="DA411" s="267"/>
      <c r="DB411" s="267"/>
      <c r="DC411" s="267"/>
      <c r="DD411" s="267"/>
      <c r="DE411" s="267"/>
      <c r="DF411" s="267"/>
      <c r="DG411" s="267"/>
      <c r="DH411" s="267"/>
      <c r="DI411" s="267"/>
      <c r="DJ411" s="268"/>
      <c r="DK411" s="268"/>
      <c r="DL411" s="268"/>
      <c r="DM411" s="268"/>
      <c r="DN411" s="268"/>
      <c r="DO411" s="268"/>
      <c r="DP411" s="268"/>
      <c r="DQ411" s="268"/>
      <c r="DR411" s="268"/>
      <c r="DS411" s="268"/>
      <c r="DT411" s="268"/>
      <c r="DU411" s="268"/>
      <c r="DV411" s="268"/>
      <c r="DW411" s="268"/>
      <c r="DX411" s="268"/>
      <c r="DY411" s="268"/>
      <c r="EA411" s="13"/>
      <c r="EB411" s="96"/>
      <c r="EC411" s="96"/>
      <c r="ED411" s="96"/>
      <c r="EE411" s="96"/>
      <c r="EF411" s="96"/>
      <c r="EG411" s="96"/>
      <c r="EH411" s="96"/>
      <c r="EI411" s="96"/>
      <c r="EJ411" s="96"/>
      <c r="EK411" s="96"/>
      <c r="EL411" s="96"/>
      <c r="EM411" s="96"/>
      <c r="EN411" s="96"/>
      <c r="EO411" s="96"/>
      <c r="EP411" s="96"/>
      <c r="EQ411" s="96"/>
      <c r="ER411" s="96"/>
      <c r="ES411" s="96"/>
      <c r="ET411" s="96"/>
      <c r="EU411" s="96"/>
      <c r="EV411" s="96"/>
      <c r="EW411" s="96"/>
      <c r="EX411" s="96"/>
      <c r="EY411" s="96"/>
      <c r="EZ411" s="96"/>
      <c r="FA411" s="96"/>
      <c r="FB411" s="96"/>
      <c r="FC411" s="96"/>
      <c r="FD411" s="96"/>
      <c r="FE411" s="96"/>
      <c r="FF411" s="96"/>
      <c r="FG411" s="96"/>
      <c r="FH411" s="96"/>
      <c r="FI411" s="96"/>
      <c r="FJ411" s="96"/>
      <c r="FK411" s="96"/>
      <c r="FL411" s="96"/>
      <c r="FM411" s="96"/>
      <c r="FN411" s="96"/>
      <c r="FO411" s="96"/>
      <c r="FP411" s="96"/>
      <c r="FQ411" s="96"/>
      <c r="FR411" s="96"/>
      <c r="FS411" s="96"/>
      <c r="FT411" s="96"/>
      <c r="FU411" s="96"/>
      <c r="FV411" s="96"/>
      <c r="FW411" s="96"/>
      <c r="FX411" s="96"/>
      <c r="FY411" s="96"/>
      <c r="FZ411" s="96"/>
      <c r="GA411" s="96"/>
      <c r="GB411" s="96"/>
      <c r="GC411" s="96"/>
      <c r="GD411" s="96"/>
      <c r="GE411" s="96"/>
      <c r="GF411" s="96"/>
      <c r="GG411" s="96"/>
      <c r="GH411" s="96"/>
      <c r="GI411" s="96"/>
      <c r="GJ411" s="96"/>
      <c r="GK411" s="96"/>
      <c r="GL411" s="96"/>
      <c r="GM411" s="13"/>
      <c r="GN411" s="96"/>
      <c r="GO411" s="96"/>
      <c r="GP411" s="96"/>
      <c r="GQ411" s="96"/>
      <c r="GR411" s="96"/>
      <c r="GS411" s="96"/>
      <c r="GT411" s="96"/>
      <c r="GU411" s="96"/>
      <c r="GV411" s="96"/>
      <c r="GW411" s="96"/>
      <c r="GX411" s="96"/>
      <c r="GY411" s="96"/>
      <c r="GZ411" s="96"/>
      <c r="HA411" s="96"/>
      <c r="HB411" s="96"/>
      <c r="HC411" s="13"/>
      <c r="HD411" s="96"/>
      <c r="HE411" s="96"/>
      <c r="HF411" s="96"/>
      <c r="HG411" s="96"/>
      <c r="HH411" s="96"/>
      <c r="HI411" s="96"/>
      <c r="HJ411" s="96"/>
      <c r="HK411" s="96"/>
      <c r="HL411" s="96"/>
      <c r="HM411" s="96"/>
      <c r="HN411" s="96"/>
      <c r="HO411" s="96"/>
      <c r="HP411" s="96"/>
      <c r="HQ411" s="96"/>
      <c r="HR411" s="96"/>
      <c r="HS411" s="13"/>
      <c r="HT411" s="96"/>
      <c r="HU411" s="96"/>
      <c r="HV411" s="96"/>
      <c r="HW411" s="96"/>
      <c r="HX411" s="96"/>
      <c r="HY411" s="96"/>
      <c r="HZ411" s="96"/>
      <c r="IA411" s="96"/>
      <c r="IB411" s="96"/>
      <c r="IC411" s="96"/>
      <c r="ID411" s="96"/>
      <c r="IE411" s="96"/>
      <c r="IF411" s="96"/>
      <c r="IG411" s="96"/>
      <c r="IH411" s="96"/>
      <c r="II411" s="13"/>
      <c r="IJ411" s="96"/>
      <c r="IK411" s="96"/>
      <c r="IL411" s="96"/>
      <c r="IM411" s="96"/>
      <c r="IN411" s="96"/>
      <c r="IO411" s="96"/>
      <c r="IP411" s="96"/>
      <c r="IQ411" s="96"/>
      <c r="IR411" s="96"/>
      <c r="IS411" s="96"/>
      <c r="IT411" s="96"/>
      <c r="IU411" s="96"/>
      <c r="IV411" s="96"/>
      <c r="IW411" s="96"/>
      <c r="IX411" s="96"/>
      <c r="IY411" s="13"/>
    </row>
    <row r="412" spans="1:259" outlineLevel="1">
      <c r="A412" s="11">
        <f>'VAC &amp; MED'!C419</f>
        <v>46380</v>
      </c>
      <c r="B412" s="261"/>
      <c r="C412" s="261"/>
      <c r="D412" s="261"/>
      <c r="E412" s="261"/>
      <c r="F412" s="261"/>
      <c r="G412" s="261"/>
      <c r="H412" s="261"/>
      <c r="I412" s="261"/>
      <c r="J412" s="261"/>
      <c r="K412" s="261"/>
      <c r="L412" s="261"/>
      <c r="M412" s="261"/>
      <c r="N412" s="261"/>
      <c r="O412" s="261"/>
      <c r="P412" s="261"/>
      <c r="Q412" s="261"/>
      <c r="R412" s="262"/>
      <c r="S412" s="262"/>
      <c r="T412" s="262"/>
      <c r="U412" s="262"/>
      <c r="V412" s="262"/>
      <c r="W412" s="262"/>
      <c r="X412" s="262"/>
      <c r="Y412" s="262"/>
      <c r="Z412" s="262"/>
      <c r="AA412" s="262"/>
      <c r="AB412" s="262"/>
      <c r="AC412" s="262"/>
      <c r="AD412" s="262"/>
      <c r="AE412" s="262"/>
      <c r="AF412" s="262"/>
      <c r="AG412" s="262"/>
      <c r="AH412" s="263"/>
      <c r="AI412" s="263"/>
      <c r="AJ412" s="263"/>
      <c r="AK412" s="263"/>
      <c r="AL412" s="263"/>
      <c r="AM412" s="263"/>
      <c r="AN412" s="263"/>
      <c r="AO412" s="263"/>
      <c r="AP412" s="263"/>
      <c r="AQ412" s="263"/>
      <c r="AR412" s="263"/>
      <c r="AS412" s="263"/>
      <c r="AT412" s="263"/>
      <c r="AU412" s="263"/>
      <c r="AV412" s="263"/>
      <c r="AW412" s="263"/>
      <c r="AX412" s="264"/>
      <c r="AY412" s="264"/>
      <c r="AZ412" s="264"/>
      <c r="BA412" s="264"/>
      <c r="BB412" s="264"/>
      <c r="BC412" s="264"/>
      <c r="BD412" s="264"/>
      <c r="BE412" s="264"/>
      <c r="BF412" s="264"/>
      <c r="BG412" s="264"/>
      <c r="BH412" s="264"/>
      <c r="BI412" s="264"/>
      <c r="BJ412" s="264"/>
      <c r="BK412" s="264"/>
      <c r="BL412" s="264"/>
      <c r="BM412" s="264"/>
      <c r="BN412" s="265"/>
      <c r="BO412" s="265"/>
      <c r="BP412" s="265"/>
      <c r="BQ412" s="265"/>
      <c r="BR412" s="265"/>
      <c r="BS412" s="265"/>
      <c r="BT412" s="265"/>
      <c r="BU412" s="265"/>
      <c r="BV412" s="265"/>
      <c r="BW412" s="265"/>
      <c r="BX412" s="265"/>
      <c r="BY412" s="265"/>
      <c r="BZ412" s="265"/>
      <c r="CA412" s="265"/>
      <c r="CB412" s="265"/>
      <c r="CC412" s="265"/>
      <c r="CD412" s="266"/>
      <c r="CE412" s="266"/>
      <c r="CF412" s="266"/>
      <c r="CG412" s="266"/>
      <c r="CH412" s="266"/>
      <c r="CI412" s="266"/>
      <c r="CJ412" s="266"/>
      <c r="CK412" s="266"/>
      <c r="CL412" s="266"/>
      <c r="CM412" s="266"/>
      <c r="CN412" s="266"/>
      <c r="CO412" s="266"/>
      <c r="CP412" s="266"/>
      <c r="CQ412" s="266"/>
      <c r="CR412" s="266"/>
      <c r="CS412" s="266"/>
      <c r="CT412" s="267"/>
      <c r="CU412" s="267"/>
      <c r="CV412" s="267"/>
      <c r="CW412" s="267"/>
      <c r="CX412" s="267"/>
      <c r="CY412" s="267"/>
      <c r="CZ412" s="267"/>
      <c r="DA412" s="267"/>
      <c r="DB412" s="267"/>
      <c r="DC412" s="267"/>
      <c r="DD412" s="267"/>
      <c r="DE412" s="267"/>
      <c r="DF412" s="267"/>
      <c r="DG412" s="267"/>
      <c r="DH412" s="267"/>
      <c r="DI412" s="267"/>
      <c r="DJ412" s="268"/>
      <c r="DK412" s="268"/>
      <c r="DL412" s="268"/>
      <c r="DM412" s="268"/>
      <c r="DN412" s="268"/>
      <c r="DO412" s="268"/>
      <c r="DP412" s="268"/>
      <c r="DQ412" s="268"/>
      <c r="DR412" s="268"/>
      <c r="DS412" s="268"/>
      <c r="DT412" s="268"/>
      <c r="DU412" s="268"/>
      <c r="DV412" s="268"/>
      <c r="DW412" s="268"/>
      <c r="DX412" s="268"/>
      <c r="DY412" s="268"/>
      <c r="EA412" s="13"/>
      <c r="EB412" s="96"/>
      <c r="EC412" s="96"/>
      <c r="ED412" s="96"/>
      <c r="EE412" s="96"/>
      <c r="EF412" s="96"/>
      <c r="EG412" s="96"/>
      <c r="EH412" s="96"/>
      <c r="EI412" s="96"/>
      <c r="EJ412" s="96"/>
      <c r="EK412" s="96"/>
      <c r="EL412" s="96"/>
      <c r="EM412" s="96"/>
      <c r="EN412" s="96"/>
      <c r="EO412" s="96"/>
      <c r="EP412" s="96"/>
      <c r="EQ412" s="96"/>
      <c r="ER412" s="96"/>
      <c r="ES412" s="96"/>
      <c r="ET412" s="96"/>
      <c r="EU412" s="96"/>
      <c r="EV412" s="96"/>
      <c r="EW412" s="96"/>
      <c r="EX412" s="96"/>
      <c r="EY412" s="96"/>
      <c r="EZ412" s="96"/>
      <c r="FA412" s="96"/>
      <c r="FB412" s="96"/>
      <c r="FC412" s="96"/>
      <c r="FD412" s="96"/>
      <c r="FE412" s="96"/>
      <c r="FF412" s="96"/>
      <c r="FG412" s="96"/>
      <c r="FH412" s="96"/>
      <c r="FI412" s="96"/>
      <c r="FJ412" s="96"/>
      <c r="FK412" s="96"/>
      <c r="FL412" s="96"/>
      <c r="FM412" s="96"/>
      <c r="FN412" s="96"/>
      <c r="FO412" s="96"/>
      <c r="FP412" s="96"/>
      <c r="FQ412" s="96"/>
      <c r="FR412" s="96"/>
      <c r="FS412" s="96"/>
      <c r="FT412" s="96"/>
      <c r="FU412" s="96"/>
      <c r="FV412" s="96"/>
      <c r="FW412" s="96"/>
      <c r="FX412" s="96"/>
      <c r="FY412" s="96"/>
      <c r="FZ412" s="96"/>
      <c r="GA412" s="96"/>
      <c r="GB412" s="96"/>
      <c r="GC412" s="96"/>
      <c r="GD412" s="96"/>
      <c r="GE412" s="96"/>
      <c r="GF412" s="96"/>
      <c r="GG412" s="96"/>
      <c r="GH412" s="96"/>
      <c r="GI412" s="96"/>
      <c r="GJ412" s="96"/>
      <c r="GK412" s="96"/>
      <c r="GL412" s="96"/>
      <c r="GM412" s="13"/>
      <c r="GN412" s="96"/>
      <c r="GO412" s="96"/>
      <c r="GP412" s="96"/>
      <c r="GQ412" s="96"/>
      <c r="GR412" s="96"/>
      <c r="GS412" s="96"/>
      <c r="GT412" s="96"/>
      <c r="GU412" s="96"/>
      <c r="GV412" s="96"/>
      <c r="GW412" s="96"/>
      <c r="GX412" s="96"/>
      <c r="GY412" s="96"/>
      <c r="GZ412" s="96"/>
      <c r="HA412" s="96"/>
      <c r="HB412" s="96"/>
      <c r="HC412" s="13"/>
      <c r="HD412" s="96"/>
      <c r="HE412" s="96"/>
      <c r="HF412" s="96"/>
      <c r="HG412" s="96"/>
      <c r="HH412" s="96"/>
      <c r="HI412" s="96"/>
      <c r="HJ412" s="96"/>
      <c r="HK412" s="96"/>
      <c r="HL412" s="96"/>
      <c r="HM412" s="96"/>
      <c r="HN412" s="96"/>
      <c r="HO412" s="96"/>
      <c r="HP412" s="96"/>
      <c r="HQ412" s="96"/>
      <c r="HR412" s="96"/>
      <c r="HS412" s="13"/>
      <c r="HT412" s="96"/>
      <c r="HU412" s="96"/>
      <c r="HV412" s="96"/>
      <c r="HW412" s="96"/>
      <c r="HX412" s="96"/>
      <c r="HY412" s="96"/>
      <c r="HZ412" s="96"/>
      <c r="IA412" s="96"/>
      <c r="IB412" s="96"/>
      <c r="IC412" s="96"/>
      <c r="ID412" s="96"/>
      <c r="IE412" s="96"/>
      <c r="IF412" s="96"/>
      <c r="IG412" s="96"/>
      <c r="IH412" s="96"/>
      <c r="II412" s="13"/>
      <c r="IJ412" s="96"/>
      <c r="IK412" s="96"/>
      <c r="IL412" s="96"/>
      <c r="IM412" s="96"/>
      <c r="IN412" s="96"/>
      <c r="IO412" s="96"/>
      <c r="IP412" s="96"/>
      <c r="IQ412" s="96"/>
      <c r="IR412" s="96"/>
      <c r="IS412" s="96"/>
      <c r="IT412" s="96"/>
      <c r="IU412" s="96"/>
      <c r="IV412" s="96"/>
      <c r="IW412" s="96"/>
      <c r="IX412" s="96"/>
      <c r="IY412" s="13"/>
    </row>
    <row r="413" spans="1:259" outlineLevel="1">
      <c r="A413" s="11">
        <f>'VAC &amp; MED'!C420</f>
        <v>46381</v>
      </c>
      <c r="B413" s="261"/>
      <c r="C413" s="261"/>
      <c r="D413" s="261"/>
      <c r="E413" s="261"/>
      <c r="F413" s="261"/>
      <c r="G413" s="261"/>
      <c r="H413" s="261"/>
      <c r="I413" s="261"/>
      <c r="J413" s="261"/>
      <c r="K413" s="261"/>
      <c r="L413" s="261"/>
      <c r="M413" s="261"/>
      <c r="N413" s="261"/>
      <c r="O413" s="261"/>
      <c r="P413" s="261"/>
      <c r="Q413" s="261"/>
      <c r="R413" s="262"/>
      <c r="S413" s="262"/>
      <c r="T413" s="262"/>
      <c r="U413" s="262"/>
      <c r="V413" s="262"/>
      <c r="W413" s="262"/>
      <c r="X413" s="262"/>
      <c r="Y413" s="262"/>
      <c r="Z413" s="262"/>
      <c r="AA413" s="262"/>
      <c r="AB413" s="262"/>
      <c r="AC413" s="262"/>
      <c r="AD413" s="262"/>
      <c r="AE413" s="262"/>
      <c r="AF413" s="262"/>
      <c r="AG413" s="262"/>
      <c r="AH413" s="263"/>
      <c r="AI413" s="263"/>
      <c r="AJ413" s="263"/>
      <c r="AK413" s="263"/>
      <c r="AL413" s="263"/>
      <c r="AM413" s="263"/>
      <c r="AN413" s="263"/>
      <c r="AO413" s="263"/>
      <c r="AP413" s="263"/>
      <c r="AQ413" s="263"/>
      <c r="AR413" s="263"/>
      <c r="AS413" s="263"/>
      <c r="AT413" s="263"/>
      <c r="AU413" s="263"/>
      <c r="AV413" s="263"/>
      <c r="AW413" s="263"/>
      <c r="AX413" s="264"/>
      <c r="AY413" s="264"/>
      <c r="AZ413" s="264"/>
      <c r="BA413" s="264"/>
      <c r="BB413" s="264"/>
      <c r="BC413" s="264"/>
      <c r="BD413" s="264"/>
      <c r="BE413" s="264"/>
      <c r="BF413" s="264"/>
      <c r="BG413" s="264"/>
      <c r="BH413" s="264"/>
      <c r="BI413" s="264"/>
      <c r="BJ413" s="264"/>
      <c r="BK413" s="264"/>
      <c r="BL413" s="264"/>
      <c r="BM413" s="264"/>
      <c r="BN413" s="265"/>
      <c r="BO413" s="265"/>
      <c r="BP413" s="265"/>
      <c r="BQ413" s="265"/>
      <c r="BR413" s="265"/>
      <c r="BS413" s="265"/>
      <c r="BT413" s="265"/>
      <c r="BU413" s="265"/>
      <c r="BV413" s="265"/>
      <c r="BW413" s="265"/>
      <c r="BX413" s="265"/>
      <c r="BY413" s="265"/>
      <c r="BZ413" s="265"/>
      <c r="CA413" s="265"/>
      <c r="CB413" s="265"/>
      <c r="CC413" s="265"/>
      <c r="CD413" s="266"/>
      <c r="CE413" s="266"/>
      <c r="CF413" s="266"/>
      <c r="CG413" s="266"/>
      <c r="CH413" s="266"/>
      <c r="CI413" s="266"/>
      <c r="CJ413" s="266"/>
      <c r="CK413" s="266"/>
      <c r="CL413" s="266"/>
      <c r="CM413" s="266"/>
      <c r="CN413" s="266"/>
      <c r="CO413" s="266"/>
      <c r="CP413" s="266"/>
      <c r="CQ413" s="266"/>
      <c r="CR413" s="266"/>
      <c r="CS413" s="266"/>
      <c r="CT413" s="267"/>
      <c r="CU413" s="267"/>
      <c r="CV413" s="267"/>
      <c r="CW413" s="267"/>
      <c r="CX413" s="267"/>
      <c r="CY413" s="267"/>
      <c r="CZ413" s="267"/>
      <c r="DA413" s="267"/>
      <c r="DB413" s="267"/>
      <c r="DC413" s="267"/>
      <c r="DD413" s="267"/>
      <c r="DE413" s="267"/>
      <c r="DF413" s="267"/>
      <c r="DG413" s="267"/>
      <c r="DH413" s="267"/>
      <c r="DI413" s="267"/>
      <c r="DJ413" s="268"/>
      <c r="DK413" s="268"/>
      <c r="DL413" s="268"/>
      <c r="DM413" s="268"/>
      <c r="DN413" s="268"/>
      <c r="DO413" s="268"/>
      <c r="DP413" s="268"/>
      <c r="DQ413" s="268"/>
      <c r="DR413" s="268"/>
      <c r="DS413" s="268"/>
      <c r="DT413" s="268"/>
      <c r="DU413" s="268"/>
      <c r="DV413" s="268"/>
      <c r="DW413" s="268"/>
      <c r="DX413" s="268"/>
      <c r="DY413" s="268"/>
      <c r="EA413" s="13"/>
      <c r="EB413" s="96"/>
      <c r="EC413" s="96"/>
      <c r="ED413" s="96"/>
      <c r="EE413" s="96"/>
      <c r="EF413" s="96"/>
      <c r="EG413" s="96"/>
      <c r="EH413" s="96"/>
      <c r="EI413" s="96"/>
      <c r="EJ413" s="96"/>
      <c r="EK413" s="96"/>
      <c r="EL413" s="96"/>
      <c r="EM413" s="96"/>
      <c r="EN413" s="96"/>
      <c r="EO413" s="96"/>
      <c r="EP413" s="96"/>
      <c r="EQ413" s="96"/>
      <c r="ER413" s="96"/>
      <c r="ES413" s="96"/>
      <c r="ET413" s="96"/>
      <c r="EU413" s="96"/>
      <c r="EV413" s="96"/>
      <c r="EW413" s="96"/>
      <c r="EX413" s="96"/>
      <c r="EY413" s="96"/>
      <c r="EZ413" s="96"/>
      <c r="FA413" s="96"/>
      <c r="FB413" s="96"/>
      <c r="FC413" s="96"/>
      <c r="FD413" s="96"/>
      <c r="FE413" s="96"/>
      <c r="FF413" s="96"/>
      <c r="FG413" s="96"/>
      <c r="FH413" s="96"/>
      <c r="FI413" s="96"/>
      <c r="FJ413" s="96"/>
      <c r="FK413" s="96"/>
      <c r="FL413" s="96"/>
      <c r="FM413" s="96"/>
      <c r="FN413" s="96"/>
      <c r="FO413" s="96"/>
      <c r="FP413" s="96"/>
      <c r="FQ413" s="96"/>
      <c r="FR413" s="96"/>
      <c r="FS413" s="96"/>
      <c r="FT413" s="96"/>
      <c r="FU413" s="96"/>
      <c r="FV413" s="96"/>
      <c r="FW413" s="96"/>
      <c r="FX413" s="96"/>
      <c r="FY413" s="96"/>
      <c r="FZ413" s="96"/>
      <c r="GA413" s="96"/>
      <c r="GB413" s="96"/>
      <c r="GC413" s="96"/>
      <c r="GD413" s="96"/>
      <c r="GE413" s="96"/>
      <c r="GF413" s="96"/>
      <c r="GG413" s="96"/>
      <c r="GH413" s="96"/>
      <c r="GI413" s="96"/>
      <c r="GJ413" s="96"/>
      <c r="GK413" s="96"/>
      <c r="GL413" s="96"/>
      <c r="GM413" s="13"/>
      <c r="GN413" s="96"/>
      <c r="GO413" s="96"/>
      <c r="GP413" s="96"/>
      <c r="GQ413" s="96"/>
      <c r="GR413" s="96"/>
      <c r="GS413" s="96"/>
      <c r="GT413" s="96"/>
      <c r="GU413" s="96"/>
      <c r="GV413" s="96"/>
      <c r="GW413" s="96"/>
      <c r="GX413" s="96"/>
      <c r="GY413" s="96"/>
      <c r="GZ413" s="96"/>
      <c r="HA413" s="96"/>
      <c r="HB413" s="96"/>
      <c r="HC413" s="13"/>
      <c r="HD413" s="96"/>
      <c r="HE413" s="96"/>
      <c r="HF413" s="96"/>
      <c r="HG413" s="96"/>
      <c r="HH413" s="96"/>
      <c r="HI413" s="96"/>
      <c r="HJ413" s="96"/>
      <c r="HK413" s="96"/>
      <c r="HL413" s="96"/>
      <c r="HM413" s="96"/>
      <c r="HN413" s="96"/>
      <c r="HO413" s="96"/>
      <c r="HP413" s="96"/>
      <c r="HQ413" s="96"/>
      <c r="HR413" s="96"/>
      <c r="HS413" s="13"/>
      <c r="HT413" s="96"/>
      <c r="HU413" s="96"/>
      <c r="HV413" s="96"/>
      <c r="HW413" s="96"/>
      <c r="HX413" s="96"/>
      <c r="HY413" s="96"/>
      <c r="HZ413" s="96"/>
      <c r="IA413" s="96"/>
      <c r="IB413" s="96"/>
      <c r="IC413" s="96"/>
      <c r="ID413" s="96"/>
      <c r="IE413" s="96"/>
      <c r="IF413" s="96"/>
      <c r="IG413" s="96"/>
      <c r="IH413" s="96"/>
      <c r="II413" s="13"/>
      <c r="IJ413" s="96"/>
      <c r="IK413" s="96"/>
      <c r="IL413" s="96"/>
      <c r="IM413" s="96"/>
      <c r="IN413" s="96"/>
      <c r="IO413" s="96"/>
      <c r="IP413" s="96"/>
      <c r="IQ413" s="96"/>
      <c r="IR413" s="96"/>
      <c r="IS413" s="96"/>
      <c r="IT413" s="96"/>
      <c r="IU413" s="96"/>
      <c r="IV413" s="96"/>
      <c r="IW413" s="96"/>
      <c r="IX413" s="96"/>
      <c r="IY413" s="13"/>
    </row>
    <row r="414" spans="1:259" outlineLevel="1">
      <c r="A414" s="11">
        <f>'VAC &amp; MED'!C421</f>
        <v>46382</v>
      </c>
      <c r="B414" s="261"/>
      <c r="C414" s="261"/>
      <c r="D414" s="261"/>
      <c r="E414" s="261"/>
      <c r="F414" s="261"/>
      <c r="G414" s="261"/>
      <c r="H414" s="261"/>
      <c r="I414" s="261"/>
      <c r="J414" s="261"/>
      <c r="K414" s="261"/>
      <c r="L414" s="261"/>
      <c r="M414" s="261"/>
      <c r="N414" s="261"/>
      <c r="O414" s="261"/>
      <c r="P414" s="261"/>
      <c r="Q414" s="261"/>
      <c r="R414" s="262"/>
      <c r="S414" s="262"/>
      <c r="T414" s="262"/>
      <c r="U414" s="262"/>
      <c r="V414" s="262"/>
      <c r="W414" s="262"/>
      <c r="X414" s="262"/>
      <c r="Y414" s="262"/>
      <c r="Z414" s="262"/>
      <c r="AA414" s="262"/>
      <c r="AB414" s="262"/>
      <c r="AC414" s="262"/>
      <c r="AD414" s="262"/>
      <c r="AE414" s="262"/>
      <c r="AF414" s="262"/>
      <c r="AG414" s="262"/>
      <c r="AH414" s="263"/>
      <c r="AI414" s="263"/>
      <c r="AJ414" s="263"/>
      <c r="AK414" s="263"/>
      <c r="AL414" s="263"/>
      <c r="AM414" s="263"/>
      <c r="AN414" s="263"/>
      <c r="AO414" s="263"/>
      <c r="AP414" s="263"/>
      <c r="AQ414" s="263"/>
      <c r="AR414" s="263"/>
      <c r="AS414" s="263"/>
      <c r="AT414" s="263"/>
      <c r="AU414" s="263"/>
      <c r="AV414" s="263"/>
      <c r="AW414" s="263"/>
      <c r="AX414" s="264"/>
      <c r="AY414" s="264"/>
      <c r="AZ414" s="264"/>
      <c r="BA414" s="264"/>
      <c r="BB414" s="264"/>
      <c r="BC414" s="264"/>
      <c r="BD414" s="264"/>
      <c r="BE414" s="264"/>
      <c r="BF414" s="264"/>
      <c r="BG414" s="264"/>
      <c r="BH414" s="264"/>
      <c r="BI414" s="264"/>
      <c r="BJ414" s="264"/>
      <c r="BK414" s="264"/>
      <c r="BL414" s="264"/>
      <c r="BM414" s="264"/>
      <c r="BN414" s="265"/>
      <c r="BO414" s="265"/>
      <c r="BP414" s="265"/>
      <c r="BQ414" s="265"/>
      <c r="BR414" s="265"/>
      <c r="BS414" s="265"/>
      <c r="BT414" s="265"/>
      <c r="BU414" s="265"/>
      <c r="BV414" s="265"/>
      <c r="BW414" s="265"/>
      <c r="BX414" s="265"/>
      <c r="BY414" s="265"/>
      <c r="BZ414" s="265"/>
      <c r="CA414" s="265"/>
      <c r="CB414" s="265"/>
      <c r="CC414" s="265"/>
      <c r="CD414" s="266"/>
      <c r="CE414" s="266"/>
      <c r="CF414" s="266"/>
      <c r="CG414" s="266"/>
      <c r="CH414" s="266"/>
      <c r="CI414" s="266"/>
      <c r="CJ414" s="266"/>
      <c r="CK414" s="266"/>
      <c r="CL414" s="266"/>
      <c r="CM414" s="266"/>
      <c r="CN414" s="266"/>
      <c r="CO414" s="266"/>
      <c r="CP414" s="266"/>
      <c r="CQ414" s="266"/>
      <c r="CR414" s="266"/>
      <c r="CS414" s="266"/>
      <c r="CT414" s="267"/>
      <c r="CU414" s="267"/>
      <c r="CV414" s="267"/>
      <c r="CW414" s="267"/>
      <c r="CX414" s="267"/>
      <c r="CY414" s="267"/>
      <c r="CZ414" s="267"/>
      <c r="DA414" s="267"/>
      <c r="DB414" s="267"/>
      <c r="DC414" s="267"/>
      <c r="DD414" s="267"/>
      <c r="DE414" s="267"/>
      <c r="DF414" s="267"/>
      <c r="DG414" s="267"/>
      <c r="DH414" s="267"/>
      <c r="DI414" s="267"/>
      <c r="DJ414" s="268"/>
      <c r="DK414" s="268"/>
      <c r="DL414" s="268"/>
      <c r="DM414" s="268"/>
      <c r="DN414" s="268"/>
      <c r="DO414" s="268"/>
      <c r="DP414" s="268"/>
      <c r="DQ414" s="268"/>
      <c r="DR414" s="268"/>
      <c r="DS414" s="268"/>
      <c r="DT414" s="268"/>
      <c r="DU414" s="268"/>
      <c r="DV414" s="268"/>
      <c r="DW414" s="268"/>
      <c r="DX414" s="268"/>
      <c r="DY414" s="268"/>
      <c r="EA414" s="13"/>
      <c r="EB414" s="96"/>
      <c r="EC414" s="96"/>
      <c r="ED414" s="96"/>
      <c r="EE414" s="96"/>
      <c r="EF414" s="96"/>
      <c r="EG414" s="96"/>
      <c r="EH414" s="96"/>
      <c r="EI414" s="96"/>
      <c r="EJ414" s="96"/>
      <c r="EK414" s="96"/>
      <c r="EL414" s="96"/>
      <c r="EM414" s="96"/>
      <c r="EN414" s="96"/>
      <c r="EO414" s="96"/>
      <c r="EP414" s="96"/>
      <c r="EQ414" s="96"/>
      <c r="ER414" s="96"/>
      <c r="ES414" s="96"/>
      <c r="ET414" s="96"/>
      <c r="EU414" s="96"/>
      <c r="EV414" s="96"/>
      <c r="EW414" s="96"/>
      <c r="EX414" s="96"/>
      <c r="EY414" s="96"/>
      <c r="EZ414" s="96"/>
      <c r="FA414" s="96"/>
      <c r="FB414" s="96"/>
      <c r="FC414" s="96"/>
      <c r="FD414" s="96"/>
      <c r="FE414" s="96"/>
      <c r="FF414" s="96"/>
      <c r="FG414" s="96"/>
      <c r="FH414" s="96"/>
      <c r="FI414" s="96"/>
      <c r="FJ414" s="96"/>
      <c r="FK414" s="96"/>
      <c r="FL414" s="96"/>
      <c r="FM414" s="96"/>
      <c r="FN414" s="96"/>
      <c r="FO414" s="96"/>
      <c r="FP414" s="96"/>
      <c r="FQ414" s="96"/>
      <c r="FR414" s="96"/>
      <c r="FS414" s="96"/>
      <c r="FT414" s="96"/>
      <c r="FU414" s="96"/>
      <c r="FV414" s="96"/>
      <c r="FW414" s="96"/>
      <c r="FX414" s="96"/>
      <c r="FY414" s="96"/>
      <c r="FZ414" s="96"/>
      <c r="GA414" s="96"/>
      <c r="GB414" s="96"/>
      <c r="GC414" s="96"/>
      <c r="GD414" s="96"/>
      <c r="GE414" s="96"/>
      <c r="GF414" s="96"/>
      <c r="GG414" s="96"/>
      <c r="GH414" s="96"/>
      <c r="GI414" s="96"/>
      <c r="GJ414" s="96"/>
      <c r="GK414" s="96"/>
      <c r="GL414" s="96"/>
      <c r="GM414" s="13"/>
      <c r="GN414" s="96"/>
      <c r="GO414" s="96"/>
      <c r="GP414" s="96"/>
      <c r="GQ414" s="96"/>
      <c r="GR414" s="96"/>
      <c r="GS414" s="96"/>
      <c r="GT414" s="96"/>
      <c r="GU414" s="96"/>
      <c r="GV414" s="96"/>
      <c r="GW414" s="96"/>
      <c r="GX414" s="96"/>
      <c r="GY414" s="96"/>
      <c r="GZ414" s="96"/>
      <c r="HA414" s="96"/>
      <c r="HB414" s="96"/>
      <c r="HC414" s="13"/>
      <c r="HD414" s="96"/>
      <c r="HE414" s="96"/>
      <c r="HF414" s="96"/>
      <c r="HG414" s="96"/>
      <c r="HH414" s="96"/>
      <c r="HI414" s="96"/>
      <c r="HJ414" s="96"/>
      <c r="HK414" s="96"/>
      <c r="HL414" s="96"/>
      <c r="HM414" s="96"/>
      <c r="HN414" s="96"/>
      <c r="HO414" s="96"/>
      <c r="HP414" s="96"/>
      <c r="HQ414" s="96"/>
      <c r="HR414" s="96"/>
      <c r="HS414" s="13"/>
      <c r="HT414" s="96"/>
      <c r="HU414" s="96"/>
      <c r="HV414" s="96"/>
      <c r="HW414" s="96"/>
      <c r="HX414" s="96"/>
      <c r="HY414" s="96"/>
      <c r="HZ414" s="96"/>
      <c r="IA414" s="96"/>
      <c r="IB414" s="96"/>
      <c r="IC414" s="96"/>
      <c r="ID414" s="96"/>
      <c r="IE414" s="96"/>
      <c r="IF414" s="96"/>
      <c r="IG414" s="96"/>
      <c r="IH414" s="96"/>
      <c r="II414" s="13"/>
      <c r="IJ414" s="96"/>
      <c r="IK414" s="96"/>
      <c r="IL414" s="96"/>
      <c r="IM414" s="96"/>
      <c r="IN414" s="96"/>
      <c r="IO414" s="96"/>
      <c r="IP414" s="96"/>
      <c r="IQ414" s="96"/>
      <c r="IR414" s="96"/>
      <c r="IS414" s="96"/>
      <c r="IT414" s="96"/>
      <c r="IU414" s="96"/>
      <c r="IV414" s="96"/>
      <c r="IW414" s="96"/>
      <c r="IX414" s="96"/>
      <c r="IY414" s="13"/>
    </row>
    <row r="415" spans="1:259" outlineLevel="1">
      <c r="A415" s="11">
        <f>'VAC &amp; MED'!C422</f>
        <v>46383</v>
      </c>
      <c r="B415" s="261"/>
      <c r="C415" s="261"/>
      <c r="D415" s="261"/>
      <c r="E415" s="261"/>
      <c r="F415" s="261"/>
      <c r="G415" s="261"/>
      <c r="H415" s="261"/>
      <c r="I415" s="261"/>
      <c r="J415" s="261"/>
      <c r="K415" s="261"/>
      <c r="L415" s="261"/>
      <c r="M415" s="261"/>
      <c r="N415" s="261"/>
      <c r="O415" s="261"/>
      <c r="P415" s="261"/>
      <c r="Q415" s="261"/>
      <c r="R415" s="262"/>
      <c r="S415" s="262"/>
      <c r="T415" s="262"/>
      <c r="U415" s="262"/>
      <c r="V415" s="262"/>
      <c r="W415" s="262"/>
      <c r="X415" s="262"/>
      <c r="Y415" s="262"/>
      <c r="Z415" s="262"/>
      <c r="AA415" s="262"/>
      <c r="AB415" s="262"/>
      <c r="AC415" s="262"/>
      <c r="AD415" s="262"/>
      <c r="AE415" s="262"/>
      <c r="AF415" s="262"/>
      <c r="AG415" s="262"/>
      <c r="AH415" s="263"/>
      <c r="AI415" s="263"/>
      <c r="AJ415" s="263"/>
      <c r="AK415" s="263"/>
      <c r="AL415" s="263"/>
      <c r="AM415" s="263"/>
      <c r="AN415" s="263"/>
      <c r="AO415" s="263"/>
      <c r="AP415" s="263"/>
      <c r="AQ415" s="263"/>
      <c r="AR415" s="263"/>
      <c r="AS415" s="263"/>
      <c r="AT415" s="263"/>
      <c r="AU415" s="263"/>
      <c r="AV415" s="263"/>
      <c r="AW415" s="263"/>
      <c r="AX415" s="264"/>
      <c r="AY415" s="264"/>
      <c r="AZ415" s="264"/>
      <c r="BA415" s="264"/>
      <c r="BB415" s="264"/>
      <c r="BC415" s="264"/>
      <c r="BD415" s="264"/>
      <c r="BE415" s="264"/>
      <c r="BF415" s="264"/>
      <c r="BG415" s="264"/>
      <c r="BH415" s="264"/>
      <c r="BI415" s="264"/>
      <c r="BJ415" s="264"/>
      <c r="BK415" s="264"/>
      <c r="BL415" s="264"/>
      <c r="BM415" s="264"/>
      <c r="BN415" s="265"/>
      <c r="BO415" s="265"/>
      <c r="BP415" s="265"/>
      <c r="BQ415" s="265"/>
      <c r="BR415" s="265"/>
      <c r="BS415" s="265"/>
      <c r="BT415" s="265"/>
      <c r="BU415" s="265"/>
      <c r="BV415" s="265"/>
      <c r="BW415" s="265"/>
      <c r="BX415" s="265"/>
      <c r="BY415" s="265"/>
      <c r="BZ415" s="265"/>
      <c r="CA415" s="265"/>
      <c r="CB415" s="265"/>
      <c r="CC415" s="265"/>
      <c r="CD415" s="266"/>
      <c r="CE415" s="266"/>
      <c r="CF415" s="266"/>
      <c r="CG415" s="266"/>
      <c r="CH415" s="266"/>
      <c r="CI415" s="266"/>
      <c r="CJ415" s="266"/>
      <c r="CK415" s="266"/>
      <c r="CL415" s="266"/>
      <c r="CM415" s="266"/>
      <c r="CN415" s="266"/>
      <c r="CO415" s="266"/>
      <c r="CP415" s="266"/>
      <c r="CQ415" s="266"/>
      <c r="CR415" s="266"/>
      <c r="CS415" s="266"/>
      <c r="CT415" s="267"/>
      <c r="CU415" s="267"/>
      <c r="CV415" s="267"/>
      <c r="CW415" s="267"/>
      <c r="CX415" s="267"/>
      <c r="CY415" s="267"/>
      <c r="CZ415" s="267"/>
      <c r="DA415" s="267"/>
      <c r="DB415" s="267"/>
      <c r="DC415" s="267"/>
      <c r="DD415" s="267"/>
      <c r="DE415" s="267"/>
      <c r="DF415" s="267"/>
      <c r="DG415" s="267"/>
      <c r="DH415" s="267"/>
      <c r="DI415" s="267"/>
      <c r="DJ415" s="268"/>
      <c r="DK415" s="268"/>
      <c r="DL415" s="268"/>
      <c r="DM415" s="268"/>
      <c r="DN415" s="268"/>
      <c r="DO415" s="268"/>
      <c r="DP415" s="268"/>
      <c r="DQ415" s="268"/>
      <c r="DR415" s="268"/>
      <c r="DS415" s="268"/>
      <c r="DT415" s="268"/>
      <c r="DU415" s="268"/>
      <c r="DV415" s="268"/>
      <c r="DW415" s="268"/>
      <c r="DX415" s="268"/>
      <c r="DY415" s="268"/>
      <c r="EA415" s="13"/>
      <c r="EB415" s="96"/>
      <c r="EC415" s="96"/>
      <c r="ED415" s="96"/>
      <c r="EE415" s="96"/>
      <c r="EF415" s="96"/>
      <c r="EG415" s="96"/>
      <c r="EH415" s="96"/>
      <c r="EI415" s="96"/>
      <c r="EJ415" s="96"/>
      <c r="EK415" s="96"/>
      <c r="EL415" s="96"/>
      <c r="EM415" s="96"/>
      <c r="EN415" s="96"/>
      <c r="EO415" s="96"/>
      <c r="EP415" s="96"/>
      <c r="EQ415" s="96"/>
      <c r="ER415" s="96"/>
      <c r="ES415" s="96"/>
      <c r="ET415" s="96"/>
      <c r="EU415" s="96"/>
      <c r="EV415" s="96"/>
      <c r="EW415" s="96"/>
      <c r="EX415" s="96"/>
      <c r="EY415" s="96"/>
      <c r="EZ415" s="96"/>
      <c r="FA415" s="96"/>
      <c r="FB415" s="96"/>
      <c r="FC415" s="96"/>
      <c r="FD415" s="96"/>
      <c r="FE415" s="96"/>
      <c r="FF415" s="96"/>
      <c r="FG415" s="96"/>
      <c r="FH415" s="96"/>
      <c r="FI415" s="96"/>
      <c r="FJ415" s="96"/>
      <c r="FK415" s="96"/>
      <c r="FL415" s="96"/>
      <c r="FM415" s="96"/>
      <c r="FN415" s="96"/>
      <c r="FO415" s="96"/>
      <c r="FP415" s="96"/>
      <c r="FQ415" s="96"/>
      <c r="FR415" s="96"/>
      <c r="FS415" s="96"/>
      <c r="FT415" s="96"/>
      <c r="FU415" s="96"/>
      <c r="FV415" s="96"/>
      <c r="FW415" s="96"/>
      <c r="FX415" s="96"/>
      <c r="FY415" s="96"/>
      <c r="FZ415" s="96"/>
      <c r="GA415" s="96"/>
      <c r="GB415" s="96"/>
      <c r="GC415" s="96"/>
      <c r="GD415" s="96"/>
      <c r="GE415" s="96"/>
      <c r="GF415" s="96"/>
      <c r="GG415" s="96"/>
      <c r="GH415" s="96"/>
      <c r="GI415" s="96"/>
      <c r="GJ415" s="96"/>
      <c r="GK415" s="96"/>
      <c r="GL415" s="96"/>
      <c r="GM415" s="13"/>
      <c r="GN415" s="96"/>
      <c r="GO415" s="96"/>
      <c r="GP415" s="96"/>
      <c r="GQ415" s="96"/>
      <c r="GR415" s="96"/>
      <c r="GS415" s="96"/>
      <c r="GT415" s="96"/>
      <c r="GU415" s="96"/>
      <c r="GV415" s="96"/>
      <c r="GW415" s="96"/>
      <c r="GX415" s="96"/>
      <c r="GY415" s="96"/>
      <c r="GZ415" s="96"/>
      <c r="HA415" s="96"/>
      <c r="HB415" s="96"/>
      <c r="HC415" s="13"/>
      <c r="HD415" s="96"/>
      <c r="HE415" s="96"/>
      <c r="HF415" s="96"/>
      <c r="HG415" s="96"/>
      <c r="HH415" s="96"/>
      <c r="HI415" s="96"/>
      <c r="HJ415" s="96"/>
      <c r="HK415" s="96"/>
      <c r="HL415" s="96"/>
      <c r="HM415" s="96"/>
      <c r="HN415" s="96"/>
      <c r="HO415" s="96"/>
      <c r="HP415" s="96"/>
      <c r="HQ415" s="96"/>
      <c r="HR415" s="96"/>
      <c r="HS415" s="13"/>
      <c r="HT415" s="96"/>
      <c r="HU415" s="96"/>
      <c r="HV415" s="96"/>
      <c r="HW415" s="96"/>
      <c r="HX415" s="96"/>
      <c r="HY415" s="96"/>
      <c r="HZ415" s="96"/>
      <c r="IA415" s="96"/>
      <c r="IB415" s="96"/>
      <c r="IC415" s="96"/>
      <c r="ID415" s="96"/>
      <c r="IE415" s="96"/>
      <c r="IF415" s="96"/>
      <c r="IG415" s="96"/>
      <c r="IH415" s="96"/>
      <c r="II415" s="13"/>
      <c r="IJ415" s="96"/>
      <c r="IK415" s="96"/>
      <c r="IL415" s="96"/>
      <c r="IM415" s="96"/>
      <c r="IN415" s="96"/>
      <c r="IO415" s="96"/>
      <c r="IP415" s="96"/>
      <c r="IQ415" s="96"/>
      <c r="IR415" s="96"/>
      <c r="IS415" s="96"/>
      <c r="IT415" s="96"/>
      <c r="IU415" s="96"/>
      <c r="IV415" s="96"/>
      <c r="IW415" s="96"/>
      <c r="IX415" s="96"/>
      <c r="IY415" s="13"/>
    </row>
    <row r="416" spans="1:259" outlineLevel="1">
      <c r="A416" s="11">
        <f>'VAC &amp; MED'!C423</f>
        <v>46384</v>
      </c>
      <c r="B416" s="261"/>
      <c r="C416" s="261"/>
      <c r="D416" s="261"/>
      <c r="E416" s="261"/>
      <c r="F416" s="261"/>
      <c r="G416" s="261"/>
      <c r="H416" s="261"/>
      <c r="I416" s="261"/>
      <c r="J416" s="261"/>
      <c r="K416" s="261"/>
      <c r="L416" s="261"/>
      <c r="M416" s="261"/>
      <c r="N416" s="261"/>
      <c r="O416" s="261"/>
      <c r="P416" s="261"/>
      <c r="Q416" s="261"/>
      <c r="R416" s="262"/>
      <c r="S416" s="262"/>
      <c r="T416" s="262"/>
      <c r="U416" s="262"/>
      <c r="V416" s="262"/>
      <c r="W416" s="262"/>
      <c r="X416" s="262"/>
      <c r="Y416" s="262"/>
      <c r="Z416" s="262"/>
      <c r="AA416" s="262"/>
      <c r="AB416" s="262"/>
      <c r="AC416" s="262"/>
      <c r="AD416" s="262"/>
      <c r="AE416" s="262"/>
      <c r="AF416" s="262"/>
      <c r="AG416" s="262"/>
      <c r="AH416" s="263"/>
      <c r="AI416" s="263"/>
      <c r="AJ416" s="263"/>
      <c r="AK416" s="263"/>
      <c r="AL416" s="263"/>
      <c r="AM416" s="263"/>
      <c r="AN416" s="263"/>
      <c r="AO416" s="263"/>
      <c r="AP416" s="263"/>
      <c r="AQ416" s="263"/>
      <c r="AR416" s="263"/>
      <c r="AS416" s="263"/>
      <c r="AT416" s="263"/>
      <c r="AU416" s="263"/>
      <c r="AV416" s="263"/>
      <c r="AW416" s="263"/>
      <c r="AX416" s="264"/>
      <c r="AY416" s="264"/>
      <c r="AZ416" s="264"/>
      <c r="BA416" s="264"/>
      <c r="BB416" s="264"/>
      <c r="BC416" s="264"/>
      <c r="BD416" s="264"/>
      <c r="BE416" s="264"/>
      <c r="BF416" s="264"/>
      <c r="BG416" s="264"/>
      <c r="BH416" s="264"/>
      <c r="BI416" s="264"/>
      <c r="BJ416" s="264"/>
      <c r="BK416" s="264"/>
      <c r="BL416" s="264"/>
      <c r="BM416" s="264"/>
      <c r="BN416" s="265"/>
      <c r="BO416" s="265"/>
      <c r="BP416" s="265"/>
      <c r="BQ416" s="265"/>
      <c r="BR416" s="265"/>
      <c r="BS416" s="265"/>
      <c r="BT416" s="265"/>
      <c r="BU416" s="265"/>
      <c r="BV416" s="265"/>
      <c r="BW416" s="265"/>
      <c r="BX416" s="265"/>
      <c r="BY416" s="265"/>
      <c r="BZ416" s="265"/>
      <c r="CA416" s="265"/>
      <c r="CB416" s="265"/>
      <c r="CC416" s="265"/>
      <c r="CD416" s="266"/>
      <c r="CE416" s="266"/>
      <c r="CF416" s="266"/>
      <c r="CG416" s="266"/>
      <c r="CH416" s="266"/>
      <c r="CI416" s="266"/>
      <c r="CJ416" s="266"/>
      <c r="CK416" s="266"/>
      <c r="CL416" s="266"/>
      <c r="CM416" s="266"/>
      <c r="CN416" s="266"/>
      <c r="CO416" s="266"/>
      <c r="CP416" s="266"/>
      <c r="CQ416" s="266"/>
      <c r="CR416" s="266"/>
      <c r="CS416" s="266"/>
      <c r="CT416" s="267"/>
      <c r="CU416" s="267"/>
      <c r="CV416" s="267"/>
      <c r="CW416" s="267"/>
      <c r="CX416" s="267"/>
      <c r="CY416" s="267"/>
      <c r="CZ416" s="267"/>
      <c r="DA416" s="267"/>
      <c r="DB416" s="267"/>
      <c r="DC416" s="267"/>
      <c r="DD416" s="267"/>
      <c r="DE416" s="267"/>
      <c r="DF416" s="267"/>
      <c r="DG416" s="267"/>
      <c r="DH416" s="267"/>
      <c r="DI416" s="267"/>
      <c r="DJ416" s="268"/>
      <c r="DK416" s="268"/>
      <c r="DL416" s="268"/>
      <c r="DM416" s="268"/>
      <c r="DN416" s="268"/>
      <c r="DO416" s="268"/>
      <c r="DP416" s="268"/>
      <c r="DQ416" s="268"/>
      <c r="DR416" s="268"/>
      <c r="DS416" s="268"/>
      <c r="DT416" s="268"/>
      <c r="DU416" s="268"/>
      <c r="DV416" s="268"/>
      <c r="DW416" s="268"/>
      <c r="DX416" s="268"/>
      <c r="DY416" s="268"/>
      <c r="EA416" s="13"/>
      <c r="EB416" s="96"/>
      <c r="EC416" s="96"/>
      <c r="ED416" s="96"/>
      <c r="EE416" s="96"/>
      <c r="EF416" s="96"/>
      <c r="EG416" s="96"/>
      <c r="EH416" s="96"/>
      <c r="EI416" s="96"/>
      <c r="EJ416" s="96"/>
      <c r="EK416" s="96"/>
      <c r="EL416" s="96"/>
      <c r="EM416" s="96"/>
      <c r="EN416" s="96"/>
      <c r="EO416" s="96"/>
      <c r="EP416" s="96"/>
      <c r="EQ416" s="96"/>
      <c r="ER416" s="96"/>
      <c r="ES416" s="96"/>
      <c r="ET416" s="96"/>
      <c r="EU416" s="96"/>
      <c r="EV416" s="96"/>
      <c r="EW416" s="96"/>
      <c r="EX416" s="96"/>
      <c r="EY416" s="96"/>
      <c r="EZ416" s="96"/>
      <c r="FA416" s="96"/>
      <c r="FB416" s="96"/>
      <c r="FC416" s="96"/>
      <c r="FD416" s="96"/>
      <c r="FE416" s="96"/>
      <c r="FF416" s="96"/>
      <c r="FG416" s="96"/>
      <c r="FH416" s="96"/>
      <c r="FI416" s="96"/>
      <c r="FJ416" s="96"/>
      <c r="FK416" s="96"/>
      <c r="FL416" s="96"/>
      <c r="FM416" s="96"/>
      <c r="FN416" s="96"/>
      <c r="FO416" s="96"/>
      <c r="FP416" s="96"/>
      <c r="FQ416" s="96"/>
      <c r="FR416" s="96"/>
      <c r="FS416" s="96"/>
      <c r="FT416" s="96"/>
      <c r="FU416" s="96"/>
      <c r="FV416" s="96"/>
      <c r="FW416" s="96"/>
      <c r="FX416" s="96"/>
      <c r="FY416" s="96"/>
      <c r="FZ416" s="96"/>
      <c r="GA416" s="96"/>
      <c r="GB416" s="96"/>
      <c r="GC416" s="96"/>
      <c r="GD416" s="96"/>
      <c r="GE416" s="96"/>
      <c r="GF416" s="96"/>
      <c r="GG416" s="96"/>
      <c r="GH416" s="96"/>
      <c r="GI416" s="96"/>
      <c r="GJ416" s="96"/>
      <c r="GK416" s="96"/>
      <c r="GL416" s="96"/>
      <c r="GM416" s="13"/>
      <c r="GN416" s="96"/>
      <c r="GO416" s="96"/>
      <c r="GP416" s="96"/>
      <c r="GQ416" s="96"/>
      <c r="GR416" s="96"/>
      <c r="GS416" s="96"/>
      <c r="GT416" s="96"/>
      <c r="GU416" s="96"/>
      <c r="GV416" s="96"/>
      <c r="GW416" s="96"/>
      <c r="GX416" s="96"/>
      <c r="GY416" s="96"/>
      <c r="GZ416" s="96"/>
      <c r="HA416" s="96"/>
      <c r="HB416" s="96"/>
      <c r="HC416" s="13"/>
      <c r="HD416" s="96"/>
      <c r="HE416" s="96"/>
      <c r="HF416" s="96"/>
      <c r="HG416" s="96"/>
      <c r="HH416" s="96"/>
      <c r="HI416" s="96"/>
      <c r="HJ416" s="96"/>
      <c r="HK416" s="96"/>
      <c r="HL416" s="96"/>
      <c r="HM416" s="96"/>
      <c r="HN416" s="96"/>
      <c r="HO416" s="96"/>
      <c r="HP416" s="96"/>
      <c r="HQ416" s="96"/>
      <c r="HR416" s="96"/>
      <c r="HS416" s="13"/>
      <c r="HT416" s="96"/>
      <c r="HU416" s="96"/>
      <c r="HV416" s="96"/>
      <c r="HW416" s="96"/>
      <c r="HX416" s="96"/>
      <c r="HY416" s="96"/>
      <c r="HZ416" s="96"/>
      <c r="IA416" s="96"/>
      <c r="IB416" s="96"/>
      <c r="IC416" s="96"/>
      <c r="ID416" s="96"/>
      <c r="IE416" s="96"/>
      <c r="IF416" s="96"/>
      <c r="IG416" s="96"/>
      <c r="IH416" s="96"/>
      <c r="II416" s="13"/>
      <c r="IJ416" s="96"/>
      <c r="IK416" s="96"/>
      <c r="IL416" s="96"/>
      <c r="IM416" s="96"/>
      <c r="IN416" s="96"/>
      <c r="IO416" s="96"/>
      <c r="IP416" s="96"/>
      <c r="IQ416" s="96"/>
      <c r="IR416" s="96"/>
      <c r="IS416" s="96"/>
      <c r="IT416" s="96"/>
      <c r="IU416" s="96"/>
      <c r="IV416" s="96"/>
      <c r="IW416" s="96"/>
      <c r="IX416" s="96"/>
      <c r="IY416" s="13"/>
    </row>
    <row r="417" spans="1:259" outlineLevel="1">
      <c r="A417" s="11">
        <f>'VAC &amp; MED'!C424</f>
        <v>46385</v>
      </c>
      <c r="B417" s="269"/>
      <c r="C417" s="269"/>
      <c r="D417" s="269"/>
      <c r="E417" s="269"/>
      <c r="F417" s="269"/>
      <c r="G417" s="269"/>
      <c r="H417" s="269"/>
      <c r="I417" s="269"/>
      <c r="J417" s="269"/>
      <c r="K417" s="269"/>
      <c r="L417" s="269"/>
      <c r="M417" s="269"/>
      <c r="N417" s="269"/>
      <c r="O417" s="269"/>
      <c r="P417" s="269"/>
      <c r="Q417" s="269"/>
      <c r="R417" s="270"/>
      <c r="S417" s="270"/>
      <c r="T417" s="270"/>
      <c r="U417" s="270"/>
      <c r="V417" s="270"/>
      <c r="W417" s="270"/>
      <c r="X417" s="270"/>
      <c r="Y417" s="270"/>
      <c r="Z417" s="270"/>
      <c r="AA417" s="270"/>
      <c r="AB417" s="270"/>
      <c r="AC417" s="270"/>
      <c r="AD417" s="270"/>
      <c r="AE417" s="270"/>
      <c r="AF417" s="270"/>
      <c r="AG417" s="270"/>
      <c r="AH417" s="271"/>
      <c r="AI417" s="271"/>
      <c r="AJ417" s="271"/>
      <c r="AK417" s="271"/>
      <c r="AL417" s="271"/>
      <c r="AM417" s="271"/>
      <c r="AN417" s="271"/>
      <c r="AO417" s="271"/>
      <c r="AP417" s="271"/>
      <c r="AQ417" s="271"/>
      <c r="AR417" s="271"/>
      <c r="AS417" s="271"/>
      <c r="AT417" s="271"/>
      <c r="AU417" s="271"/>
      <c r="AV417" s="271"/>
      <c r="AW417" s="271"/>
      <c r="AX417" s="272"/>
      <c r="AY417" s="272"/>
      <c r="AZ417" s="272"/>
      <c r="BA417" s="272"/>
      <c r="BB417" s="272"/>
      <c r="BC417" s="272"/>
      <c r="BD417" s="272"/>
      <c r="BE417" s="272"/>
      <c r="BF417" s="272"/>
      <c r="BG417" s="272"/>
      <c r="BH417" s="272"/>
      <c r="BI417" s="272"/>
      <c r="BJ417" s="272"/>
      <c r="BK417" s="272"/>
      <c r="BL417" s="272"/>
      <c r="BM417" s="272"/>
      <c r="BN417" s="273"/>
      <c r="BO417" s="273"/>
      <c r="BP417" s="273"/>
      <c r="BQ417" s="273"/>
      <c r="BR417" s="273"/>
      <c r="BS417" s="273"/>
      <c r="BT417" s="273"/>
      <c r="BU417" s="273"/>
      <c r="BV417" s="273"/>
      <c r="BW417" s="273"/>
      <c r="BX417" s="273"/>
      <c r="BY417" s="273"/>
      <c r="BZ417" s="273"/>
      <c r="CA417" s="273"/>
      <c r="CB417" s="273"/>
      <c r="CC417" s="273"/>
      <c r="CD417" s="274"/>
      <c r="CE417" s="274"/>
      <c r="CF417" s="274"/>
      <c r="CG417" s="274"/>
      <c r="CH417" s="274"/>
      <c r="CI417" s="274"/>
      <c r="CJ417" s="274"/>
      <c r="CK417" s="274"/>
      <c r="CL417" s="274"/>
      <c r="CM417" s="274"/>
      <c r="CN417" s="274"/>
      <c r="CO417" s="274"/>
      <c r="CP417" s="274"/>
      <c r="CQ417" s="274"/>
      <c r="CR417" s="274"/>
      <c r="CS417" s="274"/>
      <c r="CT417" s="275"/>
      <c r="CU417" s="275"/>
      <c r="CV417" s="275"/>
      <c r="CW417" s="275"/>
      <c r="CX417" s="275"/>
      <c r="CY417" s="275"/>
      <c r="CZ417" s="275"/>
      <c r="DA417" s="275"/>
      <c r="DB417" s="275"/>
      <c r="DC417" s="275"/>
      <c r="DD417" s="275"/>
      <c r="DE417" s="275"/>
      <c r="DF417" s="275"/>
      <c r="DG417" s="275"/>
      <c r="DH417" s="275"/>
      <c r="DI417" s="275"/>
      <c r="DJ417" s="276"/>
      <c r="DK417" s="276"/>
      <c r="DL417" s="276"/>
      <c r="DM417" s="276"/>
      <c r="DN417" s="276"/>
      <c r="DO417" s="276"/>
      <c r="DP417" s="276"/>
      <c r="DQ417" s="276"/>
      <c r="DR417" s="276"/>
      <c r="DS417" s="276"/>
      <c r="DT417" s="276"/>
      <c r="DU417" s="276"/>
      <c r="DV417" s="276"/>
      <c r="DW417" s="276"/>
      <c r="DX417" s="276"/>
      <c r="DY417" s="276"/>
      <c r="EA417" s="89"/>
      <c r="EB417" s="96"/>
      <c r="EC417" s="96"/>
      <c r="ED417" s="96"/>
      <c r="EE417" s="96"/>
      <c r="EF417" s="96"/>
      <c r="EG417" s="96"/>
      <c r="EH417" s="96"/>
      <c r="EI417" s="96"/>
      <c r="EJ417" s="96"/>
      <c r="EK417" s="96"/>
      <c r="EL417" s="96"/>
      <c r="EM417" s="96"/>
      <c r="EN417" s="96"/>
      <c r="EO417" s="96"/>
      <c r="EP417" s="96"/>
      <c r="EQ417" s="96"/>
      <c r="ER417" s="96"/>
      <c r="ES417" s="96"/>
      <c r="ET417" s="96"/>
      <c r="EU417" s="96"/>
      <c r="EV417" s="96"/>
      <c r="EW417" s="96"/>
      <c r="EX417" s="96"/>
      <c r="EY417" s="96"/>
      <c r="EZ417" s="96"/>
      <c r="FA417" s="96"/>
      <c r="FB417" s="96"/>
      <c r="FC417" s="96"/>
      <c r="FD417" s="96"/>
      <c r="FE417" s="96"/>
      <c r="FF417" s="96"/>
      <c r="FG417" s="96"/>
      <c r="FH417" s="96"/>
      <c r="FI417" s="96"/>
      <c r="FJ417" s="96"/>
      <c r="FK417" s="96"/>
      <c r="FL417" s="96"/>
      <c r="FM417" s="96"/>
      <c r="FN417" s="96"/>
      <c r="FO417" s="96"/>
      <c r="FP417" s="96"/>
      <c r="FQ417" s="96"/>
      <c r="FR417" s="96"/>
      <c r="FS417" s="96"/>
      <c r="FT417" s="96"/>
      <c r="FU417" s="96"/>
      <c r="FV417" s="96"/>
      <c r="FW417" s="96"/>
      <c r="FX417" s="96"/>
      <c r="FY417" s="96"/>
      <c r="FZ417" s="96"/>
      <c r="GA417" s="96"/>
      <c r="GB417" s="96"/>
      <c r="GC417" s="96"/>
      <c r="GD417" s="96"/>
      <c r="GE417" s="96"/>
      <c r="GF417" s="96"/>
      <c r="GG417" s="96"/>
      <c r="GH417" s="96"/>
      <c r="GI417" s="96"/>
      <c r="GJ417" s="96"/>
      <c r="GK417" s="96"/>
      <c r="GL417" s="96"/>
      <c r="GM417" s="13"/>
      <c r="GN417" s="96"/>
      <c r="GO417" s="96"/>
      <c r="GP417" s="96"/>
      <c r="GQ417" s="96"/>
      <c r="GR417" s="96"/>
      <c r="GS417" s="96"/>
      <c r="GT417" s="96"/>
      <c r="GU417" s="96"/>
      <c r="GV417" s="96"/>
      <c r="GW417" s="96"/>
      <c r="GX417" s="96"/>
      <c r="GY417" s="96"/>
      <c r="GZ417" s="96"/>
      <c r="HA417" s="96"/>
      <c r="HB417" s="96"/>
      <c r="HC417" s="13"/>
      <c r="HD417" s="96"/>
      <c r="HE417" s="96"/>
      <c r="HF417" s="96"/>
      <c r="HG417" s="96"/>
      <c r="HH417" s="96"/>
      <c r="HI417" s="96"/>
      <c r="HJ417" s="96"/>
      <c r="HK417" s="96"/>
      <c r="HL417" s="96"/>
      <c r="HM417" s="96"/>
      <c r="HN417" s="96"/>
      <c r="HO417" s="96"/>
      <c r="HP417" s="96"/>
      <c r="HQ417" s="96"/>
      <c r="HR417" s="96"/>
      <c r="HS417" s="13"/>
      <c r="HT417" s="96"/>
      <c r="HU417" s="96"/>
      <c r="HV417" s="96"/>
      <c r="HW417" s="96"/>
      <c r="HX417" s="96"/>
      <c r="HY417" s="96"/>
      <c r="HZ417" s="96"/>
      <c r="IA417" s="96"/>
      <c r="IB417" s="96"/>
      <c r="IC417" s="96"/>
      <c r="ID417" s="96"/>
      <c r="IE417" s="96"/>
      <c r="IF417" s="96"/>
      <c r="IG417" s="96"/>
      <c r="IH417" s="96"/>
      <c r="II417" s="13"/>
      <c r="IJ417" s="96"/>
      <c r="IK417" s="96"/>
      <c r="IL417" s="96"/>
      <c r="IM417" s="96"/>
      <c r="IN417" s="96"/>
      <c r="IO417" s="96"/>
      <c r="IP417" s="96"/>
      <c r="IQ417" s="96"/>
      <c r="IR417" s="96"/>
      <c r="IS417" s="96"/>
      <c r="IT417" s="96"/>
      <c r="IU417" s="96"/>
      <c r="IV417" s="96"/>
      <c r="IW417" s="96"/>
      <c r="IX417" s="96"/>
      <c r="IY417" s="13"/>
    </row>
    <row r="418" spans="1:259" outlineLevel="1">
      <c r="A418" s="11">
        <f>'VAC &amp; MED'!C425</f>
        <v>46386</v>
      </c>
      <c r="B418" s="261"/>
      <c r="C418" s="261"/>
      <c r="D418" s="261"/>
      <c r="E418" s="261"/>
      <c r="F418" s="261"/>
      <c r="G418" s="261"/>
      <c r="H418" s="261"/>
      <c r="I418" s="261"/>
      <c r="J418" s="261"/>
      <c r="K418" s="261"/>
      <c r="L418" s="261"/>
      <c r="M418" s="261"/>
      <c r="N418" s="261"/>
      <c r="O418" s="261"/>
      <c r="P418" s="261"/>
      <c r="Q418" s="261"/>
      <c r="R418" s="262"/>
      <c r="S418" s="262"/>
      <c r="T418" s="262"/>
      <c r="U418" s="262"/>
      <c r="V418" s="262"/>
      <c r="W418" s="262"/>
      <c r="X418" s="262"/>
      <c r="Y418" s="262"/>
      <c r="Z418" s="262"/>
      <c r="AA418" s="262"/>
      <c r="AB418" s="262"/>
      <c r="AC418" s="262"/>
      <c r="AD418" s="262"/>
      <c r="AE418" s="262"/>
      <c r="AF418" s="262"/>
      <c r="AG418" s="262"/>
      <c r="AH418" s="263"/>
      <c r="AI418" s="263"/>
      <c r="AJ418" s="263"/>
      <c r="AK418" s="263"/>
      <c r="AL418" s="263"/>
      <c r="AM418" s="263"/>
      <c r="AN418" s="263"/>
      <c r="AO418" s="263"/>
      <c r="AP418" s="263"/>
      <c r="AQ418" s="263"/>
      <c r="AR418" s="263"/>
      <c r="AS418" s="263"/>
      <c r="AT418" s="263"/>
      <c r="AU418" s="263"/>
      <c r="AV418" s="263"/>
      <c r="AW418" s="263"/>
      <c r="AX418" s="264"/>
      <c r="AY418" s="264"/>
      <c r="AZ418" s="264"/>
      <c r="BA418" s="264"/>
      <c r="BB418" s="264"/>
      <c r="BC418" s="264"/>
      <c r="BD418" s="264"/>
      <c r="BE418" s="264"/>
      <c r="BF418" s="264"/>
      <c r="BG418" s="264"/>
      <c r="BH418" s="264"/>
      <c r="BI418" s="264"/>
      <c r="BJ418" s="264"/>
      <c r="BK418" s="264"/>
      <c r="BL418" s="264"/>
      <c r="BM418" s="264"/>
      <c r="BN418" s="265"/>
      <c r="BO418" s="265"/>
      <c r="BP418" s="265"/>
      <c r="BQ418" s="265"/>
      <c r="BR418" s="265"/>
      <c r="BS418" s="265"/>
      <c r="BT418" s="265"/>
      <c r="BU418" s="265"/>
      <c r="BV418" s="265"/>
      <c r="BW418" s="265"/>
      <c r="BX418" s="265"/>
      <c r="BY418" s="265"/>
      <c r="BZ418" s="265"/>
      <c r="CA418" s="265"/>
      <c r="CB418" s="265"/>
      <c r="CC418" s="265"/>
      <c r="CD418" s="266"/>
      <c r="CE418" s="266"/>
      <c r="CF418" s="266"/>
      <c r="CG418" s="266"/>
      <c r="CH418" s="266"/>
      <c r="CI418" s="266"/>
      <c r="CJ418" s="266"/>
      <c r="CK418" s="266"/>
      <c r="CL418" s="266"/>
      <c r="CM418" s="266"/>
      <c r="CN418" s="266"/>
      <c r="CO418" s="266"/>
      <c r="CP418" s="266"/>
      <c r="CQ418" s="266"/>
      <c r="CR418" s="266"/>
      <c r="CS418" s="266"/>
      <c r="CT418" s="267"/>
      <c r="CU418" s="267"/>
      <c r="CV418" s="267"/>
      <c r="CW418" s="267"/>
      <c r="CX418" s="267"/>
      <c r="CY418" s="267"/>
      <c r="CZ418" s="267"/>
      <c r="DA418" s="267"/>
      <c r="DB418" s="267"/>
      <c r="DC418" s="267"/>
      <c r="DD418" s="267"/>
      <c r="DE418" s="267"/>
      <c r="DF418" s="267"/>
      <c r="DG418" s="267"/>
      <c r="DH418" s="267"/>
      <c r="DI418" s="267"/>
      <c r="DJ418" s="268"/>
      <c r="DK418" s="268"/>
      <c r="DL418" s="268"/>
      <c r="DM418" s="268"/>
      <c r="DN418" s="268"/>
      <c r="DO418" s="268"/>
      <c r="DP418" s="268"/>
      <c r="DQ418" s="268"/>
      <c r="DR418" s="268"/>
      <c r="DS418" s="268"/>
      <c r="DT418" s="268"/>
      <c r="DU418" s="268"/>
      <c r="DV418" s="268"/>
      <c r="DW418" s="268"/>
      <c r="DX418" s="268"/>
      <c r="DY418" s="268"/>
      <c r="EA418" s="13"/>
      <c r="EB418" s="95"/>
      <c r="EC418" s="95"/>
      <c r="ED418" s="95"/>
      <c r="EE418" s="95"/>
      <c r="EF418" s="95"/>
      <c r="EG418" s="95"/>
      <c r="EH418" s="95"/>
      <c r="EI418" s="95"/>
      <c r="EJ418" s="95"/>
      <c r="EK418" s="95"/>
      <c r="EL418" s="95"/>
      <c r="EM418" s="95"/>
      <c r="EN418" s="95"/>
      <c r="EO418" s="95"/>
      <c r="EP418" s="95"/>
      <c r="EQ418" s="95"/>
      <c r="ER418" s="13"/>
      <c r="ES418" s="13"/>
      <c r="ET418" s="13"/>
      <c r="EU418" s="13"/>
      <c r="EV418" s="13"/>
      <c r="EW418" s="13"/>
      <c r="EX418" s="13"/>
      <c r="EY418" s="13"/>
      <c r="EZ418" s="13"/>
      <c r="FA418" s="13"/>
      <c r="FB418" s="13"/>
      <c r="FC418" s="13"/>
      <c r="FD418" s="13"/>
      <c r="FE418" s="13"/>
      <c r="FF418" s="13"/>
      <c r="FG418" s="13"/>
      <c r="FH418" s="13"/>
      <c r="FI418" s="13"/>
      <c r="FJ418" s="13"/>
      <c r="FK418" s="13"/>
      <c r="FL418" s="13"/>
      <c r="FM418" s="13"/>
      <c r="FN418" s="13"/>
      <c r="FO418" s="13"/>
      <c r="FP418" s="13"/>
      <c r="FQ418" s="13"/>
      <c r="FR418" s="13"/>
      <c r="FS418" s="13"/>
      <c r="FT418" s="13"/>
      <c r="FU418" s="13"/>
      <c r="FV418" s="13"/>
      <c r="FW418" s="13"/>
      <c r="FX418" s="13"/>
      <c r="FY418" s="13"/>
      <c r="FZ418" s="13"/>
      <c r="GA418" s="13"/>
      <c r="GB418" s="13"/>
      <c r="GC418" s="13"/>
      <c r="GD418" s="13"/>
      <c r="GE418" s="13"/>
      <c r="GF418" s="13"/>
      <c r="GG418" s="13"/>
      <c r="GH418" s="13"/>
      <c r="GI418" s="13"/>
      <c r="GJ418" s="13"/>
      <c r="GK418" s="13"/>
      <c r="GL418" s="13"/>
      <c r="GM418" s="13"/>
      <c r="GN418" s="13"/>
      <c r="GO418" s="13"/>
      <c r="GP418" s="13"/>
      <c r="GQ418" s="13"/>
      <c r="GR418" s="13"/>
      <c r="GS418" s="13"/>
      <c r="GT418" s="13"/>
      <c r="GU418" s="13"/>
      <c r="GV418" s="13"/>
      <c r="GW418" s="13"/>
      <c r="GX418" s="13"/>
      <c r="GY418" s="13"/>
      <c r="GZ418" s="13"/>
      <c r="HA418" s="13"/>
      <c r="HB418" s="13"/>
      <c r="HC418" s="13"/>
      <c r="HD418" s="13"/>
      <c r="HE418" s="13"/>
      <c r="HF418" s="13"/>
      <c r="HG418" s="13"/>
      <c r="HH418" s="13"/>
      <c r="HI418" s="13"/>
      <c r="HJ418" s="13"/>
      <c r="HK418" s="13"/>
      <c r="HL418" s="13"/>
      <c r="HM418" s="13"/>
      <c r="HN418" s="13"/>
      <c r="HO418" s="13"/>
      <c r="HP418" s="13"/>
      <c r="HQ418" s="13"/>
      <c r="HR418" s="13"/>
      <c r="HS418" s="13"/>
      <c r="HT418" s="13"/>
      <c r="HU418" s="13"/>
      <c r="HV418" s="13"/>
      <c r="HW418" s="13"/>
      <c r="HX418" s="13"/>
      <c r="HY418" s="13"/>
      <c r="HZ418" s="13"/>
      <c r="IA418" s="13"/>
      <c r="IB418" s="13"/>
      <c r="IC418" s="13"/>
      <c r="ID418" s="13"/>
      <c r="IE418" s="13"/>
      <c r="IF418" s="13"/>
      <c r="IG418" s="13"/>
      <c r="IH418" s="13"/>
      <c r="II418" s="13"/>
      <c r="IJ418" s="13"/>
      <c r="IK418" s="13"/>
      <c r="IL418" s="13"/>
      <c r="IM418" s="13"/>
      <c r="IN418" s="13"/>
      <c r="IO418" s="13"/>
      <c r="IP418" s="13"/>
      <c r="IQ418" s="13"/>
      <c r="IR418" s="13"/>
      <c r="IS418" s="13"/>
      <c r="IT418" s="13"/>
      <c r="IU418" s="13"/>
      <c r="IV418" s="13"/>
      <c r="IW418" s="13"/>
      <c r="IX418" s="13"/>
      <c r="IY418" s="13"/>
    </row>
    <row r="419" spans="1:259" outlineLevel="1">
      <c r="A419" s="11">
        <f>'VAC &amp; MED'!C426</f>
        <v>46387</v>
      </c>
      <c r="B419" s="261"/>
      <c r="C419" s="261"/>
      <c r="D419" s="261"/>
      <c r="E419" s="261"/>
      <c r="F419" s="261"/>
      <c r="G419" s="261"/>
      <c r="H419" s="261"/>
      <c r="I419" s="261"/>
      <c r="J419" s="261"/>
      <c r="K419" s="261"/>
      <c r="L419" s="261"/>
      <c r="M419" s="261"/>
      <c r="N419" s="261"/>
      <c r="O419" s="261"/>
      <c r="P419" s="261"/>
      <c r="Q419" s="261"/>
      <c r="R419" s="262"/>
      <c r="S419" s="262"/>
      <c r="T419" s="262"/>
      <c r="U419" s="262"/>
      <c r="V419" s="262"/>
      <c r="W419" s="262"/>
      <c r="X419" s="262"/>
      <c r="Y419" s="262"/>
      <c r="Z419" s="262"/>
      <c r="AA419" s="262"/>
      <c r="AB419" s="262"/>
      <c r="AC419" s="262"/>
      <c r="AD419" s="262"/>
      <c r="AE419" s="262"/>
      <c r="AF419" s="262"/>
      <c r="AG419" s="262"/>
      <c r="AH419" s="263"/>
      <c r="AI419" s="263"/>
      <c r="AJ419" s="263"/>
      <c r="AK419" s="263"/>
      <c r="AL419" s="263"/>
      <c r="AM419" s="263"/>
      <c r="AN419" s="263"/>
      <c r="AO419" s="263"/>
      <c r="AP419" s="263"/>
      <c r="AQ419" s="263"/>
      <c r="AR419" s="263"/>
      <c r="AS419" s="263"/>
      <c r="AT419" s="263"/>
      <c r="AU419" s="263"/>
      <c r="AV419" s="263"/>
      <c r="AW419" s="263"/>
      <c r="AX419" s="264"/>
      <c r="AY419" s="264"/>
      <c r="AZ419" s="264"/>
      <c r="BA419" s="264"/>
      <c r="BB419" s="264"/>
      <c r="BC419" s="264"/>
      <c r="BD419" s="264"/>
      <c r="BE419" s="264"/>
      <c r="BF419" s="264"/>
      <c r="BG419" s="264"/>
      <c r="BH419" s="264"/>
      <c r="BI419" s="264"/>
      <c r="BJ419" s="264"/>
      <c r="BK419" s="264"/>
      <c r="BL419" s="264"/>
      <c r="BM419" s="264"/>
      <c r="BN419" s="265"/>
      <c r="BO419" s="265"/>
      <c r="BP419" s="265"/>
      <c r="BQ419" s="265"/>
      <c r="BR419" s="265"/>
      <c r="BS419" s="265"/>
      <c r="BT419" s="265"/>
      <c r="BU419" s="265"/>
      <c r="BV419" s="265"/>
      <c r="BW419" s="265"/>
      <c r="BX419" s="265"/>
      <c r="BY419" s="265"/>
      <c r="BZ419" s="265"/>
      <c r="CA419" s="265"/>
      <c r="CB419" s="265"/>
      <c r="CC419" s="265"/>
      <c r="CD419" s="266"/>
      <c r="CE419" s="266"/>
      <c r="CF419" s="266"/>
      <c r="CG419" s="266"/>
      <c r="CH419" s="266"/>
      <c r="CI419" s="266"/>
      <c r="CJ419" s="266"/>
      <c r="CK419" s="266"/>
      <c r="CL419" s="266"/>
      <c r="CM419" s="266"/>
      <c r="CN419" s="266"/>
      <c r="CO419" s="266"/>
      <c r="CP419" s="266"/>
      <c r="CQ419" s="266"/>
      <c r="CR419" s="266"/>
      <c r="CS419" s="266"/>
      <c r="CT419" s="267"/>
      <c r="CU419" s="267"/>
      <c r="CV419" s="267"/>
      <c r="CW419" s="267"/>
      <c r="CX419" s="267"/>
      <c r="CY419" s="267"/>
      <c r="CZ419" s="267"/>
      <c r="DA419" s="267"/>
      <c r="DB419" s="267"/>
      <c r="DC419" s="267"/>
      <c r="DD419" s="267"/>
      <c r="DE419" s="267"/>
      <c r="DF419" s="267"/>
      <c r="DG419" s="267"/>
      <c r="DH419" s="267"/>
      <c r="DI419" s="267"/>
      <c r="DJ419" s="268"/>
      <c r="DK419" s="268"/>
      <c r="DL419" s="268"/>
      <c r="DM419" s="268"/>
      <c r="DN419" s="268"/>
      <c r="DO419" s="268"/>
      <c r="DP419" s="268"/>
      <c r="DQ419" s="268"/>
      <c r="DR419" s="268"/>
      <c r="DS419" s="268"/>
      <c r="DT419" s="268"/>
      <c r="DU419" s="268"/>
      <c r="DV419" s="268"/>
      <c r="DW419" s="268"/>
      <c r="DX419" s="268"/>
      <c r="DY419" s="268"/>
      <c r="EA419" s="13"/>
      <c r="EB419" s="95"/>
      <c r="EC419" s="95"/>
      <c r="ED419" s="95"/>
      <c r="EE419" s="95"/>
      <c r="EF419" s="95"/>
      <c r="EG419" s="95"/>
      <c r="EH419" s="95"/>
      <c r="EI419" s="95"/>
      <c r="EJ419" s="95"/>
      <c r="EK419" s="95"/>
      <c r="EL419" s="95"/>
      <c r="EM419" s="95"/>
      <c r="EN419" s="95"/>
      <c r="EO419" s="95"/>
      <c r="EP419" s="95"/>
      <c r="EQ419" s="95"/>
      <c r="ER419" s="13"/>
      <c r="ES419" s="13"/>
      <c r="ET419" s="13"/>
      <c r="EU419" s="13"/>
      <c r="EV419" s="13"/>
      <c r="EW419" s="13"/>
      <c r="EX419" s="13"/>
      <c r="EY419" s="13"/>
      <c r="EZ419" s="13"/>
      <c r="FA419" s="13"/>
      <c r="FB419" s="13"/>
      <c r="FC419" s="13"/>
      <c r="FD419" s="13"/>
      <c r="FE419" s="13"/>
      <c r="FF419" s="13"/>
      <c r="FG419" s="13"/>
      <c r="FH419" s="13"/>
      <c r="FI419" s="13"/>
      <c r="FJ419" s="13"/>
      <c r="FK419" s="13"/>
      <c r="FL419" s="13"/>
      <c r="FM419" s="13"/>
      <c r="FN419" s="13"/>
      <c r="FO419" s="13"/>
      <c r="FP419" s="13"/>
      <c r="FQ419" s="13"/>
      <c r="FR419" s="13"/>
      <c r="FS419" s="13"/>
      <c r="FT419" s="13"/>
      <c r="FU419" s="13"/>
      <c r="FV419" s="13"/>
      <c r="FW419" s="13"/>
      <c r="FX419" s="13"/>
      <c r="FY419" s="13"/>
      <c r="FZ419" s="13"/>
      <c r="GA419" s="13"/>
      <c r="GB419" s="13"/>
      <c r="GC419" s="13"/>
      <c r="GD419" s="13"/>
      <c r="GE419" s="13"/>
      <c r="GF419" s="13"/>
      <c r="GG419" s="13"/>
      <c r="GH419" s="13"/>
      <c r="GI419" s="13"/>
      <c r="GJ419" s="13"/>
      <c r="GK419" s="13"/>
      <c r="GL419" s="13"/>
      <c r="GM419" s="13"/>
      <c r="GN419" s="13"/>
      <c r="GO419" s="13"/>
      <c r="GP419" s="13"/>
      <c r="GQ419" s="13"/>
      <c r="GR419" s="13"/>
      <c r="GS419" s="13"/>
      <c r="GT419" s="13"/>
      <c r="GU419" s="13"/>
      <c r="GV419" s="13"/>
      <c r="GW419" s="13"/>
      <c r="GX419" s="13"/>
      <c r="GY419" s="13"/>
      <c r="GZ419" s="13"/>
      <c r="HA419" s="13"/>
      <c r="HB419" s="13"/>
      <c r="HC419" s="13"/>
      <c r="HD419" s="13"/>
      <c r="HE419" s="13"/>
      <c r="HF419" s="13"/>
      <c r="HG419" s="13"/>
      <c r="HH419" s="13"/>
      <c r="HI419" s="13"/>
      <c r="HJ419" s="13"/>
      <c r="HK419" s="13"/>
      <c r="HL419" s="13"/>
      <c r="HM419" s="13"/>
      <c r="HN419" s="13"/>
      <c r="HO419" s="13"/>
      <c r="HP419" s="13"/>
      <c r="HQ419" s="13"/>
      <c r="HR419" s="13"/>
      <c r="HS419" s="13"/>
      <c r="HT419" s="13"/>
      <c r="HU419" s="13"/>
      <c r="HV419" s="13"/>
      <c r="HW419" s="13"/>
      <c r="HX419" s="13"/>
      <c r="HY419" s="13"/>
      <c r="HZ419" s="13"/>
      <c r="IA419" s="13"/>
      <c r="IB419" s="13"/>
      <c r="IC419" s="13"/>
      <c r="ID419" s="13"/>
      <c r="IE419" s="13"/>
      <c r="IF419" s="13"/>
      <c r="IG419" s="13"/>
      <c r="IH419" s="13"/>
      <c r="II419" s="13"/>
      <c r="IJ419" s="13"/>
      <c r="IK419" s="13"/>
      <c r="IL419" s="13"/>
      <c r="IM419" s="13"/>
      <c r="IN419" s="13"/>
      <c r="IO419" s="13"/>
      <c r="IP419" s="13"/>
      <c r="IQ419" s="13"/>
      <c r="IR419" s="13"/>
      <c r="IS419" s="13"/>
      <c r="IT419" s="13"/>
      <c r="IU419" s="13"/>
      <c r="IV419" s="13"/>
      <c r="IW419" s="13"/>
      <c r="IX419" s="13"/>
      <c r="IY419" s="13"/>
    </row>
    <row r="420" spans="1:259">
      <c r="EB420" s="95"/>
      <c r="EC420" s="95"/>
      <c r="ED420" s="95"/>
      <c r="EE420" s="95"/>
      <c r="EF420" s="95"/>
      <c r="EG420" s="95"/>
      <c r="EH420" s="95"/>
      <c r="EI420" s="95"/>
      <c r="EJ420" s="95"/>
      <c r="EK420" s="95"/>
      <c r="EL420" s="95"/>
      <c r="EM420" s="95"/>
      <c r="EN420" s="95"/>
      <c r="EO420" s="95"/>
      <c r="EP420" s="95"/>
      <c r="EQ420" s="95"/>
      <c r="ER420" s="13"/>
      <c r="ES420" s="13"/>
      <c r="ET420" s="13"/>
      <c r="EU420" s="13"/>
      <c r="EV420" s="13"/>
      <c r="EW420" s="13"/>
      <c r="EX420" s="13"/>
      <c r="EY420" s="13"/>
      <c r="EZ420" s="13"/>
      <c r="FA420" s="13"/>
      <c r="FB420" s="13"/>
      <c r="FC420" s="13"/>
      <c r="FD420" s="13"/>
      <c r="FE420" s="13"/>
      <c r="FF420" s="13"/>
      <c r="FG420" s="13"/>
      <c r="FH420" s="13"/>
      <c r="FI420" s="13"/>
      <c r="FJ420" s="13"/>
      <c r="FK420" s="13"/>
      <c r="FL420" s="13"/>
      <c r="FM420" s="13"/>
      <c r="FN420" s="13"/>
      <c r="FO420" s="13"/>
      <c r="FP420" s="13"/>
      <c r="FQ420" s="13"/>
      <c r="FR420" s="13"/>
      <c r="FS420" s="13"/>
      <c r="FT420" s="13"/>
      <c r="FU420" s="13"/>
      <c r="FV420" s="13"/>
      <c r="FW420" s="13"/>
      <c r="FX420" s="13"/>
      <c r="FY420" s="13"/>
      <c r="FZ420" s="13"/>
      <c r="GA420" s="13"/>
      <c r="GB420" s="13"/>
      <c r="GC420" s="13"/>
      <c r="GD420" s="13"/>
      <c r="GE420" s="13"/>
      <c r="GF420" s="13"/>
      <c r="GG420" s="13"/>
      <c r="GH420" s="13"/>
      <c r="GI420" s="13"/>
      <c r="GJ420" s="13"/>
      <c r="GK420" s="13"/>
      <c r="GL420" s="13"/>
      <c r="GM420" s="13"/>
      <c r="GN420" s="13"/>
      <c r="GO420" s="13"/>
      <c r="GP420" s="13"/>
      <c r="GQ420" s="13"/>
      <c r="GR420" s="13"/>
      <c r="GS420" s="13"/>
      <c r="GT420" s="13"/>
      <c r="GU420" s="13"/>
      <c r="GV420" s="13"/>
      <c r="GW420" s="13"/>
      <c r="GX420" s="13"/>
      <c r="GY420" s="13"/>
      <c r="GZ420" s="13"/>
      <c r="HA420" s="13"/>
      <c r="HB420" s="13"/>
      <c r="HC420" s="13"/>
      <c r="HD420" s="13"/>
      <c r="HE420" s="13"/>
      <c r="HF420" s="13"/>
      <c r="HG420" s="13"/>
      <c r="HH420" s="13"/>
      <c r="HI420" s="13"/>
      <c r="HJ420" s="13"/>
      <c r="HK420" s="13"/>
      <c r="HL420" s="13"/>
      <c r="HM420" s="13"/>
      <c r="HN420" s="13"/>
      <c r="HO420" s="13"/>
      <c r="HP420" s="13"/>
      <c r="HQ420" s="13"/>
      <c r="HR420" s="13"/>
      <c r="HS420" s="13"/>
      <c r="HT420" s="13"/>
      <c r="HU420" s="13"/>
      <c r="HV420" s="13"/>
      <c r="HW420" s="13"/>
      <c r="HX420" s="13"/>
      <c r="HY420" s="13"/>
      <c r="HZ420" s="13"/>
      <c r="IA420" s="13"/>
      <c r="IB420" s="13"/>
      <c r="IC420" s="13"/>
      <c r="ID420" s="13"/>
      <c r="IE420" s="13"/>
      <c r="IF420" s="13"/>
      <c r="IG420" s="13"/>
      <c r="IH420" s="13"/>
      <c r="II420" s="13"/>
      <c r="IJ420" s="13"/>
      <c r="IK420" s="13"/>
      <c r="IL420" s="13"/>
      <c r="IM420" s="13"/>
      <c r="IN420" s="13"/>
      <c r="IO420" s="13"/>
      <c r="IP420" s="13"/>
      <c r="IQ420" s="13"/>
      <c r="IR420" s="13"/>
      <c r="IS420" s="13"/>
      <c r="IT420" s="13"/>
      <c r="IU420" s="13"/>
      <c r="IV420" s="13"/>
      <c r="IW420" s="13"/>
      <c r="IX420" s="13"/>
      <c r="IY420" s="13"/>
    </row>
  </sheetData>
  <mergeCells count="939">
    <mergeCell ref="IJ355:IX356"/>
    <mergeCell ref="IJ357:IJ358"/>
    <mergeCell ref="IK357:IK358"/>
    <mergeCell ref="IL357:IL358"/>
    <mergeCell ref="IM357:IM358"/>
    <mergeCell ref="IN357:IN358"/>
    <mergeCell ref="IO357:IO358"/>
    <mergeCell ref="IP357:IP358"/>
    <mergeCell ref="IQ357:IQ358"/>
    <mergeCell ref="IR357:IR358"/>
    <mergeCell ref="IX357:IX358"/>
    <mergeCell ref="IJ388:IX389"/>
    <mergeCell ref="IJ390:IJ391"/>
    <mergeCell ref="IK390:IK391"/>
    <mergeCell ref="IL390:IL391"/>
    <mergeCell ref="IM390:IM391"/>
    <mergeCell ref="IN390:IN391"/>
    <mergeCell ref="IO390:IO391"/>
    <mergeCell ref="IP390:IP391"/>
    <mergeCell ref="IQ390:IQ391"/>
    <mergeCell ref="IR390:IR391"/>
    <mergeCell ref="IX390:IX391"/>
    <mergeCell ref="IJ288:IX289"/>
    <mergeCell ref="IJ290:IJ291"/>
    <mergeCell ref="IK290:IK291"/>
    <mergeCell ref="IL290:IL291"/>
    <mergeCell ref="IM290:IM291"/>
    <mergeCell ref="IN290:IN291"/>
    <mergeCell ref="IO290:IO291"/>
    <mergeCell ref="IP290:IP291"/>
    <mergeCell ref="IQ290:IQ291"/>
    <mergeCell ref="IR290:IR291"/>
    <mergeCell ref="IX290:IX291"/>
    <mergeCell ref="IJ321:IX322"/>
    <mergeCell ref="IJ323:IJ324"/>
    <mergeCell ref="IK323:IK324"/>
    <mergeCell ref="IL323:IL324"/>
    <mergeCell ref="IM323:IM324"/>
    <mergeCell ref="IN323:IN324"/>
    <mergeCell ref="IO323:IO324"/>
    <mergeCell ref="IP323:IP324"/>
    <mergeCell ref="IQ323:IQ324"/>
    <mergeCell ref="IR323:IR324"/>
    <mergeCell ref="IX323:IX324"/>
    <mergeCell ref="IJ220:IX221"/>
    <mergeCell ref="IJ222:IJ223"/>
    <mergeCell ref="IK222:IK223"/>
    <mergeCell ref="IL222:IL223"/>
    <mergeCell ref="IM222:IM223"/>
    <mergeCell ref="IN222:IN223"/>
    <mergeCell ref="IO222:IO223"/>
    <mergeCell ref="IP222:IP223"/>
    <mergeCell ref="IQ222:IQ223"/>
    <mergeCell ref="IR222:IR223"/>
    <mergeCell ref="IX222:IX223"/>
    <mergeCell ref="IJ254:IX255"/>
    <mergeCell ref="IJ256:IJ257"/>
    <mergeCell ref="IK256:IK257"/>
    <mergeCell ref="IL256:IL257"/>
    <mergeCell ref="IM256:IM257"/>
    <mergeCell ref="IN256:IN257"/>
    <mergeCell ref="IO256:IO257"/>
    <mergeCell ref="IP256:IP257"/>
    <mergeCell ref="IQ256:IQ257"/>
    <mergeCell ref="IR256:IR257"/>
    <mergeCell ref="IX256:IX257"/>
    <mergeCell ref="IJ153:IX154"/>
    <mergeCell ref="IJ155:IJ156"/>
    <mergeCell ref="IK155:IK156"/>
    <mergeCell ref="IL155:IL156"/>
    <mergeCell ref="IM155:IM156"/>
    <mergeCell ref="IN155:IN156"/>
    <mergeCell ref="IO155:IO156"/>
    <mergeCell ref="IP155:IP156"/>
    <mergeCell ref="IQ155:IQ156"/>
    <mergeCell ref="IR155:IR156"/>
    <mergeCell ref="IX155:IX156"/>
    <mergeCell ref="IJ187:IX188"/>
    <mergeCell ref="IJ189:IJ190"/>
    <mergeCell ref="IK189:IK190"/>
    <mergeCell ref="IL189:IL190"/>
    <mergeCell ref="IM189:IM190"/>
    <mergeCell ref="IN189:IN190"/>
    <mergeCell ref="IO189:IO190"/>
    <mergeCell ref="IP189:IP190"/>
    <mergeCell ref="IQ189:IQ190"/>
    <mergeCell ref="IR189:IR190"/>
    <mergeCell ref="IX189:IX190"/>
    <mergeCell ref="HD5:HD6"/>
    <mergeCell ref="HE5:HE6"/>
    <mergeCell ref="HF5:HF6"/>
    <mergeCell ref="HG5:HG6"/>
    <mergeCell ref="IJ120:IX121"/>
    <mergeCell ref="IJ122:IJ123"/>
    <mergeCell ref="IK122:IK123"/>
    <mergeCell ref="IL122:IL123"/>
    <mergeCell ref="IM122:IM123"/>
    <mergeCell ref="IN122:IN123"/>
    <mergeCell ref="IO122:IO123"/>
    <mergeCell ref="IP122:IP123"/>
    <mergeCell ref="IQ122:IQ123"/>
    <mergeCell ref="IR122:IR123"/>
    <mergeCell ref="IX122:IX123"/>
    <mergeCell ref="HT120:IH121"/>
    <mergeCell ref="HT122:HT123"/>
    <mergeCell ref="HU122:HU123"/>
    <mergeCell ref="HV122:HV123"/>
    <mergeCell ref="HW122:HW123"/>
    <mergeCell ref="HX122:HX123"/>
    <mergeCell ref="HY122:HY123"/>
    <mergeCell ref="HZ122:HZ123"/>
    <mergeCell ref="IA122:IA123"/>
    <mergeCell ref="EB2:EQ4"/>
    <mergeCell ref="ER2:FG4"/>
    <mergeCell ref="FH2:FW4"/>
    <mergeCell ref="FX2:GM4"/>
    <mergeCell ref="GN2:HC4"/>
    <mergeCell ref="HD2:HS4"/>
    <mergeCell ref="HT2:II4"/>
    <mergeCell ref="IJ2:IY4"/>
    <mergeCell ref="IJ5:IJ6"/>
    <mergeCell ref="IK5:IK6"/>
    <mergeCell ref="IL5:IL6"/>
    <mergeCell ref="IM5:IM6"/>
    <mergeCell ref="IN5:IN6"/>
    <mergeCell ref="IO5:IO6"/>
    <mergeCell ref="IP5:IP6"/>
    <mergeCell ref="IQ5:IQ6"/>
    <mergeCell ref="IR5:IR6"/>
    <mergeCell ref="IX5:IX6"/>
    <mergeCell ref="HT5:HT6"/>
    <mergeCell ref="HU5:HU6"/>
    <mergeCell ref="HV5:HV6"/>
    <mergeCell ref="HW5:HW6"/>
    <mergeCell ref="HX5:HX6"/>
    <mergeCell ref="HY5:HY6"/>
    <mergeCell ref="HT355:IH356"/>
    <mergeCell ref="HT357:HT358"/>
    <mergeCell ref="HU357:HU358"/>
    <mergeCell ref="HV357:HV358"/>
    <mergeCell ref="HW357:HW358"/>
    <mergeCell ref="HX357:HX358"/>
    <mergeCell ref="HY357:HY358"/>
    <mergeCell ref="HZ357:HZ358"/>
    <mergeCell ref="IA357:IA358"/>
    <mergeCell ref="IB357:IB358"/>
    <mergeCell ref="IH357:IH358"/>
    <mergeCell ref="HT388:IH389"/>
    <mergeCell ref="HT390:HT391"/>
    <mergeCell ref="HU390:HU391"/>
    <mergeCell ref="HV390:HV391"/>
    <mergeCell ref="HW390:HW391"/>
    <mergeCell ref="HX390:HX391"/>
    <mergeCell ref="HY390:HY391"/>
    <mergeCell ref="HZ390:HZ391"/>
    <mergeCell ref="IA390:IA391"/>
    <mergeCell ref="IB390:IB391"/>
    <mergeCell ref="IH390:IH391"/>
    <mergeCell ref="HX323:HX324"/>
    <mergeCell ref="HY323:HY324"/>
    <mergeCell ref="HZ323:HZ324"/>
    <mergeCell ref="IA323:IA324"/>
    <mergeCell ref="IB323:IB324"/>
    <mergeCell ref="IH323:IH324"/>
    <mergeCell ref="HT288:IH289"/>
    <mergeCell ref="HT290:HT291"/>
    <mergeCell ref="HU290:HU291"/>
    <mergeCell ref="HV290:HV291"/>
    <mergeCell ref="HW290:HW291"/>
    <mergeCell ref="HX290:HX291"/>
    <mergeCell ref="HY290:HY291"/>
    <mergeCell ref="HZ290:HZ291"/>
    <mergeCell ref="IA290:IA291"/>
    <mergeCell ref="IB290:IB291"/>
    <mergeCell ref="IH290:IH291"/>
    <mergeCell ref="HT321:IH322"/>
    <mergeCell ref="HT323:HT324"/>
    <mergeCell ref="HU323:HU324"/>
    <mergeCell ref="HV323:HV324"/>
    <mergeCell ref="HW323:HW324"/>
    <mergeCell ref="HT220:IH221"/>
    <mergeCell ref="HT222:HT223"/>
    <mergeCell ref="HU222:HU223"/>
    <mergeCell ref="HV222:HV223"/>
    <mergeCell ref="HW222:HW223"/>
    <mergeCell ref="HX222:HX223"/>
    <mergeCell ref="HY222:HY223"/>
    <mergeCell ref="HZ222:HZ223"/>
    <mergeCell ref="IA222:IA223"/>
    <mergeCell ref="IB222:IB223"/>
    <mergeCell ref="IH222:IH223"/>
    <mergeCell ref="HT254:IH255"/>
    <mergeCell ref="HT256:HT257"/>
    <mergeCell ref="HU256:HU257"/>
    <mergeCell ref="HV256:HV257"/>
    <mergeCell ref="HW256:HW257"/>
    <mergeCell ref="HX256:HX257"/>
    <mergeCell ref="HY256:HY257"/>
    <mergeCell ref="HZ256:HZ257"/>
    <mergeCell ref="IA256:IA257"/>
    <mergeCell ref="IB256:IB257"/>
    <mergeCell ref="IH256:IH257"/>
    <mergeCell ref="HT153:IH154"/>
    <mergeCell ref="HT155:HT156"/>
    <mergeCell ref="HU155:HU156"/>
    <mergeCell ref="HV155:HV156"/>
    <mergeCell ref="HW155:HW156"/>
    <mergeCell ref="HX155:HX156"/>
    <mergeCell ref="HY155:HY156"/>
    <mergeCell ref="HZ155:HZ156"/>
    <mergeCell ref="IA155:IA156"/>
    <mergeCell ref="IB155:IB156"/>
    <mergeCell ref="IH155:IH156"/>
    <mergeCell ref="HT187:IH188"/>
    <mergeCell ref="HT189:HT190"/>
    <mergeCell ref="HU189:HU190"/>
    <mergeCell ref="HV189:HV190"/>
    <mergeCell ref="HW189:HW190"/>
    <mergeCell ref="HX189:HX190"/>
    <mergeCell ref="HY189:HY190"/>
    <mergeCell ref="HZ189:HZ190"/>
    <mergeCell ref="IA189:IA190"/>
    <mergeCell ref="IB189:IB190"/>
    <mergeCell ref="IH189:IH190"/>
    <mergeCell ref="IB122:IB123"/>
    <mergeCell ref="IH122:IH123"/>
    <mergeCell ref="HD355:HR356"/>
    <mergeCell ref="HD357:HD358"/>
    <mergeCell ref="HE357:HE358"/>
    <mergeCell ref="HF357:HF358"/>
    <mergeCell ref="HG357:HG358"/>
    <mergeCell ref="HH357:HH358"/>
    <mergeCell ref="HI357:HI358"/>
    <mergeCell ref="HJ357:HJ358"/>
    <mergeCell ref="HK357:HK358"/>
    <mergeCell ref="HL357:HL358"/>
    <mergeCell ref="HR357:HR358"/>
    <mergeCell ref="HD288:HR289"/>
    <mergeCell ref="HD290:HD291"/>
    <mergeCell ref="HE290:HE291"/>
    <mergeCell ref="HF290:HF291"/>
    <mergeCell ref="HG290:HG291"/>
    <mergeCell ref="HH290:HH291"/>
    <mergeCell ref="HI290:HI291"/>
    <mergeCell ref="HJ290:HJ291"/>
    <mergeCell ref="HK290:HK291"/>
    <mergeCell ref="HL290:HL291"/>
    <mergeCell ref="HR290:HR291"/>
    <mergeCell ref="HD388:HR389"/>
    <mergeCell ref="HD390:HD391"/>
    <mergeCell ref="HE390:HE391"/>
    <mergeCell ref="HF390:HF391"/>
    <mergeCell ref="HG390:HG391"/>
    <mergeCell ref="HH390:HH391"/>
    <mergeCell ref="HI390:HI391"/>
    <mergeCell ref="HJ390:HJ391"/>
    <mergeCell ref="HK390:HK391"/>
    <mergeCell ref="HL390:HL391"/>
    <mergeCell ref="HR390:HR391"/>
    <mergeCell ref="HD321:HR322"/>
    <mergeCell ref="HD323:HD324"/>
    <mergeCell ref="HE323:HE324"/>
    <mergeCell ref="HF323:HF324"/>
    <mergeCell ref="HG323:HG324"/>
    <mergeCell ref="HH323:HH324"/>
    <mergeCell ref="HI323:HI324"/>
    <mergeCell ref="HJ323:HJ324"/>
    <mergeCell ref="HK323:HK324"/>
    <mergeCell ref="HL323:HL324"/>
    <mergeCell ref="HR323:HR324"/>
    <mergeCell ref="HD220:HR221"/>
    <mergeCell ref="HD222:HD223"/>
    <mergeCell ref="HE222:HE223"/>
    <mergeCell ref="HF222:HF223"/>
    <mergeCell ref="HG222:HG223"/>
    <mergeCell ref="HH222:HH223"/>
    <mergeCell ref="HI222:HI223"/>
    <mergeCell ref="HJ222:HJ223"/>
    <mergeCell ref="HK222:HK223"/>
    <mergeCell ref="HL222:HL223"/>
    <mergeCell ref="HR222:HR223"/>
    <mergeCell ref="HD254:HR255"/>
    <mergeCell ref="HD256:HD257"/>
    <mergeCell ref="HE256:HE257"/>
    <mergeCell ref="HF256:HF257"/>
    <mergeCell ref="HG256:HG257"/>
    <mergeCell ref="HH256:HH257"/>
    <mergeCell ref="HI256:HI257"/>
    <mergeCell ref="HJ256:HJ257"/>
    <mergeCell ref="HK256:HK257"/>
    <mergeCell ref="HL256:HL257"/>
    <mergeCell ref="HR256:HR257"/>
    <mergeCell ref="HH189:HH190"/>
    <mergeCell ref="HI189:HI190"/>
    <mergeCell ref="HJ189:HJ190"/>
    <mergeCell ref="HK189:HK190"/>
    <mergeCell ref="HL189:HL190"/>
    <mergeCell ref="HR189:HR190"/>
    <mergeCell ref="HD153:HR154"/>
    <mergeCell ref="HD155:HD156"/>
    <mergeCell ref="HE155:HE156"/>
    <mergeCell ref="HF155:HF156"/>
    <mergeCell ref="HG155:HG156"/>
    <mergeCell ref="HH155:HH156"/>
    <mergeCell ref="HI155:HI156"/>
    <mergeCell ref="HJ155:HJ156"/>
    <mergeCell ref="HK155:HK156"/>
    <mergeCell ref="HL155:HL156"/>
    <mergeCell ref="HR155:HR156"/>
    <mergeCell ref="GT357:GT358"/>
    <mergeCell ref="GU357:GU358"/>
    <mergeCell ref="GV357:GV358"/>
    <mergeCell ref="HB357:HB358"/>
    <mergeCell ref="GN321:HB322"/>
    <mergeCell ref="GN323:GN324"/>
    <mergeCell ref="GO323:GO324"/>
    <mergeCell ref="GP323:GP324"/>
    <mergeCell ref="HD120:HR121"/>
    <mergeCell ref="HD122:HD123"/>
    <mergeCell ref="HE122:HE123"/>
    <mergeCell ref="HF122:HF123"/>
    <mergeCell ref="HG122:HG123"/>
    <mergeCell ref="HH122:HH123"/>
    <mergeCell ref="HI122:HI123"/>
    <mergeCell ref="HJ122:HJ123"/>
    <mergeCell ref="HK122:HK123"/>
    <mergeCell ref="HL122:HL123"/>
    <mergeCell ref="HR122:HR123"/>
    <mergeCell ref="HD187:HR188"/>
    <mergeCell ref="HD189:HD190"/>
    <mergeCell ref="HE189:HE190"/>
    <mergeCell ref="HF189:HF190"/>
    <mergeCell ref="HG189:HG190"/>
    <mergeCell ref="HH5:HH6"/>
    <mergeCell ref="HI5:HI6"/>
    <mergeCell ref="HJ5:HJ6"/>
    <mergeCell ref="HK5:HK6"/>
    <mergeCell ref="HL5:HL6"/>
    <mergeCell ref="HR5:HR6"/>
    <mergeCell ref="GN388:HB389"/>
    <mergeCell ref="GN390:GN391"/>
    <mergeCell ref="GO390:GO391"/>
    <mergeCell ref="GP390:GP391"/>
    <mergeCell ref="GQ390:GQ391"/>
    <mergeCell ref="GR390:GR391"/>
    <mergeCell ref="GS390:GS391"/>
    <mergeCell ref="GT390:GT391"/>
    <mergeCell ref="GU390:GU391"/>
    <mergeCell ref="GV390:GV391"/>
    <mergeCell ref="HB390:HB391"/>
    <mergeCell ref="GN355:HB356"/>
    <mergeCell ref="GN357:GN358"/>
    <mergeCell ref="GO357:GO358"/>
    <mergeCell ref="GP357:GP358"/>
    <mergeCell ref="GQ357:GQ358"/>
    <mergeCell ref="GR357:GR358"/>
    <mergeCell ref="GS357:GS358"/>
    <mergeCell ref="GQ323:GQ324"/>
    <mergeCell ref="GR323:GR324"/>
    <mergeCell ref="GS323:GS324"/>
    <mergeCell ref="GT323:GT324"/>
    <mergeCell ref="GU323:GU324"/>
    <mergeCell ref="GV323:GV324"/>
    <mergeCell ref="HB323:HB324"/>
    <mergeCell ref="GN288:HB289"/>
    <mergeCell ref="GN290:GN291"/>
    <mergeCell ref="GO290:GO291"/>
    <mergeCell ref="GP290:GP291"/>
    <mergeCell ref="GQ290:GQ291"/>
    <mergeCell ref="GR290:GR291"/>
    <mergeCell ref="GS290:GS291"/>
    <mergeCell ref="GT290:GT291"/>
    <mergeCell ref="GU290:GU291"/>
    <mergeCell ref="GV290:GV291"/>
    <mergeCell ref="HB290:HB291"/>
    <mergeCell ref="GT256:GT257"/>
    <mergeCell ref="GU256:GU257"/>
    <mergeCell ref="GV256:GV257"/>
    <mergeCell ref="HB256:HB257"/>
    <mergeCell ref="GN220:HB221"/>
    <mergeCell ref="GN222:GN223"/>
    <mergeCell ref="GO222:GO223"/>
    <mergeCell ref="GP222:GP223"/>
    <mergeCell ref="GQ222:GQ223"/>
    <mergeCell ref="GR222:GR223"/>
    <mergeCell ref="GS222:GS223"/>
    <mergeCell ref="GT222:GT223"/>
    <mergeCell ref="GU222:GU223"/>
    <mergeCell ref="GV222:GV223"/>
    <mergeCell ref="HB222:HB223"/>
    <mergeCell ref="GV122:GV123"/>
    <mergeCell ref="HB122:HB123"/>
    <mergeCell ref="GN187:HB188"/>
    <mergeCell ref="GN189:GN190"/>
    <mergeCell ref="GO189:GO190"/>
    <mergeCell ref="GP189:GP190"/>
    <mergeCell ref="GQ189:GQ190"/>
    <mergeCell ref="GR189:GR190"/>
    <mergeCell ref="GS189:GS190"/>
    <mergeCell ref="GT189:GT190"/>
    <mergeCell ref="GU189:GU190"/>
    <mergeCell ref="GV189:GV190"/>
    <mergeCell ref="HB189:HB190"/>
    <mergeCell ref="GN153:HB154"/>
    <mergeCell ref="GN155:GN156"/>
    <mergeCell ref="GO155:GO156"/>
    <mergeCell ref="GP155:GP156"/>
    <mergeCell ref="GQ155:GQ156"/>
    <mergeCell ref="GR155:GR156"/>
    <mergeCell ref="GS155:GS156"/>
    <mergeCell ref="GT155:GT156"/>
    <mergeCell ref="GU155:GU156"/>
    <mergeCell ref="GV155:GV156"/>
    <mergeCell ref="HB155:HB156"/>
    <mergeCell ref="GV5:GV6"/>
    <mergeCell ref="HB5:HB6"/>
    <mergeCell ref="FU5:FU6"/>
    <mergeCell ref="FQ5:FQ6"/>
    <mergeCell ref="FR5:FR6"/>
    <mergeCell ref="FS5:FS6"/>
    <mergeCell ref="FT5:FT6"/>
    <mergeCell ref="GL390:GL391"/>
    <mergeCell ref="GL323:GL324"/>
    <mergeCell ref="GL122:GL123"/>
    <mergeCell ref="GL5:GL6"/>
    <mergeCell ref="GD390:GD391"/>
    <mergeCell ref="GE390:GE391"/>
    <mergeCell ref="GF390:GF391"/>
    <mergeCell ref="FV323:FV324"/>
    <mergeCell ref="FX323:FX324"/>
    <mergeCell ref="FY323:FY324"/>
    <mergeCell ref="FZ323:FZ324"/>
    <mergeCell ref="GA323:GA324"/>
    <mergeCell ref="GB323:GB324"/>
    <mergeCell ref="GC323:GC324"/>
    <mergeCell ref="GD323:GD324"/>
    <mergeCell ref="GE323:GE324"/>
    <mergeCell ref="GN120:HB121"/>
    <mergeCell ref="FX390:FX391"/>
    <mergeCell ref="GN5:GN6"/>
    <mergeCell ref="GO5:GO6"/>
    <mergeCell ref="GP5:GP6"/>
    <mergeCell ref="GQ5:GQ6"/>
    <mergeCell ref="GR5:GR6"/>
    <mergeCell ref="GS5:GS6"/>
    <mergeCell ref="GT5:GT6"/>
    <mergeCell ref="GU5:GU6"/>
    <mergeCell ref="GN122:GN123"/>
    <mergeCell ref="GO122:GO123"/>
    <mergeCell ref="GP122:GP123"/>
    <mergeCell ref="GQ122:GQ123"/>
    <mergeCell ref="GR122:GR123"/>
    <mergeCell ref="GS122:GS123"/>
    <mergeCell ref="GT122:GT123"/>
    <mergeCell ref="GU122:GU123"/>
    <mergeCell ref="GN254:HB255"/>
    <mergeCell ref="GN256:GN257"/>
    <mergeCell ref="GO256:GO257"/>
    <mergeCell ref="GP256:GP257"/>
    <mergeCell ref="GQ256:GQ257"/>
    <mergeCell ref="GR256:GR257"/>
    <mergeCell ref="GS256:GS257"/>
    <mergeCell ref="FI390:FI391"/>
    <mergeCell ref="FJ390:FJ391"/>
    <mergeCell ref="FK390:FK391"/>
    <mergeCell ref="FL390:FL391"/>
    <mergeCell ref="FM390:FM391"/>
    <mergeCell ref="FN390:FN391"/>
    <mergeCell ref="FO390:FO391"/>
    <mergeCell ref="FP390:FP391"/>
    <mergeCell ref="FV390:FV391"/>
    <mergeCell ref="FE5:FE6"/>
    <mergeCell ref="FA5:FA6"/>
    <mergeCell ref="FB5:FB6"/>
    <mergeCell ref="FC5:FC6"/>
    <mergeCell ref="GF323:GF324"/>
    <mergeCell ref="FY390:FY391"/>
    <mergeCell ref="FZ390:FZ391"/>
    <mergeCell ref="GA390:GA391"/>
    <mergeCell ref="GB390:GB391"/>
    <mergeCell ref="GC390:GC391"/>
    <mergeCell ref="ER388:FF389"/>
    <mergeCell ref="FH388:FV389"/>
    <mergeCell ref="FX388:GL389"/>
    <mergeCell ref="ER390:ER391"/>
    <mergeCell ref="ES390:ES391"/>
    <mergeCell ref="ET390:ET391"/>
    <mergeCell ref="EU390:EU391"/>
    <mergeCell ref="EV390:EV391"/>
    <mergeCell ref="EW390:EW391"/>
    <mergeCell ref="EX390:EX391"/>
    <mergeCell ref="EY390:EY391"/>
    <mergeCell ref="EZ390:EZ391"/>
    <mergeCell ref="FF390:FF391"/>
    <mergeCell ref="FH390:FH391"/>
    <mergeCell ref="GD122:GD123"/>
    <mergeCell ref="GE122:GE123"/>
    <mergeCell ref="GF122:GF123"/>
    <mergeCell ref="GC5:GC6"/>
    <mergeCell ref="GD5:GD6"/>
    <mergeCell ref="GE5:GE6"/>
    <mergeCell ref="GF5:GF6"/>
    <mergeCell ref="B1:BM1"/>
    <mergeCell ref="B2:Q2"/>
    <mergeCell ref="R2:AG2"/>
    <mergeCell ref="AH2:AW2"/>
    <mergeCell ref="AX2:BM2"/>
    <mergeCell ref="FH5:FH6"/>
    <mergeCell ref="FI5:FI6"/>
    <mergeCell ref="FJ5:FJ6"/>
    <mergeCell ref="FK5:FK6"/>
    <mergeCell ref="BN2:CC2"/>
    <mergeCell ref="CD2:CS2"/>
    <mergeCell ref="CT2:DI2"/>
    <mergeCell ref="DJ2:DY2"/>
    <mergeCell ref="EL5:EL6"/>
    <mergeCell ref="EM5:EM6"/>
    <mergeCell ref="EN5:EN6"/>
    <mergeCell ref="EO5:EO6"/>
    <mergeCell ref="FM5:FM6"/>
    <mergeCell ref="FN5:FN6"/>
    <mergeCell ref="FO5:FO6"/>
    <mergeCell ref="FP5:FP6"/>
    <mergeCell ref="FV5:FV6"/>
    <mergeCell ref="EB5:EB6"/>
    <mergeCell ref="EK5:EK6"/>
    <mergeCell ref="EJ5:EJ6"/>
    <mergeCell ref="EI5:EI6"/>
    <mergeCell ref="FF5:FF6"/>
    <mergeCell ref="ET5:ET6"/>
    <mergeCell ref="EU5:EU6"/>
    <mergeCell ref="EV5:EV6"/>
    <mergeCell ref="EW5:EW6"/>
    <mergeCell ref="EX5:EX6"/>
    <mergeCell ref="EY5:EY6"/>
    <mergeCell ref="ER5:ER6"/>
    <mergeCell ref="ES5:ES6"/>
    <mergeCell ref="EH5:EH6"/>
    <mergeCell ref="EG5:EG6"/>
    <mergeCell ref="EF5:EF6"/>
    <mergeCell ref="EE5:EE6"/>
    <mergeCell ref="EP5:EP6"/>
    <mergeCell ref="EC5:EC6"/>
    <mergeCell ref="FX5:FX6"/>
    <mergeCell ref="FY5:FY6"/>
    <mergeCell ref="FZ5:FZ6"/>
    <mergeCell ref="GA5:GA6"/>
    <mergeCell ref="GB5:GB6"/>
    <mergeCell ref="EA388:EA391"/>
    <mergeCell ref="EB388:EK389"/>
    <mergeCell ref="EB390:EB391"/>
    <mergeCell ref="EC390:EC391"/>
    <mergeCell ref="ED390:ED391"/>
    <mergeCell ref="EE390:EE391"/>
    <mergeCell ref="EF390:EF391"/>
    <mergeCell ref="EG390:EG391"/>
    <mergeCell ref="EH390:EH391"/>
    <mergeCell ref="EI390:EI391"/>
    <mergeCell ref="EJ390:EJ391"/>
    <mergeCell ref="EK390:EK391"/>
    <mergeCell ref="EA355:EA358"/>
    <mergeCell ref="EB355:EK356"/>
    <mergeCell ref="EA2:EA6"/>
    <mergeCell ref="EZ5:EZ6"/>
    <mergeCell ref="FD5:FD6"/>
    <mergeCell ref="FL5:FL6"/>
    <mergeCell ref="FP122:FP123"/>
    <mergeCell ref="FV122:FV123"/>
    <mergeCell ref="FX122:FX123"/>
    <mergeCell ref="FY122:FY123"/>
    <mergeCell ref="FZ122:FZ123"/>
    <mergeCell ref="GA122:GA123"/>
    <mergeCell ref="GB122:GB123"/>
    <mergeCell ref="ES122:ES123"/>
    <mergeCell ref="ET122:ET123"/>
    <mergeCell ref="EU122:EU123"/>
    <mergeCell ref="EV122:EV123"/>
    <mergeCell ref="EW122:EW123"/>
    <mergeCell ref="EX122:EX123"/>
    <mergeCell ref="EY122:EY123"/>
    <mergeCell ref="EZ122:EZ123"/>
    <mergeCell ref="GD155:GD156"/>
    <mergeCell ref="GE155:GE156"/>
    <mergeCell ref="GF155:GF156"/>
    <mergeCell ref="GL155:GL156"/>
    <mergeCell ref="EA120:EA123"/>
    <mergeCell ref="EB120:EK121"/>
    <mergeCell ref="ER120:FF121"/>
    <mergeCell ref="FH120:FV121"/>
    <mergeCell ref="FX120:GL121"/>
    <mergeCell ref="EB122:EB123"/>
    <mergeCell ref="EC122:EC123"/>
    <mergeCell ref="ED122:ED123"/>
    <mergeCell ref="EE122:EE123"/>
    <mergeCell ref="EF122:EF123"/>
    <mergeCell ref="EG122:EG123"/>
    <mergeCell ref="EH122:EH123"/>
    <mergeCell ref="EI122:EI123"/>
    <mergeCell ref="EJ122:EJ123"/>
    <mergeCell ref="EK122:EK123"/>
    <mergeCell ref="ER122:ER123"/>
    <mergeCell ref="FK155:FK156"/>
    <mergeCell ref="FL155:FL156"/>
    <mergeCell ref="FM155:FM156"/>
    <mergeCell ref="FN155:FN156"/>
    <mergeCell ref="GC189:GC190"/>
    <mergeCell ref="GD189:GD190"/>
    <mergeCell ref="GE189:GE190"/>
    <mergeCell ref="GF189:GF190"/>
    <mergeCell ref="GL189:GL190"/>
    <mergeCell ref="EA153:EA156"/>
    <mergeCell ref="EB153:EK154"/>
    <mergeCell ref="ER153:FF154"/>
    <mergeCell ref="FH153:FV154"/>
    <mergeCell ref="FX153:GL154"/>
    <mergeCell ref="EB155:EB156"/>
    <mergeCell ref="EC155:EC156"/>
    <mergeCell ref="ED155:ED156"/>
    <mergeCell ref="EE155:EE156"/>
    <mergeCell ref="EF155:EF156"/>
    <mergeCell ref="EG155:EG156"/>
    <mergeCell ref="EH155:EH156"/>
    <mergeCell ref="EI155:EI156"/>
    <mergeCell ref="EJ155:EJ156"/>
    <mergeCell ref="EK155:EK156"/>
    <mergeCell ref="ER155:ER156"/>
    <mergeCell ref="ES155:ES156"/>
    <mergeCell ref="GA155:GA156"/>
    <mergeCell ref="GB155:GB156"/>
    <mergeCell ref="GC122:GC123"/>
    <mergeCell ref="EV155:EV156"/>
    <mergeCell ref="EW155:EW156"/>
    <mergeCell ref="EX155:EX156"/>
    <mergeCell ref="EY155:EY156"/>
    <mergeCell ref="EZ155:EZ156"/>
    <mergeCell ref="FF155:FF156"/>
    <mergeCell ref="FH155:FH156"/>
    <mergeCell ref="FI155:FI156"/>
    <mergeCell ref="FJ155:FJ156"/>
    <mergeCell ref="FF122:FF123"/>
    <mergeCell ref="GC155:GC156"/>
    <mergeCell ref="FO155:FO156"/>
    <mergeCell ref="FP155:FP156"/>
    <mergeCell ref="FV155:FV156"/>
    <mergeCell ref="FX155:FX156"/>
    <mergeCell ref="FH122:FH123"/>
    <mergeCell ref="FI122:FI123"/>
    <mergeCell ref="FJ122:FJ123"/>
    <mergeCell ref="FK122:FK123"/>
    <mergeCell ref="FL122:FL123"/>
    <mergeCell ref="FM122:FM123"/>
    <mergeCell ref="FN122:FN123"/>
    <mergeCell ref="FO122:FO123"/>
    <mergeCell ref="FZ155:FZ156"/>
    <mergeCell ref="EV189:EV190"/>
    <mergeCell ref="EW189:EW190"/>
    <mergeCell ref="EX189:EX190"/>
    <mergeCell ref="FV222:FV223"/>
    <mergeCell ref="FX222:FX223"/>
    <mergeCell ref="FY222:FY223"/>
    <mergeCell ref="FZ222:FZ223"/>
    <mergeCell ref="GA222:GA223"/>
    <mergeCell ref="FN189:FN190"/>
    <mergeCell ref="FO189:FO190"/>
    <mergeCell ref="FP189:FP190"/>
    <mergeCell ref="FV189:FV190"/>
    <mergeCell ref="FX189:FX190"/>
    <mergeCell ref="FY189:FY190"/>
    <mergeCell ref="FZ189:FZ190"/>
    <mergeCell ref="GA189:GA190"/>
    <mergeCell ref="EY189:EY190"/>
    <mergeCell ref="EZ189:EZ190"/>
    <mergeCell ref="FF189:FF190"/>
    <mergeCell ref="FH189:FH190"/>
    <mergeCell ref="FI189:FI190"/>
    <mergeCell ref="FJ189:FJ190"/>
    <mergeCell ref="FK189:FK190"/>
    <mergeCell ref="GF222:GF223"/>
    <mergeCell ref="GL222:GL223"/>
    <mergeCell ref="EA187:EA190"/>
    <mergeCell ref="EB187:EK188"/>
    <mergeCell ref="ER187:FF188"/>
    <mergeCell ref="FH187:FV188"/>
    <mergeCell ref="FX187:GL188"/>
    <mergeCell ref="EB189:EB190"/>
    <mergeCell ref="EC189:EC190"/>
    <mergeCell ref="ED189:ED190"/>
    <mergeCell ref="EE189:EE190"/>
    <mergeCell ref="EF189:EF190"/>
    <mergeCell ref="EG189:EG190"/>
    <mergeCell ref="EH189:EH190"/>
    <mergeCell ref="EI189:EI190"/>
    <mergeCell ref="EJ189:EJ190"/>
    <mergeCell ref="EK189:EK190"/>
    <mergeCell ref="ER189:ER190"/>
    <mergeCell ref="ES189:ES190"/>
    <mergeCell ref="ET189:ET190"/>
    <mergeCell ref="GB222:GB223"/>
    <mergeCell ref="GC222:GC223"/>
    <mergeCell ref="GD222:GD223"/>
    <mergeCell ref="GB189:GB190"/>
    <mergeCell ref="FY155:FY156"/>
    <mergeCell ref="FO222:FO223"/>
    <mergeCell ref="FP222:FP223"/>
    <mergeCell ref="ES222:ES223"/>
    <mergeCell ref="ET222:ET223"/>
    <mergeCell ref="EU222:EU223"/>
    <mergeCell ref="EV222:EV223"/>
    <mergeCell ref="EW222:EW223"/>
    <mergeCell ref="EX222:EX223"/>
    <mergeCell ref="EY222:EY223"/>
    <mergeCell ref="EZ222:EZ223"/>
    <mergeCell ref="FF222:FF223"/>
    <mergeCell ref="ET155:ET156"/>
    <mergeCell ref="EU155:EU156"/>
    <mergeCell ref="FL189:FL190"/>
    <mergeCell ref="FM189:FM190"/>
    <mergeCell ref="EU189:EU190"/>
    <mergeCell ref="EA220:EA223"/>
    <mergeCell ref="EB220:EK221"/>
    <mergeCell ref="ER220:FF221"/>
    <mergeCell ref="FH220:FV221"/>
    <mergeCell ref="FX220:GL221"/>
    <mergeCell ref="EB222:EB223"/>
    <mergeCell ref="EC222:EC223"/>
    <mergeCell ref="ED222:ED223"/>
    <mergeCell ref="EE222:EE223"/>
    <mergeCell ref="EF222:EF223"/>
    <mergeCell ref="EG222:EG223"/>
    <mergeCell ref="EH222:EH223"/>
    <mergeCell ref="EI222:EI223"/>
    <mergeCell ref="EJ222:EJ223"/>
    <mergeCell ref="EK222:EK223"/>
    <mergeCell ref="ER222:ER223"/>
    <mergeCell ref="GE222:GE223"/>
    <mergeCell ref="FH222:FH223"/>
    <mergeCell ref="FI222:FI223"/>
    <mergeCell ref="FJ222:FJ223"/>
    <mergeCell ref="FK222:FK223"/>
    <mergeCell ref="FL222:FL223"/>
    <mergeCell ref="FM222:FM223"/>
    <mergeCell ref="FN222:FN223"/>
    <mergeCell ref="EA254:EA257"/>
    <mergeCell ref="EB254:EK255"/>
    <mergeCell ref="ER254:FF255"/>
    <mergeCell ref="FH254:FV255"/>
    <mergeCell ref="FX254:GL255"/>
    <mergeCell ref="EB256:EB257"/>
    <mergeCell ref="EC256:EC257"/>
    <mergeCell ref="ED256:ED257"/>
    <mergeCell ref="EE256:EE257"/>
    <mergeCell ref="EF256:EF257"/>
    <mergeCell ref="EG256:EG257"/>
    <mergeCell ref="EH256:EH257"/>
    <mergeCell ref="EI256:EI257"/>
    <mergeCell ref="EJ256:EJ257"/>
    <mergeCell ref="EK256:EK257"/>
    <mergeCell ref="ER256:ER257"/>
    <mergeCell ref="ES256:ES257"/>
    <mergeCell ref="FZ256:FZ257"/>
    <mergeCell ref="GA256:GA257"/>
    <mergeCell ref="GB256:GB257"/>
    <mergeCell ref="GC256:GC257"/>
    <mergeCell ref="FM256:FM257"/>
    <mergeCell ref="FN256:FN257"/>
    <mergeCell ref="GD256:GD257"/>
    <mergeCell ref="GC290:GC291"/>
    <mergeCell ref="GD290:GD291"/>
    <mergeCell ref="GE290:GE291"/>
    <mergeCell ref="FV290:FV291"/>
    <mergeCell ref="FX290:FX291"/>
    <mergeCell ref="FY290:FY291"/>
    <mergeCell ref="FZ290:FZ291"/>
    <mergeCell ref="GA290:GA291"/>
    <mergeCell ref="GB290:GB291"/>
    <mergeCell ref="ET256:ET257"/>
    <mergeCell ref="EU256:EU257"/>
    <mergeCell ref="FN290:FN291"/>
    <mergeCell ref="FO290:FO291"/>
    <mergeCell ref="FP290:FP291"/>
    <mergeCell ref="EY290:EY291"/>
    <mergeCell ref="EZ290:EZ291"/>
    <mergeCell ref="FF290:FF291"/>
    <mergeCell ref="FH290:FH291"/>
    <mergeCell ref="FI290:FI291"/>
    <mergeCell ref="FJ290:FJ291"/>
    <mergeCell ref="FK290:FK291"/>
    <mergeCell ref="FL290:FL291"/>
    <mergeCell ref="FM290:FM291"/>
    <mergeCell ref="EV256:EV257"/>
    <mergeCell ref="EW256:EW257"/>
    <mergeCell ref="EX256:EX257"/>
    <mergeCell ref="EY256:EY257"/>
    <mergeCell ref="EZ256:EZ257"/>
    <mergeCell ref="EA288:EA291"/>
    <mergeCell ref="EB288:EK289"/>
    <mergeCell ref="ER288:FF289"/>
    <mergeCell ref="FH288:FV289"/>
    <mergeCell ref="FX288:GL289"/>
    <mergeCell ref="EB290:EB291"/>
    <mergeCell ref="EC290:EC291"/>
    <mergeCell ref="ED290:ED291"/>
    <mergeCell ref="EE290:EE291"/>
    <mergeCell ref="EF290:EF291"/>
    <mergeCell ref="EG290:EG291"/>
    <mergeCell ref="EH290:EH291"/>
    <mergeCell ref="EI290:EI291"/>
    <mergeCell ref="EJ290:EJ291"/>
    <mergeCell ref="EK290:EK291"/>
    <mergeCell ref="ER290:ER291"/>
    <mergeCell ref="ES290:ES291"/>
    <mergeCell ref="ET290:ET291"/>
    <mergeCell ref="EU290:EU291"/>
    <mergeCell ref="EV290:EV291"/>
    <mergeCell ref="EW290:EW291"/>
    <mergeCell ref="EX290:EX291"/>
    <mergeCell ref="GF290:GF291"/>
    <mergeCell ref="GL290:GL291"/>
    <mergeCell ref="FO256:FO257"/>
    <mergeCell ref="FP256:FP257"/>
    <mergeCell ref="FV256:FV257"/>
    <mergeCell ref="FX256:FX257"/>
    <mergeCell ref="FO323:FO324"/>
    <mergeCell ref="FP323:FP324"/>
    <mergeCell ref="EZ323:EZ324"/>
    <mergeCell ref="FF323:FF324"/>
    <mergeCell ref="FH323:FH324"/>
    <mergeCell ref="FI323:FI324"/>
    <mergeCell ref="FF256:FF257"/>
    <mergeCell ref="FH256:FH257"/>
    <mergeCell ref="FI256:FI257"/>
    <mergeCell ref="FJ256:FJ257"/>
    <mergeCell ref="FK256:FK257"/>
    <mergeCell ref="FL256:FL257"/>
    <mergeCell ref="ET323:ET324"/>
    <mergeCell ref="EU323:EU324"/>
    <mergeCell ref="EV323:EV324"/>
    <mergeCell ref="EW323:EW324"/>
    <mergeCell ref="EX323:EX324"/>
    <mergeCell ref="EY323:EY324"/>
    <mergeCell ref="FX357:FX358"/>
    <mergeCell ref="FY357:FY358"/>
    <mergeCell ref="FZ357:FZ358"/>
    <mergeCell ref="GD357:GD358"/>
    <mergeCell ref="FJ323:FJ324"/>
    <mergeCell ref="FK323:FK324"/>
    <mergeCell ref="FL323:FL324"/>
    <mergeCell ref="FM323:FM324"/>
    <mergeCell ref="FN323:FN324"/>
    <mergeCell ref="GL357:GL358"/>
    <mergeCell ref="EA321:EA324"/>
    <mergeCell ref="EB321:EK322"/>
    <mergeCell ref="ER321:FF322"/>
    <mergeCell ref="FH321:FV322"/>
    <mergeCell ref="FX321:GL322"/>
    <mergeCell ref="EB323:EB324"/>
    <mergeCell ref="EC323:EC324"/>
    <mergeCell ref="ED323:ED324"/>
    <mergeCell ref="EE323:EE324"/>
    <mergeCell ref="EF323:EF324"/>
    <mergeCell ref="EG323:EG324"/>
    <mergeCell ref="EH323:EH324"/>
    <mergeCell ref="EI323:EI324"/>
    <mergeCell ref="EJ323:EJ324"/>
    <mergeCell ref="EK323:EK324"/>
    <mergeCell ref="ER323:ER324"/>
    <mergeCell ref="ES323:ES324"/>
    <mergeCell ref="FY256:FY257"/>
    <mergeCell ref="ER355:FF356"/>
    <mergeCell ref="FH355:FV356"/>
    <mergeCell ref="FX355:GL356"/>
    <mergeCell ref="EB357:EB358"/>
    <mergeCell ref="EC357:EC358"/>
    <mergeCell ref="ED357:ED358"/>
    <mergeCell ref="EE357:EE358"/>
    <mergeCell ref="EF357:EF358"/>
    <mergeCell ref="EG357:EG358"/>
    <mergeCell ref="EH357:EH358"/>
    <mergeCell ref="EI357:EI358"/>
    <mergeCell ref="EJ357:EJ358"/>
    <mergeCell ref="EK357:EK358"/>
    <mergeCell ref="ER357:ER358"/>
    <mergeCell ref="ES357:ES358"/>
    <mergeCell ref="ET357:ET358"/>
    <mergeCell ref="EU357:EU358"/>
    <mergeCell ref="EV357:EV358"/>
    <mergeCell ref="EW357:EW358"/>
    <mergeCell ref="EX357:EX358"/>
    <mergeCell ref="EY357:EY358"/>
    <mergeCell ref="GB357:GB358"/>
    <mergeCell ref="GC357:GC358"/>
    <mergeCell ref="FN357:FN358"/>
    <mergeCell ref="FO357:FO358"/>
    <mergeCell ref="FP357:FP358"/>
    <mergeCell ref="FV357:FV358"/>
    <mergeCell ref="IV5:IV6"/>
    <mergeCell ref="IW5:IW6"/>
    <mergeCell ref="GX5:GX6"/>
    <mergeCell ref="GY5:GY6"/>
    <mergeCell ref="GZ5:GZ6"/>
    <mergeCell ref="HA5:HA6"/>
    <mergeCell ref="HM5:HM6"/>
    <mergeCell ref="HN5:HN6"/>
    <mergeCell ref="HO5:HO6"/>
    <mergeCell ref="HP5:HP6"/>
    <mergeCell ref="HQ5:HQ6"/>
    <mergeCell ref="IC5:IC6"/>
    <mergeCell ref="ID5:ID6"/>
    <mergeCell ref="IE5:IE6"/>
    <mergeCell ref="IF5:IF6"/>
    <mergeCell ref="IG5:IG6"/>
    <mergeCell ref="IS5:IS6"/>
    <mergeCell ref="GE256:GE257"/>
    <mergeCell ref="GF256:GF257"/>
    <mergeCell ref="GL256:GL257"/>
    <mergeCell ref="ED5:ED6"/>
    <mergeCell ref="IT5:IT6"/>
    <mergeCell ref="IU5:IU6"/>
    <mergeCell ref="HZ5:HZ6"/>
    <mergeCell ref="IA5:IA6"/>
    <mergeCell ref="IB5:IB6"/>
    <mergeCell ref="IH5:IH6"/>
    <mergeCell ref="EZ357:EZ358"/>
    <mergeCell ref="FF357:FF358"/>
    <mergeCell ref="FH357:FH358"/>
    <mergeCell ref="GG5:GG6"/>
    <mergeCell ref="GH5:GH6"/>
    <mergeCell ref="GI5:GI6"/>
    <mergeCell ref="GJ5:GJ6"/>
    <mergeCell ref="GK5:GK6"/>
    <mergeCell ref="GW5:GW6"/>
    <mergeCell ref="GE357:GE358"/>
    <mergeCell ref="GF357:GF358"/>
    <mergeCell ref="FI357:FI358"/>
    <mergeCell ref="FJ357:FJ358"/>
    <mergeCell ref="GA357:GA358"/>
    <mergeCell ref="FK357:FK358"/>
    <mergeCell ref="FL357:FL358"/>
    <mergeCell ref="FM357:FM35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BL427"/>
  <sheetViews>
    <sheetView tabSelected="1" zoomScale="90" zoomScaleNormal="90" workbookViewId="0">
      <pane xSplit="1" ySplit="2" topLeftCell="B249" activePane="bottomRight" state="frozen"/>
      <selection pane="bottomRight" activeCell="E256" sqref="E256"/>
      <selection pane="bottomLeft" activeCell="A3" sqref="A3"/>
      <selection pane="topRight" activeCell="B1" sqref="B1"/>
    </sheetView>
  </sheetViews>
  <sheetFormatPr defaultColWidth="9.28515625" defaultRowHeight="13.9" outlineLevelRow="1" outlineLevelCol="1"/>
  <cols>
    <col min="1" max="1" width="8.7109375" style="21" customWidth="1"/>
    <col min="2" max="2" width="17.7109375" style="478" customWidth="1"/>
    <col min="3" max="3" width="15.7109375" style="21" customWidth="1" outlineLevel="1"/>
    <col min="4" max="8" width="15.7109375" style="76" customWidth="1" outlineLevel="1"/>
    <col min="9" max="9" width="34.7109375" style="326" customWidth="1" outlineLevel="1"/>
    <col min="10" max="10" width="8.7109375" style="21" customWidth="1"/>
    <col min="11" max="11" width="17.7109375" style="21" customWidth="1"/>
    <col min="12" max="12" width="15.7109375" style="21" customWidth="1" outlineLevel="1"/>
    <col min="13" max="17" width="15.7109375" style="76" customWidth="1" outlineLevel="1"/>
    <col min="18" max="18" width="15.7109375" style="21" customWidth="1" outlineLevel="1"/>
    <col min="19" max="19" width="8.7109375" style="21" customWidth="1"/>
    <col min="20" max="20" width="17.7109375" style="21" customWidth="1"/>
    <col min="21" max="21" width="15.7109375" style="21" customWidth="1" outlineLevel="1"/>
    <col min="22" max="26" width="15.7109375" style="76" customWidth="1" outlineLevel="1"/>
    <col min="27" max="27" width="15.7109375" style="21" customWidth="1" outlineLevel="1"/>
    <col min="28" max="28" width="8.7109375" style="21" customWidth="1"/>
    <col min="29" max="29" width="17.7109375" style="21" customWidth="1"/>
    <col min="30" max="30" width="15.7109375" style="21" customWidth="1" outlineLevel="1"/>
    <col min="31" max="35" width="15.7109375" style="76" customWidth="1" outlineLevel="1"/>
    <col min="36" max="36" width="15.7109375" style="21" customWidth="1" outlineLevel="1"/>
    <col min="37" max="37" width="8.7109375" style="21" customWidth="1"/>
    <col min="38" max="38" width="17.7109375" style="21" hidden="1" customWidth="1"/>
    <col min="39" max="39" width="15.7109375" style="21" hidden="1" customWidth="1" outlineLevel="1"/>
    <col min="40" max="44" width="15.7109375" style="76" hidden="1" customWidth="1" outlineLevel="1"/>
    <col min="45" max="45" width="15.7109375" style="21" hidden="1" customWidth="1" outlineLevel="1"/>
    <col min="46" max="46" width="8.7109375" style="21" hidden="1" customWidth="1" collapsed="1"/>
    <col min="47" max="47" width="17.7109375" style="21" customWidth="1"/>
    <col min="48" max="48" width="15.7109375" style="21" customWidth="1" outlineLevel="1"/>
    <col min="49" max="53" width="15.7109375" style="76" customWidth="1" outlineLevel="1"/>
    <col min="54" max="54" width="15.7109375" style="21" customWidth="1" outlineLevel="1"/>
    <col min="55" max="55" width="8.7109375" style="21" customWidth="1"/>
    <col min="56" max="56" width="17.7109375" style="21" customWidth="1"/>
    <col min="57" max="57" width="15.7109375" style="21" customWidth="1" outlineLevel="1"/>
    <col min="58" max="62" width="15.7109375" style="76" customWidth="1" outlineLevel="1"/>
    <col min="63" max="63" width="15.7109375" style="21" customWidth="1" outlineLevel="1"/>
    <col min="64" max="64" width="8.7109375" style="21" customWidth="1"/>
    <col min="65" max="65" width="17.7109375" style="21" customWidth="1"/>
    <col min="66" max="66" width="15.7109375" style="21" customWidth="1" outlineLevel="1"/>
    <col min="67" max="71" width="15.7109375" style="76" customWidth="1" outlineLevel="1"/>
    <col min="72" max="72" width="15.7109375" style="21" customWidth="1" outlineLevel="1"/>
    <col min="73" max="73" width="8.7109375" style="21" customWidth="1"/>
    <col min="74" max="74" width="17.7109375" style="21" customWidth="1"/>
    <col min="75" max="75" width="15.7109375" style="21" customWidth="1" outlineLevel="1"/>
    <col min="76" max="80" width="15.7109375" style="76" customWidth="1" outlineLevel="1"/>
    <col min="81" max="81" width="15.7109375" style="21" customWidth="1" outlineLevel="1"/>
    <col min="82" max="82" width="8.7109375" style="21" customWidth="1"/>
    <col min="83" max="83" width="17.7109375" style="21" customWidth="1"/>
    <col min="84" max="84" width="15.7109375" style="21" customWidth="1" outlineLevel="1"/>
    <col min="85" max="89" width="15.7109375" style="76" customWidth="1" outlineLevel="1"/>
    <col min="90" max="90" width="15.7109375" style="21" customWidth="1" outlineLevel="1"/>
    <col min="91" max="91" width="8.7109375" style="21" customWidth="1"/>
    <col min="92" max="92" width="17.7109375" style="21" hidden="1" customWidth="1"/>
    <col min="93" max="93" width="15.7109375" style="21" hidden="1" customWidth="1" outlineLevel="1"/>
    <col min="94" max="98" width="15.7109375" style="76" hidden="1" customWidth="1" outlineLevel="1"/>
    <col min="99" max="99" width="15.7109375" style="21" hidden="1" customWidth="1" outlineLevel="1"/>
    <col min="100" max="100" width="8.7109375" style="21" hidden="1" customWidth="1" collapsed="1"/>
    <col min="101" max="101" width="17.7109375" style="21" customWidth="1"/>
    <col min="102" max="102" width="15.7109375" style="21" customWidth="1" outlineLevel="1"/>
    <col min="103" max="107" width="15.7109375" style="76" customWidth="1" outlineLevel="1"/>
    <col min="108" max="108" width="15.7109375" style="21" customWidth="1" outlineLevel="1"/>
    <col min="109" max="109" width="8.7109375" style="21" customWidth="1"/>
    <col min="110" max="110" width="17.7109375" style="21" customWidth="1"/>
    <col min="111" max="111" width="15.7109375" style="21" customWidth="1" outlineLevel="1"/>
    <col min="112" max="112" width="15.7109375" style="76" customWidth="1" outlineLevel="1"/>
    <col min="113" max="113" width="15.7109375" style="149" customWidth="1" outlineLevel="1"/>
    <col min="114" max="114" width="15.7109375" style="76" customWidth="1" outlineLevel="1"/>
    <col min="115" max="116" width="15.7109375" style="149" customWidth="1" outlineLevel="1"/>
    <col min="117" max="117" width="15.7109375" style="21" customWidth="1" outlineLevel="1"/>
    <col min="118" max="118" width="8.7109375" style="21" customWidth="1"/>
    <col min="119" max="119" width="17.7109375" style="21" customWidth="1"/>
    <col min="120" max="120" width="15.7109375" style="21" customWidth="1" outlineLevel="1"/>
    <col min="121" max="125" width="15.7109375" style="76" customWidth="1" outlineLevel="1"/>
    <col min="126" max="126" width="15.7109375" style="21" customWidth="1" outlineLevel="1"/>
    <col min="127" max="127" width="8.7109375" style="21" customWidth="1"/>
    <col min="128" max="128" width="17.7109375" style="21" customWidth="1"/>
    <col min="129" max="129" width="15.7109375" style="21" customWidth="1" outlineLevel="1"/>
    <col min="130" max="134" width="15.7109375" style="76" customWidth="1" outlineLevel="1"/>
    <col min="135" max="135" width="15.7109375" style="21" customWidth="1" outlineLevel="1"/>
    <col min="136" max="136" width="8.7109375" style="21" customWidth="1"/>
    <col min="137" max="137" width="17.7109375" style="21" customWidth="1"/>
    <col min="138" max="138" width="15.7109375" style="21" customWidth="1" outlineLevel="1"/>
    <col min="139" max="143" width="15.7109375" style="76" customWidth="1" outlineLevel="1"/>
    <col min="144" max="144" width="15.7109375" style="21" customWidth="1" outlineLevel="1"/>
    <col min="145" max="145" width="8.7109375" style="21" customWidth="1"/>
    <col min="146" max="146" width="17.7109375" style="21" hidden="1" customWidth="1"/>
    <col min="147" max="147" width="15.7109375" style="21" hidden="1" customWidth="1" outlineLevel="1"/>
    <col min="148" max="152" width="15.7109375" style="76" hidden="1" customWidth="1" outlineLevel="1"/>
    <col min="153" max="153" width="15.7109375" style="21" hidden="1" customWidth="1" outlineLevel="1"/>
    <col min="154" max="154" width="8.7109375" style="21" hidden="1" customWidth="1" collapsed="1"/>
    <col min="155" max="155" width="17.7109375" style="21" hidden="1" customWidth="1"/>
    <col min="156" max="156" width="15.7109375" style="21" hidden="1" customWidth="1" outlineLevel="1"/>
    <col min="157" max="161" width="15.7109375" style="76" hidden="1" customWidth="1" outlineLevel="1"/>
    <col min="162" max="162" width="15.7109375" style="21" hidden="1" customWidth="1" outlineLevel="1"/>
    <col min="163" max="163" width="8.7109375" style="21" hidden="1" customWidth="1" collapsed="1"/>
    <col min="164" max="164" width="17.7109375" style="21" hidden="1" customWidth="1"/>
    <col min="165" max="165" width="15.7109375" style="21" hidden="1" customWidth="1" outlineLevel="1"/>
    <col min="166" max="170" width="15.7109375" style="76" hidden="1" customWidth="1" outlineLevel="1"/>
    <col min="171" max="171" width="15.7109375" style="21" hidden="1" customWidth="1" outlineLevel="1"/>
    <col min="172" max="172" width="8.7109375" style="21" hidden="1" customWidth="1" collapsed="1"/>
    <col min="173" max="173" width="17.7109375" style="21" customWidth="1"/>
    <col min="174" max="174" width="15.7109375" style="21" customWidth="1" outlineLevel="1"/>
    <col min="175" max="179" width="15.7109375" style="76" customWidth="1" outlineLevel="1"/>
    <col min="180" max="180" width="15.7109375" style="21" customWidth="1" outlineLevel="1"/>
    <col min="181" max="181" width="8.7109375" style="21" customWidth="1"/>
    <col min="182" max="182" width="17.7109375" style="21" customWidth="1"/>
    <col min="183" max="183" width="15.7109375" style="21" customWidth="1" outlineLevel="1"/>
    <col min="184" max="188" width="15.7109375" style="76" customWidth="1" outlineLevel="1"/>
    <col min="189" max="189" width="15.7109375" style="21" customWidth="1" outlineLevel="1"/>
    <col min="190" max="190" width="8.7109375" style="21" customWidth="1"/>
    <col min="191" max="191" width="17.7109375" style="23" customWidth="1"/>
    <col min="192" max="192" width="15.7109375" style="21" customWidth="1" outlineLevel="1"/>
    <col min="193" max="197" width="15.7109375" style="76" customWidth="1" outlineLevel="1"/>
    <col min="198" max="198" width="15.7109375" style="21" customWidth="1" outlineLevel="1"/>
    <col min="199" max="199" width="8.7109375" style="21" customWidth="1"/>
    <col min="200" max="200" width="17.7109375" style="21" customWidth="1"/>
    <col min="201" max="201" width="15.7109375" style="21" customWidth="1" outlineLevel="1"/>
    <col min="202" max="206" width="15.7109375" style="76" customWidth="1" outlineLevel="1"/>
    <col min="207" max="207" width="15.7109375" style="21" customWidth="1" outlineLevel="1"/>
    <col min="208" max="208" width="8.7109375" style="21" customWidth="1"/>
    <col min="209" max="209" width="17.7109375" style="21" customWidth="1"/>
    <col min="210" max="210" width="15.7109375" style="21" customWidth="1" outlineLevel="1"/>
    <col min="211" max="215" width="15.7109375" style="76" customWidth="1" outlineLevel="1"/>
    <col min="216" max="216" width="15.7109375" style="21" customWidth="1" outlineLevel="1"/>
    <col min="217" max="217" width="8.7109375" style="21" customWidth="1"/>
    <col min="218" max="218" width="17.7109375" style="21" hidden="1" customWidth="1"/>
    <col min="219" max="219" width="15.7109375" style="21" hidden="1" customWidth="1" outlineLevel="1"/>
    <col min="220" max="224" width="15.7109375" style="76" hidden="1" customWidth="1" outlineLevel="1"/>
    <col min="225" max="225" width="15.7109375" style="21" hidden="1" customWidth="1" outlineLevel="1"/>
    <col min="226" max="226" width="9.28515625" style="21" hidden="1" customWidth="1" collapsed="1"/>
    <col min="227" max="227" width="8.7109375" style="21" hidden="1" customWidth="1"/>
    <col min="228" max="228" width="17.7109375" style="21" customWidth="1"/>
    <col min="229" max="229" width="15.7109375" style="21" customWidth="1" outlineLevel="1"/>
    <col min="230" max="234" width="15.7109375" style="76" customWidth="1" outlineLevel="1"/>
    <col min="235" max="235" width="15.7109375" style="21" customWidth="1" outlineLevel="1"/>
    <col min="236" max="236" width="8.7109375" style="21" customWidth="1"/>
    <col min="237" max="237" width="17.7109375" style="21" customWidth="1"/>
    <col min="238" max="238" width="15.7109375" style="21" customWidth="1" outlineLevel="1"/>
    <col min="239" max="243" width="15.7109375" style="76" customWidth="1" outlineLevel="1"/>
    <col min="244" max="244" width="15.7109375" style="21" customWidth="1" outlineLevel="1"/>
    <col min="245" max="245" width="8.7109375" style="21" customWidth="1"/>
    <col min="246" max="246" width="17.7109375" style="21" customWidth="1"/>
    <col min="247" max="247" width="15.7109375" style="21" customWidth="1" outlineLevel="1"/>
    <col min="248" max="252" width="15.7109375" style="76" customWidth="1" outlineLevel="1"/>
    <col min="253" max="253" width="15.7109375" style="21" customWidth="1" outlineLevel="1"/>
    <col min="254" max="254" width="8.7109375" style="21" customWidth="1"/>
    <col min="255" max="255" width="17.7109375" style="21" customWidth="1"/>
    <col min="256" max="256" width="15.7109375" style="21" customWidth="1" outlineLevel="1"/>
    <col min="257" max="261" width="15.7109375" style="76" customWidth="1" outlineLevel="1"/>
    <col min="262" max="262" width="15.7109375" style="21" customWidth="1" outlineLevel="1"/>
    <col min="263" max="263" width="8.7109375" style="21" customWidth="1"/>
    <col min="264" max="264" width="17.7109375" style="21" customWidth="1"/>
    <col min="265" max="265" width="15.7109375" style="21" customWidth="1" outlineLevel="1"/>
    <col min="266" max="270" width="15.7109375" style="76" customWidth="1" outlineLevel="1"/>
    <col min="271" max="271" width="15.7109375" style="21" customWidth="1" outlineLevel="1"/>
    <col min="272" max="272" width="8.7109375" style="21" customWidth="1"/>
    <col min="273" max="273" width="17.7109375" style="21" customWidth="1"/>
    <col min="274" max="274" width="15.7109375" style="21" customWidth="1" outlineLevel="1"/>
    <col min="275" max="279" width="15.7109375" style="76" customWidth="1" outlineLevel="1"/>
    <col min="280" max="280" width="15.7109375" style="21" customWidth="1" outlineLevel="1"/>
    <col min="281" max="281" width="8.7109375" style="21" customWidth="1"/>
    <col min="282" max="282" width="17.7109375" style="21" customWidth="1"/>
    <col min="283" max="283" width="15.7109375" style="21" customWidth="1" outlineLevel="1"/>
    <col min="284" max="288" width="15.7109375" style="76" customWidth="1" outlineLevel="1"/>
    <col min="289" max="289" width="15.7109375" style="21" customWidth="1" outlineLevel="1"/>
    <col min="290" max="290" width="8.7109375" style="21" customWidth="1"/>
    <col min="291" max="291" width="17.7109375" style="21" customWidth="1"/>
    <col min="292" max="292" width="15.7109375" style="21" customWidth="1" outlineLevel="1"/>
    <col min="293" max="297" width="15.7109375" style="76" customWidth="1" outlineLevel="1"/>
    <col min="298" max="298" width="15.7109375" style="21" customWidth="1" outlineLevel="1"/>
    <col min="299" max="299" width="8.7109375" style="21" customWidth="1"/>
    <col min="300" max="300" width="17.7109375" style="21" customWidth="1"/>
    <col min="301" max="301" width="15.7109375" style="21" customWidth="1" outlineLevel="1"/>
    <col min="302" max="306" width="15.7109375" style="76" customWidth="1" outlineLevel="1"/>
    <col min="307" max="307" width="15.7109375" style="21" customWidth="1" outlineLevel="1"/>
    <col min="308" max="308" width="8.7109375" style="21" customWidth="1"/>
    <col min="309" max="309" width="17.7109375" style="23" customWidth="1"/>
    <col min="310" max="310" width="15.7109375" style="21" customWidth="1" outlineLevel="1"/>
    <col min="311" max="315" width="15.7109375" style="76" customWidth="1" outlineLevel="1"/>
    <col min="316" max="316" width="15.7109375" style="21" customWidth="1" outlineLevel="1"/>
    <col min="317" max="317" width="8.7109375" style="21" customWidth="1"/>
    <col min="318" max="318" width="17.7109375" style="21" customWidth="1"/>
    <col min="319" max="319" width="15.7109375" style="21" customWidth="1" outlineLevel="1"/>
    <col min="320" max="324" width="15.7109375" style="76" customWidth="1" outlineLevel="1"/>
    <col min="325" max="325" width="15.7109375" style="21" customWidth="1" outlineLevel="1"/>
    <col min="326" max="326" width="8.7109375" style="21" customWidth="1"/>
    <col min="327" max="327" width="17.7109375" style="21" hidden="1" customWidth="1"/>
    <col min="328" max="328" width="15.7109375" style="21" hidden="1" customWidth="1" outlineLevel="1"/>
    <col min="329" max="333" width="15.7109375" style="76" hidden="1" customWidth="1" outlineLevel="1"/>
    <col min="334" max="334" width="15.7109375" style="21" hidden="1" customWidth="1" outlineLevel="1"/>
    <col min="335" max="335" width="8.7109375" style="21" hidden="1" customWidth="1" collapsed="1"/>
    <col min="336" max="336" width="17.7109375" style="21" hidden="1" customWidth="1"/>
    <col min="337" max="337" width="15.7109375" style="21" hidden="1" customWidth="1" outlineLevel="1"/>
    <col min="338" max="342" width="15.7109375" style="76" hidden="1" customWidth="1" outlineLevel="1"/>
    <col min="343" max="343" width="15.7109375" style="21" hidden="1" customWidth="1" outlineLevel="1"/>
    <col min="344" max="344" width="8.7109375" style="21" hidden="1" customWidth="1" collapsed="1"/>
    <col min="345" max="345" width="17.7109375" style="21" hidden="1" customWidth="1"/>
    <col min="346" max="346" width="15.7109375" style="21" hidden="1" customWidth="1" outlineLevel="1"/>
    <col min="347" max="351" width="15.7109375" style="76" hidden="1" customWidth="1" outlineLevel="1"/>
    <col min="352" max="352" width="15.7109375" style="21" hidden="1" customWidth="1" outlineLevel="1"/>
    <col min="353" max="353" width="8.7109375" style="21" hidden="1" customWidth="1" collapsed="1"/>
    <col min="354" max="354" width="17.7109375" style="21" customWidth="1"/>
    <col min="355" max="355" width="15.7109375" style="21" customWidth="1" outlineLevel="1"/>
    <col min="356" max="360" width="15.7109375" style="76" customWidth="1" outlineLevel="1"/>
    <col min="361" max="361" width="15.7109375" style="21" customWidth="1" outlineLevel="1"/>
    <col min="362" max="362" width="8.7109375" style="21" customWidth="1"/>
    <col min="363" max="363" width="17.7109375" style="21" customWidth="1"/>
    <col min="364" max="364" width="15.7109375" style="21" customWidth="1" outlineLevel="1"/>
    <col min="365" max="369" width="15.7109375" style="76" customWidth="1" outlineLevel="1"/>
    <col min="370" max="370" width="15.7109375" style="21" customWidth="1" outlineLevel="1"/>
    <col min="371" max="371" width="8.7109375" style="21" customWidth="1"/>
    <col min="372" max="372" width="17.7109375" style="21" customWidth="1"/>
    <col min="373" max="373" width="15.7109375" style="21" customWidth="1" outlineLevel="1"/>
    <col min="374" max="378" width="15.7109375" style="76" customWidth="1" outlineLevel="1"/>
    <col min="379" max="379" width="15.7109375" style="21" customWidth="1" outlineLevel="1"/>
    <col min="380" max="380" width="8.7109375" style="21" customWidth="1"/>
    <col min="381" max="381" width="17.7109375" style="21" customWidth="1"/>
    <col min="382" max="382" width="15.7109375" style="21" customWidth="1" outlineLevel="1"/>
    <col min="383" max="387" width="15.7109375" style="76" customWidth="1" outlineLevel="1"/>
    <col min="388" max="388" width="15.7109375" style="21" customWidth="1" outlineLevel="1"/>
    <col min="389" max="389" width="8.7109375" style="21" customWidth="1"/>
    <col min="390" max="390" width="17.7109375" style="21" customWidth="1"/>
    <col min="391" max="391" width="15.7109375" style="21" customWidth="1" outlineLevel="1"/>
    <col min="392" max="396" width="15.7109375" style="76" customWidth="1" outlineLevel="1"/>
    <col min="397" max="397" width="15.7109375" style="21" customWidth="1" outlineLevel="1"/>
    <col min="398" max="398" width="8.7109375" style="21" customWidth="1"/>
    <col min="399" max="399" width="17.7109375" style="21" customWidth="1"/>
    <col min="400" max="400" width="15.7109375" style="21" customWidth="1" outlineLevel="1"/>
    <col min="401" max="405" width="15.7109375" style="76" customWidth="1" outlineLevel="1"/>
    <col min="406" max="406" width="15.7109375" style="21" customWidth="1" outlineLevel="1"/>
    <col min="407" max="407" width="8.7109375" style="21" customWidth="1"/>
    <col min="408" max="408" width="17.7109375" style="21" customWidth="1"/>
    <col min="409" max="409" width="15.7109375" style="21" customWidth="1" outlineLevel="1"/>
    <col min="410" max="414" width="15.7109375" style="76" customWidth="1" outlineLevel="1"/>
    <col min="415" max="415" width="15.7109375" style="21" customWidth="1" outlineLevel="1"/>
    <col min="416" max="416" width="8.7109375" style="21" customWidth="1"/>
    <col min="417" max="417" width="17.7109375" style="21" customWidth="1"/>
    <col min="418" max="418" width="15.7109375" style="21" customWidth="1" outlineLevel="1"/>
    <col min="419" max="423" width="15.7109375" style="76" customWidth="1" outlineLevel="1"/>
    <col min="424" max="424" width="15.7109375" style="21" customWidth="1" outlineLevel="1"/>
    <col min="425" max="425" width="8.7109375" style="21" customWidth="1"/>
    <col min="426" max="426" width="17.7109375" style="21" customWidth="1"/>
    <col min="427" max="427" width="15.7109375" style="21" customWidth="1" outlineLevel="1"/>
    <col min="428" max="432" width="15.7109375" style="76" customWidth="1" outlineLevel="1"/>
    <col min="433" max="433" width="15.7109375" style="21" customWidth="1" outlineLevel="1"/>
    <col min="434" max="434" width="8.7109375" style="21" customWidth="1"/>
    <col min="435" max="435" width="17.7109375" style="21" customWidth="1"/>
    <col min="436" max="436" width="15.7109375" style="21" customWidth="1" outlineLevel="1"/>
    <col min="437" max="441" width="15.7109375" style="76" customWidth="1" outlineLevel="1"/>
    <col min="442" max="442" width="15.7109375" style="21" customWidth="1" outlineLevel="1"/>
    <col min="443" max="443" width="8.7109375" style="21" customWidth="1"/>
    <col min="444" max="444" width="17.7109375" style="21" customWidth="1"/>
    <col min="445" max="445" width="15.7109375" style="21" customWidth="1" outlineLevel="1"/>
    <col min="446" max="450" width="15.7109375" style="76" customWidth="1" outlineLevel="1"/>
    <col min="451" max="451" width="15.7109375" style="21" customWidth="1" outlineLevel="1"/>
    <col min="452" max="452" width="8.7109375" style="21" customWidth="1"/>
    <col min="453" max="453" width="17.7109375" style="21" customWidth="1"/>
    <col min="454" max="454" width="15.7109375" style="21" customWidth="1" outlineLevel="1"/>
    <col min="455" max="459" width="15.7109375" style="76" customWidth="1" outlineLevel="1"/>
    <col min="460" max="460" width="15.7109375" style="21" customWidth="1" outlineLevel="1"/>
    <col min="461" max="461" width="8.7109375" style="21" customWidth="1"/>
    <col min="462" max="462" width="17.7109375" style="21" customWidth="1"/>
    <col min="463" max="463" width="15.7109375" style="21" customWidth="1" outlineLevel="1"/>
    <col min="464" max="468" width="15.7109375" style="76" customWidth="1" outlineLevel="1"/>
    <col min="469" max="469" width="15.7109375" style="21" customWidth="1" outlineLevel="1"/>
    <col min="470" max="470" width="8.7109375" style="21" customWidth="1"/>
    <col min="471" max="471" width="17.7109375" style="21" customWidth="1"/>
    <col min="472" max="472" width="15.7109375" style="21" customWidth="1" outlineLevel="1"/>
    <col min="473" max="477" width="15.7109375" style="76" customWidth="1" outlineLevel="1"/>
    <col min="478" max="478" width="15.7109375" style="21" customWidth="1" outlineLevel="1"/>
    <col min="479" max="479" width="8.7109375" style="21" customWidth="1"/>
    <col min="480" max="480" width="17.7109375" style="21" customWidth="1"/>
    <col min="481" max="481" width="15.7109375" style="21" customWidth="1" outlineLevel="1"/>
    <col min="482" max="486" width="15.7109375" style="76" customWidth="1" outlineLevel="1"/>
    <col min="487" max="487" width="15.7109375" style="21" customWidth="1" outlineLevel="1"/>
    <col min="488" max="488" width="8.7109375" style="21" customWidth="1"/>
    <col min="489" max="489" width="17.7109375" style="21" customWidth="1"/>
    <col min="490" max="490" width="15.7109375" style="21" customWidth="1" outlineLevel="1"/>
    <col min="491" max="495" width="15.7109375" style="76" customWidth="1" outlineLevel="1"/>
    <col min="496" max="496" width="15.7109375" style="21" customWidth="1" outlineLevel="1"/>
    <col min="497" max="497" width="8.7109375" style="21" customWidth="1"/>
    <col min="498" max="498" width="17.7109375" style="21" customWidth="1"/>
    <col min="499" max="499" width="15.7109375" style="21" customWidth="1" outlineLevel="1"/>
    <col min="500" max="504" width="15.7109375" style="76" customWidth="1" outlineLevel="1"/>
    <col min="505" max="505" width="15.7109375" style="21" customWidth="1" outlineLevel="1"/>
    <col min="506" max="506" width="8.7109375" style="21" customWidth="1"/>
    <col min="507" max="507" width="17.7109375" style="21" customWidth="1"/>
    <col min="508" max="508" width="15.7109375" style="21" customWidth="1" outlineLevel="1"/>
    <col min="509" max="513" width="15.7109375" style="76" customWidth="1" outlineLevel="1"/>
    <col min="514" max="514" width="15.7109375" style="21" customWidth="1" outlineLevel="1"/>
    <col min="515" max="515" width="8.7109375" style="21" customWidth="1"/>
    <col min="516" max="516" width="17.7109375" style="21" customWidth="1"/>
    <col min="517" max="517" width="15.7109375" style="21" customWidth="1" outlineLevel="1"/>
    <col min="518" max="522" width="15.7109375" style="76" customWidth="1" outlineLevel="1"/>
    <col min="523" max="523" width="15.7109375" style="21" customWidth="1" outlineLevel="1"/>
    <col min="524" max="524" width="8.7109375" style="21" customWidth="1"/>
    <col min="525" max="525" width="17.7109375" style="21" customWidth="1"/>
    <col min="526" max="526" width="15.7109375" style="21" customWidth="1" outlineLevel="1"/>
    <col min="527" max="531" width="15.7109375" style="76" customWidth="1" outlineLevel="1"/>
    <col min="532" max="532" width="15.7109375" style="21" customWidth="1" outlineLevel="1"/>
    <col min="533" max="533" width="8.7109375" style="21" customWidth="1"/>
    <col min="534" max="534" width="17.7109375" style="21" customWidth="1"/>
    <col min="535" max="535" width="15.7109375" style="21" customWidth="1" outlineLevel="1"/>
    <col min="536" max="540" width="15.7109375" style="76" customWidth="1" outlineLevel="1"/>
    <col min="541" max="541" width="15.7109375" style="21" customWidth="1" outlineLevel="1"/>
    <col min="542" max="542" width="8.7109375" style="21" customWidth="1"/>
    <col min="543" max="543" width="17.7109375" style="21" customWidth="1"/>
    <col min="544" max="544" width="15.7109375" style="21" customWidth="1" outlineLevel="1"/>
    <col min="545" max="549" width="15.7109375" style="76" customWidth="1" outlineLevel="1"/>
    <col min="550" max="550" width="15.7109375" style="21" customWidth="1" outlineLevel="1"/>
    <col min="551" max="551" width="8.7109375" style="21" customWidth="1"/>
    <col min="552" max="552" width="17.7109375" style="21" customWidth="1"/>
    <col min="553" max="553" width="15.7109375" style="21" customWidth="1" outlineLevel="1"/>
    <col min="554" max="558" width="15.7109375" style="76" customWidth="1" outlineLevel="1"/>
    <col min="559" max="559" width="15.7109375" style="21" customWidth="1" outlineLevel="1"/>
    <col min="560" max="560" width="8.7109375" style="21" customWidth="1"/>
    <col min="561" max="561" width="17.7109375" style="21" customWidth="1"/>
    <col min="562" max="562" width="15.7109375" style="21" customWidth="1" outlineLevel="1"/>
    <col min="563" max="567" width="15.7109375" style="76" customWidth="1" outlineLevel="1"/>
    <col min="568" max="568" width="15.7109375" style="21" customWidth="1" outlineLevel="1"/>
    <col min="569" max="569" width="8.7109375" style="21" customWidth="1"/>
    <col min="570" max="570" width="17.7109375" style="21" customWidth="1"/>
    <col min="571" max="571" width="15.7109375" style="21" customWidth="1" outlineLevel="1"/>
    <col min="572" max="576" width="15.7109375" style="76" customWidth="1" outlineLevel="1"/>
    <col min="577" max="577" width="15.7109375" style="21" customWidth="1" outlineLevel="1"/>
    <col min="578" max="578" width="8.7109375" style="21" customWidth="1"/>
    <col min="579" max="579" width="17.7109375" style="21" customWidth="1"/>
    <col min="580" max="580" width="15.7109375" style="21" customWidth="1" outlineLevel="1"/>
    <col min="581" max="585" width="15.7109375" style="76" customWidth="1" outlineLevel="1"/>
    <col min="586" max="586" width="15.7109375" style="21" customWidth="1" outlineLevel="1"/>
    <col min="587" max="587" width="8.7109375" style="21" customWidth="1"/>
    <col min="588" max="588" width="17.7109375" style="21" hidden="1" customWidth="1"/>
    <col min="589" max="589" width="15.7109375" style="21" hidden="1" customWidth="1" outlineLevel="1"/>
    <col min="590" max="594" width="15.7109375" style="76" hidden="1" customWidth="1" outlineLevel="1"/>
    <col min="595" max="595" width="15.7109375" style="21" hidden="1" customWidth="1" outlineLevel="1"/>
    <col min="596" max="596" width="8.7109375" style="21" hidden="1" customWidth="1" collapsed="1"/>
    <col min="597" max="597" width="17.7109375" style="21" hidden="1" customWidth="1"/>
    <col min="598" max="598" width="15.7109375" style="21" hidden="1" customWidth="1" outlineLevel="1"/>
    <col min="599" max="603" width="15.7109375" style="76" hidden="1" customWidth="1" outlineLevel="1"/>
    <col min="604" max="604" width="15.7109375" style="21" hidden="1" customWidth="1" outlineLevel="1"/>
    <col min="605" max="605" width="8.7109375" style="21" hidden="1" customWidth="1" collapsed="1"/>
    <col min="606" max="606" width="17.7109375" style="21" customWidth="1"/>
    <col min="607" max="607" width="15.7109375" style="21" customWidth="1" outlineLevel="1"/>
    <col min="608" max="612" width="15.7109375" style="76" customWidth="1" outlineLevel="1"/>
    <col min="613" max="613" width="15.7109375" style="21" customWidth="1" outlineLevel="1"/>
    <col min="614" max="614" width="8.7109375" style="21" customWidth="1"/>
    <col min="615" max="615" width="17.7109375" style="21" customWidth="1"/>
    <col min="616" max="616" width="15.7109375" style="21" customWidth="1" outlineLevel="1"/>
    <col min="617" max="621" width="15.7109375" style="76" customWidth="1" outlineLevel="1"/>
    <col min="622" max="622" width="15.7109375" style="21" customWidth="1" outlineLevel="1"/>
    <col min="623" max="623" width="8.7109375" style="21" customWidth="1"/>
    <col min="624" max="624" width="17.7109375" style="21" customWidth="1"/>
    <col min="625" max="625" width="15.7109375" style="21" customWidth="1" outlineLevel="1"/>
    <col min="626" max="630" width="15.7109375" style="76" customWidth="1" outlineLevel="1"/>
    <col min="631" max="631" width="15.7109375" style="21" customWidth="1" outlineLevel="1"/>
    <col min="632" max="632" width="8.7109375" style="21" customWidth="1"/>
    <col min="633" max="633" width="17.7109375" style="21" customWidth="1"/>
    <col min="634" max="634" width="15.7109375" style="21" customWidth="1" outlineLevel="1"/>
    <col min="635" max="639" width="15.7109375" style="76" customWidth="1" outlineLevel="1"/>
    <col min="640" max="640" width="15.7109375" style="21" customWidth="1" outlineLevel="1"/>
    <col min="641" max="641" width="8.7109375" style="21" customWidth="1"/>
    <col min="642" max="642" width="17.7109375" style="21" customWidth="1"/>
    <col min="643" max="643" width="15.7109375" style="21" customWidth="1" outlineLevel="1"/>
    <col min="644" max="648" width="15.7109375" style="76" customWidth="1" outlineLevel="1"/>
    <col min="649" max="649" width="15.7109375" style="21" customWidth="1" outlineLevel="1"/>
    <col min="650" max="650" width="8.7109375" style="21" customWidth="1"/>
    <col min="651" max="651" width="17.7109375" style="21" customWidth="1"/>
    <col min="652" max="652" width="15.7109375" style="21" customWidth="1" outlineLevel="1"/>
    <col min="653" max="657" width="15.7109375" style="76" customWidth="1" outlineLevel="1"/>
    <col min="658" max="658" width="15.7109375" style="21" customWidth="1" outlineLevel="1"/>
    <col min="659" max="659" width="8.7109375" style="21" customWidth="1"/>
    <col min="660" max="660" width="17.7109375" style="21" customWidth="1"/>
    <col min="661" max="661" width="15.7109375" style="21" customWidth="1" outlineLevel="1"/>
    <col min="662" max="666" width="15.7109375" style="76" customWidth="1" outlineLevel="1"/>
    <col min="667" max="667" width="15.7109375" style="21" customWidth="1" outlineLevel="1"/>
    <col min="668" max="668" width="8.7109375" style="21" customWidth="1"/>
    <col min="669" max="669" width="17.7109375" style="21" customWidth="1"/>
    <col min="670" max="670" width="15.7109375" style="21" customWidth="1" outlineLevel="1"/>
    <col min="671" max="675" width="15.7109375" style="76" customWidth="1" outlineLevel="1"/>
    <col min="676" max="676" width="15.7109375" style="21" customWidth="1" outlineLevel="1"/>
    <col min="677" max="677" width="8.7109375" style="21" customWidth="1"/>
    <col min="678" max="678" width="17.7109375" style="21" customWidth="1"/>
    <col min="679" max="679" width="15.7109375" style="21" customWidth="1" outlineLevel="1"/>
    <col min="680" max="684" width="15.7109375" style="76" customWidth="1" outlineLevel="1"/>
    <col min="685" max="685" width="15.7109375" style="21" customWidth="1" outlineLevel="1"/>
    <col min="686" max="686" width="8.7109375" style="21" customWidth="1"/>
    <col min="687" max="687" width="17.7109375" style="21" customWidth="1"/>
    <col min="688" max="688" width="15.7109375" style="21" customWidth="1" outlineLevel="1"/>
    <col min="689" max="693" width="15.7109375" style="76" customWidth="1" outlineLevel="1"/>
    <col min="694" max="694" width="15.7109375" style="21" customWidth="1" outlineLevel="1"/>
    <col min="695" max="695" width="8.7109375" style="21" customWidth="1"/>
    <col min="696" max="696" width="17.7109375" style="21" customWidth="1"/>
    <col min="697" max="697" width="15.7109375" style="21" customWidth="1" outlineLevel="1"/>
    <col min="698" max="702" width="15.7109375" style="76" customWidth="1" outlineLevel="1"/>
    <col min="703" max="703" width="15.7109375" style="21" customWidth="1" outlineLevel="1"/>
    <col min="704" max="704" width="8.7109375" style="21" customWidth="1"/>
    <col min="705" max="705" width="17.7109375" style="21" customWidth="1"/>
    <col min="706" max="706" width="15.7109375" style="21" customWidth="1" outlineLevel="1"/>
    <col min="707" max="711" width="15.7109375" style="76" customWidth="1" outlineLevel="1"/>
    <col min="712" max="712" width="15.7109375" style="21" customWidth="1" outlineLevel="1"/>
    <col min="713" max="713" width="8.7109375" style="21" customWidth="1"/>
    <col min="714" max="714" width="17.7109375" style="21" customWidth="1"/>
    <col min="715" max="715" width="15.7109375" style="21" customWidth="1" outlineLevel="1"/>
    <col min="716" max="720" width="15.7109375" style="76" customWidth="1" outlineLevel="1"/>
    <col min="721" max="721" width="15.7109375" style="21" customWidth="1" outlineLevel="1"/>
    <col min="722" max="722" width="8.7109375" style="21" customWidth="1"/>
    <col min="723" max="723" width="17.7109375" style="21" customWidth="1"/>
    <col min="724" max="724" width="15.7109375" style="21" customWidth="1" outlineLevel="1"/>
    <col min="725" max="729" width="15.7109375" style="76" customWidth="1" outlineLevel="1"/>
    <col min="730" max="730" width="15.7109375" style="21" customWidth="1" outlineLevel="1"/>
    <col min="731" max="731" width="8.7109375" style="21" customWidth="1"/>
    <col min="732" max="732" width="17.7109375" style="21" customWidth="1"/>
    <col min="733" max="733" width="15.7109375" style="21" customWidth="1" outlineLevel="1"/>
    <col min="734" max="738" width="15.7109375" style="76" customWidth="1" outlineLevel="1"/>
    <col min="739" max="739" width="15.7109375" style="21" customWidth="1" outlineLevel="1"/>
    <col min="740" max="16384" width="9.28515625" style="21"/>
  </cols>
  <sheetData>
    <row r="1" spans="1:740" ht="30.4" customHeight="1" thickBot="1">
      <c r="A1" s="647" t="s">
        <v>161</v>
      </c>
      <c r="B1" s="647"/>
      <c r="C1" s="647"/>
      <c r="D1" s="279"/>
      <c r="E1" s="279"/>
      <c r="F1" s="279"/>
      <c r="G1" s="279"/>
      <c r="H1" s="279"/>
      <c r="I1" s="319"/>
      <c r="J1" s="280"/>
      <c r="K1" s="280"/>
      <c r="L1" s="280"/>
      <c r="M1" s="279"/>
      <c r="N1" s="279"/>
      <c r="O1" s="279"/>
      <c r="P1" s="279"/>
      <c r="Q1" s="279"/>
      <c r="R1" s="280"/>
      <c r="S1" s="280"/>
      <c r="T1" s="280"/>
      <c r="U1" s="280"/>
      <c r="V1" s="279"/>
      <c r="W1" s="279"/>
      <c r="X1" s="279"/>
      <c r="Y1" s="279"/>
      <c r="Z1" s="279"/>
      <c r="AA1" s="280"/>
      <c r="AB1" s="280"/>
      <c r="AC1" s="280"/>
      <c r="AD1" s="280"/>
      <c r="AE1" s="279"/>
      <c r="AF1" s="279"/>
      <c r="AG1" s="279"/>
      <c r="AH1" s="279"/>
      <c r="AI1" s="279"/>
      <c r="AJ1" s="280"/>
      <c r="AK1" s="280"/>
      <c r="AL1" s="280"/>
      <c r="AM1" s="280"/>
      <c r="AN1" s="279"/>
      <c r="AO1" s="279"/>
      <c r="AP1" s="279"/>
      <c r="AQ1" s="279"/>
      <c r="AR1" s="279"/>
      <c r="AS1" s="280"/>
      <c r="AT1" s="280"/>
      <c r="AU1" s="280"/>
      <c r="AV1" s="280"/>
      <c r="AW1" s="279"/>
      <c r="AX1" s="279"/>
      <c r="AY1" s="279"/>
      <c r="AZ1" s="279"/>
      <c r="BA1" s="279"/>
      <c r="BB1" s="280"/>
      <c r="BC1" s="280"/>
      <c r="BD1" s="280"/>
      <c r="BE1" s="280"/>
      <c r="BF1" s="279"/>
      <c r="BG1" s="279"/>
      <c r="BH1" s="279"/>
      <c r="BI1" s="279"/>
      <c r="BJ1" s="279"/>
      <c r="BK1" s="280"/>
      <c r="BL1" s="280"/>
      <c r="BM1" s="280"/>
      <c r="BN1" s="280"/>
      <c r="BO1" s="279"/>
      <c r="BP1" s="279"/>
      <c r="BQ1" s="279"/>
      <c r="BR1" s="279"/>
      <c r="BS1" s="279"/>
      <c r="BT1" s="280"/>
      <c r="BU1" s="280"/>
      <c r="BV1" s="280"/>
      <c r="BW1" s="280"/>
      <c r="BX1" s="279"/>
      <c r="BY1" s="279"/>
      <c r="BZ1" s="279"/>
      <c r="CA1" s="279"/>
      <c r="CB1" s="279"/>
      <c r="CC1" s="280"/>
      <c r="CD1" s="280"/>
      <c r="CE1" s="280"/>
      <c r="CF1" s="280"/>
      <c r="CG1" s="279"/>
      <c r="CH1" s="279"/>
      <c r="CI1" s="279"/>
      <c r="CJ1" s="279"/>
      <c r="CK1" s="279"/>
      <c r="CL1" s="280"/>
      <c r="CM1" s="595"/>
      <c r="CN1" s="595"/>
      <c r="CP1" s="6"/>
      <c r="CQ1" s="6"/>
      <c r="CR1" s="6"/>
      <c r="CS1" s="6"/>
      <c r="CT1" s="6"/>
      <c r="CW1" s="278"/>
      <c r="CX1" s="278"/>
      <c r="CY1" s="277"/>
      <c r="CZ1" s="277"/>
      <c r="DA1" s="277"/>
      <c r="DB1" s="277"/>
      <c r="DC1" s="277"/>
      <c r="DD1" s="278"/>
      <c r="DE1" s="278"/>
      <c r="DF1" s="278"/>
      <c r="DG1" s="278"/>
      <c r="DH1" s="277"/>
      <c r="DI1" s="281"/>
      <c r="DJ1" s="277"/>
      <c r="DK1" s="281"/>
      <c r="DL1" s="281"/>
      <c r="DM1" s="278"/>
      <c r="DN1" s="278"/>
      <c r="DO1" s="278"/>
      <c r="DP1" s="278"/>
      <c r="DQ1" s="277"/>
      <c r="DR1" s="277"/>
      <c r="DS1" s="277"/>
      <c r="DT1" s="277"/>
      <c r="DU1" s="277"/>
      <c r="DV1" s="278"/>
      <c r="DW1" s="278"/>
      <c r="DX1" s="278"/>
      <c r="DY1" s="278"/>
      <c r="DZ1" s="277"/>
      <c r="EA1" s="277"/>
      <c r="EB1" s="277"/>
      <c r="EC1" s="277"/>
      <c r="ED1" s="277"/>
      <c r="EE1" s="278"/>
      <c r="EF1" s="278"/>
      <c r="EG1" s="278"/>
      <c r="EH1" s="278"/>
      <c r="EI1" s="277"/>
      <c r="EJ1" s="277"/>
      <c r="EK1" s="277"/>
      <c r="EL1" s="277"/>
      <c r="EM1" s="277"/>
      <c r="EN1" s="278"/>
      <c r="EO1" s="278"/>
      <c r="EP1" s="278"/>
      <c r="EQ1" s="278"/>
      <c r="ER1" s="277"/>
      <c r="ES1" s="277"/>
      <c r="ET1" s="277"/>
      <c r="EU1" s="277"/>
      <c r="EV1" s="277"/>
      <c r="EW1" s="278"/>
      <c r="EX1" s="278"/>
      <c r="EY1" s="278"/>
      <c r="EZ1" s="278"/>
      <c r="FA1" s="277"/>
      <c r="FB1" s="277"/>
      <c r="FC1" s="277"/>
      <c r="FD1" s="277"/>
      <c r="FE1" s="277"/>
      <c r="FF1" s="278"/>
      <c r="FG1" s="278"/>
      <c r="FH1" s="278"/>
      <c r="FI1" s="278"/>
      <c r="FJ1" s="277"/>
      <c r="FK1" s="277"/>
      <c r="FL1" s="277"/>
      <c r="FM1" s="277"/>
      <c r="FN1" s="277"/>
      <c r="FO1" s="278"/>
      <c r="FP1" s="278"/>
      <c r="FQ1" s="278"/>
      <c r="FR1" s="278"/>
      <c r="FS1" s="277"/>
      <c r="FT1" s="277"/>
      <c r="FU1" s="277"/>
      <c r="FV1" s="277"/>
      <c r="FW1" s="277"/>
      <c r="FX1" s="278"/>
      <c r="FY1" s="278"/>
      <c r="FZ1" s="278"/>
      <c r="GA1" s="278"/>
      <c r="GB1" s="277"/>
      <c r="GC1" s="277"/>
      <c r="GD1" s="277"/>
      <c r="GE1" s="277"/>
      <c r="GF1" s="277"/>
      <c r="GG1" s="278"/>
      <c r="GH1" s="278"/>
      <c r="GI1" s="466"/>
      <c r="GJ1" s="278"/>
      <c r="GK1" s="277"/>
      <c r="GL1" s="277"/>
      <c r="GM1" s="277"/>
      <c r="GN1" s="277"/>
      <c r="GO1" s="277"/>
      <c r="GP1" s="278"/>
      <c r="GQ1" s="278"/>
      <c r="GR1" s="278"/>
      <c r="GS1" s="278"/>
      <c r="GT1" s="277"/>
      <c r="GU1" s="277"/>
      <c r="GV1" s="277"/>
      <c r="GW1" s="277"/>
      <c r="GX1" s="277"/>
      <c r="GY1" s="278"/>
      <c r="GZ1" s="278"/>
      <c r="HA1" s="278"/>
      <c r="HB1" s="278"/>
      <c r="HC1" s="277"/>
      <c r="HD1" s="277"/>
      <c r="HE1" s="277"/>
      <c r="HF1" s="277"/>
      <c r="HG1" s="277"/>
      <c r="HH1" s="278"/>
      <c r="HI1" s="278"/>
      <c r="HJ1" s="278"/>
      <c r="HK1" s="278"/>
      <c r="HL1" s="277"/>
      <c r="HM1" s="277"/>
      <c r="HN1" s="277"/>
      <c r="HO1" s="277"/>
      <c r="HP1" s="277"/>
      <c r="HQ1" s="278"/>
      <c r="HR1" s="278"/>
      <c r="HS1" s="596" t="s">
        <v>162</v>
      </c>
      <c r="HT1" s="596"/>
      <c r="HU1" s="283"/>
      <c r="HV1" s="283"/>
      <c r="HW1" s="283"/>
      <c r="HX1" s="283"/>
      <c r="HY1" s="283"/>
      <c r="HZ1" s="283"/>
      <c r="IA1" s="282"/>
      <c r="IB1" s="282"/>
      <c r="IC1" s="282"/>
      <c r="ID1" s="283"/>
      <c r="IE1" s="283"/>
      <c r="IF1" s="283"/>
      <c r="IG1" s="283"/>
      <c r="IH1" s="283"/>
      <c r="II1" s="283"/>
      <c r="IJ1" s="282"/>
      <c r="IK1" s="282"/>
      <c r="IL1" s="282"/>
      <c r="IM1" s="283"/>
      <c r="IN1" s="283"/>
      <c r="IO1" s="283"/>
      <c r="IP1" s="283"/>
      <c r="IQ1" s="283"/>
      <c r="IR1" s="283"/>
      <c r="IS1" s="282"/>
      <c r="IT1" s="282"/>
      <c r="IU1" s="282"/>
      <c r="IV1" s="283"/>
      <c r="IW1" s="283"/>
      <c r="IX1" s="283"/>
      <c r="IY1" s="283"/>
      <c r="IZ1" s="283"/>
      <c r="JA1" s="283"/>
      <c r="JB1" s="282"/>
      <c r="JC1" s="282"/>
      <c r="JD1" s="282"/>
      <c r="JE1" s="283"/>
      <c r="JF1" s="283"/>
      <c r="JG1" s="283"/>
      <c r="JH1" s="283"/>
      <c r="JI1" s="283"/>
      <c r="JJ1" s="283"/>
      <c r="JK1" s="282"/>
      <c r="JL1" s="282"/>
      <c r="JM1" s="282"/>
      <c r="JN1" s="283"/>
      <c r="JO1" s="283"/>
      <c r="JP1" s="283"/>
      <c r="JQ1" s="283"/>
      <c r="JR1" s="283"/>
      <c r="JS1" s="283"/>
      <c r="JT1" s="282"/>
      <c r="JU1" s="282"/>
      <c r="JV1" s="282"/>
      <c r="JW1" s="283"/>
      <c r="JX1" s="283"/>
      <c r="JY1" s="283"/>
      <c r="JZ1" s="283"/>
      <c r="KA1" s="283"/>
      <c r="KB1" s="283"/>
      <c r="KC1" s="282"/>
      <c r="KD1" s="282"/>
      <c r="KE1" s="282"/>
      <c r="KF1" s="283"/>
      <c r="KG1" s="283"/>
      <c r="KH1" s="283"/>
      <c r="KI1" s="283"/>
      <c r="KJ1" s="283"/>
      <c r="KK1" s="283"/>
      <c r="KL1" s="282"/>
      <c r="KM1" s="282"/>
      <c r="KN1" s="282"/>
      <c r="KO1" s="283"/>
      <c r="KP1" s="283"/>
      <c r="KQ1" s="283"/>
      <c r="KR1" s="283"/>
      <c r="KS1" s="283"/>
      <c r="KT1" s="283"/>
      <c r="KU1" s="282"/>
      <c r="KV1" s="282"/>
      <c r="KW1" s="517"/>
      <c r="KX1" s="283"/>
      <c r="KY1" s="283"/>
      <c r="KZ1" s="283"/>
      <c r="LA1" s="283"/>
      <c r="LB1" s="283"/>
      <c r="LC1" s="283"/>
      <c r="LD1" s="282"/>
      <c r="LE1" s="282"/>
      <c r="LF1" s="287"/>
      <c r="LG1" s="283"/>
      <c r="LH1" s="288"/>
      <c r="LI1" s="288"/>
      <c r="LJ1" s="288"/>
      <c r="LK1" s="288"/>
      <c r="LL1" s="288"/>
      <c r="LM1" s="287"/>
      <c r="LN1" s="282"/>
      <c r="LO1" s="287"/>
      <c r="LP1" s="283"/>
      <c r="LQ1" s="288"/>
      <c r="LR1" s="288"/>
      <c r="LS1" s="283"/>
      <c r="LT1" s="288"/>
      <c r="LU1" s="288"/>
      <c r="LV1" s="287"/>
      <c r="LW1" s="282"/>
      <c r="LX1" s="287"/>
      <c r="LY1" s="283"/>
      <c r="LZ1" s="288"/>
      <c r="MA1" s="288"/>
      <c r="MB1" s="288"/>
      <c r="MC1" s="288"/>
      <c r="MD1" s="288"/>
      <c r="ME1" s="287"/>
      <c r="MF1" s="282"/>
      <c r="MG1" s="287"/>
      <c r="MH1" s="283"/>
      <c r="MI1" s="288"/>
      <c r="MJ1" s="288"/>
      <c r="MK1" s="288"/>
      <c r="ML1" s="288"/>
      <c r="MM1" s="288"/>
      <c r="MN1" s="287"/>
      <c r="MO1" s="282"/>
      <c r="MP1" s="287"/>
      <c r="MQ1" s="283"/>
      <c r="MR1" s="283"/>
      <c r="MS1" s="288"/>
      <c r="MT1" s="288"/>
      <c r="MU1" s="288"/>
      <c r="MV1" s="288"/>
      <c r="MW1" s="287"/>
      <c r="MX1" s="282"/>
      <c r="MY1" s="287"/>
      <c r="MZ1" s="283"/>
      <c r="NA1" s="283"/>
      <c r="NB1" s="288"/>
      <c r="NC1" s="288"/>
      <c r="ND1" s="288"/>
      <c r="NE1" s="288"/>
      <c r="NF1" s="287"/>
      <c r="NG1" s="282"/>
      <c r="NH1" s="287"/>
      <c r="NI1" s="283"/>
      <c r="NJ1" s="288"/>
      <c r="NK1" s="288"/>
      <c r="NL1" s="283"/>
      <c r="NM1" s="288"/>
      <c r="NN1" s="288"/>
      <c r="NO1" s="287"/>
      <c r="NP1" s="282"/>
      <c r="NQ1" s="287"/>
      <c r="NR1" s="283"/>
      <c r="NS1" s="288"/>
      <c r="NT1" s="288"/>
      <c r="NU1" s="283"/>
      <c r="NV1" s="288"/>
      <c r="NW1" s="288"/>
      <c r="NX1" s="287"/>
      <c r="NY1" s="282"/>
      <c r="NZ1" s="287"/>
      <c r="OA1" s="283"/>
      <c r="OB1" s="283"/>
      <c r="OC1" s="288"/>
      <c r="OD1" s="288"/>
      <c r="OE1" s="288"/>
      <c r="OF1" s="288"/>
      <c r="OG1" s="287"/>
      <c r="OH1" s="282"/>
      <c r="OI1" s="287"/>
      <c r="OJ1" s="283"/>
      <c r="OK1" s="283"/>
      <c r="OL1" s="288"/>
      <c r="OM1" s="288"/>
      <c r="ON1" s="288"/>
      <c r="OO1" s="288"/>
      <c r="OP1" s="287"/>
      <c r="OQ1" s="282"/>
      <c r="OR1" s="287"/>
      <c r="OS1" s="283"/>
      <c r="OT1" s="283"/>
      <c r="OU1" s="288"/>
      <c r="OV1" s="288"/>
      <c r="OW1" s="288"/>
      <c r="OX1" s="288"/>
      <c r="OY1" s="287"/>
      <c r="OZ1" s="282"/>
      <c r="PA1" s="287"/>
      <c r="PB1" s="283"/>
      <c r="PC1" s="283"/>
      <c r="PD1" s="288"/>
      <c r="PE1" s="288"/>
      <c r="PF1" s="288"/>
      <c r="PG1" s="288"/>
      <c r="PH1" s="287"/>
      <c r="PI1" s="282"/>
      <c r="PJ1" s="287"/>
      <c r="PK1" s="283"/>
      <c r="PL1" s="283"/>
      <c r="PM1" s="288"/>
      <c r="PN1" s="288"/>
      <c r="PO1" s="288"/>
      <c r="PP1" s="288"/>
      <c r="PQ1" s="287"/>
      <c r="PR1" s="282"/>
      <c r="PS1" s="287"/>
      <c r="PT1" s="283"/>
      <c r="PU1" s="283"/>
      <c r="PV1" s="288"/>
      <c r="PW1" s="288"/>
      <c r="PX1" s="288"/>
      <c r="PY1" s="288"/>
      <c r="PZ1" s="287"/>
      <c r="QA1" s="282"/>
      <c r="QB1" s="287"/>
      <c r="QC1" s="283"/>
      <c r="QD1" s="288"/>
      <c r="QE1" s="288"/>
      <c r="QF1" s="288"/>
      <c r="QG1" s="288"/>
      <c r="QH1" s="288"/>
      <c r="QI1" s="287"/>
      <c r="QJ1" s="282"/>
      <c r="QK1" s="287"/>
      <c r="QL1" s="283"/>
      <c r="QM1" s="288"/>
      <c r="QN1" s="288"/>
      <c r="QO1" s="288"/>
      <c r="QP1" s="288"/>
      <c r="QQ1" s="288"/>
      <c r="QR1" s="287"/>
      <c r="QS1" s="282"/>
      <c r="QT1" s="287"/>
      <c r="QU1" s="283"/>
      <c r="QV1" s="288"/>
      <c r="QW1" s="288"/>
      <c r="QX1" s="288"/>
      <c r="QY1" s="288"/>
      <c r="QZ1" s="288"/>
      <c r="RA1" s="287"/>
      <c r="RB1" s="282"/>
      <c r="RC1" s="287"/>
      <c r="RD1" s="283"/>
      <c r="RE1" s="288"/>
      <c r="RF1" s="288"/>
      <c r="RG1" s="288"/>
      <c r="RH1" s="288"/>
      <c r="RI1" s="288"/>
      <c r="RJ1" s="287"/>
      <c r="RK1" s="282"/>
      <c r="RL1" s="287"/>
      <c r="RM1" s="283"/>
      <c r="RN1" s="288"/>
      <c r="RO1" s="288"/>
      <c r="RP1" s="288"/>
      <c r="RQ1" s="288"/>
      <c r="RR1" s="288"/>
      <c r="RS1" s="287"/>
      <c r="RT1" s="282"/>
      <c r="RU1" s="287"/>
      <c r="RV1" s="283"/>
      <c r="RW1" s="288"/>
      <c r="RX1" s="288"/>
      <c r="RY1" s="288"/>
      <c r="RZ1" s="288"/>
      <c r="SA1" s="288"/>
      <c r="SB1" s="287"/>
      <c r="SC1" s="282"/>
      <c r="SD1" s="287"/>
      <c r="SE1" s="283"/>
      <c r="SF1" s="288"/>
      <c r="SG1" s="288"/>
      <c r="SH1" s="288"/>
      <c r="SI1" s="288"/>
      <c r="SJ1" s="288"/>
      <c r="SK1" s="287"/>
      <c r="SL1" s="282"/>
      <c r="SM1" s="287"/>
      <c r="SN1" s="283"/>
      <c r="SO1" s="288"/>
      <c r="SP1" s="288"/>
      <c r="SQ1" s="288"/>
      <c r="SR1" s="288"/>
      <c r="SS1" s="288"/>
      <c r="ST1" s="287"/>
      <c r="SU1" s="282"/>
      <c r="SV1" s="287"/>
      <c r="SW1" s="283"/>
      <c r="SX1" s="288"/>
      <c r="SY1" s="288"/>
      <c r="SZ1" s="288"/>
      <c r="TA1" s="288"/>
      <c r="TB1" s="288"/>
      <c r="TC1" s="287"/>
      <c r="TD1" s="282"/>
      <c r="TE1" s="287"/>
      <c r="TF1" s="283"/>
      <c r="TG1" s="288"/>
      <c r="TH1" s="288"/>
      <c r="TI1" s="288"/>
      <c r="TJ1" s="288"/>
      <c r="TK1" s="288"/>
      <c r="TL1" s="287"/>
      <c r="TM1" s="282"/>
      <c r="TN1" s="287"/>
      <c r="TO1" s="283"/>
      <c r="TP1" s="288"/>
      <c r="TQ1" s="288"/>
      <c r="TR1" s="288"/>
      <c r="TS1" s="288"/>
      <c r="TT1" s="288"/>
      <c r="TU1" s="287"/>
      <c r="TV1" s="282"/>
      <c r="TW1" s="287"/>
      <c r="TX1" s="283"/>
      <c r="TY1" s="288"/>
      <c r="TZ1" s="288"/>
      <c r="UA1" s="288"/>
      <c r="UB1" s="288"/>
      <c r="UC1" s="288"/>
      <c r="UD1" s="287"/>
      <c r="UE1" s="282"/>
      <c r="UF1" s="287"/>
      <c r="UG1" s="283"/>
      <c r="UH1" s="288"/>
      <c r="UI1" s="288"/>
      <c r="UJ1" s="288"/>
      <c r="UK1" s="288"/>
      <c r="UL1" s="288"/>
      <c r="UM1" s="287"/>
      <c r="UN1" s="282"/>
      <c r="UO1" s="287"/>
      <c r="UP1" s="283"/>
      <c r="UQ1" s="288"/>
      <c r="UR1" s="288"/>
      <c r="US1" s="288"/>
      <c r="UT1" s="288"/>
      <c r="UU1" s="288"/>
      <c r="UV1" s="287"/>
      <c r="UW1" s="282"/>
      <c r="UX1" s="287"/>
      <c r="UY1" s="283"/>
      <c r="UZ1" s="288"/>
      <c r="VA1" s="288"/>
      <c r="VB1" s="288"/>
      <c r="VC1" s="288"/>
      <c r="VD1" s="288"/>
      <c r="VE1" s="287"/>
      <c r="VF1" s="282"/>
      <c r="VG1" s="287"/>
      <c r="VH1" s="283"/>
      <c r="VI1" s="288"/>
      <c r="VJ1" s="288"/>
      <c r="VK1" s="288"/>
      <c r="VL1" s="288"/>
      <c r="VM1" s="288"/>
      <c r="VN1" s="287"/>
      <c r="VO1" s="282"/>
      <c r="VP1" s="287"/>
      <c r="VQ1" s="283"/>
      <c r="VR1" s="288"/>
      <c r="VS1" s="288"/>
      <c r="VT1" s="288"/>
      <c r="VU1" s="288"/>
      <c r="VV1" s="288"/>
      <c r="VW1" s="287"/>
      <c r="VX1" s="282"/>
      <c r="VY1" s="287"/>
      <c r="VZ1" s="283"/>
      <c r="WA1" s="288"/>
      <c r="WB1" s="288"/>
      <c r="WC1" s="288"/>
      <c r="WD1" s="288"/>
      <c r="WE1" s="288"/>
      <c r="WF1" s="287"/>
      <c r="WG1" s="282"/>
      <c r="WH1" s="287"/>
      <c r="WI1" s="283"/>
      <c r="WJ1" s="288"/>
      <c r="WK1" s="288"/>
      <c r="WL1" s="288"/>
      <c r="WM1" s="288"/>
      <c r="WN1" s="288"/>
      <c r="WO1" s="287"/>
      <c r="WP1" s="282"/>
      <c r="WQ1" s="287"/>
      <c r="WR1" s="283"/>
      <c r="WS1" s="288"/>
      <c r="WT1" s="288"/>
      <c r="WU1" s="288"/>
      <c r="WV1" s="288"/>
      <c r="WW1" s="288"/>
      <c r="WX1" s="287"/>
      <c r="WY1" s="282"/>
      <c r="WZ1" s="287"/>
      <c r="XA1" s="283"/>
      <c r="XB1" s="288"/>
      <c r="XC1" s="288"/>
      <c r="XD1" s="288"/>
      <c r="XE1" s="288"/>
      <c r="XF1" s="288"/>
      <c r="XG1" s="287"/>
      <c r="XH1" s="282"/>
      <c r="XI1" s="287"/>
      <c r="XJ1" s="283"/>
      <c r="XK1" s="288"/>
      <c r="XL1" s="288"/>
      <c r="XM1" s="288"/>
      <c r="XN1" s="288"/>
      <c r="XO1" s="288"/>
      <c r="XP1" s="287"/>
      <c r="XQ1" s="282"/>
      <c r="XR1" s="287"/>
      <c r="XS1" s="283"/>
      <c r="XT1" s="288"/>
      <c r="XU1" s="288"/>
      <c r="XV1" s="288"/>
      <c r="XW1" s="288"/>
      <c r="XX1" s="288"/>
      <c r="XY1" s="287"/>
      <c r="XZ1" s="282"/>
      <c r="YA1" s="287"/>
      <c r="YB1" s="283"/>
      <c r="YC1" s="288"/>
      <c r="YD1" s="288"/>
      <c r="YE1" s="288"/>
      <c r="YF1" s="288"/>
      <c r="YG1" s="288"/>
      <c r="YH1" s="287"/>
      <c r="YI1" s="282"/>
      <c r="YJ1" s="287"/>
      <c r="YK1" s="283"/>
      <c r="YL1" s="288"/>
      <c r="YM1" s="288"/>
      <c r="YN1" s="288"/>
      <c r="YO1" s="288"/>
      <c r="YP1" s="288"/>
      <c r="YQ1" s="287"/>
      <c r="YR1" s="282"/>
      <c r="YS1" s="287"/>
      <c r="YT1" s="283"/>
      <c r="YU1" s="288"/>
      <c r="YV1" s="288"/>
      <c r="YW1" s="288"/>
      <c r="YX1" s="288"/>
      <c r="YY1" s="288"/>
      <c r="YZ1" s="287"/>
      <c r="ZA1" s="282"/>
      <c r="ZB1" s="287"/>
      <c r="ZC1" s="283"/>
      <c r="ZD1" s="288"/>
      <c r="ZE1" s="288"/>
      <c r="ZF1" s="288"/>
      <c r="ZG1" s="288"/>
      <c r="ZH1" s="288"/>
      <c r="ZI1" s="287"/>
      <c r="ZJ1" s="282"/>
      <c r="ZK1" s="287"/>
      <c r="ZL1" s="283"/>
      <c r="ZM1" s="288"/>
      <c r="ZN1" s="288"/>
      <c r="ZO1" s="288"/>
      <c r="ZP1" s="288"/>
      <c r="ZQ1" s="288"/>
      <c r="ZR1" s="287"/>
      <c r="ZS1" s="282"/>
      <c r="ZT1" s="287"/>
      <c r="ZU1" s="283"/>
      <c r="ZV1" s="288"/>
      <c r="ZW1" s="288"/>
      <c r="ZX1" s="288"/>
      <c r="ZY1" s="288"/>
      <c r="ZZ1" s="288"/>
      <c r="AAA1" s="287"/>
      <c r="AAB1" s="282"/>
      <c r="AAC1" s="287"/>
      <c r="AAD1" s="283"/>
      <c r="AAE1" s="288"/>
      <c r="AAF1" s="288"/>
      <c r="AAG1" s="288"/>
      <c r="AAH1" s="288"/>
      <c r="AAI1" s="288"/>
      <c r="AAJ1" s="287"/>
      <c r="AAK1" s="282"/>
      <c r="AAL1" s="287"/>
      <c r="AAM1" s="283"/>
      <c r="AAN1" s="288"/>
      <c r="AAO1" s="288"/>
      <c r="AAP1" s="288"/>
      <c r="AAQ1" s="288"/>
      <c r="AAR1" s="288"/>
      <c r="AAS1" s="287"/>
      <c r="AAT1" s="282"/>
      <c r="AAU1" s="287"/>
      <c r="AAV1" s="283"/>
      <c r="AAW1" s="288"/>
      <c r="AAX1" s="288"/>
      <c r="AAY1" s="288"/>
      <c r="AAZ1" s="288"/>
      <c r="ABA1" s="288"/>
      <c r="ABB1" s="287"/>
      <c r="ABC1" s="282"/>
      <c r="ABD1" s="287"/>
      <c r="ABE1" s="283"/>
      <c r="ABF1" s="288"/>
      <c r="ABG1" s="288"/>
      <c r="ABH1" s="288"/>
      <c r="ABI1" s="288"/>
      <c r="ABJ1" s="288"/>
      <c r="ABK1" s="287"/>
    </row>
    <row r="2" spans="1:740" s="3" customFormat="1" ht="40.700000000000003" customHeight="1" thickBot="1">
      <c r="B2" s="627" t="str">
        <f>PRODUCE!$EA$7</f>
        <v>MAIZE/CORN</v>
      </c>
      <c r="C2" s="628"/>
      <c r="D2" s="628"/>
      <c r="E2" s="628"/>
      <c r="F2" s="628"/>
      <c r="G2" s="628"/>
      <c r="H2" s="628"/>
      <c r="I2" s="320"/>
      <c r="K2" s="629" t="str">
        <f>PRODUCE!$EA$8</f>
        <v>SOYBEAN MEAL (ARG)</v>
      </c>
      <c r="L2" s="630"/>
      <c r="M2" s="630"/>
      <c r="N2" s="630"/>
      <c r="O2" s="630"/>
      <c r="P2" s="630"/>
      <c r="Q2" s="630"/>
      <c r="R2" s="484"/>
      <c r="T2" s="631" t="str">
        <f>PRODUCE!$EA$9</f>
        <v>SOYBEAN FULL FAT</v>
      </c>
      <c r="U2" s="632"/>
      <c r="V2" s="632"/>
      <c r="W2" s="632"/>
      <c r="X2" s="632"/>
      <c r="Y2" s="632"/>
      <c r="Z2" s="632"/>
      <c r="AA2" s="485"/>
      <c r="AC2" s="635" t="str">
        <f>PRODUCE!$EA$10</f>
        <v>WHEAT POLLARD</v>
      </c>
      <c r="AD2" s="636"/>
      <c r="AE2" s="636"/>
      <c r="AF2" s="636"/>
      <c r="AG2" s="636"/>
      <c r="AH2" s="636"/>
      <c r="AI2" s="636"/>
      <c r="AJ2" s="487"/>
      <c r="AL2" s="639" t="str">
        <f>PRODUCE!$EA$11</f>
        <v>WHEAT</v>
      </c>
      <c r="AM2" s="640"/>
      <c r="AN2" s="640"/>
      <c r="AO2" s="640"/>
      <c r="AP2" s="640"/>
      <c r="AQ2" s="640"/>
      <c r="AR2" s="640"/>
      <c r="AS2" s="489"/>
      <c r="AU2" s="637" t="str">
        <f>PRODUCE!$EA$12</f>
        <v>MEAT AND BONE MEAL</v>
      </c>
      <c r="AV2" s="638"/>
      <c r="AW2" s="638"/>
      <c r="AX2" s="638"/>
      <c r="AY2" s="638"/>
      <c r="AZ2" s="638"/>
      <c r="BA2" s="638"/>
      <c r="BB2" s="488"/>
      <c r="BD2" s="633" t="str">
        <f>PRODUCE!$EA$13</f>
        <v>CORN GLUTEN MEAL</v>
      </c>
      <c r="BE2" s="634"/>
      <c r="BF2" s="634"/>
      <c r="BG2" s="634"/>
      <c r="BH2" s="634"/>
      <c r="BI2" s="634"/>
      <c r="BJ2" s="634"/>
      <c r="BK2" s="486"/>
      <c r="BM2" s="645" t="str">
        <f>PRODUCE!$EA$14</f>
        <v>MEGAFAT (HARUMI)</v>
      </c>
      <c r="BN2" s="646"/>
      <c r="BO2" s="646"/>
      <c r="BP2" s="646"/>
      <c r="BQ2" s="646"/>
      <c r="BR2" s="646"/>
      <c r="BS2" s="646"/>
      <c r="BT2" s="492"/>
      <c r="BV2" s="641" t="str">
        <f>PRODUCE!$EA$15</f>
        <v>DCP 18%</v>
      </c>
      <c r="BW2" s="642"/>
      <c r="BX2" s="642"/>
      <c r="BY2" s="642"/>
      <c r="BZ2" s="642"/>
      <c r="CA2" s="642"/>
      <c r="CB2" s="642"/>
      <c r="CC2" s="490"/>
      <c r="CE2" s="643" t="str">
        <f>PRODUCE!$EA$16</f>
        <v>LIMESTONE POWDER (HARUMI)</v>
      </c>
      <c r="CF2" s="644"/>
      <c r="CG2" s="644"/>
      <c r="CH2" s="644"/>
      <c r="CI2" s="644"/>
      <c r="CJ2" s="644"/>
      <c r="CK2" s="644"/>
      <c r="CL2" s="491"/>
      <c r="CN2" s="625" t="str">
        <f>PRODUCE!$EA$17</f>
        <v>CHOLINE CHLORIDE 60%</v>
      </c>
      <c r="CO2" s="626"/>
      <c r="CP2" s="626"/>
      <c r="CQ2" s="626"/>
      <c r="CR2" s="626"/>
      <c r="CS2" s="626"/>
      <c r="CT2" s="626"/>
      <c r="CU2" s="131"/>
      <c r="CW2" s="623" t="str">
        <f>PRODUCE!$EA$18</f>
        <v>INDUSTRY FLOUR</v>
      </c>
      <c r="CX2" s="624"/>
      <c r="CY2" s="624"/>
      <c r="CZ2" s="624"/>
      <c r="DA2" s="624"/>
      <c r="DB2" s="624"/>
      <c r="DC2" s="624"/>
      <c r="DD2" s="482"/>
      <c r="DF2" s="619" t="str">
        <f>PRODUCE!$EA$19</f>
        <v>RICE BRAN</v>
      </c>
      <c r="DG2" s="620"/>
      <c r="DH2" s="620"/>
      <c r="DI2" s="620"/>
      <c r="DJ2" s="620"/>
      <c r="DK2" s="620"/>
      <c r="DL2" s="620"/>
      <c r="DM2" s="138"/>
      <c r="DO2" s="621" t="str">
        <f>PRODUCE!$EA$20</f>
        <v>EP 200</v>
      </c>
      <c r="DP2" s="622"/>
      <c r="DQ2" s="622"/>
      <c r="DR2" s="622"/>
      <c r="DS2" s="622"/>
      <c r="DT2" s="622"/>
      <c r="DU2" s="622"/>
      <c r="DV2" s="483"/>
      <c r="DX2" s="617" t="str">
        <f>PRODUCE!$EA$21</f>
        <v>SOYTIDE</v>
      </c>
      <c r="DY2" s="618"/>
      <c r="DZ2" s="618"/>
      <c r="EA2" s="618"/>
      <c r="EB2" s="618"/>
      <c r="EC2" s="618"/>
      <c r="ED2" s="618"/>
      <c r="EE2" s="160"/>
      <c r="EG2" s="607" t="str">
        <f>PRODUCE!$EA$22</f>
        <v>DCP 18% (HARUMI)</v>
      </c>
      <c r="EH2" s="608"/>
      <c r="EI2" s="608"/>
      <c r="EJ2" s="608"/>
      <c r="EK2" s="608"/>
      <c r="EL2" s="608"/>
      <c r="EM2" s="608"/>
      <c r="EN2" s="165"/>
      <c r="EP2" s="609">
        <f>PRODUCE!$EA$23</f>
        <v>1</v>
      </c>
      <c r="EQ2" s="610"/>
      <c r="ER2" s="610"/>
      <c r="ES2" s="610"/>
      <c r="ET2" s="610"/>
      <c r="EU2" s="610"/>
      <c r="EV2" s="610"/>
      <c r="EW2" s="166"/>
      <c r="EY2" s="611">
        <f>PRODUCE!$EA$24</f>
        <v>2</v>
      </c>
      <c r="EZ2" s="612"/>
      <c r="FA2" s="612"/>
      <c r="FB2" s="612"/>
      <c r="FC2" s="612"/>
      <c r="FD2" s="612"/>
      <c r="FE2" s="612"/>
      <c r="FF2" s="174"/>
      <c r="FH2" s="613">
        <f>PRODUCE!$EA$25</f>
        <v>3</v>
      </c>
      <c r="FI2" s="614"/>
      <c r="FJ2" s="614"/>
      <c r="FK2" s="614"/>
      <c r="FL2" s="614"/>
      <c r="FM2" s="614"/>
      <c r="FN2" s="614"/>
      <c r="FO2" s="179"/>
      <c r="FQ2" s="615" t="str">
        <f>PRODUCE!$EA$26</f>
        <v>PREMIX 1101 (20KG)</v>
      </c>
      <c r="FR2" s="616"/>
      <c r="FS2" s="616"/>
      <c r="FT2" s="616"/>
      <c r="FU2" s="616"/>
      <c r="FV2" s="616"/>
      <c r="FW2" s="616"/>
      <c r="FX2" s="180"/>
      <c r="FZ2" s="599" t="str">
        <f>PRODUCE!$EA$27</f>
        <v>PREMIX 1102 (20KG)</v>
      </c>
      <c r="GA2" s="600"/>
      <c r="GB2" s="600"/>
      <c r="GC2" s="600"/>
      <c r="GD2" s="600"/>
      <c r="GE2" s="600"/>
      <c r="GF2" s="600"/>
      <c r="GG2" s="127"/>
      <c r="GI2" s="601" t="str">
        <f>PRODUCE!$EA$28</f>
        <v>PREMIX 1103 (20KG)</v>
      </c>
      <c r="GJ2" s="602"/>
      <c r="GK2" s="602"/>
      <c r="GL2" s="602"/>
      <c r="GM2" s="602"/>
      <c r="GN2" s="602"/>
      <c r="GO2" s="602"/>
      <c r="GP2" s="202"/>
      <c r="GR2" s="603" t="str">
        <f>PRODUCE!$EA$29</f>
        <v>PREMIX 311 (20KG)</v>
      </c>
      <c r="GS2" s="604"/>
      <c r="GT2" s="604"/>
      <c r="GU2" s="604"/>
      <c r="GV2" s="604"/>
      <c r="GW2" s="604"/>
      <c r="GX2" s="604"/>
      <c r="GY2" s="173"/>
      <c r="HA2" s="605" t="str">
        <f>PRODUCE!$EA$30</f>
        <v>PREMIX 312 (20KG)</v>
      </c>
      <c r="HB2" s="606"/>
      <c r="HC2" s="606"/>
      <c r="HD2" s="606"/>
      <c r="HE2" s="606"/>
      <c r="HF2" s="606"/>
      <c r="HG2" s="606"/>
      <c r="HH2" s="188"/>
      <c r="HJ2" s="597">
        <f>PRODUCE!$EA$31</f>
        <v>1</v>
      </c>
      <c r="HK2" s="598"/>
      <c r="HL2" s="598"/>
      <c r="HM2" s="598"/>
      <c r="HN2" s="598"/>
      <c r="HO2" s="598"/>
      <c r="HP2" s="598"/>
      <c r="HQ2" s="486"/>
      <c r="HT2" s="572" t="str">
        <f>PRODUCE!$EA$32</f>
        <v>PREMIX 8100 (20KG)</v>
      </c>
      <c r="HU2" s="573"/>
      <c r="HV2" s="573"/>
      <c r="HW2" s="573"/>
      <c r="HX2" s="573"/>
      <c r="HY2" s="573"/>
      <c r="HZ2" s="574"/>
      <c r="IA2" s="481"/>
      <c r="IC2" s="572" t="str">
        <f>PRODUCE!$EA$33</f>
        <v>PREMIX 8101 (20KG)</v>
      </c>
      <c r="ID2" s="573"/>
      <c r="IE2" s="573"/>
      <c r="IF2" s="573"/>
      <c r="IG2" s="573"/>
      <c r="IH2" s="573"/>
      <c r="II2" s="574"/>
      <c r="IJ2" s="481"/>
      <c r="IL2" s="572" t="str">
        <f>PRODUCE!$EA$34</f>
        <v>PREMIX 8102 (20KG)</v>
      </c>
      <c r="IM2" s="573"/>
      <c r="IN2" s="573"/>
      <c r="IO2" s="573"/>
      <c r="IP2" s="573"/>
      <c r="IQ2" s="573"/>
      <c r="IR2" s="574"/>
      <c r="IS2" s="481"/>
      <c r="IU2" s="572" t="str">
        <f>PRODUCE!$EA$35</f>
        <v>PREMIX 8103 (20KG)</v>
      </c>
      <c r="IV2" s="573"/>
      <c r="IW2" s="573"/>
      <c r="IX2" s="573"/>
      <c r="IY2" s="573"/>
      <c r="IZ2" s="573"/>
      <c r="JA2" s="574"/>
      <c r="JB2" s="481"/>
      <c r="JD2" s="572" t="str">
        <f>PRODUCE!$EA$36</f>
        <v>PREMIX 8108 (20KG)</v>
      </c>
      <c r="JE2" s="573"/>
      <c r="JF2" s="573"/>
      <c r="JG2" s="573"/>
      <c r="JH2" s="573"/>
      <c r="JI2" s="573"/>
      <c r="JJ2" s="574"/>
      <c r="JK2" s="481"/>
      <c r="JM2" s="584" t="str">
        <f>PRODUCE!$EA$37</f>
        <v>PREMIX 8109 (20KG)</v>
      </c>
      <c r="JN2" s="585"/>
      <c r="JO2" s="585"/>
      <c r="JP2" s="585"/>
      <c r="JQ2" s="585"/>
      <c r="JR2" s="585"/>
      <c r="JS2" s="586"/>
      <c r="JT2" s="481"/>
      <c r="JV2" s="584" t="str">
        <f>PRODUCE!$EA$38</f>
        <v>YENMIX 121 (20KG)</v>
      </c>
      <c r="JW2" s="585"/>
      <c r="JX2" s="585"/>
      <c r="JY2" s="585"/>
      <c r="JZ2" s="585"/>
      <c r="KA2" s="585"/>
      <c r="KB2" s="586"/>
      <c r="KC2" s="481"/>
      <c r="KE2" s="581" t="str">
        <f>PRODUCE!$EA$39</f>
        <v>YENMIX 122 (19.50KG)</v>
      </c>
      <c r="KF2" s="582"/>
      <c r="KG2" s="582"/>
      <c r="KH2" s="582"/>
      <c r="KI2" s="582"/>
      <c r="KJ2" s="582"/>
      <c r="KK2" s="583"/>
      <c r="KL2" s="481"/>
      <c r="KN2" s="578" t="str">
        <f>PRODUCE!$EA$40</f>
        <v>YENMIX 123 (18.90KG)</v>
      </c>
      <c r="KO2" s="579"/>
      <c r="KP2" s="579"/>
      <c r="KQ2" s="579"/>
      <c r="KR2" s="579"/>
      <c r="KS2" s="579"/>
      <c r="KT2" s="580"/>
      <c r="KU2" s="481"/>
      <c r="KW2" s="572" t="str">
        <f>PRODUCE!$EA$41</f>
        <v>YENMIX 122 (20.50KG)</v>
      </c>
      <c r="KX2" s="573"/>
      <c r="KY2" s="573"/>
      <c r="KZ2" s="573"/>
      <c r="LA2" s="573"/>
      <c r="LB2" s="573"/>
      <c r="LC2" s="574"/>
      <c r="LD2" s="481"/>
      <c r="LF2" s="572" t="str">
        <f>PRODUCE!$EA$42</f>
        <v>YENMIX 123 (20.00KG)</v>
      </c>
      <c r="LG2" s="573"/>
      <c r="LH2" s="573"/>
      <c r="LI2" s="573"/>
      <c r="LJ2" s="573"/>
      <c r="LK2" s="573"/>
      <c r="LL2" s="574"/>
      <c r="LM2" s="481"/>
      <c r="LO2" s="572">
        <f>PRODUCE!$EA$43</f>
        <v>1</v>
      </c>
      <c r="LP2" s="573"/>
      <c r="LQ2" s="573"/>
      <c r="LR2" s="573"/>
      <c r="LS2" s="573"/>
      <c r="LT2" s="573"/>
      <c r="LU2" s="574"/>
      <c r="LV2" s="481"/>
      <c r="LX2" s="572">
        <f>PRODUCE!$EA$44</f>
        <v>2</v>
      </c>
      <c r="LY2" s="573"/>
      <c r="LZ2" s="573"/>
      <c r="MA2" s="573"/>
      <c r="MB2" s="573"/>
      <c r="MC2" s="573"/>
      <c r="MD2" s="574"/>
      <c r="ME2" s="481"/>
      <c r="MG2" s="572">
        <f>PRODUCE!$EA$45</f>
        <v>3</v>
      </c>
      <c r="MH2" s="573"/>
      <c r="MI2" s="573"/>
      <c r="MJ2" s="573"/>
      <c r="MK2" s="573"/>
      <c r="ML2" s="573"/>
      <c r="MM2" s="574"/>
      <c r="MN2" s="481"/>
      <c r="MP2" s="572" t="str">
        <f>PRODUCE!$EA$46</f>
        <v>TOXISORB PREMIUM</v>
      </c>
      <c r="MQ2" s="573"/>
      <c r="MR2" s="573"/>
      <c r="MS2" s="573"/>
      <c r="MT2" s="573"/>
      <c r="MU2" s="573"/>
      <c r="MV2" s="574"/>
      <c r="MW2" s="481"/>
      <c r="MY2" s="572" t="str">
        <f>PRODUCE!$EA$47</f>
        <v>SODIUM HUMATE 3.8% (HARUMI)</v>
      </c>
      <c r="MZ2" s="573"/>
      <c r="NA2" s="573"/>
      <c r="NB2" s="573"/>
      <c r="NC2" s="573"/>
      <c r="ND2" s="573"/>
      <c r="NE2" s="574"/>
      <c r="NF2" s="481"/>
      <c r="NH2" s="572" t="str">
        <f>PRODUCE!$EA$48</f>
        <v>TOXIWALL</v>
      </c>
      <c r="NI2" s="573"/>
      <c r="NJ2" s="573"/>
      <c r="NK2" s="573"/>
      <c r="NL2" s="573"/>
      <c r="NM2" s="573"/>
      <c r="NN2" s="574"/>
      <c r="NO2" s="481"/>
      <c r="NQ2" s="572" t="str">
        <f>PRODUCE!$EA$49</f>
        <v>SODIUM BICARBONATE</v>
      </c>
      <c r="NR2" s="573"/>
      <c r="NS2" s="573"/>
      <c r="NT2" s="573"/>
      <c r="NU2" s="573"/>
      <c r="NV2" s="573"/>
      <c r="NW2" s="574"/>
      <c r="NX2" s="481"/>
      <c r="NZ2" s="572" t="str">
        <f>PRODUCE!$EA$50</f>
        <v>BMD 10%</v>
      </c>
      <c r="OA2" s="587"/>
      <c r="OB2" s="587"/>
      <c r="OC2" s="587"/>
      <c r="OD2" s="587"/>
      <c r="OE2" s="587"/>
      <c r="OF2" s="588"/>
      <c r="OG2" s="481"/>
      <c r="OI2" s="572" t="str">
        <f>PRODUCE!$EA$51</f>
        <v>SALT (HARUMI)</v>
      </c>
      <c r="OJ2" s="587"/>
      <c r="OK2" s="587"/>
      <c r="OL2" s="587"/>
      <c r="OM2" s="587"/>
      <c r="ON2" s="587"/>
      <c r="OO2" s="588"/>
      <c r="OP2" s="481"/>
      <c r="OR2" s="572" t="str">
        <f>PRODUCE!$EA$52</f>
        <v>VISTABET 91</v>
      </c>
      <c r="OS2" s="587"/>
      <c r="OT2" s="587"/>
      <c r="OU2" s="587"/>
      <c r="OV2" s="587"/>
      <c r="OW2" s="587"/>
      <c r="OX2" s="588"/>
      <c r="OY2" s="481"/>
      <c r="PA2" s="572" t="str">
        <f>PRODUCE!$EA$53</f>
        <v>BETAFIN</v>
      </c>
      <c r="PB2" s="573"/>
      <c r="PC2" s="573"/>
      <c r="PD2" s="573"/>
      <c r="PE2" s="573"/>
      <c r="PF2" s="573"/>
      <c r="PG2" s="574"/>
      <c r="PH2" s="481"/>
      <c r="PJ2" s="592" t="str">
        <f>PRODUCE!$EA$54</f>
        <v>8101 TOP UP</v>
      </c>
      <c r="PK2" s="593"/>
      <c r="PL2" s="593"/>
      <c r="PM2" s="593"/>
      <c r="PN2" s="593"/>
      <c r="PO2" s="593"/>
      <c r="PP2" s="594"/>
      <c r="PQ2" s="481"/>
      <c r="PS2" s="572" t="str">
        <f>PRODUCE!$EA$55</f>
        <v>NORPONIN X03 (8102 TOP UP)</v>
      </c>
      <c r="PT2" s="573"/>
      <c r="PU2" s="573"/>
      <c r="PV2" s="573"/>
      <c r="PW2" s="573"/>
      <c r="PX2" s="573"/>
      <c r="PY2" s="574"/>
      <c r="PZ2" s="481"/>
      <c r="QB2" s="572" t="str">
        <f>PRODUCE!$EA$56</f>
        <v>8102 TOP UP (4KG)</v>
      </c>
      <c r="QC2" s="573"/>
      <c r="QD2" s="573"/>
      <c r="QE2" s="573"/>
      <c r="QF2" s="573"/>
      <c r="QG2" s="573"/>
      <c r="QH2" s="574"/>
      <c r="QI2" s="481">
        <v>56</v>
      </c>
      <c r="QK2" s="572" t="str">
        <f>PRODUCE!$EA$57</f>
        <v>8103 TOP UP (5KG)</v>
      </c>
      <c r="QL2" s="573"/>
      <c r="QM2" s="573"/>
      <c r="QN2" s="573"/>
      <c r="QO2" s="573"/>
      <c r="QP2" s="573"/>
      <c r="QQ2" s="574"/>
      <c r="QR2" s="481">
        <v>57</v>
      </c>
      <c r="QT2" s="572" t="str">
        <f>PRODUCE!$EA$58</f>
        <v>L-ARGININE</v>
      </c>
      <c r="QU2" s="573"/>
      <c r="QV2" s="573"/>
      <c r="QW2" s="573"/>
      <c r="QX2" s="573"/>
      <c r="QY2" s="573"/>
      <c r="QZ2" s="574"/>
      <c r="RA2" s="481">
        <v>58</v>
      </c>
      <c r="RC2" s="572" t="str">
        <f>PRODUCE!$EA$59</f>
        <v>DL-METHIONINE</v>
      </c>
      <c r="RD2" s="573"/>
      <c r="RE2" s="573"/>
      <c r="RF2" s="573"/>
      <c r="RG2" s="573"/>
      <c r="RH2" s="573"/>
      <c r="RI2" s="574"/>
      <c r="RJ2" s="481">
        <v>59</v>
      </c>
      <c r="RL2" s="572" t="str">
        <f>PRODUCE!$EA$60</f>
        <v>L-THREONINE</v>
      </c>
      <c r="RM2" s="573"/>
      <c r="RN2" s="573"/>
      <c r="RO2" s="573"/>
      <c r="RP2" s="573"/>
      <c r="RQ2" s="573"/>
      <c r="RR2" s="574"/>
      <c r="RS2" s="481">
        <v>60</v>
      </c>
      <c r="RU2" s="572" t="str">
        <f>PRODUCE!$EA$61</f>
        <v>L-LYSINE</v>
      </c>
      <c r="RV2" s="573"/>
      <c r="RW2" s="573"/>
      <c r="RX2" s="573"/>
      <c r="RY2" s="573"/>
      <c r="RZ2" s="573"/>
      <c r="SA2" s="574"/>
      <c r="SB2" s="481">
        <v>61</v>
      </c>
      <c r="SD2" s="572" t="str">
        <f>PRODUCE!$EA$62</f>
        <v>FAECES DRY</v>
      </c>
      <c r="SE2" s="573"/>
      <c r="SF2" s="573"/>
      <c r="SG2" s="573"/>
      <c r="SH2" s="573"/>
      <c r="SI2" s="573"/>
      <c r="SJ2" s="574"/>
      <c r="SK2" s="481">
        <v>62</v>
      </c>
      <c r="SM2" s="572" t="str">
        <f>PRODUCE!$EA$63</f>
        <v>ECOBIOL</v>
      </c>
      <c r="SN2" s="573"/>
      <c r="SO2" s="573"/>
      <c r="SP2" s="573"/>
      <c r="SQ2" s="573"/>
      <c r="SR2" s="573"/>
      <c r="SS2" s="574"/>
      <c r="ST2" s="481">
        <v>63</v>
      </c>
      <c r="SV2" s="572" t="str">
        <f>PRODUCE!$EA$64</f>
        <v>ADDITIVE BROILER IMMUNE</v>
      </c>
      <c r="SW2" s="573"/>
      <c r="SX2" s="573"/>
      <c r="SY2" s="573"/>
      <c r="SZ2" s="573"/>
      <c r="TA2" s="573"/>
      <c r="TB2" s="574"/>
      <c r="TC2" s="481">
        <v>64</v>
      </c>
      <c r="TE2" s="572" t="str">
        <f>PRODUCE!$EA$65</f>
        <v>MASTER CUBE (HARUMI)</v>
      </c>
      <c r="TF2" s="573"/>
      <c r="TG2" s="573"/>
      <c r="TH2" s="573"/>
      <c r="TI2" s="573"/>
      <c r="TJ2" s="573"/>
      <c r="TK2" s="574"/>
      <c r="TL2" s="481">
        <v>65</v>
      </c>
      <c r="TN2" s="572" t="str">
        <f>PRODUCE!$EA$66</f>
        <v>1101 TOP UP (0.40KG)</v>
      </c>
      <c r="TO2" s="573"/>
      <c r="TP2" s="573"/>
      <c r="TQ2" s="573"/>
      <c r="TR2" s="573"/>
      <c r="TS2" s="573"/>
      <c r="TT2" s="574"/>
      <c r="TU2" s="481">
        <v>66</v>
      </c>
      <c r="TW2" s="572" t="str">
        <f>PRODUCE!$EA$67</f>
        <v>1102 TOP UP (0.60KG)</v>
      </c>
      <c r="TX2" s="573"/>
      <c r="TY2" s="573"/>
      <c r="TZ2" s="573"/>
      <c r="UA2" s="573"/>
      <c r="UB2" s="573"/>
      <c r="UC2" s="574"/>
      <c r="UD2" s="481">
        <v>67</v>
      </c>
      <c r="UF2" s="572" t="str">
        <f>PRODUCE!$EA$68</f>
        <v>1103 TOP UP (2.00KG)</v>
      </c>
      <c r="UG2" s="573"/>
      <c r="UH2" s="573"/>
      <c r="UI2" s="573"/>
      <c r="UJ2" s="573"/>
      <c r="UK2" s="573"/>
      <c r="UL2" s="574"/>
      <c r="UM2" s="481">
        <v>68</v>
      </c>
      <c r="UO2" s="572" t="str">
        <f>PRODUCE!$EA$69</f>
        <v>QUANTUM GLO 4%</v>
      </c>
      <c r="UP2" s="573"/>
      <c r="UQ2" s="573"/>
      <c r="UR2" s="573"/>
      <c r="US2" s="573"/>
      <c r="UT2" s="573"/>
      <c r="UU2" s="574"/>
      <c r="UV2" s="481">
        <v>69</v>
      </c>
      <c r="UX2" s="572" t="str">
        <f>PRODUCE!$EA$70</f>
        <v>SALT</v>
      </c>
      <c r="UY2" s="573"/>
      <c r="UZ2" s="573"/>
      <c r="VA2" s="573"/>
      <c r="VB2" s="573"/>
      <c r="VC2" s="573"/>
      <c r="VD2" s="574"/>
      <c r="VE2" s="481">
        <v>70</v>
      </c>
      <c r="VG2" s="572" t="str">
        <f>PRODUCE!$EA$71</f>
        <v>OC 200 - OXYTET 20%</v>
      </c>
      <c r="VH2" s="573"/>
      <c r="VI2" s="573"/>
      <c r="VJ2" s="573"/>
      <c r="VK2" s="573"/>
      <c r="VL2" s="573"/>
      <c r="VM2" s="574"/>
      <c r="VN2" s="481">
        <v>71</v>
      </c>
      <c r="VP2" s="572">
        <f>PRODUCE!$EA$72</f>
        <v>3</v>
      </c>
      <c r="VQ2" s="573"/>
      <c r="VR2" s="573"/>
      <c r="VS2" s="573"/>
      <c r="VT2" s="573"/>
      <c r="VU2" s="573"/>
      <c r="VV2" s="574"/>
      <c r="VW2" s="481">
        <v>72</v>
      </c>
      <c r="VY2" s="572">
        <f>PRODUCE!$EA$73</f>
        <v>4</v>
      </c>
      <c r="VZ2" s="573"/>
      <c r="WA2" s="573"/>
      <c r="WB2" s="573"/>
      <c r="WC2" s="573"/>
      <c r="WD2" s="573"/>
      <c r="WE2" s="574"/>
      <c r="WF2" s="481">
        <v>73</v>
      </c>
      <c r="WH2" s="648" t="str">
        <f>PRODUCE!$EA$74</f>
        <v>WOVEN BAG (1101) - BLUE 50KG</v>
      </c>
      <c r="WI2" s="649"/>
      <c r="WJ2" s="649"/>
      <c r="WK2" s="649"/>
      <c r="WL2" s="649"/>
      <c r="WM2" s="649"/>
      <c r="WN2" s="650"/>
      <c r="WO2" s="481">
        <v>74</v>
      </c>
      <c r="WQ2" s="654" t="str">
        <f>PRODUCE!$EA$75</f>
        <v>WOVEN BAG (1102) - GREEN 50KG</v>
      </c>
      <c r="WR2" s="655"/>
      <c r="WS2" s="655"/>
      <c r="WT2" s="655"/>
      <c r="WU2" s="655"/>
      <c r="WV2" s="655"/>
      <c r="WW2" s="656"/>
      <c r="WX2" s="481">
        <v>75</v>
      </c>
      <c r="WZ2" s="651" t="str">
        <f>PRODUCE!$EA$76</f>
        <v>WOVEN BAG (1103) - RED 50KG</v>
      </c>
      <c r="XA2" s="652"/>
      <c r="XB2" s="652"/>
      <c r="XC2" s="652"/>
      <c r="XD2" s="652"/>
      <c r="XE2" s="652"/>
      <c r="XF2" s="653"/>
      <c r="XG2" s="481">
        <v>76</v>
      </c>
      <c r="XI2" s="572" t="str">
        <f>PRODUCE!$EA$77</f>
        <v>PLAIN BAG 26" X 39" (50KG)</v>
      </c>
      <c r="XJ2" s="573"/>
      <c r="XK2" s="573"/>
      <c r="XL2" s="573"/>
      <c r="XM2" s="573"/>
      <c r="XN2" s="573"/>
      <c r="XO2" s="574"/>
      <c r="XP2" s="481">
        <v>77</v>
      </c>
      <c r="XR2" s="584" t="str">
        <f>PRODUCE!$EA$78</f>
        <v>WOVEN BAG (8101) - KHAKI 50KG</v>
      </c>
      <c r="XS2" s="585"/>
      <c r="XT2" s="585"/>
      <c r="XU2" s="585"/>
      <c r="XV2" s="585"/>
      <c r="XW2" s="585"/>
      <c r="XX2" s="586"/>
      <c r="XY2" s="481">
        <v>78</v>
      </c>
      <c r="YA2" s="581" t="str">
        <f>PRODUCE!$EA$79</f>
        <v>WOVEN BAG (8102) - SKY BLUE 50KG</v>
      </c>
      <c r="YB2" s="582"/>
      <c r="YC2" s="582"/>
      <c r="YD2" s="582"/>
      <c r="YE2" s="582"/>
      <c r="YF2" s="582"/>
      <c r="YG2" s="583"/>
      <c r="YH2" s="481">
        <v>79</v>
      </c>
      <c r="YJ2" s="578" t="str">
        <f>PRODUCE!$EA$80</f>
        <v>WOVEN BAG (8103) - BROWN 50KG</v>
      </c>
      <c r="YK2" s="579"/>
      <c r="YL2" s="579"/>
      <c r="YM2" s="579"/>
      <c r="YN2" s="579"/>
      <c r="YO2" s="579"/>
      <c r="YP2" s="580"/>
      <c r="YQ2" s="481">
        <v>80</v>
      </c>
      <c r="YS2" s="572">
        <f>PRODUCE!$EA$81</f>
        <v>1</v>
      </c>
      <c r="YT2" s="573"/>
      <c r="YU2" s="573"/>
      <c r="YV2" s="573"/>
      <c r="YW2" s="573"/>
      <c r="YX2" s="573"/>
      <c r="YY2" s="574"/>
      <c r="YZ2" s="481">
        <v>81</v>
      </c>
      <c r="ZB2" s="572">
        <f>PRODUCE!$EA$82</f>
        <v>2</v>
      </c>
      <c r="ZC2" s="573"/>
      <c r="ZD2" s="573"/>
      <c r="ZE2" s="573"/>
      <c r="ZF2" s="573"/>
      <c r="ZG2" s="573"/>
      <c r="ZH2" s="574"/>
      <c r="ZI2" s="481">
        <v>82</v>
      </c>
      <c r="ZK2" s="572">
        <f>PRODUCE!$EA$83</f>
        <v>3</v>
      </c>
      <c r="ZL2" s="573"/>
      <c r="ZM2" s="573"/>
      <c r="ZN2" s="573"/>
      <c r="ZO2" s="573"/>
      <c r="ZP2" s="573"/>
      <c r="ZQ2" s="574"/>
      <c r="ZR2" s="481">
        <v>83</v>
      </c>
      <c r="ZT2" s="572">
        <f>PRODUCE!$EA$84</f>
        <v>4</v>
      </c>
      <c r="ZU2" s="573"/>
      <c r="ZV2" s="573"/>
      <c r="ZW2" s="573"/>
      <c r="ZX2" s="573"/>
      <c r="ZY2" s="573"/>
      <c r="ZZ2" s="574"/>
      <c r="AAA2" s="481">
        <v>84</v>
      </c>
      <c r="AAC2" s="572">
        <f>PRODUCE!$EA$85</f>
        <v>5</v>
      </c>
      <c r="AAD2" s="573"/>
      <c r="AAE2" s="573"/>
      <c r="AAF2" s="573"/>
      <c r="AAG2" s="573"/>
      <c r="AAH2" s="573"/>
      <c r="AAI2" s="574"/>
      <c r="AAJ2" s="481">
        <v>85</v>
      </c>
      <c r="AAL2" s="572">
        <f>PRODUCE!$EA$86</f>
        <v>6</v>
      </c>
      <c r="AAM2" s="573"/>
      <c r="AAN2" s="573"/>
      <c r="AAO2" s="573"/>
      <c r="AAP2" s="573"/>
      <c r="AAQ2" s="573"/>
      <c r="AAR2" s="574"/>
      <c r="AAS2" s="481">
        <v>86</v>
      </c>
      <c r="AAU2" s="572">
        <f>PRODUCE!$EA$87</f>
        <v>7</v>
      </c>
      <c r="AAV2" s="573"/>
      <c r="AAW2" s="573"/>
      <c r="AAX2" s="573"/>
      <c r="AAY2" s="573"/>
      <c r="AAZ2" s="573"/>
      <c r="ABA2" s="574"/>
      <c r="ABB2" s="481">
        <v>87</v>
      </c>
      <c r="ABD2" s="572">
        <f>PRODUCE!$EA$88</f>
        <v>8</v>
      </c>
      <c r="ABE2" s="573"/>
      <c r="ABF2" s="573"/>
      <c r="ABG2" s="573"/>
      <c r="ABH2" s="573"/>
      <c r="ABI2" s="573"/>
      <c r="ABJ2" s="574"/>
      <c r="ABK2" s="481">
        <v>88</v>
      </c>
    </row>
    <row r="3" spans="1:740" ht="14.45" thickBot="1">
      <c r="A3" s="22" t="s">
        <v>163</v>
      </c>
      <c r="C3" s="589" t="s">
        <v>140</v>
      </c>
      <c r="D3" s="590"/>
      <c r="E3" s="590"/>
      <c r="F3" s="590"/>
      <c r="G3" s="590"/>
      <c r="H3" s="591"/>
      <c r="I3" s="321"/>
      <c r="J3" s="22" t="s">
        <v>163</v>
      </c>
      <c r="K3" s="23"/>
      <c r="L3" s="589" t="s">
        <v>140</v>
      </c>
      <c r="M3" s="590"/>
      <c r="N3" s="590"/>
      <c r="O3" s="590"/>
      <c r="P3" s="590"/>
      <c r="Q3" s="591"/>
      <c r="R3" s="24"/>
      <c r="S3" s="22" t="s">
        <v>163</v>
      </c>
      <c r="T3" s="23"/>
      <c r="U3" s="569" t="s">
        <v>140</v>
      </c>
      <c r="V3" s="570"/>
      <c r="W3" s="570"/>
      <c r="X3" s="570"/>
      <c r="Y3" s="570"/>
      <c r="Z3" s="571"/>
      <c r="AA3" s="24"/>
      <c r="AB3" s="22" t="s">
        <v>163</v>
      </c>
      <c r="AD3" s="569" t="s">
        <v>140</v>
      </c>
      <c r="AE3" s="570"/>
      <c r="AF3" s="570"/>
      <c r="AG3" s="570"/>
      <c r="AH3" s="570"/>
      <c r="AI3" s="571"/>
      <c r="AJ3" s="24"/>
      <c r="AK3" s="22" t="s">
        <v>163</v>
      </c>
      <c r="AM3" s="569" t="s">
        <v>140</v>
      </c>
      <c r="AN3" s="570"/>
      <c r="AO3" s="570"/>
      <c r="AP3" s="570"/>
      <c r="AQ3" s="570"/>
      <c r="AR3" s="571"/>
      <c r="AS3" s="24"/>
      <c r="AT3" s="22" t="s">
        <v>163</v>
      </c>
      <c r="AV3" s="569" t="s">
        <v>140</v>
      </c>
      <c r="AW3" s="570"/>
      <c r="AX3" s="570"/>
      <c r="AY3" s="570"/>
      <c r="AZ3" s="570"/>
      <c r="BA3" s="571"/>
      <c r="BB3" s="24"/>
      <c r="BC3" s="22" t="s">
        <v>163</v>
      </c>
      <c r="BE3" s="569" t="s">
        <v>140</v>
      </c>
      <c r="BF3" s="570"/>
      <c r="BG3" s="570"/>
      <c r="BH3" s="570"/>
      <c r="BI3" s="570"/>
      <c r="BJ3" s="571"/>
      <c r="BK3" s="24"/>
      <c r="BL3" s="22" t="s">
        <v>163</v>
      </c>
      <c r="BN3" s="569" t="s">
        <v>140</v>
      </c>
      <c r="BO3" s="570"/>
      <c r="BP3" s="570"/>
      <c r="BQ3" s="570"/>
      <c r="BR3" s="570"/>
      <c r="BS3" s="571"/>
      <c r="BT3" s="24"/>
      <c r="BU3" s="22" t="s">
        <v>163</v>
      </c>
      <c r="BW3" s="569" t="s">
        <v>140</v>
      </c>
      <c r="BX3" s="570"/>
      <c r="BY3" s="570"/>
      <c r="BZ3" s="570"/>
      <c r="CA3" s="570"/>
      <c r="CB3" s="571"/>
      <c r="CC3" s="24"/>
      <c r="CD3" s="22" t="s">
        <v>163</v>
      </c>
      <c r="CF3" s="569" t="s">
        <v>140</v>
      </c>
      <c r="CG3" s="570"/>
      <c r="CH3" s="570"/>
      <c r="CI3" s="570"/>
      <c r="CJ3" s="570"/>
      <c r="CK3" s="571"/>
      <c r="CL3" s="24"/>
      <c r="CM3" s="22" t="s">
        <v>163</v>
      </c>
      <c r="CO3" s="569" t="s">
        <v>140</v>
      </c>
      <c r="CP3" s="570"/>
      <c r="CQ3" s="570"/>
      <c r="CR3" s="570"/>
      <c r="CS3" s="570"/>
      <c r="CT3" s="571"/>
      <c r="CU3" s="24"/>
      <c r="CV3" s="22" t="s">
        <v>163</v>
      </c>
      <c r="CX3" s="569" t="s">
        <v>140</v>
      </c>
      <c r="CY3" s="570"/>
      <c r="CZ3" s="570"/>
      <c r="DA3" s="570"/>
      <c r="DB3" s="570"/>
      <c r="DC3" s="571"/>
      <c r="DD3" s="24"/>
      <c r="DE3" s="22" t="s">
        <v>163</v>
      </c>
      <c r="DG3" s="569" t="s">
        <v>140</v>
      </c>
      <c r="DH3" s="570"/>
      <c r="DI3" s="570"/>
      <c r="DJ3" s="570"/>
      <c r="DK3" s="570"/>
      <c r="DL3" s="571"/>
      <c r="DM3" s="24"/>
      <c r="DN3" s="22" t="s">
        <v>163</v>
      </c>
      <c r="DP3" s="569" t="s">
        <v>140</v>
      </c>
      <c r="DQ3" s="570"/>
      <c r="DR3" s="570"/>
      <c r="DS3" s="570"/>
      <c r="DT3" s="570"/>
      <c r="DU3" s="571"/>
      <c r="DV3" s="24"/>
      <c r="DW3" s="22" t="s">
        <v>163</v>
      </c>
      <c r="DY3" s="569" t="s">
        <v>140</v>
      </c>
      <c r="DZ3" s="570"/>
      <c r="EA3" s="570"/>
      <c r="EB3" s="570"/>
      <c r="EC3" s="570"/>
      <c r="ED3" s="571"/>
      <c r="EE3" s="24"/>
      <c r="EF3" s="22" t="s">
        <v>163</v>
      </c>
      <c r="EH3" s="569" t="s">
        <v>140</v>
      </c>
      <c r="EI3" s="570"/>
      <c r="EJ3" s="570"/>
      <c r="EK3" s="570"/>
      <c r="EL3" s="570"/>
      <c r="EM3" s="571"/>
      <c r="EN3" s="24"/>
      <c r="EO3" s="22" t="s">
        <v>163</v>
      </c>
      <c r="EQ3" s="569" t="s">
        <v>140</v>
      </c>
      <c r="ER3" s="570"/>
      <c r="ES3" s="570"/>
      <c r="ET3" s="570"/>
      <c r="EU3" s="570"/>
      <c r="EV3" s="571"/>
      <c r="EW3" s="24"/>
      <c r="EX3" s="22" t="s">
        <v>163</v>
      </c>
      <c r="EZ3" s="569" t="s">
        <v>140</v>
      </c>
      <c r="FA3" s="570"/>
      <c r="FB3" s="570"/>
      <c r="FC3" s="570"/>
      <c r="FD3" s="570"/>
      <c r="FE3" s="571"/>
      <c r="FF3" s="24"/>
      <c r="FG3" s="22" t="s">
        <v>163</v>
      </c>
      <c r="FI3" s="569" t="s">
        <v>140</v>
      </c>
      <c r="FJ3" s="570"/>
      <c r="FK3" s="570"/>
      <c r="FL3" s="570"/>
      <c r="FM3" s="570"/>
      <c r="FN3" s="571"/>
      <c r="FO3" s="24"/>
      <c r="FP3" s="22" t="s">
        <v>163</v>
      </c>
      <c r="FR3" s="569" t="s">
        <v>140</v>
      </c>
      <c r="FS3" s="570"/>
      <c r="FT3" s="570"/>
      <c r="FU3" s="570"/>
      <c r="FV3" s="570"/>
      <c r="FW3" s="571"/>
      <c r="FX3" s="24"/>
      <c r="FY3" s="22" t="s">
        <v>163</v>
      </c>
      <c r="GA3" s="569" t="s">
        <v>140</v>
      </c>
      <c r="GB3" s="570"/>
      <c r="GC3" s="570"/>
      <c r="GD3" s="570"/>
      <c r="GE3" s="570"/>
      <c r="GF3" s="571"/>
      <c r="GG3" s="24"/>
      <c r="GH3" s="22" t="s">
        <v>163</v>
      </c>
      <c r="GJ3" s="569" t="s">
        <v>140</v>
      </c>
      <c r="GK3" s="570"/>
      <c r="GL3" s="570"/>
      <c r="GM3" s="570"/>
      <c r="GN3" s="570"/>
      <c r="GO3" s="571"/>
      <c r="GP3" s="24"/>
      <c r="GQ3" s="22" t="s">
        <v>163</v>
      </c>
      <c r="GS3" s="569" t="s">
        <v>140</v>
      </c>
      <c r="GT3" s="570"/>
      <c r="GU3" s="570"/>
      <c r="GV3" s="570"/>
      <c r="GW3" s="570"/>
      <c r="GX3" s="571"/>
      <c r="GY3" s="24"/>
      <c r="GZ3" s="22" t="s">
        <v>163</v>
      </c>
      <c r="HB3" s="569" t="s">
        <v>140</v>
      </c>
      <c r="HC3" s="570"/>
      <c r="HD3" s="570"/>
      <c r="HE3" s="570"/>
      <c r="HF3" s="570"/>
      <c r="HG3" s="571"/>
      <c r="HH3" s="24"/>
      <c r="HI3" s="22" t="s">
        <v>163</v>
      </c>
      <c r="HK3" s="569" t="s">
        <v>140</v>
      </c>
      <c r="HL3" s="570"/>
      <c r="HM3" s="570"/>
      <c r="HN3" s="570"/>
      <c r="HO3" s="570"/>
      <c r="HP3" s="571"/>
      <c r="HQ3" s="24"/>
      <c r="HS3" s="22" t="s">
        <v>163</v>
      </c>
      <c r="HU3" s="575" t="s">
        <v>140</v>
      </c>
      <c r="HV3" s="576"/>
      <c r="HW3" s="576"/>
      <c r="HX3" s="576"/>
      <c r="HY3" s="576"/>
      <c r="HZ3" s="577"/>
      <c r="IA3" s="24"/>
      <c r="IB3" s="22" t="s">
        <v>163</v>
      </c>
      <c r="ID3" s="575" t="s">
        <v>140</v>
      </c>
      <c r="IE3" s="576"/>
      <c r="IF3" s="576"/>
      <c r="IG3" s="576"/>
      <c r="IH3" s="576"/>
      <c r="II3" s="577"/>
      <c r="IJ3" s="24"/>
      <c r="IK3" s="22" t="s">
        <v>163</v>
      </c>
      <c r="IM3" s="575" t="s">
        <v>140</v>
      </c>
      <c r="IN3" s="576"/>
      <c r="IO3" s="576"/>
      <c r="IP3" s="576"/>
      <c r="IQ3" s="576"/>
      <c r="IR3" s="577"/>
      <c r="IS3" s="24"/>
      <c r="IT3" s="22" t="s">
        <v>163</v>
      </c>
      <c r="IV3" s="575" t="s">
        <v>140</v>
      </c>
      <c r="IW3" s="576"/>
      <c r="IX3" s="576"/>
      <c r="IY3" s="576"/>
      <c r="IZ3" s="576"/>
      <c r="JA3" s="577"/>
      <c r="JB3" s="24"/>
      <c r="JC3" s="22" t="s">
        <v>163</v>
      </c>
      <c r="JE3" s="575" t="s">
        <v>140</v>
      </c>
      <c r="JF3" s="576"/>
      <c r="JG3" s="576"/>
      <c r="JH3" s="576"/>
      <c r="JI3" s="576"/>
      <c r="JJ3" s="577"/>
      <c r="JK3" s="24"/>
      <c r="JL3" s="22" t="s">
        <v>163</v>
      </c>
      <c r="JN3" s="575" t="s">
        <v>140</v>
      </c>
      <c r="JO3" s="576"/>
      <c r="JP3" s="576"/>
      <c r="JQ3" s="576"/>
      <c r="JR3" s="576"/>
      <c r="JS3" s="577"/>
      <c r="JT3" s="24"/>
      <c r="JU3" s="22" t="s">
        <v>163</v>
      </c>
      <c r="JW3" s="575" t="s">
        <v>140</v>
      </c>
      <c r="JX3" s="576"/>
      <c r="JY3" s="576"/>
      <c r="JZ3" s="576"/>
      <c r="KA3" s="576"/>
      <c r="KB3" s="577"/>
      <c r="KC3" s="24"/>
      <c r="KD3" s="22" t="s">
        <v>163</v>
      </c>
      <c r="KF3" s="575" t="s">
        <v>140</v>
      </c>
      <c r="KG3" s="576"/>
      <c r="KH3" s="576"/>
      <c r="KI3" s="576"/>
      <c r="KJ3" s="576"/>
      <c r="KK3" s="577"/>
      <c r="KL3" s="24"/>
      <c r="KM3" s="22" t="s">
        <v>163</v>
      </c>
      <c r="KO3" s="575" t="s">
        <v>140</v>
      </c>
      <c r="KP3" s="576"/>
      <c r="KQ3" s="576"/>
      <c r="KR3" s="576"/>
      <c r="KS3" s="576"/>
      <c r="KT3" s="577"/>
      <c r="KU3" s="24"/>
      <c r="KV3" s="22" t="s">
        <v>163</v>
      </c>
      <c r="KX3" s="575" t="s">
        <v>140</v>
      </c>
      <c r="KY3" s="576"/>
      <c r="KZ3" s="576"/>
      <c r="LA3" s="576"/>
      <c r="LB3" s="576"/>
      <c r="LC3" s="577"/>
      <c r="LD3" s="24"/>
      <c r="LE3" s="22" t="s">
        <v>163</v>
      </c>
      <c r="LG3" s="575" t="s">
        <v>140</v>
      </c>
      <c r="LH3" s="576"/>
      <c r="LI3" s="576"/>
      <c r="LJ3" s="576"/>
      <c r="LK3" s="576"/>
      <c r="LL3" s="577"/>
      <c r="LM3" s="24"/>
      <c r="LN3" s="22" t="s">
        <v>163</v>
      </c>
      <c r="LP3" s="575" t="s">
        <v>140</v>
      </c>
      <c r="LQ3" s="576"/>
      <c r="LR3" s="576"/>
      <c r="LS3" s="576"/>
      <c r="LT3" s="576"/>
      <c r="LU3" s="577"/>
      <c r="LV3" s="24"/>
      <c r="LW3" s="22" t="s">
        <v>163</v>
      </c>
      <c r="LY3" s="575" t="s">
        <v>140</v>
      </c>
      <c r="LZ3" s="576"/>
      <c r="MA3" s="576"/>
      <c r="MB3" s="576"/>
      <c r="MC3" s="576"/>
      <c r="MD3" s="577"/>
      <c r="ME3" s="24"/>
      <c r="MF3" s="22" t="s">
        <v>163</v>
      </c>
      <c r="MH3" s="575" t="s">
        <v>140</v>
      </c>
      <c r="MI3" s="576"/>
      <c r="MJ3" s="576"/>
      <c r="MK3" s="576"/>
      <c r="ML3" s="576"/>
      <c r="MM3" s="577"/>
      <c r="MN3" s="24"/>
      <c r="MO3" s="22" t="s">
        <v>163</v>
      </c>
      <c r="MQ3" s="575" t="s">
        <v>140</v>
      </c>
      <c r="MR3" s="576"/>
      <c r="MS3" s="576"/>
      <c r="MT3" s="576"/>
      <c r="MU3" s="576"/>
      <c r="MV3" s="577"/>
      <c r="MW3" s="24"/>
      <c r="MX3" s="22" t="s">
        <v>163</v>
      </c>
      <c r="MZ3" s="575" t="s">
        <v>140</v>
      </c>
      <c r="NA3" s="576"/>
      <c r="NB3" s="576"/>
      <c r="NC3" s="576"/>
      <c r="ND3" s="576"/>
      <c r="NE3" s="577"/>
      <c r="NF3" s="24"/>
      <c r="NG3" s="22" t="s">
        <v>163</v>
      </c>
      <c r="NI3" s="575" t="s">
        <v>140</v>
      </c>
      <c r="NJ3" s="576"/>
      <c r="NK3" s="576"/>
      <c r="NL3" s="576"/>
      <c r="NM3" s="576"/>
      <c r="NN3" s="577"/>
      <c r="NO3" s="24"/>
      <c r="NP3" s="22" t="s">
        <v>163</v>
      </c>
      <c r="NR3" s="575" t="s">
        <v>140</v>
      </c>
      <c r="NS3" s="576"/>
      <c r="NT3" s="576"/>
      <c r="NU3" s="576"/>
      <c r="NV3" s="576"/>
      <c r="NW3" s="577"/>
      <c r="NX3" s="24"/>
      <c r="NY3" s="22" t="s">
        <v>163</v>
      </c>
      <c r="OA3" s="589" t="s">
        <v>140</v>
      </c>
      <c r="OB3" s="590"/>
      <c r="OC3" s="590"/>
      <c r="OD3" s="590"/>
      <c r="OE3" s="590"/>
      <c r="OF3" s="591"/>
      <c r="OG3" s="24"/>
      <c r="OH3" s="22" t="s">
        <v>163</v>
      </c>
      <c r="OJ3" s="589" t="s">
        <v>140</v>
      </c>
      <c r="OK3" s="590"/>
      <c r="OL3" s="590"/>
      <c r="OM3" s="590"/>
      <c r="ON3" s="590"/>
      <c r="OO3" s="591"/>
      <c r="OP3" s="24"/>
      <c r="OQ3" s="22" t="s">
        <v>163</v>
      </c>
      <c r="OS3" s="589" t="s">
        <v>140</v>
      </c>
      <c r="OT3" s="590"/>
      <c r="OU3" s="590"/>
      <c r="OV3" s="590"/>
      <c r="OW3" s="590"/>
      <c r="OX3" s="591"/>
      <c r="OY3" s="24"/>
      <c r="OZ3" s="22" t="s">
        <v>163</v>
      </c>
      <c r="PB3" s="575" t="s">
        <v>140</v>
      </c>
      <c r="PC3" s="576"/>
      <c r="PD3" s="576"/>
      <c r="PE3" s="576"/>
      <c r="PF3" s="576"/>
      <c r="PG3" s="577"/>
      <c r="PH3" s="24"/>
      <c r="PI3" s="22" t="s">
        <v>163</v>
      </c>
      <c r="PK3" s="575" t="s">
        <v>140</v>
      </c>
      <c r="PL3" s="576"/>
      <c r="PM3" s="576"/>
      <c r="PN3" s="576"/>
      <c r="PO3" s="576"/>
      <c r="PP3" s="577"/>
      <c r="PQ3" s="24"/>
      <c r="PR3" s="22" t="s">
        <v>163</v>
      </c>
      <c r="PT3" s="575" t="s">
        <v>140</v>
      </c>
      <c r="PU3" s="576"/>
      <c r="PV3" s="576"/>
      <c r="PW3" s="576"/>
      <c r="PX3" s="576"/>
      <c r="PY3" s="577"/>
      <c r="PZ3" s="24"/>
      <c r="QA3" s="22" t="s">
        <v>163</v>
      </c>
      <c r="QC3" s="575" t="s">
        <v>140</v>
      </c>
      <c r="QD3" s="576"/>
      <c r="QE3" s="576"/>
      <c r="QF3" s="576"/>
      <c r="QG3" s="576"/>
      <c r="QH3" s="577"/>
      <c r="QI3" s="24"/>
      <c r="QJ3" s="22" t="s">
        <v>163</v>
      </c>
      <c r="QL3" s="575" t="s">
        <v>140</v>
      </c>
      <c r="QM3" s="576"/>
      <c r="QN3" s="576"/>
      <c r="QO3" s="576"/>
      <c r="QP3" s="576"/>
      <c r="QQ3" s="577"/>
      <c r="QR3" s="24"/>
      <c r="QS3" s="22" t="s">
        <v>163</v>
      </c>
      <c r="QU3" s="575" t="s">
        <v>140</v>
      </c>
      <c r="QV3" s="576"/>
      <c r="QW3" s="576"/>
      <c r="QX3" s="576"/>
      <c r="QY3" s="576"/>
      <c r="QZ3" s="577"/>
      <c r="RA3" s="24"/>
      <c r="RB3" s="22" t="s">
        <v>163</v>
      </c>
      <c r="RD3" s="575" t="s">
        <v>140</v>
      </c>
      <c r="RE3" s="576"/>
      <c r="RF3" s="576"/>
      <c r="RG3" s="576"/>
      <c r="RH3" s="576"/>
      <c r="RI3" s="577"/>
      <c r="RJ3" s="24"/>
      <c r="RK3" s="22" t="s">
        <v>163</v>
      </c>
      <c r="RM3" s="575" t="s">
        <v>140</v>
      </c>
      <c r="RN3" s="576"/>
      <c r="RO3" s="576"/>
      <c r="RP3" s="576"/>
      <c r="RQ3" s="576"/>
      <c r="RR3" s="577"/>
      <c r="RS3" s="24"/>
      <c r="RT3" s="22" t="s">
        <v>163</v>
      </c>
      <c r="RV3" s="575" t="s">
        <v>140</v>
      </c>
      <c r="RW3" s="576"/>
      <c r="RX3" s="576"/>
      <c r="RY3" s="576"/>
      <c r="RZ3" s="576"/>
      <c r="SA3" s="577"/>
      <c r="SB3" s="24"/>
      <c r="SC3" s="22" t="s">
        <v>163</v>
      </c>
      <c r="SE3" s="575" t="s">
        <v>140</v>
      </c>
      <c r="SF3" s="576"/>
      <c r="SG3" s="576"/>
      <c r="SH3" s="576"/>
      <c r="SI3" s="576"/>
      <c r="SJ3" s="577"/>
      <c r="SK3" s="24"/>
      <c r="SL3" s="22" t="s">
        <v>163</v>
      </c>
      <c r="SN3" s="575" t="s">
        <v>140</v>
      </c>
      <c r="SO3" s="576"/>
      <c r="SP3" s="576"/>
      <c r="SQ3" s="576"/>
      <c r="SR3" s="576"/>
      <c r="SS3" s="577"/>
      <c r="ST3" s="24"/>
      <c r="SU3" s="22" t="s">
        <v>163</v>
      </c>
      <c r="SW3" s="575" t="s">
        <v>140</v>
      </c>
      <c r="SX3" s="576"/>
      <c r="SY3" s="576"/>
      <c r="SZ3" s="576"/>
      <c r="TA3" s="576"/>
      <c r="TB3" s="577"/>
      <c r="TC3" s="24"/>
      <c r="TD3" s="22" t="s">
        <v>163</v>
      </c>
      <c r="TF3" s="575" t="s">
        <v>140</v>
      </c>
      <c r="TG3" s="576"/>
      <c r="TH3" s="576"/>
      <c r="TI3" s="576"/>
      <c r="TJ3" s="576"/>
      <c r="TK3" s="577"/>
      <c r="TL3" s="24"/>
      <c r="TM3" s="22" t="s">
        <v>163</v>
      </c>
      <c r="TO3" s="575" t="s">
        <v>140</v>
      </c>
      <c r="TP3" s="576"/>
      <c r="TQ3" s="576"/>
      <c r="TR3" s="576"/>
      <c r="TS3" s="576"/>
      <c r="TT3" s="577"/>
      <c r="TU3" s="24"/>
      <c r="TV3" s="22" t="s">
        <v>163</v>
      </c>
      <c r="TX3" s="575" t="s">
        <v>140</v>
      </c>
      <c r="TY3" s="576"/>
      <c r="TZ3" s="576"/>
      <c r="UA3" s="576"/>
      <c r="UB3" s="576"/>
      <c r="UC3" s="577"/>
      <c r="UD3" s="24"/>
      <c r="UE3" s="22" t="s">
        <v>163</v>
      </c>
      <c r="UG3" s="575" t="s">
        <v>140</v>
      </c>
      <c r="UH3" s="576"/>
      <c r="UI3" s="576"/>
      <c r="UJ3" s="576"/>
      <c r="UK3" s="576"/>
      <c r="UL3" s="577"/>
      <c r="UM3" s="24"/>
      <c r="UN3" s="22" t="s">
        <v>163</v>
      </c>
      <c r="UP3" s="575" t="s">
        <v>140</v>
      </c>
      <c r="UQ3" s="576"/>
      <c r="UR3" s="576"/>
      <c r="US3" s="576"/>
      <c r="UT3" s="576"/>
      <c r="UU3" s="577"/>
      <c r="UV3" s="24"/>
      <c r="UW3" s="22" t="s">
        <v>163</v>
      </c>
      <c r="UY3" s="575" t="s">
        <v>140</v>
      </c>
      <c r="UZ3" s="576"/>
      <c r="VA3" s="576"/>
      <c r="VB3" s="576"/>
      <c r="VC3" s="576"/>
      <c r="VD3" s="577"/>
      <c r="VE3" s="24"/>
      <c r="VF3" s="22" t="s">
        <v>163</v>
      </c>
      <c r="VH3" s="575" t="s">
        <v>140</v>
      </c>
      <c r="VI3" s="576"/>
      <c r="VJ3" s="576"/>
      <c r="VK3" s="576"/>
      <c r="VL3" s="576"/>
      <c r="VM3" s="577"/>
      <c r="VN3" s="24"/>
      <c r="VO3" s="22" t="s">
        <v>163</v>
      </c>
      <c r="VQ3" s="575" t="s">
        <v>140</v>
      </c>
      <c r="VR3" s="576"/>
      <c r="VS3" s="576"/>
      <c r="VT3" s="576"/>
      <c r="VU3" s="576"/>
      <c r="VV3" s="577"/>
      <c r="VW3" s="24"/>
      <c r="VX3" s="22" t="s">
        <v>163</v>
      </c>
      <c r="VZ3" s="575" t="s">
        <v>140</v>
      </c>
      <c r="WA3" s="576"/>
      <c r="WB3" s="576"/>
      <c r="WC3" s="576"/>
      <c r="WD3" s="576"/>
      <c r="WE3" s="577"/>
      <c r="WF3" s="24"/>
      <c r="WG3" s="22" t="s">
        <v>163</v>
      </c>
      <c r="WI3" s="575" t="s">
        <v>140</v>
      </c>
      <c r="WJ3" s="576"/>
      <c r="WK3" s="576"/>
      <c r="WL3" s="576"/>
      <c r="WM3" s="576"/>
      <c r="WN3" s="577"/>
      <c r="WO3" s="24"/>
      <c r="WP3" s="22" t="s">
        <v>163</v>
      </c>
      <c r="WR3" s="575" t="s">
        <v>140</v>
      </c>
      <c r="WS3" s="576"/>
      <c r="WT3" s="576"/>
      <c r="WU3" s="576"/>
      <c r="WV3" s="576"/>
      <c r="WW3" s="577"/>
      <c r="WX3" s="24"/>
      <c r="WY3" s="22" t="s">
        <v>163</v>
      </c>
      <c r="XA3" s="575" t="s">
        <v>140</v>
      </c>
      <c r="XB3" s="576"/>
      <c r="XC3" s="576"/>
      <c r="XD3" s="576"/>
      <c r="XE3" s="576"/>
      <c r="XF3" s="577"/>
      <c r="XG3" s="24"/>
      <c r="XH3" s="22" t="s">
        <v>163</v>
      </c>
      <c r="XJ3" s="575" t="s">
        <v>140</v>
      </c>
      <c r="XK3" s="576"/>
      <c r="XL3" s="576"/>
      <c r="XM3" s="576"/>
      <c r="XN3" s="576"/>
      <c r="XO3" s="577"/>
      <c r="XP3" s="24"/>
      <c r="XQ3" s="22" t="s">
        <v>163</v>
      </c>
      <c r="XS3" s="575" t="s">
        <v>140</v>
      </c>
      <c r="XT3" s="576"/>
      <c r="XU3" s="576"/>
      <c r="XV3" s="576"/>
      <c r="XW3" s="576"/>
      <c r="XX3" s="577"/>
      <c r="XY3" s="24"/>
      <c r="XZ3" s="22" t="s">
        <v>163</v>
      </c>
      <c r="YB3" s="575" t="s">
        <v>140</v>
      </c>
      <c r="YC3" s="576"/>
      <c r="YD3" s="576"/>
      <c r="YE3" s="576"/>
      <c r="YF3" s="576"/>
      <c r="YG3" s="577"/>
      <c r="YH3" s="24"/>
      <c r="YI3" s="22" t="s">
        <v>163</v>
      </c>
      <c r="YK3" s="575" t="s">
        <v>140</v>
      </c>
      <c r="YL3" s="576"/>
      <c r="YM3" s="576"/>
      <c r="YN3" s="576"/>
      <c r="YO3" s="576"/>
      <c r="YP3" s="577"/>
      <c r="YQ3" s="24"/>
      <c r="YR3" s="22" t="s">
        <v>163</v>
      </c>
      <c r="YT3" s="575" t="s">
        <v>140</v>
      </c>
      <c r="YU3" s="576"/>
      <c r="YV3" s="576"/>
      <c r="YW3" s="576"/>
      <c r="YX3" s="576"/>
      <c r="YY3" s="577"/>
      <c r="YZ3" s="24"/>
      <c r="ZA3" s="22" t="s">
        <v>163</v>
      </c>
      <c r="ZC3" s="575" t="s">
        <v>140</v>
      </c>
      <c r="ZD3" s="576"/>
      <c r="ZE3" s="576"/>
      <c r="ZF3" s="576"/>
      <c r="ZG3" s="576"/>
      <c r="ZH3" s="577"/>
      <c r="ZI3" s="24"/>
      <c r="ZJ3" s="22" t="s">
        <v>163</v>
      </c>
      <c r="ZL3" s="575" t="s">
        <v>140</v>
      </c>
      <c r="ZM3" s="576"/>
      <c r="ZN3" s="576"/>
      <c r="ZO3" s="576"/>
      <c r="ZP3" s="576"/>
      <c r="ZQ3" s="577"/>
      <c r="ZR3" s="24"/>
      <c r="ZS3" s="22" t="s">
        <v>163</v>
      </c>
      <c r="ZU3" s="575" t="s">
        <v>140</v>
      </c>
      <c r="ZV3" s="576"/>
      <c r="ZW3" s="576"/>
      <c r="ZX3" s="576"/>
      <c r="ZY3" s="576"/>
      <c r="ZZ3" s="577"/>
      <c r="AAA3" s="24"/>
      <c r="AAB3" s="22" t="s">
        <v>163</v>
      </c>
      <c r="AAD3" s="575" t="s">
        <v>140</v>
      </c>
      <c r="AAE3" s="576"/>
      <c r="AAF3" s="576"/>
      <c r="AAG3" s="576"/>
      <c r="AAH3" s="576"/>
      <c r="AAI3" s="577"/>
      <c r="AAJ3" s="24"/>
      <c r="AAK3" s="22" t="s">
        <v>163</v>
      </c>
      <c r="AAM3" s="575" t="s">
        <v>140</v>
      </c>
      <c r="AAN3" s="576"/>
      <c r="AAO3" s="576"/>
      <c r="AAP3" s="576"/>
      <c r="AAQ3" s="576"/>
      <c r="AAR3" s="577"/>
      <c r="AAS3" s="24"/>
      <c r="AAT3" s="22" t="s">
        <v>163</v>
      </c>
      <c r="AAV3" s="575" t="s">
        <v>140</v>
      </c>
      <c r="AAW3" s="576"/>
      <c r="AAX3" s="576"/>
      <c r="AAY3" s="576"/>
      <c r="AAZ3" s="576"/>
      <c r="ABA3" s="577"/>
      <c r="ABB3" s="24"/>
      <c r="ABC3" s="22" t="s">
        <v>163</v>
      </c>
      <c r="ABE3" s="575" t="s">
        <v>140</v>
      </c>
      <c r="ABF3" s="576"/>
      <c r="ABG3" s="576"/>
      <c r="ABH3" s="576"/>
      <c r="ABI3" s="576"/>
      <c r="ABJ3" s="577"/>
      <c r="ABK3" s="24"/>
      <c r="ABL3" s="22" t="s">
        <v>163</v>
      </c>
    </row>
    <row r="4" spans="1:740" ht="14.45" thickBot="1">
      <c r="C4" s="25" t="s">
        <v>164</v>
      </c>
      <c r="D4" s="26" t="s">
        <v>165</v>
      </c>
      <c r="E4" s="27" t="s">
        <v>166</v>
      </c>
      <c r="F4" s="26" t="s">
        <v>167</v>
      </c>
      <c r="G4" s="27" t="s">
        <v>168</v>
      </c>
      <c r="H4" s="28" t="s">
        <v>169</v>
      </c>
      <c r="I4" s="322" t="s">
        <v>170</v>
      </c>
      <c r="L4" s="25" t="s">
        <v>164</v>
      </c>
      <c r="M4" s="26" t="s">
        <v>165</v>
      </c>
      <c r="N4" s="31" t="s">
        <v>166</v>
      </c>
      <c r="O4" s="26" t="s">
        <v>167</v>
      </c>
      <c r="P4" s="31" t="s">
        <v>168</v>
      </c>
      <c r="Q4" s="32" t="s">
        <v>169</v>
      </c>
      <c r="R4" s="29" t="s">
        <v>170</v>
      </c>
      <c r="U4" s="25" t="s">
        <v>164</v>
      </c>
      <c r="V4" s="26" t="s">
        <v>165</v>
      </c>
      <c r="W4" s="33" t="s">
        <v>166</v>
      </c>
      <c r="X4" s="26" t="s">
        <v>167</v>
      </c>
      <c r="Y4" s="33" t="s">
        <v>168</v>
      </c>
      <c r="Z4" s="34" t="s">
        <v>169</v>
      </c>
      <c r="AA4" s="29" t="s">
        <v>170</v>
      </c>
      <c r="AD4" s="25" t="s">
        <v>164</v>
      </c>
      <c r="AE4" s="26" t="s">
        <v>165</v>
      </c>
      <c r="AF4" s="35" t="s">
        <v>166</v>
      </c>
      <c r="AG4" s="26" t="s">
        <v>167</v>
      </c>
      <c r="AH4" s="35" t="s">
        <v>168</v>
      </c>
      <c r="AI4" s="36" t="s">
        <v>169</v>
      </c>
      <c r="AJ4" s="29" t="s">
        <v>170</v>
      </c>
      <c r="AM4" s="25" t="s">
        <v>164</v>
      </c>
      <c r="AN4" s="26" t="s">
        <v>165</v>
      </c>
      <c r="AO4" s="37" t="s">
        <v>166</v>
      </c>
      <c r="AP4" s="26" t="s">
        <v>167</v>
      </c>
      <c r="AQ4" s="37" t="s">
        <v>168</v>
      </c>
      <c r="AR4" s="38" t="s">
        <v>169</v>
      </c>
      <c r="AS4" s="29" t="s">
        <v>170</v>
      </c>
      <c r="AV4" s="25" t="s">
        <v>164</v>
      </c>
      <c r="AW4" s="26" t="s">
        <v>165</v>
      </c>
      <c r="AX4" s="39" t="s">
        <v>166</v>
      </c>
      <c r="AY4" s="26" t="s">
        <v>167</v>
      </c>
      <c r="AZ4" s="39" t="s">
        <v>168</v>
      </c>
      <c r="BA4" s="40" t="s">
        <v>169</v>
      </c>
      <c r="BB4" s="29" t="s">
        <v>170</v>
      </c>
      <c r="BE4" s="25" t="s">
        <v>164</v>
      </c>
      <c r="BF4" s="26" t="s">
        <v>165</v>
      </c>
      <c r="BG4" s="41" t="s">
        <v>166</v>
      </c>
      <c r="BH4" s="26" t="s">
        <v>167</v>
      </c>
      <c r="BI4" s="41" t="s">
        <v>168</v>
      </c>
      <c r="BJ4" s="42" t="s">
        <v>169</v>
      </c>
      <c r="BK4" s="29" t="s">
        <v>170</v>
      </c>
      <c r="BN4" s="25" t="s">
        <v>164</v>
      </c>
      <c r="BO4" s="26" t="s">
        <v>165</v>
      </c>
      <c r="BP4" s="43" t="s">
        <v>166</v>
      </c>
      <c r="BQ4" s="26" t="s">
        <v>167</v>
      </c>
      <c r="BR4" s="43" t="s">
        <v>168</v>
      </c>
      <c r="BS4" s="44" t="s">
        <v>169</v>
      </c>
      <c r="BT4" s="29" t="s">
        <v>170</v>
      </c>
      <c r="BW4" s="25" t="s">
        <v>164</v>
      </c>
      <c r="BX4" s="26" t="s">
        <v>165</v>
      </c>
      <c r="BY4" s="45" t="s">
        <v>166</v>
      </c>
      <c r="BZ4" s="26" t="s">
        <v>167</v>
      </c>
      <c r="CA4" s="45" t="s">
        <v>168</v>
      </c>
      <c r="CB4" s="46" t="s">
        <v>169</v>
      </c>
      <c r="CC4" s="29" t="s">
        <v>170</v>
      </c>
      <c r="CF4" s="25" t="s">
        <v>164</v>
      </c>
      <c r="CG4" s="26" t="s">
        <v>165</v>
      </c>
      <c r="CH4" s="47" t="s">
        <v>166</v>
      </c>
      <c r="CI4" s="26" t="s">
        <v>167</v>
      </c>
      <c r="CJ4" s="47" t="s">
        <v>168</v>
      </c>
      <c r="CK4" s="48" t="s">
        <v>169</v>
      </c>
      <c r="CL4" s="29" t="s">
        <v>170</v>
      </c>
      <c r="CO4" s="30" t="s">
        <v>164</v>
      </c>
      <c r="CP4" s="26" t="s">
        <v>165</v>
      </c>
      <c r="CQ4" s="129" t="s">
        <v>166</v>
      </c>
      <c r="CR4" s="26" t="s">
        <v>167</v>
      </c>
      <c r="CS4" s="129" t="s">
        <v>168</v>
      </c>
      <c r="CT4" s="130" t="s">
        <v>169</v>
      </c>
      <c r="CU4" s="29" t="s">
        <v>170</v>
      </c>
      <c r="CX4" s="30" t="s">
        <v>164</v>
      </c>
      <c r="CY4" s="26" t="s">
        <v>165</v>
      </c>
      <c r="CZ4" s="132" t="s">
        <v>166</v>
      </c>
      <c r="DA4" s="26" t="s">
        <v>167</v>
      </c>
      <c r="DB4" s="132" t="s">
        <v>168</v>
      </c>
      <c r="DC4" s="134" t="s">
        <v>169</v>
      </c>
      <c r="DD4" s="29" t="s">
        <v>170</v>
      </c>
      <c r="DG4" s="30" t="s">
        <v>164</v>
      </c>
      <c r="DH4" s="26" t="s">
        <v>165</v>
      </c>
      <c r="DI4" s="146" t="s">
        <v>166</v>
      </c>
      <c r="DJ4" s="26" t="s">
        <v>167</v>
      </c>
      <c r="DK4" s="146" t="s">
        <v>168</v>
      </c>
      <c r="DL4" s="153" t="s">
        <v>169</v>
      </c>
      <c r="DM4" s="29" t="s">
        <v>170</v>
      </c>
      <c r="DP4" s="30" t="s">
        <v>164</v>
      </c>
      <c r="DQ4" s="26" t="s">
        <v>165</v>
      </c>
      <c r="DR4" s="139" t="s">
        <v>166</v>
      </c>
      <c r="DS4" s="26" t="s">
        <v>167</v>
      </c>
      <c r="DT4" s="27" t="s">
        <v>168</v>
      </c>
      <c r="DU4" s="28" t="s">
        <v>169</v>
      </c>
      <c r="DV4" s="29" t="s">
        <v>170</v>
      </c>
      <c r="DY4" s="30" t="s">
        <v>164</v>
      </c>
      <c r="DZ4" s="26" t="s">
        <v>165</v>
      </c>
      <c r="EA4" s="156" t="s">
        <v>166</v>
      </c>
      <c r="EB4" s="26" t="s">
        <v>167</v>
      </c>
      <c r="EC4" s="156" t="s">
        <v>168</v>
      </c>
      <c r="ED4" s="158" t="s">
        <v>169</v>
      </c>
      <c r="EE4" s="29" t="s">
        <v>170</v>
      </c>
      <c r="EH4" s="30" t="s">
        <v>164</v>
      </c>
      <c r="EI4" s="26" t="s">
        <v>165</v>
      </c>
      <c r="EJ4" s="161" t="s">
        <v>166</v>
      </c>
      <c r="EK4" s="26" t="s">
        <v>167</v>
      </c>
      <c r="EL4" s="161" t="s">
        <v>168</v>
      </c>
      <c r="EM4" s="163" t="s">
        <v>169</v>
      </c>
      <c r="EN4" s="29" t="s">
        <v>170</v>
      </c>
      <c r="EQ4" s="30" t="s">
        <v>164</v>
      </c>
      <c r="ER4" s="26" t="s">
        <v>165</v>
      </c>
      <c r="ES4" s="168" t="s">
        <v>166</v>
      </c>
      <c r="ET4" s="26" t="s">
        <v>167</v>
      </c>
      <c r="EU4" s="168" t="s">
        <v>168</v>
      </c>
      <c r="EV4" s="170" t="s">
        <v>169</v>
      </c>
      <c r="EW4" s="29" t="s">
        <v>170</v>
      </c>
      <c r="EZ4" s="30" t="s">
        <v>164</v>
      </c>
      <c r="FA4" s="26" t="s">
        <v>165</v>
      </c>
      <c r="FB4" s="176" t="s">
        <v>166</v>
      </c>
      <c r="FC4" s="26" t="s">
        <v>167</v>
      </c>
      <c r="FD4" s="176" t="s">
        <v>168</v>
      </c>
      <c r="FE4" s="177" t="s">
        <v>169</v>
      </c>
      <c r="FF4" s="29" t="s">
        <v>170</v>
      </c>
      <c r="FI4" s="30" t="s">
        <v>164</v>
      </c>
      <c r="FJ4" s="26" t="s">
        <v>165</v>
      </c>
      <c r="FK4" s="181" t="s">
        <v>166</v>
      </c>
      <c r="FL4" s="26" t="s">
        <v>167</v>
      </c>
      <c r="FM4" s="181" t="s">
        <v>168</v>
      </c>
      <c r="FN4" s="182" t="s">
        <v>169</v>
      </c>
      <c r="FO4" s="29" t="s">
        <v>170</v>
      </c>
      <c r="FR4" s="30" t="s">
        <v>164</v>
      </c>
      <c r="FS4" s="26" t="s">
        <v>165</v>
      </c>
      <c r="FT4" s="185" t="s">
        <v>166</v>
      </c>
      <c r="FU4" s="26" t="s">
        <v>167</v>
      </c>
      <c r="FV4" s="185" t="s">
        <v>168</v>
      </c>
      <c r="FW4" s="187" t="s">
        <v>169</v>
      </c>
      <c r="FX4" s="29" t="s">
        <v>170</v>
      </c>
      <c r="GA4" s="30" t="s">
        <v>164</v>
      </c>
      <c r="GB4" s="26" t="s">
        <v>165</v>
      </c>
      <c r="GC4" s="128" t="s">
        <v>166</v>
      </c>
      <c r="GD4" s="26" t="s">
        <v>167</v>
      </c>
      <c r="GE4" s="128" t="s">
        <v>168</v>
      </c>
      <c r="GF4" s="200" t="s">
        <v>169</v>
      </c>
      <c r="GG4" s="29" t="s">
        <v>170</v>
      </c>
      <c r="GJ4" s="30" t="s">
        <v>164</v>
      </c>
      <c r="GK4" s="26" t="s">
        <v>165</v>
      </c>
      <c r="GL4" s="197" t="s">
        <v>166</v>
      </c>
      <c r="GM4" s="26" t="s">
        <v>167</v>
      </c>
      <c r="GN4" s="197" t="s">
        <v>168</v>
      </c>
      <c r="GO4" s="198" t="s">
        <v>169</v>
      </c>
      <c r="GP4" s="29" t="s">
        <v>170</v>
      </c>
      <c r="GS4" s="30" t="s">
        <v>164</v>
      </c>
      <c r="GT4" s="26" t="s">
        <v>165</v>
      </c>
      <c r="GU4" s="193" t="s">
        <v>166</v>
      </c>
      <c r="GV4" s="26" t="s">
        <v>167</v>
      </c>
      <c r="GW4" s="193" t="s">
        <v>168</v>
      </c>
      <c r="GX4" s="194" t="s">
        <v>169</v>
      </c>
      <c r="GY4" s="29" t="s">
        <v>170</v>
      </c>
      <c r="HB4" s="30" t="s">
        <v>164</v>
      </c>
      <c r="HC4" s="26" t="s">
        <v>165</v>
      </c>
      <c r="HD4" s="189" t="s">
        <v>166</v>
      </c>
      <c r="HE4" s="26" t="s">
        <v>167</v>
      </c>
      <c r="HF4" s="189" t="s">
        <v>168</v>
      </c>
      <c r="HG4" s="190" t="s">
        <v>169</v>
      </c>
      <c r="HH4" s="29" t="s">
        <v>170</v>
      </c>
      <c r="HK4" s="30" t="s">
        <v>164</v>
      </c>
      <c r="HL4" s="26" t="s">
        <v>165</v>
      </c>
      <c r="HM4" s="41" t="s">
        <v>166</v>
      </c>
      <c r="HN4" s="26" t="s">
        <v>167</v>
      </c>
      <c r="HO4" s="41" t="s">
        <v>168</v>
      </c>
      <c r="HP4" s="42" t="s">
        <v>169</v>
      </c>
      <c r="HQ4" s="29" t="s">
        <v>170</v>
      </c>
      <c r="HU4" s="30" t="s">
        <v>164</v>
      </c>
      <c r="HV4" s="26" t="s">
        <v>165</v>
      </c>
      <c r="HW4" s="241" t="s">
        <v>166</v>
      </c>
      <c r="HX4" s="26" t="s">
        <v>167</v>
      </c>
      <c r="HY4" s="241" t="s">
        <v>168</v>
      </c>
      <c r="HZ4" s="243" t="s">
        <v>169</v>
      </c>
      <c r="IA4" s="29" t="s">
        <v>170</v>
      </c>
      <c r="ID4" s="30" t="s">
        <v>164</v>
      </c>
      <c r="IE4" s="26" t="s">
        <v>165</v>
      </c>
      <c r="IF4" s="241" t="s">
        <v>166</v>
      </c>
      <c r="IG4" s="26" t="s">
        <v>167</v>
      </c>
      <c r="IH4" s="241" t="s">
        <v>168</v>
      </c>
      <c r="II4" s="243" t="s">
        <v>169</v>
      </c>
      <c r="IJ4" s="29" t="s">
        <v>170</v>
      </c>
      <c r="IM4" s="30" t="s">
        <v>164</v>
      </c>
      <c r="IN4" s="26" t="s">
        <v>165</v>
      </c>
      <c r="IO4" s="241" t="s">
        <v>166</v>
      </c>
      <c r="IP4" s="26" t="s">
        <v>167</v>
      </c>
      <c r="IQ4" s="241" t="s">
        <v>168</v>
      </c>
      <c r="IR4" s="243" t="s">
        <v>169</v>
      </c>
      <c r="IS4" s="29" t="s">
        <v>170</v>
      </c>
      <c r="IV4" s="30" t="s">
        <v>164</v>
      </c>
      <c r="IW4" s="26" t="s">
        <v>165</v>
      </c>
      <c r="IX4" s="241" t="s">
        <v>166</v>
      </c>
      <c r="IY4" s="26" t="s">
        <v>167</v>
      </c>
      <c r="IZ4" s="241" t="s">
        <v>168</v>
      </c>
      <c r="JA4" s="243" t="s">
        <v>169</v>
      </c>
      <c r="JB4" s="29" t="s">
        <v>170</v>
      </c>
      <c r="JE4" s="30" t="s">
        <v>164</v>
      </c>
      <c r="JF4" s="26" t="s">
        <v>165</v>
      </c>
      <c r="JG4" s="241" t="s">
        <v>166</v>
      </c>
      <c r="JH4" s="26" t="s">
        <v>167</v>
      </c>
      <c r="JI4" s="241" t="s">
        <v>168</v>
      </c>
      <c r="JJ4" s="243" t="s">
        <v>169</v>
      </c>
      <c r="JK4" s="29" t="s">
        <v>170</v>
      </c>
      <c r="JN4" s="30" t="s">
        <v>164</v>
      </c>
      <c r="JO4" s="26" t="s">
        <v>165</v>
      </c>
      <c r="JP4" s="241" t="s">
        <v>166</v>
      </c>
      <c r="JQ4" s="26" t="s">
        <v>167</v>
      </c>
      <c r="JR4" s="241" t="s">
        <v>168</v>
      </c>
      <c r="JS4" s="243" t="s">
        <v>169</v>
      </c>
      <c r="JT4" s="29" t="s">
        <v>170</v>
      </c>
      <c r="JW4" s="30" t="s">
        <v>164</v>
      </c>
      <c r="JX4" s="26" t="s">
        <v>165</v>
      </c>
      <c r="JY4" s="241" t="s">
        <v>166</v>
      </c>
      <c r="JZ4" s="26" t="s">
        <v>167</v>
      </c>
      <c r="KA4" s="241" t="s">
        <v>168</v>
      </c>
      <c r="KB4" s="243" t="s">
        <v>169</v>
      </c>
      <c r="KC4" s="29" t="s">
        <v>170</v>
      </c>
      <c r="KF4" s="30" t="s">
        <v>164</v>
      </c>
      <c r="KG4" s="26" t="s">
        <v>165</v>
      </c>
      <c r="KH4" s="241" t="s">
        <v>166</v>
      </c>
      <c r="KI4" s="26" t="s">
        <v>167</v>
      </c>
      <c r="KJ4" s="241" t="s">
        <v>168</v>
      </c>
      <c r="KK4" s="243" t="s">
        <v>169</v>
      </c>
      <c r="KL4" s="29" t="s">
        <v>170</v>
      </c>
      <c r="KO4" s="30" t="s">
        <v>164</v>
      </c>
      <c r="KP4" s="26" t="s">
        <v>165</v>
      </c>
      <c r="KQ4" s="241" t="s">
        <v>166</v>
      </c>
      <c r="KR4" s="26" t="s">
        <v>167</v>
      </c>
      <c r="KS4" s="241" t="s">
        <v>168</v>
      </c>
      <c r="KT4" s="243" t="s">
        <v>169</v>
      </c>
      <c r="KU4" s="29" t="s">
        <v>170</v>
      </c>
      <c r="KX4" s="30" t="s">
        <v>164</v>
      </c>
      <c r="KY4" s="26" t="s">
        <v>165</v>
      </c>
      <c r="KZ4" s="241" t="s">
        <v>166</v>
      </c>
      <c r="LA4" s="26" t="s">
        <v>167</v>
      </c>
      <c r="LB4" s="241" t="s">
        <v>168</v>
      </c>
      <c r="LC4" s="243" t="s">
        <v>169</v>
      </c>
      <c r="LD4" s="29" t="s">
        <v>170</v>
      </c>
      <c r="LG4" s="30" t="s">
        <v>164</v>
      </c>
      <c r="LH4" s="26" t="s">
        <v>165</v>
      </c>
      <c r="LI4" s="241" t="s">
        <v>166</v>
      </c>
      <c r="LJ4" s="26" t="s">
        <v>167</v>
      </c>
      <c r="LK4" s="241" t="s">
        <v>168</v>
      </c>
      <c r="LL4" s="243" t="s">
        <v>169</v>
      </c>
      <c r="LM4" s="29" t="s">
        <v>170</v>
      </c>
      <c r="LP4" s="30" t="s">
        <v>164</v>
      </c>
      <c r="LQ4" s="26" t="s">
        <v>165</v>
      </c>
      <c r="LR4" s="241" t="s">
        <v>166</v>
      </c>
      <c r="LS4" s="26" t="s">
        <v>167</v>
      </c>
      <c r="LT4" s="241" t="s">
        <v>168</v>
      </c>
      <c r="LU4" s="243" t="s">
        <v>169</v>
      </c>
      <c r="LV4" s="29" t="s">
        <v>170</v>
      </c>
      <c r="LY4" s="30" t="s">
        <v>164</v>
      </c>
      <c r="LZ4" s="26" t="s">
        <v>165</v>
      </c>
      <c r="MA4" s="241" t="s">
        <v>166</v>
      </c>
      <c r="MB4" s="26" t="s">
        <v>167</v>
      </c>
      <c r="MC4" s="241" t="s">
        <v>168</v>
      </c>
      <c r="MD4" s="243" t="s">
        <v>169</v>
      </c>
      <c r="ME4" s="29" t="s">
        <v>170</v>
      </c>
      <c r="MH4" s="30" t="s">
        <v>164</v>
      </c>
      <c r="MI4" s="26" t="s">
        <v>165</v>
      </c>
      <c r="MJ4" s="241" t="s">
        <v>166</v>
      </c>
      <c r="MK4" s="26" t="s">
        <v>167</v>
      </c>
      <c r="ML4" s="241" t="s">
        <v>168</v>
      </c>
      <c r="MM4" s="243" t="s">
        <v>169</v>
      </c>
      <c r="MN4" s="29" t="s">
        <v>170</v>
      </c>
      <c r="MQ4" s="30" t="s">
        <v>164</v>
      </c>
      <c r="MR4" s="26" t="s">
        <v>165</v>
      </c>
      <c r="MS4" s="241" t="s">
        <v>166</v>
      </c>
      <c r="MT4" s="26" t="s">
        <v>167</v>
      </c>
      <c r="MU4" s="241" t="s">
        <v>168</v>
      </c>
      <c r="MV4" s="243" t="s">
        <v>169</v>
      </c>
      <c r="MW4" s="29" t="s">
        <v>170</v>
      </c>
      <c r="MZ4" s="30" t="s">
        <v>164</v>
      </c>
      <c r="NA4" s="26" t="s">
        <v>165</v>
      </c>
      <c r="NB4" s="241" t="s">
        <v>166</v>
      </c>
      <c r="NC4" s="26" t="s">
        <v>167</v>
      </c>
      <c r="ND4" s="241" t="s">
        <v>168</v>
      </c>
      <c r="NE4" s="243" t="s">
        <v>169</v>
      </c>
      <c r="NF4" s="29" t="s">
        <v>170</v>
      </c>
      <c r="NI4" s="30" t="s">
        <v>164</v>
      </c>
      <c r="NJ4" s="26" t="s">
        <v>165</v>
      </c>
      <c r="NK4" s="241" t="s">
        <v>166</v>
      </c>
      <c r="NL4" s="26" t="s">
        <v>167</v>
      </c>
      <c r="NM4" s="241" t="s">
        <v>168</v>
      </c>
      <c r="NN4" s="243" t="s">
        <v>169</v>
      </c>
      <c r="NO4" s="29" t="s">
        <v>170</v>
      </c>
      <c r="NR4" s="30" t="s">
        <v>164</v>
      </c>
      <c r="NS4" s="26" t="s">
        <v>165</v>
      </c>
      <c r="NT4" s="241" t="s">
        <v>166</v>
      </c>
      <c r="NU4" s="26" t="s">
        <v>167</v>
      </c>
      <c r="NV4" s="241" t="s">
        <v>168</v>
      </c>
      <c r="NW4" s="243" t="s">
        <v>169</v>
      </c>
      <c r="NX4" s="29" t="s">
        <v>170</v>
      </c>
      <c r="OA4" s="30" t="s">
        <v>164</v>
      </c>
      <c r="OB4" s="26" t="s">
        <v>165</v>
      </c>
      <c r="OC4" s="241" t="s">
        <v>166</v>
      </c>
      <c r="OD4" s="26" t="s">
        <v>167</v>
      </c>
      <c r="OE4" s="241" t="s">
        <v>168</v>
      </c>
      <c r="OF4" s="243" t="s">
        <v>169</v>
      </c>
      <c r="OG4" s="29" t="s">
        <v>170</v>
      </c>
      <c r="OJ4" s="30" t="s">
        <v>164</v>
      </c>
      <c r="OK4" s="26" t="s">
        <v>165</v>
      </c>
      <c r="OL4" s="241" t="s">
        <v>166</v>
      </c>
      <c r="OM4" s="26" t="s">
        <v>167</v>
      </c>
      <c r="ON4" s="241" t="s">
        <v>168</v>
      </c>
      <c r="OO4" s="243" t="s">
        <v>169</v>
      </c>
      <c r="OP4" s="29" t="s">
        <v>170</v>
      </c>
      <c r="OS4" s="30" t="s">
        <v>164</v>
      </c>
      <c r="OT4" s="26" t="s">
        <v>165</v>
      </c>
      <c r="OU4" s="241" t="s">
        <v>166</v>
      </c>
      <c r="OV4" s="26" t="s">
        <v>167</v>
      </c>
      <c r="OW4" s="241" t="s">
        <v>168</v>
      </c>
      <c r="OX4" s="243" t="s">
        <v>169</v>
      </c>
      <c r="OY4" s="29" t="s">
        <v>170</v>
      </c>
      <c r="PB4" s="30" t="s">
        <v>164</v>
      </c>
      <c r="PC4" s="26" t="s">
        <v>165</v>
      </c>
      <c r="PD4" s="241" t="s">
        <v>166</v>
      </c>
      <c r="PE4" s="26" t="s">
        <v>167</v>
      </c>
      <c r="PF4" s="241" t="s">
        <v>168</v>
      </c>
      <c r="PG4" s="243" t="s">
        <v>169</v>
      </c>
      <c r="PH4" s="29" t="s">
        <v>170</v>
      </c>
      <c r="PK4" s="30" t="s">
        <v>164</v>
      </c>
      <c r="PL4" s="26" t="s">
        <v>165</v>
      </c>
      <c r="PM4" s="241" t="s">
        <v>166</v>
      </c>
      <c r="PN4" s="26" t="s">
        <v>167</v>
      </c>
      <c r="PO4" s="241" t="s">
        <v>168</v>
      </c>
      <c r="PP4" s="243" t="s">
        <v>169</v>
      </c>
      <c r="PQ4" s="29" t="s">
        <v>170</v>
      </c>
      <c r="PT4" s="30" t="s">
        <v>164</v>
      </c>
      <c r="PU4" s="26" t="s">
        <v>165</v>
      </c>
      <c r="PV4" s="241" t="s">
        <v>166</v>
      </c>
      <c r="PW4" s="26" t="s">
        <v>167</v>
      </c>
      <c r="PX4" s="241" t="s">
        <v>168</v>
      </c>
      <c r="PY4" s="243" t="s">
        <v>169</v>
      </c>
      <c r="PZ4" s="29" t="s">
        <v>170</v>
      </c>
      <c r="QC4" s="30" t="s">
        <v>164</v>
      </c>
      <c r="QD4" s="26" t="s">
        <v>165</v>
      </c>
      <c r="QE4" s="241" t="s">
        <v>166</v>
      </c>
      <c r="QF4" s="26" t="s">
        <v>167</v>
      </c>
      <c r="QG4" s="241" t="s">
        <v>168</v>
      </c>
      <c r="QH4" s="243" t="s">
        <v>169</v>
      </c>
      <c r="QI4" s="29" t="s">
        <v>170</v>
      </c>
      <c r="QL4" s="30" t="s">
        <v>164</v>
      </c>
      <c r="QM4" s="26" t="s">
        <v>165</v>
      </c>
      <c r="QN4" s="241" t="s">
        <v>166</v>
      </c>
      <c r="QO4" s="26" t="s">
        <v>167</v>
      </c>
      <c r="QP4" s="241" t="s">
        <v>168</v>
      </c>
      <c r="QQ4" s="243" t="s">
        <v>169</v>
      </c>
      <c r="QR4" s="29" t="s">
        <v>170</v>
      </c>
      <c r="QU4" s="30" t="s">
        <v>164</v>
      </c>
      <c r="QV4" s="26" t="s">
        <v>165</v>
      </c>
      <c r="QW4" s="241" t="s">
        <v>166</v>
      </c>
      <c r="QX4" s="26" t="s">
        <v>167</v>
      </c>
      <c r="QY4" s="241" t="s">
        <v>168</v>
      </c>
      <c r="QZ4" s="243" t="s">
        <v>169</v>
      </c>
      <c r="RA4" s="29" t="s">
        <v>170</v>
      </c>
      <c r="RD4" s="30" t="s">
        <v>164</v>
      </c>
      <c r="RE4" s="26" t="s">
        <v>165</v>
      </c>
      <c r="RF4" s="241" t="s">
        <v>166</v>
      </c>
      <c r="RG4" s="26" t="s">
        <v>167</v>
      </c>
      <c r="RH4" s="241" t="s">
        <v>168</v>
      </c>
      <c r="RI4" s="243" t="s">
        <v>169</v>
      </c>
      <c r="RJ4" s="29" t="s">
        <v>170</v>
      </c>
      <c r="RM4" s="30" t="s">
        <v>164</v>
      </c>
      <c r="RN4" s="26" t="s">
        <v>165</v>
      </c>
      <c r="RO4" s="241" t="s">
        <v>166</v>
      </c>
      <c r="RP4" s="26" t="s">
        <v>167</v>
      </c>
      <c r="RQ4" s="241" t="s">
        <v>168</v>
      </c>
      <c r="RR4" s="243" t="s">
        <v>169</v>
      </c>
      <c r="RS4" s="29" t="s">
        <v>170</v>
      </c>
      <c r="RV4" s="30" t="s">
        <v>164</v>
      </c>
      <c r="RW4" s="26" t="s">
        <v>165</v>
      </c>
      <c r="RX4" s="241" t="s">
        <v>166</v>
      </c>
      <c r="RY4" s="26" t="s">
        <v>167</v>
      </c>
      <c r="RZ4" s="241" t="s">
        <v>168</v>
      </c>
      <c r="SA4" s="243" t="s">
        <v>169</v>
      </c>
      <c r="SB4" s="29" t="s">
        <v>170</v>
      </c>
      <c r="SE4" s="30" t="s">
        <v>164</v>
      </c>
      <c r="SF4" s="26" t="s">
        <v>165</v>
      </c>
      <c r="SG4" s="241" t="s">
        <v>166</v>
      </c>
      <c r="SH4" s="26" t="s">
        <v>167</v>
      </c>
      <c r="SI4" s="241" t="s">
        <v>168</v>
      </c>
      <c r="SJ4" s="243" t="s">
        <v>169</v>
      </c>
      <c r="SK4" s="29" t="s">
        <v>170</v>
      </c>
      <c r="SN4" s="30" t="s">
        <v>164</v>
      </c>
      <c r="SO4" s="26" t="s">
        <v>165</v>
      </c>
      <c r="SP4" s="241" t="s">
        <v>166</v>
      </c>
      <c r="SQ4" s="26" t="s">
        <v>167</v>
      </c>
      <c r="SR4" s="241" t="s">
        <v>168</v>
      </c>
      <c r="SS4" s="243" t="s">
        <v>169</v>
      </c>
      <c r="ST4" s="29" t="s">
        <v>170</v>
      </c>
      <c r="SW4" s="30" t="s">
        <v>164</v>
      </c>
      <c r="SX4" s="26" t="s">
        <v>165</v>
      </c>
      <c r="SY4" s="241" t="s">
        <v>166</v>
      </c>
      <c r="SZ4" s="26" t="s">
        <v>167</v>
      </c>
      <c r="TA4" s="241" t="s">
        <v>168</v>
      </c>
      <c r="TB4" s="243" t="s">
        <v>169</v>
      </c>
      <c r="TC4" s="29" t="s">
        <v>170</v>
      </c>
      <c r="TF4" s="30" t="s">
        <v>164</v>
      </c>
      <c r="TG4" s="26" t="s">
        <v>165</v>
      </c>
      <c r="TH4" s="241" t="s">
        <v>166</v>
      </c>
      <c r="TI4" s="26" t="s">
        <v>167</v>
      </c>
      <c r="TJ4" s="241" t="s">
        <v>168</v>
      </c>
      <c r="TK4" s="243" t="s">
        <v>169</v>
      </c>
      <c r="TL4" s="29" t="s">
        <v>170</v>
      </c>
      <c r="TO4" s="30" t="s">
        <v>164</v>
      </c>
      <c r="TP4" s="26" t="s">
        <v>165</v>
      </c>
      <c r="TQ4" s="241" t="s">
        <v>166</v>
      </c>
      <c r="TR4" s="26" t="s">
        <v>167</v>
      </c>
      <c r="TS4" s="241" t="s">
        <v>168</v>
      </c>
      <c r="TT4" s="243" t="s">
        <v>169</v>
      </c>
      <c r="TU4" s="29" t="s">
        <v>170</v>
      </c>
      <c r="TX4" s="30" t="s">
        <v>164</v>
      </c>
      <c r="TY4" s="26" t="s">
        <v>165</v>
      </c>
      <c r="TZ4" s="241" t="s">
        <v>166</v>
      </c>
      <c r="UA4" s="26" t="s">
        <v>167</v>
      </c>
      <c r="UB4" s="241" t="s">
        <v>168</v>
      </c>
      <c r="UC4" s="243" t="s">
        <v>169</v>
      </c>
      <c r="UD4" s="29" t="s">
        <v>170</v>
      </c>
      <c r="UG4" s="30" t="s">
        <v>164</v>
      </c>
      <c r="UH4" s="26" t="s">
        <v>165</v>
      </c>
      <c r="UI4" s="241" t="s">
        <v>166</v>
      </c>
      <c r="UJ4" s="26" t="s">
        <v>167</v>
      </c>
      <c r="UK4" s="241" t="s">
        <v>168</v>
      </c>
      <c r="UL4" s="243" t="s">
        <v>169</v>
      </c>
      <c r="UM4" s="29" t="s">
        <v>170</v>
      </c>
      <c r="UP4" s="30" t="s">
        <v>164</v>
      </c>
      <c r="UQ4" s="26" t="s">
        <v>165</v>
      </c>
      <c r="UR4" s="241" t="s">
        <v>166</v>
      </c>
      <c r="US4" s="26" t="s">
        <v>167</v>
      </c>
      <c r="UT4" s="241" t="s">
        <v>168</v>
      </c>
      <c r="UU4" s="243" t="s">
        <v>169</v>
      </c>
      <c r="UV4" s="29" t="s">
        <v>170</v>
      </c>
      <c r="UY4" s="30" t="s">
        <v>164</v>
      </c>
      <c r="UZ4" s="26" t="s">
        <v>165</v>
      </c>
      <c r="VA4" s="241" t="s">
        <v>166</v>
      </c>
      <c r="VB4" s="26" t="s">
        <v>167</v>
      </c>
      <c r="VC4" s="241" t="s">
        <v>168</v>
      </c>
      <c r="VD4" s="243" t="s">
        <v>169</v>
      </c>
      <c r="VE4" s="29" t="s">
        <v>170</v>
      </c>
      <c r="VH4" s="30" t="s">
        <v>164</v>
      </c>
      <c r="VI4" s="26" t="s">
        <v>165</v>
      </c>
      <c r="VJ4" s="241" t="s">
        <v>166</v>
      </c>
      <c r="VK4" s="26" t="s">
        <v>167</v>
      </c>
      <c r="VL4" s="241" t="s">
        <v>168</v>
      </c>
      <c r="VM4" s="243" t="s">
        <v>169</v>
      </c>
      <c r="VN4" s="29" t="s">
        <v>170</v>
      </c>
      <c r="VQ4" s="30" t="s">
        <v>164</v>
      </c>
      <c r="VR4" s="26" t="s">
        <v>165</v>
      </c>
      <c r="VS4" s="241" t="s">
        <v>166</v>
      </c>
      <c r="VT4" s="26" t="s">
        <v>167</v>
      </c>
      <c r="VU4" s="241" t="s">
        <v>168</v>
      </c>
      <c r="VV4" s="243" t="s">
        <v>169</v>
      </c>
      <c r="VW4" s="29" t="s">
        <v>170</v>
      </c>
      <c r="VZ4" s="30" t="s">
        <v>164</v>
      </c>
      <c r="WA4" s="26" t="s">
        <v>165</v>
      </c>
      <c r="WB4" s="241" t="s">
        <v>166</v>
      </c>
      <c r="WC4" s="26" t="s">
        <v>167</v>
      </c>
      <c r="WD4" s="241" t="s">
        <v>168</v>
      </c>
      <c r="WE4" s="243" t="s">
        <v>169</v>
      </c>
      <c r="WF4" s="29" t="s">
        <v>170</v>
      </c>
      <c r="WI4" s="30" t="s">
        <v>164</v>
      </c>
      <c r="WJ4" s="26" t="s">
        <v>165</v>
      </c>
      <c r="WK4" s="241" t="s">
        <v>166</v>
      </c>
      <c r="WL4" s="26" t="s">
        <v>167</v>
      </c>
      <c r="WM4" s="241" t="s">
        <v>168</v>
      </c>
      <c r="WN4" s="243" t="s">
        <v>169</v>
      </c>
      <c r="WO4" s="29" t="s">
        <v>170</v>
      </c>
      <c r="WR4" s="30" t="s">
        <v>164</v>
      </c>
      <c r="WS4" s="26" t="s">
        <v>165</v>
      </c>
      <c r="WT4" s="241" t="s">
        <v>166</v>
      </c>
      <c r="WU4" s="26" t="s">
        <v>167</v>
      </c>
      <c r="WV4" s="241" t="s">
        <v>168</v>
      </c>
      <c r="WW4" s="243" t="s">
        <v>169</v>
      </c>
      <c r="WX4" s="29" t="s">
        <v>170</v>
      </c>
      <c r="XA4" s="30" t="s">
        <v>164</v>
      </c>
      <c r="XB4" s="26" t="s">
        <v>165</v>
      </c>
      <c r="XC4" s="241" t="s">
        <v>166</v>
      </c>
      <c r="XD4" s="26" t="s">
        <v>167</v>
      </c>
      <c r="XE4" s="241" t="s">
        <v>168</v>
      </c>
      <c r="XF4" s="243" t="s">
        <v>169</v>
      </c>
      <c r="XG4" s="29" t="s">
        <v>170</v>
      </c>
      <c r="XJ4" s="30" t="s">
        <v>164</v>
      </c>
      <c r="XK4" s="26" t="s">
        <v>165</v>
      </c>
      <c r="XL4" s="241" t="s">
        <v>166</v>
      </c>
      <c r="XM4" s="26" t="s">
        <v>167</v>
      </c>
      <c r="XN4" s="241" t="s">
        <v>168</v>
      </c>
      <c r="XO4" s="243" t="s">
        <v>169</v>
      </c>
      <c r="XP4" s="29" t="s">
        <v>170</v>
      </c>
      <c r="XS4" s="30" t="s">
        <v>164</v>
      </c>
      <c r="XT4" s="26" t="s">
        <v>165</v>
      </c>
      <c r="XU4" s="241" t="s">
        <v>166</v>
      </c>
      <c r="XV4" s="26" t="s">
        <v>167</v>
      </c>
      <c r="XW4" s="241" t="s">
        <v>168</v>
      </c>
      <c r="XX4" s="243" t="s">
        <v>169</v>
      </c>
      <c r="XY4" s="29" t="s">
        <v>170</v>
      </c>
      <c r="YB4" s="30" t="s">
        <v>164</v>
      </c>
      <c r="YC4" s="26" t="s">
        <v>165</v>
      </c>
      <c r="YD4" s="241" t="s">
        <v>166</v>
      </c>
      <c r="YE4" s="26" t="s">
        <v>167</v>
      </c>
      <c r="YF4" s="241" t="s">
        <v>168</v>
      </c>
      <c r="YG4" s="243" t="s">
        <v>169</v>
      </c>
      <c r="YH4" s="29" t="s">
        <v>170</v>
      </c>
      <c r="YK4" s="30" t="s">
        <v>164</v>
      </c>
      <c r="YL4" s="26" t="s">
        <v>165</v>
      </c>
      <c r="YM4" s="241" t="s">
        <v>166</v>
      </c>
      <c r="YN4" s="26" t="s">
        <v>167</v>
      </c>
      <c r="YO4" s="241" t="s">
        <v>168</v>
      </c>
      <c r="YP4" s="243" t="s">
        <v>169</v>
      </c>
      <c r="YQ4" s="29" t="s">
        <v>170</v>
      </c>
      <c r="YT4" s="30" t="s">
        <v>164</v>
      </c>
      <c r="YU4" s="26" t="s">
        <v>165</v>
      </c>
      <c r="YV4" s="241" t="s">
        <v>166</v>
      </c>
      <c r="YW4" s="26" t="s">
        <v>167</v>
      </c>
      <c r="YX4" s="241" t="s">
        <v>168</v>
      </c>
      <c r="YY4" s="243" t="s">
        <v>169</v>
      </c>
      <c r="YZ4" s="29" t="s">
        <v>170</v>
      </c>
      <c r="ZC4" s="30" t="s">
        <v>164</v>
      </c>
      <c r="ZD4" s="26" t="s">
        <v>165</v>
      </c>
      <c r="ZE4" s="241" t="s">
        <v>166</v>
      </c>
      <c r="ZF4" s="26" t="s">
        <v>167</v>
      </c>
      <c r="ZG4" s="241" t="s">
        <v>168</v>
      </c>
      <c r="ZH4" s="243" t="s">
        <v>169</v>
      </c>
      <c r="ZI4" s="29" t="s">
        <v>170</v>
      </c>
      <c r="ZL4" s="30" t="s">
        <v>164</v>
      </c>
      <c r="ZM4" s="26" t="s">
        <v>165</v>
      </c>
      <c r="ZN4" s="241" t="s">
        <v>166</v>
      </c>
      <c r="ZO4" s="26" t="s">
        <v>167</v>
      </c>
      <c r="ZP4" s="241" t="s">
        <v>168</v>
      </c>
      <c r="ZQ4" s="243" t="s">
        <v>169</v>
      </c>
      <c r="ZR4" s="29" t="s">
        <v>170</v>
      </c>
      <c r="ZU4" s="30" t="s">
        <v>164</v>
      </c>
      <c r="ZV4" s="26" t="s">
        <v>165</v>
      </c>
      <c r="ZW4" s="241" t="s">
        <v>166</v>
      </c>
      <c r="ZX4" s="26" t="s">
        <v>167</v>
      </c>
      <c r="ZY4" s="241" t="s">
        <v>168</v>
      </c>
      <c r="ZZ4" s="243" t="s">
        <v>169</v>
      </c>
      <c r="AAA4" s="29" t="s">
        <v>170</v>
      </c>
      <c r="AAD4" s="30" t="s">
        <v>164</v>
      </c>
      <c r="AAE4" s="26" t="s">
        <v>165</v>
      </c>
      <c r="AAF4" s="241" t="s">
        <v>166</v>
      </c>
      <c r="AAG4" s="26" t="s">
        <v>167</v>
      </c>
      <c r="AAH4" s="241" t="s">
        <v>168</v>
      </c>
      <c r="AAI4" s="243" t="s">
        <v>169</v>
      </c>
      <c r="AAJ4" s="29" t="s">
        <v>170</v>
      </c>
      <c r="AAM4" s="30" t="s">
        <v>164</v>
      </c>
      <c r="AAN4" s="26" t="s">
        <v>165</v>
      </c>
      <c r="AAO4" s="241" t="s">
        <v>166</v>
      </c>
      <c r="AAP4" s="26" t="s">
        <v>167</v>
      </c>
      <c r="AAQ4" s="241" t="s">
        <v>168</v>
      </c>
      <c r="AAR4" s="243" t="s">
        <v>169</v>
      </c>
      <c r="AAS4" s="29" t="s">
        <v>170</v>
      </c>
      <c r="AAV4" s="30" t="s">
        <v>164</v>
      </c>
      <c r="AAW4" s="26" t="s">
        <v>165</v>
      </c>
      <c r="AAX4" s="241" t="s">
        <v>166</v>
      </c>
      <c r="AAY4" s="26" t="s">
        <v>167</v>
      </c>
      <c r="AAZ4" s="241" t="s">
        <v>168</v>
      </c>
      <c r="ABA4" s="243" t="s">
        <v>169</v>
      </c>
      <c r="ABB4" s="29" t="s">
        <v>170</v>
      </c>
      <c r="ABE4" s="30" t="s">
        <v>164</v>
      </c>
      <c r="ABF4" s="26" t="s">
        <v>165</v>
      </c>
      <c r="ABG4" s="241" t="s">
        <v>166</v>
      </c>
      <c r="ABH4" s="26" t="s">
        <v>167</v>
      </c>
      <c r="ABI4" s="241" t="s">
        <v>168</v>
      </c>
      <c r="ABJ4" s="243" t="s">
        <v>169</v>
      </c>
      <c r="ABK4" s="29" t="s">
        <v>170</v>
      </c>
    </row>
    <row r="5" spans="1:740" s="140" customFormat="1" ht="15" customHeight="1" outlineLevel="1" thickBot="1">
      <c r="B5" s="479"/>
      <c r="C5" s="141" t="s">
        <v>171</v>
      </c>
      <c r="D5" s="419"/>
      <c r="E5" s="419" t="s">
        <v>172</v>
      </c>
      <c r="F5" s="419"/>
      <c r="G5" s="420" t="s">
        <v>172</v>
      </c>
      <c r="H5" s="421">
        <v>47850.2</v>
      </c>
      <c r="I5" s="323"/>
      <c r="L5" s="141" t="s">
        <v>171</v>
      </c>
      <c r="M5" s="419" t="s">
        <v>172</v>
      </c>
      <c r="N5" s="419" t="s">
        <v>172</v>
      </c>
      <c r="O5" s="419" t="s">
        <v>172</v>
      </c>
      <c r="P5" s="420"/>
      <c r="Q5" s="421">
        <v>8696.2000000000007</v>
      </c>
      <c r="R5" s="145"/>
      <c r="U5" s="141" t="s">
        <v>171</v>
      </c>
      <c r="V5" s="419" t="s">
        <v>172</v>
      </c>
      <c r="W5" s="419" t="s">
        <v>172</v>
      </c>
      <c r="X5" s="419" t="s">
        <v>172</v>
      </c>
      <c r="Y5" s="420" t="s">
        <v>172</v>
      </c>
      <c r="Z5" s="421">
        <v>40371.299999999996</v>
      </c>
      <c r="AA5" s="145"/>
      <c r="AD5" s="141" t="s">
        <v>171</v>
      </c>
      <c r="AE5" s="419" t="s">
        <v>172</v>
      </c>
      <c r="AF5" s="419" t="s">
        <v>172</v>
      </c>
      <c r="AG5" s="419" t="s">
        <v>172</v>
      </c>
      <c r="AH5" s="420" t="s">
        <v>172</v>
      </c>
      <c r="AI5" s="421">
        <v>33793.700000000012</v>
      </c>
      <c r="AJ5" s="145"/>
      <c r="AM5" s="141" t="s">
        <v>171</v>
      </c>
      <c r="AN5" s="419" t="s">
        <v>172</v>
      </c>
      <c r="AO5" s="419" t="s">
        <v>172</v>
      </c>
      <c r="AP5" s="419" t="s">
        <v>172</v>
      </c>
      <c r="AQ5" s="420" t="s">
        <v>172</v>
      </c>
      <c r="AR5" s="421"/>
      <c r="AS5" s="145"/>
      <c r="AV5" s="141" t="s">
        <v>171</v>
      </c>
      <c r="AW5" s="419" t="s">
        <v>172</v>
      </c>
      <c r="AX5" s="419" t="s">
        <v>172</v>
      </c>
      <c r="AY5" s="419" t="s">
        <v>172</v>
      </c>
      <c r="AZ5" s="420" t="s">
        <v>172</v>
      </c>
      <c r="BA5" s="421">
        <v>29510.099999999991</v>
      </c>
      <c r="BB5" s="145"/>
      <c r="BE5" s="141" t="s">
        <v>171</v>
      </c>
      <c r="BF5" s="419" t="s">
        <v>172</v>
      </c>
      <c r="BG5" s="419" t="s">
        <v>172</v>
      </c>
      <c r="BH5" s="419" t="s">
        <v>172</v>
      </c>
      <c r="BI5" s="420" t="s">
        <v>172</v>
      </c>
      <c r="BJ5" s="421">
        <v>6360.0000000000073</v>
      </c>
      <c r="BK5" s="145"/>
      <c r="BN5" s="141" t="s">
        <v>171</v>
      </c>
      <c r="BO5" s="419" t="s">
        <v>172</v>
      </c>
      <c r="BP5" s="419" t="s">
        <v>172</v>
      </c>
      <c r="BQ5" s="419" t="s">
        <v>172</v>
      </c>
      <c r="BR5" s="420" t="s">
        <v>172</v>
      </c>
      <c r="BS5" s="421"/>
      <c r="BT5" s="145"/>
      <c r="BW5" s="141" t="s">
        <v>171</v>
      </c>
      <c r="BX5" s="142" t="s">
        <v>172</v>
      </c>
      <c r="BY5" s="142" t="s">
        <v>172</v>
      </c>
      <c r="BZ5" s="142" t="s">
        <v>172</v>
      </c>
      <c r="CA5" s="143" t="s">
        <v>172</v>
      </c>
      <c r="CB5" s="144">
        <v>512.5</v>
      </c>
      <c r="CC5" s="145"/>
      <c r="CF5" s="141" t="s">
        <v>171</v>
      </c>
      <c r="CG5" s="142" t="s">
        <v>172</v>
      </c>
      <c r="CH5" s="142" t="s">
        <v>172</v>
      </c>
      <c r="CI5" s="142" t="s">
        <v>172</v>
      </c>
      <c r="CJ5" s="143" t="s">
        <v>172</v>
      </c>
      <c r="CK5" s="144"/>
      <c r="CL5" s="145"/>
      <c r="CO5" s="141" t="s">
        <v>171</v>
      </c>
      <c r="CP5" s="419" t="s">
        <v>172</v>
      </c>
      <c r="CQ5" s="419" t="s">
        <v>172</v>
      </c>
      <c r="CR5" s="419" t="s">
        <v>172</v>
      </c>
      <c r="CS5" s="420" t="s">
        <v>172</v>
      </c>
      <c r="CT5" s="421"/>
      <c r="CU5" s="145"/>
      <c r="CX5" s="141" t="s">
        <v>171</v>
      </c>
      <c r="CY5" s="142" t="s">
        <v>172</v>
      </c>
      <c r="CZ5" s="142" t="s">
        <v>172</v>
      </c>
      <c r="DA5" s="142" t="s">
        <v>172</v>
      </c>
      <c r="DB5" s="143" t="s">
        <v>172</v>
      </c>
      <c r="DC5" s="144">
        <v>0</v>
      </c>
      <c r="DD5" s="145"/>
      <c r="DG5" s="141" t="s">
        <v>171</v>
      </c>
      <c r="DH5" s="142" t="s">
        <v>172</v>
      </c>
      <c r="DI5" s="142" t="s">
        <v>172</v>
      </c>
      <c r="DJ5" s="142" t="s">
        <v>172</v>
      </c>
      <c r="DK5" s="143" t="s">
        <v>172</v>
      </c>
      <c r="DL5" s="144">
        <v>31341.199999999997</v>
      </c>
      <c r="DM5" s="145"/>
      <c r="DP5" s="141" t="s">
        <v>171</v>
      </c>
      <c r="DQ5" s="142" t="s">
        <v>172</v>
      </c>
      <c r="DR5" s="142" t="s">
        <v>172</v>
      </c>
      <c r="DS5" s="142" t="s">
        <v>172</v>
      </c>
      <c r="DT5" s="143" t="s">
        <v>172</v>
      </c>
      <c r="DU5" s="144">
        <v>0</v>
      </c>
      <c r="DV5" s="145"/>
      <c r="DY5" s="141" t="s">
        <v>171</v>
      </c>
      <c r="DZ5" s="142" t="s">
        <v>172</v>
      </c>
      <c r="EA5" s="142" t="s">
        <v>172</v>
      </c>
      <c r="EB5" s="142" t="s">
        <v>172</v>
      </c>
      <c r="EC5" s="143" t="s">
        <v>172</v>
      </c>
      <c r="ED5" s="144">
        <v>0</v>
      </c>
      <c r="EE5" s="145"/>
      <c r="EH5" s="141" t="s">
        <v>171</v>
      </c>
      <c r="EI5" s="142" t="s">
        <v>172</v>
      </c>
      <c r="EJ5" s="142" t="s">
        <v>172</v>
      </c>
      <c r="EK5" s="142" t="s">
        <v>172</v>
      </c>
      <c r="EL5" s="143" t="s">
        <v>172</v>
      </c>
      <c r="EM5" s="144"/>
      <c r="EN5" s="145"/>
      <c r="EQ5" s="141" t="s">
        <v>171</v>
      </c>
      <c r="ER5" s="142" t="s">
        <v>172</v>
      </c>
      <c r="ES5" s="142" t="s">
        <v>172</v>
      </c>
      <c r="ET5" s="142" t="s">
        <v>172</v>
      </c>
      <c r="EU5" s="143" t="s">
        <v>172</v>
      </c>
      <c r="EV5" s="144"/>
      <c r="EW5" s="145"/>
      <c r="EZ5" s="141" t="s">
        <v>171</v>
      </c>
      <c r="FA5" s="142" t="s">
        <v>172</v>
      </c>
      <c r="FB5" s="142" t="s">
        <v>172</v>
      </c>
      <c r="FC5" s="142" t="s">
        <v>172</v>
      </c>
      <c r="FD5" s="143" t="s">
        <v>172</v>
      </c>
      <c r="FE5" s="144"/>
      <c r="FF5" s="145"/>
      <c r="FI5" s="141" t="s">
        <v>171</v>
      </c>
      <c r="FJ5" s="142" t="s">
        <v>172</v>
      </c>
      <c r="FK5" s="142" t="s">
        <v>172</v>
      </c>
      <c r="FL5" s="142" t="s">
        <v>172</v>
      </c>
      <c r="FM5" s="143" t="s">
        <v>172</v>
      </c>
      <c r="FN5" s="144"/>
      <c r="FO5" s="145"/>
      <c r="FR5" s="141" t="s">
        <v>171</v>
      </c>
      <c r="FS5" s="419" t="s">
        <v>172</v>
      </c>
      <c r="FT5" s="419" t="s">
        <v>172</v>
      </c>
      <c r="FU5" s="419" t="s">
        <v>172</v>
      </c>
      <c r="FV5" s="420" t="s">
        <v>172</v>
      </c>
      <c r="FW5" s="421">
        <v>3540</v>
      </c>
      <c r="FX5" s="459">
        <f>FW5/20</f>
        <v>177</v>
      </c>
      <c r="FY5" s="460" t="s">
        <v>173</v>
      </c>
      <c r="GA5" s="141" t="s">
        <v>171</v>
      </c>
      <c r="GB5" s="419" t="s">
        <v>172</v>
      </c>
      <c r="GC5" s="419" t="s">
        <v>172</v>
      </c>
      <c r="GD5" s="419" t="s">
        <v>172</v>
      </c>
      <c r="GE5" s="420" t="s">
        <v>172</v>
      </c>
      <c r="GF5" s="421">
        <v>1960</v>
      </c>
      <c r="GG5" s="461">
        <f>GF5/20</f>
        <v>98</v>
      </c>
      <c r="GH5" s="460" t="s">
        <v>173</v>
      </c>
      <c r="GI5" s="458"/>
      <c r="GJ5" s="141" t="s">
        <v>171</v>
      </c>
      <c r="GK5" s="419" t="s">
        <v>172</v>
      </c>
      <c r="GL5" s="419" t="s">
        <v>172</v>
      </c>
      <c r="GM5" s="419" t="s">
        <v>172</v>
      </c>
      <c r="GN5" s="420" t="s">
        <v>172</v>
      </c>
      <c r="GO5" s="421">
        <v>2960</v>
      </c>
      <c r="GP5" s="459">
        <f>GO5/20</f>
        <v>148</v>
      </c>
      <c r="GQ5" s="460" t="s">
        <v>173</v>
      </c>
      <c r="GS5" s="141" t="s">
        <v>171</v>
      </c>
      <c r="GT5" s="142" t="s">
        <v>172</v>
      </c>
      <c r="GU5" s="142" t="s">
        <v>172</v>
      </c>
      <c r="GV5" s="142" t="s">
        <v>172</v>
      </c>
      <c r="GW5" s="143" t="s">
        <v>172</v>
      </c>
      <c r="GX5" s="144"/>
      <c r="GY5" s="145"/>
      <c r="HB5" s="141" t="s">
        <v>171</v>
      </c>
      <c r="HC5" s="142" t="s">
        <v>172</v>
      </c>
      <c r="HD5" s="142" t="s">
        <v>172</v>
      </c>
      <c r="HE5" s="142" t="s">
        <v>172</v>
      </c>
      <c r="HF5" s="143" t="s">
        <v>172</v>
      </c>
      <c r="HG5" s="144"/>
      <c r="HH5" s="145"/>
      <c r="HK5" s="141" t="s">
        <v>171</v>
      </c>
      <c r="HL5" s="142" t="s">
        <v>172</v>
      </c>
      <c r="HM5" s="142" t="s">
        <v>172</v>
      </c>
      <c r="HN5" s="142" t="s">
        <v>172</v>
      </c>
      <c r="HO5" s="143" t="s">
        <v>172</v>
      </c>
      <c r="HP5" s="144"/>
      <c r="HQ5" s="145"/>
      <c r="HU5" s="141" t="s">
        <v>171</v>
      </c>
      <c r="HV5" s="142" t="s">
        <v>172</v>
      </c>
      <c r="HW5" s="142" t="s">
        <v>172</v>
      </c>
      <c r="HX5" s="142" t="s">
        <v>172</v>
      </c>
      <c r="HY5" s="143" t="s">
        <v>172</v>
      </c>
      <c r="HZ5" s="144">
        <v>3980</v>
      </c>
      <c r="IA5" s="459">
        <f>HZ5/20</f>
        <v>199</v>
      </c>
      <c r="IB5" s="460" t="s">
        <v>173</v>
      </c>
      <c r="ID5" s="141" t="s">
        <v>171</v>
      </c>
      <c r="IE5" s="142" t="s">
        <v>172</v>
      </c>
      <c r="IF5" s="142" t="s">
        <v>172</v>
      </c>
      <c r="IG5" s="142" t="s">
        <v>172</v>
      </c>
      <c r="IH5" s="143" t="s">
        <v>172</v>
      </c>
      <c r="II5" s="144">
        <v>2960</v>
      </c>
      <c r="IJ5" s="461">
        <f>II5/20</f>
        <v>148</v>
      </c>
      <c r="IK5" s="6" t="s">
        <v>173</v>
      </c>
      <c r="IM5" s="141" t="s">
        <v>171</v>
      </c>
      <c r="IN5" s="142" t="s">
        <v>172</v>
      </c>
      <c r="IO5" s="142" t="s">
        <v>172</v>
      </c>
      <c r="IP5" s="142" t="s">
        <v>172</v>
      </c>
      <c r="IQ5" s="143" t="s">
        <v>172</v>
      </c>
      <c r="IR5" s="144">
        <v>2040</v>
      </c>
      <c r="IS5" s="462">
        <f>IR5/20</f>
        <v>102</v>
      </c>
      <c r="IT5" s="460" t="s">
        <v>173</v>
      </c>
      <c r="IV5" s="141" t="s">
        <v>171</v>
      </c>
      <c r="IW5" s="142" t="s">
        <v>172</v>
      </c>
      <c r="IX5" s="142" t="s">
        <v>172</v>
      </c>
      <c r="IY5" s="142" t="s">
        <v>172</v>
      </c>
      <c r="IZ5" s="143" t="s">
        <v>172</v>
      </c>
      <c r="JA5" s="144">
        <v>7520</v>
      </c>
      <c r="JB5" s="462">
        <f>JA5/20</f>
        <v>376</v>
      </c>
      <c r="JC5" s="6" t="s">
        <v>173</v>
      </c>
      <c r="JE5" s="141" t="s">
        <v>171</v>
      </c>
      <c r="JF5" s="142" t="s">
        <v>172</v>
      </c>
      <c r="JG5" s="142" t="s">
        <v>172</v>
      </c>
      <c r="JH5" s="142" t="s">
        <v>172</v>
      </c>
      <c r="JI5" s="143" t="s">
        <v>172</v>
      </c>
      <c r="JJ5" s="144">
        <v>6800</v>
      </c>
      <c r="JK5" s="462">
        <f>JJ5/20</f>
        <v>340</v>
      </c>
      <c r="JL5" s="6" t="s">
        <v>173</v>
      </c>
      <c r="JN5" s="141" t="s">
        <v>171</v>
      </c>
      <c r="JO5" s="142" t="s">
        <v>172</v>
      </c>
      <c r="JP5" s="142" t="s">
        <v>172</v>
      </c>
      <c r="JQ5" s="142" t="s">
        <v>172</v>
      </c>
      <c r="JR5" s="143" t="s">
        <v>172</v>
      </c>
      <c r="JS5" s="144">
        <v>4400</v>
      </c>
      <c r="JT5" s="462">
        <f>JS5/20</f>
        <v>220</v>
      </c>
      <c r="JU5" s="6" t="s">
        <v>173</v>
      </c>
      <c r="JW5" s="141" t="s">
        <v>171</v>
      </c>
      <c r="JX5" s="142" t="s">
        <v>172</v>
      </c>
      <c r="JY5" s="142" t="s">
        <v>172</v>
      </c>
      <c r="JZ5" s="142" t="s">
        <v>172</v>
      </c>
      <c r="KA5" s="143" t="s">
        <v>172</v>
      </c>
      <c r="KB5" s="144">
        <v>0</v>
      </c>
      <c r="KC5" s="145"/>
      <c r="KF5" s="141" t="s">
        <v>171</v>
      </c>
      <c r="KG5" s="142" t="s">
        <v>172</v>
      </c>
      <c r="KH5" s="142" t="s">
        <v>172</v>
      </c>
      <c r="KI5" s="142" t="s">
        <v>172</v>
      </c>
      <c r="KJ5" s="143" t="s">
        <v>172</v>
      </c>
      <c r="KK5" s="144">
        <v>0</v>
      </c>
      <c r="KL5" s="145"/>
      <c r="KO5" s="141" t="s">
        <v>171</v>
      </c>
      <c r="KP5" s="142" t="s">
        <v>172</v>
      </c>
      <c r="KQ5" s="142" t="s">
        <v>172</v>
      </c>
      <c r="KR5" s="142" t="s">
        <v>172</v>
      </c>
      <c r="KS5" s="143" t="s">
        <v>172</v>
      </c>
      <c r="KT5" s="144">
        <v>0</v>
      </c>
      <c r="KU5" s="145"/>
      <c r="KW5" s="458"/>
      <c r="KX5" s="141" t="s">
        <v>171</v>
      </c>
      <c r="KY5" s="142" t="s">
        <v>172</v>
      </c>
      <c r="KZ5" s="142" t="s">
        <v>172</v>
      </c>
      <c r="LA5" s="142" t="s">
        <v>172</v>
      </c>
      <c r="LB5" s="143" t="s">
        <v>172</v>
      </c>
      <c r="LC5" s="144">
        <v>0</v>
      </c>
      <c r="LD5" s="145"/>
      <c r="LG5" s="141" t="s">
        <v>171</v>
      </c>
      <c r="LH5" s="142" t="s">
        <v>172</v>
      </c>
      <c r="LI5" s="142" t="s">
        <v>172</v>
      </c>
      <c r="LJ5" s="142" t="s">
        <v>172</v>
      </c>
      <c r="LK5" s="143" t="s">
        <v>172</v>
      </c>
      <c r="LL5" s="144">
        <v>0</v>
      </c>
      <c r="LM5" s="145"/>
      <c r="LP5" s="141" t="s">
        <v>171</v>
      </c>
      <c r="LQ5" s="142" t="s">
        <v>172</v>
      </c>
      <c r="LR5" s="142" t="s">
        <v>172</v>
      </c>
      <c r="LS5" s="142" t="s">
        <v>172</v>
      </c>
      <c r="LT5" s="143" t="s">
        <v>172</v>
      </c>
      <c r="LU5" s="144"/>
      <c r="LV5" s="145"/>
      <c r="LY5" s="141" t="s">
        <v>171</v>
      </c>
      <c r="LZ5" s="142" t="s">
        <v>172</v>
      </c>
      <c r="MA5" s="142" t="s">
        <v>172</v>
      </c>
      <c r="MB5" s="142" t="s">
        <v>172</v>
      </c>
      <c r="MC5" s="143" t="s">
        <v>172</v>
      </c>
      <c r="MD5" s="144"/>
      <c r="ME5" s="145"/>
      <c r="MH5" s="141" t="s">
        <v>171</v>
      </c>
      <c r="MI5" s="142" t="s">
        <v>172</v>
      </c>
      <c r="MJ5" s="142" t="s">
        <v>172</v>
      </c>
      <c r="MK5" s="142" t="s">
        <v>172</v>
      </c>
      <c r="ML5" s="143" t="s">
        <v>172</v>
      </c>
      <c r="MM5" s="144"/>
      <c r="MN5" s="145"/>
      <c r="MQ5" s="141" t="s">
        <v>171</v>
      </c>
      <c r="MR5" s="142" t="s">
        <v>172</v>
      </c>
      <c r="MS5" s="142" t="s">
        <v>172</v>
      </c>
      <c r="MT5" s="142" t="s">
        <v>172</v>
      </c>
      <c r="MU5" s="143" t="s">
        <v>172</v>
      </c>
      <c r="MV5" s="144">
        <v>1531</v>
      </c>
      <c r="MW5" s="145"/>
      <c r="MZ5" s="141" t="s">
        <v>171</v>
      </c>
      <c r="NA5" s="142" t="s">
        <v>172</v>
      </c>
      <c r="NB5" s="142" t="s">
        <v>172</v>
      </c>
      <c r="NC5" s="142" t="s">
        <v>172</v>
      </c>
      <c r="ND5" s="143" t="s">
        <v>172</v>
      </c>
      <c r="NE5" s="144">
        <v>0</v>
      </c>
      <c r="NF5" s="145"/>
      <c r="NI5" s="141" t="s">
        <v>171</v>
      </c>
      <c r="NJ5" s="142" t="s">
        <v>172</v>
      </c>
      <c r="NK5" s="142" t="s">
        <v>172</v>
      </c>
      <c r="NL5" s="142" t="s">
        <v>172</v>
      </c>
      <c r="NM5" s="143" t="s">
        <v>172</v>
      </c>
      <c r="NN5" s="144">
        <v>0</v>
      </c>
      <c r="NO5" s="145"/>
      <c r="NR5" s="141" t="s">
        <v>171</v>
      </c>
      <c r="NS5" s="142" t="s">
        <v>172</v>
      </c>
      <c r="NT5" s="142" t="s">
        <v>172</v>
      </c>
      <c r="NU5" s="142" t="s">
        <v>172</v>
      </c>
      <c r="NV5" s="143" t="s">
        <v>172</v>
      </c>
      <c r="NW5" s="144">
        <v>0</v>
      </c>
      <c r="NX5" s="145"/>
      <c r="OA5" s="141" t="s">
        <v>171</v>
      </c>
      <c r="OB5" s="142" t="s">
        <v>172</v>
      </c>
      <c r="OC5" s="142" t="s">
        <v>172</v>
      </c>
      <c r="OD5" s="142" t="s">
        <v>172</v>
      </c>
      <c r="OE5" s="143" t="s">
        <v>172</v>
      </c>
      <c r="OF5" s="144">
        <v>35.199999999999989</v>
      </c>
      <c r="OG5" s="145"/>
      <c r="OJ5" s="141" t="s">
        <v>171</v>
      </c>
      <c r="OK5" s="142" t="s">
        <v>172</v>
      </c>
      <c r="OL5" s="142" t="s">
        <v>172</v>
      </c>
      <c r="OM5" s="142" t="s">
        <v>172</v>
      </c>
      <c r="ON5" s="143" t="s">
        <v>172</v>
      </c>
      <c r="OO5" s="144"/>
      <c r="OP5" s="145"/>
      <c r="OS5" s="141" t="s">
        <v>171</v>
      </c>
      <c r="OT5" s="142" t="s">
        <v>172</v>
      </c>
      <c r="OU5" s="142" t="s">
        <v>172</v>
      </c>
      <c r="OV5" s="142" t="s">
        <v>172</v>
      </c>
      <c r="OW5" s="143" t="s">
        <v>172</v>
      </c>
      <c r="OX5" s="144">
        <v>349</v>
      </c>
      <c r="OY5" s="145"/>
      <c r="PB5" s="141" t="s">
        <v>171</v>
      </c>
      <c r="PC5" s="142" t="s">
        <v>172</v>
      </c>
      <c r="PD5" s="142" t="s">
        <v>172</v>
      </c>
      <c r="PE5" s="142" t="s">
        <v>172</v>
      </c>
      <c r="PF5" s="143" t="s">
        <v>172</v>
      </c>
      <c r="PG5" s="144">
        <v>0</v>
      </c>
      <c r="PH5" s="145"/>
      <c r="PK5" s="141" t="s">
        <v>171</v>
      </c>
      <c r="PL5" s="142" t="s">
        <v>172</v>
      </c>
      <c r="PM5" s="142" t="s">
        <v>172</v>
      </c>
      <c r="PN5" s="142" t="s">
        <v>172</v>
      </c>
      <c r="PO5" s="143" t="s">
        <v>172</v>
      </c>
      <c r="PP5" s="144">
        <v>160</v>
      </c>
      <c r="PQ5" s="145"/>
      <c r="PT5" s="141" t="s">
        <v>171</v>
      </c>
      <c r="PU5" s="142" t="s">
        <v>172</v>
      </c>
      <c r="PV5" s="142" t="s">
        <v>172</v>
      </c>
      <c r="PW5" s="142" t="s">
        <v>172</v>
      </c>
      <c r="PX5" s="143" t="s">
        <v>172</v>
      </c>
      <c r="PY5" s="144">
        <v>13.960000000000036</v>
      </c>
      <c r="PZ5" s="145"/>
      <c r="QC5" s="141" t="s">
        <v>171</v>
      </c>
      <c r="QD5" s="142" t="s">
        <v>172</v>
      </c>
      <c r="QE5" s="142" t="s">
        <v>172</v>
      </c>
      <c r="QF5" s="142" t="s">
        <v>172</v>
      </c>
      <c r="QG5" s="143" t="s">
        <v>172</v>
      </c>
      <c r="QH5" s="144"/>
      <c r="QI5" s="145"/>
      <c r="QL5" s="141" t="s">
        <v>171</v>
      </c>
      <c r="QM5" s="142" t="s">
        <v>172</v>
      </c>
      <c r="QN5" s="142" t="s">
        <v>172</v>
      </c>
      <c r="QO5" s="142" t="s">
        <v>172</v>
      </c>
      <c r="QP5" s="143" t="s">
        <v>172</v>
      </c>
      <c r="QQ5" s="144">
        <v>0</v>
      </c>
      <c r="QR5" s="145"/>
      <c r="QU5" s="141" t="s">
        <v>171</v>
      </c>
      <c r="QV5" s="142" t="s">
        <v>172</v>
      </c>
      <c r="QW5" s="142" t="s">
        <v>172</v>
      </c>
      <c r="QX5" s="142" t="s">
        <v>172</v>
      </c>
      <c r="QY5" s="143" t="s">
        <v>172</v>
      </c>
      <c r="QZ5" s="144">
        <v>207.6</v>
      </c>
      <c r="RA5" s="145"/>
      <c r="RD5" s="141" t="s">
        <v>171</v>
      </c>
      <c r="RE5" s="142" t="s">
        <v>172</v>
      </c>
      <c r="RF5" s="142" t="s">
        <v>172</v>
      </c>
      <c r="RG5" s="142" t="s">
        <v>172</v>
      </c>
      <c r="RH5" s="143" t="s">
        <v>172</v>
      </c>
      <c r="RI5" s="144">
        <v>201.8</v>
      </c>
      <c r="RJ5" s="145"/>
      <c r="RM5" s="141" t="s">
        <v>171</v>
      </c>
      <c r="RN5" s="142" t="s">
        <v>172</v>
      </c>
      <c r="RO5" s="142" t="s">
        <v>172</v>
      </c>
      <c r="RP5" s="142" t="s">
        <v>172</v>
      </c>
      <c r="RQ5" s="143" t="s">
        <v>172</v>
      </c>
      <c r="RR5" s="144">
        <v>22.720000000000002</v>
      </c>
      <c r="RS5" s="145"/>
      <c r="RV5" s="141" t="s">
        <v>171</v>
      </c>
      <c r="RW5" s="142" t="s">
        <v>172</v>
      </c>
      <c r="RX5" s="142" t="s">
        <v>172</v>
      </c>
      <c r="RY5" s="142" t="s">
        <v>172</v>
      </c>
      <c r="RZ5" s="143" t="s">
        <v>172</v>
      </c>
      <c r="SA5" s="144">
        <v>0</v>
      </c>
      <c r="SB5" s="145"/>
      <c r="SE5" s="141" t="s">
        <v>171</v>
      </c>
      <c r="SF5" s="142" t="s">
        <v>172</v>
      </c>
      <c r="SG5" s="142" t="s">
        <v>172</v>
      </c>
      <c r="SH5" s="142" t="s">
        <v>172</v>
      </c>
      <c r="SI5" s="143" t="s">
        <v>172</v>
      </c>
      <c r="SJ5" s="144">
        <v>0</v>
      </c>
      <c r="SK5" s="145"/>
      <c r="SN5" s="141" t="s">
        <v>171</v>
      </c>
      <c r="SO5" s="142" t="s">
        <v>172</v>
      </c>
      <c r="SP5" s="142" t="s">
        <v>172</v>
      </c>
      <c r="SQ5" s="142" t="s">
        <v>172</v>
      </c>
      <c r="SR5" s="143" t="s">
        <v>172</v>
      </c>
      <c r="SS5" s="144"/>
      <c r="ST5" s="145"/>
      <c r="SW5" s="141" t="s">
        <v>171</v>
      </c>
      <c r="SX5" s="142" t="s">
        <v>172</v>
      </c>
      <c r="SY5" s="142" t="s">
        <v>172</v>
      </c>
      <c r="SZ5" s="142" t="s">
        <v>172</v>
      </c>
      <c r="TA5" s="143" t="s">
        <v>172</v>
      </c>
      <c r="TB5" s="144"/>
      <c r="TC5" s="145"/>
      <c r="TF5" s="141" t="s">
        <v>171</v>
      </c>
      <c r="TG5" s="142" t="s">
        <v>172</v>
      </c>
      <c r="TH5" s="142" t="s">
        <v>172</v>
      </c>
      <c r="TI5" s="142" t="s">
        <v>172</v>
      </c>
      <c r="TJ5" s="143" t="s">
        <v>172</v>
      </c>
      <c r="TK5" s="144"/>
      <c r="TL5" s="145"/>
      <c r="TO5" s="141" t="s">
        <v>171</v>
      </c>
      <c r="TP5" s="142" t="s">
        <v>172</v>
      </c>
      <c r="TQ5" s="142" t="s">
        <v>172</v>
      </c>
      <c r="TR5" s="142" t="s">
        <v>172</v>
      </c>
      <c r="TS5" s="143" t="s">
        <v>172</v>
      </c>
      <c r="TT5" s="144"/>
      <c r="TU5" s="145"/>
      <c r="TX5" s="141" t="s">
        <v>171</v>
      </c>
      <c r="TY5" s="142" t="s">
        <v>172</v>
      </c>
      <c r="TZ5" s="142" t="s">
        <v>172</v>
      </c>
      <c r="UA5" s="142" t="s">
        <v>172</v>
      </c>
      <c r="UB5" s="143" t="s">
        <v>172</v>
      </c>
      <c r="UC5" s="144"/>
      <c r="UD5" s="145"/>
      <c r="UG5" s="141" t="s">
        <v>171</v>
      </c>
      <c r="UH5" s="142" t="s">
        <v>172</v>
      </c>
      <c r="UI5" s="142" t="s">
        <v>172</v>
      </c>
      <c r="UJ5" s="142" t="s">
        <v>172</v>
      </c>
      <c r="UK5" s="143" t="s">
        <v>172</v>
      </c>
      <c r="UL5" s="144"/>
      <c r="UM5" s="145"/>
      <c r="UP5" s="141" t="s">
        <v>171</v>
      </c>
      <c r="UQ5" s="142" t="s">
        <v>172</v>
      </c>
      <c r="UR5" s="142" t="s">
        <v>172</v>
      </c>
      <c r="US5" s="142" t="s">
        <v>172</v>
      </c>
      <c r="UT5" s="143" t="s">
        <v>172</v>
      </c>
      <c r="UU5" s="144"/>
      <c r="UV5" s="145"/>
      <c r="UY5" s="141" t="s">
        <v>171</v>
      </c>
      <c r="UZ5" s="142" t="s">
        <v>172</v>
      </c>
      <c r="VA5" s="142" t="s">
        <v>172</v>
      </c>
      <c r="VB5" s="142" t="s">
        <v>172</v>
      </c>
      <c r="VC5" s="143" t="s">
        <v>172</v>
      </c>
      <c r="VD5" s="144">
        <v>-319.59999999999997</v>
      </c>
      <c r="VE5" s="145"/>
      <c r="VH5" s="141" t="s">
        <v>171</v>
      </c>
      <c r="VI5" s="142" t="s">
        <v>172</v>
      </c>
      <c r="VJ5" s="142" t="s">
        <v>172</v>
      </c>
      <c r="VK5" s="142" t="s">
        <v>172</v>
      </c>
      <c r="VL5" s="143" t="s">
        <v>172</v>
      </c>
      <c r="VM5" s="144"/>
      <c r="VN5" s="145"/>
      <c r="VQ5" s="141" t="s">
        <v>171</v>
      </c>
      <c r="VR5" s="142" t="s">
        <v>172</v>
      </c>
      <c r="VS5" s="142" t="s">
        <v>172</v>
      </c>
      <c r="VT5" s="142" t="s">
        <v>172</v>
      </c>
      <c r="VU5" s="143" t="s">
        <v>172</v>
      </c>
      <c r="VV5" s="144"/>
      <c r="VW5" s="145"/>
      <c r="VZ5" s="141" t="s">
        <v>171</v>
      </c>
      <c r="WA5" s="142" t="s">
        <v>172</v>
      </c>
      <c r="WB5" s="142" t="s">
        <v>172</v>
      </c>
      <c r="WC5" s="142" t="s">
        <v>172</v>
      </c>
      <c r="WD5" s="143" t="s">
        <v>172</v>
      </c>
      <c r="WE5" s="144"/>
      <c r="WF5" s="145"/>
      <c r="WI5" s="141" t="s">
        <v>171</v>
      </c>
      <c r="WJ5" s="142" t="s">
        <v>172</v>
      </c>
      <c r="WK5" s="142" t="s">
        <v>172</v>
      </c>
      <c r="WL5" s="142" t="s">
        <v>172</v>
      </c>
      <c r="WM5" s="143" t="s">
        <v>172</v>
      </c>
      <c r="WN5" s="144">
        <v>5877</v>
      </c>
      <c r="WO5" s="145"/>
      <c r="WR5" s="141" t="s">
        <v>171</v>
      </c>
      <c r="WS5" s="142" t="s">
        <v>172</v>
      </c>
      <c r="WT5" s="142" t="s">
        <v>172</v>
      </c>
      <c r="WU5" s="142" t="s">
        <v>172</v>
      </c>
      <c r="WV5" s="143" t="s">
        <v>172</v>
      </c>
      <c r="WW5" s="144">
        <v>5267</v>
      </c>
      <c r="WX5" s="145"/>
      <c r="XA5" s="141" t="s">
        <v>171</v>
      </c>
      <c r="XB5" s="142" t="s">
        <v>172</v>
      </c>
      <c r="XC5" s="142" t="s">
        <v>172</v>
      </c>
      <c r="XD5" s="142" t="s">
        <v>172</v>
      </c>
      <c r="XE5" s="143" t="s">
        <v>172</v>
      </c>
      <c r="XF5" s="144">
        <v>4457</v>
      </c>
      <c r="XG5" s="145"/>
      <c r="XJ5" s="141" t="s">
        <v>171</v>
      </c>
      <c r="XK5" s="142" t="s">
        <v>172</v>
      </c>
      <c r="XL5" s="142" t="s">
        <v>172</v>
      </c>
      <c r="XM5" s="142" t="s">
        <v>172</v>
      </c>
      <c r="XN5" s="143" t="s">
        <v>172</v>
      </c>
      <c r="XO5" s="144">
        <v>6772</v>
      </c>
      <c r="XP5" s="145"/>
      <c r="XS5" s="141" t="s">
        <v>171</v>
      </c>
      <c r="XT5" s="142" t="s">
        <v>172</v>
      </c>
      <c r="XU5" s="142" t="s">
        <v>172</v>
      </c>
      <c r="XV5" s="142" t="s">
        <v>172</v>
      </c>
      <c r="XW5" s="143" t="s">
        <v>172</v>
      </c>
      <c r="XX5" s="144">
        <v>1901</v>
      </c>
      <c r="XY5" s="145"/>
      <c r="YB5" s="141" t="s">
        <v>171</v>
      </c>
      <c r="YC5" s="142" t="s">
        <v>172</v>
      </c>
      <c r="YD5" s="142" t="s">
        <v>172</v>
      </c>
      <c r="YE5" s="142" t="s">
        <v>172</v>
      </c>
      <c r="YF5" s="143" t="s">
        <v>172</v>
      </c>
      <c r="YG5" s="144">
        <v>4175</v>
      </c>
      <c r="YH5" s="145"/>
      <c r="YK5" s="141" t="s">
        <v>171</v>
      </c>
      <c r="YL5" s="142" t="s">
        <v>172</v>
      </c>
      <c r="YM5" s="142" t="s">
        <v>172</v>
      </c>
      <c r="YN5" s="142" t="s">
        <v>172</v>
      </c>
      <c r="YO5" s="143" t="s">
        <v>172</v>
      </c>
      <c r="YP5" s="144">
        <v>0</v>
      </c>
      <c r="YQ5" s="145"/>
      <c r="YT5" s="141" t="s">
        <v>171</v>
      </c>
      <c r="YU5" s="142" t="s">
        <v>172</v>
      </c>
      <c r="YV5" s="142" t="s">
        <v>172</v>
      </c>
      <c r="YW5" s="142" t="s">
        <v>172</v>
      </c>
      <c r="YX5" s="143" t="s">
        <v>172</v>
      </c>
      <c r="YY5" s="144"/>
      <c r="YZ5" s="145"/>
      <c r="ZC5" s="141" t="s">
        <v>171</v>
      </c>
      <c r="ZD5" s="142" t="s">
        <v>172</v>
      </c>
      <c r="ZE5" s="142" t="s">
        <v>172</v>
      </c>
      <c r="ZF5" s="142" t="s">
        <v>172</v>
      </c>
      <c r="ZG5" s="143" t="s">
        <v>172</v>
      </c>
      <c r="ZH5" s="144"/>
      <c r="ZI5" s="145"/>
      <c r="ZL5" s="141" t="s">
        <v>171</v>
      </c>
      <c r="ZM5" s="142" t="s">
        <v>172</v>
      </c>
      <c r="ZN5" s="142" t="s">
        <v>172</v>
      </c>
      <c r="ZO5" s="142" t="s">
        <v>172</v>
      </c>
      <c r="ZP5" s="143" t="s">
        <v>172</v>
      </c>
      <c r="ZQ5" s="144"/>
      <c r="ZR5" s="145"/>
      <c r="ZU5" s="141" t="s">
        <v>171</v>
      </c>
      <c r="ZV5" s="142" t="s">
        <v>172</v>
      </c>
      <c r="ZW5" s="142" t="s">
        <v>172</v>
      </c>
      <c r="ZX5" s="142" t="s">
        <v>172</v>
      </c>
      <c r="ZY5" s="143" t="s">
        <v>172</v>
      </c>
      <c r="ZZ5" s="144"/>
      <c r="AAA5" s="145"/>
      <c r="AAD5" s="141" t="s">
        <v>171</v>
      </c>
      <c r="AAE5" s="142" t="s">
        <v>172</v>
      </c>
      <c r="AAF5" s="142" t="s">
        <v>172</v>
      </c>
      <c r="AAG5" s="142" t="s">
        <v>172</v>
      </c>
      <c r="AAH5" s="143" t="s">
        <v>172</v>
      </c>
      <c r="AAI5" s="144"/>
      <c r="AAJ5" s="145"/>
      <c r="AAM5" s="141" t="s">
        <v>171</v>
      </c>
      <c r="AAN5" s="142" t="s">
        <v>172</v>
      </c>
      <c r="AAO5" s="142" t="s">
        <v>172</v>
      </c>
      <c r="AAP5" s="142" t="s">
        <v>172</v>
      </c>
      <c r="AAQ5" s="143" t="s">
        <v>172</v>
      </c>
      <c r="AAR5" s="144"/>
      <c r="AAS5" s="145"/>
      <c r="AAV5" s="141" t="s">
        <v>171</v>
      </c>
      <c r="AAW5" s="142" t="s">
        <v>172</v>
      </c>
      <c r="AAX5" s="142" t="s">
        <v>172</v>
      </c>
      <c r="AAY5" s="142" t="s">
        <v>172</v>
      </c>
      <c r="AAZ5" s="143" t="s">
        <v>172</v>
      </c>
      <c r="ABA5" s="144"/>
      <c r="ABB5" s="145"/>
      <c r="ABE5" s="141" t="s">
        <v>171</v>
      </c>
      <c r="ABF5" s="142" t="s">
        <v>172</v>
      </c>
      <c r="ABG5" s="142" t="s">
        <v>172</v>
      </c>
      <c r="ABH5" s="142" t="s">
        <v>172</v>
      </c>
      <c r="ABI5" s="143" t="s">
        <v>172</v>
      </c>
      <c r="ABJ5" s="144"/>
      <c r="ABK5" s="145"/>
    </row>
    <row r="6" spans="1:740" s="54" customFormat="1" ht="15" customHeight="1" outlineLevel="1">
      <c r="B6" s="478"/>
      <c r="C6" s="55">
        <v>46023</v>
      </c>
      <c r="D6" s="422"/>
      <c r="E6" s="423">
        <f>SUMPRODUCT(PRODUCE!$B5:$DY5,PRODUCE!$EB$7:$IY$7)</f>
        <v>0</v>
      </c>
      <c r="F6" s="422"/>
      <c r="G6" s="423">
        <f>E6-F6</f>
        <v>0</v>
      </c>
      <c r="H6" s="424">
        <f t="shared" ref="H6:H36" si="0">H5+D6-F6</f>
        <v>47850.2</v>
      </c>
      <c r="I6" s="289"/>
      <c r="L6" s="55">
        <f t="shared" ref="L6:L36" si="1">C6</f>
        <v>46023</v>
      </c>
      <c r="M6" s="422"/>
      <c r="N6" s="438">
        <f>SUMPRODUCT(PRODUCE!$B5:$DY5,PRODUCE!$EB$8:$IY$8)</f>
        <v>0</v>
      </c>
      <c r="O6" s="422"/>
      <c r="P6" s="438">
        <f>N6-O6</f>
        <v>0</v>
      </c>
      <c r="Q6" s="439">
        <f>Q5+M6-O6</f>
        <v>8696.2000000000007</v>
      </c>
      <c r="R6" s="56"/>
      <c r="U6" s="55">
        <f>L6</f>
        <v>46023</v>
      </c>
      <c r="V6" s="422"/>
      <c r="W6" s="440">
        <f>SUMPRODUCT(PRODUCE!$B5:$DY5,PRODUCE!$EB$9:$IY$9)</f>
        <v>0</v>
      </c>
      <c r="X6" s="422"/>
      <c r="Y6" s="440">
        <f>W6-X6</f>
        <v>0</v>
      </c>
      <c r="Z6" s="441">
        <f>Z5+V6-X6</f>
        <v>40371.299999999996</v>
      </c>
      <c r="AA6" s="56"/>
      <c r="AD6" s="55">
        <f>U6</f>
        <v>46023</v>
      </c>
      <c r="AE6" s="422"/>
      <c r="AF6" s="442">
        <f>SUMPRODUCT(PRODUCE!$B5:$DY5,PRODUCE!$EB$10:$IY$10)</f>
        <v>0</v>
      </c>
      <c r="AG6" s="422"/>
      <c r="AH6" s="442">
        <f>AF6-AG6</f>
        <v>0</v>
      </c>
      <c r="AI6" s="442">
        <f>AI5+AE6-AG6</f>
        <v>33793.700000000012</v>
      </c>
      <c r="AJ6" s="56"/>
      <c r="AM6" s="55">
        <f>AD6</f>
        <v>46023</v>
      </c>
      <c r="AN6" s="422"/>
      <c r="AO6" s="444">
        <f>SUMPRODUCT(PRODUCE!$B5:$DY5,PRODUCE!$EB$11:$IY$11)</f>
        <v>0</v>
      </c>
      <c r="AP6" s="422"/>
      <c r="AQ6" s="444">
        <f>AO6-AP6</f>
        <v>0</v>
      </c>
      <c r="AR6" s="444">
        <f>AR5+AN6-AP6</f>
        <v>0</v>
      </c>
      <c r="AS6" s="56"/>
      <c r="AV6" s="55">
        <f>AM6</f>
        <v>46023</v>
      </c>
      <c r="AW6" s="422"/>
      <c r="AX6" s="446">
        <f>SUMPRODUCT(PRODUCE!$B5:$DY5,PRODUCE!$EB$12:$IY$12)</f>
        <v>0</v>
      </c>
      <c r="AY6" s="422"/>
      <c r="AZ6" s="446">
        <f>AX6-AY6</f>
        <v>0</v>
      </c>
      <c r="BA6" s="446">
        <f>BA5+AW6-AY6</f>
        <v>29510.099999999991</v>
      </c>
      <c r="BB6" s="56"/>
      <c r="BE6" s="55">
        <f>AV6</f>
        <v>46023</v>
      </c>
      <c r="BF6" s="422"/>
      <c r="BG6" s="448">
        <f>SUMPRODUCT(PRODUCE!$B5:$DY5,PRODUCE!$EB$13:$IY$13)</f>
        <v>0</v>
      </c>
      <c r="BH6" s="422"/>
      <c r="BI6" s="448">
        <f>BG6-BH6</f>
        <v>0</v>
      </c>
      <c r="BJ6" s="448">
        <f>BJ5+BF6-BH6</f>
        <v>6360.0000000000073</v>
      </c>
      <c r="BK6" s="56"/>
      <c r="BN6" s="55">
        <f>BE6</f>
        <v>46023</v>
      </c>
      <c r="BO6" s="422"/>
      <c r="BP6" s="450">
        <f>SUMPRODUCT(PRODUCE!$B5:$DY5,PRODUCE!$EB$14:$IY$14)</f>
        <v>0</v>
      </c>
      <c r="BQ6" s="422"/>
      <c r="BR6" s="450">
        <f>BP6-BQ6</f>
        <v>0</v>
      </c>
      <c r="BS6" s="450">
        <f>BS5+BO6-BQ6</f>
        <v>0</v>
      </c>
      <c r="BT6" s="56"/>
      <c r="BW6" s="55">
        <f>BN6</f>
        <v>46023</v>
      </c>
      <c r="BX6" s="56"/>
      <c r="BY6" s="65">
        <f>SUMPRODUCT(PRODUCE!$B5:$DY5,PRODUCE!$EB$15:$IY$15)</f>
        <v>0</v>
      </c>
      <c r="BZ6" s="56"/>
      <c r="CA6" s="65">
        <f>BY6-BZ6</f>
        <v>0</v>
      </c>
      <c r="CB6" s="65">
        <f>CB5+BX6-BZ6</f>
        <v>512.5</v>
      </c>
      <c r="CC6" s="56"/>
      <c r="CF6" s="55">
        <f>BW6</f>
        <v>46023</v>
      </c>
      <c r="CG6" s="56"/>
      <c r="CH6" s="66">
        <f>SUMPRODUCT(PRODUCE!$B5:$DY5,PRODUCE!$EB$16:$IY$16)</f>
        <v>0</v>
      </c>
      <c r="CI6" s="56"/>
      <c r="CJ6" s="66">
        <f>CH6-CI6</f>
        <v>0</v>
      </c>
      <c r="CK6" s="66">
        <f>CK5+CG6-CI6</f>
        <v>0</v>
      </c>
      <c r="CL6" s="56"/>
      <c r="CO6" s="55">
        <f>CF6</f>
        <v>46023</v>
      </c>
      <c r="CP6" s="422"/>
      <c r="CQ6" s="470">
        <f>SUMPRODUCT(PRODUCE!$B5:$DY5,PRODUCE!$EB$17:$IY$17)</f>
        <v>0</v>
      </c>
      <c r="CR6" s="422"/>
      <c r="CS6" s="470">
        <f>CQ6-CR6</f>
        <v>0</v>
      </c>
      <c r="CT6" s="470">
        <f>CT5+CP6-CR6</f>
        <v>0</v>
      </c>
      <c r="CU6" s="56"/>
      <c r="CX6" s="55">
        <f>CO6</f>
        <v>46023</v>
      </c>
      <c r="CY6" s="56"/>
      <c r="CZ6" s="133">
        <f>SUMPRODUCT(PRODUCE!$B5:$DY5,PRODUCE!$EB$18:$IY$18)</f>
        <v>0</v>
      </c>
      <c r="DA6" s="56"/>
      <c r="DB6" s="133">
        <f>CZ6-DA6</f>
        <v>0</v>
      </c>
      <c r="DC6" s="133">
        <f>DC5+CY6-DA6</f>
        <v>0</v>
      </c>
      <c r="DD6" s="56"/>
      <c r="DG6" s="55">
        <f>CX6</f>
        <v>46023</v>
      </c>
      <c r="DH6" s="56"/>
      <c r="DI6" s="147">
        <f>SUMPRODUCT(PRODUCE!$B5:$DY5,PRODUCE!$EB$19:$IY$19)</f>
        <v>0</v>
      </c>
      <c r="DJ6" s="56"/>
      <c r="DK6" s="147">
        <f>DI6-DJ6</f>
        <v>0</v>
      </c>
      <c r="DL6" s="147">
        <f>DL5+DH6-DJ6</f>
        <v>31341.199999999997</v>
      </c>
      <c r="DM6" s="56"/>
      <c r="DP6" s="55">
        <f>DG6</f>
        <v>46023</v>
      </c>
      <c r="DQ6" s="56"/>
      <c r="DR6" s="57">
        <f>SUMPRODUCT(PRODUCE!$B5:$DY5,PRODUCE!$EB$20:$IY$20)</f>
        <v>0</v>
      </c>
      <c r="DS6" s="56"/>
      <c r="DT6" s="57">
        <f>DR6-DS6</f>
        <v>0</v>
      </c>
      <c r="DU6" s="57">
        <f>DU5+DQ6-DS6</f>
        <v>0</v>
      </c>
      <c r="DV6" s="56"/>
      <c r="DY6" s="55">
        <f>DP6</f>
        <v>46023</v>
      </c>
      <c r="DZ6" s="56"/>
      <c r="EA6" s="157">
        <f>SUMPRODUCT(PRODUCE!$B5:$DY5,PRODUCE!$EB$21:$IY$21)</f>
        <v>0</v>
      </c>
      <c r="EB6" s="56"/>
      <c r="EC6" s="157">
        <f>EA6-EB6</f>
        <v>0</v>
      </c>
      <c r="ED6" s="157">
        <f>ED5+DZ6-EB6</f>
        <v>0</v>
      </c>
      <c r="EE6" s="56"/>
      <c r="EH6" s="55">
        <f>DY6</f>
        <v>46023</v>
      </c>
      <c r="EI6" s="56"/>
      <c r="EJ6" s="162">
        <f>SUMPRODUCT(PRODUCE!$B5:$DY5,PRODUCE!$EB$22:$IY$22)</f>
        <v>0</v>
      </c>
      <c r="EK6" s="56"/>
      <c r="EL6" s="162">
        <f>EJ6-EK6</f>
        <v>0</v>
      </c>
      <c r="EM6" s="162">
        <f>EM5+EI6-EK6</f>
        <v>0</v>
      </c>
      <c r="EN6" s="56"/>
      <c r="EQ6" s="55">
        <f>EH6</f>
        <v>46023</v>
      </c>
      <c r="ER6" s="56"/>
      <c r="ES6" s="135">
        <f>SUMPRODUCT(PRODUCE!$B5:$DY5,PRODUCE!$EB$23:$IY$23)</f>
        <v>0</v>
      </c>
      <c r="ET6" s="56"/>
      <c r="EU6" s="135">
        <f>ES6-ET6</f>
        <v>0</v>
      </c>
      <c r="EV6" s="135">
        <f>EV5+ER6-ET6</f>
        <v>0</v>
      </c>
      <c r="EW6" s="56"/>
      <c r="EZ6" s="55">
        <f>EQ6</f>
        <v>46023</v>
      </c>
      <c r="FA6" s="56"/>
      <c r="FB6" s="175">
        <f>SUMPRODUCT(PRODUCE!$B5:$DY5,PRODUCE!$EB$24:$IY$24)</f>
        <v>0</v>
      </c>
      <c r="FC6" s="56"/>
      <c r="FD6" s="175">
        <f>FB6-FC6</f>
        <v>0</v>
      </c>
      <c r="FE6" s="175">
        <f>FE5+FA6-FC6</f>
        <v>0</v>
      </c>
      <c r="FF6" s="56"/>
      <c r="FI6" s="55">
        <f>EZ6</f>
        <v>46023</v>
      </c>
      <c r="FJ6" s="56"/>
      <c r="FK6" s="183">
        <f>SUMPRODUCT(PRODUCE!$B5:$DY5,PRODUCE!$EB$25:$IY$25)</f>
        <v>0</v>
      </c>
      <c r="FL6" s="56"/>
      <c r="FM6" s="183">
        <f>FK6-FL6</f>
        <v>0</v>
      </c>
      <c r="FN6" s="183">
        <f>FN5+FJ6-FL6</f>
        <v>0</v>
      </c>
      <c r="FO6" s="56"/>
      <c r="FR6" s="55">
        <f>FI6</f>
        <v>46023</v>
      </c>
      <c r="FS6" s="422"/>
      <c r="FT6" s="452">
        <f>SUMPRODUCT(PRODUCE!$B5:$DY5,PRODUCE!$EB$26:$IY$26)</f>
        <v>0</v>
      </c>
      <c r="FU6" s="422"/>
      <c r="FV6" s="452">
        <f>FT6-FU6</f>
        <v>0</v>
      </c>
      <c r="FW6" s="452">
        <f>FW5+FS6-FU6</f>
        <v>3540</v>
      </c>
      <c r="FX6" s="56"/>
      <c r="GA6" s="55">
        <f>FR6</f>
        <v>46023</v>
      </c>
      <c r="GB6" s="422"/>
      <c r="GC6" s="454">
        <f>SUMPRODUCT(PRODUCE!$B5:$DY5,PRODUCE!$EB$27:$IY$27)</f>
        <v>0</v>
      </c>
      <c r="GD6" s="422"/>
      <c r="GE6" s="454">
        <f>GC6-GD6</f>
        <v>0</v>
      </c>
      <c r="GF6" s="454">
        <f>GF5+GB6-GD6</f>
        <v>1960</v>
      </c>
      <c r="GG6" s="56"/>
      <c r="GI6" s="23"/>
      <c r="GJ6" s="55">
        <f>GA6</f>
        <v>46023</v>
      </c>
      <c r="GK6" s="422"/>
      <c r="GL6" s="456">
        <f>SUMPRODUCT(PRODUCE!$B5:$DY5,PRODUCE!$EB$28:$IY$28)</f>
        <v>0</v>
      </c>
      <c r="GM6" s="422"/>
      <c r="GN6" s="456">
        <f>GL6-GM6</f>
        <v>0</v>
      </c>
      <c r="GO6" s="456">
        <f>GO5+GK6-GM6</f>
        <v>2960</v>
      </c>
      <c r="GP6" s="56"/>
      <c r="GS6" s="55">
        <f>GJ6</f>
        <v>46023</v>
      </c>
      <c r="GT6" s="56"/>
      <c r="GU6" s="195">
        <f>SUMPRODUCT(PRODUCE!$B5:$DY5,PRODUCE!$EB$29:$IY$29)</f>
        <v>0</v>
      </c>
      <c r="GV6" s="56"/>
      <c r="GW6" s="195">
        <f>GU6-GV6</f>
        <v>0</v>
      </c>
      <c r="GX6" s="195">
        <f>GX5+GT6-GV6</f>
        <v>0</v>
      </c>
      <c r="GY6" s="56"/>
      <c r="HB6" s="55">
        <f>GS6</f>
        <v>46023</v>
      </c>
      <c r="HC6" s="56"/>
      <c r="HD6" s="191">
        <f>SUMPRODUCT(PRODUCE!$B5:$DY5,PRODUCE!$EB$30:$IY$30)</f>
        <v>0</v>
      </c>
      <c r="HE6" s="56"/>
      <c r="HF6" s="191">
        <f>HD6-HE6</f>
        <v>0</v>
      </c>
      <c r="HG6" s="191">
        <f>HG5+HC6-HE6</f>
        <v>0</v>
      </c>
      <c r="HH6" s="56"/>
      <c r="HK6" s="55">
        <f>HB6</f>
        <v>46023</v>
      </c>
      <c r="HL6" s="56"/>
      <c r="HM6" s="63">
        <f>SUMPRODUCT(PRODUCE!$B5:$DY5,PRODUCE!$EB$31:$IY$31)</f>
        <v>0</v>
      </c>
      <c r="HN6" s="56"/>
      <c r="HO6" s="63">
        <f>HM6-HN6</f>
        <v>0</v>
      </c>
      <c r="HP6" s="63">
        <f>HP5+HL6-HN6</f>
        <v>0</v>
      </c>
      <c r="HQ6" s="56"/>
      <c r="HU6" s="55">
        <f>HK6</f>
        <v>46023</v>
      </c>
      <c r="HV6" s="56"/>
      <c r="HW6" s="242">
        <f>SUMPRODUCT(PRODUCE!$B5:$DY5,PRODUCE!$EB$32:$IY$32)</f>
        <v>0</v>
      </c>
      <c r="HX6" s="56"/>
      <c r="HY6" s="242">
        <f>HW6-HX6</f>
        <v>0</v>
      </c>
      <c r="HZ6" s="242">
        <f>HZ5+HV6-HX6</f>
        <v>3980</v>
      </c>
      <c r="IA6" s="56"/>
      <c r="ID6" s="55">
        <f>HU6</f>
        <v>46023</v>
      </c>
      <c r="IE6" s="56"/>
      <c r="IF6" s="242">
        <f>SUMPRODUCT(PRODUCE!$B5:$DY5,PRODUCE!$EB$33:$IY$33)</f>
        <v>0</v>
      </c>
      <c r="IG6" s="56"/>
      <c r="IH6" s="242">
        <f>IF6-IG6</f>
        <v>0</v>
      </c>
      <c r="II6" s="242">
        <f>II5+IE6-IG6</f>
        <v>2960</v>
      </c>
      <c r="IJ6" s="56"/>
      <c r="IM6" s="55">
        <f>ID6</f>
        <v>46023</v>
      </c>
      <c r="IN6" s="56"/>
      <c r="IO6" s="242">
        <f>SUMPRODUCT(PRODUCE!$B5:$DY5,PRODUCE!$EB$34:$IY$34)</f>
        <v>0</v>
      </c>
      <c r="IP6" s="56"/>
      <c r="IQ6" s="242">
        <f>IO6-IP6</f>
        <v>0</v>
      </c>
      <c r="IR6" s="242">
        <f>IR5+IN6-IP6</f>
        <v>2040</v>
      </c>
      <c r="IS6" s="56"/>
      <c r="IV6" s="55">
        <f>IM6</f>
        <v>46023</v>
      </c>
      <c r="IW6" s="56"/>
      <c r="IX6" s="242">
        <f>SUMPRODUCT(PRODUCE!$B5:$DY5,PRODUCE!$EB$35:$IY$35)</f>
        <v>0</v>
      </c>
      <c r="IY6" s="56"/>
      <c r="IZ6" s="242">
        <f>IX6-IY6</f>
        <v>0</v>
      </c>
      <c r="JA6" s="242">
        <f>JA5+IW6-IY6</f>
        <v>7520</v>
      </c>
      <c r="JB6" s="56"/>
      <c r="JE6" s="55">
        <f>IV6</f>
        <v>46023</v>
      </c>
      <c r="JF6" s="56"/>
      <c r="JG6" s="242">
        <f>SUMPRODUCT(PRODUCE!$B5:$DY5,PRODUCE!$EB$36:$IY$36)</f>
        <v>0</v>
      </c>
      <c r="JH6" s="56"/>
      <c r="JI6" s="242">
        <f>JG6-JH6</f>
        <v>0</v>
      </c>
      <c r="JJ6" s="242">
        <f>JJ5+JF6-JH6</f>
        <v>6800</v>
      </c>
      <c r="JK6" s="56"/>
      <c r="JN6" s="55">
        <f>JE6</f>
        <v>46023</v>
      </c>
      <c r="JO6" s="56"/>
      <c r="JP6" s="242">
        <f>SUMPRODUCT(PRODUCE!$B5:$DY5,PRODUCE!$EB$37:$IY$37)</f>
        <v>0</v>
      </c>
      <c r="JQ6" s="56"/>
      <c r="JR6" s="242">
        <f>JP6-JQ6</f>
        <v>0</v>
      </c>
      <c r="JS6" s="242">
        <f>JS5+JO6-JQ6</f>
        <v>4400</v>
      </c>
      <c r="JT6" s="56"/>
      <c r="JW6" s="55">
        <f>JN6</f>
        <v>46023</v>
      </c>
      <c r="JX6" s="56"/>
      <c r="JY6" s="242">
        <f>SUMPRODUCT(PRODUCE!$B5:$DY5,PRODUCE!$EB$38:$IY$38)</f>
        <v>0</v>
      </c>
      <c r="JZ6" s="56"/>
      <c r="KA6" s="242">
        <f>JY6-JZ6</f>
        <v>0</v>
      </c>
      <c r="KB6" s="242">
        <f>KB5+JX6-JZ6</f>
        <v>0</v>
      </c>
      <c r="KC6" s="56"/>
      <c r="KF6" s="55">
        <f>JW6</f>
        <v>46023</v>
      </c>
      <c r="KG6" s="56"/>
      <c r="KH6" s="242">
        <f>SUMPRODUCT(PRODUCE!$B5:$DY5,PRODUCE!$EB$39:$IY$39)</f>
        <v>0</v>
      </c>
      <c r="KI6" s="56"/>
      <c r="KJ6" s="242">
        <f>KH6-KI6</f>
        <v>0</v>
      </c>
      <c r="KK6" s="242">
        <f>KK5+KG6-KI6</f>
        <v>0</v>
      </c>
      <c r="KL6" s="56"/>
      <c r="KO6" s="55">
        <f>KF6</f>
        <v>46023</v>
      </c>
      <c r="KP6" s="56"/>
      <c r="KQ6" s="242">
        <f>SUMPRODUCT(PRODUCE!$B5:$DY5,PRODUCE!$EB$40:$IY$40)</f>
        <v>0</v>
      </c>
      <c r="KR6" s="56"/>
      <c r="KS6" s="242">
        <f>KQ6-KR6</f>
        <v>0</v>
      </c>
      <c r="KT6" s="242">
        <f>KT5+KP6-KR6</f>
        <v>0</v>
      </c>
      <c r="KU6" s="56"/>
      <c r="KW6" s="23"/>
      <c r="KX6" s="55">
        <f>KO6</f>
        <v>46023</v>
      </c>
      <c r="KY6" s="56"/>
      <c r="KZ6" s="242">
        <f>SUMPRODUCT(PRODUCE!$B5:$DY5,PRODUCE!$EB$41:$IY$41)</f>
        <v>0</v>
      </c>
      <c r="LA6" s="56"/>
      <c r="LB6" s="242">
        <f>KZ6-LA6</f>
        <v>0</v>
      </c>
      <c r="LC6" s="242">
        <f>LC5+KY6-LA6</f>
        <v>0</v>
      </c>
      <c r="LD6" s="56"/>
      <c r="LG6" s="55">
        <f>KX6</f>
        <v>46023</v>
      </c>
      <c r="LH6" s="56"/>
      <c r="LI6" s="242">
        <f>SUMPRODUCT(PRODUCE!$B5:$DY5,PRODUCE!$EB$42:$IY$42)</f>
        <v>0</v>
      </c>
      <c r="LJ6" s="56"/>
      <c r="LK6" s="242">
        <f>LI6-LJ6</f>
        <v>0</v>
      </c>
      <c r="LL6" s="242">
        <f>LL5+LH6-LJ6</f>
        <v>0</v>
      </c>
      <c r="LM6" s="56"/>
      <c r="LP6" s="55">
        <f>LG6</f>
        <v>46023</v>
      </c>
      <c r="LQ6" s="56"/>
      <c r="LR6" s="242">
        <f>SUMPRODUCT(PRODUCE!$B5:$DY5,PRODUCE!$EB$43:$IY$43)</f>
        <v>0</v>
      </c>
      <c r="LS6" s="56"/>
      <c r="LT6" s="242">
        <f>LR6-LS6</f>
        <v>0</v>
      </c>
      <c r="LU6" s="242">
        <f>LU5+LQ6-LS6</f>
        <v>0</v>
      </c>
      <c r="LV6" s="56"/>
      <c r="LY6" s="55">
        <f>LP6</f>
        <v>46023</v>
      </c>
      <c r="LZ6" s="56"/>
      <c r="MA6" s="242">
        <f>SUMPRODUCT(PRODUCE!$B5:$DY5,PRODUCE!$EB$44:$IY$44)</f>
        <v>0</v>
      </c>
      <c r="MB6" s="56"/>
      <c r="MC6" s="242">
        <f>MA6-MB6</f>
        <v>0</v>
      </c>
      <c r="MD6" s="242">
        <f>MD5+LZ6-MB6</f>
        <v>0</v>
      </c>
      <c r="ME6" s="56"/>
      <c r="MH6" s="55">
        <f>LY6</f>
        <v>46023</v>
      </c>
      <c r="MI6" s="56"/>
      <c r="MJ6" s="242">
        <f>SUMPRODUCT(PRODUCE!$B5:$DY5,PRODUCE!$EB$45:$IY$45)</f>
        <v>0</v>
      </c>
      <c r="MK6" s="56"/>
      <c r="ML6" s="242">
        <f>MJ6-MK6</f>
        <v>0</v>
      </c>
      <c r="MM6" s="242">
        <f>MM5+MI6-MK6</f>
        <v>0</v>
      </c>
      <c r="MN6" s="56"/>
      <c r="MQ6" s="55">
        <f>MH6</f>
        <v>46023</v>
      </c>
      <c r="MR6" s="56"/>
      <c r="MS6" s="242">
        <f>SUMPRODUCT(PRODUCE!$B5:$DY5,PRODUCE!$EB$46:$IY$46)</f>
        <v>0</v>
      </c>
      <c r="MT6" s="56"/>
      <c r="MU6" s="242">
        <f>MS6-MT6</f>
        <v>0</v>
      </c>
      <c r="MV6" s="242">
        <f>MV5+MR6-MT6</f>
        <v>1531</v>
      </c>
      <c r="MW6" s="56"/>
      <c r="MZ6" s="55">
        <f>MQ6</f>
        <v>46023</v>
      </c>
      <c r="NA6" s="56"/>
      <c r="NB6" s="242">
        <f>SUMPRODUCT(PRODUCE!$B5:$DY5,PRODUCE!$EB$47:$IY$47)</f>
        <v>0</v>
      </c>
      <c r="NC6" s="56"/>
      <c r="ND6" s="242">
        <f>NB6-NC6</f>
        <v>0</v>
      </c>
      <c r="NE6" s="242">
        <f>NE5+NA6-NC6</f>
        <v>0</v>
      </c>
      <c r="NF6" s="56"/>
      <c r="NI6" s="55">
        <f>MZ6</f>
        <v>46023</v>
      </c>
      <c r="NJ6" s="56"/>
      <c r="NK6" s="242">
        <f>SUMPRODUCT(PRODUCE!$B5:$DY5,PRODUCE!$EB$48:$IY$48)</f>
        <v>0</v>
      </c>
      <c r="NL6" s="56"/>
      <c r="NM6" s="242">
        <f>NK6-NL6</f>
        <v>0</v>
      </c>
      <c r="NN6" s="242">
        <f>NN5+NJ6-NL6</f>
        <v>0</v>
      </c>
      <c r="NO6" s="56"/>
      <c r="NR6" s="55">
        <f>MZ6</f>
        <v>46023</v>
      </c>
      <c r="NS6" s="56"/>
      <c r="NT6" s="242">
        <f>SUMPRODUCT(PRODUCE!$B5:$DY5,PRODUCE!$EB$49:$IY$49)</f>
        <v>0</v>
      </c>
      <c r="NU6" s="56"/>
      <c r="NV6" s="242">
        <f>NT6-NU6</f>
        <v>0</v>
      </c>
      <c r="NW6" s="242">
        <f>NW5+NS6-NU6</f>
        <v>0</v>
      </c>
      <c r="NX6" s="56"/>
      <c r="OA6" s="55">
        <f>NR6</f>
        <v>46023</v>
      </c>
      <c r="OB6" s="56"/>
      <c r="OC6" s="242">
        <f>SUMPRODUCT(PRODUCE!$B5:$DY5,PRODUCE!$EB$50:$IY$50)</f>
        <v>0</v>
      </c>
      <c r="OD6" s="56"/>
      <c r="OE6" s="242">
        <f>OC6-OD6</f>
        <v>0</v>
      </c>
      <c r="OF6" s="242">
        <f>OF5+OB6-OD6</f>
        <v>35.199999999999989</v>
      </c>
      <c r="OG6" s="56"/>
      <c r="OJ6" s="55">
        <f>OA6</f>
        <v>46023</v>
      </c>
      <c r="OK6" s="56"/>
      <c r="OL6" s="242">
        <f>SUMPRODUCT(PRODUCE!$B5:$DY5,PRODUCE!$EB$51:$IY$51)</f>
        <v>0</v>
      </c>
      <c r="OM6" s="56"/>
      <c r="ON6" s="242">
        <f>OL6-OM6</f>
        <v>0</v>
      </c>
      <c r="OO6" s="242">
        <f>OO5+OK6-OM6</f>
        <v>0</v>
      </c>
      <c r="OP6" s="56"/>
      <c r="OS6" s="55">
        <f>OJ6</f>
        <v>46023</v>
      </c>
      <c r="OT6" s="56"/>
      <c r="OU6" s="242">
        <f>SUMPRODUCT(PRODUCE!$B5:$DY5,PRODUCE!$EB$52:$IY$52)</f>
        <v>0</v>
      </c>
      <c r="OV6" s="56"/>
      <c r="OW6" s="242">
        <f>OU6-OV6</f>
        <v>0</v>
      </c>
      <c r="OX6" s="242">
        <f>OX5+OT6-OV6</f>
        <v>349</v>
      </c>
      <c r="OY6" s="56"/>
      <c r="PB6" s="55">
        <f>OS6</f>
        <v>46023</v>
      </c>
      <c r="PC6" s="56"/>
      <c r="PD6" s="242">
        <f>SUMPRODUCT(PRODUCE!$B5:$DY5,PRODUCE!$EB$53:$IY$53)</f>
        <v>0</v>
      </c>
      <c r="PE6" s="56"/>
      <c r="PF6" s="242">
        <f>PD6-PE6</f>
        <v>0</v>
      </c>
      <c r="PG6" s="242">
        <f>PG5+PC6-PE6</f>
        <v>0</v>
      </c>
      <c r="PH6" s="56"/>
      <c r="PK6" s="55">
        <f>PB6</f>
        <v>46023</v>
      </c>
      <c r="PL6" s="56"/>
      <c r="PM6" s="242">
        <f>SUMPRODUCT(PRODUCE!$B5:$DY5,PRODUCE!$EB$54:$IY$54)</f>
        <v>0</v>
      </c>
      <c r="PN6" s="56"/>
      <c r="PO6" s="242">
        <f>PM6-PN6</f>
        <v>0</v>
      </c>
      <c r="PP6" s="242">
        <f>PP5+PL6-PN6</f>
        <v>160</v>
      </c>
      <c r="PQ6" s="56"/>
      <c r="PT6" s="55">
        <f>PK6</f>
        <v>46023</v>
      </c>
      <c r="PU6" s="56"/>
      <c r="PV6" s="242">
        <f>SUMPRODUCT(PRODUCE!$B5:$DY5,PRODUCE!$EB$55:$IY$55)</f>
        <v>0</v>
      </c>
      <c r="PW6" s="56"/>
      <c r="PX6" s="242">
        <f>PV6-PW6</f>
        <v>0</v>
      </c>
      <c r="PY6" s="242">
        <f>PY5+PU6-PW6</f>
        <v>13.960000000000036</v>
      </c>
      <c r="PZ6" s="56"/>
      <c r="QC6" s="55">
        <f>PT6</f>
        <v>46023</v>
      </c>
      <c r="QD6" s="56"/>
      <c r="QE6" s="242">
        <f>SUMPRODUCT(PRODUCE!$B5:$DY5,PRODUCE!$EB$56:$IY$56)</f>
        <v>0</v>
      </c>
      <c r="QF6" s="56"/>
      <c r="QG6" s="242">
        <f>QE6-QF6</f>
        <v>0</v>
      </c>
      <c r="QH6" s="242">
        <f>QH5+QD6-QF6</f>
        <v>0</v>
      </c>
      <c r="QI6" s="56"/>
      <c r="QL6" s="55">
        <f>QC6</f>
        <v>46023</v>
      </c>
      <c r="QM6" s="56"/>
      <c r="QN6" s="242">
        <f>SUMPRODUCT(PRODUCE!$B5:$DY5,PRODUCE!$EB$57:$IY$57)</f>
        <v>0</v>
      </c>
      <c r="QO6" s="56"/>
      <c r="QP6" s="242">
        <f>QN6-QO6</f>
        <v>0</v>
      </c>
      <c r="QQ6" s="242">
        <f>QQ5+QM6-QO6</f>
        <v>0</v>
      </c>
      <c r="QR6" s="56"/>
      <c r="QU6" s="55">
        <f>QL6</f>
        <v>46023</v>
      </c>
      <c r="QV6" s="56"/>
      <c r="QW6" s="242">
        <f>SUMPRODUCT(PRODUCE!$B5:$DY5,PRODUCE!$EB$57:$IY$57)</f>
        <v>0</v>
      </c>
      <c r="QX6" s="56"/>
      <c r="QY6" s="242">
        <f>QW6-QX6</f>
        <v>0</v>
      </c>
      <c r="QZ6" s="242">
        <f>QZ5+QV6-QX6</f>
        <v>207.6</v>
      </c>
      <c r="RA6" s="56"/>
      <c r="RD6" s="55">
        <f>QU6</f>
        <v>46023</v>
      </c>
      <c r="RE6" s="56"/>
      <c r="RF6" s="242">
        <f>SUMPRODUCT(PRODUCE!$B5:$DY5,PRODUCE!$EB$58:$IY$58)</f>
        <v>0</v>
      </c>
      <c r="RG6" s="56"/>
      <c r="RH6" s="242">
        <f>RF6-RG6</f>
        <v>0</v>
      </c>
      <c r="RI6" s="242">
        <f>RI5+RE6-RG6</f>
        <v>201.8</v>
      </c>
      <c r="RJ6" s="56"/>
      <c r="RM6" s="55">
        <f>RD6</f>
        <v>46023</v>
      </c>
      <c r="RN6" s="56"/>
      <c r="RO6" s="242">
        <f>SUMPRODUCT(PRODUCE!$B5:$DY5,PRODUCE!$EB$59:$IY$59)</f>
        <v>0</v>
      </c>
      <c r="RP6" s="56"/>
      <c r="RQ6" s="242">
        <f>RO6-RP6</f>
        <v>0</v>
      </c>
      <c r="RR6" s="242">
        <f>RR5+RN6-RP6</f>
        <v>22.720000000000002</v>
      </c>
      <c r="RS6" s="56"/>
      <c r="RV6" s="55">
        <f>RM6</f>
        <v>46023</v>
      </c>
      <c r="RW6" s="56"/>
      <c r="RX6" s="242">
        <f>SUMPRODUCT(PRODUCE!$B5:$DY5,PRODUCE!$EB$57:$IY$57)</f>
        <v>0</v>
      </c>
      <c r="RY6" s="56"/>
      <c r="RZ6" s="242">
        <f>RX6-RY6</f>
        <v>0</v>
      </c>
      <c r="SA6" s="242">
        <f>SA5+RW6-RY6</f>
        <v>0</v>
      </c>
      <c r="SB6" s="56"/>
      <c r="SE6" s="55">
        <f>RV6</f>
        <v>46023</v>
      </c>
      <c r="SF6" s="56"/>
      <c r="SG6" s="242">
        <f>SUMPRODUCT(PRODUCE!$B5:$DY5,PRODUCE!$EB$61:$IY$61)</f>
        <v>0</v>
      </c>
      <c r="SH6" s="56"/>
      <c r="SI6" s="242">
        <f>SG6-SH6</f>
        <v>0</v>
      </c>
      <c r="SJ6" s="242">
        <f>SJ5+SF6-SH6</f>
        <v>0</v>
      </c>
      <c r="SK6" s="56"/>
      <c r="SN6" s="55">
        <f>SE6</f>
        <v>46023</v>
      </c>
      <c r="SO6" s="56"/>
      <c r="SP6" s="242">
        <f>SUMPRODUCT(PRODUCE!$B5:$DY5,PRODUCE!$EB$57:$IY$57)</f>
        <v>0</v>
      </c>
      <c r="SQ6" s="56"/>
      <c r="SR6" s="242">
        <f>SP6-SQ6</f>
        <v>0</v>
      </c>
      <c r="SS6" s="242">
        <f>SS5+SO6-SQ6</f>
        <v>0</v>
      </c>
      <c r="ST6" s="56"/>
      <c r="SW6" s="55">
        <f>SN6</f>
        <v>46023</v>
      </c>
      <c r="SX6" s="56"/>
      <c r="SY6" s="242">
        <f>SUMPRODUCT(PRODUCE!$B5:$DY5,PRODUCE!$EB$57:$IY$57)</f>
        <v>0</v>
      </c>
      <c r="SZ6" s="56"/>
      <c r="TA6" s="242">
        <f>SY6-SZ6</f>
        <v>0</v>
      </c>
      <c r="TB6" s="242">
        <f>TB5+SX6-SZ6</f>
        <v>0</v>
      </c>
      <c r="TC6" s="56"/>
      <c r="TF6" s="55">
        <f>SW6</f>
        <v>46023</v>
      </c>
      <c r="TG6" s="56"/>
      <c r="TH6" s="242">
        <f>SUMPRODUCT(PRODUCE!$B5:$DY5,PRODUCE!$EB$57:$IY$57)</f>
        <v>0</v>
      </c>
      <c r="TI6" s="56"/>
      <c r="TJ6" s="242">
        <f>TH6-TI6</f>
        <v>0</v>
      </c>
      <c r="TK6" s="242">
        <f>TK5+TG6-TI6</f>
        <v>0</v>
      </c>
      <c r="TL6" s="56"/>
      <c r="TO6" s="55">
        <f>TF6</f>
        <v>46023</v>
      </c>
      <c r="TP6" s="56"/>
      <c r="TQ6" s="242">
        <f>SUMPRODUCT(PRODUCE!$B5:$DY5,PRODUCE!$EB$57:$IY$57)</f>
        <v>0</v>
      </c>
      <c r="TR6" s="56"/>
      <c r="TS6" s="242">
        <f>TQ6-TR6</f>
        <v>0</v>
      </c>
      <c r="TT6" s="242">
        <f>TT5+TP6-TR6</f>
        <v>0</v>
      </c>
      <c r="TU6" s="56"/>
      <c r="TX6" s="55">
        <f>TO6</f>
        <v>46023</v>
      </c>
      <c r="TY6" s="56"/>
      <c r="TZ6" s="242">
        <f>SUMPRODUCT(PRODUCE!$B5:$DY5,PRODUCE!$EB$57:$IY$57)</f>
        <v>0</v>
      </c>
      <c r="UA6" s="56"/>
      <c r="UB6" s="242">
        <f>TZ6-UA6</f>
        <v>0</v>
      </c>
      <c r="UC6" s="242">
        <f>UC5+TY6-UA6</f>
        <v>0</v>
      </c>
      <c r="UD6" s="56"/>
      <c r="UG6" s="55">
        <f>TX6</f>
        <v>46023</v>
      </c>
      <c r="UH6" s="56"/>
      <c r="UI6" s="242">
        <f>SUMPRODUCT(PRODUCE!$B5:$DY5,PRODUCE!$EB$57:$IY$57)</f>
        <v>0</v>
      </c>
      <c r="UJ6" s="56"/>
      <c r="UK6" s="242">
        <f>UI6-UJ6</f>
        <v>0</v>
      </c>
      <c r="UL6" s="242">
        <f>UL5+UH6-UJ6</f>
        <v>0</v>
      </c>
      <c r="UM6" s="56"/>
      <c r="UP6" s="55">
        <f>UG6</f>
        <v>46023</v>
      </c>
      <c r="UQ6" s="56"/>
      <c r="UR6" s="242">
        <f>SUMPRODUCT(PRODUCE!$B5:$DY5,PRODUCE!$EB$57:$IY$57)</f>
        <v>0</v>
      </c>
      <c r="US6" s="56"/>
      <c r="UT6" s="242">
        <f>UR6-US6</f>
        <v>0</v>
      </c>
      <c r="UU6" s="242">
        <f>UU5+UQ6-US6</f>
        <v>0</v>
      </c>
      <c r="UV6" s="56"/>
      <c r="UY6" s="55">
        <f>UP6</f>
        <v>46023</v>
      </c>
      <c r="UZ6" s="56"/>
      <c r="VA6" s="242">
        <f>SUMPRODUCT(PRODUCE!$B5:$DY5,PRODUCE!$EB$57:$IY$57)</f>
        <v>0</v>
      </c>
      <c r="VB6" s="56"/>
      <c r="VC6" s="242">
        <f>VA6-VB6</f>
        <v>0</v>
      </c>
      <c r="VD6" s="242">
        <f>VD5+UZ6-VB6</f>
        <v>-319.59999999999997</v>
      </c>
      <c r="VE6" s="56"/>
      <c r="VH6" s="55">
        <f>UY6</f>
        <v>46023</v>
      </c>
      <c r="VI6" s="56"/>
      <c r="VJ6" s="242">
        <f>SUMPRODUCT(PRODUCE!$B5:$DY5,PRODUCE!$EB$57:$IY$57)</f>
        <v>0</v>
      </c>
      <c r="VK6" s="56"/>
      <c r="VL6" s="242">
        <f>VJ6-VK6</f>
        <v>0</v>
      </c>
      <c r="VM6" s="242">
        <f>VM5+VI6-VK6</f>
        <v>0</v>
      </c>
      <c r="VN6" s="56"/>
      <c r="VQ6" s="55">
        <f>VH6</f>
        <v>46023</v>
      </c>
      <c r="VR6" s="56"/>
      <c r="VS6" s="242">
        <f>SUMPRODUCT(PRODUCE!$B5:$DY5,PRODUCE!$EB$57:$IY$57)</f>
        <v>0</v>
      </c>
      <c r="VT6" s="56"/>
      <c r="VU6" s="242">
        <f>VS6-VT6</f>
        <v>0</v>
      </c>
      <c r="VV6" s="242">
        <f>VV5+VR6-VT6</f>
        <v>0</v>
      </c>
      <c r="VW6" s="56"/>
      <c r="VZ6" s="55">
        <f>VQ6</f>
        <v>46023</v>
      </c>
      <c r="WA6" s="56"/>
      <c r="WB6" s="242">
        <f>SUMPRODUCT(PRODUCE!$B5:$DY5,PRODUCE!$EB$57:$IY$57)</f>
        <v>0</v>
      </c>
      <c r="WC6" s="56"/>
      <c r="WD6" s="242">
        <f>WB6-WC6</f>
        <v>0</v>
      </c>
      <c r="WE6" s="242">
        <f>WE5+WA6-WC6</f>
        <v>0</v>
      </c>
      <c r="WF6" s="56"/>
      <c r="WI6" s="55">
        <f>VZ6</f>
        <v>46023</v>
      </c>
      <c r="WJ6" s="56"/>
      <c r="WK6" s="242">
        <f>SUMPRODUCT(PRODUCE!$B5:$DY5,PRODUCE!$EB$57:$IY$57)</f>
        <v>0</v>
      </c>
      <c r="WL6" s="56"/>
      <c r="WM6" s="242">
        <f>WK6-WL6</f>
        <v>0</v>
      </c>
      <c r="WN6" s="242">
        <f>WN5+WJ6-WL6</f>
        <v>5877</v>
      </c>
      <c r="WO6" s="56"/>
      <c r="WR6" s="55">
        <f>WI6</f>
        <v>46023</v>
      </c>
      <c r="WS6" s="56"/>
      <c r="WT6" s="242">
        <f>SUMPRODUCT(PRODUCE!$B5:$DY5,PRODUCE!$EB$57:$IY$57)</f>
        <v>0</v>
      </c>
      <c r="WU6" s="56"/>
      <c r="WV6" s="242">
        <f>WT6-WU6</f>
        <v>0</v>
      </c>
      <c r="WW6" s="242">
        <f>WW5+WS6-WU6</f>
        <v>5267</v>
      </c>
      <c r="WX6" s="56"/>
      <c r="XA6" s="55">
        <f>WR6</f>
        <v>46023</v>
      </c>
      <c r="XB6" s="56"/>
      <c r="XC6" s="242">
        <f>SUMPRODUCT(PRODUCE!$B5:$DY5,PRODUCE!$EB$57:$IY$57)</f>
        <v>0</v>
      </c>
      <c r="XD6" s="56"/>
      <c r="XE6" s="242">
        <f>XC6-XD6</f>
        <v>0</v>
      </c>
      <c r="XF6" s="242">
        <f>XF5+XB6-XD6</f>
        <v>4457</v>
      </c>
      <c r="XG6" s="56"/>
      <c r="XJ6" s="55">
        <f>XA6</f>
        <v>46023</v>
      </c>
      <c r="XK6" s="56"/>
      <c r="XL6" s="242">
        <f>SUMPRODUCT(PRODUCE!$B5:$DY5,PRODUCE!$EB$57:$IY$57)</f>
        <v>0</v>
      </c>
      <c r="XM6" s="56"/>
      <c r="XN6" s="242">
        <f>XL6-XM6</f>
        <v>0</v>
      </c>
      <c r="XO6" s="242">
        <f>XO5+XK6-XM6</f>
        <v>6772</v>
      </c>
      <c r="XP6" s="56"/>
      <c r="XS6" s="55">
        <f>XJ6</f>
        <v>46023</v>
      </c>
      <c r="XT6" s="56"/>
      <c r="XU6" s="242">
        <f>SUMPRODUCT(PRODUCE!$B5:$DY5,PRODUCE!$EB$57:$IY$57)</f>
        <v>0</v>
      </c>
      <c r="XV6" s="56"/>
      <c r="XW6" s="242">
        <f>XU6-XV6</f>
        <v>0</v>
      </c>
      <c r="XX6" s="242">
        <f>XX5+XT6-XV6</f>
        <v>1901</v>
      </c>
      <c r="XY6" s="56"/>
      <c r="YB6" s="55">
        <f>XS6</f>
        <v>46023</v>
      </c>
      <c r="YC6" s="56"/>
      <c r="YD6" s="242">
        <f>SUMPRODUCT(PRODUCE!$B5:$DY5,PRODUCE!$EB$57:$IY$57)</f>
        <v>0</v>
      </c>
      <c r="YE6" s="56"/>
      <c r="YF6" s="242">
        <f>YD6-YE6</f>
        <v>0</v>
      </c>
      <c r="YG6" s="242">
        <f>YG5+YC6-YE6</f>
        <v>4175</v>
      </c>
      <c r="YH6" s="56"/>
      <c r="YK6" s="55">
        <f>YB6</f>
        <v>46023</v>
      </c>
      <c r="YL6" s="56"/>
      <c r="YM6" s="242">
        <f>SUMPRODUCT(PRODUCE!$B5:$DY5,PRODUCE!$EB$57:$IY$57)</f>
        <v>0</v>
      </c>
      <c r="YN6" s="56"/>
      <c r="YO6" s="242">
        <f>YM6-YN6</f>
        <v>0</v>
      </c>
      <c r="YP6" s="242">
        <f>YP5+YL6-YN6</f>
        <v>0</v>
      </c>
      <c r="YQ6" s="56"/>
      <c r="YT6" s="55">
        <f>YK6</f>
        <v>46023</v>
      </c>
      <c r="YU6" s="56"/>
      <c r="YV6" s="242">
        <f>SUMPRODUCT(PRODUCE!$B5:$DY5,PRODUCE!$EB$57:$IY$57)</f>
        <v>0</v>
      </c>
      <c r="YW6" s="56"/>
      <c r="YX6" s="242">
        <f>YV6-YW6</f>
        <v>0</v>
      </c>
      <c r="YY6" s="242">
        <f>YY5+YU6-YW6</f>
        <v>0</v>
      </c>
      <c r="YZ6" s="56"/>
      <c r="ZC6" s="55">
        <f>YT6</f>
        <v>46023</v>
      </c>
      <c r="ZD6" s="56"/>
      <c r="ZE6" s="242">
        <f>SUMPRODUCT(PRODUCE!$B5:$DY5,PRODUCE!$EB$57:$IY$57)</f>
        <v>0</v>
      </c>
      <c r="ZF6" s="56"/>
      <c r="ZG6" s="242">
        <f>ZE6-ZF6</f>
        <v>0</v>
      </c>
      <c r="ZH6" s="242">
        <f>ZH5+ZD6-ZF6</f>
        <v>0</v>
      </c>
      <c r="ZI6" s="56"/>
      <c r="ZL6" s="55">
        <f>ZC6</f>
        <v>46023</v>
      </c>
      <c r="ZM6" s="56"/>
      <c r="ZN6" s="242">
        <f>SUMPRODUCT(PRODUCE!$B5:$DY5,PRODUCE!$EB$57:$IY$57)</f>
        <v>0</v>
      </c>
      <c r="ZO6" s="56"/>
      <c r="ZP6" s="242">
        <f>ZN6-ZO6</f>
        <v>0</v>
      </c>
      <c r="ZQ6" s="242">
        <f>ZQ5+ZM6-ZO6</f>
        <v>0</v>
      </c>
      <c r="ZR6" s="56"/>
      <c r="ZU6" s="55">
        <f>ZL6</f>
        <v>46023</v>
      </c>
      <c r="ZV6" s="56"/>
      <c r="ZW6" s="242">
        <f>SUMPRODUCT(PRODUCE!$B5:$DY5,PRODUCE!$EB$57:$IY$57)</f>
        <v>0</v>
      </c>
      <c r="ZX6" s="56"/>
      <c r="ZY6" s="242">
        <f>ZW6-ZX6</f>
        <v>0</v>
      </c>
      <c r="ZZ6" s="242">
        <f>ZZ5+ZV6-ZX6</f>
        <v>0</v>
      </c>
      <c r="AAA6" s="56"/>
      <c r="AAD6" s="55">
        <f>ZU6</f>
        <v>46023</v>
      </c>
      <c r="AAE6" s="56"/>
      <c r="AAF6" s="242">
        <f>SUMPRODUCT(PRODUCE!$B5:$DY5,PRODUCE!$EB$57:$IY$57)</f>
        <v>0</v>
      </c>
      <c r="AAG6" s="56"/>
      <c r="AAH6" s="242">
        <f>AAF6-AAG6</f>
        <v>0</v>
      </c>
      <c r="AAI6" s="242">
        <f>AAI5+AAE6-AAG6</f>
        <v>0</v>
      </c>
      <c r="AAJ6" s="56"/>
      <c r="AAM6" s="55">
        <f>AAD6</f>
        <v>46023</v>
      </c>
      <c r="AAN6" s="56"/>
      <c r="AAO6" s="242">
        <f>SUMPRODUCT(PRODUCE!$B5:$DY5,PRODUCE!$EB$57:$IY$57)</f>
        <v>0</v>
      </c>
      <c r="AAP6" s="56"/>
      <c r="AAQ6" s="242">
        <f>AAO6-AAP6</f>
        <v>0</v>
      </c>
      <c r="AAR6" s="242">
        <f>AAR5+AAN6-AAP6</f>
        <v>0</v>
      </c>
      <c r="AAS6" s="56"/>
      <c r="AAV6" s="55">
        <f>AAM6</f>
        <v>46023</v>
      </c>
      <c r="AAW6" s="56"/>
      <c r="AAX6" s="242">
        <f>SUMPRODUCT(PRODUCE!$B5:$DY5,PRODUCE!$EB$57:$IY$57)</f>
        <v>0</v>
      </c>
      <c r="AAY6" s="56"/>
      <c r="AAZ6" s="242">
        <f>AAX6-AAY6</f>
        <v>0</v>
      </c>
      <c r="ABA6" s="242">
        <f>ABA5+AAW6-AAY6</f>
        <v>0</v>
      </c>
      <c r="ABB6" s="56"/>
      <c r="ABE6" s="55">
        <f>AAV6</f>
        <v>46023</v>
      </c>
      <c r="ABF6" s="56"/>
      <c r="ABG6" s="242">
        <f>SUMPRODUCT(PRODUCE!$B5:$DY5,PRODUCE!$EB$57:$IY$57)</f>
        <v>0</v>
      </c>
      <c r="ABH6" s="56"/>
      <c r="ABI6" s="242">
        <f>ABG6-ABH6</f>
        <v>0</v>
      </c>
      <c r="ABJ6" s="242">
        <f>ABJ5+ABF6-ABH6</f>
        <v>0</v>
      </c>
      <c r="ABK6" s="56"/>
    </row>
    <row r="7" spans="1:740" s="54" customFormat="1" ht="15" customHeight="1" outlineLevel="1">
      <c r="B7" s="478">
        <f>28+40</f>
        <v>68</v>
      </c>
      <c r="C7" s="55">
        <v>46024</v>
      </c>
      <c r="D7" s="422">
        <v>72330</v>
      </c>
      <c r="E7" s="423">
        <f>SUMPRODUCT(PRODUCE!$B6:$DY6,PRODUCE!$EB$7:$IY$7)</f>
        <v>40150</v>
      </c>
      <c r="F7" s="422">
        <f>15049.4+25096.4</f>
        <v>40145.800000000003</v>
      </c>
      <c r="G7" s="423">
        <f t="shared" ref="G7:G36" si="2">E7-F7</f>
        <v>4.1999999999970896</v>
      </c>
      <c r="H7" s="423">
        <f t="shared" si="0"/>
        <v>80034.399999999994</v>
      </c>
      <c r="I7" s="289" t="s">
        <v>174</v>
      </c>
      <c r="L7" s="55">
        <f t="shared" si="1"/>
        <v>46024</v>
      </c>
      <c r="M7" s="422"/>
      <c r="N7" s="438">
        <f>SUMPRODUCT(PRODUCE!$B6:$DY6,PRODUCE!$EB$8:$IY$8)</f>
        <v>13271.999999999998</v>
      </c>
      <c r="O7" s="422">
        <f>7806.4+5458.2</f>
        <v>13264.599999999999</v>
      </c>
      <c r="P7" s="438">
        <f t="shared" ref="P7:P36" si="3">N7-O7</f>
        <v>7.3999999999996362</v>
      </c>
      <c r="Q7" s="438">
        <f t="shared" ref="Q7:Q36" si="4">Q6+M7-O7</f>
        <v>-4568.3999999999978</v>
      </c>
      <c r="R7" s="56"/>
      <c r="U7" s="55">
        <f t="shared" ref="U7:U36" si="5">L7</f>
        <v>46024</v>
      </c>
      <c r="V7" s="422"/>
      <c r="W7" s="440">
        <f>SUMPRODUCT(PRODUCE!$B6:$DY6,PRODUCE!$EB$9:$IY$9)</f>
        <v>4600</v>
      </c>
      <c r="X7" s="422">
        <f>1399.4+3201.2</f>
        <v>4600.6000000000004</v>
      </c>
      <c r="Y7" s="440">
        <f t="shared" ref="Y7:Y36" si="6">W7-X7</f>
        <v>-0.6000000000003638</v>
      </c>
      <c r="Z7" s="440">
        <f t="shared" ref="Z7:Z36" si="7">Z6+V7-X7</f>
        <v>35770.699999999997</v>
      </c>
      <c r="AA7" s="56"/>
      <c r="AD7" s="55">
        <f t="shared" ref="AD7:AD36" si="8">U7</f>
        <v>46024</v>
      </c>
      <c r="AE7" s="422"/>
      <c r="AF7" s="442">
        <f>SUMPRODUCT(PRODUCE!$B6:$DY6,PRODUCE!$EB$10:$IY$10)</f>
        <v>4200</v>
      </c>
      <c r="AG7" s="422">
        <f>1400.5+2800.6</f>
        <v>4201.1000000000004</v>
      </c>
      <c r="AH7" s="442">
        <f t="shared" ref="AH7:AH36" si="9">AF7-AG7</f>
        <v>-1.1000000000003638</v>
      </c>
      <c r="AI7" s="442">
        <f t="shared" ref="AI7:AI36" si="10">AI6+AE7-AG7</f>
        <v>29592.600000000013</v>
      </c>
      <c r="AJ7" s="56"/>
      <c r="AM7" s="55">
        <f t="shared" ref="AM7:AM36" si="11">AD7</f>
        <v>46024</v>
      </c>
      <c r="AN7" s="422"/>
      <c r="AO7" s="444">
        <f>SUMPRODUCT(PRODUCE!$B6:$DY6,PRODUCE!$EB$11:$IY$11)</f>
        <v>0</v>
      </c>
      <c r="AP7" s="422"/>
      <c r="AQ7" s="444">
        <f t="shared" ref="AQ7:AQ36" si="12">AO7-AP7</f>
        <v>0</v>
      </c>
      <c r="AR7" s="444">
        <f t="shared" ref="AR7:AR36" si="13">AR6+AN7-AP7</f>
        <v>0</v>
      </c>
      <c r="AS7" s="56"/>
      <c r="AV7" s="55">
        <f t="shared" ref="AV7:AV36" si="14">AM7</f>
        <v>46024</v>
      </c>
      <c r="AW7" s="422"/>
      <c r="AX7" s="446">
        <f>SUMPRODUCT(PRODUCE!$B6:$DY6,PRODUCE!$EB$12:$IY$12)</f>
        <v>1180</v>
      </c>
      <c r="AY7" s="422">
        <f>561.5+619.4</f>
        <v>1180.9000000000001</v>
      </c>
      <c r="AZ7" s="446">
        <f t="shared" ref="AZ7:AZ36" si="15">AX7-AY7</f>
        <v>-0.90000000000009095</v>
      </c>
      <c r="BA7" s="446">
        <f t="shared" ref="BA7:BA36" si="16">BA6+AW7-AY7</f>
        <v>28329.19999999999</v>
      </c>
      <c r="BB7" s="56"/>
      <c r="BE7" s="55">
        <f t="shared" ref="BE7:BE36" si="17">AV7</f>
        <v>46024</v>
      </c>
      <c r="BF7" s="422"/>
      <c r="BG7" s="448">
        <f>SUMPRODUCT(PRODUCE!$B6:$DY6,PRODUCE!$EB$13:$IY$13)</f>
        <v>1560</v>
      </c>
      <c r="BH7" s="422">
        <f>559.6+1000.1</f>
        <v>1559.7</v>
      </c>
      <c r="BI7" s="448">
        <f t="shared" ref="BI7:BI36" si="18">BG7-BH7</f>
        <v>0.29999999999995453</v>
      </c>
      <c r="BJ7" s="448">
        <f t="shared" ref="BJ7:BJ36" si="19">BJ6+BF7-BH7</f>
        <v>4800.3000000000075</v>
      </c>
      <c r="BK7" s="56"/>
      <c r="BN7" s="55">
        <f t="shared" ref="BN7:BN36" si="20">BE7</f>
        <v>46024</v>
      </c>
      <c r="BO7" s="422">
        <v>1560</v>
      </c>
      <c r="BP7" s="450">
        <f>SUMPRODUCT(PRODUCE!$B6:$DY6,PRODUCE!$EB$14:$IY$14)</f>
        <v>1560</v>
      </c>
      <c r="BQ7" s="422">
        <f>560+1000</f>
        <v>1560</v>
      </c>
      <c r="BR7" s="450">
        <f t="shared" ref="BR7:BR36" si="21">BP7-BQ7</f>
        <v>0</v>
      </c>
      <c r="BS7" s="450">
        <f t="shared" ref="BS7:BS36" si="22">BS6+BO7-BQ7</f>
        <v>0</v>
      </c>
      <c r="BT7" s="56"/>
      <c r="BW7" s="55">
        <f t="shared" ref="BW7:BW36" si="23">BN7</f>
        <v>46024</v>
      </c>
      <c r="BX7" s="56"/>
      <c r="BY7" s="65">
        <f>SUMPRODUCT(PRODUCE!$B6:$DY6,PRODUCE!$EB$15:$IY$15)</f>
        <v>0</v>
      </c>
      <c r="BZ7" s="56"/>
      <c r="CA7" s="65">
        <f t="shared" ref="CA7:CA36" si="24">BY7-BZ7</f>
        <v>0</v>
      </c>
      <c r="CB7" s="65">
        <f t="shared" ref="CB7:CB36" si="25">CB6+BX7-BZ7</f>
        <v>512.5</v>
      </c>
      <c r="CC7" s="56"/>
      <c r="CF7" s="55">
        <f t="shared" ref="CF7:CF36" si="26">BW7</f>
        <v>46024</v>
      </c>
      <c r="CG7" s="56"/>
      <c r="CH7" s="66">
        <f>SUMPRODUCT(PRODUCE!$B6:$DY6,PRODUCE!$EB$16:$IY$16)</f>
        <v>0</v>
      </c>
      <c r="CI7" s="56"/>
      <c r="CJ7" s="66">
        <f t="shared" ref="CJ7:CJ36" si="27">CH7-CI7</f>
        <v>0</v>
      </c>
      <c r="CK7" s="66">
        <f t="shared" ref="CK7:CK36" si="28">CK6+CG7-CI7</f>
        <v>0</v>
      </c>
      <c r="CL7" s="56"/>
      <c r="CO7" s="55">
        <f t="shared" ref="CO7:CO36" si="29">CF7</f>
        <v>46024</v>
      </c>
      <c r="CP7" s="422"/>
      <c r="CQ7" s="470">
        <f>SUMPRODUCT(PRODUCE!$B6:$DY6,PRODUCE!$EB$17:$IY$17)</f>
        <v>0</v>
      </c>
      <c r="CR7" s="422"/>
      <c r="CS7" s="470">
        <f t="shared" ref="CS7:CS36" si="30">CQ7-CR7</f>
        <v>0</v>
      </c>
      <c r="CT7" s="470">
        <f t="shared" ref="CT7:CT36" si="31">CT6+CP7-CR7</f>
        <v>0</v>
      </c>
      <c r="CU7" s="56"/>
      <c r="CX7" s="55">
        <f t="shared" ref="CX7:CX36" si="32">CO7</f>
        <v>46024</v>
      </c>
      <c r="CY7" s="56"/>
      <c r="CZ7" s="133">
        <f>SUMPRODUCT(PRODUCE!$B6:$DY6,PRODUCE!$EB$18:$IY$18)</f>
        <v>0</v>
      </c>
      <c r="DA7" s="56"/>
      <c r="DB7" s="133">
        <f t="shared" ref="DB7:DB36" si="33">CZ7-DA7</f>
        <v>0</v>
      </c>
      <c r="DC7" s="133">
        <f t="shared" ref="DC7:DC36" si="34">DC6+CY7-DA7</f>
        <v>0</v>
      </c>
      <c r="DD7" s="56"/>
      <c r="DG7" s="55">
        <f t="shared" ref="DG7:DG36" si="35">CX7</f>
        <v>46024</v>
      </c>
      <c r="DH7" s="56"/>
      <c r="DI7" s="147">
        <f>SUMPRODUCT(PRODUCE!$B6:$DY6,PRODUCE!$EB$19:$IY$19)</f>
        <v>0</v>
      </c>
      <c r="DJ7" s="56"/>
      <c r="DK7" s="147">
        <f t="shared" ref="DK7:DK36" si="36">DI7-DJ7</f>
        <v>0</v>
      </c>
      <c r="DL7" s="147">
        <f t="shared" ref="DL7:DL36" si="37">DL6+DH7-DJ7</f>
        <v>31341.199999999997</v>
      </c>
      <c r="DM7" s="56"/>
      <c r="DP7" s="55">
        <f t="shared" ref="DP7:DP36" si="38">DG7</f>
        <v>46024</v>
      </c>
      <c r="DQ7" s="56"/>
      <c r="DR7" s="57">
        <f>SUMPRODUCT(PRODUCE!$B6:$DY6,PRODUCE!$EB$20:$IY$20)</f>
        <v>0</v>
      </c>
      <c r="DS7" s="56"/>
      <c r="DT7" s="57">
        <f t="shared" ref="DT7:DT36" si="39">DR7-DS7</f>
        <v>0</v>
      </c>
      <c r="DU7" s="57">
        <f t="shared" ref="DU7:DU36" si="40">DU6+DQ7-DS7</f>
        <v>0</v>
      </c>
      <c r="DV7" s="56"/>
      <c r="DY7" s="55">
        <f t="shared" ref="DY7:DY36" si="41">DP7</f>
        <v>46024</v>
      </c>
      <c r="DZ7" s="56"/>
      <c r="EA7" s="157">
        <f>SUMPRODUCT(PRODUCE!$B6:$DY6,PRODUCE!$EB$21:$IY$21)</f>
        <v>0</v>
      </c>
      <c r="EB7" s="56"/>
      <c r="EC7" s="157">
        <f t="shared" ref="EC7:EC36" si="42">EA7-EB7</f>
        <v>0</v>
      </c>
      <c r="ED7" s="157">
        <f t="shared" ref="ED7:ED36" si="43">ED6+DZ7-EB7</f>
        <v>0</v>
      </c>
      <c r="EE7" s="56"/>
      <c r="EH7" s="55">
        <f t="shared" ref="EH7:EH36" si="44">DY7</f>
        <v>46024</v>
      </c>
      <c r="EI7" s="56"/>
      <c r="EJ7" s="162">
        <f>SUMPRODUCT(PRODUCE!$B6:$DY6,PRODUCE!$EB$22:$IY$22)</f>
        <v>0</v>
      </c>
      <c r="EK7" s="56"/>
      <c r="EL7" s="162">
        <f t="shared" ref="EL7:EL36" si="45">EJ7-EK7</f>
        <v>0</v>
      </c>
      <c r="EM7" s="162">
        <f t="shared" ref="EM7:EM36" si="46">EM6+EI7-EK7</f>
        <v>0</v>
      </c>
      <c r="EN7" s="56"/>
      <c r="EQ7" s="55">
        <f t="shared" ref="EQ7:EQ36" si="47">EH7</f>
        <v>46024</v>
      </c>
      <c r="ER7" s="56"/>
      <c r="ES7" s="135">
        <f>SUMPRODUCT(PRODUCE!$B6:$DY6,PRODUCE!$EB$23:$IY$23)</f>
        <v>0</v>
      </c>
      <c r="ET7" s="56"/>
      <c r="EU7" s="135">
        <f t="shared" ref="EU7:EU36" si="48">ES7-ET7</f>
        <v>0</v>
      </c>
      <c r="EV7" s="135">
        <f t="shared" ref="EV7:EV36" si="49">EV6+ER7-ET7</f>
        <v>0</v>
      </c>
      <c r="EW7" s="56"/>
      <c r="EZ7" s="55">
        <f t="shared" ref="EZ7:EZ36" si="50">EQ7</f>
        <v>46024</v>
      </c>
      <c r="FA7" s="56"/>
      <c r="FB7" s="175">
        <f>SUMPRODUCT(PRODUCE!$B6:$DY6,PRODUCE!$EB$24:$IY$24)</f>
        <v>0</v>
      </c>
      <c r="FC7" s="56"/>
      <c r="FD7" s="175">
        <f t="shared" ref="FD7:FD36" si="51">FB7-FC7</f>
        <v>0</v>
      </c>
      <c r="FE7" s="175">
        <f t="shared" ref="FE7:FE36" si="52">FE6+FA7-FC7</f>
        <v>0</v>
      </c>
      <c r="FF7" s="56"/>
      <c r="FI7" s="55">
        <f t="shared" ref="FI7:FI36" si="53">EZ7</f>
        <v>46024</v>
      </c>
      <c r="FJ7" s="56"/>
      <c r="FK7" s="183">
        <f>SUMPRODUCT(PRODUCE!$B6:$DY6,PRODUCE!$EB$25:$IY$25)</f>
        <v>0</v>
      </c>
      <c r="FL7" s="56"/>
      <c r="FM7" s="183">
        <f t="shared" ref="FM7:FM36" si="54">FK7-FL7</f>
        <v>0</v>
      </c>
      <c r="FN7" s="183">
        <f t="shared" ref="FN7:FN36" si="55">FN6+FJ7-FL7</f>
        <v>0</v>
      </c>
      <c r="FO7" s="56"/>
      <c r="FR7" s="55">
        <f t="shared" ref="FR7:FR36" si="56">FI7</f>
        <v>46024</v>
      </c>
      <c r="FS7" s="422"/>
      <c r="FT7" s="452">
        <f>SUMPRODUCT(PRODUCE!$B6:$DY6,PRODUCE!$EB$26:$IY$26)</f>
        <v>0</v>
      </c>
      <c r="FU7" s="422"/>
      <c r="FV7" s="452">
        <f t="shared" ref="FV7:FV36" si="57">FT7-FU7</f>
        <v>0</v>
      </c>
      <c r="FW7" s="452">
        <f t="shared" ref="FW7:FW36" si="58">FW6+FS7-FU7</f>
        <v>3540</v>
      </c>
      <c r="FX7" s="56"/>
      <c r="GA7" s="55">
        <f t="shared" ref="GA7:GA36" si="59">FR7</f>
        <v>46024</v>
      </c>
      <c r="GB7" s="422"/>
      <c r="GC7" s="454">
        <f>SUMPRODUCT(PRODUCE!$B6:$DY6,PRODUCE!$EB$27:$IY$27)</f>
        <v>0</v>
      </c>
      <c r="GD7" s="422"/>
      <c r="GE7" s="454">
        <f t="shared" ref="GE7:GE36" si="60">GC7-GD7</f>
        <v>0</v>
      </c>
      <c r="GF7" s="454">
        <f t="shared" ref="GF7:GF36" si="61">GF6+GB7-GD7</f>
        <v>1960</v>
      </c>
      <c r="GG7" s="56"/>
      <c r="GI7" s="23"/>
      <c r="GJ7" s="55">
        <f t="shared" ref="GJ7:GJ36" si="62">GA7</f>
        <v>46024</v>
      </c>
      <c r="GK7" s="422"/>
      <c r="GL7" s="456">
        <f>SUMPRODUCT(PRODUCE!$B6:$DY6,PRODUCE!$EB$28:$IY$28)</f>
        <v>800</v>
      </c>
      <c r="GM7" s="422"/>
      <c r="GN7" s="456">
        <f t="shared" ref="GN7:GN36" si="63">GL7-GM7</f>
        <v>800</v>
      </c>
      <c r="GO7" s="456">
        <f t="shared" ref="GO7:GO36" si="64">GO6+GK7-GM7</f>
        <v>2960</v>
      </c>
      <c r="GP7" s="56"/>
      <c r="GS7" s="55">
        <f t="shared" ref="GS7:GS36" si="65">GJ7</f>
        <v>46024</v>
      </c>
      <c r="GT7" s="56"/>
      <c r="GU7" s="195">
        <f>SUMPRODUCT(PRODUCE!$B6:$DY6,PRODUCE!$EB$29:$IY$29)</f>
        <v>0</v>
      </c>
      <c r="GV7" s="56"/>
      <c r="GW7" s="195">
        <f t="shared" ref="GW7:GW36" si="66">GU7-GV7</f>
        <v>0</v>
      </c>
      <c r="GX7" s="195">
        <f t="shared" ref="GX7:GX36" si="67">GX6+GT7-GV7</f>
        <v>0</v>
      </c>
      <c r="GY7" s="56"/>
      <c r="HB7" s="55">
        <f t="shared" ref="HB7:HB36" si="68">GS7</f>
        <v>46024</v>
      </c>
      <c r="HC7" s="56"/>
      <c r="HD7" s="191">
        <f>SUMPRODUCT(PRODUCE!$B6:$DY6,PRODUCE!$EB$30:$IY$30)</f>
        <v>0</v>
      </c>
      <c r="HE7" s="56"/>
      <c r="HF7" s="191">
        <f t="shared" ref="HF7:HF36" si="69">HD7-HE7</f>
        <v>0</v>
      </c>
      <c r="HG7" s="191">
        <f t="shared" ref="HG7:HG36" si="70">HG6+HC7-HE7</f>
        <v>0</v>
      </c>
      <c r="HH7" s="56"/>
      <c r="HK7" s="55">
        <f t="shared" ref="HK7:HK36" si="71">HB7</f>
        <v>46024</v>
      </c>
      <c r="HL7" s="56"/>
      <c r="HM7" s="63">
        <f>SUMPRODUCT(PRODUCE!$B6:$DY6,PRODUCE!$EB$31:$IY$31)</f>
        <v>0</v>
      </c>
      <c r="HN7" s="56"/>
      <c r="HO7" s="63">
        <f t="shared" ref="HO7:HO36" si="72">HM7-HN7</f>
        <v>0</v>
      </c>
      <c r="HP7" s="63">
        <f t="shared" ref="HP7:HP36" si="73">HP6+HL7-HN7</f>
        <v>0</v>
      </c>
      <c r="HQ7" s="56"/>
      <c r="HU7" s="55">
        <f t="shared" ref="HU7:HU36" si="74">HK7</f>
        <v>46024</v>
      </c>
      <c r="HV7" s="56"/>
      <c r="HW7" s="242">
        <f>SUMPRODUCT(PRODUCE!$B6:$DY6,PRODUCE!$EB$32:$IY$32)</f>
        <v>0</v>
      </c>
      <c r="HX7" s="56"/>
      <c r="HY7" s="242">
        <f t="shared" ref="HY7:HY36" si="75">HW7-HX7</f>
        <v>0</v>
      </c>
      <c r="HZ7" s="242">
        <f t="shared" ref="HZ7:HZ36" si="76">HZ6+HV7-HX7</f>
        <v>3980</v>
      </c>
      <c r="IA7" s="56"/>
      <c r="ID7" s="55">
        <f t="shared" ref="ID7:ID36" si="77">HU7</f>
        <v>46024</v>
      </c>
      <c r="IE7" s="56"/>
      <c r="IF7" s="242">
        <f>SUMPRODUCT(PRODUCE!$B6:$DY6,PRODUCE!$EB$33:$IY$33)</f>
        <v>0</v>
      </c>
      <c r="IG7" s="56"/>
      <c r="IH7" s="242">
        <f t="shared" ref="IH7:IH36" si="78">IF7-IG7</f>
        <v>0</v>
      </c>
      <c r="II7" s="242">
        <f t="shared" ref="II7:II36" si="79">II6+IE7-IG7</f>
        <v>2960</v>
      </c>
      <c r="IJ7" s="56"/>
      <c r="IM7" s="55">
        <f t="shared" ref="IM7:IM36" si="80">ID7</f>
        <v>46024</v>
      </c>
      <c r="IN7" s="56"/>
      <c r="IO7" s="242">
        <f>SUMPRODUCT(PRODUCE!$B6:$DY6,PRODUCE!$EB$34:$IY$34)</f>
        <v>560</v>
      </c>
      <c r="IP7" s="56"/>
      <c r="IQ7" s="242">
        <f t="shared" ref="IQ7:IQ36" si="81">IO7-IP7</f>
        <v>560</v>
      </c>
      <c r="IR7" s="242">
        <f t="shared" ref="IR7:IR36" si="82">IR6+IN7-IP7</f>
        <v>2040</v>
      </c>
      <c r="IS7" s="56"/>
      <c r="IV7" s="55">
        <f t="shared" ref="IV7:IV36" si="83">IM7</f>
        <v>46024</v>
      </c>
      <c r="IW7" s="56"/>
      <c r="IX7" s="242">
        <f>SUMPRODUCT(PRODUCE!$B6:$DY6,PRODUCE!$EB$35:$IY$35)</f>
        <v>0</v>
      </c>
      <c r="IY7" s="56"/>
      <c r="IZ7" s="242">
        <f t="shared" ref="IZ7:IZ36" si="84">IX7-IY7</f>
        <v>0</v>
      </c>
      <c r="JA7" s="242">
        <f t="shared" ref="JA7:JA36" si="85">JA6+IW7-IY7</f>
        <v>7520</v>
      </c>
      <c r="JB7" s="56"/>
      <c r="JE7" s="55">
        <f t="shared" ref="JE7:JE36" si="86">IV7</f>
        <v>46024</v>
      </c>
      <c r="JF7" s="56"/>
      <c r="JG7" s="242">
        <f>SUMPRODUCT(PRODUCE!$B6:$DY6,PRODUCE!$EB$36:$IY$36)</f>
        <v>0</v>
      </c>
      <c r="JH7" s="56"/>
      <c r="JI7" s="242">
        <f t="shared" ref="JI7:JI36" si="87">JG7-JH7</f>
        <v>0</v>
      </c>
      <c r="JJ7" s="242">
        <f t="shared" ref="JJ7:JJ36" si="88">JJ6+JF7-JH7</f>
        <v>6800</v>
      </c>
      <c r="JK7" s="56"/>
      <c r="JN7" s="55">
        <f t="shared" ref="JN7:JN36" si="89">JE7</f>
        <v>46024</v>
      </c>
      <c r="JO7" s="56"/>
      <c r="JP7" s="242">
        <f>SUMPRODUCT(PRODUCE!$B6:$DY6,PRODUCE!$EB$37:$IY$37)</f>
        <v>0</v>
      </c>
      <c r="JQ7" s="56"/>
      <c r="JR7" s="242">
        <f t="shared" ref="JR7:JR36" si="90">JP7-JQ7</f>
        <v>0</v>
      </c>
      <c r="JS7" s="242">
        <f t="shared" ref="JS7:JS36" si="91">JS6+JO7-JQ7</f>
        <v>4400</v>
      </c>
      <c r="JT7" s="56"/>
      <c r="JW7" s="55">
        <f t="shared" ref="JW7:JW36" si="92">JN7</f>
        <v>46024</v>
      </c>
      <c r="JX7" s="56"/>
      <c r="JY7" s="242">
        <f>SUMPRODUCT(PRODUCE!$B6:$DY6,PRODUCE!$EB$38:$IY$38)</f>
        <v>0</v>
      </c>
      <c r="JZ7" s="56"/>
      <c r="KA7" s="242">
        <f t="shared" ref="KA7:KA36" si="93">JY7-JZ7</f>
        <v>0</v>
      </c>
      <c r="KB7" s="242">
        <f t="shared" ref="KB7:KB36" si="94">KB6+JX7-JZ7</f>
        <v>0</v>
      </c>
      <c r="KC7" s="56"/>
      <c r="KF7" s="55">
        <f t="shared" ref="KF7:KF36" si="95">JW7</f>
        <v>46024</v>
      </c>
      <c r="KG7" s="56"/>
      <c r="KH7" s="242">
        <f>SUMPRODUCT(PRODUCE!$B6:$DY6,PRODUCE!$EB$39:$IY$39)</f>
        <v>0</v>
      </c>
      <c r="KI7" s="56"/>
      <c r="KJ7" s="242">
        <f t="shared" ref="KJ7:KJ36" si="96">KH7-KI7</f>
        <v>0</v>
      </c>
      <c r="KK7" s="242">
        <f t="shared" ref="KK7:KK36" si="97">KK6+KG7-KI7</f>
        <v>0</v>
      </c>
      <c r="KL7" s="56"/>
      <c r="KO7" s="55">
        <f t="shared" ref="KO7:KO36" si="98">KF7</f>
        <v>46024</v>
      </c>
      <c r="KP7" s="56"/>
      <c r="KQ7" s="242">
        <f>SUMPRODUCT(PRODUCE!$B6:$DY6,PRODUCE!$EB$40:$IY$40)</f>
        <v>0</v>
      </c>
      <c r="KR7" s="56"/>
      <c r="KS7" s="242">
        <f t="shared" ref="KS7:KS36" si="99">KQ7-KR7</f>
        <v>0</v>
      </c>
      <c r="KT7" s="242">
        <f t="shared" ref="KT7:KT36" si="100">KT6+KP7-KR7</f>
        <v>0</v>
      </c>
      <c r="KU7" s="56"/>
      <c r="KW7" s="23"/>
      <c r="KX7" s="55">
        <f t="shared" ref="KX7:KX36" si="101">KO7</f>
        <v>46024</v>
      </c>
      <c r="KY7" s="56"/>
      <c r="KZ7" s="242">
        <f>SUMPRODUCT(PRODUCE!$B6:$DY6,PRODUCE!$EB$41:$IY$41)</f>
        <v>0</v>
      </c>
      <c r="LA7" s="56"/>
      <c r="LB7" s="242">
        <f t="shared" ref="LB7:LB36" si="102">KZ7-LA7</f>
        <v>0</v>
      </c>
      <c r="LC7" s="242">
        <f t="shared" ref="LC7:LC36" si="103">LC6+KY7-LA7</f>
        <v>0</v>
      </c>
      <c r="LD7" s="56"/>
      <c r="LG7" s="55">
        <f t="shared" ref="LG7:LG36" si="104">KX7</f>
        <v>46024</v>
      </c>
      <c r="LH7" s="56"/>
      <c r="LI7" s="242">
        <f>SUMPRODUCT(PRODUCE!$B6:$DY6,PRODUCE!$EB$42:$IY$42)</f>
        <v>0</v>
      </c>
      <c r="LJ7" s="56"/>
      <c r="LK7" s="242">
        <f t="shared" ref="LK7:LK36" si="105">LI7-LJ7</f>
        <v>0</v>
      </c>
      <c r="LL7" s="242">
        <f t="shared" ref="LL7:LL36" si="106">LL6+LH7-LJ7</f>
        <v>0</v>
      </c>
      <c r="LM7" s="56"/>
      <c r="LP7" s="55">
        <f t="shared" ref="LP7:LP36" si="107">LG7</f>
        <v>46024</v>
      </c>
      <c r="LQ7" s="56"/>
      <c r="LR7" s="242">
        <f>SUMPRODUCT(PRODUCE!$B6:$DY6,PRODUCE!$EB$43:$IY$43)</f>
        <v>0</v>
      </c>
      <c r="LS7" s="56"/>
      <c r="LT7" s="242">
        <f t="shared" ref="LT7:LT36" si="108">LR7-LS7</f>
        <v>0</v>
      </c>
      <c r="LU7" s="242">
        <f t="shared" ref="LU7:LU36" si="109">LU6+LQ7-LS7</f>
        <v>0</v>
      </c>
      <c r="LV7" s="56"/>
      <c r="LY7" s="55">
        <f t="shared" ref="LY7:LY36" si="110">LP7</f>
        <v>46024</v>
      </c>
      <c r="LZ7" s="56"/>
      <c r="MA7" s="242">
        <f>SUMPRODUCT(PRODUCE!$B6:$DY6,PRODUCE!$EB$44:$IY$44)</f>
        <v>0</v>
      </c>
      <c r="MB7" s="56"/>
      <c r="MC7" s="242">
        <f t="shared" ref="MC7:MC36" si="111">MA7-MB7</f>
        <v>0</v>
      </c>
      <c r="MD7" s="242">
        <f t="shared" ref="MD7:MD36" si="112">MD6+LZ7-MB7</f>
        <v>0</v>
      </c>
      <c r="ME7" s="56"/>
      <c r="MH7" s="55">
        <f t="shared" ref="MH7:MH36" si="113">LY7</f>
        <v>46024</v>
      </c>
      <c r="MI7" s="56"/>
      <c r="MJ7" s="242">
        <f>SUMPRODUCT(PRODUCE!$B6:$DY6,PRODUCE!$EB$45:$IY$45)</f>
        <v>0</v>
      </c>
      <c r="MK7" s="56"/>
      <c r="ML7" s="242">
        <f t="shared" ref="ML7:ML36" si="114">MJ7-MK7</f>
        <v>0</v>
      </c>
      <c r="MM7" s="242">
        <f t="shared" ref="MM7:MM36" si="115">MM6+MI7-MK7</f>
        <v>0</v>
      </c>
      <c r="MN7" s="56"/>
      <c r="MQ7" s="55">
        <f t="shared" ref="MQ7:MQ36" si="116">MH7</f>
        <v>46024</v>
      </c>
      <c r="MR7" s="56"/>
      <c r="MS7" s="242">
        <f>SUMPRODUCT(PRODUCE!$B6:$DY6,PRODUCE!$EB$46:$IY$46)</f>
        <v>34</v>
      </c>
      <c r="MT7" s="56"/>
      <c r="MU7" s="242">
        <f t="shared" ref="MU7:MU36" si="117">MS7-MT7</f>
        <v>34</v>
      </c>
      <c r="MV7" s="242">
        <f t="shared" ref="MV7:MV36" si="118">MV6+MR7-MT7</f>
        <v>1531</v>
      </c>
      <c r="MW7" s="56"/>
      <c r="MZ7" s="55">
        <f t="shared" ref="MZ7:MZ36" si="119">MQ7</f>
        <v>46024</v>
      </c>
      <c r="NA7" s="56"/>
      <c r="NB7" s="242">
        <f>SUMPRODUCT(PRODUCE!$B6:$DY6,PRODUCE!$EB$47:$IY$47)</f>
        <v>84</v>
      </c>
      <c r="NC7" s="56"/>
      <c r="ND7" s="242">
        <f t="shared" ref="ND7:ND36" si="120">NB7-NC7</f>
        <v>84</v>
      </c>
      <c r="NE7" s="242">
        <f t="shared" ref="NE7:NE36" si="121">NE6+NA7-NC7</f>
        <v>0</v>
      </c>
      <c r="NF7" s="56"/>
      <c r="NI7" s="55">
        <f t="shared" ref="NI7:NI36" si="122">MZ7</f>
        <v>46024</v>
      </c>
      <c r="NJ7" s="56"/>
      <c r="NK7" s="242">
        <f>SUMPRODUCT(PRODUCE!$B6:$DY6,PRODUCE!$EB$48:$IY$48)</f>
        <v>0</v>
      </c>
      <c r="NL7" s="56"/>
      <c r="NM7" s="242">
        <f t="shared" ref="NM7:NM36" si="123">NK7-NL7</f>
        <v>0</v>
      </c>
      <c r="NN7" s="242">
        <f t="shared" ref="NN7:NN36" si="124">NN6+NJ7-NL7</f>
        <v>0</v>
      </c>
      <c r="NO7" s="56"/>
      <c r="NR7" s="55">
        <f t="shared" ref="NR7:NR36" si="125">MZ7</f>
        <v>46024</v>
      </c>
      <c r="NS7" s="56"/>
      <c r="NT7" s="242">
        <f>SUMPRODUCT(PRODUCE!$B6:$DY6,PRODUCE!$EB$49:$IY$49)</f>
        <v>0</v>
      </c>
      <c r="NU7" s="56"/>
      <c r="NV7" s="242">
        <f t="shared" ref="NV7:NV36" si="126">NT7-NU7</f>
        <v>0</v>
      </c>
      <c r="NW7" s="242">
        <f t="shared" ref="NW7:NW36" si="127">NW6+NS7-NU7</f>
        <v>0</v>
      </c>
      <c r="NX7" s="56"/>
      <c r="OA7" s="55">
        <f t="shared" ref="OA7:OA36" si="128">NR7</f>
        <v>46024</v>
      </c>
      <c r="OB7" s="56"/>
      <c r="OC7" s="242">
        <f>SUMPRODUCT(PRODUCE!$B6:$DY6,PRODUCE!$EB$50:$IY$50)</f>
        <v>0</v>
      </c>
      <c r="OD7" s="56"/>
      <c r="OE7" s="242">
        <f t="shared" ref="OE7:OE36" si="129">OC7-OD7</f>
        <v>0</v>
      </c>
      <c r="OF7" s="242">
        <f t="shared" ref="OF7:OF36" si="130">OF6+OB7-OD7</f>
        <v>35.199999999999989</v>
      </c>
      <c r="OG7" s="56"/>
      <c r="OJ7" s="55">
        <f t="shared" ref="OJ7:OJ36" si="131">OA7</f>
        <v>46024</v>
      </c>
      <c r="OK7" s="56"/>
      <c r="OL7" s="242">
        <f>SUMPRODUCT(PRODUCE!$B6:$DY6,PRODUCE!$EB$51:$IY$51)</f>
        <v>0</v>
      </c>
      <c r="OM7" s="56"/>
      <c r="ON7" s="242">
        <f t="shared" ref="ON7:ON36" si="132">OL7-OM7</f>
        <v>0</v>
      </c>
      <c r="OO7" s="242">
        <f t="shared" ref="OO7:OO36" si="133">OO6+OK7-OM7</f>
        <v>0</v>
      </c>
      <c r="OP7" s="56"/>
      <c r="OS7" s="55">
        <f t="shared" ref="OS7:OS36" si="134">OJ7</f>
        <v>46024</v>
      </c>
      <c r="OT7" s="56"/>
      <c r="OU7" s="242">
        <f>SUMPRODUCT(PRODUCE!$B6:$DY6,PRODUCE!$EB$52:$IY$52)</f>
        <v>0</v>
      </c>
      <c r="OV7" s="56"/>
      <c r="OW7" s="242">
        <f t="shared" ref="OW7:OW36" si="135">OU7-OV7</f>
        <v>0</v>
      </c>
      <c r="OX7" s="242">
        <f t="shared" ref="OX7:OX36" si="136">OX6+OT7-OV7</f>
        <v>349</v>
      </c>
      <c r="OY7" s="56"/>
      <c r="PB7" s="55">
        <f t="shared" ref="PB7:PB36" si="137">OS7</f>
        <v>46024</v>
      </c>
      <c r="PC7" s="56"/>
      <c r="PD7" s="242">
        <f>SUMPRODUCT(PRODUCE!$B6:$DY6,PRODUCE!$EB$53:$IY$53)</f>
        <v>0</v>
      </c>
      <c r="PE7" s="56"/>
      <c r="PF7" s="242">
        <f t="shared" ref="PF7:PF36" si="138">PD7-PE7</f>
        <v>0</v>
      </c>
      <c r="PG7" s="242">
        <f t="shared" ref="PG7:PG36" si="139">PG6+PC7-PE7</f>
        <v>0</v>
      </c>
      <c r="PH7" s="56"/>
      <c r="PK7" s="55">
        <f t="shared" ref="PK7:PK36" si="140">PB7</f>
        <v>46024</v>
      </c>
      <c r="PL7" s="56"/>
      <c r="PM7" s="242">
        <f>SUMPRODUCT(PRODUCE!$B6:$DY6,PRODUCE!$EB$54:$IY$54)</f>
        <v>0</v>
      </c>
      <c r="PN7" s="56"/>
      <c r="PO7" s="242">
        <f t="shared" ref="PO7:PO36" si="141">PM7-PN7</f>
        <v>0</v>
      </c>
      <c r="PP7" s="242">
        <f t="shared" ref="PP7:PP36" si="142">PP6+PL7-PN7</f>
        <v>160</v>
      </c>
      <c r="PQ7" s="56"/>
      <c r="PT7" s="55">
        <f t="shared" ref="PT7:PT36" si="143">PK7</f>
        <v>46024</v>
      </c>
      <c r="PU7" s="56"/>
      <c r="PV7" s="242">
        <f>SUMPRODUCT(PRODUCE!$B6:$DY6,PRODUCE!$EB$55:$IY$55)</f>
        <v>0</v>
      </c>
      <c r="PW7" s="56"/>
      <c r="PX7" s="242">
        <f t="shared" ref="PX7:PX36" si="144">PV7-PW7</f>
        <v>0</v>
      </c>
      <c r="PY7" s="242">
        <f t="shared" ref="PY7:PY36" si="145">PY6+PU7-PW7</f>
        <v>13.960000000000036</v>
      </c>
      <c r="PZ7" s="56"/>
      <c r="QC7" s="55">
        <f t="shared" ref="QC7:QC36" si="146">PT7</f>
        <v>46024</v>
      </c>
      <c r="QD7" s="56"/>
      <c r="QE7" s="242">
        <f>SUMPRODUCT(PRODUCE!$B6:$DY6,PRODUCE!$EB$56:$IY$56)</f>
        <v>0</v>
      </c>
      <c r="QF7" s="56"/>
      <c r="QG7" s="242">
        <f t="shared" ref="QG7:QG36" si="147">QE7-QF7</f>
        <v>0</v>
      </c>
      <c r="QH7" s="242">
        <f t="shared" ref="QH7:QH36" si="148">QH6+QD7-QF7</f>
        <v>0</v>
      </c>
      <c r="QI7" s="56"/>
      <c r="QL7" s="55">
        <f t="shared" ref="QL7:QL36" si="149">QC7</f>
        <v>46024</v>
      </c>
      <c r="QM7" s="56"/>
      <c r="QN7" s="242">
        <f>SUMPRODUCT(PRODUCE!$B6:$DY6,PRODUCE!$EB$57:$IY$57)</f>
        <v>0</v>
      </c>
      <c r="QO7" s="56"/>
      <c r="QP7" s="242">
        <f t="shared" ref="QP7:QP36" si="150">QN7-QO7</f>
        <v>0</v>
      </c>
      <c r="QQ7" s="242">
        <f t="shared" ref="QQ7:QQ36" si="151">QQ6+QM7-QO7</f>
        <v>0</v>
      </c>
      <c r="QR7" s="56"/>
      <c r="QU7" s="55">
        <f t="shared" ref="QU7:QU36" si="152">QL7</f>
        <v>46024</v>
      </c>
      <c r="QV7" s="56"/>
      <c r="QW7" s="242">
        <f>SUMPRODUCT(PRODUCE!$B6:$DY6,PRODUCE!$EB$57:$IY$57)</f>
        <v>0</v>
      </c>
      <c r="QX7" s="56"/>
      <c r="QY7" s="242">
        <f t="shared" ref="QY7:QY36" si="153">QW7-QX7</f>
        <v>0</v>
      </c>
      <c r="QZ7" s="242">
        <f t="shared" ref="QZ7:QZ36" si="154">QZ6+QV7-QX7</f>
        <v>207.6</v>
      </c>
      <c r="RA7" s="56"/>
      <c r="RD7" s="55">
        <f t="shared" ref="RD7:RD36" si="155">QU7</f>
        <v>46024</v>
      </c>
      <c r="RE7" s="56"/>
      <c r="RF7" s="242">
        <f>SUMPRODUCT(PRODUCE!$B6:$DY6,PRODUCE!$EB$58:$IY$58)</f>
        <v>0</v>
      </c>
      <c r="RG7" s="56"/>
      <c r="RH7" s="242">
        <f t="shared" ref="RH7:RH36" si="156">RF7-RG7</f>
        <v>0</v>
      </c>
      <c r="RI7" s="242">
        <f t="shared" ref="RI7:RI36" si="157">RI6+RE7-RG7</f>
        <v>201.8</v>
      </c>
      <c r="RJ7" s="56"/>
      <c r="RM7" s="55">
        <f t="shared" ref="RM7:RM36" si="158">RD7</f>
        <v>46024</v>
      </c>
      <c r="RN7" s="56"/>
      <c r="RO7" s="242">
        <f>SUMPRODUCT(PRODUCE!$B6:$DY6,PRODUCE!$EB$59:$IY$59)</f>
        <v>0</v>
      </c>
      <c r="RP7" s="56"/>
      <c r="RQ7" s="242">
        <f t="shared" ref="RQ7:RQ36" si="159">RO7-RP7</f>
        <v>0</v>
      </c>
      <c r="RR7" s="242">
        <f t="shared" ref="RR7:RR36" si="160">RR6+RN7-RP7</f>
        <v>22.720000000000002</v>
      </c>
      <c r="RS7" s="56"/>
      <c r="RV7" s="55">
        <f t="shared" ref="RV7:RV36" si="161">RM7</f>
        <v>46024</v>
      </c>
      <c r="RW7" s="56"/>
      <c r="RX7" s="242">
        <f>SUMPRODUCT(PRODUCE!$B6:$DY6,PRODUCE!$EB$57:$IY$57)</f>
        <v>0</v>
      </c>
      <c r="RY7" s="56"/>
      <c r="RZ7" s="242">
        <f t="shared" ref="RZ7:RZ36" si="162">RX7-RY7</f>
        <v>0</v>
      </c>
      <c r="SA7" s="242">
        <f t="shared" ref="SA7:SA36" si="163">SA6+RW7-RY7</f>
        <v>0</v>
      </c>
      <c r="SB7" s="56"/>
      <c r="SE7" s="55">
        <f t="shared" ref="SE7:SE36" si="164">RV7</f>
        <v>46024</v>
      </c>
      <c r="SF7" s="56"/>
      <c r="SG7" s="242">
        <f>SUMPRODUCT(PRODUCE!$B6:$DY6,PRODUCE!$EB$61:$IY$61)</f>
        <v>0</v>
      </c>
      <c r="SH7" s="56"/>
      <c r="SI7" s="242">
        <f t="shared" ref="SI7:SI36" si="165">SG7-SH7</f>
        <v>0</v>
      </c>
      <c r="SJ7" s="242">
        <f t="shared" ref="SJ7:SJ36" si="166">SJ6+SF7-SH7</f>
        <v>0</v>
      </c>
      <c r="SK7" s="56"/>
      <c r="SN7" s="55">
        <f t="shared" ref="SN7:SN36" si="167">SE7</f>
        <v>46024</v>
      </c>
      <c r="SO7" s="56"/>
      <c r="SP7" s="242">
        <f>SUMPRODUCT(PRODUCE!$B6:$DY6,PRODUCE!$EB$57:$IY$57)</f>
        <v>0</v>
      </c>
      <c r="SQ7" s="56"/>
      <c r="SR7" s="242">
        <f t="shared" ref="SR7:SR36" si="168">SP7-SQ7</f>
        <v>0</v>
      </c>
      <c r="SS7" s="242">
        <f t="shared" ref="SS7:SS36" si="169">SS6+SO7-SQ7</f>
        <v>0</v>
      </c>
      <c r="ST7" s="56"/>
      <c r="SW7" s="55">
        <f t="shared" ref="SW7:SW36" si="170">SN7</f>
        <v>46024</v>
      </c>
      <c r="SX7" s="56"/>
      <c r="SY7" s="242">
        <f>SUMPRODUCT(PRODUCE!$B6:$DY6,PRODUCE!$EB$57:$IY$57)</f>
        <v>0</v>
      </c>
      <c r="SZ7" s="56"/>
      <c r="TA7" s="242">
        <f t="shared" ref="TA7:TA36" si="171">SY7-SZ7</f>
        <v>0</v>
      </c>
      <c r="TB7" s="242">
        <f t="shared" ref="TB7:TB36" si="172">TB6+SX7-SZ7</f>
        <v>0</v>
      </c>
      <c r="TC7" s="56"/>
      <c r="TF7" s="55">
        <f t="shared" ref="TF7:TF36" si="173">SW7</f>
        <v>46024</v>
      </c>
      <c r="TG7" s="56"/>
      <c r="TH7" s="242">
        <f>SUMPRODUCT(PRODUCE!$B6:$DY6,PRODUCE!$EB$57:$IY$57)</f>
        <v>0</v>
      </c>
      <c r="TI7" s="56"/>
      <c r="TJ7" s="242">
        <f t="shared" ref="TJ7:TJ36" si="174">TH7-TI7</f>
        <v>0</v>
      </c>
      <c r="TK7" s="242">
        <f t="shared" ref="TK7:TK36" si="175">TK6+TG7-TI7</f>
        <v>0</v>
      </c>
      <c r="TL7" s="56"/>
      <c r="TO7" s="55">
        <f t="shared" ref="TO7:TO36" si="176">TF7</f>
        <v>46024</v>
      </c>
      <c r="TP7" s="56"/>
      <c r="TQ7" s="242">
        <f>SUMPRODUCT(PRODUCE!$B6:$DY6,PRODUCE!$EB$57:$IY$57)</f>
        <v>0</v>
      </c>
      <c r="TR7" s="56"/>
      <c r="TS7" s="242">
        <f t="shared" ref="TS7:TS36" si="177">TQ7-TR7</f>
        <v>0</v>
      </c>
      <c r="TT7" s="242">
        <f t="shared" ref="TT7:TT36" si="178">TT6+TP7-TR7</f>
        <v>0</v>
      </c>
      <c r="TU7" s="56"/>
      <c r="TX7" s="55">
        <f t="shared" ref="TX7:TX36" si="179">TO7</f>
        <v>46024</v>
      </c>
      <c r="TY7" s="56"/>
      <c r="TZ7" s="242">
        <f>SUMPRODUCT(PRODUCE!$B6:$DY6,PRODUCE!$EB$57:$IY$57)</f>
        <v>0</v>
      </c>
      <c r="UA7" s="56"/>
      <c r="UB7" s="242">
        <f t="shared" ref="UB7:UB36" si="180">TZ7-UA7</f>
        <v>0</v>
      </c>
      <c r="UC7" s="242">
        <f t="shared" ref="UC7:UC36" si="181">UC6+TY7-UA7</f>
        <v>0</v>
      </c>
      <c r="UD7" s="56"/>
      <c r="UG7" s="55">
        <f t="shared" ref="UG7:UG36" si="182">TX7</f>
        <v>46024</v>
      </c>
      <c r="UH7" s="56"/>
      <c r="UI7" s="242">
        <f>SUMPRODUCT(PRODUCE!$B6:$DY6,PRODUCE!$EB$57:$IY$57)</f>
        <v>0</v>
      </c>
      <c r="UJ7" s="56"/>
      <c r="UK7" s="242">
        <f t="shared" ref="UK7:UK36" si="183">UI7-UJ7</f>
        <v>0</v>
      </c>
      <c r="UL7" s="242">
        <f t="shared" ref="UL7:UL36" si="184">UL6+UH7-UJ7</f>
        <v>0</v>
      </c>
      <c r="UM7" s="56"/>
      <c r="UP7" s="55">
        <f t="shared" ref="UP7:UP36" si="185">UG7</f>
        <v>46024</v>
      </c>
      <c r="UQ7" s="56"/>
      <c r="UR7" s="242">
        <f>SUMPRODUCT(PRODUCE!$B6:$DY6,PRODUCE!$EB$57:$IY$57)</f>
        <v>0</v>
      </c>
      <c r="US7" s="56"/>
      <c r="UT7" s="242">
        <f t="shared" ref="UT7:UT36" si="186">UR7-US7</f>
        <v>0</v>
      </c>
      <c r="UU7" s="242">
        <f t="shared" ref="UU7:UU36" si="187">UU6+UQ7-US7</f>
        <v>0</v>
      </c>
      <c r="UV7" s="56"/>
      <c r="UY7" s="55">
        <f t="shared" ref="UY7:UY36" si="188">UP7</f>
        <v>46024</v>
      </c>
      <c r="UZ7" s="56"/>
      <c r="VA7" s="242">
        <f>SUMPRODUCT(PRODUCE!$B6:$DY6,PRODUCE!$EB$57:$IY$57)</f>
        <v>0</v>
      </c>
      <c r="VB7" s="56"/>
      <c r="VC7" s="242">
        <f t="shared" ref="VC7:VC36" si="189">VA7-VB7</f>
        <v>0</v>
      </c>
      <c r="VD7" s="242">
        <f t="shared" ref="VD7:VD36" si="190">VD6+UZ7-VB7</f>
        <v>-319.59999999999997</v>
      </c>
      <c r="VE7" s="56"/>
      <c r="VH7" s="55">
        <f t="shared" ref="VH7:VH36" si="191">UY7</f>
        <v>46024</v>
      </c>
      <c r="VI7" s="56"/>
      <c r="VJ7" s="242">
        <f>SUMPRODUCT(PRODUCE!$B6:$DY6,PRODUCE!$EB$57:$IY$57)</f>
        <v>0</v>
      </c>
      <c r="VK7" s="56"/>
      <c r="VL7" s="242">
        <f t="shared" ref="VL7:VL36" si="192">VJ7-VK7</f>
        <v>0</v>
      </c>
      <c r="VM7" s="242">
        <f t="shared" ref="VM7:VM36" si="193">VM6+VI7-VK7</f>
        <v>0</v>
      </c>
      <c r="VN7" s="56"/>
      <c r="VQ7" s="55">
        <f t="shared" ref="VQ7:VQ36" si="194">VH7</f>
        <v>46024</v>
      </c>
      <c r="VR7" s="56"/>
      <c r="VS7" s="242">
        <f>SUMPRODUCT(PRODUCE!$B6:$DY6,PRODUCE!$EB$57:$IY$57)</f>
        <v>0</v>
      </c>
      <c r="VT7" s="56"/>
      <c r="VU7" s="242">
        <f t="shared" ref="VU7:VU36" si="195">VS7-VT7</f>
        <v>0</v>
      </c>
      <c r="VV7" s="242">
        <f t="shared" ref="VV7:VV36" si="196">VV6+VR7-VT7</f>
        <v>0</v>
      </c>
      <c r="VW7" s="56"/>
      <c r="VZ7" s="55">
        <f t="shared" ref="VZ7:VZ36" si="197">VQ7</f>
        <v>46024</v>
      </c>
      <c r="WA7" s="56"/>
      <c r="WB7" s="242">
        <f>SUMPRODUCT(PRODUCE!$B6:$DY6,PRODUCE!$EB$57:$IY$57)</f>
        <v>0</v>
      </c>
      <c r="WC7" s="56"/>
      <c r="WD7" s="242">
        <f t="shared" ref="WD7:WD36" si="198">WB7-WC7</f>
        <v>0</v>
      </c>
      <c r="WE7" s="242">
        <f t="shared" ref="WE7:WE36" si="199">WE6+WA7-WC7</f>
        <v>0</v>
      </c>
      <c r="WF7" s="56"/>
      <c r="WI7" s="55">
        <f t="shared" ref="WI7:WI36" si="200">VZ7</f>
        <v>46024</v>
      </c>
      <c r="WJ7" s="56"/>
      <c r="WK7" s="242">
        <f>SUMPRODUCT(PRODUCE!$B6:$DY6,PRODUCE!$EB$57:$IY$57)</f>
        <v>0</v>
      </c>
      <c r="WL7" s="56"/>
      <c r="WM7" s="242">
        <f t="shared" ref="WM7:WM36" si="201">WK7-WL7</f>
        <v>0</v>
      </c>
      <c r="WN7" s="242">
        <f t="shared" ref="WN7:WN36" si="202">WN6+WJ7-WL7</f>
        <v>5877</v>
      </c>
      <c r="WO7" s="56"/>
      <c r="WR7" s="55">
        <f t="shared" ref="WR7:WR36" si="203">WI7</f>
        <v>46024</v>
      </c>
      <c r="WS7" s="56"/>
      <c r="WT7" s="242">
        <f>SUMPRODUCT(PRODUCE!$B6:$DY6,PRODUCE!$EB$57:$IY$57)</f>
        <v>0</v>
      </c>
      <c r="WU7" s="56"/>
      <c r="WV7" s="242">
        <f t="shared" ref="WV7:WV36" si="204">WT7-WU7</f>
        <v>0</v>
      </c>
      <c r="WW7" s="242">
        <f t="shared" ref="WW7:WW36" si="205">WW6+WS7-WU7</f>
        <v>5267</v>
      </c>
      <c r="WX7" s="56"/>
      <c r="XA7" s="55">
        <f t="shared" ref="XA7:XA36" si="206">WR7</f>
        <v>46024</v>
      </c>
      <c r="XB7" s="56"/>
      <c r="XC7" s="242">
        <f>SUMPRODUCT(PRODUCE!$B6:$DY6,PRODUCE!$EB$57:$IY$57)</f>
        <v>0</v>
      </c>
      <c r="XD7" s="56">
        <v>792</v>
      </c>
      <c r="XE7" s="242">
        <f t="shared" ref="XE7:XE36" si="207">XC7-XD7</f>
        <v>-792</v>
      </c>
      <c r="XF7" s="242">
        <f t="shared" ref="XF7:XF36" si="208">XF6+XB7-XD7</f>
        <v>3665</v>
      </c>
      <c r="XG7" s="56"/>
      <c r="XJ7" s="55">
        <f t="shared" ref="XJ7:XJ36" si="209">XA7</f>
        <v>46024</v>
      </c>
      <c r="XK7" s="56"/>
      <c r="XL7" s="242">
        <f>SUMPRODUCT(PRODUCE!$B6:$DY6,PRODUCE!$EB$57:$IY$57)</f>
        <v>0</v>
      </c>
      <c r="XM7" s="56"/>
      <c r="XN7" s="242">
        <f t="shared" ref="XN7:XN36" si="210">XL7-XM7</f>
        <v>0</v>
      </c>
      <c r="XO7" s="242">
        <f t="shared" ref="XO7:XO36" si="211">XO6+XK7-XM7</f>
        <v>6772</v>
      </c>
      <c r="XP7" s="56"/>
      <c r="XS7" s="55">
        <f t="shared" ref="XS7:XS36" si="212">XJ7</f>
        <v>46024</v>
      </c>
      <c r="XT7" s="56"/>
      <c r="XU7" s="242">
        <f>SUMPRODUCT(PRODUCE!$B6:$DY6,PRODUCE!$EB$57:$IY$57)</f>
        <v>0</v>
      </c>
      <c r="XV7" s="56"/>
      <c r="XW7" s="242">
        <f t="shared" ref="XW7:XW36" si="213">XU7-XV7</f>
        <v>0</v>
      </c>
      <c r="XX7" s="242">
        <f t="shared" ref="XX7:XX36" si="214">XX6+XT7-XV7</f>
        <v>1901</v>
      </c>
      <c r="XY7" s="56"/>
      <c r="YB7" s="55">
        <f t="shared" ref="YB7:YB36" si="215">XS7</f>
        <v>46024</v>
      </c>
      <c r="YC7" s="56"/>
      <c r="YD7" s="242">
        <f>SUMPRODUCT(PRODUCE!$B6:$DY6,PRODUCE!$EB$57:$IY$57)</f>
        <v>0</v>
      </c>
      <c r="YE7" s="56"/>
      <c r="YF7" s="242">
        <f t="shared" ref="YF7:YF36" si="216">YD7-YE7</f>
        <v>0</v>
      </c>
      <c r="YG7" s="242">
        <f t="shared" ref="YG7:YG36" si="217">YG6+YC7-YE7</f>
        <v>4175</v>
      </c>
      <c r="YH7" s="56"/>
      <c r="YK7" s="55">
        <f t="shared" ref="YK7:YK36" si="218">YB7</f>
        <v>46024</v>
      </c>
      <c r="YL7" s="56"/>
      <c r="YM7" s="242">
        <f>SUMPRODUCT(PRODUCE!$B6:$DY6,PRODUCE!$EB$57:$IY$57)</f>
        <v>0</v>
      </c>
      <c r="YN7" s="56"/>
      <c r="YO7" s="242">
        <f t="shared" ref="YO7:YO36" si="219">YM7-YN7</f>
        <v>0</v>
      </c>
      <c r="YP7" s="242">
        <f t="shared" ref="YP7:YP36" si="220">YP6+YL7-YN7</f>
        <v>0</v>
      </c>
      <c r="YQ7" s="56"/>
      <c r="YT7" s="55">
        <f t="shared" ref="YT7:YT36" si="221">YK7</f>
        <v>46024</v>
      </c>
      <c r="YU7" s="56"/>
      <c r="YV7" s="242">
        <f>SUMPRODUCT(PRODUCE!$B6:$DY6,PRODUCE!$EB$57:$IY$57)</f>
        <v>0</v>
      </c>
      <c r="YW7" s="56"/>
      <c r="YX7" s="242">
        <f t="shared" ref="YX7:YX36" si="222">YV7-YW7</f>
        <v>0</v>
      </c>
      <c r="YY7" s="242">
        <f t="shared" ref="YY7:YY36" si="223">YY6+YU7-YW7</f>
        <v>0</v>
      </c>
      <c r="YZ7" s="56"/>
      <c r="ZC7" s="55">
        <f t="shared" ref="ZC7:ZC36" si="224">YT7</f>
        <v>46024</v>
      </c>
      <c r="ZD7" s="56"/>
      <c r="ZE7" s="242">
        <f>SUMPRODUCT(PRODUCE!$B6:$DY6,PRODUCE!$EB$57:$IY$57)</f>
        <v>0</v>
      </c>
      <c r="ZF7" s="56"/>
      <c r="ZG7" s="242">
        <f t="shared" ref="ZG7:ZG36" si="225">ZE7-ZF7</f>
        <v>0</v>
      </c>
      <c r="ZH7" s="242">
        <f t="shared" ref="ZH7:ZH36" si="226">ZH6+ZD7-ZF7</f>
        <v>0</v>
      </c>
      <c r="ZI7" s="56"/>
      <c r="ZL7" s="55">
        <f t="shared" ref="ZL7:ZL36" si="227">ZC7</f>
        <v>46024</v>
      </c>
      <c r="ZM7" s="56"/>
      <c r="ZN7" s="242">
        <f>SUMPRODUCT(PRODUCE!$B6:$DY6,PRODUCE!$EB$57:$IY$57)</f>
        <v>0</v>
      </c>
      <c r="ZO7" s="56"/>
      <c r="ZP7" s="242">
        <f t="shared" ref="ZP7:ZP36" si="228">ZN7-ZO7</f>
        <v>0</v>
      </c>
      <c r="ZQ7" s="242">
        <f t="shared" ref="ZQ7:ZQ36" si="229">ZQ6+ZM7-ZO7</f>
        <v>0</v>
      </c>
      <c r="ZR7" s="56"/>
      <c r="ZU7" s="55">
        <f t="shared" ref="ZU7:ZU36" si="230">ZL7</f>
        <v>46024</v>
      </c>
      <c r="ZV7" s="56"/>
      <c r="ZW7" s="242">
        <f>SUMPRODUCT(PRODUCE!$B6:$DY6,PRODUCE!$EB$57:$IY$57)</f>
        <v>0</v>
      </c>
      <c r="ZX7" s="56"/>
      <c r="ZY7" s="242">
        <f t="shared" ref="ZY7:ZY36" si="231">ZW7-ZX7</f>
        <v>0</v>
      </c>
      <c r="ZZ7" s="242">
        <f t="shared" ref="ZZ7:ZZ36" si="232">ZZ6+ZV7-ZX7</f>
        <v>0</v>
      </c>
      <c r="AAA7" s="56"/>
      <c r="AAD7" s="55">
        <f t="shared" ref="AAD7:AAD36" si="233">ZU7</f>
        <v>46024</v>
      </c>
      <c r="AAE7" s="56"/>
      <c r="AAF7" s="242">
        <f>SUMPRODUCT(PRODUCE!$B6:$DY6,PRODUCE!$EB$57:$IY$57)</f>
        <v>0</v>
      </c>
      <c r="AAG7" s="56"/>
      <c r="AAH7" s="242">
        <f t="shared" ref="AAH7:AAH36" si="234">AAF7-AAG7</f>
        <v>0</v>
      </c>
      <c r="AAI7" s="242">
        <f t="shared" ref="AAI7:AAI36" si="235">AAI6+AAE7-AAG7</f>
        <v>0</v>
      </c>
      <c r="AAJ7" s="56"/>
      <c r="AAM7" s="55">
        <f t="shared" ref="AAM7:AAM36" si="236">AAD7</f>
        <v>46024</v>
      </c>
      <c r="AAN7" s="56"/>
      <c r="AAO7" s="242">
        <f>SUMPRODUCT(PRODUCE!$B6:$DY6,PRODUCE!$EB$57:$IY$57)</f>
        <v>0</v>
      </c>
      <c r="AAP7" s="56"/>
      <c r="AAQ7" s="242">
        <f t="shared" ref="AAQ7:AAQ36" si="237">AAO7-AAP7</f>
        <v>0</v>
      </c>
      <c r="AAR7" s="242">
        <f t="shared" ref="AAR7:AAR36" si="238">AAR6+AAN7-AAP7</f>
        <v>0</v>
      </c>
      <c r="AAS7" s="56"/>
      <c r="AAV7" s="55">
        <f t="shared" ref="AAV7:AAV36" si="239">AAM7</f>
        <v>46024</v>
      </c>
      <c r="AAW7" s="56"/>
      <c r="AAX7" s="242">
        <f>SUMPRODUCT(PRODUCE!$B6:$DY6,PRODUCE!$EB$57:$IY$57)</f>
        <v>0</v>
      </c>
      <c r="AAY7" s="56"/>
      <c r="AAZ7" s="242">
        <f t="shared" ref="AAZ7:AAZ36" si="240">AAX7-AAY7</f>
        <v>0</v>
      </c>
      <c r="ABA7" s="242">
        <f t="shared" ref="ABA7:ABA36" si="241">ABA6+AAW7-AAY7</f>
        <v>0</v>
      </c>
      <c r="ABB7" s="56"/>
      <c r="ABE7" s="55">
        <f t="shared" ref="ABE7:ABE36" si="242">AAV7</f>
        <v>46024</v>
      </c>
      <c r="ABF7" s="56"/>
      <c r="ABG7" s="242">
        <f>SUMPRODUCT(PRODUCE!$B6:$DY6,PRODUCE!$EB$57:$IY$57)</f>
        <v>0</v>
      </c>
      <c r="ABH7" s="56"/>
      <c r="ABI7" s="242">
        <f t="shared" ref="ABI7:ABI36" si="243">ABG7-ABH7</f>
        <v>0</v>
      </c>
      <c r="ABJ7" s="242">
        <f t="shared" ref="ABJ7:ABJ36" si="244">ABJ6+ABF7-ABH7</f>
        <v>0</v>
      </c>
      <c r="ABK7" s="56"/>
    </row>
    <row r="8" spans="1:740" s="54" customFormat="1" ht="15" customHeight="1" outlineLevel="1">
      <c r="B8" s="478">
        <f>50+12+30</f>
        <v>92</v>
      </c>
      <c r="C8" s="55">
        <v>46025</v>
      </c>
      <c r="D8" s="422">
        <v>39220</v>
      </c>
      <c r="E8" s="423">
        <f>SUMPRODUCT(PRODUCE!$B7:$DY7,PRODUCE!$EB$7:$IY$7)</f>
        <v>53920</v>
      </c>
      <c r="F8" s="422">
        <f>16092.8+6457.8+31372.4</f>
        <v>53923</v>
      </c>
      <c r="G8" s="423">
        <f t="shared" si="2"/>
        <v>-3</v>
      </c>
      <c r="H8" s="423">
        <f t="shared" si="0"/>
        <v>65331.399999999994</v>
      </c>
      <c r="I8" s="289" t="s">
        <v>175</v>
      </c>
      <c r="L8" s="55">
        <f t="shared" si="1"/>
        <v>46025</v>
      </c>
      <c r="M8" s="422">
        <v>28530</v>
      </c>
      <c r="N8" s="438">
        <f>SUMPRODUCT(PRODUCE!$B7:$DY7,PRODUCE!$EB$8:$IY$8)</f>
        <v>18543</v>
      </c>
      <c r="O8" s="422">
        <f>8369.8+3351.8+6825.4</f>
        <v>18547</v>
      </c>
      <c r="P8" s="438">
        <f t="shared" si="3"/>
        <v>-4</v>
      </c>
      <c r="Q8" s="438">
        <f t="shared" si="4"/>
        <v>5414.6000000000022</v>
      </c>
      <c r="R8" s="56"/>
      <c r="U8" s="55">
        <f t="shared" si="5"/>
        <v>46025</v>
      </c>
      <c r="V8" s="422"/>
      <c r="W8" s="440">
        <f>SUMPRODUCT(PRODUCE!$B7:$DY7,PRODUCE!$EB$9:$IY$9)</f>
        <v>6100</v>
      </c>
      <c r="X8" s="422">
        <f>1499.7+599.4+4001.1</f>
        <v>6100.2</v>
      </c>
      <c r="Y8" s="440">
        <f t="shared" si="6"/>
        <v>-0.1999999999998181</v>
      </c>
      <c r="Z8" s="440">
        <f t="shared" si="7"/>
        <v>29670.499999999996</v>
      </c>
      <c r="AA8" s="56"/>
      <c r="AD8" s="55">
        <f t="shared" si="8"/>
        <v>46025</v>
      </c>
      <c r="AE8" s="422"/>
      <c r="AF8" s="442">
        <f>SUMPRODUCT(PRODUCE!$B7:$DY7,PRODUCE!$EB$10:$IY$10)</f>
        <v>5600</v>
      </c>
      <c r="AG8" s="422">
        <f>1500.5+600.2+3495.3</f>
        <v>5596</v>
      </c>
      <c r="AH8" s="442">
        <f t="shared" si="9"/>
        <v>4</v>
      </c>
      <c r="AI8" s="442">
        <f t="shared" si="10"/>
        <v>23996.600000000013</v>
      </c>
      <c r="AJ8" s="56"/>
      <c r="AM8" s="55">
        <f t="shared" si="11"/>
        <v>46025</v>
      </c>
      <c r="AN8" s="422"/>
      <c r="AO8" s="444">
        <f>SUMPRODUCT(PRODUCE!$B7:$DY7,PRODUCE!$EB$11:$IY$11)</f>
        <v>0</v>
      </c>
      <c r="AP8" s="422"/>
      <c r="AQ8" s="444">
        <f t="shared" si="12"/>
        <v>0</v>
      </c>
      <c r="AR8" s="444">
        <f t="shared" si="13"/>
        <v>0</v>
      </c>
      <c r="AS8" s="56"/>
      <c r="AV8" s="55">
        <f t="shared" si="14"/>
        <v>46025</v>
      </c>
      <c r="AW8" s="422"/>
      <c r="AX8" s="446">
        <f>SUMPRODUCT(PRODUCE!$B7:$DY7,PRODUCE!$EB$12:$IY$12)</f>
        <v>1615</v>
      </c>
      <c r="AY8" s="422">
        <f>600.7+239.7+774.1</f>
        <v>1614.5</v>
      </c>
      <c r="AZ8" s="446">
        <f t="shared" si="15"/>
        <v>0.5</v>
      </c>
      <c r="BA8" s="446">
        <f t="shared" si="16"/>
        <v>26714.69999999999</v>
      </c>
      <c r="BB8" s="56"/>
      <c r="BE8" s="55">
        <f t="shared" si="17"/>
        <v>46025</v>
      </c>
      <c r="BF8" s="422"/>
      <c r="BG8" s="448">
        <f>SUMPRODUCT(PRODUCE!$B7:$DY7,PRODUCE!$EB$13:$IY$13)</f>
        <v>2090</v>
      </c>
      <c r="BH8" s="422">
        <f>599.7+238.9+1251.6</f>
        <v>2090.1999999999998</v>
      </c>
      <c r="BI8" s="448">
        <f t="shared" si="18"/>
        <v>-0.1999999999998181</v>
      </c>
      <c r="BJ8" s="448">
        <f t="shared" si="19"/>
        <v>2710.1000000000076</v>
      </c>
      <c r="BK8" s="56"/>
      <c r="BN8" s="55">
        <f t="shared" si="20"/>
        <v>46025</v>
      </c>
      <c r="BO8" s="422">
        <v>2090</v>
      </c>
      <c r="BP8" s="450">
        <f>SUMPRODUCT(PRODUCE!$B7:$DY7,PRODUCE!$EB$14:$IY$14)</f>
        <v>2090</v>
      </c>
      <c r="BQ8" s="422">
        <f>600+240+1250</f>
        <v>2090</v>
      </c>
      <c r="BR8" s="450">
        <f t="shared" si="21"/>
        <v>0</v>
      </c>
      <c r="BS8" s="450">
        <f t="shared" si="22"/>
        <v>0</v>
      </c>
      <c r="BT8" s="56"/>
      <c r="BW8" s="55">
        <f t="shared" si="23"/>
        <v>46025</v>
      </c>
      <c r="BX8" s="56"/>
      <c r="BY8" s="65">
        <f>SUMPRODUCT(PRODUCE!$B7:$DY7,PRODUCE!$EB$15:$IY$15)</f>
        <v>0</v>
      </c>
      <c r="BZ8" s="56"/>
      <c r="CA8" s="65">
        <f t="shared" si="24"/>
        <v>0</v>
      </c>
      <c r="CB8" s="65">
        <f t="shared" si="25"/>
        <v>512.5</v>
      </c>
      <c r="CC8" s="56"/>
      <c r="CF8" s="55">
        <f t="shared" si="26"/>
        <v>46025</v>
      </c>
      <c r="CG8" s="56"/>
      <c r="CH8" s="66">
        <f>SUMPRODUCT(PRODUCE!$B7:$DY7,PRODUCE!$EB$16:$IY$16)</f>
        <v>0</v>
      </c>
      <c r="CI8" s="56"/>
      <c r="CJ8" s="66">
        <f t="shared" si="27"/>
        <v>0</v>
      </c>
      <c r="CK8" s="66">
        <f t="shared" si="28"/>
        <v>0</v>
      </c>
      <c r="CL8" s="56"/>
      <c r="CO8" s="55">
        <f t="shared" si="29"/>
        <v>46025</v>
      </c>
      <c r="CP8" s="422"/>
      <c r="CQ8" s="470">
        <f>SUMPRODUCT(PRODUCE!$B7:$DY7,PRODUCE!$EB$17:$IY$17)</f>
        <v>0</v>
      </c>
      <c r="CR8" s="422"/>
      <c r="CS8" s="470">
        <f t="shared" si="30"/>
        <v>0</v>
      </c>
      <c r="CT8" s="470">
        <f t="shared" si="31"/>
        <v>0</v>
      </c>
      <c r="CU8" s="56"/>
      <c r="CX8" s="55">
        <f t="shared" si="32"/>
        <v>46025</v>
      </c>
      <c r="CY8" s="56"/>
      <c r="CZ8" s="133">
        <f>SUMPRODUCT(PRODUCE!$B7:$DY7,PRODUCE!$EB$18:$IY$18)</f>
        <v>0</v>
      </c>
      <c r="DA8" s="56"/>
      <c r="DB8" s="133">
        <f t="shared" si="33"/>
        <v>0</v>
      </c>
      <c r="DC8" s="133">
        <f t="shared" si="34"/>
        <v>0</v>
      </c>
      <c r="DD8" s="56"/>
      <c r="DG8" s="55">
        <f t="shared" si="35"/>
        <v>46025</v>
      </c>
      <c r="DH8" s="56"/>
      <c r="DI8" s="147">
        <f>SUMPRODUCT(PRODUCE!$B7:$DY7,PRODUCE!$EB$19:$IY$19)</f>
        <v>0</v>
      </c>
      <c r="DJ8" s="56"/>
      <c r="DK8" s="147">
        <f t="shared" si="36"/>
        <v>0</v>
      </c>
      <c r="DL8" s="147">
        <f t="shared" si="37"/>
        <v>31341.199999999997</v>
      </c>
      <c r="DM8" s="56"/>
      <c r="DP8" s="55">
        <f t="shared" si="38"/>
        <v>46025</v>
      </c>
      <c r="DQ8" s="56"/>
      <c r="DR8" s="57">
        <f>SUMPRODUCT(PRODUCE!$B7:$DY7,PRODUCE!$EB$20:$IY$20)</f>
        <v>0</v>
      </c>
      <c r="DS8" s="56"/>
      <c r="DT8" s="57">
        <f t="shared" si="39"/>
        <v>0</v>
      </c>
      <c r="DU8" s="57">
        <f t="shared" si="40"/>
        <v>0</v>
      </c>
      <c r="DV8" s="56"/>
      <c r="DY8" s="55">
        <f t="shared" si="41"/>
        <v>46025</v>
      </c>
      <c r="DZ8" s="56"/>
      <c r="EA8" s="157">
        <f>SUMPRODUCT(PRODUCE!$B7:$DY7,PRODUCE!$EB$21:$IY$21)</f>
        <v>0</v>
      </c>
      <c r="EB8" s="56"/>
      <c r="EC8" s="157">
        <f t="shared" si="42"/>
        <v>0</v>
      </c>
      <c r="ED8" s="157">
        <f t="shared" si="43"/>
        <v>0</v>
      </c>
      <c r="EE8" s="56"/>
      <c r="EH8" s="55">
        <f t="shared" si="44"/>
        <v>46025</v>
      </c>
      <c r="EI8" s="56"/>
      <c r="EJ8" s="162">
        <f>SUMPRODUCT(PRODUCE!$B7:$DY7,PRODUCE!$EB$22:$IY$22)</f>
        <v>0</v>
      </c>
      <c r="EK8" s="56"/>
      <c r="EL8" s="162">
        <f t="shared" si="45"/>
        <v>0</v>
      </c>
      <c r="EM8" s="162">
        <f t="shared" si="46"/>
        <v>0</v>
      </c>
      <c r="EN8" s="56"/>
      <c r="EQ8" s="55">
        <f t="shared" si="47"/>
        <v>46025</v>
      </c>
      <c r="ER8" s="56"/>
      <c r="ES8" s="135">
        <f>SUMPRODUCT(PRODUCE!$B7:$DY7,PRODUCE!$EB$23:$IY$23)</f>
        <v>0</v>
      </c>
      <c r="ET8" s="56"/>
      <c r="EU8" s="135">
        <f t="shared" si="48"/>
        <v>0</v>
      </c>
      <c r="EV8" s="135">
        <f t="shared" si="49"/>
        <v>0</v>
      </c>
      <c r="EW8" s="56"/>
      <c r="EZ8" s="55">
        <f t="shared" si="50"/>
        <v>46025</v>
      </c>
      <c r="FA8" s="56"/>
      <c r="FB8" s="175">
        <f>SUMPRODUCT(PRODUCE!$B7:$DY7,PRODUCE!$EB$24:$IY$24)</f>
        <v>0</v>
      </c>
      <c r="FC8" s="56"/>
      <c r="FD8" s="175">
        <f t="shared" si="51"/>
        <v>0</v>
      </c>
      <c r="FE8" s="175">
        <f t="shared" si="52"/>
        <v>0</v>
      </c>
      <c r="FF8" s="56"/>
      <c r="FI8" s="55">
        <f t="shared" si="53"/>
        <v>46025</v>
      </c>
      <c r="FJ8" s="56"/>
      <c r="FK8" s="183">
        <f>SUMPRODUCT(PRODUCE!$B7:$DY7,PRODUCE!$EB$25:$IY$25)</f>
        <v>0</v>
      </c>
      <c r="FL8" s="56"/>
      <c r="FM8" s="183">
        <f t="shared" si="54"/>
        <v>0</v>
      </c>
      <c r="FN8" s="183">
        <f t="shared" si="55"/>
        <v>0</v>
      </c>
      <c r="FO8" s="56"/>
      <c r="FR8" s="55">
        <f t="shared" si="56"/>
        <v>46025</v>
      </c>
      <c r="FS8" s="422"/>
      <c r="FT8" s="452">
        <f>SUMPRODUCT(PRODUCE!$B7:$DY7,PRODUCE!$EB$26:$IY$26)</f>
        <v>0</v>
      </c>
      <c r="FU8" s="422"/>
      <c r="FV8" s="452">
        <f t="shared" si="57"/>
        <v>0</v>
      </c>
      <c r="FW8" s="452">
        <f t="shared" si="58"/>
        <v>3540</v>
      </c>
      <c r="FX8" s="56"/>
      <c r="GA8" s="55">
        <f t="shared" si="59"/>
        <v>46025</v>
      </c>
      <c r="GB8" s="422"/>
      <c r="GC8" s="454">
        <f>SUMPRODUCT(PRODUCE!$B7:$DY7,PRODUCE!$EB$27:$IY$27)</f>
        <v>0</v>
      </c>
      <c r="GD8" s="422"/>
      <c r="GE8" s="454">
        <f t="shared" si="60"/>
        <v>0</v>
      </c>
      <c r="GF8" s="454">
        <f t="shared" si="61"/>
        <v>1960</v>
      </c>
      <c r="GG8" s="56"/>
      <c r="GI8" s="23"/>
      <c r="GJ8" s="55">
        <f t="shared" si="62"/>
        <v>46025</v>
      </c>
      <c r="GK8" s="422"/>
      <c r="GL8" s="456">
        <f>SUMPRODUCT(PRODUCE!$B7:$DY7,PRODUCE!$EB$28:$IY$28)</f>
        <v>1000</v>
      </c>
      <c r="GM8" s="422">
        <f>120*20</f>
        <v>2400</v>
      </c>
      <c r="GN8" s="456">
        <f t="shared" si="63"/>
        <v>-1400</v>
      </c>
      <c r="GO8" s="456">
        <f t="shared" si="64"/>
        <v>560</v>
      </c>
      <c r="GP8" s="463">
        <f>GM8/20</f>
        <v>120</v>
      </c>
      <c r="GQ8" s="464" t="s">
        <v>173</v>
      </c>
      <c r="GS8" s="55">
        <f t="shared" si="65"/>
        <v>46025</v>
      </c>
      <c r="GT8" s="56"/>
      <c r="GU8" s="195">
        <f>SUMPRODUCT(PRODUCE!$B7:$DY7,PRODUCE!$EB$29:$IY$29)</f>
        <v>0</v>
      </c>
      <c r="GV8" s="56"/>
      <c r="GW8" s="195">
        <f t="shared" si="66"/>
        <v>0</v>
      </c>
      <c r="GX8" s="195">
        <f t="shared" si="67"/>
        <v>0</v>
      </c>
      <c r="GY8" s="56"/>
      <c r="HB8" s="55">
        <f t="shared" si="68"/>
        <v>46025</v>
      </c>
      <c r="HC8" s="56"/>
      <c r="HD8" s="191">
        <f>SUMPRODUCT(PRODUCE!$B7:$DY7,PRODUCE!$EB$30:$IY$30)</f>
        <v>0</v>
      </c>
      <c r="HE8" s="56"/>
      <c r="HF8" s="191">
        <f t="shared" si="69"/>
        <v>0</v>
      </c>
      <c r="HG8" s="191">
        <f t="shared" si="70"/>
        <v>0</v>
      </c>
      <c r="HH8" s="56"/>
      <c r="HK8" s="55">
        <f t="shared" si="71"/>
        <v>46025</v>
      </c>
      <c r="HL8" s="56"/>
      <c r="HM8" s="63">
        <f>SUMPRODUCT(PRODUCE!$B7:$DY7,PRODUCE!$EB$31:$IY$31)</f>
        <v>0</v>
      </c>
      <c r="HN8" s="56"/>
      <c r="HO8" s="63">
        <f t="shared" si="72"/>
        <v>0</v>
      </c>
      <c r="HP8" s="63">
        <f t="shared" si="73"/>
        <v>0</v>
      </c>
      <c r="HQ8" s="56"/>
      <c r="HU8" s="55">
        <f t="shared" si="74"/>
        <v>46025</v>
      </c>
      <c r="HV8" s="56"/>
      <c r="HW8" s="242">
        <f>SUMPRODUCT(PRODUCE!$B7:$DY7,PRODUCE!$EB$32:$IY$32)</f>
        <v>0</v>
      </c>
      <c r="HX8" s="56"/>
      <c r="HY8" s="242">
        <f t="shared" si="75"/>
        <v>0</v>
      </c>
      <c r="HZ8" s="242">
        <f t="shared" si="76"/>
        <v>3980</v>
      </c>
      <c r="IA8" s="56"/>
      <c r="ID8" s="55">
        <f t="shared" si="77"/>
        <v>46025</v>
      </c>
      <c r="IE8" s="56"/>
      <c r="IF8" s="242">
        <f>SUMPRODUCT(PRODUCE!$B7:$DY7,PRODUCE!$EB$33:$IY$33)</f>
        <v>0</v>
      </c>
      <c r="IG8" s="56"/>
      <c r="IH8" s="242">
        <f t="shared" si="78"/>
        <v>0</v>
      </c>
      <c r="II8" s="242">
        <f t="shared" si="79"/>
        <v>2960</v>
      </c>
      <c r="IJ8" s="56"/>
      <c r="IM8" s="55">
        <f t="shared" si="80"/>
        <v>46025</v>
      </c>
      <c r="IN8" s="56"/>
      <c r="IO8" s="242">
        <f>SUMPRODUCT(PRODUCE!$B7:$DY7,PRODUCE!$EB$34:$IY$34)</f>
        <v>840</v>
      </c>
      <c r="IP8" s="56">
        <f>(164*20)+(36*20)-3200</f>
        <v>800</v>
      </c>
      <c r="IQ8" s="242">
        <f t="shared" si="81"/>
        <v>40</v>
      </c>
      <c r="IR8" s="242">
        <f t="shared" si="82"/>
        <v>1240</v>
      </c>
      <c r="IS8" s="465">
        <f>IP8/20</f>
        <v>40</v>
      </c>
      <c r="IT8" s="464" t="s">
        <v>173</v>
      </c>
      <c r="IV8" s="55">
        <f t="shared" si="83"/>
        <v>46025</v>
      </c>
      <c r="IW8" s="56"/>
      <c r="IX8" s="242">
        <f>SUMPRODUCT(PRODUCE!$B7:$DY7,PRODUCE!$EB$35:$IY$35)</f>
        <v>0</v>
      </c>
      <c r="IY8" s="56">
        <f>180*20</f>
        <v>3600</v>
      </c>
      <c r="IZ8" s="242">
        <f t="shared" si="84"/>
        <v>-3600</v>
      </c>
      <c r="JA8" s="242">
        <f t="shared" si="85"/>
        <v>3920</v>
      </c>
      <c r="JB8" s="56"/>
      <c r="JE8" s="55">
        <f t="shared" si="86"/>
        <v>46025</v>
      </c>
      <c r="JF8" s="56"/>
      <c r="JG8" s="242">
        <f>SUMPRODUCT(PRODUCE!$B7:$DY7,PRODUCE!$EB$36:$IY$36)</f>
        <v>0</v>
      </c>
      <c r="JH8" s="56"/>
      <c r="JI8" s="242">
        <f t="shared" si="87"/>
        <v>0</v>
      </c>
      <c r="JJ8" s="242">
        <f t="shared" si="88"/>
        <v>6800</v>
      </c>
      <c r="JK8" s="56"/>
      <c r="JN8" s="55">
        <f t="shared" si="89"/>
        <v>46025</v>
      </c>
      <c r="JO8" s="56"/>
      <c r="JP8" s="242">
        <f>SUMPRODUCT(PRODUCE!$B7:$DY7,PRODUCE!$EB$37:$IY$37)</f>
        <v>0</v>
      </c>
      <c r="JQ8" s="56"/>
      <c r="JR8" s="242">
        <f t="shared" si="90"/>
        <v>0</v>
      </c>
      <c r="JS8" s="242">
        <f t="shared" si="91"/>
        <v>4400</v>
      </c>
      <c r="JT8" s="56"/>
      <c r="JW8" s="55">
        <f t="shared" si="92"/>
        <v>46025</v>
      </c>
      <c r="JX8" s="56"/>
      <c r="JY8" s="242">
        <f>SUMPRODUCT(PRODUCE!$B7:$DY7,PRODUCE!$EB$38:$IY$38)</f>
        <v>0</v>
      </c>
      <c r="JZ8" s="56"/>
      <c r="KA8" s="242">
        <f t="shared" si="93"/>
        <v>0</v>
      </c>
      <c r="KB8" s="242">
        <f t="shared" si="94"/>
        <v>0</v>
      </c>
      <c r="KC8" s="56"/>
      <c r="KF8" s="55">
        <f t="shared" si="95"/>
        <v>46025</v>
      </c>
      <c r="KG8" s="56"/>
      <c r="KH8" s="242">
        <f>SUMPRODUCT(PRODUCE!$B7:$DY7,PRODUCE!$EB$39:$IY$39)</f>
        <v>0</v>
      </c>
      <c r="KI8" s="56"/>
      <c r="KJ8" s="242">
        <f t="shared" si="96"/>
        <v>0</v>
      </c>
      <c r="KK8" s="242">
        <f t="shared" si="97"/>
        <v>0</v>
      </c>
      <c r="KL8" s="56"/>
      <c r="KO8" s="55">
        <f t="shared" si="98"/>
        <v>46025</v>
      </c>
      <c r="KP8" s="56"/>
      <c r="KQ8" s="242">
        <f>SUMPRODUCT(PRODUCE!$B7:$DY7,PRODUCE!$EB$40:$IY$40)</f>
        <v>0</v>
      </c>
      <c r="KR8" s="56"/>
      <c r="KS8" s="242">
        <f t="shared" si="99"/>
        <v>0</v>
      </c>
      <c r="KT8" s="242">
        <f t="shared" si="100"/>
        <v>0</v>
      </c>
      <c r="KU8" s="56"/>
      <c r="KW8" s="23"/>
      <c r="KX8" s="55">
        <f t="shared" si="101"/>
        <v>46025</v>
      </c>
      <c r="KY8" s="56"/>
      <c r="KZ8" s="242">
        <f>SUMPRODUCT(PRODUCE!$B7:$DY7,PRODUCE!$EB$41:$IY$41)</f>
        <v>0</v>
      </c>
      <c r="LA8" s="56"/>
      <c r="LB8" s="242">
        <f t="shared" si="102"/>
        <v>0</v>
      </c>
      <c r="LC8" s="242">
        <f t="shared" si="103"/>
        <v>0</v>
      </c>
      <c r="LD8" s="56"/>
      <c r="LG8" s="55">
        <f t="shared" si="104"/>
        <v>46025</v>
      </c>
      <c r="LH8" s="56"/>
      <c r="LI8" s="242">
        <f>SUMPRODUCT(PRODUCE!$B7:$DY7,PRODUCE!$EB$42:$IY$42)</f>
        <v>0</v>
      </c>
      <c r="LJ8" s="56"/>
      <c r="LK8" s="242">
        <f t="shared" si="105"/>
        <v>0</v>
      </c>
      <c r="LL8" s="242">
        <f t="shared" si="106"/>
        <v>0</v>
      </c>
      <c r="LM8" s="56"/>
      <c r="LP8" s="55">
        <f t="shared" si="107"/>
        <v>46025</v>
      </c>
      <c r="LQ8" s="56"/>
      <c r="LR8" s="242">
        <f>SUMPRODUCT(PRODUCE!$B7:$DY7,PRODUCE!$EB$43:$IY$43)</f>
        <v>0</v>
      </c>
      <c r="LS8" s="56"/>
      <c r="LT8" s="242">
        <f t="shared" si="108"/>
        <v>0</v>
      </c>
      <c r="LU8" s="242">
        <f t="shared" si="109"/>
        <v>0</v>
      </c>
      <c r="LV8" s="56"/>
      <c r="LY8" s="55">
        <f t="shared" si="110"/>
        <v>46025</v>
      </c>
      <c r="LZ8" s="56"/>
      <c r="MA8" s="242">
        <f>SUMPRODUCT(PRODUCE!$B7:$DY7,PRODUCE!$EB$44:$IY$44)</f>
        <v>0</v>
      </c>
      <c r="MB8" s="56"/>
      <c r="MC8" s="242">
        <f t="shared" si="111"/>
        <v>0</v>
      </c>
      <c r="MD8" s="242">
        <f t="shared" si="112"/>
        <v>0</v>
      </c>
      <c r="ME8" s="56"/>
      <c r="MH8" s="55">
        <f t="shared" si="113"/>
        <v>46025</v>
      </c>
      <c r="MI8" s="56"/>
      <c r="MJ8" s="242">
        <f>SUMPRODUCT(PRODUCE!$B7:$DY7,PRODUCE!$EB$45:$IY$45)</f>
        <v>0</v>
      </c>
      <c r="MK8" s="56"/>
      <c r="ML8" s="242">
        <f t="shared" si="114"/>
        <v>0</v>
      </c>
      <c r="MM8" s="242">
        <f t="shared" si="115"/>
        <v>0</v>
      </c>
      <c r="MN8" s="56"/>
      <c r="MQ8" s="55">
        <f t="shared" si="116"/>
        <v>46025</v>
      </c>
      <c r="MR8" s="56"/>
      <c r="MS8" s="242">
        <f>SUMPRODUCT(PRODUCE!$B7:$DY7,PRODUCE!$EB$46:$IY$46)</f>
        <v>46</v>
      </c>
      <c r="MT8" s="56">
        <f>82+18+60</f>
        <v>160</v>
      </c>
      <c r="MU8" s="242">
        <f t="shared" si="117"/>
        <v>-114</v>
      </c>
      <c r="MV8" s="242">
        <f t="shared" si="118"/>
        <v>1371</v>
      </c>
      <c r="MW8" s="56"/>
      <c r="MZ8" s="55">
        <f t="shared" si="119"/>
        <v>46025</v>
      </c>
      <c r="NA8" s="56">
        <v>1140</v>
      </c>
      <c r="NB8" s="242">
        <f>SUMPRODUCT(PRODUCE!$B7:$DY7,PRODUCE!$EB$47:$IY$47)</f>
        <v>126</v>
      </c>
      <c r="NC8" s="56">
        <f>492+108+540</f>
        <v>1140</v>
      </c>
      <c r="ND8" s="242">
        <f t="shared" si="120"/>
        <v>-1014</v>
      </c>
      <c r="NE8" s="242">
        <f t="shared" si="121"/>
        <v>0</v>
      </c>
      <c r="NF8" s="56"/>
      <c r="NI8" s="55">
        <f t="shared" si="122"/>
        <v>46025</v>
      </c>
      <c r="NJ8" s="56"/>
      <c r="NK8" s="242">
        <f>SUMPRODUCT(PRODUCE!$B7:$DY7,PRODUCE!$EB$48:$IY$48)</f>
        <v>0</v>
      </c>
      <c r="NL8" s="56"/>
      <c r="NM8" s="242">
        <f t="shared" si="123"/>
        <v>0</v>
      </c>
      <c r="NN8" s="242">
        <f t="shared" si="124"/>
        <v>0</v>
      </c>
      <c r="NO8" s="56"/>
      <c r="NR8" s="55">
        <f t="shared" si="125"/>
        <v>46025</v>
      </c>
      <c r="NS8" s="56"/>
      <c r="NT8" s="242">
        <f>SUMPRODUCT(PRODUCE!$B7:$DY7,PRODUCE!$EB$49:$IY$49)</f>
        <v>0</v>
      </c>
      <c r="NU8" s="56"/>
      <c r="NV8" s="242">
        <f t="shared" si="126"/>
        <v>0</v>
      </c>
      <c r="NW8" s="242">
        <f t="shared" si="127"/>
        <v>0</v>
      </c>
      <c r="NX8" s="56"/>
      <c r="OA8" s="55">
        <f t="shared" si="128"/>
        <v>46025</v>
      </c>
      <c r="OB8" s="56"/>
      <c r="OC8" s="242">
        <f>SUMPRODUCT(PRODUCE!$B7:$DY7,PRODUCE!$EB$50:$IY$50)</f>
        <v>30</v>
      </c>
      <c r="OD8" s="56">
        <f>164+36</f>
        <v>200</v>
      </c>
      <c r="OE8" s="242">
        <f t="shared" si="129"/>
        <v>-170</v>
      </c>
      <c r="OF8" s="242">
        <f t="shared" si="130"/>
        <v>-164.8</v>
      </c>
      <c r="OG8" s="56"/>
      <c r="OJ8" s="55">
        <f t="shared" si="131"/>
        <v>46025</v>
      </c>
      <c r="OK8" s="56"/>
      <c r="OL8" s="242">
        <f>SUMPRODUCT(PRODUCE!$B7:$DY7,PRODUCE!$EB$51:$IY$51)</f>
        <v>0</v>
      </c>
      <c r="OM8" s="56"/>
      <c r="ON8" s="242">
        <f t="shared" si="132"/>
        <v>0</v>
      </c>
      <c r="OO8" s="242">
        <f t="shared" si="133"/>
        <v>0</v>
      </c>
      <c r="OP8" s="56"/>
      <c r="OS8" s="55">
        <f t="shared" si="134"/>
        <v>46025</v>
      </c>
      <c r="OT8" s="56"/>
      <c r="OU8" s="242">
        <f>SUMPRODUCT(PRODUCE!$B7:$DY7,PRODUCE!$EB$52:$IY$52)</f>
        <v>0</v>
      </c>
      <c r="OV8" s="56">
        <f>66+36+180</f>
        <v>282</v>
      </c>
      <c r="OW8" s="242">
        <f t="shared" si="135"/>
        <v>-282</v>
      </c>
      <c r="OX8" s="242">
        <f t="shared" si="136"/>
        <v>67</v>
      </c>
      <c r="OY8" s="56"/>
      <c r="PB8" s="55">
        <f t="shared" si="137"/>
        <v>46025</v>
      </c>
      <c r="PC8" s="56">
        <v>98</v>
      </c>
      <c r="PD8" s="242">
        <f>SUMPRODUCT(PRODUCE!$B7:$DY7,PRODUCE!$EB$53:$IY$53)</f>
        <v>0</v>
      </c>
      <c r="PE8" s="56">
        <v>98</v>
      </c>
      <c r="PF8" s="242">
        <f t="shared" si="138"/>
        <v>-98</v>
      </c>
      <c r="PG8" s="242">
        <f t="shared" si="139"/>
        <v>0</v>
      </c>
      <c r="PH8" s="56"/>
      <c r="PK8" s="55">
        <f t="shared" si="140"/>
        <v>46025</v>
      </c>
      <c r="PL8" s="56"/>
      <c r="PM8" s="242">
        <f>SUMPRODUCT(PRODUCE!$B7:$DY7,PRODUCE!$EB$54:$IY$54)</f>
        <v>0</v>
      </c>
      <c r="PN8" s="56"/>
      <c r="PO8" s="242">
        <f t="shared" si="141"/>
        <v>0</v>
      </c>
      <c r="PP8" s="242">
        <f t="shared" si="142"/>
        <v>160</v>
      </c>
      <c r="PQ8" s="56"/>
      <c r="PT8" s="55">
        <f t="shared" si="143"/>
        <v>46025</v>
      </c>
      <c r="PU8" s="56"/>
      <c r="PV8" s="242">
        <f>SUMPRODUCT(PRODUCE!$B7:$DY7,PRODUCE!$EB$55:$IY$55)</f>
        <v>0</v>
      </c>
      <c r="PW8" s="56"/>
      <c r="PX8" s="242">
        <f t="shared" si="144"/>
        <v>0</v>
      </c>
      <c r="PY8" s="242">
        <f t="shared" si="145"/>
        <v>13.960000000000036</v>
      </c>
      <c r="PZ8" s="56"/>
      <c r="QC8" s="55">
        <f t="shared" si="146"/>
        <v>46025</v>
      </c>
      <c r="QD8" s="56"/>
      <c r="QE8" s="242">
        <f>SUMPRODUCT(PRODUCE!$B7:$DY7,PRODUCE!$EB$56:$IY$56)</f>
        <v>0</v>
      </c>
      <c r="QF8" s="56"/>
      <c r="QG8" s="242">
        <f t="shared" si="147"/>
        <v>0</v>
      </c>
      <c r="QH8" s="242">
        <f t="shared" si="148"/>
        <v>0</v>
      </c>
      <c r="QI8" s="56"/>
      <c r="QL8" s="55">
        <f t="shared" si="149"/>
        <v>46025</v>
      </c>
      <c r="QM8" s="56"/>
      <c r="QN8" s="242">
        <f>SUMPRODUCT(PRODUCE!$B7:$DY7,PRODUCE!$EB$57:$IY$57)</f>
        <v>0</v>
      </c>
      <c r="QO8" s="56"/>
      <c r="QP8" s="242">
        <f t="shared" si="150"/>
        <v>0</v>
      </c>
      <c r="QQ8" s="242">
        <f t="shared" si="151"/>
        <v>0</v>
      </c>
      <c r="QR8" s="56"/>
      <c r="QU8" s="55">
        <f t="shared" si="152"/>
        <v>46025</v>
      </c>
      <c r="QV8" s="56"/>
      <c r="QW8" s="242">
        <f>SUMPRODUCT(PRODUCE!$B7:$DY7,PRODUCE!$EB$57:$IY$57)</f>
        <v>0</v>
      </c>
      <c r="QX8" s="56"/>
      <c r="QY8" s="242">
        <f t="shared" si="153"/>
        <v>0</v>
      </c>
      <c r="QZ8" s="242">
        <f t="shared" si="154"/>
        <v>207.6</v>
      </c>
      <c r="RA8" s="56"/>
      <c r="RD8" s="55">
        <f t="shared" si="155"/>
        <v>46025</v>
      </c>
      <c r="RE8" s="56"/>
      <c r="RF8" s="242">
        <f>SUMPRODUCT(PRODUCE!$B7:$DY7,PRODUCE!$EB$58:$IY$58)</f>
        <v>0</v>
      </c>
      <c r="RG8" s="56"/>
      <c r="RH8" s="242">
        <f t="shared" si="156"/>
        <v>0</v>
      </c>
      <c r="RI8" s="242">
        <f t="shared" si="157"/>
        <v>201.8</v>
      </c>
      <c r="RJ8" s="56"/>
      <c r="RM8" s="55">
        <f t="shared" si="158"/>
        <v>46025</v>
      </c>
      <c r="RN8" s="56"/>
      <c r="RO8" s="242">
        <f>SUMPRODUCT(PRODUCE!$B7:$DY7,PRODUCE!$EB$59:$IY$59)</f>
        <v>0</v>
      </c>
      <c r="RP8" s="56"/>
      <c r="RQ8" s="242">
        <f t="shared" si="159"/>
        <v>0</v>
      </c>
      <c r="RR8" s="242">
        <f t="shared" si="160"/>
        <v>22.720000000000002</v>
      </c>
      <c r="RS8" s="56"/>
      <c r="RV8" s="55">
        <f t="shared" si="161"/>
        <v>46025</v>
      </c>
      <c r="RW8" s="56"/>
      <c r="RX8" s="242">
        <f>SUMPRODUCT(PRODUCE!$B7:$DY7,PRODUCE!$EB$57:$IY$57)</f>
        <v>0</v>
      </c>
      <c r="RY8" s="56"/>
      <c r="RZ8" s="242">
        <f t="shared" si="162"/>
        <v>0</v>
      </c>
      <c r="SA8" s="242">
        <f t="shared" si="163"/>
        <v>0</v>
      </c>
      <c r="SB8" s="56"/>
      <c r="SE8" s="55">
        <f t="shared" si="164"/>
        <v>46025</v>
      </c>
      <c r="SF8" s="56"/>
      <c r="SG8" s="242">
        <f>SUMPRODUCT(PRODUCE!$B7:$DY7,PRODUCE!$EB$61:$IY$61)</f>
        <v>0</v>
      </c>
      <c r="SH8" s="56"/>
      <c r="SI8" s="242">
        <f t="shared" si="165"/>
        <v>0</v>
      </c>
      <c r="SJ8" s="242">
        <f t="shared" si="166"/>
        <v>0</v>
      </c>
      <c r="SK8" s="56"/>
      <c r="SN8" s="55">
        <f t="shared" si="167"/>
        <v>46025</v>
      </c>
      <c r="SO8" s="56"/>
      <c r="SP8" s="242">
        <f>SUMPRODUCT(PRODUCE!$B7:$DY7,PRODUCE!$EB$57:$IY$57)</f>
        <v>0</v>
      </c>
      <c r="SQ8" s="56"/>
      <c r="SR8" s="242">
        <f t="shared" si="168"/>
        <v>0</v>
      </c>
      <c r="SS8" s="242">
        <f t="shared" si="169"/>
        <v>0</v>
      </c>
      <c r="ST8" s="56"/>
      <c r="SW8" s="55">
        <f t="shared" si="170"/>
        <v>46025</v>
      </c>
      <c r="SX8" s="56"/>
      <c r="SY8" s="242">
        <f>SUMPRODUCT(PRODUCE!$B7:$DY7,PRODUCE!$EB$57:$IY$57)</f>
        <v>0</v>
      </c>
      <c r="SZ8" s="56"/>
      <c r="TA8" s="242">
        <f t="shared" si="171"/>
        <v>0</v>
      </c>
      <c r="TB8" s="242">
        <f t="shared" si="172"/>
        <v>0</v>
      </c>
      <c r="TC8" s="56"/>
      <c r="TF8" s="55">
        <f t="shared" si="173"/>
        <v>46025</v>
      </c>
      <c r="TG8" s="56"/>
      <c r="TH8" s="242">
        <f>SUMPRODUCT(PRODUCE!$B7:$DY7,PRODUCE!$EB$57:$IY$57)</f>
        <v>0</v>
      </c>
      <c r="TI8" s="56"/>
      <c r="TJ8" s="242">
        <f t="shared" si="174"/>
        <v>0</v>
      </c>
      <c r="TK8" s="242">
        <f t="shared" si="175"/>
        <v>0</v>
      </c>
      <c r="TL8" s="56"/>
      <c r="TO8" s="55">
        <f t="shared" si="176"/>
        <v>46025</v>
      </c>
      <c r="TP8" s="56"/>
      <c r="TQ8" s="242">
        <f>SUMPRODUCT(PRODUCE!$B7:$DY7,PRODUCE!$EB$57:$IY$57)</f>
        <v>0</v>
      </c>
      <c r="TR8" s="56"/>
      <c r="TS8" s="242">
        <f t="shared" si="177"/>
        <v>0</v>
      </c>
      <c r="TT8" s="242">
        <f t="shared" si="178"/>
        <v>0</v>
      </c>
      <c r="TU8" s="56"/>
      <c r="TX8" s="55">
        <f t="shared" si="179"/>
        <v>46025</v>
      </c>
      <c r="TY8" s="56"/>
      <c r="TZ8" s="242">
        <f>SUMPRODUCT(PRODUCE!$B7:$DY7,PRODUCE!$EB$57:$IY$57)</f>
        <v>0</v>
      </c>
      <c r="UA8" s="56"/>
      <c r="UB8" s="242">
        <f t="shared" si="180"/>
        <v>0</v>
      </c>
      <c r="UC8" s="242">
        <f t="shared" si="181"/>
        <v>0</v>
      </c>
      <c r="UD8" s="56"/>
      <c r="UG8" s="55">
        <f t="shared" si="182"/>
        <v>46025</v>
      </c>
      <c r="UH8" s="56"/>
      <c r="UI8" s="242">
        <f>SUMPRODUCT(PRODUCE!$B7:$DY7,PRODUCE!$EB$57:$IY$57)</f>
        <v>0</v>
      </c>
      <c r="UJ8" s="56"/>
      <c r="UK8" s="242">
        <f t="shared" si="183"/>
        <v>0</v>
      </c>
      <c r="UL8" s="242">
        <f t="shared" si="184"/>
        <v>0</v>
      </c>
      <c r="UM8" s="56"/>
      <c r="UP8" s="55">
        <f t="shared" si="185"/>
        <v>46025</v>
      </c>
      <c r="UQ8" s="56"/>
      <c r="UR8" s="242">
        <f>SUMPRODUCT(PRODUCE!$B7:$DY7,PRODUCE!$EB$57:$IY$57)</f>
        <v>0</v>
      </c>
      <c r="US8" s="56"/>
      <c r="UT8" s="242">
        <f t="shared" si="186"/>
        <v>0</v>
      </c>
      <c r="UU8" s="242">
        <f t="shared" si="187"/>
        <v>0</v>
      </c>
      <c r="UV8" s="56"/>
      <c r="UY8" s="55">
        <f t="shared" si="188"/>
        <v>46025</v>
      </c>
      <c r="UZ8" s="56"/>
      <c r="VA8" s="242">
        <f>SUMPRODUCT(PRODUCE!$B7:$DY7,PRODUCE!$EB$57:$IY$57)</f>
        <v>0</v>
      </c>
      <c r="VB8" s="56"/>
      <c r="VC8" s="242">
        <f t="shared" si="189"/>
        <v>0</v>
      </c>
      <c r="VD8" s="242">
        <f t="shared" si="190"/>
        <v>-319.59999999999997</v>
      </c>
      <c r="VE8" s="56"/>
      <c r="VH8" s="55">
        <f t="shared" si="191"/>
        <v>46025</v>
      </c>
      <c r="VI8" s="56"/>
      <c r="VJ8" s="242">
        <f>SUMPRODUCT(PRODUCE!$B7:$DY7,PRODUCE!$EB$57:$IY$57)</f>
        <v>0</v>
      </c>
      <c r="VK8" s="56"/>
      <c r="VL8" s="242">
        <f t="shared" si="192"/>
        <v>0</v>
      </c>
      <c r="VM8" s="242">
        <f t="shared" si="193"/>
        <v>0</v>
      </c>
      <c r="VN8" s="56"/>
      <c r="VQ8" s="55">
        <f t="shared" si="194"/>
        <v>46025</v>
      </c>
      <c r="VR8" s="56"/>
      <c r="VS8" s="242">
        <f>SUMPRODUCT(PRODUCE!$B7:$DY7,PRODUCE!$EB$57:$IY$57)</f>
        <v>0</v>
      </c>
      <c r="VT8" s="56"/>
      <c r="VU8" s="242">
        <f t="shared" si="195"/>
        <v>0</v>
      </c>
      <c r="VV8" s="242">
        <f t="shared" si="196"/>
        <v>0</v>
      </c>
      <c r="VW8" s="56"/>
      <c r="VZ8" s="55">
        <f t="shared" si="197"/>
        <v>46025</v>
      </c>
      <c r="WA8" s="56"/>
      <c r="WB8" s="242">
        <f>SUMPRODUCT(PRODUCE!$B7:$DY7,PRODUCE!$EB$57:$IY$57)</f>
        <v>0</v>
      </c>
      <c r="WC8" s="56"/>
      <c r="WD8" s="242">
        <f t="shared" si="198"/>
        <v>0</v>
      </c>
      <c r="WE8" s="242">
        <f t="shared" si="199"/>
        <v>0</v>
      </c>
      <c r="WF8" s="56"/>
      <c r="WI8" s="55">
        <f t="shared" si="200"/>
        <v>46025</v>
      </c>
      <c r="WJ8" s="56"/>
      <c r="WK8" s="242">
        <f>SUMPRODUCT(PRODUCE!$B7:$DY7,PRODUCE!$EB$57:$IY$57)</f>
        <v>0</v>
      </c>
      <c r="WL8" s="56"/>
      <c r="WM8" s="242">
        <f t="shared" si="201"/>
        <v>0</v>
      </c>
      <c r="WN8" s="242">
        <f t="shared" si="202"/>
        <v>5877</v>
      </c>
      <c r="WO8" s="56"/>
      <c r="WR8" s="55">
        <f t="shared" si="203"/>
        <v>46025</v>
      </c>
      <c r="WS8" s="56"/>
      <c r="WT8" s="242">
        <f>SUMPRODUCT(PRODUCE!$B7:$DY7,PRODUCE!$EB$57:$IY$57)</f>
        <v>0</v>
      </c>
      <c r="WU8" s="56"/>
      <c r="WV8" s="242">
        <f t="shared" si="204"/>
        <v>0</v>
      </c>
      <c r="WW8" s="242">
        <f t="shared" si="205"/>
        <v>5267</v>
      </c>
      <c r="WX8" s="56"/>
      <c r="XA8" s="55">
        <f t="shared" si="206"/>
        <v>46025</v>
      </c>
      <c r="XB8" s="56"/>
      <c r="XC8" s="242">
        <f>SUMPRODUCT(PRODUCE!$B7:$DY7,PRODUCE!$EB$57:$IY$57)</f>
        <v>0</v>
      </c>
      <c r="XD8" s="56">
        <v>1026</v>
      </c>
      <c r="XE8" s="242">
        <f t="shared" si="207"/>
        <v>-1026</v>
      </c>
      <c r="XF8" s="242">
        <f t="shared" si="208"/>
        <v>2639</v>
      </c>
      <c r="XG8" s="56"/>
      <c r="XJ8" s="55">
        <f t="shared" si="209"/>
        <v>46025</v>
      </c>
      <c r="XK8" s="56"/>
      <c r="XL8" s="242">
        <f>SUMPRODUCT(PRODUCE!$B7:$DY7,PRODUCE!$EB$57:$IY$57)</f>
        <v>0</v>
      </c>
      <c r="XM8" s="56"/>
      <c r="XN8" s="242">
        <f t="shared" si="210"/>
        <v>0</v>
      </c>
      <c r="XO8" s="242">
        <f t="shared" si="211"/>
        <v>6772</v>
      </c>
      <c r="XP8" s="56"/>
      <c r="XS8" s="55">
        <f t="shared" si="212"/>
        <v>46025</v>
      </c>
      <c r="XT8" s="56"/>
      <c r="XU8" s="242">
        <f>SUMPRODUCT(PRODUCE!$B7:$DY7,PRODUCE!$EB$57:$IY$57)</f>
        <v>0</v>
      </c>
      <c r="XV8" s="56"/>
      <c r="XW8" s="242">
        <f t="shared" si="213"/>
        <v>0</v>
      </c>
      <c r="XX8" s="242">
        <f t="shared" si="214"/>
        <v>1901</v>
      </c>
      <c r="XY8" s="56"/>
      <c r="YB8" s="55">
        <f t="shared" si="215"/>
        <v>46025</v>
      </c>
      <c r="YC8" s="56"/>
      <c r="YD8" s="242">
        <f>SUMPRODUCT(PRODUCE!$B7:$DY7,PRODUCE!$EB$57:$IY$57)</f>
        <v>0</v>
      </c>
      <c r="YE8" s="56"/>
      <c r="YF8" s="242">
        <f t="shared" si="216"/>
        <v>0</v>
      </c>
      <c r="YG8" s="242">
        <f t="shared" si="217"/>
        <v>4175</v>
      </c>
      <c r="YH8" s="56"/>
      <c r="YK8" s="55">
        <f t="shared" si="218"/>
        <v>46025</v>
      </c>
      <c r="YL8" s="56"/>
      <c r="YM8" s="242">
        <f>SUMPRODUCT(PRODUCE!$B7:$DY7,PRODUCE!$EB$57:$IY$57)</f>
        <v>0</v>
      </c>
      <c r="YN8" s="56"/>
      <c r="YO8" s="242">
        <f t="shared" si="219"/>
        <v>0</v>
      </c>
      <c r="YP8" s="242">
        <f t="shared" si="220"/>
        <v>0</v>
      </c>
      <c r="YQ8" s="56"/>
      <c r="YT8" s="55">
        <f t="shared" si="221"/>
        <v>46025</v>
      </c>
      <c r="YU8" s="56"/>
      <c r="YV8" s="242">
        <f>SUMPRODUCT(PRODUCE!$B7:$DY7,PRODUCE!$EB$57:$IY$57)</f>
        <v>0</v>
      </c>
      <c r="YW8" s="56"/>
      <c r="YX8" s="242">
        <f t="shared" si="222"/>
        <v>0</v>
      </c>
      <c r="YY8" s="242">
        <f t="shared" si="223"/>
        <v>0</v>
      </c>
      <c r="YZ8" s="56"/>
      <c r="ZC8" s="55">
        <f t="shared" si="224"/>
        <v>46025</v>
      </c>
      <c r="ZD8" s="56"/>
      <c r="ZE8" s="242">
        <f>SUMPRODUCT(PRODUCE!$B7:$DY7,PRODUCE!$EB$57:$IY$57)</f>
        <v>0</v>
      </c>
      <c r="ZF8" s="56"/>
      <c r="ZG8" s="242">
        <f t="shared" si="225"/>
        <v>0</v>
      </c>
      <c r="ZH8" s="242">
        <f t="shared" si="226"/>
        <v>0</v>
      </c>
      <c r="ZI8" s="56"/>
      <c r="ZL8" s="55">
        <f t="shared" si="227"/>
        <v>46025</v>
      </c>
      <c r="ZM8" s="56"/>
      <c r="ZN8" s="242">
        <f>SUMPRODUCT(PRODUCE!$B7:$DY7,PRODUCE!$EB$57:$IY$57)</f>
        <v>0</v>
      </c>
      <c r="ZO8" s="56"/>
      <c r="ZP8" s="242">
        <f t="shared" si="228"/>
        <v>0</v>
      </c>
      <c r="ZQ8" s="242">
        <f t="shared" si="229"/>
        <v>0</v>
      </c>
      <c r="ZR8" s="56"/>
      <c r="ZU8" s="55">
        <f t="shared" si="230"/>
        <v>46025</v>
      </c>
      <c r="ZV8" s="56"/>
      <c r="ZW8" s="242">
        <f>SUMPRODUCT(PRODUCE!$B7:$DY7,PRODUCE!$EB$57:$IY$57)</f>
        <v>0</v>
      </c>
      <c r="ZX8" s="56"/>
      <c r="ZY8" s="242">
        <f t="shared" si="231"/>
        <v>0</v>
      </c>
      <c r="ZZ8" s="242">
        <f t="shared" si="232"/>
        <v>0</v>
      </c>
      <c r="AAA8" s="56"/>
      <c r="AAD8" s="55">
        <f t="shared" si="233"/>
        <v>46025</v>
      </c>
      <c r="AAE8" s="56"/>
      <c r="AAF8" s="242">
        <f>SUMPRODUCT(PRODUCE!$B7:$DY7,PRODUCE!$EB$57:$IY$57)</f>
        <v>0</v>
      </c>
      <c r="AAG8" s="56"/>
      <c r="AAH8" s="242">
        <f t="shared" si="234"/>
        <v>0</v>
      </c>
      <c r="AAI8" s="242">
        <f t="shared" si="235"/>
        <v>0</v>
      </c>
      <c r="AAJ8" s="56"/>
      <c r="AAM8" s="55">
        <f t="shared" si="236"/>
        <v>46025</v>
      </c>
      <c r="AAN8" s="56"/>
      <c r="AAO8" s="242">
        <f>SUMPRODUCT(PRODUCE!$B7:$DY7,PRODUCE!$EB$57:$IY$57)</f>
        <v>0</v>
      </c>
      <c r="AAP8" s="56"/>
      <c r="AAQ8" s="242">
        <f t="shared" si="237"/>
        <v>0</v>
      </c>
      <c r="AAR8" s="242">
        <f t="shared" si="238"/>
        <v>0</v>
      </c>
      <c r="AAS8" s="56"/>
      <c r="AAV8" s="55">
        <f t="shared" si="239"/>
        <v>46025</v>
      </c>
      <c r="AAW8" s="56"/>
      <c r="AAX8" s="242">
        <f>SUMPRODUCT(PRODUCE!$B7:$DY7,PRODUCE!$EB$57:$IY$57)</f>
        <v>0</v>
      </c>
      <c r="AAY8" s="56"/>
      <c r="AAZ8" s="242">
        <f t="shared" si="240"/>
        <v>0</v>
      </c>
      <c r="ABA8" s="242">
        <f t="shared" si="241"/>
        <v>0</v>
      </c>
      <c r="ABB8" s="56"/>
      <c r="ABE8" s="55">
        <f t="shared" si="242"/>
        <v>46025</v>
      </c>
      <c r="ABF8" s="56"/>
      <c r="ABG8" s="242">
        <f>SUMPRODUCT(PRODUCE!$B7:$DY7,PRODUCE!$EB$57:$IY$57)</f>
        <v>0</v>
      </c>
      <c r="ABH8" s="56"/>
      <c r="ABI8" s="242">
        <f t="shared" si="243"/>
        <v>0</v>
      </c>
      <c r="ABJ8" s="242">
        <f t="shared" si="244"/>
        <v>0</v>
      </c>
      <c r="ABK8" s="56"/>
    </row>
    <row r="9" spans="1:740" s="54" customFormat="1" ht="15" customHeight="1" outlineLevel="1">
      <c r="B9" s="478"/>
      <c r="C9" s="55">
        <v>46026</v>
      </c>
      <c r="D9" s="422"/>
      <c r="E9" s="423">
        <f>SUMPRODUCT(PRODUCE!$B8:$DY8,PRODUCE!$EB$7:$IY$7)</f>
        <v>0</v>
      </c>
      <c r="F9" s="422"/>
      <c r="G9" s="423">
        <f t="shared" si="2"/>
        <v>0</v>
      </c>
      <c r="H9" s="423">
        <f t="shared" si="0"/>
        <v>65331.399999999994</v>
      </c>
      <c r="I9" s="289"/>
      <c r="L9" s="55">
        <f t="shared" si="1"/>
        <v>46026</v>
      </c>
      <c r="M9" s="422"/>
      <c r="N9" s="438">
        <f>SUMPRODUCT(PRODUCE!$B8:$DY8,PRODUCE!$EB$8:$IY$8)</f>
        <v>0</v>
      </c>
      <c r="O9" s="422"/>
      <c r="P9" s="438">
        <f t="shared" si="3"/>
        <v>0</v>
      </c>
      <c r="Q9" s="438">
        <f t="shared" si="4"/>
        <v>5414.6000000000022</v>
      </c>
      <c r="R9" s="56"/>
      <c r="U9" s="55">
        <f t="shared" si="5"/>
        <v>46026</v>
      </c>
      <c r="V9" s="422"/>
      <c r="W9" s="440">
        <f>SUMPRODUCT(PRODUCE!$B8:$DY8,PRODUCE!$EB$9:$IY$9)</f>
        <v>0</v>
      </c>
      <c r="X9" s="422"/>
      <c r="Y9" s="440">
        <f t="shared" si="6"/>
        <v>0</v>
      </c>
      <c r="Z9" s="440">
        <f t="shared" si="7"/>
        <v>29670.499999999996</v>
      </c>
      <c r="AA9" s="56"/>
      <c r="AD9" s="55">
        <f t="shared" si="8"/>
        <v>46026</v>
      </c>
      <c r="AE9" s="422"/>
      <c r="AF9" s="442">
        <f>SUMPRODUCT(PRODUCE!$B8:$DY8,PRODUCE!$EB$10:$IY$10)</f>
        <v>0</v>
      </c>
      <c r="AG9" s="422"/>
      <c r="AH9" s="442">
        <f t="shared" si="9"/>
        <v>0</v>
      </c>
      <c r="AI9" s="442">
        <f t="shared" si="10"/>
        <v>23996.600000000013</v>
      </c>
      <c r="AJ9" s="56"/>
      <c r="AM9" s="55">
        <f t="shared" si="11"/>
        <v>46026</v>
      </c>
      <c r="AN9" s="422"/>
      <c r="AO9" s="444">
        <f>SUMPRODUCT(PRODUCE!$B8:$DY8,PRODUCE!$EB$11:$IY$11)</f>
        <v>0</v>
      </c>
      <c r="AP9" s="422"/>
      <c r="AQ9" s="444">
        <f t="shared" si="12"/>
        <v>0</v>
      </c>
      <c r="AR9" s="444">
        <f t="shared" si="13"/>
        <v>0</v>
      </c>
      <c r="AS9" s="56"/>
      <c r="AV9" s="55">
        <f t="shared" si="14"/>
        <v>46026</v>
      </c>
      <c r="AW9" s="422"/>
      <c r="AX9" s="446">
        <f>SUMPRODUCT(PRODUCE!$B8:$DY8,PRODUCE!$EB$12:$IY$12)</f>
        <v>0</v>
      </c>
      <c r="AY9" s="422"/>
      <c r="AZ9" s="446">
        <f t="shared" si="15"/>
        <v>0</v>
      </c>
      <c r="BA9" s="446">
        <f t="shared" si="16"/>
        <v>26714.69999999999</v>
      </c>
      <c r="BB9" s="56"/>
      <c r="BE9" s="55">
        <f t="shared" si="17"/>
        <v>46026</v>
      </c>
      <c r="BF9" s="422"/>
      <c r="BG9" s="448">
        <f>SUMPRODUCT(PRODUCE!$B8:$DY8,PRODUCE!$EB$13:$IY$13)</f>
        <v>0</v>
      </c>
      <c r="BH9" s="422"/>
      <c r="BI9" s="448">
        <f t="shared" si="18"/>
        <v>0</v>
      </c>
      <c r="BJ9" s="448">
        <f t="shared" si="19"/>
        <v>2710.1000000000076</v>
      </c>
      <c r="BK9" s="56"/>
      <c r="BN9" s="55">
        <f t="shared" si="20"/>
        <v>46026</v>
      </c>
      <c r="BO9" s="422"/>
      <c r="BP9" s="450">
        <f>SUMPRODUCT(PRODUCE!$B8:$DY8,PRODUCE!$EB$14:$IY$14)</f>
        <v>0</v>
      </c>
      <c r="BQ9" s="422"/>
      <c r="BR9" s="450">
        <f t="shared" si="21"/>
        <v>0</v>
      </c>
      <c r="BS9" s="450">
        <f t="shared" si="22"/>
        <v>0</v>
      </c>
      <c r="BT9" s="56"/>
      <c r="BW9" s="55">
        <f t="shared" si="23"/>
        <v>46026</v>
      </c>
      <c r="BX9" s="56"/>
      <c r="BY9" s="65">
        <f>SUMPRODUCT(PRODUCE!$B8:$DY8,PRODUCE!$EB$15:$IY$15)</f>
        <v>0</v>
      </c>
      <c r="BZ9" s="56"/>
      <c r="CA9" s="65">
        <f t="shared" si="24"/>
        <v>0</v>
      </c>
      <c r="CB9" s="65">
        <f t="shared" si="25"/>
        <v>512.5</v>
      </c>
      <c r="CC9" s="56"/>
      <c r="CF9" s="55">
        <f t="shared" si="26"/>
        <v>46026</v>
      </c>
      <c r="CG9" s="56"/>
      <c r="CH9" s="66">
        <f>SUMPRODUCT(PRODUCE!$B8:$DY8,PRODUCE!$EB$16:$IY$16)</f>
        <v>0</v>
      </c>
      <c r="CI9" s="56"/>
      <c r="CJ9" s="66">
        <f t="shared" si="27"/>
        <v>0</v>
      </c>
      <c r="CK9" s="66">
        <f t="shared" si="28"/>
        <v>0</v>
      </c>
      <c r="CL9" s="56"/>
      <c r="CO9" s="55">
        <f t="shared" si="29"/>
        <v>46026</v>
      </c>
      <c r="CP9" s="422"/>
      <c r="CQ9" s="470">
        <f>SUMPRODUCT(PRODUCE!$B8:$DY8,PRODUCE!$EB$17:$IY$17)</f>
        <v>0</v>
      </c>
      <c r="CR9" s="422"/>
      <c r="CS9" s="470">
        <f t="shared" si="30"/>
        <v>0</v>
      </c>
      <c r="CT9" s="470">
        <f t="shared" si="31"/>
        <v>0</v>
      </c>
      <c r="CU9" s="56"/>
      <c r="CX9" s="55">
        <f t="shared" si="32"/>
        <v>46026</v>
      </c>
      <c r="CY9" s="56"/>
      <c r="CZ9" s="133">
        <f>SUMPRODUCT(PRODUCE!$B8:$DY8,PRODUCE!$EB$18:$IY$18)</f>
        <v>0</v>
      </c>
      <c r="DA9" s="56"/>
      <c r="DB9" s="133">
        <f t="shared" si="33"/>
        <v>0</v>
      </c>
      <c r="DC9" s="133">
        <f t="shared" si="34"/>
        <v>0</v>
      </c>
      <c r="DD9" s="56"/>
      <c r="DG9" s="55">
        <f t="shared" si="35"/>
        <v>46026</v>
      </c>
      <c r="DH9" s="56"/>
      <c r="DI9" s="147">
        <f>SUMPRODUCT(PRODUCE!$B8:$DY8,PRODUCE!$EB$19:$IY$19)</f>
        <v>0</v>
      </c>
      <c r="DJ9" s="56"/>
      <c r="DK9" s="147">
        <f t="shared" si="36"/>
        <v>0</v>
      </c>
      <c r="DL9" s="147">
        <f t="shared" si="37"/>
        <v>31341.199999999997</v>
      </c>
      <c r="DM9" s="56"/>
      <c r="DP9" s="55">
        <f t="shared" si="38"/>
        <v>46026</v>
      </c>
      <c r="DQ9" s="56"/>
      <c r="DR9" s="57">
        <f>SUMPRODUCT(PRODUCE!$B8:$DY8,PRODUCE!$EB$20:$IY$20)</f>
        <v>0</v>
      </c>
      <c r="DS9" s="56"/>
      <c r="DT9" s="57">
        <f t="shared" si="39"/>
        <v>0</v>
      </c>
      <c r="DU9" s="57">
        <f t="shared" si="40"/>
        <v>0</v>
      </c>
      <c r="DV9" s="56"/>
      <c r="DY9" s="55">
        <f t="shared" si="41"/>
        <v>46026</v>
      </c>
      <c r="DZ9" s="56"/>
      <c r="EA9" s="157">
        <f>SUMPRODUCT(PRODUCE!$B8:$DY8,PRODUCE!$EB$21:$IY$21)</f>
        <v>0</v>
      </c>
      <c r="EB9" s="56"/>
      <c r="EC9" s="157">
        <f t="shared" si="42"/>
        <v>0</v>
      </c>
      <c r="ED9" s="157">
        <f t="shared" si="43"/>
        <v>0</v>
      </c>
      <c r="EE9" s="56"/>
      <c r="EH9" s="55">
        <f t="shared" si="44"/>
        <v>46026</v>
      </c>
      <c r="EI9" s="56"/>
      <c r="EJ9" s="162">
        <f>SUMPRODUCT(PRODUCE!$B8:$DY8,PRODUCE!$EB$22:$IY$22)</f>
        <v>0</v>
      </c>
      <c r="EK9" s="56"/>
      <c r="EL9" s="162">
        <f t="shared" si="45"/>
        <v>0</v>
      </c>
      <c r="EM9" s="162">
        <f t="shared" si="46"/>
        <v>0</v>
      </c>
      <c r="EN9" s="56"/>
      <c r="EQ9" s="55">
        <f t="shared" si="47"/>
        <v>46026</v>
      </c>
      <c r="ER9" s="56"/>
      <c r="ES9" s="135">
        <f>SUMPRODUCT(PRODUCE!$B8:$DY8,PRODUCE!$EB$23:$IY$23)</f>
        <v>0</v>
      </c>
      <c r="ET9" s="56"/>
      <c r="EU9" s="135">
        <f t="shared" si="48"/>
        <v>0</v>
      </c>
      <c r="EV9" s="135">
        <f t="shared" si="49"/>
        <v>0</v>
      </c>
      <c r="EW9" s="56"/>
      <c r="EZ9" s="55">
        <f t="shared" si="50"/>
        <v>46026</v>
      </c>
      <c r="FA9" s="56"/>
      <c r="FB9" s="175">
        <f>SUMPRODUCT(PRODUCE!$B8:$DY8,PRODUCE!$EB$24:$IY$24)</f>
        <v>0</v>
      </c>
      <c r="FC9" s="56"/>
      <c r="FD9" s="175">
        <f t="shared" si="51"/>
        <v>0</v>
      </c>
      <c r="FE9" s="175">
        <f t="shared" si="52"/>
        <v>0</v>
      </c>
      <c r="FF9" s="56"/>
      <c r="FI9" s="55">
        <f t="shared" si="53"/>
        <v>46026</v>
      </c>
      <c r="FJ9" s="56"/>
      <c r="FK9" s="183">
        <f>SUMPRODUCT(PRODUCE!$B8:$DY8,PRODUCE!$EB$25:$IY$25)</f>
        <v>0</v>
      </c>
      <c r="FL9" s="56"/>
      <c r="FM9" s="183">
        <f t="shared" si="54"/>
        <v>0</v>
      </c>
      <c r="FN9" s="183">
        <f t="shared" si="55"/>
        <v>0</v>
      </c>
      <c r="FO9" s="56"/>
      <c r="FR9" s="55">
        <f t="shared" si="56"/>
        <v>46026</v>
      </c>
      <c r="FS9" s="422"/>
      <c r="FT9" s="452">
        <f>SUMPRODUCT(PRODUCE!$B8:$DY8,PRODUCE!$EB$26:$IY$26)</f>
        <v>0</v>
      </c>
      <c r="FU9" s="422"/>
      <c r="FV9" s="452">
        <f t="shared" si="57"/>
        <v>0</v>
      </c>
      <c r="FW9" s="452">
        <f t="shared" si="58"/>
        <v>3540</v>
      </c>
      <c r="FX9" s="56"/>
      <c r="GA9" s="55">
        <f t="shared" si="59"/>
        <v>46026</v>
      </c>
      <c r="GB9" s="422"/>
      <c r="GC9" s="454">
        <f>SUMPRODUCT(PRODUCE!$B8:$DY8,PRODUCE!$EB$27:$IY$27)</f>
        <v>0</v>
      </c>
      <c r="GD9" s="422"/>
      <c r="GE9" s="454">
        <f t="shared" si="60"/>
        <v>0</v>
      </c>
      <c r="GF9" s="454">
        <f t="shared" si="61"/>
        <v>1960</v>
      </c>
      <c r="GG9" s="56"/>
      <c r="GI9" s="23"/>
      <c r="GJ9" s="55">
        <f t="shared" si="62"/>
        <v>46026</v>
      </c>
      <c r="GK9" s="422"/>
      <c r="GL9" s="456">
        <f>SUMPRODUCT(PRODUCE!$B8:$DY8,PRODUCE!$EB$28:$IY$28)</f>
        <v>0</v>
      </c>
      <c r="GM9" s="422"/>
      <c r="GN9" s="456">
        <f t="shared" si="63"/>
        <v>0</v>
      </c>
      <c r="GO9" s="456">
        <f t="shared" si="64"/>
        <v>560</v>
      </c>
      <c r="GP9" s="56"/>
      <c r="GS9" s="55">
        <f t="shared" si="65"/>
        <v>46026</v>
      </c>
      <c r="GT9" s="56"/>
      <c r="GU9" s="195">
        <f>SUMPRODUCT(PRODUCE!$B8:$DY8,PRODUCE!$EB$29:$IY$29)</f>
        <v>0</v>
      </c>
      <c r="GV9" s="56"/>
      <c r="GW9" s="195">
        <f t="shared" si="66"/>
        <v>0</v>
      </c>
      <c r="GX9" s="195">
        <f t="shared" si="67"/>
        <v>0</v>
      </c>
      <c r="GY9" s="56"/>
      <c r="HB9" s="55">
        <f t="shared" si="68"/>
        <v>46026</v>
      </c>
      <c r="HC9" s="56"/>
      <c r="HD9" s="191">
        <f>SUMPRODUCT(PRODUCE!$B8:$DY8,PRODUCE!$EB$30:$IY$30)</f>
        <v>0</v>
      </c>
      <c r="HE9" s="56"/>
      <c r="HF9" s="191">
        <f t="shared" si="69"/>
        <v>0</v>
      </c>
      <c r="HG9" s="191">
        <f t="shared" si="70"/>
        <v>0</v>
      </c>
      <c r="HH9" s="56"/>
      <c r="HK9" s="55">
        <f t="shared" si="71"/>
        <v>46026</v>
      </c>
      <c r="HL9" s="56"/>
      <c r="HM9" s="63">
        <f>SUMPRODUCT(PRODUCE!$B8:$DY8,PRODUCE!$EB$31:$IY$31)</f>
        <v>0</v>
      </c>
      <c r="HN9" s="56"/>
      <c r="HO9" s="63">
        <f t="shared" si="72"/>
        <v>0</v>
      </c>
      <c r="HP9" s="63">
        <f t="shared" si="73"/>
        <v>0</v>
      </c>
      <c r="HQ9" s="56"/>
      <c r="HU9" s="55">
        <f t="shared" si="74"/>
        <v>46026</v>
      </c>
      <c r="HV9" s="56"/>
      <c r="HW9" s="242">
        <f>SUMPRODUCT(PRODUCE!$B8:$DY8,PRODUCE!$EB$32:$IY$32)</f>
        <v>0</v>
      </c>
      <c r="HX9" s="56"/>
      <c r="HY9" s="242">
        <f t="shared" si="75"/>
        <v>0</v>
      </c>
      <c r="HZ9" s="242">
        <f t="shared" si="76"/>
        <v>3980</v>
      </c>
      <c r="IA9" s="56"/>
      <c r="ID9" s="55">
        <f t="shared" si="77"/>
        <v>46026</v>
      </c>
      <c r="IE9" s="56"/>
      <c r="IF9" s="242">
        <f>SUMPRODUCT(PRODUCE!$B8:$DY8,PRODUCE!$EB$33:$IY$33)</f>
        <v>0</v>
      </c>
      <c r="IG9" s="56"/>
      <c r="IH9" s="242">
        <f t="shared" si="78"/>
        <v>0</v>
      </c>
      <c r="II9" s="242">
        <f t="shared" si="79"/>
        <v>2960</v>
      </c>
      <c r="IJ9" s="56"/>
      <c r="IM9" s="55">
        <f t="shared" si="80"/>
        <v>46026</v>
      </c>
      <c r="IN9" s="56"/>
      <c r="IO9" s="242">
        <f>SUMPRODUCT(PRODUCE!$B8:$DY8,PRODUCE!$EB$34:$IY$34)</f>
        <v>0</v>
      </c>
      <c r="IP9" s="56"/>
      <c r="IQ9" s="242">
        <f t="shared" si="81"/>
        <v>0</v>
      </c>
      <c r="IR9" s="242">
        <f t="shared" si="82"/>
        <v>1240</v>
      </c>
      <c r="IS9" s="56"/>
      <c r="IV9" s="55">
        <f t="shared" si="83"/>
        <v>46026</v>
      </c>
      <c r="IW9" s="56"/>
      <c r="IX9" s="242">
        <f>SUMPRODUCT(PRODUCE!$B8:$DY8,PRODUCE!$EB$35:$IY$35)</f>
        <v>0</v>
      </c>
      <c r="IY9" s="56"/>
      <c r="IZ9" s="242">
        <f t="shared" si="84"/>
        <v>0</v>
      </c>
      <c r="JA9" s="242">
        <f t="shared" si="85"/>
        <v>3920</v>
      </c>
      <c r="JB9" s="56"/>
      <c r="JE9" s="55">
        <f t="shared" si="86"/>
        <v>46026</v>
      </c>
      <c r="JF9" s="56"/>
      <c r="JG9" s="242">
        <f>SUMPRODUCT(PRODUCE!$B8:$DY8,PRODUCE!$EB$36:$IY$36)</f>
        <v>0</v>
      </c>
      <c r="JH9" s="56"/>
      <c r="JI9" s="242">
        <f t="shared" si="87"/>
        <v>0</v>
      </c>
      <c r="JJ9" s="242">
        <f t="shared" si="88"/>
        <v>6800</v>
      </c>
      <c r="JK9" s="56"/>
      <c r="JN9" s="55">
        <f t="shared" si="89"/>
        <v>46026</v>
      </c>
      <c r="JO9" s="56"/>
      <c r="JP9" s="242">
        <f>SUMPRODUCT(PRODUCE!$B8:$DY8,PRODUCE!$EB$37:$IY$37)</f>
        <v>0</v>
      </c>
      <c r="JQ9" s="56"/>
      <c r="JR9" s="242">
        <f t="shared" si="90"/>
        <v>0</v>
      </c>
      <c r="JS9" s="242">
        <f t="shared" si="91"/>
        <v>4400</v>
      </c>
      <c r="JT9" s="56"/>
      <c r="JW9" s="55">
        <f t="shared" si="92"/>
        <v>46026</v>
      </c>
      <c r="JX9" s="56"/>
      <c r="JY9" s="242">
        <f>SUMPRODUCT(PRODUCE!$B8:$DY8,PRODUCE!$EB$38:$IY$38)</f>
        <v>0</v>
      </c>
      <c r="JZ9" s="56"/>
      <c r="KA9" s="242">
        <f t="shared" si="93"/>
        <v>0</v>
      </c>
      <c r="KB9" s="242">
        <f t="shared" si="94"/>
        <v>0</v>
      </c>
      <c r="KC9" s="56"/>
      <c r="KF9" s="55">
        <f t="shared" si="95"/>
        <v>46026</v>
      </c>
      <c r="KG9" s="56"/>
      <c r="KH9" s="242">
        <f>SUMPRODUCT(PRODUCE!$B8:$DY8,PRODUCE!$EB$39:$IY$39)</f>
        <v>0</v>
      </c>
      <c r="KI9" s="56"/>
      <c r="KJ9" s="242">
        <f t="shared" si="96"/>
        <v>0</v>
      </c>
      <c r="KK9" s="242">
        <f t="shared" si="97"/>
        <v>0</v>
      </c>
      <c r="KL9" s="56"/>
      <c r="KO9" s="55">
        <f t="shared" si="98"/>
        <v>46026</v>
      </c>
      <c r="KP9" s="56"/>
      <c r="KQ9" s="242">
        <f>SUMPRODUCT(PRODUCE!$B8:$DY8,PRODUCE!$EB$40:$IY$40)</f>
        <v>0</v>
      </c>
      <c r="KR9" s="56"/>
      <c r="KS9" s="242">
        <f t="shared" si="99"/>
        <v>0</v>
      </c>
      <c r="KT9" s="242">
        <f t="shared" si="100"/>
        <v>0</v>
      </c>
      <c r="KU9" s="56"/>
      <c r="KW9" s="23"/>
      <c r="KX9" s="55">
        <f t="shared" si="101"/>
        <v>46026</v>
      </c>
      <c r="KY9" s="56"/>
      <c r="KZ9" s="242">
        <f>SUMPRODUCT(PRODUCE!$B8:$DY8,PRODUCE!$EB$41:$IY$41)</f>
        <v>0</v>
      </c>
      <c r="LA9" s="56"/>
      <c r="LB9" s="242">
        <f t="shared" si="102"/>
        <v>0</v>
      </c>
      <c r="LC9" s="242">
        <f t="shared" si="103"/>
        <v>0</v>
      </c>
      <c r="LD9" s="56"/>
      <c r="LG9" s="55">
        <f t="shared" si="104"/>
        <v>46026</v>
      </c>
      <c r="LH9" s="56"/>
      <c r="LI9" s="242">
        <f>SUMPRODUCT(PRODUCE!$B8:$DY8,PRODUCE!$EB$42:$IY$42)</f>
        <v>0</v>
      </c>
      <c r="LJ9" s="56"/>
      <c r="LK9" s="242">
        <f t="shared" si="105"/>
        <v>0</v>
      </c>
      <c r="LL9" s="242">
        <f t="shared" si="106"/>
        <v>0</v>
      </c>
      <c r="LM9" s="56"/>
      <c r="LP9" s="55">
        <f t="shared" si="107"/>
        <v>46026</v>
      </c>
      <c r="LQ9" s="56"/>
      <c r="LR9" s="242">
        <f>SUMPRODUCT(PRODUCE!$B8:$DY8,PRODUCE!$EB$43:$IY$43)</f>
        <v>0</v>
      </c>
      <c r="LS9" s="56"/>
      <c r="LT9" s="242">
        <f t="shared" si="108"/>
        <v>0</v>
      </c>
      <c r="LU9" s="242">
        <f t="shared" si="109"/>
        <v>0</v>
      </c>
      <c r="LV9" s="56"/>
      <c r="LY9" s="55">
        <f t="shared" si="110"/>
        <v>46026</v>
      </c>
      <c r="LZ9" s="56"/>
      <c r="MA9" s="242">
        <f>SUMPRODUCT(PRODUCE!$B8:$DY8,PRODUCE!$EB$44:$IY$44)</f>
        <v>0</v>
      </c>
      <c r="MB9" s="56"/>
      <c r="MC9" s="242">
        <f t="shared" si="111"/>
        <v>0</v>
      </c>
      <c r="MD9" s="242">
        <f t="shared" si="112"/>
        <v>0</v>
      </c>
      <c r="ME9" s="56"/>
      <c r="MH9" s="55">
        <f t="shared" si="113"/>
        <v>46026</v>
      </c>
      <c r="MI9" s="56"/>
      <c r="MJ9" s="242">
        <f>SUMPRODUCT(PRODUCE!$B8:$DY8,PRODUCE!$EB$45:$IY$45)</f>
        <v>0</v>
      </c>
      <c r="MK9" s="56"/>
      <c r="ML9" s="242">
        <f t="shared" si="114"/>
        <v>0</v>
      </c>
      <c r="MM9" s="242">
        <f t="shared" si="115"/>
        <v>0</v>
      </c>
      <c r="MN9" s="56"/>
      <c r="MQ9" s="55">
        <f t="shared" si="116"/>
        <v>46026</v>
      </c>
      <c r="MR9" s="56"/>
      <c r="MS9" s="242">
        <f>SUMPRODUCT(PRODUCE!$B8:$DY8,PRODUCE!$EB$46:$IY$46)</f>
        <v>0</v>
      </c>
      <c r="MT9" s="56"/>
      <c r="MU9" s="242">
        <f t="shared" si="117"/>
        <v>0</v>
      </c>
      <c r="MV9" s="242">
        <f t="shared" si="118"/>
        <v>1371</v>
      </c>
      <c r="MW9" s="56"/>
      <c r="MZ9" s="55">
        <f t="shared" si="119"/>
        <v>46026</v>
      </c>
      <c r="NA9" s="56"/>
      <c r="NB9" s="242">
        <f>SUMPRODUCT(PRODUCE!$B8:$DY8,PRODUCE!$EB$47:$IY$47)</f>
        <v>0</v>
      </c>
      <c r="NC9" s="56"/>
      <c r="ND9" s="242">
        <f t="shared" si="120"/>
        <v>0</v>
      </c>
      <c r="NE9" s="242">
        <f t="shared" si="121"/>
        <v>0</v>
      </c>
      <c r="NF9" s="56"/>
      <c r="NI9" s="55">
        <f t="shared" si="122"/>
        <v>46026</v>
      </c>
      <c r="NJ9" s="56"/>
      <c r="NK9" s="242">
        <f>SUMPRODUCT(PRODUCE!$B8:$DY8,PRODUCE!$EB$48:$IY$48)</f>
        <v>0</v>
      </c>
      <c r="NL9" s="56"/>
      <c r="NM9" s="242">
        <f t="shared" si="123"/>
        <v>0</v>
      </c>
      <c r="NN9" s="242">
        <f t="shared" si="124"/>
        <v>0</v>
      </c>
      <c r="NO9" s="56"/>
      <c r="NR9" s="55">
        <f t="shared" si="125"/>
        <v>46026</v>
      </c>
      <c r="NS9" s="56"/>
      <c r="NT9" s="242">
        <f>SUMPRODUCT(PRODUCE!$B8:$DY8,PRODUCE!$EB$49:$IY$49)</f>
        <v>0</v>
      </c>
      <c r="NU9" s="56"/>
      <c r="NV9" s="242">
        <f t="shared" si="126"/>
        <v>0</v>
      </c>
      <c r="NW9" s="242">
        <f t="shared" si="127"/>
        <v>0</v>
      </c>
      <c r="NX9" s="56"/>
      <c r="OA9" s="55">
        <f t="shared" si="128"/>
        <v>46026</v>
      </c>
      <c r="OB9" s="56"/>
      <c r="OC9" s="242">
        <f>SUMPRODUCT(PRODUCE!$B8:$DY8,PRODUCE!$EB$50:$IY$50)</f>
        <v>0</v>
      </c>
      <c r="OD9" s="56"/>
      <c r="OE9" s="242">
        <f t="shared" si="129"/>
        <v>0</v>
      </c>
      <c r="OF9" s="242">
        <f t="shared" si="130"/>
        <v>-164.8</v>
      </c>
      <c r="OG9" s="56"/>
      <c r="OJ9" s="55">
        <f t="shared" si="131"/>
        <v>46026</v>
      </c>
      <c r="OK9" s="56"/>
      <c r="OL9" s="242">
        <f>SUMPRODUCT(PRODUCE!$B8:$DY8,PRODUCE!$EB$51:$IY$51)</f>
        <v>0</v>
      </c>
      <c r="OM9" s="56"/>
      <c r="ON9" s="242">
        <f t="shared" si="132"/>
        <v>0</v>
      </c>
      <c r="OO9" s="242">
        <f t="shared" si="133"/>
        <v>0</v>
      </c>
      <c r="OP9" s="56"/>
      <c r="OS9" s="55">
        <f t="shared" si="134"/>
        <v>46026</v>
      </c>
      <c r="OT9" s="56"/>
      <c r="OU9" s="242">
        <f>SUMPRODUCT(PRODUCE!$B8:$DY8,PRODUCE!$EB$52:$IY$52)</f>
        <v>0</v>
      </c>
      <c r="OV9" s="56"/>
      <c r="OW9" s="242">
        <f t="shared" si="135"/>
        <v>0</v>
      </c>
      <c r="OX9" s="242">
        <f t="shared" si="136"/>
        <v>67</v>
      </c>
      <c r="OY9" s="56"/>
      <c r="PB9" s="55">
        <f t="shared" si="137"/>
        <v>46026</v>
      </c>
      <c r="PC9" s="56"/>
      <c r="PD9" s="242">
        <f>SUMPRODUCT(PRODUCE!$B8:$DY8,PRODUCE!$EB$53:$IY$53)</f>
        <v>0</v>
      </c>
      <c r="PE9" s="56"/>
      <c r="PF9" s="242">
        <f t="shared" si="138"/>
        <v>0</v>
      </c>
      <c r="PG9" s="242">
        <f t="shared" si="139"/>
        <v>0</v>
      </c>
      <c r="PH9" s="56"/>
      <c r="PK9" s="55">
        <f t="shared" si="140"/>
        <v>46026</v>
      </c>
      <c r="PL9" s="56"/>
      <c r="PM9" s="242">
        <f>SUMPRODUCT(PRODUCE!$B8:$DY8,PRODUCE!$EB$54:$IY$54)</f>
        <v>0</v>
      </c>
      <c r="PN9" s="56"/>
      <c r="PO9" s="242">
        <f t="shared" si="141"/>
        <v>0</v>
      </c>
      <c r="PP9" s="242">
        <f t="shared" si="142"/>
        <v>160</v>
      </c>
      <c r="PQ9" s="56"/>
      <c r="PT9" s="55">
        <f t="shared" si="143"/>
        <v>46026</v>
      </c>
      <c r="PU9" s="56"/>
      <c r="PV9" s="242">
        <f>SUMPRODUCT(PRODUCE!$B8:$DY8,PRODUCE!$EB$55:$IY$55)</f>
        <v>0</v>
      </c>
      <c r="PW9" s="56"/>
      <c r="PX9" s="242">
        <f t="shared" si="144"/>
        <v>0</v>
      </c>
      <c r="PY9" s="242">
        <f t="shared" si="145"/>
        <v>13.960000000000036</v>
      </c>
      <c r="PZ9" s="56"/>
      <c r="QC9" s="55">
        <f t="shared" si="146"/>
        <v>46026</v>
      </c>
      <c r="QD9" s="56"/>
      <c r="QE9" s="242">
        <f>SUMPRODUCT(PRODUCE!$B8:$DY8,PRODUCE!$EB$56:$IY$56)</f>
        <v>0</v>
      </c>
      <c r="QF9" s="56"/>
      <c r="QG9" s="242">
        <f t="shared" si="147"/>
        <v>0</v>
      </c>
      <c r="QH9" s="242">
        <f t="shared" si="148"/>
        <v>0</v>
      </c>
      <c r="QI9" s="56"/>
      <c r="QL9" s="55">
        <f t="shared" si="149"/>
        <v>46026</v>
      </c>
      <c r="QM9" s="56"/>
      <c r="QN9" s="242">
        <f>SUMPRODUCT(PRODUCE!$B8:$DY8,PRODUCE!$EB$57:$IY$57)</f>
        <v>0</v>
      </c>
      <c r="QO9" s="56"/>
      <c r="QP9" s="242">
        <f t="shared" si="150"/>
        <v>0</v>
      </c>
      <c r="QQ9" s="242">
        <f t="shared" si="151"/>
        <v>0</v>
      </c>
      <c r="QR9" s="56"/>
      <c r="QU9" s="55">
        <f t="shared" si="152"/>
        <v>46026</v>
      </c>
      <c r="QV9" s="56"/>
      <c r="QW9" s="242">
        <f>SUMPRODUCT(PRODUCE!$B8:$DY8,PRODUCE!$EB$57:$IY$57)</f>
        <v>0</v>
      </c>
      <c r="QX9" s="56"/>
      <c r="QY9" s="242">
        <f t="shared" si="153"/>
        <v>0</v>
      </c>
      <c r="QZ9" s="242">
        <f t="shared" si="154"/>
        <v>207.6</v>
      </c>
      <c r="RA9" s="56"/>
      <c r="RD9" s="55">
        <f t="shared" si="155"/>
        <v>46026</v>
      </c>
      <c r="RE9" s="56"/>
      <c r="RF9" s="242">
        <f>SUMPRODUCT(PRODUCE!$B8:$DY8,PRODUCE!$EB$58:$IY$58)</f>
        <v>0</v>
      </c>
      <c r="RG9" s="56"/>
      <c r="RH9" s="242">
        <f t="shared" si="156"/>
        <v>0</v>
      </c>
      <c r="RI9" s="242">
        <f t="shared" si="157"/>
        <v>201.8</v>
      </c>
      <c r="RJ9" s="56"/>
      <c r="RM9" s="55">
        <f t="shared" si="158"/>
        <v>46026</v>
      </c>
      <c r="RN9" s="56"/>
      <c r="RO9" s="242">
        <f>SUMPRODUCT(PRODUCE!$B8:$DY8,PRODUCE!$EB$59:$IY$59)</f>
        <v>0</v>
      </c>
      <c r="RP9" s="56"/>
      <c r="RQ9" s="242">
        <f t="shared" si="159"/>
        <v>0</v>
      </c>
      <c r="RR9" s="242">
        <f t="shared" si="160"/>
        <v>22.720000000000002</v>
      </c>
      <c r="RS9" s="56"/>
      <c r="RV9" s="55">
        <f t="shared" si="161"/>
        <v>46026</v>
      </c>
      <c r="RW9" s="56"/>
      <c r="RX9" s="242">
        <f>SUMPRODUCT(PRODUCE!$B8:$DY8,PRODUCE!$EB$57:$IY$57)</f>
        <v>0</v>
      </c>
      <c r="RY9" s="56"/>
      <c r="RZ9" s="242">
        <f t="shared" si="162"/>
        <v>0</v>
      </c>
      <c r="SA9" s="242">
        <f t="shared" si="163"/>
        <v>0</v>
      </c>
      <c r="SB9" s="56"/>
      <c r="SE9" s="55">
        <f t="shared" si="164"/>
        <v>46026</v>
      </c>
      <c r="SF9" s="56"/>
      <c r="SG9" s="242">
        <f>SUMPRODUCT(PRODUCE!$B8:$DY8,PRODUCE!$EB$61:$IY$61)</f>
        <v>0</v>
      </c>
      <c r="SH9" s="56"/>
      <c r="SI9" s="242">
        <f t="shared" si="165"/>
        <v>0</v>
      </c>
      <c r="SJ9" s="242">
        <f t="shared" si="166"/>
        <v>0</v>
      </c>
      <c r="SK9" s="56"/>
      <c r="SN9" s="55">
        <f t="shared" si="167"/>
        <v>46026</v>
      </c>
      <c r="SO9" s="56"/>
      <c r="SP9" s="242">
        <f>SUMPRODUCT(PRODUCE!$B8:$DY8,PRODUCE!$EB$57:$IY$57)</f>
        <v>0</v>
      </c>
      <c r="SQ9" s="56"/>
      <c r="SR9" s="242">
        <f t="shared" si="168"/>
        <v>0</v>
      </c>
      <c r="SS9" s="242">
        <f t="shared" si="169"/>
        <v>0</v>
      </c>
      <c r="ST9" s="56"/>
      <c r="SW9" s="55">
        <f t="shared" si="170"/>
        <v>46026</v>
      </c>
      <c r="SX9" s="56"/>
      <c r="SY9" s="242">
        <f>SUMPRODUCT(PRODUCE!$B8:$DY8,PRODUCE!$EB$57:$IY$57)</f>
        <v>0</v>
      </c>
      <c r="SZ9" s="56"/>
      <c r="TA9" s="242">
        <f t="shared" si="171"/>
        <v>0</v>
      </c>
      <c r="TB9" s="242">
        <f t="shared" si="172"/>
        <v>0</v>
      </c>
      <c r="TC9" s="56"/>
      <c r="TF9" s="55">
        <f t="shared" si="173"/>
        <v>46026</v>
      </c>
      <c r="TG9" s="56"/>
      <c r="TH9" s="242">
        <f>SUMPRODUCT(PRODUCE!$B8:$DY8,PRODUCE!$EB$57:$IY$57)</f>
        <v>0</v>
      </c>
      <c r="TI9" s="56"/>
      <c r="TJ9" s="242">
        <f t="shared" si="174"/>
        <v>0</v>
      </c>
      <c r="TK9" s="242">
        <f t="shared" si="175"/>
        <v>0</v>
      </c>
      <c r="TL9" s="56"/>
      <c r="TO9" s="55">
        <f t="shared" si="176"/>
        <v>46026</v>
      </c>
      <c r="TP9" s="56"/>
      <c r="TQ9" s="242">
        <f>SUMPRODUCT(PRODUCE!$B8:$DY8,PRODUCE!$EB$57:$IY$57)</f>
        <v>0</v>
      </c>
      <c r="TR9" s="56"/>
      <c r="TS9" s="242">
        <f t="shared" si="177"/>
        <v>0</v>
      </c>
      <c r="TT9" s="242">
        <f t="shared" si="178"/>
        <v>0</v>
      </c>
      <c r="TU9" s="56"/>
      <c r="TX9" s="55">
        <f t="shared" si="179"/>
        <v>46026</v>
      </c>
      <c r="TY9" s="56"/>
      <c r="TZ9" s="242">
        <f>SUMPRODUCT(PRODUCE!$B8:$DY8,PRODUCE!$EB$57:$IY$57)</f>
        <v>0</v>
      </c>
      <c r="UA9" s="56"/>
      <c r="UB9" s="242">
        <f t="shared" si="180"/>
        <v>0</v>
      </c>
      <c r="UC9" s="242">
        <f t="shared" si="181"/>
        <v>0</v>
      </c>
      <c r="UD9" s="56"/>
      <c r="UG9" s="55">
        <f t="shared" si="182"/>
        <v>46026</v>
      </c>
      <c r="UH9" s="56"/>
      <c r="UI9" s="242">
        <f>SUMPRODUCT(PRODUCE!$B8:$DY8,PRODUCE!$EB$57:$IY$57)</f>
        <v>0</v>
      </c>
      <c r="UJ9" s="56"/>
      <c r="UK9" s="242">
        <f t="shared" si="183"/>
        <v>0</v>
      </c>
      <c r="UL9" s="242">
        <f t="shared" si="184"/>
        <v>0</v>
      </c>
      <c r="UM9" s="56"/>
      <c r="UP9" s="55">
        <f t="shared" si="185"/>
        <v>46026</v>
      </c>
      <c r="UQ9" s="56"/>
      <c r="UR9" s="242">
        <f>SUMPRODUCT(PRODUCE!$B8:$DY8,PRODUCE!$EB$57:$IY$57)</f>
        <v>0</v>
      </c>
      <c r="US9" s="56"/>
      <c r="UT9" s="242">
        <f t="shared" si="186"/>
        <v>0</v>
      </c>
      <c r="UU9" s="242">
        <f t="shared" si="187"/>
        <v>0</v>
      </c>
      <c r="UV9" s="56"/>
      <c r="UY9" s="55">
        <f t="shared" si="188"/>
        <v>46026</v>
      </c>
      <c r="UZ9" s="56"/>
      <c r="VA9" s="242">
        <f>SUMPRODUCT(PRODUCE!$B8:$DY8,PRODUCE!$EB$57:$IY$57)</f>
        <v>0</v>
      </c>
      <c r="VB9" s="56"/>
      <c r="VC9" s="242">
        <f t="shared" si="189"/>
        <v>0</v>
      </c>
      <c r="VD9" s="242">
        <f t="shared" si="190"/>
        <v>-319.59999999999997</v>
      </c>
      <c r="VE9" s="56"/>
      <c r="VH9" s="55">
        <f t="shared" si="191"/>
        <v>46026</v>
      </c>
      <c r="VI9" s="56"/>
      <c r="VJ9" s="242">
        <f>SUMPRODUCT(PRODUCE!$B8:$DY8,PRODUCE!$EB$57:$IY$57)</f>
        <v>0</v>
      </c>
      <c r="VK9" s="56"/>
      <c r="VL9" s="242">
        <f t="shared" si="192"/>
        <v>0</v>
      </c>
      <c r="VM9" s="242">
        <f t="shared" si="193"/>
        <v>0</v>
      </c>
      <c r="VN9" s="56"/>
      <c r="VQ9" s="55">
        <f t="shared" si="194"/>
        <v>46026</v>
      </c>
      <c r="VR9" s="56"/>
      <c r="VS9" s="242">
        <f>SUMPRODUCT(PRODUCE!$B8:$DY8,PRODUCE!$EB$57:$IY$57)</f>
        <v>0</v>
      </c>
      <c r="VT9" s="56"/>
      <c r="VU9" s="242">
        <f t="shared" si="195"/>
        <v>0</v>
      </c>
      <c r="VV9" s="242">
        <f t="shared" si="196"/>
        <v>0</v>
      </c>
      <c r="VW9" s="56"/>
      <c r="VZ9" s="55">
        <f t="shared" si="197"/>
        <v>46026</v>
      </c>
      <c r="WA9" s="56"/>
      <c r="WB9" s="242">
        <f>SUMPRODUCT(PRODUCE!$B8:$DY8,PRODUCE!$EB$57:$IY$57)</f>
        <v>0</v>
      </c>
      <c r="WC9" s="56"/>
      <c r="WD9" s="242">
        <f t="shared" si="198"/>
        <v>0</v>
      </c>
      <c r="WE9" s="242">
        <f t="shared" si="199"/>
        <v>0</v>
      </c>
      <c r="WF9" s="56"/>
      <c r="WI9" s="55">
        <f t="shared" si="200"/>
        <v>46026</v>
      </c>
      <c r="WJ9" s="56"/>
      <c r="WK9" s="242">
        <f>SUMPRODUCT(PRODUCE!$B8:$DY8,PRODUCE!$EB$57:$IY$57)</f>
        <v>0</v>
      </c>
      <c r="WL9" s="56"/>
      <c r="WM9" s="242">
        <f t="shared" si="201"/>
        <v>0</v>
      </c>
      <c r="WN9" s="242">
        <f t="shared" si="202"/>
        <v>5877</v>
      </c>
      <c r="WO9" s="56"/>
      <c r="WR9" s="55">
        <f t="shared" si="203"/>
        <v>46026</v>
      </c>
      <c r="WS9" s="56"/>
      <c r="WT9" s="242">
        <f>SUMPRODUCT(PRODUCE!$B8:$DY8,PRODUCE!$EB$57:$IY$57)</f>
        <v>0</v>
      </c>
      <c r="WU9" s="56"/>
      <c r="WV9" s="242">
        <f t="shared" si="204"/>
        <v>0</v>
      </c>
      <c r="WW9" s="242">
        <f t="shared" si="205"/>
        <v>5267</v>
      </c>
      <c r="WX9" s="56"/>
      <c r="XA9" s="55">
        <f t="shared" si="206"/>
        <v>46026</v>
      </c>
      <c r="XB9" s="56"/>
      <c r="XC9" s="242">
        <f>SUMPRODUCT(PRODUCE!$B8:$DY8,PRODUCE!$EB$57:$IY$57)</f>
        <v>0</v>
      </c>
      <c r="XD9" s="56"/>
      <c r="XE9" s="242">
        <f t="shared" si="207"/>
        <v>0</v>
      </c>
      <c r="XF9" s="242">
        <f t="shared" si="208"/>
        <v>2639</v>
      </c>
      <c r="XG9" s="56"/>
      <c r="XJ9" s="55">
        <f t="shared" si="209"/>
        <v>46026</v>
      </c>
      <c r="XK9" s="56"/>
      <c r="XL9" s="242">
        <f>SUMPRODUCT(PRODUCE!$B8:$DY8,PRODUCE!$EB$57:$IY$57)</f>
        <v>0</v>
      </c>
      <c r="XM9" s="56"/>
      <c r="XN9" s="242">
        <f t="shared" si="210"/>
        <v>0</v>
      </c>
      <c r="XO9" s="242">
        <f t="shared" si="211"/>
        <v>6772</v>
      </c>
      <c r="XP9" s="56"/>
      <c r="XS9" s="55">
        <f t="shared" si="212"/>
        <v>46026</v>
      </c>
      <c r="XT9" s="56"/>
      <c r="XU9" s="242">
        <f>SUMPRODUCT(PRODUCE!$B8:$DY8,PRODUCE!$EB$57:$IY$57)</f>
        <v>0</v>
      </c>
      <c r="XV9" s="56"/>
      <c r="XW9" s="242">
        <f t="shared" si="213"/>
        <v>0</v>
      </c>
      <c r="XX9" s="242">
        <f t="shared" si="214"/>
        <v>1901</v>
      </c>
      <c r="XY9" s="56"/>
      <c r="YB9" s="55">
        <f t="shared" si="215"/>
        <v>46026</v>
      </c>
      <c r="YC9" s="56"/>
      <c r="YD9" s="242">
        <f>SUMPRODUCT(PRODUCE!$B8:$DY8,PRODUCE!$EB$57:$IY$57)</f>
        <v>0</v>
      </c>
      <c r="YE9" s="56"/>
      <c r="YF9" s="242">
        <f t="shared" si="216"/>
        <v>0</v>
      </c>
      <c r="YG9" s="242">
        <f t="shared" si="217"/>
        <v>4175</v>
      </c>
      <c r="YH9" s="56"/>
      <c r="YK9" s="55">
        <f t="shared" si="218"/>
        <v>46026</v>
      </c>
      <c r="YL9" s="56"/>
      <c r="YM9" s="242">
        <f>SUMPRODUCT(PRODUCE!$B8:$DY8,PRODUCE!$EB$57:$IY$57)</f>
        <v>0</v>
      </c>
      <c r="YN9" s="56"/>
      <c r="YO9" s="242">
        <f t="shared" si="219"/>
        <v>0</v>
      </c>
      <c r="YP9" s="242">
        <f t="shared" si="220"/>
        <v>0</v>
      </c>
      <c r="YQ9" s="56"/>
      <c r="YT9" s="55">
        <f t="shared" si="221"/>
        <v>46026</v>
      </c>
      <c r="YU9" s="56"/>
      <c r="YV9" s="242">
        <f>SUMPRODUCT(PRODUCE!$B8:$DY8,PRODUCE!$EB$57:$IY$57)</f>
        <v>0</v>
      </c>
      <c r="YW9" s="56"/>
      <c r="YX9" s="242">
        <f t="shared" si="222"/>
        <v>0</v>
      </c>
      <c r="YY9" s="242">
        <f t="shared" si="223"/>
        <v>0</v>
      </c>
      <c r="YZ9" s="56"/>
      <c r="ZC9" s="55">
        <f t="shared" si="224"/>
        <v>46026</v>
      </c>
      <c r="ZD9" s="56"/>
      <c r="ZE9" s="242">
        <f>SUMPRODUCT(PRODUCE!$B8:$DY8,PRODUCE!$EB$57:$IY$57)</f>
        <v>0</v>
      </c>
      <c r="ZF9" s="56"/>
      <c r="ZG9" s="242">
        <f t="shared" si="225"/>
        <v>0</v>
      </c>
      <c r="ZH9" s="242">
        <f t="shared" si="226"/>
        <v>0</v>
      </c>
      <c r="ZI9" s="56"/>
      <c r="ZL9" s="55">
        <f t="shared" si="227"/>
        <v>46026</v>
      </c>
      <c r="ZM9" s="56"/>
      <c r="ZN9" s="242">
        <f>SUMPRODUCT(PRODUCE!$B8:$DY8,PRODUCE!$EB$57:$IY$57)</f>
        <v>0</v>
      </c>
      <c r="ZO9" s="56"/>
      <c r="ZP9" s="242">
        <f t="shared" si="228"/>
        <v>0</v>
      </c>
      <c r="ZQ9" s="242">
        <f t="shared" si="229"/>
        <v>0</v>
      </c>
      <c r="ZR9" s="56"/>
      <c r="ZU9" s="55">
        <f t="shared" si="230"/>
        <v>46026</v>
      </c>
      <c r="ZV9" s="56"/>
      <c r="ZW9" s="242">
        <f>SUMPRODUCT(PRODUCE!$B8:$DY8,PRODUCE!$EB$57:$IY$57)</f>
        <v>0</v>
      </c>
      <c r="ZX9" s="56"/>
      <c r="ZY9" s="242">
        <f t="shared" si="231"/>
        <v>0</v>
      </c>
      <c r="ZZ9" s="242">
        <f t="shared" si="232"/>
        <v>0</v>
      </c>
      <c r="AAA9" s="56"/>
      <c r="AAD9" s="55">
        <f t="shared" si="233"/>
        <v>46026</v>
      </c>
      <c r="AAE9" s="56"/>
      <c r="AAF9" s="242">
        <f>SUMPRODUCT(PRODUCE!$B8:$DY8,PRODUCE!$EB$57:$IY$57)</f>
        <v>0</v>
      </c>
      <c r="AAG9" s="56"/>
      <c r="AAH9" s="242">
        <f t="shared" si="234"/>
        <v>0</v>
      </c>
      <c r="AAI9" s="242">
        <f t="shared" si="235"/>
        <v>0</v>
      </c>
      <c r="AAJ9" s="56"/>
      <c r="AAM9" s="55">
        <f t="shared" si="236"/>
        <v>46026</v>
      </c>
      <c r="AAN9" s="56"/>
      <c r="AAO9" s="242">
        <f>SUMPRODUCT(PRODUCE!$B8:$DY8,PRODUCE!$EB$57:$IY$57)</f>
        <v>0</v>
      </c>
      <c r="AAP9" s="56"/>
      <c r="AAQ9" s="242">
        <f t="shared" si="237"/>
        <v>0</v>
      </c>
      <c r="AAR9" s="242">
        <f t="shared" si="238"/>
        <v>0</v>
      </c>
      <c r="AAS9" s="56"/>
      <c r="AAV9" s="55">
        <f t="shared" si="239"/>
        <v>46026</v>
      </c>
      <c r="AAW9" s="56"/>
      <c r="AAX9" s="242">
        <f>SUMPRODUCT(PRODUCE!$B8:$DY8,PRODUCE!$EB$57:$IY$57)</f>
        <v>0</v>
      </c>
      <c r="AAY9" s="56"/>
      <c r="AAZ9" s="242">
        <f t="shared" si="240"/>
        <v>0</v>
      </c>
      <c r="ABA9" s="242">
        <f t="shared" si="241"/>
        <v>0</v>
      </c>
      <c r="ABB9" s="56"/>
      <c r="ABE9" s="55">
        <f t="shared" si="242"/>
        <v>46026</v>
      </c>
      <c r="ABF9" s="56"/>
      <c r="ABG9" s="242">
        <f>SUMPRODUCT(PRODUCE!$B8:$DY8,PRODUCE!$EB$57:$IY$57)</f>
        <v>0</v>
      </c>
      <c r="ABH9" s="56"/>
      <c r="ABI9" s="242">
        <f t="shared" si="243"/>
        <v>0</v>
      </c>
      <c r="ABJ9" s="242">
        <f t="shared" si="244"/>
        <v>0</v>
      </c>
      <c r="ABK9" s="56"/>
    </row>
    <row r="10" spans="1:740" s="54" customFormat="1" ht="15" customHeight="1" outlineLevel="1">
      <c r="B10" s="478">
        <v>120</v>
      </c>
      <c r="C10" s="55">
        <v>46027</v>
      </c>
      <c r="D10" s="422">
        <v>68040</v>
      </c>
      <c r="E10" s="423">
        <f>SUMPRODUCT(PRODUCE!$B9:$DY9,PRODUCE!$EB$7:$IY$7)</f>
        <v>74430</v>
      </c>
      <c r="F10" s="422">
        <v>74428.2</v>
      </c>
      <c r="G10" s="423">
        <f t="shared" si="2"/>
        <v>1.8000000000029104</v>
      </c>
      <c r="H10" s="423">
        <f t="shared" si="0"/>
        <v>58943.199999999997</v>
      </c>
      <c r="I10" s="289" t="s">
        <v>176</v>
      </c>
      <c r="L10" s="55">
        <f t="shared" si="1"/>
        <v>46027</v>
      </c>
      <c r="M10" s="422">
        <v>53660</v>
      </c>
      <c r="N10" s="438">
        <f>SUMPRODUCT(PRODUCE!$B9:$DY9,PRODUCE!$EB$8:$IY$8)</f>
        <v>24210</v>
      </c>
      <c r="O10" s="422">
        <v>24212</v>
      </c>
      <c r="P10" s="438">
        <f t="shared" si="3"/>
        <v>-2</v>
      </c>
      <c r="Q10" s="438">
        <f t="shared" si="4"/>
        <v>34862.600000000006</v>
      </c>
      <c r="R10" s="56"/>
      <c r="U10" s="55">
        <f t="shared" si="5"/>
        <v>46027</v>
      </c>
      <c r="V10" s="422"/>
      <c r="W10" s="440">
        <f>SUMPRODUCT(PRODUCE!$B9:$DY9,PRODUCE!$EB$9:$IY$9)</f>
        <v>5400</v>
      </c>
      <c r="X10" s="422">
        <v>5399.6</v>
      </c>
      <c r="Y10" s="440">
        <f t="shared" si="6"/>
        <v>0.3999999999996362</v>
      </c>
      <c r="Z10" s="440">
        <f t="shared" si="7"/>
        <v>24270.899999999994</v>
      </c>
      <c r="AA10" s="56"/>
      <c r="AD10" s="55">
        <f t="shared" si="8"/>
        <v>46027</v>
      </c>
      <c r="AE10" s="422"/>
      <c r="AF10" s="442">
        <f>SUMPRODUCT(PRODUCE!$B9:$DY9,PRODUCE!$EB$10:$IY$10)</f>
        <v>2400</v>
      </c>
      <c r="AG10" s="422">
        <v>2401.9</v>
      </c>
      <c r="AH10" s="442">
        <f t="shared" si="9"/>
        <v>-1.9000000000000909</v>
      </c>
      <c r="AI10" s="442">
        <f t="shared" si="10"/>
        <v>21594.700000000012</v>
      </c>
      <c r="AJ10" s="56"/>
      <c r="AM10" s="55">
        <f t="shared" si="11"/>
        <v>46027</v>
      </c>
      <c r="AN10" s="422"/>
      <c r="AO10" s="444">
        <f>SUMPRODUCT(PRODUCE!$B9:$DY9,PRODUCE!$EB$11:$IY$11)</f>
        <v>0</v>
      </c>
      <c r="AP10" s="422"/>
      <c r="AQ10" s="444">
        <f t="shared" si="12"/>
        <v>0</v>
      </c>
      <c r="AR10" s="444">
        <f t="shared" si="13"/>
        <v>0</v>
      </c>
      <c r="AS10" s="56"/>
      <c r="AV10" s="55">
        <f t="shared" si="14"/>
        <v>46027</v>
      </c>
      <c r="AW10" s="422"/>
      <c r="AX10" s="446">
        <f>SUMPRODUCT(PRODUCE!$B9:$DY9,PRODUCE!$EB$12:$IY$12)</f>
        <v>2400</v>
      </c>
      <c r="AY10" s="422">
        <v>2401.6999999999998</v>
      </c>
      <c r="AZ10" s="446">
        <f t="shared" si="15"/>
        <v>-1.6999999999998181</v>
      </c>
      <c r="BA10" s="446">
        <f t="shared" si="16"/>
        <v>24312.999999999989</v>
      </c>
      <c r="BB10" s="56"/>
      <c r="BE10" s="55">
        <f t="shared" si="17"/>
        <v>46027</v>
      </c>
      <c r="BF10" s="422"/>
      <c r="BG10" s="448">
        <f>SUMPRODUCT(PRODUCE!$B9:$DY9,PRODUCE!$EB$13:$IY$13)</f>
        <v>2400</v>
      </c>
      <c r="BH10" s="422">
        <v>2367.8000000000002</v>
      </c>
      <c r="BI10" s="448">
        <f t="shared" si="18"/>
        <v>32.199999999999818</v>
      </c>
      <c r="BJ10" s="448">
        <f t="shared" si="19"/>
        <v>342.30000000000746</v>
      </c>
      <c r="BK10" s="56"/>
      <c r="BN10" s="55">
        <f t="shared" si="20"/>
        <v>46027</v>
      </c>
      <c r="BO10" s="422">
        <v>1800.2</v>
      </c>
      <c r="BP10" s="450">
        <f>SUMPRODUCT(PRODUCE!$B9:$DY9,PRODUCE!$EB$14:$IY$14)</f>
        <v>1800</v>
      </c>
      <c r="BQ10" s="422">
        <v>1800.2</v>
      </c>
      <c r="BR10" s="450">
        <f t="shared" si="21"/>
        <v>-0.20000000000004547</v>
      </c>
      <c r="BS10" s="450">
        <f t="shared" si="22"/>
        <v>0</v>
      </c>
      <c r="BT10" s="56"/>
      <c r="BW10" s="55">
        <f t="shared" si="23"/>
        <v>46027</v>
      </c>
      <c r="BX10" s="56"/>
      <c r="BY10" s="65">
        <f>SUMPRODUCT(PRODUCE!$B9:$DY9,PRODUCE!$EB$15:$IY$15)</f>
        <v>0</v>
      </c>
      <c r="BZ10" s="56"/>
      <c r="CA10" s="65">
        <f t="shared" si="24"/>
        <v>0</v>
      </c>
      <c r="CB10" s="65">
        <f t="shared" si="25"/>
        <v>512.5</v>
      </c>
      <c r="CC10" s="56"/>
      <c r="CF10" s="55">
        <f t="shared" si="26"/>
        <v>46027</v>
      </c>
      <c r="CG10" s="56"/>
      <c r="CH10" s="66">
        <f>SUMPRODUCT(PRODUCE!$B9:$DY9,PRODUCE!$EB$16:$IY$16)</f>
        <v>0</v>
      </c>
      <c r="CI10" s="56"/>
      <c r="CJ10" s="66">
        <f t="shared" si="27"/>
        <v>0</v>
      </c>
      <c r="CK10" s="66">
        <f t="shared" si="28"/>
        <v>0</v>
      </c>
      <c r="CL10" s="56"/>
      <c r="CO10" s="55">
        <f t="shared" si="29"/>
        <v>46027</v>
      </c>
      <c r="CP10" s="422"/>
      <c r="CQ10" s="470">
        <f>SUMPRODUCT(PRODUCE!$B9:$DY9,PRODUCE!$EB$17:$IY$17)</f>
        <v>0</v>
      </c>
      <c r="CR10" s="422"/>
      <c r="CS10" s="470">
        <f t="shared" si="30"/>
        <v>0</v>
      </c>
      <c r="CT10" s="470">
        <f t="shared" si="31"/>
        <v>0</v>
      </c>
      <c r="CU10" s="56"/>
      <c r="CX10" s="55">
        <f t="shared" si="32"/>
        <v>46027</v>
      </c>
      <c r="CY10" s="56"/>
      <c r="CZ10" s="133">
        <f>SUMPRODUCT(PRODUCE!$B9:$DY9,PRODUCE!$EB$18:$IY$18)</f>
        <v>0</v>
      </c>
      <c r="DA10" s="56"/>
      <c r="DB10" s="133">
        <f t="shared" si="33"/>
        <v>0</v>
      </c>
      <c r="DC10" s="133">
        <f t="shared" si="34"/>
        <v>0</v>
      </c>
      <c r="DD10" s="56"/>
      <c r="DG10" s="55">
        <f t="shared" si="35"/>
        <v>46027</v>
      </c>
      <c r="DH10" s="56"/>
      <c r="DI10" s="147">
        <f>SUMPRODUCT(PRODUCE!$B9:$DY9,PRODUCE!$EB$19:$IY$19)</f>
        <v>4200</v>
      </c>
      <c r="DJ10" s="56">
        <v>4197.8</v>
      </c>
      <c r="DK10" s="147">
        <f t="shared" si="36"/>
        <v>2.1999999999998181</v>
      </c>
      <c r="DL10" s="147">
        <f t="shared" si="37"/>
        <v>27143.399999999998</v>
      </c>
      <c r="DM10" s="56"/>
      <c r="DP10" s="55">
        <f t="shared" si="38"/>
        <v>46027</v>
      </c>
      <c r="DQ10" s="56"/>
      <c r="DR10" s="57">
        <f>SUMPRODUCT(PRODUCE!$B9:$DY9,PRODUCE!$EB$20:$IY$20)</f>
        <v>0</v>
      </c>
      <c r="DS10" s="56"/>
      <c r="DT10" s="57">
        <f t="shared" si="39"/>
        <v>0</v>
      </c>
      <c r="DU10" s="57">
        <f t="shared" si="40"/>
        <v>0</v>
      </c>
      <c r="DV10" s="56"/>
      <c r="DY10" s="55">
        <f t="shared" si="41"/>
        <v>46027</v>
      </c>
      <c r="DZ10" s="56"/>
      <c r="EA10" s="157">
        <f>SUMPRODUCT(PRODUCE!$B9:$DY9,PRODUCE!$EB$21:$IY$21)</f>
        <v>0</v>
      </c>
      <c r="EB10" s="56"/>
      <c r="EC10" s="157">
        <f t="shared" si="42"/>
        <v>0</v>
      </c>
      <c r="ED10" s="157">
        <f t="shared" si="43"/>
        <v>0</v>
      </c>
      <c r="EE10" s="56"/>
      <c r="EH10" s="55">
        <f t="shared" si="44"/>
        <v>46027</v>
      </c>
      <c r="EI10" s="56"/>
      <c r="EJ10" s="162">
        <f>SUMPRODUCT(PRODUCE!$B9:$DY9,PRODUCE!$EB$22:$IY$22)</f>
        <v>0</v>
      </c>
      <c r="EK10" s="56"/>
      <c r="EL10" s="162">
        <f t="shared" si="45"/>
        <v>0</v>
      </c>
      <c r="EM10" s="162">
        <f t="shared" si="46"/>
        <v>0</v>
      </c>
      <c r="EN10" s="56"/>
      <c r="EQ10" s="55">
        <f t="shared" si="47"/>
        <v>46027</v>
      </c>
      <c r="ER10" s="56"/>
      <c r="ES10" s="135">
        <f>SUMPRODUCT(PRODUCE!$B9:$DY9,PRODUCE!$EB$23:$IY$23)</f>
        <v>0</v>
      </c>
      <c r="ET10" s="56"/>
      <c r="EU10" s="135">
        <f t="shared" si="48"/>
        <v>0</v>
      </c>
      <c r="EV10" s="135">
        <f t="shared" si="49"/>
        <v>0</v>
      </c>
      <c r="EW10" s="56"/>
      <c r="EZ10" s="55">
        <f t="shared" si="50"/>
        <v>46027</v>
      </c>
      <c r="FA10" s="56"/>
      <c r="FB10" s="175">
        <f>SUMPRODUCT(PRODUCE!$B9:$DY9,PRODUCE!$EB$24:$IY$24)</f>
        <v>0</v>
      </c>
      <c r="FC10" s="56"/>
      <c r="FD10" s="175">
        <f t="shared" si="51"/>
        <v>0</v>
      </c>
      <c r="FE10" s="175">
        <f t="shared" si="52"/>
        <v>0</v>
      </c>
      <c r="FF10" s="56"/>
      <c r="FI10" s="55">
        <f t="shared" si="53"/>
        <v>46027</v>
      </c>
      <c r="FJ10" s="56"/>
      <c r="FK10" s="183">
        <f>SUMPRODUCT(PRODUCE!$B9:$DY9,PRODUCE!$EB$25:$IY$25)</f>
        <v>0</v>
      </c>
      <c r="FL10" s="56"/>
      <c r="FM10" s="183">
        <f t="shared" si="54"/>
        <v>0</v>
      </c>
      <c r="FN10" s="183">
        <f t="shared" si="55"/>
        <v>0</v>
      </c>
      <c r="FO10" s="56"/>
      <c r="FR10" s="55">
        <f t="shared" si="56"/>
        <v>46027</v>
      </c>
      <c r="FS10" s="422"/>
      <c r="FT10" s="452">
        <f>SUMPRODUCT(PRODUCE!$B9:$DY9,PRODUCE!$EB$26:$IY$26)</f>
        <v>0</v>
      </c>
      <c r="FU10" s="422"/>
      <c r="FV10" s="452">
        <f t="shared" si="57"/>
        <v>0</v>
      </c>
      <c r="FW10" s="452">
        <f t="shared" si="58"/>
        <v>3540</v>
      </c>
      <c r="FX10" s="56"/>
      <c r="GA10" s="55">
        <f t="shared" si="59"/>
        <v>46027</v>
      </c>
      <c r="GB10" s="422"/>
      <c r="GC10" s="454">
        <f>SUMPRODUCT(PRODUCE!$B9:$DY9,PRODUCE!$EB$27:$IY$27)</f>
        <v>0</v>
      </c>
      <c r="GD10" s="422"/>
      <c r="GE10" s="454">
        <f t="shared" si="60"/>
        <v>0</v>
      </c>
      <c r="GF10" s="454">
        <f t="shared" si="61"/>
        <v>1960</v>
      </c>
      <c r="GG10" s="56"/>
      <c r="GI10" s="23"/>
      <c r="GJ10" s="55">
        <f t="shared" si="62"/>
        <v>46027</v>
      </c>
      <c r="GK10" s="422"/>
      <c r="GL10" s="456">
        <f>SUMPRODUCT(PRODUCE!$B9:$DY9,PRODUCE!$EB$28:$IY$28)</f>
        <v>0</v>
      </c>
      <c r="GM10" s="422"/>
      <c r="GN10" s="456">
        <f t="shared" si="63"/>
        <v>0</v>
      </c>
      <c r="GO10" s="456">
        <f t="shared" si="64"/>
        <v>560</v>
      </c>
      <c r="GP10" s="56"/>
      <c r="GS10" s="55">
        <f t="shared" si="65"/>
        <v>46027</v>
      </c>
      <c r="GT10" s="56"/>
      <c r="GU10" s="195">
        <f>SUMPRODUCT(PRODUCE!$B9:$DY9,PRODUCE!$EB$29:$IY$29)</f>
        <v>0</v>
      </c>
      <c r="GV10" s="56"/>
      <c r="GW10" s="195">
        <f t="shared" si="66"/>
        <v>0</v>
      </c>
      <c r="GX10" s="195">
        <f t="shared" si="67"/>
        <v>0</v>
      </c>
      <c r="GY10" s="56"/>
      <c r="HB10" s="55">
        <f t="shared" si="68"/>
        <v>46027</v>
      </c>
      <c r="HC10" s="56"/>
      <c r="HD10" s="191">
        <f>SUMPRODUCT(PRODUCE!$B9:$DY9,PRODUCE!$EB$30:$IY$30)</f>
        <v>0</v>
      </c>
      <c r="HE10" s="56"/>
      <c r="HF10" s="191">
        <f t="shared" si="69"/>
        <v>0</v>
      </c>
      <c r="HG10" s="191">
        <f t="shared" si="70"/>
        <v>0</v>
      </c>
      <c r="HH10" s="56"/>
      <c r="HK10" s="55">
        <f t="shared" si="71"/>
        <v>46027</v>
      </c>
      <c r="HL10" s="56"/>
      <c r="HM10" s="63">
        <f>SUMPRODUCT(PRODUCE!$B9:$DY9,PRODUCE!$EB$31:$IY$31)</f>
        <v>0</v>
      </c>
      <c r="HN10" s="56"/>
      <c r="HO10" s="63">
        <f t="shared" si="72"/>
        <v>0</v>
      </c>
      <c r="HP10" s="63">
        <f t="shared" si="73"/>
        <v>0</v>
      </c>
      <c r="HQ10" s="56"/>
      <c r="HU10" s="55">
        <f t="shared" si="74"/>
        <v>46027</v>
      </c>
      <c r="HV10" s="56"/>
      <c r="HW10" s="242">
        <f>SUMPRODUCT(PRODUCE!$B9:$DY9,PRODUCE!$EB$32:$IY$32)</f>
        <v>0</v>
      </c>
      <c r="HX10" s="56"/>
      <c r="HY10" s="242">
        <f t="shared" si="75"/>
        <v>0</v>
      </c>
      <c r="HZ10" s="242">
        <f t="shared" si="76"/>
        <v>3980</v>
      </c>
      <c r="IA10" s="56"/>
      <c r="ID10" s="55">
        <f t="shared" si="77"/>
        <v>46027</v>
      </c>
      <c r="IE10" s="56"/>
      <c r="IF10" s="242">
        <f>SUMPRODUCT(PRODUCE!$B9:$DY9,PRODUCE!$EB$33:$IY$33)</f>
        <v>0</v>
      </c>
      <c r="IG10" s="56"/>
      <c r="IH10" s="242">
        <f t="shared" si="78"/>
        <v>0</v>
      </c>
      <c r="II10" s="242">
        <f t="shared" si="79"/>
        <v>2960</v>
      </c>
      <c r="IJ10" s="56"/>
      <c r="IM10" s="55">
        <f t="shared" si="80"/>
        <v>46027</v>
      </c>
      <c r="IN10" s="56"/>
      <c r="IO10" s="242">
        <f>SUMPRODUCT(PRODUCE!$B9:$DY9,PRODUCE!$EB$34:$IY$34)</f>
        <v>0</v>
      </c>
      <c r="IP10" s="56"/>
      <c r="IQ10" s="242">
        <f t="shared" si="81"/>
        <v>0</v>
      </c>
      <c r="IR10" s="242">
        <f t="shared" si="82"/>
        <v>1240</v>
      </c>
      <c r="IS10" s="56"/>
      <c r="IV10" s="55">
        <f t="shared" si="83"/>
        <v>46027</v>
      </c>
      <c r="IW10" s="56"/>
      <c r="IX10" s="242">
        <f>SUMPRODUCT(PRODUCE!$B9:$DY9,PRODUCE!$EB$35:$IY$35)</f>
        <v>2400</v>
      </c>
      <c r="IY10" s="56"/>
      <c r="IZ10" s="242">
        <f t="shared" si="84"/>
        <v>2400</v>
      </c>
      <c r="JA10" s="242">
        <f t="shared" si="85"/>
        <v>3920</v>
      </c>
      <c r="JB10" s="56"/>
      <c r="JE10" s="55">
        <f t="shared" si="86"/>
        <v>46027</v>
      </c>
      <c r="JF10" s="56"/>
      <c r="JG10" s="242">
        <f>SUMPRODUCT(PRODUCE!$B9:$DY9,PRODUCE!$EB$36:$IY$36)</f>
        <v>0</v>
      </c>
      <c r="JH10" s="56"/>
      <c r="JI10" s="242">
        <f t="shared" si="87"/>
        <v>0</v>
      </c>
      <c r="JJ10" s="242">
        <f t="shared" si="88"/>
        <v>6800</v>
      </c>
      <c r="JK10" s="56"/>
      <c r="JN10" s="55">
        <f t="shared" si="89"/>
        <v>46027</v>
      </c>
      <c r="JO10" s="56"/>
      <c r="JP10" s="242">
        <f>SUMPRODUCT(PRODUCE!$B9:$DY9,PRODUCE!$EB$37:$IY$37)</f>
        <v>0</v>
      </c>
      <c r="JQ10" s="56"/>
      <c r="JR10" s="242">
        <f t="shared" si="90"/>
        <v>0</v>
      </c>
      <c r="JS10" s="242">
        <f t="shared" si="91"/>
        <v>4400</v>
      </c>
      <c r="JT10" s="56"/>
      <c r="JW10" s="55">
        <f t="shared" si="92"/>
        <v>46027</v>
      </c>
      <c r="JX10" s="56"/>
      <c r="JY10" s="242">
        <f>SUMPRODUCT(PRODUCE!$B9:$DY9,PRODUCE!$EB$38:$IY$38)</f>
        <v>0</v>
      </c>
      <c r="JZ10" s="56"/>
      <c r="KA10" s="242">
        <f t="shared" si="93"/>
        <v>0</v>
      </c>
      <c r="KB10" s="242">
        <f t="shared" si="94"/>
        <v>0</v>
      </c>
      <c r="KC10" s="56"/>
      <c r="KF10" s="55">
        <f t="shared" si="95"/>
        <v>46027</v>
      </c>
      <c r="KG10" s="56"/>
      <c r="KH10" s="242">
        <f>SUMPRODUCT(PRODUCE!$B9:$DY9,PRODUCE!$EB$39:$IY$39)</f>
        <v>0</v>
      </c>
      <c r="KI10" s="56"/>
      <c r="KJ10" s="242">
        <f t="shared" si="96"/>
        <v>0</v>
      </c>
      <c r="KK10" s="242">
        <f t="shared" si="97"/>
        <v>0</v>
      </c>
      <c r="KL10" s="56"/>
      <c r="KO10" s="55">
        <f t="shared" si="98"/>
        <v>46027</v>
      </c>
      <c r="KP10" s="56"/>
      <c r="KQ10" s="242">
        <f>SUMPRODUCT(PRODUCE!$B9:$DY9,PRODUCE!$EB$40:$IY$40)</f>
        <v>0</v>
      </c>
      <c r="KR10" s="56"/>
      <c r="KS10" s="242">
        <f t="shared" si="99"/>
        <v>0</v>
      </c>
      <c r="KT10" s="242">
        <f t="shared" si="100"/>
        <v>0</v>
      </c>
      <c r="KU10" s="56"/>
      <c r="KW10" s="23"/>
      <c r="KX10" s="55">
        <f t="shared" si="101"/>
        <v>46027</v>
      </c>
      <c r="KY10" s="56"/>
      <c r="KZ10" s="242">
        <f>SUMPRODUCT(PRODUCE!$B9:$DY9,PRODUCE!$EB$41:$IY$41)</f>
        <v>0</v>
      </c>
      <c r="LA10" s="56"/>
      <c r="LB10" s="242">
        <f t="shared" si="102"/>
        <v>0</v>
      </c>
      <c r="LC10" s="242">
        <f t="shared" si="103"/>
        <v>0</v>
      </c>
      <c r="LD10" s="56"/>
      <c r="LG10" s="55">
        <f t="shared" si="104"/>
        <v>46027</v>
      </c>
      <c r="LH10" s="56"/>
      <c r="LI10" s="242">
        <f>SUMPRODUCT(PRODUCE!$B9:$DY9,PRODUCE!$EB$42:$IY$42)</f>
        <v>0</v>
      </c>
      <c r="LJ10" s="56"/>
      <c r="LK10" s="242">
        <f t="shared" si="105"/>
        <v>0</v>
      </c>
      <c r="LL10" s="242">
        <f t="shared" si="106"/>
        <v>0</v>
      </c>
      <c r="LM10" s="56"/>
      <c r="LP10" s="55">
        <f t="shared" si="107"/>
        <v>46027</v>
      </c>
      <c r="LQ10" s="56"/>
      <c r="LR10" s="242">
        <f>SUMPRODUCT(PRODUCE!$B9:$DY9,PRODUCE!$EB$43:$IY$43)</f>
        <v>0</v>
      </c>
      <c r="LS10" s="56"/>
      <c r="LT10" s="242">
        <f t="shared" si="108"/>
        <v>0</v>
      </c>
      <c r="LU10" s="242">
        <f t="shared" si="109"/>
        <v>0</v>
      </c>
      <c r="LV10" s="56"/>
      <c r="LY10" s="55">
        <f t="shared" si="110"/>
        <v>46027</v>
      </c>
      <c r="LZ10" s="56"/>
      <c r="MA10" s="242">
        <f>SUMPRODUCT(PRODUCE!$B9:$DY9,PRODUCE!$EB$44:$IY$44)</f>
        <v>0</v>
      </c>
      <c r="MB10" s="56"/>
      <c r="MC10" s="242">
        <f t="shared" si="111"/>
        <v>0</v>
      </c>
      <c r="MD10" s="242">
        <f t="shared" si="112"/>
        <v>0</v>
      </c>
      <c r="ME10" s="56"/>
      <c r="MH10" s="55">
        <f t="shared" si="113"/>
        <v>46027</v>
      </c>
      <c r="MI10" s="56"/>
      <c r="MJ10" s="242">
        <f>SUMPRODUCT(PRODUCE!$B9:$DY9,PRODUCE!$EB$45:$IY$45)</f>
        <v>0</v>
      </c>
      <c r="MK10" s="56"/>
      <c r="ML10" s="242">
        <f t="shared" si="114"/>
        <v>0</v>
      </c>
      <c r="MM10" s="242">
        <f t="shared" si="115"/>
        <v>0</v>
      </c>
      <c r="MN10" s="56"/>
      <c r="MQ10" s="55">
        <f t="shared" si="116"/>
        <v>46027</v>
      </c>
      <c r="MR10" s="56"/>
      <c r="MS10" s="242">
        <f>SUMPRODUCT(PRODUCE!$B9:$DY9,PRODUCE!$EB$46:$IY$46)</f>
        <v>0</v>
      </c>
      <c r="MT10" s="56"/>
      <c r="MU10" s="242">
        <f t="shared" si="117"/>
        <v>0</v>
      </c>
      <c r="MV10" s="242">
        <f t="shared" si="118"/>
        <v>1371</v>
      </c>
      <c r="MW10" s="56"/>
      <c r="MZ10" s="55">
        <f t="shared" si="119"/>
        <v>46027</v>
      </c>
      <c r="NA10" s="56"/>
      <c r="NB10" s="242">
        <f>SUMPRODUCT(PRODUCE!$B9:$DY9,PRODUCE!$EB$47:$IY$47)</f>
        <v>360</v>
      </c>
      <c r="NC10" s="56"/>
      <c r="ND10" s="242">
        <f t="shared" si="120"/>
        <v>360</v>
      </c>
      <c r="NE10" s="242">
        <f t="shared" si="121"/>
        <v>0</v>
      </c>
      <c r="NF10" s="56"/>
      <c r="NI10" s="55">
        <f t="shared" si="122"/>
        <v>46027</v>
      </c>
      <c r="NJ10" s="56"/>
      <c r="NK10" s="242">
        <f>SUMPRODUCT(PRODUCE!$B9:$DY9,PRODUCE!$EB$48:$IY$48)</f>
        <v>0</v>
      </c>
      <c r="NL10" s="56"/>
      <c r="NM10" s="242">
        <f t="shared" si="123"/>
        <v>0</v>
      </c>
      <c r="NN10" s="242">
        <f t="shared" si="124"/>
        <v>0</v>
      </c>
      <c r="NO10" s="56"/>
      <c r="NR10" s="55">
        <f t="shared" si="125"/>
        <v>46027</v>
      </c>
      <c r="NS10" s="56"/>
      <c r="NT10" s="242">
        <f>SUMPRODUCT(PRODUCE!$B9:$DY9,PRODUCE!$EB$49:$IY$49)</f>
        <v>0</v>
      </c>
      <c r="NU10" s="56"/>
      <c r="NV10" s="242">
        <f t="shared" si="126"/>
        <v>0</v>
      </c>
      <c r="NW10" s="242">
        <f t="shared" si="127"/>
        <v>0</v>
      </c>
      <c r="NX10" s="56"/>
      <c r="OA10" s="55">
        <f t="shared" si="128"/>
        <v>46027</v>
      </c>
      <c r="OB10" s="56">
        <v>500</v>
      </c>
      <c r="OC10" s="242">
        <f>SUMPRODUCT(PRODUCE!$B9:$DY9,PRODUCE!$EB$50:$IY$50)</f>
        <v>0</v>
      </c>
      <c r="OD10" s="56"/>
      <c r="OE10" s="242">
        <f t="shared" si="129"/>
        <v>0</v>
      </c>
      <c r="OF10" s="242">
        <f t="shared" si="130"/>
        <v>335.2</v>
      </c>
      <c r="OG10" s="56"/>
      <c r="OJ10" s="55">
        <f t="shared" si="131"/>
        <v>46027</v>
      </c>
      <c r="OK10" s="56"/>
      <c r="OL10" s="242">
        <f>SUMPRODUCT(PRODUCE!$B9:$DY9,PRODUCE!$EB$51:$IY$51)</f>
        <v>0</v>
      </c>
      <c r="OM10" s="56"/>
      <c r="ON10" s="242">
        <f t="shared" si="132"/>
        <v>0</v>
      </c>
      <c r="OO10" s="242">
        <f t="shared" si="133"/>
        <v>0</v>
      </c>
      <c r="OP10" s="56"/>
      <c r="OS10" s="55">
        <f t="shared" si="134"/>
        <v>46027</v>
      </c>
      <c r="OT10" s="56"/>
      <c r="OU10" s="242">
        <f>SUMPRODUCT(PRODUCE!$B9:$DY9,PRODUCE!$EB$52:$IY$52)</f>
        <v>0</v>
      </c>
      <c r="OV10" s="56"/>
      <c r="OW10" s="242">
        <f t="shared" si="135"/>
        <v>0</v>
      </c>
      <c r="OX10" s="242">
        <f t="shared" si="136"/>
        <v>67</v>
      </c>
      <c r="OY10" s="56"/>
      <c r="PB10" s="55">
        <f t="shared" si="137"/>
        <v>46027</v>
      </c>
      <c r="PC10" s="56">
        <v>240</v>
      </c>
      <c r="PD10" s="242">
        <f>SUMPRODUCT(PRODUCE!$B9:$DY9,PRODUCE!$EB$53:$IY$53)</f>
        <v>0</v>
      </c>
      <c r="PE10" s="56">
        <f>34+126+80</f>
        <v>240</v>
      </c>
      <c r="PF10" s="242">
        <f t="shared" si="138"/>
        <v>-240</v>
      </c>
      <c r="PG10" s="242">
        <f t="shared" si="139"/>
        <v>0</v>
      </c>
      <c r="PH10" s="56"/>
      <c r="PK10" s="55">
        <f t="shared" si="140"/>
        <v>46027</v>
      </c>
      <c r="PL10" s="56"/>
      <c r="PM10" s="242">
        <f>SUMPRODUCT(PRODUCE!$B9:$DY9,PRODUCE!$EB$54:$IY$54)</f>
        <v>0</v>
      </c>
      <c r="PN10" s="56"/>
      <c r="PO10" s="242">
        <f t="shared" si="141"/>
        <v>0</v>
      </c>
      <c r="PP10" s="242">
        <f t="shared" si="142"/>
        <v>160</v>
      </c>
      <c r="PQ10" s="56"/>
      <c r="PT10" s="55">
        <f t="shared" si="143"/>
        <v>46027</v>
      </c>
      <c r="PU10" s="56"/>
      <c r="PV10" s="242">
        <f>SUMPRODUCT(PRODUCE!$B9:$DY9,PRODUCE!$EB$55:$IY$55)</f>
        <v>0</v>
      </c>
      <c r="PW10" s="56"/>
      <c r="PX10" s="242">
        <f t="shared" si="144"/>
        <v>0</v>
      </c>
      <c r="PY10" s="242">
        <f t="shared" si="145"/>
        <v>13.960000000000036</v>
      </c>
      <c r="PZ10" s="56"/>
      <c r="QC10" s="55">
        <f t="shared" si="146"/>
        <v>46027</v>
      </c>
      <c r="QD10" s="56"/>
      <c r="QE10" s="242">
        <f>SUMPRODUCT(PRODUCE!$B9:$DY9,PRODUCE!$EB$56:$IY$56)</f>
        <v>0</v>
      </c>
      <c r="QF10" s="56"/>
      <c r="QG10" s="242">
        <f t="shared" si="147"/>
        <v>0</v>
      </c>
      <c r="QH10" s="242">
        <f t="shared" si="148"/>
        <v>0</v>
      </c>
      <c r="QI10" s="56"/>
      <c r="QL10" s="55">
        <f t="shared" si="149"/>
        <v>46027</v>
      </c>
      <c r="QM10" s="56"/>
      <c r="QN10" s="242">
        <f>SUMPRODUCT(PRODUCE!$B9:$DY9,PRODUCE!$EB$57:$IY$57)</f>
        <v>0</v>
      </c>
      <c r="QO10" s="56"/>
      <c r="QP10" s="242">
        <f t="shared" si="150"/>
        <v>0</v>
      </c>
      <c r="QQ10" s="242">
        <f t="shared" si="151"/>
        <v>0</v>
      </c>
      <c r="QR10" s="56"/>
      <c r="QU10" s="55">
        <f t="shared" si="152"/>
        <v>46027</v>
      </c>
      <c r="QV10" s="56"/>
      <c r="QW10" s="242">
        <f>SUMPRODUCT(PRODUCE!$B9:$DY9,PRODUCE!$EB$57:$IY$57)</f>
        <v>0</v>
      </c>
      <c r="QX10" s="56"/>
      <c r="QY10" s="242">
        <f t="shared" si="153"/>
        <v>0</v>
      </c>
      <c r="QZ10" s="242">
        <f t="shared" si="154"/>
        <v>207.6</v>
      </c>
      <c r="RA10" s="56"/>
      <c r="RD10" s="55">
        <f t="shared" si="155"/>
        <v>46027</v>
      </c>
      <c r="RE10" s="56"/>
      <c r="RF10" s="242">
        <f>SUMPRODUCT(PRODUCE!$B9:$DY9,PRODUCE!$EB$58:$IY$58)</f>
        <v>0</v>
      </c>
      <c r="RG10" s="56"/>
      <c r="RH10" s="242">
        <f t="shared" si="156"/>
        <v>0</v>
      </c>
      <c r="RI10" s="242">
        <f t="shared" si="157"/>
        <v>201.8</v>
      </c>
      <c r="RJ10" s="56"/>
      <c r="RM10" s="55">
        <f t="shared" si="158"/>
        <v>46027</v>
      </c>
      <c r="RN10" s="56"/>
      <c r="RO10" s="242">
        <f>SUMPRODUCT(PRODUCE!$B9:$DY9,PRODUCE!$EB$59:$IY$59)</f>
        <v>0</v>
      </c>
      <c r="RP10" s="56"/>
      <c r="RQ10" s="242">
        <f t="shared" si="159"/>
        <v>0</v>
      </c>
      <c r="RR10" s="242">
        <f t="shared" si="160"/>
        <v>22.720000000000002</v>
      </c>
      <c r="RS10" s="56"/>
      <c r="RV10" s="55">
        <f t="shared" si="161"/>
        <v>46027</v>
      </c>
      <c r="RW10" s="56"/>
      <c r="RX10" s="242">
        <f>SUMPRODUCT(PRODUCE!$B9:$DY9,PRODUCE!$EB$57:$IY$57)</f>
        <v>0</v>
      </c>
      <c r="RY10" s="56"/>
      <c r="RZ10" s="242">
        <f t="shared" si="162"/>
        <v>0</v>
      </c>
      <c r="SA10" s="242">
        <f t="shared" si="163"/>
        <v>0</v>
      </c>
      <c r="SB10" s="56"/>
      <c r="SE10" s="55">
        <f t="shared" si="164"/>
        <v>46027</v>
      </c>
      <c r="SF10" s="56"/>
      <c r="SG10" s="242">
        <f>SUMPRODUCT(PRODUCE!$B9:$DY9,PRODUCE!$EB$61:$IY$61)</f>
        <v>0</v>
      </c>
      <c r="SH10" s="56"/>
      <c r="SI10" s="242">
        <f t="shared" si="165"/>
        <v>0</v>
      </c>
      <c r="SJ10" s="242">
        <f t="shared" si="166"/>
        <v>0</v>
      </c>
      <c r="SK10" s="56"/>
      <c r="SN10" s="55">
        <f t="shared" si="167"/>
        <v>46027</v>
      </c>
      <c r="SO10" s="56"/>
      <c r="SP10" s="242">
        <f>SUMPRODUCT(PRODUCE!$B9:$DY9,PRODUCE!$EB$57:$IY$57)</f>
        <v>0</v>
      </c>
      <c r="SQ10" s="56"/>
      <c r="SR10" s="242">
        <f t="shared" si="168"/>
        <v>0</v>
      </c>
      <c r="SS10" s="242">
        <f t="shared" si="169"/>
        <v>0</v>
      </c>
      <c r="ST10" s="56"/>
      <c r="SW10" s="55">
        <f t="shared" si="170"/>
        <v>46027</v>
      </c>
      <c r="SX10" s="56"/>
      <c r="SY10" s="242">
        <f>SUMPRODUCT(PRODUCE!$B9:$DY9,PRODUCE!$EB$57:$IY$57)</f>
        <v>0</v>
      </c>
      <c r="SZ10" s="56"/>
      <c r="TA10" s="242">
        <f t="shared" si="171"/>
        <v>0</v>
      </c>
      <c r="TB10" s="242">
        <f t="shared" si="172"/>
        <v>0</v>
      </c>
      <c r="TC10" s="56"/>
      <c r="TF10" s="55">
        <f t="shared" si="173"/>
        <v>46027</v>
      </c>
      <c r="TG10" s="56"/>
      <c r="TH10" s="242">
        <f>SUMPRODUCT(PRODUCE!$B9:$DY9,PRODUCE!$EB$57:$IY$57)</f>
        <v>0</v>
      </c>
      <c r="TI10" s="56"/>
      <c r="TJ10" s="242">
        <f t="shared" si="174"/>
        <v>0</v>
      </c>
      <c r="TK10" s="242">
        <f t="shared" si="175"/>
        <v>0</v>
      </c>
      <c r="TL10" s="56"/>
      <c r="TO10" s="55">
        <f t="shared" si="176"/>
        <v>46027</v>
      </c>
      <c r="TP10" s="56"/>
      <c r="TQ10" s="242">
        <f>SUMPRODUCT(PRODUCE!$B9:$DY9,PRODUCE!$EB$57:$IY$57)</f>
        <v>0</v>
      </c>
      <c r="TR10" s="56"/>
      <c r="TS10" s="242">
        <f t="shared" si="177"/>
        <v>0</v>
      </c>
      <c r="TT10" s="242">
        <f t="shared" si="178"/>
        <v>0</v>
      </c>
      <c r="TU10" s="56"/>
      <c r="TX10" s="55">
        <f t="shared" si="179"/>
        <v>46027</v>
      </c>
      <c r="TY10" s="56"/>
      <c r="TZ10" s="242">
        <f>SUMPRODUCT(PRODUCE!$B9:$DY9,PRODUCE!$EB$57:$IY$57)</f>
        <v>0</v>
      </c>
      <c r="UA10" s="56"/>
      <c r="UB10" s="242">
        <f t="shared" si="180"/>
        <v>0</v>
      </c>
      <c r="UC10" s="242">
        <f t="shared" si="181"/>
        <v>0</v>
      </c>
      <c r="UD10" s="56"/>
      <c r="UG10" s="55">
        <f t="shared" si="182"/>
        <v>46027</v>
      </c>
      <c r="UH10" s="56"/>
      <c r="UI10" s="242">
        <f>SUMPRODUCT(PRODUCE!$B9:$DY9,PRODUCE!$EB$57:$IY$57)</f>
        <v>0</v>
      </c>
      <c r="UJ10" s="56"/>
      <c r="UK10" s="242">
        <f t="shared" si="183"/>
        <v>0</v>
      </c>
      <c r="UL10" s="242">
        <f t="shared" si="184"/>
        <v>0</v>
      </c>
      <c r="UM10" s="56"/>
      <c r="UP10" s="55">
        <f t="shared" si="185"/>
        <v>46027</v>
      </c>
      <c r="UQ10" s="56"/>
      <c r="UR10" s="242">
        <f>SUMPRODUCT(PRODUCE!$B9:$DY9,PRODUCE!$EB$57:$IY$57)</f>
        <v>0</v>
      </c>
      <c r="US10" s="56"/>
      <c r="UT10" s="242">
        <f t="shared" si="186"/>
        <v>0</v>
      </c>
      <c r="UU10" s="242">
        <f t="shared" si="187"/>
        <v>0</v>
      </c>
      <c r="UV10" s="56"/>
      <c r="UY10" s="55">
        <f t="shared" si="188"/>
        <v>46027</v>
      </c>
      <c r="UZ10" s="56"/>
      <c r="VA10" s="242">
        <f>SUMPRODUCT(PRODUCE!$B9:$DY9,PRODUCE!$EB$57:$IY$57)</f>
        <v>0</v>
      </c>
      <c r="VB10" s="56"/>
      <c r="VC10" s="242">
        <f t="shared" si="189"/>
        <v>0</v>
      </c>
      <c r="VD10" s="242">
        <f t="shared" si="190"/>
        <v>-319.59999999999997</v>
      </c>
      <c r="VE10" s="56"/>
      <c r="VH10" s="55">
        <f t="shared" si="191"/>
        <v>46027</v>
      </c>
      <c r="VI10" s="56"/>
      <c r="VJ10" s="242">
        <f>SUMPRODUCT(PRODUCE!$B9:$DY9,PRODUCE!$EB$57:$IY$57)</f>
        <v>0</v>
      </c>
      <c r="VK10" s="56"/>
      <c r="VL10" s="242">
        <f t="shared" si="192"/>
        <v>0</v>
      </c>
      <c r="VM10" s="242">
        <f t="shared" si="193"/>
        <v>0</v>
      </c>
      <c r="VN10" s="56"/>
      <c r="VQ10" s="55">
        <f t="shared" si="194"/>
        <v>46027</v>
      </c>
      <c r="VR10" s="56"/>
      <c r="VS10" s="242">
        <f>SUMPRODUCT(PRODUCE!$B9:$DY9,PRODUCE!$EB$57:$IY$57)</f>
        <v>0</v>
      </c>
      <c r="VT10" s="56"/>
      <c r="VU10" s="242">
        <f t="shared" si="195"/>
        <v>0</v>
      </c>
      <c r="VV10" s="242">
        <f t="shared" si="196"/>
        <v>0</v>
      </c>
      <c r="VW10" s="56"/>
      <c r="VZ10" s="55">
        <f t="shared" si="197"/>
        <v>46027</v>
      </c>
      <c r="WA10" s="56"/>
      <c r="WB10" s="242">
        <f>SUMPRODUCT(PRODUCE!$B9:$DY9,PRODUCE!$EB$57:$IY$57)</f>
        <v>0</v>
      </c>
      <c r="WC10" s="56"/>
      <c r="WD10" s="242">
        <f t="shared" si="198"/>
        <v>0</v>
      </c>
      <c r="WE10" s="242">
        <f t="shared" si="199"/>
        <v>0</v>
      </c>
      <c r="WF10" s="56"/>
      <c r="WI10" s="55">
        <f t="shared" si="200"/>
        <v>46027</v>
      </c>
      <c r="WJ10" s="56"/>
      <c r="WK10" s="242">
        <f>SUMPRODUCT(PRODUCE!$B9:$DY9,PRODUCE!$EB$57:$IY$57)</f>
        <v>0</v>
      </c>
      <c r="WL10" s="56"/>
      <c r="WM10" s="242">
        <f t="shared" si="201"/>
        <v>0</v>
      </c>
      <c r="WN10" s="242">
        <f t="shared" si="202"/>
        <v>5877</v>
      </c>
      <c r="WO10" s="56"/>
      <c r="WR10" s="55">
        <f t="shared" si="203"/>
        <v>46027</v>
      </c>
      <c r="WS10" s="56"/>
      <c r="WT10" s="242">
        <f>SUMPRODUCT(PRODUCE!$B9:$DY9,PRODUCE!$EB$57:$IY$57)</f>
        <v>0</v>
      </c>
      <c r="WU10" s="56"/>
      <c r="WV10" s="242">
        <f t="shared" si="204"/>
        <v>0</v>
      </c>
      <c r="WW10" s="242">
        <f t="shared" si="205"/>
        <v>5267</v>
      </c>
      <c r="WX10" s="56"/>
      <c r="XA10" s="55">
        <f t="shared" si="206"/>
        <v>46027</v>
      </c>
      <c r="XB10" s="56"/>
      <c r="XC10" s="242">
        <f>SUMPRODUCT(PRODUCE!$B9:$DY9,PRODUCE!$EB$57:$IY$57)</f>
        <v>0</v>
      </c>
      <c r="XD10" s="56"/>
      <c r="XE10" s="242">
        <f t="shared" si="207"/>
        <v>0</v>
      </c>
      <c r="XF10" s="242">
        <f t="shared" si="208"/>
        <v>2639</v>
      </c>
      <c r="XG10" s="56"/>
      <c r="XJ10" s="55">
        <f t="shared" si="209"/>
        <v>46027</v>
      </c>
      <c r="XK10" s="56"/>
      <c r="XL10" s="242">
        <f>SUMPRODUCT(PRODUCE!$B9:$DY9,PRODUCE!$EB$57:$IY$57)</f>
        <v>0</v>
      </c>
      <c r="XM10" s="56"/>
      <c r="XN10" s="242">
        <f t="shared" si="210"/>
        <v>0</v>
      </c>
      <c r="XO10" s="242">
        <f t="shared" si="211"/>
        <v>6772</v>
      </c>
      <c r="XP10" s="56"/>
      <c r="XS10" s="55">
        <f t="shared" si="212"/>
        <v>46027</v>
      </c>
      <c r="XT10" s="56"/>
      <c r="XU10" s="242">
        <f>SUMPRODUCT(PRODUCE!$B9:$DY9,PRODUCE!$EB$57:$IY$57)</f>
        <v>0</v>
      </c>
      <c r="XV10" s="56"/>
      <c r="XW10" s="242">
        <f t="shared" si="213"/>
        <v>0</v>
      </c>
      <c r="XX10" s="242">
        <f t="shared" si="214"/>
        <v>1901</v>
      </c>
      <c r="XY10" s="56"/>
      <c r="YB10" s="55">
        <f t="shared" si="215"/>
        <v>46027</v>
      </c>
      <c r="YC10" s="56"/>
      <c r="YD10" s="242">
        <f>SUMPRODUCT(PRODUCE!$B9:$DY9,PRODUCE!$EB$57:$IY$57)</f>
        <v>0</v>
      </c>
      <c r="YE10" s="56"/>
      <c r="YF10" s="242">
        <f t="shared" si="216"/>
        <v>0</v>
      </c>
      <c r="YG10" s="242">
        <f t="shared" si="217"/>
        <v>4175</v>
      </c>
      <c r="YH10" s="56"/>
      <c r="YK10" s="55">
        <f t="shared" si="218"/>
        <v>46027</v>
      </c>
      <c r="YL10" s="56"/>
      <c r="YM10" s="242">
        <f>SUMPRODUCT(PRODUCE!$B9:$DY9,PRODUCE!$EB$57:$IY$57)</f>
        <v>0</v>
      </c>
      <c r="YN10" s="56"/>
      <c r="YO10" s="242">
        <f t="shared" si="219"/>
        <v>0</v>
      </c>
      <c r="YP10" s="242">
        <f t="shared" si="220"/>
        <v>0</v>
      </c>
      <c r="YQ10" s="56"/>
      <c r="YT10" s="55">
        <f t="shared" si="221"/>
        <v>46027</v>
      </c>
      <c r="YU10" s="56"/>
      <c r="YV10" s="242">
        <f>SUMPRODUCT(PRODUCE!$B9:$DY9,PRODUCE!$EB$57:$IY$57)</f>
        <v>0</v>
      </c>
      <c r="YW10" s="56"/>
      <c r="YX10" s="242">
        <f t="shared" si="222"/>
        <v>0</v>
      </c>
      <c r="YY10" s="242">
        <f t="shared" si="223"/>
        <v>0</v>
      </c>
      <c r="YZ10" s="56"/>
      <c r="ZC10" s="55">
        <f t="shared" si="224"/>
        <v>46027</v>
      </c>
      <c r="ZD10" s="56"/>
      <c r="ZE10" s="242">
        <f>SUMPRODUCT(PRODUCE!$B9:$DY9,PRODUCE!$EB$57:$IY$57)</f>
        <v>0</v>
      </c>
      <c r="ZF10" s="56"/>
      <c r="ZG10" s="242">
        <f t="shared" si="225"/>
        <v>0</v>
      </c>
      <c r="ZH10" s="242">
        <f t="shared" si="226"/>
        <v>0</v>
      </c>
      <c r="ZI10" s="56"/>
      <c r="ZL10" s="55">
        <f t="shared" si="227"/>
        <v>46027</v>
      </c>
      <c r="ZM10" s="56"/>
      <c r="ZN10" s="242">
        <f>SUMPRODUCT(PRODUCE!$B9:$DY9,PRODUCE!$EB$57:$IY$57)</f>
        <v>0</v>
      </c>
      <c r="ZO10" s="56"/>
      <c r="ZP10" s="242">
        <f t="shared" si="228"/>
        <v>0</v>
      </c>
      <c r="ZQ10" s="242">
        <f t="shared" si="229"/>
        <v>0</v>
      </c>
      <c r="ZR10" s="56"/>
      <c r="ZU10" s="55">
        <f t="shared" si="230"/>
        <v>46027</v>
      </c>
      <c r="ZV10" s="56"/>
      <c r="ZW10" s="242">
        <f>SUMPRODUCT(PRODUCE!$B9:$DY9,PRODUCE!$EB$57:$IY$57)</f>
        <v>0</v>
      </c>
      <c r="ZX10" s="56"/>
      <c r="ZY10" s="242">
        <f t="shared" si="231"/>
        <v>0</v>
      </c>
      <c r="ZZ10" s="242">
        <f t="shared" si="232"/>
        <v>0</v>
      </c>
      <c r="AAA10" s="56"/>
      <c r="AAD10" s="55">
        <f t="shared" si="233"/>
        <v>46027</v>
      </c>
      <c r="AAE10" s="56"/>
      <c r="AAF10" s="242">
        <f>SUMPRODUCT(PRODUCE!$B9:$DY9,PRODUCE!$EB$57:$IY$57)</f>
        <v>0</v>
      </c>
      <c r="AAG10" s="56"/>
      <c r="AAH10" s="242">
        <f t="shared" si="234"/>
        <v>0</v>
      </c>
      <c r="AAI10" s="242">
        <f t="shared" si="235"/>
        <v>0</v>
      </c>
      <c r="AAJ10" s="56"/>
      <c r="AAM10" s="55">
        <f t="shared" si="236"/>
        <v>46027</v>
      </c>
      <c r="AAN10" s="56"/>
      <c r="AAO10" s="242">
        <f>SUMPRODUCT(PRODUCE!$B9:$DY9,PRODUCE!$EB$57:$IY$57)</f>
        <v>0</v>
      </c>
      <c r="AAP10" s="56"/>
      <c r="AAQ10" s="242">
        <f t="shared" si="237"/>
        <v>0</v>
      </c>
      <c r="AAR10" s="242">
        <f t="shared" si="238"/>
        <v>0</v>
      </c>
      <c r="AAS10" s="56"/>
      <c r="AAV10" s="55">
        <f t="shared" si="239"/>
        <v>46027</v>
      </c>
      <c r="AAW10" s="56"/>
      <c r="AAX10" s="242">
        <f>SUMPRODUCT(PRODUCE!$B9:$DY9,PRODUCE!$EB$57:$IY$57)</f>
        <v>0</v>
      </c>
      <c r="AAY10" s="56"/>
      <c r="AAZ10" s="242">
        <f t="shared" si="240"/>
        <v>0</v>
      </c>
      <c r="ABA10" s="242">
        <f t="shared" si="241"/>
        <v>0</v>
      </c>
      <c r="ABB10" s="56"/>
      <c r="ABE10" s="55">
        <f t="shared" si="242"/>
        <v>46027</v>
      </c>
      <c r="ABF10" s="56"/>
      <c r="ABG10" s="242">
        <f>SUMPRODUCT(PRODUCE!$B9:$DY9,PRODUCE!$EB$57:$IY$57)</f>
        <v>0</v>
      </c>
      <c r="ABH10" s="56"/>
      <c r="ABI10" s="242">
        <f t="shared" si="243"/>
        <v>0</v>
      </c>
      <c r="ABJ10" s="242">
        <f t="shared" si="244"/>
        <v>0</v>
      </c>
      <c r="ABK10" s="56"/>
    </row>
    <row r="11" spans="1:740" s="54" customFormat="1" ht="15" customHeight="1" outlineLevel="1">
      <c r="B11" s="478">
        <f>70+10</f>
        <v>80</v>
      </c>
      <c r="C11" s="55">
        <v>46028</v>
      </c>
      <c r="D11" s="422">
        <v>21800</v>
      </c>
      <c r="E11" s="423">
        <f>SUMPRODUCT(PRODUCE!$B10:$DY10,PRODUCE!$EB$7:$IY$7)</f>
        <v>43757.5</v>
      </c>
      <c r="F11" s="422">
        <v>43764.2</v>
      </c>
      <c r="G11" s="423">
        <f t="shared" si="2"/>
        <v>-6.6999999999970896</v>
      </c>
      <c r="H11" s="423">
        <f t="shared" si="0"/>
        <v>36979</v>
      </c>
      <c r="I11" s="289" t="s">
        <v>177</v>
      </c>
      <c r="L11" s="55">
        <f t="shared" si="1"/>
        <v>46028</v>
      </c>
      <c r="M11" s="422"/>
      <c r="N11" s="438">
        <f>SUMPRODUCT(PRODUCE!$B10:$DY10,PRODUCE!$EB$8:$IY$8)</f>
        <v>21547.499999999996</v>
      </c>
      <c r="O11" s="422">
        <v>21540.2</v>
      </c>
      <c r="P11" s="438">
        <f t="shared" si="3"/>
        <v>7.2999999999956344</v>
      </c>
      <c r="Q11" s="438">
        <f t="shared" si="4"/>
        <v>13322.400000000005</v>
      </c>
      <c r="R11" s="56"/>
      <c r="U11" s="55">
        <f t="shared" si="5"/>
        <v>46028</v>
      </c>
      <c r="V11" s="422"/>
      <c r="W11" s="440">
        <f>SUMPRODUCT(PRODUCE!$B10:$DY10,PRODUCE!$EB$9:$IY$9)</f>
        <v>3950</v>
      </c>
      <c r="X11" s="422">
        <v>3953.4</v>
      </c>
      <c r="Y11" s="440">
        <f t="shared" si="6"/>
        <v>-3.4000000000000909</v>
      </c>
      <c r="Z11" s="440">
        <f t="shared" si="7"/>
        <v>20317.499999999993</v>
      </c>
      <c r="AA11" s="56"/>
      <c r="AD11" s="55">
        <f t="shared" si="8"/>
        <v>46028</v>
      </c>
      <c r="AE11" s="422"/>
      <c r="AF11" s="442">
        <f>SUMPRODUCT(PRODUCE!$B10:$DY10,PRODUCE!$EB$10:$IY$10)</f>
        <v>3700</v>
      </c>
      <c r="AG11" s="422">
        <v>3702.2</v>
      </c>
      <c r="AH11" s="442">
        <f t="shared" si="9"/>
        <v>-2.1999999999998181</v>
      </c>
      <c r="AI11" s="442">
        <f t="shared" si="10"/>
        <v>17892.500000000011</v>
      </c>
      <c r="AJ11" s="56"/>
      <c r="AM11" s="55">
        <f t="shared" si="11"/>
        <v>46028</v>
      </c>
      <c r="AN11" s="422"/>
      <c r="AO11" s="444">
        <f>SUMPRODUCT(PRODUCE!$B10:$DY10,PRODUCE!$EB$11:$IY$11)</f>
        <v>0</v>
      </c>
      <c r="AP11" s="422"/>
      <c r="AQ11" s="444">
        <f t="shared" si="12"/>
        <v>0</v>
      </c>
      <c r="AR11" s="444">
        <f t="shared" si="13"/>
        <v>0</v>
      </c>
      <c r="AS11" s="56"/>
      <c r="AV11" s="55">
        <f t="shared" si="14"/>
        <v>46028</v>
      </c>
      <c r="AW11" s="422"/>
      <c r="AX11" s="446">
        <f>SUMPRODUCT(PRODUCE!$B10:$DY10,PRODUCE!$EB$12:$IY$12)</f>
        <v>1600</v>
      </c>
      <c r="AY11" s="422">
        <v>1599.3</v>
      </c>
      <c r="AZ11" s="446">
        <f t="shared" si="15"/>
        <v>0.70000000000004547</v>
      </c>
      <c r="BA11" s="446">
        <f t="shared" si="16"/>
        <v>22713.69999999999</v>
      </c>
      <c r="BB11" s="56"/>
      <c r="BE11" s="55">
        <f t="shared" si="17"/>
        <v>46028</v>
      </c>
      <c r="BF11" s="422">
        <v>22000</v>
      </c>
      <c r="BG11" s="448">
        <f>SUMPRODUCT(PRODUCE!$B10:$DY10,PRODUCE!$EB$13:$IY$13)</f>
        <v>1600</v>
      </c>
      <c r="BH11" s="422">
        <v>1600</v>
      </c>
      <c r="BI11" s="448">
        <f t="shared" si="18"/>
        <v>0</v>
      </c>
      <c r="BJ11" s="448">
        <f t="shared" si="19"/>
        <v>20742.300000000007</v>
      </c>
      <c r="BK11" s="56"/>
      <c r="BN11" s="55">
        <f t="shared" si="20"/>
        <v>46028</v>
      </c>
      <c r="BO11" s="422">
        <v>1550</v>
      </c>
      <c r="BP11" s="450">
        <f>SUMPRODUCT(PRODUCE!$B10:$DY10,PRODUCE!$EB$14:$IY$14)</f>
        <v>1550</v>
      </c>
      <c r="BQ11" s="422">
        <v>1550</v>
      </c>
      <c r="BR11" s="450">
        <f t="shared" si="21"/>
        <v>0</v>
      </c>
      <c r="BS11" s="450">
        <f t="shared" si="22"/>
        <v>0</v>
      </c>
      <c r="BT11" s="56"/>
      <c r="BW11" s="55">
        <f t="shared" si="23"/>
        <v>46028</v>
      </c>
      <c r="BX11" s="56"/>
      <c r="BY11" s="65">
        <f>SUMPRODUCT(PRODUCE!$B10:$DY10,PRODUCE!$EB$15:$IY$15)</f>
        <v>0</v>
      </c>
      <c r="BZ11" s="56"/>
      <c r="CA11" s="65">
        <f t="shared" si="24"/>
        <v>0</v>
      </c>
      <c r="CB11" s="65">
        <f t="shared" si="25"/>
        <v>512.5</v>
      </c>
      <c r="CC11" s="56"/>
      <c r="CF11" s="55">
        <f t="shared" si="26"/>
        <v>46028</v>
      </c>
      <c r="CG11" s="56"/>
      <c r="CH11" s="66">
        <f>SUMPRODUCT(PRODUCE!$B10:$DY10,PRODUCE!$EB$16:$IY$16)</f>
        <v>0</v>
      </c>
      <c r="CI11" s="56"/>
      <c r="CJ11" s="66">
        <f t="shared" si="27"/>
        <v>0</v>
      </c>
      <c r="CK11" s="66">
        <f t="shared" si="28"/>
        <v>0</v>
      </c>
      <c r="CL11" s="56"/>
      <c r="CO11" s="55">
        <f t="shared" si="29"/>
        <v>46028</v>
      </c>
      <c r="CP11" s="422"/>
      <c r="CQ11" s="470">
        <f>SUMPRODUCT(PRODUCE!$B10:$DY10,PRODUCE!$EB$17:$IY$17)</f>
        <v>0</v>
      </c>
      <c r="CR11" s="422"/>
      <c r="CS11" s="470">
        <f t="shared" si="30"/>
        <v>0</v>
      </c>
      <c r="CT11" s="470">
        <f t="shared" si="31"/>
        <v>0</v>
      </c>
      <c r="CU11" s="56"/>
      <c r="CX11" s="55">
        <f t="shared" si="32"/>
        <v>46028</v>
      </c>
      <c r="CY11" s="56"/>
      <c r="CZ11" s="133">
        <f>SUMPRODUCT(PRODUCE!$B10:$DY10,PRODUCE!$EB$18:$IY$18)</f>
        <v>0</v>
      </c>
      <c r="DA11" s="56"/>
      <c r="DB11" s="133">
        <f t="shared" si="33"/>
        <v>0</v>
      </c>
      <c r="DC11" s="133">
        <f t="shared" si="34"/>
        <v>0</v>
      </c>
      <c r="DD11" s="56"/>
      <c r="DG11" s="55">
        <f t="shared" si="35"/>
        <v>46028</v>
      </c>
      <c r="DH11" s="56"/>
      <c r="DI11" s="147">
        <f>SUMPRODUCT(PRODUCE!$B10:$DY10,PRODUCE!$EB$19:$IY$19)</f>
        <v>350</v>
      </c>
      <c r="DJ11" s="56">
        <v>351.8</v>
      </c>
      <c r="DK11" s="147">
        <f t="shared" si="36"/>
        <v>-1.8000000000000114</v>
      </c>
      <c r="DL11" s="147">
        <f t="shared" si="37"/>
        <v>26791.599999999999</v>
      </c>
      <c r="DM11" s="56"/>
      <c r="DP11" s="55">
        <f t="shared" si="38"/>
        <v>46028</v>
      </c>
      <c r="DQ11" s="56"/>
      <c r="DR11" s="57">
        <f>SUMPRODUCT(PRODUCE!$B10:$DY10,PRODUCE!$EB$20:$IY$20)</f>
        <v>0</v>
      </c>
      <c r="DS11" s="56"/>
      <c r="DT11" s="57">
        <f t="shared" si="39"/>
        <v>0</v>
      </c>
      <c r="DU11" s="57">
        <f t="shared" si="40"/>
        <v>0</v>
      </c>
      <c r="DV11" s="56"/>
      <c r="DY11" s="55">
        <f t="shared" si="41"/>
        <v>46028</v>
      </c>
      <c r="DZ11" s="56"/>
      <c r="EA11" s="157">
        <f>SUMPRODUCT(PRODUCE!$B10:$DY10,PRODUCE!$EB$21:$IY$21)</f>
        <v>0</v>
      </c>
      <c r="EB11" s="56"/>
      <c r="EC11" s="157">
        <f t="shared" si="42"/>
        <v>0</v>
      </c>
      <c r="ED11" s="157">
        <f t="shared" si="43"/>
        <v>0</v>
      </c>
      <c r="EE11" s="56"/>
      <c r="EH11" s="55">
        <f t="shared" si="44"/>
        <v>46028</v>
      </c>
      <c r="EI11" s="56"/>
      <c r="EJ11" s="162">
        <f>SUMPRODUCT(PRODUCE!$B10:$DY10,PRODUCE!$EB$22:$IY$22)</f>
        <v>0</v>
      </c>
      <c r="EK11" s="56"/>
      <c r="EL11" s="162">
        <f t="shared" si="45"/>
        <v>0</v>
      </c>
      <c r="EM11" s="162">
        <f t="shared" si="46"/>
        <v>0</v>
      </c>
      <c r="EN11" s="56"/>
      <c r="EQ11" s="55">
        <f t="shared" si="47"/>
        <v>46028</v>
      </c>
      <c r="ER11" s="56"/>
      <c r="ES11" s="135">
        <f>SUMPRODUCT(PRODUCE!$B10:$DY10,PRODUCE!$EB$23:$IY$23)</f>
        <v>0</v>
      </c>
      <c r="ET11" s="56"/>
      <c r="EU11" s="135">
        <f t="shared" si="48"/>
        <v>0</v>
      </c>
      <c r="EV11" s="135">
        <f t="shared" si="49"/>
        <v>0</v>
      </c>
      <c r="EW11" s="56"/>
      <c r="EZ11" s="55">
        <f t="shared" si="50"/>
        <v>46028</v>
      </c>
      <c r="FA11" s="56"/>
      <c r="FB11" s="175">
        <f>SUMPRODUCT(PRODUCE!$B10:$DY10,PRODUCE!$EB$24:$IY$24)</f>
        <v>0</v>
      </c>
      <c r="FC11" s="56"/>
      <c r="FD11" s="175">
        <f t="shared" si="51"/>
        <v>0</v>
      </c>
      <c r="FE11" s="175">
        <f t="shared" si="52"/>
        <v>0</v>
      </c>
      <c r="FF11" s="56"/>
      <c r="FI11" s="55">
        <f t="shared" si="53"/>
        <v>46028</v>
      </c>
      <c r="FJ11" s="56"/>
      <c r="FK11" s="183">
        <f>SUMPRODUCT(PRODUCE!$B10:$DY10,PRODUCE!$EB$25:$IY$25)</f>
        <v>0</v>
      </c>
      <c r="FL11" s="56"/>
      <c r="FM11" s="183">
        <f t="shared" si="54"/>
        <v>0</v>
      </c>
      <c r="FN11" s="183">
        <f t="shared" si="55"/>
        <v>0</v>
      </c>
      <c r="FO11" s="56"/>
      <c r="FR11" s="55">
        <f t="shared" si="56"/>
        <v>46028</v>
      </c>
      <c r="FS11" s="422"/>
      <c r="FT11" s="452">
        <f>SUMPRODUCT(PRODUCE!$B10:$DY10,PRODUCE!$EB$26:$IY$26)</f>
        <v>0</v>
      </c>
      <c r="FU11" s="422"/>
      <c r="FV11" s="452">
        <f t="shared" si="57"/>
        <v>0</v>
      </c>
      <c r="FW11" s="452">
        <f t="shared" si="58"/>
        <v>3540</v>
      </c>
      <c r="FX11" s="56"/>
      <c r="GA11" s="55">
        <f t="shared" si="59"/>
        <v>46028</v>
      </c>
      <c r="GB11" s="422"/>
      <c r="GC11" s="454">
        <f>SUMPRODUCT(PRODUCE!$B10:$DY10,PRODUCE!$EB$27:$IY$27)</f>
        <v>0</v>
      </c>
      <c r="GD11" s="422"/>
      <c r="GE11" s="454">
        <f t="shared" si="60"/>
        <v>0</v>
      </c>
      <c r="GF11" s="454">
        <f t="shared" si="61"/>
        <v>1960</v>
      </c>
      <c r="GG11" s="56"/>
      <c r="GI11" s="23"/>
      <c r="GJ11" s="55">
        <f t="shared" si="62"/>
        <v>46028</v>
      </c>
      <c r="GK11" s="422"/>
      <c r="GL11" s="456">
        <f>SUMPRODUCT(PRODUCE!$B10:$DY10,PRODUCE!$EB$28:$IY$28)</f>
        <v>0</v>
      </c>
      <c r="GM11" s="422"/>
      <c r="GN11" s="456">
        <f t="shared" si="63"/>
        <v>0</v>
      </c>
      <c r="GO11" s="456">
        <f t="shared" si="64"/>
        <v>560</v>
      </c>
      <c r="GP11" s="56"/>
      <c r="GS11" s="55">
        <f t="shared" si="65"/>
        <v>46028</v>
      </c>
      <c r="GT11" s="56"/>
      <c r="GU11" s="195">
        <f>SUMPRODUCT(PRODUCE!$B10:$DY10,PRODUCE!$EB$29:$IY$29)</f>
        <v>0</v>
      </c>
      <c r="GV11" s="56"/>
      <c r="GW11" s="195">
        <f t="shared" si="66"/>
        <v>0</v>
      </c>
      <c r="GX11" s="195">
        <f t="shared" si="67"/>
        <v>0</v>
      </c>
      <c r="GY11" s="56"/>
      <c r="HB11" s="55">
        <f t="shared" si="68"/>
        <v>46028</v>
      </c>
      <c r="HC11" s="56"/>
      <c r="HD11" s="191">
        <f>SUMPRODUCT(PRODUCE!$B10:$DY10,PRODUCE!$EB$30:$IY$30)</f>
        <v>0</v>
      </c>
      <c r="HE11" s="56"/>
      <c r="HF11" s="191">
        <f t="shared" si="69"/>
        <v>0</v>
      </c>
      <c r="HG11" s="191">
        <f t="shared" si="70"/>
        <v>0</v>
      </c>
      <c r="HH11" s="56"/>
      <c r="HK11" s="55">
        <f t="shared" si="71"/>
        <v>46028</v>
      </c>
      <c r="HL11" s="56"/>
      <c r="HM11" s="63">
        <f>SUMPRODUCT(PRODUCE!$B10:$DY10,PRODUCE!$EB$31:$IY$31)</f>
        <v>0</v>
      </c>
      <c r="HN11" s="56"/>
      <c r="HO11" s="63">
        <f t="shared" si="72"/>
        <v>0</v>
      </c>
      <c r="HP11" s="63">
        <f t="shared" si="73"/>
        <v>0</v>
      </c>
      <c r="HQ11" s="56"/>
      <c r="HU11" s="55">
        <f t="shared" si="74"/>
        <v>46028</v>
      </c>
      <c r="HV11" s="56"/>
      <c r="HW11" s="242">
        <f>SUMPRODUCT(PRODUCE!$B10:$DY10,PRODUCE!$EB$32:$IY$32)</f>
        <v>0</v>
      </c>
      <c r="HX11" s="56"/>
      <c r="HY11" s="242">
        <f t="shared" si="75"/>
        <v>0</v>
      </c>
      <c r="HZ11" s="242">
        <f t="shared" si="76"/>
        <v>3980</v>
      </c>
      <c r="IA11" s="56"/>
      <c r="ID11" s="55">
        <f t="shared" si="77"/>
        <v>46028</v>
      </c>
      <c r="IE11" s="56"/>
      <c r="IF11" s="242">
        <f>SUMPRODUCT(PRODUCE!$B10:$DY10,PRODUCE!$EB$33:$IY$33)</f>
        <v>0</v>
      </c>
      <c r="IG11" s="56"/>
      <c r="IH11" s="242">
        <f t="shared" si="78"/>
        <v>0</v>
      </c>
      <c r="II11" s="242">
        <f t="shared" si="79"/>
        <v>2960</v>
      </c>
      <c r="IJ11" s="56"/>
      <c r="IM11" s="55">
        <f t="shared" si="80"/>
        <v>46028</v>
      </c>
      <c r="IN11" s="56"/>
      <c r="IO11" s="242">
        <f>SUMPRODUCT(PRODUCE!$B10:$DY10,PRODUCE!$EB$34:$IY$34)</f>
        <v>1400</v>
      </c>
      <c r="IP11" s="56"/>
      <c r="IQ11" s="242">
        <f t="shared" si="81"/>
        <v>1400</v>
      </c>
      <c r="IR11" s="242">
        <f t="shared" si="82"/>
        <v>1240</v>
      </c>
      <c r="IS11" s="56"/>
      <c r="IV11" s="55">
        <f t="shared" si="83"/>
        <v>46028</v>
      </c>
      <c r="IW11" s="56"/>
      <c r="IX11" s="242">
        <f>SUMPRODUCT(PRODUCE!$B10:$DY10,PRODUCE!$EB$35:$IY$35)</f>
        <v>200</v>
      </c>
      <c r="IY11" s="56"/>
      <c r="IZ11" s="242">
        <f t="shared" si="84"/>
        <v>200</v>
      </c>
      <c r="JA11" s="242">
        <f t="shared" si="85"/>
        <v>3920</v>
      </c>
      <c r="JB11" s="56"/>
      <c r="JE11" s="55">
        <f t="shared" si="86"/>
        <v>46028</v>
      </c>
      <c r="JF11" s="56"/>
      <c r="JG11" s="242">
        <f>SUMPRODUCT(PRODUCE!$B10:$DY10,PRODUCE!$EB$36:$IY$36)</f>
        <v>0</v>
      </c>
      <c r="JH11" s="56"/>
      <c r="JI11" s="242">
        <f t="shared" si="87"/>
        <v>0</v>
      </c>
      <c r="JJ11" s="242">
        <f t="shared" si="88"/>
        <v>6800</v>
      </c>
      <c r="JK11" s="56"/>
      <c r="JN11" s="55">
        <f t="shared" si="89"/>
        <v>46028</v>
      </c>
      <c r="JO11" s="56"/>
      <c r="JP11" s="242">
        <f>SUMPRODUCT(PRODUCE!$B10:$DY10,PRODUCE!$EB$37:$IY$37)</f>
        <v>0</v>
      </c>
      <c r="JQ11" s="56"/>
      <c r="JR11" s="242">
        <f t="shared" si="90"/>
        <v>0</v>
      </c>
      <c r="JS11" s="242">
        <f t="shared" si="91"/>
        <v>4400</v>
      </c>
      <c r="JT11" s="56"/>
      <c r="JW11" s="55">
        <f t="shared" si="92"/>
        <v>46028</v>
      </c>
      <c r="JX11" s="56"/>
      <c r="JY11" s="242">
        <f>SUMPRODUCT(PRODUCE!$B10:$DY10,PRODUCE!$EB$38:$IY$38)</f>
        <v>0</v>
      </c>
      <c r="JZ11" s="56"/>
      <c r="KA11" s="242">
        <f t="shared" si="93"/>
        <v>0</v>
      </c>
      <c r="KB11" s="242">
        <f t="shared" si="94"/>
        <v>0</v>
      </c>
      <c r="KC11" s="56"/>
      <c r="KF11" s="55">
        <f t="shared" si="95"/>
        <v>46028</v>
      </c>
      <c r="KG11" s="56"/>
      <c r="KH11" s="242">
        <f>SUMPRODUCT(PRODUCE!$B10:$DY10,PRODUCE!$EB$39:$IY$39)</f>
        <v>0</v>
      </c>
      <c r="KI11" s="56"/>
      <c r="KJ11" s="242">
        <f t="shared" si="96"/>
        <v>0</v>
      </c>
      <c r="KK11" s="242">
        <f t="shared" si="97"/>
        <v>0</v>
      </c>
      <c r="KL11" s="56"/>
      <c r="KO11" s="55">
        <f t="shared" si="98"/>
        <v>46028</v>
      </c>
      <c r="KP11" s="56"/>
      <c r="KQ11" s="242">
        <f>SUMPRODUCT(PRODUCE!$B10:$DY10,PRODUCE!$EB$40:$IY$40)</f>
        <v>0</v>
      </c>
      <c r="KR11" s="56"/>
      <c r="KS11" s="242">
        <f t="shared" si="99"/>
        <v>0</v>
      </c>
      <c r="KT11" s="242">
        <f t="shared" si="100"/>
        <v>0</v>
      </c>
      <c r="KU11" s="56"/>
      <c r="KW11" s="23"/>
      <c r="KX11" s="55">
        <f t="shared" si="101"/>
        <v>46028</v>
      </c>
      <c r="KY11" s="56"/>
      <c r="KZ11" s="242">
        <f>SUMPRODUCT(PRODUCE!$B10:$DY10,PRODUCE!$EB$41:$IY$41)</f>
        <v>0</v>
      </c>
      <c r="LA11" s="56"/>
      <c r="LB11" s="242">
        <f t="shared" si="102"/>
        <v>0</v>
      </c>
      <c r="LC11" s="242">
        <f t="shared" si="103"/>
        <v>0</v>
      </c>
      <c r="LD11" s="56"/>
      <c r="LG11" s="55">
        <f t="shared" si="104"/>
        <v>46028</v>
      </c>
      <c r="LH11" s="56"/>
      <c r="LI11" s="242">
        <f>SUMPRODUCT(PRODUCE!$B10:$DY10,PRODUCE!$EB$42:$IY$42)</f>
        <v>0</v>
      </c>
      <c r="LJ11" s="56"/>
      <c r="LK11" s="242">
        <f t="shared" si="105"/>
        <v>0</v>
      </c>
      <c r="LL11" s="242">
        <f t="shared" si="106"/>
        <v>0</v>
      </c>
      <c r="LM11" s="56"/>
      <c r="LP11" s="55">
        <f t="shared" si="107"/>
        <v>46028</v>
      </c>
      <c r="LQ11" s="56"/>
      <c r="LR11" s="242">
        <f>SUMPRODUCT(PRODUCE!$B10:$DY10,PRODUCE!$EB$43:$IY$43)</f>
        <v>0</v>
      </c>
      <c r="LS11" s="56"/>
      <c r="LT11" s="242">
        <f t="shared" si="108"/>
        <v>0</v>
      </c>
      <c r="LU11" s="242">
        <f t="shared" si="109"/>
        <v>0</v>
      </c>
      <c r="LV11" s="56"/>
      <c r="LY11" s="55">
        <f t="shared" si="110"/>
        <v>46028</v>
      </c>
      <c r="LZ11" s="56"/>
      <c r="MA11" s="242">
        <f>SUMPRODUCT(PRODUCE!$B10:$DY10,PRODUCE!$EB$44:$IY$44)</f>
        <v>0</v>
      </c>
      <c r="MB11" s="56"/>
      <c r="MC11" s="242">
        <f t="shared" si="111"/>
        <v>0</v>
      </c>
      <c r="MD11" s="242">
        <f t="shared" si="112"/>
        <v>0</v>
      </c>
      <c r="ME11" s="56"/>
      <c r="MH11" s="55">
        <f t="shared" si="113"/>
        <v>46028</v>
      </c>
      <c r="MI11" s="56"/>
      <c r="MJ11" s="242">
        <f>SUMPRODUCT(PRODUCE!$B10:$DY10,PRODUCE!$EB$45:$IY$45)</f>
        <v>0</v>
      </c>
      <c r="MK11" s="56"/>
      <c r="ML11" s="242">
        <f t="shared" si="114"/>
        <v>0</v>
      </c>
      <c r="MM11" s="242">
        <f t="shared" si="115"/>
        <v>0</v>
      </c>
      <c r="MN11" s="56"/>
      <c r="MQ11" s="55">
        <f t="shared" si="116"/>
        <v>46028</v>
      </c>
      <c r="MR11" s="56"/>
      <c r="MS11" s="242">
        <f>SUMPRODUCT(PRODUCE!$B10:$DY10,PRODUCE!$EB$46:$IY$46)</f>
        <v>35</v>
      </c>
      <c r="MT11" s="56"/>
      <c r="MU11" s="242">
        <f t="shared" si="117"/>
        <v>35</v>
      </c>
      <c r="MV11" s="242">
        <f t="shared" si="118"/>
        <v>1371</v>
      </c>
      <c r="MW11" s="56"/>
      <c r="MZ11" s="55">
        <f t="shared" si="119"/>
        <v>46028</v>
      </c>
      <c r="NA11" s="56"/>
      <c r="NB11" s="242">
        <f>SUMPRODUCT(PRODUCE!$B10:$DY10,PRODUCE!$EB$47:$IY$47)</f>
        <v>240</v>
      </c>
      <c r="NC11" s="56"/>
      <c r="ND11" s="242">
        <f t="shared" si="120"/>
        <v>240</v>
      </c>
      <c r="NE11" s="242">
        <f t="shared" si="121"/>
        <v>0</v>
      </c>
      <c r="NF11" s="56"/>
      <c r="NI11" s="55">
        <f t="shared" si="122"/>
        <v>46028</v>
      </c>
      <c r="NJ11" s="56"/>
      <c r="NK11" s="242">
        <f>SUMPRODUCT(PRODUCE!$B10:$DY10,PRODUCE!$EB$48:$IY$48)</f>
        <v>0</v>
      </c>
      <c r="NL11" s="56"/>
      <c r="NM11" s="242">
        <f t="shared" si="123"/>
        <v>0</v>
      </c>
      <c r="NN11" s="242">
        <f t="shared" si="124"/>
        <v>0</v>
      </c>
      <c r="NO11" s="56"/>
      <c r="NR11" s="55">
        <f t="shared" si="125"/>
        <v>46028</v>
      </c>
      <c r="NS11" s="56"/>
      <c r="NT11" s="242">
        <f>SUMPRODUCT(PRODUCE!$B10:$DY10,PRODUCE!$EB$49:$IY$49)</f>
        <v>0</v>
      </c>
      <c r="NU11" s="56"/>
      <c r="NV11" s="242">
        <f t="shared" si="126"/>
        <v>0</v>
      </c>
      <c r="NW11" s="242">
        <f t="shared" si="127"/>
        <v>0</v>
      </c>
      <c r="NX11" s="56"/>
      <c r="OA11" s="55">
        <f t="shared" si="128"/>
        <v>46028</v>
      </c>
      <c r="OB11" s="56"/>
      <c r="OC11" s="242">
        <f>SUMPRODUCT(PRODUCE!$B10:$DY10,PRODUCE!$EB$50:$IY$50)</f>
        <v>70</v>
      </c>
      <c r="OD11" s="56"/>
      <c r="OE11" s="242">
        <f t="shared" si="129"/>
        <v>70</v>
      </c>
      <c r="OF11" s="242">
        <f t="shared" si="130"/>
        <v>335.2</v>
      </c>
      <c r="OG11" s="56"/>
      <c r="OJ11" s="55">
        <f t="shared" si="131"/>
        <v>46028</v>
      </c>
      <c r="OK11" s="56"/>
      <c r="OL11" s="242">
        <f>SUMPRODUCT(PRODUCE!$B10:$DY10,PRODUCE!$EB$51:$IY$51)</f>
        <v>0</v>
      </c>
      <c r="OM11" s="56"/>
      <c r="ON11" s="242">
        <f t="shared" si="132"/>
        <v>0</v>
      </c>
      <c r="OO11" s="242">
        <f t="shared" si="133"/>
        <v>0</v>
      </c>
      <c r="OP11" s="56"/>
      <c r="OS11" s="55">
        <f t="shared" si="134"/>
        <v>46028</v>
      </c>
      <c r="OT11" s="56"/>
      <c r="OU11" s="242">
        <f>SUMPRODUCT(PRODUCE!$B10:$DY10,PRODUCE!$EB$52:$IY$52)</f>
        <v>0</v>
      </c>
      <c r="OV11" s="56"/>
      <c r="OW11" s="242">
        <f t="shared" si="135"/>
        <v>0</v>
      </c>
      <c r="OX11" s="242">
        <f t="shared" si="136"/>
        <v>67</v>
      </c>
      <c r="OY11" s="56"/>
      <c r="PB11" s="55">
        <f t="shared" si="137"/>
        <v>46028</v>
      </c>
      <c r="PC11" s="56"/>
      <c r="PD11" s="242">
        <f>SUMPRODUCT(PRODUCE!$B10:$DY10,PRODUCE!$EB$53:$IY$53)</f>
        <v>0</v>
      </c>
      <c r="PE11" s="56"/>
      <c r="PF11" s="242">
        <f t="shared" si="138"/>
        <v>0</v>
      </c>
      <c r="PG11" s="242">
        <f t="shared" si="139"/>
        <v>0</v>
      </c>
      <c r="PH11" s="56"/>
      <c r="PK11" s="55">
        <f t="shared" si="140"/>
        <v>46028</v>
      </c>
      <c r="PL11" s="56"/>
      <c r="PM11" s="242">
        <f>SUMPRODUCT(PRODUCE!$B10:$DY10,PRODUCE!$EB$54:$IY$54)</f>
        <v>0</v>
      </c>
      <c r="PN11" s="56"/>
      <c r="PO11" s="242">
        <f t="shared" si="141"/>
        <v>0</v>
      </c>
      <c r="PP11" s="242">
        <f t="shared" si="142"/>
        <v>160</v>
      </c>
      <c r="PQ11" s="56"/>
      <c r="PT11" s="55">
        <f t="shared" si="143"/>
        <v>46028</v>
      </c>
      <c r="PU11" s="56"/>
      <c r="PV11" s="242">
        <f>SUMPRODUCT(PRODUCE!$B10:$DY10,PRODUCE!$EB$55:$IY$55)</f>
        <v>0</v>
      </c>
      <c r="PW11" s="56"/>
      <c r="PX11" s="242">
        <f t="shared" si="144"/>
        <v>0</v>
      </c>
      <c r="PY11" s="242">
        <f t="shared" si="145"/>
        <v>13.960000000000036</v>
      </c>
      <c r="PZ11" s="56"/>
      <c r="QC11" s="55">
        <f t="shared" si="146"/>
        <v>46028</v>
      </c>
      <c r="QD11" s="56"/>
      <c r="QE11" s="242">
        <f>SUMPRODUCT(PRODUCE!$B10:$DY10,PRODUCE!$EB$56:$IY$56)</f>
        <v>0</v>
      </c>
      <c r="QF11" s="56"/>
      <c r="QG11" s="242">
        <f t="shared" si="147"/>
        <v>0</v>
      </c>
      <c r="QH11" s="242">
        <f t="shared" si="148"/>
        <v>0</v>
      </c>
      <c r="QI11" s="56"/>
      <c r="QL11" s="55">
        <f t="shared" si="149"/>
        <v>46028</v>
      </c>
      <c r="QM11" s="56"/>
      <c r="QN11" s="242">
        <f>SUMPRODUCT(PRODUCE!$B10:$DY10,PRODUCE!$EB$57:$IY$57)</f>
        <v>0</v>
      </c>
      <c r="QO11" s="56"/>
      <c r="QP11" s="242">
        <f t="shared" si="150"/>
        <v>0</v>
      </c>
      <c r="QQ11" s="242">
        <f t="shared" si="151"/>
        <v>0</v>
      </c>
      <c r="QR11" s="56"/>
      <c r="QU11" s="55">
        <f t="shared" si="152"/>
        <v>46028</v>
      </c>
      <c r="QV11" s="56"/>
      <c r="QW11" s="242">
        <f>SUMPRODUCT(PRODUCE!$B10:$DY10,PRODUCE!$EB$57:$IY$57)</f>
        <v>0</v>
      </c>
      <c r="QX11" s="56"/>
      <c r="QY11" s="242">
        <f t="shared" si="153"/>
        <v>0</v>
      </c>
      <c r="QZ11" s="242">
        <f t="shared" si="154"/>
        <v>207.6</v>
      </c>
      <c r="RA11" s="56"/>
      <c r="RD11" s="55">
        <f t="shared" si="155"/>
        <v>46028</v>
      </c>
      <c r="RE11" s="56"/>
      <c r="RF11" s="242">
        <f>SUMPRODUCT(PRODUCE!$B10:$DY10,PRODUCE!$EB$58:$IY$58)</f>
        <v>0</v>
      </c>
      <c r="RG11" s="56"/>
      <c r="RH11" s="242">
        <f t="shared" si="156"/>
        <v>0</v>
      </c>
      <c r="RI11" s="242">
        <f t="shared" si="157"/>
        <v>201.8</v>
      </c>
      <c r="RJ11" s="56"/>
      <c r="RM11" s="55">
        <f t="shared" si="158"/>
        <v>46028</v>
      </c>
      <c r="RN11" s="56"/>
      <c r="RO11" s="242">
        <f>SUMPRODUCT(PRODUCE!$B10:$DY10,PRODUCE!$EB$59:$IY$59)</f>
        <v>0</v>
      </c>
      <c r="RP11" s="56"/>
      <c r="RQ11" s="242">
        <f t="shared" si="159"/>
        <v>0</v>
      </c>
      <c r="RR11" s="242">
        <f t="shared" si="160"/>
        <v>22.720000000000002</v>
      </c>
      <c r="RS11" s="56"/>
      <c r="RV11" s="55">
        <f t="shared" si="161"/>
        <v>46028</v>
      </c>
      <c r="RW11" s="56"/>
      <c r="RX11" s="242">
        <f>SUMPRODUCT(PRODUCE!$B10:$DY10,PRODUCE!$EB$57:$IY$57)</f>
        <v>0</v>
      </c>
      <c r="RY11" s="56"/>
      <c r="RZ11" s="242">
        <f t="shared" si="162"/>
        <v>0</v>
      </c>
      <c r="SA11" s="242">
        <f t="shared" si="163"/>
        <v>0</v>
      </c>
      <c r="SB11" s="56"/>
      <c r="SE11" s="55">
        <f t="shared" si="164"/>
        <v>46028</v>
      </c>
      <c r="SF11" s="56"/>
      <c r="SG11" s="242">
        <f>SUMPRODUCT(PRODUCE!$B10:$DY10,PRODUCE!$EB$61:$IY$61)</f>
        <v>0</v>
      </c>
      <c r="SH11" s="56"/>
      <c r="SI11" s="242">
        <f t="shared" si="165"/>
        <v>0</v>
      </c>
      <c r="SJ11" s="242">
        <f t="shared" si="166"/>
        <v>0</v>
      </c>
      <c r="SK11" s="56"/>
      <c r="SN11" s="55">
        <f t="shared" si="167"/>
        <v>46028</v>
      </c>
      <c r="SO11" s="56"/>
      <c r="SP11" s="242">
        <f>SUMPRODUCT(PRODUCE!$B10:$DY10,PRODUCE!$EB$57:$IY$57)</f>
        <v>0</v>
      </c>
      <c r="SQ11" s="56"/>
      <c r="SR11" s="242">
        <f t="shared" si="168"/>
        <v>0</v>
      </c>
      <c r="SS11" s="242">
        <f t="shared" si="169"/>
        <v>0</v>
      </c>
      <c r="ST11" s="56"/>
      <c r="SW11" s="55">
        <f t="shared" si="170"/>
        <v>46028</v>
      </c>
      <c r="SX11" s="56"/>
      <c r="SY11" s="242">
        <f>SUMPRODUCT(PRODUCE!$B10:$DY10,PRODUCE!$EB$57:$IY$57)</f>
        <v>0</v>
      </c>
      <c r="SZ11" s="56"/>
      <c r="TA11" s="242">
        <f t="shared" si="171"/>
        <v>0</v>
      </c>
      <c r="TB11" s="242">
        <f t="shared" si="172"/>
        <v>0</v>
      </c>
      <c r="TC11" s="56"/>
      <c r="TF11" s="55">
        <f t="shared" si="173"/>
        <v>46028</v>
      </c>
      <c r="TG11" s="56"/>
      <c r="TH11" s="242">
        <f>SUMPRODUCT(PRODUCE!$B10:$DY10,PRODUCE!$EB$57:$IY$57)</f>
        <v>0</v>
      </c>
      <c r="TI11" s="56"/>
      <c r="TJ11" s="242">
        <f t="shared" si="174"/>
        <v>0</v>
      </c>
      <c r="TK11" s="242">
        <f t="shared" si="175"/>
        <v>0</v>
      </c>
      <c r="TL11" s="56"/>
      <c r="TO11" s="55">
        <f t="shared" si="176"/>
        <v>46028</v>
      </c>
      <c r="TP11" s="56"/>
      <c r="TQ11" s="242">
        <f>SUMPRODUCT(PRODUCE!$B10:$DY10,PRODUCE!$EB$57:$IY$57)</f>
        <v>0</v>
      </c>
      <c r="TR11" s="56"/>
      <c r="TS11" s="242">
        <f t="shared" si="177"/>
        <v>0</v>
      </c>
      <c r="TT11" s="242">
        <f t="shared" si="178"/>
        <v>0</v>
      </c>
      <c r="TU11" s="56"/>
      <c r="TX11" s="55">
        <f t="shared" si="179"/>
        <v>46028</v>
      </c>
      <c r="TY11" s="56"/>
      <c r="TZ11" s="242">
        <f>SUMPRODUCT(PRODUCE!$B10:$DY10,PRODUCE!$EB$57:$IY$57)</f>
        <v>0</v>
      </c>
      <c r="UA11" s="56"/>
      <c r="UB11" s="242">
        <f t="shared" si="180"/>
        <v>0</v>
      </c>
      <c r="UC11" s="242">
        <f t="shared" si="181"/>
        <v>0</v>
      </c>
      <c r="UD11" s="56"/>
      <c r="UG11" s="55">
        <f t="shared" si="182"/>
        <v>46028</v>
      </c>
      <c r="UH11" s="56"/>
      <c r="UI11" s="242">
        <f>SUMPRODUCT(PRODUCE!$B10:$DY10,PRODUCE!$EB$57:$IY$57)</f>
        <v>0</v>
      </c>
      <c r="UJ11" s="56"/>
      <c r="UK11" s="242">
        <f t="shared" si="183"/>
        <v>0</v>
      </c>
      <c r="UL11" s="242">
        <f t="shared" si="184"/>
        <v>0</v>
      </c>
      <c r="UM11" s="56"/>
      <c r="UP11" s="55">
        <f t="shared" si="185"/>
        <v>46028</v>
      </c>
      <c r="UQ11" s="56"/>
      <c r="UR11" s="242">
        <f>SUMPRODUCT(PRODUCE!$B10:$DY10,PRODUCE!$EB$57:$IY$57)</f>
        <v>0</v>
      </c>
      <c r="US11" s="56"/>
      <c r="UT11" s="242">
        <f t="shared" si="186"/>
        <v>0</v>
      </c>
      <c r="UU11" s="242">
        <f t="shared" si="187"/>
        <v>0</v>
      </c>
      <c r="UV11" s="56"/>
      <c r="UY11" s="55">
        <f t="shared" si="188"/>
        <v>46028</v>
      </c>
      <c r="UZ11" s="56"/>
      <c r="VA11" s="242">
        <f>SUMPRODUCT(PRODUCE!$B10:$DY10,PRODUCE!$EB$57:$IY$57)</f>
        <v>0</v>
      </c>
      <c r="VB11" s="56"/>
      <c r="VC11" s="242">
        <f t="shared" si="189"/>
        <v>0</v>
      </c>
      <c r="VD11" s="242">
        <f t="shared" si="190"/>
        <v>-319.59999999999997</v>
      </c>
      <c r="VE11" s="56"/>
      <c r="VH11" s="55">
        <f t="shared" si="191"/>
        <v>46028</v>
      </c>
      <c r="VI11" s="56"/>
      <c r="VJ11" s="242">
        <f>SUMPRODUCT(PRODUCE!$B10:$DY10,PRODUCE!$EB$57:$IY$57)</f>
        <v>0</v>
      </c>
      <c r="VK11" s="56"/>
      <c r="VL11" s="242">
        <f t="shared" si="192"/>
        <v>0</v>
      </c>
      <c r="VM11" s="242">
        <f t="shared" si="193"/>
        <v>0</v>
      </c>
      <c r="VN11" s="56"/>
      <c r="VQ11" s="55">
        <f t="shared" si="194"/>
        <v>46028</v>
      </c>
      <c r="VR11" s="56"/>
      <c r="VS11" s="242">
        <f>SUMPRODUCT(PRODUCE!$B10:$DY10,PRODUCE!$EB$57:$IY$57)</f>
        <v>0</v>
      </c>
      <c r="VT11" s="56"/>
      <c r="VU11" s="242">
        <f t="shared" si="195"/>
        <v>0</v>
      </c>
      <c r="VV11" s="242">
        <f t="shared" si="196"/>
        <v>0</v>
      </c>
      <c r="VW11" s="56"/>
      <c r="VZ11" s="55">
        <f t="shared" si="197"/>
        <v>46028</v>
      </c>
      <c r="WA11" s="56"/>
      <c r="WB11" s="242">
        <f>SUMPRODUCT(PRODUCE!$B10:$DY10,PRODUCE!$EB$57:$IY$57)</f>
        <v>0</v>
      </c>
      <c r="WC11" s="56"/>
      <c r="WD11" s="242">
        <f t="shared" si="198"/>
        <v>0</v>
      </c>
      <c r="WE11" s="242">
        <f t="shared" si="199"/>
        <v>0</v>
      </c>
      <c r="WF11" s="56"/>
      <c r="WI11" s="55">
        <f t="shared" si="200"/>
        <v>46028</v>
      </c>
      <c r="WJ11" s="56"/>
      <c r="WK11" s="242">
        <f>SUMPRODUCT(PRODUCE!$B10:$DY10,PRODUCE!$EB$57:$IY$57)</f>
        <v>0</v>
      </c>
      <c r="WL11" s="56"/>
      <c r="WM11" s="242">
        <f t="shared" si="201"/>
        <v>0</v>
      </c>
      <c r="WN11" s="242">
        <f t="shared" si="202"/>
        <v>5877</v>
      </c>
      <c r="WO11" s="56"/>
      <c r="WR11" s="55">
        <f t="shared" si="203"/>
        <v>46028</v>
      </c>
      <c r="WS11" s="56"/>
      <c r="WT11" s="242">
        <f>SUMPRODUCT(PRODUCE!$B10:$DY10,PRODUCE!$EB$57:$IY$57)</f>
        <v>0</v>
      </c>
      <c r="WU11" s="56"/>
      <c r="WV11" s="242">
        <f t="shared" si="204"/>
        <v>0</v>
      </c>
      <c r="WW11" s="242">
        <f t="shared" si="205"/>
        <v>5267</v>
      </c>
      <c r="WX11" s="56"/>
      <c r="XA11" s="55">
        <f t="shared" si="206"/>
        <v>46028</v>
      </c>
      <c r="XB11" s="56"/>
      <c r="XC11" s="242">
        <f>SUMPRODUCT(PRODUCE!$B10:$DY10,PRODUCE!$EB$57:$IY$57)</f>
        <v>0</v>
      </c>
      <c r="XD11" s="56"/>
      <c r="XE11" s="242">
        <f t="shared" si="207"/>
        <v>0</v>
      </c>
      <c r="XF11" s="242">
        <f t="shared" si="208"/>
        <v>2639</v>
      </c>
      <c r="XG11" s="56"/>
      <c r="XJ11" s="55">
        <f t="shared" si="209"/>
        <v>46028</v>
      </c>
      <c r="XK11" s="56"/>
      <c r="XL11" s="242">
        <f>SUMPRODUCT(PRODUCE!$B10:$DY10,PRODUCE!$EB$57:$IY$57)</f>
        <v>0</v>
      </c>
      <c r="XM11" s="56"/>
      <c r="XN11" s="242">
        <f t="shared" si="210"/>
        <v>0</v>
      </c>
      <c r="XO11" s="242">
        <f t="shared" si="211"/>
        <v>6772</v>
      </c>
      <c r="XP11" s="56"/>
      <c r="XS11" s="55">
        <f t="shared" si="212"/>
        <v>46028</v>
      </c>
      <c r="XT11" s="56"/>
      <c r="XU11" s="242">
        <f>SUMPRODUCT(PRODUCE!$B10:$DY10,PRODUCE!$EB$57:$IY$57)</f>
        <v>0</v>
      </c>
      <c r="XV11" s="56"/>
      <c r="XW11" s="242">
        <f t="shared" si="213"/>
        <v>0</v>
      </c>
      <c r="XX11" s="242">
        <f t="shared" si="214"/>
        <v>1901</v>
      </c>
      <c r="XY11" s="56"/>
      <c r="YB11" s="55">
        <f t="shared" si="215"/>
        <v>46028</v>
      </c>
      <c r="YC11" s="56"/>
      <c r="YD11" s="242">
        <f>SUMPRODUCT(PRODUCE!$B10:$DY10,PRODUCE!$EB$57:$IY$57)</f>
        <v>0</v>
      </c>
      <c r="YE11" s="56"/>
      <c r="YF11" s="242">
        <f t="shared" si="216"/>
        <v>0</v>
      </c>
      <c r="YG11" s="242">
        <f t="shared" si="217"/>
        <v>4175</v>
      </c>
      <c r="YH11" s="56"/>
      <c r="YK11" s="55">
        <f t="shared" si="218"/>
        <v>46028</v>
      </c>
      <c r="YL11" s="56"/>
      <c r="YM11" s="242">
        <f>SUMPRODUCT(PRODUCE!$B10:$DY10,PRODUCE!$EB$57:$IY$57)</f>
        <v>0</v>
      </c>
      <c r="YN11" s="56"/>
      <c r="YO11" s="242">
        <f t="shared" si="219"/>
        <v>0</v>
      </c>
      <c r="YP11" s="242">
        <f t="shared" si="220"/>
        <v>0</v>
      </c>
      <c r="YQ11" s="56"/>
      <c r="YT11" s="55">
        <f t="shared" si="221"/>
        <v>46028</v>
      </c>
      <c r="YU11" s="56"/>
      <c r="YV11" s="242">
        <f>SUMPRODUCT(PRODUCE!$B10:$DY10,PRODUCE!$EB$57:$IY$57)</f>
        <v>0</v>
      </c>
      <c r="YW11" s="56"/>
      <c r="YX11" s="242">
        <f t="shared" si="222"/>
        <v>0</v>
      </c>
      <c r="YY11" s="242">
        <f t="shared" si="223"/>
        <v>0</v>
      </c>
      <c r="YZ11" s="56"/>
      <c r="ZC11" s="55">
        <f t="shared" si="224"/>
        <v>46028</v>
      </c>
      <c r="ZD11" s="56"/>
      <c r="ZE11" s="242">
        <f>SUMPRODUCT(PRODUCE!$B10:$DY10,PRODUCE!$EB$57:$IY$57)</f>
        <v>0</v>
      </c>
      <c r="ZF11" s="56"/>
      <c r="ZG11" s="242">
        <f t="shared" si="225"/>
        <v>0</v>
      </c>
      <c r="ZH11" s="242">
        <f t="shared" si="226"/>
        <v>0</v>
      </c>
      <c r="ZI11" s="56"/>
      <c r="ZL11" s="55">
        <f t="shared" si="227"/>
        <v>46028</v>
      </c>
      <c r="ZM11" s="56"/>
      <c r="ZN11" s="242">
        <f>SUMPRODUCT(PRODUCE!$B10:$DY10,PRODUCE!$EB$57:$IY$57)</f>
        <v>0</v>
      </c>
      <c r="ZO11" s="56"/>
      <c r="ZP11" s="242">
        <f t="shared" si="228"/>
        <v>0</v>
      </c>
      <c r="ZQ11" s="242">
        <f t="shared" si="229"/>
        <v>0</v>
      </c>
      <c r="ZR11" s="56"/>
      <c r="ZU11" s="55">
        <f t="shared" si="230"/>
        <v>46028</v>
      </c>
      <c r="ZV11" s="56"/>
      <c r="ZW11" s="242">
        <f>SUMPRODUCT(PRODUCE!$B10:$DY10,PRODUCE!$EB$57:$IY$57)</f>
        <v>0</v>
      </c>
      <c r="ZX11" s="56"/>
      <c r="ZY11" s="242">
        <f t="shared" si="231"/>
        <v>0</v>
      </c>
      <c r="ZZ11" s="242">
        <f t="shared" si="232"/>
        <v>0</v>
      </c>
      <c r="AAA11" s="56"/>
      <c r="AAD11" s="55">
        <f t="shared" si="233"/>
        <v>46028</v>
      </c>
      <c r="AAE11" s="56"/>
      <c r="AAF11" s="242">
        <f>SUMPRODUCT(PRODUCE!$B10:$DY10,PRODUCE!$EB$57:$IY$57)</f>
        <v>0</v>
      </c>
      <c r="AAG11" s="56"/>
      <c r="AAH11" s="242">
        <f t="shared" si="234"/>
        <v>0</v>
      </c>
      <c r="AAI11" s="242">
        <f t="shared" si="235"/>
        <v>0</v>
      </c>
      <c r="AAJ11" s="56"/>
      <c r="AAM11" s="55">
        <f t="shared" si="236"/>
        <v>46028</v>
      </c>
      <c r="AAN11" s="56"/>
      <c r="AAO11" s="242">
        <f>SUMPRODUCT(PRODUCE!$B10:$DY10,PRODUCE!$EB$57:$IY$57)</f>
        <v>0</v>
      </c>
      <c r="AAP11" s="56"/>
      <c r="AAQ11" s="242">
        <f t="shared" si="237"/>
        <v>0</v>
      </c>
      <c r="AAR11" s="242">
        <f t="shared" si="238"/>
        <v>0</v>
      </c>
      <c r="AAS11" s="56"/>
      <c r="AAV11" s="55">
        <f t="shared" si="239"/>
        <v>46028</v>
      </c>
      <c r="AAW11" s="56"/>
      <c r="AAX11" s="242">
        <f>SUMPRODUCT(PRODUCE!$B10:$DY10,PRODUCE!$EB$57:$IY$57)</f>
        <v>0</v>
      </c>
      <c r="AAY11" s="56"/>
      <c r="AAZ11" s="242">
        <f t="shared" si="240"/>
        <v>0</v>
      </c>
      <c r="ABA11" s="242">
        <f t="shared" si="241"/>
        <v>0</v>
      </c>
      <c r="ABB11" s="56"/>
      <c r="ABE11" s="55">
        <f t="shared" si="242"/>
        <v>46028</v>
      </c>
      <c r="ABF11" s="56"/>
      <c r="ABG11" s="242">
        <f>SUMPRODUCT(PRODUCE!$B10:$DY10,PRODUCE!$EB$57:$IY$57)</f>
        <v>0</v>
      </c>
      <c r="ABH11" s="56"/>
      <c r="ABI11" s="242">
        <f t="shared" si="243"/>
        <v>0</v>
      </c>
      <c r="ABJ11" s="242">
        <f t="shared" si="244"/>
        <v>0</v>
      </c>
      <c r="ABK11" s="56"/>
    </row>
    <row r="12" spans="1:740" s="54" customFormat="1" ht="15" customHeight="1" outlineLevel="1">
      <c r="B12" s="478">
        <f>50+20+10</f>
        <v>80</v>
      </c>
      <c r="C12" s="55">
        <v>46029</v>
      </c>
      <c r="D12" s="422">
        <v>44960</v>
      </c>
      <c r="E12" s="423">
        <f>SUMPRODUCT(PRODUCE!$B11:$DY11,PRODUCE!$EB$7:$IY$7)</f>
        <v>45505</v>
      </c>
      <c r="F12" s="422">
        <v>45501</v>
      </c>
      <c r="G12" s="423">
        <f t="shared" si="2"/>
        <v>4</v>
      </c>
      <c r="H12" s="423">
        <f t="shared" si="0"/>
        <v>36438</v>
      </c>
      <c r="I12" s="289" t="s">
        <v>178</v>
      </c>
      <c r="L12" s="55">
        <f t="shared" si="1"/>
        <v>46029</v>
      </c>
      <c r="M12" s="422"/>
      <c r="N12" s="438">
        <f>SUMPRODUCT(PRODUCE!$B11:$DY11,PRODUCE!$EB$8:$IY$8)</f>
        <v>19349.999999999996</v>
      </c>
      <c r="O12" s="422">
        <v>19348.599999999999</v>
      </c>
      <c r="P12" s="438">
        <f t="shared" si="3"/>
        <v>1.3999999999978172</v>
      </c>
      <c r="Q12" s="438">
        <f t="shared" si="4"/>
        <v>-6026.1999999999935</v>
      </c>
      <c r="R12" s="56"/>
      <c r="U12" s="55">
        <f t="shared" si="5"/>
        <v>46029</v>
      </c>
      <c r="V12" s="422"/>
      <c r="W12" s="440">
        <f>SUMPRODUCT(PRODUCE!$B11:$DY11,PRODUCE!$EB$9:$IY$9)</f>
        <v>4200</v>
      </c>
      <c r="X12" s="422">
        <v>4200.7</v>
      </c>
      <c r="Y12" s="440">
        <f t="shared" si="6"/>
        <v>-0.6999999999998181</v>
      </c>
      <c r="Z12" s="440">
        <f t="shared" si="7"/>
        <v>16116.799999999992</v>
      </c>
      <c r="AA12" s="56"/>
      <c r="AD12" s="55">
        <f t="shared" si="8"/>
        <v>46029</v>
      </c>
      <c r="AE12" s="422"/>
      <c r="AF12" s="442">
        <f>SUMPRODUCT(PRODUCE!$B11:$DY11,PRODUCE!$EB$10:$IY$10)</f>
        <v>3600</v>
      </c>
      <c r="AG12" s="422">
        <v>3600.9</v>
      </c>
      <c r="AH12" s="442">
        <f t="shared" si="9"/>
        <v>-0.90000000000009095</v>
      </c>
      <c r="AI12" s="442">
        <f t="shared" si="10"/>
        <v>14291.600000000011</v>
      </c>
      <c r="AJ12" s="56"/>
      <c r="AM12" s="55">
        <f t="shared" si="11"/>
        <v>46029</v>
      </c>
      <c r="AN12" s="422"/>
      <c r="AO12" s="444">
        <f>SUMPRODUCT(PRODUCE!$B11:$DY11,PRODUCE!$EB$11:$IY$11)</f>
        <v>0</v>
      </c>
      <c r="AP12" s="422"/>
      <c r="AQ12" s="444">
        <f t="shared" si="12"/>
        <v>0</v>
      </c>
      <c r="AR12" s="444">
        <f t="shared" si="13"/>
        <v>0</v>
      </c>
      <c r="AS12" s="56"/>
      <c r="AV12" s="55">
        <f t="shared" si="14"/>
        <v>46029</v>
      </c>
      <c r="AW12" s="422"/>
      <c r="AX12" s="446">
        <f>SUMPRODUCT(PRODUCE!$B11:$DY11,PRODUCE!$EB$12:$IY$12)</f>
        <v>1555</v>
      </c>
      <c r="AY12" s="422">
        <v>1556.6</v>
      </c>
      <c r="AZ12" s="446">
        <f t="shared" si="15"/>
        <v>-1.5999999999999091</v>
      </c>
      <c r="BA12" s="446">
        <f t="shared" si="16"/>
        <v>21157.099999999991</v>
      </c>
      <c r="BB12" s="56"/>
      <c r="BE12" s="55">
        <f t="shared" si="17"/>
        <v>46029</v>
      </c>
      <c r="BF12" s="422"/>
      <c r="BG12" s="448">
        <f>SUMPRODUCT(PRODUCE!$B11:$DY11,PRODUCE!$EB$13:$IY$13)</f>
        <v>1650</v>
      </c>
      <c r="BH12" s="422">
        <v>1654.3</v>
      </c>
      <c r="BI12" s="448">
        <f t="shared" si="18"/>
        <v>-4.2999999999999545</v>
      </c>
      <c r="BJ12" s="448">
        <f t="shared" si="19"/>
        <v>19088.000000000007</v>
      </c>
      <c r="BK12" s="56"/>
      <c r="BN12" s="55">
        <f t="shared" si="20"/>
        <v>46029</v>
      </c>
      <c r="BO12" s="422">
        <v>1550</v>
      </c>
      <c r="BP12" s="450">
        <f>SUMPRODUCT(PRODUCE!$B11:$DY11,PRODUCE!$EB$14:$IY$14)</f>
        <v>1550</v>
      </c>
      <c r="BQ12" s="422">
        <v>1550</v>
      </c>
      <c r="BR12" s="450">
        <f t="shared" si="21"/>
        <v>0</v>
      </c>
      <c r="BS12" s="450">
        <f t="shared" si="22"/>
        <v>0</v>
      </c>
      <c r="BT12" s="56"/>
      <c r="BW12" s="55">
        <f t="shared" si="23"/>
        <v>46029</v>
      </c>
      <c r="BX12" s="56">
        <v>3000</v>
      </c>
      <c r="BY12" s="65">
        <f>SUMPRODUCT(PRODUCE!$B11:$DY11,PRODUCE!$EB$15:$IY$15)</f>
        <v>0</v>
      </c>
      <c r="BZ12" s="56"/>
      <c r="CA12" s="65">
        <f t="shared" si="24"/>
        <v>0</v>
      </c>
      <c r="CB12" s="65">
        <f t="shared" si="25"/>
        <v>3512.5</v>
      </c>
      <c r="CC12" s="56"/>
      <c r="CF12" s="55">
        <f t="shared" si="26"/>
        <v>46029</v>
      </c>
      <c r="CG12" s="56"/>
      <c r="CH12" s="66">
        <f>SUMPRODUCT(PRODUCE!$B11:$DY11,PRODUCE!$EB$16:$IY$16)</f>
        <v>0</v>
      </c>
      <c r="CI12" s="56"/>
      <c r="CJ12" s="66">
        <f t="shared" si="27"/>
        <v>0</v>
      </c>
      <c r="CK12" s="66">
        <f t="shared" si="28"/>
        <v>0</v>
      </c>
      <c r="CL12" s="56"/>
      <c r="CO12" s="55">
        <f t="shared" si="29"/>
        <v>46029</v>
      </c>
      <c r="CP12" s="422"/>
      <c r="CQ12" s="470">
        <f>SUMPRODUCT(PRODUCE!$B11:$DY11,PRODUCE!$EB$17:$IY$17)</f>
        <v>0</v>
      </c>
      <c r="CR12" s="422"/>
      <c r="CS12" s="470">
        <f t="shared" si="30"/>
        <v>0</v>
      </c>
      <c r="CT12" s="470">
        <f t="shared" si="31"/>
        <v>0</v>
      </c>
      <c r="CU12" s="56"/>
      <c r="CX12" s="55">
        <f t="shared" si="32"/>
        <v>46029</v>
      </c>
      <c r="CY12" s="56"/>
      <c r="CZ12" s="133">
        <f>SUMPRODUCT(PRODUCE!$B11:$DY11,PRODUCE!$EB$18:$IY$18)</f>
        <v>0</v>
      </c>
      <c r="DA12" s="56"/>
      <c r="DB12" s="133">
        <f t="shared" si="33"/>
        <v>0</v>
      </c>
      <c r="DC12" s="133">
        <f t="shared" si="34"/>
        <v>0</v>
      </c>
      <c r="DD12" s="56"/>
      <c r="DG12" s="55">
        <f t="shared" si="35"/>
        <v>46029</v>
      </c>
      <c r="DH12" s="56"/>
      <c r="DI12" s="147">
        <f>SUMPRODUCT(PRODUCE!$B11:$DY11,PRODUCE!$EB$19:$IY$19)</f>
        <v>700</v>
      </c>
      <c r="DJ12" s="56">
        <v>699.6</v>
      </c>
      <c r="DK12" s="147">
        <f t="shared" si="36"/>
        <v>0.39999999999997726</v>
      </c>
      <c r="DL12" s="147">
        <f t="shared" si="37"/>
        <v>26092</v>
      </c>
      <c r="DM12" s="56"/>
      <c r="DP12" s="55">
        <f t="shared" si="38"/>
        <v>46029</v>
      </c>
      <c r="DQ12" s="56"/>
      <c r="DR12" s="57">
        <f>SUMPRODUCT(PRODUCE!$B11:$DY11,PRODUCE!$EB$20:$IY$20)</f>
        <v>0</v>
      </c>
      <c r="DS12" s="56"/>
      <c r="DT12" s="57">
        <f t="shared" si="39"/>
        <v>0</v>
      </c>
      <c r="DU12" s="57">
        <f t="shared" si="40"/>
        <v>0</v>
      </c>
      <c r="DV12" s="56"/>
      <c r="DY12" s="55">
        <f t="shared" si="41"/>
        <v>46029</v>
      </c>
      <c r="DZ12" s="56"/>
      <c r="EA12" s="157">
        <f>SUMPRODUCT(PRODUCE!$B11:$DY11,PRODUCE!$EB$21:$IY$21)</f>
        <v>0</v>
      </c>
      <c r="EB12" s="56"/>
      <c r="EC12" s="157">
        <f t="shared" si="42"/>
        <v>0</v>
      </c>
      <c r="ED12" s="157">
        <f t="shared" si="43"/>
        <v>0</v>
      </c>
      <c r="EE12" s="56"/>
      <c r="EH12" s="55">
        <f t="shared" si="44"/>
        <v>46029</v>
      </c>
      <c r="EI12" s="56"/>
      <c r="EJ12" s="162">
        <f>SUMPRODUCT(PRODUCE!$B11:$DY11,PRODUCE!$EB$22:$IY$22)</f>
        <v>0</v>
      </c>
      <c r="EK12" s="56"/>
      <c r="EL12" s="162">
        <f t="shared" si="45"/>
        <v>0</v>
      </c>
      <c r="EM12" s="162">
        <f t="shared" si="46"/>
        <v>0</v>
      </c>
      <c r="EN12" s="56"/>
      <c r="EQ12" s="55">
        <f t="shared" si="47"/>
        <v>46029</v>
      </c>
      <c r="ER12" s="56"/>
      <c r="ES12" s="135">
        <f>SUMPRODUCT(PRODUCE!$B11:$DY11,PRODUCE!$EB$23:$IY$23)</f>
        <v>0</v>
      </c>
      <c r="ET12" s="56"/>
      <c r="EU12" s="135">
        <f t="shared" si="48"/>
        <v>0</v>
      </c>
      <c r="EV12" s="135">
        <f t="shared" si="49"/>
        <v>0</v>
      </c>
      <c r="EW12" s="56"/>
      <c r="EZ12" s="55">
        <f t="shared" si="50"/>
        <v>46029</v>
      </c>
      <c r="FA12" s="56"/>
      <c r="FB12" s="175">
        <f>SUMPRODUCT(PRODUCE!$B11:$DY11,PRODUCE!$EB$24:$IY$24)</f>
        <v>0</v>
      </c>
      <c r="FC12" s="56"/>
      <c r="FD12" s="175">
        <f t="shared" si="51"/>
        <v>0</v>
      </c>
      <c r="FE12" s="175">
        <f t="shared" si="52"/>
        <v>0</v>
      </c>
      <c r="FF12" s="56"/>
      <c r="FI12" s="55">
        <f t="shared" si="53"/>
        <v>46029</v>
      </c>
      <c r="FJ12" s="56"/>
      <c r="FK12" s="183">
        <f>SUMPRODUCT(PRODUCE!$B11:$DY11,PRODUCE!$EB$25:$IY$25)</f>
        <v>0</v>
      </c>
      <c r="FL12" s="56"/>
      <c r="FM12" s="183">
        <f t="shared" si="54"/>
        <v>0</v>
      </c>
      <c r="FN12" s="183">
        <f t="shared" si="55"/>
        <v>0</v>
      </c>
      <c r="FO12" s="56"/>
      <c r="FR12" s="55">
        <f t="shared" si="56"/>
        <v>46029</v>
      </c>
      <c r="FS12" s="422"/>
      <c r="FT12" s="452">
        <f>SUMPRODUCT(PRODUCE!$B11:$DY11,PRODUCE!$EB$26:$IY$26)</f>
        <v>0</v>
      </c>
      <c r="FU12" s="422"/>
      <c r="FV12" s="452">
        <f t="shared" si="57"/>
        <v>0</v>
      </c>
      <c r="FW12" s="452">
        <f t="shared" si="58"/>
        <v>3540</v>
      </c>
      <c r="FX12" s="56"/>
      <c r="GA12" s="55">
        <f t="shared" si="59"/>
        <v>46029</v>
      </c>
      <c r="GB12" s="422"/>
      <c r="GC12" s="454">
        <f>SUMPRODUCT(PRODUCE!$B11:$DY11,PRODUCE!$EB$27:$IY$27)</f>
        <v>0</v>
      </c>
      <c r="GD12" s="422"/>
      <c r="GE12" s="454">
        <f t="shared" si="60"/>
        <v>0</v>
      </c>
      <c r="GF12" s="454">
        <f t="shared" si="61"/>
        <v>1960</v>
      </c>
      <c r="GG12" s="56"/>
      <c r="GI12" s="23"/>
      <c r="GJ12" s="55">
        <f t="shared" si="62"/>
        <v>46029</v>
      </c>
      <c r="GK12" s="422">
        <f>200*20</f>
        <v>4000</v>
      </c>
      <c r="GL12" s="456">
        <f>SUMPRODUCT(PRODUCE!$B11:$DY11,PRODUCE!$EB$28:$IY$28)</f>
        <v>200</v>
      </c>
      <c r="GM12" s="422"/>
      <c r="GN12" s="456">
        <f t="shared" si="63"/>
        <v>200</v>
      </c>
      <c r="GO12" s="456">
        <f t="shared" si="64"/>
        <v>4560</v>
      </c>
      <c r="GP12" s="56"/>
      <c r="GS12" s="55">
        <f t="shared" si="65"/>
        <v>46029</v>
      </c>
      <c r="GT12" s="56"/>
      <c r="GU12" s="195">
        <f>SUMPRODUCT(PRODUCE!$B11:$DY11,PRODUCE!$EB$29:$IY$29)</f>
        <v>0</v>
      </c>
      <c r="GV12" s="56"/>
      <c r="GW12" s="195">
        <f t="shared" si="66"/>
        <v>0</v>
      </c>
      <c r="GX12" s="195">
        <f t="shared" si="67"/>
        <v>0</v>
      </c>
      <c r="GY12" s="56"/>
      <c r="HB12" s="55">
        <f t="shared" si="68"/>
        <v>46029</v>
      </c>
      <c r="HC12" s="56"/>
      <c r="HD12" s="191">
        <f>SUMPRODUCT(PRODUCE!$B11:$DY11,PRODUCE!$EB$30:$IY$30)</f>
        <v>0</v>
      </c>
      <c r="HE12" s="56"/>
      <c r="HF12" s="191">
        <f t="shared" si="69"/>
        <v>0</v>
      </c>
      <c r="HG12" s="191">
        <f t="shared" si="70"/>
        <v>0</v>
      </c>
      <c r="HH12" s="56"/>
      <c r="HK12" s="55">
        <f t="shared" si="71"/>
        <v>46029</v>
      </c>
      <c r="HL12" s="56"/>
      <c r="HM12" s="63">
        <f>SUMPRODUCT(PRODUCE!$B11:$DY11,PRODUCE!$EB$31:$IY$31)</f>
        <v>0</v>
      </c>
      <c r="HN12" s="56"/>
      <c r="HO12" s="63">
        <f t="shared" si="72"/>
        <v>0</v>
      </c>
      <c r="HP12" s="63">
        <f t="shared" si="73"/>
        <v>0</v>
      </c>
      <c r="HQ12" s="56"/>
      <c r="HU12" s="55">
        <f t="shared" si="74"/>
        <v>46029</v>
      </c>
      <c r="HV12" s="56">
        <f>25*20</f>
        <v>500</v>
      </c>
      <c r="HW12" s="242">
        <f>SUMPRODUCT(PRODUCE!$B11:$DY11,PRODUCE!$EB$32:$IY$32)</f>
        <v>0</v>
      </c>
      <c r="HX12" s="56"/>
      <c r="HY12" s="242">
        <f t="shared" si="75"/>
        <v>0</v>
      </c>
      <c r="HZ12" s="242">
        <f t="shared" si="76"/>
        <v>4480</v>
      </c>
      <c r="IA12" s="56"/>
      <c r="ID12" s="55">
        <f t="shared" si="77"/>
        <v>46029</v>
      </c>
      <c r="IE12" s="56">
        <f>107*20</f>
        <v>2140</v>
      </c>
      <c r="IF12" s="242">
        <f>SUMPRODUCT(PRODUCE!$B11:$DY11,PRODUCE!$EB$33:$IY$33)</f>
        <v>0</v>
      </c>
      <c r="IG12" s="56"/>
      <c r="IH12" s="242">
        <f t="shared" si="78"/>
        <v>0</v>
      </c>
      <c r="II12" s="242">
        <f t="shared" si="79"/>
        <v>5100</v>
      </c>
      <c r="IJ12" s="56"/>
      <c r="IM12" s="55">
        <f t="shared" si="80"/>
        <v>46029</v>
      </c>
      <c r="IN12" s="56">
        <f>626*20</f>
        <v>12520</v>
      </c>
      <c r="IO12" s="242">
        <f>SUMPRODUCT(PRODUCE!$B11:$DY11,PRODUCE!$EB$34:$IY$34)</f>
        <v>1000</v>
      </c>
      <c r="IP12" s="56"/>
      <c r="IQ12" s="242">
        <f t="shared" si="81"/>
        <v>1000</v>
      </c>
      <c r="IR12" s="242">
        <f t="shared" si="82"/>
        <v>13760</v>
      </c>
      <c r="IS12" s="56"/>
      <c r="IV12" s="55">
        <f t="shared" si="83"/>
        <v>46029</v>
      </c>
      <c r="IW12" s="56"/>
      <c r="IX12" s="242">
        <f>SUMPRODUCT(PRODUCE!$B11:$DY11,PRODUCE!$EB$35:$IY$35)</f>
        <v>400</v>
      </c>
      <c r="IY12" s="56"/>
      <c r="IZ12" s="242">
        <f t="shared" si="84"/>
        <v>400</v>
      </c>
      <c r="JA12" s="242">
        <f t="shared" si="85"/>
        <v>3920</v>
      </c>
      <c r="JB12" s="56"/>
      <c r="JE12" s="55">
        <f t="shared" si="86"/>
        <v>46029</v>
      </c>
      <c r="JF12" s="56"/>
      <c r="JG12" s="242">
        <f>SUMPRODUCT(PRODUCE!$B11:$DY11,PRODUCE!$EB$36:$IY$36)</f>
        <v>0</v>
      </c>
      <c r="JH12" s="56"/>
      <c r="JI12" s="242">
        <f t="shared" si="87"/>
        <v>0</v>
      </c>
      <c r="JJ12" s="242">
        <f t="shared" si="88"/>
        <v>6800</v>
      </c>
      <c r="JK12" s="56"/>
      <c r="JN12" s="55">
        <f t="shared" si="89"/>
        <v>46029</v>
      </c>
      <c r="JO12" s="56"/>
      <c r="JP12" s="242">
        <f>SUMPRODUCT(PRODUCE!$B11:$DY11,PRODUCE!$EB$37:$IY$37)</f>
        <v>0</v>
      </c>
      <c r="JQ12" s="56"/>
      <c r="JR12" s="242">
        <f t="shared" si="90"/>
        <v>0</v>
      </c>
      <c r="JS12" s="242">
        <f t="shared" si="91"/>
        <v>4400</v>
      </c>
      <c r="JT12" s="56"/>
      <c r="JW12" s="55">
        <f t="shared" si="92"/>
        <v>46029</v>
      </c>
      <c r="JX12" s="56"/>
      <c r="JY12" s="242">
        <f>SUMPRODUCT(PRODUCE!$B11:$DY11,PRODUCE!$EB$38:$IY$38)</f>
        <v>0</v>
      </c>
      <c r="JZ12" s="56"/>
      <c r="KA12" s="242">
        <f t="shared" si="93"/>
        <v>0</v>
      </c>
      <c r="KB12" s="242">
        <f t="shared" si="94"/>
        <v>0</v>
      </c>
      <c r="KC12" s="56"/>
      <c r="KF12" s="55">
        <f t="shared" si="95"/>
        <v>46029</v>
      </c>
      <c r="KG12" s="56"/>
      <c r="KH12" s="242">
        <f>SUMPRODUCT(PRODUCE!$B11:$DY11,PRODUCE!$EB$39:$IY$39)</f>
        <v>0</v>
      </c>
      <c r="KI12" s="56"/>
      <c r="KJ12" s="242">
        <f t="shared" si="96"/>
        <v>0</v>
      </c>
      <c r="KK12" s="242">
        <f t="shared" si="97"/>
        <v>0</v>
      </c>
      <c r="KL12" s="56"/>
      <c r="KO12" s="55">
        <f t="shared" si="98"/>
        <v>46029</v>
      </c>
      <c r="KP12" s="56"/>
      <c r="KQ12" s="242">
        <f>SUMPRODUCT(PRODUCE!$B11:$DY11,PRODUCE!$EB$40:$IY$40)</f>
        <v>0</v>
      </c>
      <c r="KR12" s="56"/>
      <c r="KS12" s="242">
        <f t="shared" si="99"/>
        <v>0</v>
      </c>
      <c r="KT12" s="242">
        <f t="shared" si="100"/>
        <v>0</v>
      </c>
      <c r="KU12" s="56"/>
      <c r="KW12" s="23"/>
      <c r="KX12" s="55">
        <f t="shared" si="101"/>
        <v>46029</v>
      </c>
      <c r="KY12" s="56"/>
      <c r="KZ12" s="242">
        <f>SUMPRODUCT(PRODUCE!$B11:$DY11,PRODUCE!$EB$41:$IY$41)</f>
        <v>0</v>
      </c>
      <c r="LA12" s="56"/>
      <c r="LB12" s="242">
        <f t="shared" si="102"/>
        <v>0</v>
      </c>
      <c r="LC12" s="242">
        <f t="shared" si="103"/>
        <v>0</v>
      </c>
      <c r="LD12" s="56"/>
      <c r="LG12" s="55">
        <f t="shared" si="104"/>
        <v>46029</v>
      </c>
      <c r="LH12" s="56"/>
      <c r="LI12" s="242">
        <f>SUMPRODUCT(PRODUCE!$B11:$DY11,PRODUCE!$EB$42:$IY$42)</f>
        <v>0</v>
      </c>
      <c r="LJ12" s="56"/>
      <c r="LK12" s="242">
        <f t="shared" si="105"/>
        <v>0</v>
      </c>
      <c r="LL12" s="242">
        <f t="shared" si="106"/>
        <v>0</v>
      </c>
      <c r="LM12" s="56"/>
      <c r="LP12" s="55">
        <f t="shared" si="107"/>
        <v>46029</v>
      </c>
      <c r="LQ12" s="56"/>
      <c r="LR12" s="242">
        <f>SUMPRODUCT(PRODUCE!$B11:$DY11,PRODUCE!$EB$43:$IY$43)</f>
        <v>0</v>
      </c>
      <c r="LS12" s="56"/>
      <c r="LT12" s="242">
        <f t="shared" si="108"/>
        <v>0</v>
      </c>
      <c r="LU12" s="242">
        <f t="shared" si="109"/>
        <v>0</v>
      </c>
      <c r="LV12" s="56"/>
      <c r="LY12" s="55">
        <f t="shared" si="110"/>
        <v>46029</v>
      </c>
      <c r="LZ12" s="56"/>
      <c r="MA12" s="242">
        <f>SUMPRODUCT(PRODUCE!$B11:$DY11,PRODUCE!$EB$44:$IY$44)</f>
        <v>0</v>
      </c>
      <c r="MB12" s="56"/>
      <c r="MC12" s="242">
        <f t="shared" si="111"/>
        <v>0</v>
      </c>
      <c r="MD12" s="242">
        <f t="shared" si="112"/>
        <v>0</v>
      </c>
      <c r="ME12" s="56"/>
      <c r="MH12" s="55">
        <f t="shared" si="113"/>
        <v>46029</v>
      </c>
      <c r="MI12" s="56"/>
      <c r="MJ12" s="242">
        <f>SUMPRODUCT(PRODUCE!$B11:$DY11,PRODUCE!$EB$45:$IY$45)</f>
        <v>0</v>
      </c>
      <c r="MK12" s="56"/>
      <c r="ML12" s="242">
        <f t="shared" si="114"/>
        <v>0</v>
      </c>
      <c r="MM12" s="242">
        <f t="shared" si="115"/>
        <v>0</v>
      </c>
      <c r="MN12" s="56"/>
      <c r="MQ12" s="55">
        <f t="shared" si="116"/>
        <v>46029</v>
      </c>
      <c r="MR12" s="56"/>
      <c r="MS12" s="242">
        <f>SUMPRODUCT(PRODUCE!$B11:$DY11,PRODUCE!$EB$46:$IY$46)</f>
        <v>30</v>
      </c>
      <c r="MT12" s="56"/>
      <c r="MU12" s="242">
        <f t="shared" si="117"/>
        <v>30</v>
      </c>
      <c r="MV12" s="242">
        <f t="shared" si="118"/>
        <v>1371</v>
      </c>
      <c r="MW12" s="56"/>
      <c r="MZ12" s="55">
        <f t="shared" si="119"/>
        <v>46029</v>
      </c>
      <c r="NA12" s="56"/>
      <c r="NB12" s="242">
        <f>SUMPRODUCT(PRODUCE!$B11:$DY11,PRODUCE!$EB$47:$IY$47)</f>
        <v>210</v>
      </c>
      <c r="NC12" s="56"/>
      <c r="ND12" s="242">
        <f t="shared" si="120"/>
        <v>210</v>
      </c>
      <c r="NE12" s="242">
        <f t="shared" si="121"/>
        <v>0</v>
      </c>
      <c r="NF12" s="56"/>
      <c r="NI12" s="55">
        <f t="shared" si="122"/>
        <v>46029</v>
      </c>
      <c r="NJ12" s="56"/>
      <c r="NK12" s="242">
        <f>SUMPRODUCT(PRODUCE!$B11:$DY11,PRODUCE!$EB$48:$IY$48)</f>
        <v>0</v>
      </c>
      <c r="NL12" s="56"/>
      <c r="NM12" s="242">
        <f t="shared" si="123"/>
        <v>0</v>
      </c>
      <c r="NN12" s="242">
        <f t="shared" si="124"/>
        <v>0</v>
      </c>
      <c r="NO12" s="56"/>
      <c r="NR12" s="55">
        <f t="shared" si="125"/>
        <v>46029</v>
      </c>
      <c r="NS12" s="56"/>
      <c r="NT12" s="242">
        <f>SUMPRODUCT(PRODUCE!$B11:$DY11,PRODUCE!$EB$49:$IY$49)</f>
        <v>0</v>
      </c>
      <c r="NU12" s="56"/>
      <c r="NV12" s="242">
        <f t="shared" si="126"/>
        <v>0</v>
      </c>
      <c r="NW12" s="242">
        <f t="shared" si="127"/>
        <v>0</v>
      </c>
      <c r="NX12" s="56"/>
      <c r="OA12" s="55">
        <f t="shared" si="128"/>
        <v>46029</v>
      </c>
      <c r="OB12" s="56">
        <v>1600</v>
      </c>
      <c r="OC12" s="242">
        <f>SUMPRODUCT(PRODUCE!$B11:$DY11,PRODUCE!$EB$50:$IY$50)</f>
        <v>50</v>
      </c>
      <c r="OD12" s="56"/>
      <c r="OE12" s="242">
        <f t="shared" si="129"/>
        <v>50</v>
      </c>
      <c r="OF12" s="242">
        <f t="shared" si="130"/>
        <v>1935.2</v>
      </c>
      <c r="OG12" s="56"/>
      <c r="OJ12" s="55">
        <f t="shared" si="131"/>
        <v>46029</v>
      </c>
      <c r="OK12" s="56"/>
      <c r="OL12" s="242">
        <f>SUMPRODUCT(PRODUCE!$B11:$DY11,PRODUCE!$EB$51:$IY$51)</f>
        <v>0</v>
      </c>
      <c r="OM12" s="56"/>
      <c r="ON12" s="242">
        <f t="shared" si="132"/>
        <v>0</v>
      </c>
      <c r="OO12" s="242">
        <f t="shared" si="133"/>
        <v>0</v>
      </c>
      <c r="OP12" s="56"/>
      <c r="OS12" s="55">
        <f t="shared" si="134"/>
        <v>46029</v>
      </c>
      <c r="OT12" s="56"/>
      <c r="OU12" s="242">
        <f>SUMPRODUCT(PRODUCE!$B11:$DY11,PRODUCE!$EB$52:$IY$52)</f>
        <v>0</v>
      </c>
      <c r="OV12" s="56"/>
      <c r="OW12" s="242">
        <f t="shared" si="135"/>
        <v>0</v>
      </c>
      <c r="OX12" s="242">
        <f t="shared" si="136"/>
        <v>67</v>
      </c>
      <c r="OY12" s="56"/>
      <c r="PB12" s="55">
        <f t="shared" si="137"/>
        <v>46029</v>
      </c>
      <c r="PC12" s="56"/>
      <c r="PD12" s="242">
        <f>SUMPRODUCT(PRODUCE!$B11:$DY11,PRODUCE!$EB$53:$IY$53)</f>
        <v>0</v>
      </c>
      <c r="PE12" s="56"/>
      <c r="PF12" s="242">
        <f t="shared" si="138"/>
        <v>0</v>
      </c>
      <c r="PG12" s="242">
        <f t="shared" si="139"/>
        <v>0</v>
      </c>
      <c r="PH12" s="56"/>
      <c r="PK12" s="55">
        <f t="shared" si="140"/>
        <v>46029</v>
      </c>
      <c r="PL12" s="56"/>
      <c r="PM12" s="242">
        <f>SUMPRODUCT(PRODUCE!$B11:$DY11,PRODUCE!$EB$54:$IY$54)</f>
        <v>0</v>
      </c>
      <c r="PN12" s="56"/>
      <c r="PO12" s="242">
        <f t="shared" si="141"/>
        <v>0</v>
      </c>
      <c r="PP12" s="242">
        <f t="shared" si="142"/>
        <v>160</v>
      </c>
      <c r="PQ12" s="56"/>
      <c r="PT12" s="55">
        <f t="shared" si="143"/>
        <v>46029</v>
      </c>
      <c r="PU12" s="56"/>
      <c r="PV12" s="242">
        <f>SUMPRODUCT(PRODUCE!$B11:$DY11,PRODUCE!$EB$55:$IY$55)</f>
        <v>0</v>
      </c>
      <c r="PW12" s="56"/>
      <c r="PX12" s="242">
        <f t="shared" si="144"/>
        <v>0</v>
      </c>
      <c r="PY12" s="242">
        <f t="shared" si="145"/>
        <v>13.960000000000036</v>
      </c>
      <c r="PZ12" s="56"/>
      <c r="QC12" s="55">
        <f t="shared" si="146"/>
        <v>46029</v>
      </c>
      <c r="QD12" s="56"/>
      <c r="QE12" s="242">
        <f>SUMPRODUCT(PRODUCE!$B11:$DY11,PRODUCE!$EB$56:$IY$56)</f>
        <v>0</v>
      </c>
      <c r="QF12" s="56"/>
      <c r="QG12" s="242">
        <f t="shared" si="147"/>
        <v>0</v>
      </c>
      <c r="QH12" s="242">
        <f t="shared" si="148"/>
        <v>0</v>
      </c>
      <c r="QI12" s="56"/>
      <c r="QL12" s="55">
        <f t="shared" si="149"/>
        <v>46029</v>
      </c>
      <c r="QM12" s="56"/>
      <c r="QN12" s="242">
        <f>SUMPRODUCT(PRODUCE!$B11:$DY11,PRODUCE!$EB$57:$IY$57)</f>
        <v>0</v>
      </c>
      <c r="QO12" s="56"/>
      <c r="QP12" s="242">
        <f t="shared" si="150"/>
        <v>0</v>
      </c>
      <c r="QQ12" s="242">
        <f t="shared" si="151"/>
        <v>0</v>
      </c>
      <c r="QR12" s="56"/>
      <c r="QU12" s="55">
        <f t="shared" si="152"/>
        <v>46029</v>
      </c>
      <c r="QV12" s="56"/>
      <c r="QW12" s="242">
        <f>SUMPRODUCT(PRODUCE!$B11:$DY11,PRODUCE!$EB$57:$IY$57)</f>
        <v>0</v>
      </c>
      <c r="QX12" s="56"/>
      <c r="QY12" s="242">
        <f t="shared" si="153"/>
        <v>0</v>
      </c>
      <c r="QZ12" s="242">
        <f t="shared" si="154"/>
        <v>207.6</v>
      </c>
      <c r="RA12" s="56"/>
      <c r="RD12" s="55">
        <f t="shared" si="155"/>
        <v>46029</v>
      </c>
      <c r="RE12" s="56"/>
      <c r="RF12" s="242">
        <f>SUMPRODUCT(PRODUCE!$B11:$DY11,PRODUCE!$EB$58:$IY$58)</f>
        <v>0</v>
      </c>
      <c r="RG12" s="56"/>
      <c r="RH12" s="242">
        <f t="shared" si="156"/>
        <v>0</v>
      </c>
      <c r="RI12" s="242">
        <f t="shared" si="157"/>
        <v>201.8</v>
      </c>
      <c r="RJ12" s="56"/>
      <c r="RM12" s="55">
        <f t="shared" si="158"/>
        <v>46029</v>
      </c>
      <c r="RN12" s="56"/>
      <c r="RO12" s="242">
        <f>SUMPRODUCT(PRODUCE!$B11:$DY11,PRODUCE!$EB$59:$IY$59)</f>
        <v>0</v>
      </c>
      <c r="RP12" s="56"/>
      <c r="RQ12" s="242">
        <f t="shared" si="159"/>
        <v>0</v>
      </c>
      <c r="RR12" s="242">
        <f t="shared" si="160"/>
        <v>22.720000000000002</v>
      </c>
      <c r="RS12" s="56"/>
      <c r="RV12" s="55">
        <f t="shared" si="161"/>
        <v>46029</v>
      </c>
      <c r="RW12" s="56"/>
      <c r="RX12" s="242">
        <f>SUMPRODUCT(PRODUCE!$B11:$DY11,PRODUCE!$EB$57:$IY$57)</f>
        <v>0</v>
      </c>
      <c r="RY12" s="56"/>
      <c r="RZ12" s="242">
        <f t="shared" si="162"/>
        <v>0</v>
      </c>
      <c r="SA12" s="242">
        <f t="shared" si="163"/>
        <v>0</v>
      </c>
      <c r="SB12" s="56"/>
      <c r="SE12" s="55">
        <f t="shared" si="164"/>
        <v>46029</v>
      </c>
      <c r="SF12" s="56"/>
      <c r="SG12" s="242">
        <f>SUMPRODUCT(PRODUCE!$B11:$DY11,PRODUCE!$EB$61:$IY$61)</f>
        <v>0</v>
      </c>
      <c r="SH12" s="56"/>
      <c r="SI12" s="242">
        <f t="shared" si="165"/>
        <v>0</v>
      </c>
      <c r="SJ12" s="242">
        <f t="shared" si="166"/>
        <v>0</v>
      </c>
      <c r="SK12" s="56"/>
      <c r="SN12" s="55">
        <f t="shared" si="167"/>
        <v>46029</v>
      </c>
      <c r="SO12" s="56"/>
      <c r="SP12" s="242">
        <f>SUMPRODUCT(PRODUCE!$B11:$DY11,PRODUCE!$EB$57:$IY$57)</f>
        <v>0</v>
      </c>
      <c r="SQ12" s="56"/>
      <c r="SR12" s="242">
        <f t="shared" si="168"/>
        <v>0</v>
      </c>
      <c r="SS12" s="242">
        <f t="shared" si="169"/>
        <v>0</v>
      </c>
      <c r="ST12" s="56"/>
      <c r="SW12" s="55">
        <f t="shared" si="170"/>
        <v>46029</v>
      </c>
      <c r="SX12" s="56"/>
      <c r="SY12" s="242">
        <f>SUMPRODUCT(PRODUCE!$B11:$DY11,PRODUCE!$EB$57:$IY$57)</f>
        <v>0</v>
      </c>
      <c r="SZ12" s="56"/>
      <c r="TA12" s="242">
        <f t="shared" si="171"/>
        <v>0</v>
      </c>
      <c r="TB12" s="242">
        <f t="shared" si="172"/>
        <v>0</v>
      </c>
      <c r="TC12" s="56"/>
      <c r="TF12" s="55">
        <f t="shared" si="173"/>
        <v>46029</v>
      </c>
      <c r="TG12" s="56"/>
      <c r="TH12" s="242">
        <f>SUMPRODUCT(PRODUCE!$B11:$DY11,PRODUCE!$EB$57:$IY$57)</f>
        <v>0</v>
      </c>
      <c r="TI12" s="56"/>
      <c r="TJ12" s="242">
        <f t="shared" si="174"/>
        <v>0</v>
      </c>
      <c r="TK12" s="242">
        <f t="shared" si="175"/>
        <v>0</v>
      </c>
      <c r="TL12" s="56"/>
      <c r="TO12" s="55">
        <f t="shared" si="176"/>
        <v>46029</v>
      </c>
      <c r="TP12" s="56"/>
      <c r="TQ12" s="242">
        <f>SUMPRODUCT(PRODUCE!$B11:$DY11,PRODUCE!$EB$57:$IY$57)</f>
        <v>0</v>
      </c>
      <c r="TR12" s="56"/>
      <c r="TS12" s="242">
        <f t="shared" si="177"/>
        <v>0</v>
      </c>
      <c r="TT12" s="242">
        <f t="shared" si="178"/>
        <v>0</v>
      </c>
      <c r="TU12" s="56"/>
      <c r="TX12" s="55">
        <f t="shared" si="179"/>
        <v>46029</v>
      </c>
      <c r="TY12" s="56"/>
      <c r="TZ12" s="242">
        <f>SUMPRODUCT(PRODUCE!$B11:$DY11,PRODUCE!$EB$57:$IY$57)</f>
        <v>0</v>
      </c>
      <c r="UA12" s="56"/>
      <c r="UB12" s="242">
        <f t="shared" si="180"/>
        <v>0</v>
      </c>
      <c r="UC12" s="242">
        <f t="shared" si="181"/>
        <v>0</v>
      </c>
      <c r="UD12" s="56"/>
      <c r="UG12" s="55">
        <f t="shared" si="182"/>
        <v>46029</v>
      </c>
      <c r="UH12" s="56"/>
      <c r="UI12" s="242">
        <f>SUMPRODUCT(PRODUCE!$B11:$DY11,PRODUCE!$EB$57:$IY$57)</f>
        <v>0</v>
      </c>
      <c r="UJ12" s="56"/>
      <c r="UK12" s="242">
        <f t="shared" si="183"/>
        <v>0</v>
      </c>
      <c r="UL12" s="242">
        <f t="shared" si="184"/>
        <v>0</v>
      </c>
      <c r="UM12" s="56"/>
      <c r="UP12" s="55">
        <f t="shared" si="185"/>
        <v>46029</v>
      </c>
      <c r="UQ12" s="56"/>
      <c r="UR12" s="242">
        <f>SUMPRODUCT(PRODUCE!$B11:$DY11,PRODUCE!$EB$57:$IY$57)</f>
        <v>0</v>
      </c>
      <c r="US12" s="56"/>
      <c r="UT12" s="242">
        <f t="shared" si="186"/>
        <v>0</v>
      </c>
      <c r="UU12" s="242">
        <f t="shared" si="187"/>
        <v>0</v>
      </c>
      <c r="UV12" s="56"/>
      <c r="UY12" s="55">
        <f t="shared" si="188"/>
        <v>46029</v>
      </c>
      <c r="UZ12" s="56"/>
      <c r="VA12" s="242">
        <f>SUMPRODUCT(PRODUCE!$B11:$DY11,PRODUCE!$EB$57:$IY$57)</f>
        <v>0</v>
      </c>
      <c r="VB12" s="56"/>
      <c r="VC12" s="242">
        <f t="shared" si="189"/>
        <v>0</v>
      </c>
      <c r="VD12" s="242">
        <f t="shared" si="190"/>
        <v>-319.59999999999997</v>
      </c>
      <c r="VE12" s="56"/>
      <c r="VH12" s="55">
        <f t="shared" si="191"/>
        <v>46029</v>
      </c>
      <c r="VI12" s="56"/>
      <c r="VJ12" s="242">
        <f>SUMPRODUCT(PRODUCE!$B11:$DY11,PRODUCE!$EB$57:$IY$57)</f>
        <v>0</v>
      </c>
      <c r="VK12" s="56"/>
      <c r="VL12" s="242">
        <f t="shared" si="192"/>
        <v>0</v>
      </c>
      <c r="VM12" s="242">
        <f t="shared" si="193"/>
        <v>0</v>
      </c>
      <c r="VN12" s="56"/>
      <c r="VQ12" s="55">
        <f t="shared" si="194"/>
        <v>46029</v>
      </c>
      <c r="VR12" s="56"/>
      <c r="VS12" s="242">
        <f>SUMPRODUCT(PRODUCE!$B11:$DY11,PRODUCE!$EB$57:$IY$57)</f>
        <v>0</v>
      </c>
      <c r="VT12" s="56"/>
      <c r="VU12" s="242">
        <f t="shared" si="195"/>
        <v>0</v>
      </c>
      <c r="VV12" s="242">
        <f t="shared" si="196"/>
        <v>0</v>
      </c>
      <c r="VW12" s="56"/>
      <c r="VZ12" s="55">
        <f t="shared" si="197"/>
        <v>46029</v>
      </c>
      <c r="WA12" s="56"/>
      <c r="WB12" s="242">
        <f>SUMPRODUCT(PRODUCE!$B11:$DY11,PRODUCE!$EB$57:$IY$57)</f>
        <v>0</v>
      </c>
      <c r="WC12" s="56"/>
      <c r="WD12" s="242">
        <f t="shared" si="198"/>
        <v>0</v>
      </c>
      <c r="WE12" s="242">
        <f t="shared" si="199"/>
        <v>0</v>
      </c>
      <c r="WF12" s="56"/>
      <c r="WI12" s="55">
        <f t="shared" si="200"/>
        <v>46029</v>
      </c>
      <c r="WJ12" s="56"/>
      <c r="WK12" s="242">
        <f>SUMPRODUCT(PRODUCE!$B11:$DY11,PRODUCE!$EB$57:$IY$57)</f>
        <v>0</v>
      </c>
      <c r="WL12" s="56"/>
      <c r="WM12" s="242">
        <f t="shared" si="201"/>
        <v>0</v>
      </c>
      <c r="WN12" s="242">
        <f t="shared" si="202"/>
        <v>5877</v>
      </c>
      <c r="WO12" s="56"/>
      <c r="WR12" s="55">
        <f t="shared" si="203"/>
        <v>46029</v>
      </c>
      <c r="WS12" s="56"/>
      <c r="WT12" s="242">
        <f>SUMPRODUCT(PRODUCE!$B11:$DY11,PRODUCE!$EB$57:$IY$57)</f>
        <v>0</v>
      </c>
      <c r="WU12" s="56"/>
      <c r="WV12" s="242">
        <f t="shared" si="204"/>
        <v>0</v>
      </c>
      <c r="WW12" s="242">
        <f t="shared" si="205"/>
        <v>5267</v>
      </c>
      <c r="WX12" s="56"/>
      <c r="XA12" s="55">
        <f t="shared" si="206"/>
        <v>46029</v>
      </c>
      <c r="XB12" s="56"/>
      <c r="XC12" s="242">
        <f>SUMPRODUCT(PRODUCE!$B11:$DY11,PRODUCE!$EB$57:$IY$57)</f>
        <v>0</v>
      </c>
      <c r="XD12" s="56">
        <v>193</v>
      </c>
      <c r="XE12" s="242">
        <f t="shared" si="207"/>
        <v>-193</v>
      </c>
      <c r="XF12" s="242">
        <f t="shared" si="208"/>
        <v>2446</v>
      </c>
      <c r="XG12" s="56"/>
      <c r="XJ12" s="55">
        <f t="shared" si="209"/>
        <v>46029</v>
      </c>
      <c r="XK12" s="56"/>
      <c r="XL12" s="242">
        <f>SUMPRODUCT(PRODUCE!$B11:$DY11,PRODUCE!$EB$57:$IY$57)</f>
        <v>0</v>
      </c>
      <c r="XM12" s="56"/>
      <c r="XN12" s="242">
        <f t="shared" si="210"/>
        <v>0</v>
      </c>
      <c r="XO12" s="242">
        <f t="shared" si="211"/>
        <v>6772</v>
      </c>
      <c r="XP12" s="56"/>
      <c r="XS12" s="55">
        <f t="shared" si="212"/>
        <v>46029</v>
      </c>
      <c r="XT12" s="56"/>
      <c r="XU12" s="242">
        <f>SUMPRODUCT(PRODUCE!$B11:$DY11,PRODUCE!$EB$57:$IY$57)</f>
        <v>0</v>
      </c>
      <c r="XV12" s="56"/>
      <c r="XW12" s="242">
        <f t="shared" si="213"/>
        <v>0</v>
      </c>
      <c r="XX12" s="242">
        <f t="shared" si="214"/>
        <v>1901</v>
      </c>
      <c r="XY12" s="56"/>
      <c r="YB12" s="55">
        <f t="shared" si="215"/>
        <v>46029</v>
      </c>
      <c r="YC12" s="56"/>
      <c r="YD12" s="242">
        <f>SUMPRODUCT(PRODUCE!$B11:$DY11,PRODUCE!$EB$57:$IY$57)</f>
        <v>0</v>
      </c>
      <c r="YE12" s="56"/>
      <c r="YF12" s="242">
        <f t="shared" si="216"/>
        <v>0</v>
      </c>
      <c r="YG12" s="242">
        <f t="shared" si="217"/>
        <v>4175</v>
      </c>
      <c r="YH12" s="56"/>
      <c r="YK12" s="55">
        <f t="shared" si="218"/>
        <v>46029</v>
      </c>
      <c r="YL12" s="56"/>
      <c r="YM12" s="242">
        <f>SUMPRODUCT(PRODUCE!$B11:$DY11,PRODUCE!$EB$57:$IY$57)</f>
        <v>0</v>
      </c>
      <c r="YN12" s="56"/>
      <c r="YO12" s="242">
        <f t="shared" si="219"/>
        <v>0</v>
      </c>
      <c r="YP12" s="242">
        <f t="shared" si="220"/>
        <v>0</v>
      </c>
      <c r="YQ12" s="56"/>
      <c r="YT12" s="55">
        <f t="shared" si="221"/>
        <v>46029</v>
      </c>
      <c r="YU12" s="56"/>
      <c r="YV12" s="242">
        <f>SUMPRODUCT(PRODUCE!$B11:$DY11,PRODUCE!$EB$57:$IY$57)</f>
        <v>0</v>
      </c>
      <c r="YW12" s="56"/>
      <c r="YX12" s="242">
        <f t="shared" si="222"/>
        <v>0</v>
      </c>
      <c r="YY12" s="242">
        <f t="shared" si="223"/>
        <v>0</v>
      </c>
      <c r="YZ12" s="56"/>
      <c r="ZC12" s="55">
        <f t="shared" si="224"/>
        <v>46029</v>
      </c>
      <c r="ZD12" s="56"/>
      <c r="ZE12" s="242">
        <f>SUMPRODUCT(PRODUCE!$B11:$DY11,PRODUCE!$EB$57:$IY$57)</f>
        <v>0</v>
      </c>
      <c r="ZF12" s="56"/>
      <c r="ZG12" s="242">
        <f t="shared" si="225"/>
        <v>0</v>
      </c>
      <c r="ZH12" s="242">
        <f t="shared" si="226"/>
        <v>0</v>
      </c>
      <c r="ZI12" s="56"/>
      <c r="ZL12" s="55">
        <f t="shared" si="227"/>
        <v>46029</v>
      </c>
      <c r="ZM12" s="56"/>
      <c r="ZN12" s="242">
        <f>SUMPRODUCT(PRODUCE!$B11:$DY11,PRODUCE!$EB$57:$IY$57)</f>
        <v>0</v>
      </c>
      <c r="ZO12" s="56"/>
      <c r="ZP12" s="242">
        <f t="shared" si="228"/>
        <v>0</v>
      </c>
      <c r="ZQ12" s="242">
        <f t="shared" si="229"/>
        <v>0</v>
      </c>
      <c r="ZR12" s="56"/>
      <c r="ZU12" s="55">
        <f t="shared" si="230"/>
        <v>46029</v>
      </c>
      <c r="ZV12" s="56"/>
      <c r="ZW12" s="242">
        <f>SUMPRODUCT(PRODUCE!$B11:$DY11,PRODUCE!$EB$57:$IY$57)</f>
        <v>0</v>
      </c>
      <c r="ZX12" s="56"/>
      <c r="ZY12" s="242">
        <f t="shared" si="231"/>
        <v>0</v>
      </c>
      <c r="ZZ12" s="242">
        <f t="shared" si="232"/>
        <v>0</v>
      </c>
      <c r="AAA12" s="56"/>
      <c r="AAD12" s="55">
        <f t="shared" si="233"/>
        <v>46029</v>
      </c>
      <c r="AAE12" s="56"/>
      <c r="AAF12" s="242">
        <f>SUMPRODUCT(PRODUCE!$B11:$DY11,PRODUCE!$EB$57:$IY$57)</f>
        <v>0</v>
      </c>
      <c r="AAG12" s="56"/>
      <c r="AAH12" s="242">
        <f t="shared" si="234"/>
        <v>0</v>
      </c>
      <c r="AAI12" s="242">
        <f t="shared" si="235"/>
        <v>0</v>
      </c>
      <c r="AAJ12" s="56"/>
      <c r="AAM12" s="55">
        <f t="shared" si="236"/>
        <v>46029</v>
      </c>
      <c r="AAN12" s="56"/>
      <c r="AAO12" s="242">
        <f>SUMPRODUCT(PRODUCE!$B11:$DY11,PRODUCE!$EB$57:$IY$57)</f>
        <v>0</v>
      </c>
      <c r="AAP12" s="56"/>
      <c r="AAQ12" s="242">
        <f t="shared" si="237"/>
        <v>0</v>
      </c>
      <c r="AAR12" s="242">
        <f t="shared" si="238"/>
        <v>0</v>
      </c>
      <c r="AAS12" s="56"/>
      <c r="AAV12" s="55">
        <f t="shared" si="239"/>
        <v>46029</v>
      </c>
      <c r="AAW12" s="56"/>
      <c r="AAX12" s="242">
        <f>SUMPRODUCT(PRODUCE!$B11:$DY11,PRODUCE!$EB$57:$IY$57)</f>
        <v>0</v>
      </c>
      <c r="AAY12" s="56"/>
      <c r="AAZ12" s="242">
        <f t="shared" si="240"/>
        <v>0</v>
      </c>
      <c r="ABA12" s="242">
        <f t="shared" si="241"/>
        <v>0</v>
      </c>
      <c r="ABB12" s="56"/>
      <c r="ABE12" s="55">
        <f t="shared" si="242"/>
        <v>46029</v>
      </c>
      <c r="ABF12" s="56"/>
      <c r="ABG12" s="242">
        <f>SUMPRODUCT(PRODUCE!$B11:$DY11,PRODUCE!$EB$57:$IY$57)</f>
        <v>0</v>
      </c>
      <c r="ABH12" s="56"/>
      <c r="ABI12" s="242">
        <f t="shared" si="243"/>
        <v>0</v>
      </c>
      <c r="ABJ12" s="242">
        <f t="shared" si="244"/>
        <v>0</v>
      </c>
      <c r="ABK12" s="56"/>
    </row>
    <row r="13" spans="1:740" s="54" customFormat="1" ht="15" customHeight="1" outlineLevel="1">
      <c r="B13" s="478">
        <v>30</v>
      </c>
      <c r="C13" s="55">
        <v>46030</v>
      </c>
      <c r="D13" s="422">
        <v>45780</v>
      </c>
      <c r="E13" s="423">
        <f>SUMPRODUCT(PRODUCE!$B12:$DY12,PRODUCE!$EB$7:$IY$7)</f>
        <v>16095</v>
      </c>
      <c r="F13" s="422">
        <v>16096.2</v>
      </c>
      <c r="G13" s="423">
        <f t="shared" si="2"/>
        <v>-1.2000000000007276</v>
      </c>
      <c r="H13" s="423">
        <f t="shared" si="0"/>
        <v>66121.8</v>
      </c>
      <c r="I13" s="289" t="s">
        <v>179</v>
      </c>
      <c r="L13" s="55">
        <f t="shared" si="1"/>
        <v>46030</v>
      </c>
      <c r="M13" s="422">
        <v>28130</v>
      </c>
      <c r="N13" s="438">
        <f>SUMPRODUCT(PRODUCE!$B12:$DY12,PRODUCE!$EB$8:$IY$8)</f>
        <v>8369.9999999999982</v>
      </c>
      <c r="O13" s="422">
        <v>8366</v>
      </c>
      <c r="P13" s="438">
        <f t="shared" si="3"/>
        <v>3.999999999998181</v>
      </c>
      <c r="Q13" s="438">
        <f t="shared" si="4"/>
        <v>13737.800000000007</v>
      </c>
      <c r="R13" s="56"/>
      <c r="U13" s="55">
        <f t="shared" si="5"/>
        <v>46030</v>
      </c>
      <c r="V13" s="422"/>
      <c r="W13" s="440">
        <f>SUMPRODUCT(PRODUCE!$B12:$DY12,PRODUCE!$EB$9:$IY$9)</f>
        <v>1500</v>
      </c>
      <c r="X13" s="422">
        <v>1501.5</v>
      </c>
      <c r="Y13" s="440">
        <f t="shared" si="6"/>
        <v>-1.5</v>
      </c>
      <c r="Z13" s="440">
        <f t="shared" si="7"/>
        <v>14615.299999999992</v>
      </c>
      <c r="AA13" s="56"/>
      <c r="AD13" s="55">
        <f t="shared" si="8"/>
        <v>46030</v>
      </c>
      <c r="AE13" s="422"/>
      <c r="AF13" s="442">
        <f>SUMPRODUCT(PRODUCE!$B12:$DY12,PRODUCE!$EB$10:$IY$10)</f>
        <v>1500</v>
      </c>
      <c r="AG13" s="422">
        <v>1501.5</v>
      </c>
      <c r="AH13" s="442">
        <f t="shared" si="9"/>
        <v>-1.5</v>
      </c>
      <c r="AI13" s="442">
        <f t="shared" si="10"/>
        <v>12790.100000000011</v>
      </c>
      <c r="AJ13" s="56"/>
      <c r="AM13" s="55">
        <f t="shared" si="11"/>
        <v>46030</v>
      </c>
      <c r="AN13" s="422"/>
      <c r="AO13" s="444">
        <f>SUMPRODUCT(PRODUCE!$B12:$DY12,PRODUCE!$EB$11:$IY$11)</f>
        <v>0</v>
      </c>
      <c r="AP13" s="422"/>
      <c r="AQ13" s="444">
        <f t="shared" si="12"/>
        <v>0</v>
      </c>
      <c r="AR13" s="444">
        <f t="shared" si="13"/>
        <v>0</v>
      </c>
      <c r="AS13" s="56"/>
      <c r="AV13" s="55">
        <f t="shared" si="14"/>
        <v>46030</v>
      </c>
      <c r="AW13" s="422"/>
      <c r="AX13" s="446">
        <f>SUMPRODUCT(PRODUCE!$B12:$DY12,PRODUCE!$EB$12:$IY$12)</f>
        <v>600</v>
      </c>
      <c r="AY13" s="422">
        <v>598.29999999999995</v>
      </c>
      <c r="AZ13" s="446">
        <f t="shared" si="15"/>
        <v>1.7000000000000455</v>
      </c>
      <c r="BA13" s="446">
        <f t="shared" si="16"/>
        <v>20558.799999999992</v>
      </c>
      <c r="BB13" s="56"/>
      <c r="BE13" s="55">
        <f t="shared" si="17"/>
        <v>46030</v>
      </c>
      <c r="BF13" s="422"/>
      <c r="BG13" s="448">
        <f>SUMPRODUCT(PRODUCE!$B12:$DY12,PRODUCE!$EB$13:$IY$13)</f>
        <v>600</v>
      </c>
      <c r="BH13" s="422">
        <v>598.4</v>
      </c>
      <c r="BI13" s="448">
        <f t="shared" si="18"/>
        <v>1.6000000000000227</v>
      </c>
      <c r="BJ13" s="448">
        <f t="shared" si="19"/>
        <v>18489.600000000006</v>
      </c>
      <c r="BK13" s="56"/>
      <c r="BN13" s="55">
        <f t="shared" si="20"/>
        <v>46030</v>
      </c>
      <c r="BO13" s="422">
        <v>599.9</v>
      </c>
      <c r="BP13" s="450">
        <f>SUMPRODUCT(PRODUCE!$B12:$DY12,PRODUCE!$EB$14:$IY$14)</f>
        <v>600</v>
      </c>
      <c r="BQ13" s="422">
        <v>599.9</v>
      </c>
      <c r="BR13" s="450">
        <f t="shared" si="21"/>
        <v>0.10000000000002274</v>
      </c>
      <c r="BS13" s="450">
        <f t="shared" si="22"/>
        <v>0</v>
      </c>
      <c r="BT13" s="56"/>
      <c r="BW13" s="55">
        <f t="shared" si="23"/>
        <v>46030</v>
      </c>
      <c r="BX13" s="56"/>
      <c r="BY13" s="65">
        <f>SUMPRODUCT(PRODUCE!$B12:$DY12,PRODUCE!$EB$15:$IY$15)</f>
        <v>0</v>
      </c>
      <c r="BZ13" s="56"/>
      <c r="CA13" s="65">
        <f t="shared" si="24"/>
        <v>0</v>
      </c>
      <c r="CB13" s="65">
        <f t="shared" si="25"/>
        <v>3512.5</v>
      </c>
      <c r="CC13" s="56"/>
      <c r="CF13" s="55">
        <f t="shared" si="26"/>
        <v>46030</v>
      </c>
      <c r="CG13" s="56"/>
      <c r="CH13" s="66">
        <f>SUMPRODUCT(PRODUCE!$B12:$DY12,PRODUCE!$EB$16:$IY$16)</f>
        <v>0</v>
      </c>
      <c r="CI13" s="56"/>
      <c r="CJ13" s="66">
        <f t="shared" si="27"/>
        <v>0</v>
      </c>
      <c r="CK13" s="66">
        <f t="shared" si="28"/>
        <v>0</v>
      </c>
      <c r="CL13" s="56"/>
      <c r="CO13" s="55">
        <f t="shared" si="29"/>
        <v>46030</v>
      </c>
      <c r="CP13" s="422"/>
      <c r="CQ13" s="470">
        <f>SUMPRODUCT(PRODUCE!$B12:$DY12,PRODUCE!$EB$17:$IY$17)</f>
        <v>0</v>
      </c>
      <c r="CR13" s="422"/>
      <c r="CS13" s="470">
        <f t="shared" si="30"/>
        <v>0</v>
      </c>
      <c r="CT13" s="470">
        <f t="shared" si="31"/>
        <v>0</v>
      </c>
      <c r="CU13" s="56"/>
      <c r="CX13" s="55">
        <f t="shared" si="32"/>
        <v>46030</v>
      </c>
      <c r="CY13" s="56"/>
      <c r="CZ13" s="133">
        <f>SUMPRODUCT(PRODUCE!$B12:$DY12,PRODUCE!$EB$18:$IY$18)</f>
        <v>0</v>
      </c>
      <c r="DA13" s="56"/>
      <c r="DB13" s="133">
        <f t="shared" si="33"/>
        <v>0</v>
      </c>
      <c r="DC13" s="133">
        <f t="shared" si="34"/>
        <v>0</v>
      </c>
      <c r="DD13" s="56"/>
      <c r="DG13" s="55">
        <f t="shared" si="35"/>
        <v>46030</v>
      </c>
      <c r="DH13" s="56"/>
      <c r="DI13" s="147">
        <f>SUMPRODUCT(PRODUCE!$B12:$DY12,PRODUCE!$EB$19:$IY$19)</f>
        <v>0</v>
      </c>
      <c r="DJ13" s="56"/>
      <c r="DK13" s="147">
        <f t="shared" si="36"/>
        <v>0</v>
      </c>
      <c r="DL13" s="147">
        <f t="shared" si="37"/>
        <v>26092</v>
      </c>
      <c r="DM13" s="56"/>
      <c r="DP13" s="55">
        <f t="shared" si="38"/>
        <v>46030</v>
      </c>
      <c r="DQ13" s="56"/>
      <c r="DR13" s="57">
        <f>SUMPRODUCT(PRODUCE!$B12:$DY12,PRODUCE!$EB$20:$IY$20)</f>
        <v>0</v>
      </c>
      <c r="DS13" s="56"/>
      <c r="DT13" s="57">
        <f t="shared" si="39"/>
        <v>0</v>
      </c>
      <c r="DU13" s="57">
        <f t="shared" si="40"/>
        <v>0</v>
      </c>
      <c r="DV13" s="56"/>
      <c r="DY13" s="55">
        <f t="shared" si="41"/>
        <v>46030</v>
      </c>
      <c r="DZ13" s="56"/>
      <c r="EA13" s="157">
        <f>SUMPRODUCT(PRODUCE!$B12:$DY12,PRODUCE!$EB$21:$IY$21)</f>
        <v>0</v>
      </c>
      <c r="EB13" s="56"/>
      <c r="EC13" s="157">
        <f t="shared" si="42"/>
        <v>0</v>
      </c>
      <c r="ED13" s="157">
        <f t="shared" si="43"/>
        <v>0</v>
      </c>
      <c r="EE13" s="56"/>
      <c r="EH13" s="55">
        <f t="shared" si="44"/>
        <v>46030</v>
      </c>
      <c r="EI13" s="56"/>
      <c r="EJ13" s="162">
        <f>SUMPRODUCT(PRODUCE!$B12:$DY12,PRODUCE!$EB$22:$IY$22)</f>
        <v>0</v>
      </c>
      <c r="EK13" s="56"/>
      <c r="EL13" s="162">
        <f t="shared" si="45"/>
        <v>0</v>
      </c>
      <c r="EM13" s="162">
        <f t="shared" si="46"/>
        <v>0</v>
      </c>
      <c r="EN13" s="56"/>
      <c r="EQ13" s="55">
        <f t="shared" si="47"/>
        <v>46030</v>
      </c>
      <c r="ER13" s="56"/>
      <c r="ES13" s="135">
        <f>SUMPRODUCT(PRODUCE!$B12:$DY12,PRODUCE!$EB$23:$IY$23)</f>
        <v>0</v>
      </c>
      <c r="ET13" s="56"/>
      <c r="EU13" s="135">
        <f t="shared" si="48"/>
        <v>0</v>
      </c>
      <c r="EV13" s="135">
        <f t="shared" si="49"/>
        <v>0</v>
      </c>
      <c r="EW13" s="56"/>
      <c r="EZ13" s="55">
        <f t="shared" si="50"/>
        <v>46030</v>
      </c>
      <c r="FA13" s="56"/>
      <c r="FB13" s="175">
        <f>SUMPRODUCT(PRODUCE!$B12:$DY12,PRODUCE!$EB$24:$IY$24)</f>
        <v>0</v>
      </c>
      <c r="FC13" s="56"/>
      <c r="FD13" s="175">
        <f t="shared" si="51"/>
        <v>0</v>
      </c>
      <c r="FE13" s="175">
        <f t="shared" si="52"/>
        <v>0</v>
      </c>
      <c r="FF13" s="56"/>
      <c r="FI13" s="55">
        <f t="shared" si="53"/>
        <v>46030</v>
      </c>
      <c r="FJ13" s="56"/>
      <c r="FK13" s="183">
        <f>SUMPRODUCT(PRODUCE!$B12:$DY12,PRODUCE!$EB$25:$IY$25)</f>
        <v>0</v>
      </c>
      <c r="FL13" s="56"/>
      <c r="FM13" s="183">
        <f t="shared" si="54"/>
        <v>0</v>
      </c>
      <c r="FN13" s="183">
        <f t="shared" si="55"/>
        <v>0</v>
      </c>
      <c r="FO13" s="56"/>
      <c r="FR13" s="55">
        <f t="shared" si="56"/>
        <v>46030</v>
      </c>
      <c r="FS13" s="422"/>
      <c r="FT13" s="452">
        <f>SUMPRODUCT(PRODUCE!$B12:$DY12,PRODUCE!$EB$26:$IY$26)</f>
        <v>0</v>
      </c>
      <c r="FU13" s="422"/>
      <c r="FV13" s="452">
        <f t="shared" si="57"/>
        <v>0</v>
      </c>
      <c r="FW13" s="452">
        <f t="shared" si="58"/>
        <v>3540</v>
      </c>
      <c r="FX13" s="56"/>
      <c r="GA13" s="55">
        <f t="shared" si="59"/>
        <v>46030</v>
      </c>
      <c r="GB13" s="422"/>
      <c r="GC13" s="454">
        <f>SUMPRODUCT(PRODUCE!$B12:$DY12,PRODUCE!$EB$27:$IY$27)</f>
        <v>0</v>
      </c>
      <c r="GD13" s="422"/>
      <c r="GE13" s="454">
        <f t="shared" si="60"/>
        <v>0</v>
      </c>
      <c r="GF13" s="454">
        <f t="shared" si="61"/>
        <v>1960</v>
      </c>
      <c r="GG13" s="56"/>
      <c r="GI13" s="23"/>
      <c r="GJ13" s="55">
        <f t="shared" si="62"/>
        <v>46030</v>
      </c>
      <c r="GK13" s="422"/>
      <c r="GL13" s="456">
        <f>SUMPRODUCT(PRODUCE!$B12:$DY12,PRODUCE!$EB$28:$IY$28)</f>
        <v>0</v>
      </c>
      <c r="GM13" s="422"/>
      <c r="GN13" s="456">
        <f t="shared" si="63"/>
        <v>0</v>
      </c>
      <c r="GO13" s="456">
        <f t="shared" si="64"/>
        <v>4560</v>
      </c>
      <c r="GP13" s="56"/>
      <c r="GS13" s="55">
        <f t="shared" si="65"/>
        <v>46030</v>
      </c>
      <c r="GT13" s="56"/>
      <c r="GU13" s="195">
        <f>SUMPRODUCT(PRODUCE!$B12:$DY12,PRODUCE!$EB$29:$IY$29)</f>
        <v>0</v>
      </c>
      <c r="GV13" s="56"/>
      <c r="GW13" s="195">
        <f t="shared" si="66"/>
        <v>0</v>
      </c>
      <c r="GX13" s="195">
        <f t="shared" si="67"/>
        <v>0</v>
      </c>
      <c r="GY13" s="56"/>
      <c r="HB13" s="55">
        <f t="shared" si="68"/>
        <v>46030</v>
      </c>
      <c r="HC13" s="56"/>
      <c r="HD13" s="191">
        <f>SUMPRODUCT(PRODUCE!$B12:$DY12,PRODUCE!$EB$30:$IY$30)</f>
        <v>0</v>
      </c>
      <c r="HE13" s="56"/>
      <c r="HF13" s="191">
        <f t="shared" si="69"/>
        <v>0</v>
      </c>
      <c r="HG13" s="191">
        <f t="shared" si="70"/>
        <v>0</v>
      </c>
      <c r="HH13" s="56"/>
      <c r="HK13" s="55">
        <f t="shared" si="71"/>
        <v>46030</v>
      </c>
      <c r="HL13" s="56"/>
      <c r="HM13" s="63">
        <f>SUMPRODUCT(PRODUCE!$B12:$DY12,PRODUCE!$EB$31:$IY$31)</f>
        <v>0</v>
      </c>
      <c r="HN13" s="56"/>
      <c r="HO13" s="63">
        <f t="shared" si="72"/>
        <v>0</v>
      </c>
      <c r="HP13" s="63">
        <f t="shared" si="73"/>
        <v>0</v>
      </c>
      <c r="HQ13" s="56"/>
      <c r="HU13" s="55">
        <f t="shared" si="74"/>
        <v>46030</v>
      </c>
      <c r="HV13" s="56"/>
      <c r="HW13" s="242">
        <f>SUMPRODUCT(PRODUCE!$B12:$DY12,PRODUCE!$EB$32:$IY$32)</f>
        <v>0</v>
      </c>
      <c r="HX13" s="56"/>
      <c r="HY13" s="242">
        <f t="shared" si="75"/>
        <v>0</v>
      </c>
      <c r="HZ13" s="242">
        <f t="shared" si="76"/>
        <v>4480</v>
      </c>
      <c r="IA13" s="56"/>
      <c r="ID13" s="55">
        <f t="shared" si="77"/>
        <v>46030</v>
      </c>
      <c r="IE13" s="56"/>
      <c r="IF13" s="242">
        <f>SUMPRODUCT(PRODUCE!$B12:$DY12,PRODUCE!$EB$33:$IY$33)</f>
        <v>0</v>
      </c>
      <c r="IG13" s="56"/>
      <c r="IH13" s="242">
        <f t="shared" si="78"/>
        <v>0</v>
      </c>
      <c r="II13" s="242">
        <f t="shared" si="79"/>
        <v>5100</v>
      </c>
      <c r="IJ13" s="56"/>
      <c r="IM13" s="55">
        <f t="shared" si="80"/>
        <v>46030</v>
      </c>
      <c r="IN13" s="56"/>
      <c r="IO13" s="242">
        <f>SUMPRODUCT(PRODUCE!$B12:$DY12,PRODUCE!$EB$34:$IY$34)</f>
        <v>600</v>
      </c>
      <c r="IP13" s="56"/>
      <c r="IQ13" s="242">
        <f t="shared" si="81"/>
        <v>600</v>
      </c>
      <c r="IR13" s="242">
        <f t="shared" si="82"/>
        <v>13760</v>
      </c>
      <c r="IS13" s="56"/>
      <c r="IV13" s="55">
        <f t="shared" si="83"/>
        <v>46030</v>
      </c>
      <c r="IW13" s="56"/>
      <c r="IX13" s="242">
        <f>SUMPRODUCT(PRODUCE!$B12:$DY12,PRODUCE!$EB$35:$IY$35)</f>
        <v>0</v>
      </c>
      <c r="IY13" s="56"/>
      <c r="IZ13" s="242">
        <f t="shared" si="84"/>
        <v>0</v>
      </c>
      <c r="JA13" s="242">
        <f t="shared" si="85"/>
        <v>3920</v>
      </c>
      <c r="JB13" s="56"/>
      <c r="JE13" s="55">
        <f t="shared" si="86"/>
        <v>46030</v>
      </c>
      <c r="JF13" s="56"/>
      <c r="JG13" s="242">
        <f>SUMPRODUCT(PRODUCE!$B12:$DY12,PRODUCE!$EB$36:$IY$36)</f>
        <v>0</v>
      </c>
      <c r="JH13" s="56"/>
      <c r="JI13" s="242">
        <f t="shared" si="87"/>
        <v>0</v>
      </c>
      <c r="JJ13" s="242">
        <f t="shared" si="88"/>
        <v>6800</v>
      </c>
      <c r="JK13" s="56"/>
      <c r="JN13" s="55">
        <f t="shared" si="89"/>
        <v>46030</v>
      </c>
      <c r="JO13" s="56"/>
      <c r="JP13" s="242">
        <f>SUMPRODUCT(PRODUCE!$B12:$DY12,PRODUCE!$EB$37:$IY$37)</f>
        <v>0</v>
      </c>
      <c r="JQ13" s="56"/>
      <c r="JR13" s="242">
        <f t="shared" si="90"/>
        <v>0</v>
      </c>
      <c r="JS13" s="242">
        <f t="shared" si="91"/>
        <v>4400</v>
      </c>
      <c r="JT13" s="56"/>
      <c r="JW13" s="55">
        <f t="shared" si="92"/>
        <v>46030</v>
      </c>
      <c r="JX13" s="56"/>
      <c r="JY13" s="242">
        <f>SUMPRODUCT(PRODUCE!$B12:$DY12,PRODUCE!$EB$38:$IY$38)</f>
        <v>0</v>
      </c>
      <c r="JZ13" s="56"/>
      <c r="KA13" s="242">
        <f t="shared" si="93"/>
        <v>0</v>
      </c>
      <c r="KB13" s="242">
        <f t="shared" si="94"/>
        <v>0</v>
      </c>
      <c r="KC13" s="56"/>
      <c r="KF13" s="55">
        <f t="shared" si="95"/>
        <v>46030</v>
      </c>
      <c r="KG13" s="56"/>
      <c r="KH13" s="242">
        <f>SUMPRODUCT(PRODUCE!$B12:$DY12,PRODUCE!$EB$39:$IY$39)</f>
        <v>0</v>
      </c>
      <c r="KI13" s="56"/>
      <c r="KJ13" s="242">
        <f t="shared" si="96"/>
        <v>0</v>
      </c>
      <c r="KK13" s="242">
        <f t="shared" si="97"/>
        <v>0</v>
      </c>
      <c r="KL13" s="56"/>
      <c r="KO13" s="55">
        <f t="shared" si="98"/>
        <v>46030</v>
      </c>
      <c r="KP13" s="56"/>
      <c r="KQ13" s="242">
        <f>SUMPRODUCT(PRODUCE!$B12:$DY12,PRODUCE!$EB$40:$IY$40)</f>
        <v>0</v>
      </c>
      <c r="KR13" s="56"/>
      <c r="KS13" s="242">
        <f t="shared" si="99"/>
        <v>0</v>
      </c>
      <c r="KT13" s="242">
        <f t="shared" si="100"/>
        <v>0</v>
      </c>
      <c r="KU13" s="56"/>
      <c r="KW13" s="23"/>
      <c r="KX13" s="55">
        <f t="shared" si="101"/>
        <v>46030</v>
      </c>
      <c r="KY13" s="56"/>
      <c r="KZ13" s="242">
        <f>SUMPRODUCT(PRODUCE!$B12:$DY12,PRODUCE!$EB$41:$IY$41)</f>
        <v>0</v>
      </c>
      <c r="LA13" s="56"/>
      <c r="LB13" s="242">
        <f t="shared" si="102"/>
        <v>0</v>
      </c>
      <c r="LC13" s="242">
        <f t="shared" si="103"/>
        <v>0</v>
      </c>
      <c r="LD13" s="56"/>
      <c r="LG13" s="55">
        <f t="shared" si="104"/>
        <v>46030</v>
      </c>
      <c r="LH13" s="56"/>
      <c r="LI13" s="242">
        <f>SUMPRODUCT(PRODUCE!$B12:$DY12,PRODUCE!$EB$42:$IY$42)</f>
        <v>0</v>
      </c>
      <c r="LJ13" s="56"/>
      <c r="LK13" s="242">
        <f t="shared" si="105"/>
        <v>0</v>
      </c>
      <c r="LL13" s="242">
        <f t="shared" si="106"/>
        <v>0</v>
      </c>
      <c r="LM13" s="56"/>
      <c r="LP13" s="55">
        <f t="shared" si="107"/>
        <v>46030</v>
      </c>
      <c r="LQ13" s="56"/>
      <c r="LR13" s="242">
        <f>SUMPRODUCT(PRODUCE!$B12:$DY12,PRODUCE!$EB$43:$IY$43)</f>
        <v>0</v>
      </c>
      <c r="LS13" s="56"/>
      <c r="LT13" s="242">
        <f t="shared" si="108"/>
        <v>0</v>
      </c>
      <c r="LU13" s="242">
        <f t="shared" si="109"/>
        <v>0</v>
      </c>
      <c r="LV13" s="56"/>
      <c r="LY13" s="55">
        <f t="shared" si="110"/>
        <v>46030</v>
      </c>
      <c r="LZ13" s="56"/>
      <c r="MA13" s="242">
        <f>SUMPRODUCT(PRODUCE!$B12:$DY12,PRODUCE!$EB$44:$IY$44)</f>
        <v>0</v>
      </c>
      <c r="MB13" s="56"/>
      <c r="MC13" s="242">
        <f t="shared" si="111"/>
        <v>0</v>
      </c>
      <c r="MD13" s="242">
        <f t="shared" si="112"/>
        <v>0</v>
      </c>
      <c r="ME13" s="56"/>
      <c r="MH13" s="55">
        <f t="shared" si="113"/>
        <v>46030</v>
      </c>
      <c r="MI13" s="56"/>
      <c r="MJ13" s="242">
        <f>SUMPRODUCT(PRODUCE!$B12:$DY12,PRODUCE!$EB$45:$IY$45)</f>
        <v>0</v>
      </c>
      <c r="MK13" s="56"/>
      <c r="ML13" s="242">
        <f t="shared" si="114"/>
        <v>0</v>
      </c>
      <c r="MM13" s="242">
        <f t="shared" si="115"/>
        <v>0</v>
      </c>
      <c r="MN13" s="56"/>
      <c r="MQ13" s="55">
        <f t="shared" si="116"/>
        <v>46030</v>
      </c>
      <c r="MR13" s="56"/>
      <c r="MS13" s="242">
        <f>SUMPRODUCT(PRODUCE!$B12:$DY12,PRODUCE!$EB$46:$IY$46)</f>
        <v>15</v>
      </c>
      <c r="MT13" s="56"/>
      <c r="MU13" s="242">
        <f t="shared" si="117"/>
        <v>15</v>
      </c>
      <c r="MV13" s="242">
        <f t="shared" si="118"/>
        <v>1371</v>
      </c>
      <c r="MW13" s="56"/>
      <c r="MZ13" s="55">
        <f t="shared" si="119"/>
        <v>46030</v>
      </c>
      <c r="NA13" s="56"/>
      <c r="NB13" s="242">
        <f>SUMPRODUCT(PRODUCE!$B12:$DY12,PRODUCE!$EB$47:$IY$47)</f>
        <v>90</v>
      </c>
      <c r="NC13" s="56"/>
      <c r="ND13" s="242">
        <f t="shared" si="120"/>
        <v>90</v>
      </c>
      <c r="NE13" s="242">
        <f t="shared" si="121"/>
        <v>0</v>
      </c>
      <c r="NF13" s="56"/>
      <c r="NI13" s="55">
        <f t="shared" si="122"/>
        <v>46030</v>
      </c>
      <c r="NJ13" s="56"/>
      <c r="NK13" s="242">
        <f>SUMPRODUCT(PRODUCE!$B12:$DY12,PRODUCE!$EB$48:$IY$48)</f>
        <v>0</v>
      </c>
      <c r="NL13" s="56"/>
      <c r="NM13" s="242">
        <f t="shared" si="123"/>
        <v>0</v>
      </c>
      <c r="NN13" s="242">
        <f t="shared" si="124"/>
        <v>0</v>
      </c>
      <c r="NO13" s="56"/>
      <c r="NR13" s="55">
        <f t="shared" si="125"/>
        <v>46030</v>
      </c>
      <c r="NS13" s="56"/>
      <c r="NT13" s="242">
        <f>SUMPRODUCT(PRODUCE!$B12:$DY12,PRODUCE!$EB$49:$IY$49)</f>
        <v>0</v>
      </c>
      <c r="NU13" s="56"/>
      <c r="NV13" s="242">
        <f t="shared" si="126"/>
        <v>0</v>
      </c>
      <c r="NW13" s="242">
        <f t="shared" si="127"/>
        <v>0</v>
      </c>
      <c r="NX13" s="56"/>
      <c r="OA13" s="55">
        <f t="shared" si="128"/>
        <v>46030</v>
      </c>
      <c r="OB13" s="56"/>
      <c r="OC13" s="242">
        <f>SUMPRODUCT(PRODUCE!$B12:$DY12,PRODUCE!$EB$50:$IY$50)</f>
        <v>30</v>
      </c>
      <c r="OD13" s="56"/>
      <c r="OE13" s="242">
        <f t="shared" si="129"/>
        <v>30</v>
      </c>
      <c r="OF13" s="242">
        <f t="shared" si="130"/>
        <v>1935.2</v>
      </c>
      <c r="OG13" s="56"/>
      <c r="OJ13" s="55">
        <f t="shared" si="131"/>
        <v>46030</v>
      </c>
      <c r="OK13" s="56"/>
      <c r="OL13" s="242">
        <f>SUMPRODUCT(PRODUCE!$B12:$DY12,PRODUCE!$EB$51:$IY$51)</f>
        <v>0</v>
      </c>
      <c r="OM13" s="56"/>
      <c r="ON13" s="242">
        <f t="shared" si="132"/>
        <v>0</v>
      </c>
      <c r="OO13" s="242">
        <f t="shared" si="133"/>
        <v>0</v>
      </c>
      <c r="OP13" s="56"/>
      <c r="OS13" s="55">
        <f t="shared" si="134"/>
        <v>46030</v>
      </c>
      <c r="OT13" s="56"/>
      <c r="OU13" s="242">
        <f>SUMPRODUCT(PRODUCE!$B12:$DY12,PRODUCE!$EB$52:$IY$52)</f>
        <v>0</v>
      </c>
      <c r="OV13" s="56"/>
      <c r="OW13" s="242">
        <f t="shared" si="135"/>
        <v>0</v>
      </c>
      <c r="OX13" s="242">
        <f t="shared" si="136"/>
        <v>67</v>
      </c>
      <c r="OY13" s="56"/>
      <c r="PB13" s="55">
        <f t="shared" si="137"/>
        <v>46030</v>
      </c>
      <c r="PC13" s="56"/>
      <c r="PD13" s="242">
        <f>SUMPRODUCT(PRODUCE!$B12:$DY12,PRODUCE!$EB$53:$IY$53)</f>
        <v>0</v>
      </c>
      <c r="PE13" s="56"/>
      <c r="PF13" s="242">
        <f t="shared" si="138"/>
        <v>0</v>
      </c>
      <c r="PG13" s="242">
        <f t="shared" si="139"/>
        <v>0</v>
      </c>
      <c r="PH13" s="56"/>
      <c r="PK13" s="55">
        <f t="shared" si="140"/>
        <v>46030</v>
      </c>
      <c r="PL13" s="56"/>
      <c r="PM13" s="242">
        <f>SUMPRODUCT(PRODUCE!$B12:$DY12,PRODUCE!$EB$54:$IY$54)</f>
        <v>0</v>
      </c>
      <c r="PN13" s="56"/>
      <c r="PO13" s="242">
        <f t="shared" si="141"/>
        <v>0</v>
      </c>
      <c r="PP13" s="242">
        <f t="shared" si="142"/>
        <v>160</v>
      </c>
      <c r="PQ13" s="56"/>
      <c r="PT13" s="55">
        <f t="shared" si="143"/>
        <v>46030</v>
      </c>
      <c r="PU13" s="56"/>
      <c r="PV13" s="242">
        <f>SUMPRODUCT(PRODUCE!$B12:$DY12,PRODUCE!$EB$55:$IY$55)</f>
        <v>0</v>
      </c>
      <c r="PW13" s="56"/>
      <c r="PX13" s="242">
        <f t="shared" si="144"/>
        <v>0</v>
      </c>
      <c r="PY13" s="242">
        <f t="shared" si="145"/>
        <v>13.960000000000036</v>
      </c>
      <c r="PZ13" s="56"/>
      <c r="QC13" s="55">
        <f t="shared" si="146"/>
        <v>46030</v>
      </c>
      <c r="QD13" s="56"/>
      <c r="QE13" s="242">
        <f>SUMPRODUCT(PRODUCE!$B12:$DY12,PRODUCE!$EB$56:$IY$56)</f>
        <v>0</v>
      </c>
      <c r="QF13" s="56"/>
      <c r="QG13" s="242">
        <f t="shared" si="147"/>
        <v>0</v>
      </c>
      <c r="QH13" s="242">
        <f t="shared" si="148"/>
        <v>0</v>
      </c>
      <c r="QI13" s="56"/>
      <c r="QL13" s="55">
        <f t="shared" si="149"/>
        <v>46030</v>
      </c>
      <c r="QM13" s="56"/>
      <c r="QN13" s="242">
        <f>SUMPRODUCT(PRODUCE!$B12:$DY12,PRODUCE!$EB$57:$IY$57)</f>
        <v>0</v>
      </c>
      <c r="QO13" s="56"/>
      <c r="QP13" s="242">
        <f t="shared" si="150"/>
        <v>0</v>
      </c>
      <c r="QQ13" s="242">
        <f t="shared" si="151"/>
        <v>0</v>
      </c>
      <c r="QR13" s="56"/>
      <c r="QU13" s="55">
        <f t="shared" si="152"/>
        <v>46030</v>
      </c>
      <c r="QV13" s="56"/>
      <c r="QW13" s="242">
        <f>SUMPRODUCT(PRODUCE!$B12:$DY12,PRODUCE!$EB$57:$IY$57)</f>
        <v>0</v>
      </c>
      <c r="QX13" s="56"/>
      <c r="QY13" s="242">
        <f t="shared" si="153"/>
        <v>0</v>
      </c>
      <c r="QZ13" s="242">
        <f t="shared" si="154"/>
        <v>207.6</v>
      </c>
      <c r="RA13" s="56"/>
      <c r="RD13" s="55">
        <f t="shared" si="155"/>
        <v>46030</v>
      </c>
      <c r="RE13" s="56"/>
      <c r="RF13" s="242">
        <f>SUMPRODUCT(PRODUCE!$B12:$DY12,PRODUCE!$EB$58:$IY$58)</f>
        <v>0</v>
      </c>
      <c r="RG13" s="56"/>
      <c r="RH13" s="242">
        <f t="shared" si="156"/>
        <v>0</v>
      </c>
      <c r="RI13" s="242">
        <f t="shared" si="157"/>
        <v>201.8</v>
      </c>
      <c r="RJ13" s="56"/>
      <c r="RM13" s="55">
        <f t="shared" si="158"/>
        <v>46030</v>
      </c>
      <c r="RN13" s="56"/>
      <c r="RO13" s="242">
        <f>SUMPRODUCT(PRODUCE!$B12:$DY12,PRODUCE!$EB$59:$IY$59)</f>
        <v>0</v>
      </c>
      <c r="RP13" s="56"/>
      <c r="RQ13" s="242">
        <f t="shared" si="159"/>
        <v>0</v>
      </c>
      <c r="RR13" s="242">
        <f t="shared" si="160"/>
        <v>22.720000000000002</v>
      </c>
      <c r="RS13" s="56"/>
      <c r="RV13" s="55">
        <f t="shared" si="161"/>
        <v>46030</v>
      </c>
      <c r="RW13" s="56"/>
      <c r="RX13" s="242">
        <f>SUMPRODUCT(PRODUCE!$B12:$DY12,PRODUCE!$EB$57:$IY$57)</f>
        <v>0</v>
      </c>
      <c r="RY13" s="56"/>
      <c r="RZ13" s="242">
        <f t="shared" si="162"/>
        <v>0</v>
      </c>
      <c r="SA13" s="242">
        <f t="shared" si="163"/>
        <v>0</v>
      </c>
      <c r="SB13" s="56"/>
      <c r="SE13" s="55">
        <f t="shared" si="164"/>
        <v>46030</v>
      </c>
      <c r="SF13" s="56"/>
      <c r="SG13" s="242">
        <f>SUMPRODUCT(PRODUCE!$B12:$DY12,PRODUCE!$EB$61:$IY$61)</f>
        <v>0</v>
      </c>
      <c r="SH13" s="56"/>
      <c r="SI13" s="242">
        <f t="shared" si="165"/>
        <v>0</v>
      </c>
      <c r="SJ13" s="242">
        <f t="shared" si="166"/>
        <v>0</v>
      </c>
      <c r="SK13" s="56"/>
      <c r="SN13" s="55">
        <f t="shared" si="167"/>
        <v>46030</v>
      </c>
      <c r="SO13" s="56"/>
      <c r="SP13" s="242">
        <f>SUMPRODUCT(PRODUCE!$B12:$DY12,PRODUCE!$EB$57:$IY$57)</f>
        <v>0</v>
      </c>
      <c r="SQ13" s="56"/>
      <c r="SR13" s="242">
        <f t="shared" si="168"/>
        <v>0</v>
      </c>
      <c r="SS13" s="242">
        <f t="shared" si="169"/>
        <v>0</v>
      </c>
      <c r="ST13" s="56"/>
      <c r="SW13" s="55">
        <f t="shared" si="170"/>
        <v>46030</v>
      </c>
      <c r="SX13" s="56"/>
      <c r="SY13" s="242">
        <f>SUMPRODUCT(PRODUCE!$B12:$DY12,PRODUCE!$EB$57:$IY$57)</f>
        <v>0</v>
      </c>
      <c r="SZ13" s="56"/>
      <c r="TA13" s="242">
        <f t="shared" si="171"/>
        <v>0</v>
      </c>
      <c r="TB13" s="242">
        <f t="shared" si="172"/>
        <v>0</v>
      </c>
      <c r="TC13" s="56"/>
      <c r="TF13" s="55">
        <f t="shared" si="173"/>
        <v>46030</v>
      </c>
      <c r="TG13" s="56"/>
      <c r="TH13" s="242">
        <f>SUMPRODUCT(PRODUCE!$B12:$DY12,PRODUCE!$EB$57:$IY$57)</f>
        <v>0</v>
      </c>
      <c r="TI13" s="56"/>
      <c r="TJ13" s="242">
        <f t="shared" si="174"/>
        <v>0</v>
      </c>
      <c r="TK13" s="242">
        <f t="shared" si="175"/>
        <v>0</v>
      </c>
      <c r="TL13" s="56"/>
      <c r="TO13" s="55">
        <f t="shared" si="176"/>
        <v>46030</v>
      </c>
      <c r="TP13" s="56"/>
      <c r="TQ13" s="242">
        <f>SUMPRODUCT(PRODUCE!$B12:$DY12,PRODUCE!$EB$57:$IY$57)</f>
        <v>0</v>
      </c>
      <c r="TR13" s="56"/>
      <c r="TS13" s="242">
        <f t="shared" si="177"/>
        <v>0</v>
      </c>
      <c r="TT13" s="242">
        <f t="shared" si="178"/>
        <v>0</v>
      </c>
      <c r="TU13" s="56"/>
      <c r="TX13" s="55">
        <f t="shared" si="179"/>
        <v>46030</v>
      </c>
      <c r="TY13" s="56"/>
      <c r="TZ13" s="242">
        <f>SUMPRODUCT(PRODUCE!$B12:$DY12,PRODUCE!$EB$57:$IY$57)</f>
        <v>0</v>
      </c>
      <c r="UA13" s="56"/>
      <c r="UB13" s="242">
        <f t="shared" si="180"/>
        <v>0</v>
      </c>
      <c r="UC13" s="242">
        <f t="shared" si="181"/>
        <v>0</v>
      </c>
      <c r="UD13" s="56"/>
      <c r="UG13" s="55">
        <f t="shared" si="182"/>
        <v>46030</v>
      </c>
      <c r="UH13" s="56"/>
      <c r="UI13" s="242">
        <f>SUMPRODUCT(PRODUCE!$B12:$DY12,PRODUCE!$EB$57:$IY$57)</f>
        <v>0</v>
      </c>
      <c r="UJ13" s="56"/>
      <c r="UK13" s="242">
        <f t="shared" si="183"/>
        <v>0</v>
      </c>
      <c r="UL13" s="242">
        <f t="shared" si="184"/>
        <v>0</v>
      </c>
      <c r="UM13" s="56"/>
      <c r="UP13" s="55">
        <f t="shared" si="185"/>
        <v>46030</v>
      </c>
      <c r="UQ13" s="56"/>
      <c r="UR13" s="242">
        <f>SUMPRODUCT(PRODUCE!$B12:$DY12,PRODUCE!$EB$57:$IY$57)</f>
        <v>0</v>
      </c>
      <c r="US13" s="56"/>
      <c r="UT13" s="242">
        <f t="shared" si="186"/>
        <v>0</v>
      </c>
      <c r="UU13" s="242">
        <f t="shared" si="187"/>
        <v>0</v>
      </c>
      <c r="UV13" s="56"/>
      <c r="UY13" s="55">
        <f t="shared" si="188"/>
        <v>46030</v>
      </c>
      <c r="UZ13" s="56"/>
      <c r="VA13" s="242">
        <f>SUMPRODUCT(PRODUCE!$B12:$DY12,PRODUCE!$EB$57:$IY$57)</f>
        <v>0</v>
      </c>
      <c r="VB13" s="56"/>
      <c r="VC13" s="242">
        <f t="shared" si="189"/>
        <v>0</v>
      </c>
      <c r="VD13" s="242">
        <f t="shared" si="190"/>
        <v>-319.59999999999997</v>
      </c>
      <c r="VE13" s="56"/>
      <c r="VH13" s="55">
        <f t="shared" si="191"/>
        <v>46030</v>
      </c>
      <c r="VI13" s="56"/>
      <c r="VJ13" s="242">
        <f>SUMPRODUCT(PRODUCE!$B12:$DY12,PRODUCE!$EB$57:$IY$57)</f>
        <v>0</v>
      </c>
      <c r="VK13" s="56"/>
      <c r="VL13" s="242">
        <f t="shared" si="192"/>
        <v>0</v>
      </c>
      <c r="VM13" s="242">
        <f t="shared" si="193"/>
        <v>0</v>
      </c>
      <c r="VN13" s="56"/>
      <c r="VQ13" s="55">
        <f t="shared" si="194"/>
        <v>46030</v>
      </c>
      <c r="VR13" s="56"/>
      <c r="VS13" s="242">
        <f>SUMPRODUCT(PRODUCE!$B12:$DY12,PRODUCE!$EB$57:$IY$57)</f>
        <v>0</v>
      </c>
      <c r="VT13" s="56"/>
      <c r="VU13" s="242">
        <f t="shared" si="195"/>
        <v>0</v>
      </c>
      <c r="VV13" s="242">
        <f t="shared" si="196"/>
        <v>0</v>
      </c>
      <c r="VW13" s="56"/>
      <c r="VZ13" s="55">
        <f t="shared" si="197"/>
        <v>46030</v>
      </c>
      <c r="WA13" s="56"/>
      <c r="WB13" s="242">
        <f>SUMPRODUCT(PRODUCE!$B12:$DY12,PRODUCE!$EB$57:$IY$57)</f>
        <v>0</v>
      </c>
      <c r="WC13" s="56"/>
      <c r="WD13" s="242">
        <f t="shared" si="198"/>
        <v>0</v>
      </c>
      <c r="WE13" s="242">
        <f t="shared" si="199"/>
        <v>0</v>
      </c>
      <c r="WF13" s="56"/>
      <c r="WI13" s="55">
        <f t="shared" si="200"/>
        <v>46030</v>
      </c>
      <c r="WJ13" s="56"/>
      <c r="WK13" s="242">
        <f>SUMPRODUCT(PRODUCE!$B12:$DY12,PRODUCE!$EB$57:$IY$57)</f>
        <v>0</v>
      </c>
      <c r="WL13" s="56"/>
      <c r="WM13" s="242">
        <f t="shared" si="201"/>
        <v>0</v>
      </c>
      <c r="WN13" s="242">
        <f t="shared" si="202"/>
        <v>5877</v>
      </c>
      <c r="WO13" s="56"/>
      <c r="WR13" s="55">
        <f t="shared" si="203"/>
        <v>46030</v>
      </c>
      <c r="WS13" s="56"/>
      <c r="WT13" s="242">
        <f>SUMPRODUCT(PRODUCE!$B12:$DY12,PRODUCE!$EB$57:$IY$57)</f>
        <v>0</v>
      </c>
      <c r="WU13" s="56"/>
      <c r="WV13" s="242">
        <f t="shared" si="204"/>
        <v>0</v>
      </c>
      <c r="WW13" s="242">
        <f t="shared" si="205"/>
        <v>5267</v>
      </c>
      <c r="WX13" s="56"/>
      <c r="XA13" s="55">
        <f t="shared" si="206"/>
        <v>46030</v>
      </c>
      <c r="XB13" s="56"/>
      <c r="XC13" s="242">
        <f>SUMPRODUCT(PRODUCE!$B12:$DY12,PRODUCE!$EB$57:$IY$57)</f>
        <v>0</v>
      </c>
      <c r="XD13" s="56"/>
      <c r="XE13" s="242">
        <f t="shared" si="207"/>
        <v>0</v>
      </c>
      <c r="XF13" s="242">
        <f t="shared" si="208"/>
        <v>2446</v>
      </c>
      <c r="XG13" s="56"/>
      <c r="XJ13" s="55">
        <f t="shared" si="209"/>
        <v>46030</v>
      </c>
      <c r="XK13" s="56"/>
      <c r="XL13" s="242">
        <f>SUMPRODUCT(PRODUCE!$B12:$DY12,PRODUCE!$EB$57:$IY$57)</f>
        <v>0</v>
      </c>
      <c r="XM13" s="56"/>
      <c r="XN13" s="242">
        <f t="shared" si="210"/>
        <v>0</v>
      </c>
      <c r="XO13" s="242">
        <f t="shared" si="211"/>
        <v>6772</v>
      </c>
      <c r="XP13" s="56"/>
      <c r="XS13" s="55">
        <f t="shared" si="212"/>
        <v>46030</v>
      </c>
      <c r="XT13" s="56"/>
      <c r="XU13" s="242">
        <f>SUMPRODUCT(PRODUCE!$B12:$DY12,PRODUCE!$EB$57:$IY$57)</f>
        <v>0</v>
      </c>
      <c r="XV13" s="56"/>
      <c r="XW13" s="242">
        <f t="shared" si="213"/>
        <v>0</v>
      </c>
      <c r="XX13" s="242">
        <f t="shared" si="214"/>
        <v>1901</v>
      </c>
      <c r="XY13" s="56"/>
      <c r="YB13" s="55">
        <f t="shared" si="215"/>
        <v>46030</v>
      </c>
      <c r="YC13" s="56"/>
      <c r="YD13" s="242">
        <f>SUMPRODUCT(PRODUCE!$B12:$DY12,PRODUCE!$EB$57:$IY$57)</f>
        <v>0</v>
      </c>
      <c r="YE13" s="56"/>
      <c r="YF13" s="242">
        <f t="shared" si="216"/>
        <v>0</v>
      </c>
      <c r="YG13" s="242">
        <f t="shared" si="217"/>
        <v>4175</v>
      </c>
      <c r="YH13" s="56"/>
      <c r="YK13" s="55">
        <f t="shared" si="218"/>
        <v>46030</v>
      </c>
      <c r="YL13" s="56"/>
      <c r="YM13" s="242">
        <f>SUMPRODUCT(PRODUCE!$B12:$DY12,PRODUCE!$EB$57:$IY$57)</f>
        <v>0</v>
      </c>
      <c r="YN13" s="56"/>
      <c r="YO13" s="242">
        <f t="shared" si="219"/>
        <v>0</v>
      </c>
      <c r="YP13" s="242">
        <f t="shared" si="220"/>
        <v>0</v>
      </c>
      <c r="YQ13" s="56"/>
      <c r="YT13" s="55">
        <f t="shared" si="221"/>
        <v>46030</v>
      </c>
      <c r="YU13" s="56"/>
      <c r="YV13" s="242">
        <f>SUMPRODUCT(PRODUCE!$B12:$DY12,PRODUCE!$EB$57:$IY$57)</f>
        <v>0</v>
      </c>
      <c r="YW13" s="56"/>
      <c r="YX13" s="242">
        <f t="shared" si="222"/>
        <v>0</v>
      </c>
      <c r="YY13" s="242">
        <f t="shared" si="223"/>
        <v>0</v>
      </c>
      <c r="YZ13" s="56"/>
      <c r="ZC13" s="55">
        <f t="shared" si="224"/>
        <v>46030</v>
      </c>
      <c r="ZD13" s="56"/>
      <c r="ZE13" s="242">
        <f>SUMPRODUCT(PRODUCE!$B12:$DY12,PRODUCE!$EB$57:$IY$57)</f>
        <v>0</v>
      </c>
      <c r="ZF13" s="56"/>
      <c r="ZG13" s="242">
        <f t="shared" si="225"/>
        <v>0</v>
      </c>
      <c r="ZH13" s="242">
        <f t="shared" si="226"/>
        <v>0</v>
      </c>
      <c r="ZI13" s="56"/>
      <c r="ZL13" s="55">
        <f t="shared" si="227"/>
        <v>46030</v>
      </c>
      <c r="ZM13" s="56"/>
      <c r="ZN13" s="242">
        <f>SUMPRODUCT(PRODUCE!$B12:$DY12,PRODUCE!$EB$57:$IY$57)</f>
        <v>0</v>
      </c>
      <c r="ZO13" s="56"/>
      <c r="ZP13" s="242">
        <f t="shared" si="228"/>
        <v>0</v>
      </c>
      <c r="ZQ13" s="242">
        <f t="shared" si="229"/>
        <v>0</v>
      </c>
      <c r="ZR13" s="56"/>
      <c r="ZU13" s="55">
        <f t="shared" si="230"/>
        <v>46030</v>
      </c>
      <c r="ZV13" s="56"/>
      <c r="ZW13" s="242">
        <f>SUMPRODUCT(PRODUCE!$B12:$DY12,PRODUCE!$EB$57:$IY$57)</f>
        <v>0</v>
      </c>
      <c r="ZX13" s="56"/>
      <c r="ZY13" s="242">
        <f t="shared" si="231"/>
        <v>0</v>
      </c>
      <c r="ZZ13" s="242">
        <f t="shared" si="232"/>
        <v>0</v>
      </c>
      <c r="AAA13" s="56"/>
      <c r="AAD13" s="55">
        <f t="shared" si="233"/>
        <v>46030</v>
      </c>
      <c r="AAE13" s="56"/>
      <c r="AAF13" s="242">
        <f>SUMPRODUCT(PRODUCE!$B12:$DY12,PRODUCE!$EB$57:$IY$57)</f>
        <v>0</v>
      </c>
      <c r="AAG13" s="56"/>
      <c r="AAH13" s="242">
        <f t="shared" si="234"/>
        <v>0</v>
      </c>
      <c r="AAI13" s="242">
        <f t="shared" si="235"/>
        <v>0</v>
      </c>
      <c r="AAJ13" s="56"/>
      <c r="AAM13" s="55">
        <f t="shared" si="236"/>
        <v>46030</v>
      </c>
      <c r="AAN13" s="56"/>
      <c r="AAO13" s="242">
        <f>SUMPRODUCT(PRODUCE!$B12:$DY12,PRODUCE!$EB$57:$IY$57)</f>
        <v>0</v>
      </c>
      <c r="AAP13" s="56"/>
      <c r="AAQ13" s="242">
        <f t="shared" si="237"/>
        <v>0</v>
      </c>
      <c r="AAR13" s="242">
        <f t="shared" si="238"/>
        <v>0</v>
      </c>
      <c r="AAS13" s="56"/>
      <c r="AAV13" s="55">
        <f t="shared" si="239"/>
        <v>46030</v>
      </c>
      <c r="AAW13" s="56"/>
      <c r="AAX13" s="242">
        <f>SUMPRODUCT(PRODUCE!$B12:$DY12,PRODUCE!$EB$57:$IY$57)</f>
        <v>0</v>
      </c>
      <c r="AAY13" s="56"/>
      <c r="AAZ13" s="242">
        <f t="shared" si="240"/>
        <v>0</v>
      </c>
      <c r="ABA13" s="242">
        <f t="shared" si="241"/>
        <v>0</v>
      </c>
      <c r="ABB13" s="56"/>
      <c r="ABE13" s="55">
        <f t="shared" si="242"/>
        <v>46030</v>
      </c>
      <c r="ABF13" s="56"/>
      <c r="ABG13" s="242">
        <f>SUMPRODUCT(PRODUCE!$B12:$DY12,PRODUCE!$EB$57:$IY$57)</f>
        <v>0</v>
      </c>
      <c r="ABH13" s="56"/>
      <c r="ABI13" s="242">
        <f t="shared" si="243"/>
        <v>0</v>
      </c>
      <c r="ABJ13" s="242">
        <f t="shared" si="244"/>
        <v>0</v>
      </c>
      <c r="ABK13" s="56"/>
    </row>
    <row r="14" spans="1:740" s="54" customFormat="1" ht="15" customHeight="1" outlineLevel="1">
      <c r="B14" s="478">
        <v>40</v>
      </c>
      <c r="C14" s="55">
        <v>46031</v>
      </c>
      <c r="D14" s="422"/>
      <c r="E14" s="423">
        <f>SUMPRODUCT(PRODUCE!$B13:$DY13,PRODUCE!$EB$7:$IY$7)</f>
        <v>21460</v>
      </c>
      <c r="F14" s="422">
        <v>21454.6</v>
      </c>
      <c r="G14" s="423">
        <f t="shared" si="2"/>
        <v>5.4000000000014552</v>
      </c>
      <c r="H14" s="423">
        <f t="shared" si="0"/>
        <v>44667.200000000004</v>
      </c>
      <c r="I14" s="289" t="s">
        <v>180</v>
      </c>
      <c r="L14" s="55">
        <f t="shared" si="1"/>
        <v>46031</v>
      </c>
      <c r="M14" s="422"/>
      <c r="N14" s="438">
        <f>SUMPRODUCT(PRODUCE!$B13:$DY13,PRODUCE!$EB$8:$IY$8)</f>
        <v>11159.999999999998</v>
      </c>
      <c r="O14" s="422">
        <v>11159.6</v>
      </c>
      <c r="P14" s="438">
        <f t="shared" si="3"/>
        <v>0.39999999999781721</v>
      </c>
      <c r="Q14" s="438">
        <f t="shared" si="4"/>
        <v>2578.2000000000062</v>
      </c>
      <c r="R14" s="56"/>
      <c r="U14" s="55">
        <f t="shared" si="5"/>
        <v>46031</v>
      </c>
      <c r="V14" s="422">
        <v>30120</v>
      </c>
      <c r="W14" s="440">
        <f>SUMPRODUCT(PRODUCE!$B13:$DY13,PRODUCE!$EB$9:$IY$9)</f>
        <v>2000</v>
      </c>
      <c r="X14" s="422">
        <v>1999</v>
      </c>
      <c r="Y14" s="440">
        <f t="shared" si="6"/>
        <v>1</v>
      </c>
      <c r="Z14" s="440">
        <f t="shared" si="7"/>
        <v>42736.299999999988</v>
      </c>
      <c r="AA14" s="56"/>
      <c r="AD14" s="55">
        <f t="shared" si="8"/>
        <v>46031</v>
      </c>
      <c r="AE14" s="422"/>
      <c r="AF14" s="442">
        <f>SUMPRODUCT(PRODUCE!$B13:$DY13,PRODUCE!$EB$10:$IY$10)</f>
        <v>2000</v>
      </c>
      <c r="AG14" s="422">
        <v>2000.2</v>
      </c>
      <c r="AH14" s="442">
        <f t="shared" si="9"/>
        <v>-0.20000000000004547</v>
      </c>
      <c r="AI14" s="442">
        <f t="shared" si="10"/>
        <v>10789.900000000011</v>
      </c>
      <c r="AJ14" s="56"/>
      <c r="AM14" s="55">
        <f t="shared" si="11"/>
        <v>46031</v>
      </c>
      <c r="AN14" s="422"/>
      <c r="AO14" s="444">
        <f>SUMPRODUCT(PRODUCE!$B13:$DY13,PRODUCE!$EB$11:$IY$11)</f>
        <v>0</v>
      </c>
      <c r="AP14" s="422"/>
      <c r="AQ14" s="444">
        <f t="shared" si="12"/>
        <v>0</v>
      </c>
      <c r="AR14" s="444">
        <f t="shared" si="13"/>
        <v>0</v>
      </c>
      <c r="AS14" s="56"/>
      <c r="AV14" s="55">
        <f t="shared" si="14"/>
        <v>46031</v>
      </c>
      <c r="AW14" s="422"/>
      <c r="AX14" s="446">
        <f>SUMPRODUCT(PRODUCE!$B13:$DY13,PRODUCE!$EB$12:$IY$12)</f>
        <v>800</v>
      </c>
      <c r="AY14" s="422">
        <v>801.9</v>
      </c>
      <c r="AZ14" s="446">
        <f t="shared" si="15"/>
        <v>-1.8999999999999773</v>
      </c>
      <c r="BA14" s="446">
        <f t="shared" si="16"/>
        <v>19756.899999999991</v>
      </c>
      <c r="BB14" s="56"/>
      <c r="BE14" s="55">
        <f t="shared" si="17"/>
        <v>46031</v>
      </c>
      <c r="BF14" s="422"/>
      <c r="BG14" s="448">
        <f>SUMPRODUCT(PRODUCE!$B13:$DY13,PRODUCE!$EB$13:$IY$13)</f>
        <v>800</v>
      </c>
      <c r="BH14" s="422">
        <v>801.4</v>
      </c>
      <c r="BI14" s="448">
        <f t="shared" si="18"/>
        <v>-1.3999999999999773</v>
      </c>
      <c r="BJ14" s="448">
        <f t="shared" si="19"/>
        <v>17688.200000000004</v>
      </c>
      <c r="BK14" s="56"/>
      <c r="BN14" s="55">
        <f t="shared" si="20"/>
        <v>46031</v>
      </c>
      <c r="BO14" s="422">
        <v>800</v>
      </c>
      <c r="BP14" s="450">
        <f>SUMPRODUCT(PRODUCE!$B13:$DY13,PRODUCE!$EB$14:$IY$14)</f>
        <v>800</v>
      </c>
      <c r="BQ14" s="422">
        <v>800</v>
      </c>
      <c r="BR14" s="450">
        <f t="shared" si="21"/>
        <v>0</v>
      </c>
      <c r="BS14" s="450">
        <f t="shared" si="22"/>
        <v>0</v>
      </c>
      <c r="BT14" s="56"/>
      <c r="BW14" s="55">
        <f t="shared" si="23"/>
        <v>46031</v>
      </c>
      <c r="BX14" s="56"/>
      <c r="BY14" s="65">
        <f>SUMPRODUCT(PRODUCE!$B13:$DY13,PRODUCE!$EB$15:$IY$15)</f>
        <v>0</v>
      </c>
      <c r="BZ14" s="56"/>
      <c r="CA14" s="65">
        <f t="shared" si="24"/>
        <v>0</v>
      </c>
      <c r="CB14" s="65">
        <f t="shared" si="25"/>
        <v>3512.5</v>
      </c>
      <c r="CC14" s="56"/>
      <c r="CF14" s="55">
        <f t="shared" si="26"/>
        <v>46031</v>
      </c>
      <c r="CG14" s="56"/>
      <c r="CH14" s="66">
        <f>SUMPRODUCT(PRODUCE!$B13:$DY13,PRODUCE!$EB$16:$IY$16)</f>
        <v>0</v>
      </c>
      <c r="CI14" s="56"/>
      <c r="CJ14" s="66">
        <f t="shared" si="27"/>
        <v>0</v>
      </c>
      <c r="CK14" s="66">
        <f t="shared" si="28"/>
        <v>0</v>
      </c>
      <c r="CL14" s="56"/>
      <c r="CO14" s="55">
        <f t="shared" si="29"/>
        <v>46031</v>
      </c>
      <c r="CP14" s="422"/>
      <c r="CQ14" s="470">
        <f>SUMPRODUCT(PRODUCE!$B13:$DY13,PRODUCE!$EB$17:$IY$17)</f>
        <v>0</v>
      </c>
      <c r="CR14" s="422"/>
      <c r="CS14" s="470">
        <f t="shared" si="30"/>
        <v>0</v>
      </c>
      <c r="CT14" s="470">
        <f t="shared" si="31"/>
        <v>0</v>
      </c>
      <c r="CU14" s="56"/>
      <c r="CX14" s="55">
        <f t="shared" si="32"/>
        <v>46031</v>
      </c>
      <c r="CY14" s="56"/>
      <c r="CZ14" s="133">
        <f>SUMPRODUCT(PRODUCE!$B13:$DY13,PRODUCE!$EB$18:$IY$18)</f>
        <v>0</v>
      </c>
      <c r="DA14" s="56"/>
      <c r="DB14" s="133">
        <f t="shared" si="33"/>
        <v>0</v>
      </c>
      <c r="DC14" s="133">
        <f t="shared" si="34"/>
        <v>0</v>
      </c>
      <c r="DD14" s="56"/>
      <c r="DG14" s="55">
        <f t="shared" si="35"/>
        <v>46031</v>
      </c>
      <c r="DH14" s="56"/>
      <c r="DI14" s="147">
        <f>SUMPRODUCT(PRODUCE!$B13:$DY13,PRODUCE!$EB$19:$IY$19)</f>
        <v>0</v>
      </c>
      <c r="DJ14" s="56"/>
      <c r="DK14" s="147">
        <f t="shared" si="36"/>
        <v>0</v>
      </c>
      <c r="DL14" s="147">
        <f t="shared" si="37"/>
        <v>26092</v>
      </c>
      <c r="DM14" s="56"/>
      <c r="DP14" s="55">
        <f t="shared" si="38"/>
        <v>46031</v>
      </c>
      <c r="DQ14" s="56"/>
      <c r="DR14" s="57">
        <f>SUMPRODUCT(PRODUCE!$B13:$DY13,PRODUCE!$EB$20:$IY$20)</f>
        <v>0</v>
      </c>
      <c r="DS14" s="56"/>
      <c r="DT14" s="57">
        <f t="shared" si="39"/>
        <v>0</v>
      </c>
      <c r="DU14" s="57">
        <f t="shared" si="40"/>
        <v>0</v>
      </c>
      <c r="DV14" s="56"/>
      <c r="DY14" s="55">
        <f t="shared" si="41"/>
        <v>46031</v>
      </c>
      <c r="DZ14" s="56"/>
      <c r="EA14" s="157">
        <f>SUMPRODUCT(PRODUCE!$B13:$DY13,PRODUCE!$EB$21:$IY$21)</f>
        <v>0</v>
      </c>
      <c r="EB14" s="56"/>
      <c r="EC14" s="157">
        <f t="shared" si="42"/>
        <v>0</v>
      </c>
      <c r="ED14" s="157">
        <f t="shared" si="43"/>
        <v>0</v>
      </c>
      <c r="EE14" s="56"/>
      <c r="EH14" s="55">
        <f t="shared" si="44"/>
        <v>46031</v>
      </c>
      <c r="EI14" s="56"/>
      <c r="EJ14" s="162">
        <f>SUMPRODUCT(PRODUCE!$B13:$DY13,PRODUCE!$EB$22:$IY$22)</f>
        <v>0</v>
      </c>
      <c r="EK14" s="56"/>
      <c r="EL14" s="162">
        <f t="shared" si="45"/>
        <v>0</v>
      </c>
      <c r="EM14" s="162">
        <f t="shared" si="46"/>
        <v>0</v>
      </c>
      <c r="EN14" s="56"/>
      <c r="EQ14" s="55">
        <f t="shared" si="47"/>
        <v>46031</v>
      </c>
      <c r="ER14" s="56"/>
      <c r="ES14" s="135">
        <f>SUMPRODUCT(PRODUCE!$B13:$DY13,PRODUCE!$EB$23:$IY$23)</f>
        <v>0</v>
      </c>
      <c r="ET14" s="56"/>
      <c r="EU14" s="135">
        <f t="shared" si="48"/>
        <v>0</v>
      </c>
      <c r="EV14" s="135">
        <f t="shared" si="49"/>
        <v>0</v>
      </c>
      <c r="EW14" s="56"/>
      <c r="EZ14" s="55">
        <f t="shared" si="50"/>
        <v>46031</v>
      </c>
      <c r="FA14" s="56"/>
      <c r="FB14" s="175">
        <f>SUMPRODUCT(PRODUCE!$B13:$DY13,PRODUCE!$EB$24:$IY$24)</f>
        <v>0</v>
      </c>
      <c r="FC14" s="56"/>
      <c r="FD14" s="175">
        <f t="shared" si="51"/>
        <v>0</v>
      </c>
      <c r="FE14" s="175">
        <f t="shared" si="52"/>
        <v>0</v>
      </c>
      <c r="FF14" s="56"/>
      <c r="FI14" s="55">
        <f t="shared" si="53"/>
        <v>46031</v>
      </c>
      <c r="FJ14" s="56"/>
      <c r="FK14" s="183">
        <f>SUMPRODUCT(PRODUCE!$B13:$DY13,PRODUCE!$EB$25:$IY$25)</f>
        <v>0</v>
      </c>
      <c r="FL14" s="56"/>
      <c r="FM14" s="183">
        <f t="shared" si="54"/>
        <v>0</v>
      </c>
      <c r="FN14" s="183">
        <f t="shared" si="55"/>
        <v>0</v>
      </c>
      <c r="FO14" s="56"/>
      <c r="FR14" s="55">
        <f t="shared" si="56"/>
        <v>46031</v>
      </c>
      <c r="FS14" s="422"/>
      <c r="FT14" s="452">
        <f>SUMPRODUCT(PRODUCE!$B13:$DY13,PRODUCE!$EB$26:$IY$26)</f>
        <v>0</v>
      </c>
      <c r="FU14" s="422"/>
      <c r="FV14" s="452">
        <f t="shared" si="57"/>
        <v>0</v>
      </c>
      <c r="FW14" s="452">
        <f t="shared" si="58"/>
        <v>3540</v>
      </c>
      <c r="FX14" s="56"/>
      <c r="GA14" s="55">
        <f t="shared" si="59"/>
        <v>46031</v>
      </c>
      <c r="GB14" s="422"/>
      <c r="GC14" s="454">
        <f>SUMPRODUCT(PRODUCE!$B13:$DY13,PRODUCE!$EB$27:$IY$27)</f>
        <v>0</v>
      </c>
      <c r="GD14" s="422"/>
      <c r="GE14" s="454">
        <f t="shared" si="60"/>
        <v>0</v>
      </c>
      <c r="GF14" s="454">
        <f t="shared" si="61"/>
        <v>1960</v>
      </c>
      <c r="GG14" s="56"/>
      <c r="GI14" s="23"/>
      <c r="GJ14" s="55">
        <f t="shared" si="62"/>
        <v>46031</v>
      </c>
      <c r="GK14" s="422">
        <f>150*20</f>
        <v>3000</v>
      </c>
      <c r="GL14" s="456">
        <f>SUMPRODUCT(PRODUCE!$B13:$DY13,PRODUCE!$EB$28:$IY$28)</f>
        <v>0</v>
      </c>
      <c r="GM14" s="422"/>
      <c r="GN14" s="456">
        <f t="shared" si="63"/>
        <v>0</v>
      </c>
      <c r="GO14" s="456">
        <f t="shared" si="64"/>
        <v>7560</v>
      </c>
      <c r="GP14" s="56"/>
      <c r="GS14" s="55">
        <f t="shared" si="65"/>
        <v>46031</v>
      </c>
      <c r="GT14" s="56"/>
      <c r="GU14" s="195">
        <f>SUMPRODUCT(PRODUCE!$B13:$DY13,PRODUCE!$EB$29:$IY$29)</f>
        <v>0</v>
      </c>
      <c r="GV14" s="56"/>
      <c r="GW14" s="195">
        <f t="shared" si="66"/>
        <v>0</v>
      </c>
      <c r="GX14" s="195">
        <f t="shared" si="67"/>
        <v>0</v>
      </c>
      <c r="GY14" s="56"/>
      <c r="HB14" s="55">
        <f t="shared" si="68"/>
        <v>46031</v>
      </c>
      <c r="HC14" s="56"/>
      <c r="HD14" s="191">
        <f>SUMPRODUCT(PRODUCE!$B13:$DY13,PRODUCE!$EB$30:$IY$30)</f>
        <v>0</v>
      </c>
      <c r="HE14" s="56"/>
      <c r="HF14" s="191">
        <f t="shared" si="69"/>
        <v>0</v>
      </c>
      <c r="HG14" s="191">
        <f t="shared" si="70"/>
        <v>0</v>
      </c>
      <c r="HH14" s="56"/>
      <c r="HK14" s="55">
        <f t="shared" si="71"/>
        <v>46031</v>
      </c>
      <c r="HL14" s="56"/>
      <c r="HM14" s="63">
        <f>SUMPRODUCT(PRODUCE!$B13:$DY13,PRODUCE!$EB$31:$IY$31)</f>
        <v>0</v>
      </c>
      <c r="HN14" s="56"/>
      <c r="HO14" s="63">
        <f t="shared" si="72"/>
        <v>0</v>
      </c>
      <c r="HP14" s="63">
        <f t="shared" si="73"/>
        <v>0</v>
      </c>
      <c r="HQ14" s="56"/>
      <c r="HU14" s="55">
        <f t="shared" si="74"/>
        <v>46031</v>
      </c>
      <c r="HV14" s="56"/>
      <c r="HW14" s="242">
        <f>SUMPRODUCT(PRODUCE!$B13:$DY13,PRODUCE!$EB$32:$IY$32)</f>
        <v>0</v>
      </c>
      <c r="HX14" s="56"/>
      <c r="HY14" s="242">
        <f t="shared" si="75"/>
        <v>0</v>
      </c>
      <c r="HZ14" s="242">
        <f t="shared" si="76"/>
        <v>4480</v>
      </c>
      <c r="IA14" s="56"/>
      <c r="ID14" s="55">
        <f t="shared" si="77"/>
        <v>46031</v>
      </c>
      <c r="IE14" s="56"/>
      <c r="IF14" s="242">
        <f>SUMPRODUCT(PRODUCE!$B13:$DY13,PRODUCE!$EB$33:$IY$33)</f>
        <v>0</v>
      </c>
      <c r="IG14" s="56"/>
      <c r="IH14" s="242">
        <f t="shared" si="78"/>
        <v>0</v>
      </c>
      <c r="II14" s="242">
        <f t="shared" si="79"/>
        <v>5100</v>
      </c>
      <c r="IJ14" s="56"/>
      <c r="IM14" s="55">
        <f t="shared" si="80"/>
        <v>46031</v>
      </c>
      <c r="IN14" s="56"/>
      <c r="IO14" s="242">
        <f>SUMPRODUCT(PRODUCE!$B13:$DY13,PRODUCE!$EB$34:$IY$34)</f>
        <v>800</v>
      </c>
      <c r="IP14" s="56"/>
      <c r="IQ14" s="242">
        <f t="shared" si="81"/>
        <v>800</v>
      </c>
      <c r="IR14" s="242">
        <f t="shared" si="82"/>
        <v>13760</v>
      </c>
      <c r="IS14" s="56"/>
      <c r="IV14" s="55">
        <f t="shared" si="83"/>
        <v>46031</v>
      </c>
      <c r="IW14" s="56">
        <v>2000</v>
      </c>
      <c r="IX14" s="242">
        <f>SUMPRODUCT(PRODUCE!$B13:$DY13,PRODUCE!$EB$35:$IY$35)</f>
        <v>0</v>
      </c>
      <c r="IY14" s="56"/>
      <c r="IZ14" s="242">
        <f t="shared" si="84"/>
        <v>0</v>
      </c>
      <c r="JA14" s="242">
        <f t="shared" si="85"/>
        <v>5920</v>
      </c>
      <c r="JB14" s="56"/>
      <c r="JE14" s="55">
        <f t="shared" si="86"/>
        <v>46031</v>
      </c>
      <c r="JF14" s="56"/>
      <c r="JG14" s="242">
        <f>SUMPRODUCT(PRODUCE!$B13:$DY13,PRODUCE!$EB$36:$IY$36)</f>
        <v>0</v>
      </c>
      <c r="JH14" s="56"/>
      <c r="JI14" s="242">
        <f t="shared" si="87"/>
        <v>0</v>
      </c>
      <c r="JJ14" s="242">
        <f t="shared" si="88"/>
        <v>6800</v>
      </c>
      <c r="JK14" s="56"/>
      <c r="JN14" s="55">
        <f t="shared" si="89"/>
        <v>46031</v>
      </c>
      <c r="JO14" s="56">
        <v>1000</v>
      </c>
      <c r="JP14" s="242">
        <f>SUMPRODUCT(PRODUCE!$B13:$DY13,PRODUCE!$EB$37:$IY$37)</f>
        <v>0</v>
      </c>
      <c r="JQ14" s="56"/>
      <c r="JR14" s="242">
        <f t="shared" si="90"/>
        <v>0</v>
      </c>
      <c r="JS14" s="242">
        <f t="shared" si="91"/>
        <v>5400</v>
      </c>
      <c r="JT14" s="56"/>
      <c r="JW14" s="55">
        <f t="shared" si="92"/>
        <v>46031</v>
      </c>
      <c r="JX14" s="56"/>
      <c r="JY14" s="242">
        <f>SUMPRODUCT(PRODUCE!$B13:$DY13,PRODUCE!$EB$38:$IY$38)</f>
        <v>0</v>
      </c>
      <c r="JZ14" s="56"/>
      <c r="KA14" s="242">
        <f t="shared" si="93"/>
        <v>0</v>
      </c>
      <c r="KB14" s="242">
        <f t="shared" si="94"/>
        <v>0</v>
      </c>
      <c r="KC14" s="56"/>
      <c r="KF14" s="55">
        <f t="shared" si="95"/>
        <v>46031</v>
      </c>
      <c r="KG14" s="56"/>
      <c r="KH14" s="242">
        <f>SUMPRODUCT(PRODUCE!$B13:$DY13,PRODUCE!$EB$39:$IY$39)</f>
        <v>0</v>
      </c>
      <c r="KI14" s="56"/>
      <c r="KJ14" s="242">
        <f t="shared" si="96"/>
        <v>0</v>
      </c>
      <c r="KK14" s="242">
        <f t="shared" si="97"/>
        <v>0</v>
      </c>
      <c r="KL14" s="56"/>
      <c r="KO14" s="55">
        <f t="shared" si="98"/>
        <v>46031</v>
      </c>
      <c r="KP14" s="56"/>
      <c r="KQ14" s="242">
        <f>SUMPRODUCT(PRODUCE!$B13:$DY13,PRODUCE!$EB$40:$IY$40)</f>
        <v>0</v>
      </c>
      <c r="KR14" s="56"/>
      <c r="KS14" s="242">
        <f t="shared" si="99"/>
        <v>0</v>
      </c>
      <c r="KT14" s="242">
        <f t="shared" si="100"/>
        <v>0</v>
      </c>
      <c r="KU14" s="56"/>
      <c r="KW14" s="23"/>
      <c r="KX14" s="55">
        <f t="shared" si="101"/>
        <v>46031</v>
      </c>
      <c r="KY14" s="56"/>
      <c r="KZ14" s="242">
        <f>SUMPRODUCT(PRODUCE!$B13:$DY13,PRODUCE!$EB$41:$IY$41)</f>
        <v>0</v>
      </c>
      <c r="LA14" s="56"/>
      <c r="LB14" s="242">
        <f t="shared" si="102"/>
        <v>0</v>
      </c>
      <c r="LC14" s="242">
        <f t="shared" si="103"/>
        <v>0</v>
      </c>
      <c r="LD14" s="56"/>
      <c r="LG14" s="55">
        <f t="shared" si="104"/>
        <v>46031</v>
      </c>
      <c r="LH14" s="56"/>
      <c r="LI14" s="242">
        <f>SUMPRODUCT(PRODUCE!$B13:$DY13,PRODUCE!$EB$42:$IY$42)</f>
        <v>0</v>
      </c>
      <c r="LJ14" s="56"/>
      <c r="LK14" s="242">
        <f t="shared" si="105"/>
        <v>0</v>
      </c>
      <c r="LL14" s="242">
        <f t="shared" si="106"/>
        <v>0</v>
      </c>
      <c r="LM14" s="56"/>
      <c r="LP14" s="55">
        <f t="shared" si="107"/>
        <v>46031</v>
      </c>
      <c r="LQ14" s="56"/>
      <c r="LR14" s="242">
        <f>SUMPRODUCT(PRODUCE!$B13:$DY13,PRODUCE!$EB$43:$IY$43)</f>
        <v>0</v>
      </c>
      <c r="LS14" s="56"/>
      <c r="LT14" s="242">
        <f t="shared" si="108"/>
        <v>0</v>
      </c>
      <c r="LU14" s="242">
        <f t="shared" si="109"/>
        <v>0</v>
      </c>
      <c r="LV14" s="56"/>
      <c r="LY14" s="55">
        <f t="shared" si="110"/>
        <v>46031</v>
      </c>
      <c r="LZ14" s="56"/>
      <c r="MA14" s="242">
        <f>SUMPRODUCT(PRODUCE!$B13:$DY13,PRODUCE!$EB$44:$IY$44)</f>
        <v>0</v>
      </c>
      <c r="MB14" s="56"/>
      <c r="MC14" s="242">
        <f t="shared" si="111"/>
        <v>0</v>
      </c>
      <c r="MD14" s="242">
        <f t="shared" si="112"/>
        <v>0</v>
      </c>
      <c r="ME14" s="56"/>
      <c r="MH14" s="55">
        <f t="shared" si="113"/>
        <v>46031</v>
      </c>
      <c r="MI14" s="56"/>
      <c r="MJ14" s="242">
        <f>SUMPRODUCT(PRODUCE!$B13:$DY13,PRODUCE!$EB$45:$IY$45)</f>
        <v>0</v>
      </c>
      <c r="MK14" s="56"/>
      <c r="ML14" s="242">
        <f t="shared" si="114"/>
        <v>0</v>
      </c>
      <c r="MM14" s="242">
        <f t="shared" si="115"/>
        <v>0</v>
      </c>
      <c r="MN14" s="56"/>
      <c r="MQ14" s="55">
        <f t="shared" si="116"/>
        <v>46031</v>
      </c>
      <c r="MR14" s="56"/>
      <c r="MS14" s="242">
        <f>SUMPRODUCT(PRODUCE!$B13:$DY13,PRODUCE!$EB$46:$IY$46)</f>
        <v>20</v>
      </c>
      <c r="MT14" s="56"/>
      <c r="MU14" s="242">
        <f t="shared" si="117"/>
        <v>20</v>
      </c>
      <c r="MV14" s="242">
        <f t="shared" si="118"/>
        <v>1371</v>
      </c>
      <c r="MW14" s="56"/>
      <c r="MZ14" s="55">
        <f t="shared" si="119"/>
        <v>46031</v>
      </c>
      <c r="NA14" s="56"/>
      <c r="NB14" s="242">
        <f>SUMPRODUCT(PRODUCE!$B13:$DY13,PRODUCE!$EB$47:$IY$47)</f>
        <v>120</v>
      </c>
      <c r="NC14" s="56"/>
      <c r="ND14" s="242">
        <f t="shared" si="120"/>
        <v>120</v>
      </c>
      <c r="NE14" s="242">
        <f t="shared" si="121"/>
        <v>0</v>
      </c>
      <c r="NF14" s="56"/>
      <c r="NI14" s="55">
        <f t="shared" si="122"/>
        <v>46031</v>
      </c>
      <c r="NJ14" s="56"/>
      <c r="NK14" s="242">
        <f>SUMPRODUCT(PRODUCE!$B13:$DY13,PRODUCE!$EB$48:$IY$48)</f>
        <v>0</v>
      </c>
      <c r="NL14" s="56"/>
      <c r="NM14" s="242">
        <f t="shared" si="123"/>
        <v>0</v>
      </c>
      <c r="NN14" s="242">
        <f t="shared" si="124"/>
        <v>0</v>
      </c>
      <c r="NO14" s="56"/>
      <c r="NR14" s="55">
        <f t="shared" si="125"/>
        <v>46031</v>
      </c>
      <c r="NS14" s="56"/>
      <c r="NT14" s="242">
        <f>SUMPRODUCT(PRODUCE!$B13:$DY13,PRODUCE!$EB$49:$IY$49)</f>
        <v>0</v>
      </c>
      <c r="NU14" s="56"/>
      <c r="NV14" s="242">
        <f t="shared" si="126"/>
        <v>0</v>
      </c>
      <c r="NW14" s="242">
        <f t="shared" si="127"/>
        <v>0</v>
      </c>
      <c r="NX14" s="56"/>
      <c r="OA14" s="55">
        <f t="shared" si="128"/>
        <v>46031</v>
      </c>
      <c r="OB14" s="56"/>
      <c r="OC14" s="242">
        <f>SUMPRODUCT(PRODUCE!$B13:$DY13,PRODUCE!$EB$50:$IY$50)</f>
        <v>40</v>
      </c>
      <c r="OD14" s="56"/>
      <c r="OE14" s="242">
        <f t="shared" si="129"/>
        <v>40</v>
      </c>
      <c r="OF14" s="242">
        <f t="shared" si="130"/>
        <v>1935.2</v>
      </c>
      <c r="OG14" s="56"/>
      <c r="OJ14" s="55">
        <f t="shared" si="131"/>
        <v>46031</v>
      </c>
      <c r="OK14" s="56"/>
      <c r="OL14" s="242">
        <f>SUMPRODUCT(PRODUCE!$B13:$DY13,PRODUCE!$EB$51:$IY$51)</f>
        <v>0</v>
      </c>
      <c r="OM14" s="56"/>
      <c r="ON14" s="242">
        <f t="shared" si="132"/>
        <v>0</v>
      </c>
      <c r="OO14" s="242">
        <f t="shared" si="133"/>
        <v>0</v>
      </c>
      <c r="OP14" s="56"/>
      <c r="OS14" s="55">
        <f t="shared" si="134"/>
        <v>46031</v>
      </c>
      <c r="OT14" s="56"/>
      <c r="OU14" s="242">
        <f>SUMPRODUCT(PRODUCE!$B13:$DY13,PRODUCE!$EB$52:$IY$52)</f>
        <v>0</v>
      </c>
      <c r="OV14" s="56"/>
      <c r="OW14" s="242">
        <f t="shared" si="135"/>
        <v>0</v>
      </c>
      <c r="OX14" s="242">
        <f t="shared" si="136"/>
        <v>67</v>
      </c>
      <c r="OY14" s="56"/>
      <c r="PB14" s="55">
        <f t="shared" si="137"/>
        <v>46031</v>
      </c>
      <c r="PC14" s="56"/>
      <c r="PD14" s="242">
        <f>SUMPRODUCT(PRODUCE!$B13:$DY13,PRODUCE!$EB$53:$IY$53)</f>
        <v>0</v>
      </c>
      <c r="PE14" s="56"/>
      <c r="PF14" s="242">
        <f t="shared" si="138"/>
        <v>0</v>
      </c>
      <c r="PG14" s="242">
        <f t="shared" si="139"/>
        <v>0</v>
      </c>
      <c r="PH14" s="56"/>
      <c r="PK14" s="55">
        <f t="shared" si="140"/>
        <v>46031</v>
      </c>
      <c r="PL14" s="56"/>
      <c r="PM14" s="242">
        <f>SUMPRODUCT(PRODUCE!$B13:$DY13,PRODUCE!$EB$54:$IY$54)</f>
        <v>0</v>
      </c>
      <c r="PN14" s="56"/>
      <c r="PO14" s="242">
        <f t="shared" si="141"/>
        <v>0</v>
      </c>
      <c r="PP14" s="242">
        <f t="shared" si="142"/>
        <v>160</v>
      </c>
      <c r="PQ14" s="56"/>
      <c r="PT14" s="55">
        <f t="shared" si="143"/>
        <v>46031</v>
      </c>
      <c r="PU14" s="56"/>
      <c r="PV14" s="242">
        <f>SUMPRODUCT(PRODUCE!$B13:$DY13,PRODUCE!$EB$55:$IY$55)</f>
        <v>0</v>
      </c>
      <c r="PW14" s="56"/>
      <c r="PX14" s="242">
        <f t="shared" si="144"/>
        <v>0</v>
      </c>
      <c r="PY14" s="242">
        <f t="shared" si="145"/>
        <v>13.960000000000036</v>
      </c>
      <c r="PZ14" s="56"/>
      <c r="QC14" s="55">
        <f t="shared" si="146"/>
        <v>46031</v>
      </c>
      <c r="QD14" s="56"/>
      <c r="QE14" s="242">
        <f>SUMPRODUCT(PRODUCE!$B13:$DY13,PRODUCE!$EB$56:$IY$56)</f>
        <v>0</v>
      </c>
      <c r="QF14" s="56"/>
      <c r="QG14" s="242">
        <f t="shared" si="147"/>
        <v>0</v>
      </c>
      <c r="QH14" s="242">
        <f t="shared" si="148"/>
        <v>0</v>
      </c>
      <c r="QI14" s="56"/>
      <c r="QL14" s="55">
        <f t="shared" si="149"/>
        <v>46031</v>
      </c>
      <c r="QM14" s="56"/>
      <c r="QN14" s="242">
        <f>SUMPRODUCT(PRODUCE!$B13:$DY13,PRODUCE!$EB$57:$IY$57)</f>
        <v>0</v>
      </c>
      <c r="QO14" s="56"/>
      <c r="QP14" s="242">
        <f t="shared" si="150"/>
        <v>0</v>
      </c>
      <c r="QQ14" s="242">
        <f t="shared" si="151"/>
        <v>0</v>
      </c>
      <c r="QR14" s="56"/>
      <c r="QU14" s="55">
        <f t="shared" si="152"/>
        <v>46031</v>
      </c>
      <c r="QV14" s="56"/>
      <c r="QW14" s="242">
        <f>SUMPRODUCT(PRODUCE!$B13:$DY13,PRODUCE!$EB$57:$IY$57)</f>
        <v>0</v>
      </c>
      <c r="QX14" s="56"/>
      <c r="QY14" s="242">
        <f t="shared" si="153"/>
        <v>0</v>
      </c>
      <c r="QZ14" s="242">
        <f t="shared" si="154"/>
        <v>207.6</v>
      </c>
      <c r="RA14" s="56"/>
      <c r="RD14" s="55">
        <f t="shared" si="155"/>
        <v>46031</v>
      </c>
      <c r="RE14" s="56"/>
      <c r="RF14" s="242">
        <f>SUMPRODUCT(PRODUCE!$B13:$DY13,PRODUCE!$EB$58:$IY$58)</f>
        <v>0</v>
      </c>
      <c r="RG14" s="56"/>
      <c r="RH14" s="242">
        <f t="shared" si="156"/>
        <v>0</v>
      </c>
      <c r="RI14" s="242">
        <f t="shared" si="157"/>
        <v>201.8</v>
      </c>
      <c r="RJ14" s="56"/>
      <c r="RM14" s="55">
        <f t="shared" si="158"/>
        <v>46031</v>
      </c>
      <c r="RN14" s="56"/>
      <c r="RO14" s="242">
        <f>SUMPRODUCT(PRODUCE!$B13:$DY13,PRODUCE!$EB$59:$IY$59)</f>
        <v>0</v>
      </c>
      <c r="RP14" s="56"/>
      <c r="RQ14" s="242">
        <f t="shared" si="159"/>
        <v>0</v>
      </c>
      <c r="RR14" s="242">
        <f t="shared" si="160"/>
        <v>22.720000000000002</v>
      </c>
      <c r="RS14" s="56"/>
      <c r="RV14" s="55">
        <f t="shared" si="161"/>
        <v>46031</v>
      </c>
      <c r="RW14" s="56"/>
      <c r="RX14" s="242">
        <f>SUMPRODUCT(PRODUCE!$B13:$DY13,PRODUCE!$EB$57:$IY$57)</f>
        <v>0</v>
      </c>
      <c r="RY14" s="56"/>
      <c r="RZ14" s="242">
        <f t="shared" si="162"/>
        <v>0</v>
      </c>
      <c r="SA14" s="242">
        <f t="shared" si="163"/>
        <v>0</v>
      </c>
      <c r="SB14" s="56"/>
      <c r="SE14" s="55">
        <f t="shared" si="164"/>
        <v>46031</v>
      </c>
      <c r="SF14" s="56"/>
      <c r="SG14" s="242">
        <f>SUMPRODUCT(PRODUCE!$B13:$DY13,PRODUCE!$EB$61:$IY$61)</f>
        <v>0</v>
      </c>
      <c r="SH14" s="56"/>
      <c r="SI14" s="242">
        <f t="shared" si="165"/>
        <v>0</v>
      </c>
      <c r="SJ14" s="242">
        <f t="shared" si="166"/>
        <v>0</v>
      </c>
      <c r="SK14" s="56"/>
      <c r="SN14" s="55">
        <f t="shared" si="167"/>
        <v>46031</v>
      </c>
      <c r="SO14" s="56"/>
      <c r="SP14" s="242">
        <f>SUMPRODUCT(PRODUCE!$B13:$DY13,PRODUCE!$EB$57:$IY$57)</f>
        <v>0</v>
      </c>
      <c r="SQ14" s="56"/>
      <c r="SR14" s="242">
        <f t="shared" si="168"/>
        <v>0</v>
      </c>
      <c r="SS14" s="242">
        <f t="shared" si="169"/>
        <v>0</v>
      </c>
      <c r="ST14" s="56"/>
      <c r="SW14" s="55">
        <f t="shared" si="170"/>
        <v>46031</v>
      </c>
      <c r="SX14" s="56"/>
      <c r="SY14" s="242">
        <f>SUMPRODUCT(PRODUCE!$B13:$DY13,PRODUCE!$EB$57:$IY$57)</f>
        <v>0</v>
      </c>
      <c r="SZ14" s="56"/>
      <c r="TA14" s="242">
        <f t="shared" si="171"/>
        <v>0</v>
      </c>
      <c r="TB14" s="242">
        <f t="shared" si="172"/>
        <v>0</v>
      </c>
      <c r="TC14" s="56"/>
      <c r="TF14" s="55">
        <f t="shared" si="173"/>
        <v>46031</v>
      </c>
      <c r="TG14" s="56"/>
      <c r="TH14" s="242">
        <f>SUMPRODUCT(PRODUCE!$B13:$DY13,PRODUCE!$EB$57:$IY$57)</f>
        <v>0</v>
      </c>
      <c r="TI14" s="56"/>
      <c r="TJ14" s="242">
        <f t="shared" si="174"/>
        <v>0</v>
      </c>
      <c r="TK14" s="242">
        <f t="shared" si="175"/>
        <v>0</v>
      </c>
      <c r="TL14" s="56"/>
      <c r="TO14" s="55">
        <f t="shared" si="176"/>
        <v>46031</v>
      </c>
      <c r="TP14" s="56"/>
      <c r="TQ14" s="242">
        <f>SUMPRODUCT(PRODUCE!$B13:$DY13,PRODUCE!$EB$57:$IY$57)</f>
        <v>0</v>
      </c>
      <c r="TR14" s="56"/>
      <c r="TS14" s="242">
        <f t="shared" si="177"/>
        <v>0</v>
      </c>
      <c r="TT14" s="242">
        <f t="shared" si="178"/>
        <v>0</v>
      </c>
      <c r="TU14" s="56"/>
      <c r="TX14" s="55">
        <f t="shared" si="179"/>
        <v>46031</v>
      </c>
      <c r="TY14" s="56"/>
      <c r="TZ14" s="242">
        <f>SUMPRODUCT(PRODUCE!$B13:$DY13,PRODUCE!$EB$57:$IY$57)</f>
        <v>0</v>
      </c>
      <c r="UA14" s="56"/>
      <c r="UB14" s="242">
        <f t="shared" si="180"/>
        <v>0</v>
      </c>
      <c r="UC14" s="242">
        <f t="shared" si="181"/>
        <v>0</v>
      </c>
      <c r="UD14" s="56"/>
      <c r="UG14" s="55">
        <f t="shared" si="182"/>
        <v>46031</v>
      </c>
      <c r="UH14" s="56"/>
      <c r="UI14" s="242">
        <f>SUMPRODUCT(PRODUCE!$B13:$DY13,PRODUCE!$EB$57:$IY$57)</f>
        <v>0</v>
      </c>
      <c r="UJ14" s="56"/>
      <c r="UK14" s="242">
        <f t="shared" si="183"/>
        <v>0</v>
      </c>
      <c r="UL14" s="242">
        <f t="shared" si="184"/>
        <v>0</v>
      </c>
      <c r="UM14" s="56"/>
      <c r="UP14" s="55">
        <f t="shared" si="185"/>
        <v>46031</v>
      </c>
      <c r="UQ14" s="56"/>
      <c r="UR14" s="242">
        <f>SUMPRODUCT(PRODUCE!$B13:$DY13,PRODUCE!$EB$57:$IY$57)</f>
        <v>0</v>
      </c>
      <c r="US14" s="56"/>
      <c r="UT14" s="242">
        <f t="shared" si="186"/>
        <v>0</v>
      </c>
      <c r="UU14" s="242">
        <f t="shared" si="187"/>
        <v>0</v>
      </c>
      <c r="UV14" s="56"/>
      <c r="UY14" s="55">
        <f t="shared" si="188"/>
        <v>46031</v>
      </c>
      <c r="UZ14" s="56"/>
      <c r="VA14" s="242">
        <f>SUMPRODUCT(PRODUCE!$B13:$DY13,PRODUCE!$EB$57:$IY$57)</f>
        <v>0</v>
      </c>
      <c r="VB14" s="56"/>
      <c r="VC14" s="242">
        <f t="shared" si="189"/>
        <v>0</v>
      </c>
      <c r="VD14" s="242">
        <f t="shared" si="190"/>
        <v>-319.59999999999997</v>
      </c>
      <c r="VE14" s="56"/>
      <c r="VH14" s="55">
        <f t="shared" si="191"/>
        <v>46031</v>
      </c>
      <c r="VI14" s="56"/>
      <c r="VJ14" s="242">
        <f>SUMPRODUCT(PRODUCE!$B13:$DY13,PRODUCE!$EB$57:$IY$57)</f>
        <v>0</v>
      </c>
      <c r="VK14" s="56"/>
      <c r="VL14" s="242">
        <f t="shared" si="192"/>
        <v>0</v>
      </c>
      <c r="VM14" s="242">
        <f t="shared" si="193"/>
        <v>0</v>
      </c>
      <c r="VN14" s="56"/>
      <c r="VQ14" s="55">
        <f t="shared" si="194"/>
        <v>46031</v>
      </c>
      <c r="VR14" s="56"/>
      <c r="VS14" s="242">
        <f>SUMPRODUCT(PRODUCE!$B13:$DY13,PRODUCE!$EB$57:$IY$57)</f>
        <v>0</v>
      </c>
      <c r="VT14" s="56"/>
      <c r="VU14" s="242">
        <f t="shared" si="195"/>
        <v>0</v>
      </c>
      <c r="VV14" s="242">
        <f t="shared" si="196"/>
        <v>0</v>
      </c>
      <c r="VW14" s="56"/>
      <c r="VZ14" s="55">
        <f t="shared" si="197"/>
        <v>46031</v>
      </c>
      <c r="WA14" s="56"/>
      <c r="WB14" s="242">
        <f>SUMPRODUCT(PRODUCE!$B13:$DY13,PRODUCE!$EB$57:$IY$57)</f>
        <v>0</v>
      </c>
      <c r="WC14" s="56"/>
      <c r="WD14" s="242">
        <f t="shared" si="198"/>
        <v>0</v>
      </c>
      <c r="WE14" s="242">
        <f t="shared" si="199"/>
        <v>0</v>
      </c>
      <c r="WF14" s="56"/>
      <c r="WI14" s="55">
        <f t="shared" si="200"/>
        <v>46031</v>
      </c>
      <c r="WJ14" s="56"/>
      <c r="WK14" s="242">
        <f>SUMPRODUCT(PRODUCE!$B13:$DY13,PRODUCE!$EB$57:$IY$57)</f>
        <v>0</v>
      </c>
      <c r="WL14" s="56"/>
      <c r="WM14" s="242">
        <f t="shared" si="201"/>
        <v>0</v>
      </c>
      <c r="WN14" s="242">
        <f t="shared" si="202"/>
        <v>5877</v>
      </c>
      <c r="WO14" s="56"/>
      <c r="WR14" s="55">
        <f t="shared" si="203"/>
        <v>46031</v>
      </c>
      <c r="WS14" s="56"/>
      <c r="WT14" s="242">
        <f>SUMPRODUCT(PRODUCE!$B13:$DY13,PRODUCE!$EB$57:$IY$57)</f>
        <v>0</v>
      </c>
      <c r="WU14" s="56"/>
      <c r="WV14" s="242">
        <f t="shared" si="204"/>
        <v>0</v>
      </c>
      <c r="WW14" s="242">
        <f t="shared" si="205"/>
        <v>5267</v>
      </c>
      <c r="WX14" s="56"/>
      <c r="XA14" s="55">
        <f t="shared" si="206"/>
        <v>46031</v>
      </c>
      <c r="XB14" s="56"/>
      <c r="XC14" s="242">
        <f>SUMPRODUCT(PRODUCE!$B13:$DY13,PRODUCE!$EB$57:$IY$57)</f>
        <v>0</v>
      </c>
      <c r="XD14" s="56"/>
      <c r="XE14" s="242">
        <f t="shared" si="207"/>
        <v>0</v>
      </c>
      <c r="XF14" s="242">
        <f t="shared" si="208"/>
        <v>2446</v>
      </c>
      <c r="XG14" s="56"/>
      <c r="XJ14" s="55">
        <f t="shared" si="209"/>
        <v>46031</v>
      </c>
      <c r="XK14" s="56"/>
      <c r="XL14" s="242">
        <f>SUMPRODUCT(PRODUCE!$B13:$DY13,PRODUCE!$EB$57:$IY$57)</f>
        <v>0</v>
      </c>
      <c r="XM14" s="56"/>
      <c r="XN14" s="242">
        <f t="shared" si="210"/>
        <v>0</v>
      </c>
      <c r="XO14" s="242">
        <f t="shared" si="211"/>
        <v>6772</v>
      </c>
      <c r="XP14" s="56"/>
      <c r="XS14" s="55">
        <f t="shared" si="212"/>
        <v>46031</v>
      </c>
      <c r="XT14" s="56"/>
      <c r="XU14" s="242">
        <f>SUMPRODUCT(PRODUCE!$B13:$DY13,PRODUCE!$EB$57:$IY$57)</f>
        <v>0</v>
      </c>
      <c r="XV14" s="56"/>
      <c r="XW14" s="242">
        <f t="shared" si="213"/>
        <v>0</v>
      </c>
      <c r="XX14" s="242">
        <f t="shared" si="214"/>
        <v>1901</v>
      </c>
      <c r="XY14" s="56"/>
      <c r="YB14" s="55">
        <f t="shared" si="215"/>
        <v>46031</v>
      </c>
      <c r="YC14" s="56"/>
      <c r="YD14" s="242">
        <f>SUMPRODUCT(PRODUCE!$B13:$DY13,PRODUCE!$EB$57:$IY$57)</f>
        <v>0</v>
      </c>
      <c r="YE14" s="56"/>
      <c r="YF14" s="242">
        <f t="shared" si="216"/>
        <v>0</v>
      </c>
      <c r="YG14" s="242">
        <f t="shared" si="217"/>
        <v>4175</v>
      </c>
      <c r="YH14" s="56"/>
      <c r="YK14" s="55">
        <f t="shared" si="218"/>
        <v>46031</v>
      </c>
      <c r="YL14" s="56"/>
      <c r="YM14" s="242">
        <f>SUMPRODUCT(PRODUCE!$B13:$DY13,PRODUCE!$EB$57:$IY$57)</f>
        <v>0</v>
      </c>
      <c r="YN14" s="56"/>
      <c r="YO14" s="242">
        <f t="shared" si="219"/>
        <v>0</v>
      </c>
      <c r="YP14" s="242">
        <f t="shared" si="220"/>
        <v>0</v>
      </c>
      <c r="YQ14" s="56"/>
      <c r="YT14" s="55">
        <f t="shared" si="221"/>
        <v>46031</v>
      </c>
      <c r="YU14" s="56"/>
      <c r="YV14" s="242">
        <f>SUMPRODUCT(PRODUCE!$B13:$DY13,PRODUCE!$EB$57:$IY$57)</f>
        <v>0</v>
      </c>
      <c r="YW14" s="56"/>
      <c r="YX14" s="242">
        <f t="shared" si="222"/>
        <v>0</v>
      </c>
      <c r="YY14" s="242">
        <f t="shared" si="223"/>
        <v>0</v>
      </c>
      <c r="YZ14" s="56"/>
      <c r="ZC14" s="55">
        <f t="shared" si="224"/>
        <v>46031</v>
      </c>
      <c r="ZD14" s="56"/>
      <c r="ZE14" s="242">
        <f>SUMPRODUCT(PRODUCE!$B13:$DY13,PRODUCE!$EB$57:$IY$57)</f>
        <v>0</v>
      </c>
      <c r="ZF14" s="56"/>
      <c r="ZG14" s="242">
        <f t="shared" si="225"/>
        <v>0</v>
      </c>
      <c r="ZH14" s="242">
        <f t="shared" si="226"/>
        <v>0</v>
      </c>
      <c r="ZI14" s="56"/>
      <c r="ZL14" s="55">
        <f t="shared" si="227"/>
        <v>46031</v>
      </c>
      <c r="ZM14" s="56"/>
      <c r="ZN14" s="242">
        <f>SUMPRODUCT(PRODUCE!$B13:$DY13,PRODUCE!$EB$57:$IY$57)</f>
        <v>0</v>
      </c>
      <c r="ZO14" s="56"/>
      <c r="ZP14" s="242">
        <f t="shared" si="228"/>
        <v>0</v>
      </c>
      <c r="ZQ14" s="242">
        <f t="shared" si="229"/>
        <v>0</v>
      </c>
      <c r="ZR14" s="56"/>
      <c r="ZU14" s="55">
        <f t="shared" si="230"/>
        <v>46031</v>
      </c>
      <c r="ZV14" s="56"/>
      <c r="ZW14" s="242">
        <f>SUMPRODUCT(PRODUCE!$B13:$DY13,PRODUCE!$EB$57:$IY$57)</f>
        <v>0</v>
      </c>
      <c r="ZX14" s="56"/>
      <c r="ZY14" s="242">
        <f t="shared" si="231"/>
        <v>0</v>
      </c>
      <c r="ZZ14" s="242">
        <f t="shared" si="232"/>
        <v>0</v>
      </c>
      <c r="AAA14" s="56"/>
      <c r="AAD14" s="55">
        <f t="shared" si="233"/>
        <v>46031</v>
      </c>
      <c r="AAE14" s="56"/>
      <c r="AAF14" s="242">
        <f>SUMPRODUCT(PRODUCE!$B13:$DY13,PRODUCE!$EB$57:$IY$57)</f>
        <v>0</v>
      </c>
      <c r="AAG14" s="56"/>
      <c r="AAH14" s="242">
        <f t="shared" si="234"/>
        <v>0</v>
      </c>
      <c r="AAI14" s="242">
        <f t="shared" si="235"/>
        <v>0</v>
      </c>
      <c r="AAJ14" s="56"/>
      <c r="AAM14" s="55">
        <f t="shared" si="236"/>
        <v>46031</v>
      </c>
      <c r="AAN14" s="56"/>
      <c r="AAO14" s="242">
        <f>SUMPRODUCT(PRODUCE!$B13:$DY13,PRODUCE!$EB$57:$IY$57)</f>
        <v>0</v>
      </c>
      <c r="AAP14" s="56"/>
      <c r="AAQ14" s="242">
        <f t="shared" si="237"/>
        <v>0</v>
      </c>
      <c r="AAR14" s="242">
        <f t="shared" si="238"/>
        <v>0</v>
      </c>
      <c r="AAS14" s="56"/>
      <c r="AAV14" s="55">
        <f t="shared" si="239"/>
        <v>46031</v>
      </c>
      <c r="AAW14" s="56"/>
      <c r="AAX14" s="242">
        <f>SUMPRODUCT(PRODUCE!$B13:$DY13,PRODUCE!$EB$57:$IY$57)</f>
        <v>0</v>
      </c>
      <c r="AAY14" s="56"/>
      <c r="AAZ14" s="242">
        <f t="shared" si="240"/>
        <v>0</v>
      </c>
      <c r="ABA14" s="242">
        <f t="shared" si="241"/>
        <v>0</v>
      </c>
      <c r="ABB14" s="56"/>
      <c r="ABE14" s="55">
        <f t="shared" si="242"/>
        <v>46031</v>
      </c>
      <c r="ABF14" s="56"/>
      <c r="ABG14" s="242">
        <f>SUMPRODUCT(PRODUCE!$B13:$DY13,PRODUCE!$EB$57:$IY$57)</f>
        <v>0</v>
      </c>
      <c r="ABH14" s="56"/>
      <c r="ABI14" s="242">
        <f t="shared" si="243"/>
        <v>0</v>
      </c>
      <c r="ABJ14" s="242">
        <f t="shared" si="244"/>
        <v>0</v>
      </c>
      <c r="ABK14" s="56"/>
    </row>
    <row r="15" spans="1:740" s="54" customFormat="1" ht="15" customHeight="1" outlineLevel="1">
      <c r="B15" s="478">
        <v>22</v>
      </c>
      <c r="C15" s="55">
        <v>46032</v>
      </c>
      <c r="D15" s="422"/>
      <c r="E15" s="423">
        <f>SUMPRODUCT(PRODUCE!$B14:$DY14,PRODUCE!$EB$7:$IY$7)</f>
        <v>11860.2</v>
      </c>
      <c r="F15" s="422">
        <v>11859.2</v>
      </c>
      <c r="G15" s="423">
        <f t="shared" si="2"/>
        <v>1</v>
      </c>
      <c r="H15" s="423">
        <f t="shared" si="0"/>
        <v>32808</v>
      </c>
      <c r="I15" s="289" t="s">
        <v>181</v>
      </c>
      <c r="L15" s="55">
        <f t="shared" si="1"/>
        <v>46032</v>
      </c>
      <c r="M15" s="422"/>
      <c r="N15" s="438">
        <f>SUMPRODUCT(PRODUCE!$B14:$DY14,PRODUCE!$EB$8:$IY$8)</f>
        <v>6644</v>
      </c>
      <c r="O15" s="422">
        <v>6644.6</v>
      </c>
      <c r="P15" s="438">
        <f t="shared" si="3"/>
        <v>-0.6000000000003638</v>
      </c>
      <c r="Q15" s="438">
        <f t="shared" si="4"/>
        <v>-4066.3999999999942</v>
      </c>
      <c r="R15" s="56"/>
      <c r="U15" s="55">
        <f t="shared" si="5"/>
        <v>46032</v>
      </c>
      <c r="V15" s="422"/>
      <c r="W15" s="440">
        <f>SUMPRODUCT(PRODUCE!$B14:$DY14,PRODUCE!$EB$9:$IY$9)</f>
        <v>1100</v>
      </c>
      <c r="X15" s="422">
        <v>1101.4000000000001</v>
      </c>
      <c r="Y15" s="440">
        <f t="shared" si="6"/>
        <v>-1.4000000000000909</v>
      </c>
      <c r="Z15" s="440">
        <f t="shared" si="7"/>
        <v>41634.899999999987</v>
      </c>
      <c r="AA15" s="56"/>
      <c r="AD15" s="55">
        <f t="shared" si="8"/>
        <v>46032</v>
      </c>
      <c r="AE15" s="422">
        <v>28480</v>
      </c>
      <c r="AF15" s="442">
        <f>SUMPRODUCT(PRODUCE!$B14:$DY14,PRODUCE!$EB$10:$IY$10)</f>
        <v>550</v>
      </c>
      <c r="AG15" s="422">
        <v>550.4</v>
      </c>
      <c r="AH15" s="442">
        <f t="shared" si="9"/>
        <v>-0.39999999999997726</v>
      </c>
      <c r="AI15" s="442">
        <f t="shared" si="10"/>
        <v>38719.500000000007</v>
      </c>
      <c r="AJ15" s="56"/>
      <c r="AM15" s="55">
        <f t="shared" si="11"/>
        <v>46032</v>
      </c>
      <c r="AN15" s="422"/>
      <c r="AO15" s="444">
        <f>SUMPRODUCT(PRODUCE!$B14:$DY14,PRODUCE!$EB$11:$IY$11)</f>
        <v>0</v>
      </c>
      <c r="AP15" s="422"/>
      <c r="AQ15" s="444">
        <f t="shared" si="12"/>
        <v>0</v>
      </c>
      <c r="AR15" s="444">
        <f t="shared" si="13"/>
        <v>0</v>
      </c>
      <c r="AS15" s="56"/>
      <c r="AV15" s="55">
        <f t="shared" si="14"/>
        <v>46032</v>
      </c>
      <c r="AW15" s="422"/>
      <c r="AX15" s="446">
        <f>SUMPRODUCT(PRODUCE!$B14:$DY14,PRODUCE!$EB$12:$IY$12)</f>
        <v>440</v>
      </c>
      <c r="AY15" s="422">
        <v>439.1</v>
      </c>
      <c r="AZ15" s="446">
        <f t="shared" si="15"/>
        <v>0.89999999999997726</v>
      </c>
      <c r="BA15" s="446">
        <f t="shared" si="16"/>
        <v>19317.799999999992</v>
      </c>
      <c r="BB15" s="56"/>
      <c r="BE15" s="55">
        <f t="shared" si="17"/>
        <v>46032</v>
      </c>
      <c r="BF15" s="422"/>
      <c r="BG15" s="448">
        <f>SUMPRODUCT(PRODUCE!$B14:$DY14,PRODUCE!$EB$13:$IY$13)</f>
        <v>440</v>
      </c>
      <c r="BH15" s="422">
        <v>439.9</v>
      </c>
      <c r="BI15" s="448">
        <f t="shared" si="18"/>
        <v>0.10000000000002274</v>
      </c>
      <c r="BJ15" s="448">
        <f t="shared" si="19"/>
        <v>17248.300000000003</v>
      </c>
      <c r="BK15" s="56"/>
      <c r="BN15" s="55">
        <f t="shared" si="20"/>
        <v>46032</v>
      </c>
      <c r="BO15" s="422">
        <v>286</v>
      </c>
      <c r="BP15" s="450">
        <f>SUMPRODUCT(PRODUCE!$B14:$DY14,PRODUCE!$EB$14:$IY$14)</f>
        <v>286.00000000000006</v>
      </c>
      <c r="BQ15" s="422">
        <v>286</v>
      </c>
      <c r="BR15" s="450">
        <f t="shared" si="21"/>
        <v>0</v>
      </c>
      <c r="BS15" s="450">
        <f t="shared" si="22"/>
        <v>0</v>
      </c>
      <c r="BT15" s="56"/>
      <c r="BW15" s="55">
        <f t="shared" si="23"/>
        <v>46032</v>
      </c>
      <c r="BX15" s="56"/>
      <c r="BY15" s="65">
        <f>SUMPRODUCT(PRODUCE!$B14:$DY14,PRODUCE!$EB$15:$IY$15)</f>
        <v>33</v>
      </c>
      <c r="BZ15" s="56">
        <v>51</v>
      </c>
      <c r="CA15" s="65">
        <f t="shared" si="24"/>
        <v>-18</v>
      </c>
      <c r="CB15" s="65">
        <f t="shared" si="25"/>
        <v>3461.5</v>
      </c>
      <c r="CC15" s="56"/>
      <c r="CF15" s="55">
        <f t="shared" si="26"/>
        <v>46032</v>
      </c>
      <c r="CG15" s="56">
        <v>200.6</v>
      </c>
      <c r="CH15" s="66">
        <f>SUMPRODUCT(PRODUCE!$B14:$DY14,PRODUCE!$EB$16:$IY$16)</f>
        <v>129.80000000000001</v>
      </c>
      <c r="CI15" s="56">
        <v>200.6</v>
      </c>
      <c r="CJ15" s="66">
        <f t="shared" si="27"/>
        <v>-70.799999999999983</v>
      </c>
      <c r="CK15" s="66">
        <f t="shared" si="28"/>
        <v>0</v>
      </c>
      <c r="CL15" s="56"/>
      <c r="CO15" s="55">
        <f t="shared" si="29"/>
        <v>46032</v>
      </c>
      <c r="CP15" s="422"/>
      <c r="CQ15" s="470">
        <f>SUMPRODUCT(PRODUCE!$B14:$DY14,PRODUCE!$EB$17:$IY$17)</f>
        <v>0</v>
      </c>
      <c r="CR15" s="422"/>
      <c r="CS15" s="470">
        <f t="shared" si="30"/>
        <v>0</v>
      </c>
      <c r="CT15" s="470">
        <f t="shared" si="31"/>
        <v>0</v>
      </c>
      <c r="CU15" s="56"/>
      <c r="CX15" s="55">
        <f t="shared" si="32"/>
        <v>46032</v>
      </c>
      <c r="CY15" s="56"/>
      <c r="CZ15" s="133">
        <f>SUMPRODUCT(PRODUCE!$B14:$DY14,PRODUCE!$EB$18:$IY$18)</f>
        <v>0</v>
      </c>
      <c r="DA15" s="56"/>
      <c r="DB15" s="133">
        <f t="shared" si="33"/>
        <v>0</v>
      </c>
      <c r="DC15" s="133">
        <f t="shared" si="34"/>
        <v>0</v>
      </c>
      <c r="DD15" s="56"/>
      <c r="DG15" s="55">
        <f t="shared" si="35"/>
        <v>46032</v>
      </c>
      <c r="DH15" s="56"/>
      <c r="DI15" s="147">
        <f>SUMPRODUCT(PRODUCE!$B14:$DY14,PRODUCE!$EB$19:$IY$19)</f>
        <v>0</v>
      </c>
      <c r="DJ15" s="56"/>
      <c r="DK15" s="147">
        <f t="shared" si="36"/>
        <v>0</v>
      </c>
      <c r="DL15" s="147">
        <f t="shared" si="37"/>
        <v>26092</v>
      </c>
      <c r="DM15" s="56"/>
      <c r="DP15" s="55">
        <f t="shared" si="38"/>
        <v>46032</v>
      </c>
      <c r="DQ15" s="56"/>
      <c r="DR15" s="57">
        <f>SUMPRODUCT(PRODUCE!$B14:$DY14,PRODUCE!$EB$20:$IY$20)</f>
        <v>0</v>
      </c>
      <c r="DS15" s="56"/>
      <c r="DT15" s="57">
        <f t="shared" si="39"/>
        <v>0</v>
      </c>
      <c r="DU15" s="57">
        <f t="shared" si="40"/>
        <v>0</v>
      </c>
      <c r="DV15" s="56"/>
      <c r="DY15" s="55">
        <f t="shared" si="41"/>
        <v>46032</v>
      </c>
      <c r="DZ15" s="56"/>
      <c r="EA15" s="157">
        <f>SUMPRODUCT(PRODUCE!$B14:$DY14,PRODUCE!$EB$21:$IY$21)</f>
        <v>0</v>
      </c>
      <c r="EB15" s="56"/>
      <c r="EC15" s="157">
        <f t="shared" si="42"/>
        <v>0</v>
      </c>
      <c r="ED15" s="157">
        <f t="shared" si="43"/>
        <v>0</v>
      </c>
      <c r="EE15" s="56"/>
      <c r="EH15" s="55">
        <f t="shared" si="44"/>
        <v>46032</v>
      </c>
      <c r="EI15" s="56"/>
      <c r="EJ15" s="162">
        <f>SUMPRODUCT(PRODUCE!$B14:$DY14,PRODUCE!$EB$22:$IY$22)</f>
        <v>0</v>
      </c>
      <c r="EK15" s="56"/>
      <c r="EL15" s="162">
        <f t="shared" si="45"/>
        <v>0</v>
      </c>
      <c r="EM15" s="162">
        <f t="shared" si="46"/>
        <v>0</v>
      </c>
      <c r="EN15" s="56"/>
      <c r="EQ15" s="55">
        <f t="shared" si="47"/>
        <v>46032</v>
      </c>
      <c r="ER15" s="56"/>
      <c r="ES15" s="135">
        <f>SUMPRODUCT(PRODUCE!$B14:$DY14,PRODUCE!$EB$23:$IY$23)</f>
        <v>0</v>
      </c>
      <c r="ET15" s="56"/>
      <c r="EU15" s="135">
        <f t="shared" si="48"/>
        <v>0</v>
      </c>
      <c r="EV15" s="135">
        <f t="shared" si="49"/>
        <v>0</v>
      </c>
      <c r="EW15" s="56"/>
      <c r="EZ15" s="55">
        <f t="shared" si="50"/>
        <v>46032</v>
      </c>
      <c r="FA15" s="56"/>
      <c r="FB15" s="175">
        <f>SUMPRODUCT(PRODUCE!$B14:$DY14,PRODUCE!$EB$24:$IY$24)</f>
        <v>0</v>
      </c>
      <c r="FC15" s="56"/>
      <c r="FD15" s="175">
        <f t="shared" si="51"/>
        <v>0</v>
      </c>
      <c r="FE15" s="175">
        <f t="shared" si="52"/>
        <v>0</v>
      </c>
      <c r="FF15" s="56"/>
      <c r="FI15" s="55">
        <f t="shared" si="53"/>
        <v>46032</v>
      </c>
      <c r="FJ15" s="56"/>
      <c r="FK15" s="183">
        <f>SUMPRODUCT(PRODUCE!$B14:$DY14,PRODUCE!$EB$25:$IY$25)</f>
        <v>0</v>
      </c>
      <c r="FL15" s="56"/>
      <c r="FM15" s="183">
        <f t="shared" si="54"/>
        <v>0</v>
      </c>
      <c r="FN15" s="183">
        <f t="shared" si="55"/>
        <v>0</v>
      </c>
      <c r="FO15" s="56"/>
      <c r="FR15" s="55">
        <f t="shared" si="56"/>
        <v>46032</v>
      </c>
      <c r="FS15" s="422"/>
      <c r="FT15" s="452">
        <f>SUMPRODUCT(PRODUCE!$B14:$DY14,PRODUCE!$EB$26:$IY$26)</f>
        <v>0</v>
      </c>
      <c r="FU15" s="422"/>
      <c r="FV15" s="452">
        <f t="shared" si="57"/>
        <v>0</v>
      </c>
      <c r="FW15" s="452">
        <f t="shared" si="58"/>
        <v>3540</v>
      </c>
      <c r="FX15" s="56"/>
      <c r="GA15" s="55">
        <f t="shared" si="59"/>
        <v>46032</v>
      </c>
      <c r="GB15" s="422"/>
      <c r="GC15" s="454">
        <f>SUMPRODUCT(PRODUCE!$B14:$DY14,PRODUCE!$EB$27:$IY$27)</f>
        <v>0</v>
      </c>
      <c r="GD15" s="422"/>
      <c r="GE15" s="454">
        <f t="shared" si="60"/>
        <v>0</v>
      </c>
      <c r="GF15" s="454">
        <f t="shared" si="61"/>
        <v>1960</v>
      </c>
      <c r="GG15" s="56"/>
      <c r="GI15" s="23"/>
      <c r="GJ15" s="55">
        <f t="shared" si="62"/>
        <v>46032</v>
      </c>
      <c r="GK15" s="422"/>
      <c r="GL15" s="456">
        <f>SUMPRODUCT(PRODUCE!$B14:$DY14,PRODUCE!$EB$28:$IY$28)</f>
        <v>0</v>
      </c>
      <c r="GM15" s="422">
        <v>1200</v>
      </c>
      <c r="GN15" s="456">
        <f t="shared" si="63"/>
        <v>-1200</v>
      </c>
      <c r="GO15" s="456">
        <f t="shared" si="64"/>
        <v>6360</v>
      </c>
      <c r="GP15" s="463">
        <f>GM15/20</f>
        <v>60</v>
      </c>
      <c r="GQ15" s="464" t="s">
        <v>173</v>
      </c>
      <c r="GS15" s="55">
        <f t="shared" si="65"/>
        <v>46032</v>
      </c>
      <c r="GT15" s="56"/>
      <c r="GU15" s="195">
        <f>SUMPRODUCT(PRODUCE!$B14:$DY14,PRODUCE!$EB$29:$IY$29)</f>
        <v>0</v>
      </c>
      <c r="GV15" s="56"/>
      <c r="GW15" s="195">
        <f t="shared" si="66"/>
        <v>0</v>
      </c>
      <c r="GX15" s="195">
        <f t="shared" si="67"/>
        <v>0</v>
      </c>
      <c r="GY15" s="56"/>
      <c r="HB15" s="55">
        <f t="shared" si="68"/>
        <v>46032</v>
      </c>
      <c r="HC15" s="56"/>
      <c r="HD15" s="191">
        <f>SUMPRODUCT(PRODUCE!$B14:$DY14,PRODUCE!$EB$30:$IY$30)</f>
        <v>0</v>
      </c>
      <c r="HE15" s="56"/>
      <c r="HF15" s="191">
        <f t="shared" si="69"/>
        <v>0</v>
      </c>
      <c r="HG15" s="191">
        <f t="shared" si="70"/>
        <v>0</v>
      </c>
      <c r="HH15" s="56"/>
      <c r="HK15" s="55">
        <f t="shared" si="71"/>
        <v>46032</v>
      </c>
      <c r="HL15" s="56"/>
      <c r="HM15" s="63">
        <f>SUMPRODUCT(PRODUCE!$B14:$DY14,PRODUCE!$EB$31:$IY$31)</f>
        <v>0</v>
      </c>
      <c r="HN15" s="56"/>
      <c r="HO15" s="63">
        <f t="shared" si="72"/>
        <v>0</v>
      </c>
      <c r="HP15" s="63">
        <f t="shared" si="73"/>
        <v>0</v>
      </c>
      <c r="HQ15" s="56"/>
      <c r="HU15" s="55">
        <f t="shared" si="74"/>
        <v>46032</v>
      </c>
      <c r="HV15" s="56"/>
      <c r="HW15" s="242">
        <f>SUMPRODUCT(PRODUCE!$B14:$DY14,PRODUCE!$EB$32:$IY$32)</f>
        <v>440</v>
      </c>
      <c r="HX15" s="56">
        <f>34*20</f>
        <v>680</v>
      </c>
      <c r="HY15" s="242">
        <f t="shared" si="75"/>
        <v>-240</v>
      </c>
      <c r="HZ15" s="242">
        <f t="shared" si="76"/>
        <v>3800</v>
      </c>
      <c r="IA15" s="463">
        <f>HX15/20</f>
        <v>34</v>
      </c>
      <c r="IB15" s="464" t="s">
        <v>173</v>
      </c>
      <c r="ID15" s="55">
        <f t="shared" si="77"/>
        <v>46032</v>
      </c>
      <c r="IE15" s="56"/>
      <c r="IF15" s="242">
        <f>SUMPRODUCT(PRODUCE!$B14:$DY14,PRODUCE!$EB$33:$IY$33)</f>
        <v>0</v>
      </c>
      <c r="IG15" s="56"/>
      <c r="IH15" s="242">
        <f t="shared" si="78"/>
        <v>0</v>
      </c>
      <c r="II15" s="242">
        <f t="shared" si="79"/>
        <v>5100</v>
      </c>
      <c r="IJ15" s="56"/>
      <c r="IM15" s="55">
        <f t="shared" si="80"/>
        <v>46032</v>
      </c>
      <c r="IN15" s="56"/>
      <c r="IO15" s="242">
        <f>SUMPRODUCT(PRODUCE!$B14:$DY14,PRODUCE!$EB$34:$IY$34)</f>
        <v>0</v>
      </c>
      <c r="IP15" s="56">
        <f>126*20</f>
        <v>2520</v>
      </c>
      <c r="IQ15" s="242">
        <f t="shared" si="81"/>
        <v>-2520</v>
      </c>
      <c r="IR15" s="242">
        <f t="shared" si="82"/>
        <v>11240</v>
      </c>
      <c r="IS15" s="465">
        <f>IP15/20</f>
        <v>126</v>
      </c>
      <c r="IT15" s="464" t="s">
        <v>173</v>
      </c>
      <c r="IV15" s="55">
        <f t="shared" si="83"/>
        <v>46032</v>
      </c>
      <c r="IW15" s="56"/>
      <c r="IX15" s="242">
        <f>SUMPRODUCT(PRODUCE!$B14:$DY14,PRODUCE!$EB$35:$IY$35)</f>
        <v>0</v>
      </c>
      <c r="IY15" s="56">
        <f>1600</f>
        <v>1600</v>
      </c>
      <c r="IZ15" s="242">
        <f t="shared" si="84"/>
        <v>-1600</v>
      </c>
      <c r="JA15" s="242">
        <f t="shared" si="85"/>
        <v>4320</v>
      </c>
      <c r="JB15" s="465">
        <f>IY15/20</f>
        <v>80</v>
      </c>
      <c r="JC15" s="464" t="s">
        <v>173</v>
      </c>
      <c r="JE15" s="55">
        <f t="shared" si="86"/>
        <v>46032</v>
      </c>
      <c r="JF15" s="56"/>
      <c r="JG15" s="242">
        <f>SUMPRODUCT(PRODUCE!$B14:$DY14,PRODUCE!$EB$36:$IY$36)</f>
        <v>0</v>
      </c>
      <c r="JH15" s="56"/>
      <c r="JI15" s="242">
        <f t="shared" si="87"/>
        <v>0</v>
      </c>
      <c r="JJ15" s="242">
        <f t="shared" si="88"/>
        <v>6800</v>
      </c>
      <c r="JK15" s="56"/>
      <c r="JN15" s="55">
        <f t="shared" si="89"/>
        <v>46032</v>
      </c>
      <c r="JO15" s="56"/>
      <c r="JP15" s="242">
        <f>SUMPRODUCT(PRODUCE!$B14:$DY14,PRODUCE!$EB$37:$IY$37)</f>
        <v>0</v>
      </c>
      <c r="JQ15" s="56"/>
      <c r="JR15" s="242">
        <f t="shared" si="90"/>
        <v>0</v>
      </c>
      <c r="JS15" s="242">
        <f t="shared" si="91"/>
        <v>5400</v>
      </c>
      <c r="JT15" s="56"/>
      <c r="JW15" s="55">
        <f t="shared" si="92"/>
        <v>46032</v>
      </c>
      <c r="JX15" s="56"/>
      <c r="JY15" s="242">
        <f>SUMPRODUCT(PRODUCE!$B14:$DY14,PRODUCE!$EB$38:$IY$38)</f>
        <v>0</v>
      </c>
      <c r="JZ15" s="56"/>
      <c r="KA15" s="242">
        <f t="shared" si="93"/>
        <v>0</v>
      </c>
      <c r="KB15" s="242">
        <f t="shared" si="94"/>
        <v>0</v>
      </c>
      <c r="KC15" s="56"/>
      <c r="KF15" s="55">
        <f t="shared" si="95"/>
        <v>46032</v>
      </c>
      <c r="KG15" s="56"/>
      <c r="KH15" s="242">
        <f>SUMPRODUCT(PRODUCE!$B14:$DY14,PRODUCE!$EB$39:$IY$39)</f>
        <v>0</v>
      </c>
      <c r="KI15" s="56"/>
      <c r="KJ15" s="242">
        <f t="shared" si="96"/>
        <v>0</v>
      </c>
      <c r="KK15" s="242">
        <f t="shared" si="97"/>
        <v>0</v>
      </c>
      <c r="KL15" s="56"/>
      <c r="KO15" s="55">
        <f t="shared" si="98"/>
        <v>46032</v>
      </c>
      <c r="KP15" s="56"/>
      <c r="KQ15" s="242">
        <f>SUMPRODUCT(PRODUCE!$B14:$DY14,PRODUCE!$EB$40:$IY$40)</f>
        <v>0</v>
      </c>
      <c r="KR15" s="56"/>
      <c r="KS15" s="242">
        <f t="shared" si="99"/>
        <v>0</v>
      </c>
      <c r="KT15" s="242">
        <f t="shared" si="100"/>
        <v>0</v>
      </c>
      <c r="KU15" s="56"/>
      <c r="KW15" s="23"/>
      <c r="KX15" s="55">
        <f t="shared" si="101"/>
        <v>46032</v>
      </c>
      <c r="KY15" s="56"/>
      <c r="KZ15" s="242">
        <f>SUMPRODUCT(PRODUCE!$B14:$DY14,PRODUCE!$EB$41:$IY$41)</f>
        <v>0</v>
      </c>
      <c r="LA15" s="56"/>
      <c r="LB15" s="242">
        <f t="shared" si="102"/>
        <v>0</v>
      </c>
      <c r="LC15" s="242">
        <f t="shared" si="103"/>
        <v>0</v>
      </c>
      <c r="LD15" s="56"/>
      <c r="LG15" s="55">
        <f t="shared" si="104"/>
        <v>46032</v>
      </c>
      <c r="LH15" s="56"/>
      <c r="LI15" s="242">
        <f>SUMPRODUCT(PRODUCE!$B14:$DY14,PRODUCE!$EB$42:$IY$42)</f>
        <v>0</v>
      </c>
      <c r="LJ15" s="56"/>
      <c r="LK15" s="242">
        <f t="shared" si="105"/>
        <v>0</v>
      </c>
      <c r="LL15" s="242">
        <f t="shared" si="106"/>
        <v>0</v>
      </c>
      <c r="LM15" s="56"/>
      <c r="LP15" s="55">
        <f t="shared" si="107"/>
        <v>46032</v>
      </c>
      <c r="LQ15" s="56"/>
      <c r="LR15" s="242">
        <f>SUMPRODUCT(PRODUCE!$B14:$DY14,PRODUCE!$EB$43:$IY$43)</f>
        <v>0</v>
      </c>
      <c r="LS15" s="56"/>
      <c r="LT15" s="242">
        <f t="shared" si="108"/>
        <v>0</v>
      </c>
      <c r="LU15" s="242">
        <f t="shared" si="109"/>
        <v>0</v>
      </c>
      <c r="LV15" s="56"/>
      <c r="LY15" s="55">
        <f t="shared" si="110"/>
        <v>46032</v>
      </c>
      <c r="LZ15" s="56"/>
      <c r="MA15" s="242">
        <f>SUMPRODUCT(PRODUCE!$B14:$DY14,PRODUCE!$EB$44:$IY$44)</f>
        <v>0</v>
      </c>
      <c r="MB15" s="56"/>
      <c r="MC15" s="242">
        <f t="shared" si="111"/>
        <v>0</v>
      </c>
      <c r="MD15" s="242">
        <f t="shared" si="112"/>
        <v>0</v>
      </c>
      <c r="ME15" s="56"/>
      <c r="MH15" s="55">
        <f t="shared" si="113"/>
        <v>46032</v>
      </c>
      <c r="MI15" s="56"/>
      <c r="MJ15" s="242">
        <f>SUMPRODUCT(PRODUCE!$B14:$DY14,PRODUCE!$EB$45:$IY$45)</f>
        <v>0</v>
      </c>
      <c r="MK15" s="56"/>
      <c r="ML15" s="242">
        <f t="shared" si="114"/>
        <v>0</v>
      </c>
      <c r="MM15" s="242">
        <f t="shared" si="115"/>
        <v>0</v>
      </c>
      <c r="MN15" s="56"/>
      <c r="MQ15" s="55">
        <f t="shared" si="116"/>
        <v>46032</v>
      </c>
      <c r="MR15" s="56"/>
      <c r="MS15" s="242">
        <f>SUMPRODUCT(PRODUCE!$B14:$DY14,PRODUCE!$EB$46:$IY$46)</f>
        <v>11</v>
      </c>
      <c r="MT15" s="56">
        <f>17+18+30</f>
        <v>65</v>
      </c>
      <c r="MU15" s="242">
        <f t="shared" si="117"/>
        <v>-54</v>
      </c>
      <c r="MV15" s="242">
        <f t="shared" si="118"/>
        <v>1306</v>
      </c>
      <c r="MW15" s="56"/>
      <c r="MZ15" s="55">
        <f t="shared" si="119"/>
        <v>46032</v>
      </c>
      <c r="NA15" s="56">
        <v>450</v>
      </c>
      <c r="NB15" s="242">
        <f>SUMPRODUCT(PRODUCE!$B14:$DY14,PRODUCE!$EB$47:$IY$47)</f>
        <v>66</v>
      </c>
      <c r="NC15" s="56">
        <f>102+108+240</f>
        <v>450</v>
      </c>
      <c r="ND15" s="242">
        <f t="shared" si="120"/>
        <v>-384</v>
      </c>
      <c r="NE15" s="242">
        <f t="shared" si="121"/>
        <v>0</v>
      </c>
      <c r="NF15" s="56"/>
      <c r="NI15" s="55">
        <f t="shared" si="122"/>
        <v>46032</v>
      </c>
      <c r="NJ15" s="56"/>
      <c r="NK15" s="242">
        <f>SUMPRODUCT(PRODUCE!$B14:$DY14,PRODUCE!$EB$48:$IY$48)</f>
        <v>0</v>
      </c>
      <c r="NL15" s="56"/>
      <c r="NM15" s="242">
        <f t="shared" si="123"/>
        <v>0</v>
      </c>
      <c r="NN15" s="242">
        <f t="shared" si="124"/>
        <v>0</v>
      </c>
      <c r="NO15" s="56"/>
      <c r="NR15" s="55">
        <f t="shared" si="125"/>
        <v>46032</v>
      </c>
      <c r="NS15" s="56"/>
      <c r="NT15" s="242">
        <f>SUMPRODUCT(PRODUCE!$B14:$DY14,PRODUCE!$EB$49:$IY$49)</f>
        <v>0</v>
      </c>
      <c r="NU15" s="56"/>
      <c r="NV15" s="242">
        <f t="shared" si="126"/>
        <v>0</v>
      </c>
      <c r="NW15" s="242">
        <f t="shared" si="127"/>
        <v>0</v>
      </c>
      <c r="NX15" s="56"/>
      <c r="OA15" s="55">
        <f t="shared" si="128"/>
        <v>46032</v>
      </c>
      <c r="OB15" s="56">
        <v>1.3</v>
      </c>
      <c r="OC15" s="242">
        <f>SUMPRODUCT(PRODUCE!$B14:$DY14,PRODUCE!$EB$50:$IY$50)</f>
        <v>0</v>
      </c>
      <c r="OD15" s="56">
        <f>126+80</f>
        <v>206</v>
      </c>
      <c r="OE15" s="242">
        <f t="shared" si="129"/>
        <v>-206</v>
      </c>
      <c r="OF15" s="242">
        <f t="shared" si="130"/>
        <v>1730.5</v>
      </c>
      <c r="OG15" s="56"/>
      <c r="OJ15" s="55">
        <f t="shared" si="131"/>
        <v>46032</v>
      </c>
      <c r="OK15" s="56"/>
      <c r="OL15" s="242">
        <f>SUMPRODUCT(PRODUCE!$B14:$DY14,PRODUCE!$EB$51:$IY$51)</f>
        <v>0</v>
      </c>
      <c r="OM15" s="56"/>
      <c r="ON15" s="242">
        <f t="shared" si="132"/>
        <v>0</v>
      </c>
      <c r="OO15" s="242">
        <f t="shared" si="133"/>
        <v>0</v>
      </c>
      <c r="OP15" s="56"/>
      <c r="OS15" s="55">
        <f t="shared" si="134"/>
        <v>46032</v>
      </c>
      <c r="OT15" s="56"/>
      <c r="OU15" s="242">
        <f>SUMPRODUCT(PRODUCE!$B14:$DY14,PRODUCE!$EB$52:$IY$52)</f>
        <v>0</v>
      </c>
      <c r="OV15" s="56"/>
      <c r="OW15" s="242">
        <f t="shared" si="135"/>
        <v>0</v>
      </c>
      <c r="OX15" s="242">
        <f t="shared" si="136"/>
        <v>67</v>
      </c>
      <c r="OY15" s="56"/>
      <c r="PB15" s="55">
        <f t="shared" si="137"/>
        <v>46032</v>
      </c>
      <c r="PC15" s="56"/>
      <c r="PD15" s="242">
        <f>SUMPRODUCT(PRODUCE!$B14:$DY14,PRODUCE!$EB$53:$IY$53)</f>
        <v>0</v>
      </c>
      <c r="PE15" s="56"/>
      <c r="PF15" s="242">
        <f t="shared" si="138"/>
        <v>0</v>
      </c>
      <c r="PG15" s="242">
        <f t="shared" si="139"/>
        <v>0</v>
      </c>
      <c r="PH15" s="56"/>
      <c r="PK15" s="55">
        <f t="shared" si="140"/>
        <v>46032</v>
      </c>
      <c r="PL15" s="56"/>
      <c r="PM15" s="242">
        <f>SUMPRODUCT(PRODUCE!$B14:$DY14,PRODUCE!$EB$54:$IY$54)</f>
        <v>0</v>
      </c>
      <c r="PN15" s="56"/>
      <c r="PO15" s="242">
        <f t="shared" si="141"/>
        <v>0</v>
      </c>
      <c r="PP15" s="242">
        <f t="shared" si="142"/>
        <v>160</v>
      </c>
      <c r="PQ15" s="56"/>
      <c r="PT15" s="55">
        <f t="shared" si="143"/>
        <v>46032</v>
      </c>
      <c r="PU15" s="56"/>
      <c r="PV15" s="242">
        <f>SUMPRODUCT(PRODUCE!$B14:$DY14,PRODUCE!$EB$55:$IY$55)</f>
        <v>0</v>
      </c>
      <c r="PW15" s="56"/>
      <c r="PX15" s="242">
        <f t="shared" si="144"/>
        <v>0</v>
      </c>
      <c r="PY15" s="242">
        <f t="shared" si="145"/>
        <v>13.960000000000036</v>
      </c>
      <c r="PZ15" s="56"/>
      <c r="QC15" s="55">
        <f t="shared" si="146"/>
        <v>46032</v>
      </c>
      <c r="QD15" s="56"/>
      <c r="QE15" s="242">
        <f>SUMPRODUCT(PRODUCE!$B14:$DY14,PRODUCE!$EB$56:$IY$56)</f>
        <v>0</v>
      </c>
      <c r="QF15" s="56"/>
      <c r="QG15" s="242">
        <f t="shared" si="147"/>
        <v>0</v>
      </c>
      <c r="QH15" s="242">
        <f t="shared" si="148"/>
        <v>0</v>
      </c>
      <c r="QI15" s="56"/>
      <c r="QL15" s="55">
        <f t="shared" si="149"/>
        <v>46032</v>
      </c>
      <c r="QM15" s="56"/>
      <c r="QN15" s="242">
        <f>SUMPRODUCT(PRODUCE!$B14:$DY14,PRODUCE!$EB$57:$IY$57)</f>
        <v>0</v>
      </c>
      <c r="QO15" s="56"/>
      <c r="QP15" s="242">
        <f t="shared" si="150"/>
        <v>0</v>
      </c>
      <c r="QQ15" s="242">
        <f t="shared" si="151"/>
        <v>0</v>
      </c>
      <c r="QR15" s="56"/>
      <c r="QU15" s="55">
        <f t="shared" si="152"/>
        <v>46032</v>
      </c>
      <c r="QV15" s="56"/>
      <c r="QW15" s="242">
        <f>SUMPRODUCT(PRODUCE!$B14:$DY14,PRODUCE!$EB$57:$IY$57)</f>
        <v>0</v>
      </c>
      <c r="QX15" s="56"/>
      <c r="QY15" s="242">
        <f t="shared" si="153"/>
        <v>0</v>
      </c>
      <c r="QZ15" s="242">
        <f t="shared" si="154"/>
        <v>207.6</v>
      </c>
      <c r="RA15" s="56"/>
      <c r="RD15" s="55">
        <f t="shared" si="155"/>
        <v>46032</v>
      </c>
      <c r="RE15" s="56"/>
      <c r="RF15" s="242">
        <f>SUMPRODUCT(PRODUCE!$B14:$DY14,PRODUCE!$EB$58:$IY$58)</f>
        <v>0</v>
      </c>
      <c r="RG15" s="56"/>
      <c r="RH15" s="242">
        <f t="shared" si="156"/>
        <v>0</v>
      </c>
      <c r="RI15" s="242">
        <f t="shared" si="157"/>
        <v>201.8</v>
      </c>
      <c r="RJ15" s="56"/>
      <c r="RM15" s="55">
        <f t="shared" si="158"/>
        <v>46032</v>
      </c>
      <c r="RN15" s="56"/>
      <c r="RO15" s="242">
        <f>SUMPRODUCT(PRODUCE!$B14:$DY14,PRODUCE!$EB$59:$IY$59)</f>
        <v>0</v>
      </c>
      <c r="RP15" s="56"/>
      <c r="RQ15" s="242">
        <f t="shared" si="159"/>
        <v>0</v>
      </c>
      <c r="RR15" s="242">
        <f t="shared" si="160"/>
        <v>22.720000000000002</v>
      </c>
      <c r="RS15" s="56"/>
      <c r="RV15" s="55">
        <f t="shared" si="161"/>
        <v>46032</v>
      </c>
      <c r="RW15" s="56"/>
      <c r="RX15" s="242">
        <f>SUMPRODUCT(PRODUCE!$B14:$DY14,PRODUCE!$EB$57:$IY$57)</f>
        <v>0</v>
      </c>
      <c r="RY15" s="56"/>
      <c r="RZ15" s="242">
        <f t="shared" si="162"/>
        <v>0</v>
      </c>
      <c r="SA15" s="242">
        <f t="shared" si="163"/>
        <v>0</v>
      </c>
      <c r="SB15" s="56"/>
      <c r="SE15" s="55">
        <f t="shared" si="164"/>
        <v>46032</v>
      </c>
      <c r="SF15" s="56"/>
      <c r="SG15" s="242">
        <f>SUMPRODUCT(PRODUCE!$B14:$DY14,PRODUCE!$EB$61:$IY$61)</f>
        <v>0</v>
      </c>
      <c r="SH15" s="56"/>
      <c r="SI15" s="242">
        <f t="shared" si="165"/>
        <v>0</v>
      </c>
      <c r="SJ15" s="242">
        <f t="shared" si="166"/>
        <v>0</v>
      </c>
      <c r="SK15" s="56"/>
      <c r="SN15" s="55">
        <f t="shared" si="167"/>
        <v>46032</v>
      </c>
      <c r="SO15" s="56"/>
      <c r="SP15" s="242">
        <f>SUMPRODUCT(PRODUCE!$B14:$DY14,PRODUCE!$EB$57:$IY$57)</f>
        <v>0</v>
      </c>
      <c r="SQ15" s="56"/>
      <c r="SR15" s="242">
        <f t="shared" si="168"/>
        <v>0</v>
      </c>
      <c r="SS15" s="242">
        <f t="shared" si="169"/>
        <v>0</v>
      </c>
      <c r="ST15" s="56"/>
      <c r="SW15" s="55">
        <f t="shared" si="170"/>
        <v>46032</v>
      </c>
      <c r="SX15" s="56"/>
      <c r="SY15" s="242">
        <f>SUMPRODUCT(PRODUCE!$B14:$DY14,PRODUCE!$EB$57:$IY$57)</f>
        <v>0</v>
      </c>
      <c r="SZ15" s="56"/>
      <c r="TA15" s="242">
        <f t="shared" si="171"/>
        <v>0</v>
      </c>
      <c r="TB15" s="242">
        <f t="shared" si="172"/>
        <v>0</v>
      </c>
      <c r="TC15" s="56"/>
      <c r="TF15" s="55">
        <f t="shared" si="173"/>
        <v>46032</v>
      </c>
      <c r="TG15" s="56"/>
      <c r="TH15" s="242">
        <f>SUMPRODUCT(PRODUCE!$B14:$DY14,PRODUCE!$EB$57:$IY$57)</f>
        <v>0</v>
      </c>
      <c r="TI15" s="56"/>
      <c r="TJ15" s="242">
        <f t="shared" si="174"/>
        <v>0</v>
      </c>
      <c r="TK15" s="242">
        <f t="shared" si="175"/>
        <v>0</v>
      </c>
      <c r="TL15" s="56"/>
      <c r="TO15" s="55">
        <f t="shared" si="176"/>
        <v>46032</v>
      </c>
      <c r="TP15" s="56"/>
      <c r="TQ15" s="242">
        <f>SUMPRODUCT(PRODUCE!$B14:$DY14,PRODUCE!$EB$57:$IY$57)</f>
        <v>0</v>
      </c>
      <c r="TR15" s="56"/>
      <c r="TS15" s="242">
        <f t="shared" si="177"/>
        <v>0</v>
      </c>
      <c r="TT15" s="242">
        <f t="shared" si="178"/>
        <v>0</v>
      </c>
      <c r="TU15" s="56"/>
      <c r="TX15" s="55">
        <f t="shared" si="179"/>
        <v>46032</v>
      </c>
      <c r="TY15" s="56"/>
      <c r="TZ15" s="242">
        <f>SUMPRODUCT(PRODUCE!$B14:$DY14,PRODUCE!$EB$57:$IY$57)</f>
        <v>0</v>
      </c>
      <c r="UA15" s="56"/>
      <c r="UB15" s="242">
        <f t="shared" si="180"/>
        <v>0</v>
      </c>
      <c r="UC15" s="242">
        <f t="shared" si="181"/>
        <v>0</v>
      </c>
      <c r="UD15" s="56"/>
      <c r="UG15" s="55">
        <f t="shared" si="182"/>
        <v>46032</v>
      </c>
      <c r="UH15" s="56"/>
      <c r="UI15" s="242">
        <f>SUMPRODUCT(PRODUCE!$B14:$DY14,PRODUCE!$EB$57:$IY$57)</f>
        <v>0</v>
      </c>
      <c r="UJ15" s="56"/>
      <c r="UK15" s="242">
        <f t="shared" si="183"/>
        <v>0</v>
      </c>
      <c r="UL15" s="242">
        <f t="shared" si="184"/>
        <v>0</v>
      </c>
      <c r="UM15" s="56"/>
      <c r="UP15" s="55">
        <f t="shared" si="185"/>
        <v>46032</v>
      </c>
      <c r="UQ15" s="56"/>
      <c r="UR15" s="242">
        <f>SUMPRODUCT(PRODUCE!$B14:$DY14,PRODUCE!$EB$57:$IY$57)</f>
        <v>0</v>
      </c>
      <c r="US15" s="56"/>
      <c r="UT15" s="242">
        <f t="shared" si="186"/>
        <v>0</v>
      </c>
      <c r="UU15" s="242">
        <f t="shared" si="187"/>
        <v>0</v>
      </c>
      <c r="UV15" s="56"/>
      <c r="UY15" s="55">
        <f t="shared" si="188"/>
        <v>46032</v>
      </c>
      <c r="UZ15" s="56"/>
      <c r="VA15" s="242">
        <f>SUMPRODUCT(PRODUCE!$B14:$DY14,PRODUCE!$EB$57:$IY$57)</f>
        <v>0</v>
      </c>
      <c r="VB15" s="56"/>
      <c r="VC15" s="242">
        <f t="shared" si="189"/>
        <v>0</v>
      </c>
      <c r="VD15" s="242">
        <f t="shared" si="190"/>
        <v>-319.59999999999997</v>
      </c>
      <c r="VE15" s="56"/>
      <c r="VH15" s="55">
        <f t="shared" si="191"/>
        <v>46032</v>
      </c>
      <c r="VI15" s="56"/>
      <c r="VJ15" s="242">
        <f>SUMPRODUCT(PRODUCE!$B14:$DY14,PRODUCE!$EB$57:$IY$57)</f>
        <v>0</v>
      </c>
      <c r="VK15" s="56"/>
      <c r="VL15" s="242">
        <f t="shared" si="192"/>
        <v>0</v>
      </c>
      <c r="VM15" s="242">
        <f t="shared" si="193"/>
        <v>0</v>
      </c>
      <c r="VN15" s="56"/>
      <c r="VQ15" s="55">
        <f t="shared" si="194"/>
        <v>46032</v>
      </c>
      <c r="VR15" s="56"/>
      <c r="VS15" s="242">
        <f>SUMPRODUCT(PRODUCE!$B14:$DY14,PRODUCE!$EB$57:$IY$57)</f>
        <v>0</v>
      </c>
      <c r="VT15" s="56"/>
      <c r="VU15" s="242">
        <f t="shared" si="195"/>
        <v>0</v>
      </c>
      <c r="VV15" s="242">
        <f t="shared" si="196"/>
        <v>0</v>
      </c>
      <c r="VW15" s="56"/>
      <c r="VZ15" s="55">
        <f t="shared" si="197"/>
        <v>46032</v>
      </c>
      <c r="WA15" s="56"/>
      <c r="WB15" s="242">
        <f>SUMPRODUCT(PRODUCE!$B14:$DY14,PRODUCE!$EB$57:$IY$57)</f>
        <v>0</v>
      </c>
      <c r="WC15" s="56"/>
      <c r="WD15" s="242">
        <f t="shared" si="198"/>
        <v>0</v>
      </c>
      <c r="WE15" s="242">
        <f t="shared" si="199"/>
        <v>0</v>
      </c>
      <c r="WF15" s="56"/>
      <c r="WI15" s="55">
        <f t="shared" si="200"/>
        <v>46032</v>
      </c>
      <c r="WJ15" s="56"/>
      <c r="WK15" s="242">
        <f>SUMPRODUCT(PRODUCE!$B14:$DY14,PRODUCE!$EB$57:$IY$57)</f>
        <v>0</v>
      </c>
      <c r="WL15" s="56"/>
      <c r="WM15" s="242">
        <f t="shared" si="201"/>
        <v>0</v>
      </c>
      <c r="WN15" s="242">
        <f t="shared" si="202"/>
        <v>5877</v>
      </c>
      <c r="WO15" s="56"/>
      <c r="WR15" s="55">
        <f t="shared" si="203"/>
        <v>46032</v>
      </c>
      <c r="WS15" s="56"/>
      <c r="WT15" s="242">
        <f>SUMPRODUCT(PRODUCE!$B14:$DY14,PRODUCE!$EB$57:$IY$57)</f>
        <v>0</v>
      </c>
      <c r="WU15" s="56"/>
      <c r="WV15" s="242">
        <f t="shared" si="204"/>
        <v>0</v>
      </c>
      <c r="WW15" s="242">
        <f t="shared" si="205"/>
        <v>5267</v>
      </c>
      <c r="WX15" s="56"/>
      <c r="XA15" s="55">
        <f t="shared" si="206"/>
        <v>46032</v>
      </c>
      <c r="XB15" s="56"/>
      <c r="XC15" s="242">
        <f>SUMPRODUCT(PRODUCE!$B14:$DY14,PRODUCE!$EB$57:$IY$57)</f>
        <v>0</v>
      </c>
      <c r="XD15" s="56"/>
      <c r="XE15" s="242">
        <f t="shared" si="207"/>
        <v>0</v>
      </c>
      <c r="XF15" s="242">
        <f t="shared" si="208"/>
        <v>2446</v>
      </c>
      <c r="XG15" s="56"/>
      <c r="XJ15" s="55">
        <f t="shared" si="209"/>
        <v>46032</v>
      </c>
      <c r="XK15" s="56"/>
      <c r="XL15" s="242">
        <f>SUMPRODUCT(PRODUCE!$B14:$DY14,PRODUCE!$EB$57:$IY$57)</f>
        <v>0</v>
      </c>
      <c r="XM15" s="56">
        <v>422</v>
      </c>
      <c r="XN15" s="242">
        <f t="shared" si="210"/>
        <v>-422</v>
      </c>
      <c r="XO15" s="242">
        <f t="shared" si="211"/>
        <v>6350</v>
      </c>
      <c r="XP15" s="56"/>
      <c r="XS15" s="55">
        <f t="shared" si="212"/>
        <v>46032</v>
      </c>
      <c r="XT15" s="56"/>
      <c r="XU15" s="242">
        <f>SUMPRODUCT(PRODUCE!$B14:$DY14,PRODUCE!$EB$57:$IY$57)</f>
        <v>0</v>
      </c>
      <c r="XV15" s="56"/>
      <c r="XW15" s="242">
        <f t="shared" si="213"/>
        <v>0</v>
      </c>
      <c r="XX15" s="242">
        <f t="shared" si="214"/>
        <v>1901</v>
      </c>
      <c r="XY15" s="56"/>
      <c r="YB15" s="55">
        <f t="shared" si="215"/>
        <v>46032</v>
      </c>
      <c r="YC15" s="56"/>
      <c r="YD15" s="242">
        <f>SUMPRODUCT(PRODUCE!$B14:$DY14,PRODUCE!$EB$57:$IY$57)</f>
        <v>0</v>
      </c>
      <c r="YE15" s="56"/>
      <c r="YF15" s="242">
        <f t="shared" si="216"/>
        <v>0</v>
      </c>
      <c r="YG15" s="242">
        <f t="shared" si="217"/>
        <v>4175</v>
      </c>
      <c r="YH15" s="56"/>
      <c r="YK15" s="55">
        <f t="shared" si="218"/>
        <v>46032</v>
      </c>
      <c r="YL15" s="56"/>
      <c r="YM15" s="242">
        <f>SUMPRODUCT(PRODUCE!$B14:$DY14,PRODUCE!$EB$57:$IY$57)</f>
        <v>0</v>
      </c>
      <c r="YN15" s="56"/>
      <c r="YO15" s="242">
        <f t="shared" si="219"/>
        <v>0</v>
      </c>
      <c r="YP15" s="242">
        <f t="shared" si="220"/>
        <v>0</v>
      </c>
      <c r="YQ15" s="56"/>
      <c r="YT15" s="55">
        <f t="shared" si="221"/>
        <v>46032</v>
      </c>
      <c r="YU15" s="56"/>
      <c r="YV15" s="242">
        <f>SUMPRODUCT(PRODUCE!$B14:$DY14,PRODUCE!$EB$57:$IY$57)</f>
        <v>0</v>
      </c>
      <c r="YW15" s="56"/>
      <c r="YX15" s="242">
        <f t="shared" si="222"/>
        <v>0</v>
      </c>
      <c r="YY15" s="242">
        <f t="shared" si="223"/>
        <v>0</v>
      </c>
      <c r="YZ15" s="56"/>
      <c r="ZC15" s="55">
        <f t="shared" si="224"/>
        <v>46032</v>
      </c>
      <c r="ZD15" s="56"/>
      <c r="ZE15" s="242">
        <f>SUMPRODUCT(PRODUCE!$B14:$DY14,PRODUCE!$EB$57:$IY$57)</f>
        <v>0</v>
      </c>
      <c r="ZF15" s="56"/>
      <c r="ZG15" s="242">
        <f t="shared" si="225"/>
        <v>0</v>
      </c>
      <c r="ZH15" s="242">
        <f t="shared" si="226"/>
        <v>0</v>
      </c>
      <c r="ZI15" s="56"/>
      <c r="ZL15" s="55">
        <f t="shared" si="227"/>
        <v>46032</v>
      </c>
      <c r="ZM15" s="56"/>
      <c r="ZN15" s="242">
        <f>SUMPRODUCT(PRODUCE!$B14:$DY14,PRODUCE!$EB$57:$IY$57)</f>
        <v>0</v>
      </c>
      <c r="ZO15" s="56"/>
      <c r="ZP15" s="242">
        <f t="shared" si="228"/>
        <v>0</v>
      </c>
      <c r="ZQ15" s="242">
        <f t="shared" si="229"/>
        <v>0</v>
      </c>
      <c r="ZR15" s="56"/>
      <c r="ZU15" s="55">
        <f t="shared" si="230"/>
        <v>46032</v>
      </c>
      <c r="ZV15" s="56"/>
      <c r="ZW15" s="242">
        <f>SUMPRODUCT(PRODUCE!$B14:$DY14,PRODUCE!$EB$57:$IY$57)</f>
        <v>0</v>
      </c>
      <c r="ZX15" s="56"/>
      <c r="ZY15" s="242">
        <f t="shared" si="231"/>
        <v>0</v>
      </c>
      <c r="ZZ15" s="242">
        <f t="shared" si="232"/>
        <v>0</v>
      </c>
      <c r="AAA15" s="56"/>
      <c r="AAD15" s="55">
        <f t="shared" si="233"/>
        <v>46032</v>
      </c>
      <c r="AAE15" s="56"/>
      <c r="AAF15" s="242">
        <f>SUMPRODUCT(PRODUCE!$B14:$DY14,PRODUCE!$EB$57:$IY$57)</f>
        <v>0</v>
      </c>
      <c r="AAG15" s="56"/>
      <c r="AAH15" s="242">
        <f t="shared" si="234"/>
        <v>0</v>
      </c>
      <c r="AAI15" s="242">
        <f t="shared" si="235"/>
        <v>0</v>
      </c>
      <c r="AAJ15" s="56"/>
      <c r="AAM15" s="55">
        <f t="shared" si="236"/>
        <v>46032</v>
      </c>
      <c r="AAN15" s="56"/>
      <c r="AAO15" s="242">
        <f>SUMPRODUCT(PRODUCE!$B14:$DY14,PRODUCE!$EB$57:$IY$57)</f>
        <v>0</v>
      </c>
      <c r="AAP15" s="56"/>
      <c r="AAQ15" s="242">
        <f t="shared" si="237"/>
        <v>0</v>
      </c>
      <c r="AAR15" s="242">
        <f t="shared" si="238"/>
        <v>0</v>
      </c>
      <c r="AAS15" s="56"/>
      <c r="AAV15" s="55">
        <f t="shared" si="239"/>
        <v>46032</v>
      </c>
      <c r="AAW15" s="56"/>
      <c r="AAX15" s="242">
        <f>SUMPRODUCT(PRODUCE!$B14:$DY14,PRODUCE!$EB$57:$IY$57)</f>
        <v>0</v>
      </c>
      <c r="AAY15" s="56"/>
      <c r="AAZ15" s="242">
        <f t="shared" si="240"/>
        <v>0</v>
      </c>
      <c r="ABA15" s="242">
        <f t="shared" si="241"/>
        <v>0</v>
      </c>
      <c r="ABB15" s="56"/>
      <c r="ABE15" s="55">
        <f t="shared" si="242"/>
        <v>46032</v>
      </c>
      <c r="ABF15" s="56"/>
      <c r="ABG15" s="242">
        <f>SUMPRODUCT(PRODUCE!$B14:$DY14,PRODUCE!$EB$57:$IY$57)</f>
        <v>0</v>
      </c>
      <c r="ABH15" s="56"/>
      <c r="ABI15" s="242">
        <f t="shared" si="243"/>
        <v>0</v>
      </c>
      <c r="ABJ15" s="242">
        <f t="shared" si="244"/>
        <v>0</v>
      </c>
      <c r="ABK15" s="56"/>
    </row>
    <row r="16" spans="1:740" s="54" customFormat="1" ht="15" customHeight="1" outlineLevel="1">
      <c r="B16" s="478"/>
      <c r="C16" s="55">
        <v>46033</v>
      </c>
      <c r="D16" s="422"/>
      <c r="E16" s="423">
        <f>SUMPRODUCT(PRODUCE!$B15:$DY15,PRODUCE!$EB$7:$IY$7)</f>
        <v>0</v>
      </c>
      <c r="F16" s="422"/>
      <c r="G16" s="423">
        <f t="shared" si="2"/>
        <v>0</v>
      </c>
      <c r="H16" s="423">
        <f t="shared" si="0"/>
        <v>32808</v>
      </c>
      <c r="I16" s="289"/>
      <c r="L16" s="55">
        <f t="shared" si="1"/>
        <v>46033</v>
      </c>
      <c r="M16" s="422"/>
      <c r="N16" s="438">
        <f>SUMPRODUCT(PRODUCE!$B15:$DY15,PRODUCE!$EB$8:$IY$8)</f>
        <v>0</v>
      </c>
      <c r="O16" s="422"/>
      <c r="P16" s="438">
        <f t="shared" si="3"/>
        <v>0</v>
      </c>
      <c r="Q16" s="438">
        <f t="shared" si="4"/>
        <v>-4066.3999999999942</v>
      </c>
      <c r="R16" s="56"/>
      <c r="U16" s="55">
        <f t="shared" si="5"/>
        <v>46033</v>
      </c>
      <c r="V16" s="422"/>
      <c r="W16" s="440">
        <f>SUMPRODUCT(PRODUCE!$B15:$DY15,PRODUCE!$EB$9:$IY$9)</f>
        <v>0</v>
      </c>
      <c r="X16" s="422"/>
      <c r="Y16" s="440">
        <f t="shared" si="6"/>
        <v>0</v>
      </c>
      <c r="Z16" s="440">
        <f t="shared" si="7"/>
        <v>41634.899999999987</v>
      </c>
      <c r="AA16" s="56"/>
      <c r="AD16" s="55">
        <f t="shared" si="8"/>
        <v>46033</v>
      </c>
      <c r="AE16" s="422"/>
      <c r="AF16" s="442">
        <f>SUMPRODUCT(PRODUCE!$B15:$DY15,PRODUCE!$EB$10:$IY$10)</f>
        <v>0</v>
      </c>
      <c r="AG16" s="422"/>
      <c r="AH16" s="442">
        <f t="shared" si="9"/>
        <v>0</v>
      </c>
      <c r="AI16" s="442">
        <f t="shared" si="10"/>
        <v>38719.500000000007</v>
      </c>
      <c r="AJ16" s="56"/>
      <c r="AM16" s="55">
        <f t="shared" si="11"/>
        <v>46033</v>
      </c>
      <c r="AN16" s="422"/>
      <c r="AO16" s="444">
        <f>SUMPRODUCT(PRODUCE!$B15:$DY15,PRODUCE!$EB$11:$IY$11)</f>
        <v>0</v>
      </c>
      <c r="AP16" s="422"/>
      <c r="AQ16" s="444">
        <f t="shared" si="12"/>
        <v>0</v>
      </c>
      <c r="AR16" s="444">
        <f t="shared" si="13"/>
        <v>0</v>
      </c>
      <c r="AS16" s="56"/>
      <c r="AV16" s="55">
        <f t="shared" si="14"/>
        <v>46033</v>
      </c>
      <c r="AW16" s="422"/>
      <c r="AX16" s="446">
        <f>SUMPRODUCT(PRODUCE!$B15:$DY15,PRODUCE!$EB$12:$IY$12)</f>
        <v>0</v>
      </c>
      <c r="AY16" s="422"/>
      <c r="AZ16" s="446">
        <f t="shared" si="15"/>
        <v>0</v>
      </c>
      <c r="BA16" s="446">
        <f t="shared" si="16"/>
        <v>19317.799999999992</v>
      </c>
      <c r="BB16" s="56"/>
      <c r="BE16" s="55">
        <f t="shared" si="17"/>
        <v>46033</v>
      </c>
      <c r="BF16" s="422"/>
      <c r="BG16" s="448">
        <f>SUMPRODUCT(PRODUCE!$B15:$DY15,PRODUCE!$EB$13:$IY$13)</f>
        <v>0</v>
      </c>
      <c r="BH16" s="422"/>
      <c r="BI16" s="448">
        <f t="shared" si="18"/>
        <v>0</v>
      </c>
      <c r="BJ16" s="448">
        <f t="shared" si="19"/>
        <v>17248.300000000003</v>
      </c>
      <c r="BK16" s="56"/>
      <c r="BN16" s="55">
        <f t="shared" si="20"/>
        <v>46033</v>
      </c>
      <c r="BO16" s="422"/>
      <c r="BP16" s="450">
        <f>SUMPRODUCT(PRODUCE!$B15:$DY15,PRODUCE!$EB$14:$IY$14)</f>
        <v>0</v>
      </c>
      <c r="BQ16" s="422"/>
      <c r="BR16" s="450">
        <f t="shared" si="21"/>
        <v>0</v>
      </c>
      <c r="BS16" s="450">
        <f t="shared" si="22"/>
        <v>0</v>
      </c>
      <c r="BT16" s="56"/>
      <c r="BW16" s="55">
        <f t="shared" si="23"/>
        <v>46033</v>
      </c>
      <c r="BX16" s="56"/>
      <c r="BY16" s="65">
        <f>SUMPRODUCT(PRODUCE!$B15:$DY15,PRODUCE!$EB$15:$IY$15)</f>
        <v>0</v>
      </c>
      <c r="BZ16" s="56"/>
      <c r="CA16" s="65">
        <f t="shared" si="24"/>
        <v>0</v>
      </c>
      <c r="CB16" s="65">
        <f t="shared" si="25"/>
        <v>3461.5</v>
      </c>
      <c r="CC16" s="56"/>
      <c r="CF16" s="55">
        <f t="shared" si="26"/>
        <v>46033</v>
      </c>
      <c r="CG16" s="56"/>
      <c r="CH16" s="66">
        <f>SUMPRODUCT(PRODUCE!$B15:$DY15,PRODUCE!$EB$16:$IY$16)</f>
        <v>0</v>
      </c>
      <c r="CI16" s="56"/>
      <c r="CJ16" s="66">
        <f t="shared" si="27"/>
        <v>0</v>
      </c>
      <c r="CK16" s="66">
        <f t="shared" si="28"/>
        <v>0</v>
      </c>
      <c r="CL16" s="56"/>
      <c r="CO16" s="55">
        <f t="shared" si="29"/>
        <v>46033</v>
      </c>
      <c r="CP16" s="422"/>
      <c r="CQ16" s="470">
        <f>SUMPRODUCT(PRODUCE!$B15:$DY15,PRODUCE!$EB$17:$IY$17)</f>
        <v>0</v>
      </c>
      <c r="CR16" s="422"/>
      <c r="CS16" s="470">
        <f t="shared" si="30"/>
        <v>0</v>
      </c>
      <c r="CT16" s="470">
        <f t="shared" si="31"/>
        <v>0</v>
      </c>
      <c r="CU16" s="56"/>
      <c r="CX16" s="55">
        <f t="shared" si="32"/>
        <v>46033</v>
      </c>
      <c r="CY16" s="56"/>
      <c r="CZ16" s="133">
        <f>SUMPRODUCT(PRODUCE!$B15:$DY15,PRODUCE!$EB$18:$IY$18)</f>
        <v>0</v>
      </c>
      <c r="DA16" s="56"/>
      <c r="DB16" s="133">
        <f t="shared" si="33"/>
        <v>0</v>
      </c>
      <c r="DC16" s="133">
        <f t="shared" si="34"/>
        <v>0</v>
      </c>
      <c r="DD16" s="56"/>
      <c r="DG16" s="55">
        <f t="shared" si="35"/>
        <v>46033</v>
      </c>
      <c r="DH16" s="56"/>
      <c r="DI16" s="147">
        <f>SUMPRODUCT(PRODUCE!$B15:$DY15,PRODUCE!$EB$19:$IY$19)</f>
        <v>0</v>
      </c>
      <c r="DJ16" s="56"/>
      <c r="DK16" s="147">
        <f t="shared" si="36"/>
        <v>0</v>
      </c>
      <c r="DL16" s="147">
        <f t="shared" si="37"/>
        <v>26092</v>
      </c>
      <c r="DM16" s="56"/>
      <c r="DP16" s="55">
        <f t="shared" si="38"/>
        <v>46033</v>
      </c>
      <c r="DQ16" s="56"/>
      <c r="DR16" s="57">
        <f>SUMPRODUCT(PRODUCE!$B15:$DY15,PRODUCE!$EB$20:$IY$20)</f>
        <v>0</v>
      </c>
      <c r="DS16" s="56"/>
      <c r="DT16" s="57">
        <f t="shared" si="39"/>
        <v>0</v>
      </c>
      <c r="DU16" s="57">
        <f t="shared" si="40"/>
        <v>0</v>
      </c>
      <c r="DV16" s="56"/>
      <c r="DY16" s="55">
        <f t="shared" si="41"/>
        <v>46033</v>
      </c>
      <c r="DZ16" s="56"/>
      <c r="EA16" s="157">
        <f>SUMPRODUCT(PRODUCE!$B15:$DY15,PRODUCE!$EB$21:$IY$21)</f>
        <v>0</v>
      </c>
      <c r="EB16" s="56"/>
      <c r="EC16" s="157">
        <f t="shared" si="42"/>
        <v>0</v>
      </c>
      <c r="ED16" s="157">
        <f t="shared" si="43"/>
        <v>0</v>
      </c>
      <c r="EE16" s="56"/>
      <c r="EH16" s="55">
        <f t="shared" si="44"/>
        <v>46033</v>
      </c>
      <c r="EI16" s="56"/>
      <c r="EJ16" s="162">
        <f>SUMPRODUCT(PRODUCE!$B15:$DY15,PRODUCE!$EB$22:$IY$22)</f>
        <v>0</v>
      </c>
      <c r="EK16" s="56"/>
      <c r="EL16" s="162">
        <f t="shared" si="45"/>
        <v>0</v>
      </c>
      <c r="EM16" s="162">
        <f t="shared" si="46"/>
        <v>0</v>
      </c>
      <c r="EN16" s="56"/>
      <c r="EQ16" s="55">
        <f t="shared" si="47"/>
        <v>46033</v>
      </c>
      <c r="ER16" s="56"/>
      <c r="ES16" s="135">
        <f>SUMPRODUCT(PRODUCE!$B15:$DY15,PRODUCE!$EB$23:$IY$23)</f>
        <v>0</v>
      </c>
      <c r="ET16" s="56"/>
      <c r="EU16" s="135">
        <f t="shared" si="48"/>
        <v>0</v>
      </c>
      <c r="EV16" s="135">
        <f t="shared" si="49"/>
        <v>0</v>
      </c>
      <c r="EW16" s="56"/>
      <c r="EZ16" s="55">
        <f t="shared" si="50"/>
        <v>46033</v>
      </c>
      <c r="FA16" s="56"/>
      <c r="FB16" s="175">
        <f>SUMPRODUCT(PRODUCE!$B15:$DY15,PRODUCE!$EB$24:$IY$24)</f>
        <v>0</v>
      </c>
      <c r="FC16" s="56"/>
      <c r="FD16" s="175">
        <f t="shared" si="51"/>
        <v>0</v>
      </c>
      <c r="FE16" s="175">
        <f t="shared" si="52"/>
        <v>0</v>
      </c>
      <c r="FF16" s="56"/>
      <c r="FI16" s="55">
        <f t="shared" si="53"/>
        <v>46033</v>
      </c>
      <c r="FJ16" s="56"/>
      <c r="FK16" s="183">
        <f>SUMPRODUCT(PRODUCE!$B15:$DY15,PRODUCE!$EB$25:$IY$25)</f>
        <v>0</v>
      </c>
      <c r="FL16" s="56"/>
      <c r="FM16" s="183">
        <f t="shared" si="54"/>
        <v>0</v>
      </c>
      <c r="FN16" s="183">
        <f t="shared" si="55"/>
        <v>0</v>
      </c>
      <c r="FO16" s="56"/>
      <c r="FR16" s="55">
        <f t="shared" si="56"/>
        <v>46033</v>
      </c>
      <c r="FS16" s="422"/>
      <c r="FT16" s="452">
        <f>SUMPRODUCT(PRODUCE!$B15:$DY15,PRODUCE!$EB$26:$IY$26)</f>
        <v>0</v>
      </c>
      <c r="FU16" s="422"/>
      <c r="FV16" s="452">
        <f t="shared" si="57"/>
        <v>0</v>
      </c>
      <c r="FW16" s="452">
        <f t="shared" si="58"/>
        <v>3540</v>
      </c>
      <c r="FX16" s="56"/>
      <c r="GA16" s="55">
        <f t="shared" si="59"/>
        <v>46033</v>
      </c>
      <c r="GB16" s="422"/>
      <c r="GC16" s="454">
        <f>SUMPRODUCT(PRODUCE!$B15:$DY15,PRODUCE!$EB$27:$IY$27)</f>
        <v>0</v>
      </c>
      <c r="GD16" s="422"/>
      <c r="GE16" s="454">
        <f t="shared" si="60"/>
        <v>0</v>
      </c>
      <c r="GF16" s="454">
        <f t="shared" si="61"/>
        <v>1960</v>
      </c>
      <c r="GG16" s="56"/>
      <c r="GI16" s="23"/>
      <c r="GJ16" s="55">
        <f t="shared" si="62"/>
        <v>46033</v>
      </c>
      <c r="GK16" s="422"/>
      <c r="GL16" s="456">
        <f>SUMPRODUCT(PRODUCE!$B15:$DY15,PRODUCE!$EB$28:$IY$28)</f>
        <v>0</v>
      </c>
      <c r="GM16" s="422"/>
      <c r="GN16" s="456">
        <f t="shared" si="63"/>
        <v>0</v>
      </c>
      <c r="GO16" s="456">
        <f t="shared" si="64"/>
        <v>6360</v>
      </c>
      <c r="GP16" s="56"/>
      <c r="GS16" s="55">
        <f t="shared" si="65"/>
        <v>46033</v>
      </c>
      <c r="GT16" s="56"/>
      <c r="GU16" s="195">
        <f>SUMPRODUCT(PRODUCE!$B15:$DY15,PRODUCE!$EB$29:$IY$29)</f>
        <v>0</v>
      </c>
      <c r="GV16" s="56"/>
      <c r="GW16" s="195">
        <f t="shared" si="66"/>
        <v>0</v>
      </c>
      <c r="GX16" s="195">
        <f t="shared" si="67"/>
        <v>0</v>
      </c>
      <c r="GY16" s="56"/>
      <c r="HB16" s="55">
        <f t="shared" si="68"/>
        <v>46033</v>
      </c>
      <c r="HC16" s="56"/>
      <c r="HD16" s="191">
        <f>SUMPRODUCT(PRODUCE!$B15:$DY15,PRODUCE!$EB$30:$IY$30)</f>
        <v>0</v>
      </c>
      <c r="HE16" s="56"/>
      <c r="HF16" s="191">
        <f t="shared" si="69"/>
        <v>0</v>
      </c>
      <c r="HG16" s="191">
        <f t="shared" si="70"/>
        <v>0</v>
      </c>
      <c r="HH16" s="56"/>
      <c r="HK16" s="55">
        <f t="shared" si="71"/>
        <v>46033</v>
      </c>
      <c r="HL16" s="56"/>
      <c r="HM16" s="63">
        <f>SUMPRODUCT(PRODUCE!$B15:$DY15,PRODUCE!$EB$31:$IY$31)</f>
        <v>0</v>
      </c>
      <c r="HN16" s="56"/>
      <c r="HO16" s="63">
        <f t="shared" si="72"/>
        <v>0</v>
      </c>
      <c r="HP16" s="63">
        <f t="shared" si="73"/>
        <v>0</v>
      </c>
      <c r="HQ16" s="56"/>
      <c r="HU16" s="55">
        <f t="shared" si="74"/>
        <v>46033</v>
      </c>
      <c r="HV16" s="56"/>
      <c r="HW16" s="242">
        <f>SUMPRODUCT(PRODUCE!$B15:$DY15,PRODUCE!$EB$32:$IY$32)</f>
        <v>0</v>
      </c>
      <c r="HX16" s="56"/>
      <c r="HY16" s="242">
        <f t="shared" si="75"/>
        <v>0</v>
      </c>
      <c r="HZ16" s="242">
        <f t="shared" si="76"/>
        <v>3800</v>
      </c>
      <c r="IA16" s="56"/>
      <c r="ID16" s="55">
        <f t="shared" si="77"/>
        <v>46033</v>
      </c>
      <c r="IE16" s="56"/>
      <c r="IF16" s="242">
        <f>SUMPRODUCT(PRODUCE!$B15:$DY15,PRODUCE!$EB$33:$IY$33)</f>
        <v>0</v>
      </c>
      <c r="IG16" s="56"/>
      <c r="IH16" s="242">
        <f t="shared" si="78"/>
        <v>0</v>
      </c>
      <c r="II16" s="242">
        <f t="shared" si="79"/>
        <v>5100</v>
      </c>
      <c r="IJ16" s="56"/>
      <c r="IM16" s="55">
        <f t="shared" si="80"/>
        <v>46033</v>
      </c>
      <c r="IN16" s="56"/>
      <c r="IO16" s="242">
        <f>SUMPRODUCT(PRODUCE!$B15:$DY15,PRODUCE!$EB$34:$IY$34)</f>
        <v>0</v>
      </c>
      <c r="IP16" s="56"/>
      <c r="IQ16" s="242">
        <f t="shared" si="81"/>
        <v>0</v>
      </c>
      <c r="IR16" s="242">
        <f t="shared" si="82"/>
        <v>11240</v>
      </c>
      <c r="IS16" s="56"/>
      <c r="IV16" s="55">
        <f t="shared" si="83"/>
        <v>46033</v>
      </c>
      <c r="IW16" s="56"/>
      <c r="IX16" s="242">
        <f>SUMPRODUCT(PRODUCE!$B15:$DY15,PRODUCE!$EB$35:$IY$35)</f>
        <v>0</v>
      </c>
      <c r="IY16" s="56">
        <v>1200</v>
      </c>
      <c r="IZ16" s="242">
        <f t="shared" si="84"/>
        <v>-1200</v>
      </c>
      <c r="JA16" s="242">
        <f t="shared" si="85"/>
        <v>3120</v>
      </c>
      <c r="JB16" s="56"/>
      <c r="JE16" s="55">
        <f t="shared" si="86"/>
        <v>46033</v>
      </c>
      <c r="JF16" s="56"/>
      <c r="JG16" s="242">
        <f>SUMPRODUCT(PRODUCE!$B15:$DY15,PRODUCE!$EB$36:$IY$36)</f>
        <v>0</v>
      </c>
      <c r="JH16" s="56"/>
      <c r="JI16" s="242">
        <f t="shared" si="87"/>
        <v>0</v>
      </c>
      <c r="JJ16" s="242">
        <f t="shared" si="88"/>
        <v>6800</v>
      </c>
      <c r="JK16" s="56"/>
      <c r="JN16" s="55">
        <f t="shared" si="89"/>
        <v>46033</v>
      </c>
      <c r="JO16" s="56"/>
      <c r="JP16" s="242">
        <f>SUMPRODUCT(PRODUCE!$B15:$DY15,PRODUCE!$EB$37:$IY$37)</f>
        <v>0</v>
      </c>
      <c r="JQ16" s="56"/>
      <c r="JR16" s="242">
        <f t="shared" si="90"/>
        <v>0</v>
      </c>
      <c r="JS16" s="242">
        <f t="shared" si="91"/>
        <v>5400</v>
      </c>
      <c r="JT16" s="56"/>
      <c r="JW16" s="55">
        <f t="shared" si="92"/>
        <v>46033</v>
      </c>
      <c r="JX16" s="56"/>
      <c r="JY16" s="242">
        <f>SUMPRODUCT(PRODUCE!$B15:$DY15,PRODUCE!$EB$38:$IY$38)</f>
        <v>0</v>
      </c>
      <c r="JZ16" s="56"/>
      <c r="KA16" s="242">
        <f t="shared" si="93"/>
        <v>0</v>
      </c>
      <c r="KB16" s="242">
        <f t="shared" si="94"/>
        <v>0</v>
      </c>
      <c r="KC16" s="56"/>
      <c r="KF16" s="55">
        <f t="shared" si="95"/>
        <v>46033</v>
      </c>
      <c r="KG16" s="56"/>
      <c r="KH16" s="242">
        <f>SUMPRODUCT(PRODUCE!$B15:$DY15,PRODUCE!$EB$39:$IY$39)</f>
        <v>0</v>
      </c>
      <c r="KI16" s="56"/>
      <c r="KJ16" s="242">
        <f t="shared" si="96"/>
        <v>0</v>
      </c>
      <c r="KK16" s="242">
        <f t="shared" si="97"/>
        <v>0</v>
      </c>
      <c r="KL16" s="56"/>
      <c r="KO16" s="55">
        <f t="shared" si="98"/>
        <v>46033</v>
      </c>
      <c r="KP16" s="56"/>
      <c r="KQ16" s="242">
        <f>SUMPRODUCT(PRODUCE!$B15:$DY15,PRODUCE!$EB$40:$IY$40)</f>
        <v>0</v>
      </c>
      <c r="KR16" s="56"/>
      <c r="KS16" s="242">
        <f t="shared" si="99"/>
        <v>0</v>
      </c>
      <c r="KT16" s="242">
        <f t="shared" si="100"/>
        <v>0</v>
      </c>
      <c r="KU16" s="56"/>
      <c r="KW16" s="23"/>
      <c r="KX16" s="55">
        <f t="shared" si="101"/>
        <v>46033</v>
      </c>
      <c r="KY16" s="56"/>
      <c r="KZ16" s="242">
        <f>SUMPRODUCT(PRODUCE!$B15:$DY15,PRODUCE!$EB$41:$IY$41)</f>
        <v>0</v>
      </c>
      <c r="LA16" s="56"/>
      <c r="LB16" s="242">
        <f t="shared" si="102"/>
        <v>0</v>
      </c>
      <c r="LC16" s="242">
        <f t="shared" si="103"/>
        <v>0</v>
      </c>
      <c r="LD16" s="56"/>
      <c r="LG16" s="55">
        <f t="shared" si="104"/>
        <v>46033</v>
      </c>
      <c r="LH16" s="56"/>
      <c r="LI16" s="242">
        <f>SUMPRODUCT(PRODUCE!$B15:$DY15,PRODUCE!$EB$42:$IY$42)</f>
        <v>0</v>
      </c>
      <c r="LJ16" s="56"/>
      <c r="LK16" s="242">
        <f t="shared" si="105"/>
        <v>0</v>
      </c>
      <c r="LL16" s="242">
        <f t="shared" si="106"/>
        <v>0</v>
      </c>
      <c r="LM16" s="56"/>
      <c r="LP16" s="55">
        <f t="shared" si="107"/>
        <v>46033</v>
      </c>
      <c r="LQ16" s="56"/>
      <c r="LR16" s="242">
        <f>SUMPRODUCT(PRODUCE!$B15:$DY15,PRODUCE!$EB$43:$IY$43)</f>
        <v>0</v>
      </c>
      <c r="LS16" s="56"/>
      <c r="LT16" s="242">
        <f t="shared" si="108"/>
        <v>0</v>
      </c>
      <c r="LU16" s="242">
        <f t="shared" si="109"/>
        <v>0</v>
      </c>
      <c r="LV16" s="56"/>
      <c r="LY16" s="55">
        <f t="shared" si="110"/>
        <v>46033</v>
      </c>
      <c r="LZ16" s="56"/>
      <c r="MA16" s="242">
        <f>SUMPRODUCT(PRODUCE!$B15:$DY15,PRODUCE!$EB$44:$IY$44)</f>
        <v>0</v>
      </c>
      <c r="MB16" s="56"/>
      <c r="MC16" s="242">
        <f t="shared" si="111"/>
        <v>0</v>
      </c>
      <c r="MD16" s="242">
        <f t="shared" si="112"/>
        <v>0</v>
      </c>
      <c r="ME16" s="56"/>
      <c r="MH16" s="55">
        <f t="shared" si="113"/>
        <v>46033</v>
      </c>
      <c r="MI16" s="56"/>
      <c r="MJ16" s="242">
        <f>SUMPRODUCT(PRODUCE!$B15:$DY15,PRODUCE!$EB$45:$IY$45)</f>
        <v>0</v>
      </c>
      <c r="MK16" s="56"/>
      <c r="ML16" s="242">
        <f t="shared" si="114"/>
        <v>0</v>
      </c>
      <c r="MM16" s="242">
        <f t="shared" si="115"/>
        <v>0</v>
      </c>
      <c r="MN16" s="56"/>
      <c r="MQ16" s="55">
        <f t="shared" si="116"/>
        <v>46033</v>
      </c>
      <c r="MR16" s="56"/>
      <c r="MS16" s="242">
        <f>SUMPRODUCT(PRODUCE!$B15:$DY15,PRODUCE!$EB$46:$IY$46)</f>
        <v>0</v>
      </c>
      <c r="MT16" s="56"/>
      <c r="MU16" s="242">
        <f t="shared" si="117"/>
        <v>0</v>
      </c>
      <c r="MV16" s="242">
        <f t="shared" si="118"/>
        <v>1306</v>
      </c>
      <c r="MW16" s="56"/>
      <c r="MZ16" s="55">
        <f t="shared" si="119"/>
        <v>46033</v>
      </c>
      <c r="NA16" s="56"/>
      <c r="NB16" s="242">
        <f>SUMPRODUCT(PRODUCE!$B15:$DY15,PRODUCE!$EB$47:$IY$47)</f>
        <v>0</v>
      </c>
      <c r="NC16" s="56"/>
      <c r="ND16" s="242">
        <f t="shared" si="120"/>
        <v>0</v>
      </c>
      <c r="NE16" s="242">
        <f t="shared" si="121"/>
        <v>0</v>
      </c>
      <c r="NF16" s="56"/>
      <c r="NI16" s="55">
        <f t="shared" si="122"/>
        <v>46033</v>
      </c>
      <c r="NJ16" s="56"/>
      <c r="NK16" s="242">
        <f>SUMPRODUCT(PRODUCE!$B15:$DY15,PRODUCE!$EB$48:$IY$48)</f>
        <v>0</v>
      </c>
      <c r="NL16" s="56"/>
      <c r="NM16" s="242">
        <f t="shared" si="123"/>
        <v>0</v>
      </c>
      <c r="NN16" s="242">
        <f t="shared" si="124"/>
        <v>0</v>
      </c>
      <c r="NO16" s="56"/>
      <c r="NR16" s="55">
        <f t="shared" si="125"/>
        <v>46033</v>
      </c>
      <c r="NS16" s="56"/>
      <c r="NT16" s="242">
        <f>SUMPRODUCT(PRODUCE!$B15:$DY15,PRODUCE!$EB$49:$IY$49)</f>
        <v>0</v>
      </c>
      <c r="NU16" s="56"/>
      <c r="NV16" s="242">
        <f t="shared" si="126"/>
        <v>0</v>
      </c>
      <c r="NW16" s="242">
        <f t="shared" si="127"/>
        <v>0</v>
      </c>
      <c r="NX16" s="56"/>
      <c r="OA16" s="55">
        <f t="shared" si="128"/>
        <v>46033</v>
      </c>
      <c r="OB16" s="56"/>
      <c r="OC16" s="242">
        <f>SUMPRODUCT(PRODUCE!$B15:$DY15,PRODUCE!$EB$50:$IY$50)</f>
        <v>0</v>
      </c>
      <c r="OD16" s="56"/>
      <c r="OE16" s="242">
        <f t="shared" si="129"/>
        <v>0</v>
      </c>
      <c r="OF16" s="242">
        <f t="shared" si="130"/>
        <v>1730.5</v>
      </c>
      <c r="OG16" s="56"/>
      <c r="OJ16" s="55">
        <f t="shared" si="131"/>
        <v>46033</v>
      </c>
      <c r="OK16" s="56"/>
      <c r="OL16" s="242">
        <f>SUMPRODUCT(PRODUCE!$B15:$DY15,PRODUCE!$EB$51:$IY$51)</f>
        <v>0</v>
      </c>
      <c r="OM16" s="56"/>
      <c r="ON16" s="242">
        <f t="shared" si="132"/>
        <v>0</v>
      </c>
      <c r="OO16" s="242">
        <f t="shared" si="133"/>
        <v>0</v>
      </c>
      <c r="OP16" s="56"/>
      <c r="OS16" s="55">
        <f t="shared" si="134"/>
        <v>46033</v>
      </c>
      <c r="OT16" s="56"/>
      <c r="OU16" s="242">
        <f>SUMPRODUCT(PRODUCE!$B15:$DY15,PRODUCE!$EB$52:$IY$52)</f>
        <v>0</v>
      </c>
      <c r="OV16" s="56"/>
      <c r="OW16" s="242">
        <f t="shared" si="135"/>
        <v>0</v>
      </c>
      <c r="OX16" s="242">
        <f t="shared" si="136"/>
        <v>67</v>
      </c>
      <c r="OY16" s="56"/>
      <c r="PB16" s="55">
        <f t="shared" si="137"/>
        <v>46033</v>
      </c>
      <c r="PC16" s="56"/>
      <c r="PD16" s="242">
        <f>SUMPRODUCT(PRODUCE!$B15:$DY15,PRODUCE!$EB$53:$IY$53)</f>
        <v>0</v>
      </c>
      <c r="PE16" s="56"/>
      <c r="PF16" s="242">
        <f t="shared" si="138"/>
        <v>0</v>
      </c>
      <c r="PG16" s="242">
        <f t="shared" si="139"/>
        <v>0</v>
      </c>
      <c r="PH16" s="56"/>
      <c r="PK16" s="55">
        <f t="shared" si="140"/>
        <v>46033</v>
      </c>
      <c r="PL16" s="56"/>
      <c r="PM16" s="242">
        <f>SUMPRODUCT(PRODUCE!$B15:$DY15,PRODUCE!$EB$54:$IY$54)</f>
        <v>0</v>
      </c>
      <c r="PN16" s="56"/>
      <c r="PO16" s="242">
        <f t="shared" si="141"/>
        <v>0</v>
      </c>
      <c r="PP16" s="242">
        <f t="shared" si="142"/>
        <v>160</v>
      </c>
      <c r="PQ16" s="56"/>
      <c r="PT16" s="55">
        <f t="shared" si="143"/>
        <v>46033</v>
      </c>
      <c r="PU16" s="56"/>
      <c r="PV16" s="242">
        <f>SUMPRODUCT(PRODUCE!$B15:$DY15,PRODUCE!$EB$55:$IY$55)</f>
        <v>0</v>
      </c>
      <c r="PW16" s="56"/>
      <c r="PX16" s="242">
        <f t="shared" si="144"/>
        <v>0</v>
      </c>
      <c r="PY16" s="242">
        <f t="shared" si="145"/>
        <v>13.960000000000036</v>
      </c>
      <c r="PZ16" s="56"/>
      <c r="QC16" s="55">
        <f t="shared" si="146"/>
        <v>46033</v>
      </c>
      <c r="QD16" s="56"/>
      <c r="QE16" s="242">
        <f>SUMPRODUCT(PRODUCE!$B15:$DY15,PRODUCE!$EB$56:$IY$56)</f>
        <v>0</v>
      </c>
      <c r="QF16" s="56"/>
      <c r="QG16" s="242">
        <f t="shared" si="147"/>
        <v>0</v>
      </c>
      <c r="QH16" s="242">
        <f t="shared" si="148"/>
        <v>0</v>
      </c>
      <c r="QI16" s="56"/>
      <c r="QL16" s="55">
        <f t="shared" si="149"/>
        <v>46033</v>
      </c>
      <c r="QM16" s="56"/>
      <c r="QN16" s="242">
        <f>SUMPRODUCT(PRODUCE!$B15:$DY15,PRODUCE!$EB$57:$IY$57)</f>
        <v>0</v>
      </c>
      <c r="QO16" s="56"/>
      <c r="QP16" s="242">
        <f t="shared" si="150"/>
        <v>0</v>
      </c>
      <c r="QQ16" s="242">
        <f t="shared" si="151"/>
        <v>0</v>
      </c>
      <c r="QR16" s="56"/>
      <c r="QU16" s="55">
        <f t="shared" si="152"/>
        <v>46033</v>
      </c>
      <c r="QV16" s="56"/>
      <c r="QW16" s="242">
        <f>SUMPRODUCT(PRODUCE!$B15:$DY15,PRODUCE!$EB$57:$IY$57)</f>
        <v>0</v>
      </c>
      <c r="QX16" s="56"/>
      <c r="QY16" s="242">
        <f t="shared" si="153"/>
        <v>0</v>
      </c>
      <c r="QZ16" s="242">
        <f t="shared" si="154"/>
        <v>207.6</v>
      </c>
      <c r="RA16" s="56"/>
      <c r="RD16" s="55">
        <f t="shared" si="155"/>
        <v>46033</v>
      </c>
      <c r="RE16" s="56"/>
      <c r="RF16" s="242">
        <f>SUMPRODUCT(PRODUCE!$B15:$DY15,PRODUCE!$EB$58:$IY$58)</f>
        <v>0</v>
      </c>
      <c r="RG16" s="56"/>
      <c r="RH16" s="242">
        <f t="shared" si="156"/>
        <v>0</v>
      </c>
      <c r="RI16" s="242">
        <f t="shared" si="157"/>
        <v>201.8</v>
      </c>
      <c r="RJ16" s="56"/>
      <c r="RM16" s="55">
        <f t="shared" si="158"/>
        <v>46033</v>
      </c>
      <c r="RN16" s="56"/>
      <c r="RO16" s="242">
        <f>SUMPRODUCT(PRODUCE!$B15:$DY15,PRODUCE!$EB$59:$IY$59)</f>
        <v>0</v>
      </c>
      <c r="RP16" s="56"/>
      <c r="RQ16" s="242">
        <f t="shared" si="159"/>
        <v>0</v>
      </c>
      <c r="RR16" s="242">
        <f t="shared" si="160"/>
        <v>22.720000000000002</v>
      </c>
      <c r="RS16" s="56"/>
      <c r="RV16" s="55">
        <f t="shared" si="161"/>
        <v>46033</v>
      </c>
      <c r="RW16" s="56"/>
      <c r="RX16" s="242">
        <f>SUMPRODUCT(PRODUCE!$B15:$DY15,PRODUCE!$EB$57:$IY$57)</f>
        <v>0</v>
      </c>
      <c r="RY16" s="56"/>
      <c r="RZ16" s="242">
        <f t="shared" si="162"/>
        <v>0</v>
      </c>
      <c r="SA16" s="242">
        <f t="shared" si="163"/>
        <v>0</v>
      </c>
      <c r="SB16" s="56"/>
      <c r="SE16" s="55">
        <f t="shared" si="164"/>
        <v>46033</v>
      </c>
      <c r="SF16" s="56"/>
      <c r="SG16" s="242">
        <f>SUMPRODUCT(PRODUCE!$B15:$DY15,PRODUCE!$EB$61:$IY$61)</f>
        <v>0</v>
      </c>
      <c r="SH16" s="56"/>
      <c r="SI16" s="242">
        <f t="shared" si="165"/>
        <v>0</v>
      </c>
      <c r="SJ16" s="242">
        <f t="shared" si="166"/>
        <v>0</v>
      </c>
      <c r="SK16" s="56"/>
      <c r="SN16" s="55">
        <f t="shared" si="167"/>
        <v>46033</v>
      </c>
      <c r="SO16" s="56"/>
      <c r="SP16" s="242">
        <f>SUMPRODUCT(PRODUCE!$B15:$DY15,PRODUCE!$EB$57:$IY$57)</f>
        <v>0</v>
      </c>
      <c r="SQ16" s="56"/>
      <c r="SR16" s="242">
        <f t="shared" si="168"/>
        <v>0</v>
      </c>
      <c r="SS16" s="242">
        <f t="shared" si="169"/>
        <v>0</v>
      </c>
      <c r="ST16" s="56"/>
      <c r="SW16" s="55">
        <f t="shared" si="170"/>
        <v>46033</v>
      </c>
      <c r="SX16" s="56"/>
      <c r="SY16" s="242">
        <f>SUMPRODUCT(PRODUCE!$B15:$DY15,PRODUCE!$EB$57:$IY$57)</f>
        <v>0</v>
      </c>
      <c r="SZ16" s="56"/>
      <c r="TA16" s="242">
        <f t="shared" si="171"/>
        <v>0</v>
      </c>
      <c r="TB16" s="242">
        <f t="shared" si="172"/>
        <v>0</v>
      </c>
      <c r="TC16" s="56"/>
      <c r="TF16" s="55">
        <f t="shared" si="173"/>
        <v>46033</v>
      </c>
      <c r="TG16" s="56"/>
      <c r="TH16" s="242">
        <f>SUMPRODUCT(PRODUCE!$B15:$DY15,PRODUCE!$EB$57:$IY$57)</f>
        <v>0</v>
      </c>
      <c r="TI16" s="56"/>
      <c r="TJ16" s="242">
        <f t="shared" si="174"/>
        <v>0</v>
      </c>
      <c r="TK16" s="242">
        <f t="shared" si="175"/>
        <v>0</v>
      </c>
      <c r="TL16" s="56"/>
      <c r="TO16" s="55">
        <f t="shared" si="176"/>
        <v>46033</v>
      </c>
      <c r="TP16" s="56"/>
      <c r="TQ16" s="242">
        <f>SUMPRODUCT(PRODUCE!$B15:$DY15,PRODUCE!$EB$57:$IY$57)</f>
        <v>0</v>
      </c>
      <c r="TR16" s="56"/>
      <c r="TS16" s="242">
        <f t="shared" si="177"/>
        <v>0</v>
      </c>
      <c r="TT16" s="242">
        <f t="shared" si="178"/>
        <v>0</v>
      </c>
      <c r="TU16" s="56"/>
      <c r="TX16" s="55">
        <f t="shared" si="179"/>
        <v>46033</v>
      </c>
      <c r="TY16" s="56"/>
      <c r="TZ16" s="242">
        <f>SUMPRODUCT(PRODUCE!$B15:$DY15,PRODUCE!$EB$57:$IY$57)</f>
        <v>0</v>
      </c>
      <c r="UA16" s="56"/>
      <c r="UB16" s="242">
        <f t="shared" si="180"/>
        <v>0</v>
      </c>
      <c r="UC16" s="242">
        <f t="shared" si="181"/>
        <v>0</v>
      </c>
      <c r="UD16" s="56"/>
      <c r="UG16" s="55">
        <f t="shared" si="182"/>
        <v>46033</v>
      </c>
      <c r="UH16" s="56"/>
      <c r="UI16" s="242">
        <f>SUMPRODUCT(PRODUCE!$B15:$DY15,PRODUCE!$EB$57:$IY$57)</f>
        <v>0</v>
      </c>
      <c r="UJ16" s="56"/>
      <c r="UK16" s="242">
        <f t="shared" si="183"/>
        <v>0</v>
      </c>
      <c r="UL16" s="242">
        <f t="shared" si="184"/>
        <v>0</v>
      </c>
      <c r="UM16" s="56"/>
      <c r="UP16" s="55">
        <f t="shared" si="185"/>
        <v>46033</v>
      </c>
      <c r="UQ16" s="56"/>
      <c r="UR16" s="242">
        <f>SUMPRODUCT(PRODUCE!$B15:$DY15,PRODUCE!$EB$57:$IY$57)</f>
        <v>0</v>
      </c>
      <c r="US16" s="56"/>
      <c r="UT16" s="242">
        <f t="shared" si="186"/>
        <v>0</v>
      </c>
      <c r="UU16" s="242">
        <f t="shared" si="187"/>
        <v>0</v>
      </c>
      <c r="UV16" s="56"/>
      <c r="UY16" s="55">
        <f t="shared" si="188"/>
        <v>46033</v>
      </c>
      <c r="UZ16" s="56"/>
      <c r="VA16" s="242">
        <f>SUMPRODUCT(PRODUCE!$B15:$DY15,PRODUCE!$EB$57:$IY$57)</f>
        <v>0</v>
      </c>
      <c r="VB16" s="56"/>
      <c r="VC16" s="242">
        <f t="shared" si="189"/>
        <v>0</v>
      </c>
      <c r="VD16" s="242">
        <f t="shared" si="190"/>
        <v>-319.59999999999997</v>
      </c>
      <c r="VE16" s="56"/>
      <c r="VH16" s="55">
        <f t="shared" si="191"/>
        <v>46033</v>
      </c>
      <c r="VI16" s="56"/>
      <c r="VJ16" s="242">
        <f>SUMPRODUCT(PRODUCE!$B15:$DY15,PRODUCE!$EB$57:$IY$57)</f>
        <v>0</v>
      </c>
      <c r="VK16" s="56"/>
      <c r="VL16" s="242">
        <f t="shared" si="192"/>
        <v>0</v>
      </c>
      <c r="VM16" s="242">
        <f t="shared" si="193"/>
        <v>0</v>
      </c>
      <c r="VN16" s="56"/>
      <c r="VQ16" s="55">
        <f t="shared" si="194"/>
        <v>46033</v>
      </c>
      <c r="VR16" s="56"/>
      <c r="VS16" s="242">
        <f>SUMPRODUCT(PRODUCE!$B15:$DY15,PRODUCE!$EB$57:$IY$57)</f>
        <v>0</v>
      </c>
      <c r="VT16" s="56"/>
      <c r="VU16" s="242">
        <f t="shared" si="195"/>
        <v>0</v>
      </c>
      <c r="VV16" s="242">
        <f t="shared" si="196"/>
        <v>0</v>
      </c>
      <c r="VW16" s="56"/>
      <c r="VZ16" s="55">
        <f t="shared" si="197"/>
        <v>46033</v>
      </c>
      <c r="WA16" s="56"/>
      <c r="WB16" s="242">
        <f>SUMPRODUCT(PRODUCE!$B15:$DY15,PRODUCE!$EB$57:$IY$57)</f>
        <v>0</v>
      </c>
      <c r="WC16" s="56"/>
      <c r="WD16" s="242">
        <f t="shared" si="198"/>
        <v>0</v>
      </c>
      <c r="WE16" s="242">
        <f t="shared" si="199"/>
        <v>0</v>
      </c>
      <c r="WF16" s="56"/>
      <c r="WI16" s="55">
        <f t="shared" si="200"/>
        <v>46033</v>
      </c>
      <c r="WJ16" s="56"/>
      <c r="WK16" s="242">
        <f>SUMPRODUCT(PRODUCE!$B15:$DY15,PRODUCE!$EB$57:$IY$57)</f>
        <v>0</v>
      </c>
      <c r="WL16" s="56"/>
      <c r="WM16" s="242">
        <f t="shared" si="201"/>
        <v>0</v>
      </c>
      <c r="WN16" s="242">
        <f t="shared" si="202"/>
        <v>5877</v>
      </c>
      <c r="WO16" s="56"/>
      <c r="WR16" s="55">
        <f t="shared" si="203"/>
        <v>46033</v>
      </c>
      <c r="WS16" s="56"/>
      <c r="WT16" s="242">
        <f>SUMPRODUCT(PRODUCE!$B15:$DY15,PRODUCE!$EB$57:$IY$57)</f>
        <v>0</v>
      </c>
      <c r="WU16" s="56"/>
      <c r="WV16" s="242">
        <f t="shared" si="204"/>
        <v>0</v>
      </c>
      <c r="WW16" s="242">
        <f t="shared" si="205"/>
        <v>5267</v>
      </c>
      <c r="WX16" s="56"/>
      <c r="XA16" s="55">
        <f t="shared" si="206"/>
        <v>46033</v>
      </c>
      <c r="XB16" s="56"/>
      <c r="XC16" s="242">
        <f>SUMPRODUCT(PRODUCE!$B15:$DY15,PRODUCE!$EB$57:$IY$57)</f>
        <v>0</v>
      </c>
      <c r="XD16" s="56"/>
      <c r="XE16" s="242">
        <f t="shared" si="207"/>
        <v>0</v>
      </c>
      <c r="XF16" s="242">
        <f t="shared" si="208"/>
        <v>2446</v>
      </c>
      <c r="XG16" s="56"/>
      <c r="XJ16" s="55">
        <f t="shared" si="209"/>
        <v>46033</v>
      </c>
      <c r="XK16" s="56"/>
      <c r="XL16" s="242">
        <f>SUMPRODUCT(PRODUCE!$B15:$DY15,PRODUCE!$EB$57:$IY$57)</f>
        <v>0</v>
      </c>
      <c r="XM16" s="56"/>
      <c r="XN16" s="242">
        <f t="shared" si="210"/>
        <v>0</v>
      </c>
      <c r="XO16" s="242">
        <f t="shared" si="211"/>
        <v>6350</v>
      </c>
      <c r="XP16" s="56"/>
      <c r="XS16" s="55">
        <f t="shared" si="212"/>
        <v>46033</v>
      </c>
      <c r="XT16" s="56"/>
      <c r="XU16" s="242">
        <f>SUMPRODUCT(PRODUCE!$B15:$DY15,PRODUCE!$EB$57:$IY$57)</f>
        <v>0</v>
      </c>
      <c r="XV16" s="56"/>
      <c r="XW16" s="242">
        <f t="shared" si="213"/>
        <v>0</v>
      </c>
      <c r="XX16" s="242">
        <f t="shared" si="214"/>
        <v>1901</v>
      </c>
      <c r="XY16" s="56"/>
      <c r="YB16" s="55">
        <f t="shared" si="215"/>
        <v>46033</v>
      </c>
      <c r="YC16" s="56"/>
      <c r="YD16" s="242">
        <f>SUMPRODUCT(PRODUCE!$B15:$DY15,PRODUCE!$EB$57:$IY$57)</f>
        <v>0</v>
      </c>
      <c r="YE16" s="56"/>
      <c r="YF16" s="242">
        <f t="shared" si="216"/>
        <v>0</v>
      </c>
      <c r="YG16" s="242">
        <f t="shared" si="217"/>
        <v>4175</v>
      </c>
      <c r="YH16" s="56"/>
      <c r="YK16" s="55">
        <f t="shared" si="218"/>
        <v>46033</v>
      </c>
      <c r="YL16" s="56"/>
      <c r="YM16" s="242">
        <f>SUMPRODUCT(PRODUCE!$B15:$DY15,PRODUCE!$EB$57:$IY$57)</f>
        <v>0</v>
      </c>
      <c r="YN16" s="56"/>
      <c r="YO16" s="242">
        <f t="shared" si="219"/>
        <v>0</v>
      </c>
      <c r="YP16" s="242">
        <f t="shared" si="220"/>
        <v>0</v>
      </c>
      <c r="YQ16" s="56"/>
      <c r="YT16" s="55">
        <f t="shared" si="221"/>
        <v>46033</v>
      </c>
      <c r="YU16" s="56"/>
      <c r="YV16" s="242">
        <f>SUMPRODUCT(PRODUCE!$B15:$DY15,PRODUCE!$EB$57:$IY$57)</f>
        <v>0</v>
      </c>
      <c r="YW16" s="56"/>
      <c r="YX16" s="242">
        <f t="shared" si="222"/>
        <v>0</v>
      </c>
      <c r="YY16" s="242">
        <f t="shared" si="223"/>
        <v>0</v>
      </c>
      <c r="YZ16" s="56"/>
      <c r="ZC16" s="55">
        <f t="shared" si="224"/>
        <v>46033</v>
      </c>
      <c r="ZD16" s="56"/>
      <c r="ZE16" s="242">
        <f>SUMPRODUCT(PRODUCE!$B15:$DY15,PRODUCE!$EB$57:$IY$57)</f>
        <v>0</v>
      </c>
      <c r="ZF16" s="56"/>
      <c r="ZG16" s="242">
        <f t="shared" si="225"/>
        <v>0</v>
      </c>
      <c r="ZH16" s="242">
        <f t="shared" si="226"/>
        <v>0</v>
      </c>
      <c r="ZI16" s="56"/>
      <c r="ZL16" s="55">
        <f t="shared" si="227"/>
        <v>46033</v>
      </c>
      <c r="ZM16" s="56"/>
      <c r="ZN16" s="242">
        <f>SUMPRODUCT(PRODUCE!$B15:$DY15,PRODUCE!$EB$57:$IY$57)</f>
        <v>0</v>
      </c>
      <c r="ZO16" s="56"/>
      <c r="ZP16" s="242">
        <f t="shared" si="228"/>
        <v>0</v>
      </c>
      <c r="ZQ16" s="242">
        <f t="shared" si="229"/>
        <v>0</v>
      </c>
      <c r="ZR16" s="56"/>
      <c r="ZU16" s="55">
        <f t="shared" si="230"/>
        <v>46033</v>
      </c>
      <c r="ZV16" s="56"/>
      <c r="ZW16" s="242">
        <f>SUMPRODUCT(PRODUCE!$B15:$DY15,PRODUCE!$EB$57:$IY$57)</f>
        <v>0</v>
      </c>
      <c r="ZX16" s="56"/>
      <c r="ZY16" s="242">
        <f t="shared" si="231"/>
        <v>0</v>
      </c>
      <c r="ZZ16" s="242">
        <f t="shared" si="232"/>
        <v>0</v>
      </c>
      <c r="AAA16" s="56"/>
      <c r="AAD16" s="55">
        <f t="shared" si="233"/>
        <v>46033</v>
      </c>
      <c r="AAE16" s="56"/>
      <c r="AAF16" s="242">
        <f>SUMPRODUCT(PRODUCE!$B15:$DY15,PRODUCE!$EB$57:$IY$57)</f>
        <v>0</v>
      </c>
      <c r="AAG16" s="56"/>
      <c r="AAH16" s="242">
        <f t="shared" si="234"/>
        <v>0</v>
      </c>
      <c r="AAI16" s="242">
        <f t="shared" si="235"/>
        <v>0</v>
      </c>
      <c r="AAJ16" s="56"/>
      <c r="AAM16" s="55">
        <f t="shared" si="236"/>
        <v>46033</v>
      </c>
      <c r="AAN16" s="56"/>
      <c r="AAO16" s="242">
        <f>SUMPRODUCT(PRODUCE!$B15:$DY15,PRODUCE!$EB$57:$IY$57)</f>
        <v>0</v>
      </c>
      <c r="AAP16" s="56"/>
      <c r="AAQ16" s="242">
        <f t="shared" si="237"/>
        <v>0</v>
      </c>
      <c r="AAR16" s="242">
        <f t="shared" si="238"/>
        <v>0</v>
      </c>
      <c r="AAS16" s="56"/>
      <c r="AAV16" s="55">
        <f t="shared" si="239"/>
        <v>46033</v>
      </c>
      <c r="AAW16" s="56"/>
      <c r="AAX16" s="242">
        <f>SUMPRODUCT(PRODUCE!$B15:$DY15,PRODUCE!$EB$57:$IY$57)</f>
        <v>0</v>
      </c>
      <c r="AAY16" s="56"/>
      <c r="AAZ16" s="242">
        <f t="shared" si="240"/>
        <v>0</v>
      </c>
      <c r="ABA16" s="242">
        <f t="shared" si="241"/>
        <v>0</v>
      </c>
      <c r="ABB16" s="56"/>
      <c r="ABE16" s="55">
        <f t="shared" si="242"/>
        <v>46033</v>
      </c>
      <c r="ABF16" s="56"/>
      <c r="ABG16" s="242">
        <f>SUMPRODUCT(PRODUCE!$B15:$DY15,PRODUCE!$EB$57:$IY$57)</f>
        <v>0</v>
      </c>
      <c r="ABH16" s="56"/>
      <c r="ABI16" s="242">
        <f t="shared" si="243"/>
        <v>0</v>
      </c>
      <c r="ABJ16" s="242">
        <f t="shared" si="244"/>
        <v>0</v>
      </c>
      <c r="ABK16" s="56"/>
    </row>
    <row r="17" spans="2:739" s="54" customFormat="1" ht="15" customHeight="1" outlineLevel="1">
      <c r="B17" s="478">
        <f>26+20+30</f>
        <v>76</v>
      </c>
      <c r="C17" s="55">
        <v>46034</v>
      </c>
      <c r="D17" s="422">
        <v>44880</v>
      </c>
      <c r="E17" s="423">
        <f>SUMPRODUCT(PRODUCE!$B16:$DY16,PRODUCE!$EB$7:$IY$7)</f>
        <v>45179</v>
      </c>
      <c r="F17" s="422">
        <v>45181.4</v>
      </c>
      <c r="G17" s="423">
        <f t="shared" si="2"/>
        <v>-2.4000000000014552</v>
      </c>
      <c r="H17" s="423">
        <f t="shared" si="0"/>
        <v>32506.6</v>
      </c>
      <c r="I17" s="289" t="s">
        <v>182</v>
      </c>
      <c r="L17" s="55">
        <f t="shared" si="1"/>
        <v>46034</v>
      </c>
      <c r="M17" s="422">
        <v>27900</v>
      </c>
      <c r="N17" s="438">
        <f>SUMPRODUCT(PRODUCE!$B16:$DY16,PRODUCE!$EB$8:$IY$8)</f>
        <v>15383.999999999998</v>
      </c>
      <c r="O17" s="422">
        <v>15379.8</v>
      </c>
      <c r="P17" s="438">
        <f t="shared" si="3"/>
        <v>4.1999999999989086</v>
      </c>
      <c r="Q17" s="438">
        <f t="shared" si="4"/>
        <v>8453.8000000000065</v>
      </c>
      <c r="R17" s="56"/>
      <c r="U17" s="55">
        <f t="shared" si="5"/>
        <v>46034</v>
      </c>
      <c r="V17" s="422"/>
      <c r="W17" s="440">
        <f>SUMPRODUCT(PRODUCE!$B16:$DY16,PRODUCE!$EB$9:$IY$9)</f>
        <v>4600</v>
      </c>
      <c r="X17" s="422">
        <v>4598.8</v>
      </c>
      <c r="Y17" s="440">
        <f t="shared" si="6"/>
        <v>1.1999999999998181</v>
      </c>
      <c r="Z17" s="440">
        <f t="shared" si="7"/>
        <v>37036.099999999984</v>
      </c>
      <c r="AA17" s="56"/>
      <c r="AD17" s="55">
        <f t="shared" si="8"/>
        <v>46034</v>
      </c>
      <c r="AE17" s="422"/>
      <c r="AF17" s="442">
        <f>SUMPRODUCT(PRODUCE!$B16:$DY16,PRODUCE!$EB$10:$IY$10)</f>
        <v>3800</v>
      </c>
      <c r="AG17" s="422">
        <v>3801.4</v>
      </c>
      <c r="AH17" s="442">
        <f t="shared" si="9"/>
        <v>-1.4000000000000909</v>
      </c>
      <c r="AI17" s="442">
        <f t="shared" si="10"/>
        <v>34918.100000000006</v>
      </c>
      <c r="AJ17" s="56"/>
      <c r="AM17" s="55">
        <f t="shared" si="11"/>
        <v>46034</v>
      </c>
      <c r="AN17" s="422"/>
      <c r="AO17" s="444">
        <f>SUMPRODUCT(PRODUCE!$B16:$DY16,PRODUCE!$EB$11:$IY$11)</f>
        <v>0</v>
      </c>
      <c r="AP17" s="422"/>
      <c r="AQ17" s="444">
        <f t="shared" si="12"/>
        <v>0</v>
      </c>
      <c r="AR17" s="444">
        <f t="shared" si="13"/>
        <v>0</v>
      </c>
      <c r="AS17" s="56"/>
      <c r="AV17" s="55">
        <f t="shared" si="14"/>
        <v>46034</v>
      </c>
      <c r="AW17" s="422"/>
      <c r="AX17" s="446">
        <f>SUMPRODUCT(PRODUCE!$B16:$DY16,PRODUCE!$EB$12:$IY$12)</f>
        <v>1385</v>
      </c>
      <c r="AY17" s="422">
        <v>1385.2</v>
      </c>
      <c r="AZ17" s="446">
        <f t="shared" si="15"/>
        <v>-0.20000000000004547</v>
      </c>
      <c r="BA17" s="446">
        <f t="shared" si="16"/>
        <v>17932.599999999991</v>
      </c>
      <c r="BB17" s="56"/>
      <c r="BE17" s="55">
        <f t="shared" si="17"/>
        <v>46034</v>
      </c>
      <c r="BF17" s="422"/>
      <c r="BG17" s="448">
        <f>SUMPRODUCT(PRODUCE!$B16:$DY16,PRODUCE!$EB$13:$IY$13)</f>
        <v>1670</v>
      </c>
      <c r="BH17" s="422">
        <v>1629.4</v>
      </c>
      <c r="BI17" s="448">
        <f t="shared" si="18"/>
        <v>40.599999999999909</v>
      </c>
      <c r="BJ17" s="448">
        <f t="shared" si="19"/>
        <v>15618.900000000003</v>
      </c>
      <c r="BK17" s="56"/>
      <c r="BN17" s="55">
        <f t="shared" si="20"/>
        <v>46034</v>
      </c>
      <c r="BO17" s="422">
        <v>1570</v>
      </c>
      <c r="BP17" s="450">
        <f>SUMPRODUCT(PRODUCE!$B16:$DY16,PRODUCE!$EB$14:$IY$14)</f>
        <v>1570</v>
      </c>
      <c r="BQ17" s="422">
        <v>1570</v>
      </c>
      <c r="BR17" s="450">
        <f t="shared" si="21"/>
        <v>0</v>
      </c>
      <c r="BS17" s="450">
        <f t="shared" si="22"/>
        <v>0</v>
      </c>
      <c r="BT17" s="56"/>
      <c r="BW17" s="55">
        <f t="shared" si="23"/>
        <v>46034</v>
      </c>
      <c r="BX17" s="56"/>
      <c r="BY17" s="65">
        <f>SUMPRODUCT(PRODUCE!$B16:$DY16,PRODUCE!$EB$15:$IY$15)</f>
        <v>0</v>
      </c>
      <c r="BZ17" s="56"/>
      <c r="CA17" s="65">
        <f t="shared" si="24"/>
        <v>0</v>
      </c>
      <c r="CB17" s="65">
        <f t="shared" si="25"/>
        <v>3461.5</v>
      </c>
      <c r="CC17" s="56"/>
      <c r="CF17" s="55">
        <f t="shared" si="26"/>
        <v>46034</v>
      </c>
      <c r="CG17" s="56"/>
      <c r="CH17" s="66">
        <f>SUMPRODUCT(PRODUCE!$B16:$DY16,PRODUCE!$EB$16:$IY$16)</f>
        <v>0</v>
      </c>
      <c r="CI17" s="56"/>
      <c r="CJ17" s="66">
        <f t="shared" si="27"/>
        <v>0</v>
      </c>
      <c r="CK17" s="66">
        <f t="shared" si="28"/>
        <v>0</v>
      </c>
      <c r="CL17" s="56"/>
      <c r="CO17" s="55">
        <f t="shared" si="29"/>
        <v>46034</v>
      </c>
      <c r="CP17" s="422"/>
      <c r="CQ17" s="470">
        <f>SUMPRODUCT(PRODUCE!$B16:$DY16,PRODUCE!$EB$17:$IY$17)</f>
        <v>0</v>
      </c>
      <c r="CR17" s="422"/>
      <c r="CS17" s="470">
        <f t="shared" si="30"/>
        <v>0</v>
      </c>
      <c r="CT17" s="470">
        <f t="shared" si="31"/>
        <v>0</v>
      </c>
      <c r="CU17" s="56"/>
      <c r="CX17" s="55">
        <f t="shared" si="32"/>
        <v>46034</v>
      </c>
      <c r="CY17" s="56"/>
      <c r="CZ17" s="133">
        <f>SUMPRODUCT(PRODUCE!$B16:$DY16,PRODUCE!$EB$18:$IY$18)</f>
        <v>0</v>
      </c>
      <c r="DA17" s="56"/>
      <c r="DB17" s="133">
        <f t="shared" si="33"/>
        <v>0</v>
      </c>
      <c r="DC17" s="133">
        <f t="shared" si="34"/>
        <v>0</v>
      </c>
      <c r="DD17" s="56"/>
      <c r="DG17" s="55">
        <f t="shared" si="35"/>
        <v>46034</v>
      </c>
      <c r="DH17" s="56"/>
      <c r="DI17" s="147">
        <f>SUMPRODUCT(PRODUCE!$B16:$DY16,PRODUCE!$EB$19:$IY$19)</f>
        <v>700</v>
      </c>
      <c r="DJ17" s="56">
        <v>700.4</v>
      </c>
      <c r="DK17" s="147">
        <f t="shared" si="36"/>
        <v>-0.39999999999997726</v>
      </c>
      <c r="DL17" s="147">
        <f t="shared" si="37"/>
        <v>25391.599999999999</v>
      </c>
      <c r="DM17" s="56"/>
      <c r="DP17" s="55">
        <f t="shared" si="38"/>
        <v>46034</v>
      </c>
      <c r="DQ17" s="56"/>
      <c r="DR17" s="57">
        <f>SUMPRODUCT(PRODUCE!$B16:$DY16,PRODUCE!$EB$20:$IY$20)</f>
        <v>0</v>
      </c>
      <c r="DS17" s="56"/>
      <c r="DT17" s="57">
        <f t="shared" si="39"/>
        <v>0</v>
      </c>
      <c r="DU17" s="57">
        <f t="shared" si="40"/>
        <v>0</v>
      </c>
      <c r="DV17" s="56"/>
      <c r="DY17" s="55">
        <f t="shared" si="41"/>
        <v>46034</v>
      </c>
      <c r="DZ17" s="56"/>
      <c r="EA17" s="157">
        <f>SUMPRODUCT(PRODUCE!$B16:$DY16,PRODUCE!$EB$21:$IY$21)</f>
        <v>0</v>
      </c>
      <c r="EB17" s="56"/>
      <c r="EC17" s="157">
        <f t="shared" si="42"/>
        <v>0</v>
      </c>
      <c r="ED17" s="157">
        <f t="shared" si="43"/>
        <v>0</v>
      </c>
      <c r="EE17" s="56"/>
      <c r="EH17" s="55">
        <f t="shared" si="44"/>
        <v>46034</v>
      </c>
      <c r="EI17" s="56"/>
      <c r="EJ17" s="162">
        <f>SUMPRODUCT(PRODUCE!$B16:$DY16,PRODUCE!$EB$22:$IY$22)</f>
        <v>0</v>
      </c>
      <c r="EK17" s="56"/>
      <c r="EL17" s="162">
        <f t="shared" si="45"/>
        <v>0</v>
      </c>
      <c r="EM17" s="162">
        <f t="shared" si="46"/>
        <v>0</v>
      </c>
      <c r="EN17" s="56"/>
      <c r="EQ17" s="55">
        <f t="shared" si="47"/>
        <v>46034</v>
      </c>
      <c r="ER17" s="56"/>
      <c r="ES17" s="135">
        <f>SUMPRODUCT(PRODUCE!$B16:$DY16,PRODUCE!$EB$23:$IY$23)</f>
        <v>0</v>
      </c>
      <c r="ET17" s="56"/>
      <c r="EU17" s="135">
        <f t="shared" si="48"/>
        <v>0</v>
      </c>
      <c r="EV17" s="135">
        <f t="shared" si="49"/>
        <v>0</v>
      </c>
      <c r="EW17" s="56"/>
      <c r="EZ17" s="55">
        <f t="shared" si="50"/>
        <v>46034</v>
      </c>
      <c r="FA17" s="56"/>
      <c r="FB17" s="175">
        <f>SUMPRODUCT(PRODUCE!$B16:$DY16,PRODUCE!$EB$24:$IY$24)</f>
        <v>0</v>
      </c>
      <c r="FC17" s="56"/>
      <c r="FD17" s="175">
        <f t="shared" si="51"/>
        <v>0</v>
      </c>
      <c r="FE17" s="175">
        <f t="shared" si="52"/>
        <v>0</v>
      </c>
      <c r="FF17" s="56"/>
      <c r="FI17" s="55">
        <f t="shared" si="53"/>
        <v>46034</v>
      </c>
      <c r="FJ17" s="56"/>
      <c r="FK17" s="183">
        <f>SUMPRODUCT(PRODUCE!$B16:$DY16,PRODUCE!$EB$25:$IY$25)</f>
        <v>0</v>
      </c>
      <c r="FL17" s="56"/>
      <c r="FM17" s="183">
        <f t="shared" si="54"/>
        <v>0</v>
      </c>
      <c r="FN17" s="183">
        <f t="shared" si="55"/>
        <v>0</v>
      </c>
      <c r="FO17" s="56"/>
      <c r="FR17" s="55">
        <f t="shared" si="56"/>
        <v>46034</v>
      </c>
      <c r="FS17" s="422"/>
      <c r="FT17" s="452">
        <f>SUMPRODUCT(PRODUCE!$B16:$DY16,PRODUCE!$EB$26:$IY$26)</f>
        <v>0</v>
      </c>
      <c r="FU17" s="422"/>
      <c r="FV17" s="452">
        <f t="shared" si="57"/>
        <v>0</v>
      </c>
      <c r="FW17" s="452">
        <f t="shared" si="58"/>
        <v>3540</v>
      </c>
      <c r="FX17" s="56"/>
      <c r="GA17" s="55">
        <f t="shared" si="59"/>
        <v>46034</v>
      </c>
      <c r="GB17" s="422"/>
      <c r="GC17" s="454">
        <f>SUMPRODUCT(PRODUCE!$B16:$DY16,PRODUCE!$EB$27:$IY$27)</f>
        <v>0</v>
      </c>
      <c r="GD17" s="422"/>
      <c r="GE17" s="454">
        <f t="shared" si="60"/>
        <v>0</v>
      </c>
      <c r="GF17" s="454">
        <f t="shared" si="61"/>
        <v>1960</v>
      </c>
      <c r="GG17" s="56"/>
      <c r="GI17" s="23"/>
      <c r="GJ17" s="55">
        <f t="shared" si="62"/>
        <v>46034</v>
      </c>
      <c r="GK17" s="422"/>
      <c r="GL17" s="456">
        <f>SUMPRODUCT(PRODUCE!$B16:$DY16,PRODUCE!$EB$28:$IY$28)</f>
        <v>600</v>
      </c>
      <c r="GM17" s="422"/>
      <c r="GN17" s="456">
        <f t="shared" si="63"/>
        <v>600</v>
      </c>
      <c r="GO17" s="456">
        <f t="shared" si="64"/>
        <v>6360</v>
      </c>
      <c r="GP17" s="56"/>
      <c r="GS17" s="55">
        <f t="shared" si="65"/>
        <v>46034</v>
      </c>
      <c r="GT17" s="56"/>
      <c r="GU17" s="195">
        <f>SUMPRODUCT(PRODUCE!$B16:$DY16,PRODUCE!$EB$29:$IY$29)</f>
        <v>0</v>
      </c>
      <c r="GV17" s="56"/>
      <c r="GW17" s="195">
        <f t="shared" si="66"/>
        <v>0</v>
      </c>
      <c r="GX17" s="195">
        <f t="shared" si="67"/>
        <v>0</v>
      </c>
      <c r="GY17" s="56"/>
      <c r="HB17" s="55">
        <f t="shared" si="68"/>
        <v>46034</v>
      </c>
      <c r="HC17" s="56"/>
      <c r="HD17" s="191">
        <f>SUMPRODUCT(PRODUCE!$B16:$DY16,PRODUCE!$EB$30:$IY$30)</f>
        <v>0</v>
      </c>
      <c r="HE17" s="56"/>
      <c r="HF17" s="191">
        <f t="shared" si="69"/>
        <v>0</v>
      </c>
      <c r="HG17" s="191">
        <f t="shared" si="70"/>
        <v>0</v>
      </c>
      <c r="HH17" s="56"/>
      <c r="HK17" s="55">
        <f t="shared" si="71"/>
        <v>46034</v>
      </c>
      <c r="HL17" s="56"/>
      <c r="HM17" s="63">
        <f>SUMPRODUCT(PRODUCE!$B16:$DY16,PRODUCE!$EB$31:$IY$31)</f>
        <v>0</v>
      </c>
      <c r="HN17" s="56"/>
      <c r="HO17" s="63">
        <f t="shared" si="72"/>
        <v>0</v>
      </c>
      <c r="HP17" s="63">
        <f t="shared" si="73"/>
        <v>0</v>
      </c>
      <c r="HQ17" s="56"/>
      <c r="HU17" s="55">
        <f t="shared" si="74"/>
        <v>46034</v>
      </c>
      <c r="HV17" s="56"/>
      <c r="HW17" s="242">
        <f>SUMPRODUCT(PRODUCE!$B16:$DY16,PRODUCE!$EB$32:$IY$32)</f>
        <v>0</v>
      </c>
      <c r="HX17" s="56"/>
      <c r="HY17" s="242">
        <f t="shared" si="75"/>
        <v>0</v>
      </c>
      <c r="HZ17" s="242">
        <f t="shared" si="76"/>
        <v>3800</v>
      </c>
      <c r="IA17" s="56"/>
      <c r="ID17" s="55">
        <f t="shared" si="77"/>
        <v>46034</v>
      </c>
      <c r="IE17" s="56"/>
      <c r="IF17" s="242">
        <f>SUMPRODUCT(PRODUCE!$B16:$DY16,PRODUCE!$EB$33:$IY$33)</f>
        <v>0</v>
      </c>
      <c r="IG17" s="56"/>
      <c r="IH17" s="242">
        <f t="shared" si="78"/>
        <v>0</v>
      </c>
      <c r="II17" s="242">
        <f t="shared" si="79"/>
        <v>5100</v>
      </c>
      <c r="IJ17" s="56"/>
      <c r="IM17" s="55">
        <f t="shared" si="80"/>
        <v>46034</v>
      </c>
      <c r="IN17" s="56"/>
      <c r="IO17" s="242">
        <f>SUMPRODUCT(PRODUCE!$B16:$DY16,PRODUCE!$EB$34:$IY$34)</f>
        <v>520</v>
      </c>
      <c r="IP17" s="56"/>
      <c r="IQ17" s="242">
        <f t="shared" si="81"/>
        <v>520</v>
      </c>
      <c r="IR17" s="242">
        <f t="shared" si="82"/>
        <v>11240</v>
      </c>
      <c r="IS17" s="56"/>
      <c r="IV17" s="55">
        <f t="shared" si="83"/>
        <v>46034</v>
      </c>
      <c r="IW17" s="56"/>
      <c r="IX17" s="242">
        <f>SUMPRODUCT(PRODUCE!$B16:$DY16,PRODUCE!$EB$35:$IY$35)</f>
        <v>400</v>
      </c>
      <c r="IY17" s="56"/>
      <c r="IZ17" s="242">
        <f t="shared" si="84"/>
        <v>400</v>
      </c>
      <c r="JA17" s="242">
        <f t="shared" si="85"/>
        <v>3120</v>
      </c>
      <c r="JB17" s="56"/>
      <c r="JE17" s="55">
        <f t="shared" si="86"/>
        <v>46034</v>
      </c>
      <c r="JF17" s="56"/>
      <c r="JG17" s="242">
        <f>SUMPRODUCT(PRODUCE!$B16:$DY16,PRODUCE!$EB$36:$IY$36)</f>
        <v>0</v>
      </c>
      <c r="JH17" s="56"/>
      <c r="JI17" s="242">
        <f t="shared" si="87"/>
        <v>0</v>
      </c>
      <c r="JJ17" s="242">
        <f t="shared" si="88"/>
        <v>6800</v>
      </c>
      <c r="JK17" s="56"/>
      <c r="JN17" s="55">
        <f t="shared" si="89"/>
        <v>46034</v>
      </c>
      <c r="JO17" s="56"/>
      <c r="JP17" s="242">
        <f>SUMPRODUCT(PRODUCE!$B16:$DY16,PRODUCE!$EB$37:$IY$37)</f>
        <v>0</v>
      </c>
      <c r="JQ17" s="56"/>
      <c r="JR17" s="242">
        <f t="shared" si="90"/>
        <v>0</v>
      </c>
      <c r="JS17" s="242">
        <f t="shared" si="91"/>
        <v>5400</v>
      </c>
      <c r="JT17" s="56"/>
      <c r="JW17" s="55">
        <f t="shared" si="92"/>
        <v>46034</v>
      </c>
      <c r="JX17" s="56"/>
      <c r="JY17" s="242">
        <f>SUMPRODUCT(PRODUCE!$B16:$DY16,PRODUCE!$EB$38:$IY$38)</f>
        <v>0</v>
      </c>
      <c r="JZ17" s="56"/>
      <c r="KA17" s="242">
        <f t="shared" si="93"/>
        <v>0</v>
      </c>
      <c r="KB17" s="242">
        <f t="shared" si="94"/>
        <v>0</v>
      </c>
      <c r="KC17" s="56"/>
      <c r="KF17" s="55">
        <f t="shared" si="95"/>
        <v>46034</v>
      </c>
      <c r="KG17" s="56"/>
      <c r="KH17" s="242">
        <f>SUMPRODUCT(PRODUCE!$B16:$DY16,PRODUCE!$EB$39:$IY$39)</f>
        <v>0</v>
      </c>
      <c r="KI17" s="56"/>
      <c r="KJ17" s="242">
        <f t="shared" si="96"/>
        <v>0</v>
      </c>
      <c r="KK17" s="242">
        <f t="shared" si="97"/>
        <v>0</v>
      </c>
      <c r="KL17" s="56"/>
      <c r="KO17" s="55">
        <f t="shared" si="98"/>
        <v>46034</v>
      </c>
      <c r="KP17" s="56"/>
      <c r="KQ17" s="242">
        <f>SUMPRODUCT(PRODUCE!$B16:$DY16,PRODUCE!$EB$40:$IY$40)</f>
        <v>0</v>
      </c>
      <c r="KR17" s="56"/>
      <c r="KS17" s="242">
        <f t="shared" si="99"/>
        <v>0</v>
      </c>
      <c r="KT17" s="242">
        <f t="shared" si="100"/>
        <v>0</v>
      </c>
      <c r="KU17" s="56"/>
      <c r="KW17" s="23"/>
      <c r="KX17" s="55">
        <f t="shared" si="101"/>
        <v>46034</v>
      </c>
      <c r="KY17" s="56"/>
      <c r="KZ17" s="242">
        <f>SUMPRODUCT(PRODUCE!$B16:$DY16,PRODUCE!$EB$41:$IY$41)</f>
        <v>0</v>
      </c>
      <c r="LA17" s="56"/>
      <c r="LB17" s="242">
        <f t="shared" si="102"/>
        <v>0</v>
      </c>
      <c r="LC17" s="242">
        <f t="shared" si="103"/>
        <v>0</v>
      </c>
      <c r="LD17" s="56"/>
      <c r="LG17" s="55">
        <f t="shared" si="104"/>
        <v>46034</v>
      </c>
      <c r="LH17" s="56"/>
      <c r="LI17" s="242">
        <f>SUMPRODUCT(PRODUCE!$B16:$DY16,PRODUCE!$EB$42:$IY$42)</f>
        <v>0</v>
      </c>
      <c r="LJ17" s="56"/>
      <c r="LK17" s="242">
        <f t="shared" si="105"/>
        <v>0</v>
      </c>
      <c r="LL17" s="242">
        <f t="shared" si="106"/>
        <v>0</v>
      </c>
      <c r="LM17" s="56"/>
      <c r="LP17" s="55">
        <f t="shared" si="107"/>
        <v>46034</v>
      </c>
      <c r="LQ17" s="56"/>
      <c r="LR17" s="242">
        <f>SUMPRODUCT(PRODUCE!$B16:$DY16,PRODUCE!$EB$43:$IY$43)</f>
        <v>0</v>
      </c>
      <c r="LS17" s="56"/>
      <c r="LT17" s="242">
        <f t="shared" si="108"/>
        <v>0</v>
      </c>
      <c r="LU17" s="242">
        <f t="shared" si="109"/>
        <v>0</v>
      </c>
      <c r="LV17" s="56"/>
      <c r="LY17" s="55">
        <f t="shared" si="110"/>
        <v>46034</v>
      </c>
      <c r="LZ17" s="56"/>
      <c r="MA17" s="242">
        <f>SUMPRODUCT(PRODUCE!$B16:$DY16,PRODUCE!$EB$44:$IY$44)</f>
        <v>0</v>
      </c>
      <c r="MB17" s="56"/>
      <c r="MC17" s="242">
        <f t="shared" si="111"/>
        <v>0</v>
      </c>
      <c r="MD17" s="242">
        <f t="shared" si="112"/>
        <v>0</v>
      </c>
      <c r="ME17" s="56"/>
      <c r="MH17" s="55">
        <f t="shared" si="113"/>
        <v>46034</v>
      </c>
      <c r="MI17" s="56"/>
      <c r="MJ17" s="242">
        <f>SUMPRODUCT(PRODUCE!$B16:$DY16,PRODUCE!$EB$45:$IY$45)</f>
        <v>0</v>
      </c>
      <c r="MK17" s="56"/>
      <c r="ML17" s="242">
        <f t="shared" si="114"/>
        <v>0</v>
      </c>
      <c r="MM17" s="242">
        <f t="shared" si="115"/>
        <v>0</v>
      </c>
      <c r="MN17" s="56"/>
      <c r="MQ17" s="55">
        <f t="shared" si="116"/>
        <v>46034</v>
      </c>
      <c r="MR17" s="56"/>
      <c r="MS17" s="242">
        <f>SUMPRODUCT(PRODUCE!$B16:$DY16,PRODUCE!$EB$46:$IY$46)</f>
        <v>28</v>
      </c>
      <c r="MT17" s="56">
        <v>25</v>
      </c>
      <c r="MU17" s="242">
        <f t="shared" si="117"/>
        <v>3</v>
      </c>
      <c r="MV17" s="242">
        <f t="shared" si="118"/>
        <v>1281</v>
      </c>
      <c r="MW17" s="56"/>
      <c r="MZ17" s="55">
        <f t="shared" si="119"/>
        <v>46034</v>
      </c>
      <c r="NA17" s="56">
        <v>150</v>
      </c>
      <c r="NB17" s="242">
        <f>SUMPRODUCT(PRODUCE!$B16:$DY16,PRODUCE!$EB$47:$IY$47)</f>
        <v>138</v>
      </c>
      <c r="NC17" s="56">
        <v>150</v>
      </c>
      <c r="ND17" s="242">
        <f t="shared" si="120"/>
        <v>-12</v>
      </c>
      <c r="NE17" s="242">
        <f t="shared" si="121"/>
        <v>0</v>
      </c>
      <c r="NF17" s="56"/>
      <c r="NI17" s="55">
        <f t="shared" si="122"/>
        <v>46034</v>
      </c>
      <c r="NJ17" s="56"/>
      <c r="NK17" s="242">
        <f>SUMPRODUCT(PRODUCE!$B16:$DY16,PRODUCE!$EB$48:$IY$48)</f>
        <v>0</v>
      </c>
      <c r="NL17" s="56"/>
      <c r="NM17" s="242">
        <f t="shared" si="123"/>
        <v>0</v>
      </c>
      <c r="NN17" s="242">
        <f t="shared" si="124"/>
        <v>0</v>
      </c>
      <c r="NO17" s="56"/>
      <c r="NR17" s="55">
        <f t="shared" si="125"/>
        <v>46034</v>
      </c>
      <c r="NS17" s="56"/>
      <c r="NT17" s="242">
        <f>SUMPRODUCT(PRODUCE!$B16:$DY16,PRODUCE!$EB$49:$IY$49)</f>
        <v>0</v>
      </c>
      <c r="NU17" s="56"/>
      <c r="NV17" s="242">
        <f t="shared" si="126"/>
        <v>0</v>
      </c>
      <c r="NW17" s="242">
        <f t="shared" si="127"/>
        <v>0</v>
      </c>
      <c r="NX17" s="56"/>
      <c r="OA17" s="55">
        <f t="shared" si="128"/>
        <v>46034</v>
      </c>
      <c r="OB17" s="56"/>
      <c r="OC17" s="242">
        <f>SUMPRODUCT(PRODUCE!$B16:$DY16,PRODUCE!$EB$50:$IY$50)</f>
        <v>26</v>
      </c>
      <c r="OD17" s="56">
        <v>50</v>
      </c>
      <c r="OE17" s="242">
        <f t="shared" si="129"/>
        <v>-24</v>
      </c>
      <c r="OF17" s="242">
        <f t="shared" si="130"/>
        <v>1680.5</v>
      </c>
      <c r="OG17" s="56"/>
      <c r="OJ17" s="55">
        <f t="shared" si="131"/>
        <v>46034</v>
      </c>
      <c r="OK17" s="56"/>
      <c r="OL17" s="242">
        <f>SUMPRODUCT(PRODUCE!$B16:$DY16,PRODUCE!$EB$51:$IY$51)</f>
        <v>0</v>
      </c>
      <c r="OM17" s="56"/>
      <c r="ON17" s="242">
        <f t="shared" si="132"/>
        <v>0</v>
      </c>
      <c r="OO17" s="242">
        <f t="shared" si="133"/>
        <v>0</v>
      </c>
      <c r="OP17" s="56"/>
      <c r="OS17" s="55">
        <f t="shared" si="134"/>
        <v>46034</v>
      </c>
      <c r="OT17" s="56"/>
      <c r="OU17" s="242">
        <f>SUMPRODUCT(PRODUCE!$B16:$DY16,PRODUCE!$EB$52:$IY$52)</f>
        <v>0</v>
      </c>
      <c r="OV17" s="56"/>
      <c r="OW17" s="242">
        <f t="shared" si="135"/>
        <v>0</v>
      </c>
      <c r="OX17" s="242">
        <f t="shared" si="136"/>
        <v>67</v>
      </c>
      <c r="OY17" s="56"/>
      <c r="PB17" s="55">
        <f t="shared" si="137"/>
        <v>46034</v>
      </c>
      <c r="PC17" s="56">
        <v>50</v>
      </c>
      <c r="PD17" s="242">
        <f>SUMPRODUCT(PRODUCE!$B16:$DY16,PRODUCE!$EB$53:$IY$53)</f>
        <v>0</v>
      </c>
      <c r="PE17" s="56">
        <v>50</v>
      </c>
      <c r="PF17" s="242">
        <f t="shared" si="138"/>
        <v>-50</v>
      </c>
      <c r="PG17" s="242">
        <f t="shared" si="139"/>
        <v>0</v>
      </c>
      <c r="PH17" s="56"/>
      <c r="PK17" s="55">
        <f t="shared" si="140"/>
        <v>46034</v>
      </c>
      <c r="PL17" s="56"/>
      <c r="PM17" s="242">
        <f>SUMPRODUCT(PRODUCE!$B16:$DY16,PRODUCE!$EB$54:$IY$54)</f>
        <v>0</v>
      </c>
      <c r="PN17" s="56"/>
      <c r="PO17" s="242">
        <f t="shared" si="141"/>
        <v>0</v>
      </c>
      <c r="PP17" s="242">
        <f t="shared" si="142"/>
        <v>160</v>
      </c>
      <c r="PQ17" s="56"/>
      <c r="PT17" s="55">
        <f t="shared" si="143"/>
        <v>46034</v>
      </c>
      <c r="PU17" s="56"/>
      <c r="PV17" s="242">
        <f>SUMPRODUCT(PRODUCE!$B16:$DY16,PRODUCE!$EB$55:$IY$55)</f>
        <v>0</v>
      </c>
      <c r="PW17" s="56"/>
      <c r="PX17" s="242">
        <f t="shared" si="144"/>
        <v>0</v>
      </c>
      <c r="PY17" s="242">
        <f t="shared" si="145"/>
        <v>13.960000000000036</v>
      </c>
      <c r="PZ17" s="56"/>
      <c r="QC17" s="55">
        <f t="shared" si="146"/>
        <v>46034</v>
      </c>
      <c r="QD17" s="56"/>
      <c r="QE17" s="242">
        <f>SUMPRODUCT(PRODUCE!$B16:$DY16,PRODUCE!$EB$56:$IY$56)</f>
        <v>0</v>
      </c>
      <c r="QF17" s="56"/>
      <c r="QG17" s="242">
        <f t="shared" si="147"/>
        <v>0</v>
      </c>
      <c r="QH17" s="242">
        <f t="shared" si="148"/>
        <v>0</v>
      </c>
      <c r="QI17" s="56"/>
      <c r="QL17" s="55">
        <f t="shared" si="149"/>
        <v>46034</v>
      </c>
      <c r="QM17" s="56"/>
      <c r="QN17" s="242">
        <f>SUMPRODUCT(PRODUCE!$B16:$DY16,PRODUCE!$EB$57:$IY$57)</f>
        <v>0</v>
      </c>
      <c r="QO17" s="56"/>
      <c r="QP17" s="242">
        <f t="shared" si="150"/>
        <v>0</v>
      </c>
      <c r="QQ17" s="242">
        <f t="shared" si="151"/>
        <v>0</v>
      </c>
      <c r="QR17" s="56"/>
      <c r="QU17" s="55">
        <f t="shared" si="152"/>
        <v>46034</v>
      </c>
      <c r="QV17" s="56"/>
      <c r="QW17" s="242">
        <f>SUMPRODUCT(PRODUCE!$B16:$DY16,PRODUCE!$EB$57:$IY$57)</f>
        <v>0</v>
      </c>
      <c r="QX17" s="56"/>
      <c r="QY17" s="242">
        <f t="shared" si="153"/>
        <v>0</v>
      </c>
      <c r="QZ17" s="242">
        <f t="shared" si="154"/>
        <v>207.6</v>
      </c>
      <c r="RA17" s="56"/>
      <c r="RD17" s="55">
        <f t="shared" si="155"/>
        <v>46034</v>
      </c>
      <c r="RE17" s="56"/>
      <c r="RF17" s="242">
        <f>SUMPRODUCT(PRODUCE!$B16:$DY16,PRODUCE!$EB$58:$IY$58)</f>
        <v>0</v>
      </c>
      <c r="RG17" s="56"/>
      <c r="RH17" s="242">
        <f t="shared" si="156"/>
        <v>0</v>
      </c>
      <c r="RI17" s="242">
        <f t="shared" si="157"/>
        <v>201.8</v>
      </c>
      <c r="RJ17" s="56"/>
      <c r="RM17" s="55">
        <f t="shared" si="158"/>
        <v>46034</v>
      </c>
      <c r="RN17" s="56"/>
      <c r="RO17" s="242">
        <f>SUMPRODUCT(PRODUCE!$B16:$DY16,PRODUCE!$EB$59:$IY$59)</f>
        <v>0</v>
      </c>
      <c r="RP17" s="56"/>
      <c r="RQ17" s="242">
        <f t="shared" si="159"/>
        <v>0</v>
      </c>
      <c r="RR17" s="242">
        <f t="shared" si="160"/>
        <v>22.720000000000002</v>
      </c>
      <c r="RS17" s="56"/>
      <c r="RV17" s="55">
        <f t="shared" si="161"/>
        <v>46034</v>
      </c>
      <c r="RW17" s="56"/>
      <c r="RX17" s="242">
        <f>SUMPRODUCT(PRODUCE!$B16:$DY16,PRODUCE!$EB$57:$IY$57)</f>
        <v>0</v>
      </c>
      <c r="RY17" s="56"/>
      <c r="RZ17" s="242">
        <f t="shared" si="162"/>
        <v>0</v>
      </c>
      <c r="SA17" s="242">
        <f t="shared" si="163"/>
        <v>0</v>
      </c>
      <c r="SB17" s="56"/>
      <c r="SE17" s="55">
        <f t="shared" si="164"/>
        <v>46034</v>
      </c>
      <c r="SF17" s="56"/>
      <c r="SG17" s="242">
        <f>SUMPRODUCT(PRODUCE!$B16:$DY16,PRODUCE!$EB$61:$IY$61)</f>
        <v>0</v>
      </c>
      <c r="SH17" s="56"/>
      <c r="SI17" s="242">
        <f t="shared" si="165"/>
        <v>0</v>
      </c>
      <c r="SJ17" s="242">
        <f t="shared" si="166"/>
        <v>0</v>
      </c>
      <c r="SK17" s="56"/>
      <c r="SN17" s="55">
        <f t="shared" si="167"/>
        <v>46034</v>
      </c>
      <c r="SO17" s="56"/>
      <c r="SP17" s="242">
        <f>SUMPRODUCT(PRODUCE!$B16:$DY16,PRODUCE!$EB$57:$IY$57)</f>
        <v>0</v>
      </c>
      <c r="SQ17" s="56"/>
      <c r="SR17" s="242">
        <f t="shared" si="168"/>
        <v>0</v>
      </c>
      <c r="SS17" s="242">
        <f t="shared" si="169"/>
        <v>0</v>
      </c>
      <c r="ST17" s="56"/>
      <c r="SW17" s="55">
        <f t="shared" si="170"/>
        <v>46034</v>
      </c>
      <c r="SX17" s="56"/>
      <c r="SY17" s="242">
        <f>SUMPRODUCT(PRODUCE!$B16:$DY16,PRODUCE!$EB$57:$IY$57)</f>
        <v>0</v>
      </c>
      <c r="SZ17" s="56"/>
      <c r="TA17" s="242">
        <f t="shared" si="171"/>
        <v>0</v>
      </c>
      <c r="TB17" s="242">
        <f t="shared" si="172"/>
        <v>0</v>
      </c>
      <c r="TC17" s="56"/>
      <c r="TF17" s="55">
        <f t="shared" si="173"/>
        <v>46034</v>
      </c>
      <c r="TG17" s="56"/>
      <c r="TH17" s="242">
        <f>SUMPRODUCT(PRODUCE!$B16:$DY16,PRODUCE!$EB$57:$IY$57)</f>
        <v>0</v>
      </c>
      <c r="TI17" s="56"/>
      <c r="TJ17" s="242">
        <f t="shared" si="174"/>
        <v>0</v>
      </c>
      <c r="TK17" s="242">
        <f t="shared" si="175"/>
        <v>0</v>
      </c>
      <c r="TL17" s="56"/>
      <c r="TO17" s="55">
        <f t="shared" si="176"/>
        <v>46034</v>
      </c>
      <c r="TP17" s="56"/>
      <c r="TQ17" s="242">
        <f>SUMPRODUCT(PRODUCE!$B16:$DY16,PRODUCE!$EB$57:$IY$57)</f>
        <v>0</v>
      </c>
      <c r="TR17" s="56"/>
      <c r="TS17" s="242">
        <f t="shared" si="177"/>
        <v>0</v>
      </c>
      <c r="TT17" s="242">
        <f t="shared" si="178"/>
        <v>0</v>
      </c>
      <c r="TU17" s="56"/>
      <c r="TX17" s="55">
        <f t="shared" si="179"/>
        <v>46034</v>
      </c>
      <c r="TY17" s="56"/>
      <c r="TZ17" s="242">
        <f>SUMPRODUCT(PRODUCE!$B16:$DY16,PRODUCE!$EB$57:$IY$57)</f>
        <v>0</v>
      </c>
      <c r="UA17" s="56"/>
      <c r="UB17" s="242">
        <f t="shared" si="180"/>
        <v>0</v>
      </c>
      <c r="UC17" s="242">
        <f t="shared" si="181"/>
        <v>0</v>
      </c>
      <c r="UD17" s="56"/>
      <c r="UG17" s="55">
        <f t="shared" si="182"/>
        <v>46034</v>
      </c>
      <c r="UH17" s="56"/>
      <c r="UI17" s="242">
        <f>SUMPRODUCT(PRODUCE!$B16:$DY16,PRODUCE!$EB$57:$IY$57)</f>
        <v>0</v>
      </c>
      <c r="UJ17" s="56"/>
      <c r="UK17" s="242">
        <f t="shared" si="183"/>
        <v>0</v>
      </c>
      <c r="UL17" s="242">
        <f t="shared" si="184"/>
        <v>0</v>
      </c>
      <c r="UM17" s="56"/>
      <c r="UP17" s="55">
        <f t="shared" si="185"/>
        <v>46034</v>
      </c>
      <c r="UQ17" s="56"/>
      <c r="UR17" s="242">
        <f>SUMPRODUCT(PRODUCE!$B16:$DY16,PRODUCE!$EB$57:$IY$57)</f>
        <v>0</v>
      </c>
      <c r="US17" s="56"/>
      <c r="UT17" s="242">
        <f t="shared" si="186"/>
        <v>0</v>
      </c>
      <c r="UU17" s="242">
        <f t="shared" si="187"/>
        <v>0</v>
      </c>
      <c r="UV17" s="56"/>
      <c r="UY17" s="55">
        <f t="shared" si="188"/>
        <v>46034</v>
      </c>
      <c r="UZ17" s="56"/>
      <c r="VA17" s="242">
        <f>SUMPRODUCT(PRODUCE!$B16:$DY16,PRODUCE!$EB$57:$IY$57)</f>
        <v>0</v>
      </c>
      <c r="VB17" s="56"/>
      <c r="VC17" s="242">
        <f t="shared" si="189"/>
        <v>0</v>
      </c>
      <c r="VD17" s="242">
        <f t="shared" si="190"/>
        <v>-319.59999999999997</v>
      </c>
      <c r="VE17" s="56"/>
      <c r="VH17" s="55">
        <f t="shared" si="191"/>
        <v>46034</v>
      </c>
      <c r="VI17" s="56"/>
      <c r="VJ17" s="242">
        <f>SUMPRODUCT(PRODUCE!$B16:$DY16,PRODUCE!$EB$57:$IY$57)</f>
        <v>0</v>
      </c>
      <c r="VK17" s="56"/>
      <c r="VL17" s="242">
        <f t="shared" si="192"/>
        <v>0</v>
      </c>
      <c r="VM17" s="242">
        <f t="shared" si="193"/>
        <v>0</v>
      </c>
      <c r="VN17" s="56"/>
      <c r="VQ17" s="55">
        <f t="shared" si="194"/>
        <v>46034</v>
      </c>
      <c r="VR17" s="56"/>
      <c r="VS17" s="242">
        <f>SUMPRODUCT(PRODUCE!$B16:$DY16,PRODUCE!$EB$57:$IY$57)</f>
        <v>0</v>
      </c>
      <c r="VT17" s="56"/>
      <c r="VU17" s="242">
        <f t="shared" si="195"/>
        <v>0</v>
      </c>
      <c r="VV17" s="242">
        <f t="shared" si="196"/>
        <v>0</v>
      </c>
      <c r="VW17" s="56"/>
      <c r="VZ17" s="55">
        <f t="shared" si="197"/>
        <v>46034</v>
      </c>
      <c r="WA17" s="56"/>
      <c r="WB17" s="242">
        <f>SUMPRODUCT(PRODUCE!$B16:$DY16,PRODUCE!$EB$57:$IY$57)</f>
        <v>0</v>
      </c>
      <c r="WC17" s="56"/>
      <c r="WD17" s="242">
        <f t="shared" si="198"/>
        <v>0</v>
      </c>
      <c r="WE17" s="242">
        <f t="shared" si="199"/>
        <v>0</v>
      </c>
      <c r="WF17" s="56"/>
      <c r="WI17" s="55">
        <f t="shared" si="200"/>
        <v>46034</v>
      </c>
      <c r="WJ17" s="56"/>
      <c r="WK17" s="242">
        <f>SUMPRODUCT(PRODUCE!$B16:$DY16,PRODUCE!$EB$57:$IY$57)</f>
        <v>0</v>
      </c>
      <c r="WL17" s="56"/>
      <c r="WM17" s="242">
        <f t="shared" si="201"/>
        <v>0</v>
      </c>
      <c r="WN17" s="242">
        <f t="shared" si="202"/>
        <v>5877</v>
      </c>
      <c r="WO17" s="56"/>
      <c r="WR17" s="55">
        <f t="shared" si="203"/>
        <v>46034</v>
      </c>
      <c r="WS17" s="56"/>
      <c r="WT17" s="242">
        <f>SUMPRODUCT(PRODUCE!$B16:$DY16,PRODUCE!$EB$57:$IY$57)</f>
        <v>0</v>
      </c>
      <c r="WU17" s="56"/>
      <c r="WV17" s="242">
        <f t="shared" si="204"/>
        <v>0</v>
      </c>
      <c r="WW17" s="242">
        <f t="shared" si="205"/>
        <v>5267</v>
      </c>
      <c r="WX17" s="56"/>
      <c r="XA17" s="55">
        <f t="shared" si="206"/>
        <v>46034</v>
      </c>
      <c r="XB17" s="56"/>
      <c r="XC17" s="242">
        <f>SUMPRODUCT(PRODUCE!$B16:$DY16,PRODUCE!$EB$57:$IY$57)</f>
        <v>0</v>
      </c>
      <c r="XD17" s="56">
        <v>604</v>
      </c>
      <c r="XE17" s="242">
        <f t="shared" si="207"/>
        <v>-604</v>
      </c>
      <c r="XF17" s="242">
        <f t="shared" si="208"/>
        <v>1842</v>
      </c>
      <c r="XG17" s="56"/>
      <c r="XJ17" s="55">
        <f t="shared" si="209"/>
        <v>46034</v>
      </c>
      <c r="XK17" s="56"/>
      <c r="XL17" s="242">
        <f>SUMPRODUCT(PRODUCE!$B16:$DY16,PRODUCE!$EB$57:$IY$57)</f>
        <v>0</v>
      </c>
      <c r="XM17" s="56"/>
      <c r="XN17" s="242">
        <f t="shared" si="210"/>
        <v>0</v>
      </c>
      <c r="XO17" s="242">
        <f t="shared" si="211"/>
        <v>6350</v>
      </c>
      <c r="XP17" s="56"/>
      <c r="XS17" s="55">
        <f t="shared" si="212"/>
        <v>46034</v>
      </c>
      <c r="XT17" s="56"/>
      <c r="XU17" s="242">
        <f>SUMPRODUCT(PRODUCE!$B16:$DY16,PRODUCE!$EB$57:$IY$57)</f>
        <v>0</v>
      </c>
      <c r="XV17" s="56"/>
      <c r="XW17" s="242">
        <f t="shared" si="213"/>
        <v>0</v>
      </c>
      <c r="XX17" s="242">
        <f t="shared" si="214"/>
        <v>1901</v>
      </c>
      <c r="XY17" s="56"/>
      <c r="YB17" s="55">
        <f t="shared" si="215"/>
        <v>46034</v>
      </c>
      <c r="YC17" s="56"/>
      <c r="YD17" s="242">
        <f>SUMPRODUCT(PRODUCE!$B16:$DY16,PRODUCE!$EB$57:$IY$57)</f>
        <v>0</v>
      </c>
      <c r="YE17" s="56"/>
      <c r="YF17" s="242">
        <f t="shared" si="216"/>
        <v>0</v>
      </c>
      <c r="YG17" s="242">
        <f t="shared" si="217"/>
        <v>4175</v>
      </c>
      <c r="YH17" s="56"/>
      <c r="YK17" s="55">
        <f t="shared" si="218"/>
        <v>46034</v>
      </c>
      <c r="YL17" s="56"/>
      <c r="YM17" s="242">
        <f>SUMPRODUCT(PRODUCE!$B16:$DY16,PRODUCE!$EB$57:$IY$57)</f>
        <v>0</v>
      </c>
      <c r="YN17" s="56"/>
      <c r="YO17" s="242">
        <f t="shared" si="219"/>
        <v>0</v>
      </c>
      <c r="YP17" s="242">
        <f t="shared" si="220"/>
        <v>0</v>
      </c>
      <c r="YQ17" s="56"/>
      <c r="YT17" s="55">
        <f t="shared" si="221"/>
        <v>46034</v>
      </c>
      <c r="YU17" s="56"/>
      <c r="YV17" s="242">
        <f>SUMPRODUCT(PRODUCE!$B16:$DY16,PRODUCE!$EB$57:$IY$57)</f>
        <v>0</v>
      </c>
      <c r="YW17" s="56"/>
      <c r="YX17" s="242">
        <f t="shared" si="222"/>
        <v>0</v>
      </c>
      <c r="YY17" s="242">
        <f t="shared" si="223"/>
        <v>0</v>
      </c>
      <c r="YZ17" s="56"/>
      <c r="ZC17" s="55">
        <f t="shared" si="224"/>
        <v>46034</v>
      </c>
      <c r="ZD17" s="56"/>
      <c r="ZE17" s="242">
        <f>SUMPRODUCT(PRODUCE!$B16:$DY16,PRODUCE!$EB$57:$IY$57)</f>
        <v>0</v>
      </c>
      <c r="ZF17" s="56"/>
      <c r="ZG17" s="242">
        <f t="shared" si="225"/>
        <v>0</v>
      </c>
      <c r="ZH17" s="242">
        <f t="shared" si="226"/>
        <v>0</v>
      </c>
      <c r="ZI17" s="56"/>
      <c r="ZL17" s="55">
        <f t="shared" si="227"/>
        <v>46034</v>
      </c>
      <c r="ZM17" s="56"/>
      <c r="ZN17" s="242">
        <f>SUMPRODUCT(PRODUCE!$B16:$DY16,PRODUCE!$EB$57:$IY$57)</f>
        <v>0</v>
      </c>
      <c r="ZO17" s="56"/>
      <c r="ZP17" s="242">
        <f t="shared" si="228"/>
        <v>0</v>
      </c>
      <c r="ZQ17" s="242">
        <f t="shared" si="229"/>
        <v>0</v>
      </c>
      <c r="ZR17" s="56"/>
      <c r="ZU17" s="55">
        <f t="shared" si="230"/>
        <v>46034</v>
      </c>
      <c r="ZV17" s="56"/>
      <c r="ZW17" s="242">
        <f>SUMPRODUCT(PRODUCE!$B16:$DY16,PRODUCE!$EB$57:$IY$57)</f>
        <v>0</v>
      </c>
      <c r="ZX17" s="56"/>
      <c r="ZY17" s="242">
        <f t="shared" si="231"/>
        <v>0</v>
      </c>
      <c r="ZZ17" s="242">
        <f t="shared" si="232"/>
        <v>0</v>
      </c>
      <c r="AAA17" s="56"/>
      <c r="AAD17" s="55">
        <f t="shared" si="233"/>
        <v>46034</v>
      </c>
      <c r="AAE17" s="56"/>
      <c r="AAF17" s="242">
        <f>SUMPRODUCT(PRODUCE!$B16:$DY16,PRODUCE!$EB$57:$IY$57)</f>
        <v>0</v>
      </c>
      <c r="AAG17" s="56"/>
      <c r="AAH17" s="242">
        <f t="shared" si="234"/>
        <v>0</v>
      </c>
      <c r="AAI17" s="242">
        <f t="shared" si="235"/>
        <v>0</v>
      </c>
      <c r="AAJ17" s="56"/>
      <c r="AAM17" s="55">
        <f t="shared" si="236"/>
        <v>46034</v>
      </c>
      <c r="AAN17" s="56"/>
      <c r="AAO17" s="242">
        <f>SUMPRODUCT(PRODUCE!$B16:$DY16,PRODUCE!$EB$57:$IY$57)</f>
        <v>0</v>
      </c>
      <c r="AAP17" s="56"/>
      <c r="AAQ17" s="242">
        <f t="shared" si="237"/>
        <v>0</v>
      </c>
      <c r="AAR17" s="242">
        <f t="shared" si="238"/>
        <v>0</v>
      </c>
      <c r="AAS17" s="56"/>
      <c r="AAV17" s="55">
        <f t="shared" si="239"/>
        <v>46034</v>
      </c>
      <c r="AAW17" s="56"/>
      <c r="AAX17" s="242">
        <f>SUMPRODUCT(PRODUCE!$B16:$DY16,PRODUCE!$EB$57:$IY$57)</f>
        <v>0</v>
      </c>
      <c r="AAY17" s="56"/>
      <c r="AAZ17" s="242">
        <f t="shared" si="240"/>
        <v>0</v>
      </c>
      <c r="ABA17" s="242">
        <f t="shared" si="241"/>
        <v>0</v>
      </c>
      <c r="ABB17" s="56"/>
      <c r="ABE17" s="55">
        <f t="shared" si="242"/>
        <v>46034</v>
      </c>
      <c r="ABF17" s="56"/>
      <c r="ABG17" s="242">
        <f>SUMPRODUCT(PRODUCE!$B16:$DY16,PRODUCE!$EB$57:$IY$57)</f>
        <v>0</v>
      </c>
      <c r="ABH17" s="56"/>
      <c r="ABI17" s="242">
        <f t="shared" si="243"/>
        <v>0</v>
      </c>
      <c r="ABJ17" s="242">
        <f t="shared" si="244"/>
        <v>0</v>
      </c>
      <c r="ABK17" s="56"/>
    </row>
    <row r="18" spans="2:739" s="54" customFormat="1" ht="15" customHeight="1" outlineLevel="1">
      <c r="B18" s="478">
        <f>28+56</f>
        <v>84</v>
      </c>
      <c r="C18" s="55">
        <v>46035</v>
      </c>
      <c r="D18" s="422">
        <v>98580</v>
      </c>
      <c r="E18" s="423">
        <f>SUMPRODUCT(PRODUCE!$B17:$DY17,PRODUCE!$EB$7:$IY$7)</f>
        <v>50162</v>
      </c>
      <c r="F18" s="422">
        <v>50167.199999999997</v>
      </c>
      <c r="G18" s="423">
        <f t="shared" si="2"/>
        <v>-5.1999999999970896</v>
      </c>
      <c r="H18" s="423">
        <f t="shared" si="0"/>
        <v>80919.400000000009</v>
      </c>
      <c r="I18" s="289" t="s">
        <v>183</v>
      </c>
      <c r="L18" s="55">
        <f t="shared" si="1"/>
        <v>46035</v>
      </c>
      <c r="M18" s="422"/>
      <c r="N18" s="438">
        <f>SUMPRODUCT(PRODUCE!$B17:$DY17,PRODUCE!$EB$8:$IY$8)</f>
        <v>15455.999999999998</v>
      </c>
      <c r="O18" s="422">
        <v>15456.4</v>
      </c>
      <c r="P18" s="438">
        <f t="shared" si="3"/>
        <v>-0.40000000000145519</v>
      </c>
      <c r="Q18" s="438">
        <f t="shared" si="4"/>
        <v>-7002.5999999999931</v>
      </c>
      <c r="R18" s="56"/>
      <c r="U18" s="55">
        <f t="shared" si="5"/>
        <v>46035</v>
      </c>
      <c r="V18" s="422"/>
      <c r="W18" s="440">
        <f>SUMPRODUCT(PRODUCE!$B17:$DY17,PRODUCE!$EB$9:$IY$9)</f>
        <v>5880</v>
      </c>
      <c r="X18" s="422">
        <v>5881.4</v>
      </c>
      <c r="Y18" s="440">
        <f t="shared" si="6"/>
        <v>-1.3999999999996362</v>
      </c>
      <c r="Z18" s="440">
        <f t="shared" si="7"/>
        <v>31154.699999999983</v>
      </c>
      <c r="AA18" s="56"/>
      <c r="AD18" s="55">
        <f t="shared" si="8"/>
        <v>46035</v>
      </c>
      <c r="AE18" s="422"/>
      <c r="AF18" s="442">
        <f>SUMPRODUCT(PRODUCE!$B17:$DY17,PRODUCE!$EB$10:$IY$10)</f>
        <v>5320</v>
      </c>
      <c r="AG18" s="422">
        <v>5320.4</v>
      </c>
      <c r="AH18" s="442">
        <f t="shared" si="9"/>
        <v>-0.3999999999996362</v>
      </c>
      <c r="AI18" s="442">
        <f t="shared" si="10"/>
        <v>29597.700000000004</v>
      </c>
      <c r="AJ18" s="56"/>
      <c r="AM18" s="55">
        <f t="shared" si="11"/>
        <v>46035</v>
      </c>
      <c r="AN18" s="422"/>
      <c r="AO18" s="444">
        <f>SUMPRODUCT(PRODUCE!$B17:$DY17,PRODUCE!$EB$11:$IY$11)</f>
        <v>0</v>
      </c>
      <c r="AP18" s="422"/>
      <c r="AQ18" s="444">
        <f t="shared" si="12"/>
        <v>0</v>
      </c>
      <c r="AR18" s="444">
        <f t="shared" si="13"/>
        <v>0</v>
      </c>
      <c r="AS18" s="56"/>
      <c r="AV18" s="55">
        <f t="shared" si="14"/>
        <v>46035</v>
      </c>
      <c r="AW18" s="422"/>
      <c r="AX18" s="446">
        <f>SUMPRODUCT(PRODUCE!$B17:$DY17,PRODUCE!$EB$12:$IY$12)</f>
        <v>1428</v>
      </c>
      <c r="AY18" s="422">
        <v>1429.5</v>
      </c>
      <c r="AZ18" s="446">
        <f t="shared" si="15"/>
        <v>-1.5</v>
      </c>
      <c r="BA18" s="446">
        <f t="shared" si="16"/>
        <v>16503.099999999991</v>
      </c>
      <c r="BB18" s="56"/>
      <c r="BE18" s="55">
        <f t="shared" si="17"/>
        <v>46035</v>
      </c>
      <c r="BF18" s="422"/>
      <c r="BG18" s="448">
        <f>SUMPRODUCT(PRODUCE!$B17:$DY17,PRODUCE!$EB$13:$IY$13)</f>
        <v>1960</v>
      </c>
      <c r="BH18" s="422">
        <v>1963.3</v>
      </c>
      <c r="BI18" s="448">
        <f t="shared" si="18"/>
        <v>-3.2999999999999545</v>
      </c>
      <c r="BJ18" s="448">
        <f t="shared" si="19"/>
        <v>13655.600000000004</v>
      </c>
      <c r="BK18" s="56"/>
      <c r="BN18" s="55">
        <f t="shared" si="20"/>
        <v>46035</v>
      </c>
      <c r="BO18" s="422">
        <v>1960</v>
      </c>
      <c r="BP18" s="450">
        <f>SUMPRODUCT(PRODUCE!$B17:$DY17,PRODUCE!$EB$14:$IY$14)</f>
        <v>1960</v>
      </c>
      <c r="BQ18" s="422">
        <v>1960</v>
      </c>
      <c r="BR18" s="450">
        <f t="shared" si="21"/>
        <v>0</v>
      </c>
      <c r="BS18" s="450">
        <f t="shared" si="22"/>
        <v>0</v>
      </c>
      <c r="BT18" s="56"/>
      <c r="BW18" s="55">
        <f t="shared" si="23"/>
        <v>46035</v>
      </c>
      <c r="BX18" s="56"/>
      <c r="BY18" s="65">
        <f>SUMPRODUCT(PRODUCE!$B17:$DY17,PRODUCE!$EB$15:$IY$15)</f>
        <v>0</v>
      </c>
      <c r="BZ18" s="56"/>
      <c r="CA18" s="65">
        <f t="shared" si="24"/>
        <v>0</v>
      </c>
      <c r="CB18" s="65">
        <f t="shared" si="25"/>
        <v>3461.5</v>
      </c>
      <c r="CC18" s="56"/>
      <c r="CF18" s="55">
        <f t="shared" si="26"/>
        <v>46035</v>
      </c>
      <c r="CG18" s="56"/>
      <c r="CH18" s="66">
        <f>SUMPRODUCT(PRODUCE!$B17:$DY17,PRODUCE!$EB$16:$IY$16)</f>
        <v>0</v>
      </c>
      <c r="CI18" s="56"/>
      <c r="CJ18" s="66">
        <f t="shared" si="27"/>
        <v>0</v>
      </c>
      <c r="CK18" s="66">
        <f t="shared" si="28"/>
        <v>0</v>
      </c>
      <c r="CL18" s="56"/>
      <c r="CO18" s="55">
        <f t="shared" si="29"/>
        <v>46035</v>
      </c>
      <c r="CP18" s="422"/>
      <c r="CQ18" s="470">
        <f>SUMPRODUCT(PRODUCE!$B17:$DY17,PRODUCE!$EB$17:$IY$17)</f>
        <v>0</v>
      </c>
      <c r="CR18" s="422"/>
      <c r="CS18" s="470">
        <f t="shared" si="30"/>
        <v>0</v>
      </c>
      <c r="CT18" s="470">
        <f t="shared" si="31"/>
        <v>0</v>
      </c>
      <c r="CU18" s="56"/>
      <c r="CX18" s="55">
        <f t="shared" si="32"/>
        <v>46035</v>
      </c>
      <c r="CY18" s="56"/>
      <c r="CZ18" s="133">
        <f>SUMPRODUCT(PRODUCE!$B17:$DY17,PRODUCE!$EB$18:$IY$18)</f>
        <v>0</v>
      </c>
      <c r="DA18" s="56"/>
      <c r="DB18" s="133">
        <f t="shared" si="33"/>
        <v>0</v>
      </c>
      <c r="DC18" s="133">
        <f t="shared" si="34"/>
        <v>0</v>
      </c>
      <c r="DD18" s="56"/>
      <c r="DG18" s="55">
        <f t="shared" si="35"/>
        <v>46035</v>
      </c>
      <c r="DH18" s="56"/>
      <c r="DI18" s="147">
        <f>SUMPRODUCT(PRODUCE!$B17:$DY17,PRODUCE!$EB$19:$IY$19)</f>
        <v>0</v>
      </c>
      <c r="DJ18" s="56"/>
      <c r="DK18" s="147">
        <f t="shared" si="36"/>
        <v>0</v>
      </c>
      <c r="DL18" s="147">
        <f t="shared" si="37"/>
        <v>25391.599999999999</v>
      </c>
      <c r="DM18" s="56"/>
      <c r="DP18" s="55">
        <f t="shared" si="38"/>
        <v>46035</v>
      </c>
      <c r="DQ18" s="56"/>
      <c r="DR18" s="57">
        <f>SUMPRODUCT(PRODUCE!$B17:$DY17,PRODUCE!$EB$20:$IY$20)</f>
        <v>0</v>
      </c>
      <c r="DS18" s="56"/>
      <c r="DT18" s="57">
        <f t="shared" si="39"/>
        <v>0</v>
      </c>
      <c r="DU18" s="57">
        <f t="shared" si="40"/>
        <v>0</v>
      </c>
      <c r="DV18" s="56"/>
      <c r="DY18" s="55">
        <f t="shared" si="41"/>
        <v>46035</v>
      </c>
      <c r="DZ18" s="56"/>
      <c r="EA18" s="157">
        <f>SUMPRODUCT(PRODUCE!$B17:$DY17,PRODUCE!$EB$21:$IY$21)</f>
        <v>0</v>
      </c>
      <c r="EB18" s="56"/>
      <c r="EC18" s="157">
        <f t="shared" si="42"/>
        <v>0</v>
      </c>
      <c r="ED18" s="157">
        <f t="shared" si="43"/>
        <v>0</v>
      </c>
      <c r="EE18" s="56"/>
      <c r="EH18" s="55">
        <f t="shared" si="44"/>
        <v>46035</v>
      </c>
      <c r="EI18" s="56"/>
      <c r="EJ18" s="162">
        <f>SUMPRODUCT(PRODUCE!$B17:$DY17,PRODUCE!$EB$22:$IY$22)</f>
        <v>0</v>
      </c>
      <c r="EK18" s="56"/>
      <c r="EL18" s="162">
        <f t="shared" si="45"/>
        <v>0</v>
      </c>
      <c r="EM18" s="162">
        <f t="shared" si="46"/>
        <v>0</v>
      </c>
      <c r="EN18" s="56"/>
      <c r="EQ18" s="55">
        <f t="shared" si="47"/>
        <v>46035</v>
      </c>
      <c r="ER18" s="56"/>
      <c r="ES18" s="135">
        <f>SUMPRODUCT(PRODUCE!$B17:$DY17,PRODUCE!$EB$23:$IY$23)</f>
        <v>0</v>
      </c>
      <c r="ET18" s="56"/>
      <c r="EU18" s="135">
        <f t="shared" si="48"/>
        <v>0</v>
      </c>
      <c r="EV18" s="135">
        <f t="shared" si="49"/>
        <v>0</v>
      </c>
      <c r="EW18" s="56"/>
      <c r="EZ18" s="55">
        <f t="shared" si="50"/>
        <v>46035</v>
      </c>
      <c r="FA18" s="56"/>
      <c r="FB18" s="175">
        <f>SUMPRODUCT(PRODUCE!$B17:$DY17,PRODUCE!$EB$24:$IY$24)</f>
        <v>0</v>
      </c>
      <c r="FC18" s="56"/>
      <c r="FD18" s="175">
        <f t="shared" si="51"/>
        <v>0</v>
      </c>
      <c r="FE18" s="175">
        <f t="shared" si="52"/>
        <v>0</v>
      </c>
      <c r="FF18" s="56"/>
      <c r="FI18" s="55">
        <f t="shared" si="53"/>
        <v>46035</v>
      </c>
      <c r="FJ18" s="56"/>
      <c r="FK18" s="183">
        <f>SUMPRODUCT(PRODUCE!$B17:$DY17,PRODUCE!$EB$25:$IY$25)</f>
        <v>0</v>
      </c>
      <c r="FL18" s="56"/>
      <c r="FM18" s="183">
        <f t="shared" si="54"/>
        <v>0</v>
      </c>
      <c r="FN18" s="183">
        <f t="shared" si="55"/>
        <v>0</v>
      </c>
      <c r="FO18" s="56"/>
      <c r="FR18" s="55">
        <f t="shared" si="56"/>
        <v>46035</v>
      </c>
      <c r="FS18" s="422"/>
      <c r="FT18" s="452">
        <f>SUMPRODUCT(PRODUCE!$B17:$DY17,PRODUCE!$EB$26:$IY$26)</f>
        <v>0</v>
      </c>
      <c r="FU18" s="422"/>
      <c r="FV18" s="452">
        <f t="shared" si="57"/>
        <v>0</v>
      </c>
      <c r="FW18" s="452">
        <f t="shared" si="58"/>
        <v>3540</v>
      </c>
      <c r="FX18" s="56"/>
      <c r="GA18" s="55">
        <f t="shared" si="59"/>
        <v>46035</v>
      </c>
      <c r="GB18" s="422"/>
      <c r="GC18" s="454">
        <f>SUMPRODUCT(PRODUCE!$B17:$DY17,PRODUCE!$EB$27:$IY$27)</f>
        <v>0</v>
      </c>
      <c r="GD18" s="422"/>
      <c r="GE18" s="454">
        <f t="shared" si="60"/>
        <v>0</v>
      </c>
      <c r="GF18" s="454">
        <f t="shared" si="61"/>
        <v>1960</v>
      </c>
      <c r="GG18" s="56"/>
      <c r="GI18" s="23"/>
      <c r="GJ18" s="55">
        <f t="shared" si="62"/>
        <v>46035</v>
      </c>
      <c r="GK18" s="422"/>
      <c r="GL18" s="456">
        <f>SUMPRODUCT(PRODUCE!$B17:$DY17,PRODUCE!$EB$28:$IY$28)</f>
        <v>1120</v>
      </c>
      <c r="GM18" s="422"/>
      <c r="GN18" s="456">
        <f t="shared" si="63"/>
        <v>1120</v>
      </c>
      <c r="GO18" s="456">
        <f t="shared" si="64"/>
        <v>6360</v>
      </c>
      <c r="GP18" s="56"/>
      <c r="GS18" s="55">
        <f t="shared" si="65"/>
        <v>46035</v>
      </c>
      <c r="GT18" s="56"/>
      <c r="GU18" s="195">
        <f>SUMPRODUCT(PRODUCE!$B17:$DY17,PRODUCE!$EB$29:$IY$29)</f>
        <v>0</v>
      </c>
      <c r="GV18" s="56"/>
      <c r="GW18" s="195">
        <f t="shared" si="66"/>
        <v>0</v>
      </c>
      <c r="GX18" s="195">
        <f t="shared" si="67"/>
        <v>0</v>
      </c>
      <c r="GY18" s="56"/>
      <c r="HB18" s="55">
        <f t="shared" si="68"/>
        <v>46035</v>
      </c>
      <c r="HC18" s="56"/>
      <c r="HD18" s="191">
        <f>SUMPRODUCT(PRODUCE!$B17:$DY17,PRODUCE!$EB$30:$IY$30)</f>
        <v>0</v>
      </c>
      <c r="HE18" s="56"/>
      <c r="HF18" s="191">
        <f t="shared" si="69"/>
        <v>0</v>
      </c>
      <c r="HG18" s="191">
        <f t="shared" si="70"/>
        <v>0</v>
      </c>
      <c r="HH18" s="56"/>
      <c r="HK18" s="55">
        <f t="shared" si="71"/>
        <v>46035</v>
      </c>
      <c r="HL18" s="56"/>
      <c r="HM18" s="63">
        <f>SUMPRODUCT(PRODUCE!$B17:$DY17,PRODUCE!$EB$31:$IY$31)</f>
        <v>0</v>
      </c>
      <c r="HN18" s="56"/>
      <c r="HO18" s="63">
        <f t="shared" si="72"/>
        <v>0</v>
      </c>
      <c r="HP18" s="63">
        <f t="shared" si="73"/>
        <v>0</v>
      </c>
      <c r="HQ18" s="56"/>
      <c r="HU18" s="55">
        <f t="shared" si="74"/>
        <v>46035</v>
      </c>
      <c r="HV18" s="56"/>
      <c r="HW18" s="242">
        <f>SUMPRODUCT(PRODUCE!$B17:$DY17,PRODUCE!$EB$32:$IY$32)</f>
        <v>0</v>
      </c>
      <c r="HX18" s="56"/>
      <c r="HY18" s="242">
        <f t="shared" si="75"/>
        <v>0</v>
      </c>
      <c r="HZ18" s="242">
        <f t="shared" si="76"/>
        <v>3800</v>
      </c>
      <c r="IA18" s="56"/>
      <c r="ID18" s="55">
        <f t="shared" si="77"/>
        <v>46035</v>
      </c>
      <c r="IE18" s="56"/>
      <c r="IF18" s="242">
        <f>SUMPRODUCT(PRODUCE!$B17:$DY17,PRODUCE!$EB$33:$IY$33)</f>
        <v>0</v>
      </c>
      <c r="IG18" s="56"/>
      <c r="IH18" s="242">
        <f t="shared" si="78"/>
        <v>0</v>
      </c>
      <c r="II18" s="242">
        <f t="shared" si="79"/>
        <v>5100</v>
      </c>
      <c r="IJ18" s="56"/>
      <c r="IM18" s="55">
        <f t="shared" si="80"/>
        <v>46035</v>
      </c>
      <c r="IN18" s="56"/>
      <c r="IO18" s="242">
        <f>SUMPRODUCT(PRODUCE!$B17:$DY17,PRODUCE!$EB$34:$IY$34)</f>
        <v>560</v>
      </c>
      <c r="IP18" s="56">
        <v>1000</v>
      </c>
      <c r="IQ18" s="242">
        <f t="shared" si="81"/>
        <v>-440</v>
      </c>
      <c r="IR18" s="242">
        <f t="shared" si="82"/>
        <v>10240</v>
      </c>
      <c r="IS18" s="465">
        <f>IP18/20</f>
        <v>50</v>
      </c>
      <c r="IT18" s="464" t="s">
        <v>173</v>
      </c>
      <c r="IV18" s="55">
        <f t="shared" si="83"/>
        <v>46035</v>
      </c>
      <c r="IW18" s="56"/>
      <c r="IX18" s="242">
        <f>SUMPRODUCT(PRODUCE!$B17:$DY17,PRODUCE!$EB$35:$IY$35)</f>
        <v>0</v>
      </c>
      <c r="IY18" s="56"/>
      <c r="IZ18" s="242">
        <f t="shared" si="84"/>
        <v>0</v>
      </c>
      <c r="JA18" s="242">
        <f t="shared" si="85"/>
        <v>3120</v>
      </c>
      <c r="JB18" s="56"/>
      <c r="JE18" s="55">
        <f t="shared" si="86"/>
        <v>46035</v>
      </c>
      <c r="JF18" s="56"/>
      <c r="JG18" s="242">
        <f>SUMPRODUCT(PRODUCE!$B17:$DY17,PRODUCE!$EB$36:$IY$36)</f>
        <v>0</v>
      </c>
      <c r="JH18" s="56"/>
      <c r="JI18" s="242">
        <f t="shared" si="87"/>
        <v>0</v>
      </c>
      <c r="JJ18" s="242">
        <f t="shared" si="88"/>
        <v>6800</v>
      </c>
      <c r="JK18" s="56"/>
      <c r="JN18" s="55">
        <f t="shared" si="89"/>
        <v>46035</v>
      </c>
      <c r="JO18" s="56"/>
      <c r="JP18" s="242">
        <f>SUMPRODUCT(PRODUCE!$B17:$DY17,PRODUCE!$EB$37:$IY$37)</f>
        <v>0</v>
      </c>
      <c r="JQ18" s="56"/>
      <c r="JR18" s="242">
        <f t="shared" si="90"/>
        <v>0</v>
      </c>
      <c r="JS18" s="242">
        <f t="shared" si="91"/>
        <v>5400</v>
      </c>
      <c r="JT18" s="56"/>
      <c r="JW18" s="55">
        <f t="shared" si="92"/>
        <v>46035</v>
      </c>
      <c r="JX18" s="56"/>
      <c r="JY18" s="242">
        <f>SUMPRODUCT(PRODUCE!$B17:$DY17,PRODUCE!$EB$38:$IY$38)</f>
        <v>0</v>
      </c>
      <c r="JZ18" s="56"/>
      <c r="KA18" s="242">
        <f t="shared" si="93"/>
        <v>0</v>
      </c>
      <c r="KB18" s="242">
        <f t="shared" si="94"/>
        <v>0</v>
      </c>
      <c r="KC18" s="56"/>
      <c r="KF18" s="55">
        <f t="shared" si="95"/>
        <v>46035</v>
      </c>
      <c r="KG18" s="56"/>
      <c r="KH18" s="242">
        <f>SUMPRODUCT(PRODUCE!$B17:$DY17,PRODUCE!$EB$39:$IY$39)</f>
        <v>0</v>
      </c>
      <c r="KI18" s="56"/>
      <c r="KJ18" s="242">
        <f t="shared" si="96"/>
        <v>0</v>
      </c>
      <c r="KK18" s="242">
        <f t="shared" si="97"/>
        <v>0</v>
      </c>
      <c r="KL18" s="56"/>
      <c r="KO18" s="55">
        <f t="shared" si="98"/>
        <v>46035</v>
      </c>
      <c r="KP18" s="56"/>
      <c r="KQ18" s="242">
        <f>SUMPRODUCT(PRODUCE!$B17:$DY17,PRODUCE!$EB$40:$IY$40)</f>
        <v>0</v>
      </c>
      <c r="KR18" s="56"/>
      <c r="KS18" s="242">
        <f t="shared" si="99"/>
        <v>0</v>
      </c>
      <c r="KT18" s="242">
        <f t="shared" si="100"/>
        <v>0</v>
      </c>
      <c r="KU18" s="56"/>
      <c r="KW18" s="23"/>
      <c r="KX18" s="55">
        <f t="shared" si="101"/>
        <v>46035</v>
      </c>
      <c r="KY18" s="56"/>
      <c r="KZ18" s="242">
        <f>SUMPRODUCT(PRODUCE!$B17:$DY17,PRODUCE!$EB$41:$IY$41)</f>
        <v>0</v>
      </c>
      <c r="LA18" s="56"/>
      <c r="LB18" s="242">
        <f t="shared" si="102"/>
        <v>0</v>
      </c>
      <c r="LC18" s="242">
        <f t="shared" si="103"/>
        <v>0</v>
      </c>
      <c r="LD18" s="56"/>
      <c r="LG18" s="55">
        <f t="shared" si="104"/>
        <v>46035</v>
      </c>
      <c r="LH18" s="56"/>
      <c r="LI18" s="242">
        <f>SUMPRODUCT(PRODUCE!$B17:$DY17,PRODUCE!$EB$42:$IY$42)</f>
        <v>0</v>
      </c>
      <c r="LJ18" s="56"/>
      <c r="LK18" s="242">
        <f t="shared" si="105"/>
        <v>0</v>
      </c>
      <c r="LL18" s="242">
        <f t="shared" si="106"/>
        <v>0</v>
      </c>
      <c r="LM18" s="56"/>
      <c r="LP18" s="55">
        <f t="shared" si="107"/>
        <v>46035</v>
      </c>
      <c r="LQ18" s="56"/>
      <c r="LR18" s="242">
        <f>SUMPRODUCT(PRODUCE!$B17:$DY17,PRODUCE!$EB$43:$IY$43)</f>
        <v>0</v>
      </c>
      <c r="LS18" s="56"/>
      <c r="LT18" s="242">
        <f t="shared" si="108"/>
        <v>0</v>
      </c>
      <c r="LU18" s="242">
        <f t="shared" si="109"/>
        <v>0</v>
      </c>
      <c r="LV18" s="56"/>
      <c r="LY18" s="55">
        <f t="shared" si="110"/>
        <v>46035</v>
      </c>
      <c r="LZ18" s="56"/>
      <c r="MA18" s="242">
        <f>SUMPRODUCT(PRODUCE!$B17:$DY17,PRODUCE!$EB$44:$IY$44)</f>
        <v>0</v>
      </c>
      <c r="MB18" s="56"/>
      <c r="MC18" s="242">
        <f t="shared" si="111"/>
        <v>0</v>
      </c>
      <c r="MD18" s="242">
        <f t="shared" si="112"/>
        <v>0</v>
      </c>
      <c r="ME18" s="56"/>
      <c r="MH18" s="55">
        <f t="shared" si="113"/>
        <v>46035</v>
      </c>
      <c r="MI18" s="56"/>
      <c r="MJ18" s="242">
        <f>SUMPRODUCT(PRODUCE!$B17:$DY17,PRODUCE!$EB$45:$IY$45)</f>
        <v>0</v>
      </c>
      <c r="MK18" s="56"/>
      <c r="ML18" s="242">
        <f t="shared" si="114"/>
        <v>0</v>
      </c>
      <c r="MM18" s="242">
        <f t="shared" si="115"/>
        <v>0</v>
      </c>
      <c r="MN18" s="56"/>
      <c r="MQ18" s="55">
        <f t="shared" si="116"/>
        <v>46035</v>
      </c>
      <c r="MR18" s="56"/>
      <c r="MS18" s="242">
        <f>SUMPRODUCT(PRODUCE!$B17:$DY17,PRODUCE!$EB$46:$IY$46)</f>
        <v>42</v>
      </c>
      <c r="MT18" s="56"/>
      <c r="MU18" s="242">
        <f t="shared" si="117"/>
        <v>42</v>
      </c>
      <c r="MV18" s="242">
        <f t="shared" si="118"/>
        <v>1281</v>
      </c>
      <c r="MW18" s="56"/>
      <c r="MZ18" s="55">
        <f t="shared" si="119"/>
        <v>46035</v>
      </c>
      <c r="NA18" s="56"/>
      <c r="NB18" s="242">
        <f>SUMPRODUCT(PRODUCE!$B17:$DY17,PRODUCE!$EB$47:$IY$47)</f>
        <v>84</v>
      </c>
      <c r="NC18" s="56"/>
      <c r="ND18" s="242">
        <f t="shared" si="120"/>
        <v>84</v>
      </c>
      <c r="NE18" s="242">
        <f t="shared" si="121"/>
        <v>0</v>
      </c>
      <c r="NF18" s="56"/>
      <c r="NI18" s="55">
        <f t="shared" si="122"/>
        <v>46035</v>
      </c>
      <c r="NJ18" s="56"/>
      <c r="NK18" s="242">
        <f>SUMPRODUCT(PRODUCE!$B17:$DY17,PRODUCE!$EB$48:$IY$48)</f>
        <v>0</v>
      </c>
      <c r="NL18" s="56"/>
      <c r="NM18" s="242">
        <f t="shared" si="123"/>
        <v>0</v>
      </c>
      <c r="NN18" s="242">
        <f t="shared" si="124"/>
        <v>0</v>
      </c>
      <c r="NO18" s="56"/>
      <c r="NR18" s="55">
        <f t="shared" si="125"/>
        <v>46035</v>
      </c>
      <c r="NS18" s="56"/>
      <c r="NT18" s="242">
        <f>SUMPRODUCT(PRODUCE!$B17:$DY17,PRODUCE!$EB$49:$IY$49)</f>
        <v>0</v>
      </c>
      <c r="NU18" s="56"/>
      <c r="NV18" s="242">
        <f t="shared" si="126"/>
        <v>0</v>
      </c>
      <c r="NW18" s="242">
        <f t="shared" si="127"/>
        <v>0</v>
      </c>
      <c r="NX18" s="56"/>
      <c r="OA18" s="55">
        <f t="shared" si="128"/>
        <v>46035</v>
      </c>
      <c r="OB18" s="56"/>
      <c r="OC18" s="242">
        <f>SUMPRODUCT(PRODUCE!$B17:$DY17,PRODUCE!$EB$50:$IY$50)</f>
        <v>28</v>
      </c>
      <c r="OD18" s="56"/>
      <c r="OE18" s="242">
        <f t="shared" si="129"/>
        <v>28</v>
      </c>
      <c r="OF18" s="242">
        <f t="shared" si="130"/>
        <v>1680.5</v>
      </c>
      <c r="OG18" s="56"/>
      <c r="OJ18" s="55">
        <f t="shared" si="131"/>
        <v>46035</v>
      </c>
      <c r="OK18" s="56"/>
      <c r="OL18" s="242">
        <f>SUMPRODUCT(PRODUCE!$B17:$DY17,PRODUCE!$EB$51:$IY$51)</f>
        <v>0</v>
      </c>
      <c r="OM18" s="56"/>
      <c r="ON18" s="242">
        <f t="shared" si="132"/>
        <v>0</v>
      </c>
      <c r="OO18" s="242">
        <f t="shared" si="133"/>
        <v>0</v>
      </c>
      <c r="OP18" s="56"/>
      <c r="OS18" s="55">
        <f t="shared" si="134"/>
        <v>46035</v>
      </c>
      <c r="OT18" s="56"/>
      <c r="OU18" s="242">
        <f>SUMPRODUCT(PRODUCE!$B17:$DY17,PRODUCE!$EB$52:$IY$52)</f>
        <v>0</v>
      </c>
      <c r="OV18" s="56"/>
      <c r="OW18" s="242">
        <f t="shared" si="135"/>
        <v>0</v>
      </c>
      <c r="OX18" s="242">
        <f t="shared" si="136"/>
        <v>67</v>
      </c>
      <c r="OY18" s="56"/>
      <c r="PB18" s="55">
        <f t="shared" si="137"/>
        <v>46035</v>
      </c>
      <c r="PC18" s="56"/>
      <c r="PD18" s="242">
        <f>SUMPRODUCT(PRODUCE!$B17:$DY17,PRODUCE!$EB$53:$IY$53)</f>
        <v>0</v>
      </c>
      <c r="PE18" s="56"/>
      <c r="PF18" s="242">
        <f t="shared" si="138"/>
        <v>0</v>
      </c>
      <c r="PG18" s="242">
        <f t="shared" si="139"/>
        <v>0</v>
      </c>
      <c r="PH18" s="56"/>
      <c r="PK18" s="55">
        <f t="shared" si="140"/>
        <v>46035</v>
      </c>
      <c r="PL18" s="56"/>
      <c r="PM18" s="242">
        <f>SUMPRODUCT(PRODUCE!$B17:$DY17,PRODUCE!$EB$54:$IY$54)</f>
        <v>0</v>
      </c>
      <c r="PN18" s="56"/>
      <c r="PO18" s="242">
        <f t="shared" si="141"/>
        <v>0</v>
      </c>
      <c r="PP18" s="242">
        <f t="shared" si="142"/>
        <v>160</v>
      </c>
      <c r="PQ18" s="56"/>
      <c r="PT18" s="55">
        <f t="shared" si="143"/>
        <v>46035</v>
      </c>
      <c r="PU18" s="56"/>
      <c r="PV18" s="242">
        <f>SUMPRODUCT(PRODUCE!$B17:$DY17,PRODUCE!$EB$55:$IY$55)</f>
        <v>0</v>
      </c>
      <c r="PW18" s="56"/>
      <c r="PX18" s="242">
        <f t="shared" si="144"/>
        <v>0</v>
      </c>
      <c r="PY18" s="242">
        <f t="shared" si="145"/>
        <v>13.960000000000036</v>
      </c>
      <c r="PZ18" s="56"/>
      <c r="QC18" s="55">
        <f t="shared" si="146"/>
        <v>46035</v>
      </c>
      <c r="QD18" s="56"/>
      <c r="QE18" s="242">
        <f>SUMPRODUCT(PRODUCE!$B17:$DY17,PRODUCE!$EB$56:$IY$56)</f>
        <v>0</v>
      </c>
      <c r="QF18" s="56"/>
      <c r="QG18" s="242">
        <f t="shared" si="147"/>
        <v>0</v>
      </c>
      <c r="QH18" s="242">
        <f t="shared" si="148"/>
        <v>0</v>
      </c>
      <c r="QI18" s="56"/>
      <c r="QL18" s="55">
        <f t="shared" si="149"/>
        <v>46035</v>
      </c>
      <c r="QM18" s="56"/>
      <c r="QN18" s="242">
        <f>SUMPRODUCT(PRODUCE!$B17:$DY17,PRODUCE!$EB$57:$IY$57)</f>
        <v>0</v>
      </c>
      <c r="QO18" s="56"/>
      <c r="QP18" s="242">
        <f t="shared" si="150"/>
        <v>0</v>
      </c>
      <c r="QQ18" s="242">
        <f t="shared" si="151"/>
        <v>0</v>
      </c>
      <c r="QR18" s="56"/>
      <c r="QU18" s="55">
        <f t="shared" si="152"/>
        <v>46035</v>
      </c>
      <c r="QV18" s="56"/>
      <c r="QW18" s="242">
        <f>SUMPRODUCT(PRODUCE!$B17:$DY17,PRODUCE!$EB$57:$IY$57)</f>
        <v>0</v>
      </c>
      <c r="QX18" s="56"/>
      <c r="QY18" s="242">
        <f t="shared" si="153"/>
        <v>0</v>
      </c>
      <c r="QZ18" s="242">
        <f t="shared" si="154"/>
        <v>207.6</v>
      </c>
      <c r="RA18" s="56"/>
      <c r="RD18" s="55">
        <f t="shared" si="155"/>
        <v>46035</v>
      </c>
      <c r="RE18" s="56"/>
      <c r="RF18" s="242">
        <f>SUMPRODUCT(PRODUCE!$B17:$DY17,PRODUCE!$EB$58:$IY$58)</f>
        <v>0</v>
      </c>
      <c r="RG18" s="56"/>
      <c r="RH18" s="242">
        <f t="shared" si="156"/>
        <v>0</v>
      </c>
      <c r="RI18" s="242">
        <f t="shared" si="157"/>
        <v>201.8</v>
      </c>
      <c r="RJ18" s="56"/>
      <c r="RM18" s="55">
        <f t="shared" si="158"/>
        <v>46035</v>
      </c>
      <c r="RN18" s="56"/>
      <c r="RO18" s="242">
        <f>SUMPRODUCT(PRODUCE!$B17:$DY17,PRODUCE!$EB$59:$IY$59)</f>
        <v>0</v>
      </c>
      <c r="RP18" s="56"/>
      <c r="RQ18" s="242">
        <f t="shared" si="159"/>
        <v>0</v>
      </c>
      <c r="RR18" s="242">
        <f t="shared" si="160"/>
        <v>22.720000000000002</v>
      </c>
      <c r="RS18" s="56"/>
      <c r="RV18" s="55">
        <f t="shared" si="161"/>
        <v>46035</v>
      </c>
      <c r="RW18" s="56"/>
      <c r="RX18" s="242">
        <f>SUMPRODUCT(PRODUCE!$B17:$DY17,PRODUCE!$EB$57:$IY$57)</f>
        <v>0</v>
      </c>
      <c r="RY18" s="56"/>
      <c r="RZ18" s="242">
        <f t="shared" si="162"/>
        <v>0</v>
      </c>
      <c r="SA18" s="242">
        <f t="shared" si="163"/>
        <v>0</v>
      </c>
      <c r="SB18" s="56"/>
      <c r="SE18" s="55">
        <f t="shared" si="164"/>
        <v>46035</v>
      </c>
      <c r="SF18" s="56"/>
      <c r="SG18" s="242">
        <f>SUMPRODUCT(PRODUCE!$B17:$DY17,PRODUCE!$EB$61:$IY$61)</f>
        <v>0</v>
      </c>
      <c r="SH18" s="56"/>
      <c r="SI18" s="242">
        <f t="shared" si="165"/>
        <v>0</v>
      </c>
      <c r="SJ18" s="242">
        <f t="shared" si="166"/>
        <v>0</v>
      </c>
      <c r="SK18" s="56"/>
      <c r="SN18" s="55">
        <f t="shared" si="167"/>
        <v>46035</v>
      </c>
      <c r="SO18" s="56"/>
      <c r="SP18" s="242">
        <f>SUMPRODUCT(PRODUCE!$B17:$DY17,PRODUCE!$EB$57:$IY$57)</f>
        <v>0</v>
      </c>
      <c r="SQ18" s="56"/>
      <c r="SR18" s="242">
        <f t="shared" si="168"/>
        <v>0</v>
      </c>
      <c r="SS18" s="242">
        <f t="shared" si="169"/>
        <v>0</v>
      </c>
      <c r="ST18" s="56"/>
      <c r="SW18" s="55">
        <f t="shared" si="170"/>
        <v>46035</v>
      </c>
      <c r="SX18" s="56"/>
      <c r="SY18" s="242">
        <f>SUMPRODUCT(PRODUCE!$B17:$DY17,PRODUCE!$EB$57:$IY$57)</f>
        <v>0</v>
      </c>
      <c r="SZ18" s="56"/>
      <c r="TA18" s="242">
        <f t="shared" si="171"/>
        <v>0</v>
      </c>
      <c r="TB18" s="242">
        <f t="shared" si="172"/>
        <v>0</v>
      </c>
      <c r="TC18" s="56"/>
      <c r="TF18" s="55">
        <f t="shared" si="173"/>
        <v>46035</v>
      </c>
      <c r="TG18" s="56"/>
      <c r="TH18" s="242">
        <f>SUMPRODUCT(PRODUCE!$B17:$DY17,PRODUCE!$EB$57:$IY$57)</f>
        <v>0</v>
      </c>
      <c r="TI18" s="56"/>
      <c r="TJ18" s="242">
        <f t="shared" si="174"/>
        <v>0</v>
      </c>
      <c r="TK18" s="242">
        <f t="shared" si="175"/>
        <v>0</v>
      </c>
      <c r="TL18" s="56"/>
      <c r="TO18" s="55">
        <f t="shared" si="176"/>
        <v>46035</v>
      </c>
      <c r="TP18" s="56"/>
      <c r="TQ18" s="242">
        <f>SUMPRODUCT(PRODUCE!$B17:$DY17,PRODUCE!$EB$57:$IY$57)</f>
        <v>0</v>
      </c>
      <c r="TR18" s="56"/>
      <c r="TS18" s="242">
        <f t="shared" si="177"/>
        <v>0</v>
      </c>
      <c r="TT18" s="242">
        <f t="shared" si="178"/>
        <v>0</v>
      </c>
      <c r="TU18" s="56"/>
      <c r="TX18" s="55">
        <f t="shared" si="179"/>
        <v>46035</v>
      </c>
      <c r="TY18" s="56"/>
      <c r="TZ18" s="242">
        <f>SUMPRODUCT(PRODUCE!$B17:$DY17,PRODUCE!$EB$57:$IY$57)</f>
        <v>0</v>
      </c>
      <c r="UA18" s="56"/>
      <c r="UB18" s="242">
        <f t="shared" si="180"/>
        <v>0</v>
      </c>
      <c r="UC18" s="242">
        <f t="shared" si="181"/>
        <v>0</v>
      </c>
      <c r="UD18" s="56"/>
      <c r="UG18" s="55">
        <f t="shared" si="182"/>
        <v>46035</v>
      </c>
      <c r="UH18" s="56"/>
      <c r="UI18" s="242">
        <f>SUMPRODUCT(PRODUCE!$B17:$DY17,PRODUCE!$EB$57:$IY$57)</f>
        <v>0</v>
      </c>
      <c r="UJ18" s="56"/>
      <c r="UK18" s="242">
        <f t="shared" si="183"/>
        <v>0</v>
      </c>
      <c r="UL18" s="242">
        <f t="shared" si="184"/>
        <v>0</v>
      </c>
      <c r="UM18" s="56"/>
      <c r="UP18" s="55">
        <f t="shared" si="185"/>
        <v>46035</v>
      </c>
      <c r="UQ18" s="56"/>
      <c r="UR18" s="242">
        <f>SUMPRODUCT(PRODUCE!$B17:$DY17,PRODUCE!$EB$57:$IY$57)</f>
        <v>0</v>
      </c>
      <c r="US18" s="56"/>
      <c r="UT18" s="242">
        <f t="shared" si="186"/>
        <v>0</v>
      </c>
      <c r="UU18" s="242">
        <f t="shared" si="187"/>
        <v>0</v>
      </c>
      <c r="UV18" s="56"/>
      <c r="UY18" s="55">
        <f t="shared" si="188"/>
        <v>46035</v>
      </c>
      <c r="UZ18" s="56"/>
      <c r="VA18" s="242">
        <f>SUMPRODUCT(PRODUCE!$B17:$DY17,PRODUCE!$EB$57:$IY$57)</f>
        <v>0</v>
      </c>
      <c r="VB18" s="56"/>
      <c r="VC18" s="242">
        <f t="shared" si="189"/>
        <v>0</v>
      </c>
      <c r="VD18" s="242">
        <f t="shared" si="190"/>
        <v>-319.59999999999997</v>
      </c>
      <c r="VE18" s="56"/>
      <c r="VH18" s="55">
        <f t="shared" si="191"/>
        <v>46035</v>
      </c>
      <c r="VI18" s="56"/>
      <c r="VJ18" s="242">
        <f>SUMPRODUCT(PRODUCE!$B17:$DY17,PRODUCE!$EB$57:$IY$57)</f>
        <v>0</v>
      </c>
      <c r="VK18" s="56"/>
      <c r="VL18" s="242">
        <f t="shared" si="192"/>
        <v>0</v>
      </c>
      <c r="VM18" s="242">
        <f t="shared" si="193"/>
        <v>0</v>
      </c>
      <c r="VN18" s="56"/>
      <c r="VQ18" s="55">
        <f t="shared" si="194"/>
        <v>46035</v>
      </c>
      <c r="VR18" s="56"/>
      <c r="VS18" s="242">
        <f>SUMPRODUCT(PRODUCE!$B17:$DY17,PRODUCE!$EB$57:$IY$57)</f>
        <v>0</v>
      </c>
      <c r="VT18" s="56"/>
      <c r="VU18" s="242">
        <f t="shared" si="195"/>
        <v>0</v>
      </c>
      <c r="VV18" s="242">
        <f t="shared" si="196"/>
        <v>0</v>
      </c>
      <c r="VW18" s="56"/>
      <c r="VZ18" s="55">
        <f t="shared" si="197"/>
        <v>46035</v>
      </c>
      <c r="WA18" s="56"/>
      <c r="WB18" s="242">
        <f>SUMPRODUCT(PRODUCE!$B17:$DY17,PRODUCE!$EB$57:$IY$57)</f>
        <v>0</v>
      </c>
      <c r="WC18" s="56"/>
      <c r="WD18" s="242">
        <f t="shared" si="198"/>
        <v>0</v>
      </c>
      <c r="WE18" s="242">
        <f t="shared" si="199"/>
        <v>0</v>
      </c>
      <c r="WF18" s="56"/>
      <c r="WI18" s="55">
        <f t="shared" si="200"/>
        <v>46035</v>
      </c>
      <c r="WJ18" s="56"/>
      <c r="WK18" s="242">
        <f>SUMPRODUCT(PRODUCE!$B17:$DY17,PRODUCE!$EB$57:$IY$57)</f>
        <v>0</v>
      </c>
      <c r="WL18" s="56"/>
      <c r="WM18" s="242">
        <f t="shared" si="201"/>
        <v>0</v>
      </c>
      <c r="WN18" s="242">
        <f t="shared" si="202"/>
        <v>5877</v>
      </c>
      <c r="WO18" s="56"/>
      <c r="WR18" s="55">
        <f t="shared" si="203"/>
        <v>46035</v>
      </c>
      <c r="WS18" s="56"/>
      <c r="WT18" s="242">
        <f>SUMPRODUCT(PRODUCE!$B17:$DY17,PRODUCE!$EB$57:$IY$57)</f>
        <v>0</v>
      </c>
      <c r="WU18" s="56"/>
      <c r="WV18" s="242">
        <f t="shared" si="204"/>
        <v>0</v>
      </c>
      <c r="WW18" s="242">
        <f t="shared" si="205"/>
        <v>5267</v>
      </c>
      <c r="WX18" s="56"/>
      <c r="XA18" s="55">
        <f t="shared" si="206"/>
        <v>46035</v>
      </c>
      <c r="XB18" s="56"/>
      <c r="XC18" s="242">
        <f>SUMPRODUCT(PRODUCE!$B17:$DY17,PRODUCE!$EB$57:$IY$57)</f>
        <v>0</v>
      </c>
      <c r="XD18" s="56">
        <v>1123</v>
      </c>
      <c r="XE18" s="242">
        <f t="shared" si="207"/>
        <v>-1123</v>
      </c>
      <c r="XF18" s="242">
        <f t="shared" si="208"/>
        <v>719</v>
      </c>
      <c r="XG18" s="56"/>
      <c r="XJ18" s="55">
        <f t="shared" si="209"/>
        <v>46035</v>
      </c>
      <c r="XK18" s="56"/>
      <c r="XL18" s="242">
        <f>SUMPRODUCT(PRODUCE!$B17:$DY17,PRODUCE!$EB$57:$IY$57)</f>
        <v>0</v>
      </c>
      <c r="XM18" s="56"/>
      <c r="XN18" s="242">
        <f t="shared" si="210"/>
        <v>0</v>
      </c>
      <c r="XO18" s="242">
        <f t="shared" si="211"/>
        <v>6350</v>
      </c>
      <c r="XP18" s="56"/>
      <c r="XS18" s="55">
        <f t="shared" si="212"/>
        <v>46035</v>
      </c>
      <c r="XT18" s="56"/>
      <c r="XU18" s="242">
        <f>SUMPRODUCT(PRODUCE!$B17:$DY17,PRODUCE!$EB$57:$IY$57)</f>
        <v>0</v>
      </c>
      <c r="XV18" s="56"/>
      <c r="XW18" s="242">
        <f t="shared" si="213"/>
        <v>0</v>
      </c>
      <c r="XX18" s="242">
        <f t="shared" si="214"/>
        <v>1901</v>
      </c>
      <c r="XY18" s="56"/>
      <c r="YB18" s="55">
        <f t="shared" si="215"/>
        <v>46035</v>
      </c>
      <c r="YC18" s="56"/>
      <c r="YD18" s="242">
        <f>SUMPRODUCT(PRODUCE!$B17:$DY17,PRODUCE!$EB$57:$IY$57)</f>
        <v>0</v>
      </c>
      <c r="YE18" s="56"/>
      <c r="YF18" s="242">
        <f t="shared" si="216"/>
        <v>0</v>
      </c>
      <c r="YG18" s="242">
        <f t="shared" si="217"/>
        <v>4175</v>
      </c>
      <c r="YH18" s="56"/>
      <c r="YK18" s="55">
        <f t="shared" si="218"/>
        <v>46035</v>
      </c>
      <c r="YL18" s="56"/>
      <c r="YM18" s="242">
        <f>SUMPRODUCT(PRODUCE!$B17:$DY17,PRODUCE!$EB$57:$IY$57)</f>
        <v>0</v>
      </c>
      <c r="YN18" s="56"/>
      <c r="YO18" s="242">
        <f t="shared" si="219"/>
        <v>0</v>
      </c>
      <c r="YP18" s="242">
        <f t="shared" si="220"/>
        <v>0</v>
      </c>
      <c r="YQ18" s="56"/>
      <c r="YT18" s="55">
        <f t="shared" si="221"/>
        <v>46035</v>
      </c>
      <c r="YU18" s="56"/>
      <c r="YV18" s="242">
        <f>SUMPRODUCT(PRODUCE!$B17:$DY17,PRODUCE!$EB$57:$IY$57)</f>
        <v>0</v>
      </c>
      <c r="YW18" s="56"/>
      <c r="YX18" s="242">
        <f t="shared" si="222"/>
        <v>0</v>
      </c>
      <c r="YY18" s="242">
        <f t="shared" si="223"/>
        <v>0</v>
      </c>
      <c r="YZ18" s="56"/>
      <c r="ZC18" s="55">
        <f t="shared" si="224"/>
        <v>46035</v>
      </c>
      <c r="ZD18" s="56"/>
      <c r="ZE18" s="242">
        <f>SUMPRODUCT(PRODUCE!$B17:$DY17,PRODUCE!$EB$57:$IY$57)</f>
        <v>0</v>
      </c>
      <c r="ZF18" s="56"/>
      <c r="ZG18" s="242">
        <f t="shared" si="225"/>
        <v>0</v>
      </c>
      <c r="ZH18" s="242">
        <f t="shared" si="226"/>
        <v>0</v>
      </c>
      <c r="ZI18" s="56"/>
      <c r="ZL18" s="55">
        <f t="shared" si="227"/>
        <v>46035</v>
      </c>
      <c r="ZM18" s="56"/>
      <c r="ZN18" s="242">
        <f>SUMPRODUCT(PRODUCE!$B17:$DY17,PRODUCE!$EB$57:$IY$57)</f>
        <v>0</v>
      </c>
      <c r="ZO18" s="56"/>
      <c r="ZP18" s="242">
        <f t="shared" si="228"/>
        <v>0</v>
      </c>
      <c r="ZQ18" s="242">
        <f t="shared" si="229"/>
        <v>0</v>
      </c>
      <c r="ZR18" s="56"/>
      <c r="ZU18" s="55">
        <f t="shared" si="230"/>
        <v>46035</v>
      </c>
      <c r="ZV18" s="56"/>
      <c r="ZW18" s="242">
        <f>SUMPRODUCT(PRODUCE!$B17:$DY17,PRODUCE!$EB$57:$IY$57)</f>
        <v>0</v>
      </c>
      <c r="ZX18" s="56"/>
      <c r="ZY18" s="242">
        <f t="shared" si="231"/>
        <v>0</v>
      </c>
      <c r="ZZ18" s="242">
        <f t="shared" si="232"/>
        <v>0</v>
      </c>
      <c r="AAA18" s="56"/>
      <c r="AAD18" s="55">
        <f t="shared" si="233"/>
        <v>46035</v>
      </c>
      <c r="AAE18" s="56"/>
      <c r="AAF18" s="242">
        <f>SUMPRODUCT(PRODUCE!$B17:$DY17,PRODUCE!$EB$57:$IY$57)</f>
        <v>0</v>
      </c>
      <c r="AAG18" s="56"/>
      <c r="AAH18" s="242">
        <f t="shared" si="234"/>
        <v>0</v>
      </c>
      <c r="AAI18" s="242">
        <f t="shared" si="235"/>
        <v>0</v>
      </c>
      <c r="AAJ18" s="56"/>
      <c r="AAM18" s="55">
        <f t="shared" si="236"/>
        <v>46035</v>
      </c>
      <c r="AAN18" s="56"/>
      <c r="AAO18" s="242">
        <f>SUMPRODUCT(PRODUCE!$B17:$DY17,PRODUCE!$EB$57:$IY$57)</f>
        <v>0</v>
      </c>
      <c r="AAP18" s="56"/>
      <c r="AAQ18" s="242">
        <f t="shared" si="237"/>
        <v>0</v>
      </c>
      <c r="AAR18" s="242">
        <f t="shared" si="238"/>
        <v>0</v>
      </c>
      <c r="AAS18" s="56"/>
      <c r="AAV18" s="55">
        <f t="shared" si="239"/>
        <v>46035</v>
      </c>
      <c r="AAW18" s="56"/>
      <c r="AAX18" s="242">
        <f>SUMPRODUCT(PRODUCE!$B17:$DY17,PRODUCE!$EB$57:$IY$57)</f>
        <v>0</v>
      </c>
      <c r="AAY18" s="56"/>
      <c r="AAZ18" s="242">
        <f t="shared" si="240"/>
        <v>0</v>
      </c>
      <c r="ABA18" s="242">
        <f t="shared" si="241"/>
        <v>0</v>
      </c>
      <c r="ABB18" s="56"/>
      <c r="ABE18" s="55">
        <f t="shared" si="242"/>
        <v>46035</v>
      </c>
      <c r="ABF18" s="56"/>
      <c r="ABG18" s="242">
        <f>SUMPRODUCT(PRODUCE!$B17:$DY17,PRODUCE!$EB$57:$IY$57)</f>
        <v>0</v>
      </c>
      <c r="ABH18" s="56"/>
      <c r="ABI18" s="242">
        <f t="shared" si="243"/>
        <v>0</v>
      </c>
      <c r="ABJ18" s="242">
        <f t="shared" si="244"/>
        <v>0</v>
      </c>
      <c r="ABK18" s="56"/>
    </row>
    <row r="19" spans="2:739" s="54" customFormat="1" ht="15" customHeight="1" outlineLevel="1">
      <c r="B19" s="478"/>
      <c r="C19" s="55">
        <v>46036</v>
      </c>
      <c r="D19" s="422"/>
      <c r="E19" s="423">
        <f>SUMPRODUCT(PRODUCE!$B18:$DY18,PRODUCE!$EB$7:$IY$7)</f>
        <v>0</v>
      </c>
      <c r="F19" s="422"/>
      <c r="G19" s="423">
        <f t="shared" si="2"/>
        <v>0</v>
      </c>
      <c r="H19" s="423">
        <f t="shared" si="0"/>
        <v>80919.400000000009</v>
      </c>
      <c r="I19" s="289"/>
      <c r="L19" s="55">
        <f t="shared" si="1"/>
        <v>46036</v>
      </c>
      <c r="M19" s="422"/>
      <c r="N19" s="438">
        <f>SUMPRODUCT(PRODUCE!$B18:$DY18,PRODUCE!$EB$8:$IY$8)</f>
        <v>0</v>
      </c>
      <c r="O19" s="422"/>
      <c r="P19" s="438">
        <f t="shared" si="3"/>
        <v>0</v>
      </c>
      <c r="Q19" s="438">
        <f t="shared" si="4"/>
        <v>-7002.5999999999931</v>
      </c>
      <c r="R19" s="56"/>
      <c r="U19" s="55">
        <f t="shared" si="5"/>
        <v>46036</v>
      </c>
      <c r="V19" s="422"/>
      <c r="W19" s="440">
        <f>SUMPRODUCT(PRODUCE!$B18:$DY18,PRODUCE!$EB$9:$IY$9)</f>
        <v>0</v>
      </c>
      <c r="X19" s="422"/>
      <c r="Y19" s="440">
        <f t="shared" si="6"/>
        <v>0</v>
      </c>
      <c r="Z19" s="440">
        <f t="shared" si="7"/>
        <v>31154.699999999983</v>
      </c>
      <c r="AA19" s="56"/>
      <c r="AD19" s="55">
        <f t="shared" si="8"/>
        <v>46036</v>
      </c>
      <c r="AE19" s="422"/>
      <c r="AF19" s="442">
        <f>SUMPRODUCT(PRODUCE!$B18:$DY18,PRODUCE!$EB$10:$IY$10)</f>
        <v>0</v>
      </c>
      <c r="AG19" s="422"/>
      <c r="AH19" s="442">
        <f t="shared" si="9"/>
        <v>0</v>
      </c>
      <c r="AI19" s="442">
        <f t="shared" si="10"/>
        <v>29597.700000000004</v>
      </c>
      <c r="AJ19" s="56"/>
      <c r="AM19" s="55">
        <f t="shared" si="11"/>
        <v>46036</v>
      </c>
      <c r="AN19" s="422"/>
      <c r="AO19" s="444">
        <f>SUMPRODUCT(PRODUCE!$B18:$DY18,PRODUCE!$EB$11:$IY$11)</f>
        <v>0</v>
      </c>
      <c r="AP19" s="422"/>
      <c r="AQ19" s="444">
        <f t="shared" si="12"/>
        <v>0</v>
      </c>
      <c r="AR19" s="444">
        <f t="shared" si="13"/>
        <v>0</v>
      </c>
      <c r="AS19" s="56"/>
      <c r="AV19" s="55">
        <f t="shared" si="14"/>
        <v>46036</v>
      </c>
      <c r="AW19" s="422"/>
      <c r="AX19" s="446">
        <f>SUMPRODUCT(PRODUCE!$B18:$DY18,PRODUCE!$EB$12:$IY$12)</f>
        <v>0</v>
      </c>
      <c r="AY19" s="422"/>
      <c r="AZ19" s="446">
        <f t="shared" si="15"/>
        <v>0</v>
      </c>
      <c r="BA19" s="446">
        <f t="shared" si="16"/>
        <v>16503.099999999991</v>
      </c>
      <c r="BB19" s="56"/>
      <c r="BE19" s="55">
        <f t="shared" si="17"/>
        <v>46036</v>
      </c>
      <c r="BF19" s="422"/>
      <c r="BG19" s="448">
        <f>SUMPRODUCT(PRODUCE!$B18:$DY18,PRODUCE!$EB$13:$IY$13)</f>
        <v>0</v>
      </c>
      <c r="BH19" s="422"/>
      <c r="BI19" s="448">
        <f t="shared" si="18"/>
        <v>0</v>
      </c>
      <c r="BJ19" s="448">
        <f t="shared" si="19"/>
        <v>13655.600000000004</v>
      </c>
      <c r="BK19" s="56"/>
      <c r="BN19" s="55">
        <f t="shared" si="20"/>
        <v>46036</v>
      </c>
      <c r="BO19" s="422"/>
      <c r="BP19" s="450">
        <f>SUMPRODUCT(PRODUCE!$B18:$DY18,PRODUCE!$EB$14:$IY$14)</f>
        <v>0</v>
      </c>
      <c r="BQ19" s="422"/>
      <c r="BR19" s="450">
        <f t="shared" si="21"/>
        <v>0</v>
      </c>
      <c r="BS19" s="450">
        <f t="shared" si="22"/>
        <v>0</v>
      </c>
      <c r="BT19" s="56"/>
      <c r="BW19" s="55">
        <f t="shared" si="23"/>
        <v>46036</v>
      </c>
      <c r="BX19" s="56"/>
      <c r="BY19" s="65">
        <f>SUMPRODUCT(PRODUCE!$B18:$DY18,PRODUCE!$EB$15:$IY$15)</f>
        <v>0</v>
      </c>
      <c r="BZ19" s="56"/>
      <c r="CA19" s="65">
        <f t="shared" si="24"/>
        <v>0</v>
      </c>
      <c r="CB19" s="65">
        <f t="shared" si="25"/>
        <v>3461.5</v>
      </c>
      <c r="CC19" s="56"/>
      <c r="CF19" s="55">
        <f t="shared" si="26"/>
        <v>46036</v>
      </c>
      <c r="CG19" s="56"/>
      <c r="CH19" s="66">
        <f>SUMPRODUCT(PRODUCE!$B18:$DY18,PRODUCE!$EB$16:$IY$16)</f>
        <v>0</v>
      </c>
      <c r="CI19" s="56"/>
      <c r="CJ19" s="66">
        <f t="shared" si="27"/>
        <v>0</v>
      </c>
      <c r="CK19" s="66">
        <f t="shared" si="28"/>
        <v>0</v>
      </c>
      <c r="CL19" s="56"/>
      <c r="CO19" s="55">
        <f t="shared" si="29"/>
        <v>46036</v>
      </c>
      <c r="CP19" s="422"/>
      <c r="CQ19" s="470">
        <f>SUMPRODUCT(PRODUCE!$B18:$DY18,PRODUCE!$EB$17:$IY$17)</f>
        <v>0</v>
      </c>
      <c r="CR19" s="422"/>
      <c r="CS19" s="470">
        <f t="shared" si="30"/>
        <v>0</v>
      </c>
      <c r="CT19" s="470">
        <f t="shared" si="31"/>
        <v>0</v>
      </c>
      <c r="CU19" s="56"/>
      <c r="CX19" s="55">
        <f t="shared" si="32"/>
        <v>46036</v>
      </c>
      <c r="CY19" s="56"/>
      <c r="CZ19" s="133">
        <f>SUMPRODUCT(PRODUCE!$B18:$DY18,PRODUCE!$EB$18:$IY$18)</f>
        <v>0</v>
      </c>
      <c r="DA19" s="56"/>
      <c r="DB19" s="133">
        <f t="shared" si="33"/>
        <v>0</v>
      </c>
      <c r="DC19" s="133">
        <f t="shared" si="34"/>
        <v>0</v>
      </c>
      <c r="DD19" s="56"/>
      <c r="DG19" s="55">
        <f t="shared" si="35"/>
        <v>46036</v>
      </c>
      <c r="DH19" s="56"/>
      <c r="DI19" s="147">
        <f>SUMPRODUCT(PRODUCE!$B18:$DY18,PRODUCE!$EB$19:$IY$19)</f>
        <v>0</v>
      </c>
      <c r="DJ19" s="56"/>
      <c r="DK19" s="147">
        <f t="shared" si="36"/>
        <v>0</v>
      </c>
      <c r="DL19" s="147">
        <f t="shared" si="37"/>
        <v>25391.599999999999</v>
      </c>
      <c r="DM19" s="56"/>
      <c r="DP19" s="55">
        <f t="shared" si="38"/>
        <v>46036</v>
      </c>
      <c r="DQ19" s="56"/>
      <c r="DR19" s="57">
        <f>SUMPRODUCT(PRODUCE!$B18:$DY18,PRODUCE!$EB$20:$IY$20)</f>
        <v>0</v>
      </c>
      <c r="DS19" s="56"/>
      <c r="DT19" s="57">
        <f t="shared" si="39"/>
        <v>0</v>
      </c>
      <c r="DU19" s="57">
        <f t="shared" si="40"/>
        <v>0</v>
      </c>
      <c r="DV19" s="56"/>
      <c r="DY19" s="55">
        <f t="shared" si="41"/>
        <v>46036</v>
      </c>
      <c r="DZ19" s="56"/>
      <c r="EA19" s="157">
        <f>SUMPRODUCT(PRODUCE!$B18:$DY18,PRODUCE!$EB$21:$IY$21)</f>
        <v>0</v>
      </c>
      <c r="EB19" s="56"/>
      <c r="EC19" s="157">
        <f t="shared" si="42"/>
        <v>0</v>
      </c>
      <c r="ED19" s="157">
        <f t="shared" si="43"/>
        <v>0</v>
      </c>
      <c r="EE19" s="56"/>
      <c r="EH19" s="55">
        <f t="shared" si="44"/>
        <v>46036</v>
      </c>
      <c r="EI19" s="56"/>
      <c r="EJ19" s="162">
        <f>SUMPRODUCT(PRODUCE!$B18:$DY18,PRODUCE!$EB$22:$IY$22)</f>
        <v>0</v>
      </c>
      <c r="EK19" s="56"/>
      <c r="EL19" s="162">
        <f t="shared" si="45"/>
        <v>0</v>
      </c>
      <c r="EM19" s="162">
        <f t="shared" si="46"/>
        <v>0</v>
      </c>
      <c r="EN19" s="56"/>
      <c r="EQ19" s="55">
        <f t="shared" si="47"/>
        <v>46036</v>
      </c>
      <c r="ER19" s="56"/>
      <c r="ES19" s="135">
        <f>SUMPRODUCT(PRODUCE!$B18:$DY18,PRODUCE!$EB$23:$IY$23)</f>
        <v>0</v>
      </c>
      <c r="ET19" s="56"/>
      <c r="EU19" s="135">
        <f t="shared" si="48"/>
        <v>0</v>
      </c>
      <c r="EV19" s="135">
        <f t="shared" si="49"/>
        <v>0</v>
      </c>
      <c r="EW19" s="56"/>
      <c r="EZ19" s="55">
        <f t="shared" si="50"/>
        <v>46036</v>
      </c>
      <c r="FA19" s="56"/>
      <c r="FB19" s="175">
        <f>SUMPRODUCT(PRODUCE!$B18:$DY18,PRODUCE!$EB$24:$IY$24)</f>
        <v>0</v>
      </c>
      <c r="FC19" s="56"/>
      <c r="FD19" s="175">
        <f t="shared" si="51"/>
        <v>0</v>
      </c>
      <c r="FE19" s="175">
        <f t="shared" si="52"/>
        <v>0</v>
      </c>
      <c r="FF19" s="56"/>
      <c r="FI19" s="55">
        <f t="shared" si="53"/>
        <v>46036</v>
      </c>
      <c r="FJ19" s="56"/>
      <c r="FK19" s="183">
        <f>SUMPRODUCT(PRODUCE!$B18:$DY18,PRODUCE!$EB$25:$IY$25)</f>
        <v>0</v>
      </c>
      <c r="FL19" s="56"/>
      <c r="FM19" s="183">
        <f t="shared" si="54"/>
        <v>0</v>
      </c>
      <c r="FN19" s="183">
        <f t="shared" si="55"/>
        <v>0</v>
      </c>
      <c r="FO19" s="56"/>
      <c r="FR19" s="55">
        <f t="shared" si="56"/>
        <v>46036</v>
      </c>
      <c r="FS19" s="422"/>
      <c r="FT19" s="452">
        <f>SUMPRODUCT(PRODUCE!$B18:$DY18,PRODUCE!$EB$26:$IY$26)</f>
        <v>0</v>
      </c>
      <c r="FU19" s="422"/>
      <c r="FV19" s="452">
        <f t="shared" si="57"/>
        <v>0</v>
      </c>
      <c r="FW19" s="452">
        <f t="shared" si="58"/>
        <v>3540</v>
      </c>
      <c r="FX19" s="56"/>
      <c r="GA19" s="55">
        <f t="shared" si="59"/>
        <v>46036</v>
      </c>
      <c r="GB19" s="422"/>
      <c r="GC19" s="454">
        <f>SUMPRODUCT(PRODUCE!$B18:$DY18,PRODUCE!$EB$27:$IY$27)</f>
        <v>0</v>
      </c>
      <c r="GD19" s="422"/>
      <c r="GE19" s="454">
        <f t="shared" si="60"/>
        <v>0</v>
      </c>
      <c r="GF19" s="454">
        <f t="shared" si="61"/>
        <v>1960</v>
      </c>
      <c r="GG19" s="56"/>
      <c r="GI19" s="23"/>
      <c r="GJ19" s="55">
        <f t="shared" si="62"/>
        <v>46036</v>
      </c>
      <c r="GK19" s="422"/>
      <c r="GL19" s="456">
        <f>SUMPRODUCT(PRODUCE!$B18:$DY18,PRODUCE!$EB$28:$IY$28)</f>
        <v>0</v>
      </c>
      <c r="GM19" s="422"/>
      <c r="GN19" s="456">
        <f t="shared" si="63"/>
        <v>0</v>
      </c>
      <c r="GO19" s="456">
        <f t="shared" si="64"/>
        <v>6360</v>
      </c>
      <c r="GP19" s="56"/>
      <c r="GS19" s="55">
        <f t="shared" si="65"/>
        <v>46036</v>
      </c>
      <c r="GT19" s="56"/>
      <c r="GU19" s="195">
        <f>SUMPRODUCT(PRODUCE!$B18:$DY18,PRODUCE!$EB$29:$IY$29)</f>
        <v>0</v>
      </c>
      <c r="GV19" s="56"/>
      <c r="GW19" s="195">
        <f t="shared" si="66"/>
        <v>0</v>
      </c>
      <c r="GX19" s="195">
        <f t="shared" si="67"/>
        <v>0</v>
      </c>
      <c r="GY19" s="56"/>
      <c r="HB19" s="55">
        <f t="shared" si="68"/>
        <v>46036</v>
      </c>
      <c r="HC19" s="56"/>
      <c r="HD19" s="191">
        <f>SUMPRODUCT(PRODUCE!$B18:$DY18,PRODUCE!$EB$30:$IY$30)</f>
        <v>0</v>
      </c>
      <c r="HE19" s="56"/>
      <c r="HF19" s="191">
        <f t="shared" si="69"/>
        <v>0</v>
      </c>
      <c r="HG19" s="191">
        <f t="shared" si="70"/>
        <v>0</v>
      </c>
      <c r="HH19" s="56"/>
      <c r="HK19" s="55">
        <f t="shared" si="71"/>
        <v>46036</v>
      </c>
      <c r="HL19" s="56"/>
      <c r="HM19" s="63">
        <f>SUMPRODUCT(PRODUCE!$B18:$DY18,PRODUCE!$EB$31:$IY$31)</f>
        <v>0</v>
      </c>
      <c r="HN19" s="56"/>
      <c r="HO19" s="63">
        <f t="shared" si="72"/>
        <v>0</v>
      </c>
      <c r="HP19" s="63">
        <f t="shared" si="73"/>
        <v>0</v>
      </c>
      <c r="HQ19" s="56"/>
      <c r="HU19" s="55">
        <f t="shared" si="74"/>
        <v>46036</v>
      </c>
      <c r="HV19" s="56"/>
      <c r="HW19" s="242">
        <f>SUMPRODUCT(PRODUCE!$B18:$DY18,PRODUCE!$EB$32:$IY$32)</f>
        <v>0</v>
      </c>
      <c r="HX19" s="56"/>
      <c r="HY19" s="242">
        <f t="shared" si="75"/>
        <v>0</v>
      </c>
      <c r="HZ19" s="242">
        <f t="shared" si="76"/>
        <v>3800</v>
      </c>
      <c r="IA19" s="56"/>
      <c r="ID19" s="55">
        <f t="shared" si="77"/>
        <v>46036</v>
      </c>
      <c r="IE19" s="56"/>
      <c r="IF19" s="242">
        <f>SUMPRODUCT(PRODUCE!$B18:$DY18,PRODUCE!$EB$33:$IY$33)</f>
        <v>0</v>
      </c>
      <c r="IG19" s="56"/>
      <c r="IH19" s="242">
        <f t="shared" si="78"/>
        <v>0</v>
      </c>
      <c r="II19" s="242">
        <f t="shared" si="79"/>
        <v>5100</v>
      </c>
      <c r="IJ19" s="56"/>
      <c r="IM19" s="55">
        <f t="shared" si="80"/>
        <v>46036</v>
      </c>
      <c r="IN19" s="56"/>
      <c r="IO19" s="242">
        <f>SUMPRODUCT(PRODUCE!$B18:$DY18,PRODUCE!$EB$34:$IY$34)</f>
        <v>0</v>
      </c>
      <c r="IP19" s="56"/>
      <c r="IQ19" s="242">
        <f t="shared" si="81"/>
        <v>0</v>
      </c>
      <c r="IR19" s="242">
        <f t="shared" si="82"/>
        <v>10240</v>
      </c>
      <c r="IS19" s="56"/>
      <c r="IV19" s="55">
        <f t="shared" si="83"/>
        <v>46036</v>
      </c>
      <c r="IW19" s="56"/>
      <c r="IX19" s="242">
        <f>SUMPRODUCT(PRODUCE!$B18:$DY18,PRODUCE!$EB$35:$IY$35)</f>
        <v>0</v>
      </c>
      <c r="IY19" s="56"/>
      <c r="IZ19" s="242">
        <f t="shared" si="84"/>
        <v>0</v>
      </c>
      <c r="JA19" s="242">
        <f t="shared" si="85"/>
        <v>3120</v>
      </c>
      <c r="JB19" s="56"/>
      <c r="JE19" s="55">
        <f t="shared" si="86"/>
        <v>46036</v>
      </c>
      <c r="JF19" s="56"/>
      <c r="JG19" s="242">
        <f>SUMPRODUCT(PRODUCE!$B18:$DY18,PRODUCE!$EB$36:$IY$36)</f>
        <v>0</v>
      </c>
      <c r="JH19" s="56"/>
      <c r="JI19" s="242">
        <f t="shared" si="87"/>
        <v>0</v>
      </c>
      <c r="JJ19" s="242">
        <f t="shared" si="88"/>
        <v>6800</v>
      </c>
      <c r="JK19" s="56"/>
      <c r="JN19" s="55">
        <f t="shared" si="89"/>
        <v>46036</v>
      </c>
      <c r="JO19" s="56"/>
      <c r="JP19" s="242">
        <f>SUMPRODUCT(PRODUCE!$B18:$DY18,PRODUCE!$EB$37:$IY$37)</f>
        <v>0</v>
      </c>
      <c r="JQ19" s="56"/>
      <c r="JR19" s="242">
        <f t="shared" si="90"/>
        <v>0</v>
      </c>
      <c r="JS19" s="242">
        <f t="shared" si="91"/>
        <v>5400</v>
      </c>
      <c r="JT19" s="56"/>
      <c r="JW19" s="55">
        <f t="shared" si="92"/>
        <v>46036</v>
      </c>
      <c r="JX19" s="56"/>
      <c r="JY19" s="242">
        <f>SUMPRODUCT(PRODUCE!$B18:$DY18,PRODUCE!$EB$38:$IY$38)</f>
        <v>0</v>
      </c>
      <c r="JZ19" s="56"/>
      <c r="KA19" s="242">
        <f t="shared" si="93"/>
        <v>0</v>
      </c>
      <c r="KB19" s="242">
        <f t="shared" si="94"/>
        <v>0</v>
      </c>
      <c r="KC19" s="56"/>
      <c r="KF19" s="55">
        <f t="shared" si="95"/>
        <v>46036</v>
      </c>
      <c r="KG19" s="56"/>
      <c r="KH19" s="242">
        <f>SUMPRODUCT(PRODUCE!$B18:$DY18,PRODUCE!$EB$39:$IY$39)</f>
        <v>0</v>
      </c>
      <c r="KI19" s="56"/>
      <c r="KJ19" s="242">
        <f t="shared" si="96"/>
        <v>0</v>
      </c>
      <c r="KK19" s="242">
        <f t="shared" si="97"/>
        <v>0</v>
      </c>
      <c r="KL19" s="56"/>
      <c r="KO19" s="55">
        <f t="shared" si="98"/>
        <v>46036</v>
      </c>
      <c r="KP19" s="56"/>
      <c r="KQ19" s="242">
        <f>SUMPRODUCT(PRODUCE!$B18:$DY18,PRODUCE!$EB$40:$IY$40)</f>
        <v>0</v>
      </c>
      <c r="KR19" s="56"/>
      <c r="KS19" s="242">
        <f t="shared" si="99"/>
        <v>0</v>
      </c>
      <c r="KT19" s="242">
        <f t="shared" si="100"/>
        <v>0</v>
      </c>
      <c r="KU19" s="56"/>
      <c r="KW19" s="23"/>
      <c r="KX19" s="55">
        <f t="shared" si="101"/>
        <v>46036</v>
      </c>
      <c r="KY19" s="56"/>
      <c r="KZ19" s="242">
        <f>SUMPRODUCT(PRODUCE!$B18:$DY18,PRODUCE!$EB$41:$IY$41)</f>
        <v>0</v>
      </c>
      <c r="LA19" s="56"/>
      <c r="LB19" s="242">
        <f t="shared" si="102"/>
        <v>0</v>
      </c>
      <c r="LC19" s="242">
        <f t="shared" si="103"/>
        <v>0</v>
      </c>
      <c r="LD19" s="56"/>
      <c r="LG19" s="55">
        <f t="shared" si="104"/>
        <v>46036</v>
      </c>
      <c r="LH19" s="56"/>
      <c r="LI19" s="242">
        <f>SUMPRODUCT(PRODUCE!$B18:$DY18,PRODUCE!$EB$42:$IY$42)</f>
        <v>0</v>
      </c>
      <c r="LJ19" s="56"/>
      <c r="LK19" s="242">
        <f t="shared" si="105"/>
        <v>0</v>
      </c>
      <c r="LL19" s="242">
        <f t="shared" si="106"/>
        <v>0</v>
      </c>
      <c r="LM19" s="56"/>
      <c r="LP19" s="55">
        <f t="shared" si="107"/>
        <v>46036</v>
      </c>
      <c r="LQ19" s="56"/>
      <c r="LR19" s="242">
        <f>SUMPRODUCT(PRODUCE!$B18:$DY18,PRODUCE!$EB$43:$IY$43)</f>
        <v>0</v>
      </c>
      <c r="LS19" s="56"/>
      <c r="LT19" s="242">
        <f t="shared" si="108"/>
        <v>0</v>
      </c>
      <c r="LU19" s="242">
        <f t="shared" si="109"/>
        <v>0</v>
      </c>
      <c r="LV19" s="56"/>
      <c r="LY19" s="55">
        <f t="shared" si="110"/>
        <v>46036</v>
      </c>
      <c r="LZ19" s="56"/>
      <c r="MA19" s="242">
        <f>SUMPRODUCT(PRODUCE!$B18:$DY18,PRODUCE!$EB$44:$IY$44)</f>
        <v>0</v>
      </c>
      <c r="MB19" s="56"/>
      <c r="MC19" s="242">
        <f t="shared" si="111"/>
        <v>0</v>
      </c>
      <c r="MD19" s="242">
        <f t="shared" si="112"/>
        <v>0</v>
      </c>
      <c r="ME19" s="56"/>
      <c r="MH19" s="55">
        <f t="shared" si="113"/>
        <v>46036</v>
      </c>
      <c r="MI19" s="56"/>
      <c r="MJ19" s="242">
        <f>SUMPRODUCT(PRODUCE!$B18:$DY18,PRODUCE!$EB$45:$IY$45)</f>
        <v>0</v>
      </c>
      <c r="MK19" s="56"/>
      <c r="ML19" s="242">
        <f t="shared" si="114"/>
        <v>0</v>
      </c>
      <c r="MM19" s="242">
        <f t="shared" si="115"/>
        <v>0</v>
      </c>
      <c r="MN19" s="56"/>
      <c r="MQ19" s="55">
        <f t="shared" si="116"/>
        <v>46036</v>
      </c>
      <c r="MR19" s="56"/>
      <c r="MS19" s="242">
        <f>SUMPRODUCT(PRODUCE!$B18:$DY18,PRODUCE!$EB$46:$IY$46)</f>
        <v>0</v>
      </c>
      <c r="MT19" s="56"/>
      <c r="MU19" s="242">
        <f t="shared" si="117"/>
        <v>0</v>
      </c>
      <c r="MV19" s="242">
        <f t="shared" si="118"/>
        <v>1281</v>
      </c>
      <c r="MW19" s="56"/>
      <c r="MZ19" s="55">
        <f t="shared" si="119"/>
        <v>46036</v>
      </c>
      <c r="NA19" s="56"/>
      <c r="NB19" s="242">
        <f>SUMPRODUCT(PRODUCE!$B18:$DY18,PRODUCE!$EB$47:$IY$47)</f>
        <v>0</v>
      </c>
      <c r="NC19" s="56"/>
      <c r="ND19" s="242">
        <f t="shared" si="120"/>
        <v>0</v>
      </c>
      <c r="NE19" s="242">
        <f t="shared" si="121"/>
        <v>0</v>
      </c>
      <c r="NF19" s="56"/>
      <c r="NI19" s="55">
        <f t="shared" si="122"/>
        <v>46036</v>
      </c>
      <c r="NJ19" s="56"/>
      <c r="NK19" s="242">
        <f>SUMPRODUCT(PRODUCE!$B18:$DY18,PRODUCE!$EB$48:$IY$48)</f>
        <v>0</v>
      </c>
      <c r="NL19" s="56"/>
      <c r="NM19" s="242">
        <f t="shared" si="123"/>
        <v>0</v>
      </c>
      <c r="NN19" s="242">
        <f t="shared" si="124"/>
        <v>0</v>
      </c>
      <c r="NO19" s="56"/>
      <c r="NR19" s="55">
        <f t="shared" si="125"/>
        <v>46036</v>
      </c>
      <c r="NS19" s="56"/>
      <c r="NT19" s="242">
        <f>SUMPRODUCT(PRODUCE!$B18:$DY18,PRODUCE!$EB$49:$IY$49)</f>
        <v>0</v>
      </c>
      <c r="NU19" s="56"/>
      <c r="NV19" s="242">
        <f t="shared" si="126"/>
        <v>0</v>
      </c>
      <c r="NW19" s="242">
        <f t="shared" si="127"/>
        <v>0</v>
      </c>
      <c r="NX19" s="56"/>
      <c r="OA19" s="55">
        <f t="shared" si="128"/>
        <v>46036</v>
      </c>
      <c r="OB19" s="56"/>
      <c r="OC19" s="242">
        <f>SUMPRODUCT(PRODUCE!$B18:$DY18,PRODUCE!$EB$50:$IY$50)</f>
        <v>0</v>
      </c>
      <c r="OD19" s="56"/>
      <c r="OE19" s="242">
        <f t="shared" si="129"/>
        <v>0</v>
      </c>
      <c r="OF19" s="242">
        <f t="shared" si="130"/>
        <v>1680.5</v>
      </c>
      <c r="OG19" s="56"/>
      <c r="OJ19" s="55">
        <f t="shared" si="131"/>
        <v>46036</v>
      </c>
      <c r="OK19" s="56"/>
      <c r="OL19" s="242">
        <f>SUMPRODUCT(PRODUCE!$B18:$DY18,PRODUCE!$EB$51:$IY$51)</f>
        <v>0</v>
      </c>
      <c r="OM19" s="56"/>
      <c r="ON19" s="242">
        <f t="shared" si="132"/>
        <v>0</v>
      </c>
      <c r="OO19" s="242">
        <f t="shared" si="133"/>
        <v>0</v>
      </c>
      <c r="OP19" s="56"/>
      <c r="OS19" s="55">
        <f t="shared" si="134"/>
        <v>46036</v>
      </c>
      <c r="OT19" s="56"/>
      <c r="OU19" s="242">
        <f>SUMPRODUCT(PRODUCE!$B18:$DY18,PRODUCE!$EB$52:$IY$52)</f>
        <v>0</v>
      </c>
      <c r="OV19" s="56"/>
      <c r="OW19" s="242">
        <f t="shared" si="135"/>
        <v>0</v>
      </c>
      <c r="OX19" s="242">
        <f t="shared" si="136"/>
        <v>67</v>
      </c>
      <c r="OY19" s="56"/>
      <c r="PB19" s="55">
        <f t="shared" si="137"/>
        <v>46036</v>
      </c>
      <c r="PC19" s="56"/>
      <c r="PD19" s="242">
        <f>SUMPRODUCT(PRODUCE!$B18:$DY18,PRODUCE!$EB$53:$IY$53)</f>
        <v>0</v>
      </c>
      <c r="PE19" s="56"/>
      <c r="PF19" s="242">
        <f t="shared" si="138"/>
        <v>0</v>
      </c>
      <c r="PG19" s="242">
        <f t="shared" si="139"/>
        <v>0</v>
      </c>
      <c r="PH19" s="56"/>
      <c r="PK19" s="55">
        <f t="shared" si="140"/>
        <v>46036</v>
      </c>
      <c r="PL19" s="56"/>
      <c r="PM19" s="242">
        <f>SUMPRODUCT(PRODUCE!$B18:$DY18,PRODUCE!$EB$54:$IY$54)</f>
        <v>0</v>
      </c>
      <c r="PN19" s="56"/>
      <c r="PO19" s="242">
        <f t="shared" si="141"/>
        <v>0</v>
      </c>
      <c r="PP19" s="242">
        <f t="shared" si="142"/>
        <v>160</v>
      </c>
      <c r="PQ19" s="56"/>
      <c r="PT19" s="55">
        <f t="shared" si="143"/>
        <v>46036</v>
      </c>
      <c r="PU19" s="56"/>
      <c r="PV19" s="242">
        <f>SUMPRODUCT(PRODUCE!$B18:$DY18,PRODUCE!$EB$55:$IY$55)</f>
        <v>0</v>
      </c>
      <c r="PW19" s="56"/>
      <c r="PX19" s="242">
        <f t="shared" si="144"/>
        <v>0</v>
      </c>
      <c r="PY19" s="242">
        <f t="shared" si="145"/>
        <v>13.960000000000036</v>
      </c>
      <c r="PZ19" s="56"/>
      <c r="QC19" s="55">
        <f t="shared" si="146"/>
        <v>46036</v>
      </c>
      <c r="QD19" s="56"/>
      <c r="QE19" s="242">
        <f>SUMPRODUCT(PRODUCE!$B18:$DY18,PRODUCE!$EB$56:$IY$56)</f>
        <v>0</v>
      </c>
      <c r="QF19" s="56"/>
      <c r="QG19" s="242">
        <f t="shared" si="147"/>
        <v>0</v>
      </c>
      <c r="QH19" s="242">
        <f t="shared" si="148"/>
        <v>0</v>
      </c>
      <c r="QI19" s="56"/>
      <c r="QL19" s="55">
        <f t="shared" si="149"/>
        <v>46036</v>
      </c>
      <c r="QM19" s="56"/>
      <c r="QN19" s="242">
        <f>SUMPRODUCT(PRODUCE!$B18:$DY18,PRODUCE!$EB$57:$IY$57)</f>
        <v>0</v>
      </c>
      <c r="QO19" s="56"/>
      <c r="QP19" s="242">
        <f t="shared" si="150"/>
        <v>0</v>
      </c>
      <c r="QQ19" s="242">
        <f t="shared" si="151"/>
        <v>0</v>
      </c>
      <c r="QR19" s="56"/>
      <c r="QU19" s="55">
        <f t="shared" si="152"/>
        <v>46036</v>
      </c>
      <c r="QV19" s="56"/>
      <c r="QW19" s="242">
        <f>SUMPRODUCT(PRODUCE!$B18:$DY18,PRODUCE!$EB$57:$IY$57)</f>
        <v>0</v>
      </c>
      <c r="QX19" s="56"/>
      <c r="QY19" s="242">
        <f t="shared" si="153"/>
        <v>0</v>
      </c>
      <c r="QZ19" s="242">
        <f t="shared" si="154"/>
        <v>207.6</v>
      </c>
      <c r="RA19" s="56"/>
      <c r="RD19" s="55">
        <f t="shared" si="155"/>
        <v>46036</v>
      </c>
      <c r="RE19" s="56"/>
      <c r="RF19" s="242">
        <f>SUMPRODUCT(PRODUCE!$B18:$DY18,PRODUCE!$EB$58:$IY$58)</f>
        <v>0</v>
      </c>
      <c r="RG19" s="56"/>
      <c r="RH19" s="242">
        <f t="shared" si="156"/>
        <v>0</v>
      </c>
      <c r="RI19" s="242">
        <f t="shared" si="157"/>
        <v>201.8</v>
      </c>
      <c r="RJ19" s="56"/>
      <c r="RM19" s="55">
        <f t="shared" si="158"/>
        <v>46036</v>
      </c>
      <c r="RN19" s="56"/>
      <c r="RO19" s="242">
        <f>SUMPRODUCT(PRODUCE!$B18:$DY18,PRODUCE!$EB$59:$IY$59)</f>
        <v>0</v>
      </c>
      <c r="RP19" s="56"/>
      <c r="RQ19" s="242">
        <f t="shared" si="159"/>
        <v>0</v>
      </c>
      <c r="RR19" s="242">
        <f t="shared" si="160"/>
        <v>22.720000000000002</v>
      </c>
      <c r="RS19" s="56"/>
      <c r="RV19" s="55">
        <f t="shared" si="161"/>
        <v>46036</v>
      </c>
      <c r="RW19" s="56"/>
      <c r="RX19" s="242">
        <f>SUMPRODUCT(PRODUCE!$B18:$DY18,PRODUCE!$EB$57:$IY$57)</f>
        <v>0</v>
      </c>
      <c r="RY19" s="56"/>
      <c r="RZ19" s="242">
        <f t="shared" si="162"/>
        <v>0</v>
      </c>
      <c r="SA19" s="242">
        <f t="shared" si="163"/>
        <v>0</v>
      </c>
      <c r="SB19" s="56"/>
      <c r="SE19" s="55">
        <f t="shared" si="164"/>
        <v>46036</v>
      </c>
      <c r="SF19" s="56"/>
      <c r="SG19" s="242">
        <f>SUMPRODUCT(PRODUCE!$B18:$DY18,PRODUCE!$EB$61:$IY$61)</f>
        <v>0</v>
      </c>
      <c r="SH19" s="56"/>
      <c r="SI19" s="242">
        <f t="shared" si="165"/>
        <v>0</v>
      </c>
      <c r="SJ19" s="242">
        <f t="shared" si="166"/>
        <v>0</v>
      </c>
      <c r="SK19" s="56"/>
      <c r="SN19" s="55">
        <f t="shared" si="167"/>
        <v>46036</v>
      </c>
      <c r="SO19" s="56"/>
      <c r="SP19" s="242">
        <f>SUMPRODUCT(PRODUCE!$B18:$DY18,PRODUCE!$EB$57:$IY$57)</f>
        <v>0</v>
      </c>
      <c r="SQ19" s="56"/>
      <c r="SR19" s="242">
        <f t="shared" si="168"/>
        <v>0</v>
      </c>
      <c r="SS19" s="242">
        <f t="shared" si="169"/>
        <v>0</v>
      </c>
      <c r="ST19" s="56"/>
      <c r="SW19" s="55">
        <f t="shared" si="170"/>
        <v>46036</v>
      </c>
      <c r="SX19" s="56"/>
      <c r="SY19" s="242">
        <f>SUMPRODUCT(PRODUCE!$B18:$DY18,PRODUCE!$EB$57:$IY$57)</f>
        <v>0</v>
      </c>
      <c r="SZ19" s="56"/>
      <c r="TA19" s="242">
        <f t="shared" si="171"/>
        <v>0</v>
      </c>
      <c r="TB19" s="242">
        <f t="shared" si="172"/>
        <v>0</v>
      </c>
      <c r="TC19" s="56"/>
      <c r="TF19" s="55">
        <f t="shared" si="173"/>
        <v>46036</v>
      </c>
      <c r="TG19" s="56"/>
      <c r="TH19" s="242">
        <f>SUMPRODUCT(PRODUCE!$B18:$DY18,PRODUCE!$EB$57:$IY$57)</f>
        <v>0</v>
      </c>
      <c r="TI19" s="56"/>
      <c r="TJ19" s="242">
        <f t="shared" si="174"/>
        <v>0</v>
      </c>
      <c r="TK19" s="242">
        <f t="shared" si="175"/>
        <v>0</v>
      </c>
      <c r="TL19" s="56"/>
      <c r="TO19" s="55">
        <f t="shared" si="176"/>
        <v>46036</v>
      </c>
      <c r="TP19" s="56"/>
      <c r="TQ19" s="242">
        <f>SUMPRODUCT(PRODUCE!$B18:$DY18,PRODUCE!$EB$57:$IY$57)</f>
        <v>0</v>
      </c>
      <c r="TR19" s="56"/>
      <c r="TS19" s="242">
        <f t="shared" si="177"/>
        <v>0</v>
      </c>
      <c r="TT19" s="242">
        <f t="shared" si="178"/>
        <v>0</v>
      </c>
      <c r="TU19" s="56"/>
      <c r="TX19" s="55">
        <f t="shared" si="179"/>
        <v>46036</v>
      </c>
      <c r="TY19" s="56"/>
      <c r="TZ19" s="242">
        <f>SUMPRODUCT(PRODUCE!$B18:$DY18,PRODUCE!$EB$57:$IY$57)</f>
        <v>0</v>
      </c>
      <c r="UA19" s="56"/>
      <c r="UB19" s="242">
        <f t="shared" si="180"/>
        <v>0</v>
      </c>
      <c r="UC19" s="242">
        <f t="shared" si="181"/>
        <v>0</v>
      </c>
      <c r="UD19" s="56"/>
      <c r="UG19" s="55">
        <f t="shared" si="182"/>
        <v>46036</v>
      </c>
      <c r="UH19" s="56"/>
      <c r="UI19" s="242">
        <f>SUMPRODUCT(PRODUCE!$B18:$DY18,PRODUCE!$EB$57:$IY$57)</f>
        <v>0</v>
      </c>
      <c r="UJ19" s="56"/>
      <c r="UK19" s="242">
        <f t="shared" si="183"/>
        <v>0</v>
      </c>
      <c r="UL19" s="242">
        <f t="shared" si="184"/>
        <v>0</v>
      </c>
      <c r="UM19" s="56"/>
      <c r="UP19" s="55">
        <f t="shared" si="185"/>
        <v>46036</v>
      </c>
      <c r="UQ19" s="56"/>
      <c r="UR19" s="242">
        <f>SUMPRODUCT(PRODUCE!$B18:$DY18,PRODUCE!$EB$57:$IY$57)</f>
        <v>0</v>
      </c>
      <c r="US19" s="56"/>
      <c r="UT19" s="242">
        <f t="shared" si="186"/>
        <v>0</v>
      </c>
      <c r="UU19" s="242">
        <f t="shared" si="187"/>
        <v>0</v>
      </c>
      <c r="UV19" s="56"/>
      <c r="UY19" s="55">
        <f t="shared" si="188"/>
        <v>46036</v>
      </c>
      <c r="UZ19" s="56"/>
      <c r="VA19" s="242">
        <f>SUMPRODUCT(PRODUCE!$B18:$DY18,PRODUCE!$EB$57:$IY$57)</f>
        <v>0</v>
      </c>
      <c r="VB19" s="56"/>
      <c r="VC19" s="242">
        <f t="shared" si="189"/>
        <v>0</v>
      </c>
      <c r="VD19" s="242">
        <f t="shared" si="190"/>
        <v>-319.59999999999997</v>
      </c>
      <c r="VE19" s="56"/>
      <c r="VH19" s="55">
        <f t="shared" si="191"/>
        <v>46036</v>
      </c>
      <c r="VI19" s="56"/>
      <c r="VJ19" s="242">
        <f>SUMPRODUCT(PRODUCE!$B18:$DY18,PRODUCE!$EB$57:$IY$57)</f>
        <v>0</v>
      </c>
      <c r="VK19" s="56"/>
      <c r="VL19" s="242">
        <f t="shared" si="192"/>
        <v>0</v>
      </c>
      <c r="VM19" s="242">
        <f t="shared" si="193"/>
        <v>0</v>
      </c>
      <c r="VN19" s="56"/>
      <c r="VQ19" s="55">
        <f t="shared" si="194"/>
        <v>46036</v>
      </c>
      <c r="VR19" s="56"/>
      <c r="VS19" s="242">
        <f>SUMPRODUCT(PRODUCE!$B18:$DY18,PRODUCE!$EB$57:$IY$57)</f>
        <v>0</v>
      </c>
      <c r="VT19" s="56"/>
      <c r="VU19" s="242">
        <f t="shared" si="195"/>
        <v>0</v>
      </c>
      <c r="VV19" s="242">
        <f t="shared" si="196"/>
        <v>0</v>
      </c>
      <c r="VW19" s="56"/>
      <c r="VZ19" s="55">
        <f t="shared" si="197"/>
        <v>46036</v>
      </c>
      <c r="WA19" s="56"/>
      <c r="WB19" s="242">
        <f>SUMPRODUCT(PRODUCE!$B18:$DY18,PRODUCE!$EB$57:$IY$57)</f>
        <v>0</v>
      </c>
      <c r="WC19" s="56"/>
      <c r="WD19" s="242">
        <f t="shared" si="198"/>
        <v>0</v>
      </c>
      <c r="WE19" s="242">
        <f t="shared" si="199"/>
        <v>0</v>
      </c>
      <c r="WF19" s="56"/>
      <c r="WI19" s="55">
        <f t="shared" si="200"/>
        <v>46036</v>
      </c>
      <c r="WJ19" s="56"/>
      <c r="WK19" s="242">
        <f>SUMPRODUCT(PRODUCE!$B18:$DY18,PRODUCE!$EB$57:$IY$57)</f>
        <v>0</v>
      </c>
      <c r="WL19" s="56"/>
      <c r="WM19" s="242">
        <f t="shared" si="201"/>
        <v>0</v>
      </c>
      <c r="WN19" s="242">
        <f t="shared" si="202"/>
        <v>5877</v>
      </c>
      <c r="WO19" s="56"/>
      <c r="WR19" s="55">
        <f t="shared" si="203"/>
        <v>46036</v>
      </c>
      <c r="WS19" s="56"/>
      <c r="WT19" s="242">
        <f>SUMPRODUCT(PRODUCE!$B18:$DY18,PRODUCE!$EB$57:$IY$57)</f>
        <v>0</v>
      </c>
      <c r="WU19" s="56"/>
      <c r="WV19" s="242">
        <f t="shared" si="204"/>
        <v>0</v>
      </c>
      <c r="WW19" s="242">
        <f t="shared" si="205"/>
        <v>5267</v>
      </c>
      <c r="WX19" s="56"/>
      <c r="XA19" s="55">
        <f t="shared" si="206"/>
        <v>46036</v>
      </c>
      <c r="XB19" s="56"/>
      <c r="XC19" s="242">
        <f>SUMPRODUCT(PRODUCE!$B18:$DY18,PRODUCE!$EB$57:$IY$57)</f>
        <v>0</v>
      </c>
      <c r="XD19" s="56"/>
      <c r="XE19" s="242">
        <f t="shared" si="207"/>
        <v>0</v>
      </c>
      <c r="XF19" s="242">
        <f t="shared" si="208"/>
        <v>719</v>
      </c>
      <c r="XG19" s="56"/>
      <c r="XJ19" s="55">
        <f t="shared" si="209"/>
        <v>46036</v>
      </c>
      <c r="XK19" s="56"/>
      <c r="XL19" s="242">
        <f>SUMPRODUCT(PRODUCE!$B18:$DY18,PRODUCE!$EB$57:$IY$57)</f>
        <v>0</v>
      </c>
      <c r="XM19" s="56"/>
      <c r="XN19" s="242">
        <f t="shared" si="210"/>
        <v>0</v>
      </c>
      <c r="XO19" s="242">
        <f t="shared" si="211"/>
        <v>6350</v>
      </c>
      <c r="XP19" s="56"/>
      <c r="XS19" s="55">
        <f t="shared" si="212"/>
        <v>46036</v>
      </c>
      <c r="XT19" s="56"/>
      <c r="XU19" s="242">
        <f>SUMPRODUCT(PRODUCE!$B18:$DY18,PRODUCE!$EB$57:$IY$57)</f>
        <v>0</v>
      </c>
      <c r="XV19" s="56"/>
      <c r="XW19" s="242">
        <f t="shared" si="213"/>
        <v>0</v>
      </c>
      <c r="XX19" s="242">
        <f t="shared" si="214"/>
        <v>1901</v>
      </c>
      <c r="XY19" s="56"/>
      <c r="YB19" s="55">
        <f t="shared" si="215"/>
        <v>46036</v>
      </c>
      <c r="YC19" s="56"/>
      <c r="YD19" s="242">
        <f>SUMPRODUCT(PRODUCE!$B18:$DY18,PRODUCE!$EB$57:$IY$57)</f>
        <v>0</v>
      </c>
      <c r="YE19" s="56"/>
      <c r="YF19" s="242">
        <f t="shared" si="216"/>
        <v>0</v>
      </c>
      <c r="YG19" s="242">
        <f t="shared" si="217"/>
        <v>4175</v>
      </c>
      <c r="YH19" s="56"/>
      <c r="YK19" s="55">
        <f t="shared" si="218"/>
        <v>46036</v>
      </c>
      <c r="YL19" s="56"/>
      <c r="YM19" s="242">
        <f>SUMPRODUCT(PRODUCE!$B18:$DY18,PRODUCE!$EB$57:$IY$57)</f>
        <v>0</v>
      </c>
      <c r="YN19" s="56"/>
      <c r="YO19" s="242">
        <f t="shared" si="219"/>
        <v>0</v>
      </c>
      <c r="YP19" s="242">
        <f t="shared" si="220"/>
        <v>0</v>
      </c>
      <c r="YQ19" s="56"/>
      <c r="YT19" s="55">
        <f t="shared" si="221"/>
        <v>46036</v>
      </c>
      <c r="YU19" s="56"/>
      <c r="YV19" s="242">
        <f>SUMPRODUCT(PRODUCE!$B18:$DY18,PRODUCE!$EB$57:$IY$57)</f>
        <v>0</v>
      </c>
      <c r="YW19" s="56"/>
      <c r="YX19" s="242">
        <f t="shared" si="222"/>
        <v>0</v>
      </c>
      <c r="YY19" s="242">
        <f t="shared" si="223"/>
        <v>0</v>
      </c>
      <c r="YZ19" s="56"/>
      <c r="ZC19" s="55">
        <f t="shared" si="224"/>
        <v>46036</v>
      </c>
      <c r="ZD19" s="56"/>
      <c r="ZE19" s="242">
        <f>SUMPRODUCT(PRODUCE!$B18:$DY18,PRODUCE!$EB$57:$IY$57)</f>
        <v>0</v>
      </c>
      <c r="ZF19" s="56"/>
      <c r="ZG19" s="242">
        <f t="shared" si="225"/>
        <v>0</v>
      </c>
      <c r="ZH19" s="242">
        <f t="shared" si="226"/>
        <v>0</v>
      </c>
      <c r="ZI19" s="56"/>
      <c r="ZL19" s="55">
        <f t="shared" si="227"/>
        <v>46036</v>
      </c>
      <c r="ZM19" s="56"/>
      <c r="ZN19" s="242">
        <f>SUMPRODUCT(PRODUCE!$B18:$DY18,PRODUCE!$EB$57:$IY$57)</f>
        <v>0</v>
      </c>
      <c r="ZO19" s="56"/>
      <c r="ZP19" s="242">
        <f t="shared" si="228"/>
        <v>0</v>
      </c>
      <c r="ZQ19" s="242">
        <f t="shared" si="229"/>
        <v>0</v>
      </c>
      <c r="ZR19" s="56"/>
      <c r="ZU19" s="55">
        <f t="shared" si="230"/>
        <v>46036</v>
      </c>
      <c r="ZV19" s="56"/>
      <c r="ZW19" s="242">
        <f>SUMPRODUCT(PRODUCE!$B18:$DY18,PRODUCE!$EB$57:$IY$57)</f>
        <v>0</v>
      </c>
      <c r="ZX19" s="56"/>
      <c r="ZY19" s="242">
        <f t="shared" si="231"/>
        <v>0</v>
      </c>
      <c r="ZZ19" s="242">
        <f t="shared" si="232"/>
        <v>0</v>
      </c>
      <c r="AAA19" s="56"/>
      <c r="AAD19" s="55">
        <f t="shared" si="233"/>
        <v>46036</v>
      </c>
      <c r="AAE19" s="56"/>
      <c r="AAF19" s="242">
        <f>SUMPRODUCT(PRODUCE!$B18:$DY18,PRODUCE!$EB$57:$IY$57)</f>
        <v>0</v>
      </c>
      <c r="AAG19" s="56"/>
      <c r="AAH19" s="242">
        <f t="shared" si="234"/>
        <v>0</v>
      </c>
      <c r="AAI19" s="242">
        <f t="shared" si="235"/>
        <v>0</v>
      </c>
      <c r="AAJ19" s="56"/>
      <c r="AAM19" s="55">
        <f t="shared" si="236"/>
        <v>46036</v>
      </c>
      <c r="AAN19" s="56"/>
      <c r="AAO19" s="242">
        <f>SUMPRODUCT(PRODUCE!$B18:$DY18,PRODUCE!$EB$57:$IY$57)</f>
        <v>0</v>
      </c>
      <c r="AAP19" s="56"/>
      <c r="AAQ19" s="242">
        <f t="shared" si="237"/>
        <v>0</v>
      </c>
      <c r="AAR19" s="242">
        <f t="shared" si="238"/>
        <v>0</v>
      </c>
      <c r="AAS19" s="56"/>
      <c r="AAV19" s="55">
        <f t="shared" si="239"/>
        <v>46036</v>
      </c>
      <c r="AAW19" s="56"/>
      <c r="AAX19" s="242">
        <f>SUMPRODUCT(PRODUCE!$B18:$DY18,PRODUCE!$EB$57:$IY$57)</f>
        <v>0</v>
      </c>
      <c r="AAY19" s="56"/>
      <c r="AAZ19" s="242">
        <f t="shared" si="240"/>
        <v>0</v>
      </c>
      <c r="ABA19" s="242">
        <f t="shared" si="241"/>
        <v>0</v>
      </c>
      <c r="ABB19" s="56"/>
      <c r="ABE19" s="55">
        <f t="shared" si="242"/>
        <v>46036</v>
      </c>
      <c r="ABF19" s="56"/>
      <c r="ABG19" s="242">
        <f>SUMPRODUCT(PRODUCE!$B18:$DY18,PRODUCE!$EB$57:$IY$57)</f>
        <v>0</v>
      </c>
      <c r="ABH19" s="56"/>
      <c r="ABI19" s="242">
        <f t="shared" si="243"/>
        <v>0</v>
      </c>
      <c r="ABJ19" s="242">
        <f t="shared" si="244"/>
        <v>0</v>
      </c>
      <c r="ABK19" s="56"/>
    </row>
    <row r="20" spans="2:739" s="54" customFormat="1" ht="15" customHeight="1" outlineLevel="1">
      <c r="B20" s="478">
        <f>10+18+16+30</f>
        <v>74</v>
      </c>
      <c r="C20" s="55">
        <v>46037</v>
      </c>
      <c r="D20" s="422"/>
      <c r="E20" s="423">
        <f>SUMPRODUCT(PRODUCE!$B19:$DY19,PRODUCE!$EB$7:$IY$7)</f>
        <v>42475</v>
      </c>
      <c r="F20" s="422">
        <v>42476.800000000003</v>
      </c>
      <c r="G20" s="423">
        <f t="shared" si="2"/>
        <v>-1.8000000000029104</v>
      </c>
      <c r="H20" s="423">
        <f t="shared" si="0"/>
        <v>38442.600000000006</v>
      </c>
      <c r="I20" s="289" t="s">
        <v>184</v>
      </c>
      <c r="L20" s="55">
        <f t="shared" si="1"/>
        <v>46037</v>
      </c>
      <c r="M20" s="422">
        <v>28230</v>
      </c>
      <c r="N20" s="438">
        <f>SUMPRODUCT(PRODUCE!$B19:$DY19,PRODUCE!$EB$8:$IY$8)</f>
        <v>16601</v>
      </c>
      <c r="O20" s="422">
        <v>16605.8</v>
      </c>
      <c r="P20" s="438">
        <f t="shared" si="3"/>
        <v>-4.7999999999992724</v>
      </c>
      <c r="Q20" s="438">
        <f t="shared" si="4"/>
        <v>4621.6000000000095</v>
      </c>
      <c r="R20" s="56"/>
      <c r="U20" s="55">
        <f t="shared" si="5"/>
        <v>46037</v>
      </c>
      <c r="V20" s="422"/>
      <c r="W20" s="440">
        <f>SUMPRODUCT(PRODUCE!$B19:$DY19,PRODUCE!$EB$9:$IY$9)</f>
        <v>4600</v>
      </c>
      <c r="X20" s="422">
        <v>4599.5</v>
      </c>
      <c r="Y20" s="440">
        <f t="shared" si="6"/>
        <v>0.5</v>
      </c>
      <c r="Z20" s="440">
        <f t="shared" si="7"/>
        <v>26555.199999999983</v>
      </c>
      <c r="AA20" s="56"/>
      <c r="AD20" s="55">
        <f t="shared" si="8"/>
        <v>46037</v>
      </c>
      <c r="AE20" s="422"/>
      <c r="AF20" s="442">
        <f>SUMPRODUCT(PRODUCE!$B19:$DY19,PRODUCE!$EB$10:$IY$10)</f>
        <v>4050</v>
      </c>
      <c r="AG20" s="422">
        <v>4052.1</v>
      </c>
      <c r="AH20" s="442">
        <f t="shared" si="9"/>
        <v>-2.0999999999999091</v>
      </c>
      <c r="AI20" s="442">
        <f t="shared" si="10"/>
        <v>25545.600000000006</v>
      </c>
      <c r="AJ20" s="56"/>
      <c r="AM20" s="55">
        <f t="shared" si="11"/>
        <v>46037</v>
      </c>
      <c r="AN20" s="422"/>
      <c r="AO20" s="444">
        <f>SUMPRODUCT(PRODUCE!$B19:$DY19,PRODUCE!$EB$11:$IY$11)</f>
        <v>0</v>
      </c>
      <c r="AP20" s="422"/>
      <c r="AQ20" s="444">
        <f t="shared" si="12"/>
        <v>0</v>
      </c>
      <c r="AR20" s="444">
        <f t="shared" si="13"/>
        <v>0</v>
      </c>
      <c r="AS20" s="56"/>
      <c r="AV20" s="55">
        <f t="shared" si="14"/>
        <v>46037</v>
      </c>
      <c r="AW20" s="422"/>
      <c r="AX20" s="446">
        <f>SUMPRODUCT(PRODUCE!$B19:$DY19,PRODUCE!$EB$12:$IY$12)</f>
        <v>1345</v>
      </c>
      <c r="AY20" s="422">
        <v>1347.2</v>
      </c>
      <c r="AZ20" s="446">
        <f t="shared" si="15"/>
        <v>-2.2000000000000455</v>
      </c>
      <c r="BA20" s="446">
        <f t="shared" si="16"/>
        <v>15155.899999999991</v>
      </c>
      <c r="BB20" s="56"/>
      <c r="BE20" s="55">
        <f t="shared" si="17"/>
        <v>46037</v>
      </c>
      <c r="BF20" s="422"/>
      <c r="BG20" s="448">
        <f>SUMPRODUCT(PRODUCE!$B19:$DY19,PRODUCE!$EB$13:$IY$13)</f>
        <v>1630</v>
      </c>
      <c r="BH20" s="422">
        <v>1629.8</v>
      </c>
      <c r="BI20" s="448">
        <f t="shared" si="18"/>
        <v>0.20000000000004547</v>
      </c>
      <c r="BJ20" s="448">
        <f t="shared" si="19"/>
        <v>12025.800000000005</v>
      </c>
      <c r="BK20" s="56"/>
      <c r="BN20" s="55">
        <f t="shared" si="20"/>
        <v>46037</v>
      </c>
      <c r="BO20" s="422">
        <v>1560</v>
      </c>
      <c r="BP20" s="450">
        <f>SUMPRODUCT(PRODUCE!$B19:$DY19,PRODUCE!$EB$14:$IY$14)</f>
        <v>1560</v>
      </c>
      <c r="BQ20" s="422">
        <v>1560</v>
      </c>
      <c r="BR20" s="450">
        <f t="shared" si="21"/>
        <v>0</v>
      </c>
      <c r="BS20" s="450">
        <f t="shared" si="22"/>
        <v>0</v>
      </c>
      <c r="BT20" s="56"/>
      <c r="BW20" s="55">
        <f t="shared" si="23"/>
        <v>46037</v>
      </c>
      <c r="BX20" s="56"/>
      <c r="BY20" s="65">
        <f>SUMPRODUCT(PRODUCE!$B19:$DY19,PRODUCE!$EB$15:$IY$15)</f>
        <v>15</v>
      </c>
      <c r="BZ20" s="56"/>
      <c r="CA20" s="65">
        <f t="shared" si="24"/>
        <v>15</v>
      </c>
      <c r="CB20" s="65">
        <f t="shared" si="25"/>
        <v>3461.5</v>
      </c>
      <c r="CC20" s="56"/>
      <c r="CF20" s="55">
        <f t="shared" si="26"/>
        <v>46037</v>
      </c>
      <c r="CG20" s="56"/>
      <c r="CH20" s="66">
        <f>SUMPRODUCT(PRODUCE!$B19:$DY19,PRODUCE!$EB$16:$IY$16)</f>
        <v>59</v>
      </c>
      <c r="CI20" s="56"/>
      <c r="CJ20" s="66">
        <f t="shared" si="27"/>
        <v>59</v>
      </c>
      <c r="CK20" s="66">
        <f t="shared" si="28"/>
        <v>0</v>
      </c>
      <c r="CL20" s="56"/>
      <c r="CO20" s="55">
        <f t="shared" si="29"/>
        <v>46037</v>
      </c>
      <c r="CP20" s="422"/>
      <c r="CQ20" s="470">
        <f>SUMPRODUCT(PRODUCE!$B19:$DY19,PRODUCE!$EB$17:$IY$17)</f>
        <v>0</v>
      </c>
      <c r="CR20" s="422"/>
      <c r="CS20" s="470">
        <f t="shared" si="30"/>
        <v>0</v>
      </c>
      <c r="CT20" s="470">
        <f t="shared" si="31"/>
        <v>0</v>
      </c>
      <c r="CU20" s="56"/>
      <c r="CX20" s="55">
        <f t="shared" si="32"/>
        <v>46037</v>
      </c>
      <c r="CY20" s="56"/>
      <c r="CZ20" s="133">
        <f>SUMPRODUCT(PRODUCE!$B19:$DY19,PRODUCE!$EB$18:$IY$18)</f>
        <v>0</v>
      </c>
      <c r="DA20" s="56"/>
      <c r="DB20" s="133">
        <f t="shared" si="33"/>
        <v>0</v>
      </c>
      <c r="DC20" s="133">
        <f t="shared" si="34"/>
        <v>0</v>
      </c>
      <c r="DD20" s="56"/>
      <c r="DG20" s="55">
        <f t="shared" si="35"/>
        <v>46037</v>
      </c>
      <c r="DH20" s="56"/>
      <c r="DI20" s="147">
        <f>SUMPRODUCT(PRODUCE!$B19:$DY19,PRODUCE!$EB$19:$IY$19)</f>
        <v>0</v>
      </c>
      <c r="DJ20" s="56"/>
      <c r="DK20" s="147">
        <f t="shared" si="36"/>
        <v>0</v>
      </c>
      <c r="DL20" s="147">
        <f t="shared" si="37"/>
        <v>25391.599999999999</v>
      </c>
      <c r="DM20" s="56"/>
      <c r="DP20" s="55">
        <f t="shared" si="38"/>
        <v>46037</v>
      </c>
      <c r="DQ20" s="56"/>
      <c r="DR20" s="57">
        <f>SUMPRODUCT(PRODUCE!$B19:$DY19,PRODUCE!$EB$20:$IY$20)</f>
        <v>0</v>
      </c>
      <c r="DS20" s="56"/>
      <c r="DT20" s="57">
        <f t="shared" si="39"/>
        <v>0</v>
      </c>
      <c r="DU20" s="57">
        <f t="shared" si="40"/>
        <v>0</v>
      </c>
      <c r="DV20" s="56"/>
      <c r="DY20" s="55">
        <f t="shared" si="41"/>
        <v>46037</v>
      </c>
      <c r="DZ20" s="56"/>
      <c r="EA20" s="157">
        <f>SUMPRODUCT(PRODUCE!$B19:$DY19,PRODUCE!$EB$21:$IY$21)</f>
        <v>0</v>
      </c>
      <c r="EB20" s="56"/>
      <c r="EC20" s="157">
        <f t="shared" si="42"/>
        <v>0</v>
      </c>
      <c r="ED20" s="157">
        <f t="shared" si="43"/>
        <v>0</v>
      </c>
      <c r="EE20" s="56"/>
      <c r="EH20" s="55">
        <f t="shared" si="44"/>
        <v>46037</v>
      </c>
      <c r="EI20" s="56"/>
      <c r="EJ20" s="162">
        <f>SUMPRODUCT(PRODUCE!$B19:$DY19,PRODUCE!$EB$22:$IY$22)</f>
        <v>0</v>
      </c>
      <c r="EK20" s="56"/>
      <c r="EL20" s="162">
        <f t="shared" si="45"/>
        <v>0</v>
      </c>
      <c r="EM20" s="162">
        <f t="shared" si="46"/>
        <v>0</v>
      </c>
      <c r="EN20" s="56"/>
      <c r="EQ20" s="55">
        <f t="shared" si="47"/>
        <v>46037</v>
      </c>
      <c r="ER20" s="56"/>
      <c r="ES20" s="135">
        <f>SUMPRODUCT(PRODUCE!$B19:$DY19,PRODUCE!$EB$23:$IY$23)</f>
        <v>0</v>
      </c>
      <c r="ET20" s="56"/>
      <c r="EU20" s="135">
        <f t="shared" si="48"/>
        <v>0</v>
      </c>
      <c r="EV20" s="135">
        <f t="shared" si="49"/>
        <v>0</v>
      </c>
      <c r="EW20" s="56"/>
      <c r="EZ20" s="55">
        <f t="shared" si="50"/>
        <v>46037</v>
      </c>
      <c r="FA20" s="56"/>
      <c r="FB20" s="175">
        <f>SUMPRODUCT(PRODUCE!$B19:$DY19,PRODUCE!$EB$24:$IY$24)</f>
        <v>0</v>
      </c>
      <c r="FC20" s="56"/>
      <c r="FD20" s="175">
        <f t="shared" si="51"/>
        <v>0</v>
      </c>
      <c r="FE20" s="175">
        <f t="shared" si="52"/>
        <v>0</v>
      </c>
      <c r="FF20" s="56"/>
      <c r="FI20" s="55">
        <f t="shared" si="53"/>
        <v>46037</v>
      </c>
      <c r="FJ20" s="56"/>
      <c r="FK20" s="183">
        <f>SUMPRODUCT(PRODUCE!$B19:$DY19,PRODUCE!$EB$25:$IY$25)</f>
        <v>0</v>
      </c>
      <c r="FL20" s="56"/>
      <c r="FM20" s="183">
        <f t="shared" si="54"/>
        <v>0</v>
      </c>
      <c r="FN20" s="183">
        <f t="shared" si="55"/>
        <v>0</v>
      </c>
      <c r="FO20" s="56"/>
      <c r="FR20" s="55">
        <f t="shared" si="56"/>
        <v>46037</v>
      </c>
      <c r="FS20" s="422"/>
      <c r="FT20" s="452">
        <f>SUMPRODUCT(PRODUCE!$B19:$DY19,PRODUCE!$EB$26:$IY$26)</f>
        <v>0</v>
      </c>
      <c r="FU20" s="422"/>
      <c r="FV20" s="452">
        <f t="shared" si="57"/>
        <v>0</v>
      </c>
      <c r="FW20" s="452">
        <f t="shared" si="58"/>
        <v>3540</v>
      </c>
      <c r="FX20" s="56"/>
      <c r="GA20" s="55">
        <f t="shared" si="59"/>
        <v>46037</v>
      </c>
      <c r="GB20" s="422"/>
      <c r="GC20" s="454">
        <f>SUMPRODUCT(PRODUCE!$B19:$DY19,PRODUCE!$EB$27:$IY$27)</f>
        <v>0</v>
      </c>
      <c r="GD20" s="422"/>
      <c r="GE20" s="454">
        <f t="shared" si="60"/>
        <v>0</v>
      </c>
      <c r="GF20" s="454">
        <f t="shared" si="61"/>
        <v>1960</v>
      </c>
      <c r="GG20" s="56"/>
      <c r="GI20" s="23"/>
      <c r="GJ20" s="55">
        <f t="shared" si="62"/>
        <v>46037</v>
      </c>
      <c r="GK20" s="422">
        <f>50*20</f>
        <v>1000</v>
      </c>
      <c r="GL20" s="456">
        <f>SUMPRODUCT(PRODUCE!$B19:$DY19,PRODUCE!$EB$28:$IY$28)</f>
        <v>600</v>
      </c>
      <c r="GM20" s="422"/>
      <c r="GN20" s="456">
        <f t="shared" si="63"/>
        <v>600</v>
      </c>
      <c r="GO20" s="456">
        <f t="shared" si="64"/>
        <v>7360</v>
      </c>
      <c r="GP20" s="56"/>
      <c r="GS20" s="55">
        <f t="shared" si="65"/>
        <v>46037</v>
      </c>
      <c r="GT20" s="56"/>
      <c r="GU20" s="195">
        <f>SUMPRODUCT(PRODUCE!$B19:$DY19,PRODUCE!$EB$29:$IY$29)</f>
        <v>0</v>
      </c>
      <c r="GV20" s="56"/>
      <c r="GW20" s="195">
        <f t="shared" si="66"/>
        <v>0</v>
      </c>
      <c r="GX20" s="195">
        <f t="shared" si="67"/>
        <v>0</v>
      </c>
      <c r="GY20" s="56"/>
      <c r="HB20" s="55">
        <f t="shared" si="68"/>
        <v>46037</v>
      </c>
      <c r="HC20" s="56"/>
      <c r="HD20" s="191">
        <f>SUMPRODUCT(PRODUCE!$B19:$DY19,PRODUCE!$EB$30:$IY$30)</f>
        <v>0</v>
      </c>
      <c r="HE20" s="56"/>
      <c r="HF20" s="191">
        <f t="shared" si="69"/>
        <v>0</v>
      </c>
      <c r="HG20" s="191">
        <f t="shared" si="70"/>
        <v>0</v>
      </c>
      <c r="HH20" s="56"/>
      <c r="HK20" s="55">
        <f t="shared" si="71"/>
        <v>46037</v>
      </c>
      <c r="HL20" s="56"/>
      <c r="HM20" s="63">
        <f>SUMPRODUCT(PRODUCE!$B19:$DY19,PRODUCE!$EB$31:$IY$31)</f>
        <v>0</v>
      </c>
      <c r="HN20" s="56"/>
      <c r="HO20" s="63">
        <f t="shared" si="72"/>
        <v>0</v>
      </c>
      <c r="HP20" s="63">
        <f t="shared" si="73"/>
        <v>0</v>
      </c>
      <c r="HQ20" s="56"/>
      <c r="HU20" s="55">
        <f t="shared" si="74"/>
        <v>46037</v>
      </c>
      <c r="HV20" s="56"/>
      <c r="HW20" s="242">
        <f>SUMPRODUCT(PRODUCE!$B19:$DY19,PRODUCE!$EB$32:$IY$32)</f>
        <v>200</v>
      </c>
      <c r="HX20" s="56">
        <v>1000</v>
      </c>
      <c r="HY20" s="242">
        <f t="shared" si="75"/>
        <v>-800</v>
      </c>
      <c r="HZ20" s="242">
        <f t="shared" si="76"/>
        <v>2800</v>
      </c>
      <c r="IA20" s="463">
        <f>HX20/20</f>
        <v>50</v>
      </c>
      <c r="IB20" s="464" t="s">
        <v>173</v>
      </c>
      <c r="ID20" s="55">
        <f t="shared" si="77"/>
        <v>46037</v>
      </c>
      <c r="IE20" s="56"/>
      <c r="IF20" s="242">
        <f>SUMPRODUCT(PRODUCE!$B19:$DY19,PRODUCE!$EB$33:$IY$33)</f>
        <v>0</v>
      </c>
      <c r="IG20" s="56"/>
      <c r="IH20" s="242">
        <f t="shared" si="78"/>
        <v>0</v>
      </c>
      <c r="II20" s="242">
        <f t="shared" si="79"/>
        <v>5100</v>
      </c>
      <c r="IJ20" s="56"/>
      <c r="IM20" s="55">
        <f t="shared" si="80"/>
        <v>46037</v>
      </c>
      <c r="IN20" s="56">
        <f>300*20</f>
        <v>6000</v>
      </c>
      <c r="IO20" s="242">
        <f>SUMPRODUCT(PRODUCE!$B19:$DY19,PRODUCE!$EB$34:$IY$34)</f>
        <v>680</v>
      </c>
      <c r="IP20" s="56"/>
      <c r="IQ20" s="242">
        <f t="shared" si="81"/>
        <v>680</v>
      </c>
      <c r="IR20" s="242">
        <f t="shared" si="82"/>
        <v>16240</v>
      </c>
      <c r="IS20" s="56"/>
      <c r="IV20" s="55">
        <f t="shared" si="83"/>
        <v>46037</v>
      </c>
      <c r="IW20" s="56">
        <v>2000</v>
      </c>
      <c r="IX20" s="242">
        <f>SUMPRODUCT(PRODUCE!$B19:$DY19,PRODUCE!$EB$35:$IY$35)</f>
        <v>0</v>
      </c>
      <c r="IY20" s="56"/>
      <c r="IZ20" s="242">
        <f t="shared" si="84"/>
        <v>0</v>
      </c>
      <c r="JA20" s="242">
        <f t="shared" si="85"/>
        <v>5120</v>
      </c>
      <c r="JB20" s="56"/>
      <c r="JE20" s="55">
        <f t="shared" si="86"/>
        <v>46037</v>
      </c>
      <c r="JF20" s="56"/>
      <c r="JG20" s="242">
        <f>SUMPRODUCT(PRODUCE!$B19:$DY19,PRODUCE!$EB$36:$IY$36)</f>
        <v>0</v>
      </c>
      <c r="JH20" s="56"/>
      <c r="JI20" s="242">
        <f t="shared" si="87"/>
        <v>0</v>
      </c>
      <c r="JJ20" s="242">
        <f t="shared" si="88"/>
        <v>6800</v>
      </c>
      <c r="JK20" s="56"/>
      <c r="JN20" s="55">
        <f t="shared" si="89"/>
        <v>46037</v>
      </c>
      <c r="JO20" s="56"/>
      <c r="JP20" s="242">
        <f>SUMPRODUCT(PRODUCE!$B19:$DY19,PRODUCE!$EB$37:$IY$37)</f>
        <v>0</v>
      </c>
      <c r="JQ20" s="56"/>
      <c r="JR20" s="242">
        <f t="shared" si="90"/>
        <v>0</v>
      </c>
      <c r="JS20" s="242">
        <f t="shared" si="91"/>
        <v>5400</v>
      </c>
      <c r="JT20" s="56"/>
      <c r="JW20" s="55">
        <f t="shared" si="92"/>
        <v>46037</v>
      </c>
      <c r="JX20" s="56"/>
      <c r="JY20" s="242">
        <f>SUMPRODUCT(PRODUCE!$B19:$DY19,PRODUCE!$EB$38:$IY$38)</f>
        <v>0</v>
      </c>
      <c r="JZ20" s="56"/>
      <c r="KA20" s="242">
        <f t="shared" si="93"/>
        <v>0</v>
      </c>
      <c r="KB20" s="242">
        <f t="shared" si="94"/>
        <v>0</v>
      </c>
      <c r="KC20" s="56"/>
      <c r="KF20" s="55">
        <f t="shared" si="95"/>
        <v>46037</v>
      </c>
      <c r="KG20" s="56"/>
      <c r="KH20" s="242">
        <f>SUMPRODUCT(PRODUCE!$B19:$DY19,PRODUCE!$EB$39:$IY$39)</f>
        <v>0</v>
      </c>
      <c r="KI20" s="56"/>
      <c r="KJ20" s="242">
        <f t="shared" si="96"/>
        <v>0</v>
      </c>
      <c r="KK20" s="242">
        <f t="shared" si="97"/>
        <v>0</v>
      </c>
      <c r="KL20" s="56"/>
      <c r="KO20" s="55">
        <f t="shared" si="98"/>
        <v>46037</v>
      </c>
      <c r="KP20" s="56"/>
      <c r="KQ20" s="242">
        <f>SUMPRODUCT(PRODUCE!$B19:$DY19,PRODUCE!$EB$40:$IY$40)</f>
        <v>0</v>
      </c>
      <c r="KR20" s="56"/>
      <c r="KS20" s="242">
        <f t="shared" si="99"/>
        <v>0</v>
      </c>
      <c r="KT20" s="242">
        <f t="shared" si="100"/>
        <v>0</v>
      </c>
      <c r="KU20" s="56"/>
      <c r="KW20" s="23"/>
      <c r="KX20" s="55">
        <f t="shared" si="101"/>
        <v>46037</v>
      </c>
      <c r="KY20" s="56"/>
      <c r="KZ20" s="242">
        <f>SUMPRODUCT(PRODUCE!$B19:$DY19,PRODUCE!$EB$41:$IY$41)</f>
        <v>0</v>
      </c>
      <c r="LA20" s="56"/>
      <c r="LB20" s="242">
        <f t="shared" si="102"/>
        <v>0</v>
      </c>
      <c r="LC20" s="242">
        <f t="shared" si="103"/>
        <v>0</v>
      </c>
      <c r="LD20" s="56"/>
      <c r="LG20" s="55">
        <f t="shared" si="104"/>
        <v>46037</v>
      </c>
      <c r="LH20" s="56"/>
      <c r="LI20" s="242">
        <f>SUMPRODUCT(PRODUCE!$B19:$DY19,PRODUCE!$EB$42:$IY$42)</f>
        <v>0</v>
      </c>
      <c r="LJ20" s="56"/>
      <c r="LK20" s="242">
        <f t="shared" si="105"/>
        <v>0</v>
      </c>
      <c r="LL20" s="242">
        <f t="shared" si="106"/>
        <v>0</v>
      </c>
      <c r="LM20" s="56"/>
      <c r="LP20" s="55">
        <f t="shared" si="107"/>
        <v>46037</v>
      </c>
      <c r="LQ20" s="56"/>
      <c r="LR20" s="242">
        <f>SUMPRODUCT(PRODUCE!$B19:$DY19,PRODUCE!$EB$43:$IY$43)</f>
        <v>0</v>
      </c>
      <c r="LS20" s="56"/>
      <c r="LT20" s="242">
        <f t="shared" si="108"/>
        <v>0</v>
      </c>
      <c r="LU20" s="242">
        <f t="shared" si="109"/>
        <v>0</v>
      </c>
      <c r="LV20" s="56"/>
      <c r="LY20" s="55">
        <f t="shared" si="110"/>
        <v>46037</v>
      </c>
      <c r="LZ20" s="56"/>
      <c r="MA20" s="242">
        <f>SUMPRODUCT(PRODUCE!$B19:$DY19,PRODUCE!$EB$44:$IY$44)</f>
        <v>0</v>
      </c>
      <c r="MB20" s="56"/>
      <c r="MC20" s="242">
        <f t="shared" si="111"/>
        <v>0</v>
      </c>
      <c r="MD20" s="242">
        <f t="shared" si="112"/>
        <v>0</v>
      </c>
      <c r="ME20" s="56"/>
      <c r="MH20" s="55">
        <f t="shared" si="113"/>
        <v>46037</v>
      </c>
      <c r="MI20" s="56"/>
      <c r="MJ20" s="242">
        <f>SUMPRODUCT(PRODUCE!$B19:$DY19,PRODUCE!$EB$45:$IY$45)</f>
        <v>0</v>
      </c>
      <c r="MK20" s="56"/>
      <c r="ML20" s="242">
        <f t="shared" si="114"/>
        <v>0</v>
      </c>
      <c r="MM20" s="242">
        <f t="shared" si="115"/>
        <v>0</v>
      </c>
      <c r="MN20" s="56"/>
      <c r="MQ20" s="55">
        <f t="shared" si="116"/>
        <v>46037</v>
      </c>
      <c r="MR20" s="56"/>
      <c r="MS20" s="242">
        <f>SUMPRODUCT(PRODUCE!$B19:$DY19,PRODUCE!$EB$46:$IY$46)</f>
        <v>37</v>
      </c>
      <c r="MT20" s="56"/>
      <c r="MU20" s="242">
        <f t="shared" si="117"/>
        <v>37</v>
      </c>
      <c r="MV20" s="242">
        <f t="shared" si="118"/>
        <v>1281</v>
      </c>
      <c r="MW20" s="56"/>
      <c r="MZ20" s="55">
        <f t="shared" si="119"/>
        <v>46037</v>
      </c>
      <c r="NA20" s="56"/>
      <c r="NB20" s="242">
        <f>SUMPRODUCT(PRODUCE!$B19:$DY19,PRODUCE!$EB$47:$IY$47)</f>
        <v>132</v>
      </c>
      <c r="NC20" s="56"/>
      <c r="ND20" s="242">
        <f t="shared" si="120"/>
        <v>132</v>
      </c>
      <c r="NE20" s="242">
        <f t="shared" si="121"/>
        <v>0</v>
      </c>
      <c r="NF20" s="56"/>
      <c r="NI20" s="55">
        <f t="shared" si="122"/>
        <v>46037</v>
      </c>
      <c r="NJ20" s="56"/>
      <c r="NK20" s="242">
        <f>SUMPRODUCT(PRODUCE!$B19:$DY19,PRODUCE!$EB$48:$IY$48)</f>
        <v>0</v>
      </c>
      <c r="NL20" s="56"/>
      <c r="NM20" s="242">
        <f t="shared" si="123"/>
        <v>0</v>
      </c>
      <c r="NN20" s="242">
        <f t="shared" si="124"/>
        <v>0</v>
      </c>
      <c r="NO20" s="56"/>
      <c r="NR20" s="55">
        <f t="shared" si="125"/>
        <v>46037</v>
      </c>
      <c r="NS20" s="56"/>
      <c r="NT20" s="242">
        <f>SUMPRODUCT(PRODUCE!$B19:$DY19,PRODUCE!$EB$49:$IY$49)</f>
        <v>0</v>
      </c>
      <c r="NU20" s="56"/>
      <c r="NV20" s="242">
        <f t="shared" si="126"/>
        <v>0</v>
      </c>
      <c r="NW20" s="242">
        <f t="shared" si="127"/>
        <v>0</v>
      </c>
      <c r="NX20" s="56"/>
      <c r="OA20" s="55">
        <f t="shared" si="128"/>
        <v>46037</v>
      </c>
      <c r="OB20" s="56"/>
      <c r="OC20" s="242">
        <f>SUMPRODUCT(PRODUCE!$B19:$DY19,PRODUCE!$EB$50:$IY$50)</f>
        <v>16</v>
      </c>
      <c r="OD20" s="56"/>
      <c r="OE20" s="242">
        <f t="shared" si="129"/>
        <v>16</v>
      </c>
      <c r="OF20" s="242">
        <f t="shared" si="130"/>
        <v>1680.5</v>
      </c>
      <c r="OG20" s="56"/>
      <c r="OJ20" s="55">
        <f t="shared" si="131"/>
        <v>46037</v>
      </c>
      <c r="OK20" s="56"/>
      <c r="OL20" s="242">
        <f>SUMPRODUCT(PRODUCE!$B19:$DY19,PRODUCE!$EB$51:$IY$51)</f>
        <v>0</v>
      </c>
      <c r="OM20" s="56"/>
      <c r="ON20" s="242">
        <f t="shared" si="132"/>
        <v>0</v>
      </c>
      <c r="OO20" s="242">
        <f t="shared" si="133"/>
        <v>0</v>
      </c>
      <c r="OP20" s="56"/>
      <c r="OS20" s="55">
        <f t="shared" si="134"/>
        <v>46037</v>
      </c>
      <c r="OT20" s="56"/>
      <c r="OU20" s="242">
        <f>SUMPRODUCT(PRODUCE!$B19:$DY19,PRODUCE!$EB$52:$IY$52)</f>
        <v>0</v>
      </c>
      <c r="OV20" s="56"/>
      <c r="OW20" s="242">
        <f t="shared" si="135"/>
        <v>0</v>
      </c>
      <c r="OX20" s="242">
        <f t="shared" si="136"/>
        <v>67</v>
      </c>
      <c r="OY20" s="56"/>
      <c r="PB20" s="55">
        <f t="shared" si="137"/>
        <v>46037</v>
      </c>
      <c r="PC20" s="56"/>
      <c r="PD20" s="242">
        <f>SUMPRODUCT(PRODUCE!$B19:$DY19,PRODUCE!$EB$53:$IY$53)</f>
        <v>0</v>
      </c>
      <c r="PE20" s="56"/>
      <c r="PF20" s="242">
        <f t="shared" si="138"/>
        <v>0</v>
      </c>
      <c r="PG20" s="242">
        <f t="shared" si="139"/>
        <v>0</v>
      </c>
      <c r="PH20" s="56"/>
      <c r="PK20" s="55">
        <f t="shared" si="140"/>
        <v>46037</v>
      </c>
      <c r="PL20" s="56"/>
      <c r="PM20" s="242">
        <f>SUMPRODUCT(PRODUCE!$B19:$DY19,PRODUCE!$EB$54:$IY$54)</f>
        <v>0</v>
      </c>
      <c r="PN20" s="56"/>
      <c r="PO20" s="242">
        <f t="shared" si="141"/>
        <v>0</v>
      </c>
      <c r="PP20" s="242">
        <f t="shared" si="142"/>
        <v>160</v>
      </c>
      <c r="PQ20" s="56"/>
      <c r="PT20" s="55">
        <f t="shared" si="143"/>
        <v>46037</v>
      </c>
      <c r="PU20" s="56"/>
      <c r="PV20" s="242">
        <f>SUMPRODUCT(PRODUCE!$B19:$DY19,PRODUCE!$EB$55:$IY$55)</f>
        <v>0</v>
      </c>
      <c r="PW20" s="56"/>
      <c r="PX20" s="242">
        <f t="shared" si="144"/>
        <v>0</v>
      </c>
      <c r="PY20" s="242">
        <f t="shared" si="145"/>
        <v>13.960000000000036</v>
      </c>
      <c r="PZ20" s="56"/>
      <c r="QC20" s="55">
        <f t="shared" si="146"/>
        <v>46037</v>
      </c>
      <c r="QD20" s="56"/>
      <c r="QE20" s="242">
        <f>SUMPRODUCT(PRODUCE!$B19:$DY19,PRODUCE!$EB$56:$IY$56)</f>
        <v>0</v>
      </c>
      <c r="QF20" s="56"/>
      <c r="QG20" s="242">
        <f t="shared" si="147"/>
        <v>0</v>
      </c>
      <c r="QH20" s="242">
        <f t="shared" si="148"/>
        <v>0</v>
      </c>
      <c r="QI20" s="56"/>
      <c r="QL20" s="55">
        <f t="shared" si="149"/>
        <v>46037</v>
      </c>
      <c r="QM20" s="56"/>
      <c r="QN20" s="242">
        <f>SUMPRODUCT(PRODUCE!$B19:$DY19,PRODUCE!$EB$57:$IY$57)</f>
        <v>0</v>
      </c>
      <c r="QO20" s="56"/>
      <c r="QP20" s="242">
        <f t="shared" si="150"/>
        <v>0</v>
      </c>
      <c r="QQ20" s="242">
        <f t="shared" si="151"/>
        <v>0</v>
      </c>
      <c r="QR20" s="56"/>
      <c r="QU20" s="55">
        <f t="shared" si="152"/>
        <v>46037</v>
      </c>
      <c r="QV20" s="56"/>
      <c r="QW20" s="242">
        <f>SUMPRODUCT(PRODUCE!$B19:$DY19,PRODUCE!$EB$57:$IY$57)</f>
        <v>0</v>
      </c>
      <c r="QX20" s="56"/>
      <c r="QY20" s="242">
        <f t="shared" si="153"/>
        <v>0</v>
      </c>
      <c r="QZ20" s="242">
        <f t="shared" si="154"/>
        <v>207.6</v>
      </c>
      <c r="RA20" s="56"/>
      <c r="RD20" s="55">
        <f t="shared" si="155"/>
        <v>46037</v>
      </c>
      <c r="RE20" s="56"/>
      <c r="RF20" s="242">
        <f>SUMPRODUCT(PRODUCE!$B19:$DY19,PRODUCE!$EB$58:$IY$58)</f>
        <v>0</v>
      </c>
      <c r="RG20" s="56"/>
      <c r="RH20" s="242">
        <f t="shared" si="156"/>
        <v>0</v>
      </c>
      <c r="RI20" s="242">
        <f t="shared" si="157"/>
        <v>201.8</v>
      </c>
      <c r="RJ20" s="56"/>
      <c r="RM20" s="55">
        <f t="shared" si="158"/>
        <v>46037</v>
      </c>
      <c r="RN20" s="56"/>
      <c r="RO20" s="242">
        <f>SUMPRODUCT(PRODUCE!$B19:$DY19,PRODUCE!$EB$59:$IY$59)</f>
        <v>0</v>
      </c>
      <c r="RP20" s="56"/>
      <c r="RQ20" s="242">
        <f t="shared" si="159"/>
        <v>0</v>
      </c>
      <c r="RR20" s="242">
        <f t="shared" si="160"/>
        <v>22.720000000000002</v>
      </c>
      <c r="RS20" s="56"/>
      <c r="RV20" s="55">
        <f t="shared" si="161"/>
        <v>46037</v>
      </c>
      <c r="RW20" s="56"/>
      <c r="RX20" s="242">
        <f>SUMPRODUCT(PRODUCE!$B19:$DY19,PRODUCE!$EB$57:$IY$57)</f>
        <v>0</v>
      </c>
      <c r="RY20" s="56"/>
      <c r="RZ20" s="242">
        <f t="shared" si="162"/>
        <v>0</v>
      </c>
      <c r="SA20" s="242">
        <f t="shared" si="163"/>
        <v>0</v>
      </c>
      <c r="SB20" s="56"/>
      <c r="SE20" s="55">
        <f t="shared" si="164"/>
        <v>46037</v>
      </c>
      <c r="SF20" s="56"/>
      <c r="SG20" s="242">
        <f>SUMPRODUCT(PRODUCE!$B19:$DY19,PRODUCE!$EB$61:$IY$61)</f>
        <v>0</v>
      </c>
      <c r="SH20" s="56"/>
      <c r="SI20" s="242">
        <f t="shared" si="165"/>
        <v>0</v>
      </c>
      <c r="SJ20" s="242">
        <f t="shared" si="166"/>
        <v>0</v>
      </c>
      <c r="SK20" s="56"/>
      <c r="SN20" s="55">
        <f t="shared" si="167"/>
        <v>46037</v>
      </c>
      <c r="SO20" s="56"/>
      <c r="SP20" s="242">
        <f>SUMPRODUCT(PRODUCE!$B19:$DY19,PRODUCE!$EB$57:$IY$57)</f>
        <v>0</v>
      </c>
      <c r="SQ20" s="56"/>
      <c r="SR20" s="242">
        <f t="shared" si="168"/>
        <v>0</v>
      </c>
      <c r="SS20" s="242">
        <f t="shared" si="169"/>
        <v>0</v>
      </c>
      <c r="ST20" s="56"/>
      <c r="SW20" s="55">
        <f t="shared" si="170"/>
        <v>46037</v>
      </c>
      <c r="SX20" s="56"/>
      <c r="SY20" s="242">
        <f>SUMPRODUCT(PRODUCE!$B19:$DY19,PRODUCE!$EB$57:$IY$57)</f>
        <v>0</v>
      </c>
      <c r="SZ20" s="56"/>
      <c r="TA20" s="242">
        <f t="shared" si="171"/>
        <v>0</v>
      </c>
      <c r="TB20" s="242">
        <f t="shared" si="172"/>
        <v>0</v>
      </c>
      <c r="TC20" s="56"/>
      <c r="TF20" s="55">
        <f t="shared" si="173"/>
        <v>46037</v>
      </c>
      <c r="TG20" s="56"/>
      <c r="TH20" s="242">
        <f>SUMPRODUCT(PRODUCE!$B19:$DY19,PRODUCE!$EB$57:$IY$57)</f>
        <v>0</v>
      </c>
      <c r="TI20" s="56"/>
      <c r="TJ20" s="242">
        <f t="shared" si="174"/>
        <v>0</v>
      </c>
      <c r="TK20" s="242">
        <f t="shared" si="175"/>
        <v>0</v>
      </c>
      <c r="TL20" s="56"/>
      <c r="TO20" s="55">
        <f t="shared" si="176"/>
        <v>46037</v>
      </c>
      <c r="TP20" s="56"/>
      <c r="TQ20" s="242">
        <f>SUMPRODUCT(PRODUCE!$B19:$DY19,PRODUCE!$EB$57:$IY$57)</f>
        <v>0</v>
      </c>
      <c r="TR20" s="56"/>
      <c r="TS20" s="242">
        <f t="shared" si="177"/>
        <v>0</v>
      </c>
      <c r="TT20" s="242">
        <f t="shared" si="178"/>
        <v>0</v>
      </c>
      <c r="TU20" s="56"/>
      <c r="TX20" s="55">
        <f t="shared" si="179"/>
        <v>46037</v>
      </c>
      <c r="TY20" s="56"/>
      <c r="TZ20" s="242">
        <f>SUMPRODUCT(PRODUCE!$B19:$DY19,PRODUCE!$EB$57:$IY$57)</f>
        <v>0</v>
      </c>
      <c r="UA20" s="56"/>
      <c r="UB20" s="242">
        <f t="shared" si="180"/>
        <v>0</v>
      </c>
      <c r="UC20" s="242">
        <f t="shared" si="181"/>
        <v>0</v>
      </c>
      <c r="UD20" s="56"/>
      <c r="UG20" s="55">
        <f t="shared" si="182"/>
        <v>46037</v>
      </c>
      <c r="UH20" s="56"/>
      <c r="UI20" s="242">
        <f>SUMPRODUCT(PRODUCE!$B19:$DY19,PRODUCE!$EB$57:$IY$57)</f>
        <v>0</v>
      </c>
      <c r="UJ20" s="56"/>
      <c r="UK20" s="242">
        <f t="shared" si="183"/>
        <v>0</v>
      </c>
      <c r="UL20" s="242">
        <f t="shared" si="184"/>
        <v>0</v>
      </c>
      <c r="UM20" s="56"/>
      <c r="UP20" s="55">
        <f t="shared" si="185"/>
        <v>46037</v>
      </c>
      <c r="UQ20" s="56"/>
      <c r="UR20" s="242">
        <f>SUMPRODUCT(PRODUCE!$B19:$DY19,PRODUCE!$EB$57:$IY$57)</f>
        <v>0</v>
      </c>
      <c r="US20" s="56"/>
      <c r="UT20" s="242">
        <f t="shared" si="186"/>
        <v>0</v>
      </c>
      <c r="UU20" s="242">
        <f t="shared" si="187"/>
        <v>0</v>
      </c>
      <c r="UV20" s="56"/>
      <c r="UY20" s="55">
        <f t="shared" si="188"/>
        <v>46037</v>
      </c>
      <c r="UZ20" s="56"/>
      <c r="VA20" s="242">
        <f>SUMPRODUCT(PRODUCE!$B19:$DY19,PRODUCE!$EB$57:$IY$57)</f>
        <v>0</v>
      </c>
      <c r="VB20" s="56"/>
      <c r="VC20" s="242">
        <f t="shared" si="189"/>
        <v>0</v>
      </c>
      <c r="VD20" s="242">
        <f t="shared" si="190"/>
        <v>-319.59999999999997</v>
      </c>
      <c r="VE20" s="56"/>
      <c r="VH20" s="55">
        <f t="shared" si="191"/>
        <v>46037</v>
      </c>
      <c r="VI20" s="56"/>
      <c r="VJ20" s="242">
        <f>SUMPRODUCT(PRODUCE!$B19:$DY19,PRODUCE!$EB$57:$IY$57)</f>
        <v>0</v>
      </c>
      <c r="VK20" s="56"/>
      <c r="VL20" s="242">
        <f t="shared" si="192"/>
        <v>0</v>
      </c>
      <c r="VM20" s="242">
        <f t="shared" si="193"/>
        <v>0</v>
      </c>
      <c r="VN20" s="56"/>
      <c r="VQ20" s="55">
        <f t="shared" si="194"/>
        <v>46037</v>
      </c>
      <c r="VR20" s="56"/>
      <c r="VS20" s="242">
        <f>SUMPRODUCT(PRODUCE!$B19:$DY19,PRODUCE!$EB$57:$IY$57)</f>
        <v>0</v>
      </c>
      <c r="VT20" s="56"/>
      <c r="VU20" s="242">
        <f t="shared" si="195"/>
        <v>0</v>
      </c>
      <c r="VV20" s="242">
        <f t="shared" si="196"/>
        <v>0</v>
      </c>
      <c r="VW20" s="56"/>
      <c r="VZ20" s="55">
        <f t="shared" si="197"/>
        <v>46037</v>
      </c>
      <c r="WA20" s="56"/>
      <c r="WB20" s="242">
        <f>SUMPRODUCT(PRODUCE!$B19:$DY19,PRODUCE!$EB$57:$IY$57)</f>
        <v>0</v>
      </c>
      <c r="WC20" s="56"/>
      <c r="WD20" s="242">
        <f t="shared" si="198"/>
        <v>0</v>
      </c>
      <c r="WE20" s="242">
        <f t="shared" si="199"/>
        <v>0</v>
      </c>
      <c r="WF20" s="56"/>
      <c r="WI20" s="55">
        <f t="shared" si="200"/>
        <v>46037</v>
      </c>
      <c r="WJ20" s="56"/>
      <c r="WK20" s="242">
        <f>SUMPRODUCT(PRODUCE!$B19:$DY19,PRODUCE!$EB$57:$IY$57)</f>
        <v>0</v>
      </c>
      <c r="WL20" s="56"/>
      <c r="WM20" s="242">
        <f t="shared" si="201"/>
        <v>0</v>
      </c>
      <c r="WN20" s="242">
        <f t="shared" si="202"/>
        <v>5877</v>
      </c>
      <c r="WO20" s="56"/>
      <c r="WR20" s="55">
        <f t="shared" si="203"/>
        <v>46037</v>
      </c>
      <c r="WS20" s="56"/>
      <c r="WT20" s="242">
        <f>SUMPRODUCT(PRODUCE!$B19:$DY19,PRODUCE!$EB$57:$IY$57)</f>
        <v>0</v>
      </c>
      <c r="WU20" s="56"/>
      <c r="WV20" s="242">
        <f t="shared" si="204"/>
        <v>0</v>
      </c>
      <c r="WW20" s="242">
        <f t="shared" si="205"/>
        <v>5267</v>
      </c>
      <c r="WX20" s="56"/>
      <c r="XA20" s="55">
        <f t="shared" si="206"/>
        <v>46037</v>
      </c>
      <c r="XB20" s="56"/>
      <c r="XC20" s="242">
        <f>SUMPRODUCT(PRODUCE!$B19:$DY19,PRODUCE!$EB$57:$IY$57)</f>
        <v>0</v>
      </c>
      <c r="XD20" s="56">
        <v>601</v>
      </c>
      <c r="XE20" s="242">
        <f t="shared" si="207"/>
        <v>-601</v>
      </c>
      <c r="XF20" s="242">
        <f t="shared" si="208"/>
        <v>118</v>
      </c>
      <c r="XG20" s="56"/>
      <c r="XJ20" s="55">
        <f t="shared" si="209"/>
        <v>46037</v>
      </c>
      <c r="XK20" s="56"/>
      <c r="XL20" s="242">
        <f>SUMPRODUCT(PRODUCE!$B19:$DY19,PRODUCE!$EB$57:$IY$57)</f>
        <v>0</v>
      </c>
      <c r="XM20" s="56">
        <v>224</v>
      </c>
      <c r="XN20" s="242">
        <f t="shared" si="210"/>
        <v>-224</v>
      </c>
      <c r="XO20" s="242">
        <f t="shared" si="211"/>
        <v>6126</v>
      </c>
      <c r="XP20" s="56"/>
      <c r="XS20" s="55">
        <f t="shared" si="212"/>
        <v>46037</v>
      </c>
      <c r="XT20" s="56"/>
      <c r="XU20" s="242">
        <f>SUMPRODUCT(PRODUCE!$B19:$DY19,PRODUCE!$EB$57:$IY$57)</f>
        <v>0</v>
      </c>
      <c r="XV20" s="56"/>
      <c r="XW20" s="242">
        <f t="shared" si="213"/>
        <v>0</v>
      </c>
      <c r="XX20" s="242">
        <f t="shared" si="214"/>
        <v>1901</v>
      </c>
      <c r="XY20" s="56"/>
      <c r="YB20" s="55">
        <f t="shared" si="215"/>
        <v>46037</v>
      </c>
      <c r="YC20" s="56"/>
      <c r="YD20" s="242">
        <f>SUMPRODUCT(PRODUCE!$B19:$DY19,PRODUCE!$EB$57:$IY$57)</f>
        <v>0</v>
      </c>
      <c r="YE20" s="56">
        <v>681</v>
      </c>
      <c r="YF20" s="242">
        <f t="shared" si="216"/>
        <v>-681</v>
      </c>
      <c r="YG20" s="242">
        <f t="shared" si="217"/>
        <v>3494</v>
      </c>
      <c r="YH20" s="56"/>
      <c r="YK20" s="55">
        <f t="shared" si="218"/>
        <v>46037</v>
      </c>
      <c r="YL20" s="56"/>
      <c r="YM20" s="242">
        <f>SUMPRODUCT(PRODUCE!$B19:$DY19,PRODUCE!$EB$57:$IY$57)</f>
        <v>0</v>
      </c>
      <c r="YN20" s="56"/>
      <c r="YO20" s="242">
        <f t="shared" si="219"/>
        <v>0</v>
      </c>
      <c r="YP20" s="242">
        <f t="shared" si="220"/>
        <v>0</v>
      </c>
      <c r="YQ20" s="56"/>
      <c r="YT20" s="55">
        <f t="shared" si="221"/>
        <v>46037</v>
      </c>
      <c r="YU20" s="56"/>
      <c r="YV20" s="242">
        <f>SUMPRODUCT(PRODUCE!$B19:$DY19,PRODUCE!$EB$57:$IY$57)</f>
        <v>0</v>
      </c>
      <c r="YW20" s="56"/>
      <c r="YX20" s="242">
        <f t="shared" si="222"/>
        <v>0</v>
      </c>
      <c r="YY20" s="242">
        <f t="shared" si="223"/>
        <v>0</v>
      </c>
      <c r="YZ20" s="56"/>
      <c r="ZC20" s="55">
        <f t="shared" si="224"/>
        <v>46037</v>
      </c>
      <c r="ZD20" s="56"/>
      <c r="ZE20" s="242">
        <f>SUMPRODUCT(PRODUCE!$B19:$DY19,PRODUCE!$EB$57:$IY$57)</f>
        <v>0</v>
      </c>
      <c r="ZF20" s="56"/>
      <c r="ZG20" s="242">
        <f t="shared" si="225"/>
        <v>0</v>
      </c>
      <c r="ZH20" s="242">
        <f t="shared" si="226"/>
        <v>0</v>
      </c>
      <c r="ZI20" s="56"/>
      <c r="ZL20" s="55">
        <f t="shared" si="227"/>
        <v>46037</v>
      </c>
      <c r="ZM20" s="56"/>
      <c r="ZN20" s="242">
        <f>SUMPRODUCT(PRODUCE!$B19:$DY19,PRODUCE!$EB$57:$IY$57)</f>
        <v>0</v>
      </c>
      <c r="ZO20" s="56"/>
      <c r="ZP20" s="242">
        <f t="shared" si="228"/>
        <v>0</v>
      </c>
      <c r="ZQ20" s="242">
        <f t="shared" si="229"/>
        <v>0</v>
      </c>
      <c r="ZR20" s="56"/>
      <c r="ZU20" s="55">
        <f t="shared" si="230"/>
        <v>46037</v>
      </c>
      <c r="ZV20" s="56"/>
      <c r="ZW20" s="242">
        <f>SUMPRODUCT(PRODUCE!$B19:$DY19,PRODUCE!$EB$57:$IY$57)</f>
        <v>0</v>
      </c>
      <c r="ZX20" s="56"/>
      <c r="ZY20" s="242">
        <f t="shared" si="231"/>
        <v>0</v>
      </c>
      <c r="ZZ20" s="242">
        <f t="shared" si="232"/>
        <v>0</v>
      </c>
      <c r="AAA20" s="56"/>
      <c r="AAD20" s="55">
        <f t="shared" si="233"/>
        <v>46037</v>
      </c>
      <c r="AAE20" s="56"/>
      <c r="AAF20" s="242">
        <f>SUMPRODUCT(PRODUCE!$B19:$DY19,PRODUCE!$EB$57:$IY$57)</f>
        <v>0</v>
      </c>
      <c r="AAG20" s="56"/>
      <c r="AAH20" s="242">
        <f t="shared" si="234"/>
        <v>0</v>
      </c>
      <c r="AAI20" s="242">
        <f t="shared" si="235"/>
        <v>0</v>
      </c>
      <c r="AAJ20" s="56"/>
      <c r="AAM20" s="55">
        <f t="shared" si="236"/>
        <v>46037</v>
      </c>
      <c r="AAN20" s="56"/>
      <c r="AAO20" s="242">
        <f>SUMPRODUCT(PRODUCE!$B19:$DY19,PRODUCE!$EB$57:$IY$57)</f>
        <v>0</v>
      </c>
      <c r="AAP20" s="56"/>
      <c r="AAQ20" s="242">
        <f t="shared" si="237"/>
        <v>0</v>
      </c>
      <c r="AAR20" s="242">
        <f t="shared" si="238"/>
        <v>0</v>
      </c>
      <c r="AAS20" s="56"/>
      <c r="AAV20" s="55">
        <f t="shared" si="239"/>
        <v>46037</v>
      </c>
      <c r="AAW20" s="56"/>
      <c r="AAX20" s="242">
        <f>SUMPRODUCT(PRODUCE!$B19:$DY19,PRODUCE!$EB$57:$IY$57)</f>
        <v>0</v>
      </c>
      <c r="AAY20" s="56"/>
      <c r="AAZ20" s="242">
        <f t="shared" si="240"/>
        <v>0</v>
      </c>
      <c r="ABA20" s="242">
        <f t="shared" si="241"/>
        <v>0</v>
      </c>
      <c r="ABB20" s="56"/>
      <c r="ABE20" s="55">
        <f t="shared" si="242"/>
        <v>46037</v>
      </c>
      <c r="ABF20" s="56"/>
      <c r="ABG20" s="242">
        <f>SUMPRODUCT(PRODUCE!$B19:$DY19,PRODUCE!$EB$57:$IY$57)</f>
        <v>0</v>
      </c>
      <c r="ABH20" s="56"/>
      <c r="ABI20" s="242">
        <f t="shared" si="243"/>
        <v>0</v>
      </c>
      <c r="ABJ20" s="242">
        <f t="shared" si="244"/>
        <v>0</v>
      </c>
      <c r="ABK20" s="56"/>
    </row>
    <row r="21" spans="2:739" s="54" customFormat="1" ht="15" customHeight="1" outlineLevel="1">
      <c r="B21" s="478">
        <f>20+10+20+14</f>
        <v>64</v>
      </c>
      <c r="C21" s="55">
        <v>46038</v>
      </c>
      <c r="D21" s="422">
        <v>33680</v>
      </c>
      <c r="E21" s="423">
        <f>SUMPRODUCT(PRODUCE!$B20:$DY20,PRODUCE!$EB$7:$IY$7)</f>
        <v>35570.5</v>
      </c>
      <c r="F21" s="422">
        <v>35568.6</v>
      </c>
      <c r="G21" s="423">
        <f t="shared" si="2"/>
        <v>1.9000000000014552</v>
      </c>
      <c r="H21" s="423">
        <f t="shared" si="0"/>
        <v>36554.000000000007</v>
      </c>
      <c r="I21" s="289" t="s">
        <v>185</v>
      </c>
      <c r="L21" s="55">
        <f t="shared" si="1"/>
        <v>46038</v>
      </c>
      <c r="M21" s="422">
        <v>26690</v>
      </c>
      <c r="N21" s="438">
        <f>SUMPRODUCT(PRODUCE!$B20:$DY20,PRODUCE!$EB$8:$IY$8)</f>
        <v>17234.5</v>
      </c>
      <c r="O21" s="422">
        <v>17236.2</v>
      </c>
      <c r="P21" s="438">
        <f t="shared" si="3"/>
        <v>-1.7000000000007276</v>
      </c>
      <c r="Q21" s="438">
        <f t="shared" si="4"/>
        <v>14075.400000000009</v>
      </c>
      <c r="R21" s="56"/>
      <c r="U21" s="55">
        <f t="shared" si="5"/>
        <v>46038</v>
      </c>
      <c r="V21" s="422">
        <v>30140</v>
      </c>
      <c r="W21" s="440">
        <f>SUMPRODUCT(PRODUCE!$B20:$DY20,PRODUCE!$EB$9:$IY$9)</f>
        <v>3130</v>
      </c>
      <c r="X21" s="422">
        <v>3132.8</v>
      </c>
      <c r="Y21" s="440">
        <f t="shared" si="6"/>
        <v>-2.8000000000001819</v>
      </c>
      <c r="Z21" s="440">
        <f t="shared" si="7"/>
        <v>53562.39999999998</v>
      </c>
      <c r="AA21" s="56"/>
      <c r="AD21" s="55">
        <f t="shared" si="8"/>
        <v>46038</v>
      </c>
      <c r="AE21" s="422"/>
      <c r="AF21" s="442">
        <f>SUMPRODUCT(PRODUCE!$B20:$DY20,PRODUCE!$EB$10:$IY$10)</f>
        <v>2280</v>
      </c>
      <c r="AG21" s="422">
        <v>2280.6999999999998</v>
      </c>
      <c r="AH21" s="442">
        <f t="shared" si="9"/>
        <v>-0.6999999999998181</v>
      </c>
      <c r="AI21" s="442">
        <f t="shared" si="10"/>
        <v>23264.900000000005</v>
      </c>
      <c r="AJ21" s="56"/>
      <c r="AM21" s="55">
        <f t="shared" si="11"/>
        <v>46038</v>
      </c>
      <c r="AN21" s="422"/>
      <c r="AO21" s="444">
        <f>SUMPRODUCT(PRODUCE!$B20:$DY20,PRODUCE!$EB$11:$IY$11)</f>
        <v>0</v>
      </c>
      <c r="AP21" s="422"/>
      <c r="AQ21" s="444">
        <f t="shared" si="12"/>
        <v>0</v>
      </c>
      <c r="AR21" s="444">
        <f t="shared" si="13"/>
        <v>0</v>
      </c>
      <c r="AS21" s="56"/>
      <c r="AV21" s="55">
        <f t="shared" si="14"/>
        <v>46038</v>
      </c>
      <c r="AW21" s="422"/>
      <c r="AX21" s="446">
        <f>SUMPRODUCT(PRODUCE!$B20:$DY20,PRODUCE!$EB$12:$IY$12)</f>
        <v>1280</v>
      </c>
      <c r="AY21" s="422">
        <v>1280.8</v>
      </c>
      <c r="AZ21" s="446">
        <f t="shared" si="15"/>
        <v>-0.79999999999995453</v>
      </c>
      <c r="BA21" s="446">
        <f t="shared" si="16"/>
        <v>13875.099999999991</v>
      </c>
      <c r="BB21" s="56"/>
      <c r="BE21" s="55">
        <f t="shared" si="17"/>
        <v>46038</v>
      </c>
      <c r="BF21" s="422"/>
      <c r="BG21" s="448">
        <f>SUMPRODUCT(PRODUCE!$B20:$DY20,PRODUCE!$EB$13:$IY$13)</f>
        <v>1280</v>
      </c>
      <c r="BH21" s="422">
        <v>1282.4000000000001</v>
      </c>
      <c r="BI21" s="448">
        <f t="shared" si="18"/>
        <v>-2.4000000000000909</v>
      </c>
      <c r="BJ21" s="448">
        <f t="shared" si="19"/>
        <v>10743.400000000005</v>
      </c>
      <c r="BK21" s="56"/>
      <c r="BN21" s="55">
        <f t="shared" si="20"/>
        <v>46038</v>
      </c>
      <c r="BO21" s="422">
        <v>1069.9000000000001</v>
      </c>
      <c r="BP21" s="450">
        <f>SUMPRODUCT(PRODUCE!$B20:$DY20,PRODUCE!$EB$14:$IY$14)</f>
        <v>1070</v>
      </c>
      <c r="BQ21" s="422">
        <v>1069.9000000000001</v>
      </c>
      <c r="BR21" s="450">
        <f t="shared" si="21"/>
        <v>9.9999999999909051E-2</v>
      </c>
      <c r="BS21" s="450">
        <f t="shared" si="22"/>
        <v>0</v>
      </c>
      <c r="BT21" s="56"/>
      <c r="BW21" s="55">
        <f t="shared" si="23"/>
        <v>46038</v>
      </c>
      <c r="BX21" s="56"/>
      <c r="BY21" s="65">
        <f>SUMPRODUCT(PRODUCE!$B20:$DY20,PRODUCE!$EB$15:$IY$15)</f>
        <v>30</v>
      </c>
      <c r="BZ21" s="56">
        <v>75</v>
      </c>
      <c r="CA21" s="65">
        <f t="shared" si="24"/>
        <v>-45</v>
      </c>
      <c r="CB21" s="65">
        <f t="shared" si="25"/>
        <v>3386.5</v>
      </c>
      <c r="CC21" s="56"/>
      <c r="CF21" s="55">
        <f t="shared" si="26"/>
        <v>46038</v>
      </c>
      <c r="CG21" s="56">
        <v>295</v>
      </c>
      <c r="CH21" s="66">
        <f>SUMPRODUCT(PRODUCE!$B20:$DY20,PRODUCE!$EB$16:$IY$16)</f>
        <v>118</v>
      </c>
      <c r="CI21" s="56">
        <v>295</v>
      </c>
      <c r="CJ21" s="66">
        <f t="shared" si="27"/>
        <v>-177</v>
      </c>
      <c r="CK21" s="66">
        <f t="shared" si="28"/>
        <v>0</v>
      </c>
      <c r="CL21" s="56"/>
      <c r="CO21" s="55">
        <f t="shared" si="29"/>
        <v>46038</v>
      </c>
      <c r="CP21" s="422"/>
      <c r="CQ21" s="470">
        <f>SUMPRODUCT(PRODUCE!$B20:$DY20,PRODUCE!$EB$17:$IY$17)</f>
        <v>0</v>
      </c>
      <c r="CR21" s="422"/>
      <c r="CS21" s="470">
        <f t="shared" si="30"/>
        <v>0</v>
      </c>
      <c r="CT21" s="470">
        <f t="shared" si="31"/>
        <v>0</v>
      </c>
      <c r="CU21" s="56"/>
      <c r="CX21" s="55">
        <f t="shared" si="32"/>
        <v>46038</v>
      </c>
      <c r="CY21" s="56"/>
      <c r="CZ21" s="133">
        <f>SUMPRODUCT(PRODUCE!$B20:$DY20,PRODUCE!$EB$18:$IY$18)</f>
        <v>0</v>
      </c>
      <c r="DA21" s="56"/>
      <c r="DB21" s="133">
        <f t="shared" si="33"/>
        <v>0</v>
      </c>
      <c r="DC21" s="133">
        <f t="shared" si="34"/>
        <v>0</v>
      </c>
      <c r="DD21" s="56"/>
      <c r="DG21" s="55">
        <f t="shared" si="35"/>
        <v>46038</v>
      </c>
      <c r="DH21" s="56"/>
      <c r="DI21" s="147">
        <f>SUMPRODUCT(PRODUCE!$B20:$DY20,PRODUCE!$EB$19:$IY$19)</f>
        <v>490</v>
      </c>
      <c r="DJ21" s="56">
        <v>489.2</v>
      </c>
      <c r="DK21" s="147">
        <f t="shared" si="36"/>
        <v>0.80000000000001137</v>
      </c>
      <c r="DL21" s="147">
        <f t="shared" si="37"/>
        <v>24902.399999999998</v>
      </c>
      <c r="DM21" s="56"/>
      <c r="DP21" s="55">
        <f t="shared" si="38"/>
        <v>46038</v>
      </c>
      <c r="DQ21" s="56"/>
      <c r="DR21" s="57">
        <f>SUMPRODUCT(PRODUCE!$B20:$DY20,PRODUCE!$EB$20:$IY$20)</f>
        <v>0</v>
      </c>
      <c r="DS21" s="56"/>
      <c r="DT21" s="57">
        <f t="shared" si="39"/>
        <v>0</v>
      </c>
      <c r="DU21" s="57">
        <f t="shared" si="40"/>
        <v>0</v>
      </c>
      <c r="DV21" s="56"/>
      <c r="DY21" s="55">
        <f t="shared" si="41"/>
        <v>46038</v>
      </c>
      <c r="DZ21" s="56"/>
      <c r="EA21" s="157">
        <f>SUMPRODUCT(PRODUCE!$B20:$DY20,PRODUCE!$EB$21:$IY$21)</f>
        <v>0</v>
      </c>
      <c r="EB21" s="56"/>
      <c r="EC21" s="157">
        <f t="shared" si="42"/>
        <v>0</v>
      </c>
      <c r="ED21" s="157">
        <f t="shared" si="43"/>
        <v>0</v>
      </c>
      <c r="EE21" s="56"/>
      <c r="EH21" s="55">
        <f t="shared" si="44"/>
        <v>46038</v>
      </c>
      <c r="EI21" s="56"/>
      <c r="EJ21" s="162">
        <f>SUMPRODUCT(PRODUCE!$B20:$DY20,PRODUCE!$EB$22:$IY$22)</f>
        <v>0</v>
      </c>
      <c r="EK21" s="56"/>
      <c r="EL21" s="162">
        <f t="shared" si="45"/>
        <v>0</v>
      </c>
      <c r="EM21" s="162">
        <f t="shared" si="46"/>
        <v>0</v>
      </c>
      <c r="EN21" s="56"/>
      <c r="EQ21" s="55">
        <f t="shared" si="47"/>
        <v>46038</v>
      </c>
      <c r="ER21" s="56"/>
      <c r="ES21" s="135">
        <f>SUMPRODUCT(PRODUCE!$B20:$DY20,PRODUCE!$EB$23:$IY$23)</f>
        <v>0</v>
      </c>
      <c r="ET21" s="56"/>
      <c r="EU21" s="135">
        <f t="shared" si="48"/>
        <v>0</v>
      </c>
      <c r="EV21" s="135">
        <f t="shared" si="49"/>
        <v>0</v>
      </c>
      <c r="EW21" s="56"/>
      <c r="EZ21" s="55">
        <f t="shared" si="50"/>
        <v>46038</v>
      </c>
      <c r="FA21" s="56"/>
      <c r="FB21" s="175">
        <f>SUMPRODUCT(PRODUCE!$B20:$DY20,PRODUCE!$EB$24:$IY$24)</f>
        <v>0</v>
      </c>
      <c r="FC21" s="56"/>
      <c r="FD21" s="175">
        <f t="shared" si="51"/>
        <v>0</v>
      </c>
      <c r="FE21" s="175">
        <f t="shared" si="52"/>
        <v>0</v>
      </c>
      <c r="FF21" s="56"/>
      <c r="FI21" s="55">
        <f t="shared" si="53"/>
        <v>46038</v>
      </c>
      <c r="FJ21" s="56"/>
      <c r="FK21" s="183">
        <f>SUMPRODUCT(PRODUCE!$B20:$DY20,PRODUCE!$EB$25:$IY$25)</f>
        <v>0</v>
      </c>
      <c r="FL21" s="56"/>
      <c r="FM21" s="183">
        <f t="shared" si="54"/>
        <v>0</v>
      </c>
      <c r="FN21" s="183">
        <f t="shared" si="55"/>
        <v>0</v>
      </c>
      <c r="FO21" s="56"/>
      <c r="FR21" s="55">
        <f t="shared" si="56"/>
        <v>46038</v>
      </c>
      <c r="FS21" s="422"/>
      <c r="FT21" s="452">
        <f>SUMPRODUCT(PRODUCE!$B20:$DY20,PRODUCE!$EB$26:$IY$26)</f>
        <v>0</v>
      </c>
      <c r="FU21" s="422"/>
      <c r="FV21" s="452">
        <f t="shared" si="57"/>
        <v>0</v>
      </c>
      <c r="FW21" s="452">
        <f t="shared" si="58"/>
        <v>3540</v>
      </c>
      <c r="FX21" s="56"/>
      <c r="GA21" s="55">
        <f t="shared" si="59"/>
        <v>46038</v>
      </c>
      <c r="GB21" s="422"/>
      <c r="GC21" s="454">
        <f>SUMPRODUCT(PRODUCE!$B20:$DY20,PRODUCE!$EB$27:$IY$27)</f>
        <v>0</v>
      </c>
      <c r="GD21" s="422"/>
      <c r="GE21" s="454">
        <f t="shared" si="60"/>
        <v>0</v>
      </c>
      <c r="GF21" s="454">
        <f t="shared" si="61"/>
        <v>1960</v>
      </c>
      <c r="GG21" s="56"/>
      <c r="GI21" s="23"/>
      <c r="GJ21" s="55">
        <f t="shared" si="62"/>
        <v>46038</v>
      </c>
      <c r="GK21" s="422"/>
      <c r="GL21" s="456">
        <f>SUMPRODUCT(PRODUCE!$B20:$DY20,PRODUCE!$EB$28:$IY$28)</f>
        <v>0</v>
      </c>
      <c r="GM21" s="422">
        <v>1200</v>
      </c>
      <c r="GN21" s="456">
        <f t="shared" si="63"/>
        <v>-1200</v>
      </c>
      <c r="GO21" s="456">
        <f t="shared" si="64"/>
        <v>6160</v>
      </c>
      <c r="GP21" s="463">
        <f>GM21/20</f>
        <v>60</v>
      </c>
      <c r="GQ21" s="464" t="s">
        <v>173</v>
      </c>
      <c r="GS21" s="55">
        <f t="shared" si="65"/>
        <v>46038</v>
      </c>
      <c r="GT21" s="56"/>
      <c r="GU21" s="195">
        <f>SUMPRODUCT(PRODUCE!$B20:$DY20,PRODUCE!$EB$29:$IY$29)</f>
        <v>0</v>
      </c>
      <c r="GV21" s="56"/>
      <c r="GW21" s="195">
        <f t="shared" si="66"/>
        <v>0</v>
      </c>
      <c r="GX21" s="195">
        <f t="shared" si="67"/>
        <v>0</v>
      </c>
      <c r="GY21" s="56"/>
      <c r="HB21" s="55">
        <f t="shared" si="68"/>
        <v>46038</v>
      </c>
      <c r="HC21" s="56"/>
      <c r="HD21" s="191">
        <f>SUMPRODUCT(PRODUCE!$B20:$DY20,PRODUCE!$EB$30:$IY$30)</f>
        <v>0</v>
      </c>
      <c r="HE21" s="56"/>
      <c r="HF21" s="191">
        <f t="shared" si="69"/>
        <v>0</v>
      </c>
      <c r="HG21" s="191">
        <f t="shared" si="70"/>
        <v>0</v>
      </c>
      <c r="HH21" s="56"/>
      <c r="HK21" s="55">
        <f t="shared" si="71"/>
        <v>46038</v>
      </c>
      <c r="HL21" s="56"/>
      <c r="HM21" s="63">
        <f>SUMPRODUCT(PRODUCE!$B20:$DY20,PRODUCE!$EB$31:$IY$31)</f>
        <v>0</v>
      </c>
      <c r="HN21" s="56"/>
      <c r="HO21" s="63">
        <f t="shared" si="72"/>
        <v>0</v>
      </c>
      <c r="HP21" s="63">
        <f t="shared" si="73"/>
        <v>0</v>
      </c>
      <c r="HQ21" s="56"/>
      <c r="HU21" s="55">
        <f t="shared" si="74"/>
        <v>46038</v>
      </c>
      <c r="HV21" s="56"/>
      <c r="HW21" s="242">
        <f>SUMPRODUCT(PRODUCE!$B20:$DY20,PRODUCE!$EB$32:$IY$32)</f>
        <v>400</v>
      </c>
      <c r="HX21" s="56"/>
      <c r="HY21" s="242">
        <f t="shared" si="75"/>
        <v>400</v>
      </c>
      <c r="HZ21" s="242">
        <f t="shared" si="76"/>
        <v>2800</v>
      </c>
      <c r="IA21" s="56"/>
      <c r="ID21" s="55">
        <f t="shared" si="77"/>
        <v>46038</v>
      </c>
      <c r="IE21" s="56"/>
      <c r="IF21" s="242">
        <f>SUMPRODUCT(PRODUCE!$B20:$DY20,PRODUCE!$EB$33:$IY$33)</f>
        <v>0</v>
      </c>
      <c r="IG21" s="56"/>
      <c r="IH21" s="242">
        <f t="shared" si="78"/>
        <v>0</v>
      </c>
      <c r="II21" s="242">
        <f t="shared" si="79"/>
        <v>5100</v>
      </c>
      <c r="IJ21" s="56"/>
      <c r="IM21" s="55">
        <f t="shared" si="80"/>
        <v>46038</v>
      </c>
      <c r="IN21" s="56"/>
      <c r="IO21" s="242">
        <f>SUMPRODUCT(PRODUCE!$B20:$DY20,PRODUCE!$EB$34:$IY$34)</f>
        <v>600</v>
      </c>
      <c r="IP21" s="56">
        <v>1200</v>
      </c>
      <c r="IQ21" s="242">
        <f t="shared" si="81"/>
        <v>-600</v>
      </c>
      <c r="IR21" s="242">
        <f t="shared" si="82"/>
        <v>15040</v>
      </c>
      <c r="IS21" s="465">
        <f>IP21/20</f>
        <v>60</v>
      </c>
      <c r="IT21" s="464" t="s">
        <v>173</v>
      </c>
      <c r="IV21" s="55">
        <f t="shared" si="83"/>
        <v>46038</v>
      </c>
      <c r="IW21" s="56"/>
      <c r="IX21" s="242">
        <f>SUMPRODUCT(PRODUCE!$B20:$DY20,PRODUCE!$EB$35:$IY$35)</f>
        <v>280</v>
      </c>
      <c r="IY21" s="56"/>
      <c r="IZ21" s="242">
        <f t="shared" si="84"/>
        <v>280</v>
      </c>
      <c r="JA21" s="242">
        <f t="shared" si="85"/>
        <v>5120</v>
      </c>
      <c r="JB21" s="56"/>
      <c r="JE21" s="55">
        <f t="shared" si="86"/>
        <v>46038</v>
      </c>
      <c r="JF21" s="56"/>
      <c r="JG21" s="242">
        <f>SUMPRODUCT(PRODUCE!$B20:$DY20,PRODUCE!$EB$36:$IY$36)</f>
        <v>0</v>
      </c>
      <c r="JH21" s="56"/>
      <c r="JI21" s="242">
        <f t="shared" si="87"/>
        <v>0</v>
      </c>
      <c r="JJ21" s="242">
        <f t="shared" si="88"/>
        <v>6800</v>
      </c>
      <c r="JK21" s="56"/>
      <c r="JN21" s="55">
        <f t="shared" si="89"/>
        <v>46038</v>
      </c>
      <c r="JO21" s="56"/>
      <c r="JP21" s="242">
        <f>SUMPRODUCT(PRODUCE!$B20:$DY20,PRODUCE!$EB$37:$IY$37)</f>
        <v>0</v>
      </c>
      <c r="JQ21" s="56"/>
      <c r="JR21" s="242">
        <f t="shared" si="90"/>
        <v>0</v>
      </c>
      <c r="JS21" s="242">
        <f t="shared" si="91"/>
        <v>5400</v>
      </c>
      <c r="JT21" s="56"/>
      <c r="JW21" s="55">
        <f t="shared" si="92"/>
        <v>46038</v>
      </c>
      <c r="JX21" s="56"/>
      <c r="JY21" s="242">
        <f>SUMPRODUCT(PRODUCE!$B20:$DY20,PRODUCE!$EB$38:$IY$38)</f>
        <v>0</v>
      </c>
      <c r="JZ21" s="56"/>
      <c r="KA21" s="242">
        <f t="shared" si="93"/>
        <v>0</v>
      </c>
      <c r="KB21" s="242">
        <f t="shared" si="94"/>
        <v>0</v>
      </c>
      <c r="KC21" s="56"/>
      <c r="KF21" s="55">
        <f t="shared" si="95"/>
        <v>46038</v>
      </c>
      <c r="KG21" s="56"/>
      <c r="KH21" s="242">
        <f>SUMPRODUCT(PRODUCE!$B20:$DY20,PRODUCE!$EB$39:$IY$39)</f>
        <v>0</v>
      </c>
      <c r="KI21" s="56"/>
      <c r="KJ21" s="242">
        <f t="shared" si="96"/>
        <v>0</v>
      </c>
      <c r="KK21" s="242">
        <f t="shared" si="97"/>
        <v>0</v>
      </c>
      <c r="KL21" s="56"/>
      <c r="KO21" s="55">
        <f t="shared" si="98"/>
        <v>46038</v>
      </c>
      <c r="KP21" s="56"/>
      <c r="KQ21" s="242">
        <f>SUMPRODUCT(PRODUCE!$B20:$DY20,PRODUCE!$EB$40:$IY$40)</f>
        <v>0</v>
      </c>
      <c r="KR21" s="56"/>
      <c r="KS21" s="242">
        <f t="shared" si="99"/>
        <v>0</v>
      </c>
      <c r="KT21" s="242">
        <f t="shared" si="100"/>
        <v>0</v>
      </c>
      <c r="KU21" s="56"/>
      <c r="KW21" s="23"/>
      <c r="KX21" s="55">
        <f t="shared" si="101"/>
        <v>46038</v>
      </c>
      <c r="KY21" s="56"/>
      <c r="KZ21" s="242">
        <f>SUMPRODUCT(PRODUCE!$B20:$DY20,PRODUCE!$EB$41:$IY$41)</f>
        <v>0</v>
      </c>
      <c r="LA21" s="56"/>
      <c r="LB21" s="242">
        <f t="shared" si="102"/>
        <v>0</v>
      </c>
      <c r="LC21" s="242">
        <f t="shared" si="103"/>
        <v>0</v>
      </c>
      <c r="LD21" s="56"/>
      <c r="LG21" s="55">
        <f t="shared" si="104"/>
        <v>46038</v>
      </c>
      <c r="LH21" s="56"/>
      <c r="LI21" s="242">
        <f>SUMPRODUCT(PRODUCE!$B20:$DY20,PRODUCE!$EB$42:$IY$42)</f>
        <v>0</v>
      </c>
      <c r="LJ21" s="56"/>
      <c r="LK21" s="242">
        <f t="shared" si="105"/>
        <v>0</v>
      </c>
      <c r="LL21" s="242">
        <f t="shared" si="106"/>
        <v>0</v>
      </c>
      <c r="LM21" s="56"/>
      <c r="LP21" s="55">
        <f t="shared" si="107"/>
        <v>46038</v>
      </c>
      <c r="LQ21" s="56"/>
      <c r="LR21" s="242">
        <f>SUMPRODUCT(PRODUCE!$B20:$DY20,PRODUCE!$EB$43:$IY$43)</f>
        <v>0</v>
      </c>
      <c r="LS21" s="56"/>
      <c r="LT21" s="242">
        <f t="shared" si="108"/>
        <v>0</v>
      </c>
      <c r="LU21" s="242">
        <f t="shared" si="109"/>
        <v>0</v>
      </c>
      <c r="LV21" s="56"/>
      <c r="LY21" s="55">
        <f t="shared" si="110"/>
        <v>46038</v>
      </c>
      <c r="LZ21" s="56"/>
      <c r="MA21" s="242">
        <f>SUMPRODUCT(PRODUCE!$B20:$DY20,PRODUCE!$EB$44:$IY$44)</f>
        <v>0</v>
      </c>
      <c r="MB21" s="56"/>
      <c r="MC21" s="242">
        <f t="shared" si="111"/>
        <v>0</v>
      </c>
      <c r="MD21" s="242">
        <f t="shared" si="112"/>
        <v>0</v>
      </c>
      <c r="ME21" s="56"/>
      <c r="MH21" s="55">
        <f t="shared" si="113"/>
        <v>46038</v>
      </c>
      <c r="MI21" s="56"/>
      <c r="MJ21" s="242">
        <f>SUMPRODUCT(PRODUCE!$B20:$DY20,PRODUCE!$EB$45:$IY$45)</f>
        <v>0</v>
      </c>
      <c r="MK21" s="56"/>
      <c r="ML21" s="242">
        <f t="shared" si="114"/>
        <v>0</v>
      </c>
      <c r="MM21" s="242">
        <f t="shared" si="115"/>
        <v>0</v>
      </c>
      <c r="MN21" s="56"/>
      <c r="MQ21" s="55">
        <f t="shared" si="116"/>
        <v>46038</v>
      </c>
      <c r="MR21" s="56"/>
      <c r="MS21" s="242">
        <f>SUMPRODUCT(PRODUCE!$B20:$DY20,PRODUCE!$EB$46:$IY$46)</f>
        <v>25</v>
      </c>
      <c r="MT21" s="56">
        <f>25+30+30</f>
        <v>85</v>
      </c>
      <c r="MU21" s="242">
        <f t="shared" si="117"/>
        <v>-60</v>
      </c>
      <c r="MV21" s="242">
        <f t="shared" si="118"/>
        <v>1196</v>
      </c>
      <c r="MW21" s="56"/>
      <c r="MZ21" s="55">
        <f t="shared" si="119"/>
        <v>46038</v>
      </c>
      <c r="NA21" s="56">
        <v>330</v>
      </c>
      <c r="NB21" s="242">
        <f>SUMPRODUCT(PRODUCE!$B20:$DY20,PRODUCE!$EB$47:$IY$47)</f>
        <v>192</v>
      </c>
      <c r="NC21" s="56">
        <f>150+180</f>
        <v>330</v>
      </c>
      <c r="ND21" s="242">
        <f t="shared" si="120"/>
        <v>-138</v>
      </c>
      <c r="NE21" s="242">
        <f t="shared" si="121"/>
        <v>0</v>
      </c>
      <c r="NF21" s="56"/>
      <c r="NI21" s="55">
        <f t="shared" si="122"/>
        <v>46038</v>
      </c>
      <c r="NJ21" s="56"/>
      <c r="NK21" s="242">
        <f>SUMPRODUCT(PRODUCE!$B20:$DY20,PRODUCE!$EB$48:$IY$48)</f>
        <v>0</v>
      </c>
      <c r="NL21" s="56"/>
      <c r="NM21" s="242">
        <f t="shared" si="123"/>
        <v>0</v>
      </c>
      <c r="NN21" s="242">
        <f t="shared" si="124"/>
        <v>0</v>
      </c>
      <c r="NO21" s="56"/>
      <c r="NR21" s="55">
        <f t="shared" si="125"/>
        <v>46038</v>
      </c>
      <c r="NS21" s="56"/>
      <c r="NT21" s="242">
        <f>SUMPRODUCT(PRODUCE!$B20:$DY20,PRODUCE!$EB$49:$IY$49)</f>
        <v>0</v>
      </c>
      <c r="NU21" s="56"/>
      <c r="NV21" s="242">
        <f t="shared" si="126"/>
        <v>0</v>
      </c>
      <c r="NW21" s="242">
        <f t="shared" si="127"/>
        <v>0</v>
      </c>
      <c r="NX21" s="56"/>
      <c r="OA21" s="55">
        <f t="shared" si="128"/>
        <v>46038</v>
      </c>
      <c r="OB21" s="56"/>
      <c r="OC21" s="242">
        <f>SUMPRODUCT(PRODUCE!$B20:$DY20,PRODUCE!$EB$50:$IY$50)</f>
        <v>20</v>
      </c>
      <c r="OD21" s="56"/>
      <c r="OE21" s="242">
        <f t="shared" si="129"/>
        <v>20</v>
      </c>
      <c r="OF21" s="242">
        <f t="shared" si="130"/>
        <v>1680.5</v>
      </c>
      <c r="OG21" s="56"/>
      <c r="OJ21" s="55">
        <f t="shared" si="131"/>
        <v>46038</v>
      </c>
      <c r="OK21" s="56"/>
      <c r="OL21" s="242">
        <f>SUMPRODUCT(PRODUCE!$B20:$DY20,PRODUCE!$EB$51:$IY$51)</f>
        <v>0</v>
      </c>
      <c r="OM21" s="56"/>
      <c r="ON21" s="242">
        <f t="shared" si="132"/>
        <v>0</v>
      </c>
      <c r="OO21" s="242">
        <f t="shared" si="133"/>
        <v>0</v>
      </c>
      <c r="OP21" s="56"/>
      <c r="OS21" s="55">
        <f t="shared" si="134"/>
        <v>46038</v>
      </c>
      <c r="OT21" s="56"/>
      <c r="OU21" s="242">
        <f>SUMPRODUCT(PRODUCE!$B20:$DY20,PRODUCE!$EB$52:$IY$52)</f>
        <v>0</v>
      </c>
      <c r="OV21" s="56"/>
      <c r="OW21" s="242">
        <f t="shared" si="135"/>
        <v>0</v>
      </c>
      <c r="OX21" s="242">
        <f t="shared" si="136"/>
        <v>67</v>
      </c>
      <c r="OY21" s="56"/>
      <c r="PB21" s="55">
        <f t="shared" si="137"/>
        <v>46038</v>
      </c>
      <c r="PC21" s="56">
        <v>110</v>
      </c>
      <c r="PD21" s="242">
        <f>SUMPRODUCT(PRODUCE!$B20:$DY20,PRODUCE!$EB$53:$IY$53)</f>
        <v>0</v>
      </c>
      <c r="PE21" s="56">
        <f>50+60</f>
        <v>110</v>
      </c>
      <c r="PF21" s="242">
        <f t="shared" si="138"/>
        <v>-110</v>
      </c>
      <c r="PG21" s="242">
        <f t="shared" si="139"/>
        <v>0</v>
      </c>
      <c r="PH21" s="56"/>
      <c r="PK21" s="55">
        <f t="shared" si="140"/>
        <v>46038</v>
      </c>
      <c r="PL21" s="56"/>
      <c r="PM21" s="242">
        <f>SUMPRODUCT(PRODUCE!$B20:$DY20,PRODUCE!$EB$54:$IY$54)</f>
        <v>0</v>
      </c>
      <c r="PN21" s="56"/>
      <c r="PO21" s="242">
        <f t="shared" si="141"/>
        <v>0</v>
      </c>
      <c r="PP21" s="242">
        <f t="shared" si="142"/>
        <v>160</v>
      </c>
      <c r="PQ21" s="56"/>
      <c r="PT21" s="55">
        <f t="shared" si="143"/>
        <v>46038</v>
      </c>
      <c r="PU21" s="56"/>
      <c r="PV21" s="242">
        <f>SUMPRODUCT(PRODUCE!$B20:$DY20,PRODUCE!$EB$55:$IY$55)</f>
        <v>0</v>
      </c>
      <c r="PW21" s="56"/>
      <c r="PX21" s="242">
        <f t="shared" si="144"/>
        <v>0</v>
      </c>
      <c r="PY21" s="242">
        <f t="shared" si="145"/>
        <v>13.960000000000036</v>
      </c>
      <c r="PZ21" s="56"/>
      <c r="QC21" s="55">
        <f t="shared" si="146"/>
        <v>46038</v>
      </c>
      <c r="QD21" s="56"/>
      <c r="QE21" s="242">
        <f>SUMPRODUCT(PRODUCE!$B20:$DY20,PRODUCE!$EB$56:$IY$56)</f>
        <v>0</v>
      </c>
      <c r="QF21" s="56"/>
      <c r="QG21" s="242">
        <f t="shared" si="147"/>
        <v>0</v>
      </c>
      <c r="QH21" s="242">
        <f t="shared" si="148"/>
        <v>0</v>
      </c>
      <c r="QI21" s="56"/>
      <c r="QL21" s="55">
        <f t="shared" si="149"/>
        <v>46038</v>
      </c>
      <c r="QM21" s="56"/>
      <c r="QN21" s="242">
        <f>SUMPRODUCT(PRODUCE!$B20:$DY20,PRODUCE!$EB$57:$IY$57)</f>
        <v>0</v>
      </c>
      <c r="QO21" s="56"/>
      <c r="QP21" s="242">
        <f t="shared" si="150"/>
        <v>0</v>
      </c>
      <c r="QQ21" s="242">
        <f t="shared" si="151"/>
        <v>0</v>
      </c>
      <c r="QR21" s="56"/>
      <c r="QU21" s="55">
        <f t="shared" si="152"/>
        <v>46038</v>
      </c>
      <c r="QV21" s="56"/>
      <c r="QW21" s="242">
        <f>SUMPRODUCT(PRODUCE!$B20:$DY20,PRODUCE!$EB$57:$IY$57)</f>
        <v>0</v>
      </c>
      <c r="QX21" s="56"/>
      <c r="QY21" s="242">
        <f t="shared" si="153"/>
        <v>0</v>
      </c>
      <c r="QZ21" s="242">
        <f t="shared" si="154"/>
        <v>207.6</v>
      </c>
      <c r="RA21" s="56"/>
      <c r="RD21" s="55">
        <f t="shared" si="155"/>
        <v>46038</v>
      </c>
      <c r="RE21" s="56"/>
      <c r="RF21" s="242">
        <f>SUMPRODUCT(PRODUCE!$B20:$DY20,PRODUCE!$EB$58:$IY$58)</f>
        <v>0</v>
      </c>
      <c r="RG21" s="56"/>
      <c r="RH21" s="242">
        <f t="shared" si="156"/>
        <v>0</v>
      </c>
      <c r="RI21" s="242">
        <f t="shared" si="157"/>
        <v>201.8</v>
      </c>
      <c r="RJ21" s="56"/>
      <c r="RM21" s="55">
        <f t="shared" si="158"/>
        <v>46038</v>
      </c>
      <c r="RN21" s="56"/>
      <c r="RO21" s="242">
        <f>SUMPRODUCT(PRODUCE!$B20:$DY20,PRODUCE!$EB$59:$IY$59)</f>
        <v>0</v>
      </c>
      <c r="RP21" s="56"/>
      <c r="RQ21" s="242">
        <f t="shared" si="159"/>
        <v>0</v>
      </c>
      <c r="RR21" s="242">
        <f t="shared" si="160"/>
        <v>22.720000000000002</v>
      </c>
      <c r="RS21" s="56"/>
      <c r="RV21" s="55">
        <f t="shared" si="161"/>
        <v>46038</v>
      </c>
      <c r="RW21" s="56"/>
      <c r="RX21" s="242">
        <f>SUMPRODUCT(PRODUCE!$B20:$DY20,PRODUCE!$EB$57:$IY$57)</f>
        <v>0</v>
      </c>
      <c r="RY21" s="56"/>
      <c r="RZ21" s="242">
        <f t="shared" si="162"/>
        <v>0</v>
      </c>
      <c r="SA21" s="242">
        <f t="shared" si="163"/>
        <v>0</v>
      </c>
      <c r="SB21" s="56"/>
      <c r="SE21" s="55">
        <f t="shared" si="164"/>
        <v>46038</v>
      </c>
      <c r="SF21" s="56"/>
      <c r="SG21" s="242">
        <f>SUMPRODUCT(PRODUCE!$B20:$DY20,PRODUCE!$EB$61:$IY$61)</f>
        <v>0</v>
      </c>
      <c r="SH21" s="56"/>
      <c r="SI21" s="242">
        <f t="shared" si="165"/>
        <v>0</v>
      </c>
      <c r="SJ21" s="242">
        <f t="shared" si="166"/>
        <v>0</v>
      </c>
      <c r="SK21" s="56"/>
      <c r="SN21" s="55">
        <f t="shared" si="167"/>
        <v>46038</v>
      </c>
      <c r="SO21" s="56"/>
      <c r="SP21" s="242">
        <f>SUMPRODUCT(PRODUCE!$B20:$DY20,PRODUCE!$EB$57:$IY$57)</f>
        <v>0</v>
      </c>
      <c r="SQ21" s="56"/>
      <c r="SR21" s="242">
        <f t="shared" si="168"/>
        <v>0</v>
      </c>
      <c r="SS21" s="242">
        <f t="shared" si="169"/>
        <v>0</v>
      </c>
      <c r="ST21" s="56"/>
      <c r="SW21" s="55">
        <f t="shared" si="170"/>
        <v>46038</v>
      </c>
      <c r="SX21" s="56"/>
      <c r="SY21" s="242">
        <f>SUMPRODUCT(PRODUCE!$B20:$DY20,PRODUCE!$EB$57:$IY$57)</f>
        <v>0</v>
      </c>
      <c r="SZ21" s="56"/>
      <c r="TA21" s="242">
        <f t="shared" si="171"/>
        <v>0</v>
      </c>
      <c r="TB21" s="242">
        <f t="shared" si="172"/>
        <v>0</v>
      </c>
      <c r="TC21" s="56"/>
      <c r="TF21" s="55">
        <f t="shared" si="173"/>
        <v>46038</v>
      </c>
      <c r="TG21" s="56"/>
      <c r="TH21" s="242">
        <f>SUMPRODUCT(PRODUCE!$B20:$DY20,PRODUCE!$EB$57:$IY$57)</f>
        <v>0</v>
      </c>
      <c r="TI21" s="56"/>
      <c r="TJ21" s="242">
        <f t="shared" si="174"/>
        <v>0</v>
      </c>
      <c r="TK21" s="242">
        <f t="shared" si="175"/>
        <v>0</v>
      </c>
      <c r="TL21" s="56"/>
      <c r="TO21" s="55">
        <f t="shared" si="176"/>
        <v>46038</v>
      </c>
      <c r="TP21" s="56"/>
      <c r="TQ21" s="242">
        <f>SUMPRODUCT(PRODUCE!$B20:$DY20,PRODUCE!$EB$57:$IY$57)</f>
        <v>0</v>
      </c>
      <c r="TR21" s="56"/>
      <c r="TS21" s="242">
        <f t="shared" si="177"/>
        <v>0</v>
      </c>
      <c r="TT21" s="242">
        <f t="shared" si="178"/>
        <v>0</v>
      </c>
      <c r="TU21" s="56"/>
      <c r="TX21" s="55">
        <f t="shared" si="179"/>
        <v>46038</v>
      </c>
      <c r="TY21" s="56"/>
      <c r="TZ21" s="242">
        <f>SUMPRODUCT(PRODUCE!$B20:$DY20,PRODUCE!$EB$57:$IY$57)</f>
        <v>0</v>
      </c>
      <c r="UA21" s="56"/>
      <c r="UB21" s="242">
        <f t="shared" si="180"/>
        <v>0</v>
      </c>
      <c r="UC21" s="242">
        <f t="shared" si="181"/>
        <v>0</v>
      </c>
      <c r="UD21" s="56"/>
      <c r="UG21" s="55">
        <f t="shared" si="182"/>
        <v>46038</v>
      </c>
      <c r="UH21" s="56"/>
      <c r="UI21" s="242">
        <f>SUMPRODUCT(PRODUCE!$B20:$DY20,PRODUCE!$EB$57:$IY$57)</f>
        <v>0</v>
      </c>
      <c r="UJ21" s="56"/>
      <c r="UK21" s="242">
        <f t="shared" si="183"/>
        <v>0</v>
      </c>
      <c r="UL21" s="242">
        <f t="shared" si="184"/>
        <v>0</v>
      </c>
      <c r="UM21" s="56"/>
      <c r="UP21" s="55">
        <f t="shared" si="185"/>
        <v>46038</v>
      </c>
      <c r="UQ21" s="56"/>
      <c r="UR21" s="242">
        <f>SUMPRODUCT(PRODUCE!$B20:$DY20,PRODUCE!$EB$57:$IY$57)</f>
        <v>0</v>
      </c>
      <c r="US21" s="56"/>
      <c r="UT21" s="242">
        <f t="shared" si="186"/>
        <v>0</v>
      </c>
      <c r="UU21" s="242">
        <f t="shared" si="187"/>
        <v>0</v>
      </c>
      <c r="UV21" s="56"/>
      <c r="UY21" s="55">
        <f t="shared" si="188"/>
        <v>46038</v>
      </c>
      <c r="UZ21" s="56"/>
      <c r="VA21" s="242">
        <f>SUMPRODUCT(PRODUCE!$B20:$DY20,PRODUCE!$EB$57:$IY$57)</f>
        <v>0</v>
      </c>
      <c r="VB21" s="56"/>
      <c r="VC21" s="242">
        <f t="shared" si="189"/>
        <v>0</v>
      </c>
      <c r="VD21" s="242">
        <f t="shared" si="190"/>
        <v>-319.59999999999997</v>
      </c>
      <c r="VE21" s="56"/>
      <c r="VH21" s="55">
        <f t="shared" si="191"/>
        <v>46038</v>
      </c>
      <c r="VI21" s="56"/>
      <c r="VJ21" s="242">
        <f>SUMPRODUCT(PRODUCE!$B20:$DY20,PRODUCE!$EB$57:$IY$57)</f>
        <v>0</v>
      </c>
      <c r="VK21" s="56"/>
      <c r="VL21" s="242">
        <f t="shared" si="192"/>
        <v>0</v>
      </c>
      <c r="VM21" s="242">
        <f t="shared" si="193"/>
        <v>0</v>
      </c>
      <c r="VN21" s="56"/>
      <c r="VQ21" s="55">
        <f t="shared" si="194"/>
        <v>46038</v>
      </c>
      <c r="VR21" s="56"/>
      <c r="VS21" s="242">
        <f>SUMPRODUCT(PRODUCE!$B20:$DY20,PRODUCE!$EB$57:$IY$57)</f>
        <v>0</v>
      </c>
      <c r="VT21" s="56"/>
      <c r="VU21" s="242">
        <f t="shared" si="195"/>
        <v>0</v>
      </c>
      <c r="VV21" s="242">
        <f t="shared" si="196"/>
        <v>0</v>
      </c>
      <c r="VW21" s="56"/>
      <c r="VZ21" s="55">
        <f t="shared" si="197"/>
        <v>46038</v>
      </c>
      <c r="WA21" s="56"/>
      <c r="WB21" s="242">
        <f>SUMPRODUCT(PRODUCE!$B20:$DY20,PRODUCE!$EB$57:$IY$57)</f>
        <v>0</v>
      </c>
      <c r="WC21" s="56"/>
      <c r="WD21" s="242">
        <f t="shared" si="198"/>
        <v>0</v>
      </c>
      <c r="WE21" s="242">
        <f t="shared" si="199"/>
        <v>0</v>
      </c>
      <c r="WF21" s="56"/>
      <c r="WI21" s="55">
        <f t="shared" si="200"/>
        <v>46038</v>
      </c>
      <c r="WJ21" s="56"/>
      <c r="WK21" s="242">
        <f>SUMPRODUCT(PRODUCE!$B20:$DY20,PRODUCE!$EB$57:$IY$57)</f>
        <v>0</v>
      </c>
      <c r="WL21" s="56"/>
      <c r="WM21" s="242">
        <f t="shared" si="201"/>
        <v>0</v>
      </c>
      <c r="WN21" s="242">
        <f t="shared" si="202"/>
        <v>5877</v>
      </c>
      <c r="WO21" s="56"/>
      <c r="WR21" s="55">
        <f t="shared" si="203"/>
        <v>46038</v>
      </c>
      <c r="WS21" s="56"/>
      <c r="WT21" s="242">
        <f>SUMPRODUCT(PRODUCE!$B20:$DY20,PRODUCE!$EB$57:$IY$57)</f>
        <v>0</v>
      </c>
      <c r="WU21" s="56"/>
      <c r="WV21" s="242">
        <f t="shared" si="204"/>
        <v>0</v>
      </c>
      <c r="WW21" s="242">
        <f t="shared" si="205"/>
        <v>5267</v>
      </c>
      <c r="WX21" s="56"/>
      <c r="XA21" s="55">
        <f t="shared" si="206"/>
        <v>46038</v>
      </c>
      <c r="XB21" s="56"/>
      <c r="XC21" s="242">
        <f>SUMPRODUCT(PRODUCE!$B20:$DY20,PRODUCE!$EB$57:$IY$57)</f>
        <v>0</v>
      </c>
      <c r="XD21" s="56"/>
      <c r="XE21" s="242">
        <f t="shared" si="207"/>
        <v>0</v>
      </c>
      <c r="XF21" s="242">
        <f t="shared" si="208"/>
        <v>118</v>
      </c>
      <c r="XG21" s="56"/>
      <c r="XJ21" s="55">
        <f t="shared" si="209"/>
        <v>46038</v>
      </c>
      <c r="XK21" s="56"/>
      <c r="XL21" s="242">
        <f>SUMPRODUCT(PRODUCE!$B20:$DY20,PRODUCE!$EB$57:$IY$57)</f>
        <v>0</v>
      </c>
      <c r="XM21" s="56"/>
      <c r="XN21" s="242">
        <f t="shared" si="210"/>
        <v>0</v>
      </c>
      <c r="XO21" s="242">
        <f t="shared" si="211"/>
        <v>6126</v>
      </c>
      <c r="XP21" s="56"/>
      <c r="XS21" s="55">
        <f t="shared" si="212"/>
        <v>46038</v>
      </c>
      <c r="XT21" s="56"/>
      <c r="XU21" s="242">
        <f>SUMPRODUCT(PRODUCE!$B20:$DY20,PRODUCE!$EB$57:$IY$57)</f>
        <v>0</v>
      </c>
      <c r="XV21" s="56"/>
      <c r="XW21" s="242">
        <f t="shared" si="213"/>
        <v>0</v>
      </c>
      <c r="XX21" s="242">
        <f t="shared" si="214"/>
        <v>1901</v>
      </c>
      <c r="XY21" s="56"/>
      <c r="YB21" s="55">
        <f t="shared" si="215"/>
        <v>46038</v>
      </c>
      <c r="YC21" s="56"/>
      <c r="YD21" s="242">
        <f>SUMPRODUCT(PRODUCE!$B20:$DY20,PRODUCE!$EB$57:$IY$57)</f>
        <v>0</v>
      </c>
      <c r="YE21" s="56"/>
      <c r="YF21" s="242">
        <f t="shared" si="216"/>
        <v>0</v>
      </c>
      <c r="YG21" s="242">
        <f t="shared" si="217"/>
        <v>3494</v>
      </c>
      <c r="YH21" s="56"/>
      <c r="YK21" s="55">
        <f t="shared" si="218"/>
        <v>46038</v>
      </c>
      <c r="YL21" s="56"/>
      <c r="YM21" s="242">
        <f>SUMPRODUCT(PRODUCE!$B20:$DY20,PRODUCE!$EB$57:$IY$57)</f>
        <v>0</v>
      </c>
      <c r="YN21" s="56"/>
      <c r="YO21" s="242">
        <f t="shared" si="219"/>
        <v>0</v>
      </c>
      <c r="YP21" s="242">
        <f t="shared" si="220"/>
        <v>0</v>
      </c>
      <c r="YQ21" s="56"/>
      <c r="YT21" s="55">
        <f t="shared" si="221"/>
        <v>46038</v>
      </c>
      <c r="YU21" s="56"/>
      <c r="YV21" s="242">
        <f>SUMPRODUCT(PRODUCE!$B20:$DY20,PRODUCE!$EB$57:$IY$57)</f>
        <v>0</v>
      </c>
      <c r="YW21" s="56"/>
      <c r="YX21" s="242">
        <f t="shared" si="222"/>
        <v>0</v>
      </c>
      <c r="YY21" s="242">
        <f t="shared" si="223"/>
        <v>0</v>
      </c>
      <c r="YZ21" s="56"/>
      <c r="ZC21" s="55">
        <f t="shared" si="224"/>
        <v>46038</v>
      </c>
      <c r="ZD21" s="56"/>
      <c r="ZE21" s="242">
        <f>SUMPRODUCT(PRODUCE!$B20:$DY20,PRODUCE!$EB$57:$IY$57)</f>
        <v>0</v>
      </c>
      <c r="ZF21" s="56"/>
      <c r="ZG21" s="242">
        <f t="shared" si="225"/>
        <v>0</v>
      </c>
      <c r="ZH21" s="242">
        <f t="shared" si="226"/>
        <v>0</v>
      </c>
      <c r="ZI21" s="56"/>
      <c r="ZL21" s="55">
        <f t="shared" si="227"/>
        <v>46038</v>
      </c>
      <c r="ZM21" s="56"/>
      <c r="ZN21" s="242">
        <f>SUMPRODUCT(PRODUCE!$B20:$DY20,PRODUCE!$EB$57:$IY$57)</f>
        <v>0</v>
      </c>
      <c r="ZO21" s="56"/>
      <c r="ZP21" s="242">
        <f t="shared" si="228"/>
        <v>0</v>
      </c>
      <c r="ZQ21" s="242">
        <f t="shared" si="229"/>
        <v>0</v>
      </c>
      <c r="ZR21" s="56"/>
      <c r="ZU21" s="55">
        <f t="shared" si="230"/>
        <v>46038</v>
      </c>
      <c r="ZV21" s="56"/>
      <c r="ZW21" s="242">
        <f>SUMPRODUCT(PRODUCE!$B20:$DY20,PRODUCE!$EB$57:$IY$57)</f>
        <v>0</v>
      </c>
      <c r="ZX21" s="56"/>
      <c r="ZY21" s="242">
        <f t="shared" si="231"/>
        <v>0</v>
      </c>
      <c r="ZZ21" s="242">
        <f t="shared" si="232"/>
        <v>0</v>
      </c>
      <c r="AAA21" s="56"/>
      <c r="AAD21" s="55">
        <f t="shared" si="233"/>
        <v>46038</v>
      </c>
      <c r="AAE21" s="56"/>
      <c r="AAF21" s="242">
        <f>SUMPRODUCT(PRODUCE!$B20:$DY20,PRODUCE!$EB$57:$IY$57)</f>
        <v>0</v>
      </c>
      <c r="AAG21" s="56"/>
      <c r="AAH21" s="242">
        <f t="shared" si="234"/>
        <v>0</v>
      </c>
      <c r="AAI21" s="242">
        <f t="shared" si="235"/>
        <v>0</v>
      </c>
      <c r="AAJ21" s="56"/>
      <c r="AAM21" s="55">
        <f t="shared" si="236"/>
        <v>46038</v>
      </c>
      <c r="AAN21" s="56"/>
      <c r="AAO21" s="242">
        <f>SUMPRODUCT(PRODUCE!$B20:$DY20,PRODUCE!$EB$57:$IY$57)</f>
        <v>0</v>
      </c>
      <c r="AAP21" s="56"/>
      <c r="AAQ21" s="242">
        <f t="shared" si="237"/>
        <v>0</v>
      </c>
      <c r="AAR21" s="242">
        <f t="shared" si="238"/>
        <v>0</v>
      </c>
      <c r="AAS21" s="56"/>
      <c r="AAV21" s="55">
        <f t="shared" si="239"/>
        <v>46038</v>
      </c>
      <c r="AAW21" s="56"/>
      <c r="AAX21" s="242">
        <f>SUMPRODUCT(PRODUCE!$B20:$DY20,PRODUCE!$EB$57:$IY$57)</f>
        <v>0</v>
      </c>
      <c r="AAY21" s="56"/>
      <c r="AAZ21" s="242">
        <f t="shared" si="240"/>
        <v>0</v>
      </c>
      <c r="ABA21" s="242">
        <f t="shared" si="241"/>
        <v>0</v>
      </c>
      <c r="ABB21" s="56"/>
      <c r="ABE21" s="55">
        <f t="shared" si="242"/>
        <v>46038</v>
      </c>
      <c r="ABF21" s="56"/>
      <c r="ABG21" s="242">
        <f>SUMPRODUCT(PRODUCE!$B20:$DY20,PRODUCE!$EB$57:$IY$57)</f>
        <v>0</v>
      </c>
      <c r="ABH21" s="56"/>
      <c r="ABI21" s="242">
        <f t="shared" si="243"/>
        <v>0</v>
      </c>
      <c r="ABJ21" s="242">
        <f t="shared" si="244"/>
        <v>0</v>
      </c>
      <c r="ABK21" s="56"/>
    </row>
    <row r="22" spans="2:739" s="54" customFormat="1" ht="15" customHeight="1" outlineLevel="1">
      <c r="B22" s="478">
        <v>26</v>
      </c>
      <c r="C22" s="55">
        <v>46039</v>
      </c>
      <c r="D22" s="422">
        <v>11200</v>
      </c>
      <c r="E22" s="423">
        <f>SUMPRODUCT(PRODUCE!$B21:$DY21,PRODUCE!$EB$7:$IY$7)</f>
        <v>13975</v>
      </c>
      <c r="F22" s="422">
        <v>13971</v>
      </c>
      <c r="G22" s="423">
        <f t="shared" si="2"/>
        <v>4</v>
      </c>
      <c r="H22" s="423">
        <f t="shared" si="0"/>
        <v>33783.000000000007</v>
      </c>
      <c r="I22" s="324" t="s">
        <v>186</v>
      </c>
      <c r="L22" s="55">
        <f t="shared" si="1"/>
        <v>46039</v>
      </c>
      <c r="M22" s="422">
        <v>28860</v>
      </c>
      <c r="N22" s="438">
        <f>SUMPRODUCT(PRODUCE!$B21:$DY21,PRODUCE!$EB$8:$IY$8)</f>
        <v>7253.9999999999982</v>
      </c>
      <c r="O22" s="422">
        <v>7252</v>
      </c>
      <c r="P22" s="438">
        <f t="shared" si="3"/>
        <v>1.999999999998181</v>
      </c>
      <c r="Q22" s="438">
        <f t="shared" si="4"/>
        <v>35683.400000000009</v>
      </c>
      <c r="R22" s="56"/>
      <c r="U22" s="55">
        <f t="shared" si="5"/>
        <v>46039</v>
      </c>
      <c r="V22" s="422"/>
      <c r="W22" s="440">
        <f>SUMPRODUCT(PRODUCE!$B21:$DY21,PRODUCE!$EB$9:$IY$9)</f>
        <v>1300</v>
      </c>
      <c r="X22" s="422">
        <v>1299.5</v>
      </c>
      <c r="Y22" s="440">
        <f t="shared" si="6"/>
        <v>0.5</v>
      </c>
      <c r="Z22" s="440">
        <f t="shared" si="7"/>
        <v>52262.89999999998</v>
      </c>
      <c r="AA22" s="56"/>
      <c r="AD22" s="55">
        <f t="shared" si="8"/>
        <v>46039</v>
      </c>
      <c r="AE22" s="422"/>
      <c r="AF22" s="442">
        <f>SUMPRODUCT(PRODUCE!$B21:$DY21,PRODUCE!$EB$10:$IY$10)</f>
        <v>1300</v>
      </c>
      <c r="AG22" s="422">
        <v>1300.9000000000001</v>
      </c>
      <c r="AH22" s="442">
        <f t="shared" si="9"/>
        <v>-0.90000000000009095</v>
      </c>
      <c r="AI22" s="442">
        <f t="shared" si="10"/>
        <v>21964.000000000004</v>
      </c>
      <c r="AJ22" s="56"/>
      <c r="AM22" s="55">
        <f t="shared" si="11"/>
        <v>46039</v>
      </c>
      <c r="AN22" s="422"/>
      <c r="AO22" s="444">
        <f>SUMPRODUCT(PRODUCE!$B21:$DY21,PRODUCE!$EB$11:$IY$11)</f>
        <v>0</v>
      </c>
      <c r="AP22" s="422"/>
      <c r="AQ22" s="444">
        <f t="shared" si="12"/>
        <v>0</v>
      </c>
      <c r="AR22" s="444">
        <f t="shared" si="13"/>
        <v>0</v>
      </c>
      <c r="AS22" s="56"/>
      <c r="AV22" s="55">
        <f t="shared" si="14"/>
        <v>46039</v>
      </c>
      <c r="AW22" s="422"/>
      <c r="AX22" s="446">
        <f>SUMPRODUCT(PRODUCE!$B21:$DY21,PRODUCE!$EB$12:$IY$12)</f>
        <v>520</v>
      </c>
      <c r="AY22" s="422">
        <v>521.29999999999995</v>
      </c>
      <c r="AZ22" s="446">
        <f t="shared" si="15"/>
        <v>-1.2999999999999545</v>
      </c>
      <c r="BA22" s="446">
        <f t="shared" si="16"/>
        <v>13353.799999999992</v>
      </c>
      <c r="BB22" s="56"/>
      <c r="BE22" s="55">
        <f t="shared" si="17"/>
        <v>46039</v>
      </c>
      <c r="BF22" s="422">
        <v>22180</v>
      </c>
      <c r="BG22" s="448">
        <f>SUMPRODUCT(PRODUCE!$B21:$DY21,PRODUCE!$EB$13:$IY$13)</f>
        <v>520</v>
      </c>
      <c r="BH22" s="422">
        <v>521</v>
      </c>
      <c r="BI22" s="448">
        <f t="shared" si="18"/>
        <v>-1</v>
      </c>
      <c r="BJ22" s="448">
        <f t="shared" si="19"/>
        <v>32402.400000000009</v>
      </c>
      <c r="BK22" s="56"/>
      <c r="BN22" s="55">
        <f t="shared" si="20"/>
        <v>46039</v>
      </c>
      <c r="BO22" s="422">
        <v>520</v>
      </c>
      <c r="BP22" s="450">
        <f>SUMPRODUCT(PRODUCE!$B21:$DY21,PRODUCE!$EB$14:$IY$14)</f>
        <v>520</v>
      </c>
      <c r="BQ22" s="422">
        <v>520</v>
      </c>
      <c r="BR22" s="450">
        <f t="shared" si="21"/>
        <v>0</v>
      </c>
      <c r="BS22" s="450">
        <f t="shared" si="22"/>
        <v>0</v>
      </c>
      <c r="BT22" s="56"/>
      <c r="BW22" s="55">
        <f t="shared" si="23"/>
        <v>46039</v>
      </c>
      <c r="BX22" s="56"/>
      <c r="BY22" s="65">
        <f>SUMPRODUCT(PRODUCE!$B21:$DY21,PRODUCE!$EB$15:$IY$15)</f>
        <v>0</v>
      </c>
      <c r="BZ22" s="56"/>
      <c r="CA22" s="65">
        <f t="shared" si="24"/>
        <v>0</v>
      </c>
      <c r="CB22" s="65">
        <f t="shared" si="25"/>
        <v>3386.5</v>
      </c>
      <c r="CC22" s="56"/>
      <c r="CF22" s="55">
        <f t="shared" si="26"/>
        <v>46039</v>
      </c>
      <c r="CG22" s="56"/>
      <c r="CH22" s="66">
        <f>SUMPRODUCT(PRODUCE!$B21:$DY21,PRODUCE!$EB$16:$IY$16)</f>
        <v>0</v>
      </c>
      <c r="CI22" s="56"/>
      <c r="CJ22" s="66">
        <f t="shared" si="27"/>
        <v>0</v>
      </c>
      <c r="CK22" s="66">
        <f t="shared" si="28"/>
        <v>0</v>
      </c>
      <c r="CL22" s="56"/>
      <c r="CO22" s="55">
        <f t="shared" si="29"/>
        <v>46039</v>
      </c>
      <c r="CP22" s="422"/>
      <c r="CQ22" s="470">
        <f>SUMPRODUCT(PRODUCE!$B21:$DY21,PRODUCE!$EB$17:$IY$17)</f>
        <v>0</v>
      </c>
      <c r="CR22" s="422"/>
      <c r="CS22" s="470">
        <f t="shared" si="30"/>
        <v>0</v>
      </c>
      <c r="CT22" s="470">
        <f t="shared" si="31"/>
        <v>0</v>
      </c>
      <c r="CU22" s="56"/>
      <c r="CX22" s="55">
        <f t="shared" si="32"/>
        <v>46039</v>
      </c>
      <c r="CY22" s="56"/>
      <c r="CZ22" s="133">
        <f>SUMPRODUCT(PRODUCE!$B21:$DY21,PRODUCE!$EB$18:$IY$18)</f>
        <v>0</v>
      </c>
      <c r="DA22" s="56"/>
      <c r="DB22" s="133">
        <f t="shared" si="33"/>
        <v>0</v>
      </c>
      <c r="DC22" s="133">
        <f t="shared" si="34"/>
        <v>0</v>
      </c>
      <c r="DD22" s="56"/>
      <c r="DG22" s="55">
        <f t="shared" si="35"/>
        <v>46039</v>
      </c>
      <c r="DH22" s="56"/>
      <c r="DI22" s="147">
        <f>SUMPRODUCT(PRODUCE!$B21:$DY21,PRODUCE!$EB$19:$IY$19)</f>
        <v>0</v>
      </c>
      <c r="DJ22" s="56"/>
      <c r="DK22" s="147">
        <f t="shared" si="36"/>
        <v>0</v>
      </c>
      <c r="DL22" s="147">
        <f t="shared" si="37"/>
        <v>24902.399999999998</v>
      </c>
      <c r="DM22" s="56"/>
      <c r="DP22" s="55">
        <f t="shared" si="38"/>
        <v>46039</v>
      </c>
      <c r="DQ22" s="56"/>
      <c r="DR22" s="57">
        <f>SUMPRODUCT(PRODUCE!$B21:$DY21,PRODUCE!$EB$20:$IY$20)</f>
        <v>0</v>
      </c>
      <c r="DS22" s="56"/>
      <c r="DT22" s="57">
        <f t="shared" si="39"/>
        <v>0</v>
      </c>
      <c r="DU22" s="57">
        <f t="shared" si="40"/>
        <v>0</v>
      </c>
      <c r="DV22" s="56"/>
      <c r="DY22" s="55">
        <f t="shared" si="41"/>
        <v>46039</v>
      </c>
      <c r="DZ22" s="56"/>
      <c r="EA22" s="157">
        <f>SUMPRODUCT(PRODUCE!$B21:$DY21,PRODUCE!$EB$21:$IY$21)</f>
        <v>0</v>
      </c>
      <c r="EB22" s="56"/>
      <c r="EC22" s="157">
        <f t="shared" si="42"/>
        <v>0</v>
      </c>
      <c r="ED22" s="157">
        <f t="shared" si="43"/>
        <v>0</v>
      </c>
      <c r="EE22" s="56"/>
      <c r="EH22" s="55">
        <f t="shared" si="44"/>
        <v>46039</v>
      </c>
      <c r="EI22" s="56"/>
      <c r="EJ22" s="162">
        <f>SUMPRODUCT(PRODUCE!$B21:$DY21,PRODUCE!$EB$22:$IY$22)</f>
        <v>0</v>
      </c>
      <c r="EK22" s="56"/>
      <c r="EL22" s="162">
        <f t="shared" si="45"/>
        <v>0</v>
      </c>
      <c r="EM22" s="162">
        <f t="shared" si="46"/>
        <v>0</v>
      </c>
      <c r="EN22" s="56"/>
      <c r="EQ22" s="55">
        <f t="shared" si="47"/>
        <v>46039</v>
      </c>
      <c r="ER22" s="56"/>
      <c r="ES22" s="135">
        <f>SUMPRODUCT(PRODUCE!$B21:$DY21,PRODUCE!$EB$23:$IY$23)</f>
        <v>0</v>
      </c>
      <c r="ET22" s="56"/>
      <c r="EU22" s="135">
        <f t="shared" si="48"/>
        <v>0</v>
      </c>
      <c r="EV22" s="135">
        <f t="shared" si="49"/>
        <v>0</v>
      </c>
      <c r="EW22" s="56"/>
      <c r="EZ22" s="55">
        <f t="shared" si="50"/>
        <v>46039</v>
      </c>
      <c r="FA22" s="56"/>
      <c r="FB22" s="175">
        <f>SUMPRODUCT(PRODUCE!$B21:$DY21,PRODUCE!$EB$24:$IY$24)</f>
        <v>0</v>
      </c>
      <c r="FC22" s="56"/>
      <c r="FD22" s="175">
        <f t="shared" si="51"/>
        <v>0</v>
      </c>
      <c r="FE22" s="175">
        <f t="shared" si="52"/>
        <v>0</v>
      </c>
      <c r="FF22" s="56"/>
      <c r="FI22" s="55">
        <f t="shared" si="53"/>
        <v>46039</v>
      </c>
      <c r="FJ22" s="56"/>
      <c r="FK22" s="183">
        <f>SUMPRODUCT(PRODUCE!$B21:$DY21,PRODUCE!$EB$25:$IY$25)</f>
        <v>0</v>
      </c>
      <c r="FL22" s="56"/>
      <c r="FM22" s="183">
        <f t="shared" si="54"/>
        <v>0</v>
      </c>
      <c r="FN22" s="183">
        <f>FN21+FJ22-FL22</f>
        <v>0</v>
      </c>
      <c r="FO22" s="56"/>
      <c r="FR22" s="55">
        <f t="shared" si="56"/>
        <v>46039</v>
      </c>
      <c r="FS22" s="422"/>
      <c r="FT22" s="452">
        <f>SUMPRODUCT(PRODUCE!$B21:$DY21,PRODUCE!$EB$26:$IY$26)</f>
        <v>0</v>
      </c>
      <c r="FU22" s="422"/>
      <c r="FV22" s="452">
        <f t="shared" si="57"/>
        <v>0</v>
      </c>
      <c r="FW22" s="452">
        <f t="shared" si="58"/>
        <v>3540</v>
      </c>
      <c r="FX22" s="56"/>
      <c r="GA22" s="55">
        <f t="shared" si="59"/>
        <v>46039</v>
      </c>
      <c r="GB22" s="422"/>
      <c r="GC22" s="454">
        <f>SUMPRODUCT(PRODUCE!$B21:$DY21,PRODUCE!$EB$27:$IY$27)</f>
        <v>0</v>
      </c>
      <c r="GD22" s="422"/>
      <c r="GE22" s="454">
        <f t="shared" si="60"/>
        <v>0</v>
      </c>
      <c r="GF22" s="454">
        <f t="shared" si="61"/>
        <v>1960</v>
      </c>
      <c r="GG22" s="56"/>
      <c r="GI22" s="23"/>
      <c r="GJ22" s="55">
        <f t="shared" si="62"/>
        <v>46039</v>
      </c>
      <c r="GK22" s="422"/>
      <c r="GL22" s="456">
        <f>SUMPRODUCT(PRODUCE!$B21:$DY21,PRODUCE!$EB$28:$IY$28)</f>
        <v>0</v>
      </c>
      <c r="GM22" s="422"/>
      <c r="GN22" s="456">
        <f t="shared" si="63"/>
        <v>0</v>
      </c>
      <c r="GO22" s="456">
        <f t="shared" si="64"/>
        <v>6160</v>
      </c>
      <c r="GP22" s="56"/>
      <c r="GS22" s="55">
        <f t="shared" si="65"/>
        <v>46039</v>
      </c>
      <c r="GT22" s="56"/>
      <c r="GU22" s="195">
        <f>SUMPRODUCT(PRODUCE!$B21:$DY21,PRODUCE!$EB$29:$IY$29)</f>
        <v>0</v>
      </c>
      <c r="GV22" s="56"/>
      <c r="GW22" s="195">
        <f t="shared" si="66"/>
        <v>0</v>
      </c>
      <c r="GX22" s="195">
        <f t="shared" si="67"/>
        <v>0</v>
      </c>
      <c r="GY22" s="56"/>
      <c r="HB22" s="55">
        <f t="shared" si="68"/>
        <v>46039</v>
      </c>
      <c r="HC22" s="56"/>
      <c r="HD22" s="191">
        <f>SUMPRODUCT(PRODUCE!$B21:$DY21,PRODUCE!$EB$30:$IY$30)</f>
        <v>0</v>
      </c>
      <c r="HE22" s="56"/>
      <c r="HF22" s="191">
        <f t="shared" si="69"/>
        <v>0</v>
      </c>
      <c r="HG22" s="191">
        <f t="shared" si="70"/>
        <v>0</v>
      </c>
      <c r="HH22" s="56"/>
      <c r="HK22" s="55">
        <f t="shared" si="71"/>
        <v>46039</v>
      </c>
      <c r="HL22" s="56"/>
      <c r="HM22" s="63">
        <f>SUMPRODUCT(PRODUCE!$B21:$DY21,PRODUCE!$EB$31:$IY$31)</f>
        <v>0</v>
      </c>
      <c r="HN22" s="56"/>
      <c r="HO22" s="63">
        <f t="shared" si="72"/>
        <v>0</v>
      </c>
      <c r="HP22" s="63">
        <f t="shared" si="73"/>
        <v>0</v>
      </c>
      <c r="HQ22" s="56"/>
      <c r="HU22" s="55">
        <f t="shared" si="74"/>
        <v>46039</v>
      </c>
      <c r="HV22" s="56"/>
      <c r="HW22" s="242">
        <f>SUMPRODUCT(PRODUCE!$B21:$DY21,PRODUCE!$EB$32:$IY$32)</f>
        <v>0</v>
      </c>
      <c r="HX22" s="56"/>
      <c r="HY22" s="242">
        <f t="shared" si="75"/>
        <v>0</v>
      </c>
      <c r="HZ22" s="242">
        <f t="shared" si="76"/>
        <v>2800</v>
      </c>
      <c r="IA22" s="56"/>
      <c r="ID22" s="55">
        <f t="shared" si="77"/>
        <v>46039</v>
      </c>
      <c r="IE22" s="56"/>
      <c r="IF22" s="242">
        <f>SUMPRODUCT(PRODUCE!$B21:$DY21,PRODUCE!$EB$33:$IY$33)</f>
        <v>0</v>
      </c>
      <c r="IG22" s="56"/>
      <c r="IH22" s="242">
        <f t="shared" si="78"/>
        <v>0</v>
      </c>
      <c r="II22" s="242">
        <f t="shared" si="79"/>
        <v>5100</v>
      </c>
      <c r="IJ22" s="56"/>
      <c r="IM22" s="55">
        <f t="shared" si="80"/>
        <v>46039</v>
      </c>
      <c r="IN22" s="56"/>
      <c r="IO22" s="242">
        <f>SUMPRODUCT(PRODUCE!$B21:$DY21,PRODUCE!$EB$34:$IY$34)</f>
        <v>520</v>
      </c>
      <c r="IP22" s="56"/>
      <c r="IQ22" s="242">
        <f t="shared" si="81"/>
        <v>520</v>
      </c>
      <c r="IR22" s="242">
        <f t="shared" si="82"/>
        <v>15040</v>
      </c>
      <c r="IS22" s="56"/>
      <c r="IV22" s="55">
        <f t="shared" si="83"/>
        <v>46039</v>
      </c>
      <c r="IW22" s="56"/>
      <c r="IX22" s="242">
        <f>SUMPRODUCT(PRODUCE!$B21:$DY21,PRODUCE!$EB$35:$IY$35)</f>
        <v>0</v>
      </c>
      <c r="IY22" s="56"/>
      <c r="IZ22" s="242">
        <f t="shared" si="84"/>
        <v>0</v>
      </c>
      <c r="JA22" s="242">
        <f t="shared" si="85"/>
        <v>5120</v>
      </c>
      <c r="JB22" s="56"/>
      <c r="JE22" s="55">
        <f t="shared" si="86"/>
        <v>46039</v>
      </c>
      <c r="JF22" s="56"/>
      <c r="JG22" s="242">
        <f>SUMPRODUCT(PRODUCE!$B21:$DY21,PRODUCE!$EB$36:$IY$36)</f>
        <v>0</v>
      </c>
      <c r="JH22" s="56"/>
      <c r="JI22" s="242">
        <f t="shared" si="87"/>
        <v>0</v>
      </c>
      <c r="JJ22" s="242">
        <f t="shared" si="88"/>
        <v>6800</v>
      </c>
      <c r="JK22" s="56"/>
      <c r="JN22" s="55">
        <f t="shared" si="89"/>
        <v>46039</v>
      </c>
      <c r="JO22" s="56"/>
      <c r="JP22" s="242">
        <f>SUMPRODUCT(PRODUCE!$B21:$DY21,PRODUCE!$EB$37:$IY$37)</f>
        <v>0</v>
      </c>
      <c r="JQ22" s="56"/>
      <c r="JR22" s="242">
        <f t="shared" si="90"/>
        <v>0</v>
      </c>
      <c r="JS22" s="242">
        <f t="shared" si="91"/>
        <v>5400</v>
      </c>
      <c r="JT22" s="56"/>
      <c r="JW22" s="55">
        <f t="shared" si="92"/>
        <v>46039</v>
      </c>
      <c r="JX22" s="56"/>
      <c r="JY22" s="242">
        <f>SUMPRODUCT(PRODUCE!$B21:$DY21,PRODUCE!$EB$38:$IY$38)</f>
        <v>0</v>
      </c>
      <c r="JZ22" s="56"/>
      <c r="KA22" s="242">
        <f t="shared" si="93"/>
        <v>0</v>
      </c>
      <c r="KB22" s="242">
        <f t="shared" si="94"/>
        <v>0</v>
      </c>
      <c r="KC22" s="56"/>
      <c r="KF22" s="55">
        <f t="shared" si="95"/>
        <v>46039</v>
      </c>
      <c r="KG22" s="56"/>
      <c r="KH22" s="242">
        <f>SUMPRODUCT(PRODUCE!$B21:$DY21,PRODUCE!$EB$39:$IY$39)</f>
        <v>0</v>
      </c>
      <c r="KI22" s="56"/>
      <c r="KJ22" s="242">
        <f t="shared" si="96"/>
        <v>0</v>
      </c>
      <c r="KK22" s="242">
        <f t="shared" si="97"/>
        <v>0</v>
      </c>
      <c r="KL22" s="56"/>
      <c r="KO22" s="55">
        <f t="shared" si="98"/>
        <v>46039</v>
      </c>
      <c r="KP22" s="56"/>
      <c r="KQ22" s="242">
        <f>SUMPRODUCT(PRODUCE!$B21:$DY21,PRODUCE!$EB$40:$IY$40)</f>
        <v>0</v>
      </c>
      <c r="KR22" s="56"/>
      <c r="KS22" s="242">
        <f t="shared" si="99"/>
        <v>0</v>
      </c>
      <c r="KT22" s="242">
        <f t="shared" si="100"/>
        <v>0</v>
      </c>
      <c r="KU22" s="56"/>
      <c r="KW22" s="23"/>
      <c r="KX22" s="55">
        <f t="shared" si="101"/>
        <v>46039</v>
      </c>
      <c r="KY22" s="56"/>
      <c r="KZ22" s="242">
        <f>SUMPRODUCT(PRODUCE!$B21:$DY21,PRODUCE!$EB$41:$IY$41)</f>
        <v>0</v>
      </c>
      <c r="LA22" s="56"/>
      <c r="LB22" s="242">
        <f t="shared" si="102"/>
        <v>0</v>
      </c>
      <c r="LC22" s="242">
        <f t="shared" si="103"/>
        <v>0</v>
      </c>
      <c r="LD22" s="56"/>
      <c r="LG22" s="55">
        <f t="shared" si="104"/>
        <v>46039</v>
      </c>
      <c r="LH22" s="56"/>
      <c r="LI22" s="242">
        <f>SUMPRODUCT(PRODUCE!$B21:$DY21,PRODUCE!$EB$42:$IY$42)</f>
        <v>0</v>
      </c>
      <c r="LJ22" s="56"/>
      <c r="LK22" s="242">
        <f t="shared" si="105"/>
        <v>0</v>
      </c>
      <c r="LL22" s="242">
        <f t="shared" si="106"/>
        <v>0</v>
      </c>
      <c r="LM22" s="56"/>
      <c r="LP22" s="55">
        <f t="shared" si="107"/>
        <v>46039</v>
      </c>
      <c r="LQ22" s="56"/>
      <c r="LR22" s="242">
        <f>SUMPRODUCT(PRODUCE!$B21:$DY21,PRODUCE!$EB$43:$IY$43)</f>
        <v>0</v>
      </c>
      <c r="LS22" s="56"/>
      <c r="LT22" s="242">
        <f t="shared" si="108"/>
        <v>0</v>
      </c>
      <c r="LU22" s="242">
        <f t="shared" si="109"/>
        <v>0</v>
      </c>
      <c r="LV22" s="56"/>
      <c r="LY22" s="55">
        <f t="shared" si="110"/>
        <v>46039</v>
      </c>
      <c r="LZ22" s="56"/>
      <c r="MA22" s="242">
        <f>SUMPRODUCT(PRODUCE!$B21:$DY21,PRODUCE!$EB$44:$IY$44)</f>
        <v>0</v>
      </c>
      <c r="MB22" s="56"/>
      <c r="MC22" s="242">
        <f t="shared" si="111"/>
        <v>0</v>
      </c>
      <c r="MD22" s="242">
        <f t="shared" si="112"/>
        <v>0</v>
      </c>
      <c r="ME22" s="56"/>
      <c r="MH22" s="55">
        <f t="shared" si="113"/>
        <v>46039</v>
      </c>
      <c r="MI22" s="56"/>
      <c r="MJ22" s="242">
        <f>SUMPRODUCT(PRODUCE!$B21:$DY21,PRODUCE!$EB$45:$IY$45)</f>
        <v>0</v>
      </c>
      <c r="MK22" s="56"/>
      <c r="ML22" s="242">
        <f t="shared" si="114"/>
        <v>0</v>
      </c>
      <c r="MM22" s="242">
        <f t="shared" si="115"/>
        <v>0</v>
      </c>
      <c r="MN22" s="56"/>
      <c r="MQ22" s="55">
        <f t="shared" si="116"/>
        <v>46039</v>
      </c>
      <c r="MR22" s="56"/>
      <c r="MS22" s="242">
        <f>SUMPRODUCT(PRODUCE!$B21:$DY21,PRODUCE!$EB$46:$IY$46)</f>
        <v>13</v>
      </c>
      <c r="MT22" s="56"/>
      <c r="MU22" s="242">
        <f t="shared" si="117"/>
        <v>13</v>
      </c>
      <c r="MV22" s="242">
        <f t="shared" si="118"/>
        <v>1196</v>
      </c>
      <c r="MW22" s="56"/>
      <c r="MZ22" s="55">
        <f t="shared" si="119"/>
        <v>46039</v>
      </c>
      <c r="NA22" s="56"/>
      <c r="NB22" s="242">
        <f>SUMPRODUCT(PRODUCE!$B21:$DY21,PRODUCE!$EB$47:$IY$47)</f>
        <v>78</v>
      </c>
      <c r="NC22" s="56"/>
      <c r="ND22" s="242">
        <f t="shared" si="120"/>
        <v>78</v>
      </c>
      <c r="NE22" s="242">
        <f t="shared" si="121"/>
        <v>0</v>
      </c>
      <c r="NF22" s="56"/>
      <c r="NI22" s="55">
        <f t="shared" si="122"/>
        <v>46039</v>
      </c>
      <c r="NJ22" s="56"/>
      <c r="NK22" s="242">
        <f>SUMPRODUCT(PRODUCE!$B21:$DY21,PRODUCE!$EB$48:$IY$48)</f>
        <v>0</v>
      </c>
      <c r="NL22" s="56"/>
      <c r="NM22" s="242">
        <f t="shared" si="123"/>
        <v>0</v>
      </c>
      <c r="NN22" s="242">
        <f t="shared" si="124"/>
        <v>0</v>
      </c>
      <c r="NO22" s="56"/>
      <c r="NR22" s="55">
        <f t="shared" si="125"/>
        <v>46039</v>
      </c>
      <c r="NS22" s="56"/>
      <c r="NT22" s="242">
        <f>SUMPRODUCT(PRODUCE!$B21:$DY21,PRODUCE!$EB$49:$IY$49)</f>
        <v>0</v>
      </c>
      <c r="NU22" s="56"/>
      <c r="NV22" s="242">
        <f t="shared" si="126"/>
        <v>0</v>
      </c>
      <c r="NW22" s="242">
        <f t="shared" si="127"/>
        <v>0</v>
      </c>
      <c r="NX22" s="56"/>
      <c r="OA22" s="55">
        <f t="shared" si="128"/>
        <v>46039</v>
      </c>
      <c r="OB22" s="56"/>
      <c r="OC22" s="242">
        <f>SUMPRODUCT(PRODUCE!$B21:$DY21,PRODUCE!$EB$50:$IY$50)</f>
        <v>0</v>
      </c>
      <c r="OD22" s="56"/>
      <c r="OE22" s="242">
        <f t="shared" si="129"/>
        <v>0</v>
      </c>
      <c r="OF22" s="242">
        <f t="shared" si="130"/>
        <v>1680.5</v>
      </c>
      <c r="OG22" s="56"/>
      <c r="OJ22" s="55">
        <f t="shared" si="131"/>
        <v>46039</v>
      </c>
      <c r="OK22" s="56"/>
      <c r="OL22" s="242">
        <f>SUMPRODUCT(PRODUCE!$B21:$DY21,PRODUCE!$EB$51:$IY$51)</f>
        <v>0</v>
      </c>
      <c r="OM22" s="56"/>
      <c r="ON22" s="242">
        <f t="shared" si="132"/>
        <v>0</v>
      </c>
      <c r="OO22" s="242">
        <f t="shared" si="133"/>
        <v>0</v>
      </c>
      <c r="OP22" s="56"/>
      <c r="OS22" s="55">
        <f t="shared" si="134"/>
        <v>46039</v>
      </c>
      <c r="OT22" s="56"/>
      <c r="OU22" s="242">
        <f>SUMPRODUCT(PRODUCE!$B21:$DY21,PRODUCE!$EB$52:$IY$52)</f>
        <v>0</v>
      </c>
      <c r="OV22" s="56"/>
      <c r="OW22" s="242">
        <f t="shared" si="135"/>
        <v>0</v>
      </c>
      <c r="OX22" s="242">
        <f t="shared" si="136"/>
        <v>67</v>
      </c>
      <c r="OY22" s="56"/>
      <c r="PB22" s="55">
        <f t="shared" si="137"/>
        <v>46039</v>
      </c>
      <c r="PC22" s="56"/>
      <c r="PD22" s="242">
        <f>SUMPRODUCT(PRODUCE!$B21:$DY21,PRODUCE!$EB$53:$IY$53)</f>
        <v>0</v>
      </c>
      <c r="PE22" s="56"/>
      <c r="PF22" s="242">
        <f t="shared" si="138"/>
        <v>0</v>
      </c>
      <c r="PG22" s="242">
        <f t="shared" si="139"/>
        <v>0</v>
      </c>
      <c r="PH22" s="56"/>
      <c r="PK22" s="55">
        <f t="shared" si="140"/>
        <v>46039</v>
      </c>
      <c r="PL22" s="56"/>
      <c r="PM22" s="242">
        <f>SUMPRODUCT(PRODUCE!$B21:$DY21,PRODUCE!$EB$54:$IY$54)</f>
        <v>0</v>
      </c>
      <c r="PN22" s="56"/>
      <c r="PO22" s="242">
        <f t="shared" si="141"/>
        <v>0</v>
      </c>
      <c r="PP22" s="242">
        <f t="shared" si="142"/>
        <v>160</v>
      </c>
      <c r="PQ22" s="56"/>
      <c r="PT22" s="55">
        <f t="shared" si="143"/>
        <v>46039</v>
      </c>
      <c r="PU22" s="56"/>
      <c r="PV22" s="242">
        <f>SUMPRODUCT(PRODUCE!$B21:$DY21,PRODUCE!$EB$55:$IY$55)</f>
        <v>0</v>
      </c>
      <c r="PW22" s="56"/>
      <c r="PX22" s="242">
        <f t="shared" si="144"/>
        <v>0</v>
      </c>
      <c r="PY22" s="242">
        <f t="shared" si="145"/>
        <v>13.960000000000036</v>
      </c>
      <c r="PZ22" s="56"/>
      <c r="QC22" s="55">
        <f t="shared" si="146"/>
        <v>46039</v>
      </c>
      <c r="QD22" s="56"/>
      <c r="QE22" s="242">
        <f>SUMPRODUCT(PRODUCE!$B21:$DY21,PRODUCE!$EB$56:$IY$56)</f>
        <v>0</v>
      </c>
      <c r="QF22" s="56"/>
      <c r="QG22" s="242">
        <f t="shared" si="147"/>
        <v>0</v>
      </c>
      <c r="QH22" s="242">
        <f t="shared" si="148"/>
        <v>0</v>
      </c>
      <c r="QI22" s="56"/>
      <c r="QL22" s="55">
        <f t="shared" si="149"/>
        <v>46039</v>
      </c>
      <c r="QM22" s="56"/>
      <c r="QN22" s="242">
        <f>SUMPRODUCT(PRODUCE!$B21:$DY21,PRODUCE!$EB$57:$IY$57)</f>
        <v>0</v>
      </c>
      <c r="QO22" s="56"/>
      <c r="QP22" s="242">
        <f t="shared" si="150"/>
        <v>0</v>
      </c>
      <c r="QQ22" s="242">
        <f t="shared" si="151"/>
        <v>0</v>
      </c>
      <c r="QR22" s="56"/>
      <c r="QU22" s="55">
        <f t="shared" si="152"/>
        <v>46039</v>
      </c>
      <c r="QV22" s="56"/>
      <c r="QW22" s="242">
        <f>SUMPRODUCT(PRODUCE!$B21:$DY21,PRODUCE!$EB$57:$IY$57)</f>
        <v>0</v>
      </c>
      <c r="QX22" s="56"/>
      <c r="QY22" s="242">
        <f t="shared" si="153"/>
        <v>0</v>
      </c>
      <c r="QZ22" s="242">
        <f t="shared" si="154"/>
        <v>207.6</v>
      </c>
      <c r="RA22" s="56"/>
      <c r="RD22" s="55">
        <f t="shared" si="155"/>
        <v>46039</v>
      </c>
      <c r="RE22" s="56"/>
      <c r="RF22" s="242">
        <f>SUMPRODUCT(PRODUCE!$B21:$DY21,PRODUCE!$EB$58:$IY$58)</f>
        <v>0</v>
      </c>
      <c r="RG22" s="56"/>
      <c r="RH22" s="242">
        <f t="shared" si="156"/>
        <v>0</v>
      </c>
      <c r="RI22" s="242">
        <f t="shared" si="157"/>
        <v>201.8</v>
      </c>
      <c r="RJ22" s="56"/>
      <c r="RM22" s="55">
        <f t="shared" si="158"/>
        <v>46039</v>
      </c>
      <c r="RN22" s="56"/>
      <c r="RO22" s="242">
        <f>SUMPRODUCT(PRODUCE!$B21:$DY21,PRODUCE!$EB$59:$IY$59)</f>
        <v>0</v>
      </c>
      <c r="RP22" s="56"/>
      <c r="RQ22" s="242">
        <f t="shared" si="159"/>
        <v>0</v>
      </c>
      <c r="RR22" s="242">
        <f t="shared" si="160"/>
        <v>22.720000000000002</v>
      </c>
      <c r="RS22" s="56"/>
      <c r="RV22" s="55">
        <f t="shared" si="161"/>
        <v>46039</v>
      </c>
      <c r="RW22" s="56"/>
      <c r="RX22" s="242">
        <f>SUMPRODUCT(PRODUCE!$B21:$DY21,PRODUCE!$EB$57:$IY$57)</f>
        <v>0</v>
      </c>
      <c r="RY22" s="56"/>
      <c r="RZ22" s="242">
        <f t="shared" si="162"/>
        <v>0</v>
      </c>
      <c r="SA22" s="242">
        <f t="shared" si="163"/>
        <v>0</v>
      </c>
      <c r="SB22" s="56"/>
      <c r="SE22" s="55">
        <f t="shared" si="164"/>
        <v>46039</v>
      </c>
      <c r="SF22" s="56"/>
      <c r="SG22" s="242">
        <f>SUMPRODUCT(PRODUCE!$B21:$DY21,PRODUCE!$EB$61:$IY$61)</f>
        <v>0</v>
      </c>
      <c r="SH22" s="56"/>
      <c r="SI22" s="242">
        <f t="shared" si="165"/>
        <v>0</v>
      </c>
      <c r="SJ22" s="242">
        <f t="shared" si="166"/>
        <v>0</v>
      </c>
      <c r="SK22" s="56"/>
      <c r="SN22" s="55">
        <f t="shared" si="167"/>
        <v>46039</v>
      </c>
      <c r="SO22" s="56"/>
      <c r="SP22" s="242">
        <f>SUMPRODUCT(PRODUCE!$B21:$DY21,PRODUCE!$EB$57:$IY$57)</f>
        <v>0</v>
      </c>
      <c r="SQ22" s="56"/>
      <c r="SR22" s="242">
        <f t="shared" si="168"/>
        <v>0</v>
      </c>
      <c r="SS22" s="242">
        <f t="shared" si="169"/>
        <v>0</v>
      </c>
      <c r="ST22" s="56"/>
      <c r="SW22" s="55">
        <f t="shared" si="170"/>
        <v>46039</v>
      </c>
      <c r="SX22" s="56"/>
      <c r="SY22" s="242">
        <f>SUMPRODUCT(PRODUCE!$B21:$DY21,PRODUCE!$EB$57:$IY$57)</f>
        <v>0</v>
      </c>
      <c r="SZ22" s="56"/>
      <c r="TA22" s="242">
        <f t="shared" si="171"/>
        <v>0</v>
      </c>
      <c r="TB22" s="242">
        <f t="shared" si="172"/>
        <v>0</v>
      </c>
      <c r="TC22" s="56"/>
      <c r="TF22" s="55">
        <f t="shared" si="173"/>
        <v>46039</v>
      </c>
      <c r="TG22" s="56"/>
      <c r="TH22" s="242">
        <f>SUMPRODUCT(PRODUCE!$B21:$DY21,PRODUCE!$EB$57:$IY$57)</f>
        <v>0</v>
      </c>
      <c r="TI22" s="56"/>
      <c r="TJ22" s="242">
        <f t="shared" si="174"/>
        <v>0</v>
      </c>
      <c r="TK22" s="242">
        <f t="shared" si="175"/>
        <v>0</v>
      </c>
      <c r="TL22" s="56"/>
      <c r="TO22" s="55">
        <f t="shared" si="176"/>
        <v>46039</v>
      </c>
      <c r="TP22" s="56"/>
      <c r="TQ22" s="242">
        <f>SUMPRODUCT(PRODUCE!$B21:$DY21,PRODUCE!$EB$57:$IY$57)</f>
        <v>0</v>
      </c>
      <c r="TR22" s="56"/>
      <c r="TS22" s="242">
        <f t="shared" si="177"/>
        <v>0</v>
      </c>
      <c r="TT22" s="242">
        <f t="shared" si="178"/>
        <v>0</v>
      </c>
      <c r="TU22" s="56"/>
      <c r="TX22" s="55">
        <f t="shared" si="179"/>
        <v>46039</v>
      </c>
      <c r="TY22" s="56"/>
      <c r="TZ22" s="242">
        <f>SUMPRODUCT(PRODUCE!$B21:$DY21,PRODUCE!$EB$57:$IY$57)</f>
        <v>0</v>
      </c>
      <c r="UA22" s="56"/>
      <c r="UB22" s="242">
        <f t="shared" si="180"/>
        <v>0</v>
      </c>
      <c r="UC22" s="242">
        <f t="shared" si="181"/>
        <v>0</v>
      </c>
      <c r="UD22" s="56"/>
      <c r="UG22" s="55">
        <f t="shared" si="182"/>
        <v>46039</v>
      </c>
      <c r="UH22" s="56"/>
      <c r="UI22" s="242">
        <f>SUMPRODUCT(PRODUCE!$B21:$DY21,PRODUCE!$EB$57:$IY$57)</f>
        <v>0</v>
      </c>
      <c r="UJ22" s="56"/>
      <c r="UK22" s="242">
        <f t="shared" si="183"/>
        <v>0</v>
      </c>
      <c r="UL22" s="242">
        <f t="shared" si="184"/>
        <v>0</v>
      </c>
      <c r="UM22" s="56"/>
      <c r="UP22" s="55">
        <f t="shared" si="185"/>
        <v>46039</v>
      </c>
      <c r="UQ22" s="56"/>
      <c r="UR22" s="242">
        <f>SUMPRODUCT(PRODUCE!$B21:$DY21,PRODUCE!$EB$57:$IY$57)</f>
        <v>0</v>
      </c>
      <c r="US22" s="56"/>
      <c r="UT22" s="242">
        <f t="shared" si="186"/>
        <v>0</v>
      </c>
      <c r="UU22" s="242">
        <f t="shared" si="187"/>
        <v>0</v>
      </c>
      <c r="UV22" s="56"/>
      <c r="UY22" s="55">
        <f t="shared" si="188"/>
        <v>46039</v>
      </c>
      <c r="UZ22" s="56"/>
      <c r="VA22" s="242">
        <f>SUMPRODUCT(PRODUCE!$B21:$DY21,PRODUCE!$EB$57:$IY$57)</f>
        <v>0</v>
      </c>
      <c r="VB22" s="56"/>
      <c r="VC22" s="242">
        <f t="shared" si="189"/>
        <v>0</v>
      </c>
      <c r="VD22" s="242">
        <f t="shared" si="190"/>
        <v>-319.59999999999997</v>
      </c>
      <c r="VE22" s="56"/>
      <c r="VH22" s="55">
        <f t="shared" si="191"/>
        <v>46039</v>
      </c>
      <c r="VI22" s="56"/>
      <c r="VJ22" s="242">
        <f>SUMPRODUCT(PRODUCE!$B21:$DY21,PRODUCE!$EB$57:$IY$57)</f>
        <v>0</v>
      </c>
      <c r="VK22" s="56"/>
      <c r="VL22" s="242">
        <f t="shared" si="192"/>
        <v>0</v>
      </c>
      <c r="VM22" s="242">
        <f t="shared" si="193"/>
        <v>0</v>
      </c>
      <c r="VN22" s="56"/>
      <c r="VQ22" s="55">
        <f t="shared" si="194"/>
        <v>46039</v>
      </c>
      <c r="VR22" s="56"/>
      <c r="VS22" s="242">
        <f>SUMPRODUCT(PRODUCE!$B21:$DY21,PRODUCE!$EB$57:$IY$57)</f>
        <v>0</v>
      </c>
      <c r="VT22" s="56"/>
      <c r="VU22" s="242">
        <f t="shared" si="195"/>
        <v>0</v>
      </c>
      <c r="VV22" s="242">
        <f t="shared" si="196"/>
        <v>0</v>
      </c>
      <c r="VW22" s="56"/>
      <c r="VZ22" s="55">
        <f t="shared" si="197"/>
        <v>46039</v>
      </c>
      <c r="WA22" s="56"/>
      <c r="WB22" s="242">
        <f>SUMPRODUCT(PRODUCE!$B21:$DY21,PRODUCE!$EB$57:$IY$57)</f>
        <v>0</v>
      </c>
      <c r="WC22" s="56"/>
      <c r="WD22" s="242">
        <f t="shared" si="198"/>
        <v>0</v>
      </c>
      <c r="WE22" s="242">
        <f t="shared" si="199"/>
        <v>0</v>
      </c>
      <c r="WF22" s="56"/>
      <c r="WI22" s="55">
        <f t="shared" si="200"/>
        <v>46039</v>
      </c>
      <c r="WJ22" s="56"/>
      <c r="WK22" s="242">
        <f>SUMPRODUCT(PRODUCE!$B21:$DY21,PRODUCE!$EB$57:$IY$57)</f>
        <v>0</v>
      </c>
      <c r="WL22" s="56"/>
      <c r="WM22" s="242">
        <f t="shared" si="201"/>
        <v>0</v>
      </c>
      <c r="WN22" s="242">
        <f t="shared" si="202"/>
        <v>5877</v>
      </c>
      <c r="WO22" s="56"/>
      <c r="WR22" s="55">
        <f t="shared" si="203"/>
        <v>46039</v>
      </c>
      <c r="WS22" s="56"/>
      <c r="WT22" s="242">
        <f>SUMPRODUCT(PRODUCE!$B21:$DY21,PRODUCE!$EB$57:$IY$57)</f>
        <v>0</v>
      </c>
      <c r="WU22" s="56"/>
      <c r="WV22" s="242">
        <f t="shared" si="204"/>
        <v>0</v>
      </c>
      <c r="WW22" s="242">
        <f t="shared" si="205"/>
        <v>5267</v>
      </c>
      <c r="WX22" s="56"/>
      <c r="XA22" s="55">
        <f t="shared" si="206"/>
        <v>46039</v>
      </c>
      <c r="XB22" s="56"/>
      <c r="XC22" s="242">
        <f>SUMPRODUCT(PRODUCE!$B21:$DY21,PRODUCE!$EB$57:$IY$57)</f>
        <v>0</v>
      </c>
      <c r="XD22" s="56"/>
      <c r="XE22" s="242">
        <f t="shared" si="207"/>
        <v>0</v>
      </c>
      <c r="XF22" s="242">
        <f t="shared" si="208"/>
        <v>118</v>
      </c>
      <c r="XG22" s="56"/>
      <c r="XJ22" s="55">
        <f t="shared" si="209"/>
        <v>46039</v>
      </c>
      <c r="XK22" s="56"/>
      <c r="XL22" s="242">
        <f>SUMPRODUCT(PRODUCE!$B21:$DY21,PRODUCE!$EB$57:$IY$57)</f>
        <v>0</v>
      </c>
      <c r="XM22" s="56">
        <v>274</v>
      </c>
      <c r="XN22" s="242">
        <f t="shared" si="210"/>
        <v>-274</v>
      </c>
      <c r="XO22" s="242">
        <f t="shared" si="211"/>
        <v>5852</v>
      </c>
      <c r="XP22" s="56"/>
      <c r="XS22" s="55">
        <f t="shared" si="212"/>
        <v>46039</v>
      </c>
      <c r="XT22" s="56"/>
      <c r="XU22" s="242">
        <f>SUMPRODUCT(PRODUCE!$B21:$DY21,PRODUCE!$EB$57:$IY$57)</f>
        <v>0</v>
      </c>
      <c r="XV22" s="56"/>
      <c r="XW22" s="242">
        <f t="shared" si="213"/>
        <v>0</v>
      </c>
      <c r="XX22" s="242">
        <f t="shared" si="214"/>
        <v>1901</v>
      </c>
      <c r="XY22" s="56"/>
      <c r="YB22" s="55">
        <f t="shared" si="215"/>
        <v>46039</v>
      </c>
      <c r="YC22" s="56"/>
      <c r="YD22" s="242">
        <f>SUMPRODUCT(PRODUCE!$B21:$DY21,PRODUCE!$EB$57:$IY$57)</f>
        <v>0</v>
      </c>
      <c r="YE22" s="56">
        <v>546</v>
      </c>
      <c r="YF22" s="242">
        <f t="shared" si="216"/>
        <v>-546</v>
      </c>
      <c r="YG22" s="242">
        <f t="shared" si="217"/>
        <v>2948</v>
      </c>
      <c r="YH22" s="56"/>
      <c r="YK22" s="55">
        <f t="shared" si="218"/>
        <v>46039</v>
      </c>
      <c r="YL22" s="56"/>
      <c r="YM22" s="242">
        <f>SUMPRODUCT(PRODUCE!$B21:$DY21,PRODUCE!$EB$57:$IY$57)</f>
        <v>0</v>
      </c>
      <c r="YN22" s="56"/>
      <c r="YO22" s="242">
        <f t="shared" si="219"/>
        <v>0</v>
      </c>
      <c r="YP22" s="242">
        <f t="shared" si="220"/>
        <v>0</v>
      </c>
      <c r="YQ22" s="56"/>
      <c r="YT22" s="55">
        <f t="shared" si="221"/>
        <v>46039</v>
      </c>
      <c r="YU22" s="56"/>
      <c r="YV22" s="242">
        <f>SUMPRODUCT(PRODUCE!$B21:$DY21,PRODUCE!$EB$57:$IY$57)</f>
        <v>0</v>
      </c>
      <c r="YW22" s="56"/>
      <c r="YX22" s="242">
        <f t="shared" si="222"/>
        <v>0</v>
      </c>
      <c r="YY22" s="242">
        <f t="shared" si="223"/>
        <v>0</v>
      </c>
      <c r="YZ22" s="56"/>
      <c r="ZC22" s="55">
        <f t="shared" si="224"/>
        <v>46039</v>
      </c>
      <c r="ZD22" s="56"/>
      <c r="ZE22" s="242">
        <f>SUMPRODUCT(PRODUCE!$B21:$DY21,PRODUCE!$EB$57:$IY$57)</f>
        <v>0</v>
      </c>
      <c r="ZF22" s="56"/>
      <c r="ZG22" s="242">
        <f t="shared" si="225"/>
        <v>0</v>
      </c>
      <c r="ZH22" s="242">
        <f t="shared" si="226"/>
        <v>0</v>
      </c>
      <c r="ZI22" s="56"/>
      <c r="ZL22" s="55">
        <f t="shared" si="227"/>
        <v>46039</v>
      </c>
      <c r="ZM22" s="56"/>
      <c r="ZN22" s="242">
        <f>SUMPRODUCT(PRODUCE!$B21:$DY21,PRODUCE!$EB$57:$IY$57)</f>
        <v>0</v>
      </c>
      <c r="ZO22" s="56"/>
      <c r="ZP22" s="242">
        <f t="shared" si="228"/>
        <v>0</v>
      </c>
      <c r="ZQ22" s="242">
        <f t="shared" si="229"/>
        <v>0</v>
      </c>
      <c r="ZR22" s="56"/>
      <c r="ZU22" s="55">
        <f t="shared" si="230"/>
        <v>46039</v>
      </c>
      <c r="ZV22" s="56"/>
      <c r="ZW22" s="242">
        <f>SUMPRODUCT(PRODUCE!$B21:$DY21,PRODUCE!$EB$57:$IY$57)</f>
        <v>0</v>
      </c>
      <c r="ZX22" s="56"/>
      <c r="ZY22" s="242">
        <f t="shared" si="231"/>
        <v>0</v>
      </c>
      <c r="ZZ22" s="242">
        <f t="shared" si="232"/>
        <v>0</v>
      </c>
      <c r="AAA22" s="56"/>
      <c r="AAD22" s="55">
        <f t="shared" si="233"/>
        <v>46039</v>
      </c>
      <c r="AAE22" s="56"/>
      <c r="AAF22" s="242">
        <f>SUMPRODUCT(PRODUCE!$B21:$DY21,PRODUCE!$EB$57:$IY$57)</f>
        <v>0</v>
      </c>
      <c r="AAG22" s="56"/>
      <c r="AAH22" s="242">
        <f t="shared" si="234"/>
        <v>0</v>
      </c>
      <c r="AAI22" s="242">
        <f t="shared" si="235"/>
        <v>0</v>
      </c>
      <c r="AAJ22" s="56"/>
      <c r="AAM22" s="55">
        <f t="shared" si="236"/>
        <v>46039</v>
      </c>
      <c r="AAN22" s="56"/>
      <c r="AAO22" s="242">
        <f>SUMPRODUCT(PRODUCE!$B21:$DY21,PRODUCE!$EB$57:$IY$57)</f>
        <v>0</v>
      </c>
      <c r="AAP22" s="56"/>
      <c r="AAQ22" s="242">
        <f t="shared" si="237"/>
        <v>0</v>
      </c>
      <c r="AAR22" s="242">
        <f t="shared" si="238"/>
        <v>0</v>
      </c>
      <c r="AAS22" s="56"/>
      <c r="AAV22" s="55">
        <f t="shared" si="239"/>
        <v>46039</v>
      </c>
      <c r="AAW22" s="56"/>
      <c r="AAX22" s="242">
        <f>SUMPRODUCT(PRODUCE!$B21:$DY21,PRODUCE!$EB$57:$IY$57)</f>
        <v>0</v>
      </c>
      <c r="AAY22" s="56"/>
      <c r="AAZ22" s="242">
        <f t="shared" si="240"/>
        <v>0</v>
      </c>
      <c r="ABA22" s="242">
        <f t="shared" si="241"/>
        <v>0</v>
      </c>
      <c r="ABB22" s="56"/>
      <c r="ABE22" s="55">
        <f t="shared" si="242"/>
        <v>46039</v>
      </c>
      <c r="ABF22" s="56"/>
      <c r="ABG22" s="242">
        <f>SUMPRODUCT(PRODUCE!$B21:$DY21,PRODUCE!$EB$57:$IY$57)</f>
        <v>0</v>
      </c>
      <c r="ABH22" s="56"/>
      <c r="ABI22" s="242">
        <f t="shared" si="243"/>
        <v>0</v>
      </c>
      <c r="ABJ22" s="242">
        <f t="shared" si="244"/>
        <v>0</v>
      </c>
      <c r="ABK22" s="56"/>
    </row>
    <row r="23" spans="2:739" s="54" customFormat="1" ht="15" customHeight="1" outlineLevel="1">
      <c r="B23" s="478"/>
      <c r="C23" s="55">
        <v>46040</v>
      </c>
      <c r="D23" s="422"/>
      <c r="E23" s="423">
        <f>SUMPRODUCT(PRODUCE!$B22:$DY22,PRODUCE!$EB$7:$IY$7)</f>
        <v>0</v>
      </c>
      <c r="F23" s="422"/>
      <c r="G23" s="423">
        <f t="shared" si="2"/>
        <v>0</v>
      </c>
      <c r="H23" s="423">
        <f t="shared" si="0"/>
        <v>33783.000000000007</v>
      </c>
      <c r="I23" s="324"/>
      <c r="L23" s="55">
        <f t="shared" si="1"/>
        <v>46040</v>
      </c>
      <c r="M23" s="422"/>
      <c r="N23" s="438">
        <f>SUMPRODUCT(PRODUCE!$B22:$DY22,PRODUCE!$EB$8:$IY$8)</f>
        <v>0</v>
      </c>
      <c r="O23" s="422"/>
      <c r="P23" s="438">
        <f t="shared" si="3"/>
        <v>0</v>
      </c>
      <c r="Q23" s="438">
        <f t="shared" si="4"/>
        <v>35683.400000000009</v>
      </c>
      <c r="R23" s="56"/>
      <c r="U23" s="55">
        <f t="shared" si="5"/>
        <v>46040</v>
      </c>
      <c r="V23" s="422"/>
      <c r="W23" s="440">
        <f>SUMPRODUCT(PRODUCE!$B22:$DY22,PRODUCE!$EB$9:$IY$9)</f>
        <v>0</v>
      </c>
      <c r="X23" s="422"/>
      <c r="Y23" s="440">
        <f t="shared" si="6"/>
        <v>0</v>
      </c>
      <c r="Z23" s="440">
        <f t="shared" si="7"/>
        <v>52262.89999999998</v>
      </c>
      <c r="AA23" s="56"/>
      <c r="AD23" s="55">
        <f t="shared" si="8"/>
        <v>46040</v>
      </c>
      <c r="AE23" s="422"/>
      <c r="AF23" s="442">
        <f>SUMPRODUCT(PRODUCE!$B22:$DY22,PRODUCE!$EB$10:$IY$10)</f>
        <v>0</v>
      </c>
      <c r="AG23" s="422"/>
      <c r="AH23" s="442">
        <f t="shared" si="9"/>
        <v>0</v>
      </c>
      <c r="AI23" s="442">
        <f t="shared" si="10"/>
        <v>21964.000000000004</v>
      </c>
      <c r="AJ23" s="56"/>
      <c r="AM23" s="55">
        <f t="shared" si="11"/>
        <v>46040</v>
      </c>
      <c r="AN23" s="422"/>
      <c r="AO23" s="444">
        <f>SUMPRODUCT(PRODUCE!$B22:$DY22,PRODUCE!$EB$11:$IY$11)</f>
        <v>0</v>
      </c>
      <c r="AP23" s="422"/>
      <c r="AQ23" s="444">
        <f t="shared" si="12"/>
        <v>0</v>
      </c>
      <c r="AR23" s="444">
        <f t="shared" si="13"/>
        <v>0</v>
      </c>
      <c r="AS23" s="56"/>
      <c r="AV23" s="55">
        <f t="shared" si="14"/>
        <v>46040</v>
      </c>
      <c r="AW23" s="422"/>
      <c r="AX23" s="446">
        <f>SUMPRODUCT(PRODUCE!$B22:$DY22,PRODUCE!$EB$12:$IY$12)</f>
        <v>0</v>
      </c>
      <c r="AY23" s="422"/>
      <c r="AZ23" s="446">
        <f t="shared" si="15"/>
        <v>0</v>
      </c>
      <c r="BA23" s="446">
        <f t="shared" si="16"/>
        <v>13353.799999999992</v>
      </c>
      <c r="BB23" s="56"/>
      <c r="BE23" s="55">
        <f t="shared" si="17"/>
        <v>46040</v>
      </c>
      <c r="BF23" s="422"/>
      <c r="BG23" s="448">
        <f>SUMPRODUCT(PRODUCE!$B22:$DY22,PRODUCE!$EB$13:$IY$13)</f>
        <v>0</v>
      </c>
      <c r="BH23" s="422"/>
      <c r="BI23" s="448">
        <f t="shared" si="18"/>
        <v>0</v>
      </c>
      <c r="BJ23" s="448">
        <f t="shared" si="19"/>
        <v>32402.400000000009</v>
      </c>
      <c r="BK23" s="56"/>
      <c r="BN23" s="55">
        <f t="shared" si="20"/>
        <v>46040</v>
      </c>
      <c r="BO23" s="422"/>
      <c r="BP23" s="450">
        <f>SUMPRODUCT(PRODUCE!$B22:$DY22,PRODUCE!$EB$14:$IY$14)</f>
        <v>0</v>
      </c>
      <c r="BQ23" s="422"/>
      <c r="BR23" s="450">
        <f t="shared" si="21"/>
        <v>0</v>
      </c>
      <c r="BS23" s="450">
        <f t="shared" si="22"/>
        <v>0</v>
      </c>
      <c r="BT23" s="56"/>
      <c r="BW23" s="55">
        <f t="shared" si="23"/>
        <v>46040</v>
      </c>
      <c r="BX23" s="56"/>
      <c r="BY23" s="65">
        <f>SUMPRODUCT(PRODUCE!$B22:$DY22,PRODUCE!$EB$15:$IY$15)</f>
        <v>0</v>
      </c>
      <c r="BZ23" s="56"/>
      <c r="CA23" s="65">
        <f t="shared" si="24"/>
        <v>0</v>
      </c>
      <c r="CB23" s="65">
        <f t="shared" si="25"/>
        <v>3386.5</v>
      </c>
      <c r="CC23" s="56"/>
      <c r="CF23" s="55">
        <f t="shared" si="26"/>
        <v>46040</v>
      </c>
      <c r="CG23" s="56"/>
      <c r="CH23" s="66">
        <f>SUMPRODUCT(PRODUCE!$B22:$DY22,PRODUCE!$EB$16:$IY$16)</f>
        <v>0</v>
      </c>
      <c r="CI23" s="56"/>
      <c r="CJ23" s="66">
        <f t="shared" si="27"/>
        <v>0</v>
      </c>
      <c r="CK23" s="66">
        <f t="shared" si="28"/>
        <v>0</v>
      </c>
      <c r="CL23" s="56"/>
      <c r="CO23" s="55">
        <f t="shared" si="29"/>
        <v>46040</v>
      </c>
      <c r="CP23" s="422"/>
      <c r="CQ23" s="470">
        <f>SUMPRODUCT(PRODUCE!$B22:$DY22,PRODUCE!$EB$17:$IY$17)</f>
        <v>0</v>
      </c>
      <c r="CR23" s="422"/>
      <c r="CS23" s="470">
        <f t="shared" si="30"/>
        <v>0</v>
      </c>
      <c r="CT23" s="470">
        <f t="shared" si="31"/>
        <v>0</v>
      </c>
      <c r="CU23" s="56"/>
      <c r="CX23" s="55">
        <f t="shared" si="32"/>
        <v>46040</v>
      </c>
      <c r="CY23" s="56"/>
      <c r="CZ23" s="133">
        <f>SUMPRODUCT(PRODUCE!$B22:$DY22,PRODUCE!$EB$18:$IY$18)</f>
        <v>0</v>
      </c>
      <c r="DA23" s="56"/>
      <c r="DB23" s="133">
        <f t="shared" si="33"/>
        <v>0</v>
      </c>
      <c r="DC23" s="133">
        <f t="shared" si="34"/>
        <v>0</v>
      </c>
      <c r="DD23" s="56"/>
      <c r="DG23" s="55">
        <f t="shared" si="35"/>
        <v>46040</v>
      </c>
      <c r="DH23" s="56"/>
      <c r="DI23" s="147">
        <f>SUMPRODUCT(PRODUCE!$B22:$DY22,PRODUCE!$EB$19:$IY$19)</f>
        <v>0</v>
      </c>
      <c r="DJ23" s="56"/>
      <c r="DK23" s="147">
        <f t="shared" si="36"/>
        <v>0</v>
      </c>
      <c r="DL23" s="147">
        <f t="shared" si="37"/>
        <v>24902.399999999998</v>
      </c>
      <c r="DM23" s="56"/>
      <c r="DP23" s="55">
        <f t="shared" si="38"/>
        <v>46040</v>
      </c>
      <c r="DQ23" s="56"/>
      <c r="DR23" s="57">
        <f>SUMPRODUCT(PRODUCE!$B22:$DY22,PRODUCE!$EB$20:$IY$20)</f>
        <v>0</v>
      </c>
      <c r="DS23" s="56"/>
      <c r="DT23" s="57">
        <f t="shared" si="39"/>
        <v>0</v>
      </c>
      <c r="DU23" s="57">
        <f t="shared" si="40"/>
        <v>0</v>
      </c>
      <c r="DV23" s="56"/>
      <c r="DY23" s="55">
        <f t="shared" si="41"/>
        <v>46040</v>
      </c>
      <c r="DZ23" s="56"/>
      <c r="EA23" s="157">
        <f>SUMPRODUCT(PRODUCE!$B22:$DY22,PRODUCE!$EB$21:$IY$21)</f>
        <v>0</v>
      </c>
      <c r="EB23" s="56"/>
      <c r="EC23" s="157">
        <f t="shared" si="42"/>
        <v>0</v>
      </c>
      <c r="ED23" s="157">
        <f t="shared" si="43"/>
        <v>0</v>
      </c>
      <c r="EE23" s="56"/>
      <c r="EH23" s="55">
        <f t="shared" si="44"/>
        <v>46040</v>
      </c>
      <c r="EI23" s="56"/>
      <c r="EJ23" s="162">
        <f>SUMPRODUCT(PRODUCE!$B22:$DY22,PRODUCE!$EB$22:$IY$22)</f>
        <v>0</v>
      </c>
      <c r="EK23" s="56"/>
      <c r="EL23" s="162">
        <f t="shared" si="45"/>
        <v>0</v>
      </c>
      <c r="EM23" s="162">
        <f t="shared" si="46"/>
        <v>0</v>
      </c>
      <c r="EN23" s="56"/>
      <c r="EQ23" s="55">
        <f t="shared" si="47"/>
        <v>46040</v>
      </c>
      <c r="ER23" s="56"/>
      <c r="ES23" s="135">
        <f>SUMPRODUCT(PRODUCE!$B22:$DY22,PRODUCE!$EB$23:$IY$23)</f>
        <v>0</v>
      </c>
      <c r="ET23" s="56"/>
      <c r="EU23" s="135">
        <f t="shared" si="48"/>
        <v>0</v>
      </c>
      <c r="EV23" s="135">
        <f t="shared" si="49"/>
        <v>0</v>
      </c>
      <c r="EW23" s="56"/>
      <c r="EZ23" s="55">
        <f t="shared" si="50"/>
        <v>46040</v>
      </c>
      <c r="FA23" s="56"/>
      <c r="FB23" s="175">
        <f>SUMPRODUCT(PRODUCE!$B22:$DY22,PRODUCE!$EB$24:$IY$24)</f>
        <v>0</v>
      </c>
      <c r="FC23" s="56"/>
      <c r="FD23" s="175">
        <f t="shared" si="51"/>
        <v>0</v>
      </c>
      <c r="FE23" s="175">
        <f t="shared" si="52"/>
        <v>0</v>
      </c>
      <c r="FF23" s="56"/>
      <c r="FI23" s="55">
        <f t="shared" si="53"/>
        <v>46040</v>
      </c>
      <c r="FJ23" s="56"/>
      <c r="FK23" s="183">
        <f>SUMPRODUCT(PRODUCE!$B22:$DY22,PRODUCE!$EB$25:$IY$25)</f>
        <v>0</v>
      </c>
      <c r="FL23" s="56"/>
      <c r="FM23" s="183">
        <f t="shared" si="54"/>
        <v>0</v>
      </c>
      <c r="FN23" s="183">
        <f t="shared" si="55"/>
        <v>0</v>
      </c>
      <c r="FO23" s="56"/>
      <c r="FR23" s="55">
        <f t="shared" si="56"/>
        <v>46040</v>
      </c>
      <c r="FS23" s="422"/>
      <c r="FT23" s="452">
        <f>SUMPRODUCT(PRODUCE!$B22:$DY22,PRODUCE!$EB$26:$IY$26)</f>
        <v>0</v>
      </c>
      <c r="FU23" s="422"/>
      <c r="FV23" s="452">
        <f t="shared" si="57"/>
        <v>0</v>
      </c>
      <c r="FW23" s="452">
        <f t="shared" si="58"/>
        <v>3540</v>
      </c>
      <c r="FX23" s="56"/>
      <c r="GA23" s="55">
        <f t="shared" si="59"/>
        <v>46040</v>
      </c>
      <c r="GB23" s="422"/>
      <c r="GC23" s="454">
        <f>SUMPRODUCT(PRODUCE!$B22:$DY22,PRODUCE!$EB$27:$IY$27)</f>
        <v>0</v>
      </c>
      <c r="GD23" s="422"/>
      <c r="GE23" s="454">
        <f t="shared" si="60"/>
        <v>0</v>
      </c>
      <c r="GF23" s="454">
        <f t="shared" si="61"/>
        <v>1960</v>
      </c>
      <c r="GG23" s="56"/>
      <c r="GI23" s="23"/>
      <c r="GJ23" s="55">
        <f t="shared" si="62"/>
        <v>46040</v>
      </c>
      <c r="GK23" s="422"/>
      <c r="GL23" s="456">
        <f>SUMPRODUCT(PRODUCE!$B22:$DY22,PRODUCE!$EB$28:$IY$28)</f>
        <v>0</v>
      </c>
      <c r="GM23" s="422"/>
      <c r="GN23" s="456">
        <f t="shared" si="63"/>
        <v>0</v>
      </c>
      <c r="GO23" s="456">
        <f t="shared" si="64"/>
        <v>6160</v>
      </c>
      <c r="GP23" s="56"/>
      <c r="GS23" s="55">
        <f t="shared" si="65"/>
        <v>46040</v>
      </c>
      <c r="GT23" s="56"/>
      <c r="GU23" s="195">
        <f>SUMPRODUCT(PRODUCE!$B22:$DY22,PRODUCE!$EB$29:$IY$29)</f>
        <v>0</v>
      </c>
      <c r="GV23" s="56"/>
      <c r="GW23" s="195">
        <f t="shared" si="66"/>
        <v>0</v>
      </c>
      <c r="GX23" s="195">
        <f t="shared" si="67"/>
        <v>0</v>
      </c>
      <c r="GY23" s="56"/>
      <c r="HB23" s="55">
        <f t="shared" si="68"/>
        <v>46040</v>
      </c>
      <c r="HC23" s="56"/>
      <c r="HD23" s="191">
        <f>SUMPRODUCT(PRODUCE!$B22:$DY22,PRODUCE!$EB$30:$IY$30)</f>
        <v>0</v>
      </c>
      <c r="HE23" s="56"/>
      <c r="HF23" s="191">
        <f t="shared" si="69"/>
        <v>0</v>
      </c>
      <c r="HG23" s="191">
        <f t="shared" si="70"/>
        <v>0</v>
      </c>
      <c r="HH23" s="56"/>
      <c r="HK23" s="55">
        <f t="shared" si="71"/>
        <v>46040</v>
      </c>
      <c r="HL23" s="56"/>
      <c r="HM23" s="63">
        <f>SUMPRODUCT(PRODUCE!$B22:$DY22,PRODUCE!$EB$31:$IY$31)</f>
        <v>0</v>
      </c>
      <c r="HN23" s="56"/>
      <c r="HO23" s="63">
        <f t="shared" si="72"/>
        <v>0</v>
      </c>
      <c r="HP23" s="63">
        <f t="shared" si="73"/>
        <v>0</v>
      </c>
      <c r="HQ23" s="56"/>
      <c r="HU23" s="55">
        <f t="shared" si="74"/>
        <v>46040</v>
      </c>
      <c r="HV23" s="56"/>
      <c r="HW23" s="242">
        <f>SUMPRODUCT(PRODUCE!$B22:$DY22,PRODUCE!$EB$32:$IY$32)</f>
        <v>0</v>
      </c>
      <c r="HX23" s="56"/>
      <c r="HY23" s="242">
        <f t="shared" si="75"/>
        <v>0</v>
      </c>
      <c r="HZ23" s="242">
        <f t="shared" si="76"/>
        <v>2800</v>
      </c>
      <c r="IA23" s="56"/>
      <c r="ID23" s="55">
        <f t="shared" si="77"/>
        <v>46040</v>
      </c>
      <c r="IE23" s="56"/>
      <c r="IF23" s="242">
        <f>SUMPRODUCT(PRODUCE!$B22:$DY22,PRODUCE!$EB$33:$IY$33)</f>
        <v>0</v>
      </c>
      <c r="IG23" s="56"/>
      <c r="IH23" s="242">
        <f t="shared" si="78"/>
        <v>0</v>
      </c>
      <c r="II23" s="242">
        <f t="shared" si="79"/>
        <v>5100</v>
      </c>
      <c r="IJ23" s="56"/>
      <c r="IM23" s="55">
        <f t="shared" si="80"/>
        <v>46040</v>
      </c>
      <c r="IN23" s="56"/>
      <c r="IO23" s="242">
        <f>SUMPRODUCT(PRODUCE!$B22:$DY22,PRODUCE!$EB$34:$IY$34)</f>
        <v>0</v>
      </c>
      <c r="IP23" s="56"/>
      <c r="IQ23" s="242">
        <f t="shared" si="81"/>
        <v>0</v>
      </c>
      <c r="IR23" s="242">
        <f t="shared" si="82"/>
        <v>15040</v>
      </c>
      <c r="IS23" s="56"/>
      <c r="IV23" s="55">
        <f t="shared" si="83"/>
        <v>46040</v>
      </c>
      <c r="IW23" s="56"/>
      <c r="IX23" s="242">
        <f>SUMPRODUCT(PRODUCE!$B22:$DY22,PRODUCE!$EB$35:$IY$35)</f>
        <v>0</v>
      </c>
      <c r="IY23" s="56"/>
      <c r="IZ23" s="242">
        <f t="shared" si="84"/>
        <v>0</v>
      </c>
      <c r="JA23" s="242">
        <f t="shared" si="85"/>
        <v>5120</v>
      </c>
      <c r="JB23" s="56"/>
      <c r="JE23" s="55">
        <f t="shared" si="86"/>
        <v>46040</v>
      </c>
      <c r="JF23" s="56"/>
      <c r="JG23" s="242">
        <f>SUMPRODUCT(PRODUCE!$B22:$DY22,PRODUCE!$EB$36:$IY$36)</f>
        <v>0</v>
      </c>
      <c r="JH23" s="56"/>
      <c r="JI23" s="242">
        <f t="shared" si="87"/>
        <v>0</v>
      </c>
      <c r="JJ23" s="242">
        <f t="shared" si="88"/>
        <v>6800</v>
      </c>
      <c r="JK23" s="56"/>
      <c r="JN23" s="55">
        <f t="shared" si="89"/>
        <v>46040</v>
      </c>
      <c r="JO23" s="56"/>
      <c r="JP23" s="242">
        <f>SUMPRODUCT(PRODUCE!$B22:$DY22,PRODUCE!$EB$37:$IY$37)</f>
        <v>0</v>
      </c>
      <c r="JQ23" s="56"/>
      <c r="JR23" s="242">
        <f t="shared" si="90"/>
        <v>0</v>
      </c>
      <c r="JS23" s="242">
        <f t="shared" si="91"/>
        <v>5400</v>
      </c>
      <c r="JT23" s="56"/>
      <c r="JW23" s="55">
        <f t="shared" si="92"/>
        <v>46040</v>
      </c>
      <c r="JX23" s="56"/>
      <c r="JY23" s="242">
        <f>SUMPRODUCT(PRODUCE!$B22:$DY22,PRODUCE!$EB$38:$IY$38)</f>
        <v>0</v>
      </c>
      <c r="JZ23" s="56"/>
      <c r="KA23" s="242">
        <f t="shared" si="93"/>
        <v>0</v>
      </c>
      <c r="KB23" s="242">
        <f t="shared" si="94"/>
        <v>0</v>
      </c>
      <c r="KC23" s="56"/>
      <c r="KF23" s="55">
        <f t="shared" si="95"/>
        <v>46040</v>
      </c>
      <c r="KG23" s="56"/>
      <c r="KH23" s="242">
        <f>SUMPRODUCT(PRODUCE!$B22:$DY22,PRODUCE!$EB$39:$IY$39)</f>
        <v>0</v>
      </c>
      <c r="KI23" s="56"/>
      <c r="KJ23" s="242">
        <f t="shared" si="96"/>
        <v>0</v>
      </c>
      <c r="KK23" s="242">
        <f t="shared" si="97"/>
        <v>0</v>
      </c>
      <c r="KL23" s="56"/>
      <c r="KO23" s="55">
        <f t="shared" si="98"/>
        <v>46040</v>
      </c>
      <c r="KP23" s="56"/>
      <c r="KQ23" s="242">
        <f>SUMPRODUCT(PRODUCE!$B22:$DY22,PRODUCE!$EB$40:$IY$40)</f>
        <v>0</v>
      </c>
      <c r="KR23" s="56"/>
      <c r="KS23" s="242">
        <f t="shared" si="99"/>
        <v>0</v>
      </c>
      <c r="KT23" s="242">
        <f t="shared" si="100"/>
        <v>0</v>
      </c>
      <c r="KU23" s="56"/>
      <c r="KW23" s="23"/>
      <c r="KX23" s="55">
        <f t="shared" si="101"/>
        <v>46040</v>
      </c>
      <c r="KY23" s="56"/>
      <c r="KZ23" s="242">
        <f>SUMPRODUCT(PRODUCE!$B22:$DY22,PRODUCE!$EB$41:$IY$41)</f>
        <v>0</v>
      </c>
      <c r="LA23" s="56"/>
      <c r="LB23" s="242">
        <f t="shared" si="102"/>
        <v>0</v>
      </c>
      <c r="LC23" s="242">
        <f t="shared" si="103"/>
        <v>0</v>
      </c>
      <c r="LD23" s="56"/>
      <c r="LG23" s="55">
        <f t="shared" si="104"/>
        <v>46040</v>
      </c>
      <c r="LH23" s="56"/>
      <c r="LI23" s="242">
        <f>SUMPRODUCT(PRODUCE!$B22:$DY22,PRODUCE!$EB$42:$IY$42)</f>
        <v>0</v>
      </c>
      <c r="LJ23" s="56"/>
      <c r="LK23" s="242">
        <f t="shared" si="105"/>
        <v>0</v>
      </c>
      <c r="LL23" s="242">
        <f t="shared" si="106"/>
        <v>0</v>
      </c>
      <c r="LM23" s="56"/>
      <c r="LP23" s="55">
        <f t="shared" si="107"/>
        <v>46040</v>
      </c>
      <c r="LQ23" s="56"/>
      <c r="LR23" s="242">
        <f>SUMPRODUCT(PRODUCE!$B22:$DY22,PRODUCE!$EB$43:$IY$43)</f>
        <v>0</v>
      </c>
      <c r="LS23" s="56"/>
      <c r="LT23" s="242">
        <f t="shared" si="108"/>
        <v>0</v>
      </c>
      <c r="LU23" s="242">
        <f t="shared" si="109"/>
        <v>0</v>
      </c>
      <c r="LV23" s="56"/>
      <c r="LY23" s="55">
        <f t="shared" si="110"/>
        <v>46040</v>
      </c>
      <c r="LZ23" s="56"/>
      <c r="MA23" s="242">
        <f>SUMPRODUCT(PRODUCE!$B22:$DY22,PRODUCE!$EB$44:$IY$44)</f>
        <v>0</v>
      </c>
      <c r="MB23" s="56"/>
      <c r="MC23" s="242">
        <f t="shared" si="111"/>
        <v>0</v>
      </c>
      <c r="MD23" s="242">
        <f t="shared" si="112"/>
        <v>0</v>
      </c>
      <c r="ME23" s="56"/>
      <c r="MH23" s="55">
        <f t="shared" si="113"/>
        <v>46040</v>
      </c>
      <c r="MI23" s="56"/>
      <c r="MJ23" s="242">
        <f>SUMPRODUCT(PRODUCE!$B22:$DY22,PRODUCE!$EB$45:$IY$45)</f>
        <v>0</v>
      </c>
      <c r="MK23" s="56"/>
      <c r="ML23" s="242">
        <f t="shared" si="114"/>
        <v>0</v>
      </c>
      <c r="MM23" s="242">
        <f t="shared" si="115"/>
        <v>0</v>
      </c>
      <c r="MN23" s="56"/>
      <c r="MQ23" s="55">
        <f t="shared" si="116"/>
        <v>46040</v>
      </c>
      <c r="MR23" s="56"/>
      <c r="MS23" s="242">
        <f>SUMPRODUCT(PRODUCE!$B22:$DY22,PRODUCE!$EB$46:$IY$46)</f>
        <v>0</v>
      </c>
      <c r="MT23" s="56"/>
      <c r="MU23" s="242">
        <f t="shared" si="117"/>
        <v>0</v>
      </c>
      <c r="MV23" s="242">
        <f t="shared" si="118"/>
        <v>1196</v>
      </c>
      <c r="MW23" s="56"/>
      <c r="MZ23" s="55">
        <f t="shared" si="119"/>
        <v>46040</v>
      </c>
      <c r="NA23" s="56"/>
      <c r="NB23" s="242">
        <f>SUMPRODUCT(PRODUCE!$B22:$DY22,PRODUCE!$EB$47:$IY$47)</f>
        <v>0</v>
      </c>
      <c r="NC23" s="56"/>
      <c r="ND23" s="242">
        <f t="shared" si="120"/>
        <v>0</v>
      </c>
      <c r="NE23" s="242">
        <f t="shared" si="121"/>
        <v>0</v>
      </c>
      <c r="NF23" s="56"/>
      <c r="NI23" s="55">
        <f t="shared" si="122"/>
        <v>46040</v>
      </c>
      <c r="NJ23" s="56"/>
      <c r="NK23" s="242">
        <f>SUMPRODUCT(PRODUCE!$B22:$DY22,PRODUCE!$EB$48:$IY$48)</f>
        <v>0</v>
      </c>
      <c r="NL23" s="56"/>
      <c r="NM23" s="242">
        <f t="shared" si="123"/>
        <v>0</v>
      </c>
      <c r="NN23" s="242">
        <f t="shared" si="124"/>
        <v>0</v>
      </c>
      <c r="NO23" s="56"/>
      <c r="NR23" s="55">
        <f t="shared" si="125"/>
        <v>46040</v>
      </c>
      <c r="NS23" s="56"/>
      <c r="NT23" s="242">
        <f>SUMPRODUCT(PRODUCE!$B22:$DY22,PRODUCE!$EB$49:$IY$49)</f>
        <v>0</v>
      </c>
      <c r="NU23" s="56"/>
      <c r="NV23" s="242">
        <f t="shared" si="126"/>
        <v>0</v>
      </c>
      <c r="NW23" s="242">
        <f t="shared" si="127"/>
        <v>0</v>
      </c>
      <c r="NX23" s="56"/>
      <c r="OA23" s="55">
        <f t="shared" si="128"/>
        <v>46040</v>
      </c>
      <c r="OB23" s="56"/>
      <c r="OC23" s="242">
        <f>SUMPRODUCT(PRODUCE!$B22:$DY22,PRODUCE!$EB$50:$IY$50)</f>
        <v>0</v>
      </c>
      <c r="OD23" s="56"/>
      <c r="OE23" s="242">
        <f t="shared" si="129"/>
        <v>0</v>
      </c>
      <c r="OF23" s="242">
        <f t="shared" si="130"/>
        <v>1680.5</v>
      </c>
      <c r="OG23" s="56"/>
      <c r="OJ23" s="55">
        <f t="shared" si="131"/>
        <v>46040</v>
      </c>
      <c r="OK23" s="56"/>
      <c r="OL23" s="242">
        <f>SUMPRODUCT(PRODUCE!$B22:$DY22,PRODUCE!$EB$51:$IY$51)</f>
        <v>0</v>
      </c>
      <c r="OM23" s="56"/>
      <c r="ON23" s="242">
        <f t="shared" si="132"/>
        <v>0</v>
      </c>
      <c r="OO23" s="242">
        <f t="shared" si="133"/>
        <v>0</v>
      </c>
      <c r="OP23" s="56"/>
      <c r="OS23" s="55">
        <f t="shared" si="134"/>
        <v>46040</v>
      </c>
      <c r="OT23" s="56"/>
      <c r="OU23" s="242">
        <f>SUMPRODUCT(PRODUCE!$B22:$DY22,PRODUCE!$EB$52:$IY$52)</f>
        <v>0</v>
      </c>
      <c r="OV23" s="56"/>
      <c r="OW23" s="242">
        <f t="shared" si="135"/>
        <v>0</v>
      </c>
      <c r="OX23" s="242">
        <f t="shared" si="136"/>
        <v>67</v>
      </c>
      <c r="OY23" s="56"/>
      <c r="PB23" s="55">
        <f t="shared" si="137"/>
        <v>46040</v>
      </c>
      <c r="PC23" s="56"/>
      <c r="PD23" s="242">
        <f>SUMPRODUCT(PRODUCE!$B22:$DY22,PRODUCE!$EB$53:$IY$53)</f>
        <v>0</v>
      </c>
      <c r="PE23" s="56"/>
      <c r="PF23" s="242">
        <f t="shared" si="138"/>
        <v>0</v>
      </c>
      <c r="PG23" s="242">
        <f t="shared" si="139"/>
        <v>0</v>
      </c>
      <c r="PH23" s="56"/>
      <c r="PK23" s="55">
        <f t="shared" si="140"/>
        <v>46040</v>
      </c>
      <c r="PL23" s="56"/>
      <c r="PM23" s="242">
        <f>SUMPRODUCT(PRODUCE!$B22:$DY22,PRODUCE!$EB$54:$IY$54)</f>
        <v>0</v>
      </c>
      <c r="PN23" s="56"/>
      <c r="PO23" s="242">
        <f t="shared" si="141"/>
        <v>0</v>
      </c>
      <c r="PP23" s="242">
        <f t="shared" si="142"/>
        <v>160</v>
      </c>
      <c r="PQ23" s="56"/>
      <c r="PT23" s="55">
        <f t="shared" si="143"/>
        <v>46040</v>
      </c>
      <c r="PU23" s="56"/>
      <c r="PV23" s="242">
        <f>SUMPRODUCT(PRODUCE!$B22:$DY22,PRODUCE!$EB$55:$IY$55)</f>
        <v>0</v>
      </c>
      <c r="PW23" s="56"/>
      <c r="PX23" s="242">
        <f t="shared" si="144"/>
        <v>0</v>
      </c>
      <c r="PY23" s="242">
        <f t="shared" si="145"/>
        <v>13.960000000000036</v>
      </c>
      <c r="PZ23" s="56"/>
      <c r="QC23" s="55">
        <f t="shared" si="146"/>
        <v>46040</v>
      </c>
      <c r="QD23" s="56"/>
      <c r="QE23" s="242">
        <f>SUMPRODUCT(PRODUCE!$B22:$DY22,PRODUCE!$EB$56:$IY$56)</f>
        <v>0</v>
      </c>
      <c r="QF23" s="56"/>
      <c r="QG23" s="242">
        <f t="shared" si="147"/>
        <v>0</v>
      </c>
      <c r="QH23" s="242">
        <f t="shared" si="148"/>
        <v>0</v>
      </c>
      <c r="QI23" s="56"/>
      <c r="QL23" s="55">
        <f t="shared" si="149"/>
        <v>46040</v>
      </c>
      <c r="QM23" s="56"/>
      <c r="QN23" s="242">
        <f>SUMPRODUCT(PRODUCE!$B22:$DY22,PRODUCE!$EB$57:$IY$57)</f>
        <v>0</v>
      </c>
      <c r="QO23" s="56"/>
      <c r="QP23" s="242">
        <f t="shared" si="150"/>
        <v>0</v>
      </c>
      <c r="QQ23" s="242">
        <f t="shared" si="151"/>
        <v>0</v>
      </c>
      <c r="QR23" s="56"/>
      <c r="QU23" s="55">
        <f t="shared" si="152"/>
        <v>46040</v>
      </c>
      <c r="QV23" s="56"/>
      <c r="QW23" s="242">
        <f>SUMPRODUCT(PRODUCE!$B22:$DY22,PRODUCE!$EB$57:$IY$57)</f>
        <v>0</v>
      </c>
      <c r="QX23" s="56"/>
      <c r="QY23" s="242">
        <f t="shared" si="153"/>
        <v>0</v>
      </c>
      <c r="QZ23" s="242">
        <f t="shared" si="154"/>
        <v>207.6</v>
      </c>
      <c r="RA23" s="56"/>
      <c r="RD23" s="55">
        <f t="shared" si="155"/>
        <v>46040</v>
      </c>
      <c r="RE23" s="56"/>
      <c r="RF23" s="242">
        <f>SUMPRODUCT(PRODUCE!$B22:$DY22,PRODUCE!$EB$58:$IY$58)</f>
        <v>0</v>
      </c>
      <c r="RG23" s="56"/>
      <c r="RH23" s="242">
        <f t="shared" si="156"/>
        <v>0</v>
      </c>
      <c r="RI23" s="242">
        <f t="shared" si="157"/>
        <v>201.8</v>
      </c>
      <c r="RJ23" s="56"/>
      <c r="RM23" s="55">
        <f t="shared" si="158"/>
        <v>46040</v>
      </c>
      <c r="RN23" s="56"/>
      <c r="RO23" s="242">
        <f>SUMPRODUCT(PRODUCE!$B22:$DY22,PRODUCE!$EB$59:$IY$59)</f>
        <v>0</v>
      </c>
      <c r="RP23" s="56"/>
      <c r="RQ23" s="242">
        <f t="shared" si="159"/>
        <v>0</v>
      </c>
      <c r="RR23" s="242">
        <f t="shared" si="160"/>
        <v>22.720000000000002</v>
      </c>
      <c r="RS23" s="56"/>
      <c r="RV23" s="55">
        <f t="shared" si="161"/>
        <v>46040</v>
      </c>
      <c r="RW23" s="56"/>
      <c r="RX23" s="242">
        <f>SUMPRODUCT(PRODUCE!$B22:$DY22,PRODUCE!$EB$57:$IY$57)</f>
        <v>0</v>
      </c>
      <c r="RY23" s="56"/>
      <c r="RZ23" s="242">
        <f t="shared" si="162"/>
        <v>0</v>
      </c>
      <c r="SA23" s="242">
        <f t="shared" si="163"/>
        <v>0</v>
      </c>
      <c r="SB23" s="56"/>
      <c r="SE23" s="55">
        <f t="shared" si="164"/>
        <v>46040</v>
      </c>
      <c r="SF23" s="56"/>
      <c r="SG23" s="242">
        <f>SUMPRODUCT(PRODUCE!$B22:$DY22,PRODUCE!$EB$61:$IY$61)</f>
        <v>0</v>
      </c>
      <c r="SH23" s="56"/>
      <c r="SI23" s="242">
        <f t="shared" si="165"/>
        <v>0</v>
      </c>
      <c r="SJ23" s="242">
        <f t="shared" si="166"/>
        <v>0</v>
      </c>
      <c r="SK23" s="56"/>
      <c r="SN23" s="55">
        <f t="shared" si="167"/>
        <v>46040</v>
      </c>
      <c r="SO23" s="56"/>
      <c r="SP23" s="242">
        <f>SUMPRODUCT(PRODUCE!$B22:$DY22,PRODUCE!$EB$57:$IY$57)</f>
        <v>0</v>
      </c>
      <c r="SQ23" s="56"/>
      <c r="SR23" s="242">
        <f t="shared" si="168"/>
        <v>0</v>
      </c>
      <c r="SS23" s="242">
        <f t="shared" si="169"/>
        <v>0</v>
      </c>
      <c r="ST23" s="56"/>
      <c r="SW23" s="55">
        <f t="shared" si="170"/>
        <v>46040</v>
      </c>
      <c r="SX23" s="56"/>
      <c r="SY23" s="242">
        <f>SUMPRODUCT(PRODUCE!$B22:$DY22,PRODUCE!$EB$57:$IY$57)</f>
        <v>0</v>
      </c>
      <c r="SZ23" s="56"/>
      <c r="TA23" s="242">
        <f t="shared" si="171"/>
        <v>0</v>
      </c>
      <c r="TB23" s="242">
        <f t="shared" si="172"/>
        <v>0</v>
      </c>
      <c r="TC23" s="56"/>
      <c r="TF23" s="55">
        <f t="shared" si="173"/>
        <v>46040</v>
      </c>
      <c r="TG23" s="56"/>
      <c r="TH23" s="242">
        <f>SUMPRODUCT(PRODUCE!$B22:$DY22,PRODUCE!$EB$57:$IY$57)</f>
        <v>0</v>
      </c>
      <c r="TI23" s="56"/>
      <c r="TJ23" s="242">
        <f t="shared" si="174"/>
        <v>0</v>
      </c>
      <c r="TK23" s="242">
        <f t="shared" si="175"/>
        <v>0</v>
      </c>
      <c r="TL23" s="56"/>
      <c r="TO23" s="55">
        <f t="shared" si="176"/>
        <v>46040</v>
      </c>
      <c r="TP23" s="56"/>
      <c r="TQ23" s="242">
        <f>SUMPRODUCT(PRODUCE!$B22:$DY22,PRODUCE!$EB$57:$IY$57)</f>
        <v>0</v>
      </c>
      <c r="TR23" s="56"/>
      <c r="TS23" s="242">
        <f t="shared" si="177"/>
        <v>0</v>
      </c>
      <c r="TT23" s="242">
        <f t="shared" si="178"/>
        <v>0</v>
      </c>
      <c r="TU23" s="56"/>
      <c r="TX23" s="55">
        <f t="shared" si="179"/>
        <v>46040</v>
      </c>
      <c r="TY23" s="56"/>
      <c r="TZ23" s="242">
        <f>SUMPRODUCT(PRODUCE!$B22:$DY22,PRODUCE!$EB$57:$IY$57)</f>
        <v>0</v>
      </c>
      <c r="UA23" s="56"/>
      <c r="UB23" s="242">
        <f t="shared" si="180"/>
        <v>0</v>
      </c>
      <c r="UC23" s="242">
        <f t="shared" si="181"/>
        <v>0</v>
      </c>
      <c r="UD23" s="56"/>
      <c r="UG23" s="55">
        <f t="shared" si="182"/>
        <v>46040</v>
      </c>
      <c r="UH23" s="56"/>
      <c r="UI23" s="242">
        <f>SUMPRODUCT(PRODUCE!$B22:$DY22,PRODUCE!$EB$57:$IY$57)</f>
        <v>0</v>
      </c>
      <c r="UJ23" s="56"/>
      <c r="UK23" s="242">
        <f t="shared" si="183"/>
        <v>0</v>
      </c>
      <c r="UL23" s="242">
        <f t="shared" si="184"/>
        <v>0</v>
      </c>
      <c r="UM23" s="56"/>
      <c r="UP23" s="55">
        <f t="shared" si="185"/>
        <v>46040</v>
      </c>
      <c r="UQ23" s="56"/>
      <c r="UR23" s="242">
        <f>SUMPRODUCT(PRODUCE!$B22:$DY22,PRODUCE!$EB$57:$IY$57)</f>
        <v>0</v>
      </c>
      <c r="US23" s="56"/>
      <c r="UT23" s="242">
        <f t="shared" si="186"/>
        <v>0</v>
      </c>
      <c r="UU23" s="242">
        <f t="shared" si="187"/>
        <v>0</v>
      </c>
      <c r="UV23" s="56"/>
      <c r="UY23" s="55">
        <f t="shared" si="188"/>
        <v>46040</v>
      </c>
      <c r="UZ23" s="56"/>
      <c r="VA23" s="242">
        <f>SUMPRODUCT(PRODUCE!$B22:$DY22,PRODUCE!$EB$57:$IY$57)</f>
        <v>0</v>
      </c>
      <c r="VB23" s="56"/>
      <c r="VC23" s="242">
        <f t="shared" si="189"/>
        <v>0</v>
      </c>
      <c r="VD23" s="242">
        <f t="shared" si="190"/>
        <v>-319.59999999999997</v>
      </c>
      <c r="VE23" s="56"/>
      <c r="VH23" s="55">
        <f t="shared" si="191"/>
        <v>46040</v>
      </c>
      <c r="VI23" s="56"/>
      <c r="VJ23" s="242">
        <f>SUMPRODUCT(PRODUCE!$B22:$DY22,PRODUCE!$EB$57:$IY$57)</f>
        <v>0</v>
      </c>
      <c r="VK23" s="56"/>
      <c r="VL23" s="242">
        <f t="shared" si="192"/>
        <v>0</v>
      </c>
      <c r="VM23" s="242">
        <f t="shared" si="193"/>
        <v>0</v>
      </c>
      <c r="VN23" s="56"/>
      <c r="VQ23" s="55">
        <f t="shared" si="194"/>
        <v>46040</v>
      </c>
      <c r="VR23" s="56"/>
      <c r="VS23" s="242">
        <f>SUMPRODUCT(PRODUCE!$B22:$DY22,PRODUCE!$EB$57:$IY$57)</f>
        <v>0</v>
      </c>
      <c r="VT23" s="56"/>
      <c r="VU23" s="242">
        <f t="shared" si="195"/>
        <v>0</v>
      </c>
      <c r="VV23" s="242">
        <f t="shared" si="196"/>
        <v>0</v>
      </c>
      <c r="VW23" s="56"/>
      <c r="VZ23" s="55">
        <f t="shared" si="197"/>
        <v>46040</v>
      </c>
      <c r="WA23" s="56"/>
      <c r="WB23" s="242">
        <f>SUMPRODUCT(PRODUCE!$B22:$DY22,PRODUCE!$EB$57:$IY$57)</f>
        <v>0</v>
      </c>
      <c r="WC23" s="56"/>
      <c r="WD23" s="242">
        <f t="shared" si="198"/>
        <v>0</v>
      </c>
      <c r="WE23" s="242">
        <f t="shared" si="199"/>
        <v>0</v>
      </c>
      <c r="WF23" s="56"/>
      <c r="WI23" s="55">
        <f t="shared" si="200"/>
        <v>46040</v>
      </c>
      <c r="WJ23" s="56"/>
      <c r="WK23" s="242">
        <f>SUMPRODUCT(PRODUCE!$B22:$DY22,PRODUCE!$EB$57:$IY$57)</f>
        <v>0</v>
      </c>
      <c r="WL23" s="56"/>
      <c r="WM23" s="242">
        <f t="shared" si="201"/>
        <v>0</v>
      </c>
      <c r="WN23" s="242">
        <f t="shared" si="202"/>
        <v>5877</v>
      </c>
      <c r="WO23" s="56"/>
      <c r="WR23" s="55">
        <f t="shared" si="203"/>
        <v>46040</v>
      </c>
      <c r="WS23" s="56"/>
      <c r="WT23" s="242">
        <f>SUMPRODUCT(PRODUCE!$B22:$DY22,PRODUCE!$EB$57:$IY$57)</f>
        <v>0</v>
      </c>
      <c r="WU23" s="56"/>
      <c r="WV23" s="242">
        <f t="shared" si="204"/>
        <v>0</v>
      </c>
      <c r="WW23" s="242">
        <f t="shared" si="205"/>
        <v>5267</v>
      </c>
      <c r="WX23" s="56"/>
      <c r="XA23" s="55">
        <f t="shared" si="206"/>
        <v>46040</v>
      </c>
      <c r="XB23" s="56"/>
      <c r="XC23" s="242">
        <f>SUMPRODUCT(PRODUCE!$B22:$DY22,PRODUCE!$EB$57:$IY$57)</f>
        <v>0</v>
      </c>
      <c r="XD23" s="56"/>
      <c r="XE23" s="242">
        <f t="shared" si="207"/>
        <v>0</v>
      </c>
      <c r="XF23" s="242">
        <f t="shared" si="208"/>
        <v>118</v>
      </c>
      <c r="XG23" s="56"/>
      <c r="XJ23" s="55">
        <f t="shared" si="209"/>
        <v>46040</v>
      </c>
      <c r="XK23" s="56"/>
      <c r="XL23" s="242">
        <f>SUMPRODUCT(PRODUCE!$B22:$DY22,PRODUCE!$EB$57:$IY$57)</f>
        <v>0</v>
      </c>
      <c r="XM23" s="56"/>
      <c r="XN23" s="242">
        <f t="shared" si="210"/>
        <v>0</v>
      </c>
      <c r="XO23" s="242">
        <f t="shared" si="211"/>
        <v>5852</v>
      </c>
      <c r="XP23" s="56"/>
      <c r="XS23" s="55">
        <f t="shared" si="212"/>
        <v>46040</v>
      </c>
      <c r="XT23" s="56"/>
      <c r="XU23" s="242">
        <f>SUMPRODUCT(PRODUCE!$B22:$DY22,PRODUCE!$EB$57:$IY$57)</f>
        <v>0</v>
      </c>
      <c r="XV23" s="56"/>
      <c r="XW23" s="242">
        <f t="shared" si="213"/>
        <v>0</v>
      </c>
      <c r="XX23" s="242">
        <f t="shared" si="214"/>
        <v>1901</v>
      </c>
      <c r="XY23" s="56"/>
      <c r="YB23" s="55">
        <f t="shared" si="215"/>
        <v>46040</v>
      </c>
      <c r="YC23" s="56"/>
      <c r="YD23" s="242">
        <f>SUMPRODUCT(PRODUCE!$B22:$DY22,PRODUCE!$EB$57:$IY$57)</f>
        <v>0</v>
      </c>
      <c r="YE23" s="56"/>
      <c r="YF23" s="242">
        <f t="shared" si="216"/>
        <v>0</v>
      </c>
      <c r="YG23" s="242">
        <f t="shared" si="217"/>
        <v>2948</v>
      </c>
      <c r="YH23" s="56"/>
      <c r="YK23" s="55">
        <f t="shared" si="218"/>
        <v>46040</v>
      </c>
      <c r="YL23" s="56"/>
      <c r="YM23" s="242">
        <f>SUMPRODUCT(PRODUCE!$B22:$DY22,PRODUCE!$EB$57:$IY$57)</f>
        <v>0</v>
      </c>
      <c r="YN23" s="56"/>
      <c r="YO23" s="242">
        <f t="shared" si="219"/>
        <v>0</v>
      </c>
      <c r="YP23" s="242">
        <f t="shared" si="220"/>
        <v>0</v>
      </c>
      <c r="YQ23" s="56"/>
      <c r="YT23" s="55">
        <f t="shared" si="221"/>
        <v>46040</v>
      </c>
      <c r="YU23" s="56"/>
      <c r="YV23" s="242">
        <f>SUMPRODUCT(PRODUCE!$B22:$DY22,PRODUCE!$EB$57:$IY$57)</f>
        <v>0</v>
      </c>
      <c r="YW23" s="56"/>
      <c r="YX23" s="242">
        <f t="shared" si="222"/>
        <v>0</v>
      </c>
      <c r="YY23" s="242">
        <f t="shared" si="223"/>
        <v>0</v>
      </c>
      <c r="YZ23" s="56"/>
      <c r="ZC23" s="55">
        <f t="shared" si="224"/>
        <v>46040</v>
      </c>
      <c r="ZD23" s="56"/>
      <c r="ZE23" s="242">
        <f>SUMPRODUCT(PRODUCE!$B22:$DY22,PRODUCE!$EB$57:$IY$57)</f>
        <v>0</v>
      </c>
      <c r="ZF23" s="56"/>
      <c r="ZG23" s="242">
        <f t="shared" si="225"/>
        <v>0</v>
      </c>
      <c r="ZH23" s="242">
        <f t="shared" si="226"/>
        <v>0</v>
      </c>
      <c r="ZI23" s="56"/>
      <c r="ZL23" s="55">
        <f t="shared" si="227"/>
        <v>46040</v>
      </c>
      <c r="ZM23" s="56"/>
      <c r="ZN23" s="242">
        <f>SUMPRODUCT(PRODUCE!$B22:$DY22,PRODUCE!$EB$57:$IY$57)</f>
        <v>0</v>
      </c>
      <c r="ZO23" s="56"/>
      <c r="ZP23" s="242">
        <f t="shared" si="228"/>
        <v>0</v>
      </c>
      <c r="ZQ23" s="242">
        <f t="shared" si="229"/>
        <v>0</v>
      </c>
      <c r="ZR23" s="56"/>
      <c r="ZU23" s="55">
        <f t="shared" si="230"/>
        <v>46040</v>
      </c>
      <c r="ZV23" s="56"/>
      <c r="ZW23" s="242">
        <f>SUMPRODUCT(PRODUCE!$B22:$DY22,PRODUCE!$EB$57:$IY$57)</f>
        <v>0</v>
      </c>
      <c r="ZX23" s="56"/>
      <c r="ZY23" s="242">
        <f t="shared" si="231"/>
        <v>0</v>
      </c>
      <c r="ZZ23" s="242">
        <f t="shared" si="232"/>
        <v>0</v>
      </c>
      <c r="AAA23" s="56"/>
      <c r="AAD23" s="55">
        <f t="shared" si="233"/>
        <v>46040</v>
      </c>
      <c r="AAE23" s="56"/>
      <c r="AAF23" s="242">
        <f>SUMPRODUCT(PRODUCE!$B22:$DY22,PRODUCE!$EB$57:$IY$57)</f>
        <v>0</v>
      </c>
      <c r="AAG23" s="56"/>
      <c r="AAH23" s="242">
        <f t="shared" si="234"/>
        <v>0</v>
      </c>
      <c r="AAI23" s="242">
        <f t="shared" si="235"/>
        <v>0</v>
      </c>
      <c r="AAJ23" s="56"/>
      <c r="AAM23" s="55">
        <f t="shared" si="236"/>
        <v>46040</v>
      </c>
      <c r="AAN23" s="56"/>
      <c r="AAO23" s="242">
        <f>SUMPRODUCT(PRODUCE!$B22:$DY22,PRODUCE!$EB$57:$IY$57)</f>
        <v>0</v>
      </c>
      <c r="AAP23" s="56"/>
      <c r="AAQ23" s="242">
        <f t="shared" si="237"/>
        <v>0</v>
      </c>
      <c r="AAR23" s="242">
        <f t="shared" si="238"/>
        <v>0</v>
      </c>
      <c r="AAS23" s="56"/>
      <c r="AAV23" s="55">
        <f t="shared" si="239"/>
        <v>46040</v>
      </c>
      <c r="AAW23" s="56"/>
      <c r="AAX23" s="242">
        <f>SUMPRODUCT(PRODUCE!$B22:$DY22,PRODUCE!$EB$57:$IY$57)</f>
        <v>0</v>
      </c>
      <c r="AAY23" s="56"/>
      <c r="AAZ23" s="242">
        <f t="shared" si="240"/>
        <v>0</v>
      </c>
      <c r="ABA23" s="242">
        <f t="shared" si="241"/>
        <v>0</v>
      </c>
      <c r="ABB23" s="56"/>
      <c r="ABE23" s="55">
        <f t="shared" si="242"/>
        <v>46040</v>
      </c>
      <c r="ABF23" s="56"/>
      <c r="ABG23" s="242">
        <f>SUMPRODUCT(PRODUCE!$B22:$DY22,PRODUCE!$EB$57:$IY$57)</f>
        <v>0</v>
      </c>
      <c r="ABH23" s="56"/>
      <c r="ABI23" s="242">
        <f t="shared" si="243"/>
        <v>0</v>
      </c>
      <c r="ABJ23" s="242">
        <f t="shared" si="244"/>
        <v>0</v>
      </c>
      <c r="ABK23" s="56"/>
    </row>
    <row r="24" spans="2:739" s="54" customFormat="1" ht="15" customHeight="1" outlineLevel="1">
      <c r="B24" s="478">
        <f>30+32+20</f>
        <v>82</v>
      </c>
      <c r="C24" s="55">
        <v>46041</v>
      </c>
      <c r="D24" s="422">
        <v>45280</v>
      </c>
      <c r="E24" s="423">
        <f>SUMPRODUCT(PRODUCE!$B23:$DY23,PRODUCE!$EB$7:$IY$7)</f>
        <v>45778</v>
      </c>
      <c r="F24" s="422">
        <v>45777</v>
      </c>
      <c r="G24" s="423">
        <f t="shared" si="2"/>
        <v>1</v>
      </c>
      <c r="H24" s="423">
        <f t="shared" si="0"/>
        <v>33286</v>
      </c>
      <c r="I24" s="325" t="s">
        <v>187</v>
      </c>
      <c r="L24" s="55">
        <f t="shared" si="1"/>
        <v>46041</v>
      </c>
      <c r="M24" s="422">
        <v>30020</v>
      </c>
      <c r="N24" s="438">
        <f>SUMPRODUCT(PRODUCE!$B23:$DY23,PRODUCE!$EB$8:$IY$8)</f>
        <v>22023</v>
      </c>
      <c r="O24" s="422">
        <v>22026</v>
      </c>
      <c r="P24" s="438">
        <f t="shared" si="3"/>
        <v>-3</v>
      </c>
      <c r="Q24" s="438">
        <f t="shared" si="4"/>
        <v>43677.400000000009</v>
      </c>
      <c r="R24" s="56"/>
      <c r="U24" s="55">
        <f t="shared" si="5"/>
        <v>46041</v>
      </c>
      <c r="V24" s="422"/>
      <c r="W24" s="440">
        <f>SUMPRODUCT(PRODUCE!$B23:$DY23,PRODUCE!$EB$9:$IY$9)</f>
        <v>4000</v>
      </c>
      <c r="X24" s="422">
        <v>4001.8</v>
      </c>
      <c r="Y24" s="440">
        <f t="shared" si="6"/>
        <v>-1.8000000000001819</v>
      </c>
      <c r="Z24" s="440">
        <f t="shared" si="7"/>
        <v>48261.099999999977</v>
      </c>
      <c r="AA24" s="56"/>
      <c r="AD24" s="55">
        <f t="shared" si="8"/>
        <v>46041</v>
      </c>
      <c r="AE24" s="422"/>
      <c r="AF24" s="442">
        <f>SUMPRODUCT(PRODUCE!$B23:$DY23,PRODUCE!$EB$10:$IY$10)</f>
        <v>2750</v>
      </c>
      <c r="AG24" s="422">
        <v>2750.9</v>
      </c>
      <c r="AH24" s="442">
        <f t="shared" si="9"/>
        <v>-0.90000000000009095</v>
      </c>
      <c r="AI24" s="442">
        <f t="shared" si="10"/>
        <v>19213.100000000002</v>
      </c>
      <c r="AJ24" s="56"/>
      <c r="AM24" s="55">
        <f t="shared" si="11"/>
        <v>46041</v>
      </c>
      <c r="AN24" s="422"/>
      <c r="AO24" s="444">
        <f>SUMPRODUCT(PRODUCE!$B23:$DY23,PRODUCE!$EB$11:$IY$11)</f>
        <v>0</v>
      </c>
      <c r="AP24" s="422"/>
      <c r="AQ24" s="444">
        <f t="shared" si="12"/>
        <v>0</v>
      </c>
      <c r="AR24" s="444">
        <f t="shared" si="13"/>
        <v>0</v>
      </c>
      <c r="AS24" s="56"/>
      <c r="AV24" s="55">
        <f t="shared" si="14"/>
        <v>46041</v>
      </c>
      <c r="AW24" s="422"/>
      <c r="AX24" s="446">
        <f>SUMPRODUCT(PRODUCE!$B23:$DY23,PRODUCE!$EB$12:$IY$12)</f>
        <v>1640</v>
      </c>
      <c r="AY24" s="422">
        <v>1638.8</v>
      </c>
      <c r="AZ24" s="446">
        <f t="shared" si="15"/>
        <v>1.2000000000000455</v>
      </c>
      <c r="BA24" s="446">
        <f t="shared" si="16"/>
        <v>11714.999999999993</v>
      </c>
      <c r="BB24" s="56"/>
      <c r="BE24" s="55">
        <f t="shared" si="17"/>
        <v>46041</v>
      </c>
      <c r="BF24" s="422"/>
      <c r="BG24" s="448">
        <f>SUMPRODUCT(PRODUCE!$B23:$DY23,PRODUCE!$EB$13:$IY$13)</f>
        <v>1640</v>
      </c>
      <c r="BH24" s="422">
        <v>1640.1</v>
      </c>
      <c r="BI24" s="448">
        <f t="shared" si="18"/>
        <v>-9.9999999999909051E-2</v>
      </c>
      <c r="BJ24" s="448">
        <f t="shared" si="19"/>
        <v>30762.30000000001</v>
      </c>
      <c r="BK24" s="56"/>
      <c r="BN24" s="55">
        <f t="shared" si="20"/>
        <v>46041</v>
      </c>
      <c r="BO24" s="422">
        <v>1330</v>
      </c>
      <c r="BP24" s="450">
        <f>SUMPRODUCT(PRODUCE!$B23:$DY23,PRODUCE!$EB$14:$IY$14)</f>
        <v>1330</v>
      </c>
      <c r="BQ24" s="422">
        <v>1330</v>
      </c>
      <c r="BR24" s="450">
        <f t="shared" si="21"/>
        <v>0</v>
      </c>
      <c r="BS24" s="450">
        <f t="shared" si="22"/>
        <v>0</v>
      </c>
      <c r="BT24" s="56"/>
      <c r="BW24" s="55">
        <f t="shared" si="23"/>
        <v>46041</v>
      </c>
      <c r="BX24" s="56"/>
      <c r="BY24" s="65">
        <f>SUMPRODUCT(PRODUCE!$B23:$DY23,PRODUCE!$EB$15:$IY$15)</f>
        <v>45</v>
      </c>
      <c r="BZ24" s="56"/>
      <c r="CA24" s="65">
        <f t="shared" si="24"/>
        <v>45</v>
      </c>
      <c r="CB24" s="65">
        <f t="shared" si="25"/>
        <v>3386.5</v>
      </c>
      <c r="CC24" s="56"/>
      <c r="CF24" s="55">
        <f t="shared" si="26"/>
        <v>46041</v>
      </c>
      <c r="CG24" s="56"/>
      <c r="CH24" s="66">
        <f>SUMPRODUCT(PRODUCE!$B23:$DY23,PRODUCE!$EB$16:$IY$16)</f>
        <v>177</v>
      </c>
      <c r="CI24" s="56"/>
      <c r="CJ24" s="66">
        <f t="shared" si="27"/>
        <v>177</v>
      </c>
      <c r="CK24" s="66">
        <f t="shared" si="28"/>
        <v>0</v>
      </c>
      <c r="CL24" s="56"/>
      <c r="CO24" s="55">
        <f t="shared" si="29"/>
        <v>46041</v>
      </c>
      <c r="CP24" s="422"/>
      <c r="CQ24" s="470">
        <f>SUMPRODUCT(PRODUCE!$B23:$DY23,PRODUCE!$EB$17:$IY$17)</f>
        <v>0</v>
      </c>
      <c r="CR24" s="422"/>
      <c r="CS24" s="470">
        <f t="shared" si="30"/>
        <v>0</v>
      </c>
      <c r="CT24" s="470">
        <f t="shared" si="31"/>
        <v>0</v>
      </c>
      <c r="CU24" s="56"/>
      <c r="CX24" s="55">
        <f t="shared" si="32"/>
        <v>46041</v>
      </c>
      <c r="CY24" s="56"/>
      <c r="CZ24" s="133">
        <f>SUMPRODUCT(PRODUCE!$B23:$DY23,PRODUCE!$EB$18:$IY$18)</f>
        <v>0</v>
      </c>
      <c r="DA24" s="56"/>
      <c r="DB24" s="133">
        <f t="shared" si="33"/>
        <v>0</v>
      </c>
      <c r="DC24" s="133">
        <f t="shared" si="34"/>
        <v>0</v>
      </c>
      <c r="DD24" s="56"/>
      <c r="DG24" s="55">
        <f t="shared" si="35"/>
        <v>46041</v>
      </c>
      <c r="DH24" s="56"/>
      <c r="DI24" s="147">
        <f>SUMPRODUCT(PRODUCE!$B23:$DY23,PRODUCE!$EB$19:$IY$19)</f>
        <v>700</v>
      </c>
      <c r="DJ24" s="56">
        <v>700.2</v>
      </c>
      <c r="DK24" s="147">
        <f t="shared" si="36"/>
        <v>-0.20000000000004547</v>
      </c>
      <c r="DL24" s="147">
        <f t="shared" si="37"/>
        <v>24202.199999999997</v>
      </c>
      <c r="DM24" s="56"/>
      <c r="DP24" s="55">
        <f t="shared" si="38"/>
        <v>46041</v>
      </c>
      <c r="DQ24" s="56"/>
      <c r="DR24" s="57">
        <f>SUMPRODUCT(PRODUCE!$B23:$DY23,PRODUCE!$EB$20:$IY$20)</f>
        <v>0</v>
      </c>
      <c r="DS24" s="56"/>
      <c r="DT24" s="57">
        <f t="shared" si="39"/>
        <v>0</v>
      </c>
      <c r="DU24" s="57">
        <f t="shared" si="40"/>
        <v>0</v>
      </c>
      <c r="DV24" s="56"/>
      <c r="DY24" s="55">
        <f t="shared" si="41"/>
        <v>46041</v>
      </c>
      <c r="DZ24" s="56"/>
      <c r="EA24" s="157">
        <f>SUMPRODUCT(PRODUCE!$B23:$DY23,PRODUCE!$EB$21:$IY$21)</f>
        <v>0</v>
      </c>
      <c r="EB24" s="56"/>
      <c r="EC24" s="157">
        <f t="shared" si="42"/>
        <v>0</v>
      </c>
      <c r="ED24" s="157">
        <f t="shared" si="43"/>
        <v>0</v>
      </c>
      <c r="EE24" s="56"/>
      <c r="EH24" s="55">
        <f t="shared" si="44"/>
        <v>46041</v>
      </c>
      <c r="EI24" s="56"/>
      <c r="EJ24" s="162">
        <f>SUMPRODUCT(PRODUCE!$B23:$DY23,PRODUCE!$EB$22:$IY$22)</f>
        <v>0</v>
      </c>
      <c r="EK24" s="56"/>
      <c r="EL24" s="162">
        <f t="shared" si="45"/>
        <v>0</v>
      </c>
      <c r="EM24" s="162">
        <f t="shared" si="46"/>
        <v>0</v>
      </c>
      <c r="EN24" s="56"/>
      <c r="EQ24" s="55">
        <f t="shared" si="47"/>
        <v>46041</v>
      </c>
      <c r="ER24" s="56"/>
      <c r="ES24" s="135">
        <f>SUMPRODUCT(PRODUCE!$B23:$DY23,PRODUCE!$EB$23:$IY$23)</f>
        <v>0</v>
      </c>
      <c r="ET24" s="56"/>
      <c r="EU24" s="135">
        <f t="shared" si="48"/>
        <v>0</v>
      </c>
      <c r="EV24" s="135">
        <f t="shared" si="49"/>
        <v>0</v>
      </c>
      <c r="EW24" s="56"/>
      <c r="EZ24" s="55">
        <f t="shared" si="50"/>
        <v>46041</v>
      </c>
      <c r="FA24" s="56"/>
      <c r="FB24" s="175">
        <f>SUMPRODUCT(PRODUCE!$B23:$DY23,PRODUCE!$EB$24:$IY$24)</f>
        <v>0</v>
      </c>
      <c r="FC24" s="56"/>
      <c r="FD24" s="175">
        <f t="shared" si="51"/>
        <v>0</v>
      </c>
      <c r="FE24" s="175">
        <f t="shared" si="52"/>
        <v>0</v>
      </c>
      <c r="FF24" s="56"/>
      <c r="FI24" s="55">
        <f t="shared" si="53"/>
        <v>46041</v>
      </c>
      <c r="FJ24" s="56"/>
      <c r="FK24" s="183">
        <f>SUMPRODUCT(PRODUCE!$B23:$DY23,PRODUCE!$EB$25:$IY$25)</f>
        <v>0</v>
      </c>
      <c r="FL24" s="56"/>
      <c r="FM24" s="183">
        <f t="shared" si="54"/>
        <v>0</v>
      </c>
      <c r="FN24" s="183">
        <f t="shared" si="55"/>
        <v>0</v>
      </c>
      <c r="FO24" s="56"/>
      <c r="FR24" s="55">
        <f t="shared" si="56"/>
        <v>46041</v>
      </c>
      <c r="FS24" s="422"/>
      <c r="FT24" s="452">
        <f>SUMPRODUCT(PRODUCE!$B23:$DY23,PRODUCE!$EB$26:$IY$26)</f>
        <v>0</v>
      </c>
      <c r="FU24" s="422"/>
      <c r="FV24" s="452">
        <f t="shared" si="57"/>
        <v>0</v>
      </c>
      <c r="FW24" s="452">
        <f t="shared" si="58"/>
        <v>3540</v>
      </c>
      <c r="FX24" s="56"/>
      <c r="GA24" s="55">
        <f t="shared" si="59"/>
        <v>46041</v>
      </c>
      <c r="GB24" s="422"/>
      <c r="GC24" s="454">
        <f>SUMPRODUCT(PRODUCE!$B23:$DY23,PRODUCE!$EB$27:$IY$27)</f>
        <v>0</v>
      </c>
      <c r="GD24" s="422"/>
      <c r="GE24" s="454">
        <f t="shared" si="60"/>
        <v>0</v>
      </c>
      <c r="GF24" s="454">
        <f t="shared" si="61"/>
        <v>1960</v>
      </c>
      <c r="GG24" s="56"/>
      <c r="GI24" s="23"/>
      <c r="GJ24" s="55">
        <f t="shared" si="62"/>
        <v>46041</v>
      </c>
      <c r="GK24" s="422"/>
      <c r="GL24" s="456">
        <f>SUMPRODUCT(PRODUCE!$B23:$DY23,PRODUCE!$EB$28:$IY$28)</f>
        <v>0</v>
      </c>
      <c r="GM24" s="422"/>
      <c r="GN24" s="456">
        <f t="shared" si="63"/>
        <v>0</v>
      </c>
      <c r="GO24" s="456">
        <f t="shared" si="64"/>
        <v>6160</v>
      </c>
      <c r="GP24" s="56"/>
      <c r="GS24" s="55">
        <f t="shared" si="65"/>
        <v>46041</v>
      </c>
      <c r="GT24" s="56"/>
      <c r="GU24" s="195">
        <f>SUMPRODUCT(PRODUCE!$B23:$DY23,PRODUCE!$EB$29:$IY$29)</f>
        <v>0</v>
      </c>
      <c r="GV24" s="56"/>
      <c r="GW24" s="195">
        <f t="shared" si="66"/>
        <v>0</v>
      </c>
      <c r="GX24" s="195">
        <f t="shared" si="67"/>
        <v>0</v>
      </c>
      <c r="GY24" s="56"/>
      <c r="HB24" s="55">
        <f t="shared" si="68"/>
        <v>46041</v>
      </c>
      <c r="HC24" s="56"/>
      <c r="HD24" s="191">
        <f>SUMPRODUCT(PRODUCE!$B23:$DY23,PRODUCE!$EB$30:$IY$30)</f>
        <v>0</v>
      </c>
      <c r="HE24" s="56"/>
      <c r="HF24" s="191">
        <f t="shared" si="69"/>
        <v>0</v>
      </c>
      <c r="HG24" s="191">
        <f t="shared" si="70"/>
        <v>0</v>
      </c>
      <c r="HH24" s="56"/>
      <c r="HK24" s="55">
        <f t="shared" si="71"/>
        <v>46041</v>
      </c>
      <c r="HL24" s="56"/>
      <c r="HM24" s="63">
        <f>SUMPRODUCT(PRODUCE!$B23:$DY23,PRODUCE!$EB$31:$IY$31)</f>
        <v>0</v>
      </c>
      <c r="HN24" s="56"/>
      <c r="HO24" s="63">
        <f t="shared" si="72"/>
        <v>0</v>
      </c>
      <c r="HP24" s="63">
        <f t="shared" si="73"/>
        <v>0</v>
      </c>
      <c r="HQ24" s="56"/>
      <c r="HU24" s="55">
        <f t="shared" si="74"/>
        <v>46041</v>
      </c>
      <c r="HV24" s="56"/>
      <c r="HW24" s="242">
        <f>SUMPRODUCT(PRODUCE!$B23:$DY23,PRODUCE!$EB$32:$IY$32)</f>
        <v>600</v>
      </c>
      <c r="HX24" s="56"/>
      <c r="HY24" s="242">
        <f t="shared" si="75"/>
        <v>600</v>
      </c>
      <c r="HZ24" s="242">
        <f t="shared" si="76"/>
        <v>2800</v>
      </c>
      <c r="IA24" s="56"/>
      <c r="ID24" s="55">
        <f t="shared" si="77"/>
        <v>46041</v>
      </c>
      <c r="IE24" s="56"/>
      <c r="IF24" s="242">
        <f>SUMPRODUCT(PRODUCE!$B23:$DY23,PRODUCE!$EB$33:$IY$33)</f>
        <v>0</v>
      </c>
      <c r="IG24" s="56"/>
      <c r="IH24" s="242">
        <f t="shared" si="78"/>
        <v>0</v>
      </c>
      <c r="II24" s="242">
        <f t="shared" si="79"/>
        <v>5100</v>
      </c>
      <c r="IJ24" s="56"/>
      <c r="IM24" s="55">
        <f t="shared" si="80"/>
        <v>46041</v>
      </c>
      <c r="IN24" s="56"/>
      <c r="IO24" s="242">
        <f>SUMPRODUCT(PRODUCE!$B23:$DY23,PRODUCE!$EB$34:$IY$34)</f>
        <v>640</v>
      </c>
      <c r="IP24" s="56"/>
      <c r="IQ24" s="242">
        <f t="shared" si="81"/>
        <v>640</v>
      </c>
      <c r="IR24" s="242">
        <f t="shared" si="82"/>
        <v>15040</v>
      </c>
      <c r="IS24" s="56"/>
      <c r="IV24" s="55">
        <f t="shared" si="83"/>
        <v>46041</v>
      </c>
      <c r="IW24" s="56"/>
      <c r="IX24" s="242">
        <f>SUMPRODUCT(PRODUCE!$B23:$DY23,PRODUCE!$EB$35:$IY$35)</f>
        <v>400</v>
      </c>
      <c r="IY24" s="56"/>
      <c r="IZ24" s="242">
        <f t="shared" si="84"/>
        <v>400</v>
      </c>
      <c r="JA24" s="242">
        <f t="shared" si="85"/>
        <v>5120</v>
      </c>
      <c r="JB24" s="56"/>
      <c r="JE24" s="55">
        <f t="shared" si="86"/>
        <v>46041</v>
      </c>
      <c r="JF24" s="56"/>
      <c r="JG24" s="242">
        <f>SUMPRODUCT(PRODUCE!$B23:$DY23,PRODUCE!$EB$36:$IY$36)</f>
        <v>0</v>
      </c>
      <c r="JH24" s="56"/>
      <c r="JI24" s="242">
        <f t="shared" si="87"/>
        <v>0</v>
      </c>
      <c r="JJ24" s="242">
        <f t="shared" si="88"/>
        <v>6800</v>
      </c>
      <c r="JK24" s="56"/>
      <c r="JN24" s="55">
        <f t="shared" si="89"/>
        <v>46041</v>
      </c>
      <c r="JO24" s="56"/>
      <c r="JP24" s="242">
        <f>SUMPRODUCT(PRODUCE!$B23:$DY23,PRODUCE!$EB$37:$IY$37)</f>
        <v>0</v>
      </c>
      <c r="JQ24" s="56"/>
      <c r="JR24" s="242">
        <f t="shared" si="90"/>
        <v>0</v>
      </c>
      <c r="JS24" s="242">
        <f t="shared" si="91"/>
        <v>5400</v>
      </c>
      <c r="JT24" s="56"/>
      <c r="JW24" s="55">
        <f t="shared" si="92"/>
        <v>46041</v>
      </c>
      <c r="JX24" s="56"/>
      <c r="JY24" s="242">
        <f>SUMPRODUCT(PRODUCE!$B23:$DY23,PRODUCE!$EB$38:$IY$38)</f>
        <v>0</v>
      </c>
      <c r="JZ24" s="56"/>
      <c r="KA24" s="242">
        <f t="shared" si="93"/>
        <v>0</v>
      </c>
      <c r="KB24" s="242">
        <f t="shared" si="94"/>
        <v>0</v>
      </c>
      <c r="KC24" s="56"/>
      <c r="KF24" s="55">
        <f t="shared" si="95"/>
        <v>46041</v>
      </c>
      <c r="KG24" s="56"/>
      <c r="KH24" s="242">
        <f>SUMPRODUCT(PRODUCE!$B23:$DY23,PRODUCE!$EB$39:$IY$39)</f>
        <v>0</v>
      </c>
      <c r="KI24" s="56"/>
      <c r="KJ24" s="242">
        <f t="shared" si="96"/>
        <v>0</v>
      </c>
      <c r="KK24" s="242">
        <f t="shared" si="97"/>
        <v>0</v>
      </c>
      <c r="KL24" s="56"/>
      <c r="KO24" s="55">
        <f t="shared" si="98"/>
        <v>46041</v>
      </c>
      <c r="KP24" s="56"/>
      <c r="KQ24" s="242">
        <f>SUMPRODUCT(PRODUCE!$B23:$DY23,PRODUCE!$EB$40:$IY$40)</f>
        <v>0</v>
      </c>
      <c r="KR24" s="56"/>
      <c r="KS24" s="242">
        <f t="shared" si="99"/>
        <v>0</v>
      </c>
      <c r="KT24" s="242">
        <f t="shared" si="100"/>
        <v>0</v>
      </c>
      <c r="KU24" s="56"/>
      <c r="KW24" s="23"/>
      <c r="KX24" s="55">
        <f t="shared" si="101"/>
        <v>46041</v>
      </c>
      <c r="KY24" s="56"/>
      <c r="KZ24" s="242">
        <f>SUMPRODUCT(PRODUCE!$B23:$DY23,PRODUCE!$EB$41:$IY$41)</f>
        <v>0</v>
      </c>
      <c r="LA24" s="56"/>
      <c r="LB24" s="242">
        <f t="shared" si="102"/>
        <v>0</v>
      </c>
      <c r="LC24" s="242">
        <f t="shared" si="103"/>
        <v>0</v>
      </c>
      <c r="LD24" s="56"/>
      <c r="LG24" s="55">
        <f t="shared" si="104"/>
        <v>46041</v>
      </c>
      <c r="LH24" s="56"/>
      <c r="LI24" s="242">
        <f>SUMPRODUCT(PRODUCE!$B23:$DY23,PRODUCE!$EB$42:$IY$42)</f>
        <v>0</v>
      </c>
      <c r="LJ24" s="56"/>
      <c r="LK24" s="242">
        <f t="shared" si="105"/>
        <v>0</v>
      </c>
      <c r="LL24" s="242">
        <f t="shared" si="106"/>
        <v>0</v>
      </c>
      <c r="LM24" s="56"/>
      <c r="LP24" s="55">
        <f t="shared" si="107"/>
        <v>46041</v>
      </c>
      <c r="LQ24" s="56"/>
      <c r="LR24" s="242">
        <f>SUMPRODUCT(PRODUCE!$B23:$DY23,PRODUCE!$EB$43:$IY$43)</f>
        <v>0</v>
      </c>
      <c r="LS24" s="56"/>
      <c r="LT24" s="242">
        <f t="shared" si="108"/>
        <v>0</v>
      </c>
      <c r="LU24" s="242">
        <f t="shared" si="109"/>
        <v>0</v>
      </c>
      <c r="LV24" s="56"/>
      <c r="LY24" s="55">
        <f t="shared" si="110"/>
        <v>46041</v>
      </c>
      <c r="LZ24" s="56"/>
      <c r="MA24" s="242">
        <f>SUMPRODUCT(PRODUCE!$B23:$DY23,PRODUCE!$EB$44:$IY$44)</f>
        <v>0</v>
      </c>
      <c r="MB24" s="56"/>
      <c r="MC24" s="242">
        <f t="shared" si="111"/>
        <v>0</v>
      </c>
      <c r="MD24" s="242">
        <f t="shared" si="112"/>
        <v>0</v>
      </c>
      <c r="ME24" s="56"/>
      <c r="MH24" s="55">
        <f t="shared" si="113"/>
        <v>46041</v>
      </c>
      <c r="MI24" s="56"/>
      <c r="MJ24" s="242">
        <f>SUMPRODUCT(PRODUCE!$B23:$DY23,PRODUCE!$EB$45:$IY$45)</f>
        <v>0</v>
      </c>
      <c r="MK24" s="56"/>
      <c r="ML24" s="242">
        <f t="shared" si="114"/>
        <v>0</v>
      </c>
      <c r="MM24" s="242">
        <f t="shared" si="115"/>
        <v>0</v>
      </c>
      <c r="MN24" s="56"/>
      <c r="MQ24" s="55">
        <f t="shared" si="116"/>
        <v>46041</v>
      </c>
      <c r="MR24" s="56"/>
      <c r="MS24" s="242">
        <f>SUMPRODUCT(PRODUCE!$B23:$DY23,PRODUCE!$EB$46:$IY$46)</f>
        <v>31</v>
      </c>
      <c r="MT24" s="56"/>
      <c r="MU24" s="242">
        <f t="shared" si="117"/>
        <v>31</v>
      </c>
      <c r="MV24" s="242">
        <f t="shared" si="118"/>
        <v>1196</v>
      </c>
      <c r="MW24" s="56"/>
      <c r="MZ24" s="55">
        <f t="shared" si="119"/>
        <v>46041</v>
      </c>
      <c r="NA24" s="56"/>
      <c r="NB24" s="242">
        <f>SUMPRODUCT(PRODUCE!$B23:$DY23,PRODUCE!$EB$47:$IY$47)</f>
        <v>246</v>
      </c>
      <c r="NC24" s="56"/>
      <c r="ND24" s="242">
        <f t="shared" si="120"/>
        <v>246</v>
      </c>
      <c r="NE24" s="242">
        <f t="shared" si="121"/>
        <v>0</v>
      </c>
      <c r="NF24" s="56"/>
      <c r="NI24" s="55">
        <f t="shared" si="122"/>
        <v>46041</v>
      </c>
      <c r="NJ24" s="56"/>
      <c r="NK24" s="242">
        <f>SUMPRODUCT(PRODUCE!$B23:$DY23,PRODUCE!$EB$48:$IY$48)</f>
        <v>0</v>
      </c>
      <c r="NL24" s="56"/>
      <c r="NM24" s="242">
        <f t="shared" si="123"/>
        <v>0</v>
      </c>
      <c r="NN24" s="242">
        <f t="shared" si="124"/>
        <v>0</v>
      </c>
      <c r="NO24" s="56"/>
      <c r="NR24" s="55">
        <f t="shared" si="125"/>
        <v>46041</v>
      </c>
      <c r="NS24" s="56"/>
      <c r="NT24" s="242">
        <f>SUMPRODUCT(PRODUCE!$B23:$DY23,PRODUCE!$EB$49:$IY$49)</f>
        <v>0</v>
      </c>
      <c r="NU24" s="56"/>
      <c r="NV24" s="242">
        <f t="shared" si="126"/>
        <v>0</v>
      </c>
      <c r="NW24" s="242">
        <f t="shared" si="127"/>
        <v>0</v>
      </c>
      <c r="NX24" s="56"/>
      <c r="OA24" s="55">
        <f t="shared" si="128"/>
        <v>46041</v>
      </c>
      <c r="OB24" s="56"/>
      <c r="OC24" s="242">
        <f>SUMPRODUCT(PRODUCE!$B23:$DY23,PRODUCE!$EB$50:$IY$50)</f>
        <v>0</v>
      </c>
      <c r="OD24" s="56"/>
      <c r="OE24" s="242">
        <f t="shared" si="129"/>
        <v>0</v>
      </c>
      <c r="OF24" s="242">
        <f t="shared" si="130"/>
        <v>1680.5</v>
      </c>
      <c r="OG24" s="56"/>
      <c r="OJ24" s="55">
        <f t="shared" si="131"/>
        <v>46041</v>
      </c>
      <c r="OK24" s="56"/>
      <c r="OL24" s="242">
        <f>SUMPRODUCT(PRODUCE!$B23:$DY23,PRODUCE!$EB$51:$IY$51)</f>
        <v>0</v>
      </c>
      <c r="OM24" s="56"/>
      <c r="ON24" s="242">
        <f t="shared" si="132"/>
        <v>0</v>
      </c>
      <c r="OO24" s="242">
        <f t="shared" si="133"/>
        <v>0</v>
      </c>
      <c r="OP24" s="56"/>
      <c r="OS24" s="55">
        <f t="shared" si="134"/>
        <v>46041</v>
      </c>
      <c r="OT24" s="56"/>
      <c r="OU24" s="242">
        <f>SUMPRODUCT(PRODUCE!$B23:$DY23,PRODUCE!$EB$52:$IY$52)</f>
        <v>0</v>
      </c>
      <c r="OV24" s="56"/>
      <c r="OW24" s="242">
        <f t="shared" si="135"/>
        <v>0</v>
      </c>
      <c r="OX24" s="242">
        <f t="shared" si="136"/>
        <v>67</v>
      </c>
      <c r="OY24" s="56"/>
      <c r="PB24" s="55">
        <f t="shared" si="137"/>
        <v>46041</v>
      </c>
      <c r="PC24" s="56"/>
      <c r="PD24" s="242">
        <f>SUMPRODUCT(PRODUCE!$B23:$DY23,PRODUCE!$EB$53:$IY$53)</f>
        <v>0</v>
      </c>
      <c r="PE24" s="56"/>
      <c r="PF24" s="242">
        <f t="shared" si="138"/>
        <v>0</v>
      </c>
      <c r="PG24" s="242">
        <f t="shared" si="139"/>
        <v>0</v>
      </c>
      <c r="PH24" s="56"/>
      <c r="PK24" s="55">
        <f t="shared" si="140"/>
        <v>46041</v>
      </c>
      <c r="PL24" s="56"/>
      <c r="PM24" s="242">
        <f>SUMPRODUCT(PRODUCE!$B23:$DY23,PRODUCE!$EB$54:$IY$54)</f>
        <v>0</v>
      </c>
      <c r="PN24" s="56"/>
      <c r="PO24" s="242">
        <f t="shared" si="141"/>
        <v>0</v>
      </c>
      <c r="PP24" s="242">
        <f t="shared" si="142"/>
        <v>160</v>
      </c>
      <c r="PQ24" s="56"/>
      <c r="PT24" s="55">
        <f t="shared" si="143"/>
        <v>46041</v>
      </c>
      <c r="PU24" s="56"/>
      <c r="PV24" s="242">
        <f>SUMPRODUCT(PRODUCE!$B23:$DY23,PRODUCE!$EB$55:$IY$55)</f>
        <v>0</v>
      </c>
      <c r="PW24" s="56"/>
      <c r="PX24" s="242">
        <f t="shared" si="144"/>
        <v>0</v>
      </c>
      <c r="PY24" s="242">
        <f t="shared" si="145"/>
        <v>13.960000000000036</v>
      </c>
      <c r="PZ24" s="56"/>
      <c r="QC24" s="55">
        <f t="shared" si="146"/>
        <v>46041</v>
      </c>
      <c r="QD24" s="56"/>
      <c r="QE24" s="242">
        <f>SUMPRODUCT(PRODUCE!$B23:$DY23,PRODUCE!$EB$56:$IY$56)</f>
        <v>0</v>
      </c>
      <c r="QF24" s="56"/>
      <c r="QG24" s="242">
        <f t="shared" si="147"/>
        <v>0</v>
      </c>
      <c r="QH24" s="242">
        <f t="shared" si="148"/>
        <v>0</v>
      </c>
      <c r="QI24" s="56"/>
      <c r="QL24" s="55">
        <f t="shared" si="149"/>
        <v>46041</v>
      </c>
      <c r="QM24" s="56"/>
      <c r="QN24" s="242">
        <f>SUMPRODUCT(PRODUCE!$B23:$DY23,PRODUCE!$EB$57:$IY$57)</f>
        <v>0</v>
      </c>
      <c r="QO24" s="56"/>
      <c r="QP24" s="242">
        <f t="shared" si="150"/>
        <v>0</v>
      </c>
      <c r="QQ24" s="242">
        <f t="shared" si="151"/>
        <v>0</v>
      </c>
      <c r="QR24" s="56"/>
      <c r="QU24" s="55">
        <f t="shared" si="152"/>
        <v>46041</v>
      </c>
      <c r="QV24" s="56"/>
      <c r="QW24" s="242">
        <f>SUMPRODUCT(PRODUCE!$B23:$DY23,PRODUCE!$EB$57:$IY$57)</f>
        <v>0</v>
      </c>
      <c r="QX24" s="56"/>
      <c r="QY24" s="242">
        <f t="shared" si="153"/>
        <v>0</v>
      </c>
      <c r="QZ24" s="242">
        <f t="shared" si="154"/>
        <v>207.6</v>
      </c>
      <c r="RA24" s="56"/>
      <c r="RD24" s="55">
        <f t="shared" si="155"/>
        <v>46041</v>
      </c>
      <c r="RE24" s="56"/>
      <c r="RF24" s="242">
        <f>SUMPRODUCT(PRODUCE!$B23:$DY23,PRODUCE!$EB$58:$IY$58)</f>
        <v>0</v>
      </c>
      <c r="RG24" s="56"/>
      <c r="RH24" s="242">
        <f t="shared" si="156"/>
        <v>0</v>
      </c>
      <c r="RI24" s="242">
        <f t="shared" si="157"/>
        <v>201.8</v>
      </c>
      <c r="RJ24" s="56"/>
      <c r="RM24" s="55">
        <f t="shared" si="158"/>
        <v>46041</v>
      </c>
      <c r="RN24" s="56"/>
      <c r="RO24" s="242">
        <f>SUMPRODUCT(PRODUCE!$B23:$DY23,PRODUCE!$EB$59:$IY$59)</f>
        <v>0</v>
      </c>
      <c r="RP24" s="56"/>
      <c r="RQ24" s="242">
        <f t="shared" si="159"/>
        <v>0</v>
      </c>
      <c r="RR24" s="242">
        <f t="shared" si="160"/>
        <v>22.720000000000002</v>
      </c>
      <c r="RS24" s="56"/>
      <c r="RV24" s="55">
        <f t="shared" si="161"/>
        <v>46041</v>
      </c>
      <c r="RW24" s="56"/>
      <c r="RX24" s="242">
        <f>SUMPRODUCT(PRODUCE!$B23:$DY23,PRODUCE!$EB$57:$IY$57)</f>
        <v>0</v>
      </c>
      <c r="RY24" s="56"/>
      <c r="RZ24" s="242">
        <f t="shared" si="162"/>
        <v>0</v>
      </c>
      <c r="SA24" s="242">
        <f t="shared" si="163"/>
        <v>0</v>
      </c>
      <c r="SB24" s="56"/>
      <c r="SE24" s="55">
        <f t="shared" si="164"/>
        <v>46041</v>
      </c>
      <c r="SF24" s="56"/>
      <c r="SG24" s="242">
        <f>SUMPRODUCT(PRODUCE!$B23:$DY23,PRODUCE!$EB$61:$IY$61)</f>
        <v>0</v>
      </c>
      <c r="SH24" s="56"/>
      <c r="SI24" s="242">
        <f t="shared" si="165"/>
        <v>0</v>
      </c>
      <c r="SJ24" s="242">
        <f t="shared" si="166"/>
        <v>0</v>
      </c>
      <c r="SK24" s="56"/>
      <c r="SN24" s="55">
        <f t="shared" si="167"/>
        <v>46041</v>
      </c>
      <c r="SO24" s="56"/>
      <c r="SP24" s="242">
        <f>SUMPRODUCT(PRODUCE!$B23:$DY23,PRODUCE!$EB$57:$IY$57)</f>
        <v>0</v>
      </c>
      <c r="SQ24" s="56"/>
      <c r="SR24" s="242">
        <f t="shared" si="168"/>
        <v>0</v>
      </c>
      <c r="SS24" s="242">
        <f t="shared" si="169"/>
        <v>0</v>
      </c>
      <c r="ST24" s="56"/>
      <c r="SW24" s="55">
        <f t="shared" si="170"/>
        <v>46041</v>
      </c>
      <c r="SX24" s="56"/>
      <c r="SY24" s="242">
        <f>SUMPRODUCT(PRODUCE!$B23:$DY23,PRODUCE!$EB$57:$IY$57)</f>
        <v>0</v>
      </c>
      <c r="SZ24" s="56"/>
      <c r="TA24" s="242">
        <f t="shared" si="171"/>
        <v>0</v>
      </c>
      <c r="TB24" s="242">
        <f t="shared" si="172"/>
        <v>0</v>
      </c>
      <c r="TC24" s="56"/>
      <c r="TF24" s="55">
        <f t="shared" si="173"/>
        <v>46041</v>
      </c>
      <c r="TG24" s="56"/>
      <c r="TH24" s="242">
        <f>SUMPRODUCT(PRODUCE!$B23:$DY23,PRODUCE!$EB$57:$IY$57)</f>
        <v>0</v>
      </c>
      <c r="TI24" s="56"/>
      <c r="TJ24" s="242">
        <f t="shared" si="174"/>
        <v>0</v>
      </c>
      <c r="TK24" s="242">
        <f t="shared" si="175"/>
        <v>0</v>
      </c>
      <c r="TL24" s="56"/>
      <c r="TO24" s="55">
        <f t="shared" si="176"/>
        <v>46041</v>
      </c>
      <c r="TP24" s="56"/>
      <c r="TQ24" s="242">
        <f>SUMPRODUCT(PRODUCE!$B23:$DY23,PRODUCE!$EB$57:$IY$57)</f>
        <v>0</v>
      </c>
      <c r="TR24" s="56"/>
      <c r="TS24" s="242">
        <f t="shared" si="177"/>
        <v>0</v>
      </c>
      <c r="TT24" s="242">
        <f t="shared" si="178"/>
        <v>0</v>
      </c>
      <c r="TU24" s="56"/>
      <c r="TX24" s="55">
        <f t="shared" si="179"/>
        <v>46041</v>
      </c>
      <c r="TY24" s="56"/>
      <c r="TZ24" s="242">
        <f>SUMPRODUCT(PRODUCE!$B23:$DY23,PRODUCE!$EB$57:$IY$57)</f>
        <v>0</v>
      </c>
      <c r="UA24" s="56"/>
      <c r="UB24" s="242">
        <f t="shared" si="180"/>
        <v>0</v>
      </c>
      <c r="UC24" s="242">
        <f t="shared" si="181"/>
        <v>0</v>
      </c>
      <c r="UD24" s="56"/>
      <c r="UG24" s="55">
        <f t="shared" si="182"/>
        <v>46041</v>
      </c>
      <c r="UH24" s="56"/>
      <c r="UI24" s="242">
        <f>SUMPRODUCT(PRODUCE!$B23:$DY23,PRODUCE!$EB$57:$IY$57)</f>
        <v>0</v>
      </c>
      <c r="UJ24" s="56"/>
      <c r="UK24" s="242">
        <f t="shared" si="183"/>
        <v>0</v>
      </c>
      <c r="UL24" s="242">
        <f t="shared" si="184"/>
        <v>0</v>
      </c>
      <c r="UM24" s="56"/>
      <c r="UP24" s="55">
        <f t="shared" si="185"/>
        <v>46041</v>
      </c>
      <c r="UQ24" s="56"/>
      <c r="UR24" s="242">
        <f>SUMPRODUCT(PRODUCE!$B23:$DY23,PRODUCE!$EB$57:$IY$57)</f>
        <v>0</v>
      </c>
      <c r="US24" s="56"/>
      <c r="UT24" s="242">
        <f t="shared" si="186"/>
        <v>0</v>
      </c>
      <c r="UU24" s="242">
        <f t="shared" si="187"/>
        <v>0</v>
      </c>
      <c r="UV24" s="56"/>
      <c r="UY24" s="55">
        <f t="shared" si="188"/>
        <v>46041</v>
      </c>
      <c r="UZ24" s="56"/>
      <c r="VA24" s="242">
        <f>SUMPRODUCT(PRODUCE!$B23:$DY23,PRODUCE!$EB$57:$IY$57)</f>
        <v>0</v>
      </c>
      <c r="VB24" s="56"/>
      <c r="VC24" s="242">
        <f t="shared" si="189"/>
        <v>0</v>
      </c>
      <c r="VD24" s="242">
        <f t="shared" si="190"/>
        <v>-319.59999999999997</v>
      </c>
      <c r="VE24" s="56"/>
      <c r="VH24" s="55">
        <f t="shared" si="191"/>
        <v>46041</v>
      </c>
      <c r="VI24" s="56"/>
      <c r="VJ24" s="242">
        <f>SUMPRODUCT(PRODUCE!$B23:$DY23,PRODUCE!$EB$57:$IY$57)</f>
        <v>0</v>
      </c>
      <c r="VK24" s="56"/>
      <c r="VL24" s="242">
        <f t="shared" si="192"/>
        <v>0</v>
      </c>
      <c r="VM24" s="242">
        <f t="shared" si="193"/>
        <v>0</v>
      </c>
      <c r="VN24" s="56"/>
      <c r="VQ24" s="55">
        <f t="shared" si="194"/>
        <v>46041</v>
      </c>
      <c r="VR24" s="56"/>
      <c r="VS24" s="242">
        <f>SUMPRODUCT(PRODUCE!$B23:$DY23,PRODUCE!$EB$57:$IY$57)</f>
        <v>0</v>
      </c>
      <c r="VT24" s="56"/>
      <c r="VU24" s="242">
        <f t="shared" si="195"/>
        <v>0</v>
      </c>
      <c r="VV24" s="242">
        <f t="shared" si="196"/>
        <v>0</v>
      </c>
      <c r="VW24" s="56"/>
      <c r="VZ24" s="55">
        <f t="shared" si="197"/>
        <v>46041</v>
      </c>
      <c r="WA24" s="56"/>
      <c r="WB24" s="242">
        <f>SUMPRODUCT(PRODUCE!$B23:$DY23,PRODUCE!$EB$57:$IY$57)</f>
        <v>0</v>
      </c>
      <c r="WC24" s="56"/>
      <c r="WD24" s="242">
        <f t="shared" si="198"/>
        <v>0</v>
      </c>
      <c r="WE24" s="242">
        <f t="shared" si="199"/>
        <v>0</v>
      </c>
      <c r="WF24" s="56"/>
      <c r="WI24" s="55">
        <f t="shared" si="200"/>
        <v>46041</v>
      </c>
      <c r="WJ24" s="56"/>
      <c r="WK24" s="242">
        <f>SUMPRODUCT(PRODUCE!$B23:$DY23,PRODUCE!$EB$57:$IY$57)</f>
        <v>0</v>
      </c>
      <c r="WL24" s="56"/>
      <c r="WM24" s="242">
        <f t="shared" si="201"/>
        <v>0</v>
      </c>
      <c r="WN24" s="242">
        <f t="shared" si="202"/>
        <v>5877</v>
      </c>
      <c r="WO24" s="56"/>
      <c r="WR24" s="55">
        <f t="shared" si="203"/>
        <v>46041</v>
      </c>
      <c r="WS24" s="56"/>
      <c r="WT24" s="242">
        <f>SUMPRODUCT(PRODUCE!$B23:$DY23,PRODUCE!$EB$57:$IY$57)</f>
        <v>0</v>
      </c>
      <c r="WU24" s="56"/>
      <c r="WV24" s="242">
        <f t="shared" si="204"/>
        <v>0</v>
      </c>
      <c r="WW24" s="242">
        <f t="shared" si="205"/>
        <v>5267</v>
      </c>
      <c r="WX24" s="56"/>
      <c r="XA24" s="55">
        <f t="shared" si="206"/>
        <v>46041</v>
      </c>
      <c r="XB24" s="56"/>
      <c r="XC24" s="242">
        <f>SUMPRODUCT(PRODUCE!$B23:$DY23,PRODUCE!$EB$57:$IY$57)</f>
        <v>0</v>
      </c>
      <c r="XD24" s="56"/>
      <c r="XE24" s="242">
        <f t="shared" si="207"/>
        <v>0</v>
      </c>
      <c r="XF24" s="242">
        <f t="shared" si="208"/>
        <v>118</v>
      </c>
      <c r="XG24" s="56"/>
      <c r="XJ24" s="55">
        <f t="shared" si="209"/>
        <v>46041</v>
      </c>
      <c r="XK24" s="56"/>
      <c r="XL24" s="242">
        <f>SUMPRODUCT(PRODUCE!$B23:$DY23,PRODUCE!$EB$57:$IY$57)</f>
        <v>0</v>
      </c>
      <c r="XM24" s="56">
        <v>176</v>
      </c>
      <c r="XN24" s="242">
        <f t="shared" si="210"/>
        <v>-176</v>
      </c>
      <c r="XO24" s="242">
        <f t="shared" si="211"/>
        <v>5676</v>
      </c>
      <c r="XP24" s="56"/>
      <c r="XS24" s="55">
        <f t="shared" si="212"/>
        <v>46041</v>
      </c>
      <c r="XT24" s="56"/>
      <c r="XU24" s="242">
        <f>SUMPRODUCT(PRODUCE!$B23:$DY23,PRODUCE!$EB$57:$IY$57)</f>
        <v>0</v>
      </c>
      <c r="XV24" s="56"/>
      <c r="XW24" s="242">
        <f t="shared" si="213"/>
        <v>0</v>
      </c>
      <c r="XX24" s="242">
        <f t="shared" si="214"/>
        <v>1901</v>
      </c>
      <c r="XY24" s="56"/>
      <c r="YB24" s="55">
        <f t="shared" si="215"/>
        <v>46041</v>
      </c>
      <c r="YC24" s="56"/>
      <c r="YD24" s="242">
        <f>SUMPRODUCT(PRODUCE!$B23:$DY23,PRODUCE!$EB$57:$IY$57)</f>
        <v>0</v>
      </c>
      <c r="YE24" s="56">
        <v>277</v>
      </c>
      <c r="YF24" s="242">
        <f t="shared" si="216"/>
        <v>-277</v>
      </c>
      <c r="YG24" s="242">
        <f t="shared" si="217"/>
        <v>2671</v>
      </c>
      <c r="YH24" s="56"/>
      <c r="YK24" s="55">
        <f t="shared" si="218"/>
        <v>46041</v>
      </c>
      <c r="YL24" s="56"/>
      <c r="YM24" s="242">
        <f>SUMPRODUCT(PRODUCE!$B23:$DY23,PRODUCE!$EB$57:$IY$57)</f>
        <v>0</v>
      </c>
      <c r="YN24" s="56"/>
      <c r="YO24" s="242">
        <f t="shared" si="219"/>
        <v>0</v>
      </c>
      <c r="YP24" s="242">
        <f t="shared" si="220"/>
        <v>0</v>
      </c>
      <c r="YQ24" s="56"/>
      <c r="YT24" s="55">
        <f t="shared" si="221"/>
        <v>46041</v>
      </c>
      <c r="YU24" s="56"/>
      <c r="YV24" s="242">
        <f>SUMPRODUCT(PRODUCE!$B23:$DY23,PRODUCE!$EB$57:$IY$57)</f>
        <v>0</v>
      </c>
      <c r="YW24" s="56"/>
      <c r="YX24" s="242">
        <f t="shared" si="222"/>
        <v>0</v>
      </c>
      <c r="YY24" s="242">
        <f t="shared" si="223"/>
        <v>0</v>
      </c>
      <c r="YZ24" s="56"/>
      <c r="ZC24" s="55">
        <f t="shared" si="224"/>
        <v>46041</v>
      </c>
      <c r="ZD24" s="56"/>
      <c r="ZE24" s="242">
        <f>SUMPRODUCT(PRODUCE!$B23:$DY23,PRODUCE!$EB$57:$IY$57)</f>
        <v>0</v>
      </c>
      <c r="ZF24" s="56"/>
      <c r="ZG24" s="242">
        <f t="shared" si="225"/>
        <v>0</v>
      </c>
      <c r="ZH24" s="242">
        <f t="shared" si="226"/>
        <v>0</v>
      </c>
      <c r="ZI24" s="56"/>
      <c r="ZL24" s="55">
        <f t="shared" si="227"/>
        <v>46041</v>
      </c>
      <c r="ZM24" s="56"/>
      <c r="ZN24" s="242">
        <f>SUMPRODUCT(PRODUCE!$B23:$DY23,PRODUCE!$EB$57:$IY$57)</f>
        <v>0</v>
      </c>
      <c r="ZO24" s="56"/>
      <c r="ZP24" s="242">
        <f t="shared" si="228"/>
        <v>0</v>
      </c>
      <c r="ZQ24" s="242">
        <f t="shared" si="229"/>
        <v>0</v>
      </c>
      <c r="ZR24" s="56"/>
      <c r="ZU24" s="55">
        <f t="shared" si="230"/>
        <v>46041</v>
      </c>
      <c r="ZV24" s="56"/>
      <c r="ZW24" s="242">
        <f>SUMPRODUCT(PRODUCE!$B23:$DY23,PRODUCE!$EB$57:$IY$57)</f>
        <v>0</v>
      </c>
      <c r="ZX24" s="56"/>
      <c r="ZY24" s="242">
        <f t="shared" si="231"/>
        <v>0</v>
      </c>
      <c r="ZZ24" s="242">
        <f t="shared" si="232"/>
        <v>0</v>
      </c>
      <c r="AAA24" s="56"/>
      <c r="AAD24" s="55">
        <f t="shared" si="233"/>
        <v>46041</v>
      </c>
      <c r="AAE24" s="56"/>
      <c r="AAF24" s="242">
        <f>SUMPRODUCT(PRODUCE!$B23:$DY23,PRODUCE!$EB$57:$IY$57)</f>
        <v>0</v>
      </c>
      <c r="AAG24" s="56"/>
      <c r="AAH24" s="242">
        <f t="shared" si="234"/>
        <v>0</v>
      </c>
      <c r="AAI24" s="242">
        <f t="shared" si="235"/>
        <v>0</v>
      </c>
      <c r="AAJ24" s="56"/>
      <c r="AAM24" s="55">
        <f t="shared" si="236"/>
        <v>46041</v>
      </c>
      <c r="AAN24" s="56"/>
      <c r="AAO24" s="242">
        <f>SUMPRODUCT(PRODUCE!$B23:$DY23,PRODUCE!$EB$57:$IY$57)</f>
        <v>0</v>
      </c>
      <c r="AAP24" s="56"/>
      <c r="AAQ24" s="242">
        <f t="shared" si="237"/>
        <v>0</v>
      </c>
      <c r="AAR24" s="242">
        <f t="shared" si="238"/>
        <v>0</v>
      </c>
      <c r="AAS24" s="56"/>
      <c r="AAV24" s="55">
        <f t="shared" si="239"/>
        <v>46041</v>
      </c>
      <c r="AAW24" s="56"/>
      <c r="AAX24" s="242">
        <f>SUMPRODUCT(PRODUCE!$B23:$DY23,PRODUCE!$EB$57:$IY$57)</f>
        <v>0</v>
      </c>
      <c r="AAY24" s="56"/>
      <c r="AAZ24" s="242">
        <f t="shared" si="240"/>
        <v>0</v>
      </c>
      <c r="ABA24" s="242">
        <f t="shared" si="241"/>
        <v>0</v>
      </c>
      <c r="ABB24" s="56"/>
      <c r="ABE24" s="55">
        <f t="shared" si="242"/>
        <v>46041</v>
      </c>
      <c r="ABF24" s="56"/>
      <c r="ABG24" s="242">
        <f>SUMPRODUCT(PRODUCE!$B23:$DY23,PRODUCE!$EB$57:$IY$57)</f>
        <v>0</v>
      </c>
      <c r="ABH24" s="56"/>
      <c r="ABI24" s="242">
        <f t="shared" si="243"/>
        <v>0</v>
      </c>
      <c r="ABJ24" s="242">
        <f t="shared" si="244"/>
        <v>0</v>
      </c>
      <c r="ABK24" s="56"/>
    </row>
    <row r="25" spans="2:739" s="54" customFormat="1" ht="15" customHeight="1" outlineLevel="1">
      <c r="B25" s="478">
        <v>50</v>
      </c>
      <c r="C25" s="55">
        <v>46042</v>
      </c>
      <c r="D25" s="422">
        <v>33480</v>
      </c>
      <c r="E25" s="423">
        <f>SUMPRODUCT(PRODUCE!$B24:$DY24,PRODUCE!$EB$7:$IY$7)</f>
        <v>31375</v>
      </c>
      <c r="F25" s="422">
        <v>31379.599999999999</v>
      </c>
      <c r="G25" s="423">
        <f t="shared" si="2"/>
        <v>-4.5999999999985448</v>
      </c>
      <c r="H25" s="423">
        <f t="shared" si="0"/>
        <v>35386.400000000001</v>
      </c>
      <c r="I25" s="289" t="s">
        <v>188</v>
      </c>
      <c r="L25" s="55">
        <f t="shared" si="1"/>
        <v>46042</v>
      </c>
      <c r="M25" s="422">
        <v>11280</v>
      </c>
      <c r="N25" s="438">
        <f>SUMPRODUCT(PRODUCE!$B24:$DY24,PRODUCE!$EB$8:$IY$8)</f>
        <v>6825</v>
      </c>
      <c r="O25" s="422">
        <v>6824.8</v>
      </c>
      <c r="P25" s="438">
        <f t="shared" si="3"/>
        <v>0.1999999999998181</v>
      </c>
      <c r="Q25" s="438">
        <f t="shared" si="4"/>
        <v>48132.600000000006</v>
      </c>
      <c r="R25" s="56"/>
      <c r="U25" s="55">
        <f t="shared" si="5"/>
        <v>46042</v>
      </c>
      <c r="V25" s="422"/>
      <c r="W25" s="440">
        <f>SUMPRODUCT(PRODUCE!$B24:$DY24,PRODUCE!$EB$9:$IY$9)</f>
        <v>4000</v>
      </c>
      <c r="X25" s="422">
        <v>4001.2</v>
      </c>
      <c r="Y25" s="440">
        <f t="shared" si="6"/>
        <v>-1.1999999999998181</v>
      </c>
      <c r="Z25" s="440">
        <f t="shared" si="7"/>
        <v>44259.89999999998</v>
      </c>
      <c r="AA25" s="56"/>
      <c r="AD25" s="55">
        <f t="shared" si="8"/>
        <v>46042</v>
      </c>
      <c r="AE25" s="422"/>
      <c r="AF25" s="442">
        <f>SUMPRODUCT(PRODUCE!$B24:$DY24,PRODUCE!$EB$10:$IY$10)</f>
        <v>3500</v>
      </c>
      <c r="AG25" s="422">
        <v>3500.9</v>
      </c>
      <c r="AH25" s="442">
        <f t="shared" si="9"/>
        <v>-0.90000000000009095</v>
      </c>
      <c r="AI25" s="442">
        <f t="shared" si="10"/>
        <v>15712.200000000003</v>
      </c>
      <c r="AJ25" s="56"/>
      <c r="AM25" s="55">
        <f t="shared" si="11"/>
        <v>46042</v>
      </c>
      <c r="AN25" s="422"/>
      <c r="AO25" s="444">
        <f>SUMPRODUCT(PRODUCE!$B24:$DY24,PRODUCE!$EB$11:$IY$11)</f>
        <v>0</v>
      </c>
      <c r="AP25" s="422"/>
      <c r="AQ25" s="444">
        <f t="shared" si="12"/>
        <v>0</v>
      </c>
      <c r="AR25" s="444">
        <f t="shared" si="13"/>
        <v>0</v>
      </c>
      <c r="AS25" s="56"/>
      <c r="AV25" s="55">
        <f t="shared" si="14"/>
        <v>46042</v>
      </c>
      <c r="AW25" s="422">
        <v>31030</v>
      </c>
      <c r="AX25" s="446">
        <f>SUMPRODUCT(PRODUCE!$B24:$DY24,PRODUCE!$EB$12:$IY$12)</f>
        <v>775</v>
      </c>
      <c r="AY25" s="422">
        <v>777.6</v>
      </c>
      <c r="AZ25" s="446">
        <f t="shared" si="15"/>
        <v>-2.6000000000000227</v>
      </c>
      <c r="BA25" s="446">
        <f t="shared" si="16"/>
        <v>41967.399999999994</v>
      </c>
      <c r="BB25" s="56"/>
      <c r="BE25" s="55">
        <f t="shared" si="17"/>
        <v>46042</v>
      </c>
      <c r="BF25" s="422"/>
      <c r="BG25" s="448">
        <f>SUMPRODUCT(PRODUCE!$B24:$DY24,PRODUCE!$EB$13:$IY$13)</f>
        <v>1250</v>
      </c>
      <c r="BH25" s="422">
        <v>1250</v>
      </c>
      <c r="BI25" s="448">
        <f t="shared" si="18"/>
        <v>0</v>
      </c>
      <c r="BJ25" s="448">
        <f t="shared" si="19"/>
        <v>29512.30000000001</v>
      </c>
      <c r="BK25" s="56"/>
      <c r="BN25" s="55">
        <f t="shared" si="20"/>
        <v>46042</v>
      </c>
      <c r="BO25" s="422">
        <v>1250</v>
      </c>
      <c r="BP25" s="450">
        <f>SUMPRODUCT(PRODUCE!$B24:$DY24,PRODUCE!$EB$14:$IY$14)</f>
        <v>1250</v>
      </c>
      <c r="BQ25" s="422">
        <v>1250</v>
      </c>
      <c r="BR25" s="450">
        <f t="shared" si="21"/>
        <v>0</v>
      </c>
      <c r="BS25" s="450">
        <f t="shared" si="22"/>
        <v>0</v>
      </c>
      <c r="BT25" s="56"/>
      <c r="BW25" s="55">
        <f t="shared" si="23"/>
        <v>46042</v>
      </c>
      <c r="BX25" s="56"/>
      <c r="BY25" s="65">
        <f>SUMPRODUCT(PRODUCE!$B24:$DY24,PRODUCE!$EB$15:$IY$15)</f>
        <v>0</v>
      </c>
      <c r="BZ25" s="56"/>
      <c r="CA25" s="65">
        <f t="shared" si="24"/>
        <v>0</v>
      </c>
      <c r="CB25" s="65">
        <f t="shared" si="25"/>
        <v>3386.5</v>
      </c>
      <c r="CC25" s="56"/>
      <c r="CF25" s="55">
        <f t="shared" si="26"/>
        <v>46042</v>
      </c>
      <c r="CG25" s="56"/>
      <c r="CH25" s="66">
        <f>SUMPRODUCT(PRODUCE!$B24:$DY24,PRODUCE!$EB$16:$IY$16)</f>
        <v>0</v>
      </c>
      <c r="CI25" s="56"/>
      <c r="CJ25" s="66">
        <f t="shared" si="27"/>
        <v>0</v>
      </c>
      <c r="CK25" s="66">
        <f t="shared" si="28"/>
        <v>0</v>
      </c>
      <c r="CL25" s="56"/>
      <c r="CO25" s="55">
        <f t="shared" si="29"/>
        <v>46042</v>
      </c>
      <c r="CP25" s="422"/>
      <c r="CQ25" s="470">
        <f>SUMPRODUCT(PRODUCE!$B24:$DY24,PRODUCE!$EB$17:$IY$17)</f>
        <v>0</v>
      </c>
      <c r="CR25" s="422"/>
      <c r="CS25" s="470">
        <f t="shared" si="30"/>
        <v>0</v>
      </c>
      <c r="CT25" s="470">
        <f t="shared" si="31"/>
        <v>0</v>
      </c>
      <c r="CU25" s="56"/>
      <c r="CX25" s="55">
        <f t="shared" si="32"/>
        <v>46042</v>
      </c>
      <c r="CY25" s="56"/>
      <c r="CZ25" s="133">
        <f>SUMPRODUCT(PRODUCE!$B24:$DY24,PRODUCE!$EB$18:$IY$18)</f>
        <v>0</v>
      </c>
      <c r="DA25" s="56"/>
      <c r="DB25" s="133">
        <f t="shared" si="33"/>
        <v>0</v>
      </c>
      <c r="DC25" s="133">
        <f t="shared" si="34"/>
        <v>0</v>
      </c>
      <c r="DD25" s="56"/>
      <c r="DG25" s="55">
        <f t="shared" si="35"/>
        <v>46042</v>
      </c>
      <c r="DH25" s="56"/>
      <c r="DI25" s="147">
        <f>SUMPRODUCT(PRODUCE!$B24:$DY24,PRODUCE!$EB$19:$IY$19)</f>
        <v>0</v>
      </c>
      <c r="DJ25" s="56"/>
      <c r="DK25" s="147">
        <f t="shared" si="36"/>
        <v>0</v>
      </c>
      <c r="DL25" s="147">
        <f t="shared" si="37"/>
        <v>24202.199999999997</v>
      </c>
      <c r="DM25" s="56"/>
      <c r="DP25" s="55">
        <f t="shared" si="38"/>
        <v>46042</v>
      </c>
      <c r="DQ25" s="56"/>
      <c r="DR25" s="57">
        <f>SUMPRODUCT(PRODUCE!$B24:$DY24,PRODUCE!$EB$20:$IY$20)</f>
        <v>0</v>
      </c>
      <c r="DS25" s="56"/>
      <c r="DT25" s="57">
        <f t="shared" si="39"/>
        <v>0</v>
      </c>
      <c r="DU25" s="57">
        <f t="shared" si="40"/>
        <v>0</v>
      </c>
      <c r="DV25" s="56"/>
      <c r="DY25" s="55">
        <f t="shared" si="41"/>
        <v>46042</v>
      </c>
      <c r="DZ25" s="56"/>
      <c r="EA25" s="157">
        <f>SUMPRODUCT(PRODUCE!$B24:$DY24,PRODUCE!$EB$21:$IY$21)</f>
        <v>0</v>
      </c>
      <c r="EB25" s="56"/>
      <c r="EC25" s="157">
        <f t="shared" si="42"/>
        <v>0</v>
      </c>
      <c r="ED25" s="157">
        <f t="shared" si="43"/>
        <v>0</v>
      </c>
      <c r="EE25" s="56"/>
      <c r="EH25" s="55">
        <f t="shared" si="44"/>
        <v>46042</v>
      </c>
      <c r="EI25" s="56"/>
      <c r="EJ25" s="162">
        <f>SUMPRODUCT(PRODUCE!$B24:$DY24,PRODUCE!$EB$22:$IY$22)</f>
        <v>0</v>
      </c>
      <c r="EK25" s="56"/>
      <c r="EL25" s="162">
        <f t="shared" si="45"/>
        <v>0</v>
      </c>
      <c r="EM25" s="162">
        <f t="shared" si="46"/>
        <v>0</v>
      </c>
      <c r="EN25" s="56"/>
      <c r="EQ25" s="55">
        <f t="shared" si="47"/>
        <v>46042</v>
      </c>
      <c r="ER25" s="56"/>
      <c r="ES25" s="135">
        <f>SUMPRODUCT(PRODUCE!$B24:$DY24,PRODUCE!$EB$23:$IY$23)</f>
        <v>0</v>
      </c>
      <c r="ET25" s="56"/>
      <c r="EU25" s="135">
        <f t="shared" si="48"/>
        <v>0</v>
      </c>
      <c r="EV25" s="135">
        <f t="shared" si="49"/>
        <v>0</v>
      </c>
      <c r="EW25" s="56"/>
      <c r="EZ25" s="55">
        <f t="shared" si="50"/>
        <v>46042</v>
      </c>
      <c r="FA25" s="56"/>
      <c r="FB25" s="175">
        <f>SUMPRODUCT(PRODUCE!$B24:$DY24,PRODUCE!$EB$24:$IY$24)</f>
        <v>0</v>
      </c>
      <c r="FC25" s="56"/>
      <c r="FD25" s="175">
        <f t="shared" si="51"/>
        <v>0</v>
      </c>
      <c r="FE25" s="175">
        <f t="shared" si="52"/>
        <v>0</v>
      </c>
      <c r="FF25" s="56"/>
      <c r="FI25" s="55">
        <f t="shared" si="53"/>
        <v>46042</v>
      </c>
      <c r="FJ25" s="56"/>
      <c r="FK25" s="183">
        <f>SUMPRODUCT(PRODUCE!$B24:$DY24,PRODUCE!$EB$25:$IY$25)</f>
        <v>0</v>
      </c>
      <c r="FL25" s="56"/>
      <c r="FM25" s="183">
        <f t="shared" si="54"/>
        <v>0</v>
      </c>
      <c r="FN25" s="183">
        <f t="shared" si="55"/>
        <v>0</v>
      </c>
      <c r="FO25" s="56"/>
      <c r="FR25" s="55">
        <f t="shared" si="56"/>
        <v>46042</v>
      </c>
      <c r="FS25" s="422"/>
      <c r="FT25" s="452">
        <f>SUMPRODUCT(PRODUCE!$B24:$DY24,PRODUCE!$EB$26:$IY$26)</f>
        <v>0</v>
      </c>
      <c r="FU25" s="422"/>
      <c r="FV25" s="452">
        <f t="shared" si="57"/>
        <v>0</v>
      </c>
      <c r="FW25" s="452">
        <f t="shared" si="58"/>
        <v>3540</v>
      </c>
      <c r="FX25" s="56"/>
      <c r="GA25" s="55">
        <f t="shared" si="59"/>
        <v>46042</v>
      </c>
      <c r="GB25" s="422"/>
      <c r="GC25" s="454">
        <f>SUMPRODUCT(PRODUCE!$B24:$DY24,PRODUCE!$EB$27:$IY$27)</f>
        <v>0</v>
      </c>
      <c r="GD25" s="422"/>
      <c r="GE25" s="454">
        <f t="shared" si="60"/>
        <v>0</v>
      </c>
      <c r="GF25" s="454">
        <f t="shared" si="61"/>
        <v>1960</v>
      </c>
      <c r="GG25" s="56"/>
      <c r="GI25" s="23"/>
      <c r="GJ25" s="55">
        <f t="shared" si="62"/>
        <v>46042</v>
      </c>
      <c r="GK25" s="422"/>
      <c r="GL25" s="456">
        <f>SUMPRODUCT(PRODUCE!$B24:$DY24,PRODUCE!$EB$28:$IY$28)</f>
        <v>1000</v>
      </c>
      <c r="GM25" s="422"/>
      <c r="GN25" s="456">
        <f t="shared" si="63"/>
        <v>1000</v>
      </c>
      <c r="GO25" s="456">
        <f t="shared" si="64"/>
        <v>6160</v>
      </c>
      <c r="GP25" s="56"/>
      <c r="GS25" s="55">
        <f t="shared" si="65"/>
        <v>46042</v>
      </c>
      <c r="GT25" s="56"/>
      <c r="GU25" s="195">
        <f>SUMPRODUCT(PRODUCE!$B24:$DY24,PRODUCE!$EB$29:$IY$29)</f>
        <v>0</v>
      </c>
      <c r="GV25" s="56"/>
      <c r="GW25" s="195">
        <f t="shared" si="66"/>
        <v>0</v>
      </c>
      <c r="GX25" s="195">
        <f t="shared" si="67"/>
        <v>0</v>
      </c>
      <c r="GY25" s="56"/>
      <c r="HB25" s="55">
        <f t="shared" si="68"/>
        <v>46042</v>
      </c>
      <c r="HC25" s="56"/>
      <c r="HD25" s="191">
        <f>SUMPRODUCT(PRODUCE!$B24:$DY24,PRODUCE!$EB$30:$IY$30)</f>
        <v>0</v>
      </c>
      <c r="HE25" s="56"/>
      <c r="HF25" s="191">
        <f t="shared" si="69"/>
        <v>0</v>
      </c>
      <c r="HG25" s="191">
        <f t="shared" si="70"/>
        <v>0</v>
      </c>
      <c r="HH25" s="56"/>
      <c r="HK25" s="55">
        <f t="shared" si="71"/>
        <v>46042</v>
      </c>
      <c r="HL25" s="56"/>
      <c r="HM25" s="63">
        <f>SUMPRODUCT(PRODUCE!$B24:$DY24,PRODUCE!$EB$31:$IY$31)</f>
        <v>0</v>
      </c>
      <c r="HN25" s="56"/>
      <c r="HO25" s="63">
        <f t="shared" si="72"/>
        <v>0</v>
      </c>
      <c r="HP25" s="63">
        <f t="shared" si="73"/>
        <v>0</v>
      </c>
      <c r="HQ25" s="56"/>
      <c r="HU25" s="55">
        <f t="shared" si="74"/>
        <v>46042</v>
      </c>
      <c r="HV25" s="56"/>
      <c r="HW25" s="242">
        <f>SUMPRODUCT(PRODUCE!$B24:$DY24,PRODUCE!$EB$32:$IY$32)</f>
        <v>0</v>
      </c>
      <c r="HX25" s="56"/>
      <c r="HY25" s="242">
        <f t="shared" si="75"/>
        <v>0</v>
      </c>
      <c r="HZ25" s="242">
        <f t="shared" si="76"/>
        <v>2800</v>
      </c>
      <c r="IA25" s="56"/>
      <c r="ID25" s="55">
        <f t="shared" si="77"/>
        <v>46042</v>
      </c>
      <c r="IE25" s="56"/>
      <c r="IF25" s="242">
        <f>SUMPRODUCT(PRODUCE!$B24:$DY24,PRODUCE!$EB$33:$IY$33)</f>
        <v>0</v>
      </c>
      <c r="IG25" s="56"/>
      <c r="IH25" s="242">
        <f t="shared" si="78"/>
        <v>0</v>
      </c>
      <c r="II25" s="242">
        <f t="shared" si="79"/>
        <v>5100</v>
      </c>
      <c r="IJ25" s="56"/>
      <c r="IM25" s="55">
        <f t="shared" si="80"/>
        <v>46042</v>
      </c>
      <c r="IN25" s="56"/>
      <c r="IO25" s="242">
        <f>SUMPRODUCT(PRODUCE!$B24:$DY24,PRODUCE!$EB$34:$IY$34)</f>
        <v>0</v>
      </c>
      <c r="IP25" s="56"/>
      <c r="IQ25" s="242">
        <f t="shared" si="81"/>
        <v>0</v>
      </c>
      <c r="IR25" s="242">
        <f t="shared" si="82"/>
        <v>15040</v>
      </c>
      <c r="IS25" s="56"/>
      <c r="IV25" s="55">
        <f t="shared" si="83"/>
        <v>46042</v>
      </c>
      <c r="IW25" s="56"/>
      <c r="IX25" s="242">
        <f>SUMPRODUCT(PRODUCE!$B24:$DY24,PRODUCE!$EB$35:$IY$35)</f>
        <v>0</v>
      </c>
      <c r="IY25" s="56"/>
      <c r="IZ25" s="242">
        <f t="shared" si="84"/>
        <v>0</v>
      </c>
      <c r="JA25" s="242">
        <f t="shared" si="85"/>
        <v>5120</v>
      </c>
      <c r="JB25" s="56"/>
      <c r="JE25" s="55">
        <f t="shared" si="86"/>
        <v>46042</v>
      </c>
      <c r="JF25" s="56"/>
      <c r="JG25" s="242">
        <f>SUMPRODUCT(PRODUCE!$B24:$DY24,PRODUCE!$EB$36:$IY$36)</f>
        <v>0</v>
      </c>
      <c r="JH25" s="56"/>
      <c r="JI25" s="242">
        <f t="shared" si="87"/>
        <v>0</v>
      </c>
      <c r="JJ25" s="242">
        <f t="shared" si="88"/>
        <v>6800</v>
      </c>
      <c r="JK25" s="56"/>
      <c r="JN25" s="55">
        <f t="shared" si="89"/>
        <v>46042</v>
      </c>
      <c r="JO25" s="56"/>
      <c r="JP25" s="242">
        <f>SUMPRODUCT(PRODUCE!$B24:$DY24,PRODUCE!$EB$37:$IY$37)</f>
        <v>0</v>
      </c>
      <c r="JQ25" s="56"/>
      <c r="JR25" s="242">
        <f t="shared" si="90"/>
        <v>0</v>
      </c>
      <c r="JS25" s="242">
        <f t="shared" si="91"/>
        <v>5400</v>
      </c>
      <c r="JT25" s="56"/>
      <c r="JW25" s="55">
        <f t="shared" si="92"/>
        <v>46042</v>
      </c>
      <c r="JX25" s="56"/>
      <c r="JY25" s="242">
        <f>SUMPRODUCT(PRODUCE!$B24:$DY24,PRODUCE!$EB$38:$IY$38)</f>
        <v>0</v>
      </c>
      <c r="JZ25" s="56"/>
      <c r="KA25" s="242">
        <f t="shared" si="93"/>
        <v>0</v>
      </c>
      <c r="KB25" s="242">
        <f t="shared" si="94"/>
        <v>0</v>
      </c>
      <c r="KC25" s="56"/>
      <c r="KF25" s="55">
        <f t="shared" si="95"/>
        <v>46042</v>
      </c>
      <c r="KG25" s="56"/>
      <c r="KH25" s="242">
        <f>SUMPRODUCT(PRODUCE!$B24:$DY24,PRODUCE!$EB$39:$IY$39)</f>
        <v>0</v>
      </c>
      <c r="KI25" s="56"/>
      <c r="KJ25" s="242">
        <f t="shared" si="96"/>
        <v>0</v>
      </c>
      <c r="KK25" s="242">
        <f t="shared" si="97"/>
        <v>0</v>
      </c>
      <c r="KL25" s="56"/>
      <c r="KO25" s="55">
        <f t="shared" si="98"/>
        <v>46042</v>
      </c>
      <c r="KP25" s="56"/>
      <c r="KQ25" s="242">
        <f>SUMPRODUCT(PRODUCE!$B24:$DY24,PRODUCE!$EB$40:$IY$40)</f>
        <v>0</v>
      </c>
      <c r="KR25" s="56"/>
      <c r="KS25" s="242">
        <f t="shared" si="99"/>
        <v>0</v>
      </c>
      <c r="KT25" s="242">
        <f t="shared" si="100"/>
        <v>0</v>
      </c>
      <c r="KU25" s="56"/>
      <c r="KW25" s="23"/>
      <c r="KX25" s="55">
        <f t="shared" si="101"/>
        <v>46042</v>
      </c>
      <c r="KY25" s="56"/>
      <c r="KZ25" s="242">
        <f>SUMPRODUCT(PRODUCE!$B24:$DY24,PRODUCE!$EB$41:$IY$41)</f>
        <v>0</v>
      </c>
      <c r="LA25" s="56"/>
      <c r="LB25" s="242">
        <f t="shared" si="102"/>
        <v>0</v>
      </c>
      <c r="LC25" s="242">
        <f t="shared" si="103"/>
        <v>0</v>
      </c>
      <c r="LD25" s="56"/>
      <c r="LG25" s="55">
        <f t="shared" si="104"/>
        <v>46042</v>
      </c>
      <c r="LH25" s="56"/>
      <c r="LI25" s="242">
        <f>SUMPRODUCT(PRODUCE!$B24:$DY24,PRODUCE!$EB$42:$IY$42)</f>
        <v>0</v>
      </c>
      <c r="LJ25" s="56"/>
      <c r="LK25" s="242">
        <f t="shared" si="105"/>
        <v>0</v>
      </c>
      <c r="LL25" s="242">
        <f t="shared" si="106"/>
        <v>0</v>
      </c>
      <c r="LM25" s="56"/>
      <c r="LP25" s="55">
        <f t="shared" si="107"/>
        <v>46042</v>
      </c>
      <c r="LQ25" s="56"/>
      <c r="LR25" s="242">
        <f>SUMPRODUCT(PRODUCE!$B24:$DY24,PRODUCE!$EB$43:$IY$43)</f>
        <v>0</v>
      </c>
      <c r="LS25" s="56"/>
      <c r="LT25" s="242">
        <f t="shared" si="108"/>
        <v>0</v>
      </c>
      <c r="LU25" s="242">
        <f t="shared" si="109"/>
        <v>0</v>
      </c>
      <c r="LV25" s="56"/>
      <c r="LY25" s="55">
        <f t="shared" si="110"/>
        <v>46042</v>
      </c>
      <c r="LZ25" s="56"/>
      <c r="MA25" s="242">
        <f>SUMPRODUCT(PRODUCE!$B24:$DY24,PRODUCE!$EB$44:$IY$44)</f>
        <v>0</v>
      </c>
      <c r="MB25" s="56"/>
      <c r="MC25" s="242">
        <f t="shared" si="111"/>
        <v>0</v>
      </c>
      <c r="MD25" s="242">
        <f t="shared" si="112"/>
        <v>0</v>
      </c>
      <c r="ME25" s="56"/>
      <c r="MH25" s="55">
        <f t="shared" si="113"/>
        <v>46042</v>
      </c>
      <c r="MI25" s="56"/>
      <c r="MJ25" s="242">
        <f>SUMPRODUCT(PRODUCE!$B24:$DY24,PRODUCE!$EB$45:$IY$45)</f>
        <v>0</v>
      </c>
      <c r="MK25" s="56"/>
      <c r="ML25" s="242">
        <f t="shared" si="114"/>
        <v>0</v>
      </c>
      <c r="MM25" s="242">
        <f t="shared" si="115"/>
        <v>0</v>
      </c>
      <c r="MN25" s="56"/>
      <c r="MQ25" s="55">
        <f t="shared" si="116"/>
        <v>46042</v>
      </c>
      <c r="MR25" s="56"/>
      <c r="MS25" s="242">
        <f>SUMPRODUCT(PRODUCE!$B24:$DY24,PRODUCE!$EB$46:$IY$46)</f>
        <v>25</v>
      </c>
      <c r="MT25" s="56"/>
      <c r="MU25" s="242">
        <f t="shared" si="117"/>
        <v>25</v>
      </c>
      <c r="MV25" s="242">
        <f t="shared" si="118"/>
        <v>1196</v>
      </c>
      <c r="MW25" s="56"/>
      <c r="MZ25" s="55">
        <f t="shared" si="119"/>
        <v>46042</v>
      </c>
      <c r="NA25" s="56"/>
      <c r="NB25" s="242">
        <f>SUMPRODUCT(PRODUCE!$B24:$DY24,PRODUCE!$EB$47:$IY$47)</f>
        <v>0</v>
      </c>
      <c r="NC25" s="56"/>
      <c r="ND25" s="242">
        <f t="shared" si="120"/>
        <v>0</v>
      </c>
      <c r="NE25" s="242">
        <f t="shared" si="121"/>
        <v>0</v>
      </c>
      <c r="NF25" s="56"/>
      <c r="NI25" s="55">
        <f t="shared" si="122"/>
        <v>46042</v>
      </c>
      <c r="NJ25" s="56"/>
      <c r="NK25" s="242">
        <f>SUMPRODUCT(PRODUCE!$B24:$DY24,PRODUCE!$EB$48:$IY$48)</f>
        <v>0</v>
      </c>
      <c r="NL25" s="56"/>
      <c r="NM25" s="242">
        <f t="shared" si="123"/>
        <v>0</v>
      </c>
      <c r="NN25" s="242">
        <f t="shared" si="124"/>
        <v>0</v>
      </c>
      <c r="NO25" s="56"/>
      <c r="NR25" s="55">
        <f t="shared" si="125"/>
        <v>46042</v>
      </c>
      <c r="NS25" s="56"/>
      <c r="NT25" s="242">
        <f>SUMPRODUCT(PRODUCE!$B24:$DY24,PRODUCE!$EB$49:$IY$49)</f>
        <v>0</v>
      </c>
      <c r="NU25" s="56"/>
      <c r="NV25" s="242">
        <f t="shared" si="126"/>
        <v>0</v>
      </c>
      <c r="NW25" s="242">
        <f t="shared" si="127"/>
        <v>0</v>
      </c>
      <c r="NX25" s="56"/>
      <c r="OA25" s="55">
        <f t="shared" si="128"/>
        <v>46042</v>
      </c>
      <c r="OB25" s="56"/>
      <c r="OC25" s="242">
        <f>SUMPRODUCT(PRODUCE!$B24:$DY24,PRODUCE!$EB$50:$IY$50)</f>
        <v>0</v>
      </c>
      <c r="OD25" s="56"/>
      <c r="OE25" s="242">
        <f t="shared" si="129"/>
        <v>0</v>
      </c>
      <c r="OF25" s="242">
        <f t="shared" si="130"/>
        <v>1680.5</v>
      </c>
      <c r="OG25" s="56"/>
      <c r="OJ25" s="55">
        <f t="shared" si="131"/>
        <v>46042</v>
      </c>
      <c r="OK25" s="56"/>
      <c r="OL25" s="242">
        <f>SUMPRODUCT(PRODUCE!$B24:$DY24,PRODUCE!$EB$51:$IY$51)</f>
        <v>0</v>
      </c>
      <c r="OM25" s="56"/>
      <c r="ON25" s="242">
        <f>OL25-OM25</f>
        <v>0</v>
      </c>
      <c r="OO25" s="242">
        <f t="shared" si="133"/>
        <v>0</v>
      </c>
      <c r="OP25" s="56"/>
      <c r="OS25" s="55">
        <f t="shared" si="134"/>
        <v>46042</v>
      </c>
      <c r="OT25" s="56"/>
      <c r="OU25" s="242">
        <f>SUMPRODUCT(PRODUCE!$B24:$DY24,PRODUCE!$EB$52:$IY$52)</f>
        <v>0</v>
      </c>
      <c r="OV25" s="56"/>
      <c r="OW25" s="242">
        <f t="shared" si="135"/>
        <v>0</v>
      </c>
      <c r="OX25" s="242">
        <f t="shared" si="136"/>
        <v>67</v>
      </c>
      <c r="OY25" s="56"/>
      <c r="PB25" s="55">
        <f t="shared" si="137"/>
        <v>46042</v>
      </c>
      <c r="PC25" s="56"/>
      <c r="PD25" s="242">
        <f>SUMPRODUCT(PRODUCE!$B24:$DY24,PRODUCE!$EB$53:$IY$53)</f>
        <v>0</v>
      </c>
      <c r="PE25" s="56"/>
      <c r="PF25" s="242">
        <f t="shared" si="138"/>
        <v>0</v>
      </c>
      <c r="PG25" s="242">
        <f t="shared" si="139"/>
        <v>0</v>
      </c>
      <c r="PH25" s="56"/>
      <c r="PK25" s="55">
        <f t="shared" si="140"/>
        <v>46042</v>
      </c>
      <c r="PL25" s="56"/>
      <c r="PM25" s="242">
        <f>SUMPRODUCT(PRODUCE!$B24:$DY24,PRODUCE!$EB$54:$IY$54)</f>
        <v>0</v>
      </c>
      <c r="PN25" s="56"/>
      <c r="PO25" s="242">
        <f t="shared" si="141"/>
        <v>0</v>
      </c>
      <c r="PP25" s="242">
        <f t="shared" si="142"/>
        <v>160</v>
      </c>
      <c r="PQ25" s="56"/>
      <c r="PT25" s="55">
        <f t="shared" si="143"/>
        <v>46042</v>
      </c>
      <c r="PU25" s="56"/>
      <c r="PV25" s="242">
        <f>SUMPRODUCT(PRODUCE!$B24:$DY24,PRODUCE!$EB$55:$IY$55)</f>
        <v>0</v>
      </c>
      <c r="PW25" s="56"/>
      <c r="PX25" s="242">
        <f t="shared" si="144"/>
        <v>0</v>
      </c>
      <c r="PY25" s="242">
        <f t="shared" si="145"/>
        <v>13.960000000000036</v>
      </c>
      <c r="PZ25" s="56"/>
      <c r="QC25" s="55">
        <f t="shared" si="146"/>
        <v>46042</v>
      </c>
      <c r="QD25" s="56"/>
      <c r="QE25" s="242">
        <f>SUMPRODUCT(PRODUCE!$B24:$DY24,PRODUCE!$EB$56:$IY$56)</f>
        <v>0</v>
      </c>
      <c r="QF25" s="56"/>
      <c r="QG25" s="242">
        <f t="shared" si="147"/>
        <v>0</v>
      </c>
      <c r="QH25" s="242">
        <f t="shared" si="148"/>
        <v>0</v>
      </c>
      <c r="QI25" s="56"/>
      <c r="QL25" s="55">
        <f t="shared" si="149"/>
        <v>46042</v>
      </c>
      <c r="QM25" s="56"/>
      <c r="QN25" s="242">
        <f>SUMPRODUCT(PRODUCE!$B24:$DY24,PRODUCE!$EB$57:$IY$57)</f>
        <v>0</v>
      </c>
      <c r="QO25" s="56"/>
      <c r="QP25" s="242">
        <f t="shared" si="150"/>
        <v>0</v>
      </c>
      <c r="QQ25" s="242">
        <f t="shared" si="151"/>
        <v>0</v>
      </c>
      <c r="QR25" s="56"/>
      <c r="QU25" s="55">
        <f t="shared" si="152"/>
        <v>46042</v>
      </c>
      <c r="QV25" s="56"/>
      <c r="QW25" s="242">
        <f>SUMPRODUCT(PRODUCE!$B24:$DY24,PRODUCE!$EB$57:$IY$57)</f>
        <v>0</v>
      </c>
      <c r="QX25" s="56"/>
      <c r="QY25" s="242">
        <f t="shared" si="153"/>
        <v>0</v>
      </c>
      <c r="QZ25" s="242">
        <f t="shared" si="154"/>
        <v>207.6</v>
      </c>
      <c r="RA25" s="56"/>
      <c r="RD25" s="55">
        <f t="shared" si="155"/>
        <v>46042</v>
      </c>
      <c r="RE25" s="56"/>
      <c r="RF25" s="242">
        <f>SUMPRODUCT(PRODUCE!$B24:$DY24,PRODUCE!$EB$58:$IY$58)</f>
        <v>0</v>
      </c>
      <c r="RG25" s="56"/>
      <c r="RH25" s="242">
        <f t="shared" si="156"/>
        <v>0</v>
      </c>
      <c r="RI25" s="242">
        <f t="shared" si="157"/>
        <v>201.8</v>
      </c>
      <c r="RJ25" s="56"/>
      <c r="RM25" s="55">
        <f t="shared" si="158"/>
        <v>46042</v>
      </c>
      <c r="RN25" s="56"/>
      <c r="RO25" s="242">
        <f>SUMPRODUCT(PRODUCE!$B24:$DY24,PRODUCE!$EB$59:$IY$59)</f>
        <v>0</v>
      </c>
      <c r="RP25" s="56"/>
      <c r="RQ25" s="242">
        <f t="shared" si="159"/>
        <v>0</v>
      </c>
      <c r="RR25" s="242">
        <f t="shared" si="160"/>
        <v>22.720000000000002</v>
      </c>
      <c r="RS25" s="56"/>
      <c r="RV25" s="55">
        <f t="shared" si="161"/>
        <v>46042</v>
      </c>
      <c r="RW25" s="56"/>
      <c r="RX25" s="242">
        <f>SUMPRODUCT(PRODUCE!$B24:$DY24,PRODUCE!$EB$57:$IY$57)</f>
        <v>0</v>
      </c>
      <c r="RY25" s="56"/>
      <c r="RZ25" s="242">
        <f t="shared" si="162"/>
        <v>0</v>
      </c>
      <c r="SA25" s="242">
        <f t="shared" si="163"/>
        <v>0</v>
      </c>
      <c r="SB25" s="56"/>
      <c r="SE25" s="55">
        <f t="shared" si="164"/>
        <v>46042</v>
      </c>
      <c r="SF25" s="56"/>
      <c r="SG25" s="242">
        <f>SUMPRODUCT(PRODUCE!$B24:$DY24,PRODUCE!$EB$61:$IY$61)</f>
        <v>0</v>
      </c>
      <c r="SH25" s="56"/>
      <c r="SI25" s="242">
        <f t="shared" si="165"/>
        <v>0</v>
      </c>
      <c r="SJ25" s="242">
        <f t="shared" si="166"/>
        <v>0</v>
      </c>
      <c r="SK25" s="56"/>
      <c r="SN25" s="55">
        <f t="shared" si="167"/>
        <v>46042</v>
      </c>
      <c r="SO25" s="56"/>
      <c r="SP25" s="242">
        <f>SUMPRODUCT(PRODUCE!$B24:$DY24,PRODUCE!$EB$57:$IY$57)</f>
        <v>0</v>
      </c>
      <c r="SQ25" s="56"/>
      <c r="SR25" s="242">
        <f t="shared" si="168"/>
        <v>0</v>
      </c>
      <c r="SS25" s="242">
        <f t="shared" si="169"/>
        <v>0</v>
      </c>
      <c r="ST25" s="56"/>
      <c r="SW25" s="55">
        <f t="shared" si="170"/>
        <v>46042</v>
      </c>
      <c r="SX25" s="56"/>
      <c r="SY25" s="242">
        <f>SUMPRODUCT(PRODUCE!$B24:$DY24,PRODUCE!$EB$57:$IY$57)</f>
        <v>0</v>
      </c>
      <c r="SZ25" s="56"/>
      <c r="TA25" s="242">
        <f t="shared" si="171"/>
        <v>0</v>
      </c>
      <c r="TB25" s="242">
        <f t="shared" si="172"/>
        <v>0</v>
      </c>
      <c r="TC25" s="56"/>
      <c r="TF25" s="55">
        <f t="shared" si="173"/>
        <v>46042</v>
      </c>
      <c r="TG25" s="56"/>
      <c r="TH25" s="242">
        <f>SUMPRODUCT(PRODUCE!$B24:$DY24,PRODUCE!$EB$57:$IY$57)</f>
        <v>0</v>
      </c>
      <c r="TI25" s="56"/>
      <c r="TJ25" s="242">
        <f t="shared" si="174"/>
        <v>0</v>
      </c>
      <c r="TK25" s="242">
        <f t="shared" si="175"/>
        <v>0</v>
      </c>
      <c r="TL25" s="56"/>
      <c r="TO25" s="55">
        <f t="shared" si="176"/>
        <v>46042</v>
      </c>
      <c r="TP25" s="56"/>
      <c r="TQ25" s="242">
        <f>SUMPRODUCT(PRODUCE!$B24:$DY24,PRODUCE!$EB$57:$IY$57)</f>
        <v>0</v>
      </c>
      <c r="TR25" s="56"/>
      <c r="TS25" s="242">
        <f t="shared" si="177"/>
        <v>0</v>
      </c>
      <c r="TT25" s="242">
        <f t="shared" si="178"/>
        <v>0</v>
      </c>
      <c r="TU25" s="56"/>
      <c r="TX25" s="55">
        <f t="shared" si="179"/>
        <v>46042</v>
      </c>
      <c r="TY25" s="56"/>
      <c r="TZ25" s="242">
        <f>SUMPRODUCT(PRODUCE!$B24:$DY24,PRODUCE!$EB$57:$IY$57)</f>
        <v>0</v>
      </c>
      <c r="UA25" s="56"/>
      <c r="UB25" s="242">
        <f t="shared" si="180"/>
        <v>0</v>
      </c>
      <c r="UC25" s="242">
        <f t="shared" si="181"/>
        <v>0</v>
      </c>
      <c r="UD25" s="56"/>
      <c r="UG25" s="55">
        <f t="shared" si="182"/>
        <v>46042</v>
      </c>
      <c r="UH25" s="56"/>
      <c r="UI25" s="242">
        <f>SUMPRODUCT(PRODUCE!$B24:$DY24,PRODUCE!$EB$57:$IY$57)</f>
        <v>0</v>
      </c>
      <c r="UJ25" s="56"/>
      <c r="UK25" s="242">
        <f t="shared" si="183"/>
        <v>0</v>
      </c>
      <c r="UL25" s="242">
        <f t="shared" si="184"/>
        <v>0</v>
      </c>
      <c r="UM25" s="56"/>
      <c r="UP25" s="55">
        <f t="shared" si="185"/>
        <v>46042</v>
      </c>
      <c r="UQ25" s="56"/>
      <c r="UR25" s="242">
        <f>SUMPRODUCT(PRODUCE!$B24:$DY24,PRODUCE!$EB$57:$IY$57)</f>
        <v>0</v>
      </c>
      <c r="US25" s="56"/>
      <c r="UT25" s="242">
        <f t="shared" si="186"/>
        <v>0</v>
      </c>
      <c r="UU25" s="242">
        <f t="shared" si="187"/>
        <v>0</v>
      </c>
      <c r="UV25" s="56"/>
      <c r="UY25" s="55">
        <f t="shared" si="188"/>
        <v>46042</v>
      </c>
      <c r="UZ25" s="56"/>
      <c r="VA25" s="242">
        <f>SUMPRODUCT(PRODUCE!$B24:$DY24,PRODUCE!$EB$57:$IY$57)</f>
        <v>0</v>
      </c>
      <c r="VB25" s="56"/>
      <c r="VC25" s="242">
        <f t="shared" si="189"/>
        <v>0</v>
      </c>
      <c r="VD25" s="242">
        <f t="shared" si="190"/>
        <v>-319.59999999999997</v>
      </c>
      <c r="VE25" s="56"/>
      <c r="VH25" s="55">
        <f t="shared" si="191"/>
        <v>46042</v>
      </c>
      <c r="VI25" s="56"/>
      <c r="VJ25" s="242">
        <f>SUMPRODUCT(PRODUCE!$B24:$DY24,PRODUCE!$EB$57:$IY$57)</f>
        <v>0</v>
      </c>
      <c r="VK25" s="56"/>
      <c r="VL25" s="242">
        <f t="shared" si="192"/>
        <v>0</v>
      </c>
      <c r="VM25" s="242">
        <f t="shared" si="193"/>
        <v>0</v>
      </c>
      <c r="VN25" s="56"/>
      <c r="VQ25" s="55">
        <f t="shared" si="194"/>
        <v>46042</v>
      </c>
      <c r="VR25" s="56"/>
      <c r="VS25" s="242">
        <f>SUMPRODUCT(PRODUCE!$B24:$DY24,PRODUCE!$EB$57:$IY$57)</f>
        <v>0</v>
      </c>
      <c r="VT25" s="56"/>
      <c r="VU25" s="242">
        <f t="shared" si="195"/>
        <v>0</v>
      </c>
      <c r="VV25" s="242">
        <f t="shared" si="196"/>
        <v>0</v>
      </c>
      <c r="VW25" s="56"/>
      <c r="VZ25" s="55">
        <f t="shared" si="197"/>
        <v>46042</v>
      </c>
      <c r="WA25" s="56"/>
      <c r="WB25" s="242">
        <f>SUMPRODUCT(PRODUCE!$B24:$DY24,PRODUCE!$EB$57:$IY$57)</f>
        <v>0</v>
      </c>
      <c r="WC25" s="56"/>
      <c r="WD25" s="242">
        <f t="shared" si="198"/>
        <v>0</v>
      </c>
      <c r="WE25" s="242">
        <f t="shared" si="199"/>
        <v>0</v>
      </c>
      <c r="WF25" s="56"/>
      <c r="WI25" s="55">
        <f t="shared" si="200"/>
        <v>46042</v>
      </c>
      <c r="WJ25" s="56"/>
      <c r="WK25" s="242">
        <f>SUMPRODUCT(PRODUCE!$B24:$DY24,PRODUCE!$EB$57:$IY$57)</f>
        <v>0</v>
      </c>
      <c r="WL25" s="56"/>
      <c r="WM25" s="242">
        <f t="shared" si="201"/>
        <v>0</v>
      </c>
      <c r="WN25" s="242">
        <f t="shared" si="202"/>
        <v>5877</v>
      </c>
      <c r="WO25" s="56"/>
      <c r="WR25" s="55">
        <f t="shared" si="203"/>
        <v>46042</v>
      </c>
      <c r="WS25" s="56"/>
      <c r="WT25" s="242">
        <f>SUMPRODUCT(PRODUCE!$B24:$DY24,PRODUCE!$EB$57:$IY$57)</f>
        <v>0</v>
      </c>
      <c r="WU25" s="56"/>
      <c r="WV25" s="242">
        <f t="shared" si="204"/>
        <v>0</v>
      </c>
      <c r="WW25" s="242">
        <f t="shared" si="205"/>
        <v>5267</v>
      </c>
      <c r="WX25" s="56"/>
      <c r="XA25" s="55">
        <f t="shared" si="206"/>
        <v>46042</v>
      </c>
      <c r="XB25" s="56"/>
      <c r="XC25" s="242">
        <f>SUMPRODUCT(PRODUCE!$B24:$DY24,PRODUCE!$EB$57:$IY$57)</f>
        <v>0</v>
      </c>
      <c r="XD25" s="56">
        <v>995</v>
      </c>
      <c r="XE25" s="242">
        <f t="shared" si="207"/>
        <v>-995</v>
      </c>
      <c r="XF25" s="242">
        <f t="shared" si="208"/>
        <v>-877</v>
      </c>
      <c r="XG25" s="56"/>
      <c r="XJ25" s="55">
        <f t="shared" si="209"/>
        <v>46042</v>
      </c>
      <c r="XK25" s="56"/>
      <c r="XL25" s="242">
        <f>SUMPRODUCT(PRODUCE!$B24:$DY24,PRODUCE!$EB$57:$IY$57)</f>
        <v>0</v>
      </c>
      <c r="XM25" s="56">
        <v>402</v>
      </c>
      <c r="XN25" s="242">
        <f t="shared" si="210"/>
        <v>-402</v>
      </c>
      <c r="XO25" s="242">
        <f t="shared" si="211"/>
        <v>5274</v>
      </c>
      <c r="XP25" s="56"/>
      <c r="XS25" s="55">
        <f t="shared" si="212"/>
        <v>46042</v>
      </c>
      <c r="XT25" s="56"/>
      <c r="XU25" s="242">
        <f>SUMPRODUCT(PRODUCE!$B24:$DY24,PRODUCE!$EB$57:$IY$57)</f>
        <v>0</v>
      </c>
      <c r="XV25" s="56"/>
      <c r="XW25" s="242">
        <f t="shared" si="213"/>
        <v>0</v>
      </c>
      <c r="XX25" s="242">
        <f t="shared" si="214"/>
        <v>1901</v>
      </c>
      <c r="XY25" s="56"/>
      <c r="YB25" s="55">
        <f t="shared" si="215"/>
        <v>46042</v>
      </c>
      <c r="YC25" s="56"/>
      <c r="YD25" s="242">
        <f>SUMPRODUCT(PRODUCE!$B24:$DY24,PRODUCE!$EB$57:$IY$57)</f>
        <v>0</v>
      </c>
      <c r="YE25" s="56"/>
      <c r="YF25" s="242">
        <f t="shared" si="216"/>
        <v>0</v>
      </c>
      <c r="YG25" s="242">
        <f t="shared" si="217"/>
        <v>2671</v>
      </c>
      <c r="YH25" s="56"/>
      <c r="YK25" s="55">
        <f t="shared" si="218"/>
        <v>46042</v>
      </c>
      <c r="YL25" s="56"/>
      <c r="YM25" s="242">
        <f>SUMPRODUCT(PRODUCE!$B24:$DY24,PRODUCE!$EB$57:$IY$57)</f>
        <v>0</v>
      </c>
      <c r="YN25" s="56"/>
      <c r="YO25" s="242">
        <f t="shared" si="219"/>
        <v>0</v>
      </c>
      <c r="YP25" s="242">
        <f t="shared" si="220"/>
        <v>0</v>
      </c>
      <c r="YQ25" s="56"/>
      <c r="YT25" s="55">
        <f t="shared" si="221"/>
        <v>46042</v>
      </c>
      <c r="YU25" s="56"/>
      <c r="YV25" s="242">
        <f>SUMPRODUCT(PRODUCE!$B24:$DY24,PRODUCE!$EB$57:$IY$57)</f>
        <v>0</v>
      </c>
      <c r="YW25" s="56"/>
      <c r="YX25" s="242">
        <f t="shared" si="222"/>
        <v>0</v>
      </c>
      <c r="YY25" s="242">
        <f t="shared" si="223"/>
        <v>0</v>
      </c>
      <c r="YZ25" s="56"/>
      <c r="ZC25" s="55">
        <f t="shared" si="224"/>
        <v>46042</v>
      </c>
      <c r="ZD25" s="56"/>
      <c r="ZE25" s="242">
        <f>SUMPRODUCT(PRODUCE!$B24:$DY24,PRODUCE!$EB$57:$IY$57)</f>
        <v>0</v>
      </c>
      <c r="ZF25" s="56"/>
      <c r="ZG25" s="242">
        <f t="shared" si="225"/>
        <v>0</v>
      </c>
      <c r="ZH25" s="242">
        <f t="shared" si="226"/>
        <v>0</v>
      </c>
      <c r="ZI25" s="56"/>
      <c r="ZL25" s="55">
        <f t="shared" si="227"/>
        <v>46042</v>
      </c>
      <c r="ZM25" s="56"/>
      <c r="ZN25" s="242">
        <f>SUMPRODUCT(PRODUCE!$B24:$DY24,PRODUCE!$EB$57:$IY$57)</f>
        <v>0</v>
      </c>
      <c r="ZO25" s="56"/>
      <c r="ZP25" s="242">
        <f t="shared" si="228"/>
        <v>0</v>
      </c>
      <c r="ZQ25" s="242">
        <f t="shared" si="229"/>
        <v>0</v>
      </c>
      <c r="ZR25" s="56"/>
      <c r="ZU25" s="55">
        <f t="shared" si="230"/>
        <v>46042</v>
      </c>
      <c r="ZV25" s="56"/>
      <c r="ZW25" s="242">
        <f>SUMPRODUCT(PRODUCE!$B24:$DY24,PRODUCE!$EB$57:$IY$57)</f>
        <v>0</v>
      </c>
      <c r="ZX25" s="56"/>
      <c r="ZY25" s="242">
        <f t="shared" si="231"/>
        <v>0</v>
      </c>
      <c r="ZZ25" s="242">
        <f t="shared" si="232"/>
        <v>0</v>
      </c>
      <c r="AAA25" s="56"/>
      <c r="AAD25" s="55">
        <f t="shared" si="233"/>
        <v>46042</v>
      </c>
      <c r="AAE25" s="56"/>
      <c r="AAF25" s="242">
        <f>SUMPRODUCT(PRODUCE!$B24:$DY24,PRODUCE!$EB$57:$IY$57)</f>
        <v>0</v>
      </c>
      <c r="AAG25" s="56"/>
      <c r="AAH25" s="242">
        <f t="shared" si="234"/>
        <v>0</v>
      </c>
      <c r="AAI25" s="242">
        <f t="shared" si="235"/>
        <v>0</v>
      </c>
      <c r="AAJ25" s="56"/>
      <c r="AAM25" s="55">
        <f t="shared" si="236"/>
        <v>46042</v>
      </c>
      <c r="AAN25" s="56"/>
      <c r="AAO25" s="242">
        <f>SUMPRODUCT(PRODUCE!$B24:$DY24,PRODUCE!$EB$57:$IY$57)</f>
        <v>0</v>
      </c>
      <c r="AAP25" s="56"/>
      <c r="AAQ25" s="242">
        <f t="shared" si="237"/>
        <v>0</v>
      </c>
      <c r="AAR25" s="242">
        <f t="shared" si="238"/>
        <v>0</v>
      </c>
      <c r="AAS25" s="56"/>
      <c r="AAV25" s="55">
        <f t="shared" si="239"/>
        <v>46042</v>
      </c>
      <c r="AAW25" s="56"/>
      <c r="AAX25" s="242">
        <f>SUMPRODUCT(PRODUCE!$B24:$DY24,PRODUCE!$EB$57:$IY$57)</f>
        <v>0</v>
      </c>
      <c r="AAY25" s="56"/>
      <c r="AAZ25" s="242">
        <f t="shared" si="240"/>
        <v>0</v>
      </c>
      <c r="ABA25" s="242">
        <f t="shared" si="241"/>
        <v>0</v>
      </c>
      <c r="ABB25" s="56"/>
      <c r="ABE25" s="55">
        <f t="shared" si="242"/>
        <v>46042</v>
      </c>
      <c r="ABF25" s="56"/>
      <c r="ABG25" s="242">
        <f>SUMPRODUCT(PRODUCE!$B24:$DY24,PRODUCE!$EB$57:$IY$57)</f>
        <v>0</v>
      </c>
      <c r="ABH25" s="56"/>
      <c r="ABI25" s="242">
        <f t="shared" si="243"/>
        <v>0</v>
      </c>
      <c r="ABJ25" s="242">
        <f t="shared" si="244"/>
        <v>0</v>
      </c>
      <c r="ABK25" s="56"/>
    </row>
    <row r="26" spans="2:739" s="54" customFormat="1" ht="15" customHeight="1" outlineLevel="1">
      <c r="B26" s="478">
        <f>14+18</f>
        <v>32</v>
      </c>
      <c r="C26" s="55">
        <v>46043</v>
      </c>
      <c r="D26" s="422">
        <v>22980</v>
      </c>
      <c r="E26" s="423">
        <f>SUMPRODUCT(PRODUCE!$B25:$DY25,PRODUCE!$EB$7:$IY$7)</f>
        <v>19949.5</v>
      </c>
      <c r="F26" s="422">
        <v>19949</v>
      </c>
      <c r="G26" s="423">
        <f t="shared" si="2"/>
        <v>0.5</v>
      </c>
      <c r="H26" s="423">
        <f t="shared" si="0"/>
        <v>38417.4</v>
      </c>
      <c r="I26" s="324" t="s">
        <v>189</v>
      </c>
      <c r="L26" s="55">
        <f t="shared" si="1"/>
        <v>46043</v>
      </c>
      <c r="M26" s="422">
        <v>46240</v>
      </c>
      <c r="N26" s="438">
        <f>SUMPRODUCT(PRODUCE!$B25:$DY25,PRODUCE!$EB$8:$IY$8)</f>
        <v>5542.5</v>
      </c>
      <c r="O26" s="422">
        <v>5540.8</v>
      </c>
      <c r="P26" s="438">
        <f t="shared" si="3"/>
        <v>1.6999999999998181</v>
      </c>
      <c r="Q26" s="438">
        <f t="shared" si="4"/>
        <v>88831.8</v>
      </c>
      <c r="R26" s="56"/>
      <c r="U26" s="55">
        <f t="shared" si="5"/>
        <v>46043</v>
      </c>
      <c r="V26" s="422"/>
      <c r="W26" s="440">
        <f>SUMPRODUCT(PRODUCE!$B25:$DY25,PRODUCE!$EB$9:$IY$9)</f>
        <v>1930</v>
      </c>
      <c r="X26" s="422">
        <v>1929.1</v>
      </c>
      <c r="Y26" s="440">
        <f t="shared" si="6"/>
        <v>0.90000000000009095</v>
      </c>
      <c r="Z26" s="440">
        <f t="shared" si="7"/>
        <v>42330.799999999981</v>
      </c>
      <c r="AA26" s="56"/>
      <c r="AD26" s="55">
        <f t="shared" si="8"/>
        <v>46043</v>
      </c>
      <c r="AE26" s="422">
        <v>30510</v>
      </c>
      <c r="AF26" s="442">
        <f>SUMPRODUCT(PRODUCE!$B25:$DY25,PRODUCE!$EB$10:$IY$10)</f>
        <v>1340</v>
      </c>
      <c r="AG26" s="422">
        <v>1341.6</v>
      </c>
      <c r="AH26" s="442">
        <f t="shared" si="9"/>
        <v>-1.5999999999999091</v>
      </c>
      <c r="AI26" s="442">
        <f t="shared" si="10"/>
        <v>44880.600000000006</v>
      </c>
      <c r="AJ26" s="56"/>
      <c r="AM26" s="55">
        <f t="shared" si="11"/>
        <v>46043</v>
      </c>
      <c r="AN26" s="422"/>
      <c r="AO26" s="444">
        <f>SUMPRODUCT(PRODUCE!$B25:$DY25,PRODUCE!$EB$11:$IY$11)</f>
        <v>0</v>
      </c>
      <c r="AP26" s="422"/>
      <c r="AQ26" s="444">
        <f t="shared" si="12"/>
        <v>0</v>
      </c>
      <c r="AR26" s="444">
        <f t="shared" si="13"/>
        <v>0</v>
      </c>
      <c r="AS26" s="56"/>
      <c r="AV26" s="55">
        <f t="shared" si="14"/>
        <v>46043</v>
      </c>
      <c r="AW26" s="422"/>
      <c r="AX26" s="446">
        <f>SUMPRODUCT(PRODUCE!$B25:$DY25,PRODUCE!$EB$12:$IY$12)</f>
        <v>577</v>
      </c>
      <c r="AY26" s="422">
        <v>576.79999999999995</v>
      </c>
      <c r="AZ26" s="446">
        <f t="shared" si="15"/>
        <v>0.20000000000004547</v>
      </c>
      <c r="BA26" s="446">
        <f t="shared" si="16"/>
        <v>41390.599999999991</v>
      </c>
      <c r="BB26" s="56"/>
      <c r="BE26" s="55">
        <f t="shared" si="17"/>
        <v>46043</v>
      </c>
      <c r="BF26" s="422"/>
      <c r="BG26" s="448">
        <f>SUMPRODUCT(PRODUCE!$B25:$DY25,PRODUCE!$EB$13:$IY$13)</f>
        <v>710</v>
      </c>
      <c r="BH26" s="422">
        <v>711.5</v>
      </c>
      <c r="BI26" s="448">
        <f t="shared" si="18"/>
        <v>-1.5</v>
      </c>
      <c r="BJ26" s="448">
        <f t="shared" si="19"/>
        <v>28800.80000000001</v>
      </c>
      <c r="BK26" s="56"/>
      <c r="BN26" s="55">
        <f t="shared" si="20"/>
        <v>46043</v>
      </c>
      <c r="BO26" s="422">
        <v>620.1</v>
      </c>
      <c r="BP26" s="450">
        <f>SUMPRODUCT(PRODUCE!$B25:$DY25,PRODUCE!$EB$14:$IY$14)</f>
        <v>620</v>
      </c>
      <c r="BQ26" s="422">
        <v>620.1</v>
      </c>
      <c r="BR26" s="450">
        <f t="shared" si="21"/>
        <v>-0.10000000000002274</v>
      </c>
      <c r="BS26" s="450">
        <f t="shared" si="22"/>
        <v>0</v>
      </c>
      <c r="BT26" s="56"/>
      <c r="BW26" s="55">
        <f t="shared" si="23"/>
        <v>46043</v>
      </c>
      <c r="BX26" s="56"/>
      <c r="BY26" s="65">
        <f>SUMPRODUCT(PRODUCE!$B25:$DY25,PRODUCE!$EB$15:$IY$15)</f>
        <v>0</v>
      </c>
      <c r="BZ26" s="56"/>
      <c r="CA26" s="65">
        <f t="shared" si="24"/>
        <v>0</v>
      </c>
      <c r="CB26" s="65">
        <f t="shared" si="25"/>
        <v>3386.5</v>
      </c>
      <c r="CC26" s="56"/>
      <c r="CF26" s="55">
        <f t="shared" si="26"/>
        <v>46043</v>
      </c>
      <c r="CG26" s="56"/>
      <c r="CH26" s="66">
        <f>SUMPRODUCT(PRODUCE!$B25:$DY25,PRODUCE!$EB$16:$IY$16)</f>
        <v>0</v>
      </c>
      <c r="CI26" s="56"/>
      <c r="CJ26" s="66">
        <f t="shared" si="27"/>
        <v>0</v>
      </c>
      <c r="CK26" s="66">
        <f t="shared" si="28"/>
        <v>0</v>
      </c>
      <c r="CL26" s="56"/>
      <c r="CO26" s="55">
        <f t="shared" si="29"/>
        <v>46043</v>
      </c>
      <c r="CP26" s="422"/>
      <c r="CQ26" s="470">
        <f>SUMPRODUCT(PRODUCE!$B25:$DY25,PRODUCE!$EB$17:$IY$17)</f>
        <v>0</v>
      </c>
      <c r="CR26" s="422"/>
      <c r="CS26" s="470">
        <f t="shared" si="30"/>
        <v>0</v>
      </c>
      <c r="CT26" s="470">
        <f t="shared" si="31"/>
        <v>0</v>
      </c>
      <c r="CU26" s="56"/>
      <c r="CX26" s="55">
        <f t="shared" si="32"/>
        <v>46043</v>
      </c>
      <c r="CY26" s="56"/>
      <c r="CZ26" s="133">
        <f>SUMPRODUCT(PRODUCE!$B25:$DY25,PRODUCE!$EB$18:$IY$18)</f>
        <v>0</v>
      </c>
      <c r="DA26" s="56"/>
      <c r="DB26" s="133">
        <f t="shared" si="33"/>
        <v>0</v>
      </c>
      <c r="DC26" s="133">
        <f t="shared" si="34"/>
        <v>0</v>
      </c>
      <c r="DD26" s="56"/>
      <c r="DG26" s="55">
        <f t="shared" si="35"/>
        <v>46043</v>
      </c>
      <c r="DH26" s="56"/>
      <c r="DI26" s="147">
        <f>SUMPRODUCT(PRODUCE!$B25:$DY25,PRODUCE!$EB$19:$IY$19)</f>
        <v>630</v>
      </c>
      <c r="DJ26" s="56">
        <v>629.4</v>
      </c>
      <c r="DK26" s="147">
        <f t="shared" si="36"/>
        <v>0.60000000000002274</v>
      </c>
      <c r="DL26" s="147">
        <f t="shared" si="37"/>
        <v>23572.799999999996</v>
      </c>
      <c r="DM26" s="56"/>
      <c r="DP26" s="55">
        <f t="shared" si="38"/>
        <v>46043</v>
      </c>
      <c r="DQ26" s="56"/>
      <c r="DR26" s="57">
        <f>SUMPRODUCT(PRODUCE!$B25:$DY25,PRODUCE!$EB$20:$IY$20)</f>
        <v>0</v>
      </c>
      <c r="DS26" s="56"/>
      <c r="DT26" s="57">
        <f t="shared" si="39"/>
        <v>0</v>
      </c>
      <c r="DU26" s="57">
        <f t="shared" si="40"/>
        <v>0</v>
      </c>
      <c r="DV26" s="56"/>
      <c r="DY26" s="55">
        <f t="shared" si="41"/>
        <v>46043</v>
      </c>
      <c r="DZ26" s="56"/>
      <c r="EA26" s="157">
        <f>SUMPRODUCT(PRODUCE!$B25:$DY25,PRODUCE!$EB$21:$IY$21)</f>
        <v>0</v>
      </c>
      <c r="EB26" s="56"/>
      <c r="EC26" s="157">
        <f t="shared" si="42"/>
        <v>0</v>
      </c>
      <c r="ED26" s="157">
        <f t="shared" si="43"/>
        <v>0</v>
      </c>
      <c r="EE26" s="56"/>
      <c r="EH26" s="55">
        <f t="shared" si="44"/>
        <v>46043</v>
      </c>
      <c r="EI26" s="56"/>
      <c r="EJ26" s="162">
        <f>SUMPRODUCT(PRODUCE!$B25:$DY25,PRODUCE!$EB$22:$IY$22)</f>
        <v>0</v>
      </c>
      <c r="EK26" s="56"/>
      <c r="EL26" s="162">
        <f t="shared" si="45"/>
        <v>0</v>
      </c>
      <c r="EM26" s="162">
        <f t="shared" si="46"/>
        <v>0</v>
      </c>
      <c r="EN26" s="56"/>
      <c r="EQ26" s="55">
        <f t="shared" si="47"/>
        <v>46043</v>
      </c>
      <c r="ER26" s="56"/>
      <c r="ES26" s="135">
        <f>SUMPRODUCT(PRODUCE!$B25:$DY25,PRODUCE!$EB$23:$IY$23)</f>
        <v>0</v>
      </c>
      <c r="ET26" s="56"/>
      <c r="EU26" s="135">
        <f t="shared" si="48"/>
        <v>0</v>
      </c>
      <c r="EV26" s="135">
        <f t="shared" si="49"/>
        <v>0</v>
      </c>
      <c r="EW26" s="56"/>
      <c r="EZ26" s="55">
        <f t="shared" si="50"/>
        <v>46043</v>
      </c>
      <c r="FA26" s="56"/>
      <c r="FB26" s="175">
        <f>SUMPRODUCT(PRODUCE!$B25:$DY25,PRODUCE!$EB$24:$IY$24)</f>
        <v>0</v>
      </c>
      <c r="FC26" s="56"/>
      <c r="FD26" s="175">
        <f t="shared" si="51"/>
        <v>0</v>
      </c>
      <c r="FE26" s="175">
        <f t="shared" si="52"/>
        <v>0</v>
      </c>
      <c r="FF26" s="56"/>
      <c r="FI26" s="55">
        <f t="shared" si="53"/>
        <v>46043</v>
      </c>
      <c r="FJ26" s="56"/>
      <c r="FK26" s="183">
        <f>SUMPRODUCT(PRODUCE!$B25:$DY25,PRODUCE!$EB$25:$IY$25)</f>
        <v>0</v>
      </c>
      <c r="FL26" s="56"/>
      <c r="FM26" s="183">
        <f t="shared" si="54"/>
        <v>0</v>
      </c>
      <c r="FN26" s="183">
        <f t="shared" si="55"/>
        <v>0</v>
      </c>
      <c r="FO26" s="56"/>
      <c r="FR26" s="55">
        <f t="shared" si="56"/>
        <v>46043</v>
      </c>
      <c r="FS26" s="422"/>
      <c r="FT26" s="452">
        <f>SUMPRODUCT(PRODUCE!$B25:$DY25,PRODUCE!$EB$26:$IY$26)</f>
        <v>0</v>
      </c>
      <c r="FU26" s="422"/>
      <c r="FV26" s="452">
        <f t="shared" si="57"/>
        <v>0</v>
      </c>
      <c r="FW26" s="452">
        <f t="shared" si="58"/>
        <v>3540</v>
      </c>
      <c r="FX26" s="56"/>
      <c r="GA26" s="55">
        <f t="shared" si="59"/>
        <v>46043</v>
      </c>
      <c r="GB26" s="422"/>
      <c r="GC26" s="454">
        <f>SUMPRODUCT(PRODUCE!$B25:$DY25,PRODUCE!$EB$27:$IY$27)</f>
        <v>0</v>
      </c>
      <c r="GD26" s="422"/>
      <c r="GE26" s="454">
        <f t="shared" si="60"/>
        <v>0</v>
      </c>
      <c r="GF26" s="454">
        <f t="shared" si="61"/>
        <v>1960</v>
      </c>
      <c r="GG26" s="56"/>
      <c r="GI26" s="23"/>
      <c r="GJ26" s="55">
        <f t="shared" si="62"/>
        <v>46043</v>
      </c>
      <c r="GK26" s="422"/>
      <c r="GL26" s="456">
        <f>SUMPRODUCT(PRODUCE!$B25:$DY25,PRODUCE!$EB$28:$IY$28)</f>
        <v>280</v>
      </c>
      <c r="GM26" s="422"/>
      <c r="GN26" s="456">
        <f t="shared" si="63"/>
        <v>280</v>
      </c>
      <c r="GO26" s="456">
        <f t="shared" si="64"/>
        <v>6160</v>
      </c>
      <c r="GP26" s="56"/>
      <c r="GS26" s="55">
        <f t="shared" si="65"/>
        <v>46043</v>
      </c>
      <c r="GT26" s="56"/>
      <c r="GU26" s="195">
        <f>SUMPRODUCT(PRODUCE!$B25:$DY25,PRODUCE!$EB$29:$IY$29)</f>
        <v>0</v>
      </c>
      <c r="GV26" s="56"/>
      <c r="GW26" s="195">
        <f t="shared" si="66"/>
        <v>0</v>
      </c>
      <c r="GX26" s="195">
        <f t="shared" si="67"/>
        <v>0</v>
      </c>
      <c r="GY26" s="56"/>
      <c r="HB26" s="55">
        <f t="shared" si="68"/>
        <v>46043</v>
      </c>
      <c r="HC26" s="56"/>
      <c r="HD26" s="191">
        <f>SUMPRODUCT(PRODUCE!$B25:$DY25,PRODUCE!$EB$30:$IY$30)</f>
        <v>0</v>
      </c>
      <c r="HE26" s="56"/>
      <c r="HF26" s="191">
        <f t="shared" si="69"/>
        <v>0</v>
      </c>
      <c r="HG26" s="191">
        <f t="shared" si="70"/>
        <v>0</v>
      </c>
      <c r="HH26" s="56"/>
      <c r="HK26" s="55">
        <f t="shared" si="71"/>
        <v>46043</v>
      </c>
      <c r="HL26" s="56"/>
      <c r="HM26" s="63">
        <f>SUMPRODUCT(PRODUCE!$B25:$DY25,PRODUCE!$EB$31:$IY$31)</f>
        <v>0</v>
      </c>
      <c r="HN26" s="56"/>
      <c r="HO26" s="63">
        <f t="shared" si="72"/>
        <v>0</v>
      </c>
      <c r="HP26" s="63">
        <f t="shared" si="73"/>
        <v>0</v>
      </c>
      <c r="HQ26" s="56"/>
      <c r="HU26" s="55">
        <f t="shared" si="74"/>
        <v>46043</v>
      </c>
      <c r="HV26" s="56"/>
      <c r="HW26" s="242">
        <f>SUMPRODUCT(PRODUCE!$B25:$DY25,PRODUCE!$EB$32:$IY$32)</f>
        <v>0</v>
      </c>
      <c r="HX26" s="56"/>
      <c r="HY26" s="242">
        <f t="shared" si="75"/>
        <v>0</v>
      </c>
      <c r="HZ26" s="242">
        <f t="shared" si="76"/>
        <v>2800</v>
      </c>
      <c r="IA26" s="56"/>
      <c r="ID26" s="55">
        <f t="shared" si="77"/>
        <v>46043</v>
      </c>
      <c r="IE26" s="56"/>
      <c r="IF26" s="242">
        <f>SUMPRODUCT(PRODUCE!$B25:$DY25,PRODUCE!$EB$33:$IY$33)</f>
        <v>0</v>
      </c>
      <c r="IG26" s="56"/>
      <c r="IH26" s="242">
        <f t="shared" si="78"/>
        <v>0</v>
      </c>
      <c r="II26" s="242">
        <f t="shared" si="79"/>
        <v>5100</v>
      </c>
      <c r="IJ26" s="56"/>
      <c r="IM26" s="55">
        <f t="shared" si="80"/>
        <v>46043</v>
      </c>
      <c r="IN26" s="56"/>
      <c r="IO26" s="242">
        <f>SUMPRODUCT(PRODUCE!$B25:$DY25,PRODUCE!$EB$34:$IY$34)</f>
        <v>0</v>
      </c>
      <c r="IP26" s="56"/>
      <c r="IQ26" s="242">
        <f t="shared" si="81"/>
        <v>0</v>
      </c>
      <c r="IR26" s="242">
        <f t="shared" si="82"/>
        <v>15040</v>
      </c>
      <c r="IS26" s="56"/>
      <c r="IV26" s="55">
        <f t="shared" si="83"/>
        <v>46043</v>
      </c>
      <c r="IW26" s="56">
        <f>200*20</f>
        <v>4000</v>
      </c>
      <c r="IX26" s="242">
        <f>SUMPRODUCT(PRODUCE!$B25:$DY25,PRODUCE!$EB$35:$IY$35)</f>
        <v>360</v>
      </c>
      <c r="IY26" s="56"/>
      <c r="IZ26" s="242">
        <f t="shared" si="84"/>
        <v>360</v>
      </c>
      <c r="JA26" s="242">
        <f t="shared" si="85"/>
        <v>9120</v>
      </c>
      <c r="JB26" s="56"/>
      <c r="JE26" s="55">
        <f t="shared" si="86"/>
        <v>46043</v>
      </c>
      <c r="JF26" s="56"/>
      <c r="JG26" s="242">
        <f>SUMPRODUCT(PRODUCE!$B25:$DY25,PRODUCE!$EB$36:$IY$36)</f>
        <v>0</v>
      </c>
      <c r="JH26" s="56"/>
      <c r="JI26" s="242">
        <f t="shared" si="87"/>
        <v>0</v>
      </c>
      <c r="JJ26" s="242">
        <f t="shared" si="88"/>
        <v>6800</v>
      </c>
      <c r="JK26" s="56"/>
      <c r="JN26" s="55">
        <f t="shared" si="89"/>
        <v>46043</v>
      </c>
      <c r="JO26" s="56"/>
      <c r="JP26" s="242">
        <f>SUMPRODUCT(PRODUCE!$B25:$DY25,PRODUCE!$EB$37:$IY$37)</f>
        <v>0</v>
      </c>
      <c r="JQ26" s="56"/>
      <c r="JR26" s="242">
        <f t="shared" si="90"/>
        <v>0</v>
      </c>
      <c r="JS26" s="242">
        <f t="shared" si="91"/>
        <v>5400</v>
      </c>
      <c r="JT26" s="56"/>
      <c r="JW26" s="55">
        <f t="shared" si="92"/>
        <v>46043</v>
      </c>
      <c r="JX26" s="56"/>
      <c r="JY26" s="242">
        <f>SUMPRODUCT(PRODUCE!$B25:$DY25,PRODUCE!$EB$38:$IY$38)</f>
        <v>0</v>
      </c>
      <c r="JZ26" s="56"/>
      <c r="KA26" s="242">
        <f t="shared" si="93"/>
        <v>0</v>
      </c>
      <c r="KB26" s="242">
        <f t="shared" si="94"/>
        <v>0</v>
      </c>
      <c r="KC26" s="56"/>
      <c r="KF26" s="55">
        <f t="shared" si="95"/>
        <v>46043</v>
      </c>
      <c r="KG26" s="56"/>
      <c r="KH26" s="242">
        <f>SUMPRODUCT(PRODUCE!$B25:$DY25,PRODUCE!$EB$39:$IY$39)</f>
        <v>0</v>
      </c>
      <c r="KI26" s="56"/>
      <c r="KJ26" s="242">
        <f t="shared" si="96"/>
        <v>0</v>
      </c>
      <c r="KK26" s="242">
        <f t="shared" si="97"/>
        <v>0</v>
      </c>
      <c r="KL26" s="56"/>
      <c r="KO26" s="55">
        <f t="shared" si="98"/>
        <v>46043</v>
      </c>
      <c r="KP26" s="56"/>
      <c r="KQ26" s="242">
        <f>SUMPRODUCT(PRODUCE!$B25:$DY25,PRODUCE!$EB$40:$IY$40)</f>
        <v>0</v>
      </c>
      <c r="KR26" s="56"/>
      <c r="KS26" s="242">
        <f t="shared" si="99"/>
        <v>0</v>
      </c>
      <c r="KT26" s="242">
        <f t="shared" si="100"/>
        <v>0</v>
      </c>
      <c r="KU26" s="56"/>
      <c r="KW26" s="23"/>
      <c r="KX26" s="55">
        <f t="shared" si="101"/>
        <v>46043</v>
      </c>
      <c r="KY26" s="56"/>
      <c r="KZ26" s="242">
        <f>SUMPRODUCT(PRODUCE!$B25:$DY25,PRODUCE!$EB$41:$IY$41)</f>
        <v>0</v>
      </c>
      <c r="LA26" s="56"/>
      <c r="LB26" s="242">
        <f t="shared" si="102"/>
        <v>0</v>
      </c>
      <c r="LC26" s="242">
        <f t="shared" si="103"/>
        <v>0</v>
      </c>
      <c r="LD26" s="56"/>
      <c r="LG26" s="55">
        <f t="shared" si="104"/>
        <v>46043</v>
      </c>
      <c r="LH26" s="56"/>
      <c r="LI26" s="242">
        <f>SUMPRODUCT(PRODUCE!$B25:$DY25,PRODUCE!$EB$42:$IY$42)</f>
        <v>0</v>
      </c>
      <c r="LJ26" s="56"/>
      <c r="LK26" s="242">
        <f t="shared" si="105"/>
        <v>0</v>
      </c>
      <c r="LL26" s="242">
        <f t="shared" si="106"/>
        <v>0</v>
      </c>
      <c r="LM26" s="56"/>
      <c r="LP26" s="55">
        <f t="shared" si="107"/>
        <v>46043</v>
      </c>
      <c r="LQ26" s="56"/>
      <c r="LR26" s="242">
        <f>SUMPRODUCT(PRODUCE!$B25:$DY25,PRODUCE!$EB$43:$IY$43)</f>
        <v>0</v>
      </c>
      <c r="LS26" s="56"/>
      <c r="LT26" s="242">
        <f t="shared" si="108"/>
        <v>0</v>
      </c>
      <c r="LU26" s="242">
        <f t="shared" si="109"/>
        <v>0</v>
      </c>
      <c r="LV26" s="56"/>
      <c r="LY26" s="55">
        <f t="shared" si="110"/>
        <v>46043</v>
      </c>
      <c r="LZ26" s="56"/>
      <c r="MA26" s="242">
        <f>SUMPRODUCT(PRODUCE!$B25:$DY25,PRODUCE!$EB$44:$IY$44)</f>
        <v>0</v>
      </c>
      <c r="MB26" s="56"/>
      <c r="MC26" s="242">
        <f t="shared" si="111"/>
        <v>0</v>
      </c>
      <c r="MD26" s="242">
        <f t="shared" si="112"/>
        <v>0</v>
      </c>
      <c r="ME26" s="56"/>
      <c r="MH26" s="55">
        <f t="shared" si="113"/>
        <v>46043</v>
      </c>
      <c r="MI26" s="56"/>
      <c r="MJ26" s="242">
        <f>SUMPRODUCT(PRODUCE!$B25:$DY25,PRODUCE!$EB$45:$IY$45)</f>
        <v>0</v>
      </c>
      <c r="MK26" s="56"/>
      <c r="ML26" s="242">
        <f t="shared" si="114"/>
        <v>0</v>
      </c>
      <c r="MM26" s="242">
        <f t="shared" si="115"/>
        <v>0</v>
      </c>
      <c r="MN26" s="56"/>
      <c r="MQ26" s="55">
        <f t="shared" si="116"/>
        <v>46043</v>
      </c>
      <c r="MR26" s="56"/>
      <c r="MS26" s="242">
        <f>SUMPRODUCT(PRODUCE!$B25:$DY25,PRODUCE!$EB$46:$IY$46)</f>
        <v>7</v>
      </c>
      <c r="MT26" s="56"/>
      <c r="MU26" s="242">
        <f t="shared" si="117"/>
        <v>7</v>
      </c>
      <c r="MV26" s="242">
        <f t="shared" si="118"/>
        <v>1196</v>
      </c>
      <c r="MW26" s="56"/>
      <c r="MZ26" s="55">
        <f t="shared" si="119"/>
        <v>46043</v>
      </c>
      <c r="NA26" s="56"/>
      <c r="NB26" s="242">
        <f>SUMPRODUCT(PRODUCE!$B25:$DY25,PRODUCE!$EB$47:$IY$47)</f>
        <v>54</v>
      </c>
      <c r="NC26" s="56"/>
      <c r="ND26" s="242">
        <f t="shared" si="120"/>
        <v>54</v>
      </c>
      <c r="NE26" s="242">
        <f t="shared" si="121"/>
        <v>0</v>
      </c>
      <c r="NF26" s="56"/>
      <c r="NI26" s="55">
        <f t="shared" si="122"/>
        <v>46043</v>
      </c>
      <c r="NJ26" s="56"/>
      <c r="NK26" s="242">
        <f>SUMPRODUCT(PRODUCE!$B25:$DY25,PRODUCE!$EB$48:$IY$48)</f>
        <v>0</v>
      </c>
      <c r="NL26" s="56"/>
      <c r="NM26" s="242">
        <f t="shared" si="123"/>
        <v>0</v>
      </c>
      <c r="NN26" s="242">
        <f t="shared" si="124"/>
        <v>0</v>
      </c>
      <c r="NO26" s="56"/>
      <c r="NR26" s="55">
        <f t="shared" si="125"/>
        <v>46043</v>
      </c>
      <c r="NS26" s="56"/>
      <c r="NT26" s="242">
        <f>SUMPRODUCT(PRODUCE!$B25:$DY25,PRODUCE!$EB$49:$IY$49)</f>
        <v>0</v>
      </c>
      <c r="NU26" s="56"/>
      <c r="NV26" s="242">
        <f t="shared" si="126"/>
        <v>0</v>
      </c>
      <c r="NW26" s="242">
        <f t="shared" si="127"/>
        <v>0</v>
      </c>
      <c r="NX26" s="56"/>
      <c r="OA26" s="55">
        <f t="shared" si="128"/>
        <v>46043</v>
      </c>
      <c r="OB26" s="56"/>
      <c r="OC26" s="242">
        <f>SUMPRODUCT(PRODUCE!$B25:$DY25,PRODUCE!$EB$50:$IY$50)</f>
        <v>0</v>
      </c>
      <c r="OD26" s="56"/>
      <c r="OE26" s="242">
        <f t="shared" si="129"/>
        <v>0</v>
      </c>
      <c r="OF26" s="242">
        <f t="shared" si="130"/>
        <v>1680.5</v>
      </c>
      <c r="OG26" s="56"/>
      <c r="OJ26" s="55">
        <f t="shared" si="131"/>
        <v>46043</v>
      </c>
      <c r="OK26" s="56"/>
      <c r="OL26" s="242">
        <f>SUMPRODUCT(PRODUCE!$B25:$DY25,PRODUCE!$EB$51:$IY$51)</f>
        <v>0</v>
      </c>
      <c r="OM26" s="56"/>
      <c r="ON26" s="242">
        <f t="shared" si="132"/>
        <v>0</v>
      </c>
      <c r="OO26" s="242">
        <f t="shared" si="133"/>
        <v>0</v>
      </c>
      <c r="OP26" s="56"/>
      <c r="OS26" s="55">
        <f t="shared" si="134"/>
        <v>46043</v>
      </c>
      <c r="OT26" s="56"/>
      <c r="OU26" s="242">
        <f>SUMPRODUCT(PRODUCE!$B25:$DY25,PRODUCE!$EB$52:$IY$52)</f>
        <v>0</v>
      </c>
      <c r="OV26" s="56"/>
      <c r="OW26" s="242">
        <f t="shared" si="135"/>
        <v>0</v>
      </c>
      <c r="OX26" s="242">
        <f t="shared" si="136"/>
        <v>67</v>
      </c>
      <c r="OY26" s="56"/>
      <c r="PB26" s="55">
        <f t="shared" si="137"/>
        <v>46043</v>
      </c>
      <c r="PC26" s="56"/>
      <c r="PD26" s="242">
        <f>SUMPRODUCT(PRODUCE!$B25:$DY25,PRODUCE!$EB$53:$IY$53)</f>
        <v>0</v>
      </c>
      <c r="PE26" s="56"/>
      <c r="PF26" s="242">
        <f t="shared" si="138"/>
        <v>0</v>
      </c>
      <c r="PG26" s="242">
        <f t="shared" si="139"/>
        <v>0</v>
      </c>
      <c r="PH26" s="56"/>
      <c r="PK26" s="55">
        <f t="shared" si="140"/>
        <v>46043</v>
      </c>
      <c r="PL26" s="56"/>
      <c r="PM26" s="242">
        <f>SUMPRODUCT(PRODUCE!$B25:$DY25,PRODUCE!$EB$54:$IY$54)</f>
        <v>0</v>
      </c>
      <c r="PN26" s="56"/>
      <c r="PO26" s="242">
        <f t="shared" si="141"/>
        <v>0</v>
      </c>
      <c r="PP26" s="242">
        <f t="shared" si="142"/>
        <v>160</v>
      </c>
      <c r="PQ26" s="56"/>
      <c r="PT26" s="55">
        <f t="shared" si="143"/>
        <v>46043</v>
      </c>
      <c r="PU26" s="56"/>
      <c r="PV26" s="242">
        <f>SUMPRODUCT(PRODUCE!$B25:$DY25,PRODUCE!$EB$55:$IY$55)</f>
        <v>0</v>
      </c>
      <c r="PW26" s="56"/>
      <c r="PX26" s="242">
        <f t="shared" si="144"/>
        <v>0</v>
      </c>
      <c r="PY26" s="242">
        <f t="shared" si="145"/>
        <v>13.960000000000036</v>
      </c>
      <c r="PZ26" s="56"/>
      <c r="QC26" s="55">
        <f t="shared" si="146"/>
        <v>46043</v>
      </c>
      <c r="QD26" s="56"/>
      <c r="QE26" s="242">
        <f>SUMPRODUCT(PRODUCE!$B25:$DY25,PRODUCE!$EB$56:$IY$56)</f>
        <v>0</v>
      </c>
      <c r="QF26" s="56"/>
      <c r="QG26" s="242">
        <f t="shared" si="147"/>
        <v>0</v>
      </c>
      <c r="QH26" s="242">
        <f t="shared" si="148"/>
        <v>0</v>
      </c>
      <c r="QI26" s="56"/>
      <c r="QL26" s="55">
        <f t="shared" si="149"/>
        <v>46043</v>
      </c>
      <c r="QM26" s="56"/>
      <c r="QN26" s="242">
        <f>SUMPRODUCT(PRODUCE!$B25:$DY25,PRODUCE!$EB$57:$IY$57)</f>
        <v>0</v>
      </c>
      <c r="QO26" s="56"/>
      <c r="QP26" s="242">
        <f t="shared" si="150"/>
        <v>0</v>
      </c>
      <c r="QQ26" s="242">
        <f t="shared" si="151"/>
        <v>0</v>
      </c>
      <c r="QR26" s="56"/>
      <c r="QU26" s="55">
        <f t="shared" si="152"/>
        <v>46043</v>
      </c>
      <c r="QV26" s="56"/>
      <c r="QW26" s="242">
        <f>SUMPRODUCT(PRODUCE!$B25:$DY25,PRODUCE!$EB$57:$IY$57)</f>
        <v>0</v>
      </c>
      <c r="QX26" s="56"/>
      <c r="QY26" s="242">
        <f t="shared" si="153"/>
        <v>0</v>
      </c>
      <c r="QZ26" s="242">
        <f t="shared" si="154"/>
        <v>207.6</v>
      </c>
      <c r="RA26" s="56"/>
      <c r="RD26" s="55">
        <f t="shared" si="155"/>
        <v>46043</v>
      </c>
      <c r="RE26" s="56"/>
      <c r="RF26" s="242">
        <f>SUMPRODUCT(PRODUCE!$B25:$DY25,PRODUCE!$EB$58:$IY$58)</f>
        <v>0</v>
      </c>
      <c r="RG26" s="56"/>
      <c r="RH26" s="242">
        <f t="shared" si="156"/>
        <v>0</v>
      </c>
      <c r="RI26" s="242">
        <f t="shared" si="157"/>
        <v>201.8</v>
      </c>
      <c r="RJ26" s="56"/>
      <c r="RM26" s="55">
        <f t="shared" si="158"/>
        <v>46043</v>
      </c>
      <c r="RN26" s="56"/>
      <c r="RO26" s="242">
        <f>SUMPRODUCT(PRODUCE!$B25:$DY25,PRODUCE!$EB$59:$IY$59)</f>
        <v>0</v>
      </c>
      <c r="RP26" s="56"/>
      <c r="RQ26" s="242">
        <f t="shared" si="159"/>
        <v>0</v>
      </c>
      <c r="RR26" s="242">
        <f t="shared" si="160"/>
        <v>22.720000000000002</v>
      </c>
      <c r="RS26" s="56"/>
      <c r="RV26" s="55">
        <f t="shared" si="161"/>
        <v>46043</v>
      </c>
      <c r="RW26" s="56"/>
      <c r="RX26" s="242">
        <f>SUMPRODUCT(PRODUCE!$B25:$DY25,PRODUCE!$EB$57:$IY$57)</f>
        <v>0</v>
      </c>
      <c r="RY26" s="56"/>
      <c r="RZ26" s="242">
        <f t="shared" si="162"/>
        <v>0</v>
      </c>
      <c r="SA26" s="242">
        <f t="shared" si="163"/>
        <v>0</v>
      </c>
      <c r="SB26" s="56"/>
      <c r="SE26" s="55">
        <f t="shared" si="164"/>
        <v>46043</v>
      </c>
      <c r="SF26" s="56"/>
      <c r="SG26" s="242">
        <f>SUMPRODUCT(PRODUCE!$B25:$DY25,PRODUCE!$EB$61:$IY$61)</f>
        <v>0</v>
      </c>
      <c r="SH26" s="56"/>
      <c r="SI26" s="242">
        <f t="shared" si="165"/>
        <v>0</v>
      </c>
      <c r="SJ26" s="242">
        <f t="shared" si="166"/>
        <v>0</v>
      </c>
      <c r="SK26" s="56"/>
      <c r="SN26" s="55">
        <f t="shared" si="167"/>
        <v>46043</v>
      </c>
      <c r="SO26" s="56"/>
      <c r="SP26" s="242">
        <f>SUMPRODUCT(PRODUCE!$B25:$DY25,PRODUCE!$EB$57:$IY$57)</f>
        <v>0</v>
      </c>
      <c r="SQ26" s="56"/>
      <c r="SR26" s="242">
        <f t="shared" si="168"/>
        <v>0</v>
      </c>
      <c r="SS26" s="242">
        <f t="shared" si="169"/>
        <v>0</v>
      </c>
      <c r="ST26" s="56"/>
      <c r="SW26" s="55">
        <f t="shared" si="170"/>
        <v>46043</v>
      </c>
      <c r="SX26" s="56"/>
      <c r="SY26" s="242">
        <f>SUMPRODUCT(PRODUCE!$B25:$DY25,PRODUCE!$EB$57:$IY$57)</f>
        <v>0</v>
      </c>
      <c r="SZ26" s="56"/>
      <c r="TA26" s="242">
        <f t="shared" si="171"/>
        <v>0</v>
      </c>
      <c r="TB26" s="242">
        <f t="shared" si="172"/>
        <v>0</v>
      </c>
      <c r="TC26" s="56"/>
      <c r="TF26" s="55">
        <f t="shared" si="173"/>
        <v>46043</v>
      </c>
      <c r="TG26" s="56"/>
      <c r="TH26" s="242">
        <f>SUMPRODUCT(PRODUCE!$B25:$DY25,PRODUCE!$EB$57:$IY$57)</f>
        <v>0</v>
      </c>
      <c r="TI26" s="56"/>
      <c r="TJ26" s="242">
        <f t="shared" si="174"/>
        <v>0</v>
      </c>
      <c r="TK26" s="242">
        <f t="shared" si="175"/>
        <v>0</v>
      </c>
      <c r="TL26" s="56"/>
      <c r="TO26" s="55">
        <f t="shared" si="176"/>
        <v>46043</v>
      </c>
      <c r="TP26" s="56"/>
      <c r="TQ26" s="242">
        <f>SUMPRODUCT(PRODUCE!$B25:$DY25,PRODUCE!$EB$57:$IY$57)</f>
        <v>0</v>
      </c>
      <c r="TR26" s="56"/>
      <c r="TS26" s="242">
        <f t="shared" si="177"/>
        <v>0</v>
      </c>
      <c r="TT26" s="242">
        <f t="shared" si="178"/>
        <v>0</v>
      </c>
      <c r="TU26" s="56"/>
      <c r="TX26" s="55">
        <f t="shared" si="179"/>
        <v>46043</v>
      </c>
      <c r="TY26" s="56"/>
      <c r="TZ26" s="242">
        <f>SUMPRODUCT(PRODUCE!$B25:$DY25,PRODUCE!$EB$57:$IY$57)</f>
        <v>0</v>
      </c>
      <c r="UA26" s="56"/>
      <c r="UB26" s="242">
        <f t="shared" si="180"/>
        <v>0</v>
      </c>
      <c r="UC26" s="242">
        <f t="shared" si="181"/>
        <v>0</v>
      </c>
      <c r="UD26" s="56"/>
      <c r="UG26" s="55">
        <f t="shared" si="182"/>
        <v>46043</v>
      </c>
      <c r="UH26" s="56"/>
      <c r="UI26" s="242">
        <f>SUMPRODUCT(PRODUCE!$B25:$DY25,PRODUCE!$EB$57:$IY$57)</f>
        <v>0</v>
      </c>
      <c r="UJ26" s="56"/>
      <c r="UK26" s="242">
        <f t="shared" si="183"/>
        <v>0</v>
      </c>
      <c r="UL26" s="242">
        <f t="shared" si="184"/>
        <v>0</v>
      </c>
      <c r="UM26" s="56"/>
      <c r="UP26" s="55">
        <f t="shared" si="185"/>
        <v>46043</v>
      </c>
      <c r="UQ26" s="56"/>
      <c r="UR26" s="242">
        <f>SUMPRODUCT(PRODUCE!$B25:$DY25,PRODUCE!$EB$57:$IY$57)</f>
        <v>0</v>
      </c>
      <c r="US26" s="56"/>
      <c r="UT26" s="242">
        <f t="shared" si="186"/>
        <v>0</v>
      </c>
      <c r="UU26" s="242">
        <f t="shared" si="187"/>
        <v>0</v>
      </c>
      <c r="UV26" s="56"/>
      <c r="UY26" s="55">
        <f t="shared" si="188"/>
        <v>46043</v>
      </c>
      <c r="UZ26" s="56"/>
      <c r="VA26" s="242">
        <f>SUMPRODUCT(PRODUCE!$B25:$DY25,PRODUCE!$EB$57:$IY$57)</f>
        <v>0</v>
      </c>
      <c r="VB26" s="56"/>
      <c r="VC26" s="242">
        <f t="shared" si="189"/>
        <v>0</v>
      </c>
      <c r="VD26" s="242">
        <f t="shared" si="190"/>
        <v>-319.59999999999997</v>
      </c>
      <c r="VE26" s="56"/>
      <c r="VH26" s="55">
        <f t="shared" si="191"/>
        <v>46043</v>
      </c>
      <c r="VI26" s="56"/>
      <c r="VJ26" s="242">
        <f>SUMPRODUCT(PRODUCE!$B25:$DY25,PRODUCE!$EB$57:$IY$57)</f>
        <v>0</v>
      </c>
      <c r="VK26" s="56"/>
      <c r="VL26" s="242">
        <f t="shared" si="192"/>
        <v>0</v>
      </c>
      <c r="VM26" s="242">
        <f t="shared" si="193"/>
        <v>0</v>
      </c>
      <c r="VN26" s="56"/>
      <c r="VQ26" s="55">
        <f t="shared" si="194"/>
        <v>46043</v>
      </c>
      <c r="VR26" s="56"/>
      <c r="VS26" s="242">
        <f>SUMPRODUCT(PRODUCE!$B25:$DY25,PRODUCE!$EB$57:$IY$57)</f>
        <v>0</v>
      </c>
      <c r="VT26" s="56"/>
      <c r="VU26" s="242">
        <f t="shared" si="195"/>
        <v>0</v>
      </c>
      <c r="VV26" s="242">
        <f t="shared" si="196"/>
        <v>0</v>
      </c>
      <c r="VW26" s="56"/>
      <c r="VZ26" s="55">
        <f t="shared" si="197"/>
        <v>46043</v>
      </c>
      <c r="WA26" s="56"/>
      <c r="WB26" s="242">
        <f>SUMPRODUCT(PRODUCE!$B25:$DY25,PRODUCE!$EB$57:$IY$57)</f>
        <v>0</v>
      </c>
      <c r="WC26" s="56"/>
      <c r="WD26" s="242">
        <f t="shared" si="198"/>
        <v>0</v>
      </c>
      <c r="WE26" s="242">
        <f t="shared" si="199"/>
        <v>0</v>
      </c>
      <c r="WF26" s="56"/>
      <c r="WI26" s="55">
        <f t="shared" si="200"/>
        <v>46043</v>
      </c>
      <c r="WJ26" s="56">
        <v>4063</v>
      </c>
      <c r="WK26" s="242">
        <f>SUMPRODUCT(PRODUCE!$B25:$DY25,PRODUCE!$EB$57:$IY$57)</f>
        <v>0</v>
      </c>
      <c r="WL26" s="56"/>
      <c r="WM26" s="242">
        <f t="shared" si="201"/>
        <v>0</v>
      </c>
      <c r="WN26" s="242">
        <f t="shared" si="202"/>
        <v>9940</v>
      </c>
      <c r="WO26" s="56"/>
      <c r="WR26" s="55">
        <f t="shared" si="203"/>
        <v>46043</v>
      </c>
      <c r="WS26" s="56">
        <v>2882</v>
      </c>
      <c r="WT26" s="242">
        <f>SUMPRODUCT(PRODUCE!$B25:$DY25,PRODUCE!$EB$57:$IY$57)</f>
        <v>0</v>
      </c>
      <c r="WU26" s="56"/>
      <c r="WV26" s="242">
        <f t="shared" si="204"/>
        <v>0</v>
      </c>
      <c r="WW26" s="242">
        <f t="shared" si="205"/>
        <v>8149</v>
      </c>
      <c r="WX26" s="56"/>
      <c r="XA26" s="55">
        <f t="shared" si="206"/>
        <v>46043</v>
      </c>
      <c r="XB26" s="56">
        <v>4347</v>
      </c>
      <c r="XC26" s="242">
        <f>SUMPRODUCT(PRODUCE!$B25:$DY25,PRODUCE!$EB$57:$IY$57)</f>
        <v>0</v>
      </c>
      <c r="XD26" s="56">
        <v>216</v>
      </c>
      <c r="XE26" s="242">
        <f t="shared" si="207"/>
        <v>-216</v>
      </c>
      <c r="XF26" s="242">
        <f t="shared" si="208"/>
        <v>3254</v>
      </c>
      <c r="XG26" s="56"/>
      <c r="XJ26" s="55">
        <f t="shared" si="209"/>
        <v>46043</v>
      </c>
      <c r="XK26" s="56">
        <v>3000</v>
      </c>
      <c r="XL26" s="242">
        <f>SUMPRODUCT(PRODUCE!$B25:$DY25,PRODUCE!$EB$57:$IY$57)</f>
        <v>0</v>
      </c>
      <c r="XM26" s="56">
        <v>365</v>
      </c>
      <c r="XN26" s="242">
        <f t="shared" si="210"/>
        <v>-365</v>
      </c>
      <c r="XO26" s="242">
        <f t="shared" si="211"/>
        <v>7909</v>
      </c>
      <c r="XP26" s="56"/>
      <c r="XS26" s="55">
        <f t="shared" si="212"/>
        <v>46043</v>
      </c>
      <c r="XT26" s="56"/>
      <c r="XU26" s="242">
        <f>SUMPRODUCT(PRODUCE!$B25:$DY25,PRODUCE!$EB$57:$IY$57)</f>
        <v>0</v>
      </c>
      <c r="XV26" s="56"/>
      <c r="XW26" s="242">
        <f t="shared" si="213"/>
        <v>0</v>
      </c>
      <c r="XX26" s="242">
        <f t="shared" si="214"/>
        <v>1901</v>
      </c>
      <c r="XY26" s="56"/>
      <c r="YB26" s="55">
        <f t="shared" si="215"/>
        <v>46043</v>
      </c>
      <c r="YC26" s="56"/>
      <c r="YD26" s="242">
        <f>SUMPRODUCT(PRODUCE!$B25:$DY25,PRODUCE!$EB$57:$IY$57)</f>
        <v>0</v>
      </c>
      <c r="YE26" s="56"/>
      <c r="YF26" s="242">
        <f t="shared" si="216"/>
        <v>0</v>
      </c>
      <c r="YG26" s="242">
        <f t="shared" si="217"/>
        <v>2671</v>
      </c>
      <c r="YH26" s="56"/>
      <c r="YK26" s="55">
        <f t="shared" si="218"/>
        <v>46043</v>
      </c>
      <c r="YL26" s="56"/>
      <c r="YM26" s="242">
        <f>SUMPRODUCT(PRODUCE!$B25:$DY25,PRODUCE!$EB$57:$IY$57)</f>
        <v>0</v>
      </c>
      <c r="YN26" s="56"/>
      <c r="YO26" s="242">
        <f t="shared" si="219"/>
        <v>0</v>
      </c>
      <c r="YP26" s="242">
        <f t="shared" si="220"/>
        <v>0</v>
      </c>
      <c r="YQ26" s="56"/>
      <c r="YT26" s="55">
        <f t="shared" si="221"/>
        <v>46043</v>
      </c>
      <c r="YU26" s="56"/>
      <c r="YV26" s="242">
        <f>SUMPRODUCT(PRODUCE!$B25:$DY25,PRODUCE!$EB$57:$IY$57)</f>
        <v>0</v>
      </c>
      <c r="YW26" s="56"/>
      <c r="YX26" s="242">
        <f t="shared" si="222"/>
        <v>0</v>
      </c>
      <c r="YY26" s="242">
        <f t="shared" si="223"/>
        <v>0</v>
      </c>
      <c r="YZ26" s="56"/>
      <c r="ZC26" s="55">
        <f t="shared" si="224"/>
        <v>46043</v>
      </c>
      <c r="ZD26" s="56"/>
      <c r="ZE26" s="242">
        <f>SUMPRODUCT(PRODUCE!$B25:$DY25,PRODUCE!$EB$57:$IY$57)</f>
        <v>0</v>
      </c>
      <c r="ZF26" s="56"/>
      <c r="ZG26" s="242">
        <f t="shared" si="225"/>
        <v>0</v>
      </c>
      <c r="ZH26" s="242">
        <f t="shared" si="226"/>
        <v>0</v>
      </c>
      <c r="ZI26" s="56"/>
      <c r="ZL26" s="55">
        <f t="shared" si="227"/>
        <v>46043</v>
      </c>
      <c r="ZM26" s="56"/>
      <c r="ZN26" s="242">
        <f>SUMPRODUCT(PRODUCE!$B25:$DY25,PRODUCE!$EB$57:$IY$57)</f>
        <v>0</v>
      </c>
      <c r="ZO26" s="56"/>
      <c r="ZP26" s="242">
        <f t="shared" si="228"/>
        <v>0</v>
      </c>
      <c r="ZQ26" s="242">
        <f t="shared" si="229"/>
        <v>0</v>
      </c>
      <c r="ZR26" s="56"/>
      <c r="ZU26" s="55">
        <f t="shared" si="230"/>
        <v>46043</v>
      </c>
      <c r="ZV26" s="56"/>
      <c r="ZW26" s="242">
        <f>SUMPRODUCT(PRODUCE!$B25:$DY25,PRODUCE!$EB$57:$IY$57)</f>
        <v>0</v>
      </c>
      <c r="ZX26" s="56"/>
      <c r="ZY26" s="242">
        <f t="shared" si="231"/>
        <v>0</v>
      </c>
      <c r="ZZ26" s="242">
        <f t="shared" si="232"/>
        <v>0</v>
      </c>
      <c r="AAA26" s="56"/>
      <c r="AAD26" s="55">
        <f t="shared" si="233"/>
        <v>46043</v>
      </c>
      <c r="AAE26" s="56"/>
      <c r="AAF26" s="242">
        <f>SUMPRODUCT(PRODUCE!$B25:$DY25,PRODUCE!$EB$57:$IY$57)</f>
        <v>0</v>
      </c>
      <c r="AAG26" s="56"/>
      <c r="AAH26" s="242">
        <f t="shared" si="234"/>
        <v>0</v>
      </c>
      <c r="AAI26" s="242">
        <f t="shared" si="235"/>
        <v>0</v>
      </c>
      <c r="AAJ26" s="56"/>
      <c r="AAM26" s="55">
        <f t="shared" si="236"/>
        <v>46043</v>
      </c>
      <c r="AAN26" s="56"/>
      <c r="AAO26" s="242">
        <f>SUMPRODUCT(PRODUCE!$B25:$DY25,PRODUCE!$EB$57:$IY$57)</f>
        <v>0</v>
      </c>
      <c r="AAP26" s="56"/>
      <c r="AAQ26" s="242">
        <f t="shared" si="237"/>
        <v>0</v>
      </c>
      <c r="AAR26" s="242">
        <f t="shared" si="238"/>
        <v>0</v>
      </c>
      <c r="AAS26" s="56"/>
      <c r="AAV26" s="55">
        <f t="shared" si="239"/>
        <v>46043</v>
      </c>
      <c r="AAW26" s="56"/>
      <c r="AAX26" s="242">
        <f>SUMPRODUCT(PRODUCE!$B25:$DY25,PRODUCE!$EB$57:$IY$57)</f>
        <v>0</v>
      </c>
      <c r="AAY26" s="56"/>
      <c r="AAZ26" s="242">
        <f t="shared" si="240"/>
        <v>0</v>
      </c>
      <c r="ABA26" s="242">
        <f t="shared" si="241"/>
        <v>0</v>
      </c>
      <c r="ABB26" s="56"/>
      <c r="ABE26" s="55">
        <f t="shared" si="242"/>
        <v>46043</v>
      </c>
      <c r="ABF26" s="56"/>
      <c r="ABG26" s="242">
        <f>SUMPRODUCT(PRODUCE!$B25:$DY25,PRODUCE!$EB$57:$IY$57)</f>
        <v>0</v>
      </c>
      <c r="ABH26" s="56"/>
      <c r="ABI26" s="242">
        <f t="shared" si="243"/>
        <v>0</v>
      </c>
      <c r="ABJ26" s="242">
        <f t="shared" si="244"/>
        <v>0</v>
      </c>
      <c r="ABK26" s="56"/>
    </row>
    <row r="27" spans="2:739" s="54" customFormat="1" ht="15" customHeight="1" outlineLevel="1">
      <c r="B27" s="478">
        <v>40</v>
      </c>
      <c r="C27" s="55">
        <v>46044</v>
      </c>
      <c r="D27" s="422">
        <v>55540</v>
      </c>
      <c r="E27" s="423">
        <f>SUMPRODUCT(PRODUCE!$B26:$DY26,PRODUCE!$EB$7:$IY$7)</f>
        <v>21500</v>
      </c>
      <c r="F27" s="422">
        <v>21498.799999999999</v>
      </c>
      <c r="G27" s="423">
        <f t="shared" si="2"/>
        <v>1.2000000000007276</v>
      </c>
      <c r="H27" s="423">
        <f t="shared" si="0"/>
        <v>72458.599999999991</v>
      </c>
      <c r="I27" s="289" t="s">
        <v>180</v>
      </c>
      <c r="L27" s="55">
        <f t="shared" si="1"/>
        <v>46044</v>
      </c>
      <c r="M27" s="422"/>
      <c r="N27" s="438">
        <f>SUMPRODUCT(PRODUCE!$B26:$DY26,PRODUCE!$EB$8:$IY$8)</f>
        <v>11159.999999999998</v>
      </c>
      <c r="O27" s="422">
        <v>11162.8</v>
      </c>
      <c r="P27" s="438">
        <f t="shared" si="3"/>
        <v>-2.8000000000010914</v>
      </c>
      <c r="Q27" s="438">
        <f t="shared" si="4"/>
        <v>77669</v>
      </c>
      <c r="R27" s="56"/>
      <c r="U27" s="55">
        <f t="shared" si="5"/>
        <v>46044</v>
      </c>
      <c r="V27" s="422"/>
      <c r="W27" s="440">
        <f>SUMPRODUCT(PRODUCE!$B26:$DY26,PRODUCE!$EB$9:$IY$9)</f>
        <v>2000</v>
      </c>
      <c r="X27" s="422">
        <v>2000.5</v>
      </c>
      <c r="Y27" s="440">
        <f t="shared" si="6"/>
        <v>-0.5</v>
      </c>
      <c r="Z27" s="440">
        <f t="shared" si="7"/>
        <v>40330.299999999981</v>
      </c>
      <c r="AA27" s="56"/>
      <c r="AD27" s="55">
        <f t="shared" si="8"/>
        <v>46044</v>
      </c>
      <c r="AE27" s="422"/>
      <c r="AF27" s="442">
        <f>SUMPRODUCT(PRODUCE!$B26:$DY26,PRODUCE!$EB$10:$IY$10)</f>
        <v>2000</v>
      </c>
      <c r="AG27" s="422">
        <v>1999.8</v>
      </c>
      <c r="AH27" s="442">
        <f t="shared" si="9"/>
        <v>0.20000000000004547</v>
      </c>
      <c r="AI27" s="442">
        <f t="shared" si="10"/>
        <v>42880.800000000003</v>
      </c>
      <c r="AJ27" s="56"/>
      <c r="AM27" s="55">
        <f t="shared" si="11"/>
        <v>46044</v>
      </c>
      <c r="AN27" s="422"/>
      <c r="AO27" s="444">
        <f>SUMPRODUCT(PRODUCE!$B26:$DY26,PRODUCE!$EB$11:$IY$11)</f>
        <v>0</v>
      </c>
      <c r="AP27" s="422"/>
      <c r="AQ27" s="444">
        <f t="shared" si="12"/>
        <v>0</v>
      </c>
      <c r="AR27" s="444">
        <f t="shared" si="13"/>
        <v>0</v>
      </c>
      <c r="AS27" s="56"/>
      <c r="AV27" s="55">
        <f t="shared" si="14"/>
        <v>46044</v>
      </c>
      <c r="AW27" s="422"/>
      <c r="AX27" s="446">
        <f>SUMPRODUCT(PRODUCE!$B26:$DY26,PRODUCE!$EB$12:$IY$12)</f>
        <v>800</v>
      </c>
      <c r="AY27" s="422">
        <v>800.8</v>
      </c>
      <c r="AZ27" s="446">
        <f t="shared" si="15"/>
        <v>-0.79999999999995453</v>
      </c>
      <c r="BA27" s="446">
        <f t="shared" si="16"/>
        <v>40589.799999999988</v>
      </c>
      <c r="BB27" s="56"/>
      <c r="BE27" s="55">
        <f t="shared" si="17"/>
        <v>46044</v>
      </c>
      <c r="BF27" s="422"/>
      <c r="BG27" s="448">
        <f>SUMPRODUCT(PRODUCE!$B26:$DY26,PRODUCE!$EB$13:$IY$13)</f>
        <v>800</v>
      </c>
      <c r="BH27" s="422">
        <v>796.5</v>
      </c>
      <c r="BI27" s="448">
        <f t="shared" si="18"/>
        <v>3.5</v>
      </c>
      <c r="BJ27" s="448">
        <f t="shared" si="19"/>
        <v>28004.30000000001</v>
      </c>
      <c r="BK27" s="56"/>
      <c r="BN27" s="55">
        <f t="shared" si="20"/>
        <v>46044</v>
      </c>
      <c r="BO27" s="422">
        <v>800</v>
      </c>
      <c r="BP27" s="450">
        <f>SUMPRODUCT(PRODUCE!$B26:$DY26,PRODUCE!$EB$14:$IY$14)</f>
        <v>800</v>
      </c>
      <c r="BQ27" s="422">
        <v>800</v>
      </c>
      <c r="BR27" s="450">
        <f t="shared" si="21"/>
        <v>0</v>
      </c>
      <c r="BS27" s="450">
        <f t="shared" si="22"/>
        <v>0</v>
      </c>
      <c r="BT27" s="56"/>
      <c r="BW27" s="55">
        <f t="shared" si="23"/>
        <v>46044</v>
      </c>
      <c r="BX27" s="56"/>
      <c r="BY27" s="65">
        <f>SUMPRODUCT(PRODUCE!$B26:$DY26,PRODUCE!$EB$15:$IY$15)</f>
        <v>0</v>
      </c>
      <c r="BZ27" s="56"/>
      <c r="CA27" s="65">
        <f t="shared" si="24"/>
        <v>0</v>
      </c>
      <c r="CB27" s="65">
        <f t="shared" si="25"/>
        <v>3386.5</v>
      </c>
      <c r="CC27" s="56"/>
      <c r="CF27" s="55">
        <f t="shared" si="26"/>
        <v>46044</v>
      </c>
      <c r="CG27" s="56"/>
      <c r="CH27" s="66">
        <f>SUMPRODUCT(PRODUCE!$B26:$DY26,PRODUCE!$EB$16:$IY$16)</f>
        <v>0</v>
      </c>
      <c r="CI27" s="56"/>
      <c r="CJ27" s="66">
        <f t="shared" si="27"/>
        <v>0</v>
      </c>
      <c r="CK27" s="66">
        <f t="shared" si="28"/>
        <v>0</v>
      </c>
      <c r="CL27" s="56"/>
      <c r="CO27" s="55">
        <f t="shared" si="29"/>
        <v>46044</v>
      </c>
      <c r="CP27" s="422"/>
      <c r="CQ27" s="470">
        <f>SUMPRODUCT(PRODUCE!$B26:$DY26,PRODUCE!$EB$17:$IY$17)</f>
        <v>0</v>
      </c>
      <c r="CR27" s="422"/>
      <c r="CS27" s="470">
        <f t="shared" si="30"/>
        <v>0</v>
      </c>
      <c r="CT27" s="470">
        <f t="shared" si="31"/>
        <v>0</v>
      </c>
      <c r="CU27" s="56"/>
      <c r="CX27" s="55">
        <f t="shared" si="32"/>
        <v>46044</v>
      </c>
      <c r="CY27" s="56"/>
      <c r="CZ27" s="133">
        <f>SUMPRODUCT(PRODUCE!$B26:$DY26,PRODUCE!$EB$18:$IY$18)</f>
        <v>0</v>
      </c>
      <c r="DA27" s="56"/>
      <c r="DB27" s="133">
        <f t="shared" si="33"/>
        <v>0</v>
      </c>
      <c r="DC27" s="133">
        <f t="shared" si="34"/>
        <v>0</v>
      </c>
      <c r="DD27" s="56"/>
      <c r="DG27" s="55">
        <f t="shared" si="35"/>
        <v>46044</v>
      </c>
      <c r="DH27" s="56"/>
      <c r="DI27" s="147">
        <f>SUMPRODUCT(PRODUCE!$B26:$DY26,PRODUCE!$EB$19:$IY$19)</f>
        <v>0</v>
      </c>
      <c r="DJ27" s="56"/>
      <c r="DK27" s="147">
        <f t="shared" si="36"/>
        <v>0</v>
      </c>
      <c r="DL27" s="147">
        <f t="shared" si="37"/>
        <v>23572.799999999996</v>
      </c>
      <c r="DM27" s="56"/>
      <c r="DP27" s="55">
        <f t="shared" si="38"/>
        <v>46044</v>
      </c>
      <c r="DQ27" s="56"/>
      <c r="DR27" s="57">
        <f>SUMPRODUCT(PRODUCE!$B26:$DY26,PRODUCE!$EB$20:$IY$20)</f>
        <v>0</v>
      </c>
      <c r="DS27" s="56"/>
      <c r="DT27" s="57">
        <f t="shared" si="39"/>
        <v>0</v>
      </c>
      <c r="DU27" s="57">
        <f t="shared" si="40"/>
        <v>0</v>
      </c>
      <c r="DV27" s="56"/>
      <c r="DY27" s="55">
        <f t="shared" si="41"/>
        <v>46044</v>
      </c>
      <c r="DZ27" s="56"/>
      <c r="EA27" s="157">
        <f>SUMPRODUCT(PRODUCE!$B26:$DY26,PRODUCE!$EB$21:$IY$21)</f>
        <v>0</v>
      </c>
      <c r="EB27" s="56"/>
      <c r="EC27" s="157">
        <f t="shared" si="42"/>
        <v>0</v>
      </c>
      <c r="ED27" s="157">
        <f t="shared" si="43"/>
        <v>0</v>
      </c>
      <c r="EE27" s="56"/>
      <c r="EH27" s="55">
        <f t="shared" si="44"/>
        <v>46044</v>
      </c>
      <c r="EI27" s="56"/>
      <c r="EJ27" s="162">
        <f>SUMPRODUCT(PRODUCE!$B26:$DY26,PRODUCE!$EB$22:$IY$22)</f>
        <v>0</v>
      </c>
      <c r="EK27" s="56"/>
      <c r="EL27" s="162">
        <f t="shared" si="45"/>
        <v>0</v>
      </c>
      <c r="EM27" s="162">
        <f t="shared" si="46"/>
        <v>0</v>
      </c>
      <c r="EN27" s="56"/>
      <c r="EQ27" s="55">
        <f t="shared" si="47"/>
        <v>46044</v>
      </c>
      <c r="ER27" s="56"/>
      <c r="ES27" s="135">
        <f>SUMPRODUCT(PRODUCE!$B26:$DY26,PRODUCE!$EB$23:$IY$23)</f>
        <v>0</v>
      </c>
      <c r="ET27" s="56"/>
      <c r="EU27" s="135">
        <f t="shared" si="48"/>
        <v>0</v>
      </c>
      <c r="EV27" s="135">
        <f t="shared" si="49"/>
        <v>0</v>
      </c>
      <c r="EW27" s="56"/>
      <c r="EZ27" s="55">
        <f t="shared" si="50"/>
        <v>46044</v>
      </c>
      <c r="FA27" s="56"/>
      <c r="FB27" s="175">
        <f>SUMPRODUCT(PRODUCE!$B26:$DY26,PRODUCE!$EB$24:$IY$24)</f>
        <v>0</v>
      </c>
      <c r="FC27" s="56"/>
      <c r="FD27" s="175">
        <f t="shared" si="51"/>
        <v>0</v>
      </c>
      <c r="FE27" s="175">
        <f t="shared" si="52"/>
        <v>0</v>
      </c>
      <c r="FF27" s="56"/>
      <c r="FI27" s="55">
        <f t="shared" si="53"/>
        <v>46044</v>
      </c>
      <c r="FJ27" s="56"/>
      <c r="FK27" s="183">
        <f>SUMPRODUCT(PRODUCE!$B26:$DY26,PRODUCE!$EB$25:$IY$25)</f>
        <v>0</v>
      </c>
      <c r="FL27" s="56"/>
      <c r="FM27" s="183">
        <f t="shared" si="54"/>
        <v>0</v>
      </c>
      <c r="FN27" s="183">
        <f t="shared" si="55"/>
        <v>0</v>
      </c>
      <c r="FO27" s="56"/>
      <c r="FR27" s="55">
        <f t="shared" si="56"/>
        <v>46044</v>
      </c>
      <c r="FS27" s="422"/>
      <c r="FT27" s="452">
        <f>SUMPRODUCT(PRODUCE!$B26:$DY26,PRODUCE!$EB$26:$IY$26)</f>
        <v>0</v>
      </c>
      <c r="FU27" s="422"/>
      <c r="FV27" s="452">
        <f t="shared" si="57"/>
        <v>0</v>
      </c>
      <c r="FW27" s="452">
        <f t="shared" si="58"/>
        <v>3540</v>
      </c>
      <c r="FX27" s="56"/>
      <c r="GA27" s="55">
        <f t="shared" si="59"/>
        <v>46044</v>
      </c>
      <c r="GB27" s="422"/>
      <c r="GC27" s="454">
        <f>SUMPRODUCT(PRODUCE!$B26:$DY26,PRODUCE!$EB$27:$IY$27)</f>
        <v>0</v>
      </c>
      <c r="GD27" s="422"/>
      <c r="GE27" s="454">
        <f t="shared" si="60"/>
        <v>0</v>
      </c>
      <c r="GF27" s="454">
        <f t="shared" si="61"/>
        <v>1960</v>
      </c>
      <c r="GG27" s="56"/>
      <c r="GI27" s="23"/>
      <c r="GJ27" s="55">
        <f t="shared" si="62"/>
        <v>46044</v>
      </c>
      <c r="GK27" s="422"/>
      <c r="GL27" s="456">
        <f>SUMPRODUCT(PRODUCE!$B26:$DY26,PRODUCE!$EB$28:$IY$28)</f>
        <v>0</v>
      </c>
      <c r="GM27" s="422"/>
      <c r="GN27" s="456">
        <f t="shared" si="63"/>
        <v>0</v>
      </c>
      <c r="GO27" s="456">
        <f t="shared" si="64"/>
        <v>6160</v>
      </c>
      <c r="GP27" s="56"/>
      <c r="GS27" s="55">
        <f t="shared" si="65"/>
        <v>46044</v>
      </c>
      <c r="GT27" s="56"/>
      <c r="GU27" s="195">
        <f>SUMPRODUCT(PRODUCE!$B26:$DY26,PRODUCE!$EB$29:$IY$29)</f>
        <v>0</v>
      </c>
      <c r="GV27" s="56"/>
      <c r="GW27" s="195">
        <f t="shared" si="66"/>
        <v>0</v>
      </c>
      <c r="GX27" s="195">
        <f t="shared" si="67"/>
        <v>0</v>
      </c>
      <c r="GY27" s="56"/>
      <c r="HB27" s="55">
        <f t="shared" si="68"/>
        <v>46044</v>
      </c>
      <c r="HC27" s="56"/>
      <c r="HD27" s="191">
        <f>SUMPRODUCT(PRODUCE!$B26:$DY26,PRODUCE!$EB$30:$IY$30)</f>
        <v>0</v>
      </c>
      <c r="HE27" s="56"/>
      <c r="HF27" s="191">
        <f t="shared" si="69"/>
        <v>0</v>
      </c>
      <c r="HG27" s="191">
        <f t="shared" si="70"/>
        <v>0</v>
      </c>
      <c r="HH27" s="56"/>
      <c r="HK27" s="55">
        <f t="shared" si="71"/>
        <v>46044</v>
      </c>
      <c r="HL27" s="56"/>
      <c r="HM27" s="63">
        <f>SUMPRODUCT(PRODUCE!$B26:$DY26,PRODUCE!$EB$31:$IY$31)</f>
        <v>0</v>
      </c>
      <c r="HN27" s="56"/>
      <c r="HO27" s="63">
        <f t="shared" si="72"/>
        <v>0</v>
      </c>
      <c r="HP27" s="63">
        <f t="shared" si="73"/>
        <v>0</v>
      </c>
      <c r="HQ27" s="56"/>
      <c r="HU27" s="55">
        <f t="shared" si="74"/>
        <v>46044</v>
      </c>
      <c r="HV27" s="56"/>
      <c r="HW27" s="242">
        <f>SUMPRODUCT(PRODUCE!$B26:$DY26,PRODUCE!$EB$32:$IY$32)</f>
        <v>0</v>
      </c>
      <c r="HX27" s="56"/>
      <c r="HY27" s="242">
        <f t="shared" si="75"/>
        <v>0</v>
      </c>
      <c r="HZ27" s="242">
        <f t="shared" si="76"/>
        <v>2800</v>
      </c>
      <c r="IA27" s="56"/>
      <c r="ID27" s="55">
        <f t="shared" si="77"/>
        <v>46044</v>
      </c>
      <c r="IE27" s="56"/>
      <c r="IF27" s="242">
        <f>SUMPRODUCT(PRODUCE!$B26:$DY26,PRODUCE!$EB$33:$IY$33)</f>
        <v>0</v>
      </c>
      <c r="IG27" s="56"/>
      <c r="IH27" s="242">
        <f t="shared" si="78"/>
        <v>0</v>
      </c>
      <c r="II27" s="242">
        <f t="shared" si="79"/>
        <v>5100</v>
      </c>
      <c r="IJ27" s="56"/>
      <c r="IM27" s="55">
        <f t="shared" si="80"/>
        <v>46044</v>
      </c>
      <c r="IN27" s="56"/>
      <c r="IO27" s="242">
        <f>SUMPRODUCT(PRODUCE!$B26:$DY26,PRODUCE!$EB$34:$IY$34)</f>
        <v>800</v>
      </c>
      <c r="IP27" s="56"/>
      <c r="IQ27" s="242">
        <f t="shared" si="81"/>
        <v>800</v>
      </c>
      <c r="IR27" s="242">
        <f t="shared" si="82"/>
        <v>15040</v>
      </c>
      <c r="IS27" s="56"/>
      <c r="IV27" s="55">
        <f t="shared" si="83"/>
        <v>46044</v>
      </c>
      <c r="IW27" s="56"/>
      <c r="IX27" s="242">
        <f>SUMPRODUCT(PRODUCE!$B26:$DY26,PRODUCE!$EB$35:$IY$35)</f>
        <v>0</v>
      </c>
      <c r="IY27" s="56"/>
      <c r="IZ27" s="242">
        <f t="shared" si="84"/>
        <v>0</v>
      </c>
      <c r="JA27" s="242">
        <f t="shared" si="85"/>
        <v>9120</v>
      </c>
      <c r="JB27" s="56"/>
      <c r="JE27" s="55">
        <f t="shared" si="86"/>
        <v>46044</v>
      </c>
      <c r="JF27" s="56"/>
      <c r="JG27" s="242">
        <f>SUMPRODUCT(PRODUCE!$B26:$DY26,PRODUCE!$EB$36:$IY$36)</f>
        <v>0</v>
      </c>
      <c r="JH27" s="56"/>
      <c r="JI27" s="242">
        <f t="shared" si="87"/>
        <v>0</v>
      </c>
      <c r="JJ27" s="242">
        <f t="shared" si="88"/>
        <v>6800</v>
      </c>
      <c r="JK27" s="56"/>
      <c r="JN27" s="55">
        <f t="shared" si="89"/>
        <v>46044</v>
      </c>
      <c r="JO27" s="56"/>
      <c r="JP27" s="242">
        <f>SUMPRODUCT(PRODUCE!$B26:$DY26,PRODUCE!$EB$37:$IY$37)</f>
        <v>0</v>
      </c>
      <c r="JQ27" s="56"/>
      <c r="JR27" s="242">
        <f t="shared" si="90"/>
        <v>0</v>
      </c>
      <c r="JS27" s="242">
        <f t="shared" si="91"/>
        <v>5400</v>
      </c>
      <c r="JT27" s="56"/>
      <c r="JW27" s="55">
        <f t="shared" si="92"/>
        <v>46044</v>
      </c>
      <c r="JX27" s="56"/>
      <c r="JY27" s="242">
        <f>SUMPRODUCT(PRODUCE!$B26:$DY26,PRODUCE!$EB$38:$IY$38)</f>
        <v>0</v>
      </c>
      <c r="JZ27" s="56"/>
      <c r="KA27" s="242">
        <f t="shared" si="93"/>
        <v>0</v>
      </c>
      <c r="KB27" s="242">
        <f t="shared" si="94"/>
        <v>0</v>
      </c>
      <c r="KC27" s="56"/>
      <c r="KF27" s="55">
        <f t="shared" si="95"/>
        <v>46044</v>
      </c>
      <c r="KG27" s="56"/>
      <c r="KH27" s="242">
        <f>SUMPRODUCT(PRODUCE!$B26:$DY26,PRODUCE!$EB$39:$IY$39)</f>
        <v>0</v>
      </c>
      <c r="KI27" s="56"/>
      <c r="KJ27" s="242">
        <f t="shared" si="96"/>
        <v>0</v>
      </c>
      <c r="KK27" s="242">
        <f t="shared" si="97"/>
        <v>0</v>
      </c>
      <c r="KL27" s="56"/>
      <c r="KO27" s="55">
        <f t="shared" si="98"/>
        <v>46044</v>
      </c>
      <c r="KP27" s="56"/>
      <c r="KQ27" s="242">
        <f>SUMPRODUCT(PRODUCE!$B26:$DY26,PRODUCE!$EB$40:$IY$40)</f>
        <v>0</v>
      </c>
      <c r="KR27" s="56"/>
      <c r="KS27" s="242">
        <f t="shared" si="99"/>
        <v>0</v>
      </c>
      <c r="KT27" s="242">
        <f t="shared" si="100"/>
        <v>0</v>
      </c>
      <c r="KU27" s="56"/>
      <c r="KW27" s="23"/>
      <c r="KX27" s="55">
        <f t="shared" si="101"/>
        <v>46044</v>
      </c>
      <c r="KY27" s="56"/>
      <c r="KZ27" s="242">
        <f>SUMPRODUCT(PRODUCE!$B26:$DY26,PRODUCE!$EB$41:$IY$41)</f>
        <v>0</v>
      </c>
      <c r="LA27" s="56"/>
      <c r="LB27" s="242">
        <f t="shared" si="102"/>
        <v>0</v>
      </c>
      <c r="LC27" s="242">
        <f t="shared" si="103"/>
        <v>0</v>
      </c>
      <c r="LD27" s="56"/>
      <c r="LG27" s="55">
        <f t="shared" si="104"/>
        <v>46044</v>
      </c>
      <c r="LH27" s="56"/>
      <c r="LI27" s="242">
        <f>SUMPRODUCT(PRODUCE!$B26:$DY26,PRODUCE!$EB$42:$IY$42)</f>
        <v>0</v>
      </c>
      <c r="LJ27" s="56"/>
      <c r="LK27" s="242">
        <f t="shared" si="105"/>
        <v>0</v>
      </c>
      <c r="LL27" s="242">
        <f t="shared" si="106"/>
        <v>0</v>
      </c>
      <c r="LM27" s="56"/>
      <c r="LP27" s="55">
        <f t="shared" si="107"/>
        <v>46044</v>
      </c>
      <c r="LQ27" s="56"/>
      <c r="LR27" s="242">
        <f>SUMPRODUCT(PRODUCE!$B26:$DY26,PRODUCE!$EB$43:$IY$43)</f>
        <v>0</v>
      </c>
      <c r="LS27" s="56"/>
      <c r="LT27" s="242">
        <f t="shared" si="108"/>
        <v>0</v>
      </c>
      <c r="LU27" s="242">
        <f t="shared" si="109"/>
        <v>0</v>
      </c>
      <c r="LV27" s="56"/>
      <c r="LY27" s="55">
        <f t="shared" si="110"/>
        <v>46044</v>
      </c>
      <c r="LZ27" s="56"/>
      <c r="MA27" s="242">
        <f>SUMPRODUCT(PRODUCE!$B26:$DY26,PRODUCE!$EB$44:$IY$44)</f>
        <v>0</v>
      </c>
      <c r="MB27" s="56"/>
      <c r="MC27" s="242">
        <f t="shared" si="111"/>
        <v>0</v>
      </c>
      <c r="MD27" s="242">
        <f t="shared" si="112"/>
        <v>0</v>
      </c>
      <c r="ME27" s="56"/>
      <c r="MH27" s="55">
        <f t="shared" si="113"/>
        <v>46044</v>
      </c>
      <c r="MI27" s="56"/>
      <c r="MJ27" s="242">
        <f>SUMPRODUCT(PRODUCE!$B26:$DY26,PRODUCE!$EB$45:$IY$45)</f>
        <v>0</v>
      </c>
      <c r="MK27" s="56"/>
      <c r="ML27" s="242">
        <f t="shared" si="114"/>
        <v>0</v>
      </c>
      <c r="MM27" s="242">
        <f t="shared" si="115"/>
        <v>0</v>
      </c>
      <c r="MN27" s="56"/>
      <c r="MQ27" s="55">
        <f t="shared" si="116"/>
        <v>46044</v>
      </c>
      <c r="MR27" s="56"/>
      <c r="MS27" s="242">
        <f>SUMPRODUCT(PRODUCE!$B26:$DY26,PRODUCE!$EB$46:$IY$46)</f>
        <v>20</v>
      </c>
      <c r="MT27" s="56"/>
      <c r="MU27" s="242">
        <f t="shared" si="117"/>
        <v>20</v>
      </c>
      <c r="MV27" s="242">
        <f t="shared" si="118"/>
        <v>1196</v>
      </c>
      <c r="MW27" s="56"/>
      <c r="MZ27" s="55">
        <f t="shared" si="119"/>
        <v>46044</v>
      </c>
      <c r="NA27" s="56"/>
      <c r="NB27" s="242">
        <f>SUMPRODUCT(PRODUCE!$B26:$DY26,PRODUCE!$EB$47:$IY$47)</f>
        <v>120</v>
      </c>
      <c r="NC27" s="56"/>
      <c r="ND27" s="242">
        <f t="shared" si="120"/>
        <v>120</v>
      </c>
      <c r="NE27" s="242">
        <f t="shared" si="121"/>
        <v>0</v>
      </c>
      <c r="NF27" s="56"/>
      <c r="NI27" s="55">
        <f t="shared" si="122"/>
        <v>46044</v>
      </c>
      <c r="NJ27" s="56"/>
      <c r="NK27" s="242">
        <f>SUMPRODUCT(PRODUCE!$B26:$DY26,PRODUCE!$EB$48:$IY$48)</f>
        <v>0</v>
      </c>
      <c r="NL27" s="56"/>
      <c r="NM27" s="242">
        <f t="shared" si="123"/>
        <v>0</v>
      </c>
      <c r="NN27" s="242">
        <f t="shared" si="124"/>
        <v>0</v>
      </c>
      <c r="NO27" s="56"/>
      <c r="NR27" s="55">
        <f t="shared" si="125"/>
        <v>46044</v>
      </c>
      <c r="NS27" s="56"/>
      <c r="NT27" s="242">
        <f>SUMPRODUCT(PRODUCE!$B26:$DY26,PRODUCE!$EB$49:$IY$49)</f>
        <v>0</v>
      </c>
      <c r="NU27" s="56"/>
      <c r="NV27" s="242">
        <f t="shared" si="126"/>
        <v>0</v>
      </c>
      <c r="NW27" s="242">
        <f t="shared" si="127"/>
        <v>0</v>
      </c>
      <c r="NX27" s="56"/>
      <c r="OA27" s="55">
        <f t="shared" si="128"/>
        <v>46044</v>
      </c>
      <c r="OB27" s="56"/>
      <c r="OC27" s="242">
        <f>SUMPRODUCT(PRODUCE!$B26:$DY26,PRODUCE!$EB$50:$IY$50)</f>
        <v>0</v>
      </c>
      <c r="OD27" s="56"/>
      <c r="OE27" s="242">
        <f t="shared" si="129"/>
        <v>0</v>
      </c>
      <c r="OF27" s="242">
        <f t="shared" si="130"/>
        <v>1680.5</v>
      </c>
      <c r="OG27" s="56"/>
      <c r="OJ27" s="55">
        <f t="shared" si="131"/>
        <v>46044</v>
      </c>
      <c r="OK27" s="56"/>
      <c r="OL27" s="242">
        <f>SUMPRODUCT(PRODUCE!$B26:$DY26,PRODUCE!$EB$51:$IY$51)</f>
        <v>0</v>
      </c>
      <c r="OM27" s="56"/>
      <c r="ON27" s="242">
        <f t="shared" si="132"/>
        <v>0</v>
      </c>
      <c r="OO27" s="242">
        <f t="shared" si="133"/>
        <v>0</v>
      </c>
      <c r="OP27" s="56"/>
      <c r="OS27" s="55">
        <f t="shared" si="134"/>
        <v>46044</v>
      </c>
      <c r="OT27" s="56"/>
      <c r="OU27" s="242">
        <f>SUMPRODUCT(PRODUCE!$B26:$DY26,PRODUCE!$EB$52:$IY$52)</f>
        <v>0</v>
      </c>
      <c r="OV27" s="56"/>
      <c r="OW27" s="242">
        <f t="shared" si="135"/>
        <v>0</v>
      </c>
      <c r="OX27" s="242">
        <f t="shared" si="136"/>
        <v>67</v>
      </c>
      <c r="OY27" s="56"/>
      <c r="PB27" s="55">
        <f t="shared" si="137"/>
        <v>46044</v>
      </c>
      <c r="PC27" s="56"/>
      <c r="PD27" s="242">
        <f>SUMPRODUCT(PRODUCE!$B26:$DY26,PRODUCE!$EB$53:$IY$53)</f>
        <v>0</v>
      </c>
      <c r="PE27" s="56"/>
      <c r="PF27" s="242">
        <f t="shared" si="138"/>
        <v>0</v>
      </c>
      <c r="PG27" s="242">
        <f t="shared" si="139"/>
        <v>0</v>
      </c>
      <c r="PH27" s="56"/>
      <c r="PK27" s="55">
        <f t="shared" si="140"/>
        <v>46044</v>
      </c>
      <c r="PL27" s="56"/>
      <c r="PM27" s="242">
        <f>SUMPRODUCT(PRODUCE!$B26:$DY26,PRODUCE!$EB$54:$IY$54)</f>
        <v>0</v>
      </c>
      <c r="PN27" s="56"/>
      <c r="PO27" s="242">
        <f t="shared" si="141"/>
        <v>0</v>
      </c>
      <c r="PP27" s="242">
        <f t="shared" si="142"/>
        <v>160</v>
      </c>
      <c r="PQ27" s="56"/>
      <c r="PT27" s="55">
        <f t="shared" si="143"/>
        <v>46044</v>
      </c>
      <c r="PU27" s="56"/>
      <c r="PV27" s="242">
        <f>SUMPRODUCT(PRODUCE!$B26:$DY26,PRODUCE!$EB$55:$IY$55)</f>
        <v>0</v>
      </c>
      <c r="PW27" s="56"/>
      <c r="PX27" s="242">
        <f t="shared" si="144"/>
        <v>0</v>
      </c>
      <c r="PY27" s="242">
        <f t="shared" si="145"/>
        <v>13.960000000000036</v>
      </c>
      <c r="PZ27" s="56"/>
      <c r="QC27" s="55">
        <f t="shared" si="146"/>
        <v>46044</v>
      </c>
      <c r="QD27" s="56"/>
      <c r="QE27" s="242">
        <f>SUMPRODUCT(PRODUCE!$B26:$DY26,PRODUCE!$EB$56:$IY$56)</f>
        <v>0</v>
      </c>
      <c r="QF27" s="56"/>
      <c r="QG27" s="242">
        <f t="shared" si="147"/>
        <v>0</v>
      </c>
      <c r="QH27" s="242">
        <f t="shared" si="148"/>
        <v>0</v>
      </c>
      <c r="QI27" s="56"/>
      <c r="QL27" s="55">
        <f t="shared" si="149"/>
        <v>46044</v>
      </c>
      <c r="QM27" s="56"/>
      <c r="QN27" s="242">
        <f>SUMPRODUCT(PRODUCE!$B26:$DY26,PRODUCE!$EB$57:$IY$57)</f>
        <v>0</v>
      </c>
      <c r="QO27" s="56"/>
      <c r="QP27" s="242">
        <f t="shared" si="150"/>
        <v>0</v>
      </c>
      <c r="QQ27" s="242">
        <f t="shared" si="151"/>
        <v>0</v>
      </c>
      <c r="QR27" s="56"/>
      <c r="QU27" s="55">
        <f t="shared" si="152"/>
        <v>46044</v>
      </c>
      <c r="QV27" s="56"/>
      <c r="QW27" s="242">
        <f>SUMPRODUCT(PRODUCE!$B26:$DY26,PRODUCE!$EB$57:$IY$57)</f>
        <v>0</v>
      </c>
      <c r="QX27" s="56"/>
      <c r="QY27" s="242">
        <f t="shared" si="153"/>
        <v>0</v>
      </c>
      <c r="QZ27" s="242">
        <f t="shared" si="154"/>
        <v>207.6</v>
      </c>
      <c r="RA27" s="56"/>
      <c r="RD27" s="55">
        <f t="shared" si="155"/>
        <v>46044</v>
      </c>
      <c r="RE27" s="56"/>
      <c r="RF27" s="242">
        <f>SUMPRODUCT(PRODUCE!$B26:$DY26,PRODUCE!$EB$58:$IY$58)</f>
        <v>0</v>
      </c>
      <c r="RG27" s="56"/>
      <c r="RH27" s="242">
        <f t="shared" si="156"/>
        <v>0</v>
      </c>
      <c r="RI27" s="242">
        <f t="shared" si="157"/>
        <v>201.8</v>
      </c>
      <c r="RJ27" s="56"/>
      <c r="RM27" s="55">
        <f t="shared" si="158"/>
        <v>46044</v>
      </c>
      <c r="RN27" s="56"/>
      <c r="RO27" s="242">
        <f>SUMPRODUCT(PRODUCE!$B26:$DY26,PRODUCE!$EB$59:$IY$59)</f>
        <v>0</v>
      </c>
      <c r="RP27" s="56"/>
      <c r="RQ27" s="242">
        <f t="shared" si="159"/>
        <v>0</v>
      </c>
      <c r="RR27" s="242">
        <f t="shared" si="160"/>
        <v>22.720000000000002</v>
      </c>
      <c r="RS27" s="56"/>
      <c r="RV27" s="55">
        <f t="shared" si="161"/>
        <v>46044</v>
      </c>
      <c r="RW27" s="56"/>
      <c r="RX27" s="242">
        <f>SUMPRODUCT(PRODUCE!$B26:$DY26,PRODUCE!$EB$57:$IY$57)</f>
        <v>0</v>
      </c>
      <c r="RY27" s="56"/>
      <c r="RZ27" s="242">
        <f t="shared" si="162"/>
        <v>0</v>
      </c>
      <c r="SA27" s="242">
        <f t="shared" si="163"/>
        <v>0</v>
      </c>
      <c r="SB27" s="56"/>
      <c r="SE27" s="55">
        <f t="shared" si="164"/>
        <v>46044</v>
      </c>
      <c r="SF27" s="56"/>
      <c r="SG27" s="242">
        <f>SUMPRODUCT(PRODUCE!$B26:$DY26,PRODUCE!$EB$61:$IY$61)</f>
        <v>0</v>
      </c>
      <c r="SH27" s="56"/>
      <c r="SI27" s="242">
        <f t="shared" si="165"/>
        <v>0</v>
      </c>
      <c r="SJ27" s="242">
        <f t="shared" si="166"/>
        <v>0</v>
      </c>
      <c r="SK27" s="56"/>
      <c r="SN27" s="55">
        <f t="shared" si="167"/>
        <v>46044</v>
      </c>
      <c r="SO27" s="56"/>
      <c r="SP27" s="242">
        <f>SUMPRODUCT(PRODUCE!$B26:$DY26,PRODUCE!$EB$57:$IY$57)</f>
        <v>0</v>
      </c>
      <c r="SQ27" s="56"/>
      <c r="SR27" s="242">
        <f t="shared" si="168"/>
        <v>0</v>
      </c>
      <c r="SS27" s="242">
        <f t="shared" si="169"/>
        <v>0</v>
      </c>
      <c r="ST27" s="56"/>
      <c r="SW27" s="55">
        <f t="shared" si="170"/>
        <v>46044</v>
      </c>
      <c r="SX27" s="56"/>
      <c r="SY27" s="242">
        <f>SUMPRODUCT(PRODUCE!$B26:$DY26,PRODUCE!$EB$57:$IY$57)</f>
        <v>0</v>
      </c>
      <c r="SZ27" s="56"/>
      <c r="TA27" s="242">
        <f t="shared" si="171"/>
        <v>0</v>
      </c>
      <c r="TB27" s="242">
        <f t="shared" si="172"/>
        <v>0</v>
      </c>
      <c r="TC27" s="56"/>
      <c r="TF27" s="55">
        <f t="shared" si="173"/>
        <v>46044</v>
      </c>
      <c r="TG27" s="56"/>
      <c r="TH27" s="242">
        <f>SUMPRODUCT(PRODUCE!$B26:$DY26,PRODUCE!$EB$57:$IY$57)</f>
        <v>0</v>
      </c>
      <c r="TI27" s="56"/>
      <c r="TJ27" s="242">
        <f t="shared" si="174"/>
        <v>0</v>
      </c>
      <c r="TK27" s="242">
        <f t="shared" si="175"/>
        <v>0</v>
      </c>
      <c r="TL27" s="56"/>
      <c r="TO27" s="55">
        <f t="shared" si="176"/>
        <v>46044</v>
      </c>
      <c r="TP27" s="56"/>
      <c r="TQ27" s="242">
        <f>SUMPRODUCT(PRODUCE!$B26:$DY26,PRODUCE!$EB$57:$IY$57)</f>
        <v>0</v>
      </c>
      <c r="TR27" s="56"/>
      <c r="TS27" s="242">
        <f t="shared" si="177"/>
        <v>0</v>
      </c>
      <c r="TT27" s="242">
        <f t="shared" si="178"/>
        <v>0</v>
      </c>
      <c r="TU27" s="56"/>
      <c r="TX27" s="55">
        <f t="shared" si="179"/>
        <v>46044</v>
      </c>
      <c r="TY27" s="56"/>
      <c r="TZ27" s="242">
        <f>SUMPRODUCT(PRODUCE!$B26:$DY26,PRODUCE!$EB$57:$IY$57)</f>
        <v>0</v>
      </c>
      <c r="UA27" s="56"/>
      <c r="UB27" s="242">
        <f t="shared" si="180"/>
        <v>0</v>
      </c>
      <c r="UC27" s="242">
        <f t="shared" si="181"/>
        <v>0</v>
      </c>
      <c r="UD27" s="56"/>
      <c r="UG27" s="55">
        <f t="shared" si="182"/>
        <v>46044</v>
      </c>
      <c r="UH27" s="56"/>
      <c r="UI27" s="242">
        <f>SUMPRODUCT(PRODUCE!$B26:$DY26,PRODUCE!$EB$57:$IY$57)</f>
        <v>0</v>
      </c>
      <c r="UJ27" s="56"/>
      <c r="UK27" s="242">
        <f t="shared" si="183"/>
        <v>0</v>
      </c>
      <c r="UL27" s="242">
        <f t="shared" si="184"/>
        <v>0</v>
      </c>
      <c r="UM27" s="56"/>
      <c r="UP27" s="55">
        <f t="shared" si="185"/>
        <v>46044</v>
      </c>
      <c r="UQ27" s="56"/>
      <c r="UR27" s="242">
        <f>SUMPRODUCT(PRODUCE!$B26:$DY26,PRODUCE!$EB$57:$IY$57)</f>
        <v>0</v>
      </c>
      <c r="US27" s="56"/>
      <c r="UT27" s="242">
        <f t="shared" si="186"/>
        <v>0</v>
      </c>
      <c r="UU27" s="242">
        <f t="shared" si="187"/>
        <v>0</v>
      </c>
      <c r="UV27" s="56"/>
      <c r="UY27" s="55">
        <f t="shared" si="188"/>
        <v>46044</v>
      </c>
      <c r="UZ27" s="56"/>
      <c r="VA27" s="242">
        <f>SUMPRODUCT(PRODUCE!$B26:$DY26,PRODUCE!$EB$57:$IY$57)</f>
        <v>0</v>
      </c>
      <c r="VB27" s="56"/>
      <c r="VC27" s="242">
        <f t="shared" si="189"/>
        <v>0</v>
      </c>
      <c r="VD27" s="242">
        <f t="shared" si="190"/>
        <v>-319.59999999999997</v>
      </c>
      <c r="VE27" s="56"/>
      <c r="VH27" s="55">
        <f t="shared" si="191"/>
        <v>46044</v>
      </c>
      <c r="VI27" s="56"/>
      <c r="VJ27" s="242">
        <f>SUMPRODUCT(PRODUCE!$B26:$DY26,PRODUCE!$EB$57:$IY$57)</f>
        <v>0</v>
      </c>
      <c r="VK27" s="56"/>
      <c r="VL27" s="242">
        <f t="shared" si="192"/>
        <v>0</v>
      </c>
      <c r="VM27" s="242">
        <f t="shared" si="193"/>
        <v>0</v>
      </c>
      <c r="VN27" s="56"/>
      <c r="VQ27" s="55">
        <f t="shared" si="194"/>
        <v>46044</v>
      </c>
      <c r="VR27" s="56"/>
      <c r="VS27" s="242">
        <f>SUMPRODUCT(PRODUCE!$B26:$DY26,PRODUCE!$EB$57:$IY$57)</f>
        <v>0</v>
      </c>
      <c r="VT27" s="56"/>
      <c r="VU27" s="242">
        <f t="shared" si="195"/>
        <v>0</v>
      </c>
      <c r="VV27" s="242">
        <f t="shared" si="196"/>
        <v>0</v>
      </c>
      <c r="VW27" s="56"/>
      <c r="VZ27" s="55">
        <f t="shared" si="197"/>
        <v>46044</v>
      </c>
      <c r="WA27" s="56"/>
      <c r="WB27" s="242">
        <f>SUMPRODUCT(PRODUCE!$B26:$DY26,PRODUCE!$EB$57:$IY$57)</f>
        <v>0</v>
      </c>
      <c r="WC27" s="56"/>
      <c r="WD27" s="242">
        <f t="shared" si="198"/>
        <v>0</v>
      </c>
      <c r="WE27" s="242">
        <f t="shared" si="199"/>
        <v>0</v>
      </c>
      <c r="WF27" s="56"/>
      <c r="WI27" s="55">
        <f t="shared" si="200"/>
        <v>46044</v>
      </c>
      <c r="WJ27" s="56"/>
      <c r="WK27" s="242">
        <f>SUMPRODUCT(PRODUCE!$B26:$DY26,PRODUCE!$EB$57:$IY$57)</f>
        <v>0</v>
      </c>
      <c r="WL27" s="56"/>
      <c r="WM27" s="242">
        <f t="shared" si="201"/>
        <v>0</v>
      </c>
      <c r="WN27" s="242">
        <f t="shared" si="202"/>
        <v>9940</v>
      </c>
      <c r="WO27" s="56"/>
      <c r="WR27" s="55">
        <f t="shared" si="203"/>
        <v>46044</v>
      </c>
      <c r="WS27" s="56"/>
      <c r="WT27" s="242">
        <f>SUMPRODUCT(PRODUCE!$B26:$DY26,PRODUCE!$EB$57:$IY$57)</f>
        <v>0</v>
      </c>
      <c r="WU27" s="56"/>
      <c r="WV27" s="242">
        <f t="shared" si="204"/>
        <v>0</v>
      </c>
      <c r="WW27" s="242">
        <f t="shared" si="205"/>
        <v>8149</v>
      </c>
      <c r="WX27" s="56"/>
      <c r="XA27" s="55">
        <f t="shared" si="206"/>
        <v>46044</v>
      </c>
      <c r="XB27" s="56"/>
      <c r="XC27" s="242">
        <f>SUMPRODUCT(PRODUCE!$B26:$DY26,PRODUCE!$EB$57:$IY$57)</f>
        <v>0</v>
      </c>
      <c r="XD27" s="56"/>
      <c r="XE27" s="242">
        <f t="shared" si="207"/>
        <v>0</v>
      </c>
      <c r="XF27" s="242">
        <f t="shared" si="208"/>
        <v>3254</v>
      </c>
      <c r="XG27" s="56"/>
      <c r="XJ27" s="55">
        <f t="shared" si="209"/>
        <v>46044</v>
      </c>
      <c r="XK27" s="56"/>
      <c r="XL27" s="242">
        <f>SUMPRODUCT(PRODUCE!$B26:$DY26,PRODUCE!$EB$57:$IY$57)</f>
        <v>0</v>
      </c>
      <c r="XM27" s="56"/>
      <c r="XN27" s="242">
        <f t="shared" si="210"/>
        <v>0</v>
      </c>
      <c r="XO27" s="242">
        <f t="shared" si="211"/>
        <v>7909</v>
      </c>
      <c r="XP27" s="56"/>
      <c r="XS27" s="55">
        <f t="shared" si="212"/>
        <v>46044</v>
      </c>
      <c r="XT27" s="56"/>
      <c r="XU27" s="242">
        <f>SUMPRODUCT(PRODUCE!$B26:$DY26,PRODUCE!$EB$57:$IY$57)</f>
        <v>0</v>
      </c>
      <c r="XV27" s="56"/>
      <c r="XW27" s="242">
        <f t="shared" si="213"/>
        <v>0</v>
      </c>
      <c r="XX27" s="242">
        <f t="shared" si="214"/>
        <v>1901</v>
      </c>
      <c r="XY27" s="56"/>
      <c r="YB27" s="55">
        <f t="shared" si="215"/>
        <v>46044</v>
      </c>
      <c r="YC27" s="56"/>
      <c r="YD27" s="242">
        <f>SUMPRODUCT(PRODUCE!$B26:$DY26,PRODUCE!$EB$57:$IY$57)</f>
        <v>0</v>
      </c>
      <c r="YE27" s="56"/>
      <c r="YF27" s="242">
        <f t="shared" si="216"/>
        <v>0</v>
      </c>
      <c r="YG27" s="242">
        <f t="shared" si="217"/>
        <v>2671</v>
      </c>
      <c r="YH27" s="56"/>
      <c r="YK27" s="55">
        <f t="shared" si="218"/>
        <v>46044</v>
      </c>
      <c r="YL27" s="56"/>
      <c r="YM27" s="242">
        <f>SUMPRODUCT(PRODUCE!$B26:$DY26,PRODUCE!$EB$57:$IY$57)</f>
        <v>0</v>
      </c>
      <c r="YN27" s="56"/>
      <c r="YO27" s="242">
        <f t="shared" si="219"/>
        <v>0</v>
      </c>
      <c r="YP27" s="242">
        <f t="shared" si="220"/>
        <v>0</v>
      </c>
      <c r="YQ27" s="56"/>
      <c r="YT27" s="55">
        <f t="shared" si="221"/>
        <v>46044</v>
      </c>
      <c r="YU27" s="56"/>
      <c r="YV27" s="242">
        <f>SUMPRODUCT(PRODUCE!$B26:$DY26,PRODUCE!$EB$57:$IY$57)</f>
        <v>0</v>
      </c>
      <c r="YW27" s="56"/>
      <c r="YX27" s="242">
        <f t="shared" si="222"/>
        <v>0</v>
      </c>
      <c r="YY27" s="242">
        <f t="shared" si="223"/>
        <v>0</v>
      </c>
      <c r="YZ27" s="56"/>
      <c r="ZC27" s="55">
        <f t="shared" si="224"/>
        <v>46044</v>
      </c>
      <c r="ZD27" s="56"/>
      <c r="ZE27" s="242">
        <f>SUMPRODUCT(PRODUCE!$B26:$DY26,PRODUCE!$EB$57:$IY$57)</f>
        <v>0</v>
      </c>
      <c r="ZF27" s="56"/>
      <c r="ZG27" s="242">
        <f t="shared" si="225"/>
        <v>0</v>
      </c>
      <c r="ZH27" s="242">
        <f t="shared" si="226"/>
        <v>0</v>
      </c>
      <c r="ZI27" s="56"/>
      <c r="ZL27" s="55">
        <f t="shared" si="227"/>
        <v>46044</v>
      </c>
      <c r="ZM27" s="56"/>
      <c r="ZN27" s="242">
        <f>SUMPRODUCT(PRODUCE!$B26:$DY26,PRODUCE!$EB$57:$IY$57)</f>
        <v>0</v>
      </c>
      <c r="ZO27" s="56"/>
      <c r="ZP27" s="242">
        <f t="shared" si="228"/>
        <v>0</v>
      </c>
      <c r="ZQ27" s="242">
        <f t="shared" si="229"/>
        <v>0</v>
      </c>
      <c r="ZR27" s="56"/>
      <c r="ZU27" s="55">
        <f t="shared" si="230"/>
        <v>46044</v>
      </c>
      <c r="ZV27" s="56"/>
      <c r="ZW27" s="242">
        <f>SUMPRODUCT(PRODUCE!$B26:$DY26,PRODUCE!$EB$57:$IY$57)</f>
        <v>0</v>
      </c>
      <c r="ZX27" s="56"/>
      <c r="ZY27" s="242">
        <f t="shared" si="231"/>
        <v>0</v>
      </c>
      <c r="ZZ27" s="242">
        <f t="shared" si="232"/>
        <v>0</v>
      </c>
      <c r="AAA27" s="56"/>
      <c r="AAD27" s="55">
        <f t="shared" si="233"/>
        <v>46044</v>
      </c>
      <c r="AAE27" s="56"/>
      <c r="AAF27" s="242">
        <f>SUMPRODUCT(PRODUCE!$B26:$DY26,PRODUCE!$EB$57:$IY$57)</f>
        <v>0</v>
      </c>
      <c r="AAG27" s="56"/>
      <c r="AAH27" s="242">
        <f t="shared" si="234"/>
        <v>0</v>
      </c>
      <c r="AAI27" s="242">
        <f t="shared" si="235"/>
        <v>0</v>
      </c>
      <c r="AAJ27" s="56"/>
      <c r="AAM27" s="55">
        <f t="shared" si="236"/>
        <v>46044</v>
      </c>
      <c r="AAN27" s="56"/>
      <c r="AAO27" s="242">
        <f>SUMPRODUCT(PRODUCE!$B26:$DY26,PRODUCE!$EB$57:$IY$57)</f>
        <v>0</v>
      </c>
      <c r="AAP27" s="56"/>
      <c r="AAQ27" s="242">
        <f t="shared" si="237"/>
        <v>0</v>
      </c>
      <c r="AAR27" s="242">
        <f t="shared" si="238"/>
        <v>0</v>
      </c>
      <c r="AAS27" s="56"/>
      <c r="AAV27" s="55">
        <f t="shared" si="239"/>
        <v>46044</v>
      </c>
      <c r="AAW27" s="56"/>
      <c r="AAX27" s="242">
        <f>SUMPRODUCT(PRODUCE!$B26:$DY26,PRODUCE!$EB$57:$IY$57)</f>
        <v>0</v>
      </c>
      <c r="AAY27" s="56"/>
      <c r="AAZ27" s="242">
        <f t="shared" si="240"/>
        <v>0</v>
      </c>
      <c r="ABA27" s="242">
        <f t="shared" si="241"/>
        <v>0</v>
      </c>
      <c r="ABB27" s="56"/>
      <c r="ABE27" s="55">
        <f t="shared" si="242"/>
        <v>46044</v>
      </c>
      <c r="ABF27" s="56"/>
      <c r="ABG27" s="242">
        <f>SUMPRODUCT(PRODUCE!$B26:$DY26,PRODUCE!$EB$57:$IY$57)</f>
        <v>0</v>
      </c>
      <c r="ABH27" s="56"/>
      <c r="ABI27" s="242">
        <f t="shared" si="243"/>
        <v>0</v>
      </c>
      <c r="ABJ27" s="242">
        <f t="shared" si="244"/>
        <v>0</v>
      </c>
      <c r="ABK27" s="56"/>
    </row>
    <row r="28" spans="2:739" s="54" customFormat="1" ht="15" customHeight="1" outlineLevel="1">
      <c r="B28" s="478">
        <f>44+24</f>
        <v>68</v>
      </c>
      <c r="C28" s="55">
        <v>46045</v>
      </c>
      <c r="D28" s="422"/>
      <c r="E28" s="423">
        <f>SUMPRODUCT(PRODUCE!$B27:$DY27,PRODUCE!$EB$7:$IY$7)</f>
        <v>38780.400000000001</v>
      </c>
      <c r="F28" s="422">
        <v>38777.800000000003</v>
      </c>
      <c r="G28" s="423">
        <f t="shared" si="2"/>
        <v>2.5999999999985448</v>
      </c>
      <c r="H28" s="423">
        <f t="shared" si="0"/>
        <v>33680.799999999988</v>
      </c>
      <c r="I28" s="289" t="s">
        <v>190</v>
      </c>
      <c r="L28" s="55">
        <f t="shared" si="1"/>
        <v>46045</v>
      </c>
      <c r="M28" s="422"/>
      <c r="N28" s="438">
        <f>SUMPRODUCT(PRODUCE!$B27:$DY27,PRODUCE!$EB$8:$IY$8)</f>
        <v>16564</v>
      </c>
      <c r="O28" s="422">
        <v>16562</v>
      </c>
      <c r="P28" s="438">
        <f t="shared" si="3"/>
        <v>2</v>
      </c>
      <c r="Q28" s="438">
        <f t="shared" si="4"/>
        <v>61107</v>
      </c>
      <c r="R28" s="56"/>
      <c r="U28" s="55">
        <f t="shared" si="5"/>
        <v>46045</v>
      </c>
      <c r="V28" s="422"/>
      <c r="W28" s="440">
        <f>SUMPRODUCT(PRODUCE!$B27:$DY27,PRODUCE!$EB$9:$IY$9)</f>
        <v>4120</v>
      </c>
      <c r="X28" s="422">
        <v>4121.3999999999996</v>
      </c>
      <c r="Y28" s="440">
        <f t="shared" si="6"/>
        <v>-1.3999999999996362</v>
      </c>
      <c r="Z28" s="440">
        <f t="shared" si="7"/>
        <v>36208.89999999998</v>
      </c>
      <c r="AA28" s="56"/>
      <c r="AD28" s="55">
        <f t="shared" si="8"/>
        <v>46045</v>
      </c>
      <c r="AE28" s="422"/>
      <c r="AF28" s="442">
        <f>SUMPRODUCT(PRODUCE!$B27:$DY27,PRODUCE!$EB$10:$IY$10)</f>
        <v>2780</v>
      </c>
      <c r="AG28" s="422">
        <v>2781.6</v>
      </c>
      <c r="AH28" s="442">
        <f t="shared" si="9"/>
        <v>-1.5999999999999091</v>
      </c>
      <c r="AI28" s="442">
        <f t="shared" si="10"/>
        <v>40099.200000000004</v>
      </c>
      <c r="AJ28" s="56"/>
      <c r="AM28" s="55">
        <f t="shared" si="11"/>
        <v>46045</v>
      </c>
      <c r="AN28" s="422"/>
      <c r="AO28" s="444">
        <f>SUMPRODUCT(PRODUCE!$B27:$DY27,PRODUCE!$EB$11:$IY$11)</f>
        <v>0</v>
      </c>
      <c r="AP28" s="422"/>
      <c r="AQ28" s="444">
        <f t="shared" si="12"/>
        <v>0</v>
      </c>
      <c r="AR28" s="444">
        <f t="shared" si="13"/>
        <v>0</v>
      </c>
      <c r="AS28" s="56"/>
      <c r="AV28" s="55">
        <f t="shared" si="14"/>
        <v>46045</v>
      </c>
      <c r="AW28" s="422"/>
      <c r="AX28" s="446">
        <f>SUMPRODUCT(PRODUCE!$B27:$DY27,PRODUCE!$EB$12:$IY$12)</f>
        <v>1252</v>
      </c>
      <c r="AY28" s="422">
        <v>1521.2</v>
      </c>
      <c r="AZ28" s="446">
        <f t="shared" si="15"/>
        <v>-269.20000000000005</v>
      </c>
      <c r="BA28" s="446">
        <f t="shared" si="16"/>
        <v>39068.599999999991</v>
      </c>
      <c r="BB28" s="56"/>
      <c r="BE28" s="55">
        <f t="shared" si="17"/>
        <v>46045</v>
      </c>
      <c r="BF28" s="422"/>
      <c r="BG28" s="448">
        <f>SUMPRODUCT(PRODUCE!$B27:$DY27,PRODUCE!$EB$13:$IY$13)</f>
        <v>1480</v>
      </c>
      <c r="BH28" s="422">
        <v>1483.9</v>
      </c>
      <c r="BI28" s="448">
        <f t="shared" si="18"/>
        <v>-3.9000000000000909</v>
      </c>
      <c r="BJ28" s="448">
        <f t="shared" si="19"/>
        <v>26520.400000000009</v>
      </c>
      <c r="BK28" s="56"/>
      <c r="BN28" s="55">
        <f t="shared" si="20"/>
        <v>46045</v>
      </c>
      <c r="BO28" s="422">
        <v>1172</v>
      </c>
      <c r="BP28" s="450">
        <f>SUMPRODUCT(PRODUCE!$B27:$DY27,PRODUCE!$EB$14:$IY$14)</f>
        <v>1172</v>
      </c>
      <c r="BQ28" s="422">
        <v>1172</v>
      </c>
      <c r="BR28" s="450">
        <f t="shared" si="21"/>
        <v>0</v>
      </c>
      <c r="BS28" s="450">
        <f t="shared" si="22"/>
        <v>0</v>
      </c>
      <c r="BT28" s="56"/>
      <c r="BW28" s="55">
        <f t="shared" si="23"/>
        <v>46045</v>
      </c>
      <c r="BX28" s="56"/>
      <c r="BY28" s="65">
        <f>SUMPRODUCT(PRODUCE!$B27:$DY27,PRODUCE!$EB$15:$IY$15)</f>
        <v>66</v>
      </c>
      <c r="BZ28" s="56">
        <v>102</v>
      </c>
      <c r="CA28" s="65">
        <f t="shared" si="24"/>
        <v>-36</v>
      </c>
      <c r="CB28" s="65">
        <f t="shared" si="25"/>
        <v>3284.5</v>
      </c>
      <c r="CC28" s="56"/>
      <c r="CF28" s="55">
        <f t="shared" si="26"/>
        <v>46045</v>
      </c>
      <c r="CG28" s="56">
        <v>401.2</v>
      </c>
      <c r="CH28" s="66">
        <f>SUMPRODUCT(PRODUCE!$B27:$DY27,PRODUCE!$EB$16:$IY$16)</f>
        <v>259.60000000000002</v>
      </c>
      <c r="CI28" s="56">
        <v>401.2</v>
      </c>
      <c r="CJ28" s="66">
        <f t="shared" si="27"/>
        <v>-141.59999999999997</v>
      </c>
      <c r="CK28" s="66">
        <f t="shared" si="28"/>
        <v>0</v>
      </c>
      <c r="CL28" s="56"/>
      <c r="CO28" s="55">
        <f t="shared" si="29"/>
        <v>46045</v>
      </c>
      <c r="CP28" s="422"/>
      <c r="CQ28" s="470">
        <f>SUMPRODUCT(PRODUCE!$B27:$DY27,PRODUCE!$EB$17:$IY$17)</f>
        <v>0</v>
      </c>
      <c r="CR28" s="422"/>
      <c r="CS28" s="470">
        <f t="shared" si="30"/>
        <v>0</v>
      </c>
      <c r="CT28" s="470">
        <f t="shared" si="31"/>
        <v>0</v>
      </c>
      <c r="CU28" s="56"/>
      <c r="CX28" s="55">
        <f t="shared" si="32"/>
        <v>46045</v>
      </c>
      <c r="CY28" s="56"/>
      <c r="CZ28" s="133">
        <f>SUMPRODUCT(PRODUCE!$B27:$DY27,PRODUCE!$EB$18:$IY$18)</f>
        <v>0</v>
      </c>
      <c r="DA28" s="56"/>
      <c r="DB28" s="133">
        <f t="shared" si="33"/>
        <v>0</v>
      </c>
      <c r="DC28" s="133">
        <f t="shared" si="34"/>
        <v>0</v>
      </c>
      <c r="DD28" s="56"/>
      <c r="DG28" s="55">
        <f t="shared" si="35"/>
        <v>46045</v>
      </c>
      <c r="DH28" s="56"/>
      <c r="DI28" s="147">
        <f>SUMPRODUCT(PRODUCE!$B27:$DY27,PRODUCE!$EB$19:$IY$19)</f>
        <v>0</v>
      </c>
      <c r="DJ28" s="56"/>
      <c r="DK28" s="147">
        <f t="shared" si="36"/>
        <v>0</v>
      </c>
      <c r="DL28" s="147">
        <f t="shared" si="37"/>
        <v>23572.799999999996</v>
      </c>
      <c r="DM28" s="56"/>
      <c r="DP28" s="55">
        <f t="shared" si="38"/>
        <v>46045</v>
      </c>
      <c r="DQ28" s="56"/>
      <c r="DR28" s="57">
        <f>SUMPRODUCT(PRODUCE!$B27:$DY27,PRODUCE!$EB$20:$IY$20)</f>
        <v>0</v>
      </c>
      <c r="DS28" s="56"/>
      <c r="DT28" s="57">
        <f t="shared" si="39"/>
        <v>0</v>
      </c>
      <c r="DU28" s="57">
        <f t="shared" si="40"/>
        <v>0</v>
      </c>
      <c r="DV28" s="56"/>
      <c r="DY28" s="55">
        <f t="shared" si="41"/>
        <v>46045</v>
      </c>
      <c r="DZ28" s="56"/>
      <c r="EA28" s="157">
        <f>SUMPRODUCT(PRODUCE!$B27:$DY27,PRODUCE!$EB$21:$IY$21)</f>
        <v>0</v>
      </c>
      <c r="EB28" s="56"/>
      <c r="EC28" s="157">
        <f t="shared" si="42"/>
        <v>0</v>
      </c>
      <c r="ED28" s="157">
        <f t="shared" si="43"/>
        <v>0</v>
      </c>
      <c r="EE28" s="56"/>
      <c r="EH28" s="55">
        <f t="shared" si="44"/>
        <v>46045</v>
      </c>
      <c r="EI28" s="56"/>
      <c r="EJ28" s="162">
        <f>SUMPRODUCT(PRODUCE!$B27:$DY27,PRODUCE!$EB$22:$IY$22)</f>
        <v>0</v>
      </c>
      <c r="EK28" s="56"/>
      <c r="EL28" s="162">
        <f t="shared" si="45"/>
        <v>0</v>
      </c>
      <c r="EM28" s="162">
        <f t="shared" si="46"/>
        <v>0</v>
      </c>
      <c r="EN28" s="56"/>
      <c r="EQ28" s="55">
        <f t="shared" si="47"/>
        <v>46045</v>
      </c>
      <c r="ER28" s="56"/>
      <c r="ES28" s="135">
        <f>SUMPRODUCT(PRODUCE!$B27:$DY27,PRODUCE!$EB$23:$IY$23)</f>
        <v>0</v>
      </c>
      <c r="ET28" s="56"/>
      <c r="EU28" s="135">
        <f t="shared" si="48"/>
        <v>0</v>
      </c>
      <c r="EV28" s="135">
        <f t="shared" si="49"/>
        <v>0</v>
      </c>
      <c r="EW28" s="56"/>
      <c r="EZ28" s="55">
        <f t="shared" si="50"/>
        <v>46045</v>
      </c>
      <c r="FA28" s="56"/>
      <c r="FB28" s="175">
        <f>SUMPRODUCT(PRODUCE!$B27:$DY27,PRODUCE!$EB$24:$IY$24)</f>
        <v>0</v>
      </c>
      <c r="FC28" s="56"/>
      <c r="FD28" s="175">
        <f t="shared" si="51"/>
        <v>0</v>
      </c>
      <c r="FE28" s="175">
        <f t="shared" si="52"/>
        <v>0</v>
      </c>
      <c r="FF28" s="56"/>
      <c r="FI28" s="55">
        <f t="shared" si="53"/>
        <v>46045</v>
      </c>
      <c r="FJ28" s="56"/>
      <c r="FK28" s="183">
        <f>SUMPRODUCT(PRODUCE!$B27:$DY27,PRODUCE!$EB$25:$IY$25)</f>
        <v>0</v>
      </c>
      <c r="FL28" s="56"/>
      <c r="FM28" s="183">
        <f t="shared" si="54"/>
        <v>0</v>
      </c>
      <c r="FN28" s="183">
        <f t="shared" si="55"/>
        <v>0</v>
      </c>
      <c r="FO28" s="56"/>
      <c r="FR28" s="55">
        <f t="shared" si="56"/>
        <v>46045</v>
      </c>
      <c r="FS28" s="422"/>
      <c r="FT28" s="452">
        <f>SUMPRODUCT(PRODUCE!$B27:$DY27,PRODUCE!$EB$26:$IY$26)</f>
        <v>0</v>
      </c>
      <c r="FU28" s="422"/>
      <c r="FV28" s="452">
        <f t="shared" si="57"/>
        <v>0</v>
      </c>
      <c r="FW28" s="452">
        <f t="shared" si="58"/>
        <v>3540</v>
      </c>
      <c r="FX28" s="56"/>
      <c r="GA28" s="55">
        <f t="shared" si="59"/>
        <v>46045</v>
      </c>
      <c r="GB28" s="422"/>
      <c r="GC28" s="454">
        <f>SUMPRODUCT(PRODUCE!$B27:$DY27,PRODUCE!$EB$27:$IY$27)</f>
        <v>0</v>
      </c>
      <c r="GD28" s="422"/>
      <c r="GE28" s="454">
        <f t="shared" si="60"/>
        <v>0</v>
      </c>
      <c r="GF28" s="454">
        <f t="shared" si="61"/>
        <v>1960</v>
      </c>
      <c r="GG28" s="56"/>
      <c r="GI28" s="23"/>
      <c r="GJ28" s="55">
        <f t="shared" si="62"/>
        <v>46045</v>
      </c>
      <c r="GK28" s="422"/>
      <c r="GL28" s="456">
        <f>SUMPRODUCT(PRODUCE!$B27:$DY27,PRODUCE!$EB$28:$IY$28)</f>
        <v>480</v>
      </c>
      <c r="GM28" s="422">
        <v>1720</v>
      </c>
      <c r="GN28" s="456">
        <f t="shared" si="63"/>
        <v>-1240</v>
      </c>
      <c r="GO28" s="456">
        <f t="shared" si="64"/>
        <v>4440</v>
      </c>
      <c r="GP28" s="463">
        <f>GM28/20</f>
        <v>86</v>
      </c>
      <c r="GQ28" s="464" t="s">
        <v>173</v>
      </c>
      <c r="GS28" s="55">
        <f t="shared" si="65"/>
        <v>46045</v>
      </c>
      <c r="GT28" s="56"/>
      <c r="GU28" s="195">
        <f>SUMPRODUCT(PRODUCE!$B27:$DY27,PRODUCE!$EB$29:$IY$29)</f>
        <v>0</v>
      </c>
      <c r="GV28" s="56"/>
      <c r="GW28" s="195">
        <f t="shared" si="66"/>
        <v>0</v>
      </c>
      <c r="GX28" s="195">
        <f t="shared" si="67"/>
        <v>0</v>
      </c>
      <c r="GY28" s="56"/>
      <c r="HB28" s="55">
        <f t="shared" si="68"/>
        <v>46045</v>
      </c>
      <c r="HC28" s="56"/>
      <c r="HD28" s="191">
        <f>SUMPRODUCT(PRODUCE!$B27:$DY27,PRODUCE!$EB$30:$IY$30)</f>
        <v>0</v>
      </c>
      <c r="HE28" s="56"/>
      <c r="HF28" s="191">
        <f t="shared" si="69"/>
        <v>0</v>
      </c>
      <c r="HG28" s="191">
        <f t="shared" si="70"/>
        <v>0</v>
      </c>
      <c r="HH28" s="56"/>
      <c r="HK28" s="55">
        <f t="shared" si="71"/>
        <v>46045</v>
      </c>
      <c r="HL28" s="56"/>
      <c r="HM28" s="63">
        <f>SUMPRODUCT(PRODUCE!$B27:$DY27,PRODUCE!$EB$31:$IY$31)</f>
        <v>0</v>
      </c>
      <c r="HN28" s="56"/>
      <c r="HO28" s="63">
        <f t="shared" si="72"/>
        <v>0</v>
      </c>
      <c r="HP28" s="63">
        <f t="shared" si="73"/>
        <v>0</v>
      </c>
      <c r="HQ28" s="56"/>
      <c r="HU28" s="55">
        <f t="shared" si="74"/>
        <v>46045</v>
      </c>
      <c r="HV28" s="56"/>
      <c r="HW28" s="242">
        <f>SUMPRODUCT(PRODUCE!$B27:$DY27,PRODUCE!$EB$32:$IY$32)</f>
        <v>880</v>
      </c>
      <c r="HX28" s="56">
        <v>1360</v>
      </c>
      <c r="HY28" s="242">
        <f t="shared" si="75"/>
        <v>-480</v>
      </c>
      <c r="HZ28" s="242">
        <f t="shared" si="76"/>
        <v>1440</v>
      </c>
      <c r="IA28" s="463">
        <f>HX28/20</f>
        <v>68</v>
      </c>
      <c r="IB28" s="464" t="s">
        <v>173</v>
      </c>
      <c r="ID28" s="55">
        <f t="shared" si="77"/>
        <v>46045</v>
      </c>
      <c r="IE28" s="56"/>
      <c r="IF28" s="242">
        <f>SUMPRODUCT(PRODUCE!$B27:$DY27,PRODUCE!$EB$33:$IY$33)</f>
        <v>0</v>
      </c>
      <c r="IG28" s="56"/>
      <c r="IH28" s="242">
        <f t="shared" si="78"/>
        <v>0</v>
      </c>
      <c r="II28" s="242">
        <f t="shared" si="79"/>
        <v>5100</v>
      </c>
      <c r="IJ28" s="463"/>
      <c r="IK28" s="464"/>
      <c r="IM28" s="55">
        <f t="shared" si="80"/>
        <v>46045</v>
      </c>
      <c r="IN28" s="56"/>
      <c r="IO28" s="242">
        <f>SUMPRODUCT(PRODUCE!$B27:$DY27,PRODUCE!$EB$34:$IY$34)</f>
        <v>0</v>
      </c>
      <c r="IP28" s="56">
        <v>2400</v>
      </c>
      <c r="IQ28" s="242">
        <f t="shared" si="81"/>
        <v>-2400</v>
      </c>
      <c r="IR28" s="242">
        <f t="shared" si="82"/>
        <v>12640</v>
      </c>
      <c r="IS28" s="463">
        <f>IP28/20</f>
        <v>120</v>
      </c>
      <c r="IT28" s="464" t="s">
        <v>173</v>
      </c>
      <c r="IV28" s="55">
        <f t="shared" si="83"/>
        <v>46045</v>
      </c>
      <c r="IW28" s="56"/>
      <c r="IX28" s="242">
        <f>SUMPRODUCT(PRODUCE!$B27:$DY27,PRODUCE!$EB$35:$IY$35)</f>
        <v>0</v>
      </c>
      <c r="IY28" s="56"/>
      <c r="IZ28" s="242">
        <f t="shared" si="84"/>
        <v>0</v>
      </c>
      <c r="JA28" s="242">
        <f t="shared" si="85"/>
        <v>9120</v>
      </c>
      <c r="JB28" s="56"/>
      <c r="JE28" s="55">
        <f t="shared" si="86"/>
        <v>46045</v>
      </c>
      <c r="JF28" s="56"/>
      <c r="JG28" s="242">
        <f>SUMPRODUCT(PRODUCE!$B27:$DY27,PRODUCE!$EB$36:$IY$36)</f>
        <v>0</v>
      </c>
      <c r="JH28" s="56"/>
      <c r="JI28" s="242">
        <f t="shared" si="87"/>
        <v>0</v>
      </c>
      <c r="JJ28" s="242">
        <f t="shared" si="88"/>
        <v>6800</v>
      </c>
      <c r="JK28" s="56"/>
      <c r="JN28" s="55">
        <f t="shared" si="89"/>
        <v>46045</v>
      </c>
      <c r="JO28" s="56"/>
      <c r="JP28" s="242">
        <f>SUMPRODUCT(PRODUCE!$B27:$DY27,PRODUCE!$EB$37:$IY$37)</f>
        <v>0</v>
      </c>
      <c r="JQ28" s="56"/>
      <c r="JR28" s="242">
        <f t="shared" si="90"/>
        <v>0</v>
      </c>
      <c r="JS28" s="242">
        <f t="shared" si="91"/>
        <v>5400</v>
      </c>
      <c r="JT28" s="56"/>
      <c r="JW28" s="55">
        <f t="shared" si="92"/>
        <v>46045</v>
      </c>
      <c r="JX28" s="56"/>
      <c r="JY28" s="242">
        <f>SUMPRODUCT(PRODUCE!$B27:$DY27,PRODUCE!$EB$38:$IY$38)</f>
        <v>0</v>
      </c>
      <c r="JZ28" s="56"/>
      <c r="KA28" s="242">
        <f t="shared" si="93"/>
        <v>0</v>
      </c>
      <c r="KB28" s="242">
        <f t="shared" si="94"/>
        <v>0</v>
      </c>
      <c r="KC28" s="56"/>
      <c r="KF28" s="55">
        <f t="shared" si="95"/>
        <v>46045</v>
      </c>
      <c r="KG28" s="56"/>
      <c r="KH28" s="242">
        <f>SUMPRODUCT(PRODUCE!$B27:$DY27,PRODUCE!$EB$39:$IY$39)</f>
        <v>0</v>
      </c>
      <c r="KI28" s="56"/>
      <c r="KJ28" s="242">
        <f t="shared" si="96"/>
        <v>0</v>
      </c>
      <c r="KK28" s="242">
        <f t="shared" si="97"/>
        <v>0</v>
      </c>
      <c r="KL28" s="56"/>
      <c r="KO28" s="55">
        <f t="shared" si="98"/>
        <v>46045</v>
      </c>
      <c r="KP28" s="56"/>
      <c r="KQ28" s="242">
        <f>SUMPRODUCT(PRODUCE!$B27:$DY27,PRODUCE!$EB$40:$IY$40)</f>
        <v>0</v>
      </c>
      <c r="KR28" s="56"/>
      <c r="KS28" s="242">
        <f t="shared" si="99"/>
        <v>0</v>
      </c>
      <c r="KT28" s="242">
        <f t="shared" si="100"/>
        <v>0</v>
      </c>
      <c r="KU28" s="56"/>
      <c r="KW28" s="23"/>
      <c r="KX28" s="55">
        <f t="shared" si="101"/>
        <v>46045</v>
      </c>
      <c r="KY28" s="56"/>
      <c r="KZ28" s="242">
        <f>SUMPRODUCT(PRODUCE!$B27:$DY27,PRODUCE!$EB$41:$IY$41)</f>
        <v>0</v>
      </c>
      <c r="LA28" s="56"/>
      <c r="LB28" s="242">
        <f t="shared" si="102"/>
        <v>0</v>
      </c>
      <c r="LC28" s="242">
        <f t="shared" si="103"/>
        <v>0</v>
      </c>
      <c r="LD28" s="56"/>
      <c r="LG28" s="55">
        <f t="shared" si="104"/>
        <v>46045</v>
      </c>
      <c r="LH28" s="56"/>
      <c r="LI28" s="242">
        <f>SUMPRODUCT(PRODUCE!$B27:$DY27,PRODUCE!$EB$42:$IY$42)</f>
        <v>0</v>
      </c>
      <c r="LJ28" s="56"/>
      <c r="LK28" s="242">
        <f t="shared" si="105"/>
        <v>0</v>
      </c>
      <c r="LL28" s="242">
        <f t="shared" si="106"/>
        <v>0</v>
      </c>
      <c r="LM28" s="56"/>
      <c r="LP28" s="55">
        <f t="shared" si="107"/>
        <v>46045</v>
      </c>
      <c r="LQ28" s="56"/>
      <c r="LR28" s="242">
        <f>SUMPRODUCT(PRODUCE!$B27:$DY27,PRODUCE!$EB$43:$IY$43)</f>
        <v>0</v>
      </c>
      <c r="LS28" s="56"/>
      <c r="LT28" s="242">
        <f t="shared" si="108"/>
        <v>0</v>
      </c>
      <c r="LU28" s="242">
        <f t="shared" si="109"/>
        <v>0</v>
      </c>
      <c r="LV28" s="56"/>
      <c r="LY28" s="55">
        <f t="shared" si="110"/>
        <v>46045</v>
      </c>
      <c r="LZ28" s="56"/>
      <c r="MA28" s="242">
        <f>SUMPRODUCT(PRODUCE!$B27:$DY27,PRODUCE!$EB$44:$IY$44)</f>
        <v>0</v>
      </c>
      <c r="MB28" s="56"/>
      <c r="MC28" s="242">
        <f t="shared" si="111"/>
        <v>0</v>
      </c>
      <c r="MD28" s="242">
        <f t="shared" si="112"/>
        <v>0</v>
      </c>
      <c r="ME28" s="56"/>
      <c r="MH28" s="55">
        <f t="shared" si="113"/>
        <v>46045</v>
      </c>
      <c r="MI28" s="56"/>
      <c r="MJ28" s="242">
        <f>SUMPRODUCT(PRODUCE!$B27:$DY27,PRODUCE!$EB$45:$IY$45)</f>
        <v>0</v>
      </c>
      <c r="MK28" s="56"/>
      <c r="ML28" s="242">
        <f t="shared" si="114"/>
        <v>0</v>
      </c>
      <c r="MM28" s="242">
        <f t="shared" si="115"/>
        <v>0</v>
      </c>
      <c r="MN28" s="56"/>
      <c r="MQ28" s="55">
        <f t="shared" si="116"/>
        <v>46045</v>
      </c>
      <c r="MR28" s="56"/>
      <c r="MS28" s="242">
        <f>SUMPRODUCT(PRODUCE!$B27:$DY27,PRODUCE!$EB$46:$IY$46)</f>
        <v>34</v>
      </c>
      <c r="MT28" s="56">
        <f>34+60+43</f>
        <v>137</v>
      </c>
      <c r="MU28" s="242">
        <f t="shared" si="117"/>
        <v>-103</v>
      </c>
      <c r="MV28" s="242">
        <f t="shared" si="118"/>
        <v>1059</v>
      </c>
      <c r="MW28" s="56"/>
      <c r="MZ28" s="55">
        <f t="shared" si="119"/>
        <v>46045</v>
      </c>
      <c r="NA28" s="56">
        <v>564</v>
      </c>
      <c r="NB28" s="242">
        <f>SUMPRODUCT(PRODUCE!$B27:$DY27,PRODUCE!$EB$47:$IY$47)</f>
        <v>132</v>
      </c>
      <c r="NC28" s="56">
        <f>204+360</f>
        <v>564</v>
      </c>
      <c r="ND28" s="242">
        <f t="shared" si="120"/>
        <v>-432</v>
      </c>
      <c r="NE28" s="242">
        <f t="shared" si="121"/>
        <v>0</v>
      </c>
      <c r="NF28" s="56"/>
      <c r="NI28" s="55">
        <f t="shared" si="122"/>
        <v>46045</v>
      </c>
      <c r="NJ28" s="56"/>
      <c r="NK28" s="242">
        <f>SUMPRODUCT(PRODUCE!$B27:$DY27,PRODUCE!$EB$48:$IY$48)</f>
        <v>0</v>
      </c>
      <c r="NL28" s="56"/>
      <c r="NM28" s="242">
        <f t="shared" si="123"/>
        <v>0</v>
      </c>
      <c r="NN28" s="242">
        <f t="shared" si="124"/>
        <v>0</v>
      </c>
      <c r="NO28" s="56"/>
      <c r="NR28" s="55">
        <f t="shared" si="125"/>
        <v>46045</v>
      </c>
      <c r="NS28" s="56"/>
      <c r="NT28" s="242">
        <f>SUMPRODUCT(PRODUCE!$B27:$DY27,PRODUCE!$EB$49:$IY$49)</f>
        <v>0</v>
      </c>
      <c r="NU28" s="56"/>
      <c r="NV28" s="242">
        <f t="shared" si="126"/>
        <v>0</v>
      </c>
      <c r="NW28" s="242">
        <f t="shared" si="127"/>
        <v>0</v>
      </c>
      <c r="NX28" s="56"/>
      <c r="OA28" s="55">
        <f t="shared" si="128"/>
        <v>46045</v>
      </c>
      <c r="OB28" s="56"/>
      <c r="OC28" s="242">
        <f>SUMPRODUCT(PRODUCE!$B27:$DY27,PRODUCE!$EB$50:$IY$50)</f>
        <v>0</v>
      </c>
      <c r="OD28" s="56"/>
      <c r="OE28" s="242">
        <f t="shared" si="129"/>
        <v>0</v>
      </c>
      <c r="OF28" s="242">
        <f t="shared" si="130"/>
        <v>1680.5</v>
      </c>
      <c r="OG28" s="56"/>
      <c r="OJ28" s="55">
        <f t="shared" si="131"/>
        <v>46045</v>
      </c>
      <c r="OK28" s="56"/>
      <c r="OL28" s="242">
        <f>SUMPRODUCT(PRODUCE!$B27:$DY27,PRODUCE!$EB$51:$IY$51)</f>
        <v>0</v>
      </c>
      <c r="OM28" s="56"/>
      <c r="ON28" s="242">
        <f t="shared" si="132"/>
        <v>0</v>
      </c>
      <c r="OO28" s="242">
        <f t="shared" si="133"/>
        <v>0</v>
      </c>
      <c r="OP28" s="56"/>
      <c r="OS28" s="55">
        <f t="shared" si="134"/>
        <v>46045</v>
      </c>
      <c r="OT28" s="56"/>
      <c r="OU28" s="242">
        <f>SUMPRODUCT(PRODUCE!$B27:$DY27,PRODUCE!$EB$52:$IY$52)</f>
        <v>0</v>
      </c>
      <c r="OV28" s="56"/>
      <c r="OW28" s="242">
        <f t="shared" si="135"/>
        <v>0</v>
      </c>
      <c r="OX28" s="242">
        <f t="shared" si="136"/>
        <v>67</v>
      </c>
      <c r="OY28" s="56"/>
      <c r="PB28" s="55">
        <f t="shared" si="137"/>
        <v>46045</v>
      </c>
      <c r="PC28" s="56">
        <v>188</v>
      </c>
      <c r="PD28" s="242">
        <f>SUMPRODUCT(PRODUCE!$B27:$DY27,PRODUCE!$EB$53:$IY$53)</f>
        <v>0</v>
      </c>
      <c r="PE28" s="56">
        <f>68+120</f>
        <v>188</v>
      </c>
      <c r="PF28" s="242">
        <f t="shared" si="138"/>
        <v>-188</v>
      </c>
      <c r="PG28" s="242">
        <f t="shared" si="139"/>
        <v>0</v>
      </c>
      <c r="PH28" s="56"/>
      <c r="PK28" s="55">
        <f t="shared" si="140"/>
        <v>46045</v>
      </c>
      <c r="PL28" s="56"/>
      <c r="PM28" s="242">
        <f>SUMPRODUCT(PRODUCE!$B27:$DY27,PRODUCE!$EB$54:$IY$54)</f>
        <v>0</v>
      </c>
      <c r="PN28" s="56"/>
      <c r="PO28" s="242">
        <f t="shared" si="141"/>
        <v>0</v>
      </c>
      <c r="PP28" s="242">
        <f t="shared" si="142"/>
        <v>160</v>
      </c>
      <c r="PQ28" s="56"/>
      <c r="PT28" s="55">
        <f t="shared" si="143"/>
        <v>46045</v>
      </c>
      <c r="PU28" s="56"/>
      <c r="PV28" s="242">
        <f>SUMPRODUCT(PRODUCE!$B27:$DY27,PRODUCE!$EB$55:$IY$55)</f>
        <v>0</v>
      </c>
      <c r="PW28" s="56"/>
      <c r="PX28" s="242">
        <f t="shared" si="144"/>
        <v>0</v>
      </c>
      <c r="PY28" s="242">
        <f t="shared" si="145"/>
        <v>13.960000000000036</v>
      </c>
      <c r="PZ28" s="56"/>
      <c r="QC28" s="55">
        <f t="shared" si="146"/>
        <v>46045</v>
      </c>
      <c r="QD28" s="56"/>
      <c r="QE28" s="242">
        <f>SUMPRODUCT(PRODUCE!$B27:$DY27,PRODUCE!$EB$56:$IY$56)</f>
        <v>0</v>
      </c>
      <c r="QF28" s="56"/>
      <c r="QG28" s="242">
        <f t="shared" si="147"/>
        <v>0</v>
      </c>
      <c r="QH28" s="242">
        <f t="shared" si="148"/>
        <v>0</v>
      </c>
      <c r="QI28" s="56"/>
      <c r="QL28" s="55">
        <f t="shared" si="149"/>
        <v>46045</v>
      </c>
      <c r="QM28" s="56"/>
      <c r="QN28" s="242">
        <f>SUMPRODUCT(PRODUCE!$B27:$DY27,PRODUCE!$EB$57:$IY$57)</f>
        <v>0</v>
      </c>
      <c r="QO28" s="56"/>
      <c r="QP28" s="242">
        <f t="shared" si="150"/>
        <v>0</v>
      </c>
      <c r="QQ28" s="242">
        <f t="shared" si="151"/>
        <v>0</v>
      </c>
      <c r="QR28" s="56"/>
      <c r="QU28" s="55">
        <f t="shared" si="152"/>
        <v>46045</v>
      </c>
      <c r="QV28" s="56"/>
      <c r="QW28" s="242">
        <f>SUMPRODUCT(PRODUCE!$B27:$DY27,PRODUCE!$EB$57:$IY$57)</f>
        <v>0</v>
      </c>
      <c r="QX28" s="56"/>
      <c r="QY28" s="242">
        <f t="shared" si="153"/>
        <v>0</v>
      </c>
      <c r="QZ28" s="242">
        <f t="shared" si="154"/>
        <v>207.6</v>
      </c>
      <c r="RA28" s="56"/>
      <c r="RD28" s="55">
        <f t="shared" si="155"/>
        <v>46045</v>
      </c>
      <c r="RE28" s="56"/>
      <c r="RF28" s="242">
        <f>SUMPRODUCT(PRODUCE!$B27:$DY27,PRODUCE!$EB$58:$IY$58)</f>
        <v>0</v>
      </c>
      <c r="RG28" s="56"/>
      <c r="RH28" s="242">
        <f t="shared" si="156"/>
        <v>0</v>
      </c>
      <c r="RI28" s="242">
        <f t="shared" si="157"/>
        <v>201.8</v>
      </c>
      <c r="RJ28" s="56"/>
      <c r="RM28" s="55">
        <f t="shared" si="158"/>
        <v>46045</v>
      </c>
      <c r="RN28" s="56"/>
      <c r="RO28" s="242">
        <f>SUMPRODUCT(PRODUCE!$B27:$DY27,PRODUCE!$EB$59:$IY$59)</f>
        <v>0</v>
      </c>
      <c r="RP28" s="56"/>
      <c r="RQ28" s="242">
        <f t="shared" si="159"/>
        <v>0</v>
      </c>
      <c r="RR28" s="242">
        <f t="shared" si="160"/>
        <v>22.720000000000002</v>
      </c>
      <c r="RS28" s="56"/>
      <c r="RV28" s="55">
        <f t="shared" si="161"/>
        <v>46045</v>
      </c>
      <c r="RW28" s="56"/>
      <c r="RX28" s="242">
        <f>SUMPRODUCT(PRODUCE!$B27:$DY27,PRODUCE!$EB$57:$IY$57)</f>
        <v>0</v>
      </c>
      <c r="RY28" s="56"/>
      <c r="RZ28" s="242">
        <f t="shared" si="162"/>
        <v>0</v>
      </c>
      <c r="SA28" s="242">
        <f t="shared" si="163"/>
        <v>0</v>
      </c>
      <c r="SB28" s="56"/>
      <c r="SE28" s="55">
        <f t="shared" si="164"/>
        <v>46045</v>
      </c>
      <c r="SF28" s="56"/>
      <c r="SG28" s="242">
        <f>SUMPRODUCT(PRODUCE!$B27:$DY27,PRODUCE!$EB$61:$IY$61)</f>
        <v>0</v>
      </c>
      <c r="SH28" s="56"/>
      <c r="SI28" s="242">
        <f t="shared" si="165"/>
        <v>0</v>
      </c>
      <c r="SJ28" s="242">
        <f t="shared" si="166"/>
        <v>0</v>
      </c>
      <c r="SK28" s="56"/>
      <c r="SN28" s="55">
        <f t="shared" si="167"/>
        <v>46045</v>
      </c>
      <c r="SO28" s="56"/>
      <c r="SP28" s="242">
        <f>SUMPRODUCT(PRODUCE!$B27:$DY27,PRODUCE!$EB$57:$IY$57)</f>
        <v>0</v>
      </c>
      <c r="SQ28" s="56"/>
      <c r="SR28" s="242">
        <f t="shared" si="168"/>
        <v>0</v>
      </c>
      <c r="SS28" s="242">
        <f t="shared" si="169"/>
        <v>0</v>
      </c>
      <c r="ST28" s="56"/>
      <c r="SW28" s="55">
        <f t="shared" si="170"/>
        <v>46045</v>
      </c>
      <c r="SX28" s="56"/>
      <c r="SY28" s="242">
        <f>SUMPRODUCT(PRODUCE!$B27:$DY27,PRODUCE!$EB$57:$IY$57)</f>
        <v>0</v>
      </c>
      <c r="SZ28" s="56"/>
      <c r="TA28" s="242">
        <f t="shared" si="171"/>
        <v>0</v>
      </c>
      <c r="TB28" s="242">
        <f t="shared" si="172"/>
        <v>0</v>
      </c>
      <c r="TC28" s="56"/>
      <c r="TF28" s="55">
        <f t="shared" si="173"/>
        <v>46045</v>
      </c>
      <c r="TG28" s="56"/>
      <c r="TH28" s="242">
        <f>SUMPRODUCT(PRODUCE!$B27:$DY27,PRODUCE!$EB$57:$IY$57)</f>
        <v>0</v>
      </c>
      <c r="TI28" s="56"/>
      <c r="TJ28" s="242">
        <f t="shared" si="174"/>
        <v>0</v>
      </c>
      <c r="TK28" s="242">
        <f t="shared" si="175"/>
        <v>0</v>
      </c>
      <c r="TL28" s="56"/>
      <c r="TO28" s="55">
        <f t="shared" si="176"/>
        <v>46045</v>
      </c>
      <c r="TP28" s="56"/>
      <c r="TQ28" s="242">
        <f>SUMPRODUCT(PRODUCE!$B27:$DY27,PRODUCE!$EB$57:$IY$57)</f>
        <v>0</v>
      </c>
      <c r="TR28" s="56"/>
      <c r="TS28" s="242">
        <f t="shared" si="177"/>
        <v>0</v>
      </c>
      <c r="TT28" s="242">
        <f t="shared" si="178"/>
        <v>0</v>
      </c>
      <c r="TU28" s="56"/>
      <c r="TX28" s="55">
        <f t="shared" si="179"/>
        <v>46045</v>
      </c>
      <c r="TY28" s="56"/>
      <c r="TZ28" s="242">
        <f>SUMPRODUCT(PRODUCE!$B27:$DY27,PRODUCE!$EB$57:$IY$57)</f>
        <v>0</v>
      </c>
      <c r="UA28" s="56"/>
      <c r="UB28" s="242">
        <f t="shared" si="180"/>
        <v>0</v>
      </c>
      <c r="UC28" s="242">
        <f t="shared" si="181"/>
        <v>0</v>
      </c>
      <c r="UD28" s="56"/>
      <c r="UG28" s="55">
        <f t="shared" si="182"/>
        <v>46045</v>
      </c>
      <c r="UH28" s="56"/>
      <c r="UI28" s="242">
        <f>SUMPRODUCT(PRODUCE!$B27:$DY27,PRODUCE!$EB$57:$IY$57)</f>
        <v>0</v>
      </c>
      <c r="UJ28" s="56"/>
      <c r="UK28" s="242">
        <f t="shared" si="183"/>
        <v>0</v>
      </c>
      <c r="UL28" s="242">
        <f t="shared" si="184"/>
        <v>0</v>
      </c>
      <c r="UM28" s="56"/>
      <c r="UP28" s="55">
        <f t="shared" si="185"/>
        <v>46045</v>
      </c>
      <c r="UQ28" s="56"/>
      <c r="UR28" s="242">
        <f>SUMPRODUCT(PRODUCE!$B27:$DY27,PRODUCE!$EB$57:$IY$57)</f>
        <v>0</v>
      </c>
      <c r="US28" s="56"/>
      <c r="UT28" s="242">
        <f t="shared" si="186"/>
        <v>0</v>
      </c>
      <c r="UU28" s="242">
        <f t="shared" si="187"/>
        <v>0</v>
      </c>
      <c r="UV28" s="56"/>
      <c r="UY28" s="55">
        <f t="shared" si="188"/>
        <v>46045</v>
      </c>
      <c r="UZ28" s="56"/>
      <c r="VA28" s="242">
        <f>SUMPRODUCT(PRODUCE!$B27:$DY27,PRODUCE!$EB$57:$IY$57)</f>
        <v>0</v>
      </c>
      <c r="VB28" s="56"/>
      <c r="VC28" s="242">
        <f t="shared" si="189"/>
        <v>0</v>
      </c>
      <c r="VD28" s="242">
        <f t="shared" si="190"/>
        <v>-319.59999999999997</v>
      </c>
      <c r="VE28" s="56"/>
      <c r="VH28" s="55">
        <f t="shared" si="191"/>
        <v>46045</v>
      </c>
      <c r="VI28" s="56"/>
      <c r="VJ28" s="242">
        <f>SUMPRODUCT(PRODUCE!$B27:$DY27,PRODUCE!$EB$57:$IY$57)</f>
        <v>0</v>
      </c>
      <c r="VK28" s="56"/>
      <c r="VL28" s="242">
        <f t="shared" si="192"/>
        <v>0</v>
      </c>
      <c r="VM28" s="242">
        <f t="shared" si="193"/>
        <v>0</v>
      </c>
      <c r="VN28" s="56"/>
      <c r="VQ28" s="55">
        <f t="shared" si="194"/>
        <v>46045</v>
      </c>
      <c r="VR28" s="56"/>
      <c r="VS28" s="242">
        <f>SUMPRODUCT(PRODUCE!$B27:$DY27,PRODUCE!$EB$57:$IY$57)</f>
        <v>0</v>
      </c>
      <c r="VT28" s="56"/>
      <c r="VU28" s="242">
        <f t="shared" si="195"/>
        <v>0</v>
      </c>
      <c r="VV28" s="242">
        <f t="shared" si="196"/>
        <v>0</v>
      </c>
      <c r="VW28" s="56"/>
      <c r="VZ28" s="55">
        <f t="shared" si="197"/>
        <v>46045</v>
      </c>
      <c r="WA28" s="56"/>
      <c r="WB28" s="242">
        <f>SUMPRODUCT(PRODUCE!$B27:$DY27,PRODUCE!$EB$57:$IY$57)</f>
        <v>0</v>
      </c>
      <c r="WC28" s="56"/>
      <c r="WD28" s="242">
        <f t="shared" si="198"/>
        <v>0</v>
      </c>
      <c r="WE28" s="242">
        <f t="shared" si="199"/>
        <v>0</v>
      </c>
      <c r="WF28" s="56"/>
      <c r="WI28" s="55">
        <f t="shared" si="200"/>
        <v>46045</v>
      </c>
      <c r="WJ28" s="56"/>
      <c r="WK28" s="242">
        <f>SUMPRODUCT(PRODUCE!$B27:$DY27,PRODUCE!$EB$57:$IY$57)</f>
        <v>0</v>
      </c>
      <c r="WL28" s="56"/>
      <c r="WM28" s="242">
        <f t="shared" si="201"/>
        <v>0</v>
      </c>
      <c r="WN28" s="242">
        <f t="shared" si="202"/>
        <v>9940</v>
      </c>
      <c r="WO28" s="56"/>
      <c r="WR28" s="55">
        <f t="shared" si="203"/>
        <v>46045</v>
      </c>
      <c r="WS28" s="56"/>
      <c r="WT28" s="242">
        <f>SUMPRODUCT(PRODUCE!$B27:$DY27,PRODUCE!$EB$57:$IY$57)</f>
        <v>0</v>
      </c>
      <c r="WU28" s="56"/>
      <c r="WV28" s="242">
        <f t="shared" si="204"/>
        <v>0</v>
      </c>
      <c r="WW28" s="242">
        <f t="shared" si="205"/>
        <v>8149</v>
      </c>
      <c r="WX28" s="56"/>
      <c r="XA28" s="55">
        <f t="shared" si="206"/>
        <v>46045</v>
      </c>
      <c r="XB28" s="56"/>
      <c r="XC28" s="242">
        <f>SUMPRODUCT(PRODUCE!$B27:$DY27,PRODUCE!$EB$57:$IY$57)</f>
        <v>0</v>
      </c>
      <c r="XD28" s="56">
        <v>531</v>
      </c>
      <c r="XE28" s="242">
        <f t="shared" si="207"/>
        <v>-531</v>
      </c>
      <c r="XF28" s="242">
        <f t="shared" si="208"/>
        <v>2723</v>
      </c>
      <c r="XG28" s="56"/>
      <c r="XJ28" s="55">
        <f t="shared" si="209"/>
        <v>46045</v>
      </c>
      <c r="XK28" s="56"/>
      <c r="XL28" s="242">
        <f>SUMPRODUCT(PRODUCE!$B27:$DY27,PRODUCE!$EB$57:$IY$57)</f>
        <v>0</v>
      </c>
      <c r="XM28" s="56">
        <v>912</v>
      </c>
      <c r="XN28" s="242">
        <f t="shared" si="210"/>
        <v>-912</v>
      </c>
      <c r="XO28" s="242">
        <f t="shared" si="211"/>
        <v>6997</v>
      </c>
      <c r="XP28" s="56"/>
      <c r="XS28" s="55">
        <f t="shared" si="212"/>
        <v>46045</v>
      </c>
      <c r="XT28" s="56"/>
      <c r="XU28" s="242">
        <f>SUMPRODUCT(PRODUCE!$B27:$DY27,PRODUCE!$EB$57:$IY$57)</f>
        <v>0</v>
      </c>
      <c r="XV28" s="56"/>
      <c r="XW28" s="242">
        <f t="shared" si="213"/>
        <v>0</v>
      </c>
      <c r="XX28" s="242">
        <f t="shared" si="214"/>
        <v>1901</v>
      </c>
      <c r="XY28" s="56"/>
      <c r="YB28" s="55">
        <f t="shared" si="215"/>
        <v>46045</v>
      </c>
      <c r="YC28" s="56"/>
      <c r="YD28" s="242">
        <f>SUMPRODUCT(PRODUCE!$B27:$DY27,PRODUCE!$EB$57:$IY$57)</f>
        <v>0</v>
      </c>
      <c r="YE28" s="56"/>
      <c r="YF28" s="242">
        <f t="shared" si="216"/>
        <v>0</v>
      </c>
      <c r="YG28" s="242">
        <f t="shared" si="217"/>
        <v>2671</v>
      </c>
      <c r="YH28" s="56"/>
      <c r="YK28" s="55">
        <f t="shared" si="218"/>
        <v>46045</v>
      </c>
      <c r="YL28" s="56"/>
      <c r="YM28" s="242">
        <f>SUMPRODUCT(PRODUCE!$B27:$DY27,PRODUCE!$EB$57:$IY$57)</f>
        <v>0</v>
      </c>
      <c r="YN28" s="56"/>
      <c r="YO28" s="242">
        <f t="shared" si="219"/>
        <v>0</v>
      </c>
      <c r="YP28" s="242">
        <f t="shared" si="220"/>
        <v>0</v>
      </c>
      <c r="YQ28" s="56"/>
      <c r="YT28" s="55">
        <f t="shared" si="221"/>
        <v>46045</v>
      </c>
      <c r="YU28" s="56"/>
      <c r="YV28" s="242">
        <f>SUMPRODUCT(PRODUCE!$B27:$DY27,PRODUCE!$EB$57:$IY$57)</f>
        <v>0</v>
      </c>
      <c r="YW28" s="56"/>
      <c r="YX28" s="242">
        <f t="shared" si="222"/>
        <v>0</v>
      </c>
      <c r="YY28" s="242">
        <f t="shared" si="223"/>
        <v>0</v>
      </c>
      <c r="YZ28" s="56"/>
      <c r="ZC28" s="55">
        <f t="shared" si="224"/>
        <v>46045</v>
      </c>
      <c r="ZD28" s="56"/>
      <c r="ZE28" s="242">
        <f>SUMPRODUCT(PRODUCE!$B27:$DY27,PRODUCE!$EB$57:$IY$57)</f>
        <v>0</v>
      </c>
      <c r="ZF28" s="56"/>
      <c r="ZG28" s="242">
        <f t="shared" si="225"/>
        <v>0</v>
      </c>
      <c r="ZH28" s="242">
        <f t="shared" si="226"/>
        <v>0</v>
      </c>
      <c r="ZI28" s="56"/>
      <c r="ZL28" s="55">
        <f t="shared" si="227"/>
        <v>46045</v>
      </c>
      <c r="ZM28" s="56"/>
      <c r="ZN28" s="242">
        <f>SUMPRODUCT(PRODUCE!$B27:$DY27,PRODUCE!$EB$57:$IY$57)</f>
        <v>0</v>
      </c>
      <c r="ZO28" s="56"/>
      <c r="ZP28" s="242">
        <f t="shared" si="228"/>
        <v>0</v>
      </c>
      <c r="ZQ28" s="242">
        <f t="shared" si="229"/>
        <v>0</v>
      </c>
      <c r="ZR28" s="56"/>
      <c r="ZU28" s="55">
        <f t="shared" si="230"/>
        <v>46045</v>
      </c>
      <c r="ZV28" s="56"/>
      <c r="ZW28" s="242">
        <f>SUMPRODUCT(PRODUCE!$B27:$DY27,PRODUCE!$EB$57:$IY$57)</f>
        <v>0</v>
      </c>
      <c r="ZX28" s="56"/>
      <c r="ZY28" s="242">
        <f t="shared" si="231"/>
        <v>0</v>
      </c>
      <c r="ZZ28" s="242">
        <f t="shared" si="232"/>
        <v>0</v>
      </c>
      <c r="AAA28" s="56"/>
      <c r="AAD28" s="55">
        <f t="shared" si="233"/>
        <v>46045</v>
      </c>
      <c r="AAE28" s="56"/>
      <c r="AAF28" s="242">
        <f>SUMPRODUCT(PRODUCE!$B27:$DY27,PRODUCE!$EB$57:$IY$57)</f>
        <v>0</v>
      </c>
      <c r="AAG28" s="56"/>
      <c r="AAH28" s="242">
        <f t="shared" si="234"/>
        <v>0</v>
      </c>
      <c r="AAI28" s="242">
        <f t="shared" si="235"/>
        <v>0</v>
      </c>
      <c r="AAJ28" s="56"/>
      <c r="AAM28" s="55">
        <f t="shared" si="236"/>
        <v>46045</v>
      </c>
      <c r="AAN28" s="56"/>
      <c r="AAO28" s="242">
        <f>SUMPRODUCT(PRODUCE!$B27:$DY27,PRODUCE!$EB$57:$IY$57)</f>
        <v>0</v>
      </c>
      <c r="AAP28" s="56"/>
      <c r="AAQ28" s="242">
        <f t="shared" si="237"/>
        <v>0</v>
      </c>
      <c r="AAR28" s="242">
        <f t="shared" si="238"/>
        <v>0</v>
      </c>
      <c r="AAS28" s="56"/>
      <c r="AAV28" s="55">
        <f t="shared" si="239"/>
        <v>46045</v>
      </c>
      <c r="AAW28" s="56"/>
      <c r="AAX28" s="242">
        <f>SUMPRODUCT(PRODUCE!$B27:$DY27,PRODUCE!$EB$57:$IY$57)</f>
        <v>0</v>
      </c>
      <c r="AAY28" s="56"/>
      <c r="AAZ28" s="242">
        <f t="shared" si="240"/>
        <v>0</v>
      </c>
      <c r="ABA28" s="242">
        <f t="shared" si="241"/>
        <v>0</v>
      </c>
      <c r="ABB28" s="56"/>
      <c r="ABE28" s="55">
        <f t="shared" si="242"/>
        <v>46045</v>
      </c>
      <c r="ABF28" s="56"/>
      <c r="ABG28" s="242">
        <f>SUMPRODUCT(PRODUCE!$B27:$DY27,PRODUCE!$EB$57:$IY$57)</f>
        <v>0</v>
      </c>
      <c r="ABH28" s="56"/>
      <c r="ABI28" s="242">
        <f t="shared" si="243"/>
        <v>0</v>
      </c>
      <c r="ABJ28" s="242">
        <f t="shared" si="244"/>
        <v>0</v>
      </c>
      <c r="ABK28" s="56"/>
    </row>
    <row r="29" spans="2:739" s="54" customFormat="1" ht="15" customHeight="1" outlineLevel="1">
      <c r="B29" s="478">
        <v>26</v>
      </c>
      <c r="C29" s="55">
        <v>46046</v>
      </c>
      <c r="D29" s="422">
        <v>83630</v>
      </c>
      <c r="E29" s="423">
        <f>SUMPRODUCT(PRODUCE!$B28:$DY28,PRODUCE!$EB$7:$IY$7)</f>
        <v>13975</v>
      </c>
      <c r="F29" s="422">
        <v>13980.2</v>
      </c>
      <c r="G29" s="423">
        <f t="shared" si="2"/>
        <v>-5.2000000000007276</v>
      </c>
      <c r="H29" s="423">
        <f t="shared" si="0"/>
        <v>103330.59999999999</v>
      </c>
      <c r="I29" s="324" t="s">
        <v>186</v>
      </c>
      <c r="L29" s="55">
        <f t="shared" si="1"/>
        <v>46046</v>
      </c>
      <c r="M29" s="422"/>
      <c r="N29" s="438">
        <f>SUMPRODUCT(PRODUCE!$B28:$DY28,PRODUCE!$EB$8:$IY$8)</f>
        <v>7253.9999999999982</v>
      </c>
      <c r="O29" s="422">
        <v>7255</v>
      </c>
      <c r="P29" s="438">
        <f t="shared" si="3"/>
        <v>-1.000000000001819</v>
      </c>
      <c r="Q29" s="438">
        <f t="shared" si="4"/>
        <v>53852</v>
      </c>
      <c r="R29" s="56"/>
      <c r="U29" s="55">
        <f t="shared" si="5"/>
        <v>46046</v>
      </c>
      <c r="V29" s="422"/>
      <c r="W29" s="440">
        <f>SUMPRODUCT(PRODUCE!$B28:$DY28,PRODUCE!$EB$9:$IY$9)</f>
        <v>1300</v>
      </c>
      <c r="X29" s="422">
        <v>1299.4000000000001</v>
      </c>
      <c r="Y29" s="440">
        <f t="shared" si="6"/>
        <v>0.59999999999990905</v>
      </c>
      <c r="Z29" s="440">
        <f t="shared" si="7"/>
        <v>34909.499999999978</v>
      </c>
      <c r="AA29" s="56"/>
      <c r="AD29" s="55">
        <f t="shared" si="8"/>
        <v>46046</v>
      </c>
      <c r="AE29" s="422"/>
      <c r="AF29" s="442">
        <f>SUMPRODUCT(PRODUCE!$B28:$DY28,PRODUCE!$EB$10:$IY$10)</f>
        <v>1300</v>
      </c>
      <c r="AG29" s="422">
        <v>1300.2</v>
      </c>
      <c r="AH29" s="442">
        <f t="shared" si="9"/>
        <v>-0.20000000000004547</v>
      </c>
      <c r="AI29" s="442">
        <f t="shared" si="10"/>
        <v>38799.000000000007</v>
      </c>
      <c r="AJ29" s="56"/>
      <c r="AM29" s="55">
        <f t="shared" si="11"/>
        <v>46046</v>
      </c>
      <c r="AN29" s="422"/>
      <c r="AO29" s="444">
        <f>SUMPRODUCT(PRODUCE!$B28:$DY28,PRODUCE!$EB$11:$IY$11)</f>
        <v>0</v>
      </c>
      <c r="AP29" s="422"/>
      <c r="AQ29" s="444">
        <f t="shared" si="12"/>
        <v>0</v>
      </c>
      <c r="AR29" s="444">
        <f t="shared" si="13"/>
        <v>0</v>
      </c>
      <c r="AS29" s="56"/>
      <c r="AV29" s="55">
        <f t="shared" si="14"/>
        <v>46046</v>
      </c>
      <c r="AW29" s="422"/>
      <c r="AX29" s="446">
        <f>SUMPRODUCT(PRODUCE!$B28:$DY28,PRODUCE!$EB$12:$IY$12)</f>
        <v>520</v>
      </c>
      <c r="AY29" s="422">
        <v>520.6</v>
      </c>
      <c r="AZ29" s="446">
        <f t="shared" si="15"/>
        <v>-0.60000000000002274</v>
      </c>
      <c r="BA29" s="446">
        <f t="shared" si="16"/>
        <v>38547.999999999993</v>
      </c>
      <c r="BB29" s="56"/>
      <c r="BE29" s="55">
        <f t="shared" si="17"/>
        <v>46046</v>
      </c>
      <c r="BF29" s="422"/>
      <c r="BG29" s="448">
        <f>SUMPRODUCT(PRODUCE!$B28:$DY28,PRODUCE!$EB$13:$IY$13)</f>
        <v>520</v>
      </c>
      <c r="BH29" s="422">
        <v>518.9</v>
      </c>
      <c r="BI29" s="448">
        <f t="shared" si="18"/>
        <v>1.1000000000000227</v>
      </c>
      <c r="BJ29" s="448">
        <f t="shared" si="19"/>
        <v>26001.500000000007</v>
      </c>
      <c r="BK29" s="56"/>
      <c r="BN29" s="55">
        <f t="shared" si="20"/>
        <v>46046</v>
      </c>
      <c r="BO29" s="422">
        <v>520.1</v>
      </c>
      <c r="BP29" s="450">
        <f>SUMPRODUCT(PRODUCE!$B28:$DY28,PRODUCE!$EB$14:$IY$14)</f>
        <v>520</v>
      </c>
      <c r="BQ29" s="422">
        <v>520.1</v>
      </c>
      <c r="BR29" s="450">
        <f t="shared" si="21"/>
        <v>-0.10000000000002274</v>
      </c>
      <c r="BS29" s="450">
        <f t="shared" si="22"/>
        <v>0</v>
      </c>
      <c r="BT29" s="56"/>
      <c r="BW29" s="55">
        <f t="shared" si="23"/>
        <v>46046</v>
      </c>
      <c r="BX29" s="56"/>
      <c r="BY29" s="65">
        <f>SUMPRODUCT(PRODUCE!$B28:$DY28,PRODUCE!$EB$15:$IY$15)</f>
        <v>0</v>
      </c>
      <c r="BZ29" s="56"/>
      <c r="CA29" s="65">
        <f t="shared" si="24"/>
        <v>0</v>
      </c>
      <c r="CB29" s="65">
        <f t="shared" si="25"/>
        <v>3284.5</v>
      </c>
      <c r="CC29" s="56"/>
      <c r="CF29" s="55">
        <f t="shared" si="26"/>
        <v>46046</v>
      </c>
      <c r="CG29" s="56"/>
      <c r="CH29" s="66">
        <f>SUMPRODUCT(PRODUCE!$B28:$DY28,PRODUCE!$EB$16:$IY$16)</f>
        <v>0</v>
      </c>
      <c r="CI29" s="56"/>
      <c r="CJ29" s="66">
        <f t="shared" si="27"/>
        <v>0</v>
      </c>
      <c r="CK29" s="66">
        <f t="shared" si="28"/>
        <v>0</v>
      </c>
      <c r="CL29" s="56"/>
      <c r="CO29" s="55">
        <f t="shared" si="29"/>
        <v>46046</v>
      </c>
      <c r="CP29" s="422"/>
      <c r="CQ29" s="470">
        <f>SUMPRODUCT(PRODUCE!$B28:$DY28,PRODUCE!$EB$17:$IY$17)</f>
        <v>0</v>
      </c>
      <c r="CR29" s="422"/>
      <c r="CS29" s="470">
        <f t="shared" si="30"/>
        <v>0</v>
      </c>
      <c r="CT29" s="470">
        <f t="shared" si="31"/>
        <v>0</v>
      </c>
      <c r="CU29" s="56"/>
      <c r="CX29" s="55">
        <f t="shared" si="32"/>
        <v>46046</v>
      </c>
      <c r="CY29" s="56"/>
      <c r="CZ29" s="133">
        <f>SUMPRODUCT(PRODUCE!$B28:$DY28,PRODUCE!$EB$18:$IY$18)</f>
        <v>0</v>
      </c>
      <c r="DA29" s="56"/>
      <c r="DB29" s="133">
        <f t="shared" si="33"/>
        <v>0</v>
      </c>
      <c r="DC29" s="133">
        <f t="shared" si="34"/>
        <v>0</v>
      </c>
      <c r="DD29" s="56"/>
      <c r="DG29" s="55">
        <f t="shared" si="35"/>
        <v>46046</v>
      </c>
      <c r="DH29" s="56"/>
      <c r="DI29" s="147">
        <f>SUMPRODUCT(PRODUCE!$B28:$DY28,PRODUCE!$EB$19:$IY$19)</f>
        <v>0</v>
      </c>
      <c r="DJ29" s="56"/>
      <c r="DK29" s="147">
        <f t="shared" si="36"/>
        <v>0</v>
      </c>
      <c r="DL29" s="147">
        <f t="shared" si="37"/>
        <v>23572.799999999996</v>
      </c>
      <c r="DM29" s="56"/>
      <c r="DP29" s="55">
        <f t="shared" si="38"/>
        <v>46046</v>
      </c>
      <c r="DQ29" s="56"/>
      <c r="DR29" s="57">
        <f>SUMPRODUCT(PRODUCE!$B28:$DY28,PRODUCE!$EB$20:$IY$20)</f>
        <v>0</v>
      </c>
      <c r="DS29" s="56"/>
      <c r="DT29" s="57">
        <f t="shared" si="39"/>
        <v>0</v>
      </c>
      <c r="DU29" s="57">
        <f t="shared" si="40"/>
        <v>0</v>
      </c>
      <c r="DV29" s="56"/>
      <c r="DY29" s="55">
        <f t="shared" si="41"/>
        <v>46046</v>
      </c>
      <c r="DZ29" s="56"/>
      <c r="EA29" s="157">
        <f>SUMPRODUCT(PRODUCE!$B28:$DY28,PRODUCE!$EB$21:$IY$21)</f>
        <v>0</v>
      </c>
      <c r="EB29" s="56"/>
      <c r="EC29" s="157">
        <f t="shared" si="42"/>
        <v>0</v>
      </c>
      <c r="ED29" s="157">
        <f t="shared" si="43"/>
        <v>0</v>
      </c>
      <c r="EE29" s="56"/>
      <c r="EH29" s="55">
        <f t="shared" si="44"/>
        <v>46046</v>
      </c>
      <c r="EI29" s="56"/>
      <c r="EJ29" s="162">
        <f>SUMPRODUCT(PRODUCE!$B28:$DY28,PRODUCE!$EB$22:$IY$22)</f>
        <v>0</v>
      </c>
      <c r="EK29" s="56"/>
      <c r="EL29" s="162">
        <f t="shared" si="45"/>
        <v>0</v>
      </c>
      <c r="EM29" s="162">
        <f t="shared" si="46"/>
        <v>0</v>
      </c>
      <c r="EN29" s="56"/>
      <c r="EQ29" s="55">
        <f t="shared" si="47"/>
        <v>46046</v>
      </c>
      <c r="ER29" s="56"/>
      <c r="ES29" s="135">
        <f>SUMPRODUCT(PRODUCE!$B28:$DY28,PRODUCE!$EB$23:$IY$23)</f>
        <v>0</v>
      </c>
      <c r="ET29" s="56"/>
      <c r="EU29" s="135">
        <f t="shared" si="48"/>
        <v>0</v>
      </c>
      <c r="EV29" s="135">
        <f t="shared" si="49"/>
        <v>0</v>
      </c>
      <c r="EW29" s="56"/>
      <c r="EZ29" s="55">
        <f t="shared" si="50"/>
        <v>46046</v>
      </c>
      <c r="FA29" s="56"/>
      <c r="FB29" s="175">
        <f>SUMPRODUCT(PRODUCE!$B28:$DY28,PRODUCE!$EB$24:$IY$24)</f>
        <v>0</v>
      </c>
      <c r="FC29" s="56"/>
      <c r="FD29" s="175">
        <f t="shared" si="51"/>
        <v>0</v>
      </c>
      <c r="FE29" s="175">
        <f t="shared" si="52"/>
        <v>0</v>
      </c>
      <c r="FF29" s="56"/>
      <c r="FI29" s="55">
        <f t="shared" si="53"/>
        <v>46046</v>
      </c>
      <c r="FJ29" s="56"/>
      <c r="FK29" s="183">
        <f>SUMPRODUCT(PRODUCE!$B28:$DY28,PRODUCE!$EB$25:$IY$25)</f>
        <v>0</v>
      </c>
      <c r="FL29" s="56"/>
      <c r="FM29" s="183">
        <f t="shared" si="54"/>
        <v>0</v>
      </c>
      <c r="FN29" s="183">
        <f t="shared" si="55"/>
        <v>0</v>
      </c>
      <c r="FO29" s="56"/>
      <c r="FR29" s="55">
        <f t="shared" si="56"/>
        <v>46046</v>
      </c>
      <c r="FS29" s="422"/>
      <c r="FT29" s="452">
        <f>SUMPRODUCT(PRODUCE!$B28:$DY28,PRODUCE!$EB$26:$IY$26)</f>
        <v>0</v>
      </c>
      <c r="FU29" s="422"/>
      <c r="FV29" s="452">
        <f t="shared" si="57"/>
        <v>0</v>
      </c>
      <c r="FW29" s="452">
        <f t="shared" si="58"/>
        <v>3540</v>
      </c>
      <c r="FX29" s="56"/>
      <c r="GA29" s="55">
        <f t="shared" si="59"/>
        <v>46046</v>
      </c>
      <c r="GB29" s="422"/>
      <c r="GC29" s="454">
        <f>SUMPRODUCT(PRODUCE!$B28:$DY28,PRODUCE!$EB$27:$IY$27)</f>
        <v>0</v>
      </c>
      <c r="GD29" s="422"/>
      <c r="GE29" s="454">
        <f t="shared" si="60"/>
        <v>0</v>
      </c>
      <c r="GF29" s="454">
        <f t="shared" si="61"/>
        <v>1960</v>
      </c>
      <c r="GG29" s="56"/>
      <c r="GI29" s="23"/>
      <c r="GJ29" s="55">
        <f t="shared" si="62"/>
        <v>46046</v>
      </c>
      <c r="GK29" s="422"/>
      <c r="GL29" s="456">
        <f>SUMPRODUCT(PRODUCE!$B28:$DY28,PRODUCE!$EB$28:$IY$28)</f>
        <v>0</v>
      </c>
      <c r="GM29" s="422"/>
      <c r="GN29" s="456">
        <f t="shared" si="63"/>
        <v>0</v>
      </c>
      <c r="GO29" s="456">
        <f t="shared" si="64"/>
        <v>4440</v>
      </c>
      <c r="GP29" s="56"/>
      <c r="GS29" s="55">
        <f t="shared" si="65"/>
        <v>46046</v>
      </c>
      <c r="GT29" s="56"/>
      <c r="GU29" s="195">
        <f>SUMPRODUCT(PRODUCE!$B28:$DY28,PRODUCE!$EB$29:$IY$29)</f>
        <v>0</v>
      </c>
      <c r="GV29" s="56"/>
      <c r="GW29" s="195">
        <f t="shared" si="66"/>
        <v>0</v>
      </c>
      <c r="GX29" s="195">
        <f t="shared" si="67"/>
        <v>0</v>
      </c>
      <c r="GY29" s="56"/>
      <c r="HB29" s="55">
        <f t="shared" si="68"/>
        <v>46046</v>
      </c>
      <c r="HC29" s="56"/>
      <c r="HD29" s="191">
        <f>SUMPRODUCT(PRODUCE!$B28:$DY28,PRODUCE!$EB$30:$IY$30)</f>
        <v>0</v>
      </c>
      <c r="HE29" s="56"/>
      <c r="HF29" s="191">
        <f t="shared" si="69"/>
        <v>0</v>
      </c>
      <c r="HG29" s="191">
        <f t="shared" si="70"/>
        <v>0</v>
      </c>
      <c r="HH29" s="56"/>
      <c r="HK29" s="55">
        <f t="shared" si="71"/>
        <v>46046</v>
      </c>
      <c r="HL29" s="56"/>
      <c r="HM29" s="63">
        <f>SUMPRODUCT(PRODUCE!$B28:$DY28,PRODUCE!$EB$31:$IY$31)</f>
        <v>0</v>
      </c>
      <c r="HN29" s="56"/>
      <c r="HO29" s="63">
        <f t="shared" si="72"/>
        <v>0</v>
      </c>
      <c r="HP29" s="63">
        <f t="shared" si="73"/>
        <v>0</v>
      </c>
      <c r="HQ29" s="56"/>
      <c r="HU29" s="55">
        <f t="shared" si="74"/>
        <v>46046</v>
      </c>
      <c r="HV29" s="56"/>
      <c r="HW29" s="242">
        <f>SUMPRODUCT(PRODUCE!$B28:$DY28,PRODUCE!$EB$32:$IY$32)</f>
        <v>0</v>
      </c>
      <c r="HX29" s="56"/>
      <c r="HY29" s="242">
        <f t="shared" si="75"/>
        <v>0</v>
      </c>
      <c r="HZ29" s="242">
        <f t="shared" si="76"/>
        <v>1440</v>
      </c>
      <c r="IA29" s="56"/>
      <c r="ID29" s="55">
        <f t="shared" si="77"/>
        <v>46046</v>
      </c>
      <c r="IE29" s="56"/>
      <c r="IF29" s="242">
        <f>SUMPRODUCT(PRODUCE!$B28:$DY28,PRODUCE!$EB$33:$IY$33)</f>
        <v>0</v>
      </c>
      <c r="IG29" s="56"/>
      <c r="IH29" s="242">
        <f t="shared" si="78"/>
        <v>0</v>
      </c>
      <c r="II29" s="242">
        <f t="shared" si="79"/>
        <v>5100</v>
      </c>
      <c r="IJ29" s="56"/>
      <c r="IM29" s="55">
        <f t="shared" si="80"/>
        <v>46046</v>
      </c>
      <c r="IN29" s="56"/>
      <c r="IO29" s="242">
        <f>SUMPRODUCT(PRODUCE!$B28:$DY28,PRODUCE!$EB$34:$IY$34)</f>
        <v>520</v>
      </c>
      <c r="IP29" s="56"/>
      <c r="IQ29" s="242">
        <f t="shared" si="81"/>
        <v>520</v>
      </c>
      <c r="IR29" s="242">
        <f t="shared" si="82"/>
        <v>12640</v>
      </c>
      <c r="IS29" s="56"/>
      <c r="IV29" s="55">
        <f t="shared" si="83"/>
        <v>46046</v>
      </c>
      <c r="IW29" s="56"/>
      <c r="IX29" s="242">
        <f>SUMPRODUCT(PRODUCE!$B28:$DY28,PRODUCE!$EB$35:$IY$35)</f>
        <v>0</v>
      </c>
      <c r="IY29" s="56"/>
      <c r="IZ29" s="242">
        <f t="shared" si="84"/>
        <v>0</v>
      </c>
      <c r="JA29" s="242">
        <f t="shared" si="85"/>
        <v>9120</v>
      </c>
      <c r="JB29" s="56"/>
      <c r="JE29" s="55">
        <f t="shared" si="86"/>
        <v>46046</v>
      </c>
      <c r="JF29" s="56"/>
      <c r="JG29" s="242">
        <f>SUMPRODUCT(PRODUCE!$B28:$DY28,PRODUCE!$EB$36:$IY$36)</f>
        <v>0</v>
      </c>
      <c r="JH29" s="56"/>
      <c r="JI29" s="242">
        <f t="shared" si="87"/>
        <v>0</v>
      </c>
      <c r="JJ29" s="242">
        <f t="shared" si="88"/>
        <v>6800</v>
      </c>
      <c r="JK29" s="56"/>
      <c r="JN29" s="55">
        <f t="shared" si="89"/>
        <v>46046</v>
      </c>
      <c r="JO29" s="56"/>
      <c r="JP29" s="242">
        <f>SUMPRODUCT(PRODUCE!$B28:$DY28,PRODUCE!$EB$37:$IY$37)</f>
        <v>0</v>
      </c>
      <c r="JQ29" s="56"/>
      <c r="JR29" s="242">
        <f t="shared" si="90"/>
        <v>0</v>
      </c>
      <c r="JS29" s="242">
        <f t="shared" si="91"/>
        <v>5400</v>
      </c>
      <c r="JT29" s="56"/>
      <c r="JW29" s="55">
        <f t="shared" si="92"/>
        <v>46046</v>
      </c>
      <c r="JX29" s="56"/>
      <c r="JY29" s="242">
        <f>SUMPRODUCT(PRODUCE!$B28:$DY28,PRODUCE!$EB$38:$IY$38)</f>
        <v>0</v>
      </c>
      <c r="JZ29" s="56"/>
      <c r="KA29" s="242">
        <f t="shared" si="93"/>
        <v>0</v>
      </c>
      <c r="KB29" s="242">
        <f t="shared" si="94"/>
        <v>0</v>
      </c>
      <c r="KC29" s="56"/>
      <c r="KF29" s="55">
        <f t="shared" si="95"/>
        <v>46046</v>
      </c>
      <c r="KG29" s="56"/>
      <c r="KH29" s="242">
        <f>SUMPRODUCT(PRODUCE!$B28:$DY28,PRODUCE!$EB$39:$IY$39)</f>
        <v>0</v>
      </c>
      <c r="KI29" s="56"/>
      <c r="KJ29" s="242">
        <f t="shared" si="96"/>
        <v>0</v>
      </c>
      <c r="KK29" s="242">
        <f t="shared" si="97"/>
        <v>0</v>
      </c>
      <c r="KL29" s="56"/>
      <c r="KO29" s="55">
        <f t="shared" si="98"/>
        <v>46046</v>
      </c>
      <c r="KP29" s="56"/>
      <c r="KQ29" s="242">
        <f>SUMPRODUCT(PRODUCE!$B28:$DY28,PRODUCE!$EB$40:$IY$40)</f>
        <v>0</v>
      </c>
      <c r="KR29" s="56"/>
      <c r="KS29" s="242">
        <f t="shared" si="99"/>
        <v>0</v>
      </c>
      <c r="KT29" s="242">
        <f t="shared" si="100"/>
        <v>0</v>
      </c>
      <c r="KU29" s="56"/>
      <c r="KW29" s="23"/>
      <c r="KX29" s="55">
        <f t="shared" si="101"/>
        <v>46046</v>
      </c>
      <c r="KY29" s="56"/>
      <c r="KZ29" s="242">
        <f>SUMPRODUCT(PRODUCE!$B28:$DY28,PRODUCE!$EB$41:$IY$41)</f>
        <v>0</v>
      </c>
      <c r="LA29" s="56"/>
      <c r="LB29" s="242">
        <f t="shared" si="102"/>
        <v>0</v>
      </c>
      <c r="LC29" s="242">
        <f t="shared" si="103"/>
        <v>0</v>
      </c>
      <c r="LD29" s="56"/>
      <c r="LG29" s="55">
        <f t="shared" si="104"/>
        <v>46046</v>
      </c>
      <c r="LH29" s="56"/>
      <c r="LI29" s="242">
        <f>SUMPRODUCT(PRODUCE!$B28:$DY28,PRODUCE!$EB$42:$IY$42)</f>
        <v>0</v>
      </c>
      <c r="LJ29" s="56"/>
      <c r="LK29" s="242">
        <f t="shared" si="105"/>
        <v>0</v>
      </c>
      <c r="LL29" s="242">
        <f t="shared" si="106"/>
        <v>0</v>
      </c>
      <c r="LM29" s="56"/>
      <c r="LP29" s="55">
        <f t="shared" si="107"/>
        <v>46046</v>
      </c>
      <c r="LQ29" s="56"/>
      <c r="LR29" s="242">
        <f>SUMPRODUCT(PRODUCE!$B28:$DY28,PRODUCE!$EB$43:$IY$43)</f>
        <v>0</v>
      </c>
      <c r="LS29" s="56"/>
      <c r="LT29" s="242">
        <f t="shared" si="108"/>
        <v>0</v>
      </c>
      <c r="LU29" s="242">
        <f t="shared" si="109"/>
        <v>0</v>
      </c>
      <c r="LV29" s="56"/>
      <c r="LY29" s="55">
        <f t="shared" si="110"/>
        <v>46046</v>
      </c>
      <c r="LZ29" s="56"/>
      <c r="MA29" s="242">
        <f>SUMPRODUCT(PRODUCE!$B28:$DY28,PRODUCE!$EB$44:$IY$44)</f>
        <v>0</v>
      </c>
      <c r="MB29" s="56"/>
      <c r="MC29" s="242">
        <f t="shared" si="111"/>
        <v>0</v>
      </c>
      <c r="MD29" s="242">
        <f t="shared" si="112"/>
        <v>0</v>
      </c>
      <c r="ME29" s="56"/>
      <c r="MH29" s="55">
        <f t="shared" si="113"/>
        <v>46046</v>
      </c>
      <c r="MI29" s="56"/>
      <c r="MJ29" s="242">
        <f>SUMPRODUCT(PRODUCE!$B28:$DY28,PRODUCE!$EB$45:$IY$45)</f>
        <v>0</v>
      </c>
      <c r="MK29" s="56"/>
      <c r="ML29" s="242">
        <f t="shared" si="114"/>
        <v>0</v>
      </c>
      <c r="MM29" s="242">
        <f t="shared" si="115"/>
        <v>0</v>
      </c>
      <c r="MN29" s="56"/>
      <c r="MQ29" s="55">
        <f t="shared" si="116"/>
        <v>46046</v>
      </c>
      <c r="MR29" s="56"/>
      <c r="MS29" s="242">
        <f>SUMPRODUCT(PRODUCE!$B28:$DY28,PRODUCE!$EB$46:$IY$46)</f>
        <v>13</v>
      </c>
      <c r="MT29" s="56"/>
      <c r="MU29" s="242">
        <f t="shared" si="117"/>
        <v>13</v>
      </c>
      <c r="MV29" s="242">
        <f t="shared" si="118"/>
        <v>1059</v>
      </c>
      <c r="MW29" s="56"/>
      <c r="MZ29" s="55">
        <f t="shared" si="119"/>
        <v>46046</v>
      </c>
      <c r="NA29" s="56"/>
      <c r="NB29" s="242">
        <f>SUMPRODUCT(PRODUCE!$B28:$DY28,PRODUCE!$EB$47:$IY$47)</f>
        <v>78</v>
      </c>
      <c r="NC29" s="56"/>
      <c r="ND29" s="242">
        <f t="shared" si="120"/>
        <v>78</v>
      </c>
      <c r="NE29" s="242">
        <f t="shared" si="121"/>
        <v>0</v>
      </c>
      <c r="NF29" s="56"/>
      <c r="NI29" s="55">
        <f t="shared" si="122"/>
        <v>46046</v>
      </c>
      <c r="NJ29" s="56"/>
      <c r="NK29" s="242">
        <f>SUMPRODUCT(PRODUCE!$B28:$DY28,PRODUCE!$EB$48:$IY$48)</f>
        <v>0</v>
      </c>
      <c r="NL29" s="56"/>
      <c r="NM29" s="242">
        <f t="shared" si="123"/>
        <v>0</v>
      </c>
      <c r="NN29" s="242">
        <f t="shared" si="124"/>
        <v>0</v>
      </c>
      <c r="NO29" s="56"/>
      <c r="NR29" s="55">
        <f t="shared" si="125"/>
        <v>46046</v>
      </c>
      <c r="NS29" s="56"/>
      <c r="NT29" s="242">
        <f>SUMPRODUCT(PRODUCE!$B28:$DY28,PRODUCE!$EB$49:$IY$49)</f>
        <v>0</v>
      </c>
      <c r="NU29" s="56"/>
      <c r="NV29" s="242">
        <f t="shared" si="126"/>
        <v>0</v>
      </c>
      <c r="NW29" s="242">
        <f t="shared" si="127"/>
        <v>0</v>
      </c>
      <c r="NX29" s="56"/>
      <c r="OA29" s="55">
        <f t="shared" si="128"/>
        <v>46046</v>
      </c>
      <c r="OB29" s="56"/>
      <c r="OC29" s="242">
        <f>SUMPRODUCT(PRODUCE!$B28:$DY28,PRODUCE!$EB$50:$IY$50)</f>
        <v>0</v>
      </c>
      <c r="OD29" s="56"/>
      <c r="OE29" s="242">
        <f t="shared" si="129"/>
        <v>0</v>
      </c>
      <c r="OF29" s="242">
        <f t="shared" si="130"/>
        <v>1680.5</v>
      </c>
      <c r="OG29" s="56"/>
      <c r="OJ29" s="55">
        <f t="shared" si="131"/>
        <v>46046</v>
      </c>
      <c r="OK29" s="56"/>
      <c r="OL29" s="242">
        <f>SUMPRODUCT(PRODUCE!$B28:$DY28,PRODUCE!$EB$51:$IY$51)</f>
        <v>0</v>
      </c>
      <c r="OM29" s="56"/>
      <c r="ON29" s="242">
        <f t="shared" si="132"/>
        <v>0</v>
      </c>
      <c r="OO29" s="242">
        <f t="shared" si="133"/>
        <v>0</v>
      </c>
      <c r="OP29" s="56"/>
      <c r="OS29" s="55">
        <f t="shared" si="134"/>
        <v>46046</v>
      </c>
      <c r="OT29" s="56"/>
      <c r="OU29" s="242">
        <f>SUMPRODUCT(PRODUCE!$B28:$DY28,PRODUCE!$EB$52:$IY$52)</f>
        <v>0</v>
      </c>
      <c r="OV29" s="56"/>
      <c r="OW29" s="242">
        <f t="shared" si="135"/>
        <v>0</v>
      </c>
      <c r="OX29" s="242">
        <f t="shared" si="136"/>
        <v>67</v>
      </c>
      <c r="OY29" s="56"/>
      <c r="PB29" s="55">
        <f t="shared" si="137"/>
        <v>46046</v>
      </c>
      <c r="PC29" s="56"/>
      <c r="PD29" s="242">
        <f>SUMPRODUCT(PRODUCE!$B28:$DY28,PRODUCE!$EB$53:$IY$53)</f>
        <v>0</v>
      </c>
      <c r="PE29" s="56"/>
      <c r="PF29" s="242">
        <f t="shared" si="138"/>
        <v>0</v>
      </c>
      <c r="PG29" s="242">
        <f t="shared" si="139"/>
        <v>0</v>
      </c>
      <c r="PH29" s="56"/>
      <c r="PK29" s="55">
        <f t="shared" si="140"/>
        <v>46046</v>
      </c>
      <c r="PL29" s="56"/>
      <c r="PM29" s="242">
        <f>SUMPRODUCT(PRODUCE!$B28:$DY28,PRODUCE!$EB$54:$IY$54)</f>
        <v>0</v>
      </c>
      <c r="PN29" s="56"/>
      <c r="PO29" s="242">
        <f t="shared" si="141"/>
        <v>0</v>
      </c>
      <c r="PP29" s="242">
        <f t="shared" si="142"/>
        <v>160</v>
      </c>
      <c r="PQ29" s="56"/>
      <c r="PT29" s="55">
        <f t="shared" si="143"/>
        <v>46046</v>
      </c>
      <c r="PU29" s="56"/>
      <c r="PV29" s="242">
        <f>SUMPRODUCT(PRODUCE!$B28:$DY28,PRODUCE!$EB$55:$IY$55)</f>
        <v>0</v>
      </c>
      <c r="PW29" s="56"/>
      <c r="PX29" s="242">
        <f t="shared" si="144"/>
        <v>0</v>
      </c>
      <c r="PY29" s="242">
        <f t="shared" si="145"/>
        <v>13.960000000000036</v>
      </c>
      <c r="PZ29" s="56"/>
      <c r="QC29" s="55">
        <f t="shared" si="146"/>
        <v>46046</v>
      </c>
      <c r="QD29" s="56"/>
      <c r="QE29" s="242">
        <f>SUMPRODUCT(PRODUCE!$B28:$DY28,PRODUCE!$EB$56:$IY$56)</f>
        <v>0</v>
      </c>
      <c r="QF29" s="56"/>
      <c r="QG29" s="242">
        <f t="shared" si="147"/>
        <v>0</v>
      </c>
      <c r="QH29" s="242">
        <f t="shared" si="148"/>
        <v>0</v>
      </c>
      <c r="QI29" s="56"/>
      <c r="QL29" s="55">
        <f t="shared" si="149"/>
        <v>46046</v>
      </c>
      <c r="QM29" s="56"/>
      <c r="QN29" s="242">
        <f>SUMPRODUCT(PRODUCE!$B28:$DY28,PRODUCE!$EB$57:$IY$57)</f>
        <v>0</v>
      </c>
      <c r="QO29" s="56"/>
      <c r="QP29" s="242">
        <f t="shared" si="150"/>
        <v>0</v>
      </c>
      <c r="QQ29" s="242">
        <f t="shared" si="151"/>
        <v>0</v>
      </c>
      <c r="QR29" s="56"/>
      <c r="QU29" s="55">
        <f t="shared" si="152"/>
        <v>46046</v>
      </c>
      <c r="QV29" s="56"/>
      <c r="QW29" s="242">
        <f>SUMPRODUCT(PRODUCE!$B28:$DY28,PRODUCE!$EB$57:$IY$57)</f>
        <v>0</v>
      </c>
      <c r="QX29" s="56"/>
      <c r="QY29" s="242">
        <f t="shared" si="153"/>
        <v>0</v>
      </c>
      <c r="QZ29" s="242">
        <f t="shared" si="154"/>
        <v>207.6</v>
      </c>
      <c r="RA29" s="56"/>
      <c r="RD29" s="55">
        <f t="shared" si="155"/>
        <v>46046</v>
      </c>
      <c r="RE29" s="56"/>
      <c r="RF29" s="242">
        <f>SUMPRODUCT(PRODUCE!$B28:$DY28,PRODUCE!$EB$58:$IY$58)</f>
        <v>0</v>
      </c>
      <c r="RG29" s="56"/>
      <c r="RH29" s="242">
        <f t="shared" si="156"/>
        <v>0</v>
      </c>
      <c r="RI29" s="242">
        <f t="shared" si="157"/>
        <v>201.8</v>
      </c>
      <c r="RJ29" s="56"/>
      <c r="RM29" s="55">
        <f t="shared" si="158"/>
        <v>46046</v>
      </c>
      <c r="RN29" s="56"/>
      <c r="RO29" s="242">
        <f>SUMPRODUCT(PRODUCE!$B28:$DY28,PRODUCE!$EB$59:$IY$59)</f>
        <v>0</v>
      </c>
      <c r="RP29" s="56"/>
      <c r="RQ29" s="242">
        <f t="shared" si="159"/>
        <v>0</v>
      </c>
      <c r="RR29" s="242">
        <f t="shared" si="160"/>
        <v>22.720000000000002</v>
      </c>
      <c r="RS29" s="56"/>
      <c r="RV29" s="55">
        <f t="shared" si="161"/>
        <v>46046</v>
      </c>
      <c r="RW29" s="56"/>
      <c r="RX29" s="242">
        <f>SUMPRODUCT(PRODUCE!$B28:$DY28,PRODUCE!$EB$57:$IY$57)</f>
        <v>0</v>
      </c>
      <c r="RY29" s="56"/>
      <c r="RZ29" s="242">
        <f t="shared" si="162"/>
        <v>0</v>
      </c>
      <c r="SA29" s="242">
        <f t="shared" si="163"/>
        <v>0</v>
      </c>
      <c r="SB29" s="56"/>
      <c r="SE29" s="55">
        <f t="shared" si="164"/>
        <v>46046</v>
      </c>
      <c r="SF29" s="56"/>
      <c r="SG29" s="242">
        <f>SUMPRODUCT(PRODUCE!$B28:$DY28,PRODUCE!$EB$61:$IY$61)</f>
        <v>0</v>
      </c>
      <c r="SH29" s="56"/>
      <c r="SI29" s="242">
        <f t="shared" si="165"/>
        <v>0</v>
      </c>
      <c r="SJ29" s="242">
        <f t="shared" si="166"/>
        <v>0</v>
      </c>
      <c r="SK29" s="56"/>
      <c r="SN29" s="55">
        <f t="shared" si="167"/>
        <v>46046</v>
      </c>
      <c r="SO29" s="56"/>
      <c r="SP29" s="242">
        <f>SUMPRODUCT(PRODUCE!$B28:$DY28,PRODUCE!$EB$57:$IY$57)</f>
        <v>0</v>
      </c>
      <c r="SQ29" s="56"/>
      <c r="SR29" s="242">
        <f t="shared" si="168"/>
        <v>0</v>
      </c>
      <c r="SS29" s="242">
        <f t="shared" si="169"/>
        <v>0</v>
      </c>
      <c r="ST29" s="56"/>
      <c r="SW29" s="55">
        <f t="shared" si="170"/>
        <v>46046</v>
      </c>
      <c r="SX29" s="56"/>
      <c r="SY29" s="242">
        <f>SUMPRODUCT(PRODUCE!$B28:$DY28,PRODUCE!$EB$57:$IY$57)</f>
        <v>0</v>
      </c>
      <c r="SZ29" s="56"/>
      <c r="TA29" s="242">
        <f t="shared" si="171"/>
        <v>0</v>
      </c>
      <c r="TB29" s="242">
        <f t="shared" si="172"/>
        <v>0</v>
      </c>
      <c r="TC29" s="56"/>
      <c r="TF29" s="55">
        <f t="shared" si="173"/>
        <v>46046</v>
      </c>
      <c r="TG29" s="56"/>
      <c r="TH29" s="242">
        <f>SUMPRODUCT(PRODUCE!$B28:$DY28,PRODUCE!$EB$57:$IY$57)</f>
        <v>0</v>
      </c>
      <c r="TI29" s="56"/>
      <c r="TJ29" s="242">
        <f t="shared" si="174"/>
        <v>0</v>
      </c>
      <c r="TK29" s="242">
        <f t="shared" si="175"/>
        <v>0</v>
      </c>
      <c r="TL29" s="56"/>
      <c r="TO29" s="55">
        <f t="shared" si="176"/>
        <v>46046</v>
      </c>
      <c r="TP29" s="56"/>
      <c r="TQ29" s="242">
        <f>SUMPRODUCT(PRODUCE!$B28:$DY28,PRODUCE!$EB$57:$IY$57)</f>
        <v>0</v>
      </c>
      <c r="TR29" s="56"/>
      <c r="TS29" s="242">
        <f t="shared" si="177"/>
        <v>0</v>
      </c>
      <c r="TT29" s="242">
        <f t="shared" si="178"/>
        <v>0</v>
      </c>
      <c r="TU29" s="56"/>
      <c r="TX29" s="55">
        <f t="shared" si="179"/>
        <v>46046</v>
      </c>
      <c r="TY29" s="56"/>
      <c r="TZ29" s="242">
        <f>SUMPRODUCT(PRODUCE!$B28:$DY28,PRODUCE!$EB$57:$IY$57)</f>
        <v>0</v>
      </c>
      <c r="UA29" s="56"/>
      <c r="UB29" s="242">
        <f t="shared" si="180"/>
        <v>0</v>
      </c>
      <c r="UC29" s="242">
        <f t="shared" si="181"/>
        <v>0</v>
      </c>
      <c r="UD29" s="56"/>
      <c r="UG29" s="55">
        <f t="shared" si="182"/>
        <v>46046</v>
      </c>
      <c r="UH29" s="56"/>
      <c r="UI29" s="242">
        <f>SUMPRODUCT(PRODUCE!$B28:$DY28,PRODUCE!$EB$57:$IY$57)</f>
        <v>0</v>
      </c>
      <c r="UJ29" s="56"/>
      <c r="UK29" s="242">
        <f t="shared" si="183"/>
        <v>0</v>
      </c>
      <c r="UL29" s="242">
        <f t="shared" si="184"/>
        <v>0</v>
      </c>
      <c r="UM29" s="56"/>
      <c r="UP29" s="55">
        <f t="shared" si="185"/>
        <v>46046</v>
      </c>
      <c r="UQ29" s="56"/>
      <c r="UR29" s="242">
        <f>SUMPRODUCT(PRODUCE!$B28:$DY28,PRODUCE!$EB$57:$IY$57)</f>
        <v>0</v>
      </c>
      <c r="US29" s="56"/>
      <c r="UT29" s="242">
        <f t="shared" si="186"/>
        <v>0</v>
      </c>
      <c r="UU29" s="242">
        <f t="shared" si="187"/>
        <v>0</v>
      </c>
      <c r="UV29" s="56"/>
      <c r="UY29" s="55">
        <f t="shared" si="188"/>
        <v>46046</v>
      </c>
      <c r="UZ29" s="56"/>
      <c r="VA29" s="242">
        <f>SUMPRODUCT(PRODUCE!$B28:$DY28,PRODUCE!$EB$57:$IY$57)</f>
        <v>0</v>
      </c>
      <c r="VB29" s="56"/>
      <c r="VC29" s="242">
        <f t="shared" si="189"/>
        <v>0</v>
      </c>
      <c r="VD29" s="242">
        <f t="shared" si="190"/>
        <v>-319.59999999999997</v>
      </c>
      <c r="VE29" s="56"/>
      <c r="VH29" s="55">
        <f t="shared" si="191"/>
        <v>46046</v>
      </c>
      <c r="VI29" s="56"/>
      <c r="VJ29" s="242">
        <f>SUMPRODUCT(PRODUCE!$B28:$DY28,PRODUCE!$EB$57:$IY$57)</f>
        <v>0</v>
      </c>
      <c r="VK29" s="56"/>
      <c r="VL29" s="242">
        <f t="shared" si="192"/>
        <v>0</v>
      </c>
      <c r="VM29" s="242">
        <f t="shared" si="193"/>
        <v>0</v>
      </c>
      <c r="VN29" s="56"/>
      <c r="VQ29" s="55">
        <f t="shared" si="194"/>
        <v>46046</v>
      </c>
      <c r="VR29" s="56"/>
      <c r="VS29" s="242">
        <f>SUMPRODUCT(PRODUCE!$B28:$DY28,PRODUCE!$EB$57:$IY$57)</f>
        <v>0</v>
      </c>
      <c r="VT29" s="56"/>
      <c r="VU29" s="242">
        <f t="shared" si="195"/>
        <v>0</v>
      </c>
      <c r="VV29" s="242">
        <f t="shared" si="196"/>
        <v>0</v>
      </c>
      <c r="VW29" s="56"/>
      <c r="VZ29" s="55">
        <f t="shared" si="197"/>
        <v>46046</v>
      </c>
      <c r="WA29" s="56"/>
      <c r="WB29" s="242">
        <f>SUMPRODUCT(PRODUCE!$B28:$DY28,PRODUCE!$EB$57:$IY$57)</f>
        <v>0</v>
      </c>
      <c r="WC29" s="56"/>
      <c r="WD29" s="242">
        <f t="shared" si="198"/>
        <v>0</v>
      </c>
      <c r="WE29" s="242">
        <f t="shared" si="199"/>
        <v>0</v>
      </c>
      <c r="WF29" s="56"/>
      <c r="WI29" s="55">
        <f t="shared" si="200"/>
        <v>46046</v>
      </c>
      <c r="WJ29" s="56"/>
      <c r="WK29" s="242">
        <f>SUMPRODUCT(PRODUCE!$B28:$DY28,PRODUCE!$EB$57:$IY$57)</f>
        <v>0</v>
      </c>
      <c r="WL29" s="56"/>
      <c r="WM29" s="242">
        <f t="shared" si="201"/>
        <v>0</v>
      </c>
      <c r="WN29" s="242">
        <f t="shared" si="202"/>
        <v>9940</v>
      </c>
      <c r="WO29" s="56"/>
      <c r="WR29" s="55">
        <f t="shared" si="203"/>
        <v>46046</v>
      </c>
      <c r="WS29" s="56"/>
      <c r="WT29" s="242">
        <f>SUMPRODUCT(PRODUCE!$B28:$DY28,PRODUCE!$EB$57:$IY$57)</f>
        <v>0</v>
      </c>
      <c r="WU29" s="56"/>
      <c r="WV29" s="242">
        <f t="shared" si="204"/>
        <v>0</v>
      </c>
      <c r="WW29" s="242">
        <f t="shared" si="205"/>
        <v>8149</v>
      </c>
      <c r="WX29" s="56"/>
      <c r="XA29" s="55">
        <f t="shared" si="206"/>
        <v>46046</v>
      </c>
      <c r="XB29" s="56"/>
      <c r="XC29" s="242">
        <f>SUMPRODUCT(PRODUCE!$B28:$DY28,PRODUCE!$EB$57:$IY$57)</f>
        <v>0</v>
      </c>
      <c r="XD29" s="56"/>
      <c r="XE29" s="242">
        <f t="shared" si="207"/>
        <v>0</v>
      </c>
      <c r="XF29" s="242">
        <f t="shared" si="208"/>
        <v>2723</v>
      </c>
      <c r="XG29" s="56"/>
      <c r="XJ29" s="55">
        <f t="shared" si="209"/>
        <v>46046</v>
      </c>
      <c r="XK29" s="56"/>
      <c r="XL29" s="242">
        <f>SUMPRODUCT(PRODUCE!$B28:$DY28,PRODUCE!$EB$57:$IY$57)</f>
        <v>0</v>
      </c>
      <c r="XM29" s="56"/>
      <c r="XN29" s="242">
        <f t="shared" si="210"/>
        <v>0</v>
      </c>
      <c r="XO29" s="242">
        <f t="shared" si="211"/>
        <v>6997</v>
      </c>
      <c r="XP29" s="56"/>
      <c r="XS29" s="55">
        <f t="shared" si="212"/>
        <v>46046</v>
      </c>
      <c r="XT29" s="56"/>
      <c r="XU29" s="242">
        <f>SUMPRODUCT(PRODUCE!$B28:$DY28,PRODUCE!$EB$57:$IY$57)</f>
        <v>0</v>
      </c>
      <c r="XV29" s="56"/>
      <c r="XW29" s="242">
        <f t="shared" si="213"/>
        <v>0</v>
      </c>
      <c r="XX29" s="242">
        <f t="shared" si="214"/>
        <v>1901</v>
      </c>
      <c r="XY29" s="56"/>
      <c r="YB29" s="55">
        <f t="shared" si="215"/>
        <v>46046</v>
      </c>
      <c r="YC29" s="56"/>
      <c r="YD29" s="242">
        <f>SUMPRODUCT(PRODUCE!$B28:$DY28,PRODUCE!$EB$57:$IY$57)</f>
        <v>0</v>
      </c>
      <c r="YE29" s="56">
        <v>519</v>
      </c>
      <c r="YF29" s="242">
        <f t="shared" si="216"/>
        <v>-519</v>
      </c>
      <c r="YG29" s="242">
        <f t="shared" si="217"/>
        <v>2152</v>
      </c>
      <c r="YH29" s="56"/>
      <c r="YK29" s="55">
        <f t="shared" si="218"/>
        <v>46046</v>
      </c>
      <c r="YL29" s="56"/>
      <c r="YM29" s="242">
        <f>SUMPRODUCT(PRODUCE!$B28:$DY28,PRODUCE!$EB$57:$IY$57)</f>
        <v>0</v>
      </c>
      <c r="YN29" s="56"/>
      <c r="YO29" s="242">
        <f t="shared" si="219"/>
        <v>0</v>
      </c>
      <c r="YP29" s="242">
        <f t="shared" si="220"/>
        <v>0</v>
      </c>
      <c r="YQ29" s="56"/>
      <c r="YT29" s="55">
        <f t="shared" si="221"/>
        <v>46046</v>
      </c>
      <c r="YU29" s="56"/>
      <c r="YV29" s="242">
        <f>SUMPRODUCT(PRODUCE!$B28:$DY28,PRODUCE!$EB$57:$IY$57)</f>
        <v>0</v>
      </c>
      <c r="YW29" s="56"/>
      <c r="YX29" s="242">
        <f t="shared" si="222"/>
        <v>0</v>
      </c>
      <c r="YY29" s="242">
        <f t="shared" si="223"/>
        <v>0</v>
      </c>
      <c r="YZ29" s="56"/>
      <c r="ZC29" s="55">
        <f t="shared" si="224"/>
        <v>46046</v>
      </c>
      <c r="ZD29" s="56"/>
      <c r="ZE29" s="242">
        <f>SUMPRODUCT(PRODUCE!$B28:$DY28,PRODUCE!$EB$57:$IY$57)</f>
        <v>0</v>
      </c>
      <c r="ZF29" s="56"/>
      <c r="ZG29" s="242">
        <f t="shared" si="225"/>
        <v>0</v>
      </c>
      <c r="ZH29" s="242">
        <f t="shared" si="226"/>
        <v>0</v>
      </c>
      <c r="ZI29" s="56"/>
      <c r="ZL29" s="55">
        <f t="shared" si="227"/>
        <v>46046</v>
      </c>
      <c r="ZM29" s="56"/>
      <c r="ZN29" s="242">
        <f>SUMPRODUCT(PRODUCE!$B28:$DY28,PRODUCE!$EB$57:$IY$57)</f>
        <v>0</v>
      </c>
      <c r="ZO29" s="56"/>
      <c r="ZP29" s="242">
        <f t="shared" si="228"/>
        <v>0</v>
      </c>
      <c r="ZQ29" s="242">
        <f t="shared" si="229"/>
        <v>0</v>
      </c>
      <c r="ZR29" s="56"/>
      <c r="ZU29" s="55">
        <f t="shared" si="230"/>
        <v>46046</v>
      </c>
      <c r="ZV29" s="56"/>
      <c r="ZW29" s="242">
        <f>SUMPRODUCT(PRODUCE!$B28:$DY28,PRODUCE!$EB$57:$IY$57)</f>
        <v>0</v>
      </c>
      <c r="ZX29" s="56"/>
      <c r="ZY29" s="242">
        <f t="shared" si="231"/>
        <v>0</v>
      </c>
      <c r="ZZ29" s="242">
        <f t="shared" si="232"/>
        <v>0</v>
      </c>
      <c r="AAA29" s="56"/>
      <c r="AAD29" s="55">
        <f t="shared" si="233"/>
        <v>46046</v>
      </c>
      <c r="AAE29" s="56"/>
      <c r="AAF29" s="242">
        <f>SUMPRODUCT(PRODUCE!$B28:$DY28,PRODUCE!$EB$57:$IY$57)</f>
        <v>0</v>
      </c>
      <c r="AAG29" s="56"/>
      <c r="AAH29" s="242">
        <f t="shared" si="234"/>
        <v>0</v>
      </c>
      <c r="AAI29" s="242">
        <f t="shared" si="235"/>
        <v>0</v>
      </c>
      <c r="AAJ29" s="56"/>
      <c r="AAM29" s="55">
        <f t="shared" si="236"/>
        <v>46046</v>
      </c>
      <c r="AAN29" s="56"/>
      <c r="AAO29" s="242">
        <f>SUMPRODUCT(PRODUCE!$B28:$DY28,PRODUCE!$EB$57:$IY$57)</f>
        <v>0</v>
      </c>
      <c r="AAP29" s="56"/>
      <c r="AAQ29" s="242">
        <f t="shared" si="237"/>
        <v>0</v>
      </c>
      <c r="AAR29" s="242">
        <f t="shared" si="238"/>
        <v>0</v>
      </c>
      <c r="AAS29" s="56"/>
      <c r="AAV29" s="55">
        <f t="shared" si="239"/>
        <v>46046</v>
      </c>
      <c r="AAW29" s="56"/>
      <c r="AAX29" s="242">
        <f>SUMPRODUCT(PRODUCE!$B28:$DY28,PRODUCE!$EB$57:$IY$57)</f>
        <v>0</v>
      </c>
      <c r="AAY29" s="56"/>
      <c r="AAZ29" s="242">
        <f t="shared" si="240"/>
        <v>0</v>
      </c>
      <c r="ABA29" s="242">
        <f t="shared" si="241"/>
        <v>0</v>
      </c>
      <c r="ABB29" s="56"/>
      <c r="ABE29" s="55">
        <f t="shared" si="242"/>
        <v>46046</v>
      </c>
      <c r="ABF29" s="56"/>
      <c r="ABG29" s="242">
        <f>SUMPRODUCT(PRODUCE!$B28:$DY28,PRODUCE!$EB$57:$IY$57)</f>
        <v>0</v>
      </c>
      <c r="ABH29" s="56"/>
      <c r="ABI29" s="242">
        <f t="shared" si="243"/>
        <v>0</v>
      </c>
      <c r="ABJ29" s="242">
        <f t="shared" si="244"/>
        <v>0</v>
      </c>
      <c r="ABK29" s="56"/>
    </row>
    <row r="30" spans="2:739" s="54" customFormat="1" ht="15" customHeight="1" outlineLevel="1">
      <c r="B30" s="478"/>
      <c r="C30" s="55">
        <v>46047</v>
      </c>
      <c r="D30" s="422"/>
      <c r="E30" s="423">
        <f>SUMPRODUCT(PRODUCE!$B29:$DY29,PRODUCE!$EB$7:$IY$7)</f>
        <v>0</v>
      </c>
      <c r="F30" s="422"/>
      <c r="G30" s="423">
        <f t="shared" si="2"/>
        <v>0</v>
      </c>
      <c r="H30" s="423">
        <f t="shared" si="0"/>
        <v>103330.59999999999</v>
      </c>
      <c r="I30" s="289"/>
      <c r="L30" s="55">
        <f t="shared" si="1"/>
        <v>46047</v>
      </c>
      <c r="M30" s="422"/>
      <c r="N30" s="438">
        <f>SUMPRODUCT(PRODUCE!$B29:$DY29,PRODUCE!$EB$8:$IY$8)</f>
        <v>0</v>
      </c>
      <c r="O30" s="422"/>
      <c r="P30" s="438">
        <f t="shared" si="3"/>
        <v>0</v>
      </c>
      <c r="Q30" s="438">
        <f t="shared" si="4"/>
        <v>53852</v>
      </c>
      <c r="R30" s="56"/>
      <c r="U30" s="55">
        <f t="shared" si="5"/>
        <v>46047</v>
      </c>
      <c r="V30" s="422"/>
      <c r="W30" s="440">
        <f>SUMPRODUCT(PRODUCE!$B29:$DY29,PRODUCE!$EB$9:$IY$9)</f>
        <v>0</v>
      </c>
      <c r="X30" s="422"/>
      <c r="Y30" s="440">
        <f t="shared" si="6"/>
        <v>0</v>
      </c>
      <c r="Z30" s="440">
        <f t="shared" si="7"/>
        <v>34909.499999999978</v>
      </c>
      <c r="AA30" s="56"/>
      <c r="AD30" s="55">
        <f t="shared" si="8"/>
        <v>46047</v>
      </c>
      <c r="AE30" s="422"/>
      <c r="AF30" s="442">
        <f>SUMPRODUCT(PRODUCE!$B29:$DY29,PRODUCE!$EB$10:$IY$10)</f>
        <v>0</v>
      </c>
      <c r="AG30" s="422"/>
      <c r="AH30" s="442">
        <f t="shared" si="9"/>
        <v>0</v>
      </c>
      <c r="AI30" s="442">
        <f t="shared" si="10"/>
        <v>38799.000000000007</v>
      </c>
      <c r="AJ30" s="56"/>
      <c r="AM30" s="55">
        <f t="shared" si="11"/>
        <v>46047</v>
      </c>
      <c r="AN30" s="422"/>
      <c r="AO30" s="444">
        <f>SUMPRODUCT(PRODUCE!$B29:$DY29,PRODUCE!$EB$11:$IY$11)</f>
        <v>0</v>
      </c>
      <c r="AP30" s="422"/>
      <c r="AQ30" s="444">
        <f t="shared" si="12"/>
        <v>0</v>
      </c>
      <c r="AR30" s="444">
        <f t="shared" si="13"/>
        <v>0</v>
      </c>
      <c r="AS30" s="56"/>
      <c r="AV30" s="55">
        <f t="shared" si="14"/>
        <v>46047</v>
      </c>
      <c r="AW30" s="422"/>
      <c r="AX30" s="446">
        <f>SUMPRODUCT(PRODUCE!$B29:$DY29,PRODUCE!$EB$12:$IY$12)</f>
        <v>0</v>
      </c>
      <c r="AY30" s="422"/>
      <c r="AZ30" s="446">
        <f t="shared" si="15"/>
        <v>0</v>
      </c>
      <c r="BA30" s="446">
        <f t="shared" si="16"/>
        <v>38547.999999999993</v>
      </c>
      <c r="BB30" s="56"/>
      <c r="BE30" s="55">
        <f t="shared" si="17"/>
        <v>46047</v>
      </c>
      <c r="BF30" s="422"/>
      <c r="BG30" s="448">
        <f>SUMPRODUCT(PRODUCE!$B29:$DY29,PRODUCE!$EB$13:$IY$13)</f>
        <v>0</v>
      </c>
      <c r="BH30" s="422"/>
      <c r="BI30" s="448">
        <f t="shared" si="18"/>
        <v>0</v>
      </c>
      <c r="BJ30" s="448">
        <f t="shared" si="19"/>
        <v>26001.500000000007</v>
      </c>
      <c r="BK30" s="56"/>
      <c r="BN30" s="55">
        <f t="shared" si="20"/>
        <v>46047</v>
      </c>
      <c r="BO30" s="422"/>
      <c r="BP30" s="450">
        <f>SUMPRODUCT(PRODUCE!$B29:$DY29,PRODUCE!$EB$14:$IY$14)</f>
        <v>0</v>
      </c>
      <c r="BQ30" s="422"/>
      <c r="BR30" s="450">
        <f t="shared" si="21"/>
        <v>0</v>
      </c>
      <c r="BS30" s="450">
        <f t="shared" si="22"/>
        <v>0</v>
      </c>
      <c r="BT30" s="56"/>
      <c r="BW30" s="55">
        <f t="shared" si="23"/>
        <v>46047</v>
      </c>
      <c r="BX30" s="56"/>
      <c r="BY30" s="65">
        <f>SUMPRODUCT(PRODUCE!$B29:$DY29,PRODUCE!$EB$15:$IY$15)</f>
        <v>0</v>
      </c>
      <c r="BZ30" s="56"/>
      <c r="CA30" s="65">
        <f t="shared" si="24"/>
        <v>0</v>
      </c>
      <c r="CB30" s="65">
        <f t="shared" si="25"/>
        <v>3284.5</v>
      </c>
      <c r="CC30" s="56"/>
      <c r="CF30" s="55">
        <f t="shared" si="26"/>
        <v>46047</v>
      </c>
      <c r="CG30" s="56"/>
      <c r="CH30" s="66">
        <f>SUMPRODUCT(PRODUCE!$B29:$DY29,PRODUCE!$EB$16:$IY$16)</f>
        <v>0</v>
      </c>
      <c r="CI30" s="56"/>
      <c r="CJ30" s="66">
        <f t="shared" si="27"/>
        <v>0</v>
      </c>
      <c r="CK30" s="66">
        <f t="shared" si="28"/>
        <v>0</v>
      </c>
      <c r="CL30" s="56"/>
      <c r="CO30" s="55">
        <f t="shared" si="29"/>
        <v>46047</v>
      </c>
      <c r="CP30" s="422"/>
      <c r="CQ30" s="470">
        <f>SUMPRODUCT(PRODUCE!$B29:$DY29,PRODUCE!$EB$17:$IY$17)</f>
        <v>0</v>
      </c>
      <c r="CR30" s="422"/>
      <c r="CS30" s="470">
        <f t="shared" si="30"/>
        <v>0</v>
      </c>
      <c r="CT30" s="470">
        <f t="shared" si="31"/>
        <v>0</v>
      </c>
      <c r="CU30" s="56"/>
      <c r="CX30" s="55">
        <f t="shared" si="32"/>
        <v>46047</v>
      </c>
      <c r="CY30" s="56"/>
      <c r="CZ30" s="133">
        <f>SUMPRODUCT(PRODUCE!$B29:$DY29,PRODUCE!$EB$18:$IY$18)</f>
        <v>0</v>
      </c>
      <c r="DA30" s="56"/>
      <c r="DB30" s="133">
        <f t="shared" si="33"/>
        <v>0</v>
      </c>
      <c r="DC30" s="133">
        <f t="shared" si="34"/>
        <v>0</v>
      </c>
      <c r="DD30" s="56"/>
      <c r="DG30" s="55">
        <f t="shared" si="35"/>
        <v>46047</v>
      </c>
      <c r="DH30" s="56"/>
      <c r="DI30" s="147">
        <f>SUMPRODUCT(PRODUCE!$B29:$DY29,PRODUCE!$EB$19:$IY$19)</f>
        <v>0</v>
      </c>
      <c r="DJ30" s="56"/>
      <c r="DK30" s="147">
        <f t="shared" si="36"/>
        <v>0</v>
      </c>
      <c r="DL30" s="147">
        <f t="shared" si="37"/>
        <v>23572.799999999996</v>
      </c>
      <c r="DM30" s="56"/>
      <c r="DP30" s="55">
        <f t="shared" si="38"/>
        <v>46047</v>
      </c>
      <c r="DQ30" s="56"/>
      <c r="DR30" s="57">
        <f>SUMPRODUCT(PRODUCE!$B29:$DY29,PRODUCE!$EB$20:$IY$20)</f>
        <v>0</v>
      </c>
      <c r="DS30" s="56"/>
      <c r="DT30" s="57">
        <f t="shared" si="39"/>
        <v>0</v>
      </c>
      <c r="DU30" s="57">
        <f t="shared" si="40"/>
        <v>0</v>
      </c>
      <c r="DV30" s="56"/>
      <c r="DY30" s="55">
        <f t="shared" si="41"/>
        <v>46047</v>
      </c>
      <c r="DZ30" s="56"/>
      <c r="EA30" s="157">
        <f>SUMPRODUCT(PRODUCE!$B29:$DY29,PRODUCE!$EB$21:$IY$21)</f>
        <v>0</v>
      </c>
      <c r="EB30" s="56"/>
      <c r="EC30" s="157">
        <f t="shared" si="42"/>
        <v>0</v>
      </c>
      <c r="ED30" s="157">
        <f t="shared" si="43"/>
        <v>0</v>
      </c>
      <c r="EE30" s="56"/>
      <c r="EH30" s="55">
        <f t="shared" si="44"/>
        <v>46047</v>
      </c>
      <c r="EI30" s="56"/>
      <c r="EJ30" s="162">
        <f>SUMPRODUCT(PRODUCE!$B29:$DY29,PRODUCE!$EB$22:$IY$22)</f>
        <v>0</v>
      </c>
      <c r="EK30" s="56"/>
      <c r="EL30" s="162">
        <f t="shared" si="45"/>
        <v>0</v>
      </c>
      <c r="EM30" s="162">
        <f t="shared" si="46"/>
        <v>0</v>
      </c>
      <c r="EN30" s="56"/>
      <c r="EQ30" s="55">
        <f t="shared" si="47"/>
        <v>46047</v>
      </c>
      <c r="ER30" s="56"/>
      <c r="ES30" s="135">
        <f>SUMPRODUCT(PRODUCE!$B29:$DY29,PRODUCE!$EB$23:$IY$23)</f>
        <v>0</v>
      </c>
      <c r="ET30" s="56"/>
      <c r="EU30" s="135">
        <f t="shared" si="48"/>
        <v>0</v>
      </c>
      <c r="EV30" s="135">
        <f t="shared" si="49"/>
        <v>0</v>
      </c>
      <c r="EW30" s="56"/>
      <c r="EZ30" s="55">
        <f t="shared" si="50"/>
        <v>46047</v>
      </c>
      <c r="FA30" s="56"/>
      <c r="FB30" s="175">
        <f>SUMPRODUCT(PRODUCE!$B29:$DY29,PRODUCE!$EB$24:$IY$24)</f>
        <v>0</v>
      </c>
      <c r="FC30" s="56"/>
      <c r="FD30" s="175">
        <f t="shared" si="51"/>
        <v>0</v>
      </c>
      <c r="FE30" s="175">
        <f t="shared" si="52"/>
        <v>0</v>
      </c>
      <c r="FF30" s="56"/>
      <c r="FI30" s="55">
        <f t="shared" si="53"/>
        <v>46047</v>
      </c>
      <c r="FJ30" s="56"/>
      <c r="FK30" s="183">
        <f>SUMPRODUCT(PRODUCE!$B29:$DY29,PRODUCE!$EB$25:$IY$25)</f>
        <v>0</v>
      </c>
      <c r="FL30" s="56"/>
      <c r="FM30" s="183">
        <f t="shared" si="54"/>
        <v>0</v>
      </c>
      <c r="FN30" s="183">
        <f t="shared" si="55"/>
        <v>0</v>
      </c>
      <c r="FO30" s="56"/>
      <c r="FR30" s="55">
        <f t="shared" si="56"/>
        <v>46047</v>
      </c>
      <c r="FS30" s="422"/>
      <c r="FT30" s="452">
        <f>SUMPRODUCT(PRODUCE!$B29:$DY29,PRODUCE!$EB$26:$IY$26)</f>
        <v>0</v>
      </c>
      <c r="FU30" s="422"/>
      <c r="FV30" s="452">
        <f t="shared" si="57"/>
        <v>0</v>
      </c>
      <c r="FW30" s="452">
        <f t="shared" si="58"/>
        <v>3540</v>
      </c>
      <c r="FX30" s="56"/>
      <c r="GA30" s="55">
        <f t="shared" si="59"/>
        <v>46047</v>
      </c>
      <c r="GB30" s="422"/>
      <c r="GC30" s="454">
        <f>SUMPRODUCT(PRODUCE!$B29:$DY29,PRODUCE!$EB$27:$IY$27)</f>
        <v>0</v>
      </c>
      <c r="GD30" s="422"/>
      <c r="GE30" s="454">
        <f t="shared" si="60"/>
        <v>0</v>
      </c>
      <c r="GF30" s="454">
        <f t="shared" si="61"/>
        <v>1960</v>
      </c>
      <c r="GG30" s="56"/>
      <c r="GI30" s="23"/>
      <c r="GJ30" s="55">
        <f t="shared" si="62"/>
        <v>46047</v>
      </c>
      <c r="GK30" s="422"/>
      <c r="GL30" s="456">
        <f>SUMPRODUCT(PRODUCE!$B29:$DY29,PRODUCE!$EB$28:$IY$28)</f>
        <v>0</v>
      </c>
      <c r="GM30" s="422"/>
      <c r="GN30" s="456">
        <f t="shared" si="63"/>
        <v>0</v>
      </c>
      <c r="GO30" s="456">
        <f t="shared" si="64"/>
        <v>4440</v>
      </c>
      <c r="GP30" s="56"/>
      <c r="GS30" s="55">
        <f t="shared" si="65"/>
        <v>46047</v>
      </c>
      <c r="GT30" s="56"/>
      <c r="GU30" s="195">
        <f>SUMPRODUCT(PRODUCE!$B29:$DY29,PRODUCE!$EB$29:$IY$29)</f>
        <v>0</v>
      </c>
      <c r="GV30" s="56"/>
      <c r="GW30" s="195">
        <f t="shared" si="66"/>
        <v>0</v>
      </c>
      <c r="GX30" s="195">
        <f t="shared" si="67"/>
        <v>0</v>
      </c>
      <c r="GY30" s="56"/>
      <c r="HB30" s="55">
        <f t="shared" si="68"/>
        <v>46047</v>
      </c>
      <c r="HC30" s="56"/>
      <c r="HD30" s="191">
        <f>SUMPRODUCT(PRODUCE!$B29:$DY29,PRODUCE!$EB$30:$IY$30)</f>
        <v>0</v>
      </c>
      <c r="HE30" s="56"/>
      <c r="HF30" s="191">
        <f t="shared" si="69"/>
        <v>0</v>
      </c>
      <c r="HG30" s="191">
        <f t="shared" si="70"/>
        <v>0</v>
      </c>
      <c r="HH30" s="56"/>
      <c r="HK30" s="55">
        <f t="shared" si="71"/>
        <v>46047</v>
      </c>
      <c r="HL30" s="56"/>
      <c r="HM30" s="63">
        <f>SUMPRODUCT(PRODUCE!$B29:$DY29,PRODUCE!$EB$31:$IY$31)</f>
        <v>0</v>
      </c>
      <c r="HN30" s="56"/>
      <c r="HO30" s="63">
        <f t="shared" si="72"/>
        <v>0</v>
      </c>
      <c r="HP30" s="63">
        <f t="shared" si="73"/>
        <v>0</v>
      </c>
      <c r="HQ30" s="56"/>
      <c r="HU30" s="55">
        <f t="shared" si="74"/>
        <v>46047</v>
      </c>
      <c r="HV30" s="56"/>
      <c r="HW30" s="242">
        <f>SUMPRODUCT(PRODUCE!$B29:$DY29,PRODUCE!$EB$32:$IY$32)</f>
        <v>0</v>
      </c>
      <c r="HX30" s="56"/>
      <c r="HY30" s="242">
        <f t="shared" si="75"/>
        <v>0</v>
      </c>
      <c r="HZ30" s="242">
        <f t="shared" si="76"/>
        <v>1440</v>
      </c>
      <c r="IA30" s="56"/>
      <c r="ID30" s="55">
        <f t="shared" si="77"/>
        <v>46047</v>
      </c>
      <c r="IE30" s="56"/>
      <c r="IF30" s="242">
        <f>SUMPRODUCT(PRODUCE!$B29:$DY29,PRODUCE!$EB$33:$IY$33)</f>
        <v>0</v>
      </c>
      <c r="IG30" s="56"/>
      <c r="IH30" s="242">
        <f t="shared" si="78"/>
        <v>0</v>
      </c>
      <c r="II30" s="242">
        <f t="shared" si="79"/>
        <v>5100</v>
      </c>
      <c r="IJ30" s="56"/>
      <c r="IM30" s="55">
        <f t="shared" si="80"/>
        <v>46047</v>
      </c>
      <c r="IN30" s="56"/>
      <c r="IO30" s="242">
        <f>SUMPRODUCT(PRODUCE!$B29:$DY29,PRODUCE!$EB$34:$IY$34)</f>
        <v>0</v>
      </c>
      <c r="IP30" s="56"/>
      <c r="IQ30" s="242">
        <f t="shared" si="81"/>
        <v>0</v>
      </c>
      <c r="IR30" s="242">
        <f t="shared" si="82"/>
        <v>12640</v>
      </c>
      <c r="IS30" s="56"/>
      <c r="IV30" s="55">
        <f t="shared" si="83"/>
        <v>46047</v>
      </c>
      <c r="IW30" s="56"/>
      <c r="IX30" s="242">
        <f>SUMPRODUCT(PRODUCE!$B29:$DY29,PRODUCE!$EB$35:$IY$35)</f>
        <v>0</v>
      </c>
      <c r="IY30" s="56"/>
      <c r="IZ30" s="242">
        <f t="shared" si="84"/>
        <v>0</v>
      </c>
      <c r="JA30" s="242">
        <f t="shared" si="85"/>
        <v>9120</v>
      </c>
      <c r="JB30" s="56"/>
      <c r="JE30" s="55">
        <f t="shared" si="86"/>
        <v>46047</v>
      </c>
      <c r="JF30" s="56"/>
      <c r="JG30" s="242">
        <f>SUMPRODUCT(PRODUCE!$B29:$DY29,PRODUCE!$EB$36:$IY$36)</f>
        <v>0</v>
      </c>
      <c r="JH30" s="56"/>
      <c r="JI30" s="242">
        <f t="shared" si="87"/>
        <v>0</v>
      </c>
      <c r="JJ30" s="242">
        <f t="shared" si="88"/>
        <v>6800</v>
      </c>
      <c r="JK30" s="56"/>
      <c r="JN30" s="55">
        <f t="shared" si="89"/>
        <v>46047</v>
      </c>
      <c r="JO30" s="56"/>
      <c r="JP30" s="242">
        <f>SUMPRODUCT(PRODUCE!$B29:$DY29,PRODUCE!$EB$37:$IY$37)</f>
        <v>0</v>
      </c>
      <c r="JQ30" s="56"/>
      <c r="JR30" s="242">
        <f t="shared" si="90"/>
        <v>0</v>
      </c>
      <c r="JS30" s="242">
        <f t="shared" si="91"/>
        <v>5400</v>
      </c>
      <c r="JT30" s="56"/>
      <c r="JW30" s="55">
        <f t="shared" si="92"/>
        <v>46047</v>
      </c>
      <c r="JX30" s="56"/>
      <c r="JY30" s="242">
        <f>SUMPRODUCT(PRODUCE!$B29:$DY29,PRODUCE!$EB$38:$IY$38)</f>
        <v>0</v>
      </c>
      <c r="JZ30" s="56"/>
      <c r="KA30" s="242">
        <f t="shared" si="93"/>
        <v>0</v>
      </c>
      <c r="KB30" s="242">
        <f t="shared" si="94"/>
        <v>0</v>
      </c>
      <c r="KC30" s="56"/>
      <c r="KF30" s="55">
        <f t="shared" si="95"/>
        <v>46047</v>
      </c>
      <c r="KG30" s="56"/>
      <c r="KH30" s="242">
        <f>SUMPRODUCT(PRODUCE!$B29:$DY29,PRODUCE!$EB$39:$IY$39)</f>
        <v>0</v>
      </c>
      <c r="KI30" s="56"/>
      <c r="KJ30" s="242">
        <f t="shared" si="96"/>
        <v>0</v>
      </c>
      <c r="KK30" s="242">
        <f t="shared" si="97"/>
        <v>0</v>
      </c>
      <c r="KL30" s="56"/>
      <c r="KO30" s="55">
        <f t="shared" si="98"/>
        <v>46047</v>
      </c>
      <c r="KP30" s="56"/>
      <c r="KQ30" s="242">
        <f>SUMPRODUCT(PRODUCE!$B29:$DY29,PRODUCE!$EB$40:$IY$40)</f>
        <v>0</v>
      </c>
      <c r="KR30" s="56"/>
      <c r="KS30" s="242">
        <f t="shared" si="99"/>
        <v>0</v>
      </c>
      <c r="KT30" s="242">
        <f t="shared" si="100"/>
        <v>0</v>
      </c>
      <c r="KU30" s="56"/>
      <c r="KW30" s="23"/>
      <c r="KX30" s="55">
        <f t="shared" si="101"/>
        <v>46047</v>
      </c>
      <c r="KY30" s="56"/>
      <c r="KZ30" s="242">
        <f>SUMPRODUCT(PRODUCE!$B29:$DY29,PRODUCE!$EB$41:$IY$41)</f>
        <v>0</v>
      </c>
      <c r="LA30" s="56"/>
      <c r="LB30" s="242">
        <f t="shared" si="102"/>
        <v>0</v>
      </c>
      <c r="LC30" s="242">
        <f t="shared" si="103"/>
        <v>0</v>
      </c>
      <c r="LD30" s="56"/>
      <c r="LG30" s="55">
        <f t="shared" si="104"/>
        <v>46047</v>
      </c>
      <c r="LH30" s="56"/>
      <c r="LI30" s="242">
        <f>SUMPRODUCT(PRODUCE!$B29:$DY29,PRODUCE!$EB$42:$IY$42)</f>
        <v>0</v>
      </c>
      <c r="LJ30" s="56"/>
      <c r="LK30" s="242">
        <f t="shared" si="105"/>
        <v>0</v>
      </c>
      <c r="LL30" s="242">
        <f t="shared" si="106"/>
        <v>0</v>
      </c>
      <c r="LM30" s="56"/>
      <c r="LP30" s="55">
        <f t="shared" si="107"/>
        <v>46047</v>
      </c>
      <c r="LQ30" s="56"/>
      <c r="LR30" s="242">
        <f>SUMPRODUCT(PRODUCE!$B29:$DY29,PRODUCE!$EB$43:$IY$43)</f>
        <v>0</v>
      </c>
      <c r="LS30" s="56"/>
      <c r="LT30" s="242">
        <f t="shared" si="108"/>
        <v>0</v>
      </c>
      <c r="LU30" s="242">
        <f t="shared" si="109"/>
        <v>0</v>
      </c>
      <c r="LV30" s="56"/>
      <c r="LY30" s="55">
        <f t="shared" si="110"/>
        <v>46047</v>
      </c>
      <c r="LZ30" s="56"/>
      <c r="MA30" s="242">
        <f>SUMPRODUCT(PRODUCE!$B29:$DY29,PRODUCE!$EB$44:$IY$44)</f>
        <v>0</v>
      </c>
      <c r="MB30" s="56"/>
      <c r="MC30" s="242">
        <f t="shared" si="111"/>
        <v>0</v>
      </c>
      <c r="MD30" s="242">
        <f t="shared" si="112"/>
        <v>0</v>
      </c>
      <c r="ME30" s="56"/>
      <c r="MH30" s="55">
        <f t="shared" si="113"/>
        <v>46047</v>
      </c>
      <c r="MI30" s="56"/>
      <c r="MJ30" s="242">
        <f>SUMPRODUCT(PRODUCE!$B29:$DY29,PRODUCE!$EB$45:$IY$45)</f>
        <v>0</v>
      </c>
      <c r="MK30" s="56"/>
      <c r="ML30" s="242">
        <f t="shared" si="114"/>
        <v>0</v>
      </c>
      <c r="MM30" s="242">
        <f t="shared" si="115"/>
        <v>0</v>
      </c>
      <c r="MN30" s="56"/>
      <c r="MQ30" s="55">
        <f t="shared" si="116"/>
        <v>46047</v>
      </c>
      <c r="MR30" s="56"/>
      <c r="MS30" s="242">
        <f>SUMPRODUCT(PRODUCE!$B29:$DY29,PRODUCE!$EB$46:$IY$46)</f>
        <v>0</v>
      </c>
      <c r="MT30" s="56"/>
      <c r="MU30" s="242">
        <f t="shared" si="117"/>
        <v>0</v>
      </c>
      <c r="MV30" s="242">
        <f t="shared" si="118"/>
        <v>1059</v>
      </c>
      <c r="MW30" s="56"/>
      <c r="MZ30" s="55">
        <f t="shared" si="119"/>
        <v>46047</v>
      </c>
      <c r="NA30" s="56"/>
      <c r="NB30" s="242">
        <f>SUMPRODUCT(PRODUCE!$B29:$DY29,PRODUCE!$EB$47:$IY$47)</f>
        <v>0</v>
      </c>
      <c r="NC30" s="56"/>
      <c r="ND30" s="242">
        <f t="shared" si="120"/>
        <v>0</v>
      </c>
      <c r="NE30" s="242">
        <f t="shared" si="121"/>
        <v>0</v>
      </c>
      <c r="NF30" s="56"/>
      <c r="NI30" s="55">
        <f t="shared" si="122"/>
        <v>46047</v>
      </c>
      <c r="NJ30" s="56"/>
      <c r="NK30" s="242">
        <f>SUMPRODUCT(PRODUCE!$B29:$DY29,PRODUCE!$EB$48:$IY$48)</f>
        <v>0</v>
      </c>
      <c r="NL30" s="56"/>
      <c r="NM30" s="242">
        <f t="shared" si="123"/>
        <v>0</v>
      </c>
      <c r="NN30" s="242">
        <f t="shared" si="124"/>
        <v>0</v>
      </c>
      <c r="NO30" s="56"/>
      <c r="NR30" s="55">
        <f t="shared" si="125"/>
        <v>46047</v>
      </c>
      <c r="NS30" s="56"/>
      <c r="NT30" s="242">
        <f>SUMPRODUCT(PRODUCE!$B29:$DY29,PRODUCE!$EB$49:$IY$49)</f>
        <v>0</v>
      </c>
      <c r="NU30" s="56"/>
      <c r="NV30" s="242">
        <f t="shared" si="126"/>
        <v>0</v>
      </c>
      <c r="NW30" s="242">
        <f t="shared" si="127"/>
        <v>0</v>
      </c>
      <c r="NX30" s="56"/>
      <c r="OA30" s="55">
        <f t="shared" si="128"/>
        <v>46047</v>
      </c>
      <c r="OB30" s="56"/>
      <c r="OC30" s="242">
        <f>SUMPRODUCT(PRODUCE!$B29:$DY29,PRODUCE!$EB$50:$IY$50)</f>
        <v>0</v>
      </c>
      <c r="OD30" s="56"/>
      <c r="OE30" s="242">
        <f t="shared" si="129"/>
        <v>0</v>
      </c>
      <c r="OF30" s="242">
        <f t="shared" si="130"/>
        <v>1680.5</v>
      </c>
      <c r="OG30" s="56"/>
      <c r="OJ30" s="55">
        <f t="shared" si="131"/>
        <v>46047</v>
      </c>
      <c r="OK30" s="56"/>
      <c r="OL30" s="242">
        <f>SUMPRODUCT(PRODUCE!$B29:$DY29,PRODUCE!$EB$51:$IY$51)</f>
        <v>0</v>
      </c>
      <c r="OM30" s="56"/>
      <c r="ON30" s="242">
        <f t="shared" si="132"/>
        <v>0</v>
      </c>
      <c r="OO30" s="242">
        <f t="shared" si="133"/>
        <v>0</v>
      </c>
      <c r="OP30" s="56"/>
      <c r="OS30" s="55">
        <f t="shared" si="134"/>
        <v>46047</v>
      </c>
      <c r="OT30" s="56"/>
      <c r="OU30" s="242">
        <f>SUMPRODUCT(PRODUCE!$B29:$DY29,PRODUCE!$EB$52:$IY$52)</f>
        <v>0</v>
      </c>
      <c r="OV30" s="56"/>
      <c r="OW30" s="242">
        <f t="shared" si="135"/>
        <v>0</v>
      </c>
      <c r="OX30" s="242">
        <f t="shared" si="136"/>
        <v>67</v>
      </c>
      <c r="OY30" s="56"/>
      <c r="PB30" s="55">
        <f t="shared" si="137"/>
        <v>46047</v>
      </c>
      <c r="PC30" s="56"/>
      <c r="PD30" s="242">
        <f>SUMPRODUCT(PRODUCE!$B29:$DY29,PRODUCE!$EB$53:$IY$53)</f>
        <v>0</v>
      </c>
      <c r="PE30" s="56"/>
      <c r="PF30" s="242">
        <f t="shared" si="138"/>
        <v>0</v>
      </c>
      <c r="PG30" s="242">
        <f t="shared" si="139"/>
        <v>0</v>
      </c>
      <c r="PH30" s="56"/>
      <c r="PK30" s="55">
        <f t="shared" si="140"/>
        <v>46047</v>
      </c>
      <c r="PL30" s="56"/>
      <c r="PM30" s="242">
        <f>SUMPRODUCT(PRODUCE!$B29:$DY29,PRODUCE!$EB$54:$IY$54)</f>
        <v>0</v>
      </c>
      <c r="PN30" s="56"/>
      <c r="PO30" s="242">
        <f t="shared" si="141"/>
        <v>0</v>
      </c>
      <c r="PP30" s="242">
        <f t="shared" si="142"/>
        <v>160</v>
      </c>
      <c r="PQ30" s="56"/>
      <c r="PT30" s="55">
        <f t="shared" si="143"/>
        <v>46047</v>
      </c>
      <c r="PU30" s="56"/>
      <c r="PV30" s="242">
        <f>SUMPRODUCT(PRODUCE!$B29:$DY29,PRODUCE!$EB$55:$IY$55)</f>
        <v>0</v>
      </c>
      <c r="PW30" s="56"/>
      <c r="PX30" s="242">
        <f t="shared" si="144"/>
        <v>0</v>
      </c>
      <c r="PY30" s="242">
        <f t="shared" si="145"/>
        <v>13.960000000000036</v>
      </c>
      <c r="PZ30" s="56"/>
      <c r="QC30" s="55">
        <f t="shared" si="146"/>
        <v>46047</v>
      </c>
      <c r="QD30" s="56"/>
      <c r="QE30" s="242">
        <f>SUMPRODUCT(PRODUCE!$B29:$DY29,PRODUCE!$EB$56:$IY$56)</f>
        <v>0</v>
      </c>
      <c r="QF30" s="56"/>
      <c r="QG30" s="242">
        <f t="shared" si="147"/>
        <v>0</v>
      </c>
      <c r="QH30" s="242">
        <f t="shared" si="148"/>
        <v>0</v>
      </c>
      <c r="QI30" s="56"/>
      <c r="QL30" s="55">
        <f t="shared" si="149"/>
        <v>46047</v>
      </c>
      <c r="QM30" s="56"/>
      <c r="QN30" s="242">
        <f>SUMPRODUCT(PRODUCE!$B29:$DY29,PRODUCE!$EB$57:$IY$57)</f>
        <v>0</v>
      </c>
      <c r="QO30" s="56"/>
      <c r="QP30" s="242">
        <f t="shared" si="150"/>
        <v>0</v>
      </c>
      <c r="QQ30" s="242">
        <f t="shared" si="151"/>
        <v>0</v>
      </c>
      <c r="QR30" s="56"/>
      <c r="QU30" s="55">
        <f t="shared" si="152"/>
        <v>46047</v>
      </c>
      <c r="QV30" s="56"/>
      <c r="QW30" s="242">
        <f>SUMPRODUCT(PRODUCE!$B29:$DY29,PRODUCE!$EB$57:$IY$57)</f>
        <v>0</v>
      </c>
      <c r="QX30" s="56"/>
      <c r="QY30" s="242">
        <f t="shared" si="153"/>
        <v>0</v>
      </c>
      <c r="QZ30" s="242">
        <f t="shared" si="154"/>
        <v>207.6</v>
      </c>
      <c r="RA30" s="56"/>
      <c r="RD30" s="55">
        <f t="shared" si="155"/>
        <v>46047</v>
      </c>
      <c r="RE30" s="56"/>
      <c r="RF30" s="242">
        <f>SUMPRODUCT(PRODUCE!$B29:$DY29,PRODUCE!$EB$58:$IY$58)</f>
        <v>0</v>
      </c>
      <c r="RG30" s="56"/>
      <c r="RH30" s="242">
        <f t="shared" si="156"/>
        <v>0</v>
      </c>
      <c r="RI30" s="242">
        <f t="shared" si="157"/>
        <v>201.8</v>
      </c>
      <c r="RJ30" s="56"/>
      <c r="RM30" s="55">
        <f t="shared" si="158"/>
        <v>46047</v>
      </c>
      <c r="RN30" s="56"/>
      <c r="RO30" s="242">
        <f>SUMPRODUCT(PRODUCE!$B29:$DY29,PRODUCE!$EB$59:$IY$59)</f>
        <v>0</v>
      </c>
      <c r="RP30" s="56"/>
      <c r="RQ30" s="242">
        <f t="shared" si="159"/>
        <v>0</v>
      </c>
      <c r="RR30" s="242">
        <f t="shared" si="160"/>
        <v>22.720000000000002</v>
      </c>
      <c r="RS30" s="56"/>
      <c r="RV30" s="55">
        <f t="shared" si="161"/>
        <v>46047</v>
      </c>
      <c r="RW30" s="56"/>
      <c r="RX30" s="242">
        <f>SUMPRODUCT(PRODUCE!$B29:$DY29,PRODUCE!$EB$57:$IY$57)</f>
        <v>0</v>
      </c>
      <c r="RY30" s="56"/>
      <c r="RZ30" s="242">
        <f t="shared" si="162"/>
        <v>0</v>
      </c>
      <c r="SA30" s="242">
        <f t="shared" si="163"/>
        <v>0</v>
      </c>
      <c r="SB30" s="56"/>
      <c r="SE30" s="55">
        <f t="shared" si="164"/>
        <v>46047</v>
      </c>
      <c r="SF30" s="56"/>
      <c r="SG30" s="242">
        <f>SUMPRODUCT(PRODUCE!$B29:$DY29,PRODUCE!$EB$61:$IY$61)</f>
        <v>0</v>
      </c>
      <c r="SH30" s="56"/>
      <c r="SI30" s="242">
        <f t="shared" si="165"/>
        <v>0</v>
      </c>
      <c r="SJ30" s="242">
        <f t="shared" si="166"/>
        <v>0</v>
      </c>
      <c r="SK30" s="56"/>
      <c r="SN30" s="55">
        <f t="shared" si="167"/>
        <v>46047</v>
      </c>
      <c r="SO30" s="56"/>
      <c r="SP30" s="242">
        <f>SUMPRODUCT(PRODUCE!$B29:$DY29,PRODUCE!$EB$57:$IY$57)</f>
        <v>0</v>
      </c>
      <c r="SQ30" s="56"/>
      <c r="SR30" s="242">
        <f t="shared" si="168"/>
        <v>0</v>
      </c>
      <c r="SS30" s="242">
        <f t="shared" si="169"/>
        <v>0</v>
      </c>
      <c r="ST30" s="56"/>
      <c r="SW30" s="55">
        <f t="shared" si="170"/>
        <v>46047</v>
      </c>
      <c r="SX30" s="56"/>
      <c r="SY30" s="242">
        <f>SUMPRODUCT(PRODUCE!$B29:$DY29,PRODUCE!$EB$57:$IY$57)</f>
        <v>0</v>
      </c>
      <c r="SZ30" s="56"/>
      <c r="TA30" s="242">
        <f t="shared" si="171"/>
        <v>0</v>
      </c>
      <c r="TB30" s="242">
        <f t="shared" si="172"/>
        <v>0</v>
      </c>
      <c r="TC30" s="56"/>
      <c r="TF30" s="55">
        <f t="shared" si="173"/>
        <v>46047</v>
      </c>
      <c r="TG30" s="56"/>
      <c r="TH30" s="242">
        <f>SUMPRODUCT(PRODUCE!$B29:$DY29,PRODUCE!$EB$57:$IY$57)</f>
        <v>0</v>
      </c>
      <c r="TI30" s="56"/>
      <c r="TJ30" s="242">
        <f t="shared" si="174"/>
        <v>0</v>
      </c>
      <c r="TK30" s="242">
        <f t="shared" si="175"/>
        <v>0</v>
      </c>
      <c r="TL30" s="56"/>
      <c r="TO30" s="55">
        <f t="shared" si="176"/>
        <v>46047</v>
      </c>
      <c r="TP30" s="56"/>
      <c r="TQ30" s="242">
        <f>SUMPRODUCT(PRODUCE!$B29:$DY29,PRODUCE!$EB$57:$IY$57)</f>
        <v>0</v>
      </c>
      <c r="TR30" s="56"/>
      <c r="TS30" s="242">
        <f t="shared" si="177"/>
        <v>0</v>
      </c>
      <c r="TT30" s="242">
        <f t="shared" si="178"/>
        <v>0</v>
      </c>
      <c r="TU30" s="56"/>
      <c r="TX30" s="55">
        <f t="shared" si="179"/>
        <v>46047</v>
      </c>
      <c r="TY30" s="56"/>
      <c r="TZ30" s="242">
        <f>SUMPRODUCT(PRODUCE!$B29:$DY29,PRODUCE!$EB$57:$IY$57)</f>
        <v>0</v>
      </c>
      <c r="UA30" s="56"/>
      <c r="UB30" s="242">
        <f t="shared" si="180"/>
        <v>0</v>
      </c>
      <c r="UC30" s="242">
        <f t="shared" si="181"/>
        <v>0</v>
      </c>
      <c r="UD30" s="56"/>
      <c r="UG30" s="55">
        <f t="shared" si="182"/>
        <v>46047</v>
      </c>
      <c r="UH30" s="56"/>
      <c r="UI30" s="242">
        <f>SUMPRODUCT(PRODUCE!$B29:$DY29,PRODUCE!$EB$57:$IY$57)</f>
        <v>0</v>
      </c>
      <c r="UJ30" s="56"/>
      <c r="UK30" s="242">
        <f t="shared" si="183"/>
        <v>0</v>
      </c>
      <c r="UL30" s="242">
        <f t="shared" si="184"/>
        <v>0</v>
      </c>
      <c r="UM30" s="56"/>
      <c r="UP30" s="55">
        <f t="shared" si="185"/>
        <v>46047</v>
      </c>
      <c r="UQ30" s="56"/>
      <c r="UR30" s="242">
        <f>SUMPRODUCT(PRODUCE!$B29:$DY29,PRODUCE!$EB$57:$IY$57)</f>
        <v>0</v>
      </c>
      <c r="US30" s="56"/>
      <c r="UT30" s="242">
        <f t="shared" si="186"/>
        <v>0</v>
      </c>
      <c r="UU30" s="242">
        <f t="shared" si="187"/>
        <v>0</v>
      </c>
      <c r="UV30" s="56"/>
      <c r="UY30" s="55">
        <f t="shared" si="188"/>
        <v>46047</v>
      </c>
      <c r="UZ30" s="56"/>
      <c r="VA30" s="242">
        <f>SUMPRODUCT(PRODUCE!$B29:$DY29,PRODUCE!$EB$57:$IY$57)</f>
        <v>0</v>
      </c>
      <c r="VB30" s="56"/>
      <c r="VC30" s="242">
        <f t="shared" si="189"/>
        <v>0</v>
      </c>
      <c r="VD30" s="242">
        <f t="shared" si="190"/>
        <v>-319.59999999999997</v>
      </c>
      <c r="VE30" s="56"/>
      <c r="VH30" s="55">
        <f t="shared" si="191"/>
        <v>46047</v>
      </c>
      <c r="VI30" s="56"/>
      <c r="VJ30" s="242">
        <f>SUMPRODUCT(PRODUCE!$B29:$DY29,PRODUCE!$EB$57:$IY$57)</f>
        <v>0</v>
      </c>
      <c r="VK30" s="56"/>
      <c r="VL30" s="242">
        <f t="shared" si="192"/>
        <v>0</v>
      </c>
      <c r="VM30" s="242">
        <f t="shared" si="193"/>
        <v>0</v>
      </c>
      <c r="VN30" s="56"/>
      <c r="VQ30" s="55">
        <f t="shared" si="194"/>
        <v>46047</v>
      </c>
      <c r="VR30" s="56"/>
      <c r="VS30" s="242">
        <f>SUMPRODUCT(PRODUCE!$B29:$DY29,PRODUCE!$EB$57:$IY$57)</f>
        <v>0</v>
      </c>
      <c r="VT30" s="56"/>
      <c r="VU30" s="242">
        <f t="shared" si="195"/>
        <v>0</v>
      </c>
      <c r="VV30" s="242">
        <f t="shared" si="196"/>
        <v>0</v>
      </c>
      <c r="VW30" s="56"/>
      <c r="VZ30" s="55">
        <f t="shared" si="197"/>
        <v>46047</v>
      </c>
      <c r="WA30" s="56"/>
      <c r="WB30" s="242">
        <f>SUMPRODUCT(PRODUCE!$B29:$DY29,PRODUCE!$EB$57:$IY$57)</f>
        <v>0</v>
      </c>
      <c r="WC30" s="56"/>
      <c r="WD30" s="242">
        <f t="shared" si="198"/>
        <v>0</v>
      </c>
      <c r="WE30" s="242">
        <f t="shared" si="199"/>
        <v>0</v>
      </c>
      <c r="WF30" s="56"/>
      <c r="WI30" s="55">
        <f t="shared" si="200"/>
        <v>46047</v>
      </c>
      <c r="WJ30" s="56"/>
      <c r="WK30" s="242">
        <f>SUMPRODUCT(PRODUCE!$B29:$DY29,PRODUCE!$EB$57:$IY$57)</f>
        <v>0</v>
      </c>
      <c r="WL30" s="56"/>
      <c r="WM30" s="242">
        <f t="shared" si="201"/>
        <v>0</v>
      </c>
      <c r="WN30" s="242">
        <f t="shared" si="202"/>
        <v>9940</v>
      </c>
      <c r="WO30" s="56"/>
      <c r="WR30" s="55">
        <f t="shared" si="203"/>
        <v>46047</v>
      </c>
      <c r="WS30" s="56"/>
      <c r="WT30" s="242">
        <f>SUMPRODUCT(PRODUCE!$B29:$DY29,PRODUCE!$EB$57:$IY$57)</f>
        <v>0</v>
      </c>
      <c r="WU30" s="56"/>
      <c r="WV30" s="242">
        <f t="shared" si="204"/>
        <v>0</v>
      </c>
      <c r="WW30" s="242">
        <f t="shared" si="205"/>
        <v>8149</v>
      </c>
      <c r="WX30" s="56"/>
      <c r="XA30" s="55">
        <f t="shared" si="206"/>
        <v>46047</v>
      </c>
      <c r="XB30" s="56"/>
      <c r="XC30" s="242">
        <f>SUMPRODUCT(PRODUCE!$B29:$DY29,PRODUCE!$EB$57:$IY$57)</f>
        <v>0</v>
      </c>
      <c r="XD30" s="56"/>
      <c r="XE30" s="242">
        <f t="shared" si="207"/>
        <v>0</v>
      </c>
      <c r="XF30" s="242">
        <f t="shared" si="208"/>
        <v>2723</v>
      </c>
      <c r="XG30" s="56"/>
      <c r="XJ30" s="55">
        <f t="shared" si="209"/>
        <v>46047</v>
      </c>
      <c r="XK30" s="56"/>
      <c r="XL30" s="242">
        <f>SUMPRODUCT(PRODUCE!$B29:$DY29,PRODUCE!$EB$57:$IY$57)</f>
        <v>0</v>
      </c>
      <c r="XM30" s="56"/>
      <c r="XN30" s="242">
        <f t="shared" si="210"/>
        <v>0</v>
      </c>
      <c r="XO30" s="242">
        <f t="shared" si="211"/>
        <v>6997</v>
      </c>
      <c r="XP30" s="56"/>
      <c r="XS30" s="55">
        <f t="shared" si="212"/>
        <v>46047</v>
      </c>
      <c r="XT30" s="56"/>
      <c r="XU30" s="242">
        <f>SUMPRODUCT(PRODUCE!$B29:$DY29,PRODUCE!$EB$57:$IY$57)</f>
        <v>0</v>
      </c>
      <c r="XV30" s="56"/>
      <c r="XW30" s="242">
        <f t="shared" si="213"/>
        <v>0</v>
      </c>
      <c r="XX30" s="242">
        <f t="shared" si="214"/>
        <v>1901</v>
      </c>
      <c r="XY30" s="56"/>
      <c r="YB30" s="55">
        <f t="shared" si="215"/>
        <v>46047</v>
      </c>
      <c r="YC30" s="56"/>
      <c r="YD30" s="242">
        <f>SUMPRODUCT(PRODUCE!$B29:$DY29,PRODUCE!$EB$57:$IY$57)</f>
        <v>0</v>
      </c>
      <c r="YE30" s="56"/>
      <c r="YF30" s="242">
        <f t="shared" si="216"/>
        <v>0</v>
      </c>
      <c r="YG30" s="242">
        <f t="shared" si="217"/>
        <v>2152</v>
      </c>
      <c r="YH30" s="56"/>
      <c r="YK30" s="55">
        <f t="shared" si="218"/>
        <v>46047</v>
      </c>
      <c r="YL30" s="56"/>
      <c r="YM30" s="242">
        <f>SUMPRODUCT(PRODUCE!$B29:$DY29,PRODUCE!$EB$57:$IY$57)</f>
        <v>0</v>
      </c>
      <c r="YN30" s="56"/>
      <c r="YO30" s="242">
        <f t="shared" si="219"/>
        <v>0</v>
      </c>
      <c r="YP30" s="242">
        <f t="shared" si="220"/>
        <v>0</v>
      </c>
      <c r="YQ30" s="56"/>
      <c r="YT30" s="55">
        <f t="shared" si="221"/>
        <v>46047</v>
      </c>
      <c r="YU30" s="56"/>
      <c r="YV30" s="242">
        <f>SUMPRODUCT(PRODUCE!$B29:$DY29,PRODUCE!$EB$57:$IY$57)</f>
        <v>0</v>
      </c>
      <c r="YW30" s="56"/>
      <c r="YX30" s="242">
        <f t="shared" si="222"/>
        <v>0</v>
      </c>
      <c r="YY30" s="242">
        <f t="shared" si="223"/>
        <v>0</v>
      </c>
      <c r="YZ30" s="56"/>
      <c r="ZC30" s="55">
        <f t="shared" si="224"/>
        <v>46047</v>
      </c>
      <c r="ZD30" s="56"/>
      <c r="ZE30" s="242">
        <f>SUMPRODUCT(PRODUCE!$B29:$DY29,PRODUCE!$EB$57:$IY$57)</f>
        <v>0</v>
      </c>
      <c r="ZF30" s="56"/>
      <c r="ZG30" s="242">
        <f t="shared" si="225"/>
        <v>0</v>
      </c>
      <c r="ZH30" s="242">
        <f t="shared" si="226"/>
        <v>0</v>
      </c>
      <c r="ZI30" s="56"/>
      <c r="ZL30" s="55">
        <f t="shared" si="227"/>
        <v>46047</v>
      </c>
      <c r="ZM30" s="56"/>
      <c r="ZN30" s="242">
        <f>SUMPRODUCT(PRODUCE!$B29:$DY29,PRODUCE!$EB$57:$IY$57)</f>
        <v>0</v>
      </c>
      <c r="ZO30" s="56"/>
      <c r="ZP30" s="242">
        <f t="shared" si="228"/>
        <v>0</v>
      </c>
      <c r="ZQ30" s="242">
        <f t="shared" si="229"/>
        <v>0</v>
      </c>
      <c r="ZR30" s="56"/>
      <c r="ZU30" s="55">
        <f t="shared" si="230"/>
        <v>46047</v>
      </c>
      <c r="ZV30" s="56"/>
      <c r="ZW30" s="242">
        <f>SUMPRODUCT(PRODUCE!$B29:$DY29,PRODUCE!$EB$57:$IY$57)</f>
        <v>0</v>
      </c>
      <c r="ZX30" s="56"/>
      <c r="ZY30" s="242">
        <f t="shared" si="231"/>
        <v>0</v>
      </c>
      <c r="ZZ30" s="242">
        <f t="shared" si="232"/>
        <v>0</v>
      </c>
      <c r="AAA30" s="56"/>
      <c r="AAD30" s="55">
        <f t="shared" si="233"/>
        <v>46047</v>
      </c>
      <c r="AAE30" s="56"/>
      <c r="AAF30" s="242">
        <f>SUMPRODUCT(PRODUCE!$B29:$DY29,PRODUCE!$EB$57:$IY$57)</f>
        <v>0</v>
      </c>
      <c r="AAG30" s="56"/>
      <c r="AAH30" s="242">
        <f t="shared" si="234"/>
        <v>0</v>
      </c>
      <c r="AAI30" s="242">
        <f t="shared" si="235"/>
        <v>0</v>
      </c>
      <c r="AAJ30" s="56"/>
      <c r="AAM30" s="55">
        <f t="shared" si="236"/>
        <v>46047</v>
      </c>
      <c r="AAN30" s="56"/>
      <c r="AAO30" s="242">
        <f>SUMPRODUCT(PRODUCE!$B29:$DY29,PRODUCE!$EB$57:$IY$57)</f>
        <v>0</v>
      </c>
      <c r="AAP30" s="56"/>
      <c r="AAQ30" s="242">
        <f t="shared" si="237"/>
        <v>0</v>
      </c>
      <c r="AAR30" s="242">
        <f t="shared" si="238"/>
        <v>0</v>
      </c>
      <c r="AAS30" s="56"/>
      <c r="AAV30" s="55">
        <f t="shared" si="239"/>
        <v>46047</v>
      </c>
      <c r="AAW30" s="56"/>
      <c r="AAX30" s="242">
        <f>SUMPRODUCT(PRODUCE!$B29:$DY29,PRODUCE!$EB$57:$IY$57)</f>
        <v>0</v>
      </c>
      <c r="AAY30" s="56"/>
      <c r="AAZ30" s="242">
        <f t="shared" si="240"/>
        <v>0</v>
      </c>
      <c r="ABA30" s="242">
        <f t="shared" si="241"/>
        <v>0</v>
      </c>
      <c r="ABB30" s="56"/>
      <c r="ABE30" s="55">
        <f t="shared" si="242"/>
        <v>46047</v>
      </c>
      <c r="ABF30" s="56"/>
      <c r="ABG30" s="242">
        <f>SUMPRODUCT(PRODUCE!$B29:$DY29,PRODUCE!$EB$57:$IY$57)</f>
        <v>0</v>
      </c>
      <c r="ABH30" s="56"/>
      <c r="ABI30" s="242">
        <f t="shared" si="243"/>
        <v>0</v>
      </c>
      <c r="ABJ30" s="242">
        <f t="shared" si="244"/>
        <v>0</v>
      </c>
      <c r="ABK30" s="56"/>
    </row>
    <row r="31" spans="2:739" s="54" customFormat="1" ht="15" customHeight="1" outlineLevel="1">
      <c r="B31" s="478">
        <f>40+16</f>
        <v>56</v>
      </c>
      <c r="C31" s="55">
        <v>46048</v>
      </c>
      <c r="D31" s="422">
        <v>11260</v>
      </c>
      <c r="E31" s="423">
        <f>SUMPRODUCT(PRODUCE!$B30:$DY30,PRODUCE!$EB$7:$IY$7)</f>
        <v>33371.599999999999</v>
      </c>
      <c r="F31" s="422">
        <v>33370</v>
      </c>
      <c r="G31" s="423">
        <f t="shared" si="2"/>
        <v>1.5999999999985448</v>
      </c>
      <c r="H31" s="423">
        <f t="shared" si="0"/>
        <v>81220.599999999991</v>
      </c>
      <c r="I31" s="289" t="s">
        <v>191</v>
      </c>
      <c r="L31" s="55">
        <f t="shared" si="1"/>
        <v>46048</v>
      </c>
      <c r="M31" s="422"/>
      <c r="N31" s="438">
        <f>SUMPRODUCT(PRODUCE!$B30:$DY30,PRODUCE!$EB$8:$IY$8)</f>
        <v>13290</v>
      </c>
      <c r="O31" s="422">
        <v>13279.4</v>
      </c>
      <c r="P31" s="438">
        <f t="shared" si="3"/>
        <v>10.600000000000364</v>
      </c>
      <c r="Q31" s="438">
        <f t="shared" si="4"/>
        <v>40572.6</v>
      </c>
      <c r="R31" s="56"/>
      <c r="U31" s="55">
        <f t="shared" si="5"/>
        <v>46048</v>
      </c>
      <c r="V31" s="422">
        <v>30080</v>
      </c>
      <c r="W31" s="440">
        <f>SUMPRODUCT(PRODUCE!$B30:$DY30,PRODUCE!$EB$9:$IY$9)</f>
        <v>2200</v>
      </c>
      <c r="X31" s="422">
        <v>2201.6</v>
      </c>
      <c r="Y31" s="440">
        <f t="shared" si="6"/>
        <v>-1.5999999999999091</v>
      </c>
      <c r="Z31" s="440">
        <f t="shared" si="7"/>
        <v>62787.89999999998</v>
      </c>
      <c r="AA31" s="56"/>
      <c r="AD31" s="55">
        <f t="shared" si="8"/>
        <v>46048</v>
      </c>
      <c r="AE31" s="422"/>
      <c r="AF31" s="442">
        <f>SUMPRODUCT(PRODUCE!$B30:$DY30,PRODUCE!$EB$10:$IY$10)</f>
        <v>1600</v>
      </c>
      <c r="AG31" s="422">
        <v>1601.2</v>
      </c>
      <c r="AH31" s="442">
        <f t="shared" si="9"/>
        <v>-1.2000000000000455</v>
      </c>
      <c r="AI31" s="442">
        <f t="shared" si="10"/>
        <v>37197.80000000001</v>
      </c>
      <c r="AJ31" s="56"/>
      <c r="AM31" s="55">
        <f t="shared" si="11"/>
        <v>46048</v>
      </c>
      <c r="AN31" s="422"/>
      <c r="AO31" s="444">
        <f>SUMPRODUCT(PRODUCE!$B30:$DY30,PRODUCE!$EB$11:$IY$11)</f>
        <v>0</v>
      </c>
      <c r="AP31" s="422"/>
      <c r="AQ31" s="444">
        <f t="shared" si="12"/>
        <v>0</v>
      </c>
      <c r="AR31" s="444">
        <f t="shared" si="13"/>
        <v>0</v>
      </c>
      <c r="AS31" s="56"/>
      <c r="AV31" s="55">
        <f t="shared" si="14"/>
        <v>46048</v>
      </c>
      <c r="AW31" s="422"/>
      <c r="AX31" s="446">
        <f>SUMPRODUCT(PRODUCE!$B30:$DY30,PRODUCE!$EB$12:$IY$12)</f>
        <v>1120</v>
      </c>
      <c r="AY31" s="422">
        <v>1120.8</v>
      </c>
      <c r="AZ31" s="446">
        <f t="shared" si="15"/>
        <v>-0.79999999999995453</v>
      </c>
      <c r="BA31" s="446">
        <f t="shared" si="16"/>
        <v>37427.19999999999</v>
      </c>
      <c r="BB31" s="56"/>
      <c r="BE31" s="55">
        <f t="shared" si="17"/>
        <v>46048</v>
      </c>
      <c r="BF31" s="422"/>
      <c r="BG31" s="448">
        <f>SUMPRODUCT(PRODUCE!$B30:$DY30,PRODUCE!$EB$13:$IY$13)</f>
        <v>800</v>
      </c>
      <c r="BH31" s="422">
        <v>802.8</v>
      </c>
      <c r="BI31" s="448">
        <f t="shared" si="18"/>
        <v>-2.7999999999999545</v>
      </c>
      <c r="BJ31" s="448">
        <f t="shared" si="19"/>
        <v>25198.700000000008</v>
      </c>
      <c r="BK31" s="56"/>
      <c r="BN31" s="55">
        <f t="shared" si="20"/>
        <v>46048</v>
      </c>
      <c r="BO31" s="422">
        <v>920.2</v>
      </c>
      <c r="BP31" s="450">
        <f>SUMPRODUCT(PRODUCE!$B30:$DY30,PRODUCE!$EB$14:$IY$14)</f>
        <v>920</v>
      </c>
      <c r="BQ31" s="422">
        <v>920.2</v>
      </c>
      <c r="BR31" s="450">
        <f t="shared" si="21"/>
        <v>-0.20000000000004547</v>
      </c>
      <c r="BS31" s="450">
        <f t="shared" si="22"/>
        <v>0</v>
      </c>
      <c r="BT31" s="56"/>
      <c r="BW31" s="55">
        <f t="shared" si="23"/>
        <v>46048</v>
      </c>
      <c r="BX31" s="56"/>
      <c r="BY31" s="65">
        <f>SUMPRODUCT(PRODUCE!$B30:$DY30,PRODUCE!$EB$15:$IY$15)</f>
        <v>36.000000000000007</v>
      </c>
      <c r="BZ31" s="56"/>
      <c r="CA31" s="65">
        <f t="shared" si="24"/>
        <v>36.000000000000007</v>
      </c>
      <c r="CB31" s="65">
        <f t="shared" si="25"/>
        <v>3284.5</v>
      </c>
      <c r="CC31" s="56"/>
      <c r="CF31" s="55">
        <f t="shared" si="26"/>
        <v>46048</v>
      </c>
      <c r="CG31" s="56"/>
      <c r="CH31" s="66">
        <f>SUMPRODUCT(PRODUCE!$B30:$DY30,PRODUCE!$EB$16:$IY$16)</f>
        <v>14.4</v>
      </c>
      <c r="CI31" s="56"/>
      <c r="CJ31" s="66">
        <f t="shared" si="27"/>
        <v>14.4</v>
      </c>
      <c r="CK31" s="66">
        <f t="shared" si="28"/>
        <v>0</v>
      </c>
      <c r="CL31" s="56"/>
      <c r="CO31" s="55">
        <f t="shared" si="29"/>
        <v>46048</v>
      </c>
      <c r="CP31" s="422"/>
      <c r="CQ31" s="470">
        <f>SUMPRODUCT(PRODUCE!$B30:$DY30,PRODUCE!$EB$17:$IY$17)</f>
        <v>0</v>
      </c>
      <c r="CR31" s="422"/>
      <c r="CS31" s="470">
        <f t="shared" si="30"/>
        <v>0</v>
      </c>
      <c r="CT31" s="470">
        <f t="shared" si="31"/>
        <v>0</v>
      </c>
      <c r="CU31" s="56"/>
      <c r="CX31" s="55">
        <f t="shared" si="32"/>
        <v>46048</v>
      </c>
      <c r="CY31" s="56"/>
      <c r="CZ31" s="133">
        <f>SUMPRODUCT(PRODUCE!$B30:$DY30,PRODUCE!$EB$18:$IY$18)</f>
        <v>0</v>
      </c>
      <c r="DA31" s="56"/>
      <c r="DB31" s="133">
        <f t="shared" si="33"/>
        <v>0</v>
      </c>
      <c r="DC31" s="133">
        <f t="shared" si="34"/>
        <v>0</v>
      </c>
      <c r="DD31" s="56"/>
      <c r="DG31" s="55">
        <f t="shared" si="35"/>
        <v>46048</v>
      </c>
      <c r="DH31" s="56"/>
      <c r="DI31" s="147">
        <f>SUMPRODUCT(PRODUCE!$B30:$DY30,PRODUCE!$EB$19:$IY$19)</f>
        <v>1400</v>
      </c>
      <c r="DJ31" s="56">
        <v>1400</v>
      </c>
      <c r="DK31" s="147">
        <f t="shared" si="36"/>
        <v>0</v>
      </c>
      <c r="DL31" s="147">
        <f t="shared" si="37"/>
        <v>22172.799999999996</v>
      </c>
      <c r="DM31" s="56"/>
      <c r="DP31" s="55">
        <f t="shared" si="38"/>
        <v>46048</v>
      </c>
      <c r="DQ31" s="56"/>
      <c r="DR31" s="57">
        <f>SUMPRODUCT(PRODUCE!$B30:$DY30,PRODUCE!$EB$20:$IY$20)</f>
        <v>0</v>
      </c>
      <c r="DS31" s="56"/>
      <c r="DT31" s="57">
        <f t="shared" si="39"/>
        <v>0</v>
      </c>
      <c r="DU31" s="57">
        <f t="shared" si="40"/>
        <v>0</v>
      </c>
      <c r="DV31" s="56"/>
      <c r="DY31" s="55">
        <f t="shared" si="41"/>
        <v>46048</v>
      </c>
      <c r="DZ31" s="56"/>
      <c r="EA31" s="157">
        <f>SUMPRODUCT(PRODUCE!$B30:$DY30,PRODUCE!$EB$21:$IY$21)</f>
        <v>0</v>
      </c>
      <c r="EB31" s="56"/>
      <c r="EC31" s="157">
        <f t="shared" si="42"/>
        <v>0</v>
      </c>
      <c r="ED31" s="157">
        <f t="shared" si="43"/>
        <v>0</v>
      </c>
      <c r="EE31" s="56"/>
      <c r="EH31" s="55">
        <f t="shared" si="44"/>
        <v>46048</v>
      </c>
      <c r="EI31" s="56"/>
      <c r="EJ31" s="162">
        <f>SUMPRODUCT(PRODUCE!$B30:$DY30,PRODUCE!$EB$22:$IY$22)</f>
        <v>0</v>
      </c>
      <c r="EK31" s="56"/>
      <c r="EL31" s="162">
        <f t="shared" si="45"/>
        <v>0</v>
      </c>
      <c r="EM31" s="162">
        <f t="shared" si="46"/>
        <v>0</v>
      </c>
      <c r="EN31" s="56"/>
      <c r="EQ31" s="55">
        <f t="shared" si="47"/>
        <v>46048</v>
      </c>
      <c r="ER31" s="56"/>
      <c r="ES31" s="135">
        <f>SUMPRODUCT(PRODUCE!$B30:$DY30,PRODUCE!$EB$23:$IY$23)</f>
        <v>0</v>
      </c>
      <c r="ET31" s="56"/>
      <c r="EU31" s="135">
        <f t="shared" si="48"/>
        <v>0</v>
      </c>
      <c r="EV31" s="135">
        <f t="shared" si="49"/>
        <v>0</v>
      </c>
      <c r="EW31" s="56"/>
      <c r="EZ31" s="55">
        <f t="shared" si="50"/>
        <v>46048</v>
      </c>
      <c r="FA31" s="56"/>
      <c r="FB31" s="175">
        <f>SUMPRODUCT(PRODUCE!$B30:$DY30,PRODUCE!$EB$24:$IY$24)</f>
        <v>0</v>
      </c>
      <c r="FC31" s="56"/>
      <c r="FD31" s="175">
        <f t="shared" si="51"/>
        <v>0</v>
      </c>
      <c r="FE31" s="175">
        <f t="shared" si="52"/>
        <v>0</v>
      </c>
      <c r="FF31" s="56"/>
      <c r="FI31" s="55">
        <f t="shared" si="53"/>
        <v>46048</v>
      </c>
      <c r="FJ31" s="56"/>
      <c r="FK31" s="183">
        <f>SUMPRODUCT(PRODUCE!$B30:$DY30,PRODUCE!$EB$25:$IY$25)</f>
        <v>0</v>
      </c>
      <c r="FL31" s="56"/>
      <c r="FM31" s="183">
        <f t="shared" si="54"/>
        <v>0</v>
      </c>
      <c r="FN31" s="183">
        <f t="shared" si="55"/>
        <v>0</v>
      </c>
      <c r="FO31" s="56"/>
      <c r="FR31" s="55">
        <f t="shared" si="56"/>
        <v>46048</v>
      </c>
      <c r="FS31" s="422"/>
      <c r="FT31" s="452">
        <f>SUMPRODUCT(PRODUCE!$B30:$DY30,PRODUCE!$EB$26:$IY$26)</f>
        <v>320</v>
      </c>
      <c r="FU31" s="422"/>
      <c r="FV31" s="452">
        <f t="shared" si="57"/>
        <v>320</v>
      </c>
      <c r="FW31" s="452">
        <f t="shared" si="58"/>
        <v>3540</v>
      </c>
      <c r="FX31" s="56"/>
      <c r="GA31" s="55">
        <f t="shared" si="59"/>
        <v>46048</v>
      </c>
      <c r="GB31" s="422"/>
      <c r="GC31" s="454">
        <f>SUMPRODUCT(PRODUCE!$B30:$DY30,PRODUCE!$EB$27:$IY$27)</f>
        <v>0</v>
      </c>
      <c r="GD31" s="422"/>
      <c r="GE31" s="454">
        <f t="shared" si="60"/>
        <v>0</v>
      </c>
      <c r="GF31" s="454">
        <f t="shared" si="61"/>
        <v>1960</v>
      </c>
      <c r="GG31" s="56"/>
      <c r="GI31" s="23"/>
      <c r="GJ31" s="55">
        <f t="shared" si="62"/>
        <v>46048</v>
      </c>
      <c r="GK31" s="422"/>
      <c r="GL31" s="456">
        <f>SUMPRODUCT(PRODUCE!$B30:$DY30,PRODUCE!$EB$28:$IY$28)</f>
        <v>0</v>
      </c>
      <c r="GM31" s="422"/>
      <c r="GN31" s="456">
        <f t="shared" si="63"/>
        <v>0</v>
      </c>
      <c r="GO31" s="456">
        <f t="shared" si="64"/>
        <v>4440</v>
      </c>
      <c r="GP31" s="56"/>
      <c r="GS31" s="55">
        <f t="shared" si="65"/>
        <v>46048</v>
      </c>
      <c r="GT31" s="56"/>
      <c r="GU31" s="195">
        <f>SUMPRODUCT(PRODUCE!$B30:$DY30,PRODUCE!$EB$29:$IY$29)</f>
        <v>0</v>
      </c>
      <c r="GV31" s="56"/>
      <c r="GW31" s="195">
        <f t="shared" si="66"/>
        <v>0</v>
      </c>
      <c r="GX31" s="195">
        <f t="shared" si="67"/>
        <v>0</v>
      </c>
      <c r="GY31" s="56"/>
      <c r="HB31" s="55">
        <f t="shared" si="68"/>
        <v>46048</v>
      </c>
      <c r="HC31" s="56"/>
      <c r="HD31" s="191">
        <f>SUMPRODUCT(PRODUCE!$B30:$DY30,PRODUCE!$EB$30:$IY$30)</f>
        <v>0</v>
      </c>
      <c r="HE31" s="56"/>
      <c r="HF31" s="191">
        <f t="shared" si="69"/>
        <v>0</v>
      </c>
      <c r="HG31" s="191">
        <f t="shared" si="70"/>
        <v>0</v>
      </c>
      <c r="HH31" s="56"/>
      <c r="HK31" s="55">
        <f t="shared" si="71"/>
        <v>46048</v>
      </c>
      <c r="HL31" s="56"/>
      <c r="HM31" s="63">
        <f>SUMPRODUCT(PRODUCE!$B30:$DY30,PRODUCE!$EB$31:$IY$31)</f>
        <v>0</v>
      </c>
      <c r="HN31" s="56"/>
      <c r="HO31" s="63">
        <f t="shared" si="72"/>
        <v>0</v>
      </c>
      <c r="HP31" s="63">
        <f t="shared" si="73"/>
        <v>0</v>
      </c>
      <c r="HQ31" s="56"/>
      <c r="HU31" s="55">
        <f t="shared" si="74"/>
        <v>46048</v>
      </c>
      <c r="HV31" s="56"/>
      <c r="HW31" s="242">
        <f>SUMPRODUCT(PRODUCE!$B30:$DY30,PRODUCE!$EB$32:$IY$32)</f>
        <v>0</v>
      </c>
      <c r="HX31" s="56"/>
      <c r="HY31" s="242">
        <f t="shared" si="75"/>
        <v>0</v>
      </c>
      <c r="HZ31" s="242">
        <f t="shared" si="76"/>
        <v>1440</v>
      </c>
      <c r="IA31" s="56"/>
      <c r="ID31" s="55">
        <f t="shared" si="77"/>
        <v>46048</v>
      </c>
      <c r="IE31" s="56"/>
      <c r="IF31" s="242">
        <f>SUMPRODUCT(PRODUCE!$B30:$DY30,PRODUCE!$EB$33:$IY$33)</f>
        <v>0</v>
      </c>
      <c r="IG31" s="56"/>
      <c r="IH31" s="242">
        <f t="shared" si="78"/>
        <v>0</v>
      </c>
      <c r="II31" s="242">
        <f t="shared" si="79"/>
        <v>5100</v>
      </c>
      <c r="IJ31" s="56"/>
      <c r="IM31" s="55">
        <f t="shared" si="80"/>
        <v>46048</v>
      </c>
      <c r="IN31" s="56"/>
      <c r="IO31" s="242">
        <f>SUMPRODUCT(PRODUCE!$B30:$DY30,PRODUCE!$EB$34:$IY$34)</f>
        <v>0</v>
      </c>
      <c r="IP31" s="56"/>
      <c r="IQ31" s="242">
        <f t="shared" si="81"/>
        <v>0</v>
      </c>
      <c r="IR31" s="242">
        <f t="shared" si="82"/>
        <v>12640</v>
      </c>
      <c r="IS31" s="56"/>
      <c r="IV31" s="55">
        <f t="shared" si="83"/>
        <v>46048</v>
      </c>
      <c r="IW31" s="56"/>
      <c r="IX31" s="242">
        <f>SUMPRODUCT(PRODUCE!$B30:$DY30,PRODUCE!$EB$35:$IY$35)</f>
        <v>800</v>
      </c>
      <c r="IY31" s="56"/>
      <c r="IZ31" s="242">
        <f t="shared" si="84"/>
        <v>800</v>
      </c>
      <c r="JA31" s="242">
        <f t="shared" si="85"/>
        <v>9120</v>
      </c>
      <c r="JB31" s="56"/>
      <c r="JE31" s="55">
        <f t="shared" si="86"/>
        <v>46048</v>
      </c>
      <c r="JF31" s="56"/>
      <c r="JG31" s="242">
        <f>SUMPRODUCT(PRODUCE!$B30:$DY30,PRODUCE!$EB$36:$IY$36)</f>
        <v>0</v>
      </c>
      <c r="JH31" s="56"/>
      <c r="JI31" s="242">
        <f t="shared" si="87"/>
        <v>0</v>
      </c>
      <c r="JJ31" s="242">
        <f t="shared" si="88"/>
        <v>6800</v>
      </c>
      <c r="JK31" s="56"/>
      <c r="JN31" s="55">
        <f t="shared" si="89"/>
        <v>46048</v>
      </c>
      <c r="JO31" s="56"/>
      <c r="JP31" s="242">
        <f>SUMPRODUCT(PRODUCE!$B30:$DY30,PRODUCE!$EB$37:$IY$37)</f>
        <v>0</v>
      </c>
      <c r="JQ31" s="56"/>
      <c r="JR31" s="242">
        <f t="shared" si="90"/>
        <v>0</v>
      </c>
      <c r="JS31" s="242">
        <f t="shared" si="91"/>
        <v>5400</v>
      </c>
      <c r="JT31" s="56"/>
      <c r="JW31" s="55">
        <f t="shared" si="92"/>
        <v>46048</v>
      </c>
      <c r="JX31" s="56"/>
      <c r="JY31" s="242">
        <f>SUMPRODUCT(PRODUCE!$B30:$DY30,PRODUCE!$EB$38:$IY$38)</f>
        <v>0</v>
      </c>
      <c r="JZ31" s="56"/>
      <c r="KA31" s="242">
        <f t="shared" si="93"/>
        <v>0</v>
      </c>
      <c r="KB31" s="242">
        <f t="shared" si="94"/>
        <v>0</v>
      </c>
      <c r="KC31" s="56"/>
      <c r="KF31" s="55">
        <f t="shared" si="95"/>
        <v>46048</v>
      </c>
      <c r="KG31" s="56"/>
      <c r="KH31" s="242">
        <f>SUMPRODUCT(PRODUCE!$B30:$DY30,PRODUCE!$EB$39:$IY$39)</f>
        <v>0</v>
      </c>
      <c r="KI31" s="56"/>
      <c r="KJ31" s="242">
        <f t="shared" si="96"/>
        <v>0</v>
      </c>
      <c r="KK31" s="242">
        <f t="shared" si="97"/>
        <v>0</v>
      </c>
      <c r="KL31" s="56"/>
      <c r="KO31" s="55">
        <f t="shared" si="98"/>
        <v>46048</v>
      </c>
      <c r="KP31" s="56"/>
      <c r="KQ31" s="242">
        <f>SUMPRODUCT(PRODUCE!$B30:$DY30,PRODUCE!$EB$40:$IY$40)</f>
        <v>0</v>
      </c>
      <c r="KR31" s="56"/>
      <c r="KS31" s="242">
        <f t="shared" si="99"/>
        <v>0</v>
      </c>
      <c r="KT31" s="242">
        <f t="shared" si="100"/>
        <v>0</v>
      </c>
      <c r="KU31" s="56"/>
      <c r="KW31" s="23"/>
      <c r="KX31" s="55">
        <f t="shared" si="101"/>
        <v>46048</v>
      </c>
      <c r="KY31" s="56"/>
      <c r="KZ31" s="242">
        <f>SUMPRODUCT(PRODUCE!$B30:$DY30,PRODUCE!$EB$41:$IY$41)</f>
        <v>0</v>
      </c>
      <c r="LA31" s="56"/>
      <c r="LB31" s="242">
        <f t="shared" si="102"/>
        <v>0</v>
      </c>
      <c r="LC31" s="242">
        <f t="shared" si="103"/>
        <v>0</v>
      </c>
      <c r="LD31" s="56"/>
      <c r="LG31" s="55">
        <f t="shared" si="104"/>
        <v>46048</v>
      </c>
      <c r="LH31" s="56"/>
      <c r="LI31" s="242">
        <f>SUMPRODUCT(PRODUCE!$B30:$DY30,PRODUCE!$EB$42:$IY$42)</f>
        <v>0</v>
      </c>
      <c r="LJ31" s="56"/>
      <c r="LK31" s="242">
        <f t="shared" si="105"/>
        <v>0</v>
      </c>
      <c r="LL31" s="242">
        <f t="shared" si="106"/>
        <v>0</v>
      </c>
      <c r="LM31" s="56"/>
      <c r="LP31" s="55">
        <f t="shared" si="107"/>
        <v>46048</v>
      </c>
      <c r="LQ31" s="56"/>
      <c r="LR31" s="242">
        <f>SUMPRODUCT(PRODUCE!$B30:$DY30,PRODUCE!$EB$43:$IY$43)</f>
        <v>0</v>
      </c>
      <c r="LS31" s="56"/>
      <c r="LT31" s="242">
        <f t="shared" si="108"/>
        <v>0</v>
      </c>
      <c r="LU31" s="242">
        <f t="shared" si="109"/>
        <v>0</v>
      </c>
      <c r="LV31" s="56"/>
      <c r="LY31" s="55">
        <f t="shared" si="110"/>
        <v>46048</v>
      </c>
      <c r="LZ31" s="56"/>
      <c r="MA31" s="242">
        <f>SUMPRODUCT(PRODUCE!$B30:$DY30,PRODUCE!$EB$44:$IY$44)</f>
        <v>0</v>
      </c>
      <c r="MB31" s="56"/>
      <c r="MC31" s="242">
        <f t="shared" si="111"/>
        <v>0</v>
      </c>
      <c r="MD31" s="242">
        <f t="shared" si="112"/>
        <v>0</v>
      </c>
      <c r="ME31" s="56"/>
      <c r="MH31" s="55">
        <f t="shared" si="113"/>
        <v>46048</v>
      </c>
      <c r="MI31" s="56"/>
      <c r="MJ31" s="242">
        <f>SUMPRODUCT(PRODUCE!$B30:$DY30,PRODUCE!$EB$45:$IY$45)</f>
        <v>0</v>
      </c>
      <c r="MK31" s="56"/>
      <c r="ML31" s="242">
        <f t="shared" si="114"/>
        <v>0</v>
      </c>
      <c r="MM31" s="242">
        <f t="shared" si="115"/>
        <v>0</v>
      </c>
      <c r="MN31" s="56"/>
      <c r="MQ31" s="55">
        <f t="shared" si="116"/>
        <v>46048</v>
      </c>
      <c r="MR31" s="56"/>
      <c r="MS31" s="242">
        <f>SUMPRODUCT(PRODUCE!$B30:$DY30,PRODUCE!$EB$46:$IY$46)</f>
        <v>8</v>
      </c>
      <c r="MT31" s="56"/>
      <c r="MU31" s="242">
        <f t="shared" si="117"/>
        <v>8</v>
      </c>
      <c r="MV31" s="242">
        <f t="shared" si="118"/>
        <v>1059</v>
      </c>
      <c r="MW31" s="56"/>
      <c r="MZ31" s="55">
        <f t="shared" si="119"/>
        <v>46048</v>
      </c>
      <c r="NA31" s="56"/>
      <c r="NB31" s="242">
        <f>SUMPRODUCT(PRODUCE!$B30:$DY30,PRODUCE!$EB$47:$IY$47)</f>
        <v>120</v>
      </c>
      <c r="NC31" s="56"/>
      <c r="ND31" s="242">
        <f t="shared" si="120"/>
        <v>120</v>
      </c>
      <c r="NE31" s="242">
        <f t="shared" si="121"/>
        <v>0</v>
      </c>
      <c r="NF31" s="56"/>
      <c r="NI31" s="55">
        <f t="shared" si="122"/>
        <v>46048</v>
      </c>
      <c r="NJ31" s="56"/>
      <c r="NK31" s="242">
        <f>SUMPRODUCT(PRODUCE!$B30:$DY30,PRODUCE!$EB$48:$IY$48)</f>
        <v>0</v>
      </c>
      <c r="NL31" s="56"/>
      <c r="NM31" s="242">
        <f t="shared" si="123"/>
        <v>0</v>
      </c>
      <c r="NN31" s="242">
        <f t="shared" si="124"/>
        <v>0</v>
      </c>
      <c r="NO31" s="56"/>
      <c r="NR31" s="55">
        <f t="shared" si="125"/>
        <v>46048</v>
      </c>
      <c r="NS31" s="56"/>
      <c r="NT31" s="242">
        <f>SUMPRODUCT(PRODUCE!$B30:$DY30,PRODUCE!$EB$49:$IY$49)</f>
        <v>0</v>
      </c>
      <c r="NU31" s="56"/>
      <c r="NV31" s="242">
        <f t="shared" si="126"/>
        <v>0</v>
      </c>
      <c r="NW31" s="242">
        <f t="shared" si="127"/>
        <v>0</v>
      </c>
      <c r="NX31" s="56"/>
      <c r="OA31" s="55">
        <f t="shared" si="128"/>
        <v>46048</v>
      </c>
      <c r="OB31" s="56"/>
      <c r="OC31" s="242">
        <f>SUMPRODUCT(PRODUCE!$B30:$DY30,PRODUCE!$EB$50:$IY$50)</f>
        <v>0</v>
      </c>
      <c r="OD31" s="56"/>
      <c r="OE31" s="242">
        <f t="shared" si="129"/>
        <v>0</v>
      </c>
      <c r="OF31" s="242">
        <f t="shared" si="130"/>
        <v>1680.5</v>
      </c>
      <c r="OG31" s="56"/>
      <c r="OJ31" s="55">
        <f t="shared" si="131"/>
        <v>46048</v>
      </c>
      <c r="OK31" s="56"/>
      <c r="OL31" s="242">
        <f>SUMPRODUCT(PRODUCE!$B30:$DY30,PRODUCE!$EB$51:$IY$51)</f>
        <v>0</v>
      </c>
      <c r="OM31" s="56"/>
      <c r="ON31" s="242">
        <f t="shared" si="132"/>
        <v>0</v>
      </c>
      <c r="OO31" s="242">
        <f t="shared" si="133"/>
        <v>0</v>
      </c>
      <c r="OP31" s="56"/>
      <c r="OS31" s="55">
        <f t="shared" si="134"/>
        <v>46048</v>
      </c>
      <c r="OT31" s="56"/>
      <c r="OU31" s="242">
        <f>SUMPRODUCT(PRODUCE!$B30:$DY30,PRODUCE!$EB$52:$IY$52)</f>
        <v>0</v>
      </c>
      <c r="OV31" s="56"/>
      <c r="OW31" s="242">
        <f t="shared" si="135"/>
        <v>0</v>
      </c>
      <c r="OX31" s="242">
        <f t="shared" si="136"/>
        <v>67</v>
      </c>
      <c r="OY31" s="56"/>
      <c r="PB31" s="55">
        <f t="shared" si="137"/>
        <v>46048</v>
      </c>
      <c r="PC31" s="56"/>
      <c r="PD31" s="242">
        <f>SUMPRODUCT(PRODUCE!$B30:$DY30,PRODUCE!$EB$53:$IY$53)</f>
        <v>0</v>
      </c>
      <c r="PE31" s="56"/>
      <c r="PF31" s="242">
        <f t="shared" si="138"/>
        <v>0</v>
      </c>
      <c r="PG31" s="242">
        <f t="shared" si="139"/>
        <v>0</v>
      </c>
      <c r="PH31" s="56"/>
      <c r="PK31" s="55">
        <f t="shared" si="140"/>
        <v>46048</v>
      </c>
      <c r="PL31" s="56"/>
      <c r="PM31" s="242">
        <f>SUMPRODUCT(PRODUCE!$B30:$DY30,PRODUCE!$EB$54:$IY$54)</f>
        <v>0</v>
      </c>
      <c r="PN31" s="56"/>
      <c r="PO31" s="242">
        <f t="shared" si="141"/>
        <v>0</v>
      </c>
      <c r="PP31" s="242">
        <f t="shared" si="142"/>
        <v>160</v>
      </c>
      <c r="PQ31" s="56"/>
      <c r="PT31" s="55">
        <f t="shared" si="143"/>
        <v>46048</v>
      </c>
      <c r="PU31" s="56"/>
      <c r="PV31" s="242">
        <f>SUMPRODUCT(PRODUCE!$B30:$DY30,PRODUCE!$EB$55:$IY$55)</f>
        <v>0</v>
      </c>
      <c r="PW31" s="56"/>
      <c r="PX31" s="242">
        <f t="shared" si="144"/>
        <v>0</v>
      </c>
      <c r="PY31" s="242">
        <f t="shared" si="145"/>
        <v>13.960000000000036</v>
      </c>
      <c r="PZ31" s="56"/>
      <c r="QC31" s="55">
        <f t="shared" si="146"/>
        <v>46048</v>
      </c>
      <c r="QD31" s="56"/>
      <c r="QE31" s="242">
        <f>SUMPRODUCT(PRODUCE!$B30:$DY30,PRODUCE!$EB$56:$IY$56)</f>
        <v>0</v>
      </c>
      <c r="QF31" s="56"/>
      <c r="QG31" s="242">
        <f t="shared" si="147"/>
        <v>0</v>
      </c>
      <c r="QH31" s="242">
        <f t="shared" si="148"/>
        <v>0</v>
      </c>
      <c r="QI31" s="56"/>
      <c r="QL31" s="55">
        <f t="shared" si="149"/>
        <v>46048</v>
      </c>
      <c r="QM31" s="56"/>
      <c r="QN31" s="242">
        <f>SUMPRODUCT(PRODUCE!$B30:$DY30,PRODUCE!$EB$57:$IY$57)</f>
        <v>0</v>
      </c>
      <c r="QO31" s="56"/>
      <c r="QP31" s="242">
        <f t="shared" si="150"/>
        <v>0</v>
      </c>
      <c r="QQ31" s="242">
        <f t="shared" si="151"/>
        <v>0</v>
      </c>
      <c r="QR31" s="56"/>
      <c r="QU31" s="55">
        <f t="shared" si="152"/>
        <v>46048</v>
      </c>
      <c r="QV31" s="56"/>
      <c r="QW31" s="242">
        <f>SUMPRODUCT(PRODUCE!$B30:$DY30,PRODUCE!$EB$57:$IY$57)</f>
        <v>0</v>
      </c>
      <c r="QX31" s="56"/>
      <c r="QY31" s="242">
        <f t="shared" si="153"/>
        <v>0</v>
      </c>
      <c r="QZ31" s="242">
        <f t="shared" si="154"/>
        <v>207.6</v>
      </c>
      <c r="RA31" s="56"/>
      <c r="RD31" s="55">
        <f t="shared" si="155"/>
        <v>46048</v>
      </c>
      <c r="RE31" s="56"/>
      <c r="RF31" s="242">
        <f>SUMPRODUCT(PRODUCE!$B30:$DY30,PRODUCE!$EB$58:$IY$58)</f>
        <v>0</v>
      </c>
      <c r="RG31" s="56"/>
      <c r="RH31" s="242">
        <f t="shared" si="156"/>
        <v>0</v>
      </c>
      <c r="RI31" s="242">
        <f t="shared" si="157"/>
        <v>201.8</v>
      </c>
      <c r="RJ31" s="56"/>
      <c r="RM31" s="55">
        <f t="shared" si="158"/>
        <v>46048</v>
      </c>
      <c r="RN31" s="56"/>
      <c r="RO31" s="242">
        <f>SUMPRODUCT(PRODUCE!$B30:$DY30,PRODUCE!$EB$59:$IY$59)</f>
        <v>0</v>
      </c>
      <c r="RP31" s="56"/>
      <c r="RQ31" s="242">
        <f t="shared" si="159"/>
        <v>0</v>
      </c>
      <c r="RR31" s="242">
        <f t="shared" si="160"/>
        <v>22.720000000000002</v>
      </c>
      <c r="RS31" s="56"/>
      <c r="RV31" s="55">
        <f t="shared" si="161"/>
        <v>46048</v>
      </c>
      <c r="RW31" s="56"/>
      <c r="RX31" s="242">
        <f>SUMPRODUCT(PRODUCE!$B30:$DY30,PRODUCE!$EB$57:$IY$57)</f>
        <v>0</v>
      </c>
      <c r="RY31" s="56"/>
      <c r="RZ31" s="242">
        <f t="shared" si="162"/>
        <v>0</v>
      </c>
      <c r="SA31" s="242">
        <f t="shared" si="163"/>
        <v>0</v>
      </c>
      <c r="SB31" s="56"/>
      <c r="SE31" s="55">
        <f t="shared" si="164"/>
        <v>46048</v>
      </c>
      <c r="SF31" s="56"/>
      <c r="SG31" s="242">
        <f>SUMPRODUCT(PRODUCE!$B30:$DY30,PRODUCE!$EB$61:$IY$61)</f>
        <v>0</v>
      </c>
      <c r="SH31" s="56"/>
      <c r="SI31" s="242">
        <f t="shared" si="165"/>
        <v>0</v>
      </c>
      <c r="SJ31" s="242">
        <f t="shared" si="166"/>
        <v>0</v>
      </c>
      <c r="SK31" s="56"/>
      <c r="SN31" s="55">
        <f t="shared" si="167"/>
        <v>46048</v>
      </c>
      <c r="SO31" s="56"/>
      <c r="SP31" s="242">
        <f>SUMPRODUCT(PRODUCE!$B30:$DY30,PRODUCE!$EB$57:$IY$57)</f>
        <v>0</v>
      </c>
      <c r="SQ31" s="56"/>
      <c r="SR31" s="242">
        <f t="shared" si="168"/>
        <v>0</v>
      </c>
      <c r="SS31" s="242">
        <f t="shared" si="169"/>
        <v>0</v>
      </c>
      <c r="ST31" s="56"/>
      <c r="SW31" s="55">
        <f t="shared" si="170"/>
        <v>46048</v>
      </c>
      <c r="SX31" s="56"/>
      <c r="SY31" s="242">
        <f>SUMPRODUCT(PRODUCE!$B30:$DY30,PRODUCE!$EB$57:$IY$57)</f>
        <v>0</v>
      </c>
      <c r="SZ31" s="56"/>
      <c r="TA31" s="242">
        <f t="shared" si="171"/>
        <v>0</v>
      </c>
      <c r="TB31" s="242">
        <f t="shared" si="172"/>
        <v>0</v>
      </c>
      <c r="TC31" s="56"/>
      <c r="TF31" s="55">
        <f t="shared" si="173"/>
        <v>46048</v>
      </c>
      <c r="TG31" s="56"/>
      <c r="TH31" s="242">
        <f>SUMPRODUCT(PRODUCE!$B30:$DY30,PRODUCE!$EB$57:$IY$57)</f>
        <v>0</v>
      </c>
      <c r="TI31" s="56"/>
      <c r="TJ31" s="242">
        <f t="shared" si="174"/>
        <v>0</v>
      </c>
      <c r="TK31" s="242">
        <f t="shared" si="175"/>
        <v>0</v>
      </c>
      <c r="TL31" s="56"/>
      <c r="TO31" s="55">
        <f t="shared" si="176"/>
        <v>46048</v>
      </c>
      <c r="TP31" s="56"/>
      <c r="TQ31" s="242">
        <f>SUMPRODUCT(PRODUCE!$B30:$DY30,PRODUCE!$EB$57:$IY$57)</f>
        <v>0</v>
      </c>
      <c r="TR31" s="56"/>
      <c r="TS31" s="242">
        <f t="shared" si="177"/>
        <v>0</v>
      </c>
      <c r="TT31" s="242">
        <f t="shared" si="178"/>
        <v>0</v>
      </c>
      <c r="TU31" s="56"/>
      <c r="TX31" s="55">
        <f t="shared" si="179"/>
        <v>46048</v>
      </c>
      <c r="TY31" s="56"/>
      <c r="TZ31" s="242">
        <f>SUMPRODUCT(PRODUCE!$B30:$DY30,PRODUCE!$EB$57:$IY$57)</f>
        <v>0</v>
      </c>
      <c r="UA31" s="56"/>
      <c r="UB31" s="242">
        <f t="shared" si="180"/>
        <v>0</v>
      </c>
      <c r="UC31" s="242">
        <f t="shared" si="181"/>
        <v>0</v>
      </c>
      <c r="UD31" s="56"/>
      <c r="UG31" s="55">
        <f t="shared" si="182"/>
        <v>46048</v>
      </c>
      <c r="UH31" s="56"/>
      <c r="UI31" s="242">
        <f>SUMPRODUCT(PRODUCE!$B30:$DY30,PRODUCE!$EB$57:$IY$57)</f>
        <v>0</v>
      </c>
      <c r="UJ31" s="56"/>
      <c r="UK31" s="242">
        <f t="shared" si="183"/>
        <v>0</v>
      </c>
      <c r="UL31" s="242">
        <f t="shared" si="184"/>
        <v>0</v>
      </c>
      <c r="UM31" s="56"/>
      <c r="UP31" s="55">
        <f t="shared" si="185"/>
        <v>46048</v>
      </c>
      <c r="UQ31" s="56"/>
      <c r="UR31" s="242">
        <f>SUMPRODUCT(PRODUCE!$B30:$DY30,PRODUCE!$EB$57:$IY$57)</f>
        <v>0</v>
      </c>
      <c r="US31" s="56"/>
      <c r="UT31" s="242">
        <f t="shared" si="186"/>
        <v>0</v>
      </c>
      <c r="UU31" s="242">
        <f t="shared" si="187"/>
        <v>0</v>
      </c>
      <c r="UV31" s="56"/>
      <c r="UY31" s="55">
        <f t="shared" si="188"/>
        <v>46048</v>
      </c>
      <c r="UZ31" s="56"/>
      <c r="VA31" s="242">
        <f>SUMPRODUCT(PRODUCE!$B30:$DY30,PRODUCE!$EB$57:$IY$57)</f>
        <v>0</v>
      </c>
      <c r="VB31" s="56"/>
      <c r="VC31" s="242">
        <f t="shared" si="189"/>
        <v>0</v>
      </c>
      <c r="VD31" s="242">
        <f t="shared" si="190"/>
        <v>-319.59999999999997</v>
      </c>
      <c r="VE31" s="56"/>
      <c r="VH31" s="55">
        <f t="shared" si="191"/>
        <v>46048</v>
      </c>
      <c r="VI31" s="56"/>
      <c r="VJ31" s="242">
        <f>SUMPRODUCT(PRODUCE!$B30:$DY30,PRODUCE!$EB$57:$IY$57)</f>
        <v>0</v>
      </c>
      <c r="VK31" s="56"/>
      <c r="VL31" s="242">
        <f t="shared" si="192"/>
        <v>0</v>
      </c>
      <c r="VM31" s="242">
        <f t="shared" si="193"/>
        <v>0</v>
      </c>
      <c r="VN31" s="56"/>
      <c r="VQ31" s="55">
        <f t="shared" si="194"/>
        <v>46048</v>
      </c>
      <c r="VR31" s="56"/>
      <c r="VS31" s="242">
        <f>SUMPRODUCT(PRODUCE!$B30:$DY30,PRODUCE!$EB$57:$IY$57)</f>
        <v>0</v>
      </c>
      <c r="VT31" s="56"/>
      <c r="VU31" s="242">
        <f t="shared" si="195"/>
        <v>0</v>
      </c>
      <c r="VV31" s="242">
        <f t="shared" si="196"/>
        <v>0</v>
      </c>
      <c r="VW31" s="56"/>
      <c r="VZ31" s="55">
        <f t="shared" si="197"/>
        <v>46048</v>
      </c>
      <c r="WA31" s="56"/>
      <c r="WB31" s="242">
        <f>SUMPRODUCT(PRODUCE!$B30:$DY30,PRODUCE!$EB$57:$IY$57)</f>
        <v>0</v>
      </c>
      <c r="WC31" s="56"/>
      <c r="WD31" s="242">
        <f t="shared" si="198"/>
        <v>0</v>
      </c>
      <c r="WE31" s="242">
        <f t="shared" si="199"/>
        <v>0</v>
      </c>
      <c r="WF31" s="56"/>
      <c r="WI31" s="55">
        <f t="shared" si="200"/>
        <v>46048</v>
      </c>
      <c r="WJ31" s="56"/>
      <c r="WK31" s="242">
        <f>SUMPRODUCT(PRODUCE!$B30:$DY30,PRODUCE!$EB$57:$IY$57)</f>
        <v>0</v>
      </c>
      <c r="WL31" s="56">
        <v>331</v>
      </c>
      <c r="WM31" s="242">
        <f t="shared" si="201"/>
        <v>-331</v>
      </c>
      <c r="WN31" s="242">
        <f t="shared" si="202"/>
        <v>9609</v>
      </c>
      <c r="WO31" s="56"/>
      <c r="WR31" s="55">
        <f t="shared" si="203"/>
        <v>46048</v>
      </c>
      <c r="WS31" s="56"/>
      <c r="WT31" s="242">
        <f>SUMPRODUCT(PRODUCE!$B30:$DY30,PRODUCE!$EB$57:$IY$57)</f>
        <v>0</v>
      </c>
      <c r="WU31" s="56"/>
      <c r="WV31" s="242">
        <f t="shared" si="204"/>
        <v>0</v>
      </c>
      <c r="WW31" s="242">
        <f t="shared" si="205"/>
        <v>8149</v>
      </c>
      <c r="WX31" s="56"/>
      <c r="XA31" s="55">
        <f t="shared" si="206"/>
        <v>46048</v>
      </c>
      <c r="XB31" s="56"/>
      <c r="XC31" s="242">
        <f>SUMPRODUCT(PRODUCE!$B30:$DY30,PRODUCE!$EB$57:$IY$57)</f>
        <v>0</v>
      </c>
      <c r="XD31" s="56"/>
      <c r="XE31" s="242">
        <f t="shared" si="207"/>
        <v>0</v>
      </c>
      <c r="XF31" s="242">
        <f t="shared" si="208"/>
        <v>2723</v>
      </c>
      <c r="XG31" s="56"/>
      <c r="XJ31" s="55">
        <f t="shared" si="209"/>
        <v>46048</v>
      </c>
      <c r="XK31" s="56"/>
      <c r="XL31" s="242">
        <f>SUMPRODUCT(PRODUCE!$B30:$DY30,PRODUCE!$EB$57:$IY$57)</f>
        <v>0</v>
      </c>
      <c r="XM31" s="56">
        <v>167</v>
      </c>
      <c r="XN31" s="242">
        <f t="shared" si="210"/>
        <v>-167</v>
      </c>
      <c r="XO31" s="242">
        <f t="shared" si="211"/>
        <v>6830</v>
      </c>
      <c r="XP31" s="56"/>
      <c r="XS31" s="55">
        <f t="shared" si="212"/>
        <v>46048</v>
      </c>
      <c r="XT31" s="56"/>
      <c r="XU31" s="242">
        <f>SUMPRODUCT(PRODUCE!$B30:$DY30,PRODUCE!$EB$57:$IY$57)</f>
        <v>0</v>
      </c>
      <c r="XV31" s="56"/>
      <c r="XW31" s="242">
        <f t="shared" si="213"/>
        <v>0</v>
      </c>
      <c r="XX31" s="242">
        <f t="shared" si="214"/>
        <v>1901</v>
      </c>
      <c r="XY31" s="56"/>
      <c r="YB31" s="55">
        <f t="shared" si="215"/>
        <v>46048</v>
      </c>
      <c r="YC31" s="56"/>
      <c r="YD31" s="242">
        <f>SUMPRODUCT(PRODUCE!$B30:$DY30,PRODUCE!$EB$57:$IY$57)</f>
        <v>0</v>
      </c>
      <c r="YE31" s="56"/>
      <c r="YF31" s="242">
        <f t="shared" si="216"/>
        <v>0</v>
      </c>
      <c r="YG31" s="242">
        <f t="shared" si="217"/>
        <v>2152</v>
      </c>
      <c r="YH31" s="56"/>
      <c r="YK31" s="55">
        <f t="shared" si="218"/>
        <v>46048</v>
      </c>
      <c r="YL31" s="56"/>
      <c r="YM31" s="242">
        <f>SUMPRODUCT(PRODUCE!$B30:$DY30,PRODUCE!$EB$57:$IY$57)</f>
        <v>0</v>
      </c>
      <c r="YN31" s="56"/>
      <c r="YO31" s="242">
        <f t="shared" si="219"/>
        <v>0</v>
      </c>
      <c r="YP31" s="242">
        <f t="shared" si="220"/>
        <v>0</v>
      </c>
      <c r="YQ31" s="56"/>
      <c r="YT31" s="55">
        <f t="shared" si="221"/>
        <v>46048</v>
      </c>
      <c r="YU31" s="56"/>
      <c r="YV31" s="242">
        <f>SUMPRODUCT(PRODUCE!$B30:$DY30,PRODUCE!$EB$57:$IY$57)</f>
        <v>0</v>
      </c>
      <c r="YW31" s="56"/>
      <c r="YX31" s="242">
        <f t="shared" si="222"/>
        <v>0</v>
      </c>
      <c r="YY31" s="242">
        <f t="shared" si="223"/>
        <v>0</v>
      </c>
      <c r="YZ31" s="56"/>
      <c r="ZC31" s="55">
        <f t="shared" si="224"/>
        <v>46048</v>
      </c>
      <c r="ZD31" s="56"/>
      <c r="ZE31" s="242">
        <f>SUMPRODUCT(PRODUCE!$B30:$DY30,PRODUCE!$EB$57:$IY$57)</f>
        <v>0</v>
      </c>
      <c r="ZF31" s="56"/>
      <c r="ZG31" s="242">
        <f t="shared" si="225"/>
        <v>0</v>
      </c>
      <c r="ZH31" s="242">
        <f t="shared" si="226"/>
        <v>0</v>
      </c>
      <c r="ZI31" s="56"/>
      <c r="ZL31" s="55">
        <f t="shared" si="227"/>
        <v>46048</v>
      </c>
      <c r="ZM31" s="56"/>
      <c r="ZN31" s="242">
        <f>SUMPRODUCT(PRODUCE!$B30:$DY30,PRODUCE!$EB$57:$IY$57)</f>
        <v>0</v>
      </c>
      <c r="ZO31" s="56"/>
      <c r="ZP31" s="242">
        <f t="shared" si="228"/>
        <v>0</v>
      </c>
      <c r="ZQ31" s="242">
        <f t="shared" si="229"/>
        <v>0</v>
      </c>
      <c r="ZR31" s="56"/>
      <c r="ZU31" s="55">
        <f t="shared" si="230"/>
        <v>46048</v>
      </c>
      <c r="ZV31" s="56"/>
      <c r="ZW31" s="242">
        <f>SUMPRODUCT(PRODUCE!$B30:$DY30,PRODUCE!$EB$57:$IY$57)</f>
        <v>0</v>
      </c>
      <c r="ZX31" s="56"/>
      <c r="ZY31" s="242">
        <f t="shared" si="231"/>
        <v>0</v>
      </c>
      <c r="ZZ31" s="242">
        <f t="shared" si="232"/>
        <v>0</v>
      </c>
      <c r="AAA31" s="56"/>
      <c r="AAD31" s="55">
        <f t="shared" si="233"/>
        <v>46048</v>
      </c>
      <c r="AAE31" s="56"/>
      <c r="AAF31" s="242">
        <f>SUMPRODUCT(PRODUCE!$B30:$DY30,PRODUCE!$EB$57:$IY$57)</f>
        <v>0</v>
      </c>
      <c r="AAG31" s="56"/>
      <c r="AAH31" s="242">
        <f t="shared" si="234"/>
        <v>0</v>
      </c>
      <c r="AAI31" s="242">
        <f t="shared" si="235"/>
        <v>0</v>
      </c>
      <c r="AAJ31" s="56"/>
      <c r="AAM31" s="55">
        <f t="shared" si="236"/>
        <v>46048</v>
      </c>
      <c r="AAN31" s="56"/>
      <c r="AAO31" s="242">
        <f>SUMPRODUCT(PRODUCE!$B30:$DY30,PRODUCE!$EB$57:$IY$57)</f>
        <v>0</v>
      </c>
      <c r="AAP31" s="56"/>
      <c r="AAQ31" s="242">
        <f t="shared" si="237"/>
        <v>0</v>
      </c>
      <c r="AAR31" s="242">
        <f t="shared" si="238"/>
        <v>0</v>
      </c>
      <c r="AAS31" s="56"/>
      <c r="AAV31" s="55">
        <f t="shared" si="239"/>
        <v>46048</v>
      </c>
      <c r="AAW31" s="56"/>
      <c r="AAX31" s="242">
        <f>SUMPRODUCT(PRODUCE!$B30:$DY30,PRODUCE!$EB$57:$IY$57)</f>
        <v>0</v>
      </c>
      <c r="AAY31" s="56"/>
      <c r="AAZ31" s="242">
        <f t="shared" si="240"/>
        <v>0</v>
      </c>
      <c r="ABA31" s="242">
        <f t="shared" si="241"/>
        <v>0</v>
      </c>
      <c r="ABB31" s="56"/>
      <c r="ABE31" s="55">
        <f t="shared" si="242"/>
        <v>46048</v>
      </c>
      <c r="ABF31" s="56"/>
      <c r="ABG31" s="242">
        <f>SUMPRODUCT(PRODUCE!$B30:$DY30,PRODUCE!$EB$57:$IY$57)</f>
        <v>0</v>
      </c>
      <c r="ABH31" s="56"/>
      <c r="ABI31" s="242">
        <f t="shared" si="243"/>
        <v>0</v>
      </c>
      <c r="ABJ31" s="242">
        <f t="shared" si="244"/>
        <v>0</v>
      </c>
      <c r="ABK31" s="56"/>
    </row>
    <row r="32" spans="2:739" s="54" customFormat="1" ht="15" customHeight="1" outlineLevel="1">
      <c r="B32" s="478">
        <f>40+44</f>
        <v>84</v>
      </c>
      <c r="C32" s="55">
        <v>46049</v>
      </c>
      <c r="D32" s="422">
        <v>22220</v>
      </c>
      <c r="E32" s="423">
        <f>SUMPRODUCT(PRODUCE!$B31:$DY31,PRODUCE!$EB$7:$IY$7)</f>
        <v>49110</v>
      </c>
      <c r="F32" s="422">
        <v>49105.2</v>
      </c>
      <c r="G32" s="423">
        <f t="shared" si="2"/>
        <v>4.8000000000029104</v>
      </c>
      <c r="H32" s="423">
        <f t="shared" si="0"/>
        <v>54335.399999999994</v>
      </c>
      <c r="I32" s="289" t="s">
        <v>192</v>
      </c>
      <c r="L32" s="55">
        <f t="shared" si="1"/>
        <v>46049</v>
      </c>
      <c r="M32" s="422"/>
      <c r="N32" s="438">
        <f>SUMPRODUCT(PRODUCE!$B31:$DY31,PRODUCE!$EB$8:$IY$8)</f>
        <v>17166</v>
      </c>
      <c r="O32" s="422">
        <v>17174.400000000001</v>
      </c>
      <c r="P32" s="438">
        <f t="shared" si="3"/>
        <v>-8.4000000000014552</v>
      </c>
      <c r="Q32" s="438">
        <f t="shared" si="4"/>
        <v>23398.199999999997</v>
      </c>
      <c r="R32" s="56"/>
      <c r="U32" s="55">
        <f t="shared" si="5"/>
        <v>46049</v>
      </c>
      <c r="V32" s="422"/>
      <c r="W32" s="440">
        <f>SUMPRODUCT(PRODUCE!$B31:$DY31,PRODUCE!$EB$9:$IY$9)</f>
        <v>5520</v>
      </c>
      <c r="X32" s="422">
        <v>5520.6</v>
      </c>
      <c r="Y32" s="440">
        <f t="shared" si="6"/>
        <v>-0.6000000000003638</v>
      </c>
      <c r="Z32" s="440">
        <f t="shared" si="7"/>
        <v>57267.299999999981</v>
      </c>
      <c r="AA32" s="56"/>
      <c r="AD32" s="55">
        <f t="shared" si="8"/>
        <v>46049</v>
      </c>
      <c r="AE32" s="422">
        <v>27580</v>
      </c>
      <c r="AF32" s="442">
        <f>SUMPRODUCT(PRODUCE!$B31:$DY31,PRODUCE!$EB$10:$IY$10)</f>
        <v>5080</v>
      </c>
      <c r="AG32" s="422">
        <v>5082.5</v>
      </c>
      <c r="AH32" s="442">
        <f t="shared" si="9"/>
        <v>-2.5</v>
      </c>
      <c r="AI32" s="442">
        <f t="shared" si="10"/>
        <v>59695.30000000001</v>
      </c>
      <c r="AJ32" s="56"/>
      <c r="AM32" s="55">
        <f t="shared" si="11"/>
        <v>46049</v>
      </c>
      <c r="AN32" s="422"/>
      <c r="AO32" s="444">
        <f>SUMPRODUCT(PRODUCE!$B31:$DY31,PRODUCE!$EB$11:$IY$11)</f>
        <v>0</v>
      </c>
      <c r="AP32" s="422"/>
      <c r="AQ32" s="444">
        <f t="shared" si="12"/>
        <v>0</v>
      </c>
      <c r="AR32" s="444">
        <f t="shared" si="13"/>
        <v>0</v>
      </c>
      <c r="AS32" s="56"/>
      <c r="AV32" s="55">
        <f t="shared" si="14"/>
        <v>46049</v>
      </c>
      <c r="AW32" s="422"/>
      <c r="AX32" s="446">
        <f>SUMPRODUCT(PRODUCE!$B31:$DY31,PRODUCE!$EB$12:$IY$12)</f>
        <v>1482</v>
      </c>
      <c r="AY32" s="422">
        <v>1482.8</v>
      </c>
      <c r="AZ32" s="446">
        <f t="shared" si="15"/>
        <v>-0.79999999999995453</v>
      </c>
      <c r="BA32" s="446">
        <f t="shared" si="16"/>
        <v>35944.399999999987</v>
      </c>
      <c r="BB32" s="56"/>
      <c r="BE32" s="55">
        <f t="shared" si="17"/>
        <v>46049</v>
      </c>
      <c r="BF32" s="422"/>
      <c r="BG32" s="448">
        <f>SUMPRODUCT(PRODUCE!$B31:$DY31,PRODUCE!$EB$13:$IY$13)</f>
        <v>1900</v>
      </c>
      <c r="BH32" s="422">
        <v>1899.4</v>
      </c>
      <c r="BI32" s="448">
        <f t="shared" si="18"/>
        <v>0.59999999999990905</v>
      </c>
      <c r="BJ32" s="448">
        <f t="shared" si="19"/>
        <v>23299.300000000007</v>
      </c>
      <c r="BK32" s="56"/>
      <c r="BN32" s="55">
        <f t="shared" si="20"/>
        <v>46049</v>
      </c>
      <c r="BO32" s="422">
        <v>1900</v>
      </c>
      <c r="BP32" s="450">
        <f>SUMPRODUCT(PRODUCE!$B31:$DY31,PRODUCE!$EB$14:$IY$14)</f>
        <v>1900</v>
      </c>
      <c r="BQ32" s="422">
        <v>1900</v>
      </c>
      <c r="BR32" s="450">
        <f t="shared" si="21"/>
        <v>0</v>
      </c>
      <c r="BS32" s="450">
        <f t="shared" si="22"/>
        <v>0</v>
      </c>
      <c r="BT32" s="56"/>
      <c r="BW32" s="55">
        <f t="shared" si="23"/>
        <v>46049</v>
      </c>
      <c r="BX32" s="56"/>
      <c r="BY32" s="65">
        <f>SUMPRODUCT(PRODUCE!$B31:$DY31,PRODUCE!$EB$15:$IY$15)</f>
        <v>0</v>
      </c>
      <c r="BZ32" s="56"/>
      <c r="CA32" s="65">
        <f t="shared" si="24"/>
        <v>0</v>
      </c>
      <c r="CB32" s="65">
        <f t="shared" si="25"/>
        <v>3284.5</v>
      </c>
      <c r="CC32" s="56"/>
      <c r="CF32" s="55">
        <f t="shared" si="26"/>
        <v>46049</v>
      </c>
      <c r="CG32" s="56"/>
      <c r="CH32" s="66">
        <f>SUMPRODUCT(PRODUCE!$B31:$DY31,PRODUCE!$EB$16:$IY$16)</f>
        <v>0</v>
      </c>
      <c r="CI32" s="56"/>
      <c r="CJ32" s="66">
        <f t="shared" si="27"/>
        <v>0</v>
      </c>
      <c r="CK32" s="66">
        <f t="shared" si="28"/>
        <v>0</v>
      </c>
      <c r="CL32" s="56"/>
      <c r="CO32" s="55">
        <f t="shared" si="29"/>
        <v>46049</v>
      </c>
      <c r="CP32" s="422"/>
      <c r="CQ32" s="470">
        <f>SUMPRODUCT(PRODUCE!$B31:$DY31,PRODUCE!$EB$17:$IY$17)</f>
        <v>0</v>
      </c>
      <c r="CR32" s="422"/>
      <c r="CS32" s="470">
        <f t="shared" si="30"/>
        <v>0</v>
      </c>
      <c r="CT32" s="470">
        <f t="shared" si="31"/>
        <v>0</v>
      </c>
      <c r="CU32" s="56"/>
      <c r="CX32" s="55">
        <f t="shared" si="32"/>
        <v>46049</v>
      </c>
      <c r="CY32" s="56"/>
      <c r="CZ32" s="133">
        <f>SUMPRODUCT(PRODUCE!$B31:$DY31,PRODUCE!$EB$18:$IY$18)</f>
        <v>0</v>
      </c>
      <c r="DA32" s="56"/>
      <c r="DB32" s="133">
        <f t="shared" si="33"/>
        <v>0</v>
      </c>
      <c r="DC32" s="133">
        <f t="shared" si="34"/>
        <v>0</v>
      </c>
      <c r="DD32" s="56"/>
      <c r="DG32" s="55">
        <f t="shared" si="35"/>
        <v>46049</v>
      </c>
      <c r="DH32" s="56"/>
      <c r="DI32" s="147">
        <f>SUMPRODUCT(PRODUCE!$B31:$DY31,PRODUCE!$EB$19:$IY$19)</f>
        <v>0</v>
      </c>
      <c r="DJ32" s="56"/>
      <c r="DK32" s="147">
        <f t="shared" si="36"/>
        <v>0</v>
      </c>
      <c r="DL32" s="147">
        <f t="shared" si="37"/>
        <v>22172.799999999996</v>
      </c>
      <c r="DM32" s="56"/>
      <c r="DP32" s="55">
        <f t="shared" si="38"/>
        <v>46049</v>
      </c>
      <c r="DQ32" s="56"/>
      <c r="DR32" s="57">
        <f>SUMPRODUCT(PRODUCE!$B31:$DY31,PRODUCE!$EB$20:$IY$20)</f>
        <v>0</v>
      </c>
      <c r="DS32" s="56"/>
      <c r="DT32" s="57">
        <f t="shared" si="39"/>
        <v>0</v>
      </c>
      <c r="DU32" s="57">
        <f t="shared" si="40"/>
        <v>0</v>
      </c>
      <c r="DV32" s="56"/>
      <c r="DY32" s="55">
        <f t="shared" si="41"/>
        <v>46049</v>
      </c>
      <c r="DZ32" s="56"/>
      <c r="EA32" s="157">
        <f>SUMPRODUCT(PRODUCE!$B31:$DY31,PRODUCE!$EB$21:$IY$21)</f>
        <v>0</v>
      </c>
      <c r="EB32" s="56"/>
      <c r="EC32" s="157">
        <f t="shared" si="42"/>
        <v>0</v>
      </c>
      <c r="ED32" s="157">
        <f t="shared" si="43"/>
        <v>0</v>
      </c>
      <c r="EE32" s="56"/>
      <c r="EH32" s="55">
        <f t="shared" si="44"/>
        <v>46049</v>
      </c>
      <c r="EI32" s="56"/>
      <c r="EJ32" s="162">
        <f>SUMPRODUCT(PRODUCE!$B31:$DY31,PRODUCE!$EB$22:$IY$22)</f>
        <v>0</v>
      </c>
      <c r="EK32" s="56"/>
      <c r="EL32" s="162">
        <f t="shared" si="45"/>
        <v>0</v>
      </c>
      <c r="EM32" s="162">
        <f t="shared" si="46"/>
        <v>0</v>
      </c>
      <c r="EN32" s="56"/>
      <c r="EQ32" s="55">
        <f t="shared" si="47"/>
        <v>46049</v>
      </c>
      <c r="ER32" s="56"/>
      <c r="ES32" s="135">
        <f>SUMPRODUCT(PRODUCE!$B31:$DY31,PRODUCE!$EB$23:$IY$23)</f>
        <v>0</v>
      </c>
      <c r="ET32" s="56"/>
      <c r="EU32" s="135">
        <f t="shared" si="48"/>
        <v>0</v>
      </c>
      <c r="EV32" s="135">
        <f t="shared" si="49"/>
        <v>0</v>
      </c>
      <c r="EW32" s="56"/>
      <c r="EZ32" s="55">
        <f t="shared" si="50"/>
        <v>46049</v>
      </c>
      <c r="FA32" s="56"/>
      <c r="FB32" s="175">
        <f>SUMPRODUCT(PRODUCE!$B31:$DY31,PRODUCE!$EB$24:$IY$24)</f>
        <v>0</v>
      </c>
      <c r="FC32" s="56"/>
      <c r="FD32" s="175">
        <f t="shared" si="51"/>
        <v>0</v>
      </c>
      <c r="FE32" s="175">
        <f t="shared" si="52"/>
        <v>0</v>
      </c>
      <c r="FF32" s="56"/>
      <c r="FI32" s="55">
        <f t="shared" si="53"/>
        <v>46049</v>
      </c>
      <c r="FJ32" s="56"/>
      <c r="FK32" s="183">
        <f>SUMPRODUCT(PRODUCE!$B31:$DY31,PRODUCE!$EB$25:$IY$25)</f>
        <v>0</v>
      </c>
      <c r="FL32" s="56"/>
      <c r="FM32" s="183">
        <f t="shared" si="54"/>
        <v>0</v>
      </c>
      <c r="FN32" s="183">
        <f t="shared" si="55"/>
        <v>0</v>
      </c>
      <c r="FO32" s="56"/>
      <c r="FR32" s="55">
        <f t="shared" si="56"/>
        <v>46049</v>
      </c>
      <c r="FS32" s="422"/>
      <c r="FT32" s="452">
        <f>SUMPRODUCT(PRODUCE!$B31:$DY31,PRODUCE!$EB$26:$IY$26)</f>
        <v>0</v>
      </c>
      <c r="FU32" s="422"/>
      <c r="FV32" s="452">
        <f t="shared" si="57"/>
        <v>0</v>
      </c>
      <c r="FW32" s="452">
        <f t="shared" si="58"/>
        <v>3540</v>
      </c>
      <c r="FX32" s="56"/>
      <c r="GA32" s="55">
        <f t="shared" si="59"/>
        <v>46049</v>
      </c>
      <c r="GB32" s="422"/>
      <c r="GC32" s="454">
        <f>SUMPRODUCT(PRODUCE!$B31:$DY31,PRODUCE!$EB$27:$IY$27)</f>
        <v>0</v>
      </c>
      <c r="GD32" s="422"/>
      <c r="GE32" s="454">
        <f t="shared" si="60"/>
        <v>0</v>
      </c>
      <c r="GF32" s="454">
        <f t="shared" si="61"/>
        <v>1960</v>
      </c>
      <c r="GG32" s="56"/>
      <c r="GI32" s="23"/>
      <c r="GJ32" s="55">
        <f t="shared" si="62"/>
        <v>46049</v>
      </c>
      <c r="GK32" s="422"/>
      <c r="GL32" s="456">
        <f>SUMPRODUCT(PRODUCE!$B31:$DY31,PRODUCE!$EB$28:$IY$28)</f>
        <v>880</v>
      </c>
      <c r="GM32" s="422"/>
      <c r="GN32" s="456">
        <f t="shared" si="63"/>
        <v>880</v>
      </c>
      <c r="GO32" s="456">
        <f t="shared" si="64"/>
        <v>4440</v>
      </c>
      <c r="GP32" s="56"/>
      <c r="GS32" s="55">
        <f t="shared" si="65"/>
        <v>46049</v>
      </c>
      <c r="GT32" s="56"/>
      <c r="GU32" s="195">
        <f>SUMPRODUCT(PRODUCE!$B31:$DY31,PRODUCE!$EB$29:$IY$29)</f>
        <v>0</v>
      </c>
      <c r="GV32" s="56"/>
      <c r="GW32" s="195">
        <f t="shared" si="66"/>
        <v>0</v>
      </c>
      <c r="GX32" s="195">
        <f t="shared" si="67"/>
        <v>0</v>
      </c>
      <c r="GY32" s="56"/>
      <c r="HB32" s="55">
        <f t="shared" si="68"/>
        <v>46049</v>
      </c>
      <c r="HC32" s="56"/>
      <c r="HD32" s="191">
        <f>SUMPRODUCT(PRODUCE!$B31:$DY31,PRODUCE!$EB$30:$IY$30)</f>
        <v>0</v>
      </c>
      <c r="HE32" s="56"/>
      <c r="HF32" s="191">
        <f t="shared" si="69"/>
        <v>0</v>
      </c>
      <c r="HG32" s="191">
        <f t="shared" si="70"/>
        <v>0</v>
      </c>
      <c r="HH32" s="56"/>
      <c r="HK32" s="55">
        <f t="shared" si="71"/>
        <v>46049</v>
      </c>
      <c r="HL32" s="56"/>
      <c r="HM32" s="63">
        <f>SUMPRODUCT(PRODUCE!$B31:$DY31,PRODUCE!$EB$31:$IY$31)</f>
        <v>0</v>
      </c>
      <c r="HN32" s="56"/>
      <c r="HO32" s="63">
        <f t="shared" si="72"/>
        <v>0</v>
      </c>
      <c r="HP32" s="63">
        <f t="shared" si="73"/>
        <v>0</v>
      </c>
      <c r="HQ32" s="56"/>
      <c r="HU32" s="55">
        <f t="shared" si="74"/>
        <v>46049</v>
      </c>
      <c r="HV32" s="56"/>
      <c r="HW32" s="242">
        <f>SUMPRODUCT(PRODUCE!$B31:$DY31,PRODUCE!$EB$32:$IY$32)</f>
        <v>0</v>
      </c>
      <c r="HX32" s="56"/>
      <c r="HY32" s="242">
        <f t="shared" si="75"/>
        <v>0</v>
      </c>
      <c r="HZ32" s="242">
        <f t="shared" si="76"/>
        <v>1440</v>
      </c>
      <c r="IA32" s="56"/>
      <c r="ID32" s="55">
        <f t="shared" si="77"/>
        <v>46049</v>
      </c>
      <c r="IE32" s="56"/>
      <c r="IF32" s="242">
        <f>SUMPRODUCT(PRODUCE!$B31:$DY31,PRODUCE!$EB$33:$IY$33)</f>
        <v>0</v>
      </c>
      <c r="IG32" s="56"/>
      <c r="IH32" s="242">
        <f t="shared" si="78"/>
        <v>0</v>
      </c>
      <c r="II32" s="242">
        <f t="shared" si="79"/>
        <v>5100</v>
      </c>
      <c r="IJ32" s="56"/>
      <c r="IM32" s="55">
        <f t="shared" si="80"/>
        <v>46049</v>
      </c>
      <c r="IN32" s="56"/>
      <c r="IO32" s="242">
        <f>SUMPRODUCT(PRODUCE!$B31:$DY31,PRODUCE!$EB$34:$IY$34)</f>
        <v>800</v>
      </c>
      <c r="IP32" s="56"/>
      <c r="IQ32" s="242">
        <f t="shared" si="81"/>
        <v>800</v>
      </c>
      <c r="IR32" s="242">
        <f t="shared" si="82"/>
        <v>12640</v>
      </c>
      <c r="IS32" s="56"/>
      <c r="IV32" s="55">
        <f t="shared" si="83"/>
        <v>46049</v>
      </c>
      <c r="IW32" s="56"/>
      <c r="IX32" s="242">
        <f>SUMPRODUCT(PRODUCE!$B31:$DY31,PRODUCE!$EB$35:$IY$35)</f>
        <v>0</v>
      </c>
      <c r="IY32" s="56"/>
      <c r="IZ32" s="242">
        <f t="shared" si="84"/>
        <v>0</v>
      </c>
      <c r="JA32" s="242">
        <f t="shared" si="85"/>
        <v>9120</v>
      </c>
      <c r="JB32" s="56"/>
      <c r="JE32" s="55">
        <f t="shared" si="86"/>
        <v>46049</v>
      </c>
      <c r="JF32" s="56"/>
      <c r="JG32" s="242">
        <f>SUMPRODUCT(PRODUCE!$B31:$DY31,PRODUCE!$EB$36:$IY$36)</f>
        <v>0</v>
      </c>
      <c r="JH32" s="56"/>
      <c r="JI32" s="242">
        <f t="shared" si="87"/>
        <v>0</v>
      </c>
      <c r="JJ32" s="242">
        <f t="shared" si="88"/>
        <v>6800</v>
      </c>
      <c r="JK32" s="56"/>
      <c r="JN32" s="55">
        <f t="shared" si="89"/>
        <v>46049</v>
      </c>
      <c r="JO32" s="56"/>
      <c r="JP32" s="242">
        <f>SUMPRODUCT(PRODUCE!$B31:$DY31,PRODUCE!$EB$37:$IY$37)</f>
        <v>0</v>
      </c>
      <c r="JQ32" s="56"/>
      <c r="JR32" s="242">
        <f t="shared" si="90"/>
        <v>0</v>
      </c>
      <c r="JS32" s="242">
        <f t="shared" si="91"/>
        <v>5400</v>
      </c>
      <c r="JT32" s="56"/>
      <c r="JW32" s="55">
        <f t="shared" si="92"/>
        <v>46049</v>
      </c>
      <c r="JX32" s="56"/>
      <c r="JY32" s="242">
        <f>SUMPRODUCT(PRODUCE!$B31:$DY31,PRODUCE!$EB$38:$IY$38)</f>
        <v>0</v>
      </c>
      <c r="JZ32" s="56"/>
      <c r="KA32" s="242">
        <f t="shared" si="93"/>
        <v>0</v>
      </c>
      <c r="KB32" s="242">
        <f t="shared" si="94"/>
        <v>0</v>
      </c>
      <c r="KC32" s="56"/>
      <c r="KF32" s="55">
        <f t="shared" si="95"/>
        <v>46049</v>
      </c>
      <c r="KG32" s="56"/>
      <c r="KH32" s="242">
        <f>SUMPRODUCT(PRODUCE!$B31:$DY31,PRODUCE!$EB$39:$IY$39)</f>
        <v>0</v>
      </c>
      <c r="KI32" s="56"/>
      <c r="KJ32" s="242">
        <f t="shared" si="96"/>
        <v>0</v>
      </c>
      <c r="KK32" s="242">
        <f t="shared" si="97"/>
        <v>0</v>
      </c>
      <c r="KL32" s="56"/>
      <c r="KO32" s="55">
        <f t="shared" si="98"/>
        <v>46049</v>
      </c>
      <c r="KP32" s="56"/>
      <c r="KQ32" s="242">
        <f>SUMPRODUCT(PRODUCE!$B31:$DY31,PRODUCE!$EB$40:$IY$40)</f>
        <v>0</v>
      </c>
      <c r="KR32" s="56"/>
      <c r="KS32" s="242">
        <f t="shared" si="99"/>
        <v>0</v>
      </c>
      <c r="KT32" s="242">
        <f t="shared" si="100"/>
        <v>0</v>
      </c>
      <c r="KU32" s="56"/>
      <c r="KW32" s="23"/>
      <c r="KX32" s="55">
        <f t="shared" si="101"/>
        <v>46049</v>
      </c>
      <c r="KY32" s="56"/>
      <c r="KZ32" s="242">
        <f>SUMPRODUCT(PRODUCE!$B31:$DY31,PRODUCE!$EB$41:$IY$41)</f>
        <v>0</v>
      </c>
      <c r="LA32" s="56"/>
      <c r="LB32" s="242">
        <f t="shared" si="102"/>
        <v>0</v>
      </c>
      <c r="LC32" s="242">
        <f t="shared" si="103"/>
        <v>0</v>
      </c>
      <c r="LD32" s="56"/>
      <c r="LG32" s="55">
        <f t="shared" si="104"/>
        <v>46049</v>
      </c>
      <c r="LH32" s="56"/>
      <c r="LI32" s="242">
        <f>SUMPRODUCT(PRODUCE!$B31:$DY31,PRODUCE!$EB$42:$IY$42)</f>
        <v>0</v>
      </c>
      <c r="LJ32" s="56"/>
      <c r="LK32" s="242">
        <f t="shared" si="105"/>
        <v>0</v>
      </c>
      <c r="LL32" s="242">
        <f t="shared" si="106"/>
        <v>0</v>
      </c>
      <c r="LM32" s="56"/>
      <c r="LP32" s="55">
        <f t="shared" si="107"/>
        <v>46049</v>
      </c>
      <c r="LQ32" s="56"/>
      <c r="LR32" s="242">
        <f>SUMPRODUCT(PRODUCE!$B31:$DY31,PRODUCE!$EB$43:$IY$43)</f>
        <v>0</v>
      </c>
      <c r="LS32" s="56"/>
      <c r="LT32" s="242">
        <f t="shared" si="108"/>
        <v>0</v>
      </c>
      <c r="LU32" s="242">
        <f t="shared" si="109"/>
        <v>0</v>
      </c>
      <c r="LV32" s="56"/>
      <c r="LY32" s="55">
        <f t="shared" si="110"/>
        <v>46049</v>
      </c>
      <c r="LZ32" s="56"/>
      <c r="MA32" s="242">
        <f>SUMPRODUCT(PRODUCE!$B31:$DY31,PRODUCE!$EB$44:$IY$44)</f>
        <v>0</v>
      </c>
      <c r="MB32" s="56"/>
      <c r="MC32" s="242">
        <f t="shared" si="111"/>
        <v>0</v>
      </c>
      <c r="MD32" s="242">
        <f t="shared" si="112"/>
        <v>0</v>
      </c>
      <c r="ME32" s="56"/>
      <c r="MH32" s="55">
        <f t="shared" si="113"/>
        <v>46049</v>
      </c>
      <c r="MI32" s="56"/>
      <c r="MJ32" s="242">
        <f>SUMPRODUCT(PRODUCE!$B31:$DY31,PRODUCE!$EB$45:$IY$45)</f>
        <v>0</v>
      </c>
      <c r="MK32" s="56"/>
      <c r="ML32" s="242">
        <f t="shared" si="114"/>
        <v>0</v>
      </c>
      <c r="MM32" s="242">
        <f t="shared" si="115"/>
        <v>0</v>
      </c>
      <c r="MN32" s="56"/>
      <c r="MQ32" s="55">
        <f t="shared" si="116"/>
        <v>46049</v>
      </c>
      <c r="MR32" s="56">
        <v>1000</v>
      </c>
      <c r="MS32" s="242">
        <f>SUMPRODUCT(PRODUCE!$B31:$DY31,PRODUCE!$EB$46:$IY$46)</f>
        <v>42</v>
      </c>
      <c r="MT32" s="56"/>
      <c r="MU32" s="242">
        <f t="shared" si="117"/>
        <v>42</v>
      </c>
      <c r="MV32" s="242">
        <f t="shared" si="118"/>
        <v>2059</v>
      </c>
      <c r="MW32" s="56"/>
      <c r="MZ32" s="55">
        <f t="shared" si="119"/>
        <v>46049</v>
      </c>
      <c r="NA32" s="56"/>
      <c r="NB32" s="242">
        <f>SUMPRODUCT(PRODUCE!$B31:$DY31,PRODUCE!$EB$47:$IY$47)</f>
        <v>120</v>
      </c>
      <c r="NC32" s="56"/>
      <c r="ND32" s="242">
        <f t="shared" si="120"/>
        <v>120</v>
      </c>
      <c r="NE32" s="242">
        <f t="shared" si="121"/>
        <v>0</v>
      </c>
      <c r="NF32" s="56"/>
      <c r="NI32" s="55">
        <f t="shared" si="122"/>
        <v>46049</v>
      </c>
      <c r="NJ32" s="56"/>
      <c r="NK32" s="242">
        <f>SUMPRODUCT(PRODUCE!$B31:$DY31,PRODUCE!$EB$48:$IY$48)</f>
        <v>0</v>
      </c>
      <c r="NL32" s="56"/>
      <c r="NM32" s="242">
        <f t="shared" si="123"/>
        <v>0</v>
      </c>
      <c r="NN32" s="242">
        <f t="shared" si="124"/>
        <v>0</v>
      </c>
      <c r="NO32" s="56"/>
      <c r="NR32" s="55">
        <f t="shared" si="125"/>
        <v>46049</v>
      </c>
      <c r="NS32" s="56"/>
      <c r="NT32" s="242">
        <f>SUMPRODUCT(PRODUCE!$B31:$DY31,PRODUCE!$EB$49:$IY$49)</f>
        <v>0</v>
      </c>
      <c r="NU32" s="56"/>
      <c r="NV32" s="242">
        <f t="shared" si="126"/>
        <v>0</v>
      </c>
      <c r="NW32" s="242">
        <f t="shared" si="127"/>
        <v>0</v>
      </c>
      <c r="NX32" s="56"/>
      <c r="OA32" s="55">
        <f t="shared" si="128"/>
        <v>46049</v>
      </c>
      <c r="OB32" s="56"/>
      <c r="OC32" s="242">
        <f>SUMPRODUCT(PRODUCE!$B31:$DY31,PRODUCE!$EB$50:$IY$50)</f>
        <v>0</v>
      </c>
      <c r="OD32" s="56"/>
      <c r="OE32" s="242">
        <f t="shared" si="129"/>
        <v>0</v>
      </c>
      <c r="OF32" s="242">
        <f t="shared" si="130"/>
        <v>1680.5</v>
      </c>
      <c r="OG32" s="56"/>
      <c r="OJ32" s="55">
        <f t="shared" si="131"/>
        <v>46049</v>
      </c>
      <c r="OK32" s="56"/>
      <c r="OL32" s="242">
        <f>SUMPRODUCT(PRODUCE!$B31:$DY31,PRODUCE!$EB$51:$IY$51)</f>
        <v>0</v>
      </c>
      <c r="OM32" s="56"/>
      <c r="ON32" s="242">
        <f t="shared" si="132"/>
        <v>0</v>
      </c>
      <c r="OO32" s="242">
        <f t="shared" si="133"/>
        <v>0</v>
      </c>
      <c r="OP32" s="56"/>
      <c r="OS32" s="55">
        <f t="shared" si="134"/>
        <v>46049</v>
      </c>
      <c r="OT32" s="56"/>
      <c r="OU32" s="242">
        <f>SUMPRODUCT(PRODUCE!$B31:$DY31,PRODUCE!$EB$52:$IY$52)</f>
        <v>0</v>
      </c>
      <c r="OV32" s="56"/>
      <c r="OW32" s="242">
        <f t="shared" si="135"/>
        <v>0</v>
      </c>
      <c r="OX32" s="242">
        <f t="shared" si="136"/>
        <v>67</v>
      </c>
      <c r="OY32" s="56"/>
      <c r="PB32" s="55">
        <f t="shared" si="137"/>
        <v>46049</v>
      </c>
      <c r="PC32" s="56"/>
      <c r="PD32" s="242">
        <f>SUMPRODUCT(PRODUCE!$B31:$DY31,PRODUCE!$EB$53:$IY$53)</f>
        <v>0</v>
      </c>
      <c r="PE32" s="56"/>
      <c r="PF32" s="242">
        <f t="shared" si="138"/>
        <v>0</v>
      </c>
      <c r="PG32" s="242">
        <f t="shared" si="139"/>
        <v>0</v>
      </c>
      <c r="PH32" s="56"/>
      <c r="PK32" s="55">
        <f t="shared" si="140"/>
        <v>46049</v>
      </c>
      <c r="PL32" s="56"/>
      <c r="PM32" s="242">
        <f>SUMPRODUCT(PRODUCE!$B31:$DY31,PRODUCE!$EB$54:$IY$54)</f>
        <v>0</v>
      </c>
      <c r="PN32" s="56"/>
      <c r="PO32" s="242">
        <f t="shared" si="141"/>
        <v>0</v>
      </c>
      <c r="PP32" s="242">
        <f t="shared" si="142"/>
        <v>160</v>
      </c>
      <c r="PQ32" s="56"/>
      <c r="PT32" s="55">
        <f t="shared" si="143"/>
        <v>46049</v>
      </c>
      <c r="PU32" s="56"/>
      <c r="PV32" s="242">
        <f>SUMPRODUCT(PRODUCE!$B31:$DY31,PRODUCE!$EB$55:$IY$55)</f>
        <v>0</v>
      </c>
      <c r="PW32" s="56"/>
      <c r="PX32" s="242">
        <f t="shared" si="144"/>
        <v>0</v>
      </c>
      <c r="PY32" s="242">
        <f t="shared" si="145"/>
        <v>13.960000000000036</v>
      </c>
      <c r="PZ32" s="56"/>
      <c r="QC32" s="55">
        <f t="shared" si="146"/>
        <v>46049</v>
      </c>
      <c r="QD32" s="56"/>
      <c r="QE32" s="242">
        <f>SUMPRODUCT(PRODUCE!$B31:$DY31,PRODUCE!$EB$56:$IY$56)</f>
        <v>0</v>
      </c>
      <c r="QF32" s="56"/>
      <c r="QG32" s="242">
        <f t="shared" si="147"/>
        <v>0</v>
      </c>
      <c r="QH32" s="242">
        <f t="shared" si="148"/>
        <v>0</v>
      </c>
      <c r="QI32" s="56"/>
      <c r="QL32" s="55">
        <f t="shared" si="149"/>
        <v>46049</v>
      </c>
      <c r="QM32" s="56"/>
      <c r="QN32" s="242">
        <f>SUMPRODUCT(PRODUCE!$B31:$DY31,PRODUCE!$EB$57:$IY$57)</f>
        <v>0</v>
      </c>
      <c r="QO32" s="56"/>
      <c r="QP32" s="242">
        <f t="shared" si="150"/>
        <v>0</v>
      </c>
      <c r="QQ32" s="242">
        <f t="shared" si="151"/>
        <v>0</v>
      </c>
      <c r="QR32" s="56"/>
      <c r="QU32" s="55">
        <f t="shared" si="152"/>
        <v>46049</v>
      </c>
      <c r="QV32" s="56"/>
      <c r="QW32" s="242">
        <f>SUMPRODUCT(PRODUCE!$B31:$DY31,PRODUCE!$EB$57:$IY$57)</f>
        <v>0</v>
      </c>
      <c r="QX32" s="56"/>
      <c r="QY32" s="242">
        <f t="shared" si="153"/>
        <v>0</v>
      </c>
      <c r="QZ32" s="242">
        <f t="shared" si="154"/>
        <v>207.6</v>
      </c>
      <c r="RA32" s="56"/>
      <c r="RD32" s="55">
        <f t="shared" si="155"/>
        <v>46049</v>
      </c>
      <c r="RE32" s="56"/>
      <c r="RF32" s="242">
        <f>SUMPRODUCT(PRODUCE!$B31:$DY31,PRODUCE!$EB$58:$IY$58)</f>
        <v>0</v>
      </c>
      <c r="RG32" s="56"/>
      <c r="RH32" s="242">
        <f t="shared" si="156"/>
        <v>0</v>
      </c>
      <c r="RI32" s="242">
        <f t="shared" si="157"/>
        <v>201.8</v>
      </c>
      <c r="RJ32" s="56"/>
      <c r="RM32" s="55">
        <f t="shared" si="158"/>
        <v>46049</v>
      </c>
      <c r="RN32" s="56"/>
      <c r="RO32" s="242">
        <f>SUMPRODUCT(PRODUCE!$B31:$DY31,PRODUCE!$EB$59:$IY$59)</f>
        <v>0</v>
      </c>
      <c r="RP32" s="56"/>
      <c r="RQ32" s="242">
        <f t="shared" si="159"/>
        <v>0</v>
      </c>
      <c r="RR32" s="242">
        <f t="shared" si="160"/>
        <v>22.720000000000002</v>
      </c>
      <c r="RS32" s="56"/>
      <c r="RV32" s="55">
        <f t="shared" si="161"/>
        <v>46049</v>
      </c>
      <c r="RW32" s="56"/>
      <c r="RX32" s="242">
        <f>SUMPRODUCT(PRODUCE!$B31:$DY31,PRODUCE!$EB$57:$IY$57)</f>
        <v>0</v>
      </c>
      <c r="RY32" s="56"/>
      <c r="RZ32" s="242">
        <f t="shared" si="162"/>
        <v>0</v>
      </c>
      <c r="SA32" s="242">
        <f t="shared" si="163"/>
        <v>0</v>
      </c>
      <c r="SB32" s="56"/>
      <c r="SE32" s="55">
        <f t="shared" si="164"/>
        <v>46049</v>
      </c>
      <c r="SF32" s="56"/>
      <c r="SG32" s="242">
        <f>SUMPRODUCT(PRODUCE!$B31:$DY31,PRODUCE!$EB$61:$IY$61)</f>
        <v>0</v>
      </c>
      <c r="SH32" s="56"/>
      <c r="SI32" s="242">
        <f t="shared" si="165"/>
        <v>0</v>
      </c>
      <c r="SJ32" s="242">
        <f t="shared" si="166"/>
        <v>0</v>
      </c>
      <c r="SK32" s="56"/>
      <c r="SN32" s="55">
        <f t="shared" si="167"/>
        <v>46049</v>
      </c>
      <c r="SO32" s="56"/>
      <c r="SP32" s="242">
        <f>SUMPRODUCT(PRODUCE!$B31:$DY31,PRODUCE!$EB$57:$IY$57)</f>
        <v>0</v>
      </c>
      <c r="SQ32" s="56"/>
      <c r="SR32" s="242">
        <f t="shared" si="168"/>
        <v>0</v>
      </c>
      <c r="SS32" s="242">
        <f t="shared" si="169"/>
        <v>0</v>
      </c>
      <c r="ST32" s="56"/>
      <c r="SW32" s="55">
        <f t="shared" si="170"/>
        <v>46049</v>
      </c>
      <c r="SX32" s="56"/>
      <c r="SY32" s="242">
        <f>SUMPRODUCT(PRODUCE!$B31:$DY31,PRODUCE!$EB$57:$IY$57)</f>
        <v>0</v>
      </c>
      <c r="SZ32" s="56"/>
      <c r="TA32" s="242">
        <f t="shared" si="171"/>
        <v>0</v>
      </c>
      <c r="TB32" s="242">
        <f t="shared" si="172"/>
        <v>0</v>
      </c>
      <c r="TC32" s="56"/>
      <c r="TF32" s="55">
        <f t="shared" si="173"/>
        <v>46049</v>
      </c>
      <c r="TG32" s="56"/>
      <c r="TH32" s="242">
        <f>SUMPRODUCT(PRODUCE!$B31:$DY31,PRODUCE!$EB$57:$IY$57)</f>
        <v>0</v>
      </c>
      <c r="TI32" s="56"/>
      <c r="TJ32" s="242">
        <f t="shared" si="174"/>
        <v>0</v>
      </c>
      <c r="TK32" s="242">
        <f t="shared" si="175"/>
        <v>0</v>
      </c>
      <c r="TL32" s="56"/>
      <c r="TO32" s="55">
        <f t="shared" si="176"/>
        <v>46049</v>
      </c>
      <c r="TP32" s="56"/>
      <c r="TQ32" s="242">
        <f>SUMPRODUCT(PRODUCE!$B31:$DY31,PRODUCE!$EB$57:$IY$57)</f>
        <v>0</v>
      </c>
      <c r="TR32" s="56"/>
      <c r="TS32" s="242">
        <f t="shared" si="177"/>
        <v>0</v>
      </c>
      <c r="TT32" s="242">
        <f t="shared" si="178"/>
        <v>0</v>
      </c>
      <c r="TU32" s="56"/>
      <c r="TX32" s="55">
        <f t="shared" si="179"/>
        <v>46049</v>
      </c>
      <c r="TY32" s="56"/>
      <c r="TZ32" s="242">
        <f>SUMPRODUCT(PRODUCE!$B31:$DY31,PRODUCE!$EB$57:$IY$57)</f>
        <v>0</v>
      </c>
      <c r="UA32" s="56"/>
      <c r="UB32" s="242">
        <f t="shared" si="180"/>
        <v>0</v>
      </c>
      <c r="UC32" s="242">
        <f t="shared" si="181"/>
        <v>0</v>
      </c>
      <c r="UD32" s="56"/>
      <c r="UG32" s="55">
        <f t="shared" si="182"/>
        <v>46049</v>
      </c>
      <c r="UH32" s="56"/>
      <c r="UI32" s="242">
        <f>SUMPRODUCT(PRODUCE!$B31:$DY31,PRODUCE!$EB$57:$IY$57)</f>
        <v>0</v>
      </c>
      <c r="UJ32" s="56"/>
      <c r="UK32" s="242">
        <f t="shared" si="183"/>
        <v>0</v>
      </c>
      <c r="UL32" s="242">
        <f t="shared" si="184"/>
        <v>0</v>
      </c>
      <c r="UM32" s="56"/>
      <c r="UP32" s="55">
        <f t="shared" si="185"/>
        <v>46049</v>
      </c>
      <c r="UQ32" s="56"/>
      <c r="UR32" s="242">
        <f>SUMPRODUCT(PRODUCE!$B31:$DY31,PRODUCE!$EB$57:$IY$57)</f>
        <v>0</v>
      </c>
      <c r="US32" s="56"/>
      <c r="UT32" s="242">
        <f t="shared" si="186"/>
        <v>0</v>
      </c>
      <c r="UU32" s="242">
        <f t="shared" si="187"/>
        <v>0</v>
      </c>
      <c r="UV32" s="56"/>
      <c r="UY32" s="55">
        <f t="shared" si="188"/>
        <v>46049</v>
      </c>
      <c r="UZ32" s="56"/>
      <c r="VA32" s="242">
        <f>SUMPRODUCT(PRODUCE!$B31:$DY31,PRODUCE!$EB$57:$IY$57)</f>
        <v>0</v>
      </c>
      <c r="VB32" s="56"/>
      <c r="VC32" s="242">
        <f t="shared" si="189"/>
        <v>0</v>
      </c>
      <c r="VD32" s="242">
        <f t="shared" si="190"/>
        <v>-319.59999999999997</v>
      </c>
      <c r="VE32" s="56"/>
      <c r="VH32" s="55">
        <f t="shared" si="191"/>
        <v>46049</v>
      </c>
      <c r="VI32" s="56"/>
      <c r="VJ32" s="242">
        <f>SUMPRODUCT(PRODUCE!$B31:$DY31,PRODUCE!$EB$57:$IY$57)</f>
        <v>0</v>
      </c>
      <c r="VK32" s="56"/>
      <c r="VL32" s="242">
        <f t="shared" si="192"/>
        <v>0</v>
      </c>
      <c r="VM32" s="242">
        <f t="shared" si="193"/>
        <v>0</v>
      </c>
      <c r="VN32" s="56"/>
      <c r="VQ32" s="55">
        <f t="shared" si="194"/>
        <v>46049</v>
      </c>
      <c r="VR32" s="56"/>
      <c r="VS32" s="242">
        <f>SUMPRODUCT(PRODUCE!$B31:$DY31,PRODUCE!$EB$57:$IY$57)</f>
        <v>0</v>
      </c>
      <c r="VT32" s="56"/>
      <c r="VU32" s="242">
        <f t="shared" si="195"/>
        <v>0</v>
      </c>
      <c r="VV32" s="242">
        <f t="shared" si="196"/>
        <v>0</v>
      </c>
      <c r="VW32" s="56"/>
      <c r="VZ32" s="55">
        <f t="shared" si="197"/>
        <v>46049</v>
      </c>
      <c r="WA32" s="56"/>
      <c r="WB32" s="242">
        <f>SUMPRODUCT(PRODUCE!$B31:$DY31,PRODUCE!$EB$57:$IY$57)</f>
        <v>0</v>
      </c>
      <c r="WC32" s="56"/>
      <c r="WD32" s="242">
        <f t="shared" si="198"/>
        <v>0</v>
      </c>
      <c r="WE32" s="242">
        <f t="shared" si="199"/>
        <v>0</v>
      </c>
      <c r="WF32" s="56"/>
      <c r="WI32" s="55">
        <f t="shared" si="200"/>
        <v>46049</v>
      </c>
      <c r="WJ32" s="56"/>
      <c r="WK32" s="242">
        <f>SUMPRODUCT(PRODUCE!$B31:$DY31,PRODUCE!$EB$57:$IY$57)</f>
        <v>0</v>
      </c>
      <c r="WL32" s="56"/>
      <c r="WM32" s="242">
        <f t="shared" si="201"/>
        <v>0</v>
      </c>
      <c r="WN32" s="242">
        <f t="shared" si="202"/>
        <v>9609</v>
      </c>
      <c r="WO32" s="56"/>
      <c r="WR32" s="55">
        <f t="shared" si="203"/>
        <v>46049</v>
      </c>
      <c r="WS32" s="56"/>
      <c r="WT32" s="242">
        <f>SUMPRODUCT(PRODUCE!$B31:$DY31,PRODUCE!$EB$57:$IY$57)</f>
        <v>0</v>
      </c>
      <c r="WU32" s="56"/>
      <c r="WV32" s="242">
        <f t="shared" si="204"/>
        <v>0</v>
      </c>
      <c r="WW32" s="242">
        <f t="shared" si="205"/>
        <v>8149</v>
      </c>
      <c r="WX32" s="56"/>
      <c r="XA32" s="55">
        <f t="shared" si="206"/>
        <v>46049</v>
      </c>
      <c r="XB32" s="56"/>
      <c r="XC32" s="242">
        <f>SUMPRODUCT(PRODUCE!$B31:$DY31,PRODUCE!$EB$57:$IY$57)</f>
        <v>0</v>
      </c>
      <c r="XD32" s="56">
        <v>887</v>
      </c>
      <c r="XE32" s="242">
        <f t="shared" si="207"/>
        <v>-887</v>
      </c>
      <c r="XF32" s="242">
        <f t="shared" si="208"/>
        <v>1836</v>
      </c>
      <c r="XG32" s="56"/>
      <c r="XJ32" s="55">
        <f t="shared" si="209"/>
        <v>46049</v>
      </c>
      <c r="XK32" s="56"/>
      <c r="XL32" s="242">
        <f>SUMPRODUCT(PRODUCE!$B31:$DY31,PRODUCE!$EB$57:$IY$57)</f>
        <v>0</v>
      </c>
      <c r="XM32" s="56">
        <v>590</v>
      </c>
      <c r="XN32" s="242">
        <f t="shared" si="210"/>
        <v>-590</v>
      </c>
      <c r="XO32" s="242">
        <f t="shared" si="211"/>
        <v>6240</v>
      </c>
      <c r="XP32" s="56"/>
      <c r="XS32" s="55">
        <f t="shared" si="212"/>
        <v>46049</v>
      </c>
      <c r="XT32" s="56"/>
      <c r="XU32" s="242">
        <f>SUMPRODUCT(PRODUCE!$B31:$DY31,PRODUCE!$EB$57:$IY$57)</f>
        <v>0</v>
      </c>
      <c r="XV32" s="56"/>
      <c r="XW32" s="242">
        <f t="shared" si="213"/>
        <v>0</v>
      </c>
      <c r="XX32" s="242">
        <f t="shared" si="214"/>
        <v>1901</v>
      </c>
      <c r="XY32" s="56"/>
      <c r="YB32" s="55">
        <f t="shared" si="215"/>
        <v>46049</v>
      </c>
      <c r="YC32" s="56"/>
      <c r="YD32" s="242">
        <f>SUMPRODUCT(PRODUCE!$B31:$DY31,PRODUCE!$EB$57:$IY$57)</f>
        <v>0</v>
      </c>
      <c r="YE32" s="56"/>
      <c r="YF32" s="242">
        <f t="shared" si="216"/>
        <v>0</v>
      </c>
      <c r="YG32" s="242">
        <f t="shared" si="217"/>
        <v>2152</v>
      </c>
      <c r="YH32" s="56"/>
      <c r="YK32" s="55">
        <f t="shared" si="218"/>
        <v>46049</v>
      </c>
      <c r="YL32" s="56"/>
      <c r="YM32" s="242">
        <f>SUMPRODUCT(PRODUCE!$B31:$DY31,PRODUCE!$EB$57:$IY$57)</f>
        <v>0</v>
      </c>
      <c r="YN32" s="56"/>
      <c r="YO32" s="242">
        <f t="shared" si="219"/>
        <v>0</v>
      </c>
      <c r="YP32" s="242">
        <f t="shared" si="220"/>
        <v>0</v>
      </c>
      <c r="YQ32" s="56"/>
      <c r="YT32" s="55">
        <f t="shared" si="221"/>
        <v>46049</v>
      </c>
      <c r="YU32" s="56"/>
      <c r="YV32" s="242">
        <f>SUMPRODUCT(PRODUCE!$B31:$DY31,PRODUCE!$EB$57:$IY$57)</f>
        <v>0</v>
      </c>
      <c r="YW32" s="56"/>
      <c r="YX32" s="242">
        <f t="shared" si="222"/>
        <v>0</v>
      </c>
      <c r="YY32" s="242">
        <f t="shared" si="223"/>
        <v>0</v>
      </c>
      <c r="YZ32" s="56"/>
      <c r="ZC32" s="55">
        <f t="shared" si="224"/>
        <v>46049</v>
      </c>
      <c r="ZD32" s="56"/>
      <c r="ZE32" s="242">
        <f>SUMPRODUCT(PRODUCE!$B31:$DY31,PRODUCE!$EB$57:$IY$57)</f>
        <v>0</v>
      </c>
      <c r="ZF32" s="56"/>
      <c r="ZG32" s="242">
        <f t="shared" si="225"/>
        <v>0</v>
      </c>
      <c r="ZH32" s="242">
        <f t="shared" si="226"/>
        <v>0</v>
      </c>
      <c r="ZI32" s="56"/>
      <c r="ZL32" s="55">
        <f t="shared" si="227"/>
        <v>46049</v>
      </c>
      <c r="ZM32" s="56"/>
      <c r="ZN32" s="242">
        <f>SUMPRODUCT(PRODUCE!$B31:$DY31,PRODUCE!$EB$57:$IY$57)</f>
        <v>0</v>
      </c>
      <c r="ZO32" s="56"/>
      <c r="ZP32" s="242">
        <f t="shared" si="228"/>
        <v>0</v>
      </c>
      <c r="ZQ32" s="242">
        <f t="shared" si="229"/>
        <v>0</v>
      </c>
      <c r="ZR32" s="56"/>
      <c r="ZU32" s="55">
        <f t="shared" si="230"/>
        <v>46049</v>
      </c>
      <c r="ZV32" s="56"/>
      <c r="ZW32" s="242">
        <f>SUMPRODUCT(PRODUCE!$B31:$DY31,PRODUCE!$EB$57:$IY$57)</f>
        <v>0</v>
      </c>
      <c r="ZX32" s="56"/>
      <c r="ZY32" s="242">
        <f t="shared" si="231"/>
        <v>0</v>
      </c>
      <c r="ZZ32" s="242">
        <f t="shared" si="232"/>
        <v>0</v>
      </c>
      <c r="AAA32" s="56"/>
      <c r="AAD32" s="55">
        <f t="shared" si="233"/>
        <v>46049</v>
      </c>
      <c r="AAE32" s="56"/>
      <c r="AAF32" s="242">
        <f>SUMPRODUCT(PRODUCE!$B31:$DY31,PRODUCE!$EB$57:$IY$57)</f>
        <v>0</v>
      </c>
      <c r="AAG32" s="56"/>
      <c r="AAH32" s="242">
        <f t="shared" si="234"/>
        <v>0</v>
      </c>
      <c r="AAI32" s="242">
        <f t="shared" si="235"/>
        <v>0</v>
      </c>
      <c r="AAJ32" s="56"/>
      <c r="AAM32" s="55">
        <f t="shared" si="236"/>
        <v>46049</v>
      </c>
      <c r="AAN32" s="56"/>
      <c r="AAO32" s="242">
        <f>SUMPRODUCT(PRODUCE!$B31:$DY31,PRODUCE!$EB$57:$IY$57)</f>
        <v>0</v>
      </c>
      <c r="AAP32" s="56"/>
      <c r="AAQ32" s="242">
        <f t="shared" si="237"/>
        <v>0</v>
      </c>
      <c r="AAR32" s="242">
        <f t="shared" si="238"/>
        <v>0</v>
      </c>
      <c r="AAS32" s="56"/>
      <c r="AAV32" s="55">
        <f t="shared" si="239"/>
        <v>46049</v>
      </c>
      <c r="AAW32" s="56"/>
      <c r="AAX32" s="242">
        <f>SUMPRODUCT(PRODUCE!$B31:$DY31,PRODUCE!$EB$57:$IY$57)</f>
        <v>0</v>
      </c>
      <c r="AAY32" s="56"/>
      <c r="AAZ32" s="242">
        <f t="shared" si="240"/>
        <v>0</v>
      </c>
      <c r="ABA32" s="242">
        <f t="shared" si="241"/>
        <v>0</v>
      </c>
      <c r="ABB32" s="56"/>
      <c r="ABE32" s="55">
        <f t="shared" si="242"/>
        <v>46049</v>
      </c>
      <c r="ABF32" s="56"/>
      <c r="ABG32" s="242">
        <f>SUMPRODUCT(PRODUCE!$B31:$DY31,PRODUCE!$EB$57:$IY$57)</f>
        <v>0</v>
      </c>
      <c r="ABH32" s="56"/>
      <c r="ABI32" s="242">
        <f t="shared" si="243"/>
        <v>0</v>
      </c>
      <c r="ABJ32" s="242">
        <f t="shared" si="244"/>
        <v>0</v>
      </c>
      <c r="ABK32" s="56"/>
    </row>
    <row r="33" spans="1:739" s="54" customFormat="1" ht="15" customHeight="1" outlineLevel="1">
      <c r="B33" s="478">
        <f>14+20</f>
        <v>34</v>
      </c>
      <c r="C33" s="55">
        <v>46050</v>
      </c>
      <c r="D33" s="422">
        <v>73420</v>
      </c>
      <c r="E33" s="423">
        <f>SUMPRODUCT(PRODUCE!$B32:$DY32,PRODUCE!$EB$7:$IY$7)</f>
        <v>18255</v>
      </c>
      <c r="F33" s="422">
        <v>18253.8</v>
      </c>
      <c r="G33" s="423">
        <f t="shared" si="2"/>
        <v>1.2000000000007276</v>
      </c>
      <c r="H33" s="423">
        <f t="shared" si="0"/>
        <v>109501.59999999999</v>
      </c>
      <c r="I33" s="324" t="s">
        <v>193</v>
      </c>
      <c r="L33" s="55">
        <f t="shared" si="1"/>
        <v>46050</v>
      </c>
      <c r="M33" s="422">
        <v>24530</v>
      </c>
      <c r="N33" s="438">
        <f>SUMPRODUCT(PRODUCE!$B32:$DY32,PRODUCE!$EB$8:$IY$8)</f>
        <v>9485.9999999999982</v>
      </c>
      <c r="O33" s="422">
        <v>9476.7999999999993</v>
      </c>
      <c r="P33" s="438">
        <f t="shared" si="3"/>
        <v>9.1999999999989086</v>
      </c>
      <c r="Q33" s="438">
        <f t="shared" si="4"/>
        <v>38451.399999999994</v>
      </c>
      <c r="R33" s="56"/>
      <c r="U33" s="55">
        <f t="shared" si="5"/>
        <v>46050</v>
      </c>
      <c r="V33" s="422"/>
      <c r="W33" s="440">
        <f>SUMPRODUCT(PRODUCE!$B32:$DY32,PRODUCE!$EB$9:$IY$9)</f>
        <v>1700</v>
      </c>
      <c r="X33" s="422">
        <v>1700.6</v>
      </c>
      <c r="Y33" s="440">
        <f t="shared" si="6"/>
        <v>-0.59999999999990905</v>
      </c>
      <c r="Z33" s="440">
        <f t="shared" si="7"/>
        <v>55566.699999999983</v>
      </c>
      <c r="AA33" s="56"/>
      <c r="AD33" s="55">
        <f t="shared" si="8"/>
        <v>46050</v>
      </c>
      <c r="AE33" s="422"/>
      <c r="AF33" s="442">
        <f>SUMPRODUCT(PRODUCE!$B32:$DY32,PRODUCE!$EB$10:$IY$10)</f>
        <v>1700</v>
      </c>
      <c r="AG33" s="422">
        <v>1700.8</v>
      </c>
      <c r="AH33" s="442">
        <f t="shared" si="9"/>
        <v>-0.79999999999995453</v>
      </c>
      <c r="AI33" s="442">
        <f t="shared" si="10"/>
        <v>57994.500000000007</v>
      </c>
      <c r="AJ33" s="56"/>
      <c r="AM33" s="55">
        <f t="shared" si="11"/>
        <v>46050</v>
      </c>
      <c r="AN33" s="422"/>
      <c r="AO33" s="444">
        <f>SUMPRODUCT(PRODUCE!$B32:$DY32,PRODUCE!$EB$11:$IY$11)</f>
        <v>0</v>
      </c>
      <c r="AP33" s="422"/>
      <c r="AQ33" s="444">
        <f t="shared" si="12"/>
        <v>0</v>
      </c>
      <c r="AR33" s="444">
        <f t="shared" si="13"/>
        <v>0</v>
      </c>
      <c r="AS33" s="56"/>
      <c r="AV33" s="55">
        <f t="shared" si="14"/>
        <v>46050</v>
      </c>
      <c r="AW33" s="422"/>
      <c r="AX33" s="446">
        <f>SUMPRODUCT(PRODUCE!$B32:$DY32,PRODUCE!$EB$12:$IY$12)</f>
        <v>680</v>
      </c>
      <c r="AY33" s="422">
        <v>679.7</v>
      </c>
      <c r="AZ33" s="446">
        <f t="shared" si="15"/>
        <v>0.29999999999995453</v>
      </c>
      <c r="BA33" s="446">
        <f t="shared" si="16"/>
        <v>35264.69999999999</v>
      </c>
      <c r="BB33" s="56"/>
      <c r="BE33" s="55">
        <f t="shared" si="17"/>
        <v>46050</v>
      </c>
      <c r="BF33" s="422"/>
      <c r="BG33" s="448">
        <f>SUMPRODUCT(PRODUCE!$B32:$DY32,PRODUCE!$EB$13:$IY$13)</f>
        <v>680</v>
      </c>
      <c r="BH33" s="422">
        <v>680.5</v>
      </c>
      <c r="BI33" s="448">
        <f t="shared" si="18"/>
        <v>-0.5</v>
      </c>
      <c r="BJ33" s="448">
        <f t="shared" si="19"/>
        <v>22618.800000000007</v>
      </c>
      <c r="BK33" s="56"/>
      <c r="BN33" s="55">
        <f t="shared" si="20"/>
        <v>46050</v>
      </c>
      <c r="BO33" s="422">
        <v>680</v>
      </c>
      <c r="BP33" s="450">
        <f>SUMPRODUCT(PRODUCE!$B32:$DY32,PRODUCE!$EB$14:$IY$14)</f>
        <v>680</v>
      </c>
      <c r="BQ33" s="422">
        <v>680</v>
      </c>
      <c r="BR33" s="450">
        <f t="shared" si="21"/>
        <v>0</v>
      </c>
      <c r="BS33" s="450">
        <f t="shared" si="22"/>
        <v>0</v>
      </c>
      <c r="BT33" s="56"/>
      <c r="BW33" s="55">
        <f t="shared" si="23"/>
        <v>46050</v>
      </c>
      <c r="BX33" s="56"/>
      <c r="BY33" s="65">
        <f>SUMPRODUCT(PRODUCE!$B32:$DY32,PRODUCE!$EB$15:$IY$15)</f>
        <v>0</v>
      </c>
      <c r="BZ33" s="56"/>
      <c r="CA33" s="65">
        <f t="shared" si="24"/>
        <v>0</v>
      </c>
      <c r="CB33" s="65">
        <f t="shared" si="25"/>
        <v>3284.5</v>
      </c>
      <c r="CC33" s="56"/>
      <c r="CF33" s="55">
        <f t="shared" si="26"/>
        <v>46050</v>
      </c>
      <c r="CG33" s="56"/>
      <c r="CH33" s="66">
        <f>SUMPRODUCT(PRODUCE!$B32:$DY32,PRODUCE!$EB$16:$IY$16)</f>
        <v>0</v>
      </c>
      <c r="CI33" s="56"/>
      <c r="CJ33" s="66">
        <f t="shared" si="27"/>
        <v>0</v>
      </c>
      <c r="CK33" s="66">
        <f t="shared" si="28"/>
        <v>0</v>
      </c>
      <c r="CL33" s="56"/>
      <c r="CO33" s="55">
        <f t="shared" si="29"/>
        <v>46050</v>
      </c>
      <c r="CP33" s="422"/>
      <c r="CQ33" s="470">
        <f>SUMPRODUCT(PRODUCE!$B32:$DY32,PRODUCE!$EB$17:$IY$17)</f>
        <v>0</v>
      </c>
      <c r="CR33" s="422"/>
      <c r="CS33" s="470">
        <f t="shared" si="30"/>
        <v>0</v>
      </c>
      <c r="CT33" s="470">
        <f t="shared" si="31"/>
        <v>0</v>
      </c>
      <c r="CU33" s="56"/>
      <c r="CX33" s="55">
        <f t="shared" si="32"/>
        <v>46050</v>
      </c>
      <c r="CY33" s="56"/>
      <c r="CZ33" s="133">
        <f>SUMPRODUCT(PRODUCE!$B32:$DY32,PRODUCE!$EB$18:$IY$18)</f>
        <v>0</v>
      </c>
      <c r="DA33" s="56"/>
      <c r="DB33" s="133">
        <f t="shared" si="33"/>
        <v>0</v>
      </c>
      <c r="DC33" s="133">
        <f t="shared" si="34"/>
        <v>0</v>
      </c>
      <c r="DD33" s="56"/>
      <c r="DG33" s="55">
        <f t="shared" si="35"/>
        <v>46050</v>
      </c>
      <c r="DH33" s="56"/>
      <c r="DI33" s="147">
        <f>SUMPRODUCT(PRODUCE!$B32:$DY32,PRODUCE!$EB$19:$IY$19)</f>
        <v>0</v>
      </c>
      <c r="DJ33" s="56"/>
      <c r="DK33" s="147">
        <f t="shared" si="36"/>
        <v>0</v>
      </c>
      <c r="DL33" s="147">
        <f t="shared" si="37"/>
        <v>22172.799999999996</v>
      </c>
      <c r="DM33" s="56"/>
      <c r="DP33" s="55">
        <f t="shared" si="38"/>
        <v>46050</v>
      </c>
      <c r="DQ33" s="56"/>
      <c r="DR33" s="57">
        <f>SUMPRODUCT(PRODUCE!$B32:$DY32,PRODUCE!$EB$20:$IY$20)</f>
        <v>0</v>
      </c>
      <c r="DS33" s="56"/>
      <c r="DT33" s="57">
        <f t="shared" si="39"/>
        <v>0</v>
      </c>
      <c r="DU33" s="57">
        <f t="shared" si="40"/>
        <v>0</v>
      </c>
      <c r="DV33" s="56"/>
      <c r="DY33" s="55">
        <f t="shared" si="41"/>
        <v>46050</v>
      </c>
      <c r="DZ33" s="56"/>
      <c r="EA33" s="157">
        <f>SUMPRODUCT(PRODUCE!$B32:$DY32,PRODUCE!$EB$21:$IY$21)</f>
        <v>0</v>
      </c>
      <c r="EB33" s="56"/>
      <c r="EC33" s="157">
        <f t="shared" si="42"/>
        <v>0</v>
      </c>
      <c r="ED33" s="157">
        <f t="shared" si="43"/>
        <v>0</v>
      </c>
      <c r="EE33" s="56"/>
      <c r="EH33" s="55">
        <f t="shared" si="44"/>
        <v>46050</v>
      </c>
      <c r="EI33" s="56"/>
      <c r="EJ33" s="162">
        <f>SUMPRODUCT(PRODUCE!$B32:$DY32,PRODUCE!$EB$22:$IY$22)</f>
        <v>0</v>
      </c>
      <c r="EK33" s="56"/>
      <c r="EL33" s="162">
        <f t="shared" si="45"/>
        <v>0</v>
      </c>
      <c r="EM33" s="162">
        <f t="shared" si="46"/>
        <v>0</v>
      </c>
      <c r="EN33" s="56"/>
      <c r="EQ33" s="55">
        <f t="shared" si="47"/>
        <v>46050</v>
      </c>
      <c r="ER33" s="56"/>
      <c r="ES33" s="135">
        <f>SUMPRODUCT(PRODUCE!$B32:$DY32,PRODUCE!$EB$23:$IY$23)</f>
        <v>0</v>
      </c>
      <c r="ET33" s="56"/>
      <c r="EU33" s="135">
        <f t="shared" si="48"/>
        <v>0</v>
      </c>
      <c r="EV33" s="135">
        <f t="shared" si="49"/>
        <v>0</v>
      </c>
      <c r="EW33" s="56"/>
      <c r="EZ33" s="55">
        <f t="shared" si="50"/>
        <v>46050</v>
      </c>
      <c r="FA33" s="56"/>
      <c r="FB33" s="175">
        <f>SUMPRODUCT(PRODUCE!$B32:$DY32,PRODUCE!$EB$24:$IY$24)</f>
        <v>0</v>
      </c>
      <c r="FC33" s="56"/>
      <c r="FD33" s="175">
        <f t="shared" si="51"/>
        <v>0</v>
      </c>
      <c r="FE33" s="175">
        <f t="shared" si="52"/>
        <v>0</v>
      </c>
      <c r="FF33" s="56"/>
      <c r="FI33" s="55">
        <f t="shared" si="53"/>
        <v>46050</v>
      </c>
      <c r="FJ33" s="56"/>
      <c r="FK33" s="183">
        <f>SUMPRODUCT(PRODUCE!$B32:$DY32,PRODUCE!$EB$25:$IY$25)</f>
        <v>0</v>
      </c>
      <c r="FL33" s="56"/>
      <c r="FM33" s="183">
        <f t="shared" si="54"/>
        <v>0</v>
      </c>
      <c r="FN33" s="183">
        <f t="shared" si="55"/>
        <v>0</v>
      </c>
      <c r="FO33" s="56"/>
      <c r="FR33" s="55">
        <f t="shared" si="56"/>
        <v>46050</v>
      </c>
      <c r="FS33" s="422"/>
      <c r="FT33" s="452">
        <f>SUMPRODUCT(PRODUCE!$B32:$DY32,PRODUCE!$EB$26:$IY$26)</f>
        <v>0</v>
      </c>
      <c r="FU33" s="422"/>
      <c r="FV33" s="452">
        <f t="shared" si="57"/>
        <v>0</v>
      </c>
      <c r="FW33" s="452">
        <f t="shared" si="58"/>
        <v>3540</v>
      </c>
      <c r="FX33" s="56"/>
      <c r="GA33" s="55">
        <f t="shared" si="59"/>
        <v>46050</v>
      </c>
      <c r="GB33" s="422"/>
      <c r="GC33" s="454">
        <f>SUMPRODUCT(PRODUCE!$B32:$DY32,PRODUCE!$EB$27:$IY$27)</f>
        <v>0</v>
      </c>
      <c r="GD33" s="422"/>
      <c r="GE33" s="454">
        <f t="shared" si="60"/>
        <v>0</v>
      </c>
      <c r="GF33" s="454">
        <f t="shared" si="61"/>
        <v>1960</v>
      </c>
      <c r="GG33" s="56"/>
      <c r="GI33" s="23"/>
      <c r="GJ33" s="55">
        <f t="shared" si="62"/>
        <v>46050</v>
      </c>
      <c r="GK33" s="422"/>
      <c r="GL33" s="456">
        <f>SUMPRODUCT(PRODUCE!$B32:$DY32,PRODUCE!$EB$28:$IY$28)</f>
        <v>0</v>
      </c>
      <c r="GM33" s="422"/>
      <c r="GN33" s="456">
        <f t="shared" si="63"/>
        <v>0</v>
      </c>
      <c r="GO33" s="456">
        <f t="shared" si="64"/>
        <v>4440</v>
      </c>
      <c r="GP33" s="56"/>
      <c r="GS33" s="55">
        <f t="shared" si="65"/>
        <v>46050</v>
      </c>
      <c r="GT33" s="56"/>
      <c r="GU33" s="195">
        <f>SUMPRODUCT(PRODUCE!$B32:$DY32,PRODUCE!$EB$29:$IY$29)</f>
        <v>0</v>
      </c>
      <c r="GV33" s="56"/>
      <c r="GW33" s="195">
        <f t="shared" si="66"/>
        <v>0</v>
      </c>
      <c r="GX33" s="195">
        <f t="shared" si="67"/>
        <v>0</v>
      </c>
      <c r="GY33" s="56"/>
      <c r="HB33" s="55">
        <f t="shared" si="68"/>
        <v>46050</v>
      </c>
      <c r="HC33" s="56"/>
      <c r="HD33" s="191">
        <f>SUMPRODUCT(PRODUCE!$B32:$DY32,PRODUCE!$EB$30:$IY$30)</f>
        <v>0</v>
      </c>
      <c r="HE33" s="56"/>
      <c r="HF33" s="191">
        <f t="shared" si="69"/>
        <v>0</v>
      </c>
      <c r="HG33" s="191">
        <f t="shared" si="70"/>
        <v>0</v>
      </c>
      <c r="HH33" s="56"/>
      <c r="HK33" s="55">
        <f t="shared" si="71"/>
        <v>46050</v>
      </c>
      <c r="HL33" s="56"/>
      <c r="HM33" s="63">
        <f>SUMPRODUCT(PRODUCE!$B32:$DY32,PRODUCE!$EB$31:$IY$31)</f>
        <v>0</v>
      </c>
      <c r="HN33" s="56"/>
      <c r="HO33" s="63">
        <f t="shared" si="72"/>
        <v>0</v>
      </c>
      <c r="HP33" s="63">
        <f t="shared" si="73"/>
        <v>0</v>
      </c>
      <c r="HQ33" s="56"/>
      <c r="HU33" s="55">
        <f t="shared" si="74"/>
        <v>46050</v>
      </c>
      <c r="HV33" s="56"/>
      <c r="HW33" s="242">
        <f>SUMPRODUCT(PRODUCE!$B32:$DY32,PRODUCE!$EB$32:$IY$32)</f>
        <v>0</v>
      </c>
      <c r="HX33" s="56"/>
      <c r="HY33" s="242">
        <f t="shared" si="75"/>
        <v>0</v>
      </c>
      <c r="HZ33" s="242">
        <f t="shared" si="76"/>
        <v>1440</v>
      </c>
      <c r="IA33" s="56"/>
      <c r="ID33" s="55">
        <f t="shared" si="77"/>
        <v>46050</v>
      </c>
      <c r="IE33" s="56"/>
      <c r="IF33" s="242">
        <f>SUMPRODUCT(PRODUCE!$B32:$DY32,PRODUCE!$EB$33:$IY$33)</f>
        <v>0</v>
      </c>
      <c r="IG33" s="56"/>
      <c r="IH33" s="242">
        <f t="shared" si="78"/>
        <v>0</v>
      </c>
      <c r="II33" s="242">
        <f t="shared" si="79"/>
        <v>5100</v>
      </c>
      <c r="IJ33" s="56"/>
      <c r="IM33" s="55">
        <f t="shared" si="80"/>
        <v>46050</v>
      </c>
      <c r="IN33" s="56"/>
      <c r="IO33" s="242">
        <f>SUMPRODUCT(PRODUCE!$B32:$DY32,PRODUCE!$EB$34:$IY$34)</f>
        <v>680</v>
      </c>
      <c r="IP33" s="56"/>
      <c r="IQ33" s="242">
        <f t="shared" si="81"/>
        <v>680</v>
      </c>
      <c r="IR33" s="242">
        <f t="shared" si="82"/>
        <v>12640</v>
      </c>
      <c r="IS33" s="56"/>
      <c r="IV33" s="55">
        <f t="shared" si="83"/>
        <v>46050</v>
      </c>
      <c r="IW33" s="56"/>
      <c r="IX33" s="242">
        <f>SUMPRODUCT(PRODUCE!$B32:$DY32,PRODUCE!$EB$35:$IY$35)</f>
        <v>0</v>
      </c>
      <c r="IY33" s="56"/>
      <c r="IZ33" s="242">
        <f t="shared" si="84"/>
        <v>0</v>
      </c>
      <c r="JA33" s="242">
        <f t="shared" si="85"/>
        <v>9120</v>
      </c>
      <c r="JB33" s="56"/>
      <c r="JE33" s="55">
        <f t="shared" si="86"/>
        <v>46050</v>
      </c>
      <c r="JF33" s="56"/>
      <c r="JG33" s="242">
        <f>SUMPRODUCT(PRODUCE!$B32:$DY32,PRODUCE!$EB$36:$IY$36)</f>
        <v>0</v>
      </c>
      <c r="JH33" s="56"/>
      <c r="JI33" s="242">
        <f t="shared" si="87"/>
        <v>0</v>
      </c>
      <c r="JJ33" s="242">
        <f t="shared" si="88"/>
        <v>6800</v>
      </c>
      <c r="JK33" s="56"/>
      <c r="JN33" s="55">
        <f t="shared" si="89"/>
        <v>46050</v>
      </c>
      <c r="JO33" s="56"/>
      <c r="JP33" s="242">
        <f>SUMPRODUCT(PRODUCE!$B32:$DY32,PRODUCE!$EB$37:$IY$37)</f>
        <v>0</v>
      </c>
      <c r="JQ33" s="56"/>
      <c r="JR33" s="242">
        <f t="shared" si="90"/>
        <v>0</v>
      </c>
      <c r="JS33" s="242">
        <f t="shared" si="91"/>
        <v>5400</v>
      </c>
      <c r="JT33" s="56"/>
      <c r="JW33" s="55">
        <f t="shared" si="92"/>
        <v>46050</v>
      </c>
      <c r="JX33" s="56"/>
      <c r="JY33" s="242">
        <f>SUMPRODUCT(PRODUCE!$B32:$DY32,PRODUCE!$EB$38:$IY$38)</f>
        <v>0</v>
      </c>
      <c r="JZ33" s="56"/>
      <c r="KA33" s="242">
        <f t="shared" si="93"/>
        <v>0</v>
      </c>
      <c r="KB33" s="242">
        <f t="shared" si="94"/>
        <v>0</v>
      </c>
      <c r="KC33" s="56"/>
      <c r="KF33" s="55">
        <f t="shared" si="95"/>
        <v>46050</v>
      </c>
      <c r="KG33" s="56"/>
      <c r="KH33" s="242">
        <f>SUMPRODUCT(PRODUCE!$B32:$DY32,PRODUCE!$EB$39:$IY$39)</f>
        <v>0</v>
      </c>
      <c r="KI33" s="56"/>
      <c r="KJ33" s="242">
        <f t="shared" si="96"/>
        <v>0</v>
      </c>
      <c r="KK33" s="242">
        <f t="shared" si="97"/>
        <v>0</v>
      </c>
      <c r="KL33" s="56"/>
      <c r="KO33" s="55">
        <f t="shared" si="98"/>
        <v>46050</v>
      </c>
      <c r="KP33" s="56"/>
      <c r="KQ33" s="242">
        <f>SUMPRODUCT(PRODUCE!$B32:$DY32,PRODUCE!$EB$40:$IY$40)</f>
        <v>0</v>
      </c>
      <c r="KR33" s="56"/>
      <c r="KS33" s="242">
        <f t="shared" si="99"/>
        <v>0</v>
      </c>
      <c r="KT33" s="242">
        <f t="shared" si="100"/>
        <v>0</v>
      </c>
      <c r="KU33" s="56"/>
      <c r="KW33" s="23"/>
      <c r="KX33" s="55">
        <f t="shared" si="101"/>
        <v>46050</v>
      </c>
      <c r="KY33" s="56"/>
      <c r="KZ33" s="242">
        <f>SUMPRODUCT(PRODUCE!$B32:$DY32,PRODUCE!$EB$41:$IY$41)</f>
        <v>0</v>
      </c>
      <c r="LA33" s="56"/>
      <c r="LB33" s="242">
        <f t="shared" si="102"/>
        <v>0</v>
      </c>
      <c r="LC33" s="242">
        <f t="shared" si="103"/>
        <v>0</v>
      </c>
      <c r="LD33" s="56"/>
      <c r="LG33" s="55">
        <f t="shared" si="104"/>
        <v>46050</v>
      </c>
      <c r="LH33" s="56"/>
      <c r="LI33" s="242">
        <f>SUMPRODUCT(PRODUCE!$B32:$DY32,PRODUCE!$EB$42:$IY$42)</f>
        <v>0</v>
      </c>
      <c r="LJ33" s="56"/>
      <c r="LK33" s="242">
        <f t="shared" si="105"/>
        <v>0</v>
      </c>
      <c r="LL33" s="242">
        <f t="shared" si="106"/>
        <v>0</v>
      </c>
      <c r="LM33" s="56"/>
      <c r="LP33" s="55">
        <f t="shared" si="107"/>
        <v>46050</v>
      </c>
      <c r="LQ33" s="56"/>
      <c r="LR33" s="242">
        <f>SUMPRODUCT(PRODUCE!$B32:$DY32,PRODUCE!$EB$43:$IY$43)</f>
        <v>0</v>
      </c>
      <c r="LS33" s="56"/>
      <c r="LT33" s="242">
        <f t="shared" si="108"/>
        <v>0</v>
      </c>
      <c r="LU33" s="242">
        <f t="shared" si="109"/>
        <v>0</v>
      </c>
      <c r="LV33" s="56"/>
      <c r="LY33" s="55">
        <f t="shared" si="110"/>
        <v>46050</v>
      </c>
      <c r="LZ33" s="56"/>
      <c r="MA33" s="242">
        <f>SUMPRODUCT(PRODUCE!$B32:$DY32,PRODUCE!$EB$44:$IY$44)</f>
        <v>0</v>
      </c>
      <c r="MB33" s="56"/>
      <c r="MC33" s="242">
        <f t="shared" si="111"/>
        <v>0</v>
      </c>
      <c r="MD33" s="242">
        <f t="shared" si="112"/>
        <v>0</v>
      </c>
      <c r="ME33" s="56"/>
      <c r="MH33" s="55">
        <f t="shared" si="113"/>
        <v>46050</v>
      </c>
      <c r="MI33" s="56"/>
      <c r="MJ33" s="242">
        <f>SUMPRODUCT(PRODUCE!$B32:$DY32,PRODUCE!$EB$45:$IY$45)</f>
        <v>0</v>
      </c>
      <c r="MK33" s="56"/>
      <c r="ML33" s="242">
        <f t="shared" si="114"/>
        <v>0</v>
      </c>
      <c r="MM33" s="242">
        <f t="shared" si="115"/>
        <v>0</v>
      </c>
      <c r="MN33" s="56"/>
      <c r="MQ33" s="55">
        <f t="shared" si="116"/>
        <v>46050</v>
      </c>
      <c r="MR33" s="56"/>
      <c r="MS33" s="242">
        <f>SUMPRODUCT(PRODUCE!$B32:$DY32,PRODUCE!$EB$46:$IY$46)</f>
        <v>17</v>
      </c>
      <c r="MT33" s="56"/>
      <c r="MU33" s="242">
        <f t="shared" si="117"/>
        <v>17</v>
      </c>
      <c r="MV33" s="242">
        <f t="shared" si="118"/>
        <v>2059</v>
      </c>
      <c r="MW33" s="56"/>
      <c r="MZ33" s="55">
        <f t="shared" si="119"/>
        <v>46050</v>
      </c>
      <c r="NA33" s="56"/>
      <c r="NB33" s="242">
        <f>SUMPRODUCT(PRODUCE!$B32:$DY32,PRODUCE!$EB$47:$IY$47)</f>
        <v>102</v>
      </c>
      <c r="NC33" s="56"/>
      <c r="ND33" s="242">
        <f t="shared" si="120"/>
        <v>102</v>
      </c>
      <c r="NE33" s="242">
        <f t="shared" si="121"/>
        <v>0</v>
      </c>
      <c r="NF33" s="56"/>
      <c r="NI33" s="55">
        <f t="shared" si="122"/>
        <v>46050</v>
      </c>
      <c r="NJ33" s="56"/>
      <c r="NK33" s="242">
        <f>SUMPRODUCT(PRODUCE!$B32:$DY32,PRODUCE!$EB$48:$IY$48)</f>
        <v>0</v>
      </c>
      <c r="NL33" s="56"/>
      <c r="NM33" s="242">
        <f t="shared" si="123"/>
        <v>0</v>
      </c>
      <c r="NN33" s="242">
        <f t="shared" si="124"/>
        <v>0</v>
      </c>
      <c r="NO33" s="56"/>
      <c r="NR33" s="55">
        <f t="shared" si="125"/>
        <v>46050</v>
      </c>
      <c r="NS33" s="56"/>
      <c r="NT33" s="242">
        <f>SUMPRODUCT(PRODUCE!$B32:$DY32,PRODUCE!$EB$49:$IY$49)</f>
        <v>0</v>
      </c>
      <c r="NU33" s="56"/>
      <c r="NV33" s="242">
        <f t="shared" si="126"/>
        <v>0</v>
      </c>
      <c r="NW33" s="242">
        <f t="shared" si="127"/>
        <v>0</v>
      </c>
      <c r="NX33" s="56"/>
      <c r="OA33" s="55">
        <f t="shared" si="128"/>
        <v>46050</v>
      </c>
      <c r="OB33" s="56"/>
      <c r="OC33" s="242">
        <f>SUMPRODUCT(PRODUCE!$B32:$DY32,PRODUCE!$EB$50:$IY$50)</f>
        <v>20</v>
      </c>
      <c r="OD33" s="56"/>
      <c r="OE33" s="242">
        <f t="shared" si="129"/>
        <v>20</v>
      </c>
      <c r="OF33" s="242">
        <f t="shared" si="130"/>
        <v>1680.5</v>
      </c>
      <c r="OG33" s="56"/>
      <c r="OJ33" s="55">
        <f t="shared" si="131"/>
        <v>46050</v>
      </c>
      <c r="OK33" s="56"/>
      <c r="OL33" s="242">
        <f>SUMPRODUCT(PRODUCE!$B32:$DY32,PRODUCE!$EB$51:$IY$51)</f>
        <v>0</v>
      </c>
      <c r="OM33" s="56"/>
      <c r="ON33" s="242">
        <f t="shared" si="132"/>
        <v>0</v>
      </c>
      <c r="OO33" s="242">
        <f t="shared" si="133"/>
        <v>0</v>
      </c>
      <c r="OP33" s="56"/>
      <c r="OS33" s="55">
        <f t="shared" si="134"/>
        <v>46050</v>
      </c>
      <c r="OT33" s="56"/>
      <c r="OU33" s="242">
        <f>SUMPRODUCT(PRODUCE!$B32:$DY32,PRODUCE!$EB$52:$IY$52)</f>
        <v>0</v>
      </c>
      <c r="OV33" s="56"/>
      <c r="OW33" s="242">
        <f t="shared" si="135"/>
        <v>0</v>
      </c>
      <c r="OX33" s="242">
        <f t="shared" si="136"/>
        <v>67</v>
      </c>
      <c r="OY33" s="56"/>
      <c r="PB33" s="55">
        <f t="shared" si="137"/>
        <v>46050</v>
      </c>
      <c r="PC33" s="56"/>
      <c r="PD33" s="242">
        <f>SUMPRODUCT(PRODUCE!$B32:$DY32,PRODUCE!$EB$53:$IY$53)</f>
        <v>0</v>
      </c>
      <c r="PE33" s="56"/>
      <c r="PF33" s="242">
        <f t="shared" si="138"/>
        <v>0</v>
      </c>
      <c r="PG33" s="242">
        <f t="shared" si="139"/>
        <v>0</v>
      </c>
      <c r="PH33" s="56"/>
      <c r="PK33" s="55">
        <f t="shared" si="140"/>
        <v>46050</v>
      </c>
      <c r="PL33" s="56"/>
      <c r="PM33" s="242">
        <f>SUMPRODUCT(PRODUCE!$B32:$DY32,PRODUCE!$EB$54:$IY$54)</f>
        <v>0</v>
      </c>
      <c r="PN33" s="56"/>
      <c r="PO33" s="242">
        <f t="shared" si="141"/>
        <v>0</v>
      </c>
      <c r="PP33" s="242">
        <f t="shared" si="142"/>
        <v>160</v>
      </c>
      <c r="PQ33" s="56"/>
      <c r="PT33" s="55">
        <f t="shared" si="143"/>
        <v>46050</v>
      </c>
      <c r="PU33" s="56"/>
      <c r="PV33" s="242">
        <f>SUMPRODUCT(PRODUCE!$B32:$DY32,PRODUCE!$EB$55:$IY$55)</f>
        <v>0</v>
      </c>
      <c r="PW33" s="56"/>
      <c r="PX33" s="242">
        <f t="shared" si="144"/>
        <v>0</v>
      </c>
      <c r="PY33" s="242">
        <f t="shared" si="145"/>
        <v>13.960000000000036</v>
      </c>
      <c r="PZ33" s="56"/>
      <c r="QC33" s="55">
        <f t="shared" si="146"/>
        <v>46050</v>
      </c>
      <c r="QD33" s="56"/>
      <c r="QE33" s="242">
        <f>SUMPRODUCT(PRODUCE!$B32:$DY32,PRODUCE!$EB$56:$IY$56)</f>
        <v>0</v>
      </c>
      <c r="QF33" s="56"/>
      <c r="QG33" s="242">
        <f t="shared" si="147"/>
        <v>0</v>
      </c>
      <c r="QH33" s="242">
        <f t="shared" si="148"/>
        <v>0</v>
      </c>
      <c r="QI33" s="56"/>
      <c r="QL33" s="55">
        <f t="shared" si="149"/>
        <v>46050</v>
      </c>
      <c r="QM33" s="56"/>
      <c r="QN33" s="242">
        <f>SUMPRODUCT(PRODUCE!$B32:$DY32,PRODUCE!$EB$57:$IY$57)</f>
        <v>0</v>
      </c>
      <c r="QO33" s="56"/>
      <c r="QP33" s="242">
        <f t="shared" si="150"/>
        <v>0</v>
      </c>
      <c r="QQ33" s="242">
        <f t="shared" si="151"/>
        <v>0</v>
      </c>
      <c r="QR33" s="56"/>
      <c r="QU33" s="55">
        <f t="shared" si="152"/>
        <v>46050</v>
      </c>
      <c r="QV33" s="56"/>
      <c r="QW33" s="242">
        <f>SUMPRODUCT(PRODUCE!$B32:$DY32,PRODUCE!$EB$57:$IY$57)</f>
        <v>0</v>
      </c>
      <c r="QX33" s="56"/>
      <c r="QY33" s="242">
        <f t="shared" si="153"/>
        <v>0</v>
      </c>
      <c r="QZ33" s="242">
        <f t="shared" si="154"/>
        <v>207.6</v>
      </c>
      <c r="RA33" s="56"/>
      <c r="RD33" s="55">
        <f t="shared" si="155"/>
        <v>46050</v>
      </c>
      <c r="RE33" s="56"/>
      <c r="RF33" s="242">
        <f>SUMPRODUCT(PRODUCE!$B32:$DY32,PRODUCE!$EB$58:$IY$58)</f>
        <v>0</v>
      </c>
      <c r="RG33" s="56"/>
      <c r="RH33" s="242">
        <f t="shared" si="156"/>
        <v>0</v>
      </c>
      <c r="RI33" s="242">
        <f t="shared" si="157"/>
        <v>201.8</v>
      </c>
      <c r="RJ33" s="56"/>
      <c r="RM33" s="55">
        <f t="shared" si="158"/>
        <v>46050</v>
      </c>
      <c r="RN33" s="56"/>
      <c r="RO33" s="242">
        <f>SUMPRODUCT(PRODUCE!$B32:$DY32,PRODUCE!$EB$59:$IY$59)</f>
        <v>0</v>
      </c>
      <c r="RP33" s="56"/>
      <c r="RQ33" s="242">
        <f t="shared" si="159"/>
        <v>0</v>
      </c>
      <c r="RR33" s="242">
        <f t="shared" si="160"/>
        <v>22.720000000000002</v>
      </c>
      <c r="RS33" s="56"/>
      <c r="RV33" s="55">
        <f t="shared" si="161"/>
        <v>46050</v>
      </c>
      <c r="RW33" s="56"/>
      <c r="RX33" s="242">
        <f>SUMPRODUCT(PRODUCE!$B32:$DY32,PRODUCE!$EB$57:$IY$57)</f>
        <v>0</v>
      </c>
      <c r="RY33" s="56"/>
      <c r="RZ33" s="242">
        <f t="shared" si="162"/>
        <v>0</v>
      </c>
      <c r="SA33" s="242">
        <f t="shared" si="163"/>
        <v>0</v>
      </c>
      <c r="SB33" s="56"/>
      <c r="SE33" s="55">
        <f t="shared" si="164"/>
        <v>46050</v>
      </c>
      <c r="SF33" s="56"/>
      <c r="SG33" s="242">
        <f>SUMPRODUCT(PRODUCE!$B32:$DY32,PRODUCE!$EB$61:$IY$61)</f>
        <v>0</v>
      </c>
      <c r="SH33" s="56"/>
      <c r="SI33" s="242">
        <f t="shared" si="165"/>
        <v>0</v>
      </c>
      <c r="SJ33" s="242">
        <f t="shared" si="166"/>
        <v>0</v>
      </c>
      <c r="SK33" s="56"/>
      <c r="SN33" s="55">
        <f t="shared" si="167"/>
        <v>46050</v>
      </c>
      <c r="SO33" s="56"/>
      <c r="SP33" s="242">
        <f>SUMPRODUCT(PRODUCE!$B32:$DY32,PRODUCE!$EB$57:$IY$57)</f>
        <v>0</v>
      </c>
      <c r="SQ33" s="56"/>
      <c r="SR33" s="242">
        <f t="shared" si="168"/>
        <v>0</v>
      </c>
      <c r="SS33" s="242">
        <f t="shared" si="169"/>
        <v>0</v>
      </c>
      <c r="ST33" s="56"/>
      <c r="SW33" s="55">
        <f t="shared" si="170"/>
        <v>46050</v>
      </c>
      <c r="SX33" s="56"/>
      <c r="SY33" s="242">
        <f>SUMPRODUCT(PRODUCE!$B32:$DY32,PRODUCE!$EB$57:$IY$57)</f>
        <v>0</v>
      </c>
      <c r="SZ33" s="56"/>
      <c r="TA33" s="242">
        <f t="shared" si="171"/>
        <v>0</v>
      </c>
      <c r="TB33" s="242">
        <f t="shared" si="172"/>
        <v>0</v>
      </c>
      <c r="TC33" s="56"/>
      <c r="TF33" s="55">
        <f t="shared" si="173"/>
        <v>46050</v>
      </c>
      <c r="TG33" s="56"/>
      <c r="TH33" s="242">
        <f>SUMPRODUCT(PRODUCE!$B32:$DY32,PRODUCE!$EB$57:$IY$57)</f>
        <v>0</v>
      </c>
      <c r="TI33" s="56"/>
      <c r="TJ33" s="242">
        <f t="shared" si="174"/>
        <v>0</v>
      </c>
      <c r="TK33" s="242">
        <f t="shared" si="175"/>
        <v>0</v>
      </c>
      <c r="TL33" s="56"/>
      <c r="TO33" s="55">
        <f t="shared" si="176"/>
        <v>46050</v>
      </c>
      <c r="TP33" s="56"/>
      <c r="TQ33" s="242">
        <f>SUMPRODUCT(PRODUCE!$B32:$DY32,PRODUCE!$EB$57:$IY$57)</f>
        <v>0</v>
      </c>
      <c r="TR33" s="56"/>
      <c r="TS33" s="242">
        <f t="shared" si="177"/>
        <v>0</v>
      </c>
      <c r="TT33" s="242">
        <f t="shared" si="178"/>
        <v>0</v>
      </c>
      <c r="TU33" s="56"/>
      <c r="TX33" s="55">
        <f t="shared" si="179"/>
        <v>46050</v>
      </c>
      <c r="TY33" s="56"/>
      <c r="TZ33" s="242">
        <f>SUMPRODUCT(PRODUCE!$B32:$DY32,PRODUCE!$EB$57:$IY$57)</f>
        <v>0</v>
      </c>
      <c r="UA33" s="56"/>
      <c r="UB33" s="242">
        <f t="shared" si="180"/>
        <v>0</v>
      </c>
      <c r="UC33" s="242">
        <f t="shared" si="181"/>
        <v>0</v>
      </c>
      <c r="UD33" s="56"/>
      <c r="UG33" s="55">
        <f t="shared" si="182"/>
        <v>46050</v>
      </c>
      <c r="UH33" s="56"/>
      <c r="UI33" s="242">
        <f>SUMPRODUCT(PRODUCE!$B32:$DY32,PRODUCE!$EB$57:$IY$57)</f>
        <v>0</v>
      </c>
      <c r="UJ33" s="56"/>
      <c r="UK33" s="242">
        <f t="shared" si="183"/>
        <v>0</v>
      </c>
      <c r="UL33" s="242">
        <f t="shared" si="184"/>
        <v>0</v>
      </c>
      <c r="UM33" s="56"/>
      <c r="UP33" s="55">
        <f t="shared" si="185"/>
        <v>46050</v>
      </c>
      <c r="UQ33" s="56"/>
      <c r="UR33" s="242">
        <f>SUMPRODUCT(PRODUCE!$B32:$DY32,PRODUCE!$EB$57:$IY$57)</f>
        <v>0</v>
      </c>
      <c r="US33" s="56"/>
      <c r="UT33" s="242">
        <f t="shared" si="186"/>
        <v>0</v>
      </c>
      <c r="UU33" s="242">
        <f t="shared" si="187"/>
        <v>0</v>
      </c>
      <c r="UV33" s="56"/>
      <c r="UY33" s="55">
        <f t="shared" si="188"/>
        <v>46050</v>
      </c>
      <c r="UZ33" s="56">
        <v>361.2</v>
      </c>
      <c r="VA33" s="242">
        <f>SUMPRODUCT(PRODUCE!$B32:$DY32,PRODUCE!$EB$57:$IY$57)</f>
        <v>0</v>
      </c>
      <c r="VB33" s="56"/>
      <c r="VC33" s="242">
        <f t="shared" si="189"/>
        <v>0</v>
      </c>
      <c r="VD33" s="242">
        <f t="shared" si="190"/>
        <v>41.600000000000023</v>
      </c>
      <c r="VE33" s="56"/>
      <c r="VH33" s="55">
        <f t="shared" si="191"/>
        <v>46050</v>
      </c>
      <c r="VI33" s="56"/>
      <c r="VJ33" s="242">
        <f>SUMPRODUCT(PRODUCE!$B32:$DY32,PRODUCE!$EB$57:$IY$57)</f>
        <v>0</v>
      </c>
      <c r="VK33" s="56"/>
      <c r="VL33" s="242">
        <f t="shared" si="192"/>
        <v>0</v>
      </c>
      <c r="VM33" s="242">
        <f t="shared" si="193"/>
        <v>0</v>
      </c>
      <c r="VN33" s="56"/>
      <c r="VQ33" s="55">
        <f t="shared" si="194"/>
        <v>46050</v>
      </c>
      <c r="VR33" s="56"/>
      <c r="VS33" s="242">
        <f>SUMPRODUCT(PRODUCE!$B32:$DY32,PRODUCE!$EB$57:$IY$57)</f>
        <v>0</v>
      </c>
      <c r="VT33" s="56"/>
      <c r="VU33" s="242">
        <f t="shared" si="195"/>
        <v>0</v>
      </c>
      <c r="VV33" s="242">
        <f t="shared" si="196"/>
        <v>0</v>
      </c>
      <c r="VW33" s="56"/>
      <c r="VZ33" s="55">
        <f t="shared" si="197"/>
        <v>46050</v>
      </c>
      <c r="WA33" s="56"/>
      <c r="WB33" s="242">
        <f>SUMPRODUCT(PRODUCE!$B32:$DY32,PRODUCE!$EB$57:$IY$57)</f>
        <v>0</v>
      </c>
      <c r="WC33" s="56"/>
      <c r="WD33" s="242">
        <f t="shared" si="198"/>
        <v>0</v>
      </c>
      <c r="WE33" s="242">
        <f t="shared" si="199"/>
        <v>0</v>
      </c>
      <c r="WF33" s="56"/>
      <c r="WI33" s="55">
        <f t="shared" si="200"/>
        <v>46050</v>
      </c>
      <c r="WJ33" s="56"/>
      <c r="WK33" s="242">
        <f>SUMPRODUCT(PRODUCE!$B32:$DY32,PRODUCE!$EB$57:$IY$57)</f>
        <v>0</v>
      </c>
      <c r="WL33" s="56"/>
      <c r="WM33" s="242">
        <f t="shared" si="201"/>
        <v>0</v>
      </c>
      <c r="WN33" s="242">
        <f t="shared" si="202"/>
        <v>9609</v>
      </c>
      <c r="WO33" s="56"/>
      <c r="WR33" s="55">
        <f t="shared" si="203"/>
        <v>46050</v>
      </c>
      <c r="WS33" s="56"/>
      <c r="WT33" s="242">
        <f>SUMPRODUCT(PRODUCE!$B32:$DY32,PRODUCE!$EB$57:$IY$57)</f>
        <v>0</v>
      </c>
      <c r="WU33" s="56"/>
      <c r="WV33" s="242">
        <f t="shared" si="204"/>
        <v>0</v>
      </c>
      <c r="WW33" s="242">
        <f t="shared" si="205"/>
        <v>8149</v>
      </c>
      <c r="WX33" s="56"/>
      <c r="XA33" s="55">
        <f t="shared" si="206"/>
        <v>46050</v>
      </c>
      <c r="XB33" s="56"/>
      <c r="XC33" s="242">
        <f>SUMPRODUCT(PRODUCE!$B32:$DY32,PRODUCE!$EB$57:$IY$57)</f>
        <v>0</v>
      </c>
      <c r="XD33" s="56"/>
      <c r="XE33" s="242">
        <f t="shared" si="207"/>
        <v>0</v>
      </c>
      <c r="XF33" s="242">
        <f t="shared" si="208"/>
        <v>1836</v>
      </c>
      <c r="XG33" s="56"/>
      <c r="XJ33" s="55">
        <f t="shared" si="209"/>
        <v>46050</v>
      </c>
      <c r="XK33" s="56"/>
      <c r="XL33" s="242">
        <f>SUMPRODUCT(PRODUCE!$B32:$DY32,PRODUCE!$EB$57:$IY$57)</f>
        <v>0</v>
      </c>
      <c r="XM33" s="56"/>
      <c r="XN33" s="242">
        <f t="shared" si="210"/>
        <v>0</v>
      </c>
      <c r="XO33" s="242">
        <f t="shared" si="211"/>
        <v>6240</v>
      </c>
      <c r="XP33" s="56"/>
      <c r="XS33" s="55">
        <f t="shared" si="212"/>
        <v>46050</v>
      </c>
      <c r="XT33" s="56"/>
      <c r="XU33" s="242">
        <f>SUMPRODUCT(PRODUCE!$B32:$DY32,PRODUCE!$EB$57:$IY$57)</f>
        <v>0</v>
      </c>
      <c r="XV33" s="56"/>
      <c r="XW33" s="242">
        <f t="shared" si="213"/>
        <v>0</v>
      </c>
      <c r="XX33" s="242">
        <f t="shared" si="214"/>
        <v>1901</v>
      </c>
      <c r="XY33" s="56"/>
      <c r="YB33" s="55">
        <f t="shared" si="215"/>
        <v>46050</v>
      </c>
      <c r="YC33" s="56"/>
      <c r="YD33" s="242">
        <f>SUMPRODUCT(PRODUCE!$B32:$DY32,PRODUCE!$EB$57:$IY$57)</f>
        <v>0</v>
      </c>
      <c r="YE33" s="56">
        <v>267</v>
      </c>
      <c r="YF33" s="242">
        <f t="shared" si="216"/>
        <v>-267</v>
      </c>
      <c r="YG33" s="242">
        <f t="shared" si="217"/>
        <v>1885</v>
      </c>
      <c r="YH33" s="56"/>
      <c r="YK33" s="55">
        <f t="shared" si="218"/>
        <v>46050</v>
      </c>
      <c r="YL33" s="56"/>
      <c r="YM33" s="242">
        <f>SUMPRODUCT(PRODUCE!$B32:$DY32,PRODUCE!$EB$57:$IY$57)</f>
        <v>0</v>
      </c>
      <c r="YN33" s="56"/>
      <c r="YO33" s="242">
        <f t="shared" si="219"/>
        <v>0</v>
      </c>
      <c r="YP33" s="242">
        <f t="shared" si="220"/>
        <v>0</v>
      </c>
      <c r="YQ33" s="56"/>
      <c r="YT33" s="55">
        <f t="shared" si="221"/>
        <v>46050</v>
      </c>
      <c r="YU33" s="56"/>
      <c r="YV33" s="242">
        <f>SUMPRODUCT(PRODUCE!$B32:$DY32,PRODUCE!$EB$57:$IY$57)</f>
        <v>0</v>
      </c>
      <c r="YW33" s="56"/>
      <c r="YX33" s="242">
        <f t="shared" si="222"/>
        <v>0</v>
      </c>
      <c r="YY33" s="242">
        <f t="shared" si="223"/>
        <v>0</v>
      </c>
      <c r="YZ33" s="56"/>
      <c r="ZC33" s="55">
        <f t="shared" si="224"/>
        <v>46050</v>
      </c>
      <c r="ZD33" s="56"/>
      <c r="ZE33" s="242">
        <f>SUMPRODUCT(PRODUCE!$B32:$DY32,PRODUCE!$EB$57:$IY$57)</f>
        <v>0</v>
      </c>
      <c r="ZF33" s="56"/>
      <c r="ZG33" s="242">
        <f t="shared" si="225"/>
        <v>0</v>
      </c>
      <c r="ZH33" s="242">
        <f t="shared" si="226"/>
        <v>0</v>
      </c>
      <c r="ZI33" s="56"/>
      <c r="ZL33" s="55">
        <f t="shared" si="227"/>
        <v>46050</v>
      </c>
      <c r="ZM33" s="56"/>
      <c r="ZN33" s="242">
        <f>SUMPRODUCT(PRODUCE!$B32:$DY32,PRODUCE!$EB$57:$IY$57)</f>
        <v>0</v>
      </c>
      <c r="ZO33" s="56"/>
      <c r="ZP33" s="242">
        <f t="shared" si="228"/>
        <v>0</v>
      </c>
      <c r="ZQ33" s="242">
        <f t="shared" si="229"/>
        <v>0</v>
      </c>
      <c r="ZR33" s="56"/>
      <c r="ZU33" s="55">
        <f t="shared" si="230"/>
        <v>46050</v>
      </c>
      <c r="ZV33" s="56"/>
      <c r="ZW33" s="242">
        <f>SUMPRODUCT(PRODUCE!$B32:$DY32,PRODUCE!$EB$57:$IY$57)</f>
        <v>0</v>
      </c>
      <c r="ZX33" s="56"/>
      <c r="ZY33" s="242">
        <f t="shared" si="231"/>
        <v>0</v>
      </c>
      <c r="ZZ33" s="242">
        <f t="shared" si="232"/>
        <v>0</v>
      </c>
      <c r="AAA33" s="56"/>
      <c r="AAD33" s="55">
        <f t="shared" si="233"/>
        <v>46050</v>
      </c>
      <c r="AAE33" s="56"/>
      <c r="AAF33" s="242">
        <f>SUMPRODUCT(PRODUCE!$B32:$DY32,PRODUCE!$EB$57:$IY$57)</f>
        <v>0</v>
      </c>
      <c r="AAG33" s="56"/>
      <c r="AAH33" s="242">
        <f t="shared" si="234"/>
        <v>0</v>
      </c>
      <c r="AAI33" s="242">
        <f t="shared" si="235"/>
        <v>0</v>
      </c>
      <c r="AAJ33" s="56"/>
      <c r="AAM33" s="55">
        <f t="shared" si="236"/>
        <v>46050</v>
      </c>
      <c r="AAN33" s="56"/>
      <c r="AAO33" s="242">
        <f>SUMPRODUCT(PRODUCE!$B32:$DY32,PRODUCE!$EB$57:$IY$57)</f>
        <v>0</v>
      </c>
      <c r="AAP33" s="56"/>
      <c r="AAQ33" s="242">
        <f t="shared" si="237"/>
        <v>0</v>
      </c>
      <c r="AAR33" s="242">
        <f t="shared" si="238"/>
        <v>0</v>
      </c>
      <c r="AAS33" s="56"/>
      <c r="AAV33" s="55">
        <f t="shared" si="239"/>
        <v>46050</v>
      </c>
      <c r="AAW33" s="56"/>
      <c r="AAX33" s="242">
        <f>SUMPRODUCT(PRODUCE!$B32:$DY32,PRODUCE!$EB$57:$IY$57)</f>
        <v>0</v>
      </c>
      <c r="AAY33" s="56"/>
      <c r="AAZ33" s="242">
        <f t="shared" si="240"/>
        <v>0</v>
      </c>
      <c r="ABA33" s="242">
        <f t="shared" si="241"/>
        <v>0</v>
      </c>
      <c r="ABB33" s="56"/>
      <c r="ABE33" s="55">
        <f t="shared" si="242"/>
        <v>46050</v>
      </c>
      <c r="ABF33" s="56"/>
      <c r="ABG33" s="242">
        <f>SUMPRODUCT(PRODUCE!$B32:$DY32,PRODUCE!$EB$57:$IY$57)</f>
        <v>0</v>
      </c>
      <c r="ABH33" s="56"/>
      <c r="ABI33" s="242">
        <f t="shared" si="243"/>
        <v>0</v>
      </c>
      <c r="ABJ33" s="242">
        <f t="shared" si="244"/>
        <v>0</v>
      </c>
      <c r="ABK33" s="56"/>
    </row>
    <row r="34" spans="1:739" s="54" customFormat="1" ht="15" customHeight="1" outlineLevel="1">
      <c r="B34" s="478"/>
      <c r="C34" s="55">
        <v>46051</v>
      </c>
      <c r="D34" s="422">
        <v>21880</v>
      </c>
      <c r="E34" s="423">
        <f>SUMPRODUCT(PRODUCE!$B33:$DY33,PRODUCE!$EB$7:$IY$7)</f>
        <v>0</v>
      </c>
      <c r="F34" s="422">
        <v>4346.3999999999996</v>
      </c>
      <c r="G34" s="423">
        <f t="shared" si="2"/>
        <v>-4346.3999999999996</v>
      </c>
      <c r="H34" s="423">
        <f t="shared" si="0"/>
        <v>127035.19999999998</v>
      </c>
      <c r="I34" s="289"/>
      <c r="L34" s="55">
        <f t="shared" si="1"/>
        <v>46051</v>
      </c>
      <c r="M34" s="422">
        <v>2200</v>
      </c>
      <c r="N34" s="438">
        <f>SUMPRODUCT(PRODUCE!$B33:$DY33,PRODUCE!$EB$8:$IY$8)</f>
        <v>0</v>
      </c>
      <c r="O34" s="422"/>
      <c r="P34" s="438">
        <f t="shared" si="3"/>
        <v>0</v>
      </c>
      <c r="Q34" s="438">
        <f t="shared" si="4"/>
        <v>40651.399999999994</v>
      </c>
      <c r="R34" s="56"/>
      <c r="U34" s="55">
        <f t="shared" si="5"/>
        <v>46051</v>
      </c>
      <c r="V34" s="422"/>
      <c r="W34" s="440">
        <f>SUMPRODUCT(PRODUCE!$B33:$DY33,PRODUCE!$EB$9:$IY$9)</f>
        <v>0</v>
      </c>
      <c r="X34" s="422"/>
      <c r="Y34" s="440">
        <f t="shared" si="6"/>
        <v>0</v>
      </c>
      <c r="Z34" s="440">
        <f t="shared" si="7"/>
        <v>55566.699999999983</v>
      </c>
      <c r="AA34" s="56"/>
      <c r="AD34" s="55">
        <f t="shared" si="8"/>
        <v>46051</v>
      </c>
      <c r="AE34" s="422"/>
      <c r="AF34" s="442">
        <f>SUMPRODUCT(PRODUCE!$B33:$DY33,PRODUCE!$EB$10:$IY$10)</f>
        <v>0</v>
      </c>
      <c r="AG34" s="422"/>
      <c r="AH34" s="442">
        <f t="shared" si="9"/>
        <v>0</v>
      </c>
      <c r="AI34" s="442">
        <f t="shared" si="10"/>
        <v>57994.500000000007</v>
      </c>
      <c r="AJ34" s="56"/>
      <c r="AM34" s="55">
        <f t="shared" si="11"/>
        <v>46051</v>
      </c>
      <c r="AN34" s="422"/>
      <c r="AO34" s="444">
        <f>SUMPRODUCT(PRODUCE!$B33:$DY33,PRODUCE!$EB$11:$IY$11)</f>
        <v>0</v>
      </c>
      <c r="AP34" s="422"/>
      <c r="AQ34" s="444">
        <f t="shared" si="12"/>
        <v>0</v>
      </c>
      <c r="AR34" s="444">
        <f t="shared" si="13"/>
        <v>0</v>
      </c>
      <c r="AS34" s="56"/>
      <c r="AV34" s="55">
        <f t="shared" si="14"/>
        <v>46051</v>
      </c>
      <c r="AW34" s="422"/>
      <c r="AX34" s="446">
        <f>SUMPRODUCT(PRODUCE!$B33:$DY33,PRODUCE!$EB$12:$IY$12)</f>
        <v>0</v>
      </c>
      <c r="AY34" s="422"/>
      <c r="AZ34" s="446">
        <f t="shared" si="15"/>
        <v>0</v>
      </c>
      <c r="BA34" s="446">
        <f t="shared" si="16"/>
        <v>35264.69999999999</v>
      </c>
      <c r="BB34" s="56"/>
      <c r="BE34" s="55">
        <f t="shared" si="17"/>
        <v>46051</v>
      </c>
      <c r="BF34" s="422">
        <v>1257.7</v>
      </c>
      <c r="BG34" s="448">
        <f>SUMPRODUCT(PRODUCE!$B33:$DY33,PRODUCE!$EB$13:$IY$13)</f>
        <v>0</v>
      </c>
      <c r="BH34" s="422"/>
      <c r="BI34" s="448">
        <f t="shared" si="18"/>
        <v>0</v>
      </c>
      <c r="BJ34" s="448">
        <f t="shared" si="19"/>
        <v>23876.500000000007</v>
      </c>
      <c r="BK34" s="56"/>
      <c r="BN34" s="55">
        <f t="shared" si="20"/>
        <v>46051</v>
      </c>
      <c r="BO34" s="422"/>
      <c r="BP34" s="450">
        <f>SUMPRODUCT(PRODUCE!$B33:$DY33,PRODUCE!$EB$14:$IY$14)</f>
        <v>0</v>
      </c>
      <c r="BQ34" s="422"/>
      <c r="BR34" s="450">
        <f t="shared" si="21"/>
        <v>0</v>
      </c>
      <c r="BS34" s="450">
        <f t="shared" si="22"/>
        <v>0</v>
      </c>
      <c r="BT34" s="56"/>
      <c r="BW34" s="55">
        <f t="shared" si="23"/>
        <v>46051</v>
      </c>
      <c r="BX34" s="56"/>
      <c r="BY34" s="65">
        <f>SUMPRODUCT(PRODUCE!$B33:$DY33,PRODUCE!$EB$15:$IY$15)</f>
        <v>0</v>
      </c>
      <c r="BZ34" s="56"/>
      <c r="CA34" s="65">
        <f t="shared" si="24"/>
        <v>0</v>
      </c>
      <c r="CB34" s="65">
        <f t="shared" si="25"/>
        <v>3284.5</v>
      </c>
      <c r="CC34" s="56"/>
      <c r="CF34" s="55">
        <f t="shared" si="26"/>
        <v>46051</v>
      </c>
      <c r="CG34" s="56"/>
      <c r="CH34" s="66">
        <f>SUMPRODUCT(PRODUCE!$B33:$DY33,PRODUCE!$EB$16:$IY$16)</f>
        <v>0</v>
      </c>
      <c r="CI34" s="56"/>
      <c r="CJ34" s="66">
        <f t="shared" si="27"/>
        <v>0</v>
      </c>
      <c r="CK34" s="66">
        <f t="shared" si="28"/>
        <v>0</v>
      </c>
      <c r="CL34" s="56"/>
      <c r="CO34" s="55">
        <f t="shared" si="29"/>
        <v>46051</v>
      </c>
      <c r="CP34" s="422"/>
      <c r="CQ34" s="470">
        <f>SUMPRODUCT(PRODUCE!$B33:$DY33,PRODUCE!$EB$17:$IY$17)</f>
        <v>0</v>
      </c>
      <c r="CR34" s="422"/>
      <c r="CS34" s="470">
        <f t="shared" si="30"/>
        <v>0</v>
      </c>
      <c r="CT34" s="470">
        <f t="shared" si="31"/>
        <v>0</v>
      </c>
      <c r="CU34" s="56"/>
      <c r="CX34" s="55">
        <f t="shared" si="32"/>
        <v>46051</v>
      </c>
      <c r="CY34" s="56"/>
      <c r="CZ34" s="133">
        <f>SUMPRODUCT(PRODUCE!$B33:$DY33,PRODUCE!$EB$18:$IY$18)</f>
        <v>0</v>
      </c>
      <c r="DA34" s="56"/>
      <c r="DB34" s="133">
        <f t="shared" si="33"/>
        <v>0</v>
      </c>
      <c r="DC34" s="133">
        <f t="shared" si="34"/>
        <v>0</v>
      </c>
      <c r="DD34" s="56"/>
      <c r="DG34" s="55">
        <f t="shared" si="35"/>
        <v>46051</v>
      </c>
      <c r="DH34" s="56"/>
      <c r="DI34" s="147">
        <f>SUMPRODUCT(PRODUCE!$B33:$DY33,PRODUCE!$EB$19:$IY$19)</f>
        <v>0</v>
      </c>
      <c r="DJ34" s="56"/>
      <c r="DK34" s="147">
        <f t="shared" si="36"/>
        <v>0</v>
      </c>
      <c r="DL34" s="147">
        <f t="shared" si="37"/>
        <v>22172.799999999996</v>
      </c>
      <c r="DM34" s="56"/>
      <c r="DP34" s="55">
        <f t="shared" si="38"/>
        <v>46051</v>
      </c>
      <c r="DQ34" s="56"/>
      <c r="DR34" s="57">
        <f>SUMPRODUCT(PRODUCE!$B33:$DY33,PRODUCE!$EB$20:$IY$20)</f>
        <v>0</v>
      </c>
      <c r="DS34" s="56"/>
      <c r="DT34" s="57">
        <f t="shared" si="39"/>
        <v>0</v>
      </c>
      <c r="DU34" s="57">
        <f t="shared" si="40"/>
        <v>0</v>
      </c>
      <c r="DV34" s="56"/>
      <c r="DY34" s="55">
        <f t="shared" si="41"/>
        <v>46051</v>
      </c>
      <c r="DZ34" s="56"/>
      <c r="EA34" s="157">
        <f>SUMPRODUCT(PRODUCE!$B33:$DY33,PRODUCE!$EB$21:$IY$21)</f>
        <v>0</v>
      </c>
      <c r="EB34" s="56"/>
      <c r="EC34" s="157">
        <f t="shared" si="42"/>
        <v>0</v>
      </c>
      <c r="ED34" s="157">
        <f t="shared" si="43"/>
        <v>0</v>
      </c>
      <c r="EE34" s="56"/>
      <c r="EH34" s="55">
        <f t="shared" si="44"/>
        <v>46051</v>
      </c>
      <c r="EI34" s="56"/>
      <c r="EJ34" s="162">
        <f>SUMPRODUCT(PRODUCE!$B33:$DY33,PRODUCE!$EB$22:$IY$22)</f>
        <v>0</v>
      </c>
      <c r="EK34" s="56"/>
      <c r="EL34" s="162">
        <f t="shared" si="45"/>
        <v>0</v>
      </c>
      <c r="EM34" s="162">
        <f t="shared" si="46"/>
        <v>0</v>
      </c>
      <c r="EN34" s="56"/>
      <c r="EQ34" s="55">
        <f t="shared" si="47"/>
        <v>46051</v>
      </c>
      <c r="ER34" s="56"/>
      <c r="ES34" s="135">
        <f>SUMPRODUCT(PRODUCE!$B33:$DY33,PRODUCE!$EB$23:$IY$23)</f>
        <v>0</v>
      </c>
      <c r="ET34" s="56"/>
      <c r="EU34" s="135">
        <f t="shared" si="48"/>
        <v>0</v>
      </c>
      <c r="EV34" s="135">
        <f t="shared" si="49"/>
        <v>0</v>
      </c>
      <c r="EW34" s="56"/>
      <c r="EZ34" s="55">
        <f t="shared" si="50"/>
        <v>46051</v>
      </c>
      <c r="FA34" s="56"/>
      <c r="FB34" s="175">
        <f>SUMPRODUCT(PRODUCE!$B33:$DY33,PRODUCE!$EB$24:$IY$24)</f>
        <v>0</v>
      </c>
      <c r="FC34" s="56"/>
      <c r="FD34" s="175">
        <f t="shared" si="51"/>
        <v>0</v>
      </c>
      <c r="FE34" s="175">
        <f t="shared" si="52"/>
        <v>0</v>
      </c>
      <c r="FF34" s="56"/>
      <c r="FI34" s="55">
        <f t="shared" si="53"/>
        <v>46051</v>
      </c>
      <c r="FJ34" s="56"/>
      <c r="FK34" s="183">
        <f>SUMPRODUCT(PRODUCE!$B33:$DY33,PRODUCE!$EB$25:$IY$25)</f>
        <v>0</v>
      </c>
      <c r="FL34" s="56"/>
      <c r="FM34" s="183">
        <f t="shared" si="54"/>
        <v>0</v>
      </c>
      <c r="FN34" s="183">
        <f t="shared" si="55"/>
        <v>0</v>
      </c>
      <c r="FO34" s="56"/>
      <c r="FR34" s="55">
        <f t="shared" si="56"/>
        <v>46051</v>
      </c>
      <c r="FS34" s="422"/>
      <c r="FT34" s="452">
        <f>SUMPRODUCT(PRODUCE!$B33:$DY33,PRODUCE!$EB$26:$IY$26)</f>
        <v>0</v>
      </c>
      <c r="FU34" s="422"/>
      <c r="FV34" s="452">
        <f t="shared" si="57"/>
        <v>0</v>
      </c>
      <c r="FW34" s="452">
        <f t="shared" si="58"/>
        <v>3540</v>
      </c>
      <c r="FX34" s="56"/>
      <c r="GA34" s="55">
        <f t="shared" si="59"/>
        <v>46051</v>
      </c>
      <c r="GB34" s="422">
        <f>100*20</f>
        <v>2000</v>
      </c>
      <c r="GC34" s="454">
        <f>SUMPRODUCT(PRODUCE!$B33:$DY33,PRODUCE!$EB$27:$IY$27)</f>
        <v>0</v>
      </c>
      <c r="GD34" s="422"/>
      <c r="GE34" s="454">
        <f t="shared" si="60"/>
        <v>0</v>
      </c>
      <c r="GF34" s="454">
        <f t="shared" si="61"/>
        <v>3960</v>
      </c>
      <c r="GG34" s="56"/>
      <c r="GI34" s="23"/>
      <c r="GJ34" s="55">
        <f t="shared" si="62"/>
        <v>46051</v>
      </c>
      <c r="GK34" s="422"/>
      <c r="GL34" s="456">
        <f>SUMPRODUCT(PRODUCE!$B33:$DY33,PRODUCE!$EB$28:$IY$28)</f>
        <v>0</v>
      </c>
      <c r="GM34" s="422"/>
      <c r="GN34" s="456">
        <f t="shared" si="63"/>
        <v>0</v>
      </c>
      <c r="GO34" s="456">
        <f t="shared" si="64"/>
        <v>4440</v>
      </c>
      <c r="GP34" s="56"/>
      <c r="GS34" s="55">
        <f t="shared" si="65"/>
        <v>46051</v>
      </c>
      <c r="GT34" s="56"/>
      <c r="GU34" s="195">
        <f>SUMPRODUCT(PRODUCE!$B33:$DY33,PRODUCE!$EB$29:$IY$29)</f>
        <v>0</v>
      </c>
      <c r="GV34" s="56"/>
      <c r="GW34" s="195">
        <f t="shared" si="66"/>
        <v>0</v>
      </c>
      <c r="GX34" s="195">
        <f t="shared" si="67"/>
        <v>0</v>
      </c>
      <c r="GY34" s="56"/>
      <c r="HB34" s="55">
        <f t="shared" si="68"/>
        <v>46051</v>
      </c>
      <c r="HC34" s="56"/>
      <c r="HD34" s="191">
        <f>SUMPRODUCT(PRODUCE!$B33:$DY33,PRODUCE!$EB$30:$IY$30)</f>
        <v>0</v>
      </c>
      <c r="HE34" s="56"/>
      <c r="HF34" s="191">
        <f t="shared" si="69"/>
        <v>0</v>
      </c>
      <c r="HG34" s="191">
        <f t="shared" si="70"/>
        <v>0</v>
      </c>
      <c r="HH34" s="56"/>
      <c r="HK34" s="55">
        <f t="shared" si="71"/>
        <v>46051</v>
      </c>
      <c r="HL34" s="56"/>
      <c r="HM34" s="63">
        <f>SUMPRODUCT(PRODUCE!$B33:$DY33,PRODUCE!$EB$31:$IY$31)</f>
        <v>0</v>
      </c>
      <c r="HN34" s="56"/>
      <c r="HO34" s="63">
        <f t="shared" si="72"/>
        <v>0</v>
      </c>
      <c r="HP34" s="63">
        <f t="shared" si="73"/>
        <v>0</v>
      </c>
      <c r="HQ34" s="56"/>
      <c r="HU34" s="55">
        <f t="shared" si="74"/>
        <v>46051</v>
      </c>
      <c r="HV34" s="56">
        <f>200*20</f>
        <v>4000</v>
      </c>
      <c r="HW34" s="242">
        <f>SUMPRODUCT(PRODUCE!$B33:$DY33,PRODUCE!$EB$32:$IY$32)</f>
        <v>0</v>
      </c>
      <c r="HX34" s="56"/>
      <c r="HY34" s="242">
        <f t="shared" si="75"/>
        <v>0</v>
      </c>
      <c r="HZ34" s="242">
        <f t="shared" si="76"/>
        <v>5440</v>
      </c>
      <c r="IA34" s="56"/>
      <c r="ID34" s="55">
        <f t="shared" si="77"/>
        <v>46051</v>
      </c>
      <c r="IE34" s="56"/>
      <c r="IF34" s="242">
        <f>SUMPRODUCT(PRODUCE!$B33:$DY33,PRODUCE!$EB$33:$IY$33)</f>
        <v>0</v>
      </c>
      <c r="IG34" s="56"/>
      <c r="IH34" s="242">
        <f t="shared" si="78"/>
        <v>0</v>
      </c>
      <c r="II34" s="242">
        <f t="shared" si="79"/>
        <v>5100</v>
      </c>
      <c r="IJ34" s="56"/>
      <c r="IM34" s="55">
        <f t="shared" si="80"/>
        <v>46051</v>
      </c>
      <c r="IN34" s="56">
        <f>300*20</f>
        <v>6000</v>
      </c>
      <c r="IO34" s="242">
        <f>SUMPRODUCT(PRODUCE!$B33:$DY33,PRODUCE!$EB$34:$IY$34)</f>
        <v>0</v>
      </c>
      <c r="IP34" s="56"/>
      <c r="IQ34" s="242">
        <f t="shared" si="81"/>
        <v>0</v>
      </c>
      <c r="IR34" s="242">
        <f t="shared" si="82"/>
        <v>18640</v>
      </c>
      <c r="IS34" s="56"/>
      <c r="IV34" s="55">
        <f t="shared" si="83"/>
        <v>46051</v>
      </c>
      <c r="IW34" s="56">
        <f>100*20</f>
        <v>2000</v>
      </c>
      <c r="IX34" s="242">
        <f>SUMPRODUCT(PRODUCE!$B33:$DY33,PRODUCE!$EB$35:$IY$35)</f>
        <v>0</v>
      </c>
      <c r="IY34" s="56"/>
      <c r="IZ34" s="242">
        <f t="shared" si="84"/>
        <v>0</v>
      </c>
      <c r="JA34" s="242">
        <f t="shared" si="85"/>
        <v>11120</v>
      </c>
      <c r="JB34" s="56"/>
      <c r="JE34" s="55">
        <f t="shared" si="86"/>
        <v>46051</v>
      </c>
      <c r="JF34" s="56"/>
      <c r="JG34" s="242">
        <f>SUMPRODUCT(PRODUCE!$B33:$DY33,PRODUCE!$EB$36:$IY$36)</f>
        <v>0</v>
      </c>
      <c r="JH34" s="56"/>
      <c r="JI34" s="242">
        <f t="shared" si="87"/>
        <v>0</v>
      </c>
      <c r="JJ34" s="242">
        <f t="shared" si="88"/>
        <v>6800</v>
      </c>
      <c r="JK34" s="56"/>
      <c r="JN34" s="55">
        <f t="shared" si="89"/>
        <v>46051</v>
      </c>
      <c r="JO34" s="56"/>
      <c r="JP34" s="242">
        <f>SUMPRODUCT(PRODUCE!$B33:$DY33,PRODUCE!$EB$37:$IY$37)</f>
        <v>0</v>
      </c>
      <c r="JQ34" s="56"/>
      <c r="JR34" s="242">
        <f t="shared" si="90"/>
        <v>0</v>
      </c>
      <c r="JS34" s="242">
        <f t="shared" si="91"/>
        <v>5400</v>
      </c>
      <c r="JT34" s="56"/>
      <c r="JW34" s="55">
        <f t="shared" si="92"/>
        <v>46051</v>
      </c>
      <c r="JX34" s="56">
        <v>2260</v>
      </c>
      <c r="JY34" s="242">
        <f>SUMPRODUCT(PRODUCE!$B33:$DY33,PRODUCE!$EB$38:$IY$38)</f>
        <v>0</v>
      </c>
      <c r="JZ34" s="56"/>
      <c r="KA34" s="242">
        <f t="shared" si="93"/>
        <v>0</v>
      </c>
      <c r="KB34" s="242">
        <f t="shared" si="94"/>
        <v>2260</v>
      </c>
      <c r="KC34" s="56"/>
      <c r="KF34" s="55">
        <f t="shared" si="95"/>
        <v>46051</v>
      </c>
      <c r="KG34" s="56"/>
      <c r="KH34" s="242">
        <f>SUMPRODUCT(PRODUCE!$B33:$DY33,PRODUCE!$EB$39:$IY$39)</f>
        <v>0</v>
      </c>
      <c r="KI34" s="56"/>
      <c r="KJ34" s="242">
        <f t="shared" si="96"/>
        <v>0</v>
      </c>
      <c r="KK34" s="242">
        <f t="shared" si="97"/>
        <v>0</v>
      </c>
      <c r="KL34" s="56"/>
      <c r="KO34" s="55">
        <f t="shared" si="98"/>
        <v>46051</v>
      </c>
      <c r="KP34" s="56"/>
      <c r="KQ34" s="242">
        <f>SUMPRODUCT(PRODUCE!$B33:$DY33,PRODUCE!$EB$40:$IY$40)</f>
        <v>0</v>
      </c>
      <c r="KR34" s="56"/>
      <c r="KS34" s="242">
        <f t="shared" si="99"/>
        <v>0</v>
      </c>
      <c r="KT34" s="242">
        <f t="shared" si="100"/>
        <v>0</v>
      </c>
      <c r="KU34" s="56"/>
      <c r="KW34" s="23"/>
      <c r="KX34" s="55">
        <f t="shared" si="101"/>
        <v>46051</v>
      </c>
      <c r="KY34" s="56"/>
      <c r="KZ34" s="242">
        <f>SUMPRODUCT(PRODUCE!$B33:$DY33,PRODUCE!$EB$41:$IY$41)</f>
        <v>0</v>
      </c>
      <c r="LA34" s="56"/>
      <c r="LB34" s="242">
        <f t="shared" si="102"/>
        <v>0</v>
      </c>
      <c r="LC34" s="242">
        <f t="shared" si="103"/>
        <v>0</v>
      </c>
      <c r="LD34" s="56"/>
      <c r="LG34" s="55">
        <f t="shared" si="104"/>
        <v>46051</v>
      </c>
      <c r="LH34" s="56"/>
      <c r="LI34" s="242">
        <f>SUMPRODUCT(PRODUCE!$B33:$DY33,PRODUCE!$EB$42:$IY$42)</f>
        <v>0</v>
      </c>
      <c r="LJ34" s="56"/>
      <c r="LK34" s="242">
        <f t="shared" si="105"/>
        <v>0</v>
      </c>
      <c r="LL34" s="242">
        <f t="shared" si="106"/>
        <v>0</v>
      </c>
      <c r="LM34" s="56"/>
      <c r="LP34" s="55">
        <f t="shared" si="107"/>
        <v>46051</v>
      </c>
      <c r="LQ34" s="56"/>
      <c r="LR34" s="242">
        <f>SUMPRODUCT(PRODUCE!$B33:$DY33,PRODUCE!$EB$43:$IY$43)</f>
        <v>0</v>
      </c>
      <c r="LS34" s="56"/>
      <c r="LT34" s="242">
        <f t="shared" si="108"/>
        <v>0</v>
      </c>
      <c r="LU34" s="242">
        <f t="shared" si="109"/>
        <v>0</v>
      </c>
      <c r="LV34" s="56"/>
      <c r="LY34" s="55">
        <f t="shared" si="110"/>
        <v>46051</v>
      </c>
      <c r="LZ34" s="56"/>
      <c r="MA34" s="242">
        <f>SUMPRODUCT(PRODUCE!$B33:$DY33,PRODUCE!$EB$44:$IY$44)</f>
        <v>0</v>
      </c>
      <c r="MB34" s="56"/>
      <c r="MC34" s="242">
        <f t="shared" si="111"/>
        <v>0</v>
      </c>
      <c r="MD34" s="242">
        <f t="shared" si="112"/>
        <v>0</v>
      </c>
      <c r="ME34" s="56"/>
      <c r="MH34" s="55">
        <f t="shared" si="113"/>
        <v>46051</v>
      </c>
      <c r="MI34" s="56"/>
      <c r="MJ34" s="242">
        <f>SUMPRODUCT(PRODUCE!$B33:$DY33,PRODUCE!$EB$45:$IY$45)</f>
        <v>0</v>
      </c>
      <c r="MK34" s="56"/>
      <c r="ML34" s="242">
        <f t="shared" si="114"/>
        <v>0</v>
      </c>
      <c r="MM34" s="242">
        <f t="shared" si="115"/>
        <v>0</v>
      </c>
      <c r="MN34" s="56"/>
      <c r="MQ34" s="55">
        <f t="shared" si="116"/>
        <v>46051</v>
      </c>
      <c r="MR34" s="56"/>
      <c r="MS34" s="242">
        <f>SUMPRODUCT(PRODUCE!$B33:$DY33,PRODUCE!$EB$46:$IY$46)</f>
        <v>0</v>
      </c>
      <c r="MT34" s="56"/>
      <c r="MU34" s="242">
        <f t="shared" si="117"/>
        <v>0</v>
      </c>
      <c r="MV34" s="242">
        <f t="shared" si="118"/>
        <v>2059</v>
      </c>
      <c r="MW34" s="56"/>
      <c r="MZ34" s="55">
        <f t="shared" si="119"/>
        <v>46051</v>
      </c>
      <c r="NA34" s="56"/>
      <c r="NB34" s="242">
        <f>SUMPRODUCT(PRODUCE!$B33:$DY33,PRODUCE!$EB$47:$IY$47)</f>
        <v>0</v>
      </c>
      <c r="NC34" s="56"/>
      <c r="ND34" s="242">
        <f t="shared" si="120"/>
        <v>0</v>
      </c>
      <c r="NE34" s="242">
        <f t="shared" si="121"/>
        <v>0</v>
      </c>
      <c r="NF34" s="56"/>
      <c r="NI34" s="55">
        <f t="shared" si="122"/>
        <v>46051</v>
      </c>
      <c r="NJ34" s="56"/>
      <c r="NK34" s="242">
        <f>SUMPRODUCT(PRODUCE!$B33:$DY33,PRODUCE!$EB$48:$IY$48)</f>
        <v>0</v>
      </c>
      <c r="NL34" s="56"/>
      <c r="NM34" s="242">
        <f t="shared" si="123"/>
        <v>0</v>
      </c>
      <c r="NN34" s="242">
        <f t="shared" si="124"/>
        <v>0</v>
      </c>
      <c r="NO34" s="56"/>
      <c r="NR34" s="55">
        <f t="shared" si="125"/>
        <v>46051</v>
      </c>
      <c r="NS34" s="56"/>
      <c r="NT34" s="242">
        <f>SUMPRODUCT(PRODUCE!$B33:$DY33,PRODUCE!$EB$49:$IY$49)</f>
        <v>0</v>
      </c>
      <c r="NU34" s="56"/>
      <c r="NV34" s="242">
        <f t="shared" si="126"/>
        <v>0</v>
      </c>
      <c r="NW34" s="242">
        <f t="shared" si="127"/>
        <v>0</v>
      </c>
      <c r="NX34" s="56"/>
      <c r="OA34" s="55">
        <f t="shared" si="128"/>
        <v>46051</v>
      </c>
      <c r="OB34" s="56"/>
      <c r="OC34" s="242">
        <f>SUMPRODUCT(PRODUCE!$B33:$DY33,PRODUCE!$EB$50:$IY$50)</f>
        <v>0</v>
      </c>
      <c r="OD34" s="56"/>
      <c r="OE34" s="242">
        <f t="shared" si="129"/>
        <v>0</v>
      </c>
      <c r="OF34" s="242">
        <f t="shared" si="130"/>
        <v>1680.5</v>
      </c>
      <c r="OG34" s="56"/>
      <c r="OJ34" s="55">
        <f t="shared" si="131"/>
        <v>46051</v>
      </c>
      <c r="OK34" s="56"/>
      <c r="OL34" s="242">
        <f>SUMPRODUCT(PRODUCE!$B33:$DY33,PRODUCE!$EB$51:$IY$51)</f>
        <v>0</v>
      </c>
      <c r="OM34" s="56"/>
      <c r="ON34" s="242">
        <f t="shared" si="132"/>
        <v>0</v>
      </c>
      <c r="OO34" s="242">
        <f t="shared" si="133"/>
        <v>0</v>
      </c>
      <c r="OP34" s="56"/>
      <c r="OS34" s="55">
        <f t="shared" si="134"/>
        <v>46051</v>
      </c>
      <c r="OT34" s="56"/>
      <c r="OU34" s="242">
        <f>SUMPRODUCT(PRODUCE!$B33:$DY33,PRODUCE!$EB$52:$IY$52)</f>
        <v>0</v>
      </c>
      <c r="OV34" s="56"/>
      <c r="OW34" s="242">
        <f t="shared" si="135"/>
        <v>0</v>
      </c>
      <c r="OX34" s="242">
        <f t="shared" si="136"/>
        <v>67</v>
      </c>
      <c r="OY34" s="56"/>
      <c r="PB34" s="55">
        <f t="shared" si="137"/>
        <v>46051</v>
      </c>
      <c r="PC34" s="56"/>
      <c r="PD34" s="242">
        <f>SUMPRODUCT(PRODUCE!$B33:$DY33,PRODUCE!$EB$53:$IY$53)</f>
        <v>0</v>
      </c>
      <c r="PE34" s="56"/>
      <c r="PF34" s="242">
        <f t="shared" si="138"/>
        <v>0</v>
      </c>
      <c r="PG34" s="242">
        <f t="shared" si="139"/>
        <v>0</v>
      </c>
      <c r="PH34" s="56"/>
      <c r="PK34" s="55">
        <f t="shared" si="140"/>
        <v>46051</v>
      </c>
      <c r="PL34" s="56"/>
      <c r="PM34" s="242">
        <f>SUMPRODUCT(PRODUCE!$B33:$DY33,PRODUCE!$EB$54:$IY$54)</f>
        <v>0</v>
      </c>
      <c r="PN34" s="56"/>
      <c r="PO34" s="242">
        <f t="shared" si="141"/>
        <v>0</v>
      </c>
      <c r="PP34" s="242">
        <f t="shared" si="142"/>
        <v>160</v>
      </c>
      <c r="PQ34" s="56"/>
      <c r="PT34" s="55">
        <f t="shared" si="143"/>
        <v>46051</v>
      </c>
      <c r="PU34" s="56"/>
      <c r="PV34" s="242">
        <f>SUMPRODUCT(PRODUCE!$B33:$DY33,PRODUCE!$EB$55:$IY$55)</f>
        <v>0</v>
      </c>
      <c r="PW34" s="56"/>
      <c r="PX34" s="242">
        <f t="shared" si="144"/>
        <v>0</v>
      </c>
      <c r="PY34" s="242">
        <f t="shared" si="145"/>
        <v>13.960000000000036</v>
      </c>
      <c r="PZ34" s="56"/>
      <c r="QC34" s="55">
        <f t="shared" si="146"/>
        <v>46051</v>
      </c>
      <c r="QD34" s="56"/>
      <c r="QE34" s="242">
        <f>SUMPRODUCT(PRODUCE!$B33:$DY33,PRODUCE!$EB$56:$IY$56)</f>
        <v>0</v>
      </c>
      <c r="QF34" s="56"/>
      <c r="QG34" s="242">
        <f t="shared" si="147"/>
        <v>0</v>
      </c>
      <c r="QH34" s="242">
        <f t="shared" si="148"/>
        <v>0</v>
      </c>
      <c r="QI34" s="56"/>
      <c r="QL34" s="55">
        <f t="shared" si="149"/>
        <v>46051</v>
      </c>
      <c r="QM34" s="56"/>
      <c r="QN34" s="242">
        <f>SUMPRODUCT(PRODUCE!$B33:$DY33,PRODUCE!$EB$57:$IY$57)</f>
        <v>0</v>
      </c>
      <c r="QO34" s="56"/>
      <c r="QP34" s="242">
        <f t="shared" si="150"/>
        <v>0</v>
      </c>
      <c r="QQ34" s="242">
        <f t="shared" si="151"/>
        <v>0</v>
      </c>
      <c r="QR34" s="56"/>
      <c r="QU34" s="55">
        <f t="shared" si="152"/>
        <v>46051</v>
      </c>
      <c r="QV34" s="56"/>
      <c r="QW34" s="242">
        <f>SUMPRODUCT(PRODUCE!$B33:$DY33,PRODUCE!$EB$57:$IY$57)</f>
        <v>0</v>
      </c>
      <c r="QX34" s="56"/>
      <c r="QY34" s="242">
        <f t="shared" si="153"/>
        <v>0</v>
      </c>
      <c r="QZ34" s="242">
        <f t="shared" si="154"/>
        <v>207.6</v>
      </c>
      <c r="RA34" s="56"/>
      <c r="RD34" s="55">
        <f t="shared" si="155"/>
        <v>46051</v>
      </c>
      <c r="RE34" s="56"/>
      <c r="RF34" s="242">
        <f>SUMPRODUCT(PRODUCE!$B33:$DY33,PRODUCE!$EB$58:$IY$58)</f>
        <v>0</v>
      </c>
      <c r="RG34" s="56"/>
      <c r="RH34" s="242">
        <f t="shared" si="156"/>
        <v>0</v>
      </c>
      <c r="RI34" s="242">
        <f t="shared" si="157"/>
        <v>201.8</v>
      </c>
      <c r="RJ34" s="56"/>
      <c r="RM34" s="55">
        <f t="shared" si="158"/>
        <v>46051</v>
      </c>
      <c r="RN34" s="56"/>
      <c r="RO34" s="242">
        <f>SUMPRODUCT(PRODUCE!$B33:$DY33,PRODUCE!$EB$59:$IY$59)</f>
        <v>0</v>
      </c>
      <c r="RP34" s="56"/>
      <c r="RQ34" s="242">
        <f t="shared" si="159"/>
        <v>0</v>
      </c>
      <c r="RR34" s="242">
        <f t="shared" si="160"/>
        <v>22.720000000000002</v>
      </c>
      <c r="RS34" s="56"/>
      <c r="RV34" s="55">
        <f t="shared" si="161"/>
        <v>46051</v>
      </c>
      <c r="RW34" s="56"/>
      <c r="RX34" s="242">
        <f>SUMPRODUCT(PRODUCE!$B33:$DY33,PRODUCE!$EB$57:$IY$57)</f>
        <v>0</v>
      </c>
      <c r="RY34" s="56"/>
      <c r="RZ34" s="242">
        <f t="shared" si="162"/>
        <v>0</v>
      </c>
      <c r="SA34" s="242">
        <f t="shared" si="163"/>
        <v>0</v>
      </c>
      <c r="SB34" s="56"/>
      <c r="SE34" s="55">
        <f t="shared" si="164"/>
        <v>46051</v>
      </c>
      <c r="SF34" s="56"/>
      <c r="SG34" s="242">
        <f>SUMPRODUCT(PRODUCE!$B33:$DY33,PRODUCE!$EB$61:$IY$61)</f>
        <v>0</v>
      </c>
      <c r="SH34" s="56"/>
      <c r="SI34" s="242">
        <f t="shared" si="165"/>
        <v>0</v>
      </c>
      <c r="SJ34" s="242">
        <f t="shared" si="166"/>
        <v>0</v>
      </c>
      <c r="SK34" s="56"/>
      <c r="SN34" s="55">
        <f t="shared" si="167"/>
        <v>46051</v>
      </c>
      <c r="SO34" s="56"/>
      <c r="SP34" s="242">
        <f>SUMPRODUCT(PRODUCE!$B33:$DY33,PRODUCE!$EB$57:$IY$57)</f>
        <v>0</v>
      </c>
      <c r="SQ34" s="56"/>
      <c r="SR34" s="242">
        <f t="shared" si="168"/>
        <v>0</v>
      </c>
      <c r="SS34" s="242">
        <f t="shared" si="169"/>
        <v>0</v>
      </c>
      <c r="ST34" s="56"/>
      <c r="SW34" s="55">
        <f t="shared" si="170"/>
        <v>46051</v>
      </c>
      <c r="SX34" s="56">
        <v>270</v>
      </c>
      <c r="SY34" s="242">
        <f>SUMPRODUCT(PRODUCE!$B33:$DY33,PRODUCE!$EB$57:$IY$57)</f>
        <v>0</v>
      </c>
      <c r="SZ34" s="56"/>
      <c r="TA34" s="242">
        <f t="shared" si="171"/>
        <v>0</v>
      </c>
      <c r="TB34" s="242">
        <f t="shared" si="172"/>
        <v>270</v>
      </c>
      <c r="TC34" s="56"/>
      <c r="TF34" s="55">
        <f t="shared" si="173"/>
        <v>46051</v>
      </c>
      <c r="TG34" s="56"/>
      <c r="TH34" s="242">
        <f>SUMPRODUCT(PRODUCE!$B33:$DY33,PRODUCE!$EB$57:$IY$57)</f>
        <v>0</v>
      </c>
      <c r="TI34" s="56"/>
      <c r="TJ34" s="242">
        <f t="shared" si="174"/>
        <v>0</v>
      </c>
      <c r="TK34" s="242">
        <f t="shared" si="175"/>
        <v>0</v>
      </c>
      <c r="TL34" s="56"/>
      <c r="TO34" s="55">
        <f t="shared" si="176"/>
        <v>46051</v>
      </c>
      <c r="TP34" s="56"/>
      <c r="TQ34" s="242">
        <f>SUMPRODUCT(PRODUCE!$B33:$DY33,PRODUCE!$EB$57:$IY$57)</f>
        <v>0</v>
      </c>
      <c r="TR34" s="56"/>
      <c r="TS34" s="242">
        <f t="shared" si="177"/>
        <v>0</v>
      </c>
      <c r="TT34" s="242">
        <f t="shared" si="178"/>
        <v>0</v>
      </c>
      <c r="TU34" s="56"/>
      <c r="TX34" s="55">
        <f t="shared" si="179"/>
        <v>46051</v>
      </c>
      <c r="TY34" s="56"/>
      <c r="TZ34" s="242">
        <f>SUMPRODUCT(PRODUCE!$B33:$DY33,PRODUCE!$EB$57:$IY$57)</f>
        <v>0</v>
      </c>
      <c r="UA34" s="56"/>
      <c r="UB34" s="242">
        <f t="shared" si="180"/>
        <v>0</v>
      </c>
      <c r="UC34" s="242">
        <f t="shared" si="181"/>
        <v>0</v>
      </c>
      <c r="UD34" s="56"/>
      <c r="UG34" s="55">
        <f t="shared" si="182"/>
        <v>46051</v>
      </c>
      <c r="UH34" s="56"/>
      <c r="UI34" s="242">
        <f>SUMPRODUCT(PRODUCE!$B33:$DY33,PRODUCE!$EB$57:$IY$57)</f>
        <v>0</v>
      </c>
      <c r="UJ34" s="56"/>
      <c r="UK34" s="242">
        <f t="shared" si="183"/>
        <v>0</v>
      </c>
      <c r="UL34" s="242">
        <f t="shared" si="184"/>
        <v>0</v>
      </c>
      <c r="UM34" s="56"/>
      <c r="UP34" s="55">
        <f t="shared" si="185"/>
        <v>46051</v>
      </c>
      <c r="UQ34" s="56"/>
      <c r="UR34" s="242">
        <f>SUMPRODUCT(PRODUCE!$B33:$DY33,PRODUCE!$EB$57:$IY$57)</f>
        <v>0</v>
      </c>
      <c r="US34" s="56"/>
      <c r="UT34" s="242">
        <f t="shared" si="186"/>
        <v>0</v>
      </c>
      <c r="UU34" s="242">
        <f t="shared" si="187"/>
        <v>0</v>
      </c>
      <c r="UV34" s="56"/>
      <c r="UY34" s="55">
        <f t="shared" si="188"/>
        <v>46051</v>
      </c>
      <c r="UZ34" s="56"/>
      <c r="VA34" s="242">
        <f>SUMPRODUCT(PRODUCE!$B33:$DY33,PRODUCE!$EB$57:$IY$57)</f>
        <v>0</v>
      </c>
      <c r="VB34" s="56"/>
      <c r="VC34" s="242">
        <f t="shared" si="189"/>
        <v>0</v>
      </c>
      <c r="VD34" s="242">
        <f t="shared" si="190"/>
        <v>41.600000000000023</v>
      </c>
      <c r="VE34" s="56"/>
      <c r="VH34" s="55">
        <f t="shared" si="191"/>
        <v>46051</v>
      </c>
      <c r="VI34" s="56"/>
      <c r="VJ34" s="242">
        <f>SUMPRODUCT(PRODUCE!$B33:$DY33,PRODUCE!$EB$57:$IY$57)</f>
        <v>0</v>
      </c>
      <c r="VK34" s="56"/>
      <c r="VL34" s="242">
        <f t="shared" si="192"/>
        <v>0</v>
      </c>
      <c r="VM34" s="242">
        <f t="shared" si="193"/>
        <v>0</v>
      </c>
      <c r="VN34" s="56"/>
      <c r="VQ34" s="55">
        <f t="shared" si="194"/>
        <v>46051</v>
      </c>
      <c r="VR34" s="56"/>
      <c r="VS34" s="242">
        <f>SUMPRODUCT(PRODUCE!$B33:$DY33,PRODUCE!$EB$57:$IY$57)</f>
        <v>0</v>
      </c>
      <c r="VT34" s="56"/>
      <c r="VU34" s="242">
        <f t="shared" si="195"/>
        <v>0</v>
      </c>
      <c r="VV34" s="242">
        <f t="shared" si="196"/>
        <v>0</v>
      </c>
      <c r="VW34" s="56"/>
      <c r="VZ34" s="55">
        <f t="shared" si="197"/>
        <v>46051</v>
      </c>
      <c r="WA34" s="56"/>
      <c r="WB34" s="242">
        <f>SUMPRODUCT(PRODUCE!$B33:$DY33,PRODUCE!$EB$57:$IY$57)</f>
        <v>0</v>
      </c>
      <c r="WC34" s="56"/>
      <c r="WD34" s="242">
        <f t="shared" si="198"/>
        <v>0</v>
      </c>
      <c r="WE34" s="242">
        <f t="shared" si="199"/>
        <v>0</v>
      </c>
      <c r="WF34" s="56"/>
      <c r="WI34" s="55">
        <f t="shared" si="200"/>
        <v>46051</v>
      </c>
      <c r="WJ34" s="56"/>
      <c r="WK34" s="242">
        <f>SUMPRODUCT(PRODUCE!$B33:$DY33,PRODUCE!$EB$57:$IY$57)</f>
        <v>0</v>
      </c>
      <c r="WL34" s="56"/>
      <c r="WM34" s="242">
        <f t="shared" si="201"/>
        <v>0</v>
      </c>
      <c r="WN34" s="242">
        <f t="shared" si="202"/>
        <v>9609</v>
      </c>
      <c r="WO34" s="56"/>
      <c r="WR34" s="55">
        <f t="shared" si="203"/>
        <v>46051</v>
      </c>
      <c r="WS34" s="56"/>
      <c r="WT34" s="242">
        <f>SUMPRODUCT(PRODUCE!$B33:$DY33,PRODUCE!$EB$57:$IY$57)</f>
        <v>0</v>
      </c>
      <c r="WU34" s="56"/>
      <c r="WV34" s="242">
        <f t="shared" si="204"/>
        <v>0</v>
      </c>
      <c r="WW34" s="242">
        <f t="shared" si="205"/>
        <v>8149</v>
      </c>
      <c r="WX34" s="56"/>
      <c r="XA34" s="55">
        <f t="shared" si="206"/>
        <v>46051</v>
      </c>
      <c r="XB34" s="56"/>
      <c r="XC34" s="242">
        <f>SUMPRODUCT(PRODUCE!$B33:$DY33,PRODUCE!$EB$57:$IY$57)</f>
        <v>0</v>
      </c>
      <c r="XD34" s="56"/>
      <c r="XE34" s="242">
        <f t="shared" si="207"/>
        <v>0</v>
      </c>
      <c r="XF34" s="242">
        <f t="shared" si="208"/>
        <v>1836</v>
      </c>
      <c r="XG34" s="56"/>
      <c r="XJ34" s="55">
        <f t="shared" si="209"/>
        <v>46051</v>
      </c>
      <c r="XK34" s="56"/>
      <c r="XL34" s="242">
        <f>SUMPRODUCT(PRODUCE!$B33:$DY33,PRODUCE!$EB$57:$IY$57)</f>
        <v>0</v>
      </c>
      <c r="XM34" s="56"/>
      <c r="XN34" s="242">
        <f t="shared" si="210"/>
        <v>0</v>
      </c>
      <c r="XO34" s="242">
        <f t="shared" si="211"/>
        <v>6240</v>
      </c>
      <c r="XP34" s="56"/>
      <c r="XS34" s="55">
        <f t="shared" si="212"/>
        <v>46051</v>
      </c>
      <c r="XT34" s="56"/>
      <c r="XU34" s="242">
        <f>SUMPRODUCT(PRODUCE!$B33:$DY33,PRODUCE!$EB$57:$IY$57)</f>
        <v>0</v>
      </c>
      <c r="XV34" s="56"/>
      <c r="XW34" s="242">
        <f t="shared" si="213"/>
        <v>0</v>
      </c>
      <c r="XX34" s="242">
        <f t="shared" si="214"/>
        <v>1901</v>
      </c>
      <c r="XY34" s="56"/>
      <c r="YB34" s="55">
        <f t="shared" si="215"/>
        <v>46051</v>
      </c>
      <c r="YC34" s="56"/>
      <c r="YD34" s="242">
        <f>SUMPRODUCT(PRODUCE!$B33:$DY33,PRODUCE!$EB$57:$IY$57)</f>
        <v>0</v>
      </c>
      <c r="YE34" s="56"/>
      <c r="YF34" s="242">
        <f t="shared" si="216"/>
        <v>0</v>
      </c>
      <c r="YG34" s="242">
        <f t="shared" si="217"/>
        <v>1885</v>
      </c>
      <c r="YH34" s="56"/>
      <c r="YK34" s="55">
        <f t="shared" si="218"/>
        <v>46051</v>
      </c>
      <c r="YL34" s="56"/>
      <c r="YM34" s="242">
        <f>SUMPRODUCT(PRODUCE!$B33:$DY33,PRODUCE!$EB$57:$IY$57)</f>
        <v>0</v>
      </c>
      <c r="YN34" s="56"/>
      <c r="YO34" s="242">
        <f t="shared" si="219"/>
        <v>0</v>
      </c>
      <c r="YP34" s="242">
        <f t="shared" si="220"/>
        <v>0</v>
      </c>
      <c r="YQ34" s="56"/>
      <c r="YT34" s="55">
        <f t="shared" si="221"/>
        <v>46051</v>
      </c>
      <c r="YU34" s="56"/>
      <c r="YV34" s="242">
        <f>SUMPRODUCT(PRODUCE!$B33:$DY33,PRODUCE!$EB$57:$IY$57)</f>
        <v>0</v>
      </c>
      <c r="YW34" s="56"/>
      <c r="YX34" s="242">
        <f t="shared" si="222"/>
        <v>0</v>
      </c>
      <c r="YY34" s="242">
        <f t="shared" si="223"/>
        <v>0</v>
      </c>
      <c r="YZ34" s="56"/>
      <c r="ZC34" s="55">
        <f t="shared" si="224"/>
        <v>46051</v>
      </c>
      <c r="ZD34" s="56"/>
      <c r="ZE34" s="242">
        <f>SUMPRODUCT(PRODUCE!$B33:$DY33,PRODUCE!$EB$57:$IY$57)</f>
        <v>0</v>
      </c>
      <c r="ZF34" s="56"/>
      <c r="ZG34" s="242">
        <f t="shared" si="225"/>
        <v>0</v>
      </c>
      <c r="ZH34" s="242">
        <f t="shared" si="226"/>
        <v>0</v>
      </c>
      <c r="ZI34" s="56"/>
      <c r="ZL34" s="55">
        <f t="shared" si="227"/>
        <v>46051</v>
      </c>
      <c r="ZM34" s="56"/>
      <c r="ZN34" s="242">
        <f>SUMPRODUCT(PRODUCE!$B33:$DY33,PRODUCE!$EB$57:$IY$57)</f>
        <v>0</v>
      </c>
      <c r="ZO34" s="56"/>
      <c r="ZP34" s="242">
        <f t="shared" si="228"/>
        <v>0</v>
      </c>
      <c r="ZQ34" s="242">
        <f t="shared" si="229"/>
        <v>0</v>
      </c>
      <c r="ZR34" s="56"/>
      <c r="ZU34" s="55">
        <f t="shared" si="230"/>
        <v>46051</v>
      </c>
      <c r="ZV34" s="56"/>
      <c r="ZW34" s="242">
        <f>SUMPRODUCT(PRODUCE!$B33:$DY33,PRODUCE!$EB$57:$IY$57)</f>
        <v>0</v>
      </c>
      <c r="ZX34" s="56"/>
      <c r="ZY34" s="242">
        <f t="shared" si="231"/>
        <v>0</v>
      </c>
      <c r="ZZ34" s="242">
        <f t="shared" si="232"/>
        <v>0</v>
      </c>
      <c r="AAA34" s="56"/>
      <c r="AAD34" s="55">
        <f t="shared" si="233"/>
        <v>46051</v>
      </c>
      <c r="AAE34" s="56"/>
      <c r="AAF34" s="242">
        <f>SUMPRODUCT(PRODUCE!$B33:$DY33,PRODUCE!$EB$57:$IY$57)</f>
        <v>0</v>
      </c>
      <c r="AAG34" s="56"/>
      <c r="AAH34" s="242">
        <f t="shared" si="234"/>
        <v>0</v>
      </c>
      <c r="AAI34" s="242">
        <f t="shared" si="235"/>
        <v>0</v>
      </c>
      <c r="AAJ34" s="56"/>
      <c r="AAM34" s="55">
        <f t="shared" si="236"/>
        <v>46051</v>
      </c>
      <c r="AAN34" s="56"/>
      <c r="AAO34" s="242">
        <f>SUMPRODUCT(PRODUCE!$B33:$DY33,PRODUCE!$EB$57:$IY$57)</f>
        <v>0</v>
      </c>
      <c r="AAP34" s="56"/>
      <c r="AAQ34" s="242">
        <f t="shared" si="237"/>
        <v>0</v>
      </c>
      <c r="AAR34" s="242">
        <f t="shared" si="238"/>
        <v>0</v>
      </c>
      <c r="AAS34" s="56"/>
      <c r="AAV34" s="55">
        <f t="shared" si="239"/>
        <v>46051</v>
      </c>
      <c r="AAW34" s="56"/>
      <c r="AAX34" s="242">
        <f>SUMPRODUCT(PRODUCE!$B33:$DY33,PRODUCE!$EB$57:$IY$57)</f>
        <v>0</v>
      </c>
      <c r="AAY34" s="56"/>
      <c r="AAZ34" s="242">
        <f t="shared" si="240"/>
        <v>0</v>
      </c>
      <c r="ABA34" s="242">
        <f t="shared" si="241"/>
        <v>0</v>
      </c>
      <c r="ABB34" s="56"/>
      <c r="ABE34" s="55">
        <f t="shared" si="242"/>
        <v>46051</v>
      </c>
      <c r="ABF34" s="56"/>
      <c r="ABG34" s="242">
        <f>SUMPRODUCT(PRODUCE!$B33:$DY33,PRODUCE!$EB$57:$IY$57)</f>
        <v>0</v>
      </c>
      <c r="ABH34" s="56"/>
      <c r="ABI34" s="242">
        <f t="shared" si="243"/>
        <v>0</v>
      </c>
      <c r="ABJ34" s="242">
        <f t="shared" si="244"/>
        <v>0</v>
      </c>
      <c r="ABK34" s="56"/>
    </row>
    <row r="35" spans="1:739" s="54" customFormat="1" ht="15" customHeight="1" outlineLevel="1">
      <c r="B35" s="478">
        <v>16</v>
      </c>
      <c r="C35" s="55">
        <v>46052</v>
      </c>
      <c r="D35" s="422">
        <v>27500</v>
      </c>
      <c r="E35" s="423">
        <f>SUMPRODUCT(PRODUCE!$B34:$DY34,PRODUCE!$EB$7:$IY$7)</f>
        <v>10040</v>
      </c>
      <c r="F35" s="422">
        <v>10037.4</v>
      </c>
      <c r="G35" s="423">
        <f t="shared" si="2"/>
        <v>2.6000000000003638</v>
      </c>
      <c r="H35" s="423">
        <f t="shared" si="0"/>
        <v>144497.79999999999</v>
      </c>
      <c r="I35" s="289" t="s">
        <v>194</v>
      </c>
      <c r="L35" s="55">
        <f t="shared" si="1"/>
        <v>46052</v>
      </c>
      <c r="M35" s="422"/>
      <c r="N35" s="438">
        <f>SUMPRODUCT(PRODUCE!$B34:$DY34,PRODUCE!$EB$8:$IY$8)</f>
        <v>2184</v>
      </c>
      <c r="O35" s="422">
        <v>2185.6</v>
      </c>
      <c r="P35" s="438">
        <f t="shared" si="3"/>
        <v>-1.5999999999999091</v>
      </c>
      <c r="Q35" s="438">
        <f t="shared" si="4"/>
        <v>38465.799999999996</v>
      </c>
      <c r="R35" s="56"/>
      <c r="U35" s="55">
        <f t="shared" si="5"/>
        <v>46052</v>
      </c>
      <c r="V35" s="422"/>
      <c r="W35" s="440">
        <f>SUMPRODUCT(PRODUCE!$B34:$DY34,PRODUCE!$EB$9:$IY$9)</f>
        <v>1280</v>
      </c>
      <c r="X35" s="422">
        <v>1281.0999999999999</v>
      </c>
      <c r="Y35" s="440">
        <f t="shared" si="6"/>
        <v>-1.0999999999999091</v>
      </c>
      <c r="Z35" s="440">
        <f t="shared" si="7"/>
        <v>54285.599999999984</v>
      </c>
      <c r="AA35" s="56"/>
      <c r="AD35" s="55">
        <f t="shared" si="8"/>
        <v>46052</v>
      </c>
      <c r="AE35" s="422"/>
      <c r="AF35" s="442">
        <f>SUMPRODUCT(PRODUCE!$B34:$DY34,PRODUCE!$EB$10:$IY$10)</f>
        <v>1120</v>
      </c>
      <c r="AG35" s="422">
        <v>1120.5999999999999</v>
      </c>
      <c r="AH35" s="442">
        <f t="shared" si="9"/>
        <v>-0.59999999999990905</v>
      </c>
      <c r="AI35" s="442">
        <f t="shared" si="10"/>
        <v>56873.900000000009</v>
      </c>
      <c r="AJ35" s="56"/>
      <c r="AM35" s="55">
        <f t="shared" si="11"/>
        <v>46052</v>
      </c>
      <c r="AN35" s="422"/>
      <c r="AO35" s="444">
        <f>SUMPRODUCT(PRODUCE!$B34:$DY34,PRODUCE!$EB$11:$IY$11)</f>
        <v>0</v>
      </c>
      <c r="AP35" s="422"/>
      <c r="AQ35" s="444">
        <f t="shared" si="12"/>
        <v>0</v>
      </c>
      <c r="AR35" s="444">
        <f t="shared" si="13"/>
        <v>0</v>
      </c>
      <c r="AS35" s="56"/>
      <c r="AV35" s="55">
        <f t="shared" si="14"/>
        <v>46052</v>
      </c>
      <c r="AW35" s="422">
        <v>566.29999999999995</v>
      </c>
      <c r="AX35" s="446">
        <f>SUMPRODUCT(PRODUCE!$B34:$DY34,PRODUCE!$EB$12:$IY$12)</f>
        <v>248</v>
      </c>
      <c r="AY35" s="422">
        <v>248.3</v>
      </c>
      <c r="AZ35" s="446">
        <f t="shared" si="15"/>
        <v>-0.30000000000001137</v>
      </c>
      <c r="BA35" s="446">
        <f t="shared" si="16"/>
        <v>35582.69999999999</v>
      </c>
      <c r="BB35" s="56"/>
      <c r="BE35" s="55">
        <f t="shared" si="17"/>
        <v>46052</v>
      </c>
      <c r="BF35" s="422"/>
      <c r="BG35" s="448">
        <f>SUMPRODUCT(PRODUCE!$B34:$DY34,PRODUCE!$EB$13:$IY$13)</f>
        <v>400</v>
      </c>
      <c r="BH35" s="422">
        <v>400.9</v>
      </c>
      <c r="BI35" s="448">
        <f t="shared" si="18"/>
        <v>-0.89999999999997726</v>
      </c>
      <c r="BJ35" s="448">
        <f t="shared" si="19"/>
        <v>23475.600000000006</v>
      </c>
      <c r="BK35" s="56"/>
      <c r="BN35" s="55">
        <f t="shared" si="20"/>
        <v>46052</v>
      </c>
      <c r="BO35" s="422">
        <v>400</v>
      </c>
      <c r="BP35" s="450">
        <f>SUMPRODUCT(PRODUCE!$B34:$DY34,PRODUCE!$EB$14:$IY$14)</f>
        <v>400</v>
      </c>
      <c r="BQ35" s="422">
        <v>400</v>
      </c>
      <c r="BR35" s="450">
        <f t="shared" si="21"/>
        <v>0</v>
      </c>
      <c r="BS35" s="450">
        <f t="shared" si="22"/>
        <v>0</v>
      </c>
      <c r="BT35" s="56"/>
      <c r="BW35" s="55">
        <f t="shared" si="23"/>
        <v>46052</v>
      </c>
      <c r="BX35" s="56"/>
      <c r="BY35" s="65">
        <f>SUMPRODUCT(PRODUCE!$B34:$DY34,PRODUCE!$EB$15:$IY$15)</f>
        <v>0</v>
      </c>
      <c r="BZ35" s="56"/>
      <c r="CA35" s="65">
        <f t="shared" si="24"/>
        <v>0</v>
      </c>
      <c r="CB35" s="65">
        <f t="shared" si="25"/>
        <v>3284.5</v>
      </c>
      <c r="CC35" s="56"/>
      <c r="CF35" s="55">
        <f t="shared" si="26"/>
        <v>46052</v>
      </c>
      <c r="CG35" s="56"/>
      <c r="CH35" s="66">
        <f>SUMPRODUCT(PRODUCE!$B34:$DY34,PRODUCE!$EB$16:$IY$16)</f>
        <v>0</v>
      </c>
      <c r="CI35" s="56"/>
      <c r="CJ35" s="66">
        <f t="shared" si="27"/>
        <v>0</v>
      </c>
      <c r="CK35" s="66">
        <f t="shared" si="28"/>
        <v>0</v>
      </c>
      <c r="CL35" s="56"/>
      <c r="CO35" s="55">
        <f t="shared" si="29"/>
        <v>46052</v>
      </c>
      <c r="CP35" s="422"/>
      <c r="CQ35" s="470">
        <f>SUMPRODUCT(PRODUCE!$B34:$DY34,PRODUCE!$EB$17:$IY$17)</f>
        <v>0</v>
      </c>
      <c r="CR35" s="422"/>
      <c r="CS35" s="470">
        <f t="shared" si="30"/>
        <v>0</v>
      </c>
      <c r="CT35" s="470">
        <f t="shared" si="31"/>
        <v>0</v>
      </c>
      <c r="CU35" s="56"/>
      <c r="CX35" s="55">
        <f t="shared" si="32"/>
        <v>46052</v>
      </c>
      <c r="CY35" s="56"/>
      <c r="CZ35" s="133">
        <f>SUMPRODUCT(PRODUCE!$B34:$DY34,PRODUCE!$EB$18:$IY$18)</f>
        <v>0</v>
      </c>
      <c r="DA35" s="56"/>
      <c r="DB35" s="133">
        <f t="shared" si="33"/>
        <v>0</v>
      </c>
      <c r="DC35" s="133">
        <f t="shared" si="34"/>
        <v>0</v>
      </c>
      <c r="DD35" s="56"/>
      <c r="DG35" s="55">
        <f t="shared" si="35"/>
        <v>46052</v>
      </c>
      <c r="DH35" s="56"/>
      <c r="DI35" s="147">
        <f>SUMPRODUCT(PRODUCE!$B34:$DY34,PRODUCE!$EB$19:$IY$19)</f>
        <v>0</v>
      </c>
      <c r="DJ35" s="56"/>
      <c r="DK35" s="147">
        <f t="shared" si="36"/>
        <v>0</v>
      </c>
      <c r="DL35" s="147">
        <f t="shared" si="37"/>
        <v>22172.799999999996</v>
      </c>
      <c r="DM35" s="56"/>
      <c r="DP35" s="55">
        <f t="shared" si="38"/>
        <v>46052</v>
      </c>
      <c r="DQ35" s="56"/>
      <c r="DR35" s="57">
        <f>SUMPRODUCT(PRODUCE!$B34:$DY34,PRODUCE!$EB$20:$IY$20)</f>
        <v>0</v>
      </c>
      <c r="DS35" s="56"/>
      <c r="DT35" s="57">
        <f t="shared" si="39"/>
        <v>0</v>
      </c>
      <c r="DU35" s="57">
        <f t="shared" si="40"/>
        <v>0</v>
      </c>
      <c r="DV35" s="56"/>
      <c r="DY35" s="55">
        <f t="shared" si="41"/>
        <v>46052</v>
      </c>
      <c r="DZ35" s="56"/>
      <c r="EA35" s="157">
        <f>SUMPRODUCT(PRODUCE!$B34:$DY34,PRODUCE!$EB$21:$IY$21)</f>
        <v>0</v>
      </c>
      <c r="EB35" s="56"/>
      <c r="EC35" s="157">
        <f t="shared" si="42"/>
        <v>0</v>
      </c>
      <c r="ED35" s="157">
        <f t="shared" si="43"/>
        <v>0</v>
      </c>
      <c r="EE35" s="56"/>
      <c r="EH35" s="55">
        <f t="shared" si="44"/>
        <v>46052</v>
      </c>
      <c r="EI35" s="56"/>
      <c r="EJ35" s="162">
        <f>SUMPRODUCT(PRODUCE!$B34:$DY34,PRODUCE!$EB$22:$IY$22)</f>
        <v>0</v>
      </c>
      <c r="EK35" s="56"/>
      <c r="EL35" s="162">
        <f t="shared" si="45"/>
        <v>0</v>
      </c>
      <c r="EM35" s="162">
        <f t="shared" si="46"/>
        <v>0</v>
      </c>
      <c r="EN35" s="56"/>
      <c r="EQ35" s="55">
        <f t="shared" si="47"/>
        <v>46052</v>
      </c>
      <c r="ER35" s="56"/>
      <c r="ES35" s="135">
        <f>SUMPRODUCT(PRODUCE!$B34:$DY34,PRODUCE!$EB$23:$IY$23)</f>
        <v>0</v>
      </c>
      <c r="ET35" s="56"/>
      <c r="EU35" s="135">
        <f t="shared" si="48"/>
        <v>0</v>
      </c>
      <c r="EV35" s="135">
        <f t="shared" si="49"/>
        <v>0</v>
      </c>
      <c r="EW35" s="56"/>
      <c r="EZ35" s="55">
        <f t="shared" si="50"/>
        <v>46052</v>
      </c>
      <c r="FA35" s="56"/>
      <c r="FB35" s="175">
        <f>SUMPRODUCT(PRODUCE!$B34:$DY34,PRODUCE!$EB$24:$IY$24)</f>
        <v>0</v>
      </c>
      <c r="FC35" s="56"/>
      <c r="FD35" s="175">
        <f t="shared" si="51"/>
        <v>0</v>
      </c>
      <c r="FE35" s="175">
        <f t="shared" si="52"/>
        <v>0</v>
      </c>
      <c r="FF35" s="56"/>
      <c r="FI35" s="55">
        <f t="shared" si="53"/>
        <v>46052</v>
      </c>
      <c r="FJ35" s="56"/>
      <c r="FK35" s="183">
        <f>SUMPRODUCT(PRODUCE!$B34:$DY34,PRODUCE!$EB$25:$IY$25)</f>
        <v>0</v>
      </c>
      <c r="FL35" s="56"/>
      <c r="FM35" s="183">
        <f t="shared" si="54"/>
        <v>0</v>
      </c>
      <c r="FN35" s="183">
        <f t="shared" si="55"/>
        <v>0</v>
      </c>
      <c r="FO35" s="56"/>
      <c r="FR35" s="55">
        <f t="shared" si="56"/>
        <v>46052</v>
      </c>
      <c r="FS35" s="422"/>
      <c r="FT35" s="452">
        <f>SUMPRODUCT(PRODUCE!$B34:$DY34,PRODUCE!$EB$26:$IY$26)</f>
        <v>0</v>
      </c>
      <c r="FU35" s="422"/>
      <c r="FV35" s="452">
        <f t="shared" si="57"/>
        <v>0</v>
      </c>
      <c r="FW35" s="452">
        <f t="shared" si="58"/>
        <v>3540</v>
      </c>
      <c r="FX35" s="56"/>
      <c r="GA35" s="55">
        <f t="shared" si="59"/>
        <v>46052</v>
      </c>
      <c r="GB35" s="422"/>
      <c r="GC35" s="454">
        <f>SUMPRODUCT(PRODUCE!$B34:$DY34,PRODUCE!$EB$27:$IY$27)</f>
        <v>0</v>
      </c>
      <c r="GD35" s="422"/>
      <c r="GE35" s="454">
        <f t="shared" si="60"/>
        <v>0</v>
      </c>
      <c r="GF35" s="454">
        <f t="shared" si="61"/>
        <v>3960</v>
      </c>
      <c r="GG35" s="56"/>
      <c r="GI35" s="23"/>
      <c r="GJ35" s="55">
        <f t="shared" si="62"/>
        <v>46052</v>
      </c>
      <c r="GK35" s="422"/>
      <c r="GL35" s="456">
        <f>SUMPRODUCT(PRODUCE!$B34:$DY34,PRODUCE!$EB$28:$IY$28)</f>
        <v>320</v>
      </c>
      <c r="GM35" s="422">
        <v>1200</v>
      </c>
      <c r="GN35" s="456">
        <f t="shared" si="63"/>
        <v>-880</v>
      </c>
      <c r="GO35" s="456">
        <f t="shared" si="64"/>
        <v>3240</v>
      </c>
      <c r="GP35" s="463">
        <f>GM35/20</f>
        <v>60</v>
      </c>
      <c r="GQ35" s="464" t="s">
        <v>173</v>
      </c>
      <c r="GS35" s="55">
        <f t="shared" si="65"/>
        <v>46052</v>
      </c>
      <c r="GT35" s="56"/>
      <c r="GU35" s="195">
        <f>SUMPRODUCT(PRODUCE!$B34:$DY34,PRODUCE!$EB$29:$IY$29)</f>
        <v>0</v>
      </c>
      <c r="GV35" s="56"/>
      <c r="GW35" s="195">
        <f t="shared" si="66"/>
        <v>0</v>
      </c>
      <c r="GX35" s="195">
        <f t="shared" si="67"/>
        <v>0</v>
      </c>
      <c r="GY35" s="56"/>
      <c r="HB35" s="55">
        <f t="shared" si="68"/>
        <v>46052</v>
      </c>
      <c r="HC35" s="56"/>
      <c r="HD35" s="191">
        <f>SUMPRODUCT(PRODUCE!$B34:$DY34,PRODUCE!$EB$30:$IY$30)</f>
        <v>0</v>
      </c>
      <c r="HE35" s="56"/>
      <c r="HF35" s="191">
        <f t="shared" si="69"/>
        <v>0</v>
      </c>
      <c r="HG35" s="191">
        <f t="shared" si="70"/>
        <v>0</v>
      </c>
      <c r="HH35" s="56"/>
      <c r="HK35" s="55">
        <f t="shared" si="71"/>
        <v>46052</v>
      </c>
      <c r="HL35" s="56"/>
      <c r="HM35" s="63">
        <f>SUMPRODUCT(PRODUCE!$B34:$DY34,PRODUCE!$EB$31:$IY$31)</f>
        <v>0</v>
      </c>
      <c r="HN35" s="56"/>
      <c r="HO35" s="63">
        <f t="shared" si="72"/>
        <v>0</v>
      </c>
      <c r="HP35" s="63">
        <f t="shared" si="73"/>
        <v>0</v>
      </c>
      <c r="HQ35" s="56"/>
      <c r="HU35" s="55">
        <f t="shared" si="74"/>
        <v>46052</v>
      </c>
      <c r="HV35" s="56"/>
      <c r="HW35" s="242">
        <f>SUMPRODUCT(PRODUCE!$B34:$DY34,PRODUCE!$EB$32:$IY$32)</f>
        <v>0</v>
      </c>
      <c r="HX35" s="56"/>
      <c r="HY35" s="242">
        <f t="shared" si="75"/>
        <v>0</v>
      </c>
      <c r="HZ35" s="242">
        <f t="shared" si="76"/>
        <v>5440</v>
      </c>
      <c r="IA35" s="56"/>
      <c r="ID35" s="55">
        <f t="shared" si="77"/>
        <v>46052</v>
      </c>
      <c r="IE35" s="56"/>
      <c r="IF35" s="242">
        <f>SUMPRODUCT(PRODUCE!$B34:$DY34,PRODUCE!$EB$33:$IY$33)</f>
        <v>0</v>
      </c>
      <c r="IG35" s="56"/>
      <c r="IH35" s="242">
        <f t="shared" si="78"/>
        <v>0</v>
      </c>
      <c r="II35" s="242">
        <f t="shared" si="79"/>
        <v>5100</v>
      </c>
      <c r="IJ35" s="56"/>
      <c r="IM35" s="55">
        <f t="shared" si="80"/>
        <v>46052</v>
      </c>
      <c r="IN35" s="56"/>
      <c r="IO35" s="242">
        <f>SUMPRODUCT(PRODUCE!$B34:$DY34,PRODUCE!$EB$34:$IY$34)</f>
        <v>0</v>
      </c>
      <c r="IP35" s="56">
        <v>2400</v>
      </c>
      <c r="IQ35" s="242">
        <f t="shared" si="81"/>
        <v>-2400</v>
      </c>
      <c r="IR35" s="242">
        <f t="shared" si="82"/>
        <v>16240</v>
      </c>
      <c r="IS35" s="463">
        <f>IP35/20</f>
        <v>120</v>
      </c>
      <c r="IT35" s="464" t="s">
        <v>173</v>
      </c>
      <c r="IV35" s="55">
        <f t="shared" si="83"/>
        <v>46052</v>
      </c>
      <c r="IW35" s="56">
        <f>100*20</f>
        <v>2000</v>
      </c>
      <c r="IX35" s="242">
        <f>SUMPRODUCT(PRODUCE!$B34:$DY34,PRODUCE!$EB$35:$IY$35)</f>
        <v>0</v>
      </c>
      <c r="IY35" s="56"/>
      <c r="IZ35" s="242">
        <f t="shared" si="84"/>
        <v>0</v>
      </c>
      <c r="JA35" s="242">
        <f t="shared" si="85"/>
        <v>13120</v>
      </c>
      <c r="JB35" s="56"/>
      <c r="JE35" s="55">
        <f t="shared" si="86"/>
        <v>46052</v>
      </c>
      <c r="JF35" s="56"/>
      <c r="JG35" s="242">
        <f>SUMPRODUCT(PRODUCE!$B34:$DY34,PRODUCE!$EB$36:$IY$36)</f>
        <v>0</v>
      </c>
      <c r="JH35" s="56"/>
      <c r="JI35" s="242">
        <f t="shared" si="87"/>
        <v>0</v>
      </c>
      <c r="JJ35" s="242">
        <f t="shared" si="88"/>
        <v>6800</v>
      </c>
      <c r="JK35" s="56"/>
      <c r="JN35" s="55">
        <f t="shared" si="89"/>
        <v>46052</v>
      </c>
      <c r="JO35" s="56"/>
      <c r="JP35" s="242">
        <f>SUMPRODUCT(PRODUCE!$B34:$DY34,PRODUCE!$EB$37:$IY$37)</f>
        <v>0</v>
      </c>
      <c r="JQ35" s="56"/>
      <c r="JR35" s="242">
        <f t="shared" si="90"/>
        <v>0</v>
      </c>
      <c r="JS35" s="242">
        <f t="shared" si="91"/>
        <v>5400</v>
      </c>
      <c r="JT35" s="56"/>
      <c r="JW35" s="55">
        <f t="shared" si="92"/>
        <v>46052</v>
      </c>
      <c r="JX35" s="56"/>
      <c r="JY35" s="242">
        <f>SUMPRODUCT(PRODUCE!$B34:$DY34,PRODUCE!$EB$38:$IY$38)</f>
        <v>0</v>
      </c>
      <c r="JZ35" s="56"/>
      <c r="KA35" s="242">
        <f t="shared" si="93"/>
        <v>0</v>
      </c>
      <c r="KB35" s="242">
        <f t="shared" si="94"/>
        <v>2260</v>
      </c>
      <c r="KC35" s="56"/>
      <c r="KF35" s="55">
        <f t="shared" si="95"/>
        <v>46052</v>
      </c>
      <c r="KG35" s="56"/>
      <c r="KH35" s="242">
        <f>SUMPRODUCT(PRODUCE!$B34:$DY34,PRODUCE!$EB$39:$IY$39)</f>
        <v>0</v>
      </c>
      <c r="KI35" s="56"/>
      <c r="KJ35" s="242">
        <f t="shared" si="96"/>
        <v>0</v>
      </c>
      <c r="KK35" s="242">
        <f t="shared" si="97"/>
        <v>0</v>
      </c>
      <c r="KL35" s="56"/>
      <c r="KO35" s="55">
        <f t="shared" si="98"/>
        <v>46052</v>
      </c>
      <c r="KP35" s="56"/>
      <c r="KQ35" s="242">
        <f>SUMPRODUCT(PRODUCE!$B34:$DY34,PRODUCE!$EB$40:$IY$40)</f>
        <v>0</v>
      </c>
      <c r="KR35" s="56"/>
      <c r="KS35" s="242">
        <f t="shared" si="99"/>
        <v>0</v>
      </c>
      <c r="KT35" s="242">
        <f t="shared" si="100"/>
        <v>0</v>
      </c>
      <c r="KU35" s="56"/>
      <c r="KW35" s="23"/>
      <c r="KX35" s="55">
        <f t="shared" si="101"/>
        <v>46052</v>
      </c>
      <c r="KY35" s="56"/>
      <c r="KZ35" s="242">
        <f>SUMPRODUCT(PRODUCE!$B34:$DY34,PRODUCE!$EB$41:$IY$41)</f>
        <v>0</v>
      </c>
      <c r="LA35" s="56"/>
      <c r="LB35" s="242">
        <f t="shared" si="102"/>
        <v>0</v>
      </c>
      <c r="LC35" s="242">
        <f t="shared" si="103"/>
        <v>0</v>
      </c>
      <c r="LD35" s="56"/>
      <c r="LG35" s="55">
        <f t="shared" si="104"/>
        <v>46052</v>
      </c>
      <c r="LH35" s="56"/>
      <c r="LI35" s="242">
        <f>SUMPRODUCT(PRODUCE!$B34:$DY34,PRODUCE!$EB$42:$IY$42)</f>
        <v>0</v>
      </c>
      <c r="LJ35" s="56"/>
      <c r="LK35" s="242">
        <f t="shared" si="105"/>
        <v>0</v>
      </c>
      <c r="LL35" s="242">
        <f t="shared" si="106"/>
        <v>0</v>
      </c>
      <c r="LM35" s="56"/>
      <c r="LP35" s="55">
        <f t="shared" si="107"/>
        <v>46052</v>
      </c>
      <c r="LQ35" s="56"/>
      <c r="LR35" s="242">
        <f>SUMPRODUCT(PRODUCE!$B34:$DY34,PRODUCE!$EB$43:$IY$43)</f>
        <v>0</v>
      </c>
      <c r="LS35" s="56"/>
      <c r="LT35" s="242">
        <f t="shared" si="108"/>
        <v>0</v>
      </c>
      <c r="LU35" s="242">
        <f t="shared" si="109"/>
        <v>0</v>
      </c>
      <c r="LV35" s="56"/>
      <c r="LY35" s="55">
        <f t="shared" si="110"/>
        <v>46052</v>
      </c>
      <c r="LZ35" s="56"/>
      <c r="MA35" s="242">
        <f>SUMPRODUCT(PRODUCE!$B34:$DY34,PRODUCE!$EB$44:$IY$44)</f>
        <v>0</v>
      </c>
      <c r="MB35" s="56"/>
      <c r="MC35" s="242">
        <f t="shared" si="111"/>
        <v>0</v>
      </c>
      <c r="MD35" s="242">
        <f t="shared" si="112"/>
        <v>0</v>
      </c>
      <c r="ME35" s="56"/>
      <c r="MH35" s="55">
        <f t="shared" si="113"/>
        <v>46052</v>
      </c>
      <c r="MI35" s="56"/>
      <c r="MJ35" s="242">
        <f>SUMPRODUCT(PRODUCE!$B34:$DY34,PRODUCE!$EB$45:$IY$45)</f>
        <v>0</v>
      </c>
      <c r="MK35" s="56"/>
      <c r="ML35" s="242">
        <f t="shared" si="114"/>
        <v>0</v>
      </c>
      <c r="MM35" s="242">
        <f t="shared" si="115"/>
        <v>0</v>
      </c>
      <c r="MN35" s="56"/>
      <c r="MQ35" s="55">
        <f t="shared" si="116"/>
        <v>46052</v>
      </c>
      <c r="MR35" s="56"/>
      <c r="MS35" s="242">
        <f>SUMPRODUCT(PRODUCE!$B34:$DY34,PRODUCE!$EB$46:$IY$46)</f>
        <v>8</v>
      </c>
      <c r="MT35" s="56">
        <f>60+30</f>
        <v>90</v>
      </c>
      <c r="MU35" s="242">
        <f t="shared" si="117"/>
        <v>-82</v>
      </c>
      <c r="MV35" s="242">
        <f t="shared" si="118"/>
        <v>1969</v>
      </c>
      <c r="MW35" s="56"/>
      <c r="MZ35" s="55">
        <f t="shared" si="119"/>
        <v>46052</v>
      </c>
      <c r="NA35" s="56">
        <v>360</v>
      </c>
      <c r="NB35" s="242">
        <f>SUMPRODUCT(PRODUCE!$B34:$DY34,PRODUCE!$EB$47:$IY$47)</f>
        <v>0</v>
      </c>
      <c r="NC35" s="56">
        <v>360</v>
      </c>
      <c r="ND35" s="242">
        <f t="shared" si="120"/>
        <v>-360</v>
      </c>
      <c r="NE35" s="242">
        <f t="shared" si="121"/>
        <v>0</v>
      </c>
      <c r="NF35" s="56"/>
      <c r="NI35" s="55">
        <f t="shared" si="122"/>
        <v>46052</v>
      </c>
      <c r="NJ35" s="56"/>
      <c r="NK35" s="242">
        <f>SUMPRODUCT(PRODUCE!$B34:$DY34,PRODUCE!$EB$48:$IY$48)</f>
        <v>0</v>
      </c>
      <c r="NL35" s="56"/>
      <c r="NM35" s="242">
        <f t="shared" si="123"/>
        <v>0</v>
      </c>
      <c r="NN35" s="242">
        <f t="shared" si="124"/>
        <v>0</v>
      </c>
      <c r="NO35" s="56"/>
      <c r="NR35" s="55">
        <f t="shared" si="125"/>
        <v>46052</v>
      </c>
      <c r="NS35" s="56"/>
      <c r="NT35" s="242">
        <f>SUMPRODUCT(PRODUCE!$B34:$DY34,PRODUCE!$EB$49:$IY$49)</f>
        <v>0</v>
      </c>
      <c r="NU35" s="56"/>
      <c r="NV35" s="242">
        <f t="shared" si="126"/>
        <v>0</v>
      </c>
      <c r="NW35" s="242">
        <f t="shared" si="127"/>
        <v>0</v>
      </c>
      <c r="NX35" s="56"/>
      <c r="OA35" s="55">
        <f t="shared" si="128"/>
        <v>46052</v>
      </c>
      <c r="OB35" s="56"/>
      <c r="OC35" s="242">
        <f>SUMPRODUCT(PRODUCE!$B34:$DY34,PRODUCE!$EB$50:$IY$50)</f>
        <v>0</v>
      </c>
      <c r="OD35" s="56"/>
      <c r="OE35" s="242">
        <f t="shared" si="129"/>
        <v>0</v>
      </c>
      <c r="OF35" s="242">
        <f t="shared" si="130"/>
        <v>1680.5</v>
      </c>
      <c r="OG35" s="56"/>
      <c r="OJ35" s="55">
        <f t="shared" si="131"/>
        <v>46052</v>
      </c>
      <c r="OK35" s="56"/>
      <c r="OL35" s="242">
        <f>SUMPRODUCT(PRODUCE!$B34:$DY34,PRODUCE!$EB$51:$IY$51)</f>
        <v>0</v>
      </c>
      <c r="OM35" s="56"/>
      <c r="ON35" s="242">
        <f t="shared" si="132"/>
        <v>0</v>
      </c>
      <c r="OO35" s="242">
        <f t="shared" si="133"/>
        <v>0</v>
      </c>
      <c r="OP35" s="56"/>
      <c r="OS35" s="55">
        <f t="shared" si="134"/>
        <v>46052</v>
      </c>
      <c r="OT35" s="56"/>
      <c r="OU35" s="242">
        <f>SUMPRODUCT(PRODUCE!$B34:$DY34,PRODUCE!$EB$52:$IY$52)</f>
        <v>0</v>
      </c>
      <c r="OV35" s="56">
        <v>67</v>
      </c>
      <c r="OW35" s="242">
        <f t="shared" si="135"/>
        <v>-67</v>
      </c>
      <c r="OX35" s="242">
        <f t="shared" si="136"/>
        <v>0</v>
      </c>
      <c r="OY35" s="56"/>
      <c r="PB35" s="55">
        <f t="shared" si="137"/>
        <v>46052</v>
      </c>
      <c r="PC35" s="56">
        <v>120</v>
      </c>
      <c r="PD35" s="242">
        <f>SUMPRODUCT(PRODUCE!$B34:$DY34,PRODUCE!$EB$53:$IY$53)</f>
        <v>0</v>
      </c>
      <c r="PE35" s="56">
        <v>120</v>
      </c>
      <c r="PF35" s="242">
        <f t="shared" si="138"/>
        <v>-120</v>
      </c>
      <c r="PG35" s="242">
        <f t="shared" si="139"/>
        <v>0</v>
      </c>
      <c r="PH35" s="56"/>
      <c r="PK35" s="55">
        <f t="shared" si="140"/>
        <v>46052</v>
      </c>
      <c r="PL35" s="56"/>
      <c r="PM35" s="242">
        <f>SUMPRODUCT(PRODUCE!$B34:$DY34,PRODUCE!$EB$54:$IY$54)</f>
        <v>0</v>
      </c>
      <c r="PN35" s="56"/>
      <c r="PO35" s="242">
        <f t="shared" si="141"/>
        <v>0</v>
      </c>
      <c r="PP35" s="242">
        <f t="shared" si="142"/>
        <v>160</v>
      </c>
      <c r="PQ35" s="56"/>
      <c r="PT35" s="55">
        <f t="shared" si="143"/>
        <v>46052</v>
      </c>
      <c r="PU35" s="56"/>
      <c r="PV35" s="242">
        <f>SUMPRODUCT(PRODUCE!$B34:$DY34,PRODUCE!$EB$55:$IY$55)</f>
        <v>0</v>
      </c>
      <c r="PW35" s="56"/>
      <c r="PX35" s="242">
        <f t="shared" si="144"/>
        <v>0</v>
      </c>
      <c r="PY35" s="242">
        <f t="shared" si="145"/>
        <v>13.960000000000036</v>
      </c>
      <c r="PZ35" s="56"/>
      <c r="QC35" s="55">
        <f t="shared" si="146"/>
        <v>46052</v>
      </c>
      <c r="QD35" s="56"/>
      <c r="QE35" s="242">
        <f>SUMPRODUCT(PRODUCE!$B34:$DY34,PRODUCE!$EB$56:$IY$56)</f>
        <v>0</v>
      </c>
      <c r="QF35" s="56"/>
      <c r="QG35" s="242">
        <f t="shared" si="147"/>
        <v>0</v>
      </c>
      <c r="QH35" s="242">
        <f t="shared" si="148"/>
        <v>0</v>
      </c>
      <c r="QI35" s="56"/>
      <c r="QL35" s="55">
        <f t="shared" si="149"/>
        <v>46052</v>
      </c>
      <c r="QM35" s="56"/>
      <c r="QN35" s="242">
        <f>SUMPRODUCT(PRODUCE!$B34:$DY34,PRODUCE!$EB$57:$IY$57)</f>
        <v>0</v>
      </c>
      <c r="QO35" s="56"/>
      <c r="QP35" s="242">
        <f t="shared" si="150"/>
        <v>0</v>
      </c>
      <c r="QQ35" s="242">
        <f t="shared" si="151"/>
        <v>0</v>
      </c>
      <c r="QR35" s="56"/>
      <c r="QU35" s="55">
        <f t="shared" si="152"/>
        <v>46052</v>
      </c>
      <c r="QV35" s="56"/>
      <c r="QW35" s="242">
        <f>SUMPRODUCT(PRODUCE!$B34:$DY34,PRODUCE!$EB$57:$IY$57)</f>
        <v>0</v>
      </c>
      <c r="QX35" s="56"/>
      <c r="QY35" s="242">
        <f t="shared" si="153"/>
        <v>0</v>
      </c>
      <c r="QZ35" s="242">
        <f t="shared" si="154"/>
        <v>207.6</v>
      </c>
      <c r="RA35" s="56"/>
      <c r="RD35" s="55">
        <f t="shared" si="155"/>
        <v>46052</v>
      </c>
      <c r="RE35" s="56"/>
      <c r="RF35" s="242">
        <f>SUMPRODUCT(PRODUCE!$B34:$DY34,PRODUCE!$EB$58:$IY$58)</f>
        <v>0</v>
      </c>
      <c r="RG35" s="56"/>
      <c r="RH35" s="242">
        <f t="shared" si="156"/>
        <v>0</v>
      </c>
      <c r="RI35" s="242">
        <f t="shared" si="157"/>
        <v>201.8</v>
      </c>
      <c r="RJ35" s="56"/>
      <c r="RM35" s="55">
        <f t="shared" si="158"/>
        <v>46052</v>
      </c>
      <c r="RN35" s="56"/>
      <c r="RO35" s="242">
        <f>SUMPRODUCT(PRODUCE!$B34:$DY34,PRODUCE!$EB$59:$IY$59)</f>
        <v>0</v>
      </c>
      <c r="RP35" s="56"/>
      <c r="RQ35" s="242">
        <f t="shared" si="159"/>
        <v>0</v>
      </c>
      <c r="RR35" s="242">
        <f t="shared" si="160"/>
        <v>22.720000000000002</v>
      </c>
      <c r="RS35" s="56"/>
      <c r="RV35" s="55">
        <f t="shared" si="161"/>
        <v>46052</v>
      </c>
      <c r="RW35" s="56"/>
      <c r="RX35" s="242">
        <f>SUMPRODUCT(PRODUCE!$B34:$DY34,PRODUCE!$EB$57:$IY$57)</f>
        <v>0</v>
      </c>
      <c r="RY35" s="56"/>
      <c r="RZ35" s="242">
        <f t="shared" si="162"/>
        <v>0</v>
      </c>
      <c r="SA35" s="242">
        <f t="shared" si="163"/>
        <v>0</v>
      </c>
      <c r="SB35" s="56"/>
      <c r="SE35" s="55">
        <f t="shared" si="164"/>
        <v>46052</v>
      </c>
      <c r="SF35" s="56"/>
      <c r="SG35" s="242">
        <f>SUMPRODUCT(PRODUCE!$B34:$DY34,PRODUCE!$EB$61:$IY$61)</f>
        <v>0</v>
      </c>
      <c r="SH35" s="56"/>
      <c r="SI35" s="242">
        <f t="shared" si="165"/>
        <v>0</v>
      </c>
      <c r="SJ35" s="242">
        <f t="shared" si="166"/>
        <v>0</v>
      </c>
      <c r="SK35" s="56"/>
      <c r="SN35" s="55">
        <f t="shared" si="167"/>
        <v>46052</v>
      </c>
      <c r="SO35" s="56"/>
      <c r="SP35" s="242">
        <f>SUMPRODUCT(PRODUCE!$B34:$DY34,PRODUCE!$EB$57:$IY$57)</f>
        <v>0</v>
      </c>
      <c r="SQ35" s="56"/>
      <c r="SR35" s="242">
        <f t="shared" si="168"/>
        <v>0</v>
      </c>
      <c r="SS35" s="242">
        <f t="shared" si="169"/>
        <v>0</v>
      </c>
      <c r="ST35" s="56"/>
      <c r="SW35" s="55">
        <f t="shared" si="170"/>
        <v>46052</v>
      </c>
      <c r="SX35" s="56"/>
      <c r="SY35" s="242">
        <f>SUMPRODUCT(PRODUCE!$B34:$DY34,PRODUCE!$EB$57:$IY$57)</f>
        <v>0</v>
      </c>
      <c r="SZ35" s="56"/>
      <c r="TA35" s="242">
        <f t="shared" si="171"/>
        <v>0</v>
      </c>
      <c r="TB35" s="242">
        <f t="shared" si="172"/>
        <v>270</v>
      </c>
      <c r="TC35" s="56"/>
      <c r="TF35" s="55">
        <f t="shared" si="173"/>
        <v>46052</v>
      </c>
      <c r="TG35" s="56"/>
      <c r="TH35" s="242">
        <f>SUMPRODUCT(PRODUCE!$B34:$DY34,PRODUCE!$EB$57:$IY$57)</f>
        <v>0</v>
      </c>
      <c r="TI35" s="56"/>
      <c r="TJ35" s="242">
        <f t="shared" si="174"/>
        <v>0</v>
      </c>
      <c r="TK35" s="242">
        <f t="shared" si="175"/>
        <v>0</v>
      </c>
      <c r="TL35" s="56"/>
      <c r="TO35" s="55">
        <f t="shared" si="176"/>
        <v>46052</v>
      </c>
      <c r="TP35" s="56"/>
      <c r="TQ35" s="242">
        <f>SUMPRODUCT(PRODUCE!$B34:$DY34,PRODUCE!$EB$57:$IY$57)</f>
        <v>0</v>
      </c>
      <c r="TR35" s="56"/>
      <c r="TS35" s="242">
        <f t="shared" si="177"/>
        <v>0</v>
      </c>
      <c r="TT35" s="242">
        <f t="shared" si="178"/>
        <v>0</v>
      </c>
      <c r="TU35" s="56"/>
      <c r="TX35" s="55">
        <f t="shared" si="179"/>
        <v>46052</v>
      </c>
      <c r="TY35" s="56"/>
      <c r="TZ35" s="242">
        <f>SUMPRODUCT(PRODUCE!$B34:$DY34,PRODUCE!$EB$57:$IY$57)</f>
        <v>0</v>
      </c>
      <c r="UA35" s="56"/>
      <c r="UB35" s="242">
        <f t="shared" si="180"/>
        <v>0</v>
      </c>
      <c r="UC35" s="242">
        <f t="shared" si="181"/>
        <v>0</v>
      </c>
      <c r="UD35" s="56"/>
      <c r="UG35" s="55">
        <f t="shared" si="182"/>
        <v>46052</v>
      </c>
      <c r="UH35" s="56"/>
      <c r="UI35" s="242">
        <f>SUMPRODUCT(PRODUCE!$B34:$DY34,PRODUCE!$EB$57:$IY$57)</f>
        <v>0</v>
      </c>
      <c r="UJ35" s="56"/>
      <c r="UK35" s="242">
        <f t="shared" si="183"/>
        <v>0</v>
      </c>
      <c r="UL35" s="242">
        <f t="shared" si="184"/>
        <v>0</v>
      </c>
      <c r="UM35" s="56"/>
      <c r="UP35" s="55">
        <f t="shared" si="185"/>
        <v>46052</v>
      </c>
      <c r="UQ35" s="56"/>
      <c r="UR35" s="242">
        <f>SUMPRODUCT(PRODUCE!$B34:$DY34,PRODUCE!$EB$57:$IY$57)</f>
        <v>0</v>
      </c>
      <c r="US35" s="56"/>
      <c r="UT35" s="242">
        <f t="shared" si="186"/>
        <v>0</v>
      </c>
      <c r="UU35" s="242">
        <f t="shared" si="187"/>
        <v>0</v>
      </c>
      <c r="UV35" s="56"/>
      <c r="UY35" s="55">
        <f t="shared" si="188"/>
        <v>46052</v>
      </c>
      <c r="UZ35" s="56"/>
      <c r="VA35" s="242">
        <f>SUMPRODUCT(PRODUCE!$B34:$DY34,PRODUCE!$EB$57:$IY$57)</f>
        <v>0</v>
      </c>
      <c r="VB35" s="56"/>
      <c r="VC35" s="242">
        <f t="shared" si="189"/>
        <v>0</v>
      </c>
      <c r="VD35" s="242">
        <f t="shared" si="190"/>
        <v>41.600000000000023</v>
      </c>
      <c r="VE35" s="56"/>
      <c r="VH35" s="55">
        <f t="shared" si="191"/>
        <v>46052</v>
      </c>
      <c r="VI35" s="56"/>
      <c r="VJ35" s="242">
        <f>SUMPRODUCT(PRODUCE!$B34:$DY34,PRODUCE!$EB$57:$IY$57)</f>
        <v>0</v>
      </c>
      <c r="VK35" s="56"/>
      <c r="VL35" s="242">
        <f t="shared" si="192"/>
        <v>0</v>
      </c>
      <c r="VM35" s="242">
        <f t="shared" si="193"/>
        <v>0</v>
      </c>
      <c r="VN35" s="56"/>
      <c r="VQ35" s="55">
        <f t="shared" si="194"/>
        <v>46052</v>
      </c>
      <c r="VR35" s="56"/>
      <c r="VS35" s="242">
        <f>SUMPRODUCT(PRODUCE!$B34:$DY34,PRODUCE!$EB$57:$IY$57)</f>
        <v>0</v>
      </c>
      <c r="VT35" s="56"/>
      <c r="VU35" s="242">
        <f t="shared" si="195"/>
        <v>0</v>
      </c>
      <c r="VV35" s="242">
        <f t="shared" si="196"/>
        <v>0</v>
      </c>
      <c r="VW35" s="56"/>
      <c r="VZ35" s="55">
        <f t="shared" si="197"/>
        <v>46052</v>
      </c>
      <c r="WA35" s="56"/>
      <c r="WB35" s="242">
        <f>SUMPRODUCT(PRODUCE!$B34:$DY34,PRODUCE!$EB$57:$IY$57)</f>
        <v>0</v>
      </c>
      <c r="WC35" s="56"/>
      <c r="WD35" s="242">
        <f t="shared" si="198"/>
        <v>0</v>
      </c>
      <c r="WE35" s="242">
        <f t="shared" si="199"/>
        <v>0</v>
      </c>
      <c r="WF35" s="56"/>
      <c r="WI35" s="55">
        <f t="shared" si="200"/>
        <v>46052</v>
      </c>
      <c r="WJ35" s="56"/>
      <c r="WK35" s="242">
        <f>SUMPRODUCT(PRODUCE!$B34:$DY34,PRODUCE!$EB$57:$IY$57)</f>
        <v>0</v>
      </c>
      <c r="WL35" s="56"/>
      <c r="WM35" s="242">
        <f t="shared" si="201"/>
        <v>0</v>
      </c>
      <c r="WN35" s="242">
        <f t="shared" si="202"/>
        <v>9609</v>
      </c>
      <c r="WO35" s="56"/>
      <c r="WR35" s="55">
        <f t="shared" si="203"/>
        <v>46052</v>
      </c>
      <c r="WS35" s="56"/>
      <c r="WT35" s="242">
        <f>SUMPRODUCT(PRODUCE!$B34:$DY34,PRODUCE!$EB$57:$IY$57)</f>
        <v>0</v>
      </c>
      <c r="WU35" s="56"/>
      <c r="WV35" s="242">
        <f t="shared" si="204"/>
        <v>0</v>
      </c>
      <c r="WW35" s="242">
        <f t="shared" si="205"/>
        <v>8149</v>
      </c>
      <c r="WX35" s="56"/>
      <c r="XA35" s="55">
        <f t="shared" si="206"/>
        <v>46052</v>
      </c>
      <c r="XB35" s="56"/>
      <c r="XC35" s="242">
        <f>SUMPRODUCT(PRODUCE!$B34:$DY34,PRODUCE!$EB$57:$IY$57)</f>
        <v>0</v>
      </c>
      <c r="XD35" s="56">
        <v>323</v>
      </c>
      <c r="XE35" s="242">
        <f t="shared" si="207"/>
        <v>-323</v>
      </c>
      <c r="XF35" s="242">
        <f t="shared" si="208"/>
        <v>1513</v>
      </c>
      <c r="XG35" s="56"/>
      <c r="XJ35" s="55">
        <f t="shared" si="209"/>
        <v>46052</v>
      </c>
      <c r="XK35" s="56"/>
      <c r="XL35" s="242">
        <f>SUMPRODUCT(PRODUCE!$B34:$DY34,PRODUCE!$EB$57:$IY$57)</f>
        <v>0</v>
      </c>
      <c r="XM35" s="56"/>
      <c r="XN35" s="242">
        <f t="shared" si="210"/>
        <v>0</v>
      </c>
      <c r="XO35" s="242">
        <f t="shared" si="211"/>
        <v>6240</v>
      </c>
      <c r="XP35" s="56"/>
      <c r="XS35" s="55">
        <f t="shared" si="212"/>
        <v>46052</v>
      </c>
      <c r="XT35" s="56"/>
      <c r="XU35" s="242">
        <f>SUMPRODUCT(PRODUCE!$B34:$DY34,PRODUCE!$EB$57:$IY$57)</f>
        <v>0</v>
      </c>
      <c r="XV35" s="56"/>
      <c r="XW35" s="242">
        <f t="shared" si="213"/>
        <v>0</v>
      </c>
      <c r="XX35" s="242">
        <f t="shared" si="214"/>
        <v>1901</v>
      </c>
      <c r="XY35" s="56"/>
      <c r="YB35" s="55">
        <f t="shared" si="215"/>
        <v>46052</v>
      </c>
      <c r="YC35" s="56"/>
      <c r="YD35" s="242">
        <f>SUMPRODUCT(PRODUCE!$B34:$DY34,PRODUCE!$EB$57:$IY$57)</f>
        <v>0</v>
      </c>
      <c r="YE35" s="56"/>
      <c r="YF35" s="242">
        <f t="shared" si="216"/>
        <v>0</v>
      </c>
      <c r="YG35" s="242">
        <f t="shared" si="217"/>
        <v>1885</v>
      </c>
      <c r="YH35" s="56"/>
      <c r="YK35" s="55">
        <f t="shared" si="218"/>
        <v>46052</v>
      </c>
      <c r="YL35" s="56"/>
      <c r="YM35" s="242">
        <f>SUMPRODUCT(PRODUCE!$B34:$DY34,PRODUCE!$EB$57:$IY$57)</f>
        <v>0</v>
      </c>
      <c r="YN35" s="56"/>
      <c r="YO35" s="242">
        <f t="shared" si="219"/>
        <v>0</v>
      </c>
      <c r="YP35" s="242">
        <f t="shared" si="220"/>
        <v>0</v>
      </c>
      <c r="YQ35" s="56"/>
      <c r="YT35" s="55">
        <f t="shared" si="221"/>
        <v>46052</v>
      </c>
      <c r="YU35" s="56"/>
      <c r="YV35" s="242">
        <f>SUMPRODUCT(PRODUCE!$B34:$DY34,PRODUCE!$EB$57:$IY$57)</f>
        <v>0</v>
      </c>
      <c r="YW35" s="56"/>
      <c r="YX35" s="242">
        <f t="shared" si="222"/>
        <v>0</v>
      </c>
      <c r="YY35" s="242">
        <f t="shared" si="223"/>
        <v>0</v>
      </c>
      <c r="YZ35" s="56"/>
      <c r="ZC35" s="55">
        <f t="shared" si="224"/>
        <v>46052</v>
      </c>
      <c r="ZD35" s="56"/>
      <c r="ZE35" s="242">
        <f>SUMPRODUCT(PRODUCE!$B34:$DY34,PRODUCE!$EB$57:$IY$57)</f>
        <v>0</v>
      </c>
      <c r="ZF35" s="56"/>
      <c r="ZG35" s="242">
        <f t="shared" si="225"/>
        <v>0</v>
      </c>
      <c r="ZH35" s="242">
        <f t="shared" si="226"/>
        <v>0</v>
      </c>
      <c r="ZI35" s="56"/>
      <c r="ZL35" s="55">
        <f t="shared" si="227"/>
        <v>46052</v>
      </c>
      <c r="ZM35" s="56"/>
      <c r="ZN35" s="242">
        <f>SUMPRODUCT(PRODUCE!$B34:$DY34,PRODUCE!$EB$57:$IY$57)</f>
        <v>0</v>
      </c>
      <c r="ZO35" s="56"/>
      <c r="ZP35" s="242">
        <f t="shared" si="228"/>
        <v>0</v>
      </c>
      <c r="ZQ35" s="242">
        <f t="shared" si="229"/>
        <v>0</v>
      </c>
      <c r="ZR35" s="56"/>
      <c r="ZU35" s="55">
        <f t="shared" si="230"/>
        <v>46052</v>
      </c>
      <c r="ZV35" s="56"/>
      <c r="ZW35" s="242">
        <f>SUMPRODUCT(PRODUCE!$B34:$DY34,PRODUCE!$EB$57:$IY$57)</f>
        <v>0</v>
      </c>
      <c r="ZX35" s="56"/>
      <c r="ZY35" s="242">
        <f t="shared" si="231"/>
        <v>0</v>
      </c>
      <c r="ZZ35" s="242">
        <f t="shared" si="232"/>
        <v>0</v>
      </c>
      <c r="AAA35" s="56"/>
      <c r="AAD35" s="55">
        <f t="shared" si="233"/>
        <v>46052</v>
      </c>
      <c r="AAE35" s="56"/>
      <c r="AAF35" s="242">
        <f>SUMPRODUCT(PRODUCE!$B34:$DY34,PRODUCE!$EB$57:$IY$57)</f>
        <v>0</v>
      </c>
      <c r="AAG35" s="56"/>
      <c r="AAH35" s="242">
        <f t="shared" si="234"/>
        <v>0</v>
      </c>
      <c r="AAI35" s="242">
        <f t="shared" si="235"/>
        <v>0</v>
      </c>
      <c r="AAJ35" s="56"/>
      <c r="AAM35" s="55">
        <f t="shared" si="236"/>
        <v>46052</v>
      </c>
      <c r="AAN35" s="56"/>
      <c r="AAO35" s="242">
        <f>SUMPRODUCT(PRODUCE!$B34:$DY34,PRODUCE!$EB$57:$IY$57)</f>
        <v>0</v>
      </c>
      <c r="AAP35" s="56"/>
      <c r="AAQ35" s="242">
        <f t="shared" si="237"/>
        <v>0</v>
      </c>
      <c r="AAR35" s="242">
        <f t="shared" si="238"/>
        <v>0</v>
      </c>
      <c r="AAS35" s="56"/>
      <c r="AAV35" s="55">
        <f t="shared" si="239"/>
        <v>46052</v>
      </c>
      <c r="AAW35" s="56"/>
      <c r="AAX35" s="242">
        <f>SUMPRODUCT(PRODUCE!$B34:$DY34,PRODUCE!$EB$57:$IY$57)</f>
        <v>0</v>
      </c>
      <c r="AAY35" s="56"/>
      <c r="AAZ35" s="242">
        <f t="shared" si="240"/>
        <v>0</v>
      </c>
      <c r="ABA35" s="242">
        <f t="shared" si="241"/>
        <v>0</v>
      </c>
      <c r="ABB35" s="56"/>
      <c r="ABE35" s="55">
        <f t="shared" si="242"/>
        <v>46052</v>
      </c>
      <c r="ABF35" s="56"/>
      <c r="ABG35" s="242">
        <f>SUMPRODUCT(PRODUCE!$B34:$DY34,PRODUCE!$EB$57:$IY$57)</f>
        <v>0</v>
      </c>
      <c r="ABH35" s="56"/>
      <c r="ABI35" s="242">
        <f t="shared" si="243"/>
        <v>0</v>
      </c>
      <c r="ABJ35" s="242">
        <f t="shared" si="244"/>
        <v>0</v>
      </c>
      <c r="ABK35" s="56"/>
    </row>
    <row r="36" spans="1:739" s="54" customFormat="1" ht="15" customHeight="1" outlineLevel="1" thickBot="1">
      <c r="B36" s="478">
        <f>40+30</f>
        <v>70</v>
      </c>
      <c r="C36" s="55">
        <v>46053</v>
      </c>
      <c r="D36" s="425">
        <v>137620</v>
      </c>
      <c r="E36" s="423">
        <f>SUMPRODUCT(PRODUCE!$B35:$DY35,PRODUCE!$EB$7:$IY$7)</f>
        <v>40325</v>
      </c>
      <c r="F36" s="425">
        <v>40329.599999999999</v>
      </c>
      <c r="G36" s="423">
        <f t="shared" si="2"/>
        <v>-4.5999999999985448</v>
      </c>
      <c r="H36" s="423">
        <f t="shared" si="0"/>
        <v>241788.19999999998</v>
      </c>
      <c r="I36" s="289" t="s">
        <v>195</v>
      </c>
      <c r="L36" s="55">
        <f t="shared" si="1"/>
        <v>46053</v>
      </c>
      <c r="M36" s="425">
        <v>25540</v>
      </c>
      <c r="N36" s="438">
        <f>SUMPRODUCT(PRODUCE!$B35:$DY35,PRODUCE!$EB$8:$IY$8)</f>
        <v>15254.999999999998</v>
      </c>
      <c r="O36" s="425">
        <v>15257.6</v>
      </c>
      <c r="P36" s="438">
        <f t="shared" si="3"/>
        <v>-2.6000000000021828</v>
      </c>
      <c r="Q36" s="438">
        <f t="shared" si="4"/>
        <v>48748.2</v>
      </c>
      <c r="R36" s="56"/>
      <c r="U36" s="55">
        <f t="shared" si="5"/>
        <v>46053</v>
      </c>
      <c r="V36" s="425"/>
      <c r="W36" s="440">
        <f>SUMPRODUCT(PRODUCE!$B35:$DY35,PRODUCE!$EB$9:$IY$9)</f>
        <v>4400</v>
      </c>
      <c r="X36" s="425">
        <v>4400.6000000000004</v>
      </c>
      <c r="Y36" s="440">
        <f t="shared" si="6"/>
        <v>-0.6000000000003638</v>
      </c>
      <c r="Z36" s="440">
        <f t="shared" si="7"/>
        <v>49884.999999999985</v>
      </c>
      <c r="AA36" s="56"/>
      <c r="AD36" s="55">
        <f t="shared" si="8"/>
        <v>46053</v>
      </c>
      <c r="AE36" s="425"/>
      <c r="AF36" s="442">
        <f>SUMPRODUCT(PRODUCE!$B35:$DY35,PRODUCE!$EB$10:$IY$10)</f>
        <v>4100</v>
      </c>
      <c r="AG36" s="425">
        <v>4101.7</v>
      </c>
      <c r="AH36" s="442">
        <f t="shared" si="9"/>
        <v>-1.6999999999998181</v>
      </c>
      <c r="AI36" s="442">
        <f t="shared" si="10"/>
        <v>52772.200000000012</v>
      </c>
      <c r="AJ36" s="56"/>
      <c r="AM36" s="55">
        <f t="shared" si="11"/>
        <v>46053</v>
      </c>
      <c r="AN36" s="425"/>
      <c r="AO36" s="444">
        <f>SUMPRODUCT(PRODUCE!$B35:$DY35,PRODUCE!$EB$11:$IY$11)</f>
        <v>0</v>
      </c>
      <c r="AP36" s="425"/>
      <c r="AQ36" s="444">
        <f t="shared" si="12"/>
        <v>0</v>
      </c>
      <c r="AR36" s="444">
        <f t="shared" si="13"/>
        <v>0</v>
      </c>
      <c r="AS36" s="56"/>
      <c r="AV36" s="55">
        <f t="shared" si="14"/>
        <v>46053</v>
      </c>
      <c r="AW36" s="425"/>
      <c r="AX36" s="446">
        <f>SUMPRODUCT(PRODUCE!$B35:$DY35,PRODUCE!$EB$12:$IY$12)</f>
        <v>1265</v>
      </c>
      <c r="AY36" s="425">
        <v>1266</v>
      </c>
      <c r="AZ36" s="446">
        <f t="shared" si="15"/>
        <v>-1</v>
      </c>
      <c r="BA36" s="446">
        <f t="shared" si="16"/>
        <v>34316.69999999999</v>
      </c>
      <c r="BB36" s="56"/>
      <c r="BE36" s="55">
        <f t="shared" si="17"/>
        <v>46053</v>
      </c>
      <c r="BF36" s="425"/>
      <c r="BG36" s="448">
        <f>SUMPRODUCT(PRODUCE!$B35:$DY35,PRODUCE!$EB$13:$IY$13)</f>
        <v>1550</v>
      </c>
      <c r="BH36" s="425">
        <v>1551.5</v>
      </c>
      <c r="BI36" s="448">
        <f t="shared" si="18"/>
        <v>-1.5</v>
      </c>
      <c r="BJ36" s="448">
        <f t="shared" si="19"/>
        <v>21924.100000000006</v>
      </c>
      <c r="BK36" s="56"/>
      <c r="BN36" s="55">
        <f t="shared" si="20"/>
        <v>46053</v>
      </c>
      <c r="BO36" s="425">
        <v>1550</v>
      </c>
      <c r="BP36" s="450">
        <f>SUMPRODUCT(PRODUCE!$B35:$DY35,PRODUCE!$EB$14:$IY$14)</f>
        <v>1550</v>
      </c>
      <c r="BQ36" s="425">
        <v>1550</v>
      </c>
      <c r="BR36" s="450">
        <f t="shared" si="21"/>
        <v>0</v>
      </c>
      <c r="BS36" s="450">
        <f t="shared" si="22"/>
        <v>0</v>
      </c>
      <c r="BT36" s="56"/>
      <c r="BW36" s="55">
        <f t="shared" si="23"/>
        <v>46053</v>
      </c>
      <c r="BX36" s="67"/>
      <c r="BY36" s="65">
        <f>SUMPRODUCT(PRODUCE!$B35:$DY35,PRODUCE!$EB$15:$IY$15)</f>
        <v>0</v>
      </c>
      <c r="BZ36" s="67"/>
      <c r="CA36" s="65">
        <f t="shared" si="24"/>
        <v>0</v>
      </c>
      <c r="CB36" s="65">
        <f t="shared" si="25"/>
        <v>3284.5</v>
      </c>
      <c r="CC36" s="56"/>
      <c r="CF36" s="55">
        <f t="shared" si="26"/>
        <v>46053</v>
      </c>
      <c r="CG36" s="67"/>
      <c r="CH36" s="66">
        <f>SUMPRODUCT(PRODUCE!$B35:$DY35,PRODUCE!$EB$16:$IY$16)</f>
        <v>0</v>
      </c>
      <c r="CI36" s="67"/>
      <c r="CJ36" s="66">
        <f t="shared" si="27"/>
        <v>0</v>
      </c>
      <c r="CK36" s="66">
        <f t="shared" si="28"/>
        <v>0</v>
      </c>
      <c r="CL36" s="56"/>
      <c r="CO36" s="55">
        <f t="shared" si="29"/>
        <v>46053</v>
      </c>
      <c r="CP36" s="425"/>
      <c r="CQ36" s="470">
        <f>SUMPRODUCT(PRODUCE!$B35:$DY35,PRODUCE!$EB$17:$IY$17)</f>
        <v>0</v>
      </c>
      <c r="CR36" s="425"/>
      <c r="CS36" s="470">
        <f t="shared" si="30"/>
        <v>0</v>
      </c>
      <c r="CT36" s="470">
        <f t="shared" si="31"/>
        <v>0</v>
      </c>
      <c r="CU36" s="56"/>
      <c r="CX36" s="55">
        <f t="shared" si="32"/>
        <v>46053</v>
      </c>
      <c r="CY36" s="67"/>
      <c r="CZ36" s="133">
        <f>SUMPRODUCT(PRODUCE!$B35:$DY35,PRODUCE!$EB$18:$IY$18)</f>
        <v>0</v>
      </c>
      <c r="DA36" s="67"/>
      <c r="DB36" s="133">
        <f t="shared" si="33"/>
        <v>0</v>
      </c>
      <c r="DC36" s="133">
        <f t="shared" si="34"/>
        <v>0</v>
      </c>
      <c r="DD36" s="56"/>
      <c r="DG36" s="55">
        <f t="shared" si="35"/>
        <v>46053</v>
      </c>
      <c r="DH36" s="67"/>
      <c r="DI36" s="147">
        <f>SUMPRODUCT(PRODUCE!$B35:$DY35,PRODUCE!$EB$19:$IY$19)</f>
        <v>0</v>
      </c>
      <c r="DJ36" s="67"/>
      <c r="DK36" s="147">
        <f t="shared" si="36"/>
        <v>0</v>
      </c>
      <c r="DL36" s="147">
        <f t="shared" si="37"/>
        <v>22172.799999999996</v>
      </c>
      <c r="DM36" s="56"/>
      <c r="DP36" s="55">
        <f t="shared" si="38"/>
        <v>46053</v>
      </c>
      <c r="DQ36" s="67"/>
      <c r="DR36" s="57">
        <f>SUMPRODUCT(PRODUCE!$B35:$DY35,PRODUCE!$EB$20:$IY$20)</f>
        <v>0</v>
      </c>
      <c r="DS36" s="67"/>
      <c r="DT36" s="57">
        <f t="shared" si="39"/>
        <v>0</v>
      </c>
      <c r="DU36" s="57">
        <f t="shared" si="40"/>
        <v>0</v>
      </c>
      <c r="DV36" s="56"/>
      <c r="DY36" s="55">
        <f t="shared" si="41"/>
        <v>46053</v>
      </c>
      <c r="DZ36" s="67"/>
      <c r="EA36" s="157">
        <f>SUMPRODUCT(PRODUCE!$B35:$DY35,PRODUCE!$EB$21:$IY$21)</f>
        <v>0</v>
      </c>
      <c r="EB36" s="67"/>
      <c r="EC36" s="157">
        <f t="shared" si="42"/>
        <v>0</v>
      </c>
      <c r="ED36" s="157">
        <f t="shared" si="43"/>
        <v>0</v>
      </c>
      <c r="EE36" s="56"/>
      <c r="EH36" s="55">
        <f t="shared" si="44"/>
        <v>46053</v>
      </c>
      <c r="EI36" s="67"/>
      <c r="EJ36" s="162">
        <f>SUMPRODUCT(PRODUCE!$B35:$DY35,PRODUCE!$EB$22:$IY$22)</f>
        <v>0</v>
      </c>
      <c r="EK36" s="67"/>
      <c r="EL36" s="162">
        <f t="shared" si="45"/>
        <v>0</v>
      </c>
      <c r="EM36" s="162">
        <f t="shared" si="46"/>
        <v>0</v>
      </c>
      <c r="EN36" s="56"/>
      <c r="EQ36" s="55">
        <f t="shared" si="47"/>
        <v>46053</v>
      </c>
      <c r="ER36" s="67"/>
      <c r="ES36" s="135">
        <f>SUMPRODUCT(PRODUCE!$B35:$DY35,PRODUCE!$EB$23:$IY$23)</f>
        <v>0</v>
      </c>
      <c r="ET36" s="67"/>
      <c r="EU36" s="135">
        <f t="shared" si="48"/>
        <v>0</v>
      </c>
      <c r="EV36" s="135">
        <f t="shared" si="49"/>
        <v>0</v>
      </c>
      <c r="EW36" s="56"/>
      <c r="EZ36" s="55">
        <f t="shared" si="50"/>
        <v>46053</v>
      </c>
      <c r="FA36" s="67"/>
      <c r="FB36" s="175">
        <f>SUMPRODUCT(PRODUCE!$B35:$DY35,PRODUCE!$EB$24:$IY$24)</f>
        <v>0</v>
      </c>
      <c r="FC36" s="67"/>
      <c r="FD36" s="175">
        <f t="shared" si="51"/>
        <v>0</v>
      </c>
      <c r="FE36" s="175">
        <f t="shared" si="52"/>
        <v>0</v>
      </c>
      <c r="FF36" s="56"/>
      <c r="FI36" s="55">
        <f t="shared" si="53"/>
        <v>46053</v>
      </c>
      <c r="FJ36" s="67"/>
      <c r="FK36" s="183">
        <f>SUMPRODUCT(PRODUCE!$B35:$DY35,PRODUCE!$EB$25:$IY$25)</f>
        <v>0</v>
      </c>
      <c r="FL36" s="67"/>
      <c r="FM36" s="183">
        <f t="shared" si="54"/>
        <v>0</v>
      </c>
      <c r="FN36" s="183">
        <f t="shared" si="55"/>
        <v>0</v>
      </c>
      <c r="FO36" s="56"/>
      <c r="FR36" s="55">
        <f t="shared" si="56"/>
        <v>46053</v>
      </c>
      <c r="FS36" s="425"/>
      <c r="FT36" s="452">
        <f>SUMPRODUCT(PRODUCE!$B35:$DY35,PRODUCE!$EB$26:$IY$26)</f>
        <v>0</v>
      </c>
      <c r="FU36" s="425"/>
      <c r="FV36" s="452">
        <f t="shared" si="57"/>
        <v>0</v>
      </c>
      <c r="FW36" s="452">
        <f t="shared" si="58"/>
        <v>3540</v>
      </c>
      <c r="FX36" s="56"/>
      <c r="GA36" s="55">
        <f t="shared" si="59"/>
        <v>46053</v>
      </c>
      <c r="GB36" s="425"/>
      <c r="GC36" s="454">
        <f>SUMPRODUCT(PRODUCE!$B35:$DY35,PRODUCE!$EB$27:$IY$27)</f>
        <v>0</v>
      </c>
      <c r="GD36" s="425"/>
      <c r="GE36" s="454">
        <f t="shared" si="60"/>
        <v>0</v>
      </c>
      <c r="GF36" s="454">
        <f t="shared" si="61"/>
        <v>3960</v>
      </c>
      <c r="GG36" s="56"/>
      <c r="GI36" s="23"/>
      <c r="GJ36" s="55">
        <f t="shared" si="62"/>
        <v>46053</v>
      </c>
      <c r="GK36" s="425"/>
      <c r="GL36" s="456">
        <f>SUMPRODUCT(PRODUCE!$B35:$DY35,PRODUCE!$EB$28:$IY$28)</f>
        <v>600</v>
      </c>
      <c r="GM36" s="425"/>
      <c r="GN36" s="456">
        <f t="shared" si="63"/>
        <v>600</v>
      </c>
      <c r="GO36" s="456">
        <f t="shared" si="64"/>
        <v>3240</v>
      </c>
      <c r="GP36" s="56"/>
      <c r="GS36" s="55">
        <f t="shared" si="65"/>
        <v>46053</v>
      </c>
      <c r="GT36" s="67"/>
      <c r="GU36" s="195">
        <f>SUMPRODUCT(PRODUCE!$B35:$DY35,PRODUCE!$EB$29:$IY$29)</f>
        <v>0</v>
      </c>
      <c r="GV36" s="67"/>
      <c r="GW36" s="195">
        <f t="shared" si="66"/>
        <v>0</v>
      </c>
      <c r="GX36" s="195">
        <f t="shared" si="67"/>
        <v>0</v>
      </c>
      <c r="GY36" s="56"/>
      <c r="HB36" s="55">
        <f t="shared" si="68"/>
        <v>46053</v>
      </c>
      <c r="HC36" s="67"/>
      <c r="HD36" s="191">
        <f>SUMPRODUCT(PRODUCE!$B35:$DY35,PRODUCE!$EB$30:$IY$30)</f>
        <v>0</v>
      </c>
      <c r="HE36" s="67"/>
      <c r="HF36" s="191">
        <f t="shared" si="69"/>
        <v>0</v>
      </c>
      <c r="HG36" s="191">
        <f t="shared" si="70"/>
        <v>0</v>
      </c>
      <c r="HH36" s="56"/>
      <c r="HK36" s="55">
        <f t="shared" si="71"/>
        <v>46053</v>
      </c>
      <c r="HL36" s="67"/>
      <c r="HM36" s="63">
        <f>SUMPRODUCT(PRODUCE!$B35:$DY35,PRODUCE!$EB$31:$IY$31)</f>
        <v>0</v>
      </c>
      <c r="HN36" s="67"/>
      <c r="HO36" s="63">
        <f t="shared" si="72"/>
        <v>0</v>
      </c>
      <c r="HP36" s="63">
        <f t="shared" si="73"/>
        <v>0</v>
      </c>
      <c r="HQ36" s="56"/>
      <c r="HU36" s="55">
        <f t="shared" si="74"/>
        <v>46053</v>
      </c>
      <c r="HV36" s="67"/>
      <c r="HW36" s="242">
        <f>SUMPRODUCT(PRODUCE!$B35:$DY35,PRODUCE!$EB$32:$IY$32)</f>
        <v>0</v>
      </c>
      <c r="HX36" s="67"/>
      <c r="HY36" s="242">
        <f t="shared" si="75"/>
        <v>0</v>
      </c>
      <c r="HZ36" s="242">
        <f t="shared" si="76"/>
        <v>5440</v>
      </c>
      <c r="IA36" s="56"/>
      <c r="ID36" s="55">
        <f t="shared" si="77"/>
        <v>46053</v>
      </c>
      <c r="IE36" s="67"/>
      <c r="IF36" s="242">
        <f>SUMPRODUCT(PRODUCE!$B35:$DY35,PRODUCE!$EB$33:$IY$33)</f>
        <v>0</v>
      </c>
      <c r="IG36" s="67"/>
      <c r="IH36" s="242">
        <f t="shared" si="78"/>
        <v>0</v>
      </c>
      <c r="II36" s="242">
        <f t="shared" si="79"/>
        <v>5100</v>
      </c>
      <c r="IJ36" s="56"/>
      <c r="IM36" s="55">
        <f t="shared" si="80"/>
        <v>46053</v>
      </c>
      <c r="IN36" s="67"/>
      <c r="IO36" s="242">
        <f>SUMPRODUCT(PRODUCE!$B35:$DY35,PRODUCE!$EB$34:$IY$34)</f>
        <v>800</v>
      </c>
      <c r="IP36" s="67"/>
      <c r="IQ36" s="242">
        <f t="shared" si="81"/>
        <v>800</v>
      </c>
      <c r="IR36" s="242">
        <f t="shared" si="82"/>
        <v>16240</v>
      </c>
      <c r="IS36" s="56"/>
      <c r="IV36" s="55">
        <f t="shared" si="83"/>
        <v>46053</v>
      </c>
      <c r="IW36" s="67"/>
      <c r="IX36" s="242">
        <f>SUMPRODUCT(PRODUCE!$B35:$DY35,PRODUCE!$EB$35:$IY$35)</f>
        <v>0</v>
      </c>
      <c r="IY36" s="67"/>
      <c r="IZ36" s="242">
        <f t="shared" si="84"/>
        <v>0</v>
      </c>
      <c r="JA36" s="242">
        <f t="shared" si="85"/>
        <v>13120</v>
      </c>
      <c r="JB36" s="56"/>
      <c r="JE36" s="55">
        <f t="shared" si="86"/>
        <v>46053</v>
      </c>
      <c r="JF36" s="67"/>
      <c r="JG36" s="242">
        <f>SUMPRODUCT(PRODUCE!$B35:$DY35,PRODUCE!$EB$36:$IY$36)</f>
        <v>0</v>
      </c>
      <c r="JH36" s="67"/>
      <c r="JI36" s="242">
        <f t="shared" si="87"/>
        <v>0</v>
      </c>
      <c r="JJ36" s="242">
        <f t="shared" si="88"/>
        <v>6800</v>
      </c>
      <c r="JK36" s="56"/>
      <c r="JN36" s="55">
        <f t="shared" si="89"/>
        <v>46053</v>
      </c>
      <c r="JO36" s="67"/>
      <c r="JP36" s="242">
        <f>SUMPRODUCT(PRODUCE!$B35:$DY35,PRODUCE!$EB$37:$IY$37)</f>
        <v>0</v>
      </c>
      <c r="JQ36" s="67"/>
      <c r="JR36" s="242">
        <f t="shared" si="90"/>
        <v>0</v>
      </c>
      <c r="JS36" s="242">
        <f t="shared" si="91"/>
        <v>5400</v>
      </c>
      <c r="JT36" s="56"/>
      <c r="JW36" s="55">
        <f t="shared" si="92"/>
        <v>46053</v>
      </c>
      <c r="JX36" s="67"/>
      <c r="JY36" s="242">
        <f>SUMPRODUCT(PRODUCE!$B35:$DY35,PRODUCE!$EB$38:$IY$38)</f>
        <v>0</v>
      </c>
      <c r="JZ36" s="67"/>
      <c r="KA36" s="242">
        <f t="shared" si="93"/>
        <v>0</v>
      </c>
      <c r="KB36" s="242">
        <f t="shared" si="94"/>
        <v>2260</v>
      </c>
      <c r="KC36" s="56"/>
      <c r="KF36" s="55">
        <f t="shared" si="95"/>
        <v>46053</v>
      </c>
      <c r="KG36" s="67"/>
      <c r="KH36" s="242">
        <f>SUMPRODUCT(PRODUCE!$B35:$DY35,PRODUCE!$EB$39:$IY$39)</f>
        <v>0</v>
      </c>
      <c r="KI36" s="67"/>
      <c r="KJ36" s="242">
        <f t="shared" si="96"/>
        <v>0</v>
      </c>
      <c r="KK36" s="242">
        <f t="shared" si="97"/>
        <v>0</v>
      </c>
      <c r="KL36" s="56"/>
      <c r="KO36" s="55">
        <f t="shared" si="98"/>
        <v>46053</v>
      </c>
      <c r="KP36" s="67"/>
      <c r="KQ36" s="242">
        <f>SUMPRODUCT(PRODUCE!$B35:$DY35,PRODUCE!$EB$40:$IY$40)</f>
        <v>0</v>
      </c>
      <c r="KR36" s="67"/>
      <c r="KS36" s="242">
        <f t="shared" si="99"/>
        <v>0</v>
      </c>
      <c r="KT36" s="242">
        <f t="shared" si="100"/>
        <v>0</v>
      </c>
      <c r="KU36" s="56"/>
      <c r="KW36" s="23"/>
      <c r="KX36" s="55">
        <f t="shared" si="101"/>
        <v>46053</v>
      </c>
      <c r="KY36" s="67"/>
      <c r="KZ36" s="242">
        <f>SUMPRODUCT(PRODUCE!$B35:$DY35,PRODUCE!$EB$41:$IY$41)</f>
        <v>0</v>
      </c>
      <c r="LA36" s="67"/>
      <c r="LB36" s="242">
        <f t="shared" si="102"/>
        <v>0</v>
      </c>
      <c r="LC36" s="242">
        <f t="shared" si="103"/>
        <v>0</v>
      </c>
      <c r="LD36" s="56"/>
      <c r="LG36" s="55">
        <f t="shared" si="104"/>
        <v>46053</v>
      </c>
      <c r="LH36" s="67"/>
      <c r="LI36" s="242">
        <f>SUMPRODUCT(PRODUCE!$B35:$DY35,PRODUCE!$EB$42:$IY$42)</f>
        <v>0</v>
      </c>
      <c r="LJ36" s="67"/>
      <c r="LK36" s="242">
        <f t="shared" si="105"/>
        <v>0</v>
      </c>
      <c r="LL36" s="242">
        <f t="shared" si="106"/>
        <v>0</v>
      </c>
      <c r="LM36" s="56"/>
      <c r="LP36" s="55">
        <f t="shared" si="107"/>
        <v>46053</v>
      </c>
      <c r="LQ36" s="67"/>
      <c r="LR36" s="242">
        <f>SUMPRODUCT(PRODUCE!$B35:$DY35,PRODUCE!$EB$43:$IY$43)</f>
        <v>0</v>
      </c>
      <c r="LS36" s="67"/>
      <c r="LT36" s="242">
        <f t="shared" si="108"/>
        <v>0</v>
      </c>
      <c r="LU36" s="242">
        <f t="shared" si="109"/>
        <v>0</v>
      </c>
      <c r="LV36" s="56"/>
      <c r="LY36" s="55">
        <f t="shared" si="110"/>
        <v>46053</v>
      </c>
      <c r="LZ36" s="67"/>
      <c r="MA36" s="242">
        <f>SUMPRODUCT(PRODUCE!$B35:$DY35,PRODUCE!$EB$44:$IY$44)</f>
        <v>0</v>
      </c>
      <c r="MB36" s="67"/>
      <c r="MC36" s="242">
        <f t="shared" si="111"/>
        <v>0</v>
      </c>
      <c r="MD36" s="242">
        <f t="shared" si="112"/>
        <v>0</v>
      </c>
      <c r="ME36" s="56"/>
      <c r="MH36" s="55">
        <f t="shared" si="113"/>
        <v>46053</v>
      </c>
      <c r="MI36" s="67"/>
      <c r="MJ36" s="242">
        <f>SUMPRODUCT(PRODUCE!$B35:$DY35,PRODUCE!$EB$45:$IY$45)</f>
        <v>0</v>
      </c>
      <c r="MK36" s="67"/>
      <c r="ML36" s="242">
        <f t="shared" si="114"/>
        <v>0</v>
      </c>
      <c r="MM36" s="242">
        <f t="shared" si="115"/>
        <v>0</v>
      </c>
      <c r="MN36" s="56"/>
      <c r="MQ36" s="55">
        <f t="shared" si="116"/>
        <v>46053</v>
      </c>
      <c r="MR36" s="67"/>
      <c r="MS36" s="242">
        <f>SUMPRODUCT(PRODUCE!$B35:$DY35,PRODUCE!$EB$46:$IY$46)</f>
        <v>35</v>
      </c>
      <c r="MT36" s="67"/>
      <c r="MU36" s="242">
        <f t="shared" si="117"/>
        <v>35</v>
      </c>
      <c r="MV36" s="242">
        <f t="shared" si="118"/>
        <v>1969</v>
      </c>
      <c r="MW36" s="56"/>
      <c r="MZ36" s="55">
        <f t="shared" si="119"/>
        <v>46053</v>
      </c>
      <c r="NA36" s="67"/>
      <c r="NB36" s="242">
        <f>SUMPRODUCT(PRODUCE!$B35:$DY35,PRODUCE!$EB$47:$IY$47)</f>
        <v>120</v>
      </c>
      <c r="NC36" s="67"/>
      <c r="ND36" s="242">
        <f t="shared" si="120"/>
        <v>120</v>
      </c>
      <c r="NE36" s="242">
        <f t="shared" si="121"/>
        <v>0</v>
      </c>
      <c r="NF36" s="56"/>
      <c r="NI36" s="55">
        <f t="shared" si="122"/>
        <v>46053</v>
      </c>
      <c r="NJ36" s="67"/>
      <c r="NK36" s="242">
        <f>SUMPRODUCT(PRODUCE!$B35:$DY35,PRODUCE!$EB$48:$IY$48)</f>
        <v>0</v>
      </c>
      <c r="NL36" s="67"/>
      <c r="NM36" s="242">
        <f t="shared" si="123"/>
        <v>0</v>
      </c>
      <c r="NN36" s="242">
        <f t="shared" si="124"/>
        <v>0</v>
      </c>
      <c r="NO36" s="56"/>
      <c r="NR36" s="55">
        <f t="shared" si="125"/>
        <v>46053</v>
      </c>
      <c r="NS36" s="67"/>
      <c r="NT36" s="242">
        <f>SUMPRODUCT(PRODUCE!$B35:$DY35,PRODUCE!$EB$49:$IY$49)</f>
        <v>0</v>
      </c>
      <c r="NU36" s="67"/>
      <c r="NV36" s="242">
        <f t="shared" si="126"/>
        <v>0</v>
      </c>
      <c r="NW36" s="242">
        <f t="shared" si="127"/>
        <v>0</v>
      </c>
      <c r="NX36" s="56"/>
      <c r="OA36" s="55">
        <f t="shared" si="128"/>
        <v>46053</v>
      </c>
      <c r="OB36" s="67"/>
      <c r="OC36" s="242">
        <f>SUMPRODUCT(PRODUCE!$B35:$DY35,PRODUCE!$EB$50:$IY$50)</f>
        <v>0</v>
      </c>
      <c r="OD36" s="67"/>
      <c r="OE36" s="242">
        <f t="shared" si="129"/>
        <v>0</v>
      </c>
      <c r="OF36" s="242">
        <f t="shared" si="130"/>
        <v>1680.5</v>
      </c>
      <c r="OG36" s="56"/>
      <c r="OJ36" s="55">
        <f t="shared" si="131"/>
        <v>46053</v>
      </c>
      <c r="OK36" s="67"/>
      <c r="OL36" s="242">
        <f>SUMPRODUCT(PRODUCE!$B35:$DY35,PRODUCE!$EB$51:$IY$51)</f>
        <v>0</v>
      </c>
      <c r="OM36" s="67"/>
      <c r="ON36" s="242">
        <f t="shared" si="132"/>
        <v>0</v>
      </c>
      <c r="OO36" s="242">
        <f t="shared" si="133"/>
        <v>0</v>
      </c>
      <c r="OP36" s="56"/>
      <c r="OS36" s="55">
        <f t="shared" si="134"/>
        <v>46053</v>
      </c>
      <c r="OT36" s="67"/>
      <c r="OU36" s="242">
        <f>SUMPRODUCT(PRODUCE!$B35:$DY35,PRODUCE!$EB$52:$IY$52)</f>
        <v>0</v>
      </c>
      <c r="OV36" s="67"/>
      <c r="OW36" s="242">
        <f t="shared" si="135"/>
        <v>0</v>
      </c>
      <c r="OX36" s="242">
        <f t="shared" si="136"/>
        <v>0</v>
      </c>
      <c r="OY36" s="56"/>
      <c r="PB36" s="55">
        <f t="shared" si="137"/>
        <v>46053</v>
      </c>
      <c r="PC36" s="67"/>
      <c r="PD36" s="242">
        <f>SUMPRODUCT(PRODUCE!$B35:$DY35,PRODUCE!$EB$53:$IY$53)</f>
        <v>0</v>
      </c>
      <c r="PE36" s="67"/>
      <c r="PF36" s="242">
        <f t="shared" si="138"/>
        <v>0</v>
      </c>
      <c r="PG36" s="242">
        <f t="shared" si="139"/>
        <v>0</v>
      </c>
      <c r="PH36" s="56"/>
      <c r="PK36" s="55">
        <f t="shared" si="140"/>
        <v>46053</v>
      </c>
      <c r="PL36" s="67"/>
      <c r="PM36" s="242">
        <f>SUMPRODUCT(PRODUCE!$B35:$DY35,PRODUCE!$EB$54:$IY$54)</f>
        <v>0</v>
      </c>
      <c r="PN36" s="67"/>
      <c r="PO36" s="242">
        <f t="shared" si="141"/>
        <v>0</v>
      </c>
      <c r="PP36" s="242">
        <f t="shared" si="142"/>
        <v>160</v>
      </c>
      <c r="PQ36" s="56"/>
      <c r="PT36" s="55">
        <f t="shared" si="143"/>
        <v>46053</v>
      </c>
      <c r="PU36" s="67"/>
      <c r="PV36" s="242">
        <f>SUMPRODUCT(PRODUCE!$B35:$DY35,PRODUCE!$EB$55:$IY$55)</f>
        <v>0</v>
      </c>
      <c r="PW36" s="67"/>
      <c r="PX36" s="242">
        <f t="shared" si="144"/>
        <v>0</v>
      </c>
      <c r="PY36" s="242">
        <f t="shared" si="145"/>
        <v>13.960000000000036</v>
      </c>
      <c r="PZ36" s="56"/>
      <c r="QC36" s="55">
        <f t="shared" si="146"/>
        <v>46053</v>
      </c>
      <c r="QD36" s="67"/>
      <c r="QE36" s="242">
        <f>SUMPRODUCT(PRODUCE!$B35:$DY35,PRODUCE!$EB$56:$IY$56)</f>
        <v>0</v>
      </c>
      <c r="QF36" s="67"/>
      <c r="QG36" s="242">
        <f t="shared" si="147"/>
        <v>0</v>
      </c>
      <c r="QH36" s="242">
        <f t="shared" si="148"/>
        <v>0</v>
      </c>
      <c r="QI36" s="56"/>
      <c r="QL36" s="55">
        <f t="shared" si="149"/>
        <v>46053</v>
      </c>
      <c r="QM36" s="67"/>
      <c r="QN36" s="242">
        <f>SUMPRODUCT(PRODUCE!$B35:$DY35,PRODUCE!$EB$57:$IY$57)</f>
        <v>0</v>
      </c>
      <c r="QO36" s="67"/>
      <c r="QP36" s="242">
        <f t="shared" si="150"/>
        <v>0</v>
      </c>
      <c r="QQ36" s="242">
        <f t="shared" si="151"/>
        <v>0</v>
      </c>
      <c r="QR36" s="56"/>
      <c r="QU36" s="55">
        <f t="shared" si="152"/>
        <v>46053</v>
      </c>
      <c r="QV36" s="67"/>
      <c r="QW36" s="242">
        <f>SUMPRODUCT(PRODUCE!$B35:$DY35,PRODUCE!$EB$57:$IY$57)</f>
        <v>0</v>
      </c>
      <c r="QX36" s="67"/>
      <c r="QY36" s="242">
        <f t="shared" si="153"/>
        <v>0</v>
      </c>
      <c r="QZ36" s="242">
        <f t="shared" si="154"/>
        <v>207.6</v>
      </c>
      <c r="RA36" s="56"/>
      <c r="RD36" s="55">
        <f t="shared" si="155"/>
        <v>46053</v>
      </c>
      <c r="RE36" s="67"/>
      <c r="RF36" s="242">
        <f>SUMPRODUCT(PRODUCE!$B35:$DY35,PRODUCE!$EB$58:$IY$58)</f>
        <v>0</v>
      </c>
      <c r="RG36" s="67"/>
      <c r="RH36" s="242">
        <f t="shared" si="156"/>
        <v>0</v>
      </c>
      <c r="RI36" s="242">
        <f t="shared" si="157"/>
        <v>201.8</v>
      </c>
      <c r="RJ36" s="56"/>
      <c r="RM36" s="55">
        <f t="shared" si="158"/>
        <v>46053</v>
      </c>
      <c r="RN36" s="67"/>
      <c r="RO36" s="242">
        <f>SUMPRODUCT(PRODUCE!$B35:$DY35,PRODUCE!$EB$59:$IY$59)</f>
        <v>0</v>
      </c>
      <c r="RP36" s="67"/>
      <c r="RQ36" s="242">
        <f t="shared" si="159"/>
        <v>0</v>
      </c>
      <c r="RR36" s="242">
        <f t="shared" si="160"/>
        <v>22.720000000000002</v>
      </c>
      <c r="RS36" s="56"/>
      <c r="RV36" s="55">
        <f t="shared" si="161"/>
        <v>46053</v>
      </c>
      <c r="RW36" s="67"/>
      <c r="RX36" s="242">
        <f>SUMPRODUCT(PRODUCE!$B35:$DY35,PRODUCE!$EB$57:$IY$57)</f>
        <v>0</v>
      </c>
      <c r="RY36" s="67"/>
      <c r="RZ36" s="242">
        <f t="shared" si="162"/>
        <v>0</v>
      </c>
      <c r="SA36" s="242">
        <f t="shared" si="163"/>
        <v>0</v>
      </c>
      <c r="SB36" s="56"/>
      <c r="SE36" s="55">
        <f t="shared" si="164"/>
        <v>46053</v>
      </c>
      <c r="SF36" s="67"/>
      <c r="SG36" s="242">
        <f>SUMPRODUCT(PRODUCE!$B35:$DY35,PRODUCE!$EB$61:$IY$61)</f>
        <v>0</v>
      </c>
      <c r="SH36" s="67"/>
      <c r="SI36" s="242">
        <f t="shared" si="165"/>
        <v>0</v>
      </c>
      <c r="SJ36" s="242">
        <f t="shared" si="166"/>
        <v>0</v>
      </c>
      <c r="SK36" s="56"/>
      <c r="SN36" s="55">
        <f t="shared" si="167"/>
        <v>46053</v>
      </c>
      <c r="SO36" s="67"/>
      <c r="SP36" s="242">
        <f>SUMPRODUCT(PRODUCE!$B35:$DY35,PRODUCE!$EB$57:$IY$57)</f>
        <v>0</v>
      </c>
      <c r="SQ36" s="67"/>
      <c r="SR36" s="242">
        <f t="shared" si="168"/>
        <v>0</v>
      </c>
      <c r="SS36" s="242">
        <f t="shared" si="169"/>
        <v>0</v>
      </c>
      <c r="ST36" s="56"/>
      <c r="SW36" s="55">
        <f t="shared" si="170"/>
        <v>46053</v>
      </c>
      <c r="SX36" s="67"/>
      <c r="SY36" s="242">
        <f>SUMPRODUCT(PRODUCE!$B35:$DY35,PRODUCE!$EB$57:$IY$57)</f>
        <v>0</v>
      </c>
      <c r="SZ36" s="67"/>
      <c r="TA36" s="242">
        <f t="shared" si="171"/>
        <v>0</v>
      </c>
      <c r="TB36" s="242">
        <f t="shared" si="172"/>
        <v>270</v>
      </c>
      <c r="TC36" s="56"/>
      <c r="TF36" s="55">
        <f t="shared" si="173"/>
        <v>46053</v>
      </c>
      <c r="TG36" s="67"/>
      <c r="TH36" s="242">
        <f>SUMPRODUCT(PRODUCE!$B35:$DY35,PRODUCE!$EB$57:$IY$57)</f>
        <v>0</v>
      </c>
      <c r="TI36" s="67"/>
      <c r="TJ36" s="242">
        <f t="shared" si="174"/>
        <v>0</v>
      </c>
      <c r="TK36" s="242">
        <f t="shared" si="175"/>
        <v>0</v>
      </c>
      <c r="TL36" s="56"/>
      <c r="TO36" s="55">
        <f t="shared" si="176"/>
        <v>46053</v>
      </c>
      <c r="TP36" s="67"/>
      <c r="TQ36" s="242">
        <f>SUMPRODUCT(PRODUCE!$B35:$DY35,PRODUCE!$EB$57:$IY$57)</f>
        <v>0</v>
      </c>
      <c r="TR36" s="67"/>
      <c r="TS36" s="242">
        <f t="shared" si="177"/>
        <v>0</v>
      </c>
      <c r="TT36" s="242">
        <f t="shared" si="178"/>
        <v>0</v>
      </c>
      <c r="TU36" s="56"/>
      <c r="TX36" s="55">
        <f t="shared" si="179"/>
        <v>46053</v>
      </c>
      <c r="TY36" s="67"/>
      <c r="TZ36" s="242">
        <f>SUMPRODUCT(PRODUCE!$B35:$DY35,PRODUCE!$EB$57:$IY$57)</f>
        <v>0</v>
      </c>
      <c r="UA36" s="67"/>
      <c r="UB36" s="242">
        <f t="shared" si="180"/>
        <v>0</v>
      </c>
      <c r="UC36" s="242">
        <f t="shared" si="181"/>
        <v>0</v>
      </c>
      <c r="UD36" s="56"/>
      <c r="UG36" s="55">
        <f t="shared" si="182"/>
        <v>46053</v>
      </c>
      <c r="UH36" s="67"/>
      <c r="UI36" s="242">
        <f>SUMPRODUCT(PRODUCE!$B35:$DY35,PRODUCE!$EB$57:$IY$57)</f>
        <v>0</v>
      </c>
      <c r="UJ36" s="67"/>
      <c r="UK36" s="242">
        <f t="shared" si="183"/>
        <v>0</v>
      </c>
      <c r="UL36" s="242">
        <f t="shared" si="184"/>
        <v>0</v>
      </c>
      <c r="UM36" s="56"/>
      <c r="UP36" s="55">
        <f t="shared" si="185"/>
        <v>46053</v>
      </c>
      <c r="UQ36" s="67"/>
      <c r="UR36" s="242">
        <f>SUMPRODUCT(PRODUCE!$B35:$DY35,PRODUCE!$EB$57:$IY$57)</f>
        <v>0</v>
      </c>
      <c r="US36" s="67"/>
      <c r="UT36" s="242">
        <f t="shared" si="186"/>
        <v>0</v>
      </c>
      <c r="UU36" s="242">
        <f t="shared" si="187"/>
        <v>0</v>
      </c>
      <c r="UV36" s="56"/>
      <c r="UY36" s="55">
        <f t="shared" si="188"/>
        <v>46053</v>
      </c>
      <c r="UZ36" s="67"/>
      <c r="VA36" s="242">
        <f>SUMPRODUCT(PRODUCE!$B35:$DY35,PRODUCE!$EB$57:$IY$57)</f>
        <v>0</v>
      </c>
      <c r="VB36" s="67"/>
      <c r="VC36" s="242">
        <f t="shared" si="189"/>
        <v>0</v>
      </c>
      <c r="VD36" s="242">
        <f t="shared" si="190"/>
        <v>41.600000000000023</v>
      </c>
      <c r="VE36" s="56"/>
      <c r="VH36" s="55">
        <f t="shared" si="191"/>
        <v>46053</v>
      </c>
      <c r="VI36" s="67"/>
      <c r="VJ36" s="242">
        <f>SUMPRODUCT(PRODUCE!$B35:$DY35,PRODUCE!$EB$57:$IY$57)</f>
        <v>0</v>
      </c>
      <c r="VK36" s="67"/>
      <c r="VL36" s="242">
        <f t="shared" si="192"/>
        <v>0</v>
      </c>
      <c r="VM36" s="242">
        <f t="shared" si="193"/>
        <v>0</v>
      </c>
      <c r="VN36" s="56"/>
      <c r="VQ36" s="55">
        <f t="shared" si="194"/>
        <v>46053</v>
      </c>
      <c r="VR36" s="67"/>
      <c r="VS36" s="242">
        <f>SUMPRODUCT(PRODUCE!$B35:$DY35,PRODUCE!$EB$57:$IY$57)</f>
        <v>0</v>
      </c>
      <c r="VT36" s="67"/>
      <c r="VU36" s="242">
        <f t="shared" si="195"/>
        <v>0</v>
      </c>
      <c r="VV36" s="242">
        <f t="shared" si="196"/>
        <v>0</v>
      </c>
      <c r="VW36" s="56"/>
      <c r="VZ36" s="55">
        <f t="shared" si="197"/>
        <v>46053</v>
      </c>
      <c r="WA36" s="67"/>
      <c r="WB36" s="242">
        <f>SUMPRODUCT(PRODUCE!$B35:$DY35,PRODUCE!$EB$57:$IY$57)</f>
        <v>0</v>
      </c>
      <c r="WC36" s="67"/>
      <c r="WD36" s="242">
        <f t="shared" si="198"/>
        <v>0</v>
      </c>
      <c r="WE36" s="242">
        <f t="shared" si="199"/>
        <v>0</v>
      </c>
      <c r="WF36" s="56"/>
      <c r="WI36" s="55">
        <f t="shared" si="200"/>
        <v>46053</v>
      </c>
      <c r="WJ36" s="67"/>
      <c r="WK36" s="242">
        <f>SUMPRODUCT(PRODUCE!$B35:$DY35,PRODUCE!$EB$57:$IY$57)</f>
        <v>0</v>
      </c>
      <c r="WL36" s="67"/>
      <c r="WM36" s="242">
        <f t="shared" si="201"/>
        <v>0</v>
      </c>
      <c r="WN36" s="242">
        <f t="shared" si="202"/>
        <v>9609</v>
      </c>
      <c r="WO36" s="56"/>
      <c r="WR36" s="55">
        <f t="shared" si="203"/>
        <v>46053</v>
      </c>
      <c r="WS36" s="67"/>
      <c r="WT36" s="242">
        <f>SUMPRODUCT(PRODUCE!$B35:$DY35,PRODUCE!$EB$57:$IY$57)</f>
        <v>0</v>
      </c>
      <c r="WU36" s="67"/>
      <c r="WV36" s="242">
        <f t="shared" si="204"/>
        <v>0</v>
      </c>
      <c r="WW36" s="242">
        <f t="shared" si="205"/>
        <v>8149</v>
      </c>
      <c r="WX36" s="56"/>
      <c r="XA36" s="55">
        <f t="shared" si="206"/>
        <v>46053</v>
      </c>
      <c r="XB36" s="67"/>
      <c r="XC36" s="242">
        <f>SUMPRODUCT(PRODUCE!$B35:$DY35,PRODUCE!$EB$57:$IY$57)</f>
        <v>0</v>
      </c>
      <c r="XD36" s="67">
        <v>602</v>
      </c>
      <c r="XE36" s="242">
        <f t="shared" si="207"/>
        <v>-602</v>
      </c>
      <c r="XF36" s="242">
        <f t="shared" si="208"/>
        <v>911</v>
      </c>
      <c r="XG36" s="56"/>
      <c r="XJ36" s="55">
        <f t="shared" si="209"/>
        <v>46053</v>
      </c>
      <c r="XK36" s="67"/>
      <c r="XL36" s="242">
        <f>SUMPRODUCT(PRODUCE!$B35:$DY35,PRODUCE!$EB$57:$IY$57)</f>
        <v>0</v>
      </c>
      <c r="XM36" s="67"/>
      <c r="XN36" s="242">
        <f t="shared" si="210"/>
        <v>0</v>
      </c>
      <c r="XO36" s="242">
        <f t="shared" si="211"/>
        <v>6240</v>
      </c>
      <c r="XP36" s="56"/>
      <c r="XS36" s="55">
        <f t="shared" si="212"/>
        <v>46053</v>
      </c>
      <c r="XT36" s="67"/>
      <c r="XU36" s="242">
        <f>SUMPRODUCT(PRODUCE!$B35:$DY35,PRODUCE!$EB$57:$IY$57)</f>
        <v>0</v>
      </c>
      <c r="XV36" s="67"/>
      <c r="XW36" s="242">
        <f t="shared" si="213"/>
        <v>0</v>
      </c>
      <c r="XX36" s="242">
        <f t="shared" si="214"/>
        <v>1901</v>
      </c>
      <c r="XY36" s="56"/>
      <c r="YB36" s="55">
        <f t="shared" si="215"/>
        <v>46053</v>
      </c>
      <c r="YC36" s="67"/>
      <c r="YD36" s="242">
        <f>SUMPRODUCT(PRODUCE!$B35:$DY35,PRODUCE!$EB$57:$IY$57)</f>
        <v>0</v>
      </c>
      <c r="YE36" s="67"/>
      <c r="YF36" s="242">
        <f t="shared" si="216"/>
        <v>0</v>
      </c>
      <c r="YG36" s="242">
        <f t="shared" si="217"/>
        <v>1885</v>
      </c>
      <c r="YH36" s="56"/>
      <c r="YK36" s="55">
        <f t="shared" si="218"/>
        <v>46053</v>
      </c>
      <c r="YL36" s="67"/>
      <c r="YM36" s="242">
        <f>SUMPRODUCT(PRODUCE!$B35:$DY35,PRODUCE!$EB$57:$IY$57)</f>
        <v>0</v>
      </c>
      <c r="YN36" s="67"/>
      <c r="YO36" s="242">
        <f t="shared" si="219"/>
        <v>0</v>
      </c>
      <c r="YP36" s="242">
        <f t="shared" si="220"/>
        <v>0</v>
      </c>
      <c r="YQ36" s="56"/>
      <c r="YT36" s="55">
        <f t="shared" si="221"/>
        <v>46053</v>
      </c>
      <c r="YU36" s="67"/>
      <c r="YV36" s="242">
        <f>SUMPRODUCT(PRODUCE!$B35:$DY35,PRODUCE!$EB$57:$IY$57)</f>
        <v>0</v>
      </c>
      <c r="YW36" s="67"/>
      <c r="YX36" s="242">
        <f t="shared" si="222"/>
        <v>0</v>
      </c>
      <c r="YY36" s="242">
        <f t="shared" si="223"/>
        <v>0</v>
      </c>
      <c r="YZ36" s="56"/>
      <c r="ZC36" s="55">
        <f t="shared" si="224"/>
        <v>46053</v>
      </c>
      <c r="ZD36" s="67"/>
      <c r="ZE36" s="242">
        <f>SUMPRODUCT(PRODUCE!$B35:$DY35,PRODUCE!$EB$57:$IY$57)</f>
        <v>0</v>
      </c>
      <c r="ZF36" s="67"/>
      <c r="ZG36" s="242">
        <f t="shared" si="225"/>
        <v>0</v>
      </c>
      <c r="ZH36" s="242">
        <f t="shared" si="226"/>
        <v>0</v>
      </c>
      <c r="ZI36" s="56"/>
      <c r="ZL36" s="55">
        <f t="shared" si="227"/>
        <v>46053</v>
      </c>
      <c r="ZM36" s="67"/>
      <c r="ZN36" s="242">
        <f>SUMPRODUCT(PRODUCE!$B35:$DY35,PRODUCE!$EB$57:$IY$57)</f>
        <v>0</v>
      </c>
      <c r="ZO36" s="67"/>
      <c r="ZP36" s="242">
        <f t="shared" si="228"/>
        <v>0</v>
      </c>
      <c r="ZQ36" s="242">
        <f t="shared" si="229"/>
        <v>0</v>
      </c>
      <c r="ZR36" s="56"/>
      <c r="ZU36" s="55">
        <f t="shared" si="230"/>
        <v>46053</v>
      </c>
      <c r="ZV36" s="67"/>
      <c r="ZW36" s="242">
        <f>SUMPRODUCT(PRODUCE!$B35:$DY35,PRODUCE!$EB$57:$IY$57)</f>
        <v>0</v>
      </c>
      <c r="ZX36" s="67"/>
      <c r="ZY36" s="242">
        <f t="shared" si="231"/>
        <v>0</v>
      </c>
      <c r="ZZ36" s="242">
        <f t="shared" si="232"/>
        <v>0</v>
      </c>
      <c r="AAA36" s="56"/>
      <c r="AAD36" s="55">
        <f t="shared" si="233"/>
        <v>46053</v>
      </c>
      <c r="AAE36" s="67"/>
      <c r="AAF36" s="242">
        <f>SUMPRODUCT(PRODUCE!$B35:$DY35,PRODUCE!$EB$57:$IY$57)</f>
        <v>0</v>
      </c>
      <c r="AAG36" s="67"/>
      <c r="AAH36" s="242">
        <f t="shared" si="234"/>
        <v>0</v>
      </c>
      <c r="AAI36" s="242">
        <f t="shared" si="235"/>
        <v>0</v>
      </c>
      <c r="AAJ36" s="56"/>
      <c r="AAM36" s="55">
        <f t="shared" si="236"/>
        <v>46053</v>
      </c>
      <c r="AAN36" s="67"/>
      <c r="AAO36" s="242">
        <f>SUMPRODUCT(PRODUCE!$B35:$DY35,PRODUCE!$EB$57:$IY$57)</f>
        <v>0</v>
      </c>
      <c r="AAP36" s="67"/>
      <c r="AAQ36" s="242">
        <f t="shared" si="237"/>
        <v>0</v>
      </c>
      <c r="AAR36" s="242">
        <f t="shared" si="238"/>
        <v>0</v>
      </c>
      <c r="AAS36" s="56"/>
      <c r="AAV36" s="55">
        <f t="shared" si="239"/>
        <v>46053</v>
      </c>
      <c r="AAW36" s="67"/>
      <c r="AAX36" s="242">
        <f>SUMPRODUCT(PRODUCE!$B35:$DY35,PRODUCE!$EB$57:$IY$57)</f>
        <v>0</v>
      </c>
      <c r="AAY36" s="67"/>
      <c r="AAZ36" s="242">
        <f t="shared" si="240"/>
        <v>0</v>
      </c>
      <c r="ABA36" s="242">
        <f t="shared" si="241"/>
        <v>0</v>
      </c>
      <c r="ABB36" s="56"/>
      <c r="ABE36" s="55">
        <f t="shared" si="242"/>
        <v>46053</v>
      </c>
      <c r="ABF36" s="67"/>
      <c r="ABG36" s="242">
        <f>SUMPRODUCT(PRODUCE!$B35:$DY35,PRODUCE!$EB$57:$IY$57)</f>
        <v>0</v>
      </c>
      <c r="ABH36" s="67"/>
      <c r="ABI36" s="242">
        <f t="shared" si="243"/>
        <v>0</v>
      </c>
      <c r="ABJ36" s="242">
        <f t="shared" si="244"/>
        <v>0</v>
      </c>
      <c r="ABK36" s="56"/>
    </row>
    <row r="37" spans="1:739" ht="14.45" thickBot="1">
      <c r="B37" s="480">
        <f>SUM(B6:B36)</f>
        <v>1414</v>
      </c>
      <c r="C37" s="68" t="s">
        <v>72</v>
      </c>
      <c r="D37" s="426">
        <f>SUM(D6:D36)</f>
        <v>1015280</v>
      </c>
      <c r="E37" s="427">
        <f>SUM(E6:E36)</f>
        <v>816998.7</v>
      </c>
      <c r="F37" s="427">
        <f>SUM(F6:F36)</f>
        <v>821342</v>
      </c>
      <c r="G37" s="427">
        <f>SUM(G6:G36)</f>
        <v>-4343.299999999992</v>
      </c>
      <c r="H37" s="428">
        <f>H36</f>
        <v>241788.19999999998</v>
      </c>
      <c r="I37" s="289"/>
      <c r="L37" s="68" t="s">
        <v>72</v>
      </c>
      <c r="M37" s="426">
        <f>SUM(M6:M36)</f>
        <v>361810</v>
      </c>
      <c r="N37" s="427">
        <f>SUM(N6:N36)</f>
        <v>321775.5</v>
      </c>
      <c r="O37" s="427">
        <f>SUM(O6:O36)</f>
        <v>321757.99999999994</v>
      </c>
      <c r="P37" s="427">
        <f>SUM(P6:P36)</f>
        <v>17.499999999976808</v>
      </c>
      <c r="Q37" s="428">
        <f>Q36</f>
        <v>48748.2</v>
      </c>
      <c r="R37" s="74"/>
      <c r="U37" s="68" t="s">
        <v>72</v>
      </c>
      <c r="V37" s="426">
        <f>SUM(V6:V36)</f>
        <v>90340</v>
      </c>
      <c r="W37" s="427">
        <f>SUM(W6:W36)</f>
        <v>80810</v>
      </c>
      <c r="X37" s="427">
        <f>SUM(X6:X36)</f>
        <v>80826.300000000032</v>
      </c>
      <c r="Y37" s="427">
        <f>SUM(Y6:Y36)</f>
        <v>-16.300000000000637</v>
      </c>
      <c r="Z37" s="428">
        <f>Z36</f>
        <v>49884.999999999985</v>
      </c>
      <c r="AA37" s="71"/>
      <c r="AD37" s="68" t="s">
        <v>72</v>
      </c>
      <c r="AE37" s="426">
        <f>SUM(AE6:AE36)</f>
        <v>86570</v>
      </c>
      <c r="AF37" s="427">
        <f>SUM(AF6:AF36)</f>
        <v>67570</v>
      </c>
      <c r="AG37" s="427">
        <f>SUM(AG6:AG36)</f>
        <v>67591.5</v>
      </c>
      <c r="AH37" s="427">
        <f>SUM(AH6:AH36)</f>
        <v>-21.499999999999659</v>
      </c>
      <c r="AI37" s="428">
        <f>AI36</f>
        <v>52772.200000000012</v>
      </c>
      <c r="AJ37" s="71"/>
      <c r="AM37" s="68" t="s">
        <v>72</v>
      </c>
      <c r="AN37" s="426">
        <f>SUM(AN6:AN36)</f>
        <v>0</v>
      </c>
      <c r="AO37" s="427">
        <f>SUM(AO6:AO36)</f>
        <v>0</v>
      </c>
      <c r="AP37" s="427">
        <f>SUM(AP6:AP36)</f>
        <v>0</v>
      </c>
      <c r="AQ37" s="427">
        <f>SUM(AQ6:AQ36)</f>
        <v>0</v>
      </c>
      <c r="AR37" s="428">
        <f>AR36</f>
        <v>0</v>
      </c>
      <c r="AS37" s="71"/>
      <c r="AV37" s="68" t="s">
        <v>72</v>
      </c>
      <c r="AW37" s="426">
        <f>SUM(AW6:AW36)</f>
        <v>31596.3</v>
      </c>
      <c r="AX37" s="427">
        <f>SUM(AX6:AX36)</f>
        <v>26507</v>
      </c>
      <c r="AY37" s="427">
        <f>SUM(AY6:AY36)</f>
        <v>26789.699999999993</v>
      </c>
      <c r="AZ37" s="427">
        <f>SUM(AZ6:AZ36)</f>
        <v>-282.69999999999965</v>
      </c>
      <c r="BA37" s="428">
        <f>BA36</f>
        <v>34316.69999999999</v>
      </c>
      <c r="BB37" s="71"/>
      <c r="BE37" s="68" t="s">
        <v>72</v>
      </c>
      <c r="BF37" s="426">
        <f>SUM(BF6:BF36)</f>
        <v>45437.7</v>
      </c>
      <c r="BG37" s="427">
        <f>SUM(BG6:BG36)</f>
        <v>29930</v>
      </c>
      <c r="BH37" s="427">
        <f>SUM(BH6:BH36)</f>
        <v>29873.600000000002</v>
      </c>
      <c r="BI37" s="427">
        <f>SUM(BI6:BI36)</f>
        <v>56.399999999999977</v>
      </c>
      <c r="BJ37" s="428">
        <f>BJ36</f>
        <v>21924.100000000006</v>
      </c>
      <c r="BK37" s="71"/>
      <c r="BN37" s="68" t="s">
        <v>72</v>
      </c>
      <c r="BO37" s="426">
        <f>SUM(BO6:BO36)</f>
        <v>28058.399999999998</v>
      </c>
      <c r="BP37" s="427">
        <f>SUM(BP6:BP36)</f>
        <v>28058</v>
      </c>
      <c r="BQ37" s="427">
        <f>SUM(BQ6:BQ36)</f>
        <v>28058.399999999998</v>
      </c>
      <c r="BR37" s="427">
        <f>SUM(BR6:BR36)</f>
        <v>-0.40000000000020464</v>
      </c>
      <c r="BS37" s="428">
        <f>BS36</f>
        <v>0</v>
      </c>
      <c r="BT37" s="71"/>
      <c r="BW37" s="68" t="s">
        <v>72</v>
      </c>
      <c r="BX37" s="73">
        <f>SUM(BX6:BX36)</f>
        <v>3000</v>
      </c>
      <c r="BY37" s="69">
        <f>SUM(BY6:BY36)</f>
        <v>225</v>
      </c>
      <c r="BZ37" s="69">
        <f>SUM(BZ6:BZ36)</f>
        <v>228</v>
      </c>
      <c r="CA37" s="69">
        <f>SUM(CA6:CA36)</f>
        <v>-2.9999999999999929</v>
      </c>
      <c r="CB37" s="70">
        <f>CB36</f>
        <v>3284.5</v>
      </c>
      <c r="CC37" s="71"/>
      <c r="CF37" s="68" t="s">
        <v>72</v>
      </c>
      <c r="CG37" s="73">
        <f>SUM(CG6:CG36)</f>
        <v>896.8</v>
      </c>
      <c r="CH37" s="69">
        <f>SUM(CH6:CH36)</f>
        <v>757.80000000000007</v>
      </c>
      <c r="CI37" s="69">
        <f>SUM(CI6:CI36)</f>
        <v>896.8</v>
      </c>
      <c r="CJ37" s="69">
        <f>SUM(CJ6:CJ36)</f>
        <v>-138.99999999999994</v>
      </c>
      <c r="CK37" s="70">
        <f>CK36</f>
        <v>0</v>
      </c>
      <c r="CL37" s="71"/>
      <c r="CO37" s="72" t="s">
        <v>72</v>
      </c>
      <c r="CP37" s="426">
        <f>SUM(CP6:CP36)</f>
        <v>0</v>
      </c>
      <c r="CQ37" s="427">
        <f>SUM(CQ6:CQ36)</f>
        <v>0</v>
      </c>
      <c r="CR37" s="427">
        <f>SUM(CR6:CR36)</f>
        <v>0</v>
      </c>
      <c r="CS37" s="427">
        <f>SUM(CS6:CS36)</f>
        <v>0</v>
      </c>
      <c r="CT37" s="428">
        <f>CT36</f>
        <v>0</v>
      </c>
      <c r="CU37" s="71"/>
      <c r="CX37" s="72" t="s">
        <v>72</v>
      </c>
      <c r="CY37" s="73">
        <f>SUM(CY6:CY36)</f>
        <v>0</v>
      </c>
      <c r="CZ37" s="69">
        <f>SUM(CZ6:CZ36)</f>
        <v>0</v>
      </c>
      <c r="DA37" s="69">
        <f>SUM(DA6:DA36)</f>
        <v>0</v>
      </c>
      <c r="DB37" s="69">
        <f>SUM(DB6:DB36)</f>
        <v>0</v>
      </c>
      <c r="DC37" s="70">
        <f>DC36</f>
        <v>0</v>
      </c>
      <c r="DD37" s="71"/>
      <c r="DG37" s="72" t="s">
        <v>72</v>
      </c>
      <c r="DH37" s="73">
        <f>SUM(DH6:DH36)</f>
        <v>0</v>
      </c>
      <c r="DI37" s="148">
        <f>SUM(DI6:DI36)</f>
        <v>9170</v>
      </c>
      <c r="DJ37" s="69">
        <f>SUM(DJ6:DJ36)</f>
        <v>9168.4</v>
      </c>
      <c r="DK37" s="148">
        <f>SUM(DK6:DK36)</f>
        <v>1.5999999999997954</v>
      </c>
      <c r="DL37" s="154">
        <f>DL36</f>
        <v>22172.799999999996</v>
      </c>
      <c r="DM37" s="340"/>
      <c r="DP37" s="72" t="s">
        <v>72</v>
      </c>
      <c r="DQ37" s="73">
        <f>SUM(DQ6:DQ36)</f>
        <v>0</v>
      </c>
      <c r="DR37" s="69">
        <f>SUM(DR6:DR36)</f>
        <v>0</v>
      </c>
      <c r="DS37" s="69">
        <f>SUM(DS6:DS36)</f>
        <v>0</v>
      </c>
      <c r="DT37" s="69">
        <f>SUM(DT6:DT36)</f>
        <v>0</v>
      </c>
      <c r="DU37" s="70">
        <f>DU36</f>
        <v>0</v>
      </c>
      <c r="DV37" s="71"/>
      <c r="DY37" s="72" t="s">
        <v>72</v>
      </c>
      <c r="DZ37" s="73">
        <f>SUM(DZ6:DZ36)</f>
        <v>0</v>
      </c>
      <c r="EA37" s="69">
        <f>SUM(EA6:EA36)</f>
        <v>0</v>
      </c>
      <c r="EB37" s="69">
        <f>SUM(EB6:EB36)</f>
        <v>0</v>
      </c>
      <c r="EC37" s="69">
        <f>SUM(EC6:EC36)</f>
        <v>0</v>
      </c>
      <c r="ED37" s="70">
        <f>ED36</f>
        <v>0</v>
      </c>
      <c r="EE37" s="71"/>
      <c r="EH37" s="72" t="s">
        <v>72</v>
      </c>
      <c r="EI37" s="73">
        <f>SUM(EI6:EI36)</f>
        <v>0</v>
      </c>
      <c r="EJ37" s="69">
        <f>SUM(EJ6:EJ36)</f>
        <v>0</v>
      </c>
      <c r="EK37" s="69">
        <f>SUM(EK6:EK36)</f>
        <v>0</v>
      </c>
      <c r="EL37" s="69">
        <f>SUM(EL6:EL36)</f>
        <v>0</v>
      </c>
      <c r="EM37" s="70">
        <f>EM36</f>
        <v>0</v>
      </c>
      <c r="EN37" s="71"/>
      <c r="EQ37" s="72" t="s">
        <v>72</v>
      </c>
      <c r="ER37" s="73">
        <f>SUM(ER6:ER36)</f>
        <v>0</v>
      </c>
      <c r="ES37" s="69">
        <f>SUM(ES6:ES36)</f>
        <v>0</v>
      </c>
      <c r="ET37" s="69">
        <f>SUM(ET6:ET36)</f>
        <v>0</v>
      </c>
      <c r="EU37" s="69">
        <f>SUM(EU6:EU36)</f>
        <v>0</v>
      </c>
      <c r="EV37" s="70">
        <f>EV36</f>
        <v>0</v>
      </c>
      <c r="EW37" s="71"/>
      <c r="EZ37" s="72" t="s">
        <v>72</v>
      </c>
      <c r="FA37" s="73">
        <f>SUM(FA6:FA36)</f>
        <v>0</v>
      </c>
      <c r="FB37" s="69">
        <f>SUM(FB6:FB36)</f>
        <v>0</v>
      </c>
      <c r="FC37" s="69">
        <f>SUM(FC6:FC36)</f>
        <v>0</v>
      </c>
      <c r="FD37" s="69">
        <f>SUM(FD6:FD36)</f>
        <v>0</v>
      </c>
      <c r="FE37" s="70">
        <f>FE36</f>
        <v>0</v>
      </c>
      <c r="FF37" s="71"/>
      <c r="FI37" s="72" t="s">
        <v>72</v>
      </c>
      <c r="FJ37" s="73">
        <f>SUM(FJ6:FJ36)</f>
        <v>0</v>
      </c>
      <c r="FK37" s="69">
        <f>SUM(FK6:FK36)</f>
        <v>0</v>
      </c>
      <c r="FL37" s="69">
        <f>SUM(FL6:FL36)</f>
        <v>0</v>
      </c>
      <c r="FM37" s="69">
        <f>SUM(FM6:FM36)</f>
        <v>0</v>
      </c>
      <c r="FN37" s="70">
        <f>FN36</f>
        <v>0</v>
      </c>
      <c r="FO37" s="71"/>
      <c r="FQ37" s="23">
        <f>FS37/20</f>
        <v>0</v>
      </c>
      <c r="FR37" s="72" t="s">
        <v>72</v>
      </c>
      <c r="FS37" s="426">
        <f>SUM(FS6:FS36)</f>
        <v>0</v>
      </c>
      <c r="FT37" s="427">
        <f>SUM(FT6:FT36)</f>
        <v>320</v>
      </c>
      <c r="FU37" s="427">
        <f>SUM(FU6:FU36)</f>
        <v>0</v>
      </c>
      <c r="FV37" s="427">
        <f>SUM(FV6:FV36)</f>
        <v>320</v>
      </c>
      <c r="FW37" s="428">
        <f>FW36</f>
        <v>3540</v>
      </c>
      <c r="FX37" s="459">
        <f>FW37/20</f>
        <v>177</v>
      </c>
      <c r="FY37" s="460" t="s">
        <v>173</v>
      </c>
      <c r="FZ37" s="23">
        <f>GB37/20</f>
        <v>100</v>
      </c>
      <c r="GA37" s="72" t="s">
        <v>72</v>
      </c>
      <c r="GB37" s="426">
        <f>SUM(GB6:GB36)</f>
        <v>2000</v>
      </c>
      <c r="GC37" s="427">
        <f>SUM(GC6:GC36)</f>
        <v>0</v>
      </c>
      <c r="GD37" s="427">
        <f>SUM(GD6:GD36)</f>
        <v>0</v>
      </c>
      <c r="GE37" s="427">
        <f>SUM(GE6:GE36)</f>
        <v>0</v>
      </c>
      <c r="GF37" s="428">
        <f>GF36</f>
        <v>3960</v>
      </c>
      <c r="GG37" s="461">
        <f>GF37/20</f>
        <v>198</v>
      </c>
      <c r="GH37" s="460" t="s">
        <v>173</v>
      </c>
      <c r="GI37" s="23">
        <f>GK37/20</f>
        <v>400</v>
      </c>
      <c r="GJ37" s="72" t="s">
        <v>72</v>
      </c>
      <c r="GK37" s="426">
        <f>SUM(GK6:GK36)</f>
        <v>8000</v>
      </c>
      <c r="GL37" s="427">
        <f>SUM(GL6:GL36)</f>
        <v>7880</v>
      </c>
      <c r="GM37" s="427">
        <f>SUM(GM6:GM36)</f>
        <v>7720</v>
      </c>
      <c r="GN37" s="427">
        <f>SUM(GN6:GN36)</f>
        <v>160</v>
      </c>
      <c r="GO37" s="428">
        <f>GO36</f>
        <v>3240</v>
      </c>
      <c r="GP37" s="71"/>
      <c r="GS37" s="72" t="s">
        <v>72</v>
      </c>
      <c r="GT37" s="73">
        <f>SUM(GT6:GT36)</f>
        <v>0</v>
      </c>
      <c r="GU37" s="69">
        <f>SUM(GU6:GU36)</f>
        <v>0</v>
      </c>
      <c r="GV37" s="69">
        <f>SUM(GV6:GV36)</f>
        <v>0</v>
      </c>
      <c r="GW37" s="69">
        <f>SUM(GW6:GW36)</f>
        <v>0</v>
      </c>
      <c r="GX37" s="70">
        <f>GX36</f>
        <v>0</v>
      </c>
      <c r="GY37" s="71"/>
      <c r="HB37" s="72" t="s">
        <v>72</v>
      </c>
      <c r="HC37" s="73">
        <f>SUM(HC6:HC36)</f>
        <v>0</v>
      </c>
      <c r="HD37" s="69">
        <f>SUM(HD6:HD36)</f>
        <v>0</v>
      </c>
      <c r="HE37" s="69">
        <f>SUM(HE6:HE36)</f>
        <v>0</v>
      </c>
      <c r="HF37" s="69">
        <f>SUM(HF6:HF36)</f>
        <v>0</v>
      </c>
      <c r="HG37" s="70">
        <f>HG36</f>
        <v>0</v>
      </c>
      <c r="HH37" s="71"/>
      <c r="HK37" s="72" t="s">
        <v>72</v>
      </c>
      <c r="HL37" s="73">
        <f>SUM(HL6:HL36)</f>
        <v>0</v>
      </c>
      <c r="HM37" s="69">
        <f>SUM(HM6:HM36)</f>
        <v>0</v>
      </c>
      <c r="HN37" s="69">
        <f>SUM(HN6:HN36)</f>
        <v>0</v>
      </c>
      <c r="HO37" s="69">
        <f>SUM(HO6:HO36)</f>
        <v>0</v>
      </c>
      <c r="HP37" s="70">
        <f>HP36</f>
        <v>0</v>
      </c>
      <c r="HQ37" s="71"/>
      <c r="HT37" s="23">
        <f>HV37/20</f>
        <v>225</v>
      </c>
      <c r="HU37" s="72" t="s">
        <v>72</v>
      </c>
      <c r="HV37" s="73">
        <f>SUM(HV6:HV36)</f>
        <v>4500</v>
      </c>
      <c r="HW37" s="69">
        <f>SUM(HW6:HW36)</f>
        <v>2520</v>
      </c>
      <c r="HX37" s="69">
        <f>SUM(HX6:HX36)</f>
        <v>3040</v>
      </c>
      <c r="HY37" s="69">
        <f>SUM(HY6:HY36)</f>
        <v>-520</v>
      </c>
      <c r="HZ37" s="70">
        <f>HZ36</f>
        <v>5440</v>
      </c>
      <c r="IA37" s="459">
        <f>HZ37/20</f>
        <v>272</v>
      </c>
      <c r="IB37" s="460" t="s">
        <v>173</v>
      </c>
      <c r="IC37" s="23">
        <f>IE37/20</f>
        <v>107</v>
      </c>
      <c r="ID37" s="72" t="s">
        <v>72</v>
      </c>
      <c r="IE37" s="73">
        <f>SUM(IE6:IE36)</f>
        <v>2140</v>
      </c>
      <c r="IF37" s="69">
        <f>SUM(IF6:IF36)</f>
        <v>0</v>
      </c>
      <c r="IG37" s="69">
        <f>SUM(IG6:IG36)</f>
        <v>0</v>
      </c>
      <c r="IH37" s="69">
        <f>SUM(IH6:IH36)</f>
        <v>0</v>
      </c>
      <c r="II37" s="70">
        <f>II36</f>
        <v>5100</v>
      </c>
      <c r="IJ37" s="461">
        <f>II37/20</f>
        <v>255</v>
      </c>
      <c r="IK37" s="6" t="s">
        <v>173</v>
      </c>
      <c r="IL37" s="23">
        <f>IN37/20</f>
        <v>1226</v>
      </c>
      <c r="IM37" s="72" t="s">
        <v>72</v>
      </c>
      <c r="IN37" s="73">
        <f>SUM(IN6:IN36)</f>
        <v>24520</v>
      </c>
      <c r="IO37" s="69">
        <f>SUM(IO6:IO36)</f>
        <v>12320</v>
      </c>
      <c r="IP37" s="69">
        <f>SUM(IP6:IP36)</f>
        <v>10320</v>
      </c>
      <c r="IQ37" s="69">
        <f>SUM(IQ6:IQ36)</f>
        <v>2000</v>
      </c>
      <c r="IR37" s="70">
        <f>IR36</f>
        <v>16240</v>
      </c>
      <c r="IS37" s="461">
        <f>IR37/20</f>
        <v>812</v>
      </c>
      <c r="IT37" s="6" t="s">
        <v>173</v>
      </c>
      <c r="IU37" s="23">
        <f>IW37/20</f>
        <v>600</v>
      </c>
      <c r="IV37" s="72" t="s">
        <v>72</v>
      </c>
      <c r="IW37" s="73">
        <f>SUM(IW6:IW36)</f>
        <v>12000</v>
      </c>
      <c r="IX37" s="69">
        <f>SUM(IX6:IX36)</f>
        <v>5240</v>
      </c>
      <c r="IY37" s="69">
        <f>SUM(IY6:IY36)</f>
        <v>6400</v>
      </c>
      <c r="IZ37" s="69">
        <f>SUM(IZ6:IZ36)</f>
        <v>-1160</v>
      </c>
      <c r="JA37" s="70">
        <f>JA36</f>
        <v>13120</v>
      </c>
      <c r="JB37" s="462">
        <f>JA37/20</f>
        <v>656</v>
      </c>
      <c r="JC37" s="6" t="s">
        <v>173</v>
      </c>
      <c r="JD37" s="23">
        <f>JF37/20</f>
        <v>0</v>
      </c>
      <c r="JE37" s="72" t="s">
        <v>72</v>
      </c>
      <c r="JF37" s="73">
        <f>SUM(JF6:JF36)</f>
        <v>0</v>
      </c>
      <c r="JG37" s="69">
        <f>SUM(JG6:JG36)</f>
        <v>0</v>
      </c>
      <c r="JH37" s="69">
        <f>SUM(JH6:JH36)</f>
        <v>0</v>
      </c>
      <c r="JI37" s="69">
        <f>SUM(JI6:JI36)</f>
        <v>0</v>
      </c>
      <c r="JJ37" s="70">
        <f>JJ36</f>
        <v>6800</v>
      </c>
      <c r="JK37" s="462">
        <f>JJ37/20</f>
        <v>340</v>
      </c>
      <c r="JL37" s="6" t="s">
        <v>173</v>
      </c>
      <c r="JM37" s="23">
        <f>JO37/20</f>
        <v>50</v>
      </c>
      <c r="JN37" s="72" t="s">
        <v>72</v>
      </c>
      <c r="JO37" s="73">
        <f>SUM(JO6:JO36)</f>
        <v>1000</v>
      </c>
      <c r="JP37" s="69">
        <f>SUM(JP6:JP36)</f>
        <v>0</v>
      </c>
      <c r="JQ37" s="69">
        <f>SUM(JQ6:JQ36)</f>
        <v>0</v>
      </c>
      <c r="JR37" s="69">
        <f>SUM(JR6:JR36)</f>
        <v>0</v>
      </c>
      <c r="JS37" s="70">
        <f>JS36</f>
        <v>5400</v>
      </c>
      <c r="JT37" s="71"/>
      <c r="JV37" s="23">
        <f>JX37/20</f>
        <v>113</v>
      </c>
      <c r="JW37" s="72" t="s">
        <v>72</v>
      </c>
      <c r="JX37" s="73">
        <f>SUM(JX6:JX36)</f>
        <v>2260</v>
      </c>
      <c r="JY37" s="69">
        <f>SUM(JY6:JY36)</f>
        <v>0</v>
      </c>
      <c r="JZ37" s="69">
        <f>SUM(JZ6:JZ36)</f>
        <v>0</v>
      </c>
      <c r="KA37" s="69">
        <f>SUM(KA6:KA36)</f>
        <v>0</v>
      </c>
      <c r="KB37" s="70">
        <f>KB36</f>
        <v>2260</v>
      </c>
      <c r="KC37" s="71"/>
      <c r="KE37" s="23">
        <f>KG37/20</f>
        <v>0</v>
      </c>
      <c r="KF37" s="72" t="s">
        <v>72</v>
      </c>
      <c r="KG37" s="73">
        <f>SUM(KG6:KG36)</f>
        <v>0</v>
      </c>
      <c r="KH37" s="69">
        <f>SUM(KH6:KH36)</f>
        <v>0</v>
      </c>
      <c r="KI37" s="69">
        <f>SUM(KI6:KI36)</f>
        <v>0</v>
      </c>
      <c r="KJ37" s="69">
        <f>SUM(KJ6:KJ36)</f>
        <v>0</v>
      </c>
      <c r="KK37" s="70">
        <f>KK36</f>
        <v>0</v>
      </c>
      <c r="KL37" s="71"/>
      <c r="KN37" s="23">
        <f>KP37/20</f>
        <v>0</v>
      </c>
      <c r="KO37" s="72" t="s">
        <v>72</v>
      </c>
      <c r="KP37" s="73">
        <f>SUM(KP6:KP36)</f>
        <v>0</v>
      </c>
      <c r="KQ37" s="69">
        <f>SUM(KQ6:KQ36)</f>
        <v>0</v>
      </c>
      <c r="KR37" s="69">
        <f>SUM(KR6:KR36)</f>
        <v>0</v>
      </c>
      <c r="KS37" s="69">
        <f>SUM(KS6:KS36)</f>
        <v>0</v>
      </c>
      <c r="KT37" s="70">
        <f>KT36</f>
        <v>0</v>
      </c>
      <c r="KU37" s="71"/>
      <c r="KW37" s="23">
        <f>KY37/20</f>
        <v>0</v>
      </c>
      <c r="KX37" s="72" t="s">
        <v>72</v>
      </c>
      <c r="KY37" s="73">
        <f>SUM(KY6:KY36)</f>
        <v>0</v>
      </c>
      <c r="KZ37" s="69">
        <f>SUM(KZ6:KZ36)</f>
        <v>0</v>
      </c>
      <c r="LA37" s="69">
        <f>SUM(LA6:LA36)</f>
        <v>0</v>
      </c>
      <c r="LB37" s="69">
        <f>SUM(LB6:LB36)</f>
        <v>0</v>
      </c>
      <c r="LC37" s="70">
        <f>LC36</f>
        <v>0</v>
      </c>
      <c r="LD37" s="71"/>
      <c r="LF37" s="23">
        <f>LH37/20</f>
        <v>0</v>
      </c>
      <c r="LG37" s="72" t="s">
        <v>72</v>
      </c>
      <c r="LH37" s="73">
        <f>SUM(LH6:LH36)</f>
        <v>0</v>
      </c>
      <c r="LI37" s="69">
        <f>SUM(LI6:LI36)</f>
        <v>0</v>
      </c>
      <c r="LJ37" s="69">
        <f>SUM(LJ6:LJ36)</f>
        <v>0</v>
      </c>
      <c r="LK37" s="69">
        <f>SUM(LK6:LK36)</f>
        <v>0</v>
      </c>
      <c r="LL37" s="70">
        <f>LL36</f>
        <v>0</v>
      </c>
      <c r="LM37" s="71"/>
      <c r="LP37" s="72" t="s">
        <v>72</v>
      </c>
      <c r="LQ37" s="73">
        <f>SUM(LQ6:LQ36)</f>
        <v>0</v>
      </c>
      <c r="LR37" s="69">
        <f>SUM(LR6:LR36)</f>
        <v>0</v>
      </c>
      <c r="LS37" s="69">
        <f>SUM(LS6:LS36)</f>
        <v>0</v>
      </c>
      <c r="LT37" s="69">
        <f>SUM(LT6:LT36)</f>
        <v>0</v>
      </c>
      <c r="LU37" s="70">
        <f>LU36</f>
        <v>0</v>
      </c>
      <c r="LV37" s="71"/>
      <c r="LY37" s="72" t="s">
        <v>72</v>
      </c>
      <c r="LZ37" s="73">
        <f>SUM(LZ6:LZ36)</f>
        <v>0</v>
      </c>
      <c r="MA37" s="69">
        <f>SUM(MA6:MA36)</f>
        <v>0</v>
      </c>
      <c r="MB37" s="69">
        <f>SUM(MB6:MB36)</f>
        <v>0</v>
      </c>
      <c r="MC37" s="69">
        <f>SUM(MC6:MC36)</f>
        <v>0</v>
      </c>
      <c r="MD37" s="70">
        <f>MD36</f>
        <v>0</v>
      </c>
      <c r="ME37" s="71"/>
      <c r="MH37" s="72" t="s">
        <v>72</v>
      </c>
      <c r="MI37" s="73">
        <f>SUM(MI6:MI36)</f>
        <v>0</v>
      </c>
      <c r="MJ37" s="69">
        <f>SUM(MJ6:MJ36)</f>
        <v>0</v>
      </c>
      <c r="MK37" s="69">
        <f>SUM(MK6:MK36)</f>
        <v>0</v>
      </c>
      <c r="ML37" s="69">
        <f>SUM(ML6:ML36)</f>
        <v>0</v>
      </c>
      <c r="MM37" s="70">
        <f>MM36</f>
        <v>0</v>
      </c>
      <c r="MN37" s="71"/>
      <c r="MP37" s="23"/>
      <c r="MQ37" s="72" t="s">
        <v>72</v>
      </c>
      <c r="MR37" s="73">
        <f>SUM(MR6:MR36)</f>
        <v>1000</v>
      </c>
      <c r="MS37" s="69">
        <f>SUM(MS6:MS36)</f>
        <v>576</v>
      </c>
      <c r="MT37" s="69">
        <f>SUM(MT6:MT36)</f>
        <v>562</v>
      </c>
      <c r="MU37" s="69">
        <f>SUM(MU6:MU36)</f>
        <v>14</v>
      </c>
      <c r="MV37" s="70">
        <f>MV36</f>
        <v>1969</v>
      </c>
      <c r="MW37" s="71"/>
      <c r="MZ37" s="72" t="s">
        <v>72</v>
      </c>
      <c r="NA37" s="73">
        <f>SUM(NA6:NA36)</f>
        <v>2994</v>
      </c>
      <c r="NB37" s="69">
        <f>SUM(NB6:NB36)</f>
        <v>3012</v>
      </c>
      <c r="NC37" s="69">
        <f>SUM(NC6:NC36)</f>
        <v>2994</v>
      </c>
      <c r="ND37" s="69">
        <f>SUM(ND6:ND36)</f>
        <v>18</v>
      </c>
      <c r="NE37" s="70">
        <f>NE36</f>
        <v>0</v>
      </c>
      <c r="NF37" s="71"/>
      <c r="NI37" s="72" t="s">
        <v>72</v>
      </c>
      <c r="NJ37" s="73">
        <f>SUM(NJ6:NJ36)</f>
        <v>0</v>
      </c>
      <c r="NK37" s="69">
        <f>SUM(NK6:NK36)</f>
        <v>0</v>
      </c>
      <c r="NL37" s="69">
        <f>SUM(NL6:NL36)</f>
        <v>0</v>
      </c>
      <c r="NM37" s="69">
        <f>SUM(NM6:NM36)</f>
        <v>0</v>
      </c>
      <c r="NN37" s="70">
        <f>NN36</f>
        <v>0</v>
      </c>
      <c r="NO37" s="71"/>
      <c r="NR37" s="72" t="s">
        <v>72</v>
      </c>
      <c r="NS37" s="73">
        <f>SUM(NS6:NS36)</f>
        <v>0</v>
      </c>
      <c r="NT37" s="69">
        <f>SUM(NT6:NT36)</f>
        <v>0</v>
      </c>
      <c r="NU37" s="69">
        <f>SUM(NU6:NU36)</f>
        <v>0</v>
      </c>
      <c r="NV37" s="69">
        <f>SUM(NV6:NV36)</f>
        <v>0</v>
      </c>
      <c r="NW37" s="70">
        <f>NW36</f>
        <v>0</v>
      </c>
      <c r="NX37" s="71"/>
      <c r="OA37" s="72" t="s">
        <v>72</v>
      </c>
      <c r="OB37" s="73">
        <f>SUM(OB6:OB36)</f>
        <v>2101.3000000000002</v>
      </c>
      <c r="OC37" s="69">
        <f>SUM(OC6:OC36)</f>
        <v>330</v>
      </c>
      <c r="OD37" s="69">
        <f>SUM(OD6:OD36)</f>
        <v>456</v>
      </c>
      <c r="OE37" s="69">
        <f>SUM(OE6:OE36)</f>
        <v>-126</v>
      </c>
      <c r="OF37" s="70">
        <f>OF36</f>
        <v>1680.5</v>
      </c>
      <c r="OG37" s="71"/>
      <c r="OJ37" s="72" t="s">
        <v>72</v>
      </c>
      <c r="OK37" s="73">
        <f>SUM(OK6:OK36)</f>
        <v>0</v>
      </c>
      <c r="OL37" s="69">
        <f>SUM(OL6:OL36)</f>
        <v>0</v>
      </c>
      <c r="OM37" s="69">
        <f>SUM(OM6:OM36)</f>
        <v>0</v>
      </c>
      <c r="ON37" s="69">
        <f>SUM(ON6:ON36)</f>
        <v>0</v>
      </c>
      <c r="OO37" s="70">
        <f>OO36</f>
        <v>0</v>
      </c>
      <c r="OP37" s="71"/>
      <c r="OS37" s="72" t="s">
        <v>72</v>
      </c>
      <c r="OT37" s="73">
        <f>SUM(OT6:OT36)</f>
        <v>0</v>
      </c>
      <c r="OU37" s="69">
        <f>SUM(OU6:OU36)</f>
        <v>0</v>
      </c>
      <c r="OV37" s="69">
        <f>SUM(OV6:OV36)</f>
        <v>349</v>
      </c>
      <c r="OW37" s="69">
        <f>SUM(OW6:OW36)</f>
        <v>-349</v>
      </c>
      <c r="OX37" s="70">
        <f>OX36</f>
        <v>0</v>
      </c>
      <c r="OY37" s="71"/>
      <c r="PB37" s="72" t="s">
        <v>72</v>
      </c>
      <c r="PC37" s="73">
        <f>SUM(PC6:PC36)</f>
        <v>806</v>
      </c>
      <c r="PD37" s="69">
        <f>SUM(PD6:PD36)</f>
        <v>0</v>
      </c>
      <c r="PE37" s="69">
        <f>SUM(PE6:PE36)</f>
        <v>806</v>
      </c>
      <c r="PF37" s="69">
        <f>SUM(PF6:PF36)</f>
        <v>-806</v>
      </c>
      <c r="PG37" s="70">
        <f>PG36</f>
        <v>0</v>
      </c>
      <c r="PH37" s="71"/>
      <c r="PK37" s="72" t="s">
        <v>72</v>
      </c>
      <c r="PL37" s="73">
        <f>SUM(PL6:PL36)</f>
        <v>0</v>
      </c>
      <c r="PM37" s="69">
        <f>SUM(PM6:PM36)</f>
        <v>0</v>
      </c>
      <c r="PN37" s="69">
        <f>SUM(PN6:PN36)</f>
        <v>0</v>
      </c>
      <c r="PO37" s="69">
        <f>SUM(PO6:PO36)</f>
        <v>0</v>
      </c>
      <c r="PP37" s="70">
        <f>PP36</f>
        <v>160</v>
      </c>
      <c r="PQ37" s="71"/>
      <c r="PT37" s="72" t="s">
        <v>72</v>
      </c>
      <c r="PU37" s="73">
        <f>SUM(PU6:PU36)</f>
        <v>0</v>
      </c>
      <c r="PV37" s="69">
        <f>SUM(PV6:PV36)</f>
        <v>0</v>
      </c>
      <c r="PW37" s="69">
        <f>SUM(PW6:PW36)</f>
        <v>0</v>
      </c>
      <c r="PX37" s="69">
        <f>SUM(PX6:PX36)</f>
        <v>0</v>
      </c>
      <c r="PY37" s="70">
        <f>PY36</f>
        <v>13.960000000000036</v>
      </c>
      <c r="PZ37" s="71"/>
      <c r="QC37" s="72" t="s">
        <v>72</v>
      </c>
      <c r="QD37" s="73">
        <f>SUM(QD6:QD36)</f>
        <v>0</v>
      </c>
      <c r="QE37" s="69">
        <f>SUM(QE6:QE36)</f>
        <v>0</v>
      </c>
      <c r="QF37" s="69">
        <f>SUM(QF6:QF36)</f>
        <v>0</v>
      </c>
      <c r="QG37" s="69">
        <f>SUM(QG6:QG36)</f>
        <v>0</v>
      </c>
      <c r="QH37" s="70">
        <f>QH36</f>
        <v>0</v>
      </c>
      <c r="QI37" s="71"/>
      <c r="QL37" s="72" t="s">
        <v>72</v>
      </c>
      <c r="QM37" s="73">
        <f>SUM(QM6:QM36)</f>
        <v>0</v>
      </c>
      <c r="QN37" s="69">
        <f>SUM(QN6:QN36)</f>
        <v>0</v>
      </c>
      <c r="QO37" s="69">
        <f>SUM(QO6:QO36)</f>
        <v>0</v>
      </c>
      <c r="QP37" s="69">
        <f>SUM(QP6:QP36)</f>
        <v>0</v>
      </c>
      <c r="QQ37" s="70">
        <f>QQ36</f>
        <v>0</v>
      </c>
      <c r="QR37" s="71"/>
      <c r="QU37" s="72" t="s">
        <v>72</v>
      </c>
      <c r="QV37" s="73">
        <f>SUM(QV6:QV36)</f>
        <v>0</v>
      </c>
      <c r="QW37" s="69">
        <f>SUM(QW6:QW36)</f>
        <v>0</v>
      </c>
      <c r="QX37" s="69">
        <f>SUM(QX6:QX36)</f>
        <v>0</v>
      </c>
      <c r="QY37" s="69">
        <f>SUM(QY6:QY36)</f>
        <v>0</v>
      </c>
      <c r="QZ37" s="70">
        <f>QZ36</f>
        <v>207.6</v>
      </c>
      <c r="RA37" s="71"/>
      <c r="RD37" s="72" t="s">
        <v>72</v>
      </c>
      <c r="RE37" s="73">
        <f>SUM(RE6:RE36)</f>
        <v>0</v>
      </c>
      <c r="RF37" s="69">
        <f>SUM(RF6:RF36)</f>
        <v>0</v>
      </c>
      <c r="RG37" s="69">
        <f>SUM(RG6:RG36)</f>
        <v>0</v>
      </c>
      <c r="RH37" s="69">
        <f>SUM(RH6:RH36)</f>
        <v>0</v>
      </c>
      <c r="RI37" s="70">
        <f>RI36</f>
        <v>201.8</v>
      </c>
      <c r="RJ37" s="71"/>
      <c r="RM37" s="72" t="s">
        <v>72</v>
      </c>
      <c r="RN37" s="73">
        <f>SUM(RN6:RN36)</f>
        <v>0</v>
      </c>
      <c r="RO37" s="69">
        <f>SUM(RO6:RO36)</f>
        <v>0</v>
      </c>
      <c r="RP37" s="69">
        <f>SUM(RP6:RP36)</f>
        <v>0</v>
      </c>
      <c r="RQ37" s="69">
        <f>SUM(RQ6:RQ36)</f>
        <v>0</v>
      </c>
      <c r="RR37" s="70">
        <f>RR36</f>
        <v>22.720000000000002</v>
      </c>
      <c r="RS37" s="71"/>
      <c r="RV37" s="72" t="s">
        <v>72</v>
      </c>
      <c r="RW37" s="73">
        <f>SUM(RW6:RW36)</f>
        <v>0</v>
      </c>
      <c r="RX37" s="69">
        <f>SUM(RX6:RX36)</f>
        <v>0</v>
      </c>
      <c r="RY37" s="69">
        <f>SUM(RY6:RY36)</f>
        <v>0</v>
      </c>
      <c r="RZ37" s="69">
        <f>SUM(RZ6:RZ36)</f>
        <v>0</v>
      </c>
      <c r="SA37" s="70">
        <f>SA36</f>
        <v>0</v>
      </c>
      <c r="SB37" s="71"/>
      <c r="SE37" s="72" t="s">
        <v>72</v>
      </c>
      <c r="SF37" s="73">
        <f>SUM(SF6:SF36)</f>
        <v>0</v>
      </c>
      <c r="SG37" s="69">
        <f>SUM(SG6:SG36)</f>
        <v>0</v>
      </c>
      <c r="SH37" s="69">
        <f>SUM(SH6:SH36)</f>
        <v>0</v>
      </c>
      <c r="SI37" s="69">
        <f>SUM(SI6:SI36)</f>
        <v>0</v>
      </c>
      <c r="SJ37" s="70">
        <f>SJ36</f>
        <v>0</v>
      </c>
      <c r="SK37" s="71"/>
      <c r="SN37" s="72" t="s">
        <v>72</v>
      </c>
      <c r="SO37" s="73">
        <f>SUM(SO6:SO36)</f>
        <v>0</v>
      </c>
      <c r="SP37" s="69">
        <f>SUM(SP6:SP36)</f>
        <v>0</v>
      </c>
      <c r="SQ37" s="69">
        <f>SUM(SQ6:SQ36)</f>
        <v>0</v>
      </c>
      <c r="SR37" s="69">
        <f>SUM(SR6:SR36)</f>
        <v>0</v>
      </c>
      <c r="SS37" s="70">
        <f>SS36</f>
        <v>0</v>
      </c>
      <c r="ST37" s="71"/>
      <c r="SW37" s="72" t="s">
        <v>72</v>
      </c>
      <c r="SX37" s="73">
        <f>SUM(SX6:SX36)</f>
        <v>270</v>
      </c>
      <c r="SY37" s="69">
        <f>SUM(SY6:SY36)</f>
        <v>0</v>
      </c>
      <c r="SZ37" s="69">
        <f>SUM(SZ6:SZ36)</f>
        <v>0</v>
      </c>
      <c r="TA37" s="69">
        <f>SUM(TA6:TA36)</f>
        <v>0</v>
      </c>
      <c r="TB37" s="70">
        <f>TB36</f>
        <v>270</v>
      </c>
      <c r="TC37" s="71"/>
      <c r="TF37" s="72" t="s">
        <v>72</v>
      </c>
      <c r="TG37" s="73">
        <f>SUM(TG6:TG36)</f>
        <v>0</v>
      </c>
      <c r="TH37" s="69">
        <f>SUM(TH6:TH36)</f>
        <v>0</v>
      </c>
      <c r="TI37" s="69">
        <f>SUM(TI6:TI36)</f>
        <v>0</v>
      </c>
      <c r="TJ37" s="69">
        <f>SUM(TJ6:TJ36)</f>
        <v>0</v>
      </c>
      <c r="TK37" s="70">
        <f>TK36</f>
        <v>0</v>
      </c>
      <c r="TL37" s="71"/>
      <c r="TO37" s="72" t="s">
        <v>72</v>
      </c>
      <c r="TP37" s="73">
        <f>SUM(TP6:TP36)</f>
        <v>0</v>
      </c>
      <c r="TQ37" s="69">
        <f>SUM(TQ6:TQ36)</f>
        <v>0</v>
      </c>
      <c r="TR37" s="69">
        <f>SUM(TR6:TR36)</f>
        <v>0</v>
      </c>
      <c r="TS37" s="69">
        <f>SUM(TS6:TS36)</f>
        <v>0</v>
      </c>
      <c r="TT37" s="70">
        <f>TT36</f>
        <v>0</v>
      </c>
      <c r="TU37" s="71"/>
      <c r="TX37" s="72" t="s">
        <v>72</v>
      </c>
      <c r="TY37" s="73">
        <f>SUM(TY6:TY36)</f>
        <v>0</v>
      </c>
      <c r="TZ37" s="69">
        <f>SUM(TZ6:TZ36)</f>
        <v>0</v>
      </c>
      <c r="UA37" s="69">
        <f>SUM(UA6:UA36)</f>
        <v>0</v>
      </c>
      <c r="UB37" s="69">
        <f>SUM(UB6:UB36)</f>
        <v>0</v>
      </c>
      <c r="UC37" s="70">
        <f>UC36</f>
        <v>0</v>
      </c>
      <c r="UD37" s="71"/>
      <c r="UG37" s="72" t="s">
        <v>72</v>
      </c>
      <c r="UH37" s="73">
        <f>SUM(UH6:UH36)</f>
        <v>0</v>
      </c>
      <c r="UI37" s="69">
        <f>SUM(UI6:UI36)</f>
        <v>0</v>
      </c>
      <c r="UJ37" s="69">
        <f>SUM(UJ6:UJ36)</f>
        <v>0</v>
      </c>
      <c r="UK37" s="69">
        <f>SUM(UK6:UK36)</f>
        <v>0</v>
      </c>
      <c r="UL37" s="70">
        <f>UL36</f>
        <v>0</v>
      </c>
      <c r="UM37" s="71"/>
      <c r="UP37" s="72" t="s">
        <v>72</v>
      </c>
      <c r="UQ37" s="73">
        <f>SUM(UQ6:UQ36)</f>
        <v>0</v>
      </c>
      <c r="UR37" s="69">
        <f>SUM(UR6:UR36)</f>
        <v>0</v>
      </c>
      <c r="US37" s="69">
        <f>SUM(US6:US36)</f>
        <v>0</v>
      </c>
      <c r="UT37" s="69">
        <f>SUM(UT6:UT36)</f>
        <v>0</v>
      </c>
      <c r="UU37" s="70">
        <f>UU36</f>
        <v>0</v>
      </c>
      <c r="UV37" s="71"/>
      <c r="UY37" s="72" t="s">
        <v>72</v>
      </c>
      <c r="UZ37" s="73">
        <f>SUM(UZ6:UZ36)</f>
        <v>361.2</v>
      </c>
      <c r="VA37" s="69">
        <f>SUM(VA6:VA36)</f>
        <v>0</v>
      </c>
      <c r="VB37" s="69">
        <f>SUM(VB6:VB36)</f>
        <v>0</v>
      </c>
      <c r="VC37" s="69">
        <f>SUM(VC6:VC36)</f>
        <v>0</v>
      </c>
      <c r="VD37" s="70">
        <f>VD36</f>
        <v>41.600000000000023</v>
      </c>
      <c r="VE37" s="71"/>
      <c r="VH37" s="72" t="s">
        <v>72</v>
      </c>
      <c r="VI37" s="73">
        <f>SUM(VI6:VI36)</f>
        <v>0</v>
      </c>
      <c r="VJ37" s="69">
        <f>SUM(VJ6:VJ36)</f>
        <v>0</v>
      </c>
      <c r="VK37" s="69">
        <f>SUM(VK6:VK36)</f>
        <v>0</v>
      </c>
      <c r="VL37" s="69">
        <f>SUM(VL6:VL36)</f>
        <v>0</v>
      </c>
      <c r="VM37" s="70">
        <f>VM36</f>
        <v>0</v>
      </c>
      <c r="VN37" s="71"/>
      <c r="VQ37" s="72" t="s">
        <v>72</v>
      </c>
      <c r="VR37" s="73">
        <f>SUM(VR6:VR36)</f>
        <v>0</v>
      </c>
      <c r="VS37" s="69">
        <f>SUM(VS6:VS36)</f>
        <v>0</v>
      </c>
      <c r="VT37" s="69">
        <f>SUM(VT6:VT36)</f>
        <v>0</v>
      </c>
      <c r="VU37" s="69">
        <f>SUM(VU6:VU36)</f>
        <v>0</v>
      </c>
      <c r="VV37" s="70">
        <f>VV36</f>
        <v>0</v>
      </c>
      <c r="VW37" s="71"/>
      <c r="VZ37" s="72" t="s">
        <v>72</v>
      </c>
      <c r="WA37" s="73">
        <f>SUM(WA6:WA36)</f>
        <v>0</v>
      </c>
      <c r="WB37" s="69">
        <f>SUM(WB6:WB36)</f>
        <v>0</v>
      </c>
      <c r="WC37" s="69">
        <f>SUM(WC6:WC36)</f>
        <v>0</v>
      </c>
      <c r="WD37" s="69">
        <f>SUM(WD6:WD36)</f>
        <v>0</v>
      </c>
      <c r="WE37" s="70">
        <f>WE36</f>
        <v>0</v>
      </c>
      <c r="WF37" s="71"/>
      <c r="WI37" s="72" t="s">
        <v>72</v>
      </c>
      <c r="WJ37" s="73">
        <f>SUM(WJ6:WJ36)</f>
        <v>4063</v>
      </c>
      <c r="WK37" s="69">
        <f>SUM(WK6:WK36)</f>
        <v>0</v>
      </c>
      <c r="WL37" s="69">
        <f>SUM(WL6:WL36)</f>
        <v>331</v>
      </c>
      <c r="WM37" s="69">
        <f>SUM(WM6:WM36)</f>
        <v>-331</v>
      </c>
      <c r="WN37" s="70">
        <f>WN36</f>
        <v>9609</v>
      </c>
      <c r="WO37" s="71"/>
      <c r="WR37" s="72" t="s">
        <v>72</v>
      </c>
      <c r="WS37" s="73">
        <f>SUM(WS6:WS36)</f>
        <v>2882</v>
      </c>
      <c r="WT37" s="69">
        <f>SUM(WT6:WT36)</f>
        <v>0</v>
      </c>
      <c r="WU37" s="69">
        <f>SUM(WU6:WU36)</f>
        <v>0</v>
      </c>
      <c r="WV37" s="69">
        <f>SUM(WV6:WV36)</f>
        <v>0</v>
      </c>
      <c r="WW37" s="70">
        <f>WW36</f>
        <v>8149</v>
      </c>
      <c r="WX37" s="71"/>
      <c r="XA37" s="72" t="s">
        <v>72</v>
      </c>
      <c r="XB37" s="73">
        <f>SUM(XB6:XB36)</f>
        <v>4347</v>
      </c>
      <c r="XC37" s="69">
        <f>SUM(XC6:XC36)</f>
        <v>0</v>
      </c>
      <c r="XD37" s="69">
        <f>SUM(XD6:XD36)</f>
        <v>7893</v>
      </c>
      <c r="XE37" s="69">
        <f>SUM(XE6:XE36)</f>
        <v>-7893</v>
      </c>
      <c r="XF37" s="70">
        <f>XF36</f>
        <v>911</v>
      </c>
      <c r="XG37" s="71"/>
      <c r="XJ37" s="72" t="s">
        <v>72</v>
      </c>
      <c r="XK37" s="73">
        <f>SUM(XK6:XK36)</f>
        <v>3000</v>
      </c>
      <c r="XL37" s="69">
        <f>SUM(XL6:XL36)</f>
        <v>0</v>
      </c>
      <c r="XM37" s="69">
        <f>SUM(XM6:XM36)</f>
        <v>3532</v>
      </c>
      <c r="XN37" s="69">
        <f>SUM(XN6:XN36)</f>
        <v>-3532</v>
      </c>
      <c r="XO37" s="70">
        <f>XO36</f>
        <v>6240</v>
      </c>
      <c r="XP37" s="71"/>
      <c r="XS37" s="72" t="s">
        <v>72</v>
      </c>
      <c r="XT37" s="73">
        <f>SUM(XT6:XT36)</f>
        <v>0</v>
      </c>
      <c r="XU37" s="69">
        <f>SUM(XU6:XU36)</f>
        <v>0</v>
      </c>
      <c r="XV37" s="69">
        <f>SUM(XV6:XV36)</f>
        <v>0</v>
      </c>
      <c r="XW37" s="69">
        <f>SUM(XW6:XW36)</f>
        <v>0</v>
      </c>
      <c r="XX37" s="70">
        <f>XX36</f>
        <v>1901</v>
      </c>
      <c r="XY37" s="71"/>
      <c r="YB37" s="72" t="s">
        <v>72</v>
      </c>
      <c r="YC37" s="73">
        <f>SUM(YC6:YC36)</f>
        <v>0</v>
      </c>
      <c r="YD37" s="69">
        <f>SUM(YD6:YD36)</f>
        <v>0</v>
      </c>
      <c r="YE37" s="69">
        <f>SUM(YE6:YE36)</f>
        <v>2290</v>
      </c>
      <c r="YF37" s="69">
        <f>SUM(YF6:YF36)</f>
        <v>-2290</v>
      </c>
      <c r="YG37" s="70">
        <f>YG36</f>
        <v>1885</v>
      </c>
      <c r="YH37" s="71"/>
      <c r="YK37" s="72" t="s">
        <v>72</v>
      </c>
      <c r="YL37" s="73">
        <f>SUM(YL6:YL36)</f>
        <v>0</v>
      </c>
      <c r="YM37" s="69">
        <f>SUM(YM6:YM36)</f>
        <v>0</v>
      </c>
      <c r="YN37" s="69">
        <f>SUM(YN6:YN36)</f>
        <v>0</v>
      </c>
      <c r="YO37" s="69">
        <f>SUM(YO6:YO36)</f>
        <v>0</v>
      </c>
      <c r="YP37" s="70">
        <f>YP36</f>
        <v>0</v>
      </c>
      <c r="YQ37" s="71"/>
      <c r="YT37" s="72" t="s">
        <v>72</v>
      </c>
      <c r="YU37" s="73">
        <f>SUM(YU6:YU36)</f>
        <v>0</v>
      </c>
      <c r="YV37" s="69">
        <f>SUM(YV6:YV36)</f>
        <v>0</v>
      </c>
      <c r="YW37" s="69">
        <f>SUM(YW6:YW36)</f>
        <v>0</v>
      </c>
      <c r="YX37" s="69">
        <f>SUM(YX6:YX36)</f>
        <v>0</v>
      </c>
      <c r="YY37" s="70">
        <f>YY36</f>
        <v>0</v>
      </c>
      <c r="YZ37" s="71"/>
      <c r="ZC37" s="72" t="s">
        <v>72</v>
      </c>
      <c r="ZD37" s="73">
        <f>SUM(ZD6:ZD36)</f>
        <v>0</v>
      </c>
      <c r="ZE37" s="69">
        <f>SUM(ZE6:ZE36)</f>
        <v>0</v>
      </c>
      <c r="ZF37" s="69">
        <f>SUM(ZF6:ZF36)</f>
        <v>0</v>
      </c>
      <c r="ZG37" s="69">
        <f>SUM(ZG6:ZG36)</f>
        <v>0</v>
      </c>
      <c r="ZH37" s="70">
        <f>ZH36</f>
        <v>0</v>
      </c>
      <c r="ZI37" s="71"/>
      <c r="ZL37" s="72" t="s">
        <v>72</v>
      </c>
      <c r="ZM37" s="73">
        <f>SUM(ZM6:ZM36)</f>
        <v>0</v>
      </c>
      <c r="ZN37" s="69">
        <f>SUM(ZN6:ZN36)</f>
        <v>0</v>
      </c>
      <c r="ZO37" s="69">
        <f>SUM(ZO6:ZO36)</f>
        <v>0</v>
      </c>
      <c r="ZP37" s="69">
        <f>SUM(ZP6:ZP36)</f>
        <v>0</v>
      </c>
      <c r="ZQ37" s="70">
        <f>ZQ36</f>
        <v>0</v>
      </c>
      <c r="ZR37" s="71"/>
      <c r="ZU37" s="72" t="s">
        <v>72</v>
      </c>
      <c r="ZV37" s="73">
        <f>SUM(ZV6:ZV36)</f>
        <v>0</v>
      </c>
      <c r="ZW37" s="69">
        <f>SUM(ZW6:ZW36)</f>
        <v>0</v>
      </c>
      <c r="ZX37" s="69">
        <f>SUM(ZX6:ZX36)</f>
        <v>0</v>
      </c>
      <c r="ZY37" s="69">
        <f>SUM(ZY6:ZY36)</f>
        <v>0</v>
      </c>
      <c r="ZZ37" s="70">
        <f>ZZ36</f>
        <v>0</v>
      </c>
      <c r="AAA37" s="71"/>
      <c r="AAD37" s="72" t="s">
        <v>72</v>
      </c>
      <c r="AAE37" s="73">
        <f>SUM(AAE6:AAE36)</f>
        <v>0</v>
      </c>
      <c r="AAF37" s="69">
        <f>SUM(AAF6:AAF36)</f>
        <v>0</v>
      </c>
      <c r="AAG37" s="69">
        <f>SUM(AAG6:AAG36)</f>
        <v>0</v>
      </c>
      <c r="AAH37" s="69">
        <f>SUM(AAH6:AAH36)</f>
        <v>0</v>
      </c>
      <c r="AAI37" s="70">
        <f>AAI36</f>
        <v>0</v>
      </c>
      <c r="AAJ37" s="71"/>
      <c r="AAM37" s="72" t="s">
        <v>72</v>
      </c>
      <c r="AAN37" s="73">
        <f>SUM(AAN6:AAN36)</f>
        <v>0</v>
      </c>
      <c r="AAO37" s="69">
        <f>SUM(AAO6:AAO36)</f>
        <v>0</v>
      </c>
      <c r="AAP37" s="69">
        <f>SUM(AAP6:AAP36)</f>
        <v>0</v>
      </c>
      <c r="AAQ37" s="69">
        <f>SUM(AAQ6:AAQ36)</f>
        <v>0</v>
      </c>
      <c r="AAR37" s="70">
        <f>AAR36</f>
        <v>0</v>
      </c>
      <c r="AAS37" s="71"/>
      <c r="AAV37" s="72" t="s">
        <v>72</v>
      </c>
      <c r="AAW37" s="73">
        <f>SUM(AAW6:AAW36)</f>
        <v>0</v>
      </c>
      <c r="AAX37" s="69">
        <f>SUM(AAX6:AAX36)</f>
        <v>0</v>
      </c>
      <c r="AAY37" s="69">
        <f>SUM(AAY6:AAY36)</f>
        <v>0</v>
      </c>
      <c r="AAZ37" s="69">
        <f>SUM(AAZ6:AAZ36)</f>
        <v>0</v>
      </c>
      <c r="ABA37" s="70">
        <f>ABA36</f>
        <v>0</v>
      </c>
      <c r="ABB37" s="71"/>
      <c r="ABE37" s="72" t="s">
        <v>72</v>
      </c>
      <c r="ABF37" s="73">
        <f>SUM(ABF6:ABF36)</f>
        <v>0</v>
      </c>
      <c r="ABG37" s="69">
        <f>SUM(ABG6:ABG36)</f>
        <v>0</v>
      </c>
      <c r="ABH37" s="69">
        <f>SUM(ABH6:ABH36)</f>
        <v>0</v>
      </c>
      <c r="ABI37" s="69">
        <f>SUM(ABI6:ABI36)</f>
        <v>0</v>
      </c>
      <c r="ABJ37" s="70">
        <f>ABJ36</f>
        <v>0</v>
      </c>
      <c r="ABK37" s="71"/>
    </row>
    <row r="38" spans="1:739" ht="14.45" thickBot="1">
      <c r="C38" s="75"/>
      <c r="L38" s="75"/>
      <c r="U38" s="75"/>
      <c r="AD38" s="75"/>
      <c r="AM38" s="75"/>
      <c r="AV38" s="75"/>
      <c r="BE38" s="75"/>
      <c r="BN38" s="75"/>
      <c r="BW38" s="75"/>
      <c r="CF38" s="75"/>
      <c r="CO38" s="75"/>
      <c r="CX38" s="75"/>
      <c r="DG38" s="75"/>
      <c r="DP38" s="75"/>
      <c r="DY38" s="75"/>
      <c r="EH38" s="75"/>
      <c r="EQ38" s="75"/>
      <c r="EZ38" s="75"/>
      <c r="FI38" s="75"/>
      <c r="FR38" s="75"/>
      <c r="GA38" s="75"/>
      <c r="GJ38" s="75"/>
      <c r="GS38" s="75"/>
      <c r="HB38" s="75"/>
      <c r="HK38" s="75"/>
      <c r="HU38" s="75"/>
      <c r="ID38" s="75"/>
      <c r="IM38" s="75"/>
      <c r="IV38" s="75"/>
      <c r="JE38" s="75"/>
      <c r="JN38" s="75"/>
      <c r="JW38" s="75"/>
      <c r="KF38" s="75"/>
      <c r="KO38" s="75"/>
      <c r="KX38" s="75"/>
      <c r="LG38" s="75"/>
      <c r="LP38" s="75"/>
      <c r="LY38" s="75"/>
      <c r="MH38" s="75"/>
      <c r="MQ38" s="75"/>
      <c r="MZ38" s="75"/>
      <c r="NI38" s="75"/>
      <c r="NR38" s="75"/>
      <c r="OA38" s="75"/>
      <c r="OJ38" s="75"/>
      <c r="OS38" s="75"/>
      <c r="PB38" s="75"/>
      <c r="PK38" s="75"/>
      <c r="PT38" s="75"/>
      <c r="QC38" s="75"/>
      <c r="QL38" s="75"/>
      <c r="QU38" s="75"/>
      <c r="RD38" s="75"/>
      <c r="RM38" s="75"/>
      <c r="RV38" s="75"/>
      <c r="SE38" s="75"/>
      <c r="SN38" s="75"/>
      <c r="SW38" s="75"/>
      <c r="TF38" s="75"/>
      <c r="TO38" s="75"/>
      <c r="TX38" s="75"/>
      <c r="UG38" s="75"/>
      <c r="UP38" s="75"/>
      <c r="UY38" s="75"/>
      <c r="VH38" s="75"/>
      <c r="VQ38" s="75"/>
      <c r="VZ38" s="75"/>
      <c r="WI38" s="75"/>
      <c r="WR38" s="75"/>
      <c r="XA38" s="75"/>
      <c r="XJ38" s="75"/>
      <c r="XS38" s="75"/>
      <c r="YB38" s="75"/>
      <c r="YK38" s="75"/>
      <c r="YT38" s="75"/>
      <c r="ZC38" s="75"/>
      <c r="ZL38" s="75"/>
      <c r="ZU38" s="75"/>
      <c r="AAD38" s="75"/>
      <c r="AAM38" s="75"/>
      <c r="AAV38" s="75"/>
      <c r="ABE38" s="75"/>
    </row>
    <row r="39" spans="1:739" ht="14.45" thickBot="1">
      <c r="A39" s="22" t="s">
        <v>196</v>
      </c>
      <c r="C39" s="569" t="s">
        <v>141</v>
      </c>
      <c r="D39" s="570"/>
      <c r="E39" s="570"/>
      <c r="F39" s="570"/>
      <c r="G39" s="570"/>
      <c r="H39" s="571"/>
      <c r="I39" s="321"/>
      <c r="J39" s="22" t="s">
        <v>196</v>
      </c>
      <c r="L39" s="569" t="s">
        <v>141</v>
      </c>
      <c r="M39" s="570"/>
      <c r="N39" s="570"/>
      <c r="O39" s="570"/>
      <c r="P39" s="570"/>
      <c r="Q39" s="571"/>
      <c r="R39" s="24"/>
      <c r="S39" s="22" t="s">
        <v>196</v>
      </c>
      <c r="U39" s="569" t="s">
        <v>141</v>
      </c>
      <c r="V39" s="570"/>
      <c r="W39" s="570"/>
      <c r="X39" s="570"/>
      <c r="Y39" s="570"/>
      <c r="Z39" s="571"/>
      <c r="AA39" s="24"/>
      <c r="AB39" s="22" t="s">
        <v>196</v>
      </c>
      <c r="AD39" s="569" t="s">
        <v>141</v>
      </c>
      <c r="AE39" s="570"/>
      <c r="AF39" s="570"/>
      <c r="AG39" s="570"/>
      <c r="AH39" s="570"/>
      <c r="AI39" s="571"/>
      <c r="AJ39" s="24"/>
      <c r="AK39" s="22" t="s">
        <v>196</v>
      </c>
      <c r="AM39" s="569" t="s">
        <v>141</v>
      </c>
      <c r="AN39" s="570"/>
      <c r="AO39" s="570"/>
      <c r="AP39" s="570"/>
      <c r="AQ39" s="570"/>
      <c r="AR39" s="571"/>
      <c r="AS39" s="24"/>
      <c r="AT39" s="22" t="s">
        <v>196</v>
      </c>
      <c r="AV39" s="569" t="s">
        <v>141</v>
      </c>
      <c r="AW39" s="570"/>
      <c r="AX39" s="570"/>
      <c r="AY39" s="570"/>
      <c r="AZ39" s="570"/>
      <c r="BA39" s="571"/>
      <c r="BB39" s="24"/>
      <c r="BC39" s="22" t="s">
        <v>196</v>
      </c>
      <c r="BE39" s="569" t="s">
        <v>141</v>
      </c>
      <c r="BF39" s="570"/>
      <c r="BG39" s="570"/>
      <c r="BH39" s="570"/>
      <c r="BI39" s="570"/>
      <c r="BJ39" s="571"/>
      <c r="BK39" s="24"/>
      <c r="BL39" s="22" t="s">
        <v>196</v>
      </c>
      <c r="BN39" s="569" t="s">
        <v>141</v>
      </c>
      <c r="BO39" s="570"/>
      <c r="BP39" s="570"/>
      <c r="BQ39" s="570"/>
      <c r="BR39" s="570"/>
      <c r="BS39" s="571"/>
      <c r="BT39" s="24"/>
      <c r="BU39" s="22" t="s">
        <v>196</v>
      </c>
      <c r="BW39" s="569" t="s">
        <v>141</v>
      </c>
      <c r="BX39" s="570"/>
      <c r="BY39" s="570"/>
      <c r="BZ39" s="570"/>
      <c r="CA39" s="570"/>
      <c r="CB39" s="571"/>
      <c r="CC39" s="24"/>
      <c r="CD39" s="22" t="s">
        <v>196</v>
      </c>
      <c r="CF39" s="569" t="s">
        <v>141</v>
      </c>
      <c r="CG39" s="570"/>
      <c r="CH39" s="570"/>
      <c r="CI39" s="570"/>
      <c r="CJ39" s="570"/>
      <c r="CK39" s="571"/>
      <c r="CL39" s="24"/>
      <c r="CM39" s="22" t="s">
        <v>196</v>
      </c>
      <c r="CO39" s="569" t="s">
        <v>141</v>
      </c>
      <c r="CP39" s="570"/>
      <c r="CQ39" s="570"/>
      <c r="CR39" s="570"/>
      <c r="CS39" s="570"/>
      <c r="CT39" s="571"/>
      <c r="CU39" s="24"/>
      <c r="CV39" s="22" t="s">
        <v>196</v>
      </c>
      <c r="CX39" s="569" t="s">
        <v>141</v>
      </c>
      <c r="CY39" s="570"/>
      <c r="CZ39" s="570"/>
      <c r="DA39" s="570"/>
      <c r="DB39" s="570"/>
      <c r="DC39" s="571"/>
      <c r="DD39" s="24"/>
      <c r="DE39" s="22" t="s">
        <v>196</v>
      </c>
      <c r="DG39" s="569" t="s">
        <v>141</v>
      </c>
      <c r="DH39" s="570"/>
      <c r="DI39" s="570"/>
      <c r="DJ39" s="570"/>
      <c r="DK39" s="570"/>
      <c r="DL39" s="571"/>
      <c r="DM39" s="24"/>
      <c r="DN39" s="22" t="s">
        <v>196</v>
      </c>
      <c r="DP39" s="569" t="s">
        <v>141</v>
      </c>
      <c r="DQ39" s="570"/>
      <c r="DR39" s="570"/>
      <c r="DS39" s="570"/>
      <c r="DT39" s="570"/>
      <c r="DU39" s="571"/>
      <c r="DV39" s="24"/>
      <c r="DW39" s="22" t="s">
        <v>196</v>
      </c>
      <c r="DY39" s="569" t="s">
        <v>141</v>
      </c>
      <c r="DZ39" s="570"/>
      <c r="EA39" s="570"/>
      <c r="EB39" s="570"/>
      <c r="EC39" s="570"/>
      <c r="ED39" s="571"/>
      <c r="EE39" s="24"/>
      <c r="EF39" s="22" t="s">
        <v>196</v>
      </c>
      <c r="EH39" s="569" t="s">
        <v>141</v>
      </c>
      <c r="EI39" s="570"/>
      <c r="EJ39" s="570"/>
      <c r="EK39" s="570"/>
      <c r="EL39" s="570"/>
      <c r="EM39" s="571"/>
      <c r="EN39" s="24"/>
      <c r="EO39" s="22" t="s">
        <v>196</v>
      </c>
      <c r="EQ39" s="569" t="s">
        <v>141</v>
      </c>
      <c r="ER39" s="570"/>
      <c r="ES39" s="570"/>
      <c r="ET39" s="570"/>
      <c r="EU39" s="570"/>
      <c r="EV39" s="571"/>
      <c r="EW39" s="24"/>
      <c r="EX39" s="22" t="s">
        <v>196</v>
      </c>
      <c r="EZ39" s="569" t="s">
        <v>141</v>
      </c>
      <c r="FA39" s="570"/>
      <c r="FB39" s="570"/>
      <c r="FC39" s="570"/>
      <c r="FD39" s="570"/>
      <c r="FE39" s="571"/>
      <c r="FF39" s="24"/>
      <c r="FG39" s="22" t="s">
        <v>196</v>
      </c>
      <c r="FI39" s="569" t="s">
        <v>141</v>
      </c>
      <c r="FJ39" s="570"/>
      <c r="FK39" s="570"/>
      <c r="FL39" s="570"/>
      <c r="FM39" s="570"/>
      <c r="FN39" s="571"/>
      <c r="FO39" s="24"/>
      <c r="FP39" s="22" t="s">
        <v>196</v>
      </c>
      <c r="FR39" s="569" t="s">
        <v>141</v>
      </c>
      <c r="FS39" s="570"/>
      <c r="FT39" s="570"/>
      <c r="FU39" s="570"/>
      <c r="FV39" s="570"/>
      <c r="FW39" s="571"/>
      <c r="FX39" s="24"/>
      <c r="FY39" s="22" t="s">
        <v>196</v>
      </c>
      <c r="GA39" s="569" t="s">
        <v>141</v>
      </c>
      <c r="GB39" s="570"/>
      <c r="GC39" s="570"/>
      <c r="GD39" s="570"/>
      <c r="GE39" s="570"/>
      <c r="GF39" s="571"/>
      <c r="GG39" s="24"/>
      <c r="GH39" s="22" t="s">
        <v>196</v>
      </c>
      <c r="GJ39" s="569" t="s">
        <v>141</v>
      </c>
      <c r="GK39" s="570"/>
      <c r="GL39" s="570"/>
      <c r="GM39" s="570"/>
      <c r="GN39" s="570"/>
      <c r="GO39" s="571"/>
      <c r="GP39" s="24"/>
      <c r="GQ39" s="22" t="s">
        <v>196</v>
      </c>
      <c r="GS39" s="569" t="s">
        <v>141</v>
      </c>
      <c r="GT39" s="570"/>
      <c r="GU39" s="570"/>
      <c r="GV39" s="570"/>
      <c r="GW39" s="570"/>
      <c r="GX39" s="571"/>
      <c r="GY39" s="24"/>
      <c r="GZ39" s="22" t="s">
        <v>196</v>
      </c>
      <c r="HB39" s="569" t="s">
        <v>141</v>
      </c>
      <c r="HC39" s="570"/>
      <c r="HD39" s="570"/>
      <c r="HE39" s="570"/>
      <c r="HF39" s="570"/>
      <c r="HG39" s="571"/>
      <c r="HH39" s="24"/>
      <c r="HI39" s="22" t="s">
        <v>196</v>
      </c>
      <c r="HK39" s="569" t="s">
        <v>141</v>
      </c>
      <c r="HL39" s="570"/>
      <c r="HM39" s="570"/>
      <c r="HN39" s="570"/>
      <c r="HO39" s="570"/>
      <c r="HP39" s="571"/>
      <c r="HQ39" s="24"/>
      <c r="HS39" s="22" t="s">
        <v>196</v>
      </c>
      <c r="HU39" s="569" t="s">
        <v>141</v>
      </c>
      <c r="HV39" s="570"/>
      <c r="HW39" s="570"/>
      <c r="HX39" s="570"/>
      <c r="HY39" s="570"/>
      <c r="HZ39" s="571"/>
      <c r="IA39" s="24"/>
      <c r="IB39" s="22" t="s">
        <v>196</v>
      </c>
      <c r="ID39" s="569" t="s">
        <v>141</v>
      </c>
      <c r="IE39" s="570"/>
      <c r="IF39" s="570"/>
      <c r="IG39" s="570"/>
      <c r="IH39" s="570"/>
      <c r="II39" s="571"/>
      <c r="IJ39" s="24"/>
      <c r="IK39" s="22" t="s">
        <v>196</v>
      </c>
      <c r="IM39" s="569" t="s">
        <v>141</v>
      </c>
      <c r="IN39" s="570"/>
      <c r="IO39" s="570"/>
      <c r="IP39" s="570"/>
      <c r="IQ39" s="570"/>
      <c r="IR39" s="571"/>
      <c r="IS39" s="24"/>
      <c r="IT39" s="22" t="s">
        <v>196</v>
      </c>
      <c r="IV39" s="569" t="s">
        <v>141</v>
      </c>
      <c r="IW39" s="570"/>
      <c r="IX39" s="570"/>
      <c r="IY39" s="570"/>
      <c r="IZ39" s="570"/>
      <c r="JA39" s="571"/>
      <c r="JB39" s="24"/>
      <c r="JC39" s="22" t="s">
        <v>196</v>
      </c>
      <c r="JE39" s="569" t="s">
        <v>141</v>
      </c>
      <c r="JF39" s="570"/>
      <c r="JG39" s="570"/>
      <c r="JH39" s="570"/>
      <c r="JI39" s="570"/>
      <c r="JJ39" s="571"/>
      <c r="JK39" s="24"/>
      <c r="JL39" s="22" t="s">
        <v>196</v>
      </c>
      <c r="JN39" s="569" t="s">
        <v>141</v>
      </c>
      <c r="JO39" s="570"/>
      <c r="JP39" s="570"/>
      <c r="JQ39" s="570"/>
      <c r="JR39" s="570"/>
      <c r="JS39" s="571"/>
      <c r="JT39" s="24"/>
      <c r="JU39" s="22" t="s">
        <v>196</v>
      </c>
      <c r="JW39" s="569" t="s">
        <v>141</v>
      </c>
      <c r="JX39" s="570"/>
      <c r="JY39" s="570"/>
      <c r="JZ39" s="570"/>
      <c r="KA39" s="570"/>
      <c r="KB39" s="571"/>
      <c r="KC39" s="24"/>
      <c r="KD39" s="22" t="s">
        <v>196</v>
      </c>
      <c r="KF39" s="569" t="s">
        <v>141</v>
      </c>
      <c r="KG39" s="570"/>
      <c r="KH39" s="570"/>
      <c r="KI39" s="570"/>
      <c r="KJ39" s="570"/>
      <c r="KK39" s="571"/>
      <c r="KL39" s="24"/>
      <c r="KM39" s="22" t="s">
        <v>196</v>
      </c>
      <c r="KO39" s="569" t="s">
        <v>141</v>
      </c>
      <c r="KP39" s="570"/>
      <c r="KQ39" s="570"/>
      <c r="KR39" s="570"/>
      <c r="KS39" s="570"/>
      <c r="KT39" s="571"/>
      <c r="KU39" s="24"/>
      <c r="KV39" s="22" t="s">
        <v>196</v>
      </c>
      <c r="KX39" s="569" t="s">
        <v>141</v>
      </c>
      <c r="KY39" s="570"/>
      <c r="KZ39" s="570"/>
      <c r="LA39" s="570"/>
      <c r="LB39" s="570"/>
      <c r="LC39" s="571"/>
      <c r="LD39" s="24"/>
      <c r="LE39" s="22" t="s">
        <v>196</v>
      </c>
      <c r="LG39" s="569" t="s">
        <v>141</v>
      </c>
      <c r="LH39" s="570"/>
      <c r="LI39" s="570"/>
      <c r="LJ39" s="570"/>
      <c r="LK39" s="570"/>
      <c r="LL39" s="571"/>
      <c r="LM39" s="24"/>
      <c r="LN39" s="22" t="s">
        <v>196</v>
      </c>
      <c r="LP39" s="569" t="s">
        <v>141</v>
      </c>
      <c r="LQ39" s="570"/>
      <c r="LR39" s="570"/>
      <c r="LS39" s="570"/>
      <c r="LT39" s="570"/>
      <c r="LU39" s="571"/>
      <c r="LV39" s="24"/>
      <c r="LW39" s="22" t="s">
        <v>196</v>
      </c>
      <c r="LY39" s="569" t="s">
        <v>141</v>
      </c>
      <c r="LZ39" s="570"/>
      <c r="MA39" s="570"/>
      <c r="MB39" s="570"/>
      <c r="MC39" s="570"/>
      <c r="MD39" s="571"/>
      <c r="ME39" s="24"/>
      <c r="MF39" s="22" t="s">
        <v>196</v>
      </c>
      <c r="MH39" s="569" t="s">
        <v>141</v>
      </c>
      <c r="MI39" s="570"/>
      <c r="MJ39" s="570"/>
      <c r="MK39" s="570"/>
      <c r="ML39" s="570"/>
      <c r="MM39" s="571"/>
      <c r="MN39" s="24"/>
      <c r="MO39" s="22" t="s">
        <v>196</v>
      </c>
      <c r="MQ39" s="569" t="s">
        <v>141</v>
      </c>
      <c r="MR39" s="570"/>
      <c r="MS39" s="570"/>
      <c r="MT39" s="570"/>
      <c r="MU39" s="570"/>
      <c r="MV39" s="571"/>
      <c r="MW39" s="24"/>
      <c r="MX39" s="22" t="s">
        <v>196</v>
      </c>
      <c r="MZ39" s="569" t="s">
        <v>141</v>
      </c>
      <c r="NA39" s="570"/>
      <c r="NB39" s="570"/>
      <c r="NC39" s="570"/>
      <c r="ND39" s="570"/>
      <c r="NE39" s="571"/>
      <c r="NF39" s="24"/>
      <c r="NG39" s="22" t="s">
        <v>196</v>
      </c>
      <c r="NI39" s="569" t="s">
        <v>141</v>
      </c>
      <c r="NJ39" s="570"/>
      <c r="NK39" s="570"/>
      <c r="NL39" s="570"/>
      <c r="NM39" s="570"/>
      <c r="NN39" s="571"/>
      <c r="NO39" s="24"/>
      <c r="NP39" s="22" t="s">
        <v>196</v>
      </c>
      <c r="NR39" s="569" t="s">
        <v>141</v>
      </c>
      <c r="NS39" s="570"/>
      <c r="NT39" s="570"/>
      <c r="NU39" s="570"/>
      <c r="NV39" s="570"/>
      <c r="NW39" s="571"/>
      <c r="NX39" s="24"/>
      <c r="NY39" s="22" t="s">
        <v>196</v>
      </c>
      <c r="OA39" s="589" t="s">
        <v>141</v>
      </c>
      <c r="OB39" s="590"/>
      <c r="OC39" s="590"/>
      <c r="OD39" s="590"/>
      <c r="OE39" s="590"/>
      <c r="OF39" s="591"/>
      <c r="OG39" s="24"/>
      <c r="OH39" s="22" t="s">
        <v>196</v>
      </c>
      <c r="OJ39" s="589" t="s">
        <v>141</v>
      </c>
      <c r="OK39" s="590"/>
      <c r="OL39" s="590"/>
      <c r="OM39" s="590"/>
      <c r="ON39" s="590"/>
      <c r="OO39" s="591"/>
      <c r="OP39" s="24"/>
      <c r="OQ39" s="22" t="s">
        <v>196</v>
      </c>
      <c r="OS39" s="589" t="s">
        <v>141</v>
      </c>
      <c r="OT39" s="590"/>
      <c r="OU39" s="590"/>
      <c r="OV39" s="590"/>
      <c r="OW39" s="590"/>
      <c r="OX39" s="591"/>
      <c r="OY39" s="24"/>
      <c r="OZ39" s="22" t="s">
        <v>196</v>
      </c>
      <c r="PB39" s="569" t="s">
        <v>141</v>
      </c>
      <c r="PC39" s="570"/>
      <c r="PD39" s="570"/>
      <c r="PE39" s="570"/>
      <c r="PF39" s="570"/>
      <c r="PG39" s="571"/>
      <c r="PH39" s="24"/>
      <c r="PI39" s="22" t="s">
        <v>196</v>
      </c>
      <c r="PK39" s="569" t="s">
        <v>141</v>
      </c>
      <c r="PL39" s="570"/>
      <c r="PM39" s="570"/>
      <c r="PN39" s="570"/>
      <c r="PO39" s="570"/>
      <c r="PP39" s="571"/>
      <c r="PQ39" s="24"/>
      <c r="PR39" s="22" t="s">
        <v>196</v>
      </c>
      <c r="PT39" s="569" t="s">
        <v>141</v>
      </c>
      <c r="PU39" s="570"/>
      <c r="PV39" s="570"/>
      <c r="PW39" s="570"/>
      <c r="PX39" s="570"/>
      <c r="PY39" s="571"/>
      <c r="PZ39" s="24"/>
      <c r="QA39" s="22" t="s">
        <v>196</v>
      </c>
      <c r="QC39" s="569" t="s">
        <v>141</v>
      </c>
      <c r="QD39" s="570"/>
      <c r="QE39" s="570"/>
      <c r="QF39" s="570"/>
      <c r="QG39" s="570"/>
      <c r="QH39" s="571"/>
      <c r="QI39" s="24"/>
      <c r="QJ39" s="22" t="s">
        <v>196</v>
      </c>
      <c r="QL39" s="569" t="s">
        <v>141</v>
      </c>
      <c r="QM39" s="570"/>
      <c r="QN39" s="570"/>
      <c r="QO39" s="570"/>
      <c r="QP39" s="570"/>
      <c r="QQ39" s="571"/>
      <c r="QR39" s="24"/>
      <c r="QS39" s="22" t="s">
        <v>196</v>
      </c>
      <c r="QU39" s="569" t="s">
        <v>141</v>
      </c>
      <c r="QV39" s="570"/>
      <c r="QW39" s="570"/>
      <c r="QX39" s="570"/>
      <c r="QY39" s="570"/>
      <c r="QZ39" s="571"/>
      <c r="RA39" s="24"/>
      <c r="RB39" s="22" t="s">
        <v>196</v>
      </c>
      <c r="RD39" s="569" t="s">
        <v>141</v>
      </c>
      <c r="RE39" s="570"/>
      <c r="RF39" s="570"/>
      <c r="RG39" s="570"/>
      <c r="RH39" s="570"/>
      <c r="RI39" s="571"/>
      <c r="RJ39" s="24"/>
      <c r="RK39" s="22" t="s">
        <v>196</v>
      </c>
      <c r="RM39" s="569" t="s">
        <v>141</v>
      </c>
      <c r="RN39" s="570"/>
      <c r="RO39" s="570"/>
      <c r="RP39" s="570"/>
      <c r="RQ39" s="570"/>
      <c r="RR39" s="571"/>
      <c r="RS39" s="24"/>
      <c r="RT39" s="22" t="s">
        <v>196</v>
      </c>
      <c r="RV39" s="569" t="s">
        <v>141</v>
      </c>
      <c r="RW39" s="570"/>
      <c r="RX39" s="570"/>
      <c r="RY39" s="570"/>
      <c r="RZ39" s="570"/>
      <c r="SA39" s="571"/>
      <c r="SB39" s="24"/>
      <c r="SC39" s="22" t="s">
        <v>196</v>
      </c>
      <c r="SE39" s="569" t="s">
        <v>141</v>
      </c>
      <c r="SF39" s="570"/>
      <c r="SG39" s="570"/>
      <c r="SH39" s="570"/>
      <c r="SI39" s="570"/>
      <c r="SJ39" s="571"/>
      <c r="SK39" s="24"/>
      <c r="SL39" s="22" t="s">
        <v>196</v>
      </c>
      <c r="SN39" s="569" t="s">
        <v>141</v>
      </c>
      <c r="SO39" s="570"/>
      <c r="SP39" s="570"/>
      <c r="SQ39" s="570"/>
      <c r="SR39" s="570"/>
      <c r="SS39" s="571"/>
      <c r="ST39" s="24"/>
      <c r="SU39" s="22" t="s">
        <v>196</v>
      </c>
      <c r="SW39" s="569" t="s">
        <v>141</v>
      </c>
      <c r="SX39" s="570"/>
      <c r="SY39" s="570"/>
      <c r="SZ39" s="570"/>
      <c r="TA39" s="570"/>
      <c r="TB39" s="571"/>
      <c r="TC39" s="24"/>
      <c r="TD39" s="22" t="s">
        <v>196</v>
      </c>
      <c r="TF39" s="569" t="s">
        <v>141</v>
      </c>
      <c r="TG39" s="570"/>
      <c r="TH39" s="570"/>
      <c r="TI39" s="570"/>
      <c r="TJ39" s="570"/>
      <c r="TK39" s="571"/>
      <c r="TL39" s="24"/>
      <c r="TM39" s="22" t="s">
        <v>196</v>
      </c>
      <c r="TO39" s="569" t="s">
        <v>141</v>
      </c>
      <c r="TP39" s="570"/>
      <c r="TQ39" s="570"/>
      <c r="TR39" s="570"/>
      <c r="TS39" s="570"/>
      <c r="TT39" s="571"/>
      <c r="TU39" s="24"/>
      <c r="TV39" s="22" t="s">
        <v>196</v>
      </c>
      <c r="TX39" s="569" t="s">
        <v>141</v>
      </c>
      <c r="TY39" s="570"/>
      <c r="TZ39" s="570"/>
      <c r="UA39" s="570"/>
      <c r="UB39" s="570"/>
      <c r="UC39" s="571"/>
      <c r="UD39" s="24"/>
      <c r="UE39" s="22" t="s">
        <v>196</v>
      </c>
      <c r="UG39" s="569" t="s">
        <v>141</v>
      </c>
      <c r="UH39" s="570"/>
      <c r="UI39" s="570"/>
      <c r="UJ39" s="570"/>
      <c r="UK39" s="570"/>
      <c r="UL39" s="571"/>
      <c r="UM39" s="24"/>
      <c r="UN39" s="22" t="s">
        <v>196</v>
      </c>
      <c r="UP39" s="569" t="s">
        <v>141</v>
      </c>
      <c r="UQ39" s="570"/>
      <c r="UR39" s="570"/>
      <c r="US39" s="570"/>
      <c r="UT39" s="570"/>
      <c r="UU39" s="571"/>
      <c r="UV39" s="24"/>
      <c r="UW39" s="22" t="s">
        <v>196</v>
      </c>
      <c r="UY39" s="569" t="s">
        <v>141</v>
      </c>
      <c r="UZ39" s="570"/>
      <c r="VA39" s="570"/>
      <c r="VB39" s="570"/>
      <c r="VC39" s="570"/>
      <c r="VD39" s="571"/>
      <c r="VE39" s="24"/>
      <c r="VF39" s="22" t="s">
        <v>196</v>
      </c>
      <c r="VH39" s="569" t="s">
        <v>141</v>
      </c>
      <c r="VI39" s="570"/>
      <c r="VJ39" s="570"/>
      <c r="VK39" s="570"/>
      <c r="VL39" s="570"/>
      <c r="VM39" s="571"/>
      <c r="VN39" s="24"/>
      <c r="VO39" s="22" t="s">
        <v>196</v>
      </c>
      <c r="VQ39" s="569" t="s">
        <v>141</v>
      </c>
      <c r="VR39" s="570"/>
      <c r="VS39" s="570"/>
      <c r="VT39" s="570"/>
      <c r="VU39" s="570"/>
      <c r="VV39" s="571"/>
      <c r="VW39" s="24"/>
      <c r="VX39" s="22" t="s">
        <v>196</v>
      </c>
      <c r="VZ39" s="569" t="s">
        <v>141</v>
      </c>
      <c r="WA39" s="570"/>
      <c r="WB39" s="570"/>
      <c r="WC39" s="570"/>
      <c r="WD39" s="570"/>
      <c r="WE39" s="571"/>
      <c r="WF39" s="24"/>
      <c r="WG39" s="22" t="s">
        <v>196</v>
      </c>
      <c r="WI39" s="569" t="s">
        <v>141</v>
      </c>
      <c r="WJ39" s="570"/>
      <c r="WK39" s="570"/>
      <c r="WL39" s="570"/>
      <c r="WM39" s="570"/>
      <c r="WN39" s="571"/>
      <c r="WO39" s="24"/>
      <c r="WP39" s="22" t="s">
        <v>196</v>
      </c>
      <c r="WR39" s="569" t="s">
        <v>141</v>
      </c>
      <c r="WS39" s="570"/>
      <c r="WT39" s="570"/>
      <c r="WU39" s="570"/>
      <c r="WV39" s="570"/>
      <c r="WW39" s="571"/>
      <c r="WX39" s="24"/>
      <c r="WY39" s="22" t="s">
        <v>196</v>
      </c>
      <c r="XA39" s="569" t="s">
        <v>141</v>
      </c>
      <c r="XB39" s="570"/>
      <c r="XC39" s="570"/>
      <c r="XD39" s="570"/>
      <c r="XE39" s="570"/>
      <c r="XF39" s="571"/>
      <c r="XG39" s="24"/>
      <c r="XH39" s="22" t="s">
        <v>196</v>
      </c>
      <c r="XJ39" s="569" t="s">
        <v>141</v>
      </c>
      <c r="XK39" s="570"/>
      <c r="XL39" s="570"/>
      <c r="XM39" s="570"/>
      <c r="XN39" s="570"/>
      <c r="XO39" s="571"/>
      <c r="XP39" s="24"/>
      <c r="XQ39" s="22" t="s">
        <v>196</v>
      </c>
      <c r="XS39" s="569" t="s">
        <v>141</v>
      </c>
      <c r="XT39" s="570"/>
      <c r="XU39" s="570"/>
      <c r="XV39" s="570"/>
      <c r="XW39" s="570"/>
      <c r="XX39" s="571"/>
      <c r="XY39" s="24"/>
      <c r="XZ39" s="22" t="s">
        <v>196</v>
      </c>
      <c r="YB39" s="569" t="s">
        <v>141</v>
      </c>
      <c r="YC39" s="570"/>
      <c r="YD39" s="570"/>
      <c r="YE39" s="570"/>
      <c r="YF39" s="570"/>
      <c r="YG39" s="571"/>
      <c r="YH39" s="24"/>
      <c r="YI39" s="22" t="s">
        <v>196</v>
      </c>
      <c r="YK39" s="569" t="s">
        <v>141</v>
      </c>
      <c r="YL39" s="570"/>
      <c r="YM39" s="570"/>
      <c r="YN39" s="570"/>
      <c r="YO39" s="570"/>
      <c r="YP39" s="571"/>
      <c r="YQ39" s="24"/>
      <c r="YR39" s="22" t="s">
        <v>196</v>
      </c>
      <c r="YT39" s="569" t="s">
        <v>141</v>
      </c>
      <c r="YU39" s="570"/>
      <c r="YV39" s="570"/>
      <c r="YW39" s="570"/>
      <c r="YX39" s="570"/>
      <c r="YY39" s="571"/>
      <c r="YZ39" s="24"/>
      <c r="ZA39" s="22" t="s">
        <v>196</v>
      </c>
      <c r="ZC39" s="569" t="s">
        <v>141</v>
      </c>
      <c r="ZD39" s="570"/>
      <c r="ZE39" s="570"/>
      <c r="ZF39" s="570"/>
      <c r="ZG39" s="570"/>
      <c r="ZH39" s="571"/>
      <c r="ZI39" s="24"/>
      <c r="ZJ39" s="22" t="s">
        <v>196</v>
      </c>
      <c r="ZL39" s="569" t="s">
        <v>141</v>
      </c>
      <c r="ZM39" s="570"/>
      <c r="ZN39" s="570"/>
      <c r="ZO39" s="570"/>
      <c r="ZP39" s="570"/>
      <c r="ZQ39" s="571"/>
      <c r="ZR39" s="24"/>
      <c r="ZS39" s="22" t="s">
        <v>196</v>
      </c>
      <c r="ZU39" s="569" t="s">
        <v>141</v>
      </c>
      <c r="ZV39" s="570"/>
      <c r="ZW39" s="570"/>
      <c r="ZX39" s="570"/>
      <c r="ZY39" s="570"/>
      <c r="ZZ39" s="571"/>
      <c r="AAA39" s="24"/>
      <c r="AAB39" s="22" t="s">
        <v>196</v>
      </c>
      <c r="AAD39" s="569" t="s">
        <v>141</v>
      </c>
      <c r="AAE39" s="570"/>
      <c r="AAF39" s="570"/>
      <c r="AAG39" s="570"/>
      <c r="AAH39" s="570"/>
      <c r="AAI39" s="571"/>
      <c r="AAJ39" s="24"/>
      <c r="AAK39" s="22" t="s">
        <v>196</v>
      </c>
      <c r="AAM39" s="569" t="s">
        <v>141</v>
      </c>
      <c r="AAN39" s="570"/>
      <c r="AAO39" s="570"/>
      <c r="AAP39" s="570"/>
      <c r="AAQ39" s="570"/>
      <c r="AAR39" s="571"/>
      <c r="AAS39" s="24"/>
      <c r="AAT39" s="22" t="s">
        <v>196</v>
      </c>
      <c r="AAV39" s="569" t="s">
        <v>141</v>
      </c>
      <c r="AAW39" s="570"/>
      <c r="AAX39" s="570"/>
      <c r="AAY39" s="570"/>
      <c r="AAZ39" s="570"/>
      <c r="ABA39" s="571"/>
      <c r="ABB39" s="24"/>
      <c r="ABC39" s="22" t="s">
        <v>196</v>
      </c>
      <c r="ABE39" s="569" t="s">
        <v>141</v>
      </c>
      <c r="ABF39" s="570"/>
      <c r="ABG39" s="570"/>
      <c r="ABH39" s="570"/>
      <c r="ABI39" s="570"/>
      <c r="ABJ39" s="571"/>
      <c r="ABK39" s="24"/>
    </row>
    <row r="40" spans="1:739" ht="14.45" thickBot="1">
      <c r="C40" s="30" t="s">
        <v>164</v>
      </c>
      <c r="D40" s="77" t="s">
        <v>165</v>
      </c>
      <c r="E40" s="27" t="s">
        <v>166</v>
      </c>
      <c r="F40" s="26" t="s">
        <v>167</v>
      </c>
      <c r="G40" s="27" t="s">
        <v>168</v>
      </c>
      <c r="H40" s="78" t="s">
        <v>169</v>
      </c>
      <c r="I40" s="327" t="s">
        <v>170</v>
      </c>
      <c r="L40" s="30" t="s">
        <v>164</v>
      </c>
      <c r="M40" s="77" t="s">
        <v>165</v>
      </c>
      <c r="N40" s="31" t="s">
        <v>166</v>
      </c>
      <c r="O40" s="26" t="s">
        <v>167</v>
      </c>
      <c r="P40" s="31" t="s">
        <v>168</v>
      </c>
      <c r="Q40" s="32" t="s">
        <v>169</v>
      </c>
      <c r="R40" s="79" t="s">
        <v>170</v>
      </c>
      <c r="U40" s="30" t="s">
        <v>164</v>
      </c>
      <c r="V40" s="77" t="s">
        <v>165</v>
      </c>
      <c r="W40" s="33" t="s">
        <v>166</v>
      </c>
      <c r="X40" s="26" t="s">
        <v>167</v>
      </c>
      <c r="Y40" s="33" t="s">
        <v>168</v>
      </c>
      <c r="Z40" s="34" t="s">
        <v>169</v>
      </c>
      <c r="AA40" s="79" t="s">
        <v>170</v>
      </c>
      <c r="AD40" s="30" t="s">
        <v>164</v>
      </c>
      <c r="AE40" s="77" t="s">
        <v>165</v>
      </c>
      <c r="AF40" s="35" t="s">
        <v>166</v>
      </c>
      <c r="AG40" s="26" t="s">
        <v>167</v>
      </c>
      <c r="AH40" s="35" t="s">
        <v>168</v>
      </c>
      <c r="AI40" s="36" t="s">
        <v>169</v>
      </c>
      <c r="AJ40" s="79" t="s">
        <v>170</v>
      </c>
      <c r="AM40" s="30" t="s">
        <v>164</v>
      </c>
      <c r="AN40" s="77" t="s">
        <v>165</v>
      </c>
      <c r="AO40" s="37" t="s">
        <v>166</v>
      </c>
      <c r="AP40" s="26" t="s">
        <v>167</v>
      </c>
      <c r="AQ40" s="37" t="s">
        <v>168</v>
      </c>
      <c r="AR40" s="38" t="s">
        <v>169</v>
      </c>
      <c r="AS40" s="79" t="s">
        <v>170</v>
      </c>
      <c r="AV40" s="30" t="s">
        <v>164</v>
      </c>
      <c r="AW40" s="77" t="s">
        <v>165</v>
      </c>
      <c r="AX40" s="39" t="s">
        <v>166</v>
      </c>
      <c r="AY40" s="26" t="s">
        <v>167</v>
      </c>
      <c r="AZ40" s="39" t="s">
        <v>168</v>
      </c>
      <c r="BA40" s="40" t="s">
        <v>169</v>
      </c>
      <c r="BB40" s="79" t="s">
        <v>170</v>
      </c>
      <c r="BE40" s="30" t="s">
        <v>164</v>
      </c>
      <c r="BF40" s="77" t="s">
        <v>165</v>
      </c>
      <c r="BG40" s="41" t="s">
        <v>166</v>
      </c>
      <c r="BH40" s="26" t="s">
        <v>167</v>
      </c>
      <c r="BI40" s="41" t="s">
        <v>168</v>
      </c>
      <c r="BJ40" s="42" t="s">
        <v>169</v>
      </c>
      <c r="BK40" s="79" t="s">
        <v>170</v>
      </c>
      <c r="BN40" s="30" t="s">
        <v>164</v>
      </c>
      <c r="BO40" s="77" t="s">
        <v>165</v>
      </c>
      <c r="BP40" s="43" t="s">
        <v>166</v>
      </c>
      <c r="BQ40" s="26" t="s">
        <v>167</v>
      </c>
      <c r="BR40" s="43" t="s">
        <v>168</v>
      </c>
      <c r="BS40" s="44" t="s">
        <v>169</v>
      </c>
      <c r="BT40" s="79" t="s">
        <v>170</v>
      </c>
      <c r="BW40" s="30" t="s">
        <v>164</v>
      </c>
      <c r="BX40" s="77" t="s">
        <v>165</v>
      </c>
      <c r="BY40" s="45" t="s">
        <v>166</v>
      </c>
      <c r="BZ40" s="26" t="s">
        <v>167</v>
      </c>
      <c r="CA40" s="45" t="s">
        <v>168</v>
      </c>
      <c r="CB40" s="46" t="s">
        <v>169</v>
      </c>
      <c r="CC40" s="79" t="s">
        <v>170</v>
      </c>
      <c r="CF40" s="30" t="s">
        <v>164</v>
      </c>
      <c r="CG40" s="77" t="s">
        <v>165</v>
      </c>
      <c r="CH40" s="47" t="s">
        <v>166</v>
      </c>
      <c r="CI40" s="26" t="s">
        <v>167</v>
      </c>
      <c r="CJ40" s="47" t="s">
        <v>168</v>
      </c>
      <c r="CK40" s="48" t="s">
        <v>169</v>
      </c>
      <c r="CL40" s="79" t="s">
        <v>170</v>
      </c>
      <c r="CO40" s="30" t="s">
        <v>164</v>
      </c>
      <c r="CP40" s="77" t="s">
        <v>165</v>
      </c>
      <c r="CQ40" s="129" t="s">
        <v>166</v>
      </c>
      <c r="CR40" s="26" t="s">
        <v>167</v>
      </c>
      <c r="CS40" s="129" t="s">
        <v>168</v>
      </c>
      <c r="CT40" s="130" t="s">
        <v>169</v>
      </c>
      <c r="CU40" s="79" t="s">
        <v>170</v>
      </c>
      <c r="CX40" s="30" t="s">
        <v>164</v>
      </c>
      <c r="CY40" s="77" t="s">
        <v>165</v>
      </c>
      <c r="CZ40" s="132" t="s">
        <v>166</v>
      </c>
      <c r="DA40" s="26" t="s">
        <v>167</v>
      </c>
      <c r="DB40" s="132" t="s">
        <v>168</v>
      </c>
      <c r="DC40" s="134" t="s">
        <v>169</v>
      </c>
      <c r="DD40" s="79" t="s">
        <v>170</v>
      </c>
      <c r="DG40" s="30" t="s">
        <v>164</v>
      </c>
      <c r="DH40" s="77" t="s">
        <v>165</v>
      </c>
      <c r="DI40" s="146" t="s">
        <v>166</v>
      </c>
      <c r="DJ40" s="26" t="s">
        <v>167</v>
      </c>
      <c r="DK40" s="146" t="s">
        <v>168</v>
      </c>
      <c r="DL40" s="153" t="s">
        <v>169</v>
      </c>
      <c r="DM40" s="79" t="s">
        <v>170</v>
      </c>
      <c r="DP40" s="30" t="s">
        <v>164</v>
      </c>
      <c r="DQ40" s="77" t="s">
        <v>165</v>
      </c>
      <c r="DR40" s="27" t="s">
        <v>166</v>
      </c>
      <c r="DS40" s="26" t="s">
        <v>167</v>
      </c>
      <c r="DT40" s="27" t="s">
        <v>168</v>
      </c>
      <c r="DU40" s="28" t="s">
        <v>169</v>
      </c>
      <c r="DV40" s="79" t="s">
        <v>170</v>
      </c>
      <c r="DY40" s="30" t="s">
        <v>164</v>
      </c>
      <c r="DZ40" s="77" t="s">
        <v>165</v>
      </c>
      <c r="EA40" s="156" t="s">
        <v>166</v>
      </c>
      <c r="EB40" s="26" t="s">
        <v>167</v>
      </c>
      <c r="EC40" s="156" t="s">
        <v>168</v>
      </c>
      <c r="ED40" s="158" t="s">
        <v>169</v>
      </c>
      <c r="EE40" s="79" t="s">
        <v>170</v>
      </c>
      <c r="EH40" s="30" t="s">
        <v>164</v>
      </c>
      <c r="EI40" s="77" t="s">
        <v>165</v>
      </c>
      <c r="EJ40" s="161" t="s">
        <v>166</v>
      </c>
      <c r="EK40" s="26" t="s">
        <v>167</v>
      </c>
      <c r="EL40" s="161" t="s">
        <v>168</v>
      </c>
      <c r="EM40" s="163" t="s">
        <v>169</v>
      </c>
      <c r="EN40" s="79" t="s">
        <v>170</v>
      </c>
      <c r="EQ40" s="30" t="s">
        <v>164</v>
      </c>
      <c r="ER40" s="77" t="s">
        <v>165</v>
      </c>
      <c r="ES40" s="167" t="s">
        <v>166</v>
      </c>
      <c r="ET40" s="26" t="s">
        <v>167</v>
      </c>
      <c r="EU40" s="167" t="s">
        <v>168</v>
      </c>
      <c r="EV40" s="169" t="s">
        <v>169</v>
      </c>
      <c r="EW40" s="79" t="s">
        <v>170</v>
      </c>
      <c r="EZ40" s="30" t="s">
        <v>164</v>
      </c>
      <c r="FA40" s="77" t="s">
        <v>165</v>
      </c>
      <c r="FB40" s="176" t="s">
        <v>166</v>
      </c>
      <c r="FC40" s="26" t="s">
        <v>167</v>
      </c>
      <c r="FD40" s="176" t="s">
        <v>168</v>
      </c>
      <c r="FE40" s="177" t="s">
        <v>169</v>
      </c>
      <c r="FF40" s="79" t="s">
        <v>170</v>
      </c>
      <c r="FI40" s="30" t="s">
        <v>164</v>
      </c>
      <c r="FJ40" s="77" t="s">
        <v>165</v>
      </c>
      <c r="FK40" s="181" t="s">
        <v>166</v>
      </c>
      <c r="FL40" s="26" t="s">
        <v>167</v>
      </c>
      <c r="FM40" s="181" t="s">
        <v>168</v>
      </c>
      <c r="FN40" s="182" t="s">
        <v>169</v>
      </c>
      <c r="FO40" s="79" t="s">
        <v>170</v>
      </c>
      <c r="FR40" s="30" t="s">
        <v>164</v>
      </c>
      <c r="FS40" s="77" t="s">
        <v>165</v>
      </c>
      <c r="FT40" s="185" t="s">
        <v>166</v>
      </c>
      <c r="FU40" s="26" t="s">
        <v>167</v>
      </c>
      <c r="FV40" s="185" t="s">
        <v>168</v>
      </c>
      <c r="FW40" s="187" t="s">
        <v>169</v>
      </c>
      <c r="FX40" s="79" t="s">
        <v>170</v>
      </c>
      <c r="GA40" s="30" t="s">
        <v>164</v>
      </c>
      <c r="GB40" s="77" t="s">
        <v>165</v>
      </c>
      <c r="GC40" s="201" t="s">
        <v>166</v>
      </c>
      <c r="GD40" s="26" t="s">
        <v>167</v>
      </c>
      <c r="GE40" s="128" t="s">
        <v>168</v>
      </c>
      <c r="GF40" s="200" t="s">
        <v>169</v>
      </c>
      <c r="GG40" s="79" t="s">
        <v>170</v>
      </c>
      <c r="GJ40" s="30" t="s">
        <v>164</v>
      </c>
      <c r="GK40" s="77" t="s">
        <v>165</v>
      </c>
      <c r="GL40" s="197" t="s">
        <v>166</v>
      </c>
      <c r="GM40" s="26" t="s">
        <v>167</v>
      </c>
      <c r="GN40" s="197" t="s">
        <v>168</v>
      </c>
      <c r="GO40" s="198" t="s">
        <v>169</v>
      </c>
      <c r="GP40" s="79" t="s">
        <v>170</v>
      </c>
      <c r="GS40" s="30" t="s">
        <v>164</v>
      </c>
      <c r="GT40" s="77" t="s">
        <v>165</v>
      </c>
      <c r="GU40" s="193" t="s">
        <v>166</v>
      </c>
      <c r="GV40" s="26" t="s">
        <v>167</v>
      </c>
      <c r="GW40" s="193" t="s">
        <v>168</v>
      </c>
      <c r="GX40" s="194" t="s">
        <v>169</v>
      </c>
      <c r="GY40" s="79" t="s">
        <v>170</v>
      </c>
      <c r="HB40" s="30" t="s">
        <v>164</v>
      </c>
      <c r="HC40" s="77" t="s">
        <v>165</v>
      </c>
      <c r="HD40" s="189" t="s">
        <v>166</v>
      </c>
      <c r="HE40" s="26" t="s">
        <v>167</v>
      </c>
      <c r="HF40" s="189" t="s">
        <v>168</v>
      </c>
      <c r="HG40" s="190" t="s">
        <v>169</v>
      </c>
      <c r="HH40" s="79" t="s">
        <v>170</v>
      </c>
      <c r="HK40" s="30" t="s">
        <v>164</v>
      </c>
      <c r="HL40" s="77" t="s">
        <v>165</v>
      </c>
      <c r="HM40" s="41" t="s">
        <v>166</v>
      </c>
      <c r="HN40" s="26" t="s">
        <v>167</v>
      </c>
      <c r="HO40" s="41" t="s">
        <v>168</v>
      </c>
      <c r="HP40" s="42" t="s">
        <v>169</v>
      </c>
      <c r="HQ40" s="79" t="s">
        <v>170</v>
      </c>
      <c r="HU40" s="30" t="s">
        <v>164</v>
      </c>
      <c r="HV40" s="77" t="s">
        <v>165</v>
      </c>
      <c r="HW40" s="241" t="s">
        <v>166</v>
      </c>
      <c r="HX40" s="26" t="s">
        <v>167</v>
      </c>
      <c r="HY40" s="241" t="s">
        <v>168</v>
      </c>
      <c r="HZ40" s="243" t="s">
        <v>169</v>
      </c>
      <c r="IA40" s="79" t="s">
        <v>170</v>
      </c>
      <c r="ID40" s="30" t="s">
        <v>164</v>
      </c>
      <c r="IE40" s="77" t="s">
        <v>165</v>
      </c>
      <c r="IF40" s="241" t="s">
        <v>166</v>
      </c>
      <c r="IG40" s="26" t="s">
        <v>167</v>
      </c>
      <c r="IH40" s="241" t="s">
        <v>168</v>
      </c>
      <c r="II40" s="243" t="s">
        <v>169</v>
      </c>
      <c r="IJ40" s="79" t="s">
        <v>170</v>
      </c>
      <c r="IM40" s="30" t="s">
        <v>164</v>
      </c>
      <c r="IN40" s="77" t="s">
        <v>165</v>
      </c>
      <c r="IO40" s="241" t="s">
        <v>166</v>
      </c>
      <c r="IP40" s="26" t="s">
        <v>167</v>
      </c>
      <c r="IQ40" s="241" t="s">
        <v>168</v>
      </c>
      <c r="IR40" s="243" t="s">
        <v>169</v>
      </c>
      <c r="IS40" s="79" t="s">
        <v>170</v>
      </c>
      <c r="IV40" s="30" t="s">
        <v>164</v>
      </c>
      <c r="IW40" s="77" t="s">
        <v>165</v>
      </c>
      <c r="IX40" s="241" t="s">
        <v>166</v>
      </c>
      <c r="IY40" s="26" t="s">
        <v>167</v>
      </c>
      <c r="IZ40" s="241" t="s">
        <v>168</v>
      </c>
      <c r="JA40" s="243" t="s">
        <v>169</v>
      </c>
      <c r="JB40" s="79" t="s">
        <v>170</v>
      </c>
      <c r="JE40" s="30" t="s">
        <v>164</v>
      </c>
      <c r="JF40" s="77" t="s">
        <v>165</v>
      </c>
      <c r="JG40" s="241" t="s">
        <v>166</v>
      </c>
      <c r="JH40" s="26" t="s">
        <v>167</v>
      </c>
      <c r="JI40" s="241" t="s">
        <v>168</v>
      </c>
      <c r="JJ40" s="243" t="s">
        <v>169</v>
      </c>
      <c r="JK40" s="79" t="s">
        <v>170</v>
      </c>
      <c r="JN40" s="30" t="s">
        <v>164</v>
      </c>
      <c r="JO40" s="77" t="s">
        <v>165</v>
      </c>
      <c r="JP40" s="241" t="s">
        <v>166</v>
      </c>
      <c r="JQ40" s="26" t="s">
        <v>167</v>
      </c>
      <c r="JR40" s="241" t="s">
        <v>168</v>
      </c>
      <c r="JS40" s="243" t="s">
        <v>169</v>
      </c>
      <c r="JT40" s="79" t="s">
        <v>170</v>
      </c>
      <c r="JW40" s="30" t="s">
        <v>164</v>
      </c>
      <c r="JX40" s="77" t="s">
        <v>165</v>
      </c>
      <c r="JY40" s="241" t="s">
        <v>166</v>
      </c>
      <c r="JZ40" s="26" t="s">
        <v>167</v>
      </c>
      <c r="KA40" s="241" t="s">
        <v>168</v>
      </c>
      <c r="KB40" s="243" t="s">
        <v>169</v>
      </c>
      <c r="KC40" s="79" t="s">
        <v>170</v>
      </c>
      <c r="KF40" s="30" t="s">
        <v>164</v>
      </c>
      <c r="KG40" s="77" t="s">
        <v>165</v>
      </c>
      <c r="KH40" s="241" t="s">
        <v>166</v>
      </c>
      <c r="KI40" s="26" t="s">
        <v>167</v>
      </c>
      <c r="KJ40" s="241" t="s">
        <v>168</v>
      </c>
      <c r="KK40" s="243" t="s">
        <v>169</v>
      </c>
      <c r="KL40" s="79" t="s">
        <v>170</v>
      </c>
      <c r="KO40" s="30" t="s">
        <v>164</v>
      </c>
      <c r="KP40" s="77" t="s">
        <v>165</v>
      </c>
      <c r="KQ40" s="241" t="s">
        <v>166</v>
      </c>
      <c r="KR40" s="26" t="s">
        <v>167</v>
      </c>
      <c r="KS40" s="241" t="s">
        <v>168</v>
      </c>
      <c r="KT40" s="243" t="s">
        <v>169</v>
      </c>
      <c r="KU40" s="79" t="s">
        <v>170</v>
      </c>
      <c r="KX40" s="30" t="s">
        <v>164</v>
      </c>
      <c r="KY40" s="77" t="s">
        <v>165</v>
      </c>
      <c r="KZ40" s="241" t="s">
        <v>166</v>
      </c>
      <c r="LA40" s="26" t="s">
        <v>167</v>
      </c>
      <c r="LB40" s="241" t="s">
        <v>168</v>
      </c>
      <c r="LC40" s="243" t="s">
        <v>169</v>
      </c>
      <c r="LD40" s="79" t="s">
        <v>170</v>
      </c>
      <c r="LG40" s="30" t="s">
        <v>164</v>
      </c>
      <c r="LH40" s="77" t="s">
        <v>165</v>
      </c>
      <c r="LI40" s="241" t="s">
        <v>166</v>
      </c>
      <c r="LJ40" s="26" t="s">
        <v>167</v>
      </c>
      <c r="LK40" s="241" t="s">
        <v>168</v>
      </c>
      <c r="LL40" s="243" t="s">
        <v>169</v>
      </c>
      <c r="LM40" s="79" t="s">
        <v>170</v>
      </c>
      <c r="LP40" s="30" t="s">
        <v>164</v>
      </c>
      <c r="LQ40" s="77" t="s">
        <v>165</v>
      </c>
      <c r="LR40" s="241" t="s">
        <v>166</v>
      </c>
      <c r="LS40" s="26" t="s">
        <v>167</v>
      </c>
      <c r="LT40" s="241" t="s">
        <v>168</v>
      </c>
      <c r="LU40" s="243" t="s">
        <v>169</v>
      </c>
      <c r="LV40" s="79" t="s">
        <v>170</v>
      </c>
      <c r="LY40" s="30" t="s">
        <v>164</v>
      </c>
      <c r="LZ40" s="77" t="s">
        <v>165</v>
      </c>
      <c r="MA40" s="241" t="s">
        <v>166</v>
      </c>
      <c r="MB40" s="26" t="s">
        <v>167</v>
      </c>
      <c r="MC40" s="241" t="s">
        <v>168</v>
      </c>
      <c r="MD40" s="243" t="s">
        <v>169</v>
      </c>
      <c r="ME40" s="79" t="s">
        <v>170</v>
      </c>
      <c r="MH40" s="30" t="s">
        <v>164</v>
      </c>
      <c r="MI40" s="77" t="s">
        <v>165</v>
      </c>
      <c r="MJ40" s="241" t="s">
        <v>166</v>
      </c>
      <c r="MK40" s="26" t="s">
        <v>167</v>
      </c>
      <c r="ML40" s="241" t="s">
        <v>168</v>
      </c>
      <c r="MM40" s="243" t="s">
        <v>169</v>
      </c>
      <c r="MN40" s="79" t="s">
        <v>170</v>
      </c>
      <c r="MQ40" s="30" t="s">
        <v>164</v>
      </c>
      <c r="MR40" s="77" t="s">
        <v>165</v>
      </c>
      <c r="MS40" s="241" t="s">
        <v>166</v>
      </c>
      <c r="MT40" s="26" t="s">
        <v>167</v>
      </c>
      <c r="MU40" s="241" t="s">
        <v>168</v>
      </c>
      <c r="MV40" s="243" t="s">
        <v>169</v>
      </c>
      <c r="MW40" s="79" t="s">
        <v>170</v>
      </c>
      <c r="MZ40" s="30" t="s">
        <v>164</v>
      </c>
      <c r="NA40" s="77" t="s">
        <v>165</v>
      </c>
      <c r="NB40" s="241" t="s">
        <v>166</v>
      </c>
      <c r="NC40" s="26" t="s">
        <v>167</v>
      </c>
      <c r="ND40" s="241" t="s">
        <v>168</v>
      </c>
      <c r="NE40" s="243" t="s">
        <v>169</v>
      </c>
      <c r="NF40" s="79" t="s">
        <v>170</v>
      </c>
      <c r="NI40" s="30" t="s">
        <v>164</v>
      </c>
      <c r="NJ40" s="77" t="s">
        <v>165</v>
      </c>
      <c r="NK40" s="241" t="s">
        <v>166</v>
      </c>
      <c r="NL40" s="26" t="s">
        <v>167</v>
      </c>
      <c r="NM40" s="241" t="s">
        <v>168</v>
      </c>
      <c r="NN40" s="243" t="s">
        <v>169</v>
      </c>
      <c r="NO40" s="79" t="s">
        <v>170</v>
      </c>
      <c r="NR40" s="30" t="s">
        <v>164</v>
      </c>
      <c r="NS40" s="77" t="s">
        <v>165</v>
      </c>
      <c r="NT40" s="241" t="s">
        <v>166</v>
      </c>
      <c r="NU40" s="26" t="s">
        <v>167</v>
      </c>
      <c r="NV40" s="241" t="s">
        <v>168</v>
      </c>
      <c r="NW40" s="243" t="s">
        <v>169</v>
      </c>
      <c r="NX40" s="79" t="s">
        <v>170</v>
      </c>
      <c r="OA40" s="30" t="s">
        <v>164</v>
      </c>
      <c r="OB40" s="77" t="s">
        <v>165</v>
      </c>
      <c r="OC40" s="241" t="s">
        <v>166</v>
      </c>
      <c r="OD40" s="26" t="s">
        <v>167</v>
      </c>
      <c r="OE40" s="241" t="s">
        <v>168</v>
      </c>
      <c r="OF40" s="243" t="s">
        <v>169</v>
      </c>
      <c r="OG40" s="79" t="s">
        <v>170</v>
      </c>
      <c r="OJ40" s="30" t="s">
        <v>164</v>
      </c>
      <c r="OK40" s="77" t="s">
        <v>165</v>
      </c>
      <c r="OL40" s="241" t="s">
        <v>166</v>
      </c>
      <c r="OM40" s="26" t="s">
        <v>167</v>
      </c>
      <c r="ON40" s="241" t="s">
        <v>168</v>
      </c>
      <c r="OO40" s="243" t="s">
        <v>169</v>
      </c>
      <c r="OP40" s="79" t="s">
        <v>170</v>
      </c>
      <c r="OS40" s="30" t="s">
        <v>164</v>
      </c>
      <c r="OT40" s="77" t="s">
        <v>165</v>
      </c>
      <c r="OU40" s="241" t="s">
        <v>166</v>
      </c>
      <c r="OV40" s="26" t="s">
        <v>167</v>
      </c>
      <c r="OW40" s="241" t="s">
        <v>168</v>
      </c>
      <c r="OX40" s="243" t="s">
        <v>169</v>
      </c>
      <c r="OY40" s="79" t="s">
        <v>170</v>
      </c>
      <c r="PB40" s="30" t="s">
        <v>164</v>
      </c>
      <c r="PC40" s="77" t="s">
        <v>165</v>
      </c>
      <c r="PD40" s="241" t="s">
        <v>166</v>
      </c>
      <c r="PE40" s="26" t="s">
        <v>167</v>
      </c>
      <c r="PF40" s="241" t="s">
        <v>168</v>
      </c>
      <c r="PG40" s="243" t="s">
        <v>169</v>
      </c>
      <c r="PH40" s="79" t="s">
        <v>170</v>
      </c>
      <c r="PK40" s="30" t="s">
        <v>164</v>
      </c>
      <c r="PL40" s="77" t="s">
        <v>165</v>
      </c>
      <c r="PM40" s="241" t="s">
        <v>166</v>
      </c>
      <c r="PN40" s="26" t="s">
        <v>167</v>
      </c>
      <c r="PO40" s="241" t="s">
        <v>168</v>
      </c>
      <c r="PP40" s="243" t="s">
        <v>169</v>
      </c>
      <c r="PQ40" s="79" t="s">
        <v>170</v>
      </c>
      <c r="PT40" s="30" t="s">
        <v>164</v>
      </c>
      <c r="PU40" s="77" t="s">
        <v>165</v>
      </c>
      <c r="PV40" s="241" t="s">
        <v>166</v>
      </c>
      <c r="PW40" s="26" t="s">
        <v>167</v>
      </c>
      <c r="PX40" s="241" t="s">
        <v>168</v>
      </c>
      <c r="PY40" s="243" t="s">
        <v>169</v>
      </c>
      <c r="PZ40" s="79" t="s">
        <v>170</v>
      </c>
      <c r="QC40" s="30" t="s">
        <v>164</v>
      </c>
      <c r="QD40" s="77" t="s">
        <v>165</v>
      </c>
      <c r="QE40" s="241" t="s">
        <v>166</v>
      </c>
      <c r="QF40" s="26" t="s">
        <v>167</v>
      </c>
      <c r="QG40" s="241" t="s">
        <v>168</v>
      </c>
      <c r="QH40" s="243" t="s">
        <v>169</v>
      </c>
      <c r="QI40" s="79" t="s">
        <v>170</v>
      </c>
      <c r="QL40" s="30" t="s">
        <v>164</v>
      </c>
      <c r="QM40" s="77" t="s">
        <v>165</v>
      </c>
      <c r="QN40" s="241" t="s">
        <v>166</v>
      </c>
      <c r="QO40" s="26" t="s">
        <v>167</v>
      </c>
      <c r="QP40" s="241" t="s">
        <v>168</v>
      </c>
      <c r="QQ40" s="243" t="s">
        <v>169</v>
      </c>
      <c r="QR40" s="79" t="s">
        <v>170</v>
      </c>
      <c r="QU40" s="30" t="s">
        <v>164</v>
      </c>
      <c r="QV40" s="77" t="s">
        <v>165</v>
      </c>
      <c r="QW40" s="241" t="s">
        <v>166</v>
      </c>
      <c r="QX40" s="26" t="s">
        <v>167</v>
      </c>
      <c r="QY40" s="241" t="s">
        <v>168</v>
      </c>
      <c r="QZ40" s="243" t="s">
        <v>169</v>
      </c>
      <c r="RA40" s="79" t="s">
        <v>170</v>
      </c>
      <c r="RD40" s="30" t="s">
        <v>164</v>
      </c>
      <c r="RE40" s="77" t="s">
        <v>165</v>
      </c>
      <c r="RF40" s="241" t="s">
        <v>166</v>
      </c>
      <c r="RG40" s="26" t="s">
        <v>167</v>
      </c>
      <c r="RH40" s="241" t="s">
        <v>168</v>
      </c>
      <c r="RI40" s="243" t="s">
        <v>169</v>
      </c>
      <c r="RJ40" s="79" t="s">
        <v>170</v>
      </c>
      <c r="RM40" s="30" t="s">
        <v>164</v>
      </c>
      <c r="RN40" s="77" t="s">
        <v>165</v>
      </c>
      <c r="RO40" s="241" t="s">
        <v>166</v>
      </c>
      <c r="RP40" s="26" t="s">
        <v>167</v>
      </c>
      <c r="RQ40" s="241" t="s">
        <v>168</v>
      </c>
      <c r="RR40" s="243" t="s">
        <v>169</v>
      </c>
      <c r="RS40" s="79" t="s">
        <v>170</v>
      </c>
      <c r="RV40" s="30" t="s">
        <v>164</v>
      </c>
      <c r="RW40" s="77" t="s">
        <v>165</v>
      </c>
      <c r="RX40" s="241" t="s">
        <v>166</v>
      </c>
      <c r="RY40" s="26" t="s">
        <v>167</v>
      </c>
      <c r="RZ40" s="241" t="s">
        <v>168</v>
      </c>
      <c r="SA40" s="243" t="s">
        <v>169</v>
      </c>
      <c r="SB40" s="79" t="s">
        <v>170</v>
      </c>
      <c r="SE40" s="30" t="s">
        <v>164</v>
      </c>
      <c r="SF40" s="77" t="s">
        <v>165</v>
      </c>
      <c r="SG40" s="241" t="s">
        <v>166</v>
      </c>
      <c r="SH40" s="26" t="s">
        <v>167</v>
      </c>
      <c r="SI40" s="241" t="s">
        <v>168</v>
      </c>
      <c r="SJ40" s="243" t="s">
        <v>169</v>
      </c>
      <c r="SK40" s="79" t="s">
        <v>170</v>
      </c>
      <c r="SN40" s="30" t="s">
        <v>164</v>
      </c>
      <c r="SO40" s="77" t="s">
        <v>165</v>
      </c>
      <c r="SP40" s="241" t="s">
        <v>166</v>
      </c>
      <c r="SQ40" s="26" t="s">
        <v>167</v>
      </c>
      <c r="SR40" s="241" t="s">
        <v>168</v>
      </c>
      <c r="SS40" s="243" t="s">
        <v>169</v>
      </c>
      <c r="ST40" s="79" t="s">
        <v>170</v>
      </c>
      <c r="SW40" s="30" t="s">
        <v>164</v>
      </c>
      <c r="SX40" s="77" t="s">
        <v>165</v>
      </c>
      <c r="SY40" s="241" t="s">
        <v>166</v>
      </c>
      <c r="SZ40" s="26" t="s">
        <v>167</v>
      </c>
      <c r="TA40" s="241" t="s">
        <v>168</v>
      </c>
      <c r="TB40" s="243" t="s">
        <v>169</v>
      </c>
      <c r="TC40" s="79" t="s">
        <v>170</v>
      </c>
      <c r="TF40" s="30" t="s">
        <v>164</v>
      </c>
      <c r="TG40" s="77" t="s">
        <v>165</v>
      </c>
      <c r="TH40" s="241" t="s">
        <v>166</v>
      </c>
      <c r="TI40" s="26" t="s">
        <v>167</v>
      </c>
      <c r="TJ40" s="241" t="s">
        <v>168</v>
      </c>
      <c r="TK40" s="243" t="s">
        <v>169</v>
      </c>
      <c r="TL40" s="79" t="s">
        <v>170</v>
      </c>
      <c r="TO40" s="30" t="s">
        <v>164</v>
      </c>
      <c r="TP40" s="77" t="s">
        <v>165</v>
      </c>
      <c r="TQ40" s="241" t="s">
        <v>166</v>
      </c>
      <c r="TR40" s="26" t="s">
        <v>167</v>
      </c>
      <c r="TS40" s="241" t="s">
        <v>168</v>
      </c>
      <c r="TT40" s="243" t="s">
        <v>169</v>
      </c>
      <c r="TU40" s="79" t="s">
        <v>170</v>
      </c>
      <c r="TX40" s="30" t="s">
        <v>164</v>
      </c>
      <c r="TY40" s="77" t="s">
        <v>165</v>
      </c>
      <c r="TZ40" s="241" t="s">
        <v>166</v>
      </c>
      <c r="UA40" s="26" t="s">
        <v>167</v>
      </c>
      <c r="UB40" s="241" t="s">
        <v>168</v>
      </c>
      <c r="UC40" s="243" t="s">
        <v>169</v>
      </c>
      <c r="UD40" s="79" t="s">
        <v>170</v>
      </c>
      <c r="UG40" s="30" t="s">
        <v>164</v>
      </c>
      <c r="UH40" s="77" t="s">
        <v>165</v>
      </c>
      <c r="UI40" s="241" t="s">
        <v>166</v>
      </c>
      <c r="UJ40" s="26" t="s">
        <v>167</v>
      </c>
      <c r="UK40" s="241" t="s">
        <v>168</v>
      </c>
      <c r="UL40" s="243" t="s">
        <v>169</v>
      </c>
      <c r="UM40" s="79" t="s">
        <v>170</v>
      </c>
      <c r="UP40" s="30" t="s">
        <v>164</v>
      </c>
      <c r="UQ40" s="77" t="s">
        <v>165</v>
      </c>
      <c r="UR40" s="241" t="s">
        <v>166</v>
      </c>
      <c r="US40" s="26" t="s">
        <v>167</v>
      </c>
      <c r="UT40" s="241" t="s">
        <v>168</v>
      </c>
      <c r="UU40" s="243" t="s">
        <v>169</v>
      </c>
      <c r="UV40" s="79" t="s">
        <v>170</v>
      </c>
      <c r="UY40" s="30" t="s">
        <v>164</v>
      </c>
      <c r="UZ40" s="77" t="s">
        <v>165</v>
      </c>
      <c r="VA40" s="241" t="s">
        <v>166</v>
      </c>
      <c r="VB40" s="26" t="s">
        <v>167</v>
      </c>
      <c r="VC40" s="241" t="s">
        <v>168</v>
      </c>
      <c r="VD40" s="243" t="s">
        <v>169</v>
      </c>
      <c r="VE40" s="79" t="s">
        <v>170</v>
      </c>
      <c r="VH40" s="30" t="s">
        <v>164</v>
      </c>
      <c r="VI40" s="77" t="s">
        <v>165</v>
      </c>
      <c r="VJ40" s="241" t="s">
        <v>166</v>
      </c>
      <c r="VK40" s="26" t="s">
        <v>167</v>
      </c>
      <c r="VL40" s="241" t="s">
        <v>168</v>
      </c>
      <c r="VM40" s="243" t="s">
        <v>169</v>
      </c>
      <c r="VN40" s="79" t="s">
        <v>170</v>
      </c>
      <c r="VQ40" s="30" t="s">
        <v>164</v>
      </c>
      <c r="VR40" s="77" t="s">
        <v>165</v>
      </c>
      <c r="VS40" s="241" t="s">
        <v>166</v>
      </c>
      <c r="VT40" s="26" t="s">
        <v>167</v>
      </c>
      <c r="VU40" s="241" t="s">
        <v>168</v>
      </c>
      <c r="VV40" s="243" t="s">
        <v>169</v>
      </c>
      <c r="VW40" s="79" t="s">
        <v>170</v>
      </c>
      <c r="VZ40" s="30" t="s">
        <v>164</v>
      </c>
      <c r="WA40" s="77" t="s">
        <v>165</v>
      </c>
      <c r="WB40" s="241" t="s">
        <v>166</v>
      </c>
      <c r="WC40" s="26" t="s">
        <v>167</v>
      </c>
      <c r="WD40" s="241" t="s">
        <v>168</v>
      </c>
      <c r="WE40" s="243" t="s">
        <v>169</v>
      </c>
      <c r="WF40" s="79" t="s">
        <v>170</v>
      </c>
      <c r="WI40" s="30" t="s">
        <v>164</v>
      </c>
      <c r="WJ40" s="77" t="s">
        <v>165</v>
      </c>
      <c r="WK40" s="241" t="s">
        <v>166</v>
      </c>
      <c r="WL40" s="26" t="s">
        <v>167</v>
      </c>
      <c r="WM40" s="241" t="s">
        <v>168</v>
      </c>
      <c r="WN40" s="243" t="s">
        <v>169</v>
      </c>
      <c r="WO40" s="79" t="s">
        <v>170</v>
      </c>
      <c r="WR40" s="30" t="s">
        <v>164</v>
      </c>
      <c r="WS40" s="77" t="s">
        <v>165</v>
      </c>
      <c r="WT40" s="241" t="s">
        <v>166</v>
      </c>
      <c r="WU40" s="26" t="s">
        <v>167</v>
      </c>
      <c r="WV40" s="241" t="s">
        <v>168</v>
      </c>
      <c r="WW40" s="243" t="s">
        <v>169</v>
      </c>
      <c r="WX40" s="79" t="s">
        <v>170</v>
      </c>
      <c r="XA40" s="30" t="s">
        <v>164</v>
      </c>
      <c r="XB40" s="77" t="s">
        <v>165</v>
      </c>
      <c r="XC40" s="241" t="s">
        <v>166</v>
      </c>
      <c r="XD40" s="26" t="s">
        <v>167</v>
      </c>
      <c r="XE40" s="241" t="s">
        <v>168</v>
      </c>
      <c r="XF40" s="243" t="s">
        <v>169</v>
      </c>
      <c r="XG40" s="79" t="s">
        <v>170</v>
      </c>
      <c r="XJ40" s="30" t="s">
        <v>164</v>
      </c>
      <c r="XK40" s="77" t="s">
        <v>165</v>
      </c>
      <c r="XL40" s="241" t="s">
        <v>166</v>
      </c>
      <c r="XM40" s="26" t="s">
        <v>167</v>
      </c>
      <c r="XN40" s="241" t="s">
        <v>168</v>
      </c>
      <c r="XO40" s="243" t="s">
        <v>169</v>
      </c>
      <c r="XP40" s="79" t="s">
        <v>170</v>
      </c>
      <c r="XS40" s="30" t="s">
        <v>164</v>
      </c>
      <c r="XT40" s="77" t="s">
        <v>165</v>
      </c>
      <c r="XU40" s="241" t="s">
        <v>166</v>
      </c>
      <c r="XV40" s="26" t="s">
        <v>167</v>
      </c>
      <c r="XW40" s="241" t="s">
        <v>168</v>
      </c>
      <c r="XX40" s="243" t="s">
        <v>169</v>
      </c>
      <c r="XY40" s="79" t="s">
        <v>170</v>
      </c>
      <c r="YB40" s="30" t="s">
        <v>164</v>
      </c>
      <c r="YC40" s="77" t="s">
        <v>165</v>
      </c>
      <c r="YD40" s="241" t="s">
        <v>166</v>
      </c>
      <c r="YE40" s="26" t="s">
        <v>167</v>
      </c>
      <c r="YF40" s="241" t="s">
        <v>168</v>
      </c>
      <c r="YG40" s="243" t="s">
        <v>169</v>
      </c>
      <c r="YH40" s="79" t="s">
        <v>170</v>
      </c>
      <c r="YK40" s="30" t="s">
        <v>164</v>
      </c>
      <c r="YL40" s="77" t="s">
        <v>165</v>
      </c>
      <c r="YM40" s="241" t="s">
        <v>166</v>
      </c>
      <c r="YN40" s="26" t="s">
        <v>167</v>
      </c>
      <c r="YO40" s="241" t="s">
        <v>168</v>
      </c>
      <c r="YP40" s="243" t="s">
        <v>169</v>
      </c>
      <c r="YQ40" s="79" t="s">
        <v>170</v>
      </c>
      <c r="YT40" s="30" t="s">
        <v>164</v>
      </c>
      <c r="YU40" s="77" t="s">
        <v>165</v>
      </c>
      <c r="YV40" s="241" t="s">
        <v>166</v>
      </c>
      <c r="YW40" s="26" t="s">
        <v>167</v>
      </c>
      <c r="YX40" s="241" t="s">
        <v>168</v>
      </c>
      <c r="YY40" s="243" t="s">
        <v>169</v>
      </c>
      <c r="YZ40" s="79" t="s">
        <v>170</v>
      </c>
      <c r="ZC40" s="30" t="s">
        <v>164</v>
      </c>
      <c r="ZD40" s="77" t="s">
        <v>165</v>
      </c>
      <c r="ZE40" s="241" t="s">
        <v>166</v>
      </c>
      <c r="ZF40" s="26" t="s">
        <v>167</v>
      </c>
      <c r="ZG40" s="241" t="s">
        <v>168</v>
      </c>
      <c r="ZH40" s="243" t="s">
        <v>169</v>
      </c>
      <c r="ZI40" s="79" t="s">
        <v>170</v>
      </c>
      <c r="ZL40" s="30" t="s">
        <v>164</v>
      </c>
      <c r="ZM40" s="77" t="s">
        <v>165</v>
      </c>
      <c r="ZN40" s="241" t="s">
        <v>166</v>
      </c>
      <c r="ZO40" s="26" t="s">
        <v>167</v>
      </c>
      <c r="ZP40" s="241" t="s">
        <v>168</v>
      </c>
      <c r="ZQ40" s="243" t="s">
        <v>169</v>
      </c>
      <c r="ZR40" s="79" t="s">
        <v>170</v>
      </c>
      <c r="ZU40" s="30" t="s">
        <v>164</v>
      </c>
      <c r="ZV40" s="77" t="s">
        <v>165</v>
      </c>
      <c r="ZW40" s="241" t="s">
        <v>166</v>
      </c>
      <c r="ZX40" s="26" t="s">
        <v>167</v>
      </c>
      <c r="ZY40" s="241" t="s">
        <v>168</v>
      </c>
      <c r="ZZ40" s="243" t="s">
        <v>169</v>
      </c>
      <c r="AAA40" s="79" t="s">
        <v>170</v>
      </c>
      <c r="AAD40" s="30" t="s">
        <v>164</v>
      </c>
      <c r="AAE40" s="77" t="s">
        <v>165</v>
      </c>
      <c r="AAF40" s="241" t="s">
        <v>166</v>
      </c>
      <c r="AAG40" s="26" t="s">
        <v>167</v>
      </c>
      <c r="AAH40" s="241" t="s">
        <v>168</v>
      </c>
      <c r="AAI40" s="243" t="s">
        <v>169</v>
      </c>
      <c r="AAJ40" s="79" t="s">
        <v>170</v>
      </c>
      <c r="AAM40" s="30" t="s">
        <v>164</v>
      </c>
      <c r="AAN40" s="77" t="s">
        <v>165</v>
      </c>
      <c r="AAO40" s="241" t="s">
        <v>166</v>
      </c>
      <c r="AAP40" s="26" t="s">
        <v>167</v>
      </c>
      <c r="AAQ40" s="241" t="s">
        <v>168</v>
      </c>
      <c r="AAR40" s="243" t="s">
        <v>169</v>
      </c>
      <c r="AAS40" s="79" t="s">
        <v>170</v>
      </c>
      <c r="AAV40" s="30" t="s">
        <v>164</v>
      </c>
      <c r="AAW40" s="77" t="s">
        <v>165</v>
      </c>
      <c r="AAX40" s="241" t="s">
        <v>166</v>
      </c>
      <c r="AAY40" s="26" t="s">
        <v>167</v>
      </c>
      <c r="AAZ40" s="241" t="s">
        <v>168</v>
      </c>
      <c r="ABA40" s="243" t="s">
        <v>169</v>
      </c>
      <c r="ABB40" s="79" t="s">
        <v>170</v>
      </c>
      <c r="ABE40" s="30" t="s">
        <v>164</v>
      </c>
      <c r="ABF40" s="77" t="s">
        <v>165</v>
      </c>
      <c r="ABG40" s="241" t="s">
        <v>166</v>
      </c>
      <c r="ABH40" s="26" t="s">
        <v>167</v>
      </c>
      <c r="ABI40" s="241" t="s">
        <v>168</v>
      </c>
      <c r="ABJ40" s="243" t="s">
        <v>169</v>
      </c>
      <c r="ABK40" s="79" t="s">
        <v>170</v>
      </c>
    </row>
    <row r="41" spans="1:739" s="6" customFormat="1" ht="15" customHeight="1" outlineLevel="1" thickBot="1">
      <c r="B41" s="480"/>
      <c r="C41" s="49" t="s">
        <v>171</v>
      </c>
      <c r="D41" s="429" t="s">
        <v>172</v>
      </c>
      <c r="E41" s="429" t="s">
        <v>172</v>
      </c>
      <c r="F41" s="429" t="s">
        <v>172</v>
      </c>
      <c r="G41" s="430" t="s">
        <v>172</v>
      </c>
      <c r="H41" s="431">
        <f>H37</f>
        <v>241788.19999999998</v>
      </c>
      <c r="I41" s="328"/>
      <c r="L41" s="49" t="s">
        <v>171</v>
      </c>
      <c r="M41" s="429" t="s">
        <v>172</v>
      </c>
      <c r="N41" s="429" t="s">
        <v>172</v>
      </c>
      <c r="O41" s="429" t="s">
        <v>172</v>
      </c>
      <c r="P41" s="430" t="s">
        <v>172</v>
      </c>
      <c r="Q41" s="431">
        <f>Q37</f>
        <v>48748.2</v>
      </c>
      <c r="R41" s="53"/>
      <c r="U41" s="49" t="s">
        <v>171</v>
      </c>
      <c r="V41" s="429" t="s">
        <v>172</v>
      </c>
      <c r="W41" s="429" t="s">
        <v>172</v>
      </c>
      <c r="X41" s="429" t="s">
        <v>172</v>
      </c>
      <c r="Y41" s="430" t="s">
        <v>172</v>
      </c>
      <c r="Z41" s="431">
        <f>Z37</f>
        <v>49884.999999999985</v>
      </c>
      <c r="AA41" s="53"/>
      <c r="AD41" s="49" t="s">
        <v>171</v>
      </c>
      <c r="AE41" s="429" t="s">
        <v>172</v>
      </c>
      <c r="AF41" s="429" t="s">
        <v>172</v>
      </c>
      <c r="AG41" s="429" t="s">
        <v>172</v>
      </c>
      <c r="AH41" s="430" t="s">
        <v>172</v>
      </c>
      <c r="AI41" s="431">
        <f>AI37</f>
        <v>52772.200000000012</v>
      </c>
      <c r="AJ41" s="53"/>
      <c r="AM41" s="49" t="s">
        <v>171</v>
      </c>
      <c r="AN41" s="429" t="s">
        <v>172</v>
      </c>
      <c r="AO41" s="429" t="s">
        <v>172</v>
      </c>
      <c r="AP41" s="429" t="s">
        <v>172</v>
      </c>
      <c r="AQ41" s="430" t="s">
        <v>172</v>
      </c>
      <c r="AR41" s="431">
        <f>AR37</f>
        <v>0</v>
      </c>
      <c r="AS41" s="53"/>
      <c r="AV41" s="49" t="s">
        <v>171</v>
      </c>
      <c r="AW41" s="429" t="s">
        <v>172</v>
      </c>
      <c r="AX41" s="429" t="s">
        <v>172</v>
      </c>
      <c r="AY41" s="429" t="s">
        <v>172</v>
      </c>
      <c r="AZ41" s="430" t="s">
        <v>172</v>
      </c>
      <c r="BA41" s="431">
        <f>BA37</f>
        <v>34316.69999999999</v>
      </c>
      <c r="BB41" s="53"/>
      <c r="BE41" s="49" t="s">
        <v>171</v>
      </c>
      <c r="BF41" s="429" t="s">
        <v>172</v>
      </c>
      <c r="BG41" s="429" t="s">
        <v>172</v>
      </c>
      <c r="BH41" s="429" t="s">
        <v>172</v>
      </c>
      <c r="BI41" s="430" t="s">
        <v>172</v>
      </c>
      <c r="BJ41" s="431">
        <f>BJ37</f>
        <v>21924.100000000006</v>
      </c>
      <c r="BK41" s="53"/>
      <c r="BN41" s="49" t="s">
        <v>171</v>
      </c>
      <c r="BO41" s="429" t="s">
        <v>172</v>
      </c>
      <c r="BP41" s="429" t="s">
        <v>172</v>
      </c>
      <c r="BQ41" s="429" t="s">
        <v>172</v>
      </c>
      <c r="BR41" s="430" t="s">
        <v>172</v>
      </c>
      <c r="BS41" s="431">
        <f>BS37</f>
        <v>0</v>
      </c>
      <c r="BT41" s="53"/>
      <c r="BW41" s="49" t="s">
        <v>171</v>
      </c>
      <c r="BX41" s="50" t="s">
        <v>172</v>
      </c>
      <c r="BY41" s="50" t="s">
        <v>172</v>
      </c>
      <c r="BZ41" s="50" t="s">
        <v>172</v>
      </c>
      <c r="CA41" s="51" t="s">
        <v>172</v>
      </c>
      <c r="CB41" s="52">
        <f>CB37</f>
        <v>3284.5</v>
      </c>
      <c r="CC41" s="53"/>
      <c r="CF41" s="49" t="s">
        <v>171</v>
      </c>
      <c r="CG41" s="50" t="s">
        <v>172</v>
      </c>
      <c r="CH41" s="50" t="s">
        <v>172</v>
      </c>
      <c r="CI41" s="50" t="s">
        <v>172</v>
      </c>
      <c r="CJ41" s="51" t="s">
        <v>172</v>
      </c>
      <c r="CK41" s="52">
        <f>CK37</f>
        <v>0</v>
      </c>
      <c r="CL41" s="53"/>
      <c r="CO41" s="49" t="s">
        <v>171</v>
      </c>
      <c r="CP41" s="429" t="s">
        <v>172</v>
      </c>
      <c r="CQ41" s="429" t="s">
        <v>172</v>
      </c>
      <c r="CR41" s="429" t="s">
        <v>172</v>
      </c>
      <c r="CS41" s="430" t="s">
        <v>172</v>
      </c>
      <c r="CT41" s="431">
        <f>CT37</f>
        <v>0</v>
      </c>
      <c r="CU41" s="53"/>
      <c r="CX41" s="49" t="s">
        <v>171</v>
      </c>
      <c r="CY41" s="50" t="s">
        <v>172</v>
      </c>
      <c r="CZ41" s="50" t="s">
        <v>172</v>
      </c>
      <c r="DA41" s="50" t="s">
        <v>172</v>
      </c>
      <c r="DB41" s="51" t="s">
        <v>172</v>
      </c>
      <c r="DC41" s="52">
        <f>DC37</f>
        <v>0</v>
      </c>
      <c r="DD41" s="53"/>
      <c r="DG41" s="49" t="s">
        <v>171</v>
      </c>
      <c r="DH41" s="50" t="s">
        <v>172</v>
      </c>
      <c r="DI41" s="142" t="s">
        <v>172</v>
      </c>
      <c r="DJ41" s="50" t="s">
        <v>172</v>
      </c>
      <c r="DK41" s="143" t="s">
        <v>172</v>
      </c>
      <c r="DL41" s="144">
        <f>DL37</f>
        <v>22172.799999999996</v>
      </c>
      <c r="DM41" s="53"/>
      <c r="DP41" s="49" t="s">
        <v>171</v>
      </c>
      <c r="DQ41" s="50" t="s">
        <v>172</v>
      </c>
      <c r="DR41" s="50" t="s">
        <v>172</v>
      </c>
      <c r="DS41" s="50" t="s">
        <v>172</v>
      </c>
      <c r="DT41" s="51" t="s">
        <v>172</v>
      </c>
      <c r="DU41" s="52">
        <f>DU37</f>
        <v>0</v>
      </c>
      <c r="DV41" s="53"/>
      <c r="DY41" s="49" t="s">
        <v>171</v>
      </c>
      <c r="DZ41" s="50" t="s">
        <v>172</v>
      </c>
      <c r="EA41" s="50" t="s">
        <v>172</v>
      </c>
      <c r="EB41" s="50" t="s">
        <v>172</v>
      </c>
      <c r="EC41" s="51" t="s">
        <v>172</v>
      </c>
      <c r="ED41" s="52">
        <f>ED37</f>
        <v>0</v>
      </c>
      <c r="EE41" s="53"/>
      <c r="EH41" s="49" t="s">
        <v>171</v>
      </c>
      <c r="EI41" s="50" t="s">
        <v>172</v>
      </c>
      <c r="EJ41" s="50" t="s">
        <v>172</v>
      </c>
      <c r="EK41" s="50" t="s">
        <v>172</v>
      </c>
      <c r="EL41" s="143" t="s">
        <v>172</v>
      </c>
      <c r="EM41" s="144">
        <f>EM37</f>
        <v>0</v>
      </c>
      <c r="EN41" s="53"/>
      <c r="EQ41" s="49" t="s">
        <v>171</v>
      </c>
      <c r="ER41" s="50" t="s">
        <v>172</v>
      </c>
      <c r="ES41" s="50" t="s">
        <v>172</v>
      </c>
      <c r="ET41" s="50" t="s">
        <v>172</v>
      </c>
      <c r="EU41" s="51" t="s">
        <v>172</v>
      </c>
      <c r="EV41" s="52">
        <f>EV37</f>
        <v>0</v>
      </c>
      <c r="EW41" s="53"/>
      <c r="EZ41" s="49" t="s">
        <v>171</v>
      </c>
      <c r="FA41" s="50" t="s">
        <v>172</v>
      </c>
      <c r="FB41" s="50" t="s">
        <v>172</v>
      </c>
      <c r="FC41" s="50" t="s">
        <v>172</v>
      </c>
      <c r="FD41" s="143" t="s">
        <v>172</v>
      </c>
      <c r="FE41" s="144">
        <f>FE37</f>
        <v>0</v>
      </c>
      <c r="FF41" s="53"/>
      <c r="FI41" s="49" t="s">
        <v>171</v>
      </c>
      <c r="FJ41" s="50" t="s">
        <v>172</v>
      </c>
      <c r="FK41" s="50" t="s">
        <v>172</v>
      </c>
      <c r="FL41" s="50" t="s">
        <v>172</v>
      </c>
      <c r="FM41" s="143" t="s">
        <v>172</v>
      </c>
      <c r="FN41" s="144">
        <f>FN37</f>
        <v>0</v>
      </c>
      <c r="FO41" s="53"/>
      <c r="FR41" s="49" t="s">
        <v>171</v>
      </c>
      <c r="FS41" s="429" t="s">
        <v>172</v>
      </c>
      <c r="FT41" s="429" t="s">
        <v>172</v>
      </c>
      <c r="FU41" s="429" t="s">
        <v>172</v>
      </c>
      <c r="FV41" s="420" t="s">
        <v>172</v>
      </c>
      <c r="FW41" s="421">
        <f>FW37</f>
        <v>3540</v>
      </c>
      <c r="FX41" s="459">
        <f>FW41/20</f>
        <v>177</v>
      </c>
      <c r="FY41" s="460" t="s">
        <v>173</v>
      </c>
      <c r="GA41" s="49" t="s">
        <v>171</v>
      </c>
      <c r="GB41" s="429" t="s">
        <v>172</v>
      </c>
      <c r="GC41" s="429" t="s">
        <v>172</v>
      </c>
      <c r="GD41" s="429" t="s">
        <v>172</v>
      </c>
      <c r="GE41" s="420" t="s">
        <v>172</v>
      </c>
      <c r="GF41" s="421">
        <f>GF37</f>
        <v>3960</v>
      </c>
      <c r="GG41" s="461">
        <f>GF41/20</f>
        <v>198</v>
      </c>
      <c r="GH41" s="460" t="s">
        <v>173</v>
      </c>
      <c r="GI41" s="22"/>
      <c r="GJ41" s="49" t="s">
        <v>171</v>
      </c>
      <c r="GK41" s="429" t="s">
        <v>172</v>
      </c>
      <c r="GL41" s="429" t="s">
        <v>172</v>
      </c>
      <c r="GM41" s="429" t="s">
        <v>172</v>
      </c>
      <c r="GN41" s="430" t="s">
        <v>172</v>
      </c>
      <c r="GO41" s="431">
        <f>GO37</f>
        <v>3240</v>
      </c>
      <c r="GP41" s="53"/>
      <c r="GS41" s="49" t="s">
        <v>171</v>
      </c>
      <c r="GT41" s="50" t="s">
        <v>172</v>
      </c>
      <c r="GU41" s="50" t="s">
        <v>172</v>
      </c>
      <c r="GV41" s="50" t="s">
        <v>172</v>
      </c>
      <c r="GW41" s="143" t="s">
        <v>172</v>
      </c>
      <c r="GX41" s="144">
        <f>GX37</f>
        <v>0</v>
      </c>
      <c r="GY41" s="53"/>
      <c r="HB41" s="49" t="s">
        <v>171</v>
      </c>
      <c r="HC41" s="50" t="s">
        <v>172</v>
      </c>
      <c r="HD41" s="50" t="s">
        <v>172</v>
      </c>
      <c r="HE41" s="50" t="s">
        <v>172</v>
      </c>
      <c r="HF41" s="51" t="s">
        <v>172</v>
      </c>
      <c r="HG41" s="52">
        <f>HG37</f>
        <v>0</v>
      </c>
      <c r="HH41" s="53"/>
      <c r="HK41" s="49" t="s">
        <v>171</v>
      </c>
      <c r="HL41" s="50" t="s">
        <v>172</v>
      </c>
      <c r="HM41" s="50" t="s">
        <v>172</v>
      </c>
      <c r="HN41" s="50" t="s">
        <v>172</v>
      </c>
      <c r="HO41" s="143" t="s">
        <v>172</v>
      </c>
      <c r="HP41" s="144">
        <f>HP37</f>
        <v>0</v>
      </c>
      <c r="HQ41" s="53"/>
      <c r="HU41" s="49" t="s">
        <v>171</v>
      </c>
      <c r="HV41" s="50" t="s">
        <v>172</v>
      </c>
      <c r="HW41" s="142" t="s">
        <v>172</v>
      </c>
      <c r="HX41" s="50" t="s">
        <v>172</v>
      </c>
      <c r="HY41" s="143" t="s">
        <v>172</v>
      </c>
      <c r="HZ41" s="144">
        <f>HZ37</f>
        <v>5440</v>
      </c>
      <c r="IA41" s="459">
        <f>HZ41/20</f>
        <v>272</v>
      </c>
      <c r="IB41" s="460" t="s">
        <v>173</v>
      </c>
      <c r="ID41" s="49" t="s">
        <v>171</v>
      </c>
      <c r="IE41" s="50" t="s">
        <v>172</v>
      </c>
      <c r="IF41" s="142" t="s">
        <v>172</v>
      </c>
      <c r="IG41" s="50" t="s">
        <v>172</v>
      </c>
      <c r="IH41" s="143" t="s">
        <v>172</v>
      </c>
      <c r="II41" s="144">
        <f>II37</f>
        <v>5100</v>
      </c>
      <c r="IJ41" s="53"/>
      <c r="IM41" s="49" t="s">
        <v>171</v>
      </c>
      <c r="IN41" s="50" t="s">
        <v>172</v>
      </c>
      <c r="IO41" s="142" t="s">
        <v>172</v>
      </c>
      <c r="IP41" s="50" t="s">
        <v>172</v>
      </c>
      <c r="IQ41" s="143" t="s">
        <v>172</v>
      </c>
      <c r="IR41" s="144">
        <f>IR37</f>
        <v>16240</v>
      </c>
      <c r="IS41" s="461">
        <f>IR41/20</f>
        <v>812</v>
      </c>
      <c r="IT41" s="6" t="s">
        <v>173</v>
      </c>
      <c r="IV41" s="49" t="s">
        <v>171</v>
      </c>
      <c r="IW41" s="50" t="s">
        <v>172</v>
      </c>
      <c r="IX41" s="142" t="s">
        <v>172</v>
      </c>
      <c r="IY41" s="142" t="s">
        <v>172</v>
      </c>
      <c r="IZ41" s="143" t="s">
        <v>172</v>
      </c>
      <c r="JA41" s="144">
        <f>JA37</f>
        <v>13120</v>
      </c>
      <c r="JB41" s="462">
        <f>JA41/20</f>
        <v>656</v>
      </c>
      <c r="JC41" s="6" t="s">
        <v>173</v>
      </c>
      <c r="JE41" s="49" t="s">
        <v>171</v>
      </c>
      <c r="JF41" s="50" t="s">
        <v>172</v>
      </c>
      <c r="JG41" s="142" t="s">
        <v>172</v>
      </c>
      <c r="JH41" s="142" t="s">
        <v>172</v>
      </c>
      <c r="JI41" s="143" t="s">
        <v>172</v>
      </c>
      <c r="JJ41" s="144">
        <f>JJ37</f>
        <v>6800</v>
      </c>
      <c r="JK41" s="462">
        <f>JJ41/20</f>
        <v>340</v>
      </c>
      <c r="JL41" s="6" t="s">
        <v>173</v>
      </c>
      <c r="JN41" s="49" t="s">
        <v>171</v>
      </c>
      <c r="JO41" s="50" t="s">
        <v>172</v>
      </c>
      <c r="JP41" s="142" t="s">
        <v>172</v>
      </c>
      <c r="JQ41" s="142" t="s">
        <v>172</v>
      </c>
      <c r="JR41" s="143" t="s">
        <v>172</v>
      </c>
      <c r="JS41" s="144">
        <f>JS37</f>
        <v>5400</v>
      </c>
      <c r="JT41" s="53"/>
      <c r="JW41" s="49" t="s">
        <v>171</v>
      </c>
      <c r="JX41" s="50" t="s">
        <v>172</v>
      </c>
      <c r="JY41" s="142" t="s">
        <v>172</v>
      </c>
      <c r="JZ41" s="142" t="s">
        <v>172</v>
      </c>
      <c r="KA41" s="143" t="s">
        <v>172</v>
      </c>
      <c r="KB41" s="144">
        <f>KB37</f>
        <v>2260</v>
      </c>
      <c r="KC41" s="459">
        <f>KB41/20</f>
        <v>113</v>
      </c>
      <c r="KD41" s="460" t="s">
        <v>173</v>
      </c>
      <c r="KF41" s="49" t="s">
        <v>171</v>
      </c>
      <c r="KG41" s="50" t="s">
        <v>172</v>
      </c>
      <c r="KH41" s="142" t="s">
        <v>172</v>
      </c>
      <c r="KI41" s="50" t="s">
        <v>172</v>
      </c>
      <c r="KJ41" s="143" t="s">
        <v>172</v>
      </c>
      <c r="KK41" s="144">
        <f>KK37</f>
        <v>0</v>
      </c>
      <c r="KL41" s="459">
        <f>KK41/20</f>
        <v>0</v>
      </c>
      <c r="KM41" s="460" t="s">
        <v>173</v>
      </c>
      <c r="KO41" s="49" t="s">
        <v>171</v>
      </c>
      <c r="KP41" s="56"/>
      <c r="KQ41" s="142" t="s">
        <v>172</v>
      </c>
      <c r="KR41" s="50" t="s">
        <v>172</v>
      </c>
      <c r="KS41" s="143" t="s">
        <v>172</v>
      </c>
      <c r="KT41" s="144">
        <f>KT37</f>
        <v>0</v>
      </c>
      <c r="KU41" s="53"/>
      <c r="KW41" s="22"/>
      <c r="KX41" s="49" t="s">
        <v>171</v>
      </c>
      <c r="KY41" s="50" t="s">
        <v>172</v>
      </c>
      <c r="KZ41" s="142" t="s">
        <v>172</v>
      </c>
      <c r="LA41" s="50" t="s">
        <v>172</v>
      </c>
      <c r="LB41" s="143" t="s">
        <v>172</v>
      </c>
      <c r="LC41" s="144">
        <f>LC37</f>
        <v>0</v>
      </c>
      <c r="LD41" s="53"/>
      <c r="LG41" s="49" t="s">
        <v>171</v>
      </c>
      <c r="LH41" s="50" t="s">
        <v>172</v>
      </c>
      <c r="LI41" s="142" t="s">
        <v>172</v>
      </c>
      <c r="LJ41" s="56"/>
      <c r="LK41" s="143" t="s">
        <v>172</v>
      </c>
      <c r="LL41" s="144">
        <f>LL37</f>
        <v>0</v>
      </c>
      <c r="LM41" s="53"/>
      <c r="LP41" s="49" t="s">
        <v>171</v>
      </c>
      <c r="LQ41" s="50" t="s">
        <v>172</v>
      </c>
      <c r="LR41" s="142" t="s">
        <v>172</v>
      </c>
      <c r="LS41" s="50" t="s">
        <v>172</v>
      </c>
      <c r="LT41" s="143" t="s">
        <v>172</v>
      </c>
      <c r="LU41" s="144">
        <f>LU37</f>
        <v>0</v>
      </c>
      <c r="LV41" s="53"/>
      <c r="LY41" s="49" t="s">
        <v>171</v>
      </c>
      <c r="LZ41" s="50" t="s">
        <v>172</v>
      </c>
      <c r="MA41" s="142" t="s">
        <v>172</v>
      </c>
      <c r="MB41" s="142" t="s">
        <v>172</v>
      </c>
      <c r="MC41" s="143" t="s">
        <v>172</v>
      </c>
      <c r="MD41" s="144">
        <f>MD37</f>
        <v>0</v>
      </c>
      <c r="ME41" s="53"/>
      <c r="MH41" s="49" t="s">
        <v>171</v>
      </c>
      <c r="MI41" s="50" t="s">
        <v>172</v>
      </c>
      <c r="MJ41" s="142" t="s">
        <v>172</v>
      </c>
      <c r="MK41" s="142" t="s">
        <v>172</v>
      </c>
      <c r="ML41" s="143" t="s">
        <v>172</v>
      </c>
      <c r="MM41" s="144">
        <f>MM37</f>
        <v>0</v>
      </c>
      <c r="MN41" s="53"/>
      <c r="MQ41" s="49" t="s">
        <v>171</v>
      </c>
      <c r="MR41" s="50" t="s">
        <v>172</v>
      </c>
      <c r="MS41" s="142" t="s">
        <v>172</v>
      </c>
      <c r="MT41" s="142" t="s">
        <v>172</v>
      </c>
      <c r="MU41" s="143" t="s">
        <v>172</v>
      </c>
      <c r="MV41" s="144">
        <f>MV37</f>
        <v>1969</v>
      </c>
      <c r="MW41" s="53"/>
      <c r="MZ41" s="49" t="s">
        <v>171</v>
      </c>
      <c r="NA41" s="50" t="s">
        <v>172</v>
      </c>
      <c r="NB41" s="142" t="s">
        <v>172</v>
      </c>
      <c r="NC41" s="142" t="s">
        <v>172</v>
      </c>
      <c r="ND41" s="143" t="s">
        <v>172</v>
      </c>
      <c r="NE41" s="144">
        <f>NE37</f>
        <v>0</v>
      </c>
      <c r="NF41" s="53"/>
      <c r="NI41" s="49" t="s">
        <v>171</v>
      </c>
      <c r="NJ41" s="50" t="s">
        <v>172</v>
      </c>
      <c r="NK41" s="142" t="s">
        <v>172</v>
      </c>
      <c r="NL41" s="50" t="s">
        <v>172</v>
      </c>
      <c r="NM41" s="143" t="s">
        <v>172</v>
      </c>
      <c r="NN41" s="144">
        <f>NN37</f>
        <v>0</v>
      </c>
      <c r="NO41" s="53"/>
      <c r="NR41" s="49" t="s">
        <v>171</v>
      </c>
      <c r="NS41" s="50" t="s">
        <v>172</v>
      </c>
      <c r="NT41" s="142" t="s">
        <v>172</v>
      </c>
      <c r="NU41" s="50" t="s">
        <v>172</v>
      </c>
      <c r="NV41" s="143" t="s">
        <v>172</v>
      </c>
      <c r="NW41" s="144">
        <f>NW37</f>
        <v>0</v>
      </c>
      <c r="NX41" s="53"/>
      <c r="OA41" s="49" t="s">
        <v>171</v>
      </c>
      <c r="OB41" s="50" t="s">
        <v>172</v>
      </c>
      <c r="OC41" s="142" t="s">
        <v>172</v>
      </c>
      <c r="OD41" s="142" t="s">
        <v>172</v>
      </c>
      <c r="OE41" s="143" t="s">
        <v>172</v>
      </c>
      <c r="OF41" s="144">
        <f>OF37</f>
        <v>1680.5</v>
      </c>
      <c r="OG41" s="53"/>
      <c r="OJ41" s="49" t="s">
        <v>171</v>
      </c>
      <c r="OK41" s="50" t="s">
        <v>172</v>
      </c>
      <c r="OL41" s="142" t="s">
        <v>172</v>
      </c>
      <c r="OM41" s="142" t="s">
        <v>172</v>
      </c>
      <c r="ON41" s="143" t="s">
        <v>172</v>
      </c>
      <c r="OO41" s="144"/>
      <c r="OP41" s="53"/>
      <c r="OS41" s="49" t="s">
        <v>171</v>
      </c>
      <c r="OT41" s="50" t="s">
        <v>172</v>
      </c>
      <c r="OU41" s="142" t="s">
        <v>172</v>
      </c>
      <c r="OV41" s="142" t="s">
        <v>172</v>
      </c>
      <c r="OW41" s="143" t="s">
        <v>172</v>
      </c>
      <c r="OX41" s="144">
        <f>OX37</f>
        <v>0</v>
      </c>
      <c r="OY41" s="53"/>
      <c r="PB41" s="49" t="s">
        <v>171</v>
      </c>
      <c r="PC41" s="50" t="s">
        <v>172</v>
      </c>
      <c r="PD41" s="142" t="s">
        <v>172</v>
      </c>
      <c r="PE41" s="142" t="s">
        <v>172</v>
      </c>
      <c r="PF41" s="143" t="s">
        <v>172</v>
      </c>
      <c r="PG41" s="144">
        <f>PG37</f>
        <v>0</v>
      </c>
      <c r="PH41" s="53"/>
      <c r="PK41" s="49" t="s">
        <v>171</v>
      </c>
      <c r="PL41" s="50" t="s">
        <v>172</v>
      </c>
      <c r="PM41" s="142" t="s">
        <v>172</v>
      </c>
      <c r="PN41" s="142" t="s">
        <v>172</v>
      </c>
      <c r="PO41" s="143" t="s">
        <v>172</v>
      </c>
      <c r="PP41" s="144">
        <f>PP37</f>
        <v>160</v>
      </c>
      <c r="PQ41" s="53"/>
      <c r="PT41" s="49" t="s">
        <v>171</v>
      </c>
      <c r="PU41" s="50" t="s">
        <v>172</v>
      </c>
      <c r="PV41" s="142" t="s">
        <v>172</v>
      </c>
      <c r="PW41" s="142" t="s">
        <v>172</v>
      </c>
      <c r="PX41" s="143" t="s">
        <v>172</v>
      </c>
      <c r="PY41" s="144">
        <f>PY37</f>
        <v>13.960000000000036</v>
      </c>
      <c r="PZ41" s="53"/>
      <c r="QC41" s="49" t="s">
        <v>171</v>
      </c>
      <c r="QD41" s="50" t="s">
        <v>172</v>
      </c>
      <c r="QE41" s="142" t="s">
        <v>172</v>
      </c>
      <c r="QF41" s="142" t="s">
        <v>172</v>
      </c>
      <c r="QG41" s="143" t="s">
        <v>172</v>
      </c>
      <c r="QH41" s="144">
        <f>QH37</f>
        <v>0</v>
      </c>
      <c r="QI41" s="53"/>
      <c r="QL41" s="49" t="s">
        <v>171</v>
      </c>
      <c r="QM41" s="50" t="s">
        <v>172</v>
      </c>
      <c r="QN41" s="142" t="s">
        <v>172</v>
      </c>
      <c r="QO41" s="142" t="s">
        <v>172</v>
      </c>
      <c r="QP41" s="143" t="s">
        <v>172</v>
      </c>
      <c r="QQ41" s="144">
        <f>QQ37</f>
        <v>0</v>
      </c>
      <c r="QR41" s="53"/>
      <c r="QU41" s="49" t="s">
        <v>171</v>
      </c>
      <c r="QV41" s="50" t="s">
        <v>172</v>
      </c>
      <c r="QW41" s="142" t="s">
        <v>172</v>
      </c>
      <c r="QX41" s="142" t="s">
        <v>172</v>
      </c>
      <c r="QY41" s="143" t="s">
        <v>172</v>
      </c>
      <c r="QZ41" s="144">
        <f>QZ37</f>
        <v>207.6</v>
      </c>
      <c r="RA41" s="53"/>
      <c r="RD41" s="49" t="s">
        <v>171</v>
      </c>
      <c r="RE41" s="50" t="s">
        <v>172</v>
      </c>
      <c r="RF41" s="142" t="s">
        <v>172</v>
      </c>
      <c r="RG41" s="142" t="s">
        <v>172</v>
      </c>
      <c r="RH41" s="143" t="s">
        <v>172</v>
      </c>
      <c r="RI41" s="144">
        <f>RI37</f>
        <v>201.8</v>
      </c>
      <c r="RJ41" s="53"/>
      <c r="RM41" s="49" t="s">
        <v>171</v>
      </c>
      <c r="RN41" s="50" t="s">
        <v>172</v>
      </c>
      <c r="RO41" s="142" t="s">
        <v>172</v>
      </c>
      <c r="RP41" s="142" t="s">
        <v>172</v>
      </c>
      <c r="RQ41" s="143" t="s">
        <v>172</v>
      </c>
      <c r="RR41" s="144">
        <f>RR37</f>
        <v>22.720000000000002</v>
      </c>
      <c r="RS41" s="53"/>
      <c r="RV41" s="49" t="s">
        <v>171</v>
      </c>
      <c r="RW41" s="50" t="s">
        <v>172</v>
      </c>
      <c r="RX41" s="142" t="s">
        <v>172</v>
      </c>
      <c r="RY41" s="142" t="s">
        <v>172</v>
      </c>
      <c r="RZ41" s="143" t="s">
        <v>172</v>
      </c>
      <c r="SA41" s="144">
        <f>SA37</f>
        <v>0</v>
      </c>
      <c r="SB41" s="53"/>
      <c r="SE41" s="49" t="s">
        <v>171</v>
      </c>
      <c r="SF41" s="50" t="s">
        <v>172</v>
      </c>
      <c r="SG41" s="142" t="s">
        <v>172</v>
      </c>
      <c r="SH41" s="142" t="s">
        <v>172</v>
      </c>
      <c r="SI41" s="143" t="s">
        <v>172</v>
      </c>
      <c r="SJ41" s="144">
        <f>SJ37</f>
        <v>0</v>
      </c>
      <c r="SK41" s="53"/>
      <c r="SN41" s="49" t="s">
        <v>171</v>
      </c>
      <c r="SO41" s="50" t="s">
        <v>172</v>
      </c>
      <c r="SP41" s="142" t="s">
        <v>172</v>
      </c>
      <c r="SQ41" s="142" t="s">
        <v>172</v>
      </c>
      <c r="SR41" s="143" t="s">
        <v>172</v>
      </c>
      <c r="SS41" s="144">
        <f>SS37</f>
        <v>0</v>
      </c>
      <c r="ST41" s="53"/>
      <c r="SW41" s="49" t="s">
        <v>171</v>
      </c>
      <c r="SX41" s="50" t="s">
        <v>172</v>
      </c>
      <c r="SY41" s="142" t="s">
        <v>172</v>
      </c>
      <c r="SZ41" s="142" t="s">
        <v>172</v>
      </c>
      <c r="TA41" s="143" t="s">
        <v>172</v>
      </c>
      <c r="TB41" s="144">
        <f>TB37</f>
        <v>270</v>
      </c>
      <c r="TC41" s="53"/>
      <c r="TF41" s="49" t="s">
        <v>171</v>
      </c>
      <c r="TG41" s="50" t="s">
        <v>172</v>
      </c>
      <c r="TH41" s="142" t="s">
        <v>172</v>
      </c>
      <c r="TI41" s="142" t="s">
        <v>172</v>
      </c>
      <c r="TJ41" s="143" t="s">
        <v>172</v>
      </c>
      <c r="TK41" s="144">
        <f>TK37</f>
        <v>0</v>
      </c>
      <c r="TL41" s="53"/>
      <c r="TO41" s="49" t="s">
        <v>171</v>
      </c>
      <c r="TP41" s="50" t="s">
        <v>172</v>
      </c>
      <c r="TQ41" s="142" t="s">
        <v>172</v>
      </c>
      <c r="TR41" s="142" t="s">
        <v>172</v>
      </c>
      <c r="TS41" s="143" t="s">
        <v>172</v>
      </c>
      <c r="TT41" s="144">
        <f>TT37</f>
        <v>0</v>
      </c>
      <c r="TU41" s="53"/>
      <c r="TX41" s="49" t="s">
        <v>171</v>
      </c>
      <c r="TY41" s="50" t="s">
        <v>172</v>
      </c>
      <c r="TZ41" s="142" t="s">
        <v>172</v>
      </c>
      <c r="UA41" s="142" t="s">
        <v>172</v>
      </c>
      <c r="UB41" s="143" t="s">
        <v>172</v>
      </c>
      <c r="UC41" s="144">
        <f>UC37</f>
        <v>0</v>
      </c>
      <c r="UD41" s="53"/>
      <c r="UG41" s="49" t="s">
        <v>171</v>
      </c>
      <c r="UH41" s="50" t="s">
        <v>172</v>
      </c>
      <c r="UI41" s="142" t="s">
        <v>172</v>
      </c>
      <c r="UJ41" s="142" t="s">
        <v>172</v>
      </c>
      <c r="UK41" s="143" t="s">
        <v>172</v>
      </c>
      <c r="UL41" s="144">
        <f>UL37</f>
        <v>0</v>
      </c>
      <c r="UM41" s="53"/>
      <c r="UP41" s="49" t="s">
        <v>171</v>
      </c>
      <c r="UQ41" s="50" t="s">
        <v>172</v>
      </c>
      <c r="UR41" s="142" t="s">
        <v>172</v>
      </c>
      <c r="US41" s="142" t="s">
        <v>172</v>
      </c>
      <c r="UT41" s="143" t="s">
        <v>172</v>
      </c>
      <c r="UU41" s="144">
        <f>UU37</f>
        <v>0</v>
      </c>
      <c r="UV41" s="53"/>
      <c r="UY41" s="49" t="s">
        <v>171</v>
      </c>
      <c r="UZ41" s="50" t="s">
        <v>172</v>
      </c>
      <c r="VA41" s="142" t="s">
        <v>172</v>
      </c>
      <c r="VB41" s="142" t="s">
        <v>172</v>
      </c>
      <c r="VC41" s="143" t="s">
        <v>172</v>
      </c>
      <c r="VD41" s="144">
        <f>VD37</f>
        <v>41.600000000000023</v>
      </c>
      <c r="VE41" s="53"/>
      <c r="VH41" s="49" t="s">
        <v>171</v>
      </c>
      <c r="VI41" s="50" t="s">
        <v>172</v>
      </c>
      <c r="VJ41" s="142" t="s">
        <v>172</v>
      </c>
      <c r="VK41" s="142" t="s">
        <v>172</v>
      </c>
      <c r="VL41" s="143" t="s">
        <v>172</v>
      </c>
      <c r="VM41" s="144">
        <f>VM37</f>
        <v>0</v>
      </c>
      <c r="VN41" s="53"/>
      <c r="VQ41" s="49" t="s">
        <v>171</v>
      </c>
      <c r="VR41" s="50" t="s">
        <v>172</v>
      </c>
      <c r="VS41" s="142" t="s">
        <v>172</v>
      </c>
      <c r="VT41" s="142" t="s">
        <v>172</v>
      </c>
      <c r="VU41" s="143" t="s">
        <v>172</v>
      </c>
      <c r="VV41" s="144">
        <f>VV37</f>
        <v>0</v>
      </c>
      <c r="VW41" s="53"/>
      <c r="VZ41" s="49" t="s">
        <v>171</v>
      </c>
      <c r="WA41" s="50" t="s">
        <v>172</v>
      </c>
      <c r="WB41" s="142" t="s">
        <v>172</v>
      </c>
      <c r="WC41" s="142" t="s">
        <v>172</v>
      </c>
      <c r="WD41" s="143" t="s">
        <v>172</v>
      </c>
      <c r="WE41" s="144">
        <f>WE37</f>
        <v>0</v>
      </c>
      <c r="WF41" s="53"/>
      <c r="WI41" s="49" t="s">
        <v>171</v>
      </c>
      <c r="WJ41" s="50" t="s">
        <v>172</v>
      </c>
      <c r="WK41" s="142" t="s">
        <v>172</v>
      </c>
      <c r="WL41" s="142" t="s">
        <v>172</v>
      </c>
      <c r="WM41" s="143" t="s">
        <v>172</v>
      </c>
      <c r="WN41" s="144">
        <f>WN37</f>
        <v>9609</v>
      </c>
      <c r="WO41" s="53"/>
      <c r="WR41" s="49" t="s">
        <v>171</v>
      </c>
      <c r="WS41" s="50" t="s">
        <v>172</v>
      </c>
      <c r="WT41" s="142" t="s">
        <v>172</v>
      </c>
      <c r="WU41" s="142" t="s">
        <v>172</v>
      </c>
      <c r="WV41" s="143" t="s">
        <v>172</v>
      </c>
      <c r="WW41" s="144">
        <f>WW37</f>
        <v>8149</v>
      </c>
      <c r="WX41" s="53"/>
      <c r="XA41" s="49" t="s">
        <v>171</v>
      </c>
      <c r="XB41" s="50" t="s">
        <v>172</v>
      </c>
      <c r="XC41" s="142" t="s">
        <v>172</v>
      </c>
      <c r="XD41" s="142" t="s">
        <v>172</v>
      </c>
      <c r="XE41" s="143" t="s">
        <v>172</v>
      </c>
      <c r="XF41" s="144">
        <f>XF37</f>
        <v>911</v>
      </c>
      <c r="XG41" s="53"/>
      <c r="XJ41" s="49" t="s">
        <v>171</v>
      </c>
      <c r="XK41" s="50" t="s">
        <v>172</v>
      </c>
      <c r="XL41" s="142" t="s">
        <v>172</v>
      </c>
      <c r="XM41" s="142" t="s">
        <v>172</v>
      </c>
      <c r="XN41" s="143" t="s">
        <v>172</v>
      </c>
      <c r="XO41" s="144">
        <f>XO37</f>
        <v>6240</v>
      </c>
      <c r="XP41" s="53"/>
      <c r="XS41" s="49" t="s">
        <v>171</v>
      </c>
      <c r="XT41" s="50" t="s">
        <v>172</v>
      </c>
      <c r="XU41" s="142" t="s">
        <v>172</v>
      </c>
      <c r="XV41" s="142" t="s">
        <v>172</v>
      </c>
      <c r="XW41" s="143" t="s">
        <v>172</v>
      </c>
      <c r="XX41" s="144">
        <f>XX37</f>
        <v>1901</v>
      </c>
      <c r="XY41" s="53"/>
      <c r="YB41" s="49" t="s">
        <v>171</v>
      </c>
      <c r="YC41" s="50" t="s">
        <v>172</v>
      </c>
      <c r="YD41" s="142" t="s">
        <v>172</v>
      </c>
      <c r="YE41" s="142" t="s">
        <v>172</v>
      </c>
      <c r="YF41" s="143" t="s">
        <v>172</v>
      </c>
      <c r="YG41" s="144">
        <f>YG37</f>
        <v>1885</v>
      </c>
      <c r="YH41" s="53"/>
      <c r="YK41" s="49" t="s">
        <v>171</v>
      </c>
      <c r="YL41" s="50" t="s">
        <v>172</v>
      </c>
      <c r="YM41" s="142" t="s">
        <v>172</v>
      </c>
      <c r="YN41" s="142" t="s">
        <v>172</v>
      </c>
      <c r="YO41" s="143" t="s">
        <v>172</v>
      </c>
      <c r="YP41" s="144">
        <f>YP37</f>
        <v>0</v>
      </c>
      <c r="YQ41" s="53"/>
      <c r="YT41" s="49" t="s">
        <v>171</v>
      </c>
      <c r="YU41" s="50" t="s">
        <v>172</v>
      </c>
      <c r="YV41" s="142" t="s">
        <v>172</v>
      </c>
      <c r="YW41" s="142" t="s">
        <v>172</v>
      </c>
      <c r="YX41" s="143" t="s">
        <v>172</v>
      </c>
      <c r="YY41" s="144">
        <f>YY37</f>
        <v>0</v>
      </c>
      <c r="YZ41" s="53"/>
      <c r="ZC41" s="49" t="s">
        <v>171</v>
      </c>
      <c r="ZD41" s="50" t="s">
        <v>172</v>
      </c>
      <c r="ZE41" s="142" t="s">
        <v>172</v>
      </c>
      <c r="ZF41" s="142" t="s">
        <v>172</v>
      </c>
      <c r="ZG41" s="143" t="s">
        <v>172</v>
      </c>
      <c r="ZH41" s="144">
        <f>ZH37</f>
        <v>0</v>
      </c>
      <c r="ZI41" s="53"/>
      <c r="ZL41" s="49" t="s">
        <v>171</v>
      </c>
      <c r="ZM41" s="50" t="s">
        <v>172</v>
      </c>
      <c r="ZN41" s="142" t="s">
        <v>172</v>
      </c>
      <c r="ZO41" s="142" t="s">
        <v>172</v>
      </c>
      <c r="ZP41" s="143" t="s">
        <v>172</v>
      </c>
      <c r="ZQ41" s="144">
        <f>ZQ37</f>
        <v>0</v>
      </c>
      <c r="ZR41" s="53"/>
      <c r="ZU41" s="49" t="s">
        <v>171</v>
      </c>
      <c r="ZV41" s="50" t="s">
        <v>172</v>
      </c>
      <c r="ZW41" s="142" t="s">
        <v>172</v>
      </c>
      <c r="ZX41" s="142" t="s">
        <v>172</v>
      </c>
      <c r="ZY41" s="143" t="s">
        <v>172</v>
      </c>
      <c r="ZZ41" s="144">
        <f>ZZ37</f>
        <v>0</v>
      </c>
      <c r="AAA41" s="53"/>
      <c r="AAD41" s="49" t="s">
        <v>171</v>
      </c>
      <c r="AAE41" s="50" t="s">
        <v>172</v>
      </c>
      <c r="AAF41" s="142" t="s">
        <v>172</v>
      </c>
      <c r="AAG41" s="142" t="s">
        <v>172</v>
      </c>
      <c r="AAH41" s="143" t="s">
        <v>172</v>
      </c>
      <c r="AAI41" s="144">
        <f>AAI37</f>
        <v>0</v>
      </c>
      <c r="AAJ41" s="53"/>
      <c r="AAM41" s="49" t="s">
        <v>171</v>
      </c>
      <c r="AAN41" s="50" t="s">
        <v>172</v>
      </c>
      <c r="AAO41" s="142" t="s">
        <v>172</v>
      </c>
      <c r="AAP41" s="142" t="s">
        <v>172</v>
      </c>
      <c r="AAQ41" s="143" t="s">
        <v>172</v>
      </c>
      <c r="AAR41" s="144">
        <f>AAR37</f>
        <v>0</v>
      </c>
      <c r="AAS41" s="53"/>
      <c r="AAV41" s="49" t="s">
        <v>171</v>
      </c>
      <c r="AAW41" s="50" t="s">
        <v>172</v>
      </c>
      <c r="AAX41" s="142" t="s">
        <v>172</v>
      </c>
      <c r="AAY41" s="142" t="s">
        <v>172</v>
      </c>
      <c r="AAZ41" s="143" t="s">
        <v>172</v>
      </c>
      <c r="ABA41" s="144">
        <f>ABA37</f>
        <v>0</v>
      </c>
      <c r="ABB41" s="53"/>
      <c r="ABE41" s="49" t="s">
        <v>171</v>
      </c>
      <c r="ABF41" s="50" t="s">
        <v>172</v>
      </c>
      <c r="ABG41" s="142" t="s">
        <v>172</v>
      </c>
      <c r="ABH41" s="142" t="s">
        <v>172</v>
      </c>
      <c r="ABI41" s="143" t="s">
        <v>172</v>
      </c>
      <c r="ABJ41" s="144">
        <f>ABJ37</f>
        <v>0</v>
      </c>
      <c r="ABK41" s="53"/>
    </row>
    <row r="42" spans="1:739" s="54" customFormat="1" ht="15" customHeight="1" outlineLevel="1">
      <c r="B42" s="478"/>
      <c r="C42" s="55">
        <v>46054</v>
      </c>
      <c r="D42" s="422"/>
      <c r="E42" s="424">
        <f>SUMPRODUCT(PRODUCE!$B55:$DY55,PRODUCE!$EB$7:$IY$7)</f>
        <v>0</v>
      </c>
      <c r="F42" s="422"/>
      <c r="G42" s="423">
        <f>E42-F42</f>
        <v>0</v>
      </c>
      <c r="H42" s="424">
        <f t="shared" ref="H42:H70" si="245">H41+D42-F42</f>
        <v>241788.19999999998</v>
      </c>
      <c r="I42" s="289"/>
      <c r="L42" s="55">
        <f t="shared" ref="L42:L69" si="246">C42</f>
        <v>46054</v>
      </c>
      <c r="M42" s="422"/>
      <c r="N42" s="439">
        <f>SUMPRODUCT(PRODUCE!$B55:$DY55,PRODUCE!$EB$8:$IY$8)</f>
        <v>0</v>
      </c>
      <c r="O42" s="422"/>
      <c r="P42" s="438">
        <f>N42-O42</f>
        <v>0</v>
      </c>
      <c r="Q42" s="439">
        <f>Q41+M42-O42</f>
        <v>48748.2</v>
      </c>
      <c r="R42" s="56"/>
      <c r="U42" s="55">
        <f>L42</f>
        <v>46054</v>
      </c>
      <c r="V42" s="422"/>
      <c r="W42" s="441">
        <f>SUMPRODUCT(PRODUCE!$B55:$DY55,PRODUCE!$EB$9:$IY$9)</f>
        <v>0</v>
      </c>
      <c r="X42" s="422"/>
      <c r="Y42" s="440">
        <f>W42-X42</f>
        <v>0</v>
      </c>
      <c r="Z42" s="441">
        <f>Z41+V42-X42</f>
        <v>49884.999999999985</v>
      </c>
      <c r="AA42" s="56"/>
      <c r="AD42" s="55">
        <f>U42</f>
        <v>46054</v>
      </c>
      <c r="AE42" s="422"/>
      <c r="AF42" s="443">
        <f>SUMPRODUCT(PRODUCE!$B55:$DY55,PRODUCE!$EB$10:$IY$10)</f>
        <v>0</v>
      </c>
      <c r="AG42" s="422"/>
      <c r="AH42" s="442">
        <f>AF42-AG42</f>
        <v>0</v>
      </c>
      <c r="AI42" s="442">
        <f>AI41+AE42-AG42</f>
        <v>52772.200000000012</v>
      </c>
      <c r="AJ42" s="56"/>
      <c r="AM42" s="55">
        <f>AD42</f>
        <v>46054</v>
      </c>
      <c r="AN42" s="422"/>
      <c r="AO42" s="445">
        <f>SUMPRODUCT(PRODUCE!$B55:$DY55,PRODUCE!$EB$11:$IY$11)</f>
        <v>0</v>
      </c>
      <c r="AP42" s="422"/>
      <c r="AQ42" s="444">
        <f>AO42-AP42</f>
        <v>0</v>
      </c>
      <c r="AR42" s="444">
        <f>AR41+AN42-AP42</f>
        <v>0</v>
      </c>
      <c r="AS42" s="56"/>
      <c r="AV42" s="55">
        <f>AM42</f>
        <v>46054</v>
      </c>
      <c r="AW42" s="422"/>
      <c r="AX42" s="447">
        <f>SUMPRODUCT(PRODUCE!$B55:$DY55,PRODUCE!$EB$12:$IY$12)</f>
        <v>0</v>
      </c>
      <c r="AY42" s="422"/>
      <c r="AZ42" s="446">
        <f>AX42-AY42</f>
        <v>0</v>
      </c>
      <c r="BA42" s="446">
        <f>BA41+AW42-AY42</f>
        <v>34316.69999999999</v>
      </c>
      <c r="BB42" s="56"/>
      <c r="BE42" s="55">
        <f>AV42</f>
        <v>46054</v>
      </c>
      <c r="BF42" s="422"/>
      <c r="BG42" s="449">
        <f>SUMPRODUCT(PRODUCE!$B55:$DY55,PRODUCE!$EB$13:$IY$13)</f>
        <v>0</v>
      </c>
      <c r="BH42" s="422"/>
      <c r="BI42" s="448">
        <f>BG42-BH42</f>
        <v>0</v>
      </c>
      <c r="BJ42" s="448">
        <f>BJ41+BF42-BH42</f>
        <v>21924.100000000006</v>
      </c>
      <c r="BK42" s="56"/>
      <c r="BN42" s="55">
        <f>BE42</f>
        <v>46054</v>
      </c>
      <c r="BO42" s="422"/>
      <c r="BP42" s="451">
        <f>SUMPRODUCT(PRODUCE!$B55:$DY55,PRODUCE!$EB$14:$IY$14)</f>
        <v>0</v>
      </c>
      <c r="BQ42" s="422"/>
      <c r="BR42" s="450">
        <f>BP42-BQ42</f>
        <v>0</v>
      </c>
      <c r="BS42" s="450">
        <f>BS41+BO42-BQ42</f>
        <v>0</v>
      </c>
      <c r="BT42" s="56"/>
      <c r="BW42" s="55">
        <f>BN42</f>
        <v>46054</v>
      </c>
      <c r="BX42" s="56"/>
      <c r="BY42" s="81">
        <f>SUMPRODUCT(PRODUCE!$B55:$DY55,PRODUCE!$EB$15:$IY$15)</f>
        <v>0</v>
      </c>
      <c r="BZ42" s="56"/>
      <c r="CA42" s="65">
        <f>BY42-BZ42</f>
        <v>0</v>
      </c>
      <c r="CB42" s="65">
        <f>CB41+BX42-BZ42</f>
        <v>3284.5</v>
      </c>
      <c r="CC42" s="56"/>
      <c r="CF42" s="55">
        <f>BW42</f>
        <v>46054</v>
      </c>
      <c r="CG42" s="56"/>
      <c r="CH42" s="82">
        <f>SUMPRODUCT(PRODUCE!$B55:$DY55,PRODUCE!$EB$16:$IY$16)</f>
        <v>0</v>
      </c>
      <c r="CI42" s="56"/>
      <c r="CJ42" s="66">
        <f>CH42-CI42</f>
        <v>0</v>
      </c>
      <c r="CK42" s="66">
        <f>CK41+CG42-CI42</f>
        <v>0</v>
      </c>
      <c r="CL42" s="56"/>
      <c r="CO42" s="55">
        <f>CF42</f>
        <v>46054</v>
      </c>
      <c r="CP42" s="422"/>
      <c r="CQ42" s="471">
        <f>SUMPRODUCT(PRODUCE!$B55:$DY55,PRODUCE!$EB$17:$IY$17)</f>
        <v>0</v>
      </c>
      <c r="CR42" s="422"/>
      <c r="CS42" s="470">
        <f>CQ42-CR42</f>
        <v>0</v>
      </c>
      <c r="CT42" s="470">
        <f>CT41+CP42-CR42</f>
        <v>0</v>
      </c>
      <c r="CU42" s="56"/>
      <c r="CX42" s="55">
        <f>CO42</f>
        <v>46054</v>
      </c>
      <c r="CY42" s="56"/>
      <c r="CZ42" s="136">
        <f>SUMPRODUCT(PRODUCE!$B55:$DY55,PRODUCE!$EB$18:$IY$18)</f>
        <v>0</v>
      </c>
      <c r="DA42" s="56"/>
      <c r="DB42" s="133">
        <f>CZ42-DA42</f>
        <v>0</v>
      </c>
      <c r="DC42" s="133">
        <f>DC41+CY42-DA42</f>
        <v>0</v>
      </c>
      <c r="DD42" s="56"/>
      <c r="DG42" s="55">
        <f>CX42</f>
        <v>46054</v>
      </c>
      <c r="DH42" s="56"/>
      <c r="DI42" s="150">
        <f>SUMPRODUCT(PRODUCE!$B55:$DY55,PRODUCE!$EB$19:$IY$19)</f>
        <v>0</v>
      </c>
      <c r="DJ42" s="56"/>
      <c r="DK42" s="147">
        <f>DI42-DJ42</f>
        <v>0</v>
      </c>
      <c r="DL42" s="147">
        <f>DL41+DH42-DJ42</f>
        <v>22172.799999999996</v>
      </c>
      <c r="DM42" s="56"/>
      <c r="DP42" s="55">
        <f>DG42</f>
        <v>46054</v>
      </c>
      <c r="DQ42" s="56"/>
      <c r="DR42" s="58">
        <f>SUMPRODUCT(PRODUCE!$B55:$DY55,PRODUCE!$EB$20:$IY$20)</f>
        <v>0</v>
      </c>
      <c r="DS42" s="56"/>
      <c r="DT42" s="57">
        <f>DR42-DS42</f>
        <v>0</v>
      </c>
      <c r="DU42" s="57">
        <f>DU41+DQ42-DS42</f>
        <v>0</v>
      </c>
      <c r="DV42" s="56"/>
      <c r="DY42" s="55">
        <f>DP42</f>
        <v>46054</v>
      </c>
      <c r="DZ42" s="56"/>
      <c r="EA42" s="159">
        <f>SUMPRODUCT(PRODUCE!$B55:$DY55,PRODUCE!$EB$21:$IY$21)</f>
        <v>0</v>
      </c>
      <c r="EB42" s="56"/>
      <c r="EC42" s="157">
        <f>EA42-EB42</f>
        <v>0</v>
      </c>
      <c r="ED42" s="157">
        <f>ED41+DZ42-EB42</f>
        <v>0</v>
      </c>
      <c r="EE42" s="56"/>
      <c r="EH42" s="55">
        <f>DY42</f>
        <v>46054</v>
      </c>
      <c r="EI42" s="56"/>
      <c r="EJ42" s="164">
        <f>SUMPRODUCT(PRODUCE!$B55:$DY55,PRODUCE!$EB$22:$IY$22)</f>
        <v>0</v>
      </c>
      <c r="EK42" s="56"/>
      <c r="EL42" s="162">
        <f>EJ42-EK42</f>
        <v>0</v>
      </c>
      <c r="EM42" s="162">
        <f>EM41+EI42-EK42</f>
        <v>0</v>
      </c>
      <c r="EN42" s="56"/>
      <c r="EQ42" s="55">
        <f>EH42</f>
        <v>46054</v>
      </c>
      <c r="ER42" s="56"/>
      <c r="ES42" s="171">
        <f>SUMPRODUCT(PRODUCE!$B55:$DY55,PRODUCE!$EB$23:$IY$23)</f>
        <v>0</v>
      </c>
      <c r="ET42" s="56"/>
      <c r="EU42" s="135">
        <f>ES42-ET42</f>
        <v>0</v>
      </c>
      <c r="EV42" s="135">
        <f>EV41+ER42-ET42</f>
        <v>0</v>
      </c>
      <c r="EW42" s="56"/>
      <c r="EZ42" s="55">
        <f>EQ42</f>
        <v>46054</v>
      </c>
      <c r="FA42" s="56"/>
      <c r="FB42" s="178">
        <f>SUMPRODUCT(PRODUCE!$B55:$DY55,PRODUCE!$EB$24:$IY$24)</f>
        <v>0</v>
      </c>
      <c r="FC42" s="56"/>
      <c r="FD42" s="175">
        <f>FB42-FC42</f>
        <v>0</v>
      </c>
      <c r="FE42" s="175">
        <f>FE41+FA42-FC42</f>
        <v>0</v>
      </c>
      <c r="FF42" s="56"/>
      <c r="FI42" s="55">
        <f>EZ42</f>
        <v>46054</v>
      </c>
      <c r="FJ42" s="56"/>
      <c r="FK42" s="184">
        <f>SUMPRODUCT(PRODUCE!$B55:$DY55,PRODUCE!$EB$25:$IY$25)</f>
        <v>0</v>
      </c>
      <c r="FL42" s="56"/>
      <c r="FM42" s="183">
        <f>FK42-FL42</f>
        <v>0</v>
      </c>
      <c r="FN42" s="183">
        <f>FN41+FJ42-FL42</f>
        <v>0</v>
      </c>
      <c r="FO42" s="56"/>
      <c r="FR42" s="55">
        <f>FI42</f>
        <v>46054</v>
      </c>
      <c r="FS42" s="422"/>
      <c r="FT42" s="453">
        <f>SUMPRODUCT(PRODUCE!$B55:$DY55,PRODUCE!$EB$26:$IY$26)</f>
        <v>0</v>
      </c>
      <c r="FU42" s="422"/>
      <c r="FV42" s="452">
        <f>FT42-FU42</f>
        <v>0</v>
      </c>
      <c r="FW42" s="452">
        <f>FW41+FS42-FU42</f>
        <v>3540</v>
      </c>
      <c r="FX42" s="56"/>
      <c r="GA42" s="55">
        <f>FR42</f>
        <v>46054</v>
      </c>
      <c r="GB42" s="422"/>
      <c r="GC42" s="455">
        <f>SUMPRODUCT(PRODUCE!$B55:$DY55,PRODUCE!$EB$27:$IY$27)</f>
        <v>0</v>
      </c>
      <c r="GD42" s="422"/>
      <c r="GE42" s="454">
        <f>GC42-GD42</f>
        <v>0</v>
      </c>
      <c r="GF42" s="454">
        <f>GF41+GB42-GD42</f>
        <v>3960</v>
      </c>
      <c r="GG42" s="56"/>
      <c r="GI42" s="23"/>
      <c r="GJ42" s="55">
        <f>GA42</f>
        <v>46054</v>
      </c>
      <c r="GK42" s="422"/>
      <c r="GL42" s="457">
        <f>SUMPRODUCT(PRODUCE!$B55:$DY55,PRODUCE!$EB$28:$IY$28)</f>
        <v>0</v>
      </c>
      <c r="GM42" s="422"/>
      <c r="GN42" s="456">
        <f>GL42-GM42</f>
        <v>0</v>
      </c>
      <c r="GO42" s="456">
        <f>GO41+GK42-GM42</f>
        <v>3240</v>
      </c>
      <c r="GP42" s="56"/>
      <c r="GS42" s="55">
        <f>GJ42</f>
        <v>46054</v>
      </c>
      <c r="GT42" s="56"/>
      <c r="GU42" s="196">
        <f>SUMPRODUCT(PRODUCE!$B55:$DY55,PRODUCE!$EB$29:$IY$29)</f>
        <v>0</v>
      </c>
      <c r="GV42" s="56"/>
      <c r="GW42" s="195">
        <f>GU42-GV42</f>
        <v>0</v>
      </c>
      <c r="GX42" s="195">
        <f>GX41+GT42-GV42</f>
        <v>0</v>
      </c>
      <c r="GY42" s="56"/>
      <c r="HB42" s="55">
        <f>GS42</f>
        <v>46054</v>
      </c>
      <c r="HC42" s="56"/>
      <c r="HD42" s="192">
        <f>SUMPRODUCT(PRODUCE!$B55:$DY55,PRODUCE!$EB$30:$IY$30)</f>
        <v>0</v>
      </c>
      <c r="HE42" s="56"/>
      <c r="HF42" s="191">
        <f>HD42-HE42</f>
        <v>0</v>
      </c>
      <c r="HG42" s="191">
        <f>HG41+HC42-HE42</f>
        <v>0</v>
      </c>
      <c r="HH42" s="56"/>
      <c r="HK42" s="55">
        <f>HB42</f>
        <v>46054</v>
      </c>
      <c r="HL42" s="56"/>
      <c r="HM42" s="80">
        <f>SUMPRODUCT(PRODUCE!$B55:$DY55,PRODUCE!$EB$31:$IY$31)</f>
        <v>0</v>
      </c>
      <c r="HN42" s="56"/>
      <c r="HO42" s="63">
        <f>HM42-HN42</f>
        <v>0</v>
      </c>
      <c r="HP42" s="63">
        <f>HP41+HL42-HN42</f>
        <v>0</v>
      </c>
      <c r="HQ42" s="56"/>
      <c r="HU42" s="55">
        <f>HK42</f>
        <v>46054</v>
      </c>
      <c r="HV42" s="56"/>
      <c r="HW42" s="242">
        <f>SUMPRODUCT(PRODUCE!$B55:$DY55,PRODUCE!$EB$32:$IY$32)</f>
        <v>0</v>
      </c>
      <c r="HX42" s="56"/>
      <c r="HY42" s="242">
        <f>HW42-HX42</f>
        <v>0</v>
      </c>
      <c r="HZ42" s="242">
        <f>HZ41+HV42-HX42</f>
        <v>5440</v>
      </c>
      <c r="IA42" s="56"/>
      <c r="ID42" s="55">
        <f>HU42</f>
        <v>46054</v>
      </c>
      <c r="IE42" s="56"/>
      <c r="IF42" s="242">
        <f>SUMPRODUCT(PRODUCE!$B55:$DY55,PRODUCE!$EB$33:$IY$33)</f>
        <v>0</v>
      </c>
      <c r="IG42" s="56"/>
      <c r="IH42" s="242">
        <f>IF42-IG42</f>
        <v>0</v>
      </c>
      <c r="II42" s="242">
        <f>II41+IE42-IG42</f>
        <v>5100</v>
      </c>
      <c r="IJ42" s="56"/>
      <c r="IM42" s="55">
        <f>ID42</f>
        <v>46054</v>
      </c>
      <c r="IN42" s="56"/>
      <c r="IO42" s="242">
        <f>SUMPRODUCT(PRODUCE!$B55:$DY55,PRODUCE!$EB$34:$IY$34)</f>
        <v>0</v>
      </c>
      <c r="IP42" s="56"/>
      <c r="IQ42" s="242">
        <f>IO42-IP42</f>
        <v>0</v>
      </c>
      <c r="IR42" s="242">
        <f>IR41+IN42-IP42</f>
        <v>16240</v>
      </c>
      <c r="IS42" s="56"/>
      <c r="IV42" s="55">
        <f>IM42</f>
        <v>46054</v>
      </c>
      <c r="IW42" s="56"/>
      <c r="IX42" s="242">
        <f>SUMPRODUCT(PRODUCE!$B55:$DY55,PRODUCE!$EB$35:$IY$35)</f>
        <v>0</v>
      </c>
      <c r="IY42" s="56"/>
      <c r="IZ42" s="242">
        <f>IX42-IY42</f>
        <v>0</v>
      </c>
      <c r="JA42" s="242">
        <f>JA41+IW42-IY42</f>
        <v>13120</v>
      </c>
      <c r="JB42" s="56"/>
      <c r="JE42" s="55">
        <f>IV42</f>
        <v>46054</v>
      </c>
      <c r="JF42" s="56"/>
      <c r="JG42" s="242">
        <f>SUMPRODUCT(PRODUCE!$B55:$DY55,PRODUCE!$EB$36:$IY$36)</f>
        <v>0</v>
      </c>
      <c r="JH42" s="56"/>
      <c r="JI42" s="242">
        <f>JG42-JH42</f>
        <v>0</v>
      </c>
      <c r="JJ42" s="242">
        <f>JJ41+JF42-JH42</f>
        <v>6800</v>
      </c>
      <c r="JK42" s="56"/>
      <c r="JN42" s="55">
        <f>JE42</f>
        <v>46054</v>
      </c>
      <c r="JO42" s="56"/>
      <c r="JP42" s="242">
        <f>SUMPRODUCT(PRODUCE!$B55:$DY55,PRODUCE!$EB$37:$IY$37)</f>
        <v>0</v>
      </c>
      <c r="JQ42" s="56"/>
      <c r="JR42" s="242">
        <f>JP42-JQ42</f>
        <v>0</v>
      </c>
      <c r="JS42" s="242">
        <f>JS41+JO42-JQ42</f>
        <v>5400</v>
      </c>
      <c r="JT42" s="56"/>
      <c r="JW42" s="55">
        <f>JN42</f>
        <v>46054</v>
      </c>
      <c r="JX42" s="56"/>
      <c r="JY42" s="242">
        <f>SUMPRODUCT(PRODUCE!$B55:$DY55,PRODUCE!$EB$38:$IY$38)</f>
        <v>0</v>
      </c>
      <c r="JZ42" s="56"/>
      <c r="KA42" s="242">
        <f>JY42-JZ42</f>
        <v>0</v>
      </c>
      <c r="KB42" s="242">
        <f>KB41+JX42-JZ42</f>
        <v>2260</v>
      </c>
      <c r="KC42" s="56"/>
      <c r="KF42" s="55">
        <f>JW42</f>
        <v>46054</v>
      </c>
      <c r="KG42" s="56"/>
      <c r="KH42" s="242">
        <f>SUMPRODUCT(PRODUCE!$B55:$DY55,PRODUCE!$EB$39:$IY$39)</f>
        <v>0</v>
      </c>
      <c r="KI42" s="56"/>
      <c r="KJ42" s="242">
        <f>KH42-KI42</f>
        <v>0</v>
      </c>
      <c r="KK42" s="242">
        <f>KK41+KG42-KI42</f>
        <v>0</v>
      </c>
      <c r="KL42" s="56"/>
      <c r="KO42" s="55">
        <f>KF42</f>
        <v>46054</v>
      </c>
      <c r="KP42" s="56"/>
      <c r="KQ42" s="242">
        <f>SUMPRODUCT(PRODUCE!$B55:$DY55,PRODUCE!$EB$40:$IY$40)</f>
        <v>0</v>
      </c>
      <c r="KR42" s="56"/>
      <c r="KS42" s="242">
        <f>KQ42-KR42</f>
        <v>0</v>
      </c>
      <c r="KT42" s="242">
        <f>KT41+KP42-KR42</f>
        <v>0</v>
      </c>
      <c r="KU42" s="56"/>
      <c r="KW42" s="23"/>
      <c r="KX42" s="55">
        <f>KO42</f>
        <v>46054</v>
      </c>
      <c r="KY42" s="56"/>
      <c r="KZ42" s="242">
        <f>SUMPRODUCT(PRODUCE!$B55:$DY55,PRODUCE!$EB$41:$IY$41)</f>
        <v>0</v>
      </c>
      <c r="LA42" s="56"/>
      <c r="LB42" s="242">
        <f>KZ42-LA42</f>
        <v>0</v>
      </c>
      <c r="LC42" s="242">
        <f>LC41+KY42-LA42</f>
        <v>0</v>
      </c>
      <c r="LD42" s="56"/>
      <c r="LG42" s="55">
        <f>KX42</f>
        <v>46054</v>
      </c>
      <c r="LH42" s="56"/>
      <c r="LI42" s="242">
        <f>SUMPRODUCT(PRODUCE!$B55:$DY55,PRODUCE!$EB$42:$IY$42)</f>
        <v>0</v>
      </c>
      <c r="LJ42" s="56"/>
      <c r="LK42" s="242">
        <f>LI42-LJ42</f>
        <v>0</v>
      </c>
      <c r="LL42" s="242">
        <f>LL41+LH42-LJ42</f>
        <v>0</v>
      </c>
      <c r="LM42" s="56"/>
      <c r="LP42" s="55">
        <f>LG42</f>
        <v>46054</v>
      </c>
      <c r="LQ42" s="56"/>
      <c r="LR42" s="242">
        <f>SUMPRODUCT(PRODUCE!$B57:$DY57,PRODUCE!$EB$43:$IY$43)</f>
        <v>0</v>
      </c>
      <c r="LS42" s="56"/>
      <c r="LT42" s="242">
        <f>LR42-LS42</f>
        <v>0</v>
      </c>
      <c r="LU42" s="242">
        <f>LU41+LQ42-LS42</f>
        <v>0</v>
      </c>
      <c r="LV42" s="56"/>
      <c r="LY42" s="55">
        <f>LP42</f>
        <v>46054</v>
      </c>
      <c r="LZ42" s="56"/>
      <c r="MA42" s="242">
        <f>SUMPRODUCT(PRODUCE!$B55:$DY55,PRODUCE!$EB$44:$IY$44)</f>
        <v>0</v>
      </c>
      <c r="MB42" s="56"/>
      <c r="MC42" s="242">
        <f>MA42-MB42</f>
        <v>0</v>
      </c>
      <c r="MD42" s="242">
        <f>MD41+LZ42-MB42</f>
        <v>0</v>
      </c>
      <c r="ME42" s="56"/>
      <c r="MH42" s="55">
        <f>LY42</f>
        <v>46054</v>
      </c>
      <c r="MI42" s="56"/>
      <c r="MJ42" s="242">
        <f>SUMPRODUCT(PRODUCE!$B55:$DY55,PRODUCE!$EB$45:$IY$45)</f>
        <v>0</v>
      </c>
      <c r="MK42" s="56"/>
      <c r="ML42" s="242">
        <f>MJ42-MK42</f>
        <v>0</v>
      </c>
      <c r="MM42" s="242">
        <f>MM41+MI42-MK42</f>
        <v>0</v>
      </c>
      <c r="MN42" s="56"/>
      <c r="MQ42" s="55">
        <f>MH42</f>
        <v>46054</v>
      </c>
      <c r="MR42" s="56"/>
      <c r="MS42" s="242">
        <f>SUMPRODUCT(PRODUCE!$B55:$DY55,PRODUCE!$EB$46:$IY$46)</f>
        <v>0</v>
      </c>
      <c r="MT42" s="56"/>
      <c r="MU42" s="242">
        <f>MS42-MT42</f>
        <v>0</v>
      </c>
      <c r="MV42" s="242">
        <f>MV41+MR42-MT42</f>
        <v>1969</v>
      </c>
      <c r="MW42" s="56"/>
      <c r="MZ42" s="55">
        <f>MQ42</f>
        <v>46054</v>
      </c>
      <c r="NA42" s="56"/>
      <c r="NB42" s="242">
        <f>SUMPRODUCT(PRODUCE!$B55:$DY55,PRODUCE!$EB$47:$IY$47)</f>
        <v>0</v>
      </c>
      <c r="NC42" s="56"/>
      <c r="ND42" s="242">
        <f>NB42-NC42</f>
        <v>0</v>
      </c>
      <c r="NE42" s="242">
        <f>NE41+NA42-NC42</f>
        <v>0</v>
      </c>
      <c r="NF42" s="56"/>
      <c r="NI42" s="55">
        <f>MZ42</f>
        <v>46054</v>
      </c>
      <c r="NJ42" s="56"/>
      <c r="NK42" s="242">
        <f>SUMPRODUCT(PRODUCE!$B55:$DY55,PRODUCE!$EB$48:$IY$48)</f>
        <v>0</v>
      </c>
      <c r="NL42" s="56"/>
      <c r="NM42" s="242">
        <f>NK42-NL42</f>
        <v>0</v>
      </c>
      <c r="NN42" s="242">
        <f>NN41+NJ42-NL42</f>
        <v>0</v>
      </c>
      <c r="NO42" s="56"/>
      <c r="NR42" s="55">
        <f>MZ42</f>
        <v>46054</v>
      </c>
      <c r="NS42" s="56"/>
      <c r="NT42" s="242">
        <f>SUMPRODUCT(PRODUCE!$B55:$DY55,PRODUCE!$EB$49:$IY$49)</f>
        <v>0</v>
      </c>
      <c r="NU42" s="56"/>
      <c r="NV42" s="242">
        <f>NT42-NU42</f>
        <v>0</v>
      </c>
      <c r="NW42" s="242">
        <f>NW41+NS42-NU42</f>
        <v>0</v>
      </c>
      <c r="NX42" s="56"/>
      <c r="OA42" s="55">
        <f>NR42</f>
        <v>46054</v>
      </c>
      <c r="OB42" s="56"/>
      <c r="OC42" s="242">
        <f>SUMPRODUCT(PRODUCE!$B55:$DY55,PRODUCE!$EB$50:$IY$50)</f>
        <v>0</v>
      </c>
      <c r="OD42" s="56"/>
      <c r="OE42" s="242">
        <f>OC42-OD42</f>
        <v>0</v>
      </c>
      <c r="OF42" s="242">
        <f>OF41+OB42-OD42</f>
        <v>1680.5</v>
      </c>
      <c r="OG42" s="56"/>
      <c r="OJ42" s="55">
        <f>OA42</f>
        <v>46054</v>
      </c>
      <c r="OK42" s="56"/>
      <c r="OL42" s="242">
        <f>SUMPRODUCT(PRODUCE!$B55:$DY55,PRODUCE!$EB$51:$IY$51)</f>
        <v>0</v>
      </c>
      <c r="OM42" s="56"/>
      <c r="ON42" s="242">
        <f>OL42-OM42</f>
        <v>0</v>
      </c>
      <c r="OO42" s="242">
        <f>OO41+OK42-OM42</f>
        <v>0</v>
      </c>
      <c r="OP42" s="56"/>
      <c r="OS42" s="55">
        <f>OJ42</f>
        <v>46054</v>
      </c>
      <c r="OT42" s="56"/>
      <c r="OU42" s="242">
        <f>SUMPRODUCT(PRODUCE!$B55:$DY55,PRODUCE!$EB$52:$IY$52)</f>
        <v>0</v>
      </c>
      <c r="OV42" s="56"/>
      <c r="OW42" s="242">
        <f>OU42-OV42</f>
        <v>0</v>
      </c>
      <c r="OX42" s="242">
        <f>OX41+OT42-OV42</f>
        <v>0</v>
      </c>
      <c r="OY42" s="56"/>
      <c r="PB42" s="55">
        <f>OS42</f>
        <v>46054</v>
      </c>
      <c r="PC42" s="56"/>
      <c r="PD42" s="242">
        <f>SUMPRODUCT(PRODUCE!$B55:$DY55,PRODUCE!$EB$53:$IY$53)</f>
        <v>0</v>
      </c>
      <c r="PE42" s="56"/>
      <c r="PF42" s="242">
        <f>PD42-PE42</f>
        <v>0</v>
      </c>
      <c r="PG42" s="242">
        <f>PG41+PC42-PE42</f>
        <v>0</v>
      </c>
      <c r="PH42" s="56"/>
      <c r="PK42" s="55">
        <f>PB42</f>
        <v>46054</v>
      </c>
      <c r="PL42" s="56"/>
      <c r="PM42" s="242">
        <f>SUMPRODUCT(PRODUCE!$B55:$DY55,PRODUCE!$EB$54:$IY$54)</f>
        <v>0</v>
      </c>
      <c r="PN42" s="56"/>
      <c r="PO42" s="242">
        <f>PM42-PN42</f>
        <v>0</v>
      </c>
      <c r="PP42" s="242">
        <f>PP41+PL42-PN42</f>
        <v>160</v>
      </c>
      <c r="PQ42" s="56"/>
      <c r="PT42" s="55">
        <f>PK42</f>
        <v>46054</v>
      </c>
      <c r="PU42" s="56"/>
      <c r="PV42" s="242">
        <f>SUMPRODUCT(PRODUCE!$B55:$DY55,PRODUCE!$EB$55:$IY$55)</f>
        <v>0</v>
      </c>
      <c r="PW42" s="56"/>
      <c r="PX42" s="242">
        <f>PV42-PW42</f>
        <v>0</v>
      </c>
      <c r="PY42" s="242">
        <f>PY41+PU42-PW42</f>
        <v>13.960000000000036</v>
      </c>
      <c r="PZ42" s="56"/>
      <c r="QC42" s="55">
        <f>PT42</f>
        <v>46054</v>
      </c>
      <c r="QD42" s="56"/>
      <c r="QE42" s="242">
        <f>SUMPRODUCT(PRODUCE!$B55:$DY55,PRODUCE!$EB$56:$IY$56)</f>
        <v>0</v>
      </c>
      <c r="QF42" s="56"/>
      <c r="QG42" s="242">
        <f>QE42-QF42</f>
        <v>0</v>
      </c>
      <c r="QH42" s="242">
        <f>QH41+QD42-QF42</f>
        <v>0</v>
      </c>
      <c r="QI42" s="56"/>
      <c r="QL42" s="55">
        <f>QC42</f>
        <v>46054</v>
      </c>
      <c r="QM42" s="56"/>
      <c r="QN42" s="242">
        <f>SUMPRODUCT(PRODUCE!$B55:$DY55,PRODUCE!$EB$57:$IY$57)</f>
        <v>0</v>
      </c>
      <c r="QO42" s="56"/>
      <c r="QP42" s="242">
        <f>QN42-QO42</f>
        <v>0</v>
      </c>
      <c r="QQ42" s="242">
        <f>QQ41+QM42-QO42</f>
        <v>0</v>
      </c>
      <c r="QR42" s="56"/>
      <c r="QU42" s="55">
        <f>QL42</f>
        <v>46054</v>
      </c>
      <c r="QV42" s="56"/>
      <c r="QW42" s="242">
        <f>SUMPRODUCT(PRODUCE!$B55:$DY55,PRODUCE!$EB$57:$IY$57)</f>
        <v>0</v>
      </c>
      <c r="QX42" s="56"/>
      <c r="QY42" s="242">
        <f>QW42-QX42</f>
        <v>0</v>
      </c>
      <c r="QZ42" s="242">
        <f>QZ41+QV42-QX42</f>
        <v>207.6</v>
      </c>
      <c r="RA42" s="56"/>
      <c r="RD42" s="55">
        <f>QU42</f>
        <v>46054</v>
      </c>
      <c r="RE42" s="56"/>
      <c r="RF42" s="242">
        <f>SUMPRODUCT(PRODUCE!$B55:$DY55,PRODUCE!$EB$58:$IY$58)</f>
        <v>0</v>
      </c>
      <c r="RG42" s="56"/>
      <c r="RH42" s="242">
        <f>RF42-RG42</f>
        <v>0</v>
      </c>
      <c r="RI42" s="242">
        <f>RI41+RE42-RG42</f>
        <v>201.8</v>
      </c>
      <c r="RJ42" s="56"/>
      <c r="RM42" s="55">
        <f>RD42</f>
        <v>46054</v>
      </c>
      <c r="RN42" s="56"/>
      <c r="RO42" s="242">
        <f>SUMPRODUCT(PRODUCE!$B55:$DY55,PRODUCE!$EB$57:$IY$57)</f>
        <v>0</v>
      </c>
      <c r="RP42" s="56"/>
      <c r="RQ42" s="242">
        <f>RO42-RP42</f>
        <v>0</v>
      </c>
      <c r="RR42" s="242">
        <f>RR41+RN42-RP42</f>
        <v>22.720000000000002</v>
      </c>
      <c r="RS42" s="56"/>
      <c r="RV42" s="55">
        <f>RM42</f>
        <v>46054</v>
      </c>
      <c r="RW42" s="56"/>
      <c r="RX42" s="242">
        <f>SUMPRODUCT(PRODUCE!$B55:$DY55,PRODUCE!$EB$57:$IY$57)</f>
        <v>0</v>
      </c>
      <c r="RY42" s="56"/>
      <c r="RZ42" s="242">
        <f>RX42-RY42</f>
        <v>0</v>
      </c>
      <c r="SA42" s="242">
        <f>SA41+RW42-RY42</f>
        <v>0</v>
      </c>
      <c r="SB42" s="56"/>
      <c r="SE42" s="55">
        <f>RV42</f>
        <v>46054</v>
      </c>
      <c r="SF42" s="56"/>
      <c r="SG42" s="242">
        <f>SUMPRODUCT(PRODUCE!$B55:$DY55,PRODUCE!$EB$57:$IY$57)</f>
        <v>0</v>
      </c>
      <c r="SH42" s="56"/>
      <c r="SI42" s="242">
        <f>SG42-SH42</f>
        <v>0</v>
      </c>
      <c r="SJ42" s="242">
        <f>SJ41+SF42-SH42</f>
        <v>0</v>
      </c>
      <c r="SK42" s="56"/>
      <c r="SN42" s="55">
        <f>SE42</f>
        <v>46054</v>
      </c>
      <c r="SO42" s="56"/>
      <c r="SP42" s="242">
        <f>SUMPRODUCT(PRODUCE!$B55:$DY55,PRODUCE!$EB$57:$IY$57)</f>
        <v>0</v>
      </c>
      <c r="SQ42" s="56"/>
      <c r="SR42" s="242">
        <f>SP42-SQ42</f>
        <v>0</v>
      </c>
      <c r="SS42" s="242">
        <f>SS41+SO42-SQ42</f>
        <v>0</v>
      </c>
      <c r="ST42" s="56"/>
      <c r="SW42" s="55">
        <f>SN42</f>
        <v>46054</v>
      </c>
      <c r="SX42" s="56"/>
      <c r="SY42" s="242">
        <f>SUMPRODUCT(PRODUCE!$B55:$DY55,PRODUCE!$EB$57:$IY$57)</f>
        <v>0</v>
      </c>
      <c r="SZ42" s="56"/>
      <c r="TA42" s="242">
        <f>SY42-SZ42</f>
        <v>0</v>
      </c>
      <c r="TB42" s="242">
        <f>TB41+SX42-SZ42</f>
        <v>270</v>
      </c>
      <c r="TC42" s="56"/>
      <c r="TF42" s="55">
        <f>SW42</f>
        <v>46054</v>
      </c>
      <c r="TG42" s="56"/>
      <c r="TH42" s="242">
        <f>SUMPRODUCT(PRODUCE!$B55:$DY55,PRODUCE!$EB$57:$IY$57)</f>
        <v>0</v>
      </c>
      <c r="TI42" s="56"/>
      <c r="TJ42" s="242">
        <f>TH42-TI42</f>
        <v>0</v>
      </c>
      <c r="TK42" s="242">
        <f>TK41+TG42-TI42</f>
        <v>0</v>
      </c>
      <c r="TL42" s="56"/>
      <c r="TO42" s="55">
        <f>TF42</f>
        <v>46054</v>
      </c>
      <c r="TP42" s="56"/>
      <c r="TQ42" s="242">
        <f>SUMPRODUCT(PRODUCE!$B55:$DY55,PRODUCE!$EB$57:$IY$57)</f>
        <v>0</v>
      </c>
      <c r="TR42" s="56"/>
      <c r="TS42" s="242">
        <f>TQ42-TR42</f>
        <v>0</v>
      </c>
      <c r="TT42" s="242">
        <f>TT41+TP42-TR42</f>
        <v>0</v>
      </c>
      <c r="TU42" s="56"/>
      <c r="TX42" s="55">
        <f>TO42</f>
        <v>46054</v>
      </c>
      <c r="TY42" s="56"/>
      <c r="TZ42" s="242">
        <f>SUMPRODUCT(PRODUCE!$B55:$DY55,PRODUCE!$EB$57:$IY$57)</f>
        <v>0</v>
      </c>
      <c r="UA42" s="56"/>
      <c r="UB42" s="242">
        <f>TZ42-UA42</f>
        <v>0</v>
      </c>
      <c r="UC42" s="242">
        <f>UC41+TY42-UA42</f>
        <v>0</v>
      </c>
      <c r="UD42" s="56"/>
      <c r="UG42" s="55">
        <f>TX42</f>
        <v>46054</v>
      </c>
      <c r="UH42" s="56"/>
      <c r="UI42" s="242">
        <f>SUMPRODUCT(PRODUCE!$B55:$DY55,PRODUCE!$EB$57:$IY$57)</f>
        <v>0</v>
      </c>
      <c r="UJ42" s="56"/>
      <c r="UK42" s="242">
        <f>UI42-UJ42</f>
        <v>0</v>
      </c>
      <c r="UL42" s="242">
        <f>UL41+UH42-UJ42</f>
        <v>0</v>
      </c>
      <c r="UM42" s="56"/>
      <c r="UP42" s="55">
        <f>UG42</f>
        <v>46054</v>
      </c>
      <c r="UQ42" s="56"/>
      <c r="UR42" s="242">
        <f>SUMPRODUCT(PRODUCE!$B55:$DY55,PRODUCE!$EB$57:$IY$57)</f>
        <v>0</v>
      </c>
      <c r="US42" s="56"/>
      <c r="UT42" s="242">
        <f>UR42-US42</f>
        <v>0</v>
      </c>
      <c r="UU42" s="242">
        <f>UU41+UQ42-US42</f>
        <v>0</v>
      </c>
      <c r="UV42" s="56"/>
      <c r="UY42" s="55">
        <f>UP42</f>
        <v>46054</v>
      </c>
      <c r="UZ42" s="56"/>
      <c r="VA42" s="242">
        <f>SUMPRODUCT(PRODUCE!$B55:$DY55,PRODUCE!$EB$57:$IY$57)</f>
        <v>0</v>
      </c>
      <c r="VB42" s="56"/>
      <c r="VC42" s="242">
        <f>VA42-VB42</f>
        <v>0</v>
      </c>
      <c r="VD42" s="242">
        <f>VD41+UZ42-VB42</f>
        <v>41.600000000000023</v>
      </c>
      <c r="VE42" s="56"/>
      <c r="VH42" s="55">
        <f>UY42</f>
        <v>46054</v>
      </c>
      <c r="VI42" s="56"/>
      <c r="VJ42" s="242">
        <f>SUMPRODUCT(PRODUCE!$B55:$DY55,PRODUCE!$EB$57:$IY$57)</f>
        <v>0</v>
      </c>
      <c r="VK42" s="56"/>
      <c r="VL42" s="242">
        <f>VJ42-VK42</f>
        <v>0</v>
      </c>
      <c r="VM42" s="242">
        <f>VM41+VI42-VK42</f>
        <v>0</v>
      </c>
      <c r="VN42" s="56"/>
      <c r="VQ42" s="55">
        <f>VH42</f>
        <v>46054</v>
      </c>
      <c r="VR42" s="56"/>
      <c r="VS42" s="242">
        <f>SUMPRODUCT(PRODUCE!$B55:$DY55,PRODUCE!$EB$57:$IY$57)</f>
        <v>0</v>
      </c>
      <c r="VT42" s="56"/>
      <c r="VU42" s="242">
        <f>VS42-VT42</f>
        <v>0</v>
      </c>
      <c r="VV42" s="242">
        <f>VV41+VR42-VT42</f>
        <v>0</v>
      </c>
      <c r="VW42" s="56"/>
      <c r="VZ42" s="55">
        <f>VQ42</f>
        <v>46054</v>
      </c>
      <c r="WA42" s="56"/>
      <c r="WB42" s="242">
        <f>SUMPRODUCT(PRODUCE!$B55:$DY55,PRODUCE!$EB$57:$IY$57)</f>
        <v>0</v>
      </c>
      <c r="WC42" s="56"/>
      <c r="WD42" s="242">
        <f>WB42-WC42</f>
        <v>0</v>
      </c>
      <c r="WE42" s="242">
        <f>WE41+WA42-WC42</f>
        <v>0</v>
      </c>
      <c r="WF42" s="56"/>
      <c r="WI42" s="55">
        <f>VZ42</f>
        <v>46054</v>
      </c>
      <c r="WJ42" s="56"/>
      <c r="WK42" s="242">
        <f>SUMPRODUCT(PRODUCE!$B55:$DY55,PRODUCE!$EB$57:$IY$57)</f>
        <v>0</v>
      </c>
      <c r="WL42" s="56"/>
      <c r="WM42" s="242">
        <f>WK42-WL42</f>
        <v>0</v>
      </c>
      <c r="WN42" s="242">
        <f>WN41+WJ42-WL42</f>
        <v>9609</v>
      </c>
      <c r="WO42" s="56"/>
      <c r="WR42" s="55">
        <f>WI42</f>
        <v>46054</v>
      </c>
      <c r="WS42" s="56"/>
      <c r="WT42" s="242">
        <f>SUMPRODUCT(PRODUCE!$B55:$DY55,PRODUCE!$EB$57:$IY$57)</f>
        <v>0</v>
      </c>
      <c r="WU42" s="56"/>
      <c r="WV42" s="242">
        <f>WT42-WU42</f>
        <v>0</v>
      </c>
      <c r="WW42" s="242">
        <f>WW41+WS42-WU42</f>
        <v>8149</v>
      </c>
      <c r="WX42" s="56"/>
      <c r="XA42" s="55">
        <f>WR42</f>
        <v>46054</v>
      </c>
      <c r="XB42" s="56"/>
      <c r="XC42" s="242">
        <f>SUMPRODUCT(PRODUCE!$B55:$DY55,PRODUCE!$EB$57:$IY$57)</f>
        <v>0</v>
      </c>
      <c r="XD42" s="56"/>
      <c r="XE42" s="242">
        <f>XC42-XD42</f>
        <v>0</v>
      </c>
      <c r="XF42" s="242">
        <f>XF41+XB42-XD42</f>
        <v>911</v>
      </c>
      <c r="XG42" s="56"/>
      <c r="XJ42" s="55">
        <f>XA42</f>
        <v>46054</v>
      </c>
      <c r="XK42" s="56"/>
      <c r="XL42" s="242">
        <f>SUMPRODUCT(PRODUCE!$B55:$DY55,PRODUCE!$EB$57:$IY$57)</f>
        <v>0</v>
      </c>
      <c r="XM42" s="56"/>
      <c r="XN42" s="242">
        <f>XL42-XM42</f>
        <v>0</v>
      </c>
      <c r="XO42" s="242">
        <f>XO41+XK42-XM42</f>
        <v>6240</v>
      </c>
      <c r="XP42" s="56"/>
      <c r="XS42" s="55">
        <f>XJ42</f>
        <v>46054</v>
      </c>
      <c r="XT42" s="56"/>
      <c r="XU42" s="242">
        <f>SUMPRODUCT(PRODUCE!$B55:$DY55,PRODUCE!$EB$57:$IY$57)</f>
        <v>0</v>
      </c>
      <c r="XV42" s="56"/>
      <c r="XW42" s="242">
        <f>XU42-XV42</f>
        <v>0</v>
      </c>
      <c r="XX42" s="242">
        <f>XX41+XT42-XV42</f>
        <v>1901</v>
      </c>
      <c r="XY42" s="56"/>
      <c r="YB42" s="55">
        <f>XS42</f>
        <v>46054</v>
      </c>
      <c r="YC42" s="56"/>
      <c r="YD42" s="242">
        <f>SUMPRODUCT(PRODUCE!$B55:$DY55,PRODUCE!$EB$57:$IY$57)</f>
        <v>0</v>
      </c>
      <c r="YE42" s="56"/>
      <c r="YF42" s="242">
        <f>YD42-YE42</f>
        <v>0</v>
      </c>
      <c r="YG42" s="242">
        <f>YG41+YC42-YE42</f>
        <v>1885</v>
      </c>
      <c r="YH42" s="56"/>
      <c r="YK42" s="55">
        <f>YB42</f>
        <v>46054</v>
      </c>
      <c r="YL42" s="56"/>
      <c r="YM42" s="242">
        <f>SUMPRODUCT(PRODUCE!$B55:$DY55,PRODUCE!$EB$57:$IY$57)</f>
        <v>0</v>
      </c>
      <c r="YN42" s="56"/>
      <c r="YO42" s="242">
        <f>YM42-YN42</f>
        <v>0</v>
      </c>
      <c r="YP42" s="242">
        <f>YP41+YL42-YN42</f>
        <v>0</v>
      </c>
      <c r="YQ42" s="56"/>
      <c r="YT42" s="55">
        <f>YK42</f>
        <v>46054</v>
      </c>
      <c r="YU42" s="56"/>
      <c r="YV42" s="242">
        <f>SUMPRODUCT(PRODUCE!$B55:$DY55,PRODUCE!$EB$57:$IY$57)</f>
        <v>0</v>
      </c>
      <c r="YW42" s="56"/>
      <c r="YX42" s="242">
        <f>YV42-YW42</f>
        <v>0</v>
      </c>
      <c r="YY42" s="242">
        <f>YY41+YU42-YW42</f>
        <v>0</v>
      </c>
      <c r="YZ42" s="56"/>
      <c r="ZC42" s="55">
        <f>YT42</f>
        <v>46054</v>
      </c>
      <c r="ZD42" s="56"/>
      <c r="ZE42" s="242">
        <f>SUMPRODUCT(PRODUCE!$B55:$DY55,PRODUCE!$EB$57:$IY$57)</f>
        <v>0</v>
      </c>
      <c r="ZF42" s="56"/>
      <c r="ZG42" s="242">
        <f>ZE42-ZF42</f>
        <v>0</v>
      </c>
      <c r="ZH42" s="242">
        <f>ZH41+ZD42-ZF42</f>
        <v>0</v>
      </c>
      <c r="ZI42" s="56"/>
      <c r="ZL42" s="55">
        <f>ZC42</f>
        <v>46054</v>
      </c>
      <c r="ZM42" s="56"/>
      <c r="ZN42" s="242">
        <f>SUMPRODUCT(PRODUCE!$B55:$DY55,PRODUCE!$EB$57:$IY$57)</f>
        <v>0</v>
      </c>
      <c r="ZO42" s="56"/>
      <c r="ZP42" s="242">
        <f>ZN42-ZO42</f>
        <v>0</v>
      </c>
      <c r="ZQ42" s="242">
        <f>ZQ41+ZM42-ZO42</f>
        <v>0</v>
      </c>
      <c r="ZR42" s="56"/>
      <c r="ZU42" s="55">
        <f>ZL42</f>
        <v>46054</v>
      </c>
      <c r="ZV42" s="56"/>
      <c r="ZW42" s="242">
        <f>SUMPRODUCT(PRODUCE!$B55:$DY55,PRODUCE!$EB$57:$IY$57)</f>
        <v>0</v>
      </c>
      <c r="ZX42" s="56"/>
      <c r="ZY42" s="242">
        <f>ZW42-ZX42</f>
        <v>0</v>
      </c>
      <c r="ZZ42" s="242">
        <f>ZZ41+ZV42-ZX42</f>
        <v>0</v>
      </c>
      <c r="AAA42" s="56"/>
      <c r="AAD42" s="55">
        <f>ZU42</f>
        <v>46054</v>
      </c>
      <c r="AAE42" s="56"/>
      <c r="AAF42" s="242">
        <f>SUMPRODUCT(PRODUCE!$B55:$DY55,PRODUCE!$EB$57:$IY$57)</f>
        <v>0</v>
      </c>
      <c r="AAG42" s="56"/>
      <c r="AAH42" s="242">
        <f>AAF42-AAG42</f>
        <v>0</v>
      </c>
      <c r="AAI42" s="242">
        <f>AAI41+AAE42-AAG42</f>
        <v>0</v>
      </c>
      <c r="AAJ42" s="56"/>
      <c r="AAM42" s="55">
        <f>AAD42</f>
        <v>46054</v>
      </c>
      <c r="AAN42" s="56"/>
      <c r="AAO42" s="242">
        <f>SUMPRODUCT(PRODUCE!$B55:$DY55,PRODUCE!$EB$57:$IY$57)</f>
        <v>0</v>
      </c>
      <c r="AAP42" s="56"/>
      <c r="AAQ42" s="242">
        <f>AAO42-AAP42</f>
        <v>0</v>
      </c>
      <c r="AAR42" s="242">
        <f>AAR41+AAN42-AAP42</f>
        <v>0</v>
      </c>
      <c r="AAS42" s="56"/>
      <c r="AAV42" s="55">
        <f>AAM42</f>
        <v>46054</v>
      </c>
      <c r="AAW42" s="56"/>
      <c r="AAX42" s="242">
        <f>SUMPRODUCT(PRODUCE!$B55:$DY55,PRODUCE!$EB$57:$IY$57)</f>
        <v>0</v>
      </c>
      <c r="AAY42" s="56"/>
      <c r="AAZ42" s="242">
        <f>AAX42-AAY42</f>
        <v>0</v>
      </c>
      <c r="ABA42" s="242">
        <f>ABA41+AAW42-AAY42</f>
        <v>0</v>
      </c>
      <c r="ABB42" s="56"/>
      <c r="ABE42" s="55">
        <f>AAV42</f>
        <v>46054</v>
      </c>
      <c r="ABF42" s="56"/>
      <c r="ABG42" s="242">
        <f>SUMPRODUCT(PRODUCE!$B55:$DY55,PRODUCE!$EB$57:$IY$57)</f>
        <v>0</v>
      </c>
      <c r="ABH42" s="56"/>
      <c r="ABI42" s="242">
        <f>ABG42-ABH42</f>
        <v>0</v>
      </c>
      <c r="ABJ42" s="242">
        <f>ABJ41+ABF42-ABH42</f>
        <v>0</v>
      </c>
      <c r="ABK42" s="56"/>
    </row>
    <row r="43" spans="1:739" s="54" customFormat="1" ht="15" customHeight="1" outlineLevel="1">
      <c r="B43" s="478"/>
      <c r="C43" s="55">
        <v>46055</v>
      </c>
      <c r="D43" s="422"/>
      <c r="E43" s="424">
        <f>SUMPRODUCT(PRODUCE!$B56:$DY56,PRODUCE!$EB$7:$IY$7)</f>
        <v>0</v>
      </c>
      <c r="F43" s="422"/>
      <c r="G43" s="423">
        <f t="shared" ref="G43:G70" si="247">E43-F43</f>
        <v>0</v>
      </c>
      <c r="H43" s="423">
        <f t="shared" si="245"/>
        <v>241788.19999999998</v>
      </c>
      <c r="I43" s="289"/>
      <c r="L43" s="55">
        <f t="shared" si="246"/>
        <v>46055</v>
      </c>
      <c r="M43" s="422">
        <v>26150</v>
      </c>
      <c r="N43" s="439">
        <f>SUMPRODUCT(PRODUCE!$B56:$DY56,PRODUCE!$EB$8:$IY$8)</f>
        <v>0</v>
      </c>
      <c r="O43" s="422"/>
      <c r="P43" s="438">
        <f t="shared" ref="P43:P69" si="248">N43-O43</f>
        <v>0</v>
      </c>
      <c r="Q43" s="438">
        <f t="shared" ref="Q43:Q69" si="249">Q42+M43-O43</f>
        <v>74898.2</v>
      </c>
      <c r="R43" s="56"/>
      <c r="U43" s="55">
        <f t="shared" ref="U43:U69" si="250">L43</f>
        <v>46055</v>
      </c>
      <c r="V43" s="422"/>
      <c r="W43" s="441">
        <f>SUMPRODUCT(PRODUCE!$B56:$DY56,PRODUCE!$EB$9:$IY$9)</f>
        <v>0</v>
      </c>
      <c r="X43" s="422"/>
      <c r="Y43" s="440">
        <f t="shared" ref="Y43:Y69" si="251">W43-X43</f>
        <v>0</v>
      </c>
      <c r="Z43" s="440">
        <f t="shared" ref="Z43:Z69" si="252">Z42+V43-X43</f>
        <v>49884.999999999985</v>
      </c>
      <c r="AA43" s="56"/>
      <c r="AD43" s="55">
        <f t="shared" ref="AD43:AD69" si="253">U43</f>
        <v>46055</v>
      </c>
      <c r="AE43" s="422"/>
      <c r="AF43" s="443">
        <f>SUMPRODUCT(PRODUCE!$B56:$DY56,PRODUCE!$EB$10:$IY$10)</f>
        <v>0</v>
      </c>
      <c r="AG43" s="422"/>
      <c r="AH43" s="442">
        <f t="shared" ref="AH43:AH69" si="254">AF43-AG43</f>
        <v>0</v>
      </c>
      <c r="AI43" s="442">
        <f t="shared" ref="AI43:AI69" si="255">AI42+AE43-AG43</f>
        <v>52772.200000000012</v>
      </c>
      <c r="AJ43" s="56"/>
      <c r="AM43" s="55">
        <f t="shared" ref="AM43:AM69" si="256">AD43</f>
        <v>46055</v>
      </c>
      <c r="AN43" s="422"/>
      <c r="AO43" s="445">
        <f>SUMPRODUCT(PRODUCE!$B56:$DY56,PRODUCE!$EB$11:$IY$11)</f>
        <v>0</v>
      </c>
      <c r="AP43" s="422"/>
      <c r="AQ43" s="444">
        <f t="shared" ref="AQ43:AQ69" si="257">AO43-AP43</f>
        <v>0</v>
      </c>
      <c r="AR43" s="444">
        <f t="shared" ref="AR43:AR69" si="258">AR42+AN43-AP43</f>
        <v>0</v>
      </c>
      <c r="AS43" s="56"/>
      <c r="AV43" s="55">
        <f t="shared" ref="AV43:AV69" si="259">AM43</f>
        <v>46055</v>
      </c>
      <c r="AW43" s="422"/>
      <c r="AX43" s="447">
        <f>SUMPRODUCT(PRODUCE!$B56:$DY56,PRODUCE!$EB$12:$IY$12)</f>
        <v>0</v>
      </c>
      <c r="AY43" s="422"/>
      <c r="AZ43" s="446">
        <f t="shared" ref="AZ43:AZ69" si="260">AX43-AY43</f>
        <v>0</v>
      </c>
      <c r="BA43" s="446">
        <f t="shared" ref="BA43:BA69" si="261">BA42+AW43-AY43</f>
        <v>34316.69999999999</v>
      </c>
      <c r="BB43" s="56"/>
      <c r="BE43" s="55">
        <f t="shared" ref="BE43:BE69" si="262">AV43</f>
        <v>46055</v>
      </c>
      <c r="BF43" s="422"/>
      <c r="BG43" s="449">
        <f>SUMPRODUCT(PRODUCE!$B56:$DY56,PRODUCE!$EB$13:$IY$13)</f>
        <v>0</v>
      </c>
      <c r="BH43" s="422"/>
      <c r="BI43" s="448">
        <f t="shared" ref="BI43:BI69" si="263">BG43-BH43</f>
        <v>0</v>
      </c>
      <c r="BJ43" s="448">
        <f t="shared" ref="BJ43:BJ69" si="264">BJ42+BF43-BH43</f>
        <v>21924.100000000006</v>
      </c>
      <c r="BK43" s="56"/>
      <c r="BN43" s="55">
        <f t="shared" ref="BN43:BN69" si="265">BE43</f>
        <v>46055</v>
      </c>
      <c r="BO43" s="422"/>
      <c r="BP43" s="451">
        <f>SUMPRODUCT(PRODUCE!$B56:$DY56,PRODUCE!$EB$14:$IY$14)</f>
        <v>0</v>
      </c>
      <c r="BQ43" s="422"/>
      <c r="BR43" s="450">
        <f t="shared" ref="BR43:BR69" si="266">BP43-BQ43</f>
        <v>0</v>
      </c>
      <c r="BS43" s="450">
        <f t="shared" ref="BS43:BS69" si="267">BS42+BO43-BQ43</f>
        <v>0</v>
      </c>
      <c r="BT43" s="56"/>
      <c r="BW43" s="55">
        <f t="shared" ref="BW43:BW69" si="268">BN43</f>
        <v>46055</v>
      </c>
      <c r="BX43" s="56"/>
      <c r="BY43" s="81">
        <f>SUMPRODUCT(PRODUCE!$B56:$DY56,PRODUCE!$EB$15:$IY$15)</f>
        <v>0</v>
      </c>
      <c r="BZ43" s="56"/>
      <c r="CA43" s="65">
        <f t="shared" ref="CA43:CA69" si="269">BY43-BZ43</f>
        <v>0</v>
      </c>
      <c r="CB43" s="65">
        <f t="shared" ref="CB43:CB69" si="270">CB42+BX43-BZ43</f>
        <v>3284.5</v>
      </c>
      <c r="CC43" s="56"/>
      <c r="CF43" s="55">
        <f t="shared" ref="CF43:CF69" si="271">BW43</f>
        <v>46055</v>
      </c>
      <c r="CG43" s="56"/>
      <c r="CH43" s="82">
        <f>SUMPRODUCT(PRODUCE!$B56:$DY56,PRODUCE!$EB$16:$IY$16)</f>
        <v>0</v>
      </c>
      <c r="CI43" s="56"/>
      <c r="CJ43" s="66">
        <f t="shared" ref="CJ43:CJ69" si="272">CH43-CI43</f>
        <v>0</v>
      </c>
      <c r="CK43" s="66">
        <f t="shared" ref="CK43:CK69" si="273">CK42+CG43-CI43</f>
        <v>0</v>
      </c>
      <c r="CL43" s="56"/>
      <c r="CO43" s="55">
        <f t="shared" ref="CO43:CO69" si="274">CF43</f>
        <v>46055</v>
      </c>
      <c r="CP43" s="422"/>
      <c r="CQ43" s="471">
        <f>SUMPRODUCT(PRODUCE!$B56:$DY56,PRODUCE!$EB$17:$IY$17)</f>
        <v>0</v>
      </c>
      <c r="CR43" s="422"/>
      <c r="CS43" s="470">
        <f t="shared" ref="CS43:CS70" si="275">CQ43-CR43</f>
        <v>0</v>
      </c>
      <c r="CT43" s="470">
        <f t="shared" ref="CT43:CT70" si="276">CT42+CP43-CR43</f>
        <v>0</v>
      </c>
      <c r="CU43" s="56"/>
      <c r="CX43" s="55">
        <f t="shared" ref="CX43:CX69" si="277">CO43</f>
        <v>46055</v>
      </c>
      <c r="CY43" s="56"/>
      <c r="CZ43" s="136">
        <f>SUMPRODUCT(PRODUCE!$B56:$DY56,PRODUCE!$EB$18:$IY$18)</f>
        <v>0</v>
      </c>
      <c r="DA43" s="56"/>
      <c r="DB43" s="133">
        <f t="shared" ref="DB43:DB68" si="278">CZ43-DA43</f>
        <v>0</v>
      </c>
      <c r="DC43" s="133">
        <f t="shared" ref="DC43:DC68" si="279">DC42+CY43-DA43</f>
        <v>0</v>
      </c>
      <c r="DD43" s="56"/>
      <c r="DG43" s="55">
        <f t="shared" ref="DG43:DG69" si="280">CX43</f>
        <v>46055</v>
      </c>
      <c r="DH43" s="56"/>
      <c r="DI43" s="150">
        <f>SUMPRODUCT(PRODUCE!$B56:$DY56,PRODUCE!$EB$19:$IY$19)</f>
        <v>0</v>
      </c>
      <c r="DJ43" s="56"/>
      <c r="DK43" s="147">
        <f t="shared" ref="DK43:DK70" si="281">DI43-DJ43</f>
        <v>0</v>
      </c>
      <c r="DL43" s="147">
        <f t="shared" ref="DL43:DL70" si="282">DL42+DH43-DJ43</f>
        <v>22172.799999999996</v>
      </c>
      <c r="DM43" s="56"/>
      <c r="DP43" s="55">
        <f t="shared" ref="DP43:DP69" si="283">DG43</f>
        <v>46055</v>
      </c>
      <c r="DQ43" s="56"/>
      <c r="DR43" s="58">
        <f>SUMPRODUCT(PRODUCE!$B56:$DY56,PRODUCE!$EB$20:$IY$20)</f>
        <v>0</v>
      </c>
      <c r="DS43" s="56"/>
      <c r="DT43" s="57">
        <f t="shared" ref="DT43:DT69" si="284">DR43-DS43</f>
        <v>0</v>
      </c>
      <c r="DU43" s="57">
        <f t="shared" ref="DU43:DU69" si="285">DU42+DQ43-DS43</f>
        <v>0</v>
      </c>
      <c r="DV43" s="56"/>
      <c r="DY43" s="55">
        <f t="shared" ref="DY43:DY69" si="286">DP43</f>
        <v>46055</v>
      </c>
      <c r="DZ43" s="56"/>
      <c r="EA43" s="159">
        <f>SUMPRODUCT(PRODUCE!$B56:$DY56,PRODUCE!$EB$21:$IY$21)</f>
        <v>0</v>
      </c>
      <c r="EB43" s="56"/>
      <c r="EC43" s="157">
        <f t="shared" ref="EC43:EC70" si="287">EA43-EB43</f>
        <v>0</v>
      </c>
      <c r="ED43" s="157">
        <f t="shared" ref="ED43:ED70" si="288">ED42+DZ43-EB43</f>
        <v>0</v>
      </c>
      <c r="EE43" s="56"/>
      <c r="EH43" s="55">
        <f t="shared" ref="EH43:EH69" si="289">DY43</f>
        <v>46055</v>
      </c>
      <c r="EI43" s="56"/>
      <c r="EJ43" s="164">
        <f>SUMPRODUCT(PRODUCE!$B56:$DY56,PRODUCE!$EB$22:$IY$22)</f>
        <v>0</v>
      </c>
      <c r="EK43" s="56"/>
      <c r="EL43" s="162">
        <f t="shared" ref="EL43:EL70" si="290">EJ43-EK43</f>
        <v>0</v>
      </c>
      <c r="EM43" s="162">
        <f t="shared" ref="EM43:EM70" si="291">EM42+EI43-EK43</f>
        <v>0</v>
      </c>
      <c r="EN43" s="56"/>
      <c r="EQ43" s="55">
        <f t="shared" ref="EQ43:EQ69" si="292">EH43</f>
        <v>46055</v>
      </c>
      <c r="ER43" s="56"/>
      <c r="ES43" s="171">
        <f>SUMPRODUCT(PRODUCE!$B56:$DY56,PRODUCE!$EB$23:$IY$23)</f>
        <v>0</v>
      </c>
      <c r="ET43" s="56"/>
      <c r="EU43" s="135">
        <f t="shared" ref="EU43:EU70" si="293">ES43-ET43</f>
        <v>0</v>
      </c>
      <c r="EV43" s="135">
        <f t="shared" ref="EV43:EV70" si="294">EV42+ER43-ET43</f>
        <v>0</v>
      </c>
      <c r="EW43" s="56"/>
      <c r="EZ43" s="55">
        <f t="shared" ref="EZ43:EZ69" si="295">EQ43</f>
        <v>46055</v>
      </c>
      <c r="FA43" s="56"/>
      <c r="FB43" s="178">
        <f>SUMPRODUCT(PRODUCE!$B56:$DY56,PRODUCE!$EB$24:$IY$24)</f>
        <v>0</v>
      </c>
      <c r="FC43" s="56"/>
      <c r="FD43" s="175">
        <f t="shared" ref="FD43:FD70" si="296">FB43-FC43</f>
        <v>0</v>
      </c>
      <c r="FE43" s="175">
        <f t="shared" ref="FE43:FE70" si="297">FE42+FA43-FC43</f>
        <v>0</v>
      </c>
      <c r="FF43" s="56"/>
      <c r="FI43" s="55">
        <f t="shared" ref="FI43:FI69" si="298">EZ43</f>
        <v>46055</v>
      </c>
      <c r="FJ43" s="56"/>
      <c r="FK43" s="184">
        <f>SUMPRODUCT(PRODUCE!$B56:$DY56,PRODUCE!$EB$25:$IY$25)</f>
        <v>0</v>
      </c>
      <c r="FL43" s="56"/>
      <c r="FM43" s="183">
        <f t="shared" ref="FM43:FM70" si="299">FK43-FL43</f>
        <v>0</v>
      </c>
      <c r="FN43" s="183">
        <f t="shared" ref="FN43:FN70" si="300">FN42+FJ43-FL43</f>
        <v>0</v>
      </c>
      <c r="FO43" s="56"/>
      <c r="FR43" s="55">
        <f t="shared" ref="FR43:FR69" si="301">FI43</f>
        <v>46055</v>
      </c>
      <c r="FS43" s="422"/>
      <c r="FT43" s="453">
        <f>SUMPRODUCT(PRODUCE!$B56:$DY56,PRODUCE!$EB$26:$IY$26)</f>
        <v>0</v>
      </c>
      <c r="FU43" s="422"/>
      <c r="FV43" s="452">
        <f t="shared" ref="FV43:FV70" si="302">FT43-FU43</f>
        <v>0</v>
      </c>
      <c r="FW43" s="452">
        <f t="shared" ref="FW43:FW70" si="303">FW42+FS43-FU43</f>
        <v>3540</v>
      </c>
      <c r="FX43" s="56"/>
      <c r="GA43" s="55">
        <f t="shared" ref="GA43:GA69" si="304">FR43</f>
        <v>46055</v>
      </c>
      <c r="GB43" s="422"/>
      <c r="GC43" s="455">
        <f>SUMPRODUCT(PRODUCE!$B56:$DY56,PRODUCE!$EB$27:$IY$27)</f>
        <v>0</v>
      </c>
      <c r="GD43" s="422"/>
      <c r="GE43" s="454">
        <f t="shared" ref="GE43:GE70" si="305">GC43-GD43</f>
        <v>0</v>
      </c>
      <c r="GF43" s="454">
        <f t="shared" ref="GF43:GF70" si="306">GF42+GB43-GD43</f>
        <v>3960</v>
      </c>
      <c r="GG43" s="56"/>
      <c r="GI43" s="23"/>
      <c r="GJ43" s="55">
        <f t="shared" ref="GJ43:GJ69" si="307">GA43</f>
        <v>46055</v>
      </c>
      <c r="GK43" s="422"/>
      <c r="GL43" s="457">
        <f>SUMPRODUCT(PRODUCE!$B56:$DY56,PRODUCE!$EB$28:$IY$28)</f>
        <v>0</v>
      </c>
      <c r="GM43" s="422"/>
      <c r="GN43" s="456">
        <f t="shared" ref="GN43:GN70" si="308">GL43-GM43</f>
        <v>0</v>
      </c>
      <c r="GO43" s="456">
        <f t="shared" ref="GO43:GO70" si="309">GO42+GK43-GM43</f>
        <v>3240</v>
      </c>
      <c r="GP43" s="56"/>
      <c r="GS43" s="55">
        <f t="shared" ref="GS43:GS69" si="310">GJ43</f>
        <v>46055</v>
      </c>
      <c r="GT43" s="56"/>
      <c r="GU43" s="196">
        <f>SUMPRODUCT(PRODUCE!$B56:$DY56,PRODUCE!$EB$29:$IY$29)</f>
        <v>0</v>
      </c>
      <c r="GV43" s="56"/>
      <c r="GW43" s="195">
        <f t="shared" ref="GW43:GW70" si="311">GU43-GV43</f>
        <v>0</v>
      </c>
      <c r="GX43" s="195">
        <f t="shared" ref="GX43:GX70" si="312">GX42+GT43-GV43</f>
        <v>0</v>
      </c>
      <c r="GY43" s="56"/>
      <c r="HB43" s="55">
        <f t="shared" ref="HB43:HB69" si="313">GS43</f>
        <v>46055</v>
      </c>
      <c r="HC43" s="56"/>
      <c r="HD43" s="192">
        <f>SUMPRODUCT(PRODUCE!$B56:$DY56,PRODUCE!$EB$30:$IY$30)</f>
        <v>0</v>
      </c>
      <c r="HE43" s="56"/>
      <c r="HF43" s="191">
        <f t="shared" ref="HF43:HF70" si="314">HD43-HE43</f>
        <v>0</v>
      </c>
      <c r="HG43" s="191">
        <f t="shared" ref="HG43:HG70" si="315">HG42+HC43-HE43</f>
        <v>0</v>
      </c>
      <c r="HH43" s="56"/>
      <c r="HK43" s="55">
        <f t="shared" ref="HK43:HK69" si="316">HB43</f>
        <v>46055</v>
      </c>
      <c r="HL43" s="56"/>
      <c r="HM43" s="80">
        <f>SUMPRODUCT(PRODUCE!$B56:$DY56,PRODUCE!$EB$31:$IY$31)</f>
        <v>0</v>
      </c>
      <c r="HN43" s="56"/>
      <c r="HO43" s="63">
        <f t="shared" ref="HO43:HO70" si="317">HM43-HN43</f>
        <v>0</v>
      </c>
      <c r="HP43" s="63">
        <f t="shared" ref="HP43:HP70" si="318">HP42+HL43-HN43</f>
        <v>0</v>
      </c>
      <c r="HQ43" s="56"/>
      <c r="HU43" s="55">
        <f t="shared" ref="HU43:HU69" si="319">HK43</f>
        <v>46055</v>
      </c>
      <c r="HV43" s="56"/>
      <c r="HW43" s="242">
        <f>SUMPRODUCT(PRODUCE!$B56:$DY56,PRODUCE!$EB$32:$IY$32)</f>
        <v>0</v>
      </c>
      <c r="HX43" s="56"/>
      <c r="HY43" s="242">
        <f t="shared" ref="HY43:HY70" si="320">HW43-HX43</f>
        <v>0</v>
      </c>
      <c r="HZ43" s="242">
        <f t="shared" ref="HZ43:HZ70" si="321">HZ42+HV43-HX43</f>
        <v>5440</v>
      </c>
      <c r="IA43" s="56"/>
      <c r="ID43" s="55">
        <f t="shared" ref="ID43:ID69" si="322">HU43</f>
        <v>46055</v>
      </c>
      <c r="IE43" s="56"/>
      <c r="IF43" s="242">
        <f>SUMPRODUCT(PRODUCE!$B56:$DY56,PRODUCE!$EB$33:$IY$33)</f>
        <v>0</v>
      </c>
      <c r="IG43" s="56"/>
      <c r="IH43" s="242">
        <f t="shared" ref="IH43:IH70" si="323">IF43-IG43</f>
        <v>0</v>
      </c>
      <c r="II43" s="242">
        <f t="shared" ref="II43:II70" si="324">II42+IE43-IG43</f>
        <v>5100</v>
      </c>
      <c r="IJ43" s="56"/>
      <c r="IM43" s="55">
        <f t="shared" ref="IM43:IM69" si="325">ID43</f>
        <v>46055</v>
      </c>
      <c r="IN43" s="56"/>
      <c r="IO43" s="242">
        <f>SUMPRODUCT(PRODUCE!$B56:$DY56,PRODUCE!$EB$34:$IY$34)</f>
        <v>0</v>
      </c>
      <c r="IP43" s="56"/>
      <c r="IQ43" s="242">
        <f t="shared" ref="IQ43:IQ70" si="326">IO43-IP43</f>
        <v>0</v>
      </c>
      <c r="IR43" s="242">
        <f t="shared" ref="IR43:IR70" si="327">IR42+IN43-IP43</f>
        <v>16240</v>
      </c>
      <c r="IS43" s="56"/>
      <c r="IV43" s="55">
        <f t="shared" ref="IV43:IV69" si="328">IM43</f>
        <v>46055</v>
      </c>
      <c r="IW43" s="56"/>
      <c r="IX43" s="242">
        <f>SUMPRODUCT(PRODUCE!$B56:$DY56,PRODUCE!$EB$35:$IY$35)</f>
        <v>0</v>
      </c>
      <c r="IY43" s="56"/>
      <c r="IZ43" s="242">
        <f t="shared" ref="IZ43:IZ70" si="329">IX43-IY43</f>
        <v>0</v>
      </c>
      <c r="JA43" s="242">
        <f t="shared" ref="JA43:JA70" si="330">JA42+IW43-IY43</f>
        <v>13120</v>
      </c>
      <c r="JB43" s="56"/>
      <c r="JE43" s="55">
        <f t="shared" ref="JE43:JE69" si="331">IV43</f>
        <v>46055</v>
      </c>
      <c r="JF43" s="56"/>
      <c r="JG43" s="242">
        <f>SUMPRODUCT(PRODUCE!$B56:$DY56,PRODUCE!$EB$36:$IY$36)</f>
        <v>0</v>
      </c>
      <c r="JH43" s="56"/>
      <c r="JI43" s="242">
        <f t="shared" ref="JI43:JI70" si="332">JG43-JH43</f>
        <v>0</v>
      </c>
      <c r="JJ43" s="242">
        <f t="shared" ref="JJ43:JJ70" si="333">JJ42+JF43-JH43</f>
        <v>6800</v>
      </c>
      <c r="JK43" s="56"/>
      <c r="JN43" s="55">
        <f t="shared" ref="JN43:JN69" si="334">JE43</f>
        <v>46055</v>
      </c>
      <c r="JO43" s="56"/>
      <c r="JP43" s="242">
        <f>SUMPRODUCT(PRODUCE!$B56:$DY56,PRODUCE!$EB$37:$IY$37)</f>
        <v>0</v>
      </c>
      <c r="JQ43" s="56"/>
      <c r="JR43" s="242">
        <f t="shared" ref="JR43:JR70" si="335">JP43-JQ43</f>
        <v>0</v>
      </c>
      <c r="JS43" s="242">
        <f t="shared" ref="JS43:JS70" si="336">JS42+JO43-JQ43</f>
        <v>5400</v>
      </c>
      <c r="JT43" s="56"/>
      <c r="JW43" s="55">
        <f t="shared" ref="JW43:JW69" si="337">JN43</f>
        <v>46055</v>
      </c>
      <c r="JX43" s="56"/>
      <c r="JY43" s="242">
        <f>SUMPRODUCT(PRODUCE!$B56:$DY56,PRODUCE!$EB$38:$IY$38)</f>
        <v>0</v>
      </c>
      <c r="JZ43" s="56"/>
      <c r="KA43" s="242">
        <f t="shared" ref="KA43:KA70" si="338">JY43-JZ43</f>
        <v>0</v>
      </c>
      <c r="KB43" s="242">
        <f t="shared" ref="KB43:KB70" si="339">KB42+JX43-JZ43</f>
        <v>2260</v>
      </c>
      <c r="KC43" s="56"/>
      <c r="KF43" s="55">
        <f t="shared" ref="KF43:KF69" si="340">JW43</f>
        <v>46055</v>
      </c>
      <c r="KG43" s="56"/>
      <c r="KH43" s="242">
        <f>SUMPRODUCT(PRODUCE!$B56:$DY56,PRODUCE!$EB$39:$IY$39)</f>
        <v>0</v>
      </c>
      <c r="KI43" s="56"/>
      <c r="KJ43" s="242">
        <f t="shared" ref="KJ43:KJ70" si="341">KH43-KI43</f>
        <v>0</v>
      </c>
      <c r="KK43" s="242">
        <f t="shared" ref="KK43:KK70" si="342">KK42+KG43-KI43</f>
        <v>0</v>
      </c>
      <c r="KL43" s="56"/>
      <c r="KO43" s="55">
        <f t="shared" ref="KO43:KO69" si="343">KF43</f>
        <v>46055</v>
      </c>
      <c r="KP43" s="56"/>
      <c r="KQ43" s="242">
        <f>SUMPRODUCT(PRODUCE!$B56:$DY56,PRODUCE!$EB$40:$IY$40)</f>
        <v>0</v>
      </c>
      <c r="KR43" s="56"/>
      <c r="KS43" s="242">
        <f t="shared" ref="KS43:KS70" si="344">KQ43-KR43</f>
        <v>0</v>
      </c>
      <c r="KT43" s="242">
        <f t="shared" ref="KT43:KT70" si="345">KT42+KP43-KR43</f>
        <v>0</v>
      </c>
      <c r="KU43" s="56"/>
      <c r="KW43" s="23"/>
      <c r="KX43" s="55">
        <f t="shared" ref="KX43:KX69" si="346">KO43</f>
        <v>46055</v>
      </c>
      <c r="KY43" s="56"/>
      <c r="KZ43" s="242">
        <f>SUMPRODUCT(PRODUCE!$B56:$DY56,PRODUCE!$EB$41:$IY$41)</f>
        <v>0</v>
      </c>
      <c r="LA43" s="56"/>
      <c r="LB43" s="242">
        <f t="shared" ref="LB43:LB70" si="347">KZ43-LA43</f>
        <v>0</v>
      </c>
      <c r="LC43" s="242">
        <f t="shared" ref="LC43:LC70" si="348">LC42+KY43-LA43</f>
        <v>0</v>
      </c>
      <c r="LD43" s="56"/>
      <c r="LG43" s="55">
        <f t="shared" ref="LG43:LG69" si="349">KX43</f>
        <v>46055</v>
      </c>
      <c r="LH43" s="56"/>
      <c r="LI43" s="242">
        <f>SUMPRODUCT(PRODUCE!$B56:$DY56,PRODUCE!$EB$42:$IY$42)</f>
        <v>0</v>
      </c>
      <c r="LJ43" s="56"/>
      <c r="LK43" s="242">
        <f t="shared" ref="LK43:LK70" si="350">LI43-LJ43</f>
        <v>0</v>
      </c>
      <c r="LL43" s="242">
        <f t="shared" ref="LL43:LL70" si="351">LL42+LH43-LJ43</f>
        <v>0</v>
      </c>
      <c r="LM43" s="56"/>
      <c r="LP43" s="55">
        <f t="shared" ref="LP43:LP69" si="352">LG43</f>
        <v>46055</v>
      </c>
      <c r="LQ43" s="56"/>
      <c r="LR43" s="242">
        <f>SUMPRODUCT(PRODUCE!$B58:$DY58,PRODUCE!$EB$43:$IY$43)</f>
        <v>0</v>
      </c>
      <c r="LS43" s="56"/>
      <c r="LT43" s="242">
        <f t="shared" ref="LT43:LT70" si="353">LR43-LS43</f>
        <v>0</v>
      </c>
      <c r="LU43" s="242">
        <f t="shared" ref="LU43:LU70" si="354">LU42+LQ43-LS43</f>
        <v>0</v>
      </c>
      <c r="LV43" s="56"/>
      <c r="LY43" s="55">
        <f t="shared" ref="LY43:LY69" si="355">LP43</f>
        <v>46055</v>
      </c>
      <c r="LZ43" s="56"/>
      <c r="MA43" s="242">
        <f>SUMPRODUCT(PRODUCE!$B58:$DY58,PRODUCE!$EB$44:$IY$44)</f>
        <v>0</v>
      </c>
      <c r="MB43" s="56"/>
      <c r="MC43" s="242">
        <f t="shared" ref="MC43:MC70" si="356">MA43-MB43</f>
        <v>0</v>
      </c>
      <c r="MD43" s="242">
        <f t="shared" ref="MD43:MD70" si="357">MD42+LZ43-MB43</f>
        <v>0</v>
      </c>
      <c r="ME43" s="56"/>
      <c r="MH43" s="55">
        <f t="shared" ref="MH43:MH69" si="358">LY43</f>
        <v>46055</v>
      </c>
      <c r="MI43" s="56"/>
      <c r="MJ43" s="242">
        <f>SUMPRODUCT(PRODUCE!$B56:$DY56,PRODUCE!$EB$45:$IY$45)</f>
        <v>0</v>
      </c>
      <c r="MK43" s="56"/>
      <c r="ML43" s="242">
        <f t="shared" ref="ML43:ML70" si="359">MJ43-MK43</f>
        <v>0</v>
      </c>
      <c r="MM43" s="242">
        <f t="shared" ref="MM43:MM70" si="360">MM42+MI43-MK43</f>
        <v>0</v>
      </c>
      <c r="MN43" s="56"/>
      <c r="MQ43" s="55">
        <f t="shared" ref="MQ43:MQ69" si="361">MH43</f>
        <v>46055</v>
      </c>
      <c r="MR43" s="56"/>
      <c r="MS43" s="242">
        <f>SUMPRODUCT(PRODUCE!$B56:$DY56,PRODUCE!$EB$46:$IY$46)</f>
        <v>0</v>
      </c>
      <c r="MT43" s="56"/>
      <c r="MU43" s="242">
        <f t="shared" ref="MU43:MU70" si="362">MS43-MT43</f>
        <v>0</v>
      </c>
      <c r="MV43" s="242">
        <f t="shared" ref="MV43:MV70" si="363">MV42+MR43-MT43</f>
        <v>1969</v>
      </c>
      <c r="MW43" s="56"/>
      <c r="MZ43" s="55">
        <f t="shared" ref="MZ43:MZ69" si="364">MQ43</f>
        <v>46055</v>
      </c>
      <c r="NA43" s="56"/>
      <c r="NB43" s="242">
        <f>SUMPRODUCT(PRODUCE!$B56:$DY56,PRODUCE!$EB$47:$IY$47)</f>
        <v>0</v>
      </c>
      <c r="NC43" s="56"/>
      <c r="ND43" s="242">
        <f t="shared" ref="ND43:ND70" si="365">NB43-NC43</f>
        <v>0</v>
      </c>
      <c r="NE43" s="242">
        <f t="shared" ref="NE43:NE70" si="366">NE42+NA43-NC43</f>
        <v>0</v>
      </c>
      <c r="NF43" s="56"/>
      <c r="NI43" s="55">
        <f t="shared" ref="NI43:NI70" si="367">MZ43</f>
        <v>46055</v>
      </c>
      <c r="NJ43" s="56"/>
      <c r="NK43" s="242">
        <f>SUMPRODUCT(PRODUCE!$B56:$DY56,PRODUCE!$EB$48:$IY$48)</f>
        <v>0</v>
      </c>
      <c r="NL43" s="56"/>
      <c r="NM43" s="242">
        <f t="shared" ref="NM43:NM70" si="368">NK43-NL43</f>
        <v>0</v>
      </c>
      <c r="NN43" s="242">
        <f t="shared" ref="NN43:NN70" si="369">NN42+NJ43-NL43</f>
        <v>0</v>
      </c>
      <c r="NO43" s="56"/>
      <c r="NR43" s="55">
        <f t="shared" ref="NR43:NR69" si="370">MZ43</f>
        <v>46055</v>
      </c>
      <c r="NS43" s="56"/>
      <c r="NT43" s="242">
        <f>SUMPRODUCT(PRODUCE!$B56:$DY56,PRODUCE!$EB$49:$IY$49)</f>
        <v>0</v>
      </c>
      <c r="NU43" s="56"/>
      <c r="NV43" s="242">
        <f t="shared" ref="NV43:NV70" si="371">NT43-NU43</f>
        <v>0</v>
      </c>
      <c r="NW43" s="242">
        <f t="shared" ref="NW43:NW70" si="372">NW42+NS43-NU43</f>
        <v>0</v>
      </c>
      <c r="NX43" s="56"/>
      <c r="OA43" s="55">
        <f t="shared" ref="OA43:OA69" si="373">NR43</f>
        <v>46055</v>
      </c>
      <c r="OB43" s="56"/>
      <c r="OC43" s="242">
        <f>SUMPRODUCT(PRODUCE!$B56:$DY56,PRODUCE!$EB$50:$IY$50)</f>
        <v>0</v>
      </c>
      <c r="OD43" s="56"/>
      <c r="OE43" s="242">
        <f t="shared" ref="OE43:OE70" si="374">OC43-OD43</f>
        <v>0</v>
      </c>
      <c r="OF43" s="242">
        <f t="shared" ref="OF43:OF70" si="375">OF42+OB43-OD43</f>
        <v>1680.5</v>
      </c>
      <c r="OG43" s="56"/>
      <c r="OJ43" s="55">
        <f t="shared" ref="OJ43:OJ69" si="376">OA43</f>
        <v>46055</v>
      </c>
      <c r="OK43" s="56"/>
      <c r="OL43" s="242">
        <f>SUMPRODUCT(PRODUCE!$B56:$DY56,PRODUCE!$EB$51:$IY$51)</f>
        <v>0</v>
      </c>
      <c r="OM43" s="56"/>
      <c r="ON43" s="242">
        <f t="shared" ref="ON43:ON70" si="377">OL43-OM43</f>
        <v>0</v>
      </c>
      <c r="OO43" s="242">
        <f t="shared" ref="OO43:OO70" si="378">OO42+OK43-OM43</f>
        <v>0</v>
      </c>
      <c r="OP43" s="56"/>
      <c r="OS43" s="55">
        <f t="shared" ref="OS43:OS69" si="379">OJ43</f>
        <v>46055</v>
      </c>
      <c r="OT43" s="56"/>
      <c r="OU43" s="242">
        <f>SUMPRODUCT(PRODUCE!$B56:$DY56,PRODUCE!$EB$52:$IY$52)</f>
        <v>0</v>
      </c>
      <c r="OV43" s="56"/>
      <c r="OW43" s="242">
        <f t="shared" ref="OW43:OW70" si="380">OU43-OV43</f>
        <v>0</v>
      </c>
      <c r="OX43" s="242">
        <f t="shared" ref="OX43:OX70" si="381">OX42+OT43-OV43</f>
        <v>0</v>
      </c>
      <c r="OY43" s="56"/>
      <c r="PB43" s="55">
        <f t="shared" ref="PB43:PB69" si="382">OS43</f>
        <v>46055</v>
      </c>
      <c r="PC43" s="56"/>
      <c r="PD43" s="242">
        <f>SUMPRODUCT(PRODUCE!$B56:$DY56,PRODUCE!$EB$53:$IY$53)</f>
        <v>0</v>
      </c>
      <c r="PE43" s="56"/>
      <c r="PF43" s="242">
        <f t="shared" ref="PF43:PF70" si="383">PD43-PE43</f>
        <v>0</v>
      </c>
      <c r="PG43" s="242">
        <f t="shared" ref="PG43:PG70" si="384">PG42+PC43-PE43</f>
        <v>0</v>
      </c>
      <c r="PH43" s="56"/>
      <c r="PK43" s="55">
        <f t="shared" ref="PK43:PK69" si="385">PB43</f>
        <v>46055</v>
      </c>
      <c r="PL43" s="56"/>
      <c r="PM43" s="242">
        <f>SUMPRODUCT(PRODUCE!$B56:$DY56,PRODUCE!$EB$54:$IY$54)</f>
        <v>0</v>
      </c>
      <c r="PN43" s="56"/>
      <c r="PO43" s="242">
        <f t="shared" ref="PO43:PO70" si="386">PM43-PN43</f>
        <v>0</v>
      </c>
      <c r="PP43" s="242">
        <f t="shared" ref="PP43:PP70" si="387">PP42+PL43-PN43</f>
        <v>160</v>
      </c>
      <c r="PQ43" s="56"/>
      <c r="PT43" s="55">
        <f t="shared" ref="PT43:PT69" si="388">PK43</f>
        <v>46055</v>
      </c>
      <c r="PU43" s="56"/>
      <c r="PV43" s="242">
        <f>SUMPRODUCT(PRODUCE!$B56:$DY56,PRODUCE!$EB$55:$IY$55)</f>
        <v>0</v>
      </c>
      <c r="PW43" s="56"/>
      <c r="PX43" s="242">
        <f t="shared" ref="PX43:PX70" si="389">PV43-PW43</f>
        <v>0</v>
      </c>
      <c r="PY43" s="242">
        <f t="shared" ref="PY43:PY70" si="390">PY42+PU43-PW43</f>
        <v>13.960000000000036</v>
      </c>
      <c r="PZ43" s="56"/>
      <c r="QC43" s="55">
        <f t="shared" ref="QC43:QC69" si="391">PT43</f>
        <v>46055</v>
      </c>
      <c r="QD43" s="56"/>
      <c r="QE43" s="242">
        <f>SUMPRODUCT(PRODUCE!$B56:$DY56,PRODUCE!$EB$56:$IY$56)</f>
        <v>0</v>
      </c>
      <c r="QF43" s="56"/>
      <c r="QG43" s="242">
        <f t="shared" ref="QG43:QG70" si="392">QE43-QF43</f>
        <v>0</v>
      </c>
      <c r="QH43" s="242">
        <f t="shared" ref="QH43:QH70" si="393">QH42+QD43-QF43</f>
        <v>0</v>
      </c>
      <c r="QI43" s="56"/>
      <c r="QL43" s="55">
        <f t="shared" ref="QL43:QL69" si="394">QC43</f>
        <v>46055</v>
      </c>
      <c r="QM43" s="56"/>
      <c r="QN43" s="242">
        <f>SUMPRODUCT(PRODUCE!$B56:$DY56,PRODUCE!$EB$57:$IY$57)</f>
        <v>0</v>
      </c>
      <c r="QO43" s="56"/>
      <c r="QP43" s="242">
        <f t="shared" ref="QP43:QP70" si="395">QN43-QO43</f>
        <v>0</v>
      </c>
      <c r="QQ43" s="242">
        <f t="shared" ref="QQ43:QQ70" si="396">QQ42+QM43-QO43</f>
        <v>0</v>
      </c>
      <c r="QR43" s="56"/>
      <c r="QU43" s="55">
        <f t="shared" ref="QU43:QU69" si="397">QL43</f>
        <v>46055</v>
      </c>
      <c r="QV43" s="56"/>
      <c r="QW43" s="242">
        <f>SUMPRODUCT(PRODUCE!$B56:$DY56,PRODUCE!$EB$57:$IY$57)</f>
        <v>0</v>
      </c>
      <c r="QX43" s="56"/>
      <c r="QY43" s="242">
        <f t="shared" ref="QY43:QY70" si="398">QW43-QX43</f>
        <v>0</v>
      </c>
      <c r="QZ43" s="242">
        <f t="shared" ref="QZ43:QZ70" si="399">QZ42+QV43-QX43</f>
        <v>207.6</v>
      </c>
      <c r="RA43" s="56"/>
      <c r="RD43" s="55">
        <f t="shared" ref="RD43:RD69" si="400">QU43</f>
        <v>46055</v>
      </c>
      <c r="RE43" s="56"/>
      <c r="RF43" s="242">
        <f>SUMPRODUCT(PRODUCE!$B56:$DY56,PRODUCE!$EB$58:$IY$58)</f>
        <v>0</v>
      </c>
      <c r="RG43" s="56"/>
      <c r="RH43" s="242">
        <f t="shared" ref="RH43:RH70" si="401">RF43-RG43</f>
        <v>0</v>
      </c>
      <c r="RI43" s="242">
        <f t="shared" ref="RI43:RI70" si="402">RI42+RE43-RG43</f>
        <v>201.8</v>
      </c>
      <c r="RJ43" s="56"/>
      <c r="RM43" s="55">
        <f t="shared" ref="RM43:RM69" si="403">RD43</f>
        <v>46055</v>
      </c>
      <c r="RN43" s="56"/>
      <c r="RO43" s="242">
        <f>SUMPRODUCT(PRODUCE!$B56:$DY56,PRODUCE!$EB$57:$IY$57)</f>
        <v>0</v>
      </c>
      <c r="RP43" s="56"/>
      <c r="RQ43" s="242">
        <f t="shared" ref="RQ43:RQ70" si="404">RO43-RP43</f>
        <v>0</v>
      </c>
      <c r="RR43" s="242">
        <f t="shared" ref="RR43:RR70" si="405">RR42+RN43-RP43</f>
        <v>22.720000000000002</v>
      </c>
      <c r="RS43" s="56"/>
      <c r="RV43" s="55">
        <f t="shared" ref="RV43:RV69" si="406">RM43</f>
        <v>46055</v>
      </c>
      <c r="RW43" s="56"/>
      <c r="RX43" s="242">
        <f>SUMPRODUCT(PRODUCE!$B56:$DY56,PRODUCE!$EB$57:$IY$57)</f>
        <v>0</v>
      </c>
      <c r="RY43" s="56"/>
      <c r="RZ43" s="242">
        <f t="shared" ref="RZ43:RZ70" si="407">RX43-RY43</f>
        <v>0</v>
      </c>
      <c r="SA43" s="242">
        <f t="shared" ref="SA43:SA70" si="408">SA42+RW43-RY43</f>
        <v>0</v>
      </c>
      <c r="SB43" s="56"/>
      <c r="SE43" s="55">
        <f t="shared" ref="SE43:SE69" si="409">RV43</f>
        <v>46055</v>
      </c>
      <c r="SF43" s="56"/>
      <c r="SG43" s="242">
        <f>SUMPRODUCT(PRODUCE!$B56:$DY56,PRODUCE!$EB$57:$IY$57)</f>
        <v>0</v>
      </c>
      <c r="SH43" s="56"/>
      <c r="SI43" s="242">
        <f t="shared" ref="SI43:SI70" si="410">SG43-SH43</f>
        <v>0</v>
      </c>
      <c r="SJ43" s="242">
        <f t="shared" ref="SJ43:SJ70" si="411">SJ42+SF43-SH43</f>
        <v>0</v>
      </c>
      <c r="SK43" s="56"/>
      <c r="SN43" s="55">
        <f t="shared" ref="SN43:SN69" si="412">SE43</f>
        <v>46055</v>
      </c>
      <c r="SO43" s="56"/>
      <c r="SP43" s="242">
        <f>SUMPRODUCT(PRODUCE!$B56:$DY56,PRODUCE!$EB$57:$IY$57)</f>
        <v>0</v>
      </c>
      <c r="SQ43" s="56"/>
      <c r="SR43" s="242">
        <f t="shared" ref="SR43:SR70" si="413">SP43-SQ43</f>
        <v>0</v>
      </c>
      <c r="SS43" s="242">
        <f t="shared" ref="SS43:SS70" si="414">SS42+SO43-SQ43</f>
        <v>0</v>
      </c>
      <c r="ST43" s="56"/>
      <c r="SW43" s="55">
        <f t="shared" ref="SW43:SW69" si="415">SN43</f>
        <v>46055</v>
      </c>
      <c r="SX43" s="56"/>
      <c r="SY43" s="242">
        <f>SUMPRODUCT(PRODUCE!$B56:$DY56,PRODUCE!$EB$57:$IY$57)</f>
        <v>0</v>
      </c>
      <c r="SZ43" s="56"/>
      <c r="TA43" s="242">
        <f t="shared" ref="TA43:TA70" si="416">SY43-SZ43</f>
        <v>0</v>
      </c>
      <c r="TB43" s="242">
        <f t="shared" ref="TB43:TB70" si="417">TB42+SX43-SZ43</f>
        <v>270</v>
      </c>
      <c r="TC43" s="56"/>
      <c r="TF43" s="55">
        <f t="shared" ref="TF43:TF69" si="418">SW43</f>
        <v>46055</v>
      </c>
      <c r="TG43" s="56"/>
      <c r="TH43" s="242">
        <f>SUMPRODUCT(PRODUCE!$B56:$DY56,PRODUCE!$EB$57:$IY$57)</f>
        <v>0</v>
      </c>
      <c r="TI43" s="56"/>
      <c r="TJ43" s="242">
        <f t="shared" ref="TJ43:TJ70" si="419">TH43-TI43</f>
        <v>0</v>
      </c>
      <c r="TK43" s="242">
        <f t="shared" ref="TK43:TK70" si="420">TK42+TG43-TI43</f>
        <v>0</v>
      </c>
      <c r="TL43" s="56"/>
      <c r="TO43" s="55">
        <f t="shared" ref="TO43:TO69" si="421">TF43</f>
        <v>46055</v>
      </c>
      <c r="TP43" s="56"/>
      <c r="TQ43" s="242">
        <f>SUMPRODUCT(PRODUCE!$B56:$DY56,PRODUCE!$EB$57:$IY$57)</f>
        <v>0</v>
      </c>
      <c r="TR43" s="56"/>
      <c r="TS43" s="242">
        <f t="shared" ref="TS43:TS70" si="422">TQ43-TR43</f>
        <v>0</v>
      </c>
      <c r="TT43" s="242">
        <f t="shared" ref="TT43:TT70" si="423">TT42+TP43-TR43</f>
        <v>0</v>
      </c>
      <c r="TU43" s="56"/>
      <c r="TX43" s="55">
        <f t="shared" ref="TX43:TX69" si="424">TO43</f>
        <v>46055</v>
      </c>
      <c r="TY43" s="56"/>
      <c r="TZ43" s="242">
        <f>SUMPRODUCT(PRODUCE!$B56:$DY56,PRODUCE!$EB$57:$IY$57)</f>
        <v>0</v>
      </c>
      <c r="UA43" s="56"/>
      <c r="UB43" s="242">
        <f t="shared" ref="UB43:UB70" si="425">TZ43-UA43</f>
        <v>0</v>
      </c>
      <c r="UC43" s="242">
        <f t="shared" ref="UC43:UC70" si="426">UC42+TY43-UA43</f>
        <v>0</v>
      </c>
      <c r="UD43" s="56"/>
      <c r="UG43" s="55">
        <f t="shared" ref="UG43:UG69" si="427">TX43</f>
        <v>46055</v>
      </c>
      <c r="UH43" s="56"/>
      <c r="UI43" s="242">
        <f>SUMPRODUCT(PRODUCE!$B56:$DY56,PRODUCE!$EB$57:$IY$57)</f>
        <v>0</v>
      </c>
      <c r="UJ43" s="56"/>
      <c r="UK43" s="242">
        <f t="shared" ref="UK43:UK70" si="428">UI43-UJ43</f>
        <v>0</v>
      </c>
      <c r="UL43" s="242">
        <f t="shared" ref="UL43:UL70" si="429">UL42+UH43-UJ43</f>
        <v>0</v>
      </c>
      <c r="UM43" s="56"/>
      <c r="UP43" s="55">
        <f t="shared" ref="UP43:UP69" si="430">UG43</f>
        <v>46055</v>
      </c>
      <c r="UQ43" s="56"/>
      <c r="UR43" s="242">
        <f>SUMPRODUCT(PRODUCE!$B56:$DY56,PRODUCE!$EB$57:$IY$57)</f>
        <v>0</v>
      </c>
      <c r="US43" s="56"/>
      <c r="UT43" s="242">
        <f t="shared" ref="UT43:UT70" si="431">UR43-US43</f>
        <v>0</v>
      </c>
      <c r="UU43" s="242">
        <f t="shared" ref="UU43:UU70" si="432">UU42+UQ43-US43</f>
        <v>0</v>
      </c>
      <c r="UV43" s="56"/>
      <c r="UY43" s="55">
        <f t="shared" ref="UY43:UY69" si="433">UP43</f>
        <v>46055</v>
      </c>
      <c r="UZ43" s="56"/>
      <c r="VA43" s="242">
        <f>SUMPRODUCT(PRODUCE!$B56:$DY56,PRODUCE!$EB$57:$IY$57)</f>
        <v>0</v>
      </c>
      <c r="VB43" s="56"/>
      <c r="VC43" s="242">
        <f t="shared" ref="VC43:VC70" si="434">VA43-VB43</f>
        <v>0</v>
      </c>
      <c r="VD43" s="242">
        <f t="shared" ref="VD43:VD70" si="435">VD42+UZ43-VB43</f>
        <v>41.600000000000023</v>
      </c>
      <c r="VE43" s="56"/>
      <c r="VH43" s="55">
        <f t="shared" ref="VH43:VH69" si="436">UY43</f>
        <v>46055</v>
      </c>
      <c r="VI43" s="56"/>
      <c r="VJ43" s="242">
        <f>SUMPRODUCT(PRODUCE!$B56:$DY56,PRODUCE!$EB$57:$IY$57)</f>
        <v>0</v>
      </c>
      <c r="VK43" s="56"/>
      <c r="VL43" s="242">
        <f t="shared" ref="VL43:VL70" si="437">VJ43-VK43</f>
        <v>0</v>
      </c>
      <c r="VM43" s="242">
        <f t="shared" ref="VM43:VM70" si="438">VM42+VI43-VK43</f>
        <v>0</v>
      </c>
      <c r="VN43" s="56"/>
      <c r="VQ43" s="55">
        <f t="shared" ref="VQ43:VQ69" si="439">VH43</f>
        <v>46055</v>
      </c>
      <c r="VR43" s="56"/>
      <c r="VS43" s="242">
        <f>SUMPRODUCT(PRODUCE!$B56:$DY56,PRODUCE!$EB$57:$IY$57)</f>
        <v>0</v>
      </c>
      <c r="VT43" s="56"/>
      <c r="VU43" s="242">
        <f t="shared" ref="VU43:VU70" si="440">VS43-VT43</f>
        <v>0</v>
      </c>
      <c r="VV43" s="242">
        <f t="shared" ref="VV43:VV70" si="441">VV42+VR43-VT43</f>
        <v>0</v>
      </c>
      <c r="VW43" s="56"/>
      <c r="VZ43" s="55">
        <f t="shared" ref="VZ43:VZ69" si="442">VQ43</f>
        <v>46055</v>
      </c>
      <c r="WA43" s="56"/>
      <c r="WB43" s="242">
        <f>SUMPRODUCT(PRODUCE!$B56:$DY56,PRODUCE!$EB$57:$IY$57)</f>
        <v>0</v>
      </c>
      <c r="WC43" s="56"/>
      <c r="WD43" s="242">
        <f t="shared" ref="WD43:WD70" si="443">WB43-WC43</f>
        <v>0</v>
      </c>
      <c r="WE43" s="242">
        <f t="shared" ref="WE43:WE70" si="444">WE42+WA43-WC43</f>
        <v>0</v>
      </c>
      <c r="WF43" s="56"/>
      <c r="WI43" s="55">
        <f t="shared" ref="WI43:WI69" si="445">VZ43</f>
        <v>46055</v>
      </c>
      <c r="WJ43" s="56"/>
      <c r="WK43" s="242">
        <f>SUMPRODUCT(PRODUCE!$B56:$DY56,PRODUCE!$EB$57:$IY$57)</f>
        <v>0</v>
      </c>
      <c r="WL43" s="56"/>
      <c r="WM43" s="242">
        <f t="shared" ref="WM43:WM70" si="446">WK43-WL43</f>
        <v>0</v>
      </c>
      <c r="WN43" s="242">
        <f t="shared" ref="WN43:WN70" si="447">WN42+WJ43-WL43</f>
        <v>9609</v>
      </c>
      <c r="WO43" s="56"/>
      <c r="WR43" s="55">
        <f t="shared" ref="WR43:WR69" si="448">WI43</f>
        <v>46055</v>
      </c>
      <c r="WS43" s="56"/>
      <c r="WT43" s="242">
        <f>SUMPRODUCT(PRODUCE!$B56:$DY56,PRODUCE!$EB$57:$IY$57)</f>
        <v>0</v>
      </c>
      <c r="WU43" s="56"/>
      <c r="WV43" s="242">
        <f t="shared" ref="WV43:WV70" si="449">WT43-WU43</f>
        <v>0</v>
      </c>
      <c r="WW43" s="242">
        <f t="shared" ref="WW43:WW70" si="450">WW42+WS43-WU43</f>
        <v>8149</v>
      </c>
      <c r="WX43" s="56"/>
      <c r="XA43" s="55">
        <f t="shared" ref="XA43:XA69" si="451">WR43</f>
        <v>46055</v>
      </c>
      <c r="XB43" s="56"/>
      <c r="XC43" s="242">
        <f>SUMPRODUCT(PRODUCE!$B56:$DY56,PRODUCE!$EB$57:$IY$57)</f>
        <v>0</v>
      </c>
      <c r="XD43" s="56"/>
      <c r="XE43" s="242">
        <f t="shared" ref="XE43:XE70" si="452">XC43-XD43</f>
        <v>0</v>
      </c>
      <c r="XF43" s="242">
        <f t="shared" ref="XF43:XF70" si="453">XF42+XB43-XD43</f>
        <v>911</v>
      </c>
      <c r="XG43" s="56"/>
      <c r="XJ43" s="55">
        <f t="shared" ref="XJ43:XJ69" si="454">XA43</f>
        <v>46055</v>
      </c>
      <c r="XK43" s="56"/>
      <c r="XL43" s="242">
        <f>SUMPRODUCT(PRODUCE!$B56:$DY56,PRODUCE!$EB$57:$IY$57)</f>
        <v>0</v>
      </c>
      <c r="XM43" s="56"/>
      <c r="XN43" s="242">
        <f t="shared" ref="XN43:XN70" si="455">XL43-XM43</f>
        <v>0</v>
      </c>
      <c r="XO43" s="242">
        <f t="shared" ref="XO43:XO70" si="456">XO42+XK43-XM43</f>
        <v>6240</v>
      </c>
      <c r="XP43" s="56"/>
      <c r="XS43" s="55">
        <f t="shared" ref="XS43:XS69" si="457">XJ43</f>
        <v>46055</v>
      </c>
      <c r="XT43" s="56"/>
      <c r="XU43" s="242">
        <f>SUMPRODUCT(PRODUCE!$B56:$DY56,PRODUCE!$EB$57:$IY$57)</f>
        <v>0</v>
      </c>
      <c r="XV43" s="56"/>
      <c r="XW43" s="242">
        <f t="shared" ref="XW43:XW70" si="458">XU43-XV43</f>
        <v>0</v>
      </c>
      <c r="XX43" s="242">
        <f t="shared" ref="XX43:XX70" si="459">XX42+XT43-XV43</f>
        <v>1901</v>
      </c>
      <c r="XY43" s="56"/>
      <c r="YB43" s="55">
        <f t="shared" ref="YB43:YB69" si="460">XS43</f>
        <v>46055</v>
      </c>
      <c r="YC43" s="56"/>
      <c r="YD43" s="242">
        <f>SUMPRODUCT(PRODUCE!$B56:$DY56,PRODUCE!$EB$57:$IY$57)</f>
        <v>0</v>
      </c>
      <c r="YE43" s="56"/>
      <c r="YF43" s="242">
        <f t="shared" ref="YF43:YF70" si="461">YD43-YE43</f>
        <v>0</v>
      </c>
      <c r="YG43" s="242">
        <f t="shared" ref="YG43:YG70" si="462">YG42+YC43-YE43</f>
        <v>1885</v>
      </c>
      <c r="YH43" s="56"/>
      <c r="YK43" s="55">
        <f t="shared" ref="YK43:YK69" si="463">YB43</f>
        <v>46055</v>
      </c>
      <c r="YL43" s="56"/>
      <c r="YM43" s="242">
        <f>SUMPRODUCT(PRODUCE!$B56:$DY56,PRODUCE!$EB$57:$IY$57)</f>
        <v>0</v>
      </c>
      <c r="YN43" s="56"/>
      <c r="YO43" s="242">
        <f t="shared" ref="YO43:YO70" si="464">YM43-YN43</f>
        <v>0</v>
      </c>
      <c r="YP43" s="242">
        <f t="shared" ref="YP43:YP70" si="465">YP42+YL43-YN43</f>
        <v>0</v>
      </c>
      <c r="YQ43" s="56"/>
      <c r="YT43" s="55">
        <f t="shared" ref="YT43:YT69" si="466">YK43</f>
        <v>46055</v>
      </c>
      <c r="YU43" s="56"/>
      <c r="YV43" s="242">
        <f>SUMPRODUCT(PRODUCE!$B56:$DY56,PRODUCE!$EB$57:$IY$57)</f>
        <v>0</v>
      </c>
      <c r="YW43" s="56"/>
      <c r="YX43" s="242">
        <f t="shared" ref="YX43:YX70" si="467">YV43-YW43</f>
        <v>0</v>
      </c>
      <c r="YY43" s="242">
        <f t="shared" ref="YY43:YY70" si="468">YY42+YU43-YW43</f>
        <v>0</v>
      </c>
      <c r="YZ43" s="56"/>
      <c r="ZC43" s="55">
        <f t="shared" ref="ZC43:ZC69" si="469">YT43</f>
        <v>46055</v>
      </c>
      <c r="ZD43" s="56"/>
      <c r="ZE43" s="242">
        <f>SUMPRODUCT(PRODUCE!$B56:$DY56,PRODUCE!$EB$57:$IY$57)</f>
        <v>0</v>
      </c>
      <c r="ZF43" s="56"/>
      <c r="ZG43" s="242">
        <f t="shared" ref="ZG43:ZG70" si="470">ZE43-ZF43</f>
        <v>0</v>
      </c>
      <c r="ZH43" s="242">
        <f t="shared" ref="ZH43:ZH70" si="471">ZH42+ZD43-ZF43</f>
        <v>0</v>
      </c>
      <c r="ZI43" s="56"/>
      <c r="ZL43" s="55">
        <f t="shared" ref="ZL43:ZL69" si="472">ZC43</f>
        <v>46055</v>
      </c>
      <c r="ZM43" s="56"/>
      <c r="ZN43" s="242">
        <f>SUMPRODUCT(PRODUCE!$B56:$DY56,PRODUCE!$EB$57:$IY$57)</f>
        <v>0</v>
      </c>
      <c r="ZO43" s="56"/>
      <c r="ZP43" s="242">
        <f t="shared" ref="ZP43:ZP70" si="473">ZN43-ZO43</f>
        <v>0</v>
      </c>
      <c r="ZQ43" s="242">
        <f t="shared" ref="ZQ43:ZQ70" si="474">ZQ42+ZM43-ZO43</f>
        <v>0</v>
      </c>
      <c r="ZR43" s="56"/>
      <c r="ZU43" s="55">
        <f t="shared" ref="ZU43:ZU69" si="475">ZL43</f>
        <v>46055</v>
      </c>
      <c r="ZV43" s="56"/>
      <c r="ZW43" s="242">
        <f>SUMPRODUCT(PRODUCE!$B56:$DY56,PRODUCE!$EB$57:$IY$57)</f>
        <v>0</v>
      </c>
      <c r="ZX43" s="56"/>
      <c r="ZY43" s="242">
        <f t="shared" ref="ZY43:ZY70" si="476">ZW43-ZX43</f>
        <v>0</v>
      </c>
      <c r="ZZ43" s="242">
        <f t="shared" ref="ZZ43:ZZ70" si="477">ZZ42+ZV43-ZX43</f>
        <v>0</v>
      </c>
      <c r="AAA43" s="56"/>
      <c r="AAD43" s="55">
        <f t="shared" ref="AAD43:AAD69" si="478">ZU43</f>
        <v>46055</v>
      </c>
      <c r="AAE43" s="56"/>
      <c r="AAF43" s="242">
        <f>SUMPRODUCT(PRODUCE!$B56:$DY56,PRODUCE!$EB$57:$IY$57)</f>
        <v>0</v>
      </c>
      <c r="AAG43" s="56"/>
      <c r="AAH43" s="242">
        <f t="shared" ref="AAH43:AAH70" si="479">AAF43-AAG43</f>
        <v>0</v>
      </c>
      <c r="AAI43" s="242">
        <f t="shared" ref="AAI43:AAI70" si="480">AAI42+AAE43-AAG43</f>
        <v>0</v>
      </c>
      <c r="AAJ43" s="56"/>
      <c r="AAM43" s="55">
        <f t="shared" ref="AAM43:AAM69" si="481">AAD43</f>
        <v>46055</v>
      </c>
      <c r="AAN43" s="56"/>
      <c r="AAO43" s="242">
        <f>SUMPRODUCT(PRODUCE!$B56:$DY56,PRODUCE!$EB$57:$IY$57)</f>
        <v>0</v>
      </c>
      <c r="AAP43" s="56"/>
      <c r="AAQ43" s="242">
        <f t="shared" ref="AAQ43:AAQ70" si="482">AAO43-AAP43</f>
        <v>0</v>
      </c>
      <c r="AAR43" s="242">
        <f t="shared" ref="AAR43:AAR70" si="483">AAR42+AAN43-AAP43</f>
        <v>0</v>
      </c>
      <c r="AAS43" s="56"/>
      <c r="AAV43" s="55">
        <f t="shared" ref="AAV43:AAV69" si="484">AAM43</f>
        <v>46055</v>
      </c>
      <c r="AAW43" s="56"/>
      <c r="AAX43" s="242">
        <f>SUMPRODUCT(PRODUCE!$B56:$DY56,PRODUCE!$EB$57:$IY$57)</f>
        <v>0</v>
      </c>
      <c r="AAY43" s="56"/>
      <c r="AAZ43" s="242">
        <f t="shared" ref="AAZ43:AAZ70" si="485">AAX43-AAY43</f>
        <v>0</v>
      </c>
      <c r="ABA43" s="242">
        <f t="shared" ref="ABA43:ABA70" si="486">ABA42+AAW43-AAY43</f>
        <v>0</v>
      </c>
      <c r="ABB43" s="56"/>
      <c r="ABE43" s="55">
        <f t="shared" ref="ABE43:ABE69" si="487">AAV43</f>
        <v>46055</v>
      </c>
      <c r="ABF43" s="56"/>
      <c r="ABG43" s="242">
        <f>SUMPRODUCT(PRODUCE!$B56:$DY56,PRODUCE!$EB$57:$IY$57)</f>
        <v>0</v>
      </c>
      <c r="ABH43" s="56"/>
      <c r="ABI43" s="242">
        <f t="shared" ref="ABI43:ABI70" si="488">ABG43-ABH43</f>
        <v>0</v>
      </c>
      <c r="ABJ43" s="242">
        <f t="shared" ref="ABJ43:ABJ70" si="489">ABJ42+ABF43-ABH43</f>
        <v>0</v>
      </c>
      <c r="ABK43" s="56"/>
    </row>
    <row r="44" spans="1:739" s="54" customFormat="1" ht="15" customHeight="1" outlineLevel="1">
      <c r="B44" s="478">
        <f>16+26</f>
        <v>42</v>
      </c>
      <c r="C44" s="55">
        <v>46056</v>
      </c>
      <c r="D44" s="422"/>
      <c r="E44" s="424">
        <f>SUMPRODUCT(PRODUCE!$B57:$DY57,PRODUCE!$EB$7:$IY$7)</f>
        <v>24015</v>
      </c>
      <c r="F44" s="422">
        <v>24017</v>
      </c>
      <c r="G44" s="423">
        <f t="shared" si="247"/>
        <v>-2</v>
      </c>
      <c r="H44" s="423">
        <f t="shared" si="245"/>
        <v>217771.19999999998</v>
      </c>
      <c r="I44" s="324" t="s">
        <v>197</v>
      </c>
      <c r="L44" s="55">
        <f t="shared" si="246"/>
        <v>46056</v>
      </c>
      <c r="M44" s="422"/>
      <c r="N44" s="439">
        <f>SUMPRODUCT(PRODUCE!$B57:$DY57,PRODUCE!$EB$8:$IY$8)</f>
        <v>9437.9999999999982</v>
      </c>
      <c r="O44" s="422">
        <v>9441.6</v>
      </c>
      <c r="P44" s="438">
        <f t="shared" si="248"/>
        <v>-3.6000000000021828</v>
      </c>
      <c r="Q44" s="438">
        <f t="shared" si="249"/>
        <v>65456.6</v>
      </c>
      <c r="R44" s="56"/>
      <c r="U44" s="55">
        <f t="shared" si="250"/>
        <v>46056</v>
      </c>
      <c r="V44" s="422"/>
      <c r="W44" s="441">
        <f>SUMPRODUCT(PRODUCE!$B57:$DY57,PRODUCE!$EB$9:$IY$9)</f>
        <v>2580</v>
      </c>
      <c r="X44" s="422">
        <v>2579.8000000000002</v>
      </c>
      <c r="Y44" s="440">
        <f t="shared" si="251"/>
        <v>0.1999999999998181</v>
      </c>
      <c r="Z44" s="440">
        <f t="shared" si="252"/>
        <v>47305.199999999983</v>
      </c>
      <c r="AA44" s="56"/>
      <c r="AD44" s="55">
        <f t="shared" si="253"/>
        <v>46056</v>
      </c>
      <c r="AE44" s="422"/>
      <c r="AF44" s="443">
        <f>SUMPRODUCT(PRODUCE!$B57:$DY57,PRODUCE!$EB$10:$IY$10)</f>
        <v>2420</v>
      </c>
      <c r="AG44" s="422">
        <v>2421</v>
      </c>
      <c r="AH44" s="442">
        <f t="shared" si="254"/>
        <v>-1</v>
      </c>
      <c r="AI44" s="442">
        <f t="shared" si="255"/>
        <v>50351.200000000012</v>
      </c>
      <c r="AJ44" s="56"/>
      <c r="AM44" s="55">
        <f t="shared" si="256"/>
        <v>46056</v>
      </c>
      <c r="AN44" s="422"/>
      <c r="AO44" s="445">
        <f>SUMPRODUCT(PRODUCE!$B57:$DY57,PRODUCE!$EB$11:$IY$11)</f>
        <v>0</v>
      </c>
      <c r="AP44" s="422"/>
      <c r="AQ44" s="444">
        <f t="shared" si="257"/>
        <v>0</v>
      </c>
      <c r="AR44" s="444">
        <f t="shared" si="258"/>
        <v>0</v>
      </c>
      <c r="AS44" s="56"/>
      <c r="AV44" s="55">
        <f t="shared" si="259"/>
        <v>46056</v>
      </c>
      <c r="AW44" s="422"/>
      <c r="AX44" s="447">
        <f>SUMPRODUCT(PRODUCE!$B57:$DY57,PRODUCE!$EB$12:$IY$12)</f>
        <v>768</v>
      </c>
      <c r="AY44" s="422">
        <v>767.7</v>
      </c>
      <c r="AZ44" s="446">
        <f t="shared" si="260"/>
        <v>0.29999999999995453</v>
      </c>
      <c r="BA44" s="446">
        <f t="shared" si="261"/>
        <v>33548.999999999993</v>
      </c>
      <c r="BB44" s="56"/>
      <c r="BE44" s="55">
        <f t="shared" si="262"/>
        <v>46056</v>
      </c>
      <c r="BF44" s="422"/>
      <c r="BG44" s="449">
        <f>SUMPRODUCT(PRODUCE!$B57:$DY57,PRODUCE!$EB$13:$IY$13)</f>
        <v>920</v>
      </c>
      <c r="BH44" s="422">
        <v>919.7</v>
      </c>
      <c r="BI44" s="448">
        <f t="shared" si="263"/>
        <v>0.29999999999995453</v>
      </c>
      <c r="BJ44" s="448">
        <f t="shared" si="264"/>
        <v>21004.400000000005</v>
      </c>
      <c r="BK44" s="56"/>
      <c r="BN44" s="55">
        <f t="shared" si="265"/>
        <v>46056</v>
      </c>
      <c r="BO44" s="422">
        <v>920</v>
      </c>
      <c r="BP44" s="451">
        <f>SUMPRODUCT(PRODUCE!$B57:$DY57,PRODUCE!$EB$14:$IY$14)</f>
        <v>920</v>
      </c>
      <c r="BQ44" s="422">
        <v>920</v>
      </c>
      <c r="BR44" s="450">
        <f t="shared" si="266"/>
        <v>0</v>
      </c>
      <c r="BS44" s="450">
        <f t="shared" si="267"/>
        <v>0</v>
      </c>
      <c r="BT44" s="56"/>
      <c r="BW44" s="55">
        <f t="shared" si="268"/>
        <v>46056</v>
      </c>
      <c r="BX44" s="56"/>
      <c r="BY44" s="81">
        <f>SUMPRODUCT(PRODUCE!$B57:$DY57,PRODUCE!$EB$15:$IY$15)</f>
        <v>0</v>
      </c>
      <c r="BZ44" s="56">
        <v>32.5</v>
      </c>
      <c r="CA44" s="65">
        <f t="shared" si="269"/>
        <v>-32.5</v>
      </c>
      <c r="CB44" s="65">
        <f t="shared" si="270"/>
        <v>3252</v>
      </c>
      <c r="CC44" s="56"/>
      <c r="CF44" s="55">
        <f t="shared" si="271"/>
        <v>46056</v>
      </c>
      <c r="CG44" s="56"/>
      <c r="CH44" s="82">
        <f>SUMPRODUCT(PRODUCE!$B57:$DY57,PRODUCE!$EB$16:$IY$16)</f>
        <v>0</v>
      </c>
      <c r="CI44" s="56"/>
      <c r="CJ44" s="66">
        <f t="shared" si="272"/>
        <v>0</v>
      </c>
      <c r="CK44" s="66">
        <f t="shared" si="273"/>
        <v>0</v>
      </c>
      <c r="CL44" s="56"/>
      <c r="CO44" s="55">
        <f t="shared" si="274"/>
        <v>46056</v>
      </c>
      <c r="CP44" s="422"/>
      <c r="CQ44" s="471">
        <f>SUMPRODUCT(PRODUCE!$B57:$DY57,PRODUCE!$EB$17:$IY$17)</f>
        <v>0</v>
      </c>
      <c r="CR44" s="422"/>
      <c r="CS44" s="470">
        <f t="shared" si="275"/>
        <v>0</v>
      </c>
      <c r="CT44" s="470">
        <f t="shared" si="276"/>
        <v>0</v>
      </c>
      <c r="CU44" s="56"/>
      <c r="CX44" s="55">
        <f t="shared" si="277"/>
        <v>46056</v>
      </c>
      <c r="CY44" s="56"/>
      <c r="CZ44" s="136">
        <f>SUMPRODUCT(PRODUCE!$B57:$DY57,PRODUCE!$EB$18:$IY$18)</f>
        <v>0</v>
      </c>
      <c r="DA44" s="56"/>
      <c r="DB44" s="133">
        <f t="shared" si="278"/>
        <v>0</v>
      </c>
      <c r="DC44" s="133">
        <f t="shared" si="279"/>
        <v>0</v>
      </c>
      <c r="DD44" s="56"/>
      <c r="DG44" s="55">
        <f t="shared" si="280"/>
        <v>46056</v>
      </c>
      <c r="DH44" s="56"/>
      <c r="DI44" s="150">
        <f>SUMPRODUCT(PRODUCE!$B57:$DY57,PRODUCE!$EB$19:$IY$19)</f>
        <v>0</v>
      </c>
      <c r="DJ44" s="56"/>
      <c r="DK44" s="147">
        <f t="shared" si="281"/>
        <v>0</v>
      </c>
      <c r="DL44" s="147">
        <f t="shared" si="282"/>
        <v>22172.799999999996</v>
      </c>
      <c r="DM44" s="56"/>
      <c r="DP44" s="55">
        <f t="shared" si="283"/>
        <v>46056</v>
      </c>
      <c r="DQ44" s="56"/>
      <c r="DR44" s="58">
        <f>SUMPRODUCT(PRODUCE!$B57:$DY57,PRODUCE!$EB$20:$IY$20)</f>
        <v>0</v>
      </c>
      <c r="DS44" s="56"/>
      <c r="DT44" s="57">
        <f t="shared" si="284"/>
        <v>0</v>
      </c>
      <c r="DU44" s="57">
        <f t="shared" si="285"/>
        <v>0</v>
      </c>
      <c r="DV44" s="56"/>
      <c r="DY44" s="55">
        <f t="shared" si="286"/>
        <v>46056</v>
      </c>
      <c r="DZ44" s="56"/>
      <c r="EA44" s="159">
        <f>SUMPRODUCT(PRODUCE!$B57:$DY57,PRODUCE!$EB$21:$IY$21)</f>
        <v>0</v>
      </c>
      <c r="EB44" s="56"/>
      <c r="EC44" s="157">
        <f t="shared" si="287"/>
        <v>0</v>
      </c>
      <c r="ED44" s="157">
        <f t="shared" si="288"/>
        <v>0</v>
      </c>
      <c r="EE44" s="56"/>
      <c r="EH44" s="55">
        <f t="shared" si="289"/>
        <v>46056</v>
      </c>
      <c r="EI44" s="56"/>
      <c r="EJ44" s="164">
        <f>SUMPRODUCT(PRODUCE!$B57:$DY57,PRODUCE!$EB$22:$IY$22)</f>
        <v>0</v>
      </c>
      <c r="EK44" s="56"/>
      <c r="EL44" s="162">
        <f t="shared" si="290"/>
        <v>0</v>
      </c>
      <c r="EM44" s="162">
        <f t="shared" si="291"/>
        <v>0</v>
      </c>
      <c r="EN44" s="56"/>
      <c r="EQ44" s="55">
        <f t="shared" si="292"/>
        <v>46056</v>
      </c>
      <c r="ER44" s="56"/>
      <c r="ES44" s="171">
        <f>SUMPRODUCT(PRODUCE!$B57:$DY57,PRODUCE!$EB$23:$IY$23)</f>
        <v>0</v>
      </c>
      <c r="ET44" s="56"/>
      <c r="EU44" s="135">
        <f t="shared" si="293"/>
        <v>0</v>
      </c>
      <c r="EV44" s="135">
        <f t="shared" si="294"/>
        <v>0</v>
      </c>
      <c r="EW44" s="56"/>
      <c r="EZ44" s="55">
        <f t="shared" si="295"/>
        <v>46056</v>
      </c>
      <c r="FA44" s="56"/>
      <c r="FB44" s="178">
        <f>SUMPRODUCT(PRODUCE!$B57:$DY57,PRODUCE!$EB$24:$IY$24)</f>
        <v>0</v>
      </c>
      <c r="FC44" s="56"/>
      <c r="FD44" s="175">
        <f t="shared" si="296"/>
        <v>0</v>
      </c>
      <c r="FE44" s="175">
        <f t="shared" si="297"/>
        <v>0</v>
      </c>
      <c r="FF44" s="56"/>
      <c r="FI44" s="55">
        <f t="shared" si="298"/>
        <v>46056</v>
      </c>
      <c r="FJ44" s="56"/>
      <c r="FK44" s="184">
        <f>SUMPRODUCT(PRODUCE!$B57:$DY57,PRODUCE!$EB$25:$IY$25)</f>
        <v>0</v>
      </c>
      <c r="FL44" s="56"/>
      <c r="FM44" s="183">
        <f t="shared" si="299"/>
        <v>0</v>
      </c>
      <c r="FN44" s="183">
        <f t="shared" si="300"/>
        <v>0</v>
      </c>
      <c r="FO44" s="56"/>
      <c r="FR44" s="55">
        <f t="shared" si="301"/>
        <v>46056</v>
      </c>
      <c r="FS44" s="422"/>
      <c r="FT44" s="453">
        <f>SUMPRODUCT(PRODUCE!$B57:$DY57,PRODUCE!$EB$26:$IY$26)</f>
        <v>0</v>
      </c>
      <c r="FU44" s="422"/>
      <c r="FV44" s="452">
        <f t="shared" si="302"/>
        <v>0</v>
      </c>
      <c r="FW44" s="452">
        <f t="shared" si="303"/>
        <v>3540</v>
      </c>
      <c r="FX44" s="56"/>
      <c r="GA44" s="55">
        <f t="shared" si="304"/>
        <v>46056</v>
      </c>
      <c r="GB44" s="422"/>
      <c r="GC44" s="455">
        <f>SUMPRODUCT(PRODUCE!$B57:$DY57,PRODUCE!$EB$27:$IY$27)</f>
        <v>0</v>
      </c>
      <c r="GD44" s="422"/>
      <c r="GE44" s="454">
        <f t="shared" si="305"/>
        <v>0</v>
      </c>
      <c r="GF44" s="454">
        <f t="shared" si="306"/>
        <v>3960</v>
      </c>
      <c r="GG44" s="56"/>
      <c r="GI44" s="23"/>
      <c r="GJ44" s="55">
        <f t="shared" si="307"/>
        <v>46056</v>
      </c>
      <c r="GK44" s="422"/>
      <c r="GL44" s="457">
        <f>SUMPRODUCT(PRODUCE!$B57:$DY57,PRODUCE!$EB$28:$IY$28)</f>
        <v>320</v>
      </c>
      <c r="GM44" s="422"/>
      <c r="GN44" s="456">
        <f t="shared" si="308"/>
        <v>320</v>
      </c>
      <c r="GO44" s="456">
        <f t="shared" si="309"/>
        <v>3240</v>
      </c>
      <c r="GP44" s="56"/>
      <c r="GS44" s="55">
        <f t="shared" si="310"/>
        <v>46056</v>
      </c>
      <c r="GT44" s="56"/>
      <c r="GU44" s="196">
        <f>SUMPRODUCT(PRODUCE!$B57:$DY57,PRODUCE!$EB$29:$IY$29)</f>
        <v>0</v>
      </c>
      <c r="GV44" s="56"/>
      <c r="GW44" s="195">
        <f t="shared" si="311"/>
        <v>0</v>
      </c>
      <c r="GX44" s="195">
        <f t="shared" si="312"/>
        <v>0</v>
      </c>
      <c r="GY44" s="56"/>
      <c r="HB44" s="55">
        <f t="shared" si="313"/>
        <v>46056</v>
      </c>
      <c r="HC44" s="56"/>
      <c r="HD44" s="192">
        <f>SUMPRODUCT(PRODUCE!$B57:$DY57,PRODUCE!$EB$30:$IY$30)</f>
        <v>0</v>
      </c>
      <c r="HE44" s="56"/>
      <c r="HF44" s="191">
        <f t="shared" si="314"/>
        <v>0</v>
      </c>
      <c r="HG44" s="191">
        <f t="shared" si="315"/>
        <v>0</v>
      </c>
      <c r="HH44" s="56"/>
      <c r="HK44" s="55">
        <f t="shared" si="316"/>
        <v>46056</v>
      </c>
      <c r="HL44" s="56"/>
      <c r="HM44" s="80">
        <f>SUMPRODUCT(PRODUCE!$B57:$DY57,PRODUCE!$EB$31:$IY$31)</f>
        <v>0</v>
      </c>
      <c r="HN44" s="56"/>
      <c r="HO44" s="63">
        <f t="shared" si="317"/>
        <v>0</v>
      </c>
      <c r="HP44" s="63">
        <f t="shared" si="318"/>
        <v>0</v>
      </c>
      <c r="HQ44" s="56"/>
      <c r="HU44" s="55">
        <f t="shared" si="319"/>
        <v>46056</v>
      </c>
      <c r="HV44" s="56"/>
      <c r="HW44" s="242">
        <f>SUMPRODUCT(PRODUCE!$B57:$DY57,PRODUCE!$EB$32:$IY$32)</f>
        <v>0</v>
      </c>
      <c r="HX44" s="56"/>
      <c r="HY44" s="242">
        <f t="shared" si="320"/>
        <v>0</v>
      </c>
      <c r="HZ44" s="242">
        <f t="shared" si="321"/>
        <v>5440</v>
      </c>
      <c r="IA44" s="56"/>
      <c r="ID44" s="55">
        <f t="shared" si="322"/>
        <v>46056</v>
      </c>
      <c r="IE44" s="56"/>
      <c r="IF44" s="242">
        <f>SUMPRODUCT(PRODUCE!$B57:$DY57,PRODUCE!$EB$33:$IY$33)</f>
        <v>0</v>
      </c>
      <c r="IG44" s="56"/>
      <c r="IH44" s="242">
        <f t="shared" si="323"/>
        <v>0</v>
      </c>
      <c r="II44" s="242">
        <f t="shared" si="324"/>
        <v>5100</v>
      </c>
      <c r="IJ44" s="56"/>
      <c r="IM44" s="55">
        <f t="shared" si="325"/>
        <v>46056</v>
      </c>
      <c r="IN44" s="56"/>
      <c r="IO44" s="242">
        <f>SUMPRODUCT(PRODUCE!$B57:$DY57,PRODUCE!$EB$34:$IY$34)</f>
        <v>520</v>
      </c>
      <c r="IP44" s="56"/>
      <c r="IQ44" s="242">
        <f t="shared" si="326"/>
        <v>520</v>
      </c>
      <c r="IR44" s="242">
        <f t="shared" si="327"/>
        <v>16240</v>
      </c>
      <c r="IS44" s="56"/>
      <c r="IV44" s="55">
        <f t="shared" si="328"/>
        <v>46056</v>
      </c>
      <c r="IW44" s="56"/>
      <c r="IX44" s="242">
        <f>SUMPRODUCT(PRODUCE!$B57:$DY57,PRODUCE!$EB$35:$IY$35)</f>
        <v>0</v>
      </c>
      <c r="IY44" s="56"/>
      <c r="IZ44" s="242">
        <f t="shared" si="329"/>
        <v>0</v>
      </c>
      <c r="JA44" s="242">
        <f t="shared" si="330"/>
        <v>13120</v>
      </c>
      <c r="JB44" s="56"/>
      <c r="JE44" s="55">
        <f t="shared" si="331"/>
        <v>46056</v>
      </c>
      <c r="JF44" s="56"/>
      <c r="JG44" s="242">
        <f>SUMPRODUCT(PRODUCE!$B57:$DY57,PRODUCE!$EB$36:$IY$36)</f>
        <v>0</v>
      </c>
      <c r="JH44" s="56"/>
      <c r="JI44" s="242">
        <f t="shared" si="332"/>
        <v>0</v>
      </c>
      <c r="JJ44" s="242">
        <f t="shared" si="333"/>
        <v>6800</v>
      </c>
      <c r="JK44" s="56"/>
      <c r="JN44" s="55">
        <f t="shared" si="334"/>
        <v>46056</v>
      </c>
      <c r="JO44" s="56"/>
      <c r="JP44" s="242">
        <f>SUMPRODUCT(PRODUCE!$B57:$DY57,PRODUCE!$EB$37:$IY$37)</f>
        <v>0</v>
      </c>
      <c r="JQ44" s="56"/>
      <c r="JR44" s="242">
        <f t="shared" si="335"/>
        <v>0</v>
      </c>
      <c r="JS44" s="242">
        <f t="shared" si="336"/>
        <v>5400</v>
      </c>
      <c r="JT44" s="56"/>
      <c r="JW44" s="55">
        <f t="shared" si="337"/>
        <v>46056</v>
      </c>
      <c r="JX44" s="56"/>
      <c r="JY44" s="242">
        <f>SUMPRODUCT(PRODUCE!$B57:$DY57,PRODUCE!$EB$38:$IY$38)</f>
        <v>0</v>
      </c>
      <c r="JZ44" s="56"/>
      <c r="KA44" s="242">
        <f t="shared" si="338"/>
        <v>0</v>
      </c>
      <c r="KB44" s="242">
        <f t="shared" si="339"/>
        <v>2260</v>
      </c>
      <c r="KC44" s="56"/>
      <c r="KF44" s="55">
        <f t="shared" si="340"/>
        <v>46056</v>
      </c>
      <c r="KG44" s="56"/>
      <c r="KH44" s="242">
        <f>SUMPRODUCT(PRODUCE!$B57:$DY57,PRODUCE!$EB$39:$IY$39)</f>
        <v>0</v>
      </c>
      <c r="KI44" s="56"/>
      <c r="KJ44" s="242">
        <f t="shared" si="341"/>
        <v>0</v>
      </c>
      <c r="KK44" s="242">
        <f t="shared" si="342"/>
        <v>0</v>
      </c>
      <c r="KL44" s="56"/>
      <c r="KO44" s="55">
        <f t="shared" si="343"/>
        <v>46056</v>
      </c>
      <c r="KP44" s="56"/>
      <c r="KQ44" s="242">
        <f>SUMPRODUCT(PRODUCE!$B57:$DY57,PRODUCE!$EB$40:$IY$40)</f>
        <v>0</v>
      </c>
      <c r="KR44" s="56"/>
      <c r="KS44" s="242">
        <f t="shared" si="344"/>
        <v>0</v>
      </c>
      <c r="KT44" s="242">
        <f t="shared" si="345"/>
        <v>0</v>
      </c>
      <c r="KU44" s="56"/>
      <c r="KW44" s="23"/>
      <c r="KX44" s="55">
        <f t="shared" si="346"/>
        <v>46056</v>
      </c>
      <c r="KY44" s="56"/>
      <c r="KZ44" s="242">
        <f>SUMPRODUCT(PRODUCE!$B57:$DY57,PRODUCE!$EB$41:$IY$41)</f>
        <v>0</v>
      </c>
      <c r="LA44" s="56"/>
      <c r="LB44" s="242">
        <f t="shared" si="347"/>
        <v>0</v>
      </c>
      <c r="LC44" s="242">
        <f t="shared" si="348"/>
        <v>0</v>
      </c>
      <c r="LD44" s="56"/>
      <c r="LG44" s="55">
        <f t="shared" si="349"/>
        <v>46056</v>
      </c>
      <c r="LH44" s="56"/>
      <c r="LI44" s="242">
        <f>SUMPRODUCT(PRODUCE!$B57:$DY57,PRODUCE!$EB$42:$IY$42)</f>
        <v>0</v>
      </c>
      <c r="LJ44" s="56"/>
      <c r="LK44" s="242">
        <f t="shared" si="350"/>
        <v>0</v>
      </c>
      <c r="LL44" s="242">
        <f t="shared" si="351"/>
        <v>0</v>
      </c>
      <c r="LM44" s="56"/>
      <c r="LP44" s="55">
        <f t="shared" si="352"/>
        <v>46056</v>
      </c>
      <c r="LQ44" s="56"/>
      <c r="LR44" s="242">
        <f>SUMPRODUCT(PRODUCE!$B59:$DY59,PRODUCE!$EB$43:$IY$43)</f>
        <v>0</v>
      </c>
      <c r="LS44" s="56"/>
      <c r="LT44" s="242">
        <f t="shared" si="353"/>
        <v>0</v>
      </c>
      <c r="LU44" s="242">
        <f t="shared" si="354"/>
        <v>0</v>
      </c>
      <c r="LV44" s="56"/>
      <c r="LY44" s="55">
        <f t="shared" si="355"/>
        <v>46056</v>
      </c>
      <c r="LZ44" s="56"/>
      <c r="MA44" s="242">
        <f>SUMPRODUCT(PRODUCE!$B59:$DY59,PRODUCE!$EB$44:$IY$44)</f>
        <v>0</v>
      </c>
      <c r="MB44" s="56"/>
      <c r="MC44" s="242">
        <f t="shared" si="356"/>
        <v>0</v>
      </c>
      <c r="MD44" s="242">
        <f t="shared" si="357"/>
        <v>0</v>
      </c>
      <c r="ME44" s="56"/>
      <c r="MH44" s="55">
        <f t="shared" si="358"/>
        <v>46056</v>
      </c>
      <c r="MI44" s="56"/>
      <c r="MJ44" s="242">
        <f>SUMPRODUCT(PRODUCE!$B57:$DY57,PRODUCE!$EB$45:$IY$45)</f>
        <v>0</v>
      </c>
      <c r="MK44" s="56"/>
      <c r="ML44" s="242">
        <f t="shared" si="359"/>
        <v>0</v>
      </c>
      <c r="MM44" s="242">
        <f t="shared" si="360"/>
        <v>0</v>
      </c>
      <c r="MN44" s="56"/>
      <c r="MQ44" s="55">
        <f t="shared" si="361"/>
        <v>46056</v>
      </c>
      <c r="MR44" s="56"/>
      <c r="MS44" s="242">
        <f>SUMPRODUCT(PRODUCE!$B57:$DY57,PRODUCE!$EB$46:$IY$46)</f>
        <v>21</v>
      </c>
      <c r="MT44" s="56"/>
      <c r="MU44" s="242">
        <f t="shared" si="362"/>
        <v>21</v>
      </c>
      <c r="MV44" s="242">
        <f t="shared" si="363"/>
        <v>1969</v>
      </c>
      <c r="MW44" s="56"/>
      <c r="MZ44" s="55">
        <f t="shared" si="364"/>
        <v>46056</v>
      </c>
      <c r="NA44" s="56"/>
      <c r="NB44" s="242">
        <f>SUMPRODUCT(PRODUCE!$B57:$DY57,PRODUCE!$EB$47:$IY$47)</f>
        <v>78</v>
      </c>
      <c r="NC44" s="56"/>
      <c r="ND44" s="242">
        <f t="shared" si="365"/>
        <v>78</v>
      </c>
      <c r="NE44" s="242">
        <f t="shared" si="366"/>
        <v>0</v>
      </c>
      <c r="NF44" s="56"/>
      <c r="NI44" s="55">
        <f t="shared" si="367"/>
        <v>46056</v>
      </c>
      <c r="NJ44" s="56"/>
      <c r="NK44" s="242">
        <f>SUMPRODUCT(PRODUCE!$B57:$DY57,PRODUCE!$EB$48:$IY$48)</f>
        <v>0</v>
      </c>
      <c r="NL44" s="56"/>
      <c r="NM44" s="242">
        <f t="shared" si="368"/>
        <v>0</v>
      </c>
      <c r="NN44" s="242">
        <f t="shared" si="369"/>
        <v>0</v>
      </c>
      <c r="NO44" s="56"/>
      <c r="NR44" s="55">
        <f t="shared" si="370"/>
        <v>46056</v>
      </c>
      <c r="NS44" s="56"/>
      <c r="NT44" s="242">
        <f>SUMPRODUCT(PRODUCE!$B57:$DY57,PRODUCE!$EB$49:$IY$49)</f>
        <v>0</v>
      </c>
      <c r="NU44" s="56"/>
      <c r="NV44" s="242">
        <f t="shared" si="371"/>
        <v>0</v>
      </c>
      <c r="NW44" s="242">
        <f t="shared" si="372"/>
        <v>0</v>
      </c>
      <c r="NX44" s="56"/>
      <c r="OA44" s="55">
        <f t="shared" si="373"/>
        <v>46056</v>
      </c>
      <c r="OB44" s="56"/>
      <c r="OC44" s="242">
        <f>SUMPRODUCT(PRODUCE!$B57:$DY57,PRODUCE!$EB$50:$IY$50)</f>
        <v>0</v>
      </c>
      <c r="OD44" s="56"/>
      <c r="OE44" s="242">
        <f t="shared" si="374"/>
        <v>0</v>
      </c>
      <c r="OF44" s="242">
        <f t="shared" si="375"/>
        <v>1680.5</v>
      </c>
      <c r="OG44" s="56"/>
      <c r="OJ44" s="55">
        <f t="shared" si="376"/>
        <v>46056</v>
      </c>
      <c r="OK44" s="56"/>
      <c r="OL44" s="242">
        <f>SUMPRODUCT(PRODUCE!$B57:$DY57,PRODUCE!$EB$51:$IY$51)</f>
        <v>0</v>
      </c>
      <c r="OM44" s="56"/>
      <c r="ON44" s="242">
        <f t="shared" si="377"/>
        <v>0</v>
      </c>
      <c r="OO44" s="242">
        <f t="shared" si="378"/>
        <v>0</v>
      </c>
      <c r="OP44" s="56"/>
      <c r="OS44" s="55">
        <f t="shared" si="379"/>
        <v>46056</v>
      </c>
      <c r="OT44" s="56"/>
      <c r="OU44" s="242">
        <f>SUMPRODUCT(PRODUCE!$B57:$DY57,PRODUCE!$EB$52:$IY$52)</f>
        <v>0</v>
      </c>
      <c r="OV44" s="56"/>
      <c r="OW44" s="242">
        <f t="shared" si="380"/>
        <v>0</v>
      </c>
      <c r="OX44" s="242">
        <f t="shared" si="381"/>
        <v>0</v>
      </c>
      <c r="OY44" s="56"/>
      <c r="PB44" s="55">
        <f t="shared" si="382"/>
        <v>46056</v>
      </c>
      <c r="PC44" s="56"/>
      <c r="PD44" s="242">
        <f>SUMPRODUCT(PRODUCE!$B57:$DY57,PRODUCE!$EB$53:$IY$53)</f>
        <v>0</v>
      </c>
      <c r="PE44" s="56"/>
      <c r="PF44" s="242">
        <f t="shared" si="383"/>
        <v>0</v>
      </c>
      <c r="PG44" s="242">
        <f t="shared" si="384"/>
        <v>0</v>
      </c>
      <c r="PH44" s="56"/>
      <c r="PK44" s="55">
        <f t="shared" si="385"/>
        <v>46056</v>
      </c>
      <c r="PL44" s="56"/>
      <c r="PM44" s="242">
        <f>SUMPRODUCT(PRODUCE!$B57:$DY57,PRODUCE!$EB$54:$IY$54)</f>
        <v>0</v>
      </c>
      <c r="PN44" s="56"/>
      <c r="PO44" s="242">
        <f t="shared" si="386"/>
        <v>0</v>
      </c>
      <c r="PP44" s="242">
        <f t="shared" si="387"/>
        <v>160</v>
      </c>
      <c r="PQ44" s="56"/>
      <c r="PT44" s="55">
        <f t="shared" si="388"/>
        <v>46056</v>
      </c>
      <c r="PU44" s="56"/>
      <c r="PV44" s="242">
        <f>SUMPRODUCT(PRODUCE!$B57:$DY57,PRODUCE!$EB$55:$IY$55)</f>
        <v>0</v>
      </c>
      <c r="PW44" s="56"/>
      <c r="PX44" s="242">
        <f t="shared" si="389"/>
        <v>0</v>
      </c>
      <c r="PY44" s="242">
        <f t="shared" si="390"/>
        <v>13.960000000000036</v>
      </c>
      <c r="PZ44" s="56"/>
      <c r="QC44" s="55">
        <f t="shared" si="391"/>
        <v>46056</v>
      </c>
      <c r="QD44" s="56"/>
      <c r="QE44" s="242">
        <f>SUMPRODUCT(PRODUCE!$B57:$DY57,PRODUCE!$EB$56:$IY$56)</f>
        <v>0</v>
      </c>
      <c r="QF44" s="56"/>
      <c r="QG44" s="242">
        <f t="shared" si="392"/>
        <v>0</v>
      </c>
      <c r="QH44" s="242">
        <f t="shared" si="393"/>
        <v>0</v>
      </c>
      <c r="QI44" s="56"/>
      <c r="QL44" s="55">
        <f t="shared" si="394"/>
        <v>46056</v>
      </c>
      <c r="QM44" s="56"/>
      <c r="QN44" s="242">
        <f>SUMPRODUCT(PRODUCE!$B57:$DY57,PRODUCE!$EB$57:$IY$57)</f>
        <v>0</v>
      </c>
      <c r="QO44" s="56"/>
      <c r="QP44" s="242">
        <f t="shared" si="395"/>
        <v>0</v>
      </c>
      <c r="QQ44" s="242">
        <f t="shared" si="396"/>
        <v>0</v>
      </c>
      <c r="QR44" s="56"/>
      <c r="QU44" s="55">
        <f t="shared" si="397"/>
        <v>46056</v>
      </c>
      <c r="QV44" s="56"/>
      <c r="QW44" s="242">
        <f>SUMPRODUCT(PRODUCE!$B57:$DY57,PRODUCE!$EB$57:$IY$57)</f>
        <v>0</v>
      </c>
      <c r="QX44" s="56"/>
      <c r="QY44" s="242">
        <f t="shared" si="398"/>
        <v>0</v>
      </c>
      <c r="QZ44" s="242">
        <f t="shared" si="399"/>
        <v>207.6</v>
      </c>
      <c r="RA44" s="56"/>
      <c r="RD44" s="55">
        <f t="shared" si="400"/>
        <v>46056</v>
      </c>
      <c r="RE44" s="56"/>
      <c r="RF44" s="242">
        <f>SUMPRODUCT(PRODUCE!$B57:$DY57,PRODUCE!$EB$58:$IY$58)</f>
        <v>0</v>
      </c>
      <c r="RG44" s="56"/>
      <c r="RH44" s="242">
        <f t="shared" si="401"/>
        <v>0</v>
      </c>
      <c r="RI44" s="242">
        <f t="shared" si="402"/>
        <v>201.8</v>
      </c>
      <c r="RJ44" s="56"/>
      <c r="RM44" s="55">
        <f t="shared" si="403"/>
        <v>46056</v>
      </c>
      <c r="RN44" s="56"/>
      <c r="RO44" s="242">
        <f>SUMPRODUCT(PRODUCE!$B57:$DY57,PRODUCE!$EB$57:$IY$57)</f>
        <v>0</v>
      </c>
      <c r="RP44" s="56"/>
      <c r="RQ44" s="242">
        <f t="shared" si="404"/>
        <v>0</v>
      </c>
      <c r="RR44" s="242">
        <f t="shared" si="405"/>
        <v>22.720000000000002</v>
      </c>
      <c r="RS44" s="56"/>
      <c r="RV44" s="55">
        <f t="shared" si="406"/>
        <v>46056</v>
      </c>
      <c r="RW44" s="56"/>
      <c r="RX44" s="242">
        <f>SUMPRODUCT(PRODUCE!$B57:$DY57,PRODUCE!$EB$57:$IY$57)</f>
        <v>0</v>
      </c>
      <c r="RY44" s="56"/>
      <c r="RZ44" s="242">
        <f t="shared" si="407"/>
        <v>0</v>
      </c>
      <c r="SA44" s="242">
        <f t="shared" si="408"/>
        <v>0</v>
      </c>
      <c r="SB44" s="56"/>
      <c r="SE44" s="55">
        <f t="shared" si="409"/>
        <v>46056</v>
      </c>
      <c r="SF44" s="56"/>
      <c r="SG44" s="242">
        <f>SUMPRODUCT(PRODUCE!$B57:$DY57,PRODUCE!$EB$57:$IY$57)</f>
        <v>0</v>
      </c>
      <c r="SH44" s="56"/>
      <c r="SI44" s="242">
        <f t="shared" si="410"/>
        <v>0</v>
      </c>
      <c r="SJ44" s="242">
        <f t="shared" si="411"/>
        <v>0</v>
      </c>
      <c r="SK44" s="56"/>
      <c r="SN44" s="55">
        <f t="shared" si="412"/>
        <v>46056</v>
      </c>
      <c r="SO44" s="56"/>
      <c r="SP44" s="242">
        <f>SUMPRODUCT(PRODUCE!$B57:$DY57,PRODUCE!$EB$57:$IY$57)</f>
        <v>0</v>
      </c>
      <c r="SQ44" s="56"/>
      <c r="SR44" s="242">
        <f t="shared" si="413"/>
        <v>0</v>
      </c>
      <c r="SS44" s="242">
        <f t="shared" si="414"/>
        <v>0</v>
      </c>
      <c r="ST44" s="56"/>
      <c r="SW44" s="55">
        <f t="shared" si="415"/>
        <v>46056</v>
      </c>
      <c r="SX44" s="56"/>
      <c r="SY44" s="242">
        <f>SUMPRODUCT(PRODUCE!$B57:$DY57,PRODUCE!$EB$57:$IY$57)</f>
        <v>0</v>
      </c>
      <c r="SZ44" s="56"/>
      <c r="TA44" s="242">
        <f t="shared" si="416"/>
        <v>0</v>
      </c>
      <c r="TB44" s="242">
        <f t="shared" si="417"/>
        <v>270</v>
      </c>
      <c r="TC44" s="56"/>
      <c r="TF44" s="55">
        <f t="shared" si="418"/>
        <v>46056</v>
      </c>
      <c r="TG44" s="56"/>
      <c r="TH44" s="242">
        <f>SUMPRODUCT(PRODUCE!$B57:$DY57,PRODUCE!$EB$57:$IY$57)</f>
        <v>0</v>
      </c>
      <c r="TI44" s="56"/>
      <c r="TJ44" s="242">
        <f t="shared" si="419"/>
        <v>0</v>
      </c>
      <c r="TK44" s="242">
        <f t="shared" si="420"/>
        <v>0</v>
      </c>
      <c r="TL44" s="56"/>
      <c r="TO44" s="55">
        <f t="shared" si="421"/>
        <v>46056</v>
      </c>
      <c r="TP44" s="56"/>
      <c r="TQ44" s="242">
        <f>SUMPRODUCT(PRODUCE!$B57:$DY57,PRODUCE!$EB$57:$IY$57)</f>
        <v>0</v>
      </c>
      <c r="TR44" s="56"/>
      <c r="TS44" s="242">
        <f t="shared" si="422"/>
        <v>0</v>
      </c>
      <c r="TT44" s="242">
        <f t="shared" si="423"/>
        <v>0</v>
      </c>
      <c r="TU44" s="56"/>
      <c r="TX44" s="55">
        <f t="shared" si="424"/>
        <v>46056</v>
      </c>
      <c r="TY44" s="56"/>
      <c r="TZ44" s="242">
        <f>SUMPRODUCT(PRODUCE!$B57:$DY57,PRODUCE!$EB$57:$IY$57)</f>
        <v>0</v>
      </c>
      <c r="UA44" s="56"/>
      <c r="UB44" s="242">
        <f t="shared" si="425"/>
        <v>0</v>
      </c>
      <c r="UC44" s="242">
        <f t="shared" si="426"/>
        <v>0</v>
      </c>
      <c r="UD44" s="56"/>
      <c r="UG44" s="55">
        <f t="shared" si="427"/>
        <v>46056</v>
      </c>
      <c r="UH44" s="56"/>
      <c r="UI44" s="242">
        <f>SUMPRODUCT(PRODUCE!$B57:$DY57,PRODUCE!$EB$57:$IY$57)</f>
        <v>0</v>
      </c>
      <c r="UJ44" s="56"/>
      <c r="UK44" s="242">
        <f t="shared" si="428"/>
        <v>0</v>
      </c>
      <c r="UL44" s="242">
        <f t="shared" si="429"/>
        <v>0</v>
      </c>
      <c r="UM44" s="56"/>
      <c r="UP44" s="55">
        <f t="shared" si="430"/>
        <v>46056</v>
      </c>
      <c r="UQ44" s="56"/>
      <c r="UR44" s="242">
        <f>SUMPRODUCT(PRODUCE!$B57:$DY57,PRODUCE!$EB$57:$IY$57)</f>
        <v>0</v>
      </c>
      <c r="US44" s="56"/>
      <c r="UT44" s="242">
        <f t="shared" si="431"/>
        <v>0</v>
      </c>
      <c r="UU44" s="242">
        <f t="shared" si="432"/>
        <v>0</v>
      </c>
      <c r="UV44" s="56"/>
      <c r="UY44" s="55">
        <f t="shared" si="433"/>
        <v>46056</v>
      </c>
      <c r="UZ44" s="56"/>
      <c r="VA44" s="242">
        <f>SUMPRODUCT(PRODUCE!$B57:$DY57,PRODUCE!$EB$57:$IY$57)</f>
        <v>0</v>
      </c>
      <c r="VB44" s="56"/>
      <c r="VC44" s="242">
        <f t="shared" si="434"/>
        <v>0</v>
      </c>
      <c r="VD44" s="242">
        <f t="shared" si="435"/>
        <v>41.600000000000023</v>
      </c>
      <c r="VE44" s="56"/>
      <c r="VH44" s="55">
        <f t="shared" si="436"/>
        <v>46056</v>
      </c>
      <c r="VI44" s="56"/>
      <c r="VJ44" s="242">
        <f>SUMPRODUCT(PRODUCE!$B57:$DY57,PRODUCE!$EB$57:$IY$57)</f>
        <v>0</v>
      </c>
      <c r="VK44" s="56"/>
      <c r="VL44" s="242">
        <f t="shared" si="437"/>
        <v>0</v>
      </c>
      <c r="VM44" s="242">
        <f t="shared" si="438"/>
        <v>0</v>
      </c>
      <c r="VN44" s="56"/>
      <c r="VQ44" s="55">
        <f t="shared" si="439"/>
        <v>46056</v>
      </c>
      <c r="VR44" s="56"/>
      <c r="VS44" s="242">
        <f>SUMPRODUCT(PRODUCE!$B57:$DY57,PRODUCE!$EB$57:$IY$57)</f>
        <v>0</v>
      </c>
      <c r="VT44" s="56"/>
      <c r="VU44" s="242">
        <f t="shared" si="440"/>
        <v>0</v>
      </c>
      <c r="VV44" s="242">
        <f t="shared" si="441"/>
        <v>0</v>
      </c>
      <c r="VW44" s="56"/>
      <c r="VZ44" s="55">
        <f t="shared" si="442"/>
        <v>46056</v>
      </c>
      <c r="WA44" s="56"/>
      <c r="WB44" s="242">
        <f>SUMPRODUCT(PRODUCE!$B57:$DY57,PRODUCE!$EB$57:$IY$57)</f>
        <v>0</v>
      </c>
      <c r="WC44" s="56"/>
      <c r="WD44" s="242">
        <f t="shared" si="443"/>
        <v>0</v>
      </c>
      <c r="WE44" s="242">
        <f t="shared" si="444"/>
        <v>0</v>
      </c>
      <c r="WF44" s="56"/>
      <c r="WI44" s="55">
        <f t="shared" si="445"/>
        <v>46056</v>
      </c>
      <c r="WJ44" s="56"/>
      <c r="WK44" s="242">
        <f>SUMPRODUCT(PRODUCE!$B57:$DY57,PRODUCE!$EB$57:$IY$57)</f>
        <v>0</v>
      </c>
      <c r="WL44" s="56"/>
      <c r="WM44" s="242">
        <f t="shared" si="446"/>
        <v>0</v>
      </c>
      <c r="WN44" s="242">
        <f t="shared" si="447"/>
        <v>9609</v>
      </c>
      <c r="WO44" s="56"/>
      <c r="WR44" s="55">
        <f t="shared" si="448"/>
        <v>46056</v>
      </c>
      <c r="WS44" s="56"/>
      <c r="WT44" s="242">
        <f>SUMPRODUCT(PRODUCE!$B57:$DY57,PRODUCE!$EB$57:$IY$57)</f>
        <v>0</v>
      </c>
      <c r="WU44" s="56"/>
      <c r="WV44" s="242">
        <f t="shared" si="449"/>
        <v>0</v>
      </c>
      <c r="WW44" s="242">
        <f t="shared" si="450"/>
        <v>8149</v>
      </c>
      <c r="WX44" s="56"/>
      <c r="XA44" s="55">
        <f t="shared" si="451"/>
        <v>46056</v>
      </c>
      <c r="XB44" s="56"/>
      <c r="XC44" s="242">
        <f>SUMPRODUCT(PRODUCE!$B57:$DY57,PRODUCE!$EB$57:$IY$57)</f>
        <v>0</v>
      </c>
      <c r="XD44" s="56">
        <v>321</v>
      </c>
      <c r="XE44" s="242">
        <f t="shared" si="452"/>
        <v>-321</v>
      </c>
      <c r="XF44" s="242">
        <f t="shared" si="453"/>
        <v>590</v>
      </c>
      <c r="XG44" s="56"/>
      <c r="XJ44" s="55">
        <f t="shared" si="454"/>
        <v>46056</v>
      </c>
      <c r="XK44" s="56"/>
      <c r="XL44" s="242">
        <f>SUMPRODUCT(PRODUCE!$B57:$DY57,PRODUCE!$EB$57:$IY$57)</f>
        <v>0</v>
      </c>
      <c r="XM44" s="56"/>
      <c r="XN44" s="242">
        <f t="shared" si="455"/>
        <v>0</v>
      </c>
      <c r="XO44" s="242">
        <f t="shared" si="456"/>
        <v>6240</v>
      </c>
      <c r="XP44" s="56"/>
      <c r="XS44" s="55">
        <f t="shared" si="457"/>
        <v>46056</v>
      </c>
      <c r="XT44" s="56"/>
      <c r="XU44" s="242">
        <f>SUMPRODUCT(PRODUCE!$B57:$DY57,PRODUCE!$EB$57:$IY$57)</f>
        <v>0</v>
      </c>
      <c r="XV44" s="56"/>
      <c r="XW44" s="242">
        <f t="shared" si="458"/>
        <v>0</v>
      </c>
      <c r="XX44" s="242">
        <f t="shared" si="459"/>
        <v>1901</v>
      </c>
      <c r="XY44" s="56"/>
      <c r="YB44" s="55">
        <f t="shared" si="460"/>
        <v>46056</v>
      </c>
      <c r="YC44" s="56"/>
      <c r="YD44" s="242">
        <f>SUMPRODUCT(PRODUCE!$B57:$DY57,PRODUCE!$EB$57:$IY$57)</f>
        <v>0</v>
      </c>
      <c r="YE44" s="56">
        <v>515</v>
      </c>
      <c r="YF44" s="242">
        <f t="shared" si="461"/>
        <v>-515</v>
      </c>
      <c r="YG44" s="242">
        <f t="shared" si="462"/>
        <v>1370</v>
      </c>
      <c r="YH44" s="56"/>
      <c r="YK44" s="55">
        <f t="shared" si="463"/>
        <v>46056</v>
      </c>
      <c r="YL44" s="56"/>
      <c r="YM44" s="242">
        <f>SUMPRODUCT(PRODUCE!$B57:$DY57,PRODUCE!$EB$57:$IY$57)</f>
        <v>0</v>
      </c>
      <c r="YN44" s="56"/>
      <c r="YO44" s="242">
        <f t="shared" si="464"/>
        <v>0</v>
      </c>
      <c r="YP44" s="242">
        <f t="shared" si="465"/>
        <v>0</v>
      </c>
      <c r="YQ44" s="56"/>
      <c r="YT44" s="55">
        <f t="shared" si="466"/>
        <v>46056</v>
      </c>
      <c r="YU44" s="56"/>
      <c r="YV44" s="242">
        <f>SUMPRODUCT(PRODUCE!$B57:$DY57,PRODUCE!$EB$57:$IY$57)</f>
        <v>0</v>
      </c>
      <c r="YW44" s="56"/>
      <c r="YX44" s="242">
        <f t="shared" si="467"/>
        <v>0</v>
      </c>
      <c r="YY44" s="242">
        <f t="shared" si="468"/>
        <v>0</v>
      </c>
      <c r="YZ44" s="56"/>
      <c r="ZC44" s="55">
        <f t="shared" si="469"/>
        <v>46056</v>
      </c>
      <c r="ZD44" s="56"/>
      <c r="ZE44" s="242">
        <f>SUMPRODUCT(PRODUCE!$B57:$DY57,PRODUCE!$EB$57:$IY$57)</f>
        <v>0</v>
      </c>
      <c r="ZF44" s="56"/>
      <c r="ZG44" s="242">
        <f t="shared" si="470"/>
        <v>0</v>
      </c>
      <c r="ZH44" s="242">
        <f t="shared" si="471"/>
        <v>0</v>
      </c>
      <c r="ZI44" s="56"/>
      <c r="ZL44" s="55">
        <f t="shared" si="472"/>
        <v>46056</v>
      </c>
      <c r="ZM44" s="56"/>
      <c r="ZN44" s="242">
        <f>SUMPRODUCT(PRODUCE!$B57:$DY57,PRODUCE!$EB$57:$IY$57)</f>
        <v>0</v>
      </c>
      <c r="ZO44" s="56"/>
      <c r="ZP44" s="242">
        <f t="shared" si="473"/>
        <v>0</v>
      </c>
      <c r="ZQ44" s="242">
        <f t="shared" si="474"/>
        <v>0</v>
      </c>
      <c r="ZR44" s="56"/>
      <c r="ZU44" s="55">
        <f t="shared" si="475"/>
        <v>46056</v>
      </c>
      <c r="ZV44" s="56"/>
      <c r="ZW44" s="242">
        <f>SUMPRODUCT(PRODUCE!$B57:$DY57,PRODUCE!$EB$57:$IY$57)</f>
        <v>0</v>
      </c>
      <c r="ZX44" s="56"/>
      <c r="ZY44" s="242">
        <f t="shared" si="476"/>
        <v>0</v>
      </c>
      <c r="ZZ44" s="242">
        <f t="shared" si="477"/>
        <v>0</v>
      </c>
      <c r="AAA44" s="56"/>
      <c r="AAD44" s="55">
        <f t="shared" si="478"/>
        <v>46056</v>
      </c>
      <c r="AAE44" s="56"/>
      <c r="AAF44" s="242">
        <f>SUMPRODUCT(PRODUCE!$B57:$DY57,PRODUCE!$EB$57:$IY$57)</f>
        <v>0</v>
      </c>
      <c r="AAG44" s="56"/>
      <c r="AAH44" s="242">
        <f t="shared" si="479"/>
        <v>0</v>
      </c>
      <c r="AAI44" s="242">
        <f t="shared" si="480"/>
        <v>0</v>
      </c>
      <c r="AAJ44" s="56"/>
      <c r="AAM44" s="55">
        <f t="shared" si="481"/>
        <v>46056</v>
      </c>
      <c r="AAN44" s="56"/>
      <c r="AAO44" s="242">
        <f>SUMPRODUCT(PRODUCE!$B57:$DY57,PRODUCE!$EB$57:$IY$57)</f>
        <v>0</v>
      </c>
      <c r="AAP44" s="56"/>
      <c r="AAQ44" s="242">
        <f t="shared" si="482"/>
        <v>0</v>
      </c>
      <c r="AAR44" s="242">
        <f t="shared" si="483"/>
        <v>0</v>
      </c>
      <c r="AAS44" s="56"/>
      <c r="AAV44" s="55">
        <f t="shared" si="484"/>
        <v>46056</v>
      </c>
      <c r="AAW44" s="56"/>
      <c r="AAX44" s="242">
        <f>SUMPRODUCT(PRODUCE!$B57:$DY57,PRODUCE!$EB$57:$IY$57)</f>
        <v>0</v>
      </c>
      <c r="AAY44" s="56"/>
      <c r="AAZ44" s="242">
        <f t="shared" si="485"/>
        <v>0</v>
      </c>
      <c r="ABA44" s="242">
        <f t="shared" si="486"/>
        <v>0</v>
      </c>
      <c r="ABB44" s="56"/>
      <c r="ABE44" s="55">
        <f t="shared" si="487"/>
        <v>46056</v>
      </c>
      <c r="ABF44" s="56"/>
      <c r="ABG44" s="242">
        <f>SUMPRODUCT(PRODUCE!$B57:$DY57,PRODUCE!$EB$57:$IY$57)</f>
        <v>0</v>
      </c>
      <c r="ABH44" s="56"/>
      <c r="ABI44" s="242">
        <f t="shared" si="488"/>
        <v>0</v>
      </c>
      <c r="ABJ44" s="242">
        <f t="shared" si="489"/>
        <v>0</v>
      </c>
      <c r="ABK44" s="56"/>
    </row>
    <row r="45" spans="1:739" s="54" customFormat="1" ht="15" customHeight="1" outlineLevel="1">
      <c r="B45" s="478"/>
      <c r="C45" s="55">
        <v>46057</v>
      </c>
      <c r="D45" s="422">
        <v>10720</v>
      </c>
      <c r="E45" s="424">
        <f>SUMPRODUCT(PRODUCE!$B58:$DY58,PRODUCE!$EB$7:$IY$7)</f>
        <v>0</v>
      </c>
      <c r="F45" s="422"/>
      <c r="G45" s="423">
        <f t="shared" si="247"/>
        <v>0</v>
      </c>
      <c r="H45" s="423">
        <f t="shared" si="245"/>
        <v>228491.19999999998</v>
      </c>
      <c r="I45" s="289"/>
      <c r="L45" s="55">
        <f t="shared" si="246"/>
        <v>46057</v>
      </c>
      <c r="M45" s="422">
        <v>27840</v>
      </c>
      <c r="N45" s="439">
        <f>SUMPRODUCT(PRODUCE!$B58:$DY58,PRODUCE!$EB$8:$IY$8)</f>
        <v>0</v>
      </c>
      <c r="O45" s="422"/>
      <c r="P45" s="438">
        <f t="shared" si="248"/>
        <v>0</v>
      </c>
      <c r="Q45" s="438">
        <f t="shared" si="249"/>
        <v>93296.6</v>
      </c>
      <c r="R45" s="56"/>
      <c r="U45" s="55">
        <f t="shared" si="250"/>
        <v>46057</v>
      </c>
      <c r="V45" s="422"/>
      <c r="W45" s="441">
        <f>SUMPRODUCT(PRODUCE!$B58:$DY58,PRODUCE!$EB$9:$IY$9)</f>
        <v>0</v>
      </c>
      <c r="X45" s="422"/>
      <c r="Y45" s="440">
        <f t="shared" si="251"/>
        <v>0</v>
      </c>
      <c r="Z45" s="440">
        <f t="shared" si="252"/>
        <v>47305.199999999983</v>
      </c>
      <c r="AA45" s="56"/>
      <c r="AD45" s="55">
        <f t="shared" si="253"/>
        <v>46057</v>
      </c>
      <c r="AE45" s="422"/>
      <c r="AF45" s="443">
        <f>SUMPRODUCT(PRODUCE!$B58:$DY58,PRODUCE!$EB$10:$IY$10)</f>
        <v>0</v>
      </c>
      <c r="AG45" s="422"/>
      <c r="AH45" s="442">
        <f t="shared" si="254"/>
        <v>0</v>
      </c>
      <c r="AI45" s="442">
        <f t="shared" si="255"/>
        <v>50351.200000000012</v>
      </c>
      <c r="AJ45" s="56"/>
      <c r="AM45" s="55">
        <f t="shared" si="256"/>
        <v>46057</v>
      </c>
      <c r="AN45" s="422"/>
      <c r="AO45" s="445">
        <f>SUMPRODUCT(PRODUCE!$B58:$DY58,PRODUCE!$EB$11:$IY$11)</f>
        <v>0</v>
      </c>
      <c r="AP45" s="422"/>
      <c r="AQ45" s="444">
        <f t="shared" si="257"/>
        <v>0</v>
      </c>
      <c r="AR45" s="444">
        <f t="shared" si="258"/>
        <v>0</v>
      </c>
      <c r="AS45" s="56"/>
      <c r="AV45" s="55">
        <f t="shared" si="259"/>
        <v>46057</v>
      </c>
      <c r="AW45" s="422">
        <v>30200</v>
      </c>
      <c r="AX45" s="447">
        <f>SUMPRODUCT(PRODUCE!$B58:$DY58,PRODUCE!$EB$12:$IY$12)</f>
        <v>0</v>
      </c>
      <c r="AY45" s="422"/>
      <c r="AZ45" s="446">
        <f t="shared" si="260"/>
        <v>0</v>
      </c>
      <c r="BA45" s="446">
        <f t="shared" si="261"/>
        <v>63748.999999999993</v>
      </c>
      <c r="BB45" s="56"/>
      <c r="BE45" s="55">
        <f t="shared" si="262"/>
        <v>46057</v>
      </c>
      <c r="BF45" s="422">
        <v>22150</v>
      </c>
      <c r="BG45" s="449">
        <f>SUMPRODUCT(PRODUCE!$B58:$DY58,PRODUCE!$EB$13:$IY$13)</f>
        <v>0</v>
      </c>
      <c r="BH45" s="422"/>
      <c r="BI45" s="448">
        <f t="shared" si="263"/>
        <v>0</v>
      </c>
      <c r="BJ45" s="448">
        <f t="shared" si="264"/>
        <v>43154.400000000009</v>
      </c>
      <c r="BK45" s="56"/>
      <c r="BN45" s="55">
        <f t="shared" si="265"/>
        <v>46057</v>
      </c>
      <c r="BO45" s="422"/>
      <c r="BP45" s="451">
        <f>SUMPRODUCT(PRODUCE!$B58:$DY58,PRODUCE!$EB$14:$IY$14)</f>
        <v>0</v>
      </c>
      <c r="BQ45" s="422"/>
      <c r="BR45" s="450">
        <f t="shared" si="266"/>
        <v>0</v>
      </c>
      <c r="BS45" s="450">
        <f t="shared" si="267"/>
        <v>0</v>
      </c>
      <c r="BT45" s="56"/>
      <c r="BW45" s="55">
        <f t="shared" si="268"/>
        <v>46057</v>
      </c>
      <c r="BX45" s="56"/>
      <c r="BY45" s="81">
        <f>SUMPRODUCT(PRODUCE!$B58:$DY58,PRODUCE!$EB$15:$IY$15)</f>
        <v>0</v>
      </c>
      <c r="BZ45" s="56">
        <v>252</v>
      </c>
      <c r="CA45" s="65">
        <f t="shared" si="269"/>
        <v>-252</v>
      </c>
      <c r="CB45" s="65">
        <f t="shared" si="270"/>
        <v>3000</v>
      </c>
      <c r="CC45" s="56"/>
      <c r="CF45" s="55">
        <f t="shared" si="271"/>
        <v>46057</v>
      </c>
      <c r="CG45" s="56"/>
      <c r="CH45" s="82">
        <f>SUMPRODUCT(PRODUCE!$B58:$DY58,PRODUCE!$EB$16:$IY$16)</f>
        <v>0</v>
      </c>
      <c r="CI45" s="56"/>
      <c r="CJ45" s="66">
        <f t="shared" si="272"/>
        <v>0</v>
      </c>
      <c r="CK45" s="66">
        <f t="shared" si="273"/>
        <v>0</v>
      </c>
      <c r="CL45" s="56"/>
      <c r="CO45" s="55">
        <f t="shared" si="274"/>
        <v>46057</v>
      </c>
      <c r="CP45" s="422"/>
      <c r="CQ45" s="471">
        <f>SUMPRODUCT(PRODUCE!$B58:$DY58,PRODUCE!$EB$17:$IY$17)</f>
        <v>0</v>
      </c>
      <c r="CR45" s="422"/>
      <c r="CS45" s="470">
        <f t="shared" si="275"/>
        <v>0</v>
      </c>
      <c r="CT45" s="470">
        <f t="shared" si="276"/>
        <v>0</v>
      </c>
      <c r="CU45" s="56"/>
      <c r="CX45" s="55">
        <f t="shared" si="277"/>
        <v>46057</v>
      </c>
      <c r="CY45" s="56"/>
      <c r="CZ45" s="136">
        <f>SUMPRODUCT(PRODUCE!$B58:$DY58,PRODUCE!$EB$18:$IY$18)</f>
        <v>0</v>
      </c>
      <c r="DA45" s="56"/>
      <c r="DB45" s="133">
        <f t="shared" si="278"/>
        <v>0</v>
      </c>
      <c r="DC45" s="133">
        <f t="shared" si="279"/>
        <v>0</v>
      </c>
      <c r="DD45" s="56"/>
      <c r="DG45" s="55">
        <f t="shared" si="280"/>
        <v>46057</v>
      </c>
      <c r="DH45" s="56"/>
      <c r="DI45" s="150">
        <f>SUMPRODUCT(PRODUCE!$B58:$DY58,PRODUCE!$EB$19:$IY$19)</f>
        <v>0</v>
      </c>
      <c r="DJ45" s="56"/>
      <c r="DK45" s="147">
        <f t="shared" si="281"/>
        <v>0</v>
      </c>
      <c r="DL45" s="147">
        <f t="shared" si="282"/>
        <v>22172.799999999996</v>
      </c>
      <c r="DM45" s="56"/>
      <c r="DP45" s="55">
        <f t="shared" si="283"/>
        <v>46057</v>
      </c>
      <c r="DQ45" s="56"/>
      <c r="DR45" s="58">
        <f>SUMPRODUCT(PRODUCE!$B58:$DY58,PRODUCE!$EB$20:$IY$20)</f>
        <v>0</v>
      </c>
      <c r="DS45" s="56"/>
      <c r="DT45" s="57">
        <f t="shared" si="284"/>
        <v>0</v>
      </c>
      <c r="DU45" s="57">
        <f t="shared" si="285"/>
        <v>0</v>
      </c>
      <c r="DV45" s="56"/>
      <c r="DY45" s="55">
        <f t="shared" si="286"/>
        <v>46057</v>
      </c>
      <c r="DZ45" s="56"/>
      <c r="EA45" s="159">
        <f>SUMPRODUCT(PRODUCE!$B58:$DY58,PRODUCE!$EB$21:$IY$21)</f>
        <v>0</v>
      </c>
      <c r="EB45" s="56"/>
      <c r="EC45" s="157">
        <f t="shared" si="287"/>
        <v>0</v>
      </c>
      <c r="ED45" s="157">
        <f t="shared" si="288"/>
        <v>0</v>
      </c>
      <c r="EE45" s="56"/>
      <c r="EH45" s="55">
        <f t="shared" si="289"/>
        <v>46057</v>
      </c>
      <c r="EI45" s="56"/>
      <c r="EJ45" s="164">
        <f>SUMPRODUCT(PRODUCE!$B58:$DY58,PRODUCE!$EB$22:$IY$22)</f>
        <v>0</v>
      </c>
      <c r="EK45" s="56"/>
      <c r="EL45" s="162">
        <f t="shared" si="290"/>
        <v>0</v>
      </c>
      <c r="EM45" s="162">
        <f t="shared" si="291"/>
        <v>0</v>
      </c>
      <c r="EN45" s="56"/>
      <c r="EQ45" s="55">
        <f t="shared" si="292"/>
        <v>46057</v>
      </c>
      <c r="ER45" s="56"/>
      <c r="ES45" s="171">
        <f>SUMPRODUCT(PRODUCE!$B58:$DY58,PRODUCE!$EB$23:$IY$23)</f>
        <v>0</v>
      </c>
      <c r="ET45" s="56"/>
      <c r="EU45" s="135">
        <f t="shared" si="293"/>
        <v>0</v>
      </c>
      <c r="EV45" s="135">
        <f t="shared" si="294"/>
        <v>0</v>
      </c>
      <c r="EW45" s="56"/>
      <c r="EZ45" s="55">
        <f t="shared" si="295"/>
        <v>46057</v>
      </c>
      <c r="FA45" s="56"/>
      <c r="FB45" s="178">
        <f>SUMPRODUCT(PRODUCE!$B58:$DY58,PRODUCE!$EB$24:$IY$24)</f>
        <v>0</v>
      </c>
      <c r="FC45" s="56"/>
      <c r="FD45" s="175">
        <f t="shared" si="296"/>
        <v>0</v>
      </c>
      <c r="FE45" s="175">
        <f t="shared" si="297"/>
        <v>0</v>
      </c>
      <c r="FF45" s="56"/>
      <c r="FI45" s="55">
        <f t="shared" si="298"/>
        <v>46057</v>
      </c>
      <c r="FJ45" s="56"/>
      <c r="FK45" s="184">
        <f>SUMPRODUCT(PRODUCE!$B58:$DY58,PRODUCE!$EB$25:$IY$25)</f>
        <v>0</v>
      </c>
      <c r="FL45" s="56"/>
      <c r="FM45" s="183">
        <f t="shared" si="299"/>
        <v>0</v>
      </c>
      <c r="FN45" s="183">
        <f t="shared" si="300"/>
        <v>0</v>
      </c>
      <c r="FO45" s="56"/>
      <c r="FR45" s="55">
        <f t="shared" si="301"/>
        <v>46057</v>
      </c>
      <c r="FS45" s="422"/>
      <c r="FT45" s="453">
        <f>SUMPRODUCT(PRODUCE!$B58:$DY58,PRODUCE!$EB$26:$IY$26)</f>
        <v>0</v>
      </c>
      <c r="FU45" s="422"/>
      <c r="FV45" s="452">
        <f t="shared" si="302"/>
        <v>0</v>
      </c>
      <c r="FW45" s="452">
        <f t="shared" si="303"/>
        <v>3540</v>
      </c>
      <c r="FX45" s="56"/>
      <c r="GA45" s="55">
        <f t="shared" si="304"/>
        <v>46057</v>
      </c>
      <c r="GB45" s="422"/>
      <c r="GC45" s="455">
        <f>SUMPRODUCT(PRODUCE!$B58:$DY58,PRODUCE!$EB$27:$IY$27)</f>
        <v>0</v>
      </c>
      <c r="GD45" s="422"/>
      <c r="GE45" s="454">
        <f t="shared" si="305"/>
        <v>0</v>
      </c>
      <c r="GF45" s="454">
        <f t="shared" si="306"/>
        <v>3960</v>
      </c>
      <c r="GG45" s="56"/>
      <c r="GI45" s="23"/>
      <c r="GJ45" s="55">
        <f t="shared" si="307"/>
        <v>46057</v>
      </c>
      <c r="GK45" s="422"/>
      <c r="GL45" s="457">
        <f>SUMPRODUCT(PRODUCE!$B58:$DY58,PRODUCE!$EB$28:$IY$28)</f>
        <v>0</v>
      </c>
      <c r="GM45" s="422"/>
      <c r="GN45" s="456">
        <f t="shared" si="308"/>
        <v>0</v>
      </c>
      <c r="GO45" s="456">
        <f t="shared" si="309"/>
        <v>3240</v>
      </c>
      <c r="GP45" s="56"/>
      <c r="GS45" s="55">
        <f t="shared" si="310"/>
        <v>46057</v>
      </c>
      <c r="GT45" s="56"/>
      <c r="GU45" s="196">
        <f>SUMPRODUCT(PRODUCE!$B58:$DY58,PRODUCE!$EB$29:$IY$29)</f>
        <v>0</v>
      </c>
      <c r="GV45" s="56"/>
      <c r="GW45" s="195">
        <f t="shared" si="311"/>
        <v>0</v>
      </c>
      <c r="GX45" s="195">
        <f t="shared" si="312"/>
        <v>0</v>
      </c>
      <c r="GY45" s="56"/>
      <c r="HB45" s="55">
        <f t="shared" si="313"/>
        <v>46057</v>
      </c>
      <c r="HC45" s="56"/>
      <c r="HD45" s="192">
        <f>SUMPRODUCT(PRODUCE!$B58:$DY58,PRODUCE!$EB$30:$IY$30)</f>
        <v>0</v>
      </c>
      <c r="HE45" s="56"/>
      <c r="HF45" s="191">
        <f t="shared" si="314"/>
        <v>0</v>
      </c>
      <c r="HG45" s="191">
        <f t="shared" si="315"/>
        <v>0</v>
      </c>
      <c r="HH45" s="56"/>
      <c r="HK45" s="55">
        <f t="shared" si="316"/>
        <v>46057</v>
      </c>
      <c r="HL45" s="56"/>
      <c r="HM45" s="80">
        <f>SUMPRODUCT(PRODUCE!$B58:$DY58,PRODUCE!$EB$31:$IY$31)</f>
        <v>0</v>
      </c>
      <c r="HN45" s="56"/>
      <c r="HO45" s="63">
        <f t="shared" si="317"/>
        <v>0</v>
      </c>
      <c r="HP45" s="63">
        <f t="shared" si="318"/>
        <v>0</v>
      </c>
      <c r="HQ45" s="56"/>
      <c r="HU45" s="55">
        <f t="shared" si="319"/>
        <v>46057</v>
      </c>
      <c r="HV45" s="56"/>
      <c r="HW45" s="242">
        <f>SUMPRODUCT(PRODUCE!$B58:$DY58,PRODUCE!$EB$32:$IY$32)</f>
        <v>0</v>
      </c>
      <c r="HX45" s="56"/>
      <c r="HY45" s="242">
        <f t="shared" si="320"/>
        <v>0</v>
      </c>
      <c r="HZ45" s="242">
        <f t="shared" si="321"/>
        <v>5440</v>
      </c>
      <c r="IA45" s="56"/>
      <c r="ID45" s="55">
        <f t="shared" si="322"/>
        <v>46057</v>
      </c>
      <c r="IE45" s="56"/>
      <c r="IF45" s="242">
        <f>SUMPRODUCT(PRODUCE!$B58:$DY58,PRODUCE!$EB$33:$IY$33)</f>
        <v>0</v>
      </c>
      <c r="IG45" s="56"/>
      <c r="IH45" s="242">
        <f t="shared" si="323"/>
        <v>0</v>
      </c>
      <c r="II45" s="242">
        <f t="shared" si="324"/>
        <v>5100</v>
      </c>
      <c r="IJ45" s="56"/>
      <c r="IM45" s="55">
        <f t="shared" si="325"/>
        <v>46057</v>
      </c>
      <c r="IN45" s="56"/>
      <c r="IO45" s="242">
        <f>SUMPRODUCT(PRODUCE!$B58:$DY58,PRODUCE!$EB$34:$IY$34)</f>
        <v>0</v>
      </c>
      <c r="IP45" s="56"/>
      <c r="IQ45" s="242">
        <f t="shared" si="326"/>
        <v>0</v>
      </c>
      <c r="IR45" s="242">
        <f t="shared" si="327"/>
        <v>16240</v>
      </c>
      <c r="IS45" s="56"/>
      <c r="IV45" s="55">
        <f t="shared" si="328"/>
        <v>46057</v>
      </c>
      <c r="IW45" s="56"/>
      <c r="IX45" s="242">
        <f>SUMPRODUCT(PRODUCE!$B58:$DY58,PRODUCE!$EB$35:$IY$35)</f>
        <v>0</v>
      </c>
      <c r="IY45" s="56"/>
      <c r="IZ45" s="242">
        <f t="shared" si="329"/>
        <v>0</v>
      </c>
      <c r="JA45" s="242">
        <f t="shared" si="330"/>
        <v>13120</v>
      </c>
      <c r="JB45" s="56"/>
      <c r="JE45" s="55">
        <f t="shared" si="331"/>
        <v>46057</v>
      </c>
      <c r="JF45" s="56"/>
      <c r="JG45" s="242">
        <f>SUMPRODUCT(PRODUCE!$B58:$DY58,PRODUCE!$EB$36:$IY$36)</f>
        <v>0</v>
      </c>
      <c r="JH45" s="56"/>
      <c r="JI45" s="242">
        <f t="shared" si="332"/>
        <v>0</v>
      </c>
      <c r="JJ45" s="242">
        <f t="shared" si="333"/>
        <v>6800</v>
      </c>
      <c r="JK45" s="56"/>
      <c r="JN45" s="55">
        <f t="shared" si="334"/>
        <v>46057</v>
      </c>
      <c r="JO45" s="56"/>
      <c r="JP45" s="242">
        <f>SUMPRODUCT(PRODUCE!$B58:$DY58,PRODUCE!$EB$37:$IY$37)</f>
        <v>0</v>
      </c>
      <c r="JQ45" s="56"/>
      <c r="JR45" s="242">
        <f t="shared" si="335"/>
        <v>0</v>
      </c>
      <c r="JS45" s="242">
        <f t="shared" si="336"/>
        <v>5400</v>
      </c>
      <c r="JT45" s="56"/>
      <c r="JW45" s="55">
        <f t="shared" si="337"/>
        <v>46057</v>
      </c>
      <c r="JX45" s="56"/>
      <c r="JY45" s="242">
        <f>SUMPRODUCT(PRODUCE!$B58:$DY58,PRODUCE!$EB$38:$IY$38)</f>
        <v>0</v>
      </c>
      <c r="JZ45" s="56"/>
      <c r="KA45" s="242">
        <f t="shared" si="338"/>
        <v>0</v>
      </c>
      <c r="KB45" s="242">
        <f t="shared" si="339"/>
        <v>2260</v>
      </c>
      <c r="KC45" s="56"/>
      <c r="KF45" s="55">
        <f t="shared" si="340"/>
        <v>46057</v>
      </c>
      <c r="KG45" s="56">
        <f>206*19.5</f>
        <v>4017</v>
      </c>
      <c r="KH45" s="242">
        <f>SUMPRODUCT(PRODUCE!$B58:$DY58,PRODUCE!$EB$39:$IY$39)</f>
        <v>0</v>
      </c>
      <c r="KI45" s="56"/>
      <c r="KJ45" s="242">
        <f t="shared" si="341"/>
        <v>0</v>
      </c>
      <c r="KK45" s="242">
        <f t="shared" si="342"/>
        <v>4017</v>
      </c>
      <c r="KL45" s="56"/>
      <c r="KO45" s="55">
        <f t="shared" si="343"/>
        <v>46057</v>
      </c>
      <c r="KP45" s="56">
        <f>246*18.9</f>
        <v>4649.3999999999996</v>
      </c>
      <c r="KQ45" s="242">
        <f>SUMPRODUCT(PRODUCE!$B58:$DY58,PRODUCE!$EB$40:$IY$40)</f>
        <v>0</v>
      </c>
      <c r="KR45" s="56"/>
      <c r="KS45" s="242">
        <f t="shared" si="344"/>
        <v>0</v>
      </c>
      <c r="KT45" s="242">
        <f t="shared" si="345"/>
        <v>4649.3999999999996</v>
      </c>
      <c r="KU45" s="56"/>
      <c r="KW45" s="23"/>
      <c r="KX45" s="55">
        <f t="shared" si="346"/>
        <v>46057</v>
      </c>
      <c r="KY45" s="56"/>
      <c r="KZ45" s="242">
        <f>SUMPRODUCT(PRODUCE!$B58:$DY58,PRODUCE!$EB$41:$IY$41)</f>
        <v>0</v>
      </c>
      <c r="LA45" s="56"/>
      <c r="LB45" s="242">
        <f t="shared" si="347"/>
        <v>0</v>
      </c>
      <c r="LC45" s="242">
        <f t="shared" si="348"/>
        <v>0</v>
      </c>
      <c r="LD45" s="56"/>
      <c r="LG45" s="55">
        <f t="shared" si="349"/>
        <v>46057</v>
      </c>
      <c r="LH45" s="56"/>
      <c r="LI45" s="242">
        <f>SUMPRODUCT(PRODUCE!$B58:$DY58,PRODUCE!$EB$42:$IY$42)</f>
        <v>0</v>
      </c>
      <c r="LJ45" s="56"/>
      <c r="LK45" s="242">
        <f t="shared" si="350"/>
        <v>0</v>
      </c>
      <c r="LL45" s="242">
        <f t="shared" si="351"/>
        <v>0</v>
      </c>
      <c r="LM45" s="56"/>
      <c r="LP45" s="55">
        <f t="shared" si="352"/>
        <v>46057</v>
      </c>
      <c r="LQ45" s="56"/>
      <c r="LR45" s="242">
        <f>SUMPRODUCT(PRODUCE!$B60:$DY60,PRODUCE!$EB$43:$IY$43)</f>
        <v>0</v>
      </c>
      <c r="LS45" s="56"/>
      <c r="LT45" s="242">
        <f t="shared" si="353"/>
        <v>0</v>
      </c>
      <c r="LU45" s="242">
        <f t="shared" si="354"/>
        <v>0</v>
      </c>
      <c r="LV45" s="56"/>
      <c r="LY45" s="55">
        <f t="shared" si="355"/>
        <v>46057</v>
      </c>
      <c r="LZ45" s="56"/>
      <c r="MA45" s="242">
        <f>SUMPRODUCT(PRODUCE!$B60:$DY60,PRODUCE!$EB$44:$IY$44)</f>
        <v>0</v>
      </c>
      <c r="MB45" s="56"/>
      <c r="MC45" s="242">
        <f t="shared" si="356"/>
        <v>0</v>
      </c>
      <c r="MD45" s="242">
        <f t="shared" si="357"/>
        <v>0</v>
      </c>
      <c r="ME45" s="56"/>
      <c r="MH45" s="55">
        <f t="shared" si="358"/>
        <v>46057</v>
      </c>
      <c r="MI45" s="56"/>
      <c r="MJ45" s="242">
        <f>SUMPRODUCT(PRODUCE!$B58:$DY58,PRODUCE!$EB$45:$IY$45)</f>
        <v>0</v>
      </c>
      <c r="MK45" s="56"/>
      <c r="ML45" s="242">
        <f t="shared" si="359"/>
        <v>0</v>
      </c>
      <c r="MM45" s="242">
        <f t="shared" si="360"/>
        <v>0</v>
      </c>
      <c r="MN45" s="56"/>
      <c r="MQ45" s="55">
        <f t="shared" si="361"/>
        <v>46057</v>
      </c>
      <c r="MR45" s="56"/>
      <c r="MS45" s="242">
        <f>SUMPRODUCT(PRODUCE!$B58:$DY58,PRODUCE!$EB$46:$IY$46)</f>
        <v>0</v>
      </c>
      <c r="MT45" s="56"/>
      <c r="MU45" s="242">
        <f t="shared" si="362"/>
        <v>0</v>
      </c>
      <c r="MV45" s="242">
        <f t="shared" si="363"/>
        <v>1969</v>
      </c>
      <c r="MW45" s="56"/>
      <c r="MZ45" s="55">
        <f t="shared" si="364"/>
        <v>46057</v>
      </c>
      <c r="NA45" s="56"/>
      <c r="NB45" s="242">
        <f>SUMPRODUCT(PRODUCE!$B58:$DY58,PRODUCE!$EB$47:$IY$47)</f>
        <v>0</v>
      </c>
      <c r="NC45" s="56"/>
      <c r="ND45" s="242">
        <f t="shared" si="365"/>
        <v>0</v>
      </c>
      <c r="NE45" s="242">
        <f t="shared" si="366"/>
        <v>0</v>
      </c>
      <c r="NF45" s="56"/>
      <c r="NI45" s="55">
        <f t="shared" si="367"/>
        <v>46057</v>
      </c>
      <c r="NJ45" s="56"/>
      <c r="NK45" s="242">
        <f>SUMPRODUCT(PRODUCE!$B58:$DY58,PRODUCE!$EB$48:$IY$48)</f>
        <v>0</v>
      </c>
      <c r="NL45" s="56"/>
      <c r="NM45" s="242">
        <f t="shared" si="368"/>
        <v>0</v>
      </c>
      <c r="NN45" s="242">
        <f t="shared" si="369"/>
        <v>0</v>
      </c>
      <c r="NO45" s="56"/>
      <c r="NR45" s="55">
        <f t="shared" si="370"/>
        <v>46057</v>
      </c>
      <c r="NS45" s="56">
        <v>970</v>
      </c>
      <c r="NT45" s="242">
        <f>SUMPRODUCT(PRODUCE!$B58:$DY58,PRODUCE!$EB$49:$IY$49)</f>
        <v>0</v>
      </c>
      <c r="NU45" s="56"/>
      <c r="NV45" s="242">
        <f t="shared" si="371"/>
        <v>0</v>
      </c>
      <c r="NW45" s="242">
        <f t="shared" si="372"/>
        <v>970</v>
      </c>
      <c r="NX45" s="56"/>
      <c r="OA45" s="55">
        <f t="shared" si="373"/>
        <v>46057</v>
      </c>
      <c r="OB45" s="56"/>
      <c r="OC45" s="242">
        <f>SUMPRODUCT(PRODUCE!$B58:$DY58,PRODUCE!$EB$50:$IY$50)</f>
        <v>0</v>
      </c>
      <c r="OD45" s="56"/>
      <c r="OE45" s="242">
        <f t="shared" si="374"/>
        <v>0</v>
      </c>
      <c r="OF45" s="242">
        <f t="shared" si="375"/>
        <v>1680.5</v>
      </c>
      <c r="OG45" s="56"/>
      <c r="OJ45" s="55">
        <f t="shared" si="376"/>
        <v>46057</v>
      </c>
      <c r="OK45" s="56"/>
      <c r="OL45" s="242">
        <f>SUMPRODUCT(PRODUCE!$B58:$DY58,PRODUCE!$EB$51:$IY$51)</f>
        <v>0</v>
      </c>
      <c r="OM45" s="56"/>
      <c r="ON45" s="242">
        <f t="shared" si="377"/>
        <v>0</v>
      </c>
      <c r="OO45" s="242">
        <f t="shared" si="378"/>
        <v>0</v>
      </c>
      <c r="OP45" s="56"/>
      <c r="OS45" s="55">
        <f t="shared" si="379"/>
        <v>46057</v>
      </c>
      <c r="OT45" s="56"/>
      <c r="OU45" s="242">
        <f>SUMPRODUCT(PRODUCE!$B58:$DY58,PRODUCE!$EB$52:$IY$52)</f>
        <v>0</v>
      </c>
      <c r="OV45" s="56"/>
      <c r="OW45" s="242">
        <f t="shared" si="380"/>
        <v>0</v>
      </c>
      <c r="OX45" s="242">
        <f t="shared" si="381"/>
        <v>0</v>
      </c>
      <c r="OY45" s="56"/>
      <c r="PB45" s="55">
        <f t="shared" si="382"/>
        <v>46057</v>
      </c>
      <c r="PC45" s="56"/>
      <c r="PD45" s="242">
        <f>SUMPRODUCT(PRODUCE!$B58:$DY58,PRODUCE!$EB$53:$IY$53)</f>
        <v>0</v>
      </c>
      <c r="PE45" s="56"/>
      <c r="PF45" s="242">
        <f t="shared" si="383"/>
        <v>0</v>
      </c>
      <c r="PG45" s="242">
        <f t="shared" si="384"/>
        <v>0</v>
      </c>
      <c r="PH45" s="56"/>
      <c r="PK45" s="55">
        <f t="shared" si="385"/>
        <v>46057</v>
      </c>
      <c r="PL45" s="56"/>
      <c r="PM45" s="242">
        <f>SUMPRODUCT(PRODUCE!$B58:$DY58,PRODUCE!$EB$54:$IY$54)</f>
        <v>0</v>
      </c>
      <c r="PN45" s="56"/>
      <c r="PO45" s="242">
        <f t="shared" si="386"/>
        <v>0</v>
      </c>
      <c r="PP45" s="242">
        <f t="shared" si="387"/>
        <v>160</v>
      </c>
      <c r="PQ45" s="56"/>
      <c r="PT45" s="55">
        <f t="shared" si="388"/>
        <v>46057</v>
      </c>
      <c r="PU45" s="56"/>
      <c r="PV45" s="242">
        <f>SUMPRODUCT(PRODUCE!$B58:$DY58,PRODUCE!$EB$55:$IY$55)</f>
        <v>0</v>
      </c>
      <c r="PW45" s="56"/>
      <c r="PX45" s="242">
        <f t="shared" si="389"/>
        <v>0</v>
      </c>
      <c r="PY45" s="242">
        <f t="shared" si="390"/>
        <v>13.960000000000036</v>
      </c>
      <c r="PZ45" s="56"/>
      <c r="QC45" s="55">
        <f t="shared" si="391"/>
        <v>46057</v>
      </c>
      <c r="QD45" s="56"/>
      <c r="QE45" s="242">
        <f>SUMPRODUCT(PRODUCE!$B58:$DY58,PRODUCE!$EB$56:$IY$56)</f>
        <v>0</v>
      </c>
      <c r="QF45" s="56"/>
      <c r="QG45" s="242">
        <f t="shared" si="392"/>
        <v>0</v>
      </c>
      <c r="QH45" s="242">
        <f t="shared" si="393"/>
        <v>0</v>
      </c>
      <c r="QI45" s="56"/>
      <c r="QL45" s="55">
        <f t="shared" si="394"/>
        <v>46057</v>
      </c>
      <c r="QM45" s="56"/>
      <c r="QN45" s="242">
        <f>SUMPRODUCT(PRODUCE!$B58:$DY58,PRODUCE!$EB$57:$IY$57)</f>
        <v>0</v>
      </c>
      <c r="QO45" s="56"/>
      <c r="QP45" s="242">
        <f t="shared" si="395"/>
        <v>0</v>
      </c>
      <c r="QQ45" s="242">
        <f t="shared" si="396"/>
        <v>0</v>
      </c>
      <c r="QR45" s="56"/>
      <c r="QU45" s="55">
        <f t="shared" si="397"/>
        <v>46057</v>
      </c>
      <c r="QV45" s="56"/>
      <c r="QW45" s="242">
        <f>SUMPRODUCT(PRODUCE!$B58:$DY58,PRODUCE!$EB$57:$IY$57)</f>
        <v>0</v>
      </c>
      <c r="QX45" s="56"/>
      <c r="QY45" s="242">
        <f t="shared" si="398"/>
        <v>0</v>
      </c>
      <c r="QZ45" s="242">
        <f t="shared" si="399"/>
        <v>207.6</v>
      </c>
      <c r="RA45" s="56"/>
      <c r="RD45" s="55">
        <f t="shared" si="400"/>
        <v>46057</v>
      </c>
      <c r="RE45" s="56"/>
      <c r="RF45" s="242">
        <f>SUMPRODUCT(PRODUCE!$B58:$DY58,PRODUCE!$EB$58:$IY$58)</f>
        <v>0</v>
      </c>
      <c r="RG45" s="56"/>
      <c r="RH45" s="242">
        <f t="shared" si="401"/>
        <v>0</v>
      </c>
      <c r="RI45" s="242">
        <f t="shared" si="402"/>
        <v>201.8</v>
      </c>
      <c r="RJ45" s="56"/>
      <c r="RM45" s="55">
        <f t="shared" si="403"/>
        <v>46057</v>
      </c>
      <c r="RN45" s="56"/>
      <c r="RO45" s="242">
        <f>SUMPRODUCT(PRODUCE!$B58:$DY58,PRODUCE!$EB$57:$IY$57)</f>
        <v>0</v>
      </c>
      <c r="RP45" s="56"/>
      <c r="RQ45" s="242">
        <f t="shared" si="404"/>
        <v>0</v>
      </c>
      <c r="RR45" s="242">
        <f t="shared" si="405"/>
        <v>22.720000000000002</v>
      </c>
      <c r="RS45" s="56"/>
      <c r="RV45" s="55">
        <f t="shared" si="406"/>
        <v>46057</v>
      </c>
      <c r="RW45" s="56"/>
      <c r="RX45" s="242">
        <f>SUMPRODUCT(PRODUCE!$B58:$DY58,PRODUCE!$EB$57:$IY$57)</f>
        <v>0</v>
      </c>
      <c r="RY45" s="56"/>
      <c r="RZ45" s="242">
        <f t="shared" si="407"/>
        <v>0</v>
      </c>
      <c r="SA45" s="242">
        <f t="shared" si="408"/>
        <v>0</v>
      </c>
      <c r="SB45" s="56"/>
      <c r="SE45" s="55">
        <f t="shared" si="409"/>
        <v>46057</v>
      </c>
      <c r="SF45" s="56"/>
      <c r="SG45" s="242">
        <f>SUMPRODUCT(PRODUCE!$B58:$DY58,PRODUCE!$EB$57:$IY$57)</f>
        <v>0</v>
      </c>
      <c r="SH45" s="56"/>
      <c r="SI45" s="242">
        <f t="shared" si="410"/>
        <v>0</v>
      </c>
      <c r="SJ45" s="242">
        <f t="shared" si="411"/>
        <v>0</v>
      </c>
      <c r="SK45" s="56"/>
      <c r="SN45" s="55">
        <f t="shared" si="412"/>
        <v>46057</v>
      </c>
      <c r="SO45" s="56"/>
      <c r="SP45" s="242">
        <f>SUMPRODUCT(PRODUCE!$B58:$DY58,PRODUCE!$EB$57:$IY$57)</f>
        <v>0</v>
      </c>
      <c r="SQ45" s="56"/>
      <c r="SR45" s="242">
        <f t="shared" si="413"/>
        <v>0</v>
      </c>
      <c r="SS45" s="242">
        <f t="shared" si="414"/>
        <v>0</v>
      </c>
      <c r="ST45" s="56"/>
      <c r="SW45" s="55">
        <f t="shared" si="415"/>
        <v>46057</v>
      </c>
      <c r="SX45" s="56"/>
      <c r="SY45" s="242">
        <f>SUMPRODUCT(PRODUCE!$B58:$DY58,PRODUCE!$EB$57:$IY$57)</f>
        <v>0</v>
      </c>
      <c r="SZ45" s="56"/>
      <c r="TA45" s="242">
        <f t="shared" si="416"/>
        <v>0</v>
      </c>
      <c r="TB45" s="242">
        <f t="shared" si="417"/>
        <v>270</v>
      </c>
      <c r="TC45" s="56"/>
      <c r="TF45" s="55">
        <f t="shared" si="418"/>
        <v>46057</v>
      </c>
      <c r="TG45" s="56"/>
      <c r="TH45" s="242">
        <f>SUMPRODUCT(PRODUCE!$B58:$DY58,PRODUCE!$EB$57:$IY$57)</f>
        <v>0</v>
      </c>
      <c r="TI45" s="56"/>
      <c r="TJ45" s="242">
        <f t="shared" si="419"/>
        <v>0</v>
      </c>
      <c r="TK45" s="242">
        <f t="shared" si="420"/>
        <v>0</v>
      </c>
      <c r="TL45" s="56"/>
      <c r="TO45" s="55">
        <f t="shared" si="421"/>
        <v>46057</v>
      </c>
      <c r="TP45" s="56"/>
      <c r="TQ45" s="242">
        <f>SUMPRODUCT(PRODUCE!$B58:$DY58,PRODUCE!$EB$57:$IY$57)</f>
        <v>0</v>
      </c>
      <c r="TR45" s="56"/>
      <c r="TS45" s="242">
        <f t="shared" si="422"/>
        <v>0</v>
      </c>
      <c r="TT45" s="242">
        <f t="shared" si="423"/>
        <v>0</v>
      </c>
      <c r="TU45" s="56"/>
      <c r="TX45" s="55">
        <f t="shared" si="424"/>
        <v>46057</v>
      </c>
      <c r="TY45" s="56"/>
      <c r="TZ45" s="242">
        <f>SUMPRODUCT(PRODUCE!$B58:$DY58,PRODUCE!$EB$57:$IY$57)</f>
        <v>0</v>
      </c>
      <c r="UA45" s="56"/>
      <c r="UB45" s="242">
        <f t="shared" si="425"/>
        <v>0</v>
      </c>
      <c r="UC45" s="242">
        <f t="shared" si="426"/>
        <v>0</v>
      </c>
      <c r="UD45" s="56"/>
      <c r="UG45" s="55">
        <f t="shared" si="427"/>
        <v>46057</v>
      </c>
      <c r="UH45" s="56"/>
      <c r="UI45" s="242">
        <f>SUMPRODUCT(PRODUCE!$B58:$DY58,PRODUCE!$EB$57:$IY$57)</f>
        <v>0</v>
      </c>
      <c r="UJ45" s="56"/>
      <c r="UK45" s="242">
        <f t="shared" si="428"/>
        <v>0</v>
      </c>
      <c r="UL45" s="242">
        <f t="shared" si="429"/>
        <v>0</v>
      </c>
      <c r="UM45" s="56"/>
      <c r="UP45" s="55">
        <f t="shared" si="430"/>
        <v>46057</v>
      </c>
      <c r="UQ45" s="56"/>
      <c r="UR45" s="242">
        <f>SUMPRODUCT(PRODUCE!$B58:$DY58,PRODUCE!$EB$57:$IY$57)</f>
        <v>0</v>
      </c>
      <c r="US45" s="56"/>
      <c r="UT45" s="242">
        <f t="shared" si="431"/>
        <v>0</v>
      </c>
      <c r="UU45" s="242">
        <f t="shared" si="432"/>
        <v>0</v>
      </c>
      <c r="UV45" s="56"/>
      <c r="UY45" s="55">
        <f t="shared" si="433"/>
        <v>46057</v>
      </c>
      <c r="UZ45" s="56"/>
      <c r="VA45" s="242">
        <f>SUMPRODUCT(PRODUCE!$B58:$DY58,PRODUCE!$EB$57:$IY$57)</f>
        <v>0</v>
      </c>
      <c r="VB45" s="56"/>
      <c r="VC45" s="242">
        <f t="shared" si="434"/>
        <v>0</v>
      </c>
      <c r="VD45" s="242">
        <f t="shared" si="435"/>
        <v>41.600000000000023</v>
      </c>
      <c r="VE45" s="56"/>
      <c r="VH45" s="55">
        <f t="shared" si="436"/>
        <v>46057</v>
      </c>
      <c r="VI45" s="56"/>
      <c r="VJ45" s="242">
        <f>SUMPRODUCT(PRODUCE!$B58:$DY58,PRODUCE!$EB$57:$IY$57)</f>
        <v>0</v>
      </c>
      <c r="VK45" s="56"/>
      <c r="VL45" s="242">
        <f t="shared" si="437"/>
        <v>0</v>
      </c>
      <c r="VM45" s="242">
        <f t="shared" si="438"/>
        <v>0</v>
      </c>
      <c r="VN45" s="56"/>
      <c r="VQ45" s="55">
        <f t="shared" si="439"/>
        <v>46057</v>
      </c>
      <c r="VR45" s="56"/>
      <c r="VS45" s="242">
        <f>SUMPRODUCT(PRODUCE!$B58:$DY58,PRODUCE!$EB$57:$IY$57)</f>
        <v>0</v>
      </c>
      <c r="VT45" s="56"/>
      <c r="VU45" s="242">
        <f t="shared" si="440"/>
        <v>0</v>
      </c>
      <c r="VV45" s="242">
        <f t="shared" si="441"/>
        <v>0</v>
      </c>
      <c r="VW45" s="56"/>
      <c r="VZ45" s="55">
        <f t="shared" si="442"/>
        <v>46057</v>
      </c>
      <c r="WA45" s="56"/>
      <c r="WB45" s="242">
        <f>SUMPRODUCT(PRODUCE!$B58:$DY58,PRODUCE!$EB$57:$IY$57)</f>
        <v>0</v>
      </c>
      <c r="WC45" s="56"/>
      <c r="WD45" s="242">
        <f t="shared" si="443"/>
        <v>0</v>
      </c>
      <c r="WE45" s="242">
        <f t="shared" si="444"/>
        <v>0</v>
      </c>
      <c r="WF45" s="56"/>
      <c r="WI45" s="55">
        <f t="shared" si="445"/>
        <v>46057</v>
      </c>
      <c r="WJ45" s="56"/>
      <c r="WK45" s="242">
        <f>SUMPRODUCT(PRODUCE!$B58:$DY58,PRODUCE!$EB$57:$IY$57)</f>
        <v>0</v>
      </c>
      <c r="WL45" s="56"/>
      <c r="WM45" s="242">
        <f t="shared" si="446"/>
        <v>0</v>
      </c>
      <c r="WN45" s="242">
        <f t="shared" si="447"/>
        <v>9609</v>
      </c>
      <c r="WO45" s="56"/>
      <c r="WR45" s="55">
        <f t="shared" si="448"/>
        <v>46057</v>
      </c>
      <c r="WS45" s="56"/>
      <c r="WT45" s="242">
        <f>SUMPRODUCT(PRODUCE!$B58:$DY58,PRODUCE!$EB$57:$IY$57)</f>
        <v>0</v>
      </c>
      <c r="WU45" s="56"/>
      <c r="WV45" s="242">
        <f t="shared" si="449"/>
        <v>0</v>
      </c>
      <c r="WW45" s="242">
        <f t="shared" si="450"/>
        <v>8149</v>
      </c>
      <c r="WX45" s="56"/>
      <c r="XA45" s="55">
        <f t="shared" si="451"/>
        <v>46057</v>
      </c>
      <c r="XB45" s="56"/>
      <c r="XC45" s="242">
        <f>SUMPRODUCT(PRODUCE!$B58:$DY58,PRODUCE!$EB$57:$IY$57)</f>
        <v>0</v>
      </c>
      <c r="XD45" s="56"/>
      <c r="XE45" s="242">
        <f t="shared" si="452"/>
        <v>0</v>
      </c>
      <c r="XF45" s="242">
        <f t="shared" si="453"/>
        <v>590</v>
      </c>
      <c r="XG45" s="56"/>
      <c r="XJ45" s="55">
        <f t="shared" si="454"/>
        <v>46057</v>
      </c>
      <c r="XK45" s="56"/>
      <c r="XL45" s="242">
        <f>SUMPRODUCT(PRODUCE!$B58:$DY58,PRODUCE!$EB$57:$IY$57)</f>
        <v>0</v>
      </c>
      <c r="XM45" s="56"/>
      <c r="XN45" s="242">
        <f t="shared" si="455"/>
        <v>0</v>
      </c>
      <c r="XO45" s="242">
        <f t="shared" si="456"/>
        <v>6240</v>
      </c>
      <c r="XP45" s="56"/>
      <c r="XS45" s="55">
        <f t="shared" si="457"/>
        <v>46057</v>
      </c>
      <c r="XT45" s="56"/>
      <c r="XU45" s="242">
        <f>SUMPRODUCT(PRODUCE!$B58:$DY58,PRODUCE!$EB$57:$IY$57)</f>
        <v>0</v>
      </c>
      <c r="XV45" s="56"/>
      <c r="XW45" s="242">
        <f t="shared" si="458"/>
        <v>0</v>
      </c>
      <c r="XX45" s="242">
        <f t="shared" si="459"/>
        <v>1901</v>
      </c>
      <c r="XY45" s="56"/>
      <c r="YB45" s="55">
        <f t="shared" si="460"/>
        <v>46057</v>
      </c>
      <c r="YC45" s="56"/>
      <c r="YD45" s="242">
        <f>SUMPRODUCT(PRODUCE!$B58:$DY58,PRODUCE!$EB$57:$IY$57)</f>
        <v>0</v>
      </c>
      <c r="YE45" s="56"/>
      <c r="YF45" s="242">
        <f t="shared" si="461"/>
        <v>0</v>
      </c>
      <c r="YG45" s="242">
        <f t="shared" si="462"/>
        <v>1370</v>
      </c>
      <c r="YH45" s="56"/>
      <c r="YK45" s="55">
        <f t="shared" si="463"/>
        <v>46057</v>
      </c>
      <c r="YL45" s="56"/>
      <c r="YM45" s="242">
        <f>SUMPRODUCT(PRODUCE!$B58:$DY58,PRODUCE!$EB$57:$IY$57)</f>
        <v>0</v>
      </c>
      <c r="YN45" s="56"/>
      <c r="YO45" s="242">
        <f t="shared" si="464"/>
        <v>0</v>
      </c>
      <c r="YP45" s="242">
        <f t="shared" si="465"/>
        <v>0</v>
      </c>
      <c r="YQ45" s="56"/>
      <c r="YT45" s="55">
        <f t="shared" si="466"/>
        <v>46057</v>
      </c>
      <c r="YU45" s="56"/>
      <c r="YV45" s="242">
        <f>SUMPRODUCT(PRODUCE!$B58:$DY58,PRODUCE!$EB$57:$IY$57)</f>
        <v>0</v>
      </c>
      <c r="YW45" s="56"/>
      <c r="YX45" s="242">
        <f t="shared" si="467"/>
        <v>0</v>
      </c>
      <c r="YY45" s="242">
        <f t="shared" si="468"/>
        <v>0</v>
      </c>
      <c r="YZ45" s="56"/>
      <c r="ZC45" s="55">
        <f t="shared" si="469"/>
        <v>46057</v>
      </c>
      <c r="ZD45" s="56"/>
      <c r="ZE45" s="242">
        <f>SUMPRODUCT(PRODUCE!$B58:$DY58,PRODUCE!$EB$57:$IY$57)</f>
        <v>0</v>
      </c>
      <c r="ZF45" s="56"/>
      <c r="ZG45" s="242">
        <f t="shared" si="470"/>
        <v>0</v>
      </c>
      <c r="ZH45" s="242">
        <f t="shared" si="471"/>
        <v>0</v>
      </c>
      <c r="ZI45" s="56"/>
      <c r="ZL45" s="55">
        <f t="shared" si="472"/>
        <v>46057</v>
      </c>
      <c r="ZM45" s="56"/>
      <c r="ZN45" s="242">
        <f>SUMPRODUCT(PRODUCE!$B58:$DY58,PRODUCE!$EB$57:$IY$57)</f>
        <v>0</v>
      </c>
      <c r="ZO45" s="56"/>
      <c r="ZP45" s="242">
        <f t="shared" si="473"/>
        <v>0</v>
      </c>
      <c r="ZQ45" s="242">
        <f t="shared" si="474"/>
        <v>0</v>
      </c>
      <c r="ZR45" s="56"/>
      <c r="ZU45" s="55">
        <f t="shared" si="475"/>
        <v>46057</v>
      </c>
      <c r="ZV45" s="56"/>
      <c r="ZW45" s="242">
        <f>SUMPRODUCT(PRODUCE!$B58:$DY58,PRODUCE!$EB$57:$IY$57)</f>
        <v>0</v>
      </c>
      <c r="ZX45" s="56"/>
      <c r="ZY45" s="242">
        <f t="shared" si="476"/>
        <v>0</v>
      </c>
      <c r="ZZ45" s="242">
        <f t="shared" si="477"/>
        <v>0</v>
      </c>
      <c r="AAA45" s="56"/>
      <c r="AAD45" s="55">
        <f t="shared" si="478"/>
        <v>46057</v>
      </c>
      <c r="AAE45" s="56"/>
      <c r="AAF45" s="242">
        <f>SUMPRODUCT(PRODUCE!$B58:$DY58,PRODUCE!$EB$57:$IY$57)</f>
        <v>0</v>
      </c>
      <c r="AAG45" s="56"/>
      <c r="AAH45" s="242">
        <f t="shared" si="479"/>
        <v>0</v>
      </c>
      <c r="AAI45" s="242">
        <f t="shared" si="480"/>
        <v>0</v>
      </c>
      <c r="AAJ45" s="56"/>
      <c r="AAM45" s="55">
        <f t="shared" si="481"/>
        <v>46057</v>
      </c>
      <c r="AAN45" s="56"/>
      <c r="AAO45" s="242">
        <f>SUMPRODUCT(PRODUCE!$B58:$DY58,PRODUCE!$EB$57:$IY$57)</f>
        <v>0</v>
      </c>
      <c r="AAP45" s="56"/>
      <c r="AAQ45" s="242">
        <f t="shared" si="482"/>
        <v>0</v>
      </c>
      <c r="AAR45" s="242">
        <f t="shared" si="483"/>
        <v>0</v>
      </c>
      <c r="AAS45" s="56"/>
      <c r="AAV45" s="55">
        <f t="shared" si="484"/>
        <v>46057</v>
      </c>
      <c r="AAW45" s="56"/>
      <c r="AAX45" s="242">
        <f>SUMPRODUCT(PRODUCE!$B58:$DY58,PRODUCE!$EB$57:$IY$57)</f>
        <v>0</v>
      </c>
      <c r="AAY45" s="56"/>
      <c r="AAZ45" s="242">
        <f t="shared" si="485"/>
        <v>0</v>
      </c>
      <c r="ABA45" s="242">
        <f t="shared" si="486"/>
        <v>0</v>
      </c>
      <c r="ABB45" s="56"/>
      <c r="ABE45" s="55">
        <f t="shared" si="487"/>
        <v>46057</v>
      </c>
      <c r="ABF45" s="56"/>
      <c r="ABG45" s="242">
        <f>SUMPRODUCT(PRODUCE!$B58:$DY58,PRODUCE!$EB$57:$IY$57)</f>
        <v>0</v>
      </c>
      <c r="ABH45" s="56"/>
      <c r="ABI45" s="242">
        <f t="shared" si="488"/>
        <v>0</v>
      </c>
      <c r="ABJ45" s="242">
        <f t="shared" si="489"/>
        <v>0</v>
      </c>
      <c r="ABK45" s="56"/>
    </row>
    <row r="46" spans="1:739" s="54" customFormat="1" ht="15" customHeight="1" outlineLevel="1">
      <c r="B46" s="478">
        <f>52+26</f>
        <v>78</v>
      </c>
      <c r="C46" s="55">
        <v>46058</v>
      </c>
      <c r="D46" s="422"/>
      <c r="E46" s="424">
        <f>SUMPRODUCT(PRODUCE!$B59:$DY59,PRODUCE!$EB$7:$IY$7)</f>
        <v>44166.2</v>
      </c>
      <c r="F46" s="422">
        <f>28033.8+16079.6</f>
        <v>44113.4</v>
      </c>
      <c r="G46" s="423">
        <f t="shared" si="247"/>
        <v>52.799999999995634</v>
      </c>
      <c r="H46" s="423">
        <f t="shared" si="245"/>
        <v>184377.8</v>
      </c>
      <c r="I46" s="324" t="s">
        <v>198</v>
      </c>
      <c r="L46" s="55">
        <f t="shared" si="246"/>
        <v>46058</v>
      </c>
      <c r="M46" s="422"/>
      <c r="N46" s="439">
        <f>SUMPRODUCT(PRODUCE!$B59:$DY59,PRODUCE!$EB$8:$IY$8)</f>
        <v>20943</v>
      </c>
      <c r="O46" s="422">
        <v>20948</v>
      </c>
      <c r="P46" s="438">
        <f t="shared" si="248"/>
        <v>-5</v>
      </c>
      <c r="Q46" s="438">
        <f t="shared" si="249"/>
        <v>72348.600000000006</v>
      </c>
      <c r="R46" s="56"/>
      <c r="U46" s="55">
        <f t="shared" si="250"/>
        <v>46058</v>
      </c>
      <c r="V46" s="422"/>
      <c r="W46" s="441">
        <f>SUMPRODUCT(PRODUCE!$B59:$DY59,PRODUCE!$EB$9:$IY$9)</f>
        <v>3770</v>
      </c>
      <c r="X46" s="422">
        <v>3771.5</v>
      </c>
      <c r="Y46" s="440">
        <f t="shared" si="251"/>
        <v>-1.5</v>
      </c>
      <c r="Z46" s="440">
        <f t="shared" si="252"/>
        <v>43533.699999999983</v>
      </c>
      <c r="AA46" s="56"/>
      <c r="AD46" s="55">
        <f t="shared" si="253"/>
        <v>46058</v>
      </c>
      <c r="AE46" s="422"/>
      <c r="AF46" s="443">
        <f>SUMPRODUCT(PRODUCE!$B59:$DY59,PRODUCE!$EB$10:$IY$10)</f>
        <v>1820</v>
      </c>
      <c r="AG46" s="422">
        <v>1821.1</v>
      </c>
      <c r="AH46" s="442">
        <f t="shared" si="254"/>
        <v>-1.0999999999999091</v>
      </c>
      <c r="AI46" s="442">
        <f t="shared" si="255"/>
        <v>48530.100000000013</v>
      </c>
      <c r="AJ46" s="56"/>
      <c r="AM46" s="55">
        <f t="shared" si="256"/>
        <v>46058</v>
      </c>
      <c r="AN46" s="422"/>
      <c r="AO46" s="445">
        <f>SUMPRODUCT(PRODUCE!$B59:$DY59,PRODUCE!$EB$11:$IY$11)</f>
        <v>0</v>
      </c>
      <c r="AP46" s="422"/>
      <c r="AQ46" s="444">
        <f t="shared" si="257"/>
        <v>0</v>
      </c>
      <c r="AR46" s="444">
        <f t="shared" si="258"/>
        <v>0</v>
      </c>
      <c r="AS46" s="56"/>
      <c r="AV46" s="55">
        <f t="shared" si="259"/>
        <v>46058</v>
      </c>
      <c r="AW46" s="422"/>
      <c r="AX46" s="447">
        <f>SUMPRODUCT(PRODUCE!$B59:$DY59,PRODUCE!$EB$12:$IY$12)</f>
        <v>1560</v>
      </c>
      <c r="AY46" s="422">
        <v>1560.8</v>
      </c>
      <c r="AZ46" s="446">
        <f t="shared" si="260"/>
        <v>-0.79999999999995453</v>
      </c>
      <c r="BA46" s="446">
        <f t="shared" si="261"/>
        <v>62188.19999999999</v>
      </c>
      <c r="BB46" s="56"/>
      <c r="BE46" s="55">
        <f t="shared" si="262"/>
        <v>46058</v>
      </c>
      <c r="BF46" s="422"/>
      <c r="BG46" s="449">
        <f>SUMPRODUCT(PRODUCE!$B59:$DY59,PRODUCE!$EB$13:$IY$13)</f>
        <v>1560</v>
      </c>
      <c r="BH46" s="422">
        <v>1560.6</v>
      </c>
      <c r="BI46" s="448">
        <f t="shared" si="263"/>
        <v>-0.59999999999990905</v>
      </c>
      <c r="BJ46" s="448">
        <f t="shared" si="264"/>
        <v>41593.80000000001</v>
      </c>
      <c r="BK46" s="56"/>
      <c r="BN46" s="55">
        <f t="shared" si="265"/>
        <v>46058</v>
      </c>
      <c r="BO46" s="422">
        <v>1065.5999999999999</v>
      </c>
      <c r="BP46" s="451">
        <f>SUMPRODUCT(PRODUCE!$B59:$DY59,PRODUCE!$EB$14:$IY$14)</f>
        <v>1066</v>
      </c>
      <c r="BQ46" s="422">
        <v>1065.5999999999999</v>
      </c>
      <c r="BR46" s="450">
        <f t="shared" si="266"/>
        <v>0.40000000000009095</v>
      </c>
      <c r="BS46" s="450">
        <f t="shared" si="267"/>
        <v>0</v>
      </c>
      <c r="BT46" s="56"/>
      <c r="BW46" s="55">
        <f t="shared" si="268"/>
        <v>46058</v>
      </c>
      <c r="BX46" s="56"/>
      <c r="BY46" s="81">
        <f>SUMPRODUCT(PRODUCE!$B59:$DY59,PRODUCE!$EB$15:$IY$15)</f>
        <v>78</v>
      </c>
      <c r="BZ46" s="56"/>
      <c r="CA46" s="65">
        <f t="shared" si="269"/>
        <v>78</v>
      </c>
      <c r="CB46" s="65">
        <f t="shared" si="270"/>
        <v>3000</v>
      </c>
      <c r="CC46" s="56"/>
      <c r="CF46" s="55">
        <f t="shared" si="271"/>
        <v>46058</v>
      </c>
      <c r="CG46" s="56"/>
      <c r="CH46" s="82">
        <f>SUMPRODUCT(PRODUCE!$B59:$DY59,PRODUCE!$EB$16:$IY$16)</f>
        <v>306.8</v>
      </c>
      <c r="CI46" s="56"/>
      <c r="CJ46" s="66">
        <f t="shared" si="272"/>
        <v>306.8</v>
      </c>
      <c r="CK46" s="66">
        <f t="shared" si="273"/>
        <v>0</v>
      </c>
      <c r="CL46" s="56"/>
      <c r="CO46" s="55">
        <f t="shared" si="274"/>
        <v>46058</v>
      </c>
      <c r="CP46" s="422"/>
      <c r="CQ46" s="471">
        <f>SUMPRODUCT(PRODUCE!$B59:$DY59,PRODUCE!$EB$17:$IY$17)</f>
        <v>0</v>
      </c>
      <c r="CR46" s="422"/>
      <c r="CS46" s="470">
        <f t="shared" si="275"/>
        <v>0</v>
      </c>
      <c r="CT46" s="470">
        <f t="shared" si="276"/>
        <v>0</v>
      </c>
      <c r="CU46" s="56"/>
      <c r="CX46" s="55">
        <f t="shared" si="277"/>
        <v>46058</v>
      </c>
      <c r="CY46" s="56">
        <v>10240</v>
      </c>
      <c r="CZ46" s="136">
        <f>SUMPRODUCT(PRODUCE!$B59:$DY59,PRODUCE!$EB$18:$IY$18)</f>
        <v>0</v>
      </c>
      <c r="DA46" s="56"/>
      <c r="DB46" s="133">
        <f t="shared" si="278"/>
        <v>0</v>
      </c>
      <c r="DC46" s="133">
        <f t="shared" si="279"/>
        <v>10240</v>
      </c>
      <c r="DD46" s="56"/>
      <c r="DG46" s="55">
        <f t="shared" si="280"/>
        <v>46058</v>
      </c>
      <c r="DH46" s="56"/>
      <c r="DI46" s="150">
        <f>SUMPRODUCT(PRODUCE!$B59:$DY59,PRODUCE!$EB$19:$IY$19)</f>
        <v>910</v>
      </c>
      <c r="DJ46" s="56">
        <v>910.8</v>
      </c>
      <c r="DK46" s="147">
        <f t="shared" si="281"/>
        <v>-0.79999999999995453</v>
      </c>
      <c r="DL46" s="147">
        <f t="shared" si="282"/>
        <v>21261.999999999996</v>
      </c>
      <c r="DM46" s="56"/>
      <c r="DP46" s="55">
        <f t="shared" si="283"/>
        <v>46058</v>
      </c>
      <c r="DQ46" s="56"/>
      <c r="DR46" s="58">
        <f>SUMPRODUCT(PRODUCE!$B59:$DY59,PRODUCE!$EB$20:$IY$20)</f>
        <v>0</v>
      </c>
      <c r="DS46" s="56"/>
      <c r="DT46" s="57">
        <f t="shared" si="284"/>
        <v>0</v>
      </c>
      <c r="DU46" s="57">
        <f t="shared" si="285"/>
        <v>0</v>
      </c>
      <c r="DV46" s="56"/>
      <c r="DY46" s="55">
        <f t="shared" si="286"/>
        <v>46058</v>
      </c>
      <c r="DZ46" s="56"/>
      <c r="EA46" s="159">
        <f>SUMPRODUCT(PRODUCE!$B59:$DY59,PRODUCE!$EB$21:$IY$21)</f>
        <v>0</v>
      </c>
      <c r="EB46" s="56"/>
      <c r="EC46" s="157">
        <f t="shared" si="287"/>
        <v>0</v>
      </c>
      <c r="ED46" s="157">
        <f t="shared" si="288"/>
        <v>0</v>
      </c>
      <c r="EE46" s="56"/>
      <c r="EH46" s="55">
        <f t="shared" si="289"/>
        <v>46058</v>
      </c>
      <c r="EI46" s="56"/>
      <c r="EJ46" s="164">
        <f>SUMPRODUCT(PRODUCE!$B59:$DY59,PRODUCE!$EB$22:$IY$22)</f>
        <v>0</v>
      </c>
      <c r="EK46" s="56"/>
      <c r="EL46" s="162">
        <f t="shared" si="290"/>
        <v>0</v>
      </c>
      <c r="EM46" s="162">
        <f t="shared" si="291"/>
        <v>0</v>
      </c>
      <c r="EN46" s="56"/>
      <c r="EQ46" s="55">
        <f t="shared" si="292"/>
        <v>46058</v>
      </c>
      <c r="ER46" s="56"/>
      <c r="ES46" s="171">
        <f>SUMPRODUCT(PRODUCE!$B59:$DY59,PRODUCE!$EB$23:$IY$23)</f>
        <v>0</v>
      </c>
      <c r="ET46" s="56"/>
      <c r="EU46" s="135">
        <f t="shared" si="293"/>
        <v>0</v>
      </c>
      <c r="EV46" s="135">
        <f t="shared" si="294"/>
        <v>0</v>
      </c>
      <c r="EW46" s="56"/>
      <c r="EZ46" s="55">
        <f t="shared" si="295"/>
        <v>46058</v>
      </c>
      <c r="FA46" s="56"/>
      <c r="FB46" s="178">
        <f>SUMPRODUCT(PRODUCE!$B59:$DY59,PRODUCE!$EB$24:$IY$24)</f>
        <v>0</v>
      </c>
      <c r="FC46" s="56"/>
      <c r="FD46" s="175">
        <f t="shared" si="296"/>
        <v>0</v>
      </c>
      <c r="FE46" s="175">
        <f t="shared" si="297"/>
        <v>0</v>
      </c>
      <c r="FF46" s="56"/>
      <c r="FI46" s="55">
        <f t="shared" si="298"/>
        <v>46058</v>
      </c>
      <c r="FJ46" s="56"/>
      <c r="FK46" s="184">
        <f>SUMPRODUCT(PRODUCE!$B59:$DY59,PRODUCE!$EB$25:$IY$25)</f>
        <v>0</v>
      </c>
      <c r="FL46" s="56"/>
      <c r="FM46" s="183">
        <f t="shared" si="299"/>
        <v>0</v>
      </c>
      <c r="FN46" s="183">
        <f t="shared" si="300"/>
        <v>0</v>
      </c>
      <c r="FO46" s="56"/>
      <c r="FR46" s="55">
        <f t="shared" si="301"/>
        <v>46058</v>
      </c>
      <c r="FS46" s="422"/>
      <c r="FT46" s="453">
        <f>SUMPRODUCT(PRODUCE!$B59:$DY59,PRODUCE!$EB$26:$IY$26)</f>
        <v>0</v>
      </c>
      <c r="FU46" s="422"/>
      <c r="FV46" s="452">
        <f t="shared" si="302"/>
        <v>0</v>
      </c>
      <c r="FW46" s="452">
        <f t="shared" si="303"/>
        <v>3540</v>
      </c>
      <c r="FX46" s="56"/>
      <c r="GA46" s="55">
        <f t="shared" si="304"/>
        <v>46058</v>
      </c>
      <c r="GB46" s="422"/>
      <c r="GC46" s="455">
        <f>SUMPRODUCT(PRODUCE!$B59:$DY59,PRODUCE!$EB$27:$IY$27)</f>
        <v>0</v>
      </c>
      <c r="GD46" s="422"/>
      <c r="GE46" s="454">
        <f t="shared" si="305"/>
        <v>0</v>
      </c>
      <c r="GF46" s="454">
        <f t="shared" si="306"/>
        <v>3960</v>
      </c>
      <c r="GG46" s="56"/>
      <c r="GI46" s="23"/>
      <c r="GJ46" s="55">
        <f t="shared" si="307"/>
        <v>46058</v>
      </c>
      <c r="GK46" s="422"/>
      <c r="GL46" s="457">
        <f>SUMPRODUCT(PRODUCE!$B59:$DY59,PRODUCE!$EB$28:$IY$28)</f>
        <v>0</v>
      </c>
      <c r="GM46" s="422"/>
      <c r="GN46" s="456">
        <f t="shared" si="308"/>
        <v>0</v>
      </c>
      <c r="GO46" s="456">
        <f t="shared" si="309"/>
        <v>3240</v>
      </c>
      <c r="GP46" s="56"/>
      <c r="GS46" s="55">
        <f t="shared" si="310"/>
        <v>46058</v>
      </c>
      <c r="GT46" s="56"/>
      <c r="GU46" s="196">
        <f>SUMPRODUCT(PRODUCE!$B59:$DY59,PRODUCE!$EB$29:$IY$29)</f>
        <v>0</v>
      </c>
      <c r="GV46" s="56"/>
      <c r="GW46" s="195">
        <f t="shared" si="311"/>
        <v>0</v>
      </c>
      <c r="GX46" s="195">
        <f t="shared" si="312"/>
        <v>0</v>
      </c>
      <c r="GY46" s="56"/>
      <c r="HB46" s="55">
        <f t="shared" si="313"/>
        <v>46058</v>
      </c>
      <c r="HC46" s="56"/>
      <c r="HD46" s="192">
        <f>SUMPRODUCT(PRODUCE!$B59:$DY59,PRODUCE!$EB$30:$IY$30)</f>
        <v>0</v>
      </c>
      <c r="HE46" s="56"/>
      <c r="HF46" s="191">
        <f t="shared" si="314"/>
        <v>0</v>
      </c>
      <c r="HG46" s="191">
        <f t="shared" si="315"/>
        <v>0</v>
      </c>
      <c r="HH46" s="56"/>
      <c r="HK46" s="55">
        <f t="shared" si="316"/>
        <v>46058</v>
      </c>
      <c r="HL46" s="56"/>
      <c r="HM46" s="80">
        <f>SUMPRODUCT(PRODUCE!$B59:$DY59,PRODUCE!$EB$31:$IY$31)</f>
        <v>0</v>
      </c>
      <c r="HN46" s="56"/>
      <c r="HO46" s="63">
        <f t="shared" si="317"/>
        <v>0</v>
      </c>
      <c r="HP46" s="63">
        <f t="shared" si="318"/>
        <v>0</v>
      </c>
      <c r="HQ46" s="56"/>
      <c r="HU46" s="55">
        <f t="shared" si="319"/>
        <v>46058</v>
      </c>
      <c r="HV46" s="56"/>
      <c r="HW46" s="242">
        <f>SUMPRODUCT(PRODUCE!$B59:$DY59,PRODUCE!$EB$32:$IY$32)</f>
        <v>1040</v>
      </c>
      <c r="HX46" s="56"/>
      <c r="HY46" s="242">
        <f t="shared" si="320"/>
        <v>1040</v>
      </c>
      <c r="HZ46" s="242">
        <f t="shared" si="321"/>
        <v>5440</v>
      </c>
      <c r="IA46" s="56"/>
      <c r="ID46" s="55">
        <f t="shared" si="322"/>
        <v>46058</v>
      </c>
      <c r="IE46" s="56"/>
      <c r="IF46" s="242">
        <f>SUMPRODUCT(PRODUCE!$B59:$DY59,PRODUCE!$EB$33:$IY$33)</f>
        <v>0</v>
      </c>
      <c r="IG46" s="56"/>
      <c r="IH46" s="242">
        <f t="shared" si="323"/>
        <v>0</v>
      </c>
      <c r="II46" s="242">
        <f t="shared" si="324"/>
        <v>5100</v>
      </c>
      <c r="IJ46" s="56"/>
      <c r="IM46" s="55">
        <f t="shared" si="325"/>
        <v>46058</v>
      </c>
      <c r="IN46" s="56"/>
      <c r="IO46" s="242">
        <f>SUMPRODUCT(PRODUCE!$B59:$DY59,PRODUCE!$EB$34:$IY$34)</f>
        <v>0</v>
      </c>
      <c r="IP46" s="56"/>
      <c r="IQ46" s="242">
        <f t="shared" si="326"/>
        <v>0</v>
      </c>
      <c r="IR46" s="242">
        <f t="shared" si="327"/>
        <v>16240</v>
      </c>
      <c r="IS46" s="56"/>
      <c r="IV46" s="55">
        <f t="shared" si="328"/>
        <v>46058</v>
      </c>
      <c r="IW46" s="56"/>
      <c r="IX46" s="242">
        <f>SUMPRODUCT(PRODUCE!$B59:$DY59,PRODUCE!$EB$35:$IY$35)</f>
        <v>520</v>
      </c>
      <c r="IY46" s="56"/>
      <c r="IZ46" s="242">
        <f t="shared" si="329"/>
        <v>520</v>
      </c>
      <c r="JA46" s="242">
        <f t="shared" si="330"/>
        <v>13120</v>
      </c>
      <c r="JB46" s="56"/>
      <c r="JE46" s="55">
        <f t="shared" si="331"/>
        <v>46058</v>
      </c>
      <c r="JF46" s="56"/>
      <c r="JG46" s="242">
        <f>SUMPRODUCT(PRODUCE!$B59:$DY59,PRODUCE!$EB$36:$IY$36)</f>
        <v>0</v>
      </c>
      <c r="JH46" s="56"/>
      <c r="JI46" s="242">
        <f t="shared" si="332"/>
        <v>0</v>
      </c>
      <c r="JJ46" s="242">
        <f t="shared" si="333"/>
        <v>6800</v>
      </c>
      <c r="JK46" s="56"/>
      <c r="JN46" s="55">
        <f t="shared" si="334"/>
        <v>46058</v>
      </c>
      <c r="JO46" s="56"/>
      <c r="JP46" s="242">
        <f>SUMPRODUCT(PRODUCE!$B59:$DY59,PRODUCE!$EB$37:$IY$37)</f>
        <v>0</v>
      </c>
      <c r="JQ46" s="56"/>
      <c r="JR46" s="242">
        <f t="shared" si="335"/>
        <v>0</v>
      </c>
      <c r="JS46" s="242">
        <f t="shared" si="336"/>
        <v>5400</v>
      </c>
      <c r="JT46" s="56"/>
      <c r="JW46" s="55">
        <f t="shared" si="337"/>
        <v>46058</v>
      </c>
      <c r="JX46" s="56"/>
      <c r="JY46" s="242">
        <f>SUMPRODUCT(PRODUCE!$B59:$DY59,PRODUCE!$EB$38:$IY$38)</f>
        <v>0</v>
      </c>
      <c r="JZ46" s="56"/>
      <c r="KA46" s="242">
        <f t="shared" si="338"/>
        <v>0</v>
      </c>
      <c r="KB46" s="242">
        <f t="shared" si="339"/>
        <v>2260</v>
      </c>
      <c r="KC46" s="56"/>
      <c r="KF46" s="55">
        <f t="shared" si="340"/>
        <v>46058</v>
      </c>
      <c r="KG46" s="56"/>
      <c r="KH46" s="242">
        <f>SUMPRODUCT(PRODUCE!$B59:$DY59,PRODUCE!$EB$39:$IY$39)</f>
        <v>0</v>
      </c>
      <c r="KI46" s="56"/>
      <c r="KJ46" s="242">
        <f t="shared" si="341"/>
        <v>0</v>
      </c>
      <c r="KK46" s="242">
        <f t="shared" si="342"/>
        <v>4017</v>
      </c>
      <c r="KL46" s="56"/>
      <c r="KO46" s="55">
        <f t="shared" si="343"/>
        <v>46058</v>
      </c>
      <c r="KP46" s="56">
        <f>120*18.9</f>
        <v>2268</v>
      </c>
      <c r="KQ46" s="242">
        <f>SUMPRODUCT(PRODUCE!$B59:$DY59,PRODUCE!$EB$40:$IY$40)</f>
        <v>0</v>
      </c>
      <c r="KR46" s="56"/>
      <c r="KS46" s="242">
        <f t="shared" si="344"/>
        <v>0</v>
      </c>
      <c r="KT46" s="242">
        <f t="shared" si="345"/>
        <v>6917.4</v>
      </c>
      <c r="KU46" s="56"/>
      <c r="KW46" s="23"/>
      <c r="KX46" s="55">
        <f t="shared" si="346"/>
        <v>46058</v>
      </c>
      <c r="KY46" s="56"/>
      <c r="KZ46" s="242">
        <f>SUMPRODUCT(PRODUCE!$B59:$DY59,PRODUCE!$EB$41:$IY$41)</f>
        <v>0</v>
      </c>
      <c r="LA46" s="56"/>
      <c r="LB46" s="242">
        <f t="shared" si="347"/>
        <v>0</v>
      </c>
      <c r="LC46" s="242">
        <f t="shared" si="348"/>
        <v>0</v>
      </c>
      <c r="LD46" s="56"/>
      <c r="LG46" s="55">
        <f t="shared" si="349"/>
        <v>46058</v>
      </c>
      <c r="LH46" s="56"/>
      <c r="LI46" s="242">
        <f>SUMPRODUCT(PRODUCE!$B59:$DY59,PRODUCE!$EB$42:$IY$42)</f>
        <v>0</v>
      </c>
      <c r="LJ46" s="56"/>
      <c r="LK46" s="242">
        <f t="shared" si="350"/>
        <v>0</v>
      </c>
      <c r="LL46" s="242">
        <f t="shared" si="351"/>
        <v>0</v>
      </c>
      <c r="LM46" s="56"/>
      <c r="LP46" s="55">
        <f t="shared" si="352"/>
        <v>46058</v>
      </c>
      <c r="LQ46" s="56"/>
      <c r="LR46" s="242">
        <f>SUMPRODUCT(PRODUCE!$B61:$DY61,PRODUCE!$EB$43:$IY$43)</f>
        <v>0</v>
      </c>
      <c r="LS46" s="56"/>
      <c r="LT46" s="242">
        <f t="shared" si="353"/>
        <v>0</v>
      </c>
      <c r="LU46" s="242">
        <f t="shared" si="354"/>
        <v>0</v>
      </c>
      <c r="LV46" s="56"/>
      <c r="LY46" s="55">
        <f t="shared" si="355"/>
        <v>46058</v>
      </c>
      <c r="LZ46" s="56"/>
      <c r="MA46" s="242">
        <f>SUMPRODUCT(PRODUCE!$B61:$DY61,PRODUCE!$EB$44:$IY$44)</f>
        <v>0</v>
      </c>
      <c r="MB46" s="56"/>
      <c r="MC46" s="242">
        <f t="shared" si="356"/>
        <v>0</v>
      </c>
      <c r="MD46" s="242">
        <f t="shared" si="357"/>
        <v>0</v>
      </c>
      <c r="ME46" s="56"/>
      <c r="MH46" s="55">
        <f t="shared" si="358"/>
        <v>46058</v>
      </c>
      <c r="MI46" s="56"/>
      <c r="MJ46" s="242">
        <f>SUMPRODUCT(PRODUCE!$B59:$DY59,PRODUCE!$EB$45:$IY$45)</f>
        <v>0</v>
      </c>
      <c r="MK46" s="56"/>
      <c r="ML46" s="242">
        <f t="shared" si="359"/>
        <v>0</v>
      </c>
      <c r="MM46" s="242">
        <f t="shared" si="360"/>
        <v>0</v>
      </c>
      <c r="MN46" s="56"/>
      <c r="MQ46" s="55">
        <f t="shared" si="361"/>
        <v>46058</v>
      </c>
      <c r="MR46" s="56"/>
      <c r="MS46" s="242">
        <f>SUMPRODUCT(PRODUCE!$B59:$DY59,PRODUCE!$EB$46:$IY$46)</f>
        <v>26</v>
      </c>
      <c r="MT46" s="56"/>
      <c r="MU46" s="242">
        <f t="shared" si="362"/>
        <v>26</v>
      </c>
      <c r="MV46" s="242">
        <f t="shared" si="363"/>
        <v>1969</v>
      </c>
      <c r="MW46" s="56"/>
      <c r="MZ46" s="55">
        <f t="shared" si="364"/>
        <v>46058</v>
      </c>
      <c r="NA46" s="56"/>
      <c r="NB46" s="242">
        <f>SUMPRODUCT(PRODUCE!$B59:$DY59,PRODUCE!$EB$47:$IY$47)</f>
        <v>234</v>
      </c>
      <c r="NC46" s="56"/>
      <c r="ND46" s="242">
        <f t="shared" si="365"/>
        <v>234</v>
      </c>
      <c r="NE46" s="242">
        <f t="shared" si="366"/>
        <v>0</v>
      </c>
      <c r="NF46" s="56"/>
      <c r="NI46" s="55">
        <f t="shared" si="367"/>
        <v>46058</v>
      </c>
      <c r="NJ46" s="56"/>
      <c r="NK46" s="242">
        <f>SUMPRODUCT(PRODUCE!$B59:$DY59,PRODUCE!$EB$48:$IY$48)</f>
        <v>0</v>
      </c>
      <c r="NL46" s="56"/>
      <c r="NM46" s="242">
        <f t="shared" si="368"/>
        <v>0</v>
      </c>
      <c r="NN46" s="242">
        <f t="shared" si="369"/>
        <v>0</v>
      </c>
      <c r="NO46" s="56"/>
      <c r="NR46" s="55">
        <f t="shared" si="370"/>
        <v>46058</v>
      </c>
      <c r="NS46" s="56"/>
      <c r="NT46" s="242">
        <f>SUMPRODUCT(PRODUCE!$B59:$DY59,PRODUCE!$EB$49:$IY$49)</f>
        <v>0</v>
      </c>
      <c r="NU46" s="56"/>
      <c r="NV46" s="242">
        <f t="shared" si="371"/>
        <v>0</v>
      </c>
      <c r="NW46" s="242">
        <f t="shared" si="372"/>
        <v>970</v>
      </c>
      <c r="NX46" s="56"/>
      <c r="OA46" s="55">
        <f t="shared" si="373"/>
        <v>46058</v>
      </c>
      <c r="OB46" s="56"/>
      <c r="OC46" s="242">
        <f>SUMPRODUCT(PRODUCE!$B59:$DY59,PRODUCE!$EB$50:$IY$50)</f>
        <v>0</v>
      </c>
      <c r="OD46" s="56"/>
      <c r="OE46" s="242">
        <f t="shared" si="374"/>
        <v>0</v>
      </c>
      <c r="OF46" s="242">
        <f t="shared" si="375"/>
        <v>1680.5</v>
      </c>
      <c r="OG46" s="56"/>
      <c r="OJ46" s="55">
        <f t="shared" si="376"/>
        <v>46058</v>
      </c>
      <c r="OK46" s="56"/>
      <c r="OL46" s="242">
        <f>SUMPRODUCT(PRODUCE!$B59:$DY59,PRODUCE!$EB$51:$IY$51)</f>
        <v>0</v>
      </c>
      <c r="OM46" s="56"/>
      <c r="ON46" s="242">
        <f t="shared" si="377"/>
        <v>0</v>
      </c>
      <c r="OO46" s="242">
        <f t="shared" si="378"/>
        <v>0</v>
      </c>
      <c r="OP46" s="56"/>
      <c r="OS46" s="55">
        <f t="shared" si="379"/>
        <v>46058</v>
      </c>
      <c r="OT46" s="56"/>
      <c r="OU46" s="242">
        <f>SUMPRODUCT(PRODUCE!$B59:$DY59,PRODUCE!$EB$52:$IY$52)</f>
        <v>0</v>
      </c>
      <c r="OV46" s="56"/>
      <c r="OW46" s="242">
        <f t="shared" si="380"/>
        <v>0</v>
      </c>
      <c r="OX46" s="242">
        <f t="shared" si="381"/>
        <v>0</v>
      </c>
      <c r="OY46" s="56"/>
      <c r="PB46" s="55">
        <f t="shared" si="382"/>
        <v>46058</v>
      </c>
      <c r="PC46" s="56"/>
      <c r="PD46" s="242">
        <f>SUMPRODUCT(PRODUCE!$B59:$DY59,PRODUCE!$EB$53:$IY$53)</f>
        <v>0</v>
      </c>
      <c r="PE46" s="56"/>
      <c r="PF46" s="242">
        <f t="shared" si="383"/>
        <v>0</v>
      </c>
      <c r="PG46" s="242">
        <f t="shared" si="384"/>
        <v>0</v>
      </c>
      <c r="PH46" s="56"/>
      <c r="PK46" s="55">
        <f t="shared" si="385"/>
        <v>46058</v>
      </c>
      <c r="PL46" s="56"/>
      <c r="PM46" s="242">
        <f>SUMPRODUCT(PRODUCE!$B59:$DY59,PRODUCE!$EB$54:$IY$54)</f>
        <v>0</v>
      </c>
      <c r="PN46" s="56"/>
      <c r="PO46" s="242">
        <f t="shared" si="386"/>
        <v>0</v>
      </c>
      <c r="PP46" s="242">
        <f t="shared" si="387"/>
        <v>160</v>
      </c>
      <c r="PQ46" s="56"/>
      <c r="PT46" s="55">
        <f t="shared" si="388"/>
        <v>46058</v>
      </c>
      <c r="PU46" s="56"/>
      <c r="PV46" s="242">
        <f>SUMPRODUCT(PRODUCE!$B59:$DY59,PRODUCE!$EB$55:$IY$55)</f>
        <v>0</v>
      </c>
      <c r="PW46" s="56"/>
      <c r="PX46" s="242">
        <f t="shared" si="389"/>
        <v>0</v>
      </c>
      <c r="PY46" s="242">
        <f t="shared" si="390"/>
        <v>13.960000000000036</v>
      </c>
      <c r="PZ46" s="56"/>
      <c r="QC46" s="55">
        <f t="shared" si="391"/>
        <v>46058</v>
      </c>
      <c r="QD46" s="56"/>
      <c r="QE46" s="242">
        <f>SUMPRODUCT(PRODUCE!$B59:$DY59,PRODUCE!$EB$56:$IY$56)</f>
        <v>0</v>
      </c>
      <c r="QF46" s="56"/>
      <c r="QG46" s="242">
        <f t="shared" si="392"/>
        <v>0</v>
      </c>
      <c r="QH46" s="242">
        <f t="shared" si="393"/>
        <v>0</v>
      </c>
      <c r="QI46" s="56"/>
      <c r="QL46" s="55">
        <f t="shared" si="394"/>
        <v>46058</v>
      </c>
      <c r="QM46" s="56"/>
      <c r="QN46" s="242">
        <f>SUMPRODUCT(PRODUCE!$B59:$DY59,PRODUCE!$EB$57:$IY$57)</f>
        <v>0</v>
      </c>
      <c r="QO46" s="56"/>
      <c r="QP46" s="242">
        <f t="shared" si="395"/>
        <v>0</v>
      </c>
      <c r="QQ46" s="242">
        <f t="shared" si="396"/>
        <v>0</v>
      </c>
      <c r="QR46" s="56"/>
      <c r="QU46" s="55">
        <f t="shared" si="397"/>
        <v>46058</v>
      </c>
      <c r="QV46" s="56"/>
      <c r="QW46" s="242">
        <f>SUMPRODUCT(PRODUCE!$B59:$DY59,PRODUCE!$EB$57:$IY$57)</f>
        <v>0</v>
      </c>
      <c r="QX46" s="56"/>
      <c r="QY46" s="242">
        <f t="shared" si="398"/>
        <v>0</v>
      </c>
      <c r="QZ46" s="242">
        <f t="shared" si="399"/>
        <v>207.6</v>
      </c>
      <c r="RA46" s="56"/>
      <c r="RD46" s="55">
        <f t="shared" si="400"/>
        <v>46058</v>
      </c>
      <c r="RE46" s="56"/>
      <c r="RF46" s="242">
        <f>SUMPRODUCT(PRODUCE!$B59:$DY59,PRODUCE!$EB$58:$IY$58)</f>
        <v>0</v>
      </c>
      <c r="RG46" s="56"/>
      <c r="RH46" s="242">
        <f t="shared" si="401"/>
        <v>0</v>
      </c>
      <c r="RI46" s="242">
        <f t="shared" si="402"/>
        <v>201.8</v>
      </c>
      <c r="RJ46" s="56"/>
      <c r="RM46" s="55">
        <f t="shared" si="403"/>
        <v>46058</v>
      </c>
      <c r="RN46" s="56"/>
      <c r="RO46" s="242">
        <f>SUMPRODUCT(PRODUCE!$B59:$DY59,PRODUCE!$EB$57:$IY$57)</f>
        <v>0</v>
      </c>
      <c r="RP46" s="56"/>
      <c r="RQ46" s="242">
        <f t="shared" si="404"/>
        <v>0</v>
      </c>
      <c r="RR46" s="242">
        <f t="shared" si="405"/>
        <v>22.720000000000002</v>
      </c>
      <c r="RS46" s="56"/>
      <c r="RV46" s="55">
        <f t="shared" si="406"/>
        <v>46058</v>
      </c>
      <c r="RW46" s="56"/>
      <c r="RX46" s="242">
        <f>SUMPRODUCT(PRODUCE!$B59:$DY59,PRODUCE!$EB$57:$IY$57)</f>
        <v>0</v>
      </c>
      <c r="RY46" s="56"/>
      <c r="RZ46" s="242">
        <f t="shared" si="407"/>
        <v>0</v>
      </c>
      <c r="SA46" s="242">
        <f t="shared" si="408"/>
        <v>0</v>
      </c>
      <c r="SB46" s="56"/>
      <c r="SE46" s="55">
        <f t="shared" si="409"/>
        <v>46058</v>
      </c>
      <c r="SF46" s="56"/>
      <c r="SG46" s="242">
        <f>SUMPRODUCT(PRODUCE!$B59:$DY59,PRODUCE!$EB$57:$IY$57)</f>
        <v>0</v>
      </c>
      <c r="SH46" s="56"/>
      <c r="SI46" s="242">
        <f t="shared" si="410"/>
        <v>0</v>
      </c>
      <c r="SJ46" s="242">
        <f t="shared" si="411"/>
        <v>0</v>
      </c>
      <c r="SK46" s="56"/>
      <c r="SN46" s="55">
        <f t="shared" si="412"/>
        <v>46058</v>
      </c>
      <c r="SO46" s="56"/>
      <c r="SP46" s="242">
        <f>SUMPRODUCT(PRODUCE!$B59:$DY59,PRODUCE!$EB$57:$IY$57)</f>
        <v>0</v>
      </c>
      <c r="SQ46" s="56"/>
      <c r="SR46" s="242">
        <f t="shared" si="413"/>
        <v>0</v>
      </c>
      <c r="SS46" s="242">
        <f t="shared" si="414"/>
        <v>0</v>
      </c>
      <c r="ST46" s="56"/>
      <c r="SW46" s="55">
        <f t="shared" si="415"/>
        <v>46058</v>
      </c>
      <c r="SX46" s="56"/>
      <c r="SY46" s="242">
        <f>SUMPRODUCT(PRODUCE!$B59:$DY59,PRODUCE!$EB$57:$IY$57)</f>
        <v>0</v>
      </c>
      <c r="SZ46" s="56"/>
      <c r="TA46" s="242">
        <f t="shared" si="416"/>
        <v>0</v>
      </c>
      <c r="TB46" s="242">
        <f t="shared" si="417"/>
        <v>270</v>
      </c>
      <c r="TC46" s="56"/>
      <c r="TF46" s="55">
        <f t="shared" si="418"/>
        <v>46058</v>
      </c>
      <c r="TG46" s="56"/>
      <c r="TH46" s="242">
        <f>SUMPRODUCT(PRODUCE!$B59:$DY59,PRODUCE!$EB$57:$IY$57)</f>
        <v>0</v>
      </c>
      <c r="TI46" s="56"/>
      <c r="TJ46" s="242">
        <f t="shared" si="419"/>
        <v>0</v>
      </c>
      <c r="TK46" s="242">
        <f t="shared" si="420"/>
        <v>0</v>
      </c>
      <c r="TL46" s="56"/>
      <c r="TO46" s="55">
        <f t="shared" si="421"/>
        <v>46058</v>
      </c>
      <c r="TP46" s="56"/>
      <c r="TQ46" s="242">
        <f>SUMPRODUCT(PRODUCE!$B59:$DY59,PRODUCE!$EB$57:$IY$57)</f>
        <v>0</v>
      </c>
      <c r="TR46" s="56"/>
      <c r="TS46" s="242">
        <f t="shared" si="422"/>
        <v>0</v>
      </c>
      <c r="TT46" s="242">
        <f t="shared" si="423"/>
        <v>0</v>
      </c>
      <c r="TU46" s="56"/>
      <c r="TX46" s="55">
        <f t="shared" si="424"/>
        <v>46058</v>
      </c>
      <c r="TY46" s="56"/>
      <c r="TZ46" s="242">
        <f>SUMPRODUCT(PRODUCE!$B59:$DY59,PRODUCE!$EB$57:$IY$57)</f>
        <v>0</v>
      </c>
      <c r="UA46" s="56"/>
      <c r="UB46" s="242">
        <f t="shared" si="425"/>
        <v>0</v>
      </c>
      <c r="UC46" s="242">
        <f t="shared" si="426"/>
        <v>0</v>
      </c>
      <c r="UD46" s="56"/>
      <c r="UG46" s="55">
        <f t="shared" si="427"/>
        <v>46058</v>
      </c>
      <c r="UH46" s="56"/>
      <c r="UI46" s="242">
        <f>SUMPRODUCT(PRODUCE!$B59:$DY59,PRODUCE!$EB$57:$IY$57)</f>
        <v>0</v>
      </c>
      <c r="UJ46" s="56"/>
      <c r="UK46" s="242">
        <f t="shared" si="428"/>
        <v>0</v>
      </c>
      <c r="UL46" s="242">
        <f t="shared" si="429"/>
        <v>0</v>
      </c>
      <c r="UM46" s="56"/>
      <c r="UP46" s="55">
        <f t="shared" si="430"/>
        <v>46058</v>
      </c>
      <c r="UQ46" s="56"/>
      <c r="UR46" s="242">
        <f>SUMPRODUCT(PRODUCE!$B59:$DY59,PRODUCE!$EB$57:$IY$57)</f>
        <v>0</v>
      </c>
      <c r="US46" s="56"/>
      <c r="UT46" s="242">
        <f t="shared" si="431"/>
        <v>0</v>
      </c>
      <c r="UU46" s="242">
        <f t="shared" si="432"/>
        <v>0</v>
      </c>
      <c r="UV46" s="56"/>
      <c r="UY46" s="55">
        <f t="shared" si="433"/>
        <v>46058</v>
      </c>
      <c r="UZ46" s="56"/>
      <c r="VA46" s="242">
        <f>SUMPRODUCT(PRODUCE!$B59:$DY59,PRODUCE!$EB$57:$IY$57)</f>
        <v>0</v>
      </c>
      <c r="VB46" s="56"/>
      <c r="VC46" s="242">
        <f t="shared" si="434"/>
        <v>0</v>
      </c>
      <c r="VD46" s="242">
        <f t="shared" si="435"/>
        <v>41.600000000000023</v>
      </c>
      <c r="VE46" s="56"/>
      <c r="VH46" s="55">
        <f t="shared" si="436"/>
        <v>46058</v>
      </c>
      <c r="VI46" s="56"/>
      <c r="VJ46" s="242">
        <f>SUMPRODUCT(PRODUCE!$B59:$DY59,PRODUCE!$EB$57:$IY$57)</f>
        <v>0</v>
      </c>
      <c r="VK46" s="56"/>
      <c r="VL46" s="242">
        <f t="shared" si="437"/>
        <v>0</v>
      </c>
      <c r="VM46" s="242">
        <f t="shared" si="438"/>
        <v>0</v>
      </c>
      <c r="VN46" s="56"/>
      <c r="VQ46" s="55">
        <f t="shared" si="439"/>
        <v>46058</v>
      </c>
      <c r="VR46" s="56"/>
      <c r="VS46" s="242">
        <f>SUMPRODUCT(PRODUCE!$B59:$DY59,PRODUCE!$EB$57:$IY$57)</f>
        <v>0</v>
      </c>
      <c r="VT46" s="56"/>
      <c r="VU46" s="242">
        <f t="shared" si="440"/>
        <v>0</v>
      </c>
      <c r="VV46" s="242">
        <f t="shared" si="441"/>
        <v>0</v>
      </c>
      <c r="VW46" s="56"/>
      <c r="VZ46" s="55">
        <f t="shared" si="442"/>
        <v>46058</v>
      </c>
      <c r="WA46" s="56"/>
      <c r="WB46" s="242">
        <f>SUMPRODUCT(PRODUCE!$B59:$DY59,PRODUCE!$EB$57:$IY$57)</f>
        <v>0</v>
      </c>
      <c r="WC46" s="56"/>
      <c r="WD46" s="242">
        <f t="shared" si="443"/>
        <v>0</v>
      </c>
      <c r="WE46" s="242">
        <f t="shared" si="444"/>
        <v>0</v>
      </c>
      <c r="WF46" s="56"/>
      <c r="WI46" s="55">
        <f t="shared" si="445"/>
        <v>46058</v>
      </c>
      <c r="WJ46" s="56"/>
      <c r="WK46" s="242">
        <f>SUMPRODUCT(PRODUCE!$B59:$DY59,PRODUCE!$EB$57:$IY$57)</f>
        <v>0</v>
      </c>
      <c r="WL46" s="56"/>
      <c r="WM46" s="242">
        <f t="shared" si="446"/>
        <v>0</v>
      </c>
      <c r="WN46" s="242">
        <f t="shared" si="447"/>
        <v>9609</v>
      </c>
      <c r="WO46" s="56"/>
      <c r="WR46" s="55">
        <f t="shared" si="448"/>
        <v>46058</v>
      </c>
      <c r="WS46" s="56"/>
      <c r="WT46" s="242">
        <f>SUMPRODUCT(PRODUCE!$B59:$DY59,PRODUCE!$EB$57:$IY$57)</f>
        <v>0</v>
      </c>
      <c r="WU46" s="56"/>
      <c r="WV46" s="242">
        <f t="shared" si="449"/>
        <v>0</v>
      </c>
      <c r="WW46" s="242">
        <f t="shared" si="450"/>
        <v>8149</v>
      </c>
      <c r="WX46" s="56"/>
      <c r="XA46" s="55">
        <f t="shared" si="451"/>
        <v>46058</v>
      </c>
      <c r="XB46" s="56"/>
      <c r="XC46" s="242">
        <f>SUMPRODUCT(PRODUCE!$B59:$DY59,PRODUCE!$EB$57:$IY$57)</f>
        <v>0</v>
      </c>
      <c r="XD46" s="56"/>
      <c r="XE46" s="242">
        <f t="shared" si="452"/>
        <v>0</v>
      </c>
      <c r="XF46" s="242">
        <f t="shared" si="453"/>
        <v>590</v>
      </c>
      <c r="XG46" s="56"/>
      <c r="XJ46" s="55">
        <f t="shared" si="454"/>
        <v>46058</v>
      </c>
      <c r="XK46" s="56"/>
      <c r="XL46" s="242">
        <f>SUMPRODUCT(PRODUCE!$B59:$DY59,PRODUCE!$EB$57:$IY$57)</f>
        <v>0</v>
      </c>
      <c r="XM46" s="56">
        <v>1555</v>
      </c>
      <c r="XN46" s="242">
        <f t="shared" si="455"/>
        <v>-1555</v>
      </c>
      <c r="XO46" s="242">
        <f t="shared" si="456"/>
        <v>4685</v>
      </c>
      <c r="XP46" s="56"/>
      <c r="XS46" s="55">
        <f t="shared" si="457"/>
        <v>46058</v>
      </c>
      <c r="XT46" s="56"/>
      <c r="XU46" s="242">
        <f>SUMPRODUCT(PRODUCE!$B59:$DY59,PRODUCE!$EB$57:$IY$57)</f>
        <v>0</v>
      </c>
      <c r="XV46" s="56"/>
      <c r="XW46" s="242">
        <f t="shared" si="458"/>
        <v>0</v>
      </c>
      <c r="XX46" s="242">
        <f t="shared" si="459"/>
        <v>1901</v>
      </c>
      <c r="XY46" s="56"/>
      <c r="YB46" s="55">
        <f t="shared" si="460"/>
        <v>46058</v>
      </c>
      <c r="YC46" s="56"/>
      <c r="YD46" s="242">
        <f>SUMPRODUCT(PRODUCE!$B59:$DY59,PRODUCE!$EB$57:$IY$57)</f>
        <v>0</v>
      </c>
      <c r="YE46" s="56"/>
      <c r="YF46" s="242">
        <f t="shared" si="461"/>
        <v>0</v>
      </c>
      <c r="YG46" s="242">
        <f t="shared" si="462"/>
        <v>1370</v>
      </c>
      <c r="YH46" s="56"/>
      <c r="YK46" s="55">
        <f t="shared" si="463"/>
        <v>46058</v>
      </c>
      <c r="YL46" s="56"/>
      <c r="YM46" s="242">
        <f>SUMPRODUCT(PRODUCE!$B59:$DY59,PRODUCE!$EB$57:$IY$57)</f>
        <v>0</v>
      </c>
      <c r="YN46" s="56"/>
      <c r="YO46" s="242">
        <f t="shared" si="464"/>
        <v>0</v>
      </c>
      <c r="YP46" s="242">
        <f t="shared" si="465"/>
        <v>0</v>
      </c>
      <c r="YQ46" s="56"/>
      <c r="YT46" s="55">
        <f t="shared" si="466"/>
        <v>46058</v>
      </c>
      <c r="YU46" s="56"/>
      <c r="YV46" s="242">
        <f>SUMPRODUCT(PRODUCE!$B59:$DY59,PRODUCE!$EB$57:$IY$57)</f>
        <v>0</v>
      </c>
      <c r="YW46" s="56"/>
      <c r="YX46" s="242">
        <f t="shared" si="467"/>
        <v>0</v>
      </c>
      <c r="YY46" s="242">
        <f t="shared" si="468"/>
        <v>0</v>
      </c>
      <c r="YZ46" s="56"/>
      <c r="ZC46" s="55">
        <f t="shared" si="469"/>
        <v>46058</v>
      </c>
      <c r="ZD46" s="56"/>
      <c r="ZE46" s="242">
        <f>SUMPRODUCT(PRODUCE!$B59:$DY59,PRODUCE!$EB$57:$IY$57)</f>
        <v>0</v>
      </c>
      <c r="ZF46" s="56"/>
      <c r="ZG46" s="242">
        <f t="shared" si="470"/>
        <v>0</v>
      </c>
      <c r="ZH46" s="242">
        <f t="shared" si="471"/>
        <v>0</v>
      </c>
      <c r="ZI46" s="56"/>
      <c r="ZL46" s="55">
        <f t="shared" si="472"/>
        <v>46058</v>
      </c>
      <c r="ZM46" s="56"/>
      <c r="ZN46" s="242">
        <f>SUMPRODUCT(PRODUCE!$B59:$DY59,PRODUCE!$EB$57:$IY$57)</f>
        <v>0</v>
      </c>
      <c r="ZO46" s="56"/>
      <c r="ZP46" s="242">
        <f t="shared" si="473"/>
        <v>0</v>
      </c>
      <c r="ZQ46" s="242">
        <f t="shared" si="474"/>
        <v>0</v>
      </c>
      <c r="ZR46" s="56"/>
      <c r="ZU46" s="55">
        <f t="shared" si="475"/>
        <v>46058</v>
      </c>
      <c r="ZV46" s="56"/>
      <c r="ZW46" s="242">
        <f>SUMPRODUCT(PRODUCE!$B59:$DY59,PRODUCE!$EB$57:$IY$57)</f>
        <v>0</v>
      </c>
      <c r="ZX46" s="56"/>
      <c r="ZY46" s="242">
        <f t="shared" si="476"/>
        <v>0</v>
      </c>
      <c r="ZZ46" s="242">
        <f t="shared" si="477"/>
        <v>0</v>
      </c>
      <c r="AAA46" s="56"/>
      <c r="AAD46" s="55">
        <f t="shared" si="478"/>
        <v>46058</v>
      </c>
      <c r="AAE46" s="56"/>
      <c r="AAF46" s="242">
        <f>SUMPRODUCT(PRODUCE!$B59:$DY59,PRODUCE!$EB$57:$IY$57)</f>
        <v>0</v>
      </c>
      <c r="AAG46" s="56"/>
      <c r="AAH46" s="242">
        <f t="shared" si="479"/>
        <v>0</v>
      </c>
      <c r="AAI46" s="242">
        <f t="shared" si="480"/>
        <v>0</v>
      </c>
      <c r="AAJ46" s="56"/>
      <c r="AAM46" s="55">
        <f t="shared" si="481"/>
        <v>46058</v>
      </c>
      <c r="AAN46" s="56"/>
      <c r="AAO46" s="242">
        <f>SUMPRODUCT(PRODUCE!$B59:$DY59,PRODUCE!$EB$57:$IY$57)</f>
        <v>0</v>
      </c>
      <c r="AAP46" s="56"/>
      <c r="AAQ46" s="242">
        <f t="shared" si="482"/>
        <v>0</v>
      </c>
      <c r="AAR46" s="242">
        <f t="shared" si="483"/>
        <v>0</v>
      </c>
      <c r="AAS46" s="56"/>
      <c r="AAV46" s="55">
        <f t="shared" si="484"/>
        <v>46058</v>
      </c>
      <c r="AAW46" s="56"/>
      <c r="AAX46" s="242">
        <f>SUMPRODUCT(PRODUCE!$B59:$DY59,PRODUCE!$EB$57:$IY$57)</f>
        <v>0</v>
      </c>
      <c r="AAY46" s="56"/>
      <c r="AAZ46" s="242">
        <f t="shared" si="485"/>
        <v>0</v>
      </c>
      <c r="ABA46" s="242">
        <f t="shared" si="486"/>
        <v>0</v>
      </c>
      <c r="ABB46" s="56"/>
      <c r="ABE46" s="55">
        <f t="shared" si="487"/>
        <v>46058</v>
      </c>
      <c r="ABF46" s="56"/>
      <c r="ABG46" s="242">
        <f>SUMPRODUCT(PRODUCE!$B59:$DY59,PRODUCE!$EB$57:$IY$57)</f>
        <v>0</v>
      </c>
      <c r="ABH46" s="56"/>
      <c r="ABI46" s="242">
        <f t="shared" si="488"/>
        <v>0</v>
      </c>
      <c r="ABJ46" s="242">
        <f t="shared" si="489"/>
        <v>0</v>
      </c>
      <c r="ABK46" s="56"/>
    </row>
    <row r="47" spans="1:739" s="54" customFormat="1" ht="15" customHeight="1" outlineLevel="1">
      <c r="B47" s="478">
        <f>2+68</f>
        <v>70</v>
      </c>
      <c r="C47" s="55">
        <v>46059</v>
      </c>
      <c r="D47" s="422">
        <v>12040</v>
      </c>
      <c r="E47" s="424">
        <f>SUMPRODUCT(PRODUCE!$B60:$DY60,PRODUCE!$EB$7:$IY$7)</f>
        <v>35094.500000000007</v>
      </c>
      <c r="F47" s="422">
        <v>35090.6</v>
      </c>
      <c r="G47" s="423">
        <f t="shared" si="247"/>
        <v>3.9000000000087311</v>
      </c>
      <c r="H47" s="423">
        <f t="shared" si="245"/>
        <v>161327.19999999998</v>
      </c>
      <c r="I47" s="289" t="s">
        <v>199</v>
      </c>
      <c r="L47" s="55">
        <f t="shared" si="246"/>
        <v>46059</v>
      </c>
      <c r="M47" s="422"/>
      <c r="N47" s="439">
        <f>SUMPRODUCT(PRODUCE!$B60:$DY60,PRODUCE!$EB$8:$IY$8)</f>
        <v>14350</v>
      </c>
      <c r="O47" s="422">
        <v>14352.2</v>
      </c>
      <c r="P47" s="438">
        <f t="shared" si="248"/>
        <v>-2.2000000000007276</v>
      </c>
      <c r="Q47" s="438">
        <f t="shared" si="249"/>
        <v>57996.400000000009</v>
      </c>
      <c r="R47" s="56"/>
      <c r="U47" s="55">
        <f t="shared" si="250"/>
        <v>46059</v>
      </c>
      <c r="V47" s="422"/>
      <c r="W47" s="441">
        <f>SUMPRODUCT(PRODUCE!$B60:$DY60,PRODUCE!$EB$9:$IY$9)</f>
        <v>5844.9999999999991</v>
      </c>
      <c r="X47" s="422">
        <v>5844.8</v>
      </c>
      <c r="Y47" s="440">
        <f t="shared" si="251"/>
        <v>0.19999999999890861</v>
      </c>
      <c r="Z47" s="440">
        <f t="shared" si="252"/>
        <v>37688.89999999998</v>
      </c>
      <c r="AA47" s="56"/>
      <c r="AD47" s="55">
        <f t="shared" si="253"/>
        <v>46059</v>
      </c>
      <c r="AE47" s="422"/>
      <c r="AF47" s="443">
        <f>SUMPRODUCT(PRODUCE!$B60:$DY60,PRODUCE!$EB$10:$IY$10)</f>
        <v>910.00000000000011</v>
      </c>
      <c r="AG47" s="422">
        <v>912.2</v>
      </c>
      <c r="AH47" s="442">
        <f t="shared" si="254"/>
        <v>-2.1999999999999318</v>
      </c>
      <c r="AI47" s="442">
        <f t="shared" si="255"/>
        <v>47617.900000000016</v>
      </c>
      <c r="AJ47" s="56"/>
      <c r="AM47" s="55">
        <f t="shared" si="256"/>
        <v>46059</v>
      </c>
      <c r="AN47" s="422"/>
      <c r="AO47" s="445">
        <f>SUMPRODUCT(PRODUCE!$B60:$DY60,PRODUCE!$EB$11:$IY$11)</f>
        <v>0</v>
      </c>
      <c r="AP47" s="422"/>
      <c r="AQ47" s="444">
        <f t="shared" si="257"/>
        <v>0</v>
      </c>
      <c r="AR47" s="444">
        <f t="shared" si="258"/>
        <v>0</v>
      </c>
      <c r="AS47" s="56"/>
      <c r="AV47" s="55">
        <f t="shared" si="259"/>
        <v>46059</v>
      </c>
      <c r="AW47" s="422"/>
      <c r="AX47" s="447">
        <f>SUMPRODUCT(PRODUCE!$B60:$DY60,PRODUCE!$EB$12:$IY$12)</f>
        <v>0</v>
      </c>
      <c r="AY47" s="422"/>
      <c r="AZ47" s="446">
        <f t="shared" si="260"/>
        <v>0</v>
      </c>
      <c r="BA47" s="446">
        <f t="shared" si="261"/>
        <v>62188.19999999999</v>
      </c>
      <c r="BB47" s="56"/>
      <c r="BE47" s="55">
        <f t="shared" si="262"/>
        <v>46059</v>
      </c>
      <c r="BF47" s="422"/>
      <c r="BG47" s="449">
        <f>SUMPRODUCT(PRODUCE!$B60:$DY60,PRODUCE!$EB$13:$IY$13)</f>
        <v>2940</v>
      </c>
      <c r="BH47" s="422">
        <v>2941.6</v>
      </c>
      <c r="BI47" s="448">
        <f t="shared" si="263"/>
        <v>-1.5999999999999091</v>
      </c>
      <c r="BJ47" s="448">
        <f t="shared" si="264"/>
        <v>38652.200000000012</v>
      </c>
      <c r="BK47" s="56"/>
      <c r="BN47" s="55">
        <f t="shared" si="265"/>
        <v>46059</v>
      </c>
      <c r="BO47" s="422">
        <v>1400.1</v>
      </c>
      <c r="BP47" s="451">
        <f>SUMPRODUCT(PRODUCE!$B60:$DY60,PRODUCE!$EB$14:$IY$14)</f>
        <v>1400</v>
      </c>
      <c r="BQ47" s="422">
        <v>1400.1</v>
      </c>
      <c r="BR47" s="450">
        <f t="shared" si="266"/>
        <v>-9.9999999999909051E-2</v>
      </c>
      <c r="BS47" s="450">
        <f t="shared" si="267"/>
        <v>0</v>
      </c>
      <c r="BT47" s="56"/>
      <c r="BW47" s="55">
        <f t="shared" si="268"/>
        <v>46059</v>
      </c>
      <c r="BX47" s="56"/>
      <c r="BY47" s="81">
        <f>SUMPRODUCT(PRODUCE!$B60:$DY60,PRODUCE!$EB$15:$IY$15)</f>
        <v>465.5</v>
      </c>
      <c r="BZ47" s="56"/>
      <c r="CA47" s="65">
        <f t="shared" si="269"/>
        <v>465.5</v>
      </c>
      <c r="CB47" s="65">
        <f t="shared" si="270"/>
        <v>3000</v>
      </c>
      <c r="CC47" s="56"/>
      <c r="CF47" s="55">
        <f t="shared" si="271"/>
        <v>46059</v>
      </c>
      <c r="CG47" s="56"/>
      <c r="CH47" s="82">
        <f>SUMPRODUCT(PRODUCE!$B60:$DY60,PRODUCE!$EB$16:$IY$16)</f>
        <v>700</v>
      </c>
      <c r="CI47" s="56"/>
      <c r="CJ47" s="66">
        <f t="shared" si="272"/>
        <v>700</v>
      </c>
      <c r="CK47" s="66">
        <f t="shared" si="273"/>
        <v>0</v>
      </c>
      <c r="CL47" s="56"/>
      <c r="CO47" s="55">
        <f t="shared" si="274"/>
        <v>46059</v>
      </c>
      <c r="CP47" s="422"/>
      <c r="CQ47" s="471">
        <f>SUMPRODUCT(PRODUCE!$B60:$DY60,PRODUCE!$EB$17:$IY$17)</f>
        <v>0</v>
      </c>
      <c r="CR47" s="422"/>
      <c r="CS47" s="470">
        <f t="shared" si="275"/>
        <v>0</v>
      </c>
      <c r="CT47" s="470">
        <f t="shared" si="276"/>
        <v>0</v>
      </c>
      <c r="CU47" s="56"/>
      <c r="CX47" s="55">
        <f t="shared" si="277"/>
        <v>46059</v>
      </c>
      <c r="CY47" s="56"/>
      <c r="CZ47" s="136">
        <f>SUMPRODUCT(PRODUCE!$B60:$DY60,PRODUCE!$EB$18:$IY$18)</f>
        <v>3500</v>
      </c>
      <c r="DA47" s="56">
        <v>3500</v>
      </c>
      <c r="DB47" s="133">
        <f t="shared" si="278"/>
        <v>0</v>
      </c>
      <c r="DC47" s="133">
        <f t="shared" si="279"/>
        <v>6740</v>
      </c>
      <c r="DD47" s="56"/>
      <c r="DG47" s="55">
        <f t="shared" si="280"/>
        <v>46059</v>
      </c>
      <c r="DH47" s="56"/>
      <c r="DI47" s="150">
        <f>SUMPRODUCT(PRODUCE!$B60:$DY60,PRODUCE!$EB$19:$IY$19)</f>
        <v>2800</v>
      </c>
      <c r="DJ47" s="56">
        <v>2800</v>
      </c>
      <c r="DK47" s="147">
        <f t="shared" si="281"/>
        <v>0</v>
      </c>
      <c r="DL47" s="147">
        <f t="shared" si="282"/>
        <v>18461.999999999996</v>
      </c>
      <c r="DM47" s="56"/>
      <c r="DP47" s="55">
        <f t="shared" si="283"/>
        <v>46059</v>
      </c>
      <c r="DQ47" s="56"/>
      <c r="DR47" s="58">
        <f>SUMPRODUCT(PRODUCE!$B60:$DY60,PRODUCE!$EB$20:$IY$20)</f>
        <v>0</v>
      </c>
      <c r="DS47" s="56"/>
      <c r="DT47" s="57">
        <f t="shared" si="284"/>
        <v>0</v>
      </c>
      <c r="DU47" s="57">
        <f t="shared" si="285"/>
        <v>0</v>
      </c>
      <c r="DV47" s="56"/>
      <c r="DY47" s="55">
        <f t="shared" si="286"/>
        <v>46059</v>
      </c>
      <c r="DZ47" s="56"/>
      <c r="EA47" s="159">
        <f>SUMPRODUCT(PRODUCE!$B60:$DY60,PRODUCE!$EB$21:$IY$21)</f>
        <v>0</v>
      </c>
      <c r="EB47" s="56"/>
      <c r="EC47" s="157">
        <f t="shared" si="287"/>
        <v>0</v>
      </c>
      <c r="ED47" s="157">
        <f t="shared" si="288"/>
        <v>0</v>
      </c>
      <c r="EE47" s="56"/>
      <c r="EH47" s="55">
        <f t="shared" si="289"/>
        <v>46059</v>
      </c>
      <c r="EI47" s="56"/>
      <c r="EJ47" s="164">
        <f>SUMPRODUCT(PRODUCE!$B60:$DY60,PRODUCE!$EB$22:$IY$22)</f>
        <v>0</v>
      </c>
      <c r="EK47" s="56"/>
      <c r="EL47" s="162">
        <f t="shared" si="290"/>
        <v>0</v>
      </c>
      <c r="EM47" s="162">
        <f t="shared" si="291"/>
        <v>0</v>
      </c>
      <c r="EN47" s="56"/>
      <c r="EQ47" s="55">
        <f t="shared" si="292"/>
        <v>46059</v>
      </c>
      <c r="ER47" s="56"/>
      <c r="ES47" s="171">
        <f>SUMPRODUCT(PRODUCE!$B60:$DY60,PRODUCE!$EB$23:$IY$23)</f>
        <v>0</v>
      </c>
      <c r="ET47" s="56"/>
      <c r="EU47" s="135">
        <f t="shared" si="293"/>
        <v>0</v>
      </c>
      <c r="EV47" s="135">
        <f t="shared" si="294"/>
        <v>0</v>
      </c>
      <c r="EW47" s="56"/>
      <c r="EZ47" s="55">
        <f t="shared" si="295"/>
        <v>46059</v>
      </c>
      <c r="FA47" s="56"/>
      <c r="FB47" s="178">
        <f>SUMPRODUCT(PRODUCE!$B60:$DY60,PRODUCE!$EB$24:$IY$24)</f>
        <v>0</v>
      </c>
      <c r="FC47" s="56"/>
      <c r="FD47" s="175">
        <f t="shared" si="296"/>
        <v>0</v>
      </c>
      <c r="FE47" s="175">
        <f t="shared" si="297"/>
        <v>0</v>
      </c>
      <c r="FF47" s="56"/>
      <c r="FI47" s="55">
        <f t="shared" si="298"/>
        <v>46059</v>
      </c>
      <c r="FJ47" s="56"/>
      <c r="FK47" s="184">
        <f>SUMPRODUCT(PRODUCE!$B60:$DY60,PRODUCE!$EB$25:$IY$25)</f>
        <v>0</v>
      </c>
      <c r="FL47" s="56"/>
      <c r="FM47" s="183">
        <f t="shared" si="299"/>
        <v>0</v>
      </c>
      <c r="FN47" s="183">
        <f t="shared" si="300"/>
        <v>0</v>
      </c>
      <c r="FO47" s="56"/>
      <c r="FR47" s="55">
        <f t="shared" si="301"/>
        <v>46059</v>
      </c>
      <c r="FS47" s="422"/>
      <c r="FT47" s="453">
        <f>SUMPRODUCT(PRODUCE!$B60:$DY60,PRODUCE!$EB$26:$IY$26)</f>
        <v>0</v>
      </c>
      <c r="FU47" s="422"/>
      <c r="FV47" s="452">
        <f t="shared" si="302"/>
        <v>0</v>
      </c>
      <c r="FW47" s="452">
        <f t="shared" si="303"/>
        <v>3540</v>
      </c>
      <c r="FX47" s="56"/>
      <c r="GA47" s="55">
        <f t="shared" si="304"/>
        <v>46059</v>
      </c>
      <c r="GB47" s="422">
        <f>100*20</f>
        <v>2000</v>
      </c>
      <c r="GC47" s="455">
        <f>SUMPRODUCT(PRODUCE!$B60:$DY60,PRODUCE!$EB$27:$IY$27)</f>
        <v>0</v>
      </c>
      <c r="GD47" s="422"/>
      <c r="GE47" s="454">
        <f t="shared" si="305"/>
        <v>0</v>
      </c>
      <c r="GF47" s="454">
        <f t="shared" si="306"/>
        <v>5960</v>
      </c>
      <c r="GG47" s="56"/>
      <c r="GI47" s="23"/>
      <c r="GJ47" s="55">
        <f t="shared" si="307"/>
        <v>46059</v>
      </c>
      <c r="GK47" s="422"/>
      <c r="GL47" s="457">
        <f>SUMPRODUCT(PRODUCE!$B60:$DY60,PRODUCE!$EB$28:$IY$28)</f>
        <v>0</v>
      </c>
      <c r="GM47" s="422"/>
      <c r="GN47" s="456">
        <f t="shared" si="308"/>
        <v>0</v>
      </c>
      <c r="GO47" s="456">
        <f t="shared" si="309"/>
        <v>3240</v>
      </c>
      <c r="GP47" s="56"/>
      <c r="GS47" s="55">
        <f t="shared" si="310"/>
        <v>46059</v>
      </c>
      <c r="GT47" s="56"/>
      <c r="GU47" s="196">
        <f>SUMPRODUCT(PRODUCE!$B60:$DY60,PRODUCE!$EB$29:$IY$29)</f>
        <v>0</v>
      </c>
      <c r="GV47" s="56"/>
      <c r="GW47" s="195">
        <f t="shared" si="311"/>
        <v>0</v>
      </c>
      <c r="GX47" s="195">
        <f t="shared" si="312"/>
        <v>0</v>
      </c>
      <c r="GY47" s="56"/>
      <c r="HB47" s="55">
        <f t="shared" si="313"/>
        <v>46059</v>
      </c>
      <c r="HC47" s="56"/>
      <c r="HD47" s="192">
        <f>SUMPRODUCT(PRODUCE!$B60:$DY60,PRODUCE!$EB$30:$IY$30)</f>
        <v>0</v>
      </c>
      <c r="HE47" s="56"/>
      <c r="HF47" s="191">
        <f t="shared" si="314"/>
        <v>0</v>
      </c>
      <c r="HG47" s="191">
        <f t="shared" si="315"/>
        <v>0</v>
      </c>
      <c r="HH47" s="56"/>
      <c r="HK47" s="55">
        <f t="shared" si="316"/>
        <v>46059</v>
      </c>
      <c r="HL47" s="56"/>
      <c r="HM47" s="80">
        <f>SUMPRODUCT(PRODUCE!$B60:$DY60,PRODUCE!$EB$31:$IY$31)</f>
        <v>0</v>
      </c>
      <c r="HN47" s="56"/>
      <c r="HO47" s="63">
        <f t="shared" si="317"/>
        <v>0</v>
      </c>
      <c r="HP47" s="63">
        <f t="shared" si="318"/>
        <v>0</v>
      </c>
      <c r="HQ47" s="56"/>
      <c r="HU47" s="55">
        <f t="shared" si="319"/>
        <v>46059</v>
      </c>
      <c r="HV47" s="56"/>
      <c r="HW47" s="242">
        <f>SUMPRODUCT(PRODUCE!$B60:$DY60,PRODUCE!$EB$32:$IY$32)</f>
        <v>0</v>
      </c>
      <c r="HX47" s="56"/>
      <c r="HY47" s="242">
        <f t="shared" si="320"/>
        <v>0</v>
      </c>
      <c r="HZ47" s="242">
        <f t="shared" si="321"/>
        <v>5440</v>
      </c>
      <c r="IA47" s="56"/>
      <c r="ID47" s="55">
        <f t="shared" si="322"/>
        <v>46059</v>
      </c>
      <c r="IE47" s="56"/>
      <c r="IF47" s="242">
        <f>SUMPRODUCT(PRODUCE!$B60:$DY60,PRODUCE!$EB$33:$IY$33)</f>
        <v>0</v>
      </c>
      <c r="IG47" s="56"/>
      <c r="IH47" s="242">
        <f t="shared" si="323"/>
        <v>0</v>
      </c>
      <c r="II47" s="242">
        <f t="shared" si="324"/>
        <v>5100</v>
      </c>
      <c r="IJ47" s="56"/>
      <c r="IM47" s="55">
        <f t="shared" si="325"/>
        <v>46059</v>
      </c>
      <c r="IN47" s="56"/>
      <c r="IO47" s="242">
        <f>SUMPRODUCT(PRODUCE!$B60:$DY60,PRODUCE!$EB$34:$IY$34)</f>
        <v>0</v>
      </c>
      <c r="IP47" s="56"/>
      <c r="IQ47" s="242">
        <f t="shared" si="326"/>
        <v>0</v>
      </c>
      <c r="IR47" s="242">
        <f t="shared" si="327"/>
        <v>16240</v>
      </c>
      <c r="IS47" s="56"/>
      <c r="IV47" s="55">
        <f t="shared" si="328"/>
        <v>46059</v>
      </c>
      <c r="IW47" s="56"/>
      <c r="IX47" s="242">
        <f>SUMPRODUCT(PRODUCE!$B60:$DY60,PRODUCE!$EB$35:$IY$35)</f>
        <v>0</v>
      </c>
      <c r="IY47" s="56"/>
      <c r="IZ47" s="242">
        <f t="shared" si="329"/>
        <v>0</v>
      </c>
      <c r="JA47" s="242">
        <f t="shared" si="330"/>
        <v>13120</v>
      </c>
      <c r="JB47" s="56"/>
      <c r="JE47" s="55">
        <f t="shared" si="331"/>
        <v>46059</v>
      </c>
      <c r="JF47" s="56"/>
      <c r="JG47" s="242">
        <f>SUMPRODUCT(PRODUCE!$B60:$DY60,PRODUCE!$EB$36:$IY$36)</f>
        <v>0</v>
      </c>
      <c r="JH47" s="56"/>
      <c r="JI47" s="242">
        <f t="shared" si="332"/>
        <v>0</v>
      </c>
      <c r="JJ47" s="242">
        <f t="shared" si="333"/>
        <v>6800</v>
      </c>
      <c r="JK47" s="56"/>
      <c r="JN47" s="55">
        <f t="shared" si="334"/>
        <v>46059</v>
      </c>
      <c r="JO47" s="56"/>
      <c r="JP47" s="242">
        <f>SUMPRODUCT(PRODUCE!$B60:$DY60,PRODUCE!$EB$37:$IY$37)</f>
        <v>0</v>
      </c>
      <c r="JQ47" s="56"/>
      <c r="JR47" s="242">
        <f t="shared" si="335"/>
        <v>0</v>
      </c>
      <c r="JS47" s="242">
        <f t="shared" si="336"/>
        <v>5400</v>
      </c>
      <c r="JT47" s="56"/>
      <c r="JW47" s="55">
        <f t="shared" si="337"/>
        <v>46059</v>
      </c>
      <c r="JX47" s="56"/>
      <c r="JY47" s="242">
        <f>SUMPRODUCT(PRODUCE!$B60:$DY60,PRODUCE!$EB$38:$IY$38)</f>
        <v>0</v>
      </c>
      <c r="JZ47" s="56"/>
      <c r="KA47" s="242">
        <f t="shared" si="338"/>
        <v>0</v>
      </c>
      <c r="KB47" s="242">
        <f t="shared" si="339"/>
        <v>2260</v>
      </c>
      <c r="KC47" s="56"/>
      <c r="KF47" s="55">
        <f t="shared" si="340"/>
        <v>46059</v>
      </c>
      <c r="KG47" s="56"/>
      <c r="KH47" s="242">
        <f>SUMPRODUCT(PRODUCE!$B60:$DY60,PRODUCE!$EB$39:$IY$39)</f>
        <v>1365</v>
      </c>
      <c r="KI47" s="56"/>
      <c r="KJ47" s="242">
        <f t="shared" si="341"/>
        <v>1365</v>
      </c>
      <c r="KK47" s="242">
        <f t="shared" si="342"/>
        <v>4017</v>
      </c>
      <c r="KL47" s="56"/>
      <c r="KO47" s="55">
        <f t="shared" si="343"/>
        <v>46059</v>
      </c>
      <c r="KP47" s="56"/>
      <c r="KQ47" s="242">
        <f>SUMPRODUCT(PRODUCE!$B60:$DY60,PRODUCE!$EB$40:$IY$40)</f>
        <v>0</v>
      </c>
      <c r="KR47" s="56"/>
      <c r="KS47" s="242">
        <f t="shared" si="344"/>
        <v>0</v>
      </c>
      <c r="KT47" s="242">
        <f t="shared" si="345"/>
        <v>6917.4</v>
      </c>
      <c r="KU47" s="56"/>
      <c r="KW47" s="23"/>
      <c r="KX47" s="55">
        <f t="shared" si="346"/>
        <v>46059</v>
      </c>
      <c r="KY47" s="56"/>
      <c r="KZ47" s="242">
        <f>SUMPRODUCT(PRODUCE!$B60:$DY60,PRODUCE!$EB$41:$IY$41)</f>
        <v>0</v>
      </c>
      <c r="LA47" s="56"/>
      <c r="LB47" s="242">
        <f t="shared" si="347"/>
        <v>0</v>
      </c>
      <c r="LC47" s="242">
        <f t="shared" si="348"/>
        <v>0</v>
      </c>
      <c r="LD47" s="56"/>
      <c r="LG47" s="55">
        <f t="shared" si="349"/>
        <v>46059</v>
      </c>
      <c r="LH47" s="56"/>
      <c r="LI47" s="242">
        <f>SUMPRODUCT(PRODUCE!$B60:$DY60,PRODUCE!$EB$42:$IY$42)</f>
        <v>0</v>
      </c>
      <c r="LJ47" s="56"/>
      <c r="LK47" s="242">
        <f t="shared" si="350"/>
        <v>0</v>
      </c>
      <c r="LL47" s="242">
        <f t="shared" si="351"/>
        <v>0</v>
      </c>
      <c r="LM47" s="56"/>
      <c r="LP47" s="55">
        <f t="shared" si="352"/>
        <v>46059</v>
      </c>
      <c r="LQ47" s="56"/>
      <c r="LR47" s="242">
        <f>SUMPRODUCT(PRODUCE!$B62:$DY62,PRODUCE!$EB$43:$IY$43)</f>
        <v>0</v>
      </c>
      <c r="LS47" s="56"/>
      <c r="LT47" s="242">
        <f t="shared" si="353"/>
        <v>0</v>
      </c>
      <c r="LU47" s="242">
        <f t="shared" si="354"/>
        <v>0</v>
      </c>
      <c r="LV47" s="56"/>
      <c r="LY47" s="55">
        <f t="shared" si="355"/>
        <v>46059</v>
      </c>
      <c r="LZ47" s="56"/>
      <c r="MA47" s="242">
        <f>SUMPRODUCT(PRODUCE!$B62:$DY62,PRODUCE!$EB$44:$IY$44)</f>
        <v>0</v>
      </c>
      <c r="MB47" s="56"/>
      <c r="MC47" s="242">
        <f t="shared" si="356"/>
        <v>0</v>
      </c>
      <c r="MD47" s="242">
        <f t="shared" si="357"/>
        <v>0</v>
      </c>
      <c r="ME47" s="56"/>
      <c r="MH47" s="55">
        <f t="shared" si="358"/>
        <v>46059</v>
      </c>
      <c r="MI47" s="56"/>
      <c r="MJ47" s="242">
        <f>SUMPRODUCT(PRODUCE!$B60:$DY60,PRODUCE!$EB$45:$IY$45)</f>
        <v>0</v>
      </c>
      <c r="MK47" s="56"/>
      <c r="ML47" s="242">
        <f t="shared" si="359"/>
        <v>0</v>
      </c>
      <c r="MM47" s="242">
        <f t="shared" si="360"/>
        <v>0</v>
      </c>
      <c r="MN47" s="56"/>
      <c r="MQ47" s="55">
        <f t="shared" si="361"/>
        <v>46059</v>
      </c>
      <c r="MR47" s="56"/>
      <c r="MS47" s="242">
        <f>SUMPRODUCT(PRODUCE!$B60:$DY60,PRODUCE!$EB$46:$IY$46)</f>
        <v>140</v>
      </c>
      <c r="MT47" s="56"/>
      <c r="MU47" s="242">
        <f t="shared" si="362"/>
        <v>140</v>
      </c>
      <c r="MV47" s="242">
        <f t="shared" si="363"/>
        <v>1969</v>
      </c>
      <c r="MW47" s="56"/>
      <c r="MZ47" s="55">
        <f t="shared" si="364"/>
        <v>46059</v>
      </c>
      <c r="NA47" s="56"/>
      <c r="NB47" s="242">
        <f>SUMPRODUCT(PRODUCE!$B60:$DY60,PRODUCE!$EB$47:$IY$47)</f>
        <v>210</v>
      </c>
      <c r="NC47" s="56"/>
      <c r="ND47" s="242">
        <f t="shared" si="365"/>
        <v>210</v>
      </c>
      <c r="NE47" s="242">
        <f t="shared" si="366"/>
        <v>0</v>
      </c>
      <c r="NF47" s="56"/>
      <c r="NI47" s="55">
        <f t="shared" si="367"/>
        <v>46059</v>
      </c>
      <c r="NJ47" s="56"/>
      <c r="NK47" s="242">
        <f>SUMPRODUCT(PRODUCE!$B60:$DY60,PRODUCE!$EB$48:$IY$48)</f>
        <v>0</v>
      </c>
      <c r="NL47" s="56"/>
      <c r="NM47" s="242">
        <f t="shared" si="368"/>
        <v>0</v>
      </c>
      <c r="NN47" s="242">
        <f t="shared" si="369"/>
        <v>0</v>
      </c>
      <c r="NO47" s="56"/>
      <c r="NR47" s="55">
        <f t="shared" si="370"/>
        <v>46059</v>
      </c>
      <c r="NS47" s="56"/>
      <c r="NT47" s="242">
        <f>SUMPRODUCT(PRODUCE!$B60:$DY60,PRODUCE!$EB$49:$IY$49)</f>
        <v>84</v>
      </c>
      <c r="NU47" s="56"/>
      <c r="NV47" s="242">
        <f t="shared" si="371"/>
        <v>84</v>
      </c>
      <c r="NW47" s="242">
        <f t="shared" si="372"/>
        <v>970</v>
      </c>
      <c r="NX47" s="56"/>
      <c r="OA47" s="55">
        <f t="shared" si="373"/>
        <v>46059</v>
      </c>
      <c r="OB47" s="56"/>
      <c r="OC47" s="242">
        <f>SUMPRODUCT(PRODUCE!$B60:$DY60,PRODUCE!$EB$50:$IY$50)</f>
        <v>0</v>
      </c>
      <c r="OD47" s="56"/>
      <c r="OE47" s="242">
        <f t="shared" si="374"/>
        <v>0</v>
      </c>
      <c r="OF47" s="242">
        <f t="shared" si="375"/>
        <v>1680.5</v>
      </c>
      <c r="OG47" s="56"/>
      <c r="OJ47" s="55">
        <f t="shared" si="376"/>
        <v>46059</v>
      </c>
      <c r="OK47" s="56"/>
      <c r="OL47" s="242">
        <f>SUMPRODUCT(PRODUCE!$B60:$DY60,PRODUCE!$EB$51:$IY$51)</f>
        <v>195.99999999999994</v>
      </c>
      <c r="OM47" s="56"/>
      <c r="ON47" s="242">
        <f t="shared" si="377"/>
        <v>195.99999999999994</v>
      </c>
      <c r="OO47" s="242">
        <f t="shared" si="378"/>
        <v>0</v>
      </c>
      <c r="OP47" s="56"/>
      <c r="OS47" s="55">
        <f t="shared" si="379"/>
        <v>46059</v>
      </c>
      <c r="OT47" s="56"/>
      <c r="OU47" s="242">
        <f>SUMPRODUCT(PRODUCE!$B60:$DY60,PRODUCE!$EB$52:$IY$52)</f>
        <v>0</v>
      </c>
      <c r="OV47" s="56"/>
      <c r="OW47" s="242">
        <f t="shared" si="380"/>
        <v>0</v>
      </c>
      <c r="OX47" s="242">
        <f t="shared" si="381"/>
        <v>0</v>
      </c>
      <c r="OY47" s="56"/>
      <c r="PB47" s="55">
        <f t="shared" si="382"/>
        <v>46059</v>
      </c>
      <c r="PC47" s="56"/>
      <c r="PD47" s="242">
        <f>SUMPRODUCT(PRODUCE!$B60:$DY60,PRODUCE!$EB$53:$IY$53)</f>
        <v>0</v>
      </c>
      <c r="PE47" s="56"/>
      <c r="PF47" s="242">
        <f t="shared" si="383"/>
        <v>0</v>
      </c>
      <c r="PG47" s="242">
        <f t="shared" si="384"/>
        <v>0</v>
      </c>
      <c r="PH47" s="56"/>
      <c r="PK47" s="55">
        <f t="shared" si="385"/>
        <v>46059</v>
      </c>
      <c r="PL47" s="56"/>
      <c r="PM47" s="242">
        <f>SUMPRODUCT(PRODUCE!$B60:$DY60,PRODUCE!$EB$54:$IY$54)</f>
        <v>0</v>
      </c>
      <c r="PN47" s="56"/>
      <c r="PO47" s="242">
        <f t="shared" si="386"/>
        <v>0</v>
      </c>
      <c r="PP47" s="242">
        <f t="shared" si="387"/>
        <v>160</v>
      </c>
      <c r="PQ47" s="56"/>
      <c r="PT47" s="55">
        <f t="shared" si="388"/>
        <v>46059</v>
      </c>
      <c r="PU47" s="56"/>
      <c r="PV47" s="242">
        <f>SUMPRODUCT(PRODUCE!$B60:$DY60,PRODUCE!$EB$55:$IY$55)</f>
        <v>0</v>
      </c>
      <c r="PW47" s="56"/>
      <c r="PX47" s="242">
        <f t="shared" si="389"/>
        <v>0</v>
      </c>
      <c r="PY47" s="242">
        <f t="shared" si="390"/>
        <v>13.960000000000036</v>
      </c>
      <c r="PZ47" s="56"/>
      <c r="QC47" s="55">
        <f t="shared" si="391"/>
        <v>46059</v>
      </c>
      <c r="QD47" s="56"/>
      <c r="QE47" s="242">
        <f>SUMPRODUCT(PRODUCE!$B60:$DY60,PRODUCE!$EB$56:$IY$56)</f>
        <v>0</v>
      </c>
      <c r="QF47" s="56"/>
      <c r="QG47" s="242">
        <f t="shared" si="392"/>
        <v>0</v>
      </c>
      <c r="QH47" s="242">
        <f t="shared" si="393"/>
        <v>0</v>
      </c>
      <c r="QI47" s="56"/>
      <c r="QL47" s="55">
        <f t="shared" si="394"/>
        <v>46059</v>
      </c>
      <c r="QM47" s="56"/>
      <c r="QN47" s="242">
        <f>SUMPRODUCT(PRODUCE!$B60:$DY60,PRODUCE!$EB$57:$IY$57)</f>
        <v>0</v>
      </c>
      <c r="QO47" s="56"/>
      <c r="QP47" s="242">
        <f t="shared" si="395"/>
        <v>0</v>
      </c>
      <c r="QQ47" s="242">
        <f t="shared" si="396"/>
        <v>0</v>
      </c>
      <c r="QR47" s="56"/>
      <c r="QU47" s="55">
        <f t="shared" si="397"/>
        <v>46059</v>
      </c>
      <c r="QV47" s="56"/>
      <c r="QW47" s="242">
        <f>SUMPRODUCT(PRODUCE!$B60:$DY60,PRODUCE!$EB$57:$IY$57)</f>
        <v>0</v>
      </c>
      <c r="QX47" s="56"/>
      <c r="QY47" s="242">
        <f t="shared" si="398"/>
        <v>0</v>
      </c>
      <c r="QZ47" s="242">
        <f t="shared" si="399"/>
        <v>207.6</v>
      </c>
      <c r="RA47" s="56"/>
      <c r="RD47" s="55">
        <f t="shared" si="400"/>
        <v>46059</v>
      </c>
      <c r="RE47" s="56"/>
      <c r="RF47" s="242">
        <f>SUMPRODUCT(PRODUCE!$B60:$DY60,PRODUCE!$EB$58:$IY$58)</f>
        <v>0</v>
      </c>
      <c r="RG47" s="56"/>
      <c r="RH47" s="242">
        <f t="shared" si="401"/>
        <v>0</v>
      </c>
      <c r="RI47" s="242">
        <f t="shared" si="402"/>
        <v>201.8</v>
      </c>
      <c r="RJ47" s="56"/>
      <c r="RM47" s="55">
        <f t="shared" si="403"/>
        <v>46059</v>
      </c>
      <c r="RN47" s="56"/>
      <c r="RO47" s="242">
        <f>SUMPRODUCT(PRODUCE!$B60:$DY60,PRODUCE!$EB$57:$IY$57)</f>
        <v>0</v>
      </c>
      <c r="RP47" s="56"/>
      <c r="RQ47" s="242">
        <f t="shared" si="404"/>
        <v>0</v>
      </c>
      <c r="RR47" s="242">
        <f t="shared" si="405"/>
        <v>22.720000000000002</v>
      </c>
      <c r="RS47" s="56"/>
      <c r="RV47" s="55">
        <f t="shared" si="406"/>
        <v>46059</v>
      </c>
      <c r="RW47" s="56"/>
      <c r="RX47" s="242">
        <f>SUMPRODUCT(PRODUCE!$B60:$DY60,PRODUCE!$EB$57:$IY$57)</f>
        <v>0</v>
      </c>
      <c r="RY47" s="56"/>
      <c r="RZ47" s="242">
        <f t="shared" si="407"/>
        <v>0</v>
      </c>
      <c r="SA47" s="242">
        <f t="shared" si="408"/>
        <v>0</v>
      </c>
      <c r="SB47" s="56"/>
      <c r="SE47" s="55">
        <f t="shared" si="409"/>
        <v>46059</v>
      </c>
      <c r="SF47" s="56"/>
      <c r="SG47" s="242">
        <f>SUMPRODUCT(PRODUCE!$B60:$DY60,PRODUCE!$EB$57:$IY$57)</f>
        <v>0</v>
      </c>
      <c r="SH47" s="56"/>
      <c r="SI47" s="242">
        <f t="shared" si="410"/>
        <v>0</v>
      </c>
      <c r="SJ47" s="242">
        <f t="shared" si="411"/>
        <v>0</v>
      </c>
      <c r="SK47" s="56"/>
      <c r="SN47" s="55">
        <f t="shared" si="412"/>
        <v>46059</v>
      </c>
      <c r="SO47" s="56"/>
      <c r="SP47" s="242">
        <f>SUMPRODUCT(PRODUCE!$B60:$DY60,PRODUCE!$EB$57:$IY$57)</f>
        <v>0</v>
      </c>
      <c r="SQ47" s="56"/>
      <c r="SR47" s="242">
        <f t="shared" si="413"/>
        <v>0</v>
      </c>
      <c r="SS47" s="242">
        <f t="shared" si="414"/>
        <v>0</v>
      </c>
      <c r="ST47" s="56"/>
      <c r="SW47" s="55">
        <f t="shared" si="415"/>
        <v>46059</v>
      </c>
      <c r="SX47" s="56"/>
      <c r="SY47" s="242">
        <f>SUMPRODUCT(PRODUCE!$B60:$DY60,PRODUCE!$EB$57:$IY$57)</f>
        <v>0</v>
      </c>
      <c r="SZ47" s="56"/>
      <c r="TA47" s="242">
        <f t="shared" si="416"/>
        <v>0</v>
      </c>
      <c r="TB47" s="242">
        <f t="shared" si="417"/>
        <v>270</v>
      </c>
      <c r="TC47" s="56"/>
      <c r="TF47" s="55">
        <f t="shared" si="418"/>
        <v>46059</v>
      </c>
      <c r="TG47" s="56"/>
      <c r="TH47" s="242">
        <f>SUMPRODUCT(PRODUCE!$B60:$DY60,PRODUCE!$EB$57:$IY$57)</f>
        <v>0</v>
      </c>
      <c r="TI47" s="56"/>
      <c r="TJ47" s="242">
        <f t="shared" si="419"/>
        <v>0</v>
      </c>
      <c r="TK47" s="242">
        <f t="shared" si="420"/>
        <v>0</v>
      </c>
      <c r="TL47" s="56"/>
      <c r="TO47" s="55">
        <f t="shared" si="421"/>
        <v>46059</v>
      </c>
      <c r="TP47" s="56"/>
      <c r="TQ47" s="242">
        <f>SUMPRODUCT(PRODUCE!$B60:$DY60,PRODUCE!$EB$57:$IY$57)</f>
        <v>0</v>
      </c>
      <c r="TR47" s="56"/>
      <c r="TS47" s="242">
        <f t="shared" si="422"/>
        <v>0</v>
      </c>
      <c r="TT47" s="242">
        <f t="shared" si="423"/>
        <v>0</v>
      </c>
      <c r="TU47" s="56"/>
      <c r="TX47" s="55">
        <f t="shared" si="424"/>
        <v>46059</v>
      </c>
      <c r="TY47" s="56"/>
      <c r="TZ47" s="242">
        <f>SUMPRODUCT(PRODUCE!$B60:$DY60,PRODUCE!$EB$57:$IY$57)</f>
        <v>0</v>
      </c>
      <c r="UA47" s="56"/>
      <c r="UB47" s="242">
        <f t="shared" si="425"/>
        <v>0</v>
      </c>
      <c r="UC47" s="242">
        <f t="shared" si="426"/>
        <v>0</v>
      </c>
      <c r="UD47" s="56"/>
      <c r="UG47" s="55">
        <f t="shared" si="427"/>
        <v>46059</v>
      </c>
      <c r="UH47" s="56"/>
      <c r="UI47" s="242">
        <f>SUMPRODUCT(PRODUCE!$B60:$DY60,PRODUCE!$EB$57:$IY$57)</f>
        <v>0</v>
      </c>
      <c r="UJ47" s="56"/>
      <c r="UK47" s="242">
        <f t="shared" si="428"/>
        <v>0</v>
      </c>
      <c r="UL47" s="242">
        <f t="shared" si="429"/>
        <v>0</v>
      </c>
      <c r="UM47" s="56"/>
      <c r="UP47" s="55">
        <f t="shared" si="430"/>
        <v>46059</v>
      </c>
      <c r="UQ47" s="56"/>
      <c r="UR47" s="242">
        <f>SUMPRODUCT(PRODUCE!$B60:$DY60,PRODUCE!$EB$57:$IY$57)</f>
        <v>0</v>
      </c>
      <c r="US47" s="56"/>
      <c r="UT47" s="242">
        <f t="shared" si="431"/>
        <v>0</v>
      </c>
      <c r="UU47" s="242">
        <f t="shared" si="432"/>
        <v>0</v>
      </c>
      <c r="UV47" s="56"/>
      <c r="UY47" s="55">
        <f t="shared" si="433"/>
        <v>46059</v>
      </c>
      <c r="UZ47" s="56"/>
      <c r="VA47" s="242">
        <f>SUMPRODUCT(PRODUCE!$B60:$DY60,PRODUCE!$EB$57:$IY$57)</f>
        <v>0</v>
      </c>
      <c r="VB47" s="56"/>
      <c r="VC47" s="242">
        <f t="shared" si="434"/>
        <v>0</v>
      </c>
      <c r="VD47" s="242">
        <f t="shared" si="435"/>
        <v>41.600000000000023</v>
      </c>
      <c r="VE47" s="56"/>
      <c r="VH47" s="55">
        <f t="shared" si="436"/>
        <v>46059</v>
      </c>
      <c r="VI47" s="56"/>
      <c r="VJ47" s="242">
        <f>SUMPRODUCT(PRODUCE!$B60:$DY60,PRODUCE!$EB$57:$IY$57)</f>
        <v>0</v>
      </c>
      <c r="VK47" s="56"/>
      <c r="VL47" s="242">
        <f t="shared" si="437"/>
        <v>0</v>
      </c>
      <c r="VM47" s="242">
        <f t="shared" si="438"/>
        <v>0</v>
      </c>
      <c r="VN47" s="56"/>
      <c r="VQ47" s="55">
        <f t="shared" si="439"/>
        <v>46059</v>
      </c>
      <c r="VR47" s="56"/>
      <c r="VS47" s="242">
        <f>SUMPRODUCT(PRODUCE!$B60:$DY60,PRODUCE!$EB$57:$IY$57)</f>
        <v>0</v>
      </c>
      <c r="VT47" s="56"/>
      <c r="VU47" s="242">
        <f t="shared" si="440"/>
        <v>0</v>
      </c>
      <c r="VV47" s="242">
        <f t="shared" si="441"/>
        <v>0</v>
      </c>
      <c r="VW47" s="56"/>
      <c r="VZ47" s="55">
        <f t="shared" si="442"/>
        <v>46059</v>
      </c>
      <c r="WA47" s="56"/>
      <c r="WB47" s="242">
        <f>SUMPRODUCT(PRODUCE!$B60:$DY60,PRODUCE!$EB$57:$IY$57)</f>
        <v>0</v>
      </c>
      <c r="WC47" s="56"/>
      <c r="WD47" s="242">
        <f t="shared" si="443"/>
        <v>0</v>
      </c>
      <c r="WE47" s="242">
        <f t="shared" si="444"/>
        <v>0</v>
      </c>
      <c r="WF47" s="56"/>
      <c r="WI47" s="55">
        <f t="shared" si="445"/>
        <v>46059</v>
      </c>
      <c r="WJ47" s="56"/>
      <c r="WK47" s="242">
        <f>SUMPRODUCT(PRODUCE!$B60:$DY60,PRODUCE!$EB$57:$IY$57)</f>
        <v>0</v>
      </c>
      <c r="WL47" s="56"/>
      <c r="WM47" s="242">
        <f t="shared" si="446"/>
        <v>0</v>
      </c>
      <c r="WN47" s="242">
        <f t="shared" si="447"/>
        <v>9609</v>
      </c>
      <c r="WO47" s="56"/>
      <c r="WR47" s="55">
        <f t="shared" si="448"/>
        <v>46059</v>
      </c>
      <c r="WS47" s="56"/>
      <c r="WT47" s="242">
        <f>SUMPRODUCT(PRODUCE!$B60:$DY60,PRODUCE!$EB$57:$IY$57)</f>
        <v>0</v>
      </c>
      <c r="WU47" s="56"/>
      <c r="WV47" s="242">
        <f t="shared" si="449"/>
        <v>0</v>
      </c>
      <c r="WW47" s="242">
        <f t="shared" si="450"/>
        <v>8149</v>
      </c>
      <c r="WX47" s="56"/>
      <c r="XA47" s="55">
        <f t="shared" si="451"/>
        <v>46059</v>
      </c>
      <c r="XB47" s="56"/>
      <c r="XC47" s="242">
        <f>SUMPRODUCT(PRODUCE!$B60:$DY60,PRODUCE!$EB$57:$IY$57)</f>
        <v>0</v>
      </c>
      <c r="XD47" s="56"/>
      <c r="XE47" s="242">
        <f t="shared" si="452"/>
        <v>0</v>
      </c>
      <c r="XF47" s="242">
        <f t="shared" si="453"/>
        <v>590</v>
      </c>
      <c r="XG47" s="56"/>
      <c r="XJ47" s="55">
        <f t="shared" si="454"/>
        <v>46059</v>
      </c>
      <c r="XK47" s="56"/>
      <c r="XL47" s="242">
        <f>SUMPRODUCT(PRODUCE!$B60:$DY60,PRODUCE!$EB$57:$IY$57)</f>
        <v>0</v>
      </c>
      <c r="XM47" s="56">
        <v>1409</v>
      </c>
      <c r="XN47" s="242">
        <f t="shared" si="455"/>
        <v>-1409</v>
      </c>
      <c r="XO47" s="242">
        <f t="shared" si="456"/>
        <v>3276</v>
      </c>
      <c r="XP47" s="56"/>
      <c r="XS47" s="55">
        <f t="shared" si="457"/>
        <v>46059</v>
      </c>
      <c r="XT47" s="56"/>
      <c r="XU47" s="242">
        <f>SUMPRODUCT(PRODUCE!$B60:$DY60,PRODUCE!$EB$57:$IY$57)</f>
        <v>0</v>
      </c>
      <c r="XV47" s="56"/>
      <c r="XW47" s="242">
        <f t="shared" si="458"/>
        <v>0</v>
      </c>
      <c r="XX47" s="242">
        <f t="shared" si="459"/>
        <v>1901</v>
      </c>
      <c r="XY47" s="56"/>
      <c r="YB47" s="55">
        <f t="shared" si="460"/>
        <v>46059</v>
      </c>
      <c r="YC47" s="56"/>
      <c r="YD47" s="242">
        <f>SUMPRODUCT(PRODUCE!$B60:$DY60,PRODUCE!$EB$57:$IY$57)</f>
        <v>0</v>
      </c>
      <c r="YE47" s="56"/>
      <c r="YF47" s="242">
        <f t="shared" si="461"/>
        <v>0</v>
      </c>
      <c r="YG47" s="242">
        <f t="shared" si="462"/>
        <v>1370</v>
      </c>
      <c r="YH47" s="56"/>
      <c r="YK47" s="55">
        <f t="shared" si="463"/>
        <v>46059</v>
      </c>
      <c r="YL47" s="56"/>
      <c r="YM47" s="242">
        <f>SUMPRODUCT(PRODUCE!$B60:$DY60,PRODUCE!$EB$57:$IY$57)</f>
        <v>0</v>
      </c>
      <c r="YN47" s="56"/>
      <c r="YO47" s="242">
        <f t="shared" si="464"/>
        <v>0</v>
      </c>
      <c r="YP47" s="242">
        <f t="shared" si="465"/>
        <v>0</v>
      </c>
      <c r="YQ47" s="56"/>
      <c r="YT47" s="55">
        <f t="shared" si="466"/>
        <v>46059</v>
      </c>
      <c r="YU47" s="56"/>
      <c r="YV47" s="242">
        <f>SUMPRODUCT(PRODUCE!$B60:$DY60,PRODUCE!$EB$57:$IY$57)</f>
        <v>0</v>
      </c>
      <c r="YW47" s="56"/>
      <c r="YX47" s="242">
        <f t="shared" si="467"/>
        <v>0</v>
      </c>
      <c r="YY47" s="242">
        <f t="shared" si="468"/>
        <v>0</v>
      </c>
      <c r="YZ47" s="56"/>
      <c r="ZC47" s="55">
        <f t="shared" si="469"/>
        <v>46059</v>
      </c>
      <c r="ZD47" s="56"/>
      <c r="ZE47" s="242">
        <f>SUMPRODUCT(PRODUCE!$B60:$DY60,PRODUCE!$EB$57:$IY$57)</f>
        <v>0</v>
      </c>
      <c r="ZF47" s="56"/>
      <c r="ZG47" s="242">
        <f t="shared" si="470"/>
        <v>0</v>
      </c>
      <c r="ZH47" s="242">
        <f t="shared" si="471"/>
        <v>0</v>
      </c>
      <c r="ZI47" s="56"/>
      <c r="ZL47" s="55">
        <f t="shared" si="472"/>
        <v>46059</v>
      </c>
      <c r="ZM47" s="56"/>
      <c r="ZN47" s="242">
        <f>SUMPRODUCT(PRODUCE!$B60:$DY60,PRODUCE!$EB$57:$IY$57)</f>
        <v>0</v>
      </c>
      <c r="ZO47" s="56"/>
      <c r="ZP47" s="242">
        <f t="shared" si="473"/>
        <v>0</v>
      </c>
      <c r="ZQ47" s="242">
        <f t="shared" si="474"/>
        <v>0</v>
      </c>
      <c r="ZR47" s="56"/>
      <c r="ZU47" s="55">
        <f t="shared" si="475"/>
        <v>46059</v>
      </c>
      <c r="ZV47" s="56"/>
      <c r="ZW47" s="242">
        <f>SUMPRODUCT(PRODUCE!$B60:$DY60,PRODUCE!$EB$57:$IY$57)</f>
        <v>0</v>
      </c>
      <c r="ZX47" s="56"/>
      <c r="ZY47" s="242">
        <f t="shared" si="476"/>
        <v>0</v>
      </c>
      <c r="ZZ47" s="242">
        <f t="shared" si="477"/>
        <v>0</v>
      </c>
      <c r="AAA47" s="56"/>
      <c r="AAD47" s="55">
        <f t="shared" si="478"/>
        <v>46059</v>
      </c>
      <c r="AAE47" s="56"/>
      <c r="AAF47" s="242">
        <f>SUMPRODUCT(PRODUCE!$B60:$DY60,PRODUCE!$EB$57:$IY$57)</f>
        <v>0</v>
      </c>
      <c r="AAG47" s="56"/>
      <c r="AAH47" s="242">
        <f t="shared" si="479"/>
        <v>0</v>
      </c>
      <c r="AAI47" s="242">
        <f t="shared" si="480"/>
        <v>0</v>
      </c>
      <c r="AAJ47" s="56"/>
      <c r="AAM47" s="55">
        <f t="shared" si="481"/>
        <v>46059</v>
      </c>
      <c r="AAN47" s="56"/>
      <c r="AAO47" s="242">
        <f>SUMPRODUCT(PRODUCE!$B60:$DY60,PRODUCE!$EB$57:$IY$57)</f>
        <v>0</v>
      </c>
      <c r="AAP47" s="56"/>
      <c r="AAQ47" s="242">
        <f t="shared" si="482"/>
        <v>0</v>
      </c>
      <c r="AAR47" s="242">
        <f t="shared" si="483"/>
        <v>0</v>
      </c>
      <c r="AAS47" s="56"/>
      <c r="AAV47" s="55">
        <f t="shared" si="484"/>
        <v>46059</v>
      </c>
      <c r="AAW47" s="56"/>
      <c r="AAX47" s="242">
        <f>SUMPRODUCT(PRODUCE!$B60:$DY60,PRODUCE!$EB$57:$IY$57)</f>
        <v>0</v>
      </c>
      <c r="AAY47" s="56"/>
      <c r="AAZ47" s="242">
        <f t="shared" si="485"/>
        <v>0</v>
      </c>
      <c r="ABA47" s="242">
        <f t="shared" si="486"/>
        <v>0</v>
      </c>
      <c r="ABB47" s="56"/>
      <c r="ABE47" s="55">
        <f t="shared" si="487"/>
        <v>46059</v>
      </c>
      <c r="ABF47" s="56"/>
      <c r="ABG47" s="242">
        <f>SUMPRODUCT(PRODUCE!$B60:$DY60,PRODUCE!$EB$57:$IY$57)</f>
        <v>0</v>
      </c>
      <c r="ABH47" s="56"/>
      <c r="ABI47" s="242">
        <f t="shared" si="488"/>
        <v>0</v>
      </c>
      <c r="ABJ47" s="242">
        <f t="shared" si="489"/>
        <v>0</v>
      </c>
      <c r="ABK47" s="56"/>
    </row>
    <row r="48" spans="1:739" s="54" customFormat="1" ht="15" customHeight="1" outlineLevel="1">
      <c r="B48" s="478">
        <v>60</v>
      </c>
      <c r="C48" s="55">
        <v>46060</v>
      </c>
      <c r="D48" s="422">
        <v>46540</v>
      </c>
      <c r="E48" s="424">
        <f>SUMPRODUCT(PRODUCE!$B61:$DY61,PRODUCE!$EB$7:$IY$7)</f>
        <v>30932.999999999996</v>
      </c>
      <c r="F48" s="422">
        <v>30929.4</v>
      </c>
      <c r="G48" s="423">
        <f t="shared" si="247"/>
        <v>3.5999999999949068</v>
      </c>
      <c r="H48" s="423">
        <f t="shared" si="245"/>
        <v>176937.8</v>
      </c>
      <c r="I48" s="324" t="s">
        <v>200</v>
      </c>
      <c r="L48" s="55">
        <f t="shared" si="246"/>
        <v>46060</v>
      </c>
      <c r="M48" s="422">
        <v>59500</v>
      </c>
      <c r="N48" s="439">
        <f>SUMPRODUCT(PRODUCE!$B61:$DY61,PRODUCE!$EB$8:$IY$8)</f>
        <v>14310.000000000002</v>
      </c>
      <c r="O48" s="422">
        <v>14312</v>
      </c>
      <c r="P48" s="438">
        <f t="shared" si="248"/>
        <v>-1.999999999998181</v>
      </c>
      <c r="Q48" s="438">
        <f t="shared" si="249"/>
        <v>103184.40000000001</v>
      </c>
      <c r="R48" s="56"/>
      <c r="U48" s="55">
        <f t="shared" si="250"/>
        <v>46060</v>
      </c>
      <c r="V48" s="422">
        <v>30120</v>
      </c>
      <c r="W48" s="441">
        <f>SUMPRODUCT(PRODUCE!$B61:$DY61,PRODUCE!$EB$9:$IY$9)</f>
        <v>3990</v>
      </c>
      <c r="X48" s="422">
        <v>3990.2</v>
      </c>
      <c r="Y48" s="440">
        <f t="shared" si="251"/>
        <v>-0.1999999999998181</v>
      </c>
      <c r="Z48" s="440">
        <f t="shared" si="252"/>
        <v>63818.699999999983</v>
      </c>
      <c r="AA48" s="56"/>
      <c r="AD48" s="55">
        <f t="shared" si="253"/>
        <v>46060</v>
      </c>
      <c r="AE48" s="422"/>
      <c r="AF48" s="443">
        <f>SUMPRODUCT(PRODUCE!$B61:$DY61,PRODUCE!$EB$10:$IY$10)</f>
        <v>600</v>
      </c>
      <c r="AG48" s="422">
        <v>600.29999999999995</v>
      </c>
      <c r="AH48" s="442">
        <f t="shared" si="254"/>
        <v>-0.29999999999995453</v>
      </c>
      <c r="AI48" s="442">
        <f t="shared" si="255"/>
        <v>47017.600000000013</v>
      </c>
      <c r="AJ48" s="56"/>
      <c r="AM48" s="55">
        <f t="shared" si="256"/>
        <v>46060</v>
      </c>
      <c r="AN48" s="422"/>
      <c r="AO48" s="445">
        <f>SUMPRODUCT(PRODUCE!$B61:$DY61,PRODUCE!$EB$11:$IY$11)</f>
        <v>0</v>
      </c>
      <c r="AP48" s="422"/>
      <c r="AQ48" s="444">
        <f t="shared" si="257"/>
        <v>0</v>
      </c>
      <c r="AR48" s="444">
        <f t="shared" si="258"/>
        <v>0</v>
      </c>
      <c r="AS48" s="56"/>
      <c r="AV48" s="55">
        <f t="shared" si="259"/>
        <v>46060</v>
      </c>
      <c r="AW48" s="422"/>
      <c r="AX48" s="447">
        <f>SUMPRODUCT(PRODUCE!$B61:$DY61,PRODUCE!$EB$12:$IY$12)</f>
        <v>1500</v>
      </c>
      <c r="AY48" s="422">
        <v>1500.1</v>
      </c>
      <c r="AZ48" s="446">
        <f t="shared" si="260"/>
        <v>-9.9999999999909051E-2</v>
      </c>
      <c r="BA48" s="446">
        <f t="shared" si="261"/>
        <v>60688.099999999991</v>
      </c>
      <c r="BB48" s="56"/>
      <c r="BE48" s="55">
        <f t="shared" si="262"/>
        <v>46060</v>
      </c>
      <c r="BF48" s="422"/>
      <c r="BG48" s="449">
        <f>SUMPRODUCT(PRODUCE!$B61:$DY61,PRODUCE!$EB$13:$IY$13)</f>
        <v>1679.9999999999998</v>
      </c>
      <c r="BH48" s="422">
        <v>1679.8</v>
      </c>
      <c r="BI48" s="448">
        <f t="shared" si="263"/>
        <v>0.1999999999998181</v>
      </c>
      <c r="BJ48" s="448">
        <f t="shared" si="264"/>
        <v>36972.400000000009</v>
      </c>
      <c r="BK48" s="56"/>
      <c r="BN48" s="55">
        <f t="shared" si="265"/>
        <v>46060</v>
      </c>
      <c r="BO48" s="422">
        <v>900</v>
      </c>
      <c r="BP48" s="451">
        <f>SUMPRODUCT(PRODUCE!$B61:$DY61,PRODUCE!$EB$14:$IY$14)</f>
        <v>900</v>
      </c>
      <c r="BQ48" s="422">
        <v>900</v>
      </c>
      <c r="BR48" s="450">
        <f t="shared" si="266"/>
        <v>0</v>
      </c>
      <c r="BS48" s="450">
        <f t="shared" si="267"/>
        <v>0</v>
      </c>
      <c r="BT48" s="56"/>
      <c r="BW48" s="55">
        <f t="shared" si="268"/>
        <v>46060</v>
      </c>
      <c r="BX48" s="56"/>
      <c r="BY48" s="81">
        <f>SUMPRODUCT(PRODUCE!$B61:$DY61,PRODUCE!$EB$15:$IY$15)</f>
        <v>270.00000000000006</v>
      </c>
      <c r="BZ48" s="56">
        <v>1512.9</v>
      </c>
      <c r="CA48" s="65">
        <f t="shared" si="269"/>
        <v>-1242.9000000000001</v>
      </c>
      <c r="CB48" s="65">
        <f t="shared" si="270"/>
        <v>1487.1</v>
      </c>
      <c r="CC48" s="56"/>
      <c r="CF48" s="55">
        <f t="shared" si="271"/>
        <v>46060</v>
      </c>
      <c r="CG48" s="56">
        <v>2738.4</v>
      </c>
      <c r="CH48" s="82">
        <f>SUMPRODUCT(PRODUCE!$B61:$DY61,PRODUCE!$EB$16:$IY$16)</f>
        <v>419.99999999999994</v>
      </c>
      <c r="CI48" s="56">
        <f>784+1860+94.4</f>
        <v>2738.4</v>
      </c>
      <c r="CJ48" s="66">
        <f t="shared" si="272"/>
        <v>-2318.4</v>
      </c>
      <c r="CK48" s="66">
        <f t="shared" si="273"/>
        <v>0</v>
      </c>
      <c r="CL48" s="56"/>
      <c r="CO48" s="55">
        <f t="shared" si="274"/>
        <v>46060</v>
      </c>
      <c r="CP48" s="422"/>
      <c r="CQ48" s="471">
        <f>SUMPRODUCT(PRODUCE!$B61:$DY61,PRODUCE!$EB$17:$IY$17)</f>
        <v>0</v>
      </c>
      <c r="CR48" s="422"/>
      <c r="CS48" s="470">
        <f t="shared" si="275"/>
        <v>0</v>
      </c>
      <c r="CT48" s="470">
        <f t="shared" si="276"/>
        <v>0</v>
      </c>
      <c r="CU48" s="56"/>
      <c r="CX48" s="55">
        <f t="shared" si="277"/>
        <v>46060</v>
      </c>
      <c r="CY48" s="56">
        <v>11480</v>
      </c>
      <c r="CZ48" s="136">
        <f>SUMPRODUCT(PRODUCE!$B61:$DY61,PRODUCE!$EB$18:$IY$18)</f>
        <v>2010</v>
      </c>
      <c r="DA48" s="56">
        <v>2010.2</v>
      </c>
      <c r="DB48" s="133">
        <f t="shared" si="278"/>
        <v>-0.20000000000004547</v>
      </c>
      <c r="DC48" s="133">
        <f t="shared" si="279"/>
        <v>16209.8</v>
      </c>
      <c r="DD48" s="56"/>
      <c r="DG48" s="55">
        <f t="shared" si="280"/>
        <v>46060</v>
      </c>
      <c r="DH48" s="56"/>
      <c r="DI48" s="150">
        <f>SUMPRODUCT(PRODUCE!$B61:$DY61,PRODUCE!$EB$19:$IY$19)</f>
        <v>209.99999999999997</v>
      </c>
      <c r="DJ48" s="56">
        <v>211.6</v>
      </c>
      <c r="DK48" s="147">
        <f t="shared" si="281"/>
        <v>-1.6000000000000227</v>
      </c>
      <c r="DL48" s="147">
        <f t="shared" si="282"/>
        <v>18250.399999999998</v>
      </c>
      <c r="DM48" s="56"/>
      <c r="DP48" s="55">
        <f t="shared" si="283"/>
        <v>46060</v>
      </c>
      <c r="DQ48" s="56"/>
      <c r="DR48" s="58">
        <f>SUMPRODUCT(PRODUCE!$B61:$DY61,PRODUCE!$EB$20:$IY$20)</f>
        <v>0</v>
      </c>
      <c r="DS48" s="56"/>
      <c r="DT48" s="57">
        <f t="shared" si="284"/>
        <v>0</v>
      </c>
      <c r="DU48" s="57">
        <f t="shared" si="285"/>
        <v>0</v>
      </c>
      <c r="DV48" s="56"/>
      <c r="DY48" s="55">
        <f t="shared" si="286"/>
        <v>46060</v>
      </c>
      <c r="DZ48" s="56">
        <v>5120</v>
      </c>
      <c r="EA48" s="159">
        <f>SUMPRODUCT(PRODUCE!$B61:$DY61,PRODUCE!$EB$21:$IY$21)</f>
        <v>1500</v>
      </c>
      <c r="EB48" s="56">
        <v>1500.4</v>
      </c>
      <c r="EC48" s="157">
        <f t="shared" si="287"/>
        <v>-0.40000000000009095</v>
      </c>
      <c r="ED48" s="157">
        <f t="shared" si="288"/>
        <v>3619.6</v>
      </c>
      <c r="EE48" s="56"/>
      <c r="EH48" s="55">
        <f t="shared" si="289"/>
        <v>46060</v>
      </c>
      <c r="EI48" s="56"/>
      <c r="EJ48" s="164">
        <f>SUMPRODUCT(PRODUCE!$B61:$DY61,PRODUCE!$EB$22:$IY$22)</f>
        <v>0</v>
      </c>
      <c r="EK48" s="56"/>
      <c r="EL48" s="162">
        <f t="shared" si="290"/>
        <v>0</v>
      </c>
      <c r="EM48" s="162">
        <f t="shared" si="291"/>
        <v>0</v>
      </c>
      <c r="EN48" s="56"/>
      <c r="EQ48" s="55">
        <f t="shared" si="292"/>
        <v>46060</v>
      </c>
      <c r="ER48" s="56"/>
      <c r="ES48" s="171">
        <f>SUMPRODUCT(PRODUCE!$B61:$DY61,PRODUCE!$EB$23:$IY$23)</f>
        <v>0</v>
      </c>
      <c r="ET48" s="56"/>
      <c r="EU48" s="135">
        <f t="shared" si="293"/>
        <v>0</v>
      </c>
      <c r="EV48" s="135">
        <f t="shared" si="294"/>
        <v>0</v>
      </c>
      <c r="EW48" s="56"/>
      <c r="EZ48" s="55">
        <f t="shared" si="295"/>
        <v>46060</v>
      </c>
      <c r="FA48" s="56"/>
      <c r="FB48" s="178">
        <f>SUMPRODUCT(PRODUCE!$B61:$DY61,PRODUCE!$EB$24:$IY$24)</f>
        <v>0</v>
      </c>
      <c r="FC48" s="56"/>
      <c r="FD48" s="175">
        <f t="shared" si="296"/>
        <v>0</v>
      </c>
      <c r="FE48" s="175">
        <f t="shared" si="297"/>
        <v>0</v>
      </c>
      <c r="FF48" s="56"/>
      <c r="FI48" s="55">
        <f t="shared" si="298"/>
        <v>46060</v>
      </c>
      <c r="FJ48" s="56"/>
      <c r="FK48" s="184">
        <f>SUMPRODUCT(PRODUCE!$B61:$DY61,PRODUCE!$EB$25:$IY$25)</f>
        <v>0</v>
      </c>
      <c r="FL48" s="56"/>
      <c r="FM48" s="183">
        <f t="shared" si="299"/>
        <v>0</v>
      </c>
      <c r="FN48" s="183">
        <f t="shared" si="300"/>
        <v>0</v>
      </c>
      <c r="FO48" s="56"/>
      <c r="FR48" s="55">
        <f t="shared" si="301"/>
        <v>46060</v>
      </c>
      <c r="FS48" s="422"/>
      <c r="FT48" s="453">
        <f>SUMPRODUCT(PRODUCE!$B61:$DY61,PRODUCE!$EB$26:$IY$26)</f>
        <v>0</v>
      </c>
      <c r="FU48" s="422"/>
      <c r="FV48" s="452">
        <f t="shared" si="302"/>
        <v>0</v>
      </c>
      <c r="FW48" s="452">
        <f t="shared" si="303"/>
        <v>3540</v>
      </c>
      <c r="FX48" s="56"/>
      <c r="GA48" s="55">
        <f t="shared" si="304"/>
        <v>46060</v>
      </c>
      <c r="GB48" s="422"/>
      <c r="GC48" s="455">
        <f>SUMPRODUCT(PRODUCE!$B61:$DY61,PRODUCE!$EB$27:$IY$27)</f>
        <v>0</v>
      </c>
      <c r="GD48" s="422"/>
      <c r="GE48" s="454">
        <f t="shared" si="305"/>
        <v>0</v>
      </c>
      <c r="GF48" s="454">
        <f t="shared" si="306"/>
        <v>5960</v>
      </c>
      <c r="GG48" s="56"/>
      <c r="GI48" s="23"/>
      <c r="GJ48" s="55">
        <f t="shared" si="307"/>
        <v>46060</v>
      </c>
      <c r="GK48" s="422"/>
      <c r="GL48" s="457">
        <f>SUMPRODUCT(PRODUCE!$B61:$DY61,PRODUCE!$EB$28:$IY$28)</f>
        <v>0</v>
      </c>
      <c r="GM48" s="422"/>
      <c r="GN48" s="456">
        <f t="shared" si="308"/>
        <v>0</v>
      </c>
      <c r="GO48" s="456">
        <f t="shared" si="309"/>
        <v>3240</v>
      </c>
      <c r="GP48" s="56"/>
      <c r="GS48" s="55">
        <f t="shared" si="310"/>
        <v>46060</v>
      </c>
      <c r="GT48" s="56"/>
      <c r="GU48" s="196">
        <f>SUMPRODUCT(PRODUCE!$B61:$DY61,PRODUCE!$EB$29:$IY$29)</f>
        <v>0</v>
      </c>
      <c r="GV48" s="56"/>
      <c r="GW48" s="195">
        <f t="shared" si="311"/>
        <v>0</v>
      </c>
      <c r="GX48" s="195">
        <f t="shared" si="312"/>
        <v>0</v>
      </c>
      <c r="GY48" s="56"/>
      <c r="HB48" s="55">
        <f t="shared" si="313"/>
        <v>46060</v>
      </c>
      <c r="HC48" s="56"/>
      <c r="HD48" s="192">
        <f>SUMPRODUCT(PRODUCE!$B61:$DY61,PRODUCE!$EB$30:$IY$30)</f>
        <v>0</v>
      </c>
      <c r="HE48" s="56"/>
      <c r="HF48" s="191">
        <f t="shared" si="314"/>
        <v>0</v>
      </c>
      <c r="HG48" s="191">
        <f t="shared" si="315"/>
        <v>0</v>
      </c>
      <c r="HH48" s="56"/>
      <c r="HK48" s="55">
        <f t="shared" si="316"/>
        <v>46060</v>
      </c>
      <c r="HL48" s="56"/>
      <c r="HM48" s="80">
        <f>SUMPRODUCT(PRODUCE!$B61:$DY61,PRODUCE!$EB$31:$IY$31)</f>
        <v>0</v>
      </c>
      <c r="HN48" s="56"/>
      <c r="HO48" s="63">
        <f t="shared" si="317"/>
        <v>0</v>
      </c>
      <c r="HP48" s="63">
        <f t="shared" si="318"/>
        <v>0</v>
      </c>
      <c r="HQ48" s="56"/>
      <c r="HU48" s="55">
        <f t="shared" si="319"/>
        <v>46060</v>
      </c>
      <c r="HV48" s="56"/>
      <c r="HW48" s="242">
        <f>SUMPRODUCT(PRODUCE!$B61:$DY61,PRODUCE!$EB$32:$IY$32)</f>
        <v>0</v>
      </c>
      <c r="HX48" s="56">
        <v>320</v>
      </c>
      <c r="HY48" s="242">
        <f t="shared" si="320"/>
        <v>-320</v>
      </c>
      <c r="HZ48" s="242">
        <f t="shared" si="321"/>
        <v>5120</v>
      </c>
      <c r="IA48" s="56">
        <f>HX48/20</f>
        <v>16</v>
      </c>
      <c r="ID48" s="55">
        <f t="shared" si="322"/>
        <v>46060</v>
      </c>
      <c r="IE48" s="56"/>
      <c r="IF48" s="242">
        <f>SUMPRODUCT(PRODUCE!$B61:$DY61,PRODUCE!$EB$33:$IY$33)</f>
        <v>0</v>
      </c>
      <c r="IG48" s="56"/>
      <c r="IH48" s="242">
        <f t="shared" si="323"/>
        <v>0</v>
      </c>
      <c r="II48" s="242">
        <f t="shared" si="324"/>
        <v>5100</v>
      </c>
      <c r="IJ48" s="56"/>
      <c r="IM48" s="55">
        <f t="shared" si="325"/>
        <v>46060</v>
      </c>
      <c r="IN48" s="56"/>
      <c r="IO48" s="242">
        <f>SUMPRODUCT(PRODUCE!$B61:$DY61,PRODUCE!$EB$34:$IY$34)</f>
        <v>0</v>
      </c>
      <c r="IP48" s="56">
        <f>160*20</f>
        <v>3200</v>
      </c>
      <c r="IQ48" s="242">
        <f t="shared" si="326"/>
        <v>-3200</v>
      </c>
      <c r="IR48" s="242">
        <f t="shared" si="327"/>
        <v>13040</v>
      </c>
      <c r="IS48" s="56">
        <f>IP48/20</f>
        <v>160</v>
      </c>
      <c r="IV48" s="55">
        <f t="shared" si="328"/>
        <v>46060</v>
      </c>
      <c r="IW48" s="56"/>
      <c r="IX48" s="242">
        <f>SUMPRODUCT(PRODUCE!$B61:$DY61,PRODUCE!$EB$35:$IY$35)</f>
        <v>0</v>
      </c>
      <c r="IY48" s="56"/>
      <c r="IZ48" s="242">
        <f t="shared" si="329"/>
        <v>0</v>
      </c>
      <c r="JA48" s="242">
        <f t="shared" si="330"/>
        <v>13120</v>
      </c>
      <c r="JB48" s="56"/>
      <c r="JE48" s="55">
        <f t="shared" si="331"/>
        <v>46060</v>
      </c>
      <c r="JF48" s="56"/>
      <c r="JG48" s="242">
        <f>SUMPRODUCT(PRODUCE!$B61:$DY61,PRODUCE!$EB$36:$IY$36)</f>
        <v>0</v>
      </c>
      <c r="JH48" s="56"/>
      <c r="JI48" s="242">
        <f t="shared" si="332"/>
        <v>0</v>
      </c>
      <c r="JJ48" s="242">
        <f t="shared" si="333"/>
        <v>6800</v>
      </c>
      <c r="JK48" s="56"/>
      <c r="JN48" s="55">
        <f t="shared" si="334"/>
        <v>46060</v>
      </c>
      <c r="JO48" s="56"/>
      <c r="JP48" s="242">
        <f>SUMPRODUCT(PRODUCE!$B61:$DY61,PRODUCE!$EB$37:$IY$37)</f>
        <v>0</v>
      </c>
      <c r="JQ48" s="56"/>
      <c r="JR48" s="242">
        <f t="shared" si="335"/>
        <v>0</v>
      </c>
      <c r="JS48" s="242">
        <f t="shared" si="336"/>
        <v>5400</v>
      </c>
      <c r="JT48" s="56"/>
      <c r="JW48" s="55">
        <f t="shared" si="337"/>
        <v>46060</v>
      </c>
      <c r="JX48" s="56"/>
      <c r="JY48" s="242">
        <f>SUMPRODUCT(PRODUCE!$B61:$DY61,PRODUCE!$EB$38:$IY$38)</f>
        <v>1200</v>
      </c>
      <c r="JZ48" s="56">
        <f>112*20</f>
        <v>2240</v>
      </c>
      <c r="KA48" s="242">
        <f t="shared" si="338"/>
        <v>-1040</v>
      </c>
      <c r="KB48" s="242">
        <f t="shared" si="339"/>
        <v>20</v>
      </c>
      <c r="KC48" s="56"/>
      <c r="KF48" s="55">
        <f t="shared" si="340"/>
        <v>46060</v>
      </c>
      <c r="KG48" s="56"/>
      <c r="KH48" s="242">
        <f>SUMPRODUCT(PRODUCE!$B61:$DY61,PRODUCE!$EB$39:$IY$39)</f>
        <v>0</v>
      </c>
      <c r="KI48" s="56">
        <f>186*19.5</f>
        <v>3627</v>
      </c>
      <c r="KJ48" s="242">
        <f t="shared" si="341"/>
        <v>-3627</v>
      </c>
      <c r="KK48" s="242">
        <f t="shared" si="342"/>
        <v>390</v>
      </c>
      <c r="KL48" s="56"/>
      <c r="KO48" s="55">
        <f t="shared" si="343"/>
        <v>46060</v>
      </c>
      <c r="KP48" s="56">
        <f>180*18.9</f>
        <v>3401.9999999999995</v>
      </c>
      <c r="KQ48" s="242">
        <f>SUMPRODUCT(PRODUCE!$B61:$DY61,PRODUCE!$EB$40:$IY$40)</f>
        <v>0</v>
      </c>
      <c r="KR48" s="56"/>
      <c r="KS48" s="242">
        <f t="shared" si="344"/>
        <v>0</v>
      </c>
      <c r="KT48" s="242">
        <f t="shared" si="345"/>
        <v>10319.4</v>
      </c>
      <c r="KU48" s="56"/>
      <c r="KW48" s="23"/>
      <c r="KX48" s="55">
        <f t="shared" si="346"/>
        <v>46060</v>
      </c>
      <c r="KY48" s="56"/>
      <c r="KZ48" s="242">
        <f>SUMPRODUCT(PRODUCE!$B61:$DY61,PRODUCE!$EB$41:$IY$41)</f>
        <v>0</v>
      </c>
      <c r="LA48" s="56"/>
      <c r="LB48" s="242">
        <f t="shared" si="347"/>
        <v>0</v>
      </c>
      <c r="LC48" s="242">
        <f t="shared" si="348"/>
        <v>0</v>
      </c>
      <c r="LD48" s="56"/>
      <c r="LG48" s="55">
        <f t="shared" si="349"/>
        <v>46060</v>
      </c>
      <c r="LH48" s="56"/>
      <c r="LI48" s="242">
        <f>SUMPRODUCT(PRODUCE!$B61:$DY61,PRODUCE!$EB$42:$IY$42)</f>
        <v>0</v>
      </c>
      <c r="LJ48" s="56"/>
      <c r="LK48" s="242">
        <f t="shared" si="350"/>
        <v>0</v>
      </c>
      <c r="LL48" s="242">
        <f t="shared" si="351"/>
        <v>0</v>
      </c>
      <c r="LM48" s="56"/>
      <c r="LP48" s="55">
        <f t="shared" si="352"/>
        <v>46060</v>
      </c>
      <c r="LQ48" s="56"/>
      <c r="LR48" s="242">
        <f>SUMPRODUCT(PRODUCE!$B63:$DY63,PRODUCE!$EB$43:$IY$43)</f>
        <v>0</v>
      </c>
      <c r="LS48" s="56"/>
      <c r="LT48" s="242">
        <f t="shared" si="353"/>
        <v>0</v>
      </c>
      <c r="LU48" s="242">
        <f t="shared" si="354"/>
        <v>0</v>
      </c>
      <c r="LV48" s="56"/>
      <c r="LY48" s="55">
        <f t="shared" si="355"/>
        <v>46060</v>
      </c>
      <c r="LZ48" s="56"/>
      <c r="MA48" s="242">
        <f>SUMPRODUCT(PRODUCE!$B63:$DY63,PRODUCE!$EB$44:$IY$44)</f>
        <v>0</v>
      </c>
      <c r="MB48" s="56"/>
      <c r="MC48" s="242">
        <f t="shared" si="356"/>
        <v>0</v>
      </c>
      <c r="MD48" s="242">
        <f t="shared" si="357"/>
        <v>0</v>
      </c>
      <c r="ME48" s="56"/>
      <c r="MH48" s="55">
        <f t="shared" si="358"/>
        <v>46060</v>
      </c>
      <c r="MI48" s="56"/>
      <c r="MJ48" s="242">
        <f>SUMPRODUCT(PRODUCE!$B61:$DY61,PRODUCE!$EB$45:$IY$45)</f>
        <v>0</v>
      </c>
      <c r="MK48" s="56"/>
      <c r="ML48" s="242">
        <f t="shared" si="359"/>
        <v>0</v>
      </c>
      <c r="MM48" s="242">
        <f t="shared" si="360"/>
        <v>0</v>
      </c>
      <c r="MN48" s="56"/>
      <c r="MQ48" s="55">
        <f t="shared" si="361"/>
        <v>46060</v>
      </c>
      <c r="MR48" s="56"/>
      <c r="MS48" s="242">
        <f>SUMPRODUCT(PRODUCE!$B61:$DY61,PRODUCE!$EB$46:$IY$46)</f>
        <v>120</v>
      </c>
      <c r="MT48" s="56">
        <f>224+372+8+80</f>
        <v>684</v>
      </c>
      <c r="MU48" s="242">
        <f t="shared" si="362"/>
        <v>-564</v>
      </c>
      <c r="MV48" s="242">
        <f t="shared" si="363"/>
        <v>1285</v>
      </c>
      <c r="MW48" s="56"/>
      <c r="MZ48" s="55">
        <f t="shared" si="364"/>
        <v>46060</v>
      </c>
      <c r="NA48" s="56">
        <f>336+558+48+480</f>
        <v>1422</v>
      </c>
      <c r="NB48" s="242">
        <f>SUMPRODUCT(PRODUCE!$B61:$DY61,PRODUCE!$EB$47:$IY$47)</f>
        <v>180</v>
      </c>
      <c r="NC48" s="56">
        <f>336+558+48+480</f>
        <v>1422</v>
      </c>
      <c r="ND48" s="242">
        <f t="shared" si="365"/>
        <v>-1242</v>
      </c>
      <c r="NE48" s="242">
        <f t="shared" si="366"/>
        <v>0</v>
      </c>
      <c r="NF48" s="56"/>
      <c r="NI48" s="55">
        <f t="shared" si="367"/>
        <v>46060</v>
      </c>
      <c r="NJ48" s="56"/>
      <c r="NK48" s="242">
        <f>SUMPRODUCT(PRODUCE!$B61:$DY61,PRODUCE!$EB$48:$IY$48)</f>
        <v>0</v>
      </c>
      <c r="NL48" s="56"/>
      <c r="NM48" s="242">
        <f t="shared" si="368"/>
        <v>0</v>
      </c>
      <c r="NN48" s="242">
        <f t="shared" si="369"/>
        <v>0</v>
      </c>
      <c r="NO48" s="56"/>
      <c r="NR48" s="55">
        <f t="shared" si="370"/>
        <v>46060</v>
      </c>
      <c r="NS48" s="56">
        <v>1500</v>
      </c>
      <c r="NT48" s="242">
        <f>SUMPRODUCT(PRODUCE!$B61:$DY61,PRODUCE!$EB$49:$IY$49)</f>
        <v>12</v>
      </c>
      <c r="NU48" s="56">
        <f>22.4+223.2</f>
        <v>245.6</v>
      </c>
      <c r="NV48" s="242">
        <f t="shared" si="371"/>
        <v>-233.6</v>
      </c>
      <c r="NW48" s="242">
        <f t="shared" si="372"/>
        <v>2224.4</v>
      </c>
      <c r="NX48" s="56"/>
      <c r="OA48" s="55">
        <f t="shared" si="373"/>
        <v>46060</v>
      </c>
      <c r="OB48" s="56"/>
      <c r="OC48" s="242">
        <f>SUMPRODUCT(PRODUCE!$B61:$DY61,PRODUCE!$EB$50:$IY$50)</f>
        <v>0</v>
      </c>
      <c r="OD48" s="56"/>
      <c r="OE48" s="242">
        <f t="shared" si="374"/>
        <v>0</v>
      </c>
      <c r="OF48" s="242">
        <f t="shared" si="375"/>
        <v>1680.5</v>
      </c>
      <c r="OG48" s="56"/>
      <c r="OJ48" s="55">
        <f t="shared" si="376"/>
        <v>46060</v>
      </c>
      <c r="OK48" s="56">
        <v>828.8</v>
      </c>
      <c r="OL48" s="242">
        <f>SUMPRODUCT(PRODUCE!$B61:$DY61,PRODUCE!$EB$51:$IY$51)</f>
        <v>165.00000000000003</v>
      </c>
      <c r="OM48" s="56">
        <f>308+520.8</f>
        <v>828.8</v>
      </c>
      <c r="ON48" s="242">
        <f t="shared" si="377"/>
        <v>-663.8</v>
      </c>
      <c r="OO48" s="242">
        <f t="shared" si="378"/>
        <v>0</v>
      </c>
      <c r="OP48" s="56"/>
      <c r="OS48" s="55">
        <f t="shared" si="379"/>
        <v>46060</v>
      </c>
      <c r="OT48" s="56"/>
      <c r="OU48" s="242">
        <f>SUMPRODUCT(PRODUCE!$B61:$DY61,PRODUCE!$EB$52:$IY$52)</f>
        <v>0</v>
      </c>
      <c r="OV48" s="56"/>
      <c r="OW48" s="242">
        <f t="shared" si="380"/>
        <v>0</v>
      </c>
      <c r="OX48" s="242">
        <f t="shared" si="381"/>
        <v>0</v>
      </c>
      <c r="OY48" s="56"/>
      <c r="PB48" s="55">
        <f t="shared" si="382"/>
        <v>46060</v>
      </c>
      <c r="PC48" s="56">
        <f>16+160</f>
        <v>176</v>
      </c>
      <c r="PD48" s="242">
        <f>SUMPRODUCT(PRODUCE!$B61:$DY61,PRODUCE!$EB$53:$IY$53)</f>
        <v>0</v>
      </c>
      <c r="PE48" s="56">
        <f>16+160</f>
        <v>176</v>
      </c>
      <c r="PF48" s="242">
        <f t="shared" si="383"/>
        <v>-176</v>
      </c>
      <c r="PG48" s="242">
        <f t="shared" si="384"/>
        <v>0</v>
      </c>
      <c r="PH48" s="56"/>
      <c r="PK48" s="55">
        <f t="shared" si="385"/>
        <v>46060</v>
      </c>
      <c r="PL48" s="56"/>
      <c r="PM48" s="242">
        <f>SUMPRODUCT(PRODUCE!$B61:$DY61,PRODUCE!$EB$54:$IY$54)</f>
        <v>0</v>
      </c>
      <c r="PN48" s="56"/>
      <c r="PO48" s="242">
        <f t="shared" si="386"/>
        <v>0</v>
      </c>
      <c r="PP48" s="242">
        <f t="shared" si="387"/>
        <v>160</v>
      </c>
      <c r="PQ48" s="56"/>
      <c r="PT48" s="55">
        <f t="shared" si="388"/>
        <v>46060</v>
      </c>
      <c r="PU48" s="56"/>
      <c r="PV48" s="242">
        <f>SUMPRODUCT(PRODUCE!$B61:$DY61,PRODUCE!$EB$55:$IY$55)</f>
        <v>0</v>
      </c>
      <c r="PW48" s="56"/>
      <c r="PX48" s="242">
        <f t="shared" si="389"/>
        <v>0</v>
      </c>
      <c r="PY48" s="242">
        <f t="shared" si="390"/>
        <v>13.960000000000036</v>
      </c>
      <c r="PZ48" s="56"/>
      <c r="QC48" s="55">
        <f t="shared" si="391"/>
        <v>46060</v>
      </c>
      <c r="QD48" s="56"/>
      <c r="QE48" s="242">
        <f>SUMPRODUCT(PRODUCE!$B61:$DY61,PRODUCE!$EB$56:$IY$56)</f>
        <v>0</v>
      </c>
      <c r="QF48" s="56"/>
      <c r="QG48" s="242">
        <f t="shared" si="392"/>
        <v>0</v>
      </c>
      <c r="QH48" s="242">
        <f t="shared" si="393"/>
        <v>0</v>
      </c>
      <c r="QI48" s="56"/>
      <c r="QL48" s="55">
        <f t="shared" si="394"/>
        <v>46060</v>
      </c>
      <c r="QM48" s="56"/>
      <c r="QN48" s="242">
        <f>SUMPRODUCT(PRODUCE!$B61:$DY61,PRODUCE!$EB$57:$IY$57)</f>
        <v>0</v>
      </c>
      <c r="QO48" s="56"/>
      <c r="QP48" s="242">
        <f t="shared" si="395"/>
        <v>0</v>
      </c>
      <c r="QQ48" s="242">
        <f t="shared" si="396"/>
        <v>0</v>
      </c>
      <c r="QR48" s="56"/>
      <c r="QU48" s="55">
        <f t="shared" si="397"/>
        <v>46060</v>
      </c>
      <c r="QV48" s="56"/>
      <c r="QW48" s="242">
        <f>SUMPRODUCT(PRODUCE!$B61:$DY61,PRODUCE!$EB$57:$IY$57)</f>
        <v>0</v>
      </c>
      <c r="QX48" s="56"/>
      <c r="QY48" s="242">
        <f t="shared" si="398"/>
        <v>0</v>
      </c>
      <c r="QZ48" s="242">
        <f t="shared" si="399"/>
        <v>207.6</v>
      </c>
      <c r="RA48" s="56"/>
      <c r="RD48" s="55">
        <f t="shared" si="400"/>
        <v>46060</v>
      </c>
      <c r="RE48" s="56"/>
      <c r="RF48" s="242">
        <f>SUMPRODUCT(PRODUCE!$B61:$DY61,PRODUCE!$EB$58:$IY$58)</f>
        <v>0</v>
      </c>
      <c r="RG48" s="56"/>
      <c r="RH48" s="242">
        <f t="shared" si="401"/>
        <v>0</v>
      </c>
      <c r="RI48" s="242">
        <f t="shared" si="402"/>
        <v>201.8</v>
      </c>
      <c r="RJ48" s="56"/>
      <c r="RM48" s="55">
        <f t="shared" si="403"/>
        <v>46060</v>
      </c>
      <c r="RN48" s="56"/>
      <c r="RO48" s="242">
        <f>SUMPRODUCT(PRODUCE!$B61:$DY61,PRODUCE!$EB$57:$IY$57)</f>
        <v>0</v>
      </c>
      <c r="RP48" s="56"/>
      <c r="RQ48" s="242">
        <f t="shared" si="404"/>
        <v>0</v>
      </c>
      <c r="RR48" s="242">
        <f t="shared" si="405"/>
        <v>22.720000000000002</v>
      </c>
      <c r="RS48" s="56"/>
      <c r="RV48" s="55">
        <f t="shared" si="406"/>
        <v>46060</v>
      </c>
      <c r="RW48" s="56"/>
      <c r="RX48" s="242">
        <f>SUMPRODUCT(PRODUCE!$B61:$DY61,PRODUCE!$EB$57:$IY$57)</f>
        <v>0</v>
      </c>
      <c r="RY48" s="56"/>
      <c r="RZ48" s="242">
        <f t="shared" si="407"/>
        <v>0</v>
      </c>
      <c r="SA48" s="242">
        <f t="shared" si="408"/>
        <v>0</v>
      </c>
      <c r="SB48" s="56"/>
      <c r="SE48" s="55">
        <f t="shared" si="409"/>
        <v>46060</v>
      </c>
      <c r="SF48" s="56"/>
      <c r="SG48" s="242">
        <f>SUMPRODUCT(PRODUCE!$B61:$DY61,PRODUCE!$EB$57:$IY$57)</f>
        <v>0</v>
      </c>
      <c r="SH48" s="56"/>
      <c r="SI48" s="242">
        <f t="shared" si="410"/>
        <v>0</v>
      </c>
      <c r="SJ48" s="242">
        <f t="shared" si="411"/>
        <v>0</v>
      </c>
      <c r="SK48" s="56"/>
      <c r="SN48" s="55">
        <f t="shared" si="412"/>
        <v>46060</v>
      </c>
      <c r="SO48" s="56"/>
      <c r="SP48" s="242">
        <f>SUMPRODUCT(PRODUCE!$B61:$DY61,PRODUCE!$EB$57:$IY$57)</f>
        <v>0</v>
      </c>
      <c r="SQ48" s="56"/>
      <c r="SR48" s="242">
        <f t="shared" si="413"/>
        <v>0</v>
      </c>
      <c r="SS48" s="242">
        <f t="shared" si="414"/>
        <v>0</v>
      </c>
      <c r="ST48" s="56"/>
      <c r="SW48" s="55">
        <f t="shared" si="415"/>
        <v>46060</v>
      </c>
      <c r="SX48" s="56"/>
      <c r="SY48" s="242">
        <f>SUMPRODUCT(PRODUCE!$B61:$DY61,PRODUCE!$EB$57:$IY$57)</f>
        <v>0</v>
      </c>
      <c r="SZ48" s="56">
        <f>112+158</f>
        <v>270</v>
      </c>
      <c r="TA48" s="242">
        <f t="shared" si="416"/>
        <v>-270</v>
      </c>
      <c r="TB48" s="242">
        <f t="shared" si="417"/>
        <v>0</v>
      </c>
      <c r="TC48" s="56"/>
      <c r="TF48" s="55">
        <f t="shared" si="418"/>
        <v>46060</v>
      </c>
      <c r="TG48" s="56"/>
      <c r="TH48" s="242">
        <f>SUMPRODUCT(PRODUCE!$B61:$DY61,PRODUCE!$EB$57:$IY$57)</f>
        <v>0</v>
      </c>
      <c r="TI48" s="56"/>
      <c r="TJ48" s="242">
        <f t="shared" si="419"/>
        <v>0</v>
      </c>
      <c r="TK48" s="242">
        <f t="shared" si="420"/>
        <v>0</v>
      </c>
      <c r="TL48" s="56"/>
      <c r="TO48" s="55">
        <f t="shared" si="421"/>
        <v>46060</v>
      </c>
      <c r="TP48" s="56"/>
      <c r="TQ48" s="242">
        <f>SUMPRODUCT(PRODUCE!$B61:$DY61,PRODUCE!$EB$57:$IY$57)</f>
        <v>0</v>
      </c>
      <c r="TR48" s="56"/>
      <c r="TS48" s="242">
        <f t="shared" si="422"/>
        <v>0</v>
      </c>
      <c r="TT48" s="242">
        <f t="shared" si="423"/>
        <v>0</v>
      </c>
      <c r="TU48" s="56"/>
      <c r="TX48" s="55">
        <f t="shared" si="424"/>
        <v>46060</v>
      </c>
      <c r="TY48" s="56"/>
      <c r="TZ48" s="242">
        <f>SUMPRODUCT(PRODUCE!$B61:$DY61,PRODUCE!$EB$57:$IY$57)</f>
        <v>0</v>
      </c>
      <c r="UA48" s="56"/>
      <c r="UB48" s="242">
        <f t="shared" si="425"/>
        <v>0</v>
      </c>
      <c r="UC48" s="242">
        <f t="shared" si="426"/>
        <v>0</v>
      </c>
      <c r="UD48" s="56"/>
      <c r="UG48" s="55">
        <f t="shared" si="427"/>
        <v>46060</v>
      </c>
      <c r="UH48" s="56"/>
      <c r="UI48" s="242">
        <f>SUMPRODUCT(PRODUCE!$B61:$DY61,PRODUCE!$EB$57:$IY$57)</f>
        <v>0</v>
      </c>
      <c r="UJ48" s="56"/>
      <c r="UK48" s="242">
        <f t="shared" si="428"/>
        <v>0</v>
      </c>
      <c r="UL48" s="242">
        <f t="shared" si="429"/>
        <v>0</v>
      </c>
      <c r="UM48" s="56"/>
      <c r="UP48" s="55">
        <f t="shared" si="430"/>
        <v>46060</v>
      </c>
      <c r="UQ48" s="56"/>
      <c r="UR48" s="242">
        <f>SUMPRODUCT(PRODUCE!$B61:$DY61,PRODUCE!$EB$57:$IY$57)</f>
        <v>0</v>
      </c>
      <c r="US48" s="56"/>
      <c r="UT48" s="242">
        <f t="shared" si="431"/>
        <v>0</v>
      </c>
      <c r="UU48" s="242">
        <f t="shared" si="432"/>
        <v>0</v>
      </c>
      <c r="UV48" s="56"/>
      <c r="UY48" s="55">
        <f t="shared" si="433"/>
        <v>46060</v>
      </c>
      <c r="UZ48" s="56"/>
      <c r="VA48" s="242">
        <f>SUMPRODUCT(PRODUCE!$B61:$DY61,PRODUCE!$EB$57:$IY$57)</f>
        <v>0</v>
      </c>
      <c r="VB48" s="56"/>
      <c r="VC48" s="242">
        <f t="shared" si="434"/>
        <v>0</v>
      </c>
      <c r="VD48" s="242">
        <f t="shared" si="435"/>
        <v>41.600000000000023</v>
      </c>
      <c r="VE48" s="56"/>
      <c r="VH48" s="55">
        <f t="shared" si="436"/>
        <v>46060</v>
      </c>
      <c r="VI48" s="56"/>
      <c r="VJ48" s="242">
        <f>SUMPRODUCT(PRODUCE!$B61:$DY61,PRODUCE!$EB$57:$IY$57)</f>
        <v>0</v>
      </c>
      <c r="VK48" s="56"/>
      <c r="VL48" s="242">
        <f t="shared" si="437"/>
        <v>0</v>
      </c>
      <c r="VM48" s="242">
        <f t="shared" si="438"/>
        <v>0</v>
      </c>
      <c r="VN48" s="56"/>
      <c r="VQ48" s="55">
        <f t="shared" si="439"/>
        <v>46060</v>
      </c>
      <c r="VR48" s="56"/>
      <c r="VS48" s="242">
        <f>SUMPRODUCT(PRODUCE!$B61:$DY61,PRODUCE!$EB$57:$IY$57)</f>
        <v>0</v>
      </c>
      <c r="VT48" s="56"/>
      <c r="VU48" s="242">
        <f t="shared" si="440"/>
        <v>0</v>
      </c>
      <c r="VV48" s="242">
        <f t="shared" si="441"/>
        <v>0</v>
      </c>
      <c r="VW48" s="56"/>
      <c r="VZ48" s="55">
        <f t="shared" si="442"/>
        <v>46060</v>
      </c>
      <c r="WA48" s="56"/>
      <c r="WB48" s="242">
        <f>SUMPRODUCT(PRODUCE!$B61:$DY61,PRODUCE!$EB$57:$IY$57)</f>
        <v>0</v>
      </c>
      <c r="WC48" s="56"/>
      <c r="WD48" s="242">
        <f t="shared" si="443"/>
        <v>0</v>
      </c>
      <c r="WE48" s="242">
        <f t="shared" si="444"/>
        <v>0</v>
      </c>
      <c r="WF48" s="56"/>
      <c r="WI48" s="55">
        <f t="shared" si="445"/>
        <v>46060</v>
      </c>
      <c r="WJ48" s="56"/>
      <c r="WK48" s="242">
        <f>SUMPRODUCT(PRODUCE!$B61:$DY61,PRODUCE!$EB$57:$IY$57)</f>
        <v>0</v>
      </c>
      <c r="WL48" s="56"/>
      <c r="WM48" s="242">
        <f t="shared" si="446"/>
        <v>0</v>
      </c>
      <c r="WN48" s="242">
        <f t="shared" si="447"/>
        <v>9609</v>
      </c>
      <c r="WO48" s="56"/>
      <c r="WR48" s="55">
        <f t="shared" si="448"/>
        <v>46060</v>
      </c>
      <c r="WS48" s="56"/>
      <c r="WT48" s="242">
        <f>SUMPRODUCT(PRODUCE!$B61:$DY61,PRODUCE!$EB$57:$IY$57)</f>
        <v>0</v>
      </c>
      <c r="WU48" s="56"/>
      <c r="WV48" s="242">
        <f t="shared" si="449"/>
        <v>0</v>
      </c>
      <c r="WW48" s="242">
        <f t="shared" si="450"/>
        <v>8149</v>
      </c>
      <c r="WX48" s="56"/>
      <c r="XA48" s="55">
        <f t="shared" si="451"/>
        <v>46060</v>
      </c>
      <c r="XB48" s="56"/>
      <c r="XC48" s="242">
        <f>SUMPRODUCT(PRODUCE!$B61:$DY61,PRODUCE!$EB$57:$IY$57)</f>
        <v>0</v>
      </c>
      <c r="XD48" s="56"/>
      <c r="XE48" s="242">
        <f t="shared" si="452"/>
        <v>0</v>
      </c>
      <c r="XF48" s="242">
        <f t="shared" si="453"/>
        <v>590</v>
      </c>
      <c r="XG48" s="56"/>
      <c r="XJ48" s="55">
        <f t="shared" si="454"/>
        <v>46060</v>
      </c>
      <c r="XK48" s="56"/>
      <c r="XL48" s="242">
        <f>SUMPRODUCT(PRODUCE!$B61:$DY61,PRODUCE!$EB$57:$IY$57)</f>
        <v>0</v>
      </c>
      <c r="XM48" s="56">
        <v>1186</v>
      </c>
      <c r="XN48" s="242">
        <f t="shared" si="455"/>
        <v>-1186</v>
      </c>
      <c r="XO48" s="242">
        <f t="shared" si="456"/>
        <v>2090</v>
      </c>
      <c r="XP48" s="56"/>
      <c r="XS48" s="55">
        <f t="shared" si="457"/>
        <v>46060</v>
      </c>
      <c r="XT48" s="56"/>
      <c r="XU48" s="242">
        <f>SUMPRODUCT(PRODUCE!$B61:$DY61,PRODUCE!$EB$57:$IY$57)</f>
        <v>0</v>
      </c>
      <c r="XV48" s="56"/>
      <c r="XW48" s="242">
        <f t="shared" si="458"/>
        <v>0</v>
      </c>
      <c r="XX48" s="242">
        <f t="shared" si="459"/>
        <v>1901</v>
      </c>
      <c r="XY48" s="56"/>
      <c r="YB48" s="55">
        <f t="shared" si="460"/>
        <v>46060</v>
      </c>
      <c r="YC48" s="56"/>
      <c r="YD48" s="242">
        <f>SUMPRODUCT(PRODUCE!$B61:$DY61,PRODUCE!$EB$57:$IY$57)</f>
        <v>0</v>
      </c>
      <c r="YE48" s="56"/>
      <c r="YF48" s="242">
        <f t="shared" si="461"/>
        <v>0</v>
      </c>
      <c r="YG48" s="242">
        <f t="shared" si="462"/>
        <v>1370</v>
      </c>
      <c r="YH48" s="56"/>
      <c r="YK48" s="55">
        <f t="shared" si="463"/>
        <v>46060</v>
      </c>
      <c r="YL48" s="56"/>
      <c r="YM48" s="242">
        <f>SUMPRODUCT(PRODUCE!$B61:$DY61,PRODUCE!$EB$57:$IY$57)</f>
        <v>0</v>
      </c>
      <c r="YN48" s="56"/>
      <c r="YO48" s="242">
        <f t="shared" si="464"/>
        <v>0</v>
      </c>
      <c r="YP48" s="242">
        <f t="shared" si="465"/>
        <v>0</v>
      </c>
      <c r="YQ48" s="56"/>
      <c r="YT48" s="55">
        <f t="shared" si="466"/>
        <v>46060</v>
      </c>
      <c r="YU48" s="56"/>
      <c r="YV48" s="242">
        <f>SUMPRODUCT(PRODUCE!$B61:$DY61,PRODUCE!$EB$57:$IY$57)</f>
        <v>0</v>
      </c>
      <c r="YW48" s="56"/>
      <c r="YX48" s="242">
        <f t="shared" si="467"/>
        <v>0</v>
      </c>
      <c r="YY48" s="242">
        <f t="shared" si="468"/>
        <v>0</v>
      </c>
      <c r="YZ48" s="56"/>
      <c r="ZC48" s="55">
        <f t="shared" si="469"/>
        <v>46060</v>
      </c>
      <c r="ZD48" s="56"/>
      <c r="ZE48" s="242">
        <f>SUMPRODUCT(PRODUCE!$B61:$DY61,PRODUCE!$EB$57:$IY$57)</f>
        <v>0</v>
      </c>
      <c r="ZF48" s="56"/>
      <c r="ZG48" s="242">
        <f t="shared" si="470"/>
        <v>0</v>
      </c>
      <c r="ZH48" s="242">
        <f t="shared" si="471"/>
        <v>0</v>
      </c>
      <c r="ZI48" s="56"/>
      <c r="ZL48" s="55">
        <f t="shared" si="472"/>
        <v>46060</v>
      </c>
      <c r="ZM48" s="56"/>
      <c r="ZN48" s="242">
        <f>SUMPRODUCT(PRODUCE!$B61:$DY61,PRODUCE!$EB$57:$IY$57)</f>
        <v>0</v>
      </c>
      <c r="ZO48" s="56"/>
      <c r="ZP48" s="242">
        <f t="shared" si="473"/>
        <v>0</v>
      </c>
      <c r="ZQ48" s="242">
        <f t="shared" si="474"/>
        <v>0</v>
      </c>
      <c r="ZR48" s="56"/>
      <c r="ZU48" s="55">
        <f t="shared" si="475"/>
        <v>46060</v>
      </c>
      <c r="ZV48" s="56"/>
      <c r="ZW48" s="242">
        <f>SUMPRODUCT(PRODUCE!$B61:$DY61,PRODUCE!$EB$57:$IY$57)</f>
        <v>0</v>
      </c>
      <c r="ZX48" s="56"/>
      <c r="ZY48" s="242">
        <f t="shared" si="476"/>
        <v>0</v>
      </c>
      <c r="ZZ48" s="242">
        <f t="shared" si="477"/>
        <v>0</v>
      </c>
      <c r="AAA48" s="56"/>
      <c r="AAD48" s="55">
        <f t="shared" si="478"/>
        <v>46060</v>
      </c>
      <c r="AAE48" s="56"/>
      <c r="AAF48" s="242">
        <f>SUMPRODUCT(PRODUCE!$B61:$DY61,PRODUCE!$EB$57:$IY$57)</f>
        <v>0</v>
      </c>
      <c r="AAG48" s="56"/>
      <c r="AAH48" s="242">
        <f t="shared" si="479"/>
        <v>0</v>
      </c>
      <c r="AAI48" s="242">
        <f t="shared" si="480"/>
        <v>0</v>
      </c>
      <c r="AAJ48" s="56"/>
      <c r="AAM48" s="55">
        <f t="shared" si="481"/>
        <v>46060</v>
      </c>
      <c r="AAN48" s="56"/>
      <c r="AAO48" s="242">
        <f>SUMPRODUCT(PRODUCE!$B61:$DY61,PRODUCE!$EB$57:$IY$57)</f>
        <v>0</v>
      </c>
      <c r="AAP48" s="56"/>
      <c r="AAQ48" s="242">
        <f t="shared" si="482"/>
        <v>0</v>
      </c>
      <c r="AAR48" s="242">
        <f t="shared" si="483"/>
        <v>0</v>
      </c>
      <c r="AAS48" s="56"/>
      <c r="AAV48" s="55">
        <f t="shared" si="484"/>
        <v>46060</v>
      </c>
      <c r="AAW48" s="56"/>
      <c r="AAX48" s="242">
        <f>SUMPRODUCT(PRODUCE!$B61:$DY61,PRODUCE!$EB$57:$IY$57)</f>
        <v>0</v>
      </c>
      <c r="AAY48" s="56"/>
      <c r="AAZ48" s="242">
        <f t="shared" si="485"/>
        <v>0</v>
      </c>
      <c r="ABA48" s="242">
        <f t="shared" si="486"/>
        <v>0</v>
      </c>
      <c r="ABB48" s="56"/>
      <c r="ABE48" s="55">
        <f t="shared" si="487"/>
        <v>46060</v>
      </c>
      <c r="ABF48" s="56"/>
      <c r="ABG48" s="242">
        <f>SUMPRODUCT(PRODUCE!$B61:$DY61,PRODUCE!$EB$57:$IY$57)</f>
        <v>0</v>
      </c>
      <c r="ABH48" s="56"/>
      <c r="ABI48" s="242">
        <f t="shared" si="488"/>
        <v>0</v>
      </c>
      <c r="ABJ48" s="242">
        <f t="shared" si="489"/>
        <v>0</v>
      </c>
      <c r="ABK48" s="56"/>
    </row>
    <row r="49" spans="2:739" s="54" customFormat="1" ht="15" customHeight="1" outlineLevel="1">
      <c r="B49" s="478"/>
      <c r="C49" s="55">
        <v>46061</v>
      </c>
      <c r="D49" s="422"/>
      <c r="E49" s="424">
        <f>SUMPRODUCT(PRODUCE!$B62:$DY62,PRODUCE!$EB$7:$IY$7)</f>
        <v>0</v>
      </c>
      <c r="F49" s="422"/>
      <c r="G49" s="423">
        <f t="shared" si="247"/>
        <v>0</v>
      </c>
      <c r="H49" s="423">
        <f t="shared" si="245"/>
        <v>176937.8</v>
      </c>
      <c r="I49" s="289"/>
      <c r="L49" s="55">
        <f t="shared" si="246"/>
        <v>46061</v>
      </c>
      <c r="M49" s="422"/>
      <c r="N49" s="439">
        <f>SUMPRODUCT(PRODUCE!$B62:$DY62,PRODUCE!$EB$8:$IY$8)</f>
        <v>0</v>
      </c>
      <c r="O49" s="422"/>
      <c r="P49" s="438">
        <f t="shared" si="248"/>
        <v>0</v>
      </c>
      <c r="Q49" s="438">
        <f t="shared" si="249"/>
        <v>103184.40000000001</v>
      </c>
      <c r="R49" s="56"/>
      <c r="U49" s="55">
        <f t="shared" si="250"/>
        <v>46061</v>
      </c>
      <c r="V49" s="422"/>
      <c r="W49" s="441">
        <f>SUMPRODUCT(PRODUCE!$B62:$DY62,PRODUCE!$EB$9:$IY$9)</f>
        <v>0</v>
      </c>
      <c r="X49" s="422"/>
      <c r="Y49" s="440">
        <f t="shared" si="251"/>
        <v>0</v>
      </c>
      <c r="Z49" s="440">
        <f t="shared" si="252"/>
        <v>63818.699999999983</v>
      </c>
      <c r="AA49" s="56"/>
      <c r="AD49" s="55">
        <f t="shared" si="253"/>
        <v>46061</v>
      </c>
      <c r="AE49" s="422"/>
      <c r="AF49" s="443">
        <f>SUMPRODUCT(PRODUCE!$B62:$DY62,PRODUCE!$EB$10:$IY$10)</f>
        <v>0</v>
      </c>
      <c r="AG49" s="422"/>
      <c r="AH49" s="442">
        <f t="shared" si="254"/>
        <v>0</v>
      </c>
      <c r="AI49" s="442">
        <f t="shared" si="255"/>
        <v>47017.600000000013</v>
      </c>
      <c r="AJ49" s="56"/>
      <c r="AM49" s="55">
        <f t="shared" si="256"/>
        <v>46061</v>
      </c>
      <c r="AN49" s="422"/>
      <c r="AO49" s="445">
        <f>SUMPRODUCT(PRODUCE!$B62:$DY62,PRODUCE!$EB$11:$IY$11)</f>
        <v>0</v>
      </c>
      <c r="AP49" s="422"/>
      <c r="AQ49" s="444">
        <f t="shared" si="257"/>
        <v>0</v>
      </c>
      <c r="AR49" s="444">
        <f t="shared" si="258"/>
        <v>0</v>
      </c>
      <c r="AS49" s="56"/>
      <c r="AV49" s="55">
        <f t="shared" si="259"/>
        <v>46061</v>
      </c>
      <c r="AW49" s="422"/>
      <c r="AX49" s="447">
        <f>SUMPRODUCT(PRODUCE!$B62:$DY62,PRODUCE!$EB$12:$IY$12)</f>
        <v>0</v>
      </c>
      <c r="AY49" s="422"/>
      <c r="AZ49" s="446">
        <f t="shared" si="260"/>
        <v>0</v>
      </c>
      <c r="BA49" s="446">
        <f t="shared" si="261"/>
        <v>60688.099999999991</v>
      </c>
      <c r="BB49" s="56"/>
      <c r="BE49" s="55">
        <f t="shared" si="262"/>
        <v>46061</v>
      </c>
      <c r="BF49" s="422"/>
      <c r="BG49" s="449">
        <f>SUMPRODUCT(PRODUCE!$B62:$DY62,PRODUCE!$EB$13:$IY$13)</f>
        <v>0</v>
      </c>
      <c r="BH49" s="422"/>
      <c r="BI49" s="448">
        <f t="shared" si="263"/>
        <v>0</v>
      </c>
      <c r="BJ49" s="448">
        <f t="shared" si="264"/>
        <v>36972.400000000009</v>
      </c>
      <c r="BK49" s="56"/>
      <c r="BN49" s="55">
        <f t="shared" si="265"/>
        <v>46061</v>
      </c>
      <c r="BO49" s="422"/>
      <c r="BP49" s="451">
        <f>SUMPRODUCT(PRODUCE!$B62:$DY62,PRODUCE!$EB$14:$IY$14)</f>
        <v>0</v>
      </c>
      <c r="BQ49" s="422"/>
      <c r="BR49" s="450">
        <f t="shared" si="266"/>
        <v>0</v>
      </c>
      <c r="BS49" s="450">
        <f t="shared" si="267"/>
        <v>0</v>
      </c>
      <c r="BT49" s="56"/>
      <c r="BW49" s="55">
        <f t="shared" si="268"/>
        <v>46061</v>
      </c>
      <c r="BX49" s="56"/>
      <c r="BY49" s="81">
        <f>SUMPRODUCT(PRODUCE!$B62:$DY62,PRODUCE!$EB$15:$IY$15)</f>
        <v>0</v>
      </c>
      <c r="BZ49" s="56"/>
      <c r="CA49" s="65">
        <f t="shared" si="269"/>
        <v>0</v>
      </c>
      <c r="CB49" s="65">
        <f t="shared" si="270"/>
        <v>1487.1</v>
      </c>
      <c r="CC49" s="56"/>
      <c r="CF49" s="55">
        <f t="shared" si="271"/>
        <v>46061</v>
      </c>
      <c r="CG49" s="56"/>
      <c r="CH49" s="82">
        <f>SUMPRODUCT(PRODUCE!$B62:$DY62,PRODUCE!$EB$16:$IY$16)</f>
        <v>0</v>
      </c>
      <c r="CI49" s="56"/>
      <c r="CJ49" s="66">
        <f t="shared" si="272"/>
        <v>0</v>
      </c>
      <c r="CK49" s="66">
        <f t="shared" si="273"/>
        <v>0</v>
      </c>
      <c r="CL49" s="56"/>
      <c r="CO49" s="55">
        <f t="shared" si="274"/>
        <v>46061</v>
      </c>
      <c r="CP49" s="422"/>
      <c r="CQ49" s="471">
        <f>SUMPRODUCT(PRODUCE!$B62:$DY62,PRODUCE!$EB$17:$IY$17)</f>
        <v>0</v>
      </c>
      <c r="CR49" s="422"/>
      <c r="CS49" s="470">
        <f t="shared" si="275"/>
        <v>0</v>
      </c>
      <c r="CT49" s="470">
        <f t="shared" si="276"/>
        <v>0</v>
      </c>
      <c r="CU49" s="56"/>
      <c r="CX49" s="55">
        <f t="shared" si="277"/>
        <v>46061</v>
      </c>
      <c r="CY49" s="56"/>
      <c r="CZ49" s="136">
        <f>SUMPRODUCT(PRODUCE!$B62:$DY62,PRODUCE!$EB$18:$IY$18)</f>
        <v>0</v>
      </c>
      <c r="DA49" s="56"/>
      <c r="DB49" s="133">
        <f t="shared" si="278"/>
        <v>0</v>
      </c>
      <c r="DC49" s="133">
        <f t="shared" si="279"/>
        <v>16209.8</v>
      </c>
      <c r="DD49" s="56"/>
      <c r="DG49" s="55">
        <f t="shared" si="280"/>
        <v>46061</v>
      </c>
      <c r="DH49" s="56"/>
      <c r="DI49" s="150">
        <f>SUMPRODUCT(PRODUCE!$B62:$DY62,PRODUCE!$EB$19:$IY$19)</f>
        <v>0</v>
      </c>
      <c r="DJ49" s="56"/>
      <c r="DK49" s="147">
        <f t="shared" si="281"/>
        <v>0</v>
      </c>
      <c r="DL49" s="147">
        <f t="shared" si="282"/>
        <v>18250.399999999998</v>
      </c>
      <c r="DM49" s="56"/>
      <c r="DP49" s="55">
        <f t="shared" si="283"/>
        <v>46061</v>
      </c>
      <c r="DQ49" s="56"/>
      <c r="DR49" s="58">
        <f>SUMPRODUCT(PRODUCE!$B62:$DY62,PRODUCE!$EB$20:$IY$20)</f>
        <v>0</v>
      </c>
      <c r="DS49" s="56"/>
      <c r="DT49" s="57">
        <f t="shared" si="284"/>
        <v>0</v>
      </c>
      <c r="DU49" s="57">
        <f t="shared" si="285"/>
        <v>0</v>
      </c>
      <c r="DV49" s="56"/>
      <c r="DY49" s="55">
        <f t="shared" si="286"/>
        <v>46061</v>
      </c>
      <c r="DZ49" s="56"/>
      <c r="EA49" s="159">
        <f>SUMPRODUCT(PRODUCE!$B62:$DY62,PRODUCE!$EB$21:$IY$21)</f>
        <v>0</v>
      </c>
      <c r="EB49" s="56"/>
      <c r="EC49" s="157">
        <f t="shared" si="287"/>
        <v>0</v>
      </c>
      <c r="ED49" s="157">
        <f t="shared" si="288"/>
        <v>3619.6</v>
      </c>
      <c r="EE49" s="56"/>
      <c r="EH49" s="55">
        <f t="shared" si="289"/>
        <v>46061</v>
      </c>
      <c r="EI49" s="56"/>
      <c r="EJ49" s="164">
        <f>SUMPRODUCT(PRODUCE!$B62:$DY62,PRODUCE!$EB$22:$IY$22)</f>
        <v>0</v>
      </c>
      <c r="EK49" s="56"/>
      <c r="EL49" s="162">
        <f t="shared" si="290"/>
        <v>0</v>
      </c>
      <c r="EM49" s="162">
        <f t="shared" si="291"/>
        <v>0</v>
      </c>
      <c r="EN49" s="56"/>
      <c r="EQ49" s="55">
        <f t="shared" si="292"/>
        <v>46061</v>
      </c>
      <c r="ER49" s="56"/>
      <c r="ES49" s="171">
        <f>SUMPRODUCT(PRODUCE!$B62:$DY62,PRODUCE!$EB$23:$IY$23)</f>
        <v>0</v>
      </c>
      <c r="ET49" s="56"/>
      <c r="EU49" s="135">
        <f t="shared" si="293"/>
        <v>0</v>
      </c>
      <c r="EV49" s="135">
        <f t="shared" si="294"/>
        <v>0</v>
      </c>
      <c r="EW49" s="56"/>
      <c r="EZ49" s="55">
        <f t="shared" si="295"/>
        <v>46061</v>
      </c>
      <c r="FA49" s="56"/>
      <c r="FB49" s="178">
        <f>SUMPRODUCT(PRODUCE!$B62:$DY62,PRODUCE!$EB$24:$IY$24)</f>
        <v>0</v>
      </c>
      <c r="FC49" s="56"/>
      <c r="FD49" s="175">
        <f t="shared" si="296"/>
        <v>0</v>
      </c>
      <c r="FE49" s="175">
        <f t="shared" si="297"/>
        <v>0</v>
      </c>
      <c r="FF49" s="56"/>
      <c r="FI49" s="55">
        <f t="shared" si="298"/>
        <v>46061</v>
      </c>
      <c r="FJ49" s="56"/>
      <c r="FK49" s="184">
        <f>SUMPRODUCT(PRODUCE!$B62:$DY62,PRODUCE!$EB$25:$IY$25)</f>
        <v>0</v>
      </c>
      <c r="FL49" s="56"/>
      <c r="FM49" s="183">
        <f t="shared" si="299"/>
        <v>0</v>
      </c>
      <c r="FN49" s="183">
        <f t="shared" si="300"/>
        <v>0</v>
      </c>
      <c r="FO49" s="56"/>
      <c r="FR49" s="55">
        <f t="shared" si="301"/>
        <v>46061</v>
      </c>
      <c r="FS49" s="422"/>
      <c r="FT49" s="453">
        <f>SUMPRODUCT(PRODUCE!$B62:$DY62,PRODUCE!$EB$26:$IY$26)</f>
        <v>0</v>
      </c>
      <c r="FU49" s="422"/>
      <c r="FV49" s="452">
        <f t="shared" si="302"/>
        <v>0</v>
      </c>
      <c r="FW49" s="452">
        <f t="shared" si="303"/>
        <v>3540</v>
      </c>
      <c r="FX49" s="56"/>
      <c r="GA49" s="55">
        <f t="shared" si="304"/>
        <v>46061</v>
      </c>
      <c r="GB49" s="422"/>
      <c r="GC49" s="455">
        <f>SUMPRODUCT(PRODUCE!$B62:$DY62,PRODUCE!$EB$27:$IY$27)</f>
        <v>0</v>
      </c>
      <c r="GD49" s="422"/>
      <c r="GE49" s="454">
        <f t="shared" si="305"/>
        <v>0</v>
      </c>
      <c r="GF49" s="454">
        <f t="shared" si="306"/>
        <v>5960</v>
      </c>
      <c r="GG49" s="56"/>
      <c r="GI49" s="23"/>
      <c r="GJ49" s="55">
        <f t="shared" si="307"/>
        <v>46061</v>
      </c>
      <c r="GK49" s="422"/>
      <c r="GL49" s="457">
        <f>SUMPRODUCT(PRODUCE!$B62:$DY62,PRODUCE!$EB$28:$IY$28)</f>
        <v>0</v>
      </c>
      <c r="GM49" s="422"/>
      <c r="GN49" s="456">
        <f t="shared" si="308"/>
        <v>0</v>
      </c>
      <c r="GO49" s="456">
        <f t="shared" si="309"/>
        <v>3240</v>
      </c>
      <c r="GP49" s="56"/>
      <c r="GS49" s="55">
        <f t="shared" si="310"/>
        <v>46061</v>
      </c>
      <c r="GT49" s="56"/>
      <c r="GU49" s="196">
        <f>SUMPRODUCT(PRODUCE!$B62:$DY62,PRODUCE!$EB$29:$IY$29)</f>
        <v>0</v>
      </c>
      <c r="GV49" s="56"/>
      <c r="GW49" s="195">
        <f t="shared" si="311"/>
        <v>0</v>
      </c>
      <c r="GX49" s="195">
        <f t="shared" si="312"/>
        <v>0</v>
      </c>
      <c r="GY49" s="56"/>
      <c r="HB49" s="55">
        <f t="shared" si="313"/>
        <v>46061</v>
      </c>
      <c r="HC49" s="56"/>
      <c r="HD49" s="192">
        <f>SUMPRODUCT(PRODUCE!$B62:$DY62,PRODUCE!$EB$30:$IY$30)</f>
        <v>0</v>
      </c>
      <c r="HE49" s="56"/>
      <c r="HF49" s="191">
        <f t="shared" si="314"/>
        <v>0</v>
      </c>
      <c r="HG49" s="191">
        <f t="shared" si="315"/>
        <v>0</v>
      </c>
      <c r="HH49" s="56"/>
      <c r="HK49" s="55">
        <f t="shared" si="316"/>
        <v>46061</v>
      </c>
      <c r="HL49" s="56"/>
      <c r="HM49" s="80">
        <f>SUMPRODUCT(PRODUCE!$B62:$DY62,PRODUCE!$EB$31:$IY$31)</f>
        <v>0</v>
      </c>
      <c r="HN49" s="56"/>
      <c r="HO49" s="63">
        <f t="shared" si="317"/>
        <v>0</v>
      </c>
      <c r="HP49" s="63">
        <f t="shared" si="318"/>
        <v>0</v>
      </c>
      <c r="HQ49" s="56"/>
      <c r="HU49" s="55">
        <f t="shared" si="319"/>
        <v>46061</v>
      </c>
      <c r="HV49" s="56"/>
      <c r="HW49" s="242">
        <f>SUMPRODUCT(PRODUCE!$B62:$DY62,PRODUCE!$EB$32:$IY$32)</f>
        <v>0</v>
      </c>
      <c r="HX49" s="56"/>
      <c r="HY49" s="242">
        <f t="shared" si="320"/>
        <v>0</v>
      </c>
      <c r="HZ49" s="242">
        <f t="shared" si="321"/>
        <v>5120</v>
      </c>
      <c r="IA49" s="56"/>
      <c r="ID49" s="55">
        <f t="shared" si="322"/>
        <v>46061</v>
      </c>
      <c r="IE49" s="56"/>
      <c r="IF49" s="242">
        <f>SUMPRODUCT(PRODUCE!$B62:$DY62,PRODUCE!$EB$33:$IY$33)</f>
        <v>0</v>
      </c>
      <c r="IG49" s="56"/>
      <c r="IH49" s="242">
        <f t="shared" si="323"/>
        <v>0</v>
      </c>
      <c r="II49" s="242">
        <f t="shared" si="324"/>
        <v>5100</v>
      </c>
      <c r="IJ49" s="56"/>
      <c r="IM49" s="55">
        <f t="shared" si="325"/>
        <v>46061</v>
      </c>
      <c r="IN49" s="56"/>
      <c r="IO49" s="242">
        <f>SUMPRODUCT(PRODUCE!$B62:$DY62,PRODUCE!$EB$34:$IY$34)</f>
        <v>0</v>
      </c>
      <c r="IP49" s="56"/>
      <c r="IQ49" s="242">
        <f t="shared" si="326"/>
        <v>0</v>
      </c>
      <c r="IR49" s="242">
        <f t="shared" si="327"/>
        <v>13040</v>
      </c>
      <c r="IS49" s="56"/>
      <c r="IV49" s="55">
        <f t="shared" si="328"/>
        <v>46061</v>
      </c>
      <c r="IW49" s="56"/>
      <c r="IX49" s="242">
        <f>SUMPRODUCT(PRODUCE!$B62:$DY62,PRODUCE!$EB$35:$IY$35)</f>
        <v>0</v>
      </c>
      <c r="IY49" s="56"/>
      <c r="IZ49" s="242">
        <f t="shared" si="329"/>
        <v>0</v>
      </c>
      <c r="JA49" s="242">
        <f t="shared" si="330"/>
        <v>13120</v>
      </c>
      <c r="JB49" s="56"/>
      <c r="JE49" s="55">
        <f t="shared" si="331"/>
        <v>46061</v>
      </c>
      <c r="JF49" s="56"/>
      <c r="JG49" s="242">
        <f>SUMPRODUCT(PRODUCE!$B62:$DY62,PRODUCE!$EB$36:$IY$36)</f>
        <v>0</v>
      </c>
      <c r="JH49" s="56"/>
      <c r="JI49" s="242">
        <f t="shared" si="332"/>
        <v>0</v>
      </c>
      <c r="JJ49" s="242">
        <f t="shared" si="333"/>
        <v>6800</v>
      </c>
      <c r="JK49" s="56"/>
      <c r="JN49" s="55">
        <f t="shared" si="334"/>
        <v>46061</v>
      </c>
      <c r="JO49" s="56"/>
      <c r="JP49" s="242">
        <f>SUMPRODUCT(PRODUCE!$B62:$DY62,PRODUCE!$EB$37:$IY$37)</f>
        <v>0</v>
      </c>
      <c r="JQ49" s="56"/>
      <c r="JR49" s="242">
        <f t="shared" si="335"/>
        <v>0</v>
      </c>
      <c r="JS49" s="242">
        <f t="shared" si="336"/>
        <v>5400</v>
      </c>
      <c r="JT49" s="56"/>
      <c r="JW49" s="55">
        <f t="shared" si="337"/>
        <v>46061</v>
      </c>
      <c r="JX49" s="56"/>
      <c r="JY49" s="242">
        <f>SUMPRODUCT(PRODUCE!$B62:$DY62,PRODUCE!$EB$38:$IY$38)</f>
        <v>0</v>
      </c>
      <c r="JZ49" s="56"/>
      <c r="KA49" s="242">
        <f t="shared" si="338"/>
        <v>0</v>
      </c>
      <c r="KB49" s="242">
        <f t="shared" si="339"/>
        <v>20</v>
      </c>
      <c r="KC49" s="56"/>
      <c r="KF49" s="55">
        <f t="shared" si="340"/>
        <v>46061</v>
      </c>
      <c r="KG49" s="56"/>
      <c r="KH49" s="242">
        <f>SUMPRODUCT(PRODUCE!$B62:$DY62,PRODUCE!$EB$39:$IY$39)</f>
        <v>0</v>
      </c>
      <c r="KI49" s="56"/>
      <c r="KJ49" s="242">
        <f t="shared" si="341"/>
        <v>0</v>
      </c>
      <c r="KK49" s="242">
        <f t="shared" si="342"/>
        <v>390</v>
      </c>
      <c r="KL49" s="56"/>
      <c r="KO49" s="55">
        <f t="shared" si="343"/>
        <v>46061</v>
      </c>
      <c r="KP49" s="56"/>
      <c r="KQ49" s="242">
        <f>SUMPRODUCT(PRODUCE!$B62:$DY62,PRODUCE!$EB$40:$IY$40)</f>
        <v>0</v>
      </c>
      <c r="KR49" s="56"/>
      <c r="KS49" s="242">
        <f t="shared" si="344"/>
        <v>0</v>
      </c>
      <c r="KT49" s="242">
        <f t="shared" si="345"/>
        <v>10319.4</v>
      </c>
      <c r="KU49" s="56"/>
      <c r="KW49" s="23"/>
      <c r="KX49" s="55">
        <f t="shared" si="346"/>
        <v>46061</v>
      </c>
      <c r="KY49" s="56"/>
      <c r="KZ49" s="242">
        <f>SUMPRODUCT(PRODUCE!$B62:$DY62,PRODUCE!$EB$41:$IY$41)</f>
        <v>0</v>
      </c>
      <c r="LA49" s="56"/>
      <c r="LB49" s="242">
        <f t="shared" si="347"/>
        <v>0</v>
      </c>
      <c r="LC49" s="242">
        <f t="shared" si="348"/>
        <v>0</v>
      </c>
      <c r="LD49" s="56"/>
      <c r="LG49" s="55">
        <f t="shared" si="349"/>
        <v>46061</v>
      </c>
      <c r="LH49" s="56"/>
      <c r="LI49" s="242">
        <f>SUMPRODUCT(PRODUCE!$B62:$DY62,PRODUCE!$EB$42:$IY$42)</f>
        <v>0</v>
      </c>
      <c r="LJ49" s="56"/>
      <c r="LK49" s="242">
        <f t="shared" si="350"/>
        <v>0</v>
      </c>
      <c r="LL49" s="242">
        <f t="shared" si="351"/>
        <v>0</v>
      </c>
      <c r="LM49" s="56"/>
      <c r="LP49" s="55">
        <f t="shared" si="352"/>
        <v>46061</v>
      </c>
      <c r="LQ49" s="56"/>
      <c r="LR49" s="242">
        <f>SUMPRODUCT(PRODUCE!$B64:$DY64,PRODUCE!$EB$43:$IY$43)</f>
        <v>0</v>
      </c>
      <c r="LS49" s="56"/>
      <c r="LT49" s="242">
        <f t="shared" si="353"/>
        <v>0</v>
      </c>
      <c r="LU49" s="242">
        <f t="shared" si="354"/>
        <v>0</v>
      </c>
      <c r="LV49" s="56"/>
      <c r="LY49" s="55">
        <f t="shared" si="355"/>
        <v>46061</v>
      </c>
      <c r="LZ49" s="56"/>
      <c r="MA49" s="242">
        <f>SUMPRODUCT(PRODUCE!$B64:$DY64,PRODUCE!$EB$44:$IY$44)</f>
        <v>0</v>
      </c>
      <c r="MB49" s="56"/>
      <c r="MC49" s="242">
        <f t="shared" si="356"/>
        <v>0</v>
      </c>
      <c r="MD49" s="242">
        <f t="shared" si="357"/>
        <v>0</v>
      </c>
      <c r="ME49" s="56"/>
      <c r="MH49" s="55">
        <f t="shared" si="358"/>
        <v>46061</v>
      </c>
      <c r="MI49" s="56"/>
      <c r="MJ49" s="242">
        <f>SUMPRODUCT(PRODUCE!$B62:$DY62,PRODUCE!$EB$45:$IY$45)</f>
        <v>0</v>
      </c>
      <c r="MK49" s="56"/>
      <c r="ML49" s="242">
        <f t="shared" si="359"/>
        <v>0</v>
      </c>
      <c r="MM49" s="242">
        <f t="shared" si="360"/>
        <v>0</v>
      </c>
      <c r="MN49" s="56"/>
      <c r="MQ49" s="55">
        <f t="shared" si="361"/>
        <v>46061</v>
      </c>
      <c r="MR49" s="56"/>
      <c r="MS49" s="242">
        <f>SUMPRODUCT(PRODUCE!$B62:$DY62,PRODUCE!$EB$46:$IY$46)</f>
        <v>0</v>
      </c>
      <c r="MT49" s="56"/>
      <c r="MU49" s="242">
        <f t="shared" si="362"/>
        <v>0</v>
      </c>
      <c r="MV49" s="242">
        <f t="shared" si="363"/>
        <v>1285</v>
      </c>
      <c r="MW49" s="56"/>
      <c r="MZ49" s="55">
        <f t="shared" si="364"/>
        <v>46061</v>
      </c>
      <c r="NA49" s="56"/>
      <c r="NB49" s="242">
        <f>SUMPRODUCT(PRODUCE!$B62:$DY62,PRODUCE!$EB$47:$IY$47)</f>
        <v>0</v>
      </c>
      <c r="NC49" s="56"/>
      <c r="ND49" s="242">
        <f t="shared" si="365"/>
        <v>0</v>
      </c>
      <c r="NE49" s="242">
        <f t="shared" si="366"/>
        <v>0</v>
      </c>
      <c r="NF49" s="56"/>
      <c r="NI49" s="55">
        <f t="shared" si="367"/>
        <v>46061</v>
      </c>
      <c r="NJ49" s="56"/>
      <c r="NK49" s="242">
        <f>SUMPRODUCT(PRODUCE!$B62:$DY62,PRODUCE!$EB$48:$IY$48)</f>
        <v>0</v>
      </c>
      <c r="NL49" s="56"/>
      <c r="NM49" s="242">
        <f t="shared" si="368"/>
        <v>0</v>
      </c>
      <c r="NN49" s="242">
        <f t="shared" si="369"/>
        <v>0</v>
      </c>
      <c r="NO49" s="56"/>
      <c r="NR49" s="55">
        <f t="shared" si="370"/>
        <v>46061</v>
      </c>
      <c r="NS49" s="56"/>
      <c r="NT49" s="242">
        <f>SUMPRODUCT(PRODUCE!$B62:$DY62,PRODUCE!$EB$49:$IY$49)</f>
        <v>0</v>
      </c>
      <c r="NU49" s="56"/>
      <c r="NV49" s="242">
        <f t="shared" si="371"/>
        <v>0</v>
      </c>
      <c r="NW49" s="242">
        <f t="shared" si="372"/>
        <v>2224.4</v>
      </c>
      <c r="NX49" s="56"/>
      <c r="OA49" s="55">
        <f t="shared" si="373"/>
        <v>46061</v>
      </c>
      <c r="OB49" s="56"/>
      <c r="OC49" s="242">
        <f>SUMPRODUCT(PRODUCE!$B62:$DY62,PRODUCE!$EB$50:$IY$50)</f>
        <v>0</v>
      </c>
      <c r="OD49" s="56"/>
      <c r="OE49" s="242">
        <f t="shared" si="374"/>
        <v>0</v>
      </c>
      <c r="OF49" s="242">
        <f t="shared" si="375"/>
        <v>1680.5</v>
      </c>
      <c r="OG49" s="56"/>
      <c r="OJ49" s="55">
        <f t="shared" si="376"/>
        <v>46061</v>
      </c>
      <c r="OK49" s="56"/>
      <c r="OL49" s="242">
        <f>SUMPRODUCT(PRODUCE!$B62:$DY62,PRODUCE!$EB$51:$IY$51)</f>
        <v>0</v>
      </c>
      <c r="OM49" s="56"/>
      <c r="ON49" s="242">
        <f t="shared" si="377"/>
        <v>0</v>
      </c>
      <c r="OO49" s="242">
        <f t="shared" si="378"/>
        <v>0</v>
      </c>
      <c r="OP49" s="56"/>
      <c r="OS49" s="55">
        <f t="shared" si="379"/>
        <v>46061</v>
      </c>
      <c r="OT49" s="56"/>
      <c r="OU49" s="242">
        <f>SUMPRODUCT(PRODUCE!$B62:$DY62,PRODUCE!$EB$52:$IY$52)</f>
        <v>0</v>
      </c>
      <c r="OV49" s="56"/>
      <c r="OW49" s="242">
        <f t="shared" si="380"/>
        <v>0</v>
      </c>
      <c r="OX49" s="242">
        <f t="shared" si="381"/>
        <v>0</v>
      </c>
      <c r="OY49" s="56"/>
      <c r="PB49" s="55">
        <f t="shared" si="382"/>
        <v>46061</v>
      </c>
      <c r="PC49" s="56"/>
      <c r="PD49" s="242">
        <f>SUMPRODUCT(PRODUCE!$B62:$DY62,PRODUCE!$EB$53:$IY$53)</f>
        <v>0</v>
      </c>
      <c r="PE49" s="56"/>
      <c r="PF49" s="242">
        <f t="shared" si="383"/>
        <v>0</v>
      </c>
      <c r="PG49" s="242">
        <f t="shared" si="384"/>
        <v>0</v>
      </c>
      <c r="PH49" s="56"/>
      <c r="PK49" s="55">
        <f t="shared" si="385"/>
        <v>46061</v>
      </c>
      <c r="PL49" s="56"/>
      <c r="PM49" s="242">
        <f>SUMPRODUCT(PRODUCE!$B62:$DY62,PRODUCE!$EB$54:$IY$54)</f>
        <v>0</v>
      </c>
      <c r="PN49" s="56"/>
      <c r="PO49" s="242">
        <f t="shared" si="386"/>
        <v>0</v>
      </c>
      <c r="PP49" s="242">
        <f t="shared" si="387"/>
        <v>160</v>
      </c>
      <c r="PQ49" s="56"/>
      <c r="PT49" s="55">
        <f t="shared" si="388"/>
        <v>46061</v>
      </c>
      <c r="PU49" s="56"/>
      <c r="PV49" s="242">
        <f>SUMPRODUCT(PRODUCE!$B62:$DY62,PRODUCE!$EB$55:$IY$55)</f>
        <v>0</v>
      </c>
      <c r="PW49" s="56"/>
      <c r="PX49" s="242">
        <f t="shared" si="389"/>
        <v>0</v>
      </c>
      <c r="PY49" s="242">
        <f t="shared" si="390"/>
        <v>13.960000000000036</v>
      </c>
      <c r="PZ49" s="56"/>
      <c r="QC49" s="55">
        <f t="shared" si="391"/>
        <v>46061</v>
      </c>
      <c r="QD49" s="56"/>
      <c r="QE49" s="242">
        <f>SUMPRODUCT(PRODUCE!$B62:$DY62,PRODUCE!$EB$56:$IY$56)</f>
        <v>0</v>
      </c>
      <c r="QF49" s="56"/>
      <c r="QG49" s="242">
        <f t="shared" si="392"/>
        <v>0</v>
      </c>
      <c r="QH49" s="242">
        <f t="shared" si="393"/>
        <v>0</v>
      </c>
      <c r="QI49" s="56"/>
      <c r="QL49" s="55">
        <f t="shared" si="394"/>
        <v>46061</v>
      </c>
      <c r="QM49" s="56"/>
      <c r="QN49" s="242">
        <f>SUMPRODUCT(PRODUCE!$B62:$DY62,PRODUCE!$EB$57:$IY$57)</f>
        <v>0</v>
      </c>
      <c r="QO49" s="56"/>
      <c r="QP49" s="242">
        <f t="shared" si="395"/>
        <v>0</v>
      </c>
      <c r="QQ49" s="242">
        <f t="shared" si="396"/>
        <v>0</v>
      </c>
      <c r="QR49" s="56"/>
      <c r="QU49" s="55">
        <f t="shared" si="397"/>
        <v>46061</v>
      </c>
      <c r="QV49" s="56"/>
      <c r="QW49" s="242">
        <f>SUMPRODUCT(PRODUCE!$B62:$DY62,PRODUCE!$EB$57:$IY$57)</f>
        <v>0</v>
      </c>
      <c r="QX49" s="56"/>
      <c r="QY49" s="242">
        <f t="shared" si="398"/>
        <v>0</v>
      </c>
      <c r="QZ49" s="242">
        <f t="shared" si="399"/>
        <v>207.6</v>
      </c>
      <c r="RA49" s="56"/>
      <c r="RD49" s="55">
        <f t="shared" si="400"/>
        <v>46061</v>
      </c>
      <c r="RE49" s="56"/>
      <c r="RF49" s="242">
        <f>SUMPRODUCT(PRODUCE!$B62:$DY62,PRODUCE!$EB$58:$IY$58)</f>
        <v>0</v>
      </c>
      <c r="RG49" s="56"/>
      <c r="RH49" s="242">
        <f t="shared" si="401"/>
        <v>0</v>
      </c>
      <c r="RI49" s="242">
        <f t="shared" si="402"/>
        <v>201.8</v>
      </c>
      <c r="RJ49" s="56"/>
      <c r="RM49" s="55">
        <f t="shared" si="403"/>
        <v>46061</v>
      </c>
      <c r="RN49" s="56"/>
      <c r="RO49" s="242">
        <f>SUMPRODUCT(PRODUCE!$B62:$DY62,PRODUCE!$EB$57:$IY$57)</f>
        <v>0</v>
      </c>
      <c r="RP49" s="56"/>
      <c r="RQ49" s="242">
        <f t="shared" si="404"/>
        <v>0</v>
      </c>
      <c r="RR49" s="242">
        <f t="shared" si="405"/>
        <v>22.720000000000002</v>
      </c>
      <c r="RS49" s="56"/>
      <c r="RV49" s="55">
        <f t="shared" si="406"/>
        <v>46061</v>
      </c>
      <c r="RW49" s="56"/>
      <c r="RX49" s="242">
        <f>SUMPRODUCT(PRODUCE!$B62:$DY62,PRODUCE!$EB$57:$IY$57)</f>
        <v>0</v>
      </c>
      <c r="RY49" s="56"/>
      <c r="RZ49" s="242">
        <f t="shared" si="407"/>
        <v>0</v>
      </c>
      <c r="SA49" s="242">
        <f t="shared" si="408"/>
        <v>0</v>
      </c>
      <c r="SB49" s="56"/>
      <c r="SE49" s="55">
        <f t="shared" si="409"/>
        <v>46061</v>
      </c>
      <c r="SF49" s="56"/>
      <c r="SG49" s="242">
        <f>SUMPRODUCT(PRODUCE!$B62:$DY62,PRODUCE!$EB$57:$IY$57)</f>
        <v>0</v>
      </c>
      <c r="SH49" s="56"/>
      <c r="SI49" s="242">
        <f t="shared" si="410"/>
        <v>0</v>
      </c>
      <c r="SJ49" s="242">
        <f t="shared" si="411"/>
        <v>0</v>
      </c>
      <c r="SK49" s="56"/>
      <c r="SN49" s="55">
        <f t="shared" si="412"/>
        <v>46061</v>
      </c>
      <c r="SO49" s="56"/>
      <c r="SP49" s="242">
        <f>SUMPRODUCT(PRODUCE!$B62:$DY62,PRODUCE!$EB$57:$IY$57)</f>
        <v>0</v>
      </c>
      <c r="SQ49" s="56"/>
      <c r="SR49" s="242">
        <f t="shared" si="413"/>
        <v>0</v>
      </c>
      <c r="SS49" s="242">
        <f t="shared" si="414"/>
        <v>0</v>
      </c>
      <c r="ST49" s="56"/>
      <c r="SW49" s="55">
        <f t="shared" si="415"/>
        <v>46061</v>
      </c>
      <c r="SX49" s="56"/>
      <c r="SY49" s="242">
        <f>SUMPRODUCT(PRODUCE!$B62:$DY62,PRODUCE!$EB$57:$IY$57)</f>
        <v>0</v>
      </c>
      <c r="SZ49" s="56"/>
      <c r="TA49" s="242">
        <f t="shared" si="416"/>
        <v>0</v>
      </c>
      <c r="TB49" s="242">
        <f t="shared" si="417"/>
        <v>0</v>
      </c>
      <c r="TC49" s="56"/>
      <c r="TF49" s="55">
        <f t="shared" si="418"/>
        <v>46061</v>
      </c>
      <c r="TG49" s="56"/>
      <c r="TH49" s="242">
        <f>SUMPRODUCT(PRODUCE!$B62:$DY62,PRODUCE!$EB$57:$IY$57)</f>
        <v>0</v>
      </c>
      <c r="TI49" s="56"/>
      <c r="TJ49" s="242">
        <f t="shared" si="419"/>
        <v>0</v>
      </c>
      <c r="TK49" s="242">
        <f t="shared" si="420"/>
        <v>0</v>
      </c>
      <c r="TL49" s="56"/>
      <c r="TO49" s="55">
        <f t="shared" si="421"/>
        <v>46061</v>
      </c>
      <c r="TP49" s="56"/>
      <c r="TQ49" s="242">
        <f>SUMPRODUCT(PRODUCE!$B62:$DY62,PRODUCE!$EB$57:$IY$57)</f>
        <v>0</v>
      </c>
      <c r="TR49" s="56"/>
      <c r="TS49" s="242">
        <f t="shared" si="422"/>
        <v>0</v>
      </c>
      <c r="TT49" s="242">
        <f t="shared" si="423"/>
        <v>0</v>
      </c>
      <c r="TU49" s="56"/>
      <c r="TX49" s="55">
        <f t="shared" si="424"/>
        <v>46061</v>
      </c>
      <c r="TY49" s="56"/>
      <c r="TZ49" s="242">
        <f>SUMPRODUCT(PRODUCE!$B62:$DY62,PRODUCE!$EB$57:$IY$57)</f>
        <v>0</v>
      </c>
      <c r="UA49" s="56"/>
      <c r="UB49" s="242">
        <f t="shared" si="425"/>
        <v>0</v>
      </c>
      <c r="UC49" s="242">
        <f t="shared" si="426"/>
        <v>0</v>
      </c>
      <c r="UD49" s="56"/>
      <c r="UG49" s="55">
        <f t="shared" si="427"/>
        <v>46061</v>
      </c>
      <c r="UH49" s="56"/>
      <c r="UI49" s="242">
        <f>SUMPRODUCT(PRODUCE!$B62:$DY62,PRODUCE!$EB$57:$IY$57)</f>
        <v>0</v>
      </c>
      <c r="UJ49" s="56"/>
      <c r="UK49" s="242">
        <f t="shared" si="428"/>
        <v>0</v>
      </c>
      <c r="UL49" s="242">
        <f t="shared" si="429"/>
        <v>0</v>
      </c>
      <c r="UM49" s="56"/>
      <c r="UP49" s="55">
        <f t="shared" si="430"/>
        <v>46061</v>
      </c>
      <c r="UQ49" s="56"/>
      <c r="UR49" s="242">
        <f>SUMPRODUCT(PRODUCE!$B62:$DY62,PRODUCE!$EB$57:$IY$57)</f>
        <v>0</v>
      </c>
      <c r="US49" s="56"/>
      <c r="UT49" s="242">
        <f t="shared" si="431"/>
        <v>0</v>
      </c>
      <c r="UU49" s="242">
        <f t="shared" si="432"/>
        <v>0</v>
      </c>
      <c r="UV49" s="56"/>
      <c r="UY49" s="55">
        <f t="shared" si="433"/>
        <v>46061</v>
      </c>
      <c r="UZ49" s="56"/>
      <c r="VA49" s="242">
        <f>SUMPRODUCT(PRODUCE!$B62:$DY62,PRODUCE!$EB$57:$IY$57)</f>
        <v>0</v>
      </c>
      <c r="VB49" s="56"/>
      <c r="VC49" s="242">
        <f t="shared" si="434"/>
        <v>0</v>
      </c>
      <c r="VD49" s="242">
        <f t="shared" si="435"/>
        <v>41.600000000000023</v>
      </c>
      <c r="VE49" s="56"/>
      <c r="VH49" s="55">
        <f t="shared" si="436"/>
        <v>46061</v>
      </c>
      <c r="VI49" s="56"/>
      <c r="VJ49" s="242">
        <f>SUMPRODUCT(PRODUCE!$B62:$DY62,PRODUCE!$EB$57:$IY$57)</f>
        <v>0</v>
      </c>
      <c r="VK49" s="56"/>
      <c r="VL49" s="242">
        <f t="shared" si="437"/>
        <v>0</v>
      </c>
      <c r="VM49" s="242">
        <f t="shared" si="438"/>
        <v>0</v>
      </c>
      <c r="VN49" s="56"/>
      <c r="VQ49" s="55">
        <f t="shared" si="439"/>
        <v>46061</v>
      </c>
      <c r="VR49" s="56"/>
      <c r="VS49" s="242">
        <f>SUMPRODUCT(PRODUCE!$B62:$DY62,PRODUCE!$EB$57:$IY$57)</f>
        <v>0</v>
      </c>
      <c r="VT49" s="56"/>
      <c r="VU49" s="242">
        <f t="shared" si="440"/>
        <v>0</v>
      </c>
      <c r="VV49" s="242">
        <f t="shared" si="441"/>
        <v>0</v>
      </c>
      <c r="VW49" s="56"/>
      <c r="VZ49" s="55">
        <f t="shared" si="442"/>
        <v>46061</v>
      </c>
      <c r="WA49" s="56"/>
      <c r="WB49" s="242">
        <f>SUMPRODUCT(PRODUCE!$B62:$DY62,PRODUCE!$EB$57:$IY$57)</f>
        <v>0</v>
      </c>
      <c r="WC49" s="56"/>
      <c r="WD49" s="242">
        <f t="shared" si="443"/>
        <v>0</v>
      </c>
      <c r="WE49" s="242">
        <f t="shared" si="444"/>
        <v>0</v>
      </c>
      <c r="WF49" s="56"/>
      <c r="WI49" s="55">
        <f t="shared" si="445"/>
        <v>46061</v>
      </c>
      <c r="WJ49" s="56"/>
      <c r="WK49" s="242">
        <f>SUMPRODUCT(PRODUCE!$B62:$DY62,PRODUCE!$EB$57:$IY$57)</f>
        <v>0</v>
      </c>
      <c r="WL49" s="56"/>
      <c r="WM49" s="242">
        <f t="shared" si="446"/>
        <v>0</v>
      </c>
      <c r="WN49" s="242">
        <f t="shared" si="447"/>
        <v>9609</v>
      </c>
      <c r="WO49" s="56"/>
      <c r="WR49" s="55">
        <f t="shared" si="448"/>
        <v>46061</v>
      </c>
      <c r="WS49" s="56"/>
      <c r="WT49" s="242">
        <f>SUMPRODUCT(PRODUCE!$B62:$DY62,PRODUCE!$EB$57:$IY$57)</f>
        <v>0</v>
      </c>
      <c r="WU49" s="56"/>
      <c r="WV49" s="242">
        <f t="shared" si="449"/>
        <v>0</v>
      </c>
      <c r="WW49" s="242">
        <f t="shared" si="450"/>
        <v>8149</v>
      </c>
      <c r="WX49" s="56"/>
      <c r="XA49" s="55">
        <f t="shared" si="451"/>
        <v>46061</v>
      </c>
      <c r="XB49" s="56"/>
      <c r="XC49" s="242">
        <f>SUMPRODUCT(PRODUCE!$B62:$DY62,PRODUCE!$EB$57:$IY$57)</f>
        <v>0</v>
      </c>
      <c r="XD49" s="56"/>
      <c r="XE49" s="242">
        <f t="shared" si="452"/>
        <v>0</v>
      </c>
      <c r="XF49" s="242">
        <f t="shared" si="453"/>
        <v>590</v>
      </c>
      <c r="XG49" s="56"/>
      <c r="XJ49" s="55">
        <f t="shared" si="454"/>
        <v>46061</v>
      </c>
      <c r="XK49" s="56"/>
      <c r="XL49" s="242">
        <f>SUMPRODUCT(PRODUCE!$B62:$DY62,PRODUCE!$EB$57:$IY$57)</f>
        <v>0</v>
      </c>
      <c r="XM49" s="56"/>
      <c r="XN49" s="242">
        <f t="shared" si="455"/>
        <v>0</v>
      </c>
      <c r="XO49" s="242">
        <f t="shared" si="456"/>
        <v>2090</v>
      </c>
      <c r="XP49" s="56"/>
      <c r="XS49" s="55">
        <f t="shared" si="457"/>
        <v>46061</v>
      </c>
      <c r="XT49" s="56"/>
      <c r="XU49" s="242">
        <f>SUMPRODUCT(PRODUCE!$B62:$DY62,PRODUCE!$EB$57:$IY$57)</f>
        <v>0</v>
      </c>
      <c r="XV49" s="56"/>
      <c r="XW49" s="242">
        <f t="shared" si="458"/>
        <v>0</v>
      </c>
      <c r="XX49" s="242">
        <f t="shared" si="459"/>
        <v>1901</v>
      </c>
      <c r="XY49" s="56"/>
      <c r="YB49" s="55">
        <f t="shared" si="460"/>
        <v>46061</v>
      </c>
      <c r="YC49" s="56"/>
      <c r="YD49" s="242">
        <f>SUMPRODUCT(PRODUCE!$B62:$DY62,PRODUCE!$EB$57:$IY$57)</f>
        <v>0</v>
      </c>
      <c r="YE49" s="56"/>
      <c r="YF49" s="242">
        <f t="shared" si="461"/>
        <v>0</v>
      </c>
      <c r="YG49" s="242">
        <f t="shared" si="462"/>
        <v>1370</v>
      </c>
      <c r="YH49" s="56"/>
      <c r="YK49" s="55">
        <f t="shared" si="463"/>
        <v>46061</v>
      </c>
      <c r="YL49" s="56"/>
      <c r="YM49" s="242">
        <f>SUMPRODUCT(PRODUCE!$B62:$DY62,PRODUCE!$EB$57:$IY$57)</f>
        <v>0</v>
      </c>
      <c r="YN49" s="56"/>
      <c r="YO49" s="242">
        <f t="shared" si="464"/>
        <v>0</v>
      </c>
      <c r="YP49" s="242">
        <f t="shared" si="465"/>
        <v>0</v>
      </c>
      <c r="YQ49" s="56"/>
      <c r="YT49" s="55">
        <f t="shared" si="466"/>
        <v>46061</v>
      </c>
      <c r="YU49" s="56"/>
      <c r="YV49" s="242">
        <f>SUMPRODUCT(PRODUCE!$B62:$DY62,PRODUCE!$EB$57:$IY$57)</f>
        <v>0</v>
      </c>
      <c r="YW49" s="56"/>
      <c r="YX49" s="242">
        <f t="shared" si="467"/>
        <v>0</v>
      </c>
      <c r="YY49" s="242">
        <f t="shared" si="468"/>
        <v>0</v>
      </c>
      <c r="YZ49" s="56"/>
      <c r="ZC49" s="55">
        <f t="shared" si="469"/>
        <v>46061</v>
      </c>
      <c r="ZD49" s="56"/>
      <c r="ZE49" s="242">
        <f>SUMPRODUCT(PRODUCE!$B62:$DY62,PRODUCE!$EB$57:$IY$57)</f>
        <v>0</v>
      </c>
      <c r="ZF49" s="56"/>
      <c r="ZG49" s="242">
        <f t="shared" si="470"/>
        <v>0</v>
      </c>
      <c r="ZH49" s="242">
        <f t="shared" si="471"/>
        <v>0</v>
      </c>
      <c r="ZI49" s="56"/>
      <c r="ZL49" s="55">
        <f t="shared" si="472"/>
        <v>46061</v>
      </c>
      <c r="ZM49" s="56"/>
      <c r="ZN49" s="242">
        <f>SUMPRODUCT(PRODUCE!$B62:$DY62,PRODUCE!$EB$57:$IY$57)</f>
        <v>0</v>
      </c>
      <c r="ZO49" s="56"/>
      <c r="ZP49" s="242">
        <f t="shared" si="473"/>
        <v>0</v>
      </c>
      <c r="ZQ49" s="242">
        <f t="shared" si="474"/>
        <v>0</v>
      </c>
      <c r="ZR49" s="56"/>
      <c r="ZU49" s="55">
        <f t="shared" si="475"/>
        <v>46061</v>
      </c>
      <c r="ZV49" s="56"/>
      <c r="ZW49" s="242">
        <f>SUMPRODUCT(PRODUCE!$B62:$DY62,PRODUCE!$EB$57:$IY$57)</f>
        <v>0</v>
      </c>
      <c r="ZX49" s="56"/>
      <c r="ZY49" s="242">
        <f t="shared" si="476"/>
        <v>0</v>
      </c>
      <c r="ZZ49" s="242">
        <f t="shared" si="477"/>
        <v>0</v>
      </c>
      <c r="AAA49" s="56"/>
      <c r="AAD49" s="55">
        <f t="shared" si="478"/>
        <v>46061</v>
      </c>
      <c r="AAE49" s="56"/>
      <c r="AAF49" s="242">
        <f>SUMPRODUCT(PRODUCE!$B62:$DY62,PRODUCE!$EB$57:$IY$57)</f>
        <v>0</v>
      </c>
      <c r="AAG49" s="56"/>
      <c r="AAH49" s="242">
        <f t="shared" si="479"/>
        <v>0</v>
      </c>
      <c r="AAI49" s="242">
        <f t="shared" si="480"/>
        <v>0</v>
      </c>
      <c r="AAJ49" s="56"/>
      <c r="AAM49" s="55">
        <f t="shared" si="481"/>
        <v>46061</v>
      </c>
      <c r="AAN49" s="56"/>
      <c r="AAO49" s="242">
        <f>SUMPRODUCT(PRODUCE!$B62:$DY62,PRODUCE!$EB$57:$IY$57)</f>
        <v>0</v>
      </c>
      <c r="AAP49" s="56"/>
      <c r="AAQ49" s="242">
        <f t="shared" si="482"/>
        <v>0</v>
      </c>
      <c r="AAR49" s="242">
        <f t="shared" si="483"/>
        <v>0</v>
      </c>
      <c r="AAS49" s="56"/>
      <c r="AAV49" s="55">
        <f t="shared" si="484"/>
        <v>46061</v>
      </c>
      <c r="AAW49" s="56"/>
      <c r="AAX49" s="242">
        <f>SUMPRODUCT(PRODUCE!$B62:$DY62,PRODUCE!$EB$57:$IY$57)</f>
        <v>0</v>
      </c>
      <c r="AAY49" s="56"/>
      <c r="AAZ49" s="242">
        <f t="shared" si="485"/>
        <v>0</v>
      </c>
      <c r="ABA49" s="242">
        <f t="shared" si="486"/>
        <v>0</v>
      </c>
      <c r="ABB49" s="56"/>
      <c r="ABE49" s="55">
        <f t="shared" si="487"/>
        <v>46061</v>
      </c>
      <c r="ABF49" s="56"/>
      <c r="ABG49" s="242">
        <f>SUMPRODUCT(PRODUCE!$B62:$DY62,PRODUCE!$EB$57:$IY$57)</f>
        <v>0</v>
      </c>
      <c r="ABH49" s="56"/>
      <c r="ABI49" s="242">
        <f t="shared" si="488"/>
        <v>0</v>
      </c>
      <c r="ABJ49" s="242">
        <f t="shared" si="489"/>
        <v>0</v>
      </c>
      <c r="ABK49" s="56"/>
    </row>
    <row r="50" spans="2:739" s="54" customFormat="1" ht="15" customHeight="1" outlineLevel="1">
      <c r="B50" s="478">
        <v>120</v>
      </c>
      <c r="C50" s="55">
        <v>46062</v>
      </c>
      <c r="D50" s="422">
        <v>46260</v>
      </c>
      <c r="E50" s="424">
        <f>SUMPRODUCT(PRODUCE!$B63:$DY63,PRODUCE!$EB$7:$IY$7)</f>
        <v>64500</v>
      </c>
      <c r="F50" s="422">
        <v>64502.8</v>
      </c>
      <c r="G50" s="423">
        <f t="shared" si="247"/>
        <v>-2.8000000000029104</v>
      </c>
      <c r="H50" s="423">
        <f t="shared" si="245"/>
        <v>158695</v>
      </c>
      <c r="I50" s="289" t="s">
        <v>201</v>
      </c>
      <c r="L50" s="55">
        <f t="shared" si="246"/>
        <v>46062</v>
      </c>
      <c r="M50" s="422">
        <v>27600</v>
      </c>
      <c r="N50" s="439">
        <f>SUMPRODUCT(PRODUCE!$B63:$DY63,PRODUCE!$EB$8:$IY$8)</f>
        <v>33479.999999999993</v>
      </c>
      <c r="O50" s="422">
        <v>33478</v>
      </c>
      <c r="P50" s="438">
        <f t="shared" si="248"/>
        <v>1.999999999992724</v>
      </c>
      <c r="Q50" s="438">
        <f t="shared" si="249"/>
        <v>97306.400000000009</v>
      </c>
      <c r="R50" s="56"/>
      <c r="U50" s="55">
        <f t="shared" si="250"/>
        <v>46062</v>
      </c>
      <c r="V50" s="422"/>
      <c r="W50" s="441">
        <f>SUMPRODUCT(PRODUCE!$B63:$DY63,PRODUCE!$EB$9:$IY$9)</f>
        <v>6000</v>
      </c>
      <c r="X50" s="422">
        <v>6001.8</v>
      </c>
      <c r="Y50" s="440">
        <f t="shared" si="251"/>
        <v>-1.8000000000001819</v>
      </c>
      <c r="Z50" s="440">
        <f t="shared" si="252"/>
        <v>57816.89999999998</v>
      </c>
      <c r="AA50" s="56"/>
      <c r="AD50" s="55">
        <f t="shared" si="253"/>
        <v>46062</v>
      </c>
      <c r="AE50" s="422"/>
      <c r="AF50" s="443">
        <f>SUMPRODUCT(PRODUCE!$B63:$DY63,PRODUCE!$EB$10:$IY$10)</f>
        <v>6000</v>
      </c>
      <c r="AG50" s="422">
        <v>6004.7</v>
      </c>
      <c r="AH50" s="442">
        <f t="shared" si="254"/>
        <v>-4.6999999999998181</v>
      </c>
      <c r="AI50" s="442">
        <f t="shared" si="255"/>
        <v>41012.900000000016</v>
      </c>
      <c r="AJ50" s="56"/>
      <c r="AM50" s="55">
        <f t="shared" si="256"/>
        <v>46062</v>
      </c>
      <c r="AN50" s="422"/>
      <c r="AO50" s="445">
        <f>SUMPRODUCT(PRODUCE!$B63:$DY63,PRODUCE!$EB$11:$IY$11)</f>
        <v>0</v>
      </c>
      <c r="AP50" s="422"/>
      <c r="AQ50" s="444">
        <f t="shared" si="257"/>
        <v>0</v>
      </c>
      <c r="AR50" s="444">
        <f t="shared" si="258"/>
        <v>0</v>
      </c>
      <c r="AS50" s="56"/>
      <c r="AV50" s="55">
        <f t="shared" si="259"/>
        <v>46062</v>
      </c>
      <c r="AW50" s="422"/>
      <c r="AX50" s="447">
        <f>SUMPRODUCT(PRODUCE!$B63:$DY63,PRODUCE!$EB$12:$IY$12)</f>
        <v>2400</v>
      </c>
      <c r="AY50" s="422">
        <v>2403.1</v>
      </c>
      <c r="AZ50" s="446">
        <f t="shared" si="260"/>
        <v>-3.0999999999999091</v>
      </c>
      <c r="BA50" s="446">
        <f t="shared" si="261"/>
        <v>58284.999999999993</v>
      </c>
      <c r="BB50" s="56"/>
      <c r="BE50" s="55">
        <f t="shared" si="262"/>
        <v>46062</v>
      </c>
      <c r="BF50" s="422"/>
      <c r="BG50" s="449">
        <f>SUMPRODUCT(PRODUCE!$B63:$DY63,PRODUCE!$EB$13:$IY$13)</f>
        <v>2400</v>
      </c>
      <c r="BH50" s="422">
        <v>2401.4</v>
      </c>
      <c r="BI50" s="448">
        <f t="shared" si="263"/>
        <v>-1.4000000000000909</v>
      </c>
      <c r="BJ50" s="448">
        <f t="shared" si="264"/>
        <v>34571.000000000007</v>
      </c>
      <c r="BK50" s="56"/>
      <c r="BN50" s="55">
        <f t="shared" si="265"/>
        <v>46062</v>
      </c>
      <c r="BO50" s="422">
        <v>2400</v>
      </c>
      <c r="BP50" s="451">
        <f>SUMPRODUCT(PRODUCE!$B63:$DY63,PRODUCE!$EB$14:$IY$14)</f>
        <v>2400</v>
      </c>
      <c r="BQ50" s="422">
        <v>2400</v>
      </c>
      <c r="BR50" s="450">
        <f t="shared" si="266"/>
        <v>0</v>
      </c>
      <c r="BS50" s="450">
        <f t="shared" si="267"/>
        <v>0</v>
      </c>
      <c r="BT50" s="56"/>
      <c r="BW50" s="55">
        <f t="shared" si="268"/>
        <v>46062</v>
      </c>
      <c r="BX50" s="56">
        <v>2000</v>
      </c>
      <c r="BY50" s="81">
        <f>SUMPRODUCT(PRODUCE!$B63:$DY63,PRODUCE!$EB$15:$IY$15)</f>
        <v>0</v>
      </c>
      <c r="BZ50" s="56"/>
      <c r="CA50" s="65">
        <f t="shared" si="269"/>
        <v>0</v>
      </c>
      <c r="CB50" s="65">
        <f t="shared" si="270"/>
        <v>3487.1</v>
      </c>
      <c r="CC50" s="56"/>
      <c r="CF50" s="55">
        <f t="shared" si="271"/>
        <v>46062</v>
      </c>
      <c r="CG50" s="56"/>
      <c r="CH50" s="82">
        <f>SUMPRODUCT(PRODUCE!$B63:$DY63,PRODUCE!$EB$16:$IY$16)</f>
        <v>0</v>
      </c>
      <c r="CI50" s="56"/>
      <c r="CJ50" s="66">
        <f t="shared" si="272"/>
        <v>0</v>
      </c>
      <c r="CK50" s="66">
        <f t="shared" si="273"/>
        <v>0</v>
      </c>
      <c r="CL50" s="56"/>
      <c r="CO50" s="55">
        <f t="shared" si="274"/>
        <v>46062</v>
      </c>
      <c r="CP50" s="422"/>
      <c r="CQ50" s="471">
        <f>SUMPRODUCT(PRODUCE!$B63:$DY63,PRODUCE!$EB$17:$IY$17)</f>
        <v>0</v>
      </c>
      <c r="CR50" s="422"/>
      <c r="CS50" s="470">
        <f t="shared" si="275"/>
        <v>0</v>
      </c>
      <c r="CT50" s="470">
        <f t="shared" si="276"/>
        <v>0</v>
      </c>
      <c r="CU50" s="56"/>
      <c r="CX50" s="55">
        <f t="shared" si="277"/>
        <v>46062</v>
      </c>
      <c r="CY50" s="56"/>
      <c r="CZ50" s="136">
        <f>SUMPRODUCT(PRODUCE!$B63:$DY63,PRODUCE!$EB$18:$IY$18)</f>
        <v>0</v>
      </c>
      <c r="DA50" s="56"/>
      <c r="DB50" s="133">
        <f t="shared" si="278"/>
        <v>0</v>
      </c>
      <c r="DC50" s="133">
        <f t="shared" si="279"/>
        <v>16209.8</v>
      </c>
      <c r="DD50" s="56"/>
      <c r="DG50" s="55">
        <f t="shared" si="280"/>
        <v>46062</v>
      </c>
      <c r="DH50" s="56"/>
      <c r="DI50" s="150">
        <f>SUMPRODUCT(PRODUCE!$B63:$DY63,PRODUCE!$EB$19:$IY$19)</f>
        <v>0</v>
      </c>
      <c r="DJ50" s="56"/>
      <c r="DK50" s="147">
        <f>DI50-DJ50</f>
        <v>0</v>
      </c>
      <c r="DL50" s="147">
        <f t="shared" si="282"/>
        <v>18250.399999999998</v>
      </c>
      <c r="DM50" s="56"/>
      <c r="DP50" s="55">
        <f t="shared" si="283"/>
        <v>46062</v>
      </c>
      <c r="DQ50" s="56"/>
      <c r="DR50" s="58">
        <f>SUMPRODUCT(PRODUCE!$B63:$DY63,PRODUCE!$EB$20:$IY$20)</f>
        <v>0</v>
      </c>
      <c r="DS50" s="56"/>
      <c r="DT50" s="57">
        <f t="shared" si="284"/>
        <v>0</v>
      </c>
      <c r="DU50" s="57">
        <f t="shared" si="285"/>
        <v>0</v>
      </c>
      <c r="DV50" s="56"/>
      <c r="DY50" s="55">
        <f t="shared" si="286"/>
        <v>46062</v>
      </c>
      <c r="DZ50" s="56"/>
      <c r="EA50" s="159">
        <f>SUMPRODUCT(PRODUCE!$B63:$DY63,PRODUCE!$EB$21:$IY$21)</f>
        <v>0</v>
      </c>
      <c r="EB50" s="56"/>
      <c r="EC50" s="157">
        <f t="shared" si="287"/>
        <v>0</v>
      </c>
      <c r="ED50" s="157">
        <f t="shared" si="288"/>
        <v>3619.6</v>
      </c>
      <c r="EE50" s="56"/>
      <c r="EH50" s="55">
        <f t="shared" si="289"/>
        <v>46062</v>
      </c>
      <c r="EI50" s="56"/>
      <c r="EJ50" s="164">
        <f>SUMPRODUCT(PRODUCE!$B63:$DY63,PRODUCE!$EB$22:$IY$22)</f>
        <v>0</v>
      </c>
      <c r="EK50" s="56"/>
      <c r="EL50" s="162">
        <f t="shared" si="290"/>
        <v>0</v>
      </c>
      <c r="EM50" s="162">
        <f t="shared" si="291"/>
        <v>0</v>
      </c>
      <c r="EN50" s="56"/>
      <c r="EQ50" s="55">
        <f t="shared" si="292"/>
        <v>46062</v>
      </c>
      <c r="ER50" s="56"/>
      <c r="ES50" s="171">
        <f>SUMPRODUCT(PRODUCE!$B63:$DY63,PRODUCE!$EB$23:$IY$23)</f>
        <v>0</v>
      </c>
      <c r="ET50" s="56"/>
      <c r="EU50" s="135">
        <f t="shared" si="293"/>
        <v>0</v>
      </c>
      <c r="EV50" s="135">
        <f t="shared" si="294"/>
        <v>0</v>
      </c>
      <c r="EW50" s="56"/>
      <c r="EZ50" s="55">
        <f t="shared" si="295"/>
        <v>46062</v>
      </c>
      <c r="FA50" s="56"/>
      <c r="FB50" s="178">
        <f>SUMPRODUCT(PRODUCE!$B63:$DY63,PRODUCE!$EB$24:$IY$24)</f>
        <v>0</v>
      </c>
      <c r="FC50" s="56"/>
      <c r="FD50" s="175">
        <f t="shared" si="296"/>
        <v>0</v>
      </c>
      <c r="FE50" s="175">
        <f t="shared" si="297"/>
        <v>0</v>
      </c>
      <c r="FF50" s="56"/>
      <c r="FI50" s="55">
        <f t="shared" si="298"/>
        <v>46062</v>
      </c>
      <c r="FJ50" s="56"/>
      <c r="FK50" s="184">
        <f>SUMPRODUCT(PRODUCE!$B63:$DY63,PRODUCE!$EB$25:$IY$25)</f>
        <v>0</v>
      </c>
      <c r="FL50" s="56"/>
      <c r="FM50" s="183">
        <f t="shared" si="299"/>
        <v>0</v>
      </c>
      <c r="FN50" s="183">
        <f t="shared" si="300"/>
        <v>0</v>
      </c>
      <c r="FO50" s="56"/>
      <c r="FR50" s="55">
        <f t="shared" si="301"/>
        <v>46062</v>
      </c>
      <c r="FS50" s="422"/>
      <c r="FT50" s="453">
        <f>SUMPRODUCT(PRODUCE!$B63:$DY63,PRODUCE!$EB$26:$IY$26)</f>
        <v>0</v>
      </c>
      <c r="FU50" s="422"/>
      <c r="FV50" s="452">
        <f t="shared" si="302"/>
        <v>0</v>
      </c>
      <c r="FW50" s="452">
        <f t="shared" si="303"/>
        <v>3540</v>
      </c>
      <c r="FX50" s="56"/>
      <c r="GA50" s="55">
        <f t="shared" si="304"/>
        <v>46062</v>
      </c>
      <c r="GB50" s="422"/>
      <c r="GC50" s="455">
        <f>SUMPRODUCT(PRODUCE!$B63:$DY63,PRODUCE!$EB$27:$IY$27)</f>
        <v>0</v>
      </c>
      <c r="GD50" s="422"/>
      <c r="GE50" s="454">
        <f t="shared" si="305"/>
        <v>0</v>
      </c>
      <c r="GF50" s="454">
        <f t="shared" si="306"/>
        <v>5960</v>
      </c>
      <c r="GG50" s="56"/>
      <c r="GI50" s="23"/>
      <c r="GJ50" s="55">
        <f t="shared" si="307"/>
        <v>46062</v>
      </c>
      <c r="GK50" s="422"/>
      <c r="GL50" s="457">
        <f>SUMPRODUCT(PRODUCE!$B63:$DY63,PRODUCE!$EB$28:$IY$28)</f>
        <v>0</v>
      </c>
      <c r="GM50" s="422"/>
      <c r="GN50" s="456">
        <f t="shared" si="308"/>
        <v>0</v>
      </c>
      <c r="GO50" s="456">
        <f t="shared" si="309"/>
        <v>3240</v>
      </c>
      <c r="GP50" s="56"/>
      <c r="GS50" s="55">
        <f t="shared" si="310"/>
        <v>46062</v>
      </c>
      <c r="GT50" s="56"/>
      <c r="GU50" s="196">
        <f>SUMPRODUCT(PRODUCE!$B63:$DY63,PRODUCE!$EB$29:$IY$29)</f>
        <v>0</v>
      </c>
      <c r="GV50" s="56"/>
      <c r="GW50" s="195">
        <f t="shared" si="311"/>
        <v>0</v>
      </c>
      <c r="GX50" s="195">
        <f t="shared" si="312"/>
        <v>0</v>
      </c>
      <c r="GY50" s="56"/>
      <c r="HB50" s="55">
        <f t="shared" si="313"/>
        <v>46062</v>
      </c>
      <c r="HC50" s="56"/>
      <c r="HD50" s="192">
        <f>SUMPRODUCT(PRODUCE!$B63:$DY63,PRODUCE!$EB$30:$IY$30)</f>
        <v>0</v>
      </c>
      <c r="HE50" s="56"/>
      <c r="HF50" s="191">
        <f t="shared" si="314"/>
        <v>0</v>
      </c>
      <c r="HG50" s="191">
        <f t="shared" si="315"/>
        <v>0</v>
      </c>
      <c r="HH50" s="56"/>
      <c r="HK50" s="55">
        <f t="shared" si="316"/>
        <v>46062</v>
      </c>
      <c r="HL50" s="56"/>
      <c r="HM50" s="80">
        <f>SUMPRODUCT(PRODUCE!$B63:$DY63,PRODUCE!$EB$31:$IY$31)</f>
        <v>0</v>
      </c>
      <c r="HN50" s="56"/>
      <c r="HO50" s="63">
        <f t="shared" si="317"/>
        <v>0</v>
      </c>
      <c r="HP50" s="63">
        <f t="shared" si="318"/>
        <v>0</v>
      </c>
      <c r="HQ50" s="56"/>
      <c r="HU50" s="55">
        <f t="shared" si="319"/>
        <v>46062</v>
      </c>
      <c r="HV50" s="56"/>
      <c r="HW50" s="242">
        <f>SUMPRODUCT(PRODUCE!$B63:$DY63,PRODUCE!$EB$32:$IY$32)</f>
        <v>0</v>
      </c>
      <c r="HX50" s="56"/>
      <c r="HY50" s="242">
        <f t="shared" si="320"/>
        <v>0</v>
      </c>
      <c r="HZ50" s="242">
        <f t="shared" si="321"/>
        <v>5120</v>
      </c>
      <c r="IA50" s="56"/>
      <c r="ID50" s="55">
        <f t="shared" si="322"/>
        <v>46062</v>
      </c>
      <c r="IE50" s="56"/>
      <c r="IF50" s="242">
        <f>SUMPRODUCT(PRODUCE!$B63:$DY63,PRODUCE!$EB$33:$IY$33)</f>
        <v>0</v>
      </c>
      <c r="IG50" s="56"/>
      <c r="IH50" s="242">
        <f t="shared" si="323"/>
        <v>0</v>
      </c>
      <c r="II50" s="242">
        <f t="shared" si="324"/>
        <v>5100</v>
      </c>
      <c r="IJ50" s="56"/>
      <c r="IM50" s="55">
        <f t="shared" si="325"/>
        <v>46062</v>
      </c>
      <c r="IN50" s="56"/>
      <c r="IO50" s="242">
        <f>SUMPRODUCT(PRODUCE!$B63:$DY63,PRODUCE!$EB$34:$IY$34)</f>
        <v>2400</v>
      </c>
      <c r="IP50" s="56"/>
      <c r="IQ50" s="242">
        <f t="shared" si="326"/>
        <v>2400</v>
      </c>
      <c r="IR50" s="242">
        <f t="shared" si="327"/>
        <v>13040</v>
      </c>
      <c r="IS50" s="56"/>
      <c r="IV50" s="55">
        <f t="shared" si="328"/>
        <v>46062</v>
      </c>
      <c r="IW50" s="56"/>
      <c r="IX50" s="242">
        <f>SUMPRODUCT(PRODUCE!$B63:$DY63,PRODUCE!$EB$35:$IY$35)</f>
        <v>0</v>
      </c>
      <c r="IY50" s="56"/>
      <c r="IZ50" s="242">
        <f t="shared" si="329"/>
        <v>0</v>
      </c>
      <c r="JA50" s="242">
        <f t="shared" si="330"/>
        <v>13120</v>
      </c>
      <c r="JB50" s="56"/>
      <c r="JE50" s="55">
        <f t="shared" si="331"/>
        <v>46062</v>
      </c>
      <c r="JF50" s="56"/>
      <c r="JG50" s="242">
        <f>SUMPRODUCT(PRODUCE!$B63:$DY63,PRODUCE!$EB$36:$IY$36)</f>
        <v>0</v>
      </c>
      <c r="JH50" s="56"/>
      <c r="JI50" s="242">
        <f t="shared" si="332"/>
        <v>0</v>
      </c>
      <c r="JJ50" s="242">
        <f t="shared" si="333"/>
        <v>6800</v>
      </c>
      <c r="JK50" s="56"/>
      <c r="JN50" s="55">
        <f t="shared" si="334"/>
        <v>46062</v>
      </c>
      <c r="JO50" s="56"/>
      <c r="JP50" s="242">
        <f>SUMPRODUCT(PRODUCE!$B63:$DY63,PRODUCE!$EB$37:$IY$37)</f>
        <v>0</v>
      </c>
      <c r="JQ50" s="56"/>
      <c r="JR50" s="242">
        <f t="shared" si="335"/>
        <v>0</v>
      </c>
      <c r="JS50" s="242">
        <f t="shared" si="336"/>
        <v>5400</v>
      </c>
      <c r="JT50" s="56"/>
      <c r="JW50" s="55">
        <f t="shared" si="337"/>
        <v>46062</v>
      </c>
      <c r="JX50" s="56"/>
      <c r="JY50" s="242">
        <f>SUMPRODUCT(PRODUCE!$B63:$DY63,PRODUCE!$EB$38:$IY$38)</f>
        <v>0</v>
      </c>
      <c r="JZ50" s="56"/>
      <c r="KA50" s="242">
        <f t="shared" si="338"/>
        <v>0</v>
      </c>
      <c r="KB50" s="242">
        <f t="shared" si="339"/>
        <v>20</v>
      </c>
      <c r="KC50" s="56"/>
      <c r="KF50" s="55">
        <f t="shared" si="340"/>
        <v>46062</v>
      </c>
      <c r="KG50" s="56"/>
      <c r="KH50" s="242">
        <f>SUMPRODUCT(PRODUCE!$B63:$DY63,PRODUCE!$EB$39:$IY$39)</f>
        <v>0</v>
      </c>
      <c r="KI50" s="56"/>
      <c r="KJ50" s="242">
        <f t="shared" si="341"/>
        <v>0</v>
      </c>
      <c r="KK50" s="242">
        <f t="shared" si="342"/>
        <v>390</v>
      </c>
      <c r="KL50" s="56"/>
      <c r="KO50" s="55">
        <f t="shared" si="343"/>
        <v>46062</v>
      </c>
      <c r="KP50" s="56"/>
      <c r="KQ50" s="242">
        <f>SUMPRODUCT(PRODUCE!$B63:$DY63,PRODUCE!$EB$40:$IY$40)</f>
        <v>0</v>
      </c>
      <c r="KR50" s="56"/>
      <c r="KS50" s="242">
        <f t="shared" si="344"/>
        <v>0</v>
      </c>
      <c r="KT50" s="242">
        <f t="shared" si="345"/>
        <v>10319.4</v>
      </c>
      <c r="KU50" s="56"/>
      <c r="KW50" s="23"/>
      <c r="KX50" s="55">
        <f t="shared" si="346"/>
        <v>46062</v>
      </c>
      <c r="KY50" s="56"/>
      <c r="KZ50" s="242">
        <f>SUMPRODUCT(PRODUCE!$B63:$DY63,PRODUCE!$EB$41:$IY$41)</f>
        <v>0</v>
      </c>
      <c r="LA50" s="56"/>
      <c r="LB50" s="242">
        <f t="shared" si="347"/>
        <v>0</v>
      </c>
      <c r="LC50" s="242">
        <f t="shared" si="348"/>
        <v>0</v>
      </c>
      <c r="LD50" s="56"/>
      <c r="LG50" s="55">
        <f t="shared" si="349"/>
        <v>46062</v>
      </c>
      <c r="LH50" s="56"/>
      <c r="LI50" s="242">
        <f>SUMPRODUCT(PRODUCE!$B63:$DY63,PRODUCE!$EB$42:$IY$42)</f>
        <v>0</v>
      </c>
      <c r="LJ50" s="56"/>
      <c r="LK50" s="242">
        <f t="shared" si="350"/>
        <v>0</v>
      </c>
      <c r="LL50" s="242">
        <f t="shared" si="351"/>
        <v>0</v>
      </c>
      <c r="LM50" s="56"/>
      <c r="LP50" s="55">
        <f t="shared" si="352"/>
        <v>46062</v>
      </c>
      <c r="LQ50" s="56"/>
      <c r="LR50" s="242">
        <f>SUMPRODUCT(PRODUCE!$B65:$DY65,PRODUCE!$EB$43:$IY$43)</f>
        <v>0</v>
      </c>
      <c r="LS50" s="56"/>
      <c r="LT50" s="242">
        <f t="shared" si="353"/>
        <v>0</v>
      </c>
      <c r="LU50" s="242">
        <f t="shared" si="354"/>
        <v>0</v>
      </c>
      <c r="LV50" s="56"/>
      <c r="LY50" s="55">
        <f t="shared" si="355"/>
        <v>46062</v>
      </c>
      <c r="LZ50" s="56"/>
      <c r="MA50" s="242">
        <f>SUMPRODUCT(PRODUCE!$B65:$DY65,PRODUCE!$EB$44:$IY$44)</f>
        <v>0</v>
      </c>
      <c r="MB50" s="56"/>
      <c r="MC50" s="242">
        <f t="shared" si="356"/>
        <v>0</v>
      </c>
      <c r="MD50" s="242">
        <f t="shared" si="357"/>
        <v>0</v>
      </c>
      <c r="ME50" s="56"/>
      <c r="MH50" s="55">
        <f t="shared" si="358"/>
        <v>46062</v>
      </c>
      <c r="MI50" s="56"/>
      <c r="MJ50" s="242">
        <f>SUMPRODUCT(PRODUCE!$B63:$DY63,PRODUCE!$EB$45:$IY$45)</f>
        <v>0</v>
      </c>
      <c r="MK50" s="56"/>
      <c r="ML50" s="242">
        <f t="shared" si="359"/>
        <v>0</v>
      </c>
      <c r="MM50" s="242">
        <f t="shared" si="360"/>
        <v>0</v>
      </c>
      <c r="MN50" s="56"/>
      <c r="MQ50" s="55">
        <f t="shared" si="361"/>
        <v>46062</v>
      </c>
      <c r="MR50" s="56"/>
      <c r="MS50" s="242">
        <f>SUMPRODUCT(PRODUCE!$B63:$DY63,PRODUCE!$EB$46:$IY$46)</f>
        <v>60</v>
      </c>
      <c r="MT50" s="56"/>
      <c r="MU50" s="242">
        <f t="shared" si="362"/>
        <v>60</v>
      </c>
      <c r="MV50" s="242">
        <f t="shared" si="363"/>
        <v>1285</v>
      </c>
      <c r="MW50" s="56"/>
      <c r="MZ50" s="55">
        <f t="shared" si="364"/>
        <v>46062</v>
      </c>
      <c r="NA50" s="56"/>
      <c r="NB50" s="242">
        <f>SUMPRODUCT(PRODUCE!$B63:$DY63,PRODUCE!$EB$47:$IY$47)</f>
        <v>360</v>
      </c>
      <c r="NC50" s="56"/>
      <c r="ND50" s="242">
        <f t="shared" si="365"/>
        <v>360</v>
      </c>
      <c r="NE50" s="242">
        <f t="shared" si="366"/>
        <v>0</v>
      </c>
      <c r="NF50" s="56"/>
      <c r="NI50" s="55">
        <f t="shared" si="367"/>
        <v>46062</v>
      </c>
      <c r="NJ50" s="56"/>
      <c r="NK50" s="242">
        <f>SUMPRODUCT(PRODUCE!$B63:$DY63,PRODUCE!$EB$48:$IY$48)</f>
        <v>0</v>
      </c>
      <c r="NL50" s="56"/>
      <c r="NM50" s="242">
        <f t="shared" si="368"/>
        <v>0</v>
      </c>
      <c r="NN50" s="242">
        <f t="shared" si="369"/>
        <v>0</v>
      </c>
      <c r="NO50" s="56"/>
      <c r="NR50" s="55">
        <f t="shared" si="370"/>
        <v>46062</v>
      </c>
      <c r="NS50" s="56"/>
      <c r="NT50" s="242">
        <f>SUMPRODUCT(PRODUCE!$B63:$DY63,PRODUCE!$EB$49:$IY$49)</f>
        <v>0</v>
      </c>
      <c r="NU50" s="56"/>
      <c r="NV50" s="242">
        <f t="shared" si="371"/>
        <v>0</v>
      </c>
      <c r="NW50" s="242">
        <f t="shared" si="372"/>
        <v>2224.4</v>
      </c>
      <c r="NX50" s="56"/>
      <c r="OA50" s="55">
        <f t="shared" si="373"/>
        <v>46062</v>
      </c>
      <c r="OB50" s="56"/>
      <c r="OC50" s="242">
        <f>SUMPRODUCT(PRODUCE!$B63:$DY63,PRODUCE!$EB$50:$IY$50)</f>
        <v>0</v>
      </c>
      <c r="OD50" s="56"/>
      <c r="OE50" s="242">
        <f t="shared" si="374"/>
        <v>0</v>
      </c>
      <c r="OF50" s="242">
        <f t="shared" si="375"/>
        <v>1680.5</v>
      </c>
      <c r="OG50" s="56"/>
      <c r="OJ50" s="55">
        <f t="shared" si="376"/>
        <v>46062</v>
      </c>
      <c r="OK50" s="56"/>
      <c r="OL50" s="242">
        <f>SUMPRODUCT(PRODUCE!$B63:$DY63,PRODUCE!$EB$51:$IY$51)</f>
        <v>0</v>
      </c>
      <c r="OM50" s="56"/>
      <c r="ON50" s="242">
        <f t="shared" si="377"/>
        <v>0</v>
      </c>
      <c r="OO50" s="242">
        <f t="shared" si="378"/>
        <v>0</v>
      </c>
      <c r="OP50" s="56"/>
      <c r="OS50" s="55">
        <f t="shared" si="379"/>
        <v>46062</v>
      </c>
      <c r="OT50" s="56"/>
      <c r="OU50" s="242">
        <f>SUMPRODUCT(PRODUCE!$B63:$DY63,PRODUCE!$EB$52:$IY$52)</f>
        <v>0</v>
      </c>
      <c r="OV50" s="56"/>
      <c r="OW50" s="242">
        <f t="shared" si="380"/>
        <v>0</v>
      </c>
      <c r="OX50" s="242">
        <f t="shared" si="381"/>
        <v>0</v>
      </c>
      <c r="OY50" s="56"/>
      <c r="PB50" s="55">
        <f t="shared" si="382"/>
        <v>46062</v>
      </c>
      <c r="PC50" s="56"/>
      <c r="PD50" s="242">
        <f>SUMPRODUCT(PRODUCE!$B63:$DY63,PRODUCE!$EB$53:$IY$53)</f>
        <v>0</v>
      </c>
      <c r="PE50" s="56"/>
      <c r="PF50" s="242">
        <f t="shared" si="383"/>
        <v>0</v>
      </c>
      <c r="PG50" s="242">
        <f t="shared" si="384"/>
        <v>0</v>
      </c>
      <c r="PH50" s="56"/>
      <c r="PK50" s="55">
        <f t="shared" si="385"/>
        <v>46062</v>
      </c>
      <c r="PL50" s="56"/>
      <c r="PM50" s="242">
        <f>SUMPRODUCT(PRODUCE!$B63:$DY63,PRODUCE!$EB$54:$IY$54)</f>
        <v>0</v>
      </c>
      <c r="PN50" s="56"/>
      <c r="PO50" s="242">
        <f t="shared" si="386"/>
        <v>0</v>
      </c>
      <c r="PP50" s="242">
        <f t="shared" si="387"/>
        <v>160</v>
      </c>
      <c r="PQ50" s="56"/>
      <c r="PT50" s="55">
        <f t="shared" si="388"/>
        <v>46062</v>
      </c>
      <c r="PU50" s="56"/>
      <c r="PV50" s="242">
        <f>SUMPRODUCT(PRODUCE!$B63:$DY63,PRODUCE!$EB$55:$IY$55)</f>
        <v>0</v>
      </c>
      <c r="PW50" s="56"/>
      <c r="PX50" s="242">
        <f t="shared" si="389"/>
        <v>0</v>
      </c>
      <c r="PY50" s="242">
        <f t="shared" si="390"/>
        <v>13.960000000000036</v>
      </c>
      <c r="PZ50" s="56"/>
      <c r="QC50" s="55">
        <f t="shared" si="391"/>
        <v>46062</v>
      </c>
      <c r="QD50" s="56"/>
      <c r="QE50" s="242">
        <f>SUMPRODUCT(PRODUCE!$B63:$DY63,PRODUCE!$EB$56:$IY$56)</f>
        <v>0</v>
      </c>
      <c r="QF50" s="56"/>
      <c r="QG50" s="242">
        <f t="shared" si="392"/>
        <v>0</v>
      </c>
      <c r="QH50" s="242">
        <f t="shared" si="393"/>
        <v>0</v>
      </c>
      <c r="QI50" s="56"/>
      <c r="QL50" s="55">
        <f t="shared" si="394"/>
        <v>46062</v>
      </c>
      <c r="QM50" s="56"/>
      <c r="QN50" s="242">
        <f>SUMPRODUCT(PRODUCE!$B63:$DY63,PRODUCE!$EB$57:$IY$57)</f>
        <v>0</v>
      </c>
      <c r="QO50" s="56"/>
      <c r="QP50" s="242">
        <f t="shared" si="395"/>
        <v>0</v>
      </c>
      <c r="QQ50" s="242">
        <f t="shared" si="396"/>
        <v>0</v>
      </c>
      <c r="QR50" s="56"/>
      <c r="QU50" s="55">
        <f t="shared" si="397"/>
        <v>46062</v>
      </c>
      <c r="QV50" s="56"/>
      <c r="QW50" s="242">
        <f>SUMPRODUCT(PRODUCE!$B63:$DY63,PRODUCE!$EB$57:$IY$57)</f>
        <v>0</v>
      </c>
      <c r="QX50" s="56"/>
      <c r="QY50" s="242">
        <f t="shared" si="398"/>
        <v>0</v>
      </c>
      <c r="QZ50" s="242">
        <f t="shared" si="399"/>
        <v>207.6</v>
      </c>
      <c r="RA50" s="56"/>
      <c r="RD50" s="55">
        <f t="shared" si="400"/>
        <v>46062</v>
      </c>
      <c r="RE50" s="56"/>
      <c r="RF50" s="242">
        <f>SUMPRODUCT(PRODUCE!$B63:$DY63,PRODUCE!$EB$58:$IY$58)</f>
        <v>0</v>
      </c>
      <c r="RG50" s="56"/>
      <c r="RH50" s="242">
        <f t="shared" si="401"/>
        <v>0</v>
      </c>
      <c r="RI50" s="242">
        <f t="shared" si="402"/>
        <v>201.8</v>
      </c>
      <c r="RJ50" s="56"/>
      <c r="RM50" s="55">
        <f t="shared" si="403"/>
        <v>46062</v>
      </c>
      <c r="RN50" s="56"/>
      <c r="RO50" s="242">
        <f>SUMPRODUCT(PRODUCE!$B63:$DY63,PRODUCE!$EB$57:$IY$57)</f>
        <v>0</v>
      </c>
      <c r="RP50" s="56"/>
      <c r="RQ50" s="242">
        <f t="shared" si="404"/>
        <v>0</v>
      </c>
      <c r="RR50" s="242">
        <f t="shared" si="405"/>
        <v>22.720000000000002</v>
      </c>
      <c r="RS50" s="56"/>
      <c r="RV50" s="55">
        <f t="shared" si="406"/>
        <v>46062</v>
      </c>
      <c r="RW50" s="56"/>
      <c r="RX50" s="242">
        <f>SUMPRODUCT(PRODUCE!$B63:$DY63,PRODUCE!$EB$57:$IY$57)</f>
        <v>0</v>
      </c>
      <c r="RY50" s="56"/>
      <c r="RZ50" s="242">
        <f t="shared" si="407"/>
        <v>0</v>
      </c>
      <c r="SA50" s="242">
        <f t="shared" si="408"/>
        <v>0</v>
      </c>
      <c r="SB50" s="56"/>
      <c r="SE50" s="55">
        <f t="shared" si="409"/>
        <v>46062</v>
      </c>
      <c r="SF50" s="56"/>
      <c r="SG50" s="242">
        <f>SUMPRODUCT(PRODUCE!$B63:$DY63,PRODUCE!$EB$57:$IY$57)</f>
        <v>0</v>
      </c>
      <c r="SH50" s="56"/>
      <c r="SI50" s="242">
        <f t="shared" si="410"/>
        <v>0</v>
      </c>
      <c r="SJ50" s="242">
        <f t="shared" si="411"/>
        <v>0</v>
      </c>
      <c r="SK50" s="56"/>
      <c r="SN50" s="55">
        <f t="shared" si="412"/>
        <v>46062</v>
      </c>
      <c r="SO50" s="56"/>
      <c r="SP50" s="242">
        <f>SUMPRODUCT(PRODUCE!$B63:$DY63,PRODUCE!$EB$57:$IY$57)</f>
        <v>0</v>
      </c>
      <c r="SQ50" s="56"/>
      <c r="SR50" s="242">
        <f t="shared" si="413"/>
        <v>0</v>
      </c>
      <c r="SS50" s="242">
        <f t="shared" si="414"/>
        <v>0</v>
      </c>
      <c r="ST50" s="56"/>
      <c r="SW50" s="55">
        <f t="shared" si="415"/>
        <v>46062</v>
      </c>
      <c r="SX50" s="56"/>
      <c r="SY50" s="242">
        <f>SUMPRODUCT(PRODUCE!$B63:$DY63,PRODUCE!$EB$57:$IY$57)</f>
        <v>0</v>
      </c>
      <c r="SZ50" s="56"/>
      <c r="TA50" s="242">
        <f t="shared" si="416"/>
        <v>0</v>
      </c>
      <c r="TB50" s="242">
        <f t="shared" si="417"/>
        <v>0</v>
      </c>
      <c r="TC50" s="56"/>
      <c r="TF50" s="55">
        <f t="shared" si="418"/>
        <v>46062</v>
      </c>
      <c r="TG50" s="56"/>
      <c r="TH50" s="242">
        <f>SUMPRODUCT(PRODUCE!$B63:$DY63,PRODUCE!$EB$57:$IY$57)</f>
        <v>0</v>
      </c>
      <c r="TI50" s="56"/>
      <c r="TJ50" s="242">
        <f t="shared" si="419"/>
        <v>0</v>
      </c>
      <c r="TK50" s="242">
        <f t="shared" si="420"/>
        <v>0</v>
      </c>
      <c r="TL50" s="56"/>
      <c r="TO50" s="55">
        <f t="shared" si="421"/>
        <v>46062</v>
      </c>
      <c r="TP50" s="56"/>
      <c r="TQ50" s="242">
        <f>SUMPRODUCT(PRODUCE!$B63:$DY63,PRODUCE!$EB$57:$IY$57)</f>
        <v>0</v>
      </c>
      <c r="TR50" s="56"/>
      <c r="TS50" s="242">
        <f t="shared" si="422"/>
        <v>0</v>
      </c>
      <c r="TT50" s="242">
        <f t="shared" si="423"/>
        <v>0</v>
      </c>
      <c r="TU50" s="56"/>
      <c r="TX50" s="55">
        <f t="shared" si="424"/>
        <v>46062</v>
      </c>
      <c r="TY50" s="56"/>
      <c r="TZ50" s="242">
        <f>SUMPRODUCT(PRODUCE!$B63:$DY63,PRODUCE!$EB$57:$IY$57)</f>
        <v>0</v>
      </c>
      <c r="UA50" s="56"/>
      <c r="UB50" s="242">
        <f t="shared" si="425"/>
        <v>0</v>
      </c>
      <c r="UC50" s="242">
        <f t="shared" si="426"/>
        <v>0</v>
      </c>
      <c r="UD50" s="56"/>
      <c r="UG50" s="55">
        <f t="shared" si="427"/>
        <v>46062</v>
      </c>
      <c r="UH50" s="56"/>
      <c r="UI50" s="242">
        <f>SUMPRODUCT(PRODUCE!$B63:$DY63,PRODUCE!$EB$57:$IY$57)</f>
        <v>0</v>
      </c>
      <c r="UJ50" s="56"/>
      <c r="UK50" s="242">
        <f t="shared" si="428"/>
        <v>0</v>
      </c>
      <c r="UL50" s="242">
        <f t="shared" si="429"/>
        <v>0</v>
      </c>
      <c r="UM50" s="56"/>
      <c r="UP50" s="55">
        <f t="shared" si="430"/>
        <v>46062</v>
      </c>
      <c r="UQ50" s="56"/>
      <c r="UR50" s="242">
        <f>SUMPRODUCT(PRODUCE!$B63:$DY63,PRODUCE!$EB$57:$IY$57)</f>
        <v>0</v>
      </c>
      <c r="US50" s="56"/>
      <c r="UT50" s="242">
        <f t="shared" si="431"/>
        <v>0</v>
      </c>
      <c r="UU50" s="242">
        <f t="shared" si="432"/>
        <v>0</v>
      </c>
      <c r="UV50" s="56"/>
      <c r="UY50" s="55">
        <f t="shared" si="433"/>
        <v>46062</v>
      </c>
      <c r="UZ50" s="56"/>
      <c r="VA50" s="242">
        <f>SUMPRODUCT(PRODUCE!$B63:$DY63,PRODUCE!$EB$57:$IY$57)</f>
        <v>0</v>
      </c>
      <c r="VB50" s="56"/>
      <c r="VC50" s="242">
        <f t="shared" si="434"/>
        <v>0</v>
      </c>
      <c r="VD50" s="242">
        <f t="shared" si="435"/>
        <v>41.600000000000023</v>
      </c>
      <c r="VE50" s="56"/>
      <c r="VH50" s="55">
        <f t="shared" si="436"/>
        <v>46062</v>
      </c>
      <c r="VI50" s="56"/>
      <c r="VJ50" s="242">
        <f>SUMPRODUCT(PRODUCE!$B63:$DY63,PRODUCE!$EB$57:$IY$57)</f>
        <v>0</v>
      </c>
      <c r="VK50" s="56"/>
      <c r="VL50" s="242">
        <f t="shared" si="437"/>
        <v>0</v>
      </c>
      <c r="VM50" s="242">
        <f t="shared" si="438"/>
        <v>0</v>
      </c>
      <c r="VN50" s="56"/>
      <c r="VQ50" s="55">
        <f t="shared" si="439"/>
        <v>46062</v>
      </c>
      <c r="VR50" s="56"/>
      <c r="VS50" s="242">
        <f>SUMPRODUCT(PRODUCE!$B63:$DY63,PRODUCE!$EB$57:$IY$57)</f>
        <v>0</v>
      </c>
      <c r="VT50" s="56"/>
      <c r="VU50" s="242">
        <f t="shared" si="440"/>
        <v>0</v>
      </c>
      <c r="VV50" s="242">
        <f t="shared" si="441"/>
        <v>0</v>
      </c>
      <c r="VW50" s="56"/>
      <c r="VZ50" s="55">
        <f t="shared" si="442"/>
        <v>46062</v>
      </c>
      <c r="WA50" s="56"/>
      <c r="WB50" s="242">
        <f>SUMPRODUCT(PRODUCE!$B63:$DY63,PRODUCE!$EB$57:$IY$57)</f>
        <v>0</v>
      </c>
      <c r="WC50" s="56"/>
      <c r="WD50" s="242">
        <f t="shared" si="443"/>
        <v>0</v>
      </c>
      <c r="WE50" s="242">
        <f t="shared" si="444"/>
        <v>0</v>
      </c>
      <c r="WF50" s="56"/>
      <c r="WI50" s="55">
        <f t="shared" si="445"/>
        <v>46062</v>
      </c>
      <c r="WJ50" s="56"/>
      <c r="WK50" s="242">
        <f>SUMPRODUCT(PRODUCE!$B63:$DY63,PRODUCE!$EB$57:$IY$57)</f>
        <v>0</v>
      </c>
      <c r="WL50" s="56"/>
      <c r="WM50" s="242">
        <f t="shared" si="446"/>
        <v>0</v>
      </c>
      <c r="WN50" s="242">
        <f t="shared" si="447"/>
        <v>9609</v>
      </c>
      <c r="WO50" s="56"/>
      <c r="WR50" s="55">
        <f t="shared" si="448"/>
        <v>46062</v>
      </c>
      <c r="WS50" s="56"/>
      <c r="WT50" s="242">
        <f>SUMPRODUCT(PRODUCE!$B63:$DY63,PRODUCE!$EB$57:$IY$57)</f>
        <v>0</v>
      </c>
      <c r="WU50" s="56"/>
      <c r="WV50" s="242">
        <f t="shared" si="449"/>
        <v>0</v>
      </c>
      <c r="WW50" s="242">
        <f t="shared" si="450"/>
        <v>8149</v>
      </c>
      <c r="WX50" s="56"/>
      <c r="XA50" s="55">
        <f t="shared" si="451"/>
        <v>46062</v>
      </c>
      <c r="XB50" s="56"/>
      <c r="XC50" s="242">
        <f>SUMPRODUCT(PRODUCE!$B63:$DY63,PRODUCE!$EB$57:$IY$57)</f>
        <v>0</v>
      </c>
      <c r="XD50" s="56"/>
      <c r="XE50" s="242">
        <f t="shared" si="452"/>
        <v>0</v>
      </c>
      <c r="XF50" s="242">
        <f t="shared" si="453"/>
        <v>590</v>
      </c>
      <c r="XG50" s="56"/>
      <c r="XJ50" s="55">
        <f t="shared" si="454"/>
        <v>46062</v>
      </c>
      <c r="XK50" s="56"/>
      <c r="XL50" s="242">
        <f>SUMPRODUCT(PRODUCE!$B63:$DY63,PRODUCE!$EB$57:$IY$57)</f>
        <v>0</v>
      </c>
      <c r="XM50" s="56"/>
      <c r="XN50" s="242">
        <f t="shared" si="455"/>
        <v>0</v>
      </c>
      <c r="XO50" s="242">
        <f t="shared" si="456"/>
        <v>2090</v>
      </c>
      <c r="XP50" s="56"/>
      <c r="XS50" s="55">
        <f t="shared" si="457"/>
        <v>46062</v>
      </c>
      <c r="XT50" s="56"/>
      <c r="XU50" s="242">
        <f>SUMPRODUCT(PRODUCE!$B63:$DY63,PRODUCE!$EB$57:$IY$57)</f>
        <v>0</v>
      </c>
      <c r="XV50" s="56"/>
      <c r="XW50" s="242">
        <f t="shared" si="458"/>
        <v>0</v>
      </c>
      <c r="XX50" s="242">
        <f t="shared" si="459"/>
        <v>1901</v>
      </c>
      <c r="XY50" s="56"/>
      <c r="YB50" s="55">
        <f t="shared" si="460"/>
        <v>46062</v>
      </c>
      <c r="YC50" s="56"/>
      <c r="YD50" s="242">
        <f>SUMPRODUCT(PRODUCE!$B63:$DY63,PRODUCE!$EB$57:$IY$57)</f>
        <v>0</v>
      </c>
      <c r="YE50" s="56">
        <v>1407</v>
      </c>
      <c r="YF50" s="242">
        <f t="shared" si="461"/>
        <v>-1407</v>
      </c>
      <c r="YG50" s="242">
        <f t="shared" si="462"/>
        <v>-37</v>
      </c>
      <c r="YH50" s="56"/>
      <c r="YK50" s="55">
        <f t="shared" si="463"/>
        <v>46062</v>
      </c>
      <c r="YL50" s="56"/>
      <c r="YM50" s="242">
        <f>SUMPRODUCT(PRODUCE!$B63:$DY63,PRODUCE!$EB$57:$IY$57)</f>
        <v>0</v>
      </c>
      <c r="YN50" s="56"/>
      <c r="YO50" s="242">
        <f t="shared" si="464"/>
        <v>0</v>
      </c>
      <c r="YP50" s="242">
        <f t="shared" si="465"/>
        <v>0</v>
      </c>
      <c r="YQ50" s="56"/>
      <c r="YT50" s="55">
        <f t="shared" si="466"/>
        <v>46062</v>
      </c>
      <c r="YU50" s="56"/>
      <c r="YV50" s="242">
        <f>SUMPRODUCT(PRODUCE!$B63:$DY63,PRODUCE!$EB$57:$IY$57)</f>
        <v>0</v>
      </c>
      <c r="YW50" s="56"/>
      <c r="YX50" s="242">
        <f t="shared" si="467"/>
        <v>0</v>
      </c>
      <c r="YY50" s="242">
        <f t="shared" si="468"/>
        <v>0</v>
      </c>
      <c r="YZ50" s="56"/>
      <c r="ZC50" s="55">
        <f t="shared" si="469"/>
        <v>46062</v>
      </c>
      <c r="ZD50" s="56"/>
      <c r="ZE50" s="242">
        <f>SUMPRODUCT(PRODUCE!$B63:$DY63,PRODUCE!$EB$57:$IY$57)</f>
        <v>0</v>
      </c>
      <c r="ZF50" s="56"/>
      <c r="ZG50" s="242">
        <f t="shared" si="470"/>
        <v>0</v>
      </c>
      <c r="ZH50" s="242">
        <f t="shared" si="471"/>
        <v>0</v>
      </c>
      <c r="ZI50" s="56"/>
      <c r="ZL50" s="55">
        <f t="shared" si="472"/>
        <v>46062</v>
      </c>
      <c r="ZM50" s="56"/>
      <c r="ZN50" s="242">
        <f>SUMPRODUCT(PRODUCE!$B63:$DY63,PRODUCE!$EB$57:$IY$57)</f>
        <v>0</v>
      </c>
      <c r="ZO50" s="56"/>
      <c r="ZP50" s="242">
        <f t="shared" si="473"/>
        <v>0</v>
      </c>
      <c r="ZQ50" s="242">
        <f t="shared" si="474"/>
        <v>0</v>
      </c>
      <c r="ZR50" s="56"/>
      <c r="ZU50" s="55">
        <f t="shared" si="475"/>
        <v>46062</v>
      </c>
      <c r="ZV50" s="56"/>
      <c r="ZW50" s="242">
        <f>SUMPRODUCT(PRODUCE!$B63:$DY63,PRODUCE!$EB$57:$IY$57)</f>
        <v>0</v>
      </c>
      <c r="ZX50" s="56"/>
      <c r="ZY50" s="242">
        <f t="shared" si="476"/>
        <v>0</v>
      </c>
      <c r="ZZ50" s="242">
        <f t="shared" si="477"/>
        <v>0</v>
      </c>
      <c r="AAA50" s="56"/>
      <c r="AAD50" s="55">
        <f t="shared" si="478"/>
        <v>46062</v>
      </c>
      <c r="AAE50" s="56"/>
      <c r="AAF50" s="242">
        <f>SUMPRODUCT(PRODUCE!$B63:$DY63,PRODUCE!$EB$57:$IY$57)</f>
        <v>0</v>
      </c>
      <c r="AAG50" s="56"/>
      <c r="AAH50" s="242">
        <f t="shared" si="479"/>
        <v>0</v>
      </c>
      <c r="AAI50" s="242">
        <f t="shared" si="480"/>
        <v>0</v>
      </c>
      <c r="AAJ50" s="56"/>
      <c r="AAM50" s="55">
        <f t="shared" si="481"/>
        <v>46062</v>
      </c>
      <c r="AAN50" s="56"/>
      <c r="AAO50" s="242">
        <f>SUMPRODUCT(PRODUCE!$B63:$DY63,PRODUCE!$EB$57:$IY$57)</f>
        <v>0</v>
      </c>
      <c r="AAP50" s="56"/>
      <c r="AAQ50" s="242">
        <f t="shared" si="482"/>
        <v>0</v>
      </c>
      <c r="AAR50" s="242">
        <f t="shared" si="483"/>
        <v>0</v>
      </c>
      <c r="AAS50" s="56"/>
      <c r="AAV50" s="55">
        <f t="shared" si="484"/>
        <v>46062</v>
      </c>
      <c r="AAW50" s="56"/>
      <c r="AAX50" s="242">
        <f>SUMPRODUCT(PRODUCE!$B63:$DY63,PRODUCE!$EB$57:$IY$57)</f>
        <v>0</v>
      </c>
      <c r="AAY50" s="56"/>
      <c r="AAZ50" s="242">
        <f t="shared" si="485"/>
        <v>0</v>
      </c>
      <c r="ABA50" s="242">
        <f t="shared" si="486"/>
        <v>0</v>
      </c>
      <c r="ABB50" s="56"/>
      <c r="ABE50" s="55">
        <f t="shared" si="487"/>
        <v>46062</v>
      </c>
      <c r="ABF50" s="56"/>
      <c r="ABG50" s="242">
        <f>SUMPRODUCT(PRODUCE!$B63:$DY63,PRODUCE!$EB$57:$IY$57)</f>
        <v>0</v>
      </c>
      <c r="ABH50" s="56"/>
      <c r="ABI50" s="242">
        <f t="shared" si="488"/>
        <v>0</v>
      </c>
      <c r="ABJ50" s="242">
        <f t="shared" si="489"/>
        <v>0</v>
      </c>
      <c r="ABK50" s="56"/>
    </row>
    <row r="51" spans="2:739" s="54" customFormat="1" ht="15" customHeight="1" outlineLevel="1">
      <c r="B51" s="478">
        <v>50</v>
      </c>
      <c r="C51" s="55">
        <v>46063</v>
      </c>
      <c r="D51" s="422">
        <v>13780</v>
      </c>
      <c r="E51" s="424">
        <f>SUMPRODUCT(PRODUCE!$B64:$DY64,PRODUCE!$EB$7:$IY$7)</f>
        <v>26875</v>
      </c>
      <c r="F51" s="422">
        <v>26875.8</v>
      </c>
      <c r="G51" s="423">
        <f t="shared" si="247"/>
        <v>-0.7999999999992724</v>
      </c>
      <c r="H51" s="423">
        <f t="shared" si="245"/>
        <v>145599.20000000001</v>
      </c>
      <c r="I51" s="289" t="s">
        <v>202</v>
      </c>
      <c r="L51" s="55">
        <f t="shared" si="246"/>
        <v>46063</v>
      </c>
      <c r="M51" s="422"/>
      <c r="N51" s="439">
        <f>SUMPRODUCT(PRODUCE!$B64:$DY64,PRODUCE!$EB$8:$IY$8)</f>
        <v>13949.999999999996</v>
      </c>
      <c r="O51" s="422">
        <v>13949</v>
      </c>
      <c r="P51" s="438">
        <f t="shared" si="248"/>
        <v>0.99999999999636202</v>
      </c>
      <c r="Q51" s="438">
        <f t="shared" si="249"/>
        <v>83357.400000000009</v>
      </c>
      <c r="R51" s="56"/>
      <c r="U51" s="55">
        <f t="shared" si="250"/>
        <v>46063</v>
      </c>
      <c r="V51" s="422"/>
      <c r="W51" s="441">
        <f>SUMPRODUCT(PRODUCE!$B64:$DY64,PRODUCE!$EB$9:$IY$9)</f>
        <v>2500</v>
      </c>
      <c r="X51" s="422">
        <v>2500.1</v>
      </c>
      <c r="Y51" s="440">
        <f t="shared" si="251"/>
        <v>-9.9999999999909051E-2</v>
      </c>
      <c r="Z51" s="440">
        <f t="shared" si="252"/>
        <v>55316.799999999981</v>
      </c>
      <c r="AA51" s="56"/>
      <c r="AD51" s="55">
        <f t="shared" si="253"/>
        <v>46063</v>
      </c>
      <c r="AE51" s="422"/>
      <c r="AF51" s="443">
        <f>SUMPRODUCT(PRODUCE!$B64:$DY64,PRODUCE!$EB$10:$IY$10)</f>
        <v>2500</v>
      </c>
      <c r="AG51" s="422">
        <v>2498.1999999999998</v>
      </c>
      <c r="AH51" s="442">
        <f t="shared" si="254"/>
        <v>1.8000000000001819</v>
      </c>
      <c r="AI51" s="442">
        <f t="shared" si="255"/>
        <v>38514.700000000019</v>
      </c>
      <c r="AJ51" s="56"/>
      <c r="AM51" s="55">
        <f t="shared" si="256"/>
        <v>46063</v>
      </c>
      <c r="AN51" s="422"/>
      <c r="AO51" s="445">
        <f>SUMPRODUCT(PRODUCE!$B64:$DY64,PRODUCE!$EB$11:$IY$11)</f>
        <v>0</v>
      </c>
      <c r="AP51" s="422"/>
      <c r="AQ51" s="444">
        <f t="shared" si="257"/>
        <v>0</v>
      </c>
      <c r="AR51" s="444">
        <f t="shared" si="258"/>
        <v>0</v>
      </c>
      <c r="AS51" s="56"/>
      <c r="AV51" s="55">
        <f t="shared" si="259"/>
        <v>46063</v>
      </c>
      <c r="AW51" s="422"/>
      <c r="AX51" s="447">
        <f>SUMPRODUCT(PRODUCE!$B64:$DY64,PRODUCE!$EB$12:$IY$12)</f>
        <v>1000</v>
      </c>
      <c r="AY51" s="422">
        <v>999.8</v>
      </c>
      <c r="AZ51" s="446">
        <f t="shared" si="260"/>
        <v>0.20000000000004547</v>
      </c>
      <c r="BA51" s="446">
        <f t="shared" si="261"/>
        <v>57285.19999999999</v>
      </c>
      <c r="BB51" s="56"/>
      <c r="BE51" s="55">
        <f t="shared" si="262"/>
        <v>46063</v>
      </c>
      <c r="BF51" s="422"/>
      <c r="BG51" s="449">
        <f>SUMPRODUCT(PRODUCE!$B64:$DY64,PRODUCE!$EB$13:$IY$13)</f>
        <v>1000</v>
      </c>
      <c r="BH51" s="422">
        <v>1000.5</v>
      </c>
      <c r="BI51" s="448">
        <f t="shared" si="263"/>
        <v>-0.5</v>
      </c>
      <c r="BJ51" s="448">
        <f t="shared" si="264"/>
        <v>33570.500000000007</v>
      </c>
      <c r="BK51" s="56"/>
      <c r="BN51" s="55">
        <f t="shared" si="265"/>
        <v>46063</v>
      </c>
      <c r="BO51" s="422">
        <v>1000</v>
      </c>
      <c r="BP51" s="451">
        <f>SUMPRODUCT(PRODUCE!$B64:$DY64,PRODUCE!$EB$14:$IY$14)</f>
        <v>1000</v>
      </c>
      <c r="BQ51" s="422">
        <v>1000</v>
      </c>
      <c r="BR51" s="450">
        <f t="shared" si="266"/>
        <v>0</v>
      </c>
      <c r="BS51" s="450">
        <f t="shared" si="267"/>
        <v>0</v>
      </c>
      <c r="BT51" s="56"/>
      <c r="BW51" s="55">
        <f t="shared" si="268"/>
        <v>46063</v>
      </c>
      <c r="BX51" s="56"/>
      <c r="BY51" s="81">
        <f>SUMPRODUCT(PRODUCE!$B64:$DY64,PRODUCE!$EB$15:$IY$15)</f>
        <v>0</v>
      </c>
      <c r="BZ51" s="56"/>
      <c r="CA51" s="65">
        <f t="shared" si="269"/>
        <v>0</v>
      </c>
      <c r="CB51" s="65">
        <f t="shared" si="270"/>
        <v>3487.1</v>
      </c>
      <c r="CC51" s="56"/>
      <c r="CF51" s="55">
        <f t="shared" si="271"/>
        <v>46063</v>
      </c>
      <c r="CG51" s="56"/>
      <c r="CH51" s="82">
        <f>SUMPRODUCT(PRODUCE!$B64:$DY64,PRODUCE!$EB$16:$IY$16)</f>
        <v>0</v>
      </c>
      <c r="CI51" s="56"/>
      <c r="CJ51" s="66">
        <f t="shared" si="272"/>
        <v>0</v>
      </c>
      <c r="CK51" s="66">
        <f t="shared" si="273"/>
        <v>0</v>
      </c>
      <c r="CL51" s="56"/>
      <c r="CO51" s="55">
        <f t="shared" si="274"/>
        <v>46063</v>
      </c>
      <c r="CP51" s="422"/>
      <c r="CQ51" s="471">
        <f>SUMPRODUCT(PRODUCE!$B64:$DY64,PRODUCE!$EB$17:$IY$17)</f>
        <v>0</v>
      </c>
      <c r="CR51" s="422"/>
      <c r="CS51" s="470">
        <f t="shared" si="275"/>
        <v>0</v>
      </c>
      <c r="CT51" s="470">
        <f t="shared" si="276"/>
        <v>0</v>
      </c>
      <c r="CU51" s="56"/>
      <c r="CX51" s="55">
        <f t="shared" si="277"/>
        <v>46063</v>
      </c>
      <c r="CY51" s="56"/>
      <c r="CZ51" s="136">
        <f>SUMPRODUCT(PRODUCE!$B64:$DY64,PRODUCE!$EB$18:$IY$18)</f>
        <v>0</v>
      </c>
      <c r="DA51" s="56"/>
      <c r="DB51" s="133">
        <f t="shared" si="278"/>
        <v>0</v>
      </c>
      <c r="DC51" s="133">
        <f t="shared" si="279"/>
        <v>16209.8</v>
      </c>
      <c r="DD51" s="56"/>
      <c r="DG51" s="55">
        <f t="shared" si="280"/>
        <v>46063</v>
      </c>
      <c r="DH51" s="56"/>
      <c r="DI51" s="150">
        <f>SUMPRODUCT(PRODUCE!$B64:$DY64,PRODUCE!$EB$19:$IY$19)</f>
        <v>0</v>
      </c>
      <c r="DJ51" s="56"/>
      <c r="DK51" s="147">
        <f t="shared" si="281"/>
        <v>0</v>
      </c>
      <c r="DL51" s="147">
        <f t="shared" si="282"/>
        <v>18250.399999999998</v>
      </c>
      <c r="DM51" s="56"/>
      <c r="DP51" s="55">
        <f t="shared" si="283"/>
        <v>46063</v>
      </c>
      <c r="DQ51" s="56"/>
      <c r="DR51" s="58">
        <f>SUMPRODUCT(PRODUCE!$B64:$DY64,PRODUCE!$EB$20:$IY$20)</f>
        <v>0</v>
      </c>
      <c r="DS51" s="56"/>
      <c r="DT51" s="57">
        <f t="shared" si="284"/>
        <v>0</v>
      </c>
      <c r="DU51" s="57">
        <f t="shared" si="285"/>
        <v>0</v>
      </c>
      <c r="DV51" s="56"/>
      <c r="DY51" s="55">
        <f t="shared" si="286"/>
        <v>46063</v>
      </c>
      <c r="DZ51" s="56">
        <v>5080</v>
      </c>
      <c r="EA51" s="159">
        <f>SUMPRODUCT(PRODUCE!$B64:$DY64,PRODUCE!$EB$21:$IY$21)</f>
        <v>0</v>
      </c>
      <c r="EB51" s="56"/>
      <c r="EC51" s="157">
        <f t="shared" si="287"/>
        <v>0</v>
      </c>
      <c r="ED51" s="157">
        <f t="shared" si="288"/>
        <v>8699.6</v>
      </c>
      <c r="EE51" s="56"/>
      <c r="EH51" s="55">
        <f t="shared" si="289"/>
        <v>46063</v>
      </c>
      <c r="EI51" s="56"/>
      <c r="EJ51" s="164">
        <f>SUMPRODUCT(PRODUCE!$B64:$DY64,PRODUCE!$EB$22:$IY$22)</f>
        <v>0</v>
      </c>
      <c r="EK51" s="56"/>
      <c r="EL51" s="162">
        <f t="shared" si="290"/>
        <v>0</v>
      </c>
      <c r="EM51" s="162">
        <f t="shared" si="291"/>
        <v>0</v>
      </c>
      <c r="EN51" s="56"/>
      <c r="EQ51" s="55">
        <f t="shared" si="292"/>
        <v>46063</v>
      </c>
      <c r="ER51" s="56"/>
      <c r="ES51" s="171">
        <f>SUMPRODUCT(PRODUCE!$B64:$DY64,PRODUCE!$EB$23:$IY$23)</f>
        <v>0</v>
      </c>
      <c r="ET51" s="56"/>
      <c r="EU51" s="135">
        <f t="shared" si="293"/>
        <v>0</v>
      </c>
      <c r="EV51" s="135">
        <f t="shared" si="294"/>
        <v>0</v>
      </c>
      <c r="EW51" s="56"/>
      <c r="EZ51" s="55">
        <f t="shared" si="295"/>
        <v>46063</v>
      </c>
      <c r="FA51" s="56"/>
      <c r="FB51" s="178">
        <f>SUMPRODUCT(PRODUCE!$B64:$DY64,PRODUCE!$EB$24:$IY$24)</f>
        <v>0</v>
      </c>
      <c r="FC51" s="56"/>
      <c r="FD51" s="175">
        <f t="shared" si="296"/>
        <v>0</v>
      </c>
      <c r="FE51" s="175">
        <f t="shared" si="297"/>
        <v>0</v>
      </c>
      <c r="FF51" s="56"/>
      <c r="FI51" s="55">
        <f t="shared" si="298"/>
        <v>46063</v>
      </c>
      <c r="FJ51" s="56"/>
      <c r="FK51" s="184">
        <f>SUMPRODUCT(PRODUCE!$B64:$DY64,PRODUCE!$EB$25:$IY$25)</f>
        <v>0</v>
      </c>
      <c r="FL51" s="56"/>
      <c r="FM51" s="183">
        <f t="shared" si="299"/>
        <v>0</v>
      </c>
      <c r="FN51" s="183">
        <f t="shared" si="300"/>
        <v>0</v>
      </c>
      <c r="FO51" s="56"/>
      <c r="FR51" s="55">
        <f t="shared" si="301"/>
        <v>46063</v>
      </c>
      <c r="FS51" s="422"/>
      <c r="FT51" s="453">
        <f>SUMPRODUCT(PRODUCE!$B64:$DY64,PRODUCE!$EB$26:$IY$26)</f>
        <v>0</v>
      </c>
      <c r="FU51" s="422"/>
      <c r="FV51" s="452">
        <f t="shared" si="302"/>
        <v>0</v>
      </c>
      <c r="FW51" s="452">
        <f t="shared" si="303"/>
        <v>3540</v>
      </c>
      <c r="FX51" s="56"/>
      <c r="GA51" s="55">
        <f t="shared" si="304"/>
        <v>46063</v>
      </c>
      <c r="GB51" s="422"/>
      <c r="GC51" s="455">
        <f>SUMPRODUCT(PRODUCE!$B64:$DY64,PRODUCE!$EB$27:$IY$27)</f>
        <v>0</v>
      </c>
      <c r="GD51" s="422"/>
      <c r="GE51" s="454">
        <f t="shared" si="305"/>
        <v>0</v>
      </c>
      <c r="GF51" s="454">
        <f t="shared" si="306"/>
        <v>5960</v>
      </c>
      <c r="GG51" s="56"/>
      <c r="GI51" s="23"/>
      <c r="GJ51" s="55">
        <f t="shared" si="307"/>
        <v>46063</v>
      </c>
      <c r="GK51" s="422"/>
      <c r="GL51" s="457">
        <f>SUMPRODUCT(PRODUCE!$B64:$DY64,PRODUCE!$EB$28:$IY$28)</f>
        <v>0</v>
      </c>
      <c r="GM51" s="422"/>
      <c r="GN51" s="456">
        <f t="shared" si="308"/>
        <v>0</v>
      </c>
      <c r="GO51" s="456">
        <f t="shared" si="309"/>
        <v>3240</v>
      </c>
      <c r="GP51" s="56"/>
      <c r="GS51" s="55">
        <f t="shared" si="310"/>
        <v>46063</v>
      </c>
      <c r="GT51" s="56"/>
      <c r="GU51" s="196">
        <f>SUMPRODUCT(PRODUCE!$B64:$DY64,PRODUCE!$EB$29:$IY$29)</f>
        <v>0</v>
      </c>
      <c r="GV51" s="56"/>
      <c r="GW51" s="195">
        <f t="shared" si="311"/>
        <v>0</v>
      </c>
      <c r="GX51" s="195">
        <f t="shared" si="312"/>
        <v>0</v>
      </c>
      <c r="GY51" s="56"/>
      <c r="HB51" s="55">
        <f t="shared" si="313"/>
        <v>46063</v>
      </c>
      <c r="HC51" s="56"/>
      <c r="HD51" s="192">
        <f>SUMPRODUCT(PRODUCE!$B64:$DY64,PRODUCE!$EB$30:$IY$30)</f>
        <v>0</v>
      </c>
      <c r="HE51" s="56"/>
      <c r="HF51" s="191">
        <f t="shared" si="314"/>
        <v>0</v>
      </c>
      <c r="HG51" s="191">
        <f t="shared" si="315"/>
        <v>0</v>
      </c>
      <c r="HH51" s="56"/>
      <c r="HK51" s="55">
        <f t="shared" si="316"/>
        <v>46063</v>
      </c>
      <c r="HL51" s="56"/>
      <c r="HM51" s="80">
        <f>SUMPRODUCT(PRODUCE!$B64:$DY64,PRODUCE!$EB$31:$IY$31)</f>
        <v>0</v>
      </c>
      <c r="HN51" s="56"/>
      <c r="HO51" s="63">
        <f t="shared" si="317"/>
        <v>0</v>
      </c>
      <c r="HP51" s="63">
        <f t="shared" si="318"/>
        <v>0</v>
      </c>
      <c r="HQ51" s="56"/>
      <c r="HU51" s="55">
        <f t="shared" si="319"/>
        <v>46063</v>
      </c>
      <c r="HV51" s="56"/>
      <c r="HW51" s="242">
        <f>SUMPRODUCT(PRODUCE!$B64:$DY64,PRODUCE!$EB$32:$IY$32)</f>
        <v>0</v>
      </c>
      <c r="HX51" s="56"/>
      <c r="HY51" s="242">
        <f t="shared" si="320"/>
        <v>0</v>
      </c>
      <c r="HZ51" s="242">
        <f t="shared" si="321"/>
        <v>5120</v>
      </c>
      <c r="IA51" s="56"/>
      <c r="ID51" s="55">
        <f t="shared" si="322"/>
        <v>46063</v>
      </c>
      <c r="IE51" s="56"/>
      <c r="IF51" s="242">
        <f>SUMPRODUCT(PRODUCE!$B64:$DY64,PRODUCE!$EB$33:$IY$33)</f>
        <v>0</v>
      </c>
      <c r="IG51" s="56"/>
      <c r="IH51" s="242">
        <f t="shared" si="323"/>
        <v>0</v>
      </c>
      <c r="II51" s="242">
        <f t="shared" si="324"/>
        <v>5100</v>
      </c>
      <c r="IJ51" s="56"/>
      <c r="IM51" s="55">
        <f t="shared" si="325"/>
        <v>46063</v>
      </c>
      <c r="IN51" s="56"/>
      <c r="IO51" s="242">
        <f>SUMPRODUCT(PRODUCE!$B64:$DY64,PRODUCE!$EB$34:$IY$34)</f>
        <v>1000</v>
      </c>
      <c r="IP51" s="56"/>
      <c r="IQ51" s="242">
        <f t="shared" si="326"/>
        <v>1000</v>
      </c>
      <c r="IR51" s="242">
        <f t="shared" si="327"/>
        <v>13040</v>
      </c>
      <c r="IS51" s="56"/>
      <c r="IV51" s="55">
        <f t="shared" si="328"/>
        <v>46063</v>
      </c>
      <c r="IW51" s="56"/>
      <c r="IX51" s="242">
        <f>SUMPRODUCT(PRODUCE!$B64:$DY64,PRODUCE!$EB$35:$IY$35)</f>
        <v>0</v>
      </c>
      <c r="IY51" s="56"/>
      <c r="IZ51" s="242">
        <f t="shared" si="329"/>
        <v>0</v>
      </c>
      <c r="JA51" s="242">
        <f t="shared" si="330"/>
        <v>13120</v>
      </c>
      <c r="JB51" s="56"/>
      <c r="JE51" s="55">
        <f t="shared" si="331"/>
        <v>46063</v>
      </c>
      <c r="JF51" s="56"/>
      <c r="JG51" s="242">
        <f>SUMPRODUCT(PRODUCE!$B64:$DY64,PRODUCE!$EB$36:$IY$36)</f>
        <v>0</v>
      </c>
      <c r="JH51" s="56"/>
      <c r="JI51" s="242">
        <f t="shared" si="332"/>
        <v>0</v>
      </c>
      <c r="JJ51" s="242">
        <f t="shared" si="333"/>
        <v>6800</v>
      </c>
      <c r="JK51" s="56"/>
      <c r="JN51" s="55">
        <f t="shared" si="334"/>
        <v>46063</v>
      </c>
      <c r="JO51" s="56"/>
      <c r="JP51" s="242">
        <f>SUMPRODUCT(PRODUCE!$B64:$DY64,PRODUCE!$EB$37:$IY$37)</f>
        <v>0</v>
      </c>
      <c r="JQ51" s="56"/>
      <c r="JR51" s="242">
        <f t="shared" si="335"/>
        <v>0</v>
      </c>
      <c r="JS51" s="242">
        <f t="shared" si="336"/>
        <v>5400</v>
      </c>
      <c r="JT51" s="56"/>
      <c r="JW51" s="55">
        <f t="shared" si="337"/>
        <v>46063</v>
      </c>
      <c r="JX51" s="56">
        <f>87*20</f>
        <v>1740</v>
      </c>
      <c r="JY51" s="242">
        <f>SUMPRODUCT(PRODUCE!$B64:$DY64,PRODUCE!$EB$38:$IY$38)</f>
        <v>0</v>
      </c>
      <c r="JZ51" s="56"/>
      <c r="KA51" s="242">
        <f t="shared" si="338"/>
        <v>0</v>
      </c>
      <c r="KB51" s="242">
        <f t="shared" si="339"/>
        <v>1760</v>
      </c>
      <c r="KC51" s="56"/>
      <c r="KF51" s="55">
        <f t="shared" si="340"/>
        <v>46063</v>
      </c>
      <c r="KG51" s="56">
        <f>244*19.5</f>
        <v>4758</v>
      </c>
      <c r="KH51" s="242">
        <f>SUMPRODUCT(PRODUCE!$B64:$DY64,PRODUCE!$EB$39:$IY$39)</f>
        <v>0</v>
      </c>
      <c r="KI51" s="56"/>
      <c r="KJ51" s="242">
        <f t="shared" si="341"/>
        <v>0</v>
      </c>
      <c r="KK51" s="242">
        <f t="shared" si="342"/>
        <v>5148</v>
      </c>
      <c r="KL51" s="56"/>
      <c r="KO51" s="55">
        <f t="shared" si="343"/>
        <v>46063</v>
      </c>
      <c r="KP51" s="56">
        <f>154*18.9</f>
        <v>2910.6</v>
      </c>
      <c r="KQ51" s="242">
        <f>SUMPRODUCT(PRODUCE!$B64:$DY64,PRODUCE!$EB$40:$IY$40)</f>
        <v>0</v>
      </c>
      <c r="KR51" s="56"/>
      <c r="KS51" s="242">
        <f t="shared" si="344"/>
        <v>0</v>
      </c>
      <c r="KT51" s="242">
        <f t="shared" si="345"/>
        <v>13230</v>
      </c>
      <c r="KU51" s="56"/>
      <c r="KW51" s="23"/>
      <c r="KX51" s="55">
        <f t="shared" si="346"/>
        <v>46063</v>
      </c>
      <c r="KY51" s="56"/>
      <c r="KZ51" s="242">
        <f>SUMPRODUCT(PRODUCE!$B64:$DY64,PRODUCE!$EB$41:$IY$41)</f>
        <v>0</v>
      </c>
      <c r="LA51" s="56"/>
      <c r="LB51" s="242">
        <f t="shared" si="347"/>
        <v>0</v>
      </c>
      <c r="LC51" s="242">
        <f t="shared" si="348"/>
        <v>0</v>
      </c>
      <c r="LD51" s="56"/>
      <c r="LG51" s="55">
        <f t="shared" si="349"/>
        <v>46063</v>
      </c>
      <c r="LH51" s="56"/>
      <c r="LI51" s="242">
        <f>SUMPRODUCT(PRODUCE!$B64:$DY64,PRODUCE!$EB$42:$IY$42)</f>
        <v>0</v>
      </c>
      <c r="LJ51" s="56"/>
      <c r="LK51" s="242">
        <f t="shared" si="350"/>
        <v>0</v>
      </c>
      <c r="LL51" s="242">
        <f t="shared" si="351"/>
        <v>0</v>
      </c>
      <c r="LM51" s="56"/>
      <c r="LP51" s="55">
        <f t="shared" si="352"/>
        <v>46063</v>
      </c>
      <c r="LQ51" s="56"/>
      <c r="LR51" s="242">
        <f>SUMPRODUCT(PRODUCE!$B66:$DY66,PRODUCE!$EB$43:$IY$43)</f>
        <v>0</v>
      </c>
      <c r="LS51" s="56"/>
      <c r="LT51" s="242">
        <f t="shared" si="353"/>
        <v>0</v>
      </c>
      <c r="LU51" s="242">
        <f t="shared" si="354"/>
        <v>0</v>
      </c>
      <c r="LV51" s="56"/>
      <c r="LY51" s="55">
        <f t="shared" si="355"/>
        <v>46063</v>
      </c>
      <c r="LZ51" s="56"/>
      <c r="MA51" s="242">
        <f>SUMPRODUCT(PRODUCE!$B66:$DY66,PRODUCE!$EB$44:$IY$44)</f>
        <v>0</v>
      </c>
      <c r="MB51" s="56"/>
      <c r="MC51" s="242">
        <f t="shared" si="356"/>
        <v>0</v>
      </c>
      <c r="MD51" s="242">
        <f t="shared" si="357"/>
        <v>0</v>
      </c>
      <c r="ME51" s="56"/>
      <c r="MH51" s="55">
        <f t="shared" si="358"/>
        <v>46063</v>
      </c>
      <c r="MI51" s="56"/>
      <c r="MJ51" s="242">
        <f>SUMPRODUCT(PRODUCE!$B64:$DY64,PRODUCE!$EB$45:$IY$45)</f>
        <v>0</v>
      </c>
      <c r="MK51" s="56"/>
      <c r="ML51" s="242">
        <f t="shared" si="359"/>
        <v>0</v>
      </c>
      <c r="MM51" s="242">
        <f t="shared" si="360"/>
        <v>0</v>
      </c>
      <c r="MN51" s="56"/>
      <c r="MQ51" s="55">
        <f t="shared" si="361"/>
        <v>46063</v>
      </c>
      <c r="MR51" s="56"/>
      <c r="MS51" s="242">
        <f>SUMPRODUCT(PRODUCE!$B64:$DY64,PRODUCE!$EB$46:$IY$46)</f>
        <v>25</v>
      </c>
      <c r="MT51" s="56"/>
      <c r="MU51" s="242">
        <f t="shared" si="362"/>
        <v>25</v>
      </c>
      <c r="MV51" s="242">
        <f t="shared" si="363"/>
        <v>1285</v>
      </c>
      <c r="MW51" s="56"/>
      <c r="MZ51" s="55">
        <f t="shared" si="364"/>
        <v>46063</v>
      </c>
      <c r="NA51" s="56"/>
      <c r="NB51" s="242">
        <f>SUMPRODUCT(PRODUCE!$B64:$DY64,PRODUCE!$EB$47:$IY$47)</f>
        <v>150</v>
      </c>
      <c r="NC51" s="56"/>
      <c r="ND51" s="242">
        <f t="shared" si="365"/>
        <v>150</v>
      </c>
      <c r="NE51" s="242">
        <f t="shared" si="366"/>
        <v>0</v>
      </c>
      <c r="NF51" s="56"/>
      <c r="NI51" s="55">
        <f t="shared" si="367"/>
        <v>46063</v>
      </c>
      <c r="NJ51" s="56"/>
      <c r="NK51" s="242">
        <f>SUMPRODUCT(PRODUCE!$B64:$DY64,PRODUCE!$EB$48:$IY$48)</f>
        <v>0</v>
      </c>
      <c r="NL51" s="56"/>
      <c r="NM51" s="242">
        <f t="shared" si="368"/>
        <v>0</v>
      </c>
      <c r="NN51" s="242">
        <f t="shared" si="369"/>
        <v>0</v>
      </c>
      <c r="NO51" s="56"/>
      <c r="NR51" s="55">
        <f t="shared" si="370"/>
        <v>46063</v>
      </c>
      <c r="NS51" s="56">
        <v>500</v>
      </c>
      <c r="NT51" s="242">
        <f>SUMPRODUCT(PRODUCE!$B64:$DY64,PRODUCE!$EB$49:$IY$49)</f>
        <v>0</v>
      </c>
      <c r="NU51" s="56"/>
      <c r="NV51" s="242">
        <f t="shared" si="371"/>
        <v>0</v>
      </c>
      <c r="NW51" s="242">
        <f t="shared" si="372"/>
        <v>2724.4</v>
      </c>
      <c r="NX51" s="56"/>
      <c r="OA51" s="55">
        <f t="shared" si="373"/>
        <v>46063</v>
      </c>
      <c r="OB51" s="56"/>
      <c r="OC51" s="242">
        <f>SUMPRODUCT(PRODUCE!$B64:$DY64,PRODUCE!$EB$50:$IY$50)</f>
        <v>0</v>
      </c>
      <c r="OD51" s="56"/>
      <c r="OE51" s="242">
        <f t="shared" si="374"/>
        <v>0</v>
      </c>
      <c r="OF51" s="242">
        <f t="shared" si="375"/>
        <v>1680.5</v>
      </c>
      <c r="OG51" s="56"/>
      <c r="OJ51" s="55">
        <f t="shared" si="376"/>
        <v>46063</v>
      </c>
      <c r="OK51" s="56"/>
      <c r="OL51" s="242">
        <f>SUMPRODUCT(PRODUCE!$B64:$DY64,PRODUCE!$EB$51:$IY$51)</f>
        <v>0</v>
      </c>
      <c r="OM51" s="56"/>
      <c r="ON51" s="242">
        <f t="shared" si="377"/>
        <v>0</v>
      </c>
      <c r="OO51" s="242">
        <f t="shared" si="378"/>
        <v>0</v>
      </c>
      <c r="OP51" s="56"/>
      <c r="OS51" s="55">
        <f t="shared" si="379"/>
        <v>46063</v>
      </c>
      <c r="OT51" s="56"/>
      <c r="OU51" s="242">
        <f>SUMPRODUCT(PRODUCE!$B64:$DY64,PRODUCE!$EB$52:$IY$52)</f>
        <v>0</v>
      </c>
      <c r="OV51" s="56"/>
      <c r="OW51" s="242">
        <f t="shared" si="380"/>
        <v>0</v>
      </c>
      <c r="OX51" s="242">
        <f t="shared" si="381"/>
        <v>0</v>
      </c>
      <c r="OY51" s="56"/>
      <c r="PB51" s="55">
        <f t="shared" si="382"/>
        <v>46063</v>
      </c>
      <c r="PC51" s="56"/>
      <c r="PD51" s="242">
        <f>SUMPRODUCT(PRODUCE!$B64:$DY64,PRODUCE!$EB$53:$IY$53)</f>
        <v>0</v>
      </c>
      <c r="PE51" s="56"/>
      <c r="PF51" s="242">
        <f t="shared" si="383"/>
        <v>0</v>
      </c>
      <c r="PG51" s="242">
        <f t="shared" si="384"/>
        <v>0</v>
      </c>
      <c r="PH51" s="56"/>
      <c r="PK51" s="55">
        <f t="shared" si="385"/>
        <v>46063</v>
      </c>
      <c r="PL51" s="56"/>
      <c r="PM51" s="242">
        <f>SUMPRODUCT(PRODUCE!$B64:$DY64,PRODUCE!$EB$54:$IY$54)</f>
        <v>0</v>
      </c>
      <c r="PN51" s="56"/>
      <c r="PO51" s="242">
        <f t="shared" si="386"/>
        <v>0</v>
      </c>
      <c r="PP51" s="242">
        <f t="shared" si="387"/>
        <v>160</v>
      </c>
      <c r="PQ51" s="56"/>
      <c r="PT51" s="55">
        <f t="shared" si="388"/>
        <v>46063</v>
      </c>
      <c r="PU51" s="56"/>
      <c r="PV51" s="242">
        <f>SUMPRODUCT(PRODUCE!$B64:$DY64,PRODUCE!$EB$55:$IY$55)</f>
        <v>0</v>
      </c>
      <c r="PW51" s="56"/>
      <c r="PX51" s="242">
        <f t="shared" si="389"/>
        <v>0</v>
      </c>
      <c r="PY51" s="242">
        <f t="shared" si="390"/>
        <v>13.960000000000036</v>
      </c>
      <c r="PZ51" s="56"/>
      <c r="QC51" s="55">
        <f t="shared" si="391"/>
        <v>46063</v>
      </c>
      <c r="QD51" s="56"/>
      <c r="QE51" s="242">
        <f>SUMPRODUCT(PRODUCE!$B64:$DY64,PRODUCE!$EB$56:$IY$56)</f>
        <v>0</v>
      </c>
      <c r="QF51" s="56"/>
      <c r="QG51" s="242">
        <f t="shared" si="392"/>
        <v>0</v>
      </c>
      <c r="QH51" s="242">
        <f t="shared" si="393"/>
        <v>0</v>
      </c>
      <c r="QI51" s="56"/>
      <c r="QL51" s="55">
        <f t="shared" si="394"/>
        <v>46063</v>
      </c>
      <c r="QM51" s="56"/>
      <c r="QN51" s="242">
        <f>SUMPRODUCT(PRODUCE!$B64:$DY64,PRODUCE!$EB$57:$IY$57)</f>
        <v>0</v>
      </c>
      <c r="QO51" s="56"/>
      <c r="QP51" s="242">
        <f t="shared" si="395"/>
        <v>0</v>
      </c>
      <c r="QQ51" s="242">
        <f t="shared" si="396"/>
        <v>0</v>
      </c>
      <c r="QR51" s="56"/>
      <c r="QU51" s="55">
        <f t="shared" si="397"/>
        <v>46063</v>
      </c>
      <c r="QV51" s="56"/>
      <c r="QW51" s="242">
        <f>SUMPRODUCT(PRODUCE!$B64:$DY64,PRODUCE!$EB$57:$IY$57)</f>
        <v>0</v>
      </c>
      <c r="QX51" s="56"/>
      <c r="QY51" s="242">
        <f t="shared" si="398"/>
        <v>0</v>
      </c>
      <c r="QZ51" s="242">
        <f t="shared" si="399"/>
        <v>207.6</v>
      </c>
      <c r="RA51" s="56"/>
      <c r="RD51" s="55">
        <f t="shared" si="400"/>
        <v>46063</v>
      </c>
      <c r="RE51" s="56"/>
      <c r="RF51" s="242">
        <f>SUMPRODUCT(PRODUCE!$B64:$DY64,PRODUCE!$EB$58:$IY$58)</f>
        <v>0</v>
      </c>
      <c r="RG51" s="56"/>
      <c r="RH51" s="242">
        <f t="shared" si="401"/>
        <v>0</v>
      </c>
      <c r="RI51" s="242">
        <f t="shared" si="402"/>
        <v>201.8</v>
      </c>
      <c r="RJ51" s="56"/>
      <c r="RM51" s="55">
        <f t="shared" si="403"/>
        <v>46063</v>
      </c>
      <c r="RN51" s="56"/>
      <c r="RO51" s="242">
        <f>SUMPRODUCT(PRODUCE!$B64:$DY64,PRODUCE!$EB$57:$IY$57)</f>
        <v>0</v>
      </c>
      <c r="RP51" s="56"/>
      <c r="RQ51" s="242">
        <f t="shared" si="404"/>
        <v>0</v>
      </c>
      <c r="RR51" s="242">
        <f t="shared" si="405"/>
        <v>22.720000000000002</v>
      </c>
      <c r="RS51" s="56"/>
      <c r="RV51" s="55">
        <f t="shared" si="406"/>
        <v>46063</v>
      </c>
      <c r="RW51" s="56"/>
      <c r="RX51" s="242">
        <f>SUMPRODUCT(PRODUCE!$B64:$DY64,PRODUCE!$EB$57:$IY$57)</f>
        <v>0</v>
      </c>
      <c r="RY51" s="56"/>
      <c r="RZ51" s="242">
        <f t="shared" si="407"/>
        <v>0</v>
      </c>
      <c r="SA51" s="242">
        <f t="shared" si="408"/>
        <v>0</v>
      </c>
      <c r="SB51" s="56"/>
      <c r="SE51" s="55">
        <f t="shared" si="409"/>
        <v>46063</v>
      </c>
      <c r="SF51" s="56"/>
      <c r="SG51" s="242">
        <f>SUMPRODUCT(PRODUCE!$B64:$DY64,PRODUCE!$EB$57:$IY$57)</f>
        <v>0</v>
      </c>
      <c r="SH51" s="56"/>
      <c r="SI51" s="242">
        <f t="shared" si="410"/>
        <v>0</v>
      </c>
      <c r="SJ51" s="242">
        <f t="shared" si="411"/>
        <v>0</v>
      </c>
      <c r="SK51" s="56"/>
      <c r="SN51" s="55">
        <f t="shared" si="412"/>
        <v>46063</v>
      </c>
      <c r="SO51" s="56"/>
      <c r="SP51" s="242">
        <f>SUMPRODUCT(PRODUCE!$B64:$DY64,PRODUCE!$EB$57:$IY$57)</f>
        <v>0</v>
      </c>
      <c r="SQ51" s="56"/>
      <c r="SR51" s="242">
        <f t="shared" si="413"/>
        <v>0</v>
      </c>
      <c r="SS51" s="242">
        <f t="shared" si="414"/>
        <v>0</v>
      </c>
      <c r="ST51" s="56"/>
      <c r="SW51" s="55">
        <f t="shared" si="415"/>
        <v>46063</v>
      </c>
      <c r="SX51" s="56"/>
      <c r="SY51" s="242">
        <f>SUMPRODUCT(PRODUCE!$B64:$DY64,PRODUCE!$EB$57:$IY$57)</f>
        <v>0</v>
      </c>
      <c r="SZ51" s="56"/>
      <c r="TA51" s="242">
        <f t="shared" si="416"/>
        <v>0</v>
      </c>
      <c r="TB51" s="242">
        <f t="shared" si="417"/>
        <v>0</v>
      </c>
      <c r="TC51" s="56"/>
      <c r="TF51" s="55">
        <f t="shared" si="418"/>
        <v>46063</v>
      </c>
      <c r="TG51" s="56"/>
      <c r="TH51" s="242">
        <f>SUMPRODUCT(PRODUCE!$B64:$DY64,PRODUCE!$EB$57:$IY$57)</f>
        <v>0</v>
      </c>
      <c r="TI51" s="56"/>
      <c r="TJ51" s="242">
        <f t="shared" si="419"/>
        <v>0</v>
      </c>
      <c r="TK51" s="242">
        <f t="shared" si="420"/>
        <v>0</v>
      </c>
      <c r="TL51" s="56"/>
      <c r="TO51" s="55">
        <f t="shared" si="421"/>
        <v>46063</v>
      </c>
      <c r="TP51" s="56"/>
      <c r="TQ51" s="242">
        <f>SUMPRODUCT(PRODUCE!$B64:$DY64,PRODUCE!$EB$57:$IY$57)</f>
        <v>0</v>
      </c>
      <c r="TR51" s="56"/>
      <c r="TS51" s="242">
        <f t="shared" si="422"/>
        <v>0</v>
      </c>
      <c r="TT51" s="242">
        <f t="shared" si="423"/>
        <v>0</v>
      </c>
      <c r="TU51" s="56"/>
      <c r="TX51" s="55">
        <f t="shared" si="424"/>
        <v>46063</v>
      </c>
      <c r="TY51" s="56"/>
      <c r="TZ51" s="242">
        <f>SUMPRODUCT(PRODUCE!$B64:$DY64,PRODUCE!$EB$57:$IY$57)</f>
        <v>0</v>
      </c>
      <c r="UA51" s="56"/>
      <c r="UB51" s="242">
        <f t="shared" si="425"/>
        <v>0</v>
      </c>
      <c r="UC51" s="242">
        <f t="shared" si="426"/>
        <v>0</v>
      </c>
      <c r="UD51" s="56"/>
      <c r="UG51" s="55">
        <f t="shared" si="427"/>
        <v>46063</v>
      </c>
      <c r="UH51" s="56"/>
      <c r="UI51" s="242">
        <f>SUMPRODUCT(PRODUCE!$B64:$DY64,PRODUCE!$EB$57:$IY$57)</f>
        <v>0</v>
      </c>
      <c r="UJ51" s="56"/>
      <c r="UK51" s="242">
        <f t="shared" si="428"/>
        <v>0</v>
      </c>
      <c r="UL51" s="242">
        <f t="shared" si="429"/>
        <v>0</v>
      </c>
      <c r="UM51" s="56"/>
      <c r="UP51" s="55">
        <f t="shared" si="430"/>
        <v>46063</v>
      </c>
      <c r="UQ51" s="56"/>
      <c r="UR51" s="242">
        <f>SUMPRODUCT(PRODUCE!$B64:$DY64,PRODUCE!$EB$57:$IY$57)</f>
        <v>0</v>
      </c>
      <c r="US51" s="56"/>
      <c r="UT51" s="242">
        <f t="shared" si="431"/>
        <v>0</v>
      </c>
      <c r="UU51" s="242">
        <f t="shared" si="432"/>
        <v>0</v>
      </c>
      <c r="UV51" s="56"/>
      <c r="UY51" s="55">
        <f t="shared" si="433"/>
        <v>46063</v>
      </c>
      <c r="UZ51" s="56"/>
      <c r="VA51" s="242">
        <f>SUMPRODUCT(PRODUCE!$B64:$DY64,PRODUCE!$EB$57:$IY$57)</f>
        <v>0</v>
      </c>
      <c r="VB51" s="56"/>
      <c r="VC51" s="242">
        <f t="shared" si="434"/>
        <v>0</v>
      </c>
      <c r="VD51" s="242">
        <f t="shared" si="435"/>
        <v>41.600000000000023</v>
      </c>
      <c r="VE51" s="56"/>
      <c r="VH51" s="55">
        <f t="shared" si="436"/>
        <v>46063</v>
      </c>
      <c r="VI51" s="56"/>
      <c r="VJ51" s="242">
        <f>SUMPRODUCT(PRODUCE!$B64:$DY64,PRODUCE!$EB$57:$IY$57)</f>
        <v>0</v>
      </c>
      <c r="VK51" s="56"/>
      <c r="VL51" s="242">
        <f t="shared" si="437"/>
        <v>0</v>
      </c>
      <c r="VM51" s="242">
        <f t="shared" si="438"/>
        <v>0</v>
      </c>
      <c r="VN51" s="56"/>
      <c r="VQ51" s="55">
        <f t="shared" si="439"/>
        <v>46063</v>
      </c>
      <c r="VR51" s="56"/>
      <c r="VS51" s="242">
        <f>SUMPRODUCT(PRODUCE!$B64:$DY64,PRODUCE!$EB$57:$IY$57)</f>
        <v>0</v>
      </c>
      <c r="VT51" s="56"/>
      <c r="VU51" s="242">
        <f t="shared" si="440"/>
        <v>0</v>
      </c>
      <c r="VV51" s="242">
        <f t="shared" si="441"/>
        <v>0</v>
      </c>
      <c r="VW51" s="56"/>
      <c r="VZ51" s="55">
        <f t="shared" si="442"/>
        <v>46063</v>
      </c>
      <c r="WA51" s="56"/>
      <c r="WB51" s="242">
        <f>SUMPRODUCT(PRODUCE!$B64:$DY64,PRODUCE!$EB$57:$IY$57)</f>
        <v>0</v>
      </c>
      <c r="WC51" s="56"/>
      <c r="WD51" s="242">
        <f t="shared" si="443"/>
        <v>0</v>
      </c>
      <c r="WE51" s="242">
        <f t="shared" si="444"/>
        <v>0</v>
      </c>
      <c r="WF51" s="56"/>
      <c r="WI51" s="55">
        <f t="shared" si="445"/>
        <v>46063</v>
      </c>
      <c r="WJ51" s="56"/>
      <c r="WK51" s="242">
        <f>SUMPRODUCT(PRODUCE!$B64:$DY64,PRODUCE!$EB$57:$IY$57)</f>
        <v>0</v>
      </c>
      <c r="WL51" s="56"/>
      <c r="WM51" s="242">
        <f t="shared" si="446"/>
        <v>0</v>
      </c>
      <c r="WN51" s="242">
        <f t="shared" si="447"/>
        <v>9609</v>
      </c>
      <c r="WO51" s="56"/>
      <c r="WR51" s="55">
        <f t="shared" si="448"/>
        <v>46063</v>
      </c>
      <c r="WS51" s="56"/>
      <c r="WT51" s="242">
        <f>SUMPRODUCT(PRODUCE!$B64:$DY64,PRODUCE!$EB$57:$IY$57)</f>
        <v>0</v>
      </c>
      <c r="WU51" s="56"/>
      <c r="WV51" s="242">
        <f t="shared" si="449"/>
        <v>0</v>
      </c>
      <c r="WW51" s="242">
        <f t="shared" si="450"/>
        <v>8149</v>
      </c>
      <c r="WX51" s="56"/>
      <c r="XA51" s="55">
        <f t="shared" si="451"/>
        <v>46063</v>
      </c>
      <c r="XB51" s="56"/>
      <c r="XC51" s="242">
        <f>SUMPRODUCT(PRODUCE!$B64:$DY64,PRODUCE!$EB$57:$IY$57)</f>
        <v>0</v>
      </c>
      <c r="XD51" s="56"/>
      <c r="XE51" s="242">
        <f t="shared" si="452"/>
        <v>0</v>
      </c>
      <c r="XF51" s="242">
        <f t="shared" si="453"/>
        <v>590</v>
      </c>
      <c r="XG51" s="56"/>
      <c r="XJ51" s="55">
        <f t="shared" si="454"/>
        <v>46063</v>
      </c>
      <c r="XK51" s="56"/>
      <c r="XL51" s="242">
        <f>SUMPRODUCT(PRODUCE!$B64:$DY64,PRODUCE!$EB$57:$IY$57)</f>
        <v>0</v>
      </c>
      <c r="XM51" s="56"/>
      <c r="XN51" s="242">
        <f t="shared" si="455"/>
        <v>0</v>
      </c>
      <c r="XO51" s="242">
        <f t="shared" si="456"/>
        <v>2090</v>
      </c>
      <c r="XP51" s="56"/>
      <c r="XS51" s="55">
        <f t="shared" si="457"/>
        <v>46063</v>
      </c>
      <c r="XT51" s="56"/>
      <c r="XU51" s="242">
        <f>SUMPRODUCT(PRODUCE!$B64:$DY64,PRODUCE!$EB$57:$IY$57)</f>
        <v>0</v>
      </c>
      <c r="XV51" s="56"/>
      <c r="XW51" s="242">
        <f t="shared" si="458"/>
        <v>0</v>
      </c>
      <c r="XX51" s="242">
        <f t="shared" si="459"/>
        <v>1901</v>
      </c>
      <c r="XY51" s="56"/>
      <c r="YB51" s="55">
        <f t="shared" si="460"/>
        <v>46063</v>
      </c>
      <c r="YC51" s="56"/>
      <c r="YD51" s="242">
        <f>SUMPRODUCT(PRODUCE!$B64:$DY64,PRODUCE!$EB$57:$IY$57)</f>
        <v>0</v>
      </c>
      <c r="YE51" s="56"/>
      <c r="YF51" s="242">
        <f t="shared" si="461"/>
        <v>0</v>
      </c>
      <c r="YG51" s="242">
        <f t="shared" si="462"/>
        <v>-37</v>
      </c>
      <c r="YH51" s="56"/>
      <c r="YK51" s="55">
        <f t="shared" si="463"/>
        <v>46063</v>
      </c>
      <c r="YL51" s="56"/>
      <c r="YM51" s="242">
        <f>SUMPRODUCT(PRODUCE!$B64:$DY64,PRODUCE!$EB$57:$IY$57)</f>
        <v>0</v>
      </c>
      <c r="YN51" s="56"/>
      <c r="YO51" s="242">
        <f t="shared" si="464"/>
        <v>0</v>
      </c>
      <c r="YP51" s="242">
        <f t="shared" si="465"/>
        <v>0</v>
      </c>
      <c r="YQ51" s="56"/>
      <c r="YT51" s="55">
        <f t="shared" si="466"/>
        <v>46063</v>
      </c>
      <c r="YU51" s="56"/>
      <c r="YV51" s="242">
        <f>SUMPRODUCT(PRODUCE!$B64:$DY64,PRODUCE!$EB$57:$IY$57)</f>
        <v>0</v>
      </c>
      <c r="YW51" s="56"/>
      <c r="YX51" s="242">
        <f t="shared" si="467"/>
        <v>0</v>
      </c>
      <c r="YY51" s="242">
        <f t="shared" si="468"/>
        <v>0</v>
      </c>
      <c r="YZ51" s="56"/>
      <c r="ZC51" s="55">
        <f t="shared" si="469"/>
        <v>46063</v>
      </c>
      <c r="ZD51" s="56"/>
      <c r="ZE51" s="242">
        <f>SUMPRODUCT(PRODUCE!$B64:$DY64,PRODUCE!$EB$57:$IY$57)</f>
        <v>0</v>
      </c>
      <c r="ZF51" s="56"/>
      <c r="ZG51" s="242">
        <f t="shared" si="470"/>
        <v>0</v>
      </c>
      <c r="ZH51" s="242">
        <f t="shared" si="471"/>
        <v>0</v>
      </c>
      <c r="ZI51" s="56"/>
      <c r="ZL51" s="55">
        <f t="shared" si="472"/>
        <v>46063</v>
      </c>
      <c r="ZM51" s="56"/>
      <c r="ZN51" s="242">
        <f>SUMPRODUCT(PRODUCE!$B64:$DY64,PRODUCE!$EB$57:$IY$57)</f>
        <v>0</v>
      </c>
      <c r="ZO51" s="56"/>
      <c r="ZP51" s="242">
        <f t="shared" si="473"/>
        <v>0</v>
      </c>
      <c r="ZQ51" s="242">
        <f t="shared" si="474"/>
        <v>0</v>
      </c>
      <c r="ZR51" s="56"/>
      <c r="ZU51" s="55">
        <f t="shared" si="475"/>
        <v>46063</v>
      </c>
      <c r="ZV51" s="56"/>
      <c r="ZW51" s="242">
        <f>SUMPRODUCT(PRODUCE!$B64:$DY64,PRODUCE!$EB$57:$IY$57)</f>
        <v>0</v>
      </c>
      <c r="ZX51" s="56"/>
      <c r="ZY51" s="242">
        <f t="shared" si="476"/>
        <v>0</v>
      </c>
      <c r="ZZ51" s="242">
        <f t="shared" si="477"/>
        <v>0</v>
      </c>
      <c r="AAA51" s="56"/>
      <c r="AAD51" s="55">
        <f t="shared" si="478"/>
        <v>46063</v>
      </c>
      <c r="AAE51" s="56"/>
      <c r="AAF51" s="242">
        <f>SUMPRODUCT(PRODUCE!$B64:$DY64,PRODUCE!$EB$57:$IY$57)</f>
        <v>0</v>
      </c>
      <c r="AAG51" s="56"/>
      <c r="AAH51" s="242">
        <f t="shared" si="479"/>
        <v>0</v>
      </c>
      <c r="AAI51" s="242">
        <f t="shared" si="480"/>
        <v>0</v>
      </c>
      <c r="AAJ51" s="56"/>
      <c r="AAM51" s="55">
        <f t="shared" si="481"/>
        <v>46063</v>
      </c>
      <c r="AAN51" s="56"/>
      <c r="AAO51" s="242">
        <f>SUMPRODUCT(PRODUCE!$B64:$DY64,PRODUCE!$EB$57:$IY$57)</f>
        <v>0</v>
      </c>
      <c r="AAP51" s="56"/>
      <c r="AAQ51" s="242">
        <f t="shared" si="482"/>
        <v>0</v>
      </c>
      <c r="AAR51" s="242">
        <f t="shared" si="483"/>
        <v>0</v>
      </c>
      <c r="AAS51" s="56"/>
      <c r="AAV51" s="55">
        <f t="shared" si="484"/>
        <v>46063</v>
      </c>
      <c r="AAW51" s="56"/>
      <c r="AAX51" s="242">
        <f>SUMPRODUCT(PRODUCE!$B64:$DY64,PRODUCE!$EB$57:$IY$57)</f>
        <v>0</v>
      </c>
      <c r="AAY51" s="56"/>
      <c r="AAZ51" s="242">
        <f t="shared" si="485"/>
        <v>0</v>
      </c>
      <c r="ABA51" s="242">
        <f t="shared" si="486"/>
        <v>0</v>
      </c>
      <c r="ABB51" s="56"/>
      <c r="ABE51" s="55">
        <f t="shared" si="487"/>
        <v>46063</v>
      </c>
      <c r="ABF51" s="56"/>
      <c r="ABG51" s="242">
        <f>SUMPRODUCT(PRODUCE!$B64:$DY64,PRODUCE!$EB$57:$IY$57)</f>
        <v>0</v>
      </c>
      <c r="ABH51" s="56"/>
      <c r="ABI51" s="242">
        <f t="shared" si="488"/>
        <v>0</v>
      </c>
      <c r="ABJ51" s="242">
        <f t="shared" si="489"/>
        <v>0</v>
      </c>
      <c r="ABK51" s="56"/>
    </row>
    <row r="52" spans="2:739" s="54" customFormat="1" ht="15" customHeight="1" outlineLevel="1">
      <c r="B52" s="478">
        <v>120</v>
      </c>
      <c r="C52" s="55">
        <v>46064</v>
      </c>
      <c r="D52" s="422">
        <v>92080</v>
      </c>
      <c r="E52" s="424">
        <f>SUMPRODUCT(PRODUCE!$B65:$DY65,PRODUCE!$EB$7:$IY$7)</f>
        <v>61865.999999999993</v>
      </c>
      <c r="F52" s="422">
        <v>61861</v>
      </c>
      <c r="G52" s="423">
        <f t="shared" si="247"/>
        <v>4.999999999992724</v>
      </c>
      <c r="H52" s="423">
        <f t="shared" si="245"/>
        <v>175818.2</v>
      </c>
      <c r="I52" s="289" t="s">
        <v>203</v>
      </c>
      <c r="L52" s="55">
        <f t="shared" si="246"/>
        <v>46064</v>
      </c>
      <c r="M52" s="422"/>
      <c r="N52" s="439">
        <f>SUMPRODUCT(PRODUCE!$B65:$DY65,PRODUCE!$EB$8:$IY$8)</f>
        <v>28620.000000000004</v>
      </c>
      <c r="O52" s="422">
        <v>28620.799999999999</v>
      </c>
      <c r="P52" s="438">
        <f t="shared" si="248"/>
        <v>-0.79999999999563443</v>
      </c>
      <c r="Q52" s="438">
        <f t="shared" si="249"/>
        <v>54736.600000000006</v>
      </c>
      <c r="R52" s="56"/>
      <c r="U52" s="55">
        <f t="shared" si="250"/>
        <v>46064</v>
      </c>
      <c r="V52" s="422">
        <v>21040</v>
      </c>
      <c r="W52" s="441">
        <f>SUMPRODUCT(PRODUCE!$B65:$DY65,PRODUCE!$EB$9:$IY$9)</f>
        <v>7980</v>
      </c>
      <c r="X52" s="422">
        <v>7981.6</v>
      </c>
      <c r="Y52" s="440">
        <f t="shared" si="251"/>
        <v>-1.6000000000003638</v>
      </c>
      <c r="Z52" s="440">
        <f t="shared" si="252"/>
        <v>68375.199999999983</v>
      </c>
      <c r="AA52" s="56"/>
      <c r="AD52" s="55">
        <f t="shared" si="253"/>
        <v>46064</v>
      </c>
      <c r="AE52" s="422"/>
      <c r="AF52" s="443">
        <f>SUMPRODUCT(PRODUCE!$B65:$DY65,PRODUCE!$EB$10:$IY$10)</f>
        <v>1200</v>
      </c>
      <c r="AG52" s="422">
        <v>1204.0999999999999</v>
      </c>
      <c r="AH52" s="442">
        <f t="shared" si="254"/>
        <v>-4.0999999999999091</v>
      </c>
      <c r="AI52" s="442">
        <f t="shared" si="255"/>
        <v>37310.60000000002</v>
      </c>
      <c r="AJ52" s="56"/>
      <c r="AM52" s="55">
        <f t="shared" si="256"/>
        <v>46064</v>
      </c>
      <c r="AN52" s="422"/>
      <c r="AO52" s="445">
        <f>SUMPRODUCT(PRODUCE!$B65:$DY65,PRODUCE!$EB$11:$IY$11)</f>
        <v>0</v>
      </c>
      <c r="AP52" s="422"/>
      <c r="AQ52" s="444">
        <f t="shared" si="257"/>
        <v>0</v>
      </c>
      <c r="AR52" s="444">
        <f t="shared" si="258"/>
        <v>0</v>
      </c>
      <c r="AS52" s="56"/>
      <c r="AV52" s="55">
        <f t="shared" si="259"/>
        <v>46064</v>
      </c>
      <c r="AW52" s="422"/>
      <c r="AX52" s="447">
        <f>SUMPRODUCT(PRODUCE!$B65:$DY65,PRODUCE!$EB$12:$IY$12)</f>
        <v>3000</v>
      </c>
      <c r="AY52" s="422">
        <v>3000.5</v>
      </c>
      <c r="AZ52" s="446">
        <f t="shared" si="260"/>
        <v>-0.5</v>
      </c>
      <c r="BA52" s="446">
        <f t="shared" si="261"/>
        <v>54284.69999999999</v>
      </c>
      <c r="BB52" s="56"/>
      <c r="BE52" s="55">
        <f t="shared" si="262"/>
        <v>46064</v>
      </c>
      <c r="BF52" s="422"/>
      <c r="BG52" s="449">
        <f>SUMPRODUCT(PRODUCE!$B65:$DY65,PRODUCE!$EB$13:$IY$13)</f>
        <v>3359.9999999999995</v>
      </c>
      <c r="BH52" s="422">
        <v>3357.5</v>
      </c>
      <c r="BI52" s="448">
        <f t="shared" si="263"/>
        <v>2.4999999999995453</v>
      </c>
      <c r="BJ52" s="448">
        <f t="shared" si="264"/>
        <v>30213.000000000007</v>
      </c>
      <c r="BK52" s="56"/>
      <c r="BN52" s="55">
        <f t="shared" si="265"/>
        <v>46064</v>
      </c>
      <c r="BO52" s="422">
        <v>1799</v>
      </c>
      <c r="BP52" s="451">
        <f>SUMPRODUCT(PRODUCE!$B65:$DY65,PRODUCE!$EB$14:$IY$14)</f>
        <v>1800</v>
      </c>
      <c r="BQ52" s="422">
        <v>1799</v>
      </c>
      <c r="BR52" s="450">
        <f t="shared" si="266"/>
        <v>1</v>
      </c>
      <c r="BS52" s="450">
        <f t="shared" si="267"/>
        <v>0</v>
      </c>
      <c r="BT52" s="56"/>
      <c r="BW52" s="55">
        <f t="shared" si="268"/>
        <v>46064</v>
      </c>
      <c r="BX52" s="56"/>
      <c r="BY52" s="81">
        <f>SUMPRODUCT(PRODUCE!$B65:$DY65,PRODUCE!$EB$15:$IY$15)</f>
        <v>540.00000000000011</v>
      </c>
      <c r="BZ52" s="56">
        <f>306+58.5</f>
        <v>364.5</v>
      </c>
      <c r="CA52" s="65">
        <f t="shared" si="269"/>
        <v>175.50000000000011</v>
      </c>
      <c r="CB52" s="65">
        <f t="shared" si="270"/>
        <v>3122.6</v>
      </c>
      <c r="CC52" s="56"/>
      <c r="CF52" s="55">
        <f t="shared" si="271"/>
        <v>46064</v>
      </c>
      <c r="CG52" s="56">
        <v>23.4</v>
      </c>
      <c r="CH52" s="82">
        <f>SUMPRODUCT(PRODUCE!$B65:$DY65,PRODUCE!$EB$16:$IY$16)</f>
        <v>839.99999999999989</v>
      </c>
      <c r="CI52" s="56">
        <v>23.4</v>
      </c>
      <c r="CJ52" s="66">
        <f t="shared" si="272"/>
        <v>816.59999999999991</v>
      </c>
      <c r="CK52" s="66">
        <f t="shared" si="273"/>
        <v>0</v>
      </c>
      <c r="CL52" s="56"/>
      <c r="CO52" s="55">
        <f t="shared" si="274"/>
        <v>46064</v>
      </c>
      <c r="CP52" s="422"/>
      <c r="CQ52" s="471">
        <f>SUMPRODUCT(PRODUCE!$B65:$DY65,PRODUCE!$EB$17:$IY$17)</f>
        <v>0</v>
      </c>
      <c r="CR52" s="422"/>
      <c r="CS52" s="470">
        <f t="shared" si="275"/>
        <v>0</v>
      </c>
      <c r="CT52" s="470">
        <f t="shared" si="276"/>
        <v>0</v>
      </c>
      <c r="CU52" s="56"/>
      <c r="CX52" s="55">
        <f t="shared" si="277"/>
        <v>46064</v>
      </c>
      <c r="CY52" s="56"/>
      <c r="CZ52" s="136">
        <f>SUMPRODUCT(PRODUCE!$B65:$DY65,PRODUCE!$EB$18:$IY$18)</f>
        <v>4020</v>
      </c>
      <c r="DA52" s="56">
        <v>4022.5</v>
      </c>
      <c r="DB52" s="133">
        <f t="shared" si="278"/>
        <v>-2.5</v>
      </c>
      <c r="DC52" s="133">
        <f t="shared" si="279"/>
        <v>12187.3</v>
      </c>
      <c r="DD52" s="56"/>
      <c r="DG52" s="55">
        <f t="shared" si="280"/>
        <v>46064</v>
      </c>
      <c r="DH52" s="56"/>
      <c r="DI52" s="150">
        <f>SUMPRODUCT(PRODUCE!$B65:$DY65,PRODUCE!$EB$19:$IY$19)</f>
        <v>419.99999999999994</v>
      </c>
      <c r="DJ52" s="56">
        <v>421.4</v>
      </c>
      <c r="DK52" s="147">
        <f t="shared" si="281"/>
        <v>-1.4000000000000341</v>
      </c>
      <c r="DL52" s="147">
        <f t="shared" si="282"/>
        <v>17828.999999999996</v>
      </c>
      <c r="DM52" s="56"/>
      <c r="DP52" s="55">
        <f t="shared" si="283"/>
        <v>46064</v>
      </c>
      <c r="DQ52" s="56"/>
      <c r="DR52" s="58">
        <f>SUMPRODUCT(PRODUCE!$B65:$DY65,PRODUCE!$EB$20:$IY$20)</f>
        <v>0</v>
      </c>
      <c r="DS52" s="56"/>
      <c r="DT52" s="57">
        <f t="shared" si="284"/>
        <v>0</v>
      </c>
      <c r="DU52" s="57">
        <f t="shared" si="285"/>
        <v>0</v>
      </c>
      <c r="DV52" s="56"/>
      <c r="DY52" s="55">
        <f t="shared" si="286"/>
        <v>46064</v>
      </c>
      <c r="DZ52" s="56"/>
      <c r="EA52" s="159">
        <f>SUMPRODUCT(PRODUCE!$B65:$DY65,PRODUCE!$EB$21:$IY$21)</f>
        <v>3000</v>
      </c>
      <c r="EB52" s="56">
        <v>3002.8</v>
      </c>
      <c r="EC52" s="157">
        <f t="shared" si="287"/>
        <v>-2.8000000000001819</v>
      </c>
      <c r="ED52" s="157">
        <f t="shared" si="288"/>
        <v>5696.8</v>
      </c>
      <c r="EE52" s="56"/>
      <c r="EH52" s="55">
        <f t="shared" si="289"/>
        <v>46064</v>
      </c>
      <c r="EI52" s="56"/>
      <c r="EJ52" s="164">
        <f>SUMPRODUCT(PRODUCE!$B65:$DY65,PRODUCE!$EB$22:$IY$22)</f>
        <v>0</v>
      </c>
      <c r="EK52" s="56"/>
      <c r="EL52" s="162">
        <f t="shared" si="290"/>
        <v>0</v>
      </c>
      <c r="EM52" s="162">
        <f t="shared" si="291"/>
        <v>0</v>
      </c>
      <c r="EN52" s="56"/>
      <c r="EQ52" s="55">
        <f t="shared" si="292"/>
        <v>46064</v>
      </c>
      <c r="ER52" s="56"/>
      <c r="ES52" s="171">
        <f>SUMPRODUCT(PRODUCE!$B65:$DY65,PRODUCE!$EB$23:$IY$23)</f>
        <v>0</v>
      </c>
      <c r="ET52" s="56"/>
      <c r="EU52" s="135">
        <f t="shared" si="293"/>
        <v>0</v>
      </c>
      <c r="EV52" s="135">
        <f t="shared" si="294"/>
        <v>0</v>
      </c>
      <c r="EW52" s="56"/>
      <c r="EZ52" s="55">
        <f t="shared" si="295"/>
        <v>46064</v>
      </c>
      <c r="FA52" s="56"/>
      <c r="FB52" s="178">
        <f>SUMPRODUCT(PRODUCE!$B65:$DY65,PRODUCE!$EB$24:$IY$24)</f>
        <v>0</v>
      </c>
      <c r="FC52" s="56"/>
      <c r="FD52" s="175">
        <f t="shared" si="296"/>
        <v>0</v>
      </c>
      <c r="FE52" s="175">
        <f t="shared" si="297"/>
        <v>0</v>
      </c>
      <c r="FF52" s="56"/>
      <c r="FI52" s="55">
        <f t="shared" si="298"/>
        <v>46064</v>
      </c>
      <c r="FJ52" s="56"/>
      <c r="FK52" s="184">
        <f>SUMPRODUCT(PRODUCE!$B65:$DY65,PRODUCE!$EB$25:$IY$25)</f>
        <v>0</v>
      </c>
      <c r="FL52" s="56"/>
      <c r="FM52" s="183">
        <f t="shared" si="299"/>
        <v>0</v>
      </c>
      <c r="FN52" s="183">
        <f t="shared" si="300"/>
        <v>0</v>
      </c>
      <c r="FO52" s="56"/>
      <c r="FR52" s="55">
        <f t="shared" si="301"/>
        <v>46064</v>
      </c>
      <c r="FS52" s="422"/>
      <c r="FT52" s="453">
        <f>SUMPRODUCT(PRODUCE!$B65:$DY65,PRODUCE!$EB$26:$IY$26)</f>
        <v>0</v>
      </c>
      <c r="FU52" s="422">
        <f>26*20</f>
        <v>520</v>
      </c>
      <c r="FV52" s="452">
        <f t="shared" si="302"/>
        <v>-520</v>
      </c>
      <c r="FW52" s="452">
        <f t="shared" si="303"/>
        <v>3020</v>
      </c>
      <c r="FX52" s="56">
        <f>FU52/20</f>
        <v>26</v>
      </c>
      <c r="GA52" s="55">
        <f t="shared" si="304"/>
        <v>46064</v>
      </c>
      <c r="GB52" s="422"/>
      <c r="GC52" s="455">
        <f>SUMPRODUCT(PRODUCE!$B65:$DY65,PRODUCE!$EB$27:$IY$27)</f>
        <v>0</v>
      </c>
      <c r="GD52" s="422"/>
      <c r="GE52" s="454">
        <f t="shared" si="305"/>
        <v>0</v>
      </c>
      <c r="GF52" s="454">
        <f t="shared" si="306"/>
        <v>5960</v>
      </c>
      <c r="GG52" s="56"/>
      <c r="GI52" s="23"/>
      <c r="GJ52" s="55">
        <f t="shared" si="307"/>
        <v>46064</v>
      </c>
      <c r="GK52" s="422"/>
      <c r="GL52" s="457">
        <f>SUMPRODUCT(PRODUCE!$B65:$DY65,PRODUCE!$EB$28:$IY$28)</f>
        <v>0</v>
      </c>
      <c r="GM52" s="422"/>
      <c r="GN52" s="456">
        <f t="shared" si="308"/>
        <v>0</v>
      </c>
      <c r="GO52" s="456">
        <f t="shared" si="309"/>
        <v>3240</v>
      </c>
      <c r="GP52" s="56"/>
      <c r="GS52" s="55">
        <f t="shared" si="310"/>
        <v>46064</v>
      </c>
      <c r="GT52" s="56"/>
      <c r="GU52" s="196">
        <f>SUMPRODUCT(PRODUCE!$B65:$DY65,PRODUCE!$EB$29:$IY$29)</f>
        <v>0</v>
      </c>
      <c r="GV52" s="56"/>
      <c r="GW52" s="195">
        <f t="shared" si="311"/>
        <v>0</v>
      </c>
      <c r="GX52" s="195">
        <f t="shared" si="312"/>
        <v>0</v>
      </c>
      <c r="GY52" s="56"/>
      <c r="HB52" s="55">
        <f t="shared" si="313"/>
        <v>46064</v>
      </c>
      <c r="HC52" s="56"/>
      <c r="HD52" s="192">
        <f>SUMPRODUCT(PRODUCE!$B65:$DY65,PRODUCE!$EB$30:$IY$30)</f>
        <v>0</v>
      </c>
      <c r="HE52" s="56"/>
      <c r="HF52" s="191">
        <f t="shared" si="314"/>
        <v>0</v>
      </c>
      <c r="HG52" s="191">
        <f t="shared" si="315"/>
        <v>0</v>
      </c>
      <c r="HH52" s="56"/>
      <c r="HK52" s="55">
        <f t="shared" si="316"/>
        <v>46064</v>
      </c>
      <c r="HL52" s="56"/>
      <c r="HM52" s="80">
        <f>SUMPRODUCT(PRODUCE!$B65:$DY65,PRODUCE!$EB$31:$IY$31)</f>
        <v>0</v>
      </c>
      <c r="HN52" s="56"/>
      <c r="HO52" s="63">
        <f t="shared" si="317"/>
        <v>0</v>
      </c>
      <c r="HP52" s="63">
        <f t="shared" si="318"/>
        <v>0</v>
      </c>
      <c r="HQ52" s="56"/>
      <c r="HU52" s="55">
        <f t="shared" si="319"/>
        <v>46064</v>
      </c>
      <c r="HV52" s="56"/>
      <c r="HW52" s="242">
        <f>SUMPRODUCT(PRODUCE!$B65:$DY65,PRODUCE!$EB$32:$IY$32)</f>
        <v>0</v>
      </c>
      <c r="HX52" s="56"/>
      <c r="HY52" s="242">
        <f t="shared" si="320"/>
        <v>0</v>
      </c>
      <c r="HZ52" s="242">
        <f t="shared" si="321"/>
        <v>5120</v>
      </c>
      <c r="IA52" s="56"/>
      <c r="ID52" s="55">
        <f t="shared" si="322"/>
        <v>46064</v>
      </c>
      <c r="IE52" s="56"/>
      <c r="IF52" s="242">
        <f>SUMPRODUCT(PRODUCE!$B65:$DY65,PRODUCE!$EB$33:$IY$33)</f>
        <v>0</v>
      </c>
      <c r="IG52" s="56"/>
      <c r="IH52" s="242">
        <f t="shared" si="323"/>
        <v>0</v>
      </c>
      <c r="II52" s="242">
        <f t="shared" si="324"/>
        <v>5100</v>
      </c>
      <c r="IJ52" s="56"/>
      <c r="IM52" s="55">
        <f t="shared" si="325"/>
        <v>46064</v>
      </c>
      <c r="IN52" s="56"/>
      <c r="IO52" s="242">
        <f>SUMPRODUCT(PRODUCE!$B65:$DY65,PRODUCE!$EB$34:$IY$34)</f>
        <v>0</v>
      </c>
      <c r="IP52" s="56">
        <f>100*20</f>
        <v>2000</v>
      </c>
      <c r="IQ52" s="242">
        <f t="shared" si="326"/>
        <v>-2000</v>
      </c>
      <c r="IR52" s="242">
        <f t="shared" si="327"/>
        <v>11040</v>
      </c>
      <c r="IS52" s="56">
        <f>IP52/20</f>
        <v>100</v>
      </c>
      <c r="IV52" s="55">
        <f t="shared" si="328"/>
        <v>46064</v>
      </c>
      <c r="IW52" s="56"/>
      <c r="IX52" s="242">
        <f>SUMPRODUCT(PRODUCE!$B65:$DY65,PRODUCE!$EB$35:$IY$35)</f>
        <v>0</v>
      </c>
      <c r="IY52" s="56"/>
      <c r="IZ52" s="242">
        <f t="shared" si="329"/>
        <v>0</v>
      </c>
      <c r="JA52" s="242">
        <f t="shared" si="330"/>
        <v>13120</v>
      </c>
      <c r="JB52" s="56"/>
      <c r="JE52" s="55">
        <f t="shared" si="331"/>
        <v>46064</v>
      </c>
      <c r="JF52" s="56"/>
      <c r="JG52" s="242">
        <f>SUMPRODUCT(PRODUCE!$B65:$DY65,PRODUCE!$EB$36:$IY$36)</f>
        <v>0</v>
      </c>
      <c r="JH52" s="56"/>
      <c r="JI52" s="242">
        <f t="shared" si="332"/>
        <v>0</v>
      </c>
      <c r="JJ52" s="242">
        <f t="shared" si="333"/>
        <v>6800</v>
      </c>
      <c r="JK52" s="56"/>
      <c r="JN52" s="55">
        <f t="shared" si="334"/>
        <v>46064</v>
      </c>
      <c r="JO52" s="56"/>
      <c r="JP52" s="242">
        <f>SUMPRODUCT(PRODUCE!$B65:$DY65,PRODUCE!$EB$37:$IY$37)</f>
        <v>0</v>
      </c>
      <c r="JQ52" s="56"/>
      <c r="JR52" s="242">
        <f t="shared" si="335"/>
        <v>0</v>
      </c>
      <c r="JS52" s="242">
        <f t="shared" si="336"/>
        <v>5400</v>
      </c>
      <c r="JT52" s="56"/>
      <c r="JW52" s="55">
        <f t="shared" si="337"/>
        <v>46064</v>
      </c>
      <c r="JX52" s="56"/>
      <c r="JY52" s="242">
        <f>SUMPRODUCT(PRODUCE!$B65:$DY65,PRODUCE!$EB$38:$IY$38)</f>
        <v>2400</v>
      </c>
      <c r="JZ52" s="56">
        <f>68*20</f>
        <v>1360</v>
      </c>
      <c r="KA52" s="242">
        <f t="shared" si="338"/>
        <v>1040</v>
      </c>
      <c r="KB52" s="242">
        <f t="shared" si="339"/>
        <v>400</v>
      </c>
      <c r="KC52" s="56">
        <f>1360/20</f>
        <v>68</v>
      </c>
      <c r="KF52" s="55">
        <f t="shared" si="340"/>
        <v>46064</v>
      </c>
      <c r="KG52" s="56"/>
      <c r="KH52" s="242">
        <f>SUMPRODUCT(PRODUCE!$B65:$DY65,PRODUCE!$EB$39:$IY$39)</f>
        <v>0</v>
      </c>
      <c r="KI52" s="56"/>
      <c r="KJ52" s="242">
        <f t="shared" si="341"/>
        <v>0</v>
      </c>
      <c r="KK52" s="242">
        <f t="shared" si="342"/>
        <v>5148</v>
      </c>
      <c r="KL52" s="56"/>
      <c r="KO52" s="55">
        <f t="shared" si="343"/>
        <v>46064</v>
      </c>
      <c r="KP52" s="56"/>
      <c r="KQ52" s="242">
        <f>SUMPRODUCT(PRODUCE!$B65:$DY65,PRODUCE!$EB$40:$IY$40)</f>
        <v>0</v>
      </c>
      <c r="KR52" s="56"/>
      <c r="KS52" s="242">
        <f t="shared" si="344"/>
        <v>0</v>
      </c>
      <c r="KT52" s="242">
        <f t="shared" si="345"/>
        <v>13230</v>
      </c>
      <c r="KU52" s="56"/>
      <c r="KW52" s="23"/>
      <c r="KX52" s="55">
        <f t="shared" si="346"/>
        <v>46064</v>
      </c>
      <c r="KY52" s="56"/>
      <c r="KZ52" s="242">
        <f>SUMPRODUCT(PRODUCE!$B65:$DY65,PRODUCE!$EB$41:$IY$41)</f>
        <v>0</v>
      </c>
      <c r="LA52" s="56"/>
      <c r="LB52" s="242">
        <f t="shared" si="347"/>
        <v>0</v>
      </c>
      <c r="LC52" s="242">
        <f t="shared" si="348"/>
        <v>0</v>
      </c>
      <c r="LD52" s="56"/>
      <c r="LG52" s="55">
        <f t="shared" si="349"/>
        <v>46064</v>
      </c>
      <c r="LH52" s="56"/>
      <c r="LI52" s="242">
        <f>SUMPRODUCT(PRODUCE!$B65:$DY65,PRODUCE!$EB$42:$IY$42)</f>
        <v>0</v>
      </c>
      <c r="LJ52" s="56"/>
      <c r="LK52" s="242">
        <f t="shared" si="350"/>
        <v>0</v>
      </c>
      <c r="LL52" s="242">
        <f t="shared" si="351"/>
        <v>0</v>
      </c>
      <c r="LM52" s="56"/>
      <c r="LP52" s="55">
        <f t="shared" si="352"/>
        <v>46064</v>
      </c>
      <c r="LQ52" s="56"/>
      <c r="LR52" s="242">
        <f>SUMPRODUCT(PRODUCE!$B67:$DY67,PRODUCE!$EB$43:$IY$43)</f>
        <v>0</v>
      </c>
      <c r="LS52" s="56"/>
      <c r="LT52" s="242">
        <f t="shared" si="353"/>
        <v>0</v>
      </c>
      <c r="LU52" s="242">
        <f t="shared" si="354"/>
        <v>0</v>
      </c>
      <c r="LV52" s="56"/>
      <c r="LY52" s="55">
        <f t="shared" si="355"/>
        <v>46064</v>
      </c>
      <c r="LZ52" s="56"/>
      <c r="MA52" s="242">
        <f>SUMPRODUCT(PRODUCE!$B67:$DY67,PRODUCE!$EB$44:$IY$44)</f>
        <v>0</v>
      </c>
      <c r="MB52" s="56"/>
      <c r="MC52" s="242">
        <f t="shared" si="356"/>
        <v>0</v>
      </c>
      <c r="MD52" s="242">
        <f t="shared" si="357"/>
        <v>0</v>
      </c>
      <c r="ME52" s="56"/>
      <c r="MH52" s="55">
        <f t="shared" si="358"/>
        <v>46064</v>
      </c>
      <c r="MI52" s="56"/>
      <c r="MJ52" s="242">
        <f>SUMPRODUCT(PRODUCE!$B65:$DY65,PRODUCE!$EB$45:$IY$45)</f>
        <v>0</v>
      </c>
      <c r="MK52" s="56"/>
      <c r="ML52" s="242">
        <f t="shared" si="359"/>
        <v>0</v>
      </c>
      <c r="MM52" s="242">
        <f t="shared" si="360"/>
        <v>0</v>
      </c>
      <c r="MN52" s="56"/>
      <c r="MQ52" s="55">
        <f t="shared" si="361"/>
        <v>46064</v>
      </c>
      <c r="MR52" s="56"/>
      <c r="MS52" s="242">
        <f>SUMPRODUCT(PRODUCE!$B65:$DY65,PRODUCE!$EB$46:$IY$46)</f>
        <v>240</v>
      </c>
      <c r="MT52" s="56">
        <f>136+13+50</f>
        <v>199</v>
      </c>
      <c r="MU52" s="242">
        <f t="shared" si="362"/>
        <v>41</v>
      </c>
      <c r="MV52" s="242">
        <f t="shared" si="363"/>
        <v>1086</v>
      </c>
      <c r="MW52" s="56"/>
      <c r="MZ52" s="55">
        <f t="shared" si="364"/>
        <v>46064</v>
      </c>
      <c r="NA52" s="56">
        <f>204+300</f>
        <v>504</v>
      </c>
      <c r="NB52" s="242">
        <f>SUMPRODUCT(PRODUCE!$B65:$DY65,PRODUCE!$EB$47:$IY$47)</f>
        <v>360</v>
      </c>
      <c r="NC52" s="56">
        <f>204+300</f>
        <v>504</v>
      </c>
      <c r="ND52" s="242">
        <f t="shared" si="365"/>
        <v>-144</v>
      </c>
      <c r="NE52" s="242">
        <f t="shared" si="366"/>
        <v>0</v>
      </c>
      <c r="NF52" s="56"/>
      <c r="NI52" s="55">
        <f t="shared" si="367"/>
        <v>46064</v>
      </c>
      <c r="NJ52" s="56"/>
      <c r="NK52" s="242">
        <f>SUMPRODUCT(PRODUCE!$B65:$DY65,PRODUCE!$EB$48:$IY$48)</f>
        <v>0</v>
      </c>
      <c r="NL52" s="56"/>
      <c r="NM52" s="242">
        <f t="shared" si="368"/>
        <v>0</v>
      </c>
      <c r="NN52" s="242">
        <f t="shared" si="369"/>
        <v>0</v>
      </c>
      <c r="NO52" s="56"/>
      <c r="NR52" s="55">
        <f t="shared" si="370"/>
        <v>46064</v>
      </c>
      <c r="NS52" s="56"/>
      <c r="NT52" s="242">
        <f>SUMPRODUCT(PRODUCE!$B65:$DY65,PRODUCE!$EB$49:$IY$49)</f>
        <v>24</v>
      </c>
      <c r="NU52" s="56">
        <v>13.6</v>
      </c>
      <c r="NV52" s="242">
        <f t="shared" si="371"/>
        <v>10.4</v>
      </c>
      <c r="NW52" s="242">
        <f t="shared" si="372"/>
        <v>2710.8</v>
      </c>
      <c r="NX52" s="56"/>
      <c r="OA52" s="55">
        <f t="shared" si="373"/>
        <v>46064</v>
      </c>
      <c r="OB52" s="56"/>
      <c r="OC52" s="242">
        <f>SUMPRODUCT(PRODUCE!$B65:$DY65,PRODUCE!$EB$50:$IY$50)</f>
        <v>0</v>
      </c>
      <c r="OD52" s="56"/>
      <c r="OE52" s="242">
        <f t="shared" si="374"/>
        <v>0</v>
      </c>
      <c r="OF52" s="242">
        <f t="shared" si="375"/>
        <v>1680.5</v>
      </c>
      <c r="OG52" s="56"/>
      <c r="OJ52" s="55">
        <f t="shared" si="376"/>
        <v>46064</v>
      </c>
      <c r="OK52" s="56">
        <v>187</v>
      </c>
      <c r="OL52" s="242">
        <f>SUMPRODUCT(PRODUCE!$B65:$DY65,PRODUCE!$EB$51:$IY$51)</f>
        <v>330.00000000000006</v>
      </c>
      <c r="OM52" s="56">
        <f>187</f>
        <v>187</v>
      </c>
      <c r="ON52" s="242">
        <f t="shared" si="377"/>
        <v>143.00000000000006</v>
      </c>
      <c r="OO52" s="242">
        <f t="shared" si="378"/>
        <v>0</v>
      </c>
      <c r="OP52" s="56"/>
      <c r="OS52" s="55">
        <f t="shared" si="379"/>
        <v>46064</v>
      </c>
      <c r="OT52" s="56"/>
      <c r="OU52" s="242">
        <f>SUMPRODUCT(PRODUCE!$B65:$DY65,PRODUCE!$EB$52:$IY$52)</f>
        <v>0</v>
      </c>
      <c r="OV52" s="56"/>
      <c r="OW52" s="242">
        <f t="shared" si="380"/>
        <v>0</v>
      </c>
      <c r="OX52" s="242">
        <f t="shared" si="381"/>
        <v>0</v>
      </c>
      <c r="OY52" s="56"/>
      <c r="PB52" s="55">
        <f t="shared" si="382"/>
        <v>46064</v>
      </c>
      <c r="PC52" s="56">
        <v>100</v>
      </c>
      <c r="PD52" s="242">
        <f>SUMPRODUCT(PRODUCE!$B65:$DY65,PRODUCE!$EB$53:$IY$53)</f>
        <v>0</v>
      </c>
      <c r="PE52" s="56">
        <v>100</v>
      </c>
      <c r="PF52" s="242">
        <f t="shared" si="383"/>
        <v>-100</v>
      </c>
      <c r="PG52" s="242">
        <f t="shared" si="384"/>
        <v>0</v>
      </c>
      <c r="PH52" s="56"/>
      <c r="PK52" s="55">
        <f t="shared" si="385"/>
        <v>46064</v>
      </c>
      <c r="PL52" s="56"/>
      <c r="PM52" s="242">
        <f>SUMPRODUCT(PRODUCE!$B65:$DY65,PRODUCE!$EB$54:$IY$54)</f>
        <v>0</v>
      </c>
      <c r="PN52" s="56"/>
      <c r="PO52" s="242">
        <f t="shared" si="386"/>
        <v>0</v>
      </c>
      <c r="PP52" s="242">
        <f t="shared" si="387"/>
        <v>160</v>
      </c>
      <c r="PQ52" s="56"/>
      <c r="PT52" s="55">
        <f t="shared" si="388"/>
        <v>46064</v>
      </c>
      <c r="PU52" s="56"/>
      <c r="PV52" s="242">
        <f>SUMPRODUCT(PRODUCE!$B65:$DY65,PRODUCE!$EB$55:$IY$55)</f>
        <v>0</v>
      </c>
      <c r="PW52" s="56"/>
      <c r="PX52" s="242">
        <f t="shared" si="389"/>
        <v>0</v>
      </c>
      <c r="PY52" s="242">
        <f t="shared" si="390"/>
        <v>13.960000000000036</v>
      </c>
      <c r="PZ52" s="56"/>
      <c r="QC52" s="55">
        <f t="shared" si="391"/>
        <v>46064</v>
      </c>
      <c r="QD52" s="56"/>
      <c r="QE52" s="242">
        <f>SUMPRODUCT(PRODUCE!$B65:$DY65,PRODUCE!$EB$56:$IY$56)</f>
        <v>0</v>
      </c>
      <c r="QF52" s="56"/>
      <c r="QG52" s="242">
        <f t="shared" si="392"/>
        <v>0</v>
      </c>
      <c r="QH52" s="242">
        <f t="shared" si="393"/>
        <v>0</v>
      </c>
      <c r="QI52" s="56"/>
      <c r="QL52" s="55">
        <f t="shared" si="394"/>
        <v>46064</v>
      </c>
      <c r="QM52" s="56"/>
      <c r="QN52" s="242">
        <f>SUMPRODUCT(PRODUCE!$B65:$DY65,PRODUCE!$EB$57:$IY$57)</f>
        <v>0</v>
      </c>
      <c r="QO52" s="56"/>
      <c r="QP52" s="242">
        <f t="shared" si="395"/>
        <v>0</v>
      </c>
      <c r="QQ52" s="242">
        <f t="shared" si="396"/>
        <v>0</v>
      </c>
      <c r="QR52" s="56"/>
      <c r="QU52" s="55">
        <f t="shared" si="397"/>
        <v>46064</v>
      </c>
      <c r="QV52" s="56"/>
      <c r="QW52" s="242">
        <f>SUMPRODUCT(PRODUCE!$B65:$DY65,PRODUCE!$EB$57:$IY$57)</f>
        <v>0</v>
      </c>
      <c r="QX52" s="56"/>
      <c r="QY52" s="242">
        <f t="shared" si="398"/>
        <v>0</v>
      </c>
      <c r="QZ52" s="242">
        <f t="shared" si="399"/>
        <v>207.6</v>
      </c>
      <c r="RA52" s="56"/>
      <c r="RD52" s="55">
        <f t="shared" si="400"/>
        <v>46064</v>
      </c>
      <c r="RE52" s="56"/>
      <c r="RF52" s="242">
        <f>SUMPRODUCT(PRODUCE!$B65:$DY65,PRODUCE!$EB$58:$IY$58)</f>
        <v>0</v>
      </c>
      <c r="RG52" s="56"/>
      <c r="RH52" s="242">
        <f t="shared" si="401"/>
        <v>0</v>
      </c>
      <c r="RI52" s="242">
        <f t="shared" si="402"/>
        <v>201.8</v>
      </c>
      <c r="RJ52" s="56"/>
      <c r="RM52" s="55">
        <f t="shared" si="403"/>
        <v>46064</v>
      </c>
      <c r="RN52" s="56">
        <v>24.08</v>
      </c>
      <c r="RO52" s="242">
        <f>SUMPRODUCT(PRODUCE!$B65:$DY65,PRODUCE!$EB$57:$IY$57)</f>
        <v>0</v>
      </c>
      <c r="RP52" s="56"/>
      <c r="RQ52" s="242">
        <f t="shared" si="404"/>
        <v>0</v>
      </c>
      <c r="RR52" s="242">
        <f t="shared" si="405"/>
        <v>46.8</v>
      </c>
      <c r="RS52" s="56"/>
      <c r="RV52" s="55">
        <f t="shared" si="406"/>
        <v>46064</v>
      </c>
      <c r="RW52" s="56"/>
      <c r="RX52" s="242">
        <f>SUMPRODUCT(PRODUCE!$B65:$DY65,PRODUCE!$EB$57:$IY$57)</f>
        <v>0</v>
      </c>
      <c r="RY52" s="56"/>
      <c r="RZ52" s="242">
        <f t="shared" si="407"/>
        <v>0</v>
      </c>
      <c r="SA52" s="242">
        <f t="shared" si="408"/>
        <v>0</v>
      </c>
      <c r="SB52" s="56"/>
      <c r="SE52" s="55">
        <f t="shared" si="409"/>
        <v>46064</v>
      </c>
      <c r="SF52" s="56"/>
      <c r="SG52" s="242">
        <f>SUMPRODUCT(PRODUCE!$B65:$DY65,PRODUCE!$EB$57:$IY$57)</f>
        <v>0</v>
      </c>
      <c r="SH52" s="56"/>
      <c r="SI52" s="242">
        <f t="shared" si="410"/>
        <v>0</v>
      </c>
      <c r="SJ52" s="242">
        <f t="shared" si="411"/>
        <v>0</v>
      </c>
      <c r="SK52" s="56"/>
      <c r="SN52" s="55">
        <f t="shared" si="412"/>
        <v>46064</v>
      </c>
      <c r="SO52" s="56"/>
      <c r="SP52" s="242">
        <f>SUMPRODUCT(PRODUCE!$B65:$DY65,PRODUCE!$EB$57:$IY$57)</f>
        <v>0</v>
      </c>
      <c r="SQ52" s="56"/>
      <c r="SR52" s="242">
        <f t="shared" si="413"/>
        <v>0</v>
      </c>
      <c r="SS52" s="242">
        <f t="shared" si="414"/>
        <v>0</v>
      </c>
      <c r="ST52" s="56"/>
      <c r="SW52" s="55">
        <f t="shared" si="415"/>
        <v>46064</v>
      </c>
      <c r="SX52" s="56"/>
      <c r="SY52" s="242">
        <f>SUMPRODUCT(PRODUCE!$B65:$DY65,PRODUCE!$EB$57:$IY$57)</f>
        <v>0</v>
      </c>
      <c r="SZ52" s="56"/>
      <c r="TA52" s="242">
        <f t="shared" si="416"/>
        <v>0</v>
      </c>
      <c r="TB52" s="242">
        <f t="shared" si="417"/>
        <v>0</v>
      </c>
      <c r="TC52" s="56"/>
      <c r="TF52" s="55">
        <f t="shared" si="418"/>
        <v>46064</v>
      </c>
      <c r="TG52" s="56"/>
      <c r="TH52" s="242">
        <f>SUMPRODUCT(PRODUCE!$B65:$DY65,PRODUCE!$EB$57:$IY$57)</f>
        <v>0</v>
      </c>
      <c r="TI52" s="56"/>
      <c r="TJ52" s="242">
        <f t="shared" si="419"/>
        <v>0</v>
      </c>
      <c r="TK52" s="242">
        <f t="shared" si="420"/>
        <v>0</v>
      </c>
      <c r="TL52" s="56"/>
      <c r="TO52" s="55">
        <f t="shared" si="421"/>
        <v>46064</v>
      </c>
      <c r="TP52" s="56"/>
      <c r="TQ52" s="242">
        <f>SUMPRODUCT(PRODUCE!$B65:$DY65,PRODUCE!$EB$57:$IY$57)</f>
        <v>0</v>
      </c>
      <c r="TR52" s="56"/>
      <c r="TS52" s="242">
        <f t="shared" si="422"/>
        <v>0</v>
      </c>
      <c r="TT52" s="242">
        <f t="shared" si="423"/>
        <v>0</v>
      </c>
      <c r="TU52" s="56"/>
      <c r="TX52" s="55">
        <f t="shared" si="424"/>
        <v>46064</v>
      </c>
      <c r="TY52" s="56"/>
      <c r="TZ52" s="242">
        <f>SUMPRODUCT(PRODUCE!$B65:$DY65,PRODUCE!$EB$57:$IY$57)</f>
        <v>0</v>
      </c>
      <c r="UA52" s="56"/>
      <c r="UB52" s="242">
        <f t="shared" si="425"/>
        <v>0</v>
      </c>
      <c r="UC52" s="242">
        <f t="shared" si="426"/>
        <v>0</v>
      </c>
      <c r="UD52" s="56"/>
      <c r="UG52" s="55">
        <f t="shared" si="427"/>
        <v>46064</v>
      </c>
      <c r="UH52" s="56"/>
      <c r="UI52" s="242">
        <f>SUMPRODUCT(PRODUCE!$B65:$DY65,PRODUCE!$EB$57:$IY$57)</f>
        <v>0</v>
      </c>
      <c r="UJ52" s="56"/>
      <c r="UK52" s="242">
        <f t="shared" si="428"/>
        <v>0</v>
      </c>
      <c r="UL52" s="242">
        <f t="shared" si="429"/>
        <v>0</v>
      </c>
      <c r="UM52" s="56"/>
      <c r="UP52" s="55">
        <f t="shared" si="430"/>
        <v>46064</v>
      </c>
      <c r="UQ52" s="56"/>
      <c r="UR52" s="242">
        <f>SUMPRODUCT(PRODUCE!$B65:$DY65,PRODUCE!$EB$57:$IY$57)</f>
        <v>0</v>
      </c>
      <c r="US52" s="56"/>
      <c r="UT52" s="242">
        <f t="shared" si="431"/>
        <v>0</v>
      </c>
      <c r="UU52" s="242">
        <f t="shared" si="432"/>
        <v>0</v>
      </c>
      <c r="UV52" s="56"/>
      <c r="UY52" s="55">
        <f t="shared" si="433"/>
        <v>46064</v>
      </c>
      <c r="UZ52" s="56"/>
      <c r="VA52" s="242">
        <f>SUMPRODUCT(PRODUCE!$B65:$DY65,PRODUCE!$EB$57:$IY$57)</f>
        <v>0</v>
      </c>
      <c r="VB52" s="56"/>
      <c r="VC52" s="242">
        <f t="shared" si="434"/>
        <v>0</v>
      </c>
      <c r="VD52" s="242">
        <f t="shared" si="435"/>
        <v>41.600000000000023</v>
      </c>
      <c r="VE52" s="56"/>
      <c r="VH52" s="55">
        <f t="shared" si="436"/>
        <v>46064</v>
      </c>
      <c r="VI52" s="56"/>
      <c r="VJ52" s="242">
        <f>SUMPRODUCT(PRODUCE!$B65:$DY65,PRODUCE!$EB$57:$IY$57)</f>
        <v>0</v>
      </c>
      <c r="VK52" s="56"/>
      <c r="VL52" s="242">
        <f t="shared" si="437"/>
        <v>0</v>
      </c>
      <c r="VM52" s="242">
        <f t="shared" si="438"/>
        <v>0</v>
      </c>
      <c r="VN52" s="56"/>
      <c r="VQ52" s="55">
        <f t="shared" si="439"/>
        <v>46064</v>
      </c>
      <c r="VR52" s="56"/>
      <c r="VS52" s="242">
        <f>SUMPRODUCT(PRODUCE!$B65:$DY65,PRODUCE!$EB$57:$IY$57)</f>
        <v>0</v>
      </c>
      <c r="VT52" s="56"/>
      <c r="VU52" s="242">
        <f t="shared" si="440"/>
        <v>0</v>
      </c>
      <c r="VV52" s="242">
        <f t="shared" si="441"/>
        <v>0</v>
      </c>
      <c r="VW52" s="56"/>
      <c r="VZ52" s="55">
        <f t="shared" si="442"/>
        <v>46064</v>
      </c>
      <c r="WA52" s="56"/>
      <c r="WB52" s="242">
        <f>SUMPRODUCT(PRODUCE!$B65:$DY65,PRODUCE!$EB$57:$IY$57)</f>
        <v>0</v>
      </c>
      <c r="WC52" s="56"/>
      <c r="WD52" s="242">
        <f t="shared" si="443"/>
        <v>0</v>
      </c>
      <c r="WE52" s="242">
        <f t="shared" si="444"/>
        <v>0</v>
      </c>
      <c r="WF52" s="56"/>
      <c r="WI52" s="55">
        <f t="shared" si="445"/>
        <v>46064</v>
      </c>
      <c r="WJ52" s="56"/>
      <c r="WK52" s="242">
        <f>SUMPRODUCT(PRODUCE!$B65:$DY65,PRODUCE!$EB$57:$IY$57)</f>
        <v>0</v>
      </c>
      <c r="WL52" s="56"/>
      <c r="WM52" s="242">
        <f t="shared" si="446"/>
        <v>0</v>
      </c>
      <c r="WN52" s="242">
        <f t="shared" si="447"/>
        <v>9609</v>
      </c>
      <c r="WO52" s="56"/>
      <c r="WR52" s="55">
        <f t="shared" si="448"/>
        <v>46064</v>
      </c>
      <c r="WS52" s="56"/>
      <c r="WT52" s="242">
        <f>SUMPRODUCT(PRODUCE!$B65:$DY65,PRODUCE!$EB$57:$IY$57)</f>
        <v>0</v>
      </c>
      <c r="WU52" s="56"/>
      <c r="WV52" s="242">
        <f t="shared" si="449"/>
        <v>0</v>
      </c>
      <c r="WW52" s="242">
        <f t="shared" si="450"/>
        <v>8149</v>
      </c>
      <c r="WX52" s="56"/>
      <c r="XA52" s="55">
        <f t="shared" si="451"/>
        <v>46064</v>
      </c>
      <c r="XB52" s="56"/>
      <c r="XC52" s="242">
        <f>SUMPRODUCT(PRODUCE!$B65:$DY65,PRODUCE!$EB$57:$IY$57)</f>
        <v>0</v>
      </c>
      <c r="XD52" s="56"/>
      <c r="XE52" s="242">
        <f t="shared" si="452"/>
        <v>0</v>
      </c>
      <c r="XF52" s="242">
        <f t="shared" si="453"/>
        <v>590</v>
      </c>
      <c r="XG52" s="56"/>
      <c r="XJ52" s="55">
        <f t="shared" si="454"/>
        <v>46064</v>
      </c>
      <c r="XK52" s="56"/>
      <c r="XL52" s="242">
        <f>SUMPRODUCT(PRODUCE!$B65:$DY65,PRODUCE!$EB$57:$IY$57)</f>
        <v>0</v>
      </c>
      <c r="XM52" s="56">
        <v>1526</v>
      </c>
      <c r="XN52" s="242">
        <f t="shared" si="455"/>
        <v>-1526</v>
      </c>
      <c r="XO52" s="242">
        <f t="shared" si="456"/>
        <v>564</v>
      </c>
      <c r="XP52" s="56"/>
      <c r="XS52" s="55">
        <f t="shared" si="457"/>
        <v>46064</v>
      </c>
      <c r="XT52" s="56"/>
      <c r="XU52" s="242">
        <f>SUMPRODUCT(PRODUCE!$B65:$DY65,PRODUCE!$EB$57:$IY$57)</f>
        <v>0</v>
      </c>
      <c r="XV52" s="56"/>
      <c r="XW52" s="242">
        <f t="shared" si="458"/>
        <v>0</v>
      </c>
      <c r="XX52" s="242">
        <f t="shared" si="459"/>
        <v>1901</v>
      </c>
      <c r="XY52" s="56"/>
      <c r="YB52" s="55">
        <f t="shared" si="460"/>
        <v>46064</v>
      </c>
      <c r="YC52" s="56"/>
      <c r="YD52" s="242">
        <f>SUMPRODUCT(PRODUCE!$B65:$DY65,PRODUCE!$EB$57:$IY$57)</f>
        <v>0</v>
      </c>
      <c r="YE52" s="56"/>
      <c r="YF52" s="242">
        <f t="shared" si="461"/>
        <v>0</v>
      </c>
      <c r="YG52" s="242">
        <f t="shared" si="462"/>
        <v>-37</v>
      </c>
      <c r="YH52" s="56"/>
      <c r="YK52" s="55">
        <f t="shared" si="463"/>
        <v>46064</v>
      </c>
      <c r="YL52" s="56"/>
      <c r="YM52" s="242">
        <f>SUMPRODUCT(PRODUCE!$B65:$DY65,PRODUCE!$EB$57:$IY$57)</f>
        <v>0</v>
      </c>
      <c r="YN52" s="56"/>
      <c r="YO52" s="242">
        <f t="shared" si="464"/>
        <v>0</v>
      </c>
      <c r="YP52" s="242">
        <f t="shared" si="465"/>
        <v>0</v>
      </c>
      <c r="YQ52" s="56"/>
      <c r="YT52" s="55">
        <f t="shared" si="466"/>
        <v>46064</v>
      </c>
      <c r="YU52" s="56"/>
      <c r="YV52" s="242">
        <f>SUMPRODUCT(PRODUCE!$B65:$DY65,PRODUCE!$EB$57:$IY$57)</f>
        <v>0</v>
      </c>
      <c r="YW52" s="56"/>
      <c r="YX52" s="242">
        <f t="shared" si="467"/>
        <v>0</v>
      </c>
      <c r="YY52" s="242">
        <f t="shared" si="468"/>
        <v>0</v>
      </c>
      <c r="YZ52" s="56"/>
      <c r="ZC52" s="55">
        <f t="shared" si="469"/>
        <v>46064</v>
      </c>
      <c r="ZD52" s="56"/>
      <c r="ZE52" s="242">
        <f>SUMPRODUCT(PRODUCE!$B65:$DY65,PRODUCE!$EB$57:$IY$57)</f>
        <v>0</v>
      </c>
      <c r="ZF52" s="56"/>
      <c r="ZG52" s="242">
        <f t="shared" si="470"/>
        <v>0</v>
      </c>
      <c r="ZH52" s="242">
        <f t="shared" si="471"/>
        <v>0</v>
      </c>
      <c r="ZI52" s="56"/>
      <c r="ZL52" s="55">
        <f t="shared" si="472"/>
        <v>46064</v>
      </c>
      <c r="ZM52" s="56"/>
      <c r="ZN52" s="242">
        <f>SUMPRODUCT(PRODUCE!$B65:$DY65,PRODUCE!$EB$57:$IY$57)</f>
        <v>0</v>
      </c>
      <c r="ZO52" s="56"/>
      <c r="ZP52" s="242">
        <f t="shared" si="473"/>
        <v>0</v>
      </c>
      <c r="ZQ52" s="242">
        <f t="shared" si="474"/>
        <v>0</v>
      </c>
      <c r="ZR52" s="56"/>
      <c r="ZU52" s="55">
        <f t="shared" si="475"/>
        <v>46064</v>
      </c>
      <c r="ZV52" s="56"/>
      <c r="ZW52" s="242">
        <f>SUMPRODUCT(PRODUCE!$B65:$DY65,PRODUCE!$EB$57:$IY$57)</f>
        <v>0</v>
      </c>
      <c r="ZX52" s="56"/>
      <c r="ZY52" s="242">
        <f t="shared" si="476"/>
        <v>0</v>
      </c>
      <c r="ZZ52" s="242">
        <f t="shared" si="477"/>
        <v>0</v>
      </c>
      <c r="AAA52" s="56"/>
      <c r="AAD52" s="55">
        <f t="shared" si="478"/>
        <v>46064</v>
      </c>
      <c r="AAE52" s="56"/>
      <c r="AAF52" s="242">
        <f>SUMPRODUCT(PRODUCE!$B65:$DY65,PRODUCE!$EB$57:$IY$57)</f>
        <v>0</v>
      </c>
      <c r="AAG52" s="56"/>
      <c r="AAH52" s="242">
        <f t="shared" si="479"/>
        <v>0</v>
      </c>
      <c r="AAI52" s="242">
        <f t="shared" si="480"/>
        <v>0</v>
      </c>
      <c r="AAJ52" s="56"/>
      <c r="AAM52" s="55">
        <f t="shared" si="481"/>
        <v>46064</v>
      </c>
      <c r="AAN52" s="56"/>
      <c r="AAO52" s="242">
        <f>SUMPRODUCT(PRODUCE!$B65:$DY65,PRODUCE!$EB$57:$IY$57)</f>
        <v>0</v>
      </c>
      <c r="AAP52" s="56"/>
      <c r="AAQ52" s="242">
        <f t="shared" si="482"/>
        <v>0</v>
      </c>
      <c r="AAR52" s="242">
        <f t="shared" si="483"/>
        <v>0</v>
      </c>
      <c r="AAS52" s="56"/>
      <c r="AAV52" s="55">
        <f t="shared" si="484"/>
        <v>46064</v>
      </c>
      <c r="AAW52" s="56"/>
      <c r="AAX52" s="242">
        <f>SUMPRODUCT(PRODUCE!$B65:$DY65,PRODUCE!$EB$57:$IY$57)</f>
        <v>0</v>
      </c>
      <c r="AAY52" s="56"/>
      <c r="AAZ52" s="242">
        <f t="shared" si="485"/>
        <v>0</v>
      </c>
      <c r="ABA52" s="242">
        <f t="shared" si="486"/>
        <v>0</v>
      </c>
      <c r="ABB52" s="56"/>
      <c r="ABE52" s="55">
        <f t="shared" si="487"/>
        <v>46064</v>
      </c>
      <c r="ABF52" s="56"/>
      <c r="ABG52" s="242">
        <f>SUMPRODUCT(PRODUCE!$B65:$DY65,PRODUCE!$EB$57:$IY$57)</f>
        <v>0</v>
      </c>
      <c r="ABH52" s="56"/>
      <c r="ABI52" s="242">
        <f t="shared" si="488"/>
        <v>0</v>
      </c>
      <c r="ABJ52" s="242">
        <f t="shared" si="489"/>
        <v>0</v>
      </c>
      <c r="ABK52" s="56"/>
    </row>
    <row r="53" spans="2:739" s="54" customFormat="1" ht="15" customHeight="1" outlineLevel="1">
      <c r="B53" s="478">
        <v>110</v>
      </c>
      <c r="C53" s="55">
        <v>46065</v>
      </c>
      <c r="D53" s="422">
        <v>130960</v>
      </c>
      <c r="E53" s="424">
        <f>SUMPRODUCT(PRODUCE!$B66:$DY66,PRODUCE!$EB$7:$IY$7)</f>
        <v>55148.500000000007</v>
      </c>
      <c r="F53" s="422">
        <v>55150.2</v>
      </c>
      <c r="G53" s="423">
        <f t="shared" si="247"/>
        <v>-1.6999999999898137</v>
      </c>
      <c r="H53" s="423">
        <f t="shared" si="245"/>
        <v>251628</v>
      </c>
      <c r="I53" s="289" t="s">
        <v>204</v>
      </c>
      <c r="L53" s="55">
        <f t="shared" si="246"/>
        <v>46065</v>
      </c>
      <c r="M53" s="422">
        <v>27490</v>
      </c>
      <c r="N53" s="439">
        <f>SUMPRODUCT(PRODUCE!$B66:$DY66,PRODUCE!$EB$8:$IY$8)</f>
        <v>22550</v>
      </c>
      <c r="O53" s="422">
        <v>22547.200000000001</v>
      </c>
      <c r="P53" s="438">
        <f t="shared" si="248"/>
        <v>2.7999999999992724</v>
      </c>
      <c r="Q53" s="438">
        <f t="shared" si="249"/>
        <v>59679.400000000009</v>
      </c>
      <c r="R53" s="56"/>
      <c r="U53" s="55">
        <f t="shared" si="250"/>
        <v>46065</v>
      </c>
      <c r="V53" s="422"/>
      <c r="W53" s="441">
        <f>SUMPRODUCT(PRODUCE!$B66:$DY66,PRODUCE!$EB$9:$IY$9)</f>
        <v>9184.9999999999982</v>
      </c>
      <c r="X53" s="422">
        <v>9185.9</v>
      </c>
      <c r="Y53" s="440">
        <f t="shared" si="251"/>
        <v>-0.90000000000145519</v>
      </c>
      <c r="Z53" s="440">
        <f t="shared" si="252"/>
        <v>59189.299999999981</v>
      </c>
      <c r="AA53" s="56"/>
      <c r="AD53" s="55">
        <f t="shared" si="253"/>
        <v>46065</v>
      </c>
      <c r="AE53" s="422">
        <v>19280</v>
      </c>
      <c r="AF53" s="443">
        <f>SUMPRODUCT(PRODUCE!$B66:$DY66,PRODUCE!$EB$10:$IY$10)</f>
        <v>1430.0000000000002</v>
      </c>
      <c r="AG53" s="422">
        <v>1431.7</v>
      </c>
      <c r="AH53" s="442">
        <f t="shared" si="254"/>
        <v>-1.6999999999998181</v>
      </c>
      <c r="AI53" s="442">
        <f t="shared" si="255"/>
        <v>55158.900000000023</v>
      </c>
      <c r="AJ53" s="56"/>
      <c r="AM53" s="55">
        <f t="shared" si="256"/>
        <v>46065</v>
      </c>
      <c r="AN53" s="422"/>
      <c r="AO53" s="445">
        <f>SUMPRODUCT(PRODUCE!$B66:$DY66,PRODUCE!$EB$11:$IY$11)</f>
        <v>0</v>
      </c>
      <c r="AP53" s="422"/>
      <c r="AQ53" s="444">
        <f t="shared" si="257"/>
        <v>0</v>
      </c>
      <c r="AR53" s="444">
        <f t="shared" si="258"/>
        <v>0</v>
      </c>
      <c r="AS53" s="56"/>
      <c r="AV53" s="55">
        <f t="shared" si="259"/>
        <v>46065</v>
      </c>
      <c r="AW53" s="422"/>
      <c r="AX53" s="447">
        <f>SUMPRODUCT(PRODUCE!$B66:$DY66,PRODUCE!$EB$12:$IY$12)</f>
        <v>0</v>
      </c>
      <c r="AY53" s="422"/>
      <c r="AZ53" s="446">
        <f t="shared" si="260"/>
        <v>0</v>
      </c>
      <c r="BA53" s="446">
        <f t="shared" si="261"/>
        <v>54284.69999999999</v>
      </c>
      <c r="BB53" s="56"/>
      <c r="BE53" s="55">
        <f t="shared" si="262"/>
        <v>46065</v>
      </c>
      <c r="BF53" s="422"/>
      <c r="BG53" s="449">
        <f>SUMPRODUCT(PRODUCE!$B66:$DY66,PRODUCE!$EB$13:$IY$13)</f>
        <v>4620</v>
      </c>
      <c r="BH53" s="422">
        <v>4623.8</v>
      </c>
      <c r="BI53" s="448">
        <f t="shared" si="263"/>
        <v>-3.8000000000001819</v>
      </c>
      <c r="BJ53" s="448">
        <f t="shared" si="264"/>
        <v>25589.200000000008</v>
      </c>
      <c r="BK53" s="56"/>
      <c r="BN53" s="55">
        <f t="shared" si="265"/>
        <v>46065</v>
      </c>
      <c r="BO53" s="422">
        <v>2200</v>
      </c>
      <c r="BP53" s="451">
        <f>SUMPRODUCT(PRODUCE!$B66:$DY66,PRODUCE!$EB$14:$IY$14)</f>
        <v>2200</v>
      </c>
      <c r="BQ53" s="422">
        <v>2200</v>
      </c>
      <c r="BR53" s="450">
        <f t="shared" si="266"/>
        <v>0</v>
      </c>
      <c r="BS53" s="450">
        <f t="shared" si="267"/>
        <v>0</v>
      </c>
      <c r="BT53" s="56"/>
      <c r="BW53" s="55">
        <f t="shared" si="268"/>
        <v>46065</v>
      </c>
      <c r="BX53" s="56"/>
      <c r="BY53" s="81">
        <f>SUMPRODUCT(PRODUCE!$B66:$DY66,PRODUCE!$EB$15:$IY$15)</f>
        <v>731.5</v>
      </c>
      <c r="BZ53" s="56"/>
      <c r="CA53" s="65">
        <f t="shared" si="269"/>
        <v>731.5</v>
      </c>
      <c r="CB53" s="65">
        <f t="shared" si="270"/>
        <v>3122.6</v>
      </c>
      <c r="CC53" s="56"/>
      <c r="CF53" s="55">
        <f t="shared" si="271"/>
        <v>46065</v>
      </c>
      <c r="CG53" s="56"/>
      <c r="CH53" s="82">
        <f>SUMPRODUCT(PRODUCE!$B66:$DY66,PRODUCE!$EB$16:$IY$16)</f>
        <v>1100</v>
      </c>
      <c r="CI53" s="56"/>
      <c r="CJ53" s="66">
        <f t="shared" si="272"/>
        <v>1100</v>
      </c>
      <c r="CK53" s="66">
        <f t="shared" si="273"/>
        <v>0</v>
      </c>
      <c r="CL53" s="56"/>
      <c r="CO53" s="55">
        <f t="shared" si="274"/>
        <v>46065</v>
      </c>
      <c r="CP53" s="422"/>
      <c r="CQ53" s="471">
        <f>SUMPRODUCT(PRODUCE!$B66:$DY66,PRODUCE!$EB$17:$IY$17)</f>
        <v>0</v>
      </c>
      <c r="CR53" s="422"/>
      <c r="CS53" s="470">
        <f t="shared" si="275"/>
        <v>0</v>
      </c>
      <c r="CT53" s="470">
        <f t="shared" si="276"/>
        <v>0</v>
      </c>
      <c r="CU53" s="56"/>
      <c r="CX53" s="55">
        <f t="shared" si="277"/>
        <v>46065</v>
      </c>
      <c r="CY53" s="56"/>
      <c r="CZ53" s="136">
        <f>SUMPRODUCT(PRODUCE!$B66:$DY66,PRODUCE!$EB$18:$IY$18)</f>
        <v>5500</v>
      </c>
      <c r="DA53" s="56">
        <v>5500.5</v>
      </c>
      <c r="DB53" s="133">
        <f t="shared" si="278"/>
        <v>-0.5</v>
      </c>
      <c r="DC53" s="133">
        <f t="shared" si="279"/>
        <v>6686.7999999999993</v>
      </c>
      <c r="DD53" s="56"/>
      <c r="DG53" s="55">
        <f t="shared" si="280"/>
        <v>46065</v>
      </c>
      <c r="DH53" s="56"/>
      <c r="DI53" s="150">
        <f>SUMPRODUCT(PRODUCE!$B66:$DY66,PRODUCE!$EB$19:$IY$19)</f>
        <v>4400</v>
      </c>
      <c r="DJ53" s="56">
        <v>4397.3999999999996</v>
      </c>
      <c r="DK53" s="147">
        <f t="shared" si="281"/>
        <v>2.6000000000003638</v>
      </c>
      <c r="DL53" s="147">
        <f t="shared" si="282"/>
        <v>13431.599999999997</v>
      </c>
      <c r="DM53" s="56"/>
      <c r="DP53" s="55">
        <f t="shared" si="283"/>
        <v>46065</v>
      </c>
      <c r="DQ53" s="56"/>
      <c r="DR53" s="58">
        <f>SUMPRODUCT(PRODUCE!$B66:$DY66,PRODUCE!$EB$20:$IY$20)</f>
        <v>0</v>
      </c>
      <c r="DS53" s="56"/>
      <c r="DT53" s="57">
        <f t="shared" si="284"/>
        <v>0</v>
      </c>
      <c r="DU53" s="57">
        <f t="shared" si="285"/>
        <v>0</v>
      </c>
      <c r="DV53" s="56"/>
      <c r="DY53" s="55">
        <f t="shared" si="286"/>
        <v>46065</v>
      </c>
      <c r="DZ53" s="56"/>
      <c r="EA53" s="159">
        <f>SUMPRODUCT(PRODUCE!$B66:$DY66,PRODUCE!$EB$21:$IY$21)</f>
        <v>0</v>
      </c>
      <c r="EB53" s="56"/>
      <c r="EC53" s="157">
        <f t="shared" si="287"/>
        <v>0</v>
      </c>
      <c r="ED53" s="157">
        <f t="shared" si="288"/>
        <v>5696.8</v>
      </c>
      <c r="EE53" s="56"/>
      <c r="EH53" s="55">
        <f t="shared" si="289"/>
        <v>46065</v>
      </c>
      <c r="EI53" s="56"/>
      <c r="EJ53" s="164">
        <f>SUMPRODUCT(PRODUCE!$B66:$DY66,PRODUCE!$EB$22:$IY$22)</f>
        <v>0</v>
      </c>
      <c r="EK53" s="56"/>
      <c r="EL53" s="162">
        <f t="shared" si="290"/>
        <v>0</v>
      </c>
      <c r="EM53" s="162">
        <f t="shared" si="291"/>
        <v>0</v>
      </c>
      <c r="EN53" s="56"/>
      <c r="EQ53" s="55">
        <f t="shared" si="292"/>
        <v>46065</v>
      </c>
      <c r="ER53" s="56"/>
      <c r="ES53" s="171">
        <f>SUMPRODUCT(PRODUCE!$B66:$DY66,PRODUCE!$EB$23:$IY$23)</f>
        <v>0</v>
      </c>
      <c r="ET53" s="56"/>
      <c r="EU53" s="135">
        <f t="shared" si="293"/>
        <v>0</v>
      </c>
      <c r="EV53" s="135">
        <f t="shared" si="294"/>
        <v>0</v>
      </c>
      <c r="EW53" s="56"/>
      <c r="EZ53" s="55">
        <f t="shared" si="295"/>
        <v>46065</v>
      </c>
      <c r="FA53" s="56"/>
      <c r="FB53" s="178">
        <f>SUMPRODUCT(PRODUCE!$B66:$DY66,PRODUCE!$EB$24:$IY$24)</f>
        <v>0</v>
      </c>
      <c r="FC53" s="56"/>
      <c r="FD53" s="175">
        <f t="shared" si="296"/>
        <v>0</v>
      </c>
      <c r="FE53" s="175">
        <f t="shared" si="297"/>
        <v>0</v>
      </c>
      <c r="FF53" s="56"/>
      <c r="FI53" s="55">
        <f t="shared" si="298"/>
        <v>46065</v>
      </c>
      <c r="FJ53" s="56"/>
      <c r="FK53" s="184">
        <f>SUMPRODUCT(PRODUCE!$B66:$DY66,PRODUCE!$EB$25:$IY$25)</f>
        <v>0</v>
      </c>
      <c r="FL53" s="56"/>
      <c r="FM53" s="183">
        <f t="shared" si="299"/>
        <v>0</v>
      </c>
      <c r="FN53" s="183">
        <f t="shared" si="300"/>
        <v>0</v>
      </c>
      <c r="FO53" s="56"/>
      <c r="FR53" s="55">
        <f t="shared" si="301"/>
        <v>46065</v>
      </c>
      <c r="FS53" s="422"/>
      <c r="FT53" s="453">
        <f>SUMPRODUCT(PRODUCE!$B66:$DY66,PRODUCE!$EB$26:$IY$26)</f>
        <v>0</v>
      </c>
      <c r="FU53" s="422"/>
      <c r="FV53" s="452">
        <f t="shared" si="302"/>
        <v>0</v>
      </c>
      <c r="FW53" s="452">
        <f t="shared" si="303"/>
        <v>3020</v>
      </c>
      <c r="FX53" s="56"/>
      <c r="GA53" s="55">
        <f t="shared" si="304"/>
        <v>46065</v>
      </c>
      <c r="GB53" s="422"/>
      <c r="GC53" s="455">
        <f>SUMPRODUCT(PRODUCE!$B66:$DY66,PRODUCE!$EB$27:$IY$27)</f>
        <v>0</v>
      </c>
      <c r="GD53" s="422"/>
      <c r="GE53" s="454">
        <f t="shared" si="305"/>
        <v>0</v>
      </c>
      <c r="GF53" s="454">
        <f t="shared" si="306"/>
        <v>5960</v>
      </c>
      <c r="GG53" s="56"/>
      <c r="GI53" s="23"/>
      <c r="GJ53" s="55">
        <f t="shared" si="307"/>
        <v>46065</v>
      </c>
      <c r="GK53" s="422">
        <f>100*20</f>
        <v>2000</v>
      </c>
      <c r="GL53" s="457">
        <f>SUMPRODUCT(PRODUCE!$B66:$DY66,PRODUCE!$EB$28:$IY$28)</f>
        <v>0</v>
      </c>
      <c r="GM53" s="422"/>
      <c r="GN53" s="456">
        <f t="shared" si="308"/>
        <v>0</v>
      </c>
      <c r="GO53" s="456">
        <f t="shared" si="309"/>
        <v>5240</v>
      </c>
      <c r="GP53" s="56"/>
      <c r="GS53" s="55">
        <f t="shared" si="310"/>
        <v>46065</v>
      </c>
      <c r="GT53" s="56"/>
      <c r="GU53" s="196">
        <f>SUMPRODUCT(PRODUCE!$B66:$DY66,PRODUCE!$EB$29:$IY$29)</f>
        <v>0</v>
      </c>
      <c r="GV53" s="56"/>
      <c r="GW53" s="195">
        <f t="shared" si="311"/>
        <v>0</v>
      </c>
      <c r="GX53" s="195">
        <f t="shared" si="312"/>
        <v>0</v>
      </c>
      <c r="GY53" s="56"/>
      <c r="HB53" s="55">
        <f t="shared" si="313"/>
        <v>46065</v>
      </c>
      <c r="HC53" s="56"/>
      <c r="HD53" s="192">
        <f>SUMPRODUCT(PRODUCE!$B66:$DY66,PRODUCE!$EB$30:$IY$30)</f>
        <v>0</v>
      </c>
      <c r="HE53" s="56"/>
      <c r="HF53" s="191">
        <f t="shared" si="314"/>
        <v>0</v>
      </c>
      <c r="HG53" s="191">
        <f t="shared" si="315"/>
        <v>0</v>
      </c>
      <c r="HH53" s="56"/>
      <c r="HK53" s="55">
        <f t="shared" si="316"/>
        <v>46065</v>
      </c>
      <c r="HL53" s="56"/>
      <c r="HM53" s="80">
        <f>SUMPRODUCT(PRODUCE!$B66:$DY66,PRODUCE!$EB$31:$IY$31)</f>
        <v>0</v>
      </c>
      <c r="HN53" s="56"/>
      <c r="HO53" s="63">
        <f t="shared" si="317"/>
        <v>0</v>
      </c>
      <c r="HP53" s="63">
        <f t="shared" si="318"/>
        <v>0</v>
      </c>
      <c r="HQ53" s="56"/>
      <c r="HU53" s="55">
        <f t="shared" si="319"/>
        <v>46065</v>
      </c>
      <c r="HV53" s="56"/>
      <c r="HW53" s="242">
        <f>SUMPRODUCT(PRODUCE!$B66:$DY66,PRODUCE!$EB$32:$IY$32)</f>
        <v>0</v>
      </c>
      <c r="HX53" s="56"/>
      <c r="HY53" s="242">
        <f t="shared" si="320"/>
        <v>0</v>
      </c>
      <c r="HZ53" s="242">
        <f t="shared" si="321"/>
        <v>5120</v>
      </c>
      <c r="IA53" s="56"/>
      <c r="ID53" s="55">
        <f t="shared" si="322"/>
        <v>46065</v>
      </c>
      <c r="IE53" s="56"/>
      <c r="IF53" s="242">
        <f>SUMPRODUCT(PRODUCE!$B66:$DY66,PRODUCE!$EB$33:$IY$33)</f>
        <v>0</v>
      </c>
      <c r="IG53" s="56"/>
      <c r="IH53" s="242">
        <f t="shared" si="323"/>
        <v>0</v>
      </c>
      <c r="II53" s="242">
        <f t="shared" si="324"/>
        <v>5100</v>
      </c>
      <c r="IJ53" s="56"/>
      <c r="IM53" s="55">
        <f t="shared" si="325"/>
        <v>46065</v>
      </c>
      <c r="IN53" s="56"/>
      <c r="IO53" s="242">
        <f>SUMPRODUCT(PRODUCE!$B66:$DY66,PRODUCE!$EB$34:$IY$34)</f>
        <v>0</v>
      </c>
      <c r="IP53" s="56"/>
      <c r="IQ53" s="242">
        <f t="shared" si="326"/>
        <v>0</v>
      </c>
      <c r="IR53" s="242">
        <f t="shared" si="327"/>
        <v>11040</v>
      </c>
      <c r="IS53" s="56"/>
      <c r="IV53" s="55">
        <f t="shared" si="328"/>
        <v>46065</v>
      </c>
      <c r="IW53" s="56">
        <f>100*20</f>
        <v>2000</v>
      </c>
      <c r="IX53" s="242">
        <f>SUMPRODUCT(PRODUCE!$B66:$DY66,PRODUCE!$EB$35:$IY$35)</f>
        <v>0</v>
      </c>
      <c r="IY53" s="56"/>
      <c r="IZ53" s="242">
        <f t="shared" si="329"/>
        <v>0</v>
      </c>
      <c r="JA53" s="242">
        <f t="shared" si="330"/>
        <v>15120</v>
      </c>
      <c r="JB53" s="56"/>
      <c r="JE53" s="55">
        <f t="shared" si="331"/>
        <v>46065</v>
      </c>
      <c r="JF53" s="56"/>
      <c r="JG53" s="242">
        <f>SUMPRODUCT(PRODUCE!$B66:$DY66,PRODUCE!$EB$36:$IY$36)</f>
        <v>0</v>
      </c>
      <c r="JH53" s="56"/>
      <c r="JI53" s="242">
        <f t="shared" si="332"/>
        <v>0</v>
      </c>
      <c r="JJ53" s="242">
        <f t="shared" si="333"/>
        <v>6800</v>
      </c>
      <c r="JK53" s="56"/>
      <c r="JN53" s="55">
        <f t="shared" si="334"/>
        <v>46065</v>
      </c>
      <c r="JO53" s="56"/>
      <c r="JP53" s="242">
        <f>SUMPRODUCT(PRODUCE!$B66:$DY66,PRODUCE!$EB$37:$IY$37)</f>
        <v>0</v>
      </c>
      <c r="JQ53" s="56"/>
      <c r="JR53" s="242">
        <f t="shared" si="335"/>
        <v>0</v>
      </c>
      <c r="JS53" s="242">
        <f t="shared" si="336"/>
        <v>5400</v>
      </c>
      <c r="JT53" s="56"/>
      <c r="JW53" s="55">
        <f t="shared" si="337"/>
        <v>46065</v>
      </c>
      <c r="JX53" s="56"/>
      <c r="JY53" s="242">
        <f>SUMPRODUCT(PRODUCE!$B66:$DY66,PRODUCE!$EB$38:$IY$38)</f>
        <v>0</v>
      </c>
      <c r="JZ53" s="56"/>
      <c r="KA53" s="242">
        <f t="shared" si="338"/>
        <v>0</v>
      </c>
      <c r="KB53" s="242">
        <f t="shared" si="339"/>
        <v>400</v>
      </c>
      <c r="KC53" s="56"/>
      <c r="KF53" s="55">
        <f t="shared" si="340"/>
        <v>46065</v>
      </c>
      <c r="KG53" s="56"/>
      <c r="KH53" s="242">
        <f>SUMPRODUCT(PRODUCE!$B66:$DY66,PRODUCE!$EB$39:$IY$39)</f>
        <v>2145</v>
      </c>
      <c r="KI53" s="56"/>
      <c r="KJ53" s="242">
        <f t="shared" si="341"/>
        <v>2145</v>
      </c>
      <c r="KK53" s="242">
        <f t="shared" si="342"/>
        <v>5148</v>
      </c>
      <c r="KL53" s="56"/>
      <c r="KO53" s="55">
        <f t="shared" si="343"/>
        <v>46065</v>
      </c>
      <c r="KP53" s="56"/>
      <c r="KQ53" s="242">
        <f>SUMPRODUCT(PRODUCE!$B66:$DY66,PRODUCE!$EB$40:$IY$40)</f>
        <v>0</v>
      </c>
      <c r="KR53" s="56"/>
      <c r="KS53" s="242">
        <f t="shared" si="344"/>
        <v>0</v>
      </c>
      <c r="KT53" s="242">
        <f t="shared" si="345"/>
        <v>13230</v>
      </c>
      <c r="KU53" s="56"/>
      <c r="KW53" s="23"/>
      <c r="KX53" s="55">
        <f t="shared" si="346"/>
        <v>46065</v>
      </c>
      <c r="KY53" s="56"/>
      <c r="KZ53" s="242">
        <f>SUMPRODUCT(PRODUCE!$B66:$DY66,PRODUCE!$EB$41:$IY$41)</f>
        <v>0</v>
      </c>
      <c r="LA53" s="56"/>
      <c r="LB53" s="242">
        <f t="shared" si="347"/>
        <v>0</v>
      </c>
      <c r="LC53" s="242">
        <f t="shared" si="348"/>
        <v>0</v>
      </c>
      <c r="LD53" s="56"/>
      <c r="LG53" s="55">
        <f t="shared" si="349"/>
        <v>46065</v>
      </c>
      <c r="LH53" s="56"/>
      <c r="LI53" s="242">
        <f>SUMPRODUCT(PRODUCE!$B66:$DY66,PRODUCE!$EB$42:$IY$42)</f>
        <v>0</v>
      </c>
      <c r="LJ53" s="56"/>
      <c r="LK53" s="242">
        <f t="shared" si="350"/>
        <v>0</v>
      </c>
      <c r="LL53" s="242">
        <f t="shared" si="351"/>
        <v>0</v>
      </c>
      <c r="LM53" s="56"/>
      <c r="LP53" s="55">
        <f t="shared" si="352"/>
        <v>46065</v>
      </c>
      <c r="LQ53" s="56"/>
      <c r="LR53" s="242">
        <f>SUMPRODUCT(PRODUCE!$B68:$DY68,PRODUCE!$EB$43:$IY$43)</f>
        <v>0</v>
      </c>
      <c r="LS53" s="56"/>
      <c r="LT53" s="242">
        <f t="shared" si="353"/>
        <v>0</v>
      </c>
      <c r="LU53" s="242">
        <f t="shared" si="354"/>
        <v>0</v>
      </c>
      <c r="LV53" s="56"/>
      <c r="LY53" s="55">
        <f t="shared" si="355"/>
        <v>46065</v>
      </c>
      <c r="LZ53" s="56"/>
      <c r="MA53" s="242">
        <f>SUMPRODUCT(PRODUCE!$B68:$DY68,PRODUCE!$EB$44:$IY$44)</f>
        <v>0</v>
      </c>
      <c r="MB53" s="56"/>
      <c r="MC53" s="242">
        <f t="shared" si="356"/>
        <v>0</v>
      </c>
      <c r="MD53" s="242">
        <f t="shared" si="357"/>
        <v>0</v>
      </c>
      <c r="ME53" s="56"/>
      <c r="MH53" s="55">
        <f t="shared" si="358"/>
        <v>46065</v>
      </c>
      <c r="MI53" s="56"/>
      <c r="MJ53" s="242">
        <f>SUMPRODUCT(PRODUCE!$B66:$DY66,PRODUCE!$EB$45:$IY$45)</f>
        <v>0</v>
      </c>
      <c r="MK53" s="56"/>
      <c r="ML53" s="242">
        <f t="shared" si="359"/>
        <v>0</v>
      </c>
      <c r="MM53" s="242">
        <f t="shared" si="360"/>
        <v>0</v>
      </c>
      <c r="MN53" s="56"/>
      <c r="MQ53" s="55">
        <f t="shared" si="361"/>
        <v>46065</v>
      </c>
      <c r="MR53" s="56"/>
      <c r="MS53" s="242">
        <f>SUMPRODUCT(PRODUCE!$B66:$DY66,PRODUCE!$EB$46:$IY$46)</f>
        <v>220</v>
      </c>
      <c r="MT53" s="56"/>
      <c r="MU53" s="242">
        <f t="shared" si="362"/>
        <v>220</v>
      </c>
      <c r="MV53" s="242">
        <f t="shared" si="363"/>
        <v>1086</v>
      </c>
      <c r="MW53" s="56"/>
      <c r="MZ53" s="55">
        <f t="shared" si="364"/>
        <v>46065</v>
      </c>
      <c r="NA53" s="56"/>
      <c r="NB53" s="242">
        <f>SUMPRODUCT(PRODUCE!$B66:$DY66,PRODUCE!$EB$47:$IY$47)</f>
        <v>330</v>
      </c>
      <c r="NC53" s="56"/>
      <c r="ND53" s="242">
        <f t="shared" si="365"/>
        <v>330</v>
      </c>
      <c r="NE53" s="242">
        <f t="shared" si="366"/>
        <v>0</v>
      </c>
      <c r="NF53" s="56"/>
      <c r="NI53" s="55">
        <f t="shared" si="367"/>
        <v>46065</v>
      </c>
      <c r="NJ53" s="56"/>
      <c r="NK53" s="242">
        <f>SUMPRODUCT(PRODUCE!$B66:$DY66,PRODUCE!$EB$48:$IY$48)</f>
        <v>0</v>
      </c>
      <c r="NL53" s="56"/>
      <c r="NM53" s="242">
        <f t="shared" si="368"/>
        <v>0</v>
      </c>
      <c r="NN53" s="242">
        <f t="shared" si="369"/>
        <v>0</v>
      </c>
      <c r="NO53" s="56"/>
      <c r="NR53" s="55">
        <f t="shared" si="370"/>
        <v>46065</v>
      </c>
      <c r="NS53" s="56"/>
      <c r="NT53" s="242">
        <f>SUMPRODUCT(PRODUCE!$B66:$DY66,PRODUCE!$EB$49:$IY$49)</f>
        <v>132</v>
      </c>
      <c r="NU53" s="56"/>
      <c r="NV53" s="242">
        <f t="shared" si="371"/>
        <v>132</v>
      </c>
      <c r="NW53" s="242">
        <f t="shared" si="372"/>
        <v>2710.8</v>
      </c>
      <c r="NX53" s="56"/>
      <c r="OA53" s="55">
        <f t="shared" si="373"/>
        <v>46065</v>
      </c>
      <c r="OB53" s="56"/>
      <c r="OC53" s="242">
        <f>SUMPRODUCT(PRODUCE!$B66:$DY66,PRODUCE!$EB$50:$IY$50)</f>
        <v>0</v>
      </c>
      <c r="OD53" s="56"/>
      <c r="OE53" s="242">
        <f t="shared" si="374"/>
        <v>0</v>
      </c>
      <c r="OF53" s="242">
        <f t="shared" si="375"/>
        <v>1680.5</v>
      </c>
      <c r="OG53" s="56"/>
      <c r="OJ53" s="55">
        <f t="shared" si="376"/>
        <v>46065</v>
      </c>
      <c r="OK53" s="56"/>
      <c r="OL53" s="242">
        <f>SUMPRODUCT(PRODUCE!$B66:$DY66,PRODUCE!$EB$51:$IY$51)</f>
        <v>307.99999999999994</v>
      </c>
      <c r="OM53" s="56"/>
      <c r="ON53" s="242">
        <f t="shared" si="377"/>
        <v>307.99999999999994</v>
      </c>
      <c r="OO53" s="242">
        <f t="shared" si="378"/>
        <v>0</v>
      </c>
      <c r="OP53" s="56"/>
      <c r="OS53" s="55">
        <f t="shared" si="379"/>
        <v>46065</v>
      </c>
      <c r="OT53" s="56"/>
      <c r="OU53" s="242">
        <f>SUMPRODUCT(PRODUCE!$B66:$DY66,PRODUCE!$EB$52:$IY$52)</f>
        <v>0</v>
      </c>
      <c r="OV53" s="56"/>
      <c r="OW53" s="242">
        <f t="shared" si="380"/>
        <v>0</v>
      </c>
      <c r="OX53" s="242">
        <f t="shared" si="381"/>
        <v>0</v>
      </c>
      <c r="OY53" s="56"/>
      <c r="PB53" s="55">
        <f t="shared" si="382"/>
        <v>46065</v>
      </c>
      <c r="PC53" s="56"/>
      <c r="PD53" s="242">
        <f>SUMPRODUCT(PRODUCE!$B66:$DY66,PRODUCE!$EB$53:$IY$53)</f>
        <v>0</v>
      </c>
      <c r="PE53" s="56"/>
      <c r="PF53" s="242">
        <f t="shared" si="383"/>
        <v>0</v>
      </c>
      <c r="PG53" s="242">
        <f t="shared" si="384"/>
        <v>0</v>
      </c>
      <c r="PH53" s="56"/>
      <c r="PK53" s="55">
        <f t="shared" si="385"/>
        <v>46065</v>
      </c>
      <c r="PL53" s="56"/>
      <c r="PM53" s="242">
        <f>SUMPRODUCT(PRODUCE!$B66:$DY66,PRODUCE!$EB$54:$IY$54)</f>
        <v>0</v>
      </c>
      <c r="PN53" s="56"/>
      <c r="PO53" s="242">
        <f t="shared" si="386"/>
        <v>0</v>
      </c>
      <c r="PP53" s="242">
        <f t="shared" si="387"/>
        <v>160</v>
      </c>
      <c r="PQ53" s="56"/>
      <c r="PT53" s="55">
        <f t="shared" si="388"/>
        <v>46065</v>
      </c>
      <c r="PU53" s="56"/>
      <c r="PV53" s="242">
        <f>SUMPRODUCT(PRODUCE!$B66:$DY66,PRODUCE!$EB$55:$IY$55)</f>
        <v>0</v>
      </c>
      <c r="PW53" s="56"/>
      <c r="PX53" s="242">
        <f t="shared" si="389"/>
        <v>0</v>
      </c>
      <c r="PY53" s="242">
        <f t="shared" si="390"/>
        <v>13.960000000000036</v>
      </c>
      <c r="PZ53" s="56"/>
      <c r="QC53" s="55">
        <f t="shared" si="391"/>
        <v>46065</v>
      </c>
      <c r="QD53" s="56"/>
      <c r="QE53" s="242">
        <f>SUMPRODUCT(PRODUCE!$B66:$DY66,PRODUCE!$EB$56:$IY$56)</f>
        <v>0</v>
      </c>
      <c r="QF53" s="56"/>
      <c r="QG53" s="242">
        <f t="shared" si="392"/>
        <v>0</v>
      </c>
      <c r="QH53" s="242">
        <f t="shared" si="393"/>
        <v>0</v>
      </c>
      <c r="QI53" s="56"/>
      <c r="QL53" s="55">
        <f t="shared" si="394"/>
        <v>46065</v>
      </c>
      <c r="QM53" s="56"/>
      <c r="QN53" s="242">
        <f>SUMPRODUCT(PRODUCE!$B66:$DY66,PRODUCE!$EB$57:$IY$57)</f>
        <v>0</v>
      </c>
      <c r="QO53" s="56"/>
      <c r="QP53" s="242">
        <f t="shared" si="395"/>
        <v>0</v>
      </c>
      <c r="QQ53" s="242">
        <f t="shared" si="396"/>
        <v>0</v>
      </c>
      <c r="QR53" s="56"/>
      <c r="QU53" s="55">
        <f t="shared" si="397"/>
        <v>46065</v>
      </c>
      <c r="QV53" s="56"/>
      <c r="QW53" s="242">
        <f>SUMPRODUCT(PRODUCE!$B66:$DY66,PRODUCE!$EB$57:$IY$57)</f>
        <v>0</v>
      </c>
      <c r="QX53" s="56"/>
      <c r="QY53" s="242">
        <f t="shared" si="398"/>
        <v>0</v>
      </c>
      <c r="QZ53" s="242">
        <f t="shared" si="399"/>
        <v>207.6</v>
      </c>
      <c r="RA53" s="56"/>
      <c r="RD53" s="55">
        <f t="shared" si="400"/>
        <v>46065</v>
      </c>
      <c r="RE53" s="56"/>
      <c r="RF53" s="242">
        <f>SUMPRODUCT(PRODUCE!$B66:$DY66,PRODUCE!$EB$58:$IY$58)</f>
        <v>0</v>
      </c>
      <c r="RG53" s="56"/>
      <c r="RH53" s="242">
        <f t="shared" si="401"/>
        <v>0</v>
      </c>
      <c r="RI53" s="242">
        <f t="shared" si="402"/>
        <v>201.8</v>
      </c>
      <c r="RJ53" s="56"/>
      <c r="RM53" s="55">
        <f t="shared" si="403"/>
        <v>46065</v>
      </c>
      <c r="RN53" s="56"/>
      <c r="RO53" s="242">
        <f>SUMPRODUCT(PRODUCE!$B66:$DY66,PRODUCE!$EB$57:$IY$57)</f>
        <v>0</v>
      </c>
      <c r="RP53" s="56"/>
      <c r="RQ53" s="242">
        <f t="shared" si="404"/>
        <v>0</v>
      </c>
      <c r="RR53" s="242">
        <f t="shared" si="405"/>
        <v>46.8</v>
      </c>
      <c r="RS53" s="56"/>
      <c r="RV53" s="55">
        <f t="shared" si="406"/>
        <v>46065</v>
      </c>
      <c r="RW53" s="56"/>
      <c r="RX53" s="242">
        <f>SUMPRODUCT(PRODUCE!$B66:$DY66,PRODUCE!$EB$57:$IY$57)</f>
        <v>0</v>
      </c>
      <c r="RY53" s="56"/>
      <c r="RZ53" s="242">
        <f t="shared" si="407"/>
        <v>0</v>
      </c>
      <c r="SA53" s="242">
        <f t="shared" si="408"/>
        <v>0</v>
      </c>
      <c r="SB53" s="56"/>
      <c r="SE53" s="55">
        <f t="shared" si="409"/>
        <v>46065</v>
      </c>
      <c r="SF53" s="56"/>
      <c r="SG53" s="242">
        <f>SUMPRODUCT(PRODUCE!$B66:$DY66,PRODUCE!$EB$57:$IY$57)</f>
        <v>0</v>
      </c>
      <c r="SH53" s="56"/>
      <c r="SI53" s="242">
        <f t="shared" si="410"/>
        <v>0</v>
      </c>
      <c r="SJ53" s="242">
        <f t="shared" si="411"/>
        <v>0</v>
      </c>
      <c r="SK53" s="56"/>
      <c r="SN53" s="55">
        <f t="shared" si="412"/>
        <v>46065</v>
      </c>
      <c r="SO53" s="56"/>
      <c r="SP53" s="242">
        <f>SUMPRODUCT(PRODUCE!$B66:$DY66,PRODUCE!$EB$57:$IY$57)</f>
        <v>0</v>
      </c>
      <c r="SQ53" s="56"/>
      <c r="SR53" s="242">
        <f t="shared" si="413"/>
        <v>0</v>
      </c>
      <c r="SS53" s="242">
        <f t="shared" si="414"/>
        <v>0</v>
      </c>
      <c r="ST53" s="56"/>
      <c r="SW53" s="55">
        <f t="shared" si="415"/>
        <v>46065</v>
      </c>
      <c r="SX53" s="56"/>
      <c r="SY53" s="242">
        <f>SUMPRODUCT(PRODUCE!$B66:$DY66,PRODUCE!$EB$57:$IY$57)</f>
        <v>0</v>
      </c>
      <c r="SZ53" s="56"/>
      <c r="TA53" s="242">
        <f t="shared" si="416"/>
        <v>0</v>
      </c>
      <c r="TB53" s="242">
        <f t="shared" si="417"/>
        <v>0</v>
      </c>
      <c r="TC53" s="56"/>
      <c r="TF53" s="55">
        <f t="shared" si="418"/>
        <v>46065</v>
      </c>
      <c r="TG53" s="56"/>
      <c r="TH53" s="242">
        <f>SUMPRODUCT(PRODUCE!$B66:$DY66,PRODUCE!$EB$57:$IY$57)</f>
        <v>0</v>
      </c>
      <c r="TI53" s="56"/>
      <c r="TJ53" s="242">
        <f t="shared" si="419"/>
        <v>0</v>
      </c>
      <c r="TK53" s="242">
        <f t="shared" si="420"/>
        <v>0</v>
      </c>
      <c r="TL53" s="56"/>
      <c r="TO53" s="55">
        <f t="shared" si="421"/>
        <v>46065</v>
      </c>
      <c r="TP53" s="56"/>
      <c r="TQ53" s="242">
        <f>SUMPRODUCT(PRODUCE!$B66:$DY66,PRODUCE!$EB$57:$IY$57)</f>
        <v>0</v>
      </c>
      <c r="TR53" s="56"/>
      <c r="TS53" s="242">
        <f t="shared" si="422"/>
        <v>0</v>
      </c>
      <c r="TT53" s="242">
        <f t="shared" si="423"/>
        <v>0</v>
      </c>
      <c r="TU53" s="56"/>
      <c r="TX53" s="55">
        <f t="shared" si="424"/>
        <v>46065</v>
      </c>
      <c r="TY53" s="56"/>
      <c r="TZ53" s="242">
        <f>SUMPRODUCT(PRODUCE!$B66:$DY66,PRODUCE!$EB$57:$IY$57)</f>
        <v>0</v>
      </c>
      <c r="UA53" s="56"/>
      <c r="UB53" s="242">
        <f t="shared" si="425"/>
        <v>0</v>
      </c>
      <c r="UC53" s="242">
        <f t="shared" si="426"/>
        <v>0</v>
      </c>
      <c r="UD53" s="56"/>
      <c r="UG53" s="55">
        <f t="shared" si="427"/>
        <v>46065</v>
      </c>
      <c r="UH53" s="56"/>
      <c r="UI53" s="242">
        <f>SUMPRODUCT(PRODUCE!$B66:$DY66,PRODUCE!$EB$57:$IY$57)</f>
        <v>0</v>
      </c>
      <c r="UJ53" s="56"/>
      <c r="UK53" s="242">
        <f t="shared" si="428"/>
        <v>0</v>
      </c>
      <c r="UL53" s="242">
        <f t="shared" si="429"/>
        <v>0</v>
      </c>
      <c r="UM53" s="56"/>
      <c r="UP53" s="55">
        <f t="shared" si="430"/>
        <v>46065</v>
      </c>
      <c r="UQ53" s="56"/>
      <c r="UR53" s="242">
        <f>SUMPRODUCT(PRODUCE!$B66:$DY66,PRODUCE!$EB$57:$IY$57)</f>
        <v>0</v>
      </c>
      <c r="US53" s="56"/>
      <c r="UT53" s="242">
        <f t="shared" si="431"/>
        <v>0</v>
      </c>
      <c r="UU53" s="242">
        <f t="shared" si="432"/>
        <v>0</v>
      </c>
      <c r="UV53" s="56"/>
      <c r="UY53" s="55">
        <f t="shared" si="433"/>
        <v>46065</v>
      </c>
      <c r="UZ53" s="56"/>
      <c r="VA53" s="242">
        <f>SUMPRODUCT(PRODUCE!$B66:$DY66,PRODUCE!$EB$57:$IY$57)</f>
        <v>0</v>
      </c>
      <c r="VB53" s="56"/>
      <c r="VC53" s="242">
        <f t="shared" si="434"/>
        <v>0</v>
      </c>
      <c r="VD53" s="242">
        <f t="shared" si="435"/>
        <v>41.600000000000023</v>
      </c>
      <c r="VE53" s="56"/>
      <c r="VH53" s="55">
        <f t="shared" si="436"/>
        <v>46065</v>
      </c>
      <c r="VI53" s="56"/>
      <c r="VJ53" s="242">
        <f>SUMPRODUCT(PRODUCE!$B66:$DY66,PRODUCE!$EB$57:$IY$57)</f>
        <v>0</v>
      </c>
      <c r="VK53" s="56"/>
      <c r="VL53" s="242">
        <f t="shared" si="437"/>
        <v>0</v>
      </c>
      <c r="VM53" s="242">
        <f t="shared" si="438"/>
        <v>0</v>
      </c>
      <c r="VN53" s="56"/>
      <c r="VQ53" s="55">
        <f t="shared" si="439"/>
        <v>46065</v>
      </c>
      <c r="VR53" s="56"/>
      <c r="VS53" s="242">
        <f>SUMPRODUCT(PRODUCE!$B66:$DY66,PRODUCE!$EB$57:$IY$57)</f>
        <v>0</v>
      </c>
      <c r="VT53" s="56"/>
      <c r="VU53" s="242">
        <f t="shared" si="440"/>
        <v>0</v>
      </c>
      <c r="VV53" s="242">
        <f t="shared" si="441"/>
        <v>0</v>
      </c>
      <c r="VW53" s="56"/>
      <c r="VZ53" s="55">
        <f t="shared" si="442"/>
        <v>46065</v>
      </c>
      <c r="WA53" s="56"/>
      <c r="WB53" s="242">
        <f>SUMPRODUCT(PRODUCE!$B66:$DY66,PRODUCE!$EB$57:$IY$57)</f>
        <v>0</v>
      </c>
      <c r="WC53" s="56"/>
      <c r="WD53" s="242">
        <f t="shared" si="443"/>
        <v>0</v>
      </c>
      <c r="WE53" s="242">
        <f t="shared" si="444"/>
        <v>0</v>
      </c>
      <c r="WF53" s="56"/>
      <c r="WI53" s="55">
        <f t="shared" si="445"/>
        <v>46065</v>
      </c>
      <c r="WJ53" s="56"/>
      <c r="WK53" s="242">
        <f>SUMPRODUCT(PRODUCE!$B66:$DY66,PRODUCE!$EB$57:$IY$57)</f>
        <v>0</v>
      </c>
      <c r="WL53" s="56">
        <v>48</v>
      </c>
      <c r="WM53" s="242">
        <f t="shared" si="446"/>
        <v>-48</v>
      </c>
      <c r="WN53" s="242">
        <f t="shared" si="447"/>
        <v>9561</v>
      </c>
      <c r="WO53" s="56"/>
      <c r="WR53" s="55">
        <f t="shared" si="448"/>
        <v>46065</v>
      </c>
      <c r="WS53" s="56"/>
      <c r="WT53" s="242">
        <f>SUMPRODUCT(PRODUCE!$B66:$DY66,PRODUCE!$EB$57:$IY$57)</f>
        <v>0</v>
      </c>
      <c r="WU53" s="56">
        <v>1359</v>
      </c>
      <c r="WV53" s="242">
        <f t="shared" si="449"/>
        <v>-1359</v>
      </c>
      <c r="WW53" s="242">
        <f t="shared" si="450"/>
        <v>6790</v>
      </c>
      <c r="WX53" s="56"/>
      <c r="XA53" s="55">
        <f t="shared" si="451"/>
        <v>46065</v>
      </c>
      <c r="XB53" s="56"/>
      <c r="XC53" s="242">
        <f>SUMPRODUCT(PRODUCE!$B66:$DY66,PRODUCE!$EB$57:$IY$57)</f>
        <v>0</v>
      </c>
      <c r="XD53" s="56"/>
      <c r="XE53" s="242">
        <f t="shared" si="452"/>
        <v>0</v>
      </c>
      <c r="XF53" s="242">
        <f t="shared" si="453"/>
        <v>590</v>
      </c>
      <c r="XG53" s="56"/>
      <c r="XJ53" s="55">
        <f t="shared" si="454"/>
        <v>46065</v>
      </c>
      <c r="XK53" s="56"/>
      <c r="XL53" s="242">
        <f>SUMPRODUCT(PRODUCE!$B66:$DY66,PRODUCE!$EB$57:$IY$57)</f>
        <v>0</v>
      </c>
      <c r="XM53" s="56">
        <v>830</v>
      </c>
      <c r="XN53" s="242">
        <f t="shared" si="455"/>
        <v>-830</v>
      </c>
      <c r="XO53" s="242">
        <f t="shared" si="456"/>
        <v>-266</v>
      </c>
      <c r="XP53" s="56"/>
      <c r="XS53" s="55">
        <f t="shared" si="457"/>
        <v>46065</v>
      </c>
      <c r="XT53" s="56"/>
      <c r="XU53" s="242">
        <f>SUMPRODUCT(PRODUCE!$B66:$DY66,PRODUCE!$EB$57:$IY$57)</f>
        <v>0</v>
      </c>
      <c r="XV53" s="56"/>
      <c r="XW53" s="242">
        <f t="shared" si="458"/>
        <v>0</v>
      </c>
      <c r="XX53" s="242">
        <f t="shared" si="459"/>
        <v>1901</v>
      </c>
      <c r="XY53" s="56"/>
      <c r="YB53" s="55">
        <f t="shared" si="460"/>
        <v>46065</v>
      </c>
      <c r="YC53" s="56"/>
      <c r="YD53" s="242">
        <f>SUMPRODUCT(PRODUCE!$B66:$DY66,PRODUCE!$EB$57:$IY$57)</f>
        <v>0</v>
      </c>
      <c r="YE53" s="56"/>
      <c r="YF53" s="242">
        <f t="shared" si="461"/>
        <v>0</v>
      </c>
      <c r="YG53" s="242">
        <f t="shared" si="462"/>
        <v>-37</v>
      </c>
      <c r="YH53" s="56"/>
      <c r="YK53" s="55">
        <f t="shared" si="463"/>
        <v>46065</v>
      </c>
      <c r="YL53" s="56"/>
      <c r="YM53" s="242">
        <f>SUMPRODUCT(PRODUCE!$B66:$DY66,PRODUCE!$EB$57:$IY$57)</f>
        <v>0</v>
      </c>
      <c r="YN53" s="56"/>
      <c r="YO53" s="242">
        <f t="shared" si="464"/>
        <v>0</v>
      </c>
      <c r="YP53" s="242">
        <f t="shared" si="465"/>
        <v>0</v>
      </c>
      <c r="YQ53" s="56"/>
      <c r="YT53" s="55">
        <f t="shared" si="466"/>
        <v>46065</v>
      </c>
      <c r="YU53" s="56"/>
      <c r="YV53" s="242">
        <f>SUMPRODUCT(PRODUCE!$B66:$DY66,PRODUCE!$EB$57:$IY$57)</f>
        <v>0</v>
      </c>
      <c r="YW53" s="56"/>
      <c r="YX53" s="242">
        <f t="shared" si="467"/>
        <v>0</v>
      </c>
      <c r="YY53" s="242">
        <f t="shared" si="468"/>
        <v>0</v>
      </c>
      <c r="YZ53" s="56"/>
      <c r="ZC53" s="55">
        <f t="shared" si="469"/>
        <v>46065</v>
      </c>
      <c r="ZD53" s="56"/>
      <c r="ZE53" s="242">
        <f>SUMPRODUCT(PRODUCE!$B66:$DY66,PRODUCE!$EB$57:$IY$57)</f>
        <v>0</v>
      </c>
      <c r="ZF53" s="56"/>
      <c r="ZG53" s="242">
        <f t="shared" si="470"/>
        <v>0</v>
      </c>
      <c r="ZH53" s="242">
        <f t="shared" si="471"/>
        <v>0</v>
      </c>
      <c r="ZI53" s="56"/>
      <c r="ZL53" s="55">
        <f t="shared" si="472"/>
        <v>46065</v>
      </c>
      <c r="ZM53" s="56"/>
      <c r="ZN53" s="242">
        <f>SUMPRODUCT(PRODUCE!$B66:$DY66,PRODUCE!$EB$57:$IY$57)</f>
        <v>0</v>
      </c>
      <c r="ZO53" s="56"/>
      <c r="ZP53" s="242">
        <f t="shared" si="473"/>
        <v>0</v>
      </c>
      <c r="ZQ53" s="242">
        <f t="shared" si="474"/>
        <v>0</v>
      </c>
      <c r="ZR53" s="56"/>
      <c r="ZU53" s="55">
        <f t="shared" si="475"/>
        <v>46065</v>
      </c>
      <c r="ZV53" s="56"/>
      <c r="ZW53" s="242">
        <f>SUMPRODUCT(PRODUCE!$B66:$DY66,PRODUCE!$EB$57:$IY$57)</f>
        <v>0</v>
      </c>
      <c r="ZX53" s="56"/>
      <c r="ZY53" s="242">
        <f t="shared" si="476"/>
        <v>0</v>
      </c>
      <c r="ZZ53" s="242">
        <f t="shared" si="477"/>
        <v>0</v>
      </c>
      <c r="AAA53" s="56"/>
      <c r="AAD53" s="55">
        <f t="shared" si="478"/>
        <v>46065</v>
      </c>
      <c r="AAE53" s="56"/>
      <c r="AAF53" s="242">
        <f>SUMPRODUCT(PRODUCE!$B66:$DY66,PRODUCE!$EB$57:$IY$57)</f>
        <v>0</v>
      </c>
      <c r="AAG53" s="56"/>
      <c r="AAH53" s="242">
        <f t="shared" si="479"/>
        <v>0</v>
      </c>
      <c r="AAI53" s="242">
        <f t="shared" si="480"/>
        <v>0</v>
      </c>
      <c r="AAJ53" s="56"/>
      <c r="AAM53" s="55">
        <f t="shared" si="481"/>
        <v>46065</v>
      </c>
      <c r="AAN53" s="56"/>
      <c r="AAO53" s="242">
        <f>SUMPRODUCT(PRODUCE!$B66:$DY66,PRODUCE!$EB$57:$IY$57)</f>
        <v>0</v>
      </c>
      <c r="AAP53" s="56"/>
      <c r="AAQ53" s="242">
        <f t="shared" si="482"/>
        <v>0</v>
      </c>
      <c r="AAR53" s="242">
        <f t="shared" si="483"/>
        <v>0</v>
      </c>
      <c r="AAS53" s="56"/>
      <c r="AAV53" s="55">
        <f t="shared" si="484"/>
        <v>46065</v>
      </c>
      <c r="AAW53" s="56"/>
      <c r="AAX53" s="242">
        <f>SUMPRODUCT(PRODUCE!$B66:$DY66,PRODUCE!$EB$57:$IY$57)</f>
        <v>0</v>
      </c>
      <c r="AAY53" s="56"/>
      <c r="AAZ53" s="242">
        <f t="shared" si="485"/>
        <v>0</v>
      </c>
      <c r="ABA53" s="242">
        <f t="shared" si="486"/>
        <v>0</v>
      </c>
      <c r="ABB53" s="56"/>
      <c r="ABE53" s="55">
        <f t="shared" si="487"/>
        <v>46065</v>
      </c>
      <c r="ABF53" s="56"/>
      <c r="ABG53" s="242">
        <f>SUMPRODUCT(PRODUCE!$B66:$DY66,PRODUCE!$EB$57:$IY$57)</f>
        <v>0</v>
      </c>
      <c r="ABH53" s="56"/>
      <c r="ABI53" s="242">
        <f t="shared" si="488"/>
        <v>0</v>
      </c>
      <c r="ABJ53" s="242">
        <f t="shared" si="489"/>
        <v>0</v>
      </c>
      <c r="ABK53" s="56"/>
    </row>
    <row r="54" spans="2:739" s="54" customFormat="1" ht="15" customHeight="1" outlineLevel="1">
      <c r="B54" s="478">
        <f>26+112</f>
        <v>138</v>
      </c>
      <c r="C54" s="55">
        <v>46066</v>
      </c>
      <c r="D54" s="422">
        <v>55180</v>
      </c>
      <c r="E54" s="424">
        <f>SUMPRODUCT(PRODUCE!$B67:$DY67,PRODUCE!$EB$7:$IY$7)</f>
        <v>74112.600000000006</v>
      </c>
      <c r="F54" s="422">
        <v>74115.600000000006</v>
      </c>
      <c r="G54" s="423">
        <f t="shared" si="247"/>
        <v>-3</v>
      </c>
      <c r="H54" s="423">
        <f t="shared" si="245"/>
        <v>232692.4</v>
      </c>
      <c r="I54" s="289" t="s">
        <v>205</v>
      </c>
      <c r="L54" s="55">
        <f t="shared" si="246"/>
        <v>46066</v>
      </c>
      <c r="M54" s="422">
        <v>105580</v>
      </c>
      <c r="N54" s="439">
        <f>SUMPRODUCT(PRODUCE!$B67:$DY67,PRODUCE!$EB$8:$IY$8)</f>
        <v>39730.499999999993</v>
      </c>
      <c r="O54" s="422">
        <v>39733.4</v>
      </c>
      <c r="P54" s="438">
        <f t="shared" si="248"/>
        <v>-2.9000000000087311</v>
      </c>
      <c r="Q54" s="438">
        <f t="shared" si="249"/>
        <v>125526.00000000003</v>
      </c>
      <c r="R54" s="56"/>
      <c r="U54" s="55">
        <f t="shared" si="250"/>
        <v>46066</v>
      </c>
      <c r="V54" s="422"/>
      <c r="W54" s="441">
        <f>SUMPRODUCT(PRODUCE!$B67:$DY67,PRODUCE!$EB$9:$IY$9)</f>
        <v>6250</v>
      </c>
      <c r="X54" s="422">
        <v>6251.1</v>
      </c>
      <c r="Y54" s="440">
        <f t="shared" si="251"/>
        <v>-1.1000000000003638</v>
      </c>
      <c r="Z54" s="440">
        <f t="shared" si="252"/>
        <v>52938.199999999983</v>
      </c>
      <c r="AA54" s="56"/>
      <c r="AD54" s="55">
        <f t="shared" si="253"/>
        <v>46066</v>
      </c>
      <c r="AE54" s="422"/>
      <c r="AF54" s="443">
        <f>SUMPRODUCT(PRODUCE!$B67:$DY67,PRODUCE!$EB$10:$IY$10)</f>
        <v>6900</v>
      </c>
      <c r="AG54" s="422">
        <v>6902.3</v>
      </c>
      <c r="AH54" s="442">
        <f t="shared" si="254"/>
        <v>-2.3000000000001819</v>
      </c>
      <c r="AI54" s="442">
        <f t="shared" si="255"/>
        <v>48256.60000000002</v>
      </c>
      <c r="AJ54" s="56"/>
      <c r="AM54" s="55">
        <f t="shared" si="256"/>
        <v>46066</v>
      </c>
      <c r="AN54" s="422"/>
      <c r="AO54" s="445">
        <f>SUMPRODUCT(PRODUCE!$B67:$DY67,PRODUCE!$EB$11:$IY$11)</f>
        <v>0</v>
      </c>
      <c r="AP54" s="422"/>
      <c r="AQ54" s="444">
        <f t="shared" si="257"/>
        <v>0</v>
      </c>
      <c r="AR54" s="444">
        <f t="shared" si="258"/>
        <v>0</v>
      </c>
      <c r="AS54" s="56"/>
      <c r="AV54" s="55">
        <f t="shared" si="259"/>
        <v>46066</v>
      </c>
      <c r="AW54" s="422"/>
      <c r="AX54" s="447">
        <f>SUMPRODUCT(PRODUCE!$B67:$DY67,PRODUCE!$EB$12:$IY$12)</f>
        <v>2760</v>
      </c>
      <c r="AY54" s="422">
        <v>2760.8</v>
      </c>
      <c r="AZ54" s="446">
        <f t="shared" si="260"/>
        <v>-0.8000000000001819</v>
      </c>
      <c r="BA54" s="446">
        <f t="shared" si="261"/>
        <v>51523.899999999987</v>
      </c>
      <c r="BB54" s="56"/>
      <c r="BE54" s="55">
        <f t="shared" si="262"/>
        <v>46066</v>
      </c>
      <c r="BF54" s="422"/>
      <c r="BG54" s="449">
        <f>SUMPRODUCT(PRODUCE!$B67:$DY67,PRODUCE!$EB$13:$IY$13)</f>
        <v>2240</v>
      </c>
      <c r="BH54" s="422">
        <v>2242.4</v>
      </c>
      <c r="BI54" s="448">
        <f t="shared" si="263"/>
        <v>-2.4000000000000909</v>
      </c>
      <c r="BJ54" s="448">
        <f t="shared" si="264"/>
        <v>23346.800000000007</v>
      </c>
      <c r="BK54" s="56"/>
      <c r="BN54" s="55">
        <f t="shared" si="265"/>
        <v>46066</v>
      </c>
      <c r="BO54" s="422">
        <v>2760</v>
      </c>
      <c r="BP54" s="451">
        <f>SUMPRODUCT(PRODUCE!$B67:$DY67,PRODUCE!$EB$14:$IY$14)</f>
        <v>2760</v>
      </c>
      <c r="BQ54" s="422">
        <v>2760</v>
      </c>
      <c r="BR54" s="450">
        <f t="shared" si="266"/>
        <v>0</v>
      </c>
      <c r="BS54" s="450">
        <f t="shared" si="267"/>
        <v>0</v>
      </c>
      <c r="BT54" s="56"/>
      <c r="BW54" s="55">
        <f t="shared" si="268"/>
        <v>46066</v>
      </c>
      <c r="BX54" s="56"/>
      <c r="BY54" s="81">
        <f>SUMPRODUCT(PRODUCE!$B67:$DY67,PRODUCE!$EB$15:$IY$15)</f>
        <v>58.500000000000014</v>
      </c>
      <c r="BZ54" s="56">
        <v>2123.1999999999998</v>
      </c>
      <c r="CA54" s="65">
        <f t="shared" si="269"/>
        <v>-2064.6999999999998</v>
      </c>
      <c r="CB54" s="65">
        <f t="shared" si="270"/>
        <v>999.40000000000009</v>
      </c>
      <c r="CC54" s="56"/>
      <c r="CF54" s="55">
        <f t="shared" si="271"/>
        <v>46066</v>
      </c>
      <c r="CG54" s="56">
        <v>3227.4</v>
      </c>
      <c r="CH54" s="82">
        <f>SUMPRODUCT(PRODUCE!$B67:$DY67,PRODUCE!$EB$16:$IY$16)</f>
        <v>23.400000000000002</v>
      </c>
      <c r="CI54" s="56">
        <v>3227.4</v>
      </c>
      <c r="CJ54" s="66">
        <f t="shared" si="272"/>
        <v>-3204</v>
      </c>
      <c r="CK54" s="66">
        <f t="shared" si="273"/>
        <v>0</v>
      </c>
      <c r="CL54" s="56"/>
      <c r="CO54" s="55">
        <f t="shared" si="274"/>
        <v>46066</v>
      </c>
      <c r="CP54" s="422"/>
      <c r="CQ54" s="471">
        <f>SUMPRODUCT(PRODUCE!$B67:$DY67,PRODUCE!$EB$17:$IY$17)</f>
        <v>0</v>
      </c>
      <c r="CR54" s="422"/>
      <c r="CS54" s="470">
        <f t="shared" si="275"/>
        <v>0</v>
      </c>
      <c r="CT54" s="470">
        <f t="shared" si="276"/>
        <v>0</v>
      </c>
      <c r="CU54" s="56"/>
      <c r="CX54" s="55">
        <f t="shared" si="277"/>
        <v>46066</v>
      </c>
      <c r="CY54" s="56">
        <v>20400</v>
      </c>
      <c r="CZ54" s="136">
        <f>SUMPRODUCT(PRODUCE!$B67:$DY67,PRODUCE!$EB$18:$IY$18)</f>
        <v>0</v>
      </c>
      <c r="DA54" s="56"/>
      <c r="DB54" s="133">
        <f t="shared" si="278"/>
        <v>0</v>
      </c>
      <c r="DC54" s="133">
        <f t="shared" si="279"/>
        <v>27086.799999999999</v>
      </c>
      <c r="DD54" s="56"/>
      <c r="DG54" s="55">
        <f t="shared" si="280"/>
        <v>46066</v>
      </c>
      <c r="DH54" s="56"/>
      <c r="DI54" s="150">
        <f>SUMPRODUCT(PRODUCE!$B67:$DY67,PRODUCE!$EB$19:$IY$19)</f>
        <v>0</v>
      </c>
      <c r="DJ54" s="56"/>
      <c r="DK54" s="147">
        <f t="shared" si="281"/>
        <v>0</v>
      </c>
      <c r="DL54" s="147">
        <f t="shared" si="282"/>
        <v>13431.599999999997</v>
      </c>
      <c r="DM54" s="56"/>
      <c r="DP54" s="55">
        <f t="shared" si="283"/>
        <v>46066</v>
      </c>
      <c r="DQ54" s="56">
        <v>2300</v>
      </c>
      <c r="DR54" s="58">
        <f>SUMPRODUCT(PRODUCE!$B67:$DY67,PRODUCE!$EB$20:$IY$20)</f>
        <v>0</v>
      </c>
      <c r="DS54" s="56"/>
      <c r="DT54" s="57">
        <f t="shared" si="284"/>
        <v>0</v>
      </c>
      <c r="DU54" s="57">
        <f t="shared" si="285"/>
        <v>2300</v>
      </c>
      <c r="DV54" s="56"/>
      <c r="DY54" s="55">
        <f t="shared" si="286"/>
        <v>46066</v>
      </c>
      <c r="DZ54" s="56"/>
      <c r="EA54" s="159">
        <f>SUMPRODUCT(PRODUCE!$B67:$DY67,PRODUCE!$EB$21:$IY$21)</f>
        <v>0</v>
      </c>
      <c r="EB54" s="56"/>
      <c r="EC54" s="157">
        <f t="shared" si="287"/>
        <v>0</v>
      </c>
      <c r="ED54" s="157">
        <f t="shared" si="288"/>
        <v>5696.8</v>
      </c>
      <c r="EE54" s="56"/>
      <c r="EH54" s="55">
        <f t="shared" si="289"/>
        <v>46066</v>
      </c>
      <c r="EI54" s="56"/>
      <c r="EJ54" s="164">
        <f>SUMPRODUCT(PRODUCE!$B67:$DY67,PRODUCE!$EB$22:$IY$22)</f>
        <v>0</v>
      </c>
      <c r="EK54" s="56"/>
      <c r="EL54" s="162">
        <f t="shared" si="290"/>
        <v>0</v>
      </c>
      <c r="EM54" s="162">
        <f t="shared" si="291"/>
        <v>0</v>
      </c>
      <c r="EN54" s="56"/>
      <c r="EQ54" s="55">
        <f t="shared" si="292"/>
        <v>46066</v>
      </c>
      <c r="ER54" s="56"/>
      <c r="ES54" s="171">
        <f>SUMPRODUCT(PRODUCE!$B67:$DY67,PRODUCE!$EB$23:$IY$23)</f>
        <v>0</v>
      </c>
      <c r="ET54" s="56"/>
      <c r="EU54" s="135">
        <f t="shared" si="293"/>
        <v>0</v>
      </c>
      <c r="EV54" s="135">
        <f t="shared" si="294"/>
        <v>0</v>
      </c>
      <c r="EW54" s="56"/>
      <c r="EZ54" s="55">
        <f t="shared" si="295"/>
        <v>46066</v>
      </c>
      <c r="FA54" s="56"/>
      <c r="FB54" s="178">
        <f>SUMPRODUCT(PRODUCE!$B67:$DY67,PRODUCE!$EB$24:$IY$24)</f>
        <v>0</v>
      </c>
      <c r="FC54" s="56"/>
      <c r="FD54" s="175">
        <f t="shared" si="296"/>
        <v>0</v>
      </c>
      <c r="FE54" s="175">
        <f t="shared" si="297"/>
        <v>0</v>
      </c>
      <c r="FF54" s="56"/>
      <c r="FI54" s="55">
        <f t="shared" si="298"/>
        <v>46066</v>
      </c>
      <c r="FJ54" s="56"/>
      <c r="FK54" s="184">
        <f>SUMPRODUCT(PRODUCE!$B67:$DY67,PRODUCE!$EB$25:$IY$25)</f>
        <v>0</v>
      </c>
      <c r="FL54" s="56"/>
      <c r="FM54" s="183">
        <f t="shared" si="299"/>
        <v>0</v>
      </c>
      <c r="FN54" s="183">
        <f t="shared" si="300"/>
        <v>0</v>
      </c>
      <c r="FO54" s="56"/>
      <c r="FR54" s="55">
        <f t="shared" si="301"/>
        <v>46066</v>
      </c>
      <c r="FS54" s="422"/>
      <c r="FT54" s="453">
        <f>SUMPRODUCT(PRODUCE!$B67:$DY67,PRODUCE!$EB$26:$IY$26)</f>
        <v>520</v>
      </c>
      <c r="FU54" s="422"/>
      <c r="FV54" s="452">
        <f t="shared" si="302"/>
        <v>520</v>
      </c>
      <c r="FW54" s="452">
        <f t="shared" si="303"/>
        <v>3020</v>
      </c>
      <c r="FX54" s="56"/>
      <c r="GA54" s="55">
        <f t="shared" si="304"/>
        <v>46066</v>
      </c>
      <c r="GB54" s="422"/>
      <c r="GC54" s="455">
        <f>SUMPRODUCT(PRODUCE!$B67:$DY67,PRODUCE!$EB$27:$IY$27)</f>
        <v>0</v>
      </c>
      <c r="GD54" s="422"/>
      <c r="GE54" s="454">
        <f t="shared" si="305"/>
        <v>0</v>
      </c>
      <c r="GF54" s="454">
        <f t="shared" si="306"/>
        <v>5960</v>
      </c>
      <c r="GG54" s="56"/>
      <c r="GI54" s="23"/>
      <c r="GJ54" s="55">
        <f t="shared" si="307"/>
        <v>46066</v>
      </c>
      <c r="GK54" s="422"/>
      <c r="GL54" s="457">
        <f>SUMPRODUCT(PRODUCE!$B67:$DY67,PRODUCE!$EB$28:$IY$28)</f>
        <v>0</v>
      </c>
      <c r="GM54" s="422"/>
      <c r="GN54" s="456">
        <f t="shared" si="308"/>
        <v>0</v>
      </c>
      <c r="GO54" s="456">
        <f t="shared" si="309"/>
        <v>5240</v>
      </c>
      <c r="GP54" s="56"/>
      <c r="GS54" s="55">
        <f t="shared" si="310"/>
        <v>46066</v>
      </c>
      <c r="GT54" s="56"/>
      <c r="GU54" s="196">
        <f>SUMPRODUCT(PRODUCE!$B67:$DY67,PRODUCE!$EB$29:$IY$29)</f>
        <v>0</v>
      </c>
      <c r="GV54" s="56"/>
      <c r="GW54" s="195">
        <f t="shared" si="311"/>
        <v>0</v>
      </c>
      <c r="GX54" s="195">
        <f t="shared" si="312"/>
        <v>0</v>
      </c>
      <c r="GY54" s="56"/>
      <c r="HB54" s="55">
        <f t="shared" si="313"/>
        <v>46066</v>
      </c>
      <c r="HC54" s="56"/>
      <c r="HD54" s="192">
        <f>SUMPRODUCT(PRODUCE!$B67:$DY67,PRODUCE!$EB$30:$IY$30)</f>
        <v>0</v>
      </c>
      <c r="HE54" s="56"/>
      <c r="HF54" s="191">
        <f t="shared" si="314"/>
        <v>0</v>
      </c>
      <c r="HG54" s="191">
        <f t="shared" si="315"/>
        <v>0</v>
      </c>
      <c r="HH54" s="56"/>
      <c r="HK54" s="55">
        <f t="shared" si="316"/>
        <v>46066</v>
      </c>
      <c r="HL54" s="56"/>
      <c r="HM54" s="80">
        <f>SUMPRODUCT(PRODUCE!$B67:$DY67,PRODUCE!$EB$31:$IY$31)</f>
        <v>0</v>
      </c>
      <c r="HN54" s="56"/>
      <c r="HO54" s="63">
        <f t="shared" si="317"/>
        <v>0</v>
      </c>
      <c r="HP54" s="63">
        <f t="shared" si="318"/>
        <v>0</v>
      </c>
      <c r="HQ54" s="56"/>
      <c r="HU54" s="55">
        <f t="shared" si="319"/>
        <v>46066</v>
      </c>
      <c r="HV54" s="56"/>
      <c r="HW54" s="242">
        <f>SUMPRODUCT(PRODUCE!$B67:$DY67,PRODUCE!$EB$32:$IY$32)</f>
        <v>0</v>
      </c>
      <c r="HX54" s="56"/>
      <c r="HY54" s="242">
        <f t="shared" si="320"/>
        <v>0</v>
      </c>
      <c r="HZ54" s="242">
        <f t="shared" si="321"/>
        <v>5120</v>
      </c>
      <c r="IA54" s="56"/>
      <c r="ID54" s="55">
        <f t="shared" si="322"/>
        <v>46066</v>
      </c>
      <c r="IE54" s="56"/>
      <c r="IF54" s="242">
        <f>SUMPRODUCT(PRODUCE!$B67:$DY67,PRODUCE!$EB$33:$IY$33)</f>
        <v>0</v>
      </c>
      <c r="IG54" s="56"/>
      <c r="IH54" s="242">
        <f t="shared" si="323"/>
        <v>0</v>
      </c>
      <c r="II54" s="242">
        <f t="shared" si="324"/>
        <v>5100</v>
      </c>
      <c r="IJ54" s="56"/>
      <c r="IM54" s="55">
        <f t="shared" si="325"/>
        <v>46066</v>
      </c>
      <c r="IN54" s="56"/>
      <c r="IO54" s="242">
        <f>SUMPRODUCT(PRODUCE!$B67:$DY67,PRODUCE!$EB$34:$IY$34)</f>
        <v>2240</v>
      </c>
      <c r="IP54" s="56"/>
      <c r="IQ54" s="242">
        <f t="shared" si="326"/>
        <v>2240</v>
      </c>
      <c r="IR54" s="242">
        <f t="shared" si="327"/>
        <v>11040</v>
      </c>
      <c r="IS54" s="56"/>
      <c r="IV54" s="55">
        <f t="shared" si="328"/>
        <v>46066</v>
      </c>
      <c r="IW54" s="56"/>
      <c r="IX54" s="242">
        <f>SUMPRODUCT(PRODUCE!$B67:$DY67,PRODUCE!$EB$35:$IY$35)</f>
        <v>0</v>
      </c>
      <c r="IY54" s="56"/>
      <c r="IZ54" s="242">
        <f t="shared" si="329"/>
        <v>0</v>
      </c>
      <c r="JA54" s="242">
        <f t="shared" si="330"/>
        <v>15120</v>
      </c>
      <c r="JB54" s="56"/>
      <c r="JE54" s="55">
        <f t="shared" si="331"/>
        <v>46066</v>
      </c>
      <c r="JF54" s="56"/>
      <c r="JG54" s="242">
        <f>SUMPRODUCT(PRODUCE!$B67:$DY67,PRODUCE!$EB$36:$IY$36)</f>
        <v>0</v>
      </c>
      <c r="JH54" s="56"/>
      <c r="JI54" s="242">
        <f t="shared" si="332"/>
        <v>0</v>
      </c>
      <c r="JJ54" s="242">
        <f t="shared" si="333"/>
        <v>6800</v>
      </c>
      <c r="JK54" s="56"/>
      <c r="JN54" s="55">
        <f t="shared" si="334"/>
        <v>46066</v>
      </c>
      <c r="JO54" s="56"/>
      <c r="JP54" s="242">
        <f>SUMPRODUCT(PRODUCE!$B67:$DY67,PRODUCE!$EB$37:$IY$37)</f>
        <v>0</v>
      </c>
      <c r="JQ54" s="56"/>
      <c r="JR54" s="242">
        <f t="shared" si="335"/>
        <v>0</v>
      </c>
      <c r="JS54" s="242">
        <f t="shared" si="336"/>
        <v>5400</v>
      </c>
      <c r="JT54" s="56"/>
      <c r="JW54" s="55">
        <f t="shared" si="337"/>
        <v>46066</v>
      </c>
      <c r="JX54" s="56">
        <f>180*20</f>
        <v>3600</v>
      </c>
      <c r="JY54" s="242">
        <f>SUMPRODUCT(PRODUCE!$B67:$DY67,PRODUCE!$EB$38:$IY$38)</f>
        <v>0</v>
      </c>
      <c r="JZ54" s="56"/>
      <c r="KA54" s="242">
        <f t="shared" si="338"/>
        <v>0</v>
      </c>
      <c r="KB54" s="242">
        <f t="shared" si="339"/>
        <v>4000</v>
      </c>
      <c r="KC54" s="56"/>
      <c r="KF54" s="55">
        <f t="shared" si="340"/>
        <v>46066</v>
      </c>
      <c r="KG54" s="56"/>
      <c r="KH54" s="242">
        <f>SUMPRODUCT(PRODUCE!$B67:$DY67,PRODUCE!$EB$39:$IY$39)</f>
        <v>0</v>
      </c>
      <c r="KI54" s="56">
        <f>198*19.5</f>
        <v>3861</v>
      </c>
      <c r="KJ54" s="242">
        <f t="shared" si="341"/>
        <v>-3861</v>
      </c>
      <c r="KK54" s="242">
        <f t="shared" si="342"/>
        <v>1287</v>
      </c>
      <c r="KL54" s="56"/>
      <c r="KO54" s="55">
        <f t="shared" si="343"/>
        <v>46066</v>
      </c>
      <c r="KP54" s="56"/>
      <c r="KQ54" s="242">
        <f>SUMPRODUCT(PRODUCE!$B67:$DY67,PRODUCE!$EB$40:$IY$40)</f>
        <v>0</v>
      </c>
      <c r="KR54" s="56">
        <f>136*18.9</f>
        <v>2570.3999999999996</v>
      </c>
      <c r="KS54" s="242">
        <f t="shared" si="344"/>
        <v>-2570.3999999999996</v>
      </c>
      <c r="KT54" s="242">
        <f t="shared" si="345"/>
        <v>10659.6</v>
      </c>
      <c r="KU54" s="56"/>
      <c r="KW54" s="23"/>
      <c r="KX54" s="55">
        <f t="shared" si="346"/>
        <v>46066</v>
      </c>
      <c r="KY54" s="56"/>
      <c r="KZ54" s="242">
        <f>SUMPRODUCT(PRODUCE!$B67:$DY67,PRODUCE!$EB$41:$IY$41)</f>
        <v>0</v>
      </c>
      <c r="LA54" s="56"/>
      <c r="LB54" s="242">
        <f t="shared" si="347"/>
        <v>0</v>
      </c>
      <c r="LC54" s="242">
        <f t="shared" si="348"/>
        <v>0</v>
      </c>
      <c r="LD54" s="56"/>
      <c r="LG54" s="55">
        <f t="shared" si="349"/>
        <v>46066</v>
      </c>
      <c r="LH54" s="56"/>
      <c r="LI54" s="242">
        <f>SUMPRODUCT(PRODUCE!$B67:$DY67,PRODUCE!$EB$42:$IY$42)</f>
        <v>0</v>
      </c>
      <c r="LJ54" s="56"/>
      <c r="LK54" s="242">
        <f t="shared" si="350"/>
        <v>0</v>
      </c>
      <c r="LL54" s="242">
        <f t="shared" si="351"/>
        <v>0</v>
      </c>
      <c r="LM54" s="56"/>
      <c r="LP54" s="55">
        <f t="shared" si="352"/>
        <v>46066</v>
      </c>
      <c r="LQ54" s="56"/>
      <c r="LR54" s="242">
        <f>SUMPRODUCT(PRODUCE!$B69:$DY69,PRODUCE!$EB$43:$IY$43)</f>
        <v>0</v>
      </c>
      <c r="LS54" s="56"/>
      <c r="LT54" s="242">
        <f t="shared" si="353"/>
        <v>0</v>
      </c>
      <c r="LU54" s="242">
        <f t="shared" si="354"/>
        <v>0</v>
      </c>
      <c r="LV54" s="56"/>
      <c r="LY54" s="55">
        <f t="shared" si="355"/>
        <v>46066</v>
      </c>
      <c r="LZ54" s="56"/>
      <c r="MA54" s="242">
        <f>SUMPRODUCT(PRODUCE!$B69:$DY69,PRODUCE!$EB$44:$IY$44)</f>
        <v>0</v>
      </c>
      <c r="MB54" s="56"/>
      <c r="MC54" s="242">
        <f t="shared" si="356"/>
        <v>0</v>
      </c>
      <c r="MD54" s="242">
        <f t="shared" si="357"/>
        <v>0</v>
      </c>
      <c r="ME54" s="56"/>
      <c r="MH54" s="55">
        <f t="shared" si="358"/>
        <v>46066</v>
      </c>
      <c r="MI54" s="56"/>
      <c r="MJ54" s="242">
        <f>SUMPRODUCT(PRODUCE!$B67:$DY67,PRODUCE!$EB$45:$IY$45)</f>
        <v>0</v>
      </c>
      <c r="MK54" s="56"/>
      <c r="ML54" s="242">
        <f t="shared" si="359"/>
        <v>0</v>
      </c>
      <c r="MM54" s="242">
        <f t="shared" si="360"/>
        <v>0</v>
      </c>
      <c r="MN54" s="56"/>
      <c r="MQ54" s="55">
        <f t="shared" si="361"/>
        <v>46066</v>
      </c>
      <c r="MR54" s="56"/>
      <c r="MS54" s="242">
        <f>SUMPRODUCT(PRODUCE!$B67:$DY67,PRODUCE!$EB$46:$IY$46)</f>
        <v>69</v>
      </c>
      <c r="MT54" s="56">
        <v>701</v>
      </c>
      <c r="MU54" s="242">
        <f t="shared" si="362"/>
        <v>-632</v>
      </c>
      <c r="MV54" s="242">
        <f t="shared" si="363"/>
        <v>385</v>
      </c>
      <c r="MW54" s="56"/>
      <c r="MZ54" s="55">
        <f t="shared" si="364"/>
        <v>46066</v>
      </c>
      <c r="NA54" s="56">
        <v>877.2</v>
      </c>
      <c r="NB54" s="242">
        <f>SUMPRODUCT(PRODUCE!$B67:$DY67,PRODUCE!$EB$47:$IY$47)</f>
        <v>336</v>
      </c>
      <c r="NC54" s="56">
        <v>877.2</v>
      </c>
      <c r="ND54" s="242">
        <f t="shared" si="365"/>
        <v>-541.20000000000005</v>
      </c>
      <c r="NE54" s="242">
        <f t="shared" si="366"/>
        <v>0</v>
      </c>
      <c r="NF54" s="56"/>
      <c r="NI54" s="55">
        <f t="shared" si="367"/>
        <v>46066</v>
      </c>
      <c r="NJ54" s="56"/>
      <c r="NK54" s="242">
        <f>SUMPRODUCT(PRODUCE!$B67:$DY67,PRODUCE!$EB$48:$IY$48)</f>
        <v>0</v>
      </c>
      <c r="NL54" s="56"/>
      <c r="NM54" s="242">
        <f t="shared" si="368"/>
        <v>0</v>
      </c>
      <c r="NN54" s="242">
        <f t="shared" si="369"/>
        <v>0</v>
      </c>
      <c r="NO54" s="56"/>
      <c r="NR54" s="55">
        <f t="shared" si="370"/>
        <v>46066</v>
      </c>
      <c r="NS54" s="56"/>
      <c r="NT54" s="242">
        <f>SUMPRODUCT(PRODUCE!$B67:$DY67,PRODUCE!$EB$49:$IY$49)</f>
        <v>0</v>
      </c>
      <c r="NU54" s="56">
        <v>400.8</v>
      </c>
      <c r="NV54" s="242">
        <f t="shared" si="371"/>
        <v>-400.8</v>
      </c>
      <c r="NW54" s="242">
        <f t="shared" si="372"/>
        <v>2310</v>
      </c>
      <c r="NX54" s="56"/>
      <c r="OA54" s="55">
        <f t="shared" si="373"/>
        <v>46066</v>
      </c>
      <c r="OB54" s="56"/>
      <c r="OC54" s="242">
        <f>SUMPRODUCT(PRODUCE!$B67:$DY67,PRODUCE!$EB$50:$IY$50)</f>
        <v>0</v>
      </c>
      <c r="OD54" s="56"/>
      <c r="OE54" s="242">
        <f t="shared" si="374"/>
        <v>0</v>
      </c>
      <c r="OF54" s="242">
        <f t="shared" si="375"/>
        <v>1680.5</v>
      </c>
      <c r="OG54" s="56"/>
      <c r="OJ54" s="55">
        <f t="shared" si="376"/>
        <v>46066</v>
      </c>
      <c r="OK54" s="56">
        <v>935.2</v>
      </c>
      <c r="OL54" s="242">
        <f>SUMPRODUCT(PRODUCE!$B67:$DY67,PRODUCE!$EB$51:$IY$51)</f>
        <v>0</v>
      </c>
      <c r="OM54" s="56">
        <v>935.2</v>
      </c>
      <c r="ON54" s="242">
        <f t="shared" si="377"/>
        <v>-935.2</v>
      </c>
      <c r="OO54" s="242">
        <f t="shared" si="378"/>
        <v>0</v>
      </c>
      <c r="OP54" s="56"/>
      <c r="OS54" s="55">
        <f t="shared" si="379"/>
        <v>46066</v>
      </c>
      <c r="OT54" s="56"/>
      <c r="OU54" s="242">
        <f>SUMPRODUCT(PRODUCE!$B67:$DY67,PRODUCE!$EB$52:$IY$52)</f>
        <v>0</v>
      </c>
      <c r="OV54" s="56"/>
      <c r="OW54" s="242">
        <f t="shared" si="380"/>
        <v>0</v>
      </c>
      <c r="OX54" s="242">
        <f t="shared" si="381"/>
        <v>0</v>
      </c>
      <c r="OY54" s="56"/>
      <c r="PB54" s="55">
        <f t="shared" si="382"/>
        <v>46066</v>
      </c>
      <c r="PC54" s="56">
        <v>40</v>
      </c>
      <c r="PD54" s="242">
        <f>SUMPRODUCT(PRODUCE!$B67:$DY67,PRODUCE!$EB$53:$IY$53)</f>
        <v>0</v>
      </c>
      <c r="PE54" s="56">
        <v>40</v>
      </c>
      <c r="PF54" s="242">
        <f t="shared" si="383"/>
        <v>-40</v>
      </c>
      <c r="PG54" s="242">
        <f t="shared" si="384"/>
        <v>0</v>
      </c>
      <c r="PH54" s="56"/>
      <c r="PK54" s="55">
        <f t="shared" si="385"/>
        <v>46066</v>
      </c>
      <c r="PL54" s="56"/>
      <c r="PM54" s="242">
        <f>SUMPRODUCT(PRODUCE!$B67:$DY67,PRODUCE!$EB$54:$IY$54)</f>
        <v>0</v>
      </c>
      <c r="PN54" s="56"/>
      <c r="PO54" s="242">
        <f>PM54-PN54</f>
        <v>0</v>
      </c>
      <c r="PP54" s="242">
        <f>PP53+PL54-PN54</f>
        <v>160</v>
      </c>
      <c r="PQ54" s="56"/>
      <c r="PT54" s="55">
        <f t="shared" si="388"/>
        <v>46066</v>
      </c>
      <c r="PU54" s="56"/>
      <c r="PV54" s="242">
        <f>SUMPRODUCT(PRODUCE!$B67:$DY67,PRODUCE!$EB$55:$IY$55)</f>
        <v>0</v>
      </c>
      <c r="PW54" s="56"/>
      <c r="PX54" s="242">
        <f t="shared" si="389"/>
        <v>0</v>
      </c>
      <c r="PY54" s="242">
        <f t="shared" si="390"/>
        <v>13.960000000000036</v>
      </c>
      <c r="PZ54" s="56"/>
      <c r="QC54" s="55">
        <f t="shared" si="391"/>
        <v>46066</v>
      </c>
      <c r="QD54" s="56"/>
      <c r="QE54" s="242">
        <f>SUMPRODUCT(PRODUCE!$B67:$DY67,PRODUCE!$EB$56:$IY$56)</f>
        <v>0</v>
      </c>
      <c r="QF54" s="56"/>
      <c r="QG54" s="242">
        <f t="shared" si="392"/>
        <v>0</v>
      </c>
      <c r="QH54" s="242">
        <f t="shared" si="393"/>
        <v>0</v>
      </c>
      <c r="QI54" s="56"/>
      <c r="QL54" s="55">
        <f t="shared" si="394"/>
        <v>46066</v>
      </c>
      <c r="QM54" s="56"/>
      <c r="QN54" s="242">
        <f>SUMPRODUCT(PRODUCE!$B67:$DY67,PRODUCE!$EB$57:$IY$57)</f>
        <v>0</v>
      </c>
      <c r="QO54" s="56"/>
      <c r="QP54" s="242">
        <f t="shared" si="395"/>
        <v>0</v>
      </c>
      <c r="QQ54" s="242">
        <f t="shared" si="396"/>
        <v>0</v>
      </c>
      <c r="QR54" s="56"/>
      <c r="QU54" s="55">
        <f t="shared" si="397"/>
        <v>46066</v>
      </c>
      <c r="QV54" s="56"/>
      <c r="QW54" s="242">
        <f>SUMPRODUCT(PRODUCE!$B67:$DY67,PRODUCE!$EB$57:$IY$57)</f>
        <v>0</v>
      </c>
      <c r="QX54" s="56"/>
      <c r="QY54" s="242">
        <f t="shared" si="398"/>
        <v>0</v>
      </c>
      <c r="QZ54" s="242">
        <f t="shared" si="399"/>
        <v>207.6</v>
      </c>
      <c r="RA54" s="56"/>
      <c r="RD54" s="55">
        <f t="shared" si="400"/>
        <v>46066</v>
      </c>
      <c r="RE54" s="56"/>
      <c r="RF54" s="242">
        <f>SUMPRODUCT(PRODUCE!$B67:$DY67,PRODUCE!$EB$58:$IY$58)</f>
        <v>0</v>
      </c>
      <c r="RG54" s="56"/>
      <c r="RH54" s="242">
        <f t="shared" si="401"/>
        <v>0</v>
      </c>
      <c r="RI54" s="242">
        <f t="shared" si="402"/>
        <v>201.8</v>
      </c>
      <c r="RJ54" s="56"/>
      <c r="RM54" s="55">
        <f t="shared" si="403"/>
        <v>46066</v>
      </c>
      <c r="RN54" s="56"/>
      <c r="RO54" s="242">
        <f>SUMPRODUCT(PRODUCE!$B67:$DY67,PRODUCE!$EB$57:$IY$57)</f>
        <v>0</v>
      </c>
      <c r="RP54" s="56"/>
      <c r="RQ54" s="242">
        <f t="shared" si="404"/>
        <v>0</v>
      </c>
      <c r="RR54" s="242">
        <f t="shared" si="405"/>
        <v>46.8</v>
      </c>
      <c r="RS54" s="56"/>
      <c r="RV54" s="55">
        <f t="shared" si="406"/>
        <v>46066</v>
      </c>
      <c r="RW54" s="56"/>
      <c r="RX54" s="242">
        <f>SUMPRODUCT(PRODUCE!$B67:$DY67,PRODUCE!$EB$57:$IY$57)</f>
        <v>0</v>
      </c>
      <c r="RY54" s="56"/>
      <c r="RZ54" s="242">
        <f t="shared" si="407"/>
        <v>0</v>
      </c>
      <c r="SA54" s="242">
        <f t="shared" si="408"/>
        <v>0</v>
      </c>
      <c r="SB54" s="56"/>
      <c r="SE54" s="55">
        <f t="shared" si="409"/>
        <v>46066</v>
      </c>
      <c r="SF54" s="56"/>
      <c r="SG54" s="242">
        <f>SUMPRODUCT(PRODUCE!$B67:$DY67,PRODUCE!$EB$57:$IY$57)</f>
        <v>0</v>
      </c>
      <c r="SH54" s="56"/>
      <c r="SI54" s="242">
        <f t="shared" si="410"/>
        <v>0</v>
      </c>
      <c r="SJ54" s="242">
        <f t="shared" si="411"/>
        <v>0</v>
      </c>
      <c r="SK54" s="56"/>
      <c r="SN54" s="55">
        <f t="shared" si="412"/>
        <v>46066</v>
      </c>
      <c r="SO54" s="56"/>
      <c r="SP54" s="242">
        <f>SUMPRODUCT(PRODUCE!$B67:$DY67,PRODUCE!$EB$57:$IY$57)</f>
        <v>0</v>
      </c>
      <c r="SQ54" s="56"/>
      <c r="SR54" s="242">
        <f t="shared" si="413"/>
        <v>0</v>
      </c>
      <c r="SS54" s="242">
        <f t="shared" si="414"/>
        <v>0</v>
      </c>
      <c r="ST54" s="56"/>
      <c r="SW54" s="55">
        <f t="shared" si="415"/>
        <v>46066</v>
      </c>
      <c r="SX54" s="56"/>
      <c r="SY54" s="242">
        <f>SUMPRODUCT(PRODUCE!$B67:$DY67,PRODUCE!$EB$57:$IY$57)</f>
        <v>0</v>
      </c>
      <c r="SZ54" s="56"/>
      <c r="TA54" s="242">
        <f t="shared" si="416"/>
        <v>0</v>
      </c>
      <c r="TB54" s="242">
        <f t="shared" si="417"/>
        <v>0</v>
      </c>
      <c r="TC54" s="56"/>
      <c r="TF54" s="55">
        <f t="shared" si="418"/>
        <v>46066</v>
      </c>
      <c r="TG54" s="56"/>
      <c r="TH54" s="242">
        <f>SUMPRODUCT(PRODUCE!$B67:$DY67,PRODUCE!$EB$57:$IY$57)</f>
        <v>0</v>
      </c>
      <c r="TI54" s="56"/>
      <c r="TJ54" s="242">
        <f t="shared" si="419"/>
        <v>0</v>
      </c>
      <c r="TK54" s="242">
        <f t="shared" si="420"/>
        <v>0</v>
      </c>
      <c r="TL54" s="56"/>
      <c r="TO54" s="55">
        <f t="shared" si="421"/>
        <v>46066</v>
      </c>
      <c r="TP54" s="56"/>
      <c r="TQ54" s="242">
        <f>SUMPRODUCT(PRODUCE!$B67:$DY67,PRODUCE!$EB$57:$IY$57)</f>
        <v>0</v>
      </c>
      <c r="TR54" s="56"/>
      <c r="TS54" s="242">
        <f t="shared" si="422"/>
        <v>0</v>
      </c>
      <c r="TT54" s="242">
        <f t="shared" si="423"/>
        <v>0</v>
      </c>
      <c r="TU54" s="56"/>
      <c r="TX54" s="55">
        <f t="shared" si="424"/>
        <v>46066</v>
      </c>
      <c r="TY54" s="56"/>
      <c r="TZ54" s="242">
        <f>SUMPRODUCT(PRODUCE!$B67:$DY67,PRODUCE!$EB$57:$IY$57)</f>
        <v>0</v>
      </c>
      <c r="UA54" s="56"/>
      <c r="UB54" s="242">
        <f t="shared" si="425"/>
        <v>0</v>
      </c>
      <c r="UC54" s="242">
        <f t="shared" si="426"/>
        <v>0</v>
      </c>
      <c r="UD54" s="56"/>
      <c r="UG54" s="55">
        <f t="shared" si="427"/>
        <v>46066</v>
      </c>
      <c r="UH54" s="56"/>
      <c r="UI54" s="242">
        <f>SUMPRODUCT(PRODUCE!$B67:$DY67,PRODUCE!$EB$57:$IY$57)</f>
        <v>0</v>
      </c>
      <c r="UJ54" s="56"/>
      <c r="UK54" s="242">
        <f t="shared" si="428"/>
        <v>0</v>
      </c>
      <c r="UL54" s="242">
        <f t="shared" si="429"/>
        <v>0</v>
      </c>
      <c r="UM54" s="56"/>
      <c r="UP54" s="55">
        <f t="shared" si="430"/>
        <v>46066</v>
      </c>
      <c r="UQ54" s="56"/>
      <c r="UR54" s="242">
        <f>SUMPRODUCT(PRODUCE!$B67:$DY67,PRODUCE!$EB$57:$IY$57)</f>
        <v>0</v>
      </c>
      <c r="US54" s="56"/>
      <c r="UT54" s="242">
        <f t="shared" si="431"/>
        <v>0</v>
      </c>
      <c r="UU54" s="242">
        <f t="shared" si="432"/>
        <v>0</v>
      </c>
      <c r="UV54" s="56"/>
      <c r="UY54" s="55">
        <f t="shared" si="433"/>
        <v>46066</v>
      </c>
      <c r="UZ54" s="56"/>
      <c r="VA54" s="242">
        <f>SUMPRODUCT(PRODUCE!$B67:$DY67,PRODUCE!$EB$57:$IY$57)</f>
        <v>0</v>
      </c>
      <c r="VB54" s="56"/>
      <c r="VC54" s="242">
        <f t="shared" si="434"/>
        <v>0</v>
      </c>
      <c r="VD54" s="242">
        <f t="shared" si="435"/>
        <v>41.600000000000023</v>
      </c>
      <c r="VE54" s="56"/>
      <c r="VH54" s="55">
        <f t="shared" si="436"/>
        <v>46066</v>
      </c>
      <c r="VI54" s="56"/>
      <c r="VJ54" s="242">
        <f>SUMPRODUCT(PRODUCE!$B67:$DY67,PRODUCE!$EB$57:$IY$57)</f>
        <v>0</v>
      </c>
      <c r="VK54" s="56"/>
      <c r="VL54" s="242">
        <f t="shared" si="437"/>
        <v>0</v>
      </c>
      <c r="VM54" s="242">
        <f t="shared" si="438"/>
        <v>0</v>
      </c>
      <c r="VN54" s="56"/>
      <c r="VQ54" s="55">
        <f t="shared" si="439"/>
        <v>46066</v>
      </c>
      <c r="VR54" s="56"/>
      <c r="VS54" s="242">
        <f>SUMPRODUCT(PRODUCE!$B67:$DY67,PRODUCE!$EB$57:$IY$57)</f>
        <v>0</v>
      </c>
      <c r="VT54" s="56"/>
      <c r="VU54" s="242">
        <f t="shared" si="440"/>
        <v>0</v>
      </c>
      <c r="VV54" s="242">
        <f t="shared" si="441"/>
        <v>0</v>
      </c>
      <c r="VW54" s="56"/>
      <c r="VZ54" s="55">
        <f t="shared" si="442"/>
        <v>46066</v>
      </c>
      <c r="WA54" s="56"/>
      <c r="WB54" s="242">
        <f>SUMPRODUCT(PRODUCE!$B67:$DY67,PRODUCE!$EB$57:$IY$57)</f>
        <v>0</v>
      </c>
      <c r="WC54" s="56"/>
      <c r="WD54" s="242">
        <f t="shared" si="443"/>
        <v>0</v>
      </c>
      <c r="WE54" s="242">
        <f t="shared" si="444"/>
        <v>0</v>
      </c>
      <c r="WF54" s="56"/>
      <c r="WI54" s="55">
        <f t="shared" si="445"/>
        <v>46066</v>
      </c>
      <c r="WJ54" s="56"/>
      <c r="WK54" s="242">
        <f>SUMPRODUCT(PRODUCE!$B67:$DY67,PRODUCE!$EB$57:$IY$57)</f>
        <v>0</v>
      </c>
      <c r="WL54" s="56"/>
      <c r="WM54" s="242">
        <f t="shared" si="446"/>
        <v>0</v>
      </c>
      <c r="WN54" s="242">
        <f t="shared" si="447"/>
        <v>9561</v>
      </c>
      <c r="WO54" s="56"/>
      <c r="WR54" s="55">
        <f t="shared" si="448"/>
        <v>46066</v>
      </c>
      <c r="WS54" s="56"/>
      <c r="WT54" s="242">
        <f>SUMPRODUCT(PRODUCE!$B67:$DY67,PRODUCE!$EB$57:$IY$57)</f>
        <v>0</v>
      </c>
      <c r="WU54" s="56">
        <v>231</v>
      </c>
      <c r="WV54" s="242">
        <f t="shared" si="449"/>
        <v>-231</v>
      </c>
      <c r="WW54" s="242">
        <f t="shared" si="450"/>
        <v>6559</v>
      </c>
      <c r="WX54" s="56"/>
      <c r="XA54" s="55">
        <f t="shared" si="451"/>
        <v>46066</v>
      </c>
      <c r="XB54" s="56"/>
      <c r="XC54" s="242">
        <f>SUMPRODUCT(PRODUCE!$B67:$DY67,PRODUCE!$EB$57:$IY$57)</f>
        <v>0</v>
      </c>
      <c r="XD54" s="56"/>
      <c r="XE54" s="242">
        <f t="shared" si="452"/>
        <v>0</v>
      </c>
      <c r="XF54" s="242">
        <f t="shared" si="453"/>
        <v>590</v>
      </c>
      <c r="XG54" s="56"/>
      <c r="XJ54" s="55">
        <f t="shared" si="454"/>
        <v>46066</v>
      </c>
      <c r="XK54" s="56">
        <v>10000</v>
      </c>
      <c r="XL54" s="242">
        <f>SUMPRODUCT(PRODUCE!$B67:$DY67,PRODUCE!$EB$57:$IY$57)</f>
        <v>0</v>
      </c>
      <c r="XM54" s="56">
        <v>882</v>
      </c>
      <c r="XN54" s="242">
        <f t="shared" si="455"/>
        <v>-882</v>
      </c>
      <c r="XO54" s="242">
        <f t="shared" si="456"/>
        <v>8852</v>
      </c>
      <c r="XP54" s="56"/>
      <c r="XS54" s="55">
        <f t="shared" si="457"/>
        <v>46066</v>
      </c>
      <c r="XT54" s="56"/>
      <c r="XU54" s="242">
        <f>SUMPRODUCT(PRODUCE!$B67:$DY67,PRODUCE!$EB$57:$IY$57)</f>
        <v>0</v>
      </c>
      <c r="XV54" s="56"/>
      <c r="XW54" s="242">
        <f t="shared" si="458"/>
        <v>0</v>
      </c>
      <c r="XX54" s="242">
        <f t="shared" si="459"/>
        <v>1901</v>
      </c>
      <c r="XY54" s="56"/>
      <c r="YB54" s="55">
        <f t="shared" si="460"/>
        <v>46066</v>
      </c>
      <c r="YC54" s="56"/>
      <c r="YD54" s="242">
        <f>SUMPRODUCT(PRODUCE!$B67:$DY67,PRODUCE!$EB$57:$IY$57)</f>
        <v>0</v>
      </c>
      <c r="YE54" s="56">
        <v>670</v>
      </c>
      <c r="YF54" s="242">
        <f t="shared" si="461"/>
        <v>-670</v>
      </c>
      <c r="YG54" s="242">
        <f t="shared" si="462"/>
        <v>-707</v>
      </c>
      <c r="YH54" s="56"/>
      <c r="YK54" s="55">
        <f t="shared" si="463"/>
        <v>46066</v>
      </c>
      <c r="YL54" s="56"/>
      <c r="YM54" s="242">
        <f>SUMPRODUCT(PRODUCE!$B67:$DY67,PRODUCE!$EB$57:$IY$57)</f>
        <v>0</v>
      </c>
      <c r="YN54" s="56"/>
      <c r="YO54" s="242">
        <f t="shared" si="464"/>
        <v>0</v>
      </c>
      <c r="YP54" s="242">
        <f t="shared" si="465"/>
        <v>0</v>
      </c>
      <c r="YQ54" s="56"/>
      <c r="YT54" s="55">
        <f t="shared" si="466"/>
        <v>46066</v>
      </c>
      <c r="YU54" s="56"/>
      <c r="YV54" s="242">
        <f>SUMPRODUCT(PRODUCE!$B67:$DY67,PRODUCE!$EB$57:$IY$57)</f>
        <v>0</v>
      </c>
      <c r="YW54" s="56"/>
      <c r="YX54" s="242">
        <f t="shared" si="467"/>
        <v>0</v>
      </c>
      <c r="YY54" s="242">
        <f t="shared" si="468"/>
        <v>0</v>
      </c>
      <c r="YZ54" s="56"/>
      <c r="ZC54" s="55">
        <f t="shared" si="469"/>
        <v>46066</v>
      </c>
      <c r="ZD54" s="56"/>
      <c r="ZE54" s="242">
        <f>SUMPRODUCT(PRODUCE!$B67:$DY67,PRODUCE!$EB$57:$IY$57)</f>
        <v>0</v>
      </c>
      <c r="ZF54" s="56"/>
      <c r="ZG54" s="242">
        <f t="shared" si="470"/>
        <v>0</v>
      </c>
      <c r="ZH54" s="242">
        <f t="shared" si="471"/>
        <v>0</v>
      </c>
      <c r="ZI54" s="56"/>
      <c r="ZL54" s="55">
        <f t="shared" si="472"/>
        <v>46066</v>
      </c>
      <c r="ZM54" s="56"/>
      <c r="ZN54" s="242">
        <f>SUMPRODUCT(PRODUCE!$B67:$DY67,PRODUCE!$EB$57:$IY$57)</f>
        <v>0</v>
      </c>
      <c r="ZO54" s="56"/>
      <c r="ZP54" s="242">
        <f t="shared" si="473"/>
        <v>0</v>
      </c>
      <c r="ZQ54" s="242">
        <f t="shared" si="474"/>
        <v>0</v>
      </c>
      <c r="ZR54" s="56"/>
      <c r="ZU54" s="55">
        <f t="shared" si="475"/>
        <v>46066</v>
      </c>
      <c r="ZV54" s="56"/>
      <c r="ZW54" s="242">
        <f>SUMPRODUCT(PRODUCE!$B67:$DY67,PRODUCE!$EB$57:$IY$57)</f>
        <v>0</v>
      </c>
      <c r="ZX54" s="56"/>
      <c r="ZY54" s="242">
        <f t="shared" si="476"/>
        <v>0</v>
      </c>
      <c r="ZZ54" s="242">
        <f t="shared" si="477"/>
        <v>0</v>
      </c>
      <c r="AAA54" s="56"/>
      <c r="AAD54" s="55">
        <f t="shared" si="478"/>
        <v>46066</v>
      </c>
      <c r="AAE54" s="56"/>
      <c r="AAF54" s="242">
        <f>SUMPRODUCT(PRODUCE!$B67:$DY67,PRODUCE!$EB$57:$IY$57)</f>
        <v>0</v>
      </c>
      <c r="AAG54" s="56"/>
      <c r="AAH54" s="242">
        <f t="shared" si="479"/>
        <v>0</v>
      </c>
      <c r="AAI54" s="242">
        <f t="shared" si="480"/>
        <v>0</v>
      </c>
      <c r="AAJ54" s="56"/>
      <c r="AAM54" s="55">
        <f t="shared" si="481"/>
        <v>46066</v>
      </c>
      <c r="AAN54" s="56"/>
      <c r="AAO54" s="242">
        <f>SUMPRODUCT(PRODUCE!$B67:$DY67,PRODUCE!$EB$57:$IY$57)</f>
        <v>0</v>
      </c>
      <c r="AAP54" s="56"/>
      <c r="AAQ54" s="242">
        <f t="shared" si="482"/>
        <v>0</v>
      </c>
      <c r="AAR54" s="242">
        <f t="shared" si="483"/>
        <v>0</v>
      </c>
      <c r="AAS54" s="56"/>
      <c r="AAV54" s="55">
        <f t="shared" si="484"/>
        <v>46066</v>
      </c>
      <c r="AAW54" s="56"/>
      <c r="AAX54" s="242">
        <f>SUMPRODUCT(PRODUCE!$B67:$DY67,PRODUCE!$EB$57:$IY$57)</f>
        <v>0</v>
      </c>
      <c r="AAY54" s="56"/>
      <c r="AAZ54" s="242">
        <f t="shared" si="485"/>
        <v>0</v>
      </c>
      <c r="ABA54" s="242">
        <f t="shared" si="486"/>
        <v>0</v>
      </c>
      <c r="ABB54" s="56"/>
      <c r="ABE54" s="55">
        <f t="shared" si="487"/>
        <v>46066</v>
      </c>
      <c r="ABF54" s="56"/>
      <c r="ABG54" s="242">
        <f>SUMPRODUCT(PRODUCE!$B67:$DY67,PRODUCE!$EB$57:$IY$57)</f>
        <v>0</v>
      </c>
      <c r="ABH54" s="56"/>
      <c r="ABI54" s="242">
        <f t="shared" si="488"/>
        <v>0</v>
      </c>
      <c r="ABJ54" s="242">
        <f t="shared" si="489"/>
        <v>0</v>
      </c>
      <c r="ABK54" s="56"/>
    </row>
    <row r="55" spans="2:739" s="54" customFormat="1" ht="15" customHeight="1" outlineLevel="1">
      <c r="B55" s="478"/>
      <c r="C55" s="55">
        <v>46067</v>
      </c>
      <c r="D55" s="422"/>
      <c r="E55" s="424">
        <f>SUMPRODUCT(PRODUCE!$B68:$DY68,PRODUCE!$EB$7:$IY$7)</f>
        <v>0</v>
      </c>
      <c r="F55" s="422"/>
      <c r="G55" s="423">
        <f t="shared" si="247"/>
        <v>0</v>
      </c>
      <c r="H55" s="423">
        <f t="shared" si="245"/>
        <v>232692.4</v>
      </c>
      <c r="I55" s="289"/>
      <c r="L55" s="55">
        <f t="shared" si="246"/>
        <v>46067</v>
      </c>
      <c r="M55" s="422"/>
      <c r="N55" s="439">
        <f>SUMPRODUCT(PRODUCE!$B68:$DY68,PRODUCE!$EB$8:$IY$8)</f>
        <v>0</v>
      </c>
      <c r="O55" s="422"/>
      <c r="P55" s="438">
        <f t="shared" si="248"/>
        <v>0</v>
      </c>
      <c r="Q55" s="438">
        <f t="shared" si="249"/>
        <v>125526.00000000003</v>
      </c>
      <c r="R55" s="56"/>
      <c r="U55" s="55">
        <f t="shared" si="250"/>
        <v>46067</v>
      </c>
      <c r="V55" s="422"/>
      <c r="W55" s="441">
        <f>SUMPRODUCT(PRODUCE!$B68:$DY68,PRODUCE!$EB$9:$IY$9)</f>
        <v>0</v>
      </c>
      <c r="X55" s="422"/>
      <c r="Y55" s="440">
        <f t="shared" si="251"/>
        <v>0</v>
      </c>
      <c r="Z55" s="440">
        <f t="shared" si="252"/>
        <v>52938.199999999983</v>
      </c>
      <c r="AA55" s="56"/>
      <c r="AD55" s="55">
        <f t="shared" si="253"/>
        <v>46067</v>
      </c>
      <c r="AE55" s="422"/>
      <c r="AF55" s="443">
        <f>SUMPRODUCT(PRODUCE!$B68:$DY68,PRODUCE!$EB$10:$IY$10)</f>
        <v>0</v>
      </c>
      <c r="AG55" s="422"/>
      <c r="AH55" s="442">
        <f t="shared" si="254"/>
        <v>0</v>
      </c>
      <c r="AI55" s="442">
        <f t="shared" si="255"/>
        <v>48256.60000000002</v>
      </c>
      <c r="AJ55" s="56"/>
      <c r="AM55" s="55">
        <f t="shared" si="256"/>
        <v>46067</v>
      </c>
      <c r="AN55" s="422"/>
      <c r="AO55" s="445">
        <f>SUMPRODUCT(PRODUCE!$B68:$DY68,PRODUCE!$EB$11:$IY$11)</f>
        <v>0</v>
      </c>
      <c r="AP55" s="422"/>
      <c r="AQ55" s="444">
        <f t="shared" si="257"/>
        <v>0</v>
      </c>
      <c r="AR55" s="444">
        <f t="shared" si="258"/>
        <v>0</v>
      </c>
      <c r="AS55" s="56"/>
      <c r="AV55" s="55">
        <f t="shared" si="259"/>
        <v>46067</v>
      </c>
      <c r="AW55" s="422"/>
      <c r="AX55" s="447">
        <f>SUMPRODUCT(PRODUCE!$B68:$DY68,PRODUCE!$EB$12:$IY$12)</f>
        <v>0</v>
      </c>
      <c r="AY55" s="422"/>
      <c r="AZ55" s="446">
        <f t="shared" si="260"/>
        <v>0</v>
      </c>
      <c r="BA55" s="446">
        <f t="shared" si="261"/>
        <v>51523.899999999987</v>
      </c>
      <c r="BB55" s="56"/>
      <c r="BE55" s="55">
        <f t="shared" si="262"/>
        <v>46067</v>
      </c>
      <c r="BF55" s="422"/>
      <c r="BG55" s="449">
        <f>SUMPRODUCT(PRODUCE!$B68:$DY68,PRODUCE!$EB$13:$IY$13)</f>
        <v>0</v>
      </c>
      <c r="BH55" s="422"/>
      <c r="BI55" s="448">
        <f t="shared" si="263"/>
        <v>0</v>
      </c>
      <c r="BJ55" s="448">
        <f t="shared" si="264"/>
        <v>23346.800000000007</v>
      </c>
      <c r="BK55" s="56"/>
      <c r="BN55" s="55">
        <f t="shared" si="265"/>
        <v>46067</v>
      </c>
      <c r="BO55" s="422"/>
      <c r="BP55" s="451">
        <f>SUMPRODUCT(PRODUCE!$B68:$DY68,PRODUCE!$EB$14:$IY$14)</f>
        <v>0</v>
      </c>
      <c r="BQ55" s="422"/>
      <c r="BR55" s="450">
        <f t="shared" si="266"/>
        <v>0</v>
      </c>
      <c r="BS55" s="450">
        <f t="shared" si="267"/>
        <v>0</v>
      </c>
      <c r="BT55" s="56"/>
      <c r="BW55" s="55">
        <f t="shared" si="268"/>
        <v>46067</v>
      </c>
      <c r="BX55" s="56"/>
      <c r="BY55" s="81">
        <f>SUMPRODUCT(PRODUCE!$B68:$DY68,PRODUCE!$EB$15:$IY$15)</f>
        <v>0</v>
      </c>
      <c r="BZ55" s="56"/>
      <c r="CA55" s="65">
        <f t="shared" si="269"/>
        <v>0</v>
      </c>
      <c r="CB55" s="65">
        <f t="shared" si="270"/>
        <v>999.40000000000009</v>
      </c>
      <c r="CC55" s="56"/>
      <c r="CF55" s="55">
        <f t="shared" si="271"/>
        <v>46067</v>
      </c>
      <c r="CG55" s="56"/>
      <c r="CH55" s="82">
        <f>SUMPRODUCT(PRODUCE!$B68:$DY68,PRODUCE!$EB$16:$IY$16)</f>
        <v>0</v>
      </c>
      <c r="CI55" s="56"/>
      <c r="CJ55" s="66">
        <f t="shared" si="272"/>
        <v>0</v>
      </c>
      <c r="CK55" s="66">
        <f t="shared" si="273"/>
        <v>0</v>
      </c>
      <c r="CL55" s="56"/>
      <c r="CO55" s="55">
        <f t="shared" si="274"/>
        <v>46067</v>
      </c>
      <c r="CP55" s="422"/>
      <c r="CQ55" s="471">
        <f>SUMPRODUCT(PRODUCE!$B68:$DY68,PRODUCE!$EB$17:$IY$17)</f>
        <v>0</v>
      </c>
      <c r="CR55" s="422"/>
      <c r="CS55" s="470">
        <f t="shared" si="275"/>
        <v>0</v>
      </c>
      <c r="CT55" s="470">
        <f t="shared" si="276"/>
        <v>0</v>
      </c>
      <c r="CU55" s="56"/>
      <c r="CX55" s="55">
        <f t="shared" si="277"/>
        <v>46067</v>
      </c>
      <c r="CY55" s="56"/>
      <c r="CZ55" s="136">
        <f>SUMPRODUCT(PRODUCE!$B68:$DY68,PRODUCE!$EB$18:$IY$18)</f>
        <v>0</v>
      </c>
      <c r="DA55" s="56"/>
      <c r="DB55" s="133">
        <f t="shared" si="278"/>
        <v>0</v>
      </c>
      <c r="DC55" s="133">
        <f t="shared" si="279"/>
        <v>27086.799999999999</v>
      </c>
      <c r="DD55" s="56"/>
      <c r="DG55" s="55">
        <f t="shared" si="280"/>
        <v>46067</v>
      </c>
      <c r="DH55" s="56"/>
      <c r="DI55" s="150">
        <f>SUMPRODUCT(PRODUCE!$B68:$DY68,PRODUCE!$EB$19:$IY$19)</f>
        <v>0</v>
      </c>
      <c r="DJ55" s="56"/>
      <c r="DK55" s="147">
        <f t="shared" si="281"/>
        <v>0</v>
      </c>
      <c r="DL55" s="147">
        <f t="shared" si="282"/>
        <v>13431.599999999997</v>
      </c>
      <c r="DM55" s="56"/>
      <c r="DP55" s="55">
        <f t="shared" si="283"/>
        <v>46067</v>
      </c>
      <c r="DQ55" s="56"/>
      <c r="DR55" s="58">
        <f>SUMPRODUCT(PRODUCE!$B68:$DY68,PRODUCE!$EB$20:$IY$20)</f>
        <v>0</v>
      </c>
      <c r="DS55" s="56"/>
      <c r="DT55" s="57">
        <f t="shared" si="284"/>
        <v>0</v>
      </c>
      <c r="DU55" s="57">
        <f t="shared" si="285"/>
        <v>2300</v>
      </c>
      <c r="DV55" s="56"/>
      <c r="DY55" s="55">
        <f t="shared" si="286"/>
        <v>46067</v>
      </c>
      <c r="DZ55" s="56"/>
      <c r="EA55" s="159">
        <f>SUMPRODUCT(PRODUCE!$B68:$DY68,PRODUCE!$EB$21:$IY$21)</f>
        <v>0</v>
      </c>
      <c r="EB55" s="56"/>
      <c r="EC55" s="157">
        <f t="shared" si="287"/>
        <v>0</v>
      </c>
      <c r="ED55" s="157">
        <f t="shared" si="288"/>
        <v>5696.8</v>
      </c>
      <c r="EE55" s="56"/>
      <c r="EH55" s="55">
        <f t="shared" si="289"/>
        <v>46067</v>
      </c>
      <c r="EI55" s="56"/>
      <c r="EJ55" s="164">
        <f>SUMPRODUCT(PRODUCE!$B68:$DY68,PRODUCE!$EB$22:$IY$22)</f>
        <v>0</v>
      </c>
      <c r="EK55" s="56"/>
      <c r="EL55" s="162">
        <f t="shared" si="290"/>
        <v>0</v>
      </c>
      <c r="EM55" s="162">
        <f t="shared" si="291"/>
        <v>0</v>
      </c>
      <c r="EN55" s="56"/>
      <c r="EQ55" s="55">
        <f t="shared" si="292"/>
        <v>46067</v>
      </c>
      <c r="ER55" s="56"/>
      <c r="ES55" s="171">
        <f>SUMPRODUCT(PRODUCE!$B68:$DY68,PRODUCE!$EB$23:$IY$23)</f>
        <v>0</v>
      </c>
      <c r="ET55" s="56"/>
      <c r="EU55" s="135">
        <f t="shared" si="293"/>
        <v>0</v>
      </c>
      <c r="EV55" s="135">
        <f t="shared" si="294"/>
        <v>0</v>
      </c>
      <c r="EW55" s="56"/>
      <c r="EZ55" s="55">
        <f t="shared" si="295"/>
        <v>46067</v>
      </c>
      <c r="FA55" s="56"/>
      <c r="FB55" s="178">
        <f>SUMPRODUCT(PRODUCE!$B68:$DY68,PRODUCE!$EB$24:$IY$24)</f>
        <v>0</v>
      </c>
      <c r="FC55" s="56"/>
      <c r="FD55" s="175">
        <f t="shared" si="296"/>
        <v>0</v>
      </c>
      <c r="FE55" s="175">
        <f t="shared" si="297"/>
        <v>0</v>
      </c>
      <c r="FF55" s="56"/>
      <c r="FI55" s="55">
        <f t="shared" si="298"/>
        <v>46067</v>
      </c>
      <c r="FJ55" s="56"/>
      <c r="FK55" s="184">
        <f>SUMPRODUCT(PRODUCE!$B68:$DY68,PRODUCE!$EB$25:$IY$25)</f>
        <v>0</v>
      </c>
      <c r="FL55" s="56"/>
      <c r="FM55" s="183">
        <f t="shared" si="299"/>
        <v>0</v>
      </c>
      <c r="FN55" s="183">
        <f t="shared" si="300"/>
        <v>0</v>
      </c>
      <c r="FO55" s="56"/>
      <c r="FR55" s="55">
        <f t="shared" si="301"/>
        <v>46067</v>
      </c>
      <c r="FS55" s="422"/>
      <c r="FT55" s="453">
        <f>SUMPRODUCT(PRODUCE!$B68:$DY68,PRODUCE!$EB$26:$IY$26)</f>
        <v>0</v>
      </c>
      <c r="FU55" s="422">
        <f>30*20</f>
        <v>600</v>
      </c>
      <c r="FV55" s="452">
        <f t="shared" si="302"/>
        <v>-600</v>
      </c>
      <c r="FW55" s="452">
        <f t="shared" si="303"/>
        <v>2420</v>
      </c>
      <c r="FX55" s="56">
        <f>FU55/20</f>
        <v>30</v>
      </c>
      <c r="GA55" s="55">
        <f t="shared" si="304"/>
        <v>46067</v>
      </c>
      <c r="GB55" s="422"/>
      <c r="GC55" s="455">
        <f>SUMPRODUCT(PRODUCE!$B68:$DY68,PRODUCE!$EB$27:$IY$27)</f>
        <v>0</v>
      </c>
      <c r="GD55" s="422"/>
      <c r="GE55" s="454">
        <f t="shared" si="305"/>
        <v>0</v>
      </c>
      <c r="GF55" s="454">
        <f t="shared" si="306"/>
        <v>5960</v>
      </c>
      <c r="GG55" s="56"/>
      <c r="GI55" s="23"/>
      <c r="GJ55" s="55">
        <f t="shared" si="307"/>
        <v>46067</v>
      </c>
      <c r="GK55" s="422"/>
      <c r="GL55" s="457">
        <f>SUMPRODUCT(PRODUCE!$B68:$DY68,PRODUCE!$EB$28:$IY$28)</f>
        <v>0</v>
      </c>
      <c r="GM55" s="422"/>
      <c r="GN55" s="456">
        <f t="shared" si="308"/>
        <v>0</v>
      </c>
      <c r="GO55" s="456">
        <f t="shared" si="309"/>
        <v>5240</v>
      </c>
      <c r="GP55" s="56"/>
      <c r="GS55" s="55">
        <f t="shared" si="310"/>
        <v>46067</v>
      </c>
      <c r="GT55" s="56"/>
      <c r="GU55" s="196">
        <f>SUMPRODUCT(PRODUCE!$B68:$DY68,PRODUCE!$EB$29:$IY$29)</f>
        <v>0</v>
      </c>
      <c r="GV55" s="56"/>
      <c r="GW55" s="195">
        <f t="shared" si="311"/>
        <v>0</v>
      </c>
      <c r="GX55" s="195">
        <f t="shared" si="312"/>
        <v>0</v>
      </c>
      <c r="GY55" s="56"/>
      <c r="HB55" s="55">
        <f t="shared" si="313"/>
        <v>46067</v>
      </c>
      <c r="HC55" s="56"/>
      <c r="HD55" s="192">
        <f>SUMPRODUCT(PRODUCE!$B68:$DY68,PRODUCE!$EB$30:$IY$30)</f>
        <v>0</v>
      </c>
      <c r="HE55" s="56"/>
      <c r="HF55" s="191">
        <f t="shared" si="314"/>
        <v>0</v>
      </c>
      <c r="HG55" s="191">
        <f t="shared" si="315"/>
        <v>0</v>
      </c>
      <c r="HH55" s="56"/>
      <c r="HK55" s="55">
        <f t="shared" si="316"/>
        <v>46067</v>
      </c>
      <c r="HL55" s="56"/>
      <c r="HM55" s="80">
        <f>SUMPRODUCT(PRODUCE!$B68:$DY68,PRODUCE!$EB$31:$IY$31)</f>
        <v>0</v>
      </c>
      <c r="HN55" s="56"/>
      <c r="HO55" s="63">
        <f t="shared" si="317"/>
        <v>0</v>
      </c>
      <c r="HP55" s="63">
        <f t="shared" si="318"/>
        <v>0</v>
      </c>
      <c r="HQ55" s="56"/>
      <c r="HU55" s="55">
        <f t="shared" si="319"/>
        <v>46067</v>
      </c>
      <c r="HV55" s="56"/>
      <c r="HW55" s="242">
        <f>SUMPRODUCT(PRODUCE!$B68:$DY68,PRODUCE!$EB$32:$IY$32)</f>
        <v>0</v>
      </c>
      <c r="HX55" s="56"/>
      <c r="HY55" s="242">
        <f t="shared" si="320"/>
        <v>0</v>
      </c>
      <c r="HZ55" s="242">
        <f t="shared" si="321"/>
        <v>5120</v>
      </c>
      <c r="IA55" s="56"/>
      <c r="ID55" s="55">
        <f t="shared" si="322"/>
        <v>46067</v>
      </c>
      <c r="IE55" s="56"/>
      <c r="IF55" s="242">
        <f>SUMPRODUCT(PRODUCE!$B68:$DY68,PRODUCE!$EB$33:$IY$33)</f>
        <v>0</v>
      </c>
      <c r="IG55" s="56"/>
      <c r="IH55" s="242">
        <f t="shared" si="323"/>
        <v>0</v>
      </c>
      <c r="II55" s="242">
        <f t="shared" si="324"/>
        <v>5100</v>
      </c>
      <c r="IJ55" s="56"/>
      <c r="IM55" s="55">
        <f t="shared" si="325"/>
        <v>46067</v>
      </c>
      <c r="IN55" s="56"/>
      <c r="IO55" s="242">
        <f>SUMPRODUCT(PRODUCE!$B68:$DY68,PRODUCE!$EB$34:$IY$34)</f>
        <v>0</v>
      </c>
      <c r="IP55" s="56">
        <f>40*20</f>
        <v>800</v>
      </c>
      <c r="IQ55" s="242">
        <f t="shared" si="326"/>
        <v>-800</v>
      </c>
      <c r="IR55" s="242">
        <f t="shared" si="327"/>
        <v>10240</v>
      </c>
      <c r="IS55" s="56">
        <f>IP55/20</f>
        <v>40</v>
      </c>
      <c r="IV55" s="55">
        <f t="shared" si="328"/>
        <v>46067</v>
      </c>
      <c r="IW55" s="56"/>
      <c r="IX55" s="242">
        <f>SUMPRODUCT(PRODUCE!$B68:$DY68,PRODUCE!$EB$35:$IY$35)</f>
        <v>0</v>
      </c>
      <c r="IY55" s="56"/>
      <c r="IZ55" s="242">
        <f t="shared" si="329"/>
        <v>0</v>
      </c>
      <c r="JA55" s="242">
        <f t="shared" si="330"/>
        <v>15120</v>
      </c>
      <c r="JB55" s="56"/>
      <c r="JE55" s="55">
        <f t="shared" si="331"/>
        <v>46067</v>
      </c>
      <c r="JF55" s="56"/>
      <c r="JG55" s="242">
        <f>SUMPRODUCT(PRODUCE!$B68:$DY68,PRODUCE!$EB$36:$IY$36)</f>
        <v>0</v>
      </c>
      <c r="JH55" s="56"/>
      <c r="JI55" s="242">
        <f t="shared" si="332"/>
        <v>0</v>
      </c>
      <c r="JJ55" s="242">
        <f t="shared" si="333"/>
        <v>6800</v>
      </c>
      <c r="JK55" s="56"/>
      <c r="JN55" s="55">
        <f t="shared" si="334"/>
        <v>46067</v>
      </c>
      <c r="JO55" s="56"/>
      <c r="JP55" s="242">
        <f>SUMPRODUCT(PRODUCE!$B68:$DY68,PRODUCE!$EB$37:$IY$37)</f>
        <v>0</v>
      </c>
      <c r="JQ55" s="56"/>
      <c r="JR55" s="242">
        <f t="shared" si="335"/>
        <v>0</v>
      </c>
      <c r="JS55" s="242">
        <f t="shared" si="336"/>
        <v>5400</v>
      </c>
      <c r="JT55" s="56"/>
      <c r="JW55" s="55">
        <f t="shared" si="337"/>
        <v>46067</v>
      </c>
      <c r="JX55" s="56"/>
      <c r="JY55" s="242">
        <f>SUMPRODUCT(PRODUCE!$B68:$DY68,PRODUCE!$EB$38:$IY$38)</f>
        <v>0</v>
      </c>
      <c r="JZ55" s="56"/>
      <c r="KA55" s="242">
        <f t="shared" si="338"/>
        <v>0</v>
      </c>
      <c r="KB55" s="242">
        <f t="shared" si="339"/>
        <v>4000</v>
      </c>
      <c r="KC55" s="56"/>
      <c r="KF55" s="55">
        <f t="shared" si="340"/>
        <v>46067</v>
      </c>
      <c r="KG55" s="56"/>
      <c r="KH55" s="242">
        <f>SUMPRODUCT(PRODUCE!$B68:$DY68,PRODUCE!$EB$39:$IY$39)</f>
        <v>0</v>
      </c>
      <c r="KI55" s="56"/>
      <c r="KJ55" s="242">
        <f t="shared" si="341"/>
        <v>0</v>
      </c>
      <c r="KK55" s="242">
        <f t="shared" si="342"/>
        <v>1287</v>
      </c>
      <c r="KL55" s="56"/>
      <c r="KO55" s="55">
        <f t="shared" si="343"/>
        <v>46067</v>
      </c>
      <c r="KP55" s="56"/>
      <c r="KQ55" s="242">
        <f>SUMPRODUCT(PRODUCE!$B68:$DY68,PRODUCE!$EB$40:$IY$40)</f>
        <v>0</v>
      </c>
      <c r="KR55" s="56"/>
      <c r="KS55" s="242">
        <f t="shared" si="344"/>
        <v>0</v>
      </c>
      <c r="KT55" s="242">
        <f t="shared" si="345"/>
        <v>10659.6</v>
      </c>
      <c r="KU55" s="56"/>
      <c r="KW55" s="23"/>
      <c r="KX55" s="55">
        <f t="shared" si="346"/>
        <v>46067</v>
      </c>
      <c r="KY55" s="56"/>
      <c r="KZ55" s="242">
        <f>SUMPRODUCT(PRODUCE!$B68:$DY68,PRODUCE!$EB$41:$IY$41)</f>
        <v>0</v>
      </c>
      <c r="LA55" s="56"/>
      <c r="LB55" s="242">
        <f t="shared" si="347"/>
        <v>0</v>
      </c>
      <c r="LC55" s="242">
        <f t="shared" si="348"/>
        <v>0</v>
      </c>
      <c r="LD55" s="56"/>
      <c r="LG55" s="55">
        <f t="shared" si="349"/>
        <v>46067</v>
      </c>
      <c r="LH55" s="56"/>
      <c r="LI55" s="242">
        <f>SUMPRODUCT(PRODUCE!$B68:$DY68,PRODUCE!$EB$42:$IY$42)</f>
        <v>0</v>
      </c>
      <c r="LJ55" s="56"/>
      <c r="LK55" s="242">
        <f t="shared" si="350"/>
        <v>0</v>
      </c>
      <c r="LL55" s="242">
        <f t="shared" si="351"/>
        <v>0</v>
      </c>
      <c r="LM55" s="56"/>
      <c r="LP55" s="55">
        <f t="shared" si="352"/>
        <v>46067</v>
      </c>
      <c r="LQ55" s="56"/>
      <c r="LR55" s="242">
        <f>SUMPRODUCT(PRODUCE!$B70:$DY70,PRODUCE!$EB$43:$IY$43)</f>
        <v>0</v>
      </c>
      <c r="LS55" s="56"/>
      <c r="LT55" s="242">
        <f t="shared" si="353"/>
        <v>0</v>
      </c>
      <c r="LU55" s="242">
        <f t="shared" si="354"/>
        <v>0</v>
      </c>
      <c r="LV55" s="56"/>
      <c r="LY55" s="55">
        <f t="shared" si="355"/>
        <v>46067</v>
      </c>
      <c r="LZ55" s="56"/>
      <c r="MA55" s="242">
        <f>SUMPRODUCT(PRODUCE!$B70:$DY70,PRODUCE!$EB$44:$IY$44)</f>
        <v>0</v>
      </c>
      <c r="MB55" s="56"/>
      <c r="MC55" s="242">
        <f t="shared" si="356"/>
        <v>0</v>
      </c>
      <c r="MD55" s="242">
        <f t="shared" si="357"/>
        <v>0</v>
      </c>
      <c r="ME55" s="56"/>
      <c r="MH55" s="55">
        <f t="shared" si="358"/>
        <v>46067</v>
      </c>
      <c r="MI55" s="56"/>
      <c r="MJ55" s="242">
        <f>SUMPRODUCT(PRODUCE!$B68:$DY68,PRODUCE!$EB$45:$IY$45)</f>
        <v>0</v>
      </c>
      <c r="MK55" s="56"/>
      <c r="ML55" s="242">
        <f t="shared" si="359"/>
        <v>0</v>
      </c>
      <c r="MM55" s="242">
        <f t="shared" si="360"/>
        <v>0</v>
      </c>
      <c r="MN55" s="56"/>
      <c r="MQ55" s="55">
        <f t="shared" si="361"/>
        <v>46067</v>
      </c>
      <c r="MR55" s="56"/>
      <c r="MS55" s="242">
        <f>SUMPRODUCT(PRODUCE!$B68:$DY68,PRODUCE!$EB$46:$IY$46)</f>
        <v>0</v>
      </c>
      <c r="MT55" s="56"/>
      <c r="MU55" s="242">
        <f t="shared" si="362"/>
        <v>0</v>
      </c>
      <c r="MV55" s="242">
        <f t="shared" si="363"/>
        <v>385</v>
      </c>
      <c r="MW55" s="56"/>
      <c r="MZ55" s="55">
        <f t="shared" si="364"/>
        <v>46067</v>
      </c>
      <c r="NA55" s="56"/>
      <c r="NB55" s="242">
        <f>SUMPRODUCT(PRODUCE!$B68:$DY68,PRODUCE!$EB$47:$IY$47)</f>
        <v>0</v>
      </c>
      <c r="NC55" s="56"/>
      <c r="ND55" s="242">
        <f t="shared" si="365"/>
        <v>0</v>
      </c>
      <c r="NE55" s="242">
        <f t="shared" si="366"/>
        <v>0</v>
      </c>
      <c r="NF55" s="56"/>
      <c r="NI55" s="55">
        <f t="shared" si="367"/>
        <v>46067</v>
      </c>
      <c r="NJ55" s="56"/>
      <c r="NK55" s="242">
        <f>SUMPRODUCT(PRODUCE!$B68:$DY68,PRODUCE!$EB$48:$IY$48)</f>
        <v>0</v>
      </c>
      <c r="NL55" s="56"/>
      <c r="NM55" s="242">
        <f t="shared" si="368"/>
        <v>0</v>
      </c>
      <c r="NN55" s="242">
        <f t="shared" si="369"/>
        <v>0</v>
      </c>
      <c r="NO55" s="56"/>
      <c r="NR55" s="55">
        <f t="shared" si="370"/>
        <v>46067</v>
      </c>
      <c r="NS55" s="56"/>
      <c r="NT55" s="242">
        <f>SUMPRODUCT(PRODUCE!$B68:$DY68,PRODUCE!$EB$49:$IY$49)</f>
        <v>0</v>
      </c>
      <c r="NU55" s="56"/>
      <c r="NV55" s="242">
        <f t="shared" si="371"/>
        <v>0</v>
      </c>
      <c r="NW55" s="242">
        <f t="shared" si="372"/>
        <v>2310</v>
      </c>
      <c r="NX55" s="56"/>
      <c r="OA55" s="55">
        <f t="shared" si="373"/>
        <v>46067</v>
      </c>
      <c r="OB55" s="56"/>
      <c r="OC55" s="242">
        <f>SUMPRODUCT(PRODUCE!$B68:$DY68,PRODUCE!$EB$50:$IY$50)</f>
        <v>0</v>
      </c>
      <c r="OD55" s="56"/>
      <c r="OE55" s="242">
        <f t="shared" si="374"/>
        <v>0</v>
      </c>
      <c r="OF55" s="242">
        <f t="shared" si="375"/>
        <v>1680.5</v>
      </c>
      <c r="OG55" s="56"/>
      <c r="OJ55" s="55">
        <f t="shared" si="376"/>
        <v>46067</v>
      </c>
      <c r="OK55" s="56"/>
      <c r="OL55" s="242">
        <f>SUMPRODUCT(PRODUCE!$B68:$DY68,PRODUCE!$EB$51:$IY$51)</f>
        <v>0</v>
      </c>
      <c r="OM55" s="56"/>
      <c r="ON55" s="242">
        <f t="shared" si="377"/>
        <v>0</v>
      </c>
      <c r="OO55" s="242">
        <f t="shared" si="378"/>
        <v>0</v>
      </c>
      <c r="OP55" s="56"/>
      <c r="OS55" s="55">
        <f t="shared" si="379"/>
        <v>46067</v>
      </c>
      <c r="OT55" s="56"/>
      <c r="OU55" s="242">
        <f>SUMPRODUCT(PRODUCE!$B68:$DY68,PRODUCE!$EB$52:$IY$52)</f>
        <v>0</v>
      </c>
      <c r="OV55" s="56"/>
      <c r="OW55" s="242">
        <f t="shared" si="380"/>
        <v>0</v>
      </c>
      <c r="OX55" s="242">
        <f t="shared" si="381"/>
        <v>0</v>
      </c>
      <c r="OY55" s="56"/>
      <c r="PB55" s="55">
        <f t="shared" si="382"/>
        <v>46067</v>
      </c>
      <c r="PC55" s="56"/>
      <c r="PD55" s="242">
        <f>SUMPRODUCT(PRODUCE!$B68:$DY68,PRODUCE!$EB$53:$IY$53)</f>
        <v>0</v>
      </c>
      <c r="PE55" s="56"/>
      <c r="PF55" s="242">
        <f t="shared" si="383"/>
        <v>0</v>
      </c>
      <c r="PG55" s="242">
        <f t="shared" si="384"/>
        <v>0</v>
      </c>
      <c r="PH55" s="56"/>
      <c r="PK55" s="55">
        <f t="shared" si="385"/>
        <v>46067</v>
      </c>
      <c r="PL55" s="56"/>
      <c r="PM55" s="242">
        <f>SUMPRODUCT(PRODUCE!$B68:$DY68,PRODUCE!$EB$54:$IY$54)</f>
        <v>0</v>
      </c>
      <c r="PN55" s="56"/>
      <c r="PO55" s="242">
        <f>PM55-PN55</f>
        <v>0</v>
      </c>
      <c r="PP55" s="242">
        <f>PP54+PL55-PN55</f>
        <v>160</v>
      </c>
      <c r="PQ55" s="56"/>
      <c r="PT55" s="55">
        <f t="shared" si="388"/>
        <v>46067</v>
      </c>
      <c r="PU55" s="56"/>
      <c r="PV55" s="242">
        <f>SUMPRODUCT(PRODUCE!$B68:$DY68,PRODUCE!$EB$55:$IY$55)</f>
        <v>0</v>
      </c>
      <c r="PW55" s="56"/>
      <c r="PX55" s="242">
        <f t="shared" si="389"/>
        <v>0</v>
      </c>
      <c r="PY55" s="242">
        <f t="shared" si="390"/>
        <v>13.960000000000036</v>
      </c>
      <c r="PZ55" s="56"/>
      <c r="QC55" s="55">
        <f t="shared" si="391"/>
        <v>46067</v>
      </c>
      <c r="QD55" s="56"/>
      <c r="QE55" s="242">
        <f>SUMPRODUCT(PRODUCE!$B68:$DY68,PRODUCE!$EB$56:$IY$56)</f>
        <v>0</v>
      </c>
      <c r="QF55" s="56"/>
      <c r="QG55" s="242">
        <f t="shared" si="392"/>
        <v>0</v>
      </c>
      <c r="QH55" s="242">
        <f t="shared" si="393"/>
        <v>0</v>
      </c>
      <c r="QI55" s="56"/>
      <c r="QL55" s="55">
        <f t="shared" si="394"/>
        <v>46067</v>
      </c>
      <c r="QM55" s="56"/>
      <c r="QN55" s="242">
        <f>SUMPRODUCT(PRODUCE!$B68:$DY68,PRODUCE!$EB$57:$IY$57)</f>
        <v>0</v>
      </c>
      <c r="QO55" s="56"/>
      <c r="QP55" s="242">
        <f t="shared" si="395"/>
        <v>0</v>
      </c>
      <c r="QQ55" s="242">
        <f t="shared" si="396"/>
        <v>0</v>
      </c>
      <c r="QR55" s="56"/>
      <c r="QU55" s="55">
        <f t="shared" si="397"/>
        <v>46067</v>
      </c>
      <c r="QV55" s="56"/>
      <c r="QW55" s="242">
        <f>SUMPRODUCT(PRODUCE!$B68:$DY68,PRODUCE!$EB$57:$IY$57)</f>
        <v>0</v>
      </c>
      <c r="QX55" s="56"/>
      <c r="QY55" s="242">
        <f t="shared" si="398"/>
        <v>0</v>
      </c>
      <c r="QZ55" s="242">
        <f t="shared" si="399"/>
        <v>207.6</v>
      </c>
      <c r="RA55" s="56"/>
      <c r="RD55" s="55">
        <f t="shared" si="400"/>
        <v>46067</v>
      </c>
      <c r="RE55" s="56"/>
      <c r="RF55" s="242">
        <f>SUMPRODUCT(PRODUCE!$B68:$DY68,PRODUCE!$EB$58:$IY$58)</f>
        <v>0</v>
      </c>
      <c r="RG55" s="56"/>
      <c r="RH55" s="242">
        <f t="shared" si="401"/>
        <v>0</v>
      </c>
      <c r="RI55" s="242">
        <f t="shared" si="402"/>
        <v>201.8</v>
      </c>
      <c r="RJ55" s="56"/>
      <c r="RM55" s="55">
        <f t="shared" si="403"/>
        <v>46067</v>
      </c>
      <c r="RN55" s="56"/>
      <c r="RO55" s="242">
        <f>SUMPRODUCT(PRODUCE!$B68:$DY68,PRODUCE!$EB$57:$IY$57)</f>
        <v>0</v>
      </c>
      <c r="RP55" s="56"/>
      <c r="RQ55" s="242">
        <f t="shared" si="404"/>
        <v>0</v>
      </c>
      <c r="RR55" s="242">
        <f t="shared" si="405"/>
        <v>46.8</v>
      </c>
      <c r="RS55" s="56"/>
      <c r="RV55" s="55">
        <f t="shared" si="406"/>
        <v>46067</v>
      </c>
      <c r="RW55" s="56"/>
      <c r="RX55" s="242">
        <f>SUMPRODUCT(PRODUCE!$B68:$DY68,PRODUCE!$EB$57:$IY$57)</f>
        <v>0</v>
      </c>
      <c r="RY55" s="56"/>
      <c r="RZ55" s="242">
        <f t="shared" si="407"/>
        <v>0</v>
      </c>
      <c r="SA55" s="242">
        <f t="shared" si="408"/>
        <v>0</v>
      </c>
      <c r="SB55" s="56"/>
      <c r="SE55" s="55">
        <f t="shared" si="409"/>
        <v>46067</v>
      </c>
      <c r="SF55" s="56"/>
      <c r="SG55" s="242">
        <f>SUMPRODUCT(PRODUCE!$B68:$DY68,PRODUCE!$EB$57:$IY$57)</f>
        <v>0</v>
      </c>
      <c r="SH55" s="56"/>
      <c r="SI55" s="242">
        <f t="shared" si="410"/>
        <v>0</v>
      </c>
      <c r="SJ55" s="242">
        <f t="shared" si="411"/>
        <v>0</v>
      </c>
      <c r="SK55" s="56"/>
      <c r="SN55" s="55">
        <f t="shared" si="412"/>
        <v>46067</v>
      </c>
      <c r="SO55" s="56"/>
      <c r="SP55" s="242">
        <f>SUMPRODUCT(PRODUCE!$B68:$DY68,PRODUCE!$EB$57:$IY$57)</f>
        <v>0</v>
      </c>
      <c r="SQ55" s="56"/>
      <c r="SR55" s="242">
        <f t="shared" si="413"/>
        <v>0</v>
      </c>
      <c r="SS55" s="242">
        <f t="shared" si="414"/>
        <v>0</v>
      </c>
      <c r="ST55" s="56"/>
      <c r="SW55" s="55">
        <f t="shared" si="415"/>
        <v>46067</v>
      </c>
      <c r="SX55" s="56"/>
      <c r="SY55" s="242">
        <f>SUMPRODUCT(PRODUCE!$B68:$DY68,PRODUCE!$EB$57:$IY$57)</f>
        <v>0</v>
      </c>
      <c r="SZ55" s="56"/>
      <c r="TA55" s="242">
        <f t="shared" si="416"/>
        <v>0</v>
      </c>
      <c r="TB55" s="242">
        <f t="shared" si="417"/>
        <v>0</v>
      </c>
      <c r="TC55" s="56"/>
      <c r="TF55" s="55">
        <f t="shared" si="418"/>
        <v>46067</v>
      </c>
      <c r="TG55" s="56"/>
      <c r="TH55" s="242">
        <f>SUMPRODUCT(PRODUCE!$B68:$DY68,PRODUCE!$EB$57:$IY$57)</f>
        <v>0</v>
      </c>
      <c r="TI55" s="56"/>
      <c r="TJ55" s="242">
        <f t="shared" si="419"/>
        <v>0</v>
      </c>
      <c r="TK55" s="242">
        <f t="shared" si="420"/>
        <v>0</v>
      </c>
      <c r="TL55" s="56"/>
      <c r="TO55" s="55">
        <f t="shared" si="421"/>
        <v>46067</v>
      </c>
      <c r="TP55" s="56"/>
      <c r="TQ55" s="242">
        <f>SUMPRODUCT(PRODUCE!$B68:$DY68,PRODUCE!$EB$57:$IY$57)</f>
        <v>0</v>
      </c>
      <c r="TR55" s="56"/>
      <c r="TS55" s="242">
        <f t="shared" si="422"/>
        <v>0</v>
      </c>
      <c r="TT55" s="242">
        <f t="shared" si="423"/>
        <v>0</v>
      </c>
      <c r="TU55" s="56"/>
      <c r="TX55" s="55">
        <f t="shared" si="424"/>
        <v>46067</v>
      </c>
      <c r="TY55" s="56"/>
      <c r="TZ55" s="242">
        <f>SUMPRODUCT(PRODUCE!$B68:$DY68,PRODUCE!$EB$57:$IY$57)</f>
        <v>0</v>
      </c>
      <c r="UA55" s="56"/>
      <c r="UB55" s="242">
        <f t="shared" si="425"/>
        <v>0</v>
      </c>
      <c r="UC55" s="242">
        <f t="shared" si="426"/>
        <v>0</v>
      </c>
      <c r="UD55" s="56"/>
      <c r="UG55" s="55">
        <f t="shared" si="427"/>
        <v>46067</v>
      </c>
      <c r="UH55" s="56"/>
      <c r="UI55" s="242">
        <f>SUMPRODUCT(PRODUCE!$B68:$DY68,PRODUCE!$EB$57:$IY$57)</f>
        <v>0</v>
      </c>
      <c r="UJ55" s="56"/>
      <c r="UK55" s="242">
        <f t="shared" si="428"/>
        <v>0</v>
      </c>
      <c r="UL55" s="242">
        <f t="shared" si="429"/>
        <v>0</v>
      </c>
      <c r="UM55" s="56"/>
      <c r="UP55" s="55">
        <f t="shared" si="430"/>
        <v>46067</v>
      </c>
      <c r="UQ55" s="56"/>
      <c r="UR55" s="242">
        <f>SUMPRODUCT(PRODUCE!$B68:$DY68,PRODUCE!$EB$57:$IY$57)</f>
        <v>0</v>
      </c>
      <c r="US55" s="56"/>
      <c r="UT55" s="242">
        <f t="shared" si="431"/>
        <v>0</v>
      </c>
      <c r="UU55" s="242">
        <f t="shared" si="432"/>
        <v>0</v>
      </c>
      <c r="UV55" s="56"/>
      <c r="UY55" s="55">
        <f t="shared" si="433"/>
        <v>46067</v>
      </c>
      <c r="UZ55" s="56"/>
      <c r="VA55" s="242">
        <f>SUMPRODUCT(PRODUCE!$B68:$DY68,PRODUCE!$EB$57:$IY$57)</f>
        <v>0</v>
      </c>
      <c r="VB55" s="56"/>
      <c r="VC55" s="242">
        <f t="shared" si="434"/>
        <v>0</v>
      </c>
      <c r="VD55" s="242">
        <f t="shared" si="435"/>
        <v>41.600000000000023</v>
      </c>
      <c r="VE55" s="56"/>
      <c r="VH55" s="55">
        <f t="shared" si="436"/>
        <v>46067</v>
      </c>
      <c r="VI55" s="56"/>
      <c r="VJ55" s="242">
        <f>SUMPRODUCT(PRODUCE!$B68:$DY68,PRODUCE!$EB$57:$IY$57)</f>
        <v>0</v>
      </c>
      <c r="VK55" s="56"/>
      <c r="VL55" s="242">
        <f t="shared" si="437"/>
        <v>0</v>
      </c>
      <c r="VM55" s="242">
        <f t="shared" si="438"/>
        <v>0</v>
      </c>
      <c r="VN55" s="56"/>
      <c r="VQ55" s="55">
        <f t="shared" si="439"/>
        <v>46067</v>
      </c>
      <c r="VR55" s="56"/>
      <c r="VS55" s="242">
        <f>SUMPRODUCT(PRODUCE!$B68:$DY68,PRODUCE!$EB$57:$IY$57)</f>
        <v>0</v>
      </c>
      <c r="VT55" s="56"/>
      <c r="VU55" s="242">
        <f t="shared" si="440"/>
        <v>0</v>
      </c>
      <c r="VV55" s="242">
        <f t="shared" si="441"/>
        <v>0</v>
      </c>
      <c r="VW55" s="56"/>
      <c r="VZ55" s="55">
        <f t="shared" si="442"/>
        <v>46067</v>
      </c>
      <c r="WA55" s="56"/>
      <c r="WB55" s="242">
        <f>SUMPRODUCT(PRODUCE!$B68:$DY68,PRODUCE!$EB$57:$IY$57)</f>
        <v>0</v>
      </c>
      <c r="WC55" s="56"/>
      <c r="WD55" s="242">
        <f t="shared" si="443"/>
        <v>0</v>
      </c>
      <c r="WE55" s="242">
        <f t="shared" si="444"/>
        <v>0</v>
      </c>
      <c r="WF55" s="56"/>
      <c r="WI55" s="55">
        <f t="shared" si="445"/>
        <v>46067</v>
      </c>
      <c r="WJ55" s="56"/>
      <c r="WK55" s="242">
        <f>SUMPRODUCT(PRODUCE!$B68:$DY68,PRODUCE!$EB$57:$IY$57)</f>
        <v>0</v>
      </c>
      <c r="WL55" s="56">
        <v>526</v>
      </c>
      <c r="WM55" s="242">
        <f t="shared" si="446"/>
        <v>-526</v>
      </c>
      <c r="WN55" s="242">
        <f t="shared" si="447"/>
        <v>9035</v>
      </c>
      <c r="WO55" s="56"/>
      <c r="WR55" s="55">
        <f t="shared" si="448"/>
        <v>46067</v>
      </c>
      <c r="WS55" s="56"/>
      <c r="WT55" s="242">
        <f>SUMPRODUCT(PRODUCE!$B68:$DY68,PRODUCE!$EB$57:$IY$57)</f>
        <v>0</v>
      </c>
      <c r="WU55" s="56"/>
      <c r="WV55" s="242">
        <f t="shared" si="449"/>
        <v>0</v>
      </c>
      <c r="WW55" s="242">
        <f t="shared" si="450"/>
        <v>6559</v>
      </c>
      <c r="WX55" s="56"/>
      <c r="XA55" s="55">
        <f t="shared" si="451"/>
        <v>46067</v>
      </c>
      <c r="XB55" s="56"/>
      <c r="XC55" s="242">
        <f>SUMPRODUCT(PRODUCE!$B68:$DY68,PRODUCE!$EB$57:$IY$57)</f>
        <v>0</v>
      </c>
      <c r="XD55" s="56"/>
      <c r="XE55" s="242">
        <f t="shared" si="452"/>
        <v>0</v>
      </c>
      <c r="XF55" s="242">
        <f t="shared" si="453"/>
        <v>590</v>
      </c>
      <c r="XG55" s="56"/>
      <c r="XJ55" s="55">
        <f t="shared" si="454"/>
        <v>46067</v>
      </c>
      <c r="XK55" s="56"/>
      <c r="XL55" s="242">
        <f>SUMPRODUCT(PRODUCE!$B68:$DY68,PRODUCE!$EB$57:$IY$57)</f>
        <v>0</v>
      </c>
      <c r="XM55" s="56"/>
      <c r="XN55" s="242">
        <f t="shared" si="455"/>
        <v>0</v>
      </c>
      <c r="XO55" s="242">
        <f t="shared" si="456"/>
        <v>8852</v>
      </c>
      <c r="XP55" s="56"/>
      <c r="XS55" s="55">
        <f t="shared" si="457"/>
        <v>46067</v>
      </c>
      <c r="XT55" s="56"/>
      <c r="XU55" s="242">
        <f>SUMPRODUCT(PRODUCE!$B68:$DY68,PRODUCE!$EB$57:$IY$57)</f>
        <v>0</v>
      </c>
      <c r="XV55" s="56"/>
      <c r="XW55" s="242">
        <f t="shared" si="458"/>
        <v>0</v>
      </c>
      <c r="XX55" s="242">
        <f t="shared" si="459"/>
        <v>1901</v>
      </c>
      <c r="XY55" s="56"/>
      <c r="YB55" s="55">
        <f t="shared" si="460"/>
        <v>46067</v>
      </c>
      <c r="YC55" s="56"/>
      <c r="YD55" s="242">
        <f>SUMPRODUCT(PRODUCE!$B68:$DY68,PRODUCE!$EB$57:$IY$57)</f>
        <v>0</v>
      </c>
      <c r="YE55" s="56"/>
      <c r="YF55" s="242">
        <f t="shared" si="461"/>
        <v>0</v>
      </c>
      <c r="YG55" s="242">
        <f t="shared" si="462"/>
        <v>-707</v>
      </c>
      <c r="YH55" s="56"/>
      <c r="YK55" s="55">
        <f t="shared" si="463"/>
        <v>46067</v>
      </c>
      <c r="YL55" s="56"/>
      <c r="YM55" s="242">
        <f>SUMPRODUCT(PRODUCE!$B68:$DY68,PRODUCE!$EB$57:$IY$57)</f>
        <v>0</v>
      </c>
      <c r="YN55" s="56"/>
      <c r="YO55" s="242">
        <f t="shared" si="464"/>
        <v>0</v>
      </c>
      <c r="YP55" s="242">
        <f t="shared" si="465"/>
        <v>0</v>
      </c>
      <c r="YQ55" s="56"/>
      <c r="YT55" s="55">
        <f t="shared" si="466"/>
        <v>46067</v>
      </c>
      <c r="YU55" s="56"/>
      <c r="YV55" s="242">
        <f>SUMPRODUCT(PRODUCE!$B68:$DY68,PRODUCE!$EB$57:$IY$57)</f>
        <v>0</v>
      </c>
      <c r="YW55" s="56"/>
      <c r="YX55" s="242">
        <f t="shared" si="467"/>
        <v>0</v>
      </c>
      <c r="YY55" s="242">
        <f t="shared" si="468"/>
        <v>0</v>
      </c>
      <c r="YZ55" s="56"/>
      <c r="ZC55" s="55">
        <f t="shared" si="469"/>
        <v>46067</v>
      </c>
      <c r="ZD55" s="56"/>
      <c r="ZE55" s="242">
        <f>SUMPRODUCT(PRODUCE!$B68:$DY68,PRODUCE!$EB$57:$IY$57)</f>
        <v>0</v>
      </c>
      <c r="ZF55" s="56"/>
      <c r="ZG55" s="242">
        <f t="shared" si="470"/>
        <v>0</v>
      </c>
      <c r="ZH55" s="242">
        <f t="shared" si="471"/>
        <v>0</v>
      </c>
      <c r="ZI55" s="56"/>
      <c r="ZL55" s="55">
        <f t="shared" si="472"/>
        <v>46067</v>
      </c>
      <c r="ZM55" s="56"/>
      <c r="ZN55" s="242">
        <f>SUMPRODUCT(PRODUCE!$B68:$DY68,PRODUCE!$EB$57:$IY$57)</f>
        <v>0</v>
      </c>
      <c r="ZO55" s="56"/>
      <c r="ZP55" s="242">
        <f t="shared" si="473"/>
        <v>0</v>
      </c>
      <c r="ZQ55" s="242">
        <f t="shared" si="474"/>
        <v>0</v>
      </c>
      <c r="ZR55" s="56"/>
      <c r="ZU55" s="55">
        <f t="shared" si="475"/>
        <v>46067</v>
      </c>
      <c r="ZV55" s="56"/>
      <c r="ZW55" s="242">
        <f>SUMPRODUCT(PRODUCE!$B68:$DY68,PRODUCE!$EB$57:$IY$57)</f>
        <v>0</v>
      </c>
      <c r="ZX55" s="56"/>
      <c r="ZY55" s="242">
        <f t="shared" si="476"/>
        <v>0</v>
      </c>
      <c r="ZZ55" s="242">
        <f t="shared" si="477"/>
        <v>0</v>
      </c>
      <c r="AAA55" s="56"/>
      <c r="AAD55" s="55">
        <f t="shared" si="478"/>
        <v>46067</v>
      </c>
      <c r="AAE55" s="56"/>
      <c r="AAF55" s="242">
        <f>SUMPRODUCT(PRODUCE!$B68:$DY68,PRODUCE!$EB$57:$IY$57)</f>
        <v>0</v>
      </c>
      <c r="AAG55" s="56"/>
      <c r="AAH55" s="242">
        <f t="shared" si="479"/>
        <v>0</v>
      </c>
      <c r="AAI55" s="242">
        <f t="shared" si="480"/>
        <v>0</v>
      </c>
      <c r="AAJ55" s="56"/>
      <c r="AAM55" s="55">
        <f t="shared" si="481"/>
        <v>46067</v>
      </c>
      <c r="AAN55" s="56"/>
      <c r="AAO55" s="242">
        <f>SUMPRODUCT(PRODUCE!$B68:$DY68,PRODUCE!$EB$57:$IY$57)</f>
        <v>0</v>
      </c>
      <c r="AAP55" s="56"/>
      <c r="AAQ55" s="242">
        <f t="shared" si="482"/>
        <v>0</v>
      </c>
      <c r="AAR55" s="242">
        <f t="shared" si="483"/>
        <v>0</v>
      </c>
      <c r="AAS55" s="56"/>
      <c r="AAV55" s="55">
        <f t="shared" si="484"/>
        <v>46067</v>
      </c>
      <c r="AAW55" s="56"/>
      <c r="AAX55" s="242">
        <f>SUMPRODUCT(PRODUCE!$B68:$DY68,PRODUCE!$EB$57:$IY$57)</f>
        <v>0</v>
      </c>
      <c r="AAY55" s="56"/>
      <c r="AAZ55" s="242">
        <f t="shared" si="485"/>
        <v>0</v>
      </c>
      <c r="ABA55" s="242">
        <f t="shared" si="486"/>
        <v>0</v>
      </c>
      <c r="ABB55" s="56"/>
      <c r="ABE55" s="55">
        <f t="shared" si="487"/>
        <v>46067</v>
      </c>
      <c r="ABF55" s="56"/>
      <c r="ABG55" s="242">
        <f>SUMPRODUCT(PRODUCE!$B68:$DY68,PRODUCE!$EB$57:$IY$57)</f>
        <v>0</v>
      </c>
      <c r="ABH55" s="56"/>
      <c r="ABI55" s="242">
        <f t="shared" si="488"/>
        <v>0</v>
      </c>
      <c r="ABJ55" s="242">
        <f t="shared" si="489"/>
        <v>0</v>
      </c>
      <c r="ABK55" s="56"/>
    </row>
    <row r="56" spans="2:739" s="54" customFormat="1" ht="15" customHeight="1" outlineLevel="1">
      <c r="B56" s="478"/>
      <c r="C56" s="55">
        <v>46068</v>
      </c>
      <c r="D56" s="422"/>
      <c r="E56" s="424">
        <f>SUMPRODUCT(PRODUCE!$B69:$DY69,PRODUCE!$EB$7:$IY$7)</f>
        <v>0</v>
      </c>
      <c r="F56" s="422"/>
      <c r="G56" s="423">
        <f t="shared" si="247"/>
        <v>0</v>
      </c>
      <c r="H56" s="423">
        <f t="shared" si="245"/>
        <v>232692.4</v>
      </c>
      <c r="I56" s="289"/>
      <c r="L56" s="55">
        <f t="shared" si="246"/>
        <v>46068</v>
      </c>
      <c r="M56" s="422"/>
      <c r="N56" s="439">
        <f>SUMPRODUCT(PRODUCE!$B69:$DY69,PRODUCE!$EB$8:$IY$8)</f>
        <v>0</v>
      </c>
      <c r="O56" s="422"/>
      <c r="P56" s="438">
        <f t="shared" si="248"/>
        <v>0</v>
      </c>
      <c r="Q56" s="438">
        <f t="shared" si="249"/>
        <v>125526.00000000003</v>
      </c>
      <c r="R56" s="56"/>
      <c r="U56" s="55">
        <f t="shared" si="250"/>
        <v>46068</v>
      </c>
      <c r="V56" s="422"/>
      <c r="W56" s="441">
        <f>SUMPRODUCT(PRODUCE!$B69:$DY69,PRODUCE!$EB$9:$IY$9)</f>
        <v>0</v>
      </c>
      <c r="X56" s="422"/>
      <c r="Y56" s="440">
        <f t="shared" si="251"/>
        <v>0</v>
      </c>
      <c r="Z56" s="440">
        <f t="shared" si="252"/>
        <v>52938.199999999983</v>
      </c>
      <c r="AA56" s="56"/>
      <c r="AD56" s="55">
        <f t="shared" si="253"/>
        <v>46068</v>
      </c>
      <c r="AE56" s="422"/>
      <c r="AF56" s="443">
        <f>SUMPRODUCT(PRODUCE!$B69:$DY69,PRODUCE!$EB$10:$IY$10)</f>
        <v>0</v>
      </c>
      <c r="AG56" s="422"/>
      <c r="AH56" s="442">
        <f t="shared" si="254"/>
        <v>0</v>
      </c>
      <c r="AI56" s="442">
        <f t="shared" si="255"/>
        <v>48256.60000000002</v>
      </c>
      <c r="AJ56" s="56"/>
      <c r="AM56" s="55">
        <f t="shared" si="256"/>
        <v>46068</v>
      </c>
      <c r="AN56" s="422"/>
      <c r="AO56" s="445">
        <f>SUMPRODUCT(PRODUCE!$B69:$DY69,PRODUCE!$EB$11:$IY$11)</f>
        <v>0</v>
      </c>
      <c r="AP56" s="422"/>
      <c r="AQ56" s="444">
        <f t="shared" si="257"/>
        <v>0</v>
      </c>
      <c r="AR56" s="444">
        <f t="shared" si="258"/>
        <v>0</v>
      </c>
      <c r="AS56" s="56"/>
      <c r="AV56" s="55">
        <f t="shared" si="259"/>
        <v>46068</v>
      </c>
      <c r="AW56" s="422"/>
      <c r="AX56" s="447">
        <f>SUMPRODUCT(PRODUCE!$B69:$DY69,PRODUCE!$EB$12:$IY$12)</f>
        <v>0</v>
      </c>
      <c r="AY56" s="422"/>
      <c r="AZ56" s="446">
        <f t="shared" si="260"/>
        <v>0</v>
      </c>
      <c r="BA56" s="446">
        <f t="shared" si="261"/>
        <v>51523.899999999987</v>
      </c>
      <c r="BB56" s="56"/>
      <c r="BE56" s="55">
        <f t="shared" si="262"/>
        <v>46068</v>
      </c>
      <c r="BF56" s="422"/>
      <c r="BG56" s="449">
        <f>SUMPRODUCT(PRODUCE!$B69:$DY69,PRODUCE!$EB$13:$IY$13)</f>
        <v>0</v>
      </c>
      <c r="BH56" s="422"/>
      <c r="BI56" s="448">
        <f t="shared" si="263"/>
        <v>0</v>
      </c>
      <c r="BJ56" s="448">
        <f t="shared" si="264"/>
        <v>23346.800000000007</v>
      </c>
      <c r="BK56" s="56"/>
      <c r="BN56" s="55">
        <f t="shared" si="265"/>
        <v>46068</v>
      </c>
      <c r="BO56" s="422"/>
      <c r="BP56" s="451">
        <f>SUMPRODUCT(PRODUCE!$B69:$DY69,PRODUCE!$EB$14:$IY$14)</f>
        <v>0</v>
      </c>
      <c r="BQ56" s="422"/>
      <c r="BR56" s="450">
        <f t="shared" si="266"/>
        <v>0</v>
      </c>
      <c r="BS56" s="450">
        <f t="shared" si="267"/>
        <v>0</v>
      </c>
      <c r="BT56" s="56"/>
      <c r="BW56" s="55">
        <f t="shared" si="268"/>
        <v>46068</v>
      </c>
      <c r="BX56" s="56"/>
      <c r="BY56" s="81">
        <f>SUMPRODUCT(PRODUCE!$B69:$DY69,PRODUCE!$EB$15:$IY$15)</f>
        <v>0</v>
      </c>
      <c r="BZ56" s="56"/>
      <c r="CA56" s="65">
        <f t="shared" si="269"/>
        <v>0</v>
      </c>
      <c r="CB56" s="65">
        <f t="shared" si="270"/>
        <v>999.40000000000009</v>
      </c>
      <c r="CC56" s="56"/>
      <c r="CF56" s="55">
        <f t="shared" si="271"/>
        <v>46068</v>
      </c>
      <c r="CG56" s="56"/>
      <c r="CH56" s="82">
        <f>SUMPRODUCT(PRODUCE!$B69:$DY69,PRODUCE!$EB$16:$IY$16)</f>
        <v>0</v>
      </c>
      <c r="CI56" s="56"/>
      <c r="CJ56" s="66">
        <f t="shared" si="272"/>
        <v>0</v>
      </c>
      <c r="CK56" s="66">
        <f t="shared" si="273"/>
        <v>0</v>
      </c>
      <c r="CL56" s="56"/>
      <c r="CO56" s="55">
        <f t="shared" si="274"/>
        <v>46068</v>
      </c>
      <c r="CP56" s="422"/>
      <c r="CQ56" s="471">
        <f>SUMPRODUCT(PRODUCE!$B69:$DY69,PRODUCE!$EB$17:$IY$17)</f>
        <v>0</v>
      </c>
      <c r="CR56" s="422"/>
      <c r="CS56" s="470">
        <f t="shared" si="275"/>
        <v>0</v>
      </c>
      <c r="CT56" s="470">
        <f t="shared" si="276"/>
        <v>0</v>
      </c>
      <c r="CU56" s="56"/>
      <c r="CX56" s="55">
        <f t="shared" si="277"/>
        <v>46068</v>
      </c>
      <c r="CY56" s="56"/>
      <c r="CZ56" s="136">
        <f>SUMPRODUCT(PRODUCE!$B69:$DY69,PRODUCE!$EB$18:$IY$18)</f>
        <v>0</v>
      </c>
      <c r="DA56" s="56"/>
      <c r="DB56" s="133">
        <f t="shared" si="278"/>
        <v>0</v>
      </c>
      <c r="DC56" s="133">
        <f t="shared" si="279"/>
        <v>27086.799999999999</v>
      </c>
      <c r="DD56" s="56"/>
      <c r="DG56" s="55">
        <f t="shared" si="280"/>
        <v>46068</v>
      </c>
      <c r="DH56" s="56"/>
      <c r="DI56" s="150">
        <f>SUMPRODUCT(PRODUCE!$B69:$DY69,PRODUCE!$EB$19:$IY$19)</f>
        <v>0</v>
      </c>
      <c r="DJ56" s="56"/>
      <c r="DK56" s="147">
        <f t="shared" si="281"/>
        <v>0</v>
      </c>
      <c r="DL56" s="147">
        <f t="shared" si="282"/>
        <v>13431.599999999997</v>
      </c>
      <c r="DM56" s="56"/>
      <c r="DP56" s="55">
        <f t="shared" si="283"/>
        <v>46068</v>
      </c>
      <c r="DQ56" s="56"/>
      <c r="DR56" s="58">
        <f>SUMPRODUCT(PRODUCE!$B69:$DY69,PRODUCE!$EB$20:$IY$20)</f>
        <v>0</v>
      </c>
      <c r="DS56" s="56"/>
      <c r="DT56" s="57">
        <f t="shared" si="284"/>
        <v>0</v>
      </c>
      <c r="DU56" s="57">
        <f t="shared" si="285"/>
        <v>2300</v>
      </c>
      <c r="DV56" s="56"/>
      <c r="DY56" s="55">
        <f t="shared" si="286"/>
        <v>46068</v>
      </c>
      <c r="DZ56" s="56"/>
      <c r="EA56" s="159">
        <f>SUMPRODUCT(PRODUCE!$B69:$DY69,PRODUCE!$EB$21:$IY$21)</f>
        <v>0</v>
      </c>
      <c r="EB56" s="56"/>
      <c r="EC56" s="157">
        <f t="shared" si="287"/>
        <v>0</v>
      </c>
      <c r="ED56" s="157">
        <f t="shared" si="288"/>
        <v>5696.8</v>
      </c>
      <c r="EE56" s="56"/>
      <c r="EH56" s="55">
        <f t="shared" si="289"/>
        <v>46068</v>
      </c>
      <c r="EI56" s="56"/>
      <c r="EJ56" s="164">
        <f>SUMPRODUCT(PRODUCE!$B69:$DY69,PRODUCE!$EB$22:$IY$22)</f>
        <v>0</v>
      </c>
      <c r="EK56" s="56"/>
      <c r="EL56" s="162">
        <f t="shared" si="290"/>
        <v>0</v>
      </c>
      <c r="EM56" s="162">
        <f t="shared" si="291"/>
        <v>0</v>
      </c>
      <c r="EN56" s="56"/>
      <c r="EQ56" s="55">
        <f t="shared" si="292"/>
        <v>46068</v>
      </c>
      <c r="ER56" s="56"/>
      <c r="ES56" s="171">
        <f>SUMPRODUCT(PRODUCE!$B69:$DY69,PRODUCE!$EB$23:$IY$23)</f>
        <v>0</v>
      </c>
      <c r="ET56" s="56"/>
      <c r="EU56" s="135">
        <f t="shared" si="293"/>
        <v>0</v>
      </c>
      <c r="EV56" s="135">
        <f t="shared" si="294"/>
        <v>0</v>
      </c>
      <c r="EW56" s="56"/>
      <c r="EZ56" s="55">
        <f t="shared" si="295"/>
        <v>46068</v>
      </c>
      <c r="FA56" s="56"/>
      <c r="FB56" s="178">
        <f>SUMPRODUCT(PRODUCE!$B69:$DY69,PRODUCE!$EB$24:$IY$24)</f>
        <v>0</v>
      </c>
      <c r="FC56" s="56"/>
      <c r="FD56" s="175">
        <f t="shared" si="296"/>
        <v>0</v>
      </c>
      <c r="FE56" s="175">
        <f t="shared" si="297"/>
        <v>0</v>
      </c>
      <c r="FF56" s="56"/>
      <c r="FI56" s="55">
        <f t="shared" si="298"/>
        <v>46068</v>
      </c>
      <c r="FJ56" s="56"/>
      <c r="FK56" s="184">
        <f>SUMPRODUCT(PRODUCE!$B69:$DY69,PRODUCE!$EB$25:$IY$25)</f>
        <v>0</v>
      </c>
      <c r="FL56" s="56"/>
      <c r="FM56" s="183">
        <f t="shared" si="299"/>
        <v>0</v>
      </c>
      <c r="FN56" s="183">
        <f t="shared" si="300"/>
        <v>0</v>
      </c>
      <c r="FO56" s="56"/>
      <c r="FR56" s="55">
        <f t="shared" si="301"/>
        <v>46068</v>
      </c>
      <c r="FS56" s="422"/>
      <c r="FT56" s="453">
        <f>SUMPRODUCT(PRODUCE!$B69:$DY69,PRODUCE!$EB$26:$IY$26)</f>
        <v>0</v>
      </c>
      <c r="FU56" s="422"/>
      <c r="FV56" s="452">
        <f t="shared" si="302"/>
        <v>0</v>
      </c>
      <c r="FW56" s="452">
        <f t="shared" si="303"/>
        <v>2420</v>
      </c>
      <c r="FX56" s="56"/>
      <c r="GA56" s="55">
        <f t="shared" si="304"/>
        <v>46068</v>
      </c>
      <c r="GB56" s="422"/>
      <c r="GC56" s="455">
        <f>SUMPRODUCT(PRODUCE!$B69:$DY69,PRODUCE!$EB$27:$IY$27)</f>
        <v>0</v>
      </c>
      <c r="GD56" s="422"/>
      <c r="GE56" s="454">
        <f t="shared" si="305"/>
        <v>0</v>
      </c>
      <c r="GF56" s="454">
        <f t="shared" si="306"/>
        <v>5960</v>
      </c>
      <c r="GG56" s="56"/>
      <c r="GI56" s="23"/>
      <c r="GJ56" s="55">
        <f t="shared" si="307"/>
        <v>46068</v>
      </c>
      <c r="GK56" s="422"/>
      <c r="GL56" s="457">
        <f>SUMPRODUCT(PRODUCE!$B69:$DY69,PRODUCE!$EB$28:$IY$28)</f>
        <v>0</v>
      </c>
      <c r="GM56" s="422"/>
      <c r="GN56" s="456">
        <f t="shared" si="308"/>
        <v>0</v>
      </c>
      <c r="GO56" s="456">
        <f t="shared" si="309"/>
        <v>5240</v>
      </c>
      <c r="GP56" s="56"/>
      <c r="GS56" s="55">
        <f t="shared" si="310"/>
        <v>46068</v>
      </c>
      <c r="GT56" s="56"/>
      <c r="GU56" s="196">
        <f>SUMPRODUCT(PRODUCE!$B69:$DY69,PRODUCE!$EB$29:$IY$29)</f>
        <v>0</v>
      </c>
      <c r="GV56" s="56"/>
      <c r="GW56" s="195">
        <f t="shared" si="311"/>
        <v>0</v>
      </c>
      <c r="GX56" s="195">
        <f t="shared" si="312"/>
        <v>0</v>
      </c>
      <c r="GY56" s="56"/>
      <c r="HB56" s="55">
        <f t="shared" si="313"/>
        <v>46068</v>
      </c>
      <c r="HC56" s="56"/>
      <c r="HD56" s="192">
        <f>SUMPRODUCT(PRODUCE!$B69:$DY69,PRODUCE!$EB$30:$IY$30)</f>
        <v>0</v>
      </c>
      <c r="HE56" s="56"/>
      <c r="HF56" s="191">
        <f t="shared" si="314"/>
        <v>0</v>
      </c>
      <c r="HG56" s="191">
        <f t="shared" si="315"/>
        <v>0</v>
      </c>
      <c r="HH56" s="56"/>
      <c r="HK56" s="55">
        <f t="shared" si="316"/>
        <v>46068</v>
      </c>
      <c r="HL56" s="56"/>
      <c r="HM56" s="80">
        <f>SUMPRODUCT(PRODUCE!$B69:$DY69,PRODUCE!$EB$31:$IY$31)</f>
        <v>0</v>
      </c>
      <c r="HN56" s="56"/>
      <c r="HO56" s="63">
        <f t="shared" si="317"/>
        <v>0</v>
      </c>
      <c r="HP56" s="63">
        <f t="shared" si="318"/>
        <v>0</v>
      </c>
      <c r="HQ56" s="56"/>
      <c r="HU56" s="55">
        <f t="shared" si="319"/>
        <v>46068</v>
      </c>
      <c r="HV56" s="56"/>
      <c r="HW56" s="242">
        <f>SUMPRODUCT(PRODUCE!$B69:$DY69,PRODUCE!$EB$32:$IY$32)</f>
        <v>0</v>
      </c>
      <c r="HX56" s="56"/>
      <c r="HY56" s="242">
        <f t="shared" si="320"/>
        <v>0</v>
      </c>
      <c r="HZ56" s="242">
        <f t="shared" si="321"/>
        <v>5120</v>
      </c>
      <c r="IA56" s="56"/>
      <c r="ID56" s="55">
        <f t="shared" si="322"/>
        <v>46068</v>
      </c>
      <c r="IE56" s="56"/>
      <c r="IF56" s="242">
        <f>SUMPRODUCT(PRODUCE!$B69:$DY69,PRODUCE!$EB$33:$IY$33)</f>
        <v>0</v>
      </c>
      <c r="IG56" s="56"/>
      <c r="IH56" s="242">
        <f t="shared" si="323"/>
        <v>0</v>
      </c>
      <c r="II56" s="242">
        <f t="shared" si="324"/>
        <v>5100</v>
      </c>
      <c r="IJ56" s="56"/>
      <c r="IM56" s="55">
        <f t="shared" si="325"/>
        <v>46068</v>
      </c>
      <c r="IN56" s="56"/>
      <c r="IO56" s="242">
        <f>SUMPRODUCT(PRODUCE!$B69:$DY69,PRODUCE!$EB$34:$IY$34)</f>
        <v>0</v>
      </c>
      <c r="IP56" s="56"/>
      <c r="IQ56" s="242">
        <f t="shared" si="326"/>
        <v>0</v>
      </c>
      <c r="IR56" s="242">
        <f t="shared" si="327"/>
        <v>10240</v>
      </c>
      <c r="IS56" s="56"/>
      <c r="IV56" s="55">
        <f t="shared" si="328"/>
        <v>46068</v>
      </c>
      <c r="IW56" s="56"/>
      <c r="IX56" s="242">
        <f>SUMPRODUCT(PRODUCE!$B69:$DY69,PRODUCE!$EB$35:$IY$35)</f>
        <v>0</v>
      </c>
      <c r="IY56" s="56"/>
      <c r="IZ56" s="242">
        <f t="shared" si="329"/>
        <v>0</v>
      </c>
      <c r="JA56" s="242">
        <f t="shared" si="330"/>
        <v>15120</v>
      </c>
      <c r="JB56" s="56"/>
      <c r="JE56" s="55">
        <f t="shared" si="331"/>
        <v>46068</v>
      </c>
      <c r="JF56" s="56"/>
      <c r="JG56" s="242">
        <f>SUMPRODUCT(PRODUCE!$B69:$DY69,PRODUCE!$EB$36:$IY$36)</f>
        <v>0</v>
      </c>
      <c r="JH56" s="56"/>
      <c r="JI56" s="242">
        <f t="shared" si="332"/>
        <v>0</v>
      </c>
      <c r="JJ56" s="242">
        <f t="shared" si="333"/>
        <v>6800</v>
      </c>
      <c r="JK56" s="56"/>
      <c r="JN56" s="55">
        <f t="shared" si="334"/>
        <v>46068</v>
      </c>
      <c r="JO56" s="56"/>
      <c r="JP56" s="242">
        <f>SUMPRODUCT(PRODUCE!$B69:$DY69,PRODUCE!$EB$37:$IY$37)</f>
        <v>0</v>
      </c>
      <c r="JQ56" s="56"/>
      <c r="JR56" s="242">
        <f t="shared" si="335"/>
        <v>0</v>
      </c>
      <c r="JS56" s="242">
        <f t="shared" si="336"/>
        <v>5400</v>
      </c>
      <c r="JT56" s="56"/>
      <c r="JW56" s="55">
        <f t="shared" si="337"/>
        <v>46068</v>
      </c>
      <c r="JX56" s="56"/>
      <c r="JY56" s="242">
        <f>SUMPRODUCT(PRODUCE!$B69:$DY69,PRODUCE!$EB$38:$IY$38)</f>
        <v>0</v>
      </c>
      <c r="JZ56" s="56"/>
      <c r="KA56" s="242">
        <f t="shared" si="338"/>
        <v>0</v>
      </c>
      <c r="KB56" s="242">
        <f t="shared" si="339"/>
        <v>4000</v>
      </c>
      <c r="KC56" s="56"/>
      <c r="KF56" s="55">
        <f t="shared" si="340"/>
        <v>46068</v>
      </c>
      <c r="KG56" s="56"/>
      <c r="KH56" s="242">
        <f>SUMPRODUCT(PRODUCE!$B69:$DY69,PRODUCE!$EB$39:$IY$39)</f>
        <v>0</v>
      </c>
      <c r="KI56" s="56"/>
      <c r="KJ56" s="242">
        <f t="shared" si="341"/>
        <v>0</v>
      </c>
      <c r="KK56" s="242">
        <f t="shared" si="342"/>
        <v>1287</v>
      </c>
      <c r="KL56" s="56"/>
      <c r="KO56" s="55">
        <f t="shared" si="343"/>
        <v>46068</v>
      </c>
      <c r="KP56" s="56"/>
      <c r="KQ56" s="242">
        <f>SUMPRODUCT(PRODUCE!$B69:$DY69,PRODUCE!$EB$40:$IY$40)</f>
        <v>0</v>
      </c>
      <c r="KR56" s="56"/>
      <c r="KS56" s="242">
        <f t="shared" si="344"/>
        <v>0</v>
      </c>
      <c r="KT56" s="242">
        <f t="shared" si="345"/>
        <v>10659.6</v>
      </c>
      <c r="KU56" s="56"/>
      <c r="KW56" s="23"/>
      <c r="KX56" s="55">
        <f t="shared" si="346"/>
        <v>46068</v>
      </c>
      <c r="KY56" s="56"/>
      <c r="KZ56" s="242">
        <f>SUMPRODUCT(PRODUCE!$B69:$DY69,PRODUCE!$EB$41:$IY$41)</f>
        <v>0</v>
      </c>
      <c r="LA56" s="56"/>
      <c r="LB56" s="242">
        <f t="shared" si="347"/>
        <v>0</v>
      </c>
      <c r="LC56" s="242">
        <f t="shared" si="348"/>
        <v>0</v>
      </c>
      <c r="LD56" s="56"/>
      <c r="LG56" s="55">
        <f t="shared" si="349"/>
        <v>46068</v>
      </c>
      <c r="LH56" s="56"/>
      <c r="LI56" s="242">
        <f>SUMPRODUCT(PRODUCE!$B69:$DY69,PRODUCE!$EB$42:$IY$42)</f>
        <v>0</v>
      </c>
      <c r="LJ56" s="56"/>
      <c r="LK56" s="242">
        <f t="shared" si="350"/>
        <v>0</v>
      </c>
      <c r="LL56" s="242">
        <f t="shared" si="351"/>
        <v>0</v>
      </c>
      <c r="LM56" s="56"/>
      <c r="LP56" s="55">
        <f t="shared" si="352"/>
        <v>46068</v>
      </c>
      <c r="LQ56" s="56"/>
      <c r="LR56" s="242">
        <f>SUMPRODUCT(PRODUCE!$B71:$DY71,PRODUCE!$EB$43:$IY$43)</f>
        <v>0</v>
      </c>
      <c r="LS56" s="56"/>
      <c r="LT56" s="242">
        <f t="shared" si="353"/>
        <v>0</v>
      </c>
      <c r="LU56" s="242">
        <f t="shared" si="354"/>
        <v>0</v>
      </c>
      <c r="LV56" s="56"/>
      <c r="LY56" s="55">
        <f t="shared" si="355"/>
        <v>46068</v>
      </c>
      <c r="LZ56" s="56"/>
      <c r="MA56" s="242">
        <f>SUMPRODUCT(PRODUCE!$B71:$DY71,PRODUCE!$EB$44:$IY$44)</f>
        <v>0</v>
      </c>
      <c r="MB56" s="56"/>
      <c r="MC56" s="242">
        <f t="shared" si="356"/>
        <v>0</v>
      </c>
      <c r="MD56" s="242">
        <f t="shared" si="357"/>
        <v>0</v>
      </c>
      <c r="ME56" s="56"/>
      <c r="MH56" s="55">
        <f t="shared" si="358"/>
        <v>46068</v>
      </c>
      <c r="MI56" s="56"/>
      <c r="MJ56" s="242">
        <f>SUMPRODUCT(PRODUCE!$B69:$DY69,PRODUCE!$EB$45:$IY$45)</f>
        <v>0</v>
      </c>
      <c r="MK56" s="56"/>
      <c r="ML56" s="242">
        <f t="shared" si="359"/>
        <v>0</v>
      </c>
      <c r="MM56" s="242">
        <f t="shared" si="360"/>
        <v>0</v>
      </c>
      <c r="MN56" s="56"/>
      <c r="MQ56" s="55">
        <f t="shared" si="361"/>
        <v>46068</v>
      </c>
      <c r="MR56" s="56"/>
      <c r="MS56" s="242">
        <f>SUMPRODUCT(PRODUCE!$B69:$DY69,PRODUCE!$EB$46:$IY$46)</f>
        <v>0</v>
      </c>
      <c r="MT56" s="56"/>
      <c r="MU56" s="242">
        <f t="shared" si="362"/>
        <v>0</v>
      </c>
      <c r="MV56" s="242">
        <f t="shared" si="363"/>
        <v>385</v>
      </c>
      <c r="MW56" s="56"/>
      <c r="MZ56" s="55">
        <f t="shared" si="364"/>
        <v>46068</v>
      </c>
      <c r="NA56" s="56"/>
      <c r="NB56" s="242">
        <f>SUMPRODUCT(PRODUCE!$B69:$DY69,PRODUCE!$EB$47:$IY$47)</f>
        <v>0</v>
      </c>
      <c r="NC56" s="56"/>
      <c r="ND56" s="242">
        <f t="shared" si="365"/>
        <v>0</v>
      </c>
      <c r="NE56" s="242">
        <f t="shared" si="366"/>
        <v>0</v>
      </c>
      <c r="NF56" s="56"/>
      <c r="NI56" s="55">
        <f t="shared" si="367"/>
        <v>46068</v>
      </c>
      <c r="NJ56" s="56"/>
      <c r="NK56" s="242">
        <f>SUMPRODUCT(PRODUCE!$B69:$DY69,PRODUCE!$EB$48:$IY$48)</f>
        <v>0</v>
      </c>
      <c r="NL56" s="56"/>
      <c r="NM56" s="242">
        <f t="shared" si="368"/>
        <v>0</v>
      </c>
      <c r="NN56" s="242">
        <f t="shared" si="369"/>
        <v>0</v>
      </c>
      <c r="NO56" s="56"/>
      <c r="NR56" s="55">
        <f t="shared" si="370"/>
        <v>46068</v>
      </c>
      <c r="NS56" s="56"/>
      <c r="NT56" s="242">
        <f>SUMPRODUCT(PRODUCE!$B69:$DY69,PRODUCE!$EB$49:$IY$49)</f>
        <v>0</v>
      </c>
      <c r="NU56" s="56"/>
      <c r="NV56" s="242">
        <f t="shared" si="371"/>
        <v>0</v>
      </c>
      <c r="NW56" s="242">
        <f t="shared" si="372"/>
        <v>2310</v>
      </c>
      <c r="NX56" s="56"/>
      <c r="OA56" s="55">
        <f t="shared" si="373"/>
        <v>46068</v>
      </c>
      <c r="OB56" s="56"/>
      <c r="OC56" s="242">
        <f>SUMPRODUCT(PRODUCE!$B69:$DY69,PRODUCE!$EB$50:$IY$50)</f>
        <v>0</v>
      </c>
      <c r="OD56" s="56"/>
      <c r="OE56" s="242">
        <f t="shared" si="374"/>
        <v>0</v>
      </c>
      <c r="OF56" s="242">
        <f t="shared" si="375"/>
        <v>1680.5</v>
      </c>
      <c r="OG56" s="56"/>
      <c r="OJ56" s="55">
        <f t="shared" si="376"/>
        <v>46068</v>
      </c>
      <c r="OK56" s="56"/>
      <c r="OL56" s="242">
        <f>SUMPRODUCT(PRODUCE!$B69:$DY69,PRODUCE!$EB$51:$IY$51)</f>
        <v>0</v>
      </c>
      <c r="OM56" s="56"/>
      <c r="ON56" s="242">
        <f t="shared" si="377"/>
        <v>0</v>
      </c>
      <c r="OO56" s="242">
        <f t="shared" si="378"/>
        <v>0</v>
      </c>
      <c r="OP56" s="56"/>
      <c r="OS56" s="55">
        <f t="shared" si="379"/>
        <v>46068</v>
      </c>
      <c r="OT56" s="56"/>
      <c r="OU56" s="242">
        <f>SUMPRODUCT(PRODUCE!$B69:$DY69,PRODUCE!$EB$52:$IY$52)</f>
        <v>0</v>
      </c>
      <c r="OV56" s="56"/>
      <c r="OW56" s="242">
        <f t="shared" si="380"/>
        <v>0</v>
      </c>
      <c r="OX56" s="242">
        <f t="shared" si="381"/>
        <v>0</v>
      </c>
      <c r="OY56" s="56"/>
      <c r="PB56" s="55">
        <f t="shared" si="382"/>
        <v>46068</v>
      </c>
      <c r="PC56" s="56"/>
      <c r="PD56" s="242">
        <f>SUMPRODUCT(PRODUCE!$B69:$DY69,PRODUCE!$EB$53:$IY$53)</f>
        <v>0</v>
      </c>
      <c r="PE56" s="56"/>
      <c r="PF56" s="242">
        <f t="shared" si="383"/>
        <v>0</v>
      </c>
      <c r="PG56" s="242">
        <f t="shared" si="384"/>
        <v>0</v>
      </c>
      <c r="PH56" s="56"/>
      <c r="PK56" s="55">
        <f t="shared" si="385"/>
        <v>46068</v>
      </c>
      <c r="PL56" s="56"/>
      <c r="PM56" s="242">
        <f>SUMPRODUCT(PRODUCE!$B69:$DY69,PRODUCE!$EB$54:$IY$54)</f>
        <v>0</v>
      </c>
      <c r="PN56" s="56"/>
      <c r="PO56" s="242">
        <f t="shared" si="386"/>
        <v>0</v>
      </c>
      <c r="PP56" s="242">
        <f t="shared" si="387"/>
        <v>160</v>
      </c>
      <c r="PQ56" s="56"/>
      <c r="PT56" s="55">
        <f t="shared" si="388"/>
        <v>46068</v>
      </c>
      <c r="PU56" s="56"/>
      <c r="PV56" s="242">
        <f>SUMPRODUCT(PRODUCE!$B69:$DY69,PRODUCE!$EB$55:$IY$55)</f>
        <v>0</v>
      </c>
      <c r="PW56" s="56"/>
      <c r="PX56" s="242">
        <f t="shared" si="389"/>
        <v>0</v>
      </c>
      <c r="PY56" s="242">
        <f t="shared" si="390"/>
        <v>13.960000000000036</v>
      </c>
      <c r="PZ56" s="56"/>
      <c r="QC56" s="55">
        <f t="shared" si="391"/>
        <v>46068</v>
      </c>
      <c r="QD56" s="56"/>
      <c r="QE56" s="242">
        <f>SUMPRODUCT(PRODUCE!$B69:$DY69,PRODUCE!$EB$56:$IY$56)</f>
        <v>0</v>
      </c>
      <c r="QF56" s="56"/>
      <c r="QG56" s="242">
        <f t="shared" si="392"/>
        <v>0</v>
      </c>
      <c r="QH56" s="242">
        <f t="shared" si="393"/>
        <v>0</v>
      </c>
      <c r="QI56" s="56"/>
      <c r="QL56" s="55">
        <f t="shared" si="394"/>
        <v>46068</v>
      </c>
      <c r="QM56" s="56"/>
      <c r="QN56" s="242">
        <f>SUMPRODUCT(PRODUCE!$B69:$DY69,PRODUCE!$EB$57:$IY$57)</f>
        <v>0</v>
      </c>
      <c r="QO56" s="56"/>
      <c r="QP56" s="242">
        <f t="shared" si="395"/>
        <v>0</v>
      </c>
      <c r="QQ56" s="242">
        <f t="shared" si="396"/>
        <v>0</v>
      </c>
      <c r="QR56" s="56"/>
      <c r="QU56" s="55">
        <f t="shared" si="397"/>
        <v>46068</v>
      </c>
      <c r="QV56" s="56"/>
      <c r="QW56" s="242">
        <f>SUMPRODUCT(PRODUCE!$B69:$DY69,PRODUCE!$EB$57:$IY$57)</f>
        <v>0</v>
      </c>
      <c r="QX56" s="56"/>
      <c r="QY56" s="242">
        <f t="shared" si="398"/>
        <v>0</v>
      </c>
      <c r="QZ56" s="242">
        <f t="shared" si="399"/>
        <v>207.6</v>
      </c>
      <c r="RA56" s="56"/>
      <c r="RD56" s="55">
        <f t="shared" si="400"/>
        <v>46068</v>
      </c>
      <c r="RE56" s="56"/>
      <c r="RF56" s="242">
        <f>SUMPRODUCT(PRODUCE!$B69:$DY69,PRODUCE!$EB$58:$IY$58)</f>
        <v>0</v>
      </c>
      <c r="RG56" s="56">
        <v>4.76</v>
      </c>
      <c r="RH56" s="242">
        <f t="shared" si="401"/>
        <v>-4.76</v>
      </c>
      <c r="RI56" s="242">
        <f t="shared" si="402"/>
        <v>197.04000000000002</v>
      </c>
      <c r="RJ56" s="56"/>
      <c r="RM56" s="55">
        <f t="shared" si="403"/>
        <v>46068</v>
      </c>
      <c r="RN56" s="56"/>
      <c r="RO56" s="242">
        <f>SUMPRODUCT(PRODUCE!$B69:$DY69,PRODUCE!$EB$57:$IY$57)</f>
        <v>0</v>
      </c>
      <c r="RP56" s="56"/>
      <c r="RQ56" s="242">
        <f t="shared" si="404"/>
        <v>0</v>
      </c>
      <c r="RR56" s="242">
        <f t="shared" si="405"/>
        <v>46.8</v>
      </c>
      <c r="RS56" s="56"/>
      <c r="RV56" s="55">
        <f t="shared" si="406"/>
        <v>46068</v>
      </c>
      <c r="RW56" s="56"/>
      <c r="RX56" s="242">
        <f>SUMPRODUCT(PRODUCE!$B69:$DY69,PRODUCE!$EB$57:$IY$57)</f>
        <v>0</v>
      </c>
      <c r="RY56" s="56"/>
      <c r="RZ56" s="242">
        <f t="shared" si="407"/>
        <v>0</v>
      </c>
      <c r="SA56" s="242">
        <f t="shared" si="408"/>
        <v>0</v>
      </c>
      <c r="SB56" s="56"/>
      <c r="SE56" s="55">
        <f t="shared" si="409"/>
        <v>46068</v>
      </c>
      <c r="SF56" s="56"/>
      <c r="SG56" s="242">
        <f>SUMPRODUCT(PRODUCE!$B69:$DY69,PRODUCE!$EB$57:$IY$57)</f>
        <v>0</v>
      </c>
      <c r="SH56" s="56"/>
      <c r="SI56" s="242">
        <f t="shared" si="410"/>
        <v>0</v>
      </c>
      <c r="SJ56" s="242">
        <f t="shared" si="411"/>
        <v>0</v>
      </c>
      <c r="SK56" s="56"/>
      <c r="SN56" s="55">
        <f t="shared" si="412"/>
        <v>46068</v>
      </c>
      <c r="SO56" s="56"/>
      <c r="SP56" s="242">
        <f>SUMPRODUCT(PRODUCE!$B69:$DY69,PRODUCE!$EB$57:$IY$57)</f>
        <v>0</v>
      </c>
      <c r="SQ56" s="56"/>
      <c r="SR56" s="242">
        <f t="shared" si="413"/>
        <v>0</v>
      </c>
      <c r="SS56" s="242">
        <f t="shared" si="414"/>
        <v>0</v>
      </c>
      <c r="ST56" s="56"/>
      <c r="SW56" s="55">
        <f t="shared" si="415"/>
        <v>46068</v>
      </c>
      <c r="SX56" s="56"/>
      <c r="SY56" s="242">
        <f>SUMPRODUCT(PRODUCE!$B69:$DY69,PRODUCE!$EB$57:$IY$57)</f>
        <v>0</v>
      </c>
      <c r="SZ56" s="56"/>
      <c r="TA56" s="242">
        <f t="shared" si="416"/>
        <v>0</v>
      </c>
      <c r="TB56" s="242">
        <f t="shared" si="417"/>
        <v>0</v>
      </c>
      <c r="TC56" s="56"/>
      <c r="TF56" s="55">
        <f t="shared" si="418"/>
        <v>46068</v>
      </c>
      <c r="TG56" s="56"/>
      <c r="TH56" s="242">
        <f>SUMPRODUCT(PRODUCE!$B69:$DY69,PRODUCE!$EB$57:$IY$57)</f>
        <v>0</v>
      </c>
      <c r="TI56" s="56"/>
      <c r="TJ56" s="242">
        <f t="shared" si="419"/>
        <v>0</v>
      </c>
      <c r="TK56" s="242">
        <f t="shared" si="420"/>
        <v>0</v>
      </c>
      <c r="TL56" s="56"/>
      <c r="TO56" s="55">
        <f t="shared" si="421"/>
        <v>46068</v>
      </c>
      <c r="TP56" s="56"/>
      <c r="TQ56" s="242">
        <f>SUMPRODUCT(PRODUCE!$B69:$DY69,PRODUCE!$EB$57:$IY$57)</f>
        <v>0</v>
      </c>
      <c r="TR56" s="56"/>
      <c r="TS56" s="242">
        <f t="shared" si="422"/>
        <v>0</v>
      </c>
      <c r="TT56" s="242">
        <f t="shared" si="423"/>
        <v>0</v>
      </c>
      <c r="TU56" s="56"/>
      <c r="TX56" s="55">
        <f t="shared" si="424"/>
        <v>46068</v>
      </c>
      <c r="TY56" s="56"/>
      <c r="TZ56" s="242">
        <f>SUMPRODUCT(PRODUCE!$B69:$DY69,PRODUCE!$EB$57:$IY$57)</f>
        <v>0</v>
      </c>
      <c r="UA56" s="56"/>
      <c r="UB56" s="242">
        <f t="shared" si="425"/>
        <v>0</v>
      </c>
      <c r="UC56" s="242">
        <f t="shared" si="426"/>
        <v>0</v>
      </c>
      <c r="UD56" s="56"/>
      <c r="UG56" s="55">
        <f t="shared" si="427"/>
        <v>46068</v>
      </c>
      <c r="UH56" s="56"/>
      <c r="UI56" s="242">
        <f>SUMPRODUCT(PRODUCE!$B69:$DY69,PRODUCE!$EB$57:$IY$57)</f>
        <v>0</v>
      </c>
      <c r="UJ56" s="56"/>
      <c r="UK56" s="242">
        <f t="shared" si="428"/>
        <v>0</v>
      </c>
      <c r="UL56" s="242">
        <f t="shared" si="429"/>
        <v>0</v>
      </c>
      <c r="UM56" s="56"/>
      <c r="UP56" s="55">
        <f t="shared" si="430"/>
        <v>46068</v>
      </c>
      <c r="UQ56" s="56"/>
      <c r="UR56" s="242">
        <f>SUMPRODUCT(PRODUCE!$B69:$DY69,PRODUCE!$EB$57:$IY$57)</f>
        <v>0</v>
      </c>
      <c r="US56" s="56"/>
      <c r="UT56" s="242">
        <f t="shared" si="431"/>
        <v>0</v>
      </c>
      <c r="UU56" s="242">
        <f t="shared" si="432"/>
        <v>0</v>
      </c>
      <c r="UV56" s="56"/>
      <c r="UY56" s="55">
        <f t="shared" si="433"/>
        <v>46068</v>
      </c>
      <c r="UZ56" s="56"/>
      <c r="VA56" s="242">
        <f>SUMPRODUCT(PRODUCE!$B69:$DY69,PRODUCE!$EB$57:$IY$57)</f>
        <v>0</v>
      </c>
      <c r="VB56" s="56"/>
      <c r="VC56" s="242">
        <f t="shared" si="434"/>
        <v>0</v>
      </c>
      <c r="VD56" s="242">
        <f t="shared" si="435"/>
        <v>41.600000000000023</v>
      </c>
      <c r="VE56" s="56"/>
      <c r="VH56" s="55">
        <f t="shared" si="436"/>
        <v>46068</v>
      </c>
      <c r="VI56" s="56"/>
      <c r="VJ56" s="242">
        <f>SUMPRODUCT(PRODUCE!$B69:$DY69,PRODUCE!$EB$57:$IY$57)</f>
        <v>0</v>
      </c>
      <c r="VK56" s="56"/>
      <c r="VL56" s="242">
        <f t="shared" si="437"/>
        <v>0</v>
      </c>
      <c r="VM56" s="242">
        <f t="shared" si="438"/>
        <v>0</v>
      </c>
      <c r="VN56" s="56"/>
      <c r="VQ56" s="55">
        <f t="shared" si="439"/>
        <v>46068</v>
      </c>
      <c r="VR56" s="56"/>
      <c r="VS56" s="242">
        <f>SUMPRODUCT(PRODUCE!$B69:$DY69,PRODUCE!$EB$57:$IY$57)</f>
        <v>0</v>
      </c>
      <c r="VT56" s="56"/>
      <c r="VU56" s="242">
        <f t="shared" si="440"/>
        <v>0</v>
      </c>
      <c r="VV56" s="242">
        <f t="shared" si="441"/>
        <v>0</v>
      </c>
      <c r="VW56" s="56"/>
      <c r="VZ56" s="55">
        <f t="shared" si="442"/>
        <v>46068</v>
      </c>
      <c r="WA56" s="56"/>
      <c r="WB56" s="242">
        <f>SUMPRODUCT(PRODUCE!$B69:$DY69,PRODUCE!$EB$57:$IY$57)</f>
        <v>0</v>
      </c>
      <c r="WC56" s="56"/>
      <c r="WD56" s="242">
        <f t="shared" si="443"/>
        <v>0</v>
      </c>
      <c r="WE56" s="242">
        <f t="shared" si="444"/>
        <v>0</v>
      </c>
      <c r="WF56" s="56"/>
      <c r="WI56" s="55">
        <f t="shared" si="445"/>
        <v>46068</v>
      </c>
      <c r="WJ56" s="56"/>
      <c r="WK56" s="242">
        <f>SUMPRODUCT(PRODUCE!$B69:$DY69,PRODUCE!$EB$57:$IY$57)</f>
        <v>0</v>
      </c>
      <c r="WL56" s="56"/>
      <c r="WM56" s="242">
        <f t="shared" si="446"/>
        <v>0</v>
      </c>
      <c r="WN56" s="242">
        <f t="shared" si="447"/>
        <v>9035</v>
      </c>
      <c r="WO56" s="56"/>
      <c r="WR56" s="55">
        <f t="shared" si="448"/>
        <v>46068</v>
      </c>
      <c r="WS56" s="56"/>
      <c r="WT56" s="242">
        <f>SUMPRODUCT(PRODUCE!$B69:$DY69,PRODUCE!$EB$57:$IY$57)</f>
        <v>0</v>
      </c>
      <c r="WU56" s="56"/>
      <c r="WV56" s="242">
        <f t="shared" si="449"/>
        <v>0</v>
      </c>
      <c r="WW56" s="242">
        <f t="shared" si="450"/>
        <v>6559</v>
      </c>
      <c r="WX56" s="56"/>
      <c r="XA56" s="55">
        <f t="shared" si="451"/>
        <v>46068</v>
      </c>
      <c r="XB56" s="56"/>
      <c r="XC56" s="242">
        <f>SUMPRODUCT(PRODUCE!$B69:$DY69,PRODUCE!$EB$57:$IY$57)</f>
        <v>0</v>
      </c>
      <c r="XD56" s="56"/>
      <c r="XE56" s="242">
        <f t="shared" si="452"/>
        <v>0</v>
      </c>
      <c r="XF56" s="242">
        <f t="shared" si="453"/>
        <v>590</v>
      </c>
      <c r="XG56" s="56"/>
      <c r="XJ56" s="55">
        <f t="shared" si="454"/>
        <v>46068</v>
      </c>
      <c r="XK56" s="56"/>
      <c r="XL56" s="242">
        <f>SUMPRODUCT(PRODUCE!$B69:$DY69,PRODUCE!$EB$57:$IY$57)</f>
        <v>0</v>
      </c>
      <c r="XM56" s="56"/>
      <c r="XN56" s="242">
        <f t="shared" si="455"/>
        <v>0</v>
      </c>
      <c r="XO56" s="242">
        <f t="shared" si="456"/>
        <v>8852</v>
      </c>
      <c r="XP56" s="56"/>
      <c r="XS56" s="55">
        <f t="shared" si="457"/>
        <v>46068</v>
      </c>
      <c r="XT56" s="56"/>
      <c r="XU56" s="242">
        <f>SUMPRODUCT(PRODUCE!$B69:$DY69,PRODUCE!$EB$57:$IY$57)</f>
        <v>0</v>
      </c>
      <c r="XV56" s="56"/>
      <c r="XW56" s="242">
        <f t="shared" si="458"/>
        <v>0</v>
      </c>
      <c r="XX56" s="242">
        <f t="shared" si="459"/>
        <v>1901</v>
      </c>
      <c r="XY56" s="56"/>
      <c r="YB56" s="55">
        <f t="shared" si="460"/>
        <v>46068</v>
      </c>
      <c r="YC56" s="56"/>
      <c r="YD56" s="242">
        <f>SUMPRODUCT(PRODUCE!$B69:$DY69,PRODUCE!$EB$57:$IY$57)</f>
        <v>0</v>
      </c>
      <c r="YE56" s="56"/>
      <c r="YF56" s="242">
        <f t="shared" si="461"/>
        <v>0</v>
      </c>
      <c r="YG56" s="242">
        <f t="shared" si="462"/>
        <v>-707</v>
      </c>
      <c r="YH56" s="56"/>
      <c r="YK56" s="55">
        <f t="shared" si="463"/>
        <v>46068</v>
      </c>
      <c r="YL56" s="56"/>
      <c r="YM56" s="242">
        <f>SUMPRODUCT(PRODUCE!$B69:$DY69,PRODUCE!$EB$57:$IY$57)</f>
        <v>0</v>
      </c>
      <c r="YN56" s="56"/>
      <c r="YO56" s="242">
        <f t="shared" si="464"/>
        <v>0</v>
      </c>
      <c r="YP56" s="242">
        <f t="shared" si="465"/>
        <v>0</v>
      </c>
      <c r="YQ56" s="56"/>
      <c r="YT56" s="55">
        <f t="shared" si="466"/>
        <v>46068</v>
      </c>
      <c r="YU56" s="56"/>
      <c r="YV56" s="242">
        <f>SUMPRODUCT(PRODUCE!$B69:$DY69,PRODUCE!$EB$57:$IY$57)</f>
        <v>0</v>
      </c>
      <c r="YW56" s="56"/>
      <c r="YX56" s="242">
        <f t="shared" si="467"/>
        <v>0</v>
      </c>
      <c r="YY56" s="242">
        <f t="shared" si="468"/>
        <v>0</v>
      </c>
      <c r="YZ56" s="56"/>
      <c r="ZC56" s="55">
        <f t="shared" si="469"/>
        <v>46068</v>
      </c>
      <c r="ZD56" s="56"/>
      <c r="ZE56" s="242">
        <f>SUMPRODUCT(PRODUCE!$B69:$DY69,PRODUCE!$EB$57:$IY$57)</f>
        <v>0</v>
      </c>
      <c r="ZF56" s="56"/>
      <c r="ZG56" s="242">
        <f t="shared" si="470"/>
        <v>0</v>
      </c>
      <c r="ZH56" s="242">
        <f t="shared" si="471"/>
        <v>0</v>
      </c>
      <c r="ZI56" s="56"/>
      <c r="ZL56" s="55">
        <f t="shared" si="472"/>
        <v>46068</v>
      </c>
      <c r="ZM56" s="56"/>
      <c r="ZN56" s="242">
        <f>SUMPRODUCT(PRODUCE!$B69:$DY69,PRODUCE!$EB$57:$IY$57)</f>
        <v>0</v>
      </c>
      <c r="ZO56" s="56"/>
      <c r="ZP56" s="242">
        <f t="shared" si="473"/>
        <v>0</v>
      </c>
      <c r="ZQ56" s="242">
        <f t="shared" si="474"/>
        <v>0</v>
      </c>
      <c r="ZR56" s="56"/>
      <c r="ZU56" s="55">
        <f t="shared" si="475"/>
        <v>46068</v>
      </c>
      <c r="ZV56" s="56"/>
      <c r="ZW56" s="242">
        <f>SUMPRODUCT(PRODUCE!$B69:$DY69,PRODUCE!$EB$57:$IY$57)</f>
        <v>0</v>
      </c>
      <c r="ZX56" s="56"/>
      <c r="ZY56" s="242">
        <f t="shared" si="476"/>
        <v>0</v>
      </c>
      <c r="ZZ56" s="242">
        <f t="shared" si="477"/>
        <v>0</v>
      </c>
      <c r="AAA56" s="56"/>
      <c r="AAD56" s="55">
        <f t="shared" si="478"/>
        <v>46068</v>
      </c>
      <c r="AAE56" s="56"/>
      <c r="AAF56" s="242">
        <f>SUMPRODUCT(PRODUCE!$B69:$DY69,PRODUCE!$EB$57:$IY$57)</f>
        <v>0</v>
      </c>
      <c r="AAG56" s="56"/>
      <c r="AAH56" s="242">
        <f t="shared" si="479"/>
        <v>0</v>
      </c>
      <c r="AAI56" s="242">
        <f t="shared" si="480"/>
        <v>0</v>
      </c>
      <c r="AAJ56" s="56"/>
      <c r="AAM56" s="55">
        <f t="shared" si="481"/>
        <v>46068</v>
      </c>
      <c r="AAN56" s="56"/>
      <c r="AAO56" s="242">
        <f>SUMPRODUCT(PRODUCE!$B69:$DY69,PRODUCE!$EB$57:$IY$57)</f>
        <v>0</v>
      </c>
      <c r="AAP56" s="56"/>
      <c r="AAQ56" s="242">
        <f t="shared" si="482"/>
        <v>0</v>
      </c>
      <c r="AAR56" s="242">
        <f t="shared" si="483"/>
        <v>0</v>
      </c>
      <c r="AAS56" s="56"/>
      <c r="AAV56" s="55">
        <f t="shared" si="484"/>
        <v>46068</v>
      </c>
      <c r="AAW56" s="56"/>
      <c r="AAX56" s="242">
        <f>SUMPRODUCT(PRODUCE!$B69:$DY69,PRODUCE!$EB$57:$IY$57)</f>
        <v>0</v>
      </c>
      <c r="AAY56" s="56"/>
      <c r="AAZ56" s="242">
        <f t="shared" si="485"/>
        <v>0</v>
      </c>
      <c r="ABA56" s="242">
        <f t="shared" si="486"/>
        <v>0</v>
      </c>
      <c r="ABB56" s="56"/>
      <c r="ABE56" s="55">
        <f t="shared" si="487"/>
        <v>46068</v>
      </c>
      <c r="ABF56" s="56"/>
      <c r="ABG56" s="242">
        <f>SUMPRODUCT(PRODUCE!$B69:$DY69,PRODUCE!$EB$57:$IY$57)</f>
        <v>0</v>
      </c>
      <c r="ABH56" s="56"/>
      <c r="ABI56" s="242">
        <f t="shared" si="488"/>
        <v>0</v>
      </c>
      <c r="ABJ56" s="242">
        <f t="shared" si="489"/>
        <v>0</v>
      </c>
      <c r="ABK56" s="56"/>
    </row>
    <row r="57" spans="2:739" s="54" customFormat="1" ht="15" customHeight="1" outlineLevel="1">
      <c r="B57" s="478">
        <v>30</v>
      </c>
      <c r="C57" s="55">
        <v>46069</v>
      </c>
      <c r="D57" s="422"/>
      <c r="E57" s="424">
        <f>SUMPRODUCT(PRODUCE!$B70:$DY70,PRODUCE!$EB$7:$IY$7)</f>
        <v>16053</v>
      </c>
      <c r="F57" s="422">
        <v>16053</v>
      </c>
      <c r="G57" s="423">
        <f t="shared" si="247"/>
        <v>0</v>
      </c>
      <c r="H57" s="423">
        <f t="shared" si="245"/>
        <v>216639.4</v>
      </c>
      <c r="I57" s="289" t="s">
        <v>206</v>
      </c>
      <c r="L57" s="55">
        <f t="shared" si="246"/>
        <v>46069</v>
      </c>
      <c r="M57" s="422"/>
      <c r="N57" s="439">
        <f>SUMPRODUCT(PRODUCE!$B70:$DY70,PRODUCE!$EB$8:$IY$8)</f>
        <v>9787.5</v>
      </c>
      <c r="O57" s="422">
        <v>9788.4</v>
      </c>
      <c r="P57" s="438">
        <f t="shared" si="248"/>
        <v>-0.8999999999996362</v>
      </c>
      <c r="Q57" s="438">
        <f t="shared" si="249"/>
        <v>115737.60000000003</v>
      </c>
      <c r="R57" s="56"/>
      <c r="U57" s="55">
        <f t="shared" si="250"/>
        <v>46069</v>
      </c>
      <c r="V57" s="422"/>
      <c r="W57" s="441">
        <f>SUMPRODUCT(PRODUCE!$B70:$DY70,PRODUCE!$EB$9:$IY$9)</f>
        <v>750</v>
      </c>
      <c r="X57" s="422">
        <v>751.1</v>
      </c>
      <c r="Y57" s="440">
        <f t="shared" si="251"/>
        <v>-1.1000000000000227</v>
      </c>
      <c r="Z57" s="440">
        <f t="shared" si="252"/>
        <v>52187.099999999984</v>
      </c>
      <c r="AA57" s="56"/>
      <c r="AD57" s="55">
        <f t="shared" si="253"/>
        <v>46069</v>
      </c>
      <c r="AE57" s="422"/>
      <c r="AF57" s="443">
        <f>SUMPRODUCT(PRODUCE!$B70:$DY70,PRODUCE!$EB$10:$IY$10)</f>
        <v>1500</v>
      </c>
      <c r="AG57" s="422">
        <v>1501.1</v>
      </c>
      <c r="AH57" s="442">
        <f t="shared" si="254"/>
        <v>-1.0999999999999091</v>
      </c>
      <c r="AI57" s="442">
        <f t="shared" si="255"/>
        <v>46755.500000000022</v>
      </c>
      <c r="AJ57" s="56"/>
      <c r="AM57" s="55">
        <f t="shared" si="256"/>
        <v>46069</v>
      </c>
      <c r="AN57" s="422"/>
      <c r="AO57" s="445">
        <f>SUMPRODUCT(PRODUCE!$B70:$DY70,PRODUCE!$EB$11:$IY$11)</f>
        <v>0</v>
      </c>
      <c r="AP57" s="422"/>
      <c r="AQ57" s="444">
        <f t="shared" si="257"/>
        <v>0</v>
      </c>
      <c r="AR57" s="444">
        <f t="shared" si="258"/>
        <v>0</v>
      </c>
      <c r="AS57" s="56"/>
      <c r="AV57" s="55">
        <f t="shared" si="259"/>
        <v>46069</v>
      </c>
      <c r="AW57" s="422"/>
      <c r="AX57" s="447">
        <f>SUMPRODUCT(PRODUCE!$B70:$DY70,PRODUCE!$EB$12:$IY$12)</f>
        <v>600</v>
      </c>
      <c r="AY57" s="422">
        <v>601.6</v>
      </c>
      <c r="AZ57" s="446">
        <f t="shared" si="260"/>
        <v>-1.6000000000000227</v>
      </c>
      <c r="BA57" s="446">
        <f t="shared" si="261"/>
        <v>50922.299999999988</v>
      </c>
      <c r="BB57" s="56"/>
      <c r="BE57" s="55">
        <f t="shared" si="262"/>
        <v>46069</v>
      </c>
      <c r="BF57" s="422"/>
      <c r="BG57" s="449">
        <f>SUMPRODUCT(PRODUCE!$B70:$DY70,PRODUCE!$EB$13:$IY$13)</f>
        <v>0</v>
      </c>
      <c r="BH57" s="422"/>
      <c r="BI57" s="448">
        <f t="shared" si="263"/>
        <v>0</v>
      </c>
      <c r="BJ57" s="448">
        <f t="shared" si="264"/>
        <v>23346.800000000007</v>
      </c>
      <c r="BK57" s="56"/>
      <c r="BN57" s="55">
        <f t="shared" si="265"/>
        <v>46069</v>
      </c>
      <c r="BO57" s="422">
        <v>600</v>
      </c>
      <c r="BP57" s="451">
        <f>SUMPRODUCT(PRODUCE!$B70:$DY70,PRODUCE!$EB$14:$IY$14)</f>
        <v>600</v>
      </c>
      <c r="BQ57" s="422">
        <v>600</v>
      </c>
      <c r="BR57" s="450">
        <f t="shared" si="266"/>
        <v>0</v>
      </c>
      <c r="BS57" s="450">
        <f t="shared" si="267"/>
        <v>0</v>
      </c>
      <c r="BT57" s="56"/>
      <c r="BW57" s="55">
        <f t="shared" si="268"/>
        <v>46069</v>
      </c>
      <c r="BX57" s="56"/>
      <c r="BY57" s="81">
        <f>SUMPRODUCT(PRODUCE!$B70:$DY70,PRODUCE!$EB$15:$IY$15)</f>
        <v>67.500000000000014</v>
      </c>
      <c r="BZ57" s="56">
        <v>67.5</v>
      </c>
      <c r="CA57" s="65">
        <f t="shared" si="269"/>
        <v>0</v>
      </c>
      <c r="CB57" s="65">
        <f t="shared" si="270"/>
        <v>931.90000000000009</v>
      </c>
      <c r="CC57" s="56"/>
      <c r="CF57" s="55">
        <f t="shared" si="271"/>
        <v>46069</v>
      </c>
      <c r="CG57" s="56">
        <v>27</v>
      </c>
      <c r="CH57" s="82">
        <f>SUMPRODUCT(PRODUCE!$B70:$DY70,PRODUCE!$EB$16:$IY$16)</f>
        <v>27</v>
      </c>
      <c r="CI57" s="56">
        <v>27</v>
      </c>
      <c r="CJ57" s="66">
        <f t="shared" si="272"/>
        <v>0</v>
      </c>
      <c r="CK57" s="66">
        <f t="shared" si="273"/>
        <v>0</v>
      </c>
      <c r="CL57" s="56"/>
      <c r="CO57" s="55">
        <f t="shared" si="274"/>
        <v>46069</v>
      </c>
      <c r="CP57" s="422"/>
      <c r="CQ57" s="471">
        <f>SUMPRODUCT(PRODUCE!$B70:$DY70,PRODUCE!$EB$17:$IY$17)</f>
        <v>0</v>
      </c>
      <c r="CR57" s="422"/>
      <c r="CS57" s="470">
        <f t="shared" si="275"/>
        <v>0</v>
      </c>
      <c r="CT57" s="470">
        <f t="shared" si="276"/>
        <v>0</v>
      </c>
      <c r="CU57" s="56"/>
      <c r="CX57" s="55">
        <f t="shared" si="277"/>
        <v>46069</v>
      </c>
      <c r="CY57" s="56"/>
      <c r="CZ57" s="136">
        <f>SUMPRODUCT(PRODUCE!$B70:$DY70,PRODUCE!$EB$18:$IY$18)</f>
        <v>0</v>
      </c>
      <c r="DA57" s="56"/>
      <c r="DB57" s="133">
        <f t="shared" si="278"/>
        <v>0</v>
      </c>
      <c r="DC57" s="133">
        <f t="shared" si="279"/>
        <v>27086.799999999999</v>
      </c>
      <c r="DD57" s="56"/>
      <c r="DG57" s="55">
        <f t="shared" si="280"/>
        <v>46069</v>
      </c>
      <c r="DH57" s="56"/>
      <c r="DI57" s="150">
        <f>SUMPRODUCT(PRODUCE!$B70:$DY70,PRODUCE!$EB$19:$IY$19)</f>
        <v>0</v>
      </c>
      <c r="DJ57" s="56"/>
      <c r="DK57" s="147">
        <f t="shared" si="281"/>
        <v>0</v>
      </c>
      <c r="DL57" s="147">
        <f t="shared" si="282"/>
        <v>13431.599999999997</v>
      </c>
      <c r="DM57" s="56"/>
      <c r="DP57" s="55">
        <f t="shared" si="283"/>
        <v>46069</v>
      </c>
      <c r="DQ57" s="56"/>
      <c r="DR57" s="58">
        <f>SUMPRODUCT(PRODUCE!$B70:$DY70,PRODUCE!$EB$20:$IY$20)</f>
        <v>0</v>
      </c>
      <c r="DS57" s="56"/>
      <c r="DT57" s="57">
        <f t="shared" si="284"/>
        <v>0</v>
      </c>
      <c r="DU57" s="57">
        <f t="shared" si="285"/>
        <v>2300</v>
      </c>
      <c r="DV57" s="56"/>
      <c r="DY57" s="55">
        <f t="shared" si="286"/>
        <v>46069</v>
      </c>
      <c r="DZ57" s="56"/>
      <c r="EA57" s="159">
        <f>SUMPRODUCT(PRODUCE!$B70:$DY70,PRODUCE!$EB$21:$IY$21)</f>
        <v>0</v>
      </c>
      <c r="EB57" s="56"/>
      <c r="EC57" s="157">
        <f t="shared" si="287"/>
        <v>0</v>
      </c>
      <c r="ED57" s="157">
        <f t="shared" si="288"/>
        <v>5696.8</v>
      </c>
      <c r="EE57" s="56"/>
      <c r="EH57" s="55">
        <f t="shared" si="289"/>
        <v>46069</v>
      </c>
      <c r="EI57" s="56"/>
      <c r="EJ57" s="164">
        <f>SUMPRODUCT(PRODUCE!$B70:$DY70,PRODUCE!$EB$22:$IY$22)</f>
        <v>0</v>
      </c>
      <c r="EK57" s="56"/>
      <c r="EL57" s="162">
        <f t="shared" si="290"/>
        <v>0</v>
      </c>
      <c r="EM57" s="162">
        <f t="shared" si="291"/>
        <v>0</v>
      </c>
      <c r="EN57" s="56"/>
      <c r="EQ57" s="55">
        <f t="shared" si="292"/>
        <v>46069</v>
      </c>
      <c r="ER57" s="56"/>
      <c r="ES57" s="171">
        <f>SUMPRODUCT(PRODUCE!$B70:$DY70,PRODUCE!$EB$23:$IY$23)</f>
        <v>0</v>
      </c>
      <c r="ET57" s="56"/>
      <c r="EU57" s="135">
        <f t="shared" si="293"/>
        <v>0</v>
      </c>
      <c r="EV57" s="135">
        <f t="shared" si="294"/>
        <v>0</v>
      </c>
      <c r="EW57" s="56"/>
      <c r="EZ57" s="55">
        <f t="shared" si="295"/>
        <v>46069</v>
      </c>
      <c r="FA57" s="56"/>
      <c r="FB57" s="178">
        <f>SUMPRODUCT(PRODUCE!$B70:$DY70,PRODUCE!$EB$24:$IY$24)</f>
        <v>0</v>
      </c>
      <c r="FC57" s="56"/>
      <c r="FD57" s="175">
        <f t="shared" si="296"/>
        <v>0</v>
      </c>
      <c r="FE57" s="175">
        <f t="shared" si="297"/>
        <v>0</v>
      </c>
      <c r="FF57" s="56"/>
      <c r="FI57" s="55">
        <f t="shared" si="298"/>
        <v>46069</v>
      </c>
      <c r="FJ57" s="56"/>
      <c r="FK57" s="184">
        <f>SUMPRODUCT(PRODUCE!$B70:$DY70,PRODUCE!$EB$25:$IY$25)</f>
        <v>0</v>
      </c>
      <c r="FL57" s="56"/>
      <c r="FM57" s="183">
        <f t="shared" si="299"/>
        <v>0</v>
      </c>
      <c r="FN57" s="183">
        <f t="shared" si="300"/>
        <v>0</v>
      </c>
      <c r="FO57" s="56"/>
      <c r="FR57" s="55">
        <f t="shared" si="301"/>
        <v>46069</v>
      </c>
      <c r="FS57" s="422"/>
      <c r="FT57" s="453">
        <f>SUMPRODUCT(PRODUCE!$B70:$DY70,PRODUCE!$EB$26:$IY$26)</f>
        <v>600</v>
      </c>
      <c r="FU57" s="422">
        <f>26*20</f>
        <v>520</v>
      </c>
      <c r="FV57" s="452">
        <f t="shared" si="302"/>
        <v>80</v>
      </c>
      <c r="FW57" s="452">
        <f t="shared" si="303"/>
        <v>1900</v>
      </c>
      <c r="FX57" s="56">
        <f>FU57/20</f>
        <v>26</v>
      </c>
      <c r="GA57" s="55">
        <f t="shared" si="304"/>
        <v>46069</v>
      </c>
      <c r="GB57" s="422"/>
      <c r="GC57" s="455">
        <f>SUMPRODUCT(PRODUCE!$B70:$DY70,PRODUCE!$EB$27:$IY$27)</f>
        <v>0</v>
      </c>
      <c r="GD57" s="422"/>
      <c r="GE57" s="454">
        <f t="shared" si="305"/>
        <v>0</v>
      </c>
      <c r="GF57" s="454">
        <f t="shared" si="306"/>
        <v>5960</v>
      </c>
      <c r="GG57" s="56"/>
      <c r="GI57" s="23"/>
      <c r="GJ57" s="55">
        <f t="shared" si="307"/>
        <v>46069</v>
      </c>
      <c r="GK57" s="422"/>
      <c r="GL57" s="457">
        <f>SUMPRODUCT(PRODUCE!$B70:$DY70,PRODUCE!$EB$28:$IY$28)</f>
        <v>0</v>
      </c>
      <c r="GM57" s="422"/>
      <c r="GN57" s="456">
        <f t="shared" si="308"/>
        <v>0</v>
      </c>
      <c r="GO57" s="456">
        <f t="shared" si="309"/>
        <v>5240</v>
      </c>
      <c r="GP57" s="56"/>
      <c r="GS57" s="55">
        <f t="shared" si="310"/>
        <v>46069</v>
      </c>
      <c r="GT57" s="56"/>
      <c r="GU57" s="196">
        <f>SUMPRODUCT(PRODUCE!$B70:$DY70,PRODUCE!$EB$29:$IY$29)</f>
        <v>0</v>
      </c>
      <c r="GV57" s="56"/>
      <c r="GW57" s="195">
        <f t="shared" si="311"/>
        <v>0</v>
      </c>
      <c r="GX57" s="195">
        <f t="shared" si="312"/>
        <v>0</v>
      </c>
      <c r="GY57" s="56"/>
      <c r="HB57" s="55">
        <f t="shared" si="313"/>
        <v>46069</v>
      </c>
      <c r="HC57" s="56"/>
      <c r="HD57" s="192">
        <f>SUMPRODUCT(PRODUCE!$B70:$DY70,PRODUCE!$EB$30:$IY$30)</f>
        <v>0</v>
      </c>
      <c r="HE57" s="56"/>
      <c r="HF57" s="191">
        <f t="shared" si="314"/>
        <v>0</v>
      </c>
      <c r="HG57" s="191">
        <f t="shared" si="315"/>
        <v>0</v>
      </c>
      <c r="HH57" s="56"/>
      <c r="HK57" s="55">
        <f t="shared" si="316"/>
        <v>46069</v>
      </c>
      <c r="HL57" s="56"/>
      <c r="HM57" s="80">
        <f>SUMPRODUCT(PRODUCE!$B70:$DY70,PRODUCE!$EB$31:$IY$31)</f>
        <v>0</v>
      </c>
      <c r="HN57" s="56"/>
      <c r="HO57" s="63">
        <f t="shared" si="317"/>
        <v>0</v>
      </c>
      <c r="HP57" s="63">
        <f t="shared" si="318"/>
        <v>0</v>
      </c>
      <c r="HQ57" s="56"/>
      <c r="HU57" s="55">
        <f t="shared" si="319"/>
        <v>46069</v>
      </c>
      <c r="HV57" s="56"/>
      <c r="HW57" s="242">
        <f>SUMPRODUCT(PRODUCE!$B70:$DY70,PRODUCE!$EB$32:$IY$32)</f>
        <v>0</v>
      </c>
      <c r="HX57" s="56"/>
      <c r="HY57" s="242">
        <f t="shared" si="320"/>
        <v>0</v>
      </c>
      <c r="HZ57" s="242">
        <f t="shared" si="321"/>
        <v>5120</v>
      </c>
      <c r="IA57" s="56"/>
      <c r="ID57" s="55">
        <f t="shared" si="322"/>
        <v>46069</v>
      </c>
      <c r="IE57" s="56"/>
      <c r="IF57" s="242">
        <f>SUMPRODUCT(PRODUCE!$B70:$DY70,PRODUCE!$EB$33:$IY$33)</f>
        <v>0</v>
      </c>
      <c r="IG57" s="56"/>
      <c r="IH57" s="242">
        <f t="shared" si="323"/>
        <v>0</v>
      </c>
      <c r="II57" s="242">
        <f t="shared" si="324"/>
        <v>5100</v>
      </c>
      <c r="IJ57" s="56"/>
      <c r="IM57" s="55">
        <f t="shared" si="325"/>
        <v>46069</v>
      </c>
      <c r="IN57" s="56"/>
      <c r="IO57" s="242">
        <f>SUMPRODUCT(PRODUCE!$B70:$DY70,PRODUCE!$EB$34:$IY$34)</f>
        <v>0</v>
      </c>
      <c r="IP57" s="56"/>
      <c r="IQ57" s="242">
        <f t="shared" si="326"/>
        <v>0</v>
      </c>
      <c r="IR57" s="242">
        <f t="shared" si="327"/>
        <v>10240</v>
      </c>
      <c r="IS57" s="56"/>
      <c r="IV57" s="55">
        <f t="shared" si="328"/>
        <v>46069</v>
      </c>
      <c r="IW57" s="56"/>
      <c r="IX57" s="242">
        <f>SUMPRODUCT(PRODUCE!$B70:$DY70,PRODUCE!$EB$35:$IY$35)</f>
        <v>0</v>
      </c>
      <c r="IY57" s="56"/>
      <c r="IZ57" s="242">
        <f t="shared" si="329"/>
        <v>0</v>
      </c>
      <c r="JA57" s="242">
        <f t="shared" si="330"/>
        <v>15120</v>
      </c>
      <c r="JB57" s="56"/>
      <c r="JE57" s="55">
        <f t="shared" si="331"/>
        <v>46069</v>
      </c>
      <c r="JF57" s="56"/>
      <c r="JG57" s="242">
        <f>SUMPRODUCT(PRODUCE!$B70:$DY70,PRODUCE!$EB$36:$IY$36)</f>
        <v>0</v>
      </c>
      <c r="JH57" s="56"/>
      <c r="JI57" s="242">
        <f t="shared" si="332"/>
        <v>0</v>
      </c>
      <c r="JJ57" s="242">
        <f t="shared" si="333"/>
        <v>6800</v>
      </c>
      <c r="JK57" s="56"/>
      <c r="JN57" s="55">
        <f t="shared" si="334"/>
        <v>46069</v>
      </c>
      <c r="JO57" s="56"/>
      <c r="JP57" s="242">
        <f>SUMPRODUCT(PRODUCE!$B70:$DY70,PRODUCE!$EB$37:$IY$37)</f>
        <v>0</v>
      </c>
      <c r="JQ57" s="56"/>
      <c r="JR57" s="242">
        <f t="shared" si="335"/>
        <v>0</v>
      </c>
      <c r="JS57" s="242">
        <f t="shared" si="336"/>
        <v>5400</v>
      </c>
      <c r="JT57" s="56"/>
      <c r="JW57" s="55">
        <f t="shared" si="337"/>
        <v>46069</v>
      </c>
      <c r="JX57" s="56"/>
      <c r="JY57" s="242">
        <f>SUMPRODUCT(PRODUCE!$B70:$DY70,PRODUCE!$EB$38:$IY$38)</f>
        <v>0</v>
      </c>
      <c r="JZ57" s="56"/>
      <c r="KA57" s="242">
        <f t="shared" si="338"/>
        <v>0</v>
      </c>
      <c r="KB57" s="242">
        <f t="shared" si="339"/>
        <v>4000</v>
      </c>
      <c r="KC57" s="56"/>
      <c r="KF57" s="55">
        <f t="shared" si="340"/>
        <v>46069</v>
      </c>
      <c r="KG57" s="56"/>
      <c r="KH57" s="242">
        <f>SUMPRODUCT(PRODUCE!$B70:$DY70,PRODUCE!$EB$39:$IY$39)</f>
        <v>0</v>
      </c>
      <c r="KI57" s="56"/>
      <c r="KJ57" s="242">
        <f t="shared" si="341"/>
        <v>0</v>
      </c>
      <c r="KK57" s="242">
        <f t="shared" si="342"/>
        <v>1287</v>
      </c>
      <c r="KL57" s="56"/>
      <c r="KO57" s="55">
        <f t="shared" si="343"/>
        <v>46069</v>
      </c>
      <c r="KP57" s="56"/>
      <c r="KQ57" s="242">
        <f>SUMPRODUCT(PRODUCE!$B70:$DY70,PRODUCE!$EB$40:$IY$40)</f>
        <v>0</v>
      </c>
      <c r="KR57" s="56"/>
      <c r="KS57" s="242">
        <f t="shared" si="344"/>
        <v>0</v>
      </c>
      <c r="KT57" s="242">
        <f t="shared" si="345"/>
        <v>10659.6</v>
      </c>
      <c r="KU57" s="56"/>
      <c r="KW57" s="23"/>
      <c r="KX57" s="55">
        <f t="shared" si="346"/>
        <v>46069</v>
      </c>
      <c r="KY57" s="56"/>
      <c r="KZ57" s="242">
        <f>SUMPRODUCT(PRODUCE!$B70:$DY70,PRODUCE!$EB$41:$IY$41)</f>
        <v>0</v>
      </c>
      <c r="LA57" s="56"/>
      <c r="LB57" s="242">
        <f t="shared" si="347"/>
        <v>0</v>
      </c>
      <c r="LC57" s="242">
        <f t="shared" si="348"/>
        <v>0</v>
      </c>
      <c r="LD57" s="56"/>
      <c r="LG57" s="55">
        <f t="shared" si="349"/>
        <v>46069</v>
      </c>
      <c r="LH57" s="56"/>
      <c r="LI57" s="242">
        <f>SUMPRODUCT(PRODUCE!$B70:$DY70,PRODUCE!$EB$42:$IY$42)</f>
        <v>0</v>
      </c>
      <c r="LJ57" s="56"/>
      <c r="LK57" s="242">
        <f t="shared" si="350"/>
        <v>0</v>
      </c>
      <c r="LL57" s="242">
        <f t="shared" si="351"/>
        <v>0</v>
      </c>
      <c r="LM57" s="56"/>
      <c r="LP57" s="55">
        <f t="shared" si="352"/>
        <v>46069</v>
      </c>
      <c r="LQ57" s="56"/>
      <c r="LR57" s="242">
        <f>SUMPRODUCT(PRODUCE!$B72:$DY72,PRODUCE!$EB$43:$IY$43)</f>
        <v>0</v>
      </c>
      <c r="LS57" s="56"/>
      <c r="LT57" s="242">
        <f t="shared" si="353"/>
        <v>0</v>
      </c>
      <c r="LU57" s="242">
        <f t="shared" si="354"/>
        <v>0</v>
      </c>
      <c r="LV57" s="56"/>
      <c r="LY57" s="55">
        <f t="shared" si="355"/>
        <v>46069</v>
      </c>
      <c r="LZ57" s="56"/>
      <c r="MA57" s="242">
        <f>SUMPRODUCT(PRODUCE!$B72:$DY72,PRODUCE!$EB$44:$IY$44)</f>
        <v>0</v>
      </c>
      <c r="MB57" s="56"/>
      <c r="MC57" s="242">
        <f t="shared" si="356"/>
        <v>0</v>
      </c>
      <c r="MD57" s="242">
        <f t="shared" si="357"/>
        <v>0</v>
      </c>
      <c r="ME57" s="56"/>
      <c r="MH57" s="55">
        <f t="shared" si="358"/>
        <v>46069</v>
      </c>
      <c r="MI57" s="56"/>
      <c r="MJ57" s="242">
        <f>SUMPRODUCT(PRODUCE!$B70:$DY70,PRODUCE!$EB$45:$IY$45)</f>
        <v>0</v>
      </c>
      <c r="MK57" s="56"/>
      <c r="ML57" s="242">
        <f t="shared" si="359"/>
        <v>0</v>
      </c>
      <c r="MM57" s="242">
        <f t="shared" si="360"/>
        <v>0</v>
      </c>
      <c r="MN57" s="56"/>
      <c r="MQ57" s="55">
        <f t="shared" si="361"/>
        <v>46069</v>
      </c>
      <c r="MR57" s="56"/>
      <c r="MS57" s="242">
        <f>SUMPRODUCT(PRODUCE!$B70:$DY70,PRODUCE!$EB$46:$IY$46)</f>
        <v>15</v>
      </c>
      <c r="MT57" s="56">
        <v>15</v>
      </c>
      <c r="MU57" s="242">
        <f t="shared" si="362"/>
        <v>0</v>
      </c>
      <c r="MV57" s="242">
        <f t="shared" si="363"/>
        <v>370</v>
      </c>
      <c r="MW57" s="56"/>
      <c r="MZ57" s="55">
        <f t="shared" si="364"/>
        <v>46069</v>
      </c>
      <c r="NA57" s="56"/>
      <c r="NB57" s="242">
        <f>SUMPRODUCT(PRODUCE!$B70:$DY70,PRODUCE!$EB$47:$IY$47)</f>
        <v>0</v>
      </c>
      <c r="NC57" s="56"/>
      <c r="ND57" s="242">
        <f t="shared" si="365"/>
        <v>0</v>
      </c>
      <c r="NE57" s="242">
        <f t="shared" si="366"/>
        <v>0</v>
      </c>
      <c r="NF57" s="56"/>
      <c r="NI57" s="55">
        <f t="shared" si="367"/>
        <v>46069</v>
      </c>
      <c r="NJ57" s="56"/>
      <c r="NK57" s="242">
        <f>SUMPRODUCT(PRODUCE!$B70:$DY70,PRODUCE!$EB$48:$IY$48)</f>
        <v>0</v>
      </c>
      <c r="NL57" s="56"/>
      <c r="NM57" s="242">
        <f t="shared" si="368"/>
        <v>0</v>
      </c>
      <c r="NN57" s="242">
        <f t="shared" si="369"/>
        <v>0</v>
      </c>
      <c r="NO57" s="56"/>
      <c r="NR57" s="55">
        <f t="shared" si="370"/>
        <v>46069</v>
      </c>
      <c r="NS57" s="56"/>
      <c r="NT57" s="242">
        <f>SUMPRODUCT(PRODUCE!$B70:$DY70,PRODUCE!$EB$49:$IY$49)</f>
        <v>0</v>
      </c>
      <c r="NU57" s="56"/>
      <c r="NV57" s="242">
        <f t="shared" si="371"/>
        <v>0</v>
      </c>
      <c r="NW57" s="242">
        <f t="shared" si="372"/>
        <v>2310</v>
      </c>
      <c r="NX57" s="56"/>
      <c r="OA57" s="55">
        <f t="shared" si="373"/>
        <v>46069</v>
      </c>
      <c r="OB57" s="56"/>
      <c r="OC57" s="242">
        <f>SUMPRODUCT(PRODUCE!$B70:$DY70,PRODUCE!$EB$50:$IY$50)</f>
        <v>0</v>
      </c>
      <c r="OD57" s="56"/>
      <c r="OE57" s="242">
        <f t="shared" si="374"/>
        <v>0</v>
      </c>
      <c r="OF57" s="242">
        <f t="shared" si="375"/>
        <v>1680.5</v>
      </c>
      <c r="OG57" s="56"/>
      <c r="OJ57" s="55">
        <f t="shared" si="376"/>
        <v>46069</v>
      </c>
      <c r="OK57" s="56"/>
      <c r="OL57" s="242">
        <f>SUMPRODUCT(PRODUCE!$B70:$DY70,PRODUCE!$EB$51:$IY$51)</f>
        <v>0</v>
      </c>
      <c r="OM57" s="56"/>
      <c r="ON57" s="242">
        <f t="shared" si="377"/>
        <v>0</v>
      </c>
      <c r="OO57" s="242">
        <f t="shared" si="378"/>
        <v>0</v>
      </c>
      <c r="OP57" s="56"/>
      <c r="OS57" s="55">
        <f t="shared" si="379"/>
        <v>46069</v>
      </c>
      <c r="OT57" s="56"/>
      <c r="OU57" s="242">
        <f>SUMPRODUCT(PRODUCE!$B70:$DY70,PRODUCE!$EB$52:$IY$52)</f>
        <v>0</v>
      </c>
      <c r="OV57" s="56"/>
      <c r="OW57" s="242">
        <f t="shared" si="380"/>
        <v>0</v>
      </c>
      <c r="OX57" s="242">
        <f t="shared" si="381"/>
        <v>0</v>
      </c>
      <c r="OY57" s="56"/>
      <c r="PB57" s="55">
        <f t="shared" si="382"/>
        <v>46069</v>
      </c>
      <c r="PC57" s="56"/>
      <c r="PD57" s="242">
        <f>SUMPRODUCT(PRODUCE!$B70:$DY70,PRODUCE!$EB$53:$IY$53)</f>
        <v>0</v>
      </c>
      <c r="PE57" s="56"/>
      <c r="PF57" s="242">
        <f t="shared" si="383"/>
        <v>0</v>
      </c>
      <c r="PG57" s="242">
        <f t="shared" si="384"/>
        <v>0</v>
      </c>
      <c r="PH57" s="56"/>
      <c r="PK57" s="55">
        <f t="shared" si="385"/>
        <v>46069</v>
      </c>
      <c r="PL57" s="56"/>
      <c r="PM57" s="242">
        <f>SUMPRODUCT(PRODUCE!$B70:$DY70,PRODUCE!$EB$54:$IY$54)</f>
        <v>0</v>
      </c>
      <c r="PN57" s="56"/>
      <c r="PO57" s="242">
        <f t="shared" si="386"/>
        <v>0</v>
      </c>
      <c r="PP57" s="242">
        <f t="shared" si="387"/>
        <v>160</v>
      </c>
      <c r="PQ57" s="56"/>
      <c r="PT57" s="55">
        <f t="shared" si="388"/>
        <v>46069</v>
      </c>
      <c r="PU57" s="56"/>
      <c r="PV57" s="242">
        <f>SUMPRODUCT(PRODUCE!$B70:$DY70,PRODUCE!$EB$55:$IY$55)</f>
        <v>0</v>
      </c>
      <c r="PW57" s="56"/>
      <c r="PX57" s="242">
        <f t="shared" si="389"/>
        <v>0</v>
      </c>
      <c r="PY57" s="242">
        <f t="shared" si="390"/>
        <v>13.960000000000036</v>
      </c>
      <c r="PZ57" s="56"/>
      <c r="QC57" s="55">
        <f t="shared" si="391"/>
        <v>46069</v>
      </c>
      <c r="QD57" s="56"/>
      <c r="QE57" s="242">
        <f>SUMPRODUCT(PRODUCE!$B70:$DY70,PRODUCE!$EB$56:$IY$56)</f>
        <v>0</v>
      </c>
      <c r="QF57" s="56"/>
      <c r="QG57" s="242">
        <f t="shared" si="392"/>
        <v>0</v>
      </c>
      <c r="QH57" s="242">
        <f t="shared" si="393"/>
        <v>0</v>
      </c>
      <c r="QI57" s="56"/>
      <c r="QL57" s="55">
        <f t="shared" si="394"/>
        <v>46069</v>
      </c>
      <c r="QM57" s="56"/>
      <c r="QN57" s="242">
        <f>SUMPRODUCT(PRODUCE!$B70:$DY70,PRODUCE!$EB$57:$IY$57)</f>
        <v>0</v>
      </c>
      <c r="QO57" s="56"/>
      <c r="QP57" s="242">
        <f t="shared" si="395"/>
        <v>0</v>
      </c>
      <c r="QQ57" s="242">
        <f t="shared" si="396"/>
        <v>0</v>
      </c>
      <c r="QR57" s="56"/>
      <c r="QU57" s="55">
        <f t="shared" si="397"/>
        <v>46069</v>
      </c>
      <c r="QV57" s="56"/>
      <c r="QW57" s="242">
        <f>SUMPRODUCT(PRODUCE!$B70:$DY70,PRODUCE!$EB$57:$IY$57)</f>
        <v>0</v>
      </c>
      <c r="QX57" s="56"/>
      <c r="QY57" s="242">
        <f t="shared" si="398"/>
        <v>0</v>
      </c>
      <c r="QZ57" s="242">
        <f t="shared" si="399"/>
        <v>207.6</v>
      </c>
      <c r="RA57" s="56"/>
      <c r="RD57" s="55">
        <f t="shared" si="400"/>
        <v>46069</v>
      </c>
      <c r="RE57" s="56"/>
      <c r="RF57" s="242">
        <f>SUMPRODUCT(PRODUCE!$B70:$DY70,PRODUCE!$EB$58:$IY$58)</f>
        <v>0</v>
      </c>
      <c r="RG57" s="56"/>
      <c r="RH57" s="242">
        <f t="shared" si="401"/>
        <v>0</v>
      </c>
      <c r="RI57" s="242">
        <f t="shared" si="402"/>
        <v>197.04000000000002</v>
      </c>
      <c r="RJ57" s="56"/>
      <c r="RM57" s="55">
        <f t="shared" si="403"/>
        <v>46069</v>
      </c>
      <c r="RN57" s="56"/>
      <c r="RO57" s="242">
        <f>SUMPRODUCT(PRODUCE!$B70:$DY70,PRODUCE!$EB$57:$IY$57)</f>
        <v>0</v>
      </c>
      <c r="RP57" s="56"/>
      <c r="RQ57" s="242">
        <f t="shared" si="404"/>
        <v>0</v>
      </c>
      <c r="RR57" s="242">
        <f t="shared" si="405"/>
        <v>46.8</v>
      </c>
      <c r="RS57" s="56"/>
      <c r="RV57" s="55">
        <f t="shared" si="406"/>
        <v>46069</v>
      </c>
      <c r="RW57" s="56"/>
      <c r="RX57" s="242">
        <f>SUMPRODUCT(PRODUCE!$B70:$DY70,PRODUCE!$EB$57:$IY$57)</f>
        <v>0</v>
      </c>
      <c r="RY57" s="56"/>
      <c r="RZ57" s="242">
        <f t="shared" si="407"/>
        <v>0</v>
      </c>
      <c r="SA57" s="242">
        <f t="shared" si="408"/>
        <v>0</v>
      </c>
      <c r="SB57" s="56"/>
      <c r="SE57" s="55">
        <f t="shared" si="409"/>
        <v>46069</v>
      </c>
      <c r="SF57" s="56"/>
      <c r="SG57" s="242">
        <f>SUMPRODUCT(PRODUCE!$B70:$DY70,PRODUCE!$EB$57:$IY$57)</f>
        <v>0</v>
      </c>
      <c r="SH57" s="56"/>
      <c r="SI57" s="242">
        <f t="shared" si="410"/>
        <v>0</v>
      </c>
      <c r="SJ57" s="242">
        <f t="shared" si="411"/>
        <v>0</v>
      </c>
      <c r="SK57" s="56"/>
      <c r="SN57" s="55">
        <f t="shared" si="412"/>
        <v>46069</v>
      </c>
      <c r="SO57" s="56"/>
      <c r="SP57" s="242">
        <f>SUMPRODUCT(PRODUCE!$B70:$DY70,PRODUCE!$EB$57:$IY$57)</f>
        <v>0</v>
      </c>
      <c r="SQ57" s="56"/>
      <c r="SR57" s="242">
        <f t="shared" si="413"/>
        <v>0</v>
      </c>
      <c r="SS57" s="242">
        <f t="shared" si="414"/>
        <v>0</v>
      </c>
      <c r="ST57" s="56"/>
      <c r="SW57" s="55">
        <f t="shared" si="415"/>
        <v>46069</v>
      </c>
      <c r="SX57" s="56"/>
      <c r="SY57" s="242">
        <f>SUMPRODUCT(PRODUCE!$B70:$DY70,PRODUCE!$EB$57:$IY$57)</f>
        <v>0</v>
      </c>
      <c r="SZ57" s="56"/>
      <c r="TA57" s="242">
        <f t="shared" si="416"/>
        <v>0</v>
      </c>
      <c r="TB57" s="242">
        <f t="shared" si="417"/>
        <v>0</v>
      </c>
      <c r="TC57" s="56"/>
      <c r="TF57" s="55">
        <f t="shared" si="418"/>
        <v>46069</v>
      </c>
      <c r="TG57" s="56"/>
      <c r="TH57" s="242">
        <f>SUMPRODUCT(PRODUCE!$B70:$DY70,PRODUCE!$EB$57:$IY$57)</f>
        <v>0</v>
      </c>
      <c r="TI57" s="56"/>
      <c r="TJ57" s="242">
        <f t="shared" si="419"/>
        <v>0</v>
      </c>
      <c r="TK57" s="242">
        <f t="shared" si="420"/>
        <v>0</v>
      </c>
      <c r="TL57" s="56"/>
      <c r="TO57" s="55">
        <f t="shared" si="421"/>
        <v>46069</v>
      </c>
      <c r="TP57" s="56"/>
      <c r="TQ57" s="242">
        <f>SUMPRODUCT(PRODUCE!$B70:$DY70,PRODUCE!$EB$57:$IY$57)</f>
        <v>0</v>
      </c>
      <c r="TR57" s="56"/>
      <c r="TS57" s="242">
        <f t="shared" si="422"/>
        <v>0</v>
      </c>
      <c r="TT57" s="242">
        <f t="shared" si="423"/>
        <v>0</v>
      </c>
      <c r="TU57" s="56"/>
      <c r="TX57" s="55">
        <f t="shared" si="424"/>
        <v>46069</v>
      </c>
      <c r="TY57" s="56"/>
      <c r="TZ57" s="242">
        <f>SUMPRODUCT(PRODUCE!$B70:$DY70,PRODUCE!$EB$57:$IY$57)</f>
        <v>0</v>
      </c>
      <c r="UA57" s="56"/>
      <c r="UB57" s="242">
        <f t="shared" si="425"/>
        <v>0</v>
      </c>
      <c r="UC57" s="242">
        <f t="shared" si="426"/>
        <v>0</v>
      </c>
      <c r="UD57" s="56"/>
      <c r="UG57" s="55">
        <f t="shared" si="427"/>
        <v>46069</v>
      </c>
      <c r="UH57" s="56"/>
      <c r="UI57" s="242">
        <f>SUMPRODUCT(PRODUCE!$B70:$DY70,PRODUCE!$EB$57:$IY$57)</f>
        <v>0</v>
      </c>
      <c r="UJ57" s="56"/>
      <c r="UK57" s="242">
        <f t="shared" si="428"/>
        <v>0</v>
      </c>
      <c r="UL57" s="242">
        <f t="shared" si="429"/>
        <v>0</v>
      </c>
      <c r="UM57" s="56"/>
      <c r="UP57" s="55">
        <f t="shared" si="430"/>
        <v>46069</v>
      </c>
      <c r="UQ57" s="56"/>
      <c r="UR57" s="242">
        <f>SUMPRODUCT(PRODUCE!$B70:$DY70,PRODUCE!$EB$57:$IY$57)</f>
        <v>0</v>
      </c>
      <c r="US57" s="56"/>
      <c r="UT57" s="242">
        <f t="shared" si="431"/>
        <v>0</v>
      </c>
      <c r="UU57" s="242">
        <f t="shared" si="432"/>
        <v>0</v>
      </c>
      <c r="UV57" s="56"/>
      <c r="UY57" s="55">
        <f t="shared" si="433"/>
        <v>46069</v>
      </c>
      <c r="UZ57" s="56"/>
      <c r="VA57" s="242">
        <f>SUMPRODUCT(PRODUCE!$B70:$DY70,PRODUCE!$EB$57:$IY$57)</f>
        <v>0</v>
      </c>
      <c r="VB57" s="56"/>
      <c r="VC57" s="242">
        <f t="shared" si="434"/>
        <v>0</v>
      </c>
      <c r="VD57" s="242">
        <f t="shared" si="435"/>
        <v>41.600000000000023</v>
      </c>
      <c r="VE57" s="56"/>
      <c r="VH57" s="55">
        <f t="shared" si="436"/>
        <v>46069</v>
      </c>
      <c r="VI57" s="56"/>
      <c r="VJ57" s="242">
        <f>SUMPRODUCT(PRODUCE!$B70:$DY70,PRODUCE!$EB$57:$IY$57)</f>
        <v>0</v>
      </c>
      <c r="VK57" s="56"/>
      <c r="VL57" s="242">
        <f t="shared" si="437"/>
        <v>0</v>
      </c>
      <c r="VM57" s="242">
        <f t="shared" si="438"/>
        <v>0</v>
      </c>
      <c r="VN57" s="56"/>
      <c r="VQ57" s="55">
        <f t="shared" si="439"/>
        <v>46069</v>
      </c>
      <c r="VR57" s="56"/>
      <c r="VS57" s="242">
        <f>SUMPRODUCT(PRODUCE!$B70:$DY70,PRODUCE!$EB$57:$IY$57)</f>
        <v>0</v>
      </c>
      <c r="VT57" s="56"/>
      <c r="VU57" s="242">
        <f t="shared" si="440"/>
        <v>0</v>
      </c>
      <c r="VV57" s="242">
        <f t="shared" si="441"/>
        <v>0</v>
      </c>
      <c r="VW57" s="56"/>
      <c r="VZ57" s="55">
        <f t="shared" si="442"/>
        <v>46069</v>
      </c>
      <c r="WA57" s="56"/>
      <c r="WB57" s="242">
        <f>SUMPRODUCT(PRODUCE!$B70:$DY70,PRODUCE!$EB$57:$IY$57)</f>
        <v>0</v>
      </c>
      <c r="WC57" s="56"/>
      <c r="WD57" s="242">
        <f t="shared" si="443"/>
        <v>0</v>
      </c>
      <c r="WE57" s="242">
        <f t="shared" si="444"/>
        <v>0</v>
      </c>
      <c r="WF57" s="56"/>
      <c r="WI57" s="55">
        <f t="shared" si="445"/>
        <v>46069</v>
      </c>
      <c r="WJ57" s="56"/>
      <c r="WK57" s="242">
        <f>SUMPRODUCT(PRODUCE!$B70:$DY70,PRODUCE!$EB$57:$IY$57)</f>
        <v>0</v>
      </c>
      <c r="WL57" s="56">
        <v>602</v>
      </c>
      <c r="WM57" s="242">
        <f t="shared" si="446"/>
        <v>-602</v>
      </c>
      <c r="WN57" s="242">
        <f t="shared" si="447"/>
        <v>8433</v>
      </c>
      <c r="WO57" s="56"/>
      <c r="WR57" s="55">
        <f t="shared" si="448"/>
        <v>46069</v>
      </c>
      <c r="WS57" s="56"/>
      <c r="WT57" s="242">
        <f>SUMPRODUCT(PRODUCE!$B70:$DY70,PRODUCE!$EB$57:$IY$57)</f>
        <v>0</v>
      </c>
      <c r="WU57" s="56"/>
      <c r="WV57" s="242">
        <f t="shared" si="449"/>
        <v>0</v>
      </c>
      <c r="WW57" s="242">
        <f t="shared" si="450"/>
        <v>6559</v>
      </c>
      <c r="WX57" s="56"/>
      <c r="XA57" s="55">
        <f t="shared" si="451"/>
        <v>46069</v>
      </c>
      <c r="XB57" s="56"/>
      <c r="XC57" s="242">
        <f>SUMPRODUCT(PRODUCE!$B70:$DY70,PRODUCE!$EB$57:$IY$57)</f>
        <v>0</v>
      </c>
      <c r="XD57" s="56"/>
      <c r="XE57" s="242">
        <f t="shared" si="452"/>
        <v>0</v>
      </c>
      <c r="XF57" s="242">
        <f t="shared" si="453"/>
        <v>590</v>
      </c>
      <c r="XG57" s="56"/>
      <c r="XJ57" s="55">
        <f t="shared" si="454"/>
        <v>46069</v>
      </c>
      <c r="XK57" s="56"/>
      <c r="XL57" s="242">
        <f>SUMPRODUCT(PRODUCE!$B70:$DY70,PRODUCE!$EB$57:$IY$57)</f>
        <v>0</v>
      </c>
      <c r="XM57" s="56"/>
      <c r="XN57" s="242">
        <f t="shared" si="455"/>
        <v>0</v>
      </c>
      <c r="XO57" s="242">
        <f t="shared" si="456"/>
        <v>8852</v>
      </c>
      <c r="XP57" s="56"/>
      <c r="XS57" s="55">
        <f t="shared" si="457"/>
        <v>46069</v>
      </c>
      <c r="XT57" s="56"/>
      <c r="XU57" s="242">
        <f>SUMPRODUCT(PRODUCE!$B70:$DY70,PRODUCE!$EB$57:$IY$57)</f>
        <v>0</v>
      </c>
      <c r="XV57" s="56"/>
      <c r="XW57" s="242">
        <f t="shared" si="458"/>
        <v>0</v>
      </c>
      <c r="XX57" s="242">
        <f t="shared" si="459"/>
        <v>1901</v>
      </c>
      <c r="XY57" s="56"/>
      <c r="YB57" s="55">
        <f t="shared" si="460"/>
        <v>46069</v>
      </c>
      <c r="YC57" s="56"/>
      <c r="YD57" s="242">
        <f>SUMPRODUCT(PRODUCE!$B70:$DY70,PRODUCE!$EB$57:$IY$57)</f>
        <v>0</v>
      </c>
      <c r="YE57" s="56"/>
      <c r="YF57" s="242">
        <f t="shared" si="461"/>
        <v>0</v>
      </c>
      <c r="YG57" s="242">
        <f t="shared" si="462"/>
        <v>-707</v>
      </c>
      <c r="YH57" s="56"/>
      <c r="YK57" s="55">
        <f t="shared" si="463"/>
        <v>46069</v>
      </c>
      <c r="YL57" s="56"/>
      <c r="YM57" s="242">
        <f>SUMPRODUCT(PRODUCE!$B70:$DY70,PRODUCE!$EB$57:$IY$57)</f>
        <v>0</v>
      </c>
      <c r="YN57" s="56"/>
      <c r="YO57" s="242">
        <f t="shared" si="464"/>
        <v>0</v>
      </c>
      <c r="YP57" s="242">
        <f t="shared" si="465"/>
        <v>0</v>
      </c>
      <c r="YQ57" s="56"/>
      <c r="YT57" s="55">
        <f t="shared" si="466"/>
        <v>46069</v>
      </c>
      <c r="YU57" s="56"/>
      <c r="YV57" s="242">
        <f>SUMPRODUCT(PRODUCE!$B70:$DY70,PRODUCE!$EB$57:$IY$57)</f>
        <v>0</v>
      </c>
      <c r="YW57" s="56"/>
      <c r="YX57" s="242">
        <f t="shared" si="467"/>
        <v>0</v>
      </c>
      <c r="YY57" s="242">
        <f t="shared" si="468"/>
        <v>0</v>
      </c>
      <c r="YZ57" s="56"/>
      <c r="ZC57" s="55">
        <f t="shared" si="469"/>
        <v>46069</v>
      </c>
      <c r="ZD57" s="56"/>
      <c r="ZE57" s="242">
        <f>SUMPRODUCT(PRODUCE!$B70:$DY70,PRODUCE!$EB$57:$IY$57)</f>
        <v>0</v>
      </c>
      <c r="ZF57" s="56"/>
      <c r="ZG57" s="242">
        <f t="shared" si="470"/>
        <v>0</v>
      </c>
      <c r="ZH57" s="242">
        <f t="shared" si="471"/>
        <v>0</v>
      </c>
      <c r="ZI57" s="56"/>
      <c r="ZL57" s="55">
        <f t="shared" si="472"/>
        <v>46069</v>
      </c>
      <c r="ZM57" s="56"/>
      <c r="ZN57" s="242">
        <f>SUMPRODUCT(PRODUCE!$B70:$DY70,PRODUCE!$EB$57:$IY$57)</f>
        <v>0</v>
      </c>
      <c r="ZO57" s="56"/>
      <c r="ZP57" s="242">
        <f t="shared" si="473"/>
        <v>0</v>
      </c>
      <c r="ZQ57" s="242">
        <f t="shared" si="474"/>
        <v>0</v>
      </c>
      <c r="ZR57" s="56"/>
      <c r="ZU57" s="55">
        <f t="shared" si="475"/>
        <v>46069</v>
      </c>
      <c r="ZV57" s="56"/>
      <c r="ZW57" s="242">
        <f>SUMPRODUCT(PRODUCE!$B70:$DY70,PRODUCE!$EB$57:$IY$57)</f>
        <v>0</v>
      </c>
      <c r="ZX57" s="56"/>
      <c r="ZY57" s="242">
        <f t="shared" si="476"/>
        <v>0</v>
      </c>
      <c r="ZZ57" s="242">
        <f t="shared" si="477"/>
        <v>0</v>
      </c>
      <c r="AAA57" s="56"/>
      <c r="AAD57" s="55">
        <f t="shared" si="478"/>
        <v>46069</v>
      </c>
      <c r="AAE57" s="56"/>
      <c r="AAF57" s="242">
        <f>SUMPRODUCT(PRODUCE!$B70:$DY70,PRODUCE!$EB$57:$IY$57)</f>
        <v>0</v>
      </c>
      <c r="AAG57" s="56"/>
      <c r="AAH57" s="242">
        <f t="shared" si="479"/>
        <v>0</v>
      </c>
      <c r="AAI57" s="242">
        <f t="shared" si="480"/>
        <v>0</v>
      </c>
      <c r="AAJ57" s="56"/>
      <c r="AAM57" s="55">
        <f t="shared" si="481"/>
        <v>46069</v>
      </c>
      <c r="AAN57" s="56"/>
      <c r="AAO57" s="242">
        <f>SUMPRODUCT(PRODUCE!$B70:$DY70,PRODUCE!$EB$57:$IY$57)</f>
        <v>0</v>
      </c>
      <c r="AAP57" s="56"/>
      <c r="AAQ57" s="242">
        <f t="shared" si="482"/>
        <v>0</v>
      </c>
      <c r="AAR57" s="242">
        <f t="shared" si="483"/>
        <v>0</v>
      </c>
      <c r="AAS57" s="56"/>
      <c r="AAV57" s="55">
        <f t="shared" si="484"/>
        <v>46069</v>
      </c>
      <c r="AAW57" s="56"/>
      <c r="AAX57" s="242">
        <f>SUMPRODUCT(PRODUCE!$B70:$DY70,PRODUCE!$EB$57:$IY$57)</f>
        <v>0</v>
      </c>
      <c r="AAY57" s="56"/>
      <c r="AAZ57" s="242">
        <f t="shared" si="485"/>
        <v>0</v>
      </c>
      <c r="ABA57" s="242">
        <f t="shared" si="486"/>
        <v>0</v>
      </c>
      <c r="ABB57" s="56"/>
      <c r="ABE57" s="55">
        <f t="shared" si="487"/>
        <v>46069</v>
      </c>
      <c r="ABF57" s="56"/>
      <c r="ABG57" s="242">
        <f>SUMPRODUCT(PRODUCE!$B70:$DY70,PRODUCE!$EB$57:$IY$57)</f>
        <v>0</v>
      </c>
      <c r="ABH57" s="56"/>
      <c r="ABI57" s="242">
        <f t="shared" si="488"/>
        <v>0</v>
      </c>
      <c r="ABJ57" s="242">
        <f t="shared" si="489"/>
        <v>0</v>
      </c>
      <c r="ABK57" s="56"/>
    </row>
    <row r="58" spans="2:739" s="54" customFormat="1" ht="15" customHeight="1" outlineLevel="1">
      <c r="B58" s="478"/>
      <c r="C58" s="55">
        <v>46070</v>
      </c>
      <c r="D58" s="422"/>
      <c r="E58" s="424">
        <f>SUMPRODUCT(PRODUCE!$B71:$DY71,PRODUCE!$EB$7:$IY$7)</f>
        <v>0</v>
      </c>
      <c r="F58" s="422"/>
      <c r="G58" s="423">
        <f t="shared" si="247"/>
        <v>0</v>
      </c>
      <c r="H58" s="423">
        <f t="shared" si="245"/>
        <v>216639.4</v>
      </c>
      <c r="I58" s="324"/>
      <c r="L58" s="55">
        <f t="shared" si="246"/>
        <v>46070</v>
      </c>
      <c r="M58" s="422"/>
      <c r="N58" s="439">
        <f>SUMPRODUCT(PRODUCE!$B71:$DY71,PRODUCE!$EB$8:$IY$8)</f>
        <v>0</v>
      </c>
      <c r="O58" s="422"/>
      <c r="P58" s="438">
        <f t="shared" si="248"/>
        <v>0</v>
      </c>
      <c r="Q58" s="438">
        <f t="shared" si="249"/>
        <v>115737.60000000003</v>
      </c>
      <c r="R58" s="56"/>
      <c r="U58" s="55">
        <f t="shared" si="250"/>
        <v>46070</v>
      </c>
      <c r="V58" s="422"/>
      <c r="W58" s="441">
        <f>SUMPRODUCT(PRODUCE!$B71:$DY71,PRODUCE!$EB$9:$IY$9)</f>
        <v>0</v>
      </c>
      <c r="X58" s="422"/>
      <c r="Y58" s="440">
        <f t="shared" si="251"/>
        <v>0</v>
      </c>
      <c r="Z58" s="440">
        <f t="shared" si="252"/>
        <v>52187.099999999984</v>
      </c>
      <c r="AA58" s="56"/>
      <c r="AD58" s="55">
        <f t="shared" si="253"/>
        <v>46070</v>
      </c>
      <c r="AE58" s="422"/>
      <c r="AF58" s="443">
        <f>SUMPRODUCT(PRODUCE!$B71:$DY71,PRODUCE!$EB$10:$IY$10)</f>
        <v>0</v>
      </c>
      <c r="AG58" s="422"/>
      <c r="AH58" s="442">
        <f t="shared" si="254"/>
        <v>0</v>
      </c>
      <c r="AI58" s="442">
        <f t="shared" si="255"/>
        <v>46755.500000000022</v>
      </c>
      <c r="AJ58" s="56"/>
      <c r="AM58" s="55">
        <f t="shared" si="256"/>
        <v>46070</v>
      </c>
      <c r="AN58" s="422"/>
      <c r="AO58" s="445">
        <f>SUMPRODUCT(PRODUCE!$B71:$DY71,PRODUCE!$EB$11:$IY$11)</f>
        <v>0</v>
      </c>
      <c r="AP58" s="422"/>
      <c r="AQ58" s="444">
        <f t="shared" si="257"/>
        <v>0</v>
      </c>
      <c r="AR58" s="444">
        <f t="shared" si="258"/>
        <v>0</v>
      </c>
      <c r="AS58" s="56"/>
      <c r="AV58" s="55">
        <f t="shared" si="259"/>
        <v>46070</v>
      </c>
      <c r="AW58" s="422"/>
      <c r="AX58" s="447">
        <f>SUMPRODUCT(PRODUCE!$B71:$DY71,PRODUCE!$EB$12:$IY$12)</f>
        <v>0</v>
      </c>
      <c r="AY58" s="422"/>
      <c r="AZ58" s="446">
        <f t="shared" si="260"/>
        <v>0</v>
      </c>
      <c r="BA58" s="446">
        <f t="shared" si="261"/>
        <v>50922.299999999988</v>
      </c>
      <c r="BB58" s="56"/>
      <c r="BE58" s="55">
        <f t="shared" si="262"/>
        <v>46070</v>
      </c>
      <c r="BF58" s="422"/>
      <c r="BG58" s="449">
        <f>SUMPRODUCT(PRODUCE!$B71:$DY71,PRODUCE!$EB$13:$IY$13)</f>
        <v>0</v>
      </c>
      <c r="BH58" s="422"/>
      <c r="BI58" s="448">
        <f t="shared" si="263"/>
        <v>0</v>
      </c>
      <c r="BJ58" s="448">
        <f t="shared" si="264"/>
        <v>23346.800000000007</v>
      </c>
      <c r="BK58" s="56"/>
      <c r="BN58" s="55">
        <f t="shared" si="265"/>
        <v>46070</v>
      </c>
      <c r="BO58" s="422"/>
      <c r="BP58" s="451">
        <f>SUMPRODUCT(PRODUCE!$B71:$DY71,PRODUCE!$EB$14:$IY$14)</f>
        <v>0</v>
      </c>
      <c r="BQ58" s="422"/>
      <c r="BR58" s="450">
        <f t="shared" si="266"/>
        <v>0</v>
      </c>
      <c r="BS58" s="450">
        <f t="shared" si="267"/>
        <v>0</v>
      </c>
      <c r="BT58" s="56"/>
      <c r="BW58" s="55">
        <f t="shared" si="268"/>
        <v>46070</v>
      </c>
      <c r="BX58" s="56"/>
      <c r="BY58" s="81">
        <f>SUMPRODUCT(PRODUCE!$B71:$DY71,PRODUCE!$EB$15:$IY$15)</f>
        <v>0</v>
      </c>
      <c r="BZ58" s="56"/>
      <c r="CA58" s="65">
        <f t="shared" si="269"/>
        <v>0</v>
      </c>
      <c r="CB58" s="65">
        <f t="shared" si="270"/>
        <v>931.90000000000009</v>
      </c>
      <c r="CC58" s="56"/>
      <c r="CF58" s="55">
        <f t="shared" si="271"/>
        <v>46070</v>
      </c>
      <c r="CG58" s="56"/>
      <c r="CH58" s="82">
        <f>SUMPRODUCT(PRODUCE!$B71:$DY71,PRODUCE!$EB$16:$IY$16)</f>
        <v>0</v>
      </c>
      <c r="CI58" s="56"/>
      <c r="CJ58" s="66">
        <f t="shared" si="272"/>
        <v>0</v>
      </c>
      <c r="CK58" s="66">
        <f t="shared" si="273"/>
        <v>0</v>
      </c>
      <c r="CL58" s="56"/>
      <c r="CO58" s="55">
        <f t="shared" si="274"/>
        <v>46070</v>
      </c>
      <c r="CP58" s="422"/>
      <c r="CQ58" s="471">
        <f>SUMPRODUCT(PRODUCE!$B71:$DY71,PRODUCE!$EB$17:$IY$17)</f>
        <v>0</v>
      </c>
      <c r="CR58" s="422"/>
      <c r="CS58" s="470">
        <f t="shared" si="275"/>
        <v>0</v>
      </c>
      <c r="CT58" s="470">
        <f t="shared" si="276"/>
        <v>0</v>
      </c>
      <c r="CU58" s="56"/>
      <c r="CX58" s="55">
        <f t="shared" si="277"/>
        <v>46070</v>
      </c>
      <c r="CY58" s="56"/>
      <c r="CZ58" s="136">
        <f>SUMPRODUCT(PRODUCE!$B71:$DY71,PRODUCE!$EB$18:$IY$18)</f>
        <v>0</v>
      </c>
      <c r="DA58" s="56"/>
      <c r="DB58" s="133">
        <f t="shared" si="278"/>
        <v>0</v>
      </c>
      <c r="DC58" s="133">
        <f t="shared" si="279"/>
        <v>27086.799999999999</v>
      </c>
      <c r="DD58" s="56"/>
      <c r="DG58" s="55">
        <f t="shared" si="280"/>
        <v>46070</v>
      </c>
      <c r="DH58" s="56"/>
      <c r="DI58" s="150">
        <f>SUMPRODUCT(PRODUCE!$B71:$DY71,PRODUCE!$EB$19:$IY$19)</f>
        <v>0</v>
      </c>
      <c r="DJ58" s="56"/>
      <c r="DK58" s="147">
        <f t="shared" si="281"/>
        <v>0</v>
      </c>
      <c r="DL58" s="147">
        <f t="shared" si="282"/>
        <v>13431.599999999997</v>
      </c>
      <c r="DM58" s="56"/>
      <c r="DP58" s="55">
        <f t="shared" si="283"/>
        <v>46070</v>
      </c>
      <c r="DQ58" s="56"/>
      <c r="DR58" s="58">
        <f>SUMPRODUCT(PRODUCE!$B71:$DY71,PRODUCE!$EB$20:$IY$20)</f>
        <v>0</v>
      </c>
      <c r="DS58" s="56"/>
      <c r="DT58" s="57">
        <f t="shared" si="284"/>
        <v>0</v>
      </c>
      <c r="DU58" s="57">
        <f t="shared" si="285"/>
        <v>2300</v>
      </c>
      <c r="DV58" s="56"/>
      <c r="DY58" s="55">
        <f t="shared" si="286"/>
        <v>46070</v>
      </c>
      <c r="DZ58" s="56"/>
      <c r="EA58" s="159">
        <f>SUMPRODUCT(PRODUCE!$B71:$DY71,PRODUCE!$EB$21:$IY$21)</f>
        <v>0</v>
      </c>
      <c r="EB58" s="56"/>
      <c r="EC58" s="157">
        <f t="shared" si="287"/>
        <v>0</v>
      </c>
      <c r="ED58" s="157">
        <f t="shared" si="288"/>
        <v>5696.8</v>
      </c>
      <c r="EE58" s="56"/>
      <c r="EH58" s="55">
        <f t="shared" si="289"/>
        <v>46070</v>
      </c>
      <c r="EI58" s="56"/>
      <c r="EJ58" s="164">
        <f>SUMPRODUCT(PRODUCE!$B71:$DY71,PRODUCE!$EB$22:$IY$22)</f>
        <v>0</v>
      </c>
      <c r="EK58" s="56"/>
      <c r="EL58" s="162">
        <f t="shared" si="290"/>
        <v>0</v>
      </c>
      <c r="EM58" s="162">
        <f t="shared" si="291"/>
        <v>0</v>
      </c>
      <c r="EN58" s="56"/>
      <c r="EQ58" s="55">
        <f t="shared" si="292"/>
        <v>46070</v>
      </c>
      <c r="ER58" s="56"/>
      <c r="ES58" s="171">
        <f>SUMPRODUCT(PRODUCE!$B71:$DY71,PRODUCE!$EB$23:$IY$23)</f>
        <v>0</v>
      </c>
      <c r="ET58" s="56"/>
      <c r="EU58" s="135">
        <f t="shared" si="293"/>
        <v>0</v>
      </c>
      <c r="EV58" s="135">
        <f t="shared" si="294"/>
        <v>0</v>
      </c>
      <c r="EW58" s="56"/>
      <c r="EZ58" s="55">
        <f t="shared" si="295"/>
        <v>46070</v>
      </c>
      <c r="FA58" s="56"/>
      <c r="FB58" s="178">
        <f>SUMPRODUCT(PRODUCE!$B71:$DY71,PRODUCE!$EB$24:$IY$24)</f>
        <v>0</v>
      </c>
      <c r="FC58" s="56"/>
      <c r="FD58" s="175">
        <f t="shared" si="296"/>
        <v>0</v>
      </c>
      <c r="FE58" s="175">
        <f t="shared" si="297"/>
        <v>0</v>
      </c>
      <c r="FF58" s="56"/>
      <c r="FI58" s="55">
        <f t="shared" si="298"/>
        <v>46070</v>
      </c>
      <c r="FJ58" s="56"/>
      <c r="FK58" s="184">
        <f>SUMPRODUCT(PRODUCE!$B71:$DY71,PRODUCE!$EB$25:$IY$25)</f>
        <v>0</v>
      </c>
      <c r="FL58" s="56"/>
      <c r="FM58" s="183">
        <f t="shared" si="299"/>
        <v>0</v>
      </c>
      <c r="FN58" s="183">
        <f t="shared" si="300"/>
        <v>0</v>
      </c>
      <c r="FO58" s="56"/>
      <c r="FR58" s="55">
        <f t="shared" si="301"/>
        <v>46070</v>
      </c>
      <c r="FS58" s="422"/>
      <c r="FT58" s="453">
        <f>SUMPRODUCT(PRODUCE!$B71:$DY71,PRODUCE!$EB$26:$IY$26)</f>
        <v>0</v>
      </c>
      <c r="FU58" s="422"/>
      <c r="FV58" s="452">
        <f t="shared" si="302"/>
        <v>0</v>
      </c>
      <c r="FW58" s="452">
        <f t="shared" si="303"/>
        <v>1900</v>
      </c>
      <c r="FX58" s="56"/>
      <c r="GA58" s="55">
        <f t="shared" si="304"/>
        <v>46070</v>
      </c>
      <c r="GB58" s="422"/>
      <c r="GC58" s="455">
        <f>SUMPRODUCT(PRODUCE!$B71:$DY71,PRODUCE!$EB$27:$IY$27)</f>
        <v>0</v>
      </c>
      <c r="GD58" s="422"/>
      <c r="GE58" s="454">
        <f t="shared" si="305"/>
        <v>0</v>
      </c>
      <c r="GF58" s="454">
        <f t="shared" si="306"/>
        <v>5960</v>
      </c>
      <c r="GG58" s="56"/>
      <c r="GI58" s="23"/>
      <c r="GJ58" s="55">
        <f t="shared" si="307"/>
        <v>46070</v>
      </c>
      <c r="GK58" s="422"/>
      <c r="GL58" s="457">
        <f>SUMPRODUCT(PRODUCE!$B71:$DY71,PRODUCE!$EB$28:$IY$28)</f>
        <v>0</v>
      </c>
      <c r="GM58" s="422"/>
      <c r="GN58" s="456">
        <f t="shared" si="308"/>
        <v>0</v>
      </c>
      <c r="GO58" s="456">
        <f t="shared" si="309"/>
        <v>5240</v>
      </c>
      <c r="GP58" s="56"/>
      <c r="GS58" s="55">
        <f t="shared" si="310"/>
        <v>46070</v>
      </c>
      <c r="GT58" s="56"/>
      <c r="GU58" s="196">
        <f>SUMPRODUCT(PRODUCE!$B71:$DY71,PRODUCE!$EB$29:$IY$29)</f>
        <v>0</v>
      </c>
      <c r="GV58" s="56"/>
      <c r="GW58" s="195">
        <f t="shared" si="311"/>
        <v>0</v>
      </c>
      <c r="GX58" s="195">
        <f t="shared" si="312"/>
        <v>0</v>
      </c>
      <c r="GY58" s="56"/>
      <c r="HB58" s="55">
        <f t="shared" si="313"/>
        <v>46070</v>
      </c>
      <c r="HC58" s="56"/>
      <c r="HD58" s="192">
        <f>SUMPRODUCT(PRODUCE!$B71:$DY71,PRODUCE!$EB$30:$IY$30)</f>
        <v>0</v>
      </c>
      <c r="HE58" s="56"/>
      <c r="HF58" s="191">
        <f t="shared" si="314"/>
        <v>0</v>
      </c>
      <c r="HG58" s="191">
        <f t="shared" si="315"/>
        <v>0</v>
      </c>
      <c r="HH58" s="56"/>
      <c r="HK58" s="55">
        <f t="shared" si="316"/>
        <v>46070</v>
      </c>
      <c r="HL58" s="56"/>
      <c r="HM58" s="80">
        <f>SUMPRODUCT(PRODUCE!$B71:$DY71,PRODUCE!$EB$31:$IY$31)</f>
        <v>0</v>
      </c>
      <c r="HN58" s="56"/>
      <c r="HO58" s="63">
        <f t="shared" si="317"/>
        <v>0</v>
      </c>
      <c r="HP58" s="63">
        <f t="shared" si="318"/>
        <v>0</v>
      </c>
      <c r="HQ58" s="56"/>
      <c r="HU58" s="55">
        <f t="shared" si="319"/>
        <v>46070</v>
      </c>
      <c r="HV58" s="56"/>
      <c r="HW58" s="242">
        <f>SUMPRODUCT(PRODUCE!$B71:$DY71,PRODUCE!$EB$32:$IY$32)</f>
        <v>0</v>
      </c>
      <c r="HX58" s="56"/>
      <c r="HY58" s="242">
        <f t="shared" si="320"/>
        <v>0</v>
      </c>
      <c r="HZ58" s="242">
        <f t="shared" si="321"/>
        <v>5120</v>
      </c>
      <c r="IA58" s="56"/>
      <c r="ID58" s="55">
        <f t="shared" si="322"/>
        <v>46070</v>
      </c>
      <c r="IE58" s="56"/>
      <c r="IF58" s="242">
        <f>SUMPRODUCT(PRODUCE!$B71:$DY71,PRODUCE!$EB$33:$IY$33)</f>
        <v>0</v>
      </c>
      <c r="IG58" s="56"/>
      <c r="IH58" s="242">
        <f t="shared" si="323"/>
        <v>0</v>
      </c>
      <c r="II58" s="242">
        <f t="shared" si="324"/>
        <v>5100</v>
      </c>
      <c r="IJ58" s="56"/>
      <c r="IM58" s="55">
        <f t="shared" si="325"/>
        <v>46070</v>
      </c>
      <c r="IN58" s="56"/>
      <c r="IO58" s="242">
        <f>SUMPRODUCT(PRODUCE!$B71:$DY71,PRODUCE!$EB$34:$IY$34)</f>
        <v>0</v>
      </c>
      <c r="IP58" s="56"/>
      <c r="IQ58" s="242">
        <f t="shared" si="326"/>
        <v>0</v>
      </c>
      <c r="IR58" s="242">
        <f t="shared" si="327"/>
        <v>10240</v>
      </c>
      <c r="IS58" s="56"/>
      <c r="IV58" s="55">
        <f t="shared" si="328"/>
        <v>46070</v>
      </c>
      <c r="IW58" s="56"/>
      <c r="IX58" s="242">
        <f>SUMPRODUCT(PRODUCE!$B71:$DY71,PRODUCE!$EB$35:$IY$35)</f>
        <v>0</v>
      </c>
      <c r="IY58" s="56"/>
      <c r="IZ58" s="242">
        <f t="shared" si="329"/>
        <v>0</v>
      </c>
      <c r="JA58" s="242">
        <f t="shared" si="330"/>
        <v>15120</v>
      </c>
      <c r="JB58" s="56"/>
      <c r="JE58" s="55">
        <f t="shared" si="331"/>
        <v>46070</v>
      </c>
      <c r="JF58" s="56"/>
      <c r="JG58" s="242">
        <f>SUMPRODUCT(PRODUCE!$B71:$DY71,PRODUCE!$EB$36:$IY$36)</f>
        <v>0</v>
      </c>
      <c r="JH58" s="56">
        <v>3200</v>
      </c>
      <c r="JI58" s="242">
        <f t="shared" si="332"/>
        <v>-3200</v>
      </c>
      <c r="JJ58" s="242">
        <f t="shared" si="333"/>
        <v>3600</v>
      </c>
      <c r="JK58" s="56"/>
      <c r="JN58" s="55">
        <f t="shared" si="334"/>
        <v>46070</v>
      </c>
      <c r="JO58" s="56"/>
      <c r="JP58" s="242">
        <f>SUMPRODUCT(PRODUCE!$B71:$DY71,PRODUCE!$EB$37:$IY$37)</f>
        <v>0</v>
      </c>
      <c r="JQ58" s="56"/>
      <c r="JR58" s="242">
        <f t="shared" si="335"/>
        <v>0</v>
      </c>
      <c r="JS58" s="242">
        <f t="shared" si="336"/>
        <v>5400</v>
      </c>
      <c r="JT58" s="56"/>
      <c r="JW58" s="55">
        <f t="shared" si="337"/>
        <v>46070</v>
      </c>
      <c r="JX58" s="56"/>
      <c r="JY58" s="242">
        <f>SUMPRODUCT(PRODUCE!$B71:$DY71,PRODUCE!$EB$38:$IY$38)</f>
        <v>0</v>
      </c>
      <c r="JZ58" s="56"/>
      <c r="KA58" s="242">
        <f t="shared" si="338"/>
        <v>0</v>
      </c>
      <c r="KB58" s="242">
        <f t="shared" si="339"/>
        <v>4000</v>
      </c>
      <c r="KC58" s="56"/>
      <c r="KF58" s="55">
        <f t="shared" si="340"/>
        <v>46070</v>
      </c>
      <c r="KG58" s="56"/>
      <c r="KH58" s="242">
        <f>SUMPRODUCT(PRODUCE!$B71:$DY71,PRODUCE!$EB$39:$IY$39)</f>
        <v>0</v>
      </c>
      <c r="KI58" s="56"/>
      <c r="KJ58" s="242">
        <f t="shared" si="341"/>
        <v>0</v>
      </c>
      <c r="KK58" s="242">
        <f t="shared" si="342"/>
        <v>1287</v>
      </c>
      <c r="KL58" s="56"/>
      <c r="KO58" s="55">
        <f t="shared" si="343"/>
        <v>46070</v>
      </c>
      <c r="KP58" s="56"/>
      <c r="KQ58" s="242">
        <f>SUMPRODUCT(PRODUCE!$B71:$DY71,PRODUCE!$EB$40:$IY$40)</f>
        <v>0</v>
      </c>
      <c r="KR58" s="56"/>
      <c r="KS58" s="242">
        <f t="shared" si="344"/>
        <v>0</v>
      </c>
      <c r="KT58" s="242">
        <f t="shared" si="345"/>
        <v>10659.6</v>
      </c>
      <c r="KU58" s="56"/>
      <c r="KW58" s="23"/>
      <c r="KX58" s="55">
        <f t="shared" si="346"/>
        <v>46070</v>
      </c>
      <c r="KY58" s="56"/>
      <c r="KZ58" s="242">
        <f>SUMPRODUCT(PRODUCE!$B71:$DY71,PRODUCE!$EB$41:$IY$41)</f>
        <v>0</v>
      </c>
      <c r="LA58" s="56"/>
      <c r="LB58" s="242">
        <f t="shared" si="347"/>
        <v>0</v>
      </c>
      <c r="LC58" s="242">
        <f t="shared" si="348"/>
        <v>0</v>
      </c>
      <c r="LD58" s="56"/>
      <c r="LG58" s="55">
        <f t="shared" si="349"/>
        <v>46070</v>
      </c>
      <c r="LH58" s="56"/>
      <c r="LI58" s="242">
        <f>SUMPRODUCT(PRODUCE!$B71:$DY71,PRODUCE!$EB$42:$IY$42)</f>
        <v>0</v>
      </c>
      <c r="LJ58" s="56"/>
      <c r="LK58" s="242">
        <f t="shared" si="350"/>
        <v>0</v>
      </c>
      <c r="LL58" s="242">
        <f t="shared" si="351"/>
        <v>0</v>
      </c>
      <c r="LM58" s="56"/>
      <c r="LP58" s="55">
        <f t="shared" si="352"/>
        <v>46070</v>
      </c>
      <c r="LQ58" s="56"/>
      <c r="LR58" s="242">
        <f>SUMPRODUCT(PRODUCE!$B73:$DY73,PRODUCE!$EB$43:$IY$43)</f>
        <v>0</v>
      </c>
      <c r="LS58" s="56"/>
      <c r="LT58" s="242">
        <f t="shared" si="353"/>
        <v>0</v>
      </c>
      <c r="LU58" s="242">
        <f t="shared" si="354"/>
        <v>0</v>
      </c>
      <c r="LV58" s="56"/>
      <c r="LY58" s="55">
        <f t="shared" si="355"/>
        <v>46070</v>
      </c>
      <c r="LZ58" s="56"/>
      <c r="MA58" s="242">
        <f>SUMPRODUCT(PRODUCE!$B73:$DY73,PRODUCE!$EB$44:$IY$44)</f>
        <v>0</v>
      </c>
      <c r="MB58" s="56"/>
      <c r="MC58" s="242">
        <f t="shared" si="356"/>
        <v>0</v>
      </c>
      <c r="MD58" s="242">
        <f t="shared" si="357"/>
        <v>0</v>
      </c>
      <c r="ME58" s="56"/>
      <c r="MH58" s="55">
        <f t="shared" si="358"/>
        <v>46070</v>
      </c>
      <c r="MI58" s="56"/>
      <c r="MJ58" s="242">
        <f>SUMPRODUCT(PRODUCE!$B71:$DY71,PRODUCE!$EB$45:$IY$45)</f>
        <v>0</v>
      </c>
      <c r="MK58" s="56"/>
      <c r="ML58" s="242">
        <f t="shared" si="359"/>
        <v>0</v>
      </c>
      <c r="MM58" s="242">
        <f t="shared" si="360"/>
        <v>0</v>
      </c>
      <c r="MN58" s="56"/>
      <c r="MQ58" s="55">
        <f t="shared" si="361"/>
        <v>46070</v>
      </c>
      <c r="MR58" s="56"/>
      <c r="MS58" s="242">
        <f>SUMPRODUCT(PRODUCE!$B71:$DY71,PRODUCE!$EB$46:$IY$46)</f>
        <v>0</v>
      </c>
      <c r="MT58" s="56"/>
      <c r="MU58" s="242">
        <f t="shared" si="362"/>
        <v>0</v>
      </c>
      <c r="MV58" s="242">
        <f t="shared" si="363"/>
        <v>370</v>
      </c>
      <c r="MW58" s="56"/>
      <c r="MZ58" s="55">
        <f t="shared" si="364"/>
        <v>46070</v>
      </c>
      <c r="NA58" s="56"/>
      <c r="NB58" s="242">
        <f>SUMPRODUCT(PRODUCE!$B71:$DY71,PRODUCE!$EB$47:$IY$47)</f>
        <v>0</v>
      </c>
      <c r="NC58" s="56"/>
      <c r="ND58" s="242">
        <f t="shared" si="365"/>
        <v>0</v>
      </c>
      <c r="NE58" s="242">
        <f t="shared" si="366"/>
        <v>0</v>
      </c>
      <c r="NF58" s="56"/>
      <c r="NI58" s="55">
        <f t="shared" si="367"/>
        <v>46070</v>
      </c>
      <c r="NJ58" s="56"/>
      <c r="NK58" s="242">
        <f>SUMPRODUCT(PRODUCE!$B71:$DY71,PRODUCE!$EB$48:$IY$48)</f>
        <v>0</v>
      </c>
      <c r="NL58" s="56"/>
      <c r="NM58" s="242">
        <f t="shared" si="368"/>
        <v>0</v>
      </c>
      <c r="NN58" s="242">
        <f t="shared" si="369"/>
        <v>0</v>
      </c>
      <c r="NO58" s="56"/>
      <c r="NR58" s="55">
        <f t="shared" si="370"/>
        <v>46070</v>
      </c>
      <c r="NS58" s="56"/>
      <c r="NT58" s="242">
        <f>SUMPRODUCT(PRODUCE!$B71:$DY71,PRODUCE!$EB$49:$IY$49)</f>
        <v>0</v>
      </c>
      <c r="NU58" s="56"/>
      <c r="NV58" s="242">
        <f t="shared" si="371"/>
        <v>0</v>
      </c>
      <c r="NW58" s="242">
        <f t="shared" si="372"/>
        <v>2310</v>
      </c>
      <c r="NX58" s="56"/>
      <c r="OA58" s="55">
        <f t="shared" si="373"/>
        <v>46070</v>
      </c>
      <c r="OB58" s="56"/>
      <c r="OC58" s="242">
        <f>SUMPRODUCT(PRODUCE!$B71:$DY71,PRODUCE!$EB$50:$IY$50)</f>
        <v>0</v>
      </c>
      <c r="OD58" s="56"/>
      <c r="OE58" s="242">
        <f t="shared" si="374"/>
        <v>0</v>
      </c>
      <c r="OF58" s="242">
        <f t="shared" si="375"/>
        <v>1680.5</v>
      </c>
      <c r="OG58" s="56"/>
      <c r="OJ58" s="55">
        <f t="shared" si="376"/>
        <v>46070</v>
      </c>
      <c r="OK58" s="56"/>
      <c r="OL58" s="242">
        <f>SUMPRODUCT(PRODUCE!$B71:$DY71,PRODUCE!$EB$51:$IY$51)</f>
        <v>0</v>
      </c>
      <c r="OM58" s="56"/>
      <c r="ON58" s="242">
        <f t="shared" si="377"/>
        <v>0</v>
      </c>
      <c r="OO58" s="242">
        <f t="shared" si="378"/>
        <v>0</v>
      </c>
      <c r="OP58" s="56"/>
      <c r="OS58" s="55">
        <f t="shared" si="379"/>
        <v>46070</v>
      </c>
      <c r="OT58" s="56"/>
      <c r="OU58" s="242">
        <f>SUMPRODUCT(PRODUCE!$B71:$DY71,PRODUCE!$EB$52:$IY$52)</f>
        <v>0</v>
      </c>
      <c r="OV58" s="56"/>
      <c r="OW58" s="242">
        <f t="shared" si="380"/>
        <v>0</v>
      </c>
      <c r="OX58" s="242">
        <f t="shared" si="381"/>
        <v>0</v>
      </c>
      <c r="OY58" s="56"/>
      <c r="PB58" s="55">
        <f t="shared" si="382"/>
        <v>46070</v>
      </c>
      <c r="PC58" s="56"/>
      <c r="PD58" s="242">
        <f>SUMPRODUCT(PRODUCE!$B71:$DY71,PRODUCE!$EB$53:$IY$53)</f>
        <v>0</v>
      </c>
      <c r="PE58" s="56"/>
      <c r="PF58" s="242">
        <f t="shared" si="383"/>
        <v>0</v>
      </c>
      <c r="PG58" s="242">
        <f t="shared" si="384"/>
        <v>0</v>
      </c>
      <c r="PH58" s="56"/>
      <c r="PK58" s="55">
        <f t="shared" si="385"/>
        <v>46070</v>
      </c>
      <c r="PL58" s="56"/>
      <c r="PM58" s="242">
        <f>SUMPRODUCT(PRODUCE!$B71:$DY71,PRODUCE!$EB$54:$IY$54)</f>
        <v>0</v>
      </c>
      <c r="PN58" s="56"/>
      <c r="PO58" s="242">
        <f t="shared" si="386"/>
        <v>0</v>
      </c>
      <c r="PP58" s="242">
        <f t="shared" si="387"/>
        <v>160</v>
      </c>
      <c r="PQ58" s="56"/>
      <c r="PT58" s="55">
        <f t="shared" si="388"/>
        <v>46070</v>
      </c>
      <c r="PU58" s="56"/>
      <c r="PV58" s="242">
        <f>SUMPRODUCT(PRODUCE!$B71:$DY71,PRODUCE!$EB$55:$IY$55)</f>
        <v>0</v>
      </c>
      <c r="PW58" s="56"/>
      <c r="PX58" s="242">
        <f t="shared" si="389"/>
        <v>0</v>
      </c>
      <c r="PY58" s="242">
        <f t="shared" si="390"/>
        <v>13.960000000000036</v>
      </c>
      <c r="PZ58" s="56"/>
      <c r="QC58" s="55">
        <f t="shared" si="391"/>
        <v>46070</v>
      </c>
      <c r="QD58" s="56"/>
      <c r="QE58" s="242">
        <f>SUMPRODUCT(PRODUCE!$B71:$DY71,PRODUCE!$EB$56:$IY$56)</f>
        <v>0</v>
      </c>
      <c r="QF58" s="56"/>
      <c r="QG58" s="242">
        <f t="shared" si="392"/>
        <v>0</v>
      </c>
      <c r="QH58" s="242">
        <f t="shared" si="393"/>
        <v>0</v>
      </c>
      <c r="QI58" s="56"/>
      <c r="QL58" s="55">
        <f t="shared" si="394"/>
        <v>46070</v>
      </c>
      <c r="QM58" s="56"/>
      <c r="QN58" s="242">
        <f>SUMPRODUCT(PRODUCE!$B71:$DY71,PRODUCE!$EB$57:$IY$57)</f>
        <v>0</v>
      </c>
      <c r="QO58" s="56"/>
      <c r="QP58" s="242">
        <f t="shared" si="395"/>
        <v>0</v>
      </c>
      <c r="QQ58" s="242">
        <f t="shared" si="396"/>
        <v>0</v>
      </c>
      <c r="QR58" s="56"/>
      <c r="QU58" s="55">
        <f t="shared" si="397"/>
        <v>46070</v>
      </c>
      <c r="QV58" s="56"/>
      <c r="QW58" s="242">
        <f>SUMPRODUCT(PRODUCE!$B71:$DY71,PRODUCE!$EB$57:$IY$57)</f>
        <v>0</v>
      </c>
      <c r="QX58" s="56"/>
      <c r="QY58" s="242">
        <f t="shared" si="398"/>
        <v>0</v>
      </c>
      <c r="QZ58" s="242">
        <f t="shared" si="399"/>
        <v>207.6</v>
      </c>
      <c r="RA58" s="56"/>
      <c r="RD58" s="55">
        <f t="shared" si="400"/>
        <v>46070</v>
      </c>
      <c r="RE58" s="56"/>
      <c r="RF58" s="242">
        <f>SUMPRODUCT(PRODUCE!$B71:$DY71,PRODUCE!$EB$58:$IY$58)</f>
        <v>0</v>
      </c>
      <c r="RG58" s="56"/>
      <c r="RH58" s="242">
        <f t="shared" si="401"/>
        <v>0</v>
      </c>
      <c r="RI58" s="242">
        <f t="shared" si="402"/>
        <v>197.04000000000002</v>
      </c>
      <c r="RJ58" s="56"/>
      <c r="RM58" s="55">
        <f t="shared" si="403"/>
        <v>46070</v>
      </c>
      <c r="RN58" s="56"/>
      <c r="RO58" s="242">
        <f>SUMPRODUCT(PRODUCE!$B71:$DY71,PRODUCE!$EB$57:$IY$57)</f>
        <v>0</v>
      </c>
      <c r="RP58" s="56"/>
      <c r="RQ58" s="242">
        <f t="shared" si="404"/>
        <v>0</v>
      </c>
      <c r="RR58" s="242">
        <f t="shared" si="405"/>
        <v>46.8</v>
      </c>
      <c r="RS58" s="56"/>
      <c r="RV58" s="55">
        <f t="shared" si="406"/>
        <v>46070</v>
      </c>
      <c r="RW58" s="56"/>
      <c r="RX58" s="242">
        <f>SUMPRODUCT(PRODUCE!$B71:$DY71,PRODUCE!$EB$57:$IY$57)</f>
        <v>0</v>
      </c>
      <c r="RY58" s="56"/>
      <c r="RZ58" s="242">
        <f t="shared" si="407"/>
        <v>0</v>
      </c>
      <c r="SA58" s="242">
        <f t="shared" si="408"/>
        <v>0</v>
      </c>
      <c r="SB58" s="56"/>
      <c r="SE58" s="55">
        <f t="shared" si="409"/>
        <v>46070</v>
      </c>
      <c r="SF58" s="56"/>
      <c r="SG58" s="242">
        <f>SUMPRODUCT(PRODUCE!$B71:$DY71,PRODUCE!$EB$57:$IY$57)</f>
        <v>0</v>
      </c>
      <c r="SH58" s="56"/>
      <c r="SI58" s="242">
        <f t="shared" si="410"/>
        <v>0</v>
      </c>
      <c r="SJ58" s="242">
        <f t="shared" si="411"/>
        <v>0</v>
      </c>
      <c r="SK58" s="56"/>
      <c r="SN58" s="55">
        <f t="shared" si="412"/>
        <v>46070</v>
      </c>
      <c r="SO58" s="56"/>
      <c r="SP58" s="242">
        <f>SUMPRODUCT(PRODUCE!$B71:$DY71,PRODUCE!$EB$57:$IY$57)</f>
        <v>0</v>
      </c>
      <c r="SQ58" s="56"/>
      <c r="SR58" s="242">
        <f t="shared" si="413"/>
        <v>0</v>
      </c>
      <c r="SS58" s="242">
        <f t="shared" si="414"/>
        <v>0</v>
      </c>
      <c r="ST58" s="56"/>
      <c r="SW58" s="55">
        <f t="shared" si="415"/>
        <v>46070</v>
      </c>
      <c r="SX58" s="56"/>
      <c r="SY58" s="242">
        <f>SUMPRODUCT(PRODUCE!$B71:$DY71,PRODUCE!$EB$57:$IY$57)</f>
        <v>0</v>
      </c>
      <c r="SZ58" s="56"/>
      <c r="TA58" s="242">
        <f t="shared" si="416"/>
        <v>0</v>
      </c>
      <c r="TB58" s="242">
        <f t="shared" si="417"/>
        <v>0</v>
      </c>
      <c r="TC58" s="56"/>
      <c r="TF58" s="55">
        <f t="shared" si="418"/>
        <v>46070</v>
      </c>
      <c r="TG58" s="56"/>
      <c r="TH58" s="242">
        <f>SUMPRODUCT(PRODUCE!$B71:$DY71,PRODUCE!$EB$57:$IY$57)</f>
        <v>0</v>
      </c>
      <c r="TI58" s="56"/>
      <c r="TJ58" s="242">
        <f t="shared" si="419"/>
        <v>0</v>
      </c>
      <c r="TK58" s="242">
        <f t="shared" si="420"/>
        <v>0</v>
      </c>
      <c r="TL58" s="56"/>
      <c r="TO58" s="55">
        <f t="shared" si="421"/>
        <v>46070</v>
      </c>
      <c r="TP58" s="56"/>
      <c r="TQ58" s="242">
        <f>SUMPRODUCT(PRODUCE!$B71:$DY71,PRODUCE!$EB$57:$IY$57)</f>
        <v>0</v>
      </c>
      <c r="TR58" s="56"/>
      <c r="TS58" s="242">
        <f t="shared" si="422"/>
        <v>0</v>
      </c>
      <c r="TT58" s="242">
        <f t="shared" si="423"/>
        <v>0</v>
      </c>
      <c r="TU58" s="56"/>
      <c r="TX58" s="55">
        <f t="shared" si="424"/>
        <v>46070</v>
      </c>
      <c r="TY58" s="56"/>
      <c r="TZ58" s="242">
        <f>SUMPRODUCT(PRODUCE!$B71:$DY71,PRODUCE!$EB$57:$IY$57)</f>
        <v>0</v>
      </c>
      <c r="UA58" s="56"/>
      <c r="UB58" s="242">
        <f t="shared" si="425"/>
        <v>0</v>
      </c>
      <c r="UC58" s="242">
        <f t="shared" si="426"/>
        <v>0</v>
      </c>
      <c r="UD58" s="56"/>
      <c r="UG58" s="55">
        <f t="shared" si="427"/>
        <v>46070</v>
      </c>
      <c r="UH58" s="56"/>
      <c r="UI58" s="242">
        <f>SUMPRODUCT(PRODUCE!$B71:$DY71,PRODUCE!$EB$57:$IY$57)</f>
        <v>0</v>
      </c>
      <c r="UJ58" s="56"/>
      <c r="UK58" s="242">
        <f t="shared" si="428"/>
        <v>0</v>
      </c>
      <c r="UL58" s="242">
        <f t="shared" si="429"/>
        <v>0</v>
      </c>
      <c r="UM58" s="56"/>
      <c r="UP58" s="55">
        <f t="shared" si="430"/>
        <v>46070</v>
      </c>
      <c r="UQ58" s="56"/>
      <c r="UR58" s="242">
        <f>SUMPRODUCT(PRODUCE!$B71:$DY71,PRODUCE!$EB$57:$IY$57)</f>
        <v>0</v>
      </c>
      <c r="US58" s="56"/>
      <c r="UT58" s="242">
        <f t="shared" si="431"/>
        <v>0</v>
      </c>
      <c r="UU58" s="242">
        <f t="shared" si="432"/>
        <v>0</v>
      </c>
      <c r="UV58" s="56"/>
      <c r="UY58" s="55">
        <f t="shared" si="433"/>
        <v>46070</v>
      </c>
      <c r="UZ58" s="56"/>
      <c r="VA58" s="242">
        <f>SUMPRODUCT(PRODUCE!$B71:$DY71,PRODUCE!$EB$57:$IY$57)</f>
        <v>0</v>
      </c>
      <c r="VB58" s="56"/>
      <c r="VC58" s="242">
        <f t="shared" si="434"/>
        <v>0</v>
      </c>
      <c r="VD58" s="242">
        <f t="shared" si="435"/>
        <v>41.600000000000023</v>
      </c>
      <c r="VE58" s="56"/>
      <c r="VH58" s="55">
        <f t="shared" si="436"/>
        <v>46070</v>
      </c>
      <c r="VI58" s="56"/>
      <c r="VJ58" s="242">
        <f>SUMPRODUCT(PRODUCE!$B71:$DY71,PRODUCE!$EB$57:$IY$57)</f>
        <v>0</v>
      </c>
      <c r="VK58" s="56"/>
      <c r="VL58" s="242">
        <f t="shared" si="437"/>
        <v>0</v>
      </c>
      <c r="VM58" s="242">
        <f t="shared" si="438"/>
        <v>0</v>
      </c>
      <c r="VN58" s="56"/>
      <c r="VQ58" s="55">
        <f t="shared" si="439"/>
        <v>46070</v>
      </c>
      <c r="VR58" s="56"/>
      <c r="VS58" s="242">
        <f>SUMPRODUCT(PRODUCE!$B71:$DY71,PRODUCE!$EB$57:$IY$57)</f>
        <v>0</v>
      </c>
      <c r="VT58" s="56"/>
      <c r="VU58" s="242">
        <f t="shared" si="440"/>
        <v>0</v>
      </c>
      <c r="VV58" s="242">
        <f t="shared" si="441"/>
        <v>0</v>
      </c>
      <c r="VW58" s="56"/>
      <c r="VZ58" s="55">
        <f t="shared" si="442"/>
        <v>46070</v>
      </c>
      <c r="WA58" s="56"/>
      <c r="WB58" s="242">
        <f>SUMPRODUCT(PRODUCE!$B71:$DY71,PRODUCE!$EB$57:$IY$57)</f>
        <v>0</v>
      </c>
      <c r="WC58" s="56"/>
      <c r="WD58" s="242">
        <f t="shared" si="443"/>
        <v>0</v>
      </c>
      <c r="WE58" s="242">
        <f t="shared" si="444"/>
        <v>0</v>
      </c>
      <c r="WF58" s="56"/>
      <c r="WI58" s="55">
        <f t="shared" si="445"/>
        <v>46070</v>
      </c>
      <c r="WJ58" s="56"/>
      <c r="WK58" s="242">
        <f>SUMPRODUCT(PRODUCE!$B71:$DY71,PRODUCE!$EB$57:$IY$57)</f>
        <v>0</v>
      </c>
      <c r="WL58" s="56"/>
      <c r="WM58" s="242">
        <f t="shared" si="446"/>
        <v>0</v>
      </c>
      <c r="WN58" s="242">
        <f t="shared" si="447"/>
        <v>8433</v>
      </c>
      <c r="WO58" s="56"/>
      <c r="WR58" s="55">
        <f t="shared" si="448"/>
        <v>46070</v>
      </c>
      <c r="WS58" s="56"/>
      <c r="WT58" s="242">
        <f>SUMPRODUCT(PRODUCE!$B71:$DY71,PRODUCE!$EB$57:$IY$57)</f>
        <v>0</v>
      </c>
      <c r="WU58" s="56"/>
      <c r="WV58" s="242">
        <f t="shared" si="449"/>
        <v>0</v>
      </c>
      <c r="WW58" s="242">
        <f t="shared" si="450"/>
        <v>6559</v>
      </c>
      <c r="WX58" s="56"/>
      <c r="XA58" s="55">
        <f t="shared" si="451"/>
        <v>46070</v>
      </c>
      <c r="XB58" s="56"/>
      <c r="XC58" s="242">
        <f>SUMPRODUCT(PRODUCE!$B71:$DY71,PRODUCE!$EB$57:$IY$57)</f>
        <v>0</v>
      </c>
      <c r="XD58" s="56"/>
      <c r="XE58" s="242">
        <f t="shared" si="452"/>
        <v>0</v>
      </c>
      <c r="XF58" s="242">
        <f t="shared" si="453"/>
        <v>590</v>
      </c>
      <c r="XG58" s="56"/>
      <c r="XJ58" s="55">
        <f t="shared" si="454"/>
        <v>46070</v>
      </c>
      <c r="XK58" s="56"/>
      <c r="XL58" s="242">
        <f>SUMPRODUCT(PRODUCE!$B71:$DY71,PRODUCE!$EB$57:$IY$57)</f>
        <v>0</v>
      </c>
      <c r="XM58" s="56"/>
      <c r="XN58" s="242">
        <f t="shared" si="455"/>
        <v>0</v>
      </c>
      <c r="XO58" s="242">
        <f t="shared" si="456"/>
        <v>8852</v>
      </c>
      <c r="XP58" s="56"/>
      <c r="XS58" s="55">
        <f t="shared" si="457"/>
        <v>46070</v>
      </c>
      <c r="XT58" s="56"/>
      <c r="XU58" s="242">
        <f>SUMPRODUCT(PRODUCE!$B71:$DY71,PRODUCE!$EB$57:$IY$57)</f>
        <v>0</v>
      </c>
      <c r="XV58" s="56"/>
      <c r="XW58" s="242">
        <f t="shared" si="458"/>
        <v>0</v>
      </c>
      <c r="XX58" s="242">
        <f t="shared" si="459"/>
        <v>1901</v>
      </c>
      <c r="XY58" s="56"/>
      <c r="YB58" s="55">
        <f t="shared" si="460"/>
        <v>46070</v>
      </c>
      <c r="YC58" s="56"/>
      <c r="YD58" s="242">
        <f>SUMPRODUCT(PRODUCE!$B71:$DY71,PRODUCE!$EB$57:$IY$57)</f>
        <v>0</v>
      </c>
      <c r="YE58" s="56"/>
      <c r="YF58" s="242">
        <f t="shared" si="461"/>
        <v>0</v>
      </c>
      <c r="YG58" s="242">
        <f t="shared" si="462"/>
        <v>-707</v>
      </c>
      <c r="YH58" s="56"/>
      <c r="YK58" s="55">
        <f t="shared" si="463"/>
        <v>46070</v>
      </c>
      <c r="YL58" s="56"/>
      <c r="YM58" s="242">
        <f>SUMPRODUCT(PRODUCE!$B71:$DY71,PRODUCE!$EB$57:$IY$57)</f>
        <v>0</v>
      </c>
      <c r="YN58" s="56"/>
      <c r="YO58" s="242">
        <f t="shared" si="464"/>
        <v>0</v>
      </c>
      <c r="YP58" s="242">
        <f t="shared" si="465"/>
        <v>0</v>
      </c>
      <c r="YQ58" s="56"/>
      <c r="YT58" s="55">
        <f t="shared" si="466"/>
        <v>46070</v>
      </c>
      <c r="YU58" s="56"/>
      <c r="YV58" s="242">
        <f>SUMPRODUCT(PRODUCE!$B71:$DY71,PRODUCE!$EB$57:$IY$57)</f>
        <v>0</v>
      </c>
      <c r="YW58" s="56"/>
      <c r="YX58" s="242">
        <f t="shared" si="467"/>
        <v>0</v>
      </c>
      <c r="YY58" s="242">
        <f t="shared" si="468"/>
        <v>0</v>
      </c>
      <c r="YZ58" s="56"/>
      <c r="ZC58" s="55">
        <f t="shared" si="469"/>
        <v>46070</v>
      </c>
      <c r="ZD58" s="56"/>
      <c r="ZE58" s="242">
        <f>SUMPRODUCT(PRODUCE!$B71:$DY71,PRODUCE!$EB$57:$IY$57)</f>
        <v>0</v>
      </c>
      <c r="ZF58" s="56"/>
      <c r="ZG58" s="242">
        <f t="shared" si="470"/>
        <v>0</v>
      </c>
      <c r="ZH58" s="242">
        <f t="shared" si="471"/>
        <v>0</v>
      </c>
      <c r="ZI58" s="56"/>
      <c r="ZL58" s="55">
        <f t="shared" si="472"/>
        <v>46070</v>
      </c>
      <c r="ZM58" s="56"/>
      <c r="ZN58" s="242">
        <f>SUMPRODUCT(PRODUCE!$B71:$DY71,PRODUCE!$EB$57:$IY$57)</f>
        <v>0</v>
      </c>
      <c r="ZO58" s="56"/>
      <c r="ZP58" s="242">
        <f t="shared" si="473"/>
        <v>0</v>
      </c>
      <c r="ZQ58" s="242">
        <f t="shared" si="474"/>
        <v>0</v>
      </c>
      <c r="ZR58" s="56"/>
      <c r="ZU58" s="55">
        <f t="shared" si="475"/>
        <v>46070</v>
      </c>
      <c r="ZV58" s="56"/>
      <c r="ZW58" s="242">
        <f>SUMPRODUCT(PRODUCE!$B71:$DY71,PRODUCE!$EB$57:$IY$57)</f>
        <v>0</v>
      </c>
      <c r="ZX58" s="56"/>
      <c r="ZY58" s="242">
        <f t="shared" si="476"/>
        <v>0</v>
      </c>
      <c r="ZZ58" s="242">
        <f t="shared" si="477"/>
        <v>0</v>
      </c>
      <c r="AAA58" s="56"/>
      <c r="AAD58" s="55">
        <f t="shared" si="478"/>
        <v>46070</v>
      </c>
      <c r="AAE58" s="56"/>
      <c r="AAF58" s="242">
        <f>SUMPRODUCT(PRODUCE!$B71:$DY71,PRODUCE!$EB$57:$IY$57)</f>
        <v>0</v>
      </c>
      <c r="AAG58" s="56"/>
      <c r="AAH58" s="242">
        <f t="shared" si="479"/>
        <v>0</v>
      </c>
      <c r="AAI58" s="242">
        <f t="shared" si="480"/>
        <v>0</v>
      </c>
      <c r="AAJ58" s="56"/>
      <c r="AAM58" s="55">
        <f t="shared" si="481"/>
        <v>46070</v>
      </c>
      <c r="AAN58" s="56"/>
      <c r="AAO58" s="242">
        <f>SUMPRODUCT(PRODUCE!$B71:$DY71,PRODUCE!$EB$57:$IY$57)</f>
        <v>0</v>
      </c>
      <c r="AAP58" s="56"/>
      <c r="AAQ58" s="242">
        <f t="shared" si="482"/>
        <v>0</v>
      </c>
      <c r="AAR58" s="242">
        <f t="shared" si="483"/>
        <v>0</v>
      </c>
      <c r="AAS58" s="56"/>
      <c r="AAV58" s="55">
        <f t="shared" si="484"/>
        <v>46070</v>
      </c>
      <c r="AAW58" s="56"/>
      <c r="AAX58" s="242">
        <f>SUMPRODUCT(PRODUCE!$B71:$DY71,PRODUCE!$EB$57:$IY$57)</f>
        <v>0</v>
      </c>
      <c r="AAY58" s="56"/>
      <c r="AAZ58" s="242">
        <f t="shared" si="485"/>
        <v>0</v>
      </c>
      <c r="ABA58" s="242">
        <f t="shared" si="486"/>
        <v>0</v>
      </c>
      <c r="ABB58" s="56"/>
      <c r="ABE58" s="55">
        <f t="shared" si="487"/>
        <v>46070</v>
      </c>
      <c r="ABF58" s="56"/>
      <c r="ABG58" s="242">
        <f>SUMPRODUCT(PRODUCE!$B71:$DY71,PRODUCE!$EB$57:$IY$57)</f>
        <v>0</v>
      </c>
      <c r="ABH58" s="56"/>
      <c r="ABI58" s="242">
        <f t="shared" si="488"/>
        <v>0</v>
      </c>
      <c r="ABJ58" s="242">
        <f t="shared" si="489"/>
        <v>0</v>
      </c>
      <c r="ABK58" s="56"/>
    </row>
    <row r="59" spans="2:739" s="54" customFormat="1" ht="15" customHeight="1" outlineLevel="1">
      <c r="B59" s="478"/>
      <c r="C59" s="55">
        <v>46071</v>
      </c>
      <c r="D59" s="422"/>
      <c r="E59" s="424">
        <f>SUMPRODUCT(PRODUCE!$B72:$DY72,PRODUCE!$EB$7:$IY$7)</f>
        <v>0</v>
      </c>
      <c r="F59" s="422"/>
      <c r="G59" s="423">
        <f t="shared" si="247"/>
        <v>0</v>
      </c>
      <c r="H59" s="423">
        <f t="shared" si="245"/>
        <v>216639.4</v>
      </c>
      <c r="I59" s="289"/>
      <c r="L59" s="55">
        <f t="shared" si="246"/>
        <v>46071</v>
      </c>
      <c r="M59" s="422"/>
      <c r="N59" s="439">
        <f>SUMPRODUCT(PRODUCE!$B72:$DY72,PRODUCE!$EB$8:$IY$8)</f>
        <v>0</v>
      </c>
      <c r="O59" s="422"/>
      <c r="P59" s="438">
        <f t="shared" si="248"/>
        <v>0</v>
      </c>
      <c r="Q59" s="438">
        <f t="shared" si="249"/>
        <v>115737.60000000003</v>
      </c>
      <c r="R59" s="56"/>
      <c r="U59" s="55">
        <f t="shared" si="250"/>
        <v>46071</v>
      </c>
      <c r="V59" s="422"/>
      <c r="W59" s="441">
        <f>SUMPRODUCT(PRODUCE!$B72:$DY72,PRODUCE!$EB$9:$IY$9)</f>
        <v>0</v>
      </c>
      <c r="X59" s="422"/>
      <c r="Y59" s="440">
        <f t="shared" si="251"/>
        <v>0</v>
      </c>
      <c r="Z59" s="440">
        <f t="shared" si="252"/>
        <v>52187.099999999984</v>
      </c>
      <c r="AA59" s="56"/>
      <c r="AD59" s="55">
        <f t="shared" si="253"/>
        <v>46071</v>
      </c>
      <c r="AE59" s="422"/>
      <c r="AF59" s="443">
        <f>SUMPRODUCT(PRODUCE!$B72:$DY72,PRODUCE!$EB$10:$IY$10)</f>
        <v>0</v>
      </c>
      <c r="AG59" s="422"/>
      <c r="AH59" s="442">
        <f t="shared" si="254"/>
        <v>0</v>
      </c>
      <c r="AI59" s="442">
        <f t="shared" si="255"/>
        <v>46755.500000000022</v>
      </c>
      <c r="AJ59" s="56"/>
      <c r="AM59" s="55">
        <f t="shared" si="256"/>
        <v>46071</v>
      </c>
      <c r="AN59" s="422"/>
      <c r="AO59" s="445">
        <f>SUMPRODUCT(PRODUCE!$B72:$DY72,PRODUCE!$EB$11:$IY$11)</f>
        <v>0</v>
      </c>
      <c r="AP59" s="422"/>
      <c r="AQ59" s="444">
        <f t="shared" si="257"/>
        <v>0</v>
      </c>
      <c r="AR59" s="444">
        <f t="shared" si="258"/>
        <v>0</v>
      </c>
      <c r="AS59" s="56"/>
      <c r="AV59" s="55">
        <f t="shared" si="259"/>
        <v>46071</v>
      </c>
      <c r="AW59" s="422"/>
      <c r="AX59" s="447">
        <f>SUMPRODUCT(PRODUCE!$B72:$DY72,PRODUCE!$EB$12:$IY$12)</f>
        <v>0</v>
      </c>
      <c r="AY59" s="422"/>
      <c r="AZ59" s="446">
        <f t="shared" si="260"/>
        <v>0</v>
      </c>
      <c r="BA59" s="446">
        <f t="shared" si="261"/>
        <v>50922.299999999988</v>
      </c>
      <c r="BB59" s="56"/>
      <c r="BE59" s="55">
        <f t="shared" si="262"/>
        <v>46071</v>
      </c>
      <c r="BF59" s="422"/>
      <c r="BG59" s="449">
        <f>SUMPRODUCT(PRODUCE!$B72:$DY72,PRODUCE!$EB$13:$IY$13)</f>
        <v>0</v>
      </c>
      <c r="BH59" s="422"/>
      <c r="BI59" s="448">
        <f t="shared" si="263"/>
        <v>0</v>
      </c>
      <c r="BJ59" s="448">
        <f t="shared" si="264"/>
        <v>23346.800000000007</v>
      </c>
      <c r="BK59" s="56"/>
      <c r="BN59" s="55">
        <f t="shared" si="265"/>
        <v>46071</v>
      </c>
      <c r="BO59" s="422"/>
      <c r="BP59" s="451">
        <f>SUMPRODUCT(PRODUCE!$B72:$DY72,PRODUCE!$EB$14:$IY$14)</f>
        <v>0</v>
      </c>
      <c r="BQ59" s="422"/>
      <c r="BR59" s="450">
        <f t="shared" si="266"/>
        <v>0</v>
      </c>
      <c r="BS59" s="450">
        <f t="shared" si="267"/>
        <v>0</v>
      </c>
      <c r="BT59" s="56"/>
      <c r="BW59" s="55">
        <f t="shared" si="268"/>
        <v>46071</v>
      </c>
      <c r="BX59" s="56"/>
      <c r="BY59" s="81">
        <f>SUMPRODUCT(PRODUCE!$B72:$DY72,PRODUCE!$EB$15:$IY$15)</f>
        <v>0</v>
      </c>
      <c r="BZ59" s="56"/>
      <c r="CA59" s="65">
        <f t="shared" si="269"/>
        <v>0</v>
      </c>
      <c r="CB59" s="65">
        <f t="shared" si="270"/>
        <v>931.90000000000009</v>
      </c>
      <c r="CC59" s="56"/>
      <c r="CF59" s="55">
        <f t="shared" si="271"/>
        <v>46071</v>
      </c>
      <c r="CG59" s="56"/>
      <c r="CH59" s="82">
        <f>SUMPRODUCT(PRODUCE!$B72:$DY72,PRODUCE!$EB$16:$IY$16)</f>
        <v>0</v>
      </c>
      <c r="CI59" s="56"/>
      <c r="CJ59" s="66">
        <f t="shared" si="272"/>
        <v>0</v>
      </c>
      <c r="CK59" s="66">
        <f t="shared" si="273"/>
        <v>0</v>
      </c>
      <c r="CL59" s="56"/>
      <c r="CO59" s="55">
        <f t="shared" si="274"/>
        <v>46071</v>
      </c>
      <c r="CP59" s="422"/>
      <c r="CQ59" s="471">
        <f>SUMPRODUCT(PRODUCE!$B72:$DY72,PRODUCE!$EB$17:$IY$17)</f>
        <v>0</v>
      </c>
      <c r="CR59" s="422"/>
      <c r="CS59" s="470">
        <f t="shared" si="275"/>
        <v>0</v>
      </c>
      <c r="CT59" s="470">
        <f t="shared" si="276"/>
        <v>0</v>
      </c>
      <c r="CU59" s="56"/>
      <c r="CX59" s="55">
        <f t="shared" si="277"/>
        <v>46071</v>
      </c>
      <c r="CY59" s="56"/>
      <c r="CZ59" s="136">
        <f>SUMPRODUCT(PRODUCE!$B72:$DY72,PRODUCE!$EB$18:$IY$18)</f>
        <v>0</v>
      </c>
      <c r="DA59" s="56"/>
      <c r="DB59" s="133">
        <f t="shared" si="278"/>
        <v>0</v>
      </c>
      <c r="DC59" s="133">
        <f t="shared" si="279"/>
        <v>27086.799999999999</v>
      </c>
      <c r="DD59" s="56"/>
      <c r="DG59" s="55">
        <f t="shared" si="280"/>
        <v>46071</v>
      </c>
      <c r="DH59" s="56"/>
      <c r="DI59" s="150">
        <f>SUMPRODUCT(PRODUCE!$B72:$DY72,PRODUCE!$EB$19:$IY$19)</f>
        <v>0</v>
      </c>
      <c r="DJ59" s="56"/>
      <c r="DK59" s="147">
        <f t="shared" si="281"/>
        <v>0</v>
      </c>
      <c r="DL59" s="147">
        <f t="shared" si="282"/>
        <v>13431.599999999997</v>
      </c>
      <c r="DM59" s="56"/>
      <c r="DP59" s="55">
        <f t="shared" si="283"/>
        <v>46071</v>
      </c>
      <c r="DQ59" s="56"/>
      <c r="DR59" s="58">
        <f>SUMPRODUCT(PRODUCE!$B72:$DY72,PRODUCE!$EB$20:$IY$20)</f>
        <v>0</v>
      </c>
      <c r="DS59" s="56"/>
      <c r="DT59" s="57">
        <f t="shared" si="284"/>
        <v>0</v>
      </c>
      <c r="DU59" s="57">
        <f t="shared" si="285"/>
        <v>2300</v>
      </c>
      <c r="DV59" s="56"/>
      <c r="DY59" s="55">
        <f t="shared" si="286"/>
        <v>46071</v>
      </c>
      <c r="DZ59" s="56"/>
      <c r="EA59" s="159">
        <f>SUMPRODUCT(PRODUCE!$B72:$DY72,PRODUCE!$EB$21:$IY$21)</f>
        <v>0</v>
      </c>
      <c r="EB59" s="56"/>
      <c r="EC59" s="157">
        <f t="shared" si="287"/>
        <v>0</v>
      </c>
      <c r="ED59" s="157">
        <f t="shared" si="288"/>
        <v>5696.8</v>
      </c>
      <c r="EE59" s="56"/>
      <c r="EH59" s="55">
        <f t="shared" si="289"/>
        <v>46071</v>
      </c>
      <c r="EI59" s="56"/>
      <c r="EJ59" s="164">
        <f>SUMPRODUCT(PRODUCE!$B72:$DY72,PRODUCE!$EB$22:$IY$22)</f>
        <v>0</v>
      </c>
      <c r="EK59" s="56"/>
      <c r="EL59" s="162">
        <f t="shared" si="290"/>
        <v>0</v>
      </c>
      <c r="EM59" s="162">
        <f t="shared" si="291"/>
        <v>0</v>
      </c>
      <c r="EN59" s="56"/>
      <c r="EQ59" s="55">
        <f t="shared" si="292"/>
        <v>46071</v>
      </c>
      <c r="ER59" s="56"/>
      <c r="ES59" s="171">
        <f>SUMPRODUCT(PRODUCE!$B72:$DY72,PRODUCE!$EB$23:$IY$23)</f>
        <v>0</v>
      </c>
      <c r="ET59" s="56"/>
      <c r="EU59" s="135">
        <f t="shared" si="293"/>
        <v>0</v>
      </c>
      <c r="EV59" s="135">
        <f t="shared" si="294"/>
        <v>0</v>
      </c>
      <c r="EW59" s="56"/>
      <c r="EZ59" s="55">
        <f t="shared" si="295"/>
        <v>46071</v>
      </c>
      <c r="FA59" s="56"/>
      <c r="FB59" s="178">
        <f>SUMPRODUCT(PRODUCE!$B72:$DY72,PRODUCE!$EB$24:$IY$24)</f>
        <v>0</v>
      </c>
      <c r="FC59" s="56"/>
      <c r="FD59" s="175">
        <f t="shared" si="296"/>
        <v>0</v>
      </c>
      <c r="FE59" s="175">
        <f t="shared" si="297"/>
        <v>0</v>
      </c>
      <c r="FF59" s="56"/>
      <c r="FI59" s="55">
        <f t="shared" si="298"/>
        <v>46071</v>
      </c>
      <c r="FJ59" s="56"/>
      <c r="FK59" s="184">
        <f>SUMPRODUCT(PRODUCE!$B72:$DY72,PRODUCE!$EB$25:$IY$25)</f>
        <v>0</v>
      </c>
      <c r="FL59" s="56"/>
      <c r="FM59" s="183">
        <f t="shared" si="299"/>
        <v>0</v>
      </c>
      <c r="FN59" s="183">
        <f t="shared" si="300"/>
        <v>0</v>
      </c>
      <c r="FO59" s="56"/>
      <c r="FR59" s="55">
        <f t="shared" si="301"/>
        <v>46071</v>
      </c>
      <c r="FS59" s="422"/>
      <c r="FT59" s="453">
        <f>SUMPRODUCT(PRODUCE!$B72:$DY72,PRODUCE!$EB$26:$IY$26)</f>
        <v>0</v>
      </c>
      <c r="FU59" s="422"/>
      <c r="FV59" s="452">
        <f t="shared" si="302"/>
        <v>0</v>
      </c>
      <c r="FW59" s="452">
        <f t="shared" si="303"/>
        <v>1900</v>
      </c>
      <c r="FX59" s="56"/>
      <c r="GA59" s="55">
        <f t="shared" si="304"/>
        <v>46071</v>
      </c>
      <c r="GB59" s="422"/>
      <c r="GC59" s="455">
        <f>SUMPRODUCT(PRODUCE!$B72:$DY72,PRODUCE!$EB$27:$IY$27)</f>
        <v>0</v>
      </c>
      <c r="GD59" s="422"/>
      <c r="GE59" s="454">
        <f t="shared" si="305"/>
        <v>0</v>
      </c>
      <c r="GF59" s="454">
        <f t="shared" si="306"/>
        <v>5960</v>
      </c>
      <c r="GG59" s="56"/>
      <c r="GI59" s="23"/>
      <c r="GJ59" s="55">
        <f t="shared" si="307"/>
        <v>46071</v>
      </c>
      <c r="GK59" s="422"/>
      <c r="GL59" s="457">
        <f>SUMPRODUCT(PRODUCE!$B72:$DY72,PRODUCE!$EB$28:$IY$28)</f>
        <v>0</v>
      </c>
      <c r="GM59" s="422"/>
      <c r="GN59" s="456">
        <f t="shared" si="308"/>
        <v>0</v>
      </c>
      <c r="GO59" s="456">
        <f t="shared" si="309"/>
        <v>5240</v>
      </c>
      <c r="GP59" s="56"/>
      <c r="GS59" s="55">
        <f t="shared" si="310"/>
        <v>46071</v>
      </c>
      <c r="GT59" s="56"/>
      <c r="GU59" s="196">
        <f>SUMPRODUCT(PRODUCE!$B72:$DY72,PRODUCE!$EB$29:$IY$29)</f>
        <v>0</v>
      </c>
      <c r="GV59" s="56"/>
      <c r="GW59" s="195">
        <f t="shared" si="311"/>
        <v>0</v>
      </c>
      <c r="GX59" s="195">
        <f t="shared" si="312"/>
        <v>0</v>
      </c>
      <c r="GY59" s="56"/>
      <c r="HB59" s="55">
        <f t="shared" si="313"/>
        <v>46071</v>
      </c>
      <c r="HC59" s="56"/>
      <c r="HD59" s="192">
        <f>SUMPRODUCT(PRODUCE!$B72:$DY72,PRODUCE!$EB$30:$IY$30)</f>
        <v>0</v>
      </c>
      <c r="HE59" s="56"/>
      <c r="HF59" s="191">
        <f t="shared" si="314"/>
        <v>0</v>
      </c>
      <c r="HG59" s="191">
        <f t="shared" si="315"/>
        <v>0</v>
      </c>
      <c r="HH59" s="56"/>
      <c r="HK59" s="55">
        <f t="shared" si="316"/>
        <v>46071</v>
      </c>
      <c r="HL59" s="56"/>
      <c r="HM59" s="80">
        <f>SUMPRODUCT(PRODUCE!$B72:$DY72,PRODUCE!$EB$31:$IY$31)</f>
        <v>0</v>
      </c>
      <c r="HN59" s="56"/>
      <c r="HO59" s="63">
        <f t="shared" si="317"/>
        <v>0</v>
      </c>
      <c r="HP59" s="63">
        <f t="shared" si="318"/>
        <v>0</v>
      </c>
      <c r="HQ59" s="56"/>
      <c r="HU59" s="55">
        <f t="shared" si="319"/>
        <v>46071</v>
      </c>
      <c r="HV59" s="56"/>
      <c r="HW59" s="242">
        <f>SUMPRODUCT(PRODUCE!$B72:$DY72,PRODUCE!$EB$32:$IY$32)</f>
        <v>0</v>
      </c>
      <c r="HX59" s="56"/>
      <c r="HY59" s="242">
        <f t="shared" si="320"/>
        <v>0</v>
      </c>
      <c r="HZ59" s="242">
        <f t="shared" si="321"/>
        <v>5120</v>
      </c>
      <c r="IA59" s="56"/>
      <c r="ID59" s="55">
        <f t="shared" si="322"/>
        <v>46071</v>
      </c>
      <c r="IE59" s="56"/>
      <c r="IF59" s="242">
        <f>SUMPRODUCT(PRODUCE!$B72:$DY72,PRODUCE!$EB$33:$IY$33)</f>
        <v>0</v>
      </c>
      <c r="IG59" s="56"/>
      <c r="IH59" s="242">
        <f t="shared" si="323"/>
        <v>0</v>
      </c>
      <c r="II59" s="242">
        <f t="shared" si="324"/>
        <v>5100</v>
      </c>
      <c r="IJ59" s="56"/>
      <c r="IM59" s="55">
        <f t="shared" si="325"/>
        <v>46071</v>
      </c>
      <c r="IN59" s="56"/>
      <c r="IO59" s="242">
        <f>SUMPRODUCT(PRODUCE!$B72:$DY72,PRODUCE!$EB$34:$IY$34)</f>
        <v>0</v>
      </c>
      <c r="IP59" s="56"/>
      <c r="IQ59" s="242">
        <f t="shared" si="326"/>
        <v>0</v>
      </c>
      <c r="IR59" s="242">
        <f t="shared" si="327"/>
        <v>10240</v>
      </c>
      <c r="IS59" s="56"/>
      <c r="IV59" s="55">
        <f t="shared" si="328"/>
        <v>46071</v>
      </c>
      <c r="IW59" s="56"/>
      <c r="IX59" s="242">
        <f>SUMPRODUCT(PRODUCE!$B72:$DY72,PRODUCE!$EB$35:$IY$35)</f>
        <v>0</v>
      </c>
      <c r="IY59" s="56"/>
      <c r="IZ59" s="242">
        <f t="shared" si="329"/>
        <v>0</v>
      </c>
      <c r="JA59" s="242">
        <f t="shared" si="330"/>
        <v>15120</v>
      </c>
      <c r="JB59" s="56"/>
      <c r="JE59" s="55">
        <f t="shared" si="331"/>
        <v>46071</v>
      </c>
      <c r="JF59" s="56"/>
      <c r="JG59" s="242">
        <f>SUMPRODUCT(PRODUCE!$B72:$DY72,PRODUCE!$EB$36:$IY$36)</f>
        <v>0</v>
      </c>
      <c r="JH59" s="56"/>
      <c r="JI59" s="242">
        <f t="shared" si="332"/>
        <v>0</v>
      </c>
      <c r="JJ59" s="242">
        <f t="shared" si="333"/>
        <v>3600</v>
      </c>
      <c r="JK59" s="56"/>
      <c r="JN59" s="55">
        <f t="shared" si="334"/>
        <v>46071</v>
      </c>
      <c r="JO59" s="56"/>
      <c r="JP59" s="242">
        <f>SUMPRODUCT(PRODUCE!$B72:$DY72,PRODUCE!$EB$37:$IY$37)</f>
        <v>0</v>
      </c>
      <c r="JQ59" s="56"/>
      <c r="JR59" s="242">
        <f t="shared" si="335"/>
        <v>0</v>
      </c>
      <c r="JS59" s="242">
        <f t="shared" si="336"/>
        <v>5400</v>
      </c>
      <c r="JT59" s="56"/>
      <c r="JW59" s="55">
        <f t="shared" si="337"/>
        <v>46071</v>
      </c>
      <c r="JX59" s="56"/>
      <c r="JY59" s="242">
        <f>SUMPRODUCT(PRODUCE!$B72:$DY72,PRODUCE!$EB$38:$IY$38)</f>
        <v>0</v>
      </c>
      <c r="JZ59" s="56"/>
      <c r="KA59" s="242">
        <f t="shared" si="338"/>
        <v>0</v>
      </c>
      <c r="KB59" s="242">
        <f t="shared" si="339"/>
        <v>4000</v>
      </c>
      <c r="KC59" s="56"/>
      <c r="KF59" s="55">
        <f t="shared" si="340"/>
        <v>46071</v>
      </c>
      <c r="KG59" s="56"/>
      <c r="KH59" s="242">
        <f>SUMPRODUCT(PRODUCE!$B72:$DY72,PRODUCE!$EB$39:$IY$39)</f>
        <v>0</v>
      </c>
      <c r="KI59" s="56"/>
      <c r="KJ59" s="242">
        <f t="shared" si="341"/>
        <v>0</v>
      </c>
      <c r="KK59" s="242">
        <f t="shared" si="342"/>
        <v>1287</v>
      </c>
      <c r="KL59" s="56"/>
      <c r="KO59" s="55">
        <f t="shared" si="343"/>
        <v>46071</v>
      </c>
      <c r="KP59" s="56"/>
      <c r="KQ59" s="242">
        <f>SUMPRODUCT(PRODUCE!$B72:$DY72,PRODUCE!$EB$40:$IY$40)</f>
        <v>0</v>
      </c>
      <c r="KR59" s="56"/>
      <c r="KS59" s="242">
        <f t="shared" si="344"/>
        <v>0</v>
      </c>
      <c r="KT59" s="242">
        <f t="shared" si="345"/>
        <v>10659.6</v>
      </c>
      <c r="KU59" s="56"/>
      <c r="KW59" s="23"/>
      <c r="KX59" s="55">
        <f t="shared" si="346"/>
        <v>46071</v>
      </c>
      <c r="KY59" s="56"/>
      <c r="KZ59" s="242">
        <f>SUMPRODUCT(PRODUCE!$B72:$DY72,PRODUCE!$EB$41:$IY$41)</f>
        <v>0</v>
      </c>
      <c r="LA59" s="56"/>
      <c r="LB59" s="242">
        <f t="shared" si="347"/>
        <v>0</v>
      </c>
      <c r="LC59" s="242">
        <f t="shared" si="348"/>
        <v>0</v>
      </c>
      <c r="LD59" s="56"/>
      <c r="LG59" s="55">
        <f t="shared" si="349"/>
        <v>46071</v>
      </c>
      <c r="LH59" s="56"/>
      <c r="LI59" s="242">
        <f>SUMPRODUCT(PRODUCE!$B72:$DY72,PRODUCE!$EB$42:$IY$42)</f>
        <v>0</v>
      </c>
      <c r="LJ59" s="56"/>
      <c r="LK59" s="242">
        <f t="shared" si="350"/>
        <v>0</v>
      </c>
      <c r="LL59" s="242">
        <f t="shared" si="351"/>
        <v>0</v>
      </c>
      <c r="LM59" s="56"/>
      <c r="LP59" s="55">
        <f t="shared" si="352"/>
        <v>46071</v>
      </c>
      <c r="LQ59" s="56"/>
      <c r="LR59" s="242">
        <f>SUMPRODUCT(PRODUCE!$B74:$DY74,PRODUCE!$EB$43:$IY$43)</f>
        <v>0</v>
      </c>
      <c r="LS59" s="56"/>
      <c r="LT59" s="242">
        <f t="shared" si="353"/>
        <v>0</v>
      </c>
      <c r="LU59" s="242">
        <f t="shared" si="354"/>
        <v>0</v>
      </c>
      <c r="LV59" s="56"/>
      <c r="LY59" s="55">
        <f t="shared" si="355"/>
        <v>46071</v>
      </c>
      <c r="LZ59" s="56"/>
      <c r="MA59" s="242">
        <f>SUMPRODUCT(PRODUCE!$B74:$DY74,PRODUCE!$EB$44:$IY$44)</f>
        <v>0</v>
      </c>
      <c r="MB59" s="56"/>
      <c r="MC59" s="242">
        <f t="shared" si="356"/>
        <v>0</v>
      </c>
      <c r="MD59" s="242">
        <f t="shared" si="357"/>
        <v>0</v>
      </c>
      <c r="ME59" s="56"/>
      <c r="MH59" s="55">
        <f t="shared" si="358"/>
        <v>46071</v>
      </c>
      <c r="MI59" s="56"/>
      <c r="MJ59" s="242">
        <f>SUMPRODUCT(PRODUCE!$B72:$DY72,PRODUCE!$EB$45:$IY$45)</f>
        <v>0</v>
      </c>
      <c r="MK59" s="56"/>
      <c r="ML59" s="242">
        <f t="shared" si="359"/>
        <v>0</v>
      </c>
      <c r="MM59" s="242">
        <f t="shared" si="360"/>
        <v>0</v>
      </c>
      <c r="MN59" s="56"/>
      <c r="MQ59" s="55">
        <f t="shared" si="361"/>
        <v>46071</v>
      </c>
      <c r="MR59" s="56"/>
      <c r="MS59" s="242">
        <f>SUMPRODUCT(PRODUCE!$B72:$DY72,PRODUCE!$EB$46:$IY$46)</f>
        <v>0</v>
      </c>
      <c r="MT59" s="56"/>
      <c r="MU59" s="242">
        <f t="shared" si="362"/>
        <v>0</v>
      </c>
      <c r="MV59" s="242">
        <f t="shared" si="363"/>
        <v>370</v>
      </c>
      <c r="MW59" s="56"/>
      <c r="MZ59" s="55">
        <f t="shared" si="364"/>
        <v>46071</v>
      </c>
      <c r="NA59" s="56"/>
      <c r="NB59" s="242">
        <f>SUMPRODUCT(PRODUCE!$B72:$DY72,PRODUCE!$EB$47:$IY$47)</f>
        <v>0</v>
      </c>
      <c r="NC59" s="56"/>
      <c r="ND59" s="242">
        <f t="shared" si="365"/>
        <v>0</v>
      </c>
      <c r="NE59" s="242">
        <f t="shared" si="366"/>
        <v>0</v>
      </c>
      <c r="NF59" s="56"/>
      <c r="NI59" s="55">
        <f t="shared" si="367"/>
        <v>46071</v>
      </c>
      <c r="NJ59" s="56"/>
      <c r="NK59" s="242">
        <f>SUMPRODUCT(PRODUCE!$B72:$DY72,PRODUCE!$EB$48:$IY$48)</f>
        <v>0</v>
      </c>
      <c r="NL59" s="56"/>
      <c r="NM59" s="242">
        <f t="shared" si="368"/>
        <v>0</v>
      </c>
      <c r="NN59" s="242">
        <f t="shared" si="369"/>
        <v>0</v>
      </c>
      <c r="NO59" s="56"/>
      <c r="NR59" s="55">
        <f t="shared" si="370"/>
        <v>46071</v>
      </c>
      <c r="NS59" s="56"/>
      <c r="NT59" s="242">
        <f>SUMPRODUCT(PRODUCE!$B72:$DY72,PRODUCE!$EB$49:$IY$49)</f>
        <v>0</v>
      </c>
      <c r="NU59" s="56"/>
      <c r="NV59" s="242">
        <f t="shared" si="371"/>
        <v>0</v>
      </c>
      <c r="NW59" s="242">
        <f t="shared" si="372"/>
        <v>2310</v>
      </c>
      <c r="NX59" s="56"/>
      <c r="OA59" s="55">
        <f t="shared" si="373"/>
        <v>46071</v>
      </c>
      <c r="OB59" s="56"/>
      <c r="OC59" s="242">
        <f>SUMPRODUCT(PRODUCE!$B72:$DY72,PRODUCE!$EB$50:$IY$50)</f>
        <v>0</v>
      </c>
      <c r="OD59" s="56"/>
      <c r="OE59" s="242">
        <f t="shared" si="374"/>
        <v>0</v>
      </c>
      <c r="OF59" s="242">
        <f t="shared" si="375"/>
        <v>1680.5</v>
      </c>
      <c r="OG59" s="56"/>
      <c r="OJ59" s="55">
        <f t="shared" si="376"/>
        <v>46071</v>
      </c>
      <c r="OK59" s="56"/>
      <c r="OL59" s="242">
        <f>SUMPRODUCT(PRODUCE!$B72:$DY72,PRODUCE!$EB$51:$IY$51)</f>
        <v>0</v>
      </c>
      <c r="OM59" s="56"/>
      <c r="ON59" s="242">
        <f t="shared" si="377"/>
        <v>0</v>
      </c>
      <c r="OO59" s="242">
        <f t="shared" si="378"/>
        <v>0</v>
      </c>
      <c r="OP59" s="56"/>
      <c r="OS59" s="55">
        <f t="shared" si="379"/>
        <v>46071</v>
      </c>
      <c r="OT59" s="56"/>
      <c r="OU59" s="242">
        <f>SUMPRODUCT(PRODUCE!$B72:$DY72,PRODUCE!$EB$52:$IY$52)</f>
        <v>0</v>
      </c>
      <c r="OV59" s="56"/>
      <c r="OW59" s="242">
        <f t="shared" si="380"/>
        <v>0</v>
      </c>
      <c r="OX59" s="242">
        <f t="shared" si="381"/>
        <v>0</v>
      </c>
      <c r="OY59" s="56"/>
      <c r="PB59" s="55">
        <f t="shared" si="382"/>
        <v>46071</v>
      </c>
      <c r="PC59" s="56"/>
      <c r="PD59" s="242">
        <f>SUMPRODUCT(PRODUCE!$B72:$DY72,PRODUCE!$EB$53:$IY$53)</f>
        <v>0</v>
      </c>
      <c r="PE59" s="56"/>
      <c r="PF59" s="242">
        <f t="shared" si="383"/>
        <v>0</v>
      </c>
      <c r="PG59" s="242">
        <f t="shared" si="384"/>
        <v>0</v>
      </c>
      <c r="PH59" s="56"/>
      <c r="PK59" s="55">
        <f t="shared" si="385"/>
        <v>46071</v>
      </c>
      <c r="PL59" s="56"/>
      <c r="PM59" s="242">
        <f>SUMPRODUCT(PRODUCE!$B72:$DY72,PRODUCE!$EB$54:$IY$54)</f>
        <v>0</v>
      </c>
      <c r="PN59" s="56"/>
      <c r="PO59" s="242">
        <f t="shared" si="386"/>
        <v>0</v>
      </c>
      <c r="PP59" s="242">
        <f t="shared" si="387"/>
        <v>160</v>
      </c>
      <c r="PQ59" s="56"/>
      <c r="PT59" s="55">
        <f t="shared" si="388"/>
        <v>46071</v>
      </c>
      <c r="PU59" s="56"/>
      <c r="PV59" s="242">
        <f>SUMPRODUCT(PRODUCE!$B72:$DY72,PRODUCE!$EB$55:$IY$55)</f>
        <v>0</v>
      </c>
      <c r="PW59" s="56"/>
      <c r="PX59" s="242">
        <f t="shared" si="389"/>
        <v>0</v>
      </c>
      <c r="PY59" s="242">
        <f t="shared" si="390"/>
        <v>13.960000000000036</v>
      </c>
      <c r="PZ59" s="56"/>
      <c r="QC59" s="55">
        <f t="shared" si="391"/>
        <v>46071</v>
      </c>
      <c r="QD59" s="56"/>
      <c r="QE59" s="242">
        <f>SUMPRODUCT(PRODUCE!$B72:$DY72,PRODUCE!$EB$56:$IY$56)</f>
        <v>0</v>
      </c>
      <c r="QF59" s="56"/>
      <c r="QG59" s="242">
        <f t="shared" si="392"/>
        <v>0</v>
      </c>
      <c r="QH59" s="242">
        <f t="shared" si="393"/>
        <v>0</v>
      </c>
      <c r="QI59" s="56"/>
      <c r="QL59" s="55">
        <f t="shared" si="394"/>
        <v>46071</v>
      </c>
      <c r="QM59" s="56"/>
      <c r="QN59" s="242">
        <f>SUMPRODUCT(PRODUCE!$B72:$DY72,PRODUCE!$EB$57:$IY$57)</f>
        <v>0</v>
      </c>
      <c r="QO59" s="56"/>
      <c r="QP59" s="242">
        <f t="shared" si="395"/>
        <v>0</v>
      </c>
      <c r="QQ59" s="242">
        <f t="shared" si="396"/>
        <v>0</v>
      </c>
      <c r="QR59" s="56"/>
      <c r="QU59" s="55">
        <f t="shared" si="397"/>
        <v>46071</v>
      </c>
      <c r="QV59" s="56"/>
      <c r="QW59" s="242">
        <f>SUMPRODUCT(PRODUCE!$B72:$DY72,PRODUCE!$EB$57:$IY$57)</f>
        <v>0</v>
      </c>
      <c r="QX59" s="56"/>
      <c r="QY59" s="242">
        <f t="shared" si="398"/>
        <v>0</v>
      </c>
      <c r="QZ59" s="242">
        <f t="shared" si="399"/>
        <v>207.6</v>
      </c>
      <c r="RA59" s="56"/>
      <c r="RD59" s="55">
        <f t="shared" si="400"/>
        <v>46071</v>
      </c>
      <c r="RE59" s="56"/>
      <c r="RF59" s="242">
        <f>SUMPRODUCT(PRODUCE!$B72:$DY72,PRODUCE!$EB$58:$IY$58)</f>
        <v>0</v>
      </c>
      <c r="RG59" s="56"/>
      <c r="RH59" s="242">
        <f t="shared" si="401"/>
        <v>0</v>
      </c>
      <c r="RI59" s="242">
        <f t="shared" si="402"/>
        <v>197.04000000000002</v>
      </c>
      <c r="RJ59" s="56"/>
      <c r="RM59" s="55">
        <f t="shared" si="403"/>
        <v>46071</v>
      </c>
      <c r="RN59" s="56"/>
      <c r="RO59" s="242">
        <f>SUMPRODUCT(PRODUCE!$B72:$DY72,PRODUCE!$EB$57:$IY$57)</f>
        <v>0</v>
      </c>
      <c r="RP59" s="56"/>
      <c r="RQ59" s="242">
        <f t="shared" si="404"/>
        <v>0</v>
      </c>
      <c r="RR59" s="242">
        <f t="shared" si="405"/>
        <v>46.8</v>
      </c>
      <c r="RS59" s="56"/>
      <c r="RV59" s="55">
        <f t="shared" si="406"/>
        <v>46071</v>
      </c>
      <c r="RW59" s="56"/>
      <c r="RX59" s="242">
        <f>SUMPRODUCT(PRODUCE!$B72:$DY72,PRODUCE!$EB$57:$IY$57)</f>
        <v>0</v>
      </c>
      <c r="RY59" s="56"/>
      <c r="RZ59" s="242">
        <f t="shared" si="407"/>
        <v>0</v>
      </c>
      <c r="SA59" s="242">
        <f t="shared" si="408"/>
        <v>0</v>
      </c>
      <c r="SB59" s="56"/>
      <c r="SE59" s="55">
        <f t="shared" si="409"/>
        <v>46071</v>
      </c>
      <c r="SF59" s="56"/>
      <c r="SG59" s="242">
        <f>SUMPRODUCT(PRODUCE!$B72:$DY72,PRODUCE!$EB$57:$IY$57)</f>
        <v>0</v>
      </c>
      <c r="SH59" s="56"/>
      <c r="SI59" s="242">
        <f t="shared" si="410"/>
        <v>0</v>
      </c>
      <c r="SJ59" s="242">
        <f t="shared" si="411"/>
        <v>0</v>
      </c>
      <c r="SK59" s="56"/>
      <c r="SN59" s="55">
        <f t="shared" si="412"/>
        <v>46071</v>
      </c>
      <c r="SO59" s="56"/>
      <c r="SP59" s="242">
        <f>SUMPRODUCT(PRODUCE!$B72:$DY72,PRODUCE!$EB$57:$IY$57)</f>
        <v>0</v>
      </c>
      <c r="SQ59" s="56"/>
      <c r="SR59" s="242">
        <f t="shared" si="413"/>
        <v>0</v>
      </c>
      <c r="SS59" s="242">
        <f t="shared" si="414"/>
        <v>0</v>
      </c>
      <c r="ST59" s="56"/>
      <c r="SW59" s="55">
        <f t="shared" si="415"/>
        <v>46071</v>
      </c>
      <c r="SX59" s="56"/>
      <c r="SY59" s="242">
        <f>SUMPRODUCT(PRODUCE!$B72:$DY72,PRODUCE!$EB$57:$IY$57)</f>
        <v>0</v>
      </c>
      <c r="SZ59" s="56"/>
      <c r="TA59" s="242">
        <f t="shared" si="416"/>
        <v>0</v>
      </c>
      <c r="TB59" s="242">
        <f t="shared" si="417"/>
        <v>0</v>
      </c>
      <c r="TC59" s="56"/>
      <c r="TF59" s="55">
        <f t="shared" si="418"/>
        <v>46071</v>
      </c>
      <c r="TG59" s="56"/>
      <c r="TH59" s="242">
        <f>SUMPRODUCT(PRODUCE!$B72:$DY72,PRODUCE!$EB$57:$IY$57)</f>
        <v>0</v>
      </c>
      <c r="TI59" s="56"/>
      <c r="TJ59" s="242">
        <f t="shared" si="419"/>
        <v>0</v>
      </c>
      <c r="TK59" s="242">
        <f t="shared" si="420"/>
        <v>0</v>
      </c>
      <c r="TL59" s="56"/>
      <c r="TO59" s="55">
        <f t="shared" si="421"/>
        <v>46071</v>
      </c>
      <c r="TP59" s="56"/>
      <c r="TQ59" s="242">
        <f>SUMPRODUCT(PRODUCE!$B72:$DY72,PRODUCE!$EB$57:$IY$57)</f>
        <v>0</v>
      </c>
      <c r="TR59" s="56"/>
      <c r="TS59" s="242">
        <f t="shared" si="422"/>
        <v>0</v>
      </c>
      <c r="TT59" s="242">
        <f t="shared" si="423"/>
        <v>0</v>
      </c>
      <c r="TU59" s="56"/>
      <c r="TX59" s="55">
        <f t="shared" si="424"/>
        <v>46071</v>
      </c>
      <c r="TY59" s="56"/>
      <c r="TZ59" s="242">
        <f>SUMPRODUCT(PRODUCE!$B72:$DY72,PRODUCE!$EB$57:$IY$57)</f>
        <v>0</v>
      </c>
      <c r="UA59" s="56"/>
      <c r="UB59" s="242">
        <f t="shared" si="425"/>
        <v>0</v>
      </c>
      <c r="UC59" s="242">
        <f t="shared" si="426"/>
        <v>0</v>
      </c>
      <c r="UD59" s="56"/>
      <c r="UG59" s="55">
        <f t="shared" si="427"/>
        <v>46071</v>
      </c>
      <c r="UH59" s="56"/>
      <c r="UI59" s="242">
        <f>SUMPRODUCT(PRODUCE!$B72:$DY72,PRODUCE!$EB$57:$IY$57)</f>
        <v>0</v>
      </c>
      <c r="UJ59" s="56"/>
      <c r="UK59" s="242">
        <f t="shared" si="428"/>
        <v>0</v>
      </c>
      <c r="UL59" s="242">
        <f t="shared" si="429"/>
        <v>0</v>
      </c>
      <c r="UM59" s="56"/>
      <c r="UP59" s="55">
        <f t="shared" si="430"/>
        <v>46071</v>
      </c>
      <c r="UQ59" s="56"/>
      <c r="UR59" s="242">
        <f>SUMPRODUCT(PRODUCE!$B72:$DY72,PRODUCE!$EB$57:$IY$57)</f>
        <v>0</v>
      </c>
      <c r="US59" s="56"/>
      <c r="UT59" s="242">
        <f t="shared" si="431"/>
        <v>0</v>
      </c>
      <c r="UU59" s="242">
        <f t="shared" si="432"/>
        <v>0</v>
      </c>
      <c r="UV59" s="56"/>
      <c r="UY59" s="55">
        <f t="shared" si="433"/>
        <v>46071</v>
      </c>
      <c r="UZ59" s="56"/>
      <c r="VA59" s="242">
        <f>SUMPRODUCT(PRODUCE!$B72:$DY72,PRODUCE!$EB$57:$IY$57)</f>
        <v>0</v>
      </c>
      <c r="VB59" s="56"/>
      <c r="VC59" s="242">
        <f t="shared" si="434"/>
        <v>0</v>
      </c>
      <c r="VD59" s="242">
        <f t="shared" si="435"/>
        <v>41.600000000000023</v>
      </c>
      <c r="VE59" s="56"/>
      <c r="VH59" s="55">
        <f t="shared" si="436"/>
        <v>46071</v>
      </c>
      <c r="VI59" s="56"/>
      <c r="VJ59" s="242">
        <f>SUMPRODUCT(PRODUCE!$B72:$DY72,PRODUCE!$EB$57:$IY$57)</f>
        <v>0</v>
      </c>
      <c r="VK59" s="56"/>
      <c r="VL59" s="242">
        <f t="shared" si="437"/>
        <v>0</v>
      </c>
      <c r="VM59" s="242">
        <f t="shared" si="438"/>
        <v>0</v>
      </c>
      <c r="VN59" s="56"/>
      <c r="VQ59" s="55">
        <f t="shared" si="439"/>
        <v>46071</v>
      </c>
      <c r="VR59" s="56"/>
      <c r="VS59" s="242">
        <f>SUMPRODUCT(PRODUCE!$B72:$DY72,PRODUCE!$EB$57:$IY$57)</f>
        <v>0</v>
      </c>
      <c r="VT59" s="56"/>
      <c r="VU59" s="242">
        <f t="shared" si="440"/>
        <v>0</v>
      </c>
      <c r="VV59" s="242">
        <f t="shared" si="441"/>
        <v>0</v>
      </c>
      <c r="VW59" s="56"/>
      <c r="VZ59" s="55">
        <f t="shared" si="442"/>
        <v>46071</v>
      </c>
      <c r="WA59" s="56"/>
      <c r="WB59" s="242">
        <f>SUMPRODUCT(PRODUCE!$B72:$DY72,PRODUCE!$EB$57:$IY$57)</f>
        <v>0</v>
      </c>
      <c r="WC59" s="56"/>
      <c r="WD59" s="242">
        <f t="shared" si="443"/>
        <v>0</v>
      </c>
      <c r="WE59" s="242">
        <f t="shared" si="444"/>
        <v>0</v>
      </c>
      <c r="WF59" s="56"/>
      <c r="WI59" s="55">
        <f t="shared" si="445"/>
        <v>46071</v>
      </c>
      <c r="WJ59" s="56"/>
      <c r="WK59" s="242">
        <f>SUMPRODUCT(PRODUCE!$B72:$DY72,PRODUCE!$EB$57:$IY$57)</f>
        <v>0</v>
      </c>
      <c r="WL59" s="56"/>
      <c r="WM59" s="242">
        <f t="shared" si="446"/>
        <v>0</v>
      </c>
      <c r="WN59" s="242">
        <f t="shared" si="447"/>
        <v>8433</v>
      </c>
      <c r="WO59" s="56"/>
      <c r="WR59" s="55">
        <f t="shared" si="448"/>
        <v>46071</v>
      </c>
      <c r="WS59" s="56"/>
      <c r="WT59" s="242">
        <f>SUMPRODUCT(PRODUCE!$B72:$DY72,PRODUCE!$EB$57:$IY$57)</f>
        <v>0</v>
      </c>
      <c r="WU59" s="56"/>
      <c r="WV59" s="242">
        <f t="shared" si="449"/>
        <v>0</v>
      </c>
      <c r="WW59" s="242">
        <f t="shared" si="450"/>
        <v>6559</v>
      </c>
      <c r="WX59" s="56"/>
      <c r="XA59" s="55">
        <f t="shared" si="451"/>
        <v>46071</v>
      </c>
      <c r="XB59" s="56"/>
      <c r="XC59" s="242">
        <f>SUMPRODUCT(PRODUCE!$B72:$DY72,PRODUCE!$EB$57:$IY$57)</f>
        <v>0</v>
      </c>
      <c r="XD59" s="56"/>
      <c r="XE59" s="242">
        <f t="shared" si="452"/>
        <v>0</v>
      </c>
      <c r="XF59" s="242">
        <f t="shared" si="453"/>
        <v>590</v>
      </c>
      <c r="XG59" s="56"/>
      <c r="XJ59" s="55">
        <f t="shared" si="454"/>
        <v>46071</v>
      </c>
      <c r="XK59" s="56"/>
      <c r="XL59" s="242">
        <f>SUMPRODUCT(PRODUCE!$B72:$DY72,PRODUCE!$EB$57:$IY$57)</f>
        <v>0</v>
      </c>
      <c r="XM59" s="56"/>
      <c r="XN59" s="242">
        <f t="shared" si="455"/>
        <v>0</v>
      </c>
      <c r="XO59" s="242">
        <f t="shared" si="456"/>
        <v>8852</v>
      </c>
      <c r="XP59" s="56"/>
      <c r="XS59" s="55">
        <f t="shared" si="457"/>
        <v>46071</v>
      </c>
      <c r="XT59" s="56"/>
      <c r="XU59" s="242">
        <f>SUMPRODUCT(PRODUCE!$B72:$DY72,PRODUCE!$EB$57:$IY$57)</f>
        <v>0</v>
      </c>
      <c r="XV59" s="56"/>
      <c r="XW59" s="242">
        <f t="shared" si="458"/>
        <v>0</v>
      </c>
      <c r="XX59" s="242">
        <f t="shared" si="459"/>
        <v>1901</v>
      </c>
      <c r="XY59" s="56"/>
      <c r="YB59" s="55">
        <f t="shared" si="460"/>
        <v>46071</v>
      </c>
      <c r="YC59" s="56"/>
      <c r="YD59" s="242">
        <f>SUMPRODUCT(PRODUCE!$B72:$DY72,PRODUCE!$EB$57:$IY$57)</f>
        <v>0</v>
      </c>
      <c r="YE59" s="56"/>
      <c r="YF59" s="242">
        <f t="shared" si="461"/>
        <v>0</v>
      </c>
      <c r="YG59" s="242">
        <f t="shared" si="462"/>
        <v>-707</v>
      </c>
      <c r="YH59" s="56"/>
      <c r="YK59" s="55">
        <f t="shared" si="463"/>
        <v>46071</v>
      </c>
      <c r="YL59" s="56"/>
      <c r="YM59" s="242">
        <f>SUMPRODUCT(PRODUCE!$B72:$DY72,PRODUCE!$EB$57:$IY$57)</f>
        <v>0</v>
      </c>
      <c r="YN59" s="56"/>
      <c r="YO59" s="242">
        <f t="shared" si="464"/>
        <v>0</v>
      </c>
      <c r="YP59" s="242">
        <f t="shared" si="465"/>
        <v>0</v>
      </c>
      <c r="YQ59" s="56"/>
      <c r="YT59" s="55">
        <f t="shared" si="466"/>
        <v>46071</v>
      </c>
      <c r="YU59" s="56"/>
      <c r="YV59" s="242">
        <f>SUMPRODUCT(PRODUCE!$B72:$DY72,PRODUCE!$EB$57:$IY$57)</f>
        <v>0</v>
      </c>
      <c r="YW59" s="56"/>
      <c r="YX59" s="242">
        <f t="shared" si="467"/>
        <v>0</v>
      </c>
      <c r="YY59" s="242">
        <f t="shared" si="468"/>
        <v>0</v>
      </c>
      <c r="YZ59" s="56"/>
      <c r="ZC59" s="55">
        <f t="shared" si="469"/>
        <v>46071</v>
      </c>
      <c r="ZD59" s="56"/>
      <c r="ZE59" s="242">
        <f>SUMPRODUCT(PRODUCE!$B72:$DY72,PRODUCE!$EB$57:$IY$57)</f>
        <v>0</v>
      </c>
      <c r="ZF59" s="56"/>
      <c r="ZG59" s="242">
        <f t="shared" si="470"/>
        <v>0</v>
      </c>
      <c r="ZH59" s="242">
        <f t="shared" si="471"/>
        <v>0</v>
      </c>
      <c r="ZI59" s="56"/>
      <c r="ZL59" s="55">
        <f t="shared" si="472"/>
        <v>46071</v>
      </c>
      <c r="ZM59" s="56"/>
      <c r="ZN59" s="242">
        <f>SUMPRODUCT(PRODUCE!$B72:$DY72,PRODUCE!$EB$57:$IY$57)</f>
        <v>0</v>
      </c>
      <c r="ZO59" s="56"/>
      <c r="ZP59" s="242">
        <f t="shared" si="473"/>
        <v>0</v>
      </c>
      <c r="ZQ59" s="242">
        <f t="shared" si="474"/>
        <v>0</v>
      </c>
      <c r="ZR59" s="56"/>
      <c r="ZU59" s="55">
        <f t="shared" si="475"/>
        <v>46071</v>
      </c>
      <c r="ZV59" s="56"/>
      <c r="ZW59" s="242">
        <f>SUMPRODUCT(PRODUCE!$B72:$DY72,PRODUCE!$EB$57:$IY$57)</f>
        <v>0</v>
      </c>
      <c r="ZX59" s="56"/>
      <c r="ZY59" s="242">
        <f t="shared" si="476"/>
        <v>0</v>
      </c>
      <c r="ZZ59" s="242">
        <f t="shared" si="477"/>
        <v>0</v>
      </c>
      <c r="AAA59" s="56"/>
      <c r="AAD59" s="55">
        <f t="shared" si="478"/>
        <v>46071</v>
      </c>
      <c r="AAE59" s="56"/>
      <c r="AAF59" s="242">
        <f>SUMPRODUCT(PRODUCE!$B72:$DY72,PRODUCE!$EB$57:$IY$57)</f>
        <v>0</v>
      </c>
      <c r="AAG59" s="56"/>
      <c r="AAH59" s="242">
        <f t="shared" si="479"/>
        <v>0</v>
      </c>
      <c r="AAI59" s="242">
        <f t="shared" si="480"/>
        <v>0</v>
      </c>
      <c r="AAJ59" s="56"/>
      <c r="AAM59" s="55">
        <f t="shared" si="481"/>
        <v>46071</v>
      </c>
      <c r="AAN59" s="56"/>
      <c r="AAO59" s="242">
        <f>SUMPRODUCT(PRODUCE!$B72:$DY72,PRODUCE!$EB$57:$IY$57)</f>
        <v>0</v>
      </c>
      <c r="AAP59" s="56"/>
      <c r="AAQ59" s="242">
        <f t="shared" si="482"/>
        <v>0</v>
      </c>
      <c r="AAR59" s="242">
        <f t="shared" si="483"/>
        <v>0</v>
      </c>
      <c r="AAS59" s="56"/>
      <c r="AAV59" s="55">
        <f t="shared" si="484"/>
        <v>46071</v>
      </c>
      <c r="AAW59" s="56"/>
      <c r="AAX59" s="242">
        <f>SUMPRODUCT(PRODUCE!$B72:$DY72,PRODUCE!$EB$57:$IY$57)</f>
        <v>0</v>
      </c>
      <c r="AAY59" s="56"/>
      <c r="AAZ59" s="242">
        <f t="shared" si="485"/>
        <v>0</v>
      </c>
      <c r="ABA59" s="242">
        <f t="shared" si="486"/>
        <v>0</v>
      </c>
      <c r="ABB59" s="56"/>
      <c r="ABE59" s="55">
        <f t="shared" si="487"/>
        <v>46071</v>
      </c>
      <c r="ABF59" s="56"/>
      <c r="ABG59" s="242">
        <f>SUMPRODUCT(PRODUCE!$B72:$DY72,PRODUCE!$EB$57:$IY$57)</f>
        <v>0</v>
      </c>
      <c r="ABH59" s="56"/>
      <c r="ABI59" s="242">
        <f t="shared" si="488"/>
        <v>0</v>
      </c>
      <c r="ABJ59" s="242">
        <f t="shared" si="489"/>
        <v>0</v>
      </c>
      <c r="ABK59" s="56"/>
    </row>
    <row r="60" spans="2:739" s="54" customFormat="1" ht="15" customHeight="1" outlineLevel="1">
      <c r="B60" s="478">
        <f>54+78</f>
        <v>132</v>
      </c>
      <c r="C60" s="55">
        <v>46072</v>
      </c>
      <c r="D60" s="422"/>
      <c r="E60" s="424">
        <f>SUMPRODUCT(PRODUCE!$B73:$DY73,PRODUCE!$EB$7:$IY$7)</f>
        <v>68130.3</v>
      </c>
      <c r="F60" s="422">
        <v>68133.399999999994</v>
      </c>
      <c r="G60" s="423">
        <f t="shared" si="247"/>
        <v>-3.0999999999912689</v>
      </c>
      <c r="H60" s="423">
        <f t="shared" si="245"/>
        <v>148506</v>
      </c>
      <c r="I60" s="325" t="s">
        <v>207</v>
      </c>
      <c r="L60" s="55">
        <f t="shared" si="246"/>
        <v>46072</v>
      </c>
      <c r="M60" s="422"/>
      <c r="N60" s="439">
        <f>SUMPRODUCT(PRODUCE!$B73:$DY73,PRODUCE!$EB$8:$IY$8)</f>
        <v>31055.999999999996</v>
      </c>
      <c r="O60" s="422">
        <v>31052.6</v>
      </c>
      <c r="P60" s="438">
        <f t="shared" si="248"/>
        <v>3.3999999999978172</v>
      </c>
      <c r="Q60" s="438">
        <f t="shared" si="249"/>
        <v>84685.000000000029</v>
      </c>
      <c r="R60" s="56"/>
      <c r="U60" s="55">
        <f t="shared" si="250"/>
        <v>46072</v>
      </c>
      <c r="V60" s="422"/>
      <c r="W60" s="441">
        <f>SUMPRODUCT(PRODUCE!$B73:$DY73,PRODUCE!$EB$9:$IY$9)</f>
        <v>9213</v>
      </c>
      <c r="X60" s="422">
        <v>9213.7000000000007</v>
      </c>
      <c r="Y60" s="440">
        <f t="shared" si="251"/>
        <v>-0.7000000000007276</v>
      </c>
      <c r="Z60" s="440">
        <f t="shared" si="252"/>
        <v>42973.39999999998</v>
      </c>
      <c r="AA60" s="56"/>
      <c r="AD60" s="55">
        <f t="shared" si="253"/>
        <v>46072</v>
      </c>
      <c r="AE60" s="422"/>
      <c r="AF60" s="443">
        <f>SUMPRODUCT(PRODUCE!$B73:$DY73,PRODUCE!$EB$10:$IY$10)</f>
        <v>3714</v>
      </c>
      <c r="AG60" s="422">
        <v>3716.3</v>
      </c>
      <c r="AH60" s="442">
        <f t="shared" si="254"/>
        <v>-2.3000000000001819</v>
      </c>
      <c r="AI60" s="442">
        <f t="shared" si="255"/>
        <v>43039.200000000019</v>
      </c>
      <c r="AJ60" s="56"/>
      <c r="AM60" s="55">
        <f t="shared" si="256"/>
        <v>46072</v>
      </c>
      <c r="AN60" s="422"/>
      <c r="AO60" s="445">
        <f>SUMPRODUCT(PRODUCE!$B73:$DY73,PRODUCE!$EB$11:$IY$11)</f>
        <v>0</v>
      </c>
      <c r="AP60" s="422"/>
      <c r="AQ60" s="444">
        <f t="shared" si="257"/>
        <v>0</v>
      </c>
      <c r="AR60" s="444">
        <f t="shared" si="258"/>
        <v>0</v>
      </c>
      <c r="AS60" s="56"/>
      <c r="AV60" s="55">
        <f t="shared" si="259"/>
        <v>46072</v>
      </c>
      <c r="AW60" s="422"/>
      <c r="AX60" s="447">
        <f>SUMPRODUCT(PRODUCE!$B73:$DY73,PRODUCE!$EB$12:$IY$12)</f>
        <v>1080</v>
      </c>
      <c r="AY60" s="422">
        <v>1079.5999999999999</v>
      </c>
      <c r="AZ60" s="446">
        <f t="shared" si="260"/>
        <v>0.40000000000009095</v>
      </c>
      <c r="BA60" s="446">
        <f t="shared" si="261"/>
        <v>49842.69999999999</v>
      </c>
      <c r="BB60" s="56"/>
      <c r="BE60" s="55">
        <f t="shared" si="262"/>
        <v>46072</v>
      </c>
      <c r="BF60" s="422"/>
      <c r="BG60" s="449">
        <f>SUMPRODUCT(PRODUCE!$B73:$DY73,PRODUCE!$EB$13:$IY$13)</f>
        <v>4356</v>
      </c>
      <c r="BH60" s="422">
        <v>4356.7</v>
      </c>
      <c r="BI60" s="448">
        <f t="shared" si="263"/>
        <v>-0.6999999999998181</v>
      </c>
      <c r="BJ60" s="448">
        <f t="shared" si="264"/>
        <v>18990.100000000006</v>
      </c>
      <c r="BK60" s="56"/>
      <c r="BN60" s="55">
        <f t="shared" si="265"/>
        <v>46072</v>
      </c>
      <c r="BO60" s="422">
        <v>2640</v>
      </c>
      <c r="BP60" s="451">
        <f>SUMPRODUCT(PRODUCE!$B73:$DY73,PRODUCE!$EB$14:$IY$14)</f>
        <v>2640</v>
      </c>
      <c r="BQ60" s="422">
        <v>2640</v>
      </c>
      <c r="BR60" s="450">
        <f t="shared" si="266"/>
        <v>0</v>
      </c>
      <c r="BS60" s="450">
        <f t="shared" si="267"/>
        <v>0</v>
      </c>
      <c r="BT60" s="56"/>
      <c r="BW60" s="55">
        <f t="shared" si="268"/>
        <v>46072</v>
      </c>
      <c r="BX60" s="56"/>
      <c r="BY60" s="81">
        <f>SUMPRODUCT(PRODUCE!$B73:$DY73,PRODUCE!$EB$15:$IY$15)</f>
        <v>518.70000000000005</v>
      </c>
      <c r="BZ60" s="56"/>
      <c r="CA60" s="65">
        <f t="shared" si="269"/>
        <v>518.70000000000005</v>
      </c>
      <c r="CB60" s="65">
        <f t="shared" si="270"/>
        <v>931.90000000000009</v>
      </c>
      <c r="CC60" s="56"/>
      <c r="CF60" s="55">
        <f t="shared" si="271"/>
        <v>46072</v>
      </c>
      <c r="CG60" s="56"/>
      <c r="CH60" s="82">
        <f>SUMPRODUCT(PRODUCE!$B73:$DY73,PRODUCE!$EB$16:$IY$16)</f>
        <v>780</v>
      </c>
      <c r="CI60" s="56"/>
      <c r="CJ60" s="66">
        <f t="shared" si="272"/>
        <v>780</v>
      </c>
      <c r="CK60" s="66">
        <f t="shared" si="273"/>
        <v>0</v>
      </c>
      <c r="CL60" s="56"/>
      <c r="CO60" s="55">
        <f t="shared" si="274"/>
        <v>46072</v>
      </c>
      <c r="CP60" s="422"/>
      <c r="CQ60" s="471">
        <f>SUMPRODUCT(PRODUCE!$B73:$DY73,PRODUCE!$EB$17:$IY$17)</f>
        <v>0</v>
      </c>
      <c r="CR60" s="422"/>
      <c r="CS60" s="470">
        <f t="shared" si="275"/>
        <v>0</v>
      </c>
      <c r="CT60" s="470">
        <f t="shared" si="276"/>
        <v>0</v>
      </c>
      <c r="CU60" s="56"/>
      <c r="CX60" s="55">
        <f t="shared" si="277"/>
        <v>46072</v>
      </c>
      <c r="CY60" s="56"/>
      <c r="CZ60" s="136">
        <f>SUMPRODUCT(PRODUCE!$B73:$DY73,PRODUCE!$EB$18:$IY$18)</f>
        <v>3900</v>
      </c>
      <c r="DA60" s="56">
        <v>3901.6</v>
      </c>
      <c r="DB60" s="133">
        <f t="shared" si="278"/>
        <v>-1.5999999999999091</v>
      </c>
      <c r="DC60" s="133">
        <f t="shared" si="279"/>
        <v>23185.200000000001</v>
      </c>
      <c r="DD60" s="56"/>
      <c r="DG60" s="55">
        <f t="shared" si="280"/>
        <v>46072</v>
      </c>
      <c r="DH60" s="56"/>
      <c r="DI60" s="150">
        <f>SUMPRODUCT(PRODUCE!$B73:$DY73,PRODUCE!$EB$19:$IY$19)</f>
        <v>3120</v>
      </c>
      <c r="DJ60" s="56">
        <v>3120.4</v>
      </c>
      <c r="DK60" s="147">
        <f t="shared" si="281"/>
        <v>-0.40000000000009095</v>
      </c>
      <c r="DL60" s="147">
        <f t="shared" si="282"/>
        <v>10311.199999999997</v>
      </c>
      <c r="DM60" s="56"/>
      <c r="DP60" s="55">
        <f t="shared" si="283"/>
        <v>46072</v>
      </c>
      <c r="DQ60" s="56"/>
      <c r="DR60" s="58">
        <f>SUMPRODUCT(PRODUCE!$B73:$DY73,PRODUCE!$EB$20:$IY$20)</f>
        <v>0</v>
      </c>
      <c r="DS60" s="56"/>
      <c r="DT60" s="57">
        <f t="shared" si="284"/>
        <v>0</v>
      </c>
      <c r="DU60" s="57">
        <f t="shared" si="285"/>
        <v>2300</v>
      </c>
      <c r="DV60" s="56"/>
      <c r="DY60" s="55">
        <f t="shared" si="286"/>
        <v>46072</v>
      </c>
      <c r="DZ60" s="56"/>
      <c r="EA60" s="159">
        <f>SUMPRODUCT(PRODUCE!$B73:$DY73,PRODUCE!$EB$21:$IY$21)</f>
        <v>0</v>
      </c>
      <c r="EB60" s="56"/>
      <c r="EC60" s="157">
        <f t="shared" si="287"/>
        <v>0</v>
      </c>
      <c r="ED60" s="157">
        <f t="shared" si="288"/>
        <v>5696.8</v>
      </c>
      <c r="EE60" s="56"/>
      <c r="EH60" s="55">
        <f t="shared" si="289"/>
        <v>46072</v>
      </c>
      <c r="EI60" s="56"/>
      <c r="EJ60" s="164">
        <f>SUMPRODUCT(PRODUCE!$B73:$DY73,PRODUCE!$EB$22:$IY$22)</f>
        <v>0</v>
      </c>
      <c r="EK60" s="56"/>
      <c r="EL60" s="162">
        <f t="shared" si="290"/>
        <v>0</v>
      </c>
      <c r="EM60" s="162">
        <f t="shared" si="291"/>
        <v>0</v>
      </c>
      <c r="EN60" s="56"/>
      <c r="EQ60" s="55">
        <f t="shared" si="292"/>
        <v>46072</v>
      </c>
      <c r="ER60" s="56"/>
      <c r="ES60" s="171">
        <f>SUMPRODUCT(PRODUCE!$B73:$DY73,PRODUCE!$EB$23:$IY$23)</f>
        <v>0</v>
      </c>
      <c r="ET60" s="56"/>
      <c r="EU60" s="135">
        <f t="shared" si="293"/>
        <v>0</v>
      </c>
      <c r="EV60" s="135">
        <f t="shared" si="294"/>
        <v>0</v>
      </c>
      <c r="EW60" s="56"/>
      <c r="EZ60" s="55">
        <f t="shared" si="295"/>
        <v>46072</v>
      </c>
      <c r="FA60" s="56"/>
      <c r="FB60" s="178">
        <f>SUMPRODUCT(PRODUCE!$B73:$DY73,PRODUCE!$EB$24:$IY$24)</f>
        <v>0</v>
      </c>
      <c r="FC60" s="56"/>
      <c r="FD60" s="175">
        <f t="shared" si="296"/>
        <v>0</v>
      </c>
      <c r="FE60" s="175">
        <f t="shared" si="297"/>
        <v>0</v>
      </c>
      <c r="FF60" s="56"/>
      <c r="FI60" s="55">
        <f t="shared" si="298"/>
        <v>46072</v>
      </c>
      <c r="FJ60" s="56"/>
      <c r="FK60" s="184">
        <f>SUMPRODUCT(PRODUCE!$B73:$DY73,PRODUCE!$EB$25:$IY$25)</f>
        <v>0</v>
      </c>
      <c r="FL60" s="56"/>
      <c r="FM60" s="183">
        <f t="shared" si="299"/>
        <v>0</v>
      </c>
      <c r="FN60" s="183">
        <f t="shared" si="300"/>
        <v>0</v>
      </c>
      <c r="FO60" s="56"/>
      <c r="FR60" s="55">
        <f t="shared" si="301"/>
        <v>46072</v>
      </c>
      <c r="FS60" s="422"/>
      <c r="FT60" s="453">
        <f>SUMPRODUCT(PRODUCE!$B73:$DY73,PRODUCE!$EB$26:$IY$26)</f>
        <v>0</v>
      </c>
      <c r="FU60" s="422"/>
      <c r="FV60" s="452">
        <f t="shared" si="302"/>
        <v>0</v>
      </c>
      <c r="FW60" s="452">
        <f t="shared" si="303"/>
        <v>1900</v>
      </c>
      <c r="FX60" s="56"/>
      <c r="GA60" s="55">
        <f t="shared" si="304"/>
        <v>46072</v>
      </c>
      <c r="GB60" s="422"/>
      <c r="GC60" s="455">
        <f>SUMPRODUCT(PRODUCE!$B73:$DY73,PRODUCE!$EB$27:$IY$27)</f>
        <v>0</v>
      </c>
      <c r="GD60" s="422"/>
      <c r="GE60" s="454">
        <f t="shared" si="305"/>
        <v>0</v>
      </c>
      <c r="GF60" s="454">
        <f t="shared" si="306"/>
        <v>5960</v>
      </c>
      <c r="GG60" s="56"/>
      <c r="GI60" s="23"/>
      <c r="GJ60" s="55">
        <f t="shared" si="307"/>
        <v>46072</v>
      </c>
      <c r="GK60" s="422"/>
      <c r="GL60" s="457">
        <f>SUMPRODUCT(PRODUCE!$B73:$DY73,PRODUCE!$EB$28:$IY$28)</f>
        <v>0</v>
      </c>
      <c r="GM60" s="422"/>
      <c r="GN60" s="456">
        <f t="shared" si="308"/>
        <v>0</v>
      </c>
      <c r="GO60" s="456">
        <f t="shared" si="309"/>
        <v>5240</v>
      </c>
      <c r="GP60" s="56"/>
      <c r="GS60" s="55">
        <f t="shared" si="310"/>
        <v>46072</v>
      </c>
      <c r="GT60" s="56"/>
      <c r="GU60" s="196">
        <f>SUMPRODUCT(PRODUCE!$B73:$DY73,PRODUCE!$EB$29:$IY$29)</f>
        <v>0</v>
      </c>
      <c r="GV60" s="56"/>
      <c r="GW60" s="195">
        <f t="shared" si="311"/>
        <v>0</v>
      </c>
      <c r="GX60" s="195">
        <f t="shared" si="312"/>
        <v>0</v>
      </c>
      <c r="GY60" s="56"/>
      <c r="HB60" s="55">
        <f t="shared" si="313"/>
        <v>46072</v>
      </c>
      <c r="HC60" s="56"/>
      <c r="HD60" s="192">
        <f>SUMPRODUCT(PRODUCE!$B73:$DY73,PRODUCE!$EB$30:$IY$30)</f>
        <v>0</v>
      </c>
      <c r="HE60" s="56"/>
      <c r="HF60" s="191">
        <f t="shared" si="314"/>
        <v>0</v>
      </c>
      <c r="HG60" s="191">
        <f t="shared" si="315"/>
        <v>0</v>
      </c>
      <c r="HH60" s="56"/>
      <c r="HK60" s="55">
        <f t="shared" si="316"/>
        <v>46072</v>
      </c>
      <c r="HL60" s="56"/>
      <c r="HM60" s="80">
        <f>SUMPRODUCT(PRODUCE!$B73:$DY73,PRODUCE!$EB$31:$IY$31)</f>
        <v>0</v>
      </c>
      <c r="HN60" s="56"/>
      <c r="HO60" s="63">
        <f t="shared" si="317"/>
        <v>0</v>
      </c>
      <c r="HP60" s="63">
        <f t="shared" si="318"/>
        <v>0</v>
      </c>
      <c r="HQ60" s="56"/>
      <c r="HU60" s="55">
        <f t="shared" si="319"/>
        <v>46072</v>
      </c>
      <c r="HV60" s="56"/>
      <c r="HW60" s="242">
        <f>SUMPRODUCT(PRODUCE!$B73:$DY73,PRODUCE!$EB$32:$IY$32)</f>
        <v>0</v>
      </c>
      <c r="HX60" s="56"/>
      <c r="HY60" s="242">
        <f t="shared" si="320"/>
        <v>0</v>
      </c>
      <c r="HZ60" s="242">
        <f t="shared" si="321"/>
        <v>5120</v>
      </c>
      <c r="IA60" s="56"/>
      <c r="ID60" s="55">
        <f t="shared" si="322"/>
        <v>46072</v>
      </c>
      <c r="IE60" s="56"/>
      <c r="IF60" s="242">
        <f>SUMPRODUCT(PRODUCE!$B73:$DY73,PRODUCE!$EB$33:$IY$33)</f>
        <v>0</v>
      </c>
      <c r="IG60" s="56"/>
      <c r="IH60" s="242">
        <f t="shared" si="323"/>
        <v>0</v>
      </c>
      <c r="II60" s="242">
        <f t="shared" si="324"/>
        <v>5100</v>
      </c>
      <c r="IJ60" s="56"/>
      <c r="IM60" s="55">
        <f t="shared" si="325"/>
        <v>46072</v>
      </c>
      <c r="IN60" s="56"/>
      <c r="IO60" s="242">
        <f>SUMPRODUCT(PRODUCE!$B73:$DY73,PRODUCE!$EB$34:$IY$34)</f>
        <v>1080</v>
      </c>
      <c r="IP60" s="56"/>
      <c r="IQ60" s="242">
        <f t="shared" si="326"/>
        <v>1080</v>
      </c>
      <c r="IR60" s="242">
        <f t="shared" si="327"/>
        <v>10240</v>
      </c>
      <c r="IS60" s="56"/>
      <c r="IV60" s="55">
        <f t="shared" si="328"/>
        <v>46072</v>
      </c>
      <c r="IW60" s="56"/>
      <c r="IX60" s="242">
        <f>SUMPRODUCT(PRODUCE!$B73:$DY73,PRODUCE!$EB$35:$IY$35)</f>
        <v>0</v>
      </c>
      <c r="IY60" s="56"/>
      <c r="IZ60" s="242">
        <f t="shared" si="329"/>
        <v>0</v>
      </c>
      <c r="JA60" s="242">
        <f t="shared" si="330"/>
        <v>15120</v>
      </c>
      <c r="JB60" s="56"/>
      <c r="JE60" s="55">
        <f t="shared" si="331"/>
        <v>46072</v>
      </c>
      <c r="JF60" s="56"/>
      <c r="JG60" s="242">
        <f>SUMPRODUCT(PRODUCE!$B73:$DY73,PRODUCE!$EB$36:$IY$36)</f>
        <v>0</v>
      </c>
      <c r="JH60" s="56"/>
      <c r="JI60" s="242">
        <f t="shared" si="332"/>
        <v>0</v>
      </c>
      <c r="JJ60" s="242">
        <f t="shared" si="333"/>
        <v>3600</v>
      </c>
      <c r="JK60" s="56"/>
      <c r="JN60" s="55">
        <f t="shared" si="334"/>
        <v>46072</v>
      </c>
      <c r="JO60" s="56"/>
      <c r="JP60" s="242">
        <f>SUMPRODUCT(PRODUCE!$B73:$DY73,PRODUCE!$EB$37:$IY$37)</f>
        <v>0</v>
      </c>
      <c r="JQ60" s="56"/>
      <c r="JR60" s="242">
        <f t="shared" si="335"/>
        <v>0</v>
      </c>
      <c r="JS60" s="242">
        <f t="shared" si="336"/>
        <v>5400</v>
      </c>
      <c r="JT60" s="56"/>
      <c r="JW60" s="55">
        <f t="shared" si="337"/>
        <v>46072</v>
      </c>
      <c r="JX60" s="56"/>
      <c r="JY60" s="242">
        <f>SUMPRODUCT(PRODUCE!$B73:$DY73,PRODUCE!$EB$38:$IY$38)</f>
        <v>0</v>
      </c>
      <c r="JZ60" s="56"/>
      <c r="KA60" s="242">
        <f t="shared" si="338"/>
        <v>0</v>
      </c>
      <c r="KB60" s="242">
        <f t="shared" si="339"/>
        <v>4000</v>
      </c>
      <c r="KC60" s="56"/>
      <c r="KF60" s="55">
        <f t="shared" si="340"/>
        <v>46072</v>
      </c>
      <c r="KG60" s="56"/>
      <c r="KH60" s="242">
        <f>SUMPRODUCT(PRODUCE!$B73:$DY73,PRODUCE!$EB$39:$IY$39)</f>
        <v>1521</v>
      </c>
      <c r="KI60" s="56"/>
      <c r="KJ60" s="242">
        <f t="shared" si="341"/>
        <v>1521</v>
      </c>
      <c r="KK60" s="242">
        <f t="shared" si="342"/>
        <v>1287</v>
      </c>
      <c r="KL60" s="56"/>
      <c r="KO60" s="55">
        <f t="shared" si="343"/>
        <v>46072</v>
      </c>
      <c r="KP60" s="56"/>
      <c r="KQ60" s="242">
        <f>SUMPRODUCT(PRODUCE!$B73:$DY73,PRODUCE!$EB$40:$IY$40)</f>
        <v>0</v>
      </c>
      <c r="KR60" s="56"/>
      <c r="KS60" s="242">
        <f t="shared" si="344"/>
        <v>0</v>
      </c>
      <c r="KT60" s="242">
        <f t="shared" si="345"/>
        <v>10659.6</v>
      </c>
      <c r="KU60" s="56"/>
      <c r="KW60" s="23"/>
      <c r="KX60" s="55">
        <f t="shared" si="346"/>
        <v>46072</v>
      </c>
      <c r="KY60" s="56"/>
      <c r="KZ60" s="242">
        <f>SUMPRODUCT(PRODUCE!$B73:$DY73,PRODUCE!$EB$41:$IY$41)</f>
        <v>0</v>
      </c>
      <c r="LA60" s="56"/>
      <c r="LB60" s="242">
        <f t="shared" si="347"/>
        <v>0</v>
      </c>
      <c r="LC60" s="242">
        <f t="shared" si="348"/>
        <v>0</v>
      </c>
      <c r="LD60" s="56"/>
      <c r="LG60" s="55">
        <f t="shared" si="349"/>
        <v>46072</v>
      </c>
      <c r="LH60" s="56"/>
      <c r="LI60" s="242">
        <f>SUMPRODUCT(PRODUCE!$B73:$DY73,PRODUCE!$EB$42:$IY$42)</f>
        <v>0</v>
      </c>
      <c r="LJ60" s="56"/>
      <c r="LK60" s="242">
        <f t="shared" si="350"/>
        <v>0</v>
      </c>
      <c r="LL60" s="242">
        <f t="shared" si="351"/>
        <v>0</v>
      </c>
      <c r="LM60" s="56"/>
      <c r="LP60" s="55">
        <f t="shared" si="352"/>
        <v>46072</v>
      </c>
      <c r="LQ60" s="56"/>
      <c r="LR60" s="242">
        <f>SUMPRODUCT(PRODUCE!$B75:$DY75,PRODUCE!$EB$43:$IY$43)</f>
        <v>0</v>
      </c>
      <c r="LS60" s="56"/>
      <c r="LT60" s="242">
        <f t="shared" si="353"/>
        <v>0</v>
      </c>
      <c r="LU60" s="242">
        <f t="shared" si="354"/>
        <v>0</v>
      </c>
      <c r="LV60" s="56"/>
      <c r="LY60" s="55">
        <f t="shared" si="355"/>
        <v>46072</v>
      </c>
      <c r="LZ60" s="56"/>
      <c r="MA60" s="242">
        <f>SUMPRODUCT(PRODUCE!$B75:$DY75,PRODUCE!$EB$44:$IY$44)</f>
        <v>0</v>
      </c>
      <c r="MB60" s="56"/>
      <c r="MC60" s="242">
        <f t="shared" si="356"/>
        <v>0</v>
      </c>
      <c r="MD60" s="242">
        <f t="shared" si="357"/>
        <v>0</v>
      </c>
      <c r="ME60" s="56"/>
      <c r="MH60" s="55">
        <f t="shared" si="358"/>
        <v>46072</v>
      </c>
      <c r="MI60" s="56"/>
      <c r="MJ60" s="242">
        <f>SUMPRODUCT(PRODUCE!$B73:$DY73,PRODUCE!$EB$45:$IY$45)</f>
        <v>0</v>
      </c>
      <c r="MK60" s="56"/>
      <c r="ML60" s="242">
        <f t="shared" si="359"/>
        <v>0</v>
      </c>
      <c r="MM60" s="242">
        <f t="shared" si="360"/>
        <v>0</v>
      </c>
      <c r="MN60" s="56"/>
      <c r="MQ60" s="55">
        <f t="shared" si="361"/>
        <v>46072</v>
      </c>
      <c r="MR60" s="56"/>
      <c r="MS60" s="242">
        <f>SUMPRODUCT(PRODUCE!$B73:$DY73,PRODUCE!$EB$46:$IY$46)</f>
        <v>183</v>
      </c>
      <c r="MT60" s="56"/>
      <c r="MU60" s="242">
        <f t="shared" si="362"/>
        <v>183</v>
      </c>
      <c r="MV60" s="242">
        <f t="shared" si="363"/>
        <v>370</v>
      </c>
      <c r="MW60" s="56"/>
      <c r="MZ60" s="55">
        <f t="shared" si="364"/>
        <v>46072</v>
      </c>
      <c r="NA60" s="56"/>
      <c r="NB60" s="242">
        <f>SUMPRODUCT(PRODUCE!$B73:$DY73,PRODUCE!$EB$47:$IY$47)</f>
        <v>396</v>
      </c>
      <c r="NC60" s="56"/>
      <c r="ND60" s="242">
        <f t="shared" si="365"/>
        <v>396</v>
      </c>
      <c r="NE60" s="242">
        <f t="shared" si="366"/>
        <v>0</v>
      </c>
      <c r="NF60" s="56"/>
      <c r="NI60" s="55">
        <f t="shared" si="367"/>
        <v>46072</v>
      </c>
      <c r="NJ60" s="56"/>
      <c r="NK60" s="242">
        <f>SUMPRODUCT(PRODUCE!$B73:$DY73,PRODUCE!$EB$48:$IY$48)</f>
        <v>0</v>
      </c>
      <c r="NL60" s="56"/>
      <c r="NM60" s="242">
        <f t="shared" si="368"/>
        <v>0</v>
      </c>
      <c r="NN60" s="242">
        <f t="shared" si="369"/>
        <v>0</v>
      </c>
      <c r="NO60" s="56"/>
      <c r="NR60" s="55">
        <f t="shared" si="370"/>
        <v>46072</v>
      </c>
      <c r="NS60" s="56"/>
      <c r="NT60" s="242">
        <f>SUMPRODUCT(PRODUCE!$B73:$DY73,PRODUCE!$EB$49:$IY$49)</f>
        <v>93.6</v>
      </c>
      <c r="NU60" s="56"/>
      <c r="NV60" s="242">
        <f t="shared" si="371"/>
        <v>93.6</v>
      </c>
      <c r="NW60" s="242">
        <f t="shared" si="372"/>
        <v>2310</v>
      </c>
      <c r="NX60" s="56"/>
      <c r="OA60" s="55">
        <f t="shared" si="373"/>
        <v>46072</v>
      </c>
      <c r="OB60" s="56"/>
      <c r="OC60" s="242">
        <f>SUMPRODUCT(PRODUCE!$B73:$DY73,PRODUCE!$EB$50:$IY$50)</f>
        <v>0</v>
      </c>
      <c r="OD60" s="56"/>
      <c r="OE60" s="242">
        <f t="shared" si="374"/>
        <v>0</v>
      </c>
      <c r="OF60" s="242">
        <f t="shared" si="375"/>
        <v>1680.5</v>
      </c>
      <c r="OG60" s="56"/>
      <c r="OJ60" s="55">
        <f t="shared" si="376"/>
        <v>46072</v>
      </c>
      <c r="OK60" s="56"/>
      <c r="OL60" s="242">
        <f>SUMPRODUCT(PRODUCE!$B73:$DY73,PRODUCE!$EB$51:$IY$51)</f>
        <v>218.39999999999995</v>
      </c>
      <c r="OM60" s="56"/>
      <c r="ON60" s="242">
        <f t="shared" si="377"/>
        <v>218.39999999999995</v>
      </c>
      <c r="OO60" s="242">
        <f t="shared" si="378"/>
        <v>0</v>
      </c>
      <c r="OP60" s="56"/>
      <c r="OS60" s="55">
        <f t="shared" si="379"/>
        <v>46072</v>
      </c>
      <c r="OT60" s="56"/>
      <c r="OU60" s="242">
        <f>SUMPRODUCT(PRODUCE!$B73:$DY73,PRODUCE!$EB$52:$IY$52)</f>
        <v>0</v>
      </c>
      <c r="OV60" s="56"/>
      <c r="OW60" s="242">
        <f t="shared" si="380"/>
        <v>0</v>
      </c>
      <c r="OX60" s="242">
        <f t="shared" si="381"/>
        <v>0</v>
      </c>
      <c r="OY60" s="56"/>
      <c r="PB60" s="55">
        <f t="shared" si="382"/>
        <v>46072</v>
      </c>
      <c r="PC60" s="56"/>
      <c r="PD60" s="242">
        <f>SUMPRODUCT(PRODUCE!$B73:$DY73,PRODUCE!$EB$53:$IY$53)</f>
        <v>0</v>
      </c>
      <c r="PE60" s="56"/>
      <c r="PF60" s="242">
        <f t="shared" si="383"/>
        <v>0</v>
      </c>
      <c r="PG60" s="242">
        <f t="shared" si="384"/>
        <v>0</v>
      </c>
      <c r="PH60" s="56"/>
      <c r="PK60" s="55">
        <f t="shared" si="385"/>
        <v>46072</v>
      </c>
      <c r="PL60" s="56"/>
      <c r="PM60" s="242">
        <f>SUMPRODUCT(PRODUCE!$B73:$DY73,PRODUCE!$EB$54:$IY$54)</f>
        <v>0</v>
      </c>
      <c r="PN60" s="56"/>
      <c r="PO60" s="242">
        <f t="shared" si="386"/>
        <v>0</v>
      </c>
      <c r="PP60" s="242">
        <f t="shared" si="387"/>
        <v>160</v>
      </c>
      <c r="PQ60" s="56"/>
      <c r="PT60" s="55">
        <f t="shared" si="388"/>
        <v>46072</v>
      </c>
      <c r="PU60" s="56"/>
      <c r="PV60" s="242">
        <f>SUMPRODUCT(PRODUCE!$B73:$DY73,PRODUCE!$EB$55:$IY$55)</f>
        <v>0</v>
      </c>
      <c r="PW60" s="56"/>
      <c r="PX60" s="242">
        <f t="shared" si="389"/>
        <v>0</v>
      </c>
      <c r="PY60" s="242">
        <f t="shared" si="390"/>
        <v>13.960000000000036</v>
      </c>
      <c r="PZ60" s="56"/>
      <c r="QC60" s="55">
        <f t="shared" si="391"/>
        <v>46072</v>
      </c>
      <c r="QD60" s="56"/>
      <c r="QE60" s="242">
        <f>SUMPRODUCT(PRODUCE!$B73:$DY73,PRODUCE!$EB$56:$IY$56)</f>
        <v>0</v>
      </c>
      <c r="QF60" s="56"/>
      <c r="QG60" s="242">
        <f t="shared" si="392"/>
        <v>0</v>
      </c>
      <c r="QH60" s="242">
        <f t="shared" si="393"/>
        <v>0</v>
      </c>
      <c r="QI60" s="56"/>
      <c r="QL60" s="55">
        <f t="shared" si="394"/>
        <v>46072</v>
      </c>
      <c r="QM60" s="56"/>
      <c r="QN60" s="242">
        <f>SUMPRODUCT(PRODUCE!$B73:$DY73,PRODUCE!$EB$57:$IY$57)</f>
        <v>0</v>
      </c>
      <c r="QO60" s="56"/>
      <c r="QP60" s="242">
        <f t="shared" si="395"/>
        <v>0</v>
      </c>
      <c r="QQ60" s="242">
        <f t="shared" si="396"/>
        <v>0</v>
      </c>
      <c r="QR60" s="56"/>
      <c r="QU60" s="55">
        <f t="shared" si="397"/>
        <v>46072</v>
      </c>
      <c r="QV60" s="56"/>
      <c r="QW60" s="242">
        <f>SUMPRODUCT(PRODUCE!$B73:$DY73,PRODUCE!$EB$57:$IY$57)</f>
        <v>0</v>
      </c>
      <c r="QX60" s="56"/>
      <c r="QY60" s="242">
        <f t="shared" si="398"/>
        <v>0</v>
      </c>
      <c r="QZ60" s="242">
        <f t="shared" si="399"/>
        <v>207.6</v>
      </c>
      <c r="RA60" s="56"/>
      <c r="RD60" s="55">
        <f t="shared" si="400"/>
        <v>46072</v>
      </c>
      <c r="RE60" s="56"/>
      <c r="RF60" s="242">
        <f>SUMPRODUCT(PRODUCE!$B73:$DY73,PRODUCE!$EB$58:$IY$58)</f>
        <v>0</v>
      </c>
      <c r="RG60" s="56"/>
      <c r="RH60" s="242">
        <f t="shared" si="401"/>
        <v>0</v>
      </c>
      <c r="RI60" s="242">
        <f t="shared" si="402"/>
        <v>197.04000000000002</v>
      </c>
      <c r="RJ60" s="56"/>
      <c r="RM60" s="55">
        <f t="shared" si="403"/>
        <v>46072</v>
      </c>
      <c r="RN60" s="56"/>
      <c r="RO60" s="242">
        <f>SUMPRODUCT(PRODUCE!$B73:$DY73,PRODUCE!$EB$57:$IY$57)</f>
        <v>0</v>
      </c>
      <c r="RP60" s="56"/>
      <c r="RQ60" s="242">
        <f t="shared" si="404"/>
        <v>0</v>
      </c>
      <c r="RR60" s="242">
        <f t="shared" si="405"/>
        <v>46.8</v>
      </c>
      <c r="RS60" s="56"/>
      <c r="RV60" s="55">
        <f t="shared" si="406"/>
        <v>46072</v>
      </c>
      <c r="RW60" s="56"/>
      <c r="RX60" s="242">
        <f>SUMPRODUCT(PRODUCE!$B73:$DY73,PRODUCE!$EB$57:$IY$57)</f>
        <v>0</v>
      </c>
      <c r="RY60" s="56"/>
      <c r="RZ60" s="242">
        <f t="shared" si="407"/>
        <v>0</v>
      </c>
      <c r="SA60" s="242">
        <f t="shared" si="408"/>
        <v>0</v>
      </c>
      <c r="SB60" s="56"/>
      <c r="SE60" s="55">
        <f t="shared" si="409"/>
        <v>46072</v>
      </c>
      <c r="SF60" s="56"/>
      <c r="SG60" s="242">
        <f>SUMPRODUCT(PRODUCE!$B73:$DY73,PRODUCE!$EB$57:$IY$57)</f>
        <v>0</v>
      </c>
      <c r="SH60" s="56"/>
      <c r="SI60" s="242">
        <f t="shared" si="410"/>
        <v>0</v>
      </c>
      <c r="SJ60" s="242">
        <f t="shared" si="411"/>
        <v>0</v>
      </c>
      <c r="SK60" s="56"/>
      <c r="SN60" s="55">
        <f t="shared" si="412"/>
        <v>46072</v>
      </c>
      <c r="SO60" s="56"/>
      <c r="SP60" s="242">
        <f>SUMPRODUCT(PRODUCE!$B73:$DY73,PRODUCE!$EB$57:$IY$57)</f>
        <v>0</v>
      </c>
      <c r="SQ60" s="56"/>
      <c r="SR60" s="242">
        <f t="shared" si="413"/>
        <v>0</v>
      </c>
      <c r="SS60" s="242">
        <f t="shared" si="414"/>
        <v>0</v>
      </c>
      <c r="ST60" s="56"/>
      <c r="SW60" s="55">
        <f t="shared" si="415"/>
        <v>46072</v>
      </c>
      <c r="SX60" s="56"/>
      <c r="SY60" s="242">
        <f>SUMPRODUCT(PRODUCE!$B73:$DY73,PRODUCE!$EB$57:$IY$57)</f>
        <v>0</v>
      </c>
      <c r="SZ60" s="56"/>
      <c r="TA60" s="242">
        <f t="shared" si="416"/>
        <v>0</v>
      </c>
      <c r="TB60" s="242">
        <f t="shared" si="417"/>
        <v>0</v>
      </c>
      <c r="TC60" s="56"/>
      <c r="TF60" s="55">
        <f t="shared" si="418"/>
        <v>46072</v>
      </c>
      <c r="TG60" s="56"/>
      <c r="TH60" s="242">
        <f>SUMPRODUCT(PRODUCE!$B73:$DY73,PRODUCE!$EB$57:$IY$57)</f>
        <v>0</v>
      </c>
      <c r="TI60" s="56"/>
      <c r="TJ60" s="242">
        <f t="shared" si="419"/>
        <v>0</v>
      </c>
      <c r="TK60" s="242">
        <f t="shared" si="420"/>
        <v>0</v>
      </c>
      <c r="TL60" s="56"/>
      <c r="TO60" s="55">
        <f t="shared" si="421"/>
        <v>46072</v>
      </c>
      <c r="TP60" s="56"/>
      <c r="TQ60" s="242">
        <f>SUMPRODUCT(PRODUCE!$B73:$DY73,PRODUCE!$EB$57:$IY$57)</f>
        <v>0</v>
      </c>
      <c r="TR60" s="56"/>
      <c r="TS60" s="242">
        <f t="shared" si="422"/>
        <v>0</v>
      </c>
      <c r="TT60" s="242">
        <f t="shared" si="423"/>
        <v>0</v>
      </c>
      <c r="TU60" s="56"/>
      <c r="TX60" s="55">
        <f t="shared" si="424"/>
        <v>46072</v>
      </c>
      <c r="TY60" s="56"/>
      <c r="TZ60" s="242">
        <f>SUMPRODUCT(PRODUCE!$B73:$DY73,PRODUCE!$EB$57:$IY$57)</f>
        <v>0</v>
      </c>
      <c r="UA60" s="56"/>
      <c r="UB60" s="242">
        <f t="shared" si="425"/>
        <v>0</v>
      </c>
      <c r="UC60" s="242">
        <f t="shared" si="426"/>
        <v>0</v>
      </c>
      <c r="UD60" s="56"/>
      <c r="UG60" s="55">
        <f t="shared" si="427"/>
        <v>46072</v>
      </c>
      <c r="UH60" s="56"/>
      <c r="UI60" s="242">
        <f>SUMPRODUCT(PRODUCE!$B73:$DY73,PRODUCE!$EB$57:$IY$57)</f>
        <v>0</v>
      </c>
      <c r="UJ60" s="56"/>
      <c r="UK60" s="242">
        <f t="shared" si="428"/>
        <v>0</v>
      </c>
      <c r="UL60" s="242">
        <f t="shared" si="429"/>
        <v>0</v>
      </c>
      <c r="UM60" s="56"/>
      <c r="UP60" s="55">
        <f t="shared" si="430"/>
        <v>46072</v>
      </c>
      <c r="UQ60" s="56"/>
      <c r="UR60" s="242">
        <f>SUMPRODUCT(PRODUCE!$B73:$DY73,PRODUCE!$EB$57:$IY$57)</f>
        <v>0</v>
      </c>
      <c r="US60" s="56"/>
      <c r="UT60" s="242">
        <f t="shared" si="431"/>
        <v>0</v>
      </c>
      <c r="UU60" s="242">
        <f t="shared" si="432"/>
        <v>0</v>
      </c>
      <c r="UV60" s="56"/>
      <c r="UY60" s="55">
        <f t="shared" si="433"/>
        <v>46072</v>
      </c>
      <c r="UZ60" s="56"/>
      <c r="VA60" s="242">
        <f>SUMPRODUCT(PRODUCE!$B73:$DY73,PRODUCE!$EB$57:$IY$57)</f>
        <v>0</v>
      </c>
      <c r="VB60" s="56"/>
      <c r="VC60" s="242">
        <f t="shared" si="434"/>
        <v>0</v>
      </c>
      <c r="VD60" s="242">
        <f t="shared" si="435"/>
        <v>41.600000000000023</v>
      </c>
      <c r="VE60" s="56"/>
      <c r="VH60" s="55">
        <f t="shared" si="436"/>
        <v>46072</v>
      </c>
      <c r="VI60" s="56"/>
      <c r="VJ60" s="242">
        <f>SUMPRODUCT(PRODUCE!$B73:$DY73,PRODUCE!$EB$57:$IY$57)</f>
        <v>0</v>
      </c>
      <c r="VK60" s="56"/>
      <c r="VL60" s="242">
        <f t="shared" si="437"/>
        <v>0</v>
      </c>
      <c r="VM60" s="242">
        <f t="shared" si="438"/>
        <v>0</v>
      </c>
      <c r="VN60" s="56"/>
      <c r="VQ60" s="55">
        <f t="shared" si="439"/>
        <v>46072</v>
      </c>
      <c r="VR60" s="56"/>
      <c r="VS60" s="242">
        <f>SUMPRODUCT(PRODUCE!$B73:$DY73,PRODUCE!$EB$57:$IY$57)</f>
        <v>0</v>
      </c>
      <c r="VT60" s="56"/>
      <c r="VU60" s="242">
        <f t="shared" si="440"/>
        <v>0</v>
      </c>
      <c r="VV60" s="242">
        <f t="shared" si="441"/>
        <v>0</v>
      </c>
      <c r="VW60" s="56"/>
      <c r="VZ60" s="55">
        <f t="shared" si="442"/>
        <v>46072</v>
      </c>
      <c r="WA60" s="56"/>
      <c r="WB60" s="242">
        <f>SUMPRODUCT(PRODUCE!$B73:$DY73,PRODUCE!$EB$57:$IY$57)</f>
        <v>0</v>
      </c>
      <c r="WC60" s="56"/>
      <c r="WD60" s="242">
        <f t="shared" si="443"/>
        <v>0</v>
      </c>
      <c r="WE60" s="242">
        <f t="shared" si="444"/>
        <v>0</v>
      </c>
      <c r="WF60" s="56"/>
      <c r="WI60" s="55">
        <f t="shared" si="445"/>
        <v>46072</v>
      </c>
      <c r="WJ60" s="56"/>
      <c r="WK60" s="242">
        <f>SUMPRODUCT(PRODUCE!$B73:$DY73,PRODUCE!$EB$57:$IY$57)</f>
        <v>0</v>
      </c>
      <c r="WL60" s="56"/>
      <c r="WM60" s="242">
        <f t="shared" si="446"/>
        <v>0</v>
      </c>
      <c r="WN60" s="242">
        <f t="shared" si="447"/>
        <v>8433</v>
      </c>
      <c r="WO60" s="56"/>
      <c r="WR60" s="55">
        <f t="shared" si="448"/>
        <v>46072</v>
      </c>
      <c r="WS60" s="56"/>
      <c r="WT60" s="242">
        <f>SUMPRODUCT(PRODUCE!$B73:$DY73,PRODUCE!$EB$57:$IY$57)</f>
        <v>0</v>
      </c>
      <c r="WU60" s="56"/>
      <c r="WV60" s="242">
        <f t="shared" si="449"/>
        <v>0</v>
      </c>
      <c r="WW60" s="242">
        <f t="shared" si="450"/>
        <v>6559</v>
      </c>
      <c r="WX60" s="56"/>
      <c r="XA60" s="55">
        <f t="shared" si="451"/>
        <v>46072</v>
      </c>
      <c r="XB60" s="56"/>
      <c r="XC60" s="242">
        <f>SUMPRODUCT(PRODUCE!$B73:$DY73,PRODUCE!$EB$57:$IY$57)</f>
        <v>0</v>
      </c>
      <c r="XD60" s="56"/>
      <c r="XE60" s="242">
        <f t="shared" si="452"/>
        <v>0</v>
      </c>
      <c r="XF60" s="242">
        <f t="shared" si="453"/>
        <v>590</v>
      </c>
      <c r="XG60" s="56"/>
      <c r="XJ60" s="55">
        <f t="shared" si="454"/>
        <v>46072</v>
      </c>
      <c r="XK60" s="56"/>
      <c r="XL60" s="242">
        <f>SUMPRODUCT(PRODUCE!$B73:$DY73,PRODUCE!$EB$57:$IY$57)</f>
        <v>0</v>
      </c>
      <c r="XM60" s="56">
        <v>1089</v>
      </c>
      <c r="XN60" s="242">
        <f t="shared" si="455"/>
        <v>-1089</v>
      </c>
      <c r="XO60" s="242">
        <f t="shared" si="456"/>
        <v>7763</v>
      </c>
      <c r="XP60" s="56"/>
      <c r="XS60" s="55">
        <f t="shared" si="457"/>
        <v>46072</v>
      </c>
      <c r="XT60" s="56"/>
      <c r="XU60" s="242">
        <f>SUMPRODUCT(PRODUCE!$B73:$DY73,PRODUCE!$EB$57:$IY$57)</f>
        <v>0</v>
      </c>
      <c r="XV60" s="56"/>
      <c r="XW60" s="242">
        <f t="shared" si="458"/>
        <v>0</v>
      </c>
      <c r="XX60" s="242">
        <f t="shared" si="459"/>
        <v>1901</v>
      </c>
      <c r="XY60" s="56"/>
      <c r="YB60" s="55">
        <f t="shared" si="460"/>
        <v>46072</v>
      </c>
      <c r="YC60" s="56"/>
      <c r="YD60" s="242">
        <f>SUMPRODUCT(PRODUCE!$B73:$DY73,PRODUCE!$EB$57:$IY$57)</f>
        <v>0</v>
      </c>
      <c r="YE60" s="56"/>
      <c r="YF60" s="242">
        <f t="shared" si="461"/>
        <v>0</v>
      </c>
      <c r="YG60" s="242">
        <f t="shared" si="462"/>
        <v>-707</v>
      </c>
      <c r="YH60" s="56"/>
      <c r="YK60" s="55">
        <f t="shared" si="463"/>
        <v>46072</v>
      </c>
      <c r="YL60" s="56"/>
      <c r="YM60" s="242">
        <f>SUMPRODUCT(PRODUCE!$B73:$DY73,PRODUCE!$EB$57:$IY$57)</f>
        <v>0</v>
      </c>
      <c r="YN60" s="56"/>
      <c r="YO60" s="242">
        <f t="shared" si="464"/>
        <v>0</v>
      </c>
      <c r="YP60" s="242">
        <f t="shared" si="465"/>
        <v>0</v>
      </c>
      <c r="YQ60" s="56"/>
      <c r="YT60" s="55">
        <f t="shared" si="466"/>
        <v>46072</v>
      </c>
      <c r="YU60" s="56"/>
      <c r="YV60" s="242">
        <f>SUMPRODUCT(PRODUCE!$B73:$DY73,PRODUCE!$EB$57:$IY$57)</f>
        <v>0</v>
      </c>
      <c r="YW60" s="56"/>
      <c r="YX60" s="242">
        <f t="shared" si="467"/>
        <v>0</v>
      </c>
      <c r="YY60" s="242">
        <f t="shared" si="468"/>
        <v>0</v>
      </c>
      <c r="YZ60" s="56"/>
      <c r="ZC60" s="55">
        <f t="shared" si="469"/>
        <v>46072</v>
      </c>
      <c r="ZD60" s="56"/>
      <c r="ZE60" s="242">
        <f>SUMPRODUCT(PRODUCE!$B73:$DY73,PRODUCE!$EB$57:$IY$57)</f>
        <v>0</v>
      </c>
      <c r="ZF60" s="56"/>
      <c r="ZG60" s="242">
        <f t="shared" si="470"/>
        <v>0</v>
      </c>
      <c r="ZH60" s="242">
        <f t="shared" si="471"/>
        <v>0</v>
      </c>
      <c r="ZI60" s="56"/>
      <c r="ZL60" s="55">
        <f t="shared" si="472"/>
        <v>46072</v>
      </c>
      <c r="ZM60" s="56"/>
      <c r="ZN60" s="242">
        <f>SUMPRODUCT(PRODUCE!$B73:$DY73,PRODUCE!$EB$57:$IY$57)</f>
        <v>0</v>
      </c>
      <c r="ZO60" s="56"/>
      <c r="ZP60" s="242">
        <f t="shared" si="473"/>
        <v>0</v>
      </c>
      <c r="ZQ60" s="242">
        <f t="shared" si="474"/>
        <v>0</v>
      </c>
      <c r="ZR60" s="56"/>
      <c r="ZU60" s="55">
        <f t="shared" si="475"/>
        <v>46072</v>
      </c>
      <c r="ZV60" s="56"/>
      <c r="ZW60" s="242">
        <f>SUMPRODUCT(PRODUCE!$B73:$DY73,PRODUCE!$EB$57:$IY$57)</f>
        <v>0</v>
      </c>
      <c r="ZX60" s="56"/>
      <c r="ZY60" s="242">
        <f t="shared" si="476"/>
        <v>0</v>
      </c>
      <c r="ZZ60" s="242">
        <f t="shared" si="477"/>
        <v>0</v>
      </c>
      <c r="AAA60" s="56"/>
      <c r="AAD60" s="55">
        <f t="shared" si="478"/>
        <v>46072</v>
      </c>
      <c r="AAE60" s="56"/>
      <c r="AAF60" s="242">
        <f>SUMPRODUCT(PRODUCE!$B73:$DY73,PRODUCE!$EB$57:$IY$57)</f>
        <v>0</v>
      </c>
      <c r="AAG60" s="56"/>
      <c r="AAH60" s="242">
        <f t="shared" si="479"/>
        <v>0</v>
      </c>
      <c r="AAI60" s="242">
        <f t="shared" si="480"/>
        <v>0</v>
      </c>
      <c r="AAJ60" s="56"/>
      <c r="AAM60" s="55">
        <f t="shared" si="481"/>
        <v>46072</v>
      </c>
      <c r="AAN60" s="56"/>
      <c r="AAO60" s="242">
        <f>SUMPRODUCT(PRODUCE!$B73:$DY73,PRODUCE!$EB$57:$IY$57)</f>
        <v>0</v>
      </c>
      <c r="AAP60" s="56"/>
      <c r="AAQ60" s="242">
        <f t="shared" si="482"/>
        <v>0</v>
      </c>
      <c r="AAR60" s="242">
        <f t="shared" si="483"/>
        <v>0</v>
      </c>
      <c r="AAS60" s="56"/>
      <c r="AAV60" s="55">
        <f t="shared" si="484"/>
        <v>46072</v>
      </c>
      <c r="AAW60" s="56"/>
      <c r="AAX60" s="242">
        <f>SUMPRODUCT(PRODUCE!$B73:$DY73,PRODUCE!$EB$57:$IY$57)</f>
        <v>0</v>
      </c>
      <c r="AAY60" s="56"/>
      <c r="AAZ60" s="242">
        <f t="shared" si="485"/>
        <v>0</v>
      </c>
      <c r="ABA60" s="242">
        <f t="shared" si="486"/>
        <v>0</v>
      </c>
      <c r="ABB60" s="56"/>
      <c r="ABE60" s="55">
        <f t="shared" si="487"/>
        <v>46072</v>
      </c>
      <c r="ABF60" s="56"/>
      <c r="ABG60" s="242">
        <f>SUMPRODUCT(PRODUCE!$B73:$DY73,PRODUCE!$EB$57:$IY$57)</f>
        <v>0</v>
      </c>
      <c r="ABH60" s="56"/>
      <c r="ABI60" s="242">
        <f t="shared" si="488"/>
        <v>0</v>
      </c>
      <c r="ABJ60" s="242">
        <f t="shared" si="489"/>
        <v>0</v>
      </c>
      <c r="ABK60" s="56"/>
    </row>
    <row r="61" spans="2:739" s="54" customFormat="1" ht="15" customHeight="1" outlineLevel="1">
      <c r="B61" s="478">
        <v>80</v>
      </c>
      <c r="C61" s="55">
        <v>46073</v>
      </c>
      <c r="D61" s="422">
        <v>28750</v>
      </c>
      <c r="E61" s="424">
        <f>SUMPRODUCT(PRODUCE!$B74:$DY74,PRODUCE!$EB$7:$IY$7)</f>
        <v>42767.999999999993</v>
      </c>
      <c r="F61" s="422">
        <v>42765.599999999999</v>
      </c>
      <c r="G61" s="423">
        <f t="shared" si="247"/>
        <v>2.3999999999941792</v>
      </c>
      <c r="H61" s="423">
        <f t="shared" si="245"/>
        <v>134490.4</v>
      </c>
      <c r="I61" s="289" t="s">
        <v>208</v>
      </c>
      <c r="L61" s="55">
        <f t="shared" si="246"/>
        <v>46073</v>
      </c>
      <c r="M61" s="422"/>
      <c r="N61" s="439">
        <f>SUMPRODUCT(PRODUCE!$B74:$DY74,PRODUCE!$EB$8:$IY$8)</f>
        <v>13720</v>
      </c>
      <c r="O61" s="422">
        <v>13720.2</v>
      </c>
      <c r="P61" s="438">
        <f t="shared" si="248"/>
        <v>-0.2000000000007276</v>
      </c>
      <c r="Q61" s="438">
        <f t="shared" si="249"/>
        <v>70964.800000000032</v>
      </c>
      <c r="R61" s="56"/>
      <c r="U61" s="55">
        <f t="shared" si="250"/>
        <v>46073</v>
      </c>
      <c r="V61" s="422"/>
      <c r="W61" s="441">
        <f>SUMPRODUCT(PRODUCE!$B74:$DY74,PRODUCE!$EB$9:$IY$9)</f>
        <v>6800</v>
      </c>
      <c r="X61" s="422">
        <v>6799.3</v>
      </c>
      <c r="Y61" s="440">
        <f t="shared" si="251"/>
        <v>0.6999999999998181</v>
      </c>
      <c r="Z61" s="440">
        <f t="shared" si="252"/>
        <v>36174.099999999977</v>
      </c>
      <c r="AA61" s="56"/>
      <c r="AD61" s="55">
        <f t="shared" si="253"/>
        <v>46073</v>
      </c>
      <c r="AE61" s="422"/>
      <c r="AF61" s="443">
        <f>SUMPRODUCT(PRODUCE!$B74:$DY74,PRODUCE!$EB$10:$IY$10)</f>
        <v>960</v>
      </c>
      <c r="AG61" s="422">
        <v>961.5</v>
      </c>
      <c r="AH61" s="442">
        <f t="shared" si="254"/>
        <v>-1.5</v>
      </c>
      <c r="AI61" s="442">
        <f t="shared" si="255"/>
        <v>42077.700000000019</v>
      </c>
      <c r="AJ61" s="56"/>
      <c r="AM61" s="55">
        <f t="shared" si="256"/>
        <v>46073</v>
      </c>
      <c r="AN61" s="422"/>
      <c r="AO61" s="445">
        <f>SUMPRODUCT(PRODUCE!$B74:$DY74,PRODUCE!$EB$11:$IY$11)</f>
        <v>0</v>
      </c>
      <c r="AP61" s="422"/>
      <c r="AQ61" s="444">
        <f t="shared" si="257"/>
        <v>0</v>
      </c>
      <c r="AR61" s="444">
        <f t="shared" si="258"/>
        <v>0</v>
      </c>
      <c r="AS61" s="56"/>
      <c r="AV61" s="55">
        <f t="shared" si="259"/>
        <v>46073</v>
      </c>
      <c r="AW61" s="422"/>
      <c r="AX61" s="447">
        <f>SUMPRODUCT(PRODUCE!$B74:$DY74,PRODUCE!$EB$12:$IY$12)</f>
        <v>0</v>
      </c>
      <c r="AY61" s="422"/>
      <c r="AZ61" s="446">
        <f t="shared" si="260"/>
        <v>0</v>
      </c>
      <c r="BA61" s="446">
        <f t="shared" si="261"/>
        <v>49842.69999999999</v>
      </c>
      <c r="BB61" s="56"/>
      <c r="BE61" s="55">
        <f t="shared" si="262"/>
        <v>46073</v>
      </c>
      <c r="BF61" s="422"/>
      <c r="BG61" s="449">
        <f>SUMPRODUCT(PRODUCE!$B74:$DY74,PRODUCE!$EB$13:$IY$13)</f>
        <v>3600</v>
      </c>
      <c r="BH61" s="422">
        <v>3599.4</v>
      </c>
      <c r="BI61" s="448">
        <f t="shared" si="263"/>
        <v>0.59999999999990905</v>
      </c>
      <c r="BJ61" s="448">
        <f t="shared" si="264"/>
        <v>15390.700000000006</v>
      </c>
      <c r="BK61" s="56"/>
      <c r="BN61" s="55">
        <f t="shared" si="265"/>
        <v>46073</v>
      </c>
      <c r="BO61" s="422">
        <v>1560</v>
      </c>
      <c r="BP61" s="451">
        <f>SUMPRODUCT(PRODUCE!$B74:$DY74,PRODUCE!$EB$14:$IY$14)</f>
        <v>1560</v>
      </c>
      <c r="BQ61" s="422">
        <v>1560</v>
      </c>
      <c r="BR61" s="450">
        <f t="shared" si="266"/>
        <v>0</v>
      </c>
      <c r="BS61" s="450">
        <f t="shared" si="267"/>
        <v>0</v>
      </c>
      <c r="BT61" s="56"/>
      <c r="BW61" s="55">
        <f t="shared" si="268"/>
        <v>46073</v>
      </c>
      <c r="BX61" s="56"/>
      <c r="BY61" s="81">
        <f>SUMPRODUCT(PRODUCE!$B74:$DY74,PRODUCE!$EB$15:$IY$15)</f>
        <v>440.00000000000006</v>
      </c>
      <c r="BZ61" s="56"/>
      <c r="CA61" s="65">
        <f t="shared" si="269"/>
        <v>440.00000000000006</v>
      </c>
      <c r="CB61" s="65">
        <f t="shared" si="270"/>
        <v>931.90000000000009</v>
      </c>
      <c r="CC61" s="56"/>
      <c r="CF61" s="55">
        <f t="shared" si="271"/>
        <v>46073</v>
      </c>
      <c r="CG61" s="56"/>
      <c r="CH61" s="82">
        <f>SUMPRODUCT(PRODUCE!$B74:$DY74,PRODUCE!$EB$16:$IY$16)</f>
        <v>720.00000000000011</v>
      </c>
      <c r="CI61" s="56"/>
      <c r="CJ61" s="66">
        <f t="shared" si="272"/>
        <v>720.00000000000011</v>
      </c>
      <c r="CK61" s="66">
        <f t="shared" si="273"/>
        <v>0</v>
      </c>
      <c r="CL61" s="56"/>
      <c r="CO61" s="55">
        <f t="shared" si="274"/>
        <v>46073</v>
      </c>
      <c r="CP61" s="422"/>
      <c r="CQ61" s="471">
        <f>SUMPRODUCT(PRODUCE!$B74:$DY74,PRODUCE!$EB$17:$IY$17)</f>
        <v>0</v>
      </c>
      <c r="CR61" s="422"/>
      <c r="CS61" s="470">
        <f t="shared" si="275"/>
        <v>0</v>
      </c>
      <c r="CT61" s="470">
        <f t="shared" si="276"/>
        <v>0</v>
      </c>
      <c r="CU61" s="56"/>
      <c r="CX61" s="55">
        <f t="shared" si="277"/>
        <v>46073</v>
      </c>
      <c r="CY61" s="56"/>
      <c r="CZ61" s="136">
        <f>SUMPRODUCT(PRODUCE!$B74:$DY74,PRODUCE!$EB$18:$IY$18)</f>
        <v>4000</v>
      </c>
      <c r="DA61" s="56">
        <v>4000.7</v>
      </c>
      <c r="DB61" s="133">
        <f t="shared" si="278"/>
        <v>-0.6999999999998181</v>
      </c>
      <c r="DC61" s="133">
        <f t="shared" si="279"/>
        <v>19184.5</v>
      </c>
      <c r="DD61" s="56"/>
      <c r="DG61" s="55">
        <f t="shared" si="280"/>
        <v>46073</v>
      </c>
      <c r="DH61" s="56"/>
      <c r="DI61" s="150">
        <f>SUMPRODUCT(PRODUCE!$B74:$DY74,PRODUCE!$EB$19:$IY$19)</f>
        <v>3200</v>
      </c>
      <c r="DJ61" s="56">
        <v>3199.8</v>
      </c>
      <c r="DK61" s="147">
        <f t="shared" si="281"/>
        <v>0.1999999999998181</v>
      </c>
      <c r="DL61" s="147">
        <f t="shared" si="282"/>
        <v>7111.3999999999969</v>
      </c>
      <c r="DM61" s="56"/>
      <c r="DP61" s="55">
        <f t="shared" si="283"/>
        <v>46073</v>
      </c>
      <c r="DQ61" s="56"/>
      <c r="DR61" s="58">
        <f>SUMPRODUCT(PRODUCE!$B74:$DY74,PRODUCE!$EB$20:$IY$20)</f>
        <v>0</v>
      </c>
      <c r="DS61" s="56"/>
      <c r="DT61" s="57">
        <f t="shared" si="284"/>
        <v>0</v>
      </c>
      <c r="DU61" s="57">
        <f t="shared" si="285"/>
        <v>2300</v>
      </c>
      <c r="DV61" s="56"/>
      <c r="DY61" s="55">
        <f t="shared" si="286"/>
        <v>46073</v>
      </c>
      <c r="DZ61" s="56"/>
      <c r="EA61" s="159">
        <f>SUMPRODUCT(PRODUCE!$B74:$DY74,PRODUCE!$EB$21:$IY$21)</f>
        <v>0</v>
      </c>
      <c r="EB61" s="56"/>
      <c r="EC61" s="157">
        <f t="shared" si="287"/>
        <v>0</v>
      </c>
      <c r="ED61" s="157">
        <f t="shared" si="288"/>
        <v>5696.8</v>
      </c>
      <c r="EE61" s="56"/>
      <c r="EH61" s="55">
        <f t="shared" si="289"/>
        <v>46073</v>
      </c>
      <c r="EI61" s="56"/>
      <c r="EJ61" s="164">
        <f>SUMPRODUCT(PRODUCE!$B74:$DY74,PRODUCE!$EB$22:$IY$22)</f>
        <v>0</v>
      </c>
      <c r="EK61" s="56"/>
      <c r="EL61" s="162">
        <f t="shared" si="290"/>
        <v>0</v>
      </c>
      <c r="EM61" s="162">
        <f t="shared" si="291"/>
        <v>0</v>
      </c>
      <c r="EN61" s="56"/>
      <c r="EQ61" s="55">
        <f t="shared" si="292"/>
        <v>46073</v>
      </c>
      <c r="ER61" s="56"/>
      <c r="ES61" s="171">
        <f>SUMPRODUCT(PRODUCE!$B74:$DY74,PRODUCE!$EB$23:$IY$23)</f>
        <v>0</v>
      </c>
      <c r="ET61" s="56"/>
      <c r="EU61" s="135">
        <f t="shared" si="293"/>
        <v>0</v>
      </c>
      <c r="EV61" s="135">
        <f t="shared" si="294"/>
        <v>0</v>
      </c>
      <c r="EW61" s="56"/>
      <c r="EZ61" s="55">
        <f t="shared" si="295"/>
        <v>46073</v>
      </c>
      <c r="FA61" s="56"/>
      <c r="FB61" s="178">
        <f>SUMPRODUCT(PRODUCE!$B74:$DY74,PRODUCE!$EB$24:$IY$24)</f>
        <v>0</v>
      </c>
      <c r="FC61" s="56"/>
      <c r="FD61" s="175">
        <f t="shared" si="296"/>
        <v>0</v>
      </c>
      <c r="FE61" s="175">
        <f t="shared" si="297"/>
        <v>0</v>
      </c>
      <c r="FF61" s="56"/>
      <c r="FI61" s="55">
        <f t="shared" si="298"/>
        <v>46073</v>
      </c>
      <c r="FJ61" s="56"/>
      <c r="FK61" s="184">
        <f>SUMPRODUCT(PRODUCE!$B74:$DY74,PRODUCE!$EB$25:$IY$25)</f>
        <v>0</v>
      </c>
      <c r="FL61" s="56"/>
      <c r="FM61" s="183">
        <f t="shared" si="299"/>
        <v>0</v>
      </c>
      <c r="FN61" s="183">
        <f t="shared" si="300"/>
        <v>0</v>
      </c>
      <c r="FO61" s="56"/>
      <c r="FR61" s="55">
        <f t="shared" si="301"/>
        <v>46073</v>
      </c>
      <c r="FS61" s="422"/>
      <c r="FT61" s="453">
        <f>SUMPRODUCT(PRODUCE!$B74:$DY74,PRODUCE!$EB$26:$IY$26)</f>
        <v>0</v>
      </c>
      <c r="FU61" s="422"/>
      <c r="FV61" s="452">
        <f t="shared" si="302"/>
        <v>0</v>
      </c>
      <c r="FW61" s="452">
        <f t="shared" si="303"/>
        <v>1900</v>
      </c>
      <c r="FX61" s="56"/>
      <c r="GA61" s="55">
        <f t="shared" si="304"/>
        <v>46073</v>
      </c>
      <c r="GB61" s="422"/>
      <c r="GC61" s="455">
        <f>SUMPRODUCT(PRODUCE!$B74:$DY74,PRODUCE!$EB$27:$IY$27)</f>
        <v>0</v>
      </c>
      <c r="GD61" s="422"/>
      <c r="GE61" s="454">
        <f t="shared" si="305"/>
        <v>0</v>
      </c>
      <c r="GF61" s="454">
        <f t="shared" si="306"/>
        <v>5960</v>
      </c>
      <c r="GG61" s="56"/>
      <c r="GI61" s="23"/>
      <c r="GJ61" s="55">
        <f t="shared" si="307"/>
        <v>46073</v>
      </c>
      <c r="GK61" s="422"/>
      <c r="GL61" s="457">
        <f>SUMPRODUCT(PRODUCE!$B74:$DY74,PRODUCE!$EB$28:$IY$28)</f>
        <v>0</v>
      </c>
      <c r="GM61" s="422"/>
      <c r="GN61" s="456">
        <f t="shared" si="308"/>
        <v>0</v>
      </c>
      <c r="GO61" s="456">
        <f t="shared" si="309"/>
        <v>5240</v>
      </c>
      <c r="GP61" s="56"/>
      <c r="GS61" s="55">
        <f t="shared" si="310"/>
        <v>46073</v>
      </c>
      <c r="GT61" s="56"/>
      <c r="GU61" s="196">
        <f>SUMPRODUCT(PRODUCE!$B74:$DY74,PRODUCE!$EB$29:$IY$29)</f>
        <v>0</v>
      </c>
      <c r="GV61" s="56"/>
      <c r="GW61" s="195">
        <f t="shared" si="311"/>
        <v>0</v>
      </c>
      <c r="GX61" s="195">
        <f t="shared" si="312"/>
        <v>0</v>
      </c>
      <c r="GY61" s="56"/>
      <c r="HB61" s="55">
        <f t="shared" si="313"/>
        <v>46073</v>
      </c>
      <c r="HC61" s="56"/>
      <c r="HD61" s="192">
        <f>SUMPRODUCT(PRODUCE!$B74:$DY74,PRODUCE!$EB$30:$IY$30)</f>
        <v>0</v>
      </c>
      <c r="HE61" s="56"/>
      <c r="HF61" s="191">
        <f t="shared" si="314"/>
        <v>0</v>
      </c>
      <c r="HG61" s="191">
        <f t="shared" si="315"/>
        <v>0</v>
      </c>
      <c r="HH61" s="56"/>
      <c r="HK61" s="55">
        <f t="shared" si="316"/>
        <v>46073</v>
      </c>
      <c r="HL61" s="56"/>
      <c r="HM61" s="80">
        <f>SUMPRODUCT(PRODUCE!$B74:$DY74,PRODUCE!$EB$31:$IY$31)</f>
        <v>0</v>
      </c>
      <c r="HN61" s="56"/>
      <c r="HO61" s="63">
        <f t="shared" si="317"/>
        <v>0</v>
      </c>
      <c r="HP61" s="63">
        <f t="shared" si="318"/>
        <v>0</v>
      </c>
      <c r="HQ61" s="56"/>
      <c r="HU61" s="55">
        <f t="shared" si="319"/>
        <v>46073</v>
      </c>
      <c r="HV61" s="56"/>
      <c r="HW61" s="242">
        <f>SUMPRODUCT(PRODUCE!$B74:$DY74,PRODUCE!$EB$32:$IY$32)</f>
        <v>0</v>
      </c>
      <c r="HX61" s="56"/>
      <c r="HY61" s="242">
        <f t="shared" si="320"/>
        <v>0</v>
      </c>
      <c r="HZ61" s="242">
        <f t="shared" si="321"/>
        <v>5120</v>
      </c>
      <c r="IA61" s="56"/>
      <c r="ID61" s="55">
        <f t="shared" si="322"/>
        <v>46073</v>
      </c>
      <c r="IE61" s="56"/>
      <c r="IF61" s="242">
        <f>SUMPRODUCT(PRODUCE!$B74:$DY74,PRODUCE!$EB$33:$IY$33)</f>
        <v>0</v>
      </c>
      <c r="IG61" s="56"/>
      <c r="IH61" s="242">
        <f t="shared" si="323"/>
        <v>0</v>
      </c>
      <c r="II61" s="242">
        <f t="shared" si="324"/>
        <v>5100</v>
      </c>
      <c r="IJ61" s="56"/>
      <c r="IM61" s="55">
        <f t="shared" si="325"/>
        <v>46073</v>
      </c>
      <c r="IN61" s="56"/>
      <c r="IO61" s="242">
        <f>SUMPRODUCT(PRODUCE!$B74:$DY74,PRODUCE!$EB$34:$IY$34)</f>
        <v>0</v>
      </c>
      <c r="IP61" s="56"/>
      <c r="IQ61" s="242">
        <f t="shared" si="326"/>
        <v>0</v>
      </c>
      <c r="IR61" s="242">
        <f t="shared" si="327"/>
        <v>10240</v>
      </c>
      <c r="IS61" s="56"/>
      <c r="IV61" s="55">
        <f t="shared" si="328"/>
        <v>46073</v>
      </c>
      <c r="IW61" s="56"/>
      <c r="IX61" s="242">
        <f>SUMPRODUCT(PRODUCE!$B74:$DY74,PRODUCE!$EB$35:$IY$35)</f>
        <v>0</v>
      </c>
      <c r="IY61" s="56"/>
      <c r="IZ61" s="242">
        <f t="shared" si="329"/>
        <v>0</v>
      </c>
      <c r="JA61" s="242">
        <f t="shared" si="330"/>
        <v>15120</v>
      </c>
      <c r="JB61" s="56"/>
      <c r="JE61" s="55">
        <f t="shared" si="331"/>
        <v>46073</v>
      </c>
      <c r="JF61" s="56"/>
      <c r="JG61" s="242">
        <f>SUMPRODUCT(PRODUCE!$B74:$DY74,PRODUCE!$EB$36:$IY$36)</f>
        <v>0</v>
      </c>
      <c r="JH61" s="56"/>
      <c r="JI61" s="242">
        <f t="shared" si="332"/>
        <v>0</v>
      </c>
      <c r="JJ61" s="242">
        <f t="shared" si="333"/>
        <v>3600</v>
      </c>
      <c r="JK61" s="56"/>
      <c r="JN61" s="55">
        <f t="shared" si="334"/>
        <v>46073</v>
      </c>
      <c r="JO61" s="56"/>
      <c r="JP61" s="242">
        <f>SUMPRODUCT(PRODUCE!$B74:$DY74,PRODUCE!$EB$37:$IY$37)</f>
        <v>0</v>
      </c>
      <c r="JQ61" s="56"/>
      <c r="JR61" s="242">
        <f t="shared" si="335"/>
        <v>0</v>
      </c>
      <c r="JS61" s="242">
        <f t="shared" si="336"/>
        <v>5400</v>
      </c>
      <c r="JT61" s="56"/>
      <c r="JW61" s="55">
        <f t="shared" si="337"/>
        <v>46073</v>
      </c>
      <c r="JX61" s="56"/>
      <c r="JY61" s="242">
        <f>SUMPRODUCT(PRODUCE!$B74:$DY74,PRODUCE!$EB$38:$IY$38)</f>
        <v>0</v>
      </c>
      <c r="JZ61" s="56"/>
      <c r="KA61" s="242">
        <f t="shared" si="338"/>
        <v>0</v>
      </c>
      <c r="KB61" s="242">
        <f t="shared" si="339"/>
        <v>4000</v>
      </c>
      <c r="KC61" s="56"/>
      <c r="KF61" s="55">
        <f t="shared" si="340"/>
        <v>46073</v>
      </c>
      <c r="KG61" s="56"/>
      <c r="KH61" s="242">
        <f>SUMPRODUCT(PRODUCE!$B74:$DY74,PRODUCE!$EB$39:$IY$39)</f>
        <v>0</v>
      </c>
      <c r="KI61" s="56"/>
      <c r="KJ61" s="242">
        <f t="shared" si="341"/>
        <v>0</v>
      </c>
      <c r="KK61" s="242">
        <f t="shared" si="342"/>
        <v>1287</v>
      </c>
      <c r="KL61" s="56"/>
      <c r="KO61" s="55">
        <f t="shared" si="343"/>
        <v>46073</v>
      </c>
      <c r="KP61" s="56"/>
      <c r="KQ61" s="242">
        <f>SUMPRODUCT(PRODUCE!$B74:$DY74,PRODUCE!$EB$40:$IY$40)</f>
        <v>1512</v>
      </c>
      <c r="KR61" s="56"/>
      <c r="KS61" s="242">
        <f t="shared" si="344"/>
        <v>1512</v>
      </c>
      <c r="KT61" s="242">
        <f t="shared" si="345"/>
        <v>10659.6</v>
      </c>
      <c r="KU61" s="56"/>
      <c r="KW61" s="23"/>
      <c r="KX61" s="55">
        <f t="shared" si="346"/>
        <v>46073</v>
      </c>
      <c r="KY61" s="56"/>
      <c r="KZ61" s="242">
        <f>SUMPRODUCT(PRODUCE!$B74:$DY74,PRODUCE!$EB$41:$IY$41)</f>
        <v>0</v>
      </c>
      <c r="LA61" s="56"/>
      <c r="LB61" s="242">
        <f t="shared" si="347"/>
        <v>0</v>
      </c>
      <c r="LC61" s="242">
        <f t="shared" si="348"/>
        <v>0</v>
      </c>
      <c r="LD61" s="56"/>
      <c r="LG61" s="55">
        <f t="shared" si="349"/>
        <v>46073</v>
      </c>
      <c r="LH61" s="56"/>
      <c r="LI61" s="242">
        <f>SUMPRODUCT(PRODUCE!$B74:$DY74,PRODUCE!$EB$42:$IY$42)</f>
        <v>0</v>
      </c>
      <c r="LJ61" s="56"/>
      <c r="LK61" s="242">
        <f t="shared" si="350"/>
        <v>0</v>
      </c>
      <c r="LL61" s="242">
        <f t="shared" si="351"/>
        <v>0</v>
      </c>
      <c r="LM61" s="56"/>
      <c r="LP61" s="55">
        <f t="shared" si="352"/>
        <v>46073</v>
      </c>
      <c r="LQ61" s="56"/>
      <c r="LR61" s="242">
        <f>SUMPRODUCT(PRODUCE!$B76:$DY76,PRODUCE!$EB$43:$IY$43)</f>
        <v>0</v>
      </c>
      <c r="LS61" s="56"/>
      <c r="LT61" s="242">
        <f t="shared" si="353"/>
        <v>0</v>
      </c>
      <c r="LU61" s="242">
        <f t="shared" si="354"/>
        <v>0</v>
      </c>
      <c r="LV61" s="56"/>
      <c r="LY61" s="55">
        <f t="shared" si="355"/>
        <v>46073</v>
      </c>
      <c r="LZ61" s="56"/>
      <c r="MA61" s="242">
        <f>SUMPRODUCT(PRODUCE!$B76:$DY76,PRODUCE!$EB$44:$IY$44)</f>
        <v>0</v>
      </c>
      <c r="MB61" s="56"/>
      <c r="MC61" s="242">
        <f t="shared" si="356"/>
        <v>0</v>
      </c>
      <c r="MD61" s="242">
        <f t="shared" si="357"/>
        <v>0</v>
      </c>
      <c r="ME61" s="56"/>
      <c r="MH61" s="55">
        <f t="shared" si="358"/>
        <v>46073</v>
      </c>
      <c r="MI61" s="56"/>
      <c r="MJ61" s="242">
        <f>SUMPRODUCT(PRODUCE!$B74:$DY74,PRODUCE!$EB$45:$IY$45)</f>
        <v>0</v>
      </c>
      <c r="MK61" s="56"/>
      <c r="ML61" s="242">
        <f t="shared" si="359"/>
        <v>0</v>
      </c>
      <c r="MM61" s="242">
        <f t="shared" si="360"/>
        <v>0</v>
      </c>
      <c r="MN61" s="56"/>
      <c r="MQ61" s="55">
        <f t="shared" si="361"/>
        <v>46073</v>
      </c>
      <c r="MR61" s="56">
        <v>4000</v>
      </c>
      <c r="MS61" s="242">
        <f>SUMPRODUCT(PRODUCE!$B74:$DY74,PRODUCE!$EB$46:$IY$46)</f>
        <v>160</v>
      </c>
      <c r="MT61" s="56"/>
      <c r="MU61" s="242">
        <f t="shared" si="362"/>
        <v>160</v>
      </c>
      <c r="MV61" s="242">
        <f t="shared" si="363"/>
        <v>4370</v>
      </c>
      <c r="MW61" s="56"/>
      <c r="MZ61" s="55">
        <f t="shared" si="364"/>
        <v>46073</v>
      </c>
      <c r="NA61" s="56"/>
      <c r="NB61" s="242">
        <f>SUMPRODUCT(PRODUCE!$B74:$DY74,PRODUCE!$EB$47:$IY$47)</f>
        <v>240</v>
      </c>
      <c r="NC61" s="56"/>
      <c r="ND61" s="242">
        <f t="shared" si="365"/>
        <v>240</v>
      </c>
      <c r="NE61" s="242">
        <f t="shared" si="366"/>
        <v>0</v>
      </c>
      <c r="NF61" s="56"/>
      <c r="NI61" s="55">
        <f t="shared" si="367"/>
        <v>46073</v>
      </c>
      <c r="NJ61" s="56"/>
      <c r="NK61" s="242">
        <f>SUMPRODUCT(PRODUCE!$B74:$DY74,PRODUCE!$EB$48:$IY$48)</f>
        <v>0</v>
      </c>
      <c r="NL61" s="56"/>
      <c r="NM61" s="242">
        <f t="shared" si="368"/>
        <v>0</v>
      </c>
      <c r="NN61" s="242">
        <f t="shared" si="369"/>
        <v>0</v>
      </c>
      <c r="NO61" s="56"/>
      <c r="NR61" s="55">
        <f t="shared" si="370"/>
        <v>46073</v>
      </c>
      <c r="NS61" s="56"/>
      <c r="NT61" s="242">
        <f>SUMPRODUCT(PRODUCE!$B74:$DY74,PRODUCE!$EB$49:$IY$49)</f>
        <v>96</v>
      </c>
      <c r="NU61" s="56"/>
      <c r="NV61" s="242">
        <f t="shared" si="371"/>
        <v>96</v>
      </c>
      <c r="NW61" s="242">
        <f t="shared" si="372"/>
        <v>2310</v>
      </c>
      <c r="NX61" s="56"/>
      <c r="OA61" s="55">
        <f t="shared" si="373"/>
        <v>46073</v>
      </c>
      <c r="OB61" s="56"/>
      <c r="OC61" s="242">
        <f>SUMPRODUCT(PRODUCE!$B74:$DY74,PRODUCE!$EB$50:$IY$50)</f>
        <v>0</v>
      </c>
      <c r="OD61" s="56"/>
      <c r="OE61" s="242">
        <f t="shared" si="374"/>
        <v>0</v>
      </c>
      <c r="OF61" s="242">
        <f t="shared" si="375"/>
        <v>1680.5</v>
      </c>
      <c r="OG61" s="56"/>
      <c r="OJ61" s="55">
        <f t="shared" si="376"/>
        <v>46073</v>
      </c>
      <c r="OK61" s="56"/>
      <c r="OL61" s="242">
        <f>SUMPRODUCT(PRODUCE!$B74:$DY74,PRODUCE!$EB$51:$IY$51)</f>
        <v>223.99999999999994</v>
      </c>
      <c r="OM61" s="56"/>
      <c r="ON61" s="242">
        <f t="shared" si="377"/>
        <v>223.99999999999994</v>
      </c>
      <c r="OO61" s="242">
        <f t="shared" si="378"/>
        <v>0</v>
      </c>
      <c r="OP61" s="56"/>
      <c r="OS61" s="55">
        <f t="shared" si="379"/>
        <v>46073</v>
      </c>
      <c r="OT61" s="56"/>
      <c r="OU61" s="242">
        <f>SUMPRODUCT(PRODUCE!$B74:$DY74,PRODUCE!$EB$52:$IY$52)</f>
        <v>0</v>
      </c>
      <c r="OV61" s="56"/>
      <c r="OW61" s="242">
        <f t="shared" si="380"/>
        <v>0</v>
      </c>
      <c r="OX61" s="242">
        <f t="shared" si="381"/>
        <v>0</v>
      </c>
      <c r="OY61" s="56"/>
      <c r="PB61" s="55">
        <f t="shared" si="382"/>
        <v>46073</v>
      </c>
      <c r="PC61" s="56"/>
      <c r="PD61" s="242">
        <f>SUMPRODUCT(PRODUCE!$B74:$DY74,PRODUCE!$EB$53:$IY$53)</f>
        <v>0</v>
      </c>
      <c r="PE61" s="56"/>
      <c r="PF61" s="242">
        <f t="shared" si="383"/>
        <v>0</v>
      </c>
      <c r="PG61" s="242">
        <f t="shared" si="384"/>
        <v>0</v>
      </c>
      <c r="PH61" s="56"/>
      <c r="PK61" s="55">
        <f t="shared" si="385"/>
        <v>46073</v>
      </c>
      <c r="PL61" s="56"/>
      <c r="PM61" s="242">
        <f>SUMPRODUCT(PRODUCE!$B74:$DY74,PRODUCE!$EB$54:$IY$54)</f>
        <v>0</v>
      </c>
      <c r="PN61" s="56"/>
      <c r="PO61" s="242">
        <f t="shared" si="386"/>
        <v>0</v>
      </c>
      <c r="PP61" s="242">
        <f t="shared" si="387"/>
        <v>160</v>
      </c>
      <c r="PQ61" s="56"/>
      <c r="PT61" s="55">
        <f t="shared" si="388"/>
        <v>46073</v>
      </c>
      <c r="PU61" s="56"/>
      <c r="PV61" s="242">
        <f>SUMPRODUCT(PRODUCE!$B74:$DY74,PRODUCE!$EB$55:$IY$55)</f>
        <v>0</v>
      </c>
      <c r="PW61" s="56"/>
      <c r="PX61" s="242">
        <f t="shared" si="389"/>
        <v>0</v>
      </c>
      <c r="PY61" s="242">
        <f t="shared" si="390"/>
        <v>13.960000000000036</v>
      </c>
      <c r="PZ61" s="56"/>
      <c r="QC61" s="55">
        <f t="shared" si="391"/>
        <v>46073</v>
      </c>
      <c r="QD61" s="56"/>
      <c r="QE61" s="242">
        <f>SUMPRODUCT(PRODUCE!$B74:$DY74,PRODUCE!$EB$56:$IY$56)</f>
        <v>0</v>
      </c>
      <c r="QF61" s="56"/>
      <c r="QG61" s="242">
        <f t="shared" si="392"/>
        <v>0</v>
      </c>
      <c r="QH61" s="242">
        <f t="shared" si="393"/>
        <v>0</v>
      </c>
      <c r="QI61" s="56"/>
      <c r="QL61" s="55">
        <f t="shared" si="394"/>
        <v>46073</v>
      </c>
      <c r="QM61" s="56"/>
      <c r="QN61" s="242">
        <f>SUMPRODUCT(PRODUCE!$B74:$DY74,PRODUCE!$EB$57:$IY$57)</f>
        <v>0</v>
      </c>
      <c r="QO61" s="56"/>
      <c r="QP61" s="242">
        <f t="shared" si="395"/>
        <v>0</v>
      </c>
      <c r="QQ61" s="242">
        <f t="shared" si="396"/>
        <v>0</v>
      </c>
      <c r="QR61" s="56"/>
      <c r="QU61" s="55">
        <f t="shared" si="397"/>
        <v>46073</v>
      </c>
      <c r="QV61" s="56"/>
      <c r="QW61" s="242">
        <f>SUMPRODUCT(PRODUCE!$B74:$DY74,PRODUCE!$EB$57:$IY$57)</f>
        <v>0</v>
      </c>
      <c r="QX61" s="56"/>
      <c r="QY61" s="242">
        <f t="shared" si="398"/>
        <v>0</v>
      </c>
      <c r="QZ61" s="242">
        <f t="shared" si="399"/>
        <v>207.6</v>
      </c>
      <c r="RA61" s="56"/>
      <c r="RD61" s="55">
        <f t="shared" si="400"/>
        <v>46073</v>
      </c>
      <c r="RE61" s="56"/>
      <c r="RF61" s="242">
        <f>SUMPRODUCT(PRODUCE!$B74:$DY74,PRODUCE!$EB$58:$IY$58)</f>
        <v>0</v>
      </c>
      <c r="RG61" s="56"/>
      <c r="RH61" s="242">
        <f t="shared" si="401"/>
        <v>0</v>
      </c>
      <c r="RI61" s="242">
        <f t="shared" si="402"/>
        <v>197.04000000000002</v>
      </c>
      <c r="RJ61" s="56"/>
      <c r="RM61" s="55">
        <f t="shared" si="403"/>
        <v>46073</v>
      </c>
      <c r="RN61" s="56"/>
      <c r="RO61" s="242">
        <f>SUMPRODUCT(PRODUCE!$B74:$DY74,PRODUCE!$EB$57:$IY$57)</f>
        <v>0</v>
      </c>
      <c r="RP61" s="56"/>
      <c r="RQ61" s="242">
        <f t="shared" si="404"/>
        <v>0</v>
      </c>
      <c r="RR61" s="242">
        <f t="shared" si="405"/>
        <v>46.8</v>
      </c>
      <c r="RS61" s="56"/>
      <c r="RV61" s="55">
        <f t="shared" si="406"/>
        <v>46073</v>
      </c>
      <c r="RW61" s="56"/>
      <c r="RX61" s="242">
        <f>SUMPRODUCT(PRODUCE!$B74:$DY74,PRODUCE!$EB$57:$IY$57)</f>
        <v>0</v>
      </c>
      <c r="RY61" s="56"/>
      <c r="RZ61" s="242">
        <f t="shared" si="407"/>
        <v>0</v>
      </c>
      <c r="SA61" s="242">
        <f t="shared" si="408"/>
        <v>0</v>
      </c>
      <c r="SB61" s="56"/>
      <c r="SE61" s="55">
        <f t="shared" si="409"/>
        <v>46073</v>
      </c>
      <c r="SF61" s="56"/>
      <c r="SG61" s="242">
        <f>SUMPRODUCT(PRODUCE!$B74:$DY74,PRODUCE!$EB$57:$IY$57)</f>
        <v>0</v>
      </c>
      <c r="SH61" s="56"/>
      <c r="SI61" s="242">
        <f t="shared" si="410"/>
        <v>0</v>
      </c>
      <c r="SJ61" s="242">
        <f t="shared" si="411"/>
        <v>0</v>
      </c>
      <c r="SK61" s="56"/>
      <c r="SN61" s="55">
        <f t="shared" si="412"/>
        <v>46073</v>
      </c>
      <c r="SO61" s="56"/>
      <c r="SP61" s="242">
        <f>SUMPRODUCT(PRODUCE!$B74:$DY74,PRODUCE!$EB$57:$IY$57)</f>
        <v>0</v>
      </c>
      <c r="SQ61" s="56"/>
      <c r="SR61" s="242">
        <f t="shared" si="413"/>
        <v>0</v>
      </c>
      <c r="SS61" s="242">
        <f t="shared" si="414"/>
        <v>0</v>
      </c>
      <c r="ST61" s="56"/>
      <c r="SW61" s="55">
        <f t="shared" si="415"/>
        <v>46073</v>
      </c>
      <c r="SX61" s="56"/>
      <c r="SY61" s="242">
        <f>SUMPRODUCT(PRODUCE!$B74:$DY74,PRODUCE!$EB$57:$IY$57)</f>
        <v>0</v>
      </c>
      <c r="SZ61" s="56"/>
      <c r="TA61" s="242">
        <f t="shared" si="416"/>
        <v>0</v>
      </c>
      <c r="TB61" s="242">
        <f t="shared" si="417"/>
        <v>0</v>
      </c>
      <c r="TC61" s="56"/>
      <c r="TF61" s="55">
        <f t="shared" si="418"/>
        <v>46073</v>
      </c>
      <c r="TG61" s="56"/>
      <c r="TH61" s="242">
        <f>SUMPRODUCT(PRODUCE!$B74:$DY74,PRODUCE!$EB$57:$IY$57)</f>
        <v>0</v>
      </c>
      <c r="TI61" s="56"/>
      <c r="TJ61" s="242">
        <f t="shared" si="419"/>
        <v>0</v>
      </c>
      <c r="TK61" s="242">
        <f t="shared" si="420"/>
        <v>0</v>
      </c>
      <c r="TL61" s="56"/>
      <c r="TO61" s="55">
        <f t="shared" si="421"/>
        <v>46073</v>
      </c>
      <c r="TP61" s="56"/>
      <c r="TQ61" s="242">
        <f>SUMPRODUCT(PRODUCE!$B74:$DY74,PRODUCE!$EB$57:$IY$57)</f>
        <v>0</v>
      </c>
      <c r="TR61" s="56"/>
      <c r="TS61" s="242">
        <f t="shared" si="422"/>
        <v>0</v>
      </c>
      <c r="TT61" s="242">
        <f t="shared" si="423"/>
        <v>0</v>
      </c>
      <c r="TU61" s="56"/>
      <c r="TX61" s="55">
        <f t="shared" si="424"/>
        <v>46073</v>
      </c>
      <c r="TY61" s="56"/>
      <c r="TZ61" s="242">
        <f>SUMPRODUCT(PRODUCE!$B74:$DY74,PRODUCE!$EB$57:$IY$57)</f>
        <v>0</v>
      </c>
      <c r="UA61" s="56"/>
      <c r="UB61" s="242">
        <f t="shared" si="425"/>
        <v>0</v>
      </c>
      <c r="UC61" s="242">
        <f t="shared" si="426"/>
        <v>0</v>
      </c>
      <c r="UD61" s="56"/>
      <c r="UG61" s="55">
        <f t="shared" si="427"/>
        <v>46073</v>
      </c>
      <c r="UH61" s="56"/>
      <c r="UI61" s="242">
        <f>SUMPRODUCT(PRODUCE!$B74:$DY74,PRODUCE!$EB$57:$IY$57)</f>
        <v>0</v>
      </c>
      <c r="UJ61" s="56"/>
      <c r="UK61" s="242">
        <f t="shared" si="428"/>
        <v>0</v>
      </c>
      <c r="UL61" s="242">
        <f t="shared" si="429"/>
        <v>0</v>
      </c>
      <c r="UM61" s="56"/>
      <c r="UP61" s="55">
        <f t="shared" si="430"/>
        <v>46073</v>
      </c>
      <c r="UQ61" s="56"/>
      <c r="UR61" s="242">
        <f>SUMPRODUCT(PRODUCE!$B74:$DY74,PRODUCE!$EB$57:$IY$57)</f>
        <v>0</v>
      </c>
      <c r="US61" s="56"/>
      <c r="UT61" s="242">
        <f t="shared" si="431"/>
        <v>0</v>
      </c>
      <c r="UU61" s="242">
        <f t="shared" si="432"/>
        <v>0</v>
      </c>
      <c r="UV61" s="56"/>
      <c r="UY61" s="55">
        <f t="shared" si="433"/>
        <v>46073</v>
      </c>
      <c r="UZ61" s="56"/>
      <c r="VA61" s="242">
        <f>SUMPRODUCT(PRODUCE!$B74:$DY74,PRODUCE!$EB$57:$IY$57)</f>
        <v>0</v>
      </c>
      <c r="VB61" s="56"/>
      <c r="VC61" s="242">
        <f t="shared" si="434"/>
        <v>0</v>
      </c>
      <c r="VD61" s="242">
        <f t="shared" si="435"/>
        <v>41.600000000000023</v>
      </c>
      <c r="VE61" s="56"/>
      <c r="VH61" s="55">
        <f t="shared" si="436"/>
        <v>46073</v>
      </c>
      <c r="VI61" s="56"/>
      <c r="VJ61" s="242">
        <f>SUMPRODUCT(PRODUCE!$B74:$DY74,PRODUCE!$EB$57:$IY$57)</f>
        <v>0</v>
      </c>
      <c r="VK61" s="56"/>
      <c r="VL61" s="242">
        <f t="shared" si="437"/>
        <v>0</v>
      </c>
      <c r="VM61" s="242">
        <f t="shared" si="438"/>
        <v>0</v>
      </c>
      <c r="VN61" s="56"/>
      <c r="VQ61" s="55">
        <f t="shared" si="439"/>
        <v>46073</v>
      </c>
      <c r="VR61" s="56"/>
      <c r="VS61" s="242">
        <f>SUMPRODUCT(PRODUCE!$B74:$DY74,PRODUCE!$EB$57:$IY$57)</f>
        <v>0</v>
      </c>
      <c r="VT61" s="56"/>
      <c r="VU61" s="242">
        <f t="shared" si="440"/>
        <v>0</v>
      </c>
      <c r="VV61" s="242">
        <f t="shared" si="441"/>
        <v>0</v>
      </c>
      <c r="VW61" s="56"/>
      <c r="VZ61" s="55">
        <f t="shared" si="442"/>
        <v>46073</v>
      </c>
      <c r="WA61" s="56"/>
      <c r="WB61" s="242">
        <f>SUMPRODUCT(PRODUCE!$B74:$DY74,PRODUCE!$EB$57:$IY$57)</f>
        <v>0</v>
      </c>
      <c r="WC61" s="56"/>
      <c r="WD61" s="242">
        <f t="shared" si="443"/>
        <v>0</v>
      </c>
      <c r="WE61" s="242">
        <f t="shared" si="444"/>
        <v>0</v>
      </c>
      <c r="WF61" s="56"/>
      <c r="WI61" s="55">
        <f t="shared" si="445"/>
        <v>46073</v>
      </c>
      <c r="WJ61" s="56"/>
      <c r="WK61" s="242">
        <f>SUMPRODUCT(PRODUCE!$B74:$DY74,PRODUCE!$EB$57:$IY$57)</f>
        <v>0</v>
      </c>
      <c r="WL61" s="56"/>
      <c r="WM61" s="242">
        <f t="shared" si="446"/>
        <v>0</v>
      </c>
      <c r="WN61" s="242">
        <f t="shared" si="447"/>
        <v>8433</v>
      </c>
      <c r="WO61" s="56"/>
      <c r="WR61" s="55">
        <f t="shared" si="448"/>
        <v>46073</v>
      </c>
      <c r="WS61" s="56"/>
      <c r="WT61" s="242">
        <f>SUMPRODUCT(PRODUCE!$B74:$DY74,PRODUCE!$EB$57:$IY$57)</f>
        <v>0</v>
      </c>
      <c r="WU61" s="56"/>
      <c r="WV61" s="242">
        <f t="shared" si="449"/>
        <v>0</v>
      </c>
      <c r="WW61" s="242">
        <f t="shared" si="450"/>
        <v>6559</v>
      </c>
      <c r="WX61" s="56"/>
      <c r="XA61" s="55">
        <f t="shared" si="451"/>
        <v>46073</v>
      </c>
      <c r="XB61" s="56"/>
      <c r="XC61" s="242">
        <f>SUMPRODUCT(PRODUCE!$B74:$DY74,PRODUCE!$EB$57:$IY$57)</f>
        <v>0</v>
      </c>
      <c r="XD61" s="56"/>
      <c r="XE61" s="242">
        <f t="shared" si="452"/>
        <v>0</v>
      </c>
      <c r="XF61" s="242">
        <f t="shared" si="453"/>
        <v>590</v>
      </c>
      <c r="XG61" s="56"/>
      <c r="XJ61" s="55">
        <f t="shared" si="454"/>
        <v>46073</v>
      </c>
      <c r="XK61" s="56"/>
      <c r="XL61" s="242">
        <f>SUMPRODUCT(PRODUCE!$B74:$DY74,PRODUCE!$EB$57:$IY$57)</f>
        <v>0</v>
      </c>
      <c r="XM61" s="56">
        <v>1375</v>
      </c>
      <c r="XN61" s="242">
        <f t="shared" si="455"/>
        <v>-1375</v>
      </c>
      <c r="XO61" s="242">
        <f t="shared" si="456"/>
        <v>6388</v>
      </c>
      <c r="XP61" s="56"/>
      <c r="XS61" s="55">
        <f t="shared" si="457"/>
        <v>46073</v>
      </c>
      <c r="XT61" s="56"/>
      <c r="XU61" s="242">
        <f>SUMPRODUCT(PRODUCE!$B74:$DY74,PRODUCE!$EB$57:$IY$57)</f>
        <v>0</v>
      </c>
      <c r="XV61" s="56"/>
      <c r="XW61" s="242">
        <f t="shared" si="458"/>
        <v>0</v>
      </c>
      <c r="XX61" s="242">
        <f t="shared" si="459"/>
        <v>1901</v>
      </c>
      <c r="XY61" s="56"/>
      <c r="YB61" s="55">
        <f t="shared" si="460"/>
        <v>46073</v>
      </c>
      <c r="YC61" s="56"/>
      <c r="YD61" s="242">
        <f>SUMPRODUCT(PRODUCE!$B74:$DY74,PRODUCE!$EB$57:$IY$57)</f>
        <v>0</v>
      </c>
      <c r="YE61" s="56"/>
      <c r="YF61" s="242">
        <f t="shared" si="461"/>
        <v>0</v>
      </c>
      <c r="YG61" s="242">
        <f t="shared" si="462"/>
        <v>-707</v>
      </c>
      <c r="YH61" s="56"/>
      <c r="YK61" s="55">
        <f t="shared" si="463"/>
        <v>46073</v>
      </c>
      <c r="YL61" s="56"/>
      <c r="YM61" s="242">
        <f>SUMPRODUCT(PRODUCE!$B74:$DY74,PRODUCE!$EB$57:$IY$57)</f>
        <v>0</v>
      </c>
      <c r="YN61" s="56"/>
      <c r="YO61" s="242">
        <f t="shared" si="464"/>
        <v>0</v>
      </c>
      <c r="YP61" s="242">
        <f t="shared" si="465"/>
        <v>0</v>
      </c>
      <c r="YQ61" s="56"/>
      <c r="YT61" s="55">
        <f t="shared" si="466"/>
        <v>46073</v>
      </c>
      <c r="YU61" s="56"/>
      <c r="YV61" s="242">
        <f>SUMPRODUCT(PRODUCE!$B74:$DY74,PRODUCE!$EB$57:$IY$57)</f>
        <v>0</v>
      </c>
      <c r="YW61" s="56"/>
      <c r="YX61" s="242">
        <f t="shared" si="467"/>
        <v>0</v>
      </c>
      <c r="YY61" s="242">
        <f t="shared" si="468"/>
        <v>0</v>
      </c>
      <c r="YZ61" s="56"/>
      <c r="ZC61" s="55">
        <f t="shared" si="469"/>
        <v>46073</v>
      </c>
      <c r="ZD61" s="56"/>
      <c r="ZE61" s="242">
        <f>SUMPRODUCT(PRODUCE!$B74:$DY74,PRODUCE!$EB$57:$IY$57)</f>
        <v>0</v>
      </c>
      <c r="ZF61" s="56"/>
      <c r="ZG61" s="242">
        <f t="shared" si="470"/>
        <v>0</v>
      </c>
      <c r="ZH61" s="242">
        <f t="shared" si="471"/>
        <v>0</v>
      </c>
      <c r="ZI61" s="56"/>
      <c r="ZL61" s="55">
        <f t="shared" si="472"/>
        <v>46073</v>
      </c>
      <c r="ZM61" s="56"/>
      <c r="ZN61" s="242">
        <f>SUMPRODUCT(PRODUCE!$B74:$DY74,PRODUCE!$EB$57:$IY$57)</f>
        <v>0</v>
      </c>
      <c r="ZO61" s="56"/>
      <c r="ZP61" s="242">
        <f t="shared" si="473"/>
        <v>0</v>
      </c>
      <c r="ZQ61" s="242">
        <f t="shared" si="474"/>
        <v>0</v>
      </c>
      <c r="ZR61" s="56"/>
      <c r="ZU61" s="55">
        <f t="shared" si="475"/>
        <v>46073</v>
      </c>
      <c r="ZV61" s="56"/>
      <c r="ZW61" s="242">
        <f>SUMPRODUCT(PRODUCE!$B74:$DY74,PRODUCE!$EB$57:$IY$57)</f>
        <v>0</v>
      </c>
      <c r="ZX61" s="56"/>
      <c r="ZY61" s="242">
        <f t="shared" si="476"/>
        <v>0</v>
      </c>
      <c r="ZZ61" s="242">
        <f t="shared" si="477"/>
        <v>0</v>
      </c>
      <c r="AAA61" s="56"/>
      <c r="AAD61" s="55">
        <f t="shared" si="478"/>
        <v>46073</v>
      </c>
      <c r="AAE61" s="56"/>
      <c r="AAF61" s="242">
        <f>SUMPRODUCT(PRODUCE!$B74:$DY74,PRODUCE!$EB$57:$IY$57)</f>
        <v>0</v>
      </c>
      <c r="AAG61" s="56"/>
      <c r="AAH61" s="242">
        <f t="shared" si="479"/>
        <v>0</v>
      </c>
      <c r="AAI61" s="242">
        <f t="shared" si="480"/>
        <v>0</v>
      </c>
      <c r="AAJ61" s="56"/>
      <c r="AAM61" s="55">
        <f t="shared" si="481"/>
        <v>46073</v>
      </c>
      <c r="AAN61" s="56"/>
      <c r="AAO61" s="242">
        <f>SUMPRODUCT(PRODUCE!$B74:$DY74,PRODUCE!$EB$57:$IY$57)</f>
        <v>0</v>
      </c>
      <c r="AAP61" s="56"/>
      <c r="AAQ61" s="242">
        <f t="shared" si="482"/>
        <v>0</v>
      </c>
      <c r="AAR61" s="242">
        <f t="shared" si="483"/>
        <v>0</v>
      </c>
      <c r="AAS61" s="56"/>
      <c r="AAV61" s="55">
        <f t="shared" si="484"/>
        <v>46073</v>
      </c>
      <c r="AAW61" s="56"/>
      <c r="AAX61" s="242">
        <f>SUMPRODUCT(PRODUCE!$B74:$DY74,PRODUCE!$EB$57:$IY$57)</f>
        <v>0</v>
      </c>
      <c r="AAY61" s="56"/>
      <c r="AAZ61" s="242">
        <f t="shared" si="485"/>
        <v>0</v>
      </c>
      <c r="ABA61" s="242">
        <f t="shared" si="486"/>
        <v>0</v>
      </c>
      <c r="ABB61" s="56"/>
      <c r="ABE61" s="55">
        <f t="shared" si="487"/>
        <v>46073</v>
      </c>
      <c r="ABF61" s="56"/>
      <c r="ABG61" s="242">
        <f>SUMPRODUCT(PRODUCE!$B74:$DY74,PRODUCE!$EB$57:$IY$57)</f>
        <v>0</v>
      </c>
      <c r="ABH61" s="56"/>
      <c r="ABI61" s="242">
        <f t="shared" si="488"/>
        <v>0</v>
      </c>
      <c r="ABJ61" s="242">
        <f t="shared" si="489"/>
        <v>0</v>
      </c>
      <c r="ABK61" s="56"/>
    </row>
    <row r="62" spans="2:739" s="54" customFormat="1" ht="15" customHeight="1" outlineLevel="1">
      <c r="B62" s="478">
        <f>50+26</f>
        <v>76</v>
      </c>
      <c r="C62" s="55">
        <v>46074</v>
      </c>
      <c r="D62" s="422"/>
      <c r="E62" s="424">
        <f>SUMPRODUCT(PRODUCE!$B75:$DY75,PRODUCE!$EB$7:$IY$7)</f>
        <v>38980.100000000006</v>
      </c>
      <c r="F62" s="422">
        <v>38980.400000000001</v>
      </c>
      <c r="G62" s="423">
        <f t="shared" si="247"/>
        <v>-0.29999999999563443</v>
      </c>
      <c r="H62" s="423">
        <f t="shared" si="245"/>
        <v>95510</v>
      </c>
      <c r="I62" s="289" t="s">
        <v>209</v>
      </c>
      <c r="L62" s="55">
        <f t="shared" si="246"/>
        <v>46074</v>
      </c>
      <c r="M62" s="422"/>
      <c r="N62" s="439">
        <f>SUMPRODUCT(PRODUCE!$B75:$DY75,PRODUCE!$EB$8:$IY$8)</f>
        <v>18732.5</v>
      </c>
      <c r="O62" s="422">
        <v>18730.599999999999</v>
      </c>
      <c r="P62" s="438">
        <f t="shared" si="248"/>
        <v>1.9000000000014552</v>
      </c>
      <c r="Q62" s="438">
        <f t="shared" si="249"/>
        <v>52234.200000000033</v>
      </c>
      <c r="R62" s="56"/>
      <c r="U62" s="55">
        <f t="shared" si="250"/>
        <v>46074</v>
      </c>
      <c r="V62" s="422"/>
      <c r="W62" s="441">
        <f>SUMPRODUCT(PRODUCE!$B75:$DY75,PRODUCE!$EB$9:$IY$9)</f>
        <v>4824.9999999999991</v>
      </c>
      <c r="X62" s="422">
        <v>4826</v>
      </c>
      <c r="Y62" s="440">
        <f t="shared" si="251"/>
        <v>-1.0000000000009095</v>
      </c>
      <c r="Z62" s="440">
        <f t="shared" si="252"/>
        <v>31348.099999999977</v>
      </c>
      <c r="AA62" s="56"/>
      <c r="AD62" s="55">
        <f t="shared" si="253"/>
        <v>46074</v>
      </c>
      <c r="AE62" s="422"/>
      <c r="AF62" s="443">
        <f>SUMPRODUCT(PRODUCE!$B75:$DY75,PRODUCE!$EB$10:$IY$10)</f>
        <v>1950</v>
      </c>
      <c r="AG62" s="422">
        <v>1951.4</v>
      </c>
      <c r="AH62" s="442">
        <f t="shared" si="254"/>
        <v>-1.4000000000000909</v>
      </c>
      <c r="AI62" s="442">
        <f t="shared" si="255"/>
        <v>40126.300000000017</v>
      </c>
      <c r="AJ62" s="56"/>
      <c r="AM62" s="55">
        <f t="shared" si="256"/>
        <v>46074</v>
      </c>
      <c r="AN62" s="422"/>
      <c r="AO62" s="445">
        <f>SUMPRODUCT(PRODUCE!$B75:$DY75,PRODUCE!$EB$11:$IY$11)</f>
        <v>0</v>
      </c>
      <c r="AP62" s="422"/>
      <c r="AQ62" s="444">
        <f t="shared" si="257"/>
        <v>0</v>
      </c>
      <c r="AR62" s="444">
        <f t="shared" si="258"/>
        <v>0</v>
      </c>
      <c r="AS62" s="56"/>
      <c r="AV62" s="55">
        <f t="shared" si="259"/>
        <v>46074</v>
      </c>
      <c r="AW62" s="422"/>
      <c r="AX62" s="447">
        <f>SUMPRODUCT(PRODUCE!$B75:$DY75,PRODUCE!$EB$12:$IY$12)</f>
        <v>520</v>
      </c>
      <c r="AY62" s="422">
        <v>520.29999999999995</v>
      </c>
      <c r="AZ62" s="446">
        <f t="shared" si="260"/>
        <v>-0.29999999999995453</v>
      </c>
      <c r="BA62" s="446">
        <f t="shared" si="261"/>
        <v>49322.399999999987</v>
      </c>
      <c r="BB62" s="56"/>
      <c r="BE62" s="55">
        <f t="shared" si="262"/>
        <v>46074</v>
      </c>
      <c r="BF62" s="422"/>
      <c r="BG62" s="449">
        <f>SUMPRODUCT(PRODUCE!$B75:$DY75,PRODUCE!$EB$13:$IY$13)</f>
        <v>2100</v>
      </c>
      <c r="BH62" s="422">
        <v>2102.3000000000002</v>
      </c>
      <c r="BI62" s="448">
        <f t="shared" si="263"/>
        <v>-2.3000000000001819</v>
      </c>
      <c r="BJ62" s="448">
        <f t="shared" si="264"/>
        <v>13288.400000000005</v>
      </c>
      <c r="BK62" s="56"/>
      <c r="BN62" s="55">
        <f t="shared" si="265"/>
        <v>46074</v>
      </c>
      <c r="BO62" s="422">
        <v>1519.8</v>
      </c>
      <c r="BP62" s="451">
        <f>SUMPRODUCT(PRODUCE!$B75:$DY75,PRODUCE!$EB$14:$IY$14)</f>
        <v>1520</v>
      </c>
      <c r="BQ62" s="422">
        <v>1519.8</v>
      </c>
      <c r="BR62" s="450">
        <f t="shared" si="266"/>
        <v>0.20000000000004547</v>
      </c>
      <c r="BS62" s="450">
        <f t="shared" si="267"/>
        <v>0</v>
      </c>
      <c r="BT62" s="56"/>
      <c r="BW62" s="55">
        <f t="shared" si="268"/>
        <v>46074</v>
      </c>
      <c r="BX62" s="56"/>
      <c r="BY62" s="81">
        <f>SUMPRODUCT(PRODUCE!$B75:$DY75,PRODUCE!$EB$15:$IY$15)</f>
        <v>391</v>
      </c>
      <c r="BZ62" s="56"/>
      <c r="CA62" s="65">
        <f t="shared" si="269"/>
        <v>391</v>
      </c>
      <c r="CB62" s="65">
        <f t="shared" si="270"/>
        <v>931.90000000000009</v>
      </c>
      <c r="CC62" s="56"/>
      <c r="CF62" s="55">
        <f t="shared" si="271"/>
        <v>46074</v>
      </c>
      <c r="CG62" s="56"/>
      <c r="CH62" s="82">
        <f>SUMPRODUCT(PRODUCE!$B75:$DY75,PRODUCE!$EB$16:$IY$16)</f>
        <v>523.4</v>
      </c>
      <c r="CI62" s="56"/>
      <c r="CJ62" s="66">
        <f t="shared" si="272"/>
        <v>523.4</v>
      </c>
      <c r="CK62" s="66">
        <f t="shared" si="273"/>
        <v>0</v>
      </c>
      <c r="CL62" s="56"/>
      <c r="CO62" s="55">
        <f t="shared" si="274"/>
        <v>46074</v>
      </c>
      <c r="CP62" s="422"/>
      <c r="CQ62" s="471">
        <f>SUMPRODUCT(PRODUCE!$B75:$DY75,PRODUCE!$EB$17:$IY$17)</f>
        <v>0</v>
      </c>
      <c r="CR62" s="422"/>
      <c r="CS62" s="470">
        <f t="shared" si="275"/>
        <v>0</v>
      </c>
      <c r="CT62" s="470">
        <f t="shared" si="276"/>
        <v>0</v>
      </c>
      <c r="CU62" s="56"/>
      <c r="CX62" s="55">
        <f t="shared" si="277"/>
        <v>46074</v>
      </c>
      <c r="CY62" s="56"/>
      <c r="CZ62" s="136">
        <f>SUMPRODUCT(PRODUCE!$B75:$DY75,PRODUCE!$EB$18:$IY$18)</f>
        <v>2500</v>
      </c>
      <c r="DA62" s="56">
        <v>2499.8000000000002</v>
      </c>
      <c r="DB62" s="133">
        <f t="shared" si="278"/>
        <v>0.1999999999998181</v>
      </c>
      <c r="DC62" s="133">
        <f t="shared" si="279"/>
        <v>16684.7</v>
      </c>
      <c r="DD62" s="56"/>
      <c r="DG62" s="55">
        <f t="shared" si="280"/>
        <v>46074</v>
      </c>
      <c r="DH62" s="56"/>
      <c r="DI62" s="150">
        <f>SUMPRODUCT(PRODUCE!$B75:$DY75,PRODUCE!$EB$19:$IY$19)</f>
        <v>2000</v>
      </c>
      <c r="DJ62" s="56">
        <v>1999.2</v>
      </c>
      <c r="DK62" s="147">
        <f t="shared" si="281"/>
        <v>0.79999999999995453</v>
      </c>
      <c r="DL62" s="147">
        <f t="shared" si="282"/>
        <v>5112.1999999999971</v>
      </c>
      <c r="DM62" s="56"/>
      <c r="DP62" s="55">
        <f t="shared" si="283"/>
        <v>46074</v>
      </c>
      <c r="DQ62" s="56"/>
      <c r="DR62" s="58">
        <f>SUMPRODUCT(PRODUCE!$B75:$DY75,PRODUCE!$EB$20:$IY$20)</f>
        <v>0</v>
      </c>
      <c r="DS62" s="56"/>
      <c r="DT62" s="57">
        <f t="shared" si="284"/>
        <v>0</v>
      </c>
      <c r="DU62" s="57">
        <f t="shared" si="285"/>
        <v>2300</v>
      </c>
      <c r="DV62" s="56"/>
      <c r="DY62" s="55">
        <f t="shared" si="286"/>
        <v>46074</v>
      </c>
      <c r="DZ62" s="56"/>
      <c r="EA62" s="159">
        <f>SUMPRODUCT(PRODUCE!$B75:$DY75,PRODUCE!$EB$21:$IY$21)</f>
        <v>0</v>
      </c>
      <c r="EB62" s="56"/>
      <c r="EC62" s="157">
        <f t="shared" si="287"/>
        <v>0</v>
      </c>
      <c r="ED62" s="157">
        <f t="shared" si="288"/>
        <v>5696.8</v>
      </c>
      <c r="EE62" s="56"/>
      <c r="EH62" s="55">
        <f t="shared" si="289"/>
        <v>46074</v>
      </c>
      <c r="EI62" s="56"/>
      <c r="EJ62" s="164">
        <f>SUMPRODUCT(PRODUCE!$B75:$DY75,PRODUCE!$EB$22:$IY$22)</f>
        <v>0</v>
      </c>
      <c r="EK62" s="56"/>
      <c r="EL62" s="162">
        <f t="shared" si="290"/>
        <v>0</v>
      </c>
      <c r="EM62" s="162">
        <f t="shared" si="291"/>
        <v>0</v>
      </c>
      <c r="EN62" s="56"/>
      <c r="EQ62" s="55">
        <f t="shared" si="292"/>
        <v>46074</v>
      </c>
      <c r="ER62" s="56"/>
      <c r="ES62" s="171">
        <f>SUMPRODUCT(PRODUCE!$B75:$DY75,PRODUCE!$EB$23:$IY$23)</f>
        <v>0</v>
      </c>
      <c r="ET62" s="56"/>
      <c r="EU62" s="135">
        <f t="shared" si="293"/>
        <v>0</v>
      </c>
      <c r="EV62" s="135">
        <f t="shared" si="294"/>
        <v>0</v>
      </c>
      <c r="EW62" s="56"/>
      <c r="EZ62" s="55">
        <f t="shared" si="295"/>
        <v>46074</v>
      </c>
      <c r="FA62" s="56"/>
      <c r="FB62" s="178">
        <f>SUMPRODUCT(PRODUCE!$B75:$DY75,PRODUCE!$EB$24:$IY$24)</f>
        <v>0</v>
      </c>
      <c r="FC62" s="56"/>
      <c r="FD62" s="175">
        <f t="shared" si="296"/>
        <v>0</v>
      </c>
      <c r="FE62" s="175">
        <f t="shared" si="297"/>
        <v>0</v>
      </c>
      <c r="FF62" s="56"/>
      <c r="FI62" s="55">
        <f t="shared" si="298"/>
        <v>46074</v>
      </c>
      <c r="FJ62" s="56"/>
      <c r="FK62" s="184">
        <f>SUMPRODUCT(PRODUCE!$B75:$DY75,PRODUCE!$EB$25:$IY$25)</f>
        <v>0</v>
      </c>
      <c r="FL62" s="56"/>
      <c r="FM62" s="183">
        <f t="shared" si="299"/>
        <v>0</v>
      </c>
      <c r="FN62" s="183">
        <f t="shared" si="300"/>
        <v>0</v>
      </c>
      <c r="FO62" s="56"/>
      <c r="FR62" s="55">
        <f t="shared" si="301"/>
        <v>46074</v>
      </c>
      <c r="FS62" s="422"/>
      <c r="FT62" s="453">
        <f>SUMPRODUCT(PRODUCE!$B75:$DY75,PRODUCE!$EB$26:$IY$26)</f>
        <v>520</v>
      </c>
      <c r="FU62" s="422"/>
      <c r="FV62" s="452">
        <f t="shared" si="302"/>
        <v>520</v>
      </c>
      <c r="FW62" s="452">
        <f t="shared" si="303"/>
        <v>1900</v>
      </c>
      <c r="FX62" s="56"/>
      <c r="GA62" s="55">
        <f t="shared" si="304"/>
        <v>46074</v>
      </c>
      <c r="GB62" s="422"/>
      <c r="GC62" s="455">
        <f>SUMPRODUCT(PRODUCE!$B75:$DY75,PRODUCE!$EB$27:$IY$27)</f>
        <v>0</v>
      </c>
      <c r="GD62" s="422"/>
      <c r="GE62" s="454">
        <f t="shared" si="305"/>
        <v>0</v>
      </c>
      <c r="GF62" s="454">
        <f t="shared" si="306"/>
        <v>5960</v>
      </c>
      <c r="GG62" s="56"/>
      <c r="GI62" s="23"/>
      <c r="GJ62" s="55">
        <f t="shared" si="307"/>
        <v>46074</v>
      </c>
      <c r="GK62" s="422"/>
      <c r="GL62" s="457">
        <f>SUMPRODUCT(PRODUCE!$B75:$DY75,PRODUCE!$EB$28:$IY$28)</f>
        <v>0</v>
      </c>
      <c r="GM62" s="422"/>
      <c r="GN62" s="456">
        <f t="shared" si="308"/>
        <v>0</v>
      </c>
      <c r="GO62" s="456">
        <f t="shared" si="309"/>
        <v>5240</v>
      </c>
      <c r="GP62" s="56"/>
      <c r="GS62" s="55">
        <f t="shared" si="310"/>
        <v>46074</v>
      </c>
      <c r="GT62" s="56"/>
      <c r="GU62" s="196">
        <f>SUMPRODUCT(PRODUCE!$B75:$DY75,PRODUCE!$EB$29:$IY$29)</f>
        <v>0</v>
      </c>
      <c r="GV62" s="56"/>
      <c r="GW62" s="195">
        <f t="shared" si="311"/>
        <v>0</v>
      </c>
      <c r="GX62" s="195">
        <f t="shared" si="312"/>
        <v>0</v>
      </c>
      <c r="GY62" s="56"/>
      <c r="HB62" s="55">
        <f t="shared" si="313"/>
        <v>46074</v>
      </c>
      <c r="HC62" s="56"/>
      <c r="HD62" s="192">
        <f>SUMPRODUCT(PRODUCE!$B75:$DY75,PRODUCE!$EB$30:$IY$30)</f>
        <v>0</v>
      </c>
      <c r="HE62" s="56"/>
      <c r="HF62" s="191">
        <f t="shared" si="314"/>
        <v>0</v>
      </c>
      <c r="HG62" s="191">
        <f t="shared" si="315"/>
        <v>0</v>
      </c>
      <c r="HH62" s="56"/>
      <c r="HK62" s="55">
        <f t="shared" si="316"/>
        <v>46074</v>
      </c>
      <c r="HL62" s="56"/>
      <c r="HM62" s="80">
        <f>SUMPRODUCT(PRODUCE!$B75:$DY75,PRODUCE!$EB$31:$IY$31)</f>
        <v>0</v>
      </c>
      <c r="HN62" s="56"/>
      <c r="HO62" s="63">
        <f t="shared" si="317"/>
        <v>0</v>
      </c>
      <c r="HP62" s="63">
        <f t="shared" si="318"/>
        <v>0</v>
      </c>
      <c r="HQ62" s="56"/>
      <c r="HU62" s="55">
        <f t="shared" si="319"/>
        <v>46074</v>
      </c>
      <c r="HV62" s="56"/>
      <c r="HW62" s="242">
        <f>SUMPRODUCT(PRODUCE!$B75:$DY75,PRODUCE!$EB$32:$IY$32)</f>
        <v>0</v>
      </c>
      <c r="HX62" s="56"/>
      <c r="HY62" s="242">
        <f t="shared" si="320"/>
        <v>0</v>
      </c>
      <c r="HZ62" s="242">
        <f t="shared" si="321"/>
        <v>5120</v>
      </c>
      <c r="IA62" s="56"/>
      <c r="ID62" s="55">
        <f t="shared" si="322"/>
        <v>46074</v>
      </c>
      <c r="IE62" s="56"/>
      <c r="IF62" s="242">
        <f>SUMPRODUCT(PRODUCE!$B75:$DY75,PRODUCE!$EB$33:$IY$33)</f>
        <v>0</v>
      </c>
      <c r="IG62" s="56"/>
      <c r="IH62" s="242">
        <f t="shared" si="323"/>
        <v>0</v>
      </c>
      <c r="II62" s="242">
        <f t="shared" si="324"/>
        <v>5100</v>
      </c>
      <c r="IJ62" s="56"/>
      <c r="IM62" s="55">
        <f t="shared" si="325"/>
        <v>46074</v>
      </c>
      <c r="IN62" s="56"/>
      <c r="IO62" s="242">
        <f>SUMPRODUCT(PRODUCE!$B75:$DY75,PRODUCE!$EB$34:$IY$34)</f>
        <v>0</v>
      </c>
      <c r="IP62" s="56"/>
      <c r="IQ62" s="242">
        <f t="shared" si="326"/>
        <v>0</v>
      </c>
      <c r="IR62" s="242">
        <f t="shared" si="327"/>
        <v>10240</v>
      </c>
      <c r="IS62" s="56"/>
      <c r="IV62" s="55">
        <f t="shared" si="328"/>
        <v>46074</v>
      </c>
      <c r="IW62" s="56"/>
      <c r="IX62" s="242">
        <f>SUMPRODUCT(PRODUCE!$B75:$DY75,PRODUCE!$EB$35:$IY$35)</f>
        <v>0</v>
      </c>
      <c r="IY62" s="56"/>
      <c r="IZ62" s="242">
        <f t="shared" si="329"/>
        <v>0</v>
      </c>
      <c r="JA62" s="242">
        <f t="shared" si="330"/>
        <v>15120</v>
      </c>
      <c r="JB62" s="56"/>
      <c r="JE62" s="55">
        <f t="shared" si="331"/>
        <v>46074</v>
      </c>
      <c r="JF62" s="56"/>
      <c r="JG62" s="242">
        <f>SUMPRODUCT(PRODUCE!$B75:$DY75,PRODUCE!$EB$36:$IY$36)</f>
        <v>0</v>
      </c>
      <c r="JH62" s="56"/>
      <c r="JI62" s="242">
        <f t="shared" si="332"/>
        <v>0</v>
      </c>
      <c r="JJ62" s="242">
        <f t="shared" si="333"/>
        <v>3600</v>
      </c>
      <c r="JK62" s="56"/>
      <c r="JN62" s="55">
        <f t="shared" si="334"/>
        <v>46074</v>
      </c>
      <c r="JO62" s="56"/>
      <c r="JP62" s="242">
        <f>SUMPRODUCT(PRODUCE!$B75:$DY75,PRODUCE!$EB$37:$IY$37)</f>
        <v>0</v>
      </c>
      <c r="JQ62" s="56"/>
      <c r="JR62" s="242">
        <f t="shared" si="335"/>
        <v>0</v>
      </c>
      <c r="JS62" s="242">
        <f t="shared" si="336"/>
        <v>5400</v>
      </c>
      <c r="JT62" s="56"/>
      <c r="JW62" s="55">
        <f t="shared" si="337"/>
        <v>46074</v>
      </c>
      <c r="JX62" s="56"/>
      <c r="JY62" s="242">
        <f>SUMPRODUCT(PRODUCE!$B75:$DY75,PRODUCE!$EB$38:$IY$38)</f>
        <v>0</v>
      </c>
      <c r="JZ62" s="56"/>
      <c r="KA62" s="242">
        <f t="shared" si="338"/>
        <v>0</v>
      </c>
      <c r="KB62" s="242">
        <f t="shared" si="339"/>
        <v>4000</v>
      </c>
      <c r="KC62" s="56"/>
      <c r="KF62" s="55">
        <f t="shared" si="340"/>
        <v>46074</v>
      </c>
      <c r="KG62" s="56"/>
      <c r="KH62" s="242">
        <f>SUMPRODUCT(PRODUCE!$B75:$DY75,PRODUCE!$EB$39:$IY$39)</f>
        <v>975</v>
      </c>
      <c r="KI62" s="56"/>
      <c r="KJ62" s="242">
        <f t="shared" si="341"/>
        <v>975</v>
      </c>
      <c r="KK62" s="242">
        <f t="shared" si="342"/>
        <v>1287</v>
      </c>
      <c r="KL62" s="56"/>
      <c r="KO62" s="55">
        <f t="shared" si="343"/>
        <v>46074</v>
      </c>
      <c r="KP62" s="56"/>
      <c r="KQ62" s="242">
        <f>SUMPRODUCT(PRODUCE!$B75:$DY75,PRODUCE!$EB$40:$IY$40)</f>
        <v>0</v>
      </c>
      <c r="KR62" s="56"/>
      <c r="KS62" s="242">
        <f t="shared" si="344"/>
        <v>0</v>
      </c>
      <c r="KT62" s="242">
        <f t="shared" si="345"/>
        <v>10659.6</v>
      </c>
      <c r="KU62" s="56"/>
      <c r="KW62" s="23"/>
      <c r="KX62" s="55">
        <f t="shared" si="346"/>
        <v>46074</v>
      </c>
      <c r="KY62" s="56"/>
      <c r="KZ62" s="242">
        <f>SUMPRODUCT(PRODUCE!$B75:$DY75,PRODUCE!$EB$41:$IY$41)</f>
        <v>0</v>
      </c>
      <c r="LA62" s="56"/>
      <c r="LB62" s="242">
        <f t="shared" si="347"/>
        <v>0</v>
      </c>
      <c r="LC62" s="242">
        <f t="shared" si="348"/>
        <v>0</v>
      </c>
      <c r="LD62" s="56"/>
      <c r="LG62" s="55">
        <f t="shared" si="349"/>
        <v>46074</v>
      </c>
      <c r="LH62" s="56"/>
      <c r="LI62" s="242">
        <f>SUMPRODUCT(PRODUCE!$B75:$DY75,PRODUCE!$EB$42:$IY$42)</f>
        <v>0</v>
      </c>
      <c r="LJ62" s="56"/>
      <c r="LK62" s="242">
        <f t="shared" si="350"/>
        <v>0</v>
      </c>
      <c r="LL62" s="242">
        <f t="shared" si="351"/>
        <v>0</v>
      </c>
      <c r="LM62" s="56"/>
      <c r="LP62" s="55">
        <f t="shared" si="352"/>
        <v>46074</v>
      </c>
      <c r="LQ62" s="56"/>
      <c r="LR62" s="242">
        <f>SUMPRODUCT(PRODUCE!$B77:$DY77,PRODUCE!$EB$43:$IY$43)</f>
        <v>0</v>
      </c>
      <c r="LS62" s="56"/>
      <c r="LT62" s="242">
        <f t="shared" si="353"/>
        <v>0</v>
      </c>
      <c r="LU62" s="242">
        <f t="shared" si="354"/>
        <v>0</v>
      </c>
      <c r="LV62" s="56"/>
      <c r="LY62" s="55">
        <f t="shared" si="355"/>
        <v>46074</v>
      </c>
      <c r="LZ62" s="56"/>
      <c r="MA62" s="242">
        <f>SUMPRODUCT(PRODUCE!$B77:$DY77,PRODUCE!$EB$44:$IY$44)</f>
        <v>0</v>
      </c>
      <c r="MB62" s="56"/>
      <c r="MC62" s="242">
        <f t="shared" si="356"/>
        <v>0</v>
      </c>
      <c r="MD62" s="242">
        <f t="shared" si="357"/>
        <v>0</v>
      </c>
      <c r="ME62" s="56"/>
      <c r="MH62" s="55">
        <f t="shared" si="358"/>
        <v>46074</v>
      </c>
      <c r="MI62" s="56"/>
      <c r="MJ62" s="242">
        <f>SUMPRODUCT(PRODUCE!$B75:$DY75,PRODUCE!$EB$45:$IY$45)</f>
        <v>0</v>
      </c>
      <c r="MK62" s="56"/>
      <c r="ML62" s="242">
        <f t="shared" si="359"/>
        <v>0</v>
      </c>
      <c r="MM62" s="242">
        <f t="shared" si="360"/>
        <v>0</v>
      </c>
      <c r="MN62" s="56"/>
      <c r="MQ62" s="55">
        <f t="shared" si="361"/>
        <v>46074</v>
      </c>
      <c r="MR62" s="56"/>
      <c r="MS62" s="242">
        <f>SUMPRODUCT(PRODUCE!$B75:$DY75,PRODUCE!$EB$46:$IY$46)</f>
        <v>113</v>
      </c>
      <c r="MT62" s="56"/>
      <c r="MU62" s="242">
        <f t="shared" si="362"/>
        <v>113</v>
      </c>
      <c r="MV62" s="242">
        <f t="shared" si="363"/>
        <v>4370</v>
      </c>
      <c r="MW62" s="56"/>
      <c r="MZ62" s="55">
        <f t="shared" si="364"/>
        <v>46074</v>
      </c>
      <c r="NA62" s="56"/>
      <c r="NB62" s="242">
        <f>SUMPRODUCT(PRODUCE!$B75:$DY75,PRODUCE!$EB$47:$IY$47)</f>
        <v>150</v>
      </c>
      <c r="NC62" s="56"/>
      <c r="ND62" s="242">
        <f t="shared" si="365"/>
        <v>150</v>
      </c>
      <c r="NE62" s="242">
        <f t="shared" si="366"/>
        <v>0</v>
      </c>
      <c r="NF62" s="56"/>
      <c r="NI62" s="55">
        <f t="shared" si="367"/>
        <v>46074</v>
      </c>
      <c r="NJ62" s="56"/>
      <c r="NK62" s="242">
        <f>SUMPRODUCT(PRODUCE!$B75:$DY75,PRODUCE!$EB$48:$IY$48)</f>
        <v>0</v>
      </c>
      <c r="NL62" s="56"/>
      <c r="NM62" s="242">
        <f t="shared" si="368"/>
        <v>0</v>
      </c>
      <c r="NN62" s="242">
        <f t="shared" si="369"/>
        <v>0</v>
      </c>
      <c r="NO62" s="56"/>
      <c r="NR62" s="55">
        <f t="shared" si="370"/>
        <v>46074</v>
      </c>
      <c r="NS62" s="56"/>
      <c r="NT62" s="242">
        <f>SUMPRODUCT(PRODUCE!$B75:$DY75,PRODUCE!$EB$49:$IY$49)</f>
        <v>60</v>
      </c>
      <c r="NU62" s="56"/>
      <c r="NV62" s="242">
        <f t="shared" si="371"/>
        <v>60</v>
      </c>
      <c r="NW62" s="242">
        <f t="shared" si="372"/>
        <v>2310</v>
      </c>
      <c r="NX62" s="56"/>
      <c r="OA62" s="55">
        <f t="shared" si="373"/>
        <v>46074</v>
      </c>
      <c r="OB62" s="56"/>
      <c r="OC62" s="242">
        <f>SUMPRODUCT(PRODUCE!$B75:$DY75,PRODUCE!$EB$50:$IY$50)</f>
        <v>0</v>
      </c>
      <c r="OD62" s="56"/>
      <c r="OE62" s="242">
        <f t="shared" si="374"/>
        <v>0</v>
      </c>
      <c r="OF62" s="242">
        <f t="shared" si="375"/>
        <v>1680.5</v>
      </c>
      <c r="OG62" s="56"/>
      <c r="OJ62" s="55">
        <f t="shared" si="376"/>
        <v>46074</v>
      </c>
      <c r="OK62" s="56"/>
      <c r="OL62" s="242">
        <f>SUMPRODUCT(PRODUCE!$B75:$DY75,PRODUCE!$EB$51:$IY$51)</f>
        <v>139.99999999999997</v>
      </c>
      <c r="OM62" s="56"/>
      <c r="ON62" s="242">
        <f t="shared" si="377"/>
        <v>139.99999999999997</v>
      </c>
      <c r="OO62" s="242">
        <f t="shared" si="378"/>
        <v>0</v>
      </c>
      <c r="OP62" s="56"/>
      <c r="OS62" s="55">
        <f t="shared" si="379"/>
        <v>46074</v>
      </c>
      <c r="OT62" s="56"/>
      <c r="OU62" s="242">
        <f>SUMPRODUCT(PRODUCE!$B75:$DY75,PRODUCE!$EB$52:$IY$52)</f>
        <v>0</v>
      </c>
      <c r="OV62" s="56"/>
      <c r="OW62" s="242">
        <f t="shared" si="380"/>
        <v>0</v>
      </c>
      <c r="OX62" s="242">
        <f t="shared" si="381"/>
        <v>0</v>
      </c>
      <c r="OY62" s="56"/>
      <c r="PB62" s="55">
        <f t="shared" si="382"/>
        <v>46074</v>
      </c>
      <c r="PC62" s="56"/>
      <c r="PD62" s="242">
        <f>SUMPRODUCT(PRODUCE!$B75:$DY75,PRODUCE!$EB$53:$IY$53)</f>
        <v>0</v>
      </c>
      <c r="PE62" s="56"/>
      <c r="PF62" s="242">
        <f t="shared" si="383"/>
        <v>0</v>
      </c>
      <c r="PG62" s="242">
        <f t="shared" si="384"/>
        <v>0</v>
      </c>
      <c r="PH62" s="56"/>
      <c r="PK62" s="55">
        <f t="shared" si="385"/>
        <v>46074</v>
      </c>
      <c r="PL62" s="56"/>
      <c r="PM62" s="242">
        <f>SUMPRODUCT(PRODUCE!$B75:$DY75,PRODUCE!$EB$54:$IY$54)</f>
        <v>0</v>
      </c>
      <c r="PN62" s="56"/>
      <c r="PO62" s="242">
        <f t="shared" si="386"/>
        <v>0</v>
      </c>
      <c r="PP62" s="242">
        <f t="shared" si="387"/>
        <v>160</v>
      </c>
      <c r="PQ62" s="56"/>
      <c r="PT62" s="55">
        <f t="shared" si="388"/>
        <v>46074</v>
      </c>
      <c r="PU62" s="56"/>
      <c r="PV62" s="242">
        <f>SUMPRODUCT(PRODUCE!$B75:$DY75,PRODUCE!$EB$55:$IY$55)</f>
        <v>0</v>
      </c>
      <c r="PW62" s="56"/>
      <c r="PX62" s="242">
        <f t="shared" si="389"/>
        <v>0</v>
      </c>
      <c r="PY62" s="242">
        <f t="shared" si="390"/>
        <v>13.960000000000036</v>
      </c>
      <c r="PZ62" s="56"/>
      <c r="QC62" s="55">
        <f t="shared" si="391"/>
        <v>46074</v>
      </c>
      <c r="QD62" s="56"/>
      <c r="QE62" s="242">
        <f>SUMPRODUCT(PRODUCE!$B75:$DY75,PRODUCE!$EB$56:$IY$56)</f>
        <v>0</v>
      </c>
      <c r="QF62" s="56"/>
      <c r="QG62" s="242">
        <f t="shared" si="392"/>
        <v>0</v>
      </c>
      <c r="QH62" s="242">
        <f t="shared" si="393"/>
        <v>0</v>
      </c>
      <c r="QI62" s="56"/>
      <c r="QL62" s="55">
        <f t="shared" si="394"/>
        <v>46074</v>
      </c>
      <c r="QM62" s="56"/>
      <c r="QN62" s="242">
        <f>SUMPRODUCT(PRODUCE!$B75:$DY75,PRODUCE!$EB$57:$IY$57)</f>
        <v>0</v>
      </c>
      <c r="QO62" s="56"/>
      <c r="QP62" s="242">
        <f t="shared" si="395"/>
        <v>0</v>
      </c>
      <c r="QQ62" s="242">
        <f t="shared" si="396"/>
        <v>0</v>
      </c>
      <c r="QR62" s="56"/>
      <c r="QU62" s="55">
        <f t="shared" si="397"/>
        <v>46074</v>
      </c>
      <c r="QV62" s="56"/>
      <c r="QW62" s="242">
        <f>SUMPRODUCT(PRODUCE!$B75:$DY75,PRODUCE!$EB$57:$IY$57)</f>
        <v>0</v>
      </c>
      <c r="QX62" s="56"/>
      <c r="QY62" s="242">
        <f t="shared" si="398"/>
        <v>0</v>
      </c>
      <c r="QZ62" s="242">
        <f t="shared" si="399"/>
        <v>207.6</v>
      </c>
      <c r="RA62" s="56"/>
      <c r="RD62" s="55">
        <f t="shared" si="400"/>
        <v>46074</v>
      </c>
      <c r="RE62" s="56"/>
      <c r="RF62" s="242">
        <f>SUMPRODUCT(PRODUCE!$B75:$DY75,PRODUCE!$EB$58:$IY$58)</f>
        <v>0</v>
      </c>
      <c r="RG62" s="56"/>
      <c r="RH62" s="242">
        <f t="shared" si="401"/>
        <v>0</v>
      </c>
      <c r="RI62" s="242">
        <f t="shared" si="402"/>
        <v>197.04000000000002</v>
      </c>
      <c r="RJ62" s="56"/>
      <c r="RM62" s="55">
        <f t="shared" si="403"/>
        <v>46074</v>
      </c>
      <c r="RN62" s="56"/>
      <c r="RO62" s="242">
        <f>SUMPRODUCT(PRODUCE!$B75:$DY75,PRODUCE!$EB$57:$IY$57)</f>
        <v>0</v>
      </c>
      <c r="RP62" s="56"/>
      <c r="RQ62" s="242">
        <f t="shared" si="404"/>
        <v>0</v>
      </c>
      <c r="RR62" s="242">
        <f t="shared" si="405"/>
        <v>46.8</v>
      </c>
      <c r="RS62" s="56"/>
      <c r="RV62" s="55">
        <f t="shared" si="406"/>
        <v>46074</v>
      </c>
      <c r="RW62" s="56"/>
      <c r="RX62" s="242">
        <f>SUMPRODUCT(PRODUCE!$B75:$DY75,PRODUCE!$EB$57:$IY$57)</f>
        <v>0</v>
      </c>
      <c r="RY62" s="56"/>
      <c r="RZ62" s="242">
        <f t="shared" si="407"/>
        <v>0</v>
      </c>
      <c r="SA62" s="242">
        <f t="shared" si="408"/>
        <v>0</v>
      </c>
      <c r="SB62" s="56"/>
      <c r="SE62" s="55">
        <f t="shared" si="409"/>
        <v>46074</v>
      </c>
      <c r="SF62" s="56"/>
      <c r="SG62" s="242">
        <f>SUMPRODUCT(PRODUCE!$B75:$DY75,PRODUCE!$EB$57:$IY$57)</f>
        <v>0</v>
      </c>
      <c r="SH62" s="56"/>
      <c r="SI62" s="242">
        <f t="shared" si="410"/>
        <v>0</v>
      </c>
      <c r="SJ62" s="242">
        <f t="shared" si="411"/>
        <v>0</v>
      </c>
      <c r="SK62" s="56"/>
      <c r="SN62" s="55">
        <f t="shared" si="412"/>
        <v>46074</v>
      </c>
      <c r="SO62" s="56"/>
      <c r="SP62" s="242">
        <f>SUMPRODUCT(PRODUCE!$B75:$DY75,PRODUCE!$EB$57:$IY$57)</f>
        <v>0</v>
      </c>
      <c r="SQ62" s="56"/>
      <c r="SR62" s="242">
        <f t="shared" si="413"/>
        <v>0</v>
      </c>
      <c r="SS62" s="242">
        <f t="shared" si="414"/>
        <v>0</v>
      </c>
      <c r="ST62" s="56"/>
      <c r="SW62" s="55">
        <f t="shared" si="415"/>
        <v>46074</v>
      </c>
      <c r="SX62" s="56"/>
      <c r="SY62" s="242">
        <f>SUMPRODUCT(PRODUCE!$B75:$DY75,PRODUCE!$EB$57:$IY$57)</f>
        <v>0</v>
      </c>
      <c r="SZ62" s="56"/>
      <c r="TA62" s="242">
        <f t="shared" si="416"/>
        <v>0</v>
      </c>
      <c r="TB62" s="242">
        <f t="shared" si="417"/>
        <v>0</v>
      </c>
      <c r="TC62" s="56"/>
      <c r="TF62" s="55">
        <f t="shared" si="418"/>
        <v>46074</v>
      </c>
      <c r="TG62" s="56"/>
      <c r="TH62" s="242">
        <f>SUMPRODUCT(PRODUCE!$B75:$DY75,PRODUCE!$EB$57:$IY$57)</f>
        <v>0</v>
      </c>
      <c r="TI62" s="56"/>
      <c r="TJ62" s="242">
        <f t="shared" si="419"/>
        <v>0</v>
      </c>
      <c r="TK62" s="242">
        <f t="shared" si="420"/>
        <v>0</v>
      </c>
      <c r="TL62" s="56"/>
      <c r="TO62" s="55">
        <f t="shared" si="421"/>
        <v>46074</v>
      </c>
      <c r="TP62" s="56"/>
      <c r="TQ62" s="242">
        <f>SUMPRODUCT(PRODUCE!$B75:$DY75,PRODUCE!$EB$57:$IY$57)</f>
        <v>0</v>
      </c>
      <c r="TR62" s="56"/>
      <c r="TS62" s="242">
        <f t="shared" si="422"/>
        <v>0</v>
      </c>
      <c r="TT62" s="242">
        <f t="shared" si="423"/>
        <v>0</v>
      </c>
      <c r="TU62" s="56"/>
      <c r="TX62" s="55">
        <f t="shared" si="424"/>
        <v>46074</v>
      </c>
      <c r="TY62" s="56"/>
      <c r="TZ62" s="242">
        <f>SUMPRODUCT(PRODUCE!$B75:$DY75,PRODUCE!$EB$57:$IY$57)</f>
        <v>0</v>
      </c>
      <c r="UA62" s="56"/>
      <c r="UB62" s="242">
        <f t="shared" si="425"/>
        <v>0</v>
      </c>
      <c r="UC62" s="242">
        <f t="shared" si="426"/>
        <v>0</v>
      </c>
      <c r="UD62" s="56"/>
      <c r="UG62" s="55">
        <f t="shared" si="427"/>
        <v>46074</v>
      </c>
      <c r="UH62" s="56"/>
      <c r="UI62" s="242">
        <f>SUMPRODUCT(PRODUCE!$B75:$DY75,PRODUCE!$EB$57:$IY$57)</f>
        <v>0</v>
      </c>
      <c r="UJ62" s="56"/>
      <c r="UK62" s="242">
        <f t="shared" si="428"/>
        <v>0</v>
      </c>
      <c r="UL62" s="242">
        <f t="shared" si="429"/>
        <v>0</v>
      </c>
      <c r="UM62" s="56"/>
      <c r="UP62" s="55">
        <f t="shared" si="430"/>
        <v>46074</v>
      </c>
      <c r="UQ62" s="56"/>
      <c r="UR62" s="242">
        <f>SUMPRODUCT(PRODUCE!$B75:$DY75,PRODUCE!$EB$57:$IY$57)</f>
        <v>0</v>
      </c>
      <c r="US62" s="56"/>
      <c r="UT62" s="242">
        <f t="shared" si="431"/>
        <v>0</v>
      </c>
      <c r="UU62" s="242">
        <f t="shared" si="432"/>
        <v>0</v>
      </c>
      <c r="UV62" s="56"/>
      <c r="UY62" s="55">
        <f t="shared" si="433"/>
        <v>46074</v>
      </c>
      <c r="UZ62" s="56"/>
      <c r="VA62" s="242">
        <f>SUMPRODUCT(PRODUCE!$B75:$DY75,PRODUCE!$EB$57:$IY$57)</f>
        <v>0</v>
      </c>
      <c r="VB62" s="56"/>
      <c r="VC62" s="242">
        <f t="shared" si="434"/>
        <v>0</v>
      </c>
      <c r="VD62" s="242">
        <f t="shared" si="435"/>
        <v>41.600000000000023</v>
      </c>
      <c r="VE62" s="56"/>
      <c r="VH62" s="55">
        <f t="shared" si="436"/>
        <v>46074</v>
      </c>
      <c r="VI62" s="56"/>
      <c r="VJ62" s="242">
        <f>SUMPRODUCT(PRODUCE!$B75:$DY75,PRODUCE!$EB$57:$IY$57)</f>
        <v>0</v>
      </c>
      <c r="VK62" s="56"/>
      <c r="VL62" s="242">
        <f t="shared" si="437"/>
        <v>0</v>
      </c>
      <c r="VM62" s="242">
        <f t="shared" si="438"/>
        <v>0</v>
      </c>
      <c r="VN62" s="56"/>
      <c r="VQ62" s="55">
        <f t="shared" si="439"/>
        <v>46074</v>
      </c>
      <c r="VR62" s="56"/>
      <c r="VS62" s="242">
        <f>SUMPRODUCT(PRODUCE!$B75:$DY75,PRODUCE!$EB$57:$IY$57)</f>
        <v>0</v>
      </c>
      <c r="VT62" s="56"/>
      <c r="VU62" s="242">
        <f t="shared" si="440"/>
        <v>0</v>
      </c>
      <c r="VV62" s="242">
        <f t="shared" si="441"/>
        <v>0</v>
      </c>
      <c r="VW62" s="56"/>
      <c r="VZ62" s="55">
        <f t="shared" si="442"/>
        <v>46074</v>
      </c>
      <c r="WA62" s="56"/>
      <c r="WB62" s="242">
        <f>SUMPRODUCT(PRODUCE!$B75:$DY75,PRODUCE!$EB$57:$IY$57)</f>
        <v>0</v>
      </c>
      <c r="WC62" s="56"/>
      <c r="WD62" s="242">
        <f t="shared" si="443"/>
        <v>0</v>
      </c>
      <c r="WE62" s="242">
        <f t="shared" si="444"/>
        <v>0</v>
      </c>
      <c r="WF62" s="56"/>
      <c r="WI62" s="55">
        <f t="shared" si="445"/>
        <v>46074</v>
      </c>
      <c r="WJ62" s="56"/>
      <c r="WK62" s="242">
        <f>SUMPRODUCT(PRODUCE!$B75:$DY75,PRODUCE!$EB$57:$IY$57)</f>
        <v>0</v>
      </c>
      <c r="WL62" s="56">
        <v>521</v>
      </c>
      <c r="WM62" s="242">
        <f t="shared" si="446"/>
        <v>-521</v>
      </c>
      <c r="WN62" s="242">
        <f t="shared" si="447"/>
        <v>7912</v>
      </c>
      <c r="WO62" s="56"/>
      <c r="WR62" s="55">
        <f t="shared" si="448"/>
        <v>46074</v>
      </c>
      <c r="WS62" s="56"/>
      <c r="WT62" s="242">
        <f>SUMPRODUCT(PRODUCE!$B75:$DY75,PRODUCE!$EB$57:$IY$57)</f>
        <v>0</v>
      </c>
      <c r="WU62" s="56"/>
      <c r="WV62" s="242">
        <f t="shared" si="449"/>
        <v>0</v>
      </c>
      <c r="WW62" s="242">
        <f t="shared" si="450"/>
        <v>6559</v>
      </c>
      <c r="WX62" s="56"/>
      <c r="XA62" s="55">
        <f t="shared" si="451"/>
        <v>46074</v>
      </c>
      <c r="XB62" s="56"/>
      <c r="XC62" s="242">
        <f>SUMPRODUCT(PRODUCE!$B75:$DY75,PRODUCE!$EB$57:$IY$57)</f>
        <v>0</v>
      </c>
      <c r="XD62" s="56"/>
      <c r="XE62" s="242">
        <f t="shared" si="452"/>
        <v>0</v>
      </c>
      <c r="XF62" s="242">
        <f t="shared" si="453"/>
        <v>590</v>
      </c>
      <c r="XG62" s="56"/>
      <c r="XJ62" s="55">
        <f t="shared" si="454"/>
        <v>46074</v>
      </c>
      <c r="XK62" s="56"/>
      <c r="XL62" s="242">
        <f>SUMPRODUCT(PRODUCE!$B75:$DY75,PRODUCE!$EB$57:$IY$57)</f>
        <v>0</v>
      </c>
      <c r="XM62" s="56">
        <v>579</v>
      </c>
      <c r="XN62" s="242">
        <f t="shared" si="455"/>
        <v>-579</v>
      </c>
      <c r="XO62" s="242">
        <f t="shared" si="456"/>
        <v>5809</v>
      </c>
      <c r="XP62" s="56"/>
      <c r="XS62" s="55">
        <f t="shared" si="457"/>
        <v>46074</v>
      </c>
      <c r="XT62" s="56"/>
      <c r="XU62" s="242">
        <f>SUMPRODUCT(PRODUCE!$B75:$DY75,PRODUCE!$EB$57:$IY$57)</f>
        <v>0</v>
      </c>
      <c r="XV62" s="56"/>
      <c r="XW62" s="242">
        <f t="shared" si="458"/>
        <v>0</v>
      </c>
      <c r="XX62" s="242">
        <f t="shared" si="459"/>
        <v>1901</v>
      </c>
      <c r="XY62" s="56"/>
      <c r="YB62" s="55">
        <f t="shared" si="460"/>
        <v>46074</v>
      </c>
      <c r="YC62" s="56"/>
      <c r="YD62" s="242">
        <f>SUMPRODUCT(PRODUCE!$B75:$DY75,PRODUCE!$EB$57:$IY$57)</f>
        <v>0</v>
      </c>
      <c r="YE62" s="56"/>
      <c r="YF62" s="242">
        <f t="shared" si="461"/>
        <v>0</v>
      </c>
      <c r="YG62" s="242">
        <f t="shared" si="462"/>
        <v>-707</v>
      </c>
      <c r="YH62" s="56"/>
      <c r="YK62" s="55">
        <f t="shared" si="463"/>
        <v>46074</v>
      </c>
      <c r="YL62" s="56"/>
      <c r="YM62" s="242">
        <f>SUMPRODUCT(PRODUCE!$B75:$DY75,PRODUCE!$EB$57:$IY$57)</f>
        <v>0</v>
      </c>
      <c r="YN62" s="56"/>
      <c r="YO62" s="242">
        <f t="shared" si="464"/>
        <v>0</v>
      </c>
      <c r="YP62" s="242">
        <f t="shared" si="465"/>
        <v>0</v>
      </c>
      <c r="YQ62" s="56"/>
      <c r="YT62" s="55">
        <f t="shared" si="466"/>
        <v>46074</v>
      </c>
      <c r="YU62" s="56"/>
      <c r="YV62" s="242">
        <f>SUMPRODUCT(PRODUCE!$B75:$DY75,PRODUCE!$EB$57:$IY$57)</f>
        <v>0</v>
      </c>
      <c r="YW62" s="56"/>
      <c r="YX62" s="242">
        <f t="shared" si="467"/>
        <v>0</v>
      </c>
      <c r="YY62" s="242">
        <f t="shared" si="468"/>
        <v>0</v>
      </c>
      <c r="YZ62" s="56"/>
      <c r="ZC62" s="55">
        <f t="shared" si="469"/>
        <v>46074</v>
      </c>
      <c r="ZD62" s="56"/>
      <c r="ZE62" s="242">
        <f>SUMPRODUCT(PRODUCE!$B75:$DY75,PRODUCE!$EB$57:$IY$57)</f>
        <v>0</v>
      </c>
      <c r="ZF62" s="56"/>
      <c r="ZG62" s="242">
        <f t="shared" si="470"/>
        <v>0</v>
      </c>
      <c r="ZH62" s="242">
        <f t="shared" si="471"/>
        <v>0</v>
      </c>
      <c r="ZI62" s="56"/>
      <c r="ZL62" s="55">
        <f t="shared" si="472"/>
        <v>46074</v>
      </c>
      <c r="ZM62" s="56"/>
      <c r="ZN62" s="242">
        <f>SUMPRODUCT(PRODUCE!$B75:$DY75,PRODUCE!$EB$57:$IY$57)</f>
        <v>0</v>
      </c>
      <c r="ZO62" s="56"/>
      <c r="ZP62" s="242">
        <f t="shared" si="473"/>
        <v>0</v>
      </c>
      <c r="ZQ62" s="242">
        <f t="shared" si="474"/>
        <v>0</v>
      </c>
      <c r="ZR62" s="56"/>
      <c r="ZU62" s="55">
        <f t="shared" si="475"/>
        <v>46074</v>
      </c>
      <c r="ZV62" s="56"/>
      <c r="ZW62" s="242">
        <f>SUMPRODUCT(PRODUCE!$B75:$DY75,PRODUCE!$EB$57:$IY$57)</f>
        <v>0</v>
      </c>
      <c r="ZX62" s="56"/>
      <c r="ZY62" s="242">
        <f t="shared" si="476"/>
        <v>0</v>
      </c>
      <c r="ZZ62" s="242">
        <f t="shared" si="477"/>
        <v>0</v>
      </c>
      <c r="AAA62" s="56"/>
      <c r="AAD62" s="55">
        <f t="shared" si="478"/>
        <v>46074</v>
      </c>
      <c r="AAE62" s="56"/>
      <c r="AAF62" s="242">
        <f>SUMPRODUCT(PRODUCE!$B75:$DY75,PRODUCE!$EB$57:$IY$57)</f>
        <v>0</v>
      </c>
      <c r="AAG62" s="56"/>
      <c r="AAH62" s="242">
        <f t="shared" si="479"/>
        <v>0</v>
      </c>
      <c r="AAI62" s="242">
        <f t="shared" si="480"/>
        <v>0</v>
      </c>
      <c r="AAJ62" s="56"/>
      <c r="AAM62" s="55">
        <f t="shared" si="481"/>
        <v>46074</v>
      </c>
      <c r="AAN62" s="56"/>
      <c r="AAO62" s="242">
        <f>SUMPRODUCT(PRODUCE!$B75:$DY75,PRODUCE!$EB$57:$IY$57)</f>
        <v>0</v>
      </c>
      <c r="AAP62" s="56"/>
      <c r="AAQ62" s="242">
        <f t="shared" si="482"/>
        <v>0</v>
      </c>
      <c r="AAR62" s="242">
        <f t="shared" si="483"/>
        <v>0</v>
      </c>
      <c r="AAS62" s="56"/>
      <c r="AAV62" s="55">
        <f t="shared" si="484"/>
        <v>46074</v>
      </c>
      <c r="AAW62" s="56"/>
      <c r="AAX62" s="242">
        <f>SUMPRODUCT(PRODUCE!$B75:$DY75,PRODUCE!$EB$57:$IY$57)</f>
        <v>0</v>
      </c>
      <c r="AAY62" s="56"/>
      <c r="AAZ62" s="242">
        <f t="shared" si="485"/>
        <v>0</v>
      </c>
      <c r="ABA62" s="242">
        <f t="shared" si="486"/>
        <v>0</v>
      </c>
      <c r="ABB62" s="56"/>
      <c r="ABE62" s="55">
        <f t="shared" si="487"/>
        <v>46074</v>
      </c>
      <c r="ABF62" s="56"/>
      <c r="ABG62" s="242">
        <f>SUMPRODUCT(PRODUCE!$B75:$DY75,PRODUCE!$EB$57:$IY$57)</f>
        <v>0</v>
      </c>
      <c r="ABH62" s="56"/>
      <c r="ABI62" s="242">
        <f t="shared" si="488"/>
        <v>0</v>
      </c>
      <c r="ABJ62" s="242">
        <f t="shared" si="489"/>
        <v>0</v>
      </c>
      <c r="ABK62" s="56"/>
    </row>
    <row r="63" spans="2:739" s="54" customFormat="1" ht="15" customHeight="1" outlineLevel="1">
      <c r="B63" s="478"/>
      <c r="C63" s="55">
        <v>46075</v>
      </c>
      <c r="D63" s="422"/>
      <c r="E63" s="424">
        <f>SUMPRODUCT(PRODUCE!$B76:$DY76,PRODUCE!$EB$7:$IY$7)</f>
        <v>0</v>
      </c>
      <c r="F63" s="422"/>
      <c r="G63" s="423">
        <f t="shared" si="247"/>
        <v>0</v>
      </c>
      <c r="H63" s="423">
        <f t="shared" si="245"/>
        <v>95510</v>
      </c>
      <c r="I63" s="289"/>
      <c r="L63" s="55">
        <f t="shared" si="246"/>
        <v>46075</v>
      </c>
      <c r="M63" s="422"/>
      <c r="N63" s="439">
        <f>SUMPRODUCT(PRODUCE!$B76:$DY76,PRODUCE!$EB$8:$IY$8)</f>
        <v>0</v>
      </c>
      <c r="O63" s="422"/>
      <c r="P63" s="438">
        <f t="shared" si="248"/>
        <v>0</v>
      </c>
      <c r="Q63" s="438">
        <f t="shared" si="249"/>
        <v>52234.200000000033</v>
      </c>
      <c r="R63" s="56"/>
      <c r="U63" s="55">
        <f t="shared" si="250"/>
        <v>46075</v>
      </c>
      <c r="V63" s="422"/>
      <c r="W63" s="441">
        <f>SUMPRODUCT(PRODUCE!$B76:$DY76,PRODUCE!$EB$9:$IY$9)</f>
        <v>0</v>
      </c>
      <c r="X63" s="422"/>
      <c r="Y63" s="440">
        <f t="shared" si="251"/>
        <v>0</v>
      </c>
      <c r="Z63" s="440">
        <f t="shared" si="252"/>
        <v>31348.099999999977</v>
      </c>
      <c r="AA63" s="56"/>
      <c r="AD63" s="55">
        <f t="shared" si="253"/>
        <v>46075</v>
      </c>
      <c r="AE63" s="422"/>
      <c r="AF63" s="443">
        <f>SUMPRODUCT(PRODUCE!$B76:$DY76,PRODUCE!$EB$10:$IY$10)</f>
        <v>0</v>
      </c>
      <c r="AG63" s="422"/>
      <c r="AH63" s="442">
        <f t="shared" si="254"/>
        <v>0</v>
      </c>
      <c r="AI63" s="442">
        <f t="shared" si="255"/>
        <v>40126.300000000017</v>
      </c>
      <c r="AJ63" s="56"/>
      <c r="AM63" s="55">
        <f t="shared" si="256"/>
        <v>46075</v>
      </c>
      <c r="AN63" s="422"/>
      <c r="AO63" s="445">
        <f>SUMPRODUCT(PRODUCE!$B76:$DY76,PRODUCE!$EB$11:$IY$11)</f>
        <v>0</v>
      </c>
      <c r="AP63" s="422"/>
      <c r="AQ63" s="444">
        <f t="shared" si="257"/>
        <v>0</v>
      </c>
      <c r="AR63" s="444">
        <f t="shared" si="258"/>
        <v>0</v>
      </c>
      <c r="AS63" s="56"/>
      <c r="AV63" s="55">
        <f t="shared" si="259"/>
        <v>46075</v>
      </c>
      <c r="AW63" s="422"/>
      <c r="AX63" s="447">
        <f>SUMPRODUCT(PRODUCE!$B76:$DY76,PRODUCE!$EB$12:$IY$12)</f>
        <v>0</v>
      </c>
      <c r="AY63" s="422"/>
      <c r="AZ63" s="446">
        <f t="shared" si="260"/>
        <v>0</v>
      </c>
      <c r="BA63" s="446">
        <f t="shared" si="261"/>
        <v>49322.399999999987</v>
      </c>
      <c r="BB63" s="56"/>
      <c r="BE63" s="55">
        <f t="shared" si="262"/>
        <v>46075</v>
      </c>
      <c r="BF63" s="422"/>
      <c r="BG63" s="449">
        <f>SUMPRODUCT(PRODUCE!$B76:$DY76,PRODUCE!$EB$13:$IY$13)</f>
        <v>0</v>
      </c>
      <c r="BH63" s="422"/>
      <c r="BI63" s="448">
        <f t="shared" si="263"/>
        <v>0</v>
      </c>
      <c r="BJ63" s="448">
        <f t="shared" si="264"/>
        <v>13288.400000000005</v>
      </c>
      <c r="BK63" s="56"/>
      <c r="BN63" s="55">
        <f t="shared" si="265"/>
        <v>46075</v>
      </c>
      <c r="BO63" s="422"/>
      <c r="BP63" s="451">
        <f>SUMPRODUCT(PRODUCE!$B76:$DY76,PRODUCE!$EB$14:$IY$14)</f>
        <v>0</v>
      </c>
      <c r="BQ63" s="422"/>
      <c r="BR63" s="450">
        <f t="shared" si="266"/>
        <v>0</v>
      </c>
      <c r="BS63" s="450">
        <f t="shared" si="267"/>
        <v>0</v>
      </c>
      <c r="BT63" s="56"/>
      <c r="BW63" s="55">
        <f t="shared" si="268"/>
        <v>46075</v>
      </c>
      <c r="BX63" s="56"/>
      <c r="BY63" s="81">
        <f>SUMPRODUCT(PRODUCE!$B76:$DY76,PRODUCE!$EB$15:$IY$15)</f>
        <v>0</v>
      </c>
      <c r="BZ63" s="56"/>
      <c r="CA63" s="65">
        <f t="shared" si="269"/>
        <v>0</v>
      </c>
      <c r="CB63" s="65">
        <f t="shared" si="270"/>
        <v>931.90000000000009</v>
      </c>
      <c r="CC63" s="56"/>
      <c r="CF63" s="55">
        <f t="shared" si="271"/>
        <v>46075</v>
      </c>
      <c r="CG63" s="56"/>
      <c r="CH63" s="82">
        <f>SUMPRODUCT(PRODUCE!$B76:$DY76,PRODUCE!$EB$16:$IY$16)</f>
        <v>0</v>
      </c>
      <c r="CI63" s="56"/>
      <c r="CJ63" s="66">
        <f t="shared" si="272"/>
        <v>0</v>
      </c>
      <c r="CK63" s="66">
        <f t="shared" si="273"/>
        <v>0</v>
      </c>
      <c r="CL63" s="56"/>
      <c r="CO63" s="55">
        <f t="shared" si="274"/>
        <v>46075</v>
      </c>
      <c r="CP63" s="422"/>
      <c r="CQ63" s="471">
        <f>SUMPRODUCT(PRODUCE!$B76:$DY76,PRODUCE!$EB$17:$IY$17)</f>
        <v>0</v>
      </c>
      <c r="CR63" s="422"/>
      <c r="CS63" s="470">
        <f t="shared" si="275"/>
        <v>0</v>
      </c>
      <c r="CT63" s="470">
        <f t="shared" si="276"/>
        <v>0</v>
      </c>
      <c r="CU63" s="56"/>
      <c r="CX63" s="55">
        <f t="shared" si="277"/>
        <v>46075</v>
      </c>
      <c r="CY63" s="56"/>
      <c r="CZ63" s="136">
        <f>SUMPRODUCT(PRODUCE!$B76:$DY76,PRODUCE!$EB$18:$IY$18)</f>
        <v>0</v>
      </c>
      <c r="DA63" s="56"/>
      <c r="DB63" s="133">
        <f t="shared" si="278"/>
        <v>0</v>
      </c>
      <c r="DC63" s="133">
        <f t="shared" si="279"/>
        <v>16684.7</v>
      </c>
      <c r="DD63" s="56"/>
      <c r="DG63" s="55">
        <f t="shared" si="280"/>
        <v>46075</v>
      </c>
      <c r="DH63" s="56"/>
      <c r="DI63" s="150">
        <f>SUMPRODUCT(PRODUCE!$B76:$DY76,PRODUCE!$EB$19:$IY$19)</f>
        <v>0</v>
      </c>
      <c r="DJ63" s="56"/>
      <c r="DK63" s="147">
        <f t="shared" si="281"/>
        <v>0</v>
      </c>
      <c r="DL63" s="147">
        <f t="shared" si="282"/>
        <v>5112.1999999999971</v>
      </c>
      <c r="DM63" s="56"/>
      <c r="DP63" s="55">
        <f t="shared" si="283"/>
        <v>46075</v>
      </c>
      <c r="DQ63" s="56"/>
      <c r="DR63" s="58">
        <f>SUMPRODUCT(PRODUCE!$B76:$DY76,PRODUCE!$EB$20:$IY$20)</f>
        <v>0</v>
      </c>
      <c r="DS63" s="56"/>
      <c r="DT63" s="57">
        <f t="shared" si="284"/>
        <v>0</v>
      </c>
      <c r="DU63" s="57">
        <f t="shared" si="285"/>
        <v>2300</v>
      </c>
      <c r="DV63" s="56"/>
      <c r="DY63" s="55">
        <f t="shared" si="286"/>
        <v>46075</v>
      </c>
      <c r="DZ63" s="56"/>
      <c r="EA63" s="159">
        <f>SUMPRODUCT(PRODUCE!$B76:$DY76,PRODUCE!$EB$21:$IY$21)</f>
        <v>0</v>
      </c>
      <c r="EB63" s="56"/>
      <c r="EC63" s="157">
        <f t="shared" si="287"/>
        <v>0</v>
      </c>
      <c r="ED63" s="157">
        <f t="shared" si="288"/>
        <v>5696.8</v>
      </c>
      <c r="EE63" s="56"/>
      <c r="EH63" s="55">
        <f t="shared" si="289"/>
        <v>46075</v>
      </c>
      <c r="EI63" s="56"/>
      <c r="EJ63" s="164">
        <f>SUMPRODUCT(PRODUCE!$B76:$DY76,PRODUCE!$EB$22:$IY$22)</f>
        <v>0</v>
      </c>
      <c r="EK63" s="56"/>
      <c r="EL63" s="162">
        <f t="shared" si="290"/>
        <v>0</v>
      </c>
      <c r="EM63" s="162">
        <f t="shared" si="291"/>
        <v>0</v>
      </c>
      <c r="EN63" s="56"/>
      <c r="EQ63" s="55">
        <f t="shared" si="292"/>
        <v>46075</v>
      </c>
      <c r="ER63" s="56"/>
      <c r="ES63" s="171">
        <f>SUMPRODUCT(PRODUCE!$B76:$DY76,PRODUCE!$EB$23:$IY$23)</f>
        <v>0</v>
      </c>
      <c r="ET63" s="56"/>
      <c r="EU63" s="135">
        <f t="shared" si="293"/>
        <v>0</v>
      </c>
      <c r="EV63" s="135">
        <f t="shared" si="294"/>
        <v>0</v>
      </c>
      <c r="EW63" s="56"/>
      <c r="EZ63" s="55">
        <f t="shared" si="295"/>
        <v>46075</v>
      </c>
      <c r="FA63" s="56"/>
      <c r="FB63" s="178">
        <f>SUMPRODUCT(PRODUCE!$B76:$DY76,PRODUCE!$EB$24:$IY$24)</f>
        <v>0</v>
      </c>
      <c r="FC63" s="56"/>
      <c r="FD63" s="175">
        <f t="shared" si="296"/>
        <v>0</v>
      </c>
      <c r="FE63" s="175">
        <f t="shared" si="297"/>
        <v>0</v>
      </c>
      <c r="FF63" s="56"/>
      <c r="FI63" s="55">
        <f t="shared" si="298"/>
        <v>46075</v>
      </c>
      <c r="FJ63" s="56"/>
      <c r="FK63" s="184">
        <f>SUMPRODUCT(PRODUCE!$B76:$DY76,PRODUCE!$EB$25:$IY$25)</f>
        <v>0</v>
      </c>
      <c r="FL63" s="56"/>
      <c r="FM63" s="183">
        <f t="shared" si="299"/>
        <v>0</v>
      </c>
      <c r="FN63" s="183">
        <f t="shared" si="300"/>
        <v>0</v>
      </c>
      <c r="FO63" s="56"/>
      <c r="FR63" s="55">
        <f t="shared" si="301"/>
        <v>46075</v>
      </c>
      <c r="FS63" s="422"/>
      <c r="FT63" s="453">
        <f>SUMPRODUCT(PRODUCE!$B76:$DY76,PRODUCE!$EB$26:$IY$26)</f>
        <v>0</v>
      </c>
      <c r="FU63" s="422"/>
      <c r="FV63" s="452">
        <f t="shared" si="302"/>
        <v>0</v>
      </c>
      <c r="FW63" s="452">
        <f t="shared" si="303"/>
        <v>1900</v>
      </c>
      <c r="FX63" s="56"/>
      <c r="GA63" s="55">
        <f t="shared" si="304"/>
        <v>46075</v>
      </c>
      <c r="GB63" s="422"/>
      <c r="GC63" s="455">
        <f>SUMPRODUCT(PRODUCE!$B76:$DY76,PRODUCE!$EB$27:$IY$27)</f>
        <v>0</v>
      </c>
      <c r="GD63" s="422"/>
      <c r="GE63" s="454">
        <f t="shared" si="305"/>
        <v>0</v>
      </c>
      <c r="GF63" s="454">
        <f t="shared" si="306"/>
        <v>5960</v>
      </c>
      <c r="GG63" s="56"/>
      <c r="GI63" s="23"/>
      <c r="GJ63" s="55">
        <f t="shared" si="307"/>
        <v>46075</v>
      </c>
      <c r="GK63" s="422"/>
      <c r="GL63" s="457">
        <f>SUMPRODUCT(PRODUCE!$B76:$DY76,PRODUCE!$EB$28:$IY$28)</f>
        <v>0</v>
      </c>
      <c r="GM63" s="422"/>
      <c r="GN63" s="456">
        <f t="shared" si="308"/>
        <v>0</v>
      </c>
      <c r="GO63" s="456">
        <f t="shared" si="309"/>
        <v>5240</v>
      </c>
      <c r="GP63" s="56"/>
      <c r="GS63" s="55">
        <f t="shared" si="310"/>
        <v>46075</v>
      </c>
      <c r="GT63" s="56"/>
      <c r="GU63" s="196">
        <f>SUMPRODUCT(PRODUCE!$B76:$DY76,PRODUCE!$EB$29:$IY$29)</f>
        <v>0</v>
      </c>
      <c r="GV63" s="56"/>
      <c r="GW63" s="195">
        <f t="shared" si="311"/>
        <v>0</v>
      </c>
      <c r="GX63" s="195">
        <f t="shared" si="312"/>
        <v>0</v>
      </c>
      <c r="GY63" s="56"/>
      <c r="HB63" s="55">
        <f t="shared" si="313"/>
        <v>46075</v>
      </c>
      <c r="HC63" s="56"/>
      <c r="HD63" s="192">
        <f>SUMPRODUCT(PRODUCE!$B76:$DY76,PRODUCE!$EB$30:$IY$30)</f>
        <v>0</v>
      </c>
      <c r="HE63" s="56"/>
      <c r="HF63" s="191">
        <f t="shared" si="314"/>
        <v>0</v>
      </c>
      <c r="HG63" s="191">
        <f t="shared" si="315"/>
        <v>0</v>
      </c>
      <c r="HH63" s="56"/>
      <c r="HK63" s="55">
        <f t="shared" si="316"/>
        <v>46075</v>
      </c>
      <c r="HL63" s="56"/>
      <c r="HM63" s="80">
        <f>SUMPRODUCT(PRODUCE!$B76:$DY76,PRODUCE!$EB$31:$IY$31)</f>
        <v>0</v>
      </c>
      <c r="HN63" s="56"/>
      <c r="HO63" s="63">
        <f t="shared" si="317"/>
        <v>0</v>
      </c>
      <c r="HP63" s="63">
        <f t="shared" si="318"/>
        <v>0</v>
      </c>
      <c r="HQ63" s="56"/>
      <c r="HU63" s="55">
        <f t="shared" si="319"/>
        <v>46075</v>
      </c>
      <c r="HV63" s="56"/>
      <c r="HW63" s="242">
        <f>SUMPRODUCT(PRODUCE!$B76:$DY76,PRODUCE!$EB$32:$IY$32)</f>
        <v>0</v>
      </c>
      <c r="HX63" s="56"/>
      <c r="HY63" s="242">
        <f t="shared" si="320"/>
        <v>0</v>
      </c>
      <c r="HZ63" s="242">
        <f t="shared" si="321"/>
        <v>5120</v>
      </c>
      <c r="IA63" s="56"/>
      <c r="ID63" s="55">
        <f t="shared" si="322"/>
        <v>46075</v>
      </c>
      <c r="IE63" s="56"/>
      <c r="IF63" s="242">
        <f>SUMPRODUCT(PRODUCE!$B76:$DY76,PRODUCE!$EB$33:$IY$33)</f>
        <v>0</v>
      </c>
      <c r="IG63" s="56"/>
      <c r="IH63" s="242">
        <f t="shared" si="323"/>
        <v>0</v>
      </c>
      <c r="II63" s="242">
        <f t="shared" si="324"/>
        <v>5100</v>
      </c>
      <c r="IJ63" s="56"/>
      <c r="IM63" s="55">
        <f t="shared" si="325"/>
        <v>46075</v>
      </c>
      <c r="IN63" s="56"/>
      <c r="IO63" s="242">
        <f>SUMPRODUCT(PRODUCE!$B76:$DY76,PRODUCE!$EB$34:$IY$34)</f>
        <v>0</v>
      </c>
      <c r="IP63" s="56"/>
      <c r="IQ63" s="242">
        <f t="shared" si="326"/>
        <v>0</v>
      </c>
      <c r="IR63" s="242">
        <f t="shared" si="327"/>
        <v>10240</v>
      </c>
      <c r="IS63" s="56"/>
      <c r="IV63" s="55">
        <f t="shared" si="328"/>
        <v>46075</v>
      </c>
      <c r="IW63" s="56"/>
      <c r="IX63" s="242">
        <f>SUMPRODUCT(PRODUCE!$B76:$DY76,PRODUCE!$EB$35:$IY$35)</f>
        <v>0</v>
      </c>
      <c r="IY63" s="56"/>
      <c r="IZ63" s="242">
        <f t="shared" si="329"/>
        <v>0</v>
      </c>
      <c r="JA63" s="242">
        <f t="shared" si="330"/>
        <v>15120</v>
      </c>
      <c r="JB63" s="56"/>
      <c r="JE63" s="55">
        <f t="shared" si="331"/>
        <v>46075</v>
      </c>
      <c r="JF63" s="56"/>
      <c r="JG63" s="242">
        <f>SUMPRODUCT(PRODUCE!$B76:$DY76,PRODUCE!$EB$36:$IY$36)</f>
        <v>0</v>
      </c>
      <c r="JH63" s="56"/>
      <c r="JI63" s="242">
        <f t="shared" si="332"/>
        <v>0</v>
      </c>
      <c r="JJ63" s="242">
        <f t="shared" si="333"/>
        <v>3600</v>
      </c>
      <c r="JK63" s="56"/>
      <c r="JN63" s="55">
        <f t="shared" si="334"/>
        <v>46075</v>
      </c>
      <c r="JO63" s="56"/>
      <c r="JP63" s="242">
        <f>SUMPRODUCT(PRODUCE!$B76:$DY76,PRODUCE!$EB$37:$IY$37)</f>
        <v>0</v>
      </c>
      <c r="JQ63" s="56"/>
      <c r="JR63" s="242">
        <f t="shared" si="335"/>
        <v>0</v>
      </c>
      <c r="JS63" s="242">
        <f t="shared" si="336"/>
        <v>5400</v>
      </c>
      <c r="JT63" s="56"/>
      <c r="JW63" s="55">
        <f t="shared" si="337"/>
        <v>46075</v>
      </c>
      <c r="JX63" s="56"/>
      <c r="JY63" s="242">
        <f>SUMPRODUCT(PRODUCE!$B76:$DY76,PRODUCE!$EB$38:$IY$38)</f>
        <v>0</v>
      </c>
      <c r="JZ63" s="56"/>
      <c r="KA63" s="242">
        <f t="shared" si="338"/>
        <v>0</v>
      </c>
      <c r="KB63" s="242">
        <f t="shared" si="339"/>
        <v>4000</v>
      </c>
      <c r="KC63" s="56"/>
      <c r="KF63" s="55">
        <f t="shared" si="340"/>
        <v>46075</v>
      </c>
      <c r="KG63" s="56"/>
      <c r="KH63" s="242">
        <f>SUMPRODUCT(PRODUCE!$B76:$DY76,PRODUCE!$EB$39:$IY$39)</f>
        <v>0</v>
      </c>
      <c r="KI63" s="56"/>
      <c r="KJ63" s="242">
        <f t="shared" si="341"/>
        <v>0</v>
      </c>
      <c r="KK63" s="242">
        <f t="shared" si="342"/>
        <v>1287</v>
      </c>
      <c r="KL63" s="56"/>
      <c r="KO63" s="55">
        <f t="shared" si="343"/>
        <v>46075</v>
      </c>
      <c r="KP63" s="56"/>
      <c r="KQ63" s="242">
        <f>SUMPRODUCT(PRODUCE!$B76:$DY76,PRODUCE!$EB$40:$IY$40)</f>
        <v>0</v>
      </c>
      <c r="KR63" s="56"/>
      <c r="KS63" s="242">
        <f t="shared" si="344"/>
        <v>0</v>
      </c>
      <c r="KT63" s="242">
        <f t="shared" si="345"/>
        <v>10659.6</v>
      </c>
      <c r="KU63" s="56"/>
      <c r="KW63" s="23"/>
      <c r="KX63" s="55">
        <f t="shared" si="346"/>
        <v>46075</v>
      </c>
      <c r="KY63" s="56"/>
      <c r="KZ63" s="242">
        <f>SUMPRODUCT(PRODUCE!$B76:$DY76,PRODUCE!$EB$41:$IY$41)</f>
        <v>0</v>
      </c>
      <c r="LA63" s="56"/>
      <c r="LB63" s="242">
        <f t="shared" si="347"/>
        <v>0</v>
      </c>
      <c r="LC63" s="242">
        <f t="shared" si="348"/>
        <v>0</v>
      </c>
      <c r="LD63" s="56"/>
      <c r="LG63" s="55">
        <f t="shared" si="349"/>
        <v>46075</v>
      </c>
      <c r="LH63" s="56"/>
      <c r="LI63" s="242">
        <f>SUMPRODUCT(PRODUCE!$B76:$DY76,PRODUCE!$EB$42:$IY$42)</f>
        <v>0</v>
      </c>
      <c r="LJ63" s="56"/>
      <c r="LK63" s="242">
        <f t="shared" si="350"/>
        <v>0</v>
      </c>
      <c r="LL63" s="242">
        <f t="shared" si="351"/>
        <v>0</v>
      </c>
      <c r="LM63" s="56"/>
      <c r="LP63" s="55">
        <f t="shared" si="352"/>
        <v>46075</v>
      </c>
      <c r="LQ63" s="56"/>
      <c r="LR63" s="242">
        <f>SUMPRODUCT(PRODUCE!$B78:$DY78,PRODUCE!$EB$43:$IY$43)</f>
        <v>0</v>
      </c>
      <c r="LS63" s="56"/>
      <c r="LT63" s="242">
        <f t="shared" si="353"/>
        <v>0</v>
      </c>
      <c r="LU63" s="242">
        <f t="shared" si="354"/>
        <v>0</v>
      </c>
      <c r="LV63" s="56"/>
      <c r="LY63" s="55">
        <f t="shared" si="355"/>
        <v>46075</v>
      </c>
      <c r="LZ63" s="56"/>
      <c r="MA63" s="242">
        <f>SUMPRODUCT(PRODUCE!$B78:$DY78,PRODUCE!$EB$44:$IY$44)</f>
        <v>0</v>
      </c>
      <c r="MB63" s="56"/>
      <c r="MC63" s="242">
        <f t="shared" si="356"/>
        <v>0</v>
      </c>
      <c r="MD63" s="242">
        <f t="shared" si="357"/>
        <v>0</v>
      </c>
      <c r="ME63" s="56"/>
      <c r="MH63" s="55">
        <f t="shared" si="358"/>
        <v>46075</v>
      </c>
      <c r="MI63" s="56"/>
      <c r="MJ63" s="242">
        <f>SUMPRODUCT(PRODUCE!$B76:$DY76,PRODUCE!$EB$45:$IY$45)</f>
        <v>0</v>
      </c>
      <c r="MK63" s="56"/>
      <c r="ML63" s="242">
        <f t="shared" si="359"/>
        <v>0</v>
      </c>
      <c r="MM63" s="242">
        <f t="shared" si="360"/>
        <v>0</v>
      </c>
      <c r="MN63" s="56"/>
      <c r="MQ63" s="55">
        <f t="shared" si="361"/>
        <v>46075</v>
      </c>
      <c r="MR63" s="56"/>
      <c r="MS63" s="242">
        <f>SUMPRODUCT(PRODUCE!$B76:$DY76,PRODUCE!$EB$46:$IY$46)</f>
        <v>0</v>
      </c>
      <c r="MT63" s="56"/>
      <c r="MU63" s="242">
        <f t="shared" si="362"/>
        <v>0</v>
      </c>
      <c r="MV63" s="242">
        <f t="shared" si="363"/>
        <v>4370</v>
      </c>
      <c r="MW63" s="56"/>
      <c r="MZ63" s="55">
        <f t="shared" si="364"/>
        <v>46075</v>
      </c>
      <c r="NA63" s="56"/>
      <c r="NB63" s="242">
        <f>SUMPRODUCT(PRODUCE!$B76:$DY76,PRODUCE!$EB$47:$IY$47)</f>
        <v>0</v>
      </c>
      <c r="NC63" s="56"/>
      <c r="ND63" s="242">
        <f t="shared" si="365"/>
        <v>0</v>
      </c>
      <c r="NE63" s="242">
        <f t="shared" si="366"/>
        <v>0</v>
      </c>
      <c r="NF63" s="56"/>
      <c r="NI63" s="55">
        <f t="shared" si="367"/>
        <v>46075</v>
      </c>
      <c r="NJ63" s="56"/>
      <c r="NK63" s="242">
        <f>SUMPRODUCT(PRODUCE!$B76:$DY76,PRODUCE!$EB$48:$IY$48)</f>
        <v>0</v>
      </c>
      <c r="NL63" s="56"/>
      <c r="NM63" s="242">
        <f t="shared" si="368"/>
        <v>0</v>
      </c>
      <c r="NN63" s="242">
        <f t="shared" si="369"/>
        <v>0</v>
      </c>
      <c r="NO63" s="56"/>
      <c r="NR63" s="55">
        <f t="shared" si="370"/>
        <v>46075</v>
      </c>
      <c r="NS63" s="56"/>
      <c r="NT63" s="242">
        <f>SUMPRODUCT(PRODUCE!$B76:$DY76,PRODUCE!$EB$49:$IY$49)</f>
        <v>0</v>
      </c>
      <c r="NU63" s="56"/>
      <c r="NV63" s="242">
        <f t="shared" si="371"/>
        <v>0</v>
      </c>
      <c r="NW63" s="242">
        <f t="shared" si="372"/>
        <v>2310</v>
      </c>
      <c r="NX63" s="56"/>
      <c r="OA63" s="55">
        <f t="shared" si="373"/>
        <v>46075</v>
      </c>
      <c r="OB63" s="56"/>
      <c r="OC63" s="242">
        <f>SUMPRODUCT(PRODUCE!$B76:$DY76,PRODUCE!$EB$50:$IY$50)</f>
        <v>0</v>
      </c>
      <c r="OD63" s="56"/>
      <c r="OE63" s="242">
        <f t="shared" si="374"/>
        <v>0</v>
      </c>
      <c r="OF63" s="242">
        <f t="shared" si="375"/>
        <v>1680.5</v>
      </c>
      <c r="OG63" s="56"/>
      <c r="OJ63" s="55">
        <f t="shared" si="376"/>
        <v>46075</v>
      </c>
      <c r="OK63" s="56"/>
      <c r="OL63" s="242">
        <f>SUMPRODUCT(PRODUCE!$B76:$DY76,PRODUCE!$EB$51:$IY$51)</f>
        <v>0</v>
      </c>
      <c r="OM63" s="56"/>
      <c r="ON63" s="242">
        <f t="shared" si="377"/>
        <v>0</v>
      </c>
      <c r="OO63" s="242">
        <f t="shared" si="378"/>
        <v>0</v>
      </c>
      <c r="OP63" s="56"/>
      <c r="OS63" s="55">
        <f t="shared" si="379"/>
        <v>46075</v>
      </c>
      <c r="OT63" s="56"/>
      <c r="OU63" s="242">
        <f>SUMPRODUCT(PRODUCE!$B76:$DY76,PRODUCE!$EB$52:$IY$52)</f>
        <v>0</v>
      </c>
      <c r="OV63" s="56"/>
      <c r="OW63" s="242">
        <f t="shared" si="380"/>
        <v>0</v>
      </c>
      <c r="OX63" s="242">
        <f t="shared" si="381"/>
        <v>0</v>
      </c>
      <c r="OY63" s="56"/>
      <c r="PB63" s="55">
        <f t="shared" si="382"/>
        <v>46075</v>
      </c>
      <c r="PC63" s="56"/>
      <c r="PD63" s="242">
        <f>SUMPRODUCT(PRODUCE!$B76:$DY76,PRODUCE!$EB$53:$IY$53)</f>
        <v>0</v>
      </c>
      <c r="PE63" s="56"/>
      <c r="PF63" s="242">
        <f t="shared" si="383"/>
        <v>0</v>
      </c>
      <c r="PG63" s="242">
        <f t="shared" si="384"/>
        <v>0</v>
      </c>
      <c r="PH63" s="56"/>
      <c r="PK63" s="55">
        <f t="shared" si="385"/>
        <v>46075</v>
      </c>
      <c r="PL63" s="56"/>
      <c r="PM63" s="242">
        <f>SUMPRODUCT(PRODUCE!$B76:$DY76,PRODUCE!$EB$54:$IY$54)</f>
        <v>0</v>
      </c>
      <c r="PN63" s="56"/>
      <c r="PO63" s="242">
        <f t="shared" si="386"/>
        <v>0</v>
      </c>
      <c r="PP63" s="242">
        <f t="shared" si="387"/>
        <v>160</v>
      </c>
      <c r="PQ63" s="56"/>
      <c r="PT63" s="55">
        <f t="shared" si="388"/>
        <v>46075</v>
      </c>
      <c r="PU63" s="56"/>
      <c r="PV63" s="242">
        <f>SUMPRODUCT(PRODUCE!$B76:$DY76,PRODUCE!$EB$55:$IY$55)</f>
        <v>0</v>
      </c>
      <c r="PW63" s="56"/>
      <c r="PX63" s="242">
        <f t="shared" si="389"/>
        <v>0</v>
      </c>
      <c r="PY63" s="242">
        <f t="shared" si="390"/>
        <v>13.960000000000036</v>
      </c>
      <c r="PZ63" s="56"/>
      <c r="QC63" s="55">
        <f t="shared" si="391"/>
        <v>46075</v>
      </c>
      <c r="QD63" s="56"/>
      <c r="QE63" s="242">
        <f>SUMPRODUCT(PRODUCE!$B76:$DY76,PRODUCE!$EB$56:$IY$56)</f>
        <v>0</v>
      </c>
      <c r="QF63" s="56"/>
      <c r="QG63" s="242">
        <f t="shared" si="392"/>
        <v>0</v>
      </c>
      <c r="QH63" s="242">
        <f t="shared" si="393"/>
        <v>0</v>
      </c>
      <c r="QI63" s="56"/>
      <c r="QL63" s="55">
        <f t="shared" si="394"/>
        <v>46075</v>
      </c>
      <c r="QM63" s="56"/>
      <c r="QN63" s="242">
        <f>SUMPRODUCT(PRODUCE!$B76:$DY76,PRODUCE!$EB$57:$IY$57)</f>
        <v>0</v>
      </c>
      <c r="QO63" s="56"/>
      <c r="QP63" s="242">
        <f t="shared" si="395"/>
        <v>0</v>
      </c>
      <c r="QQ63" s="242">
        <f t="shared" si="396"/>
        <v>0</v>
      </c>
      <c r="QR63" s="56"/>
      <c r="QU63" s="55">
        <f t="shared" si="397"/>
        <v>46075</v>
      </c>
      <c r="QV63" s="56"/>
      <c r="QW63" s="242">
        <f>SUMPRODUCT(PRODUCE!$B76:$DY76,PRODUCE!$EB$57:$IY$57)</f>
        <v>0</v>
      </c>
      <c r="QX63" s="56"/>
      <c r="QY63" s="242">
        <f t="shared" si="398"/>
        <v>0</v>
      </c>
      <c r="QZ63" s="242">
        <f t="shared" si="399"/>
        <v>207.6</v>
      </c>
      <c r="RA63" s="56"/>
      <c r="RD63" s="55">
        <f t="shared" si="400"/>
        <v>46075</v>
      </c>
      <c r="RE63" s="56"/>
      <c r="RF63" s="242">
        <f>SUMPRODUCT(PRODUCE!$B76:$DY76,PRODUCE!$EB$58:$IY$58)</f>
        <v>0</v>
      </c>
      <c r="RG63" s="56"/>
      <c r="RH63" s="242">
        <f t="shared" si="401"/>
        <v>0</v>
      </c>
      <c r="RI63" s="242">
        <f t="shared" si="402"/>
        <v>197.04000000000002</v>
      </c>
      <c r="RJ63" s="56"/>
      <c r="RM63" s="55">
        <f t="shared" si="403"/>
        <v>46075</v>
      </c>
      <c r="RN63" s="56"/>
      <c r="RO63" s="242">
        <f>SUMPRODUCT(PRODUCE!$B76:$DY76,PRODUCE!$EB$57:$IY$57)</f>
        <v>0</v>
      </c>
      <c r="RP63" s="56"/>
      <c r="RQ63" s="242">
        <f t="shared" si="404"/>
        <v>0</v>
      </c>
      <c r="RR63" s="242">
        <f t="shared" si="405"/>
        <v>46.8</v>
      </c>
      <c r="RS63" s="56"/>
      <c r="RV63" s="55">
        <f t="shared" si="406"/>
        <v>46075</v>
      </c>
      <c r="RW63" s="56"/>
      <c r="RX63" s="242">
        <f>SUMPRODUCT(PRODUCE!$B76:$DY76,PRODUCE!$EB$57:$IY$57)</f>
        <v>0</v>
      </c>
      <c r="RY63" s="56"/>
      <c r="RZ63" s="242">
        <f t="shared" si="407"/>
        <v>0</v>
      </c>
      <c r="SA63" s="242">
        <f t="shared" si="408"/>
        <v>0</v>
      </c>
      <c r="SB63" s="56"/>
      <c r="SE63" s="55">
        <f t="shared" si="409"/>
        <v>46075</v>
      </c>
      <c r="SF63" s="56"/>
      <c r="SG63" s="242">
        <f>SUMPRODUCT(PRODUCE!$B76:$DY76,PRODUCE!$EB$57:$IY$57)</f>
        <v>0</v>
      </c>
      <c r="SH63" s="56"/>
      <c r="SI63" s="242">
        <f t="shared" si="410"/>
        <v>0</v>
      </c>
      <c r="SJ63" s="242">
        <f t="shared" si="411"/>
        <v>0</v>
      </c>
      <c r="SK63" s="56"/>
      <c r="SN63" s="55">
        <f t="shared" si="412"/>
        <v>46075</v>
      </c>
      <c r="SO63" s="56"/>
      <c r="SP63" s="242">
        <f>SUMPRODUCT(PRODUCE!$B76:$DY76,PRODUCE!$EB$57:$IY$57)</f>
        <v>0</v>
      </c>
      <c r="SQ63" s="56"/>
      <c r="SR63" s="242">
        <f t="shared" si="413"/>
        <v>0</v>
      </c>
      <c r="SS63" s="242">
        <f t="shared" si="414"/>
        <v>0</v>
      </c>
      <c r="ST63" s="56"/>
      <c r="SW63" s="55">
        <f t="shared" si="415"/>
        <v>46075</v>
      </c>
      <c r="SX63" s="56"/>
      <c r="SY63" s="242">
        <f>SUMPRODUCT(PRODUCE!$B76:$DY76,PRODUCE!$EB$57:$IY$57)</f>
        <v>0</v>
      </c>
      <c r="SZ63" s="56"/>
      <c r="TA63" s="242">
        <f t="shared" si="416"/>
        <v>0</v>
      </c>
      <c r="TB63" s="242">
        <f t="shared" si="417"/>
        <v>0</v>
      </c>
      <c r="TC63" s="56"/>
      <c r="TF63" s="55">
        <f t="shared" si="418"/>
        <v>46075</v>
      </c>
      <c r="TG63" s="56"/>
      <c r="TH63" s="242">
        <f>SUMPRODUCT(PRODUCE!$B76:$DY76,PRODUCE!$EB$57:$IY$57)</f>
        <v>0</v>
      </c>
      <c r="TI63" s="56"/>
      <c r="TJ63" s="242">
        <f t="shared" si="419"/>
        <v>0</v>
      </c>
      <c r="TK63" s="242">
        <f t="shared" si="420"/>
        <v>0</v>
      </c>
      <c r="TL63" s="56"/>
      <c r="TO63" s="55">
        <f t="shared" si="421"/>
        <v>46075</v>
      </c>
      <c r="TP63" s="56"/>
      <c r="TQ63" s="242">
        <f>SUMPRODUCT(PRODUCE!$B76:$DY76,PRODUCE!$EB$57:$IY$57)</f>
        <v>0</v>
      </c>
      <c r="TR63" s="56"/>
      <c r="TS63" s="242">
        <f t="shared" si="422"/>
        <v>0</v>
      </c>
      <c r="TT63" s="242">
        <f t="shared" si="423"/>
        <v>0</v>
      </c>
      <c r="TU63" s="56"/>
      <c r="TX63" s="55">
        <f t="shared" si="424"/>
        <v>46075</v>
      </c>
      <c r="TY63" s="56"/>
      <c r="TZ63" s="242">
        <f>SUMPRODUCT(PRODUCE!$B76:$DY76,PRODUCE!$EB$57:$IY$57)</f>
        <v>0</v>
      </c>
      <c r="UA63" s="56"/>
      <c r="UB63" s="242">
        <f t="shared" si="425"/>
        <v>0</v>
      </c>
      <c r="UC63" s="242">
        <f t="shared" si="426"/>
        <v>0</v>
      </c>
      <c r="UD63" s="56"/>
      <c r="UG63" s="55">
        <f t="shared" si="427"/>
        <v>46075</v>
      </c>
      <c r="UH63" s="56"/>
      <c r="UI63" s="242">
        <f>SUMPRODUCT(PRODUCE!$B76:$DY76,PRODUCE!$EB$57:$IY$57)</f>
        <v>0</v>
      </c>
      <c r="UJ63" s="56"/>
      <c r="UK63" s="242">
        <f t="shared" si="428"/>
        <v>0</v>
      </c>
      <c r="UL63" s="242">
        <f t="shared" si="429"/>
        <v>0</v>
      </c>
      <c r="UM63" s="56"/>
      <c r="UP63" s="55">
        <f t="shared" si="430"/>
        <v>46075</v>
      </c>
      <c r="UQ63" s="56"/>
      <c r="UR63" s="242">
        <f>SUMPRODUCT(PRODUCE!$B76:$DY76,PRODUCE!$EB$57:$IY$57)</f>
        <v>0</v>
      </c>
      <c r="US63" s="56"/>
      <c r="UT63" s="242">
        <f t="shared" si="431"/>
        <v>0</v>
      </c>
      <c r="UU63" s="242">
        <f t="shared" si="432"/>
        <v>0</v>
      </c>
      <c r="UV63" s="56"/>
      <c r="UY63" s="55">
        <f t="shared" si="433"/>
        <v>46075</v>
      </c>
      <c r="UZ63" s="56"/>
      <c r="VA63" s="242">
        <f>SUMPRODUCT(PRODUCE!$B76:$DY76,PRODUCE!$EB$57:$IY$57)</f>
        <v>0</v>
      </c>
      <c r="VB63" s="56"/>
      <c r="VC63" s="242">
        <f t="shared" si="434"/>
        <v>0</v>
      </c>
      <c r="VD63" s="242">
        <f t="shared" si="435"/>
        <v>41.600000000000023</v>
      </c>
      <c r="VE63" s="56"/>
      <c r="VH63" s="55">
        <f t="shared" si="436"/>
        <v>46075</v>
      </c>
      <c r="VI63" s="56"/>
      <c r="VJ63" s="242">
        <f>SUMPRODUCT(PRODUCE!$B76:$DY76,PRODUCE!$EB$57:$IY$57)</f>
        <v>0</v>
      </c>
      <c r="VK63" s="56"/>
      <c r="VL63" s="242">
        <f t="shared" si="437"/>
        <v>0</v>
      </c>
      <c r="VM63" s="242">
        <f t="shared" si="438"/>
        <v>0</v>
      </c>
      <c r="VN63" s="56"/>
      <c r="VQ63" s="55">
        <f t="shared" si="439"/>
        <v>46075</v>
      </c>
      <c r="VR63" s="56"/>
      <c r="VS63" s="242">
        <f>SUMPRODUCT(PRODUCE!$B76:$DY76,PRODUCE!$EB$57:$IY$57)</f>
        <v>0</v>
      </c>
      <c r="VT63" s="56"/>
      <c r="VU63" s="242">
        <f t="shared" si="440"/>
        <v>0</v>
      </c>
      <c r="VV63" s="242">
        <f t="shared" si="441"/>
        <v>0</v>
      </c>
      <c r="VW63" s="56"/>
      <c r="VZ63" s="55">
        <f t="shared" si="442"/>
        <v>46075</v>
      </c>
      <c r="WA63" s="56"/>
      <c r="WB63" s="242">
        <f>SUMPRODUCT(PRODUCE!$B76:$DY76,PRODUCE!$EB$57:$IY$57)</f>
        <v>0</v>
      </c>
      <c r="WC63" s="56"/>
      <c r="WD63" s="242">
        <f t="shared" si="443"/>
        <v>0</v>
      </c>
      <c r="WE63" s="242">
        <f t="shared" si="444"/>
        <v>0</v>
      </c>
      <c r="WF63" s="56"/>
      <c r="WI63" s="55">
        <f t="shared" si="445"/>
        <v>46075</v>
      </c>
      <c r="WJ63" s="56"/>
      <c r="WK63" s="242">
        <f>SUMPRODUCT(PRODUCE!$B76:$DY76,PRODUCE!$EB$57:$IY$57)</f>
        <v>0</v>
      </c>
      <c r="WL63" s="56"/>
      <c r="WM63" s="242">
        <f t="shared" si="446"/>
        <v>0</v>
      </c>
      <c r="WN63" s="242">
        <f t="shared" si="447"/>
        <v>7912</v>
      </c>
      <c r="WO63" s="56"/>
      <c r="WR63" s="55">
        <f t="shared" si="448"/>
        <v>46075</v>
      </c>
      <c r="WS63" s="56"/>
      <c r="WT63" s="242">
        <f>SUMPRODUCT(PRODUCE!$B76:$DY76,PRODUCE!$EB$57:$IY$57)</f>
        <v>0</v>
      </c>
      <c r="WU63" s="56"/>
      <c r="WV63" s="242">
        <f t="shared" si="449"/>
        <v>0</v>
      </c>
      <c r="WW63" s="242">
        <f t="shared" si="450"/>
        <v>6559</v>
      </c>
      <c r="WX63" s="56"/>
      <c r="XA63" s="55">
        <f t="shared" si="451"/>
        <v>46075</v>
      </c>
      <c r="XB63" s="56"/>
      <c r="XC63" s="242">
        <f>SUMPRODUCT(PRODUCE!$B76:$DY76,PRODUCE!$EB$57:$IY$57)</f>
        <v>0</v>
      </c>
      <c r="XD63" s="56"/>
      <c r="XE63" s="242">
        <f t="shared" si="452"/>
        <v>0</v>
      </c>
      <c r="XF63" s="242">
        <f t="shared" si="453"/>
        <v>590</v>
      </c>
      <c r="XG63" s="56"/>
      <c r="XJ63" s="55">
        <f t="shared" si="454"/>
        <v>46075</v>
      </c>
      <c r="XK63" s="56"/>
      <c r="XL63" s="242">
        <f>SUMPRODUCT(PRODUCE!$B76:$DY76,PRODUCE!$EB$57:$IY$57)</f>
        <v>0</v>
      </c>
      <c r="XM63" s="56"/>
      <c r="XN63" s="242">
        <f t="shared" si="455"/>
        <v>0</v>
      </c>
      <c r="XO63" s="242">
        <f t="shared" si="456"/>
        <v>5809</v>
      </c>
      <c r="XP63" s="56"/>
      <c r="XS63" s="55">
        <f t="shared" si="457"/>
        <v>46075</v>
      </c>
      <c r="XT63" s="56"/>
      <c r="XU63" s="242">
        <f>SUMPRODUCT(PRODUCE!$B76:$DY76,PRODUCE!$EB$57:$IY$57)</f>
        <v>0</v>
      </c>
      <c r="XV63" s="56"/>
      <c r="XW63" s="242">
        <f t="shared" si="458"/>
        <v>0</v>
      </c>
      <c r="XX63" s="242">
        <f t="shared" si="459"/>
        <v>1901</v>
      </c>
      <c r="XY63" s="56"/>
      <c r="YB63" s="55">
        <f t="shared" si="460"/>
        <v>46075</v>
      </c>
      <c r="YC63" s="56"/>
      <c r="YD63" s="242">
        <f>SUMPRODUCT(PRODUCE!$B76:$DY76,PRODUCE!$EB$57:$IY$57)</f>
        <v>0</v>
      </c>
      <c r="YE63" s="56"/>
      <c r="YF63" s="242">
        <f t="shared" si="461"/>
        <v>0</v>
      </c>
      <c r="YG63" s="242">
        <f t="shared" si="462"/>
        <v>-707</v>
      </c>
      <c r="YH63" s="56"/>
      <c r="YK63" s="55">
        <f t="shared" si="463"/>
        <v>46075</v>
      </c>
      <c r="YL63" s="56"/>
      <c r="YM63" s="242">
        <f>SUMPRODUCT(PRODUCE!$B76:$DY76,PRODUCE!$EB$57:$IY$57)</f>
        <v>0</v>
      </c>
      <c r="YN63" s="56"/>
      <c r="YO63" s="242">
        <f t="shared" si="464"/>
        <v>0</v>
      </c>
      <c r="YP63" s="242">
        <f t="shared" si="465"/>
        <v>0</v>
      </c>
      <c r="YQ63" s="56"/>
      <c r="YT63" s="55">
        <f t="shared" si="466"/>
        <v>46075</v>
      </c>
      <c r="YU63" s="56"/>
      <c r="YV63" s="242">
        <f>SUMPRODUCT(PRODUCE!$B76:$DY76,PRODUCE!$EB$57:$IY$57)</f>
        <v>0</v>
      </c>
      <c r="YW63" s="56"/>
      <c r="YX63" s="242">
        <f t="shared" si="467"/>
        <v>0</v>
      </c>
      <c r="YY63" s="242">
        <f t="shared" si="468"/>
        <v>0</v>
      </c>
      <c r="YZ63" s="56"/>
      <c r="ZC63" s="55">
        <f t="shared" si="469"/>
        <v>46075</v>
      </c>
      <c r="ZD63" s="56"/>
      <c r="ZE63" s="242">
        <f>SUMPRODUCT(PRODUCE!$B76:$DY76,PRODUCE!$EB$57:$IY$57)</f>
        <v>0</v>
      </c>
      <c r="ZF63" s="56"/>
      <c r="ZG63" s="242">
        <f t="shared" si="470"/>
        <v>0</v>
      </c>
      <c r="ZH63" s="242">
        <f t="shared" si="471"/>
        <v>0</v>
      </c>
      <c r="ZI63" s="56"/>
      <c r="ZL63" s="55">
        <f t="shared" si="472"/>
        <v>46075</v>
      </c>
      <c r="ZM63" s="56"/>
      <c r="ZN63" s="242">
        <f>SUMPRODUCT(PRODUCE!$B76:$DY76,PRODUCE!$EB$57:$IY$57)</f>
        <v>0</v>
      </c>
      <c r="ZO63" s="56"/>
      <c r="ZP63" s="242">
        <f t="shared" si="473"/>
        <v>0</v>
      </c>
      <c r="ZQ63" s="242">
        <f t="shared" si="474"/>
        <v>0</v>
      </c>
      <c r="ZR63" s="56"/>
      <c r="ZU63" s="55">
        <f t="shared" si="475"/>
        <v>46075</v>
      </c>
      <c r="ZV63" s="56"/>
      <c r="ZW63" s="242">
        <f>SUMPRODUCT(PRODUCE!$B76:$DY76,PRODUCE!$EB$57:$IY$57)</f>
        <v>0</v>
      </c>
      <c r="ZX63" s="56"/>
      <c r="ZY63" s="242">
        <f t="shared" si="476"/>
        <v>0</v>
      </c>
      <c r="ZZ63" s="242">
        <f t="shared" si="477"/>
        <v>0</v>
      </c>
      <c r="AAA63" s="56"/>
      <c r="AAD63" s="55">
        <f t="shared" si="478"/>
        <v>46075</v>
      </c>
      <c r="AAE63" s="56"/>
      <c r="AAF63" s="242">
        <f>SUMPRODUCT(PRODUCE!$B76:$DY76,PRODUCE!$EB$57:$IY$57)</f>
        <v>0</v>
      </c>
      <c r="AAG63" s="56"/>
      <c r="AAH63" s="242">
        <f t="shared" si="479"/>
        <v>0</v>
      </c>
      <c r="AAI63" s="242">
        <f t="shared" si="480"/>
        <v>0</v>
      </c>
      <c r="AAJ63" s="56"/>
      <c r="AAM63" s="55">
        <f t="shared" si="481"/>
        <v>46075</v>
      </c>
      <c r="AAN63" s="56"/>
      <c r="AAO63" s="242">
        <f>SUMPRODUCT(PRODUCE!$B76:$DY76,PRODUCE!$EB$57:$IY$57)</f>
        <v>0</v>
      </c>
      <c r="AAP63" s="56"/>
      <c r="AAQ63" s="242">
        <f t="shared" si="482"/>
        <v>0</v>
      </c>
      <c r="AAR63" s="242">
        <f t="shared" si="483"/>
        <v>0</v>
      </c>
      <c r="AAS63" s="56"/>
      <c r="AAV63" s="55">
        <f t="shared" si="484"/>
        <v>46075</v>
      </c>
      <c r="AAW63" s="56"/>
      <c r="AAX63" s="242">
        <f>SUMPRODUCT(PRODUCE!$B76:$DY76,PRODUCE!$EB$57:$IY$57)</f>
        <v>0</v>
      </c>
      <c r="AAY63" s="56"/>
      <c r="AAZ63" s="242">
        <f t="shared" si="485"/>
        <v>0</v>
      </c>
      <c r="ABA63" s="242">
        <f t="shared" si="486"/>
        <v>0</v>
      </c>
      <c r="ABB63" s="56"/>
      <c r="ABE63" s="55">
        <f t="shared" si="487"/>
        <v>46075</v>
      </c>
      <c r="ABF63" s="56"/>
      <c r="ABG63" s="242">
        <f>SUMPRODUCT(PRODUCE!$B76:$DY76,PRODUCE!$EB$57:$IY$57)</f>
        <v>0</v>
      </c>
      <c r="ABH63" s="56"/>
      <c r="ABI63" s="242">
        <f t="shared" si="488"/>
        <v>0</v>
      </c>
      <c r="ABJ63" s="242">
        <f t="shared" si="489"/>
        <v>0</v>
      </c>
      <c r="ABK63" s="56"/>
    </row>
    <row r="64" spans="2:739" s="54" customFormat="1" ht="15" customHeight="1" outlineLevel="1">
      <c r="B64" s="478">
        <v>26</v>
      </c>
      <c r="C64" s="55">
        <v>46076</v>
      </c>
      <c r="D64" s="422">
        <v>28980</v>
      </c>
      <c r="E64" s="424">
        <f>SUMPRODUCT(PRODUCE!$B77:$DY77,PRODUCE!$EB$7:$IY$7)</f>
        <v>13975</v>
      </c>
      <c r="F64" s="422">
        <v>13973.2</v>
      </c>
      <c r="G64" s="423">
        <f t="shared" si="247"/>
        <v>1.7999999999992724</v>
      </c>
      <c r="H64" s="423">
        <f t="shared" si="245"/>
        <v>110516.8</v>
      </c>
      <c r="I64" s="324" t="s">
        <v>186</v>
      </c>
      <c r="L64" s="55">
        <f t="shared" si="246"/>
        <v>46076</v>
      </c>
      <c r="M64" s="422"/>
      <c r="N64" s="439">
        <f>SUMPRODUCT(PRODUCE!$B77:$DY77,PRODUCE!$EB$8:$IY$8)</f>
        <v>7253.9999999999982</v>
      </c>
      <c r="O64" s="422">
        <v>7254.8</v>
      </c>
      <c r="P64" s="438">
        <f t="shared" si="248"/>
        <v>-0.80000000000200089</v>
      </c>
      <c r="Q64" s="438">
        <f t="shared" si="249"/>
        <v>44979.400000000031</v>
      </c>
      <c r="R64" s="56"/>
      <c r="U64" s="55">
        <f t="shared" si="250"/>
        <v>46076</v>
      </c>
      <c r="V64" s="422"/>
      <c r="W64" s="441">
        <f>SUMPRODUCT(PRODUCE!$B77:$DY77,PRODUCE!$EB$9:$IY$9)</f>
        <v>1300</v>
      </c>
      <c r="X64" s="422">
        <v>1299.9000000000001</v>
      </c>
      <c r="Y64" s="440">
        <f t="shared" si="251"/>
        <v>9.9999999999909051E-2</v>
      </c>
      <c r="Z64" s="440">
        <f t="shared" si="252"/>
        <v>30048.199999999975</v>
      </c>
      <c r="AA64" s="56"/>
      <c r="AD64" s="55">
        <f t="shared" si="253"/>
        <v>46076</v>
      </c>
      <c r="AE64" s="422"/>
      <c r="AF64" s="443">
        <f>SUMPRODUCT(PRODUCE!$B77:$DY77,PRODUCE!$EB$10:$IY$10)</f>
        <v>1300</v>
      </c>
      <c r="AG64" s="422">
        <v>1300.7</v>
      </c>
      <c r="AH64" s="442">
        <f t="shared" si="254"/>
        <v>-0.70000000000004547</v>
      </c>
      <c r="AI64" s="442">
        <f t="shared" si="255"/>
        <v>38825.60000000002</v>
      </c>
      <c r="AJ64" s="56"/>
      <c r="AM64" s="55">
        <f t="shared" si="256"/>
        <v>46076</v>
      </c>
      <c r="AN64" s="422"/>
      <c r="AO64" s="445">
        <f>SUMPRODUCT(PRODUCE!$B77:$DY77,PRODUCE!$EB$11:$IY$11)</f>
        <v>0</v>
      </c>
      <c r="AP64" s="422"/>
      <c r="AQ64" s="444">
        <f t="shared" si="257"/>
        <v>0</v>
      </c>
      <c r="AR64" s="444">
        <f t="shared" si="258"/>
        <v>0</v>
      </c>
      <c r="AS64" s="56"/>
      <c r="AV64" s="55">
        <f t="shared" si="259"/>
        <v>46076</v>
      </c>
      <c r="AW64" s="422"/>
      <c r="AX64" s="447">
        <f>SUMPRODUCT(PRODUCE!$B77:$DY77,PRODUCE!$EB$12:$IY$12)</f>
        <v>520</v>
      </c>
      <c r="AY64" s="422">
        <v>519.79999999999995</v>
      </c>
      <c r="AZ64" s="446">
        <f t="shared" si="260"/>
        <v>0.20000000000004547</v>
      </c>
      <c r="BA64" s="446">
        <f t="shared" si="261"/>
        <v>48802.599999999984</v>
      </c>
      <c r="BB64" s="56"/>
      <c r="BE64" s="55">
        <f t="shared" si="262"/>
        <v>46076</v>
      </c>
      <c r="BF64" s="422"/>
      <c r="BG64" s="449">
        <f>SUMPRODUCT(PRODUCE!$B77:$DY77,PRODUCE!$EB$13:$IY$13)</f>
        <v>520</v>
      </c>
      <c r="BH64" s="422">
        <v>517.1</v>
      </c>
      <c r="BI64" s="448">
        <f t="shared" si="263"/>
        <v>2.8999999999999773</v>
      </c>
      <c r="BJ64" s="448">
        <f t="shared" si="264"/>
        <v>12771.300000000005</v>
      </c>
      <c r="BK64" s="56"/>
      <c r="BN64" s="55">
        <f t="shared" si="265"/>
        <v>46076</v>
      </c>
      <c r="BO64" s="422">
        <v>520</v>
      </c>
      <c r="BP64" s="451">
        <f>SUMPRODUCT(PRODUCE!$B77:$DY77,PRODUCE!$EB$14:$IY$14)</f>
        <v>520</v>
      </c>
      <c r="BQ64" s="422">
        <v>520</v>
      </c>
      <c r="BR64" s="450">
        <f t="shared" si="266"/>
        <v>0</v>
      </c>
      <c r="BS64" s="450">
        <f t="shared" si="267"/>
        <v>0</v>
      </c>
      <c r="BT64" s="56"/>
      <c r="BW64" s="55">
        <f t="shared" si="268"/>
        <v>46076</v>
      </c>
      <c r="BX64" s="56"/>
      <c r="BY64" s="81">
        <f>SUMPRODUCT(PRODUCE!$B77:$DY77,PRODUCE!$EB$15:$IY$15)</f>
        <v>0</v>
      </c>
      <c r="BZ64" s="56"/>
      <c r="CA64" s="65">
        <f t="shared" si="269"/>
        <v>0</v>
      </c>
      <c r="CB64" s="65">
        <f t="shared" si="270"/>
        <v>931.90000000000009</v>
      </c>
      <c r="CC64" s="56"/>
      <c r="CF64" s="55">
        <f t="shared" si="271"/>
        <v>46076</v>
      </c>
      <c r="CG64" s="56"/>
      <c r="CH64" s="82">
        <f>SUMPRODUCT(PRODUCE!$B77:$DY77,PRODUCE!$EB$16:$IY$16)</f>
        <v>0</v>
      </c>
      <c r="CI64" s="56"/>
      <c r="CJ64" s="66">
        <f t="shared" si="272"/>
        <v>0</v>
      </c>
      <c r="CK64" s="66">
        <f t="shared" si="273"/>
        <v>0</v>
      </c>
      <c r="CL64" s="56"/>
      <c r="CO64" s="55">
        <f t="shared" si="274"/>
        <v>46076</v>
      </c>
      <c r="CP64" s="422"/>
      <c r="CQ64" s="471">
        <f>SUMPRODUCT(PRODUCE!$B77:$DY77,PRODUCE!$EB$17:$IY$17)</f>
        <v>0</v>
      </c>
      <c r="CR64" s="422"/>
      <c r="CS64" s="470">
        <f t="shared" si="275"/>
        <v>0</v>
      </c>
      <c r="CT64" s="470">
        <f t="shared" si="276"/>
        <v>0</v>
      </c>
      <c r="CU64" s="56"/>
      <c r="CX64" s="55">
        <f t="shared" si="277"/>
        <v>46076</v>
      </c>
      <c r="CY64" s="56">
        <v>10260</v>
      </c>
      <c r="CZ64" s="136">
        <f>SUMPRODUCT(PRODUCE!$B77:$DY77,PRODUCE!$EB$18:$IY$18)</f>
        <v>0</v>
      </c>
      <c r="DA64" s="56"/>
      <c r="DB64" s="133">
        <f t="shared" si="278"/>
        <v>0</v>
      </c>
      <c r="DC64" s="133">
        <f t="shared" si="279"/>
        <v>26944.7</v>
      </c>
      <c r="DD64" s="56"/>
      <c r="DG64" s="55">
        <f t="shared" si="280"/>
        <v>46076</v>
      </c>
      <c r="DH64" s="56"/>
      <c r="DI64" s="150">
        <f>SUMPRODUCT(PRODUCE!$B77:$DY77,PRODUCE!$EB$19:$IY$19)</f>
        <v>0</v>
      </c>
      <c r="DJ64" s="56"/>
      <c r="DK64" s="147">
        <f t="shared" si="281"/>
        <v>0</v>
      </c>
      <c r="DL64" s="147">
        <f t="shared" si="282"/>
        <v>5112.1999999999971</v>
      </c>
      <c r="DM64" s="56"/>
      <c r="DP64" s="55">
        <f t="shared" si="283"/>
        <v>46076</v>
      </c>
      <c r="DQ64" s="56"/>
      <c r="DR64" s="58">
        <f>SUMPRODUCT(PRODUCE!$B77:$DY77,PRODUCE!$EB$20:$IY$20)</f>
        <v>0</v>
      </c>
      <c r="DS64" s="56"/>
      <c r="DT64" s="57">
        <f t="shared" si="284"/>
        <v>0</v>
      </c>
      <c r="DU64" s="57">
        <f t="shared" si="285"/>
        <v>2300</v>
      </c>
      <c r="DV64" s="56"/>
      <c r="DY64" s="55">
        <f t="shared" si="286"/>
        <v>46076</v>
      </c>
      <c r="DZ64" s="56"/>
      <c r="EA64" s="159">
        <f>SUMPRODUCT(PRODUCE!$B77:$DY77,PRODUCE!$EB$21:$IY$21)</f>
        <v>0</v>
      </c>
      <c r="EB64" s="56"/>
      <c r="EC64" s="157">
        <f t="shared" si="287"/>
        <v>0</v>
      </c>
      <c r="ED64" s="157">
        <f t="shared" si="288"/>
        <v>5696.8</v>
      </c>
      <c r="EE64" s="56"/>
      <c r="EH64" s="55">
        <f t="shared" si="289"/>
        <v>46076</v>
      </c>
      <c r="EI64" s="56"/>
      <c r="EJ64" s="164">
        <f>SUMPRODUCT(PRODUCE!$B77:$DY77,PRODUCE!$EB$22:$IY$22)</f>
        <v>0</v>
      </c>
      <c r="EK64" s="56"/>
      <c r="EL64" s="162">
        <f t="shared" si="290"/>
        <v>0</v>
      </c>
      <c r="EM64" s="162">
        <f t="shared" si="291"/>
        <v>0</v>
      </c>
      <c r="EN64" s="56"/>
      <c r="EQ64" s="55">
        <f t="shared" si="292"/>
        <v>46076</v>
      </c>
      <c r="ER64" s="56"/>
      <c r="ES64" s="171">
        <f>SUMPRODUCT(PRODUCE!$B77:$DY77,PRODUCE!$EB$23:$IY$23)</f>
        <v>0</v>
      </c>
      <c r="ET64" s="56"/>
      <c r="EU64" s="135">
        <f t="shared" si="293"/>
        <v>0</v>
      </c>
      <c r="EV64" s="135">
        <f t="shared" si="294"/>
        <v>0</v>
      </c>
      <c r="EW64" s="56"/>
      <c r="EZ64" s="55">
        <f t="shared" si="295"/>
        <v>46076</v>
      </c>
      <c r="FA64" s="56"/>
      <c r="FB64" s="178">
        <f>SUMPRODUCT(PRODUCE!$B77:$DY77,PRODUCE!$EB$24:$IY$24)</f>
        <v>0</v>
      </c>
      <c r="FC64" s="56"/>
      <c r="FD64" s="175">
        <f t="shared" si="296"/>
        <v>0</v>
      </c>
      <c r="FE64" s="175">
        <f t="shared" si="297"/>
        <v>0</v>
      </c>
      <c r="FF64" s="56"/>
      <c r="FI64" s="55">
        <f t="shared" si="298"/>
        <v>46076</v>
      </c>
      <c r="FJ64" s="56"/>
      <c r="FK64" s="184">
        <f>SUMPRODUCT(PRODUCE!$B77:$DY77,PRODUCE!$EB$25:$IY$25)</f>
        <v>0</v>
      </c>
      <c r="FL64" s="56"/>
      <c r="FM64" s="183">
        <f t="shared" si="299"/>
        <v>0</v>
      </c>
      <c r="FN64" s="183">
        <f t="shared" si="300"/>
        <v>0</v>
      </c>
      <c r="FO64" s="56"/>
      <c r="FR64" s="55">
        <f t="shared" si="301"/>
        <v>46076</v>
      </c>
      <c r="FS64" s="422"/>
      <c r="FT64" s="453">
        <f>SUMPRODUCT(PRODUCE!$B77:$DY77,PRODUCE!$EB$26:$IY$26)</f>
        <v>0</v>
      </c>
      <c r="FU64" s="422"/>
      <c r="FV64" s="452">
        <f t="shared" si="302"/>
        <v>0</v>
      </c>
      <c r="FW64" s="452">
        <f t="shared" si="303"/>
        <v>1900</v>
      </c>
      <c r="FX64" s="56"/>
      <c r="GA64" s="55">
        <f t="shared" si="304"/>
        <v>46076</v>
      </c>
      <c r="GB64" s="422"/>
      <c r="GC64" s="455">
        <f>SUMPRODUCT(PRODUCE!$B77:$DY77,PRODUCE!$EB$27:$IY$27)</f>
        <v>0</v>
      </c>
      <c r="GD64" s="422"/>
      <c r="GE64" s="454">
        <f t="shared" si="305"/>
        <v>0</v>
      </c>
      <c r="GF64" s="454">
        <f t="shared" si="306"/>
        <v>5960</v>
      </c>
      <c r="GG64" s="56"/>
      <c r="GI64" s="23"/>
      <c r="GJ64" s="55">
        <f t="shared" si="307"/>
        <v>46076</v>
      </c>
      <c r="GK64" s="422"/>
      <c r="GL64" s="457">
        <f>SUMPRODUCT(PRODUCE!$B77:$DY77,PRODUCE!$EB$28:$IY$28)</f>
        <v>0</v>
      </c>
      <c r="GM64" s="422"/>
      <c r="GN64" s="456">
        <f t="shared" si="308"/>
        <v>0</v>
      </c>
      <c r="GO64" s="456">
        <f t="shared" si="309"/>
        <v>5240</v>
      </c>
      <c r="GP64" s="56"/>
      <c r="GS64" s="55">
        <f t="shared" si="310"/>
        <v>46076</v>
      </c>
      <c r="GT64" s="56"/>
      <c r="GU64" s="196">
        <f>SUMPRODUCT(PRODUCE!$B77:$DY77,PRODUCE!$EB$29:$IY$29)</f>
        <v>0</v>
      </c>
      <c r="GV64" s="56"/>
      <c r="GW64" s="195">
        <f t="shared" si="311"/>
        <v>0</v>
      </c>
      <c r="GX64" s="195">
        <f t="shared" si="312"/>
        <v>0</v>
      </c>
      <c r="GY64" s="56"/>
      <c r="HB64" s="55">
        <f t="shared" si="313"/>
        <v>46076</v>
      </c>
      <c r="HC64" s="56"/>
      <c r="HD64" s="192">
        <f>SUMPRODUCT(PRODUCE!$B77:$DY77,PRODUCE!$EB$30:$IY$30)</f>
        <v>0</v>
      </c>
      <c r="HE64" s="56"/>
      <c r="HF64" s="191">
        <f t="shared" si="314"/>
        <v>0</v>
      </c>
      <c r="HG64" s="191">
        <f t="shared" si="315"/>
        <v>0</v>
      </c>
      <c r="HH64" s="56"/>
      <c r="HK64" s="55">
        <f t="shared" si="316"/>
        <v>46076</v>
      </c>
      <c r="HL64" s="56"/>
      <c r="HM64" s="80">
        <f>SUMPRODUCT(PRODUCE!$B77:$DY77,PRODUCE!$EB$31:$IY$31)</f>
        <v>0</v>
      </c>
      <c r="HN64" s="56"/>
      <c r="HO64" s="63">
        <f t="shared" si="317"/>
        <v>0</v>
      </c>
      <c r="HP64" s="63">
        <f t="shared" si="318"/>
        <v>0</v>
      </c>
      <c r="HQ64" s="56"/>
      <c r="HU64" s="55">
        <f t="shared" si="319"/>
        <v>46076</v>
      </c>
      <c r="HV64" s="56"/>
      <c r="HW64" s="242">
        <f>SUMPRODUCT(PRODUCE!$B77:$DY77,PRODUCE!$EB$32:$IY$32)</f>
        <v>0</v>
      </c>
      <c r="HX64" s="56"/>
      <c r="HY64" s="242">
        <f t="shared" si="320"/>
        <v>0</v>
      </c>
      <c r="HZ64" s="242">
        <f t="shared" si="321"/>
        <v>5120</v>
      </c>
      <c r="IA64" s="56"/>
      <c r="ID64" s="55">
        <f t="shared" si="322"/>
        <v>46076</v>
      </c>
      <c r="IE64" s="56"/>
      <c r="IF64" s="242">
        <f>SUMPRODUCT(PRODUCE!$B77:$DY77,PRODUCE!$EB$33:$IY$33)</f>
        <v>0</v>
      </c>
      <c r="IG64" s="56"/>
      <c r="IH64" s="242">
        <f t="shared" si="323"/>
        <v>0</v>
      </c>
      <c r="II64" s="242">
        <f t="shared" si="324"/>
        <v>5100</v>
      </c>
      <c r="IJ64" s="56"/>
      <c r="IM64" s="55">
        <f t="shared" si="325"/>
        <v>46076</v>
      </c>
      <c r="IN64" s="56"/>
      <c r="IO64" s="242">
        <f>SUMPRODUCT(PRODUCE!$B77:$DY77,PRODUCE!$EB$34:$IY$34)</f>
        <v>520</v>
      </c>
      <c r="IP64" s="56"/>
      <c r="IQ64" s="242">
        <f t="shared" si="326"/>
        <v>520</v>
      </c>
      <c r="IR64" s="242">
        <f t="shared" si="327"/>
        <v>10240</v>
      </c>
      <c r="IS64" s="56"/>
      <c r="IV64" s="55">
        <f t="shared" si="328"/>
        <v>46076</v>
      </c>
      <c r="IW64" s="56"/>
      <c r="IX64" s="242">
        <f>SUMPRODUCT(PRODUCE!$B77:$DY77,PRODUCE!$EB$35:$IY$35)</f>
        <v>0</v>
      </c>
      <c r="IY64" s="56"/>
      <c r="IZ64" s="242">
        <f t="shared" si="329"/>
        <v>0</v>
      </c>
      <c r="JA64" s="242">
        <f t="shared" si="330"/>
        <v>15120</v>
      </c>
      <c r="JB64" s="56"/>
      <c r="JE64" s="55">
        <f t="shared" si="331"/>
        <v>46076</v>
      </c>
      <c r="JF64" s="56"/>
      <c r="JG64" s="242">
        <f>SUMPRODUCT(PRODUCE!$B77:$DY77,PRODUCE!$EB$36:$IY$36)</f>
        <v>0</v>
      </c>
      <c r="JH64" s="56"/>
      <c r="JI64" s="242">
        <f t="shared" si="332"/>
        <v>0</v>
      </c>
      <c r="JJ64" s="242">
        <f t="shared" si="333"/>
        <v>3600</v>
      </c>
      <c r="JK64" s="56"/>
      <c r="JN64" s="55">
        <f t="shared" si="334"/>
        <v>46076</v>
      </c>
      <c r="JO64" s="56"/>
      <c r="JP64" s="242">
        <f>SUMPRODUCT(PRODUCE!$B77:$DY77,PRODUCE!$EB$37:$IY$37)</f>
        <v>0</v>
      </c>
      <c r="JQ64" s="56"/>
      <c r="JR64" s="242">
        <f t="shared" si="335"/>
        <v>0</v>
      </c>
      <c r="JS64" s="242">
        <f t="shared" si="336"/>
        <v>5400</v>
      </c>
      <c r="JT64" s="56"/>
      <c r="JW64" s="55">
        <f t="shared" si="337"/>
        <v>46076</v>
      </c>
      <c r="JX64" s="56"/>
      <c r="JY64" s="242">
        <f>SUMPRODUCT(PRODUCE!$B77:$DY77,PRODUCE!$EB$38:$IY$38)</f>
        <v>0</v>
      </c>
      <c r="JZ64" s="56"/>
      <c r="KA64" s="242">
        <f t="shared" si="338"/>
        <v>0</v>
      </c>
      <c r="KB64" s="242">
        <f t="shared" si="339"/>
        <v>4000</v>
      </c>
      <c r="KC64" s="56"/>
      <c r="KF64" s="55">
        <f t="shared" si="340"/>
        <v>46076</v>
      </c>
      <c r="KG64" s="56"/>
      <c r="KH64" s="242">
        <f>SUMPRODUCT(PRODUCE!$B77:$DY77,PRODUCE!$EB$39:$IY$39)</f>
        <v>0</v>
      </c>
      <c r="KI64" s="56"/>
      <c r="KJ64" s="242">
        <f t="shared" si="341"/>
        <v>0</v>
      </c>
      <c r="KK64" s="242">
        <f t="shared" si="342"/>
        <v>1287</v>
      </c>
      <c r="KL64" s="56"/>
      <c r="KO64" s="55">
        <f t="shared" si="343"/>
        <v>46076</v>
      </c>
      <c r="KP64" s="56"/>
      <c r="KQ64" s="242">
        <f>SUMPRODUCT(PRODUCE!$B77:$DY77,PRODUCE!$EB$40:$IY$40)</f>
        <v>0</v>
      </c>
      <c r="KR64" s="56"/>
      <c r="KS64" s="242">
        <f t="shared" si="344"/>
        <v>0</v>
      </c>
      <c r="KT64" s="242">
        <f t="shared" si="345"/>
        <v>10659.6</v>
      </c>
      <c r="KU64" s="56"/>
      <c r="KW64" s="23"/>
      <c r="KX64" s="55">
        <f t="shared" si="346"/>
        <v>46076</v>
      </c>
      <c r="KY64" s="56"/>
      <c r="KZ64" s="242">
        <f>SUMPRODUCT(PRODUCE!$B77:$DY77,PRODUCE!$EB$41:$IY$41)</f>
        <v>0</v>
      </c>
      <c r="LA64" s="56"/>
      <c r="LB64" s="242">
        <f t="shared" si="347"/>
        <v>0</v>
      </c>
      <c r="LC64" s="242">
        <f t="shared" si="348"/>
        <v>0</v>
      </c>
      <c r="LD64" s="56"/>
      <c r="LG64" s="55">
        <f t="shared" si="349"/>
        <v>46076</v>
      </c>
      <c r="LH64" s="56"/>
      <c r="LI64" s="242">
        <f>SUMPRODUCT(PRODUCE!$B77:$DY77,PRODUCE!$EB$42:$IY$42)</f>
        <v>0</v>
      </c>
      <c r="LJ64" s="56"/>
      <c r="LK64" s="242">
        <f t="shared" si="350"/>
        <v>0</v>
      </c>
      <c r="LL64" s="242">
        <f t="shared" si="351"/>
        <v>0</v>
      </c>
      <c r="LM64" s="56"/>
      <c r="LP64" s="55">
        <f t="shared" si="352"/>
        <v>46076</v>
      </c>
      <c r="LQ64" s="56"/>
      <c r="LR64" s="242">
        <f>SUMPRODUCT(PRODUCE!$B79:$DY79,PRODUCE!$EB$43:$IY$43)</f>
        <v>0</v>
      </c>
      <c r="LS64" s="56"/>
      <c r="LT64" s="242">
        <f t="shared" si="353"/>
        <v>0</v>
      </c>
      <c r="LU64" s="242">
        <f t="shared" si="354"/>
        <v>0</v>
      </c>
      <c r="LV64" s="56"/>
      <c r="LY64" s="55">
        <f t="shared" si="355"/>
        <v>46076</v>
      </c>
      <c r="LZ64" s="56"/>
      <c r="MA64" s="242">
        <f>SUMPRODUCT(PRODUCE!$B79:$DY79,PRODUCE!$EB$44:$IY$44)</f>
        <v>0</v>
      </c>
      <c r="MB64" s="56"/>
      <c r="MC64" s="242">
        <f t="shared" si="356"/>
        <v>0</v>
      </c>
      <c r="MD64" s="242">
        <f t="shared" si="357"/>
        <v>0</v>
      </c>
      <c r="ME64" s="56"/>
      <c r="MH64" s="55">
        <f t="shared" si="358"/>
        <v>46076</v>
      </c>
      <c r="MI64" s="56"/>
      <c r="MJ64" s="242">
        <f>SUMPRODUCT(PRODUCE!$B77:$DY77,PRODUCE!$EB$45:$IY$45)</f>
        <v>0</v>
      </c>
      <c r="MK64" s="56"/>
      <c r="ML64" s="242">
        <f t="shared" si="359"/>
        <v>0</v>
      </c>
      <c r="MM64" s="242">
        <f t="shared" si="360"/>
        <v>0</v>
      </c>
      <c r="MN64" s="56"/>
      <c r="MQ64" s="55">
        <f t="shared" si="361"/>
        <v>46076</v>
      </c>
      <c r="MR64" s="56"/>
      <c r="MS64" s="242">
        <f>SUMPRODUCT(PRODUCE!$B77:$DY77,PRODUCE!$EB$46:$IY$46)</f>
        <v>13</v>
      </c>
      <c r="MT64" s="56"/>
      <c r="MU64" s="242">
        <f t="shared" si="362"/>
        <v>13</v>
      </c>
      <c r="MV64" s="242">
        <f t="shared" si="363"/>
        <v>4370</v>
      </c>
      <c r="MW64" s="56"/>
      <c r="MZ64" s="55">
        <f t="shared" si="364"/>
        <v>46076</v>
      </c>
      <c r="NA64" s="56"/>
      <c r="NB64" s="242">
        <f>SUMPRODUCT(PRODUCE!$B77:$DY77,PRODUCE!$EB$47:$IY$47)</f>
        <v>78</v>
      </c>
      <c r="NC64" s="56"/>
      <c r="ND64" s="242">
        <f t="shared" si="365"/>
        <v>78</v>
      </c>
      <c r="NE64" s="242">
        <f t="shared" si="366"/>
        <v>0</v>
      </c>
      <c r="NF64" s="56"/>
      <c r="NI64" s="55">
        <f t="shared" si="367"/>
        <v>46076</v>
      </c>
      <c r="NJ64" s="56"/>
      <c r="NK64" s="242">
        <f>SUMPRODUCT(PRODUCE!$B77:$DY77,PRODUCE!$EB$48:$IY$48)</f>
        <v>0</v>
      </c>
      <c r="NL64" s="56"/>
      <c r="NM64" s="242">
        <f t="shared" si="368"/>
        <v>0</v>
      </c>
      <c r="NN64" s="242">
        <f t="shared" si="369"/>
        <v>0</v>
      </c>
      <c r="NO64" s="56"/>
      <c r="NR64" s="55">
        <f t="shared" si="370"/>
        <v>46076</v>
      </c>
      <c r="NS64" s="56"/>
      <c r="NT64" s="242">
        <f>SUMPRODUCT(PRODUCE!$B77:$DY77,PRODUCE!$EB$49:$IY$49)</f>
        <v>0</v>
      </c>
      <c r="NU64" s="56"/>
      <c r="NV64" s="242">
        <f t="shared" si="371"/>
        <v>0</v>
      </c>
      <c r="NW64" s="242">
        <f t="shared" si="372"/>
        <v>2310</v>
      </c>
      <c r="NX64" s="56"/>
      <c r="OA64" s="55">
        <f t="shared" si="373"/>
        <v>46076</v>
      </c>
      <c r="OB64" s="56"/>
      <c r="OC64" s="242">
        <f>SUMPRODUCT(PRODUCE!$B77:$DY77,PRODUCE!$EB$50:$IY$50)</f>
        <v>0</v>
      </c>
      <c r="OD64" s="56"/>
      <c r="OE64" s="242">
        <f t="shared" si="374"/>
        <v>0</v>
      </c>
      <c r="OF64" s="242">
        <f t="shared" si="375"/>
        <v>1680.5</v>
      </c>
      <c r="OG64" s="56"/>
      <c r="OJ64" s="55">
        <f t="shared" si="376"/>
        <v>46076</v>
      </c>
      <c r="OK64" s="56"/>
      <c r="OL64" s="242">
        <f>SUMPRODUCT(PRODUCE!$B77:$DY77,PRODUCE!$EB$51:$IY$51)</f>
        <v>0</v>
      </c>
      <c r="OM64" s="56"/>
      <c r="ON64" s="242">
        <f t="shared" si="377"/>
        <v>0</v>
      </c>
      <c r="OO64" s="242">
        <f t="shared" si="378"/>
        <v>0</v>
      </c>
      <c r="OP64" s="56"/>
      <c r="OS64" s="55">
        <f t="shared" si="379"/>
        <v>46076</v>
      </c>
      <c r="OT64" s="56"/>
      <c r="OU64" s="242">
        <f>SUMPRODUCT(PRODUCE!$B77:$DY77,PRODUCE!$EB$52:$IY$52)</f>
        <v>0</v>
      </c>
      <c r="OV64" s="56"/>
      <c r="OW64" s="242">
        <f t="shared" si="380"/>
        <v>0</v>
      </c>
      <c r="OX64" s="242">
        <f t="shared" si="381"/>
        <v>0</v>
      </c>
      <c r="OY64" s="56"/>
      <c r="PB64" s="55">
        <f t="shared" si="382"/>
        <v>46076</v>
      </c>
      <c r="PC64" s="56"/>
      <c r="PD64" s="242">
        <f>SUMPRODUCT(PRODUCE!$B77:$DY77,PRODUCE!$EB$53:$IY$53)</f>
        <v>0</v>
      </c>
      <c r="PE64" s="56"/>
      <c r="PF64" s="242">
        <f t="shared" si="383"/>
        <v>0</v>
      </c>
      <c r="PG64" s="242">
        <f t="shared" si="384"/>
        <v>0</v>
      </c>
      <c r="PH64" s="56"/>
      <c r="PK64" s="55">
        <f t="shared" si="385"/>
        <v>46076</v>
      </c>
      <c r="PL64" s="56"/>
      <c r="PM64" s="242">
        <f>SUMPRODUCT(PRODUCE!$B77:$DY77,PRODUCE!$EB$54:$IY$54)</f>
        <v>0</v>
      </c>
      <c r="PN64" s="56"/>
      <c r="PO64" s="242">
        <f t="shared" si="386"/>
        <v>0</v>
      </c>
      <c r="PP64" s="242">
        <f t="shared" si="387"/>
        <v>160</v>
      </c>
      <c r="PQ64" s="56"/>
      <c r="PT64" s="55">
        <f t="shared" si="388"/>
        <v>46076</v>
      </c>
      <c r="PU64" s="56"/>
      <c r="PV64" s="242">
        <f>SUMPRODUCT(PRODUCE!$B77:$DY77,PRODUCE!$EB$55:$IY$55)</f>
        <v>0</v>
      </c>
      <c r="PW64" s="56"/>
      <c r="PX64" s="242">
        <f t="shared" si="389"/>
        <v>0</v>
      </c>
      <c r="PY64" s="242">
        <f t="shared" si="390"/>
        <v>13.960000000000036</v>
      </c>
      <c r="PZ64" s="56"/>
      <c r="QC64" s="55">
        <f t="shared" si="391"/>
        <v>46076</v>
      </c>
      <c r="QD64" s="56"/>
      <c r="QE64" s="242">
        <f>SUMPRODUCT(PRODUCE!$B77:$DY77,PRODUCE!$EB$56:$IY$56)</f>
        <v>0</v>
      </c>
      <c r="QF64" s="56"/>
      <c r="QG64" s="242">
        <f t="shared" si="392"/>
        <v>0</v>
      </c>
      <c r="QH64" s="242">
        <f t="shared" si="393"/>
        <v>0</v>
      </c>
      <c r="QI64" s="56"/>
      <c r="QL64" s="55">
        <f t="shared" si="394"/>
        <v>46076</v>
      </c>
      <c r="QM64" s="56"/>
      <c r="QN64" s="242">
        <f>SUMPRODUCT(PRODUCE!$B77:$DY77,PRODUCE!$EB$57:$IY$57)</f>
        <v>0</v>
      </c>
      <c r="QO64" s="56"/>
      <c r="QP64" s="242">
        <f t="shared" si="395"/>
        <v>0</v>
      </c>
      <c r="QQ64" s="242">
        <f t="shared" si="396"/>
        <v>0</v>
      </c>
      <c r="QR64" s="56"/>
      <c r="QU64" s="55">
        <f t="shared" si="397"/>
        <v>46076</v>
      </c>
      <c r="QV64" s="56"/>
      <c r="QW64" s="242">
        <f>SUMPRODUCT(PRODUCE!$B77:$DY77,PRODUCE!$EB$57:$IY$57)</f>
        <v>0</v>
      </c>
      <c r="QX64" s="56"/>
      <c r="QY64" s="242">
        <f t="shared" si="398"/>
        <v>0</v>
      </c>
      <c r="QZ64" s="242">
        <f t="shared" si="399"/>
        <v>207.6</v>
      </c>
      <c r="RA64" s="56"/>
      <c r="RD64" s="55">
        <f t="shared" si="400"/>
        <v>46076</v>
      </c>
      <c r="RE64" s="56"/>
      <c r="RF64" s="242">
        <f>SUMPRODUCT(PRODUCE!$B77:$DY77,PRODUCE!$EB$58:$IY$58)</f>
        <v>0</v>
      </c>
      <c r="RG64" s="56"/>
      <c r="RH64" s="242">
        <f t="shared" si="401"/>
        <v>0</v>
      </c>
      <c r="RI64" s="242">
        <f t="shared" si="402"/>
        <v>197.04000000000002</v>
      </c>
      <c r="RJ64" s="56"/>
      <c r="RM64" s="55">
        <f t="shared" si="403"/>
        <v>46076</v>
      </c>
      <c r="RN64" s="56"/>
      <c r="RO64" s="242">
        <f>SUMPRODUCT(PRODUCE!$B77:$DY77,PRODUCE!$EB$57:$IY$57)</f>
        <v>0</v>
      </c>
      <c r="RP64" s="56"/>
      <c r="RQ64" s="242">
        <f t="shared" si="404"/>
        <v>0</v>
      </c>
      <c r="RR64" s="242">
        <f t="shared" si="405"/>
        <v>46.8</v>
      </c>
      <c r="RS64" s="56"/>
      <c r="RV64" s="55">
        <f t="shared" si="406"/>
        <v>46076</v>
      </c>
      <c r="RW64" s="56"/>
      <c r="RX64" s="242">
        <f>SUMPRODUCT(PRODUCE!$B77:$DY77,PRODUCE!$EB$57:$IY$57)</f>
        <v>0</v>
      </c>
      <c r="RY64" s="56"/>
      <c r="RZ64" s="242">
        <f t="shared" si="407"/>
        <v>0</v>
      </c>
      <c r="SA64" s="242">
        <f t="shared" si="408"/>
        <v>0</v>
      </c>
      <c r="SB64" s="56"/>
      <c r="SE64" s="55">
        <f t="shared" si="409"/>
        <v>46076</v>
      </c>
      <c r="SF64" s="56"/>
      <c r="SG64" s="242">
        <f>SUMPRODUCT(PRODUCE!$B77:$DY77,PRODUCE!$EB$57:$IY$57)</f>
        <v>0</v>
      </c>
      <c r="SH64" s="56"/>
      <c r="SI64" s="242">
        <f t="shared" si="410"/>
        <v>0</v>
      </c>
      <c r="SJ64" s="242">
        <f t="shared" si="411"/>
        <v>0</v>
      </c>
      <c r="SK64" s="56"/>
      <c r="SN64" s="55">
        <f t="shared" si="412"/>
        <v>46076</v>
      </c>
      <c r="SO64" s="56"/>
      <c r="SP64" s="242">
        <f>SUMPRODUCT(PRODUCE!$B77:$DY77,PRODUCE!$EB$57:$IY$57)</f>
        <v>0</v>
      </c>
      <c r="SQ64" s="56"/>
      <c r="SR64" s="242">
        <f t="shared" si="413"/>
        <v>0</v>
      </c>
      <c r="SS64" s="242">
        <f t="shared" si="414"/>
        <v>0</v>
      </c>
      <c r="ST64" s="56"/>
      <c r="SW64" s="55">
        <f t="shared" si="415"/>
        <v>46076</v>
      </c>
      <c r="SX64" s="56"/>
      <c r="SY64" s="242">
        <f>SUMPRODUCT(PRODUCE!$B77:$DY77,PRODUCE!$EB$57:$IY$57)</f>
        <v>0</v>
      </c>
      <c r="SZ64" s="56"/>
      <c r="TA64" s="242">
        <f t="shared" si="416"/>
        <v>0</v>
      </c>
      <c r="TB64" s="242">
        <f t="shared" si="417"/>
        <v>0</v>
      </c>
      <c r="TC64" s="56"/>
      <c r="TF64" s="55">
        <f t="shared" si="418"/>
        <v>46076</v>
      </c>
      <c r="TG64" s="56"/>
      <c r="TH64" s="242">
        <f>SUMPRODUCT(PRODUCE!$B77:$DY77,PRODUCE!$EB$57:$IY$57)</f>
        <v>0</v>
      </c>
      <c r="TI64" s="56"/>
      <c r="TJ64" s="242">
        <f t="shared" si="419"/>
        <v>0</v>
      </c>
      <c r="TK64" s="242">
        <f t="shared" si="420"/>
        <v>0</v>
      </c>
      <c r="TL64" s="56"/>
      <c r="TO64" s="55">
        <f t="shared" si="421"/>
        <v>46076</v>
      </c>
      <c r="TP64" s="56"/>
      <c r="TQ64" s="242">
        <f>SUMPRODUCT(PRODUCE!$B77:$DY77,PRODUCE!$EB$57:$IY$57)</f>
        <v>0</v>
      </c>
      <c r="TR64" s="56"/>
      <c r="TS64" s="242">
        <f t="shared" si="422"/>
        <v>0</v>
      </c>
      <c r="TT64" s="242">
        <f t="shared" si="423"/>
        <v>0</v>
      </c>
      <c r="TU64" s="56"/>
      <c r="TX64" s="55">
        <f t="shared" si="424"/>
        <v>46076</v>
      </c>
      <c r="TY64" s="56"/>
      <c r="TZ64" s="242">
        <f>SUMPRODUCT(PRODUCE!$B77:$DY77,PRODUCE!$EB$57:$IY$57)</f>
        <v>0</v>
      </c>
      <c r="UA64" s="56"/>
      <c r="UB64" s="242">
        <f t="shared" si="425"/>
        <v>0</v>
      </c>
      <c r="UC64" s="242">
        <f t="shared" si="426"/>
        <v>0</v>
      </c>
      <c r="UD64" s="56"/>
      <c r="UG64" s="55">
        <f t="shared" si="427"/>
        <v>46076</v>
      </c>
      <c r="UH64" s="56"/>
      <c r="UI64" s="242">
        <f>SUMPRODUCT(PRODUCE!$B77:$DY77,PRODUCE!$EB$57:$IY$57)</f>
        <v>0</v>
      </c>
      <c r="UJ64" s="56"/>
      <c r="UK64" s="242">
        <f t="shared" si="428"/>
        <v>0</v>
      </c>
      <c r="UL64" s="242">
        <f t="shared" si="429"/>
        <v>0</v>
      </c>
      <c r="UM64" s="56"/>
      <c r="UP64" s="55">
        <f t="shared" si="430"/>
        <v>46076</v>
      </c>
      <c r="UQ64" s="56"/>
      <c r="UR64" s="242">
        <f>SUMPRODUCT(PRODUCE!$B77:$DY77,PRODUCE!$EB$57:$IY$57)</f>
        <v>0</v>
      </c>
      <c r="US64" s="56"/>
      <c r="UT64" s="242">
        <f t="shared" si="431"/>
        <v>0</v>
      </c>
      <c r="UU64" s="242">
        <f t="shared" si="432"/>
        <v>0</v>
      </c>
      <c r="UV64" s="56"/>
      <c r="UY64" s="55">
        <f t="shared" si="433"/>
        <v>46076</v>
      </c>
      <c r="UZ64" s="56"/>
      <c r="VA64" s="242">
        <f>SUMPRODUCT(PRODUCE!$B77:$DY77,PRODUCE!$EB$57:$IY$57)</f>
        <v>0</v>
      </c>
      <c r="VB64" s="56"/>
      <c r="VC64" s="242">
        <f t="shared" si="434"/>
        <v>0</v>
      </c>
      <c r="VD64" s="242">
        <f t="shared" si="435"/>
        <v>41.600000000000023</v>
      </c>
      <c r="VE64" s="56"/>
      <c r="VH64" s="55">
        <f t="shared" si="436"/>
        <v>46076</v>
      </c>
      <c r="VI64" s="56"/>
      <c r="VJ64" s="242">
        <f>SUMPRODUCT(PRODUCE!$B77:$DY77,PRODUCE!$EB$57:$IY$57)</f>
        <v>0</v>
      </c>
      <c r="VK64" s="56"/>
      <c r="VL64" s="242">
        <f t="shared" si="437"/>
        <v>0</v>
      </c>
      <c r="VM64" s="242">
        <f t="shared" si="438"/>
        <v>0</v>
      </c>
      <c r="VN64" s="56"/>
      <c r="VQ64" s="55">
        <f t="shared" si="439"/>
        <v>46076</v>
      </c>
      <c r="VR64" s="56"/>
      <c r="VS64" s="242">
        <f>SUMPRODUCT(PRODUCE!$B77:$DY77,PRODUCE!$EB$57:$IY$57)</f>
        <v>0</v>
      </c>
      <c r="VT64" s="56"/>
      <c r="VU64" s="242">
        <f t="shared" si="440"/>
        <v>0</v>
      </c>
      <c r="VV64" s="242">
        <f t="shared" si="441"/>
        <v>0</v>
      </c>
      <c r="VW64" s="56"/>
      <c r="VZ64" s="55">
        <f t="shared" si="442"/>
        <v>46076</v>
      </c>
      <c r="WA64" s="56"/>
      <c r="WB64" s="242">
        <f>SUMPRODUCT(PRODUCE!$B77:$DY77,PRODUCE!$EB$57:$IY$57)</f>
        <v>0</v>
      </c>
      <c r="WC64" s="56"/>
      <c r="WD64" s="242">
        <f t="shared" si="443"/>
        <v>0</v>
      </c>
      <c r="WE64" s="242">
        <f t="shared" si="444"/>
        <v>0</v>
      </c>
      <c r="WF64" s="56"/>
      <c r="WI64" s="55">
        <f t="shared" si="445"/>
        <v>46076</v>
      </c>
      <c r="WJ64" s="56"/>
      <c r="WK64" s="242">
        <f>SUMPRODUCT(PRODUCE!$B77:$DY77,PRODUCE!$EB$57:$IY$57)</f>
        <v>0</v>
      </c>
      <c r="WL64" s="56"/>
      <c r="WM64" s="242">
        <f t="shared" si="446"/>
        <v>0</v>
      </c>
      <c r="WN64" s="242">
        <f t="shared" si="447"/>
        <v>7912</v>
      </c>
      <c r="WO64" s="56"/>
      <c r="WR64" s="55">
        <f t="shared" si="448"/>
        <v>46076</v>
      </c>
      <c r="WS64" s="56"/>
      <c r="WT64" s="242">
        <f>SUMPRODUCT(PRODUCE!$B77:$DY77,PRODUCE!$EB$57:$IY$57)</f>
        <v>0</v>
      </c>
      <c r="WU64" s="56"/>
      <c r="WV64" s="242">
        <f t="shared" si="449"/>
        <v>0</v>
      </c>
      <c r="WW64" s="242">
        <f t="shared" si="450"/>
        <v>6559</v>
      </c>
      <c r="WX64" s="56"/>
      <c r="XA64" s="55">
        <f t="shared" si="451"/>
        <v>46076</v>
      </c>
      <c r="XB64" s="56"/>
      <c r="XC64" s="242">
        <f>SUMPRODUCT(PRODUCE!$B77:$DY77,PRODUCE!$EB$57:$IY$57)</f>
        <v>0</v>
      </c>
      <c r="XD64" s="56"/>
      <c r="XE64" s="242">
        <f t="shared" si="452"/>
        <v>0</v>
      </c>
      <c r="XF64" s="242">
        <f t="shared" si="453"/>
        <v>590</v>
      </c>
      <c r="XG64" s="56"/>
      <c r="XJ64" s="55">
        <f t="shared" si="454"/>
        <v>46076</v>
      </c>
      <c r="XK64" s="56"/>
      <c r="XL64" s="242">
        <f>SUMPRODUCT(PRODUCE!$B77:$DY77,PRODUCE!$EB$57:$IY$57)</f>
        <v>0</v>
      </c>
      <c r="XM64" s="56">
        <v>522</v>
      </c>
      <c r="XN64" s="242">
        <f t="shared" si="455"/>
        <v>-522</v>
      </c>
      <c r="XO64" s="242">
        <f t="shared" si="456"/>
        <v>5287</v>
      </c>
      <c r="XP64" s="56"/>
      <c r="XS64" s="55">
        <f t="shared" si="457"/>
        <v>46076</v>
      </c>
      <c r="XT64" s="56"/>
      <c r="XU64" s="242">
        <f>SUMPRODUCT(PRODUCE!$B77:$DY77,PRODUCE!$EB$57:$IY$57)</f>
        <v>0</v>
      </c>
      <c r="XV64" s="56"/>
      <c r="XW64" s="242">
        <f t="shared" si="458"/>
        <v>0</v>
      </c>
      <c r="XX64" s="242">
        <f t="shared" si="459"/>
        <v>1901</v>
      </c>
      <c r="XY64" s="56"/>
      <c r="YB64" s="55">
        <f t="shared" si="460"/>
        <v>46076</v>
      </c>
      <c r="YC64" s="56"/>
      <c r="YD64" s="242">
        <f>SUMPRODUCT(PRODUCE!$B77:$DY77,PRODUCE!$EB$57:$IY$57)</f>
        <v>0</v>
      </c>
      <c r="YE64" s="56"/>
      <c r="YF64" s="242">
        <f t="shared" si="461"/>
        <v>0</v>
      </c>
      <c r="YG64" s="242">
        <f t="shared" si="462"/>
        <v>-707</v>
      </c>
      <c r="YH64" s="56"/>
      <c r="YK64" s="55">
        <f t="shared" si="463"/>
        <v>46076</v>
      </c>
      <c r="YL64" s="56"/>
      <c r="YM64" s="242">
        <f>SUMPRODUCT(PRODUCE!$B77:$DY77,PRODUCE!$EB$57:$IY$57)</f>
        <v>0</v>
      </c>
      <c r="YN64" s="56"/>
      <c r="YO64" s="242">
        <f t="shared" si="464"/>
        <v>0</v>
      </c>
      <c r="YP64" s="242">
        <f t="shared" si="465"/>
        <v>0</v>
      </c>
      <c r="YQ64" s="56"/>
      <c r="YT64" s="55">
        <f t="shared" si="466"/>
        <v>46076</v>
      </c>
      <c r="YU64" s="56"/>
      <c r="YV64" s="242">
        <f>SUMPRODUCT(PRODUCE!$B77:$DY77,PRODUCE!$EB$57:$IY$57)</f>
        <v>0</v>
      </c>
      <c r="YW64" s="56"/>
      <c r="YX64" s="242">
        <f t="shared" si="467"/>
        <v>0</v>
      </c>
      <c r="YY64" s="242">
        <f t="shared" si="468"/>
        <v>0</v>
      </c>
      <c r="YZ64" s="56"/>
      <c r="ZC64" s="55">
        <f t="shared" si="469"/>
        <v>46076</v>
      </c>
      <c r="ZD64" s="56"/>
      <c r="ZE64" s="242">
        <f>SUMPRODUCT(PRODUCE!$B77:$DY77,PRODUCE!$EB$57:$IY$57)</f>
        <v>0</v>
      </c>
      <c r="ZF64" s="56"/>
      <c r="ZG64" s="242">
        <f t="shared" si="470"/>
        <v>0</v>
      </c>
      <c r="ZH64" s="242">
        <f t="shared" si="471"/>
        <v>0</v>
      </c>
      <c r="ZI64" s="56"/>
      <c r="ZL64" s="55">
        <f t="shared" si="472"/>
        <v>46076</v>
      </c>
      <c r="ZM64" s="56"/>
      <c r="ZN64" s="242">
        <f>SUMPRODUCT(PRODUCE!$B77:$DY77,PRODUCE!$EB$57:$IY$57)</f>
        <v>0</v>
      </c>
      <c r="ZO64" s="56"/>
      <c r="ZP64" s="242">
        <f t="shared" si="473"/>
        <v>0</v>
      </c>
      <c r="ZQ64" s="242">
        <f t="shared" si="474"/>
        <v>0</v>
      </c>
      <c r="ZR64" s="56"/>
      <c r="ZU64" s="55">
        <f t="shared" si="475"/>
        <v>46076</v>
      </c>
      <c r="ZV64" s="56"/>
      <c r="ZW64" s="242">
        <f>SUMPRODUCT(PRODUCE!$B77:$DY77,PRODUCE!$EB$57:$IY$57)</f>
        <v>0</v>
      </c>
      <c r="ZX64" s="56"/>
      <c r="ZY64" s="242">
        <f t="shared" si="476"/>
        <v>0</v>
      </c>
      <c r="ZZ64" s="242">
        <f t="shared" si="477"/>
        <v>0</v>
      </c>
      <c r="AAA64" s="56"/>
      <c r="AAD64" s="55">
        <f t="shared" si="478"/>
        <v>46076</v>
      </c>
      <c r="AAE64" s="56"/>
      <c r="AAF64" s="242">
        <f>SUMPRODUCT(PRODUCE!$B77:$DY77,PRODUCE!$EB$57:$IY$57)</f>
        <v>0</v>
      </c>
      <c r="AAG64" s="56"/>
      <c r="AAH64" s="242">
        <f t="shared" si="479"/>
        <v>0</v>
      </c>
      <c r="AAI64" s="242">
        <f t="shared" si="480"/>
        <v>0</v>
      </c>
      <c r="AAJ64" s="56"/>
      <c r="AAM64" s="55">
        <f t="shared" si="481"/>
        <v>46076</v>
      </c>
      <c r="AAN64" s="56"/>
      <c r="AAO64" s="242">
        <f>SUMPRODUCT(PRODUCE!$B77:$DY77,PRODUCE!$EB$57:$IY$57)</f>
        <v>0</v>
      </c>
      <c r="AAP64" s="56"/>
      <c r="AAQ64" s="242">
        <f t="shared" si="482"/>
        <v>0</v>
      </c>
      <c r="AAR64" s="242">
        <f t="shared" si="483"/>
        <v>0</v>
      </c>
      <c r="AAS64" s="56"/>
      <c r="AAV64" s="55">
        <f t="shared" si="484"/>
        <v>46076</v>
      </c>
      <c r="AAW64" s="56"/>
      <c r="AAX64" s="242">
        <f>SUMPRODUCT(PRODUCE!$B77:$DY77,PRODUCE!$EB$57:$IY$57)</f>
        <v>0</v>
      </c>
      <c r="AAY64" s="56"/>
      <c r="AAZ64" s="242">
        <f t="shared" si="485"/>
        <v>0</v>
      </c>
      <c r="ABA64" s="242">
        <f t="shared" si="486"/>
        <v>0</v>
      </c>
      <c r="ABB64" s="56"/>
      <c r="ABE64" s="55">
        <f t="shared" si="487"/>
        <v>46076</v>
      </c>
      <c r="ABF64" s="56"/>
      <c r="ABG64" s="242">
        <f>SUMPRODUCT(PRODUCE!$B77:$DY77,PRODUCE!$EB$57:$IY$57)</f>
        <v>0</v>
      </c>
      <c r="ABH64" s="56"/>
      <c r="ABI64" s="242">
        <f t="shared" si="488"/>
        <v>0</v>
      </c>
      <c r="ABJ64" s="242">
        <f t="shared" si="489"/>
        <v>0</v>
      </c>
      <c r="ABK64" s="56"/>
    </row>
    <row r="65" spans="1:739" s="54" customFormat="1" ht="15" customHeight="1" outlineLevel="1">
      <c r="B65" s="478">
        <v>76</v>
      </c>
      <c r="C65" s="55">
        <v>46077</v>
      </c>
      <c r="D65" s="422"/>
      <c r="E65" s="424">
        <f>SUMPRODUCT(PRODUCE!$B78:$DY78,PRODUCE!$EB$7:$IY$7)</f>
        <v>40629.599999999991</v>
      </c>
      <c r="F65" s="422">
        <v>40628.199999999997</v>
      </c>
      <c r="G65" s="423">
        <f t="shared" si="247"/>
        <v>1.3999999999941792</v>
      </c>
      <c r="H65" s="423">
        <f t="shared" si="245"/>
        <v>69888.600000000006</v>
      </c>
      <c r="I65" s="324" t="s">
        <v>210</v>
      </c>
      <c r="L65" s="55">
        <f t="shared" si="246"/>
        <v>46077</v>
      </c>
      <c r="M65" s="422"/>
      <c r="N65" s="439">
        <f>SUMPRODUCT(PRODUCE!$B78:$DY78,PRODUCE!$EB$8:$IY$8)</f>
        <v>13034</v>
      </c>
      <c r="O65" s="422">
        <v>13031.6</v>
      </c>
      <c r="P65" s="438">
        <f t="shared" si="248"/>
        <v>2.3999999999996362</v>
      </c>
      <c r="Q65" s="438">
        <f t="shared" si="249"/>
        <v>31947.800000000032</v>
      </c>
      <c r="R65" s="56"/>
      <c r="U65" s="55">
        <f t="shared" si="250"/>
        <v>46077</v>
      </c>
      <c r="V65" s="422"/>
      <c r="W65" s="441">
        <f>SUMPRODUCT(PRODUCE!$B78:$DY78,PRODUCE!$EB$9:$IY$9)</f>
        <v>6460</v>
      </c>
      <c r="X65" s="422">
        <v>6459.9</v>
      </c>
      <c r="Y65" s="440">
        <f t="shared" si="251"/>
        <v>0.1000000000003638</v>
      </c>
      <c r="Z65" s="440">
        <f t="shared" si="252"/>
        <v>23588.299999999974</v>
      </c>
      <c r="AA65" s="56"/>
      <c r="AD65" s="55">
        <f t="shared" si="253"/>
        <v>46077</v>
      </c>
      <c r="AE65" s="422"/>
      <c r="AF65" s="443">
        <f>SUMPRODUCT(PRODUCE!$B78:$DY78,PRODUCE!$EB$10:$IY$10)</f>
        <v>912</v>
      </c>
      <c r="AG65" s="422">
        <v>913.8</v>
      </c>
      <c r="AH65" s="442">
        <f t="shared" si="254"/>
        <v>-1.7999999999999545</v>
      </c>
      <c r="AI65" s="442">
        <f t="shared" si="255"/>
        <v>37911.800000000017</v>
      </c>
      <c r="AJ65" s="56"/>
      <c r="AM65" s="55">
        <f t="shared" si="256"/>
        <v>46077</v>
      </c>
      <c r="AN65" s="422"/>
      <c r="AO65" s="445">
        <f>SUMPRODUCT(PRODUCE!$B78:$DY78,PRODUCE!$EB$11:$IY$11)</f>
        <v>0</v>
      </c>
      <c r="AP65" s="422"/>
      <c r="AQ65" s="444">
        <f t="shared" si="257"/>
        <v>0</v>
      </c>
      <c r="AR65" s="444">
        <f t="shared" si="258"/>
        <v>0</v>
      </c>
      <c r="AS65" s="56"/>
      <c r="AV65" s="55">
        <f t="shared" si="259"/>
        <v>46077</v>
      </c>
      <c r="AW65" s="422"/>
      <c r="AX65" s="447">
        <f>SUMPRODUCT(PRODUCE!$B78:$DY78,PRODUCE!$EB$12:$IY$12)</f>
        <v>0</v>
      </c>
      <c r="AY65" s="422"/>
      <c r="AZ65" s="446">
        <f t="shared" si="260"/>
        <v>0</v>
      </c>
      <c r="BA65" s="446">
        <f t="shared" si="261"/>
        <v>48802.599999999984</v>
      </c>
      <c r="BB65" s="56"/>
      <c r="BE65" s="55">
        <f t="shared" si="262"/>
        <v>46077</v>
      </c>
      <c r="BF65" s="422"/>
      <c r="BG65" s="449">
        <f>SUMPRODUCT(PRODUCE!$B78:$DY78,PRODUCE!$EB$13:$IY$13)</f>
        <v>3420</v>
      </c>
      <c r="BH65" s="422">
        <v>3423.9</v>
      </c>
      <c r="BI65" s="448">
        <f t="shared" si="263"/>
        <v>-3.9000000000000909</v>
      </c>
      <c r="BJ65" s="448">
        <f t="shared" si="264"/>
        <v>9347.4000000000051</v>
      </c>
      <c r="BK65" s="56"/>
      <c r="BN65" s="55">
        <f t="shared" si="265"/>
        <v>46077</v>
      </c>
      <c r="BO65" s="422">
        <v>1482</v>
      </c>
      <c r="BP65" s="451">
        <f>SUMPRODUCT(PRODUCE!$B78:$DY78,PRODUCE!$EB$14:$IY$14)</f>
        <v>1482</v>
      </c>
      <c r="BQ65" s="422">
        <v>1482</v>
      </c>
      <c r="BR65" s="450">
        <f t="shared" si="266"/>
        <v>0</v>
      </c>
      <c r="BS65" s="450">
        <f t="shared" si="267"/>
        <v>0</v>
      </c>
      <c r="BT65" s="56"/>
      <c r="BW65" s="55">
        <f t="shared" si="268"/>
        <v>46077</v>
      </c>
      <c r="BX65" s="56"/>
      <c r="BY65" s="81">
        <f>SUMPRODUCT(PRODUCE!$B78:$DY78,PRODUCE!$EB$15:$IY$15)</f>
        <v>418.00000000000006</v>
      </c>
      <c r="BZ65" s="56">
        <v>141.5</v>
      </c>
      <c r="CA65" s="65">
        <f t="shared" si="269"/>
        <v>276.50000000000006</v>
      </c>
      <c r="CB65" s="65">
        <f t="shared" si="270"/>
        <v>790.40000000000009</v>
      </c>
      <c r="CC65" s="56"/>
      <c r="CF65" s="55">
        <f t="shared" si="271"/>
        <v>46077</v>
      </c>
      <c r="CG65" s="56">
        <v>192.6</v>
      </c>
      <c r="CH65" s="82">
        <f>SUMPRODUCT(PRODUCE!$B78:$DY78,PRODUCE!$EB$16:$IY$16)</f>
        <v>684.00000000000011</v>
      </c>
      <c r="CI65" s="56">
        <v>192.6</v>
      </c>
      <c r="CJ65" s="66">
        <f t="shared" si="272"/>
        <v>491.40000000000009</v>
      </c>
      <c r="CK65" s="66">
        <f t="shared" si="273"/>
        <v>0</v>
      </c>
      <c r="CL65" s="56"/>
      <c r="CO65" s="55">
        <f t="shared" si="274"/>
        <v>46077</v>
      </c>
      <c r="CP65" s="422"/>
      <c r="CQ65" s="471">
        <f>SUMPRODUCT(PRODUCE!$B78:$DY78,PRODUCE!$EB$17:$IY$17)</f>
        <v>0</v>
      </c>
      <c r="CR65" s="422"/>
      <c r="CS65" s="470">
        <f t="shared" si="275"/>
        <v>0</v>
      </c>
      <c r="CT65" s="470">
        <f t="shared" si="276"/>
        <v>0</v>
      </c>
      <c r="CU65" s="56"/>
      <c r="CX65" s="55">
        <f t="shared" si="277"/>
        <v>46077</v>
      </c>
      <c r="CY65" s="56"/>
      <c r="CZ65" s="136">
        <f>SUMPRODUCT(PRODUCE!$B78:$DY78,PRODUCE!$EB$18:$IY$18)</f>
        <v>3800</v>
      </c>
      <c r="DA65" s="56">
        <v>3801.1</v>
      </c>
      <c r="DB65" s="133">
        <f t="shared" si="278"/>
        <v>-1.0999999999999091</v>
      </c>
      <c r="DC65" s="133">
        <f t="shared" si="279"/>
        <v>23143.600000000002</v>
      </c>
      <c r="DD65" s="56"/>
      <c r="DG65" s="55">
        <f t="shared" si="280"/>
        <v>46077</v>
      </c>
      <c r="DH65" s="56"/>
      <c r="DI65" s="150">
        <f>SUMPRODUCT(PRODUCE!$B78:$DY78,PRODUCE!$EB$19:$IY$19)</f>
        <v>3040</v>
      </c>
      <c r="DJ65" s="56">
        <v>3040</v>
      </c>
      <c r="DK65" s="147">
        <f t="shared" si="281"/>
        <v>0</v>
      </c>
      <c r="DL65" s="147">
        <f t="shared" si="282"/>
        <v>2072.1999999999971</v>
      </c>
      <c r="DM65" s="56"/>
      <c r="DP65" s="55">
        <f t="shared" si="283"/>
        <v>46077</v>
      </c>
      <c r="DQ65" s="56"/>
      <c r="DR65" s="58">
        <f>SUMPRODUCT(PRODUCE!$B78:$DY78,PRODUCE!$EB$20:$IY$20)</f>
        <v>0</v>
      </c>
      <c r="DS65" s="56"/>
      <c r="DT65" s="57">
        <f t="shared" si="284"/>
        <v>0</v>
      </c>
      <c r="DU65" s="57">
        <f t="shared" si="285"/>
        <v>2300</v>
      </c>
      <c r="DV65" s="56"/>
      <c r="DY65" s="55">
        <f t="shared" si="286"/>
        <v>46077</v>
      </c>
      <c r="DZ65" s="56"/>
      <c r="EA65" s="159">
        <f>SUMPRODUCT(PRODUCE!$B78:$DY78,PRODUCE!$EB$21:$IY$21)</f>
        <v>0</v>
      </c>
      <c r="EB65" s="56"/>
      <c r="EC65" s="157">
        <f t="shared" si="287"/>
        <v>0</v>
      </c>
      <c r="ED65" s="157">
        <f t="shared" si="288"/>
        <v>5696.8</v>
      </c>
      <c r="EE65" s="56"/>
      <c r="EH65" s="55">
        <f t="shared" si="289"/>
        <v>46077</v>
      </c>
      <c r="EI65" s="56"/>
      <c r="EJ65" s="164">
        <f>SUMPRODUCT(PRODUCE!$B78:$DY78,PRODUCE!$EB$22:$IY$22)</f>
        <v>0</v>
      </c>
      <c r="EK65" s="56"/>
      <c r="EL65" s="162">
        <f t="shared" si="290"/>
        <v>0</v>
      </c>
      <c r="EM65" s="162">
        <f t="shared" si="291"/>
        <v>0</v>
      </c>
      <c r="EN65" s="56"/>
      <c r="EQ65" s="55">
        <f t="shared" si="292"/>
        <v>46077</v>
      </c>
      <c r="ER65" s="56"/>
      <c r="ES65" s="171">
        <f>SUMPRODUCT(PRODUCE!$B78:$DY78,PRODUCE!$EB$23:$IY$23)</f>
        <v>0</v>
      </c>
      <c r="ET65" s="56"/>
      <c r="EU65" s="135">
        <f t="shared" si="293"/>
        <v>0</v>
      </c>
      <c r="EV65" s="135">
        <f t="shared" si="294"/>
        <v>0</v>
      </c>
      <c r="EW65" s="56"/>
      <c r="EZ65" s="55">
        <f t="shared" si="295"/>
        <v>46077</v>
      </c>
      <c r="FA65" s="56"/>
      <c r="FB65" s="178">
        <f>SUMPRODUCT(PRODUCE!$B78:$DY78,PRODUCE!$EB$24:$IY$24)</f>
        <v>0</v>
      </c>
      <c r="FC65" s="56"/>
      <c r="FD65" s="175">
        <f t="shared" si="296"/>
        <v>0</v>
      </c>
      <c r="FE65" s="175">
        <f t="shared" si="297"/>
        <v>0</v>
      </c>
      <c r="FF65" s="56"/>
      <c r="FI65" s="55">
        <f t="shared" si="298"/>
        <v>46077</v>
      </c>
      <c r="FJ65" s="56"/>
      <c r="FK65" s="184">
        <f>SUMPRODUCT(PRODUCE!$B78:$DY78,PRODUCE!$EB$25:$IY$25)</f>
        <v>0</v>
      </c>
      <c r="FL65" s="56"/>
      <c r="FM65" s="183">
        <f t="shared" si="299"/>
        <v>0</v>
      </c>
      <c r="FN65" s="183">
        <f t="shared" si="300"/>
        <v>0</v>
      </c>
      <c r="FO65" s="56"/>
      <c r="FR65" s="55">
        <f t="shared" si="301"/>
        <v>46077</v>
      </c>
      <c r="FS65" s="422"/>
      <c r="FT65" s="453">
        <f>SUMPRODUCT(PRODUCE!$B78:$DY78,PRODUCE!$EB$26:$IY$26)</f>
        <v>0</v>
      </c>
      <c r="FU65" s="422">
        <f>14*20</f>
        <v>280</v>
      </c>
      <c r="FV65" s="452">
        <f t="shared" si="302"/>
        <v>-280</v>
      </c>
      <c r="FW65" s="452">
        <f t="shared" si="303"/>
        <v>1620</v>
      </c>
      <c r="FX65" s="56">
        <f>FU65/20</f>
        <v>14</v>
      </c>
      <c r="GA65" s="55">
        <f t="shared" si="304"/>
        <v>46077</v>
      </c>
      <c r="GB65" s="422"/>
      <c r="GC65" s="455">
        <f>SUMPRODUCT(PRODUCE!$B78:$DY78,PRODUCE!$EB$27:$IY$27)</f>
        <v>0</v>
      </c>
      <c r="GD65" s="422"/>
      <c r="GE65" s="454">
        <f t="shared" si="305"/>
        <v>0</v>
      </c>
      <c r="GF65" s="454">
        <f t="shared" si="306"/>
        <v>5960</v>
      </c>
      <c r="GG65" s="56"/>
      <c r="GI65" s="23"/>
      <c r="GJ65" s="55">
        <f t="shared" si="307"/>
        <v>46077</v>
      </c>
      <c r="GK65" s="422"/>
      <c r="GL65" s="457">
        <f>SUMPRODUCT(PRODUCE!$B78:$DY78,PRODUCE!$EB$28:$IY$28)</f>
        <v>0</v>
      </c>
      <c r="GM65" s="422"/>
      <c r="GN65" s="456">
        <f t="shared" si="308"/>
        <v>0</v>
      </c>
      <c r="GO65" s="456">
        <f t="shared" si="309"/>
        <v>5240</v>
      </c>
      <c r="GP65" s="56"/>
      <c r="GS65" s="55">
        <f t="shared" si="310"/>
        <v>46077</v>
      </c>
      <c r="GT65" s="56"/>
      <c r="GU65" s="196">
        <f>SUMPRODUCT(PRODUCE!$B78:$DY78,PRODUCE!$EB$29:$IY$29)</f>
        <v>0</v>
      </c>
      <c r="GV65" s="56"/>
      <c r="GW65" s="195">
        <f t="shared" si="311"/>
        <v>0</v>
      </c>
      <c r="GX65" s="195">
        <f t="shared" si="312"/>
        <v>0</v>
      </c>
      <c r="GY65" s="56"/>
      <c r="HB65" s="55">
        <f t="shared" si="313"/>
        <v>46077</v>
      </c>
      <c r="HC65" s="56"/>
      <c r="HD65" s="192">
        <f>SUMPRODUCT(PRODUCE!$B78:$DY78,PRODUCE!$EB$30:$IY$30)</f>
        <v>0</v>
      </c>
      <c r="HE65" s="56"/>
      <c r="HF65" s="191">
        <f t="shared" si="314"/>
        <v>0</v>
      </c>
      <c r="HG65" s="191">
        <f t="shared" si="315"/>
        <v>0</v>
      </c>
      <c r="HH65" s="56"/>
      <c r="HK65" s="55">
        <f t="shared" si="316"/>
        <v>46077</v>
      </c>
      <c r="HL65" s="56"/>
      <c r="HM65" s="80">
        <f>SUMPRODUCT(PRODUCE!$B78:$DY78,PRODUCE!$EB$31:$IY$31)</f>
        <v>0</v>
      </c>
      <c r="HN65" s="56"/>
      <c r="HO65" s="63">
        <f t="shared" si="317"/>
        <v>0</v>
      </c>
      <c r="HP65" s="63">
        <f t="shared" si="318"/>
        <v>0</v>
      </c>
      <c r="HQ65" s="56"/>
      <c r="HU65" s="55">
        <f t="shared" si="319"/>
        <v>46077</v>
      </c>
      <c r="HV65" s="56"/>
      <c r="HW65" s="242">
        <f>SUMPRODUCT(PRODUCE!$B78:$DY78,PRODUCE!$EB$32:$IY$32)</f>
        <v>0</v>
      </c>
      <c r="HX65" s="56"/>
      <c r="HY65" s="242">
        <f t="shared" si="320"/>
        <v>0</v>
      </c>
      <c r="HZ65" s="242">
        <f t="shared" si="321"/>
        <v>5120</v>
      </c>
      <c r="IA65" s="56"/>
      <c r="ID65" s="55">
        <f t="shared" si="322"/>
        <v>46077</v>
      </c>
      <c r="IE65" s="56"/>
      <c r="IF65" s="242">
        <f>SUMPRODUCT(PRODUCE!$B78:$DY78,PRODUCE!$EB$33:$IY$33)</f>
        <v>0</v>
      </c>
      <c r="IG65" s="56"/>
      <c r="IH65" s="242">
        <f t="shared" si="323"/>
        <v>0</v>
      </c>
      <c r="II65" s="242">
        <f t="shared" si="324"/>
        <v>5100</v>
      </c>
      <c r="IJ65" s="56"/>
      <c r="IM65" s="55">
        <f t="shared" si="325"/>
        <v>46077</v>
      </c>
      <c r="IN65" s="56"/>
      <c r="IO65" s="242">
        <f>SUMPRODUCT(PRODUCE!$B78:$DY78,PRODUCE!$EB$34:$IY$34)</f>
        <v>0</v>
      </c>
      <c r="IP65" s="56"/>
      <c r="IQ65" s="242">
        <f t="shared" si="326"/>
        <v>0</v>
      </c>
      <c r="IR65" s="242">
        <f t="shared" si="327"/>
        <v>10240</v>
      </c>
      <c r="IS65" s="56"/>
      <c r="IV65" s="55">
        <f t="shared" si="328"/>
        <v>46077</v>
      </c>
      <c r="IW65" s="56"/>
      <c r="IX65" s="242">
        <f>SUMPRODUCT(PRODUCE!$B78:$DY78,PRODUCE!$EB$35:$IY$35)</f>
        <v>0</v>
      </c>
      <c r="IY65" s="56"/>
      <c r="IZ65" s="242">
        <f t="shared" si="329"/>
        <v>0</v>
      </c>
      <c r="JA65" s="242">
        <f t="shared" si="330"/>
        <v>15120</v>
      </c>
      <c r="JB65" s="56"/>
      <c r="JE65" s="55">
        <f t="shared" si="331"/>
        <v>46077</v>
      </c>
      <c r="JF65" s="56"/>
      <c r="JG65" s="242">
        <f>SUMPRODUCT(PRODUCE!$B78:$DY78,PRODUCE!$EB$36:$IY$36)</f>
        <v>0</v>
      </c>
      <c r="JH65" s="56"/>
      <c r="JI65" s="242">
        <f t="shared" si="332"/>
        <v>0</v>
      </c>
      <c r="JJ65" s="242">
        <f t="shared" si="333"/>
        <v>3600</v>
      </c>
      <c r="JK65" s="56"/>
      <c r="JN65" s="55">
        <f t="shared" si="334"/>
        <v>46077</v>
      </c>
      <c r="JO65" s="56"/>
      <c r="JP65" s="242">
        <f>SUMPRODUCT(PRODUCE!$B78:$DY78,PRODUCE!$EB$37:$IY$37)</f>
        <v>0</v>
      </c>
      <c r="JQ65" s="56"/>
      <c r="JR65" s="242">
        <f t="shared" si="335"/>
        <v>0</v>
      </c>
      <c r="JS65" s="242">
        <f t="shared" si="336"/>
        <v>5400</v>
      </c>
      <c r="JT65" s="56"/>
      <c r="JW65" s="55">
        <f t="shared" si="337"/>
        <v>46077</v>
      </c>
      <c r="JX65" s="56"/>
      <c r="JY65" s="242">
        <f>SUMPRODUCT(PRODUCE!$B78:$DY78,PRODUCE!$EB$38:$IY$38)</f>
        <v>0</v>
      </c>
      <c r="JZ65" s="56"/>
      <c r="KA65" s="242">
        <f t="shared" si="338"/>
        <v>0</v>
      </c>
      <c r="KB65" s="242">
        <f t="shared" si="339"/>
        <v>4000</v>
      </c>
      <c r="KC65" s="56"/>
      <c r="KF65" s="55">
        <f t="shared" si="340"/>
        <v>46077</v>
      </c>
      <c r="KG65" s="56"/>
      <c r="KH65" s="242">
        <f>SUMPRODUCT(PRODUCE!$B78:$DY78,PRODUCE!$EB$39:$IY$39)</f>
        <v>0</v>
      </c>
      <c r="KI65" s="56"/>
      <c r="KJ65" s="242">
        <f t="shared" si="341"/>
        <v>0</v>
      </c>
      <c r="KK65" s="242">
        <f t="shared" si="342"/>
        <v>1287</v>
      </c>
      <c r="KL65" s="56"/>
      <c r="KO65" s="55">
        <f t="shared" si="343"/>
        <v>46077</v>
      </c>
      <c r="KP65" s="56"/>
      <c r="KQ65" s="242">
        <f>SUMPRODUCT(PRODUCE!$B78:$DY78,PRODUCE!$EB$40:$IY$40)</f>
        <v>1436.3999999999999</v>
      </c>
      <c r="KR65" s="56">
        <f>20*18.9</f>
        <v>378</v>
      </c>
      <c r="KS65" s="242">
        <f t="shared" si="344"/>
        <v>1058.3999999999999</v>
      </c>
      <c r="KT65" s="242">
        <f t="shared" si="345"/>
        <v>10281.6</v>
      </c>
      <c r="KU65" s="56"/>
      <c r="KW65" s="23"/>
      <c r="KX65" s="55">
        <f t="shared" si="346"/>
        <v>46077</v>
      </c>
      <c r="KY65" s="56"/>
      <c r="KZ65" s="242">
        <f>SUMPRODUCT(PRODUCE!$B78:$DY78,PRODUCE!$EB$41:$IY$41)</f>
        <v>0</v>
      </c>
      <c r="LA65" s="56"/>
      <c r="LB65" s="242">
        <f t="shared" si="347"/>
        <v>0</v>
      </c>
      <c r="LC65" s="242">
        <f t="shared" si="348"/>
        <v>0</v>
      </c>
      <c r="LD65" s="56"/>
      <c r="LG65" s="55">
        <f t="shared" si="349"/>
        <v>46077</v>
      </c>
      <c r="LH65" s="56"/>
      <c r="LI65" s="242">
        <f>SUMPRODUCT(PRODUCE!$B78:$DY78,PRODUCE!$EB$42:$IY$42)</f>
        <v>0</v>
      </c>
      <c r="LJ65" s="56"/>
      <c r="LK65" s="242">
        <f t="shared" si="350"/>
        <v>0</v>
      </c>
      <c r="LL65" s="242">
        <f t="shared" si="351"/>
        <v>0</v>
      </c>
      <c r="LM65" s="56"/>
      <c r="LP65" s="55">
        <f t="shared" si="352"/>
        <v>46077</v>
      </c>
      <c r="LQ65" s="56"/>
      <c r="LR65" s="242">
        <f>SUMPRODUCT(PRODUCE!$B80:$DY80,PRODUCE!$EB$43:$IY$43)</f>
        <v>0</v>
      </c>
      <c r="LS65" s="56"/>
      <c r="LT65" s="242">
        <f t="shared" si="353"/>
        <v>0</v>
      </c>
      <c r="LU65" s="242">
        <f t="shared" si="354"/>
        <v>0</v>
      </c>
      <c r="LV65" s="56"/>
      <c r="LY65" s="55">
        <f t="shared" si="355"/>
        <v>46077</v>
      </c>
      <c r="LZ65" s="56"/>
      <c r="MA65" s="242">
        <f>SUMPRODUCT(PRODUCE!$B80:$DY80,PRODUCE!$EB$44:$IY$44)</f>
        <v>0</v>
      </c>
      <c r="MB65" s="56"/>
      <c r="MC65" s="242">
        <f t="shared" si="356"/>
        <v>0</v>
      </c>
      <c r="MD65" s="242">
        <f t="shared" si="357"/>
        <v>0</v>
      </c>
      <c r="ME65" s="56"/>
      <c r="MH65" s="55">
        <f t="shared" si="358"/>
        <v>46077</v>
      </c>
      <c r="MI65" s="56"/>
      <c r="MJ65" s="242">
        <f>SUMPRODUCT(PRODUCE!$B78:$DY78,PRODUCE!$EB$45:$IY$45)</f>
        <v>0</v>
      </c>
      <c r="MK65" s="56"/>
      <c r="ML65" s="242">
        <f t="shared" si="359"/>
        <v>0</v>
      </c>
      <c r="MM65" s="242">
        <f t="shared" si="360"/>
        <v>0</v>
      </c>
      <c r="MN65" s="56"/>
      <c r="MQ65" s="55">
        <f t="shared" si="361"/>
        <v>46077</v>
      </c>
      <c r="MR65" s="56"/>
      <c r="MS65" s="242">
        <f>SUMPRODUCT(PRODUCE!$B78:$DY78,PRODUCE!$EB$46:$IY$46)</f>
        <v>152</v>
      </c>
      <c r="MT65" s="56">
        <v>47</v>
      </c>
      <c r="MU65" s="242">
        <f t="shared" si="362"/>
        <v>105</v>
      </c>
      <c r="MV65" s="242">
        <f t="shared" si="363"/>
        <v>4323</v>
      </c>
      <c r="MW65" s="56"/>
      <c r="MZ65" s="55">
        <f t="shared" si="364"/>
        <v>46077</v>
      </c>
      <c r="NA65" s="56">
        <v>60</v>
      </c>
      <c r="NB65" s="242">
        <f>SUMPRODUCT(PRODUCE!$B78:$DY78,PRODUCE!$EB$47:$IY$47)</f>
        <v>228</v>
      </c>
      <c r="NC65" s="56">
        <v>60</v>
      </c>
      <c r="ND65" s="242">
        <f t="shared" si="365"/>
        <v>168</v>
      </c>
      <c r="NE65" s="242">
        <f t="shared" si="366"/>
        <v>0</v>
      </c>
      <c r="NF65" s="56"/>
      <c r="NI65" s="55">
        <f t="shared" si="367"/>
        <v>46077</v>
      </c>
      <c r="NJ65" s="56"/>
      <c r="NK65" s="242">
        <f>SUMPRODUCT(PRODUCE!$B78:$DY78,PRODUCE!$EB$48:$IY$48)</f>
        <v>0</v>
      </c>
      <c r="NL65" s="56"/>
      <c r="NM65" s="242">
        <f t="shared" si="368"/>
        <v>0</v>
      </c>
      <c r="NN65" s="242">
        <f t="shared" si="369"/>
        <v>0</v>
      </c>
      <c r="NO65" s="56"/>
      <c r="NR65" s="55">
        <f t="shared" si="370"/>
        <v>46077</v>
      </c>
      <c r="NS65" s="56"/>
      <c r="NT65" s="242">
        <f>SUMPRODUCT(PRODUCE!$B78:$DY78,PRODUCE!$EB$49:$IY$49)</f>
        <v>91.2</v>
      </c>
      <c r="NU65" s="56">
        <v>24</v>
      </c>
      <c r="NV65" s="242">
        <f t="shared" si="371"/>
        <v>67.2</v>
      </c>
      <c r="NW65" s="242">
        <f t="shared" si="372"/>
        <v>2286</v>
      </c>
      <c r="NX65" s="56"/>
      <c r="OA65" s="55">
        <f t="shared" si="373"/>
        <v>46077</v>
      </c>
      <c r="OB65" s="56"/>
      <c r="OC65" s="242">
        <f>SUMPRODUCT(PRODUCE!$B78:$DY78,PRODUCE!$EB$50:$IY$50)</f>
        <v>0</v>
      </c>
      <c r="OD65" s="56"/>
      <c r="OE65" s="242">
        <f t="shared" si="374"/>
        <v>0</v>
      </c>
      <c r="OF65" s="242">
        <f t="shared" si="375"/>
        <v>1680.5</v>
      </c>
      <c r="OG65" s="56"/>
      <c r="OJ65" s="55">
        <f t="shared" si="376"/>
        <v>46077</v>
      </c>
      <c r="OK65" s="56">
        <v>56</v>
      </c>
      <c r="OL65" s="242">
        <f>SUMPRODUCT(PRODUCE!$B78:$DY78,PRODUCE!$EB$51:$IY$51)</f>
        <v>212.79999999999995</v>
      </c>
      <c r="OM65" s="56">
        <v>56</v>
      </c>
      <c r="ON65" s="242">
        <f t="shared" si="377"/>
        <v>156.79999999999995</v>
      </c>
      <c r="OO65" s="242">
        <f t="shared" si="378"/>
        <v>0</v>
      </c>
      <c r="OP65" s="56"/>
      <c r="OS65" s="55">
        <f t="shared" si="379"/>
        <v>46077</v>
      </c>
      <c r="OT65" s="56"/>
      <c r="OU65" s="242">
        <f>SUMPRODUCT(PRODUCE!$B78:$DY78,PRODUCE!$EB$52:$IY$52)</f>
        <v>0</v>
      </c>
      <c r="OV65" s="56"/>
      <c r="OW65" s="242">
        <f t="shared" si="380"/>
        <v>0</v>
      </c>
      <c r="OX65" s="242">
        <f t="shared" si="381"/>
        <v>0</v>
      </c>
      <c r="OY65" s="56"/>
      <c r="PB65" s="55">
        <f t="shared" si="382"/>
        <v>46077</v>
      </c>
      <c r="PC65" s="56"/>
      <c r="PD65" s="242">
        <f>SUMPRODUCT(PRODUCE!$B78:$DY78,PRODUCE!$EB$53:$IY$53)</f>
        <v>0</v>
      </c>
      <c r="PE65" s="56"/>
      <c r="PF65" s="242">
        <f t="shared" si="383"/>
        <v>0</v>
      </c>
      <c r="PG65" s="242">
        <f t="shared" si="384"/>
        <v>0</v>
      </c>
      <c r="PH65" s="56"/>
      <c r="PK65" s="55">
        <f t="shared" si="385"/>
        <v>46077</v>
      </c>
      <c r="PL65" s="56"/>
      <c r="PM65" s="242">
        <f>SUMPRODUCT(PRODUCE!$B78:$DY78,PRODUCE!$EB$54:$IY$54)</f>
        <v>0</v>
      </c>
      <c r="PN65" s="56"/>
      <c r="PO65" s="242">
        <f t="shared" si="386"/>
        <v>0</v>
      </c>
      <c r="PP65" s="242">
        <f t="shared" si="387"/>
        <v>160</v>
      </c>
      <c r="PQ65" s="56"/>
      <c r="PT65" s="55">
        <f t="shared" si="388"/>
        <v>46077</v>
      </c>
      <c r="PU65" s="56"/>
      <c r="PV65" s="242">
        <f>SUMPRODUCT(PRODUCE!$B78:$DY78,PRODUCE!$EB$55:$IY$55)</f>
        <v>0</v>
      </c>
      <c r="PW65" s="56"/>
      <c r="PX65" s="242">
        <f t="shared" si="389"/>
        <v>0</v>
      </c>
      <c r="PY65" s="242">
        <f t="shared" si="390"/>
        <v>13.960000000000036</v>
      </c>
      <c r="PZ65" s="56"/>
      <c r="QC65" s="55">
        <f t="shared" si="391"/>
        <v>46077</v>
      </c>
      <c r="QD65" s="56"/>
      <c r="QE65" s="242">
        <f>SUMPRODUCT(PRODUCE!$B78:$DY78,PRODUCE!$EB$56:$IY$56)</f>
        <v>0</v>
      </c>
      <c r="QF65" s="56"/>
      <c r="QG65" s="242">
        <f t="shared" si="392"/>
        <v>0</v>
      </c>
      <c r="QH65" s="242">
        <f t="shared" si="393"/>
        <v>0</v>
      </c>
      <c r="QI65" s="56"/>
      <c r="QL65" s="55">
        <f t="shared" si="394"/>
        <v>46077</v>
      </c>
      <c r="QM65" s="56"/>
      <c r="QN65" s="242">
        <f>SUMPRODUCT(PRODUCE!$B78:$DY78,PRODUCE!$EB$57:$IY$57)</f>
        <v>0</v>
      </c>
      <c r="QO65" s="56"/>
      <c r="QP65" s="242">
        <f t="shared" si="395"/>
        <v>0</v>
      </c>
      <c r="QQ65" s="242">
        <f t="shared" si="396"/>
        <v>0</v>
      </c>
      <c r="QR65" s="56"/>
      <c r="QU65" s="55">
        <f t="shared" si="397"/>
        <v>46077</v>
      </c>
      <c r="QV65" s="56"/>
      <c r="QW65" s="242">
        <f>SUMPRODUCT(PRODUCE!$B78:$DY78,PRODUCE!$EB$57:$IY$57)</f>
        <v>0</v>
      </c>
      <c r="QX65" s="56"/>
      <c r="QY65" s="242">
        <f t="shared" si="398"/>
        <v>0</v>
      </c>
      <c r="QZ65" s="242">
        <f t="shared" si="399"/>
        <v>207.6</v>
      </c>
      <c r="RA65" s="56"/>
      <c r="RD65" s="55">
        <f t="shared" si="400"/>
        <v>46077</v>
      </c>
      <c r="RE65" s="56"/>
      <c r="RF65" s="242">
        <f>SUMPRODUCT(PRODUCE!$B78:$DY78,PRODUCE!$EB$58:$IY$58)</f>
        <v>0</v>
      </c>
      <c r="RG65" s="56"/>
      <c r="RH65" s="242">
        <f t="shared" si="401"/>
        <v>0</v>
      </c>
      <c r="RI65" s="242">
        <f t="shared" si="402"/>
        <v>197.04000000000002</v>
      </c>
      <c r="RJ65" s="56"/>
      <c r="RM65" s="55">
        <f t="shared" si="403"/>
        <v>46077</v>
      </c>
      <c r="RN65" s="56"/>
      <c r="RO65" s="242">
        <f>SUMPRODUCT(PRODUCE!$B78:$DY78,PRODUCE!$EB$57:$IY$57)</f>
        <v>0</v>
      </c>
      <c r="RP65" s="56"/>
      <c r="RQ65" s="242">
        <f t="shared" si="404"/>
        <v>0</v>
      </c>
      <c r="RR65" s="242">
        <f t="shared" si="405"/>
        <v>46.8</v>
      </c>
      <c r="RS65" s="56"/>
      <c r="RV65" s="55">
        <f t="shared" si="406"/>
        <v>46077</v>
      </c>
      <c r="RW65" s="56"/>
      <c r="RX65" s="242">
        <f>SUMPRODUCT(PRODUCE!$B78:$DY78,PRODUCE!$EB$57:$IY$57)</f>
        <v>0</v>
      </c>
      <c r="RY65" s="56"/>
      <c r="RZ65" s="242">
        <f t="shared" si="407"/>
        <v>0</v>
      </c>
      <c r="SA65" s="242">
        <f t="shared" si="408"/>
        <v>0</v>
      </c>
      <c r="SB65" s="56"/>
      <c r="SE65" s="55">
        <f t="shared" si="409"/>
        <v>46077</v>
      </c>
      <c r="SF65" s="56"/>
      <c r="SG65" s="242">
        <f>SUMPRODUCT(PRODUCE!$B78:$DY78,PRODUCE!$EB$57:$IY$57)</f>
        <v>0</v>
      </c>
      <c r="SH65" s="56"/>
      <c r="SI65" s="242">
        <f t="shared" si="410"/>
        <v>0</v>
      </c>
      <c r="SJ65" s="242">
        <f t="shared" si="411"/>
        <v>0</v>
      </c>
      <c r="SK65" s="56"/>
      <c r="SN65" s="55">
        <f t="shared" si="412"/>
        <v>46077</v>
      </c>
      <c r="SO65" s="56"/>
      <c r="SP65" s="242">
        <f>SUMPRODUCT(PRODUCE!$B78:$DY78,PRODUCE!$EB$57:$IY$57)</f>
        <v>0</v>
      </c>
      <c r="SQ65" s="56"/>
      <c r="SR65" s="242">
        <f t="shared" si="413"/>
        <v>0</v>
      </c>
      <c r="SS65" s="242">
        <f t="shared" si="414"/>
        <v>0</v>
      </c>
      <c r="ST65" s="56"/>
      <c r="SW65" s="55">
        <f t="shared" si="415"/>
        <v>46077</v>
      </c>
      <c r="SX65" s="56"/>
      <c r="SY65" s="242">
        <f>SUMPRODUCT(PRODUCE!$B78:$DY78,PRODUCE!$EB$57:$IY$57)</f>
        <v>0</v>
      </c>
      <c r="SZ65" s="56"/>
      <c r="TA65" s="242">
        <f t="shared" si="416"/>
        <v>0</v>
      </c>
      <c r="TB65" s="242">
        <f t="shared" si="417"/>
        <v>0</v>
      </c>
      <c r="TC65" s="56"/>
      <c r="TF65" s="55">
        <f t="shared" si="418"/>
        <v>46077</v>
      </c>
      <c r="TG65" s="56"/>
      <c r="TH65" s="242">
        <f>SUMPRODUCT(PRODUCE!$B78:$DY78,PRODUCE!$EB$57:$IY$57)</f>
        <v>0</v>
      </c>
      <c r="TI65" s="56"/>
      <c r="TJ65" s="242">
        <f t="shared" si="419"/>
        <v>0</v>
      </c>
      <c r="TK65" s="242">
        <f t="shared" si="420"/>
        <v>0</v>
      </c>
      <c r="TL65" s="56"/>
      <c r="TO65" s="55">
        <f t="shared" si="421"/>
        <v>46077</v>
      </c>
      <c r="TP65" s="56"/>
      <c r="TQ65" s="242">
        <f>SUMPRODUCT(PRODUCE!$B78:$DY78,PRODUCE!$EB$57:$IY$57)</f>
        <v>0</v>
      </c>
      <c r="TR65" s="56"/>
      <c r="TS65" s="242">
        <f t="shared" si="422"/>
        <v>0</v>
      </c>
      <c r="TT65" s="242">
        <f t="shared" si="423"/>
        <v>0</v>
      </c>
      <c r="TU65" s="56"/>
      <c r="TX65" s="55">
        <f t="shared" si="424"/>
        <v>46077</v>
      </c>
      <c r="TY65" s="56"/>
      <c r="TZ65" s="242">
        <f>SUMPRODUCT(PRODUCE!$B78:$DY78,PRODUCE!$EB$57:$IY$57)</f>
        <v>0</v>
      </c>
      <c r="UA65" s="56"/>
      <c r="UB65" s="242">
        <f t="shared" si="425"/>
        <v>0</v>
      </c>
      <c r="UC65" s="242">
        <f t="shared" si="426"/>
        <v>0</v>
      </c>
      <c r="UD65" s="56"/>
      <c r="UG65" s="55">
        <f t="shared" si="427"/>
        <v>46077</v>
      </c>
      <c r="UH65" s="56"/>
      <c r="UI65" s="242">
        <f>SUMPRODUCT(PRODUCE!$B78:$DY78,PRODUCE!$EB$57:$IY$57)</f>
        <v>0</v>
      </c>
      <c r="UJ65" s="56"/>
      <c r="UK65" s="242">
        <f t="shared" si="428"/>
        <v>0</v>
      </c>
      <c r="UL65" s="242">
        <f t="shared" si="429"/>
        <v>0</v>
      </c>
      <c r="UM65" s="56"/>
      <c r="UP65" s="55">
        <f t="shared" si="430"/>
        <v>46077</v>
      </c>
      <c r="UQ65" s="56"/>
      <c r="UR65" s="242">
        <f>SUMPRODUCT(PRODUCE!$B78:$DY78,PRODUCE!$EB$57:$IY$57)</f>
        <v>0</v>
      </c>
      <c r="US65" s="56"/>
      <c r="UT65" s="242">
        <f t="shared" si="431"/>
        <v>0</v>
      </c>
      <c r="UU65" s="242">
        <f t="shared" si="432"/>
        <v>0</v>
      </c>
      <c r="UV65" s="56"/>
      <c r="UY65" s="55">
        <f t="shared" si="433"/>
        <v>46077</v>
      </c>
      <c r="UZ65" s="56"/>
      <c r="VA65" s="242">
        <f>SUMPRODUCT(PRODUCE!$B78:$DY78,PRODUCE!$EB$57:$IY$57)</f>
        <v>0</v>
      </c>
      <c r="VB65" s="56"/>
      <c r="VC65" s="242">
        <f t="shared" si="434"/>
        <v>0</v>
      </c>
      <c r="VD65" s="242">
        <f t="shared" si="435"/>
        <v>41.600000000000023</v>
      </c>
      <c r="VE65" s="56"/>
      <c r="VH65" s="55">
        <f t="shared" si="436"/>
        <v>46077</v>
      </c>
      <c r="VI65" s="56"/>
      <c r="VJ65" s="242">
        <f>SUMPRODUCT(PRODUCE!$B78:$DY78,PRODUCE!$EB$57:$IY$57)</f>
        <v>0</v>
      </c>
      <c r="VK65" s="56"/>
      <c r="VL65" s="242">
        <f t="shared" si="437"/>
        <v>0</v>
      </c>
      <c r="VM65" s="242">
        <f t="shared" si="438"/>
        <v>0</v>
      </c>
      <c r="VN65" s="56"/>
      <c r="VQ65" s="55">
        <f t="shared" si="439"/>
        <v>46077</v>
      </c>
      <c r="VR65" s="56"/>
      <c r="VS65" s="242">
        <f>SUMPRODUCT(PRODUCE!$B78:$DY78,PRODUCE!$EB$57:$IY$57)</f>
        <v>0</v>
      </c>
      <c r="VT65" s="56"/>
      <c r="VU65" s="242">
        <f t="shared" si="440"/>
        <v>0</v>
      </c>
      <c r="VV65" s="242">
        <f t="shared" si="441"/>
        <v>0</v>
      </c>
      <c r="VW65" s="56"/>
      <c r="VZ65" s="55">
        <f t="shared" si="442"/>
        <v>46077</v>
      </c>
      <c r="WA65" s="56"/>
      <c r="WB65" s="242">
        <f>SUMPRODUCT(PRODUCE!$B78:$DY78,PRODUCE!$EB$57:$IY$57)</f>
        <v>0</v>
      </c>
      <c r="WC65" s="56"/>
      <c r="WD65" s="242">
        <f t="shared" si="443"/>
        <v>0</v>
      </c>
      <c r="WE65" s="242">
        <f t="shared" si="444"/>
        <v>0</v>
      </c>
      <c r="WF65" s="56"/>
      <c r="WI65" s="55">
        <f t="shared" si="445"/>
        <v>46077</v>
      </c>
      <c r="WJ65" s="56"/>
      <c r="WK65" s="242">
        <f>SUMPRODUCT(PRODUCE!$B78:$DY78,PRODUCE!$EB$57:$IY$57)</f>
        <v>0</v>
      </c>
      <c r="WL65" s="56"/>
      <c r="WM65" s="242">
        <f t="shared" si="446"/>
        <v>0</v>
      </c>
      <c r="WN65" s="242">
        <f t="shared" si="447"/>
        <v>7912</v>
      </c>
      <c r="WO65" s="56"/>
      <c r="WR65" s="55">
        <f t="shared" si="448"/>
        <v>46077</v>
      </c>
      <c r="WS65" s="56"/>
      <c r="WT65" s="242">
        <f>SUMPRODUCT(PRODUCE!$B78:$DY78,PRODUCE!$EB$57:$IY$57)</f>
        <v>0</v>
      </c>
      <c r="WU65" s="56"/>
      <c r="WV65" s="242">
        <f t="shared" si="449"/>
        <v>0</v>
      </c>
      <c r="WW65" s="242">
        <f t="shared" si="450"/>
        <v>6559</v>
      </c>
      <c r="WX65" s="56"/>
      <c r="XA65" s="55">
        <f t="shared" si="451"/>
        <v>46077</v>
      </c>
      <c r="XB65" s="56"/>
      <c r="XC65" s="242">
        <f>SUMPRODUCT(PRODUCE!$B78:$DY78,PRODUCE!$EB$57:$IY$57)</f>
        <v>0</v>
      </c>
      <c r="XD65" s="56"/>
      <c r="XE65" s="242">
        <f t="shared" si="452"/>
        <v>0</v>
      </c>
      <c r="XF65" s="242">
        <f t="shared" si="453"/>
        <v>590</v>
      </c>
      <c r="XG65" s="56"/>
      <c r="XJ65" s="55">
        <f t="shared" si="454"/>
        <v>46077</v>
      </c>
      <c r="XK65" s="56"/>
      <c r="XL65" s="242">
        <f>SUMPRODUCT(PRODUCE!$B78:$DY78,PRODUCE!$EB$57:$IY$57)</f>
        <v>0</v>
      </c>
      <c r="XM65" s="56">
        <v>1532</v>
      </c>
      <c r="XN65" s="242">
        <f t="shared" si="455"/>
        <v>-1532</v>
      </c>
      <c r="XO65" s="242">
        <f t="shared" si="456"/>
        <v>3755</v>
      </c>
      <c r="XP65" s="56"/>
      <c r="XS65" s="55">
        <f t="shared" si="457"/>
        <v>46077</v>
      </c>
      <c r="XT65" s="56"/>
      <c r="XU65" s="242">
        <f>SUMPRODUCT(PRODUCE!$B78:$DY78,PRODUCE!$EB$57:$IY$57)</f>
        <v>0</v>
      </c>
      <c r="XV65" s="56"/>
      <c r="XW65" s="242">
        <f t="shared" si="458"/>
        <v>0</v>
      </c>
      <c r="XX65" s="242">
        <f t="shared" si="459"/>
        <v>1901</v>
      </c>
      <c r="XY65" s="56"/>
      <c r="YB65" s="55">
        <f t="shared" si="460"/>
        <v>46077</v>
      </c>
      <c r="YC65" s="56"/>
      <c r="YD65" s="242">
        <f>SUMPRODUCT(PRODUCE!$B78:$DY78,PRODUCE!$EB$57:$IY$57)</f>
        <v>0</v>
      </c>
      <c r="YE65" s="56"/>
      <c r="YF65" s="242">
        <f t="shared" si="461"/>
        <v>0</v>
      </c>
      <c r="YG65" s="242">
        <f t="shared" si="462"/>
        <v>-707</v>
      </c>
      <c r="YH65" s="56"/>
      <c r="YK65" s="55">
        <f t="shared" si="463"/>
        <v>46077</v>
      </c>
      <c r="YL65" s="56"/>
      <c r="YM65" s="242">
        <f>SUMPRODUCT(PRODUCE!$B78:$DY78,PRODUCE!$EB$57:$IY$57)</f>
        <v>0</v>
      </c>
      <c r="YN65" s="56"/>
      <c r="YO65" s="242">
        <f t="shared" si="464"/>
        <v>0</v>
      </c>
      <c r="YP65" s="242">
        <f t="shared" si="465"/>
        <v>0</v>
      </c>
      <c r="YQ65" s="56"/>
      <c r="YT65" s="55">
        <f t="shared" si="466"/>
        <v>46077</v>
      </c>
      <c r="YU65" s="56"/>
      <c r="YV65" s="242">
        <f>SUMPRODUCT(PRODUCE!$B78:$DY78,PRODUCE!$EB$57:$IY$57)</f>
        <v>0</v>
      </c>
      <c r="YW65" s="56"/>
      <c r="YX65" s="242">
        <f t="shared" si="467"/>
        <v>0</v>
      </c>
      <c r="YY65" s="242">
        <f t="shared" si="468"/>
        <v>0</v>
      </c>
      <c r="YZ65" s="56"/>
      <c r="ZC65" s="55">
        <f t="shared" si="469"/>
        <v>46077</v>
      </c>
      <c r="ZD65" s="56"/>
      <c r="ZE65" s="242">
        <f>SUMPRODUCT(PRODUCE!$B78:$DY78,PRODUCE!$EB$57:$IY$57)</f>
        <v>0</v>
      </c>
      <c r="ZF65" s="56"/>
      <c r="ZG65" s="242">
        <f t="shared" si="470"/>
        <v>0</v>
      </c>
      <c r="ZH65" s="242">
        <f t="shared" si="471"/>
        <v>0</v>
      </c>
      <c r="ZI65" s="56"/>
      <c r="ZL65" s="55">
        <f t="shared" si="472"/>
        <v>46077</v>
      </c>
      <c r="ZM65" s="56"/>
      <c r="ZN65" s="242">
        <f>SUMPRODUCT(PRODUCE!$B78:$DY78,PRODUCE!$EB$57:$IY$57)</f>
        <v>0</v>
      </c>
      <c r="ZO65" s="56"/>
      <c r="ZP65" s="242">
        <f t="shared" si="473"/>
        <v>0</v>
      </c>
      <c r="ZQ65" s="242">
        <f t="shared" si="474"/>
        <v>0</v>
      </c>
      <c r="ZR65" s="56"/>
      <c r="ZU65" s="55">
        <f t="shared" si="475"/>
        <v>46077</v>
      </c>
      <c r="ZV65" s="56"/>
      <c r="ZW65" s="242">
        <f>SUMPRODUCT(PRODUCE!$B78:$DY78,PRODUCE!$EB$57:$IY$57)</f>
        <v>0</v>
      </c>
      <c r="ZX65" s="56"/>
      <c r="ZY65" s="242">
        <f t="shared" si="476"/>
        <v>0</v>
      </c>
      <c r="ZZ65" s="242">
        <f t="shared" si="477"/>
        <v>0</v>
      </c>
      <c r="AAA65" s="56"/>
      <c r="AAD65" s="55">
        <f t="shared" si="478"/>
        <v>46077</v>
      </c>
      <c r="AAE65" s="56"/>
      <c r="AAF65" s="242">
        <f>SUMPRODUCT(PRODUCE!$B78:$DY78,PRODUCE!$EB$57:$IY$57)</f>
        <v>0</v>
      </c>
      <c r="AAG65" s="56"/>
      <c r="AAH65" s="242">
        <f t="shared" si="479"/>
        <v>0</v>
      </c>
      <c r="AAI65" s="242">
        <f t="shared" si="480"/>
        <v>0</v>
      </c>
      <c r="AAJ65" s="56"/>
      <c r="AAM65" s="55">
        <f t="shared" si="481"/>
        <v>46077</v>
      </c>
      <c r="AAN65" s="56"/>
      <c r="AAO65" s="242">
        <f>SUMPRODUCT(PRODUCE!$B78:$DY78,PRODUCE!$EB$57:$IY$57)</f>
        <v>0</v>
      </c>
      <c r="AAP65" s="56"/>
      <c r="AAQ65" s="242">
        <f t="shared" si="482"/>
        <v>0</v>
      </c>
      <c r="AAR65" s="242">
        <f t="shared" si="483"/>
        <v>0</v>
      </c>
      <c r="AAS65" s="56"/>
      <c r="AAV65" s="55">
        <f t="shared" si="484"/>
        <v>46077</v>
      </c>
      <c r="AAW65" s="56"/>
      <c r="AAX65" s="242">
        <f>SUMPRODUCT(PRODUCE!$B78:$DY78,PRODUCE!$EB$57:$IY$57)</f>
        <v>0</v>
      </c>
      <c r="AAY65" s="56"/>
      <c r="AAZ65" s="242">
        <f t="shared" si="485"/>
        <v>0</v>
      </c>
      <c r="ABA65" s="242">
        <f t="shared" si="486"/>
        <v>0</v>
      </c>
      <c r="ABB65" s="56"/>
      <c r="ABE65" s="55">
        <f t="shared" si="487"/>
        <v>46077</v>
      </c>
      <c r="ABF65" s="56"/>
      <c r="ABG65" s="242">
        <f>SUMPRODUCT(PRODUCE!$B78:$DY78,PRODUCE!$EB$57:$IY$57)</f>
        <v>0</v>
      </c>
      <c r="ABH65" s="56"/>
      <c r="ABI65" s="242">
        <f t="shared" si="488"/>
        <v>0</v>
      </c>
      <c r="ABJ65" s="242">
        <f t="shared" si="489"/>
        <v>0</v>
      </c>
      <c r="ABK65" s="56"/>
    </row>
    <row r="66" spans="1:739" s="54" customFormat="1" ht="15" customHeight="1" outlineLevel="1">
      <c r="B66" s="478">
        <f>18+14</f>
        <v>32</v>
      </c>
      <c r="C66" s="55">
        <v>46078</v>
      </c>
      <c r="D66" s="422"/>
      <c r="E66" s="424">
        <f>SUMPRODUCT(PRODUCE!$B79:$DY79,PRODUCE!$EB$7:$IY$7)</f>
        <v>16515.7</v>
      </c>
      <c r="F66" s="422">
        <v>16513.8</v>
      </c>
      <c r="G66" s="423">
        <f t="shared" si="247"/>
        <v>1.9000000000014552</v>
      </c>
      <c r="H66" s="423">
        <f t="shared" si="245"/>
        <v>53374.8</v>
      </c>
      <c r="I66" s="289" t="s">
        <v>211</v>
      </c>
      <c r="L66" s="55">
        <f t="shared" si="246"/>
        <v>46078</v>
      </c>
      <c r="M66" s="422"/>
      <c r="N66" s="439">
        <f>SUMPRODUCT(PRODUCE!$B79:$DY79,PRODUCE!$EB$8:$IY$8)</f>
        <v>8257.5</v>
      </c>
      <c r="O66" s="422">
        <v>8256.7999999999993</v>
      </c>
      <c r="P66" s="438">
        <f t="shared" si="248"/>
        <v>0.7000000000007276</v>
      </c>
      <c r="Q66" s="438">
        <f t="shared" si="249"/>
        <v>23691.000000000033</v>
      </c>
      <c r="R66" s="56"/>
      <c r="U66" s="55">
        <f t="shared" si="250"/>
        <v>46078</v>
      </c>
      <c r="V66" s="422"/>
      <c r="W66" s="441">
        <f>SUMPRODUCT(PRODUCE!$B79:$DY79,PRODUCE!$EB$9:$IY$9)</f>
        <v>1852.9999999999998</v>
      </c>
      <c r="X66" s="422">
        <v>1853.9</v>
      </c>
      <c r="Y66" s="440">
        <f t="shared" si="251"/>
        <v>-0.90000000000031832</v>
      </c>
      <c r="Z66" s="440">
        <f t="shared" si="252"/>
        <v>21734.399999999972</v>
      </c>
      <c r="AA66" s="56"/>
      <c r="AD66" s="55">
        <f t="shared" si="253"/>
        <v>46078</v>
      </c>
      <c r="AE66" s="422"/>
      <c r="AF66" s="443">
        <f>SUMPRODUCT(PRODUCE!$B79:$DY79,PRODUCE!$EB$10:$IY$10)</f>
        <v>934</v>
      </c>
      <c r="AG66" s="422">
        <v>934.3</v>
      </c>
      <c r="AH66" s="442">
        <f t="shared" si="254"/>
        <v>-0.29999999999995453</v>
      </c>
      <c r="AI66" s="442">
        <f t="shared" si="255"/>
        <v>36977.500000000015</v>
      </c>
      <c r="AJ66" s="56"/>
      <c r="AM66" s="55">
        <f t="shared" si="256"/>
        <v>46078</v>
      </c>
      <c r="AN66" s="422"/>
      <c r="AO66" s="445">
        <f>SUMPRODUCT(PRODUCE!$B79:$DY79,PRODUCE!$EB$11:$IY$11)</f>
        <v>0</v>
      </c>
      <c r="AP66" s="422"/>
      <c r="AQ66" s="444">
        <f t="shared" si="257"/>
        <v>0</v>
      </c>
      <c r="AR66" s="444">
        <f t="shared" si="258"/>
        <v>0</v>
      </c>
      <c r="AS66" s="56"/>
      <c r="AV66" s="55">
        <f t="shared" si="259"/>
        <v>46078</v>
      </c>
      <c r="AW66" s="422"/>
      <c r="AX66" s="447">
        <f>SUMPRODUCT(PRODUCE!$B79:$DY79,PRODUCE!$EB$12:$IY$12)</f>
        <v>280</v>
      </c>
      <c r="AY66" s="422">
        <v>280</v>
      </c>
      <c r="AZ66" s="446">
        <f t="shared" si="260"/>
        <v>0</v>
      </c>
      <c r="BA66" s="446">
        <f t="shared" si="261"/>
        <v>48522.599999999984</v>
      </c>
      <c r="BB66" s="56"/>
      <c r="BE66" s="55">
        <f t="shared" si="262"/>
        <v>46078</v>
      </c>
      <c r="BF66" s="422"/>
      <c r="BG66" s="449">
        <f>SUMPRODUCT(PRODUCE!$B79:$DY79,PRODUCE!$EB$13:$IY$13)</f>
        <v>756</v>
      </c>
      <c r="BH66" s="422">
        <v>753.2</v>
      </c>
      <c r="BI66" s="448">
        <f t="shared" si="263"/>
        <v>2.7999999999999545</v>
      </c>
      <c r="BJ66" s="448">
        <f t="shared" si="264"/>
        <v>8594.2000000000044</v>
      </c>
      <c r="BK66" s="56"/>
      <c r="BN66" s="55">
        <f t="shared" si="265"/>
        <v>46078</v>
      </c>
      <c r="BO66" s="422">
        <v>640</v>
      </c>
      <c r="BP66" s="451">
        <f>SUMPRODUCT(PRODUCE!$B79:$DY79,PRODUCE!$EB$14:$IY$14)</f>
        <v>640</v>
      </c>
      <c r="BQ66" s="422">
        <v>640</v>
      </c>
      <c r="BR66" s="450">
        <f t="shared" si="266"/>
        <v>0</v>
      </c>
      <c r="BS66" s="450">
        <f t="shared" si="267"/>
        <v>0</v>
      </c>
      <c r="BT66" s="56"/>
      <c r="BW66" s="55">
        <f t="shared" si="268"/>
        <v>46078</v>
      </c>
      <c r="BX66" s="56"/>
      <c r="BY66" s="81">
        <f>SUMPRODUCT(PRODUCE!$B79:$DY79,PRODUCE!$EB$15:$IY$15)</f>
        <v>151.20000000000002</v>
      </c>
      <c r="BZ66" s="56"/>
      <c r="CA66" s="65">
        <f t="shared" si="269"/>
        <v>151.20000000000002</v>
      </c>
      <c r="CB66" s="65">
        <f t="shared" si="270"/>
        <v>790.40000000000009</v>
      </c>
      <c r="CC66" s="56"/>
      <c r="CF66" s="55">
        <f t="shared" si="271"/>
        <v>46078</v>
      </c>
      <c r="CG66" s="56"/>
      <c r="CH66" s="82">
        <f>SUMPRODUCT(PRODUCE!$B79:$DY79,PRODUCE!$EB$16:$IY$16)</f>
        <v>192.6</v>
      </c>
      <c r="CI66" s="56"/>
      <c r="CJ66" s="66">
        <f t="shared" si="272"/>
        <v>192.6</v>
      </c>
      <c r="CK66" s="66">
        <f t="shared" si="273"/>
        <v>0</v>
      </c>
      <c r="CL66" s="56"/>
      <c r="CO66" s="55">
        <f t="shared" si="274"/>
        <v>46078</v>
      </c>
      <c r="CP66" s="422"/>
      <c r="CQ66" s="471">
        <f>SUMPRODUCT(PRODUCE!$B79:$DY79,PRODUCE!$EB$17:$IY$17)</f>
        <v>0</v>
      </c>
      <c r="CR66" s="422"/>
      <c r="CS66" s="470">
        <f t="shared" si="275"/>
        <v>0</v>
      </c>
      <c r="CT66" s="470">
        <f t="shared" si="276"/>
        <v>0</v>
      </c>
      <c r="CU66" s="56"/>
      <c r="CX66" s="55">
        <f t="shared" si="277"/>
        <v>46078</v>
      </c>
      <c r="CY66" s="56"/>
      <c r="CZ66" s="136">
        <f>SUMPRODUCT(PRODUCE!$B79:$DY79,PRODUCE!$EB$18:$IY$18)</f>
        <v>900</v>
      </c>
      <c r="DA66" s="56">
        <v>900.8</v>
      </c>
      <c r="DB66" s="133">
        <f t="shared" si="278"/>
        <v>-0.79999999999995453</v>
      </c>
      <c r="DC66" s="133">
        <f t="shared" si="279"/>
        <v>22242.800000000003</v>
      </c>
      <c r="DD66" s="56"/>
      <c r="DG66" s="55">
        <f t="shared" si="280"/>
        <v>46078</v>
      </c>
      <c r="DH66" s="56"/>
      <c r="DI66" s="150">
        <f>SUMPRODUCT(PRODUCE!$B79:$DY79,PRODUCE!$EB$19:$IY$19)</f>
        <v>720</v>
      </c>
      <c r="DJ66" s="56">
        <v>720.6</v>
      </c>
      <c r="DK66" s="147">
        <f t="shared" si="281"/>
        <v>-0.60000000000002274</v>
      </c>
      <c r="DL66" s="147">
        <f t="shared" si="282"/>
        <v>1351.5999999999972</v>
      </c>
      <c r="DM66" s="56"/>
      <c r="DP66" s="55">
        <f t="shared" si="283"/>
        <v>46078</v>
      </c>
      <c r="DQ66" s="56"/>
      <c r="DR66" s="58">
        <f>SUMPRODUCT(PRODUCE!$B79:$DY79,PRODUCE!$EB$20:$IY$20)</f>
        <v>0</v>
      </c>
      <c r="DS66" s="56"/>
      <c r="DT66" s="57">
        <f t="shared" si="284"/>
        <v>0</v>
      </c>
      <c r="DU66" s="57">
        <f t="shared" si="285"/>
        <v>2300</v>
      </c>
      <c r="DV66" s="56"/>
      <c r="DY66" s="55">
        <f t="shared" si="286"/>
        <v>46078</v>
      </c>
      <c r="DZ66" s="56"/>
      <c r="EA66" s="159">
        <f>SUMPRODUCT(PRODUCE!$B79:$DY79,PRODUCE!$EB$21:$IY$21)</f>
        <v>0</v>
      </c>
      <c r="EB66" s="56"/>
      <c r="EC66" s="157">
        <f t="shared" si="287"/>
        <v>0</v>
      </c>
      <c r="ED66" s="157">
        <f t="shared" si="288"/>
        <v>5696.8</v>
      </c>
      <c r="EE66" s="56"/>
      <c r="EH66" s="55">
        <f t="shared" si="289"/>
        <v>46078</v>
      </c>
      <c r="EI66" s="56"/>
      <c r="EJ66" s="164">
        <f>SUMPRODUCT(PRODUCE!$B79:$DY79,PRODUCE!$EB$22:$IY$22)</f>
        <v>0</v>
      </c>
      <c r="EK66" s="56"/>
      <c r="EL66" s="162">
        <f t="shared" si="290"/>
        <v>0</v>
      </c>
      <c r="EM66" s="162">
        <f t="shared" si="291"/>
        <v>0</v>
      </c>
      <c r="EN66" s="56"/>
      <c r="EQ66" s="55">
        <f t="shared" si="292"/>
        <v>46078</v>
      </c>
      <c r="ER66" s="56"/>
      <c r="ES66" s="171">
        <f>SUMPRODUCT(PRODUCE!$B79:$DY79,PRODUCE!$EB$23:$IY$23)</f>
        <v>0</v>
      </c>
      <c r="ET66" s="56"/>
      <c r="EU66" s="135">
        <f t="shared" si="293"/>
        <v>0</v>
      </c>
      <c r="EV66" s="135">
        <f t="shared" si="294"/>
        <v>0</v>
      </c>
      <c r="EW66" s="56"/>
      <c r="EZ66" s="55">
        <f t="shared" si="295"/>
        <v>46078</v>
      </c>
      <c r="FA66" s="56"/>
      <c r="FB66" s="178">
        <f>SUMPRODUCT(PRODUCE!$B79:$DY79,PRODUCE!$EB$24:$IY$24)</f>
        <v>0</v>
      </c>
      <c r="FC66" s="56"/>
      <c r="FD66" s="175">
        <f t="shared" si="296"/>
        <v>0</v>
      </c>
      <c r="FE66" s="175">
        <f t="shared" si="297"/>
        <v>0</v>
      </c>
      <c r="FF66" s="56"/>
      <c r="FI66" s="55">
        <f t="shared" si="298"/>
        <v>46078</v>
      </c>
      <c r="FJ66" s="56"/>
      <c r="FK66" s="184">
        <f>SUMPRODUCT(PRODUCE!$B79:$DY79,PRODUCE!$EB$25:$IY$25)</f>
        <v>0</v>
      </c>
      <c r="FL66" s="56"/>
      <c r="FM66" s="183">
        <f t="shared" si="299"/>
        <v>0</v>
      </c>
      <c r="FN66" s="183">
        <f t="shared" si="300"/>
        <v>0</v>
      </c>
      <c r="FO66" s="56"/>
      <c r="FR66" s="55">
        <f t="shared" si="301"/>
        <v>46078</v>
      </c>
      <c r="FS66" s="422"/>
      <c r="FT66" s="453">
        <f>SUMPRODUCT(PRODUCE!$B79:$DY79,PRODUCE!$EB$26:$IY$26)</f>
        <v>280</v>
      </c>
      <c r="FU66" s="422"/>
      <c r="FV66" s="452">
        <f t="shared" si="302"/>
        <v>280</v>
      </c>
      <c r="FW66" s="452">
        <f t="shared" si="303"/>
        <v>1620</v>
      </c>
      <c r="FX66" s="56"/>
      <c r="GA66" s="55">
        <f t="shared" si="304"/>
        <v>46078</v>
      </c>
      <c r="GB66" s="422"/>
      <c r="GC66" s="455">
        <f>SUMPRODUCT(PRODUCE!$B79:$DY79,PRODUCE!$EB$27:$IY$27)</f>
        <v>0</v>
      </c>
      <c r="GD66" s="422"/>
      <c r="GE66" s="454">
        <f t="shared" si="305"/>
        <v>0</v>
      </c>
      <c r="GF66" s="454">
        <f t="shared" si="306"/>
        <v>5960</v>
      </c>
      <c r="GG66" s="56"/>
      <c r="GI66" s="23"/>
      <c r="GJ66" s="55">
        <f t="shared" si="307"/>
        <v>46078</v>
      </c>
      <c r="GK66" s="422"/>
      <c r="GL66" s="457">
        <f>SUMPRODUCT(PRODUCE!$B79:$DY79,PRODUCE!$EB$28:$IY$28)</f>
        <v>0</v>
      </c>
      <c r="GM66" s="422"/>
      <c r="GN66" s="456">
        <f t="shared" si="308"/>
        <v>0</v>
      </c>
      <c r="GO66" s="456">
        <f t="shared" si="309"/>
        <v>5240</v>
      </c>
      <c r="GP66" s="56"/>
      <c r="GS66" s="55">
        <f t="shared" si="310"/>
        <v>46078</v>
      </c>
      <c r="GT66" s="56"/>
      <c r="GU66" s="196">
        <f>SUMPRODUCT(PRODUCE!$B79:$DY79,PRODUCE!$EB$29:$IY$29)</f>
        <v>0</v>
      </c>
      <c r="GV66" s="56"/>
      <c r="GW66" s="195">
        <f t="shared" si="311"/>
        <v>0</v>
      </c>
      <c r="GX66" s="195">
        <f t="shared" si="312"/>
        <v>0</v>
      </c>
      <c r="GY66" s="56"/>
      <c r="HB66" s="55">
        <f t="shared" si="313"/>
        <v>46078</v>
      </c>
      <c r="HC66" s="56"/>
      <c r="HD66" s="192">
        <f>SUMPRODUCT(PRODUCE!$B79:$DY79,PRODUCE!$EB$30:$IY$30)</f>
        <v>0</v>
      </c>
      <c r="HE66" s="56"/>
      <c r="HF66" s="191">
        <f t="shared" si="314"/>
        <v>0</v>
      </c>
      <c r="HG66" s="191">
        <f t="shared" si="315"/>
        <v>0</v>
      </c>
      <c r="HH66" s="56"/>
      <c r="HK66" s="55">
        <f t="shared" si="316"/>
        <v>46078</v>
      </c>
      <c r="HL66" s="56"/>
      <c r="HM66" s="80">
        <f>SUMPRODUCT(PRODUCE!$B79:$DY79,PRODUCE!$EB$31:$IY$31)</f>
        <v>0</v>
      </c>
      <c r="HN66" s="56"/>
      <c r="HO66" s="63">
        <f t="shared" si="317"/>
        <v>0</v>
      </c>
      <c r="HP66" s="63">
        <f t="shared" si="318"/>
        <v>0</v>
      </c>
      <c r="HQ66" s="56"/>
      <c r="HU66" s="55">
        <f t="shared" si="319"/>
        <v>46078</v>
      </c>
      <c r="HV66" s="56"/>
      <c r="HW66" s="242">
        <f>SUMPRODUCT(PRODUCE!$B79:$DY79,PRODUCE!$EB$32:$IY$32)</f>
        <v>0</v>
      </c>
      <c r="HX66" s="56"/>
      <c r="HY66" s="242">
        <f t="shared" si="320"/>
        <v>0</v>
      </c>
      <c r="HZ66" s="242">
        <f t="shared" si="321"/>
        <v>5120</v>
      </c>
      <c r="IA66" s="56"/>
      <c r="ID66" s="55">
        <f t="shared" si="322"/>
        <v>46078</v>
      </c>
      <c r="IE66" s="56"/>
      <c r="IF66" s="242">
        <f>SUMPRODUCT(PRODUCE!$B79:$DY79,PRODUCE!$EB$33:$IY$33)</f>
        <v>0</v>
      </c>
      <c r="IG66" s="56"/>
      <c r="IH66" s="242">
        <f t="shared" si="323"/>
        <v>0</v>
      </c>
      <c r="II66" s="242">
        <f t="shared" si="324"/>
        <v>5100</v>
      </c>
      <c r="IJ66" s="56"/>
      <c r="IM66" s="55">
        <f t="shared" si="325"/>
        <v>46078</v>
      </c>
      <c r="IN66" s="56"/>
      <c r="IO66" s="242">
        <f>SUMPRODUCT(PRODUCE!$B79:$DY79,PRODUCE!$EB$34:$IY$34)</f>
        <v>0</v>
      </c>
      <c r="IP66" s="56"/>
      <c r="IQ66" s="242">
        <f t="shared" si="326"/>
        <v>0</v>
      </c>
      <c r="IR66" s="242">
        <f t="shared" si="327"/>
        <v>10240</v>
      </c>
      <c r="IS66" s="56"/>
      <c r="IV66" s="55">
        <f t="shared" si="328"/>
        <v>46078</v>
      </c>
      <c r="IW66" s="56"/>
      <c r="IX66" s="242">
        <f>SUMPRODUCT(PRODUCE!$B79:$DY79,PRODUCE!$EB$35:$IY$35)</f>
        <v>0</v>
      </c>
      <c r="IY66" s="56"/>
      <c r="IZ66" s="242">
        <f t="shared" si="329"/>
        <v>0</v>
      </c>
      <c r="JA66" s="242">
        <f t="shared" si="330"/>
        <v>15120</v>
      </c>
      <c r="JB66" s="56"/>
      <c r="JE66" s="55">
        <f t="shared" si="331"/>
        <v>46078</v>
      </c>
      <c r="JF66" s="56"/>
      <c r="JG66" s="242">
        <f>SUMPRODUCT(PRODUCE!$B79:$DY79,PRODUCE!$EB$36:$IY$36)</f>
        <v>0</v>
      </c>
      <c r="JH66" s="56"/>
      <c r="JI66" s="242">
        <f t="shared" si="332"/>
        <v>0</v>
      </c>
      <c r="JJ66" s="242">
        <f t="shared" si="333"/>
        <v>3600</v>
      </c>
      <c r="JK66" s="56"/>
      <c r="JN66" s="55">
        <f t="shared" si="334"/>
        <v>46078</v>
      </c>
      <c r="JO66" s="56"/>
      <c r="JP66" s="242">
        <f>SUMPRODUCT(PRODUCE!$B79:$DY79,PRODUCE!$EB$37:$IY$37)</f>
        <v>0</v>
      </c>
      <c r="JQ66" s="56"/>
      <c r="JR66" s="242">
        <f t="shared" si="335"/>
        <v>0</v>
      </c>
      <c r="JS66" s="242">
        <f t="shared" si="336"/>
        <v>5400</v>
      </c>
      <c r="JT66" s="56"/>
      <c r="JW66" s="55">
        <f t="shared" si="337"/>
        <v>46078</v>
      </c>
      <c r="JX66" s="56"/>
      <c r="JY66" s="242">
        <f>SUMPRODUCT(PRODUCE!$B79:$DY79,PRODUCE!$EB$38:$IY$38)</f>
        <v>0</v>
      </c>
      <c r="JZ66" s="56"/>
      <c r="KA66" s="242">
        <f t="shared" si="338"/>
        <v>0</v>
      </c>
      <c r="KB66" s="242">
        <f t="shared" si="339"/>
        <v>4000</v>
      </c>
      <c r="KC66" s="56"/>
      <c r="KF66" s="55">
        <f t="shared" si="340"/>
        <v>46078</v>
      </c>
      <c r="KG66" s="56"/>
      <c r="KH66" s="242">
        <f>SUMPRODUCT(PRODUCE!$B79:$DY79,PRODUCE!$EB$39:$IY$39)</f>
        <v>351</v>
      </c>
      <c r="KI66" s="56"/>
      <c r="KJ66" s="242">
        <f t="shared" si="341"/>
        <v>351</v>
      </c>
      <c r="KK66" s="242">
        <f t="shared" si="342"/>
        <v>1287</v>
      </c>
      <c r="KL66" s="56"/>
      <c r="KO66" s="55">
        <f t="shared" si="343"/>
        <v>46078</v>
      </c>
      <c r="KP66" s="56"/>
      <c r="KQ66" s="242">
        <f>SUMPRODUCT(PRODUCE!$B79:$DY79,PRODUCE!$EB$40:$IY$40)</f>
        <v>0</v>
      </c>
      <c r="KR66" s="56"/>
      <c r="KS66" s="242">
        <f t="shared" si="344"/>
        <v>0</v>
      </c>
      <c r="KT66" s="242">
        <f t="shared" si="345"/>
        <v>10281.6</v>
      </c>
      <c r="KU66" s="56"/>
      <c r="KW66" s="23"/>
      <c r="KX66" s="55">
        <f t="shared" si="346"/>
        <v>46078</v>
      </c>
      <c r="KY66" s="56"/>
      <c r="KZ66" s="242">
        <f>SUMPRODUCT(PRODUCE!$B79:$DY79,PRODUCE!$EB$41:$IY$41)</f>
        <v>0</v>
      </c>
      <c r="LA66" s="56"/>
      <c r="LB66" s="242">
        <f t="shared" si="347"/>
        <v>0</v>
      </c>
      <c r="LC66" s="242">
        <f t="shared" si="348"/>
        <v>0</v>
      </c>
      <c r="LD66" s="56"/>
      <c r="LG66" s="55">
        <f t="shared" si="349"/>
        <v>46078</v>
      </c>
      <c r="LH66" s="56"/>
      <c r="LI66" s="242">
        <f>SUMPRODUCT(PRODUCE!$B79:$DY79,PRODUCE!$EB$42:$IY$42)</f>
        <v>0</v>
      </c>
      <c r="LJ66" s="56"/>
      <c r="LK66" s="242">
        <f t="shared" si="350"/>
        <v>0</v>
      </c>
      <c r="LL66" s="242">
        <f t="shared" si="351"/>
        <v>0</v>
      </c>
      <c r="LM66" s="56"/>
      <c r="LP66" s="55">
        <f t="shared" si="352"/>
        <v>46078</v>
      </c>
      <c r="LQ66" s="56"/>
      <c r="LR66" s="242">
        <f>SUMPRODUCT(PRODUCE!$B81:$DY81,PRODUCE!$EB$43:$IY$43)</f>
        <v>0</v>
      </c>
      <c r="LS66" s="56"/>
      <c r="LT66" s="242">
        <f t="shared" si="353"/>
        <v>0</v>
      </c>
      <c r="LU66" s="242">
        <f t="shared" si="354"/>
        <v>0</v>
      </c>
      <c r="LV66" s="56"/>
      <c r="LY66" s="55">
        <f t="shared" si="355"/>
        <v>46078</v>
      </c>
      <c r="LZ66" s="56"/>
      <c r="MA66" s="242">
        <f>SUMPRODUCT(PRODUCE!$B81:$DY81,PRODUCE!$EB$44:$IY$44)</f>
        <v>0</v>
      </c>
      <c r="MB66" s="56"/>
      <c r="MC66" s="242">
        <f t="shared" si="356"/>
        <v>0</v>
      </c>
      <c r="MD66" s="242">
        <f t="shared" si="357"/>
        <v>0</v>
      </c>
      <c r="ME66" s="56"/>
      <c r="MH66" s="55">
        <f t="shared" si="358"/>
        <v>46078</v>
      </c>
      <c r="MI66" s="56"/>
      <c r="MJ66" s="242">
        <f>SUMPRODUCT(PRODUCE!$B79:$DY79,PRODUCE!$EB$45:$IY$45)</f>
        <v>0</v>
      </c>
      <c r="MK66" s="56"/>
      <c r="ML66" s="242">
        <f t="shared" si="359"/>
        <v>0</v>
      </c>
      <c r="MM66" s="242">
        <f t="shared" si="360"/>
        <v>0</v>
      </c>
      <c r="MN66" s="56"/>
      <c r="MQ66" s="55">
        <f t="shared" si="361"/>
        <v>46078</v>
      </c>
      <c r="MR66" s="56"/>
      <c r="MS66" s="242">
        <f>SUMPRODUCT(PRODUCE!$B79:$DY79,PRODUCE!$EB$46:$IY$46)</f>
        <v>43</v>
      </c>
      <c r="MT66" s="56"/>
      <c r="MU66" s="242">
        <f t="shared" si="362"/>
        <v>43</v>
      </c>
      <c r="MV66" s="242">
        <f t="shared" si="363"/>
        <v>4323</v>
      </c>
      <c r="MW66" s="56"/>
      <c r="MZ66" s="55">
        <f t="shared" si="364"/>
        <v>46078</v>
      </c>
      <c r="NA66" s="56"/>
      <c r="NB66" s="242">
        <f>SUMPRODUCT(PRODUCE!$B79:$DY79,PRODUCE!$EB$47:$IY$47)</f>
        <v>54</v>
      </c>
      <c r="NC66" s="56"/>
      <c r="ND66" s="242">
        <f t="shared" si="365"/>
        <v>54</v>
      </c>
      <c r="NE66" s="242">
        <f t="shared" si="366"/>
        <v>0</v>
      </c>
      <c r="NF66" s="56"/>
      <c r="NI66" s="55">
        <f t="shared" si="367"/>
        <v>46078</v>
      </c>
      <c r="NJ66" s="56"/>
      <c r="NK66" s="242">
        <f>SUMPRODUCT(PRODUCE!$B79:$DY79,PRODUCE!$EB$48:$IY$48)</f>
        <v>0</v>
      </c>
      <c r="NL66" s="56"/>
      <c r="NM66" s="242">
        <f t="shared" si="368"/>
        <v>0</v>
      </c>
      <c r="NN66" s="242">
        <f t="shared" si="369"/>
        <v>0</v>
      </c>
      <c r="NO66" s="56"/>
      <c r="NR66" s="55">
        <f t="shared" si="370"/>
        <v>46078</v>
      </c>
      <c r="NS66" s="56"/>
      <c r="NT66" s="242">
        <f>SUMPRODUCT(PRODUCE!$B79:$DY79,PRODUCE!$EB$49:$IY$49)</f>
        <v>21.599999999999998</v>
      </c>
      <c r="NU66" s="56"/>
      <c r="NV66" s="242">
        <f t="shared" si="371"/>
        <v>21.599999999999998</v>
      </c>
      <c r="NW66" s="242">
        <f t="shared" si="372"/>
        <v>2286</v>
      </c>
      <c r="NX66" s="56"/>
      <c r="OA66" s="55">
        <f t="shared" si="373"/>
        <v>46078</v>
      </c>
      <c r="OB66" s="56"/>
      <c r="OC66" s="242">
        <f>SUMPRODUCT(PRODUCE!$B79:$DY79,PRODUCE!$EB$50:$IY$50)</f>
        <v>0</v>
      </c>
      <c r="OD66" s="56"/>
      <c r="OE66" s="242">
        <f t="shared" si="374"/>
        <v>0</v>
      </c>
      <c r="OF66" s="242">
        <f t="shared" si="375"/>
        <v>1680.5</v>
      </c>
      <c r="OG66" s="56"/>
      <c r="OJ66" s="55">
        <f t="shared" si="376"/>
        <v>46078</v>
      </c>
      <c r="OK66" s="56"/>
      <c r="OL66" s="242">
        <f>SUMPRODUCT(PRODUCE!$B79:$DY79,PRODUCE!$EB$51:$IY$51)</f>
        <v>50.399999999999991</v>
      </c>
      <c r="OM66" s="56"/>
      <c r="ON66" s="242">
        <f t="shared" si="377"/>
        <v>50.399999999999991</v>
      </c>
      <c r="OO66" s="242">
        <f t="shared" si="378"/>
        <v>0</v>
      </c>
      <c r="OP66" s="56"/>
      <c r="OS66" s="55">
        <f t="shared" si="379"/>
        <v>46078</v>
      </c>
      <c r="OT66" s="56"/>
      <c r="OU66" s="242">
        <f>SUMPRODUCT(PRODUCE!$B79:$DY79,PRODUCE!$EB$52:$IY$52)</f>
        <v>0</v>
      </c>
      <c r="OV66" s="56"/>
      <c r="OW66" s="242">
        <f t="shared" si="380"/>
        <v>0</v>
      </c>
      <c r="OX66" s="242">
        <f t="shared" si="381"/>
        <v>0</v>
      </c>
      <c r="OY66" s="56"/>
      <c r="PB66" s="55">
        <f t="shared" si="382"/>
        <v>46078</v>
      </c>
      <c r="PC66" s="56"/>
      <c r="PD66" s="242">
        <f>SUMPRODUCT(PRODUCE!$B79:$DY79,PRODUCE!$EB$53:$IY$53)</f>
        <v>0</v>
      </c>
      <c r="PE66" s="56"/>
      <c r="PF66" s="242">
        <f t="shared" si="383"/>
        <v>0</v>
      </c>
      <c r="PG66" s="242">
        <f t="shared" si="384"/>
        <v>0</v>
      </c>
      <c r="PH66" s="56"/>
      <c r="PK66" s="55">
        <f t="shared" si="385"/>
        <v>46078</v>
      </c>
      <c r="PL66" s="56"/>
      <c r="PM66" s="242">
        <f>SUMPRODUCT(PRODUCE!$B79:$DY79,PRODUCE!$EB$54:$IY$54)</f>
        <v>0</v>
      </c>
      <c r="PN66" s="56"/>
      <c r="PO66" s="242">
        <f t="shared" si="386"/>
        <v>0</v>
      </c>
      <c r="PP66" s="242">
        <f t="shared" si="387"/>
        <v>160</v>
      </c>
      <c r="PQ66" s="56"/>
      <c r="PT66" s="55">
        <f t="shared" si="388"/>
        <v>46078</v>
      </c>
      <c r="PU66" s="56"/>
      <c r="PV66" s="242">
        <f>SUMPRODUCT(PRODUCE!$B79:$DY79,PRODUCE!$EB$55:$IY$55)</f>
        <v>0</v>
      </c>
      <c r="PW66" s="56"/>
      <c r="PX66" s="242">
        <f t="shared" si="389"/>
        <v>0</v>
      </c>
      <c r="PY66" s="242">
        <f t="shared" si="390"/>
        <v>13.960000000000036</v>
      </c>
      <c r="PZ66" s="56"/>
      <c r="QC66" s="55">
        <f t="shared" si="391"/>
        <v>46078</v>
      </c>
      <c r="QD66" s="56"/>
      <c r="QE66" s="242">
        <f>SUMPRODUCT(PRODUCE!$B79:$DY79,PRODUCE!$EB$56:$IY$56)</f>
        <v>0</v>
      </c>
      <c r="QF66" s="56"/>
      <c r="QG66" s="242">
        <f t="shared" si="392"/>
        <v>0</v>
      </c>
      <c r="QH66" s="242">
        <f t="shared" si="393"/>
        <v>0</v>
      </c>
      <c r="QI66" s="56"/>
      <c r="QL66" s="55">
        <f t="shared" si="394"/>
        <v>46078</v>
      </c>
      <c r="QM66" s="56"/>
      <c r="QN66" s="242">
        <f>SUMPRODUCT(PRODUCE!$B79:$DY79,PRODUCE!$EB$57:$IY$57)</f>
        <v>0</v>
      </c>
      <c r="QO66" s="56"/>
      <c r="QP66" s="242">
        <f t="shared" si="395"/>
        <v>0</v>
      </c>
      <c r="QQ66" s="242">
        <f t="shared" si="396"/>
        <v>0</v>
      </c>
      <c r="QR66" s="56"/>
      <c r="QU66" s="55">
        <f t="shared" si="397"/>
        <v>46078</v>
      </c>
      <c r="QV66" s="56"/>
      <c r="QW66" s="242">
        <f>SUMPRODUCT(PRODUCE!$B79:$DY79,PRODUCE!$EB$57:$IY$57)</f>
        <v>0</v>
      </c>
      <c r="QX66" s="56"/>
      <c r="QY66" s="242">
        <f t="shared" si="398"/>
        <v>0</v>
      </c>
      <c r="QZ66" s="242">
        <f t="shared" si="399"/>
        <v>207.6</v>
      </c>
      <c r="RA66" s="56"/>
      <c r="RD66" s="55">
        <f t="shared" si="400"/>
        <v>46078</v>
      </c>
      <c r="RE66" s="56"/>
      <c r="RF66" s="242">
        <f>SUMPRODUCT(PRODUCE!$B79:$DY79,PRODUCE!$EB$58:$IY$58)</f>
        <v>0</v>
      </c>
      <c r="RG66" s="56"/>
      <c r="RH66" s="242">
        <f t="shared" si="401"/>
        <v>0</v>
      </c>
      <c r="RI66" s="242">
        <f t="shared" si="402"/>
        <v>197.04000000000002</v>
      </c>
      <c r="RJ66" s="56"/>
      <c r="RM66" s="55">
        <f t="shared" si="403"/>
        <v>46078</v>
      </c>
      <c r="RN66" s="56"/>
      <c r="RO66" s="242">
        <f>SUMPRODUCT(PRODUCE!$B79:$DY79,PRODUCE!$EB$57:$IY$57)</f>
        <v>0</v>
      </c>
      <c r="RP66" s="56"/>
      <c r="RQ66" s="242">
        <f t="shared" si="404"/>
        <v>0</v>
      </c>
      <c r="RR66" s="242">
        <f t="shared" si="405"/>
        <v>46.8</v>
      </c>
      <c r="RS66" s="56"/>
      <c r="RV66" s="55">
        <f t="shared" si="406"/>
        <v>46078</v>
      </c>
      <c r="RW66" s="56"/>
      <c r="RX66" s="242">
        <f>SUMPRODUCT(PRODUCE!$B79:$DY79,PRODUCE!$EB$57:$IY$57)</f>
        <v>0</v>
      </c>
      <c r="RY66" s="56"/>
      <c r="RZ66" s="242">
        <f t="shared" si="407"/>
        <v>0</v>
      </c>
      <c r="SA66" s="242">
        <f t="shared" si="408"/>
        <v>0</v>
      </c>
      <c r="SB66" s="56"/>
      <c r="SE66" s="55">
        <f t="shared" si="409"/>
        <v>46078</v>
      </c>
      <c r="SF66" s="56"/>
      <c r="SG66" s="242">
        <f>SUMPRODUCT(PRODUCE!$B79:$DY79,PRODUCE!$EB$57:$IY$57)</f>
        <v>0</v>
      </c>
      <c r="SH66" s="56"/>
      <c r="SI66" s="242">
        <f t="shared" si="410"/>
        <v>0</v>
      </c>
      <c r="SJ66" s="242">
        <f t="shared" si="411"/>
        <v>0</v>
      </c>
      <c r="SK66" s="56"/>
      <c r="SN66" s="55">
        <f t="shared" si="412"/>
        <v>46078</v>
      </c>
      <c r="SO66" s="56"/>
      <c r="SP66" s="242">
        <f>SUMPRODUCT(PRODUCE!$B79:$DY79,PRODUCE!$EB$57:$IY$57)</f>
        <v>0</v>
      </c>
      <c r="SQ66" s="56"/>
      <c r="SR66" s="242">
        <f t="shared" si="413"/>
        <v>0</v>
      </c>
      <c r="SS66" s="242">
        <f t="shared" si="414"/>
        <v>0</v>
      </c>
      <c r="ST66" s="56"/>
      <c r="SW66" s="55">
        <f t="shared" si="415"/>
        <v>46078</v>
      </c>
      <c r="SX66" s="56"/>
      <c r="SY66" s="242">
        <f>SUMPRODUCT(PRODUCE!$B79:$DY79,PRODUCE!$EB$57:$IY$57)</f>
        <v>0</v>
      </c>
      <c r="SZ66" s="56"/>
      <c r="TA66" s="242">
        <f t="shared" si="416"/>
        <v>0</v>
      </c>
      <c r="TB66" s="242">
        <f t="shared" si="417"/>
        <v>0</v>
      </c>
      <c r="TC66" s="56"/>
      <c r="TF66" s="55">
        <f t="shared" si="418"/>
        <v>46078</v>
      </c>
      <c r="TG66" s="56"/>
      <c r="TH66" s="242">
        <f>SUMPRODUCT(PRODUCE!$B79:$DY79,PRODUCE!$EB$57:$IY$57)</f>
        <v>0</v>
      </c>
      <c r="TI66" s="56"/>
      <c r="TJ66" s="242">
        <f t="shared" si="419"/>
        <v>0</v>
      </c>
      <c r="TK66" s="242">
        <f t="shared" si="420"/>
        <v>0</v>
      </c>
      <c r="TL66" s="56"/>
      <c r="TO66" s="55">
        <f t="shared" si="421"/>
        <v>46078</v>
      </c>
      <c r="TP66" s="56"/>
      <c r="TQ66" s="242">
        <f>SUMPRODUCT(PRODUCE!$B79:$DY79,PRODUCE!$EB$57:$IY$57)</f>
        <v>0</v>
      </c>
      <c r="TR66" s="56"/>
      <c r="TS66" s="242">
        <f t="shared" si="422"/>
        <v>0</v>
      </c>
      <c r="TT66" s="242">
        <f t="shared" si="423"/>
        <v>0</v>
      </c>
      <c r="TU66" s="56"/>
      <c r="TX66" s="55">
        <f t="shared" si="424"/>
        <v>46078</v>
      </c>
      <c r="TY66" s="56"/>
      <c r="TZ66" s="242">
        <f>SUMPRODUCT(PRODUCE!$B79:$DY79,PRODUCE!$EB$57:$IY$57)</f>
        <v>0</v>
      </c>
      <c r="UA66" s="56"/>
      <c r="UB66" s="242">
        <f t="shared" si="425"/>
        <v>0</v>
      </c>
      <c r="UC66" s="242">
        <f t="shared" si="426"/>
        <v>0</v>
      </c>
      <c r="UD66" s="56"/>
      <c r="UG66" s="55">
        <f t="shared" si="427"/>
        <v>46078</v>
      </c>
      <c r="UH66" s="56"/>
      <c r="UI66" s="242">
        <f>SUMPRODUCT(PRODUCE!$B79:$DY79,PRODUCE!$EB$57:$IY$57)</f>
        <v>0</v>
      </c>
      <c r="UJ66" s="56"/>
      <c r="UK66" s="242">
        <f t="shared" si="428"/>
        <v>0</v>
      </c>
      <c r="UL66" s="242">
        <f t="shared" si="429"/>
        <v>0</v>
      </c>
      <c r="UM66" s="56"/>
      <c r="UP66" s="55">
        <f t="shared" si="430"/>
        <v>46078</v>
      </c>
      <c r="UQ66" s="56"/>
      <c r="UR66" s="242">
        <f>SUMPRODUCT(PRODUCE!$B79:$DY79,PRODUCE!$EB$57:$IY$57)</f>
        <v>0</v>
      </c>
      <c r="US66" s="56"/>
      <c r="UT66" s="242">
        <f t="shared" si="431"/>
        <v>0</v>
      </c>
      <c r="UU66" s="242">
        <f t="shared" si="432"/>
        <v>0</v>
      </c>
      <c r="UV66" s="56"/>
      <c r="UY66" s="55">
        <f t="shared" si="433"/>
        <v>46078</v>
      </c>
      <c r="UZ66" s="56"/>
      <c r="VA66" s="242">
        <f>SUMPRODUCT(PRODUCE!$B79:$DY79,PRODUCE!$EB$57:$IY$57)</f>
        <v>0</v>
      </c>
      <c r="VB66" s="56"/>
      <c r="VC66" s="242">
        <f t="shared" si="434"/>
        <v>0</v>
      </c>
      <c r="VD66" s="242">
        <f t="shared" si="435"/>
        <v>41.600000000000023</v>
      </c>
      <c r="VE66" s="56"/>
      <c r="VH66" s="55">
        <f t="shared" si="436"/>
        <v>46078</v>
      </c>
      <c r="VI66" s="56"/>
      <c r="VJ66" s="242">
        <f>SUMPRODUCT(PRODUCE!$B79:$DY79,PRODUCE!$EB$57:$IY$57)</f>
        <v>0</v>
      </c>
      <c r="VK66" s="56"/>
      <c r="VL66" s="242">
        <f t="shared" si="437"/>
        <v>0</v>
      </c>
      <c r="VM66" s="242">
        <f t="shared" si="438"/>
        <v>0</v>
      </c>
      <c r="VN66" s="56"/>
      <c r="VQ66" s="55">
        <f t="shared" si="439"/>
        <v>46078</v>
      </c>
      <c r="VR66" s="56"/>
      <c r="VS66" s="242">
        <f>SUMPRODUCT(PRODUCE!$B79:$DY79,PRODUCE!$EB$57:$IY$57)</f>
        <v>0</v>
      </c>
      <c r="VT66" s="56"/>
      <c r="VU66" s="242">
        <f t="shared" si="440"/>
        <v>0</v>
      </c>
      <c r="VV66" s="242">
        <f t="shared" si="441"/>
        <v>0</v>
      </c>
      <c r="VW66" s="56"/>
      <c r="VZ66" s="55">
        <f t="shared" si="442"/>
        <v>46078</v>
      </c>
      <c r="WA66" s="56"/>
      <c r="WB66" s="242">
        <f>SUMPRODUCT(PRODUCE!$B79:$DY79,PRODUCE!$EB$57:$IY$57)</f>
        <v>0</v>
      </c>
      <c r="WC66" s="56"/>
      <c r="WD66" s="242">
        <f t="shared" si="443"/>
        <v>0</v>
      </c>
      <c r="WE66" s="242">
        <f t="shared" si="444"/>
        <v>0</v>
      </c>
      <c r="WF66" s="56"/>
      <c r="WI66" s="55">
        <f t="shared" si="445"/>
        <v>46078</v>
      </c>
      <c r="WJ66" s="56"/>
      <c r="WK66" s="242">
        <f>SUMPRODUCT(PRODUCE!$B79:$DY79,PRODUCE!$EB$57:$IY$57)</f>
        <v>0</v>
      </c>
      <c r="WL66" s="56">
        <v>280</v>
      </c>
      <c r="WM66" s="242">
        <f t="shared" si="446"/>
        <v>-280</v>
      </c>
      <c r="WN66" s="242">
        <f t="shared" si="447"/>
        <v>7632</v>
      </c>
      <c r="WO66" s="56"/>
      <c r="WR66" s="55">
        <f t="shared" si="448"/>
        <v>46078</v>
      </c>
      <c r="WS66" s="56"/>
      <c r="WT66" s="242">
        <f>SUMPRODUCT(PRODUCE!$B79:$DY79,PRODUCE!$EB$57:$IY$57)</f>
        <v>0</v>
      </c>
      <c r="WU66" s="56"/>
      <c r="WV66" s="242">
        <f t="shared" si="449"/>
        <v>0</v>
      </c>
      <c r="WW66" s="242">
        <f t="shared" si="450"/>
        <v>6559</v>
      </c>
      <c r="WX66" s="56"/>
      <c r="XA66" s="55">
        <f t="shared" si="451"/>
        <v>46078</v>
      </c>
      <c r="XB66" s="56"/>
      <c r="XC66" s="242">
        <f>SUMPRODUCT(PRODUCE!$B79:$DY79,PRODUCE!$EB$57:$IY$57)</f>
        <v>0</v>
      </c>
      <c r="XD66" s="56"/>
      <c r="XE66" s="242">
        <f t="shared" si="452"/>
        <v>0</v>
      </c>
      <c r="XF66" s="242">
        <f t="shared" si="453"/>
        <v>590</v>
      </c>
      <c r="XG66" s="56"/>
      <c r="XJ66" s="55">
        <f t="shared" si="454"/>
        <v>46078</v>
      </c>
      <c r="XK66" s="56"/>
      <c r="XL66" s="242">
        <f>SUMPRODUCT(PRODUCE!$B79:$DY79,PRODUCE!$EB$57:$IY$57)</f>
        <v>0</v>
      </c>
      <c r="XM66" s="56">
        <v>364</v>
      </c>
      <c r="XN66" s="242">
        <f t="shared" si="455"/>
        <v>-364</v>
      </c>
      <c r="XO66" s="242">
        <f t="shared" si="456"/>
        <v>3391</v>
      </c>
      <c r="XP66" s="56"/>
      <c r="XS66" s="55">
        <f t="shared" si="457"/>
        <v>46078</v>
      </c>
      <c r="XT66" s="56"/>
      <c r="XU66" s="242">
        <f>SUMPRODUCT(PRODUCE!$B79:$DY79,PRODUCE!$EB$57:$IY$57)</f>
        <v>0</v>
      </c>
      <c r="XV66" s="56"/>
      <c r="XW66" s="242">
        <f t="shared" si="458"/>
        <v>0</v>
      </c>
      <c r="XX66" s="242">
        <f t="shared" si="459"/>
        <v>1901</v>
      </c>
      <c r="XY66" s="56"/>
      <c r="YB66" s="55">
        <f t="shared" si="460"/>
        <v>46078</v>
      </c>
      <c r="YC66" s="56">
        <v>707</v>
      </c>
      <c r="YD66" s="242">
        <f>SUMPRODUCT(PRODUCE!$B79:$DY79,PRODUCE!$EB$57:$IY$57)</f>
        <v>0</v>
      </c>
      <c r="YE66" s="56"/>
      <c r="YF66" s="242">
        <f t="shared" si="461"/>
        <v>0</v>
      </c>
      <c r="YG66" s="242">
        <f t="shared" si="462"/>
        <v>0</v>
      </c>
      <c r="YH66" s="56"/>
      <c r="YK66" s="55">
        <f t="shared" si="463"/>
        <v>46078</v>
      </c>
      <c r="YL66" s="56"/>
      <c r="YM66" s="242">
        <f>SUMPRODUCT(PRODUCE!$B79:$DY79,PRODUCE!$EB$57:$IY$57)</f>
        <v>0</v>
      </c>
      <c r="YN66" s="56"/>
      <c r="YO66" s="242">
        <f t="shared" si="464"/>
        <v>0</v>
      </c>
      <c r="YP66" s="242">
        <f t="shared" si="465"/>
        <v>0</v>
      </c>
      <c r="YQ66" s="56"/>
      <c r="YT66" s="55">
        <f t="shared" si="466"/>
        <v>46078</v>
      </c>
      <c r="YU66" s="56"/>
      <c r="YV66" s="242">
        <f>SUMPRODUCT(PRODUCE!$B79:$DY79,PRODUCE!$EB$57:$IY$57)</f>
        <v>0</v>
      </c>
      <c r="YW66" s="56"/>
      <c r="YX66" s="242">
        <f t="shared" si="467"/>
        <v>0</v>
      </c>
      <c r="YY66" s="242">
        <f t="shared" si="468"/>
        <v>0</v>
      </c>
      <c r="YZ66" s="56"/>
      <c r="ZC66" s="55">
        <f t="shared" si="469"/>
        <v>46078</v>
      </c>
      <c r="ZD66" s="56"/>
      <c r="ZE66" s="242">
        <f>SUMPRODUCT(PRODUCE!$B79:$DY79,PRODUCE!$EB$57:$IY$57)</f>
        <v>0</v>
      </c>
      <c r="ZF66" s="56"/>
      <c r="ZG66" s="242">
        <f t="shared" si="470"/>
        <v>0</v>
      </c>
      <c r="ZH66" s="242">
        <f t="shared" si="471"/>
        <v>0</v>
      </c>
      <c r="ZI66" s="56"/>
      <c r="ZL66" s="55">
        <f t="shared" si="472"/>
        <v>46078</v>
      </c>
      <c r="ZM66" s="56"/>
      <c r="ZN66" s="242">
        <f>SUMPRODUCT(PRODUCE!$B79:$DY79,PRODUCE!$EB$57:$IY$57)</f>
        <v>0</v>
      </c>
      <c r="ZO66" s="56"/>
      <c r="ZP66" s="242">
        <f t="shared" si="473"/>
        <v>0</v>
      </c>
      <c r="ZQ66" s="242">
        <f t="shared" si="474"/>
        <v>0</v>
      </c>
      <c r="ZR66" s="56"/>
      <c r="ZU66" s="55">
        <f t="shared" si="475"/>
        <v>46078</v>
      </c>
      <c r="ZV66" s="56"/>
      <c r="ZW66" s="242">
        <f>SUMPRODUCT(PRODUCE!$B79:$DY79,PRODUCE!$EB$57:$IY$57)</f>
        <v>0</v>
      </c>
      <c r="ZX66" s="56"/>
      <c r="ZY66" s="242">
        <f t="shared" si="476"/>
        <v>0</v>
      </c>
      <c r="ZZ66" s="242">
        <f t="shared" si="477"/>
        <v>0</v>
      </c>
      <c r="AAA66" s="56"/>
      <c r="AAD66" s="55">
        <f t="shared" si="478"/>
        <v>46078</v>
      </c>
      <c r="AAE66" s="56"/>
      <c r="AAF66" s="242">
        <f>SUMPRODUCT(PRODUCE!$B79:$DY79,PRODUCE!$EB$57:$IY$57)</f>
        <v>0</v>
      </c>
      <c r="AAG66" s="56"/>
      <c r="AAH66" s="242">
        <f t="shared" si="479"/>
        <v>0</v>
      </c>
      <c r="AAI66" s="242">
        <f t="shared" si="480"/>
        <v>0</v>
      </c>
      <c r="AAJ66" s="56"/>
      <c r="AAM66" s="55">
        <f t="shared" si="481"/>
        <v>46078</v>
      </c>
      <c r="AAN66" s="56"/>
      <c r="AAO66" s="242">
        <f>SUMPRODUCT(PRODUCE!$B79:$DY79,PRODUCE!$EB$57:$IY$57)</f>
        <v>0</v>
      </c>
      <c r="AAP66" s="56"/>
      <c r="AAQ66" s="242">
        <f t="shared" si="482"/>
        <v>0</v>
      </c>
      <c r="AAR66" s="242">
        <f t="shared" si="483"/>
        <v>0</v>
      </c>
      <c r="AAS66" s="56"/>
      <c r="AAV66" s="55">
        <f t="shared" si="484"/>
        <v>46078</v>
      </c>
      <c r="AAW66" s="56"/>
      <c r="AAX66" s="242">
        <f>SUMPRODUCT(PRODUCE!$B79:$DY79,PRODUCE!$EB$57:$IY$57)</f>
        <v>0</v>
      </c>
      <c r="AAY66" s="56"/>
      <c r="AAZ66" s="242">
        <f t="shared" si="485"/>
        <v>0</v>
      </c>
      <c r="ABA66" s="242">
        <f t="shared" si="486"/>
        <v>0</v>
      </c>
      <c r="ABB66" s="56"/>
      <c r="ABE66" s="55">
        <f t="shared" si="487"/>
        <v>46078</v>
      </c>
      <c r="ABF66" s="56"/>
      <c r="ABG66" s="242">
        <f>SUMPRODUCT(PRODUCE!$B79:$DY79,PRODUCE!$EB$57:$IY$57)</f>
        <v>0</v>
      </c>
      <c r="ABH66" s="56"/>
      <c r="ABI66" s="242">
        <f t="shared" si="488"/>
        <v>0</v>
      </c>
      <c r="ABJ66" s="242">
        <f t="shared" si="489"/>
        <v>0</v>
      </c>
      <c r="ABK66" s="56"/>
    </row>
    <row r="67" spans="1:739" s="54" customFormat="1" ht="15" customHeight="1" outlineLevel="1">
      <c r="B67" s="478">
        <v>26</v>
      </c>
      <c r="C67" s="55">
        <v>46079</v>
      </c>
      <c r="D67" s="422">
        <v>40000</v>
      </c>
      <c r="E67" s="424">
        <f>SUMPRODUCT(PRODUCE!$B80:$DY80,PRODUCE!$EB$7:$IY$7)</f>
        <v>13035.100000000002</v>
      </c>
      <c r="F67" s="422">
        <v>13035.6</v>
      </c>
      <c r="G67" s="423">
        <f t="shared" si="247"/>
        <v>-0.49999999999818101</v>
      </c>
      <c r="H67" s="423">
        <f t="shared" si="245"/>
        <v>80339.199999999997</v>
      </c>
      <c r="I67" s="289" t="s">
        <v>212</v>
      </c>
      <c r="L67" s="55">
        <f t="shared" si="246"/>
        <v>46079</v>
      </c>
      <c r="M67" s="422"/>
      <c r="N67" s="439">
        <f>SUMPRODUCT(PRODUCE!$B80:$DY80,PRODUCE!$EB$8:$IY$8)</f>
        <v>5330</v>
      </c>
      <c r="O67" s="422">
        <v>5329.6</v>
      </c>
      <c r="P67" s="438">
        <f t="shared" si="248"/>
        <v>0.3999999999996362</v>
      </c>
      <c r="Q67" s="438">
        <f t="shared" si="249"/>
        <v>18361.400000000031</v>
      </c>
      <c r="R67" s="56"/>
      <c r="U67" s="55">
        <f t="shared" si="250"/>
        <v>46079</v>
      </c>
      <c r="V67" s="422"/>
      <c r="W67" s="441">
        <f>SUMPRODUCT(PRODUCE!$B80:$DY80,PRODUCE!$EB$9:$IY$9)</f>
        <v>2170.9999999999995</v>
      </c>
      <c r="X67" s="422">
        <v>2170.6</v>
      </c>
      <c r="Y67" s="440">
        <f t="shared" si="251"/>
        <v>0.3999999999996362</v>
      </c>
      <c r="Z67" s="440">
        <f t="shared" si="252"/>
        <v>19563.799999999974</v>
      </c>
      <c r="AA67" s="56"/>
      <c r="AD67" s="55">
        <f t="shared" si="253"/>
        <v>46079</v>
      </c>
      <c r="AE67" s="422"/>
      <c r="AF67" s="443">
        <f>SUMPRODUCT(PRODUCE!$B80:$DY80,PRODUCE!$EB$10:$IY$10)</f>
        <v>338.00000000000006</v>
      </c>
      <c r="AG67" s="422">
        <v>338.6</v>
      </c>
      <c r="AH67" s="442">
        <f t="shared" si="254"/>
        <v>-0.59999999999996589</v>
      </c>
      <c r="AI67" s="442">
        <f t="shared" si="255"/>
        <v>36638.900000000016</v>
      </c>
      <c r="AJ67" s="56"/>
      <c r="AM67" s="55">
        <f t="shared" si="256"/>
        <v>46079</v>
      </c>
      <c r="AN67" s="422"/>
      <c r="AO67" s="445">
        <f>SUMPRODUCT(PRODUCE!$B80:$DY80,PRODUCE!$EB$11:$IY$11)</f>
        <v>0</v>
      </c>
      <c r="AP67" s="422"/>
      <c r="AQ67" s="444">
        <f t="shared" si="257"/>
        <v>0</v>
      </c>
      <c r="AR67" s="444">
        <f t="shared" si="258"/>
        <v>0</v>
      </c>
      <c r="AS67" s="56"/>
      <c r="AV67" s="55">
        <f t="shared" si="259"/>
        <v>46079</v>
      </c>
      <c r="AW67" s="422"/>
      <c r="AX67" s="447">
        <f>SUMPRODUCT(PRODUCE!$B80:$DY80,PRODUCE!$EB$12:$IY$12)</f>
        <v>0</v>
      </c>
      <c r="AY67" s="422"/>
      <c r="AZ67" s="446">
        <f t="shared" si="260"/>
        <v>0</v>
      </c>
      <c r="BA67" s="446">
        <f t="shared" si="261"/>
        <v>48522.599999999984</v>
      </c>
      <c r="BB67" s="56"/>
      <c r="BE67" s="55">
        <f t="shared" si="262"/>
        <v>46079</v>
      </c>
      <c r="BF67" s="422"/>
      <c r="BG67" s="449">
        <f>SUMPRODUCT(PRODUCE!$B80:$DY80,PRODUCE!$EB$13:$IY$13)</f>
        <v>1092</v>
      </c>
      <c r="BH67" s="422">
        <v>1092.4000000000001</v>
      </c>
      <c r="BI67" s="448">
        <f t="shared" si="263"/>
        <v>-0.40000000000009095</v>
      </c>
      <c r="BJ67" s="448">
        <f t="shared" si="264"/>
        <v>7501.8000000000047</v>
      </c>
      <c r="BK67" s="56"/>
      <c r="BN67" s="55">
        <f t="shared" si="265"/>
        <v>46079</v>
      </c>
      <c r="BO67" s="422">
        <v>520.1</v>
      </c>
      <c r="BP67" s="451">
        <f>SUMPRODUCT(PRODUCE!$B80:$DY80,PRODUCE!$EB$14:$IY$14)</f>
        <v>520</v>
      </c>
      <c r="BQ67" s="422">
        <v>520.1</v>
      </c>
      <c r="BR67" s="450">
        <f t="shared" si="266"/>
        <v>-0.10000000000002274</v>
      </c>
      <c r="BS67" s="450">
        <f t="shared" si="267"/>
        <v>0</v>
      </c>
      <c r="BT67" s="56"/>
      <c r="BW67" s="55">
        <f t="shared" si="268"/>
        <v>46079</v>
      </c>
      <c r="BX67" s="56"/>
      <c r="BY67" s="81">
        <f>SUMPRODUCT(PRODUCE!$B80:$DY80,PRODUCE!$EB$15:$IY$15)</f>
        <v>172.9</v>
      </c>
      <c r="BZ67" s="56">
        <v>551.4</v>
      </c>
      <c r="CA67" s="65">
        <f t="shared" si="269"/>
        <v>-378.5</v>
      </c>
      <c r="CB67" s="65">
        <f t="shared" si="270"/>
        <v>239.00000000000011</v>
      </c>
      <c r="CC67" s="56"/>
      <c r="CF67" s="55">
        <f t="shared" si="271"/>
        <v>46079</v>
      </c>
      <c r="CG67" s="56"/>
      <c r="CH67" s="82">
        <f>SUMPRODUCT(PRODUCE!$B80:$DY80,PRODUCE!$EB$16:$IY$16)</f>
        <v>260</v>
      </c>
      <c r="CI67" s="56"/>
      <c r="CJ67" s="66">
        <f t="shared" si="272"/>
        <v>260</v>
      </c>
      <c r="CK67" s="66">
        <f t="shared" si="273"/>
        <v>0</v>
      </c>
      <c r="CL67" s="56"/>
      <c r="CO67" s="55">
        <f t="shared" si="274"/>
        <v>46079</v>
      </c>
      <c r="CP67" s="422"/>
      <c r="CQ67" s="471">
        <f>SUMPRODUCT(PRODUCE!$B80:$DY80,PRODUCE!$EB$17:$IY$17)</f>
        <v>0</v>
      </c>
      <c r="CR67" s="422"/>
      <c r="CS67" s="470">
        <f t="shared" si="275"/>
        <v>0</v>
      </c>
      <c r="CT67" s="470">
        <f t="shared" si="276"/>
        <v>0</v>
      </c>
      <c r="CU67" s="56"/>
      <c r="CX67" s="55">
        <f t="shared" si="277"/>
        <v>46079</v>
      </c>
      <c r="CY67" s="56">
        <v>34110</v>
      </c>
      <c r="CZ67" s="136">
        <f>SUMPRODUCT(PRODUCE!$B80:$DY80,PRODUCE!$EB$18:$IY$18)</f>
        <v>1300</v>
      </c>
      <c r="DA67" s="56">
        <v>1300.4000000000001</v>
      </c>
      <c r="DB67" s="133">
        <f t="shared" si="278"/>
        <v>-0.40000000000009095</v>
      </c>
      <c r="DC67" s="133">
        <f t="shared" si="279"/>
        <v>55052.4</v>
      </c>
      <c r="DD67" s="56"/>
      <c r="DG67" s="55">
        <f t="shared" si="280"/>
        <v>46079</v>
      </c>
      <c r="DH67" s="56"/>
      <c r="DI67" s="150">
        <f>SUMPRODUCT(PRODUCE!$B80:$DY80,PRODUCE!$EB$19:$IY$19)</f>
        <v>1040</v>
      </c>
      <c r="DJ67" s="56">
        <v>1041</v>
      </c>
      <c r="DK67" s="147">
        <f t="shared" si="281"/>
        <v>-1</v>
      </c>
      <c r="DL67" s="147">
        <f t="shared" si="282"/>
        <v>310.59999999999718</v>
      </c>
      <c r="DM67" s="56"/>
      <c r="DP67" s="55">
        <f t="shared" si="283"/>
        <v>46079</v>
      </c>
      <c r="DQ67" s="56"/>
      <c r="DR67" s="58">
        <f>SUMPRODUCT(PRODUCE!$B80:$DY80,PRODUCE!$EB$20:$IY$20)</f>
        <v>0</v>
      </c>
      <c r="DS67" s="56"/>
      <c r="DT67" s="57">
        <f t="shared" si="284"/>
        <v>0</v>
      </c>
      <c r="DU67" s="57">
        <f t="shared" si="285"/>
        <v>2300</v>
      </c>
      <c r="DV67" s="56"/>
      <c r="DY67" s="55">
        <f t="shared" si="286"/>
        <v>46079</v>
      </c>
      <c r="DZ67" s="56"/>
      <c r="EA67" s="159">
        <f>SUMPRODUCT(PRODUCE!$B80:$DY80,PRODUCE!$EB$21:$IY$21)</f>
        <v>0</v>
      </c>
      <c r="EB67" s="56"/>
      <c r="EC67" s="157">
        <f t="shared" si="287"/>
        <v>0</v>
      </c>
      <c r="ED67" s="157">
        <f t="shared" si="288"/>
        <v>5696.8</v>
      </c>
      <c r="EE67" s="56"/>
      <c r="EH67" s="55">
        <f t="shared" si="289"/>
        <v>46079</v>
      </c>
      <c r="EI67" s="56"/>
      <c r="EJ67" s="164">
        <f>SUMPRODUCT(PRODUCE!$B80:$DY80,PRODUCE!$EB$22:$IY$22)</f>
        <v>0</v>
      </c>
      <c r="EK67" s="56"/>
      <c r="EL67" s="162">
        <f t="shared" si="290"/>
        <v>0</v>
      </c>
      <c r="EM67" s="162">
        <f t="shared" si="291"/>
        <v>0</v>
      </c>
      <c r="EN67" s="56"/>
      <c r="EQ67" s="55">
        <f t="shared" si="292"/>
        <v>46079</v>
      </c>
      <c r="ER67" s="56"/>
      <c r="ES67" s="171">
        <f>SUMPRODUCT(PRODUCE!$B80:$DY80,PRODUCE!$EB$23:$IY$23)</f>
        <v>0</v>
      </c>
      <c r="ET67" s="56"/>
      <c r="EU67" s="135">
        <f t="shared" si="293"/>
        <v>0</v>
      </c>
      <c r="EV67" s="135">
        <f t="shared" si="294"/>
        <v>0</v>
      </c>
      <c r="EW67" s="56"/>
      <c r="EZ67" s="55">
        <f t="shared" si="295"/>
        <v>46079</v>
      </c>
      <c r="FA67" s="56"/>
      <c r="FB67" s="178">
        <f>SUMPRODUCT(PRODUCE!$B80:$DY80,PRODUCE!$EB$24:$IY$24)</f>
        <v>0</v>
      </c>
      <c r="FC67" s="56"/>
      <c r="FD67" s="175">
        <f t="shared" si="296"/>
        <v>0</v>
      </c>
      <c r="FE67" s="175">
        <f t="shared" si="297"/>
        <v>0</v>
      </c>
      <c r="FF67" s="56"/>
      <c r="FI67" s="55">
        <f t="shared" si="298"/>
        <v>46079</v>
      </c>
      <c r="FJ67" s="56"/>
      <c r="FK67" s="184">
        <f>SUMPRODUCT(PRODUCE!$B80:$DY80,PRODUCE!$EB$25:$IY$25)</f>
        <v>0</v>
      </c>
      <c r="FL67" s="56"/>
      <c r="FM67" s="183">
        <f t="shared" si="299"/>
        <v>0</v>
      </c>
      <c r="FN67" s="183">
        <f t="shared" si="300"/>
        <v>0</v>
      </c>
      <c r="FO67" s="56"/>
      <c r="FR67" s="55">
        <f t="shared" si="301"/>
        <v>46079</v>
      </c>
      <c r="FS67" s="422"/>
      <c r="FT67" s="453">
        <f>SUMPRODUCT(PRODUCE!$B80:$DY80,PRODUCE!$EB$26:$IY$26)</f>
        <v>0</v>
      </c>
      <c r="FU67" s="422"/>
      <c r="FV67" s="452">
        <f t="shared" si="302"/>
        <v>0</v>
      </c>
      <c r="FW67" s="452">
        <f t="shared" si="303"/>
        <v>1620</v>
      </c>
      <c r="FX67" s="56"/>
      <c r="GA67" s="55">
        <f t="shared" si="304"/>
        <v>46079</v>
      </c>
      <c r="GB67" s="422"/>
      <c r="GC67" s="455">
        <f>SUMPRODUCT(PRODUCE!$B80:$DY80,PRODUCE!$EB$27:$IY$27)</f>
        <v>0</v>
      </c>
      <c r="GD67" s="422"/>
      <c r="GE67" s="454">
        <f t="shared" si="305"/>
        <v>0</v>
      </c>
      <c r="GF67" s="454">
        <f t="shared" si="306"/>
        <v>5960</v>
      </c>
      <c r="GG67" s="56"/>
      <c r="GI67" s="23"/>
      <c r="GJ67" s="55">
        <f t="shared" si="307"/>
        <v>46079</v>
      </c>
      <c r="GK67" s="422"/>
      <c r="GL67" s="457">
        <f>SUMPRODUCT(PRODUCE!$B80:$DY80,PRODUCE!$EB$28:$IY$28)</f>
        <v>0</v>
      </c>
      <c r="GM67" s="422"/>
      <c r="GN67" s="456">
        <f t="shared" si="308"/>
        <v>0</v>
      </c>
      <c r="GO67" s="456">
        <f t="shared" si="309"/>
        <v>5240</v>
      </c>
      <c r="GP67" s="56"/>
      <c r="GS67" s="55">
        <f t="shared" si="310"/>
        <v>46079</v>
      </c>
      <c r="GT67" s="56"/>
      <c r="GU67" s="196">
        <f>SUMPRODUCT(PRODUCE!$B80:$DY80,PRODUCE!$EB$29:$IY$29)</f>
        <v>0</v>
      </c>
      <c r="GV67" s="56"/>
      <c r="GW67" s="195">
        <f t="shared" si="311"/>
        <v>0</v>
      </c>
      <c r="GX67" s="195">
        <f t="shared" si="312"/>
        <v>0</v>
      </c>
      <c r="GY67" s="56"/>
      <c r="HB67" s="55">
        <f t="shared" si="313"/>
        <v>46079</v>
      </c>
      <c r="HC67" s="56"/>
      <c r="HD67" s="192">
        <f>SUMPRODUCT(PRODUCE!$B80:$DY80,PRODUCE!$EB$30:$IY$30)</f>
        <v>0</v>
      </c>
      <c r="HE67" s="56"/>
      <c r="HF67" s="191">
        <f t="shared" si="314"/>
        <v>0</v>
      </c>
      <c r="HG67" s="191">
        <f t="shared" si="315"/>
        <v>0</v>
      </c>
      <c r="HH67" s="56"/>
      <c r="HK67" s="55">
        <f t="shared" si="316"/>
        <v>46079</v>
      </c>
      <c r="HL67" s="56"/>
      <c r="HM67" s="80">
        <f>SUMPRODUCT(PRODUCE!$B80:$DY80,PRODUCE!$EB$31:$IY$31)</f>
        <v>0</v>
      </c>
      <c r="HN67" s="56"/>
      <c r="HO67" s="63">
        <f t="shared" si="317"/>
        <v>0</v>
      </c>
      <c r="HP67" s="63">
        <f t="shared" si="318"/>
        <v>0</v>
      </c>
      <c r="HQ67" s="56"/>
      <c r="HU67" s="55">
        <f t="shared" si="319"/>
        <v>46079</v>
      </c>
      <c r="HV67" s="56"/>
      <c r="HW67" s="242">
        <f>SUMPRODUCT(PRODUCE!$B80:$DY80,PRODUCE!$EB$32:$IY$32)</f>
        <v>0</v>
      </c>
      <c r="HX67" s="56"/>
      <c r="HY67" s="242">
        <f t="shared" si="320"/>
        <v>0</v>
      </c>
      <c r="HZ67" s="242">
        <f t="shared" si="321"/>
        <v>5120</v>
      </c>
      <c r="IA67" s="56"/>
      <c r="ID67" s="55">
        <f t="shared" si="322"/>
        <v>46079</v>
      </c>
      <c r="IE67" s="56"/>
      <c r="IF67" s="242">
        <f>SUMPRODUCT(PRODUCE!$B80:$DY80,PRODUCE!$EB$33:$IY$33)</f>
        <v>0</v>
      </c>
      <c r="IG67" s="56"/>
      <c r="IH67" s="242">
        <f t="shared" si="323"/>
        <v>0</v>
      </c>
      <c r="II67" s="242">
        <f t="shared" si="324"/>
        <v>5100</v>
      </c>
      <c r="IJ67" s="56"/>
      <c r="IM67" s="55">
        <f t="shared" si="325"/>
        <v>46079</v>
      </c>
      <c r="IN67" s="56"/>
      <c r="IO67" s="242">
        <f>SUMPRODUCT(PRODUCE!$B80:$DY80,PRODUCE!$EB$34:$IY$34)</f>
        <v>0</v>
      </c>
      <c r="IP67" s="56"/>
      <c r="IQ67" s="242">
        <f t="shared" si="326"/>
        <v>0</v>
      </c>
      <c r="IR67" s="242">
        <f t="shared" si="327"/>
        <v>10240</v>
      </c>
      <c r="IS67" s="56"/>
      <c r="IV67" s="55">
        <f t="shared" si="328"/>
        <v>46079</v>
      </c>
      <c r="IW67" s="56"/>
      <c r="IX67" s="242">
        <f>SUMPRODUCT(PRODUCE!$B80:$DY80,PRODUCE!$EB$35:$IY$35)</f>
        <v>0</v>
      </c>
      <c r="IY67" s="56"/>
      <c r="IZ67" s="242">
        <f t="shared" si="329"/>
        <v>0</v>
      </c>
      <c r="JA67" s="242">
        <f t="shared" si="330"/>
        <v>15120</v>
      </c>
      <c r="JB67" s="56"/>
      <c r="JE67" s="55">
        <f t="shared" si="331"/>
        <v>46079</v>
      </c>
      <c r="JF67" s="56"/>
      <c r="JG67" s="242">
        <f>SUMPRODUCT(PRODUCE!$B80:$DY80,PRODUCE!$EB$36:$IY$36)</f>
        <v>0</v>
      </c>
      <c r="JH67" s="56"/>
      <c r="JI67" s="242">
        <f t="shared" si="332"/>
        <v>0</v>
      </c>
      <c r="JJ67" s="242">
        <f t="shared" si="333"/>
        <v>3600</v>
      </c>
      <c r="JK67" s="56"/>
      <c r="JN67" s="55">
        <f t="shared" si="334"/>
        <v>46079</v>
      </c>
      <c r="JO67" s="56"/>
      <c r="JP67" s="242">
        <f>SUMPRODUCT(PRODUCE!$B80:$DY80,PRODUCE!$EB$37:$IY$37)</f>
        <v>0</v>
      </c>
      <c r="JQ67" s="56"/>
      <c r="JR67" s="242">
        <f t="shared" si="335"/>
        <v>0</v>
      </c>
      <c r="JS67" s="242">
        <f t="shared" si="336"/>
        <v>5400</v>
      </c>
      <c r="JT67" s="56"/>
      <c r="JW67" s="55">
        <f t="shared" si="337"/>
        <v>46079</v>
      </c>
      <c r="JX67" s="56"/>
      <c r="JY67" s="242">
        <f>SUMPRODUCT(PRODUCE!$B80:$DY80,PRODUCE!$EB$38:$IY$38)</f>
        <v>0</v>
      </c>
      <c r="JZ67" s="56"/>
      <c r="KA67" s="242">
        <f t="shared" si="338"/>
        <v>0</v>
      </c>
      <c r="KB67" s="242">
        <f t="shared" si="339"/>
        <v>4000</v>
      </c>
      <c r="KC67" s="56"/>
      <c r="KF67" s="55">
        <f t="shared" si="340"/>
        <v>46079</v>
      </c>
      <c r="KG67" s="56"/>
      <c r="KH67" s="242">
        <f>SUMPRODUCT(PRODUCE!$B80:$DY80,PRODUCE!$EB$39:$IY$39)</f>
        <v>507</v>
      </c>
      <c r="KI67" s="56"/>
      <c r="KJ67" s="242">
        <f t="shared" si="341"/>
        <v>507</v>
      </c>
      <c r="KK67" s="242">
        <f t="shared" si="342"/>
        <v>1287</v>
      </c>
      <c r="KL67" s="56"/>
      <c r="KO67" s="55">
        <f t="shared" si="343"/>
        <v>46079</v>
      </c>
      <c r="KP67" s="56"/>
      <c r="KQ67" s="242">
        <f>SUMPRODUCT(PRODUCE!$B80:$DY80,PRODUCE!$EB$40:$IY$40)</f>
        <v>0</v>
      </c>
      <c r="KR67" s="56"/>
      <c r="KS67" s="242">
        <f t="shared" si="344"/>
        <v>0</v>
      </c>
      <c r="KT67" s="242">
        <f t="shared" si="345"/>
        <v>10281.6</v>
      </c>
      <c r="KU67" s="56"/>
      <c r="KW67" s="23"/>
      <c r="KX67" s="55">
        <f t="shared" si="346"/>
        <v>46079</v>
      </c>
      <c r="KY67" s="56"/>
      <c r="KZ67" s="242">
        <f>SUMPRODUCT(PRODUCE!$B80:$DY80,PRODUCE!$EB$41:$IY$41)</f>
        <v>0</v>
      </c>
      <c r="LA67" s="56"/>
      <c r="LB67" s="242">
        <f t="shared" si="347"/>
        <v>0</v>
      </c>
      <c r="LC67" s="242">
        <f t="shared" si="348"/>
        <v>0</v>
      </c>
      <c r="LD67" s="56"/>
      <c r="LG67" s="55">
        <f t="shared" si="349"/>
        <v>46079</v>
      </c>
      <c r="LH67" s="56"/>
      <c r="LI67" s="242">
        <f>SUMPRODUCT(PRODUCE!$B80:$DY80,PRODUCE!$EB$42:$IY$42)</f>
        <v>0</v>
      </c>
      <c r="LJ67" s="56"/>
      <c r="LK67" s="242">
        <f t="shared" si="350"/>
        <v>0</v>
      </c>
      <c r="LL67" s="242">
        <f t="shared" si="351"/>
        <v>0</v>
      </c>
      <c r="LM67" s="56"/>
      <c r="LP67" s="55">
        <f t="shared" si="352"/>
        <v>46079</v>
      </c>
      <c r="LQ67" s="56"/>
      <c r="LR67" s="242">
        <f>SUMPRODUCT(PRODUCE!$B82:$DY82,PRODUCE!$EB$43:$IY$43)</f>
        <v>0</v>
      </c>
      <c r="LS67" s="56"/>
      <c r="LT67" s="242">
        <f t="shared" si="353"/>
        <v>0</v>
      </c>
      <c r="LU67" s="242">
        <f t="shared" si="354"/>
        <v>0</v>
      </c>
      <c r="LV67" s="56"/>
      <c r="LY67" s="55">
        <f t="shared" si="355"/>
        <v>46079</v>
      </c>
      <c r="LZ67" s="56"/>
      <c r="MA67" s="242">
        <f>SUMPRODUCT(PRODUCE!$B82:$DY82,PRODUCE!$EB$44:$IY$44)</f>
        <v>0</v>
      </c>
      <c r="MB67" s="56"/>
      <c r="MC67" s="242">
        <f t="shared" si="356"/>
        <v>0</v>
      </c>
      <c r="MD67" s="242">
        <f t="shared" si="357"/>
        <v>0</v>
      </c>
      <c r="ME67" s="56"/>
      <c r="MH67" s="55">
        <f t="shared" si="358"/>
        <v>46079</v>
      </c>
      <c r="MI67" s="56"/>
      <c r="MJ67" s="242">
        <f>SUMPRODUCT(PRODUCE!$B80:$DY80,PRODUCE!$EB$45:$IY$45)</f>
        <v>0</v>
      </c>
      <c r="MK67" s="56"/>
      <c r="ML67" s="242">
        <f t="shared" si="359"/>
        <v>0</v>
      </c>
      <c r="MM67" s="242">
        <f t="shared" si="360"/>
        <v>0</v>
      </c>
      <c r="MN67" s="56"/>
      <c r="MQ67" s="55">
        <f t="shared" si="361"/>
        <v>46079</v>
      </c>
      <c r="MR67" s="56">
        <v>500</v>
      </c>
      <c r="MS67" s="242">
        <f>SUMPRODUCT(PRODUCE!$B80:$DY80,PRODUCE!$EB$46:$IY$46)</f>
        <v>52</v>
      </c>
      <c r="MT67" s="56">
        <v>553</v>
      </c>
      <c r="MU67" s="242">
        <f t="shared" si="362"/>
        <v>-501</v>
      </c>
      <c r="MV67" s="242">
        <f t="shared" si="363"/>
        <v>4270</v>
      </c>
      <c r="MW67" s="56"/>
      <c r="MZ67" s="55">
        <f t="shared" si="364"/>
        <v>46079</v>
      </c>
      <c r="NA67" s="56"/>
      <c r="NB67" s="242">
        <f>SUMPRODUCT(PRODUCE!$B80:$DY80,PRODUCE!$EB$47:$IY$47)</f>
        <v>78</v>
      </c>
      <c r="NC67" s="56"/>
      <c r="ND67" s="242">
        <f t="shared" si="365"/>
        <v>78</v>
      </c>
      <c r="NE67" s="242">
        <f t="shared" si="366"/>
        <v>0</v>
      </c>
      <c r="NF67" s="56"/>
      <c r="NI67" s="55">
        <f t="shared" si="367"/>
        <v>46079</v>
      </c>
      <c r="NJ67" s="56"/>
      <c r="NK67" s="242">
        <f>SUMPRODUCT(PRODUCE!$B80:$DY80,PRODUCE!$EB$48:$IY$48)</f>
        <v>0</v>
      </c>
      <c r="NL67" s="56"/>
      <c r="NM67" s="242">
        <f t="shared" si="368"/>
        <v>0</v>
      </c>
      <c r="NN67" s="242">
        <f t="shared" si="369"/>
        <v>0</v>
      </c>
      <c r="NO67" s="56"/>
      <c r="NR67" s="55">
        <f t="shared" si="370"/>
        <v>46079</v>
      </c>
      <c r="NS67" s="56"/>
      <c r="NT67" s="242">
        <f>SUMPRODUCT(PRODUCE!$B80:$DY80,PRODUCE!$EB$49:$IY$49)</f>
        <v>31.2</v>
      </c>
      <c r="NU67" s="56">
        <v>316.8</v>
      </c>
      <c r="NV67" s="242">
        <f t="shared" si="371"/>
        <v>-285.60000000000002</v>
      </c>
      <c r="NW67" s="242">
        <f t="shared" si="372"/>
        <v>1969.2</v>
      </c>
      <c r="NX67" s="56"/>
      <c r="OA67" s="55">
        <f t="shared" si="373"/>
        <v>46079</v>
      </c>
      <c r="OB67" s="56"/>
      <c r="OC67" s="242">
        <f>SUMPRODUCT(PRODUCE!$B80:$DY80,PRODUCE!$EB$50:$IY$50)</f>
        <v>0</v>
      </c>
      <c r="OD67" s="56"/>
      <c r="OE67" s="242">
        <f t="shared" si="374"/>
        <v>0</v>
      </c>
      <c r="OF67" s="242">
        <f t="shared" si="375"/>
        <v>1680.5</v>
      </c>
      <c r="OG67" s="56"/>
      <c r="OJ67" s="55">
        <f t="shared" si="376"/>
        <v>46079</v>
      </c>
      <c r="OK67" s="56"/>
      <c r="OL67" s="242">
        <f>SUMPRODUCT(PRODUCE!$B80:$DY80,PRODUCE!$EB$51:$IY$51)</f>
        <v>72.799999999999983</v>
      </c>
      <c r="OM67" s="56"/>
      <c r="ON67" s="242">
        <f t="shared" si="377"/>
        <v>72.799999999999983</v>
      </c>
      <c r="OO67" s="242">
        <f t="shared" si="378"/>
        <v>0</v>
      </c>
      <c r="OP67" s="56"/>
      <c r="OS67" s="55">
        <f t="shared" si="379"/>
        <v>46079</v>
      </c>
      <c r="OT67" s="56"/>
      <c r="OU67" s="242">
        <f>SUMPRODUCT(PRODUCE!$B80:$DY80,PRODUCE!$EB$52:$IY$52)</f>
        <v>0</v>
      </c>
      <c r="OV67" s="56"/>
      <c r="OW67" s="242">
        <f t="shared" si="380"/>
        <v>0</v>
      </c>
      <c r="OX67" s="242">
        <f t="shared" si="381"/>
        <v>0</v>
      </c>
      <c r="OY67" s="56"/>
      <c r="PB67" s="55">
        <f t="shared" si="382"/>
        <v>46079</v>
      </c>
      <c r="PC67" s="56"/>
      <c r="PD67" s="242">
        <f>SUMPRODUCT(PRODUCE!$B80:$DY80,PRODUCE!$EB$53:$IY$53)</f>
        <v>0</v>
      </c>
      <c r="PE67" s="56"/>
      <c r="PF67" s="242">
        <f t="shared" si="383"/>
        <v>0</v>
      </c>
      <c r="PG67" s="242">
        <f t="shared" si="384"/>
        <v>0</v>
      </c>
      <c r="PH67" s="56"/>
      <c r="PK67" s="55">
        <f t="shared" si="385"/>
        <v>46079</v>
      </c>
      <c r="PL67" s="56"/>
      <c r="PM67" s="242">
        <f>SUMPRODUCT(PRODUCE!$B80:$DY80,PRODUCE!$EB$54:$IY$54)</f>
        <v>0</v>
      </c>
      <c r="PN67" s="56">
        <v>60</v>
      </c>
      <c r="PO67" s="242">
        <f t="shared" si="386"/>
        <v>-60</v>
      </c>
      <c r="PP67" s="242">
        <f t="shared" si="387"/>
        <v>100</v>
      </c>
      <c r="PQ67" s="56"/>
      <c r="PT67" s="55">
        <f t="shared" si="388"/>
        <v>46079</v>
      </c>
      <c r="PU67" s="56"/>
      <c r="PV67" s="242">
        <f>SUMPRODUCT(PRODUCE!$B80:$DY80,PRODUCE!$EB$55:$IY$55)</f>
        <v>0</v>
      </c>
      <c r="PW67" s="56"/>
      <c r="PX67" s="242">
        <f t="shared" si="389"/>
        <v>0</v>
      </c>
      <c r="PY67" s="242">
        <f t="shared" si="390"/>
        <v>13.960000000000036</v>
      </c>
      <c r="PZ67" s="56"/>
      <c r="QC67" s="55">
        <f t="shared" si="391"/>
        <v>46079</v>
      </c>
      <c r="QD67" s="56"/>
      <c r="QE67" s="242">
        <f>SUMPRODUCT(PRODUCE!$B80:$DY80,PRODUCE!$EB$56:$IY$56)</f>
        <v>0</v>
      </c>
      <c r="QF67" s="56"/>
      <c r="QG67" s="242">
        <f t="shared" si="392"/>
        <v>0</v>
      </c>
      <c r="QH67" s="242">
        <f t="shared" si="393"/>
        <v>0</v>
      </c>
      <c r="QI67" s="56"/>
      <c r="QL67" s="55">
        <f t="shared" si="394"/>
        <v>46079</v>
      </c>
      <c r="QM67" s="56"/>
      <c r="QN67" s="242">
        <f>SUMPRODUCT(PRODUCE!$B80:$DY80,PRODUCE!$EB$57:$IY$57)</f>
        <v>0</v>
      </c>
      <c r="QO67" s="56"/>
      <c r="QP67" s="242">
        <f t="shared" si="395"/>
        <v>0</v>
      </c>
      <c r="QQ67" s="242">
        <f t="shared" si="396"/>
        <v>0</v>
      </c>
      <c r="QR67" s="56"/>
      <c r="QU67" s="55">
        <f t="shared" si="397"/>
        <v>46079</v>
      </c>
      <c r="QV67" s="56"/>
      <c r="QW67" s="242">
        <f>SUMPRODUCT(PRODUCE!$B80:$DY80,PRODUCE!$EB$57:$IY$57)</f>
        <v>0</v>
      </c>
      <c r="QX67" s="56"/>
      <c r="QY67" s="242">
        <f t="shared" si="398"/>
        <v>0</v>
      </c>
      <c r="QZ67" s="242">
        <f t="shared" si="399"/>
        <v>207.6</v>
      </c>
      <c r="RA67" s="56"/>
      <c r="RD67" s="55">
        <f t="shared" si="400"/>
        <v>46079</v>
      </c>
      <c r="RE67" s="56"/>
      <c r="RF67" s="242">
        <f>SUMPRODUCT(PRODUCE!$B80:$DY80,PRODUCE!$EB$58:$IY$58)</f>
        <v>0</v>
      </c>
      <c r="RG67" s="56"/>
      <c r="RH67" s="242">
        <f t="shared" si="401"/>
        <v>0</v>
      </c>
      <c r="RI67" s="242">
        <f t="shared" si="402"/>
        <v>197.04000000000002</v>
      </c>
      <c r="RJ67" s="56"/>
      <c r="RM67" s="55">
        <f t="shared" si="403"/>
        <v>46079</v>
      </c>
      <c r="RN67" s="56"/>
      <c r="RO67" s="242">
        <f>SUMPRODUCT(PRODUCE!$B80:$DY80,PRODUCE!$EB$57:$IY$57)</f>
        <v>0</v>
      </c>
      <c r="RP67" s="56"/>
      <c r="RQ67" s="242">
        <f t="shared" si="404"/>
        <v>0</v>
      </c>
      <c r="RR67" s="242">
        <f t="shared" si="405"/>
        <v>46.8</v>
      </c>
      <c r="RS67" s="56"/>
      <c r="RV67" s="55">
        <f t="shared" si="406"/>
        <v>46079</v>
      </c>
      <c r="RW67" s="56"/>
      <c r="RX67" s="242">
        <f>SUMPRODUCT(PRODUCE!$B80:$DY80,PRODUCE!$EB$57:$IY$57)</f>
        <v>0</v>
      </c>
      <c r="RY67" s="56"/>
      <c r="RZ67" s="242">
        <f t="shared" si="407"/>
        <v>0</v>
      </c>
      <c r="SA67" s="242">
        <f t="shared" si="408"/>
        <v>0</v>
      </c>
      <c r="SB67" s="56"/>
      <c r="SE67" s="55">
        <f t="shared" si="409"/>
        <v>46079</v>
      </c>
      <c r="SF67" s="56"/>
      <c r="SG67" s="242">
        <f>SUMPRODUCT(PRODUCE!$B80:$DY80,PRODUCE!$EB$57:$IY$57)</f>
        <v>0</v>
      </c>
      <c r="SH67" s="56"/>
      <c r="SI67" s="242">
        <f t="shared" si="410"/>
        <v>0</v>
      </c>
      <c r="SJ67" s="242">
        <f t="shared" si="411"/>
        <v>0</v>
      </c>
      <c r="SK67" s="56"/>
      <c r="SN67" s="55">
        <f t="shared" si="412"/>
        <v>46079</v>
      </c>
      <c r="SO67" s="56"/>
      <c r="SP67" s="242">
        <f>SUMPRODUCT(PRODUCE!$B80:$DY80,PRODUCE!$EB$57:$IY$57)</f>
        <v>0</v>
      </c>
      <c r="SQ67" s="56"/>
      <c r="SR67" s="242">
        <f t="shared" si="413"/>
        <v>0</v>
      </c>
      <c r="SS67" s="242">
        <f t="shared" si="414"/>
        <v>0</v>
      </c>
      <c r="ST67" s="56"/>
      <c r="SW67" s="55">
        <f t="shared" si="415"/>
        <v>46079</v>
      </c>
      <c r="SX67" s="56"/>
      <c r="SY67" s="242">
        <f>SUMPRODUCT(PRODUCE!$B80:$DY80,PRODUCE!$EB$57:$IY$57)</f>
        <v>0</v>
      </c>
      <c r="SZ67" s="56"/>
      <c r="TA67" s="242">
        <f t="shared" si="416"/>
        <v>0</v>
      </c>
      <c r="TB67" s="242">
        <f t="shared" si="417"/>
        <v>0</v>
      </c>
      <c r="TC67" s="56"/>
      <c r="TF67" s="55">
        <f t="shared" si="418"/>
        <v>46079</v>
      </c>
      <c r="TG67" s="56"/>
      <c r="TH67" s="242">
        <f>SUMPRODUCT(PRODUCE!$B80:$DY80,PRODUCE!$EB$57:$IY$57)</f>
        <v>0</v>
      </c>
      <c r="TI67" s="56"/>
      <c r="TJ67" s="242">
        <f t="shared" si="419"/>
        <v>0</v>
      </c>
      <c r="TK67" s="242">
        <f t="shared" si="420"/>
        <v>0</v>
      </c>
      <c r="TL67" s="56"/>
      <c r="TO67" s="55">
        <f t="shared" si="421"/>
        <v>46079</v>
      </c>
      <c r="TP67" s="56"/>
      <c r="TQ67" s="242">
        <f>SUMPRODUCT(PRODUCE!$B80:$DY80,PRODUCE!$EB$57:$IY$57)</f>
        <v>0</v>
      </c>
      <c r="TR67" s="56"/>
      <c r="TS67" s="242">
        <f t="shared" si="422"/>
        <v>0</v>
      </c>
      <c r="TT67" s="242">
        <f t="shared" si="423"/>
        <v>0</v>
      </c>
      <c r="TU67" s="56"/>
      <c r="TX67" s="55">
        <f t="shared" si="424"/>
        <v>46079</v>
      </c>
      <c r="TY67" s="56"/>
      <c r="TZ67" s="242">
        <f>SUMPRODUCT(PRODUCE!$B80:$DY80,PRODUCE!$EB$57:$IY$57)</f>
        <v>0</v>
      </c>
      <c r="UA67" s="56"/>
      <c r="UB67" s="242">
        <f t="shared" si="425"/>
        <v>0</v>
      </c>
      <c r="UC67" s="242">
        <f t="shared" si="426"/>
        <v>0</v>
      </c>
      <c r="UD67" s="56"/>
      <c r="UG67" s="55">
        <f t="shared" si="427"/>
        <v>46079</v>
      </c>
      <c r="UH67" s="56"/>
      <c r="UI67" s="242">
        <f>SUMPRODUCT(PRODUCE!$B80:$DY80,PRODUCE!$EB$57:$IY$57)</f>
        <v>0</v>
      </c>
      <c r="UJ67" s="56"/>
      <c r="UK67" s="242">
        <f t="shared" si="428"/>
        <v>0</v>
      </c>
      <c r="UL67" s="242">
        <f t="shared" si="429"/>
        <v>0</v>
      </c>
      <c r="UM67" s="56"/>
      <c r="UP67" s="55">
        <f t="shared" si="430"/>
        <v>46079</v>
      </c>
      <c r="UQ67" s="56"/>
      <c r="UR67" s="242">
        <f>SUMPRODUCT(PRODUCE!$B80:$DY80,PRODUCE!$EB$57:$IY$57)</f>
        <v>0</v>
      </c>
      <c r="US67" s="56"/>
      <c r="UT67" s="242">
        <f t="shared" si="431"/>
        <v>0</v>
      </c>
      <c r="UU67" s="242">
        <f t="shared" si="432"/>
        <v>0</v>
      </c>
      <c r="UV67" s="56"/>
      <c r="UY67" s="55">
        <f t="shared" si="433"/>
        <v>46079</v>
      </c>
      <c r="UZ67" s="56"/>
      <c r="VA67" s="242">
        <f>SUMPRODUCT(PRODUCE!$B80:$DY80,PRODUCE!$EB$57:$IY$57)</f>
        <v>0</v>
      </c>
      <c r="VB67" s="56"/>
      <c r="VC67" s="242">
        <f t="shared" si="434"/>
        <v>0</v>
      </c>
      <c r="VD67" s="242">
        <f t="shared" si="435"/>
        <v>41.600000000000023</v>
      </c>
      <c r="VE67" s="56"/>
      <c r="VH67" s="55">
        <f t="shared" si="436"/>
        <v>46079</v>
      </c>
      <c r="VI67" s="56"/>
      <c r="VJ67" s="242">
        <f>SUMPRODUCT(PRODUCE!$B80:$DY80,PRODUCE!$EB$57:$IY$57)</f>
        <v>0</v>
      </c>
      <c r="VK67" s="56"/>
      <c r="VL67" s="242">
        <f t="shared" si="437"/>
        <v>0</v>
      </c>
      <c r="VM67" s="242">
        <f t="shared" si="438"/>
        <v>0</v>
      </c>
      <c r="VN67" s="56"/>
      <c r="VQ67" s="55">
        <f t="shared" si="439"/>
        <v>46079</v>
      </c>
      <c r="VR67" s="56"/>
      <c r="VS67" s="242">
        <f>SUMPRODUCT(PRODUCE!$B80:$DY80,PRODUCE!$EB$57:$IY$57)</f>
        <v>0</v>
      </c>
      <c r="VT67" s="56"/>
      <c r="VU67" s="242">
        <f t="shared" si="440"/>
        <v>0</v>
      </c>
      <c r="VV67" s="242">
        <f t="shared" si="441"/>
        <v>0</v>
      </c>
      <c r="VW67" s="56"/>
      <c r="VZ67" s="55">
        <f t="shared" si="442"/>
        <v>46079</v>
      </c>
      <c r="WA67" s="56"/>
      <c r="WB67" s="242">
        <f>SUMPRODUCT(PRODUCE!$B80:$DY80,PRODUCE!$EB$57:$IY$57)</f>
        <v>0</v>
      </c>
      <c r="WC67" s="56"/>
      <c r="WD67" s="242">
        <f t="shared" si="443"/>
        <v>0</v>
      </c>
      <c r="WE67" s="242">
        <f t="shared" si="444"/>
        <v>0</v>
      </c>
      <c r="WF67" s="56"/>
      <c r="WI67" s="55">
        <f t="shared" si="445"/>
        <v>46079</v>
      </c>
      <c r="WJ67" s="56"/>
      <c r="WK67" s="242">
        <f>SUMPRODUCT(PRODUCE!$B80:$DY80,PRODUCE!$EB$57:$IY$57)</f>
        <v>0</v>
      </c>
      <c r="WL67" s="56"/>
      <c r="WM67" s="242">
        <f t="shared" si="446"/>
        <v>0</v>
      </c>
      <c r="WN67" s="242">
        <f t="shared" si="447"/>
        <v>7632</v>
      </c>
      <c r="WO67" s="56"/>
      <c r="WR67" s="55">
        <f t="shared" si="448"/>
        <v>46079</v>
      </c>
      <c r="WS67" s="56"/>
      <c r="WT67" s="242">
        <f>SUMPRODUCT(PRODUCE!$B80:$DY80,PRODUCE!$EB$57:$IY$57)</f>
        <v>0</v>
      </c>
      <c r="WU67" s="56"/>
      <c r="WV67" s="242">
        <f t="shared" si="449"/>
        <v>0</v>
      </c>
      <c r="WW67" s="242">
        <f t="shared" si="450"/>
        <v>6559</v>
      </c>
      <c r="WX67" s="56"/>
      <c r="XA67" s="55">
        <f t="shared" si="451"/>
        <v>46079</v>
      </c>
      <c r="XB67" s="56"/>
      <c r="XC67" s="242">
        <f>SUMPRODUCT(PRODUCE!$B80:$DY80,PRODUCE!$EB$57:$IY$57)</f>
        <v>0</v>
      </c>
      <c r="XD67" s="56"/>
      <c r="XE67" s="242">
        <f t="shared" si="452"/>
        <v>0</v>
      </c>
      <c r="XF67" s="242">
        <f t="shared" si="453"/>
        <v>590</v>
      </c>
      <c r="XG67" s="56"/>
      <c r="XJ67" s="55">
        <f t="shared" si="454"/>
        <v>46079</v>
      </c>
      <c r="XK67" s="56"/>
      <c r="XL67" s="242">
        <f>SUMPRODUCT(PRODUCE!$B80:$DY80,PRODUCE!$EB$57:$IY$57)</f>
        <v>0</v>
      </c>
      <c r="XM67" s="56"/>
      <c r="XN67" s="242">
        <f t="shared" si="455"/>
        <v>0</v>
      </c>
      <c r="XO67" s="242">
        <f t="shared" si="456"/>
        <v>3391</v>
      </c>
      <c r="XP67" s="56"/>
      <c r="XS67" s="55">
        <f t="shared" si="457"/>
        <v>46079</v>
      </c>
      <c r="XT67" s="56"/>
      <c r="XU67" s="242">
        <f>SUMPRODUCT(PRODUCE!$B80:$DY80,PRODUCE!$EB$57:$IY$57)</f>
        <v>0</v>
      </c>
      <c r="XV67" s="56"/>
      <c r="XW67" s="242">
        <f t="shared" si="458"/>
        <v>0</v>
      </c>
      <c r="XX67" s="242">
        <f t="shared" si="459"/>
        <v>1901</v>
      </c>
      <c r="XY67" s="56"/>
      <c r="YB67" s="55">
        <f t="shared" si="460"/>
        <v>46079</v>
      </c>
      <c r="YC67" s="56"/>
      <c r="YD67" s="242">
        <f>SUMPRODUCT(PRODUCE!$B80:$DY80,PRODUCE!$EB$57:$IY$57)</f>
        <v>0</v>
      </c>
      <c r="YE67" s="56"/>
      <c r="YF67" s="242">
        <f t="shared" si="461"/>
        <v>0</v>
      </c>
      <c r="YG67" s="242">
        <f t="shared" si="462"/>
        <v>0</v>
      </c>
      <c r="YH67" s="56"/>
      <c r="YK67" s="55">
        <f t="shared" si="463"/>
        <v>46079</v>
      </c>
      <c r="YL67" s="56"/>
      <c r="YM67" s="242">
        <f>SUMPRODUCT(PRODUCE!$B80:$DY80,PRODUCE!$EB$57:$IY$57)</f>
        <v>0</v>
      </c>
      <c r="YN67" s="56"/>
      <c r="YO67" s="242">
        <f t="shared" si="464"/>
        <v>0</v>
      </c>
      <c r="YP67" s="242">
        <f t="shared" si="465"/>
        <v>0</v>
      </c>
      <c r="YQ67" s="56"/>
      <c r="YT67" s="55">
        <f t="shared" si="466"/>
        <v>46079</v>
      </c>
      <c r="YU67" s="56"/>
      <c r="YV67" s="242">
        <f>SUMPRODUCT(PRODUCE!$B80:$DY80,PRODUCE!$EB$57:$IY$57)</f>
        <v>0</v>
      </c>
      <c r="YW67" s="56"/>
      <c r="YX67" s="242">
        <f t="shared" si="467"/>
        <v>0</v>
      </c>
      <c r="YY67" s="242">
        <f t="shared" si="468"/>
        <v>0</v>
      </c>
      <c r="YZ67" s="56"/>
      <c r="ZC67" s="55">
        <f t="shared" si="469"/>
        <v>46079</v>
      </c>
      <c r="ZD67" s="56"/>
      <c r="ZE67" s="242">
        <f>SUMPRODUCT(PRODUCE!$B80:$DY80,PRODUCE!$EB$57:$IY$57)</f>
        <v>0</v>
      </c>
      <c r="ZF67" s="56"/>
      <c r="ZG67" s="242">
        <f t="shared" si="470"/>
        <v>0</v>
      </c>
      <c r="ZH67" s="242">
        <f t="shared" si="471"/>
        <v>0</v>
      </c>
      <c r="ZI67" s="56"/>
      <c r="ZL67" s="55">
        <f t="shared" si="472"/>
        <v>46079</v>
      </c>
      <c r="ZM67" s="56"/>
      <c r="ZN67" s="242">
        <f>SUMPRODUCT(PRODUCE!$B80:$DY80,PRODUCE!$EB$57:$IY$57)</f>
        <v>0</v>
      </c>
      <c r="ZO67" s="56"/>
      <c r="ZP67" s="242">
        <f t="shared" si="473"/>
        <v>0</v>
      </c>
      <c r="ZQ67" s="242">
        <f t="shared" si="474"/>
        <v>0</v>
      </c>
      <c r="ZR67" s="56"/>
      <c r="ZU67" s="55">
        <f t="shared" si="475"/>
        <v>46079</v>
      </c>
      <c r="ZV67" s="56"/>
      <c r="ZW67" s="242">
        <f>SUMPRODUCT(PRODUCE!$B80:$DY80,PRODUCE!$EB$57:$IY$57)</f>
        <v>0</v>
      </c>
      <c r="ZX67" s="56"/>
      <c r="ZY67" s="242">
        <f t="shared" si="476"/>
        <v>0</v>
      </c>
      <c r="ZZ67" s="242">
        <f t="shared" si="477"/>
        <v>0</v>
      </c>
      <c r="AAA67" s="56"/>
      <c r="AAD67" s="55">
        <f t="shared" si="478"/>
        <v>46079</v>
      </c>
      <c r="AAE67" s="56"/>
      <c r="AAF67" s="242">
        <f>SUMPRODUCT(PRODUCE!$B80:$DY80,PRODUCE!$EB$57:$IY$57)</f>
        <v>0</v>
      </c>
      <c r="AAG67" s="56"/>
      <c r="AAH67" s="242">
        <f t="shared" si="479"/>
        <v>0</v>
      </c>
      <c r="AAI67" s="242">
        <f t="shared" si="480"/>
        <v>0</v>
      </c>
      <c r="AAJ67" s="56"/>
      <c r="AAM67" s="55">
        <f t="shared" si="481"/>
        <v>46079</v>
      </c>
      <c r="AAN67" s="56"/>
      <c r="AAO67" s="242">
        <f>SUMPRODUCT(PRODUCE!$B80:$DY80,PRODUCE!$EB$57:$IY$57)</f>
        <v>0</v>
      </c>
      <c r="AAP67" s="56"/>
      <c r="AAQ67" s="242">
        <f t="shared" si="482"/>
        <v>0</v>
      </c>
      <c r="AAR67" s="242">
        <f t="shared" si="483"/>
        <v>0</v>
      </c>
      <c r="AAS67" s="56"/>
      <c r="AAV67" s="55">
        <f t="shared" si="484"/>
        <v>46079</v>
      </c>
      <c r="AAW67" s="56"/>
      <c r="AAX67" s="242">
        <f>SUMPRODUCT(PRODUCE!$B80:$DY80,PRODUCE!$EB$57:$IY$57)</f>
        <v>0</v>
      </c>
      <c r="AAY67" s="56"/>
      <c r="AAZ67" s="242">
        <f t="shared" si="485"/>
        <v>0</v>
      </c>
      <c r="ABA67" s="242">
        <f t="shared" si="486"/>
        <v>0</v>
      </c>
      <c r="ABB67" s="56"/>
      <c r="ABE67" s="55">
        <f t="shared" si="487"/>
        <v>46079</v>
      </c>
      <c r="ABF67" s="56"/>
      <c r="ABG67" s="242">
        <f>SUMPRODUCT(PRODUCE!$B80:$DY80,PRODUCE!$EB$57:$IY$57)</f>
        <v>0</v>
      </c>
      <c r="ABH67" s="56"/>
      <c r="ABI67" s="242">
        <f t="shared" si="488"/>
        <v>0</v>
      </c>
      <c r="ABJ67" s="242">
        <f t="shared" si="489"/>
        <v>0</v>
      </c>
      <c r="ABK67" s="56"/>
    </row>
    <row r="68" spans="1:739" s="54" customFormat="1" ht="15" customHeight="1" outlineLevel="1">
      <c r="B68" s="478">
        <v>50</v>
      </c>
      <c r="C68" s="55">
        <v>46080</v>
      </c>
      <c r="D68" s="422">
        <v>54640</v>
      </c>
      <c r="E68" s="424">
        <f>SUMPRODUCT(PRODUCE!$B81:$DY81,PRODUCE!$EB$7:$IY$7)</f>
        <v>26755</v>
      </c>
      <c r="F68" s="422">
        <v>26744.400000000001</v>
      </c>
      <c r="G68" s="423">
        <f t="shared" si="247"/>
        <v>10.599999999998545</v>
      </c>
      <c r="H68" s="423">
        <f t="shared" si="245"/>
        <v>108234.80000000002</v>
      </c>
      <c r="I68" s="289" t="s">
        <v>213</v>
      </c>
      <c r="L68" s="55">
        <f t="shared" si="246"/>
        <v>46080</v>
      </c>
      <c r="M68" s="422">
        <v>37900</v>
      </c>
      <c r="N68" s="439">
        <f>SUMPRODUCT(PRODUCE!$B81:$DY81,PRODUCE!$EB$8:$IY$8)</f>
        <v>16312.5</v>
      </c>
      <c r="O68" s="422">
        <v>16314.8</v>
      </c>
      <c r="P68" s="438">
        <f t="shared" si="248"/>
        <v>-2.2999999999992724</v>
      </c>
      <c r="Q68" s="438">
        <f t="shared" si="249"/>
        <v>39946.600000000035</v>
      </c>
      <c r="R68" s="56"/>
      <c r="U68" s="55">
        <f t="shared" si="250"/>
        <v>46080</v>
      </c>
      <c r="V68" s="422">
        <v>0.5</v>
      </c>
      <c r="W68" s="441">
        <f>SUMPRODUCT(PRODUCE!$B81:$DY81,PRODUCE!$EB$9:$IY$9)</f>
        <v>1250</v>
      </c>
      <c r="X68" s="422">
        <v>1251.5</v>
      </c>
      <c r="Y68" s="440">
        <f t="shared" si="251"/>
        <v>-1.5</v>
      </c>
      <c r="Z68" s="440">
        <f t="shared" si="252"/>
        <v>18312.799999999974</v>
      </c>
      <c r="AA68" s="56"/>
      <c r="AD68" s="55">
        <f t="shared" si="253"/>
        <v>46080</v>
      </c>
      <c r="AE68" s="422"/>
      <c r="AF68" s="443">
        <f>SUMPRODUCT(PRODUCE!$B81:$DY81,PRODUCE!$EB$10:$IY$10)</f>
        <v>2500</v>
      </c>
      <c r="AG68" s="422">
        <v>2500.6999999999998</v>
      </c>
      <c r="AH68" s="442">
        <f t="shared" si="254"/>
        <v>-0.6999999999998181</v>
      </c>
      <c r="AI68" s="442">
        <f t="shared" si="255"/>
        <v>34138.200000000019</v>
      </c>
      <c r="AJ68" s="56"/>
      <c r="AM68" s="55">
        <f t="shared" si="256"/>
        <v>46080</v>
      </c>
      <c r="AN68" s="422"/>
      <c r="AO68" s="445">
        <f>SUMPRODUCT(PRODUCE!$B81:$DY81,PRODUCE!$EB$11:$IY$11)</f>
        <v>0</v>
      </c>
      <c r="AP68" s="422"/>
      <c r="AQ68" s="444">
        <f t="shared" si="257"/>
        <v>0</v>
      </c>
      <c r="AR68" s="444">
        <f t="shared" si="258"/>
        <v>0</v>
      </c>
      <c r="AS68" s="56"/>
      <c r="AV68" s="55">
        <f t="shared" si="259"/>
        <v>46080</v>
      </c>
      <c r="AW68" s="422"/>
      <c r="AX68" s="447">
        <f>SUMPRODUCT(PRODUCE!$B81:$DY81,PRODUCE!$EB$12:$IY$12)</f>
        <v>1000</v>
      </c>
      <c r="AY68" s="422">
        <v>1000.6</v>
      </c>
      <c r="AZ68" s="446">
        <f t="shared" si="260"/>
        <v>-0.60000000000002274</v>
      </c>
      <c r="BA68" s="446">
        <f t="shared" si="261"/>
        <v>47521.999999999985</v>
      </c>
      <c r="BB68" s="56"/>
      <c r="BE68" s="55">
        <f t="shared" si="262"/>
        <v>46080</v>
      </c>
      <c r="BF68" s="422"/>
      <c r="BG68" s="449">
        <f>SUMPRODUCT(PRODUCE!$B81:$DY81,PRODUCE!$EB$13:$IY$13)</f>
        <v>0</v>
      </c>
      <c r="BH68" s="422"/>
      <c r="BI68" s="448">
        <f t="shared" si="263"/>
        <v>0</v>
      </c>
      <c r="BJ68" s="448">
        <f t="shared" si="264"/>
        <v>7501.8000000000047</v>
      </c>
      <c r="BK68" s="56"/>
      <c r="BN68" s="55">
        <f t="shared" si="265"/>
        <v>46080</v>
      </c>
      <c r="BO68" s="422">
        <v>1000</v>
      </c>
      <c r="BP68" s="451">
        <f>SUMPRODUCT(PRODUCE!$B81:$DY81,PRODUCE!$EB$14:$IY$14)</f>
        <v>1000</v>
      </c>
      <c r="BQ68" s="422">
        <v>1000</v>
      </c>
      <c r="BR68" s="450">
        <f t="shared" si="266"/>
        <v>0</v>
      </c>
      <c r="BS68" s="450">
        <f t="shared" si="267"/>
        <v>0</v>
      </c>
      <c r="BT68" s="56"/>
      <c r="BW68" s="55">
        <f t="shared" si="268"/>
        <v>46080</v>
      </c>
      <c r="BX68" s="56"/>
      <c r="BY68" s="81">
        <f>SUMPRODUCT(PRODUCE!$B81:$DY81,PRODUCE!$EB$15:$IY$15)</f>
        <v>112.50000000000003</v>
      </c>
      <c r="BZ68" s="56"/>
      <c r="CA68" s="65">
        <f t="shared" si="269"/>
        <v>112.50000000000003</v>
      </c>
      <c r="CB68" s="65">
        <f t="shared" si="270"/>
        <v>239.00000000000011</v>
      </c>
      <c r="CC68" s="56"/>
      <c r="CF68" s="55">
        <f t="shared" si="271"/>
        <v>46080</v>
      </c>
      <c r="CG68" s="56">
        <v>705</v>
      </c>
      <c r="CH68" s="82">
        <f>SUMPRODUCT(PRODUCE!$B81:$DY81,PRODUCE!$EB$16:$IY$16)</f>
        <v>45</v>
      </c>
      <c r="CI68" s="56">
        <v>705</v>
      </c>
      <c r="CJ68" s="66">
        <f t="shared" si="272"/>
        <v>-660</v>
      </c>
      <c r="CK68" s="66">
        <f t="shared" si="273"/>
        <v>0</v>
      </c>
      <c r="CL68" s="56"/>
      <c r="CO68" s="55">
        <f t="shared" si="274"/>
        <v>46080</v>
      </c>
      <c r="CP68" s="422"/>
      <c r="CQ68" s="471">
        <f>SUMPRODUCT(PRODUCE!$B81:$DY81,PRODUCE!$EB$17:$IY$17)</f>
        <v>0</v>
      </c>
      <c r="CR68" s="422"/>
      <c r="CS68" s="470">
        <f t="shared" si="275"/>
        <v>0</v>
      </c>
      <c r="CT68" s="470">
        <f t="shared" si="276"/>
        <v>0</v>
      </c>
      <c r="CU68" s="56"/>
      <c r="CX68" s="55">
        <f t="shared" si="277"/>
        <v>46080</v>
      </c>
      <c r="CY68" s="56"/>
      <c r="CZ68" s="136">
        <f>SUMPRODUCT(PRODUCE!$B81:$DY81,PRODUCE!$EB$18:$IY$18)</f>
        <v>0</v>
      </c>
      <c r="DA68" s="56"/>
      <c r="DB68" s="133">
        <f t="shared" si="278"/>
        <v>0</v>
      </c>
      <c r="DC68" s="133">
        <f t="shared" si="279"/>
        <v>55052.4</v>
      </c>
      <c r="DD68" s="56"/>
      <c r="DG68" s="55">
        <f t="shared" si="280"/>
        <v>46080</v>
      </c>
      <c r="DH68" s="56"/>
      <c r="DI68" s="150">
        <f>SUMPRODUCT(PRODUCE!$B81:$DY81,PRODUCE!$EB$19:$IY$19)</f>
        <v>0</v>
      </c>
      <c r="DJ68" s="56">
        <v>310.60000000000002</v>
      </c>
      <c r="DK68" s="147">
        <f t="shared" si="281"/>
        <v>-310.60000000000002</v>
      </c>
      <c r="DL68" s="147">
        <f t="shared" si="282"/>
        <v>-2.8421709430404007E-12</v>
      </c>
      <c r="DM68" s="56"/>
      <c r="DP68" s="55">
        <f t="shared" si="283"/>
        <v>46080</v>
      </c>
      <c r="DQ68" s="56"/>
      <c r="DR68" s="58">
        <f>SUMPRODUCT(PRODUCE!$B81:$DY81,PRODUCE!$EB$20:$IY$20)</f>
        <v>0</v>
      </c>
      <c r="DS68" s="56"/>
      <c r="DT68" s="57">
        <f t="shared" si="284"/>
        <v>0</v>
      </c>
      <c r="DU68" s="57">
        <f t="shared" si="285"/>
        <v>2300</v>
      </c>
      <c r="DV68" s="56"/>
      <c r="DY68" s="55">
        <f t="shared" si="286"/>
        <v>46080</v>
      </c>
      <c r="DZ68" s="56"/>
      <c r="EA68" s="159">
        <f>SUMPRODUCT(PRODUCE!$B81:$DY81,PRODUCE!$EB$21:$IY$21)</f>
        <v>0</v>
      </c>
      <c r="EB68" s="56"/>
      <c r="EC68" s="157">
        <f t="shared" si="287"/>
        <v>0</v>
      </c>
      <c r="ED68" s="157">
        <f t="shared" si="288"/>
        <v>5696.8</v>
      </c>
      <c r="EE68" s="56"/>
      <c r="EH68" s="55">
        <f t="shared" si="289"/>
        <v>46080</v>
      </c>
      <c r="EI68" s="56"/>
      <c r="EJ68" s="164">
        <f>SUMPRODUCT(PRODUCE!$B81:$DY81,PRODUCE!$EB$22:$IY$22)</f>
        <v>0</v>
      </c>
      <c r="EK68" s="56"/>
      <c r="EL68" s="162">
        <f t="shared" si="290"/>
        <v>0</v>
      </c>
      <c r="EM68" s="162">
        <f t="shared" si="291"/>
        <v>0</v>
      </c>
      <c r="EN68" s="56"/>
      <c r="EQ68" s="55">
        <f t="shared" si="292"/>
        <v>46080</v>
      </c>
      <c r="ER68" s="56"/>
      <c r="ES68" s="171">
        <f>SUMPRODUCT(PRODUCE!$B81:$DY81,PRODUCE!$EB$23:$IY$23)</f>
        <v>0</v>
      </c>
      <c r="ET68" s="56"/>
      <c r="EU68" s="135">
        <f t="shared" si="293"/>
        <v>0</v>
      </c>
      <c r="EV68" s="135">
        <f t="shared" si="294"/>
        <v>0</v>
      </c>
      <c r="EW68" s="56"/>
      <c r="EZ68" s="55">
        <f t="shared" si="295"/>
        <v>46080</v>
      </c>
      <c r="FA68" s="56"/>
      <c r="FB68" s="178">
        <f>SUMPRODUCT(PRODUCE!$B81:$DY81,PRODUCE!$EB$24:$IY$24)</f>
        <v>0</v>
      </c>
      <c r="FC68" s="56"/>
      <c r="FD68" s="175">
        <f t="shared" si="296"/>
        <v>0</v>
      </c>
      <c r="FE68" s="175">
        <f t="shared" si="297"/>
        <v>0</v>
      </c>
      <c r="FF68" s="56"/>
      <c r="FI68" s="55">
        <f t="shared" si="298"/>
        <v>46080</v>
      </c>
      <c r="FJ68" s="56"/>
      <c r="FK68" s="184">
        <f>SUMPRODUCT(PRODUCE!$B81:$DY81,PRODUCE!$EB$25:$IY$25)</f>
        <v>0</v>
      </c>
      <c r="FL68" s="56"/>
      <c r="FM68" s="183">
        <f t="shared" si="299"/>
        <v>0</v>
      </c>
      <c r="FN68" s="183">
        <f t="shared" si="300"/>
        <v>0</v>
      </c>
      <c r="FO68" s="56"/>
      <c r="FR68" s="55">
        <f t="shared" si="301"/>
        <v>46080</v>
      </c>
      <c r="FS68" s="422"/>
      <c r="FT68" s="453">
        <f>SUMPRODUCT(PRODUCE!$B81:$DY81,PRODUCE!$EB$26:$IY$26)</f>
        <v>1000</v>
      </c>
      <c r="FU68" s="422"/>
      <c r="FV68" s="452">
        <f t="shared" si="302"/>
        <v>1000</v>
      </c>
      <c r="FW68" s="452">
        <f t="shared" si="303"/>
        <v>1620</v>
      </c>
      <c r="FX68" s="56"/>
      <c r="GA68" s="55">
        <f t="shared" si="304"/>
        <v>46080</v>
      </c>
      <c r="GB68" s="422"/>
      <c r="GC68" s="455">
        <f>SUMPRODUCT(PRODUCE!$B81:$DY81,PRODUCE!$EB$27:$IY$27)</f>
        <v>0</v>
      </c>
      <c r="GD68" s="422"/>
      <c r="GE68" s="454">
        <f t="shared" si="305"/>
        <v>0</v>
      </c>
      <c r="GF68" s="454">
        <f t="shared" si="306"/>
        <v>5960</v>
      </c>
      <c r="GG68" s="56"/>
      <c r="GI68" s="23"/>
      <c r="GJ68" s="55">
        <f t="shared" si="307"/>
        <v>46080</v>
      </c>
      <c r="GK68" s="422"/>
      <c r="GL68" s="457">
        <f>SUMPRODUCT(PRODUCE!$B81:$DY81,PRODUCE!$EB$28:$IY$28)</f>
        <v>0</v>
      </c>
      <c r="GM68" s="422"/>
      <c r="GN68" s="456">
        <f t="shared" si="308"/>
        <v>0</v>
      </c>
      <c r="GO68" s="456">
        <f t="shared" si="309"/>
        <v>5240</v>
      </c>
      <c r="GP68" s="56"/>
      <c r="GS68" s="55">
        <f t="shared" si="310"/>
        <v>46080</v>
      </c>
      <c r="GT68" s="56"/>
      <c r="GU68" s="196">
        <f>SUMPRODUCT(PRODUCE!$B81:$DY81,PRODUCE!$EB$29:$IY$29)</f>
        <v>0</v>
      </c>
      <c r="GV68" s="56"/>
      <c r="GW68" s="195">
        <f t="shared" si="311"/>
        <v>0</v>
      </c>
      <c r="GX68" s="195">
        <f t="shared" si="312"/>
        <v>0</v>
      </c>
      <c r="GY68" s="56"/>
      <c r="HB68" s="55">
        <f t="shared" si="313"/>
        <v>46080</v>
      </c>
      <c r="HC68" s="56"/>
      <c r="HD68" s="192">
        <f>SUMPRODUCT(PRODUCE!$B81:$DY81,PRODUCE!$EB$30:$IY$30)</f>
        <v>0</v>
      </c>
      <c r="HE68" s="56"/>
      <c r="HF68" s="191">
        <f t="shared" si="314"/>
        <v>0</v>
      </c>
      <c r="HG68" s="191">
        <f t="shared" si="315"/>
        <v>0</v>
      </c>
      <c r="HH68" s="56"/>
      <c r="HK68" s="55">
        <f t="shared" si="316"/>
        <v>46080</v>
      </c>
      <c r="HL68" s="56"/>
      <c r="HM68" s="80">
        <f>SUMPRODUCT(PRODUCE!$B81:$DY81,PRODUCE!$EB$31:$IY$31)</f>
        <v>0</v>
      </c>
      <c r="HN68" s="56"/>
      <c r="HO68" s="63">
        <f t="shared" si="317"/>
        <v>0</v>
      </c>
      <c r="HP68" s="63">
        <f t="shared" si="318"/>
        <v>0</v>
      </c>
      <c r="HQ68" s="56"/>
      <c r="HU68" s="55">
        <f t="shared" si="319"/>
        <v>46080</v>
      </c>
      <c r="HV68" s="56"/>
      <c r="HW68" s="242">
        <f>SUMPRODUCT(PRODUCE!$B81:$DY81,PRODUCE!$EB$32:$IY$32)</f>
        <v>0</v>
      </c>
      <c r="HX68" s="56"/>
      <c r="HY68" s="242">
        <f t="shared" si="320"/>
        <v>0</v>
      </c>
      <c r="HZ68" s="242">
        <f t="shared" si="321"/>
        <v>5120</v>
      </c>
      <c r="IA68" s="56"/>
      <c r="ID68" s="55">
        <f t="shared" si="322"/>
        <v>46080</v>
      </c>
      <c r="IE68" s="56"/>
      <c r="IF68" s="242">
        <f>SUMPRODUCT(PRODUCE!$B81:$DY81,PRODUCE!$EB$33:$IY$33)</f>
        <v>0</v>
      </c>
      <c r="IG68" s="56"/>
      <c r="IH68" s="242">
        <f t="shared" si="323"/>
        <v>0</v>
      </c>
      <c r="II68" s="242">
        <f t="shared" si="324"/>
        <v>5100</v>
      </c>
      <c r="IJ68" s="56"/>
      <c r="IM68" s="55">
        <f t="shared" si="325"/>
        <v>46080</v>
      </c>
      <c r="IN68" s="56"/>
      <c r="IO68" s="242">
        <f>SUMPRODUCT(PRODUCE!$B81:$DY81,PRODUCE!$EB$34:$IY$34)</f>
        <v>0</v>
      </c>
      <c r="IP68" s="56"/>
      <c r="IQ68" s="242">
        <f t="shared" si="326"/>
        <v>0</v>
      </c>
      <c r="IR68" s="242">
        <f t="shared" si="327"/>
        <v>10240</v>
      </c>
      <c r="IS68" s="56"/>
      <c r="IV68" s="55">
        <f t="shared" si="328"/>
        <v>46080</v>
      </c>
      <c r="IW68" s="56"/>
      <c r="IX68" s="242">
        <f>SUMPRODUCT(PRODUCE!$B81:$DY81,PRODUCE!$EB$35:$IY$35)</f>
        <v>0</v>
      </c>
      <c r="IY68" s="56"/>
      <c r="IZ68" s="242">
        <f t="shared" si="329"/>
        <v>0</v>
      </c>
      <c r="JA68" s="242">
        <f t="shared" si="330"/>
        <v>15120</v>
      </c>
      <c r="JB68" s="56"/>
      <c r="JE68" s="55">
        <f t="shared" si="331"/>
        <v>46080</v>
      </c>
      <c r="JF68" s="56"/>
      <c r="JG68" s="242">
        <f>SUMPRODUCT(PRODUCE!$B81:$DY81,PRODUCE!$EB$36:$IY$36)</f>
        <v>0</v>
      </c>
      <c r="JH68" s="56"/>
      <c r="JI68" s="242">
        <f t="shared" si="332"/>
        <v>0</v>
      </c>
      <c r="JJ68" s="242">
        <f t="shared" si="333"/>
        <v>3600</v>
      </c>
      <c r="JK68" s="56"/>
      <c r="JN68" s="55">
        <f t="shared" si="334"/>
        <v>46080</v>
      </c>
      <c r="JO68" s="56"/>
      <c r="JP68" s="242">
        <f>SUMPRODUCT(PRODUCE!$B81:$DY81,PRODUCE!$EB$37:$IY$37)</f>
        <v>0</v>
      </c>
      <c r="JQ68" s="56"/>
      <c r="JR68" s="242">
        <f t="shared" si="335"/>
        <v>0</v>
      </c>
      <c r="JS68" s="242">
        <f t="shared" si="336"/>
        <v>5400</v>
      </c>
      <c r="JT68" s="56"/>
      <c r="JW68" s="55">
        <f t="shared" si="337"/>
        <v>46080</v>
      </c>
      <c r="JX68" s="56"/>
      <c r="JY68" s="242">
        <f>SUMPRODUCT(PRODUCE!$B81:$DY81,PRODUCE!$EB$38:$IY$38)</f>
        <v>0</v>
      </c>
      <c r="JZ68" s="56"/>
      <c r="KA68" s="242">
        <f t="shared" si="338"/>
        <v>0</v>
      </c>
      <c r="KB68" s="242">
        <f t="shared" si="339"/>
        <v>4000</v>
      </c>
      <c r="KC68" s="56"/>
      <c r="KF68" s="55">
        <f t="shared" si="340"/>
        <v>46080</v>
      </c>
      <c r="KG68" s="56"/>
      <c r="KH68" s="242">
        <f>SUMPRODUCT(PRODUCE!$B81:$DY81,PRODUCE!$EB$39:$IY$39)</f>
        <v>0</v>
      </c>
      <c r="KI68" s="56">
        <f>66*19.5</f>
        <v>1287</v>
      </c>
      <c r="KJ68" s="242">
        <f t="shared" si="341"/>
        <v>-1287</v>
      </c>
      <c r="KK68" s="242">
        <f t="shared" si="342"/>
        <v>0</v>
      </c>
      <c r="KL68" s="56"/>
      <c r="KO68" s="55">
        <f t="shared" si="343"/>
        <v>46080</v>
      </c>
      <c r="KP68" s="56"/>
      <c r="KQ68" s="242">
        <f>SUMPRODUCT(PRODUCE!$B81:$DY81,PRODUCE!$EB$40:$IY$40)</f>
        <v>0</v>
      </c>
      <c r="KR68" s="56"/>
      <c r="KS68" s="242">
        <f t="shared" si="344"/>
        <v>0</v>
      </c>
      <c r="KT68" s="242">
        <f t="shared" si="345"/>
        <v>10281.6</v>
      </c>
      <c r="KU68" s="56"/>
      <c r="KW68" s="23"/>
      <c r="KX68" s="55">
        <f t="shared" si="346"/>
        <v>46080</v>
      </c>
      <c r="KY68" s="56"/>
      <c r="KZ68" s="242">
        <f>SUMPRODUCT(PRODUCE!$B81:$DY81,PRODUCE!$EB$41:$IY$41)</f>
        <v>0</v>
      </c>
      <c r="LA68" s="56"/>
      <c r="LB68" s="242">
        <f t="shared" si="347"/>
        <v>0</v>
      </c>
      <c r="LC68" s="242">
        <f t="shared" si="348"/>
        <v>0</v>
      </c>
      <c r="LD68" s="56"/>
      <c r="LG68" s="55">
        <f t="shared" si="349"/>
        <v>46080</v>
      </c>
      <c r="LH68" s="56"/>
      <c r="LI68" s="242">
        <f>SUMPRODUCT(PRODUCE!$B81:$DY81,PRODUCE!$EB$42:$IY$42)</f>
        <v>0</v>
      </c>
      <c r="LJ68" s="56"/>
      <c r="LK68" s="242">
        <f t="shared" si="350"/>
        <v>0</v>
      </c>
      <c r="LL68" s="242">
        <f t="shared" si="351"/>
        <v>0</v>
      </c>
      <c r="LM68" s="56"/>
      <c r="LP68" s="55">
        <f t="shared" si="352"/>
        <v>46080</v>
      </c>
      <c r="LQ68" s="56"/>
      <c r="LR68" s="242">
        <f>SUMPRODUCT(PRODUCE!$B83:$DY83,PRODUCE!$EB$43:$IY$43)</f>
        <v>0</v>
      </c>
      <c r="LS68" s="56"/>
      <c r="LT68" s="242">
        <f t="shared" si="353"/>
        <v>0</v>
      </c>
      <c r="LU68" s="242">
        <f t="shared" si="354"/>
        <v>0</v>
      </c>
      <c r="LV68" s="56"/>
      <c r="LY68" s="55">
        <f t="shared" si="355"/>
        <v>46080</v>
      </c>
      <c r="LZ68" s="56"/>
      <c r="MA68" s="242">
        <f>SUMPRODUCT(PRODUCE!$B83:$DY83,PRODUCE!$EB$44:$IY$44)</f>
        <v>0</v>
      </c>
      <c r="MB68" s="56"/>
      <c r="MC68" s="242">
        <f t="shared" si="356"/>
        <v>0</v>
      </c>
      <c r="MD68" s="242">
        <f t="shared" si="357"/>
        <v>0</v>
      </c>
      <c r="ME68" s="56"/>
      <c r="MH68" s="55">
        <f t="shared" si="358"/>
        <v>46080</v>
      </c>
      <c r="MI68" s="56"/>
      <c r="MJ68" s="242">
        <f>SUMPRODUCT(PRODUCE!$B81:$DY81,PRODUCE!$EB$45:$IY$45)</f>
        <v>0</v>
      </c>
      <c r="MK68" s="56"/>
      <c r="ML68" s="242">
        <f t="shared" si="359"/>
        <v>0</v>
      </c>
      <c r="MM68" s="242">
        <f t="shared" si="360"/>
        <v>0</v>
      </c>
      <c r="MN68" s="56"/>
      <c r="MQ68" s="55">
        <f t="shared" si="361"/>
        <v>46080</v>
      </c>
      <c r="MR68" s="56"/>
      <c r="MS68" s="242">
        <f>SUMPRODUCT(PRODUCE!$B81:$DY81,PRODUCE!$EB$46:$IY$46)</f>
        <v>25</v>
      </c>
      <c r="MT68" s="56"/>
      <c r="MU68" s="242">
        <f t="shared" si="362"/>
        <v>25</v>
      </c>
      <c r="MV68" s="242">
        <f t="shared" si="363"/>
        <v>4270</v>
      </c>
      <c r="MW68" s="56"/>
      <c r="MZ68" s="55">
        <f t="shared" si="364"/>
        <v>46080</v>
      </c>
      <c r="NA68" s="56"/>
      <c r="NB68" s="242">
        <f>SUMPRODUCT(PRODUCE!$B81:$DY81,PRODUCE!$EB$47:$IY$47)</f>
        <v>0</v>
      </c>
      <c r="NC68" s="56"/>
      <c r="ND68" s="242">
        <f t="shared" si="365"/>
        <v>0</v>
      </c>
      <c r="NE68" s="242">
        <f t="shared" si="366"/>
        <v>0</v>
      </c>
      <c r="NF68" s="56"/>
      <c r="NI68" s="55">
        <f t="shared" si="367"/>
        <v>46080</v>
      </c>
      <c r="NJ68" s="56"/>
      <c r="NK68" s="242">
        <f>SUMPRODUCT(PRODUCE!$B81:$DY81,PRODUCE!$EB$48:$IY$48)</f>
        <v>0</v>
      </c>
      <c r="NL68" s="56"/>
      <c r="NM68" s="242">
        <f t="shared" si="368"/>
        <v>0</v>
      </c>
      <c r="NN68" s="242">
        <f t="shared" si="369"/>
        <v>0</v>
      </c>
      <c r="NO68" s="56"/>
      <c r="NR68" s="55">
        <f t="shared" si="370"/>
        <v>46080</v>
      </c>
      <c r="NS68" s="56"/>
      <c r="NT68" s="242">
        <f>SUMPRODUCT(PRODUCE!$B81:$DY81,PRODUCE!$EB$49:$IY$49)</f>
        <v>0</v>
      </c>
      <c r="NU68" s="56"/>
      <c r="NV68" s="242">
        <f t="shared" si="371"/>
        <v>0</v>
      </c>
      <c r="NW68" s="242">
        <f t="shared" si="372"/>
        <v>1969.2</v>
      </c>
      <c r="NX68" s="56"/>
      <c r="OA68" s="55">
        <f t="shared" si="373"/>
        <v>46080</v>
      </c>
      <c r="OB68" s="56"/>
      <c r="OC68" s="242">
        <f>SUMPRODUCT(PRODUCE!$B81:$DY81,PRODUCE!$EB$50:$IY$50)</f>
        <v>0</v>
      </c>
      <c r="OD68" s="56"/>
      <c r="OE68" s="242">
        <f t="shared" si="374"/>
        <v>0</v>
      </c>
      <c r="OF68" s="242">
        <f t="shared" si="375"/>
        <v>1680.5</v>
      </c>
      <c r="OG68" s="56"/>
      <c r="OJ68" s="55">
        <f t="shared" si="376"/>
        <v>46080</v>
      </c>
      <c r="OK68" s="56">
        <v>739.2</v>
      </c>
      <c r="OL68" s="242">
        <f>SUMPRODUCT(PRODUCE!$B81:$DY81,PRODUCE!$EB$51:$IY$51)</f>
        <v>0</v>
      </c>
      <c r="OM68" s="56">
        <v>739.2</v>
      </c>
      <c r="ON68" s="242">
        <f t="shared" si="377"/>
        <v>-739.2</v>
      </c>
      <c r="OO68" s="242">
        <f t="shared" si="378"/>
        <v>0</v>
      </c>
      <c r="OP68" s="56"/>
      <c r="OS68" s="55">
        <f t="shared" si="379"/>
        <v>46080</v>
      </c>
      <c r="OT68" s="56"/>
      <c r="OU68" s="242">
        <f>SUMPRODUCT(PRODUCE!$B81:$DY81,PRODUCE!$EB$52:$IY$52)</f>
        <v>0</v>
      </c>
      <c r="OV68" s="56"/>
      <c r="OW68" s="242">
        <f t="shared" si="380"/>
        <v>0</v>
      </c>
      <c r="OX68" s="242">
        <f t="shared" si="381"/>
        <v>0</v>
      </c>
      <c r="OY68" s="56"/>
      <c r="PB68" s="55">
        <f t="shared" si="382"/>
        <v>46080</v>
      </c>
      <c r="PC68" s="56"/>
      <c r="PD68" s="242">
        <f>SUMPRODUCT(PRODUCE!$B81:$DY81,PRODUCE!$EB$53:$IY$53)</f>
        <v>0</v>
      </c>
      <c r="PE68" s="56"/>
      <c r="PF68" s="242">
        <f t="shared" si="383"/>
        <v>0</v>
      </c>
      <c r="PG68" s="242">
        <f t="shared" si="384"/>
        <v>0</v>
      </c>
      <c r="PH68" s="56"/>
      <c r="PK68" s="55">
        <f t="shared" si="385"/>
        <v>46080</v>
      </c>
      <c r="PL68" s="56"/>
      <c r="PM68" s="242">
        <f>SUMPRODUCT(PRODUCE!$B81:$DY81,PRODUCE!$EB$54:$IY$54)</f>
        <v>0</v>
      </c>
      <c r="PN68" s="56"/>
      <c r="PO68" s="242">
        <f t="shared" si="386"/>
        <v>0</v>
      </c>
      <c r="PP68" s="242">
        <f t="shared" si="387"/>
        <v>100</v>
      </c>
      <c r="PQ68" s="56"/>
      <c r="PT68" s="55">
        <f t="shared" si="388"/>
        <v>46080</v>
      </c>
      <c r="PU68" s="56"/>
      <c r="PV68" s="242">
        <f>SUMPRODUCT(PRODUCE!$B81:$DY81,PRODUCE!$EB$55:$IY$55)</f>
        <v>0</v>
      </c>
      <c r="PW68" s="56"/>
      <c r="PX68" s="242">
        <f t="shared" si="389"/>
        <v>0</v>
      </c>
      <c r="PY68" s="242">
        <f t="shared" si="390"/>
        <v>13.960000000000036</v>
      </c>
      <c r="PZ68" s="56"/>
      <c r="QC68" s="55">
        <f t="shared" si="391"/>
        <v>46080</v>
      </c>
      <c r="QD68" s="56"/>
      <c r="QE68" s="242">
        <f>SUMPRODUCT(PRODUCE!$B81:$DY81,PRODUCE!$EB$56:$IY$56)</f>
        <v>0</v>
      </c>
      <c r="QF68" s="56"/>
      <c r="QG68" s="242">
        <f t="shared" si="392"/>
        <v>0</v>
      </c>
      <c r="QH68" s="242">
        <f t="shared" si="393"/>
        <v>0</v>
      </c>
      <c r="QI68" s="56"/>
      <c r="QL68" s="55">
        <f t="shared" si="394"/>
        <v>46080</v>
      </c>
      <c r="QM68" s="56"/>
      <c r="QN68" s="242">
        <f>SUMPRODUCT(PRODUCE!$B81:$DY81,PRODUCE!$EB$57:$IY$57)</f>
        <v>0</v>
      </c>
      <c r="QO68" s="56"/>
      <c r="QP68" s="242">
        <f t="shared" si="395"/>
        <v>0</v>
      </c>
      <c r="QQ68" s="242">
        <f t="shared" si="396"/>
        <v>0</v>
      </c>
      <c r="QR68" s="56"/>
      <c r="QU68" s="55">
        <f t="shared" si="397"/>
        <v>46080</v>
      </c>
      <c r="QV68" s="56"/>
      <c r="QW68" s="242">
        <f>SUMPRODUCT(PRODUCE!$B81:$DY81,PRODUCE!$EB$57:$IY$57)</f>
        <v>0</v>
      </c>
      <c r="QX68" s="56"/>
      <c r="QY68" s="242">
        <f t="shared" si="398"/>
        <v>0</v>
      </c>
      <c r="QZ68" s="242">
        <f t="shared" si="399"/>
        <v>207.6</v>
      </c>
      <c r="RA68" s="56"/>
      <c r="RD68" s="55">
        <f t="shared" si="400"/>
        <v>46080</v>
      </c>
      <c r="RE68" s="56"/>
      <c r="RF68" s="242">
        <f>SUMPRODUCT(PRODUCE!$B81:$DY81,PRODUCE!$EB$58:$IY$58)</f>
        <v>0</v>
      </c>
      <c r="RG68" s="56"/>
      <c r="RH68" s="242">
        <f t="shared" si="401"/>
        <v>0</v>
      </c>
      <c r="RI68" s="242">
        <f t="shared" si="402"/>
        <v>197.04000000000002</v>
      </c>
      <c r="RJ68" s="56"/>
      <c r="RM68" s="55">
        <f t="shared" si="403"/>
        <v>46080</v>
      </c>
      <c r="RN68" s="56"/>
      <c r="RO68" s="242">
        <f>SUMPRODUCT(PRODUCE!$B81:$DY81,PRODUCE!$EB$57:$IY$57)</f>
        <v>0</v>
      </c>
      <c r="RP68" s="56"/>
      <c r="RQ68" s="242">
        <f t="shared" si="404"/>
        <v>0</v>
      </c>
      <c r="RR68" s="242">
        <f t="shared" si="405"/>
        <v>46.8</v>
      </c>
      <c r="RS68" s="56"/>
      <c r="RV68" s="55">
        <f t="shared" si="406"/>
        <v>46080</v>
      </c>
      <c r="RW68" s="56"/>
      <c r="RX68" s="242">
        <f>SUMPRODUCT(PRODUCE!$B81:$DY81,PRODUCE!$EB$57:$IY$57)</f>
        <v>0</v>
      </c>
      <c r="RY68" s="56"/>
      <c r="RZ68" s="242">
        <f t="shared" si="407"/>
        <v>0</v>
      </c>
      <c r="SA68" s="242">
        <f t="shared" si="408"/>
        <v>0</v>
      </c>
      <c r="SB68" s="56"/>
      <c r="SE68" s="55">
        <f t="shared" si="409"/>
        <v>46080</v>
      </c>
      <c r="SF68" s="56"/>
      <c r="SG68" s="242">
        <f>SUMPRODUCT(PRODUCE!$B81:$DY81,PRODUCE!$EB$57:$IY$57)</f>
        <v>0</v>
      </c>
      <c r="SH68" s="56"/>
      <c r="SI68" s="242">
        <f t="shared" si="410"/>
        <v>0</v>
      </c>
      <c r="SJ68" s="242">
        <f t="shared" si="411"/>
        <v>0</v>
      </c>
      <c r="SK68" s="56"/>
      <c r="SN68" s="55">
        <f t="shared" si="412"/>
        <v>46080</v>
      </c>
      <c r="SO68" s="56"/>
      <c r="SP68" s="242">
        <f>SUMPRODUCT(PRODUCE!$B81:$DY81,PRODUCE!$EB$57:$IY$57)</f>
        <v>0</v>
      </c>
      <c r="SQ68" s="56"/>
      <c r="SR68" s="242">
        <f t="shared" si="413"/>
        <v>0</v>
      </c>
      <c r="SS68" s="242">
        <f t="shared" si="414"/>
        <v>0</v>
      </c>
      <c r="ST68" s="56"/>
      <c r="SW68" s="55">
        <f t="shared" si="415"/>
        <v>46080</v>
      </c>
      <c r="SX68" s="56"/>
      <c r="SY68" s="242">
        <f>SUMPRODUCT(PRODUCE!$B81:$DY81,PRODUCE!$EB$57:$IY$57)</f>
        <v>0</v>
      </c>
      <c r="SZ68" s="56"/>
      <c r="TA68" s="242">
        <f t="shared" si="416"/>
        <v>0</v>
      </c>
      <c r="TB68" s="242">
        <f t="shared" si="417"/>
        <v>0</v>
      </c>
      <c r="TC68" s="56"/>
      <c r="TF68" s="55">
        <f t="shared" si="418"/>
        <v>46080</v>
      </c>
      <c r="TG68" s="56"/>
      <c r="TH68" s="242">
        <f>SUMPRODUCT(PRODUCE!$B81:$DY81,PRODUCE!$EB$57:$IY$57)</f>
        <v>0</v>
      </c>
      <c r="TI68" s="56"/>
      <c r="TJ68" s="242">
        <f t="shared" si="419"/>
        <v>0</v>
      </c>
      <c r="TK68" s="242">
        <f t="shared" si="420"/>
        <v>0</v>
      </c>
      <c r="TL68" s="56"/>
      <c r="TO68" s="55">
        <f t="shared" si="421"/>
        <v>46080</v>
      </c>
      <c r="TP68" s="56"/>
      <c r="TQ68" s="242">
        <f>SUMPRODUCT(PRODUCE!$B81:$DY81,PRODUCE!$EB$57:$IY$57)</f>
        <v>0</v>
      </c>
      <c r="TR68" s="56"/>
      <c r="TS68" s="242">
        <f t="shared" si="422"/>
        <v>0</v>
      </c>
      <c r="TT68" s="242">
        <f t="shared" si="423"/>
        <v>0</v>
      </c>
      <c r="TU68" s="56"/>
      <c r="TX68" s="55">
        <f t="shared" si="424"/>
        <v>46080</v>
      </c>
      <c r="TY68" s="56"/>
      <c r="TZ68" s="242">
        <f>SUMPRODUCT(PRODUCE!$B81:$DY81,PRODUCE!$EB$57:$IY$57)</f>
        <v>0</v>
      </c>
      <c r="UA68" s="56"/>
      <c r="UB68" s="242">
        <f t="shared" si="425"/>
        <v>0</v>
      </c>
      <c r="UC68" s="242">
        <f t="shared" si="426"/>
        <v>0</v>
      </c>
      <c r="UD68" s="56"/>
      <c r="UG68" s="55">
        <f t="shared" si="427"/>
        <v>46080</v>
      </c>
      <c r="UH68" s="56"/>
      <c r="UI68" s="242">
        <f>SUMPRODUCT(PRODUCE!$B81:$DY81,PRODUCE!$EB$57:$IY$57)</f>
        <v>0</v>
      </c>
      <c r="UJ68" s="56"/>
      <c r="UK68" s="242">
        <f t="shared" si="428"/>
        <v>0</v>
      </c>
      <c r="UL68" s="242">
        <f t="shared" si="429"/>
        <v>0</v>
      </c>
      <c r="UM68" s="56"/>
      <c r="UP68" s="55">
        <f t="shared" si="430"/>
        <v>46080</v>
      </c>
      <c r="UQ68" s="56"/>
      <c r="UR68" s="242">
        <f>SUMPRODUCT(PRODUCE!$B81:$DY81,PRODUCE!$EB$57:$IY$57)</f>
        <v>0</v>
      </c>
      <c r="US68" s="56"/>
      <c r="UT68" s="242">
        <f t="shared" si="431"/>
        <v>0</v>
      </c>
      <c r="UU68" s="242">
        <f t="shared" si="432"/>
        <v>0</v>
      </c>
      <c r="UV68" s="56"/>
      <c r="UY68" s="55">
        <f t="shared" si="433"/>
        <v>46080</v>
      </c>
      <c r="UZ68" s="56"/>
      <c r="VA68" s="242">
        <f>SUMPRODUCT(PRODUCE!$B81:$DY81,PRODUCE!$EB$57:$IY$57)</f>
        <v>0</v>
      </c>
      <c r="VB68" s="56"/>
      <c r="VC68" s="242">
        <f t="shared" si="434"/>
        <v>0</v>
      </c>
      <c r="VD68" s="242">
        <f t="shared" si="435"/>
        <v>41.600000000000023</v>
      </c>
      <c r="VE68" s="56"/>
      <c r="VH68" s="55">
        <f t="shared" si="436"/>
        <v>46080</v>
      </c>
      <c r="VI68" s="56"/>
      <c r="VJ68" s="242">
        <f>SUMPRODUCT(PRODUCE!$B81:$DY81,PRODUCE!$EB$57:$IY$57)</f>
        <v>0</v>
      </c>
      <c r="VK68" s="56"/>
      <c r="VL68" s="242">
        <f t="shared" si="437"/>
        <v>0</v>
      </c>
      <c r="VM68" s="242">
        <f t="shared" si="438"/>
        <v>0</v>
      </c>
      <c r="VN68" s="56"/>
      <c r="VQ68" s="55">
        <f t="shared" si="439"/>
        <v>46080</v>
      </c>
      <c r="VR68" s="56"/>
      <c r="VS68" s="242">
        <f>SUMPRODUCT(PRODUCE!$B81:$DY81,PRODUCE!$EB$57:$IY$57)</f>
        <v>0</v>
      </c>
      <c r="VT68" s="56"/>
      <c r="VU68" s="242">
        <f t="shared" si="440"/>
        <v>0</v>
      </c>
      <c r="VV68" s="242">
        <f t="shared" si="441"/>
        <v>0</v>
      </c>
      <c r="VW68" s="56"/>
      <c r="VZ68" s="55">
        <f t="shared" si="442"/>
        <v>46080</v>
      </c>
      <c r="WA68" s="56"/>
      <c r="WB68" s="242">
        <f>SUMPRODUCT(PRODUCE!$B81:$DY81,PRODUCE!$EB$57:$IY$57)</f>
        <v>0</v>
      </c>
      <c r="WC68" s="56"/>
      <c r="WD68" s="242">
        <f t="shared" si="443"/>
        <v>0</v>
      </c>
      <c r="WE68" s="242">
        <f t="shared" si="444"/>
        <v>0</v>
      </c>
      <c r="WF68" s="56"/>
      <c r="WI68" s="55">
        <f t="shared" si="445"/>
        <v>46080</v>
      </c>
      <c r="WJ68" s="56"/>
      <c r="WK68" s="242">
        <f>SUMPRODUCT(PRODUCE!$B81:$DY81,PRODUCE!$EB$57:$IY$57)</f>
        <v>0</v>
      </c>
      <c r="WL68" s="56">
        <v>1004</v>
      </c>
      <c r="WM68" s="242">
        <f t="shared" si="446"/>
        <v>-1004</v>
      </c>
      <c r="WN68" s="242">
        <f t="shared" si="447"/>
        <v>6628</v>
      </c>
      <c r="WO68" s="56"/>
      <c r="WR68" s="55">
        <f t="shared" si="448"/>
        <v>46080</v>
      </c>
      <c r="WS68" s="56"/>
      <c r="WT68" s="242">
        <f>SUMPRODUCT(PRODUCE!$B81:$DY81,PRODUCE!$EB$57:$IY$57)</f>
        <v>0</v>
      </c>
      <c r="WU68" s="56"/>
      <c r="WV68" s="242">
        <f t="shared" si="449"/>
        <v>0</v>
      </c>
      <c r="WW68" s="242">
        <f t="shared" si="450"/>
        <v>6559</v>
      </c>
      <c r="WX68" s="56"/>
      <c r="XA68" s="55">
        <f t="shared" si="451"/>
        <v>46080</v>
      </c>
      <c r="XB68" s="56"/>
      <c r="XC68" s="242">
        <f>SUMPRODUCT(PRODUCE!$B81:$DY81,PRODUCE!$EB$57:$IY$57)</f>
        <v>0</v>
      </c>
      <c r="XD68" s="56"/>
      <c r="XE68" s="242">
        <f t="shared" si="452"/>
        <v>0</v>
      </c>
      <c r="XF68" s="242">
        <f t="shared" si="453"/>
        <v>590</v>
      </c>
      <c r="XG68" s="56"/>
      <c r="XJ68" s="55">
        <f t="shared" si="454"/>
        <v>46080</v>
      </c>
      <c r="XK68" s="56"/>
      <c r="XL68" s="242">
        <f>SUMPRODUCT(PRODUCE!$B81:$DY81,PRODUCE!$EB$57:$IY$57)</f>
        <v>0</v>
      </c>
      <c r="XM68" s="56"/>
      <c r="XN68" s="242">
        <f t="shared" si="455"/>
        <v>0</v>
      </c>
      <c r="XO68" s="242">
        <f t="shared" si="456"/>
        <v>3391</v>
      </c>
      <c r="XP68" s="56"/>
      <c r="XS68" s="55">
        <f t="shared" si="457"/>
        <v>46080</v>
      </c>
      <c r="XT68" s="56"/>
      <c r="XU68" s="242">
        <f>SUMPRODUCT(PRODUCE!$B81:$DY81,PRODUCE!$EB$57:$IY$57)</f>
        <v>0</v>
      </c>
      <c r="XV68" s="56"/>
      <c r="XW68" s="242">
        <f t="shared" si="458"/>
        <v>0</v>
      </c>
      <c r="XX68" s="242">
        <f t="shared" si="459"/>
        <v>1901</v>
      </c>
      <c r="XY68" s="56"/>
      <c r="YB68" s="55">
        <f t="shared" si="460"/>
        <v>46080</v>
      </c>
      <c r="YC68" s="56"/>
      <c r="YD68" s="242">
        <f>SUMPRODUCT(PRODUCE!$B81:$DY81,PRODUCE!$EB$57:$IY$57)</f>
        <v>0</v>
      </c>
      <c r="YE68" s="56"/>
      <c r="YF68" s="242">
        <f t="shared" si="461"/>
        <v>0</v>
      </c>
      <c r="YG68" s="242">
        <f t="shared" si="462"/>
        <v>0</v>
      </c>
      <c r="YH68" s="56"/>
      <c r="YK68" s="55">
        <f t="shared" si="463"/>
        <v>46080</v>
      </c>
      <c r="YL68" s="56"/>
      <c r="YM68" s="242">
        <f>SUMPRODUCT(PRODUCE!$B81:$DY81,PRODUCE!$EB$57:$IY$57)</f>
        <v>0</v>
      </c>
      <c r="YN68" s="56"/>
      <c r="YO68" s="242">
        <f t="shared" si="464"/>
        <v>0</v>
      </c>
      <c r="YP68" s="242">
        <f t="shared" si="465"/>
        <v>0</v>
      </c>
      <c r="YQ68" s="56"/>
      <c r="YT68" s="55">
        <f t="shared" si="466"/>
        <v>46080</v>
      </c>
      <c r="YU68" s="56"/>
      <c r="YV68" s="242">
        <f>SUMPRODUCT(PRODUCE!$B81:$DY81,PRODUCE!$EB$57:$IY$57)</f>
        <v>0</v>
      </c>
      <c r="YW68" s="56"/>
      <c r="YX68" s="242">
        <f t="shared" si="467"/>
        <v>0</v>
      </c>
      <c r="YY68" s="242">
        <f t="shared" si="468"/>
        <v>0</v>
      </c>
      <c r="YZ68" s="56"/>
      <c r="ZC68" s="55">
        <f t="shared" si="469"/>
        <v>46080</v>
      </c>
      <c r="ZD68" s="56"/>
      <c r="ZE68" s="242">
        <f>SUMPRODUCT(PRODUCE!$B81:$DY81,PRODUCE!$EB$57:$IY$57)</f>
        <v>0</v>
      </c>
      <c r="ZF68" s="56"/>
      <c r="ZG68" s="242">
        <f t="shared" si="470"/>
        <v>0</v>
      </c>
      <c r="ZH68" s="242">
        <f t="shared" si="471"/>
        <v>0</v>
      </c>
      <c r="ZI68" s="56"/>
      <c r="ZL68" s="55">
        <f t="shared" si="472"/>
        <v>46080</v>
      </c>
      <c r="ZM68" s="56"/>
      <c r="ZN68" s="242">
        <f>SUMPRODUCT(PRODUCE!$B81:$DY81,PRODUCE!$EB$57:$IY$57)</f>
        <v>0</v>
      </c>
      <c r="ZO68" s="56"/>
      <c r="ZP68" s="242">
        <f t="shared" si="473"/>
        <v>0</v>
      </c>
      <c r="ZQ68" s="242">
        <f t="shared" si="474"/>
        <v>0</v>
      </c>
      <c r="ZR68" s="56"/>
      <c r="ZU68" s="55">
        <f t="shared" si="475"/>
        <v>46080</v>
      </c>
      <c r="ZV68" s="56"/>
      <c r="ZW68" s="242">
        <f>SUMPRODUCT(PRODUCE!$B81:$DY81,PRODUCE!$EB$57:$IY$57)</f>
        <v>0</v>
      </c>
      <c r="ZX68" s="56"/>
      <c r="ZY68" s="242">
        <f t="shared" si="476"/>
        <v>0</v>
      </c>
      <c r="ZZ68" s="242">
        <f t="shared" si="477"/>
        <v>0</v>
      </c>
      <c r="AAA68" s="56"/>
      <c r="AAD68" s="55">
        <f t="shared" si="478"/>
        <v>46080</v>
      </c>
      <c r="AAE68" s="56"/>
      <c r="AAF68" s="242">
        <f>SUMPRODUCT(PRODUCE!$B81:$DY81,PRODUCE!$EB$57:$IY$57)</f>
        <v>0</v>
      </c>
      <c r="AAG68" s="56"/>
      <c r="AAH68" s="242">
        <f t="shared" si="479"/>
        <v>0</v>
      </c>
      <c r="AAI68" s="242">
        <f t="shared" si="480"/>
        <v>0</v>
      </c>
      <c r="AAJ68" s="56"/>
      <c r="AAM68" s="55">
        <f t="shared" si="481"/>
        <v>46080</v>
      </c>
      <c r="AAN68" s="56"/>
      <c r="AAO68" s="242">
        <f>SUMPRODUCT(PRODUCE!$B81:$DY81,PRODUCE!$EB$57:$IY$57)</f>
        <v>0</v>
      </c>
      <c r="AAP68" s="56"/>
      <c r="AAQ68" s="242">
        <f t="shared" si="482"/>
        <v>0</v>
      </c>
      <c r="AAR68" s="242">
        <f t="shared" si="483"/>
        <v>0</v>
      </c>
      <c r="AAS68" s="56"/>
      <c r="AAV68" s="55">
        <f t="shared" si="484"/>
        <v>46080</v>
      </c>
      <c r="AAW68" s="56"/>
      <c r="AAX68" s="242">
        <f>SUMPRODUCT(PRODUCE!$B81:$DY81,PRODUCE!$EB$57:$IY$57)</f>
        <v>0</v>
      </c>
      <c r="AAY68" s="56"/>
      <c r="AAZ68" s="242">
        <f t="shared" si="485"/>
        <v>0</v>
      </c>
      <c r="ABA68" s="242">
        <f t="shared" si="486"/>
        <v>0</v>
      </c>
      <c r="ABB68" s="56"/>
      <c r="ABE68" s="55">
        <f t="shared" si="487"/>
        <v>46080</v>
      </c>
      <c r="ABF68" s="56"/>
      <c r="ABG68" s="242">
        <f>SUMPRODUCT(PRODUCE!$B81:$DY81,PRODUCE!$EB$57:$IY$57)</f>
        <v>0</v>
      </c>
      <c r="ABH68" s="56"/>
      <c r="ABI68" s="242">
        <f t="shared" si="488"/>
        <v>0</v>
      </c>
      <c r="ABJ68" s="242">
        <f t="shared" si="489"/>
        <v>0</v>
      </c>
      <c r="ABK68" s="56"/>
    </row>
    <row r="69" spans="1:739" s="54" customFormat="1" ht="15" customHeight="1" outlineLevel="1">
      <c r="B69" s="478"/>
      <c r="C69" s="55">
        <v>46081</v>
      </c>
      <c r="D69" s="425">
        <v>13380</v>
      </c>
      <c r="E69" s="424">
        <f>SUMPRODUCT(PRODUCE!$B82:$DY82,PRODUCE!$EB$7:$IY$7)</f>
        <v>0</v>
      </c>
      <c r="F69" s="422">
        <v>30000</v>
      </c>
      <c r="G69" s="423">
        <f t="shared" si="247"/>
        <v>-30000</v>
      </c>
      <c r="H69" s="423">
        <f t="shared" si="245"/>
        <v>91614.800000000017</v>
      </c>
      <c r="I69" s="289"/>
      <c r="L69" s="55">
        <f t="shared" si="246"/>
        <v>46081</v>
      </c>
      <c r="M69" s="425">
        <v>25820</v>
      </c>
      <c r="N69" s="439">
        <f>SUMPRODUCT(PRODUCE!$B82:$DY82,PRODUCE!$EB$8:$IY$8)</f>
        <v>0</v>
      </c>
      <c r="O69" s="422">
        <v>670</v>
      </c>
      <c r="P69" s="438">
        <f t="shared" si="248"/>
        <v>-670</v>
      </c>
      <c r="Q69" s="438">
        <f t="shared" si="249"/>
        <v>65096.600000000035</v>
      </c>
      <c r="R69" s="56"/>
      <c r="U69" s="55">
        <f t="shared" si="250"/>
        <v>46081</v>
      </c>
      <c r="V69" s="425">
        <v>30060</v>
      </c>
      <c r="W69" s="441">
        <f>SUMPRODUCT(PRODUCE!$B82:$DY82,PRODUCE!$EB$9:$IY$9)</f>
        <v>0</v>
      </c>
      <c r="X69" s="422"/>
      <c r="Y69" s="440">
        <f t="shared" si="251"/>
        <v>0</v>
      </c>
      <c r="Z69" s="440">
        <f t="shared" si="252"/>
        <v>48372.799999999974</v>
      </c>
      <c r="AA69" s="56"/>
      <c r="AD69" s="55">
        <f t="shared" si="253"/>
        <v>46081</v>
      </c>
      <c r="AE69" s="425"/>
      <c r="AF69" s="443">
        <f>SUMPRODUCT(PRODUCE!$B82:$DY82,PRODUCE!$EB$10:$IY$10)</f>
        <v>0</v>
      </c>
      <c r="AG69" s="422"/>
      <c r="AH69" s="442">
        <f t="shared" si="254"/>
        <v>0</v>
      </c>
      <c r="AI69" s="442">
        <f t="shared" si="255"/>
        <v>34138.200000000019</v>
      </c>
      <c r="AJ69" s="56"/>
      <c r="AM69" s="55">
        <f t="shared" si="256"/>
        <v>46081</v>
      </c>
      <c r="AN69" s="422"/>
      <c r="AO69" s="445">
        <f>SUMPRODUCT(PRODUCE!$B82:$DY82,PRODUCE!$EB$11:$IY$11)</f>
        <v>0</v>
      </c>
      <c r="AP69" s="422"/>
      <c r="AQ69" s="444">
        <f t="shared" si="257"/>
        <v>0</v>
      </c>
      <c r="AR69" s="444">
        <f t="shared" si="258"/>
        <v>0</v>
      </c>
      <c r="AS69" s="56"/>
      <c r="AV69" s="55">
        <f t="shared" si="259"/>
        <v>46081</v>
      </c>
      <c r="AW69" s="425">
        <v>280</v>
      </c>
      <c r="AX69" s="447">
        <f>SUMPRODUCT(PRODUCE!$B82:$DY82,PRODUCE!$EB$12:$IY$12)</f>
        <v>0</v>
      </c>
      <c r="AY69" s="422"/>
      <c r="AZ69" s="446">
        <f t="shared" si="260"/>
        <v>0</v>
      </c>
      <c r="BA69" s="446">
        <f t="shared" si="261"/>
        <v>47801.999999999985</v>
      </c>
      <c r="BB69" s="56"/>
      <c r="BE69" s="55">
        <f t="shared" si="262"/>
        <v>46081</v>
      </c>
      <c r="BF69" s="425"/>
      <c r="BG69" s="449">
        <f>SUMPRODUCT(PRODUCE!$B82:$DY82,PRODUCE!$EB$13:$IY$13)</f>
        <v>0</v>
      </c>
      <c r="BH69" s="422"/>
      <c r="BI69" s="448">
        <f t="shared" si="263"/>
        <v>0</v>
      </c>
      <c r="BJ69" s="448">
        <f t="shared" si="264"/>
        <v>7501.8000000000047</v>
      </c>
      <c r="BK69" s="56"/>
      <c r="BN69" s="55">
        <f t="shared" si="265"/>
        <v>46081</v>
      </c>
      <c r="BO69" s="425"/>
      <c r="BP69" s="451">
        <f>SUMPRODUCT(PRODUCE!$B82:$DY82,PRODUCE!$EB$14:$IY$14)</f>
        <v>0</v>
      </c>
      <c r="BQ69" s="422"/>
      <c r="BR69" s="450">
        <f t="shared" si="266"/>
        <v>0</v>
      </c>
      <c r="BS69" s="450">
        <f t="shared" si="267"/>
        <v>0</v>
      </c>
      <c r="BT69" s="56"/>
      <c r="BW69" s="55">
        <f t="shared" si="268"/>
        <v>46081</v>
      </c>
      <c r="BX69" s="67"/>
      <c r="BY69" s="81">
        <f>SUMPRODUCT(PRODUCE!$B82:$DY82,PRODUCE!$EB$15:$IY$15)</f>
        <v>0</v>
      </c>
      <c r="BZ69" s="56">
        <v>231</v>
      </c>
      <c r="CA69" s="65">
        <f t="shared" si="269"/>
        <v>-231</v>
      </c>
      <c r="CB69" s="65">
        <f t="shared" si="270"/>
        <v>8.0000000000001137</v>
      </c>
      <c r="CC69" s="56"/>
      <c r="CF69" s="55">
        <f t="shared" si="271"/>
        <v>46081</v>
      </c>
      <c r="CG69" s="67">
        <v>660</v>
      </c>
      <c r="CH69" s="82">
        <f>SUMPRODUCT(PRODUCE!$B82:$DY82,PRODUCE!$EB$16:$IY$16)</f>
        <v>0</v>
      </c>
      <c r="CI69" s="56">
        <v>660</v>
      </c>
      <c r="CJ69" s="66">
        <f t="shared" si="272"/>
        <v>-660</v>
      </c>
      <c r="CK69" s="66">
        <f t="shared" si="273"/>
        <v>0</v>
      </c>
      <c r="CL69" s="56"/>
      <c r="CO69" s="55">
        <f t="shared" si="274"/>
        <v>46081</v>
      </c>
      <c r="CP69" s="425"/>
      <c r="CQ69" s="471">
        <f>SUMPRODUCT(PRODUCE!$B82:$DY82,PRODUCE!$EB$17:$IY$17)</f>
        <v>0</v>
      </c>
      <c r="CR69" s="422"/>
      <c r="CS69" s="470">
        <f t="shared" si="275"/>
        <v>0</v>
      </c>
      <c r="CT69" s="470">
        <f t="shared" si="276"/>
        <v>0</v>
      </c>
      <c r="CU69" s="56"/>
      <c r="CX69" s="55">
        <f t="shared" si="277"/>
        <v>46081</v>
      </c>
      <c r="CY69" s="67"/>
      <c r="CZ69" s="136">
        <f>SUMPRODUCT(PRODUCE!$B82:$DY82,PRODUCE!$EB$18:$IY$18)</f>
        <v>0</v>
      </c>
      <c r="DA69" s="56"/>
      <c r="DB69" s="133">
        <f t="shared" ref="DB69:DB70" si="490">CZ69-DA69</f>
        <v>0</v>
      </c>
      <c r="DC69" s="133">
        <f t="shared" ref="DC69:DC70" si="491">DC68+CY69-DA69</f>
        <v>55052.4</v>
      </c>
      <c r="DD69" s="56"/>
      <c r="DG69" s="55">
        <f t="shared" si="280"/>
        <v>46081</v>
      </c>
      <c r="DH69" s="67"/>
      <c r="DI69" s="150">
        <f>SUMPRODUCT(PRODUCE!$B82:$DY82,PRODUCE!$EB$19:$IY$19)</f>
        <v>0</v>
      </c>
      <c r="DJ69" s="56"/>
      <c r="DK69" s="147">
        <f t="shared" si="281"/>
        <v>0</v>
      </c>
      <c r="DL69" s="147">
        <f t="shared" si="282"/>
        <v>-2.8421709430404007E-12</v>
      </c>
      <c r="DM69" s="56"/>
      <c r="DP69" s="55">
        <f t="shared" si="283"/>
        <v>46081</v>
      </c>
      <c r="DQ69" s="67"/>
      <c r="DR69" s="58">
        <f>SUMPRODUCT(PRODUCE!$B82:$DY82,PRODUCE!$EB$20:$IY$20)</f>
        <v>0</v>
      </c>
      <c r="DS69" s="56"/>
      <c r="DT69" s="57">
        <f t="shared" si="284"/>
        <v>0</v>
      </c>
      <c r="DU69" s="57">
        <f t="shared" si="285"/>
        <v>2300</v>
      </c>
      <c r="DV69" s="56"/>
      <c r="DY69" s="55">
        <f t="shared" si="286"/>
        <v>46081</v>
      </c>
      <c r="DZ69" s="67"/>
      <c r="EA69" s="159">
        <f>SUMPRODUCT(PRODUCE!$B82:$DY82,PRODUCE!$EB$21:$IY$21)</f>
        <v>0</v>
      </c>
      <c r="EB69" s="56"/>
      <c r="EC69" s="157">
        <f t="shared" si="287"/>
        <v>0</v>
      </c>
      <c r="ED69" s="157">
        <f t="shared" si="288"/>
        <v>5696.8</v>
      </c>
      <c r="EE69" s="56"/>
      <c r="EH69" s="55">
        <f t="shared" si="289"/>
        <v>46081</v>
      </c>
      <c r="EI69" s="67"/>
      <c r="EJ69" s="164">
        <f>SUMPRODUCT(PRODUCE!$B82:$DY82,PRODUCE!$EB$22:$IY$22)</f>
        <v>0</v>
      </c>
      <c r="EK69" s="56"/>
      <c r="EL69" s="162">
        <f t="shared" si="290"/>
        <v>0</v>
      </c>
      <c r="EM69" s="162">
        <f t="shared" si="291"/>
        <v>0</v>
      </c>
      <c r="EN69" s="56"/>
      <c r="EQ69" s="55">
        <f t="shared" si="292"/>
        <v>46081</v>
      </c>
      <c r="ER69" s="67"/>
      <c r="ES69" s="171">
        <f>SUMPRODUCT(PRODUCE!$B82:$DY82,PRODUCE!$EB$23:$IY$23)</f>
        <v>0</v>
      </c>
      <c r="ET69" s="56"/>
      <c r="EU69" s="135">
        <f t="shared" si="293"/>
        <v>0</v>
      </c>
      <c r="EV69" s="135">
        <f t="shared" si="294"/>
        <v>0</v>
      </c>
      <c r="EW69" s="56"/>
      <c r="EZ69" s="55">
        <f t="shared" si="295"/>
        <v>46081</v>
      </c>
      <c r="FA69" s="67"/>
      <c r="FB69" s="178">
        <f>SUMPRODUCT(PRODUCE!$B82:$DY82,PRODUCE!$EB$24:$IY$24)</f>
        <v>0</v>
      </c>
      <c r="FC69" s="56"/>
      <c r="FD69" s="175">
        <f t="shared" si="296"/>
        <v>0</v>
      </c>
      <c r="FE69" s="175">
        <f t="shared" si="297"/>
        <v>0</v>
      </c>
      <c r="FF69" s="56"/>
      <c r="FI69" s="55">
        <f t="shared" si="298"/>
        <v>46081</v>
      </c>
      <c r="FJ69" s="67"/>
      <c r="FK69" s="184">
        <f>SUMPRODUCT(PRODUCE!$B82:$DY82,PRODUCE!$EB$25:$IY$25)</f>
        <v>0</v>
      </c>
      <c r="FL69" s="56"/>
      <c r="FM69" s="183">
        <f t="shared" si="299"/>
        <v>0</v>
      </c>
      <c r="FN69" s="183">
        <f t="shared" si="300"/>
        <v>0</v>
      </c>
      <c r="FO69" s="56"/>
      <c r="FR69" s="55">
        <f t="shared" si="301"/>
        <v>46081</v>
      </c>
      <c r="FS69" s="425"/>
      <c r="FT69" s="453">
        <f>SUMPRODUCT(PRODUCE!$B82:$DY82,PRODUCE!$EB$26:$IY$26)</f>
        <v>0</v>
      </c>
      <c r="FU69" s="422">
        <f>50*20</f>
        <v>1000</v>
      </c>
      <c r="FV69" s="452">
        <f t="shared" si="302"/>
        <v>-1000</v>
      </c>
      <c r="FW69" s="452">
        <f t="shared" si="303"/>
        <v>620</v>
      </c>
      <c r="FX69" s="56">
        <f>FU69/20</f>
        <v>50</v>
      </c>
      <c r="GA69" s="55">
        <f t="shared" si="304"/>
        <v>46081</v>
      </c>
      <c r="GB69" s="425"/>
      <c r="GC69" s="455">
        <f>SUMPRODUCT(PRODUCE!$B82:$DY82,PRODUCE!$EB$27:$IY$27)</f>
        <v>0</v>
      </c>
      <c r="GD69" s="422"/>
      <c r="GE69" s="454">
        <f t="shared" si="305"/>
        <v>0</v>
      </c>
      <c r="GF69" s="454">
        <f t="shared" si="306"/>
        <v>5960</v>
      </c>
      <c r="GG69" s="56"/>
      <c r="GI69" s="23"/>
      <c r="GJ69" s="55">
        <f t="shared" si="307"/>
        <v>46081</v>
      </c>
      <c r="GK69" s="425"/>
      <c r="GL69" s="457">
        <f>SUMPRODUCT(PRODUCE!$B82:$DY82,PRODUCE!$EB$28:$IY$28)</f>
        <v>0</v>
      </c>
      <c r="GM69" s="422"/>
      <c r="GN69" s="456">
        <f t="shared" si="308"/>
        <v>0</v>
      </c>
      <c r="GO69" s="456">
        <f t="shared" si="309"/>
        <v>5240</v>
      </c>
      <c r="GP69" s="56"/>
      <c r="GS69" s="55">
        <f t="shared" si="310"/>
        <v>46081</v>
      </c>
      <c r="GT69" s="67"/>
      <c r="GU69" s="196">
        <f>SUMPRODUCT(PRODUCE!$B82:$DY82,PRODUCE!$EB$29:$IY$29)</f>
        <v>0</v>
      </c>
      <c r="GV69" s="56"/>
      <c r="GW69" s="195">
        <f t="shared" si="311"/>
        <v>0</v>
      </c>
      <c r="GX69" s="195">
        <f t="shared" si="312"/>
        <v>0</v>
      </c>
      <c r="GY69" s="56"/>
      <c r="HB69" s="55">
        <f t="shared" si="313"/>
        <v>46081</v>
      </c>
      <c r="HC69" s="67"/>
      <c r="HD69" s="192">
        <f>SUMPRODUCT(PRODUCE!$B82:$DY82,PRODUCE!$EB$30:$IY$30)</f>
        <v>0</v>
      </c>
      <c r="HE69" s="56"/>
      <c r="HF69" s="191">
        <f t="shared" si="314"/>
        <v>0</v>
      </c>
      <c r="HG69" s="191">
        <f t="shared" si="315"/>
        <v>0</v>
      </c>
      <c r="HH69" s="56"/>
      <c r="HK69" s="55">
        <f t="shared" si="316"/>
        <v>46081</v>
      </c>
      <c r="HL69" s="67"/>
      <c r="HM69" s="80">
        <f>SUMPRODUCT(PRODUCE!$B82:$DY82,PRODUCE!$EB$31:$IY$31)</f>
        <v>0</v>
      </c>
      <c r="HN69" s="56"/>
      <c r="HO69" s="63">
        <f t="shared" si="317"/>
        <v>0</v>
      </c>
      <c r="HP69" s="63">
        <f t="shared" si="318"/>
        <v>0</v>
      </c>
      <c r="HQ69" s="56"/>
      <c r="HU69" s="55">
        <f t="shared" si="319"/>
        <v>46081</v>
      </c>
      <c r="HV69" s="67"/>
      <c r="HW69" s="242">
        <f>SUMPRODUCT(PRODUCE!$B82:$DY82,PRODUCE!$EB$32:$IY$32)</f>
        <v>0</v>
      </c>
      <c r="HX69" s="56"/>
      <c r="HY69" s="242">
        <f t="shared" si="320"/>
        <v>0</v>
      </c>
      <c r="HZ69" s="242">
        <f t="shared" si="321"/>
        <v>5120</v>
      </c>
      <c r="IA69" s="56"/>
      <c r="ID69" s="55">
        <f t="shared" si="322"/>
        <v>46081</v>
      </c>
      <c r="IE69" s="67"/>
      <c r="IF69" s="242">
        <f>SUMPRODUCT(PRODUCE!$B82:$DY82,PRODUCE!$EB$33:$IY$33)</f>
        <v>0</v>
      </c>
      <c r="IG69" s="56"/>
      <c r="IH69" s="242">
        <f t="shared" si="323"/>
        <v>0</v>
      </c>
      <c r="II69" s="242">
        <f t="shared" si="324"/>
        <v>5100</v>
      </c>
      <c r="IJ69" s="56"/>
      <c r="IM69" s="55">
        <f t="shared" si="325"/>
        <v>46081</v>
      </c>
      <c r="IN69" s="67"/>
      <c r="IO69" s="242">
        <f>SUMPRODUCT(PRODUCE!$B82:$DY82,PRODUCE!$EB$34:$IY$34)</f>
        <v>0</v>
      </c>
      <c r="IP69" s="56"/>
      <c r="IQ69" s="242">
        <f t="shared" si="326"/>
        <v>0</v>
      </c>
      <c r="IR69" s="242">
        <f t="shared" si="327"/>
        <v>10240</v>
      </c>
      <c r="IS69" s="56"/>
      <c r="IV69" s="55">
        <f t="shared" si="328"/>
        <v>46081</v>
      </c>
      <c r="IW69" s="67"/>
      <c r="IX69" s="242">
        <f>SUMPRODUCT(PRODUCE!$B82:$DY82,PRODUCE!$EB$35:$IY$35)</f>
        <v>0</v>
      </c>
      <c r="IY69" s="56"/>
      <c r="IZ69" s="242">
        <f t="shared" si="329"/>
        <v>0</v>
      </c>
      <c r="JA69" s="242">
        <f t="shared" si="330"/>
        <v>15120</v>
      </c>
      <c r="JB69" s="56"/>
      <c r="JE69" s="55">
        <f t="shared" si="331"/>
        <v>46081</v>
      </c>
      <c r="JF69" s="67"/>
      <c r="JG69" s="242">
        <f>SUMPRODUCT(PRODUCE!$B82:$DY82,PRODUCE!$EB$36:$IY$36)</f>
        <v>0</v>
      </c>
      <c r="JH69" s="56">
        <f>14*20</f>
        <v>280</v>
      </c>
      <c r="JI69" s="242">
        <f t="shared" si="332"/>
        <v>-280</v>
      </c>
      <c r="JJ69" s="242">
        <f t="shared" si="333"/>
        <v>3320</v>
      </c>
      <c r="JK69" s="56"/>
      <c r="JN69" s="55">
        <f t="shared" si="334"/>
        <v>46081</v>
      </c>
      <c r="JO69" s="67"/>
      <c r="JP69" s="242">
        <f>SUMPRODUCT(PRODUCE!$B82:$DY82,PRODUCE!$EB$37:$IY$37)</f>
        <v>0</v>
      </c>
      <c r="JQ69" s="56"/>
      <c r="JR69" s="242">
        <f t="shared" si="335"/>
        <v>0</v>
      </c>
      <c r="JS69" s="242">
        <f t="shared" si="336"/>
        <v>5400</v>
      </c>
      <c r="JT69" s="56"/>
      <c r="JW69" s="55">
        <f t="shared" si="337"/>
        <v>46081</v>
      </c>
      <c r="JX69" s="67"/>
      <c r="JY69" s="242">
        <f>SUMPRODUCT(PRODUCE!$B82:$DY82,PRODUCE!$EB$38:$IY$38)</f>
        <v>0</v>
      </c>
      <c r="JZ69" s="56"/>
      <c r="KA69" s="242">
        <f t="shared" si="338"/>
        <v>0</v>
      </c>
      <c r="KB69" s="242">
        <f t="shared" si="339"/>
        <v>4000</v>
      </c>
      <c r="KC69" s="56"/>
      <c r="KF69" s="55">
        <f t="shared" si="340"/>
        <v>46081</v>
      </c>
      <c r="KG69" s="67"/>
      <c r="KH69" s="242">
        <f>SUMPRODUCT(PRODUCE!$B82:$DY82,PRODUCE!$EB$39:$IY$39)</f>
        <v>0</v>
      </c>
      <c r="KI69" s="56"/>
      <c r="KJ69" s="242">
        <f t="shared" si="341"/>
        <v>0</v>
      </c>
      <c r="KK69" s="242">
        <f t="shared" si="342"/>
        <v>0</v>
      </c>
      <c r="KL69" s="56"/>
      <c r="KO69" s="55">
        <f t="shared" si="343"/>
        <v>46081</v>
      </c>
      <c r="KP69" s="56"/>
      <c r="KQ69" s="242">
        <f>SUMPRODUCT(PRODUCE!$B82:$DY82,PRODUCE!$EB$40:$IY$40)</f>
        <v>0</v>
      </c>
      <c r="KR69" s="56">
        <f>198*18.9</f>
        <v>3742.2</v>
      </c>
      <c r="KS69" s="242">
        <f t="shared" si="344"/>
        <v>-3742.2</v>
      </c>
      <c r="KT69" s="242">
        <f t="shared" si="345"/>
        <v>6539.4000000000005</v>
      </c>
      <c r="KU69" s="56"/>
      <c r="KW69" s="23"/>
      <c r="KX69" s="55">
        <f t="shared" si="346"/>
        <v>46081</v>
      </c>
      <c r="KY69" s="67"/>
      <c r="KZ69" s="242">
        <f>SUMPRODUCT(PRODUCE!$B82:$DY82,PRODUCE!$EB$41:$IY$41)</f>
        <v>0</v>
      </c>
      <c r="LA69" s="56"/>
      <c r="LB69" s="242">
        <f t="shared" si="347"/>
        <v>0</v>
      </c>
      <c r="LC69" s="242">
        <f t="shared" si="348"/>
        <v>0</v>
      </c>
      <c r="LD69" s="56"/>
      <c r="LG69" s="55">
        <f t="shared" si="349"/>
        <v>46081</v>
      </c>
      <c r="LH69" s="67"/>
      <c r="LI69" s="242">
        <f>SUMPRODUCT(PRODUCE!$B82:$DY82,PRODUCE!$EB$42:$IY$42)</f>
        <v>0</v>
      </c>
      <c r="LJ69" s="56"/>
      <c r="LK69" s="242">
        <f t="shared" si="350"/>
        <v>0</v>
      </c>
      <c r="LL69" s="242">
        <f t="shared" si="351"/>
        <v>0</v>
      </c>
      <c r="LM69" s="56"/>
      <c r="LP69" s="55">
        <f t="shared" si="352"/>
        <v>46081</v>
      </c>
      <c r="LQ69" s="67"/>
      <c r="LR69" s="242">
        <f>SUMPRODUCT(PRODUCE!$B84:$DY84,PRODUCE!$EB$43:$IY$43)</f>
        <v>0</v>
      </c>
      <c r="LS69" s="56"/>
      <c r="LT69" s="242">
        <f t="shared" si="353"/>
        <v>0</v>
      </c>
      <c r="LU69" s="242">
        <f t="shared" si="354"/>
        <v>0</v>
      </c>
      <c r="LV69" s="56"/>
      <c r="LY69" s="55">
        <f t="shared" si="355"/>
        <v>46081</v>
      </c>
      <c r="LZ69" s="67"/>
      <c r="MA69" s="242">
        <f>SUMPRODUCT(PRODUCE!$B84:$DY84,PRODUCE!$EB$44:$IY$44)</f>
        <v>0</v>
      </c>
      <c r="MB69" s="56"/>
      <c r="MC69" s="242">
        <f t="shared" si="356"/>
        <v>0</v>
      </c>
      <c r="MD69" s="242">
        <f t="shared" si="357"/>
        <v>0</v>
      </c>
      <c r="ME69" s="56"/>
      <c r="MH69" s="55">
        <f t="shared" si="358"/>
        <v>46081</v>
      </c>
      <c r="MI69" s="56"/>
      <c r="MJ69" s="242">
        <f>SUMPRODUCT(PRODUCE!$B82:$DY82,PRODUCE!$EB$45:$IY$45)</f>
        <v>0</v>
      </c>
      <c r="MK69" s="56"/>
      <c r="ML69" s="242">
        <f t="shared" si="359"/>
        <v>0</v>
      </c>
      <c r="MM69" s="242">
        <f t="shared" si="360"/>
        <v>0</v>
      </c>
      <c r="MN69" s="56"/>
      <c r="MQ69" s="55">
        <f t="shared" si="361"/>
        <v>46081</v>
      </c>
      <c r="MR69" s="67"/>
      <c r="MS69" s="242">
        <f>SUMPRODUCT(PRODUCE!$B82:$DY82,PRODUCE!$EB$46:$IY$46)</f>
        <v>0</v>
      </c>
      <c r="MT69" s="56">
        <v>147</v>
      </c>
      <c r="MU69" s="242">
        <f t="shared" si="362"/>
        <v>-147</v>
      </c>
      <c r="MV69" s="242">
        <f t="shared" si="363"/>
        <v>4123</v>
      </c>
      <c r="MW69" s="56"/>
      <c r="MZ69" s="55">
        <f t="shared" si="364"/>
        <v>46081</v>
      </c>
      <c r="NA69" s="67"/>
      <c r="NB69" s="242">
        <f>SUMPRODUCT(PRODUCE!$B82:$DY82,PRODUCE!$EB$47:$IY$47)</f>
        <v>0</v>
      </c>
      <c r="NC69" s="56"/>
      <c r="ND69" s="242">
        <f t="shared" si="365"/>
        <v>0</v>
      </c>
      <c r="NE69" s="242">
        <f t="shared" si="366"/>
        <v>0</v>
      </c>
      <c r="NF69" s="56"/>
      <c r="NI69" s="55">
        <f t="shared" si="367"/>
        <v>46081</v>
      </c>
      <c r="NJ69" s="56"/>
      <c r="NK69" s="242">
        <f>SUMPRODUCT(PRODUCE!$B82:$DY82,PRODUCE!$EB$48:$IY$48)</f>
        <v>0</v>
      </c>
      <c r="NL69" s="56"/>
      <c r="NM69" s="242">
        <f t="shared" si="368"/>
        <v>0</v>
      </c>
      <c r="NN69" s="242">
        <f t="shared" si="369"/>
        <v>0</v>
      </c>
      <c r="NO69" s="56"/>
      <c r="NR69" s="55">
        <f t="shared" si="370"/>
        <v>46081</v>
      </c>
      <c r="NS69" s="56">
        <v>67.3</v>
      </c>
      <c r="NT69" s="242">
        <f>SUMPRODUCT(PRODUCE!$B82:$DY82,PRODUCE!$EB$49:$IY$49)</f>
        <v>0</v>
      </c>
      <c r="NU69" s="56">
        <v>88.8</v>
      </c>
      <c r="NV69" s="242">
        <f t="shared" si="371"/>
        <v>-88.8</v>
      </c>
      <c r="NW69" s="242">
        <f t="shared" si="372"/>
        <v>1947.7</v>
      </c>
      <c r="NX69" s="56"/>
      <c r="OA69" s="55">
        <f t="shared" si="373"/>
        <v>46081</v>
      </c>
      <c r="OB69" s="67"/>
      <c r="OC69" s="242">
        <f>SUMPRODUCT(PRODUCE!$B82:$DY82,PRODUCE!$EB$50:$IY$50)</f>
        <v>0</v>
      </c>
      <c r="OD69" s="56"/>
      <c r="OE69" s="242">
        <f t="shared" si="374"/>
        <v>0</v>
      </c>
      <c r="OF69" s="242">
        <f t="shared" si="375"/>
        <v>1680.5</v>
      </c>
      <c r="OG69" s="56"/>
      <c r="OJ69" s="55">
        <f t="shared" si="376"/>
        <v>46081</v>
      </c>
      <c r="OK69" s="67">
        <v>207.2</v>
      </c>
      <c r="OL69" s="242">
        <f>SUMPRODUCT(PRODUCE!$B82:$DY82,PRODUCE!$EB$51:$IY$51)</f>
        <v>0</v>
      </c>
      <c r="OM69" s="56">
        <v>207.2</v>
      </c>
      <c r="ON69" s="242">
        <f t="shared" si="377"/>
        <v>-207.2</v>
      </c>
      <c r="OO69" s="242">
        <f t="shared" si="378"/>
        <v>0</v>
      </c>
      <c r="OP69" s="56"/>
      <c r="OS69" s="55">
        <f t="shared" si="379"/>
        <v>46081</v>
      </c>
      <c r="OT69" s="67"/>
      <c r="OU69" s="242">
        <f>SUMPRODUCT(PRODUCE!$B82:$DY82,PRODUCE!$EB$52:$IY$52)</f>
        <v>0</v>
      </c>
      <c r="OV69" s="56"/>
      <c r="OW69" s="242">
        <f t="shared" si="380"/>
        <v>0</v>
      </c>
      <c r="OX69" s="242">
        <f t="shared" si="381"/>
        <v>0</v>
      </c>
      <c r="OY69" s="56"/>
      <c r="PB69" s="55">
        <f t="shared" si="382"/>
        <v>46081</v>
      </c>
      <c r="PC69" s="67"/>
      <c r="PD69" s="242">
        <f>SUMPRODUCT(PRODUCE!$B82:$DY82,PRODUCE!$EB$53:$IY$53)</f>
        <v>0</v>
      </c>
      <c r="PE69" s="56"/>
      <c r="PF69" s="242">
        <f t="shared" si="383"/>
        <v>0</v>
      </c>
      <c r="PG69" s="242">
        <f t="shared" si="384"/>
        <v>0</v>
      </c>
      <c r="PH69" s="56"/>
      <c r="PK69" s="55">
        <f t="shared" si="385"/>
        <v>46081</v>
      </c>
      <c r="PL69" s="67"/>
      <c r="PM69" s="242">
        <f>SUMPRODUCT(PRODUCE!$B82:$DY82,PRODUCE!$EB$54:$IY$54)</f>
        <v>0</v>
      </c>
      <c r="PN69" s="56"/>
      <c r="PO69" s="242">
        <f t="shared" si="386"/>
        <v>0</v>
      </c>
      <c r="PP69" s="242">
        <f t="shared" si="387"/>
        <v>100</v>
      </c>
      <c r="PQ69" s="56"/>
      <c r="PT69" s="55">
        <f t="shared" si="388"/>
        <v>46081</v>
      </c>
      <c r="PU69" s="67"/>
      <c r="PV69" s="242">
        <f>SUMPRODUCT(PRODUCE!$B82:$DY82,PRODUCE!$EB$55:$IY$55)</f>
        <v>0</v>
      </c>
      <c r="PW69" s="56"/>
      <c r="PX69" s="242">
        <f t="shared" si="389"/>
        <v>0</v>
      </c>
      <c r="PY69" s="242">
        <f t="shared" si="390"/>
        <v>13.960000000000036</v>
      </c>
      <c r="PZ69" s="56"/>
      <c r="QC69" s="55">
        <f t="shared" si="391"/>
        <v>46081</v>
      </c>
      <c r="QD69" s="67">
        <v>400</v>
      </c>
      <c r="QE69" s="242">
        <f>SUMPRODUCT(PRODUCE!$B82:$DY82,PRODUCE!$EB$56:$IY$56)</f>
        <v>0</v>
      </c>
      <c r="QF69" s="56">
        <v>56</v>
      </c>
      <c r="QG69" s="242">
        <f t="shared" si="392"/>
        <v>-56</v>
      </c>
      <c r="QH69" s="242">
        <f t="shared" si="393"/>
        <v>344</v>
      </c>
      <c r="QI69" s="56"/>
      <c r="QL69" s="55">
        <f t="shared" si="394"/>
        <v>46081</v>
      </c>
      <c r="QM69" s="56"/>
      <c r="QN69" s="242">
        <f>SUMPRODUCT(PRODUCE!$B82:$DY82,PRODUCE!$EB$57:$IY$57)</f>
        <v>0</v>
      </c>
      <c r="QO69" s="56"/>
      <c r="QP69" s="242">
        <f t="shared" si="395"/>
        <v>0</v>
      </c>
      <c r="QQ69" s="242">
        <f t="shared" si="396"/>
        <v>0</v>
      </c>
      <c r="QR69" s="56"/>
      <c r="QU69" s="55">
        <f t="shared" si="397"/>
        <v>46081</v>
      </c>
      <c r="QV69" s="67"/>
      <c r="QW69" s="242">
        <f>SUMPRODUCT(PRODUCE!$B82:$DY82,PRODUCE!$EB$57:$IY$57)</f>
        <v>0</v>
      </c>
      <c r="QX69" s="56"/>
      <c r="QY69" s="242">
        <f t="shared" si="398"/>
        <v>0</v>
      </c>
      <c r="QZ69" s="242">
        <f t="shared" si="399"/>
        <v>207.6</v>
      </c>
      <c r="RA69" s="56"/>
      <c r="RD69" s="55">
        <f t="shared" si="400"/>
        <v>46081</v>
      </c>
      <c r="RE69" s="67"/>
      <c r="RF69" s="242">
        <f>SUMPRODUCT(PRODUCE!$B82:$DY82,PRODUCE!$EB$58:$IY$58)</f>
        <v>0</v>
      </c>
      <c r="RG69" s="56"/>
      <c r="RH69" s="242">
        <f t="shared" si="401"/>
        <v>0</v>
      </c>
      <c r="RI69" s="242">
        <f t="shared" si="402"/>
        <v>197.04000000000002</v>
      </c>
      <c r="RJ69" s="56"/>
      <c r="RM69" s="55">
        <f t="shared" si="403"/>
        <v>46081</v>
      </c>
      <c r="RN69" s="67"/>
      <c r="RO69" s="242">
        <f>SUMPRODUCT(PRODUCE!$B82:$DY82,PRODUCE!$EB$57:$IY$57)</f>
        <v>0</v>
      </c>
      <c r="RP69" s="56"/>
      <c r="RQ69" s="242">
        <f t="shared" si="404"/>
        <v>0</v>
      </c>
      <c r="RR69" s="242">
        <f t="shared" si="405"/>
        <v>46.8</v>
      </c>
      <c r="RS69" s="56"/>
      <c r="RV69" s="55">
        <f t="shared" si="406"/>
        <v>46081</v>
      </c>
      <c r="RW69" s="67"/>
      <c r="RX69" s="242">
        <f>SUMPRODUCT(PRODUCE!$B82:$DY82,PRODUCE!$EB$57:$IY$57)</f>
        <v>0</v>
      </c>
      <c r="RY69" s="56"/>
      <c r="RZ69" s="242">
        <f t="shared" si="407"/>
        <v>0</v>
      </c>
      <c r="SA69" s="242">
        <f t="shared" si="408"/>
        <v>0</v>
      </c>
      <c r="SB69" s="56"/>
      <c r="SE69" s="55">
        <f t="shared" si="409"/>
        <v>46081</v>
      </c>
      <c r="SF69" s="67"/>
      <c r="SG69" s="242">
        <f>SUMPRODUCT(PRODUCE!$B82:$DY82,PRODUCE!$EB$57:$IY$57)</f>
        <v>0</v>
      </c>
      <c r="SH69" s="56"/>
      <c r="SI69" s="242">
        <f t="shared" si="410"/>
        <v>0</v>
      </c>
      <c r="SJ69" s="242">
        <f t="shared" si="411"/>
        <v>0</v>
      </c>
      <c r="SK69" s="56"/>
      <c r="SN69" s="55">
        <f t="shared" si="412"/>
        <v>46081</v>
      </c>
      <c r="SO69" s="67"/>
      <c r="SP69" s="242">
        <f>SUMPRODUCT(PRODUCE!$B82:$DY82,PRODUCE!$EB$57:$IY$57)</f>
        <v>0</v>
      </c>
      <c r="SQ69" s="56"/>
      <c r="SR69" s="242">
        <f t="shared" si="413"/>
        <v>0</v>
      </c>
      <c r="SS69" s="242">
        <f t="shared" si="414"/>
        <v>0</v>
      </c>
      <c r="ST69" s="56"/>
      <c r="SW69" s="55">
        <f t="shared" si="415"/>
        <v>46081</v>
      </c>
      <c r="SX69" s="67"/>
      <c r="SY69" s="242">
        <f>SUMPRODUCT(PRODUCE!$B82:$DY82,PRODUCE!$EB$57:$IY$57)</f>
        <v>0</v>
      </c>
      <c r="SZ69" s="56"/>
      <c r="TA69" s="242">
        <f t="shared" si="416"/>
        <v>0</v>
      </c>
      <c r="TB69" s="242">
        <f t="shared" si="417"/>
        <v>0</v>
      </c>
      <c r="TC69" s="56"/>
      <c r="TF69" s="55">
        <f t="shared" si="418"/>
        <v>46081</v>
      </c>
      <c r="TG69" s="67"/>
      <c r="TH69" s="242">
        <f>SUMPRODUCT(PRODUCE!$B82:$DY82,PRODUCE!$EB$57:$IY$57)</f>
        <v>0</v>
      </c>
      <c r="TI69" s="56"/>
      <c r="TJ69" s="242">
        <f t="shared" si="419"/>
        <v>0</v>
      </c>
      <c r="TK69" s="242">
        <f t="shared" si="420"/>
        <v>0</v>
      </c>
      <c r="TL69" s="56"/>
      <c r="TO69" s="55">
        <f t="shared" si="421"/>
        <v>46081</v>
      </c>
      <c r="TP69" s="67"/>
      <c r="TQ69" s="242">
        <f>SUMPRODUCT(PRODUCE!$B82:$DY82,PRODUCE!$EB$57:$IY$57)</f>
        <v>0</v>
      </c>
      <c r="TR69" s="56"/>
      <c r="TS69" s="242">
        <f t="shared" si="422"/>
        <v>0</v>
      </c>
      <c r="TT69" s="242">
        <f t="shared" si="423"/>
        <v>0</v>
      </c>
      <c r="TU69" s="56"/>
      <c r="TX69" s="55">
        <f t="shared" si="424"/>
        <v>46081</v>
      </c>
      <c r="TY69" s="67"/>
      <c r="TZ69" s="242">
        <f>SUMPRODUCT(PRODUCE!$B82:$DY82,PRODUCE!$EB$57:$IY$57)</f>
        <v>0</v>
      </c>
      <c r="UA69" s="56"/>
      <c r="UB69" s="242">
        <f t="shared" si="425"/>
        <v>0</v>
      </c>
      <c r="UC69" s="242">
        <f t="shared" si="426"/>
        <v>0</v>
      </c>
      <c r="UD69" s="56"/>
      <c r="UG69" s="55">
        <f t="shared" si="427"/>
        <v>46081</v>
      </c>
      <c r="UH69" s="67"/>
      <c r="UI69" s="242">
        <f>SUMPRODUCT(PRODUCE!$B82:$DY82,PRODUCE!$EB$57:$IY$57)</f>
        <v>0</v>
      </c>
      <c r="UJ69" s="56"/>
      <c r="UK69" s="242">
        <f t="shared" si="428"/>
        <v>0</v>
      </c>
      <c r="UL69" s="242">
        <f t="shared" si="429"/>
        <v>0</v>
      </c>
      <c r="UM69" s="56"/>
      <c r="UP69" s="55">
        <f t="shared" si="430"/>
        <v>46081</v>
      </c>
      <c r="UQ69" s="67"/>
      <c r="UR69" s="242">
        <f>SUMPRODUCT(PRODUCE!$B82:$DY82,PRODUCE!$EB$57:$IY$57)</f>
        <v>0</v>
      </c>
      <c r="US69" s="56"/>
      <c r="UT69" s="242">
        <f t="shared" si="431"/>
        <v>0</v>
      </c>
      <c r="UU69" s="242">
        <f t="shared" si="432"/>
        <v>0</v>
      </c>
      <c r="UV69" s="56"/>
      <c r="UY69" s="55">
        <f t="shared" si="433"/>
        <v>46081</v>
      </c>
      <c r="UZ69" s="67"/>
      <c r="VA69" s="242">
        <f>SUMPRODUCT(PRODUCE!$B82:$DY82,PRODUCE!$EB$57:$IY$57)</f>
        <v>0</v>
      </c>
      <c r="VB69" s="56"/>
      <c r="VC69" s="242">
        <f t="shared" si="434"/>
        <v>0</v>
      </c>
      <c r="VD69" s="242">
        <f t="shared" si="435"/>
        <v>41.600000000000023</v>
      </c>
      <c r="VE69" s="56"/>
      <c r="VH69" s="55">
        <f t="shared" si="436"/>
        <v>46081</v>
      </c>
      <c r="VI69" s="67"/>
      <c r="VJ69" s="242">
        <f>SUMPRODUCT(PRODUCE!$B82:$DY82,PRODUCE!$EB$57:$IY$57)</f>
        <v>0</v>
      </c>
      <c r="VK69" s="56"/>
      <c r="VL69" s="242">
        <f t="shared" si="437"/>
        <v>0</v>
      </c>
      <c r="VM69" s="242">
        <f t="shared" si="438"/>
        <v>0</v>
      </c>
      <c r="VN69" s="56"/>
      <c r="VQ69" s="55">
        <f t="shared" si="439"/>
        <v>46081</v>
      </c>
      <c r="VR69" s="67"/>
      <c r="VS69" s="242">
        <f>SUMPRODUCT(PRODUCE!$B82:$DY82,PRODUCE!$EB$57:$IY$57)</f>
        <v>0</v>
      </c>
      <c r="VT69" s="56"/>
      <c r="VU69" s="242">
        <f t="shared" si="440"/>
        <v>0</v>
      </c>
      <c r="VV69" s="242">
        <f t="shared" si="441"/>
        <v>0</v>
      </c>
      <c r="VW69" s="56"/>
      <c r="VZ69" s="55">
        <f t="shared" si="442"/>
        <v>46081</v>
      </c>
      <c r="WA69" s="67"/>
      <c r="WB69" s="242">
        <f>SUMPRODUCT(PRODUCE!$B82:$DY82,PRODUCE!$EB$57:$IY$57)</f>
        <v>0</v>
      </c>
      <c r="WC69" s="56"/>
      <c r="WD69" s="242">
        <f t="shared" si="443"/>
        <v>0</v>
      </c>
      <c r="WE69" s="242">
        <f t="shared" si="444"/>
        <v>0</v>
      </c>
      <c r="WF69" s="56"/>
      <c r="WI69" s="55">
        <f t="shared" si="445"/>
        <v>46081</v>
      </c>
      <c r="WJ69" s="67"/>
      <c r="WK69" s="242">
        <f>SUMPRODUCT(PRODUCE!$B82:$DY82,PRODUCE!$EB$57:$IY$57)</f>
        <v>0</v>
      </c>
      <c r="WL69" s="56"/>
      <c r="WM69" s="242">
        <f t="shared" si="446"/>
        <v>0</v>
      </c>
      <c r="WN69" s="242">
        <f t="shared" si="447"/>
        <v>6628</v>
      </c>
      <c r="WO69" s="56"/>
      <c r="WR69" s="55">
        <f t="shared" si="448"/>
        <v>46081</v>
      </c>
      <c r="WS69" s="67"/>
      <c r="WT69" s="242">
        <f>SUMPRODUCT(PRODUCE!$B82:$DY82,PRODUCE!$EB$57:$IY$57)</f>
        <v>0</v>
      </c>
      <c r="WU69" s="56"/>
      <c r="WV69" s="242">
        <f t="shared" si="449"/>
        <v>0</v>
      </c>
      <c r="WW69" s="242">
        <f t="shared" si="450"/>
        <v>6559</v>
      </c>
      <c r="WX69" s="56"/>
      <c r="XA69" s="55">
        <f t="shared" si="451"/>
        <v>46081</v>
      </c>
      <c r="XB69" s="67"/>
      <c r="XC69" s="242">
        <f>SUMPRODUCT(PRODUCE!$B82:$DY82,PRODUCE!$EB$57:$IY$57)</f>
        <v>0</v>
      </c>
      <c r="XD69" s="56"/>
      <c r="XE69" s="242">
        <f t="shared" si="452"/>
        <v>0</v>
      </c>
      <c r="XF69" s="242">
        <f t="shared" si="453"/>
        <v>590</v>
      </c>
      <c r="XG69" s="56"/>
      <c r="XJ69" s="55">
        <f t="shared" si="454"/>
        <v>46081</v>
      </c>
      <c r="XK69" s="67"/>
      <c r="XL69" s="242">
        <f>SUMPRODUCT(PRODUCE!$B82:$DY82,PRODUCE!$EB$57:$IY$57)</f>
        <v>0</v>
      </c>
      <c r="XM69" s="56"/>
      <c r="XN69" s="242">
        <f t="shared" si="455"/>
        <v>0</v>
      </c>
      <c r="XO69" s="242">
        <f t="shared" si="456"/>
        <v>3391</v>
      </c>
      <c r="XP69" s="56"/>
      <c r="XS69" s="55">
        <f t="shared" si="457"/>
        <v>46081</v>
      </c>
      <c r="XT69" s="67"/>
      <c r="XU69" s="242">
        <f>SUMPRODUCT(PRODUCE!$B82:$DY82,PRODUCE!$EB$57:$IY$57)</f>
        <v>0</v>
      </c>
      <c r="XV69" s="56"/>
      <c r="XW69" s="242">
        <f t="shared" si="458"/>
        <v>0</v>
      </c>
      <c r="XX69" s="242">
        <f t="shared" si="459"/>
        <v>1901</v>
      </c>
      <c r="XY69" s="56"/>
      <c r="YB69" s="55">
        <f t="shared" si="460"/>
        <v>46081</v>
      </c>
      <c r="YC69" s="67"/>
      <c r="YD69" s="242">
        <f>SUMPRODUCT(PRODUCE!$B82:$DY82,PRODUCE!$EB$57:$IY$57)</f>
        <v>0</v>
      </c>
      <c r="YE69" s="56"/>
      <c r="YF69" s="242">
        <f t="shared" si="461"/>
        <v>0</v>
      </c>
      <c r="YG69" s="242">
        <f t="shared" si="462"/>
        <v>0</v>
      </c>
      <c r="YH69" s="56"/>
      <c r="YK69" s="55">
        <f t="shared" si="463"/>
        <v>46081</v>
      </c>
      <c r="YL69" s="67"/>
      <c r="YM69" s="242">
        <f>SUMPRODUCT(PRODUCE!$B82:$DY82,PRODUCE!$EB$57:$IY$57)</f>
        <v>0</v>
      </c>
      <c r="YN69" s="56"/>
      <c r="YO69" s="242">
        <f t="shared" si="464"/>
        <v>0</v>
      </c>
      <c r="YP69" s="242">
        <f t="shared" si="465"/>
        <v>0</v>
      </c>
      <c r="YQ69" s="56"/>
      <c r="YT69" s="55">
        <f t="shared" si="466"/>
        <v>46081</v>
      </c>
      <c r="YU69" s="67"/>
      <c r="YV69" s="242">
        <f>SUMPRODUCT(PRODUCE!$B82:$DY82,PRODUCE!$EB$57:$IY$57)</f>
        <v>0</v>
      </c>
      <c r="YW69" s="56"/>
      <c r="YX69" s="242">
        <f t="shared" si="467"/>
        <v>0</v>
      </c>
      <c r="YY69" s="242">
        <f t="shared" si="468"/>
        <v>0</v>
      </c>
      <c r="YZ69" s="56"/>
      <c r="ZC69" s="55">
        <f t="shared" si="469"/>
        <v>46081</v>
      </c>
      <c r="ZD69" s="67"/>
      <c r="ZE69" s="242">
        <f>SUMPRODUCT(PRODUCE!$B82:$DY82,PRODUCE!$EB$57:$IY$57)</f>
        <v>0</v>
      </c>
      <c r="ZF69" s="56"/>
      <c r="ZG69" s="242">
        <f t="shared" si="470"/>
        <v>0</v>
      </c>
      <c r="ZH69" s="242">
        <f t="shared" si="471"/>
        <v>0</v>
      </c>
      <c r="ZI69" s="56"/>
      <c r="ZL69" s="55">
        <f t="shared" si="472"/>
        <v>46081</v>
      </c>
      <c r="ZM69" s="67"/>
      <c r="ZN69" s="242">
        <f>SUMPRODUCT(PRODUCE!$B82:$DY82,PRODUCE!$EB$57:$IY$57)</f>
        <v>0</v>
      </c>
      <c r="ZO69" s="56"/>
      <c r="ZP69" s="242">
        <f t="shared" si="473"/>
        <v>0</v>
      </c>
      <c r="ZQ69" s="242">
        <f t="shared" si="474"/>
        <v>0</v>
      </c>
      <c r="ZR69" s="56"/>
      <c r="ZU69" s="55">
        <f t="shared" si="475"/>
        <v>46081</v>
      </c>
      <c r="ZV69" s="67"/>
      <c r="ZW69" s="242">
        <f>SUMPRODUCT(PRODUCE!$B82:$DY82,PRODUCE!$EB$57:$IY$57)</f>
        <v>0</v>
      </c>
      <c r="ZX69" s="56"/>
      <c r="ZY69" s="242">
        <f t="shared" si="476"/>
        <v>0</v>
      </c>
      <c r="ZZ69" s="242">
        <f t="shared" si="477"/>
        <v>0</v>
      </c>
      <c r="AAA69" s="56"/>
      <c r="AAD69" s="55">
        <f t="shared" si="478"/>
        <v>46081</v>
      </c>
      <c r="AAE69" s="67"/>
      <c r="AAF69" s="242">
        <f>SUMPRODUCT(PRODUCE!$B82:$DY82,PRODUCE!$EB$57:$IY$57)</f>
        <v>0</v>
      </c>
      <c r="AAG69" s="56"/>
      <c r="AAH69" s="242">
        <f t="shared" si="479"/>
        <v>0</v>
      </c>
      <c r="AAI69" s="242">
        <f t="shared" si="480"/>
        <v>0</v>
      </c>
      <c r="AAJ69" s="56"/>
      <c r="AAM69" s="55">
        <f t="shared" si="481"/>
        <v>46081</v>
      </c>
      <c r="AAN69" s="67"/>
      <c r="AAO69" s="242">
        <f>SUMPRODUCT(PRODUCE!$B82:$DY82,PRODUCE!$EB$57:$IY$57)</f>
        <v>0</v>
      </c>
      <c r="AAP69" s="56"/>
      <c r="AAQ69" s="242">
        <f t="shared" si="482"/>
        <v>0</v>
      </c>
      <c r="AAR69" s="242">
        <f t="shared" si="483"/>
        <v>0</v>
      </c>
      <c r="AAS69" s="56"/>
      <c r="AAV69" s="55">
        <f t="shared" si="484"/>
        <v>46081</v>
      </c>
      <c r="AAW69" s="67"/>
      <c r="AAX69" s="242">
        <f>SUMPRODUCT(PRODUCE!$B82:$DY82,PRODUCE!$EB$57:$IY$57)</f>
        <v>0</v>
      </c>
      <c r="AAY69" s="56"/>
      <c r="AAZ69" s="242">
        <f t="shared" si="485"/>
        <v>0</v>
      </c>
      <c r="ABA69" s="242">
        <f t="shared" si="486"/>
        <v>0</v>
      </c>
      <c r="ABB69" s="56"/>
      <c r="ABE69" s="55">
        <f t="shared" si="487"/>
        <v>46081</v>
      </c>
      <c r="ABF69" s="67"/>
      <c r="ABG69" s="242">
        <f>SUMPRODUCT(PRODUCE!$B82:$DY82,PRODUCE!$EB$57:$IY$57)</f>
        <v>0</v>
      </c>
      <c r="ABH69" s="56"/>
      <c r="ABI69" s="242">
        <f t="shared" si="488"/>
        <v>0</v>
      </c>
      <c r="ABJ69" s="242">
        <f t="shared" si="489"/>
        <v>0</v>
      </c>
      <c r="ABK69" s="56"/>
    </row>
    <row r="70" spans="1:739" s="54" customFormat="1" ht="15" customHeight="1" outlineLevel="1" thickBot="1">
      <c r="B70" s="478"/>
      <c r="C70" s="55"/>
      <c r="D70" s="432"/>
      <c r="E70" s="424">
        <f>SUMPRODUCT(PRODUCE!$B83:$DY83,PRODUCE!$EB$7:$IY$7)</f>
        <v>0</v>
      </c>
      <c r="F70" s="433"/>
      <c r="G70" s="423">
        <f t="shared" si="247"/>
        <v>0</v>
      </c>
      <c r="H70" s="423">
        <f t="shared" si="245"/>
        <v>91614.800000000017</v>
      </c>
      <c r="I70" s="289"/>
      <c r="L70" s="55"/>
      <c r="M70" s="432"/>
      <c r="N70" s="439">
        <f>SUMPRODUCT(PRODUCE!$B83:$DY83,PRODUCE!$EB$8:$IY$8)</f>
        <v>0</v>
      </c>
      <c r="O70" s="433"/>
      <c r="P70" s="438">
        <f t="shared" ref="P70" si="492">N70-O70</f>
        <v>0</v>
      </c>
      <c r="Q70" s="438">
        <f t="shared" ref="Q70" si="493">Q69+M70-O70</f>
        <v>65096.600000000035</v>
      </c>
      <c r="R70" s="56"/>
      <c r="U70" s="55"/>
      <c r="V70" s="432"/>
      <c r="W70" s="441">
        <f>SUMPRODUCT(PRODUCE!$B83:$DY83,PRODUCE!$EB$9:$IY$9)</f>
        <v>0</v>
      </c>
      <c r="X70" s="433"/>
      <c r="Y70" s="440">
        <f t="shared" ref="Y70" si="494">W70-X70</f>
        <v>0</v>
      </c>
      <c r="Z70" s="440">
        <f t="shared" ref="Z70" si="495">Z69+V70-X70</f>
        <v>48372.799999999974</v>
      </c>
      <c r="AA70" s="56"/>
      <c r="AD70" s="55"/>
      <c r="AE70" s="432"/>
      <c r="AF70" s="443">
        <f>SUMPRODUCT(PRODUCE!$B83:$DY83,PRODUCE!$EB$10:$IY$10)</f>
        <v>0</v>
      </c>
      <c r="AG70" s="433"/>
      <c r="AH70" s="442">
        <f t="shared" ref="AH70" si="496">AF70-AG70</f>
        <v>0</v>
      </c>
      <c r="AI70" s="442">
        <f t="shared" ref="AI70" si="497">AI69+AE70-AG70</f>
        <v>34138.200000000019</v>
      </c>
      <c r="AJ70" s="56"/>
      <c r="AM70" s="55"/>
      <c r="AN70" s="422"/>
      <c r="AO70" s="445">
        <f>SUMPRODUCT(PRODUCE!$B83:$DY83,PRODUCE!$EB$11:$IY$11)</f>
        <v>0</v>
      </c>
      <c r="AP70" s="433"/>
      <c r="AQ70" s="444">
        <f t="shared" ref="AQ70" si="498">AO70-AP70</f>
        <v>0</v>
      </c>
      <c r="AR70" s="444">
        <f t="shared" ref="AR70" si="499">AR69+AN70-AP70</f>
        <v>0</v>
      </c>
      <c r="AS70" s="56"/>
      <c r="AV70" s="55"/>
      <c r="AW70" s="432"/>
      <c r="AX70" s="447">
        <f>SUMPRODUCT(PRODUCE!$B83:$DY83,PRODUCE!$EB$12:$IY$12)</f>
        <v>0</v>
      </c>
      <c r="AY70" s="433"/>
      <c r="AZ70" s="446">
        <f t="shared" ref="AZ70" si="500">AX70-AY70</f>
        <v>0</v>
      </c>
      <c r="BA70" s="446">
        <f t="shared" ref="BA70" si="501">BA69+AW70-AY70</f>
        <v>47801.999999999985</v>
      </c>
      <c r="BB70" s="56"/>
      <c r="BE70" s="55"/>
      <c r="BF70" s="432"/>
      <c r="BG70" s="449">
        <f>SUMPRODUCT(PRODUCE!$B83:$DY83,PRODUCE!$EB$13:$IY$13)</f>
        <v>0</v>
      </c>
      <c r="BH70" s="433"/>
      <c r="BI70" s="448">
        <f t="shared" ref="BI70" si="502">BG70-BH70</f>
        <v>0</v>
      </c>
      <c r="BJ70" s="448">
        <f t="shared" ref="BJ70" si="503">BJ69+BF70-BH70</f>
        <v>7501.8000000000047</v>
      </c>
      <c r="BK70" s="56"/>
      <c r="BN70" s="55"/>
      <c r="BO70" s="432"/>
      <c r="BP70" s="451">
        <f>SUMPRODUCT(PRODUCE!$B83:$DY83,PRODUCE!$EB$14:$IY$14)</f>
        <v>0</v>
      </c>
      <c r="BQ70" s="433"/>
      <c r="BR70" s="450">
        <f t="shared" ref="BR70" si="504">BP70-BQ70</f>
        <v>0</v>
      </c>
      <c r="BS70" s="450">
        <f t="shared" ref="BS70" si="505">BS69+BO70-BQ70</f>
        <v>0</v>
      </c>
      <c r="BT70" s="56"/>
      <c r="BW70" s="55"/>
      <c r="BX70" s="126"/>
      <c r="BY70" s="81">
        <f>SUMPRODUCT(PRODUCE!$B83:$DY83,PRODUCE!$EB$15:$IY$15)</f>
        <v>0</v>
      </c>
      <c r="BZ70" s="125"/>
      <c r="CA70" s="65">
        <f t="shared" ref="CA70" si="506">BY70-BZ70</f>
        <v>0</v>
      </c>
      <c r="CB70" s="65">
        <f t="shared" ref="CB70" si="507">CB69+BX70-BZ70</f>
        <v>8.0000000000001137</v>
      </c>
      <c r="CC70" s="56"/>
      <c r="CF70" s="55"/>
      <c r="CG70" s="126"/>
      <c r="CH70" s="82">
        <f>SUMPRODUCT(PRODUCE!$B83:$DY83,PRODUCE!$EB$16:$IY$16)</f>
        <v>0</v>
      </c>
      <c r="CI70" s="125"/>
      <c r="CJ70" s="66">
        <f t="shared" ref="CJ70" si="508">CH70-CI70</f>
        <v>0</v>
      </c>
      <c r="CK70" s="66">
        <f t="shared" ref="CK70" si="509">CK69+CG70-CI70</f>
        <v>0</v>
      </c>
      <c r="CL70" s="56"/>
      <c r="CO70" s="55"/>
      <c r="CP70" s="432"/>
      <c r="CQ70" s="471">
        <f>SUMPRODUCT(PRODUCE!$B83:$DY83,PRODUCE!$EB$17:$IY$17)</f>
        <v>0</v>
      </c>
      <c r="CR70" s="433"/>
      <c r="CS70" s="470">
        <f t="shared" si="275"/>
        <v>0</v>
      </c>
      <c r="CT70" s="470">
        <f t="shared" si="276"/>
        <v>0</v>
      </c>
      <c r="CU70" s="56"/>
      <c r="CX70" s="55"/>
      <c r="CY70" s="67"/>
      <c r="CZ70" s="334">
        <f>SUMPRODUCT(PRODUCE!$B83:$DY83,PRODUCE!$EB$18:$IY$18)</f>
        <v>0</v>
      </c>
      <c r="DA70" s="67"/>
      <c r="DB70" s="335">
        <f t="shared" si="490"/>
        <v>0</v>
      </c>
      <c r="DC70" s="335">
        <f t="shared" si="491"/>
        <v>55052.4</v>
      </c>
      <c r="DD70" s="56"/>
      <c r="DG70" s="55"/>
      <c r="DH70" s="126"/>
      <c r="DI70" s="150">
        <f>SUMPRODUCT(PRODUCE!$B83:$DY83,PRODUCE!$EB$19:$IY$19)</f>
        <v>0</v>
      </c>
      <c r="DJ70" s="67"/>
      <c r="DK70" s="147">
        <f t="shared" si="281"/>
        <v>0</v>
      </c>
      <c r="DL70" s="147">
        <f t="shared" si="282"/>
        <v>-2.8421709430404007E-12</v>
      </c>
      <c r="DM70" s="56"/>
      <c r="DP70" s="55"/>
      <c r="DQ70" s="126"/>
      <c r="DR70" s="58">
        <f>SUMPRODUCT(PRODUCE!$B83:$DY83,PRODUCE!$EB$20:$IY$20)</f>
        <v>0</v>
      </c>
      <c r="DS70" s="67"/>
      <c r="DT70" s="57">
        <f t="shared" ref="DT70" si="510">DR70-DS70</f>
        <v>0</v>
      </c>
      <c r="DU70" s="57">
        <f t="shared" ref="DU70" si="511">DU69+DQ70-DS70</f>
        <v>2300</v>
      </c>
      <c r="DV70" s="56"/>
      <c r="DY70" s="55"/>
      <c r="DZ70" s="126"/>
      <c r="EA70" s="159">
        <f>SUMPRODUCT(PRODUCE!$B83:$DY83,PRODUCE!$EB$21:$IY$21)</f>
        <v>0</v>
      </c>
      <c r="EB70" s="67"/>
      <c r="EC70" s="157">
        <f t="shared" si="287"/>
        <v>0</v>
      </c>
      <c r="ED70" s="157">
        <f t="shared" si="288"/>
        <v>5696.8</v>
      </c>
      <c r="EE70" s="56"/>
      <c r="EH70" s="55"/>
      <c r="EI70" s="126"/>
      <c r="EJ70" s="164">
        <f>SUMPRODUCT(PRODUCE!$B83:$DY83,PRODUCE!$EB$22:$IY$22)</f>
        <v>0</v>
      </c>
      <c r="EK70" s="125"/>
      <c r="EL70" s="162">
        <f t="shared" si="290"/>
        <v>0</v>
      </c>
      <c r="EM70" s="162">
        <f t="shared" si="291"/>
        <v>0</v>
      </c>
      <c r="EN70" s="56"/>
      <c r="EQ70" s="55"/>
      <c r="ER70" s="126"/>
      <c r="ES70" s="171">
        <f>SUMPRODUCT(PRODUCE!$B83:$DY83,PRODUCE!$EB$23:$IY$23)</f>
        <v>0</v>
      </c>
      <c r="ET70" s="67"/>
      <c r="EU70" s="135">
        <f t="shared" si="293"/>
        <v>0</v>
      </c>
      <c r="EV70" s="135">
        <f t="shared" si="294"/>
        <v>0</v>
      </c>
      <c r="EW70" s="56"/>
      <c r="EZ70" s="55"/>
      <c r="FA70" s="126"/>
      <c r="FB70" s="178">
        <f>SUMPRODUCT(PRODUCE!$B83:$DY83,PRODUCE!$EB$24:$IY$24)</f>
        <v>0</v>
      </c>
      <c r="FC70" s="67"/>
      <c r="FD70" s="175">
        <f t="shared" si="296"/>
        <v>0</v>
      </c>
      <c r="FE70" s="175">
        <f t="shared" si="297"/>
        <v>0</v>
      </c>
      <c r="FF70" s="56"/>
      <c r="FI70" s="55"/>
      <c r="FJ70" s="126"/>
      <c r="FK70" s="184">
        <f>SUMPRODUCT(PRODUCE!$B83:$DY83,PRODUCE!$EB$25:$IY$25)</f>
        <v>0</v>
      </c>
      <c r="FL70" s="67"/>
      <c r="FM70" s="183">
        <f t="shared" si="299"/>
        <v>0</v>
      </c>
      <c r="FN70" s="183">
        <f t="shared" si="300"/>
        <v>0</v>
      </c>
      <c r="FO70" s="56"/>
      <c r="FR70" s="55"/>
      <c r="FS70" s="432"/>
      <c r="FT70" s="453">
        <f>SUMPRODUCT(PRODUCE!$B83:$DY83,PRODUCE!$EB$26:$IY$26)</f>
        <v>0</v>
      </c>
      <c r="FU70" s="425"/>
      <c r="FV70" s="452">
        <f t="shared" si="302"/>
        <v>0</v>
      </c>
      <c r="FW70" s="452">
        <f t="shared" si="303"/>
        <v>620</v>
      </c>
      <c r="FX70" s="56"/>
      <c r="GA70" s="55"/>
      <c r="GB70" s="432"/>
      <c r="GC70" s="455">
        <f>SUMPRODUCT(PRODUCE!$B83:$DY83,PRODUCE!$EB$27:$IY$27)</f>
        <v>0</v>
      </c>
      <c r="GD70" s="425"/>
      <c r="GE70" s="454">
        <f t="shared" si="305"/>
        <v>0</v>
      </c>
      <c r="GF70" s="454">
        <f t="shared" si="306"/>
        <v>5960</v>
      </c>
      <c r="GG70" s="56"/>
      <c r="GI70" s="23"/>
      <c r="GJ70" s="55"/>
      <c r="GK70" s="432"/>
      <c r="GL70" s="457">
        <f>SUMPRODUCT(PRODUCE!$B83:$DY83,PRODUCE!$EB$28:$IY$28)</f>
        <v>0</v>
      </c>
      <c r="GM70" s="425"/>
      <c r="GN70" s="456">
        <f t="shared" si="308"/>
        <v>0</v>
      </c>
      <c r="GO70" s="456">
        <f t="shared" si="309"/>
        <v>5240</v>
      </c>
      <c r="GP70" s="56"/>
      <c r="GS70" s="55"/>
      <c r="GT70" s="126"/>
      <c r="GU70" s="196">
        <f>SUMPRODUCT(PRODUCE!$B83:$DY83,PRODUCE!$EB$29:$IY$29)</f>
        <v>0</v>
      </c>
      <c r="GV70" s="67"/>
      <c r="GW70" s="195">
        <f t="shared" si="311"/>
        <v>0</v>
      </c>
      <c r="GX70" s="195">
        <f t="shared" si="312"/>
        <v>0</v>
      </c>
      <c r="GY70" s="56"/>
      <c r="HB70" s="55"/>
      <c r="HC70" s="126"/>
      <c r="HD70" s="192">
        <f>SUMPRODUCT(PRODUCE!$B83:$DY83,PRODUCE!$EB$30:$IY$30)</f>
        <v>0</v>
      </c>
      <c r="HE70" s="67"/>
      <c r="HF70" s="191">
        <f t="shared" si="314"/>
        <v>0</v>
      </c>
      <c r="HG70" s="191">
        <f t="shared" si="315"/>
        <v>0</v>
      </c>
      <c r="HH70" s="56"/>
      <c r="HK70" s="55"/>
      <c r="HL70" s="126"/>
      <c r="HM70" s="80">
        <f>SUMPRODUCT(PRODUCE!$B83:$DY83,PRODUCE!$EB$31:$IY$31)</f>
        <v>0</v>
      </c>
      <c r="HN70" s="67"/>
      <c r="HO70" s="63">
        <f t="shared" si="317"/>
        <v>0</v>
      </c>
      <c r="HP70" s="63">
        <f t="shared" si="318"/>
        <v>0</v>
      </c>
      <c r="HQ70" s="56"/>
      <c r="HU70" s="55"/>
      <c r="HV70" s="126"/>
      <c r="HW70" s="242">
        <f>SUMPRODUCT(PRODUCE!$B83:$DY83,PRODUCE!$EB$32:$IY$32)</f>
        <v>0</v>
      </c>
      <c r="HX70" s="67"/>
      <c r="HY70" s="242">
        <f t="shared" si="320"/>
        <v>0</v>
      </c>
      <c r="HZ70" s="242">
        <f t="shared" si="321"/>
        <v>5120</v>
      </c>
      <c r="IA70" s="56"/>
      <c r="ID70" s="55"/>
      <c r="IE70" s="126"/>
      <c r="IF70" s="242">
        <f>SUMPRODUCT(PRODUCE!$B83:$DY83,PRODUCE!$EB$33:$IY$33)</f>
        <v>0</v>
      </c>
      <c r="IG70" s="67"/>
      <c r="IH70" s="242">
        <f t="shared" si="323"/>
        <v>0</v>
      </c>
      <c r="II70" s="242">
        <f t="shared" si="324"/>
        <v>5100</v>
      </c>
      <c r="IJ70" s="56"/>
      <c r="IM70" s="55"/>
      <c r="IN70" s="126"/>
      <c r="IO70" s="242">
        <f>SUMPRODUCT(PRODUCE!$B83:$DY83,PRODUCE!$EB$34:$IY$34)</f>
        <v>0</v>
      </c>
      <c r="IP70" s="67"/>
      <c r="IQ70" s="242">
        <f t="shared" si="326"/>
        <v>0</v>
      </c>
      <c r="IR70" s="242">
        <f t="shared" si="327"/>
        <v>10240</v>
      </c>
      <c r="IS70" s="56"/>
      <c r="IV70" s="55"/>
      <c r="IW70" s="126"/>
      <c r="IX70" s="242">
        <f>SUMPRODUCT(PRODUCE!$B83:$DY83,PRODUCE!$EB$35:$IY$35)</f>
        <v>0</v>
      </c>
      <c r="IY70" s="56"/>
      <c r="IZ70" s="242">
        <f t="shared" si="329"/>
        <v>0</v>
      </c>
      <c r="JA70" s="242">
        <f t="shared" si="330"/>
        <v>15120</v>
      </c>
      <c r="JB70" s="56"/>
      <c r="JE70" s="55"/>
      <c r="JF70" s="126"/>
      <c r="JG70" s="242">
        <f>SUMPRODUCT(PRODUCE!$B83:$DY83,PRODUCE!$EB$36:$IY$36)</f>
        <v>0</v>
      </c>
      <c r="JH70" s="56"/>
      <c r="JI70" s="242">
        <f t="shared" si="332"/>
        <v>0</v>
      </c>
      <c r="JJ70" s="242">
        <f t="shared" si="333"/>
        <v>3320</v>
      </c>
      <c r="JK70" s="56"/>
      <c r="JN70" s="55"/>
      <c r="JO70" s="126"/>
      <c r="JP70" s="242">
        <f>SUMPRODUCT(PRODUCE!$B83:$DY83,PRODUCE!$EB$37:$IY$37)</f>
        <v>0</v>
      </c>
      <c r="JQ70" s="56"/>
      <c r="JR70" s="242">
        <f t="shared" si="335"/>
        <v>0</v>
      </c>
      <c r="JS70" s="242">
        <f t="shared" si="336"/>
        <v>5400</v>
      </c>
      <c r="JT70" s="56"/>
      <c r="JW70" s="55"/>
      <c r="JX70" s="126"/>
      <c r="JY70" s="242">
        <f>SUMPRODUCT(PRODUCE!$B83:$DY83,PRODUCE!$EB$38:$IY$38)</f>
        <v>0</v>
      </c>
      <c r="JZ70" s="56"/>
      <c r="KA70" s="242">
        <f t="shared" si="338"/>
        <v>0</v>
      </c>
      <c r="KB70" s="242">
        <f t="shared" si="339"/>
        <v>4000</v>
      </c>
      <c r="KC70" s="56"/>
      <c r="KF70" s="55"/>
      <c r="KG70" s="126"/>
      <c r="KH70" s="242">
        <f>SUMPRODUCT(PRODUCE!$B83:$DY83,PRODUCE!$EB$39:$IY$39)</f>
        <v>0</v>
      </c>
      <c r="KI70" s="67"/>
      <c r="KJ70" s="242">
        <f t="shared" si="341"/>
        <v>0</v>
      </c>
      <c r="KK70" s="242">
        <f t="shared" si="342"/>
        <v>0</v>
      </c>
      <c r="KL70" s="56"/>
      <c r="KO70" s="55"/>
      <c r="KP70" s="56"/>
      <c r="KQ70" s="242">
        <f>SUMPRODUCT(PRODUCE!$B83:$DY83,PRODUCE!$EB$40:$IY$40)</f>
        <v>0</v>
      </c>
      <c r="KR70" s="67"/>
      <c r="KS70" s="242">
        <f t="shared" si="344"/>
        <v>0</v>
      </c>
      <c r="KT70" s="242">
        <f t="shared" si="345"/>
        <v>6539.4000000000005</v>
      </c>
      <c r="KU70" s="56"/>
      <c r="KW70" s="23"/>
      <c r="KX70" s="55"/>
      <c r="KY70" s="126"/>
      <c r="KZ70" s="242">
        <f>SUMPRODUCT(PRODUCE!$B83:$DY83,PRODUCE!$EB$41:$IY$41)</f>
        <v>0</v>
      </c>
      <c r="LA70" s="67"/>
      <c r="LB70" s="242">
        <f t="shared" si="347"/>
        <v>0</v>
      </c>
      <c r="LC70" s="242">
        <f t="shared" si="348"/>
        <v>0</v>
      </c>
      <c r="LD70" s="56"/>
      <c r="LG70" s="55"/>
      <c r="LH70" s="126"/>
      <c r="LI70" s="242">
        <f>SUMPRODUCT(PRODUCE!$B83:$DY83,PRODUCE!$EB$42:$IY$42)</f>
        <v>0</v>
      </c>
      <c r="LJ70" s="56"/>
      <c r="LK70" s="242">
        <f t="shared" si="350"/>
        <v>0</v>
      </c>
      <c r="LL70" s="242">
        <f t="shared" si="351"/>
        <v>0</v>
      </c>
      <c r="LM70" s="56"/>
      <c r="LP70" s="55"/>
      <c r="LQ70" s="126"/>
      <c r="LR70" s="242">
        <f>SUMPRODUCT(PRODUCE!$B85:$DY85,PRODUCE!$EB$43:$IY$43)</f>
        <v>0</v>
      </c>
      <c r="LS70" s="67"/>
      <c r="LT70" s="242">
        <f t="shared" si="353"/>
        <v>0</v>
      </c>
      <c r="LU70" s="242">
        <f t="shared" si="354"/>
        <v>0</v>
      </c>
      <c r="LV70" s="56"/>
      <c r="LY70" s="55"/>
      <c r="LZ70" s="126"/>
      <c r="MA70" s="242">
        <f>SUMPRODUCT(PRODUCE!$B85:$DY85,PRODUCE!$EB$44:$IY$44)</f>
        <v>0</v>
      </c>
      <c r="MB70" s="56"/>
      <c r="MC70" s="242">
        <f t="shared" si="356"/>
        <v>0</v>
      </c>
      <c r="MD70" s="242">
        <f t="shared" si="357"/>
        <v>0</v>
      </c>
      <c r="ME70" s="56"/>
      <c r="MH70" s="55"/>
      <c r="MI70" s="56"/>
      <c r="MJ70" s="242">
        <f>SUMPRODUCT(PRODUCE!$B83:$DY83,PRODUCE!$EB$45:$IY$45)</f>
        <v>0</v>
      </c>
      <c r="MK70" s="56"/>
      <c r="ML70" s="242">
        <f t="shared" si="359"/>
        <v>0</v>
      </c>
      <c r="MM70" s="242">
        <f t="shared" si="360"/>
        <v>0</v>
      </c>
      <c r="MN70" s="56"/>
      <c r="MQ70" s="55"/>
      <c r="MR70" s="126"/>
      <c r="MS70" s="242">
        <f>SUMPRODUCT(PRODUCE!$B83:$DY83,PRODUCE!$EB$46:$IY$46)</f>
        <v>0</v>
      </c>
      <c r="MT70" s="56"/>
      <c r="MU70" s="242">
        <f t="shared" si="362"/>
        <v>0</v>
      </c>
      <c r="MV70" s="242">
        <f t="shared" si="363"/>
        <v>4123</v>
      </c>
      <c r="MW70" s="56"/>
      <c r="MZ70" s="55"/>
      <c r="NA70" s="126"/>
      <c r="NB70" s="242">
        <f>SUMPRODUCT(PRODUCE!$B83:$DY83,PRODUCE!$EB$47:$IY$47)</f>
        <v>0</v>
      </c>
      <c r="NC70" s="56"/>
      <c r="ND70" s="242">
        <f t="shared" si="365"/>
        <v>0</v>
      </c>
      <c r="NE70" s="242">
        <f t="shared" si="366"/>
        <v>0</v>
      </c>
      <c r="NF70" s="56"/>
      <c r="NI70" s="55">
        <f t="shared" si="367"/>
        <v>0</v>
      </c>
      <c r="NJ70" s="56"/>
      <c r="NK70" s="242">
        <f>SUMPRODUCT(PRODUCE!$B83:$DY83,PRODUCE!$EB$48:$IY$48)</f>
        <v>0</v>
      </c>
      <c r="NL70" s="67"/>
      <c r="NM70" s="242">
        <f t="shared" si="368"/>
        <v>0</v>
      </c>
      <c r="NN70" s="242">
        <f t="shared" si="369"/>
        <v>0</v>
      </c>
      <c r="NO70" s="56"/>
      <c r="NR70" s="55"/>
      <c r="NS70" s="56"/>
      <c r="NT70" s="242">
        <f>SUMPRODUCT(PRODUCE!$B83:$DY83,PRODUCE!$EB$49:$IY$49)</f>
        <v>0</v>
      </c>
      <c r="NU70" s="67"/>
      <c r="NV70" s="242">
        <f t="shared" si="371"/>
        <v>0</v>
      </c>
      <c r="NW70" s="242">
        <f t="shared" si="372"/>
        <v>1947.7</v>
      </c>
      <c r="NX70" s="56"/>
      <c r="OA70" s="55"/>
      <c r="OB70" s="126"/>
      <c r="OC70" s="242">
        <f>SUMPRODUCT(PRODUCE!$B83:$DY83,PRODUCE!$EB$50:$IY$50)</f>
        <v>0</v>
      </c>
      <c r="OD70" s="56"/>
      <c r="OE70" s="242">
        <f t="shared" si="374"/>
        <v>0</v>
      </c>
      <c r="OF70" s="242">
        <f t="shared" si="375"/>
        <v>1680.5</v>
      </c>
      <c r="OG70" s="56"/>
      <c r="OJ70" s="55"/>
      <c r="OK70" s="126"/>
      <c r="OL70" s="242">
        <f>SUMPRODUCT(PRODUCE!$B83:$DY83,PRODUCE!$EB$51:$IY$51)</f>
        <v>0</v>
      </c>
      <c r="OM70" s="56"/>
      <c r="ON70" s="242">
        <f t="shared" si="377"/>
        <v>0</v>
      </c>
      <c r="OO70" s="242">
        <f t="shared" si="378"/>
        <v>0</v>
      </c>
      <c r="OP70" s="56"/>
      <c r="OS70" s="55"/>
      <c r="OT70" s="126"/>
      <c r="OU70" s="242">
        <f>SUMPRODUCT(PRODUCE!$B83:$DY83,PRODUCE!$EB$52:$IY$52)</f>
        <v>0</v>
      </c>
      <c r="OV70" s="56"/>
      <c r="OW70" s="242">
        <f t="shared" si="380"/>
        <v>0</v>
      </c>
      <c r="OX70" s="242">
        <f t="shared" si="381"/>
        <v>0</v>
      </c>
      <c r="OY70" s="56"/>
      <c r="PB70" s="55"/>
      <c r="PC70" s="126"/>
      <c r="PD70" s="242">
        <f>SUMPRODUCT(PRODUCE!$B83:$DY83,PRODUCE!$EB$53:$IY$53)</f>
        <v>0</v>
      </c>
      <c r="PE70" s="56"/>
      <c r="PF70" s="242">
        <f t="shared" si="383"/>
        <v>0</v>
      </c>
      <c r="PG70" s="242">
        <f t="shared" si="384"/>
        <v>0</v>
      </c>
      <c r="PH70" s="56"/>
      <c r="PK70" s="55"/>
      <c r="PL70" s="126"/>
      <c r="PM70" s="242">
        <f>SUMPRODUCT(PRODUCE!$B83:$DY83,PRODUCE!$EB$54:$IY$54)</f>
        <v>0</v>
      </c>
      <c r="PN70" s="56"/>
      <c r="PO70" s="242">
        <f t="shared" si="386"/>
        <v>0</v>
      </c>
      <c r="PP70" s="242">
        <f t="shared" si="387"/>
        <v>100</v>
      </c>
      <c r="PQ70" s="56"/>
      <c r="PT70" s="55"/>
      <c r="PU70" s="126"/>
      <c r="PV70" s="242">
        <f>SUMPRODUCT(PRODUCE!$B83:$DY83,PRODUCE!$EB$55:$IY$55)</f>
        <v>0</v>
      </c>
      <c r="PW70" s="56"/>
      <c r="PX70" s="242">
        <f t="shared" si="389"/>
        <v>0</v>
      </c>
      <c r="PY70" s="242">
        <f t="shared" si="390"/>
        <v>13.960000000000036</v>
      </c>
      <c r="PZ70" s="56"/>
      <c r="QC70" s="55"/>
      <c r="QD70" s="126"/>
      <c r="QE70" s="242">
        <f>SUMPRODUCT(PRODUCE!$B83:$DY83,PRODUCE!$EB$56:$IY$56)</f>
        <v>0</v>
      </c>
      <c r="QF70" s="56"/>
      <c r="QG70" s="242">
        <f t="shared" si="392"/>
        <v>0</v>
      </c>
      <c r="QH70" s="242">
        <f t="shared" si="393"/>
        <v>344</v>
      </c>
      <c r="QI70" s="56"/>
      <c r="QL70" s="55"/>
      <c r="QM70" s="56"/>
      <c r="QN70" s="242">
        <f>SUMPRODUCT(PRODUCE!$B83:$DY83,PRODUCE!$EB$57:$IY$57)</f>
        <v>0</v>
      </c>
      <c r="QO70" s="56"/>
      <c r="QP70" s="242">
        <f t="shared" si="395"/>
        <v>0</v>
      </c>
      <c r="QQ70" s="242">
        <f t="shared" si="396"/>
        <v>0</v>
      </c>
      <c r="QR70" s="56"/>
      <c r="QU70" s="55"/>
      <c r="QV70" s="126"/>
      <c r="QW70" s="242">
        <f>SUMPRODUCT(PRODUCE!$B83:$DY83,PRODUCE!$EB$57:$IY$57)</f>
        <v>0</v>
      </c>
      <c r="QX70" s="56"/>
      <c r="QY70" s="242">
        <f t="shared" si="398"/>
        <v>0</v>
      </c>
      <c r="QZ70" s="242">
        <f t="shared" si="399"/>
        <v>207.6</v>
      </c>
      <c r="RA70" s="56"/>
      <c r="RD70" s="55"/>
      <c r="RE70" s="126"/>
      <c r="RF70" s="242">
        <f>SUMPRODUCT(PRODUCE!$B83:$DY83,PRODUCE!$EB$58:$IY$58)</f>
        <v>0</v>
      </c>
      <c r="RG70" s="56"/>
      <c r="RH70" s="242">
        <f t="shared" si="401"/>
        <v>0</v>
      </c>
      <c r="RI70" s="242">
        <f t="shared" si="402"/>
        <v>197.04000000000002</v>
      </c>
      <c r="RJ70" s="56"/>
      <c r="RM70" s="55"/>
      <c r="RN70" s="126"/>
      <c r="RO70" s="242">
        <f>SUMPRODUCT(PRODUCE!$B83:$DY83,PRODUCE!$EB$57:$IY$57)</f>
        <v>0</v>
      </c>
      <c r="RP70" s="56"/>
      <c r="RQ70" s="242">
        <f t="shared" si="404"/>
        <v>0</v>
      </c>
      <c r="RR70" s="242">
        <f t="shared" si="405"/>
        <v>46.8</v>
      </c>
      <c r="RS70" s="56"/>
      <c r="RV70" s="55"/>
      <c r="RW70" s="126"/>
      <c r="RX70" s="242">
        <f>SUMPRODUCT(PRODUCE!$B83:$DY83,PRODUCE!$EB$57:$IY$57)</f>
        <v>0</v>
      </c>
      <c r="RY70" s="56"/>
      <c r="RZ70" s="242">
        <f t="shared" si="407"/>
        <v>0</v>
      </c>
      <c r="SA70" s="242">
        <f t="shared" si="408"/>
        <v>0</v>
      </c>
      <c r="SB70" s="56"/>
      <c r="SE70" s="55"/>
      <c r="SF70" s="126"/>
      <c r="SG70" s="242">
        <f>SUMPRODUCT(PRODUCE!$B83:$DY83,PRODUCE!$EB$57:$IY$57)</f>
        <v>0</v>
      </c>
      <c r="SH70" s="56"/>
      <c r="SI70" s="242">
        <f t="shared" si="410"/>
        <v>0</v>
      </c>
      <c r="SJ70" s="242">
        <f t="shared" si="411"/>
        <v>0</v>
      </c>
      <c r="SK70" s="56"/>
      <c r="SN70" s="55"/>
      <c r="SO70" s="126"/>
      <c r="SP70" s="242">
        <f>SUMPRODUCT(PRODUCE!$B83:$DY83,PRODUCE!$EB$57:$IY$57)</f>
        <v>0</v>
      </c>
      <c r="SQ70" s="56"/>
      <c r="SR70" s="242">
        <f t="shared" si="413"/>
        <v>0</v>
      </c>
      <c r="SS70" s="242">
        <f t="shared" si="414"/>
        <v>0</v>
      </c>
      <c r="ST70" s="56"/>
      <c r="SW70" s="55"/>
      <c r="SX70" s="126"/>
      <c r="SY70" s="242">
        <f>SUMPRODUCT(PRODUCE!$B83:$DY83,PRODUCE!$EB$57:$IY$57)</f>
        <v>0</v>
      </c>
      <c r="SZ70" s="56"/>
      <c r="TA70" s="242">
        <f t="shared" si="416"/>
        <v>0</v>
      </c>
      <c r="TB70" s="242">
        <f t="shared" si="417"/>
        <v>0</v>
      </c>
      <c r="TC70" s="56"/>
      <c r="TF70" s="55"/>
      <c r="TG70" s="126"/>
      <c r="TH70" s="242">
        <f>SUMPRODUCT(PRODUCE!$B83:$DY83,PRODUCE!$EB$57:$IY$57)</f>
        <v>0</v>
      </c>
      <c r="TI70" s="56"/>
      <c r="TJ70" s="242">
        <f t="shared" si="419"/>
        <v>0</v>
      </c>
      <c r="TK70" s="242">
        <f t="shared" si="420"/>
        <v>0</v>
      </c>
      <c r="TL70" s="56"/>
      <c r="TO70" s="55"/>
      <c r="TP70" s="126"/>
      <c r="TQ70" s="242">
        <f>SUMPRODUCT(PRODUCE!$B83:$DY83,PRODUCE!$EB$57:$IY$57)</f>
        <v>0</v>
      </c>
      <c r="TR70" s="56"/>
      <c r="TS70" s="242">
        <f t="shared" si="422"/>
        <v>0</v>
      </c>
      <c r="TT70" s="242">
        <f t="shared" si="423"/>
        <v>0</v>
      </c>
      <c r="TU70" s="56"/>
      <c r="TX70" s="55"/>
      <c r="TY70" s="126"/>
      <c r="TZ70" s="242">
        <f>SUMPRODUCT(PRODUCE!$B83:$DY83,PRODUCE!$EB$57:$IY$57)</f>
        <v>0</v>
      </c>
      <c r="UA70" s="56"/>
      <c r="UB70" s="242">
        <f t="shared" si="425"/>
        <v>0</v>
      </c>
      <c r="UC70" s="242">
        <f t="shared" si="426"/>
        <v>0</v>
      </c>
      <c r="UD70" s="56"/>
      <c r="UG70" s="55"/>
      <c r="UH70" s="126"/>
      <c r="UI70" s="242">
        <f>SUMPRODUCT(PRODUCE!$B83:$DY83,PRODUCE!$EB$57:$IY$57)</f>
        <v>0</v>
      </c>
      <c r="UJ70" s="56"/>
      <c r="UK70" s="242">
        <f t="shared" si="428"/>
        <v>0</v>
      </c>
      <c r="UL70" s="242">
        <f t="shared" si="429"/>
        <v>0</v>
      </c>
      <c r="UM70" s="56"/>
      <c r="UP70" s="55"/>
      <c r="UQ70" s="126"/>
      <c r="UR70" s="242">
        <f>SUMPRODUCT(PRODUCE!$B83:$DY83,PRODUCE!$EB$57:$IY$57)</f>
        <v>0</v>
      </c>
      <c r="US70" s="56"/>
      <c r="UT70" s="242">
        <f t="shared" si="431"/>
        <v>0</v>
      </c>
      <c r="UU70" s="242">
        <f t="shared" si="432"/>
        <v>0</v>
      </c>
      <c r="UV70" s="56"/>
      <c r="UY70" s="55"/>
      <c r="UZ70" s="126"/>
      <c r="VA70" s="242">
        <f>SUMPRODUCT(PRODUCE!$B83:$DY83,PRODUCE!$EB$57:$IY$57)</f>
        <v>0</v>
      </c>
      <c r="VB70" s="56"/>
      <c r="VC70" s="242">
        <f t="shared" si="434"/>
        <v>0</v>
      </c>
      <c r="VD70" s="242">
        <f t="shared" si="435"/>
        <v>41.600000000000023</v>
      </c>
      <c r="VE70" s="56"/>
      <c r="VH70" s="55"/>
      <c r="VI70" s="126"/>
      <c r="VJ70" s="242">
        <f>SUMPRODUCT(PRODUCE!$B83:$DY83,PRODUCE!$EB$57:$IY$57)</f>
        <v>0</v>
      </c>
      <c r="VK70" s="56"/>
      <c r="VL70" s="242">
        <f t="shared" si="437"/>
        <v>0</v>
      </c>
      <c r="VM70" s="242">
        <f t="shared" si="438"/>
        <v>0</v>
      </c>
      <c r="VN70" s="56"/>
      <c r="VQ70" s="55"/>
      <c r="VR70" s="126"/>
      <c r="VS70" s="242">
        <f>SUMPRODUCT(PRODUCE!$B83:$DY83,PRODUCE!$EB$57:$IY$57)</f>
        <v>0</v>
      </c>
      <c r="VT70" s="56"/>
      <c r="VU70" s="242">
        <f t="shared" si="440"/>
        <v>0</v>
      </c>
      <c r="VV70" s="242">
        <f t="shared" si="441"/>
        <v>0</v>
      </c>
      <c r="VW70" s="56"/>
      <c r="VZ70" s="55"/>
      <c r="WA70" s="126"/>
      <c r="WB70" s="242">
        <f>SUMPRODUCT(PRODUCE!$B83:$DY83,PRODUCE!$EB$57:$IY$57)</f>
        <v>0</v>
      </c>
      <c r="WC70" s="56"/>
      <c r="WD70" s="242">
        <f t="shared" si="443"/>
        <v>0</v>
      </c>
      <c r="WE70" s="242">
        <f t="shared" si="444"/>
        <v>0</v>
      </c>
      <c r="WF70" s="56"/>
      <c r="WI70" s="55"/>
      <c r="WJ70" s="126"/>
      <c r="WK70" s="242">
        <f>SUMPRODUCT(PRODUCE!$B83:$DY83,PRODUCE!$EB$57:$IY$57)</f>
        <v>0</v>
      </c>
      <c r="WL70" s="56"/>
      <c r="WM70" s="242">
        <f t="shared" si="446"/>
        <v>0</v>
      </c>
      <c r="WN70" s="242">
        <f t="shared" si="447"/>
        <v>6628</v>
      </c>
      <c r="WO70" s="56"/>
      <c r="WR70" s="55"/>
      <c r="WS70" s="126"/>
      <c r="WT70" s="242">
        <f>SUMPRODUCT(PRODUCE!$B83:$DY83,PRODUCE!$EB$57:$IY$57)</f>
        <v>0</v>
      </c>
      <c r="WU70" s="56"/>
      <c r="WV70" s="242">
        <f t="shared" si="449"/>
        <v>0</v>
      </c>
      <c r="WW70" s="242">
        <f t="shared" si="450"/>
        <v>6559</v>
      </c>
      <c r="WX70" s="56"/>
      <c r="XA70" s="55"/>
      <c r="XB70" s="126"/>
      <c r="XC70" s="242">
        <f>SUMPRODUCT(PRODUCE!$B83:$DY83,PRODUCE!$EB$57:$IY$57)</f>
        <v>0</v>
      </c>
      <c r="XD70" s="56"/>
      <c r="XE70" s="242">
        <f t="shared" si="452"/>
        <v>0</v>
      </c>
      <c r="XF70" s="242">
        <f t="shared" si="453"/>
        <v>590</v>
      </c>
      <c r="XG70" s="56"/>
      <c r="XJ70" s="55"/>
      <c r="XK70" s="126"/>
      <c r="XL70" s="242">
        <f>SUMPRODUCT(PRODUCE!$B83:$DY83,PRODUCE!$EB$57:$IY$57)</f>
        <v>0</v>
      </c>
      <c r="XM70" s="56"/>
      <c r="XN70" s="242">
        <f t="shared" si="455"/>
        <v>0</v>
      </c>
      <c r="XO70" s="242">
        <f t="shared" si="456"/>
        <v>3391</v>
      </c>
      <c r="XP70" s="56"/>
      <c r="XS70" s="55"/>
      <c r="XT70" s="126"/>
      <c r="XU70" s="242">
        <f>SUMPRODUCT(PRODUCE!$B83:$DY83,PRODUCE!$EB$57:$IY$57)</f>
        <v>0</v>
      </c>
      <c r="XV70" s="56"/>
      <c r="XW70" s="242">
        <f t="shared" si="458"/>
        <v>0</v>
      </c>
      <c r="XX70" s="242">
        <f t="shared" si="459"/>
        <v>1901</v>
      </c>
      <c r="XY70" s="56"/>
      <c r="YB70" s="55"/>
      <c r="YC70" s="126"/>
      <c r="YD70" s="242">
        <f>SUMPRODUCT(PRODUCE!$B83:$DY83,PRODUCE!$EB$57:$IY$57)</f>
        <v>0</v>
      </c>
      <c r="YE70" s="56"/>
      <c r="YF70" s="242">
        <f t="shared" si="461"/>
        <v>0</v>
      </c>
      <c r="YG70" s="242">
        <f t="shared" si="462"/>
        <v>0</v>
      </c>
      <c r="YH70" s="56"/>
      <c r="YK70" s="55"/>
      <c r="YL70" s="126"/>
      <c r="YM70" s="242">
        <f>SUMPRODUCT(PRODUCE!$B83:$DY83,PRODUCE!$EB$57:$IY$57)</f>
        <v>0</v>
      </c>
      <c r="YN70" s="56"/>
      <c r="YO70" s="242">
        <f t="shared" si="464"/>
        <v>0</v>
      </c>
      <c r="YP70" s="242">
        <f t="shared" si="465"/>
        <v>0</v>
      </c>
      <c r="YQ70" s="56"/>
      <c r="YT70" s="55"/>
      <c r="YU70" s="126"/>
      <c r="YV70" s="242">
        <f>SUMPRODUCT(PRODUCE!$B83:$DY83,PRODUCE!$EB$57:$IY$57)</f>
        <v>0</v>
      </c>
      <c r="YW70" s="56"/>
      <c r="YX70" s="242">
        <f t="shared" si="467"/>
        <v>0</v>
      </c>
      <c r="YY70" s="242">
        <f t="shared" si="468"/>
        <v>0</v>
      </c>
      <c r="YZ70" s="56"/>
      <c r="ZC70" s="55"/>
      <c r="ZD70" s="126"/>
      <c r="ZE70" s="242">
        <f>SUMPRODUCT(PRODUCE!$B83:$DY83,PRODUCE!$EB$57:$IY$57)</f>
        <v>0</v>
      </c>
      <c r="ZF70" s="56"/>
      <c r="ZG70" s="242">
        <f t="shared" si="470"/>
        <v>0</v>
      </c>
      <c r="ZH70" s="242">
        <f t="shared" si="471"/>
        <v>0</v>
      </c>
      <c r="ZI70" s="56"/>
      <c r="ZL70" s="55"/>
      <c r="ZM70" s="126"/>
      <c r="ZN70" s="242">
        <f>SUMPRODUCT(PRODUCE!$B83:$DY83,PRODUCE!$EB$57:$IY$57)</f>
        <v>0</v>
      </c>
      <c r="ZO70" s="56"/>
      <c r="ZP70" s="242">
        <f t="shared" si="473"/>
        <v>0</v>
      </c>
      <c r="ZQ70" s="242">
        <f t="shared" si="474"/>
        <v>0</v>
      </c>
      <c r="ZR70" s="56"/>
      <c r="ZU70" s="55"/>
      <c r="ZV70" s="126"/>
      <c r="ZW70" s="242">
        <f>SUMPRODUCT(PRODUCE!$B83:$DY83,PRODUCE!$EB$57:$IY$57)</f>
        <v>0</v>
      </c>
      <c r="ZX70" s="56"/>
      <c r="ZY70" s="242">
        <f t="shared" si="476"/>
        <v>0</v>
      </c>
      <c r="ZZ70" s="242">
        <f t="shared" si="477"/>
        <v>0</v>
      </c>
      <c r="AAA70" s="56"/>
      <c r="AAD70" s="55"/>
      <c r="AAE70" s="126"/>
      <c r="AAF70" s="242">
        <f>SUMPRODUCT(PRODUCE!$B83:$DY83,PRODUCE!$EB$57:$IY$57)</f>
        <v>0</v>
      </c>
      <c r="AAG70" s="56"/>
      <c r="AAH70" s="242">
        <f t="shared" si="479"/>
        <v>0</v>
      </c>
      <c r="AAI70" s="242">
        <f t="shared" si="480"/>
        <v>0</v>
      </c>
      <c r="AAJ70" s="56"/>
      <c r="AAM70" s="55"/>
      <c r="AAN70" s="126"/>
      <c r="AAO70" s="242">
        <f>SUMPRODUCT(PRODUCE!$B83:$DY83,PRODUCE!$EB$57:$IY$57)</f>
        <v>0</v>
      </c>
      <c r="AAP70" s="56"/>
      <c r="AAQ70" s="242">
        <f t="shared" si="482"/>
        <v>0</v>
      </c>
      <c r="AAR70" s="242">
        <f t="shared" si="483"/>
        <v>0</v>
      </c>
      <c r="AAS70" s="56"/>
      <c r="AAV70" s="55"/>
      <c r="AAW70" s="126"/>
      <c r="AAX70" s="242">
        <f>SUMPRODUCT(PRODUCE!$B83:$DY83,PRODUCE!$EB$57:$IY$57)</f>
        <v>0</v>
      </c>
      <c r="AAY70" s="56"/>
      <c r="AAZ70" s="242">
        <f t="shared" si="485"/>
        <v>0</v>
      </c>
      <c r="ABA70" s="242">
        <f t="shared" si="486"/>
        <v>0</v>
      </c>
      <c r="ABB70" s="56"/>
      <c r="ABE70" s="55"/>
      <c r="ABF70" s="126"/>
      <c r="ABG70" s="242">
        <f>SUMPRODUCT(PRODUCE!$B83:$DY83,PRODUCE!$EB$57:$IY$57)</f>
        <v>0</v>
      </c>
      <c r="ABH70" s="56"/>
      <c r="ABI70" s="242">
        <f t="shared" si="488"/>
        <v>0</v>
      </c>
      <c r="ABJ70" s="242">
        <f t="shared" si="489"/>
        <v>0</v>
      </c>
      <c r="ABK70" s="56"/>
    </row>
    <row r="71" spans="1:739" ht="14.45" thickBot="1">
      <c r="B71" s="480">
        <f>SUM(B40:B70)</f>
        <v>1316</v>
      </c>
      <c r="C71" s="68" t="s">
        <v>72</v>
      </c>
      <c r="D71" s="426">
        <f>SUM(D42:D70)</f>
        <v>573310</v>
      </c>
      <c r="E71" s="427">
        <f>SUM(E42:E70)</f>
        <v>693552.59999999986</v>
      </c>
      <c r="F71" s="427">
        <f>SUM(F42:F70)</f>
        <v>723483.4</v>
      </c>
      <c r="G71" s="427">
        <f>SUM(G42:G70)</f>
        <v>-29930.799999999996</v>
      </c>
      <c r="H71" s="428">
        <f>H70</f>
        <v>91614.800000000017</v>
      </c>
      <c r="I71" s="289"/>
      <c r="K71" s="6"/>
      <c r="L71" s="68" t="s">
        <v>72</v>
      </c>
      <c r="M71" s="426">
        <f>SUM(M42:M70)</f>
        <v>337880</v>
      </c>
      <c r="N71" s="427">
        <f>SUM(N42:N70)</f>
        <v>320855.5</v>
      </c>
      <c r="O71" s="427">
        <f>SUM(O42:O70)</f>
        <v>321531.59999999992</v>
      </c>
      <c r="P71" s="427">
        <f>SUM(P42:P70)</f>
        <v>-676.10000000001946</v>
      </c>
      <c r="Q71" s="428">
        <f>Q70</f>
        <v>65096.600000000035</v>
      </c>
      <c r="R71" s="71"/>
      <c r="U71" s="68" t="s">
        <v>72</v>
      </c>
      <c r="V71" s="426">
        <f>SUM(V42:V70)</f>
        <v>81220.5</v>
      </c>
      <c r="W71" s="427">
        <f>SUM(W42:W70)</f>
        <v>82722</v>
      </c>
      <c r="X71" s="427">
        <f>SUM(X42:X70)</f>
        <v>82732.699999999983</v>
      </c>
      <c r="Y71" s="427">
        <f>SUM(Y42:Y70)</f>
        <v>-10.700000000005616</v>
      </c>
      <c r="Z71" s="428">
        <f>Z70</f>
        <v>48372.799999999974</v>
      </c>
      <c r="AA71" s="71"/>
      <c r="AD71" s="68" t="s">
        <v>72</v>
      </c>
      <c r="AE71" s="426">
        <f>SUM(AE42:AE70)</f>
        <v>19280</v>
      </c>
      <c r="AF71" s="427">
        <f>SUM(AF42:AF70)</f>
        <v>37888</v>
      </c>
      <c r="AG71" s="427">
        <f>SUM(AG42:AG70)</f>
        <v>37914</v>
      </c>
      <c r="AH71" s="427">
        <f>SUM(AH42:AH70)</f>
        <v>-25.999999999999261</v>
      </c>
      <c r="AI71" s="428">
        <f>AI70</f>
        <v>34138.200000000019</v>
      </c>
      <c r="AJ71" s="71"/>
      <c r="AM71" s="68" t="s">
        <v>72</v>
      </c>
      <c r="AN71" s="426">
        <f>SUM(AN42:AN70)</f>
        <v>0</v>
      </c>
      <c r="AO71" s="427">
        <f>SUM(AO42:AO70)</f>
        <v>0</v>
      </c>
      <c r="AP71" s="427">
        <f>SUM(AP42:AP70)</f>
        <v>0</v>
      </c>
      <c r="AQ71" s="427">
        <f>SUM(AQ42:AQ70)</f>
        <v>0</v>
      </c>
      <c r="AR71" s="428">
        <f>AR70</f>
        <v>0</v>
      </c>
      <c r="AS71" s="71"/>
      <c r="AV71" s="68" t="s">
        <v>72</v>
      </c>
      <c r="AW71" s="426">
        <f>SUM(AW42:AW70)</f>
        <v>30480</v>
      </c>
      <c r="AX71" s="427">
        <f>SUM(AX42:AX70)</f>
        <v>16988</v>
      </c>
      <c r="AY71" s="427">
        <f>SUM(AY42:AY70)</f>
        <v>16994.699999999997</v>
      </c>
      <c r="AZ71" s="427">
        <f>SUM(AZ42:AZ70)</f>
        <v>-6.6999999999998181</v>
      </c>
      <c r="BA71" s="428">
        <f>BA70</f>
        <v>47801.999999999985</v>
      </c>
      <c r="BB71" s="71"/>
      <c r="BE71" s="68" t="s">
        <v>72</v>
      </c>
      <c r="BF71" s="426">
        <f>SUM(BF42:BF70)</f>
        <v>22150</v>
      </c>
      <c r="BG71" s="427">
        <f>SUM(BG42:BG70)</f>
        <v>36564</v>
      </c>
      <c r="BH71" s="427">
        <f>SUM(BH42:BH70)</f>
        <v>36572.300000000003</v>
      </c>
      <c r="BI71" s="427">
        <f>SUM(BI42:BI70)</f>
        <v>-8.3000000000012051</v>
      </c>
      <c r="BJ71" s="428">
        <f>BJ70</f>
        <v>7501.8000000000047</v>
      </c>
      <c r="BK71" s="71"/>
      <c r="BN71" s="68" t="s">
        <v>72</v>
      </c>
      <c r="BO71" s="426">
        <f>SUM(BO42:BO70)</f>
        <v>24926.6</v>
      </c>
      <c r="BP71" s="427">
        <f>SUM(BP42:BP70)</f>
        <v>24928</v>
      </c>
      <c r="BQ71" s="427">
        <f>SUM(BQ42:BQ70)</f>
        <v>24926.6</v>
      </c>
      <c r="BR71" s="427">
        <f>SUM(BR42:BR70)</f>
        <v>1.4000000000002046</v>
      </c>
      <c r="BS71" s="428">
        <f>BS70</f>
        <v>0</v>
      </c>
      <c r="BT71" s="71"/>
      <c r="BW71" s="68" t="s">
        <v>72</v>
      </c>
      <c r="BX71" s="73">
        <f>SUM(BX42:BX70)</f>
        <v>2000</v>
      </c>
      <c r="BY71" s="69">
        <f>SUM(BY42:BY70)</f>
        <v>4415.2999999999993</v>
      </c>
      <c r="BZ71" s="69">
        <f>SUM(BZ42:BZ70)</f>
        <v>5276.5</v>
      </c>
      <c r="CA71" s="69">
        <f>SUM(CA42:CA70)</f>
        <v>-861.19999999999982</v>
      </c>
      <c r="CB71" s="70">
        <f>CB70</f>
        <v>8.0000000000001137</v>
      </c>
      <c r="CC71" s="71"/>
      <c r="CF71" s="68" t="s">
        <v>72</v>
      </c>
      <c r="CG71" s="73">
        <f>SUM(CG42:CG70)</f>
        <v>7573.8000000000011</v>
      </c>
      <c r="CH71" s="69">
        <f>SUM(CH42:CH70)</f>
        <v>6622.2</v>
      </c>
      <c r="CI71" s="69">
        <f>SUM(CI42:CI70)</f>
        <v>7573.8000000000011</v>
      </c>
      <c r="CJ71" s="69">
        <f>SUM(CJ42:CJ70)</f>
        <v>-951.59999999999991</v>
      </c>
      <c r="CK71" s="70">
        <f>CK70</f>
        <v>0</v>
      </c>
      <c r="CL71" s="71"/>
      <c r="CO71" s="68" t="s">
        <v>72</v>
      </c>
      <c r="CP71" s="426">
        <f>SUM(CP42:CP70)</f>
        <v>0</v>
      </c>
      <c r="CQ71" s="427">
        <f>SUM(CQ42:CQ70)</f>
        <v>0</v>
      </c>
      <c r="CR71" s="427">
        <f>SUM(CR42:CR70)</f>
        <v>0</v>
      </c>
      <c r="CS71" s="427">
        <f>SUM(CS42:CS70)</f>
        <v>0</v>
      </c>
      <c r="CT71" s="428">
        <f>CT70</f>
        <v>0</v>
      </c>
      <c r="CU71" s="71"/>
      <c r="CX71" s="68" t="s">
        <v>72</v>
      </c>
      <c r="CY71" s="73">
        <f>SUM(CY42:CY70)</f>
        <v>86490</v>
      </c>
      <c r="CZ71" s="69">
        <f>SUM(CZ42:CZ70)</f>
        <v>31430</v>
      </c>
      <c r="DA71" s="87">
        <f>SUM(DA42:DA70)</f>
        <v>31437.599999999999</v>
      </c>
      <c r="DB71" s="69">
        <f>SUM(DB42:DB70)</f>
        <v>-7.5999999999999091</v>
      </c>
      <c r="DC71" s="70">
        <f>DC70</f>
        <v>55052.4</v>
      </c>
      <c r="DD71" s="71"/>
      <c r="DG71" s="68" t="s">
        <v>72</v>
      </c>
      <c r="DH71" s="73">
        <f>SUM(DH42:DH70)</f>
        <v>0</v>
      </c>
      <c r="DI71" s="148">
        <f>SUM(DI42:DI70)</f>
        <v>21860</v>
      </c>
      <c r="DJ71" s="87">
        <f>SUM(DJ42:DJ70)</f>
        <v>22172.799999999999</v>
      </c>
      <c r="DK71" s="148">
        <f>SUM(DK42:DK70)</f>
        <v>-312.8</v>
      </c>
      <c r="DL71" s="154">
        <f>DL70</f>
        <v>-2.8421709430404007E-12</v>
      </c>
      <c r="DM71" s="340"/>
      <c r="DP71" s="68" t="s">
        <v>72</v>
      </c>
      <c r="DQ71" s="73">
        <f>SUM(DQ42:DQ70)</f>
        <v>2300</v>
      </c>
      <c r="DR71" s="69">
        <f>SUM(DR42:DR70)</f>
        <v>0</v>
      </c>
      <c r="DS71" s="87">
        <f>SUM(DS42:DS70)</f>
        <v>0</v>
      </c>
      <c r="DT71" s="69">
        <f>SUM(DT42:DT70)</f>
        <v>0</v>
      </c>
      <c r="DU71" s="70">
        <f>DU70</f>
        <v>2300</v>
      </c>
      <c r="DV71" s="71"/>
      <c r="DY71" s="68" t="s">
        <v>72</v>
      </c>
      <c r="DZ71" s="73">
        <f>SUM(DZ42:DZ70)</f>
        <v>10200</v>
      </c>
      <c r="EA71" s="69">
        <f>SUM(EA42:EA70)</f>
        <v>4500</v>
      </c>
      <c r="EB71" s="87">
        <f>SUM(EB42:EB70)</f>
        <v>4503.2000000000007</v>
      </c>
      <c r="EC71" s="69">
        <f>SUM(EC42:EC70)</f>
        <v>-3.2000000000002728</v>
      </c>
      <c r="ED71" s="70">
        <f>ED70</f>
        <v>5696.8</v>
      </c>
      <c r="EE71" s="71"/>
      <c r="EH71" s="68" t="s">
        <v>72</v>
      </c>
      <c r="EI71" s="73">
        <f>SUM(EI42:EI70)</f>
        <v>0</v>
      </c>
      <c r="EJ71" s="69">
        <f>SUM(EJ42:EJ70)</f>
        <v>0</v>
      </c>
      <c r="EK71" s="69">
        <f>SUM(EK42:EK70)</f>
        <v>0</v>
      </c>
      <c r="EL71" s="69">
        <f>SUM(EL42:EL70)</f>
        <v>0</v>
      </c>
      <c r="EM71" s="70">
        <f>EM70</f>
        <v>0</v>
      </c>
      <c r="EN71" s="71"/>
      <c r="EQ71" s="68" t="s">
        <v>72</v>
      </c>
      <c r="ER71" s="73">
        <f>SUM(ER42:ER70)</f>
        <v>0</v>
      </c>
      <c r="ES71" s="69">
        <f>SUM(ES42:ES70)</f>
        <v>0</v>
      </c>
      <c r="ET71" s="87">
        <f>SUM(ET42:ET70)</f>
        <v>0</v>
      </c>
      <c r="EU71" s="69">
        <f>SUM(EU42:EU70)</f>
        <v>0</v>
      </c>
      <c r="EV71" s="70">
        <f>EV70</f>
        <v>0</v>
      </c>
      <c r="EW71" s="71"/>
      <c r="EZ71" s="68" t="s">
        <v>72</v>
      </c>
      <c r="FA71" s="73">
        <f>SUM(FA42:FA70)</f>
        <v>0</v>
      </c>
      <c r="FB71" s="69">
        <f>SUM(FB42:FB70)</f>
        <v>0</v>
      </c>
      <c r="FC71" s="87">
        <f>SUM(FC42:FC70)</f>
        <v>0</v>
      </c>
      <c r="FD71" s="69">
        <f>SUM(FD42:FD70)</f>
        <v>0</v>
      </c>
      <c r="FE71" s="70">
        <f>FE70</f>
        <v>0</v>
      </c>
      <c r="FF71" s="71"/>
      <c r="FI71" s="68" t="s">
        <v>72</v>
      </c>
      <c r="FJ71" s="73">
        <f>SUM(FJ42:FJ70)</f>
        <v>0</v>
      </c>
      <c r="FK71" s="69">
        <f>SUM(FK42:FK70)</f>
        <v>0</v>
      </c>
      <c r="FL71" s="87">
        <f>SUM(FL42:FL70)</f>
        <v>0</v>
      </c>
      <c r="FM71" s="69">
        <f>SUM(FM42:FM70)</f>
        <v>0</v>
      </c>
      <c r="FN71" s="70">
        <f>FN70</f>
        <v>0</v>
      </c>
      <c r="FO71" s="71"/>
      <c r="FR71" s="68" t="s">
        <v>72</v>
      </c>
      <c r="FS71" s="426">
        <f>SUM(FS42:FS70)</f>
        <v>0</v>
      </c>
      <c r="FT71" s="427">
        <f>SUM(FT42:FT70)</f>
        <v>2920</v>
      </c>
      <c r="FU71" s="436">
        <f>SUM(FU42:FU70)</f>
        <v>2920</v>
      </c>
      <c r="FV71" s="427">
        <f>SUM(FV42:FV70)</f>
        <v>0</v>
      </c>
      <c r="FW71" s="428">
        <f>FW70</f>
        <v>620</v>
      </c>
      <c r="FX71" s="459">
        <f>FW71/20</f>
        <v>31</v>
      </c>
      <c r="FY71" s="460" t="s">
        <v>173</v>
      </c>
      <c r="GA71" s="68" t="s">
        <v>72</v>
      </c>
      <c r="GB71" s="426">
        <f>SUM(GB42:GB70)</f>
        <v>2000</v>
      </c>
      <c r="GC71" s="427">
        <f>SUM(GC42:GC70)</f>
        <v>0</v>
      </c>
      <c r="GD71" s="436">
        <f>SUM(GD42:GD70)</f>
        <v>0</v>
      </c>
      <c r="GE71" s="427">
        <f>SUM(GE42:GE70)</f>
        <v>0</v>
      </c>
      <c r="GF71" s="428">
        <f>GF70</f>
        <v>5960</v>
      </c>
      <c r="GG71" s="461">
        <f>GF71/20</f>
        <v>298</v>
      </c>
      <c r="GH71" s="460" t="s">
        <v>173</v>
      </c>
      <c r="GJ71" s="68" t="s">
        <v>72</v>
      </c>
      <c r="GK71" s="426">
        <f>SUM(GK42:GK70)</f>
        <v>2000</v>
      </c>
      <c r="GL71" s="427">
        <f>SUM(GL42:GL70)</f>
        <v>320</v>
      </c>
      <c r="GM71" s="436">
        <f>SUM(GM42:GM70)</f>
        <v>0</v>
      </c>
      <c r="GN71" s="427">
        <f>SUM(GN42:GN70)</f>
        <v>320</v>
      </c>
      <c r="GO71" s="428">
        <f>GO70</f>
        <v>5240</v>
      </c>
      <c r="GP71" s="459">
        <f>GO71/20</f>
        <v>262</v>
      </c>
      <c r="GQ71" s="460" t="s">
        <v>173</v>
      </c>
      <c r="GS71" s="68" t="s">
        <v>72</v>
      </c>
      <c r="GT71" s="73">
        <f>SUM(GT42:GT70)</f>
        <v>0</v>
      </c>
      <c r="GU71" s="69">
        <f>SUM(GU42:GU70)</f>
        <v>0</v>
      </c>
      <c r="GV71" s="87">
        <f>SUM(GV42:GV70)</f>
        <v>0</v>
      </c>
      <c r="GW71" s="69">
        <f>SUM(GW42:GW70)</f>
        <v>0</v>
      </c>
      <c r="GX71" s="70">
        <f>GX70</f>
        <v>0</v>
      </c>
      <c r="GY71" s="71"/>
      <c r="HB71" s="68" t="s">
        <v>72</v>
      </c>
      <c r="HC71" s="73">
        <f>SUM(HC42:HC70)</f>
        <v>0</v>
      </c>
      <c r="HD71" s="69">
        <f>SUM(HD42:HD70)</f>
        <v>0</v>
      </c>
      <c r="HE71" s="87">
        <f>SUM(HE42:HE70)</f>
        <v>0</v>
      </c>
      <c r="HF71" s="69">
        <f>SUM(HF42:HF70)</f>
        <v>0</v>
      </c>
      <c r="HG71" s="70">
        <f>HG70</f>
        <v>0</v>
      </c>
      <c r="HH71" s="71"/>
      <c r="HK71" s="68" t="s">
        <v>72</v>
      </c>
      <c r="HL71" s="73">
        <f>SUM(HL42:HL70)</f>
        <v>0</v>
      </c>
      <c r="HM71" s="69">
        <f>SUM(HM42:HM70)</f>
        <v>0</v>
      </c>
      <c r="HN71" s="87">
        <f>SUM(HN42:HN70)</f>
        <v>0</v>
      </c>
      <c r="HO71" s="69">
        <f>SUM(HO42:HO70)</f>
        <v>0</v>
      </c>
      <c r="HP71" s="70">
        <f>HP70</f>
        <v>0</v>
      </c>
      <c r="HQ71" s="71"/>
      <c r="HU71" s="68" t="s">
        <v>72</v>
      </c>
      <c r="HV71" s="73">
        <f>SUM(HV42:HV70)</f>
        <v>0</v>
      </c>
      <c r="HW71" s="69">
        <f>SUM(HW42:HW70)</f>
        <v>1040</v>
      </c>
      <c r="HX71" s="87">
        <f>SUM(HX42:HX70)</f>
        <v>320</v>
      </c>
      <c r="HY71" s="69">
        <f>SUM(HY42:HY70)</f>
        <v>720</v>
      </c>
      <c r="HZ71" s="70">
        <f>HZ70</f>
        <v>5120</v>
      </c>
      <c r="IA71" s="459">
        <f>HZ71/20</f>
        <v>256</v>
      </c>
      <c r="IB71" s="460" t="s">
        <v>173</v>
      </c>
      <c r="ID71" s="68" t="s">
        <v>72</v>
      </c>
      <c r="IE71" s="73">
        <f>SUM(IE42:IE70)</f>
        <v>0</v>
      </c>
      <c r="IF71" s="69">
        <f>SUM(IF42:IF70)</f>
        <v>0</v>
      </c>
      <c r="IG71" s="87">
        <f>SUM(IG42:IG70)</f>
        <v>0</v>
      </c>
      <c r="IH71" s="69">
        <f>SUM(IH42:IH70)</f>
        <v>0</v>
      </c>
      <c r="II71" s="70">
        <f>II70</f>
        <v>5100</v>
      </c>
      <c r="IJ71" s="459">
        <f>II71/20</f>
        <v>255</v>
      </c>
      <c r="IK71" s="460" t="s">
        <v>173</v>
      </c>
      <c r="IM71" s="68" t="s">
        <v>72</v>
      </c>
      <c r="IN71" s="73">
        <f>SUM(IN42:IN70)</f>
        <v>0</v>
      </c>
      <c r="IO71" s="69">
        <f>SUM(IO42:IO70)</f>
        <v>7760</v>
      </c>
      <c r="IP71" s="87">
        <f>SUM(IP42:IP70)</f>
        <v>6000</v>
      </c>
      <c r="IQ71" s="69">
        <f>SUM(IQ42:IQ70)</f>
        <v>1760</v>
      </c>
      <c r="IR71" s="70">
        <f>IR70</f>
        <v>10240</v>
      </c>
      <c r="IS71" s="459">
        <f>IR71/20</f>
        <v>512</v>
      </c>
      <c r="IT71" s="460" t="s">
        <v>173</v>
      </c>
      <c r="IV71" s="68" t="s">
        <v>72</v>
      </c>
      <c r="IW71" s="73">
        <f>SUM(IW42:IW70)</f>
        <v>2000</v>
      </c>
      <c r="IX71" s="69">
        <f>SUM(IX42:IX70)</f>
        <v>520</v>
      </c>
      <c r="IY71" s="69">
        <f>SUM(IY42:IY70)</f>
        <v>0</v>
      </c>
      <c r="IZ71" s="69">
        <f>SUM(IZ42:IZ70)</f>
        <v>520</v>
      </c>
      <c r="JA71" s="70">
        <f>JA70</f>
        <v>15120</v>
      </c>
      <c r="JB71" s="462">
        <f>JA71/20</f>
        <v>756</v>
      </c>
      <c r="JC71" s="6" t="s">
        <v>173</v>
      </c>
      <c r="JE71" s="68" t="s">
        <v>72</v>
      </c>
      <c r="JF71" s="73">
        <f>SUM(JF42:JF70)</f>
        <v>0</v>
      </c>
      <c r="JG71" s="69">
        <f>SUM(JG42:JG70)</f>
        <v>0</v>
      </c>
      <c r="JH71" s="69">
        <f>SUM(JH42:JH70)</f>
        <v>3480</v>
      </c>
      <c r="JI71" s="69">
        <f>SUM(JI42:JI70)</f>
        <v>-3480</v>
      </c>
      <c r="JJ71" s="70">
        <f>JJ70</f>
        <v>3320</v>
      </c>
      <c r="JK71" s="459">
        <f>JJ71/20</f>
        <v>166</v>
      </c>
      <c r="JL71" s="460" t="s">
        <v>173</v>
      </c>
      <c r="JN71" s="68" t="s">
        <v>72</v>
      </c>
      <c r="JO71" s="73">
        <f>SUM(JO42:JO70)</f>
        <v>0</v>
      </c>
      <c r="JP71" s="69">
        <f>SUM(JP42:JP70)</f>
        <v>0</v>
      </c>
      <c r="JQ71" s="69">
        <f>SUM(JQ42:JQ70)</f>
        <v>0</v>
      </c>
      <c r="JR71" s="69">
        <f>SUM(JR42:JR70)</f>
        <v>0</v>
      </c>
      <c r="JS71" s="70">
        <f>JS70</f>
        <v>5400</v>
      </c>
      <c r="JT71" s="459">
        <f>JS71/20</f>
        <v>270</v>
      </c>
      <c r="JU71" s="460" t="s">
        <v>173</v>
      </c>
      <c r="JV71" s="23">
        <f>5340/20</f>
        <v>267</v>
      </c>
      <c r="JW71" s="68" t="s">
        <v>72</v>
      </c>
      <c r="JX71" s="73">
        <f>SUM(JX42:JX70)</f>
        <v>5340</v>
      </c>
      <c r="JY71" s="69">
        <f>SUM(JY42:JY70)</f>
        <v>3600</v>
      </c>
      <c r="JZ71" s="69">
        <f>SUM(JZ42:JZ70)</f>
        <v>3600</v>
      </c>
      <c r="KA71" s="69">
        <f>SUM(KA42:KA70)</f>
        <v>0</v>
      </c>
      <c r="KB71" s="70">
        <f>KB70</f>
        <v>4000</v>
      </c>
      <c r="KC71" s="459">
        <f>KB71/20</f>
        <v>200</v>
      </c>
      <c r="KD71" s="460" t="s">
        <v>173</v>
      </c>
      <c r="KF71" s="68" t="s">
        <v>72</v>
      </c>
      <c r="KG71" s="73">
        <f>SUM(KG42:KG70)</f>
        <v>8775</v>
      </c>
      <c r="KH71" s="69">
        <f>SUM(KH42:KH70)</f>
        <v>6864</v>
      </c>
      <c r="KI71" s="87">
        <f>SUM(KI42:KI70)</f>
        <v>8775</v>
      </c>
      <c r="KJ71" s="69">
        <f>SUM(KJ42:KJ70)</f>
        <v>-1911</v>
      </c>
      <c r="KK71" s="70">
        <f>KK70</f>
        <v>0</v>
      </c>
      <c r="KL71" s="459">
        <f>KK71/19.5</f>
        <v>0</v>
      </c>
      <c r="KM71" s="460" t="s">
        <v>173</v>
      </c>
      <c r="KO71" s="68" t="s">
        <v>72</v>
      </c>
      <c r="KP71" s="73">
        <f>SUM(KP42:KP70)</f>
        <v>13230</v>
      </c>
      <c r="KQ71" s="69">
        <f>SUM(KQ42:KQ70)</f>
        <v>2948.3999999999996</v>
      </c>
      <c r="KR71" s="87">
        <f>SUM(KR42:KR70)</f>
        <v>6690.5999999999995</v>
      </c>
      <c r="KS71" s="69">
        <f>SUM(KS42:KS70)</f>
        <v>-3742.2</v>
      </c>
      <c r="KT71" s="70">
        <f>KT70</f>
        <v>6539.4000000000005</v>
      </c>
      <c r="KU71" s="459">
        <f>KT71/18.9</f>
        <v>346.00000000000006</v>
      </c>
      <c r="KV71" s="460" t="s">
        <v>173</v>
      </c>
      <c r="KX71" s="68" t="s">
        <v>72</v>
      </c>
      <c r="KY71" s="73">
        <f>SUM(KY42:KY70)</f>
        <v>0</v>
      </c>
      <c r="KZ71" s="69">
        <f>SUM(KZ42:KZ70)</f>
        <v>0</v>
      </c>
      <c r="LA71" s="87">
        <f>SUM(LA42:LA70)</f>
        <v>0</v>
      </c>
      <c r="LB71" s="69">
        <f>SUM(LB42:LB70)</f>
        <v>0</v>
      </c>
      <c r="LC71" s="70">
        <f>LC70</f>
        <v>0</v>
      </c>
      <c r="LD71" s="71"/>
      <c r="LG71" s="68" t="s">
        <v>72</v>
      </c>
      <c r="LH71" s="73">
        <f>SUM(LH42:LH70)</f>
        <v>0</v>
      </c>
      <c r="LI71" s="69">
        <f>SUM(LI42:LI70)</f>
        <v>0</v>
      </c>
      <c r="LJ71" s="69">
        <f>SUM(LJ42:LJ70)</f>
        <v>0</v>
      </c>
      <c r="LK71" s="69">
        <f>SUM(LK42:LK70)</f>
        <v>0</v>
      </c>
      <c r="LL71" s="70">
        <f>LL70</f>
        <v>0</v>
      </c>
      <c r="LM71" s="71"/>
      <c r="LP71" s="68" t="s">
        <v>72</v>
      </c>
      <c r="LQ71" s="73">
        <f>SUM(LQ42:LQ70)</f>
        <v>0</v>
      </c>
      <c r="LR71" s="69">
        <f>SUM(LR42:LR70)</f>
        <v>0</v>
      </c>
      <c r="LS71" s="87">
        <f>SUM(LS42:LS70)</f>
        <v>0</v>
      </c>
      <c r="LT71" s="69">
        <f>SUM(LT42:LT70)</f>
        <v>0</v>
      </c>
      <c r="LU71" s="70">
        <f>LU70</f>
        <v>0</v>
      </c>
      <c r="LV71" s="71"/>
      <c r="LY71" s="68" t="s">
        <v>72</v>
      </c>
      <c r="LZ71" s="73">
        <f>SUM(LZ42:LZ70)</f>
        <v>0</v>
      </c>
      <c r="MA71" s="69">
        <f>SUM(MA42:MA70)</f>
        <v>0</v>
      </c>
      <c r="MB71" s="69">
        <f>SUM(MB42:MB70)</f>
        <v>0</v>
      </c>
      <c r="MC71" s="69">
        <f>SUM(MC42:MC70)</f>
        <v>0</v>
      </c>
      <c r="MD71" s="70">
        <f>MD70</f>
        <v>0</v>
      </c>
      <c r="ME71" s="71"/>
      <c r="MH71" s="68" t="s">
        <v>72</v>
      </c>
      <c r="MI71" s="73">
        <f>SUM(MI42:MI70)</f>
        <v>0</v>
      </c>
      <c r="MJ71" s="69">
        <f>SUM(MJ42:MJ70)</f>
        <v>0</v>
      </c>
      <c r="MK71" s="69">
        <f>SUM(MK42:MK70)</f>
        <v>0</v>
      </c>
      <c r="ML71" s="69">
        <f>SUM(ML42:ML70)</f>
        <v>0</v>
      </c>
      <c r="MM71" s="70">
        <f>MM70</f>
        <v>0</v>
      </c>
      <c r="MN71" s="71"/>
      <c r="MQ71" s="68" t="s">
        <v>72</v>
      </c>
      <c r="MR71" s="73">
        <f>SUM(MR42:MR70)</f>
        <v>4500</v>
      </c>
      <c r="MS71" s="69">
        <f>SUM(MS42:MS70)</f>
        <v>1677</v>
      </c>
      <c r="MT71" s="69">
        <f>SUM(MT42:MT70)</f>
        <v>2346</v>
      </c>
      <c r="MU71" s="69">
        <f>SUM(MU42:MU70)</f>
        <v>-669</v>
      </c>
      <c r="MV71" s="70">
        <f>MV70</f>
        <v>4123</v>
      </c>
      <c r="MW71" s="71"/>
      <c r="MZ71" s="68" t="s">
        <v>72</v>
      </c>
      <c r="NA71" s="73">
        <f>SUM(NA42:NA70)</f>
        <v>2863.2</v>
      </c>
      <c r="NB71" s="69">
        <f>SUM(NB42:NB70)</f>
        <v>3462</v>
      </c>
      <c r="NC71" s="69">
        <f>SUM(NC42:NC70)</f>
        <v>2863.2</v>
      </c>
      <c r="ND71" s="69">
        <f>SUM(ND42:ND70)</f>
        <v>598.79999999999995</v>
      </c>
      <c r="NE71" s="70">
        <f>NE70</f>
        <v>0</v>
      </c>
      <c r="NF71" s="71"/>
      <c r="NI71" s="68" t="s">
        <v>72</v>
      </c>
      <c r="NJ71" s="73">
        <f>SUM(NJ42:NJ70)</f>
        <v>0</v>
      </c>
      <c r="NK71" s="69">
        <f>SUM(NK42:NK70)</f>
        <v>0</v>
      </c>
      <c r="NL71" s="87">
        <f>SUM(NL42:NL70)</f>
        <v>0</v>
      </c>
      <c r="NM71" s="69">
        <f>SUM(NM42:NM70)</f>
        <v>0</v>
      </c>
      <c r="NN71" s="70">
        <f>NN70</f>
        <v>0</v>
      </c>
      <c r="NO71" s="330"/>
      <c r="NR71" s="68" t="s">
        <v>72</v>
      </c>
      <c r="NS71" s="73">
        <f>SUM(NS42:NS70)</f>
        <v>3037.3</v>
      </c>
      <c r="NT71" s="69">
        <f>SUM(NT42:NT70)</f>
        <v>645.60000000000014</v>
      </c>
      <c r="NU71" s="87">
        <f>SUM(NU42:NU70)</f>
        <v>1089.5999999999999</v>
      </c>
      <c r="NV71" s="69">
        <f>SUM(NV42:NV70)</f>
        <v>-444</v>
      </c>
      <c r="NW71" s="70">
        <f>NW70</f>
        <v>1947.7</v>
      </c>
      <c r="NX71" s="330"/>
      <c r="OA71" s="68" t="s">
        <v>72</v>
      </c>
      <c r="OB71" s="73">
        <f>SUM(OB42:OB70)</f>
        <v>0</v>
      </c>
      <c r="OC71" s="69">
        <f>SUM(OC42:OC70)</f>
        <v>0</v>
      </c>
      <c r="OD71" s="69">
        <f>SUM(OD42:OD70)</f>
        <v>0</v>
      </c>
      <c r="OE71" s="69">
        <f>SUM(OE42:OE70)</f>
        <v>0</v>
      </c>
      <c r="OF71" s="70">
        <f>OF70</f>
        <v>1680.5</v>
      </c>
      <c r="OG71" s="71"/>
      <c r="OJ71" s="68" t="s">
        <v>72</v>
      </c>
      <c r="OK71" s="73">
        <f>SUM(OK42:OK70)</f>
        <v>2953.3999999999996</v>
      </c>
      <c r="OL71" s="69">
        <f>SUM(OL42:OL70)</f>
        <v>1917.3999999999999</v>
      </c>
      <c r="OM71" s="69">
        <f>SUM(OM42:OM70)</f>
        <v>2953.3999999999996</v>
      </c>
      <c r="ON71" s="69">
        <f>SUM(ON42:ON70)</f>
        <v>-1036.0000000000002</v>
      </c>
      <c r="OO71" s="70">
        <f>OO70</f>
        <v>0</v>
      </c>
      <c r="OP71" s="71"/>
      <c r="OS71" s="68" t="s">
        <v>72</v>
      </c>
      <c r="OT71" s="73">
        <f>SUM(OT42:OT70)</f>
        <v>0</v>
      </c>
      <c r="OU71" s="69">
        <f>SUM(OU42:OU70)</f>
        <v>0</v>
      </c>
      <c r="OV71" s="69">
        <f>SUM(OV42:OV70)</f>
        <v>0</v>
      </c>
      <c r="OW71" s="69">
        <f>SUM(OW42:OW70)</f>
        <v>0</v>
      </c>
      <c r="OX71" s="70">
        <f>OX70</f>
        <v>0</v>
      </c>
      <c r="OY71" s="71"/>
      <c r="PB71" s="68" t="s">
        <v>72</v>
      </c>
      <c r="PC71" s="73">
        <f>SUM(PC42:PC70)</f>
        <v>316</v>
      </c>
      <c r="PD71" s="69">
        <f>SUM(PD42:PD70)</f>
        <v>0</v>
      </c>
      <c r="PE71" s="69">
        <f>SUM(PE42:PE70)</f>
        <v>316</v>
      </c>
      <c r="PF71" s="69">
        <f>SUM(PF42:PF70)</f>
        <v>-316</v>
      </c>
      <c r="PG71" s="70">
        <f>PG70</f>
        <v>0</v>
      </c>
      <c r="PH71" s="71"/>
      <c r="PK71" s="68" t="s">
        <v>72</v>
      </c>
      <c r="PL71" s="73">
        <f>SUM(PL42:PL70)</f>
        <v>0</v>
      </c>
      <c r="PM71" s="69">
        <f>SUM(PM42:PM70)</f>
        <v>0</v>
      </c>
      <c r="PN71" s="69">
        <f>SUM(PN42:PN70)</f>
        <v>60</v>
      </c>
      <c r="PO71" s="69">
        <f>SUM(PO42:PO70)</f>
        <v>-60</v>
      </c>
      <c r="PP71" s="70">
        <f>PP70</f>
        <v>100</v>
      </c>
      <c r="PQ71" s="71"/>
      <c r="PT71" s="68" t="s">
        <v>72</v>
      </c>
      <c r="PU71" s="73">
        <f>SUM(PU42:PU70)</f>
        <v>0</v>
      </c>
      <c r="PV71" s="69">
        <f>SUM(PV42:PV70)</f>
        <v>0</v>
      </c>
      <c r="PW71" s="69">
        <f>SUM(PW42:PW70)</f>
        <v>0</v>
      </c>
      <c r="PX71" s="69">
        <f>SUM(PX42:PX70)</f>
        <v>0</v>
      </c>
      <c r="PY71" s="70">
        <f>PY70</f>
        <v>13.960000000000036</v>
      </c>
      <c r="PZ71" s="71"/>
      <c r="QC71" s="68" t="s">
        <v>72</v>
      </c>
      <c r="QD71" s="73">
        <f>SUM(QD42:QD70)</f>
        <v>400</v>
      </c>
      <c r="QE71" s="69">
        <f>SUM(QE42:QE70)</f>
        <v>0</v>
      </c>
      <c r="QF71" s="69">
        <f>SUM(QF42:QF70)</f>
        <v>56</v>
      </c>
      <c r="QG71" s="69">
        <f>SUM(QG42:QG70)</f>
        <v>-56</v>
      </c>
      <c r="QH71" s="70">
        <f>QH70</f>
        <v>344</v>
      </c>
      <c r="QI71" s="71"/>
      <c r="QL71" s="68" t="s">
        <v>72</v>
      </c>
      <c r="QM71" s="73">
        <f>SUM(QM42:QM70)</f>
        <v>0</v>
      </c>
      <c r="QN71" s="69">
        <f>SUM(QN42:QN70)</f>
        <v>0</v>
      </c>
      <c r="QO71" s="69">
        <f>SUM(QO42:QO70)</f>
        <v>0</v>
      </c>
      <c r="QP71" s="69">
        <f>SUM(QP42:QP70)</f>
        <v>0</v>
      </c>
      <c r="QQ71" s="70">
        <f>QQ70</f>
        <v>0</v>
      </c>
      <c r="QR71" s="71"/>
      <c r="QU71" s="68" t="s">
        <v>72</v>
      </c>
      <c r="QV71" s="73">
        <f>SUM(QV42:QV70)</f>
        <v>0</v>
      </c>
      <c r="QW71" s="69">
        <f>SUM(QW42:QW70)</f>
        <v>0</v>
      </c>
      <c r="QX71" s="69">
        <f>SUM(QX42:QX70)</f>
        <v>0</v>
      </c>
      <c r="QY71" s="69">
        <f>SUM(QY42:QY70)</f>
        <v>0</v>
      </c>
      <c r="QZ71" s="70">
        <f>QZ70</f>
        <v>207.6</v>
      </c>
      <c r="RA71" s="71"/>
      <c r="RD71" s="68" t="s">
        <v>72</v>
      </c>
      <c r="RE71" s="73">
        <f>SUM(RE42:RE70)</f>
        <v>0</v>
      </c>
      <c r="RF71" s="69">
        <f>SUM(RF42:RF70)</f>
        <v>0</v>
      </c>
      <c r="RG71" s="69">
        <f>SUM(RG42:RG70)</f>
        <v>4.76</v>
      </c>
      <c r="RH71" s="69">
        <f>SUM(RH42:RH70)</f>
        <v>-4.76</v>
      </c>
      <c r="RI71" s="70">
        <f>RI70</f>
        <v>197.04000000000002</v>
      </c>
      <c r="RJ71" s="71"/>
      <c r="RM71" s="68" t="s">
        <v>72</v>
      </c>
      <c r="RN71" s="73">
        <f>SUM(RN42:RN70)</f>
        <v>24.08</v>
      </c>
      <c r="RO71" s="69">
        <f>SUM(RO42:RO70)</f>
        <v>0</v>
      </c>
      <c r="RP71" s="69">
        <f>SUM(RP42:RP70)</f>
        <v>0</v>
      </c>
      <c r="RQ71" s="69">
        <f>SUM(RQ42:RQ70)</f>
        <v>0</v>
      </c>
      <c r="RR71" s="70">
        <f>RR70</f>
        <v>46.8</v>
      </c>
      <c r="RS71" s="71"/>
      <c r="RV71" s="68" t="s">
        <v>72</v>
      </c>
      <c r="RW71" s="73">
        <f>SUM(RW42:RW70)</f>
        <v>0</v>
      </c>
      <c r="RX71" s="69">
        <f>SUM(RX42:RX70)</f>
        <v>0</v>
      </c>
      <c r="RY71" s="69">
        <f>SUM(RY42:RY70)</f>
        <v>0</v>
      </c>
      <c r="RZ71" s="69">
        <f>SUM(RZ42:RZ70)</f>
        <v>0</v>
      </c>
      <c r="SA71" s="70">
        <f>SA70</f>
        <v>0</v>
      </c>
      <c r="SB71" s="71"/>
      <c r="SE71" s="68" t="s">
        <v>72</v>
      </c>
      <c r="SF71" s="73">
        <f>SUM(SF42:SF70)</f>
        <v>0</v>
      </c>
      <c r="SG71" s="69">
        <f>SUM(SG42:SG70)</f>
        <v>0</v>
      </c>
      <c r="SH71" s="69">
        <f>SUM(SH42:SH70)</f>
        <v>0</v>
      </c>
      <c r="SI71" s="69">
        <f>SUM(SI42:SI70)</f>
        <v>0</v>
      </c>
      <c r="SJ71" s="70">
        <f>SJ70</f>
        <v>0</v>
      </c>
      <c r="SK71" s="71"/>
      <c r="SN71" s="68" t="s">
        <v>72</v>
      </c>
      <c r="SO71" s="73">
        <f>SUM(SO42:SO70)</f>
        <v>0</v>
      </c>
      <c r="SP71" s="69">
        <f>SUM(SP42:SP70)</f>
        <v>0</v>
      </c>
      <c r="SQ71" s="69">
        <f>SUM(SQ42:SQ70)</f>
        <v>0</v>
      </c>
      <c r="SR71" s="69">
        <f>SUM(SR42:SR70)</f>
        <v>0</v>
      </c>
      <c r="SS71" s="70">
        <f>SS70</f>
        <v>0</v>
      </c>
      <c r="ST71" s="71"/>
      <c r="SW71" s="68" t="s">
        <v>72</v>
      </c>
      <c r="SX71" s="73">
        <f>SUM(SX42:SX70)</f>
        <v>0</v>
      </c>
      <c r="SY71" s="69">
        <f>SUM(SY42:SY70)</f>
        <v>0</v>
      </c>
      <c r="SZ71" s="69">
        <f>SUM(SZ42:SZ70)</f>
        <v>270</v>
      </c>
      <c r="TA71" s="69">
        <f>SUM(TA42:TA70)</f>
        <v>-270</v>
      </c>
      <c r="TB71" s="70">
        <f>TB70</f>
        <v>0</v>
      </c>
      <c r="TC71" s="71"/>
      <c r="TF71" s="68" t="s">
        <v>72</v>
      </c>
      <c r="TG71" s="73">
        <f>SUM(TG42:TG70)</f>
        <v>0</v>
      </c>
      <c r="TH71" s="69">
        <f>SUM(TH42:TH70)</f>
        <v>0</v>
      </c>
      <c r="TI71" s="69">
        <f>SUM(TI42:TI70)</f>
        <v>0</v>
      </c>
      <c r="TJ71" s="69">
        <f>SUM(TJ42:TJ70)</f>
        <v>0</v>
      </c>
      <c r="TK71" s="70">
        <f>TK70</f>
        <v>0</v>
      </c>
      <c r="TL71" s="71"/>
      <c r="TO71" s="68" t="s">
        <v>72</v>
      </c>
      <c r="TP71" s="73">
        <f>SUM(TP42:TP70)</f>
        <v>0</v>
      </c>
      <c r="TQ71" s="69">
        <f>SUM(TQ42:TQ70)</f>
        <v>0</v>
      </c>
      <c r="TR71" s="69">
        <f>SUM(TR42:TR70)</f>
        <v>0</v>
      </c>
      <c r="TS71" s="69">
        <f>SUM(TS42:TS70)</f>
        <v>0</v>
      </c>
      <c r="TT71" s="70">
        <f>TT70</f>
        <v>0</v>
      </c>
      <c r="TU71" s="71"/>
      <c r="TX71" s="68" t="s">
        <v>72</v>
      </c>
      <c r="TY71" s="73">
        <f>SUM(TY42:TY70)</f>
        <v>0</v>
      </c>
      <c r="TZ71" s="69">
        <f>SUM(TZ42:TZ70)</f>
        <v>0</v>
      </c>
      <c r="UA71" s="69">
        <f>SUM(UA42:UA70)</f>
        <v>0</v>
      </c>
      <c r="UB71" s="69">
        <f>SUM(UB42:UB70)</f>
        <v>0</v>
      </c>
      <c r="UC71" s="70">
        <f>UC70</f>
        <v>0</v>
      </c>
      <c r="UD71" s="71"/>
      <c r="UG71" s="68" t="s">
        <v>72</v>
      </c>
      <c r="UH71" s="73">
        <f>SUM(UH42:UH70)</f>
        <v>0</v>
      </c>
      <c r="UI71" s="69">
        <f>SUM(UI42:UI70)</f>
        <v>0</v>
      </c>
      <c r="UJ71" s="69">
        <f>SUM(UJ42:UJ70)</f>
        <v>0</v>
      </c>
      <c r="UK71" s="69">
        <f>SUM(UK42:UK70)</f>
        <v>0</v>
      </c>
      <c r="UL71" s="70">
        <f>UL70</f>
        <v>0</v>
      </c>
      <c r="UM71" s="71"/>
      <c r="UP71" s="68" t="s">
        <v>72</v>
      </c>
      <c r="UQ71" s="73">
        <f>SUM(UQ42:UQ70)</f>
        <v>0</v>
      </c>
      <c r="UR71" s="69">
        <f>SUM(UR42:UR70)</f>
        <v>0</v>
      </c>
      <c r="US71" s="69">
        <f>SUM(US42:US70)</f>
        <v>0</v>
      </c>
      <c r="UT71" s="69">
        <f>SUM(UT42:UT70)</f>
        <v>0</v>
      </c>
      <c r="UU71" s="70">
        <f>UU70</f>
        <v>0</v>
      </c>
      <c r="UV71" s="71"/>
      <c r="UY71" s="68" t="s">
        <v>72</v>
      </c>
      <c r="UZ71" s="73">
        <f>SUM(UZ42:UZ70)</f>
        <v>0</v>
      </c>
      <c r="VA71" s="69">
        <f>SUM(VA42:VA70)</f>
        <v>0</v>
      </c>
      <c r="VB71" s="69">
        <f>SUM(VB42:VB70)</f>
        <v>0</v>
      </c>
      <c r="VC71" s="69">
        <f>SUM(VC42:VC70)</f>
        <v>0</v>
      </c>
      <c r="VD71" s="70">
        <f>VD70</f>
        <v>41.600000000000023</v>
      </c>
      <c r="VE71" s="71"/>
      <c r="VH71" s="68" t="s">
        <v>72</v>
      </c>
      <c r="VI71" s="73">
        <f>SUM(VI42:VI70)</f>
        <v>0</v>
      </c>
      <c r="VJ71" s="69">
        <f>SUM(VJ42:VJ70)</f>
        <v>0</v>
      </c>
      <c r="VK71" s="69">
        <f>SUM(VK42:VK70)</f>
        <v>0</v>
      </c>
      <c r="VL71" s="69">
        <f>SUM(VL42:VL70)</f>
        <v>0</v>
      </c>
      <c r="VM71" s="70">
        <f>VM70</f>
        <v>0</v>
      </c>
      <c r="VN71" s="71"/>
      <c r="VQ71" s="68" t="s">
        <v>72</v>
      </c>
      <c r="VR71" s="73">
        <f>SUM(VR42:VR70)</f>
        <v>0</v>
      </c>
      <c r="VS71" s="69">
        <f>SUM(VS42:VS70)</f>
        <v>0</v>
      </c>
      <c r="VT71" s="69">
        <f>SUM(VT42:VT70)</f>
        <v>0</v>
      </c>
      <c r="VU71" s="69">
        <f>SUM(VU42:VU70)</f>
        <v>0</v>
      </c>
      <c r="VV71" s="70">
        <f>VV70</f>
        <v>0</v>
      </c>
      <c r="VW71" s="71"/>
      <c r="VZ71" s="68" t="s">
        <v>72</v>
      </c>
      <c r="WA71" s="73">
        <f>SUM(WA42:WA70)</f>
        <v>0</v>
      </c>
      <c r="WB71" s="69">
        <f>SUM(WB42:WB70)</f>
        <v>0</v>
      </c>
      <c r="WC71" s="69">
        <f>SUM(WC42:WC70)</f>
        <v>0</v>
      </c>
      <c r="WD71" s="69">
        <f>SUM(WD42:WD70)</f>
        <v>0</v>
      </c>
      <c r="WE71" s="70">
        <f>WE70</f>
        <v>0</v>
      </c>
      <c r="WF71" s="71"/>
      <c r="WI71" s="68" t="s">
        <v>72</v>
      </c>
      <c r="WJ71" s="73">
        <f>SUM(WJ42:WJ70)</f>
        <v>0</v>
      </c>
      <c r="WK71" s="69">
        <f>SUM(WK42:WK70)</f>
        <v>0</v>
      </c>
      <c r="WL71" s="69">
        <f>SUM(WL42:WL70)</f>
        <v>2981</v>
      </c>
      <c r="WM71" s="69">
        <f>SUM(WM42:WM70)</f>
        <v>-2981</v>
      </c>
      <c r="WN71" s="70">
        <f>WN70</f>
        <v>6628</v>
      </c>
      <c r="WO71" s="71"/>
      <c r="WR71" s="68" t="s">
        <v>72</v>
      </c>
      <c r="WS71" s="73">
        <f>SUM(WS42:WS70)</f>
        <v>0</v>
      </c>
      <c r="WT71" s="69">
        <f>SUM(WT42:WT70)</f>
        <v>0</v>
      </c>
      <c r="WU71" s="69">
        <f>SUM(WU42:WU70)</f>
        <v>1590</v>
      </c>
      <c r="WV71" s="69">
        <f>SUM(WV42:WV70)</f>
        <v>-1590</v>
      </c>
      <c r="WW71" s="70">
        <f>WW70</f>
        <v>6559</v>
      </c>
      <c r="WX71" s="71"/>
      <c r="XA71" s="68" t="s">
        <v>72</v>
      </c>
      <c r="XB71" s="73">
        <f>SUM(XB42:XB70)</f>
        <v>0</v>
      </c>
      <c r="XC71" s="69">
        <f>SUM(XC42:XC70)</f>
        <v>0</v>
      </c>
      <c r="XD71" s="69">
        <f>SUM(XD42:XD70)</f>
        <v>321</v>
      </c>
      <c r="XE71" s="69">
        <f>SUM(XE42:XE70)</f>
        <v>-321</v>
      </c>
      <c r="XF71" s="70">
        <f>XF70</f>
        <v>590</v>
      </c>
      <c r="XG71" s="71"/>
      <c r="XJ71" s="68" t="s">
        <v>72</v>
      </c>
      <c r="XK71" s="73">
        <f>SUM(XK42:XK70)</f>
        <v>10000</v>
      </c>
      <c r="XL71" s="69">
        <f>SUM(XL42:XL70)</f>
        <v>0</v>
      </c>
      <c r="XM71" s="69">
        <f>SUM(XM42:XM70)</f>
        <v>12849</v>
      </c>
      <c r="XN71" s="69">
        <f>SUM(XN42:XN70)</f>
        <v>-12849</v>
      </c>
      <c r="XO71" s="70">
        <f>XO70</f>
        <v>3391</v>
      </c>
      <c r="XP71" s="71"/>
      <c r="XS71" s="68" t="s">
        <v>72</v>
      </c>
      <c r="XT71" s="73">
        <f>SUM(XT42:XT70)</f>
        <v>0</v>
      </c>
      <c r="XU71" s="69">
        <f>SUM(XU42:XU70)</f>
        <v>0</v>
      </c>
      <c r="XV71" s="69">
        <f>SUM(XV42:XV70)</f>
        <v>0</v>
      </c>
      <c r="XW71" s="69">
        <f>SUM(XW42:XW70)</f>
        <v>0</v>
      </c>
      <c r="XX71" s="70">
        <f>XX70</f>
        <v>1901</v>
      </c>
      <c r="XY71" s="71"/>
      <c r="YB71" s="68" t="s">
        <v>72</v>
      </c>
      <c r="YC71" s="73">
        <f>SUM(YC42:YC70)</f>
        <v>707</v>
      </c>
      <c r="YD71" s="69">
        <f>SUM(YD42:YD70)</f>
        <v>0</v>
      </c>
      <c r="YE71" s="69">
        <f>SUM(YE42:YE70)</f>
        <v>2592</v>
      </c>
      <c r="YF71" s="69">
        <f>SUM(YF42:YF70)</f>
        <v>-2592</v>
      </c>
      <c r="YG71" s="70">
        <f>YG70</f>
        <v>0</v>
      </c>
      <c r="YH71" s="71"/>
      <c r="YK71" s="68" t="s">
        <v>72</v>
      </c>
      <c r="YL71" s="73">
        <f>SUM(YL42:YL70)</f>
        <v>0</v>
      </c>
      <c r="YM71" s="69">
        <f>SUM(YM42:YM70)</f>
        <v>0</v>
      </c>
      <c r="YN71" s="69">
        <f>SUM(YN42:YN70)</f>
        <v>0</v>
      </c>
      <c r="YO71" s="69">
        <f>SUM(YO42:YO70)</f>
        <v>0</v>
      </c>
      <c r="YP71" s="70">
        <f>YP70</f>
        <v>0</v>
      </c>
      <c r="YQ71" s="71"/>
      <c r="YT71" s="68" t="s">
        <v>72</v>
      </c>
      <c r="YU71" s="73">
        <f>SUM(YU42:YU70)</f>
        <v>0</v>
      </c>
      <c r="YV71" s="69">
        <f>SUM(YV42:YV70)</f>
        <v>0</v>
      </c>
      <c r="YW71" s="69">
        <f>SUM(YW42:YW70)</f>
        <v>0</v>
      </c>
      <c r="YX71" s="69">
        <f>SUM(YX42:YX70)</f>
        <v>0</v>
      </c>
      <c r="YY71" s="70">
        <f>YY70</f>
        <v>0</v>
      </c>
      <c r="YZ71" s="71"/>
      <c r="ZC71" s="68" t="s">
        <v>72</v>
      </c>
      <c r="ZD71" s="73">
        <f>SUM(ZD42:ZD70)</f>
        <v>0</v>
      </c>
      <c r="ZE71" s="69">
        <f>SUM(ZE42:ZE70)</f>
        <v>0</v>
      </c>
      <c r="ZF71" s="69">
        <f>SUM(ZF42:ZF70)</f>
        <v>0</v>
      </c>
      <c r="ZG71" s="69">
        <f>SUM(ZG42:ZG70)</f>
        <v>0</v>
      </c>
      <c r="ZH71" s="70">
        <f>ZH70</f>
        <v>0</v>
      </c>
      <c r="ZI71" s="71"/>
      <c r="ZL71" s="68" t="s">
        <v>72</v>
      </c>
      <c r="ZM71" s="73">
        <f>SUM(ZM42:ZM70)</f>
        <v>0</v>
      </c>
      <c r="ZN71" s="69">
        <f>SUM(ZN42:ZN70)</f>
        <v>0</v>
      </c>
      <c r="ZO71" s="69">
        <f>SUM(ZO42:ZO70)</f>
        <v>0</v>
      </c>
      <c r="ZP71" s="69">
        <f>SUM(ZP42:ZP70)</f>
        <v>0</v>
      </c>
      <c r="ZQ71" s="70">
        <f>ZQ70</f>
        <v>0</v>
      </c>
      <c r="ZR71" s="71"/>
      <c r="ZU71" s="68" t="s">
        <v>72</v>
      </c>
      <c r="ZV71" s="73">
        <f>SUM(ZV42:ZV70)</f>
        <v>0</v>
      </c>
      <c r="ZW71" s="69">
        <f>SUM(ZW42:ZW70)</f>
        <v>0</v>
      </c>
      <c r="ZX71" s="69">
        <f>SUM(ZX42:ZX70)</f>
        <v>0</v>
      </c>
      <c r="ZY71" s="69">
        <f>SUM(ZY42:ZY70)</f>
        <v>0</v>
      </c>
      <c r="ZZ71" s="70">
        <f>ZZ70</f>
        <v>0</v>
      </c>
      <c r="AAA71" s="71"/>
      <c r="AAD71" s="68" t="s">
        <v>72</v>
      </c>
      <c r="AAE71" s="73">
        <f>SUM(AAE42:AAE70)</f>
        <v>0</v>
      </c>
      <c r="AAF71" s="69">
        <f>SUM(AAF42:AAF70)</f>
        <v>0</v>
      </c>
      <c r="AAG71" s="69">
        <f>SUM(AAG42:AAG70)</f>
        <v>0</v>
      </c>
      <c r="AAH71" s="69">
        <f>SUM(AAH42:AAH70)</f>
        <v>0</v>
      </c>
      <c r="AAI71" s="70">
        <f>AAI70</f>
        <v>0</v>
      </c>
      <c r="AAJ71" s="71"/>
      <c r="AAM71" s="68" t="s">
        <v>72</v>
      </c>
      <c r="AAN71" s="73">
        <f>SUM(AAN42:AAN70)</f>
        <v>0</v>
      </c>
      <c r="AAO71" s="69">
        <f>SUM(AAO42:AAO70)</f>
        <v>0</v>
      </c>
      <c r="AAP71" s="69">
        <f>SUM(AAP42:AAP70)</f>
        <v>0</v>
      </c>
      <c r="AAQ71" s="69">
        <f>SUM(AAQ42:AAQ70)</f>
        <v>0</v>
      </c>
      <c r="AAR71" s="70">
        <f>AAR70</f>
        <v>0</v>
      </c>
      <c r="AAS71" s="71"/>
      <c r="AAV71" s="68" t="s">
        <v>72</v>
      </c>
      <c r="AAW71" s="73">
        <f>SUM(AAW42:AAW70)</f>
        <v>0</v>
      </c>
      <c r="AAX71" s="69">
        <f>SUM(AAX42:AAX70)</f>
        <v>0</v>
      </c>
      <c r="AAY71" s="69">
        <f>SUM(AAY42:AAY70)</f>
        <v>0</v>
      </c>
      <c r="AAZ71" s="69">
        <f>SUM(AAZ42:AAZ70)</f>
        <v>0</v>
      </c>
      <c r="ABA71" s="70">
        <f>ABA70</f>
        <v>0</v>
      </c>
      <c r="ABB71" s="71"/>
      <c r="ABE71" s="68" t="s">
        <v>72</v>
      </c>
      <c r="ABF71" s="73">
        <f>SUM(ABF42:ABF70)</f>
        <v>0</v>
      </c>
      <c r="ABG71" s="69">
        <f>SUM(ABG42:ABG70)</f>
        <v>0</v>
      </c>
      <c r="ABH71" s="69">
        <f>SUM(ABH42:ABH70)</f>
        <v>0</v>
      </c>
      <c r="ABI71" s="69">
        <f>SUM(ABI42:ABI70)</f>
        <v>0</v>
      </c>
      <c r="ABJ71" s="70">
        <f>ABJ70</f>
        <v>0</v>
      </c>
      <c r="ABK71" s="71"/>
    </row>
    <row r="72" spans="1:739" ht="14.45" thickBot="1">
      <c r="C72" s="75"/>
      <c r="L72" s="75"/>
      <c r="U72" s="75"/>
      <c r="AD72" s="75"/>
      <c r="AM72" s="75"/>
      <c r="AV72" s="75"/>
      <c r="BE72" s="75"/>
      <c r="BN72" s="75"/>
      <c r="BW72" s="75"/>
      <c r="CF72" s="75"/>
      <c r="CO72" s="75"/>
      <c r="CX72" s="75"/>
      <c r="DG72" s="75"/>
      <c r="DP72" s="75"/>
      <c r="DY72" s="75"/>
      <c r="EH72" s="75"/>
      <c r="EQ72" s="75"/>
      <c r="EZ72" s="75"/>
      <c r="FI72" s="75"/>
      <c r="FR72" s="75"/>
      <c r="GA72" s="75"/>
      <c r="GJ72" s="75"/>
      <c r="GS72" s="75"/>
      <c r="HB72" s="75"/>
      <c r="HK72" s="75"/>
      <c r="HU72" s="75"/>
      <c r="ID72" s="75"/>
      <c r="IM72" s="75"/>
      <c r="IV72" s="75"/>
      <c r="JE72" s="75"/>
      <c r="JN72" s="75"/>
      <c r="JW72" s="75"/>
      <c r="KF72" s="75"/>
      <c r="KO72" s="75"/>
      <c r="KX72" s="75"/>
      <c r="LG72" s="75"/>
      <c r="LP72" s="75"/>
      <c r="LY72" s="75"/>
      <c r="MH72" s="75"/>
      <c r="MQ72" s="75"/>
      <c r="MZ72" s="75"/>
      <c r="NI72" s="75"/>
      <c r="NR72" s="75"/>
      <c r="OA72" s="75"/>
      <c r="OJ72" s="75"/>
      <c r="OS72" s="75"/>
      <c r="PB72" s="75"/>
      <c r="PK72" s="75"/>
      <c r="PT72" s="75"/>
      <c r="QC72" s="75"/>
      <c r="QL72" s="75"/>
      <c r="QU72" s="75"/>
      <c r="QX72" s="67"/>
      <c r="RD72" s="75"/>
      <c r="RG72" s="67"/>
      <c r="RM72" s="75"/>
      <c r="RP72" s="67"/>
      <c r="RV72" s="75"/>
      <c r="RY72" s="67"/>
      <c r="SE72" s="75"/>
      <c r="SH72" s="67"/>
      <c r="SN72" s="75"/>
      <c r="SQ72" s="67"/>
      <c r="SW72" s="75"/>
      <c r="SZ72" s="67"/>
      <c r="TF72" s="75"/>
      <c r="TI72" s="67"/>
      <c r="TO72" s="75"/>
      <c r="TR72" s="67"/>
      <c r="TX72" s="75"/>
      <c r="UA72" s="67"/>
      <c r="UG72" s="75"/>
      <c r="UJ72" s="67"/>
      <c r="UP72" s="75"/>
      <c r="US72" s="67"/>
      <c r="UY72" s="75"/>
      <c r="VB72" s="67"/>
      <c r="VH72" s="75"/>
      <c r="VK72" s="67"/>
      <c r="VQ72" s="75"/>
      <c r="VT72" s="67"/>
      <c r="VZ72" s="75"/>
      <c r="WC72" s="67"/>
      <c r="WI72" s="75"/>
      <c r="WL72" s="67"/>
      <c r="WR72" s="75"/>
      <c r="WU72" s="67"/>
      <c r="XA72" s="75"/>
      <c r="XD72" s="67"/>
      <c r="XJ72" s="75"/>
      <c r="XM72" s="67"/>
      <c r="XS72" s="75"/>
      <c r="XV72" s="67"/>
      <c r="YB72" s="75"/>
      <c r="YE72" s="67"/>
      <c r="YK72" s="75"/>
      <c r="YN72" s="67"/>
      <c r="YT72" s="75"/>
      <c r="YW72" s="67"/>
      <c r="ZC72" s="75"/>
      <c r="ZF72" s="67"/>
      <c r="ZL72" s="75"/>
      <c r="ZO72" s="67"/>
      <c r="ZU72" s="75"/>
      <c r="ZX72" s="67"/>
      <c r="AAD72" s="75"/>
      <c r="AAG72" s="67"/>
      <c r="AAM72" s="75"/>
      <c r="AAP72" s="67"/>
      <c r="AAV72" s="75"/>
      <c r="AAY72" s="67"/>
      <c r="ABE72" s="75"/>
      <c r="ABH72" s="67"/>
    </row>
    <row r="73" spans="1:739" ht="14.45" thickBot="1">
      <c r="A73" s="22" t="s">
        <v>214</v>
      </c>
      <c r="C73" s="569" t="s">
        <v>142</v>
      </c>
      <c r="D73" s="570"/>
      <c r="E73" s="570"/>
      <c r="F73" s="570"/>
      <c r="G73" s="570"/>
      <c r="H73" s="571"/>
      <c r="I73" s="321"/>
      <c r="J73" s="22" t="s">
        <v>214</v>
      </c>
      <c r="L73" s="569" t="s">
        <v>142</v>
      </c>
      <c r="M73" s="570"/>
      <c r="N73" s="570"/>
      <c r="O73" s="570"/>
      <c r="P73" s="570"/>
      <c r="Q73" s="571"/>
      <c r="R73" s="24"/>
      <c r="S73" s="22" t="s">
        <v>214</v>
      </c>
      <c r="U73" s="569" t="s">
        <v>142</v>
      </c>
      <c r="V73" s="570"/>
      <c r="W73" s="570"/>
      <c r="X73" s="570"/>
      <c r="Y73" s="570"/>
      <c r="Z73" s="571"/>
      <c r="AA73" s="24"/>
      <c r="AB73" s="22" t="s">
        <v>214</v>
      </c>
      <c r="AD73" s="569" t="s">
        <v>142</v>
      </c>
      <c r="AE73" s="570"/>
      <c r="AF73" s="570"/>
      <c r="AG73" s="570"/>
      <c r="AH73" s="570"/>
      <c r="AI73" s="571"/>
      <c r="AJ73" s="24"/>
      <c r="AK73" s="22" t="s">
        <v>214</v>
      </c>
      <c r="AM73" s="569" t="s">
        <v>142</v>
      </c>
      <c r="AN73" s="570"/>
      <c r="AO73" s="570"/>
      <c r="AP73" s="570"/>
      <c r="AQ73" s="570"/>
      <c r="AR73" s="571"/>
      <c r="AS73" s="24"/>
      <c r="AT73" s="22" t="s">
        <v>214</v>
      </c>
      <c r="AV73" s="569" t="s">
        <v>142</v>
      </c>
      <c r="AW73" s="570"/>
      <c r="AX73" s="570"/>
      <c r="AY73" s="570"/>
      <c r="AZ73" s="570"/>
      <c r="BA73" s="571"/>
      <c r="BB73" s="24"/>
      <c r="BC73" s="22" t="s">
        <v>214</v>
      </c>
      <c r="BE73" s="569" t="s">
        <v>142</v>
      </c>
      <c r="BF73" s="570"/>
      <c r="BG73" s="570"/>
      <c r="BH73" s="570"/>
      <c r="BI73" s="570"/>
      <c r="BJ73" s="571"/>
      <c r="BK73" s="24"/>
      <c r="BL73" s="22" t="s">
        <v>214</v>
      </c>
      <c r="BN73" s="569" t="s">
        <v>142</v>
      </c>
      <c r="BO73" s="570"/>
      <c r="BP73" s="570"/>
      <c r="BQ73" s="570"/>
      <c r="BR73" s="570"/>
      <c r="BS73" s="571"/>
      <c r="BT73" s="24"/>
      <c r="BU73" s="22" t="s">
        <v>214</v>
      </c>
      <c r="BW73" s="569" t="s">
        <v>142</v>
      </c>
      <c r="BX73" s="570"/>
      <c r="BY73" s="570"/>
      <c r="BZ73" s="570"/>
      <c r="CA73" s="570"/>
      <c r="CB73" s="571"/>
      <c r="CC73" s="24"/>
      <c r="CD73" s="22" t="s">
        <v>214</v>
      </c>
      <c r="CF73" s="569" t="s">
        <v>142</v>
      </c>
      <c r="CG73" s="570"/>
      <c r="CH73" s="570"/>
      <c r="CI73" s="570"/>
      <c r="CJ73" s="570"/>
      <c r="CK73" s="571"/>
      <c r="CL73" s="24"/>
      <c r="CM73" s="22" t="s">
        <v>214</v>
      </c>
      <c r="CO73" s="569" t="s">
        <v>142</v>
      </c>
      <c r="CP73" s="570"/>
      <c r="CQ73" s="570"/>
      <c r="CR73" s="570"/>
      <c r="CS73" s="570"/>
      <c r="CT73" s="571"/>
      <c r="CU73" s="24"/>
      <c r="CV73" s="22" t="s">
        <v>214</v>
      </c>
      <c r="CX73" s="569" t="s">
        <v>142</v>
      </c>
      <c r="CY73" s="570"/>
      <c r="CZ73" s="570"/>
      <c r="DA73" s="570"/>
      <c r="DB73" s="570"/>
      <c r="DC73" s="571"/>
      <c r="DD73" s="24"/>
      <c r="DE73" s="22" t="s">
        <v>214</v>
      </c>
      <c r="DG73" s="569" t="s">
        <v>142</v>
      </c>
      <c r="DH73" s="570"/>
      <c r="DI73" s="570"/>
      <c r="DJ73" s="570"/>
      <c r="DK73" s="570"/>
      <c r="DL73" s="571"/>
      <c r="DM73" s="24"/>
      <c r="DN73" s="22" t="s">
        <v>214</v>
      </c>
      <c r="DP73" s="569" t="s">
        <v>142</v>
      </c>
      <c r="DQ73" s="570"/>
      <c r="DR73" s="570"/>
      <c r="DS73" s="570"/>
      <c r="DT73" s="570"/>
      <c r="DU73" s="571"/>
      <c r="DV73" s="24"/>
      <c r="DW73" s="22" t="s">
        <v>214</v>
      </c>
      <c r="DY73" s="569" t="s">
        <v>142</v>
      </c>
      <c r="DZ73" s="570"/>
      <c r="EA73" s="570"/>
      <c r="EB73" s="570"/>
      <c r="EC73" s="570"/>
      <c r="ED73" s="571"/>
      <c r="EE73" s="24"/>
      <c r="EF73" s="22" t="s">
        <v>214</v>
      </c>
      <c r="EH73" s="569" t="s">
        <v>142</v>
      </c>
      <c r="EI73" s="570"/>
      <c r="EJ73" s="570"/>
      <c r="EK73" s="570"/>
      <c r="EL73" s="570"/>
      <c r="EM73" s="571"/>
      <c r="EN73" s="24"/>
      <c r="EO73" s="22" t="s">
        <v>214</v>
      </c>
      <c r="EQ73" s="569" t="s">
        <v>142</v>
      </c>
      <c r="ER73" s="570"/>
      <c r="ES73" s="570"/>
      <c r="ET73" s="570"/>
      <c r="EU73" s="570"/>
      <c r="EV73" s="571"/>
      <c r="EW73" s="24"/>
      <c r="EX73" s="22" t="s">
        <v>214</v>
      </c>
      <c r="EZ73" s="569" t="s">
        <v>142</v>
      </c>
      <c r="FA73" s="570"/>
      <c r="FB73" s="570"/>
      <c r="FC73" s="570"/>
      <c r="FD73" s="570"/>
      <c r="FE73" s="571"/>
      <c r="FF73" s="24"/>
      <c r="FG73" s="22" t="s">
        <v>214</v>
      </c>
      <c r="FI73" s="569" t="s">
        <v>142</v>
      </c>
      <c r="FJ73" s="570"/>
      <c r="FK73" s="570"/>
      <c r="FL73" s="570"/>
      <c r="FM73" s="570"/>
      <c r="FN73" s="571"/>
      <c r="FO73" s="24"/>
      <c r="FP73" s="22" t="s">
        <v>214</v>
      </c>
      <c r="FR73" s="569" t="s">
        <v>142</v>
      </c>
      <c r="FS73" s="570"/>
      <c r="FT73" s="570"/>
      <c r="FU73" s="570"/>
      <c r="FV73" s="570"/>
      <c r="FW73" s="571"/>
      <c r="FX73" s="24"/>
      <c r="FY73" s="22" t="s">
        <v>214</v>
      </c>
      <c r="GA73" s="569" t="s">
        <v>142</v>
      </c>
      <c r="GB73" s="570"/>
      <c r="GC73" s="570"/>
      <c r="GD73" s="570"/>
      <c r="GE73" s="570"/>
      <c r="GF73" s="571"/>
      <c r="GG73" s="24"/>
      <c r="GH73" s="22" t="s">
        <v>214</v>
      </c>
      <c r="GJ73" s="569" t="s">
        <v>142</v>
      </c>
      <c r="GK73" s="570"/>
      <c r="GL73" s="570"/>
      <c r="GM73" s="570"/>
      <c r="GN73" s="570"/>
      <c r="GO73" s="571"/>
      <c r="GP73" s="24"/>
      <c r="GQ73" s="22" t="s">
        <v>214</v>
      </c>
      <c r="GS73" s="569" t="s">
        <v>142</v>
      </c>
      <c r="GT73" s="570"/>
      <c r="GU73" s="570"/>
      <c r="GV73" s="570"/>
      <c r="GW73" s="570"/>
      <c r="GX73" s="571"/>
      <c r="GY73" s="24"/>
      <c r="GZ73" s="22" t="s">
        <v>214</v>
      </c>
      <c r="HB73" s="569" t="s">
        <v>142</v>
      </c>
      <c r="HC73" s="570"/>
      <c r="HD73" s="570"/>
      <c r="HE73" s="570"/>
      <c r="HF73" s="570"/>
      <c r="HG73" s="571"/>
      <c r="HH73" s="24"/>
      <c r="HI73" s="22" t="s">
        <v>214</v>
      </c>
      <c r="HK73" s="569" t="s">
        <v>142</v>
      </c>
      <c r="HL73" s="570"/>
      <c r="HM73" s="570"/>
      <c r="HN73" s="570"/>
      <c r="HO73" s="570"/>
      <c r="HP73" s="571"/>
      <c r="HQ73" s="24"/>
      <c r="HS73" s="22" t="s">
        <v>214</v>
      </c>
      <c r="HU73" s="569" t="s">
        <v>142</v>
      </c>
      <c r="HV73" s="570"/>
      <c r="HW73" s="570"/>
      <c r="HX73" s="570"/>
      <c r="HY73" s="570"/>
      <c r="HZ73" s="571"/>
      <c r="IA73" s="24"/>
      <c r="IB73" s="22" t="s">
        <v>214</v>
      </c>
      <c r="ID73" s="569" t="s">
        <v>142</v>
      </c>
      <c r="IE73" s="570"/>
      <c r="IF73" s="570"/>
      <c r="IG73" s="570"/>
      <c r="IH73" s="570"/>
      <c r="II73" s="571"/>
      <c r="IJ73" s="24"/>
      <c r="IK73" s="22" t="s">
        <v>214</v>
      </c>
      <c r="IM73" s="569" t="s">
        <v>142</v>
      </c>
      <c r="IN73" s="570"/>
      <c r="IO73" s="570"/>
      <c r="IP73" s="570"/>
      <c r="IQ73" s="570"/>
      <c r="IR73" s="571"/>
      <c r="IS73" s="24"/>
      <c r="IT73" s="22" t="s">
        <v>214</v>
      </c>
      <c r="IV73" s="569" t="s">
        <v>142</v>
      </c>
      <c r="IW73" s="570"/>
      <c r="IX73" s="570"/>
      <c r="IY73" s="570"/>
      <c r="IZ73" s="570"/>
      <c r="JA73" s="571"/>
      <c r="JB73" s="24"/>
      <c r="JC73" s="22" t="s">
        <v>214</v>
      </c>
      <c r="JE73" s="569" t="s">
        <v>142</v>
      </c>
      <c r="JF73" s="570"/>
      <c r="JG73" s="570"/>
      <c r="JH73" s="570"/>
      <c r="JI73" s="570"/>
      <c r="JJ73" s="571"/>
      <c r="JK73" s="24"/>
      <c r="JL73" s="22" t="s">
        <v>214</v>
      </c>
      <c r="JN73" s="569" t="s">
        <v>142</v>
      </c>
      <c r="JO73" s="570"/>
      <c r="JP73" s="570"/>
      <c r="JQ73" s="570"/>
      <c r="JR73" s="570"/>
      <c r="JS73" s="571"/>
      <c r="JT73" s="24"/>
      <c r="JU73" s="22" t="s">
        <v>214</v>
      </c>
      <c r="JW73" s="569" t="s">
        <v>142</v>
      </c>
      <c r="JX73" s="570"/>
      <c r="JY73" s="570"/>
      <c r="JZ73" s="570"/>
      <c r="KA73" s="570"/>
      <c r="KB73" s="571"/>
      <c r="KC73" s="24"/>
      <c r="KD73" s="22" t="s">
        <v>214</v>
      </c>
      <c r="KF73" s="569" t="s">
        <v>142</v>
      </c>
      <c r="KG73" s="570"/>
      <c r="KH73" s="570"/>
      <c r="KI73" s="570"/>
      <c r="KJ73" s="570"/>
      <c r="KK73" s="571"/>
      <c r="KL73" s="24"/>
      <c r="KM73" s="22" t="s">
        <v>214</v>
      </c>
      <c r="KO73" s="569" t="s">
        <v>142</v>
      </c>
      <c r="KP73" s="570"/>
      <c r="KQ73" s="570"/>
      <c r="KR73" s="570"/>
      <c r="KS73" s="570"/>
      <c r="KT73" s="571"/>
      <c r="KU73" s="24"/>
      <c r="KV73" s="22" t="s">
        <v>214</v>
      </c>
      <c r="KX73" s="569" t="s">
        <v>142</v>
      </c>
      <c r="KY73" s="570"/>
      <c r="KZ73" s="570"/>
      <c r="LA73" s="570"/>
      <c r="LB73" s="570"/>
      <c r="LC73" s="571"/>
      <c r="LD73" s="24"/>
      <c r="LE73" s="22" t="s">
        <v>214</v>
      </c>
      <c r="LG73" s="569" t="s">
        <v>142</v>
      </c>
      <c r="LH73" s="570"/>
      <c r="LI73" s="570"/>
      <c r="LJ73" s="570"/>
      <c r="LK73" s="570"/>
      <c r="LL73" s="571"/>
      <c r="LM73" s="24"/>
      <c r="LN73" s="22" t="s">
        <v>214</v>
      </c>
      <c r="LP73" s="569" t="s">
        <v>142</v>
      </c>
      <c r="LQ73" s="570"/>
      <c r="LR73" s="570"/>
      <c r="LS73" s="570"/>
      <c r="LT73" s="570"/>
      <c r="LU73" s="571"/>
      <c r="LV73" s="24"/>
      <c r="LW73" s="22" t="s">
        <v>214</v>
      </c>
      <c r="LY73" s="569" t="s">
        <v>142</v>
      </c>
      <c r="LZ73" s="570"/>
      <c r="MA73" s="570"/>
      <c r="MB73" s="570"/>
      <c r="MC73" s="570"/>
      <c r="MD73" s="571"/>
      <c r="ME73" s="24"/>
      <c r="MF73" s="22" t="s">
        <v>214</v>
      </c>
      <c r="MH73" s="569" t="s">
        <v>142</v>
      </c>
      <c r="MI73" s="570"/>
      <c r="MJ73" s="570"/>
      <c r="MK73" s="570"/>
      <c r="ML73" s="570"/>
      <c r="MM73" s="571"/>
      <c r="MN73" s="24"/>
      <c r="MO73" s="22" t="s">
        <v>214</v>
      </c>
      <c r="MQ73" s="569" t="s">
        <v>142</v>
      </c>
      <c r="MR73" s="570"/>
      <c r="MS73" s="570"/>
      <c r="MT73" s="570"/>
      <c r="MU73" s="570"/>
      <c r="MV73" s="571"/>
      <c r="MW73" s="24"/>
      <c r="MX73" s="22" t="s">
        <v>214</v>
      </c>
      <c r="MZ73" s="569" t="s">
        <v>142</v>
      </c>
      <c r="NA73" s="570"/>
      <c r="NB73" s="570"/>
      <c r="NC73" s="570"/>
      <c r="ND73" s="570"/>
      <c r="NE73" s="571"/>
      <c r="NF73" s="24"/>
      <c r="NG73" s="22" t="s">
        <v>214</v>
      </c>
      <c r="NI73" s="569" t="s">
        <v>142</v>
      </c>
      <c r="NJ73" s="570"/>
      <c r="NK73" s="570"/>
      <c r="NL73" s="570"/>
      <c r="NM73" s="570"/>
      <c r="NN73" s="571"/>
      <c r="NO73" s="24"/>
      <c r="NP73" s="22" t="s">
        <v>214</v>
      </c>
      <c r="NR73" s="569" t="s">
        <v>142</v>
      </c>
      <c r="NS73" s="570"/>
      <c r="NT73" s="570"/>
      <c r="NU73" s="570"/>
      <c r="NV73" s="570"/>
      <c r="NW73" s="571"/>
      <c r="NX73" s="24"/>
      <c r="NY73" s="22" t="s">
        <v>214</v>
      </c>
      <c r="OA73" s="589" t="s">
        <v>142</v>
      </c>
      <c r="OB73" s="590"/>
      <c r="OC73" s="590"/>
      <c r="OD73" s="590"/>
      <c r="OE73" s="590"/>
      <c r="OF73" s="591"/>
      <c r="OG73" s="24"/>
      <c r="OH73" s="22" t="s">
        <v>214</v>
      </c>
      <c r="OJ73" s="589" t="s">
        <v>142</v>
      </c>
      <c r="OK73" s="590"/>
      <c r="OL73" s="590"/>
      <c r="OM73" s="590"/>
      <c r="ON73" s="590"/>
      <c r="OO73" s="591"/>
      <c r="OP73" s="24"/>
      <c r="OQ73" s="22" t="s">
        <v>214</v>
      </c>
      <c r="OS73" s="589" t="s">
        <v>142</v>
      </c>
      <c r="OT73" s="590"/>
      <c r="OU73" s="590"/>
      <c r="OV73" s="590"/>
      <c r="OW73" s="590"/>
      <c r="OX73" s="591"/>
      <c r="OY73" s="24"/>
      <c r="OZ73" s="22" t="s">
        <v>214</v>
      </c>
      <c r="PB73" s="569" t="s">
        <v>142</v>
      </c>
      <c r="PC73" s="570"/>
      <c r="PD73" s="570"/>
      <c r="PE73" s="570"/>
      <c r="PF73" s="570"/>
      <c r="PG73" s="571"/>
      <c r="PH73" s="24"/>
      <c r="PI73" s="22" t="s">
        <v>214</v>
      </c>
      <c r="PK73" s="569" t="s">
        <v>142</v>
      </c>
      <c r="PL73" s="570"/>
      <c r="PM73" s="570"/>
      <c r="PN73" s="570"/>
      <c r="PO73" s="570"/>
      <c r="PP73" s="571"/>
      <c r="PQ73" s="24"/>
      <c r="PR73" s="22" t="s">
        <v>214</v>
      </c>
      <c r="PT73" s="569" t="s">
        <v>142</v>
      </c>
      <c r="PU73" s="570"/>
      <c r="PV73" s="570"/>
      <c r="PW73" s="570"/>
      <c r="PX73" s="570"/>
      <c r="PY73" s="571"/>
      <c r="PZ73" s="24"/>
      <c r="QA73" s="22" t="s">
        <v>214</v>
      </c>
      <c r="QC73" s="569" t="s">
        <v>142</v>
      </c>
      <c r="QD73" s="570"/>
      <c r="QE73" s="570"/>
      <c r="QF73" s="570"/>
      <c r="QG73" s="570"/>
      <c r="QH73" s="571"/>
      <c r="QI73" s="24"/>
      <c r="QJ73" s="22" t="s">
        <v>214</v>
      </c>
      <c r="QL73" s="569" t="s">
        <v>142</v>
      </c>
      <c r="QM73" s="570"/>
      <c r="QN73" s="570"/>
      <c r="QO73" s="570"/>
      <c r="QP73" s="570"/>
      <c r="QQ73" s="571"/>
      <c r="QR73" s="24"/>
      <c r="QS73" s="22" t="s">
        <v>214</v>
      </c>
      <c r="QU73" s="569" t="s">
        <v>142</v>
      </c>
      <c r="QV73" s="570"/>
      <c r="QW73" s="570"/>
      <c r="QX73" s="570"/>
      <c r="QY73" s="570"/>
      <c r="QZ73" s="571"/>
      <c r="RA73" s="24"/>
      <c r="RB73" s="22" t="s">
        <v>214</v>
      </c>
      <c r="RD73" s="569" t="s">
        <v>142</v>
      </c>
      <c r="RE73" s="570"/>
      <c r="RF73" s="570"/>
      <c r="RG73" s="570"/>
      <c r="RH73" s="570"/>
      <c r="RI73" s="571"/>
      <c r="RJ73" s="24"/>
      <c r="RK73" s="22" t="s">
        <v>214</v>
      </c>
      <c r="RM73" s="569" t="s">
        <v>142</v>
      </c>
      <c r="RN73" s="570"/>
      <c r="RO73" s="570"/>
      <c r="RP73" s="570"/>
      <c r="RQ73" s="570"/>
      <c r="RR73" s="571"/>
      <c r="RS73" s="24"/>
      <c r="RT73" s="22" t="s">
        <v>214</v>
      </c>
      <c r="RV73" s="569" t="s">
        <v>142</v>
      </c>
      <c r="RW73" s="570"/>
      <c r="RX73" s="570"/>
      <c r="RY73" s="570"/>
      <c r="RZ73" s="570"/>
      <c r="SA73" s="571"/>
      <c r="SB73" s="24"/>
      <c r="SC73" s="22" t="s">
        <v>214</v>
      </c>
      <c r="SE73" s="569" t="s">
        <v>142</v>
      </c>
      <c r="SF73" s="570"/>
      <c r="SG73" s="570"/>
      <c r="SH73" s="570"/>
      <c r="SI73" s="570"/>
      <c r="SJ73" s="571"/>
      <c r="SK73" s="24"/>
      <c r="SL73" s="22" t="s">
        <v>214</v>
      </c>
      <c r="SN73" s="569" t="s">
        <v>142</v>
      </c>
      <c r="SO73" s="570"/>
      <c r="SP73" s="570"/>
      <c r="SQ73" s="570"/>
      <c r="SR73" s="570"/>
      <c r="SS73" s="571"/>
      <c r="ST73" s="24"/>
      <c r="SU73" s="22" t="s">
        <v>214</v>
      </c>
      <c r="SW73" s="569" t="s">
        <v>142</v>
      </c>
      <c r="SX73" s="570"/>
      <c r="SY73" s="570"/>
      <c r="SZ73" s="570"/>
      <c r="TA73" s="570"/>
      <c r="TB73" s="571"/>
      <c r="TC73" s="24"/>
      <c r="TD73" s="22" t="s">
        <v>214</v>
      </c>
      <c r="TF73" s="569" t="s">
        <v>142</v>
      </c>
      <c r="TG73" s="570"/>
      <c r="TH73" s="570"/>
      <c r="TI73" s="570"/>
      <c r="TJ73" s="570"/>
      <c r="TK73" s="571"/>
      <c r="TL73" s="24"/>
      <c r="TM73" s="22" t="s">
        <v>214</v>
      </c>
      <c r="TO73" s="569" t="s">
        <v>142</v>
      </c>
      <c r="TP73" s="570"/>
      <c r="TQ73" s="570"/>
      <c r="TR73" s="570"/>
      <c r="TS73" s="570"/>
      <c r="TT73" s="571"/>
      <c r="TU73" s="24"/>
      <c r="TV73" s="22" t="s">
        <v>214</v>
      </c>
      <c r="TX73" s="569" t="s">
        <v>142</v>
      </c>
      <c r="TY73" s="570"/>
      <c r="TZ73" s="570"/>
      <c r="UA73" s="570"/>
      <c r="UB73" s="570"/>
      <c r="UC73" s="571"/>
      <c r="UD73" s="24"/>
      <c r="UE73" s="22" t="s">
        <v>214</v>
      </c>
      <c r="UG73" s="569" t="s">
        <v>142</v>
      </c>
      <c r="UH73" s="570"/>
      <c r="UI73" s="570"/>
      <c r="UJ73" s="570"/>
      <c r="UK73" s="570"/>
      <c r="UL73" s="571"/>
      <c r="UM73" s="24"/>
      <c r="UN73" s="22" t="s">
        <v>214</v>
      </c>
      <c r="UP73" s="569" t="s">
        <v>142</v>
      </c>
      <c r="UQ73" s="570"/>
      <c r="UR73" s="570"/>
      <c r="US73" s="570"/>
      <c r="UT73" s="570"/>
      <c r="UU73" s="571"/>
      <c r="UV73" s="24"/>
      <c r="UW73" s="22" t="s">
        <v>214</v>
      </c>
      <c r="UY73" s="569" t="s">
        <v>142</v>
      </c>
      <c r="UZ73" s="570"/>
      <c r="VA73" s="570"/>
      <c r="VB73" s="570"/>
      <c r="VC73" s="570"/>
      <c r="VD73" s="571"/>
      <c r="VE73" s="24"/>
      <c r="VF73" s="22" t="s">
        <v>214</v>
      </c>
      <c r="VH73" s="569" t="s">
        <v>142</v>
      </c>
      <c r="VI73" s="570"/>
      <c r="VJ73" s="570"/>
      <c r="VK73" s="570"/>
      <c r="VL73" s="570"/>
      <c r="VM73" s="571"/>
      <c r="VN73" s="24"/>
      <c r="VO73" s="22" t="s">
        <v>214</v>
      </c>
      <c r="VQ73" s="569" t="s">
        <v>142</v>
      </c>
      <c r="VR73" s="570"/>
      <c r="VS73" s="570"/>
      <c r="VT73" s="570"/>
      <c r="VU73" s="570"/>
      <c r="VV73" s="571"/>
      <c r="VW73" s="24"/>
      <c r="VX73" s="22" t="s">
        <v>214</v>
      </c>
      <c r="VZ73" s="569" t="s">
        <v>142</v>
      </c>
      <c r="WA73" s="570"/>
      <c r="WB73" s="570"/>
      <c r="WC73" s="570"/>
      <c r="WD73" s="570"/>
      <c r="WE73" s="571"/>
      <c r="WF73" s="24"/>
      <c r="WG73" s="22" t="s">
        <v>214</v>
      </c>
      <c r="WI73" s="569" t="s">
        <v>142</v>
      </c>
      <c r="WJ73" s="570"/>
      <c r="WK73" s="570"/>
      <c r="WL73" s="570"/>
      <c r="WM73" s="570"/>
      <c r="WN73" s="571"/>
      <c r="WO73" s="24"/>
      <c r="WP73" s="22" t="s">
        <v>214</v>
      </c>
      <c r="WR73" s="569" t="s">
        <v>142</v>
      </c>
      <c r="WS73" s="570"/>
      <c r="WT73" s="570"/>
      <c r="WU73" s="570"/>
      <c r="WV73" s="570"/>
      <c r="WW73" s="571"/>
      <c r="WX73" s="24"/>
      <c r="WY73" s="22" t="s">
        <v>214</v>
      </c>
      <c r="XA73" s="569" t="s">
        <v>142</v>
      </c>
      <c r="XB73" s="570"/>
      <c r="XC73" s="570"/>
      <c r="XD73" s="570"/>
      <c r="XE73" s="570"/>
      <c r="XF73" s="571"/>
      <c r="XG73" s="24"/>
      <c r="XH73" s="22" t="s">
        <v>214</v>
      </c>
      <c r="XJ73" s="569" t="s">
        <v>142</v>
      </c>
      <c r="XK73" s="570"/>
      <c r="XL73" s="570"/>
      <c r="XM73" s="570"/>
      <c r="XN73" s="570"/>
      <c r="XO73" s="571"/>
      <c r="XP73" s="24"/>
      <c r="XQ73" s="22" t="s">
        <v>214</v>
      </c>
      <c r="XS73" s="569" t="s">
        <v>142</v>
      </c>
      <c r="XT73" s="570"/>
      <c r="XU73" s="570"/>
      <c r="XV73" s="570"/>
      <c r="XW73" s="570"/>
      <c r="XX73" s="571"/>
      <c r="XY73" s="24"/>
      <c r="XZ73" s="22" t="s">
        <v>214</v>
      </c>
      <c r="YB73" s="569" t="s">
        <v>142</v>
      </c>
      <c r="YC73" s="570"/>
      <c r="YD73" s="570"/>
      <c r="YE73" s="570"/>
      <c r="YF73" s="570"/>
      <c r="YG73" s="571"/>
      <c r="YH73" s="24"/>
      <c r="YI73" s="22" t="s">
        <v>214</v>
      </c>
      <c r="YK73" s="569" t="s">
        <v>142</v>
      </c>
      <c r="YL73" s="570"/>
      <c r="YM73" s="570"/>
      <c r="YN73" s="570"/>
      <c r="YO73" s="570"/>
      <c r="YP73" s="571"/>
      <c r="YQ73" s="24"/>
      <c r="YR73" s="22" t="s">
        <v>214</v>
      </c>
      <c r="YT73" s="569" t="s">
        <v>142</v>
      </c>
      <c r="YU73" s="570"/>
      <c r="YV73" s="570"/>
      <c r="YW73" s="570"/>
      <c r="YX73" s="570"/>
      <c r="YY73" s="571"/>
      <c r="YZ73" s="24"/>
      <c r="ZA73" s="22" t="s">
        <v>214</v>
      </c>
      <c r="ZC73" s="569" t="s">
        <v>142</v>
      </c>
      <c r="ZD73" s="570"/>
      <c r="ZE73" s="570"/>
      <c r="ZF73" s="570"/>
      <c r="ZG73" s="570"/>
      <c r="ZH73" s="571"/>
      <c r="ZI73" s="24"/>
      <c r="ZJ73" s="22" t="s">
        <v>214</v>
      </c>
      <c r="ZL73" s="569" t="s">
        <v>142</v>
      </c>
      <c r="ZM73" s="570"/>
      <c r="ZN73" s="570"/>
      <c r="ZO73" s="570"/>
      <c r="ZP73" s="570"/>
      <c r="ZQ73" s="571"/>
      <c r="ZR73" s="24"/>
      <c r="ZS73" s="22" t="s">
        <v>214</v>
      </c>
      <c r="ZU73" s="569" t="s">
        <v>142</v>
      </c>
      <c r="ZV73" s="570"/>
      <c r="ZW73" s="570"/>
      <c r="ZX73" s="570"/>
      <c r="ZY73" s="570"/>
      <c r="ZZ73" s="571"/>
      <c r="AAA73" s="24"/>
      <c r="AAB73" s="22" t="s">
        <v>214</v>
      </c>
      <c r="AAD73" s="569" t="s">
        <v>142</v>
      </c>
      <c r="AAE73" s="570"/>
      <c r="AAF73" s="570"/>
      <c r="AAG73" s="570"/>
      <c r="AAH73" s="570"/>
      <c r="AAI73" s="571"/>
      <c r="AAJ73" s="24"/>
      <c r="AAK73" s="22" t="s">
        <v>214</v>
      </c>
      <c r="AAM73" s="569" t="s">
        <v>142</v>
      </c>
      <c r="AAN73" s="570"/>
      <c r="AAO73" s="570"/>
      <c r="AAP73" s="570"/>
      <c r="AAQ73" s="570"/>
      <c r="AAR73" s="571"/>
      <c r="AAS73" s="24"/>
      <c r="AAT73" s="22" t="s">
        <v>214</v>
      </c>
      <c r="AAV73" s="569" t="s">
        <v>142</v>
      </c>
      <c r="AAW73" s="570"/>
      <c r="AAX73" s="570"/>
      <c r="AAY73" s="570"/>
      <c r="AAZ73" s="570"/>
      <c r="ABA73" s="571"/>
      <c r="ABB73" s="24"/>
      <c r="ABC73" s="22" t="s">
        <v>214</v>
      </c>
      <c r="ABE73" s="569" t="s">
        <v>142</v>
      </c>
      <c r="ABF73" s="570"/>
      <c r="ABG73" s="570"/>
      <c r="ABH73" s="570"/>
      <c r="ABI73" s="570"/>
      <c r="ABJ73" s="571"/>
      <c r="ABK73" s="24"/>
    </row>
    <row r="74" spans="1:739" ht="14.45" thickBot="1">
      <c r="C74" s="30" t="s">
        <v>164</v>
      </c>
      <c r="D74" s="77" t="s">
        <v>165</v>
      </c>
      <c r="E74" s="27" t="s">
        <v>166</v>
      </c>
      <c r="F74" s="26" t="s">
        <v>167</v>
      </c>
      <c r="G74" s="27" t="s">
        <v>168</v>
      </c>
      <c r="H74" s="28" t="s">
        <v>169</v>
      </c>
      <c r="I74" s="327" t="s">
        <v>170</v>
      </c>
      <c r="L74" s="30" t="s">
        <v>164</v>
      </c>
      <c r="M74" s="77" t="s">
        <v>165</v>
      </c>
      <c r="N74" s="31" t="s">
        <v>166</v>
      </c>
      <c r="O74" s="26" t="s">
        <v>167</v>
      </c>
      <c r="P74" s="31" t="s">
        <v>168</v>
      </c>
      <c r="Q74" s="83" t="s">
        <v>169</v>
      </c>
      <c r="R74" s="79" t="s">
        <v>170</v>
      </c>
      <c r="U74" s="30" t="s">
        <v>164</v>
      </c>
      <c r="V74" s="77" t="s">
        <v>165</v>
      </c>
      <c r="W74" s="33" t="s">
        <v>166</v>
      </c>
      <c r="X74" s="26" t="s">
        <v>167</v>
      </c>
      <c r="Y74" s="33" t="s">
        <v>168</v>
      </c>
      <c r="Z74" s="84" t="s">
        <v>169</v>
      </c>
      <c r="AA74" s="79" t="s">
        <v>170</v>
      </c>
      <c r="AD74" s="30" t="s">
        <v>164</v>
      </c>
      <c r="AE74" s="77" t="s">
        <v>165</v>
      </c>
      <c r="AF74" s="35" t="s">
        <v>166</v>
      </c>
      <c r="AG74" s="26" t="s">
        <v>167</v>
      </c>
      <c r="AH74" s="35" t="s">
        <v>168</v>
      </c>
      <c r="AI74" s="36" t="s">
        <v>169</v>
      </c>
      <c r="AJ74" s="79" t="s">
        <v>170</v>
      </c>
      <c r="AM74" s="30" t="s">
        <v>164</v>
      </c>
      <c r="AN74" s="77" t="s">
        <v>165</v>
      </c>
      <c r="AO74" s="37" t="s">
        <v>166</v>
      </c>
      <c r="AP74" s="26" t="s">
        <v>167</v>
      </c>
      <c r="AQ74" s="37" t="s">
        <v>168</v>
      </c>
      <c r="AR74" s="38" t="s">
        <v>169</v>
      </c>
      <c r="AS74" s="79" t="s">
        <v>170</v>
      </c>
      <c r="AV74" s="30" t="s">
        <v>164</v>
      </c>
      <c r="AW74" s="77" t="s">
        <v>165</v>
      </c>
      <c r="AX74" s="39" t="s">
        <v>166</v>
      </c>
      <c r="AY74" s="26" t="s">
        <v>167</v>
      </c>
      <c r="AZ74" s="39" t="s">
        <v>168</v>
      </c>
      <c r="BA74" s="40" t="s">
        <v>169</v>
      </c>
      <c r="BB74" s="79" t="s">
        <v>170</v>
      </c>
      <c r="BE74" s="30" t="s">
        <v>164</v>
      </c>
      <c r="BF74" s="77" t="s">
        <v>165</v>
      </c>
      <c r="BG74" s="41" t="s">
        <v>166</v>
      </c>
      <c r="BH74" s="26" t="s">
        <v>167</v>
      </c>
      <c r="BI74" s="41" t="s">
        <v>168</v>
      </c>
      <c r="BJ74" s="42" t="s">
        <v>169</v>
      </c>
      <c r="BK74" s="79" t="s">
        <v>170</v>
      </c>
      <c r="BN74" s="30" t="s">
        <v>164</v>
      </c>
      <c r="BO74" s="77" t="s">
        <v>165</v>
      </c>
      <c r="BP74" s="43" t="s">
        <v>166</v>
      </c>
      <c r="BQ74" s="26" t="s">
        <v>167</v>
      </c>
      <c r="BR74" s="43" t="s">
        <v>168</v>
      </c>
      <c r="BS74" s="44" t="s">
        <v>169</v>
      </c>
      <c r="BT74" s="79" t="s">
        <v>170</v>
      </c>
      <c r="BW74" s="30" t="s">
        <v>164</v>
      </c>
      <c r="BX74" s="77" t="s">
        <v>165</v>
      </c>
      <c r="BY74" s="45" t="s">
        <v>166</v>
      </c>
      <c r="BZ74" s="26" t="s">
        <v>167</v>
      </c>
      <c r="CA74" s="45" t="s">
        <v>168</v>
      </c>
      <c r="CB74" s="46" t="s">
        <v>169</v>
      </c>
      <c r="CC74" s="79" t="s">
        <v>170</v>
      </c>
      <c r="CF74" s="30" t="s">
        <v>164</v>
      </c>
      <c r="CG74" s="77" t="s">
        <v>165</v>
      </c>
      <c r="CH74" s="47" t="s">
        <v>166</v>
      </c>
      <c r="CI74" s="26" t="s">
        <v>167</v>
      </c>
      <c r="CJ74" s="47" t="s">
        <v>168</v>
      </c>
      <c r="CK74" s="48" t="s">
        <v>169</v>
      </c>
      <c r="CL74" s="79" t="s">
        <v>170</v>
      </c>
      <c r="CO74" s="30" t="s">
        <v>164</v>
      </c>
      <c r="CP74" s="77" t="s">
        <v>165</v>
      </c>
      <c r="CQ74" s="129" t="s">
        <v>166</v>
      </c>
      <c r="CR74" s="26" t="s">
        <v>167</v>
      </c>
      <c r="CS74" s="129" t="s">
        <v>168</v>
      </c>
      <c r="CT74" s="130" t="s">
        <v>169</v>
      </c>
      <c r="CU74" s="79" t="s">
        <v>170</v>
      </c>
      <c r="CX74" s="30" t="s">
        <v>164</v>
      </c>
      <c r="CY74" s="77" t="s">
        <v>165</v>
      </c>
      <c r="CZ74" s="132" t="s">
        <v>166</v>
      </c>
      <c r="DA74" s="26" t="s">
        <v>167</v>
      </c>
      <c r="DB74" s="132" t="s">
        <v>168</v>
      </c>
      <c r="DC74" s="134" t="s">
        <v>169</v>
      </c>
      <c r="DD74" s="79" t="s">
        <v>170</v>
      </c>
      <c r="DG74" s="30" t="s">
        <v>164</v>
      </c>
      <c r="DH74" s="77" t="s">
        <v>165</v>
      </c>
      <c r="DI74" s="146" t="s">
        <v>166</v>
      </c>
      <c r="DJ74" s="26" t="s">
        <v>167</v>
      </c>
      <c r="DK74" s="146" t="s">
        <v>168</v>
      </c>
      <c r="DL74" s="153" t="s">
        <v>169</v>
      </c>
      <c r="DM74" s="79" t="s">
        <v>170</v>
      </c>
      <c r="DP74" s="30" t="s">
        <v>164</v>
      </c>
      <c r="DQ74" s="77" t="s">
        <v>165</v>
      </c>
      <c r="DR74" s="27" t="s">
        <v>166</v>
      </c>
      <c r="DS74" s="26" t="s">
        <v>167</v>
      </c>
      <c r="DT74" s="27" t="s">
        <v>168</v>
      </c>
      <c r="DU74" s="28" t="s">
        <v>169</v>
      </c>
      <c r="DV74" s="79" t="s">
        <v>170</v>
      </c>
      <c r="DY74" s="30" t="s">
        <v>164</v>
      </c>
      <c r="DZ74" s="77" t="s">
        <v>165</v>
      </c>
      <c r="EA74" s="156" t="s">
        <v>166</v>
      </c>
      <c r="EB74" s="26" t="s">
        <v>167</v>
      </c>
      <c r="EC74" s="156" t="s">
        <v>168</v>
      </c>
      <c r="ED74" s="158" t="s">
        <v>169</v>
      </c>
      <c r="EE74" s="79" t="s">
        <v>170</v>
      </c>
      <c r="EH74" s="30" t="s">
        <v>164</v>
      </c>
      <c r="EI74" s="77" t="s">
        <v>165</v>
      </c>
      <c r="EJ74" s="161" t="s">
        <v>166</v>
      </c>
      <c r="EK74" s="26" t="s">
        <v>167</v>
      </c>
      <c r="EL74" s="161" t="s">
        <v>168</v>
      </c>
      <c r="EM74" s="163" t="s">
        <v>169</v>
      </c>
      <c r="EN74" s="79" t="s">
        <v>170</v>
      </c>
      <c r="EQ74" s="30" t="s">
        <v>164</v>
      </c>
      <c r="ER74" s="77" t="s">
        <v>165</v>
      </c>
      <c r="ES74" s="167" t="s">
        <v>166</v>
      </c>
      <c r="ET74" s="26" t="s">
        <v>167</v>
      </c>
      <c r="EU74" s="167" t="s">
        <v>168</v>
      </c>
      <c r="EV74" s="169" t="s">
        <v>169</v>
      </c>
      <c r="EW74" s="79" t="s">
        <v>170</v>
      </c>
      <c r="EZ74" s="30" t="s">
        <v>164</v>
      </c>
      <c r="FA74" s="77" t="s">
        <v>165</v>
      </c>
      <c r="FB74" s="176" t="s">
        <v>166</v>
      </c>
      <c r="FC74" s="26" t="s">
        <v>167</v>
      </c>
      <c r="FD74" s="176" t="s">
        <v>168</v>
      </c>
      <c r="FE74" s="177" t="s">
        <v>169</v>
      </c>
      <c r="FF74" s="79" t="s">
        <v>170</v>
      </c>
      <c r="FI74" s="30" t="s">
        <v>164</v>
      </c>
      <c r="FJ74" s="77" t="s">
        <v>165</v>
      </c>
      <c r="FK74" s="181" t="s">
        <v>166</v>
      </c>
      <c r="FL74" s="26" t="s">
        <v>167</v>
      </c>
      <c r="FM74" s="181" t="s">
        <v>168</v>
      </c>
      <c r="FN74" s="182" t="s">
        <v>169</v>
      </c>
      <c r="FO74" s="79" t="s">
        <v>170</v>
      </c>
      <c r="FR74" s="30" t="s">
        <v>164</v>
      </c>
      <c r="FS74" s="77" t="s">
        <v>165</v>
      </c>
      <c r="FT74" s="185" t="s">
        <v>166</v>
      </c>
      <c r="FU74" s="26" t="s">
        <v>167</v>
      </c>
      <c r="FV74" s="185" t="s">
        <v>168</v>
      </c>
      <c r="FW74" s="187" t="s">
        <v>169</v>
      </c>
      <c r="FX74" s="79" t="s">
        <v>170</v>
      </c>
      <c r="GA74" s="30" t="s">
        <v>164</v>
      </c>
      <c r="GB74" s="77" t="s">
        <v>165</v>
      </c>
      <c r="GC74" s="128" t="s">
        <v>166</v>
      </c>
      <c r="GD74" s="26" t="s">
        <v>167</v>
      </c>
      <c r="GE74" s="128" t="s">
        <v>168</v>
      </c>
      <c r="GF74" s="200" t="s">
        <v>169</v>
      </c>
      <c r="GG74" s="79" t="s">
        <v>170</v>
      </c>
      <c r="GJ74" s="30" t="s">
        <v>164</v>
      </c>
      <c r="GK74" s="77" t="s">
        <v>165</v>
      </c>
      <c r="GL74" s="197" t="s">
        <v>166</v>
      </c>
      <c r="GM74" s="26" t="s">
        <v>167</v>
      </c>
      <c r="GN74" s="197" t="s">
        <v>168</v>
      </c>
      <c r="GO74" s="198" t="s">
        <v>169</v>
      </c>
      <c r="GP74" s="79" t="s">
        <v>170</v>
      </c>
      <c r="GS74" s="30" t="s">
        <v>164</v>
      </c>
      <c r="GT74" s="77" t="s">
        <v>165</v>
      </c>
      <c r="GU74" s="193" t="s">
        <v>166</v>
      </c>
      <c r="GV74" s="26" t="s">
        <v>167</v>
      </c>
      <c r="GW74" s="193" t="s">
        <v>168</v>
      </c>
      <c r="GX74" s="194" t="s">
        <v>169</v>
      </c>
      <c r="GY74" s="79" t="s">
        <v>170</v>
      </c>
      <c r="HB74" s="30" t="s">
        <v>164</v>
      </c>
      <c r="HC74" s="77" t="s">
        <v>165</v>
      </c>
      <c r="HD74" s="189" t="s">
        <v>166</v>
      </c>
      <c r="HE74" s="26" t="s">
        <v>167</v>
      </c>
      <c r="HF74" s="189" t="s">
        <v>168</v>
      </c>
      <c r="HG74" s="190" t="s">
        <v>169</v>
      </c>
      <c r="HH74" s="79" t="s">
        <v>170</v>
      </c>
      <c r="HK74" s="30" t="s">
        <v>164</v>
      </c>
      <c r="HL74" s="77" t="s">
        <v>165</v>
      </c>
      <c r="HM74" s="41" t="s">
        <v>166</v>
      </c>
      <c r="HN74" s="26" t="s">
        <v>167</v>
      </c>
      <c r="HO74" s="41" t="s">
        <v>168</v>
      </c>
      <c r="HP74" s="42" t="s">
        <v>169</v>
      </c>
      <c r="HQ74" s="79" t="s">
        <v>170</v>
      </c>
      <c r="HU74" s="30" t="s">
        <v>164</v>
      </c>
      <c r="HV74" s="77" t="s">
        <v>165</v>
      </c>
      <c r="HW74" s="241" t="s">
        <v>166</v>
      </c>
      <c r="HX74" s="26" t="s">
        <v>167</v>
      </c>
      <c r="HY74" s="241" t="s">
        <v>168</v>
      </c>
      <c r="HZ74" s="243" t="s">
        <v>169</v>
      </c>
      <c r="IA74" s="79" t="s">
        <v>170</v>
      </c>
      <c r="ID74" s="30" t="s">
        <v>164</v>
      </c>
      <c r="IE74" s="77" t="s">
        <v>165</v>
      </c>
      <c r="IF74" s="241" t="s">
        <v>166</v>
      </c>
      <c r="IG74" s="26" t="s">
        <v>167</v>
      </c>
      <c r="IH74" s="241" t="s">
        <v>168</v>
      </c>
      <c r="II74" s="243" t="s">
        <v>169</v>
      </c>
      <c r="IJ74" s="79" t="s">
        <v>170</v>
      </c>
      <c r="IM74" s="30" t="s">
        <v>164</v>
      </c>
      <c r="IN74" s="77" t="s">
        <v>165</v>
      </c>
      <c r="IO74" s="241" t="s">
        <v>166</v>
      </c>
      <c r="IP74" s="26" t="s">
        <v>167</v>
      </c>
      <c r="IQ74" s="241" t="s">
        <v>168</v>
      </c>
      <c r="IR74" s="243" t="s">
        <v>169</v>
      </c>
      <c r="IS74" s="79" t="s">
        <v>170</v>
      </c>
      <c r="IV74" s="30" t="s">
        <v>164</v>
      </c>
      <c r="IW74" s="77" t="s">
        <v>165</v>
      </c>
      <c r="IX74" s="241" t="s">
        <v>166</v>
      </c>
      <c r="IY74" s="26" t="s">
        <v>167</v>
      </c>
      <c r="IZ74" s="241" t="s">
        <v>168</v>
      </c>
      <c r="JA74" s="243" t="s">
        <v>169</v>
      </c>
      <c r="JB74" s="79" t="s">
        <v>170</v>
      </c>
      <c r="JE74" s="30" t="s">
        <v>164</v>
      </c>
      <c r="JF74" s="77" t="s">
        <v>165</v>
      </c>
      <c r="JG74" s="241" t="s">
        <v>166</v>
      </c>
      <c r="JH74" s="26" t="s">
        <v>167</v>
      </c>
      <c r="JI74" s="241" t="s">
        <v>168</v>
      </c>
      <c r="JJ74" s="243" t="s">
        <v>169</v>
      </c>
      <c r="JK74" s="79" t="s">
        <v>170</v>
      </c>
      <c r="JN74" s="30" t="s">
        <v>164</v>
      </c>
      <c r="JO74" s="77" t="s">
        <v>165</v>
      </c>
      <c r="JP74" s="241" t="s">
        <v>166</v>
      </c>
      <c r="JQ74" s="26" t="s">
        <v>167</v>
      </c>
      <c r="JR74" s="241" t="s">
        <v>168</v>
      </c>
      <c r="JS74" s="243" t="s">
        <v>169</v>
      </c>
      <c r="JT74" s="79" t="s">
        <v>170</v>
      </c>
      <c r="JW74" s="30" t="s">
        <v>164</v>
      </c>
      <c r="JX74" s="77" t="s">
        <v>165</v>
      </c>
      <c r="JY74" s="241" t="s">
        <v>166</v>
      </c>
      <c r="JZ74" s="26" t="s">
        <v>167</v>
      </c>
      <c r="KA74" s="241" t="s">
        <v>168</v>
      </c>
      <c r="KB74" s="243" t="s">
        <v>169</v>
      </c>
      <c r="KC74" s="79" t="s">
        <v>170</v>
      </c>
      <c r="KF74" s="30" t="s">
        <v>164</v>
      </c>
      <c r="KG74" s="77" t="s">
        <v>165</v>
      </c>
      <c r="KH74" s="241" t="s">
        <v>166</v>
      </c>
      <c r="KI74" s="26" t="s">
        <v>167</v>
      </c>
      <c r="KJ74" s="241" t="s">
        <v>168</v>
      </c>
      <c r="KK74" s="243" t="s">
        <v>169</v>
      </c>
      <c r="KL74" s="79" t="s">
        <v>170</v>
      </c>
      <c r="KO74" s="30" t="s">
        <v>164</v>
      </c>
      <c r="KP74" s="77" t="s">
        <v>165</v>
      </c>
      <c r="KQ74" s="241" t="s">
        <v>166</v>
      </c>
      <c r="KR74" s="26" t="s">
        <v>167</v>
      </c>
      <c r="KS74" s="241" t="s">
        <v>168</v>
      </c>
      <c r="KT74" s="243" t="s">
        <v>169</v>
      </c>
      <c r="KU74" s="79" t="s">
        <v>170</v>
      </c>
      <c r="KX74" s="30" t="s">
        <v>164</v>
      </c>
      <c r="KY74" s="77" t="s">
        <v>165</v>
      </c>
      <c r="KZ74" s="241" t="s">
        <v>166</v>
      </c>
      <c r="LA74" s="26" t="s">
        <v>167</v>
      </c>
      <c r="LB74" s="241" t="s">
        <v>168</v>
      </c>
      <c r="LC74" s="243" t="s">
        <v>169</v>
      </c>
      <c r="LD74" s="79" t="s">
        <v>170</v>
      </c>
      <c r="LG74" s="30" t="s">
        <v>164</v>
      </c>
      <c r="LH74" s="77" t="s">
        <v>165</v>
      </c>
      <c r="LI74" s="241" t="s">
        <v>166</v>
      </c>
      <c r="LJ74" s="26" t="s">
        <v>167</v>
      </c>
      <c r="LK74" s="241" t="s">
        <v>168</v>
      </c>
      <c r="LL74" s="243" t="s">
        <v>169</v>
      </c>
      <c r="LM74" s="79" t="s">
        <v>170</v>
      </c>
      <c r="LP74" s="30" t="s">
        <v>164</v>
      </c>
      <c r="LQ74" s="77" t="s">
        <v>165</v>
      </c>
      <c r="LR74" s="241" t="s">
        <v>166</v>
      </c>
      <c r="LS74" s="26" t="s">
        <v>167</v>
      </c>
      <c r="LT74" s="241" t="s">
        <v>168</v>
      </c>
      <c r="LU74" s="243" t="s">
        <v>169</v>
      </c>
      <c r="LV74" s="79" t="s">
        <v>170</v>
      </c>
      <c r="LY74" s="30" t="s">
        <v>164</v>
      </c>
      <c r="LZ74" s="77" t="s">
        <v>165</v>
      </c>
      <c r="MA74" s="241" t="s">
        <v>166</v>
      </c>
      <c r="MB74" s="26" t="s">
        <v>167</v>
      </c>
      <c r="MC74" s="241" t="s">
        <v>168</v>
      </c>
      <c r="MD74" s="243" t="s">
        <v>169</v>
      </c>
      <c r="ME74" s="79" t="s">
        <v>170</v>
      </c>
      <c r="MH74" s="30" t="s">
        <v>164</v>
      </c>
      <c r="MI74" s="77" t="s">
        <v>165</v>
      </c>
      <c r="MJ74" s="241" t="s">
        <v>166</v>
      </c>
      <c r="MK74" s="26" t="s">
        <v>167</v>
      </c>
      <c r="ML74" s="241" t="s">
        <v>168</v>
      </c>
      <c r="MM74" s="243" t="s">
        <v>169</v>
      </c>
      <c r="MN74" s="79" t="s">
        <v>170</v>
      </c>
      <c r="MQ74" s="30" t="s">
        <v>164</v>
      </c>
      <c r="MR74" s="77" t="s">
        <v>165</v>
      </c>
      <c r="MS74" s="241" t="s">
        <v>166</v>
      </c>
      <c r="MT74" s="26" t="s">
        <v>167</v>
      </c>
      <c r="MU74" s="241" t="s">
        <v>168</v>
      </c>
      <c r="MV74" s="243" t="s">
        <v>169</v>
      </c>
      <c r="MW74" s="79" t="s">
        <v>170</v>
      </c>
      <c r="MZ74" s="30" t="s">
        <v>164</v>
      </c>
      <c r="NA74" s="77" t="s">
        <v>165</v>
      </c>
      <c r="NB74" s="241" t="s">
        <v>166</v>
      </c>
      <c r="NC74" s="26" t="s">
        <v>167</v>
      </c>
      <c r="ND74" s="241" t="s">
        <v>168</v>
      </c>
      <c r="NE74" s="243" t="s">
        <v>169</v>
      </c>
      <c r="NF74" s="79" t="s">
        <v>170</v>
      </c>
      <c r="NI74" s="30" t="s">
        <v>164</v>
      </c>
      <c r="NJ74" s="77" t="s">
        <v>165</v>
      </c>
      <c r="NK74" s="241" t="s">
        <v>166</v>
      </c>
      <c r="NL74" s="26" t="s">
        <v>167</v>
      </c>
      <c r="NM74" s="241" t="s">
        <v>168</v>
      </c>
      <c r="NN74" s="243" t="s">
        <v>169</v>
      </c>
      <c r="NO74" s="79" t="s">
        <v>170</v>
      </c>
      <c r="NR74" s="30" t="s">
        <v>164</v>
      </c>
      <c r="NS74" s="77" t="s">
        <v>165</v>
      </c>
      <c r="NT74" s="241" t="s">
        <v>166</v>
      </c>
      <c r="NU74" s="26" t="s">
        <v>167</v>
      </c>
      <c r="NV74" s="241" t="s">
        <v>168</v>
      </c>
      <c r="NW74" s="243" t="s">
        <v>169</v>
      </c>
      <c r="NX74" s="79" t="s">
        <v>170</v>
      </c>
      <c r="OA74" s="30" t="s">
        <v>164</v>
      </c>
      <c r="OB74" s="77" t="s">
        <v>165</v>
      </c>
      <c r="OC74" s="241" t="s">
        <v>166</v>
      </c>
      <c r="OD74" s="26" t="s">
        <v>167</v>
      </c>
      <c r="OE74" s="241" t="s">
        <v>168</v>
      </c>
      <c r="OF74" s="243" t="s">
        <v>169</v>
      </c>
      <c r="OG74" s="79" t="s">
        <v>170</v>
      </c>
      <c r="OJ74" s="30" t="s">
        <v>164</v>
      </c>
      <c r="OK74" s="77" t="s">
        <v>165</v>
      </c>
      <c r="OL74" s="241" t="s">
        <v>166</v>
      </c>
      <c r="OM74" s="26" t="s">
        <v>167</v>
      </c>
      <c r="ON74" s="241" t="s">
        <v>168</v>
      </c>
      <c r="OO74" s="243" t="s">
        <v>169</v>
      </c>
      <c r="OP74" s="79" t="s">
        <v>170</v>
      </c>
      <c r="OS74" s="30" t="s">
        <v>164</v>
      </c>
      <c r="OT74" s="77" t="s">
        <v>165</v>
      </c>
      <c r="OU74" s="241" t="s">
        <v>166</v>
      </c>
      <c r="OV74" s="26" t="s">
        <v>167</v>
      </c>
      <c r="OW74" s="241" t="s">
        <v>168</v>
      </c>
      <c r="OX74" s="243" t="s">
        <v>169</v>
      </c>
      <c r="OY74" s="79" t="s">
        <v>170</v>
      </c>
      <c r="PB74" s="30" t="s">
        <v>164</v>
      </c>
      <c r="PC74" s="77" t="s">
        <v>165</v>
      </c>
      <c r="PD74" s="241" t="s">
        <v>166</v>
      </c>
      <c r="PE74" s="26" t="s">
        <v>167</v>
      </c>
      <c r="PF74" s="241" t="s">
        <v>168</v>
      </c>
      <c r="PG74" s="243" t="s">
        <v>169</v>
      </c>
      <c r="PH74" s="79" t="s">
        <v>170</v>
      </c>
      <c r="PK74" s="30" t="s">
        <v>164</v>
      </c>
      <c r="PL74" s="77" t="s">
        <v>165</v>
      </c>
      <c r="PM74" s="241" t="s">
        <v>166</v>
      </c>
      <c r="PN74" s="26" t="s">
        <v>167</v>
      </c>
      <c r="PO74" s="241" t="s">
        <v>168</v>
      </c>
      <c r="PP74" s="243" t="s">
        <v>169</v>
      </c>
      <c r="PQ74" s="79" t="s">
        <v>170</v>
      </c>
      <c r="PT74" s="30" t="s">
        <v>164</v>
      </c>
      <c r="PU74" s="77" t="s">
        <v>165</v>
      </c>
      <c r="PV74" s="241" t="s">
        <v>166</v>
      </c>
      <c r="PW74" s="26" t="s">
        <v>167</v>
      </c>
      <c r="PX74" s="241" t="s">
        <v>168</v>
      </c>
      <c r="PY74" s="243" t="s">
        <v>169</v>
      </c>
      <c r="PZ74" s="79" t="s">
        <v>170</v>
      </c>
      <c r="QC74" s="30" t="s">
        <v>164</v>
      </c>
      <c r="QD74" s="77" t="s">
        <v>165</v>
      </c>
      <c r="QE74" s="241" t="s">
        <v>166</v>
      </c>
      <c r="QF74" s="26" t="s">
        <v>167</v>
      </c>
      <c r="QG74" s="241" t="s">
        <v>168</v>
      </c>
      <c r="QH74" s="243" t="s">
        <v>169</v>
      </c>
      <c r="QI74" s="79" t="s">
        <v>170</v>
      </c>
      <c r="QL74" s="30" t="s">
        <v>164</v>
      </c>
      <c r="QM74" s="77" t="s">
        <v>165</v>
      </c>
      <c r="QN74" s="241" t="s">
        <v>166</v>
      </c>
      <c r="QO74" s="26" t="s">
        <v>167</v>
      </c>
      <c r="QP74" s="241" t="s">
        <v>168</v>
      </c>
      <c r="QQ74" s="243" t="s">
        <v>169</v>
      </c>
      <c r="QR74" s="79" t="s">
        <v>170</v>
      </c>
      <c r="QU74" s="30" t="s">
        <v>164</v>
      </c>
      <c r="QV74" s="77" t="s">
        <v>165</v>
      </c>
      <c r="QW74" s="241" t="s">
        <v>166</v>
      </c>
      <c r="QX74" s="26" t="s">
        <v>167</v>
      </c>
      <c r="QY74" s="241" t="s">
        <v>168</v>
      </c>
      <c r="QZ74" s="243" t="s">
        <v>169</v>
      </c>
      <c r="RA74" s="79" t="s">
        <v>170</v>
      </c>
      <c r="RD74" s="30" t="s">
        <v>164</v>
      </c>
      <c r="RE74" s="77" t="s">
        <v>165</v>
      </c>
      <c r="RF74" s="241" t="s">
        <v>166</v>
      </c>
      <c r="RG74" s="26" t="s">
        <v>167</v>
      </c>
      <c r="RH74" s="241" t="s">
        <v>168</v>
      </c>
      <c r="RI74" s="243" t="s">
        <v>169</v>
      </c>
      <c r="RJ74" s="79" t="s">
        <v>170</v>
      </c>
      <c r="RM74" s="30" t="s">
        <v>164</v>
      </c>
      <c r="RN74" s="77" t="s">
        <v>165</v>
      </c>
      <c r="RO74" s="241" t="s">
        <v>166</v>
      </c>
      <c r="RP74" s="26" t="s">
        <v>167</v>
      </c>
      <c r="RQ74" s="241" t="s">
        <v>168</v>
      </c>
      <c r="RR74" s="243" t="s">
        <v>169</v>
      </c>
      <c r="RS74" s="79" t="s">
        <v>170</v>
      </c>
      <c r="RV74" s="30" t="s">
        <v>164</v>
      </c>
      <c r="RW74" s="77" t="s">
        <v>165</v>
      </c>
      <c r="RX74" s="241" t="s">
        <v>166</v>
      </c>
      <c r="RY74" s="26" t="s">
        <v>167</v>
      </c>
      <c r="RZ74" s="241" t="s">
        <v>168</v>
      </c>
      <c r="SA74" s="243" t="s">
        <v>169</v>
      </c>
      <c r="SB74" s="79" t="s">
        <v>170</v>
      </c>
      <c r="SE74" s="30" t="s">
        <v>164</v>
      </c>
      <c r="SF74" s="77" t="s">
        <v>165</v>
      </c>
      <c r="SG74" s="241" t="s">
        <v>166</v>
      </c>
      <c r="SH74" s="26" t="s">
        <v>167</v>
      </c>
      <c r="SI74" s="241" t="s">
        <v>168</v>
      </c>
      <c r="SJ74" s="243" t="s">
        <v>169</v>
      </c>
      <c r="SK74" s="79" t="s">
        <v>170</v>
      </c>
      <c r="SN74" s="30" t="s">
        <v>164</v>
      </c>
      <c r="SO74" s="77" t="s">
        <v>165</v>
      </c>
      <c r="SP74" s="241" t="s">
        <v>166</v>
      </c>
      <c r="SQ74" s="26" t="s">
        <v>167</v>
      </c>
      <c r="SR74" s="241" t="s">
        <v>168</v>
      </c>
      <c r="SS74" s="243" t="s">
        <v>169</v>
      </c>
      <c r="ST74" s="79" t="s">
        <v>170</v>
      </c>
      <c r="SW74" s="30" t="s">
        <v>164</v>
      </c>
      <c r="SX74" s="77" t="s">
        <v>165</v>
      </c>
      <c r="SY74" s="241" t="s">
        <v>166</v>
      </c>
      <c r="SZ74" s="26" t="s">
        <v>167</v>
      </c>
      <c r="TA74" s="241" t="s">
        <v>168</v>
      </c>
      <c r="TB74" s="243" t="s">
        <v>169</v>
      </c>
      <c r="TC74" s="79" t="s">
        <v>170</v>
      </c>
      <c r="TF74" s="30" t="s">
        <v>164</v>
      </c>
      <c r="TG74" s="77" t="s">
        <v>165</v>
      </c>
      <c r="TH74" s="241" t="s">
        <v>166</v>
      </c>
      <c r="TI74" s="26" t="s">
        <v>167</v>
      </c>
      <c r="TJ74" s="241" t="s">
        <v>168</v>
      </c>
      <c r="TK74" s="243" t="s">
        <v>169</v>
      </c>
      <c r="TL74" s="79" t="s">
        <v>170</v>
      </c>
      <c r="TO74" s="30" t="s">
        <v>164</v>
      </c>
      <c r="TP74" s="77" t="s">
        <v>165</v>
      </c>
      <c r="TQ74" s="241" t="s">
        <v>166</v>
      </c>
      <c r="TR74" s="26" t="s">
        <v>167</v>
      </c>
      <c r="TS74" s="241" t="s">
        <v>168</v>
      </c>
      <c r="TT74" s="243" t="s">
        <v>169</v>
      </c>
      <c r="TU74" s="79" t="s">
        <v>170</v>
      </c>
      <c r="TX74" s="30" t="s">
        <v>164</v>
      </c>
      <c r="TY74" s="77" t="s">
        <v>165</v>
      </c>
      <c r="TZ74" s="241" t="s">
        <v>166</v>
      </c>
      <c r="UA74" s="26" t="s">
        <v>167</v>
      </c>
      <c r="UB74" s="241" t="s">
        <v>168</v>
      </c>
      <c r="UC74" s="243" t="s">
        <v>169</v>
      </c>
      <c r="UD74" s="79" t="s">
        <v>170</v>
      </c>
      <c r="UG74" s="30" t="s">
        <v>164</v>
      </c>
      <c r="UH74" s="77" t="s">
        <v>165</v>
      </c>
      <c r="UI74" s="241" t="s">
        <v>166</v>
      </c>
      <c r="UJ74" s="26" t="s">
        <v>167</v>
      </c>
      <c r="UK74" s="241" t="s">
        <v>168</v>
      </c>
      <c r="UL74" s="243" t="s">
        <v>169</v>
      </c>
      <c r="UM74" s="79" t="s">
        <v>170</v>
      </c>
      <c r="UP74" s="30" t="s">
        <v>164</v>
      </c>
      <c r="UQ74" s="77" t="s">
        <v>165</v>
      </c>
      <c r="UR74" s="241" t="s">
        <v>166</v>
      </c>
      <c r="US74" s="26" t="s">
        <v>167</v>
      </c>
      <c r="UT74" s="241" t="s">
        <v>168</v>
      </c>
      <c r="UU74" s="243" t="s">
        <v>169</v>
      </c>
      <c r="UV74" s="79" t="s">
        <v>170</v>
      </c>
      <c r="UY74" s="30" t="s">
        <v>164</v>
      </c>
      <c r="UZ74" s="77" t="s">
        <v>165</v>
      </c>
      <c r="VA74" s="241" t="s">
        <v>166</v>
      </c>
      <c r="VB74" s="26" t="s">
        <v>167</v>
      </c>
      <c r="VC74" s="241" t="s">
        <v>168</v>
      </c>
      <c r="VD74" s="243" t="s">
        <v>169</v>
      </c>
      <c r="VE74" s="79" t="s">
        <v>170</v>
      </c>
      <c r="VH74" s="30" t="s">
        <v>164</v>
      </c>
      <c r="VI74" s="77" t="s">
        <v>165</v>
      </c>
      <c r="VJ74" s="241" t="s">
        <v>166</v>
      </c>
      <c r="VK74" s="26" t="s">
        <v>167</v>
      </c>
      <c r="VL74" s="241" t="s">
        <v>168</v>
      </c>
      <c r="VM74" s="243" t="s">
        <v>169</v>
      </c>
      <c r="VN74" s="79" t="s">
        <v>170</v>
      </c>
      <c r="VQ74" s="30" t="s">
        <v>164</v>
      </c>
      <c r="VR74" s="77" t="s">
        <v>165</v>
      </c>
      <c r="VS74" s="241" t="s">
        <v>166</v>
      </c>
      <c r="VT74" s="26" t="s">
        <v>167</v>
      </c>
      <c r="VU74" s="241" t="s">
        <v>168</v>
      </c>
      <c r="VV74" s="243" t="s">
        <v>169</v>
      </c>
      <c r="VW74" s="79" t="s">
        <v>170</v>
      </c>
      <c r="VZ74" s="30" t="s">
        <v>164</v>
      </c>
      <c r="WA74" s="77" t="s">
        <v>165</v>
      </c>
      <c r="WB74" s="241" t="s">
        <v>166</v>
      </c>
      <c r="WC74" s="26" t="s">
        <v>167</v>
      </c>
      <c r="WD74" s="241" t="s">
        <v>168</v>
      </c>
      <c r="WE74" s="243" t="s">
        <v>169</v>
      </c>
      <c r="WF74" s="79" t="s">
        <v>170</v>
      </c>
      <c r="WI74" s="30" t="s">
        <v>164</v>
      </c>
      <c r="WJ74" s="77" t="s">
        <v>165</v>
      </c>
      <c r="WK74" s="241" t="s">
        <v>166</v>
      </c>
      <c r="WL74" s="26" t="s">
        <v>167</v>
      </c>
      <c r="WM74" s="241" t="s">
        <v>168</v>
      </c>
      <c r="WN74" s="243" t="s">
        <v>169</v>
      </c>
      <c r="WO74" s="79" t="s">
        <v>170</v>
      </c>
      <c r="WR74" s="30" t="s">
        <v>164</v>
      </c>
      <c r="WS74" s="77" t="s">
        <v>165</v>
      </c>
      <c r="WT74" s="241" t="s">
        <v>166</v>
      </c>
      <c r="WU74" s="26" t="s">
        <v>167</v>
      </c>
      <c r="WV74" s="241" t="s">
        <v>168</v>
      </c>
      <c r="WW74" s="243" t="s">
        <v>169</v>
      </c>
      <c r="WX74" s="79" t="s">
        <v>170</v>
      </c>
      <c r="XA74" s="30" t="s">
        <v>164</v>
      </c>
      <c r="XB74" s="77" t="s">
        <v>165</v>
      </c>
      <c r="XC74" s="241" t="s">
        <v>166</v>
      </c>
      <c r="XD74" s="26" t="s">
        <v>167</v>
      </c>
      <c r="XE74" s="241" t="s">
        <v>168</v>
      </c>
      <c r="XF74" s="243" t="s">
        <v>169</v>
      </c>
      <c r="XG74" s="79" t="s">
        <v>170</v>
      </c>
      <c r="XJ74" s="30" t="s">
        <v>164</v>
      </c>
      <c r="XK74" s="77" t="s">
        <v>165</v>
      </c>
      <c r="XL74" s="241" t="s">
        <v>166</v>
      </c>
      <c r="XM74" s="26" t="s">
        <v>167</v>
      </c>
      <c r="XN74" s="241" t="s">
        <v>168</v>
      </c>
      <c r="XO74" s="243" t="s">
        <v>169</v>
      </c>
      <c r="XP74" s="79" t="s">
        <v>170</v>
      </c>
      <c r="XS74" s="30" t="s">
        <v>164</v>
      </c>
      <c r="XT74" s="77" t="s">
        <v>165</v>
      </c>
      <c r="XU74" s="241" t="s">
        <v>166</v>
      </c>
      <c r="XV74" s="26" t="s">
        <v>167</v>
      </c>
      <c r="XW74" s="241" t="s">
        <v>168</v>
      </c>
      <c r="XX74" s="243" t="s">
        <v>169</v>
      </c>
      <c r="XY74" s="79" t="s">
        <v>170</v>
      </c>
      <c r="YB74" s="30" t="s">
        <v>164</v>
      </c>
      <c r="YC74" s="77" t="s">
        <v>165</v>
      </c>
      <c r="YD74" s="241" t="s">
        <v>166</v>
      </c>
      <c r="YE74" s="26" t="s">
        <v>167</v>
      </c>
      <c r="YF74" s="241" t="s">
        <v>168</v>
      </c>
      <c r="YG74" s="243" t="s">
        <v>169</v>
      </c>
      <c r="YH74" s="79" t="s">
        <v>170</v>
      </c>
      <c r="YK74" s="30" t="s">
        <v>164</v>
      </c>
      <c r="YL74" s="77" t="s">
        <v>165</v>
      </c>
      <c r="YM74" s="241" t="s">
        <v>166</v>
      </c>
      <c r="YN74" s="26" t="s">
        <v>167</v>
      </c>
      <c r="YO74" s="241" t="s">
        <v>168</v>
      </c>
      <c r="YP74" s="243" t="s">
        <v>169</v>
      </c>
      <c r="YQ74" s="79" t="s">
        <v>170</v>
      </c>
      <c r="YT74" s="30" t="s">
        <v>164</v>
      </c>
      <c r="YU74" s="77" t="s">
        <v>165</v>
      </c>
      <c r="YV74" s="241" t="s">
        <v>166</v>
      </c>
      <c r="YW74" s="26" t="s">
        <v>167</v>
      </c>
      <c r="YX74" s="241" t="s">
        <v>168</v>
      </c>
      <c r="YY74" s="243" t="s">
        <v>169</v>
      </c>
      <c r="YZ74" s="79" t="s">
        <v>170</v>
      </c>
      <c r="ZC74" s="30" t="s">
        <v>164</v>
      </c>
      <c r="ZD74" s="77" t="s">
        <v>165</v>
      </c>
      <c r="ZE74" s="241" t="s">
        <v>166</v>
      </c>
      <c r="ZF74" s="26" t="s">
        <v>167</v>
      </c>
      <c r="ZG74" s="241" t="s">
        <v>168</v>
      </c>
      <c r="ZH74" s="243" t="s">
        <v>169</v>
      </c>
      <c r="ZI74" s="79" t="s">
        <v>170</v>
      </c>
      <c r="ZL74" s="30" t="s">
        <v>164</v>
      </c>
      <c r="ZM74" s="77" t="s">
        <v>165</v>
      </c>
      <c r="ZN74" s="241" t="s">
        <v>166</v>
      </c>
      <c r="ZO74" s="26" t="s">
        <v>167</v>
      </c>
      <c r="ZP74" s="241" t="s">
        <v>168</v>
      </c>
      <c r="ZQ74" s="243" t="s">
        <v>169</v>
      </c>
      <c r="ZR74" s="79" t="s">
        <v>170</v>
      </c>
      <c r="ZU74" s="30" t="s">
        <v>164</v>
      </c>
      <c r="ZV74" s="77" t="s">
        <v>165</v>
      </c>
      <c r="ZW74" s="241" t="s">
        <v>166</v>
      </c>
      <c r="ZX74" s="26" t="s">
        <v>167</v>
      </c>
      <c r="ZY74" s="241" t="s">
        <v>168</v>
      </c>
      <c r="ZZ74" s="243" t="s">
        <v>169</v>
      </c>
      <c r="AAA74" s="79" t="s">
        <v>170</v>
      </c>
      <c r="AAD74" s="30" t="s">
        <v>164</v>
      </c>
      <c r="AAE74" s="77" t="s">
        <v>165</v>
      </c>
      <c r="AAF74" s="241" t="s">
        <v>166</v>
      </c>
      <c r="AAG74" s="26" t="s">
        <v>167</v>
      </c>
      <c r="AAH74" s="241" t="s">
        <v>168</v>
      </c>
      <c r="AAI74" s="243" t="s">
        <v>169</v>
      </c>
      <c r="AAJ74" s="79" t="s">
        <v>170</v>
      </c>
      <c r="AAM74" s="30" t="s">
        <v>164</v>
      </c>
      <c r="AAN74" s="77" t="s">
        <v>165</v>
      </c>
      <c r="AAO74" s="241" t="s">
        <v>166</v>
      </c>
      <c r="AAP74" s="26" t="s">
        <v>167</v>
      </c>
      <c r="AAQ74" s="241" t="s">
        <v>168</v>
      </c>
      <c r="AAR74" s="243" t="s">
        <v>169</v>
      </c>
      <c r="AAS74" s="79" t="s">
        <v>170</v>
      </c>
      <c r="AAV74" s="30" t="s">
        <v>164</v>
      </c>
      <c r="AAW74" s="77" t="s">
        <v>165</v>
      </c>
      <c r="AAX74" s="241" t="s">
        <v>166</v>
      </c>
      <c r="AAY74" s="26" t="s">
        <v>167</v>
      </c>
      <c r="AAZ74" s="241" t="s">
        <v>168</v>
      </c>
      <c r="ABA74" s="243" t="s">
        <v>169</v>
      </c>
      <c r="ABB74" s="79" t="s">
        <v>170</v>
      </c>
      <c r="ABE74" s="30" t="s">
        <v>164</v>
      </c>
      <c r="ABF74" s="77" t="s">
        <v>165</v>
      </c>
      <c r="ABG74" s="241" t="s">
        <v>166</v>
      </c>
      <c r="ABH74" s="26" t="s">
        <v>167</v>
      </c>
      <c r="ABI74" s="241" t="s">
        <v>168</v>
      </c>
      <c r="ABJ74" s="243" t="s">
        <v>169</v>
      </c>
      <c r="ABK74" s="79" t="s">
        <v>170</v>
      </c>
    </row>
    <row r="75" spans="1:739" s="6" customFormat="1" ht="15" customHeight="1" outlineLevel="1" thickBot="1">
      <c r="B75" s="480"/>
      <c r="C75" s="49" t="s">
        <v>171</v>
      </c>
      <c r="D75" s="429" t="s">
        <v>172</v>
      </c>
      <c r="E75" s="429" t="s">
        <v>172</v>
      </c>
      <c r="F75" s="429" t="s">
        <v>172</v>
      </c>
      <c r="G75" s="430" t="s">
        <v>172</v>
      </c>
      <c r="H75" s="431">
        <f>H71</f>
        <v>91614.800000000017</v>
      </c>
      <c r="I75" s="328"/>
      <c r="L75" s="49" t="s">
        <v>171</v>
      </c>
      <c r="M75" s="429" t="s">
        <v>172</v>
      </c>
      <c r="N75" s="429" t="s">
        <v>172</v>
      </c>
      <c r="O75" s="429" t="s">
        <v>172</v>
      </c>
      <c r="P75" s="430" t="s">
        <v>172</v>
      </c>
      <c r="Q75" s="431">
        <f>Q71</f>
        <v>65096.600000000035</v>
      </c>
      <c r="R75" s="53"/>
      <c r="U75" s="49" t="s">
        <v>171</v>
      </c>
      <c r="V75" s="429" t="s">
        <v>172</v>
      </c>
      <c r="W75" s="429" t="s">
        <v>172</v>
      </c>
      <c r="X75" s="429" t="s">
        <v>172</v>
      </c>
      <c r="Y75" s="430" t="s">
        <v>172</v>
      </c>
      <c r="Z75" s="431">
        <f>Z71</f>
        <v>48372.799999999974</v>
      </c>
      <c r="AA75" s="53"/>
      <c r="AD75" s="49" t="s">
        <v>171</v>
      </c>
      <c r="AE75" s="429" t="s">
        <v>172</v>
      </c>
      <c r="AF75" s="429" t="s">
        <v>172</v>
      </c>
      <c r="AG75" s="429" t="s">
        <v>172</v>
      </c>
      <c r="AH75" s="430" t="s">
        <v>172</v>
      </c>
      <c r="AI75" s="431">
        <f>AI71</f>
        <v>34138.200000000019</v>
      </c>
      <c r="AJ75" s="53"/>
      <c r="AM75" s="49" t="s">
        <v>171</v>
      </c>
      <c r="AN75" s="429" t="s">
        <v>172</v>
      </c>
      <c r="AO75" s="429" t="s">
        <v>172</v>
      </c>
      <c r="AP75" s="429" t="s">
        <v>172</v>
      </c>
      <c r="AQ75" s="430" t="s">
        <v>172</v>
      </c>
      <c r="AR75" s="431">
        <f>AR71</f>
        <v>0</v>
      </c>
      <c r="AS75" s="53"/>
      <c r="AV75" s="49" t="s">
        <v>171</v>
      </c>
      <c r="AW75" s="429" t="s">
        <v>172</v>
      </c>
      <c r="AX75" s="429" t="s">
        <v>172</v>
      </c>
      <c r="AY75" s="429" t="s">
        <v>172</v>
      </c>
      <c r="AZ75" s="430" t="s">
        <v>172</v>
      </c>
      <c r="BA75" s="431">
        <f>BA71</f>
        <v>47801.999999999985</v>
      </c>
      <c r="BB75" s="53"/>
      <c r="BE75" s="49" t="s">
        <v>171</v>
      </c>
      <c r="BF75" s="429" t="s">
        <v>172</v>
      </c>
      <c r="BG75" s="429" t="s">
        <v>172</v>
      </c>
      <c r="BH75" s="429" t="s">
        <v>172</v>
      </c>
      <c r="BI75" s="430" t="s">
        <v>172</v>
      </c>
      <c r="BJ75" s="431">
        <f>BJ71</f>
        <v>7501.8000000000047</v>
      </c>
      <c r="BK75" s="53"/>
      <c r="BN75" s="49" t="s">
        <v>171</v>
      </c>
      <c r="BO75" s="429" t="s">
        <v>172</v>
      </c>
      <c r="BP75" s="429" t="s">
        <v>172</v>
      </c>
      <c r="BQ75" s="429" t="s">
        <v>172</v>
      </c>
      <c r="BR75" s="430" t="s">
        <v>172</v>
      </c>
      <c r="BS75" s="431">
        <f>BS71</f>
        <v>0</v>
      </c>
      <c r="BT75" s="53"/>
      <c r="BW75" s="49" t="s">
        <v>171</v>
      </c>
      <c r="BX75" s="50" t="s">
        <v>172</v>
      </c>
      <c r="BY75" s="50" t="s">
        <v>172</v>
      </c>
      <c r="BZ75" s="50" t="s">
        <v>172</v>
      </c>
      <c r="CA75" s="51" t="s">
        <v>172</v>
      </c>
      <c r="CB75" s="52">
        <f>CB71</f>
        <v>8.0000000000001137</v>
      </c>
      <c r="CC75" s="53"/>
      <c r="CF75" s="49" t="s">
        <v>171</v>
      </c>
      <c r="CG75" s="50" t="s">
        <v>172</v>
      </c>
      <c r="CH75" s="50" t="s">
        <v>172</v>
      </c>
      <c r="CI75" s="50" t="s">
        <v>172</v>
      </c>
      <c r="CJ75" s="51" t="s">
        <v>172</v>
      </c>
      <c r="CK75" s="52">
        <f>CK71</f>
        <v>0</v>
      </c>
      <c r="CL75" s="53"/>
      <c r="CO75" s="49" t="s">
        <v>171</v>
      </c>
      <c r="CP75" s="429" t="s">
        <v>172</v>
      </c>
      <c r="CQ75" s="429" t="s">
        <v>172</v>
      </c>
      <c r="CR75" s="429" t="s">
        <v>172</v>
      </c>
      <c r="CS75" s="430" t="s">
        <v>172</v>
      </c>
      <c r="CT75" s="431">
        <f>CT71</f>
        <v>0</v>
      </c>
      <c r="CU75" s="53"/>
      <c r="CX75" s="49" t="s">
        <v>171</v>
      </c>
      <c r="CY75" s="50" t="s">
        <v>172</v>
      </c>
      <c r="CZ75" s="50" t="s">
        <v>172</v>
      </c>
      <c r="DA75" s="50" t="s">
        <v>172</v>
      </c>
      <c r="DB75" s="51" t="s">
        <v>172</v>
      </c>
      <c r="DC75" s="52">
        <f>DC71</f>
        <v>55052.4</v>
      </c>
      <c r="DD75" s="53"/>
      <c r="DG75" s="49" t="s">
        <v>171</v>
      </c>
      <c r="DH75" s="50" t="s">
        <v>172</v>
      </c>
      <c r="DI75" s="142" t="s">
        <v>172</v>
      </c>
      <c r="DJ75" s="50" t="s">
        <v>172</v>
      </c>
      <c r="DK75" s="143" t="s">
        <v>172</v>
      </c>
      <c r="DL75" s="144">
        <f>DL71</f>
        <v>-2.8421709430404007E-12</v>
      </c>
      <c r="DM75" s="53"/>
      <c r="DP75" s="49" t="s">
        <v>171</v>
      </c>
      <c r="DQ75" s="50" t="s">
        <v>172</v>
      </c>
      <c r="DR75" s="50" t="s">
        <v>172</v>
      </c>
      <c r="DS75" s="50" t="s">
        <v>172</v>
      </c>
      <c r="DT75" s="51" t="s">
        <v>172</v>
      </c>
      <c r="DU75" s="52">
        <f>DU71</f>
        <v>2300</v>
      </c>
      <c r="DV75" s="53"/>
      <c r="DY75" s="49" t="s">
        <v>171</v>
      </c>
      <c r="DZ75" s="50" t="s">
        <v>172</v>
      </c>
      <c r="EA75" s="50" t="s">
        <v>172</v>
      </c>
      <c r="EB75" s="50" t="s">
        <v>172</v>
      </c>
      <c r="EC75" s="143" t="s">
        <v>172</v>
      </c>
      <c r="ED75" s="144">
        <f>ED71</f>
        <v>5696.8</v>
      </c>
      <c r="EE75" s="53"/>
      <c r="EH75" s="49" t="s">
        <v>171</v>
      </c>
      <c r="EI75" s="50" t="s">
        <v>172</v>
      </c>
      <c r="EJ75" s="50" t="s">
        <v>172</v>
      </c>
      <c r="EK75" s="50" t="s">
        <v>172</v>
      </c>
      <c r="EL75" s="143" t="s">
        <v>172</v>
      </c>
      <c r="EM75" s="144">
        <f>EM71</f>
        <v>0</v>
      </c>
      <c r="EN75" s="53"/>
      <c r="EQ75" s="49" t="s">
        <v>171</v>
      </c>
      <c r="ER75" s="50" t="s">
        <v>172</v>
      </c>
      <c r="ES75" s="50" t="s">
        <v>172</v>
      </c>
      <c r="ET75" s="50" t="s">
        <v>172</v>
      </c>
      <c r="EU75" s="51" t="s">
        <v>172</v>
      </c>
      <c r="EV75" s="52">
        <f>EV71</f>
        <v>0</v>
      </c>
      <c r="EW75" s="53"/>
      <c r="EZ75" s="49" t="s">
        <v>171</v>
      </c>
      <c r="FA75" s="50" t="s">
        <v>172</v>
      </c>
      <c r="FB75" s="50" t="s">
        <v>172</v>
      </c>
      <c r="FC75" s="50" t="s">
        <v>172</v>
      </c>
      <c r="FD75" s="143" t="s">
        <v>172</v>
      </c>
      <c r="FE75" s="144">
        <f>FE71</f>
        <v>0</v>
      </c>
      <c r="FF75" s="53"/>
      <c r="FI75" s="49" t="s">
        <v>171</v>
      </c>
      <c r="FJ75" s="50" t="s">
        <v>172</v>
      </c>
      <c r="FK75" s="50" t="s">
        <v>172</v>
      </c>
      <c r="FL75" s="50" t="s">
        <v>172</v>
      </c>
      <c r="FM75" s="143" t="s">
        <v>172</v>
      </c>
      <c r="FN75" s="144">
        <f>FN71:FN71</f>
        <v>0</v>
      </c>
      <c r="FO75" s="53"/>
      <c r="FR75" s="49" t="s">
        <v>171</v>
      </c>
      <c r="FS75" s="429" t="s">
        <v>172</v>
      </c>
      <c r="FT75" s="429" t="s">
        <v>172</v>
      </c>
      <c r="FU75" s="429" t="s">
        <v>172</v>
      </c>
      <c r="FV75" s="420" t="s">
        <v>172</v>
      </c>
      <c r="FW75" s="421">
        <f>FW71</f>
        <v>620</v>
      </c>
      <c r="FX75" s="459">
        <f>FW75/20</f>
        <v>31</v>
      </c>
      <c r="FY75" s="460" t="s">
        <v>173</v>
      </c>
      <c r="GA75" s="49" t="s">
        <v>171</v>
      </c>
      <c r="GB75" s="429" t="s">
        <v>172</v>
      </c>
      <c r="GC75" s="429" t="s">
        <v>172</v>
      </c>
      <c r="GD75" s="429" t="s">
        <v>172</v>
      </c>
      <c r="GE75" s="420" t="s">
        <v>172</v>
      </c>
      <c r="GF75" s="421">
        <f>GF71</f>
        <v>5960</v>
      </c>
      <c r="GG75" s="461">
        <f>GF75/20</f>
        <v>298</v>
      </c>
      <c r="GH75" s="460" t="s">
        <v>173</v>
      </c>
      <c r="GI75" s="22"/>
      <c r="GJ75" s="49" t="s">
        <v>171</v>
      </c>
      <c r="GK75" s="429" t="s">
        <v>172</v>
      </c>
      <c r="GL75" s="429" t="s">
        <v>172</v>
      </c>
      <c r="GM75" s="429" t="s">
        <v>172</v>
      </c>
      <c r="GN75" s="420" t="s">
        <v>172</v>
      </c>
      <c r="GO75" s="421">
        <f>GO71</f>
        <v>5240</v>
      </c>
      <c r="GP75" s="459">
        <f>GO75/20</f>
        <v>262</v>
      </c>
      <c r="GQ75" s="460" t="s">
        <v>173</v>
      </c>
      <c r="GS75" s="49" t="s">
        <v>171</v>
      </c>
      <c r="GT75" s="50" t="s">
        <v>172</v>
      </c>
      <c r="GU75" s="50" t="s">
        <v>172</v>
      </c>
      <c r="GV75" s="50" t="s">
        <v>172</v>
      </c>
      <c r="GW75" s="143" t="s">
        <v>172</v>
      </c>
      <c r="GX75" s="144">
        <f>GX71</f>
        <v>0</v>
      </c>
      <c r="GY75" s="53"/>
      <c r="HB75" s="49" t="s">
        <v>171</v>
      </c>
      <c r="HC75" s="50" t="s">
        <v>172</v>
      </c>
      <c r="HD75" s="50" t="s">
        <v>172</v>
      </c>
      <c r="HE75" s="50" t="s">
        <v>172</v>
      </c>
      <c r="HF75" s="143" t="s">
        <v>172</v>
      </c>
      <c r="HG75" s="144">
        <f>HG71</f>
        <v>0</v>
      </c>
      <c r="HH75" s="53"/>
      <c r="HK75" s="49" t="s">
        <v>171</v>
      </c>
      <c r="HL75" s="50" t="s">
        <v>172</v>
      </c>
      <c r="HM75" s="50" t="s">
        <v>172</v>
      </c>
      <c r="HN75" s="50" t="s">
        <v>172</v>
      </c>
      <c r="HO75" s="143" t="s">
        <v>172</v>
      </c>
      <c r="HP75" s="144">
        <f>HP71</f>
        <v>0</v>
      </c>
      <c r="HQ75" s="53"/>
      <c r="HU75" s="49" t="s">
        <v>171</v>
      </c>
      <c r="HV75" s="50" t="s">
        <v>172</v>
      </c>
      <c r="HW75" s="142" t="s">
        <v>172</v>
      </c>
      <c r="HX75" s="50" t="s">
        <v>172</v>
      </c>
      <c r="HY75" s="143" t="s">
        <v>172</v>
      </c>
      <c r="HZ75" s="144">
        <f>HZ71</f>
        <v>5120</v>
      </c>
      <c r="IA75" s="459">
        <f>HZ75/20</f>
        <v>256</v>
      </c>
      <c r="IB75" s="460" t="s">
        <v>173</v>
      </c>
      <c r="ID75" s="49" t="s">
        <v>171</v>
      </c>
      <c r="IE75" s="50" t="s">
        <v>172</v>
      </c>
      <c r="IF75" s="142" t="s">
        <v>172</v>
      </c>
      <c r="IG75" s="50" t="s">
        <v>172</v>
      </c>
      <c r="IH75" s="143" t="s">
        <v>172</v>
      </c>
      <c r="II75" s="144">
        <f>II71</f>
        <v>5100</v>
      </c>
      <c r="IJ75" s="459">
        <f>II75/20</f>
        <v>255</v>
      </c>
      <c r="IK75" s="460" t="s">
        <v>173</v>
      </c>
      <c r="IM75" s="49" t="s">
        <v>171</v>
      </c>
      <c r="IN75" s="50" t="s">
        <v>172</v>
      </c>
      <c r="IO75" s="142" t="s">
        <v>172</v>
      </c>
      <c r="IP75" s="50" t="s">
        <v>172</v>
      </c>
      <c r="IQ75" s="143" t="s">
        <v>172</v>
      </c>
      <c r="IR75" s="144">
        <f>IR71</f>
        <v>10240</v>
      </c>
      <c r="IS75" s="459">
        <f>IR75/20</f>
        <v>512</v>
      </c>
      <c r="IT75" s="460" t="s">
        <v>173</v>
      </c>
      <c r="IV75" s="49" t="s">
        <v>171</v>
      </c>
      <c r="IW75" s="50" t="s">
        <v>172</v>
      </c>
      <c r="IX75" s="142" t="s">
        <v>172</v>
      </c>
      <c r="IY75" s="142" t="s">
        <v>172</v>
      </c>
      <c r="IZ75" s="143" t="s">
        <v>172</v>
      </c>
      <c r="JA75" s="144">
        <f>JA71</f>
        <v>15120</v>
      </c>
      <c r="JB75" s="459">
        <f>JA75/20</f>
        <v>756</v>
      </c>
      <c r="JC75" s="460" t="s">
        <v>173</v>
      </c>
      <c r="JE75" s="49" t="s">
        <v>171</v>
      </c>
      <c r="JF75" s="50" t="s">
        <v>172</v>
      </c>
      <c r="JG75" s="142" t="s">
        <v>172</v>
      </c>
      <c r="JH75" s="142" t="s">
        <v>172</v>
      </c>
      <c r="JI75" s="143" t="s">
        <v>172</v>
      </c>
      <c r="JJ75" s="144">
        <f>JJ71</f>
        <v>3320</v>
      </c>
      <c r="JK75" s="459">
        <f>JJ75/20</f>
        <v>166</v>
      </c>
      <c r="JL75" s="460" t="s">
        <v>173</v>
      </c>
      <c r="JN75" s="49" t="s">
        <v>171</v>
      </c>
      <c r="JO75" s="50" t="s">
        <v>172</v>
      </c>
      <c r="JP75" s="142" t="s">
        <v>172</v>
      </c>
      <c r="JQ75" s="142" t="s">
        <v>172</v>
      </c>
      <c r="JR75" s="143" t="s">
        <v>172</v>
      </c>
      <c r="JS75" s="144">
        <f>JS71</f>
        <v>5400</v>
      </c>
      <c r="JT75" s="459">
        <f>JS75/20</f>
        <v>270</v>
      </c>
      <c r="JU75" s="460" t="s">
        <v>173</v>
      </c>
      <c r="JW75" s="49" t="s">
        <v>171</v>
      </c>
      <c r="JX75" s="50" t="s">
        <v>172</v>
      </c>
      <c r="JY75" s="142" t="s">
        <v>172</v>
      </c>
      <c r="JZ75" s="142" t="s">
        <v>172</v>
      </c>
      <c r="KA75" s="143" t="s">
        <v>172</v>
      </c>
      <c r="KB75" s="144">
        <f>KB71</f>
        <v>4000</v>
      </c>
      <c r="KC75" s="459">
        <f>KB75/20</f>
        <v>200</v>
      </c>
      <c r="KD75" s="460" t="s">
        <v>173</v>
      </c>
      <c r="KF75" s="49" t="s">
        <v>171</v>
      </c>
      <c r="KG75" s="50" t="s">
        <v>172</v>
      </c>
      <c r="KH75" s="142" t="s">
        <v>172</v>
      </c>
      <c r="KI75" s="50" t="s">
        <v>172</v>
      </c>
      <c r="KJ75" s="143" t="s">
        <v>172</v>
      </c>
      <c r="KK75" s="144">
        <f>KK71</f>
        <v>0</v>
      </c>
      <c r="KL75" s="459">
        <f>KK75/19.5</f>
        <v>0</v>
      </c>
      <c r="KM75" s="460" t="s">
        <v>173</v>
      </c>
      <c r="KO75" s="49" t="s">
        <v>171</v>
      </c>
      <c r="KP75" s="50" t="s">
        <v>172</v>
      </c>
      <c r="KQ75" s="142" t="s">
        <v>172</v>
      </c>
      <c r="KR75" s="50" t="s">
        <v>172</v>
      </c>
      <c r="KS75" s="143" t="s">
        <v>172</v>
      </c>
      <c r="KT75" s="144">
        <f>KT71</f>
        <v>6539.4000000000005</v>
      </c>
      <c r="KU75" s="459">
        <f>KT75/18.9</f>
        <v>346.00000000000006</v>
      </c>
      <c r="KW75" s="22"/>
      <c r="KX75" s="49" t="s">
        <v>171</v>
      </c>
      <c r="KY75" s="50" t="s">
        <v>172</v>
      </c>
      <c r="KZ75" s="142" t="s">
        <v>172</v>
      </c>
      <c r="LA75" s="50" t="s">
        <v>172</v>
      </c>
      <c r="LB75" s="143" t="s">
        <v>172</v>
      </c>
      <c r="LC75" s="144">
        <f>LC71</f>
        <v>0</v>
      </c>
      <c r="LD75" s="53"/>
      <c r="LG75" s="49" t="s">
        <v>171</v>
      </c>
      <c r="LH75" s="50" t="s">
        <v>172</v>
      </c>
      <c r="LI75" s="142" t="s">
        <v>172</v>
      </c>
      <c r="LJ75" s="142" t="s">
        <v>172</v>
      </c>
      <c r="LK75" s="143" t="s">
        <v>172</v>
      </c>
      <c r="LL75" s="144">
        <f>LL71</f>
        <v>0</v>
      </c>
      <c r="LM75" s="53"/>
      <c r="LP75" s="49" t="s">
        <v>171</v>
      </c>
      <c r="LQ75" s="50" t="s">
        <v>172</v>
      </c>
      <c r="LR75" s="142" t="s">
        <v>172</v>
      </c>
      <c r="LS75" s="50" t="s">
        <v>172</v>
      </c>
      <c r="LT75" s="143" t="s">
        <v>172</v>
      </c>
      <c r="LU75" s="144">
        <f>LU71</f>
        <v>0</v>
      </c>
      <c r="LV75" s="53"/>
      <c r="LY75" s="49" t="s">
        <v>171</v>
      </c>
      <c r="LZ75" s="50" t="s">
        <v>172</v>
      </c>
      <c r="MA75" s="142" t="s">
        <v>172</v>
      </c>
      <c r="MB75" s="142" t="s">
        <v>172</v>
      </c>
      <c r="MC75" s="143" t="s">
        <v>172</v>
      </c>
      <c r="MD75" s="144">
        <f>MD71</f>
        <v>0</v>
      </c>
      <c r="ME75" s="53"/>
      <c r="MH75" s="49" t="s">
        <v>171</v>
      </c>
      <c r="MI75" s="50" t="s">
        <v>172</v>
      </c>
      <c r="MJ75" s="142" t="s">
        <v>172</v>
      </c>
      <c r="MK75" s="142" t="s">
        <v>172</v>
      </c>
      <c r="ML75" s="143" t="s">
        <v>172</v>
      </c>
      <c r="MM75" s="144">
        <f>MM71</f>
        <v>0</v>
      </c>
      <c r="MN75" s="53"/>
      <c r="MQ75" s="49" t="s">
        <v>171</v>
      </c>
      <c r="MR75" s="50" t="s">
        <v>172</v>
      </c>
      <c r="MS75" s="142" t="s">
        <v>172</v>
      </c>
      <c r="MT75" s="142" t="s">
        <v>172</v>
      </c>
      <c r="MU75" s="143" t="s">
        <v>172</v>
      </c>
      <c r="MV75" s="144">
        <f>MV71</f>
        <v>4123</v>
      </c>
      <c r="MW75" s="53"/>
      <c r="MZ75" s="49" t="s">
        <v>171</v>
      </c>
      <c r="NA75" s="50" t="s">
        <v>172</v>
      </c>
      <c r="NB75" s="142" t="s">
        <v>172</v>
      </c>
      <c r="NC75" s="142" t="s">
        <v>172</v>
      </c>
      <c r="ND75" s="143" t="s">
        <v>172</v>
      </c>
      <c r="NE75" s="144">
        <f>NE71</f>
        <v>0</v>
      </c>
      <c r="NF75" s="53"/>
      <c r="NI75" s="49" t="s">
        <v>171</v>
      </c>
      <c r="NJ75" s="50" t="s">
        <v>172</v>
      </c>
      <c r="NK75" s="142" t="s">
        <v>172</v>
      </c>
      <c r="NL75" s="50" t="s">
        <v>172</v>
      </c>
      <c r="NM75" s="143" t="s">
        <v>172</v>
      </c>
      <c r="NN75" s="144"/>
      <c r="NO75" s="53"/>
      <c r="NR75" s="49" t="s">
        <v>171</v>
      </c>
      <c r="NS75" s="50" t="s">
        <v>172</v>
      </c>
      <c r="NT75" s="142" t="s">
        <v>172</v>
      </c>
      <c r="NU75" s="50" t="s">
        <v>172</v>
      </c>
      <c r="NV75" s="143" t="s">
        <v>172</v>
      </c>
      <c r="NW75" s="144">
        <f>NW71</f>
        <v>1947.7</v>
      </c>
      <c r="NX75" s="53"/>
      <c r="OA75" s="49" t="s">
        <v>171</v>
      </c>
      <c r="OB75" s="50" t="s">
        <v>172</v>
      </c>
      <c r="OC75" s="142" t="s">
        <v>172</v>
      </c>
      <c r="OD75" s="142" t="s">
        <v>172</v>
      </c>
      <c r="OE75" s="143" t="s">
        <v>172</v>
      </c>
      <c r="OF75" s="144">
        <f>OF71</f>
        <v>1680.5</v>
      </c>
      <c r="OG75" s="53"/>
      <c r="OJ75" s="49" t="s">
        <v>171</v>
      </c>
      <c r="OK75" s="50" t="s">
        <v>172</v>
      </c>
      <c r="OL75" s="142" t="s">
        <v>172</v>
      </c>
      <c r="OM75" s="142" t="s">
        <v>172</v>
      </c>
      <c r="ON75" s="143" t="s">
        <v>172</v>
      </c>
      <c r="OO75" s="144"/>
      <c r="OP75" s="53"/>
      <c r="OS75" s="49" t="s">
        <v>171</v>
      </c>
      <c r="OT75" s="50" t="s">
        <v>172</v>
      </c>
      <c r="OU75" s="142" t="s">
        <v>172</v>
      </c>
      <c r="OV75" s="142" t="s">
        <v>172</v>
      </c>
      <c r="OW75" s="143" t="s">
        <v>172</v>
      </c>
      <c r="OX75" s="144">
        <f>OX71</f>
        <v>0</v>
      </c>
      <c r="OY75" s="53"/>
      <c r="PB75" s="49" t="s">
        <v>171</v>
      </c>
      <c r="PC75" s="50" t="s">
        <v>172</v>
      </c>
      <c r="PD75" s="142" t="s">
        <v>172</v>
      </c>
      <c r="PE75" s="142" t="s">
        <v>172</v>
      </c>
      <c r="PF75" s="143" t="s">
        <v>172</v>
      </c>
      <c r="PG75" s="144">
        <f>PG71</f>
        <v>0</v>
      </c>
      <c r="PH75" s="53"/>
      <c r="PK75" s="49" t="s">
        <v>171</v>
      </c>
      <c r="PL75" s="50" t="s">
        <v>172</v>
      </c>
      <c r="PM75" s="142" t="s">
        <v>172</v>
      </c>
      <c r="PN75" s="142" t="s">
        <v>172</v>
      </c>
      <c r="PO75" s="143" t="s">
        <v>172</v>
      </c>
      <c r="PP75" s="144">
        <f>PP71</f>
        <v>100</v>
      </c>
      <c r="PQ75" s="53"/>
      <c r="PT75" s="49" t="s">
        <v>171</v>
      </c>
      <c r="PU75" s="50" t="s">
        <v>172</v>
      </c>
      <c r="PV75" s="142" t="s">
        <v>172</v>
      </c>
      <c r="PW75" s="142" t="s">
        <v>172</v>
      </c>
      <c r="PX75" s="143" t="s">
        <v>172</v>
      </c>
      <c r="PY75" s="144">
        <f>PY71</f>
        <v>13.960000000000036</v>
      </c>
      <c r="PZ75" s="53"/>
      <c r="QC75" s="49" t="s">
        <v>171</v>
      </c>
      <c r="QD75" s="50" t="s">
        <v>172</v>
      </c>
      <c r="QE75" s="142" t="s">
        <v>172</v>
      </c>
      <c r="QF75" s="142" t="s">
        <v>172</v>
      </c>
      <c r="QG75" s="143" t="s">
        <v>172</v>
      </c>
      <c r="QH75" s="144">
        <f>QH71</f>
        <v>344</v>
      </c>
      <c r="QI75" s="53"/>
      <c r="QL75" s="49" t="s">
        <v>171</v>
      </c>
      <c r="QM75" s="50" t="s">
        <v>172</v>
      </c>
      <c r="QN75" s="142" t="s">
        <v>172</v>
      </c>
      <c r="QO75" s="142" t="s">
        <v>172</v>
      </c>
      <c r="QP75" s="143" t="s">
        <v>172</v>
      </c>
      <c r="QQ75" s="144">
        <f>QQ71</f>
        <v>0</v>
      </c>
      <c r="QR75" s="53"/>
      <c r="QU75" s="49" t="s">
        <v>171</v>
      </c>
      <c r="QV75" s="50" t="s">
        <v>172</v>
      </c>
      <c r="QW75" s="142" t="s">
        <v>172</v>
      </c>
      <c r="QX75" s="142" t="s">
        <v>172</v>
      </c>
      <c r="QY75" s="143" t="s">
        <v>172</v>
      </c>
      <c r="QZ75" s="144">
        <f>QZ71</f>
        <v>207.6</v>
      </c>
      <c r="RA75" s="53"/>
      <c r="RD75" s="49" t="s">
        <v>171</v>
      </c>
      <c r="RE75" s="50" t="s">
        <v>172</v>
      </c>
      <c r="RF75" s="142" t="s">
        <v>172</v>
      </c>
      <c r="RG75" s="142" t="s">
        <v>172</v>
      </c>
      <c r="RH75" s="143" t="s">
        <v>172</v>
      </c>
      <c r="RI75" s="144">
        <f>RI71</f>
        <v>197.04000000000002</v>
      </c>
      <c r="RJ75" s="53"/>
      <c r="RM75" s="49" t="s">
        <v>171</v>
      </c>
      <c r="RN75" s="50" t="s">
        <v>172</v>
      </c>
      <c r="RO75" s="142" t="s">
        <v>172</v>
      </c>
      <c r="RP75" s="142" t="s">
        <v>172</v>
      </c>
      <c r="RQ75" s="143" t="s">
        <v>172</v>
      </c>
      <c r="RR75" s="144">
        <f>RR71</f>
        <v>46.8</v>
      </c>
      <c r="RS75" s="53"/>
      <c r="RV75" s="49" t="s">
        <v>171</v>
      </c>
      <c r="RW75" s="50" t="s">
        <v>172</v>
      </c>
      <c r="RX75" s="142" t="s">
        <v>172</v>
      </c>
      <c r="RY75" s="142" t="s">
        <v>172</v>
      </c>
      <c r="RZ75" s="143" t="s">
        <v>172</v>
      </c>
      <c r="SA75" s="144">
        <f>SA71</f>
        <v>0</v>
      </c>
      <c r="SB75" s="53"/>
      <c r="SE75" s="49" t="s">
        <v>171</v>
      </c>
      <c r="SF75" s="50" t="s">
        <v>172</v>
      </c>
      <c r="SG75" s="142" t="s">
        <v>172</v>
      </c>
      <c r="SH75" s="142" t="s">
        <v>172</v>
      </c>
      <c r="SI75" s="143" t="s">
        <v>172</v>
      </c>
      <c r="SJ75" s="144">
        <f>SJ71</f>
        <v>0</v>
      </c>
      <c r="SK75" s="53"/>
      <c r="SN75" s="49" t="s">
        <v>171</v>
      </c>
      <c r="SO75" s="50" t="s">
        <v>172</v>
      </c>
      <c r="SP75" s="142" t="s">
        <v>172</v>
      </c>
      <c r="SQ75" s="142" t="s">
        <v>172</v>
      </c>
      <c r="SR75" s="143" t="s">
        <v>172</v>
      </c>
      <c r="SS75" s="144">
        <f>SS71</f>
        <v>0</v>
      </c>
      <c r="ST75" s="53"/>
      <c r="SW75" s="49" t="s">
        <v>171</v>
      </c>
      <c r="SX75" s="50" t="s">
        <v>172</v>
      </c>
      <c r="SY75" s="142" t="s">
        <v>172</v>
      </c>
      <c r="SZ75" s="142" t="s">
        <v>172</v>
      </c>
      <c r="TA75" s="143" t="s">
        <v>172</v>
      </c>
      <c r="TB75" s="144">
        <f>TB71</f>
        <v>0</v>
      </c>
      <c r="TC75" s="53"/>
      <c r="TF75" s="49" t="s">
        <v>171</v>
      </c>
      <c r="TG75" s="50" t="s">
        <v>172</v>
      </c>
      <c r="TH75" s="142" t="s">
        <v>172</v>
      </c>
      <c r="TI75" s="142" t="s">
        <v>172</v>
      </c>
      <c r="TJ75" s="143" t="s">
        <v>172</v>
      </c>
      <c r="TK75" s="144">
        <f>TK71</f>
        <v>0</v>
      </c>
      <c r="TL75" s="53"/>
      <c r="TO75" s="49" t="s">
        <v>171</v>
      </c>
      <c r="TP75" s="50" t="s">
        <v>172</v>
      </c>
      <c r="TQ75" s="142" t="s">
        <v>172</v>
      </c>
      <c r="TR75" s="142" t="s">
        <v>172</v>
      </c>
      <c r="TS75" s="143" t="s">
        <v>172</v>
      </c>
      <c r="TT75" s="144">
        <f>TT71</f>
        <v>0</v>
      </c>
      <c r="TU75" s="53"/>
      <c r="TX75" s="49" t="s">
        <v>171</v>
      </c>
      <c r="TY75" s="50" t="s">
        <v>172</v>
      </c>
      <c r="TZ75" s="142" t="s">
        <v>172</v>
      </c>
      <c r="UA75" s="142" t="s">
        <v>172</v>
      </c>
      <c r="UB75" s="143" t="s">
        <v>172</v>
      </c>
      <c r="UC75" s="144">
        <f>UC71</f>
        <v>0</v>
      </c>
      <c r="UD75" s="53"/>
      <c r="UG75" s="49" t="s">
        <v>171</v>
      </c>
      <c r="UH75" s="50" t="s">
        <v>172</v>
      </c>
      <c r="UI75" s="142" t="s">
        <v>172</v>
      </c>
      <c r="UJ75" s="142" t="s">
        <v>172</v>
      </c>
      <c r="UK75" s="143" t="s">
        <v>172</v>
      </c>
      <c r="UL75" s="144">
        <f>UL71</f>
        <v>0</v>
      </c>
      <c r="UM75" s="53"/>
      <c r="UP75" s="49" t="s">
        <v>171</v>
      </c>
      <c r="UQ75" s="50" t="s">
        <v>172</v>
      </c>
      <c r="UR75" s="142" t="s">
        <v>172</v>
      </c>
      <c r="US75" s="142" t="s">
        <v>172</v>
      </c>
      <c r="UT75" s="143" t="s">
        <v>172</v>
      </c>
      <c r="UU75" s="144">
        <f>UU71</f>
        <v>0</v>
      </c>
      <c r="UV75" s="53"/>
      <c r="UY75" s="49" t="s">
        <v>171</v>
      </c>
      <c r="UZ75" s="50" t="s">
        <v>172</v>
      </c>
      <c r="VA75" s="142" t="s">
        <v>172</v>
      </c>
      <c r="VB75" s="142" t="s">
        <v>172</v>
      </c>
      <c r="VC75" s="143" t="s">
        <v>172</v>
      </c>
      <c r="VD75" s="144">
        <f>VD71</f>
        <v>41.600000000000023</v>
      </c>
      <c r="VE75" s="53"/>
      <c r="VH75" s="49" t="s">
        <v>171</v>
      </c>
      <c r="VI75" s="50" t="s">
        <v>172</v>
      </c>
      <c r="VJ75" s="142" t="s">
        <v>172</v>
      </c>
      <c r="VK75" s="142" t="s">
        <v>172</v>
      </c>
      <c r="VL75" s="143" t="s">
        <v>172</v>
      </c>
      <c r="VM75" s="144">
        <f>VM71</f>
        <v>0</v>
      </c>
      <c r="VN75" s="53"/>
      <c r="VQ75" s="49" t="s">
        <v>171</v>
      </c>
      <c r="VR75" s="50" t="s">
        <v>172</v>
      </c>
      <c r="VS75" s="142" t="s">
        <v>172</v>
      </c>
      <c r="VT75" s="142" t="s">
        <v>172</v>
      </c>
      <c r="VU75" s="143" t="s">
        <v>172</v>
      </c>
      <c r="VV75" s="144">
        <f>VV71</f>
        <v>0</v>
      </c>
      <c r="VW75" s="53"/>
      <c r="VZ75" s="49" t="s">
        <v>171</v>
      </c>
      <c r="WA75" s="50" t="s">
        <v>172</v>
      </c>
      <c r="WB75" s="142" t="s">
        <v>172</v>
      </c>
      <c r="WC75" s="142" t="s">
        <v>172</v>
      </c>
      <c r="WD75" s="143" t="s">
        <v>172</v>
      </c>
      <c r="WE75" s="144">
        <f>WE71</f>
        <v>0</v>
      </c>
      <c r="WF75" s="53"/>
      <c r="WI75" s="49" t="s">
        <v>171</v>
      </c>
      <c r="WJ75" s="50" t="s">
        <v>172</v>
      </c>
      <c r="WK75" s="142" t="s">
        <v>172</v>
      </c>
      <c r="WL75" s="142" t="s">
        <v>172</v>
      </c>
      <c r="WM75" s="143" t="s">
        <v>172</v>
      </c>
      <c r="WN75" s="144">
        <f>WN71</f>
        <v>6628</v>
      </c>
      <c r="WO75" s="53"/>
      <c r="WR75" s="49" t="s">
        <v>171</v>
      </c>
      <c r="WS75" s="50" t="s">
        <v>172</v>
      </c>
      <c r="WT75" s="142" t="s">
        <v>172</v>
      </c>
      <c r="WU75" s="142" t="s">
        <v>172</v>
      </c>
      <c r="WV75" s="143" t="s">
        <v>172</v>
      </c>
      <c r="WW75" s="144">
        <f>WW71</f>
        <v>6559</v>
      </c>
      <c r="WX75" s="53"/>
      <c r="XA75" s="49" t="s">
        <v>171</v>
      </c>
      <c r="XB75" s="50" t="s">
        <v>172</v>
      </c>
      <c r="XC75" s="142" t="s">
        <v>172</v>
      </c>
      <c r="XD75" s="142" t="s">
        <v>172</v>
      </c>
      <c r="XE75" s="143" t="s">
        <v>172</v>
      </c>
      <c r="XF75" s="144">
        <f>XF71</f>
        <v>590</v>
      </c>
      <c r="XG75" s="53"/>
      <c r="XJ75" s="49" t="s">
        <v>171</v>
      </c>
      <c r="XK75" s="50" t="s">
        <v>172</v>
      </c>
      <c r="XL75" s="142" t="s">
        <v>172</v>
      </c>
      <c r="XM75" s="142" t="s">
        <v>172</v>
      </c>
      <c r="XN75" s="143" t="s">
        <v>172</v>
      </c>
      <c r="XO75" s="144">
        <f>XO71</f>
        <v>3391</v>
      </c>
      <c r="XP75" s="53"/>
      <c r="XS75" s="49" t="s">
        <v>171</v>
      </c>
      <c r="XT75" s="50" t="s">
        <v>172</v>
      </c>
      <c r="XU75" s="142" t="s">
        <v>172</v>
      </c>
      <c r="XV75" s="142" t="s">
        <v>172</v>
      </c>
      <c r="XW75" s="143" t="s">
        <v>172</v>
      </c>
      <c r="XX75" s="144">
        <f>XX71</f>
        <v>1901</v>
      </c>
      <c r="XY75" s="53"/>
      <c r="YB75" s="49" t="s">
        <v>171</v>
      </c>
      <c r="YC75" s="50" t="s">
        <v>172</v>
      </c>
      <c r="YD75" s="142" t="s">
        <v>172</v>
      </c>
      <c r="YE75" s="142" t="s">
        <v>172</v>
      </c>
      <c r="YF75" s="143" t="s">
        <v>172</v>
      </c>
      <c r="YG75" s="144">
        <f>YG71</f>
        <v>0</v>
      </c>
      <c r="YH75" s="53"/>
      <c r="YK75" s="49" t="s">
        <v>171</v>
      </c>
      <c r="YL75" s="50" t="s">
        <v>172</v>
      </c>
      <c r="YM75" s="142" t="s">
        <v>172</v>
      </c>
      <c r="YN75" s="142" t="s">
        <v>172</v>
      </c>
      <c r="YO75" s="143" t="s">
        <v>172</v>
      </c>
      <c r="YP75" s="144">
        <f>YP71</f>
        <v>0</v>
      </c>
      <c r="YQ75" s="53"/>
      <c r="YT75" s="49" t="s">
        <v>171</v>
      </c>
      <c r="YU75" s="50" t="s">
        <v>172</v>
      </c>
      <c r="YV75" s="142" t="s">
        <v>172</v>
      </c>
      <c r="YW75" s="142" t="s">
        <v>172</v>
      </c>
      <c r="YX75" s="143" t="s">
        <v>172</v>
      </c>
      <c r="YY75" s="144">
        <f>YY71</f>
        <v>0</v>
      </c>
      <c r="YZ75" s="53"/>
      <c r="ZC75" s="49" t="s">
        <v>171</v>
      </c>
      <c r="ZD75" s="50" t="s">
        <v>172</v>
      </c>
      <c r="ZE75" s="142" t="s">
        <v>172</v>
      </c>
      <c r="ZF75" s="142" t="s">
        <v>172</v>
      </c>
      <c r="ZG75" s="143" t="s">
        <v>172</v>
      </c>
      <c r="ZH75" s="144">
        <f>ZH71</f>
        <v>0</v>
      </c>
      <c r="ZI75" s="53"/>
      <c r="ZL75" s="49" t="s">
        <v>171</v>
      </c>
      <c r="ZM75" s="50" t="s">
        <v>172</v>
      </c>
      <c r="ZN75" s="142" t="s">
        <v>172</v>
      </c>
      <c r="ZO75" s="142" t="s">
        <v>172</v>
      </c>
      <c r="ZP75" s="143" t="s">
        <v>172</v>
      </c>
      <c r="ZQ75" s="144">
        <f>ZQ71</f>
        <v>0</v>
      </c>
      <c r="ZR75" s="53"/>
      <c r="ZU75" s="49" t="s">
        <v>171</v>
      </c>
      <c r="ZV75" s="50" t="s">
        <v>172</v>
      </c>
      <c r="ZW75" s="142" t="s">
        <v>172</v>
      </c>
      <c r="ZX75" s="142" t="s">
        <v>172</v>
      </c>
      <c r="ZY75" s="143" t="s">
        <v>172</v>
      </c>
      <c r="ZZ75" s="144">
        <f>ZZ71</f>
        <v>0</v>
      </c>
      <c r="AAA75" s="53"/>
      <c r="AAD75" s="49" t="s">
        <v>171</v>
      </c>
      <c r="AAE75" s="50" t="s">
        <v>172</v>
      </c>
      <c r="AAF75" s="142" t="s">
        <v>172</v>
      </c>
      <c r="AAG75" s="142" t="s">
        <v>172</v>
      </c>
      <c r="AAH75" s="143" t="s">
        <v>172</v>
      </c>
      <c r="AAI75" s="144">
        <f>AAI71</f>
        <v>0</v>
      </c>
      <c r="AAJ75" s="53"/>
      <c r="AAM75" s="49" t="s">
        <v>171</v>
      </c>
      <c r="AAN75" s="50" t="s">
        <v>172</v>
      </c>
      <c r="AAO75" s="142" t="s">
        <v>172</v>
      </c>
      <c r="AAP75" s="142" t="s">
        <v>172</v>
      </c>
      <c r="AAQ75" s="143" t="s">
        <v>172</v>
      </c>
      <c r="AAR75" s="144">
        <f>AAR71</f>
        <v>0</v>
      </c>
      <c r="AAS75" s="53"/>
      <c r="AAV75" s="49" t="s">
        <v>171</v>
      </c>
      <c r="AAW75" s="50" t="s">
        <v>172</v>
      </c>
      <c r="AAX75" s="142" t="s">
        <v>172</v>
      </c>
      <c r="AAY75" s="142" t="s">
        <v>172</v>
      </c>
      <c r="AAZ75" s="143" t="s">
        <v>172</v>
      </c>
      <c r="ABA75" s="144">
        <f>ABA71</f>
        <v>0</v>
      </c>
      <c r="ABB75" s="53"/>
      <c r="ABE75" s="49" t="s">
        <v>171</v>
      </c>
      <c r="ABF75" s="50" t="s">
        <v>172</v>
      </c>
      <c r="ABG75" s="142" t="s">
        <v>172</v>
      </c>
      <c r="ABH75" s="142" t="s">
        <v>172</v>
      </c>
      <c r="ABI75" s="143" t="s">
        <v>172</v>
      </c>
      <c r="ABJ75" s="144">
        <f>ABJ71</f>
        <v>0</v>
      </c>
      <c r="ABK75" s="53"/>
    </row>
    <row r="76" spans="1:739" s="54" customFormat="1" ht="15" customHeight="1" outlineLevel="1">
      <c r="B76" s="478"/>
      <c r="C76" s="55">
        <v>46082</v>
      </c>
      <c r="D76" s="422"/>
      <c r="E76" s="423">
        <f>SUMPRODUCT(PRODUCE!$B87:$DY87,PRODUCE!$EB$7:$IY$7)</f>
        <v>0</v>
      </c>
      <c r="F76" s="422"/>
      <c r="G76" s="423">
        <f>E76-F76</f>
        <v>0</v>
      </c>
      <c r="H76" s="423">
        <f t="shared" ref="H76:H106" si="512">H75+D76-F76</f>
        <v>91614.800000000017</v>
      </c>
      <c r="I76" s="289"/>
      <c r="L76" s="55">
        <f t="shared" ref="L76:L106" si="513">C76</f>
        <v>46082</v>
      </c>
      <c r="M76" s="422"/>
      <c r="N76" s="438">
        <f>SUMPRODUCT(PRODUCE!$B87:$DY87,PRODUCE!$EB$8:$IY$8)</f>
        <v>0</v>
      </c>
      <c r="O76" s="422"/>
      <c r="P76" s="438">
        <f>N76-O76</f>
        <v>0</v>
      </c>
      <c r="Q76" s="438">
        <f>Q75+M76-O76</f>
        <v>65096.600000000035</v>
      </c>
      <c r="R76" s="56"/>
      <c r="U76" s="55">
        <f>L76</f>
        <v>46082</v>
      </c>
      <c r="V76" s="422"/>
      <c r="W76" s="440">
        <f>SUMPRODUCT(PRODUCE!$B87:$DY87,PRODUCE!$EB$9:$IY$9)</f>
        <v>0</v>
      </c>
      <c r="X76" s="422"/>
      <c r="Y76" s="440">
        <f>W76-X76</f>
        <v>0</v>
      </c>
      <c r="Z76" s="440">
        <f>Z75+V76-X76</f>
        <v>48372.799999999974</v>
      </c>
      <c r="AA76" s="56"/>
      <c r="AD76" s="55">
        <f>U76</f>
        <v>46082</v>
      </c>
      <c r="AE76" s="422"/>
      <c r="AF76" s="442">
        <f>SUMPRODUCT(PRODUCE!$B87:$DY87,PRODUCE!$EB$10:$IY$10)</f>
        <v>0</v>
      </c>
      <c r="AG76" s="422"/>
      <c r="AH76" s="442">
        <f>AF76-AG76</f>
        <v>0</v>
      </c>
      <c r="AI76" s="442">
        <f>AI75+AE76-AG76</f>
        <v>34138.200000000019</v>
      </c>
      <c r="AJ76" s="56"/>
      <c r="AM76" s="55">
        <f>AD76</f>
        <v>46082</v>
      </c>
      <c r="AN76" s="422"/>
      <c r="AO76" s="444">
        <f>SUMPRODUCT(PRODUCE!$B87:$DY87,PRODUCE!$EB$11:$IY$11)</f>
        <v>0</v>
      </c>
      <c r="AP76" s="422"/>
      <c r="AQ76" s="444">
        <f>AO76-AP76</f>
        <v>0</v>
      </c>
      <c r="AR76" s="444">
        <f>AR75+AN76-AP76</f>
        <v>0</v>
      </c>
      <c r="AS76" s="56"/>
      <c r="AV76" s="55">
        <f>AM76</f>
        <v>46082</v>
      </c>
      <c r="AW76" s="422"/>
      <c r="AX76" s="446">
        <f>SUMPRODUCT(PRODUCE!$B87:$DY87,PRODUCE!$EB$12:$IY$12)</f>
        <v>0</v>
      </c>
      <c r="AY76" s="422"/>
      <c r="AZ76" s="446">
        <f>AX76-AY76</f>
        <v>0</v>
      </c>
      <c r="BA76" s="446">
        <f>BA75+AW76-AY76</f>
        <v>47801.999999999985</v>
      </c>
      <c r="BB76" s="56"/>
      <c r="BE76" s="55">
        <f>AV76</f>
        <v>46082</v>
      </c>
      <c r="BF76" s="422"/>
      <c r="BG76" s="448">
        <f>SUMPRODUCT(PRODUCE!$B87:$DY87,PRODUCE!$EB$13:$IY$13)</f>
        <v>0</v>
      </c>
      <c r="BH76" s="422"/>
      <c r="BI76" s="448">
        <f>BG76-BH76</f>
        <v>0</v>
      </c>
      <c r="BJ76" s="448">
        <f>BJ75+BF76-BH76</f>
        <v>7501.8000000000047</v>
      </c>
      <c r="BK76" s="56"/>
      <c r="BN76" s="55">
        <f>BE76</f>
        <v>46082</v>
      </c>
      <c r="BO76" s="422"/>
      <c r="BP76" s="450">
        <f>SUMPRODUCT(PRODUCE!$B87:$DY87,PRODUCE!$EB$14:$IY$14)</f>
        <v>0</v>
      </c>
      <c r="BQ76" s="422"/>
      <c r="BR76" s="450">
        <f>BP76-BQ76</f>
        <v>0</v>
      </c>
      <c r="BS76" s="450">
        <f>BS75+BO76-BQ76</f>
        <v>0</v>
      </c>
      <c r="BT76" s="56"/>
      <c r="BW76" s="55">
        <f>BN76</f>
        <v>46082</v>
      </c>
      <c r="BX76" s="56"/>
      <c r="BY76" s="65">
        <f>SUMPRODUCT(PRODUCE!$B87:$DY87,PRODUCE!$EB$15:$IY$15)</f>
        <v>0</v>
      </c>
      <c r="BZ76" s="56"/>
      <c r="CA76" s="65">
        <f>BY76-BZ76</f>
        <v>0</v>
      </c>
      <c r="CB76" s="65">
        <f>CB75+BX76-BZ76</f>
        <v>8.0000000000001137</v>
      </c>
      <c r="CC76" s="56"/>
      <c r="CF76" s="55">
        <f>BW76</f>
        <v>46082</v>
      </c>
      <c r="CG76" s="56"/>
      <c r="CH76" s="66">
        <f>SUMPRODUCT(PRODUCE!$B87:$DY87,PRODUCE!$EB$16:$IY$16)</f>
        <v>0</v>
      </c>
      <c r="CI76" s="56"/>
      <c r="CJ76" s="66">
        <f>CH76-CI76</f>
        <v>0</v>
      </c>
      <c r="CK76" s="66">
        <f>CK75+CG76-CI76</f>
        <v>0</v>
      </c>
      <c r="CL76" s="56"/>
      <c r="CO76" s="55">
        <f>CF76</f>
        <v>46082</v>
      </c>
      <c r="CP76" s="422"/>
      <c r="CQ76" s="470">
        <f>SUMPRODUCT(PRODUCE!$B87:$DY87,PRODUCE!$EB$17:$IY$17)</f>
        <v>0</v>
      </c>
      <c r="CR76" s="422"/>
      <c r="CS76" s="470">
        <f>CQ76-CR76</f>
        <v>0</v>
      </c>
      <c r="CT76" s="470">
        <f>CT75+CP76-CR76</f>
        <v>0</v>
      </c>
      <c r="CU76" s="56"/>
      <c r="CX76" s="55">
        <f>CO76</f>
        <v>46082</v>
      </c>
      <c r="CY76" s="56"/>
      <c r="CZ76" s="133">
        <f>SUMPRODUCT(PRODUCE!$B87:$DY87,PRODUCE!$EB$18:$IY$18)</f>
        <v>0</v>
      </c>
      <c r="DA76" s="56"/>
      <c r="DB76" s="133">
        <f>CZ76-DA76</f>
        <v>0</v>
      </c>
      <c r="DC76" s="133">
        <f>DC75+CY76-DA76</f>
        <v>55052.4</v>
      </c>
      <c r="DD76" s="56"/>
      <c r="DG76" s="55">
        <f>CX76</f>
        <v>46082</v>
      </c>
      <c r="DH76" s="56"/>
      <c r="DI76" s="147">
        <f>SUMPRODUCT(PRODUCE!$B87:$DY87,PRODUCE!$EB$19:$IY$19)</f>
        <v>0</v>
      </c>
      <c r="DJ76" s="56"/>
      <c r="DK76" s="147">
        <f>DI76-DJ76</f>
        <v>0</v>
      </c>
      <c r="DL76" s="147">
        <f>DL75+DH76-DJ76</f>
        <v>-2.8421709430404007E-12</v>
      </c>
      <c r="DM76" s="56"/>
      <c r="DP76" s="55">
        <f>DG76</f>
        <v>46082</v>
      </c>
      <c r="DQ76" s="56"/>
      <c r="DR76" s="57">
        <f>SUMPRODUCT(PRODUCE!$B87:$DY87,PRODUCE!$EB$20:$IY$20)</f>
        <v>0</v>
      </c>
      <c r="DS76" s="56"/>
      <c r="DT76" s="57">
        <f>DR76-DS76</f>
        <v>0</v>
      </c>
      <c r="DU76" s="57">
        <f>DU75+DQ76-DS76</f>
        <v>2300</v>
      </c>
      <c r="DV76" s="56"/>
      <c r="DY76" s="55">
        <f>DP76</f>
        <v>46082</v>
      </c>
      <c r="DZ76" s="56"/>
      <c r="EA76" s="157">
        <f>SUMPRODUCT(PRODUCE!$B87:$DY87,PRODUCE!$EB$21:$IY$21)</f>
        <v>0</v>
      </c>
      <c r="EB76" s="56"/>
      <c r="EC76" s="157">
        <f>EA76-EB76</f>
        <v>0</v>
      </c>
      <c r="ED76" s="157">
        <f>ED75+DZ76-EB76</f>
        <v>5696.8</v>
      </c>
      <c r="EE76" s="56"/>
      <c r="EH76" s="55">
        <f>DY76</f>
        <v>46082</v>
      </c>
      <c r="EI76" s="56"/>
      <c r="EJ76" s="162">
        <f>SUMPRODUCT(PRODUCE!$B87:$DY87,PRODUCE!$EB$22:$IY$22)</f>
        <v>0</v>
      </c>
      <c r="EK76" s="56"/>
      <c r="EL76" s="162">
        <f>EJ76-EK76</f>
        <v>0</v>
      </c>
      <c r="EM76" s="162">
        <f>EM75+EI76-EK76</f>
        <v>0</v>
      </c>
      <c r="EN76" s="56"/>
      <c r="EQ76" s="55">
        <f>EH76</f>
        <v>46082</v>
      </c>
      <c r="ER76" s="56"/>
      <c r="ES76" s="135">
        <f>SUMPRODUCT(PRODUCE!$B87:$DY87,PRODUCE!$EB$23:$IY$23)</f>
        <v>0</v>
      </c>
      <c r="ET76" s="56"/>
      <c r="EU76" s="135">
        <f>ES76-ET76</f>
        <v>0</v>
      </c>
      <c r="EV76" s="135">
        <f>EV75+ER76-ET76</f>
        <v>0</v>
      </c>
      <c r="EW76" s="56"/>
      <c r="EZ76" s="55">
        <f>EQ76</f>
        <v>46082</v>
      </c>
      <c r="FA76" s="56"/>
      <c r="FB76" s="175">
        <f>SUMPRODUCT(PRODUCE!$B87:$DY87,PRODUCE!$EB$24:$IY$24)</f>
        <v>0</v>
      </c>
      <c r="FC76" s="56"/>
      <c r="FD76" s="175">
        <f>FB76-FC76</f>
        <v>0</v>
      </c>
      <c r="FE76" s="175">
        <f>FE75+FA76-FC76</f>
        <v>0</v>
      </c>
      <c r="FF76" s="56"/>
      <c r="FI76" s="55">
        <f>EZ76</f>
        <v>46082</v>
      </c>
      <c r="FJ76" s="56"/>
      <c r="FK76" s="183">
        <f>SUMPRODUCT(PRODUCE!$B87:$DY87,PRODUCE!$EB$25:$IY$25)</f>
        <v>0</v>
      </c>
      <c r="FL76" s="56"/>
      <c r="FM76" s="183">
        <f>FK76-FL76</f>
        <v>0</v>
      </c>
      <c r="FN76" s="183">
        <f>FN75+FJ76-FL76</f>
        <v>0</v>
      </c>
      <c r="FO76" s="56"/>
      <c r="FR76" s="55">
        <f>FI76</f>
        <v>46082</v>
      </c>
      <c r="FS76" s="422"/>
      <c r="FT76" s="452">
        <f>SUMPRODUCT(PRODUCE!$B87:$DY87,PRODUCE!$EB$26:$IY$26)</f>
        <v>0</v>
      </c>
      <c r="FU76" s="422"/>
      <c r="FV76" s="452">
        <f>FT76-FU76</f>
        <v>0</v>
      </c>
      <c r="FW76" s="452">
        <f>FW75+FS76-FU76</f>
        <v>620</v>
      </c>
      <c r="FX76" s="56"/>
      <c r="GA76" s="55">
        <f>FR76</f>
        <v>46082</v>
      </c>
      <c r="GB76" s="422"/>
      <c r="GC76" s="454">
        <f>SUMPRODUCT(PRODUCE!$B87:$DY87,PRODUCE!$EB$27:$IY$27)</f>
        <v>0</v>
      </c>
      <c r="GD76" s="422"/>
      <c r="GE76" s="454">
        <f>GC76-GD76</f>
        <v>0</v>
      </c>
      <c r="GF76" s="454">
        <f>GF75+GB76-GD76</f>
        <v>5960</v>
      </c>
      <c r="GG76" s="56"/>
      <c r="GI76" s="23"/>
      <c r="GJ76" s="55">
        <f>GA76</f>
        <v>46082</v>
      </c>
      <c r="GK76" s="422"/>
      <c r="GL76" s="456">
        <f>SUMPRODUCT(PRODUCE!$B87:$DY87,PRODUCE!$EB$28:$IY$28)</f>
        <v>0</v>
      </c>
      <c r="GM76" s="422"/>
      <c r="GN76" s="456">
        <f>GL76-GM76</f>
        <v>0</v>
      </c>
      <c r="GO76" s="456">
        <f>GO75+GK76-GM76</f>
        <v>5240</v>
      </c>
      <c r="GP76" s="56"/>
      <c r="GS76" s="55">
        <f>GJ76</f>
        <v>46082</v>
      </c>
      <c r="GT76" s="56"/>
      <c r="GU76" s="195">
        <f>SUMPRODUCT(PRODUCE!$B87:$DY87,PRODUCE!$EB$29:$IY$29)</f>
        <v>0</v>
      </c>
      <c r="GV76" s="56"/>
      <c r="GW76" s="195">
        <f>GU76-GV76</f>
        <v>0</v>
      </c>
      <c r="GX76" s="195">
        <f>GX75+GT76-GV76</f>
        <v>0</v>
      </c>
      <c r="GY76" s="56"/>
      <c r="HB76" s="55">
        <f>GS76</f>
        <v>46082</v>
      </c>
      <c r="HC76" s="56"/>
      <c r="HD76" s="191">
        <f>SUMPRODUCT(PRODUCE!$B87:$DY87,PRODUCE!$EB$30:$IY$30)</f>
        <v>0</v>
      </c>
      <c r="HE76" s="56"/>
      <c r="HF76" s="191">
        <f>HD76-HE76</f>
        <v>0</v>
      </c>
      <c r="HG76" s="191">
        <f>HG75+HC76-HE76</f>
        <v>0</v>
      </c>
      <c r="HH76" s="56"/>
      <c r="HK76" s="55">
        <f>HB76</f>
        <v>46082</v>
      </c>
      <c r="HL76" s="56"/>
      <c r="HM76" s="63">
        <f>SUMPRODUCT(PRODUCE!$B87:$DY87,PRODUCE!$EB$31:$IY$31)</f>
        <v>0</v>
      </c>
      <c r="HN76" s="56"/>
      <c r="HO76" s="63">
        <f>HM76-HN76</f>
        <v>0</v>
      </c>
      <c r="HP76" s="63">
        <f>HP75+HL76-HN76</f>
        <v>0</v>
      </c>
      <c r="HQ76" s="56"/>
      <c r="HU76" s="55">
        <f>HK76</f>
        <v>46082</v>
      </c>
      <c r="HV76" s="56"/>
      <c r="HW76" s="242">
        <f>SUMPRODUCT(PRODUCE!$B87:$DY87,PRODUCE!$EB$32:$IY$32)</f>
        <v>0</v>
      </c>
      <c r="HX76" s="56"/>
      <c r="HY76" s="242">
        <f>HW76-HX76</f>
        <v>0</v>
      </c>
      <c r="HZ76" s="242">
        <f>HZ75+HV76-HX76</f>
        <v>5120</v>
      </c>
      <c r="IA76" s="56"/>
      <c r="ID76" s="55">
        <f>HU76</f>
        <v>46082</v>
      </c>
      <c r="IE76" s="56"/>
      <c r="IF76" s="242">
        <f>SUMPRODUCT(PRODUCE!$B87:$DY87,PRODUCE!$EB$33:$IY$33)</f>
        <v>0</v>
      </c>
      <c r="IG76" s="56"/>
      <c r="IH76" s="242">
        <f>IF76-IG76</f>
        <v>0</v>
      </c>
      <c r="II76" s="242">
        <f>II75+IE76-IG76</f>
        <v>5100</v>
      </c>
      <c r="IJ76" s="56"/>
      <c r="IM76" s="55">
        <f>ID76</f>
        <v>46082</v>
      </c>
      <c r="IN76" s="56"/>
      <c r="IO76" s="242">
        <f>SUMPRODUCT(PRODUCE!$B87:$DY87,PRODUCE!$EB$34:$IY$34)</f>
        <v>0</v>
      </c>
      <c r="IP76" s="56"/>
      <c r="IQ76" s="242">
        <f>IO76-IP76</f>
        <v>0</v>
      </c>
      <c r="IR76" s="242">
        <f>IR75+IN76-IP76</f>
        <v>10240</v>
      </c>
      <c r="IS76" s="56"/>
      <c r="IV76" s="55">
        <f>IM76</f>
        <v>46082</v>
      </c>
      <c r="IW76" s="56"/>
      <c r="IX76" s="242">
        <f>SUMPRODUCT(PRODUCE!$B87:$DY87,PRODUCE!$EB$35:$IY$35)</f>
        <v>0</v>
      </c>
      <c r="IY76" s="56"/>
      <c r="IZ76" s="242">
        <f>IX76-IY76</f>
        <v>0</v>
      </c>
      <c r="JA76" s="242">
        <f>JA75+IW76-IY76</f>
        <v>15120</v>
      </c>
      <c r="JB76" s="56"/>
      <c r="JE76" s="55">
        <f>IV76</f>
        <v>46082</v>
      </c>
      <c r="JF76" s="56"/>
      <c r="JG76" s="242">
        <f>SUMPRODUCT(PRODUCE!$B87:$DY87,PRODUCE!$EB$36:$IY$36)</f>
        <v>0</v>
      </c>
      <c r="JH76" s="56"/>
      <c r="JI76" s="242">
        <f>JG76-JH76</f>
        <v>0</v>
      </c>
      <c r="JJ76" s="242">
        <f>JJ75+JF76-JH76</f>
        <v>3320</v>
      </c>
      <c r="JK76" s="56"/>
      <c r="JN76" s="55">
        <f>JE76</f>
        <v>46082</v>
      </c>
      <c r="JO76" s="56"/>
      <c r="JP76" s="242">
        <f>SUMPRODUCT(PRODUCE!$B87:$DY87,PRODUCE!$EB$37:$IY$37)</f>
        <v>0</v>
      </c>
      <c r="JQ76" s="56"/>
      <c r="JR76" s="242">
        <f>JP76-JQ76</f>
        <v>0</v>
      </c>
      <c r="JS76" s="242">
        <f>JS75+JO76-JQ76</f>
        <v>5400</v>
      </c>
      <c r="JT76" s="56"/>
      <c r="JW76" s="55">
        <f>JN76</f>
        <v>46082</v>
      </c>
      <c r="JX76" s="56"/>
      <c r="JY76" s="242">
        <f>SUMPRODUCT(PRODUCE!$B87:$DY87,PRODUCE!$EB$38:$IY$38)</f>
        <v>0</v>
      </c>
      <c r="JZ76" s="56"/>
      <c r="KA76" s="242">
        <f>JY76-JZ76</f>
        <v>0</v>
      </c>
      <c r="KB76" s="242">
        <f>KB75+JX76-JZ76</f>
        <v>4000</v>
      </c>
      <c r="KC76" s="56"/>
      <c r="KF76" s="55">
        <f>JW76</f>
        <v>46082</v>
      </c>
      <c r="KG76" s="56"/>
      <c r="KH76" s="242">
        <f>SUMPRODUCT(PRODUCE!$B87:$DY87,PRODUCE!$EB$39:$IY$39)</f>
        <v>0</v>
      </c>
      <c r="KI76" s="56"/>
      <c r="KJ76" s="242">
        <f>KH76-KI76</f>
        <v>0</v>
      </c>
      <c r="KK76" s="242">
        <f>KK75+KG76-KI76</f>
        <v>0</v>
      </c>
      <c r="KL76" s="56"/>
      <c r="KO76" s="55">
        <f>KF76</f>
        <v>46082</v>
      </c>
      <c r="KP76" s="56"/>
      <c r="KQ76" s="242">
        <f>SUMPRODUCT(PRODUCE!$B87:$DY87,PRODUCE!$EB$40:$IY$40)</f>
        <v>0</v>
      </c>
      <c r="KR76" s="56"/>
      <c r="KS76" s="242">
        <f>KQ76-KR76</f>
        <v>0</v>
      </c>
      <c r="KT76" s="242">
        <f>KT75+KP76-KR76</f>
        <v>6539.4000000000005</v>
      </c>
      <c r="KU76" s="56"/>
      <c r="KW76" s="23"/>
      <c r="KX76" s="55">
        <f>KO76</f>
        <v>46082</v>
      </c>
      <c r="KY76" s="56"/>
      <c r="KZ76" s="242">
        <f>SUMPRODUCT(PRODUCE!$B87:$DY87,PRODUCE!$EB$41:$IY$41)</f>
        <v>0</v>
      </c>
      <c r="LA76" s="56"/>
      <c r="LB76" s="242">
        <f>KZ76-LA76</f>
        <v>0</v>
      </c>
      <c r="LC76" s="242">
        <f>LC75+KY76-LA76</f>
        <v>0</v>
      </c>
      <c r="LD76" s="56"/>
      <c r="LG76" s="55">
        <f>KX76</f>
        <v>46082</v>
      </c>
      <c r="LH76" s="56"/>
      <c r="LI76" s="242">
        <f>SUMPRODUCT(PRODUCE!$B87:$DY87,PRODUCE!$EB$42:$IY$42)</f>
        <v>0</v>
      </c>
      <c r="LJ76" s="56"/>
      <c r="LK76" s="242">
        <f>LI76-LJ76</f>
        <v>0</v>
      </c>
      <c r="LL76" s="242">
        <f>LL75+LH76-LJ76</f>
        <v>0</v>
      </c>
      <c r="LM76" s="56"/>
      <c r="LP76" s="55">
        <f>LG76</f>
        <v>46082</v>
      </c>
      <c r="LQ76" s="56"/>
      <c r="LR76" s="242">
        <f>SUMPRODUCT(PRODUCE!$B91:$DY91,PRODUCE!$EB$43:$IY$43)</f>
        <v>0</v>
      </c>
      <c r="LS76" s="56"/>
      <c r="LT76" s="242">
        <f>LR76-LS76</f>
        <v>0</v>
      </c>
      <c r="LU76" s="242">
        <f>LU75+LQ76-LS76</f>
        <v>0</v>
      </c>
      <c r="LV76" s="56"/>
      <c r="LY76" s="55">
        <f>LP76</f>
        <v>46082</v>
      </c>
      <c r="LZ76" s="56"/>
      <c r="MA76" s="242">
        <f>SUMPRODUCT(PRODUCE!$B87:$DY87,PRODUCE!$EB$44:$IY$44)</f>
        <v>0</v>
      </c>
      <c r="MB76" s="56"/>
      <c r="MC76" s="242">
        <f>MA76-MB76</f>
        <v>0</v>
      </c>
      <c r="MD76" s="242">
        <f>MD75+LZ76-MB76</f>
        <v>0</v>
      </c>
      <c r="ME76" s="56"/>
      <c r="MH76" s="55">
        <f>LY76</f>
        <v>46082</v>
      </c>
      <c r="MI76" s="56"/>
      <c r="MJ76" s="242">
        <f>SUMPRODUCT(PRODUCE!$B87:$DY87,PRODUCE!$EB$45:$IY$45)</f>
        <v>0</v>
      </c>
      <c r="MK76" s="56"/>
      <c r="ML76" s="242">
        <f>MJ76-MK76</f>
        <v>0</v>
      </c>
      <c r="MM76" s="242">
        <f>MM75+MI76-MK76</f>
        <v>0</v>
      </c>
      <c r="MN76" s="56"/>
      <c r="MQ76" s="55">
        <f>MH76</f>
        <v>46082</v>
      </c>
      <c r="MR76" s="56"/>
      <c r="MS76" s="242">
        <f>SUMPRODUCT(PRODUCE!$B87:$DY87,PRODUCE!$EB$46:$IY$46)</f>
        <v>0</v>
      </c>
      <c r="MT76" s="56"/>
      <c r="MU76" s="242">
        <f>MS76-MT76</f>
        <v>0</v>
      </c>
      <c r="MV76" s="242">
        <f>MV75+MR76-MT76</f>
        <v>4123</v>
      </c>
      <c r="MW76" s="56"/>
      <c r="MZ76" s="55">
        <f>MQ76</f>
        <v>46082</v>
      </c>
      <c r="NA76" s="56"/>
      <c r="NB76" s="242">
        <f>SUMPRODUCT(PRODUCE!$B87:$DY87,PRODUCE!$EB$47:$IY$47)</f>
        <v>0</v>
      </c>
      <c r="NC76" s="56"/>
      <c r="ND76" s="242">
        <f>NB76-NC76</f>
        <v>0</v>
      </c>
      <c r="NE76" s="242">
        <f>NE75+NA76-NC76</f>
        <v>0</v>
      </c>
      <c r="NF76" s="56"/>
      <c r="NI76" s="55">
        <f>MZ76</f>
        <v>46082</v>
      </c>
      <c r="NJ76" s="56"/>
      <c r="NK76" s="242">
        <f>SUMPRODUCT(PRODUCE!$B87:$DY87,PRODUCE!$EB$48:$IY$48)</f>
        <v>0</v>
      </c>
      <c r="NL76" s="56"/>
      <c r="NM76" s="242">
        <f>NK76-NL76</f>
        <v>0</v>
      </c>
      <c r="NN76" s="242">
        <f>NN75+NJ76-NL76</f>
        <v>0</v>
      </c>
      <c r="NO76" s="56"/>
      <c r="NR76" s="55">
        <f>MZ76</f>
        <v>46082</v>
      </c>
      <c r="NS76" s="56"/>
      <c r="NT76" s="242">
        <f>SUMPRODUCT(PRODUCE!$B87:$DY87,PRODUCE!$EB$49:$IY$49)</f>
        <v>0</v>
      </c>
      <c r="NU76" s="56"/>
      <c r="NV76" s="242">
        <f>NT76-NU76</f>
        <v>0</v>
      </c>
      <c r="NW76" s="242">
        <f>NW75+NS76-NU76</f>
        <v>1947.7</v>
      </c>
      <c r="NX76" s="56"/>
      <c r="OA76" s="55">
        <f>NR76</f>
        <v>46082</v>
      </c>
      <c r="OB76" s="56"/>
      <c r="OC76" s="242">
        <f>SUMPRODUCT(PRODUCE!$B87:$DY87,PRODUCE!$EB$50:$IY$50)</f>
        <v>0</v>
      </c>
      <c r="OD76" s="56"/>
      <c r="OE76" s="242">
        <f>OC76-OD76</f>
        <v>0</v>
      </c>
      <c r="OF76" s="242">
        <f>OF75+OB76-OD76</f>
        <v>1680.5</v>
      </c>
      <c r="OG76" s="56"/>
      <c r="OJ76" s="55">
        <f>OA76</f>
        <v>46082</v>
      </c>
      <c r="OK76" s="56"/>
      <c r="OL76" s="242">
        <f>SUMPRODUCT(PRODUCE!$B87:$DY87,PRODUCE!$EB$51:$IY$51)</f>
        <v>0</v>
      </c>
      <c r="OM76" s="56"/>
      <c r="ON76" s="242">
        <f>OL76-OM76</f>
        <v>0</v>
      </c>
      <c r="OO76" s="242">
        <f>OO75+OK76-OM76</f>
        <v>0</v>
      </c>
      <c r="OP76" s="56"/>
      <c r="OS76" s="55">
        <f>OJ76</f>
        <v>46082</v>
      </c>
      <c r="OT76" s="56"/>
      <c r="OU76" s="242">
        <f>SUMPRODUCT(PRODUCE!$B87:$DY87,PRODUCE!$EB$52:$IY$52)</f>
        <v>0</v>
      </c>
      <c r="OV76" s="56"/>
      <c r="OW76" s="242">
        <f>OU76-OV76</f>
        <v>0</v>
      </c>
      <c r="OX76" s="242">
        <f>OX75+OT76-OV76</f>
        <v>0</v>
      </c>
      <c r="OY76" s="56"/>
      <c r="PB76" s="55">
        <f>OS76</f>
        <v>46082</v>
      </c>
      <c r="PC76" s="56"/>
      <c r="PD76" s="242">
        <f>SUMPRODUCT(PRODUCE!$B87:$DY87,PRODUCE!$EB$53:$IY$53)</f>
        <v>0</v>
      </c>
      <c r="PE76" s="56"/>
      <c r="PF76" s="242">
        <f>PD76-PE76</f>
        <v>0</v>
      </c>
      <c r="PG76" s="242">
        <f>PG75+PC76-PE76</f>
        <v>0</v>
      </c>
      <c r="PH76" s="56"/>
      <c r="PK76" s="55">
        <f>PB76</f>
        <v>46082</v>
      </c>
      <c r="PL76" s="56"/>
      <c r="PM76" s="242">
        <f>SUMPRODUCT(PRODUCE!$B87:$DY87,PRODUCE!$EB$54:$IY$54)</f>
        <v>0</v>
      </c>
      <c r="PN76" s="56"/>
      <c r="PO76" s="242">
        <f>PM76-PN76</f>
        <v>0</v>
      </c>
      <c r="PP76" s="242">
        <f>PP75+PL76-PN76</f>
        <v>100</v>
      </c>
      <c r="PQ76" s="56"/>
      <c r="PT76" s="55">
        <f>PK76</f>
        <v>46082</v>
      </c>
      <c r="PU76" s="56"/>
      <c r="PV76" s="242">
        <f>SUMPRODUCT(PRODUCE!$B87:$DY87,PRODUCE!$EB$55:$IY$55)</f>
        <v>0</v>
      </c>
      <c r="PW76" s="56"/>
      <c r="PX76" s="242">
        <f>PV76-PW76</f>
        <v>0</v>
      </c>
      <c r="PY76" s="242">
        <f>PY75+PU76-PW76</f>
        <v>13.960000000000036</v>
      </c>
      <c r="PZ76" s="56"/>
      <c r="QC76" s="55">
        <f>PT76</f>
        <v>46082</v>
      </c>
      <c r="QD76" s="56"/>
      <c r="QE76" s="242">
        <f>SUMPRODUCT(PRODUCE!$B87:$DY87,PRODUCE!$EB$56:$IY$56)</f>
        <v>0</v>
      </c>
      <c r="QF76" s="56"/>
      <c r="QG76" s="242">
        <f>QE76-QF76</f>
        <v>0</v>
      </c>
      <c r="QH76" s="242">
        <f>QH75+QD76-QF76</f>
        <v>344</v>
      </c>
      <c r="QI76" s="56"/>
      <c r="QL76" s="55">
        <f>QC76</f>
        <v>46082</v>
      </c>
      <c r="QM76" s="56"/>
      <c r="QN76" s="242">
        <f>SUMPRODUCT(PRODUCE!$B87:$DY87,PRODUCE!$EB$57:$IY$57)</f>
        <v>0</v>
      </c>
      <c r="QO76" s="56"/>
      <c r="QP76" s="242">
        <f>QN76-QO76</f>
        <v>0</v>
      </c>
      <c r="QQ76" s="242">
        <f>QQ75+QM76-QO76</f>
        <v>0</v>
      </c>
      <c r="QR76" s="56"/>
      <c r="QU76" s="55">
        <f>QL76</f>
        <v>46082</v>
      </c>
      <c r="QV76" s="56"/>
      <c r="QW76" s="242">
        <f>SUMPRODUCT(PRODUCE!$B87:$DY87,PRODUCE!$EB$57:$IY$57)</f>
        <v>0</v>
      </c>
      <c r="QX76" s="56"/>
      <c r="QY76" s="242">
        <f>QW76-QX76</f>
        <v>0</v>
      </c>
      <c r="QZ76" s="242">
        <f>QZ75+QV76-QX76</f>
        <v>207.6</v>
      </c>
      <c r="RA76" s="56"/>
      <c r="RD76" s="55">
        <f>QU76</f>
        <v>46082</v>
      </c>
      <c r="RE76" s="56"/>
      <c r="RF76" s="242">
        <f>SUMPRODUCT(PRODUCE!$B87:$DY87,PRODUCE!$EB$58:$IY$58)</f>
        <v>0</v>
      </c>
      <c r="RG76" s="56"/>
      <c r="RH76" s="242">
        <f>RF76-RG76</f>
        <v>0</v>
      </c>
      <c r="RI76" s="242">
        <f>RI75+RE76-RG76</f>
        <v>197.04000000000002</v>
      </c>
      <c r="RJ76" s="56"/>
      <c r="RM76" s="55">
        <f>RD76</f>
        <v>46082</v>
      </c>
      <c r="RN76" s="56"/>
      <c r="RO76" s="242">
        <f>SUMPRODUCT(PRODUCE!$B87:$DY87,PRODUCE!$EB$57:$IY$57)</f>
        <v>0</v>
      </c>
      <c r="RP76" s="56"/>
      <c r="RQ76" s="242">
        <f>RO76-RP76</f>
        <v>0</v>
      </c>
      <c r="RR76" s="242">
        <f>RR75+RN76-RP76</f>
        <v>46.8</v>
      </c>
      <c r="RS76" s="56"/>
      <c r="RV76" s="55">
        <f>RM76</f>
        <v>46082</v>
      </c>
      <c r="RW76" s="56"/>
      <c r="RX76" s="242">
        <f>SUMPRODUCT(PRODUCE!$B87:$DY87,PRODUCE!$EB$57:$IY$57)</f>
        <v>0</v>
      </c>
      <c r="RY76" s="56"/>
      <c r="RZ76" s="242">
        <f>RX76-RY76</f>
        <v>0</v>
      </c>
      <c r="SA76" s="242">
        <f>SA75+RW76-RY76</f>
        <v>0</v>
      </c>
      <c r="SB76" s="56"/>
      <c r="SE76" s="55">
        <f>RV76</f>
        <v>46082</v>
      </c>
      <c r="SF76" s="56"/>
      <c r="SG76" s="242">
        <f>SUMPRODUCT(PRODUCE!$B87:$DY87,PRODUCE!$EB$57:$IY$57)</f>
        <v>0</v>
      </c>
      <c r="SH76" s="56"/>
      <c r="SI76" s="242">
        <f>SG76-SH76</f>
        <v>0</v>
      </c>
      <c r="SJ76" s="242">
        <f>SJ75+SF76-SH76</f>
        <v>0</v>
      </c>
      <c r="SK76" s="56"/>
      <c r="SN76" s="55">
        <f>SE76</f>
        <v>46082</v>
      </c>
      <c r="SO76" s="56"/>
      <c r="SP76" s="242">
        <f>SUMPRODUCT(PRODUCE!$B87:$DY87,PRODUCE!$EB$57:$IY$57)</f>
        <v>0</v>
      </c>
      <c r="SQ76" s="56"/>
      <c r="SR76" s="242">
        <f>SP76-SQ76</f>
        <v>0</v>
      </c>
      <c r="SS76" s="242">
        <f>SS75+SO76-SQ76</f>
        <v>0</v>
      </c>
      <c r="ST76" s="56"/>
      <c r="SW76" s="55">
        <f>SN76</f>
        <v>46082</v>
      </c>
      <c r="SX76" s="56"/>
      <c r="SY76" s="242">
        <f>SUMPRODUCT(PRODUCE!$B87:$DY87,PRODUCE!$EB$57:$IY$57)</f>
        <v>0</v>
      </c>
      <c r="SZ76" s="56"/>
      <c r="TA76" s="242">
        <f>SY76-SZ76</f>
        <v>0</v>
      </c>
      <c r="TB76" s="242">
        <f>TB75+SX76-SZ76</f>
        <v>0</v>
      </c>
      <c r="TC76" s="56"/>
      <c r="TF76" s="55">
        <f>SW76</f>
        <v>46082</v>
      </c>
      <c r="TG76" s="56"/>
      <c r="TH76" s="242">
        <f>SUMPRODUCT(PRODUCE!$B87:$DY87,PRODUCE!$EB$57:$IY$57)</f>
        <v>0</v>
      </c>
      <c r="TI76" s="56"/>
      <c r="TJ76" s="242">
        <f>TH76-TI76</f>
        <v>0</v>
      </c>
      <c r="TK76" s="242">
        <f>TK75+TG76-TI76</f>
        <v>0</v>
      </c>
      <c r="TL76" s="56"/>
      <c r="TO76" s="55">
        <f>TF76</f>
        <v>46082</v>
      </c>
      <c r="TP76" s="56"/>
      <c r="TQ76" s="242">
        <f>SUMPRODUCT(PRODUCE!$B87:$DY87,PRODUCE!$EB$57:$IY$57)</f>
        <v>0</v>
      </c>
      <c r="TR76" s="56"/>
      <c r="TS76" s="242">
        <f>TQ76-TR76</f>
        <v>0</v>
      </c>
      <c r="TT76" s="242">
        <f>TT75+TP76-TR76</f>
        <v>0</v>
      </c>
      <c r="TU76" s="56"/>
      <c r="TX76" s="55">
        <f>TO76</f>
        <v>46082</v>
      </c>
      <c r="TY76" s="56"/>
      <c r="TZ76" s="242">
        <f>SUMPRODUCT(PRODUCE!$B87:$DY87,PRODUCE!$EB$57:$IY$57)</f>
        <v>0</v>
      </c>
      <c r="UA76" s="56"/>
      <c r="UB76" s="242">
        <f>TZ76-UA76</f>
        <v>0</v>
      </c>
      <c r="UC76" s="242">
        <f>UC75+TY76-UA76</f>
        <v>0</v>
      </c>
      <c r="UD76" s="56"/>
      <c r="UG76" s="55">
        <f>TX76</f>
        <v>46082</v>
      </c>
      <c r="UH76" s="56"/>
      <c r="UI76" s="242">
        <f>SUMPRODUCT(PRODUCE!$B87:$DY87,PRODUCE!$EB$57:$IY$57)</f>
        <v>0</v>
      </c>
      <c r="UJ76" s="56"/>
      <c r="UK76" s="242">
        <f>UI76-UJ76</f>
        <v>0</v>
      </c>
      <c r="UL76" s="242">
        <f>UL75+UH76-UJ76</f>
        <v>0</v>
      </c>
      <c r="UM76" s="56"/>
      <c r="UP76" s="55">
        <f>UG76</f>
        <v>46082</v>
      </c>
      <c r="UQ76" s="56"/>
      <c r="UR76" s="242">
        <f>SUMPRODUCT(PRODUCE!$B87:$DY87,PRODUCE!$EB$57:$IY$57)</f>
        <v>0</v>
      </c>
      <c r="US76" s="56"/>
      <c r="UT76" s="242">
        <f>UR76-US76</f>
        <v>0</v>
      </c>
      <c r="UU76" s="242">
        <f>UU75+UQ76-US76</f>
        <v>0</v>
      </c>
      <c r="UV76" s="56"/>
      <c r="UY76" s="55">
        <f>UP76</f>
        <v>46082</v>
      </c>
      <c r="UZ76" s="56"/>
      <c r="VA76" s="242">
        <f>SUMPRODUCT(PRODUCE!$B87:$DY87,PRODUCE!$EB$57:$IY$57)</f>
        <v>0</v>
      </c>
      <c r="VB76" s="56"/>
      <c r="VC76" s="242">
        <f>VA76-VB76</f>
        <v>0</v>
      </c>
      <c r="VD76" s="242">
        <f>VD75+UZ76-VB76</f>
        <v>41.600000000000023</v>
      </c>
      <c r="VE76" s="56"/>
      <c r="VH76" s="55">
        <f>UY76</f>
        <v>46082</v>
      </c>
      <c r="VI76" s="56"/>
      <c r="VJ76" s="242">
        <f>SUMPRODUCT(PRODUCE!$B87:$DY87,PRODUCE!$EB$57:$IY$57)</f>
        <v>0</v>
      </c>
      <c r="VK76" s="56"/>
      <c r="VL76" s="242">
        <f>VJ76-VK76</f>
        <v>0</v>
      </c>
      <c r="VM76" s="242">
        <f>VM75+VI76-VK76</f>
        <v>0</v>
      </c>
      <c r="VN76" s="56"/>
      <c r="VQ76" s="55">
        <f>VH76</f>
        <v>46082</v>
      </c>
      <c r="VR76" s="56"/>
      <c r="VS76" s="242">
        <f>SUMPRODUCT(PRODUCE!$B87:$DY87,PRODUCE!$EB$57:$IY$57)</f>
        <v>0</v>
      </c>
      <c r="VT76" s="56"/>
      <c r="VU76" s="242">
        <f>VS76-VT76</f>
        <v>0</v>
      </c>
      <c r="VV76" s="242">
        <f>VV75+VR76-VT76</f>
        <v>0</v>
      </c>
      <c r="VW76" s="56"/>
      <c r="VZ76" s="55">
        <f>VQ76</f>
        <v>46082</v>
      </c>
      <c r="WA76" s="56"/>
      <c r="WB76" s="242">
        <f>SUMPRODUCT(PRODUCE!$B87:$DY87,PRODUCE!$EB$57:$IY$57)</f>
        <v>0</v>
      </c>
      <c r="WC76" s="56"/>
      <c r="WD76" s="242">
        <f>WB76-WC76</f>
        <v>0</v>
      </c>
      <c r="WE76" s="242">
        <f>WE75+WA76-WC76</f>
        <v>0</v>
      </c>
      <c r="WF76" s="56"/>
      <c r="WI76" s="55">
        <f>VZ76</f>
        <v>46082</v>
      </c>
      <c r="WJ76" s="56"/>
      <c r="WK76" s="242">
        <f>SUMPRODUCT(PRODUCE!$B87:$DY87,PRODUCE!$EB$57:$IY$57)</f>
        <v>0</v>
      </c>
      <c r="WL76" s="56"/>
      <c r="WM76" s="242">
        <f>WK76-WL76</f>
        <v>0</v>
      </c>
      <c r="WN76" s="242">
        <f>WN75+WJ76-WL76</f>
        <v>6628</v>
      </c>
      <c r="WO76" s="56"/>
      <c r="WR76" s="55">
        <f>WI76</f>
        <v>46082</v>
      </c>
      <c r="WS76" s="56"/>
      <c r="WT76" s="242">
        <f>SUMPRODUCT(PRODUCE!$B87:$DY87,PRODUCE!$EB$57:$IY$57)</f>
        <v>0</v>
      </c>
      <c r="WU76" s="56"/>
      <c r="WV76" s="242">
        <f>WT76-WU76</f>
        <v>0</v>
      </c>
      <c r="WW76" s="242">
        <f>WW75+WS76-WU76</f>
        <v>6559</v>
      </c>
      <c r="WX76" s="56"/>
      <c r="XA76" s="55">
        <f>WR76</f>
        <v>46082</v>
      </c>
      <c r="XB76" s="56"/>
      <c r="XC76" s="242">
        <f>SUMPRODUCT(PRODUCE!$B87:$DY87,PRODUCE!$EB$57:$IY$57)</f>
        <v>0</v>
      </c>
      <c r="XD76" s="56"/>
      <c r="XE76" s="242">
        <f>XC76-XD76</f>
        <v>0</v>
      </c>
      <c r="XF76" s="242">
        <f>XF75+XB76-XD76</f>
        <v>590</v>
      </c>
      <c r="XG76" s="56"/>
      <c r="XJ76" s="55">
        <f>XA76</f>
        <v>46082</v>
      </c>
      <c r="XK76" s="56"/>
      <c r="XL76" s="242">
        <f>SUMPRODUCT(PRODUCE!$B87:$DY87,PRODUCE!$EB$57:$IY$57)</f>
        <v>0</v>
      </c>
      <c r="XM76" s="56"/>
      <c r="XN76" s="242">
        <f>XL76-XM76</f>
        <v>0</v>
      </c>
      <c r="XO76" s="242">
        <f>XO75+XK76-XM76</f>
        <v>3391</v>
      </c>
      <c r="XP76" s="56"/>
      <c r="XS76" s="55">
        <f>XJ76</f>
        <v>46082</v>
      </c>
      <c r="XT76" s="56"/>
      <c r="XU76" s="242">
        <f>SUMPRODUCT(PRODUCE!$B87:$DY87,PRODUCE!$EB$57:$IY$57)</f>
        <v>0</v>
      </c>
      <c r="XV76" s="56"/>
      <c r="XW76" s="242">
        <f>XU76-XV76</f>
        <v>0</v>
      </c>
      <c r="XX76" s="242">
        <f>XX75+XT76-XV76</f>
        <v>1901</v>
      </c>
      <c r="XY76" s="56"/>
      <c r="YB76" s="55">
        <f>XS76</f>
        <v>46082</v>
      </c>
      <c r="YC76" s="56"/>
      <c r="YD76" s="242">
        <f>SUMPRODUCT(PRODUCE!$B87:$DY87,PRODUCE!$EB$57:$IY$57)</f>
        <v>0</v>
      </c>
      <c r="YE76" s="56"/>
      <c r="YF76" s="242">
        <f>YD76-YE76</f>
        <v>0</v>
      </c>
      <c r="YG76" s="242">
        <f>YG75+YC76-YE76</f>
        <v>0</v>
      </c>
      <c r="YH76" s="56"/>
      <c r="YK76" s="55">
        <f>YB76</f>
        <v>46082</v>
      </c>
      <c r="YL76" s="56"/>
      <c r="YM76" s="242">
        <f>SUMPRODUCT(PRODUCE!$B87:$DY87,PRODUCE!$EB$57:$IY$57)</f>
        <v>0</v>
      </c>
      <c r="YN76" s="56"/>
      <c r="YO76" s="242">
        <f>YM76-YN76</f>
        <v>0</v>
      </c>
      <c r="YP76" s="242">
        <f>YP75+YL76-YN76</f>
        <v>0</v>
      </c>
      <c r="YQ76" s="56"/>
      <c r="YT76" s="55">
        <f>YK76</f>
        <v>46082</v>
      </c>
      <c r="YU76" s="56"/>
      <c r="YV76" s="242">
        <f>SUMPRODUCT(PRODUCE!$B87:$DY87,PRODUCE!$EB$57:$IY$57)</f>
        <v>0</v>
      </c>
      <c r="YW76" s="56"/>
      <c r="YX76" s="242">
        <f>YV76-YW76</f>
        <v>0</v>
      </c>
      <c r="YY76" s="242">
        <f>YY75+YU76-YW76</f>
        <v>0</v>
      </c>
      <c r="YZ76" s="56"/>
      <c r="ZC76" s="55">
        <f>YT76</f>
        <v>46082</v>
      </c>
      <c r="ZD76" s="56"/>
      <c r="ZE76" s="242">
        <f>SUMPRODUCT(PRODUCE!$B87:$DY87,PRODUCE!$EB$57:$IY$57)</f>
        <v>0</v>
      </c>
      <c r="ZF76" s="56"/>
      <c r="ZG76" s="242">
        <f>ZE76-ZF76</f>
        <v>0</v>
      </c>
      <c r="ZH76" s="242">
        <f>ZH75+ZD76-ZF76</f>
        <v>0</v>
      </c>
      <c r="ZI76" s="56"/>
      <c r="ZL76" s="55">
        <f>ZC76</f>
        <v>46082</v>
      </c>
      <c r="ZM76" s="56"/>
      <c r="ZN76" s="242">
        <f>SUMPRODUCT(PRODUCE!$B87:$DY87,PRODUCE!$EB$57:$IY$57)</f>
        <v>0</v>
      </c>
      <c r="ZO76" s="56"/>
      <c r="ZP76" s="242">
        <f>ZN76-ZO76</f>
        <v>0</v>
      </c>
      <c r="ZQ76" s="242">
        <f>ZQ75+ZM76-ZO76</f>
        <v>0</v>
      </c>
      <c r="ZR76" s="56"/>
      <c r="ZU76" s="55">
        <f>ZL76</f>
        <v>46082</v>
      </c>
      <c r="ZV76" s="56"/>
      <c r="ZW76" s="242">
        <f>SUMPRODUCT(PRODUCE!$B87:$DY87,PRODUCE!$EB$57:$IY$57)</f>
        <v>0</v>
      </c>
      <c r="ZX76" s="56"/>
      <c r="ZY76" s="242">
        <f>ZW76-ZX76</f>
        <v>0</v>
      </c>
      <c r="ZZ76" s="242">
        <f>ZZ75+ZV76-ZX76</f>
        <v>0</v>
      </c>
      <c r="AAA76" s="56"/>
      <c r="AAD76" s="55">
        <f>ZU76</f>
        <v>46082</v>
      </c>
      <c r="AAE76" s="56"/>
      <c r="AAF76" s="242">
        <f>SUMPRODUCT(PRODUCE!$B87:$DY87,PRODUCE!$EB$57:$IY$57)</f>
        <v>0</v>
      </c>
      <c r="AAG76" s="56"/>
      <c r="AAH76" s="242">
        <f>AAF76-AAG76</f>
        <v>0</v>
      </c>
      <c r="AAI76" s="242">
        <f>AAI75+AAE76-AAG76</f>
        <v>0</v>
      </c>
      <c r="AAJ76" s="56"/>
      <c r="AAM76" s="55">
        <f>AAD76</f>
        <v>46082</v>
      </c>
      <c r="AAN76" s="56"/>
      <c r="AAO76" s="242">
        <f>SUMPRODUCT(PRODUCE!$B87:$DY87,PRODUCE!$EB$57:$IY$57)</f>
        <v>0</v>
      </c>
      <c r="AAP76" s="56"/>
      <c r="AAQ76" s="242">
        <f>AAO76-AAP76</f>
        <v>0</v>
      </c>
      <c r="AAR76" s="242">
        <f>AAR75+AAN76-AAP76</f>
        <v>0</v>
      </c>
      <c r="AAS76" s="56"/>
      <c r="AAV76" s="55">
        <f>AAM76</f>
        <v>46082</v>
      </c>
      <c r="AAW76" s="56"/>
      <c r="AAX76" s="242">
        <f>SUMPRODUCT(PRODUCE!$B87:$DY87,PRODUCE!$EB$57:$IY$57)</f>
        <v>0</v>
      </c>
      <c r="AAY76" s="56"/>
      <c r="AAZ76" s="242">
        <f>AAX76-AAY76</f>
        <v>0</v>
      </c>
      <c r="ABA76" s="242">
        <f>ABA75+AAW76-AAY76</f>
        <v>0</v>
      </c>
      <c r="ABB76" s="56"/>
      <c r="ABE76" s="55">
        <f>AAV76</f>
        <v>46082</v>
      </c>
      <c r="ABF76" s="56"/>
      <c r="ABG76" s="242">
        <f>SUMPRODUCT(PRODUCE!$B87:$DY87,PRODUCE!$EB$57:$IY$57)</f>
        <v>0</v>
      </c>
      <c r="ABH76" s="56"/>
      <c r="ABI76" s="242">
        <f>ABG76-ABH76</f>
        <v>0</v>
      </c>
      <c r="ABJ76" s="242">
        <f>ABJ75+ABF76-ABH76</f>
        <v>0</v>
      </c>
      <c r="ABK76" s="56"/>
    </row>
    <row r="77" spans="1:739" s="54" customFormat="1" ht="15" customHeight="1" outlineLevel="1">
      <c r="B77" s="478">
        <f>20+60</f>
        <v>80</v>
      </c>
      <c r="C77" s="55">
        <v>46083</v>
      </c>
      <c r="D77" s="422">
        <v>51580</v>
      </c>
      <c r="E77" s="423">
        <f>SUMPRODUCT(PRODUCE!$B88:$DY88,PRODUCE!$EB$7:$IY$7)</f>
        <v>42102.999999999993</v>
      </c>
      <c r="F77" s="422">
        <v>42119.6</v>
      </c>
      <c r="G77" s="423">
        <f t="shared" ref="G77:G106" si="514">E77-F77</f>
        <v>-16.600000000005821</v>
      </c>
      <c r="H77" s="423">
        <f t="shared" si="512"/>
        <v>101075.20000000001</v>
      </c>
      <c r="I77" s="289" t="s">
        <v>215</v>
      </c>
      <c r="L77" s="55">
        <f t="shared" si="513"/>
        <v>46083</v>
      </c>
      <c r="M77" s="422"/>
      <c r="N77" s="438">
        <f>SUMPRODUCT(PRODUCE!$B88:$DY88,PRODUCE!$EB$8:$IY$8)</f>
        <v>14390</v>
      </c>
      <c r="O77" s="422">
        <v>14392</v>
      </c>
      <c r="P77" s="438">
        <f t="shared" ref="P77:P106" si="515">N77-O77</f>
        <v>-2</v>
      </c>
      <c r="Q77" s="438">
        <f t="shared" ref="Q77:Q106" si="516">Q76+M77-O77</f>
        <v>50704.600000000035</v>
      </c>
      <c r="R77" s="56"/>
      <c r="U77" s="55">
        <f t="shared" ref="U77:U106" si="517">L77</f>
        <v>46083</v>
      </c>
      <c r="V77" s="422"/>
      <c r="W77" s="440">
        <f>SUMPRODUCT(PRODUCE!$B88:$DY88,PRODUCE!$EB$9:$IY$9)</f>
        <v>6770</v>
      </c>
      <c r="X77" s="422">
        <v>6769.2</v>
      </c>
      <c r="Y77" s="440">
        <f t="shared" ref="Y77:Y106" si="518">W77-X77</f>
        <v>0.8000000000001819</v>
      </c>
      <c r="Z77" s="440">
        <f t="shared" ref="Z77:Z106" si="519">Z76+V77-X77</f>
        <v>41603.599999999977</v>
      </c>
      <c r="AA77" s="56"/>
      <c r="AD77" s="55">
        <f t="shared" ref="AD77:AD106" si="520">U77</f>
        <v>46083</v>
      </c>
      <c r="AE77" s="422"/>
      <c r="AF77" s="442">
        <f>SUMPRODUCT(PRODUCE!$B88:$DY88,PRODUCE!$EB$10:$IY$10)</f>
        <v>980</v>
      </c>
      <c r="AG77" s="422">
        <v>981.5</v>
      </c>
      <c r="AH77" s="442">
        <f t="shared" ref="AH77:AH106" si="521">AF77-AG77</f>
        <v>-1.5</v>
      </c>
      <c r="AI77" s="442">
        <f t="shared" ref="AI77:AI106" si="522">AI76+AE77-AG77</f>
        <v>33156.700000000019</v>
      </c>
      <c r="AJ77" s="56"/>
      <c r="AM77" s="55">
        <f t="shared" ref="AM77:AM106" si="523">AD77</f>
        <v>46083</v>
      </c>
      <c r="AN77" s="422"/>
      <c r="AO77" s="444">
        <f>SUMPRODUCT(PRODUCE!$B88:$DY88,PRODUCE!$EB$11:$IY$11)</f>
        <v>0</v>
      </c>
      <c r="AP77" s="422"/>
      <c r="AQ77" s="444">
        <f t="shared" ref="AQ77:AQ106" si="524">AO77-AP77</f>
        <v>0</v>
      </c>
      <c r="AR77" s="444">
        <f t="shared" ref="AR77:AR106" si="525">AR76+AN77-AP77</f>
        <v>0</v>
      </c>
      <c r="AS77" s="56"/>
      <c r="AV77" s="55">
        <f t="shared" ref="AV77:AV106" si="526">AM77</f>
        <v>46083</v>
      </c>
      <c r="AW77" s="422"/>
      <c r="AX77" s="446">
        <f>SUMPRODUCT(PRODUCE!$B88:$DY88,PRODUCE!$EB$12:$IY$12)</f>
        <v>0</v>
      </c>
      <c r="AY77" s="422"/>
      <c r="AZ77" s="446">
        <f t="shared" ref="AZ77:AZ106" si="527">AX77-AY77</f>
        <v>0</v>
      </c>
      <c r="BA77" s="446">
        <f t="shared" ref="BA77:BA106" si="528">BA76+AW77-AY77</f>
        <v>47801.999999999985</v>
      </c>
      <c r="BB77" s="56"/>
      <c r="BE77" s="55">
        <f t="shared" ref="BE77:BE106" si="529">AV77</f>
        <v>46083</v>
      </c>
      <c r="BF77" s="422"/>
      <c r="BG77" s="448">
        <f>SUMPRODUCT(PRODUCE!$B88:$DY88,PRODUCE!$EB$13:$IY$13)</f>
        <v>3540</v>
      </c>
      <c r="BH77" s="422">
        <v>3542.8</v>
      </c>
      <c r="BI77" s="448">
        <f t="shared" ref="BI77:BI106" si="530">BG77-BH77</f>
        <v>-2.8000000000001819</v>
      </c>
      <c r="BJ77" s="448">
        <f t="shared" ref="BJ77:BJ106" si="531">BJ76+BF77-BH77</f>
        <v>3959.0000000000045</v>
      </c>
      <c r="BK77" s="56"/>
      <c r="BN77" s="55">
        <f t="shared" ref="BN77:BN106" si="532">BE77</f>
        <v>46083</v>
      </c>
      <c r="BO77" s="422">
        <v>1570</v>
      </c>
      <c r="BP77" s="450">
        <f>SUMPRODUCT(PRODUCE!$B88:$DY88,PRODUCE!$EB$14:$IY$14)</f>
        <v>1570</v>
      </c>
      <c r="BQ77" s="422">
        <v>1570</v>
      </c>
      <c r="BR77" s="450">
        <f t="shared" ref="BR77:BR106" si="533">BP77-BQ77</f>
        <v>0</v>
      </c>
      <c r="BS77" s="450">
        <f t="shared" ref="BS77:BS106" si="534">BS76+BO77-BQ77</f>
        <v>0</v>
      </c>
      <c r="BT77" s="56"/>
      <c r="BW77" s="55">
        <f t="shared" ref="BW77:BW106" si="535">BN77</f>
        <v>46083</v>
      </c>
      <c r="BX77" s="56"/>
      <c r="BY77" s="65">
        <f>SUMPRODUCT(PRODUCE!$B88:$DY88,PRODUCE!$EB$15:$IY$15)</f>
        <v>463.00000000000006</v>
      </c>
      <c r="BZ77" s="56"/>
      <c r="CA77" s="65">
        <f t="shared" ref="CA77:CA106" si="536">BY77-BZ77</f>
        <v>463.00000000000006</v>
      </c>
      <c r="CB77" s="65">
        <f t="shared" ref="CB77:CB106" si="537">CB76+BX77-BZ77</f>
        <v>8.0000000000001137</v>
      </c>
      <c r="CC77" s="56"/>
      <c r="CF77" s="55">
        <f t="shared" ref="CF77:CF106" si="538">BW77</f>
        <v>46083</v>
      </c>
      <c r="CG77" s="56"/>
      <c r="CH77" s="66">
        <f>SUMPRODUCT(PRODUCE!$B88:$DY88,PRODUCE!$EB$16:$IY$16)</f>
        <v>740.00000000000011</v>
      </c>
      <c r="CI77" s="56"/>
      <c r="CJ77" s="66">
        <f t="shared" ref="CJ77:CJ106" si="539">CH77-CI77</f>
        <v>740.00000000000011</v>
      </c>
      <c r="CK77" s="66">
        <f t="shared" ref="CK77:CK106" si="540">CK76+CG77-CI77</f>
        <v>0</v>
      </c>
      <c r="CL77" s="56"/>
      <c r="CO77" s="55">
        <f t="shared" ref="CO77:CO106" si="541">CF77</f>
        <v>46083</v>
      </c>
      <c r="CP77" s="422"/>
      <c r="CQ77" s="470">
        <f>SUMPRODUCT(PRODUCE!$B88:$DY88,PRODUCE!$EB$17:$IY$17)</f>
        <v>0</v>
      </c>
      <c r="CR77" s="422"/>
      <c r="CS77" s="470">
        <f t="shared" ref="CS77:CS106" si="542">CQ77-CR77</f>
        <v>0</v>
      </c>
      <c r="CT77" s="470">
        <f t="shared" ref="CT77:CT106" si="543">CT76+CP77-CR77</f>
        <v>0</v>
      </c>
      <c r="CU77" s="56"/>
      <c r="CX77" s="55">
        <f t="shared" ref="CX77:CX106" si="544">CO77</f>
        <v>46083</v>
      </c>
      <c r="CY77" s="56"/>
      <c r="CZ77" s="133">
        <f>SUMPRODUCT(PRODUCE!$B88:$DY88,PRODUCE!$EB$18:$IY$18)</f>
        <v>4000</v>
      </c>
      <c r="DA77" s="56">
        <v>4000.5</v>
      </c>
      <c r="DB77" s="133">
        <f t="shared" ref="DB77:DB106" si="545">CZ77-DA77</f>
        <v>-0.5</v>
      </c>
      <c r="DC77" s="133">
        <f t="shared" ref="DC77:DC106" si="546">DC76+CY77-DA77</f>
        <v>51051.9</v>
      </c>
      <c r="DD77" s="56"/>
      <c r="DG77" s="55">
        <f t="shared" ref="DG77:DG106" si="547">CX77</f>
        <v>46083</v>
      </c>
      <c r="DH77" s="56">
        <v>11160</v>
      </c>
      <c r="DI77" s="147">
        <f>SUMPRODUCT(PRODUCE!$B88:$DY88,PRODUCE!$EB$19:$IY$19)</f>
        <v>3200</v>
      </c>
      <c r="DJ77" s="56">
        <v>3198.6</v>
      </c>
      <c r="DK77" s="147">
        <f t="shared" ref="DK77:DK102" si="548">DI77-DJ77</f>
        <v>1.4000000000000909</v>
      </c>
      <c r="DL77" s="147">
        <f t="shared" ref="DL77:DL102" si="549">DL76+DH77-DJ77</f>
        <v>7961.399999999996</v>
      </c>
      <c r="DM77" s="56"/>
      <c r="DP77" s="55">
        <f t="shared" ref="DP77:DP106" si="550">DG77</f>
        <v>46083</v>
      </c>
      <c r="DQ77" s="56"/>
      <c r="DR77" s="57">
        <f>SUMPRODUCT(PRODUCE!$B88:$DY88,PRODUCE!$EB$20:$IY$20)</f>
        <v>0</v>
      </c>
      <c r="DS77" s="56"/>
      <c r="DT77" s="57">
        <f t="shared" ref="DT77:DT106" si="551">DR77-DS77</f>
        <v>0</v>
      </c>
      <c r="DU77" s="57">
        <f t="shared" ref="DU77:DU106" si="552">DU76+DQ77-DS77</f>
        <v>2300</v>
      </c>
      <c r="DV77" s="56"/>
      <c r="DY77" s="55">
        <f t="shared" ref="DY77:DY106" si="553">DP77</f>
        <v>46083</v>
      </c>
      <c r="DZ77" s="56"/>
      <c r="EA77" s="157">
        <f>SUMPRODUCT(PRODUCE!$B88:$DY88,PRODUCE!$EB$21:$IY$21)</f>
        <v>0</v>
      </c>
      <c r="EB77" s="56"/>
      <c r="EC77" s="157">
        <f t="shared" ref="EC77:EC106" si="554">EA77-EB77</f>
        <v>0</v>
      </c>
      <c r="ED77" s="157">
        <f t="shared" ref="ED77:ED106" si="555">ED76+DZ77-EB77</f>
        <v>5696.8</v>
      </c>
      <c r="EE77" s="56"/>
      <c r="EH77" s="55">
        <f t="shared" ref="EH77:EH106" si="556">DY77</f>
        <v>46083</v>
      </c>
      <c r="EI77" s="56"/>
      <c r="EJ77" s="162">
        <f>SUMPRODUCT(PRODUCE!$B88:$DY88,PRODUCE!$EB$22:$IY$22)</f>
        <v>0</v>
      </c>
      <c r="EK77" s="56"/>
      <c r="EL77" s="162">
        <f t="shared" ref="EL77:EL106" si="557">EJ77-EK77</f>
        <v>0</v>
      </c>
      <c r="EM77" s="162">
        <f t="shared" ref="EM77:EM106" si="558">EM76+EI77-EK77</f>
        <v>0</v>
      </c>
      <c r="EN77" s="56"/>
      <c r="EQ77" s="55">
        <f t="shared" ref="EQ77:EQ106" si="559">EH77</f>
        <v>46083</v>
      </c>
      <c r="ER77" s="56"/>
      <c r="ES77" s="135">
        <f>SUMPRODUCT(PRODUCE!$B88:$DY88,PRODUCE!$EB$23:$IY$23)</f>
        <v>0</v>
      </c>
      <c r="ET77" s="56"/>
      <c r="EU77" s="135">
        <f t="shared" ref="EU77:EU106" si="560">ES77-ET77</f>
        <v>0</v>
      </c>
      <c r="EV77" s="135">
        <f t="shared" ref="EV77:EV106" si="561">EV76+ER77-ET77</f>
        <v>0</v>
      </c>
      <c r="EW77" s="56"/>
      <c r="EZ77" s="55">
        <f t="shared" ref="EZ77:EZ106" si="562">EQ77</f>
        <v>46083</v>
      </c>
      <c r="FA77" s="56"/>
      <c r="FB77" s="175">
        <f>SUMPRODUCT(PRODUCE!$B88:$DY88,PRODUCE!$EB$24:$IY$24)</f>
        <v>0</v>
      </c>
      <c r="FC77" s="56"/>
      <c r="FD77" s="175">
        <f t="shared" ref="FD77:FD106" si="563">FB77-FC77</f>
        <v>0</v>
      </c>
      <c r="FE77" s="175">
        <f t="shared" ref="FE77:FE106" si="564">FE76+FA77-FC77</f>
        <v>0</v>
      </c>
      <c r="FF77" s="56"/>
      <c r="FI77" s="55">
        <f t="shared" ref="FI77:FI106" si="565">EZ77</f>
        <v>46083</v>
      </c>
      <c r="FJ77" s="56"/>
      <c r="FK77" s="183">
        <f>SUMPRODUCT(PRODUCE!$B88:$DY88,PRODUCE!$EB$25:$IY$25)</f>
        <v>0</v>
      </c>
      <c r="FL77" s="56"/>
      <c r="FM77" s="183">
        <f t="shared" ref="FM77:FM106" si="566">FK77-FL77</f>
        <v>0</v>
      </c>
      <c r="FN77" s="183">
        <f t="shared" ref="FN77:FN106" si="567">FN76+FJ77-FL77</f>
        <v>0</v>
      </c>
      <c r="FO77" s="56"/>
      <c r="FR77" s="55">
        <f t="shared" ref="FR77:FR106" si="568">FI77</f>
        <v>46083</v>
      </c>
      <c r="FS77" s="422"/>
      <c r="FT77" s="452">
        <f>SUMPRODUCT(PRODUCE!$B88:$DY88,PRODUCE!$EB$26:$IY$26)</f>
        <v>0</v>
      </c>
      <c r="FU77" s="422"/>
      <c r="FV77" s="452">
        <f t="shared" ref="FV77:FV106" si="569">FT77-FU77</f>
        <v>0</v>
      </c>
      <c r="FW77" s="452">
        <f t="shared" ref="FW77:FW106" si="570">FW76+FS77-FU77</f>
        <v>620</v>
      </c>
      <c r="FX77" s="56"/>
      <c r="GA77" s="55">
        <f t="shared" ref="GA77:GA106" si="571">FR77</f>
        <v>46083</v>
      </c>
      <c r="GB77" s="422"/>
      <c r="GC77" s="454">
        <f>SUMPRODUCT(PRODUCE!$B88:$DY88,PRODUCE!$EB$27:$IY$27)</f>
        <v>0</v>
      </c>
      <c r="GD77" s="422"/>
      <c r="GE77" s="454">
        <f t="shared" ref="GE77:GE106" si="572">GC77-GD77</f>
        <v>0</v>
      </c>
      <c r="GF77" s="454">
        <f t="shared" ref="GF77:GF106" si="573">GF76+GB77-GD77</f>
        <v>5960</v>
      </c>
      <c r="GG77" s="56"/>
      <c r="GI77" s="23"/>
      <c r="GJ77" s="55">
        <f t="shared" ref="GJ77:GJ106" si="574">GA77</f>
        <v>46083</v>
      </c>
      <c r="GK77" s="422"/>
      <c r="GL77" s="456">
        <f>SUMPRODUCT(PRODUCE!$B88:$DY88,PRODUCE!$EB$28:$IY$28)</f>
        <v>0</v>
      </c>
      <c r="GM77" s="422"/>
      <c r="GN77" s="456">
        <f t="shared" ref="GN77:GN106" si="575">GL77-GM77</f>
        <v>0</v>
      </c>
      <c r="GO77" s="456">
        <f t="shared" ref="GO77:GO106" si="576">GO76+GK77-GM77</f>
        <v>5240</v>
      </c>
      <c r="GP77" s="56"/>
      <c r="GS77" s="55">
        <f t="shared" ref="GS77:GS106" si="577">GJ77</f>
        <v>46083</v>
      </c>
      <c r="GT77" s="56"/>
      <c r="GU77" s="195">
        <f>SUMPRODUCT(PRODUCE!$B88:$DY88,PRODUCE!$EB$29:$IY$29)</f>
        <v>0</v>
      </c>
      <c r="GV77" s="56"/>
      <c r="GW77" s="195">
        <f t="shared" ref="GW77:GW106" si="578">GU77-GV77</f>
        <v>0</v>
      </c>
      <c r="GX77" s="195">
        <f t="shared" ref="GX77:GX106" si="579">GX76+GT77-GV77</f>
        <v>0</v>
      </c>
      <c r="GY77" s="56"/>
      <c r="HB77" s="55">
        <f t="shared" ref="HB77:HB106" si="580">GS77</f>
        <v>46083</v>
      </c>
      <c r="HC77" s="56"/>
      <c r="HD77" s="191">
        <f>SUMPRODUCT(PRODUCE!$B88:$DY88,PRODUCE!$EB$30:$IY$30)</f>
        <v>0</v>
      </c>
      <c r="HE77" s="56"/>
      <c r="HF77" s="191">
        <f t="shared" ref="HF77:HF106" si="581">HD77-HE77</f>
        <v>0</v>
      </c>
      <c r="HG77" s="191">
        <f t="shared" ref="HG77:HG106" si="582">HG76+HC77-HE77</f>
        <v>0</v>
      </c>
      <c r="HH77" s="56"/>
      <c r="HK77" s="55">
        <f t="shared" ref="HK77:HK106" si="583">HB77</f>
        <v>46083</v>
      </c>
      <c r="HL77" s="56"/>
      <c r="HM77" s="63">
        <f>SUMPRODUCT(PRODUCE!$B88:$DY88,PRODUCE!$EB$31:$IY$31)</f>
        <v>0</v>
      </c>
      <c r="HN77" s="56"/>
      <c r="HO77" s="63">
        <f t="shared" ref="HO77:HO106" si="584">HM77-HN77</f>
        <v>0</v>
      </c>
      <c r="HP77" s="63">
        <f t="shared" ref="HP77:HP106" si="585">HP76+HL77-HN77</f>
        <v>0</v>
      </c>
      <c r="HQ77" s="56"/>
      <c r="HU77" s="55">
        <f t="shared" ref="HU77:HU106" si="586">HK77</f>
        <v>46083</v>
      </c>
      <c r="HV77" s="56"/>
      <c r="HW77" s="242">
        <f>SUMPRODUCT(PRODUCE!$B88:$DY88,PRODUCE!$EB$32:$IY$32)</f>
        <v>0</v>
      </c>
      <c r="HX77" s="56"/>
      <c r="HY77" s="242">
        <f t="shared" ref="HY77:HY106" si="587">HW77-HX77</f>
        <v>0</v>
      </c>
      <c r="HZ77" s="242">
        <f t="shared" ref="HZ77:HZ106" si="588">HZ76+HV77-HX77</f>
        <v>5120</v>
      </c>
      <c r="IA77" s="56"/>
      <c r="ID77" s="55">
        <f t="shared" ref="ID77:ID106" si="589">HU77</f>
        <v>46083</v>
      </c>
      <c r="IE77" s="56"/>
      <c r="IF77" s="242">
        <f>SUMPRODUCT(PRODUCE!$B88:$DY88,PRODUCE!$EB$33:$IY$33)</f>
        <v>0</v>
      </c>
      <c r="IG77" s="56"/>
      <c r="IH77" s="242">
        <f t="shared" ref="IH77:IH106" si="590">IF77-IG77</f>
        <v>0</v>
      </c>
      <c r="II77" s="242">
        <f t="shared" ref="II77:II106" si="591">II76+IE77-IG77</f>
        <v>5100</v>
      </c>
      <c r="IJ77" s="56"/>
      <c r="IM77" s="55">
        <f t="shared" ref="IM77:IM106" si="592">ID77</f>
        <v>46083</v>
      </c>
      <c r="IN77" s="56"/>
      <c r="IO77" s="242">
        <f>SUMPRODUCT(PRODUCE!$B88:$DY88,PRODUCE!$EB$34:$IY$34)</f>
        <v>0</v>
      </c>
      <c r="IP77" s="56"/>
      <c r="IQ77" s="242">
        <f t="shared" ref="IQ77:IQ106" si="593">IO77-IP77</f>
        <v>0</v>
      </c>
      <c r="IR77" s="242">
        <f t="shared" ref="IR77:IR106" si="594">IR76+IN77-IP77</f>
        <v>10240</v>
      </c>
      <c r="IS77" s="56"/>
      <c r="IV77" s="55">
        <f t="shared" ref="IV77:IV106" si="595">IM77</f>
        <v>46083</v>
      </c>
      <c r="IW77" s="56"/>
      <c r="IX77" s="242">
        <f>SUMPRODUCT(PRODUCE!$B88:$DY88,PRODUCE!$EB$35:$IY$35)</f>
        <v>0</v>
      </c>
      <c r="IY77" s="56"/>
      <c r="IZ77" s="242">
        <f t="shared" ref="IZ77:IZ106" si="596">IX77-IY77</f>
        <v>0</v>
      </c>
      <c r="JA77" s="242">
        <f t="shared" ref="JA77:JA106" si="597">JA76+IW77-IY77</f>
        <v>15120</v>
      </c>
      <c r="JB77" s="56"/>
      <c r="JE77" s="55">
        <f t="shared" ref="JE77:JE106" si="598">IV77</f>
        <v>46083</v>
      </c>
      <c r="JF77" s="56"/>
      <c r="JG77" s="242">
        <f>SUMPRODUCT(PRODUCE!$B88:$DY88,PRODUCE!$EB$36:$IY$36)</f>
        <v>0</v>
      </c>
      <c r="JH77" s="56"/>
      <c r="JI77" s="242">
        <f t="shared" ref="JI77:JI106" si="599">JG77-JH77</f>
        <v>0</v>
      </c>
      <c r="JJ77" s="242">
        <f t="shared" ref="JJ77:JJ106" si="600">JJ76+JF77-JH77</f>
        <v>3320</v>
      </c>
      <c r="JK77" s="56"/>
      <c r="JN77" s="55">
        <f t="shared" ref="JN77:JN106" si="601">JE77</f>
        <v>46083</v>
      </c>
      <c r="JO77" s="56"/>
      <c r="JP77" s="242">
        <f>SUMPRODUCT(PRODUCE!$B88:$DY88,PRODUCE!$EB$37:$IY$37)</f>
        <v>0</v>
      </c>
      <c r="JQ77" s="56"/>
      <c r="JR77" s="242">
        <f t="shared" ref="JR77:JR106" si="602">JP77-JQ77</f>
        <v>0</v>
      </c>
      <c r="JS77" s="242">
        <f t="shared" ref="JS77:JS106" si="603">JS76+JO77-JQ77</f>
        <v>5400</v>
      </c>
      <c r="JT77" s="56"/>
      <c r="JW77" s="55">
        <f t="shared" ref="JW77:JW106" si="604">JN77</f>
        <v>46083</v>
      </c>
      <c r="JX77" s="56"/>
      <c r="JY77" s="242">
        <f>SUMPRODUCT(PRODUCE!$B88:$DY88,PRODUCE!$EB$38:$IY$38)</f>
        <v>0</v>
      </c>
      <c r="JZ77" s="56"/>
      <c r="KA77" s="242">
        <f t="shared" ref="KA77:KA106" si="605">JY77-JZ77</f>
        <v>0</v>
      </c>
      <c r="KB77" s="242">
        <f t="shared" ref="KB77:KB106" si="606">KB76+JX77-JZ77</f>
        <v>4000</v>
      </c>
      <c r="KC77" s="56"/>
      <c r="KF77" s="55">
        <f t="shared" ref="KF77:KF106" si="607">JW77</f>
        <v>46083</v>
      </c>
      <c r="KG77" s="56"/>
      <c r="KH77" s="242">
        <f>SUMPRODUCT(PRODUCE!$B88:$DY88,PRODUCE!$EB$39:$IY$39)</f>
        <v>390</v>
      </c>
      <c r="KI77" s="56"/>
      <c r="KJ77" s="242">
        <f t="shared" ref="KJ77:KJ106" si="608">KH77-KI77</f>
        <v>390</v>
      </c>
      <c r="KK77" s="242">
        <f t="shared" ref="KK77:KK106" si="609">KK76+KG77-KI77</f>
        <v>0</v>
      </c>
      <c r="KL77" s="56"/>
      <c r="KO77" s="55">
        <f t="shared" ref="KO77:KO106" si="610">KF77</f>
        <v>46083</v>
      </c>
      <c r="KP77" s="56"/>
      <c r="KQ77" s="242">
        <f>SUMPRODUCT(PRODUCE!$B88:$DY88,PRODUCE!$EB$40:$IY$40)</f>
        <v>1134</v>
      </c>
      <c r="KR77" s="56"/>
      <c r="KS77" s="242">
        <f t="shared" ref="KS77:KS106" si="611">KQ77-KR77</f>
        <v>1134</v>
      </c>
      <c r="KT77" s="242">
        <f t="shared" ref="KT77:KT106" si="612">KT76+KP77-KR77</f>
        <v>6539.4000000000005</v>
      </c>
      <c r="KU77" s="56"/>
      <c r="KW77" s="23"/>
      <c r="KX77" s="55">
        <f t="shared" ref="KX77:KX106" si="613">KO77</f>
        <v>46083</v>
      </c>
      <c r="KY77" s="56"/>
      <c r="KZ77" s="242">
        <f>SUMPRODUCT(PRODUCE!$B88:$DY88,PRODUCE!$EB$41:$IY$41)</f>
        <v>0</v>
      </c>
      <c r="LA77" s="56"/>
      <c r="LB77" s="242">
        <f t="shared" ref="LB77:LB106" si="614">KZ77-LA77</f>
        <v>0</v>
      </c>
      <c r="LC77" s="242">
        <f t="shared" ref="LC77:LC106" si="615">LC76+KY77-LA77</f>
        <v>0</v>
      </c>
      <c r="LD77" s="56"/>
      <c r="LG77" s="55">
        <f t="shared" ref="LG77:LG106" si="616">KX77</f>
        <v>46083</v>
      </c>
      <c r="LH77" s="56"/>
      <c r="LI77" s="242">
        <f>SUMPRODUCT(PRODUCE!$B88:$DY88,PRODUCE!$EB$42:$IY$42)</f>
        <v>0</v>
      </c>
      <c r="LJ77" s="56"/>
      <c r="LK77" s="242">
        <f t="shared" ref="LK77:LK106" si="617">LI77-LJ77</f>
        <v>0</v>
      </c>
      <c r="LL77" s="242">
        <f t="shared" ref="LL77:LL106" si="618">LL76+LH77-LJ77</f>
        <v>0</v>
      </c>
      <c r="LM77" s="56"/>
      <c r="LP77" s="55">
        <f t="shared" ref="LP77:LP106" si="619">LG77</f>
        <v>46083</v>
      </c>
      <c r="LQ77" s="56"/>
      <c r="LR77" s="242">
        <f>SUMPRODUCT(PRODUCE!$B92:$DY92,PRODUCE!$EB$43:$IY$43)</f>
        <v>0</v>
      </c>
      <c r="LS77" s="56"/>
      <c r="LT77" s="242">
        <f t="shared" ref="LT77:LT106" si="620">LR77-LS77</f>
        <v>0</v>
      </c>
      <c r="LU77" s="242">
        <f t="shared" ref="LU77:LU106" si="621">LU76+LQ77-LS77</f>
        <v>0</v>
      </c>
      <c r="LV77" s="56"/>
      <c r="LY77" s="55">
        <f t="shared" ref="LY77:LY106" si="622">LP77</f>
        <v>46083</v>
      </c>
      <c r="LZ77" s="56"/>
      <c r="MA77" s="242">
        <f>SUMPRODUCT(PRODUCE!$B88:$DY88,PRODUCE!$EB$44:$IY$44)</f>
        <v>0</v>
      </c>
      <c r="MB77" s="56"/>
      <c r="MC77" s="242">
        <f t="shared" ref="MC77:MC106" si="623">MA77-MB77</f>
        <v>0</v>
      </c>
      <c r="MD77" s="242">
        <f t="shared" ref="MD77:MD106" si="624">MD76+LZ77-MB77</f>
        <v>0</v>
      </c>
      <c r="ME77" s="56"/>
      <c r="MH77" s="55">
        <f t="shared" ref="MH77:MH106" si="625">LY77</f>
        <v>46083</v>
      </c>
      <c r="MI77" s="56"/>
      <c r="MJ77" s="242">
        <f>SUMPRODUCT(PRODUCE!$B88:$DY88,PRODUCE!$EB$45:$IY$45)</f>
        <v>0</v>
      </c>
      <c r="MK77" s="56"/>
      <c r="ML77" s="242">
        <f t="shared" ref="ML77:ML106" si="626">MJ77-MK77</f>
        <v>0</v>
      </c>
      <c r="MM77" s="242">
        <f t="shared" ref="MM77:MM106" si="627">MM76+MI77-MK77</f>
        <v>0</v>
      </c>
      <c r="MN77" s="56"/>
      <c r="MQ77" s="55">
        <f t="shared" ref="MQ77:MQ106" si="628">MH77</f>
        <v>46083</v>
      </c>
      <c r="MR77" s="56"/>
      <c r="MS77" s="242">
        <f>SUMPRODUCT(PRODUCE!$B88:$DY88,PRODUCE!$EB$46:$IY$46)</f>
        <v>160</v>
      </c>
      <c r="MT77" s="56"/>
      <c r="MU77" s="242">
        <f t="shared" ref="MU77:MU106" si="629">MS77-MT77</f>
        <v>160</v>
      </c>
      <c r="MV77" s="242">
        <f t="shared" ref="MV77:MV106" si="630">MV76+MR77-MT77</f>
        <v>4123</v>
      </c>
      <c r="MW77" s="56"/>
      <c r="MZ77" s="55">
        <f t="shared" ref="MZ77:MZ106" si="631">MQ77</f>
        <v>46083</v>
      </c>
      <c r="NA77" s="56"/>
      <c r="NB77" s="242">
        <f>SUMPRODUCT(PRODUCE!$B88:$DY88,PRODUCE!$EB$47:$IY$47)</f>
        <v>240</v>
      </c>
      <c r="NC77" s="56"/>
      <c r="ND77" s="242">
        <f t="shared" ref="ND77:ND106" si="632">NB77-NC77</f>
        <v>240</v>
      </c>
      <c r="NE77" s="242">
        <f t="shared" ref="NE77:NE106" si="633">NE76+NA77-NC77</f>
        <v>0</v>
      </c>
      <c r="NF77" s="56"/>
      <c r="NI77" s="55">
        <f t="shared" ref="NI77:NI106" si="634">MZ77</f>
        <v>46083</v>
      </c>
      <c r="NJ77" s="56"/>
      <c r="NK77" s="242">
        <f>SUMPRODUCT(PRODUCE!$B88:$DY88,PRODUCE!$EB$48:$IY$48)</f>
        <v>0</v>
      </c>
      <c r="NL77" s="56"/>
      <c r="NM77" s="242">
        <f t="shared" ref="NM77:NM106" si="635">NK77-NL77</f>
        <v>0</v>
      </c>
      <c r="NN77" s="242">
        <f t="shared" ref="NN77:NN106" si="636">NN76+NJ77-NL77</f>
        <v>0</v>
      </c>
      <c r="NO77" s="56"/>
      <c r="NR77" s="55">
        <f t="shared" ref="NR77:NR106" si="637">MZ77</f>
        <v>46083</v>
      </c>
      <c r="NS77" s="56"/>
      <c r="NT77" s="242">
        <f>SUMPRODUCT(PRODUCE!$B88:$DY88,PRODUCE!$EB$49:$IY$49)</f>
        <v>96</v>
      </c>
      <c r="NU77" s="56"/>
      <c r="NV77" s="242">
        <f t="shared" ref="NV77:NV106" si="638">NT77-NU77</f>
        <v>96</v>
      </c>
      <c r="NW77" s="242">
        <f t="shared" ref="NW77:NW106" si="639">NW76+NS77-NU77</f>
        <v>1947.7</v>
      </c>
      <c r="NX77" s="56"/>
      <c r="OA77" s="55">
        <f t="shared" ref="OA77:OA106" si="640">NR77</f>
        <v>46083</v>
      </c>
      <c r="OB77" s="56"/>
      <c r="OC77" s="242">
        <f>SUMPRODUCT(PRODUCE!$B88:$DY88,PRODUCE!$EB$50:$IY$50)</f>
        <v>0</v>
      </c>
      <c r="OD77" s="56"/>
      <c r="OE77" s="242">
        <f t="shared" ref="OE77:OE106" si="641">OC77-OD77</f>
        <v>0</v>
      </c>
      <c r="OF77" s="242">
        <f t="shared" ref="OF77:OF106" si="642">OF76+OB77-OD77</f>
        <v>1680.5</v>
      </c>
      <c r="OG77" s="56"/>
      <c r="OJ77" s="55">
        <f t="shared" ref="OJ77:OJ106" si="643">OA77</f>
        <v>46083</v>
      </c>
      <c r="OK77" s="56"/>
      <c r="OL77" s="242">
        <f>SUMPRODUCT(PRODUCE!$B88:$DY88,PRODUCE!$EB$51:$IY$51)</f>
        <v>223.99999999999994</v>
      </c>
      <c r="OM77" s="56"/>
      <c r="ON77" s="242">
        <f t="shared" ref="ON77:ON106" si="644">OL77-OM77</f>
        <v>223.99999999999994</v>
      </c>
      <c r="OO77" s="242">
        <f t="shared" ref="OO77:OO106" si="645">OO76+OK77-OM77</f>
        <v>0</v>
      </c>
      <c r="OP77" s="56"/>
      <c r="OS77" s="55">
        <f t="shared" ref="OS77:OS106" si="646">OJ77</f>
        <v>46083</v>
      </c>
      <c r="OT77" s="56"/>
      <c r="OU77" s="242">
        <f>SUMPRODUCT(PRODUCE!$B88:$DY88,PRODUCE!$EB$52:$IY$52)</f>
        <v>0</v>
      </c>
      <c r="OV77" s="56"/>
      <c r="OW77" s="242">
        <f t="shared" ref="OW77:OW106" si="647">OU77-OV77</f>
        <v>0</v>
      </c>
      <c r="OX77" s="242">
        <f t="shared" ref="OX77:OX106" si="648">OX76+OT77-OV77</f>
        <v>0</v>
      </c>
      <c r="OY77" s="56"/>
      <c r="PB77" s="55">
        <f t="shared" ref="PB77:PB106" si="649">OS77</f>
        <v>46083</v>
      </c>
      <c r="PC77" s="56"/>
      <c r="PD77" s="242">
        <f>SUMPRODUCT(PRODUCE!$B88:$DY88,PRODUCE!$EB$53:$IY$53)</f>
        <v>0</v>
      </c>
      <c r="PE77" s="56"/>
      <c r="PF77" s="242">
        <f t="shared" ref="PF77:PF106" si="650">PD77-PE77</f>
        <v>0</v>
      </c>
      <c r="PG77" s="242">
        <f t="shared" ref="PG77:PG106" si="651">PG76+PC77-PE77</f>
        <v>0</v>
      </c>
      <c r="PH77" s="56"/>
      <c r="PK77" s="55">
        <f t="shared" ref="PK77:PK106" si="652">PB77</f>
        <v>46083</v>
      </c>
      <c r="PL77" s="56"/>
      <c r="PM77" s="242">
        <f>SUMPRODUCT(PRODUCE!$B88:$DY88,PRODUCE!$EB$54:$IY$54)</f>
        <v>0</v>
      </c>
      <c r="PN77" s="56"/>
      <c r="PO77" s="242">
        <f t="shared" ref="PO77:PO106" si="653">PM77-PN77</f>
        <v>0</v>
      </c>
      <c r="PP77" s="242">
        <f t="shared" ref="PP77:PP106" si="654">PP76+PL77-PN77</f>
        <v>100</v>
      </c>
      <c r="PQ77" s="56"/>
      <c r="PT77" s="55">
        <f t="shared" ref="PT77:PT106" si="655">PK77</f>
        <v>46083</v>
      </c>
      <c r="PU77" s="56"/>
      <c r="PV77" s="242">
        <f>SUMPRODUCT(PRODUCE!$B88:$DY88,PRODUCE!$EB$55:$IY$55)</f>
        <v>0</v>
      </c>
      <c r="PW77" s="56"/>
      <c r="PX77" s="242">
        <f t="shared" ref="PX77:PX106" si="656">PV77-PW77</f>
        <v>0</v>
      </c>
      <c r="PY77" s="242">
        <f t="shared" ref="PY77:PY106" si="657">PY76+PU77-PW77</f>
        <v>13.960000000000036</v>
      </c>
      <c r="PZ77" s="56"/>
      <c r="QC77" s="55">
        <f t="shared" ref="QC77:QC106" si="658">PT77</f>
        <v>46083</v>
      </c>
      <c r="QD77" s="56"/>
      <c r="QE77" s="242">
        <f>SUMPRODUCT(PRODUCE!$B88:$DY88,PRODUCE!$EB$56:$IY$56)</f>
        <v>0</v>
      </c>
      <c r="QF77" s="56"/>
      <c r="QG77" s="242">
        <f t="shared" ref="QG77:QG106" si="659">QE77-QF77</f>
        <v>0</v>
      </c>
      <c r="QH77" s="242">
        <f t="shared" ref="QH77:QH106" si="660">QH76+QD77-QF77</f>
        <v>344</v>
      </c>
      <c r="QI77" s="56"/>
      <c r="QL77" s="55">
        <f t="shared" ref="QL77:QL106" si="661">QC77</f>
        <v>46083</v>
      </c>
      <c r="QM77" s="56"/>
      <c r="QN77" s="242">
        <f>SUMPRODUCT(PRODUCE!$B88:$DY88,PRODUCE!$EB$57:$IY$57)</f>
        <v>0</v>
      </c>
      <c r="QO77" s="56"/>
      <c r="QP77" s="242">
        <f t="shared" ref="QP77:QP106" si="662">QN77-QO77</f>
        <v>0</v>
      </c>
      <c r="QQ77" s="242">
        <f t="shared" ref="QQ77:QQ106" si="663">QQ76+QM77-QO77</f>
        <v>0</v>
      </c>
      <c r="QR77" s="56"/>
      <c r="QU77" s="55">
        <f t="shared" ref="QU77:QU106" si="664">QL77</f>
        <v>46083</v>
      </c>
      <c r="QV77" s="56"/>
      <c r="QW77" s="242">
        <f>SUMPRODUCT(PRODUCE!$B88:$DY88,PRODUCE!$EB$57:$IY$57)</f>
        <v>0</v>
      </c>
      <c r="QX77" s="56"/>
      <c r="QY77" s="242">
        <f t="shared" ref="QY77:QY106" si="665">QW77-QX77</f>
        <v>0</v>
      </c>
      <c r="QZ77" s="242">
        <f t="shared" ref="QZ77:QZ106" si="666">QZ76+QV77-QX77</f>
        <v>207.6</v>
      </c>
      <c r="RA77" s="56"/>
      <c r="RD77" s="55">
        <f t="shared" ref="RD77:RD106" si="667">QU77</f>
        <v>46083</v>
      </c>
      <c r="RE77" s="56"/>
      <c r="RF77" s="242">
        <f>SUMPRODUCT(PRODUCE!$B88:$DY88,PRODUCE!$EB$58:$IY$58)</f>
        <v>0</v>
      </c>
      <c r="RG77" s="56"/>
      <c r="RH77" s="242">
        <f t="shared" ref="RH77:RH106" si="668">RF77-RG77</f>
        <v>0</v>
      </c>
      <c r="RI77" s="242">
        <f t="shared" ref="RI77:RI106" si="669">RI76+RE77-RG77</f>
        <v>197.04000000000002</v>
      </c>
      <c r="RJ77" s="56"/>
      <c r="RM77" s="55">
        <f t="shared" ref="RM77:RM106" si="670">RD77</f>
        <v>46083</v>
      </c>
      <c r="RN77" s="56"/>
      <c r="RO77" s="242">
        <f>SUMPRODUCT(PRODUCE!$B88:$DY88,PRODUCE!$EB$57:$IY$57)</f>
        <v>0</v>
      </c>
      <c r="RP77" s="56"/>
      <c r="RQ77" s="242">
        <f t="shared" ref="RQ77:RQ106" si="671">RO77-RP77</f>
        <v>0</v>
      </c>
      <c r="RR77" s="242">
        <f t="shared" ref="RR77:RR106" si="672">RR76+RN77-RP77</f>
        <v>46.8</v>
      </c>
      <c r="RS77" s="56"/>
      <c r="RV77" s="55">
        <f t="shared" ref="RV77:RV106" si="673">RM77</f>
        <v>46083</v>
      </c>
      <c r="RW77" s="56"/>
      <c r="RX77" s="242">
        <f>SUMPRODUCT(PRODUCE!$B88:$DY88,PRODUCE!$EB$57:$IY$57)</f>
        <v>0</v>
      </c>
      <c r="RY77" s="56"/>
      <c r="RZ77" s="242">
        <f t="shared" ref="RZ77:RZ106" si="674">RX77-RY77</f>
        <v>0</v>
      </c>
      <c r="SA77" s="242">
        <f t="shared" ref="SA77:SA106" si="675">SA76+RW77-RY77</f>
        <v>0</v>
      </c>
      <c r="SB77" s="56"/>
      <c r="SE77" s="55">
        <f t="shared" ref="SE77:SE106" si="676">RV77</f>
        <v>46083</v>
      </c>
      <c r="SF77" s="56"/>
      <c r="SG77" s="242">
        <f>SUMPRODUCT(PRODUCE!$B88:$DY88,PRODUCE!$EB$57:$IY$57)</f>
        <v>0</v>
      </c>
      <c r="SH77" s="56"/>
      <c r="SI77" s="242">
        <f t="shared" ref="SI77:SI106" si="677">SG77-SH77</f>
        <v>0</v>
      </c>
      <c r="SJ77" s="242">
        <f t="shared" ref="SJ77:SJ106" si="678">SJ76+SF77-SH77</f>
        <v>0</v>
      </c>
      <c r="SK77" s="56"/>
      <c r="SN77" s="55">
        <f t="shared" ref="SN77:SN106" si="679">SE77</f>
        <v>46083</v>
      </c>
      <c r="SO77" s="56"/>
      <c r="SP77" s="242">
        <f>SUMPRODUCT(PRODUCE!$B88:$DY88,PRODUCE!$EB$57:$IY$57)</f>
        <v>0</v>
      </c>
      <c r="SQ77" s="56"/>
      <c r="SR77" s="242">
        <f t="shared" ref="SR77:SR106" si="680">SP77-SQ77</f>
        <v>0</v>
      </c>
      <c r="SS77" s="242">
        <f t="shared" ref="SS77:SS106" si="681">SS76+SO77-SQ77</f>
        <v>0</v>
      </c>
      <c r="ST77" s="56"/>
      <c r="SW77" s="55">
        <f t="shared" ref="SW77:SW106" si="682">SN77</f>
        <v>46083</v>
      </c>
      <c r="SX77" s="56"/>
      <c r="SY77" s="242">
        <f>SUMPRODUCT(PRODUCE!$B88:$DY88,PRODUCE!$EB$57:$IY$57)</f>
        <v>0</v>
      </c>
      <c r="SZ77" s="56"/>
      <c r="TA77" s="242">
        <f t="shared" ref="TA77:TA106" si="683">SY77-SZ77</f>
        <v>0</v>
      </c>
      <c r="TB77" s="242">
        <f t="shared" ref="TB77:TB106" si="684">TB76+SX77-SZ77</f>
        <v>0</v>
      </c>
      <c r="TC77" s="56"/>
      <c r="TF77" s="55">
        <f t="shared" ref="TF77:TF106" si="685">SW77</f>
        <v>46083</v>
      </c>
      <c r="TG77" s="56"/>
      <c r="TH77" s="242">
        <f>SUMPRODUCT(PRODUCE!$B88:$DY88,PRODUCE!$EB$57:$IY$57)</f>
        <v>0</v>
      </c>
      <c r="TI77" s="56"/>
      <c r="TJ77" s="242">
        <f t="shared" ref="TJ77:TJ106" si="686">TH77-TI77</f>
        <v>0</v>
      </c>
      <c r="TK77" s="242">
        <f t="shared" ref="TK77:TK106" si="687">TK76+TG77-TI77</f>
        <v>0</v>
      </c>
      <c r="TL77" s="56"/>
      <c r="TO77" s="55">
        <f t="shared" ref="TO77:TO106" si="688">TF77</f>
        <v>46083</v>
      </c>
      <c r="TP77" s="56"/>
      <c r="TQ77" s="242">
        <f>SUMPRODUCT(PRODUCE!$B88:$DY88,PRODUCE!$EB$57:$IY$57)</f>
        <v>0</v>
      </c>
      <c r="TR77" s="56"/>
      <c r="TS77" s="242">
        <f t="shared" ref="TS77:TS106" si="689">TQ77-TR77</f>
        <v>0</v>
      </c>
      <c r="TT77" s="242">
        <f t="shared" ref="TT77:TT106" si="690">TT76+TP77-TR77</f>
        <v>0</v>
      </c>
      <c r="TU77" s="56"/>
      <c r="TX77" s="55">
        <f t="shared" ref="TX77:TX106" si="691">TO77</f>
        <v>46083</v>
      </c>
      <c r="TY77" s="56"/>
      <c r="TZ77" s="242">
        <f>SUMPRODUCT(PRODUCE!$B88:$DY88,PRODUCE!$EB$57:$IY$57)</f>
        <v>0</v>
      </c>
      <c r="UA77" s="56"/>
      <c r="UB77" s="242">
        <f t="shared" ref="UB77:UB106" si="692">TZ77-UA77</f>
        <v>0</v>
      </c>
      <c r="UC77" s="242">
        <f t="shared" ref="UC77:UC106" si="693">UC76+TY77-UA77</f>
        <v>0</v>
      </c>
      <c r="UD77" s="56"/>
      <c r="UG77" s="55">
        <f t="shared" ref="UG77:UG106" si="694">TX77</f>
        <v>46083</v>
      </c>
      <c r="UH77" s="56"/>
      <c r="UI77" s="242">
        <f>SUMPRODUCT(PRODUCE!$B88:$DY88,PRODUCE!$EB$57:$IY$57)</f>
        <v>0</v>
      </c>
      <c r="UJ77" s="56"/>
      <c r="UK77" s="242">
        <f t="shared" ref="UK77:UK106" si="695">UI77-UJ77</f>
        <v>0</v>
      </c>
      <c r="UL77" s="242">
        <f t="shared" ref="UL77:UL106" si="696">UL76+UH77-UJ77</f>
        <v>0</v>
      </c>
      <c r="UM77" s="56"/>
      <c r="UP77" s="55">
        <f t="shared" ref="UP77:UP106" si="697">UG77</f>
        <v>46083</v>
      </c>
      <c r="UQ77" s="56"/>
      <c r="UR77" s="242">
        <f>SUMPRODUCT(PRODUCE!$B88:$DY88,PRODUCE!$EB$57:$IY$57)</f>
        <v>0</v>
      </c>
      <c r="US77" s="56"/>
      <c r="UT77" s="242">
        <f t="shared" ref="UT77:UT106" si="698">UR77-US77</f>
        <v>0</v>
      </c>
      <c r="UU77" s="242">
        <f t="shared" ref="UU77:UU106" si="699">UU76+UQ77-US77</f>
        <v>0</v>
      </c>
      <c r="UV77" s="56"/>
      <c r="UY77" s="55">
        <f t="shared" ref="UY77:UY106" si="700">UP77</f>
        <v>46083</v>
      </c>
      <c r="UZ77" s="56"/>
      <c r="VA77" s="242">
        <f>SUMPRODUCT(PRODUCE!$B88:$DY88,PRODUCE!$EB$57:$IY$57)</f>
        <v>0</v>
      </c>
      <c r="VB77" s="56"/>
      <c r="VC77" s="242">
        <f t="shared" ref="VC77:VC106" si="701">VA77-VB77</f>
        <v>0</v>
      </c>
      <c r="VD77" s="242">
        <f t="shared" ref="VD77:VD106" si="702">VD76+UZ77-VB77</f>
        <v>41.600000000000023</v>
      </c>
      <c r="VE77" s="56"/>
      <c r="VH77" s="55">
        <f t="shared" ref="VH77:VH106" si="703">UY77</f>
        <v>46083</v>
      </c>
      <c r="VI77" s="56"/>
      <c r="VJ77" s="242">
        <f>SUMPRODUCT(PRODUCE!$B88:$DY88,PRODUCE!$EB$57:$IY$57)</f>
        <v>0</v>
      </c>
      <c r="VK77" s="56"/>
      <c r="VL77" s="242">
        <f t="shared" ref="VL77:VL106" si="704">VJ77-VK77</f>
        <v>0</v>
      </c>
      <c r="VM77" s="242">
        <f t="shared" ref="VM77:VM106" si="705">VM76+VI77-VK77</f>
        <v>0</v>
      </c>
      <c r="VN77" s="56"/>
      <c r="VQ77" s="55">
        <f t="shared" ref="VQ77:VQ106" si="706">VH77</f>
        <v>46083</v>
      </c>
      <c r="VR77" s="56"/>
      <c r="VS77" s="242">
        <f>SUMPRODUCT(PRODUCE!$B88:$DY88,PRODUCE!$EB$57:$IY$57)</f>
        <v>0</v>
      </c>
      <c r="VT77" s="56"/>
      <c r="VU77" s="242">
        <f t="shared" ref="VU77:VU106" si="707">VS77-VT77</f>
        <v>0</v>
      </c>
      <c r="VV77" s="242">
        <f t="shared" ref="VV77:VV106" si="708">VV76+VR77-VT77</f>
        <v>0</v>
      </c>
      <c r="VW77" s="56"/>
      <c r="VZ77" s="55">
        <f t="shared" ref="VZ77:VZ106" si="709">VQ77</f>
        <v>46083</v>
      </c>
      <c r="WA77" s="56"/>
      <c r="WB77" s="242">
        <f>SUMPRODUCT(PRODUCE!$B88:$DY88,PRODUCE!$EB$57:$IY$57)</f>
        <v>0</v>
      </c>
      <c r="WC77" s="56"/>
      <c r="WD77" s="242">
        <f t="shared" ref="WD77:WD106" si="710">WB77-WC77</f>
        <v>0</v>
      </c>
      <c r="WE77" s="242">
        <f t="shared" ref="WE77:WE106" si="711">WE76+WA77-WC77</f>
        <v>0</v>
      </c>
      <c r="WF77" s="56"/>
      <c r="WI77" s="55">
        <f t="shared" ref="WI77:WI106" si="712">VZ77</f>
        <v>46083</v>
      </c>
      <c r="WJ77" s="56"/>
      <c r="WK77" s="242">
        <f>SUMPRODUCT(PRODUCE!$B88:$DY88,PRODUCE!$EB$57:$IY$57)</f>
        <v>0</v>
      </c>
      <c r="WL77" s="56"/>
      <c r="WM77" s="242">
        <f t="shared" ref="WM77:WM106" si="713">WK77-WL77</f>
        <v>0</v>
      </c>
      <c r="WN77" s="242">
        <f t="shared" ref="WN77:WN106" si="714">WN76+WJ77-WL77</f>
        <v>6628</v>
      </c>
      <c r="WO77" s="56"/>
      <c r="WR77" s="55">
        <f t="shared" ref="WR77:WR106" si="715">WI77</f>
        <v>46083</v>
      </c>
      <c r="WS77" s="56"/>
      <c r="WT77" s="242">
        <f>SUMPRODUCT(PRODUCE!$B88:$DY88,PRODUCE!$EB$57:$IY$57)</f>
        <v>0</v>
      </c>
      <c r="WU77" s="56"/>
      <c r="WV77" s="242">
        <f t="shared" ref="WV77:WV106" si="716">WT77-WU77</f>
        <v>0</v>
      </c>
      <c r="WW77" s="242">
        <f t="shared" ref="WW77:WW106" si="717">WW76+WS77-WU77</f>
        <v>6559</v>
      </c>
      <c r="WX77" s="56"/>
      <c r="XA77" s="55">
        <f t="shared" ref="XA77:XA106" si="718">WR77</f>
        <v>46083</v>
      </c>
      <c r="XB77" s="56"/>
      <c r="XC77" s="242">
        <f>SUMPRODUCT(PRODUCE!$B88:$DY88,PRODUCE!$EB$57:$IY$57)</f>
        <v>0</v>
      </c>
      <c r="XD77" s="56"/>
      <c r="XE77" s="242">
        <f t="shared" ref="XE77:XE106" si="719">XC77-XD77</f>
        <v>0</v>
      </c>
      <c r="XF77" s="242">
        <f t="shared" ref="XF77:XF106" si="720">XF76+XB77-XD77</f>
        <v>590</v>
      </c>
      <c r="XG77" s="56"/>
      <c r="XJ77" s="55">
        <f t="shared" ref="XJ77:XJ106" si="721">XA77</f>
        <v>46083</v>
      </c>
      <c r="XK77" s="56"/>
      <c r="XL77" s="242">
        <f>SUMPRODUCT(PRODUCE!$B88:$DY88,PRODUCE!$EB$57:$IY$57)</f>
        <v>0</v>
      </c>
      <c r="XM77" s="56">
        <v>1216</v>
      </c>
      <c r="XN77" s="242">
        <f t="shared" ref="XN77:XN106" si="722">XL77-XM77</f>
        <v>-1216</v>
      </c>
      <c r="XO77" s="242">
        <f t="shared" ref="XO77:XO106" si="723">XO76+XK77-XM77</f>
        <v>2175</v>
      </c>
      <c r="XP77" s="56"/>
      <c r="XS77" s="55">
        <f t="shared" ref="XS77:XS106" si="724">XJ77</f>
        <v>46083</v>
      </c>
      <c r="XT77" s="56"/>
      <c r="XU77" s="242">
        <f>SUMPRODUCT(PRODUCE!$B88:$DY88,PRODUCE!$EB$57:$IY$57)</f>
        <v>0</v>
      </c>
      <c r="XV77" s="56"/>
      <c r="XW77" s="242">
        <f t="shared" ref="XW77:XW106" si="725">XU77-XV77</f>
        <v>0</v>
      </c>
      <c r="XX77" s="242">
        <f t="shared" ref="XX77:XX106" si="726">XX76+XT77-XV77</f>
        <v>1901</v>
      </c>
      <c r="XY77" s="56"/>
      <c r="YB77" s="55">
        <f t="shared" ref="YB77:YB106" si="727">XS77</f>
        <v>46083</v>
      </c>
      <c r="YC77" s="56"/>
      <c r="YD77" s="242">
        <f>SUMPRODUCT(PRODUCE!$B88:$DY88,PRODUCE!$EB$57:$IY$57)</f>
        <v>0</v>
      </c>
      <c r="YE77" s="56"/>
      <c r="YF77" s="242">
        <f t="shared" ref="YF77:YF106" si="728">YD77-YE77</f>
        <v>0</v>
      </c>
      <c r="YG77" s="242">
        <f t="shared" ref="YG77:YG106" si="729">YG76+YC77-YE77</f>
        <v>0</v>
      </c>
      <c r="YH77" s="56"/>
      <c r="YK77" s="55">
        <f t="shared" ref="YK77:YK106" si="730">YB77</f>
        <v>46083</v>
      </c>
      <c r="YL77" s="56"/>
      <c r="YM77" s="242">
        <f>SUMPRODUCT(PRODUCE!$B88:$DY88,PRODUCE!$EB$57:$IY$57)</f>
        <v>0</v>
      </c>
      <c r="YN77" s="56"/>
      <c r="YO77" s="242">
        <f t="shared" ref="YO77:YO106" si="731">YM77-YN77</f>
        <v>0</v>
      </c>
      <c r="YP77" s="242">
        <f t="shared" ref="YP77:YP106" si="732">YP76+YL77-YN77</f>
        <v>0</v>
      </c>
      <c r="YQ77" s="56"/>
      <c r="YT77" s="55">
        <f t="shared" ref="YT77:YT106" si="733">YK77</f>
        <v>46083</v>
      </c>
      <c r="YU77" s="56"/>
      <c r="YV77" s="242">
        <f>SUMPRODUCT(PRODUCE!$B88:$DY88,PRODUCE!$EB$57:$IY$57)</f>
        <v>0</v>
      </c>
      <c r="YW77" s="56"/>
      <c r="YX77" s="242">
        <f t="shared" ref="YX77:YX106" si="734">YV77-YW77</f>
        <v>0</v>
      </c>
      <c r="YY77" s="242">
        <f t="shared" ref="YY77:YY106" si="735">YY76+YU77-YW77</f>
        <v>0</v>
      </c>
      <c r="YZ77" s="56"/>
      <c r="ZC77" s="55">
        <f t="shared" ref="ZC77:ZC106" si="736">YT77</f>
        <v>46083</v>
      </c>
      <c r="ZD77" s="56"/>
      <c r="ZE77" s="242">
        <f>SUMPRODUCT(PRODUCE!$B88:$DY88,PRODUCE!$EB$57:$IY$57)</f>
        <v>0</v>
      </c>
      <c r="ZF77" s="56"/>
      <c r="ZG77" s="242">
        <f t="shared" ref="ZG77:ZG106" si="737">ZE77-ZF77</f>
        <v>0</v>
      </c>
      <c r="ZH77" s="242">
        <f t="shared" ref="ZH77:ZH106" si="738">ZH76+ZD77-ZF77</f>
        <v>0</v>
      </c>
      <c r="ZI77" s="56"/>
      <c r="ZL77" s="55">
        <f t="shared" ref="ZL77:ZL106" si="739">ZC77</f>
        <v>46083</v>
      </c>
      <c r="ZM77" s="56"/>
      <c r="ZN77" s="242">
        <f>SUMPRODUCT(PRODUCE!$B88:$DY88,PRODUCE!$EB$57:$IY$57)</f>
        <v>0</v>
      </c>
      <c r="ZO77" s="56"/>
      <c r="ZP77" s="242">
        <f t="shared" ref="ZP77:ZP106" si="740">ZN77-ZO77</f>
        <v>0</v>
      </c>
      <c r="ZQ77" s="242">
        <f t="shared" ref="ZQ77:ZQ106" si="741">ZQ76+ZM77-ZO77</f>
        <v>0</v>
      </c>
      <c r="ZR77" s="56"/>
      <c r="ZU77" s="55">
        <f t="shared" ref="ZU77:ZU106" si="742">ZL77</f>
        <v>46083</v>
      </c>
      <c r="ZV77" s="56"/>
      <c r="ZW77" s="242">
        <f>SUMPRODUCT(PRODUCE!$B88:$DY88,PRODUCE!$EB$57:$IY$57)</f>
        <v>0</v>
      </c>
      <c r="ZX77" s="56"/>
      <c r="ZY77" s="242">
        <f t="shared" ref="ZY77:ZY106" si="743">ZW77-ZX77</f>
        <v>0</v>
      </c>
      <c r="ZZ77" s="242">
        <f t="shared" ref="ZZ77:ZZ106" si="744">ZZ76+ZV77-ZX77</f>
        <v>0</v>
      </c>
      <c r="AAA77" s="56"/>
      <c r="AAD77" s="55">
        <f t="shared" ref="AAD77:AAD106" si="745">ZU77</f>
        <v>46083</v>
      </c>
      <c r="AAE77" s="56"/>
      <c r="AAF77" s="242">
        <f>SUMPRODUCT(PRODUCE!$B88:$DY88,PRODUCE!$EB$57:$IY$57)</f>
        <v>0</v>
      </c>
      <c r="AAG77" s="56"/>
      <c r="AAH77" s="242">
        <f t="shared" ref="AAH77:AAH106" si="746">AAF77-AAG77</f>
        <v>0</v>
      </c>
      <c r="AAI77" s="242">
        <f t="shared" ref="AAI77:AAI106" si="747">AAI76+AAE77-AAG77</f>
        <v>0</v>
      </c>
      <c r="AAJ77" s="56"/>
      <c r="AAM77" s="55">
        <f t="shared" ref="AAM77:AAM106" si="748">AAD77</f>
        <v>46083</v>
      </c>
      <c r="AAN77" s="56"/>
      <c r="AAO77" s="242">
        <f>SUMPRODUCT(PRODUCE!$B88:$DY88,PRODUCE!$EB$57:$IY$57)</f>
        <v>0</v>
      </c>
      <c r="AAP77" s="56"/>
      <c r="AAQ77" s="242">
        <f t="shared" ref="AAQ77:AAQ106" si="749">AAO77-AAP77</f>
        <v>0</v>
      </c>
      <c r="AAR77" s="242">
        <f t="shared" ref="AAR77:AAR106" si="750">AAR76+AAN77-AAP77</f>
        <v>0</v>
      </c>
      <c r="AAS77" s="56"/>
      <c r="AAV77" s="55">
        <f t="shared" ref="AAV77:AAV106" si="751">AAM77</f>
        <v>46083</v>
      </c>
      <c r="AAW77" s="56"/>
      <c r="AAX77" s="242">
        <f>SUMPRODUCT(PRODUCE!$B88:$DY88,PRODUCE!$EB$57:$IY$57)</f>
        <v>0</v>
      </c>
      <c r="AAY77" s="56"/>
      <c r="AAZ77" s="242">
        <f t="shared" ref="AAZ77:AAZ106" si="752">AAX77-AAY77</f>
        <v>0</v>
      </c>
      <c r="ABA77" s="242">
        <f t="shared" ref="ABA77:ABA106" si="753">ABA76+AAW77-AAY77</f>
        <v>0</v>
      </c>
      <c r="ABB77" s="56"/>
      <c r="ABE77" s="55">
        <f t="shared" ref="ABE77:ABE106" si="754">AAV77</f>
        <v>46083</v>
      </c>
      <c r="ABF77" s="56"/>
      <c r="ABG77" s="242">
        <f>SUMPRODUCT(PRODUCE!$B88:$DY88,PRODUCE!$EB$57:$IY$57)</f>
        <v>0</v>
      </c>
      <c r="ABH77" s="56"/>
      <c r="ABI77" s="242">
        <f t="shared" ref="ABI77:ABI106" si="755">ABG77-ABH77</f>
        <v>0</v>
      </c>
      <c r="ABJ77" s="242">
        <f t="shared" ref="ABJ77:ABJ106" si="756">ABJ76+ABF77-ABH77</f>
        <v>0</v>
      </c>
      <c r="ABK77" s="56"/>
    </row>
    <row r="78" spans="1:739" s="54" customFormat="1" ht="15" customHeight="1" outlineLevel="1">
      <c r="B78" s="478">
        <f>78+40</f>
        <v>118</v>
      </c>
      <c r="C78" s="55">
        <v>46084</v>
      </c>
      <c r="D78" s="422">
        <v>11800</v>
      </c>
      <c r="E78" s="423">
        <f>SUMPRODUCT(PRODUCE!$B89:$DY89,PRODUCE!$EB$7:$IY$7)</f>
        <v>60489.3</v>
      </c>
      <c r="F78" s="422">
        <v>60481.4</v>
      </c>
      <c r="G78" s="423">
        <f t="shared" si="514"/>
        <v>7.9000000000014552</v>
      </c>
      <c r="H78" s="423">
        <f t="shared" si="512"/>
        <v>52393.80000000001</v>
      </c>
      <c r="I78" s="289" t="s">
        <v>216</v>
      </c>
      <c r="L78" s="55">
        <f t="shared" si="513"/>
        <v>46084</v>
      </c>
      <c r="M78" s="422"/>
      <c r="N78" s="438">
        <f>SUMPRODUCT(PRODUCE!$B89:$DY89,PRODUCE!$EB$8:$IY$8)</f>
        <v>22850</v>
      </c>
      <c r="O78" s="422">
        <v>22850.799999999999</v>
      </c>
      <c r="P78" s="438">
        <f t="shared" si="515"/>
        <v>-0.7999999999992724</v>
      </c>
      <c r="Q78" s="438">
        <f t="shared" si="516"/>
        <v>27853.800000000036</v>
      </c>
      <c r="R78" s="56"/>
      <c r="U78" s="55">
        <f t="shared" si="517"/>
        <v>46084</v>
      </c>
      <c r="V78" s="422"/>
      <c r="W78" s="440">
        <f>SUMPRODUCT(PRODUCE!$B89:$DY89,PRODUCE!$EB$9:$IY$9)</f>
        <v>9913</v>
      </c>
      <c r="X78" s="422">
        <v>9915.2000000000007</v>
      </c>
      <c r="Y78" s="440">
        <f t="shared" si="518"/>
        <v>-2.2000000000007276</v>
      </c>
      <c r="Z78" s="440">
        <f t="shared" si="519"/>
        <v>31688.399999999976</v>
      </c>
      <c r="AA78" s="56"/>
      <c r="AD78" s="55">
        <f t="shared" si="520"/>
        <v>46084</v>
      </c>
      <c r="AE78" s="422"/>
      <c r="AF78" s="442">
        <f>SUMPRODUCT(PRODUCE!$B89:$DY89,PRODUCE!$EB$10:$IY$10)</f>
        <v>1494</v>
      </c>
      <c r="AG78" s="422">
        <v>1495.9</v>
      </c>
      <c r="AH78" s="442">
        <f t="shared" si="521"/>
        <v>-1.9000000000000909</v>
      </c>
      <c r="AI78" s="442">
        <f t="shared" si="522"/>
        <v>31660.800000000017</v>
      </c>
      <c r="AJ78" s="56"/>
      <c r="AM78" s="55">
        <f t="shared" si="523"/>
        <v>46084</v>
      </c>
      <c r="AN78" s="422"/>
      <c r="AO78" s="444">
        <f>SUMPRODUCT(PRODUCE!$B89:$DY89,PRODUCE!$EB$11:$IY$11)</f>
        <v>0</v>
      </c>
      <c r="AP78" s="422"/>
      <c r="AQ78" s="444">
        <f t="shared" si="524"/>
        <v>0</v>
      </c>
      <c r="AR78" s="444">
        <f t="shared" si="525"/>
        <v>0</v>
      </c>
      <c r="AS78" s="56"/>
      <c r="AV78" s="55">
        <f t="shared" si="526"/>
        <v>46084</v>
      </c>
      <c r="AW78" s="422"/>
      <c r="AX78" s="446">
        <f>SUMPRODUCT(PRODUCE!$B89:$DY89,PRODUCE!$EB$12:$IY$12)</f>
        <v>0</v>
      </c>
      <c r="AY78" s="422"/>
      <c r="AZ78" s="446">
        <f t="shared" si="527"/>
        <v>0</v>
      </c>
      <c r="BA78" s="446">
        <f t="shared" si="528"/>
        <v>47801.999999999985</v>
      </c>
      <c r="BB78" s="56"/>
      <c r="BE78" s="55">
        <f t="shared" si="529"/>
        <v>46084</v>
      </c>
      <c r="BF78" s="422">
        <v>15960</v>
      </c>
      <c r="BG78" s="448">
        <f>SUMPRODUCT(PRODUCE!$B89:$DY89,PRODUCE!$EB$13:$IY$13)</f>
        <v>5076</v>
      </c>
      <c r="BH78" s="422">
        <v>5076.6000000000004</v>
      </c>
      <c r="BI78" s="448">
        <f t="shared" si="530"/>
        <v>-0.6000000000003638</v>
      </c>
      <c r="BJ78" s="448">
        <f t="shared" si="531"/>
        <v>14842.400000000003</v>
      </c>
      <c r="BK78" s="56"/>
      <c r="BN78" s="55">
        <f t="shared" si="532"/>
        <v>46084</v>
      </c>
      <c r="BO78" s="422">
        <v>2340.1</v>
      </c>
      <c r="BP78" s="450">
        <f>SUMPRODUCT(PRODUCE!$B89:$DY89,PRODUCE!$EB$14:$IY$14)</f>
        <v>2340</v>
      </c>
      <c r="BQ78" s="422">
        <v>2340.1</v>
      </c>
      <c r="BR78" s="450">
        <f t="shared" si="533"/>
        <v>-9.9999999999909051E-2</v>
      </c>
      <c r="BS78" s="450">
        <f t="shared" si="534"/>
        <v>0</v>
      </c>
      <c r="BT78" s="56"/>
      <c r="BW78" s="55">
        <f t="shared" si="535"/>
        <v>46084</v>
      </c>
      <c r="BX78" s="56"/>
      <c r="BY78" s="65">
        <f>SUMPRODUCT(PRODUCE!$B89:$DY89,PRODUCE!$EB$15:$IY$15)</f>
        <v>738.7</v>
      </c>
      <c r="BZ78" s="56"/>
      <c r="CA78" s="65">
        <f t="shared" si="536"/>
        <v>738.7</v>
      </c>
      <c r="CB78" s="65">
        <f t="shared" si="537"/>
        <v>8.0000000000001137</v>
      </c>
      <c r="CC78" s="56"/>
      <c r="CF78" s="55">
        <f t="shared" si="538"/>
        <v>46084</v>
      </c>
      <c r="CG78" s="56">
        <v>3003</v>
      </c>
      <c r="CH78" s="66">
        <f>SUMPRODUCT(PRODUCE!$B89:$DY89,PRODUCE!$EB$16:$IY$16)</f>
        <v>1140</v>
      </c>
      <c r="CI78" s="56">
        <v>3003</v>
      </c>
      <c r="CJ78" s="66">
        <f t="shared" si="539"/>
        <v>-1863</v>
      </c>
      <c r="CK78" s="66">
        <f t="shared" si="540"/>
        <v>0</v>
      </c>
      <c r="CL78" s="56"/>
      <c r="CO78" s="55">
        <f t="shared" si="541"/>
        <v>46084</v>
      </c>
      <c r="CP78" s="422"/>
      <c r="CQ78" s="470">
        <f>SUMPRODUCT(PRODUCE!$B89:$DY89,PRODUCE!$EB$17:$IY$17)</f>
        <v>0</v>
      </c>
      <c r="CR78" s="422"/>
      <c r="CS78" s="470">
        <f t="shared" si="542"/>
        <v>0</v>
      </c>
      <c r="CT78" s="470">
        <f t="shared" si="543"/>
        <v>0</v>
      </c>
      <c r="CU78" s="56"/>
      <c r="CX78" s="55">
        <f t="shared" si="544"/>
        <v>46084</v>
      </c>
      <c r="CY78" s="56"/>
      <c r="CZ78" s="133">
        <f>SUMPRODUCT(PRODUCE!$B89:$DY89,PRODUCE!$EB$18:$IY$18)</f>
        <v>5900</v>
      </c>
      <c r="DA78" s="56">
        <v>5901.3</v>
      </c>
      <c r="DB78" s="133">
        <f t="shared" si="545"/>
        <v>-1.3000000000001819</v>
      </c>
      <c r="DC78" s="133">
        <f t="shared" si="546"/>
        <v>45150.6</v>
      </c>
      <c r="DD78" s="56"/>
      <c r="DG78" s="55">
        <f t="shared" si="547"/>
        <v>46084</v>
      </c>
      <c r="DH78" s="56"/>
      <c r="DI78" s="147">
        <f>SUMPRODUCT(PRODUCE!$B89:$DY89,PRODUCE!$EB$19:$IY$19)</f>
        <v>4720</v>
      </c>
      <c r="DJ78" s="56">
        <v>4719</v>
      </c>
      <c r="DK78" s="147">
        <f t="shared" si="548"/>
        <v>1</v>
      </c>
      <c r="DL78" s="147">
        <f t="shared" si="549"/>
        <v>3242.399999999996</v>
      </c>
      <c r="DM78" s="56"/>
      <c r="DP78" s="55">
        <f t="shared" si="550"/>
        <v>46084</v>
      </c>
      <c r="DQ78" s="56"/>
      <c r="DR78" s="57">
        <f>SUMPRODUCT(PRODUCE!$B89:$DY89,PRODUCE!$EB$20:$IY$20)</f>
        <v>0</v>
      </c>
      <c r="DS78" s="56"/>
      <c r="DT78" s="57">
        <f t="shared" si="551"/>
        <v>0</v>
      </c>
      <c r="DU78" s="57">
        <f t="shared" si="552"/>
        <v>2300</v>
      </c>
      <c r="DV78" s="56"/>
      <c r="DY78" s="55">
        <f t="shared" si="553"/>
        <v>46084</v>
      </c>
      <c r="DZ78" s="56"/>
      <c r="EA78" s="157">
        <f>SUMPRODUCT(PRODUCE!$B89:$DY89,PRODUCE!$EB$21:$IY$21)</f>
        <v>0</v>
      </c>
      <c r="EB78" s="56"/>
      <c r="EC78" s="157">
        <f t="shared" si="554"/>
        <v>0</v>
      </c>
      <c r="ED78" s="157">
        <f t="shared" si="555"/>
        <v>5696.8</v>
      </c>
      <c r="EE78" s="56"/>
      <c r="EH78" s="55">
        <f t="shared" si="556"/>
        <v>46084</v>
      </c>
      <c r="EI78" s="56"/>
      <c r="EJ78" s="162">
        <f>SUMPRODUCT(PRODUCE!$B89:$DY89,PRODUCE!$EB$22:$IY$22)</f>
        <v>0</v>
      </c>
      <c r="EK78" s="56"/>
      <c r="EL78" s="162">
        <f t="shared" si="557"/>
        <v>0</v>
      </c>
      <c r="EM78" s="162">
        <f t="shared" si="558"/>
        <v>0</v>
      </c>
      <c r="EN78" s="56"/>
      <c r="EQ78" s="55">
        <f t="shared" si="559"/>
        <v>46084</v>
      </c>
      <c r="ER78" s="56"/>
      <c r="ES78" s="135">
        <f>SUMPRODUCT(PRODUCE!$B89:$DY89,PRODUCE!$EB$23:$IY$23)</f>
        <v>0</v>
      </c>
      <c r="ET78" s="56"/>
      <c r="EU78" s="135">
        <f t="shared" si="560"/>
        <v>0</v>
      </c>
      <c r="EV78" s="135">
        <f t="shared" si="561"/>
        <v>0</v>
      </c>
      <c r="EW78" s="56"/>
      <c r="EZ78" s="55">
        <f t="shared" si="562"/>
        <v>46084</v>
      </c>
      <c r="FA78" s="56"/>
      <c r="FB78" s="175">
        <f>SUMPRODUCT(PRODUCE!$B89:$DY89,PRODUCE!$EB$24:$IY$24)</f>
        <v>0</v>
      </c>
      <c r="FC78" s="56"/>
      <c r="FD78" s="175">
        <f t="shared" si="563"/>
        <v>0</v>
      </c>
      <c r="FE78" s="175">
        <f t="shared" si="564"/>
        <v>0</v>
      </c>
      <c r="FF78" s="56"/>
      <c r="FI78" s="55">
        <f t="shared" si="565"/>
        <v>46084</v>
      </c>
      <c r="FJ78" s="56"/>
      <c r="FK78" s="183">
        <f>SUMPRODUCT(PRODUCE!$B89:$DY89,PRODUCE!$EB$25:$IY$25)</f>
        <v>0</v>
      </c>
      <c r="FL78" s="56"/>
      <c r="FM78" s="183">
        <f t="shared" si="566"/>
        <v>0</v>
      </c>
      <c r="FN78" s="183">
        <f t="shared" si="567"/>
        <v>0</v>
      </c>
      <c r="FO78" s="56"/>
      <c r="FR78" s="55">
        <f t="shared" si="568"/>
        <v>46084</v>
      </c>
      <c r="FS78" s="422"/>
      <c r="FT78" s="452">
        <f>SUMPRODUCT(PRODUCE!$B89:$DY89,PRODUCE!$EB$26:$IY$26)</f>
        <v>0</v>
      </c>
      <c r="FU78" s="422"/>
      <c r="FV78" s="452">
        <f t="shared" si="569"/>
        <v>0</v>
      </c>
      <c r="FW78" s="452">
        <f t="shared" si="570"/>
        <v>620</v>
      </c>
      <c r="FX78" s="56"/>
      <c r="GA78" s="55">
        <f t="shared" si="571"/>
        <v>46084</v>
      </c>
      <c r="GB78" s="422"/>
      <c r="GC78" s="454">
        <f>SUMPRODUCT(PRODUCE!$B89:$DY89,PRODUCE!$EB$27:$IY$27)</f>
        <v>0</v>
      </c>
      <c r="GD78" s="422"/>
      <c r="GE78" s="454">
        <f t="shared" si="572"/>
        <v>0</v>
      </c>
      <c r="GF78" s="454">
        <f t="shared" si="573"/>
        <v>5960</v>
      </c>
      <c r="GG78" s="56"/>
      <c r="GI78" s="23"/>
      <c r="GJ78" s="55">
        <f t="shared" si="574"/>
        <v>46084</v>
      </c>
      <c r="GK78" s="422"/>
      <c r="GL78" s="456">
        <f>SUMPRODUCT(PRODUCE!$B89:$DY89,PRODUCE!$EB$28:$IY$28)</f>
        <v>0</v>
      </c>
      <c r="GM78" s="422"/>
      <c r="GN78" s="456">
        <f t="shared" si="575"/>
        <v>0</v>
      </c>
      <c r="GO78" s="456">
        <f t="shared" si="576"/>
        <v>5240</v>
      </c>
      <c r="GP78" s="56"/>
      <c r="GS78" s="55">
        <f t="shared" si="577"/>
        <v>46084</v>
      </c>
      <c r="GT78" s="56"/>
      <c r="GU78" s="195">
        <f>SUMPRODUCT(PRODUCE!$B89:$DY89,PRODUCE!$EB$29:$IY$29)</f>
        <v>0</v>
      </c>
      <c r="GV78" s="56"/>
      <c r="GW78" s="195">
        <f t="shared" si="578"/>
        <v>0</v>
      </c>
      <c r="GX78" s="195">
        <f t="shared" si="579"/>
        <v>0</v>
      </c>
      <c r="GY78" s="56"/>
      <c r="HB78" s="55">
        <f t="shared" si="580"/>
        <v>46084</v>
      </c>
      <c r="HC78" s="56"/>
      <c r="HD78" s="191">
        <f>SUMPRODUCT(PRODUCE!$B89:$DY89,PRODUCE!$EB$30:$IY$30)</f>
        <v>0</v>
      </c>
      <c r="HE78" s="56"/>
      <c r="HF78" s="191">
        <f t="shared" si="581"/>
        <v>0</v>
      </c>
      <c r="HG78" s="191">
        <f t="shared" si="582"/>
        <v>0</v>
      </c>
      <c r="HH78" s="56"/>
      <c r="HK78" s="55">
        <f t="shared" si="583"/>
        <v>46084</v>
      </c>
      <c r="HL78" s="56"/>
      <c r="HM78" s="63">
        <f>SUMPRODUCT(PRODUCE!$B89:$DY89,PRODUCE!$EB$31:$IY$31)</f>
        <v>0</v>
      </c>
      <c r="HN78" s="56"/>
      <c r="HO78" s="63">
        <f t="shared" si="584"/>
        <v>0</v>
      </c>
      <c r="HP78" s="63">
        <f t="shared" si="585"/>
        <v>0</v>
      </c>
      <c r="HQ78" s="56"/>
      <c r="HU78" s="55">
        <f t="shared" si="586"/>
        <v>46084</v>
      </c>
      <c r="HV78" s="56"/>
      <c r="HW78" s="242">
        <f>SUMPRODUCT(PRODUCE!$B89:$DY89,PRODUCE!$EB$32:$IY$32)</f>
        <v>0</v>
      </c>
      <c r="HX78" s="56"/>
      <c r="HY78" s="242">
        <f t="shared" si="587"/>
        <v>0</v>
      </c>
      <c r="HZ78" s="242">
        <f t="shared" si="588"/>
        <v>5120</v>
      </c>
      <c r="IA78" s="56"/>
      <c r="ID78" s="55">
        <f t="shared" si="589"/>
        <v>46084</v>
      </c>
      <c r="IE78" s="56"/>
      <c r="IF78" s="242">
        <f>SUMPRODUCT(PRODUCE!$B89:$DY89,PRODUCE!$EB$33:$IY$33)</f>
        <v>0</v>
      </c>
      <c r="IG78" s="56"/>
      <c r="IH78" s="242">
        <f t="shared" si="590"/>
        <v>0</v>
      </c>
      <c r="II78" s="242">
        <f t="shared" si="591"/>
        <v>5100</v>
      </c>
      <c r="IJ78" s="56"/>
      <c r="IM78" s="55">
        <f t="shared" si="592"/>
        <v>46084</v>
      </c>
      <c r="IN78" s="56"/>
      <c r="IO78" s="242">
        <f>SUMPRODUCT(PRODUCE!$B89:$DY89,PRODUCE!$EB$34:$IY$34)</f>
        <v>0</v>
      </c>
      <c r="IP78" s="56"/>
      <c r="IQ78" s="242">
        <f t="shared" si="593"/>
        <v>0</v>
      </c>
      <c r="IR78" s="242">
        <f t="shared" si="594"/>
        <v>10240</v>
      </c>
      <c r="IS78" s="56"/>
      <c r="IV78" s="55">
        <f t="shared" si="595"/>
        <v>46084</v>
      </c>
      <c r="IW78" s="56"/>
      <c r="IX78" s="242">
        <f>SUMPRODUCT(PRODUCE!$B89:$DY89,PRODUCE!$EB$35:$IY$35)</f>
        <v>0</v>
      </c>
      <c r="IY78" s="56"/>
      <c r="IZ78" s="242">
        <f t="shared" si="596"/>
        <v>0</v>
      </c>
      <c r="JA78" s="242">
        <f t="shared" si="597"/>
        <v>15120</v>
      </c>
      <c r="JB78" s="56"/>
      <c r="JE78" s="55">
        <f t="shared" si="598"/>
        <v>46084</v>
      </c>
      <c r="JF78" s="56"/>
      <c r="JG78" s="242">
        <f>SUMPRODUCT(PRODUCE!$B89:$DY89,PRODUCE!$EB$36:$IY$36)</f>
        <v>0</v>
      </c>
      <c r="JH78" s="56"/>
      <c r="JI78" s="242">
        <f t="shared" si="599"/>
        <v>0</v>
      </c>
      <c r="JJ78" s="242">
        <f t="shared" si="600"/>
        <v>3320</v>
      </c>
      <c r="JK78" s="56"/>
      <c r="JN78" s="55">
        <f t="shared" si="601"/>
        <v>46084</v>
      </c>
      <c r="JO78" s="56"/>
      <c r="JP78" s="242">
        <f>SUMPRODUCT(PRODUCE!$B89:$DY89,PRODUCE!$EB$37:$IY$37)</f>
        <v>0</v>
      </c>
      <c r="JQ78" s="56"/>
      <c r="JR78" s="242">
        <f t="shared" si="602"/>
        <v>0</v>
      </c>
      <c r="JS78" s="242">
        <f t="shared" si="603"/>
        <v>5400</v>
      </c>
      <c r="JT78" s="56"/>
      <c r="JW78" s="55">
        <f t="shared" si="604"/>
        <v>46084</v>
      </c>
      <c r="JX78" s="56"/>
      <c r="JY78" s="242">
        <f>SUMPRODUCT(PRODUCE!$B89:$DY89,PRODUCE!$EB$38:$IY$38)</f>
        <v>0</v>
      </c>
      <c r="JZ78" s="56"/>
      <c r="KA78" s="242">
        <f t="shared" si="605"/>
        <v>0</v>
      </c>
      <c r="KB78" s="242">
        <f t="shared" si="606"/>
        <v>4000</v>
      </c>
      <c r="KC78" s="56"/>
      <c r="KF78" s="55">
        <f t="shared" si="607"/>
        <v>46084</v>
      </c>
      <c r="KG78" s="56">
        <f>250*19.5</f>
        <v>4875</v>
      </c>
      <c r="KH78" s="242">
        <f>SUMPRODUCT(PRODUCE!$B89:$DY89,PRODUCE!$EB$39:$IY$39)</f>
        <v>1521</v>
      </c>
      <c r="KI78" s="56">
        <f>74*19.5</f>
        <v>1443</v>
      </c>
      <c r="KJ78" s="242">
        <f t="shared" si="608"/>
        <v>78</v>
      </c>
      <c r="KK78" s="242">
        <f t="shared" si="609"/>
        <v>3432</v>
      </c>
      <c r="KL78" s="56"/>
      <c r="KO78" s="55">
        <f t="shared" si="610"/>
        <v>46084</v>
      </c>
      <c r="KP78" s="56"/>
      <c r="KQ78" s="242">
        <f>SUMPRODUCT(PRODUCE!$B89:$DY89,PRODUCE!$EB$40:$IY$40)</f>
        <v>756</v>
      </c>
      <c r="KR78" s="56"/>
      <c r="KS78" s="242">
        <f t="shared" si="611"/>
        <v>756</v>
      </c>
      <c r="KT78" s="242">
        <f t="shared" si="612"/>
        <v>6539.4000000000005</v>
      </c>
      <c r="KU78" s="56"/>
      <c r="KW78" s="23"/>
      <c r="KX78" s="55">
        <f t="shared" si="613"/>
        <v>46084</v>
      </c>
      <c r="KY78" s="56"/>
      <c r="KZ78" s="242">
        <f>SUMPRODUCT(PRODUCE!$B89:$DY89,PRODUCE!$EB$41:$IY$41)</f>
        <v>0</v>
      </c>
      <c r="LA78" s="56"/>
      <c r="LB78" s="242">
        <f t="shared" si="614"/>
        <v>0</v>
      </c>
      <c r="LC78" s="242">
        <f t="shared" si="615"/>
        <v>0</v>
      </c>
      <c r="LD78" s="56"/>
      <c r="LG78" s="55">
        <f t="shared" si="616"/>
        <v>46084</v>
      </c>
      <c r="LH78" s="56"/>
      <c r="LI78" s="242">
        <f>SUMPRODUCT(PRODUCE!$B89:$DY89,PRODUCE!$EB$42:$IY$42)</f>
        <v>0</v>
      </c>
      <c r="LJ78" s="56"/>
      <c r="LK78" s="242">
        <f t="shared" si="617"/>
        <v>0</v>
      </c>
      <c r="LL78" s="242">
        <f t="shared" si="618"/>
        <v>0</v>
      </c>
      <c r="LM78" s="56"/>
      <c r="LP78" s="55">
        <f t="shared" si="619"/>
        <v>46084</v>
      </c>
      <c r="LQ78" s="56"/>
      <c r="LR78" s="242">
        <f>SUMPRODUCT(PRODUCE!$B93:$DY93,PRODUCE!$EB$43:$IY$43)</f>
        <v>0</v>
      </c>
      <c r="LS78" s="56"/>
      <c r="LT78" s="242">
        <f t="shared" si="620"/>
        <v>0</v>
      </c>
      <c r="LU78" s="242">
        <f t="shared" si="621"/>
        <v>0</v>
      </c>
      <c r="LV78" s="56"/>
      <c r="LY78" s="55">
        <f t="shared" si="622"/>
        <v>46084</v>
      </c>
      <c r="LZ78" s="56"/>
      <c r="MA78" s="242">
        <f>SUMPRODUCT(PRODUCE!$B89:$DY89,PRODUCE!$EB$44:$IY$44)</f>
        <v>0</v>
      </c>
      <c r="MB78" s="56"/>
      <c r="MC78" s="242">
        <f t="shared" si="623"/>
        <v>0</v>
      </c>
      <c r="MD78" s="242">
        <f t="shared" si="624"/>
        <v>0</v>
      </c>
      <c r="ME78" s="56"/>
      <c r="MH78" s="55">
        <f t="shared" si="625"/>
        <v>46084</v>
      </c>
      <c r="MI78" s="56"/>
      <c r="MJ78" s="242">
        <f>SUMPRODUCT(PRODUCE!$B89:$DY89,PRODUCE!$EB$45:$IY$45)</f>
        <v>0</v>
      </c>
      <c r="MK78" s="56"/>
      <c r="ML78" s="242">
        <f t="shared" si="626"/>
        <v>0</v>
      </c>
      <c r="MM78" s="242">
        <f t="shared" si="627"/>
        <v>0</v>
      </c>
      <c r="MN78" s="56"/>
      <c r="MQ78" s="55">
        <f t="shared" si="628"/>
        <v>46084</v>
      </c>
      <c r="MR78" s="56"/>
      <c r="MS78" s="242">
        <f>SUMPRODUCT(PRODUCE!$B89:$DY89,PRODUCE!$EB$46:$IY$46)</f>
        <v>236</v>
      </c>
      <c r="MT78" s="56"/>
      <c r="MU78" s="242">
        <f t="shared" si="629"/>
        <v>236</v>
      </c>
      <c r="MV78" s="242">
        <f t="shared" si="630"/>
        <v>4123</v>
      </c>
      <c r="MW78" s="56"/>
      <c r="MZ78" s="55">
        <f t="shared" si="631"/>
        <v>46084</v>
      </c>
      <c r="NA78" s="56"/>
      <c r="NB78" s="242">
        <f>SUMPRODUCT(PRODUCE!$B89:$DY89,PRODUCE!$EB$47:$IY$47)</f>
        <v>354</v>
      </c>
      <c r="NC78" s="56"/>
      <c r="ND78" s="242">
        <f t="shared" si="632"/>
        <v>354</v>
      </c>
      <c r="NE78" s="242">
        <f t="shared" si="633"/>
        <v>0</v>
      </c>
      <c r="NF78" s="56"/>
      <c r="NI78" s="55">
        <f t="shared" si="634"/>
        <v>46084</v>
      </c>
      <c r="NJ78" s="56"/>
      <c r="NK78" s="242">
        <f>SUMPRODUCT(PRODUCE!$B89:$DY89,PRODUCE!$EB$48:$IY$48)</f>
        <v>0</v>
      </c>
      <c r="NL78" s="56"/>
      <c r="NM78" s="242">
        <f t="shared" si="635"/>
        <v>0</v>
      </c>
      <c r="NN78" s="242">
        <f t="shared" si="636"/>
        <v>0</v>
      </c>
      <c r="NO78" s="56"/>
      <c r="NR78" s="55">
        <f t="shared" si="637"/>
        <v>46084</v>
      </c>
      <c r="NS78" s="56"/>
      <c r="NT78" s="242">
        <f>SUMPRODUCT(PRODUCE!$B89:$DY89,PRODUCE!$EB$49:$IY$49)</f>
        <v>141.6</v>
      </c>
      <c r="NU78" s="56"/>
      <c r="NV78" s="242">
        <f t="shared" si="638"/>
        <v>141.6</v>
      </c>
      <c r="NW78" s="242">
        <f t="shared" si="639"/>
        <v>1947.7</v>
      </c>
      <c r="NX78" s="56"/>
      <c r="OA78" s="55">
        <f t="shared" si="640"/>
        <v>46084</v>
      </c>
      <c r="OB78" s="56"/>
      <c r="OC78" s="242">
        <f>SUMPRODUCT(PRODUCE!$B89:$DY89,PRODUCE!$EB$50:$IY$50)</f>
        <v>0</v>
      </c>
      <c r="OD78" s="56"/>
      <c r="OE78" s="242">
        <f t="shared" si="641"/>
        <v>0</v>
      </c>
      <c r="OF78" s="242">
        <f t="shared" si="642"/>
        <v>1680.5</v>
      </c>
      <c r="OG78" s="56"/>
      <c r="OJ78" s="55">
        <f t="shared" si="643"/>
        <v>46084</v>
      </c>
      <c r="OK78" s="56"/>
      <c r="OL78" s="242">
        <f>SUMPRODUCT(PRODUCE!$B89:$DY89,PRODUCE!$EB$51:$IY$51)</f>
        <v>330.39999999999992</v>
      </c>
      <c r="OM78" s="56"/>
      <c r="ON78" s="242">
        <f t="shared" si="644"/>
        <v>330.39999999999992</v>
      </c>
      <c r="OO78" s="242">
        <f t="shared" si="645"/>
        <v>0</v>
      </c>
      <c r="OP78" s="56"/>
      <c r="OS78" s="55">
        <f t="shared" si="646"/>
        <v>46084</v>
      </c>
      <c r="OT78" s="56"/>
      <c r="OU78" s="242">
        <f>SUMPRODUCT(PRODUCE!$B89:$DY89,PRODUCE!$EB$52:$IY$52)</f>
        <v>0</v>
      </c>
      <c r="OV78" s="56"/>
      <c r="OW78" s="242">
        <f t="shared" si="647"/>
        <v>0</v>
      </c>
      <c r="OX78" s="242">
        <f t="shared" si="648"/>
        <v>0</v>
      </c>
      <c r="OY78" s="56"/>
      <c r="PB78" s="55">
        <f t="shared" si="649"/>
        <v>46084</v>
      </c>
      <c r="PC78" s="56"/>
      <c r="PD78" s="242">
        <f>SUMPRODUCT(PRODUCE!$B89:$DY89,PRODUCE!$EB$53:$IY$53)</f>
        <v>0</v>
      </c>
      <c r="PE78" s="56"/>
      <c r="PF78" s="242">
        <f t="shared" si="650"/>
        <v>0</v>
      </c>
      <c r="PG78" s="242">
        <f t="shared" si="651"/>
        <v>0</v>
      </c>
      <c r="PH78" s="56"/>
      <c r="PK78" s="55">
        <f t="shared" si="652"/>
        <v>46084</v>
      </c>
      <c r="PL78" s="56"/>
      <c r="PM78" s="242">
        <f>SUMPRODUCT(PRODUCE!$B89:$DY89,PRODUCE!$EB$54:$IY$54)</f>
        <v>0</v>
      </c>
      <c r="PN78" s="56"/>
      <c r="PO78" s="242">
        <f t="shared" si="653"/>
        <v>0</v>
      </c>
      <c r="PP78" s="242">
        <f t="shared" si="654"/>
        <v>100</v>
      </c>
      <c r="PQ78" s="56"/>
      <c r="PT78" s="55">
        <f t="shared" si="655"/>
        <v>46084</v>
      </c>
      <c r="PU78" s="56"/>
      <c r="PV78" s="242">
        <f>SUMPRODUCT(PRODUCE!$B89:$DY89,PRODUCE!$EB$55:$IY$55)</f>
        <v>0</v>
      </c>
      <c r="PW78" s="56"/>
      <c r="PX78" s="242">
        <f t="shared" si="656"/>
        <v>0</v>
      </c>
      <c r="PY78" s="242">
        <f t="shared" si="657"/>
        <v>13.960000000000036</v>
      </c>
      <c r="PZ78" s="56"/>
      <c r="QC78" s="55">
        <f t="shared" si="658"/>
        <v>46084</v>
      </c>
      <c r="QD78" s="56"/>
      <c r="QE78" s="242">
        <f>SUMPRODUCT(PRODUCE!$B89:$DY89,PRODUCE!$EB$56:$IY$56)</f>
        <v>0</v>
      </c>
      <c r="QF78" s="56"/>
      <c r="QG78" s="242">
        <f t="shared" si="659"/>
        <v>0</v>
      </c>
      <c r="QH78" s="242">
        <f t="shared" si="660"/>
        <v>344</v>
      </c>
      <c r="QI78" s="56"/>
      <c r="QL78" s="55">
        <f t="shared" si="661"/>
        <v>46084</v>
      </c>
      <c r="QM78" s="56"/>
      <c r="QN78" s="242">
        <f>SUMPRODUCT(PRODUCE!$B89:$DY89,PRODUCE!$EB$57:$IY$57)</f>
        <v>0</v>
      </c>
      <c r="QO78" s="56"/>
      <c r="QP78" s="242">
        <f t="shared" si="662"/>
        <v>0</v>
      </c>
      <c r="QQ78" s="242">
        <f t="shared" si="663"/>
        <v>0</v>
      </c>
      <c r="QR78" s="56"/>
      <c r="QU78" s="55">
        <f t="shared" si="664"/>
        <v>46084</v>
      </c>
      <c r="QV78" s="56"/>
      <c r="QW78" s="242">
        <f>SUMPRODUCT(PRODUCE!$B89:$DY89,PRODUCE!$EB$57:$IY$57)</f>
        <v>0</v>
      </c>
      <c r="QX78" s="56"/>
      <c r="QY78" s="242">
        <f t="shared" si="665"/>
        <v>0</v>
      </c>
      <c r="QZ78" s="242">
        <f t="shared" si="666"/>
        <v>207.6</v>
      </c>
      <c r="RA78" s="56"/>
      <c r="RD78" s="55">
        <f t="shared" si="667"/>
        <v>46084</v>
      </c>
      <c r="RE78" s="56"/>
      <c r="RF78" s="242">
        <f>SUMPRODUCT(PRODUCE!$B89:$DY89,PRODUCE!$EB$58:$IY$58)</f>
        <v>0</v>
      </c>
      <c r="RG78" s="56"/>
      <c r="RH78" s="242">
        <f t="shared" si="668"/>
        <v>0</v>
      </c>
      <c r="RI78" s="242">
        <f t="shared" si="669"/>
        <v>197.04000000000002</v>
      </c>
      <c r="RJ78" s="56"/>
      <c r="RM78" s="55">
        <f t="shared" si="670"/>
        <v>46084</v>
      </c>
      <c r="RN78" s="56"/>
      <c r="RO78" s="242">
        <f>SUMPRODUCT(PRODUCE!$B89:$DY89,PRODUCE!$EB$57:$IY$57)</f>
        <v>0</v>
      </c>
      <c r="RP78" s="56"/>
      <c r="RQ78" s="242">
        <f t="shared" si="671"/>
        <v>0</v>
      </c>
      <c r="RR78" s="242">
        <f t="shared" si="672"/>
        <v>46.8</v>
      </c>
      <c r="RS78" s="56"/>
      <c r="RV78" s="55">
        <f t="shared" si="673"/>
        <v>46084</v>
      </c>
      <c r="RW78" s="56"/>
      <c r="RX78" s="242">
        <f>SUMPRODUCT(PRODUCE!$B89:$DY89,PRODUCE!$EB$57:$IY$57)</f>
        <v>0</v>
      </c>
      <c r="RY78" s="56"/>
      <c r="RZ78" s="242">
        <f t="shared" si="674"/>
        <v>0</v>
      </c>
      <c r="SA78" s="242">
        <f t="shared" si="675"/>
        <v>0</v>
      </c>
      <c r="SB78" s="56"/>
      <c r="SE78" s="55">
        <f t="shared" si="676"/>
        <v>46084</v>
      </c>
      <c r="SF78" s="56"/>
      <c r="SG78" s="242">
        <f>SUMPRODUCT(PRODUCE!$B89:$DY89,PRODUCE!$EB$57:$IY$57)</f>
        <v>0</v>
      </c>
      <c r="SH78" s="56"/>
      <c r="SI78" s="242">
        <f t="shared" si="677"/>
        <v>0</v>
      </c>
      <c r="SJ78" s="242">
        <f t="shared" si="678"/>
        <v>0</v>
      </c>
      <c r="SK78" s="56"/>
      <c r="SN78" s="55">
        <f t="shared" si="679"/>
        <v>46084</v>
      </c>
      <c r="SO78" s="56"/>
      <c r="SP78" s="242">
        <f>SUMPRODUCT(PRODUCE!$B89:$DY89,PRODUCE!$EB$57:$IY$57)</f>
        <v>0</v>
      </c>
      <c r="SQ78" s="56"/>
      <c r="SR78" s="242">
        <f t="shared" si="680"/>
        <v>0</v>
      </c>
      <c r="SS78" s="242">
        <f t="shared" si="681"/>
        <v>0</v>
      </c>
      <c r="ST78" s="56"/>
      <c r="SW78" s="55">
        <f t="shared" si="682"/>
        <v>46084</v>
      </c>
      <c r="SX78" s="56"/>
      <c r="SY78" s="242">
        <f>SUMPRODUCT(PRODUCE!$B89:$DY89,PRODUCE!$EB$57:$IY$57)</f>
        <v>0</v>
      </c>
      <c r="SZ78" s="56"/>
      <c r="TA78" s="242">
        <f t="shared" si="683"/>
        <v>0</v>
      </c>
      <c r="TB78" s="242">
        <f t="shared" si="684"/>
        <v>0</v>
      </c>
      <c r="TC78" s="56"/>
      <c r="TF78" s="55">
        <f t="shared" si="685"/>
        <v>46084</v>
      </c>
      <c r="TG78" s="56"/>
      <c r="TH78" s="242">
        <f>SUMPRODUCT(PRODUCE!$B89:$DY89,PRODUCE!$EB$57:$IY$57)</f>
        <v>0</v>
      </c>
      <c r="TI78" s="56"/>
      <c r="TJ78" s="242">
        <f t="shared" si="686"/>
        <v>0</v>
      </c>
      <c r="TK78" s="242">
        <f t="shared" si="687"/>
        <v>0</v>
      </c>
      <c r="TL78" s="56"/>
      <c r="TO78" s="55">
        <f t="shared" si="688"/>
        <v>46084</v>
      </c>
      <c r="TP78" s="56"/>
      <c r="TQ78" s="242">
        <f>SUMPRODUCT(PRODUCE!$B89:$DY89,PRODUCE!$EB$57:$IY$57)</f>
        <v>0</v>
      </c>
      <c r="TR78" s="56"/>
      <c r="TS78" s="242">
        <f t="shared" si="689"/>
        <v>0</v>
      </c>
      <c r="TT78" s="242">
        <f t="shared" si="690"/>
        <v>0</v>
      </c>
      <c r="TU78" s="56"/>
      <c r="TX78" s="55">
        <f t="shared" si="691"/>
        <v>46084</v>
      </c>
      <c r="TY78" s="56"/>
      <c r="TZ78" s="242">
        <f>SUMPRODUCT(PRODUCE!$B89:$DY89,PRODUCE!$EB$57:$IY$57)</f>
        <v>0</v>
      </c>
      <c r="UA78" s="56"/>
      <c r="UB78" s="242">
        <f t="shared" si="692"/>
        <v>0</v>
      </c>
      <c r="UC78" s="242">
        <f t="shared" si="693"/>
        <v>0</v>
      </c>
      <c r="UD78" s="56"/>
      <c r="UG78" s="55">
        <f t="shared" si="694"/>
        <v>46084</v>
      </c>
      <c r="UH78" s="56"/>
      <c r="UI78" s="242">
        <f>SUMPRODUCT(PRODUCE!$B89:$DY89,PRODUCE!$EB$57:$IY$57)</f>
        <v>0</v>
      </c>
      <c r="UJ78" s="56"/>
      <c r="UK78" s="242">
        <f t="shared" si="695"/>
        <v>0</v>
      </c>
      <c r="UL78" s="242">
        <f t="shared" si="696"/>
        <v>0</v>
      </c>
      <c r="UM78" s="56"/>
      <c r="UP78" s="55">
        <f t="shared" si="697"/>
        <v>46084</v>
      </c>
      <c r="UQ78" s="56"/>
      <c r="UR78" s="242">
        <f>SUMPRODUCT(PRODUCE!$B89:$DY89,PRODUCE!$EB$57:$IY$57)</f>
        <v>0</v>
      </c>
      <c r="US78" s="56"/>
      <c r="UT78" s="242">
        <f t="shared" si="698"/>
        <v>0</v>
      </c>
      <c r="UU78" s="242">
        <f t="shared" si="699"/>
        <v>0</v>
      </c>
      <c r="UV78" s="56"/>
      <c r="UY78" s="55">
        <f t="shared" si="700"/>
        <v>46084</v>
      </c>
      <c r="UZ78" s="56"/>
      <c r="VA78" s="242">
        <f>SUMPRODUCT(PRODUCE!$B89:$DY89,PRODUCE!$EB$57:$IY$57)</f>
        <v>0</v>
      </c>
      <c r="VB78" s="56"/>
      <c r="VC78" s="242">
        <f t="shared" si="701"/>
        <v>0</v>
      </c>
      <c r="VD78" s="242">
        <f t="shared" si="702"/>
        <v>41.600000000000023</v>
      </c>
      <c r="VE78" s="56"/>
      <c r="VH78" s="55">
        <f t="shared" si="703"/>
        <v>46084</v>
      </c>
      <c r="VI78" s="56"/>
      <c r="VJ78" s="242">
        <f>SUMPRODUCT(PRODUCE!$B89:$DY89,PRODUCE!$EB$57:$IY$57)</f>
        <v>0</v>
      </c>
      <c r="VK78" s="56"/>
      <c r="VL78" s="242">
        <f t="shared" si="704"/>
        <v>0</v>
      </c>
      <c r="VM78" s="242">
        <f t="shared" si="705"/>
        <v>0</v>
      </c>
      <c r="VN78" s="56"/>
      <c r="VQ78" s="55">
        <f t="shared" si="706"/>
        <v>46084</v>
      </c>
      <c r="VR78" s="56"/>
      <c r="VS78" s="242">
        <f>SUMPRODUCT(PRODUCE!$B89:$DY89,PRODUCE!$EB$57:$IY$57)</f>
        <v>0</v>
      </c>
      <c r="VT78" s="56"/>
      <c r="VU78" s="242">
        <f t="shared" si="707"/>
        <v>0</v>
      </c>
      <c r="VV78" s="242">
        <f t="shared" si="708"/>
        <v>0</v>
      </c>
      <c r="VW78" s="56"/>
      <c r="VZ78" s="55">
        <f t="shared" si="709"/>
        <v>46084</v>
      </c>
      <c r="WA78" s="56"/>
      <c r="WB78" s="242">
        <f>SUMPRODUCT(PRODUCE!$B89:$DY89,PRODUCE!$EB$57:$IY$57)</f>
        <v>0</v>
      </c>
      <c r="WC78" s="56"/>
      <c r="WD78" s="242">
        <f t="shared" si="710"/>
        <v>0</v>
      </c>
      <c r="WE78" s="242">
        <f t="shared" si="711"/>
        <v>0</v>
      </c>
      <c r="WF78" s="56"/>
      <c r="WI78" s="55">
        <f t="shared" si="712"/>
        <v>46084</v>
      </c>
      <c r="WJ78" s="56"/>
      <c r="WK78" s="242">
        <f>SUMPRODUCT(PRODUCE!$B89:$DY89,PRODUCE!$EB$57:$IY$57)</f>
        <v>0</v>
      </c>
      <c r="WL78" s="56"/>
      <c r="WM78" s="242">
        <f t="shared" si="713"/>
        <v>0</v>
      </c>
      <c r="WN78" s="242">
        <f t="shared" si="714"/>
        <v>6628</v>
      </c>
      <c r="WO78" s="56"/>
      <c r="WR78" s="55">
        <f t="shared" si="715"/>
        <v>46084</v>
      </c>
      <c r="WS78" s="56"/>
      <c r="WT78" s="242">
        <f>SUMPRODUCT(PRODUCE!$B89:$DY89,PRODUCE!$EB$57:$IY$57)</f>
        <v>0</v>
      </c>
      <c r="WU78" s="56"/>
      <c r="WV78" s="242">
        <f t="shared" si="716"/>
        <v>0</v>
      </c>
      <c r="WW78" s="242">
        <f t="shared" si="717"/>
        <v>6559</v>
      </c>
      <c r="WX78" s="56"/>
      <c r="XA78" s="55">
        <f t="shared" si="718"/>
        <v>46084</v>
      </c>
      <c r="XB78" s="56"/>
      <c r="XC78" s="242">
        <f>SUMPRODUCT(PRODUCE!$B89:$DY89,PRODUCE!$EB$57:$IY$57)</f>
        <v>0</v>
      </c>
      <c r="XD78" s="56"/>
      <c r="XE78" s="242">
        <f t="shared" si="719"/>
        <v>0</v>
      </c>
      <c r="XF78" s="242">
        <f t="shared" si="720"/>
        <v>590</v>
      </c>
      <c r="XG78" s="56"/>
      <c r="XJ78" s="55">
        <f t="shared" si="721"/>
        <v>46084</v>
      </c>
      <c r="XK78" s="56"/>
      <c r="XL78" s="242">
        <f>SUMPRODUCT(PRODUCE!$B89:$DY89,PRODUCE!$EB$57:$IY$57)</f>
        <v>0</v>
      </c>
      <c r="XM78" s="56"/>
      <c r="XN78" s="242">
        <f t="shared" si="722"/>
        <v>0</v>
      </c>
      <c r="XO78" s="242">
        <f t="shared" si="723"/>
        <v>2175</v>
      </c>
      <c r="XP78" s="56"/>
      <c r="XS78" s="55">
        <f t="shared" si="724"/>
        <v>46084</v>
      </c>
      <c r="XT78" s="56"/>
      <c r="XU78" s="242">
        <f>SUMPRODUCT(PRODUCE!$B89:$DY89,PRODUCE!$EB$57:$IY$57)</f>
        <v>0</v>
      </c>
      <c r="XV78" s="56"/>
      <c r="XW78" s="242">
        <f t="shared" si="725"/>
        <v>0</v>
      </c>
      <c r="XX78" s="242">
        <f t="shared" si="726"/>
        <v>1901</v>
      </c>
      <c r="XY78" s="56"/>
      <c r="YB78" s="55">
        <f t="shared" si="727"/>
        <v>46084</v>
      </c>
      <c r="YC78" s="56"/>
      <c r="YD78" s="242">
        <f>SUMPRODUCT(PRODUCE!$B89:$DY89,PRODUCE!$EB$57:$IY$57)</f>
        <v>0</v>
      </c>
      <c r="YE78" s="56"/>
      <c r="YF78" s="242">
        <f t="shared" si="728"/>
        <v>0</v>
      </c>
      <c r="YG78" s="242">
        <f t="shared" si="729"/>
        <v>0</v>
      </c>
      <c r="YH78" s="56"/>
      <c r="YK78" s="55">
        <f t="shared" si="730"/>
        <v>46084</v>
      </c>
      <c r="YL78" s="56"/>
      <c r="YM78" s="242">
        <f>SUMPRODUCT(PRODUCE!$B89:$DY89,PRODUCE!$EB$57:$IY$57)</f>
        <v>0</v>
      </c>
      <c r="YN78" s="56"/>
      <c r="YO78" s="242">
        <f t="shared" si="731"/>
        <v>0</v>
      </c>
      <c r="YP78" s="242">
        <f t="shared" si="732"/>
        <v>0</v>
      </c>
      <c r="YQ78" s="56"/>
      <c r="YT78" s="55">
        <f t="shared" si="733"/>
        <v>46084</v>
      </c>
      <c r="YU78" s="56"/>
      <c r="YV78" s="242">
        <f>SUMPRODUCT(PRODUCE!$B89:$DY89,PRODUCE!$EB$57:$IY$57)</f>
        <v>0</v>
      </c>
      <c r="YW78" s="56"/>
      <c r="YX78" s="242">
        <f t="shared" si="734"/>
        <v>0</v>
      </c>
      <c r="YY78" s="242">
        <f t="shared" si="735"/>
        <v>0</v>
      </c>
      <c r="YZ78" s="56"/>
      <c r="ZC78" s="55">
        <f t="shared" si="736"/>
        <v>46084</v>
      </c>
      <c r="ZD78" s="56"/>
      <c r="ZE78" s="242">
        <f>SUMPRODUCT(PRODUCE!$B89:$DY89,PRODUCE!$EB$57:$IY$57)</f>
        <v>0</v>
      </c>
      <c r="ZF78" s="56"/>
      <c r="ZG78" s="242">
        <f t="shared" si="737"/>
        <v>0</v>
      </c>
      <c r="ZH78" s="242">
        <f t="shared" si="738"/>
        <v>0</v>
      </c>
      <c r="ZI78" s="56"/>
      <c r="ZL78" s="55">
        <f t="shared" si="739"/>
        <v>46084</v>
      </c>
      <c r="ZM78" s="56"/>
      <c r="ZN78" s="242">
        <f>SUMPRODUCT(PRODUCE!$B89:$DY89,PRODUCE!$EB$57:$IY$57)</f>
        <v>0</v>
      </c>
      <c r="ZO78" s="56"/>
      <c r="ZP78" s="242">
        <f t="shared" si="740"/>
        <v>0</v>
      </c>
      <c r="ZQ78" s="242">
        <f t="shared" si="741"/>
        <v>0</v>
      </c>
      <c r="ZR78" s="56"/>
      <c r="ZU78" s="55">
        <f t="shared" si="742"/>
        <v>46084</v>
      </c>
      <c r="ZV78" s="56"/>
      <c r="ZW78" s="242">
        <f>SUMPRODUCT(PRODUCE!$B89:$DY89,PRODUCE!$EB$57:$IY$57)</f>
        <v>0</v>
      </c>
      <c r="ZX78" s="56"/>
      <c r="ZY78" s="242">
        <f t="shared" si="743"/>
        <v>0</v>
      </c>
      <c r="ZZ78" s="242">
        <f t="shared" si="744"/>
        <v>0</v>
      </c>
      <c r="AAA78" s="56"/>
      <c r="AAD78" s="55">
        <f t="shared" si="745"/>
        <v>46084</v>
      </c>
      <c r="AAE78" s="56"/>
      <c r="AAF78" s="242">
        <f>SUMPRODUCT(PRODUCE!$B89:$DY89,PRODUCE!$EB$57:$IY$57)</f>
        <v>0</v>
      </c>
      <c r="AAG78" s="56"/>
      <c r="AAH78" s="242">
        <f t="shared" si="746"/>
        <v>0</v>
      </c>
      <c r="AAI78" s="242">
        <f t="shared" si="747"/>
        <v>0</v>
      </c>
      <c r="AAJ78" s="56"/>
      <c r="AAM78" s="55">
        <f t="shared" si="748"/>
        <v>46084</v>
      </c>
      <c r="AAN78" s="56"/>
      <c r="AAO78" s="242">
        <f>SUMPRODUCT(PRODUCE!$B89:$DY89,PRODUCE!$EB$57:$IY$57)</f>
        <v>0</v>
      </c>
      <c r="AAP78" s="56"/>
      <c r="AAQ78" s="242">
        <f t="shared" si="749"/>
        <v>0</v>
      </c>
      <c r="AAR78" s="242">
        <f t="shared" si="750"/>
        <v>0</v>
      </c>
      <c r="AAS78" s="56"/>
      <c r="AAV78" s="55">
        <f t="shared" si="751"/>
        <v>46084</v>
      </c>
      <c r="AAW78" s="56"/>
      <c r="AAX78" s="242">
        <f>SUMPRODUCT(PRODUCE!$B89:$DY89,PRODUCE!$EB$57:$IY$57)</f>
        <v>0</v>
      </c>
      <c r="AAY78" s="56"/>
      <c r="AAZ78" s="242">
        <f t="shared" si="752"/>
        <v>0</v>
      </c>
      <c r="ABA78" s="242">
        <f t="shared" si="753"/>
        <v>0</v>
      </c>
      <c r="ABB78" s="56"/>
      <c r="ABE78" s="55">
        <f t="shared" si="754"/>
        <v>46084</v>
      </c>
      <c r="ABF78" s="56"/>
      <c r="ABG78" s="242">
        <f>SUMPRODUCT(PRODUCE!$B89:$DY89,PRODUCE!$EB$57:$IY$57)</f>
        <v>0</v>
      </c>
      <c r="ABH78" s="56"/>
      <c r="ABI78" s="242">
        <f t="shared" si="755"/>
        <v>0</v>
      </c>
      <c r="ABJ78" s="242">
        <f t="shared" si="756"/>
        <v>0</v>
      </c>
      <c r="ABK78" s="56"/>
    </row>
    <row r="79" spans="1:739" s="54" customFormat="1" ht="15" customHeight="1" outlineLevel="1">
      <c r="B79" s="478">
        <v>82</v>
      </c>
      <c r="C79" s="55">
        <v>46085</v>
      </c>
      <c r="D79" s="422"/>
      <c r="E79" s="423">
        <f>SUMPRODUCT(PRODUCE!$B90:$DY90,PRODUCE!$EB$7:$IY$7)</f>
        <v>43837.19999999999</v>
      </c>
      <c r="F79" s="422">
        <v>43844</v>
      </c>
      <c r="G79" s="423">
        <f t="shared" si="514"/>
        <v>-6.8000000000101863</v>
      </c>
      <c r="H79" s="423">
        <f t="shared" si="512"/>
        <v>8549.8000000000102</v>
      </c>
      <c r="I79" s="289" t="s">
        <v>217</v>
      </c>
      <c r="L79" s="55">
        <f t="shared" si="513"/>
        <v>46085</v>
      </c>
      <c r="M79" s="422"/>
      <c r="N79" s="438">
        <f>SUMPRODUCT(PRODUCE!$B90:$DY90,PRODUCE!$EB$8:$IY$8)</f>
        <v>14063</v>
      </c>
      <c r="O79" s="422">
        <v>14059.8</v>
      </c>
      <c r="P79" s="438">
        <f t="shared" si="515"/>
        <v>3.2000000000007276</v>
      </c>
      <c r="Q79" s="438">
        <f t="shared" si="516"/>
        <v>13794.000000000036</v>
      </c>
      <c r="R79" s="56"/>
      <c r="U79" s="55">
        <f t="shared" si="517"/>
        <v>46085</v>
      </c>
      <c r="V79" s="422"/>
      <c r="W79" s="440">
        <f>SUMPRODUCT(PRODUCE!$B90:$DY90,PRODUCE!$EB$9:$IY$9)</f>
        <v>6970</v>
      </c>
      <c r="X79" s="422">
        <v>6971.4</v>
      </c>
      <c r="Y79" s="440">
        <f t="shared" si="518"/>
        <v>-1.3999999999996362</v>
      </c>
      <c r="Z79" s="440">
        <f t="shared" si="519"/>
        <v>24716.999999999978</v>
      </c>
      <c r="AA79" s="56"/>
      <c r="AD79" s="55">
        <f t="shared" si="520"/>
        <v>46085</v>
      </c>
      <c r="AE79" s="422"/>
      <c r="AF79" s="442">
        <f>SUMPRODUCT(PRODUCE!$B90:$DY90,PRODUCE!$EB$10:$IY$10)</f>
        <v>984</v>
      </c>
      <c r="AG79" s="422">
        <v>986</v>
      </c>
      <c r="AH79" s="442">
        <f t="shared" si="521"/>
        <v>-2</v>
      </c>
      <c r="AI79" s="442">
        <f t="shared" si="522"/>
        <v>30674.800000000017</v>
      </c>
      <c r="AJ79" s="56"/>
      <c r="AM79" s="55">
        <f t="shared" si="523"/>
        <v>46085</v>
      </c>
      <c r="AN79" s="422"/>
      <c r="AO79" s="444">
        <f>SUMPRODUCT(PRODUCE!$B90:$DY90,PRODUCE!$EB$11:$IY$11)</f>
        <v>0</v>
      </c>
      <c r="AP79" s="422"/>
      <c r="AQ79" s="444">
        <f t="shared" si="524"/>
        <v>0</v>
      </c>
      <c r="AR79" s="444">
        <f t="shared" si="525"/>
        <v>0</v>
      </c>
      <c r="AS79" s="56"/>
      <c r="AV79" s="55">
        <f t="shared" si="526"/>
        <v>46085</v>
      </c>
      <c r="AW79" s="422"/>
      <c r="AX79" s="446">
        <f>SUMPRODUCT(PRODUCE!$B90:$DY90,PRODUCE!$EB$12:$IY$12)</f>
        <v>0</v>
      </c>
      <c r="AY79" s="422"/>
      <c r="AZ79" s="446">
        <f t="shared" si="527"/>
        <v>0</v>
      </c>
      <c r="BA79" s="446">
        <f t="shared" si="528"/>
        <v>47801.999999999985</v>
      </c>
      <c r="BB79" s="56"/>
      <c r="BE79" s="55">
        <f t="shared" si="529"/>
        <v>46085</v>
      </c>
      <c r="BF79" s="422"/>
      <c r="BG79" s="448">
        <f>SUMPRODUCT(PRODUCE!$B90:$DY90,PRODUCE!$EB$13:$IY$13)</f>
        <v>3690</v>
      </c>
      <c r="BH79" s="422">
        <v>3692.5</v>
      </c>
      <c r="BI79" s="448">
        <f t="shared" si="530"/>
        <v>-2.5</v>
      </c>
      <c r="BJ79" s="448">
        <f t="shared" si="531"/>
        <v>11149.900000000003</v>
      </c>
      <c r="BK79" s="56"/>
      <c r="BN79" s="55">
        <f t="shared" si="532"/>
        <v>46085</v>
      </c>
      <c r="BO79" s="422">
        <v>1598.9</v>
      </c>
      <c r="BP79" s="450">
        <f>SUMPRODUCT(PRODUCE!$B90:$DY90,PRODUCE!$EB$14:$IY$14)</f>
        <v>1599</v>
      </c>
      <c r="BQ79" s="422">
        <v>1598.9</v>
      </c>
      <c r="BR79" s="450">
        <f t="shared" si="533"/>
        <v>9.9999999999909051E-2</v>
      </c>
      <c r="BS79" s="450">
        <f t="shared" si="534"/>
        <v>0</v>
      </c>
      <c r="BT79" s="56"/>
      <c r="BW79" s="55">
        <f t="shared" si="535"/>
        <v>46085</v>
      </c>
      <c r="BX79" s="56"/>
      <c r="BY79" s="65">
        <f>SUMPRODUCT(PRODUCE!$B90:$DY90,PRODUCE!$EB$15:$IY$15)</f>
        <v>451.00000000000006</v>
      </c>
      <c r="BZ79" s="56"/>
      <c r="CA79" s="65">
        <f t="shared" si="536"/>
        <v>451.00000000000006</v>
      </c>
      <c r="CB79" s="65">
        <f t="shared" si="537"/>
        <v>8.0000000000001137</v>
      </c>
      <c r="CC79" s="56"/>
      <c r="CF79" s="55">
        <f t="shared" si="538"/>
        <v>46085</v>
      </c>
      <c r="CG79" s="56"/>
      <c r="CH79" s="66">
        <f>SUMPRODUCT(PRODUCE!$B90:$DY90,PRODUCE!$EB$16:$IY$16)</f>
        <v>738.00000000000011</v>
      </c>
      <c r="CI79" s="56"/>
      <c r="CJ79" s="66">
        <f t="shared" si="539"/>
        <v>738.00000000000011</v>
      </c>
      <c r="CK79" s="66">
        <f t="shared" si="540"/>
        <v>0</v>
      </c>
      <c r="CL79" s="56"/>
      <c r="CO79" s="55">
        <f t="shared" si="541"/>
        <v>46085</v>
      </c>
      <c r="CP79" s="422"/>
      <c r="CQ79" s="470">
        <f>SUMPRODUCT(PRODUCE!$B90:$DY90,PRODUCE!$EB$17:$IY$17)</f>
        <v>0</v>
      </c>
      <c r="CR79" s="422"/>
      <c r="CS79" s="470">
        <f t="shared" si="542"/>
        <v>0</v>
      </c>
      <c r="CT79" s="470">
        <f t="shared" si="543"/>
        <v>0</v>
      </c>
      <c r="CU79" s="56"/>
      <c r="CX79" s="55">
        <f t="shared" si="544"/>
        <v>46085</v>
      </c>
      <c r="CY79" s="56"/>
      <c r="CZ79" s="133">
        <f>SUMPRODUCT(PRODUCE!$B90:$DY90,PRODUCE!$EB$18:$IY$18)</f>
        <v>4100</v>
      </c>
      <c r="DA79" s="56">
        <v>4091.3</v>
      </c>
      <c r="DB79" s="133">
        <f t="shared" si="545"/>
        <v>8.6999999999998181</v>
      </c>
      <c r="DC79" s="133">
        <f t="shared" si="546"/>
        <v>41059.299999999996</v>
      </c>
      <c r="DD79" s="56"/>
      <c r="DG79" s="55">
        <f t="shared" si="547"/>
        <v>46085</v>
      </c>
      <c r="DH79" s="56"/>
      <c r="DI79" s="147">
        <f>SUMPRODUCT(PRODUCE!$B90:$DY90,PRODUCE!$EB$19:$IY$19)</f>
        <v>3280</v>
      </c>
      <c r="DJ79" s="56">
        <v>3212.8</v>
      </c>
      <c r="DK79" s="147">
        <f t="shared" si="548"/>
        <v>67.199999999999818</v>
      </c>
      <c r="DL79" s="147">
        <f t="shared" si="549"/>
        <v>29.599999999995816</v>
      </c>
      <c r="DM79" s="56"/>
      <c r="DP79" s="55">
        <f t="shared" si="550"/>
        <v>46085</v>
      </c>
      <c r="DQ79" s="56"/>
      <c r="DR79" s="57">
        <f>SUMPRODUCT(PRODUCE!$B90:$DY90,PRODUCE!$EB$20:$IY$20)</f>
        <v>0</v>
      </c>
      <c r="DS79" s="56"/>
      <c r="DT79" s="57">
        <f t="shared" si="551"/>
        <v>0</v>
      </c>
      <c r="DU79" s="57">
        <f t="shared" si="552"/>
        <v>2300</v>
      </c>
      <c r="DV79" s="56"/>
      <c r="DY79" s="55">
        <f t="shared" si="553"/>
        <v>46085</v>
      </c>
      <c r="DZ79" s="56"/>
      <c r="EA79" s="157">
        <f>SUMPRODUCT(PRODUCE!$B90:$DY90,PRODUCE!$EB$21:$IY$21)</f>
        <v>0</v>
      </c>
      <c r="EB79" s="56"/>
      <c r="EC79" s="157">
        <f t="shared" si="554"/>
        <v>0</v>
      </c>
      <c r="ED79" s="157">
        <f t="shared" si="555"/>
        <v>5696.8</v>
      </c>
      <c r="EE79" s="56"/>
      <c r="EH79" s="55">
        <f t="shared" si="556"/>
        <v>46085</v>
      </c>
      <c r="EI79" s="56"/>
      <c r="EJ79" s="162">
        <f>SUMPRODUCT(PRODUCE!$B90:$DY90,PRODUCE!$EB$22:$IY$22)</f>
        <v>0</v>
      </c>
      <c r="EK79" s="56"/>
      <c r="EL79" s="162">
        <f t="shared" si="557"/>
        <v>0</v>
      </c>
      <c r="EM79" s="162">
        <f t="shared" si="558"/>
        <v>0</v>
      </c>
      <c r="EN79" s="56"/>
      <c r="EQ79" s="55">
        <f t="shared" si="559"/>
        <v>46085</v>
      </c>
      <c r="ER79" s="56"/>
      <c r="ES79" s="135">
        <f>SUMPRODUCT(PRODUCE!$B90:$DY90,PRODUCE!$EB$23:$IY$23)</f>
        <v>0</v>
      </c>
      <c r="ET79" s="56"/>
      <c r="EU79" s="135">
        <f t="shared" si="560"/>
        <v>0</v>
      </c>
      <c r="EV79" s="135">
        <f t="shared" si="561"/>
        <v>0</v>
      </c>
      <c r="EW79" s="56"/>
      <c r="EZ79" s="55">
        <f t="shared" si="562"/>
        <v>46085</v>
      </c>
      <c r="FA79" s="56"/>
      <c r="FB79" s="175">
        <f>SUMPRODUCT(PRODUCE!$B90:$DY90,PRODUCE!$EB$24:$IY$24)</f>
        <v>0</v>
      </c>
      <c r="FC79" s="56"/>
      <c r="FD79" s="175">
        <f t="shared" si="563"/>
        <v>0</v>
      </c>
      <c r="FE79" s="175">
        <f t="shared" si="564"/>
        <v>0</v>
      </c>
      <c r="FF79" s="56"/>
      <c r="FI79" s="55">
        <f t="shared" si="565"/>
        <v>46085</v>
      </c>
      <c r="FJ79" s="56"/>
      <c r="FK79" s="183">
        <f>SUMPRODUCT(PRODUCE!$B90:$DY90,PRODUCE!$EB$25:$IY$25)</f>
        <v>0</v>
      </c>
      <c r="FL79" s="56"/>
      <c r="FM79" s="183">
        <f t="shared" si="566"/>
        <v>0</v>
      </c>
      <c r="FN79" s="183">
        <f t="shared" si="567"/>
        <v>0</v>
      </c>
      <c r="FO79" s="56"/>
      <c r="FR79" s="55">
        <f t="shared" si="568"/>
        <v>46085</v>
      </c>
      <c r="FS79" s="422"/>
      <c r="FT79" s="452">
        <f>SUMPRODUCT(PRODUCE!$B90:$DY90,PRODUCE!$EB$26:$IY$26)</f>
        <v>0</v>
      </c>
      <c r="FU79" s="422"/>
      <c r="FV79" s="452">
        <f t="shared" si="569"/>
        <v>0</v>
      </c>
      <c r="FW79" s="452">
        <f t="shared" si="570"/>
        <v>620</v>
      </c>
      <c r="FX79" s="56"/>
      <c r="GA79" s="55">
        <f t="shared" si="571"/>
        <v>46085</v>
      </c>
      <c r="GB79" s="422"/>
      <c r="GC79" s="454">
        <f>SUMPRODUCT(PRODUCE!$B90:$DY90,PRODUCE!$EB$27:$IY$27)</f>
        <v>0</v>
      </c>
      <c r="GD79" s="422"/>
      <c r="GE79" s="454">
        <f t="shared" si="572"/>
        <v>0</v>
      </c>
      <c r="GF79" s="454">
        <f t="shared" si="573"/>
        <v>5960</v>
      </c>
      <c r="GG79" s="56"/>
      <c r="GI79" s="23"/>
      <c r="GJ79" s="55">
        <f t="shared" si="574"/>
        <v>46085</v>
      </c>
      <c r="GK79" s="422"/>
      <c r="GL79" s="456">
        <f>SUMPRODUCT(PRODUCE!$B90:$DY90,PRODUCE!$EB$28:$IY$28)</f>
        <v>0</v>
      </c>
      <c r="GM79" s="422"/>
      <c r="GN79" s="456">
        <f t="shared" si="575"/>
        <v>0</v>
      </c>
      <c r="GO79" s="456">
        <f t="shared" si="576"/>
        <v>5240</v>
      </c>
      <c r="GP79" s="56"/>
      <c r="GS79" s="55">
        <f t="shared" si="577"/>
        <v>46085</v>
      </c>
      <c r="GT79" s="56"/>
      <c r="GU79" s="195">
        <f>SUMPRODUCT(PRODUCE!$B90:$DY90,PRODUCE!$EB$29:$IY$29)</f>
        <v>0</v>
      </c>
      <c r="GV79" s="56"/>
      <c r="GW79" s="195">
        <f t="shared" si="578"/>
        <v>0</v>
      </c>
      <c r="GX79" s="195">
        <f t="shared" si="579"/>
        <v>0</v>
      </c>
      <c r="GY79" s="56"/>
      <c r="HB79" s="55">
        <f t="shared" si="580"/>
        <v>46085</v>
      </c>
      <c r="HC79" s="56"/>
      <c r="HD79" s="191">
        <f>SUMPRODUCT(PRODUCE!$B90:$DY90,PRODUCE!$EB$30:$IY$30)</f>
        <v>0</v>
      </c>
      <c r="HE79" s="56"/>
      <c r="HF79" s="191">
        <f t="shared" si="581"/>
        <v>0</v>
      </c>
      <c r="HG79" s="191">
        <f t="shared" si="582"/>
        <v>0</v>
      </c>
      <c r="HH79" s="56"/>
      <c r="HK79" s="55">
        <f t="shared" si="583"/>
        <v>46085</v>
      </c>
      <c r="HL79" s="56"/>
      <c r="HM79" s="63">
        <f>SUMPRODUCT(PRODUCE!$B90:$DY90,PRODUCE!$EB$31:$IY$31)</f>
        <v>0</v>
      </c>
      <c r="HN79" s="56"/>
      <c r="HO79" s="63">
        <f t="shared" si="584"/>
        <v>0</v>
      </c>
      <c r="HP79" s="63">
        <f t="shared" si="585"/>
        <v>0</v>
      </c>
      <c r="HQ79" s="56"/>
      <c r="HU79" s="55">
        <f t="shared" si="586"/>
        <v>46085</v>
      </c>
      <c r="HV79" s="56"/>
      <c r="HW79" s="242">
        <f>SUMPRODUCT(PRODUCE!$B90:$DY90,PRODUCE!$EB$32:$IY$32)</f>
        <v>0</v>
      </c>
      <c r="HX79" s="56"/>
      <c r="HY79" s="242">
        <f t="shared" si="587"/>
        <v>0</v>
      </c>
      <c r="HZ79" s="242">
        <f t="shared" si="588"/>
        <v>5120</v>
      </c>
      <c r="IA79" s="56"/>
      <c r="ID79" s="55">
        <f t="shared" si="589"/>
        <v>46085</v>
      </c>
      <c r="IE79" s="56"/>
      <c r="IF79" s="242">
        <f>SUMPRODUCT(PRODUCE!$B90:$DY90,PRODUCE!$EB$33:$IY$33)</f>
        <v>0</v>
      </c>
      <c r="IG79" s="56"/>
      <c r="IH79" s="242">
        <f t="shared" si="590"/>
        <v>0</v>
      </c>
      <c r="II79" s="242">
        <f t="shared" si="591"/>
        <v>5100</v>
      </c>
      <c r="IJ79" s="56"/>
      <c r="IM79" s="55">
        <f t="shared" si="592"/>
        <v>46085</v>
      </c>
      <c r="IN79" s="56"/>
      <c r="IO79" s="242">
        <f>SUMPRODUCT(PRODUCE!$B90:$DY90,PRODUCE!$EB$34:$IY$34)</f>
        <v>0</v>
      </c>
      <c r="IP79" s="56"/>
      <c r="IQ79" s="242">
        <f t="shared" si="593"/>
        <v>0</v>
      </c>
      <c r="IR79" s="242">
        <f t="shared" si="594"/>
        <v>10240</v>
      </c>
      <c r="IS79" s="56"/>
      <c r="IV79" s="55">
        <f t="shared" si="595"/>
        <v>46085</v>
      </c>
      <c r="IW79" s="56"/>
      <c r="IX79" s="242">
        <f>SUMPRODUCT(PRODUCE!$B90:$DY90,PRODUCE!$EB$35:$IY$35)</f>
        <v>0</v>
      </c>
      <c r="IY79" s="56"/>
      <c r="IZ79" s="242">
        <f t="shared" si="596"/>
        <v>0</v>
      </c>
      <c r="JA79" s="242">
        <f t="shared" si="597"/>
        <v>15120</v>
      </c>
      <c r="JB79" s="56"/>
      <c r="JE79" s="55">
        <f t="shared" si="598"/>
        <v>46085</v>
      </c>
      <c r="JF79" s="56"/>
      <c r="JG79" s="242">
        <f>SUMPRODUCT(PRODUCE!$B90:$DY90,PRODUCE!$EB$36:$IY$36)</f>
        <v>0</v>
      </c>
      <c r="JH79" s="56"/>
      <c r="JI79" s="242">
        <f t="shared" si="599"/>
        <v>0</v>
      </c>
      <c r="JJ79" s="242">
        <f t="shared" si="600"/>
        <v>3320</v>
      </c>
      <c r="JK79" s="56"/>
      <c r="JN79" s="55">
        <f t="shared" si="601"/>
        <v>46085</v>
      </c>
      <c r="JO79" s="56"/>
      <c r="JP79" s="242">
        <f>SUMPRODUCT(PRODUCE!$B90:$DY90,PRODUCE!$EB$37:$IY$37)</f>
        <v>0</v>
      </c>
      <c r="JQ79" s="56"/>
      <c r="JR79" s="242">
        <f t="shared" si="602"/>
        <v>0</v>
      </c>
      <c r="JS79" s="242">
        <f t="shared" si="603"/>
        <v>5400</v>
      </c>
      <c r="JT79" s="56"/>
      <c r="JW79" s="55">
        <f t="shared" si="604"/>
        <v>46085</v>
      </c>
      <c r="JX79" s="56"/>
      <c r="JY79" s="242">
        <f>SUMPRODUCT(PRODUCE!$B90:$DY90,PRODUCE!$EB$38:$IY$38)</f>
        <v>0</v>
      </c>
      <c r="JZ79" s="56"/>
      <c r="KA79" s="242">
        <f t="shared" si="605"/>
        <v>0</v>
      </c>
      <c r="KB79" s="242">
        <f t="shared" si="606"/>
        <v>4000</v>
      </c>
      <c r="KC79" s="56"/>
      <c r="KF79" s="55">
        <f t="shared" si="607"/>
        <v>46085</v>
      </c>
      <c r="KG79" s="56"/>
      <c r="KH79" s="242">
        <f>SUMPRODUCT(PRODUCE!$B90:$DY90,PRODUCE!$EB$39:$IY$39)</f>
        <v>0</v>
      </c>
      <c r="KI79" s="56"/>
      <c r="KJ79" s="242">
        <f t="shared" si="608"/>
        <v>0</v>
      </c>
      <c r="KK79" s="242">
        <f t="shared" si="609"/>
        <v>3432</v>
      </c>
      <c r="KL79" s="56"/>
      <c r="KO79" s="55">
        <f t="shared" si="610"/>
        <v>46085</v>
      </c>
      <c r="KP79" s="56"/>
      <c r="KQ79" s="242">
        <f>SUMPRODUCT(PRODUCE!$B90:$DY90,PRODUCE!$EB$40:$IY$40)</f>
        <v>1549.8</v>
      </c>
      <c r="KR79" s="56"/>
      <c r="KS79" s="242">
        <f t="shared" si="611"/>
        <v>1549.8</v>
      </c>
      <c r="KT79" s="242">
        <f t="shared" si="612"/>
        <v>6539.4000000000005</v>
      </c>
      <c r="KU79" s="56"/>
      <c r="KW79" s="23"/>
      <c r="KX79" s="55">
        <f t="shared" si="613"/>
        <v>46085</v>
      </c>
      <c r="KY79" s="56"/>
      <c r="KZ79" s="242">
        <f>SUMPRODUCT(PRODUCE!$B90:$DY90,PRODUCE!$EB$41:$IY$41)</f>
        <v>0</v>
      </c>
      <c r="LA79" s="56"/>
      <c r="LB79" s="242">
        <f t="shared" si="614"/>
        <v>0</v>
      </c>
      <c r="LC79" s="242">
        <f t="shared" si="615"/>
        <v>0</v>
      </c>
      <c r="LD79" s="56"/>
      <c r="LG79" s="55">
        <f t="shared" si="616"/>
        <v>46085</v>
      </c>
      <c r="LH79" s="56"/>
      <c r="LI79" s="242">
        <f>SUMPRODUCT(PRODUCE!$B90:$DY90,PRODUCE!$EB$42:$IY$42)</f>
        <v>0</v>
      </c>
      <c r="LJ79" s="56"/>
      <c r="LK79" s="242">
        <f t="shared" si="617"/>
        <v>0</v>
      </c>
      <c r="LL79" s="242">
        <f t="shared" si="618"/>
        <v>0</v>
      </c>
      <c r="LM79" s="56"/>
      <c r="LP79" s="55">
        <f t="shared" si="619"/>
        <v>46085</v>
      </c>
      <c r="LQ79" s="56"/>
      <c r="LR79" s="242">
        <f>SUMPRODUCT(PRODUCE!$B94:$DY94,PRODUCE!$EB$43:$IY$43)</f>
        <v>0</v>
      </c>
      <c r="LS79" s="56"/>
      <c r="LT79" s="242">
        <f t="shared" si="620"/>
        <v>0</v>
      </c>
      <c r="LU79" s="242">
        <f t="shared" si="621"/>
        <v>0</v>
      </c>
      <c r="LV79" s="56"/>
      <c r="LY79" s="55">
        <f t="shared" si="622"/>
        <v>46085</v>
      </c>
      <c r="LZ79" s="56"/>
      <c r="MA79" s="242">
        <f>SUMPRODUCT(PRODUCE!$B90:$DY90,PRODUCE!$EB$44:$IY$44)</f>
        <v>0</v>
      </c>
      <c r="MB79" s="56"/>
      <c r="MC79" s="242">
        <f t="shared" si="623"/>
        <v>0</v>
      </c>
      <c r="MD79" s="242">
        <f t="shared" si="624"/>
        <v>0</v>
      </c>
      <c r="ME79" s="56"/>
      <c r="MH79" s="55">
        <f t="shared" si="625"/>
        <v>46085</v>
      </c>
      <c r="MI79" s="56"/>
      <c r="MJ79" s="242">
        <f>SUMPRODUCT(PRODUCE!$B90:$DY90,PRODUCE!$EB$45:$IY$45)</f>
        <v>0</v>
      </c>
      <c r="MK79" s="56"/>
      <c r="ML79" s="242">
        <f t="shared" si="626"/>
        <v>0</v>
      </c>
      <c r="MM79" s="242">
        <f t="shared" si="627"/>
        <v>0</v>
      </c>
      <c r="MN79" s="56"/>
      <c r="MQ79" s="55">
        <f t="shared" si="628"/>
        <v>46085</v>
      </c>
      <c r="MR79" s="56"/>
      <c r="MS79" s="242">
        <f>SUMPRODUCT(PRODUCE!$B90:$DY90,PRODUCE!$EB$46:$IY$46)</f>
        <v>164</v>
      </c>
      <c r="MT79" s="56"/>
      <c r="MU79" s="242">
        <f t="shared" si="629"/>
        <v>164</v>
      </c>
      <c r="MV79" s="242">
        <f t="shared" si="630"/>
        <v>4123</v>
      </c>
      <c r="MW79" s="56"/>
      <c r="MZ79" s="55">
        <f t="shared" si="631"/>
        <v>46085</v>
      </c>
      <c r="NA79" s="56"/>
      <c r="NB79" s="242">
        <f>SUMPRODUCT(PRODUCE!$B90:$DY90,PRODUCE!$EB$47:$IY$47)</f>
        <v>246</v>
      </c>
      <c r="NC79" s="56"/>
      <c r="ND79" s="242">
        <f t="shared" si="632"/>
        <v>246</v>
      </c>
      <c r="NE79" s="242">
        <f t="shared" si="633"/>
        <v>0</v>
      </c>
      <c r="NF79" s="56"/>
      <c r="NI79" s="55">
        <f t="shared" si="634"/>
        <v>46085</v>
      </c>
      <c r="NJ79" s="56"/>
      <c r="NK79" s="242">
        <f>SUMPRODUCT(PRODUCE!$B90:$DY90,PRODUCE!$EB$48:$IY$48)</f>
        <v>0</v>
      </c>
      <c r="NL79" s="56"/>
      <c r="NM79" s="242">
        <f t="shared" si="635"/>
        <v>0</v>
      </c>
      <c r="NN79" s="242">
        <f t="shared" si="636"/>
        <v>0</v>
      </c>
      <c r="NO79" s="56"/>
      <c r="NR79" s="55">
        <f t="shared" si="637"/>
        <v>46085</v>
      </c>
      <c r="NS79" s="56"/>
      <c r="NT79" s="242">
        <f>SUMPRODUCT(PRODUCE!$B90:$DY90,PRODUCE!$EB$49:$IY$49)</f>
        <v>98.399999999999991</v>
      </c>
      <c r="NU79" s="56"/>
      <c r="NV79" s="242">
        <f t="shared" si="638"/>
        <v>98.399999999999991</v>
      </c>
      <c r="NW79" s="242">
        <f t="shared" si="639"/>
        <v>1947.7</v>
      </c>
      <c r="NX79" s="56"/>
      <c r="OA79" s="55">
        <f t="shared" si="640"/>
        <v>46085</v>
      </c>
      <c r="OB79" s="56"/>
      <c r="OC79" s="242">
        <f>SUMPRODUCT(PRODUCE!$B90:$DY90,PRODUCE!$EB$50:$IY$50)</f>
        <v>0</v>
      </c>
      <c r="OD79" s="56"/>
      <c r="OE79" s="242">
        <f t="shared" si="641"/>
        <v>0</v>
      </c>
      <c r="OF79" s="242">
        <f t="shared" si="642"/>
        <v>1680.5</v>
      </c>
      <c r="OG79" s="56"/>
      <c r="OJ79" s="55">
        <f t="shared" si="643"/>
        <v>46085</v>
      </c>
      <c r="OK79" s="56"/>
      <c r="OL79" s="242">
        <f>SUMPRODUCT(PRODUCE!$B90:$DY90,PRODUCE!$EB$51:$IY$51)</f>
        <v>229.59999999999994</v>
      </c>
      <c r="OM79" s="56"/>
      <c r="ON79" s="242">
        <f t="shared" si="644"/>
        <v>229.59999999999994</v>
      </c>
      <c r="OO79" s="242">
        <f t="shared" si="645"/>
        <v>0</v>
      </c>
      <c r="OP79" s="56"/>
      <c r="OS79" s="55">
        <f t="shared" si="646"/>
        <v>46085</v>
      </c>
      <c r="OT79" s="56"/>
      <c r="OU79" s="242">
        <f>SUMPRODUCT(PRODUCE!$B90:$DY90,PRODUCE!$EB$52:$IY$52)</f>
        <v>0</v>
      </c>
      <c r="OV79" s="56"/>
      <c r="OW79" s="242">
        <f t="shared" si="647"/>
        <v>0</v>
      </c>
      <c r="OX79" s="242">
        <f t="shared" si="648"/>
        <v>0</v>
      </c>
      <c r="OY79" s="56"/>
      <c r="PB79" s="55">
        <f t="shared" si="649"/>
        <v>46085</v>
      </c>
      <c r="PC79" s="56"/>
      <c r="PD79" s="242">
        <f>SUMPRODUCT(PRODUCE!$B90:$DY90,PRODUCE!$EB$53:$IY$53)</f>
        <v>0</v>
      </c>
      <c r="PE79" s="56"/>
      <c r="PF79" s="242">
        <f t="shared" si="650"/>
        <v>0</v>
      </c>
      <c r="PG79" s="242">
        <f t="shared" si="651"/>
        <v>0</v>
      </c>
      <c r="PH79" s="56"/>
      <c r="PK79" s="55">
        <f t="shared" si="652"/>
        <v>46085</v>
      </c>
      <c r="PL79" s="56"/>
      <c r="PM79" s="242">
        <f>SUMPRODUCT(PRODUCE!$B90:$DY90,PRODUCE!$EB$54:$IY$54)</f>
        <v>0</v>
      </c>
      <c r="PN79" s="56"/>
      <c r="PO79" s="242">
        <f t="shared" si="653"/>
        <v>0</v>
      </c>
      <c r="PP79" s="242">
        <f t="shared" si="654"/>
        <v>100</v>
      </c>
      <c r="PQ79" s="56"/>
      <c r="PT79" s="55">
        <f t="shared" si="655"/>
        <v>46085</v>
      </c>
      <c r="PU79" s="56"/>
      <c r="PV79" s="242">
        <f>SUMPRODUCT(PRODUCE!$B90:$DY90,PRODUCE!$EB$55:$IY$55)</f>
        <v>0</v>
      </c>
      <c r="PW79" s="56"/>
      <c r="PX79" s="242">
        <f t="shared" si="656"/>
        <v>0</v>
      </c>
      <c r="PY79" s="242">
        <f t="shared" si="657"/>
        <v>13.960000000000036</v>
      </c>
      <c r="PZ79" s="56"/>
      <c r="QC79" s="55">
        <f t="shared" si="658"/>
        <v>46085</v>
      </c>
      <c r="QD79" s="56"/>
      <c r="QE79" s="242">
        <f>SUMPRODUCT(PRODUCE!$B90:$DY90,PRODUCE!$EB$56:$IY$56)</f>
        <v>0</v>
      </c>
      <c r="QF79" s="56"/>
      <c r="QG79" s="242">
        <f t="shared" si="659"/>
        <v>0</v>
      </c>
      <c r="QH79" s="242">
        <f t="shared" si="660"/>
        <v>344</v>
      </c>
      <c r="QI79" s="56"/>
      <c r="QL79" s="55">
        <f t="shared" si="661"/>
        <v>46085</v>
      </c>
      <c r="QM79" s="56"/>
      <c r="QN79" s="242">
        <f>SUMPRODUCT(PRODUCE!$B90:$DY90,PRODUCE!$EB$57:$IY$57)</f>
        <v>0</v>
      </c>
      <c r="QO79" s="56"/>
      <c r="QP79" s="242">
        <f t="shared" si="662"/>
        <v>0</v>
      </c>
      <c r="QQ79" s="242">
        <f t="shared" si="663"/>
        <v>0</v>
      </c>
      <c r="QR79" s="56"/>
      <c r="QU79" s="55">
        <f t="shared" si="664"/>
        <v>46085</v>
      </c>
      <c r="QV79" s="56"/>
      <c r="QW79" s="242">
        <f>SUMPRODUCT(PRODUCE!$B90:$DY90,PRODUCE!$EB$57:$IY$57)</f>
        <v>0</v>
      </c>
      <c r="QX79" s="56"/>
      <c r="QY79" s="242">
        <f t="shared" si="665"/>
        <v>0</v>
      </c>
      <c r="QZ79" s="242">
        <f t="shared" si="666"/>
        <v>207.6</v>
      </c>
      <c r="RA79" s="56"/>
      <c r="RD79" s="55">
        <f t="shared" si="667"/>
        <v>46085</v>
      </c>
      <c r="RE79" s="56"/>
      <c r="RF79" s="242">
        <f>SUMPRODUCT(PRODUCE!$B90:$DY90,PRODUCE!$EB$58:$IY$58)</f>
        <v>0</v>
      </c>
      <c r="RG79" s="56"/>
      <c r="RH79" s="242">
        <f t="shared" si="668"/>
        <v>0</v>
      </c>
      <c r="RI79" s="242">
        <f t="shared" si="669"/>
        <v>197.04000000000002</v>
      </c>
      <c r="RJ79" s="56"/>
      <c r="RM79" s="55">
        <f t="shared" si="670"/>
        <v>46085</v>
      </c>
      <c r="RN79" s="56"/>
      <c r="RO79" s="242">
        <f>SUMPRODUCT(PRODUCE!$B90:$DY90,PRODUCE!$EB$57:$IY$57)</f>
        <v>0</v>
      </c>
      <c r="RP79" s="56"/>
      <c r="RQ79" s="242">
        <f t="shared" si="671"/>
        <v>0</v>
      </c>
      <c r="RR79" s="242">
        <f t="shared" si="672"/>
        <v>46.8</v>
      </c>
      <c r="RS79" s="56"/>
      <c r="RV79" s="55">
        <f t="shared" si="673"/>
        <v>46085</v>
      </c>
      <c r="RW79" s="56"/>
      <c r="RX79" s="242">
        <f>SUMPRODUCT(PRODUCE!$B90:$DY90,PRODUCE!$EB$57:$IY$57)</f>
        <v>0</v>
      </c>
      <c r="RY79" s="56"/>
      <c r="RZ79" s="242">
        <f t="shared" si="674"/>
        <v>0</v>
      </c>
      <c r="SA79" s="242">
        <f t="shared" si="675"/>
        <v>0</v>
      </c>
      <c r="SB79" s="56"/>
      <c r="SE79" s="55">
        <f t="shared" si="676"/>
        <v>46085</v>
      </c>
      <c r="SF79" s="56"/>
      <c r="SG79" s="242">
        <f>SUMPRODUCT(PRODUCE!$B90:$DY90,PRODUCE!$EB$57:$IY$57)</f>
        <v>0</v>
      </c>
      <c r="SH79" s="56"/>
      <c r="SI79" s="242">
        <f t="shared" si="677"/>
        <v>0</v>
      </c>
      <c r="SJ79" s="242">
        <f t="shared" si="678"/>
        <v>0</v>
      </c>
      <c r="SK79" s="56"/>
      <c r="SN79" s="55">
        <f t="shared" si="679"/>
        <v>46085</v>
      </c>
      <c r="SO79" s="56"/>
      <c r="SP79" s="242">
        <f>SUMPRODUCT(PRODUCE!$B90:$DY90,PRODUCE!$EB$57:$IY$57)</f>
        <v>0</v>
      </c>
      <c r="SQ79" s="56"/>
      <c r="SR79" s="242">
        <f t="shared" si="680"/>
        <v>0</v>
      </c>
      <c r="SS79" s="242">
        <f t="shared" si="681"/>
        <v>0</v>
      </c>
      <c r="ST79" s="56"/>
      <c r="SW79" s="55">
        <f t="shared" si="682"/>
        <v>46085</v>
      </c>
      <c r="SX79" s="56"/>
      <c r="SY79" s="242">
        <f>SUMPRODUCT(PRODUCE!$B90:$DY90,PRODUCE!$EB$57:$IY$57)</f>
        <v>0</v>
      </c>
      <c r="SZ79" s="56"/>
      <c r="TA79" s="242">
        <f t="shared" si="683"/>
        <v>0</v>
      </c>
      <c r="TB79" s="242">
        <f t="shared" si="684"/>
        <v>0</v>
      </c>
      <c r="TC79" s="56"/>
      <c r="TF79" s="55">
        <f t="shared" si="685"/>
        <v>46085</v>
      </c>
      <c r="TG79" s="56"/>
      <c r="TH79" s="242">
        <f>SUMPRODUCT(PRODUCE!$B90:$DY90,PRODUCE!$EB$57:$IY$57)</f>
        <v>0</v>
      </c>
      <c r="TI79" s="56"/>
      <c r="TJ79" s="242">
        <f t="shared" si="686"/>
        <v>0</v>
      </c>
      <c r="TK79" s="242">
        <f t="shared" si="687"/>
        <v>0</v>
      </c>
      <c r="TL79" s="56"/>
      <c r="TO79" s="55">
        <f t="shared" si="688"/>
        <v>46085</v>
      </c>
      <c r="TP79" s="56"/>
      <c r="TQ79" s="242">
        <f>SUMPRODUCT(PRODUCE!$B90:$DY90,PRODUCE!$EB$57:$IY$57)</f>
        <v>0</v>
      </c>
      <c r="TR79" s="56"/>
      <c r="TS79" s="242">
        <f t="shared" si="689"/>
        <v>0</v>
      </c>
      <c r="TT79" s="242">
        <f t="shared" si="690"/>
        <v>0</v>
      </c>
      <c r="TU79" s="56"/>
      <c r="TX79" s="55">
        <f t="shared" si="691"/>
        <v>46085</v>
      </c>
      <c r="TY79" s="56"/>
      <c r="TZ79" s="242">
        <f>SUMPRODUCT(PRODUCE!$B90:$DY90,PRODUCE!$EB$57:$IY$57)</f>
        <v>0</v>
      </c>
      <c r="UA79" s="56"/>
      <c r="UB79" s="242">
        <f t="shared" si="692"/>
        <v>0</v>
      </c>
      <c r="UC79" s="242">
        <f t="shared" si="693"/>
        <v>0</v>
      </c>
      <c r="UD79" s="56"/>
      <c r="UG79" s="55">
        <f t="shared" si="694"/>
        <v>46085</v>
      </c>
      <c r="UH79" s="56"/>
      <c r="UI79" s="242">
        <f>SUMPRODUCT(PRODUCE!$B90:$DY90,PRODUCE!$EB$57:$IY$57)</f>
        <v>0</v>
      </c>
      <c r="UJ79" s="56"/>
      <c r="UK79" s="242">
        <f t="shared" si="695"/>
        <v>0</v>
      </c>
      <c r="UL79" s="242">
        <f t="shared" si="696"/>
        <v>0</v>
      </c>
      <c r="UM79" s="56"/>
      <c r="UP79" s="55">
        <f t="shared" si="697"/>
        <v>46085</v>
      </c>
      <c r="UQ79" s="56"/>
      <c r="UR79" s="242">
        <f>SUMPRODUCT(PRODUCE!$B90:$DY90,PRODUCE!$EB$57:$IY$57)</f>
        <v>0</v>
      </c>
      <c r="US79" s="56"/>
      <c r="UT79" s="242">
        <f t="shared" si="698"/>
        <v>0</v>
      </c>
      <c r="UU79" s="242">
        <f t="shared" si="699"/>
        <v>0</v>
      </c>
      <c r="UV79" s="56"/>
      <c r="UY79" s="55">
        <f t="shared" si="700"/>
        <v>46085</v>
      </c>
      <c r="UZ79" s="56"/>
      <c r="VA79" s="242">
        <f>SUMPRODUCT(PRODUCE!$B90:$DY90,PRODUCE!$EB$57:$IY$57)</f>
        <v>0</v>
      </c>
      <c r="VB79" s="56"/>
      <c r="VC79" s="242">
        <f t="shared" si="701"/>
        <v>0</v>
      </c>
      <c r="VD79" s="242">
        <f t="shared" si="702"/>
        <v>41.600000000000023</v>
      </c>
      <c r="VE79" s="56"/>
      <c r="VH79" s="55">
        <f t="shared" si="703"/>
        <v>46085</v>
      </c>
      <c r="VI79" s="56"/>
      <c r="VJ79" s="242">
        <f>SUMPRODUCT(PRODUCE!$B90:$DY90,PRODUCE!$EB$57:$IY$57)</f>
        <v>0</v>
      </c>
      <c r="VK79" s="56"/>
      <c r="VL79" s="242">
        <f t="shared" si="704"/>
        <v>0</v>
      </c>
      <c r="VM79" s="242">
        <f t="shared" si="705"/>
        <v>0</v>
      </c>
      <c r="VN79" s="56"/>
      <c r="VQ79" s="55">
        <f t="shared" si="706"/>
        <v>46085</v>
      </c>
      <c r="VR79" s="56"/>
      <c r="VS79" s="242">
        <f>SUMPRODUCT(PRODUCE!$B90:$DY90,PRODUCE!$EB$57:$IY$57)</f>
        <v>0</v>
      </c>
      <c r="VT79" s="56"/>
      <c r="VU79" s="242">
        <f t="shared" si="707"/>
        <v>0</v>
      </c>
      <c r="VV79" s="242">
        <f t="shared" si="708"/>
        <v>0</v>
      </c>
      <c r="VW79" s="56"/>
      <c r="VZ79" s="55">
        <f t="shared" si="709"/>
        <v>46085</v>
      </c>
      <c r="WA79" s="56"/>
      <c r="WB79" s="242">
        <f>SUMPRODUCT(PRODUCE!$B90:$DY90,PRODUCE!$EB$57:$IY$57)</f>
        <v>0</v>
      </c>
      <c r="WC79" s="56"/>
      <c r="WD79" s="242">
        <f t="shared" si="710"/>
        <v>0</v>
      </c>
      <c r="WE79" s="242">
        <f t="shared" si="711"/>
        <v>0</v>
      </c>
      <c r="WF79" s="56"/>
      <c r="WI79" s="55">
        <f t="shared" si="712"/>
        <v>46085</v>
      </c>
      <c r="WJ79" s="56"/>
      <c r="WK79" s="242">
        <f>SUMPRODUCT(PRODUCE!$B90:$DY90,PRODUCE!$EB$57:$IY$57)</f>
        <v>0</v>
      </c>
      <c r="WL79" s="56"/>
      <c r="WM79" s="242">
        <f t="shared" si="713"/>
        <v>0</v>
      </c>
      <c r="WN79" s="242">
        <f t="shared" si="714"/>
        <v>6628</v>
      </c>
      <c r="WO79" s="56"/>
      <c r="WR79" s="55">
        <f t="shared" si="715"/>
        <v>46085</v>
      </c>
      <c r="WS79" s="56"/>
      <c r="WT79" s="242">
        <f>SUMPRODUCT(PRODUCE!$B90:$DY90,PRODUCE!$EB$57:$IY$57)</f>
        <v>0</v>
      </c>
      <c r="WU79" s="56"/>
      <c r="WV79" s="242">
        <f t="shared" si="716"/>
        <v>0</v>
      </c>
      <c r="WW79" s="242">
        <f t="shared" si="717"/>
        <v>6559</v>
      </c>
      <c r="WX79" s="56"/>
      <c r="XA79" s="55">
        <f t="shared" si="718"/>
        <v>46085</v>
      </c>
      <c r="XB79" s="56"/>
      <c r="XC79" s="242">
        <f>SUMPRODUCT(PRODUCE!$B90:$DY90,PRODUCE!$EB$57:$IY$57)</f>
        <v>0</v>
      </c>
      <c r="XD79" s="56"/>
      <c r="XE79" s="242">
        <f t="shared" si="719"/>
        <v>0</v>
      </c>
      <c r="XF79" s="242">
        <f t="shared" si="720"/>
        <v>590</v>
      </c>
      <c r="XG79" s="56"/>
      <c r="XJ79" s="55">
        <f t="shared" si="721"/>
        <v>46085</v>
      </c>
      <c r="XK79" s="56"/>
      <c r="XL79" s="242">
        <f>SUMPRODUCT(PRODUCE!$B90:$DY90,PRODUCE!$EB$57:$IY$57)</f>
        <v>0</v>
      </c>
      <c r="XM79" s="56">
        <v>51</v>
      </c>
      <c r="XN79" s="242">
        <f t="shared" si="722"/>
        <v>-51</v>
      </c>
      <c r="XO79" s="242">
        <f t="shared" si="723"/>
        <v>2124</v>
      </c>
      <c r="XP79" s="56"/>
      <c r="XS79" s="55">
        <f t="shared" si="724"/>
        <v>46085</v>
      </c>
      <c r="XT79" s="56"/>
      <c r="XU79" s="242">
        <f>SUMPRODUCT(PRODUCE!$B90:$DY90,PRODUCE!$EB$57:$IY$57)</f>
        <v>0</v>
      </c>
      <c r="XV79" s="56"/>
      <c r="XW79" s="242">
        <f t="shared" si="725"/>
        <v>0</v>
      </c>
      <c r="XX79" s="242">
        <f t="shared" si="726"/>
        <v>1901</v>
      </c>
      <c r="XY79" s="56"/>
      <c r="YB79" s="55">
        <f t="shared" si="727"/>
        <v>46085</v>
      </c>
      <c r="YC79" s="56"/>
      <c r="YD79" s="242">
        <f>SUMPRODUCT(PRODUCE!$B90:$DY90,PRODUCE!$EB$57:$IY$57)</f>
        <v>0</v>
      </c>
      <c r="YE79" s="56"/>
      <c r="YF79" s="242">
        <f t="shared" si="728"/>
        <v>0</v>
      </c>
      <c r="YG79" s="242">
        <f t="shared" si="729"/>
        <v>0</v>
      </c>
      <c r="YH79" s="56"/>
      <c r="YK79" s="55">
        <f t="shared" si="730"/>
        <v>46085</v>
      </c>
      <c r="YL79" s="56"/>
      <c r="YM79" s="242">
        <f>SUMPRODUCT(PRODUCE!$B90:$DY90,PRODUCE!$EB$57:$IY$57)</f>
        <v>0</v>
      </c>
      <c r="YN79" s="56"/>
      <c r="YO79" s="242">
        <f t="shared" si="731"/>
        <v>0</v>
      </c>
      <c r="YP79" s="242">
        <f t="shared" si="732"/>
        <v>0</v>
      </c>
      <c r="YQ79" s="56"/>
      <c r="YT79" s="55">
        <f t="shared" si="733"/>
        <v>46085</v>
      </c>
      <c r="YU79" s="56"/>
      <c r="YV79" s="242">
        <f>SUMPRODUCT(PRODUCE!$B90:$DY90,PRODUCE!$EB$57:$IY$57)</f>
        <v>0</v>
      </c>
      <c r="YW79" s="56"/>
      <c r="YX79" s="242">
        <f t="shared" si="734"/>
        <v>0</v>
      </c>
      <c r="YY79" s="242">
        <f t="shared" si="735"/>
        <v>0</v>
      </c>
      <c r="YZ79" s="56"/>
      <c r="ZC79" s="55">
        <f t="shared" si="736"/>
        <v>46085</v>
      </c>
      <c r="ZD79" s="56"/>
      <c r="ZE79" s="242">
        <f>SUMPRODUCT(PRODUCE!$B90:$DY90,PRODUCE!$EB$57:$IY$57)</f>
        <v>0</v>
      </c>
      <c r="ZF79" s="56"/>
      <c r="ZG79" s="242">
        <f t="shared" si="737"/>
        <v>0</v>
      </c>
      <c r="ZH79" s="242">
        <f t="shared" si="738"/>
        <v>0</v>
      </c>
      <c r="ZI79" s="56"/>
      <c r="ZL79" s="55">
        <f t="shared" si="739"/>
        <v>46085</v>
      </c>
      <c r="ZM79" s="56"/>
      <c r="ZN79" s="242">
        <f>SUMPRODUCT(PRODUCE!$B90:$DY90,PRODUCE!$EB$57:$IY$57)</f>
        <v>0</v>
      </c>
      <c r="ZO79" s="56"/>
      <c r="ZP79" s="242">
        <f t="shared" si="740"/>
        <v>0</v>
      </c>
      <c r="ZQ79" s="242">
        <f t="shared" si="741"/>
        <v>0</v>
      </c>
      <c r="ZR79" s="56"/>
      <c r="ZU79" s="55">
        <f t="shared" si="742"/>
        <v>46085</v>
      </c>
      <c r="ZV79" s="56"/>
      <c r="ZW79" s="242">
        <f>SUMPRODUCT(PRODUCE!$B90:$DY90,PRODUCE!$EB$57:$IY$57)</f>
        <v>0</v>
      </c>
      <c r="ZX79" s="56"/>
      <c r="ZY79" s="242">
        <f t="shared" si="743"/>
        <v>0</v>
      </c>
      <c r="ZZ79" s="242">
        <f t="shared" si="744"/>
        <v>0</v>
      </c>
      <c r="AAA79" s="56"/>
      <c r="AAD79" s="55">
        <f t="shared" si="745"/>
        <v>46085</v>
      </c>
      <c r="AAE79" s="56"/>
      <c r="AAF79" s="242">
        <f>SUMPRODUCT(PRODUCE!$B90:$DY90,PRODUCE!$EB$57:$IY$57)</f>
        <v>0</v>
      </c>
      <c r="AAG79" s="56"/>
      <c r="AAH79" s="242">
        <f t="shared" si="746"/>
        <v>0</v>
      </c>
      <c r="AAI79" s="242">
        <f t="shared" si="747"/>
        <v>0</v>
      </c>
      <c r="AAJ79" s="56"/>
      <c r="AAM79" s="55">
        <f t="shared" si="748"/>
        <v>46085</v>
      </c>
      <c r="AAN79" s="56"/>
      <c r="AAO79" s="242">
        <f>SUMPRODUCT(PRODUCE!$B90:$DY90,PRODUCE!$EB$57:$IY$57)</f>
        <v>0</v>
      </c>
      <c r="AAP79" s="56"/>
      <c r="AAQ79" s="242">
        <f t="shared" si="749"/>
        <v>0</v>
      </c>
      <c r="AAR79" s="242">
        <f t="shared" si="750"/>
        <v>0</v>
      </c>
      <c r="AAS79" s="56"/>
      <c r="AAV79" s="55">
        <f t="shared" si="751"/>
        <v>46085</v>
      </c>
      <c r="AAW79" s="56"/>
      <c r="AAX79" s="242">
        <f>SUMPRODUCT(PRODUCE!$B90:$DY90,PRODUCE!$EB$57:$IY$57)</f>
        <v>0</v>
      </c>
      <c r="AAY79" s="56"/>
      <c r="AAZ79" s="242">
        <f t="shared" si="752"/>
        <v>0</v>
      </c>
      <c r="ABA79" s="242">
        <f t="shared" si="753"/>
        <v>0</v>
      </c>
      <c r="ABB79" s="56"/>
      <c r="ABE79" s="55">
        <f t="shared" si="754"/>
        <v>46085</v>
      </c>
      <c r="ABF79" s="56"/>
      <c r="ABG79" s="242">
        <f>SUMPRODUCT(PRODUCE!$B90:$DY90,PRODUCE!$EB$57:$IY$57)</f>
        <v>0</v>
      </c>
      <c r="ABH79" s="56"/>
      <c r="ABI79" s="242">
        <f t="shared" si="755"/>
        <v>0</v>
      </c>
      <c r="ABJ79" s="242">
        <f t="shared" si="756"/>
        <v>0</v>
      </c>
      <c r="ABK79" s="56"/>
    </row>
    <row r="80" spans="1:739" s="54" customFormat="1" ht="15" customHeight="1" outlineLevel="1">
      <c r="B80" s="478">
        <v>16</v>
      </c>
      <c r="C80" s="55">
        <v>46086</v>
      </c>
      <c r="D80" s="422">
        <f>96570+1200</f>
        <v>97770</v>
      </c>
      <c r="E80" s="423">
        <f>SUMPRODUCT(PRODUCE!$B91:$DY91,PRODUCE!$EB$7:$IY$7)</f>
        <v>8561.6</v>
      </c>
      <c r="F80" s="422">
        <v>8561.6</v>
      </c>
      <c r="G80" s="423">
        <f t="shared" si="514"/>
        <v>0</v>
      </c>
      <c r="H80" s="423">
        <f t="shared" si="512"/>
        <v>97758.200000000012</v>
      </c>
      <c r="I80" s="289" t="s">
        <v>218</v>
      </c>
      <c r="L80" s="55">
        <f t="shared" si="513"/>
        <v>46086</v>
      </c>
      <c r="M80" s="422">
        <v>12260</v>
      </c>
      <c r="N80" s="438">
        <f>SUMPRODUCT(PRODUCE!$B91:$DY91,PRODUCE!$EB$8:$IY$8)</f>
        <v>5220</v>
      </c>
      <c r="O80" s="422">
        <v>5221.3999999999996</v>
      </c>
      <c r="P80" s="438">
        <f t="shared" si="515"/>
        <v>-1.3999999999996362</v>
      </c>
      <c r="Q80" s="438">
        <f t="shared" si="516"/>
        <v>20832.600000000035</v>
      </c>
      <c r="R80" s="56"/>
      <c r="U80" s="55">
        <f t="shared" si="517"/>
        <v>46086</v>
      </c>
      <c r="V80" s="422"/>
      <c r="W80" s="440">
        <f>SUMPRODUCT(PRODUCE!$B91:$DY91,PRODUCE!$EB$9:$IY$9)</f>
        <v>400</v>
      </c>
      <c r="X80" s="422">
        <v>399.5</v>
      </c>
      <c r="Y80" s="440">
        <f t="shared" si="518"/>
        <v>0.5</v>
      </c>
      <c r="Z80" s="440">
        <f t="shared" si="519"/>
        <v>24317.499999999978</v>
      </c>
      <c r="AA80" s="56"/>
      <c r="AD80" s="55">
        <f t="shared" si="520"/>
        <v>46086</v>
      </c>
      <c r="AE80" s="422"/>
      <c r="AF80" s="442">
        <f>SUMPRODUCT(PRODUCE!$B91:$DY91,PRODUCE!$EB$10:$IY$10)</f>
        <v>800</v>
      </c>
      <c r="AG80" s="422">
        <v>799.9</v>
      </c>
      <c r="AH80" s="442">
        <f t="shared" si="521"/>
        <v>0.10000000000002274</v>
      </c>
      <c r="AI80" s="442">
        <f t="shared" si="522"/>
        <v>29874.900000000016</v>
      </c>
      <c r="AJ80" s="56"/>
      <c r="AM80" s="55">
        <f t="shared" si="523"/>
        <v>46086</v>
      </c>
      <c r="AN80" s="422"/>
      <c r="AO80" s="444">
        <f>SUMPRODUCT(PRODUCE!$B91:$DY91,PRODUCE!$EB$11:$IY$11)</f>
        <v>0</v>
      </c>
      <c r="AP80" s="422"/>
      <c r="AQ80" s="444">
        <f t="shared" si="524"/>
        <v>0</v>
      </c>
      <c r="AR80" s="444">
        <f t="shared" si="525"/>
        <v>0</v>
      </c>
      <c r="AS80" s="56"/>
      <c r="AV80" s="55">
        <f t="shared" si="526"/>
        <v>46086</v>
      </c>
      <c r="AW80" s="422"/>
      <c r="AX80" s="446">
        <f>SUMPRODUCT(PRODUCE!$B91:$DY91,PRODUCE!$EB$12:$IY$12)</f>
        <v>320</v>
      </c>
      <c r="AY80" s="422">
        <v>320.7</v>
      </c>
      <c r="AZ80" s="446">
        <f t="shared" si="527"/>
        <v>-0.69999999999998863</v>
      </c>
      <c r="BA80" s="446">
        <f t="shared" si="528"/>
        <v>47481.299999999988</v>
      </c>
      <c r="BB80" s="56"/>
      <c r="BE80" s="55">
        <f t="shared" si="529"/>
        <v>46086</v>
      </c>
      <c r="BF80" s="422"/>
      <c r="BG80" s="448">
        <f>SUMPRODUCT(PRODUCE!$B91:$DY91,PRODUCE!$EB$13:$IY$13)</f>
        <v>0</v>
      </c>
      <c r="BH80" s="422"/>
      <c r="BI80" s="448">
        <f t="shared" si="530"/>
        <v>0</v>
      </c>
      <c r="BJ80" s="448">
        <f t="shared" si="531"/>
        <v>11149.900000000003</v>
      </c>
      <c r="BK80" s="56"/>
      <c r="BN80" s="55">
        <f t="shared" si="532"/>
        <v>46086</v>
      </c>
      <c r="BO80" s="422">
        <v>319.89999999999998</v>
      </c>
      <c r="BP80" s="450">
        <f>SUMPRODUCT(PRODUCE!$B91:$DY91,PRODUCE!$EB$14:$IY$14)</f>
        <v>320</v>
      </c>
      <c r="BQ80" s="422">
        <v>319.89999999999998</v>
      </c>
      <c r="BR80" s="450">
        <f t="shared" si="533"/>
        <v>0.10000000000002274</v>
      </c>
      <c r="BS80" s="450">
        <f t="shared" si="534"/>
        <v>0</v>
      </c>
      <c r="BT80" s="56"/>
      <c r="BW80" s="55">
        <f t="shared" si="535"/>
        <v>46086</v>
      </c>
      <c r="BX80" s="56">
        <v>8000</v>
      </c>
      <c r="BY80" s="65">
        <f>SUMPRODUCT(PRODUCE!$B91:$DY91,PRODUCE!$EB$15:$IY$15)</f>
        <v>36.000000000000007</v>
      </c>
      <c r="BZ80" s="56"/>
      <c r="CA80" s="65">
        <f t="shared" si="536"/>
        <v>36.000000000000007</v>
      </c>
      <c r="CB80" s="65">
        <f t="shared" si="537"/>
        <v>8008</v>
      </c>
      <c r="CC80" s="56"/>
      <c r="CF80" s="55">
        <f t="shared" si="538"/>
        <v>46086</v>
      </c>
      <c r="CG80" s="56"/>
      <c r="CH80" s="66">
        <f>SUMPRODUCT(PRODUCE!$B91:$DY91,PRODUCE!$EB$16:$IY$16)</f>
        <v>14.4</v>
      </c>
      <c r="CI80" s="56"/>
      <c r="CJ80" s="66">
        <f t="shared" si="539"/>
        <v>14.4</v>
      </c>
      <c r="CK80" s="66">
        <f t="shared" si="540"/>
        <v>0</v>
      </c>
      <c r="CL80" s="56"/>
      <c r="CO80" s="55">
        <f t="shared" si="541"/>
        <v>46086</v>
      </c>
      <c r="CP80" s="422"/>
      <c r="CQ80" s="470">
        <f>SUMPRODUCT(PRODUCE!$B91:$DY91,PRODUCE!$EB$17:$IY$17)</f>
        <v>0</v>
      </c>
      <c r="CR80" s="422"/>
      <c r="CS80" s="470">
        <f t="shared" si="542"/>
        <v>0</v>
      </c>
      <c r="CT80" s="470">
        <f t="shared" si="543"/>
        <v>0</v>
      </c>
      <c r="CU80" s="56"/>
      <c r="CX80" s="55">
        <f t="shared" si="544"/>
        <v>46086</v>
      </c>
      <c r="CY80" s="56"/>
      <c r="CZ80" s="133">
        <f>SUMPRODUCT(PRODUCE!$B91:$DY91,PRODUCE!$EB$18:$IY$18)</f>
        <v>0</v>
      </c>
      <c r="DA80" s="56"/>
      <c r="DB80" s="133">
        <f t="shared" si="545"/>
        <v>0</v>
      </c>
      <c r="DC80" s="133">
        <f t="shared" si="546"/>
        <v>41059.299999999996</v>
      </c>
      <c r="DD80" s="56"/>
      <c r="DG80" s="55">
        <f t="shared" si="547"/>
        <v>46086</v>
      </c>
      <c r="DH80" s="56">
        <v>3480</v>
      </c>
      <c r="DI80" s="147">
        <f>SUMPRODUCT(PRODUCE!$B91:$DY91,PRODUCE!$EB$19:$IY$19)</f>
        <v>0</v>
      </c>
      <c r="DJ80" s="56"/>
      <c r="DK80" s="147">
        <f t="shared" si="548"/>
        <v>0</v>
      </c>
      <c r="DL80" s="147">
        <f t="shared" si="549"/>
        <v>3509.5999999999958</v>
      </c>
      <c r="DM80" s="56"/>
      <c r="DP80" s="55">
        <f t="shared" si="550"/>
        <v>46086</v>
      </c>
      <c r="DQ80" s="56"/>
      <c r="DR80" s="57">
        <f>SUMPRODUCT(PRODUCE!$B91:$DY91,PRODUCE!$EB$20:$IY$20)</f>
        <v>0</v>
      </c>
      <c r="DS80" s="56"/>
      <c r="DT80" s="57">
        <f t="shared" si="551"/>
        <v>0</v>
      </c>
      <c r="DU80" s="57">
        <f t="shared" si="552"/>
        <v>2300</v>
      </c>
      <c r="DV80" s="56"/>
      <c r="DY80" s="55">
        <f t="shared" si="553"/>
        <v>46086</v>
      </c>
      <c r="DZ80" s="56"/>
      <c r="EA80" s="157">
        <f>SUMPRODUCT(PRODUCE!$B91:$DY91,PRODUCE!$EB$21:$IY$21)</f>
        <v>0</v>
      </c>
      <c r="EB80" s="56"/>
      <c r="EC80" s="157">
        <f t="shared" si="554"/>
        <v>0</v>
      </c>
      <c r="ED80" s="157">
        <f t="shared" si="555"/>
        <v>5696.8</v>
      </c>
      <c r="EE80" s="56"/>
      <c r="EH80" s="55">
        <f t="shared" si="556"/>
        <v>46086</v>
      </c>
      <c r="EI80" s="56"/>
      <c r="EJ80" s="162">
        <f>SUMPRODUCT(PRODUCE!$B91:$DY91,PRODUCE!$EB$22:$IY$22)</f>
        <v>0</v>
      </c>
      <c r="EK80" s="56"/>
      <c r="EL80" s="162">
        <f t="shared" si="557"/>
        <v>0</v>
      </c>
      <c r="EM80" s="162">
        <f t="shared" si="558"/>
        <v>0</v>
      </c>
      <c r="EN80" s="56"/>
      <c r="EQ80" s="55">
        <f t="shared" si="559"/>
        <v>46086</v>
      </c>
      <c r="ER80" s="56"/>
      <c r="ES80" s="135">
        <f>SUMPRODUCT(PRODUCE!$B91:$DY91,PRODUCE!$EB$23:$IY$23)</f>
        <v>0</v>
      </c>
      <c r="ET80" s="56"/>
      <c r="EU80" s="135">
        <f t="shared" si="560"/>
        <v>0</v>
      </c>
      <c r="EV80" s="135">
        <f t="shared" si="561"/>
        <v>0</v>
      </c>
      <c r="EW80" s="56"/>
      <c r="EZ80" s="55">
        <f t="shared" si="562"/>
        <v>46086</v>
      </c>
      <c r="FA80" s="56"/>
      <c r="FB80" s="175">
        <f>SUMPRODUCT(PRODUCE!$B91:$DY91,PRODUCE!$EB$24:$IY$24)</f>
        <v>0</v>
      </c>
      <c r="FC80" s="56"/>
      <c r="FD80" s="175">
        <f t="shared" si="563"/>
        <v>0</v>
      </c>
      <c r="FE80" s="175">
        <f t="shared" si="564"/>
        <v>0</v>
      </c>
      <c r="FF80" s="56"/>
      <c r="FI80" s="55">
        <f t="shared" si="565"/>
        <v>46086</v>
      </c>
      <c r="FJ80" s="56"/>
      <c r="FK80" s="183">
        <f>SUMPRODUCT(PRODUCE!$B91:$DY91,PRODUCE!$EB$25:$IY$25)</f>
        <v>0</v>
      </c>
      <c r="FL80" s="56"/>
      <c r="FM80" s="183">
        <f t="shared" si="566"/>
        <v>0</v>
      </c>
      <c r="FN80" s="183">
        <f t="shared" si="567"/>
        <v>0</v>
      </c>
      <c r="FO80" s="56"/>
      <c r="FR80" s="55">
        <f t="shared" si="568"/>
        <v>46086</v>
      </c>
      <c r="FS80" s="422"/>
      <c r="FT80" s="452">
        <f>SUMPRODUCT(PRODUCE!$B91:$DY91,PRODUCE!$EB$26:$IY$26)</f>
        <v>320</v>
      </c>
      <c r="FU80" s="422">
        <f>16*20</f>
        <v>320</v>
      </c>
      <c r="FV80" s="452">
        <f t="shared" si="569"/>
        <v>0</v>
      </c>
      <c r="FW80" s="452">
        <f t="shared" si="570"/>
        <v>300</v>
      </c>
      <c r="FX80" s="56"/>
      <c r="GA80" s="55">
        <f t="shared" si="571"/>
        <v>46086</v>
      </c>
      <c r="GB80" s="422"/>
      <c r="GC80" s="454">
        <f>SUMPRODUCT(PRODUCE!$B91:$DY91,PRODUCE!$EB$27:$IY$27)</f>
        <v>0</v>
      </c>
      <c r="GD80" s="422"/>
      <c r="GE80" s="454">
        <f t="shared" si="572"/>
        <v>0</v>
      </c>
      <c r="GF80" s="454">
        <f t="shared" si="573"/>
        <v>5960</v>
      </c>
      <c r="GG80" s="56"/>
      <c r="GI80" s="23"/>
      <c r="GJ80" s="55">
        <f t="shared" si="574"/>
        <v>46086</v>
      </c>
      <c r="GK80" s="422"/>
      <c r="GL80" s="456">
        <f>SUMPRODUCT(PRODUCE!$B91:$DY91,PRODUCE!$EB$28:$IY$28)</f>
        <v>0</v>
      </c>
      <c r="GM80" s="422"/>
      <c r="GN80" s="456">
        <f t="shared" si="575"/>
        <v>0</v>
      </c>
      <c r="GO80" s="456">
        <f t="shared" si="576"/>
        <v>5240</v>
      </c>
      <c r="GP80" s="56"/>
      <c r="GS80" s="55">
        <f t="shared" si="577"/>
        <v>46086</v>
      </c>
      <c r="GT80" s="56"/>
      <c r="GU80" s="195">
        <f>SUMPRODUCT(PRODUCE!$B91:$DY91,PRODUCE!$EB$29:$IY$29)</f>
        <v>0</v>
      </c>
      <c r="GV80" s="56"/>
      <c r="GW80" s="195">
        <f t="shared" si="578"/>
        <v>0</v>
      </c>
      <c r="GX80" s="195">
        <f t="shared" si="579"/>
        <v>0</v>
      </c>
      <c r="GY80" s="56"/>
      <c r="HB80" s="55">
        <f t="shared" si="580"/>
        <v>46086</v>
      </c>
      <c r="HC80" s="56"/>
      <c r="HD80" s="191">
        <f>SUMPRODUCT(PRODUCE!$B91:$DY91,PRODUCE!$EB$30:$IY$30)</f>
        <v>0</v>
      </c>
      <c r="HE80" s="56"/>
      <c r="HF80" s="191">
        <f t="shared" si="581"/>
        <v>0</v>
      </c>
      <c r="HG80" s="191">
        <f t="shared" si="582"/>
        <v>0</v>
      </c>
      <c r="HH80" s="56"/>
      <c r="HK80" s="55">
        <f t="shared" si="583"/>
        <v>46086</v>
      </c>
      <c r="HL80" s="56"/>
      <c r="HM80" s="63">
        <f>SUMPRODUCT(PRODUCE!$B91:$DY91,PRODUCE!$EB$31:$IY$31)</f>
        <v>0</v>
      </c>
      <c r="HN80" s="56"/>
      <c r="HO80" s="63">
        <f t="shared" si="584"/>
        <v>0</v>
      </c>
      <c r="HP80" s="63">
        <f t="shared" si="585"/>
        <v>0</v>
      </c>
      <c r="HQ80" s="56"/>
      <c r="HU80" s="55">
        <f t="shared" si="586"/>
        <v>46086</v>
      </c>
      <c r="HV80" s="56"/>
      <c r="HW80" s="242">
        <f>SUMPRODUCT(PRODUCE!$B91:$DY91,PRODUCE!$EB$32:$IY$32)</f>
        <v>0</v>
      </c>
      <c r="HX80" s="56"/>
      <c r="HY80" s="242">
        <f t="shared" si="587"/>
        <v>0</v>
      </c>
      <c r="HZ80" s="242">
        <f t="shared" si="588"/>
        <v>5120</v>
      </c>
      <c r="IA80" s="56"/>
      <c r="ID80" s="55">
        <f t="shared" si="589"/>
        <v>46086</v>
      </c>
      <c r="IE80" s="56"/>
      <c r="IF80" s="242">
        <f>SUMPRODUCT(PRODUCE!$B91:$DY91,PRODUCE!$EB$33:$IY$33)</f>
        <v>0</v>
      </c>
      <c r="IG80" s="56"/>
      <c r="IH80" s="242">
        <f t="shared" si="590"/>
        <v>0</v>
      </c>
      <c r="II80" s="242">
        <f t="shared" si="591"/>
        <v>5100</v>
      </c>
      <c r="IJ80" s="56"/>
      <c r="IM80" s="55">
        <f t="shared" si="592"/>
        <v>46086</v>
      </c>
      <c r="IN80" s="56"/>
      <c r="IO80" s="242">
        <f>SUMPRODUCT(PRODUCE!$B91:$DY91,PRODUCE!$EB$34:$IY$34)</f>
        <v>0</v>
      </c>
      <c r="IP80" s="56"/>
      <c r="IQ80" s="242">
        <f t="shared" si="593"/>
        <v>0</v>
      </c>
      <c r="IR80" s="242">
        <f t="shared" si="594"/>
        <v>10240</v>
      </c>
      <c r="IS80" s="56"/>
      <c r="IV80" s="55">
        <f t="shared" si="595"/>
        <v>46086</v>
      </c>
      <c r="IW80" s="56"/>
      <c r="IX80" s="242">
        <f>SUMPRODUCT(PRODUCE!$B91:$DY91,PRODUCE!$EB$35:$IY$35)</f>
        <v>0</v>
      </c>
      <c r="IY80" s="56"/>
      <c r="IZ80" s="242">
        <f t="shared" si="596"/>
        <v>0</v>
      </c>
      <c r="JA80" s="242">
        <f t="shared" si="597"/>
        <v>15120</v>
      </c>
      <c r="JB80" s="56"/>
      <c r="JE80" s="55">
        <f t="shared" si="598"/>
        <v>46086</v>
      </c>
      <c r="JF80" s="56"/>
      <c r="JG80" s="242">
        <f>SUMPRODUCT(PRODUCE!$B91:$DY91,PRODUCE!$EB$36:$IY$36)</f>
        <v>0</v>
      </c>
      <c r="JH80" s="56"/>
      <c r="JI80" s="242">
        <f t="shared" si="599"/>
        <v>0</v>
      </c>
      <c r="JJ80" s="242">
        <f t="shared" si="600"/>
        <v>3320</v>
      </c>
      <c r="JK80" s="56"/>
      <c r="JN80" s="55">
        <f t="shared" si="601"/>
        <v>46086</v>
      </c>
      <c r="JO80" s="56"/>
      <c r="JP80" s="242">
        <f>SUMPRODUCT(PRODUCE!$B91:$DY91,PRODUCE!$EB$37:$IY$37)</f>
        <v>0</v>
      </c>
      <c r="JQ80" s="56"/>
      <c r="JR80" s="242">
        <f t="shared" si="602"/>
        <v>0</v>
      </c>
      <c r="JS80" s="242">
        <f t="shared" si="603"/>
        <v>5400</v>
      </c>
      <c r="JT80" s="56"/>
      <c r="JW80" s="55">
        <f t="shared" si="604"/>
        <v>46086</v>
      </c>
      <c r="JX80" s="56"/>
      <c r="JY80" s="242">
        <f>SUMPRODUCT(PRODUCE!$B91:$DY91,PRODUCE!$EB$38:$IY$38)</f>
        <v>0</v>
      </c>
      <c r="JZ80" s="56"/>
      <c r="KA80" s="242">
        <f t="shared" si="605"/>
        <v>0</v>
      </c>
      <c r="KB80" s="242">
        <f t="shared" si="606"/>
        <v>4000</v>
      </c>
      <c r="KC80" s="56"/>
      <c r="KF80" s="55">
        <f t="shared" si="607"/>
        <v>46086</v>
      </c>
      <c r="KG80" s="56"/>
      <c r="KH80" s="242">
        <f>SUMPRODUCT(PRODUCE!$B91:$DY91,PRODUCE!$EB$39:$IY$39)</f>
        <v>0</v>
      </c>
      <c r="KI80" s="56"/>
      <c r="KJ80" s="242">
        <f t="shared" si="608"/>
        <v>0</v>
      </c>
      <c r="KK80" s="242">
        <f t="shared" si="609"/>
        <v>3432</v>
      </c>
      <c r="KL80" s="56"/>
      <c r="KO80" s="55">
        <f t="shared" si="610"/>
        <v>46086</v>
      </c>
      <c r="KP80" s="56"/>
      <c r="KQ80" s="242">
        <f>SUMPRODUCT(PRODUCE!$B91:$DY91,PRODUCE!$EB$40:$IY$40)</f>
        <v>0</v>
      </c>
      <c r="KR80" s="56"/>
      <c r="KS80" s="242">
        <f t="shared" si="611"/>
        <v>0</v>
      </c>
      <c r="KT80" s="242">
        <f t="shared" si="612"/>
        <v>6539.4000000000005</v>
      </c>
      <c r="KU80" s="56"/>
      <c r="KW80" s="23"/>
      <c r="KX80" s="55">
        <f t="shared" si="613"/>
        <v>46086</v>
      </c>
      <c r="KY80" s="56"/>
      <c r="KZ80" s="242">
        <f>SUMPRODUCT(PRODUCE!$B91:$DY91,PRODUCE!$EB$41:$IY$41)</f>
        <v>0</v>
      </c>
      <c r="LA80" s="56"/>
      <c r="LB80" s="242">
        <f t="shared" si="614"/>
        <v>0</v>
      </c>
      <c r="LC80" s="242">
        <f t="shared" si="615"/>
        <v>0</v>
      </c>
      <c r="LD80" s="56"/>
      <c r="LG80" s="55">
        <f t="shared" si="616"/>
        <v>46086</v>
      </c>
      <c r="LH80" s="56"/>
      <c r="LI80" s="242">
        <f>SUMPRODUCT(PRODUCE!$B91:$DY91,PRODUCE!$EB$42:$IY$42)</f>
        <v>0</v>
      </c>
      <c r="LJ80" s="56"/>
      <c r="LK80" s="242">
        <f t="shared" si="617"/>
        <v>0</v>
      </c>
      <c r="LL80" s="242">
        <f t="shared" si="618"/>
        <v>0</v>
      </c>
      <c r="LM80" s="56"/>
      <c r="LP80" s="55">
        <f t="shared" si="619"/>
        <v>46086</v>
      </c>
      <c r="LQ80" s="56"/>
      <c r="LR80" s="242">
        <f>SUMPRODUCT(PRODUCE!$B95:$DY95,PRODUCE!$EB$43:$IY$43)</f>
        <v>0</v>
      </c>
      <c r="LS80" s="56"/>
      <c r="LT80" s="242">
        <f t="shared" si="620"/>
        <v>0</v>
      </c>
      <c r="LU80" s="242">
        <f t="shared" si="621"/>
        <v>0</v>
      </c>
      <c r="LV80" s="56"/>
      <c r="LY80" s="55">
        <f t="shared" si="622"/>
        <v>46086</v>
      </c>
      <c r="LZ80" s="56"/>
      <c r="MA80" s="242">
        <f>SUMPRODUCT(PRODUCE!$B91:$DY91,PRODUCE!$EB$44:$IY$44)</f>
        <v>0</v>
      </c>
      <c r="MB80" s="56"/>
      <c r="MC80" s="242">
        <f t="shared" si="623"/>
        <v>0</v>
      </c>
      <c r="MD80" s="242">
        <f t="shared" si="624"/>
        <v>0</v>
      </c>
      <c r="ME80" s="56"/>
      <c r="MH80" s="55">
        <f t="shared" si="625"/>
        <v>46086</v>
      </c>
      <c r="MI80" s="56"/>
      <c r="MJ80" s="242">
        <f>SUMPRODUCT(PRODUCE!$B91:$DY91,PRODUCE!$EB$45:$IY$45)</f>
        <v>0</v>
      </c>
      <c r="MK80" s="56"/>
      <c r="ML80" s="242">
        <f t="shared" si="626"/>
        <v>0</v>
      </c>
      <c r="MM80" s="242">
        <f t="shared" si="627"/>
        <v>0</v>
      </c>
      <c r="MN80" s="56"/>
      <c r="MQ80" s="55">
        <f t="shared" si="628"/>
        <v>46086</v>
      </c>
      <c r="MR80" s="56"/>
      <c r="MS80" s="242">
        <f>SUMPRODUCT(PRODUCE!$B91:$DY91,PRODUCE!$EB$46:$IY$46)</f>
        <v>8</v>
      </c>
      <c r="MT80" s="56"/>
      <c r="MU80" s="242">
        <f t="shared" si="629"/>
        <v>8</v>
      </c>
      <c r="MV80" s="242">
        <f t="shared" si="630"/>
        <v>4123</v>
      </c>
      <c r="MW80" s="56"/>
      <c r="MZ80" s="55">
        <f t="shared" si="631"/>
        <v>46086</v>
      </c>
      <c r="NA80" s="56"/>
      <c r="NB80" s="242">
        <f>SUMPRODUCT(PRODUCE!$B91:$DY91,PRODUCE!$EB$47:$IY$47)</f>
        <v>0</v>
      </c>
      <c r="NC80" s="56"/>
      <c r="ND80" s="242">
        <f t="shared" si="632"/>
        <v>0</v>
      </c>
      <c r="NE80" s="242">
        <f t="shared" si="633"/>
        <v>0</v>
      </c>
      <c r="NF80" s="56"/>
      <c r="NI80" s="55">
        <f t="shared" si="634"/>
        <v>46086</v>
      </c>
      <c r="NJ80" s="56"/>
      <c r="NK80" s="242">
        <f>SUMPRODUCT(PRODUCE!$B91:$DY91,PRODUCE!$EB$48:$IY$48)</f>
        <v>0</v>
      </c>
      <c r="NL80" s="56"/>
      <c r="NM80" s="242">
        <f t="shared" si="635"/>
        <v>0</v>
      </c>
      <c r="NN80" s="242">
        <f t="shared" si="636"/>
        <v>0</v>
      </c>
      <c r="NO80" s="56"/>
      <c r="NR80" s="55">
        <f t="shared" si="637"/>
        <v>46086</v>
      </c>
      <c r="NS80" s="56"/>
      <c r="NT80" s="242">
        <f>SUMPRODUCT(PRODUCE!$B91:$DY91,PRODUCE!$EB$49:$IY$49)</f>
        <v>0</v>
      </c>
      <c r="NU80" s="56"/>
      <c r="NV80" s="242">
        <f t="shared" si="638"/>
        <v>0</v>
      </c>
      <c r="NW80" s="242">
        <f t="shared" si="639"/>
        <v>1947.7</v>
      </c>
      <c r="NX80" s="56"/>
      <c r="OA80" s="55">
        <f t="shared" si="640"/>
        <v>46086</v>
      </c>
      <c r="OB80" s="56"/>
      <c r="OC80" s="242">
        <f>SUMPRODUCT(PRODUCE!$B91:$DY91,PRODUCE!$EB$50:$IY$50)</f>
        <v>0</v>
      </c>
      <c r="OD80" s="56"/>
      <c r="OE80" s="242">
        <f t="shared" si="641"/>
        <v>0</v>
      </c>
      <c r="OF80" s="242">
        <f t="shared" si="642"/>
        <v>1680.5</v>
      </c>
      <c r="OG80" s="56"/>
      <c r="OJ80" s="55">
        <f t="shared" si="643"/>
        <v>46086</v>
      </c>
      <c r="OK80" s="56"/>
      <c r="OL80" s="242">
        <f>SUMPRODUCT(PRODUCE!$B91:$DY91,PRODUCE!$EB$51:$IY$51)</f>
        <v>0</v>
      </c>
      <c r="OM80" s="56"/>
      <c r="ON80" s="242">
        <f t="shared" si="644"/>
        <v>0</v>
      </c>
      <c r="OO80" s="242">
        <f t="shared" si="645"/>
        <v>0</v>
      </c>
      <c r="OP80" s="56"/>
      <c r="OS80" s="55">
        <f t="shared" si="646"/>
        <v>46086</v>
      </c>
      <c r="OT80" s="56"/>
      <c r="OU80" s="242">
        <f>SUMPRODUCT(PRODUCE!$B91:$DY91,PRODUCE!$EB$52:$IY$52)</f>
        <v>0</v>
      </c>
      <c r="OV80" s="56"/>
      <c r="OW80" s="242">
        <f t="shared" si="647"/>
        <v>0</v>
      </c>
      <c r="OX80" s="242">
        <f t="shared" si="648"/>
        <v>0</v>
      </c>
      <c r="OY80" s="56"/>
      <c r="PB80" s="55">
        <f t="shared" si="649"/>
        <v>46086</v>
      </c>
      <c r="PC80" s="56"/>
      <c r="PD80" s="242">
        <f>SUMPRODUCT(PRODUCE!$B91:$DY91,PRODUCE!$EB$53:$IY$53)</f>
        <v>0</v>
      </c>
      <c r="PE80" s="56"/>
      <c r="PF80" s="242">
        <f t="shared" si="650"/>
        <v>0</v>
      </c>
      <c r="PG80" s="242">
        <f t="shared" si="651"/>
        <v>0</v>
      </c>
      <c r="PH80" s="56"/>
      <c r="PK80" s="55">
        <f t="shared" si="652"/>
        <v>46086</v>
      </c>
      <c r="PL80" s="56"/>
      <c r="PM80" s="242">
        <f>SUMPRODUCT(PRODUCE!$B91:$DY91,PRODUCE!$EB$54:$IY$54)</f>
        <v>0</v>
      </c>
      <c r="PN80" s="56"/>
      <c r="PO80" s="242">
        <f t="shared" si="653"/>
        <v>0</v>
      </c>
      <c r="PP80" s="242">
        <f t="shared" si="654"/>
        <v>100</v>
      </c>
      <c r="PQ80" s="56"/>
      <c r="PT80" s="55">
        <f t="shared" si="655"/>
        <v>46086</v>
      </c>
      <c r="PU80" s="56"/>
      <c r="PV80" s="242">
        <f>SUMPRODUCT(PRODUCE!$B91:$DY91,PRODUCE!$EB$55:$IY$55)</f>
        <v>0</v>
      </c>
      <c r="PW80" s="56"/>
      <c r="PX80" s="242">
        <f t="shared" si="656"/>
        <v>0</v>
      </c>
      <c r="PY80" s="242">
        <f t="shared" si="657"/>
        <v>13.960000000000036</v>
      </c>
      <c r="PZ80" s="56"/>
      <c r="QC80" s="55">
        <f t="shared" si="658"/>
        <v>46086</v>
      </c>
      <c r="QD80" s="56">
        <v>868</v>
      </c>
      <c r="QE80" s="242">
        <f>SUMPRODUCT(PRODUCE!$B91:$DY91,PRODUCE!$EB$56:$IY$56)</f>
        <v>0</v>
      </c>
      <c r="QF80" s="56"/>
      <c r="QG80" s="242">
        <f t="shared" si="659"/>
        <v>0</v>
      </c>
      <c r="QH80" s="242">
        <f t="shared" si="660"/>
        <v>1212</v>
      </c>
      <c r="QI80" s="56"/>
      <c r="QL80" s="55">
        <f t="shared" si="661"/>
        <v>46086</v>
      </c>
      <c r="QM80" s="56"/>
      <c r="QN80" s="242">
        <f>SUMPRODUCT(PRODUCE!$B91:$DY91,PRODUCE!$EB$57:$IY$57)</f>
        <v>0</v>
      </c>
      <c r="QO80" s="56"/>
      <c r="QP80" s="242">
        <f t="shared" si="662"/>
        <v>0</v>
      </c>
      <c r="QQ80" s="242">
        <f t="shared" si="663"/>
        <v>0</v>
      </c>
      <c r="QR80" s="56"/>
      <c r="QU80" s="55">
        <f t="shared" si="664"/>
        <v>46086</v>
      </c>
      <c r="QV80" s="56"/>
      <c r="QW80" s="242">
        <f>SUMPRODUCT(PRODUCE!$B91:$DY91,PRODUCE!$EB$57:$IY$57)</f>
        <v>0</v>
      </c>
      <c r="QX80" s="56"/>
      <c r="QY80" s="242">
        <f t="shared" si="665"/>
        <v>0</v>
      </c>
      <c r="QZ80" s="242">
        <f t="shared" si="666"/>
        <v>207.6</v>
      </c>
      <c r="RA80" s="56"/>
      <c r="RD80" s="55">
        <f t="shared" si="667"/>
        <v>46086</v>
      </c>
      <c r="RE80" s="56"/>
      <c r="RF80" s="242">
        <f>SUMPRODUCT(PRODUCE!$B91:$DY91,PRODUCE!$EB$58:$IY$58)</f>
        <v>0</v>
      </c>
      <c r="RG80" s="56"/>
      <c r="RH80" s="242">
        <f t="shared" si="668"/>
        <v>0</v>
      </c>
      <c r="RI80" s="242">
        <f t="shared" si="669"/>
        <v>197.04000000000002</v>
      </c>
      <c r="RJ80" s="56"/>
      <c r="RM80" s="55">
        <f t="shared" si="670"/>
        <v>46086</v>
      </c>
      <c r="RN80" s="56"/>
      <c r="RO80" s="242">
        <f>SUMPRODUCT(PRODUCE!$B91:$DY91,PRODUCE!$EB$57:$IY$57)</f>
        <v>0</v>
      </c>
      <c r="RP80" s="56"/>
      <c r="RQ80" s="242">
        <f t="shared" si="671"/>
        <v>0</v>
      </c>
      <c r="RR80" s="242">
        <f t="shared" si="672"/>
        <v>46.8</v>
      </c>
      <c r="RS80" s="56"/>
      <c r="RV80" s="55">
        <f t="shared" si="673"/>
        <v>46086</v>
      </c>
      <c r="RW80" s="56"/>
      <c r="RX80" s="242">
        <f>SUMPRODUCT(PRODUCE!$B91:$DY91,PRODUCE!$EB$57:$IY$57)</f>
        <v>0</v>
      </c>
      <c r="RY80" s="56"/>
      <c r="RZ80" s="242">
        <f t="shared" si="674"/>
        <v>0</v>
      </c>
      <c r="SA80" s="242">
        <f t="shared" si="675"/>
        <v>0</v>
      </c>
      <c r="SB80" s="56"/>
      <c r="SE80" s="55">
        <f t="shared" si="676"/>
        <v>46086</v>
      </c>
      <c r="SF80" s="56"/>
      <c r="SG80" s="242">
        <f>SUMPRODUCT(PRODUCE!$B91:$DY91,PRODUCE!$EB$57:$IY$57)</f>
        <v>0</v>
      </c>
      <c r="SH80" s="56"/>
      <c r="SI80" s="242">
        <f t="shared" si="677"/>
        <v>0</v>
      </c>
      <c r="SJ80" s="242">
        <f t="shared" si="678"/>
        <v>0</v>
      </c>
      <c r="SK80" s="56"/>
      <c r="SN80" s="55">
        <f t="shared" si="679"/>
        <v>46086</v>
      </c>
      <c r="SO80" s="56"/>
      <c r="SP80" s="242">
        <f>SUMPRODUCT(PRODUCE!$B91:$DY91,PRODUCE!$EB$57:$IY$57)</f>
        <v>0</v>
      </c>
      <c r="SQ80" s="56"/>
      <c r="SR80" s="242">
        <f t="shared" si="680"/>
        <v>0</v>
      </c>
      <c r="SS80" s="242">
        <f t="shared" si="681"/>
        <v>0</v>
      </c>
      <c r="ST80" s="56"/>
      <c r="SW80" s="55">
        <f t="shared" si="682"/>
        <v>46086</v>
      </c>
      <c r="SX80" s="56"/>
      <c r="SY80" s="242">
        <f>SUMPRODUCT(PRODUCE!$B91:$DY91,PRODUCE!$EB$57:$IY$57)</f>
        <v>0</v>
      </c>
      <c r="SZ80" s="56"/>
      <c r="TA80" s="242">
        <f t="shared" si="683"/>
        <v>0</v>
      </c>
      <c r="TB80" s="242">
        <f t="shared" si="684"/>
        <v>0</v>
      </c>
      <c r="TC80" s="56"/>
      <c r="TF80" s="55">
        <f t="shared" si="685"/>
        <v>46086</v>
      </c>
      <c r="TG80" s="56"/>
      <c r="TH80" s="242">
        <f>SUMPRODUCT(PRODUCE!$B91:$DY91,PRODUCE!$EB$57:$IY$57)</f>
        <v>0</v>
      </c>
      <c r="TI80" s="56"/>
      <c r="TJ80" s="242">
        <f t="shared" si="686"/>
        <v>0</v>
      </c>
      <c r="TK80" s="242">
        <f t="shared" si="687"/>
        <v>0</v>
      </c>
      <c r="TL80" s="56"/>
      <c r="TO80" s="55">
        <f t="shared" si="688"/>
        <v>46086</v>
      </c>
      <c r="TP80" s="56"/>
      <c r="TQ80" s="242">
        <f>SUMPRODUCT(PRODUCE!$B91:$DY91,PRODUCE!$EB$57:$IY$57)</f>
        <v>0</v>
      </c>
      <c r="TR80" s="56"/>
      <c r="TS80" s="242">
        <f t="shared" si="689"/>
        <v>0</v>
      </c>
      <c r="TT80" s="242">
        <f t="shared" si="690"/>
        <v>0</v>
      </c>
      <c r="TU80" s="56"/>
      <c r="TX80" s="55">
        <f t="shared" si="691"/>
        <v>46086</v>
      </c>
      <c r="TY80" s="56"/>
      <c r="TZ80" s="242">
        <f>SUMPRODUCT(PRODUCE!$B91:$DY91,PRODUCE!$EB$57:$IY$57)</f>
        <v>0</v>
      </c>
      <c r="UA80" s="56"/>
      <c r="UB80" s="242">
        <f t="shared" si="692"/>
        <v>0</v>
      </c>
      <c r="UC80" s="242">
        <f t="shared" si="693"/>
        <v>0</v>
      </c>
      <c r="UD80" s="56"/>
      <c r="UG80" s="55">
        <f t="shared" si="694"/>
        <v>46086</v>
      </c>
      <c r="UH80" s="56"/>
      <c r="UI80" s="242">
        <f>SUMPRODUCT(PRODUCE!$B91:$DY91,PRODUCE!$EB$57:$IY$57)</f>
        <v>0</v>
      </c>
      <c r="UJ80" s="56"/>
      <c r="UK80" s="242">
        <f t="shared" si="695"/>
        <v>0</v>
      </c>
      <c r="UL80" s="242">
        <f t="shared" si="696"/>
        <v>0</v>
      </c>
      <c r="UM80" s="56"/>
      <c r="UP80" s="55">
        <f t="shared" si="697"/>
        <v>46086</v>
      </c>
      <c r="UQ80" s="56"/>
      <c r="UR80" s="242">
        <f>SUMPRODUCT(PRODUCE!$B91:$DY91,PRODUCE!$EB$57:$IY$57)</f>
        <v>0</v>
      </c>
      <c r="US80" s="56"/>
      <c r="UT80" s="242">
        <f t="shared" si="698"/>
        <v>0</v>
      </c>
      <c r="UU80" s="242">
        <f t="shared" si="699"/>
        <v>0</v>
      </c>
      <c r="UV80" s="56"/>
      <c r="UY80" s="55">
        <f t="shared" si="700"/>
        <v>46086</v>
      </c>
      <c r="UZ80" s="56"/>
      <c r="VA80" s="242">
        <f>SUMPRODUCT(PRODUCE!$B91:$DY91,PRODUCE!$EB$57:$IY$57)</f>
        <v>0</v>
      </c>
      <c r="VB80" s="56"/>
      <c r="VC80" s="242">
        <f t="shared" si="701"/>
        <v>0</v>
      </c>
      <c r="VD80" s="242">
        <f t="shared" si="702"/>
        <v>41.600000000000023</v>
      </c>
      <c r="VE80" s="56"/>
      <c r="VH80" s="55">
        <f t="shared" si="703"/>
        <v>46086</v>
      </c>
      <c r="VI80" s="56"/>
      <c r="VJ80" s="242">
        <f>SUMPRODUCT(PRODUCE!$B91:$DY91,PRODUCE!$EB$57:$IY$57)</f>
        <v>0</v>
      </c>
      <c r="VK80" s="56"/>
      <c r="VL80" s="242">
        <f t="shared" si="704"/>
        <v>0</v>
      </c>
      <c r="VM80" s="242">
        <f t="shared" si="705"/>
        <v>0</v>
      </c>
      <c r="VN80" s="56"/>
      <c r="VQ80" s="55">
        <f t="shared" si="706"/>
        <v>46086</v>
      </c>
      <c r="VR80" s="56"/>
      <c r="VS80" s="242">
        <f>SUMPRODUCT(PRODUCE!$B91:$DY91,PRODUCE!$EB$57:$IY$57)</f>
        <v>0</v>
      </c>
      <c r="VT80" s="56"/>
      <c r="VU80" s="242">
        <f t="shared" si="707"/>
        <v>0</v>
      </c>
      <c r="VV80" s="242">
        <f t="shared" si="708"/>
        <v>0</v>
      </c>
      <c r="VW80" s="56"/>
      <c r="VZ80" s="55">
        <f t="shared" si="709"/>
        <v>46086</v>
      </c>
      <c r="WA80" s="56"/>
      <c r="WB80" s="242">
        <f>SUMPRODUCT(PRODUCE!$B91:$DY91,PRODUCE!$EB$57:$IY$57)</f>
        <v>0</v>
      </c>
      <c r="WC80" s="56"/>
      <c r="WD80" s="242">
        <f t="shared" si="710"/>
        <v>0</v>
      </c>
      <c r="WE80" s="242">
        <f t="shared" si="711"/>
        <v>0</v>
      </c>
      <c r="WF80" s="56"/>
      <c r="WI80" s="55">
        <f t="shared" si="712"/>
        <v>46086</v>
      </c>
      <c r="WJ80" s="56"/>
      <c r="WK80" s="242">
        <f>SUMPRODUCT(PRODUCE!$B91:$DY91,PRODUCE!$EB$57:$IY$57)</f>
        <v>0</v>
      </c>
      <c r="WL80" s="56">
        <v>325</v>
      </c>
      <c r="WM80" s="242">
        <f t="shared" si="713"/>
        <v>-325</v>
      </c>
      <c r="WN80" s="242">
        <f t="shared" si="714"/>
        <v>6303</v>
      </c>
      <c r="WO80" s="56"/>
      <c r="WR80" s="55">
        <f t="shared" si="715"/>
        <v>46086</v>
      </c>
      <c r="WS80" s="56"/>
      <c r="WT80" s="242">
        <f>SUMPRODUCT(PRODUCE!$B91:$DY91,PRODUCE!$EB$57:$IY$57)</f>
        <v>0</v>
      </c>
      <c r="WU80" s="56"/>
      <c r="WV80" s="242">
        <f t="shared" si="716"/>
        <v>0</v>
      </c>
      <c r="WW80" s="242">
        <f t="shared" si="717"/>
        <v>6559</v>
      </c>
      <c r="WX80" s="56"/>
      <c r="XA80" s="55">
        <f t="shared" si="718"/>
        <v>46086</v>
      </c>
      <c r="XB80" s="56"/>
      <c r="XC80" s="242">
        <f>SUMPRODUCT(PRODUCE!$B91:$DY91,PRODUCE!$EB$57:$IY$57)</f>
        <v>0</v>
      </c>
      <c r="XD80" s="56"/>
      <c r="XE80" s="242">
        <f t="shared" si="719"/>
        <v>0</v>
      </c>
      <c r="XF80" s="242">
        <f t="shared" si="720"/>
        <v>590</v>
      </c>
      <c r="XG80" s="56"/>
      <c r="XJ80" s="55">
        <f t="shared" si="721"/>
        <v>46086</v>
      </c>
      <c r="XK80" s="56"/>
      <c r="XL80" s="242">
        <f>SUMPRODUCT(PRODUCE!$B91:$DY91,PRODUCE!$EB$57:$IY$57)</f>
        <v>0</v>
      </c>
      <c r="XM80" s="56"/>
      <c r="XN80" s="242">
        <f t="shared" si="722"/>
        <v>0</v>
      </c>
      <c r="XO80" s="242">
        <f t="shared" si="723"/>
        <v>2124</v>
      </c>
      <c r="XP80" s="56"/>
      <c r="XS80" s="55">
        <f t="shared" si="724"/>
        <v>46086</v>
      </c>
      <c r="XT80" s="56"/>
      <c r="XU80" s="242">
        <f>SUMPRODUCT(PRODUCE!$B91:$DY91,PRODUCE!$EB$57:$IY$57)</f>
        <v>0</v>
      </c>
      <c r="XV80" s="56"/>
      <c r="XW80" s="242">
        <f t="shared" si="725"/>
        <v>0</v>
      </c>
      <c r="XX80" s="242">
        <f t="shared" si="726"/>
        <v>1901</v>
      </c>
      <c r="XY80" s="56"/>
      <c r="YB80" s="55">
        <f t="shared" si="727"/>
        <v>46086</v>
      </c>
      <c r="YC80" s="56"/>
      <c r="YD80" s="242">
        <f>SUMPRODUCT(PRODUCE!$B91:$DY91,PRODUCE!$EB$57:$IY$57)</f>
        <v>0</v>
      </c>
      <c r="YE80" s="56"/>
      <c r="YF80" s="242">
        <f t="shared" si="728"/>
        <v>0</v>
      </c>
      <c r="YG80" s="242">
        <f t="shared" si="729"/>
        <v>0</v>
      </c>
      <c r="YH80" s="56"/>
      <c r="YK80" s="55">
        <f t="shared" si="730"/>
        <v>46086</v>
      </c>
      <c r="YL80" s="56"/>
      <c r="YM80" s="242">
        <f>SUMPRODUCT(PRODUCE!$B91:$DY91,PRODUCE!$EB$57:$IY$57)</f>
        <v>0</v>
      </c>
      <c r="YN80" s="56"/>
      <c r="YO80" s="242">
        <f t="shared" si="731"/>
        <v>0</v>
      </c>
      <c r="YP80" s="242">
        <f t="shared" si="732"/>
        <v>0</v>
      </c>
      <c r="YQ80" s="56"/>
      <c r="YT80" s="55">
        <f t="shared" si="733"/>
        <v>46086</v>
      </c>
      <c r="YU80" s="56"/>
      <c r="YV80" s="242">
        <f>SUMPRODUCT(PRODUCE!$B91:$DY91,PRODUCE!$EB$57:$IY$57)</f>
        <v>0</v>
      </c>
      <c r="YW80" s="56"/>
      <c r="YX80" s="242">
        <f t="shared" si="734"/>
        <v>0</v>
      </c>
      <c r="YY80" s="242">
        <f t="shared" si="735"/>
        <v>0</v>
      </c>
      <c r="YZ80" s="56"/>
      <c r="ZC80" s="55">
        <f t="shared" si="736"/>
        <v>46086</v>
      </c>
      <c r="ZD80" s="56"/>
      <c r="ZE80" s="242">
        <f>SUMPRODUCT(PRODUCE!$B91:$DY91,PRODUCE!$EB$57:$IY$57)</f>
        <v>0</v>
      </c>
      <c r="ZF80" s="56"/>
      <c r="ZG80" s="242">
        <f t="shared" si="737"/>
        <v>0</v>
      </c>
      <c r="ZH80" s="242">
        <f t="shared" si="738"/>
        <v>0</v>
      </c>
      <c r="ZI80" s="56"/>
      <c r="ZL80" s="55">
        <f t="shared" si="739"/>
        <v>46086</v>
      </c>
      <c r="ZM80" s="56"/>
      <c r="ZN80" s="242">
        <f>SUMPRODUCT(PRODUCE!$B91:$DY91,PRODUCE!$EB$57:$IY$57)</f>
        <v>0</v>
      </c>
      <c r="ZO80" s="56"/>
      <c r="ZP80" s="242">
        <f t="shared" si="740"/>
        <v>0</v>
      </c>
      <c r="ZQ80" s="242">
        <f t="shared" si="741"/>
        <v>0</v>
      </c>
      <c r="ZR80" s="56"/>
      <c r="ZU80" s="55">
        <f t="shared" si="742"/>
        <v>46086</v>
      </c>
      <c r="ZV80" s="56"/>
      <c r="ZW80" s="242">
        <f>SUMPRODUCT(PRODUCE!$B91:$DY91,PRODUCE!$EB$57:$IY$57)</f>
        <v>0</v>
      </c>
      <c r="ZX80" s="56"/>
      <c r="ZY80" s="242">
        <f t="shared" si="743"/>
        <v>0</v>
      </c>
      <c r="ZZ80" s="242">
        <f t="shared" si="744"/>
        <v>0</v>
      </c>
      <c r="AAA80" s="56"/>
      <c r="AAD80" s="55">
        <f t="shared" si="745"/>
        <v>46086</v>
      </c>
      <c r="AAE80" s="56"/>
      <c r="AAF80" s="242">
        <f>SUMPRODUCT(PRODUCE!$B91:$DY91,PRODUCE!$EB$57:$IY$57)</f>
        <v>0</v>
      </c>
      <c r="AAG80" s="56"/>
      <c r="AAH80" s="242">
        <f t="shared" si="746"/>
        <v>0</v>
      </c>
      <c r="AAI80" s="242">
        <f t="shared" si="747"/>
        <v>0</v>
      </c>
      <c r="AAJ80" s="56"/>
      <c r="AAM80" s="55">
        <f t="shared" si="748"/>
        <v>46086</v>
      </c>
      <c r="AAN80" s="56"/>
      <c r="AAO80" s="242">
        <f>SUMPRODUCT(PRODUCE!$B91:$DY91,PRODUCE!$EB$57:$IY$57)</f>
        <v>0</v>
      </c>
      <c r="AAP80" s="56"/>
      <c r="AAQ80" s="242">
        <f t="shared" si="749"/>
        <v>0</v>
      </c>
      <c r="AAR80" s="242">
        <f t="shared" si="750"/>
        <v>0</v>
      </c>
      <c r="AAS80" s="56"/>
      <c r="AAV80" s="55">
        <f t="shared" si="751"/>
        <v>46086</v>
      </c>
      <c r="AAW80" s="56"/>
      <c r="AAX80" s="242">
        <f>SUMPRODUCT(PRODUCE!$B91:$DY91,PRODUCE!$EB$57:$IY$57)</f>
        <v>0</v>
      </c>
      <c r="AAY80" s="56"/>
      <c r="AAZ80" s="242">
        <f t="shared" si="752"/>
        <v>0</v>
      </c>
      <c r="ABA80" s="242">
        <f t="shared" si="753"/>
        <v>0</v>
      </c>
      <c r="ABB80" s="56"/>
      <c r="ABE80" s="55">
        <f t="shared" si="754"/>
        <v>46086</v>
      </c>
      <c r="ABF80" s="56"/>
      <c r="ABG80" s="242">
        <f>SUMPRODUCT(PRODUCE!$B91:$DY91,PRODUCE!$EB$57:$IY$57)</f>
        <v>0</v>
      </c>
      <c r="ABH80" s="56"/>
      <c r="ABI80" s="242">
        <f t="shared" si="755"/>
        <v>0</v>
      </c>
      <c r="ABJ80" s="242">
        <f t="shared" si="756"/>
        <v>0</v>
      </c>
      <c r="ABK80" s="56"/>
    </row>
    <row r="81" spans="2:739" s="54" customFormat="1" ht="15" customHeight="1" outlineLevel="1">
      <c r="B81" s="478">
        <v>70</v>
      </c>
      <c r="C81" s="55">
        <v>46087</v>
      </c>
      <c r="D81" s="422">
        <v>38440</v>
      </c>
      <c r="E81" s="423">
        <f>SUMPRODUCT(PRODUCE!$B92:$DY92,PRODUCE!$EB$7:$IY$7)</f>
        <v>35094.500000000007</v>
      </c>
      <c r="F81" s="422">
        <v>35084.800000000003</v>
      </c>
      <c r="G81" s="423">
        <f t="shared" si="514"/>
        <v>9.7000000000043656</v>
      </c>
      <c r="H81" s="423">
        <f t="shared" si="512"/>
        <v>101113.40000000001</v>
      </c>
      <c r="I81" s="289" t="s">
        <v>219</v>
      </c>
      <c r="L81" s="55">
        <f t="shared" si="513"/>
        <v>46087</v>
      </c>
      <c r="M81" s="422"/>
      <c r="N81" s="438">
        <f>SUMPRODUCT(PRODUCE!$B92:$DY92,PRODUCE!$EB$8:$IY$8)</f>
        <v>14350</v>
      </c>
      <c r="O81" s="422">
        <v>14349.4</v>
      </c>
      <c r="P81" s="438">
        <f t="shared" si="515"/>
        <v>0.6000000000003638</v>
      </c>
      <c r="Q81" s="438">
        <f t="shared" si="516"/>
        <v>6483.2000000000353</v>
      </c>
      <c r="R81" s="56"/>
      <c r="U81" s="55">
        <f t="shared" si="517"/>
        <v>46087</v>
      </c>
      <c r="V81" s="422">
        <v>30060</v>
      </c>
      <c r="W81" s="440">
        <f>SUMPRODUCT(PRODUCE!$B92:$DY92,PRODUCE!$EB$9:$IY$9)</f>
        <v>5844.9999999999991</v>
      </c>
      <c r="X81" s="422">
        <v>5847.1</v>
      </c>
      <c r="Y81" s="440">
        <f t="shared" si="518"/>
        <v>-2.1000000000012733</v>
      </c>
      <c r="Z81" s="440">
        <f t="shared" si="519"/>
        <v>48530.39999999998</v>
      </c>
      <c r="AA81" s="56"/>
      <c r="AD81" s="55">
        <f t="shared" si="520"/>
        <v>46087</v>
      </c>
      <c r="AE81" s="422"/>
      <c r="AF81" s="442">
        <f>SUMPRODUCT(PRODUCE!$B92:$DY92,PRODUCE!$EB$10:$IY$10)</f>
        <v>910.00000000000011</v>
      </c>
      <c r="AG81" s="422">
        <v>911.6</v>
      </c>
      <c r="AH81" s="442">
        <f t="shared" si="521"/>
        <v>-1.5999999999999091</v>
      </c>
      <c r="AI81" s="442">
        <f t="shared" si="522"/>
        <v>28963.300000000017</v>
      </c>
      <c r="AJ81" s="56"/>
      <c r="AM81" s="55">
        <f t="shared" si="523"/>
        <v>46087</v>
      </c>
      <c r="AN81" s="422"/>
      <c r="AO81" s="444">
        <f>SUMPRODUCT(PRODUCE!$B92:$DY92,PRODUCE!$EB$11:$IY$11)</f>
        <v>0</v>
      </c>
      <c r="AP81" s="422"/>
      <c r="AQ81" s="444">
        <f t="shared" si="524"/>
        <v>0</v>
      </c>
      <c r="AR81" s="444">
        <f t="shared" si="525"/>
        <v>0</v>
      </c>
      <c r="AS81" s="56"/>
      <c r="AV81" s="55">
        <f t="shared" si="526"/>
        <v>46087</v>
      </c>
      <c r="AW81" s="422"/>
      <c r="AX81" s="446">
        <f>SUMPRODUCT(PRODUCE!$B92:$DY92,PRODUCE!$EB$12:$IY$12)</f>
        <v>0</v>
      </c>
      <c r="AY81" s="422"/>
      <c r="AZ81" s="446">
        <f t="shared" si="527"/>
        <v>0</v>
      </c>
      <c r="BA81" s="446">
        <f t="shared" si="528"/>
        <v>47481.299999999988</v>
      </c>
      <c r="BB81" s="56"/>
      <c r="BE81" s="55">
        <f t="shared" si="529"/>
        <v>46087</v>
      </c>
      <c r="BF81" s="422"/>
      <c r="BG81" s="448">
        <f>SUMPRODUCT(PRODUCE!$B92:$DY92,PRODUCE!$EB$13:$IY$13)</f>
        <v>2940</v>
      </c>
      <c r="BH81" s="422">
        <v>2940.9</v>
      </c>
      <c r="BI81" s="448">
        <f t="shared" si="530"/>
        <v>-0.90000000000009095</v>
      </c>
      <c r="BJ81" s="448">
        <f t="shared" si="531"/>
        <v>8209.0000000000036</v>
      </c>
      <c r="BK81" s="56"/>
      <c r="BN81" s="55">
        <f t="shared" si="532"/>
        <v>46087</v>
      </c>
      <c r="BO81" s="422">
        <v>1399.9</v>
      </c>
      <c r="BP81" s="450">
        <f>SUMPRODUCT(PRODUCE!$B92:$DY92,PRODUCE!$EB$14:$IY$14)</f>
        <v>1400</v>
      </c>
      <c r="BQ81" s="422">
        <v>1399.9</v>
      </c>
      <c r="BR81" s="450">
        <f t="shared" si="533"/>
        <v>9.9999999999909051E-2</v>
      </c>
      <c r="BS81" s="450">
        <f t="shared" si="534"/>
        <v>0</v>
      </c>
      <c r="BT81" s="56"/>
      <c r="BW81" s="55">
        <f t="shared" si="535"/>
        <v>46087</v>
      </c>
      <c r="BX81" s="56"/>
      <c r="BY81" s="65">
        <f>SUMPRODUCT(PRODUCE!$B92:$DY92,PRODUCE!$EB$15:$IY$15)</f>
        <v>465.5</v>
      </c>
      <c r="BZ81" s="56"/>
      <c r="CA81" s="65">
        <f t="shared" si="536"/>
        <v>465.5</v>
      </c>
      <c r="CB81" s="65">
        <f t="shared" si="537"/>
        <v>8008</v>
      </c>
      <c r="CC81" s="56"/>
      <c r="CF81" s="55">
        <f t="shared" si="538"/>
        <v>46087</v>
      </c>
      <c r="CG81" s="56"/>
      <c r="CH81" s="66">
        <f>SUMPRODUCT(PRODUCE!$B92:$DY92,PRODUCE!$EB$16:$IY$16)</f>
        <v>700</v>
      </c>
      <c r="CI81" s="56"/>
      <c r="CJ81" s="66">
        <f t="shared" si="539"/>
        <v>700</v>
      </c>
      <c r="CK81" s="66">
        <f t="shared" si="540"/>
        <v>0</v>
      </c>
      <c r="CL81" s="56"/>
      <c r="CO81" s="55">
        <f t="shared" si="541"/>
        <v>46087</v>
      </c>
      <c r="CP81" s="422"/>
      <c r="CQ81" s="470">
        <f>SUMPRODUCT(PRODUCE!$B92:$DY92,PRODUCE!$EB$17:$IY$17)</f>
        <v>0</v>
      </c>
      <c r="CR81" s="422"/>
      <c r="CS81" s="470">
        <f t="shared" si="542"/>
        <v>0</v>
      </c>
      <c r="CT81" s="470">
        <f t="shared" si="543"/>
        <v>0</v>
      </c>
      <c r="CU81" s="56"/>
      <c r="CX81" s="55">
        <f t="shared" si="544"/>
        <v>46087</v>
      </c>
      <c r="CY81" s="56"/>
      <c r="CZ81" s="133">
        <f>SUMPRODUCT(PRODUCE!$B92:$DY92,PRODUCE!$EB$18:$IY$18)</f>
        <v>3500</v>
      </c>
      <c r="DA81" s="56">
        <v>3502.6</v>
      </c>
      <c r="DB81" s="133">
        <f t="shared" si="545"/>
        <v>-2.5999999999999091</v>
      </c>
      <c r="DC81" s="133">
        <f t="shared" si="546"/>
        <v>37556.699999999997</v>
      </c>
      <c r="DD81" s="56"/>
      <c r="DG81" s="55">
        <f t="shared" si="547"/>
        <v>46087</v>
      </c>
      <c r="DH81" s="56"/>
      <c r="DI81" s="147">
        <f>SUMPRODUCT(PRODUCE!$B92:$DY92,PRODUCE!$EB$19:$IY$19)</f>
        <v>2800</v>
      </c>
      <c r="DJ81" s="56">
        <v>2799.8</v>
      </c>
      <c r="DK81" s="147">
        <f t="shared" si="548"/>
        <v>0.1999999999998181</v>
      </c>
      <c r="DL81" s="147">
        <f t="shared" si="549"/>
        <v>709.79999999999563</v>
      </c>
      <c r="DM81" s="56"/>
      <c r="DP81" s="55">
        <f t="shared" si="550"/>
        <v>46087</v>
      </c>
      <c r="DQ81" s="56">
        <v>4850</v>
      </c>
      <c r="DR81" s="57">
        <f>SUMPRODUCT(PRODUCE!$B92:$DY92,PRODUCE!$EB$20:$IY$20)</f>
        <v>0</v>
      </c>
      <c r="DS81" s="56"/>
      <c r="DT81" s="57">
        <f t="shared" si="551"/>
        <v>0</v>
      </c>
      <c r="DU81" s="57">
        <f t="shared" si="552"/>
        <v>7150</v>
      </c>
      <c r="DV81" s="56"/>
      <c r="DY81" s="55">
        <f t="shared" si="553"/>
        <v>46087</v>
      </c>
      <c r="DZ81" s="56"/>
      <c r="EA81" s="157">
        <f>SUMPRODUCT(PRODUCE!$B92:$DY92,PRODUCE!$EB$21:$IY$21)</f>
        <v>0</v>
      </c>
      <c r="EB81" s="56"/>
      <c r="EC81" s="157">
        <f t="shared" si="554"/>
        <v>0</v>
      </c>
      <c r="ED81" s="157">
        <f t="shared" si="555"/>
        <v>5696.8</v>
      </c>
      <c r="EE81" s="56"/>
      <c r="EH81" s="55">
        <f t="shared" si="556"/>
        <v>46087</v>
      </c>
      <c r="EI81" s="56"/>
      <c r="EJ81" s="162">
        <f>SUMPRODUCT(PRODUCE!$B92:$DY92,PRODUCE!$EB$22:$IY$22)</f>
        <v>0</v>
      </c>
      <c r="EK81" s="56"/>
      <c r="EL81" s="162">
        <f t="shared" si="557"/>
        <v>0</v>
      </c>
      <c r="EM81" s="162">
        <f t="shared" si="558"/>
        <v>0</v>
      </c>
      <c r="EN81" s="56"/>
      <c r="EQ81" s="55">
        <f t="shared" si="559"/>
        <v>46087</v>
      </c>
      <c r="ER81" s="56"/>
      <c r="ES81" s="135">
        <f>SUMPRODUCT(PRODUCE!$B92:$DY92,PRODUCE!$EB$23:$IY$23)</f>
        <v>0</v>
      </c>
      <c r="ET81" s="56"/>
      <c r="EU81" s="135">
        <f t="shared" si="560"/>
        <v>0</v>
      </c>
      <c r="EV81" s="135">
        <f t="shared" si="561"/>
        <v>0</v>
      </c>
      <c r="EW81" s="56"/>
      <c r="EZ81" s="55">
        <f t="shared" si="562"/>
        <v>46087</v>
      </c>
      <c r="FA81" s="56"/>
      <c r="FB81" s="175">
        <f>SUMPRODUCT(PRODUCE!$B92:$DY92,PRODUCE!$EB$24:$IY$24)</f>
        <v>0</v>
      </c>
      <c r="FC81" s="56"/>
      <c r="FD81" s="175">
        <f t="shared" si="563"/>
        <v>0</v>
      </c>
      <c r="FE81" s="175">
        <f t="shared" si="564"/>
        <v>0</v>
      </c>
      <c r="FF81" s="56"/>
      <c r="FI81" s="55">
        <f t="shared" si="565"/>
        <v>46087</v>
      </c>
      <c r="FJ81" s="56"/>
      <c r="FK81" s="183">
        <f>SUMPRODUCT(PRODUCE!$B92:$DY92,PRODUCE!$EB$25:$IY$25)</f>
        <v>0</v>
      </c>
      <c r="FL81" s="56"/>
      <c r="FM81" s="183">
        <f t="shared" si="566"/>
        <v>0</v>
      </c>
      <c r="FN81" s="183">
        <f t="shared" si="567"/>
        <v>0</v>
      </c>
      <c r="FO81" s="56"/>
      <c r="FR81" s="55">
        <f t="shared" si="568"/>
        <v>46087</v>
      </c>
      <c r="FS81" s="422"/>
      <c r="FT81" s="452">
        <f>SUMPRODUCT(PRODUCE!$B92:$DY92,PRODUCE!$EB$26:$IY$26)</f>
        <v>0</v>
      </c>
      <c r="FU81" s="422"/>
      <c r="FV81" s="452">
        <f t="shared" si="569"/>
        <v>0</v>
      </c>
      <c r="FW81" s="452">
        <f t="shared" si="570"/>
        <v>300</v>
      </c>
      <c r="FX81" s="56"/>
      <c r="GA81" s="55">
        <f t="shared" si="571"/>
        <v>46087</v>
      </c>
      <c r="GB81" s="422"/>
      <c r="GC81" s="454">
        <f>SUMPRODUCT(PRODUCE!$B92:$DY92,PRODUCE!$EB$27:$IY$27)</f>
        <v>0</v>
      </c>
      <c r="GD81" s="422"/>
      <c r="GE81" s="454">
        <f t="shared" si="572"/>
        <v>0</v>
      </c>
      <c r="GF81" s="454">
        <f t="shared" si="573"/>
        <v>5960</v>
      </c>
      <c r="GG81" s="56"/>
      <c r="GI81" s="23"/>
      <c r="GJ81" s="55">
        <f t="shared" si="574"/>
        <v>46087</v>
      </c>
      <c r="GK81" s="422"/>
      <c r="GL81" s="456">
        <f>SUMPRODUCT(PRODUCE!$B92:$DY92,PRODUCE!$EB$28:$IY$28)</f>
        <v>0</v>
      </c>
      <c r="GM81" s="422"/>
      <c r="GN81" s="456">
        <f t="shared" si="575"/>
        <v>0</v>
      </c>
      <c r="GO81" s="456">
        <f t="shared" si="576"/>
        <v>5240</v>
      </c>
      <c r="GP81" s="56"/>
      <c r="GS81" s="55">
        <f t="shared" si="577"/>
        <v>46087</v>
      </c>
      <c r="GT81" s="56"/>
      <c r="GU81" s="195">
        <f>SUMPRODUCT(PRODUCE!$B92:$DY92,PRODUCE!$EB$29:$IY$29)</f>
        <v>0</v>
      </c>
      <c r="GV81" s="56"/>
      <c r="GW81" s="195">
        <f t="shared" si="578"/>
        <v>0</v>
      </c>
      <c r="GX81" s="195">
        <f t="shared" si="579"/>
        <v>0</v>
      </c>
      <c r="GY81" s="56"/>
      <c r="HB81" s="55">
        <f t="shared" si="580"/>
        <v>46087</v>
      </c>
      <c r="HC81" s="56"/>
      <c r="HD81" s="191">
        <f>SUMPRODUCT(PRODUCE!$B92:$DY92,PRODUCE!$EB$30:$IY$30)</f>
        <v>0</v>
      </c>
      <c r="HE81" s="56"/>
      <c r="HF81" s="191">
        <f t="shared" si="581"/>
        <v>0</v>
      </c>
      <c r="HG81" s="191">
        <f t="shared" si="582"/>
        <v>0</v>
      </c>
      <c r="HH81" s="56"/>
      <c r="HK81" s="55">
        <f t="shared" si="583"/>
        <v>46087</v>
      </c>
      <c r="HL81" s="56"/>
      <c r="HM81" s="63">
        <f>SUMPRODUCT(PRODUCE!$B92:$DY92,PRODUCE!$EB$31:$IY$31)</f>
        <v>0</v>
      </c>
      <c r="HN81" s="56"/>
      <c r="HO81" s="63">
        <f t="shared" si="584"/>
        <v>0</v>
      </c>
      <c r="HP81" s="63">
        <f t="shared" si="585"/>
        <v>0</v>
      </c>
      <c r="HQ81" s="56"/>
      <c r="HU81" s="55">
        <f t="shared" si="586"/>
        <v>46087</v>
      </c>
      <c r="HV81" s="56"/>
      <c r="HW81" s="242">
        <f>SUMPRODUCT(PRODUCE!$B92:$DY92,PRODUCE!$EB$32:$IY$32)</f>
        <v>0</v>
      </c>
      <c r="HX81" s="56"/>
      <c r="HY81" s="242">
        <f t="shared" si="587"/>
        <v>0</v>
      </c>
      <c r="HZ81" s="242">
        <f t="shared" si="588"/>
        <v>5120</v>
      </c>
      <c r="IA81" s="56"/>
      <c r="ID81" s="55">
        <f t="shared" si="589"/>
        <v>46087</v>
      </c>
      <c r="IE81" s="56">
        <f>72*20</f>
        <v>1440</v>
      </c>
      <c r="IF81" s="242">
        <f>SUMPRODUCT(PRODUCE!$B92:$DY92,PRODUCE!$EB$33:$IY$33)</f>
        <v>0</v>
      </c>
      <c r="IG81" s="56"/>
      <c r="IH81" s="242">
        <f t="shared" si="590"/>
        <v>0</v>
      </c>
      <c r="II81" s="242">
        <f t="shared" si="591"/>
        <v>6540</v>
      </c>
      <c r="IJ81" s="56"/>
      <c r="IM81" s="55">
        <f t="shared" si="592"/>
        <v>46087</v>
      </c>
      <c r="IN81" s="56">
        <f>65*20</f>
        <v>1300</v>
      </c>
      <c r="IO81" s="242">
        <f>SUMPRODUCT(PRODUCE!$B92:$DY92,PRODUCE!$EB$34:$IY$34)</f>
        <v>0</v>
      </c>
      <c r="IP81" s="56"/>
      <c r="IQ81" s="242">
        <f t="shared" si="593"/>
        <v>0</v>
      </c>
      <c r="IR81" s="242">
        <f t="shared" si="594"/>
        <v>11540</v>
      </c>
      <c r="IS81" s="56"/>
      <c r="IV81" s="55">
        <f t="shared" si="595"/>
        <v>46087</v>
      </c>
      <c r="IW81" s="56"/>
      <c r="IX81" s="242">
        <f>SUMPRODUCT(PRODUCE!$B92:$DY92,PRODUCE!$EB$35:$IY$35)</f>
        <v>0</v>
      </c>
      <c r="IY81" s="56"/>
      <c r="IZ81" s="242">
        <f t="shared" si="596"/>
        <v>0</v>
      </c>
      <c r="JA81" s="242">
        <f t="shared" si="597"/>
        <v>15120</v>
      </c>
      <c r="JB81" s="56"/>
      <c r="JE81" s="55">
        <f t="shared" si="598"/>
        <v>46087</v>
      </c>
      <c r="JF81" s="56">
        <f>86*20</f>
        <v>1720</v>
      </c>
      <c r="JG81" s="242">
        <f>SUMPRODUCT(PRODUCE!$B92:$DY92,PRODUCE!$EB$36:$IY$36)</f>
        <v>0</v>
      </c>
      <c r="JH81" s="56"/>
      <c r="JI81" s="242">
        <f t="shared" si="599"/>
        <v>0</v>
      </c>
      <c r="JJ81" s="242">
        <f t="shared" si="600"/>
        <v>5040</v>
      </c>
      <c r="JK81" s="56"/>
      <c r="JN81" s="55">
        <f t="shared" si="601"/>
        <v>46087</v>
      </c>
      <c r="JO81" s="56">
        <f>185*20</f>
        <v>3700</v>
      </c>
      <c r="JP81" s="242">
        <f>SUMPRODUCT(PRODUCE!$B92:$DY92,PRODUCE!$EB$37:$IY$37)</f>
        <v>0</v>
      </c>
      <c r="JQ81" s="56"/>
      <c r="JR81" s="242">
        <f t="shared" si="602"/>
        <v>0</v>
      </c>
      <c r="JS81" s="242">
        <f t="shared" si="603"/>
        <v>9100</v>
      </c>
      <c r="JT81" s="56"/>
      <c r="JW81" s="55">
        <f t="shared" si="604"/>
        <v>46087</v>
      </c>
      <c r="JX81" s="56">
        <f>57*20</f>
        <v>1140</v>
      </c>
      <c r="JY81" s="242">
        <f>SUMPRODUCT(PRODUCE!$B92:$DY92,PRODUCE!$EB$38:$IY$38)</f>
        <v>0</v>
      </c>
      <c r="JZ81" s="56"/>
      <c r="KA81" s="242">
        <f t="shared" si="605"/>
        <v>0</v>
      </c>
      <c r="KB81" s="242">
        <f t="shared" si="606"/>
        <v>5140</v>
      </c>
      <c r="KC81" s="56"/>
      <c r="KF81" s="55">
        <f t="shared" si="607"/>
        <v>46087</v>
      </c>
      <c r="KG81" s="56">
        <f>95*19.5</f>
        <v>1852.5</v>
      </c>
      <c r="KH81" s="242">
        <f>SUMPRODUCT(PRODUCE!$B92:$DY92,PRODUCE!$EB$39:$IY$39)</f>
        <v>1365</v>
      </c>
      <c r="KI81" s="56"/>
      <c r="KJ81" s="242">
        <f t="shared" si="608"/>
        <v>1365</v>
      </c>
      <c r="KK81" s="242">
        <f t="shared" si="609"/>
        <v>5284.5</v>
      </c>
      <c r="KL81" s="56"/>
      <c r="KO81" s="55">
        <f t="shared" si="610"/>
        <v>46087</v>
      </c>
      <c r="KP81" s="56">
        <f>48*18.9</f>
        <v>907.19999999999993</v>
      </c>
      <c r="KQ81" s="242">
        <f>SUMPRODUCT(PRODUCE!$B92:$DY92,PRODUCE!$EB$40:$IY$40)</f>
        <v>0</v>
      </c>
      <c r="KR81" s="56"/>
      <c r="KS81" s="242">
        <f t="shared" si="611"/>
        <v>0</v>
      </c>
      <c r="KT81" s="242">
        <f t="shared" si="612"/>
        <v>7446.6</v>
      </c>
      <c r="KU81" s="56"/>
      <c r="KW81" s="23"/>
      <c r="KX81" s="55">
        <f t="shared" si="613"/>
        <v>46087</v>
      </c>
      <c r="KY81" s="56"/>
      <c r="KZ81" s="242">
        <f>SUMPRODUCT(PRODUCE!$B92:$DY92,PRODUCE!$EB$41:$IY$41)</f>
        <v>0</v>
      </c>
      <c r="LA81" s="56"/>
      <c r="LB81" s="242">
        <f t="shared" si="614"/>
        <v>0</v>
      </c>
      <c r="LC81" s="242">
        <f t="shared" si="615"/>
        <v>0</v>
      </c>
      <c r="LD81" s="56"/>
      <c r="LG81" s="55">
        <f t="shared" si="616"/>
        <v>46087</v>
      </c>
      <c r="LH81" s="56"/>
      <c r="LI81" s="242">
        <f>SUMPRODUCT(PRODUCE!$B92:$DY92,PRODUCE!$EB$42:$IY$42)</f>
        <v>0</v>
      </c>
      <c r="LJ81" s="56"/>
      <c r="LK81" s="242">
        <f t="shared" si="617"/>
        <v>0</v>
      </c>
      <c r="LL81" s="242">
        <f t="shared" si="618"/>
        <v>0</v>
      </c>
      <c r="LM81" s="56"/>
      <c r="LP81" s="55">
        <f t="shared" si="619"/>
        <v>46087</v>
      </c>
      <c r="LQ81" s="56"/>
      <c r="LR81" s="242">
        <f>SUMPRODUCT(PRODUCE!$B96:$DY96,PRODUCE!$EB$43:$IY$43)</f>
        <v>0</v>
      </c>
      <c r="LS81" s="56"/>
      <c r="LT81" s="242">
        <f t="shared" si="620"/>
        <v>0</v>
      </c>
      <c r="LU81" s="242">
        <f t="shared" si="621"/>
        <v>0</v>
      </c>
      <c r="LV81" s="56"/>
      <c r="LY81" s="55">
        <f t="shared" si="622"/>
        <v>46087</v>
      </c>
      <c r="LZ81" s="56"/>
      <c r="MA81" s="242">
        <f>SUMPRODUCT(PRODUCE!$B92:$DY92,PRODUCE!$EB$44:$IY$44)</f>
        <v>0</v>
      </c>
      <c r="MB81" s="56"/>
      <c r="MC81" s="242">
        <f t="shared" si="623"/>
        <v>0</v>
      </c>
      <c r="MD81" s="242">
        <f t="shared" si="624"/>
        <v>0</v>
      </c>
      <c r="ME81" s="56"/>
      <c r="MH81" s="55">
        <f t="shared" si="625"/>
        <v>46087</v>
      </c>
      <c r="MI81" s="56"/>
      <c r="MJ81" s="242">
        <f>SUMPRODUCT(PRODUCE!$B92:$DY92,PRODUCE!$EB$45:$IY$45)</f>
        <v>0</v>
      </c>
      <c r="MK81" s="56"/>
      <c r="ML81" s="242">
        <f t="shared" si="626"/>
        <v>0</v>
      </c>
      <c r="MM81" s="242">
        <f t="shared" si="627"/>
        <v>0</v>
      </c>
      <c r="MN81" s="56"/>
      <c r="MQ81" s="55">
        <f t="shared" si="628"/>
        <v>46087</v>
      </c>
      <c r="MR81" s="56"/>
      <c r="MS81" s="242">
        <f>SUMPRODUCT(PRODUCE!$B92:$DY92,PRODUCE!$EB$46:$IY$46)</f>
        <v>140</v>
      </c>
      <c r="MT81" s="56"/>
      <c r="MU81" s="242">
        <f t="shared" si="629"/>
        <v>140</v>
      </c>
      <c r="MV81" s="242">
        <f t="shared" si="630"/>
        <v>4123</v>
      </c>
      <c r="MW81" s="56"/>
      <c r="MZ81" s="55">
        <f t="shared" si="631"/>
        <v>46087</v>
      </c>
      <c r="NA81" s="56"/>
      <c r="NB81" s="242">
        <f>SUMPRODUCT(PRODUCE!$B92:$DY92,PRODUCE!$EB$47:$IY$47)</f>
        <v>210</v>
      </c>
      <c r="NC81" s="56"/>
      <c r="ND81" s="242">
        <f t="shared" si="632"/>
        <v>210</v>
      </c>
      <c r="NE81" s="242">
        <f t="shared" si="633"/>
        <v>0</v>
      </c>
      <c r="NF81" s="56"/>
      <c r="NI81" s="55">
        <f t="shared" si="634"/>
        <v>46087</v>
      </c>
      <c r="NJ81" s="56"/>
      <c r="NK81" s="242">
        <f>SUMPRODUCT(PRODUCE!$B92:$DY92,PRODUCE!$EB$48:$IY$48)</f>
        <v>0</v>
      </c>
      <c r="NL81" s="56"/>
      <c r="NM81" s="242">
        <f t="shared" si="635"/>
        <v>0</v>
      </c>
      <c r="NN81" s="242">
        <f t="shared" si="636"/>
        <v>0</v>
      </c>
      <c r="NO81" s="56"/>
      <c r="NR81" s="55">
        <f t="shared" si="637"/>
        <v>46087</v>
      </c>
      <c r="NS81" s="56"/>
      <c r="NT81" s="242">
        <f>SUMPRODUCT(PRODUCE!$B92:$DY92,PRODUCE!$EB$49:$IY$49)</f>
        <v>84</v>
      </c>
      <c r="NU81" s="56"/>
      <c r="NV81" s="242">
        <f t="shared" si="638"/>
        <v>84</v>
      </c>
      <c r="NW81" s="242">
        <f t="shared" si="639"/>
        <v>1947.7</v>
      </c>
      <c r="NX81" s="56"/>
      <c r="OA81" s="55">
        <f t="shared" si="640"/>
        <v>46087</v>
      </c>
      <c r="OB81" s="56"/>
      <c r="OC81" s="242">
        <f>SUMPRODUCT(PRODUCE!$B92:$DY92,PRODUCE!$EB$50:$IY$50)</f>
        <v>0</v>
      </c>
      <c r="OD81" s="56"/>
      <c r="OE81" s="242">
        <f t="shared" si="641"/>
        <v>0</v>
      </c>
      <c r="OF81" s="242">
        <f t="shared" si="642"/>
        <v>1680.5</v>
      </c>
      <c r="OG81" s="56"/>
      <c r="OJ81" s="55">
        <f t="shared" si="643"/>
        <v>46087</v>
      </c>
      <c r="OK81" s="56"/>
      <c r="OL81" s="242">
        <f>SUMPRODUCT(PRODUCE!$B92:$DY92,PRODUCE!$EB$51:$IY$51)</f>
        <v>195.99999999999994</v>
      </c>
      <c r="OM81" s="56"/>
      <c r="ON81" s="242">
        <f t="shared" si="644"/>
        <v>195.99999999999994</v>
      </c>
      <c r="OO81" s="242">
        <f t="shared" si="645"/>
        <v>0</v>
      </c>
      <c r="OP81" s="56"/>
      <c r="OS81" s="55">
        <f t="shared" si="646"/>
        <v>46087</v>
      </c>
      <c r="OT81" s="56"/>
      <c r="OU81" s="242">
        <f>SUMPRODUCT(PRODUCE!$B92:$DY92,PRODUCE!$EB$52:$IY$52)</f>
        <v>0</v>
      </c>
      <c r="OV81" s="56"/>
      <c r="OW81" s="242">
        <f t="shared" si="647"/>
        <v>0</v>
      </c>
      <c r="OX81" s="242">
        <f t="shared" si="648"/>
        <v>0</v>
      </c>
      <c r="OY81" s="56"/>
      <c r="PB81" s="55">
        <f t="shared" si="649"/>
        <v>46087</v>
      </c>
      <c r="PC81" s="56"/>
      <c r="PD81" s="242">
        <f>SUMPRODUCT(PRODUCE!$B92:$DY92,PRODUCE!$EB$53:$IY$53)</f>
        <v>0</v>
      </c>
      <c r="PE81" s="56"/>
      <c r="PF81" s="242">
        <f t="shared" si="650"/>
        <v>0</v>
      </c>
      <c r="PG81" s="242">
        <f t="shared" si="651"/>
        <v>0</v>
      </c>
      <c r="PH81" s="56"/>
      <c r="PK81" s="55">
        <f t="shared" si="652"/>
        <v>46087</v>
      </c>
      <c r="PL81" s="56"/>
      <c r="PM81" s="242">
        <f>SUMPRODUCT(PRODUCE!$B92:$DY92,PRODUCE!$EB$54:$IY$54)</f>
        <v>0</v>
      </c>
      <c r="PN81" s="56"/>
      <c r="PO81" s="242">
        <f t="shared" si="653"/>
        <v>0</v>
      </c>
      <c r="PP81" s="242">
        <f t="shared" si="654"/>
        <v>100</v>
      </c>
      <c r="PQ81" s="56"/>
      <c r="PT81" s="55">
        <f t="shared" si="655"/>
        <v>46087</v>
      </c>
      <c r="PU81" s="56"/>
      <c r="PV81" s="242">
        <f>SUMPRODUCT(PRODUCE!$B92:$DY92,PRODUCE!$EB$55:$IY$55)</f>
        <v>0</v>
      </c>
      <c r="PW81" s="56"/>
      <c r="PX81" s="242">
        <f t="shared" si="656"/>
        <v>0</v>
      </c>
      <c r="PY81" s="242">
        <f t="shared" si="657"/>
        <v>13.960000000000036</v>
      </c>
      <c r="PZ81" s="56"/>
      <c r="QC81" s="55">
        <f t="shared" si="658"/>
        <v>46087</v>
      </c>
      <c r="QD81" s="56"/>
      <c r="QE81" s="242">
        <f>SUMPRODUCT(PRODUCE!$B92:$DY92,PRODUCE!$EB$56:$IY$56)</f>
        <v>0</v>
      </c>
      <c r="QF81" s="56"/>
      <c r="QG81" s="242">
        <f t="shared" si="659"/>
        <v>0</v>
      </c>
      <c r="QH81" s="242">
        <f t="shared" si="660"/>
        <v>1212</v>
      </c>
      <c r="QI81" s="56"/>
      <c r="QL81" s="55">
        <f t="shared" si="661"/>
        <v>46087</v>
      </c>
      <c r="QM81" s="56"/>
      <c r="QN81" s="242">
        <f>SUMPRODUCT(PRODUCE!$B92:$DY92,PRODUCE!$EB$57:$IY$57)</f>
        <v>0</v>
      </c>
      <c r="QO81" s="56"/>
      <c r="QP81" s="242">
        <f t="shared" si="662"/>
        <v>0</v>
      </c>
      <c r="QQ81" s="242">
        <f t="shared" si="663"/>
        <v>0</v>
      </c>
      <c r="QR81" s="56"/>
      <c r="QU81" s="55">
        <f t="shared" si="664"/>
        <v>46087</v>
      </c>
      <c r="QV81" s="56"/>
      <c r="QW81" s="242">
        <f>SUMPRODUCT(PRODUCE!$B92:$DY92,PRODUCE!$EB$57:$IY$57)</f>
        <v>0</v>
      </c>
      <c r="QX81" s="56"/>
      <c r="QY81" s="242">
        <f t="shared" si="665"/>
        <v>0</v>
      </c>
      <c r="QZ81" s="242">
        <f t="shared" si="666"/>
        <v>207.6</v>
      </c>
      <c r="RA81" s="56"/>
      <c r="RD81" s="55">
        <f t="shared" si="667"/>
        <v>46087</v>
      </c>
      <c r="RE81" s="56"/>
      <c r="RF81" s="242">
        <f>SUMPRODUCT(PRODUCE!$B92:$DY92,PRODUCE!$EB$58:$IY$58)</f>
        <v>0</v>
      </c>
      <c r="RG81" s="56"/>
      <c r="RH81" s="242">
        <f t="shared" si="668"/>
        <v>0</v>
      </c>
      <c r="RI81" s="242">
        <f t="shared" si="669"/>
        <v>197.04000000000002</v>
      </c>
      <c r="RJ81" s="56"/>
      <c r="RM81" s="55">
        <f t="shared" si="670"/>
        <v>46087</v>
      </c>
      <c r="RN81" s="56"/>
      <c r="RO81" s="242">
        <f>SUMPRODUCT(PRODUCE!$B92:$DY92,PRODUCE!$EB$57:$IY$57)</f>
        <v>0</v>
      </c>
      <c r="RP81" s="56"/>
      <c r="RQ81" s="242">
        <f t="shared" si="671"/>
        <v>0</v>
      </c>
      <c r="RR81" s="242">
        <f t="shared" si="672"/>
        <v>46.8</v>
      </c>
      <c r="RS81" s="56"/>
      <c r="RV81" s="55">
        <f t="shared" si="673"/>
        <v>46087</v>
      </c>
      <c r="RW81" s="56"/>
      <c r="RX81" s="242">
        <f>SUMPRODUCT(PRODUCE!$B92:$DY92,PRODUCE!$EB$57:$IY$57)</f>
        <v>0</v>
      </c>
      <c r="RY81" s="56"/>
      <c r="RZ81" s="242">
        <f t="shared" si="674"/>
        <v>0</v>
      </c>
      <c r="SA81" s="242">
        <f t="shared" si="675"/>
        <v>0</v>
      </c>
      <c r="SB81" s="56"/>
      <c r="SE81" s="55">
        <f t="shared" si="676"/>
        <v>46087</v>
      </c>
      <c r="SF81" s="56"/>
      <c r="SG81" s="242">
        <f>SUMPRODUCT(PRODUCE!$B92:$DY92,PRODUCE!$EB$57:$IY$57)</f>
        <v>0</v>
      </c>
      <c r="SH81" s="56"/>
      <c r="SI81" s="242">
        <f t="shared" si="677"/>
        <v>0</v>
      </c>
      <c r="SJ81" s="242">
        <f t="shared" si="678"/>
        <v>0</v>
      </c>
      <c r="SK81" s="56"/>
      <c r="SN81" s="55">
        <f t="shared" si="679"/>
        <v>46087</v>
      </c>
      <c r="SO81" s="56"/>
      <c r="SP81" s="242">
        <f>SUMPRODUCT(PRODUCE!$B92:$DY92,PRODUCE!$EB$57:$IY$57)</f>
        <v>0</v>
      </c>
      <c r="SQ81" s="56"/>
      <c r="SR81" s="242">
        <f t="shared" si="680"/>
        <v>0</v>
      </c>
      <c r="SS81" s="242">
        <f t="shared" si="681"/>
        <v>0</v>
      </c>
      <c r="ST81" s="56"/>
      <c r="SW81" s="55">
        <f t="shared" si="682"/>
        <v>46087</v>
      </c>
      <c r="SX81" s="56"/>
      <c r="SY81" s="242">
        <f>SUMPRODUCT(PRODUCE!$B92:$DY92,PRODUCE!$EB$57:$IY$57)</f>
        <v>0</v>
      </c>
      <c r="SZ81" s="56"/>
      <c r="TA81" s="242">
        <f t="shared" si="683"/>
        <v>0</v>
      </c>
      <c r="TB81" s="242">
        <f t="shared" si="684"/>
        <v>0</v>
      </c>
      <c r="TC81" s="56"/>
      <c r="TF81" s="55">
        <f t="shared" si="685"/>
        <v>46087</v>
      </c>
      <c r="TG81" s="56"/>
      <c r="TH81" s="242">
        <f>SUMPRODUCT(PRODUCE!$B92:$DY92,PRODUCE!$EB$57:$IY$57)</f>
        <v>0</v>
      </c>
      <c r="TI81" s="56"/>
      <c r="TJ81" s="242">
        <f t="shared" si="686"/>
        <v>0</v>
      </c>
      <c r="TK81" s="242">
        <f t="shared" si="687"/>
        <v>0</v>
      </c>
      <c r="TL81" s="56"/>
      <c r="TO81" s="55">
        <f t="shared" si="688"/>
        <v>46087</v>
      </c>
      <c r="TP81" s="56"/>
      <c r="TQ81" s="242">
        <f>SUMPRODUCT(PRODUCE!$B92:$DY92,PRODUCE!$EB$57:$IY$57)</f>
        <v>0</v>
      </c>
      <c r="TR81" s="56"/>
      <c r="TS81" s="242">
        <f t="shared" si="689"/>
        <v>0</v>
      </c>
      <c r="TT81" s="242">
        <f t="shared" si="690"/>
        <v>0</v>
      </c>
      <c r="TU81" s="56"/>
      <c r="TX81" s="55">
        <f t="shared" si="691"/>
        <v>46087</v>
      </c>
      <c r="TY81" s="56"/>
      <c r="TZ81" s="242">
        <f>SUMPRODUCT(PRODUCE!$B92:$DY92,PRODUCE!$EB$57:$IY$57)</f>
        <v>0</v>
      </c>
      <c r="UA81" s="56"/>
      <c r="UB81" s="242">
        <f t="shared" si="692"/>
        <v>0</v>
      </c>
      <c r="UC81" s="242">
        <f t="shared" si="693"/>
        <v>0</v>
      </c>
      <c r="UD81" s="56"/>
      <c r="UG81" s="55">
        <f t="shared" si="694"/>
        <v>46087</v>
      </c>
      <c r="UH81" s="56"/>
      <c r="UI81" s="242">
        <f>SUMPRODUCT(PRODUCE!$B92:$DY92,PRODUCE!$EB$57:$IY$57)</f>
        <v>0</v>
      </c>
      <c r="UJ81" s="56"/>
      <c r="UK81" s="242">
        <f t="shared" si="695"/>
        <v>0</v>
      </c>
      <c r="UL81" s="242">
        <f t="shared" si="696"/>
        <v>0</v>
      </c>
      <c r="UM81" s="56"/>
      <c r="UP81" s="55">
        <f t="shared" si="697"/>
        <v>46087</v>
      </c>
      <c r="UQ81" s="56"/>
      <c r="UR81" s="242">
        <f>SUMPRODUCT(PRODUCE!$B92:$DY92,PRODUCE!$EB$57:$IY$57)</f>
        <v>0</v>
      </c>
      <c r="US81" s="56"/>
      <c r="UT81" s="242">
        <f t="shared" si="698"/>
        <v>0</v>
      </c>
      <c r="UU81" s="242">
        <f t="shared" si="699"/>
        <v>0</v>
      </c>
      <c r="UV81" s="56"/>
      <c r="UY81" s="55">
        <f t="shared" si="700"/>
        <v>46087</v>
      </c>
      <c r="UZ81" s="56"/>
      <c r="VA81" s="242">
        <f>SUMPRODUCT(PRODUCE!$B92:$DY92,PRODUCE!$EB$57:$IY$57)</f>
        <v>0</v>
      </c>
      <c r="VB81" s="56"/>
      <c r="VC81" s="242">
        <f t="shared" si="701"/>
        <v>0</v>
      </c>
      <c r="VD81" s="242">
        <f t="shared" si="702"/>
        <v>41.600000000000023</v>
      </c>
      <c r="VE81" s="56"/>
      <c r="VH81" s="55">
        <f t="shared" si="703"/>
        <v>46087</v>
      </c>
      <c r="VI81" s="56"/>
      <c r="VJ81" s="242">
        <f>SUMPRODUCT(PRODUCE!$B92:$DY92,PRODUCE!$EB$57:$IY$57)</f>
        <v>0</v>
      </c>
      <c r="VK81" s="56"/>
      <c r="VL81" s="242">
        <f t="shared" si="704"/>
        <v>0</v>
      </c>
      <c r="VM81" s="242">
        <f t="shared" si="705"/>
        <v>0</v>
      </c>
      <c r="VN81" s="56"/>
      <c r="VQ81" s="55">
        <f t="shared" si="706"/>
        <v>46087</v>
      </c>
      <c r="VR81" s="56"/>
      <c r="VS81" s="242">
        <f>SUMPRODUCT(PRODUCE!$B92:$DY92,PRODUCE!$EB$57:$IY$57)</f>
        <v>0</v>
      </c>
      <c r="VT81" s="56"/>
      <c r="VU81" s="242">
        <f t="shared" si="707"/>
        <v>0</v>
      </c>
      <c r="VV81" s="242">
        <f t="shared" si="708"/>
        <v>0</v>
      </c>
      <c r="VW81" s="56"/>
      <c r="VZ81" s="55">
        <f t="shared" si="709"/>
        <v>46087</v>
      </c>
      <c r="WA81" s="56"/>
      <c r="WB81" s="242">
        <f>SUMPRODUCT(PRODUCE!$B92:$DY92,PRODUCE!$EB$57:$IY$57)</f>
        <v>0</v>
      </c>
      <c r="WC81" s="56"/>
      <c r="WD81" s="242">
        <f t="shared" si="710"/>
        <v>0</v>
      </c>
      <c r="WE81" s="242">
        <f t="shared" si="711"/>
        <v>0</v>
      </c>
      <c r="WF81" s="56"/>
      <c r="WI81" s="55">
        <f t="shared" si="712"/>
        <v>46087</v>
      </c>
      <c r="WJ81" s="56"/>
      <c r="WK81" s="242">
        <f>SUMPRODUCT(PRODUCE!$B92:$DY92,PRODUCE!$EB$57:$IY$57)</f>
        <v>0</v>
      </c>
      <c r="WL81" s="56"/>
      <c r="WM81" s="242">
        <f t="shared" si="713"/>
        <v>0</v>
      </c>
      <c r="WN81" s="242">
        <f t="shared" si="714"/>
        <v>6303</v>
      </c>
      <c r="WO81" s="56"/>
      <c r="WR81" s="55">
        <f t="shared" si="715"/>
        <v>46087</v>
      </c>
      <c r="WS81" s="56"/>
      <c r="WT81" s="242">
        <f>SUMPRODUCT(PRODUCE!$B92:$DY92,PRODUCE!$EB$57:$IY$57)</f>
        <v>0</v>
      </c>
      <c r="WU81" s="56"/>
      <c r="WV81" s="242">
        <f t="shared" si="716"/>
        <v>0</v>
      </c>
      <c r="WW81" s="242">
        <f t="shared" si="717"/>
        <v>6559</v>
      </c>
      <c r="WX81" s="56"/>
      <c r="XA81" s="55">
        <f t="shared" si="718"/>
        <v>46087</v>
      </c>
      <c r="XB81" s="56"/>
      <c r="XC81" s="242">
        <f>SUMPRODUCT(PRODUCE!$B92:$DY92,PRODUCE!$EB$57:$IY$57)</f>
        <v>0</v>
      </c>
      <c r="XD81" s="56"/>
      <c r="XE81" s="242">
        <f t="shared" si="719"/>
        <v>0</v>
      </c>
      <c r="XF81" s="242">
        <f t="shared" si="720"/>
        <v>590</v>
      </c>
      <c r="XG81" s="56"/>
      <c r="XJ81" s="55">
        <f t="shared" si="721"/>
        <v>46087</v>
      </c>
      <c r="XK81" s="56"/>
      <c r="XL81" s="242">
        <f>SUMPRODUCT(PRODUCE!$B92:$DY92,PRODUCE!$EB$57:$IY$57)</f>
        <v>0</v>
      </c>
      <c r="XM81" s="56"/>
      <c r="XN81" s="242">
        <f t="shared" si="722"/>
        <v>0</v>
      </c>
      <c r="XO81" s="242">
        <f t="shared" si="723"/>
        <v>2124</v>
      </c>
      <c r="XP81" s="56"/>
      <c r="XS81" s="55">
        <f t="shared" si="724"/>
        <v>46087</v>
      </c>
      <c r="XT81" s="56"/>
      <c r="XU81" s="242">
        <f>SUMPRODUCT(PRODUCE!$B92:$DY92,PRODUCE!$EB$57:$IY$57)</f>
        <v>0</v>
      </c>
      <c r="XV81" s="56"/>
      <c r="XW81" s="242">
        <f t="shared" si="725"/>
        <v>0</v>
      </c>
      <c r="XX81" s="242">
        <f t="shared" si="726"/>
        <v>1901</v>
      </c>
      <c r="XY81" s="56"/>
      <c r="YB81" s="55">
        <f t="shared" si="727"/>
        <v>46087</v>
      </c>
      <c r="YC81" s="56"/>
      <c r="YD81" s="242">
        <f>SUMPRODUCT(PRODUCE!$B92:$DY92,PRODUCE!$EB$57:$IY$57)</f>
        <v>0</v>
      </c>
      <c r="YE81" s="56"/>
      <c r="YF81" s="242">
        <f t="shared" si="728"/>
        <v>0</v>
      </c>
      <c r="YG81" s="242">
        <f t="shared" si="729"/>
        <v>0</v>
      </c>
      <c r="YH81" s="56"/>
      <c r="YK81" s="55">
        <f t="shared" si="730"/>
        <v>46087</v>
      </c>
      <c r="YL81" s="56"/>
      <c r="YM81" s="242">
        <f>SUMPRODUCT(PRODUCE!$B92:$DY92,PRODUCE!$EB$57:$IY$57)</f>
        <v>0</v>
      </c>
      <c r="YN81" s="56"/>
      <c r="YO81" s="242">
        <f t="shared" si="731"/>
        <v>0</v>
      </c>
      <c r="YP81" s="242">
        <f t="shared" si="732"/>
        <v>0</v>
      </c>
      <c r="YQ81" s="56"/>
      <c r="YT81" s="55">
        <f t="shared" si="733"/>
        <v>46087</v>
      </c>
      <c r="YU81" s="56"/>
      <c r="YV81" s="242">
        <f>SUMPRODUCT(PRODUCE!$B92:$DY92,PRODUCE!$EB$57:$IY$57)</f>
        <v>0</v>
      </c>
      <c r="YW81" s="56"/>
      <c r="YX81" s="242">
        <f t="shared" si="734"/>
        <v>0</v>
      </c>
      <c r="YY81" s="242">
        <f t="shared" si="735"/>
        <v>0</v>
      </c>
      <c r="YZ81" s="56"/>
      <c r="ZC81" s="55">
        <f t="shared" si="736"/>
        <v>46087</v>
      </c>
      <c r="ZD81" s="56"/>
      <c r="ZE81" s="242">
        <f>SUMPRODUCT(PRODUCE!$B92:$DY92,PRODUCE!$EB$57:$IY$57)</f>
        <v>0</v>
      </c>
      <c r="ZF81" s="56"/>
      <c r="ZG81" s="242">
        <f t="shared" si="737"/>
        <v>0</v>
      </c>
      <c r="ZH81" s="242">
        <f t="shared" si="738"/>
        <v>0</v>
      </c>
      <c r="ZI81" s="56"/>
      <c r="ZL81" s="55">
        <f t="shared" si="739"/>
        <v>46087</v>
      </c>
      <c r="ZM81" s="56"/>
      <c r="ZN81" s="242">
        <f>SUMPRODUCT(PRODUCE!$B92:$DY92,PRODUCE!$EB$57:$IY$57)</f>
        <v>0</v>
      </c>
      <c r="ZO81" s="56"/>
      <c r="ZP81" s="242">
        <f t="shared" si="740"/>
        <v>0</v>
      </c>
      <c r="ZQ81" s="242">
        <f t="shared" si="741"/>
        <v>0</v>
      </c>
      <c r="ZR81" s="56"/>
      <c r="ZU81" s="55">
        <f t="shared" si="742"/>
        <v>46087</v>
      </c>
      <c r="ZV81" s="56"/>
      <c r="ZW81" s="242">
        <f>SUMPRODUCT(PRODUCE!$B92:$DY92,PRODUCE!$EB$57:$IY$57)</f>
        <v>0</v>
      </c>
      <c r="ZX81" s="56"/>
      <c r="ZY81" s="242">
        <f t="shared" si="743"/>
        <v>0</v>
      </c>
      <c r="ZZ81" s="242">
        <f t="shared" si="744"/>
        <v>0</v>
      </c>
      <c r="AAA81" s="56"/>
      <c r="AAD81" s="55">
        <f t="shared" si="745"/>
        <v>46087</v>
      </c>
      <c r="AAE81" s="56"/>
      <c r="AAF81" s="242">
        <f>SUMPRODUCT(PRODUCE!$B92:$DY92,PRODUCE!$EB$57:$IY$57)</f>
        <v>0</v>
      </c>
      <c r="AAG81" s="56"/>
      <c r="AAH81" s="242">
        <f t="shared" si="746"/>
        <v>0</v>
      </c>
      <c r="AAI81" s="242">
        <f t="shared" si="747"/>
        <v>0</v>
      </c>
      <c r="AAJ81" s="56"/>
      <c r="AAM81" s="55">
        <f t="shared" si="748"/>
        <v>46087</v>
      </c>
      <c r="AAN81" s="56"/>
      <c r="AAO81" s="242">
        <f>SUMPRODUCT(PRODUCE!$B92:$DY92,PRODUCE!$EB$57:$IY$57)</f>
        <v>0</v>
      </c>
      <c r="AAP81" s="56"/>
      <c r="AAQ81" s="242">
        <f t="shared" si="749"/>
        <v>0</v>
      </c>
      <c r="AAR81" s="242">
        <f t="shared" si="750"/>
        <v>0</v>
      </c>
      <c r="AAS81" s="56"/>
      <c r="AAV81" s="55">
        <f t="shared" si="751"/>
        <v>46087</v>
      </c>
      <c r="AAW81" s="56"/>
      <c r="AAX81" s="242">
        <f>SUMPRODUCT(PRODUCE!$B92:$DY92,PRODUCE!$EB$57:$IY$57)</f>
        <v>0</v>
      </c>
      <c r="AAY81" s="56"/>
      <c r="AAZ81" s="242">
        <f t="shared" si="752"/>
        <v>0</v>
      </c>
      <c r="ABA81" s="242">
        <f t="shared" si="753"/>
        <v>0</v>
      </c>
      <c r="ABB81" s="56"/>
      <c r="ABE81" s="55">
        <f t="shared" si="754"/>
        <v>46087</v>
      </c>
      <c r="ABF81" s="56"/>
      <c r="ABG81" s="242">
        <f>SUMPRODUCT(PRODUCE!$B92:$DY92,PRODUCE!$EB$57:$IY$57)</f>
        <v>0</v>
      </c>
      <c r="ABH81" s="56"/>
      <c r="ABI81" s="242">
        <f t="shared" si="755"/>
        <v>0</v>
      </c>
      <c r="ABJ81" s="242">
        <f t="shared" si="756"/>
        <v>0</v>
      </c>
      <c r="ABK81" s="56"/>
    </row>
    <row r="82" spans="2:739" s="54" customFormat="1" ht="15" customHeight="1" outlineLevel="1">
      <c r="B82" s="478">
        <f>4+16+14+30</f>
        <v>64</v>
      </c>
      <c r="C82" s="55">
        <v>46088</v>
      </c>
      <c r="D82" s="422">
        <v>13600</v>
      </c>
      <c r="E82" s="423">
        <f>SUMPRODUCT(PRODUCE!$B93:$DY93,PRODUCE!$EB$7:$IY$7)</f>
        <v>35615.4</v>
      </c>
      <c r="F82" s="422">
        <v>35622.400000000001</v>
      </c>
      <c r="G82" s="423">
        <f t="shared" si="514"/>
        <v>-7</v>
      </c>
      <c r="H82" s="423">
        <f t="shared" si="512"/>
        <v>79091</v>
      </c>
      <c r="I82" s="289" t="s">
        <v>220</v>
      </c>
      <c r="L82" s="55">
        <f t="shared" si="513"/>
        <v>46088</v>
      </c>
      <c r="M82" s="422">
        <v>24680</v>
      </c>
      <c r="N82" s="438">
        <f>SUMPRODUCT(PRODUCE!$B93:$DY93,PRODUCE!$EB$8:$IY$8)</f>
        <v>15751.5</v>
      </c>
      <c r="O82" s="422">
        <v>15752.8</v>
      </c>
      <c r="P82" s="438">
        <f t="shared" si="515"/>
        <v>-1.2999999999992724</v>
      </c>
      <c r="Q82" s="438">
        <f t="shared" si="516"/>
        <v>15410.400000000034</v>
      </c>
      <c r="R82" s="56"/>
      <c r="U82" s="55">
        <f t="shared" si="517"/>
        <v>46088</v>
      </c>
      <c r="V82" s="422"/>
      <c r="W82" s="440">
        <f>SUMPRODUCT(PRODUCE!$B93:$DY93,PRODUCE!$EB$9:$IY$9)</f>
        <v>2794</v>
      </c>
      <c r="X82" s="422">
        <v>2794.4</v>
      </c>
      <c r="Y82" s="440">
        <f t="shared" si="518"/>
        <v>-0.40000000000009095</v>
      </c>
      <c r="Z82" s="440">
        <f t="shared" si="519"/>
        <v>45735.999999999978</v>
      </c>
      <c r="AA82" s="56"/>
      <c r="AD82" s="55">
        <f t="shared" si="520"/>
        <v>46088</v>
      </c>
      <c r="AE82" s="422"/>
      <c r="AF82" s="442">
        <f>SUMPRODUCT(PRODUCE!$B93:$DY93,PRODUCE!$EB$10:$IY$10)</f>
        <v>2444</v>
      </c>
      <c r="AG82" s="422">
        <v>2445.5</v>
      </c>
      <c r="AH82" s="442">
        <f t="shared" si="521"/>
        <v>-1.5</v>
      </c>
      <c r="AI82" s="442">
        <f t="shared" si="522"/>
        <v>26517.800000000017</v>
      </c>
      <c r="AJ82" s="56"/>
      <c r="AM82" s="55">
        <f t="shared" si="523"/>
        <v>46088</v>
      </c>
      <c r="AN82" s="422"/>
      <c r="AO82" s="444">
        <f>SUMPRODUCT(PRODUCE!$B93:$DY93,PRODUCE!$EB$11:$IY$11)</f>
        <v>0</v>
      </c>
      <c r="AP82" s="422"/>
      <c r="AQ82" s="444">
        <f t="shared" si="524"/>
        <v>0</v>
      </c>
      <c r="AR82" s="444">
        <f t="shared" si="525"/>
        <v>0</v>
      </c>
      <c r="AS82" s="56"/>
      <c r="AV82" s="55">
        <f t="shared" si="526"/>
        <v>46088</v>
      </c>
      <c r="AW82" s="422"/>
      <c r="AX82" s="446">
        <f>SUMPRODUCT(PRODUCE!$B93:$DY93,PRODUCE!$EB$12:$IY$12)</f>
        <v>580</v>
      </c>
      <c r="AY82" s="422">
        <v>580.1</v>
      </c>
      <c r="AZ82" s="446">
        <f t="shared" si="527"/>
        <v>-0.10000000000002274</v>
      </c>
      <c r="BA82" s="446">
        <f t="shared" si="528"/>
        <v>46901.19999999999</v>
      </c>
      <c r="BB82" s="56"/>
      <c r="BE82" s="55">
        <f t="shared" si="529"/>
        <v>46088</v>
      </c>
      <c r="BF82" s="422"/>
      <c r="BG82" s="448">
        <f>SUMPRODUCT(PRODUCE!$B93:$DY93,PRODUCE!$EB$13:$IY$13)</f>
        <v>1638</v>
      </c>
      <c r="BH82" s="422">
        <v>1639.4</v>
      </c>
      <c r="BI82" s="448">
        <f t="shared" si="530"/>
        <v>-1.4000000000000909</v>
      </c>
      <c r="BJ82" s="448">
        <f t="shared" si="531"/>
        <v>6569.600000000004</v>
      </c>
      <c r="BK82" s="56"/>
      <c r="BN82" s="55">
        <f t="shared" si="532"/>
        <v>46088</v>
      </c>
      <c r="BO82" s="422">
        <v>1421.9</v>
      </c>
      <c r="BP82" s="450">
        <f>SUMPRODUCT(PRODUCE!$B93:$DY93,PRODUCE!$EB$14:$IY$14)</f>
        <v>1422</v>
      </c>
      <c r="BQ82" s="422">
        <v>1421.9</v>
      </c>
      <c r="BR82" s="450">
        <f t="shared" si="533"/>
        <v>9.9999999999909051E-2</v>
      </c>
      <c r="BS82" s="450">
        <f t="shared" si="534"/>
        <v>0</v>
      </c>
      <c r="BT82" s="56"/>
      <c r="BW82" s="55">
        <f t="shared" si="535"/>
        <v>46088</v>
      </c>
      <c r="BX82" s="56"/>
      <c r="BY82" s="65">
        <f>SUMPRODUCT(PRODUCE!$B93:$DY93,PRODUCE!$EB$15:$IY$15)</f>
        <v>146.10000000000002</v>
      </c>
      <c r="BZ82" s="56">
        <v>3178.2</v>
      </c>
      <c r="CA82" s="65">
        <f t="shared" si="536"/>
        <v>-3032.1</v>
      </c>
      <c r="CB82" s="65">
        <f t="shared" si="537"/>
        <v>4829.8</v>
      </c>
      <c r="CC82" s="56">
        <f>1672+90+67.5+491.2+858</f>
        <v>3178.7</v>
      </c>
      <c r="CD82" s="547">
        <f>CC82-BZ82</f>
        <v>0.5</v>
      </c>
      <c r="CF82" s="55">
        <f t="shared" si="538"/>
        <v>46088</v>
      </c>
      <c r="CG82" s="56"/>
      <c r="CH82" s="66">
        <f>SUMPRODUCT(PRODUCE!$B93:$DY93,PRODUCE!$EB$16:$IY$16)</f>
        <v>346.6</v>
      </c>
      <c r="CI82" s="56"/>
      <c r="CJ82" s="66">
        <f t="shared" si="539"/>
        <v>346.6</v>
      </c>
      <c r="CK82" s="66">
        <f t="shared" si="540"/>
        <v>0</v>
      </c>
      <c r="CL82" s="56"/>
      <c r="CO82" s="55">
        <f t="shared" si="541"/>
        <v>46088</v>
      </c>
      <c r="CP82" s="422"/>
      <c r="CQ82" s="470">
        <f>SUMPRODUCT(PRODUCE!$B93:$DY93,PRODUCE!$EB$17:$IY$17)</f>
        <v>0</v>
      </c>
      <c r="CR82" s="422"/>
      <c r="CS82" s="470">
        <f t="shared" si="542"/>
        <v>0</v>
      </c>
      <c r="CT82" s="470">
        <f t="shared" si="543"/>
        <v>0</v>
      </c>
      <c r="CU82" s="56"/>
      <c r="CX82" s="55">
        <f t="shared" si="544"/>
        <v>46088</v>
      </c>
      <c r="CY82" s="56"/>
      <c r="CZ82" s="133">
        <f>SUMPRODUCT(PRODUCE!$B93:$DY93,PRODUCE!$EB$18:$IY$18)</f>
        <v>1000</v>
      </c>
      <c r="DA82" s="56">
        <v>999.4</v>
      </c>
      <c r="DB82" s="133">
        <f t="shared" si="545"/>
        <v>0.60000000000002274</v>
      </c>
      <c r="DC82" s="133">
        <f t="shared" si="546"/>
        <v>36557.299999999996</v>
      </c>
      <c r="DD82" s="56"/>
      <c r="DG82" s="55">
        <f t="shared" si="547"/>
        <v>46088</v>
      </c>
      <c r="DH82" s="56"/>
      <c r="DI82" s="147">
        <f>SUMPRODUCT(PRODUCE!$B93:$DY93,PRODUCE!$EB$19:$IY$19)</f>
        <v>800</v>
      </c>
      <c r="DJ82" s="56">
        <v>802.4</v>
      </c>
      <c r="DK82" s="147">
        <f t="shared" si="548"/>
        <v>-2.3999999999999773</v>
      </c>
      <c r="DL82" s="147">
        <f t="shared" si="549"/>
        <v>-92.600000000004343</v>
      </c>
      <c r="DM82" s="56"/>
      <c r="DP82" s="55">
        <f t="shared" si="550"/>
        <v>46088</v>
      </c>
      <c r="DQ82" s="56"/>
      <c r="DR82" s="57">
        <f>SUMPRODUCT(PRODUCE!$B93:$DY93,PRODUCE!$EB$20:$IY$20)</f>
        <v>0</v>
      </c>
      <c r="DS82" s="56"/>
      <c r="DT82" s="57">
        <f t="shared" si="551"/>
        <v>0</v>
      </c>
      <c r="DU82" s="57">
        <f t="shared" si="552"/>
        <v>7150</v>
      </c>
      <c r="DV82" s="56"/>
      <c r="DY82" s="55">
        <f t="shared" si="553"/>
        <v>46088</v>
      </c>
      <c r="DZ82" s="56"/>
      <c r="EA82" s="157">
        <f>SUMPRODUCT(PRODUCE!$B93:$DY93,PRODUCE!$EB$21:$IY$21)</f>
        <v>0</v>
      </c>
      <c r="EB82" s="56"/>
      <c r="EC82" s="157">
        <f t="shared" si="554"/>
        <v>0</v>
      </c>
      <c r="ED82" s="157">
        <f t="shared" si="555"/>
        <v>5696.8</v>
      </c>
      <c r="EE82" s="56"/>
      <c r="EH82" s="55">
        <f t="shared" si="556"/>
        <v>46088</v>
      </c>
      <c r="EI82" s="56"/>
      <c r="EJ82" s="162">
        <f>SUMPRODUCT(PRODUCE!$B93:$DY93,PRODUCE!$EB$22:$IY$22)</f>
        <v>0</v>
      </c>
      <c r="EK82" s="56"/>
      <c r="EL82" s="162">
        <f t="shared" si="557"/>
        <v>0</v>
      </c>
      <c r="EM82" s="162">
        <f t="shared" si="558"/>
        <v>0</v>
      </c>
      <c r="EN82" s="56"/>
      <c r="EQ82" s="55">
        <f t="shared" si="559"/>
        <v>46088</v>
      </c>
      <c r="ER82" s="56"/>
      <c r="ES82" s="135">
        <f>SUMPRODUCT(PRODUCE!$B93:$DY93,PRODUCE!$EB$23:$IY$23)</f>
        <v>0</v>
      </c>
      <c r="ET82" s="56"/>
      <c r="EU82" s="135">
        <f t="shared" si="560"/>
        <v>0</v>
      </c>
      <c r="EV82" s="135">
        <f t="shared" si="561"/>
        <v>0</v>
      </c>
      <c r="EW82" s="56"/>
      <c r="EZ82" s="55">
        <f t="shared" si="562"/>
        <v>46088</v>
      </c>
      <c r="FA82" s="56"/>
      <c r="FB82" s="175">
        <f>SUMPRODUCT(PRODUCE!$B93:$DY93,PRODUCE!$EB$24:$IY$24)</f>
        <v>0</v>
      </c>
      <c r="FC82" s="56"/>
      <c r="FD82" s="175">
        <f t="shared" si="563"/>
        <v>0</v>
      </c>
      <c r="FE82" s="175">
        <f t="shared" si="564"/>
        <v>0</v>
      </c>
      <c r="FF82" s="56"/>
      <c r="FI82" s="55">
        <f t="shared" si="565"/>
        <v>46088</v>
      </c>
      <c r="FJ82" s="56"/>
      <c r="FK82" s="183">
        <f>SUMPRODUCT(PRODUCE!$B93:$DY93,PRODUCE!$EB$25:$IY$25)</f>
        <v>0</v>
      </c>
      <c r="FL82" s="56"/>
      <c r="FM82" s="183">
        <f t="shared" si="566"/>
        <v>0</v>
      </c>
      <c r="FN82" s="183">
        <f t="shared" si="567"/>
        <v>0</v>
      </c>
      <c r="FO82" s="56"/>
      <c r="FR82" s="55">
        <f t="shared" si="568"/>
        <v>46088</v>
      </c>
      <c r="FS82" s="422"/>
      <c r="FT82" s="452">
        <f>SUMPRODUCT(PRODUCE!$B93:$DY93,PRODUCE!$EB$26:$IY$26)</f>
        <v>280</v>
      </c>
      <c r="FU82" s="422">
        <f>14*20</f>
        <v>280</v>
      </c>
      <c r="FV82" s="452">
        <f t="shared" si="569"/>
        <v>0</v>
      </c>
      <c r="FW82" s="452">
        <f t="shared" si="570"/>
        <v>20</v>
      </c>
      <c r="FX82" s="56"/>
      <c r="GA82" s="55">
        <f t="shared" si="571"/>
        <v>46088</v>
      </c>
      <c r="GB82" s="422"/>
      <c r="GC82" s="454">
        <f>SUMPRODUCT(PRODUCE!$B93:$DY93,PRODUCE!$EB$27:$IY$27)</f>
        <v>600</v>
      </c>
      <c r="GD82" s="422">
        <f>20*20</f>
        <v>400</v>
      </c>
      <c r="GE82" s="454">
        <f t="shared" si="572"/>
        <v>200</v>
      </c>
      <c r="GF82" s="454">
        <f t="shared" si="573"/>
        <v>5560</v>
      </c>
      <c r="GG82" s="56"/>
      <c r="GI82" s="23"/>
      <c r="GJ82" s="55">
        <f t="shared" si="574"/>
        <v>46088</v>
      </c>
      <c r="GK82" s="422"/>
      <c r="GL82" s="456">
        <f>SUMPRODUCT(PRODUCE!$B93:$DY93,PRODUCE!$EB$28:$IY$28)</f>
        <v>0</v>
      </c>
      <c r="GM82" s="422"/>
      <c r="GN82" s="456">
        <f t="shared" si="575"/>
        <v>0</v>
      </c>
      <c r="GO82" s="456">
        <f t="shared" si="576"/>
        <v>5240</v>
      </c>
      <c r="GP82" s="56"/>
      <c r="GS82" s="55">
        <f t="shared" si="577"/>
        <v>46088</v>
      </c>
      <c r="GT82" s="56"/>
      <c r="GU82" s="195">
        <f>SUMPRODUCT(PRODUCE!$B93:$DY93,PRODUCE!$EB$29:$IY$29)</f>
        <v>0</v>
      </c>
      <c r="GV82" s="56"/>
      <c r="GW82" s="195">
        <f t="shared" si="578"/>
        <v>0</v>
      </c>
      <c r="GX82" s="195">
        <f t="shared" si="579"/>
        <v>0</v>
      </c>
      <c r="GY82" s="56"/>
      <c r="HB82" s="55">
        <f t="shared" si="580"/>
        <v>46088</v>
      </c>
      <c r="HC82" s="56"/>
      <c r="HD82" s="191">
        <f>SUMPRODUCT(PRODUCE!$B93:$DY93,PRODUCE!$EB$30:$IY$30)</f>
        <v>0</v>
      </c>
      <c r="HE82" s="56"/>
      <c r="HF82" s="191">
        <f t="shared" si="581"/>
        <v>0</v>
      </c>
      <c r="HG82" s="191">
        <f t="shared" si="582"/>
        <v>0</v>
      </c>
      <c r="HH82" s="56"/>
      <c r="HK82" s="55">
        <f t="shared" si="583"/>
        <v>46088</v>
      </c>
      <c r="HL82" s="56"/>
      <c r="HM82" s="63">
        <f>SUMPRODUCT(PRODUCE!$B93:$DY93,PRODUCE!$EB$31:$IY$31)</f>
        <v>0</v>
      </c>
      <c r="HN82" s="56"/>
      <c r="HO82" s="63">
        <f t="shared" si="584"/>
        <v>0</v>
      </c>
      <c r="HP82" s="63">
        <f t="shared" si="585"/>
        <v>0</v>
      </c>
      <c r="HQ82" s="56"/>
      <c r="HU82" s="55">
        <f t="shared" si="586"/>
        <v>46088</v>
      </c>
      <c r="HV82" s="56"/>
      <c r="HW82" s="242">
        <f>SUMPRODUCT(PRODUCE!$B93:$DY93,PRODUCE!$EB$32:$IY$32)</f>
        <v>0</v>
      </c>
      <c r="HX82" s="56"/>
      <c r="HY82" s="242">
        <f t="shared" si="587"/>
        <v>0</v>
      </c>
      <c r="HZ82" s="242">
        <f t="shared" si="588"/>
        <v>5120</v>
      </c>
      <c r="IA82" s="56"/>
      <c r="ID82" s="55">
        <f t="shared" si="589"/>
        <v>46088</v>
      </c>
      <c r="IE82" s="56"/>
      <c r="IF82" s="242">
        <f>SUMPRODUCT(PRODUCE!$B93:$DY93,PRODUCE!$EB$33:$IY$33)</f>
        <v>0</v>
      </c>
      <c r="IG82" s="56"/>
      <c r="IH82" s="242">
        <f t="shared" si="590"/>
        <v>0</v>
      </c>
      <c r="II82" s="242">
        <f t="shared" si="591"/>
        <v>6540</v>
      </c>
      <c r="IJ82" s="56"/>
      <c r="IM82" s="55">
        <f t="shared" si="592"/>
        <v>46088</v>
      </c>
      <c r="IN82" s="56"/>
      <c r="IO82" s="242">
        <f>SUMPRODUCT(PRODUCE!$B93:$DY93,PRODUCE!$EB$34:$IY$34)</f>
        <v>0</v>
      </c>
      <c r="IP82" s="56"/>
      <c r="IQ82" s="242">
        <f t="shared" si="593"/>
        <v>0</v>
      </c>
      <c r="IR82" s="242">
        <f t="shared" si="594"/>
        <v>11540</v>
      </c>
      <c r="IS82" s="56"/>
      <c r="IV82" s="55">
        <f t="shared" si="595"/>
        <v>46088</v>
      </c>
      <c r="IW82" s="56"/>
      <c r="IX82" s="242">
        <f>SUMPRODUCT(PRODUCE!$B93:$DY93,PRODUCE!$EB$35:$IY$35)</f>
        <v>0</v>
      </c>
      <c r="IY82" s="56"/>
      <c r="IZ82" s="242">
        <f t="shared" si="596"/>
        <v>0</v>
      </c>
      <c r="JA82" s="242">
        <f t="shared" si="597"/>
        <v>15120</v>
      </c>
      <c r="JB82" s="56"/>
      <c r="JE82" s="55">
        <f t="shared" si="598"/>
        <v>46088</v>
      </c>
      <c r="JF82" s="56"/>
      <c r="JG82" s="242">
        <f>SUMPRODUCT(PRODUCE!$B93:$DY93,PRODUCE!$EB$36:$IY$36)</f>
        <v>0</v>
      </c>
      <c r="JH82" s="56"/>
      <c r="JI82" s="242">
        <f t="shared" si="599"/>
        <v>0</v>
      </c>
      <c r="JJ82" s="242">
        <f t="shared" si="600"/>
        <v>5040</v>
      </c>
      <c r="JK82" s="56"/>
      <c r="JN82" s="55">
        <f t="shared" si="601"/>
        <v>46088</v>
      </c>
      <c r="JO82" s="56"/>
      <c r="JP82" s="242">
        <f>SUMPRODUCT(PRODUCE!$B93:$DY93,PRODUCE!$EB$37:$IY$37)</f>
        <v>0</v>
      </c>
      <c r="JQ82" s="56"/>
      <c r="JR82" s="242">
        <f t="shared" si="602"/>
        <v>0</v>
      </c>
      <c r="JS82" s="242">
        <f t="shared" si="603"/>
        <v>9100</v>
      </c>
      <c r="JT82" s="56"/>
      <c r="JW82" s="55">
        <f t="shared" si="604"/>
        <v>46088</v>
      </c>
      <c r="JX82" s="56"/>
      <c r="JY82" s="242">
        <f>SUMPRODUCT(PRODUCE!$B93:$DY93,PRODUCE!$EB$38:$IY$38)</f>
        <v>0</v>
      </c>
      <c r="JZ82" s="56">
        <f>20*20</f>
        <v>400</v>
      </c>
      <c r="KA82" s="242">
        <f t="shared" si="605"/>
        <v>-400</v>
      </c>
      <c r="KB82" s="242">
        <f t="shared" si="606"/>
        <v>4740</v>
      </c>
      <c r="KC82" s="56"/>
      <c r="KF82" s="55">
        <f t="shared" si="607"/>
        <v>46088</v>
      </c>
      <c r="KG82" s="56"/>
      <c r="KH82" s="242">
        <f>SUMPRODUCT(PRODUCE!$B93:$DY93,PRODUCE!$EB$39:$IY$39)</f>
        <v>78</v>
      </c>
      <c r="KI82" s="56"/>
      <c r="KJ82" s="242">
        <f t="shared" si="608"/>
        <v>78</v>
      </c>
      <c r="KK82" s="242">
        <f t="shared" si="609"/>
        <v>5284.5</v>
      </c>
      <c r="KL82" s="56"/>
      <c r="KO82" s="55">
        <f t="shared" si="610"/>
        <v>46088</v>
      </c>
      <c r="KP82" s="56"/>
      <c r="KQ82" s="242">
        <f>SUMPRODUCT(PRODUCE!$B93:$DY93,PRODUCE!$EB$40:$IY$40)</f>
        <v>302.39999999999998</v>
      </c>
      <c r="KR82" s="56">
        <f>304*18.9</f>
        <v>5745.5999999999995</v>
      </c>
      <c r="KS82" s="242">
        <f t="shared" si="611"/>
        <v>-5443.2</v>
      </c>
      <c r="KT82" s="242">
        <f t="shared" si="612"/>
        <v>1701.0000000000009</v>
      </c>
      <c r="KU82" s="56"/>
      <c r="KW82" s="23"/>
      <c r="KX82" s="55">
        <f t="shared" si="613"/>
        <v>46088</v>
      </c>
      <c r="KY82" s="56"/>
      <c r="KZ82" s="242">
        <f>SUMPRODUCT(PRODUCE!$B93:$DY93,PRODUCE!$EB$41:$IY$41)</f>
        <v>0</v>
      </c>
      <c r="LA82" s="56"/>
      <c r="LB82" s="242">
        <f t="shared" si="614"/>
        <v>0</v>
      </c>
      <c r="LC82" s="242">
        <f t="shared" si="615"/>
        <v>0</v>
      </c>
      <c r="LD82" s="56"/>
      <c r="LG82" s="55">
        <f t="shared" si="616"/>
        <v>46088</v>
      </c>
      <c r="LH82" s="56"/>
      <c r="LI82" s="242">
        <f>SUMPRODUCT(PRODUCE!$B93:$DY93,PRODUCE!$EB$42:$IY$42)</f>
        <v>0</v>
      </c>
      <c r="LJ82" s="56"/>
      <c r="LK82" s="242">
        <f t="shared" si="617"/>
        <v>0</v>
      </c>
      <c r="LL82" s="242">
        <f t="shared" si="618"/>
        <v>0</v>
      </c>
      <c r="LM82" s="56"/>
      <c r="LP82" s="55">
        <f t="shared" si="619"/>
        <v>46088</v>
      </c>
      <c r="LQ82" s="56"/>
      <c r="LR82" s="242">
        <f>SUMPRODUCT(PRODUCE!$B97:$DY97,PRODUCE!$EB$43:$IY$43)</f>
        <v>0</v>
      </c>
      <c r="LS82" s="56"/>
      <c r="LT82" s="242">
        <f t="shared" si="620"/>
        <v>0</v>
      </c>
      <c r="LU82" s="242">
        <f t="shared" si="621"/>
        <v>0</v>
      </c>
      <c r="LV82" s="56"/>
      <c r="LY82" s="55">
        <f t="shared" si="622"/>
        <v>46088</v>
      </c>
      <c r="LZ82" s="56"/>
      <c r="MA82" s="242">
        <f>SUMPRODUCT(PRODUCE!$B93:$DY93,PRODUCE!$EB$44:$IY$44)</f>
        <v>0</v>
      </c>
      <c r="MB82" s="56"/>
      <c r="MC82" s="242">
        <f t="shared" si="623"/>
        <v>0</v>
      </c>
      <c r="MD82" s="242">
        <f t="shared" si="624"/>
        <v>0</v>
      </c>
      <c r="ME82" s="56"/>
      <c r="MH82" s="55">
        <f t="shared" si="625"/>
        <v>46088</v>
      </c>
      <c r="MI82" s="56"/>
      <c r="MJ82" s="242">
        <f>SUMPRODUCT(PRODUCE!$B93:$DY93,PRODUCE!$EB$45:$IY$45)</f>
        <v>0</v>
      </c>
      <c r="MK82" s="56"/>
      <c r="ML82" s="242">
        <f t="shared" si="626"/>
        <v>0</v>
      </c>
      <c r="MM82" s="242">
        <f t="shared" si="627"/>
        <v>0</v>
      </c>
      <c r="MN82" s="56"/>
      <c r="MQ82" s="55">
        <f t="shared" si="628"/>
        <v>46088</v>
      </c>
      <c r="MR82" s="56"/>
      <c r="MS82" s="242">
        <f>SUMPRODUCT(PRODUCE!$B93:$DY93,PRODUCE!$EB$46:$IY$46)</f>
        <v>62</v>
      </c>
      <c r="MT82" s="56">
        <v>673</v>
      </c>
      <c r="MU82" s="242">
        <f t="shared" si="629"/>
        <v>-611</v>
      </c>
      <c r="MV82" s="242">
        <f t="shared" si="630"/>
        <v>3450</v>
      </c>
      <c r="MW82" s="56"/>
      <c r="MZ82" s="55">
        <f t="shared" si="631"/>
        <v>46088</v>
      </c>
      <c r="NA82" s="56">
        <v>972</v>
      </c>
      <c r="NB82" s="242">
        <f>SUMPRODUCT(PRODUCE!$B93:$DY93,PRODUCE!$EB$47:$IY$47)</f>
        <v>60</v>
      </c>
      <c r="NC82" s="56">
        <v>972</v>
      </c>
      <c r="ND82" s="242">
        <f t="shared" si="632"/>
        <v>-912</v>
      </c>
      <c r="NE82" s="242">
        <f t="shared" si="633"/>
        <v>0</v>
      </c>
      <c r="NF82" s="56"/>
      <c r="NI82" s="55">
        <f t="shared" si="634"/>
        <v>46088</v>
      </c>
      <c r="NJ82" s="56"/>
      <c r="NK82" s="242">
        <f>SUMPRODUCT(PRODUCE!$B93:$DY93,PRODUCE!$EB$48:$IY$48)</f>
        <v>0</v>
      </c>
      <c r="NL82" s="56"/>
      <c r="NM82" s="242">
        <f t="shared" si="635"/>
        <v>0</v>
      </c>
      <c r="NN82" s="242">
        <f t="shared" si="636"/>
        <v>0</v>
      </c>
      <c r="NO82" s="56"/>
      <c r="NR82" s="55">
        <f t="shared" si="637"/>
        <v>46088</v>
      </c>
      <c r="NS82" s="56"/>
      <c r="NT82" s="242">
        <f>SUMPRODUCT(PRODUCE!$B93:$DY93,PRODUCE!$EB$49:$IY$49)</f>
        <v>24</v>
      </c>
      <c r="NU82" s="56">
        <v>368.8</v>
      </c>
      <c r="NV82" s="242">
        <f t="shared" si="638"/>
        <v>-344.8</v>
      </c>
      <c r="NW82" s="242">
        <f t="shared" si="639"/>
        <v>1578.9</v>
      </c>
      <c r="NX82" s="56"/>
      <c r="OA82" s="55">
        <f t="shared" si="640"/>
        <v>46088</v>
      </c>
      <c r="OB82" s="56"/>
      <c r="OC82" s="242">
        <f>SUMPRODUCT(PRODUCE!$B93:$DY93,PRODUCE!$EB$50:$IY$50)</f>
        <v>0</v>
      </c>
      <c r="OD82" s="56"/>
      <c r="OE82" s="242">
        <f t="shared" si="641"/>
        <v>0</v>
      </c>
      <c r="OF82" s="242">
        <f t="shared" si="642"/>
        <v>1680.5</v>
      </c>
      <c r="OG82" s="56"/>
      <c r="OJ82" s="55">
        <f t="shared" si="643"/>
        <v>46088</v>
      </c>
      <c r="OK82" s="56">
        <v>906.2</v>
      </c>
      <c r="OL82" s="242">
        <f>SUMPRODUCT(PRODUCE!$B93:$DY93,PRODUCE!$EB$51:$IY$51)</f>
        <v>55.999999999999986</v>
      </c>
      <c r="OM82" s="56">
        <v>906.2</v>
      </c>
      <c r="ON82" s="242">
        <f t="shared" si="644"/>
        <v>-850.2</v>
      </c>
      <c r="OO82" s="242">
        <f t="shared" si="645"/>
        <v>0</v>
      </c>
      <c r="OP82" s="56"/>
      <c r="OS82" s="55">
        <f t="shared" si="646"/>
        <v>46088</v>
      </c>
      <c r="OT82" s="56"/>
      <c r="OU82" s="242">
        <f>SUMPRODUCT(PRODUCE!$B93:$DY93,PRODUCE!$EB$52:$IY$52)</f>
        <v>0</v>
      </c>
      <c r="OV82" s="56"/>
      <c r="OW82" s="242">
        <f t="shared" si="647"/>
        <v>0</v>
      </c>
      <c r="OX82" s="242">
        <f t="shared" si="648"/>
        <v>0</v>
      </c>
      <c r="OY82" s="56"/>
      <c r="PB82" s="55">
        <f t="shared" si="649"/>
        <v>46088</v>
      </c>
      <c r="PC82" s="56"/>
      <c r="PD82" s="242">
        <f>SUMPRODUCT(PRODUCE!$B93:$DY93,PRODUCE!$EB$53:$IY$53)</f>
        <v>0</v>
      </c>
      <c r="PE82" s="56"/>
      <c r="PF82" s="242">
        <f t="shared" si="650"/>
        <v>0</v>
      </c>
      <c r="PG82" s="242">
        <f t="shared" si="651"/>
        <v>0</v>
      </c>
      <c r="PH82" s="56"/>
      <c r="PK82" s="55">
        <f t="shared" si="652"/>
        <v>46088</v>
      </c>
      <c r="PL82" s="56"/>
      <c r="PM82" s="242">
        <f>SUMPRODUCT(PRODUCE!$B93:$DY93,PRODUCE!$EB$54:$IY$54)</f>
        <v>0</v>
      </c>
      <c r="PN82" s="56"/>
      <c r="PO82" s="242">
        <f t="shared" si="653"/>
        <v>0</v>
      </c>
      <c r="PP82" s="242">
        <f t="shared" si="654"/>
        <v>100</v>
      </c>
      <c r="PQ82" s="56"/>
      <c r="PT82" s="55">
        <f t="shared" si="655"/>
        <v>46088</v>
      </c>
      <c r="PU82" s="56"/>
      <c r="PV82" s="242">
        <f>SUMPRODUCT(PRODUCE!$B93:$DY93,PRODUCE!$EB$55:$IY$55)</f>
        <v>0</v>
      </c>
      <c r="PW82" s="56"/>
      <c r="PX82" s="242">
        <f t="shared" si="656"/>
        <v>0</v>
      </c>
      <c r="PY82" s="242">
        <f t="shared" si="657"/>
        <v>13.960000000000036</v>
      </c>
      <c r="PZ82" s="56"/>
      <c r="QC82" s="55">
        <f t="shared" si="658"/>
        <v>46088</v>
      </c>
      <c r="QD82" s="56"/>
      <c r="QE82" s="242">
        <f>SUMPRODUCT(PRODUCE!$B93:$DY93,PRODUCE!$EB$56:$IY$56)</f>
        <v>0</v>
      </c>
      <c r="QF82" s="56"/>
      <c r="QG82" s="242">
        <f t="shared" si="659"/>
        <v>0</v>
      </c>
      <c r="QH82" s="242">
        <f t="shared" si="660"/>
        <v>1212</v>
      </c>
      <c r="QI82" s="56"/>
      <c r="QL82" s="55">
        <f t="shared" si="661"/>
        <v>46088</v>
      </c>
      <c r="QM82" s="56"/>
      <c r="QN82" s="242">
        <f>SUMPRODUCT(PRODUCE!$B93:$DY93,PRODUCE!$EB$57:$IY$57)</f>
        <v>0</v>
      </c>
      <c r="QO82" s="56"/>
      <c r="QP82" s="242">
        <f t="shared" si="662"/>
        <v>0</v>
      </c>
      <c r="QQ82" s="242">
        <f t="shared" si="663"/>
        <v>0</v>
      </c>
      <c r="QR82" s="56"/>
      <c r="QU82" s="55">
        <f t="shared" si="664"/>
        <v>46088</v>
      </c>
      <c r="QV82" s="56"/>
      <c r="QW82" s="242">
        <f>SUMPRODUCT(PRODUCE!$B93:$DY93,PRODUCE!$EB$57:$IY$57)</f>
        <v>0</v>
      </c>
      <c r="QX82" s="56"/>
      <c r="QY82" s="242">
        <f t="shared" si="665"/>
        <v>0</v>
      </c>
      <c r="QZ82" s="242">
        <f t="shared" si="666"/>
        <v>207.6</v>
      </c>
      <c r="RA82" s="56"/>
      <c r="RD82" s="55">
        <f t="shared" si="667"/>
        <v>46088</v>
      </c>
      <c r="RE82" s="56"/>
      <c r="RF82" s="242">
        <f>SUMPRODUCT(PRODUCE!$B93:$DY93,PRODUCE!$EB$58:$IY$58)</f>
        <v>0</v>
      </c>
      <c r="RG82" s="56"/>
      <c r="RH82" s="242">
        <f t="shared" si="668"/>
        <v>0</v>
      </c>
      <c r="RI82" s="242">
        <f t="shared" si="669"/>
        <v>197.04000000000002</v>
      </c>
      <c r="RJ82" s="56"/>
      <c r="RM82" s="55">
        <f t="shared" si="670"/>
        <v>46088</v>
      </c>
      <c r="RN82" s="56"/>
      <c r="RO82" s="242">
        <f>SUMPRODUCT(PRODUCE!$B93:$DY93,PRODUCE!$EB$57:$IY$57)</f>
        <v>0</v>
      </c>
      <c r="RP82" s="56"/>
      <c r="RQ82" s="242">
        <f t="shared" si="671"/>
        <v>0</v>
      </c>
      <c r="RR82" s="242">
        <f t="shared" si="672"/>
        <v>46.8</v>
      </c>
      <c r="RS82" s="56"/>
      <c r="RV82" s="55">
        <f t="shared" si="673"/>
        <v>46088</v>
      </c>
      <c r="RW82" s="56"/>
      <c r="RX82" s="242">
        <f>SUMPRODUCT(PRODUCE!$B93:$DY93,PRODUCE!$EB$57:$IY$57)</f>
        <v>0</v>
      </c>
      <c r="RY82" s="56"/>
      <c r="RZ82" s="242">
        <f t="shared" si="674"/>
        <v>0</v>
      </c>
      <c r="SA82" s="242">
        <f t="shared" si="675"/>
        <v>0</v>
      </c>
      <c r="SB82" s="56"/>
      <c r="SE82" s="55">
        <f t="shared" si="676"/>
        <v>46088</v>
      </c>
      <c r="SF82" s="56"/>
      <c r="SG82" s="242">
        <f>SUMPRODUCT(PRODUCE!$B93:$DY93,PRODUCE!$EB$57:$IY$57)</f>
        <v>0</v>
      </c>
      <c r="SH82" s="56"/>
      <c r="SI82" s="242">
        <f t="shared" si="677"/>
        <v>0</v>
      </c>
      <c r="SJ82" s="242">
        <f t="shared" si="678"/>
        <v>0</v>
      </c>
      <c r="SK82" s="56"/>
      <c r="SN82" s="55">
        <f t="shared" si="679"/>
        <v>46088</v>
      </c>
      <c r="SO82" s="56"/>
      <c r="SP82" s="242">
        <f>SUMPRODUCT(PRODUCE!$B93:$DY93,PRODUCE!$EB$57:$IY$57)</f>
        <v>0</v>
      </c>
      <c r="SQ82" s="56"/>
      <c r="SR82" s="242">
        <f t="shared" si="680"/>
        <v>0</v>
      </c>
      <c r="SS82" s="242">
        <f t="shared" si="681"/>
        <v>0</v>
      </c>
      <c r="ST82" s="56"/>
      <c r="SW82" s="55">
        <f t="shared" si="682"/>
        <v>46088</v>
      </c>
      <c r="SX82" s="56"/>
      <c r="SY82" s="242">
        <f>SUMPRODUCT(PRODUCE!$B93:$DY93,PRODUCE!$EB$57:$IY$57)</f>
        <v>0</v>
      </c>
      <c r="SZ82" s="56"/>
      <c r="TA82" s="242">
        <f t="shared" si="683"/>
        <v>0</v>
      </c>
      <c r="TB82" s="242">
        <f t="shared" si="684"/>
        <v>0</v>
      </c>
      <c r="TC82" s="56"/>
      <c r="TF82" s="55">
        <f t="shared" si="685"/>
        <v>46088</v>
      </c>
      <c r="TG82" s="56"/>
      <c r="TH82" s="242">
        <f>SUMPRODUCT(PRODUCE!$B93:$DY93,PRODUCE!$EB$57:$IY$57)</f>
        <v>0</v>
      </c>
      <c r="TI82" s="56"/>
      <c r="TJ82" s="242">
        <f t="shared" si="686"/>
        <v>0</v>
      </c>
      <c r="TK82" s="242">
        <f t="shared" si="687"/>
        <v>0</v>
      </c>
      <c r="TL82" s="56"/>
      <c r="TO82" s="55">
        <f t="shared" si="688"/>
        <v>46088</v>
      </c>
      <c r="TP82" s="56"/>
      <c r="TQ82" s="242">
        <f>SUMPRODUCT(PRODUCE!$B93:$DY93,PRODUCE!$EB$57:$IY$57)</f>
        <v>0</v>
      </c>
      <c r="TR82" s="56"/>
      <c r="TS82" s="242">
        <f t="shared" si="689"/>
        <v>0</v>
      </c>
      <c r="TT82" s="242">
        <f t="shared" si="690"/>
        <v>0</v>
      </c>
      <c r="TU82" s="56"/>
      <c r="TX82" s="55">
        <f t="shared" si="691"/>
        <v>46088</v>
      </c>
      <c r="TY82" s="56"/>
      <c r="TZ82" s="242">
        <f>SUMPRODUCT(PRODUCE!$B93:$DY93,PRODUCE!$EB$57:$IY$57)</f>
        <v>0</v>
      </c>
      <c r="UA82" s="56"/>
      <c r="UB82" s="242">
        <f t="shared" si="692"/>
        <v>0</v>
      </c>
      <c r="UC82" s="242">
        <f t="shared" si="693"/>
        <v>0</v>
      </c>
      <c r="UD82" s="56"/>
      <c r="UG82" s="55">
        <f t="shared" si="694"/>
        <v>46088</v>
      </c>
      <c r="UH82" s="56"/>
      <c r="UI82" s="242">
        <f>SUMPRODUCT(PRODUCE!$B93:$DY93,PRODUCE!$EB$57:$IY$57)</f>
        <v>0</v>
      </c>
      <c r="UJ82" s="56"/>
      <c r="UK82" s="242">
        <f t="shared" si="695"/>
        <v>0</v>
      </c>
      <c r="UL82" s="242">
        <f t="shared" si="696"/>
        <v>0</v>
      </c>
      <c r="UM82" s="56"/>
      <c r="UP82" s="55">
        <f t="shared" si="697"/>
        <v>46088</v>
      </c>
      <c r="UQ82" s="56"/>
      <c r="UR82" s="242">
        <f>SUMPRODUCT(PRODUCE!$B93:$DY93,PRODUCE!$EB$57:$IY$57)</f>
        <v>0</v>
      </c>
      <c r="US82" s="56"/>
      <c r="UT82" s="242">
        <f t="shared" si="698"/>
        <v>0</v>
      </c>
      <c r="UU82" s="242">
        <f t="shared" si="699"/>
        <v>0</v>
      </c>
      <c r="UV82" s="56"/>
      <c r="UY82" s="55">
        <f t="shared" si="700"/>
        <v>46088</v>
      </c>
      <c r="UZ82" s="56"/>
      <c r="VA82" s="242">
        <f>SUMPRODUCT(PRODUCE!$B93:$DY93,PRODUCE!$EB$57:$IY$57)</f>
        <v>0</v>
      </c>
      <c r="VB82" s="56"/>
      <c r="VC82" s="242">
        <f t="shared" si="701"/>
        <v>0</v>
      </c>
      <c r="VD82" s="242">
        <f t="shared" si="702"/>
        <v>41.600000000000023</v>
      </c>
      <c r="VE82" s="56"/>
      <c r="VH82" s="55">
        <f t="shared" si="703"/>
        <v>46088</v>
      </c>
      <c r="VI82" s="56"/>
      <c r="VJ82" s="242">
        <f>SUMPRODUCT(PRODUCE!$B93:$DY93,PRODUCE!$EB$57:$IY$57)</f>
        <v>0</v>
      </c>
      <c r="VK82" s="56"/>
      <c r="VL82" s="242">
        <f t="shared" si="704"/>
        <v>0</v>
      </c>
      <c r="VM82" s="242">
        <f t="shared" si="705"/>
        <v>0</v>
      </c>
      <c r="VN82" s="56"/>
      <c r="VQ82" s="55">
        <f t="shared" si="706"/>
        <v>46088</v>
      </c>
      <c r="VR82" s="56"/>
      <c r="VS82" s="242">
        <f>SUMPRODUCT(PRODUCE!$B93:$DY93,PRODUCE!$EB$57:$IY$57)</f>
        <v>0</v>
      </c>
      <c r="VT82" s="56"/>
      <c r="VU82" s="242">
        <f t="shared" si="707"/>
        <v>0</v>
      </c>
      <c r="VV82" s="242">
        <f t="shared" si="708"/>
        <v>0</v>
      </c>
      <c r="VW82" s="56"/>
      <c r="VZ82" s="55">
        <f t="shared" si="709"/>
        <v>46088</v>
      </c>
      <c r="WA82" s="56"/>
      <c r="WB82" s="242">
        <f>SUMPRODUCT(PRODUCE!$B93:$DY93,PRODUCE!$EB$57:$IY$57)</f>
        <v>0</v>
      </c>
      <c r="WC82" s="56"/>
      <c r="WD82" s="242">
        <f t="shared" si="710"/>
        <v>0</v>
      </c>
      <c r="WE82" s="242">
        <f t="shared" si="711"/>
        <v>0</v>
      </c>
      <c r="WF82" s="56"/>
      <c r="WI82" s="55">
        <f t="shared" si="712"/>
        <v>46088</v>
      </c>
      <c r="WJ82" s="56"/>
      <c r="WK82" s="242">
        <f>SUMPRODUCT(PRODUCE!$B93:$DY93,PRODUCE!$EB$57:$IY$57)</f>
        <v>0</v>
      </c>
      <c r="WL82" s="56">
        <v>281</v>
      </c>
      <c r="WM82" s="242">
        <f t="shared" si="713"/>
        <v>-281</v>
      </c>
      <c r="WN82" s="242">
        <f t="shared" si="714"/>
        <v>6022</v>
      </c>
      <c r="WO82" s="56"/>
      <c r="WR82" s="55">
        <f t="shared" si="715"/>
        <v>46088</v>
      </c>
      <c r="WS82" s="56"/>
      <c r="WT82" s="242">
        <f>SUMPRODUCT(PRODUCE!$B93:$DY93,PRODUCE!$EB$57:$IY$57)</f>
        <v>0</v>
      </c>
      <c r="WU82" s="56">
        <v>604</v>
      </c>
      <c r="WV82" s="242">
        <f t="shared" si="716"/>
        <v>-604</v>
      </c>
      <c r="WW82" s="242">
        <f t="shared" si="717"/>
        <v>5955</v>
      </c>
      <c r="WX82" s="56"/>
      <c r="XA82" s="55">
        <f t="shared" si="718"/>
        <v>46088</v>
      </c>
      <c r="XB82" s="56"/>
      <c r="XC82" s="242">
        <f>SUMPRODUCT(PRODUCE!$B93:$DY93,PRODUCE!$EB$57:$IY$57)</f>
        <v>0</v>
      </c>
      <c r="XD82" s="56"/>
      <c r="XE82" s="242">
        <f t="shared" si="719"/>
        <v>0</v>
      </c>
      <c r="XF82" s="242">
        <f t="shared" si="720"/>
        <v>590</v>
      </c>
      <c r="XG82" s="56"/>
      <c r="XJ82" s="55">
        <f t="shared" si="721"/>
        <v>46088</v>
      </c>
      <c r="XK82" s="56"/>
      <c r="XL82" s="242">
        <f>SUMPRODUCT(PRODUCE!$B93:$DY93,PRODUCE!$EB$57:$IY$57)</f>
        <v>0</v>
      </c>
      <c r="XM82" s="56"/>
      <c r="XN82" s="242">
        <f t="shared" si="722"/>
        <v>0</v>
      </c>
      <c r="XO82" s="242">
        <f t="shared" si="723"/>
        <v>2124</v>
      </c>
      <c r="XP82" s="56"/>
      <c r="XS82" s="55">
        <f t="shared" si="724"/>
        <v>46088</v>
      </c>
      <c r="XT82" s="56"/>
      <c r="XU82" s="242">
        <f>SUMPRODUCT(PRODUCE!$B93:$DY93,PRODUCE!$EB$57:$IY$57)</f>
        <v>0</v>
      </c>
      <c r="XV82" s="56"/>
      <c r="XW82" s="242">
        <f t="shared" si="725"/>
        <v>0</v>
      </c>
      <c r="XX82" s="242">
        <f t="shared" si="726"/>
        <v>1901</v>
      </c>
      <c r="XY82" s="56"/>
      <c r="YB82" s="55">
        <f t="shared" si="727"/>
        <v>46088</v>
      </c>
      <c r="YC82" s="56"/>
      <c r="YD82" s="242">
        <f>SUMPRODUCT(PRODUCE!$B93:$DY93,PRODUCE!$EB$57:$IY$57)</f>
        <v>0</v>
      </c>
      <c r="YE82" s="56"/>
      <c r="YF82" s="242">
        <f t="shared" si="728"/>
        <v>0</v>
      </c>
      <c r="YG82" s="242">
        <f t="shared" si="729"/>
        <v>0</v>
      </c>
      <c r="YH82" s="56"/>
      <c r="YK82" s="55">
        <f t="shared" si="730"/>
        <v>46088</v>
      </c>
      <c r="YL82" s="56"/>
      <c r="YM82" s="242">
        <f>SUMPRODUCT(PRODUCE!$B93:$DY93,PRODUCE!$EB$57:$IY$57)</f>
        <v>0</v>
      </c>
      <c r="YN82" s="56"/>
      <c r="YO82" s="242">
        <f t="shared" si="731"/>
        <v>0</v>
      </c>
      <c r="YP82" s="242">
        <f t="shared" si="732"/>
        <v>0</v>
      </c>
      <c r="YQ82" s="56"/>
      <c r="YT82" s="55">
        <f t="shared" si="733"/>
        <v>46088</v>
      </c>
      <c r="YU82" s="56"/>
      <c r="YV82" s="242">
        <f>SUMPRODUCT(PRODUCE!$B93:$DY93,PRODUCE!$EB$57:$IY$57)</f>
        <v>0</v>
      </c>
      <c r="YW82" s="56"/>
      <c r="YX82" s="242">
        <f t="shared" si="734"/>
        <v>0</v>
      </c>
      <c r="YY82" s="242">
        <f t="shared" si="735"/>
        <v>0</v>
      </c>
      <c r="YZ82" s="56"/>
      <c r="ZC82" s="55">
        <f t="shared" si="736"/>
        <v>46088</v>
      </c>
      <c r="ZD82" s="56"/>
      <c r="ZE82" s="242">
        <f>SUMPRODUCT(PRODUCE!$B93:$DY93,PRODUCE!$EB$57:$IY$57)</f>
        <v>0</v>
      </c>
      <c r="ZF82" s="56"/>
      <c r="ZG82" s="242">
        <f t="shared" si="737"/>
        <v>0</v>
      </c>
      <c r="ZH82" s="242">
        <f t="shared" si="738"/>
        <v>0</v>
      </c>
      <c r="ZI82" s="56"/>
      <c r="ZL82" s="55">
        <f t="shared" si="739"/>
        <v>46088</v>
      </c>
      <c r="ZM82" s="56"/>
      <c r="ZN82" s="242">
        <f>SUMPRODUCT(PRODUCE!$B93:$DY93,PRODUCE!$EB$57:$IY$57)</f>
        <v>0</v>
      </c>
      <c r="ZO82" s="56"/>
      <c r="ZP82" s="242">
        <f t="shared" si="740"/>
        <v>0</v>
      </c>
      <c r="ZQ82" s="242">
        <f t="shared" si="741"/>
        <v>0</v>
      </c>
      <c r="ZR82" s="56"/>
      <c r="ZU82" s="55">
        <f t="shared" si="742"/>
        <v>46088</v>
      </c>
      <c r="ZV82" s="56"/>
      <c r="ZW82" s="242">
        <f>SUMPRODUCT(PRODUCE!$B93:$DY93,PRODUCE!$EB$57:$IY$57)</f>
        <v>0</v>
      </c>
      <c r="ZX82" s="56"/>
      <c r="ZY82" s="242">
        <f t="shared" si="743"/>
        <v>0</v>
      </c>
      <c r="ZZ82" s="242">
        <f t="shared" si="744"/>
        <v>0</v>
      </c>
      <c r="AAA82" s="56"/>
      <c r="AAD82" s="55">
        <f t="shared" si="745"/>
        <v>46088</v>
      </c>
      <c r="AAE82" s="56"/>
      <c r="AAF82" s="242">
        <f>SUMPRODUCT(PRODUCE!$B93:$DY93,PRODUCE!$EB$57:$IY$57)</f>
        <v>0</v>
      </c>
      <c r="AAG82" s="56"/>
      <c r="AAH82" s="242">
        <f t="shared" si="746"/>
        <v>0</v>
      </c>
      <c r="AAI82" s="242">
        <f t="shared" si="747"/>
        <v>0</v>
      </c>
      <c r="AAJ82" s="56"/>
      <c r="AAM82" s="55">
        <f t="shared" si="748"/>
        <v>46088</v>
      </c>
      <c r="AAN82" s="56"/>
      <c r="AAO82" s="242">
        <f>SUMPRODUCT(PRODUCE!$B93:$DY93,PRODUCE!$EB$57:$IY$57)</f>
        <v>0</v>
      </c>
      <c r="AAP82" s="56"/>
      <c r="AAQ82" s="242">
        <f t="shared" si="749"/>
        <v>0</v>
      </c>
      <c r="AAR82" s="242">
        <f t="shared" si="750"/>
        <v>0</v>
      </c>
      <c r="AAS82" s="56"/>
      <c r="AAV82" s="55">
        <f t="shared" si="751"/>
        <v>46088</v>
      </c>
      <c r="AAW82" s="56"/>
      <c r="AAX82" s="242">
        <f>SUMPRODUCT(PRODUCE!$B93:$DY93,PRODUCE!$EB$57:$IY$57)</f>
        <v>0</v>
      </c>
      <c r="AAY82" s="56"/>
      <c r="AAZ82" s="242">
        <f t="shared" si="752"/>
        <v>0</v>
      </c>
      <c r="ABA82" s="242">
        <f t="shared" si="753"/>
        <v>0</v>
      </c>
      <c r="ABB82" s="56"/>
      <c r="ABE82" s="55">
        <f t="shared" si="754"/>
        <v>46088</v>
      </c>
      <c r="ABF82" s="56"/>
      <c r="ABG82" s="242">
        <f>SUMPRODUCT(PRODUCE!$B93:$DY93,PRODUCE!$EB$57:$IY$57)</f>
        <v>0</v>
      </c>
      <c r="ABH82" s="56"/>
      <c r="ABI82" s="242">
        <f t="shared" si="755"/>
        <v>0</v>
      </c>
      <c r="ABJ82" s="242">
        <f t="shared" si="756"/>
        <v>0</v>
      </c>
      <c r="ABK82" s="56"/>
    </row>
    <row r="83" spans="2:739" s="54" customFormat="1" ht="15" customHeight="1" outlineLevel="1">
      <c r="B83" s="478"/>
      <c r="C83" s="55">
        <v>46089</v>
      </c>
      <c r="D83" s="422"/>
      <c r="E83" s="423">
        <f>SUMPRODUCT(PRODUCE!$B94:$DY94,PRODUCE!$EB$7:$IY$7)</f>
        <v>0</v>
      </c>
      <c r="F83" s="422"/>
      <c r="G83" s="423">
        <f t="shared" si="514"/>
        <v>0</v>
      </c>
      <c r="H83" s="423">
        <f t="shared" si="512"/>
        <v>79091</v>
      </c>
      <c r="I83" s="289"/>
      <c r="L83" s="55">
        <f t="shared" si="513"/>
        <v>46089</v>
      </c>
      <c r="M83" s="422"/>
      <c r="N83" s="438">
        <f>SUMPRODUCT(PRODUCE!$B94:$DY94,PRODUCE!$EB$8:$IY$8)</f>
        <v>0</v>
      </c>
      <c r="O83" s="422"/>
      <c r="P83" s="438">
        <f t="shared" si="515"/>
        <v>0</v>
      </c>
      <c r="Q83" s="438">
        <f t="shared" si="516"/>
        <v>15410.400000000034</v>
      </c>
      <c r="R83" s="56"/>
      <c r="U83" s="55">
        <f t="shared" si="517"/>
        <v>46089</v>
      </c>
      <c r="V83" s="422"/>
      <c r="W83" s="440">
        <f>SUMPRODUCT(PRODUCE!$B94:$DY94,PRODUCE!$EB$9:$IY$9)</f>
        <v>0</v>
      </c>
      <c r="X83" s="422"/>
      <c r="Y83" s="440">
        <f t="shared" si="518"/>
        <v>0</v>
      </c>
      <c r="Z83" s="440">
        <f t="shared" si="519"/>
        <v>45735.999999999978</v>
      </c>
      <c r="AA83" s="56"/>
      <c r="AD83" s="55">
        <f t="shared" si="520"/>
        <v>46089</v>
      </c>
      <c r="AE83" s="422"/>
      <c r="AF83" s="442">
        <f>SUMPRODUCT(PRODUCE!$B94:$DY94,PRODUCE!$EB$10:$IY$10)</f>
        <v>0</v>
      </c>
      <c r="AG83" s="422"/>
      <c r="AH83" s="442">
        <f t="shared" si="521"/>
        <v>0</v>
      </c>
      <c r="AI83" s="442">
        <f t="shared" si="522"/>
        <v>26517.800000000017</v>
      </c>
      <c r="AJ83" s="56"/>
      <c r="AM83" s="55">
        <f t="shared" si="523"/>
        <v>46089</v>
      </c>
      <c r="AN83" s="422"/>
      <c r="AO83" s="444">
        <f>SUMPRODUCT(PRODUCE!$B94:$DY94,PRODUCE!$EB$11:$IY$11)</f>
        <v>0</v>
      </c>
      <c r="AP83" s="422"/>
      <c r="AQ83" s="444">
        <f t="shared" si="524"/>
        <v>0</v>
      </c>
      <c r="AR83" s="444">
        <f t="shared" si="525"/>
        <v>0</v>
      </c>
      <c r="AS83" s="56"/>
      <c r="AV83" s="55">
        <f t="shared" si="526"/>
        <v>46089</v>
      </c>
      <c r="AW83" s="422"/>
      <c r="AX83" s="446">
        <f>SUMPRODUCT(PRODUCE!$B94:$DY94,PRODUCE!$EB$12:$IY$12)</f>
        <v>0</v>
      </c>
      <c r="AY83" s="422"/>
      <c r="AZ83" s="446">
        <f t="shared" si="527"/>
        <v>0</v>
      </c>
      <c r="BA83" s="446">
        <f t="shared" si="528"/>
        <v>46901.19999999999</v>
      </c>
      <c r="BB83" s="56"/>
      <c r="BE83" s="55">
        <f t="shared" si="529"/>
        <v>46089</v>
      </c>
      <c r="BF83" s="422"/>
      <c r="BG83" s="448">
        <f>SUMPRODUCT(PRODUCE!$B94:$DY94,PRODUCE!$EB$13:$IY$13)</f>
        <v>0</v>
      </c>
      <c r="BH83" s="422"/>
      <c r="BI83" s="448">
        <f t="shared" si="530"/>
        <v>0</v>
      </c>
      <c r="BJ83" s="448">
        <f t="shared" si="531"/>
        <v>6569.600000000004</v>
      </c>
      <c r="BK83" s="56"/>
      <c r="BN83" s="55">
        <f t="shared" si="532"/>
        <v>46089</v>
      </c>
      <c r="BO83" s="422"/>
      <c r="BP83" s="450">
        <f>SUMPRODUCT(PRODUCE!$B94:$DY94,PRODUCE!$EB$14:$IY$14)</f>
        <v>0</v>
      </c>
      <c r="BQ83" s="422"/>
      <c r="BR83" s="450">
        <f t="shared" si="533"/>
        <v>0</v>
      </c>
      <c r="BS83" s="450">
        <f t="shared" si="534"/>
        <v>0</v>
      </c>
      <c r="BT83" s="56"/>
      <c r="BW83" s="55">
        <f t="shared" si="535"/>
        <v>46089</v>
      </c>
      <c r="BX83" s="56"/>
      <c r="BY83" s="65">
        <f>SUMPRODUCT(PRODUCE!$B94:$DY94,PRODUCE!$EB$15:$IY$15)</f>
        <v>0</v>
      </c>
      <c r="BZ83" s="56"/>
      <c r="CA83" s="65">
        <f t="shared" si="536"/>
        <v>0</v>
      </c>
      <c r="CB83" s="65">
        <f t="shared" si="537"/>
        <v>4829.8</v>
      </c>
      <c r="CC83" s="56"/>
      <c r="CF83" s="55">
        <f t="shared" si="538"/>
        <v>46089</v>
      </c>
      <c r="CG83" s="56"/>
      <c r="CH83" s="66">
        <f>SUMPRODUCT(PRODUCE!$B94:$DY94,PRODUCE!$EB$16:$IY$16)</f>
        <v>0</v>
      </c>
      <c r="CI83" s="56"/>
      <c r="CJ83" s="66">
        <f t="shared" si="539"/>
        <v>0</v>
      </c>
      <c r="CK83" s="66">
        <f t="shared" si="540"/>
        <v>0</v>
      </c>
      <c r="CL83" s="56"/>
      <c r="CO83" s="55">
        <f t="shared" si="541"/>
        <v>46089</v>
      </c>
      <c r="CP83" s="422"/>
      <c r="CQ83" s="470">
        <f>SUMPRODUCT(PRODUCE!$B94:$DY94,PRODUCE!$EB$17:$IY$17)</f>
        <v>0</v>
      </c>
      <c r="CR83" s="422"/>
      <c r="CS83" s="470">
        <f t="shared" si="542"/>
        <v>0</v>
      </c>
      <c r="CT83" s="470">
        <f t="shared" si="543"/>
        <v>0</v>
      </c>
      <c r="CU83" s="56"/>
      <c r="CX83" s="55">
        <f t="shared" si="544"/>
        <v>46089</v>
      </c>
      <c r="CY83" s="56"/>
      <c r="CZ83" s="133">
        <f>SUMPRODUCT(PRODUCE!$B94:$DY94,PRODUCE!$EB$18:$IY$18)</f>
        <v>0</v>
      </c>
      <c r="DA83" s="56"/>
      <c r="DB83" s="133">
        <f t="shared" si="545"/>
        <v>0</v>
      </c>
      <c r="DC83" s="133">
        <f t="shared" si="546"/>
        <v>36557.299999999996</v>
      </c>
      <c r="DD83" s="56"/>
      <c r="DG83" s="55">
        <f t="shared" si="547"/>
        <v>46089</v>
      </c>
      <c r="DH83" s="56"/>
      <c r="DI83" s="147">
        <f>SUMPRODUCT(PRODUCE!$B94:$DY94,PRODUCE!$EB$19:$IY$19)</f>
        <v>0</v>
      </c>
      <c r="DJ83" s="56"/>
      <c r="DK83" s="147">
        <f t="shared" si="548"/>
        <v>0</v>
      </c>
      <c r="DL83" s="147">
        <f t="shared" si="549"/>
        <v>-92.600000000004343</v>
      </c>
      <c r="DM83" s="56"/>
      <c r="DP83" s="55">
        <f t="shared" si="550"/>
        <v>46089</v>
      </c>
      <c r="DQ83" s="56"/>
      <c r="DR83" s="57">
        <f>SUMPRODUCT(PRODUCE!$B94:$DY94,PRODUCE!$EB$20:$IY$20)</f>
        <v>0</v>
      </c>
      <c r="DS83" s="56"/>
      <c r="DT83" s="57">
        <f t="shared" si="551"/>
        <v>0</v>
      </c>
      <c r="DU83" s="57">
        <f t="shared" si="552"/>
        <v>7150</v>
      </c>
      <c r="DV83" s="56"/>
      <c r="DY83" s="55">
        <f t="shared" si="553"/>
        <v>46089</v>
      </c>
      <c r="DZ83" s="56"/>
      <c r="EA83" s="157">
        <f>SUMPRODUCT(PRODUCE!$B94:$DY94,PRODUCE!$EB$21:$IY$21)</f>
        <v>0</v>
      </c>
      <c r="EB83" s="56"/>
      <c r="EC83" s="157">
        <f t="shared" si="554"/>
        <v>0</v>
      </c>
      <c r="ED83" s="157">
        <f t="shared" si="555"/>
        <v>5696.8</v>
      </c>
      <c r="EE83" s="56"/>
      <c r="EH83" s="55">
        <f t="shared" si="556"/>
        <v>46089</v>
      </c>
      <c r="EI83" s="56"/>
      <c r="EJ83" s="162">
        <f>SUMPRODUCT(PRODUCE!$B94:$DY94,PRODUCE!$EB$22:$IY$22)</f>
        <v>0</v>
      </c>
      <c r="EK83" s="56"/>
      <c r="EL83" s="162">
        <f t="shared" si="557"/>
        <v>0</v>
      </c>
      <c r="EM83" s="162">
        <f t="shared" si="558"/>
        <v>0</v>
      </c>
      <c r="EN83" s="56"/>
      <c r="EQ83" s="55">
        <f t="shared" si="559"/>
        <v>46089</v>
      </c>
      <c r="ER83" s="56"/>
      <c r="ES83" s="135">
        <f>SUMPRODUCT(PRODUCE!$B94:$DY94,PRODUCE!$EB$23:$IY$23)</f>
        <v>0</v>
      </c>
      <c r="ET83" s="56"/>
      <c r="EU83" s="135">
        <f t="shared" si="560"/>
        <v>0</v>
      </c>
      <c r="EV83" s="135">
        <f t="shared" si="561"/>
        <v>0</v>
      </c>
      <c r="EW83" s="56"/>
      <c r="EZ83" s="55">
        <f t="shared" si="562"/>
        <v>46089</v>
      </c>
      <c r="FA83" s="56"/>
      <c r="FB83" s="175">
        <f>SUMPRODUCT(PRODUCE!$B94:$DY94,PRODUCE!$EB$24:$IY$24)</f>
        <v>0</v>
      </c>
      <c r="FC83" s="56"/>
      <c r="FD83" s="175">
        <f t="shared" si="563"/>
        <v>0</v>
      </c>
      <c r="FE83" s="175">
        <f t="shared" si="564"/>
        <v>0</v>
      </c>
      <c r="FF83" s="56"/>
      <c r="FI83" s="55">
        <f t="shared" si="565"/>
        <v>46089</v>
      </c>
      <c r="FJ83" s="56"/>
      <c r="FK83" s="183">
        <f>SUMPRODUCT(PRODUCE!$B94:$DY94,PRODUCE!$EB$25:$IY$25)</f>
        <v>0</v>
      </c>
      <c r="FL83" s="56"/>
      <c r="FM83" s="183">
        <f t="shared" si="566"/>
        <v>0</v>
      </c>
      <c r="FN83" s="183">
        <f t="shared" si="567"/>
        <v>0</v>
      </c>
      <c r="FO83" s="56"/>
      <c r="FR83" s="55">
        <f t="shared" si="568"/>
        <v>46089</v>
      </c>
      <c r="FS83" s="422"/>
      <c r="FT83" s="452">
        <f>SUMPRODUCT(PRODUCE!$B94:$DY94,PRODUCE!$EB$26:$IY$26)</f>
        <v>0</v>
      </c>
      <c r="FU83" s="422"/>
      <c r="FV83" s="452">
        <f t="shared" si="569"/>
        <v>0</v>
      </c>
      <c r="FW83" s="452">
        <f t="shared" si="570"/>
        <v>20</v>
      </c>
      <c r="FX83" s="56"/>
      <c r="GA83" s="55">
        <f t="shared" si="571"/>
        <v>46089</v>
      </c>
      <c r="GB83" s="422"/>
      <c r="GC83" s="454">
        <f>SUMPRODUCT(PRODUCE!$B94:$DY94,PRODUCE!$EB$27:$IY$27)</f>
        <v>0</v>
      </c>
      <c r="GD83" s="422"/>
      <c r="GE83" s="454">
        <f t="shared" si="572"/>
        <v>0</v>
      </c>
      <c r="GF83" s="454">
        <f t="shared" si="573"/>
        <v>5560</v>
      </c>
      <c r="GG83" s="56"/>
      <c r="GI83" s="23"/>
      <c r="GJ83" s="55">
        <f t="shared" si="574"/>
        <v>46089</v>
      </c>
      <c r="GK83" s="422"/>
      <c r="GL83" s="456">
        <f>SUMPRODUCT(PRODUCE!$B94:$DY94,PRODUCE!$EB$28:$IY$28)</f>
        <v>0</v>
      </c>
      <c r="GM83" s="422"/>
      <c r="GN83" s="456">
        <f t="shared" si="575"/>
        <v>0</v>
      </c>
      <c r="GO83" s="456">
        <f t="shared" si="576"/>
        <v>5240</v>
      </c>
      <c r="GP83" s="56"/>
      <c r="GS83" s="55">
        <f t="shared" si="577"/>
        <v>46089</v>
      </c>
      <c r="GT83" s="56"/>
      <c r="GU83" s="195">
        <f>SUMPRODUCT(PRODUCE!$B94:$DY94,PRODUCE!$EB$29:$IY$29)</f>
        <v>0</v>
      </c>
      <c r="GV83" s="56"/>
      <c r="GW83" s="195">
        <f t="shared" si="578"/>
        <v>0</v>
      </c>
      <c r="GX83" s="195">
        <f t="shared" si="579"/>
        <v>0</v>
      </c>
      <c r="GY83" s="56"/>
      <c r="HB83" s="55">
        <f t="shared" si="580"/>
        <v>46089</v>
      </c>
      <c r="HC83" s="56"/>
      <c r="HD83" s="191">
        <f>SUMPRODUCT(PRODUCE!$B94:$DY94,PRODUCE!$EB$30:$IY$30)</f>
        <v>0</v>
      </c>
      <c r="HE83" s="56"/>
      <c r="HF83" s="191">
        <f t="shared" si="581"/>
        <v>0</v>
      </c>
      <c r="HG83" s="191">
        <f t="shared" si="582"/>
        <v>0</v>
      </c>
      <c r="HH83" s="56"/>
      <c r="HK83" s="55">
        <f t="shared" si="583"/>
        <v>46089</v>
      </c>
      <c r="HL83" s="56"/>
      <c r="HM83" s="63">
        <f>SUMPRODUCT(PRODUCE!$B94:$DY94,PRODUCE!$EB$31:$IY$31)</f>
        <v>0</v>
      </c>
      <c r="HN83" s="56"/>
      <c r="HO83" s="63">
        <f t="shared" si="584"/>
        <v>0</v>
      </c>
      <c r="HP83" s="63">
        <f t="shared" si="585"/>
        <v>0</v>
      </c>
      <c r="HQ83" s="56"/>
      <c r="HU83" s="55">
        <f t="shared" si="586"/>
        <v>46089</v>
      </c>
      <c r="HV83" s="56"/>
      <c r="HW83" s="242">
        <f>SUMPRODUCT(PRODUCE!$B94:$DY94,PRODUCE!$EB$32:$IY$32)</f>
        <v>0</v>
      </c>
      <c r="HX83" s="56"/>
      <c r="HY83" s="242">
        <f t="shared" si="587"/>
        <v>0</v>
      </c>
      <c r="HZ83" s="242">
        <f t="shared" si="588"/>
        <v>5120</v>
      </c>
      <c r="IA83" s="56"/>
      <c r="ID83" s="55">
        <f t="shared" si="589"/>
        <v>46089</v>
      </c>
      <c r="IE83" s="56"/>
      <c r="IF83" s="242">
        <f>SUMPRODUCT(PRODUCE!$B94:$DY94,PRODUCE!$EB$33:$IY$33)</f>
        <v>0</v>
      </c>
      <c r="IG83" s="56"/>
      <c r="IH83" s="242">
        <f t="shared" si="590"/>
        <v>0</v>
      </c>
      <c r="II83" s="242">
        <f t="shared" si="591"/>
        <v>6540</v>
      </c>
      <c r="IJ83" s="56"/>
      <c r="IM83" s="55">
        <f t="shared" si="592"/>
        <v>46089</v>
      </c>
      <c r="IN83" s="56"/>
      <c r="IO83" s="242">
        <f>SUMPRODUCT(PRODUCE!$B94:$DY94,PRODUCE!$EB$34:$IY$34)</f>
        <v>0</v>
      </c>
      <c r="IP83" s="56"/>
      <c r="IQ83" s="242">
        <f t="shared" si="593"/>
        <v>0</v>
      </c>
      <c r="IR83" s="242">
        <f t="shared" si="594"/>
        <v>11540</v>
      </c>
      <c r="IS83" s="56"/>
      <c r="IV83" s="55">
        <f t="shared" si="595"/>
        <v>46089</v>
      </c>
      <c r="IW83" s="56"/>
      <c r="IX83" s="242">
        <f>SUMPRODUCT(PRODUCE!$B94:$DY94,PRODUCE!$EB$35:$IY$35)</f>
        <v>0</v>
      </c>
      <c r="IY83" s="56"/>
      <c r="IZ83" s="242">
        <f t="shared" si="596"/>
        <v>0</v>
      </c>
      <c r="JA83" s="242">
        <f t="shared" si="597"/>
        <v>15120</v>
      </c>
      <c r="JB83" s="56"/>
      <c r="JE83" s="55">
        <f t="shared" si="598"/>
        <v>46089</v>
      </c>
      <c r="JF83" s="56"/>
      <c r="JG83" s="242">
        <f>SUMPRODUCT(PRODUCE!$B94:$DY94,PRODUCE!$EB$36:$IY$36)</f>
        <v>0</v>
      </c>
      <c r="JH83" s="56"/>
      <c r="JI83" s="242">
        <f t="shared" si="599"/>
        <v>0</v>
      </c>
      <c r="JJ83" s="242">
        <f t="shared" si="600"/>
        <v>5040</v>
      </c>
      <c r="JK83" s="56"/>
      <c r="JN83" s="55">
        <f t="shared" si="601"/>
        <v>46089</v>
      </c>
      <c r="JO83" s="56"/>
      <c r="JP83" s="242">
        <f>SUMPRODUCT(PRODUCE!$B94:$DY94,PRODUCE!$EB$37:$IY$37)</f>
        <v>0</v>
      </c>
      <c r="JQ83" s="56"/>
      <c r="JR83" s="242">
        <f t="shared" si="602"/>
        <v>0</v>
      </c>
      <c r="JS83" s="242">
        <f t="shared" si="603"/>
        <v>9100</v>
      </c>
      <c r="JT83" s="56"/>
      <c r="JW83" s="55">
        <f t="shared" si="604"/>
        <v>46089</v>
      </c>
      <c r="JX83" s="56"/>
      <c r="JY83" s="242">
        <f>SUMPRODUCT(PRODUCE!$B94:$DY94,PRODUCE!$EB$38:$IY$38)</f>
        <v>0</v>
      </c>
      <c r="JZ83" s="56"/>
      <c r="KA83" s="242">
        <f t="shared" si="605"/>
        <v>0</v>
      </c>
      <c r="KB83" s="242">
        <f t="shared" si="606"/>
        <v>4740</v>
      </c>
      <c r="KC83" s="56"/>
      <c r="KF83" s="55">
        <f t="shared" si="607"/>
        <v>46089</v>
      </c>
      <c r="KG83" s="56"/>
      <c r="KH83" s="242">
        <f>SUMPRODUCT(PRODUCE!$B94:$DY94,PRODUCE!$EB$39:$IY$39)</f>
        <v>0</v>
      </c>
      <c r="KI83" s="56"/>
      <c r="KJ83" s="242">
        <f t="shared" si="608"/>
        <v>0</v>
      </c>
      <c r="KK83" s="242">
        <f t="shared" si="609"/>
        <v>5284.5</v>
      </c>
      <c r="KL83" s="56"/>
      <c r="KO83" s="55">
        <f t="shared" si="610"/>
        <v>46089</v>
      </c>
      <c r="KP83" s="56"/>
      <c r="KQ83" s="242">
        <f>SUMPRODUCT(PRODUCE!$B94:$DY94,PRODUCE!$EB$40:$IY$40)</f>
        <v>0</v>
      </c>
      <c r="KR83" s="56"/>
      <c r="KS83" s="242">
        <f t="shared" si="611"/>
        <v>0</v>
      </c>
      <c r="KT83" s="242">
        <f t="shared" si="612"/>
        <v>1701.0000000000009</v>
      </c>
      <c r="KU83" s="56"/>
      <c r="KW83" s="23"/>
      <c r="KX83" s="55">
        <f t="shared" si="613"/>
        <v>46089</v>
      </c>
      <c r="KY83" s="56"/>
      <c r="KZ83" s="242">
        <f>SUMPRODUCT(PRODUCE!$B94:$DY94,PRODUCE!$EB$41:$IY$41)</f>
        <v>0</v>
      </c>
      <c r="LA83" s="56"/>
      <c r="LB83" s="242">
        <f t="shared" si="614"/>
        <v>0</v>
      </c>
      <c r="LC83" s="242">
        <f t="shared" si="615"/>
        <v>0</v>
      </c>
      <c r="LD83" s="56"/>
      <c r="LG83" s="55">
        <f t="shared" si="616"/>
        <v>46089</v>
      </c>
      <c r="LH83" s="56"/>
      <c r="LI83" s="242">
        <f>SUMPRODUCT(PRODUCE!$B94:$DY94,PRODUCE!$EB$42:$IY$42)</f>
        <v>0</v>
      </c>
      <c r="LJ83" s="56"/>
      <c r="LK83" s="242">
        <f t="shared" si="617"/>
        <v>0</v>
      </c>
      <c r="LL83" s="242">
        <f t="shared" si="618"/>
        <v>0</v>
      </c>
      <c r="LM83" s="56"/>
      <c r="LP83" s="55">
        <f t="shared" si="619"/>
        <v>46089</v>
      </c>
      <c r="LQ83" s="56"/>
      <c r="LR83" s="242">
        <f>SUMPRODUCT(PRODUCE!$B98:$DY98,PRODUCE!$EB$43:$IY$43)</f>
        <v>0</v>
      </c>
      <c r="LS83" s="56"/>
      <c r="LT83" s="242">
        <f t="shared" si="620"/>
        <v>0</v>
      </c>
      <c r="LU83" s="242">
        <f t="shared" si="621"/>
        <v>0</v>
      </c>
      <c r="LV83" s="56"/>
      <c r="LY83" s="55">
        <f t="shared" si="622"/>
        <v>46089</v>
      </c>
      <c r="LZ83" s="56"/>
      <c r="MA83" s="242">
        <f>SUMPRODUCT(PRODUCE!$B94:$DY94,PRODUCE!$EB$44:$IY$44)</f>
        <v>0</v>
      </c>
      <c r="MB83" s="56"/>
      <c r="MC83" s="242">
        <f t="shared" si="623"/>
        <v>0</v>
      </c>
      <c r="MD83" s="242">
        <f t="shared" si="624"/>
        <v>0</v>
      </c>
      <c r="ME83" s="56"/>
      <c r="MH83" s="55">
        <f t="shared" si="625"/>
        <v>46089</v>
      </c>
      <c r="MI83" s="56"/>
      <c r="MJ83" s="242">
        <f>SUMPRODUCT(PRODUCE!$B94:$DY94,PRODUCE!$EB$45:$IY$45)</f>
        <v>0</v>
      </c>
      <c r="MK83" s="56"/>
      <c r="ML83" s="242">
        <f t="shared" si="626"/>
        <v>0</v>
      </c>
      <c r="MM83" s="242">
        <f t="shared" si="627"/>
        <v>0</v>
      </c>
      <c r="MN83" s="56"/>
      <c r="MQ83" s="55">
        <f t="shared" si="628"/>
        <v>46089</v>
      </c>
      <c r="MR83" s="56"/>
      <c r="MS83" s="242">
        <f>SUMPRODUCT(PRODUCE!$B94:$DY94,PRODUCE!$EB$46:$IY$46)</f>
        <v>0</v>
      </c>
      <c r="MT83" s="56"/>
      <c r="MU83" s="242">
        <f t="shared" si="629"/>
        <v>0</v>
      </c>
      <c r="MV83" s="242">
        <f t="shared" si="630"/>
        <v>3450</v>
      </c>
      <c r="MW83" s="56"/>
      <c r="MZ83" s="55">
        <f t="shared" si="631"/>
        <v>46089</v>
      </c>
      <c r="NA83" s="56"/>
      <c r="NB83" s="242">
        <f>SUMPRODUCT(PRODUCE!$B94:$DY94,PRODUCE!$EB$47:$IY$47)</f>
        <v>0</v>
      </c>
      <c r="NC83" s="56"/>
      <c r="ND83" s="242">
        <f t="shared" si="632"/>
        <v>0</v>
      </c>
      <c r="NE83" s="242">
        <f t="shared" si="633"/>
        <v>0</v>
      </c>
      <c r="NF83" s="56"/>
      <c r="NI83" s="55">
        <f t="shared" si="634"/>
        <v>46089</v>
      </c>
      <c r="NJ83" s="56"/>
      <c r="NK83" s="242">
        <f>SUMPRODUCT(PRODUCE!$B94:$DY94,PRODUCE!$EB$48:$IY$48)</f>
        <v>0</v>
      </c>
      <c r="NL83" s="56"/>
      <c r="NM83" s="242">
        <f t="shared" si="635"/>
        <v>0</v>
      </c>
      <c r="NN83" s="242">
        <f t="shared" si="636"/>
        <v>0</v>
      </c>
      <c r="NO83" s="56"/>
      <c r="NR83" s="55">
        <f t="shared" si="637"/>
        <v>46089</v>
      </c>
      <c r="NS83" s="56"/>
      <c r="NT83" s="242">
        <f>SUMPRODUCT(PRODUCE!$B94:$DY94,PRODUCE!$EB$49:$IY$49)</f>
        <v>0</v>
      </c>
      <c r="NU83" s="56"/>
      <c r="NV83" s="242">
        <f t="shared" si="638"/>
        <v>0</v>
      </c>
      <c r="NW83" s="242">
        <f t="shared" si="639"/>
        <v>1578.9</v>
      </c>
      <c r="NX83" s="56"/>
      <c r="OA83" s="55">
        <f t="shared" si="640"/>
        <v>46089</v>
      </c>
      <c r="OB83" s="56"/>
      <c r="OC83" s="242">
        <f>SUMPRODUCT(PRODUCE!$B94:$DY94,PRODUCE!$EB$50:$IY$50)</f>
        <v>0</v>
      </c>
      <c r="OD83" s="56"/>
      <c r="OE83" s="242">
        <f t="shared" si="641"/>
        <v>0</v>
      </c>
      <c r="OF83" s="242">
        <f t="shared" si="642"/>
        <v>1680.5</v>
      </c>
      <c r="OG83" s="56"/>
      <c r="OJ83" s="55">
        <f t="shared" si="643"/>
        <v>46089</v>
      </c>
      <c r="OK83" s="56"/>
      <c r="OL83" s="242">
        <f>SUMPRODUCT(PRODUCE!$B94:$DY94,PRODUCE!$EB$51:$IY$51)</f>
        <v>0</v>
      </c>
      <c r="OM83" s="56"/>
      <c r="ON83" s="242">
        <f t="shared" si="644"/>
        <v>0</v>
      </c>
      <c r="OO83" s="242">
        <f t="shared" si="645"/>
        <v>0</v>
      </c>
      <c r="OP83" s="56"/>
      <c r="OS83" s="55">
        <f t="shared" si="646"/>
        <v>46089</v>
      </c>
      <c r="OT83" s="56"/>
      <c r="OU83" s="242">
        <f>SUMPRODUCT(PRODUCE!$B94:$DY94,PRODUCE!$EB$52:$IY$52)</f>
        <v>0</v>
      </c>
      <c r="OV83" s="56"/>
      <c r="OW83" s="242">
        <f t="shared" si="647"/>
        <v>0</v>
      </c>
      <c r="OX83" s="242">
        <f t="shared" si="648"/>
        <v>0</v>
      </c>
      <c r="OY83" s="56"/>
      <c r="PB83" s="55">
        <f t="shared" si="649"/>
        <v>46089</v>
      </c>
      <c r="PC83" s="56"/>
      <c r="PD83" s="242">
        <f>SUMPRODUCT(PRODUCE!$B94:$DY94,PRODUCE!$EB$53:$IY$53)</f>
        <v>0</v>
      </c>
      <c r="PE83" s="56"/>
      <c r="PF83" s="242">
        <f t="shared" si="650"/>
        <v>0</v>
      </c>
      <c r="PG83" s="242">
        <f t="shared" si="651"/>
        <v>0</v>
      </c>
      <c r="PH83" s="56"/>
      <c r="PK83" s="55">
        <f t="shared" si="652"/>
        <v>46089</v>
      </c>
      <c r="PL83" s="56"/>
      <c r="PM83" s="242">
        <f>SUMPRODUCT(PRODUCE!$B94:$DY94,PRODUCE!$EB$54:$IY$54)</f>
        <v>0</v>
      </c>
      <c r="PN83" s="56"/>
      <c r="PO83" s="242">
        <f t="shared" si="653"/>
        <v>0</v>
      </c>
      <c r="PP83" s="242">
        <f t="shared" si="654"/>
        <v>100</v>
      </c>
      <c r="PQ83" s="56"/>
      <c r="PT83" s="55">
        <f t="shared" si="655"/>
        <v>46089</v>
      </c>
      <c r="PU83" s="56"/>
      <c r="PV83" s="242">
        <f>SUMPRODUCT(PRODUCE!$B94:$DY94,PRODUCE!$EB$55:$IY$55)</f>
        <v>0</v>
      </c>
      <c r="PW83" s="56"/>
      <c r="PX83" s="242">
        <f t="shared" si="656"/>
        <v>0</v>
      </c>
      <c r="PY83" s="242">
        <f t="shared" si="657"/>
        <v>13.960000000000036</v>
      </c>
      <c r="PZ83" s="56"/>
      <c r="QC83" s="55">
        <f t="shared" si="658"/>
        <v>46089</v>
      </c>
      <c r="QD83" s="56"/>
      <c r="QE83" s="242">
        <f>SUMPRODUCT(PRODUCE!$B94:$DY94,PRODUCE!$EB$56:$IY$56)</f>
        <v>0</v>
      </c>
      <c r="QF83" s="56"/>
      <c r="QG83" s="242">
        <f t="shared" si="659"/>
        <v>0</v>
      </c>
      <c r="QH83" s="242">
        <f t="shared" si="660"/>
        <v>1212</v>
      </c>
      <c r="QI83" s="56"/>
      <c r="QL83" s="55">
        <f t="shared" si="661"/>
        <v>46089</v>
      </c>
      <c r="QM83" s="56"/>
      <c r="QN83" s="242">
        <f>SUMPRODUCT(PRODUCE!$B94:$DY94,PRODUCE!$EB$57:$IY$57)</f>
        <v>0</v>
      </c>
      <c r="QO83" s="56"/>
      <c r="QP83" s="242">
        <f t="shared" si="662"/>
        <v>0</v>
      </c>
      <c r="QQ83" s="242">
        <f t="shared" si="663"/>
        <v>0</v>
      </c>
      <c r="QR83" s="56"/>
      <c r="QU83" s="55">
        <f t="shared" si="664"/>
        <v>46089</v>
      </c>
      <c r="QV83" s="56"/>
      <c r="QW83" s="242">
        <f>SUMPRODUCT(PRODUCE!$B94:$DY94,PRODUCE!$EB$57:$IY$57)</f>
        <v>0</v>
      </c>
      <c r="QX83" s="56"/>
      <c r="QY83" s="242">
        <f t="shared" si="665"/>
        <v>0</v>
      </c>
      <c r="QZ83" s="242">
        <f t="shared" si="666"/>
        <v>207.6</v>
      </c>
      <c r="RA83" s="56"/>
      <c r="RD83" s="55">
        <f t="shared" si="667"/>
        <v>46089</v>
      </c>
      <c r="RE83" s="56"/>
      <c r="RF83" s="242">
        <f>SUMPRODUCT(PRODUCE!$B94:$DY94,PRODUCE!$EB$58:$IY$58)</f>
        <v>0</v>
      </c>
      <c r="RG83" s="56"/>
      <c r="RH83" s="242">
        <f t="shared" si="668"/>
        <v>0</v>
      </c>
      <c r="RI83" s="242">
        <f t="shared" si="669"/>
        <v>197.04000000000002</v>
      </c>
      <c r="RJ83" s="56"/>
      <c r="RM83" s="55">
        <f t="shared" si="670"/>
        <v>46089</v>
      </c>
      <c r="RN83" s="56"/>
      <c r="RO83" s="242">
        <f>SUMPRODUCT(PRODUCE!$B94:$DY94,PRODUCE!$EB$57:$IY$57)</f>
        <v>0</v>
      </c>
      <c r="RP83" s="56"/>
      <c r="RQ83" s="242">
        <f t="shared" si="671"/>
        <v>0</v>
      </c>
      <c r="RR83" s="242">
        <f t="shared" si="672"/>
        <v>46.8</v>
      </c>
      <c r="RS83" s="56"/>
      <c r="RV83" s="55">
        <f t="shared" si="673"/>
        <v>46089</v>
      </c>
      <c r="RW83" s="56"/>
      <c r="RX83" s="242">
        <f>SUMPRODUCT(PRODUCE!$B94:$DY94,PRODUCE!$EB$57:$IY$57)</f>
        <v>0</v>
      </c>
      <c r="RY83" s="56"/>
      <c r="RZ83" s="242">
        <f t="shared" si="674"/>
        <v>0</v>
      </c>
      <c r="SA83" s="242">
        <f t="shared" si="675"/>
        <v>0</v>
      </c>
      <c r="SB83" s="56"/>
      <c r="SE83" s="55">
        <f t="shared" si="676"/>
        <v>46089</v>
      </c>
      <c r="SF83" s="56"/>
      <c r="SG83" s="242">
        <f>SUMPRODUCT(PRODUCE!$B94:$DY94,PRODUCE!$EB$57:$IY$57)</f>
        <v>0</v>
      </c>
      <c r="SH83" s="56"/>
      <c r="SI83" s="242">
        <f t="shared" si="677"/>
        <v>0</v>
      </c>
      <c r="SJ83" s="242">
        <f t="shared" si="678"/>
        <v>0</v>
      </c>
      <c r="SK83" s="56"/>
      <c r="SN83" s="55">
        <f t="shared" si="679"/>
        <v>46089</v>
      </c>
      <c r="SO83" s="56"/>
      <c r="SP83" s="242">
        <f>SUMPRODUCT(PRODUCE!$B94:$DY94,PRODUCE!$EB$57:$IY$57)</f>
        <v>0</v>
      </c>
      <c r="SQ83" s="56"/>
      <c r="SR83" s="242">
        <f t="shared" si="680"/>
        <v>0</v>
      </c>
      <c r="SS83" s="242">
        <f t="shared" si="681"/>
        <v>0</v>
      </c>
      <c r="ST83" s="56"/>
      <c r="SW83" s="55">
        <f t="shared" si="682"/>
        <v>46089</v>
      </c>
      <c r="SX83" s="56"/>
      <c r="SY83" s="242">
        <f>SUMPRODUCT(PRODUCE!$B94:$DY94,PRODUCE!$EB$57:$IY$57)</f>
        <v>0</v>
      </c>
      <c r="SZ83" s="56"/>
      <c r="TA83" s="242">
        <f t="shared" si="683"/>
        <v>0</v>
      </c>
      <c r="TB83" s="242">
        <f t="shared" si="684"/>
        <v>0</v>
      </c>
      <c r="TC83" s="56"/>
      <c r="TF83" s="55">
        <f t="shared" si="685"/>
        <v>46089</v>
      </c>
      <c r="TG83" s="56"/>
      <c r="TH83" s="242">
        <f>SUMPRODUCT(PRODUCE!$B94:$DY94,PRODUCE!$EB$57:$IY$57)</f>
        <v>0</v>
      </c>
      <c r="TI83" s="56"/>
      <c r="TJ83" s="242">
        <f t="shared" si="686"/>
        <v>0</v>
      </c>
      <c r="TK83" s="242">
        <f t="shared" si="687"/>
        <v>0</v>
      </c>
      <c r="TL83" s="56"/>
      <c r="TO83" s="55">
        <f t="shared" si="688"/>
        <v>46089</v>
      </c>
      <c r="TP83" s="56"/>
      <c r="TQ83" s="242">
        <f>SUMPRODUCT(PRODUCE!$B94:$DY94,PRODUCE!$EB$57:$IY$57)</f>
        <v>0</v>
      </c>
      <c r="TR83" s="56"/>
      <c r="TS83" s="242">
        <f t="shared" si="689"/>
        <v>0</v>
      </c>
      <c r="TT83" s="242">
        <f t="shared" si="690"/>
        <v>0</v>
      </c>
      <c r="TU83" s="56"/>
      <c r="TX83" s="55">
        <f t="shared" si="691"/>
        <v>46089</v>
      </c>
      <c r="TY83" s="56"/>
      <c r="TZ83" s="242">
        <f>SUMPRODUCT(PRODUCE!$B94:$DY94,PRODUCE!$EB$57:$IY$57)</f>
        <v>0</v>
      </c>
      <c r="UA83" s="56"/>
      <c r="UB83" s="242">
        <f t="shared" si="692"/>
        <v>0</v>
      </c>
      <c r="UC83" s="242">
        <f t="shared" si="693"/>
        <v>0</v>
      </c>
      <c r="UD83" s="56"/>
      <c r="UG83" s="55">
        <f t="shared" si="694"/>
        <v>46089</v>
      </c>
      <c r="UH83" s="56"/>
      <c r="UI83" s="242">
        <f>SUMPRODUCT(PRODUCE!$B94:$DY94,PRODUCE!$EB$57:$IY$57)</f>
        <v>0</v>
      </c>
      <c r="UJ83" s="56"/>
      <c r="UK83" s="242">
        <f t="shared" si="695"/>
        <v>0</v>
      </c>
      <c r="UL83" s="242">
        <f t="shared" si="696"/>
        <v>0</v>
      </c>
      <c r="UM83" s="56"/>
      <c r="UP83" s="55">
        <f t="shared" si="697"/>
        <v>46089</v>
      </c>
      <c r="UQ83" s="56"/>
      <c r="UR83" s="242">
        <f>SUMPRODUCT(PRODUCE!$B94:$DY94,PRODUCE!$EB$57:$IY$57)</f>
        <v>0</v>
      </c>
      <c r="US83" s="56"/>
      <c r="UT83" s="242">
        <f t="shared" si="698"/>
        <v>0</v>
      </c>
      <c r="UU83" s="242">
        <f t="shared" si="699"/>
        <v>0</v>
      </c>
      <c r="UV83" s="56"/>
      <c r="UY83" s="55">
        <f t="shared" si="700"/>
        <v>46089</v>
      </c>
      <c r="UZ83" s="56"/>
      <c r="VA83" s="242">
        <f>SUMPRODUCT(PRODUCE!$B94:$DY94,PRODUCE!$EB$57:$IY$57)</f>
        <v>0</v>
      </c>
      <c r="VB83" s="56"/>
      <c r="VC83" s="242">
        <f t="shared" si="701"/>
        <v>0</v>
      </c>
      <c r="VD83" s="242">
        <f t="shared" si="702"/>
        <v>41.600000000000023</v>
      </c>
      <c r="VE83" s="56"/>
      <c r="VH83" s="55">
        <f t="shared" si="703"/>
        <v>46089</v>
      </c>
      <c r="VI83" s="56"/>
      <c r="VJ83" s="242">
        <f>SUMPRODUCT(PRODUCE!$B94:$DY94,PRODUCE!$EB$57:$IY$57)</f>
        <v>0</v>
      </c>
      <c r="VK83" s="56"/>
      <c r="VL83" s="242">
        <f t="shared" si="704"/>
        <v>0</v>
      </c>
      <c r="VM83" s="242">
        <f t="shared" si="705"/>
        <v>0</v>
      </c>
      <c r="VN83" s="56"/>
      <c r="VQ83" s="55">
        <f t="shared" si="706"/>
        <v>46089</v>
      </c>
      <c r="VR83" s="56"/>
      <c r="VS83" s="242">
        <f>SUMPRODUCT(PRODUCE!$B94:$DY94,PRODUCE!$EB$57:$IY$57)</f>
        <v>0</v>
      </c>
      <c r="VT83" s="56"/>
      <c r="VU83" s="242">
        <f t="shared" si="707"/>
        <v>0</v>
      </c>
      <c r="VV83" s="242">
        <f t="shared" si="708"/>
        <v>0</v>
      </c>
      <c r="VW83" s="56"/>
      <c r="VZ83" s="55">
        <f t="shared" si="709"/>
        <v>46089</v>
      </c>
      <c r="WA83" s="56"/>
      <c r="WB83" s="242">
        <f>SUMPRODUCT(PRODUCE!$B94:$DY94,PRODUCE!$EB$57:$IY$57)</f>
        <v>0</v>
      </c>
      <c r="WC83" s="56"/>
      <c r="WD83" s="242">
        <f t="shared" si="710"/>
        <v>0</v>
      </c>
      <c r="WE83" s="242">
        <f t="shared" si="711"/>
        <v>0</v>
      </c>
      <c r="WF83" s="56"/>
      <c r="WI83" s="55">
        <f t="shared" si="712"/>
        <v>46089</v>
      </c>
      <c r="WJ83" s="56"/>
      <c r="WK83" s="242">
        <f>SUMPRODUCT(PRODUCE!$B94:$DY94,PRODUCE!$EB$57:$IY$57)</f>
        <v>0</v>
      </c>
      <c r="WL83" s="56"/>
      <c r="WM83" s="242">
        <f t="shared" si="713"/>
        <v>0</v>
      </c>
      <c r="WN83" s="242">
        <f t="shared" si="714"/>
        <v>6022</v>
      </c>
      <c r="WO83" s="56"/>
      <c r="WR83" s="55">
        <f t="shared" si="715"/>
        <v>46089</v>
      </c>
      <c r="WS83" s="56"/>
      <c r="WT83" s="242">
        <f>SUMPRODUCT(PRODUCE!$B94:$DY94,PRODUCE!$EB$57:$IY$57)</f>
        <v>0</v>
      </c>
      <c r="WU83" s="56"/>
      <c r="WV83" s="242">
        <f t="shared" si="716"/>
        <v>0</v>
      </c>
      <c r="WW83" s="242">
        <f t="shared" si="717"/>
        <v>5955</v>
      </c>
      <c r="WX83" s="56"/>
      <c r="XA83" s="55">
        <f t="shared" si="718"/>
        <v>46089</v>
      </c>
      <c r="XB83" s="56"/>
      <c r="XC83" s="242">
        <f>SUMPRODUCT(PRODUCE!$B94:$DY94,PRODUCE!$EB$57:$IY$57)</f>
        <v>0</v>
      </c>
      <c r="XD83" s="56"/>
      <c r="XE83" s="242">
        <f t="shared" si="719"/>
        <v>0</v>
      </c>
      <c r="XF83" s="242">
        <f t="shared" si="720"/>
        <v>590</v>
      </c>
      <c r="XG83" s="56"/>
      <c r="XJ83" s="55">
        <f t="shared" si="721"/>
        <v>46089</v>
      </c>
      <c r="XK83" s="56"/>
      <c r="XL83" s="242">
        <f>SUMPRODUCT(PRODUCE!$B94:$DY94,PRODUCE!$EB$57:$IY$57)</f>
        <v>0</v>
      </c>
      <c r="XM83" s="56"/>
      <c r="XN83" s="242">
        <f t="shared" si="722"/>
        <v>0</v>
      </c>
      <c r="XO83" s="242">
        <f t="shared" si="723"/>
        <v>2124</v>
      </c>
      <c r="XP83" s="56"/>
      <c r="XS83" s="55">
        <f t="shared" si="724"/>
        <v>46089</v>
      </c>
      <c r="XT83" s="56"/>
      <c r="XU83" s="242">
        <f>SUMPRODUCT(PRODUCE!$B94:$DY94,PRODUCE!$EB$57:$IY$57)</f>
        <v>0</v>
      </c>
      <c r="XV83" s="56"/>
      <c r="XW83" s="242">
        <f t="shared" si="725"/>
        <v>0</v>
      </c>
      <c r="XX83" s="242">
        <f t="shared" si="726"/>
        <v>1901</v>
      </c>
      <c r="XY83" s="56"/>
      <c r="YB83" s="55">
        <f t="shared" si="727"/>
        <v>46089</v>
      </c>
      <c r="YC83" s="56"/>
      <c r="YD83" s="242">
        <f>SUMPRODUCT(PRODUCE!$B94:$DY94,PRODUCE!$EB$57:$IY$57)</f>
        <v>0</v>
      </c>
      <c r="YE83" s="56"/>
      <c r="YF83" s="242">
        <f t="shared" si="728"/>
        <v>0</v>
      </c>
      <c r="YG83" s="242">
        <f t="shared" si="729"/>
        <v>0</v>
      </c>
      <c r="YH83" s="56"/>
      <c r="YK83" s="55">
        <f t="shared" si="730"/>
        <v>46089</v>
      </c>
      <c r="YL83" s="56"/>
      <c r="YM83" s="242">
        <f>SUMPRODUCT(PRODUCE!$B94:$DY94,PRODUCE!$EB$57:$IY$57)</f>
        <v>0</v>
      </c>
      <c r="YN83" s="56"/>
      <c r="YO83" s="242">
        <f t="shared" si="731"/>
        <v>0</v>
      </c>
      <c r="YP83" s="242">
        <f t="shared" si="732"/>
        <v>0</v>
      </c>
      <c r="YQ83" s="56"/>
      <c r="YT83" s="55">
        <f t="shared" si="733"/>
        <v>46089</v>
      </c>
      <c r="YU83" s="56"/>
      <c r="YV83" s="242">
        <f>SUMPRODUCT(PRODUCE!$B94:$DY94,PRODUCE!$EB$57:$IY$57)</f>
        <v>0</v>
      </c>
      <c r="YW83" s="56"/>
      <c r="YX83" s="242">
        <f t="shared" si="734"/>
        <v>0</v>
      </c>
      <c r="YY83" s="242">
        <f t="shared" si="735"/>
        <v>0</v>
      </c>
      <c r="YZ83" s="56"/>
      <c r="ZC83" s="55">
        <f t="shared" si="736"/>
        <v>46089</v>
      </c>
      <c r="ZD83" s="56"/>
      <c r="ZE83" s="242">
        <f>SUMPRODUCT(PRODUCE!$B94:$DY94,PRODUCE!$EB$57:$IY$57)</f>
        <v>0</v>
      </c>
      <c r="ZF83" s="56"/>
      <c r="ZG83" s="242">
        <f t="shared" si="737"/>
        <v>0</v>
      </c>
      <c r="ZH83" s="242">
        <f t="shared" si="738"/>
        <v>0</v>
      </c>
      <c r="ZI83" s="56"/>
      <c r="ZL83" s="55">
        <f t="shared" si="739"/>
        <v>46089</v>
      </c>
      <c r="ZM83" s="56"/>
      <c r="ZN83" s="242">
        <f>SUMPRODUCT(PRODUCE!$B94:$DY94,PRODUCE!$EB$57:$IY$57)</f>
        <v>0</v>
      </c>
      <c r="ZO83" s="56"/>
      <c r="ZP83" s="242">
        <f t="shared" si="740"/>
        <v>0</v>
      </c>
      <c r="ZQ83" s="242">
        <f t="shared" si="741"/>
        <v>0</v>
      </c>
      <c r="ZR83" s="56"/>
      <c r="ZU83" s="55">
        <f t="shared" si="742"/>
        <v>46089</v>
      </c>
      <c r="ZV83" s="56"/>
      <c r="ZW83" s="242">
        <f>SUMPRODUCT(PRODUCE!$B94:$DY94,PRODUCE!$EB$57:$IY$57)</f>
        <v>0</v>
      </c>
      <c r="ZX83" s="56"/>
      <c r="ZY83" s="242">
        <f t="shared" si="743"/>
        <v>0</v>
      </c>
      <c r="ZZ83" s="242">
        <f t="shared" si="744"/>
        <v>0</v>
      </c>
      <c r="AAA83" s="56"/>
      <c r="AAD83" s="55">
        <f t="shared" si="745"/>
        <v>46089</v>
      </c>
      <c r="AAE83" s="56"/>
      <c r="AAF83" s="242">
        <f>SUMPRODUCT(PRODUCE!$B94:$DY94,PRODUCE!$EB$57:$IY$57)</f>
        <v>0</v>
      </c>
      <c r="AAG83" s="56"/>
      <c r="AAH83" s="242">
        <f t="shared" si="746"/>
        <v>0</v>
      </c>
      <c r="AAI83" s="242">
        <f t="shared" si="747"/>
        <v>0</v>
      </c>
      <c r="AAJ83" s="56"/>
      <c r="AAM83" s="55">
        <f t="shared" si="748"/>
        <v>46089</v>
      </c>
      <c r="AAN83" s="56"/>
      <c r="AAO83" s="242">
        <f>SUMPRODUCT(PRODUCE!$B94:$DY94,PRODUCE!$EB$57:$IY$57)</f>
        <v>0</v>
      </c>
      <c r="AAP83" s="56"/>
      <c r="AAQ83" s="242">
        <f t="shared" si="749"/>
        <v>0</v>
      </c>
      <c r="AAR83" s="242">
        <f t="shared" si="750"/>
        <v>0</v>
      </c>
      <c r="AAS83" s="56"/>
      <c r="AAV83" s="55">
        <f t="shared" si="751"/>
        <v>46089</v>
      </c>
      <c r="AAW83" s="56"/>
      <c r="AAX83" s="242">
        <f>SUMPRODUCT(PRODUCE!$B94:$DY94,PRODUCE!$EB$57:$IY$57)</f>
        <v>0</v>
      </c>
      <c r="AAY83" s="56"/>
      <c r="AAZ83" s="242">
        <f t="shared" si="752"/>
        <v>0</v>
      </c>
      <c r="ABA83" s="242">
        <f t="shared" si="753"/>
        <v>0</v>
      </c>
      <c r="ABB83" s="56"/>
      <c r="ABE83" s="55">
        <f t="shared" si="754"/>
        <v>46089</v>
      </c>
      <c r="ABF83" s="56"/>
      <c r="ABG83" s="242">
        <f>SUMPRODUCT(PRODUCE!$B94:$DY94,PRODUCE!$EB$57:$IY$57)</f>
        <v>0</v>
      </c>
      <c r="ABH83" s="56"/>
      <c r="ABI83" s="242">
        <f t="shared" si="755"/>
        <v>0</v>
      </c>
      <c r="ABJ83" s="242">
        <f t="shared" si="756"/>
        <v>0</v>
      </c>
      <c r="ABK83" s="56"/>
    </row>
    <row r="84" spans="2:739" s="54" customFormat="1" ht="15" customHeight="1" outlineLevel="1">
      <c r="B84" s="478">
        <f>20+104</f>
        <v>124</v>
      </c>
      <c r="C84" s="55">
        <v>46090</v>
      </c>
      <c r="D84" s="422"/>
      <c r="E84" s="423">
        <f>SUMPRODUCT(PRODUCE!$B95:$DY95,PRODUCE!$EB$7:$IY$7)</f>
        <v>65909.399999999994</v>
      </c>
      <c r="F84" s="422">
        <v>65908.399999999994</v>
      </c>
      <c r="G84" s="423">
        <f t="shared" si="514"/>
        <v>1</v>
      </c>
      <c r="H84" s="423">
        <f t="shared" si="512"/>
        <v>13182.600000000006</v>
      </c>
      <c r="I84" s="289" t="s">
        <v>221</v>
      </c>
      <c r="L84" s="55">
        <f t="shared" si="513"/>
        <v>46090</v>
      </c>
      <c r="M84" s="422">
        <v>37000</v>
      </c>
      <c r="N84" s="438">
        <f>SUMPRODUCT(PRODUCE!$B95:$DY95,PRODUCE!$EB$8:$IY$8)</f>
        <v>22606</v>
      </c>
      <c r="O84" s="422">
        <v>22606.2</v>
      </c>
      <c r="P84" s="438">
        <f t="shared" si="515"/>
        <v>-0.2000000000007276</v>
      </c>
      <c r="Q84" s="438">
        <f t="shared" si="516"/>
        <v>29804.200000000037</v>
      </c>
      <c r="R84" s="56"/>
      <c r="U84" s="55">
        <f t="shared" si="517"/>
        <v>46090</v>
      </c>
      <c r="V84" s="422"/>
      <c r="W84" s="440">
        <f>SUMPRODUCT(PRODUCE!$B95:$DY95,PRODUCE!$EB$9:$IY$9)</f>
        <v>10170</v>
      </c>
      <c r="X84" s="422">
        <v>10171.200000000001</v>
      </c>
      <c r="Y84" s="440">
        <f t="shared" si="518"/>
        <v>-1.2000000000007276</v>
      </c>
      <c r="Z84" s="440">
        <f t="shared" si="519"/>
        <v>35564.799999999974</v>
      </c>
      <c r="AA84" s="56"/>
      <c r="AD84" s="55">
        <f t="shared" si="520"/>
        <v>46090</v>
      </c>
      <c r="AE84" s="422"/>
      <c r="AF84" s="442">
        <f>SUMPRODUCT(PRODUCE!$B95:$DY95,PRODUCE!$EB$10:$IY$10)</f>
        <v>1448</v>
      </c>
      <c r="AG84" s="422">
        <v>1450.4</v>
      </c>
      <c r="AH84" s="442">
        <f t="shared" si="521"/>
        <v>-2.4000000000000909</v>
      </c>
      <c r="AI84" s="442">
        <f t="shared" si="522"/>
        <v>25067.400000000016</v>
      </c>
      <c r="AJ84" s="56"/>
      <c r="AM84" s="55">
        <f t="shared" si="523"/>
        <v>46090</v>
      </c>
      <c r="AN84" s="422"/>
      <c r="AO84" s="444">
        <f>SUMPRODUCT(PRODUCE!$B95:$DY95,PRODUCE!$EB$11:$IY$11)</f>
        <v>0</v>
      </c>
      <c r="AP84" s="422"/>
      <c r="AQ84" s="444">
        <f t="shared" si="524"/>
        <v>0</v>
      </c>
      <c r="AR84" s="444">
        <f t="shared" si="525"/>
        <v>0</v>
      </c>
      <c r="AS84" s="56"/>
      <c r="AV84" s="55">
        <f t="shared" si="526"/>
        <v>46090</v>
      </c>
      <c r="AW84" s="422"/>
      <c r="AX84" s="446">
        <f>SUMPRODUCT(PRODUCE!$B95:$DY95,PRODUCE!$EB$12:$IY$12)</f>
        <v>500</v>
      </c>
      <c r="AY84" s="422">
        <v>499.8</v>
      </c>
      <c r="AZ84" s="446">
        <f t="shared" si="527"/>
        <v>0.19999999999998863</v>
      </c>
      <c r="BA84" s="446">
        <f t="shared" si="528"/>
        <v>46401.399999999987</v>
      </c>
      <c r="BB84" s="56"/>
      <c r="BE84" s="55">
        <f t="shared" si="529"/>
        <v>46090</v>
      </c>
      <c r="BF84" s="422"/>
      <c r="BG84" s="448">
        <f>SUMPRODUCT(PRODUCE!$B95:$DY95,PRODUCE!$EB$13:$IY$13)</f>
        <v>5240</v>
      </c>
      <c r="BH84" s="422">
        <v>5240.7</v>
      </c>
      <c r="BI84" s="448">
        <f t="shared" si="530"/>
        <v>-0.6999999999998181</v>
      </c>
      <c r="BJ84" s="448">
        <f t="shared" si="531"/>
        <v>1328.9000000000042</v>
      </c>
      <c r="BK84" s="56"/>
      <c r="BN84" s="55">
        <f t="shared" si="532"/>
        <v>46090</v>
      </c>
      <c r="BO84" s="422">
        <v>2328</v>
      </c>
      <c r="BP84" s="450">
        <f>SUMPRODUCT(PRODUCE!$B95:$DY95,PRODUCE!$EB$14:$IY$14)</f>
        <v>2328</v>
      </c>
      <c r="BQ84" s="422">
        <f>300+2028</f>
        <v>2328</v>
      </c>
      <c r="BR84" s="450">
        <f t="shared" si="533"/>
        <v>0</v>
      </c>
      <c r="BS84" s="450">
        <f t="shared" si="534"/>
        <v>0</v>
      </c>
      <c r="BT84" s="56"/>
      <c r="BW84" s="55">
        <f t="shared" si="535"/>
        <v>46090</v>
      </c>
      <c r="BX84" s="56"/>
      <c r="BY84" s="65">
        <f>SUMPRODUCT(PRODUCE!$B95:$DY95,PRODUCE!$EB$15:$IY$15)</f>
        <v>662.00000000000011</v>
      </c>
      <c r="BZ84" s="56"/>
      <c r="CA84" s="65">
        <f t="shared" si="536"/>
        <v>662.00000000000011</v>
      </c>
      <c r="CB84" s="65">
        <f t="shared" si="537"/>
        <v>4829.8</v>
      </c>
      <c r="CC84" s="56"/>
      <c r="CF84" s="55">
        <f t="shared" si="538"/>
        <v>46090</v>
      </c>
      <c r="CG84" s="56"/>
      <c r="CH84" s="66">
        <f>SUMPRODUCT(PRODUCE!$B95:$DY95,PRODUCE!$EB$16:$IY$16)</f>
        <v>1076.0000000000002</v>
      </c>
      <c r="CI84" s="56"/>
      <c r="CJ84" s="66">
        <f t="shared" si="539"/>
        <v>1076.0000000000002</v>
      </c>
      <c r="CK84" s="66">
        <f t="shared" si="540"/>
        <v>0</v>
      </c>
      <c r="CL84" s="56"/>
      <c r="CO84" s="55">
        <f t="shared" si="541"/>
        <v>46090</v>
      </c>
      <c r="CP84" s="422"/>
      <c r="CQ84" s="470">
        <f>SUMPRODUCT(PRODUCE!$B95:$DY95,PRODUCE!$EB$17:$IY$17)</f>
        <v>0</v>
      </c>
      <c r="CR84" s="422"/>
      <c r="CS84" s="470">
        <f t="shared" si="542"/>
        <v>0</v>
      </c>
      <c r="CT84" s="470">
        <f t="shared" si="543"/>
        <v>0</v>
      </c>
      <c r="CU84" s="56"/>
      <c r="CX84" s="55">
        <f t="shared" si="544"/>
        <v>46090</v>
      </c>
      <c r="CY84" s="56"/>
      <c r="CZ84" s="133">
        <f>SUMPRODUCT(PRODUCE!$B95:$DY95,PRODUCE!$EB$18:$IY$18)</f>
        <v>5870</v>
      </c>
      <c r="DA84" s="56">
        <v>5871.6</v>
      </c>
      <c r="DB84" s="133">
        <f t="shared" si="545"/>
        <v>-1.6000000000003638</v>
      </c>
      <c r="DC84" s="133">
        <f t="shared" si="546"/>
        <v>30685.699999999997</v>
      </c>
      <c r="DD84" s="56"/>
      <c r="DG84" s="55">
        <f t="shared" si="547"/>
        <v>46090</v>
      </c>
      <c r="DH84" s="56">
        <v>10200</v>
      </c>
      <c r="DI84" s="147">
        <f>SUMPRODUCT(PRODUCE!$B95:$DY95,PRODUCE!$EB$19:$IY$19)</f>
        <v>4230</v>
      </c>
      <c r="DJ84" s="56">
        <v>4227.8</v>
      </c>
      <c r="DK84" s="147">
        <f t="shared" si="548"/>
        <v>2.1999999999998181</v>
      </c>
      <c r="DL84" s="147">
        <f t="shared" si="549"/>
        <v>5879.5999999999958</v>
      </c>
      <c r="DM84" s="56"/>
      <c r="DP84" s="55">
        <f t="shared" si="550"/>
        <v>46090</v>
      </c>
      <c r="DQ84" s="56"/>
      <c r="DR84" s="57">
        <f>SUMPRODUCT(PRODUCE!$B95:$DY95,PRODUCE!$EB$20:$IY$20)</f>
        <v>0</v>
      </c>
      <c r="DS84" s="56"/>
      <c r="DT84" s="57">
        <f t="shared" si="551"/>
        <v>0</v>
      </c>
      <c r="DU84" s="57">
        <f t="shared" si="552"/>
        <v>7150</v>
      </c>
      <c r="DV84" s="56"/>
      <c r="DY84" s="55">
        <f t="shared" si="553"/>
        <v>46090</v>
      </c>
      <c r="DZ84" s="56"/>
      <c r="EA84" s="157">
        <f>SUMPRODUCT(PRODUCE!$B95:$DY95,PRODUCE!$EB$21:$IY$21)</f>
        <v>500</v>
      </c>
      <c r="EB84" s="56">
        <v>499.5</v>
      </c>
      <c r="EC84" s="157">
        <f t="shared" si="554"/>
        <v>0.5</v>
      </c>
      <c r="ED84" s="157">
        <f t="shared" si="555"/>
        <v>5197.3</v>
      </c>
      <c r="EE84" s="56"/>
      <c r="EH84" s="55">
        <f t="shared" si="556"/>
        <v>46090</v>
      </c>
      <c r="EI84" s="56"/>
      <c r="EJ84" s="162">
        <f>SUMPRODUCT(PRODUCE!$B95:$DY95,PRODUCE!$EB$22:$IY$22)</f>
        <v>0</v>
      </c>
      <c r="EK84" s="56"/>
      <c r="EL84" s="162">
        <f t="shared" si="557"/>
        <v>0</v>
      </c>
      <c r="EM84" s="162">
        <f t="shared" si="558"/>
        <v>0</v>
      </c>
      <c r="EN84" s="56"/>
      <c r="EQ84" s="55">
        <f t="shared" si="559"/>
        <v>46090</v>
      </c>
      <c r="ER84" s="56"/>
      <c r="ES84" s="135">
        <f>SUMPRODUCT(PRODUCE!$B95:$DY95,PRODUCE!$EB$23:$IY$23)</f>
        <v>0</v>
      </c>
      <c r="ET84" s="56"/>
      <c r="EU84" s="135">
        <f t="shared" si="560"/>
        <v>0</v>
      </c>
      <c r="EV84" s="135">
        <f t="shared" si="561"/>
        <v>0</v>
      </c>
      <c r="EW84" s="56"/>
      <c r="EZ84" s="55">
        <f t="shared" si="562"/>
        <v>46090</v>
      </c>
      <c r="FA84" s="56"/>
      <c r="FB84" s="175">
        <f>SUMPRODUCT(PRODUCE!$B95:$DY95,PRODUCE!$EB$24:$IY$24)</f>
        <v>0</v>
      </c>
      <c r="FC84" s="56"/>
      <c r="FD84" s="175">
        <f t="shared" si="563"/>
        <v>0</v>
      </c>
      <c r="FE84" s="175">
        <f t="shared" si="564"/>
        <v>0</v>
      </c>
      <c r="FF84" s="56"/>
      <c r="FI84" s="55">
        <f t="shared" si="565"/>
        <v>46090</v>
      </c>
      <c r="FJ84" s="56"/>
      <c r="FK84" s="183">
        <f>SUMPRODUCT(PRODUCE!$B95:$DY95,PRODUCE!$EB$25:$IY$25)</f>
        <v>0</v>
      </c>
      <c r="FL84" s="56"/>
      <c r="FM84" s="183">
        <f t="shared" si="566"/>
        <v>0</v>
      </c>
      <c r="FN84" s="183">
        <f t="shared" si="567"/>
        <v>0</v>
      </c>
      <c r="FO84" s="56"/>
      <c r="FR84" s="55">
        <f t="shared" si="568"/>
        <v>46090</v>
      </c>
      <c r="FS84" s="422"/>
      <c r="FT84" s="452">
        <f>SUMPRODUCT(PRODUCE!$B95:$DY95,PRODUCE!$EB$26:$IY$26)</f>
        <v>0</v>
      </c>
      <c r="FU84" s="422"/>
      <c r="FV84" s="452">
        <f t="shared" si="569"/>
        <v>0</v>
      </c>
      <c r="FW84" s="452">
        <f t="shared" si="570"/>
        <v>20</v>
      </c>
      <c r="FX84" s="56"/>
      <c r="GA84" s="55">
        <f t="shared" si="571"/>
        <v>46090</v>
      </c>
      <c r="GB84" s="422"/>
      <c r="GC84" s="454">
        <f>SUMPRODUCT(PRODUCE!$B95:$DY95,PRODUCE!$EB$27:$IY$27)</f>
        <v>0</v>
      </c>
      <c r="GD84" s="422"/>
      <c r="GE84" s="454">
        <f t="shared" si="572"/>
        <v>0</v>
      </c>
      <c r="GF84" s="454">
        <f t="shared" si="573"/>
        <v>5560</v>
      </c>
      <c r="GG84" s="56"/>
      <c r="GI84" s="23"/>
      <c r="GJ84" s="55">
        <f t="shared" si="574"/>
        <v>46090</v>
      </c>
      <c r="GK84" s="422"/>
      <c r="GL84" s="456">
        <f>SUMPRODUCT(PRODUCE!$B95:$DY95,PRODUCE!$EB$28:$IY$28)</f>
        <v>0</v>
      </c>
      <c r="GM84" s="422"/>
      <c r="GN84" s="456">
        <f t="shared" si="575"/>
        <v>0</v>
      </c>
      <c r="GO84" s="456">
        <f t="shared" si="576"/>
        <v>5240</v>
      </c>
      <c r="GP84" s="56"/>
      <c r="GS84" s="55">
        <f t="shared" si="577"/>
        <v>46090</v>
      </c>
      <c r="GT84" s="56"/>
      <c r="GU84" s="195">
        <f>SUMPRODUCT(PRODUCE!$B95:$DY95,PRODUCE!$EB$29:$IY$29)</f>
        <v>0</v>
      </c>
      <c r="GV84" s="56"/>
      <c r="GW84" s="195">
        <f t="shared" si="578"/>
        <v>0</v>
      </c>
      <c r="GX84" s="195">
        <f t="shared" si="579"/>
        <v>0</v>
      </c>
      <c r="GY84" s="56"/>
      <c r="HB84" s="55">
        <f t="shared" si="580"/>
        <v>46090</v>
      </c>
      <c r="HC84" s="56"/>
      <c r="HD84" s="191">
        <f>SUMPRODUCT(PRODUCE!$B95:$DY95,PRODUCE!$EB$30:$IY$30)</f>
        <v>0</v>
      </c>
      <c r="HE84" s="56"/>
      <c r="HF84" s="191">
        <f t="shared" si="581"/>
        <v>0</v>
      </c>
      <c r="HG84" s="191">
        <f t="shared" si="582"/>
        <v>0</v>
      </c>
      <c r="HH84" s="56"/>
      <c r="HK84" s="55">
        <f t="shared" si="583"/>
        <v>46090</v>
      </c>
      <c r="HL84" s="56"/>
      <c r="HM84" s="63">
        <f>SUMPRODUCT(PRODUCE!$B95:$DY95,PRODUCE!$EB$31:$IY$31)</f>
        <v>0</v>
      </c>
      <c r="HN84" s="56"/>
      <c r="HO84" s="63">
        <f t="shared" si="584"/>
        <v>0</v>
      </c>
      <c r="HP84" s="63">
        <f t="shared" si="585"/>
        <v>0</v>
      </c>
      <c r="HQ84" s="56"/>
      <c r="HU84" s="55">
        <f t="shared" si="586"/>
        <v>46090</v>
      </c>
      <c r="HV84" s="56"/>
      <c r="HW84" s="242">
        <f>SUMPRODUCT(PRODUCE!$B95:$DY95,PRODUCE!$EB$32:$IY$32)</f>
        <v>0</v>
      </c>
      <c r="HX84" s="56"/>
      <c r="HY84" s="242">
        <f t="shared" si="587"/>
        <v>0</v>
      </c>
      <c r="HZ84" s="242">
        <f t="shared" si="588"/>
        <v>5120</v>
      </c>
      <c r="IA84" s="56"/>
      <c r="ID84" s="55">
        <f t="shared" si="589"/>
        <v>46090</v>
      </c>
      <c r="IE84" s="56"/>
      <c r="IF84" s="242">
        <f>SUMPRODUCT(PRODUCE!$B95:$DY95,PRODUCE!$EB$33:$IY$33)</f>
        <v>0</v>
      </c>
      <c r="IG84" s="56"/>
      <c r="IH84" s="242">
        <f t="shared" si="590"/>
        <v>0</v>
      </c>
      <c r="II84" s="242">
        <f t="shared" si="591"/>
        <v>6540</v>
      </c>
      <c r="IJ84" s="56"/>
      <c r="IM84" s="55">
        <f t="shared" si="592"/>
        <v>46090</v>
      </c>
      <c r="IN84" s="56"/>
      <c r="IO84" s="242">
        <f>SUMPRODUCT(PRODUCE!$B95:$DY95,PRODUCE!$EB$34:$IY$34)</f>
        <v>0</v>
      </c>
      <c r="IP84" s="56"/>
      <c r="IQ84" s="242">
        <f t="shared" si="593"/>
        <v>0</v>
      </c>
      <c r="IR84" s="242">
        <f t="shared" si="594"/>
        <v>11540</v>
      </c>
      <c r="IS84" s="56"/>
      <c r="IV84" s="55">
        <f t="shared" si="595"/>
        <v>46090</v>
      </c>
      <c r="IW84" s="56"/>
      <c r="IX84" s="242">
        <f>SUMPRODUCT(PRODUCE!$B95:$DY95,PRODUCE!$EB$35:$IY$35)</f>
        <v>0</v>
      </c>
      <c r="IY84" s="56"/>
      <c r="IZ84" s="242">
        <f t="shared" si="596"/>
        <v>0</v>
      </c>
      <c r="JA84" s="242">
        <f t="shared" si="597"/>
        <v>15120</v>
      </c>
      <c r="JB84" s="56"/>
      <c r="JE84" s="55">
        <f t="shared" si="598"/>
        <v>46090</v>
      </c>
      <c r="JF84" s="56"/>
      <c r="JG84" s="242">
        <f>SUMPRODUCT(PRODUCE!$B95:$DY95,PRODUCE!$EB$36:$IY$36)</f>
        <v>0</v>
      </c>
      <c r="JH84" s="56"/>
      <c r="JI84" s="242">
        <f t="shared" si="599"/>
        <v>0</v>
      </c>
      <c r="JJ84" s="242">
        <f t="shared" si="600"/>
        <v>5040</v>
      </c>
      <c r="JK84" s="56"/>
      <c r="JN84" s="55">
        <f t="shared" si="601"/>
        <v>46090</v>
      </c>
      <c r="JO84" s="56"/>
      <c r="JP84" s="242">
        <f>SUMPRODUCT(PRODUCE!$B95:$DY95,PRODUCE!$EB$37:$IY$37)</f>
        <v>0</v>
      </c>
      <c r="JQ84" s="56"/>
      <c r="JR84" s="242">
        <f t="shared" si="602"/>
        <v>0</v>
      </c>
      <c r="JS84" s="242">
        <f t="shared" si="603"/>
        <v>9100</v>
      </c>
      <c r="JT84" s="56"/>
      <c r="JW84" s="55">
        <f t="shared" si="604"/>
        <v>46090</v>
      </c>
      <c r="JX84" s="56"/>
      <c r="JY84" s="242">
        <f>SUMPRODUCT(PRODUCE!$B95:$DY95,PRODUCE!$EB$38:$IY$38)</f>
        <v>400</v>
      </c>
      <c r="JZ84" s="56"/>
      <c r="KA84" s="242">
        <f t="shared" si="605"/>
        <v>400</v>
      </c>
      <c r="KB84" s="242">
        <f t="shared" si="606"/>
        <v>4740</v>
      </c>
      <c r="KC84" s="56"/>
      <c r="KF84" s="55">
        <f t="shared" si="607"/>
        <v>46090</v>
      </c>
      <c r="KG84" s="56"/>
      <c r="KH84" s="242">
        <f>SUMPRODUCT(PRODUCE!$B95:$DY95,PRODUCE!$EB$39:$IY$39)</f>
        <v>0</v>
      </c>
      <c r="KI84" s="56"/>
      <c r="KJ84" s="242">
        <f t="shared" si="608"/>
        <v>0</v>
      </c>
      <c r="KK84" s="242">
        <f t="shared" si="609"/>
        <v>5284.5</v>
      </c>
      <c r="KL84" s="56"/>
      <c r="KO84" s="55">
        <f t="shared" si="610"/>
        <v>46090</v>
      </c>
      <c r="KP84" s="56"/>
      <c r="KQ84" s="242">
        <f>SUMPRODUCT(PRODUCE!$B95:$DY95,PRODUCE!$EB$40:$IY$40)</f>
        <v>1965.6</v>
      </c>
      <c r="KR84" s="56"/>
      <c r="KS84" s="242">
        <f t="shared" si="611"/>
        <v>1965.6</v>
      </c>
      <c r="KT84" s="242">
        <f t="shared" si="612"/>
        <v>1701.0000000000009</v>
      </c>
      <c r="KU84" s="56"/>
      <c r="KW84" s="23"/>
      <c r="KX84" s="55">
        <f t="shared" si="613"/>
        <v>46090</v>
      </c>
      <c r="KY84" s="56"/>
      <c r="KZ84" s="242">
        <f>SUMPRODUCT(PRODUCE!$B95:$DY95,PRODUCE!$EB$41:$IY$41)</f>
        <v>0</v>
      </c>
      <c r="LA84" s="56"/>
      <c r="LB84" s="242">
        <f t="shared" si="614"/>
        <v>0</v>
      </c>
      <c r="LC84" s="242">
        <f t="shared" si="615"/>
        <v>0</v>
      </c>
      <c r="LD84" s="56"/>
      <c r="LG84" s="55">
        <f t="shared" si="616"/>
        <v>46090</v>
      </c>
      <c r="LH84" s="56"/>
      <c r="LI84" s="242">
        <f>SUMPRODUCT(PRODUCE!$B95:$DY95,PRODUCE!$EB$42:$IY$42)</f>
        <v>0</v>
      </c>
      <c r="LJ84" s="56"/>
      <c r="LK84" s="242">
        <f t="shared" si="617"/>
        <v>0</v>
      </c>
      <c r="LL84" s="242">
        <f t="shared" si="618"/>
        <v>0</v>
      </c>
      <c r="LM84" s="56"/>
      <c r="LP84" s="55">
        <f t="shared" si="619"/>
        <v>46090</v>
      </c>
      <c r="LQ84" s="56"/>
      <c r="LR84" s="242">
        <f>SUMPRODUCT(PRODUCE!$B99:$DY99,PRODUCE!$EB$43:$IY$43)</f>
        <v>0</v>
      </c>
      <c r="LS84" s="56"/>
      <c r="LT84" s="242">
        <f t="shared" si="620"/>
        <v>0</v>
      </c>
      <c r="LU84" s="242">
        <f t="shared" si="621"/>
        <v>0</v>
      </c>
      <c r="LV84" s="56"/>
      <c r="LY84" s="55">
        <f t="shared" si="622"/>
        <v>46090</v>
      </c>
      <c r="LZ84" s="56"/>
      <c r="MA84" s="242">
        <f>SUMPRODUCT(PRODUCE!$B95:$DY95,PRODUCE!$EB$44:$IY$44)</f>
        <v>0</v>
      </c>
      <c r="MB84" s="56"/>
      <c r="MC84" s="242">
        <f t="shared" si="623"/>
        <v>0</v>
      </c>
      <c r="MD84" s="242">
        <f t="shared" si="624"/>
        <v>0</v>
      </c>
      <c r="ME84" s="56"/>
      <c r="MH84" s="55">
        <f t="shared" si="625"/>
        <v>46090</v>
      </c>
      <c r="MI84" s="56"/>
      <c r="MJ84" s="242">
        <f>SUMPRODUCT(PRODUCE!$B95:$DY95,PRODUCE!$EB$45:$IY$45)</f>
        <v>0</v>
      </c>
      <c r="MK84" s="56"/>
      <c r="ML84" s="242">
        <f t="shared" si="626"/>
        <v>0</v>
      </c>
      <c r="MM84" s="242">
        <f t="shared" si="627"/>
        <v>0</v>
      </c>
      <c r="MN84" s="56"/>
      <c r="MQ84" s="55">
        <f t="shared" si="628"/>
        <v>46090</v>
      </c>
      <c r="MR84" s="56"/>
      <c r="MS84" s="242">
        <f>SUMPRODUCT(PRODUCE!$B95:$DY95,PRODUCE!$EB$46:$IY$46)</f>
        <v>248</v>
      </c>
      <c r="MT84" s="56"/>
      <c r="MU84" s="242">
        <f t="shared" si="629"/>
        <v>248</v>
      </c>
      <c r="MV84" s="242">
        <f t="shared" si="630"/>
        <v>3450</v>
      </c>
      <c r="MW84" s="56"/>
      <c r="MZ84" s="55">
        <f t="shared" si="631"/>
        <v>46090</v>
      </c>
      <c r="NA84" s="56"/>
      <c r="NB84" s="242">
        <f>SUMPRODUCT(PRODUCE!$B95:$DY95,PRODUCE!$EB$47:$IY$47)</f>
        <v>372</v>
      </c>
      <c r="NC84" s="56"/>
      <c r="ND84" s="242">
        <f t="shared" si="632"/>
        <v>372</v>
      </c>
      <c r="NE84" s="242">
        <f t="shared" si="633"/>
        <v>0</v>
      </c>
      <c r="NF84" s="56"/>
      <c r="NI84" s="55">
        <f t="shared" si="634"/>
        <v>46090</v>
      </c>
      <c r="NJ84" s="56"/>
      <c r="NK84" s="242">
        <f>SUMPRODUCT(PRODUCE!$B95:$DY95,PRODUCE!$EB$48:$IY$48)</f>
        <v>0</v>
      </c>
      <c r="NL84" s="56"/>
      <c r="NM84" s="242">
        <f t="shared" si="635"/>
        <v>0</v>
      </c>
      <c r="NN84" s="242">
        <f t="shared" si="636"/>
        <v>0</v>
      </c>
      <c r="NO84" s="56"/>
      <c r="NR84" s="55">
        <f t="shared" si="637"/>
        <v>46090</v>
      </c>
      <c r="NS84" s="56"/>
      <c r="NT84" s="242">
        <f>SUMPRODUCT(PRODUCE!$B95:$DY95,PRODUCE!$EB$49:$IY$49)</f>
        <v>128.80000000000001</v>
      </c>
      <c r="NU84" s="56"/>
      <c r="NV84" s="242">
        <f t="shared" si="638"/>
        <v>128.80000000000001</v>
      </c>
      <c r="NW84" s="242">
        <f t="shared" si="639"/>
        <v>1578.9</v>
      </c>
      <c r="NX84" s="56"/>
      <c r="OA84" s="55">
        <f t="shared" si="640"/>
        <v>46090</v>
      </c>
      <c r="OB84" s="56"/>
      <c r="OC84" s="242">
        <f>SUMPRODUCT(PRODUCE!$B95:$DY95,PRODUCE!$EB$50:$IY$50)</f>
        <v>0</v>
      </c>
      <c r="OD84" s="56"/>
      <c r="OE84" s="242">
        <f t="shared" si="641"/>
        <v>0</v>
      </c>
      <c r="OF84" s="242">
        <f t="shared" si="642"/>
        <v>1680.5</v>
      </c>
      <c r="OG84" s="56"/>
      <c r="OJ84" s="55">
        <f t="shared" si="643"/>
        <v>46090</v>
      </c>
      <c r="OK84" s="56"/>
      <c r="OL84" s="242">
        <f>SUMPRODUCT(PRODUCE!$B95:$DY95,PRODUCE!$EB$51:$IY$51)</f>
        <v>346.19999999999993</v>
      </c>
      <c r="OM84" s="56"/>
      <c r="ON84" s="242">
        <f t="shared" si="644"/>
        <v>346.19999999999993</v>
      </c>
      <c r="OO84" s="242">
        <f t="shared" si="645"/>
        <v>0</v>
      </c>
      <c r="OP84" s="56"/>
      <c r="OS84" s="55">
        <f t="shared" si="646"/>
        <v>46090</v>
      </c>
      <c r="OT84" s="56"/>
      <c r="OU84" s="242">
        <f>SUMPRODUCT(PRODUCE!$B95:$DY95,PRODUCE!$EB$52:$IY$52)</f>
        <v>0</v>
      </c>
      <c r="OV84" s="56"/>
      <c r="OW84" s="242">
        <f t="shared" si="647"/>
        <v>0</v>
      </c>
      <c r="OX84" s="242">
        <f t="shared" si="648"/>
        <v>0</v>
      </c>
      <c r="OY84" s="56"/>
      <c r="PB84" s="55">
        <f t="shared" si="649"/>
        <v>46090</v>
      </c>
      <c r="PC84" s="56"/>
      <c r="PD84" s="242">
        <f>SUMPRODUCT(PRODUCE!$B95:$DY95,PRODUCE!$EB$53:$IY$53)</f>
        <v>0</v>
      </c>
      <c r="PE84" s="56"/>
      <c r="PF84" s="242">
        <f t="shared" si="650"/>
        <v>0</v>
      </c>
      <c r="PG84" s="242">
        <f t="shared" si="651"/>
        <v>0</v>
      </c>
      <c r="PH84" s="56"/>
      <c r="PK84" s="55">
        <f t="shared" si="652"/>
        <v>46090</v>
      </c>
      <c r="PL84" s="56"/>
      <c r="PM84" s="242">
        <f>SUMPRODUCT(PRODUCE!$B95:$DY95,PRODUCE!$EB$54:$IY$54)</f>
        <v>0</v>
      </c>
      <c r="PN84" s="56"/>
      <c r="PO84" s="242">
        <f t="shared" si="653"/>
        <v>0</v>
      </c>
      <c r="PP84" s="242">
        <f t="shared" si="654"/>
        <v>100</v>
      </c>
      <c r="PQ84" s="56"/>
      <c r="PT84" s="55">
        <f t="shared" si="655"/>
        <v>46090</v>
      </c>
      <c r="PU84" s="56"/>
      <c r="PV84" s="242">
        <f>SUMPRODUCT(PRODUCE!$B95:$DY95,PRODUCE!$EB$55:$IY$55)</f>
        <v>0</v>
      </c>
      <c r="PW84" s="56"/>
      <c r="PX84" s="242">
        <f t="shared" si="656"/>
        <v>0</v>
      </c>
      <c r="PY84" s="242">
        <f t="shared" si="657"/>
        <v>13.960000000000036</v>
      </c>
      <c r="PZ84" s="56"/>
      <c r="QC84" s="55">
        <f t="shared" si="658"/>
        <v>46090</v>
      </c>
      <c r="QD84" s="56"/>
      <c r="QE84" s="242">
        <f>SUMPRODUCT(PRODUCE!$B95:$DY95,PRODUCE!$EB$56:$IY$56)</f>
        <v>0</v>
      </c>
      <c r="QF84" s="56"/>
      <c r="QG84" s="242">
        <f t="shared" si="659"/>
        <v>0</v>
      </c>
      <c r="QH84" s="242">
        <f t="shared" si="660"/>
        <v>1212</v>
      </c>
      <c r="QI84" s="56"/>
      <c r="QL84" s="55">
        <f t="shared" si="661"/>
        <v>46090</v>
      </c>
      <c r="QM84" s="56"/>
      <c r="QN84" s="242">
        <f>SUMPRODUCT(PRODUCE!$B95:$DY95,PRODUCE!$EB$57:$IY$57)</f>
        <v>0</v>
      </c>
      <c r="QO84" s="56"/>
      <c r="QP84" s="242">
        <f t="shared" si="662"/>
        <v>0</v>
      </c>
      <c r="QQ84" s="242">
        <f t="shared" si="663"/>
        <v>0</v>
      </c>
      <c r="QR84" s="56"/>
      <c r="QU84" s="55">
        <f t="shared" si="664"/>
        <v>46090</v>
      </c>
      <c r="QV84" s="56"/>
      <c r="QW84" s="242">
        <f>SUMPRODUCT(PRODUCE!$B95:$DY95,PRODUCE!$EB$57:$IY$57)</f>
        <v>0</v>
      </c>
      <c r="QX84" s="56"/>
      <c r="QY84" s="242">
        <f t="shared" si="665"/>
        <v>0</v>
      </c>
      <c r="QZ84" s="242">
        <f t="shared" si="666"/>
        <v>207.6</v>
      </c>
      <c r="RA84" s="56"/>
      <c r="RD84" s="55">
        <f t="shared" si="667"/>
        <v>46090</v>
      </c>
      <c r="RE84" s="56"/>
      <c r="RF84" s="242">
        <f>SUMPRODUCT(PRODUCE!$B95:$DY95,PRODUCE!$EB$58:$IY$58)</f>
        <v>0</v>
      </c>
      <c r="RG84" s="56"/>
      <c r="RH84" s="242">
        <f t="shared" si="668"/>
        <v>0</v>
      </c>
      <c r="RI84" s="242">
        <f t="shared" si="669"/>
        <v>197.04000000000002</v>
      </c>
      <c r="RJ84" s="56"/>
      <c r="RM84" s="55">
        <f t="shared" si="670"/>
        <v>46090</v>
      </c>
      <c r="RN84" s="56"/>
      <c r="RO84" s="242">
        <f>SUMPRODUCT(PRODUCE!$B95:$DY95,PRODUCE!$EB$57:$IY$57)</f>
        <v>0</v>
      </c>
      <c r="RP84" s="56"/>
      <c r="RQ84" s="242">
        <f t="shared" si="671"/>
        <v>0</v>
      </c>
      <c r="RR84" s="242">
        <f t="shared" si="672"/>
        <v>46.8</v>
      </c>
      <c r="RS84" s="56"/>
      <c r="RV84" s="55">
        <f t="shared" si="673"/>
        <v>46090</v>
      </c>
      <c r="RW84" s="56"/>
      <c r="RX84" s="242">
        <f>SUMPRODUCT(PRODUCE!$B95:$DY95,PRODUCE!$EB$57:$IY$57)</f>
        <v>0</v>
      </c>
      <c r="RY84" s="56"/>
      <c r="RZ84" s="242">
        <f t="shared" si="674"/>
        <v>0</v>
      </c>
      <c r="SA84" s="242">
        <f t="shared" si="675"/>
        <v>0</v>
      </c>
      <c r="SB84" s="56"/>
      <c r="SE84" s="55">
        <f t="shared" si="676"/>
        <v>46090</v>
      </c>
      <c r="SF84" s="56"/>
      <c r="SG84" s="242">
        <f>SUMPRODUCT(PRODUCE!$B95:$DY95,PRODUCE!$EB$57:$IY$57)</f>
        <v>0</v>
      </c>
      <c r="SH84" s="56"/>
      <c r="SI84" s="242">
        <f t="shared" si="677"/>
        <v>0</v>
      </c>
      <c r="SJ84" s="242">
        <f t="shared" si="678"/>
        <v>0</v>
      </c>
      <c r="SK84" s="56"/>
      <c r="SN84" s="55">
        <f t="shared" si="679"/>
        <v>46090</v>
      </c>
      <c r="SO84" s="56"/>
      <c r="SP84" s="242">
        <f>SUMPRODUCT(PRODUCE!$B95:$DY95,PRODUCE!$EB$57:$IY$57)</f>
        <v>0</v>
      </c>
      <c r="SQ84" s="56"/>
      <c r="SR84" s="242">
        <f t="shared" si="680"/>
        <v>0</v>
      </c>
      <c r="SS84" s="242">
        <f t="shared" si="681"/>
        <v>0</v>
      </c>
      <c r="ST84" s="56"/>
      <c r="SW84" s="55">
        <f t="shared" si="682"/>
        <v>46090</v>
      </c>
      <c r="SX84" s="56"/>
      <c r="SY84" s="242">
        <f>SUMPRODUCT(PRODUCE!$B95:$DY95,PRODUCE!$EB$57:$IY$57)</f>
        <v>0</v>
      </c>
      <c r="SZ84" s="56"/>
      <c r="TA84" s="242">
        <f t="shared" si="683"/>
        <v>0</v>
      </c>
      <c r="TB84" s="242">
        <f t="shared" si="684"/>
        <v>0</v>
      </c>
      <c r="TC84" s="56"/>
      <c r="TF84" s="55">
        <f t="shared" si="685"/>
        <v>46090</v>
      </c>
      <c r="TG84" s="56"/>
      <c r="TH84" s="242">
        <f>SUMPRODUCT(PRODUCE!$B95:$DY95,PRODUCE!$EB$57:$IY$57)</f>
        <v>0</v>
      </c>
      <c r="TI84" s="56"/>
      <c r="TJ84" s="242">
        <f t="shared" si="686"/>
        <v>0</v>
      </c>
      <c r="TK84" s="242">
        <f t="shared" si="687"/>
        <v>0</v>
      </c>
      <c r="TL84" s="56"/>
      <c r="TO84" s="55">
        <f t="shared" si="688"/>
        <v>46090</v>
      </c>
      <c r="TP84" s="56"/>
      <c r="TQ84" s="242">
        <f>SUMPRODUCT(PRODUCE!$B95:$DY95,PRODUCE!$EB$57:$IY$57)</f>
        <v>0</v>
      </c>
      <c r="TR84" s="56"/>
      <c r="TS84" s="242">
        <f t="shared" si="689"/>
        <v>0</v>
      </c>
      <c r="TT84" s="242">
        <f t="shared" si="690"/>
        <v>0</v>
      </c>
      <c r="TU84" s="56"/>
      <c r="TX84" s="55">
        <f t="shared" si="691"/>
        <v>46090</v>
      </c>
      <c r="TY84" s="56"/>
      <c r="TZ84" s="242">
        <f>SUMPRODUCT(PRODUCE!$B95:$DY95,PRODUCE!$EB$57:$IY$57)</f>
        <v>0</v>
      </c>
      <c r="UA84" s="56"/>
      <c r="UB84" s="242">
        <f t="shared" si="692"/>
        <v>0</v>
      </c>
      <c r="UC84" s="242">
        <f t="shared" si="693"/>
        <v>0</v>
      </c>
      <c r="UD84" s="56"/>
      <c r="UG84" s="55">
        <f t="shared" si="694"/>
        <v>46090</v>
      </c>
      <c r="UH84" s="56"/>
      <c r="UI84" s="242">
        <f>SUMPRODUCT(PRODUCE!$B95:$DY95,PRODUCE!$EB$57:$IY$57)</f>
        <v>0</v>
      </c>
      <c r="UJ84" s="56"/>
      <c r="UK84" s="242">
        <f t="shared" si="695"/>
        <v>0</v>
      </c>
      <c r="UL84" s="242">
        <f t="shared" si="696"/>
        <v>0</v>
      </c>
      <c r="UM84" s="56"/>
      <c r="UP84" s="55">
        <f t="shared" si="697"/>
        <v>46090</v>
      </c>
      <c r="UQ84" s="56"/>
      <c r="UR84" s="242">
        <f>SUMPRODUCT(PRODUCE!$B95:$DY95,PRODUCE!$EB$57:$IY$57)</f>
        <v>0</v>
      </c>
      <c r="US84" s="56"/>
      <c r="UT84" s="242">
        <f t="shared" si="698"/>
        <v>0</v>
      </c>
      <c r="UU84" s="242">
        <f t="shared" si="699"/>
        <v>0</v>
      </c>
      <c r="UV84" s="56"/>
      <c r="UY84" s="55">
        <f t="shared" si="700"/>
        <v>46090</v>
      </c>
      <c r="UZ84" s="56"/>
      <c r="VA84" s="242">
        <f>SUMPRODUCT(PRODUCE!$B95:$DY95,PRODUCE!$EB$57:$IY$57)</f>
        <v>0</v>
      </c>
      <c r="VB84" s="56"/>
      <c r="VC84" s="242">
        <f t="shared" si="701"/>
        <v>0</v>
      </c>
      <c r="VD84" s="242">
        <f t="shared" si="702"/>
        <v>41.600000000000023</v>
      </c>
      <c r="VE84" s="56"/>
      <c r="VH84" s="55">
        <f t="shared" si="703"/>
        <v>46090</v>
      </c>
      <c r="VI84" s="56"/>
      <c r="VJ84" s="242">
        <f>SUMPRODUCT(PRODUCE!$B95:$DY95,PRODUCE!$EB$57:$IY$57)</f>
        <v>0</v>
      </c>
      <c r="VK84" s="56"/>
      <c r="VL84" s="242">
        <f t="shared" si="704"/>
        <v>0</v>
      </c>
      <c r="VM84" s="242">
        <f t="shared" si="705"/>
        <v>0</v>
      </c>
      <c r="VN84" s="56"/>
      <c r="VQ84" s="55">
        <f t="shared" si="706"/>
        <v>46090</v>
      </c>
      <c r="VR84" s="56"/>
      <c r="VS84" s="242">
        <f>SUMPRODUCT(PRODUCE!$B95:$DY95,PRODUCE!$EB$57:$IY$57)</f>
        <v>0</v>
      </c>
      <c r="VT84" s="56"/>
      <c r="VU84" s="242">
        <f t="shared" si="707"/>
        <v>0</v>
      </c>
      <c r="VV84" s="242">
        <f t="shared" si="708"/>
        <v>0</v>
      </c>
      <c r="VW84" s="56"/>
      <c r="VZ84" s="55">
        <f t="shared" si="709"/>
        <v>46090</v>
      </c>
      <c r="WA84" s="56"/>
      <c r="WB84" s="242">
        <f>SUMPRODUCT(PRODUCE!$B95:$DY95,PRODUCE!$EB$57:$IY$57)</f>
        <v>0</v>
      </c>
      <c r="WC84" s="56"/>
      <c r="WD84" s="242">
        <f t="shared" si="710"/>
        <v>0</v>
      </c>
      <c r="WE84" s="242">
        <f t="shared" si="711"/>
        <v>0</v>
      </c>
      <c r="WF84" s="56"/>
      <c r="WI84" s="55">
        <f t="shared" si="712"/>
        <v>46090</v>
      </c>
      <c r="WJ84" s="56"/>
      <c r="WK84" s="242">
        <f>SUMPRODUCT(PRODUCE!$B95:$DY95,PRODUCE!$EB$57:$IY$57)</f>
        <v>0</v>
      </c>
      <c r="WL84" s="56"/>
      <c r="WM84" s="242">
        <f t="shared" si="713"/>
        <v>0</v>
      </c>
      <c r="WN84" s="242">
        <f t="shared" si="714"/>
        <v>6022</v>
      </c>
      <c r="WO84" s="56"/>
      <c r="WR84" s="55">
        <f t="shared" si="715"/>
        <v>46090</v>
      </c>
      <c r="WS84" s="56"/>
      <c r="WT84" s="242">
        <f>SUMPRODUCT(PRODUCE!$B95:$DY95,PRODUCE!$EB$57:$IY$57)</f>
        <v>0</v>
      </c>
      <c r="WU84" s="56"/>
      <c r="WV84" s="242">
        <f t="shared" si="716"/>
        <v>0</v>
      </c>
      <c r="WW84" s="242">
        <f t="shared" si="717"/>
        <v>5955</v>
      </c>
      <c r="WX84" s="56"/>
      <c r="XA84" s="55">
        <f t="shared" si="718"/>
        <v>46090</v>
      </c>
      <c r="XB84" s="56"/>
      <c r="XC84" s="242">
        <f>SUMPRODUCT(PRODUCE!$B95:$DY95,PRODUCE!$EB$57:$IY$57)</f>
        <v>0</v>
      </c>
      <c r="XD84" s="56"/>
      <c r="XE84" s="242">
        <f t="shared" si="719"/>
        <v>0</v>
      </c>
      <c r="XF84" s="242">
        <f t="shared" si="720"/>
        <v>590</v>
      </c>
      <c r="XG84" s="56"/>
      <c r="XJ84" s="55">
        <f t="shared" si="721"/>
        <v>46090</v>
      </c>
      <c r="XK84" s="56"/>
      <c r="XL84" s="242">
        <f>SUMPRODUCT(PRODUCE!$B95:$DY95,PRODUCE!$EB$57:$IY$57)</f>
        <v>0</v>
      </c>
      <c r="XM84" s="56">
        <v>685</v>
      </c>
      <c r="XN84" s="242">
        <f t="shared" si="722"/>
        <v>-685</v>
      </c>
      <c r="XO84" s="242">
        <f t="shared" si="723"/>
        <v>1439</v>
      </c>
      <c r="XP84" s="56"/>
      <c r="XS84" s="55">
        <f t="shared" si="724"/>
        <v>46090</v>
      </c>
      <c r="XT84" s="56"/>
      <c r="XU84" s="242">
        <f>SUMPRODUCT(PRODUCE!$B95:$DY95,PRODUCE!$EB$57:$IY$57)</f>
        <v>0</v>
      </c>
      <c r="XV84" s="56"/>
      <c r="XW84" s="242">
        <f t="shared" si="725"/>
        <v>0</v>
      </c>
      <c r="XX84" s="242">
        <f t="shared" si="726"/>
        <v>1901</v>
      </c>
      <c r="XY84" s="56"/>
      <c r="YB84" s="55">
        <f t="shared" si="727"/>
        <v>46090</v>
      </c>
      <c r="YC84" s="56"/>
      <c r="YD84" s="242">
        <f>SUMPRODUCT(PRODUCE!$B95:$DY95,PRODUCE!$EB$57:$IY$57)</f>
        <v>0</v>
      </c>
      <c r="YE84" s="56"/>
      <c r="YF84" s="242">
        <f t="shared" si="728"/>
        <v>0</v>
      </c>
      <c r="YG84" s="242">
        <f t="shared" si="729"/>
        <v>0</v>
      </c>
      <c r="YH84" s="56"/>
      <c r="YK84" s="55">
        <f t="shared" si="730"/>
        <v>46090</v>
      </c>
      <c r="YL84" s="56"/>
      <c r="YM84" s="242">
        <f>SUMPRODUCT(PRODUCE!$B95:$DY95,PRODUCE!$EB$57:$IY$57)</f>
        <v>0</v>
      </c>
      <c r="YN84" s="56"/>
      <c r="YO84" s="242">
        <f t="shared" si="731"/>
        <v>0</v>
      </c>
      <c r="YP84" s="242">
        <f t="shared" si="732"/>
        <v>0</v>
      </c>
      <c r="YQ84" s="56"/>
      <c r="YT84" s="55">
        <f t="shared" si="733"/>
        <v>46090</v>
      </c>
      <c r="YU84" s="56"/>
      <c r="YV84" s="242">
        <f>SUMPRODUCT(PRODUCE!$B95:$DY95,PRODUCE!$EB$57:$IY$57)</f>
        <v>0</v>
      </c>
      <c r="YW84" s="56"/>
      <c r="YX84" s="242">
        <f t="shared" si="734"/>
        <v>0</v>
      </c>
      <c r="YY84" s="242">
        <f t="shared" si="735"/>
        <v>0</v>
      </c>
      <c r="YZ84" s="56"/>
      <c r="ZC84" s="55">
        <f t="shared" si="736"/>
        <v>46090</v>
      </c>
      <c r="ZD84" s="56"/>
      <c r="ZE84" s="242">
        <f>SUMPRODUCT(PRODUCE!$B95:$DY95,PRODUCE!$EB$57:$IY$57)</f>
        <v>0</v>
      </c>
      <c r="ZF84" s="56"/>
      <c r="ZG84" s="242">
        <f t="shared" si="737"/>
        <v>0</v>
      </c>
      <c r="ZH84" s="242">
        <f t="shared" si="738"/>
        <v>0</v>
      </c>
      <c r="ZI84" s="56"/>
      <c r="ZL84" s="55">
        <f t="shared" si="739"/>
        <v>46090</v>
      </c>
      <c r="ZM84" s="56"/>
      <c r="ZN84" s="242">
        <f>SUMPRODUCT(PRODUCE!$B95:$DY95,PRODUCE!$EB$57:$IY$57)</f>
        <v>0</v>
      </c>
      <c r="ZO84" s="56"/>
      <c r="ZP84" s="242">
        <f t="shared" si="740"/>
        <v>0</v>
      </c>
      <c r="ZQ84" s="242">
        <f t="shared" si="741"/>
        <v>0</v>
      </c>
      <c r="ZR84" s="56"/>
      <c r="ZU84" s="55">
        <f t="shared" si="742"/>
        <v>46090</v>
      </c>
      <c r="ZV84" s="56"/>
      <c r="ZW84" s="242">
        <f>SUMPRODUCT(PRODUCE!$B95:$DY95,PRODUCE!$EB$57:$IY$57)</f>
        <v>0</v>
      </c>
      <c r="ZX84" s="56"/>
      <c r="ZY84" s="242">
        <f t="shared" si="743"/>
        <v>0</v>
      </c>
      <c r="ZZ84" s="242">
        <f t="shared" si="744"/>
        <v>0</v>
      </c>
      <c r="AAA84" s="56"/>
      <c r="AAD84" s="55">
        <f t="shared" si="745"/>
        <v>46090</v>
      </c>
      <c r="AAE84" s="56"/>
      <c r="AAF84" s="242">
        <f>SUMPRODUCT(PRODUCE!$B95:$DY95,PRODUCE!$EB$57:$IY$57)</f>
        <v>0</v>
      </c>
      <c r="AAG84" s="56"/>
      <c r="AAH84" s="242">
        <f t="shared" si="746"/>
        <v>0</v>
      </c>
      <c r="AAI84" s="242">
        <f t="shared" si="747"/>
        <v>0</v>
      </c>
      <c r="AAJ84" s="56"/>
      <c r="AAM84" s="55">
        <f t="shared" si="748"/>
        <v>46090</v>
      </c>
      <c r="AAN84" s="56"/>
      <c r="AAO84" s="242">
        <f>SUMPRODUCT(PRODUCE!$B95:$DY95,PRODUCE!$EB$57:$IY$57)</f>
        <v>0</v>
      </c>
      <c r="AAP84" s="56"/>
      <c r="AAQ84" s="242">
        <f t="shared" si="749"/>
        <v>0</v>
      </c>
      <c r="AAR84" s="242">
        <f t="shared" si="750"/>
        <v>0</v>
      </c>
      <c r="AAS84" s="56"/>
      <c r="AAV84" s="55">
        <f t="shared" si="751"/>
        <v>46090</v>
      </c>
      <c r="AAW84" s="56"/>
      <c r="AAX84" s="242">
        <f>SUMPRODUCT(PRODUCE!$B95:$DY95,PRODUCE!$EB$57:$IY$57)</f>
        <v>0</v>
      </c>
      <c r="AAY84" s="56"/>
      <c r="AAZ84" s="242">
        <f t="shared" si="752"/>
        <v>0</v>
      </c>
      <c r="ABA84" s="242">
        <f t="shared" si="753"/>
        <v>0</v>
      </c>
      <c r="ABB84" s="56"/>
      <c r="ABE84" s="55">
        <f t="shared" si="754"/>
        <v>46090</v>
      </c>
      <c r="ABF84" s="56"/>
      <c r="ABG84" s="242">
        <f>SUMPRODUCT(PRODUCE!$B95:$DY95,PRODUCE!$EB$57:$IY$57)</f>
        <v>0</v>
      </c>
      <c r="ABH84" s="56"/>
      <c r="ABI84" s="242">
        <f t="shared" si="755"/>
        <v>0</v>
      </c>
      <c r="ABJ84" s="242">
        <f t="shared" si="756"/>
        <v>0</v>
      </c>
      <c r="ABK84" s="56"/>
    </row>
    <row r="85" spans="2:739" s="54" customFormat="1" ht="15" customHeight="1" outlineLevel="1">
      <c r="B85" s="478">
        <v>20</v>
      </c>
      <c r="C85" s="55">
        <v>46091</v>
      </c>
      <c r="D85" s="422">
        <v>52080</v>
      </c>
      <c r="E85" s="423">
        <f>SUMPRODUCT(PRODUCE!$B96:$DY96,PRODUCE!$EB$7:$IY$7)</f>
        <v>11710</v>
      </c>
      <c r="F85" s="422">
        <v>11707.8</v>
      </c>
      <c r="G85" s="423">
        <f t="shared" si="514"/>
        <v>2.2000000000007276</v>
      </c>
      <c r="H85" s="423">
        <f t="shared" si="512"/>
        <v>53554.8</v>
      </c>
      <c r="I85" s="289" t="s">
        <v>222</v>
      </c>
      <c r="L85" s="55">
        <f t="shared" si="513"/>
        <v>46091</v>
      </c>
      <c r="M85" s="422">
        <v>26540</v>
      </c>
      <c r="N85" s="438">
        <f>SUMPRODUCT(PRODUCE!$B96:$DY96,PRODUCE!$EB$8:$IY$8)</f>
        <v>5080</v>
      </c>
      <c r="O85" s="422">
        <v>5079.3999999999996</v>
      </c>
      <c r="P85" s="438">
        <f t="shared" si="515"/>
        <v>0.6000000000003638</v>
      </c>
      <c r="Q85" s="438">
        <f t="shared" si="516"/>
        <v>51264.800000000039</v>
      </c>
      <c r="R85" s="56"/>
      <c r="U85" s="55">
        <f t="shared" si="517"/>
        <v>46091</v>
      </c>
      <c r="V85" s="422"/>
      <c r="W85" s="440">
        <f>SUMPRODUCT(PRODUCE!$B96:$DY96,PRODUCE!$EB$9:$IY$9)</f>
        <v>500</v>
      </c>
      <c r="X85" s="422">
        <v>500.3</v>
      </c>
      <c r="Y85" s="440">
        <f t="shared" si="518"/>
        <v>-0.30000000000001137</v>
      </c>
      <c r="Z85" s="440">
        <f t="shared" si="519"/>
        <v>35064.499999999971</v>
      </c>
      <c r="AA85" s="56"/>
      <c r="AD85" s="55">
        <f t="shared" si="520"/>
        <v>46091</v>
      </c>
      <c r="AE85" s="422"/>
      <c r="AF85" s="442">
        <f>SUMPRODUCT(PRODUCE!$B96:$DY96,PRODUCE!$EB$10:$IY$10)</f>
        <v>1000</v>
      </c>
      <c r="AG85" s="422">
        <v>1000.8</v>
      </c>
      <c r="AH85" s="442">
        <f t="shared" si="521"/>
        <v>-0.79999999999995453</v>
      </c>
      <c r="AI85" s="442">
        <f t="shared" si="522"/>
        <v>24066.600000000017</v>
      </c>
      <c r="AJ85" s="56"/>
      <c r="AM85" s="55">
        <f t="shared" si="523"/>
        <v>46091</v>
      </c>
      <c r="AN85" s="422"/>
      <c r="AO85" s="444">
        <f>SUMPRODUCT(PRODUCE!$B96:$DY96,PRODUCE!$EB$11:$IY$11)</f>
        <v>0</v>
      </c>
      <c r="AP85" s="422"/>
      <c r="AQ85" s="444">
        <f t="shared" si="524"/>
        <v>0</v>
      </c>
      <c r="AR85" s="444">
        <f t="shared" si="525"/>
        <v>0</v>
      </c>
      <c r="AS85" s="56"/>
      <c r="AV85" s="55">
        <f t="shared" si="526"/>
        <v>46091</v>
      </c>
      <c r="AW85" s="422"/>
      <c r="AX85" s="446">
        <f>SUMPRODUCT(PRODUCE!$B96:$DY96,PRODUCE!$EB$12:$IY$12)</f>
        <v>200</v>
      </c>
      <c r="AY85" s="422">
        <v>201.1</v>
      </c>
      <c r="AZ85" s="446">
        <f t="shared" si="527"/>
        <v>-1.0999999999999943</v>
      </c>
      <c r="BA85" s="446">
        <f t="shared" si="528"/>
        <v>46200.299999999988</v>
      </c>
      <c r="BB85" s="56"/>
      <c r="BE85" s="55">
        <f t="shared" si="529"/>
        <v>46091</v>
      </c>
      <c r="BF85" s="422"/>
      <c r="BG85" s="448">
        <f>SUMPRODUCT(PRODUCE!$B96:$DY96,PRODUCE!$EB$13:$IY$13)</f>
        <v>500</v>
      </c>
      <c r="BH85" s="422">
        <v>497.8</v>
      </c>
      <c r="BI85" s="448">
        <f t="shared" si="530"/>
        <v>2.1999999999999886</v>
      </c>
      <c r="BJ85" s="448">
        <f t="shared" si="531"/>
        <v>831.10000000000423</v>
      </c>
      <c r="BK85" s="56"/>
      <c r="BN85" s="55">
        <f t="shared" si="532"/>
        <v>46091</v>
      </c>
      <c r="BO85" s="422">
        <v>500</v>
      </c>
      <c r="BP85" s="450">
        <f>SUMPRODUCT(PRODUCE!$B96:$DY96,PRODUCE!$EB$14:$IY$14)</f>
        <v>500</v>
      </c>
      <c r="BQ85" s="422">
        <v>500</v>
      </c>
      <c r="BR85" s="450">
        <f t="shared" si="533"/>
        <v>0</v>
      </c>
      <c r="BS85" s="450">
        <f t="shared" si="534"/>
        <v>0</v>
      </c>
      <c r="BT85" s="56"/>
      <c r="BW85" s="55">
        <f t="shared" si="535"/>
        <v>46091</v>
      </c>
      <c r="BX85" s="56"/>
      <c r="BY85" s="65">
        <f>SUMPRODUCT(PRODUCE!$B96:$DY96,PRODUCE!$EB$15:$IY$15)</f>
        <v>0</v>
      </c>
      <c r="BZ85" s="56"/>
      <c r="CA85" s="65">
        <f t="shared" si="536"/>
        <v>0</v>
      </c>
      <c r="CB85" s="65">
        <f t="shared" si="537"/>
        <v>4829.8</v>
      </c>
      <c r="CC85" s="56"/>
      <c r="CF85" s="55">
        <f t="shared" si="538"/>
        <v>46091</v>
      </c>
      <c r="CG85" s="56"/>
      <c r="CH85" s="66">
        <f>SUMPRODUCT(PRODUCE!$B96:$DY96,PRODUCE!$EB$16:$IY$16)</f>
        <v>100</v>
      </c>
      <c r="CI85" s="56"/>
      <c r="CJ85" s="66">
        <f t="shared" si="539"/>
        <v>100</v>
      </c>
      <c r="CK85" s="66">
        <f t="shared" si="540"/>
        <v>0</v>
      </c>
      <c r="CL85" s="56"/>
      <c r="CO85" s="55">
        <f t="shared" si="541"/>
        <v>46091</v>
      </c>
      <c r="CP85" s="422"/>
      <c r="CQ85" s="470">
        <f>SUMPRODUCT(PRODUCE!$B96:$DY96,PRODUCE!$EB$17:$IY$17)</f>
        <v>0</v>
      </c>
      <c r="CR85" s="422"/>
      <c r="CS85" s="470">
        <f t="shared" si="542"/>
        <v>0</v>
      </c>
      <c r="CT85" s="470">
        <f t="shared" si="543"/>
        <v>0</v>
      </c>
      <c r="CU85" s="56"/>
      <c r="CX85" s="55">
        <f t="shared" si="544"/>
        <v>46091</v>
      </c>
      <c r="CY85" s="56">
        <v>10240</v>
      </c>
      <c r="CZ85" s="133">
        <f>SUMPRODUCT(PRODUCE!$B96:$DY96,PRODUCE!$EB$18:$IY$18)</f>
        <v>0</v>
      </c>
      <c r="DA85" s="56"/>
      <c r="DB85" s="133">
        <f t="shared" si="545"/>
        <v>0</v>
      </c>
      <c r="DC85" s="133">
        <f t="shared" si="546"/>
        <v>40925.699999999997</v>
      </c>
      <c r="DD85" s="56"/>
      <c r="DG85" s="55">
        <f t="shared" si="547"/>
        <v>46091</v>
      </c>
      <c r="DH85" s="56"/>
      <c r="DI85" s="147">
        <f>SUMPRODUCT(PRODUCE!$B96:$DY96,PRODUCE!$EB$19:$IY$19)</f>
        <v>0</v>
      </c>
      <c r="DJ85" s="56"/>
      <c r="DK85" s="147">
        <f t="shared" si="548"/>
        <v>0</v>
      </c>
      <c r="DL85" s="147">
        <f t="shared" si="549"/>
        <v>5879.5999999999958</v>
      </c>
      <c r="DM85" s="56"/>
      <c r="DP85" s="55">
        <f t="shared" si="550"/>
        <v>46091</v>
      </c>
      <c r="DQ85" s="56"/>
      <c r="DR85" s="57">
        <f>SUMPRODUCT(PRODUCE!$B96:$DY96,PRODUCE!$EB$20:$IY$20)</f>
        <v>0</v>
      </c>
      <c r="DS85" s="56"/>
      <c r="DT85" s="57">
        <f t="shared" si="551"/>
        <v>0</v>
      </c>
      <c r="DU85" s="57">
        <f t="shared" si="552"/>
        <v>7150</v>
      </c>
      <c r="DV85" s="56"/>
      <c r="DY85" s="55">
        <f t="shared" si="553"/>
        <v>46091</v>
      </c>
      <c r="DZ85" s="56"/>
      <c r="EA85" s="157">
        <f>SUMPRODUCT(PRODUCE!$B96:$DY96,PRODUCE!$EB$21:$IY$21)</f>
        <v>0</v>
      </c>
      <c r="EB85" s="56"/>
      <c r="EC85" s="157">
        <f t="shared" si="554"/>
        <v>0</v>
      </c>
      <c r="ED85" s="157">
        <f t="shared" si="555"/>
        <v>5197.3</v>
      </c>
      <c r="EE85" s="56"/>
      <c r="EH85" s="55">
        <f t="shared" si="556"/>
        <v>46091</v>
      </c>
      <c r="EI85" s="56"/>
      <c r="EJ85" s="162">
        <f>SUMPRODUCT(PRODUCE!$B96:$DY96,PRODUCE!$EB$22:$IY$22)</f>
        <v>0</v>
      </c>
      <c r="EK85" s="56"/>
      <c r="EL85" s="162">
        <f t="shared" si="557"/>
        <v>0</v>
      </c>
      <c r="EM85" s="162">
        <f t="shared" si="558"/>
        <v>0</v>
      </c>
      <c r="EN85" s="56"/>
      <c r="EQ85" s="55">
        <f t="shared" si="559"/>
        <v>46091</v>
      </c>
      <c r="ER85" s="56"/>
      <c r="ES85" s="135">
        <f>SUMPRODUCT(PRODUCE!$B96:$DY96,PRODUCE!$EB$23:$IY$23)</f>
        <v>0</v>
      </c>
      <c r="ET85" s="56"/>
      <c r="EU85" s="135">
        <f t="shared" si="560"/>
        <v>0</v>
      </c>
      <c r="EV85" s="135">
        <f t="shared" si="561"/>
        <v>0</v>
      </c>
      <c r="EW85" s="56"/>
      <c r="EZ85" s="55">
        <f t="shared" si="562"/>
        <v>46091</v>
      </c>
      <c r="FA85" s="56"/>
      <c r="FB85" s="175">
        <f>SUMPRODUCT(PRODUCE!$B96:$DY96,PRODUCE!$EB$24:$IY$24)</f>
        <v>0</v>
      </c>
      <c r="FC85" s="56"/>
      <c r="FD85" s="175">
        <f t="shared" si="563"/>
        <v>0</v>
      </c>
      <c r="FE85" s="175">
        <f t="shared" si="564"/>
        <v>0</v>
      </c>
      <c r="FF85" s="56"/>
      <c r="FI85" s="55">
        <f t="shared" si="565"/>
        <v>46091</v>
      </c>
      <c r="FJ85" s="56"/>
      <c r="FK85" s="183">
        <f>SUMPRODUCT(PRODUCE!$B96:$DY96,PRODUCE!$EB$25:$IY$25)</f>
        <v>0</v>
      </c>
      <c r="FL85" s="56"/>
      <c r="FM85" s="183">
        <f t="shared" si="566"/>
        <v>0</v>
      </c>
      <c r="FN85" s="183">
        <f t="shared" si="567"/>
        <v>0</v>
      </c>
      <c r="FO85" s="56"/>
      <c r="FR85" s="55">
        <f t="shared" si="568"/>
        <v>46091</v>
      </c>
      <c r="FS85" s="422"/>
      <c r="FT85" s="452">
        <f>SUMPRODUCT(PRODUCE!$B96:$DY96,PRODUCE!$EB$26:$IY$26)</f>
        <v>0</v>
      </c>
      <c r="FU85" s="422"/>
      <c r="FV85" s="452">
        <f t="shared" si="569"/>
        <v>0</v>
      </c>
      <c r="FW85" s="452">
        <f t="shared" si="570"/>
        <v>20</v>
      </c>
      <c r="FX85" s="56"/>
      <c r="GA85" s="55">
        <f t="shared" si="571"/>
        <v>46091</v>
      </c>
      <c r="GB85" s="422"/>
      <c r="GC85" s="454">
        <f>SUMPRODUCT(PRODUCE!$B96:$DY96,PRODUCE!$EB$27:$IY$27)</f>
        <v>400</v>
      </c>
      <c r="GD85" s="422"/>
      <c r="GE85" s="454">
        <f t="shared" si="572"/>
        <v>400</v>
      </c>
      <c r="GF85" s="454">
        <f t="shared" si="573"/>
        <v>5560</v>
      </c>
      <c r="GG85" s="56"/>
      <c r="GI85" s="23"/>
      <c r="GJ85" s="55">
        <f t="shared" si="574"/>
        <v>46091</v>
      </c>
      <c r="GK85" s="422"/>
      <c r="GL85" s="456">
        <f>SUMPRODUCT(PRODUCE!$B96:$DY96,PRODUCE!$EB$28:$IY$28)</f>
        <v>0</v>
      </c>
      <c r="GM85" s="422"/>
      <c r="GN85" s="456">
        <f t="shared" si="575"/>
        <v>0</v>
      </c>
      <c r="GO85" s="456">
        <f t="shared" si="576"/>
        <v>5240</v>
      </c>
      <c r="GP85" s="56"/>
      <c r="GS85" s="55">
        <f t="shared" si="577"/>
        <v>46091</v>
      </c>
      <c r="GT85" s="56"/>
      <c r="GU85" s="195">
        <f>SUMPRODUCT(PRODUCE!$B96:$DY96,PRODUCE!$EB$29:$IY$29)</f>
        <v>0</v>
      </c>
      <c r="GV85" s="56"/>
      <c r="GW85" s="195">
        <f t="shared" si="578"/>
        <v>0</v>
      </c>
      <c r="GX85" s="195">
        <f t="shared" si="579"/>
        <v>0</v>
      </c>
      <c r="GY85" s="56"/>
      <c r="HB85" s="55">
        <f t="shared" si="580"/>
        <v>46091</v>
      </c>
      <c r="HC85" s="56"/>
      <c r="HD85" s="191">
        <f>SUMPRODUCT(PRODUCE!$B96:$DY96,PRODUCE!$EB$30:$IY$30)</f>
        <v>0</v>
      </c>
      <c r="HE85" s="56"/>
      <c r="HF85" s="191">
        <f t="shared" si="581"/>
        <v>0</v>
      </c>
      <c r="HG85" s="191">
        <f t="shared" si="582"/>
        <v>0</v>
      </c>
      <c r="HH85" s="56"/>
      <c r="HK85" s="55">
        <f t="shared" si="583"/>
        <v>46091</v>
      </c>
      <c r="HL85" s="56"/>
      <c r="HM85" s="63">
        <f>SUMPRODUCT(PRODUCE!$B96:$DY96,PRODUCE!$EB$31:$IY$31)</f>
        <v>0</v>
      </c>
      <c r="HN85" s="56"/>
      <c r="HO85" s="63">
        <f t="shared" si="584"/>
        <v>0</v>
      </c>
      <c r="HP85" s="63">
        <f t="shared" si="585"/>
        <v>0</v>
      </c>
      <c r="HQ85" s="56"/>
      <c r="HU85" s="55">
        <f t="shared" si="586"/>
        <v>46091</v>
      </c>
      <c r="HV85" s="56"/>
      <c r="HW85" s="242">
        <f>SUMPRODUCT(PRODUCE!$B96:$DY96,PRODUCE!$EB$32:$IY$32)</f>
        <v>0</v>
      </c>
      <c r="HX85" s="56"/>
      <c r="HY85" s="242">
        <f t="shared" si="587"/>
        <v>0</v>
      </c>
      <c r="HZ85" s="242">
        <f t="shared" si="588"/>
        <v>5120</v>
      </c>
      <c r="IA85" s="56"/>
      <c r="ID85" s="55">
        <f t="shared" si="589"/>
        <v>46091</v>
      </c>
      <c r="IE85" s="56"/>
      <c r="IF85" s="242">
        <f>SUMPRODUCT(PRODUCE!$B96:$DY96,PRODUCE!$EB$33:$IY$33)</f>
        <v>0</v>
      </c>
      <c r="IG85" s="56"/>
      <c r="IH85" s="242">
        <f t="shared" si="590"/>
        <v>0</v>
      </c>
      <c r="II85" s="242">
        <f t="shared" si="591"/>
        <v>6540</v>
      </c>
      <c r="IJ85" s="56"/>
      <c r="IM85" s="55">
        <f t="shared" si="592"/>
        <v>46091</v>
      </c>
      <c r="IN85" s="56"/>
      <c r="IO85" s="242">
        <f>SUMPRODUCT(PRODUCE!$B96:$DY96,PRODUCE!$EB$34:$IY$34)</f>
        <v>0</v>
      </c>
      <c r="IP85" s="56"/>
      <c r="IQ85" s="242">
        <f t="shared" si="593"/>
        <v>0</v>
      </c>
      <c r="IR85" s="242">
        <f t="shared" si="594"/>
        <v>11540</v>
      </c>
      <c r="IS85" s="56"/>
      <c r="IV85" s="55">
        <f t="shared" si="595"/>
        <v>46091</v>
      </c>
      <c r="IW85" s="56"/>
      <c r="IX85" s="242">
        <f>SUMPRODUCT(PRODUCE!$B96:$DY96,PRODUCE!$EB$35:$IY$35)</f>
        <v>0</v>
      </c>
      <c r="IY85" s="56"/>
      <c r="IZ85" s="242">
        <f t="shared" si="596"/>
        <v>0</v>
      </c>
      <c r="JA85" s="242">
        <f t="shared" si="597"/>
        <v>15120</v>
      </c>
      <c r="JB85" s="56"/>
      <c r="JE85" s="55">
        <f t="shared" si="598"/>
        <v>46091</v>
      </c>
      <c r="JF85" s="56"/>
      <c r="JG85" s="242">
        <f>SUMPRODUCT(PRODUCE!$B96:$DY96,PRODUCE!$EB$36:$IY$36)</f>
        <v>0</v>
      </c>
      <c r="JH85" s="56"/>
      <c r="JI85" s="242">
        <f t="shared" si="599"/>
        <v>0</v>
      </c>
      <c r="JJ85" s="242">
        <f t="shared" si="600"/>
        <v>5040</v>
      </c>
      <c r="JK85" s="56"/>
      <c r="JN85" s="55">
        <f t="shared" si="601"/>
        <v>46091</v>
      </c>
      <c r="JO85" s="56"/>
      <c r="JP85" s="242">
        <f>SUMPRODUCT(PRODUCE!$B96:$DY96,PRODUCE!$EB$37:$IY$37)</f>
        <v>0</v>
      </c>
      <c r="JQ85" s="56"/>
      <c r="JR85" s="242">
        <f t="shared" si="602"/>
        <v>0</v>
      </c>
      <c r="JS85" s="242">
        <f t="shared" si="603"/>
        <v>9100</v>
      </c>
      <c r="JT85" s="56"/>
      <c r="JW85" s="55">
        <f t="shared" si="604"/>
        <v>46091</v>
      </c>
      <c r="JX85" s="56"/>
      <c r="JY85" s="242">
        <f>SUMPRODUCT(PRODUCE!$B96:$DY96,PRODUCE!$EB$38:$IY$38)</f>
        <v>0</v>
      </c>
      <c r="JZ85" s="56"/>
      <c r="KA85" s="242">
        <f t="shared" si="605"/>
        <v>0</v>
      </c>
      <c r="KB85" s="242">
        <f t="shared" si="606"/>
        <v>4740</v>
      </c>
      <c r="KC85" s="56"/>
      <c r="KF85" s="55">
        <f t="shared" si="607"/>
        <v>46091</v>
      </c>
      <c r="KG85" s="56"/>
      <c r="KH85" s="242">
        <f>SUMPRODUCT(PRODUCE!$B96:$DY96,PRODUCE!$EB$39:$IY$39)</f>
        <v>0</v>
      </c>
      <c r="KI85" s="56"/>
      <c r="KJ85" s="242">
        <f t="shared" si="608"/>
        <v>0</v>
      </c>
      <c r="KK85" s="242">
        <f t="shared" si="609"/>
        <v>5284.5</v>
      </c>
      <c r="KL85" s="56"/>
      <c r="KO85" s="55">
        <f t="shared" si="610"/>
        <v>46091</v>
      </c>
      <c r="KP85" s="56"/>
      <c r="KQ85" s="242">
        <f>SUMPRODUCT(PRODUCE!$B96:$DY96,PRODUCE!$EB$40:$IY$40)</f>
        <v>0</v>
      </c>
      <c r="KR85" s="56"/>
      <c r="KS85" s="242">
        <f t="shared" si="611"/>
        <v>0</v>
      </c>
      <c r="KT85" s="242">
        <f t="shared" si="612"/>
        <v>1701.0000000000009</v>
      </c>
      <c r="KU85" s="56"/>
      <c r="KW85" s="23"/>
      <c r="KX85" s="55">
        <f t="shared" si="613"/>
        <v>46091</v>
      </c>
      <c r="KY85" s="56"/>
      <c r="KZ85" s="242">
        <f>SUMPRODUCT(PRODUCE!$B96:$DY96,PRODUCE!$EB$41:$IY$41)</f>
        <v>0</v>
      </c>
      <c r="LA85" s="56"/>
      <c r="LB85" s="242">
        <f t="shared" si="614"/>
        <v>0</v>
      </c>
      <c r="LC85" s="242">
        <f t="shared" si="615"/>
        <v>0</v>
      </c>
      <c r="LD85" s="56"/>
      <c r="LG85" s="55">
        <f t="shared" si="616"/>
        <v>46091</v>
      </c>
      <c r="LH85" s="56"/>
      <c r="LI85" s="242">
        <f>SUMPRODUCT(PRODUCE!$B96:$DY96,PRODUCE!$EB$42:$IY$42)</f>
        <v>0</v>
      </c>
      <c r="LJ85" s="56"/>
      <c r="LK85" s="242">
        <f t="shared" si="617"/>
        <v>0</v>
      </c>
      <c r="LL85" s="242">
        <f t="shared" si="618"/>
        <v>0</v>
      </c>
      <c r="LM85" s="56"/>
      <c r="LP85" s="55">
        <f t="shared" si="619"/>
        <v>46091</v>
      </c>
      <c r="LQ85" s="56"/>
      <c r="LR85" s="242">
        <f>SUMPRODUCT(PRODUCE!$B100:$DY100,PRODUCE!$EB$43:$IY$43)</f>
        <v>0</v>
      </c>
      <c r="LS85" s="56"/>
      <c r="LT85" s="242">
        <f t="shared" si="620"/>
        <v>0</v>
      </c>
      <c r="LU85" s="242">
        <f t="shared" si="621"/>
        <v>0</v>
      </c>
      <c r="LV85" s="56"/>
      <c r="LY85" s="55">
        <f t="shared" si="622"/>
        <v>46091</v>
      </c>
      <c r="LZ85" s="56"/>
      <c r="MA85" s="242">
        <f>SUMPRODUCT(PRODUCE!$B96:$DY96,PRODUCE!$EB$44:$IY$44)</f>
        <v>0</v>
      </c>
      <c r="MB85" s="56"/>
      <c r="MC85" s="242">
        <f t="shared" si="623"/>
        <v>0</v>
      </c>
      <c r="MD85" s="242">
        <f t="shared" si="624"/>
        <v>0</v>
      </c>
      <c r="ME85" s="56"/>
      <c r="MH85" s="55">
        <f t="shared" si="625"/>
        <v>46091</v>
      </c>
      <c r="MI85" s="56"/>
      <c r="MJ85" s="242">
        <f>SUMPRODUCT(PRODUCE!$B96:$DY96,PRODUCE!$EB$45:$IY$45)</f>
        <v>0</v>
      </c>
      <c r="MK85" s="56"/>
      <c r="ML85" s="242">
        <f t="shared" si="626"/>
        <v>0</v>
      </c>
      <c r="MM85" s="242">
        <f t="shared" si="627"/>
        <v>0</v>
      </c>
      <c r="MN85" s="56"/>
      <c r="MQ85" s="55">
        <f t="shared" si="628"/>
        <v>46091</v>
      </c>
      <c r="MR85" s="56"/>
      <c r="MS85" s="242">
        <f>SUMPRODUCT(PRODUCE!$B96:$DY96,PRODUCE!$EB$46:$IY$46)</f>
        <v>10</v>
      </c>
      <c r="MT85" s="56"/>
      <c r="MU85" s="242">
        <f t="shared" si="629"/>
        <v>10</v>
      </c>
      <c r="MV85" s="242">
        <f t="shared" si="630"/>
        <v>3450</v>
      </c>
      <c r="MW85" s="56"/>
      <c r="MZ85" s="55">
        <f t="shared" si="631"/>
        <v>46091</v>
      </c>
      <c r="NA85" s="56"/>
      <c r="NB85" s="242">
        <f>SUMPRODUCT(PRODUCE!$B96:$DY96,PRODUCE!$EB$47:$IY$47)</f>
        <v>0</v>
      </c>
      <c r="NC85" s="56"/>
      <c r="ND85" s="242">
        <f t="shared" si="632"/>
        <v>0</v>
      </c>
      <c r="NE85" s="242">
        <f t="shared" si="633"/>
        <v>0</v>
      </c>
      <c r="NF85" s="56"/>
      <c r="NI85" s="55">
        <f t="shared" si="634"/>
        <v>46091</v>
      </c>
      <c r="NJ85" s="56">
        <v>165</v>
      </c>
      <c r="NK85" s="242">
        <f>SUMPRODUCT(PRODUCE!$B96:$DY96,PRODUCE!$EB$48:$IY$48)</f>
        <v>0</v>
      </c>
      <c r="NL85" s="56"/>
      <c r="NM85" s="242">
        <f t="shared" si="635"/>
        <v>0</v>
      </c>
      <c r="NN85" s="242">
        <f t="shared" si="636"/>
        <v>165</v>
      </c>
      <c r="NO85" s="56"/>
      <c r="NR85" s="55">
        <f t="shared" si="637"/>
        <v>46091</v>
      </c>
      <c r="NS85" s="56"/>
      <c r="NT85" s="242">
        <f>SUMPRODUCT(PRODUCE!$B96:$DY96,PRODUCE!$EB$49:$IY$49)</f>
        <v>0</v>
      </c>
      <c r="NU85" s="56"/>
      <c r="NV85" s="242">
        <f t="shared" si="638"/>
        <v>0</v>
      </c>
      <c r="NW85" s="242">
        <f t="shared" si="639"/>
        <v>1578.9</v>
      </c>
      <c r="NX85" s="56"/>
      <c r="OA85" s="55">
        <f t="shared" si="640"/>
        <v>46091</v>
      </c>
      <c r="OB85" s="56"/>
      <c r="OC85" s="242">
        <f>SUMPRODUCT(PRODUCE!$B96:$DY96,PRODUCE!$EB$50:$IY$50)</f>
        <v>0</v>
      </c>
      <c r="OD85" s="56"/>
      <c r="OE85" s="242">
        <f t="shared" si="641"/>
        <v>0</v>
      </c>
      <c r="OF85" s="242">
        <f t="shared" si="642"/>
        <v>1680.5</v>
      </c>
      <c r="OG85" s="56"/>
      <c r="OJ85" s="55">
        <f t="shared" si="643"/>
        <v>46091</v>
      </c>
      <c r="OK85" s="56"/>
      <c r="OL85" s="242">
        <f>SUMPRODUCT(PRODUCE!$B96:$DY96,PRODUCE!$EB$51:$IY$51)</f>
        <v>0</v>
      </c>
      <c r="OM85" s="56"/>
      <c r="ON85" s="242">
        <f t="shared" si="644"/>
        <v>0</v>
      </c>
      <c r="OO85" s="242">
        <f t="shared" si="645"/>
        <v>0</v>
      </c>
      <c r="OP85" s="56"/>
      <c r="OS85" s="55">
        <f t="shared" si="646"/>
        <v>46091</v>
      </c>
      <c r="OT85" s="56"/>
      <c r="OU85" s="242">
        <f>SUMPRODUCT(PRODUCE!$B96:$DY96,PRODUCE!$EB$52:$IY$52)</f>
        <v>0</v>
      </c>
      <c r="OV85" s="56"/>
      <c r="OW85" s="242">
        <f t="shared" si="647"/>
        <v>0</v>
      </c>
      <c r="OX85" s="242">
        <f t="shared" si="648"/>
        <v>0</v>
      </c>
      <c r="OY85" s="56"/>
      <c r="PB85" s="55">
        <f t="shared" si="649"/>
        <v>46091</v>
      </c>
      <c r="PC85" s="56"/>
      <c r="PD85" s="242">
        <f>SUMPRODUCT(PRODUCE!$B96:$DY96,PRODUCE!$EB$53:$IY$53)</f>
        <v>0</v>
      </c>
      <c r="PE85" s="56"/>
      <c r="PF85" s="242">
        <f t="shared" si="650"/>
        <v>0</v>
      </c>
      <c r="PG85" s="242">
        <f t="shared" si="651"/>
        <v>0</v>
      </c>
      <c r="PH85" s="56"/>
      <c r="PK85" s="55">
        <f t="shared" si="652"/>
        <v>46091</v>
      </c>
      <c r="PL85" s="56"/>
      <c r="PM85" s="242">
        <f>SUMPRODUCT(PRODUCE!$B96:$DY96,PRODUCE!$EB$54:$IY$54)</f>
        <v>0</v>
      </c>
      <c r="PN85" s="56"/>
      <c r="PO85" s="242">
        <f t="shared" si="653"/>
        <v>0</v>
      </c>
      <c r="PP85" s="242">
        <f t="shared" si="654"/>
        <v>100</v>
      </c>
      <c r="PQ85" s="56"/>
      <c r="PT85" s="55">
        <f t="shared" si="655"/>
        <v>46091</v>
      </c>
      <c r="PU85" s="56"/>
      <c r="PV85" s="242">
        <f>SUMPRODUCT(PRODUCE!$B96:$DY96,PRODUCE!$EB$55:$IY$55)</f>
        <v>0</v>
      </c>
      <c r="PW85" s="56"/>
      <c r="PX85" s="242">
        <f t="shared" si="656"/>
        <v>0</v>
      </c>
      <c r="PY85" s="242">
        <f t="shared" si="657"/>
        <v>13.960000000000036</v>
      </c>
      <c r="PZ85" s="56"/>
      <c r="QC85" s="55">
        <f t="shared" si="658"/>
        <v>46091</v>
      </c>
      <c r="QD85" s="56"/>
      <c r="QE85" s="242">
        <f>SUMPRODUCT(PRODUCE!$B96:$DY96,PRODUCE!$EB$56:$IY$56)</f>
        <v>0</v>
      </c>
      <c r="QF85" s="56"/>
      <c r="QG85" s="242">
        <f t="shared" si="659"/>
        <v>0</v>
      </c>
      <c r="QH85" s="242">
        <f t="shared" si="660"/>
        <v>1212</v>
      </c>
      <c r="QI85" s="56"/>
      <c r="QL85" s="55">
        <f t="shared" si="661"/>
        <v>46091</v>
      </c>
      <c r="QM85" s="56"/>
      <c r="QN85" s="242">
        <f>SUMPRODUCT(PRODUCE!$B96:$DY96,PRODUCE!$EB$57:$IY$57)</f>
        <v>0</v>
      </c>
      <c r="QO85" s="56"/>
      <c r="QP85" s="242">
        <f t="shared" si="662"/>
        <v>0</v>
      </c>
      <c r="QQ85" s="242">
        <f t="shared" si="663"/>
        <v>0</v>
      </c>
      <c r="QR85" s="56"/>
      <c r="QU85" s="55">
        <f t="shared" si="664"/>
        <v>46091</v>
      </c>
      <c r="QV85" s="56"/>
      <c r="QW85" s="242">
        <f>SUMPRODUCT(PRODUCE!$B96:$DY96,PRODUCE!$EB$57:$IY$57)</f>
        <v>0</v>
      </c>
      <c r="QX85" s="56"/>
      <c r="QY85" s="242">
        <f t="shared" si="665"/>
        <v>0</v>
      </c>
      <c r="QZ85" s="242">
        <f t="shared" si="666"/>
        <v>207.6</v>
      </c>
      <c r="RA85" s="56"/>
      <c r="RD85" s="55">
        <f t="shared" si="667"/>
        <v>46091</v>
      </c>
      <c r="RE85" s="56"/>
      <c r="RF85" s="242">
        <f>SUMPRODUCT(PRODUCE!$B96:$DY96,PRODUCE!$EB$58:$IY$58)</f>
        <v>0</v>
      </c>
      <c r="RG85" s="56"/>
      <c r="RH85" s="242">
        <f t="shared" si="668"/>
        <v>0</v>
      </c>
      <c r="RI85" s="242">
        <f t="shared" si="669"/>
        <v>197.04000000000002</v>
      </c>
      <c r="RJ85" s="56"/>
      <c r="RM85" s="55">
        <f t="shared" si="670"/>
        <v>46091</v>
      </c>
      <c r="RN85" s="56"/>
      <c r="RO85" s="242">
        <f>SUMPRODUCT(PRODUCE!$B96:$DY96,PRODUCE!$EB$57:$IY$57)</f>
        <v>0</v>
      </c>
      <c r="RP85" s="56"/>
      <c r="RQ85" s="242">
        <f t="shared" si="671"/>
        <v>0</v>
      </c>
      <c r="RR85" s="242">
        <f t="shared" si="672"/>
        <v>46.8</v>
      </c>
      <c r="RS85" s="56"/>
      <c r="RV85" s="55">
        <f t="shared" si="673"/>
        <v>46091</v>
      </c>
      <c r="RW85" s="56"/>
      <c r="RX85" s="242">
        <f>SUMPRODUCT(PRODUCE!$B96:$DY96,PRODUCE!$EB$57:$IY$57)</f>
        <v>0</v>
      </c>
      <c r="RY85" s="56"/>
      <c r="RZ85" s="242">
        <f t="shared" si="674"/>
        <v>0</v>
      </c>
      <c r="SA85" s="242">
        <f t="shared" si="675"/>
        <v>0</v>
      </c>
      <c r="SB85" s="56"/>
      <c r="SE85" s="55">
        <f t="shared" si="676"/>
        <v>46091</v>
      </c>
      <c r="SF85" s="56"/>
      <c r="SG85" s="242">
        <f>SUMPRODUCT(PRODUCE!$B96:$DY96,PRODUCE!$EB$57:$IY$57)</f>
        <v>0</v>
      </c>
      <c r="SH85" s="56"/>
      <c r="SI85" s="242">
        <f t="shared" si="677"/>
        <v>0</v>
      </c>
      <c r="SJ85" s="242">
        <f t="shared" si="678"/>
        <v>0</v>
      </c>
      <c r="SK85" s="56"/>
      <c r="SN85" s="55">
        <f t="shared" si="679"/>
        <v>46091</v>
      </c>
      <c r="SO85" s="56"/>
      <c r="SP85" s="242">
        <f>SUMPRODUCT(PRODUCE!$B96:$DY96,PRODUCE!$EB$57:$IY$57)</f>
        <v>0</v>
      </c>
      <c r="SQ85" s="56"/>
      <c r="SR85" s="242">
        <f t="shared" si="680"/>
        <v>0</v>
      </c>
      <c r="SS85" s="242">
        <f t="shared" si="681"/>
        <v>0</v>
      </c>
      <c r="ST85" s="56"/>
      <c r="SW85" s="55">
        <f t="shared" si="682"/>
        <v>46091</v>
      </c>
      <c r="SX85" s="56"/>
      <c r="SY85" s="242">
        <f>SUMPRODUCT(PRODUCE!$B96:$DY96,PRODUCE!$EB$57:$IY$57)</f>
        <v>0</v>
      </c>
      <c r="SZ85" s="56"/>
      <c r="TA85" s="242">
        <f t="shared" si="683"/>
        <v>0</v>
      </c>
      <c r="TB85" s="242">
        <f t="shared" si="684"/>
        <v>0</v>
      </c>
      <c r="TC85" s="56"/>
      <c r="TF85" s="55">
        <f t="shared" si="685"/>
        <v>46091</v>
      </c>
      <c r="TG85" s="56"/>
      <c r="TH85" s="242">
        <f>SUMPRODUCT(PRODUCE!$B96:$DY96,PRODUCE!$EB$57:$IY$57)</f>
        <v>0</v>
      </c>
      <c r="TI85" s="56"/>
      <c r="TJ85" s="242">
        <f t="shared" si="686"/>
        <v>0</v>
      </c>
      <c r="TK85" s="242">
        <f t="shared" si="687"/>
        <v>0</v>
      </c>
      <c r="TL85" s="56"/>
      <c r="TO85" s="55">
        <f t="shared" si="688"/>
        <v>46091</v>
      </c>
      <c r="TP85" s="56"/>
      <c r="TQ85" s="242">
        <f>SUMPRODUCT(PRODUCE!$B96:$DY96,PRODUCE!$EB$57:$IY$57)</f>
        <v>0</v>
      </c>
      <c r="TR85" s="56"/>
      <c r="TS85" s="242">
        <f t="shared" si="689"/>
        <v>0</v>
      </c>
      <c r="TT85" s="242">
        <f t="shared" si="690"/>
        <v>0</v>
      </c>
      <c r="TU85" s="56"/>
      <c r="TX85" s="55">
        <f t="shared" si="691"/>
        <v>46091</v>
      </c>
      <c r="TY85" s="56"/>
      <c r="TZ85" s="242">
        <f>SUMPRODUCT(PRODUCE!$B96:$DY96,PRODUCE!$EB$57:$IY$57)</f>
        <v>0</v>
      </c>
      <c r="UA85" s="56"/>
      <c r="UB85" s="242">
        <f t="shared" si="692"/>
        <v>0</v>
      </c>
      <c r="UC85" s="242">
        <f t="shared" si="693"/>
        <v>0</v>
      </c>
      <c r="UD85" s="56"/>
      <c r="UG85" s="55">
        <f t="shared" si="694"/>
        <v>46091</v>
      </c>
      <c r="UH85" s="56"/>
      <c r="UI85" s="242">
        <f>SUMPRODUCT(PRODUCE!$B96:$DY96,PRODUCE!$EB$57:$IY$57)</f>
        <v>0</v>
      </c>
      <c r="UJ85" s="56"/>
      <c r="UK85" s="242">
        <f t="shared" si="695"/>
        <v>0</v>
      </c>
      <c r="UL85" s="242">
        <f t="shared" si="696"/>
        <v>0</v>
      </c>
      <c r="UM85" s="56"/>
      <c r="UP85" s="55">
        <f t="shared" si="697"/>
        <v>46091</v>
      </c>
      <c r="UQ85" s="56"/>
      <c r="UR85" s="242">
        <f>SUMPRODUCT(PRODUCE!$B96:$DY96,PRODUCE!$EB$57:$IY$57)</f>
        <v>0</v>
      </c>
      <c r="US85" s="56"/>
      <c r="UT85" s="242">
        <f t="shared" si="698"/>
        <v>0</v>
      </c>
      <c r="UU85" s="242">
        <f t="shared" si="699"/>
        <v>0</v>
      </c>
      <c r="UV85" s="56"/>
      <c r="UY85" s="55">
        <f t="shared" si="700"/>
        <v>46091</v>
      </c>
      <c r="UZ85" s="56"/>
      <c r="VA85" s="242">
        <f>SUMPRODUCT(PRODUCE!$B96:$DY96,PRODUCE!$EB$57:$IY$57)</f>
        <v>0</v>
      </c>
      <c r="VB85" s="56"/>
      <c r="VC85" s="242">
        <f t="shared" si="701"/>
        <v>0</v>
      </c>
      <c r="VD85" s="242">
        <f t="shared" si="702"/>
        <v>41.600000000000023</v>
      </c>
      <c r="VE85" s="56"/>
      <c r="VH85" s="55">
        <f t="shared" si="703"/>
        <v>46091</v>
      </c>
      <c r="VI85" s="56"/>
      <c r="VJ85" s="242">
        <f>SUMPRODUCT(PRODUCE!$B96:$DY96,PRODUCE!$EB$57:$IY$57)</f>
        <v>0</v>
      </c>
      <c r="VK85" s="56"/>
      <c r="VL85" s="242">
        <f t="shared" si="704"/>
        <v>0</v>
      </c>
      <c r="VM85" s="242">
        <f t="shared" si="705"/>
        <v>0</v>
      </c>
      <c r="VN85" s="56"/>
      <c r="VQ85" s="55">
        <f t="shared" si="706"/>
        <v>46091</v>
      </c>
      <c r="VR85" s="56"/>
      <c r="VS85" s="242">
        <f>SUMPRODUCT(PRODUCE!$B96:$DY96,PRODUCE!$EB$57:$IY$57)</f>
        <v>0</v>
      </c>
      <c r="VT85" s="56"/>
      <c r="VU85" s="242">
        <f t="shared" si="707"/>
        <v>0</v>
      </c>
      <c r="VV85" s="242">
        <f t="shared" si="708"/>
        <v>0</v>
      </c>
      <c r="VW85" s="56"/>
      <c r="VZ85" s="55">
        <f t="shared" si="709"/>
        <v>46091</v>
      </c>
      <c r="WA85" s="56"/>
      <c r="WB85" s="242">
        <f>SUMPRODUCT(PRODUCE!$B96:$DY96,PRODUCE!$EB$57:$IY$57)</f>
        <v>0</v>
      </c>
      <c r="WC85" s="56"/>
      <c r="WD85" s="242">
        <f t="shared" si="710"/>
        <v>0</v>
      </c>
      <c r="WE85" s="242">
        <f t="shared" si="711"/>
        <v>0</v>
      </c>
      <c r="WF85" s="56"/>
      <c r="WI85" s="55">
        <f t="shared" si="712"/>
        <v>46091</v>
      </c>
      <c r="WJ85" s="56"/>
      <c r="WK85" s="242">
        <f>SUMPRODUCT(PRODUCE!$B96:$DY96,PRODUCE!$EB$57:$IY$57)</f>
        <v>0</v>
      </c>
      <c r="WL85" s="56"/>
      <c r="WM85" s="242">
        <f t="shared" si="713"/>
        <v>0</v>
      </c>
      <c r="WN85" s="242">
        <f t="shared" si="714"/>
        <v>6022</v>
      </c>
      <c r="WO85" s="56"/>
      <c r="WR85" s="55">
        <f t="shared" si="715"/>
        <v>46091</v>
      </c>
      <c r="WS85" s="56"/>
      <c r="WT85" s="242">
        <f>SUMPRODUCT(PRODUCE!$B96:$DY96,PRODUCE!$EB$57:$IY$57)</f>
        <v>0</v>
      </c>
      <c r="WU85" s="56">
        <v>387</v>
      </c>
      <c r="WV85" s="242">
        <f t="shared" si="716"/>
        <v>-387</v>
      </c>
      <c r="WW85" s="242">
        <f t="shared" si="717"/>
        <v>5568</v>
      </c>
      <c r="WX85" s="56"/>
      <c r="XA85" s="55">
        <f t="shared" si="718"/>
        <v>46091</v>
      </c>
      <c r="XB85" s="56"/>
      <c r="XC85" s="242">
        <f>SUMPRODUCT(PRODUCE!$B96:$DY96,PRODUCE!$EB$57:$IY$57)</f>
        <v>0</v>
      </c>
      <c r="XD85" s="56"/>
      <c r="XE85" s="242">
        <f t="shared" si="719"/>
        <v>0</v>
      </c>
      <c r="XF85" s="242">
        <f t="shared" si="720"/>
        <v>590</v>
      </c>
      <c r="XG85" s="56"/>
      <c r="XJ85" s="55">
        <f t="shared" si="721"/>
        <v>46091</v>
      </c>
      <c r="XK85" s="56"/>
      <c r="XL85" s="242">
        <f>SUMPRODUCT(PRODUCE!$B96:$DY96,PRODUCE!$EB$57:$IY$57)</f>
        <v>0</v>
      </c>
      <c r="XM85" s="56"/>
      <c r="XN85" s="242">
        <f t="shared" si="722"/>
        <v>0</v>
      </c>
      <c r="XO85" s="242">
        <f t="shared" si="723"/>
        <v>1439</v>
      </c>
      <c r="XP85" s="56"/>
      <c r="XS85" s="55">
        <f t="shared" si="724"/>
        <v>46091</v>
      </c>
      <c r="XT85" s="56"/>
      <c r="XU85" s="242">
        <f>SUMPRODUCT(PRODUCE!$B96:$DY96,PRODUCE!$EB$57:$IY$57)</f>
        <v>0</v>
      </c>
      <c r="XV85" s="56"/>
      <c r="XW85" s="242">
        <f t="shared" si="725"/>
        <v>0</v>
      </c>
      <c r="XX85" s="242">
        <f t="shared" si="726"/>
        <v>1901</v>
      </c>
      <c r="XY85" s="56"/>
      <c r="YB85" s="55">
        <f t="shared" si="727"/>
        <v>46091</v>
      </c>
      <c r="YC85" s="56"/>
      <c r="YD85" s="242">
        <f>SUMPRODUCT(PRODUCE!$B96:$DY96,PRODUCE!$EB$57:$IY$57)</f>
        <v>0</v>
      </c>
      <c r="YE85" s="56"/>
      <c r="YF85" s="242">
        <f t="shared" si="728"/>
        <v>0</v>
      </c>
      <c r="YG85" s="242">
        <f t="shared" si="729"/>
        <v>0</v>
      </c>
      <c r="YH85" s="56"/>
      <c r="YK85" s="55">
        <f t="shared" si="730"/>
        <v>46091</v>
      </c>
      <c r="YL85" s="56"/>
      <c r="YM85" s="242">
        <f>SUMPRODUCT(PRODUCE!$B96:$DY96,PRODUCE!$EB$57:$IY$57)</f>
        <v>0</v>
      </c>
      <c r="YN85" s="56"/>
      <c r="YO85" s="242">
        <f t="shared" si="731"/>
        <v>0</v>
      </c>
      <c r="YP85" s="242">
        <f t="shared" si="732"/>
        <v>0</v>
      </c>
      <c r="YQ85" s="56"/>
      <c r="YT85" s="55">
        <f t="shared" si="733"/>
        <v>46091</v>
      </c>
      <c r="YU85" s="56"/>
      <c r="YV85" s="242">
        <f>SUMPRODUCT(PRODUCE!$B96:$DY96,PRODUCE!$EB$57:$IY$57)</f>
        <v>0</v>
      </c>
      <c r="YW85" s="56"/>
      <c r="YX85" s="242">
        <f t="shared" si="734"/>
        <v>0</v>
      </c>
      <c r="YY85" s="242">
        <f t="shared" si="735"/>
        <v>0</v>
      </c>
      <c r="YZ85" s="56"/>
      <c r="ZC85" s="55">
        <f t="shared" si="736"/>
        <v>46091</v>
      </c>
      <c r="ZD85" s="56"/>
      <c r="ZE85" s="242">
        <f>SUMPRODUCT(PRODUCE!$B96:$DY96,PRODUCE!$EB$57:$IY$57)</f>
        <v>0</v>
      </c>
      <c r="ZF85" s="56"/>
      <c r="ZG85" s="242">
        <f t="shared" si="737"/>
        <v>0</v>
      </c>
      <c r="ZH85" s="242">
        <f t="shared" si="738"/>
        <v>0</v>
      </c>
      <c r="ZI85" s="56"/>
      <c r="ZL85" s="55">
        <f t="shared" si="739"/>
        <v>46091</v>
      </c>
      <c r="ZM85" s="56"/>
      <c r="ZN85" s="242">
        <f>SUMPRODUCT(PRODUCE!$B96:$DY96,PRODUCE!$EB$57:$IY$57)</f>
        <v>0</v>
      </c>
      <c r="ZO85" s="56"/>
      <c r="ZP85" s="242">
        <f t="shared" si="740"/>
        <v>0</v>
      </c>
      <c r="ZQ85" s="242">
        <f t="shared" si="741"/>
        <v>0</v>
      </c>
      <c r="ZR85" s="56"/>
      <c r="ZU85" s="55">
        <f t="shared" si="742"/>
        <v>46091</v>
      </c>
      <c r="ZV85" s="56"/>
      <c r="ZW85" s="242">
        <f>SUMPRODUCT(PRODUCE!$B96:$DY96,PRODUCE!$EB$57:$IY$57)</f>
        <v>0</v>
      </c>
      <c r="ZX85" s="56"/>
      <c r="ZY85" s="242">
        <f t="shared" si="743"/>
        <v>0</v>
      </c>
      <c r="ZZ85" s="242">
        <f t="shared" si="744"/>
        <v>0</v>
      </c>
      <c r="AAA85" s="56"/>
      <c r="AAD85" s="55">
        <f t="shared" si="745"/>
        <v>46091</v>
      </c>
      <c r="AAE85" s="56"/>
      <c r="AAF85" s="242">
        <f>SUMPRODUCT(PRODUCE!$B96:$DY96,PRODUCE!$EB$57:$IY$57)</f>
        <v>0</v>
      </c>
      <c r="AAG85" s="56"/>
      <c r="AAH85" s="242">
        <f t="shared" si="746"/>
        <v>0</v>
      </c>
      <c r="AAI85" s="242">
        <f t="shared" si="747"/>
        <v>0</v>
      </c>
      <c r="AAJ85" s="56"/>
      <c r="AAM85" s="55">
        <f t="shared" si="748"/>
        <v>46091</v>
      </c>
      <c r="AAN85" s="56"/>
      <c r="AAO85" s="242">
        <f>SUMPRODUCT(PRODUCE!$B96:$DY96,PRODUCE!$EB$57:$IY$57)</f>
        <v>0</v>
      </c>
      <c r="AAP85" s="56"/>
      <c r="AAQ85" s="242">
        <f t="shared" si="749"/>
        <v>0</v>
      </c>
      <c r="AAR85" s="242">
        <f t="shared" si="750"/>
        <v>0</v>
      </c>
      <c r="AAS85" s="56"/>
      <c r="AAV85" s="55">
        <f t="shared" si="751"/>
        <v>46091</v>
      </c>
      <c r="AAW85" s="56"/>
      <c r="AAX85" s="242">
        <f>SUMPRODUCT(PRODUCE!$B96:$DY96,PRODUCE!$EB$57:$IY$57)</f>
        <v>0</v>
      </c>
      <c r="AAY85" s="56"/>
      <c r="AAZ85" s="242">
        <f t="shared" si="752"/>
        <v>0</v>
      </c>
      <c r="ABA85" s="242">
        <f t="shared" si="753"/>
        <v>0</v>
      </c>
      <c r="ABB85" s="56"/>
      <c r="ABE85" s="55">
        <f t="shared" si="754"/>
        <v>46091</v>
      </c>
      <c r="ABF85" s="56"/>
      <c r="ABG85" s="242">
        <f>SUMPRODUCT(PRODUCE!$B96:$DY96,PRODUCE!$EB$57:$IY$57)</f>
        <v>0</v>
      </c>
      <c r="ABH85" s="56"/>
      <c r="ABI85" s="242">
        <f t="shared" si="755"/>
        <v>0</v>
      </c>
      <c r="ABJ85" s="242">
        <f t="shared" si="756"/>
        <v>0</v>
      </c>
      <c r="ABK85" s="56"/>
    </row>
    <row r="86" spans="2:739" s="54" customFormat="1" ht="15" customHeight="1" outlineLevel="1">
      <c r="B86" s="478"/>
      <c r="C86" s="55">
        <v>46092</v>
      </c>
      <c r="D86" s="422">
        <v>62100</v>
      </c>
      <c r="E86" s="423">
        <f>SUMPRODUCT(PRODUCE!$B97:$DY97,PRODUCE!$EB$7:$IY$7)</f>
        <v>0</v>
      </c>
      <c r="F86" s="422"/>
      <c r="G86" s="423">
        <f t="shared" si="514"/>
        <v>0</v>
      </c>
      <c r="H86" s="423">
        <f t="shared" si="512"/>
        <v>115654.8</v>
      </c>
      <c r="I86" s="289"/>
      <c r="L86" s="55">
        <f t="shared" si="513"/>
        <v>46092</v>
      </c>
      <c r="M86" s="422">
        <v>25680</v>
      </c>
      <c r="N86" s="438">
        <f>SUMPRODUCT(PRODUCE!$B97:$DY97,PRODUCE!$EB$8:$IY$8)</f>
        <v>0</v>
      </c>
      <c r="O86" s="422"/>
      <c r="P86" s="438">
        <f t="shared" si="515"/>
        <v>0</v>
      </c>
      <c r="Q86" s="438">
        <f t="shared" si="516"/>
        <v>76944.800000000047</v>
      </c>
      <c r="R86" s="56"/>
      <c r="U86" s="55">
        <f t="shared" si="517"/>
        <v>46092</v>
      </c>
      <c r="V86" s="422"/>
      <c r="W86" s="440">
        <f>SUMPRODUCT(PRODUCE!$B97:$DY97,PRODUCE!$EB$9:$IY$9)</f>
        <v>0</v>
      </c>
      <c r="X86" s="422"/>
      <c r="Y86" s="440">
        <f t="shared" si="518"/>
        <v>0</v>
      </c>
      <c r="Z86" s="440">
        <f t="shared" si="519"/>
        <v>35064.499999999971</v>
      </c>
      <c r="AA86" s="56"/>
      <c r="AD86" s="55">
        <f t="shared" si="520"/>
        <v>46092</v>
      </c>
      <c r="AE86" s="422"/>
      <c r="AF86" s="442">
        <f>SUMPRODUCT(PRODUCE!$B97:$DY97,PRODUCE!$EB$10:$IY$10)</f>
        <v>0</v>
      </c>
      <c r="AG86" s="422"/>
      <c r="AH86" s="442">
        <f t="shared" si="521"/>
        <v>0</v>
      </c>
      <c r="AI86" s="442">
        <f t="shared" si="522"/>
        <v>24066.600000000017</v>
      </c>
      <c r="AJ86" s="56"/>
      <c r="AM86" s="55">
        <f t="shared" si="523"/>
        <v>46092</v>
      </c>
      <c r="AN86" s="422"/>
      <c r="AO86" s="444">
        <f>SUMPRODUCT(PRODUCE!$B97:$DY97,PRODUCE!$EB$11:$IY$11)</f>
        <v>0</v>
      </c>
      <c r="AP86" s="422"/>
      <c r="AQ86" s="444">
        <f t="shared" si="524"/>
        <v>0</v>
      </c>
      <c r="AR86" s="444">
        <f t="shared" si="525"/>
        <v>0</v>
      </c>
      <c r="AS86" s="56"/>
      <c r="AV86" s="55">
        <f t="shared" si="526"/>
        <v>46092</v>
      </c>
      <c r="AW86" s="422"/>
      <c r="AX86" s="446">
        <f>SUMPRODUCT(PRODUCE!$B97:$DY97,PRODUCE!$EB$12:$IY$12)</f>
        <v>0</v>
      </c>
      <c r="AY86" s="422"/>
      <c r="AZ86" s="446">
        <f t="shared" si="527"/>
        <v>0</v>
      </c>
      <c r="BA86" s="446">
        <f t="shared" si="528"/>
        <v>46200.299999999988</v>
      </c>
      <c r="BB86" s="56"/>
      <c r="BE86" s="55">
        <f t="shared" si="529"/>
        <v>46092</v>
      </c>
      <c r="BF86" s="422"/>
      <c r="BG86" s="448">
        <f>SUMPRODUCT(PRODUCE!$B97:$DY97,PRODUCE!$EB$13:$IY$13)</f>
        <v>0</v>
      </c>
      <c r="BH86" s="422"/>
      <c r="BI86" s="448">
        <f t="shared" si="530"/>
        <v>0</v>
      </c>
      <c r="BJ86" s="448">
        <f t="shared" si="531"/>
        <v>831.10000000000423</v>
      </c>
      <c r="BK86" s="56"/>
      <c r="BN86" s="55">
        <f t="shared" si="532"/>
        <v>46092</v>
      </c>
      <c r="BO86" s="422"/>
      <c r="BP86" s="450">
        <f>SUMPRODUCT(PRODUCE!$B97:$DY97,PRODUCE!$EB$14:$IY$14)</f>
        <v>0</v>
      </c>
      <c r="BQ86" s="422"/>
      <c r="BR86" s="450">
        <f t="shared" si="533"/>
        <v>0</v>
      </c>
      <c r="BS86" s="450">
        <f t="shared" si="534"/>
        <v>0</v>
      </c>
      <c r="BT86" s="56"/>
      <c r="BW86" s="55">
        <f t="shared" si="535"/>
        <v>46092</v>
      </c>
      <c r="BX86" s="56"/>
      <c r="BY86" s="65">
        <f>SUMPRODUCT(PRODUCE!$B97:$DY97,PRODUCE!$EB$15:$IY$15)</f>
        <v>0</v>
      </c>
      <c r="BZ86" s="56"/>
      <c r="CA86" s="65">
        <f t="shared" si="536"/>
        <v>0</v>
      </c>
      <c r="CB86" s="65">
        <f t="shared" si="537"/>
        <v>4829.8</v>
      </c>
      <c r="CC86" s="56"/>
      <c r="CF86" s="55">
        <f t="shared" si="538"/>
        <v>46092</v>
      </c>
      <c r="CG86" s="56"/>
      <c r="CH86" s="66">
        <f>SUMPRODUCT(PRODUCE!$B97:$DY97,PRODUCE!$EB$16:$IY$16)</f>
        <v>0</v>
      </c>
      <c r="CI86" s="56"/>
      <c r="CJ86" s="66">
        <f t="shared" si="539"/>
        <v>0</v>
      </c>
      <c r="CK86" s="66">
        <f t="shared" si="540"/>
        <v>0</v>
      </c>
      <c r="CL86" s="56"/>
      <c r="CO86" s="55">
        <f t="shared" si="541"/>
        <v>46092</v>
      </c>
      <c r="CP86" s="422"/>
      <c r="CQ86" s="470">
        <f>SUMPRODUCT(PRODUCE!$B97:$DY97,PRODUCE!$EB$17:$IY$17)</f>
        <v>0</v>
      </c>
      <c r="CR86" s="422"/>
      <c r="CS86" s="470">
        <f t="shared" si="542"/>
        <v>0</v>
      </c>
      <c r="CT86" s="470">
        <f t="shared" si="543"/>
        <v>0</v>
      </c>
      <c r="CU86" s="56"/>
      <c r="CX86" s="55">
        <f t="shared" si="544"/>
        <v>46092</v>
      </c>
      <c r="CY86" s="56"/>
      <c r="CZ86" s="133">
        <f>SUMPRODUCT(PRODUCE!$B97:$DY97,PRODUCE!$EB$18:$IY$18)</f>
        <v>0</v>
      </c>
      <c r="DA86" s="56"/>
      <c r="DB86" s="133">
        <f t="shared" si="545"/>
        <v>0</v>
      </c>
      <c r="DC86" s="133">
        <f t="shared" si="546"/>
        <v>40925.699999999997</v>
      </c>
      <c r="DD86" s="56"/>
      <c r="DG86" s="55">
        <f t="shared" si="547"/>
        <v>46092</v>
      </c>
      <c r="DH86" s="56">
        <v>10160</v>
      </c>
      <c r="DI86" s="147">
        <f>SUMPRODUCT(PRODUCE!$B97:$DY97,PRODUCE!$EB$19:$IY$19)</f>
        <v>0</v>
      </c>
      <c r="DJ86" s="56"/>
      <c r="DK86" s="147">
        <f t="shared" si="548"/>
        <v>0</v>
      </c>
      <c r="DL86" s="147">
        <f t="shared" si="549"/>
        <v>16039.599999999995</v>
      </c>
      <c r="DM86" s="56"/>
      <c r="DP86" s="55">
        <f t="shared" si="550"/>
        <v>46092</v>
      </c>
      <c r="DQ86" s="56"/>
      <c r="DR86" s="57">
        <f>SUMPRODUCT(PRODUCE!$B97:$DY97,PRODUCE!$EB$20:$IY$20)</f>
        <v>0</v>
      </c>
      <c r="DS86" s="56"/>
      <c r="DT86" s="57">
        <f t="shared" si="551"/>
        <v>0</v>
      </c>
      <c r="DU86" s="57">
        <f t="shared" si="552"/>
        <v>7150</v>
      </c>
      <c r="DV86" s="56"/>
      <c r="DY86" s="55">
        <f t="shared" si="553"/>
        <v>46092</v>
      </c>
      <c r="DZ86" s="56"/>
      <c r="EA86" s="157">
        <f>SUMPRODUCT(PRODUCE!$B97:$DY97,PRODUCE!$EB$21:$IY$21)</f>
        <v>0</v>
      </c>
      <c r="EB86" s="56"/>
      <c r="EC86" s="157">
        <f t="shared" si="554"/>
        <v>0</v>
      </c>
      <c r="ED86" s="157">
        <f t="shared" si="555"/>
        <v>5197.3</v>
      </c>
      <c r="EE86" s="56"/>
      <c r="EH86" s="55">
        <f t="shared" si="556"/>
        <v>46092</v>
      </c>
      <c r="EI86" s="56"/>
      <c r="EJ86" s="162">
        <f>SUMPRODUCT(PRODUCE!$B97:$DY97,PRODUCE!$EB$22:$IY$22)</f>
        <v>0</v>
      </c>
      <c r="EK86" s="56"/>
      <c r="EL86" s="162">
        <f t="shared" si="557"/>
        <v>0</v>
      </c>
      <c r="EM86" s="162">
        <f t="shared" si="558"/>
        <v>0</v>
      </c>
      <c r="EN86" s="56"/>
      <c r="EQ86" s="55">
        <f t="shared" si="559"/>
        <v>46092</v>
      </c>
      <c r="ER86" s="56"/>
      <c r="ES86" s="135">
        <f>SUMPRODUCT(PRODUCE!$B97:$DY97,PRODUCE!$EB$23:$IY$23)</f>
        <v>0</v>
      </c>
      <c r="ET86" s="56"/>
      <c r="EU86" s="135">
        <f t="shared" si="560"/>
        <v>0</v>
      </c>
      <c r="EV86" s="135">
        <f t="shared" si="561"/>
        <v>0</v>
      </c>
      <c r="EW86" s="56"/>
      <c r="EZ86" s="55">
        <f t="shared" si="562"/>
        <v>46092</v>
      </c>
      <c r="FA86" s="56"/>
      <c r="FB86" s="175">
        <f>SUMPRODUCT(PRODUCE!$B97:$DY97,PRODUCE!$EB$24:$IY$24)</f>
        <v>0</v>
      </c>
      <c r="FC86" s="56"/>
      <c r="FD86" s="175">
        <f t="shared" si="563"/>
        <v>0</v>
      </c>
      <c r="FE86" s="175">
        <f t="shared" si="564"/>
        <v>0</v>
      </c>
      <c r="FF86" s="56"/>
      <c r="FI86" s="55">
        <f t="shared" si="565"/>
        <v>46092</v>
      </c>
      <c r="FJ86" s="56"/>
      <c r="FK86" s="183">
        <f>SUMPRODUCT(PRODUCE!$B97:$DY97,PRODUCE!$EB$25:$IY$25)</f>
        <v>0</v>
      </c>
      <c r="FL86" s="56"/>
      <c r="FM86" s="183">
        <f t="shared" si="566"/>
        <v>0</v>
      </c>
      <c r="FN86" s="183">
        <f t="shared" si="567"/>
        <v>0</v>
      </c>
      <c r="FO86" s="56"/>
      <c r="FR86" s="55">
        <f t="shared" si="568"/>
        <v>46092</v>
      </c>
      <c r="FS86" s="422">
        <f>100*20</f>
        <v>2000</v>
      </c>
      <c r="FT86" s="452">
        <f>SUMPRODUCT(PRODUCE!$B97:$DY97,PRODUCE!$EB$26:$IY$26)</f>
        <v>0</v>
      </c>
      <c r="FU86" s="422"/>
      <c r="FV86" s="452">
        <f t="shared" si="569"/>
        <v>0</v>
      </c>
      <c r="FW86" s="452">
        <f t="shared" si="570"/>
        <v>2020</v>
      </c>
      <c r="FX86" s="56"/>
      <c r="GA86" s="55">
        <f t="shared" si="571"/>
        <v>46092</v>
      </c>
      <c r="GB86" s="422"/>
      <c r="GC86" s="454">
        <f>SUMPRODUCT(PRODUCE!$B97:$DY97,PRODUCE!$EB$27:$IY$27)</f>
        <v>0</v>
      </c>
      <c r="GD86" s="422"/>
      <c r="GE86" s="454">
        <f t="shared" si="572"/>
        <v>0</v>
      </c>
      <c r="GF86" s="454">
        <f t="shared" si="573"/>
        <v>5560</v>
      </c>
      <c r="GG86" s="56"/>
      <c r="GI86" s="23"/>
      <c r="GJ86" s="55">
        <f t="shared" si="574"/>
        <v>46092</v>
      </c>
      <c r="GK86" s="422"/>
      <c r="GL86" s="456">
        <f>SUMPRODUCT(PRODUCE!$B97:$DY97,PRODUCE!$EB$28:$IY$28)</f>
        <v>0</v>
      </c>
      <c r="GM86" s="422"/>
      <c r="GN86" s="456">
        <f t="shared" si="575"/>
        <v>0</v>
      </c>
      <c r="GO86" s="456">
        <f t="shared" si="576"/>
        <v>5240</v>
      </c>
      <c r="GP86" s="56"/>
      <c r="GS86" s="55">
        <f t="shared" si="577"/>
        <v>46092</v>
      </c>
      <c r="GT86" s="56"/>
      <c r="GU86" s="195">
        <f>SUMPRODUCT(PRODUCE!$B97:$DY97,PRODUCE!$EB$29:$IY$29)</f>
        <v>0</v>
      </c>
      <c r="GV86" s="56"/>
      <c r="GW86" s="195">
        <f t="shared" si="578"/>
        <v>0</v>
      </c>
      <c r="GX86" s="195">
        <f t="shared" si="579"/>
        <v>0</v>
      </c>
      <c r="GY86" s="56"/>
      <c r="HB86" s="55">
        <f t="shared" si="580"/>
        <v>46092</v>
      </c>
      <c r="HC86" s="56"/>
      <c r="HD86" s="191">
        <f>SUMPRODUCT(PRODUCE!$B97:$DY97,PRODUCE!$EB$30:$IY$30)</f>
        <v>0</v>
      </c>
      <c r="HE86" s="56"/>
      <c r="HF86" s="191">
        <f t="shared" si="581"/>
        <v>0</v>
      </c>
      <c r="HG86" s="191">
        <f t="shared" si="582"/>
        <v>0</v>
      </c>
      <c r="HH86" s="56"/>
      <c r="HK86" s="55">
        <f t="shared" si="583"/>
        <v>46092</v>
      </c>
      <c r="HL86" s="56"/>
      <c r="HM86" s="63">
        <f>SUMPRODUCT(PRODUCE!$B97:$DY97,PRODUCE!$EB$31:$IY$31)</f>
        <v>0</v>
      </c>
      <c r="HN86" s="56"/>
      <c r="HO86" s="63">
        <f t="shared" si="584"/>
        <v>0</v>
      </c>
      <c r="HP86" s="63">
        <f t="shared" si="585"/>
        <v>0</v>
      </c>
      <c r="HQ86" s="56"/>
      <c r="HU86" s="55">
        <f t="shared" si="586"/>
        <v>46092</v>
      </c>
      <c r="HV86" s="56"/>
      <c r="HW86" s="242">
        <f>SUMPRODUCT(PRODUCE!$B97:$DY97,PRODUCE!$EB$32:$IY$32)</f>
        <v>0</v>
      </c>
      <c r="HX86" s="56"/>
      <c r="HY86" s="242">
        <f t="shared" si="587"/>
        <v>0</v>
      </c>
      <c r="HZ86" s="242">
        <f t="shared" si="588"/>
        <v>5120</v>
      </c>
      <c r="IA86" s="56"/>
      <c r="ID86" s="55">
        <f t="shared" si="589"/>
        <v>46092</v>
      </c>
      <c r="IE86" s="56"/>
      <c r="IF86" s="242">
        <f>SUMPRODUCT(PRODUCE!$B97:$DY97,PRODUCE!$EB$33:$IY$33)</f>
        <v>0</v>
      </c>
      <c r="IG86" s="56"/>
      <c r="IH86" s="242">
        <f t="shared" si="590"/>
        <v>0</v>
      </c>
      <c r="II86" s="242">
        <f t="shared" si="591"/>
        <v>6540</v>
      </c>
      <c r="IJ86" s="56"/>
      <c r="IM86" s="55">
        <f t="shared" si="592"/>
        <v>46092</v>
      </c>
      <c r="IN86" s="56"/>
      <c r="IO86" s="242">
        <f>SUMPRODUCT(PRODUCE!$B97:$DY97,PRODUCE!$EB$34:$IY$34)</f>
        <v>0</v>
      </c>
      <c r="IP86" s="56"/>
      <c r="IQ86" s="242">
        <f t="shared" si="593"/>
        <v>0</v>
      </c>
      <c r="IR86" s="242">
        <f t="shared" si="594"/>
        <v>11540</v>
      </c>
      <c r="IS86" s="56"/>
      <c r="IV86" s="55">
        <f t="shared" si="595"/>
        <v>46092</v>
      </c>
      <c r="IW86" s="56"/>
      <c r="IX86" s="242">
        <f>SUMPRODUCT(PRODUCE!$B97:$DY97,PRODUCE!$EB$35:$IY$35)</f>
        <v>0</v>
      </c>
      <c r="IY86" s="56"/>
      <c r="IZ86" s="242">
        <f t="shared" si="596"/>
        <v>0</v>
      </c>
      <c r="JA86" s="242">
        <f t="shared" si="597"/>
        <v>15120</v>
      </c>
      <c r="JB86" s="56"/>
      <c r="JE86" s="55">
        <f t="shared" si="598"/>
        <v>46092</v>
      </c>
      <c r="JF86" s="56"/>
      <c r="JG86" s="242">
        <f>SUMPRODUCT(PRODUCE!$B97:$DY97,PRODUCE!$EB$36:$IY$36)</f>
        <v>0</v>
      </c>
      <c r="JH86" s="56"/>
      <c r="JI86" s="242">
        <f t="shared" si="599"/>
        <v>0</v>
      </c>
      <c r="JJ86" s="242">
        <f t="shared" si="600"/>
        <v>5040</v>
      </c>
      <c r="JK86" s="56"/>
      <c r="JN86" s="55">
        <f t="shared" si="601"/>
        <v>46092</v>
      </c>
      <c r="JO86" s="56"/>
      <c r="JP86" s="242">
        <f>SUMPRODUCT(PRODUCE!$B97:$DY97,PRODUCE!$EB$37:$IY$37)</f>
        <v>0</v>
      </c>
      <c r="JQ86" s="56"/>
      <c r="JR86" s="242">
        <f t="shared" si="602"/>
        <v>0</v>
      </c>
      <c r="JS86" s="242">
        <f t="shared" si="603"/>
        <v>9100</v>
      </c>
      <c r="JT86" s="56"/>
      <c r="JW86" s="55">
        <f t="shared" si="604"/>
        <v>46092</v>
      </c>
      <c r="JX86" s="56"/>
      <c r="JY86" s="242">
        <f>SUMPRODUCT(PRODUCE!$B97:$DY97,PRODUCE!$EB$38:$IY$38)</f>
        <v>0</v>
      </c>
      <c r="JZ86" s="56"/>
      <c r="KA86" s="242">
        <f t="shared" si="605"/>
        <v>0</v>
      </c>
      <c r="KB86" s="242">
        <f t="shared" si="606"/>
        <v>4740</v>
      </c>
      <c r="KC86" s="56"/>
      <c r="KF86" s="55">
        <f t="shared" si="607"/>
        <v>46092</v>
      </c>
      <c r="KG86" s="56"/>
      <c r="KH86" s="242">
        <f>SUMPRODUCT(PRODUCE!$B97:$DY97,PRODUCE!$EB$39:$IY$39)</f>
        <v>0</v>
      </c>
      <c r="KI86" s="56"/>
      <c r="KJ86" s="242">
        <f t="shared" si="608"/>
        <v>0</v>
      </c>
      <c r="KK86" s="242">
        <f t="shared" si="609"/>
        <v>5284.5</v>
      </c>
      <c r="KL86" s="56"/>
      <c r="KO86" s="55">
        <f t="shared" si="610"/>
        <v>46092</v>
      </c>
      <c r="KP86" s="56"/>
      <c r="KQ86" s="242">
        <f>SUMPRODUCT(PRODUCE!$B97:$DY97,PRODUCE!$EB$40:$IY$40)</f>
        <v>0</v>
      </c>
      <c r="KR86" s="56"/>
      <c r="KS86" s="242">
        <f t="shared" si="611"/>
        <v>0</v>
      </c>
      <c r="KT86" s="242">
        <f t="shared" si="612"/>
        <v>1701.0000000000009</v>
      </c>
      <c r="KU86" s="56"/>
      <c r="KW86" s="23"/>
      <c r="KX86" s="55">
        <f t="shared" si="613"/>
        <v>46092</v>
      </c>
      <c r="KY86" s="56"/>
      <c r="KZ86" s="242">
        <f>SUMPRODUCT(PRODUCE!$B97:$DY97,PRODUCE!$EB$41:$IY$41)</f>
        <v>0</v>
      </c>
      <c r="LA86" s="56"/>
      <c r="LB86" s="242">
        <f t="shared" si="614"/>
        <v>0</v>
      </c>
      <c r="LC86" s="242">
        <f t="shared" si="615"/>
        <v>0</v>
      </c>
      <c r="LD86" s="56"/>
      <c r="LG86" s="55">
        <f t="shared" si="616"/>
        <v>46092</v>
      </c>
      <c r="LH86" s="56"/>
      <c r="LI86" s="242">
        <f>SUMPRODUCT(PRODUCE!$B97:$DY97,PRODUCE!$EB$42:$IY$42)</f>
        <v>0</v>
      </c>
      <c r="LJ86" s="56"/>
      <c r="LK86" s="242">
        <f t="shared" si="617"/>
        <v>0</v>
      </c>
      <c r="LL86" s="242">
        <f t="shared" si="618"/>
        <v>0</v>
      </c>
      <c r="LM86" s="56"/>
      <c r="LP86" s="55">
        <f t="shared" si="619"/>
        <v>46092</v>
      </c>
      <c r="LQ86" s="56"/>
      <c r="LR86" s="242">
        <f>SUMPRODUCT(PRODUCE!$B101:$DY101,PRODUCE!$EB$43:$IY$43)</f>
        <v>0</v>
      </c>
      <c r="LS86" s="56"/>
      <c r="LT86" s="242">
        <f t="shared" si="620"/>
        <v>0</v>
      </c>
      <c r="LU86" s="242">
        <f t="shared" si="621"/>
        <v>0</v>
      </c>
      <c r="LV86" s="56"/>
      <c r="LY86" s="55">
        <f t="shared" si="622"/>
        <v>46092</v>
      </c>
      <c r="LZ86" s="56"/>
      <c r="MA86" s="242">
        <f>SUMPRODUCT(PRODUCE!$B97:$DY97,PRODUCE!$EB$44:$IY$44)</f>
        <v>0</v>
      </c>
      <c r="MB86" s="56"/>
      <c r="MC86" s="242">
        <f t="shared" si="623"/>
        <v>0</v>
      </c>
      <c r="MD86" s="242">
        <f t="shared" si="624"/>
        <v>0</v>
      </c>
      <c r="ME86" s="56"/>
      <c r="MH86" s="55">
        <f t="shared" si="625"/>
        <v>46092</v>
      </c>
      <c r="MI86" s="56"/>
      <c r="MJ86" s="242">
        <f>SUMPRODUCT(PRODUCE!$B97:$DY97,PRODUCE!$EB$45:$IY$45)</f>
        <v>0</v>
      </c>
      <c r="MK86" s="56"/>
      <c r="ML86" s="242">
        <f t="shared" si="626"/>
        <v>0</v>
      </c>
      <c r="MM86" s="242">
        <f t="shared" si="627"/>
        <v>0</v>
      </c>
      <c r="MN86" s="56"/>
      <c r="MQ86" s="55">
        <f t="shared" si="628"/>
        <v>46092</v>
      </c>
      <c r="MR86" s="56"/>
      <c r="MS86" s="242">
        <f>SUMPRODUCT(PRODUCE!$B97:$DY97,PRODUCE!$EB$46:$IY$46)</f>
        <v>0</v>
      </c>
      <c r="MT86" s="56"/>
      <c r="MU86" s="242">
        <f t="shared" si="629"/>
        <v>0</v>
      </c>
      <c r="MV86" s="242">
        <f t="shared" si="630"/>
        <v>3450</v>
      </c>
      <c r="MW86" s="56"/>
      <c r="MZ86" s="55">
        <f t="shared" si="631"/>
        <v>46092</v>
      </c>
      <c r="NA86" s="56"/>
      <c r="NB86" s="242">
        <f>SUMPRODUCT(PRODUCE!$B97:$DY97,PRODUCE!$EB$47:$IY$47)</f>
        <v>0</v>
      </c>
      <c r="NC86" s="56"/>
      <c r="ND86" s="242">
        <f t="shared" si="632"/>
        <v>0</v>
      </c>
      <c r="NE86" s="242">
        <f t="shared" si="633"/>
        <v>0</v>
      </c>
      <c r="NF86" s="56"/>
      <c r="NI86" s="55">
        <f t="shared" si="634"/>
        <v>46092</v>
      </c>
      <c r="NJ86" s="56"/>
      <c r="NK86" s="242">
        <f>SUMPRODUCT(PRODUCE!$B97:$DY97,PRODUCE!$EB$48:$IY$48)</f>
        <v>0</v>
      </c>
      <c r="NL86" s="56"/>
      <c r="NM86" s="242">
        <f t="shared" si="635"/>
        <v>0</v>
      </c>
      <c r="NN86" s="242">
        <f t="shared" si="636"/>
        <v>165</v>
      </c>
      <c r="NO86" s="56"/>
      <c r="NR86" s="55">
        <f t="shared" si="637"/>
        <v>46092</v>
      </c>
      <c r="NS86" s="56"/>
      <c r="NT86" s="242">
        <f>SUMPRODUCT(PRODUCE!$B97:$DY97,PRODUCE!$EB$49:$IY$49)</f>
        <v>0</v>
      </c>
      <c r="NU86" s="56"/>
      <c r="NV86" s="242">
        <f t="shared" si="638"/>
        <v>0</v>
      </c>
      <c r="NW86" s="242">
        <f t="shared" si="639"/>
        <v>1578.9</v>
      </c>
      <c r="NX86" s="56"/>
      <c r="OA86" s="55">
        <f t="shared" si="640"/>
        <v>46092</v>
      </c>
      <c r="OB86" s="56"/>
      <c r="OC86" s="242">
        <f>SUMPRODUCT(PRODUCE!$B97:$DY97,PRODUCE!$EB$50:$IY$50)</f>
        <v>0</v>
      </c>
      <c r="OD86" s="56"/>
      <c r="OE86" s="242">
        <f t="shared" si="641"/>
        <v>0</v>
      </c>
      <c r="OF86" s="242">
        <f t="shared" si="642"/>
        <v>1680.5</v>
      </c>
      <c r="OG86" s="56"/>
      <c r="OJ86" s="55">
        <f t="shared" si="643"/>
        <v>46092</v>
      </c>
      <c r="OK86" s="56"/>
      <c r="OL86" s="242">
        <f>SUMPRODUCT(PRODUCE!$B97:$DY97,PRODUCE!$EB$51:$IY$51)</f>
        <v>0</v>
      </c>
      <c r="OM86" s="56"/>
      <c r="ON86" s="242">
        <f t="shared" si="644"/>
        <v>0</v>
      </c>
      <c r="OO86" s="242">
        <f t="shared" si="645"/>
        <v>0</v>
      </c>
      <c r="OP86" s="56"/>
      <c r="OS86" s="55">
        <f t="shared" si="646"/>
        <v>46092</v>
      </c>
      <c r="OT86" s="56">
        <v>2000</v>
      </c>
      <c r="OU86" s="242">
        <f>SUMPRODUCT(PRODUCE!$B97:$DY97,PRODUCE!$EB$52:$IY$52)</f>
        <v>0</v>
      </c>
      <c r="OV86" s="56">
        <v>1000</v>
      </c>
      <c r="OW86" s="242">
        <f t="shared" si="647"/>
        <v>-1000</v>
      </c>
      <c r="OX86" s="242">
        <f t="shared" si="648"/>
        <v>1000</v>
      </c>
      <c r="OY86" s="56"/>
      <c r="PB86" s="55">
        <f t="shared" si="649"/>
        <v>46092</v>
      </c>
      <c r="PC86" s="56"/>
      <c r="PD86" s="242">
        <f>SUMPRODUCT(PRODUCE!$B97:$DY97,PRODUCE!$EB$53:$IY$53)</f>
        <v>0</v>
      </c>
      <c r="PE86" s="56"/>
      <c r="PF86" s="242">
        <f t="shared" si="650"/>
        <v>0</v>
      </c>
      <c r="PG86" s="242">
        <f t="shared" si="651"/>
        <v>0</v>
      </c>
      <c r="PH86" s="56"/>
      <c r="PK86" s="55">
        <f t="shared" si="652"/>
        <v>46092</v>
      </c>
      <c r="PL86" s="56"/>
      <c r="PM86" s="242">
        <f>SUMPRODUCT(PRODUCE!$B97:$DY97,PRODUCE!$EB$54:$IY$54)</f>
        <v>0</v>
      </c>
      <c r="PN86" s="56"/>
      <c r="PO86" s="242">
        <f t="shared" si="653"/>
        <v>0</v>
      </c>
      <c r="PP86" s="242">
        <f t="shared" si="654"/>
        <v>100</v>
      </c>
      <c r="PQ86" s="56"/>
      <c r="PT86" s="55">
        <f t="shared" si="655"/>
        <v>46092</v>
      </c>
      <c r="PU86" s="56"/>
      <c r="PV86" s="242">
        <f>SUMPRODUCT(PRODUCE!$B97:$DY97,PRODUCE!$EB$55:$IY$55)</f>
        <v>0</v>
      </c>
      <c r="PW86" s="56"/>
      <c r="PX86" s="242">
        <f t="shared" si="656"/>
        <v>0</v>
      </c>
      <c r="PY86" s="242">
        <f t="shared" si="657"/>
        <v>13.960000000000036</v>
      </c>
      <c r="PZ86" s="56"/>
      <c r="QC86" s="55">
        <f t="shared" si="658"/>
        <v>46092</v>
      </c>
      <c r="QD86" s="56"/>
      <c r="QE86" s="242">
        <f>SUMPRODUCT(PRODUCE!$B97:$DY97,PRODUCE!$EB$56:$IY$56)</f>
        <v>0</v>
      </c>
      <c r="QF86" s="56"/>
      <c r="QG86" s="242">
        <f t="shared" si="659"/>
        <v>0</v>
      </c>
      <c r="QH86" s="242">
        <f t="shared" si="660"/>
        <v>1212</v>
      </c>
      <c r="QI86" s="56"/>
      <c r="QL86" s="55">
        <f t="shared" si="661"/>
        <v>46092</v>
      </c>
      <c r="QM86" s="56"/>
      <c r="QN86" s="242">
        <f>SUMPRODUCT(PRODUCE!$B97:$DY97,PRODUCE!$EB$57:$IY$57)</f>
        <v>0</v>
      </c>
      <c r="QO86" s="56"/>
      <c r="QP86" s="242">
        <f t="shared" si="662"/>
        <v>0</v>
      </c>
      <c r="QQ86" s="242">
        <f t="shared" si="663"/>
        <v>0</v>
      </c>
      <c r="QR86" s="56"/>
      <c r="QU86" s="55">
        <f t="shared" si="664"/>
        <v>46092</v>
      </c>
      <c r="QV86" s="56"/>
      <c r="QW86" s="242">
        <f>SUMPRODUCT(PRODUCE!$B97:$DY97,PRODUCE!$EB$57:$IY$57)</f>
        <v>0</v>
      </c>
      <c r="QX86" s="56"/>
      <c r="QY86" s="242">
        <f t="shared" si="665"/>
        <v>0</v>
      </c>
      <c r="QZ86" s="242">
        <f t="shared" si="666"/>
        <v>207.6</v>
      </c>
      <c r="RA86" s="56"/>
      <c r="RD86" s="55">
        <f t="shared" si="667"/>
        <v>46092</v>
      </c>
      <c r="RE86" s="56"/>
      <c r="RF86" s="242">
        <f>SUMPRODUCT(PRODUCE!$B97:$DY97,PRODUCE!$EB$58:$IY$58)</f>
        <v>0</v>
      </c>
      <c r="RG86" s="56"/>
      <c r="RH86" s="242">
        <f t="shared" si="668"/>
        <v>0</v>
      </c>
      <c r="RI86" s="242">
        <f t="shared" si="669"/>
        <v>197.04000000000002</v>
      </c>
      <c r="RJ86" s="56"/>
      <c r="RM86" s="55">
        <f t="shared" si="670"/>
        <v>46092</v>
      </c>
      <c r="RN86" s="56"/>
      <c r="RO86" s="242">
        <f>SUMPRODUCT(PRODUCE!$B97:$DY97,PRODUCE!$EB$57:$IY$57)</f>
        <v>0</v>
      </c>
      <c r="RP86" s="56"/>
      <c r="RQ86" s="242">
        <f t="shared" si="671"/>
        <v>0</v>
      </c>
      <c r="RR86" s="242">
        <f t="shared" si="672"/>
        <v>46.8</v>
      </c>
      <c r="RS86" s="56"/>
      <c r="RV86" s="55">
        <f t="shared" si="673"/>
        <v>46092</v>
      </c>
      <c r="RW86" s="56"/>
      <c r="RX86" s="242">
        <f>SUMPRODUCT(PRODUCE!$B97:$DY97,PRODUCE!$EB$57:$IY$57)</f>
        <v>0</v>
      </c>
      <c r="RY86" s="56"/>
      <c r="RZ86" s="242">
        <f t="shared" si="674"/>
        <v>0</v>
      </c>
      <c r="SA86" s="242">
        <f t="shared" si="675"/>
        <v>0</v>
      </c>
      <c r="SB86" s="56"/>
      <c r="SE86" s="55">
        <f t="shared" si="676"/>
        <v>46092</v>
      </c>
      <c r="SF86" s="56"/>
      <c r="SG86" s="242">
        <f>SUMPRODUCT(PRODUCE!$B97:$DY97,PRODUCE!$EB$57:$IY$57)</f>
        <v>0</v>
      </c>
      <c r="SH86" s="56"/>
      <c r="SI86" s="242">
        <f t="shared" si="677"/>
        <v>0</v>
      </c>
      <c r="SJ86" s="242">
        <f t="shared" si="678"/>
        <v>0</v>
      </c>
      <c r="SK86" s="56"/>
      <c r="SN86" s="55">
        <f t="shared" si="679"/>
        <v>46092</v>
      </c>
      <c r="SO86" s="56"/>
      <c r="SP86" s="242">
        <f>SUMPRODUCT(PRODUCE!$B97:$DY97,PRODUCE!$EB$57:$IY$57)</f>
        <v>0</v>
      </c>
      <c r="SQ86" s="56"/>
      <c r="SR86" s="242">
        <f t="shared" si="680"/>
        <v>0</v>
      </c>
      <c r="SS86" s="242">
        <f t="shared" si="681"/>
        <v>0</v>
      </c>
      <c r="ST86" s="56"/>
      <c r="SW86" s="55">
        <f t="shared" si="682"/>
        <v>46092</v>
      </c>
      <c r="SX86" s="56"/>
      <c r="SY86" s="242">
        <f>SUMPRODUCT(PRODUCE!$B97:$DY97,PRODUCE!$EB$57:$IY$57)</f>
        <v>0</v>
      </c>
      <c r="SZ86" s="56"/>
      <c r="TA86" s="242">
        <f t="shared" si="683"/>
        <v>0</v>
      </c>
      <c r="TB86" s="242">
        <f t="shared" si="684"/>
        <v>0</v>
      </c>
      <c r="TC86" s="56"/>
      <c r="TF86" s="55">
        <f t="shared" si="685"/>
        <v>46092</v>
      </c>
      <c r="TG86" s="56"/>
      <c r="TH86" s="242">
        <f>SUMPRODUCT(PRODUCE!$B97:$DY97,PRODUCE!$EB$57:$IY$57)</f>
        <v>0</v>
      </c>
      <c r="TI86" s="56"/>
      <c r="TJ86" s="242">
        <f t="shared" si="686"/>
        <v>0</v>
      </c>
      <c r="TK86" s="242">
        <f t="shared" si="687"/>
        <v>0</v>
      </c>
      <c r="TL86" s="56"/>
      <c r="TO86" s="55">
        <f t="shared" si="688"/>
        <v>46092</v>
      </c>
      <c r="TP86" s="56"/>
      <c r="TQ86" s="242">
        <f>SUMPRODUCT(PRODUCE!$B97:$DY97,PRODUCE!$EB$57:$IY$57)</f>
        <v>0</v>
      </c>
      <c r="TR86" s="56"/>
      <c r="TS86" s="242">
        <f t="shared" si="689"/>
        <v>0</v>
      </c>
      <c r="TT86" s="242">
        <f t="shared" si="690"/>
        <v>0</v>
      </c>
      <c r="TU86" s="56"/>
      <c r="TX86" s="55">
        <f t="shared" si="691"/>
        <v>46092</v>
      </c>
      <c r="TY86" s="56"/>
      <c r="TZ86" s="242">
        <f>SUMPRODUCT(PRODUCE!$B97:$DY97,PRODUCE!$EB$57:$IY$57)</f>
        <v>0</v>
      </c>
      <c r="UA86" s="56"/>
      <c r="UB86" s="242">
        <f t="shared" si="692"/>
        <v>0</v>
      </c>
      <c r="UC86" s="242">
        <f t="shared" si="693"/>
        <v>0</v>
      </c>
      <c r="UD86" s="56"/>
      <c r="UG86" s="55">
        <f t="shared" si="694"/>
        <v>46092</v>
      </c>
      <c r="UH86" s="56"/>
      <c r="UI86" s="242">
        <f>SUMPRODUCT(PRODUCE!$B97:$DY97,PRODUCE!$EB$57:$IY$57)</f>
        <v>0</v>
      </c>
      <c r="UJ86" s="56"/>
      <c r="UK86" s="242">
        <f t="shared" si="695"/>
        <v>0</v>
      </c>
      <c r="UL86" s="242">
        <f t="shared" si="696"/>
        <v>0</v>
      </c>
      <c r="UM86" s="56"/>
      <c r="UP86" s="55">
        <f t="shared" si="697"/>
        <v>46092</v>
      </c>
      <c r="UQ86" s="56"/>
      <c r="UR86" s="242">
        <f>SUMPRODUCT(PRODUCE!$B97:$DY97,PRODUCE!$EB$57:$IY$57)</f>
        <v>0</v>
      </c>
      <c r="US86" s="56"/>
      <c r="UT86" s="242">
        <f t="shared" si="698"/>
        <v>0</v>
      </c>
      <c r="UU86" s="242">
        <f t="shared" si="699"/>
        <v>0</v>
      </c>
      <c r="UV86" s="56"/>
      <c r="UY86" s="55">
        <f t="shared" si="700"/>
        <v>46092</v>
      </c>
      <c r="UZ86" s="56"/>
      <c r="VA86" s="242">
        <f>SUMPRODUCT(PRODUCE!$B97:$DY97,PRODUCE!$EB$57:$IY$57)</f>
        <v>0</v>
      </c>
      <c r="VB86" s="56"/>
      <c r="VC86" s="242">
        <f t="shared" si="701"/>
        <v>0</v>
      </c>
      <c r="VD86" s="242">
        <f t="shared" si="702"/>
        <v>41.600000000000023</v>
      </c>
      <c r="VE86" s="56"/>
      <c r="VH86" s="55">
        <f t="shared" si="703"/>
        <v>46092</v>
      </c>
      <c r="VI86" s="56"/>
      <c r="VJ86" s="242">
        <f>SUMPRODUCT(PRODUCE!$B97:$DY97,PRODUCE!$EB$57:$IY$57)</f>
        <v>0</v>
      </c>
      <c r="VK86" s="56"/>
      <c r="VL86" s="242">
        <f t="shared" si="704"/>
        <v>0</v>
      </c>
      <c r="VM86" s="242">
        <f t="shared" si="705"/>
        <v>0</v>
      </c>
      <c r="VN86" s="56"/>
      <c r="VQ86" s="55">
        <f t="shared" si="706"/>
        <v>46092</v>
      </c>
      <c r="VR86" s="56"/>
      <c r="VS86" s="242">
        <f>SUMPRODUCT(PRODUCE!$B97:$DY97,PRODUCE!$EB$57:$IY$57)</f>
        <v>0</v>
      </c>
      <c r="VT86" s="56"/>
      <c r="VU86" s="242">
        <f t="shared" si="707"/>
        <v>0</v>
      </c>
      <c r="VV86" s="242">
        <f t="shared" si="708"/>
        <v>0</v>
      </c>
      <c r="VW86" s="56"/>
      <c r="VZ86" s="55">
        <f t="shared" si="709"/>
        <v>46092</v>
      </c>
      <c r="WA86" s="56"/>
      <c r="WB86" s="242">
        <f>SUMPRODUCT(PRODUCE!$B97:$DY97,PRODUCE!$EB$57:$IY$57)</f>
        <v>0</v>
      </c>
      <c r="WC86" s="56"/>
      <c r="WD86" s="242">
        <f t="shared" si="710"/>
        <v>0</v>
      </c>
      <c r="WE86" s="242">
        <f t="shared" si="711"/>
        <v>0</v>
      </c>
      <c r="WF86" s="56"/>
      <c r="WI86" s="55">
        <f t="shared" si="712"/>
        <v>46092</v>
      </c>
      <c r="WJ86" s="56"/>
      <c r="WK86" s="242">
        <f>SUMPRODUCT(PRODUCE!$B97:$DY97,PRODUCE!$EB$57:$IY$57)</f>
        <v>0</v>
      </c>
      <c r="WL86" s="56"/>
      <c r="WM86" s="242">
        <f t="shared" si="713"/>
        <v>0</v>
      </c>
      <c r="WN86" s="242">
        <f t="shared" si="714"/>
        <v>6022</v>
      </c>
      <c r="WO86" s="56"/>
      <c r="WR86" s="55">
        <f t="shared" si="715"/>
        <v>46092</v>
      </c>
      <c r="WS86" s="56"/>
      <c r="WT86" s="242">
        <f>SUMPRODUCT(PRODUCE!$B97:$DY97,PRODUCE!$EB$57:$IY$57)</f>
        <v>0</v>
      </c>
      <c r="WU86" s="56"/>
      <c r="WV86" s="242">
        <f t="shared" si="716"/>
        <v>0</v>
      </c>
      <c r="WW86" s="242">
        <f t="shared" si="717"/>
        <v>5568</v>
      </c>
      <c r="WX86" s="56"/>
      <c r="XA86" s="55">
        <f t="shared" si="718"/>
        <v>46092</v>
      </c>
      <c r="XB86" s="56"/>
      <c r="XC86" s="242">
        <f>SUMPRODUCT(PRODUCE!$B97:$DY97,PRODUCE!$EB$57:$IY$57)</f>
        <v>0</v>
      </c>
      <c r="XD86" s="56"/>
      <c r="XE86" s="242">
        <f t="shared" si="719"/>
        <v>0</v>
      </c>
      <c r="XF86" s="242">
        <f t="shared" si="720"/>
        <v>590</v>
      </c>
      <c r="XG86" s="56"/>
      <c r="XJ86" s="55">
        <f t="shared" si="721"/>
        <v>46092</v>
      </c>
      <c r="XK86" s="56"/>
      <c r="XL86" s="242">
        <f>SUMPRODUCT(PRODUCE!$B97:$DY97,PRODUCE!$EB$57:$IY$57)</f>
        <v>0</v>
      </c>
      <c r="XM86" s="56"/>
      <c r="XN86" s="242">
        <f t="shared" si="722"/>
        <v>0</v>
      </c>
      <c r="XO86" s="242">
        <f t="shared" si="723"/>
        <v>1439</v>
      </c>
      <c r="XP86" s="56"/>
      <c r="XS86" s="55">
        <f t="shared" si="724"/>
        <v>46092</v>
      </c>
      <c r="XT86" s="56"/>
      <c r="XU86" s="242">
        <f>SUMPRODUCT(PRODUCE!$B97:$DY97,PRODUCE!$EB$57:$IY$57)</f>
        <v>0</v>
      </c>
      <c r="XV86" s="56"/>
      <c r="XW86" s="242">
        <f t="shared" si="725"/>
        <v>0</v>
      </c>
      <c r="XX86" s="242">
        <f t="shared" si="726"/>
        <v>1901</v>
      </c>
      <c r="XY86" s="56"/>
      <c r="YB86" s="55">
        <f t="shared" si="727"/>
        <v>46092</v>
      </c>
      <c r="YC86" s="56"/>
      <c r="YD86" s="242">
        <f>SUMPRODUCT(PRODUCE!$B97:$DY97,PRODUCE!$EB$57:$IY$57)</f>
        <v>0</v>
      </c>
      <c r="YE86" s="56"/>
      <c r="YF86" s="242">
        <f t="shared" si="728"/>
        <v>0</v>
      </c>
      <c r="YG86" s="242">
        <f t="shared" si="729"/>
        <v>0</v>
      </c>
      <c r="YH86" s="56"/>
      <c r="YK86" s="55">
        <f t="shared" si="730"/>
        <v>46092</v>
      </c>
      <c r="YL86" s="56"/>
      <c r="YM86" s="242">
        <f>SUMPRODUCT(PRODUCE!$B97:$DY97,PRODUCE!$EB$57:$IY$57)</f>
        <v>0</v>
      </c>
      <c r="YN86" s="56"/>
      <c r="YO86" s="242">
        <f t="shared" si="731"/>
        <v>0</v>
      </c>
      <c r="YP86" s="242">
        <f t="shared" si="732"/>
        <v>0</v>
      </c>
      <c r="YQ86" s="56"/>
      <c r="YT86" s="55">
        <f t="shared" si="733"/>
        <v>46092</v>
      </c>
      <c r="YU86" s="56"/>
      <c r="YV86" s="242">
        <f>SUMPRODUCT(PRODUCE!$B97:$DY97,PRODUCE!$EB$57:$IY$57)</f>
        <v>0</v>
      </c>
      <c r="YW86" s="56"/>
      <c r="YX86" s="242">
        <f t="shared" si="734"/>
        <v>0</v>
      </c>
      <c r="YY86" s="242">
        <f t="shared" si="735"/>
        <v>0</v>
      </c>
      <c r="YZ86" s="56"/>
      <c r="ZC86" s="55">
        <f t="shared" si="736"/>
        <v>46092</v>
      </c>
      <c r="ZD86" s="56"/>
      <c r="ZE86" s="242">
        <f>SUMPRODUCT(PRODUCE!$B97:$DY97,PRODUCE!$EB$57:$IY$57)</f>
        <v>0</v>
      </c>
      <c r="ZF86" s="56"/>
      <c r="ZG86" s="242">
        <f t="shared" si="737"/>
        <v>0</v>
      </c>
      <c r="ZH86" s="242">
        <f t="shared" si="738"/>
        <v>0</v>
      </c>
      <c r="ZI86" s="56"/>
      <c r="ZL86" s="55">
        <f t="shared" si="739"/>
        <v>46092</v>
      </c>
      <c r="ZM86" s="56"/>
      <c r="ZN86" s="242">
        <f>SUMPRODUCT(PRODUCE!$B97:$DY97,PRODUCE!$EB$57:$IY$57)</f>
        <v>0</v>
      </c>
      <c r="ZO86" s="56"/>
      <c r="ZP86" s="242">
        <f t="shared" si="740"/>
        <v>0</v>
      </c>
      <c r="ZQ86" s="242">
        <f t="shared" si="741"/>
        <v>0</v>
      </c>
      <c r="ZR86" s="56"/>
      <c r="ZU86" s="55">
        <f t="shared" si="742"/>
        <v>46092</v>
      </c>
      <c r="ZV86" s="56"/>
      <c r="ZW86" s="242">
        <f>SUMPRODUCT(PRODUCE!$B97:$DY97,PRODUCE!$EB$57:$IY$57)</f>
        <v>0</v>
      </c>
      <c r="ZX86" s="56"/>
      <c r="ZY86" s="242">
        <f t="shared" si="743"/>
        <v>0</v>
      </c>
      <c r="ZZ86" s="242">
        <f t="shared" si="744"/>
        <v>0</v>
      </c>
      <c r="AAA86" s="56"/>
      <c r="AAD86" s="55">
        <f t="shared" si="745"/>
        <v>46092</v>
      </c>
      <c r="AAE86" s="56"/>
      <c r="AAF86" s="242">
        <f>SUMPRODUCT(PRODUCE!$B97:$DY97,PRODUCE!$EB$57:$IY$57)</f>
        <v>0</v>
      </c>
      <c r="AAG86" s="56"/>
      <c r="AAH86" s="242">
        <f t="shared" si="746"/>
        <v>0</v>
      </c>
      <c r="AAI86" s="242">
        <f t="shared" si="747"/>
        <v>0</v>
      </c>
      <c r="AAJ86" s="56"/>
      <c r="AAM86" s="55">
        <f t="shared" si="748"/>
        <v>46092</v>
      </c>
      <c r="AAN86" s="56"/>
      <c r="AAO86" s="242">
        <f>SUMPRODUCT(PRODUCE!$B97:$DY97,PRODUCE!$EB$57:$IY$57)</f>
        <v>0</v>
      </c>
      <c r="AAP86" s="56"/>
      <c r="AAQ86" s="242">
        <f t="shared" si="749"/>
        <v>0</v>
      </c>
      <c r="AAR86" s="242">
        <f t="shared" si="750"/>
        <v>0</v>
      </c>
      <c r="AAS86" s="56"/>
      <c r="AAV86" s="55">
        <f t="shared" si="751"/>
        <v>46092</v>
      </c>
      <c r="AAW86" s="56"/>
      <c r="AAX86" s="242">
        <f>SUMPRODUCT(PRODUCE!$B97:$DY97,PRODUCE!$EB$57:$IY$57)</f>
        <v>0</v>
      </c>
      <c r="AAY86" s="56"/>
      <c r="AAZ86" s="242">
        <f t="shared" si="752"/>
        <v>0</v>
      </c>
      <c r="ABA86" s="242">
        <f t="shared" si="753"/>
        <v>0</v>
      </c>
      <c r="ABB86" s="56"/>
      <c r="ABE86" s="55">
        <f t="shared" si="754"/>
        <v>46092</v>
      </c>
      <c r="ABF86" s="56"/>
      <c r="ABG86" s="242">
        <f>SUMPRODUCT(PRODUCE!$B97:$DY97,PRODUCE!$EB$57:$IY$57)</f>
        <v>0</v>
      </c>
      <c r="ABH86" s="56"/>
      <c r="ABI86" s="242">
        <f t="shared" si="755"/>
        <v>0</v>
      </c>
      <c r="ABJ86" s="242">
        <f t="shared" si="756"/>
        <v>0</v>
      </c>
      <c r="ABK86" s="56"/>
    </row>
    <row r="87" spans="2:739" s="54" customFormat="1" ht="15" customHeight="1" outlineLevel="1">
      <c r="B87" s="478"/>
      <c r="C87" s="55">
        <v>46093</v>
      </c>
      <c r="D87" s="422">
        <v>12260</v>
      </c>
      <c r="E87" s="423">
        <f>SUMPRODUCT(PRODUCE!$B98:$DY98,PRODUCE!$EB$7:$IY$7)</f>
        <v>0</v>
      </c>
      <c r="F87" s="422"/>
      <c r="G87" s="423">
        <f t="shared" si="514"/>
        <v>0</v>
      </c>
      <c r="H87" s="423">
        <f t="shared" si="512"/>
        <v>127914.8</v>
      </c>
      <c r="I87" s="289"/>
      <c r="L87" s="55">
        <f t="shared" si="513"/>
        <v>46093</v>
      </c>
      <c r="M87" s="422">
        <v>42380</v>
      </c>
      <c r="N87" s="438">
        <f>SUMPRODUCT(PRODUCE!$B98:$DY98,PRODUCE!$EB$8:$IY$8)</f>
        <v>0</v>
      </c>
      <c r="O87" s="422"/>
      <c r="P87" s="438">
        <f t="shared" si="515"/>
        <v>0</v>
      </c>
      <c r="Q87" s="438">
        <f t="shared" si="516"/>
        <v>119324.80000000005</v>
      </c>
      <c r="R87" s="56"/>
      <c r="U87" s="55">
        <f t="shared" si="517"/>
        <v>46093</v>
      </c>
      <c r="V87" s="422"/>
      <c r="W87" s="440">
        <f>SUMPRODUCT(PRODUCE!$B98:$DY98,PRODUCE!$EB$9:$IY$9)</f>
        <v>0</v>
      </c>
      <c r="X87" s="422"/>
      <c r="Y87" s="440">
        <f t="shared" si="518"/>
        <v>0</v>
      </c>
      <c r="Z87" s="440">
        <f t="shared" si="519"/>
        <v>35064.499999999971</v>
      </c>
      <c r="AA87" s="56"/>
      <c r="AD87" s="55">
        <f t="shared" si="520"/>
        <v>46093</v>
      </c>
      <c r="AE87" s="422"/>
      <c r="AF87" s="442">
        <f>SUMPRODUCT(PRODUCE!$B98:$DY98,PRODUCE!$EB$10:$IY$10)</f>
        <v>0</v>
      </c>
      <c r="AG87" s="422"/>
      <c r="AH87" s="442">
        <f t="shared" si="521"/>
        <v>0</v>
      </c>
      <c r="AI87" s="442">
        <f t="shared" si="522"/>
        <v>24066.600000000017</v>
      </c>
      <c r="AJ87" s="56"/>
      <c r="AM87" s="55">
        <f t="shared" si="523"/>
        <v>46093</v>
      </c>
      <c r="AN87" s="422"/>
      <c r="AO87" s="444">
        <f>SUMPRODUCT(PRODUCE!$B98:$DY98,PRODUCE!$EB$11:$IY$11)</f>
        <v>0</v>
      </c>
      <c r="AP87" s="422"/>
      <c r="AQ87" s="444">
        <f t="shared" si="524"/>
        <v>0</v>
      </c>
      <c r="AR87" s="444">
        <f t="shared" si="525"/>
        <v>0</v>
      </c>
      <c r="AS87" s="56"/>
      <c r="AV87" s="55">
        <f t="shared" si="526"/>
        <v>46093</v>
      </c>
      <c r="AW87" s="422"/>
      <c r="AX87" s="446">
        <f>SUMPRODUCT(PRODUCE!$B98:$DY98,PRODUCE!$EB$12:$IY$12)</f>
        <v>0</v>
      </c>
      <c r="AY87" s="422"/>
      <c r="AZ87" s="446">
        <f t="shared" si="527"/>
        <v>0</v>
      </c>
      <c r="BA87" s="446">
        <f t="shared" si="528"/>
        <v>46200.299999999988</v>
      </c>
      <c r="BB87" s="56"/>
      <c r="BE87" s="55">
        <f t="shared" si="529"/>
        <v>46093</v>
      </c>
      <c r="BF87" s="422"/>
      <c r="BG87" s="448">
        <f>SUMPRODUCT(PRODUCE!$B98:$DY98,PRODUCE!$EB$13:$IY$13)</f>
        <v>0</v>
      </c>
      <c r="BH87" s="422"/>
      <c r="BI87" s="448">
        <f t="shared" si="530"/>
        <v>0</v>
      </c>
      <c r="BJ87" s="448">
        <f t="shared" si="531"/>
        <v>831.10000000000423</v>
      </c>
      <c r="BK87" s="56"/>
      <c r="BN87" s="55">
        <f t="shared" si="532"/>
        <v>46093</v>
      </c>
      <c r="BO87" s="422"/>
      <c r="BP87" s="450">
        <f>SUMPRODUCT(PRODUCE!$B98:$DY98,PRODUCE!$EB$14:$IY$14)</f>
        <v>0</v>
      </c>
      <c r="BQ87" s="422"/>
      <c r="BR87" s="450">
        <f t="shared" si="533"/>
        <v>0</v>
      </c>
      <c r="BS87" s="450">
        <f t="shared" si="534"/>
        <v>0</v>
      </c>
      <c r="BT87" s="56"/>
      <c r="BW87" s="55">
        <f t="shared" si="535"/>
        <v>46093</v>
      </c>
      <c r="BX87" s="56"/>
      <c r="BY87" s="65">
        <f>SUMPRODUCT(PRODUCE!$B98:$DY98,PRODUCE!$EB$15:$IY$15)</f>
        <v>0</v>
      </c>
      <c r="BZ87" s="56"/>
      <c r="CA87" s="65">
        <f t="shared" si="536"/>
        <v>0</v>
      </c>
      <c r="CB87" s="65">
        <f t="shared" si="537"/>
        <v>4829.8</v>
      </c>
      <c r="CC87" s="56"/>
      <c r="CF87" s="55">
        <f t="shared" si="538"/>
        <v>46093</v>
      </c>
      <c r="CG87" s="56"/>
      <c r="CH87" s="66">
        <f>SUMPRODUCT(PRODUCE!$B98:$DY98,PRODUCE!$EB$16:$IY$16)</f>
        <v>0</v>
      </c>
      <c r="CI87" s="56"/>
      <c r="CJ87" s="66">
        <f t="shared" si="539"/>
        <v>0</v>
      </c>
      <c r="CK87" s="66">
        <f t="shared" si="540"/>
        <v>0</v>
      </c>
      <c r="CL87" s="56"/>
      <c r="CO87" s="55">
        <f t="shared" si="541"/>
        <v>46093</v>
      </c>
      <c r="CP87" s="422"/>
      <c r="CQ87" s="470">
        <f>SUMPRODUCT(PRODUCE!$B98:$DY98,PRODUCE!$EB$17:$IY$17)</f>
        <v>0</v>
      </c>
      <c r="CR87" s="422"/>
      <c r="CS87" s="470">
        <f t="shared" si="542"/>
        <v>0</v>
      </c>
      <c r="CT87" s="470">
        <f t="shared" si="543"/>
        <v>0</v>
      </c>
      <c r="CU87" s="56"/>
      <c r="CX87" s="55">
        <f t="shared" si="544"/>
        <v>46093</v>
      </c>
      <c r="CY87" s="56"/>
      <c r="CZ87" s="133">
        <f>SUMPRODUCT(PRODUCE!$B98:$DY98,PRODUCE!$EB$18:$IY$18)</f>
        <v>0</v>
      </c>
      <c r="DA87" s="56"/>
      <c r="DB87" s="133">
        <f t="shared" si="545"/>
        <v>0</v>
      </c>
      <c r="DC87" s="133">
        <f t="shared" si="546"/>
        <v>40925.699999999997</v>
      </c>
      <c r="DD87" s="56"/>
      <c r="DG87" s="55">
        <f t="shared" si="547"/>
        <v>46093</v>
      </c>
      <c r="DH87" s="56"/>
      <c r="DI87" s="147">
        <f>SUMPRODUCT(PRODUCE!$B98:$DY98,PRODUCE!$EB$19:$IY$19)</f>
        <v>0</v>
      </c>
      <c r="DJ87" s="56"/>
      <c r="DK87" s="147">
        <f t="shared" si="548"/>
        <v>0</v>
      </c>
      <c r="DL87" s="147">
        <f t="shared" si="549"/>
        <v>16039.599999999995</v>
      </c>
      <c r="DM87" s="56"/>
      <c r="DP87" s="55">
        <f t="shared" si="550"/>
        <v>46093</v>
      </c>
      <c r="DQ87" s="56"/>
      <c r="DR87" s="57">
        <f>SUMPRODUCT(PRODUCE!$B98:$DY98,PRODUCE!$EB$20:$IY$20)</f>
        <v>0</v>
      </c>
      <c r="DS87" s="56"/>
      <c r="DT87" s="57">
        <f t="shared" si="551"/>
        <v>0</v>
      </c>
      <c r="DU87" s="57">
        <f t="shared" si="552"/>
        <v>7150</v>
      </c>
      <c r="DV87" s="56"/>
      <c r="DY87" s="55">
        <f t="shared" si="553"/>
        <v>46093</v>
      </c>
      <c r="DZ87" s="56"/>
      <c r="EA87" s="157">
        <f>SUMPRODUCT(PRODUCE!$B98:$DY98,PRODUCE!$EB$21:$IY$21)</f>
        <v>0</v>
      </c>
      <c r="EB87" s="56"/>
      <c r="EC87" s="157">
        <f t="shared" si="554"/>
        <v>0</v>
      </c>
      <c r="ED87" s="157">
        <f t="shared" si="555"/>
        <v>5197.3</v>
      </c>
      <c r="EE87" s="56"/>
      <c r="EH87" s="55">
        <f t="shared" si="556"/>
        <v>46093</v>
      </c>
      <c r="EI87" s="56"/>
      <c r="EJ87" s="162">
        <f>SUMPRODUCT(PRODUCE!$B98:$DY98,PRODUCE!$EB$22:$IY$22)</f>
        <v>0</v>
      </c>
      <c r="EK87" s="56"/>
      <c r="EL87" s="162">
        <f t="shared" si="557"/>
        <v>0</v>
      </c>
      <c r="EM87" s="162">
        <f t="shared" si="558"/>
        <v>0</v>
      </c>
      <c r="EN87" s="56"/>
      <c r="EQ87" s="55">
        <f t="shared" si="559"/>
        <v>46093</v>
      </c>
      <c r="ER87" s="56"/>
      <c r="ES87" s="135">
        <f>SUMPRODUCT(PRODUCE!$B98:$DY98,PRODUCE!$EB$23:$IY$23)</f>
        <v>0</v>
      </c>
      <c r="ET87" s="56"/>
      <c r="EU87" s="135">
        <f t="shared" si="560"/>
        <v>0</v>
      </c>
      <c r="EV87" s="135">
        <f t="shared" si="561"/>
        <v>0</v>
      </c>
      <c r="EW87" s="56"/>
      <c r="EZ87" s="55">
        <f t="shared" si="562"/>
        <v>46093</v>
      </c>
      <c r="FA87" s="56"/>
      <c r="FB87" s="175">
        <f>SUMPRODUCT(PRODUCE!$B98:$DY98,PRODUCE!$EB$24:$IY$24)</f>
        <v>0</v>
      </c>
      <c r="FC87" s="56"/>
      <c r="FD87" s="175">
        <f t="shared" si="563"/>
        <v>0</v>
      </c>
      <c r="FE87" s="175">
        <f t="shared" si="564"/>
        <v>0</v>
      </c>
      <c r="FF87" s="56"/>
      <c r="FI87" s="55">
        <f t="shared" si="565"/>
        <v>46093</v>
      </c>
      <c r="FJ87" s="56"/>
      <c r="FK87" s="183">
        <f>SUMPRODUCT(PRODUCE!$B98:$DY98,PRODUCE!$EB$25:$IY$25)</f>
        <v>0</v>
      </c>
      <c r="FL87" s="56"/>
      <c r="FM87" s="183">
        <f t="shared" si="566"/>
        <v>0</v>
      </c>
      <c r="FN87" s="183">
        <f t="shared" si="567"/>
        <v>0</v>
      </c>
      <c r="FO87" s="56"/>
      <c r="FR87" s="55">
        <f t="shared" si="568"/>
        <v>46093</v>
      </c>
      <c r="FS87" s="422"/>
      <c r="FT87" s="452">
        <f>SUMPRODUCT(PRODUCE!$B98:$DY98,PRODUCE!$EB$26:$IY$26)</f>
        <v>0</v>
      </c>
      <c r="FU87" s="422"/>
      <c r="FV87" s="452">
        <f t="shared" si="569"/>
        <v>0</v>
      </c>
      <c r="FW87" s="452">
        <f t="shared" si="570"/>
        <v>2020</v>
      </c>
      <c r="FX87" s="56"/>
      <c r="GA87" s="55">
        <f t="shared" si="571"/>
        <v>46093</v>
      </c>
      <c r="GB87" s="422"/>
      <c r="GC87" s="454">
        <f>SUMPRODUCT(PRODUCE!$B98:$DY98,PRODUCE!$EB$27:$IY$27)</f>
        <v>0</v>
      </c>
      <c r="GD87" s="422"/>
      <c r="GE87" s="454">
        <f t="shared" si="572"/>
        <v>0</v>
      </c>
      <c r="GF87" s="454">
        <f t="shared" si="573"/>
        <v>5560</v>
      </c>
      <c r="GG87" s="56"/>
      <c r="GI87" s="23"/>
      <c r="GJ87" s="55">
        <f t="shared" si="574"/>
        <v>46093</v>
      </c>
      <c r="GK87" s="422"/>
      <c r="GL87" s="456">
        <f>SUMPRODUCT(PRODUCE!$B98:$DY98,PRODUCE!$EB$28:$IY$28)</f>
        <v>0</v>
      </c>
      <c r="GM87" s="422"/>
      <c r="GN87" s="456">
        <f t="shared" si="575"/>
        <v>0</v>
      </c>
      <c r="GO87" s="456">
        <f t="shared" si="576"/>
        <v>5240</v>
      </c>
      <c r="GP87" s="56"/>
      <c r="GS87" s="55">
        <f t="shared" si="577"/>
        <v>46093</v>
      </c>
      <c r="GT87" s="56"/>
      <c r="GU87" s="195">
        <f>SUMPRODUCT(PRODUCE!$B98:$DY98,PRODUCE!$EB$29:$IY$29)</f>
        <v>0</v>
      </c>
      <c r="GV87" s="56"/>
      <c r="GW87" s="195">
        <f t="shared" si="578"/>
        <v>0</v>
      </c>
      <c r="GX87" s="195">
        <f t="shared" si="579"/>
        <v>0</v>
      </c>
      <c r="GY87" s="56"/>
      <c r="HB87" s="55">
        <f t="shared" si="580"/>
        <v>46093</v>
      </c>
      <c r="HC87" s="56"/>
      <c r="HD87" s="191">
        <f>SUMPRODUCT(PRODUCE!$B98:$DY98,PRODUCE!$EB$30:$IY$30)</f>
        <v>0</v>
      </c>
      <c r="HE87" s="56"/>
      <c r="HF87" s="191">
        <f t="shared" si="581"/>
        <v>0</v>
      </c>
      <c r="HG87" s="191">
        <f t="shared" si="582"/>
        <v>0</v>
      </c>
      <c r="HH87" s="56"/>
      <c r="HK87" s="55">
        <f t="shared" si="583"/>
        <v>46093</v>
      </c>
      <c r="HL87" s="56"/>
      <c r="HM87" s="63">
        <f>SUMPRODUCT(PRODUCE!$B98:$DY98,PRODUCE!$EB$31:$IY$31)</f>
        <v>0</v>
      </c>
      <c r="HN87" s="56"/>
      <c r="HO87" s="63">
        <f t="shared" si="584"/>
        <v>0</v>
      </c>
      <c r="HP87" s="63">
        <f t="shared" si="585"/>
        <v>0</v>
      </c>
      <c r="HQ87" s="56"/>
      <c r="HU87" s="55">
        <f t="shared" si="586"/>
        <v>46093</v>
      </c>
      <c r="HV87" s="56"/>
      <c r="HW87" s="242">
        <f>SUMPRODUCT(PRODUCE!$B98:$DY98,PRODUCE!$EB$32:$IY$32)</f>
        <v>0</v>
      </c>
      <c r="HX87" s="56"/>
      <c r="HY87" s="242">
        <f t="shared" si="587"/>
        <v>0</v>
      </c>
      <c r="HZ87" s="242">
        <f t="shared" si="588"/>
        <v>5120</v>
      </c>
      <c r="IA87" s="56"/>
      <c r="ID87" s="55">
        <f t="shared" si="589"/>
        <v>46093</v>
      </c>
      <c r="IE87" s="56"/>
      <c r="IF87" s="242">
        <f>SUMPRODUCT(PRODUCE!$B98:$DY98,PRODUCE!$EB$33:$IY$33)</f>
        <v>0</v>
      </c>
      <c r="IG87" s="56"/>
      <c r="IH87" s="242">
        <f t="shared" si="590"/>
        <v>0</v>
      </c>
      <c r="II87" s="242">
        <f t="shared" si="591"/>
        <v>6540</v>
      </c>
      <c r="IJ87" s="56"/>
      <c r="IM87" s="55">
        <f t="shared" si="592"/>
        <v>46093</v>
      </c>
      <c r="IN87" s="56"/>
      <c r="IO87" s="242">
        <f>SUMPRODUCT(PRODUCE!$B98:$DY98,PRODUCE!$EB$34:$IY$34)</f>
        <v>0</v>
      </c>
      <c r="IP87" s="56"/>
      <c r="IQ87" s="242">
        <f t="shared" si="593"/>
        <v>0</v>
      </c>
      <c r="IR87" s="242">
        <f t="shared" si="594"/>
        <v>11540</v>
      </c>
      <c r="IS87" s="56"/>
      <c r="IV87" s="55">
        <f t="shared" si="595"/>
        <v>46093</v>
      </c>
      <c r="IW87" s="56"/>
      <c r="IX87" s="242">
        <f>SUMPRODUCT(PRODUCE!$B98:$DY98,PRODUCE!$EB$35:$IY$35)</f>
        <v>0</v>
      </c>
      <c r="IY87" s="56"/>
      <c r="IZ87" s="242">
        <f t="shared" si="596"/>
        <v>0</v>
      </c>
      <c r="JA87" s="242">
        <f t="shared" si="597"/>
        <v>15120</v>
      </c>
      <c r="JB87" s="56"/>
      <c r="JE87" s="55">
        <f t="shared" si="598"/>
        <v>46093</v>
      </c>
      <c r="JF87" s="56"/>
      <c r="JG87" s="242">
        <f>SUMPRODUCT(PRODUCE!$B98:$DY98,PRODUCE!$EB$36:$IY$36)</f>
        <v>0</v>
      </c>
      <c r="JH87" s="56"/>
      <c r="JI87" s="242">
        <f t="shared" si="599"/>
        <v>0</v>
      </c>
      <c r="JJ87" s="242">
        <f t="shared" si="600"/>
        <v>5040</v>
      </c>
      <c r="JK87" s="56"/>
      <c r="JN87" s="55">
        <f t="shared" si="601"/>
        <v>46093</v>
      </c>
      <c r="JO87" s="56"/>
      <c r="JP87" s="242">
        <f>SUMPRODUCT(PRODUCE!$B98:$DY98,PRODUCE!$EB$37:$IY$37)</f>
        <v>0</v>
      </c>
      <c r="JQ87" s="56"/>
      <c r="JR87" s="242">
        <f t="shared" si="602"/>
        <v>0</v>
      </c>
      <c r="JS87" s="242">
        <f t="shared" si="603"/>
        <v>9100</v>
      </c>
      <c r="JT87" s="56"/>
      <c r="JW87" s="55">
        <f t="shared" si="604"/>
        <v>46093</v>
      </c>
      <c r="JX87" s="56"/>
      <c r="JY87" s="242">
        <f>SUMPRODUCT(PRODUCE!$B98:$DY98,PRODUCE!$EB$38:$IY$38)</f>
        <v>0</v>
      </c>
      <c r="JZ87" s="56"/>
      <c r="KA87" s="242">
        <f t="shared" si="605"/>
        <v>0</v>
      </c>
      <c r="KB87" s="242">
        <f t="shared" si="606"/>
        <v>4740</v>
      </c>
      <c r="KC87" s="56"/>
      <c r="KF87" s="55">
        <f t="shared" si="607"/>
        <v>46093</v>
      </c>
      <c r="KG87" s="56"/>
      <c r="KH87" s="242">
        <f>SUMPRODUCT(PRODUCE!$B98:$DY98,PRODUCE!$EB$39:$IY$39)</f>
        <v>0</v>
      </c>
      <c r="KI87" s="56"/>
      <c r="KJ87" s="242">
        <f t="shared" si="608"/>
        <v>0</v>
      </c>
      <c r="KK87" s="242">
        <f t="shared" si="609"/>
        <v>5284.5</v>
      </c>
      <c r="KL87" s="56"/>
      <c r="KO87" s="55">
        <f t="shared" si="610"/>
        <v>46093</v>
      </c>
      <c r="KP87" s="56"/>
      <c r="KQ87" s="242">
        <f>SUMPRODUCT(PRODUCE!$B98:$DY98,PRODUCE!$EB$40:$IY$40)</f>
        <v>0</v>
      </c>
      <c r="KR87" s="56"/>
      <c r="KS87" s="242">
        <f t="shared" si="611"/>
        <v>0</v>
      </c>
      <c r="KT87" s="242">
        <f t="shared" si="612"/>
        <v>1701.0000000000009</v>
      </c>
      <c r="KU87" s="56"/>
      <c r="KW87" s="23"/>
      <c r="KX87" s="55">
        <f t="shared" si="613"/>
        <v>46093</v>
      </c>
      <c r="KY87" s="56"/>
      <c r="KZ87" s="242">
        <f>SUMPRODUCT(PRODUCE!$B98:$DY98,PRODUCE!$EB$41:$IY$41)</f>
        <v>0</v>
      </c>
      <c r="LA87" s="56"/>
      <c r="LB87" s="242">
        <f t="shared" si="614"/>
        <v>0</v>
      </c>
      <c r="LC87" s="242">
        <f t="shared" si="615"/>
        <v>0</v>
      </c>
      <c r="LD87" s="56"/>
      <c r="LG87" s="55">
        <f t="shared" si="616"/>
        <v>46093</v>
      </c>
      <c r="LH87" s="56"/>
      <c r="LI87" s="242">
        <f>SUMPRODUCT(PRODUCE!$B98:$DY98,PRODUCE!$EB$42:$IY$42)</f>
        <v>0</v>
      </c>
      <c r="LJ87" s="56"/>
      <c r="LK87" s="242">
        <f t="shared" si="617"/>
        <v>0</v>
      </c>
      <c r="LL87" s="242">
        <f t="shared" si="618"/>
        <v>0</v>
      </c>
      <c r="LM87" s="56"/>
      <c r="LP87" s="55">
        <f t="shared" si="619"/>
        <v>46093</v>
      </c>
      <c r="LQ87" s="56"/>
      <c r="LR87" s="242">
        <f>SUMPRODUCT(PRODUCE!$B102:$DY102,PRODUCE!$EB$43:$IY$43)</f>
        <v>0</v>
      </c>
      <c r="LS87" s="56"/>
      <c r="LT87" s="242">
        <f t="shared" si="620"/>
        <v>0</v>
      </c>
      <c r="LU87" s="242">
        <f t="shared" si="621"/>
        <v>0</v>
      </c>
      <c r="LV87" s="56"/>
      <c r="LY87" s="55">
        <f t="shared" si="622"/>
        <v>46093</v>
      </c>
      <c r="LZ87" s="56"/>
      <c r="MA87" s="242">
        <f>SUMPRODUCT(PRODUCE!$B98:$DY98,PRODUCE!$EB$44:$IY$44)</f>
        <v>0</v>
      </c>
      <c r="MB87" s="56"/>
      <c r="MC87" s="242">
        <f t="shared" si="623"/>
        <v>0</v>
      </c>
      <c r="MD87" s="242">
        <f t="shared" si="624"/>
        <v>0</v>
      </c>
      <c r="ME87" s="56"/>
      <c r="MH87" s="55">
        <f t="shared" si="625"/>
        <v>46093</v>
      </c>
      <c r="MI87" s="56"/>
      <c r="MJ87" s="242">
        <f>SUMPRODUCT(PRODUCE!$B98:$DY98,PRODUCE!$EB$45:$IY$45)</f>
        <v>0</v>
      </c>
      <c r="MK87" s="56"/>
      <c r="ML87" s="242">
        <f t="shared" si="626"/>
        <v>0</v>
      </c>
      <c r="MM87" s="242">
        <f t="shared" si="627"/>
        <v>0</v>
      </c>
      <c r="MN87" s="56"/>
      <c r="MQ87" s="55">
        <f t="shared" si="628"/>
        <v>46093</v>
      </c>
      <c r="MR87" s="56"/>
      <c r="MS87" s="242">
        <f>SUMPRODUCT(PRODUCE!$B98:$DY98,PRODUCE!$EB$46:$IY$46)</f>
        <v>0</v>
      </c>
      <c r="MT87" s="56"/>
      <c r="MU87" s="242">
        <f t="shared" si="629"/>
        <v>0</v>
      </c>
      <c r="MV87" s="242">
        <f t="shared" si="630"/>
        <v>3450</v>
      </c>
      <c r="MW87" s="56"/>
      <c r="MZ87" s="55">
        <f t="shared" si="631"/>
        <v>46093</v>
      </c>
      <c r="NA87" s="56"/>
      <c r="NB87" s="242">
        <f>SUMPRODUCT(PRODUCE!$B98:$DY98,PRODUCE!$EB$47:$IY$47)</f>
        <v>0</v>
      </c>
      <c r="NC87" s="56"/>
      <c r="ND87" s="242">
        <f t="shared" si="632"/>
        <v>0</v>
      </c>
      <c r="NE87" s="242">
        <f t="shared" si="633"/>
        <v>0</v>
      </c>
      <c r="NF87" s="56"/>
      <c r="NI87" s="55">
        <f t="shared" si="634"/>
        <v>46093</v>
      </c>
      <c r="NJ87" s="56"/>
      <c r="NK87" s="242">
        <f>SUMPRODUCT(PRODUCE!$B98:$DY98,PRODUCE!$EB$48:$IY$48)</f>
        <v>0</v>
      </c>
      <c r="NL87" s="56"/>
      <c r="NM87" s="242">
        <f t="shared" si="635"/>
        <v>0</v>
      </c>
      <c r="NN87" s="242">
        <f t="shared" si="636"/>
        <v>165</v>
      </c>
      <c r="NO87" s="56"/>
      <c r="NR87" s="55">
        <f t="shared" si="637"/>
        <v>46093</v>
      </c>
      <c r="NS87" s="56"/>
      <c r="NT87" s="242">
        <f>SUMPRODUCT(PRODUCE!$B98:$DY98,PRODUCE!$EB$49:$IY$49)</f>
        <v>0</v>
      </c>
      <c r="NU87" s="56"/>
      <c r="NV87" s="242">
        <f t="shared" si="638"/>
        <v>0</v>
      </c>
      <c r="NW87" s="242">
        <f t="shared" si="639"/>
        <v>1578.9</v>
      </c>
      <c r="NX87" s="56"/>
      <c r="OA87" s="55">
        <f t="shared" si="640"/>
        <v>46093</v>
      </c>
      <c r="OB87" s="56"/>
      <c r="OC87" s="242">
        <f>SUMPRODUCT(PRODUCE!$B98:$DY98,PRODUCE!$EB$50:$IY$50)</f>
        <v>0</v>
      </c>
      <c r="OD87" s="56"/>
      <c r="OE87" s="242">
        <f t="shared" si="641"/>
        <v>0</v>
      </c>
      <c r="OF87" s="242">
        <f t="shared" si="642"/>
        <v>1680.5</v>
      </c>
      <c r="OG87" s="56"/>
      <c r="OJ87" s="55">
        <f t="shared" si="643"/>
        <v>46093</v>
      </c>
      <c r="OK87" s="56"/>
      <c r="OL87" s="242">
        <f>SUMPRODUCT(PRODUCE!$B98:$DY98,PRODUCE!$EB$51:$IY$51)</f>
        <v>0</v>
      </c>
      <c r="OM87" s="56"/>
      <c r="ON87" s="242">
        <f t="shared" si="644"/>
        <v>0</v>
      </c>
      <c r="OO87" s="242">
        <f t="shared" si="645"/>
        <v>0</v>
      </c>
      <c r="OP87" s="56"/>
      <c r="OS87" s="55">
        <f t="shared" si="646"/>
        <v>46093</v>
      </c>
      <c r="OT87" s="56"/>
      <c r="OU87" s="242">
        <f>SUMPRODUCT(PRODUCE!$B98:$DY98,PRODUCE!$EB$52:$IY$52)</f>
        <v>0</v>
      </c>
      <c r="OV87" s="56"/>
      <c r="OW87" s="242">
        <f t="shared" si="647"/>
        <v>0</v>
      </c>
      <c r="OX87" s="242">
        <f t="shared" si="648"/>
        <v>1000</v>
      </c>
      <c r="OY87" s="56"/>
      <c r="PB87" s="55">
        <f t="shared" si="649"/>
        <v>46093</v>
      </c>
      <c r="PC87" s="56"/>
      <c r="PD87" s="242">
        <f>SUMPRODUCT(PRODUCE!$B98:$DY98,PRODUCE!$EB$53:$IY$53)</f>
        <v>0</v>
      </c>
      <c r="PE87" s="56"/>
      <c r="PF87" s="242">
        <f t="shared" si="650"/>
        <v>0</v>
      </c>
      <c r="PG87" s="242">
        <f t="shared" si="651"/>
        <v>0</v>
      </c>
      <c r="PH87" s="56"/>
      <c r="PK87" s="55">
        <f t="shared" si="652"/>
        <v>46093</v>
      </c>
      <c r="PL87" s="56"/>
      <c r="PM87" s="242">
        <f>SUMPRODUCT(PRODUCE!$B98:$DY98,PRODUCE!$EB$54:$IY$54)</f>
        <v>0</v>
      </c>
      <c r="PN87" s="56"/>
      <c r="PO87" s="242">
        <f t="shared" si="653"/>
        <v>0</v>
      </c>
      <c r="PP87" s="242">
        <f t="shared" si="654"/>
        <v>100</v>
      </c>
      <c r="PQ87" s="56"/>
      <c r="PT87" s="55">
        <f t="shared" si="655"/>
        <v>46093</v>
      </c>
      <c r="PU87" s="56"/>
      <c r="PV87" s="242">
        <f>SUMPRODUCT(PRODUCE!$B98:$DY98,PRODUCE!$EB$55:$IY$55)</f>
        <v>0</v>
      </c>
      <c r="PW87" s="56"/>
      <c r="PX87" s="242">
        <f t="shared" si="656"/>
        <v>0</v>
      </c>
      <c r="PY87" s="242">
        <f t="shared" si="657"/>
        <v>13.960000000000036</v>
      </c>
      <c r="PZ87" s="56"/>
      <c r="QC87" s="55">
        <f t="shared" si="658"/>
        <v>46093</v>
      </c>
      <c r="QD87" s="56"/>
      <c r="QE87" s="242">
        <f>SUMPRODUCT(PRODUCE!$B98:$DY98,PRODUCE!$EB$56:$IY$56)</f>
        <v>0</v>
      </c>
      <c r="QF87" s="56"/>
      <c r="QG87" s="242">
        <f t="shared" si="659"/>
        <v>0</v>
      </c>
      <c r="QH87" s="242">
        <f t="shared" si="660"/>
        <v>1212</v>
      </c>
      <c r="QI87" s="56"/>
      <c r="QL87" s="55">
        <f t="shared" si="661"/>
        <v>46093</v>
      </c>
      <c r="QM87" s="56"/>
      <c r="QN87" s="242">
        <f>SUMPRODUCT(PRODUCE!$B98:$DY98,PRODUCE!$EB$57:$IY$57)</f>
        <v>0</v>
      </c>
      <c r="QO87" s="56"/>
      <c r="QP87" s="242">
        <f t="shared" si="662"/>
        <v>0</v>
      </c>
      <c r="QQ87" s="242">
        <f t="shared" si="663"/>
        <v>0</v>
      </c>
      <c r="QR87" s="56"/>
      <c r="QU87" s="55">
        <f t="shared" si="664"/>
        <v>46093</v>
      </c>
      <c r="QV87" s="56"/>
      <c r="QW87" s="242">
        <f>SUMPRODUCT(PRODUCE!$B98:$DY98,PRODUCE!$EB$57:$IY$57)</f>
        <v>0</v>
      </c>
      <c r="QX87" s="56"/>
      <c r="QY87" s="242">
        <f t="shared" si="665"/>
        <v>0</v>
      </c>
      <c r="QZ87" s="242">
        <f t="shared" si="666"/>
        <v>207.6</v>
      </c>
      <c r="RA87" s="56"/>
      <c r="RD87" s="55">
        <f t="shared" si="667"/>
        <v>46093</v>
      </c>
      <c r="RE87" s="56"/>
      <c r="RF87" s="242">
        <f>SUMPRODUCT(PRODUCE!$B98:$DY98,PRODUCE!$EB$58:$IY$58)</f>
        <v>0</v>
      </c>
      <c r="RG87" s="56"/>
      <c r="RH87" s="242">
        <f t="shared" si="668"/>
        <v>0</v>
      </c>
      <c r="RI87" s="242">
        <f t="shared" si="669"/>
        <v>197.04000000000002</v>
      </c>
      <c r="RJ87" s="56"/>
      <c r="RM87" s="55">
        <f t="shared" si="670"/>
        <v>46093</v>
      </c>
      <c r="RN87" s="56"/>
      <c r="RO87" s="242">
        <f>SUMPRODUCT(PRODUCE!$B98:$DY98,PRODUCE!$EB$57:$IY$57)</f>
        <v>0</v>
      </c>
      <c r="RP87" s="56"/>
      <c r="RQ87" s="242">
        <f t="shared" si="671"/>
        <v>0</v>
      </c>
      <c r="RR87" s="242">
        <f t="shared" si="672"/>
        <v>46.8</v>
      </c>
      <c r="RS87" s="56"/>
      <c r="RV87" s="55">
        <f t="shared" si="673"/>
        <v>46093</v>
      </c>
      <c r="RW87" s="56"/>
      <c r="RX87" s="242">
        <f>SUMPRODUCT(PRODUCE!$B98:$DY98,PRODUCE!$EB$57:$IY$57)</f>
        <v>0</v>
      </c>
      <c r="RY87" s="56"/>
      <c r="RZ87" s="242">
        <f t="shared" si="674"/>
        <v>0</v>
      </c>
      <c r="SA87" s="242">
        <f t="shared" si="675"/>
        <v>0</v>
      </c>
      <c r="SB87" s="56"/>
      <c r="SE87" s="55">
        <f t="shared" si="676"/>
        <v>46093</v>
      </c>
      <c r="SF87" s="56"/>
      <c r="SG87" s="242">
        <f>SUMPRODUCT(PRODUCE!$B98:$DY98,PRODUCE!$EB$57:$IY$57)</f>
        <v>0</v>
      </c>
      <c r="SH87" s="56"/>
      <c r="SI87" s="242">
        <f t="shared" si="677"/>
        <v>0</v>
      </c>
      <c r="SJ87" s="242">
        <f t="shared" si="678"/>
        <v>0</v>
      </c>
      <c r="SK87" s="56"/>
      <c r="SN87" s="55">
        <f t="shared" si="679"/>
        <v>46093</v>
      </c>
      <c r="SO87" s="56"/>
      <c r="SP87" s="242">
        <f>SUMPRODUCT(PRODUCE!$B98:$DY98,PRODUCE!$EB$57:$IY$57)</f>
        <v>0</v>
      </c>
      <c r="SQ87" s="56"/>
      <c r="SR87" s="242">
        <f t="shared" si="680"/>
        <v>0</v>
      </c>
      <c r="SS87" s="242">
        <f t="shared" si="681"/>
        <v>0</v>
      </c>
      <c r="ST87" s="56"/>
      <c r="SW87" s="55">
        <f t="shared" si="682"/>
        <v>46093</v>
      </c>
      <c r="SX87" s="56"/>
      <c r="SY87" s="242">
        <f>SUMPRODUCT(PRODUCE!$B98:$DY98,PRODUCE!$EB$57:$IY$57)</f>
        <v>0</v>
      </c>
      <c r="SZ87" s="56"/>
      <c r="TA87" s="242">
        <f t="shared" si="683"/>
        <v>0</v>
      </c>
      <c r="TB87" s="242">
        <f t="shared" si="684"/>
        <v>0</v>
      </c>
      <c r="TC87" s="56"/>
      <c r="TF87" s="55">
        <f t="shared" si="685"/>
        <v>46093</v>
      </c>
      <c r="TG87" s="56"/>
      <c r="TH87" s="242">
        <f>SUMPRODUCT(PRODUCE!$B98:$DY98,PRODUCE!$EB$57:$IY$57)</f>
        <v>0</v>
      </c>
      <c r="TI87" s="56"/>
      <c r="TJ87" s="242">
        <f t="shared" si="686"/>
        <v>0</v>
      </c>
      <c r="TK87" s="242">
        <f t="shared" si="687"/>
        <v>0</v>
      </c>
      <c r="TL87" s="56"/>
      <c r="TO87" s="55">
        <f t="shared" si="688"/>
        <v>46093</v>
      </c>
      <c r="TP87" s="56"/>
      <c r="TQ87" s="242">
        <f>SUMPRODUCT(PRODUCE!$B98:$DY98,PRODUCE!$EB$57:$IY$57)</f>
        <v>0</v>
      </c>
      <c r="TR87" s="56"/>
      <c r="TS87" s="242">
        <f t="shared" si="689"/>
        <v>0</v>
      </c>
      <c r="TT87" s="242">
        <f t="shared" si="690"/>
        <v>0</v>
      </c>
      <c r="TU87" s="56"/>
      <c r="TX87" s="55">
        <f t="shared" si="691"/>
        <v>46093</v>
      </c>
      <c r="TY87" s="56"/>
      <c r="TZ87" s="242">
        <f>SUMPRODUCT(PRODUCE!$B98:$DY98,PRODUCE!$EB$57:$IY$57)</f>
        <v>0</v>
      </c>
      <c r="UA87" s="56"/>
      <c r="UB87" s="242">
        <f t="shared" si="692"/>
        <v>0</v>
      </c>
      <c r="UC87" s="242">
        <f t="shared" si="693"/>
        <v>0</v>
      </c>
      <c r="UD87" s="56"/>
      <c r="UG87" s="55">
        <f t="shared" si="694"/>
        <v>46093</v>
      </c>
      <c r="UH87" s="56"/>
      <c r="UI87" s="242">
        <f>SUMPRODUCT(PRODUCE!$B98:$DY98,PRODUCE!$EB$57:$IY$57)</f>
        <v>0</v>
      </c>
      <c r="UJ87" s="56"/>
      <c r="UK87" s="242">
        <f t="shared" si="695"/>
        <v>0</v>
      </c>
      <c r="UL87" s="242">
        <f t="shared" si="696"/>
        <v>0</v>
      </c>
      <c r="UM87" s="56"/>
      <c r="UP87" s="55">
        <f t="shared" si="697"/>
        <v>46093</v>
      </c>
      <c r="UQ87" s="56"/>
      <c r="UR87" s="242">
        <f>SUMPRODUCT(PRODUCE!$B98:$DY98,PRODUCE!$EB$57:$IY$57)</f>
        <v>0</v>
      </c>
      <c r="US87" s="56"/>
      <c r="UT87" s="242">
        <f t="shared" si="698"/>
        <v>0</v>
      </c>
      <c r="UU87" s="242">
        <f t="shared" si="699"/>
        <v>0</v>
      </c>
      <c r="UV87" s="56"/>
      <c r="UY87" s="55">
        <f t="shared" si="700"/>
        <v>46093</v>
      </c>
      <c r="UZ87" s="56"/>
      <c r="VA87" s="242">
        <f>SUMPRODUCT(PRODUCE!$B98:$DY98,PRODUCE!$EB$57:$IY$57)</f>
        <v>0</v>
      </c>
      <c r="VB87" s="56"/>
      <c r="VC87" s="242">
        <f t="shared" si="701"/>
        <v>0</v>
      </c>
      <c r="VD87" s="242">
        <f t="shared" si="702"/>
        <v>41.600000000000023</v>
      </c>
      <c r="VE87" s="56"/>
      <c r="VH87" s="55">
        <f t="shared" si="703"/>
        <v>46093</v>
      </c>
      <c r="VI87" s="56"/>
      <c r="VJ87" s="242">
        <f>SUMPRODUCT(PRODUCE!$B98:$DY98,PRODUCE!$EB$57:$IY$57)</f>
        <v>0</v>
      </c>
      <c r="VK87" s="56"/>
      <c r="VL87" s="242">
        <f t="shared" si="704"/>
        <v>0</v>
      </c>
      <c r="VM87" s="242">
        <f t="shared" si="705"/>
        <v>0</v>
      </c>
      <c r="VN87" s="56"/>
      <c r="VQ87" s="55">
        <f t="shared" si="706"/>
        <v>46093</v>
      </c>
      <c r="VR87" s="56"/>
      <c r="VS87" s="242">
        <f>SUMPRODUCT(PRODUCE!$B98:$DY98,PRODUCE!$EB$57:$IY$57)</f>
        <v>0</v>
      </c>
      <c r="VT87" s="56"/>
      <c r="VU87" s="242">
        <f t="shared" si="707"/>
        <v>0</v>
      </c>
      <c r="VV87" s="242">
        <f t="shared" si="708"/>
        <v>0</v>
      </c>
      <c r="VW87" s="56"/>
      <c r="VZ87" s="55">
        <f t="shared" si="709"/>
        <v>46093</v>
      </c>
      <c r="WA87" s="56"/>
      <c r="WB87" s="242">
        <f>SUMPRODUCT(PRODUCE!$B98:$DY98,PRODUCE!$EB$57:$IY$57)</f>
        <v>0</v>
      </c>
      <c r="WC87" s="56"/>
      <c r="WD87" s="242">
        <f t="shared" si="710"/>
        <v>0</v>
      </c>
      <c r="WE87" s="242">
        <f t="shared" si="711"/>
        <v>0</v>
      </c>
      <c r="WF87" s="56"/>
      <c r="WI87" s="55">
        <f t="shared" si="712"/>
        <v>46093</v>
      </c>
      <c r="WJ87" s="56"/>
      <c r="WK87" s="242">
        <f>SUMPRODUCT(PRODUCE!$B98:$DY98,PRODUCE!$EB$57:$IY$57)</f>
        <v>0</v>
      </c>
      <c r="WL87" s="56"/>
      <c r="WM87" s="242">
        <f t="shared" si="713"/>
        <v>0</v>
      </c>
      <c r="WN87" s="242">
        <f t="shared" si="714"/>
        <v>6022</v>
      </c>
      <c r="WO87" s="56"/>
      <c r="WR87" s="55">
        <f t="shared" si="715"/>
        <v>46093</v>
      </c>
      <c r="WS87" s="56"/>
      <c r="WT87" s="242">
        <f>SUMPRODUCT(PRODUCE!$B98:$DY98,PRODUCE!$EB$57:$IY$57)</f>
        <v>0</v>
      </c>
      <c r="WU87" s="56"/>
      <c r="WV87" s="242">
        <f t="shared" si="716"/>
        <v>0</v>
      </c>
      <c r="WW87" s="242">
        <f t="shared" si="717"/>
        <v>5568</v>
      </c>
      <c r="WX87" s="56"/>
      <c r="XA87" s="55">
        <f t="shared" si="718"/>
        <v>46093</v>
      </c>
      <c r="XB87" s="56"/>
      <c r="XC87" s="242">
        <f>SUMPRODUCT(PRODUCE!$B98:$DY98,PRODUCE!$EB$57:$IY$57)</f>
        <v>0</v>
      </c>
      <c r="XD87" s="56"/>
      <c r="XE87" s="242">
        <f t="shared" si="719"/>
        <v>0</v>
      </c>
      <c r="XF87" s="242">
        <f t="shared" si="720"/>
        <v>590</v>
      </c>
      <c r="XG87" s="56"/>
      <c r="XJ87" s="55">
        <f t="shared" si="721"/>
        <v>46093</v>
      </c>
      <c r="XK87" s="56"/>
      <c r="XL87" s="242">
        <f>SUMPRODUCT(PRODUCE!$B98:$DY98,PRODUCE!$EB$57:$IY$57)</f>
        <v>0</v>
      </c>
      <c r="XM87" s="56"/>
      <c r="XN87" s="242">
        <f t="shared" si="722"/>
        <v>0</v>
      </c>
      <c r="XO87" s="242">
        <f t="shared" si="723"/>
        <v>1439</v>
      </c>
      <c r="XP87" s="56"/>
      <c r="XS87" s="55">
        <f t="shared" si="724"/>
        <v>46093</v>
      </c>
      <c r="XT87" s="56"/>
      <c r="XU87" s="242">
        <f>SUMPRODUCT(PRODUCE!$B98:$DY98,PRODUCE!$EB$57:$IY$57)</f>
        <v>0</v>
      </c>
      <c r="XV87" s="56"/>
      <c r="XW87" s="242">
        <f t="shared" si="725"/>
        <v>0</v>
      </c>
      <c r="XX87" s="242">
        <f t="shared" si="726"/>
        <v>1901</v>
      </c>
      <c r="XY87" s="56"/>
      <c r="YB87" s="55">
        <f t="shared" si="727"/>
        <v>46093</v>
      </c>
      <c r="YC87" s="56"/>
      <c r="YD87" s="242">
        <f>SUMPRODUCT(PRODUCE!$B98:$DY98,PRODUCE!$EB$57:$IY$57)</f>
        <v>0</v>
      </c>
      <c r="YE87" s="56"/>
      <c r="YF87" s="242">
        <f t="shared" si="728"/>
        <v>0</v>
      </c>
      <c r="YG87" s="242">
        <f t="shared" si="729"/>
        <v>0</v>
      </c>
      <c r="YH87" s="56"/>
      <c r="YK87" s="55">
        <f t="shared" si="730"/>
        <v>46093</v>
      </c>
      <c r="YL87" s="56"/>
      <c r="YM87" s="242">
        <f>SUMPRODUCT(PRODUCE!$B98:$DY98,PRODUCE!$EB$57:$IY$57)</f>
        <v>0</v>
      </c>
      <c r="YN87" s="56"/>
      <c r="YO87" s="242">
        <f t="shared" si="731"/>
        <v>0</v>
      </c>
      <c r="YP87" s="242">
        <f t="shared" si="732"/>
        <v>0</v>
      </c>
      <c r="YQ87" s="56"/>
      <c r="YT87" s="55">
        <f t="shared" si="733"/>
        <v>46093</v>
      </c>
      <c r="YU87" s="56"/>
      <c r="YV87" s="242">
        <f>SUMPRODUCT(PRODUCE!$B98:$DY98,PRODUCE!$EB$57:$IY$57)</f>
        <v>0</v>
      </c>
      <c r="YW87" s="56"/>
      <c r="YX87" s="242">
        <f t="shared" si="734"/>
        <v>0</v>
      </c>
      <c r="YY87" s="242">
        <f t="shared" si="735"/>
        <v>0</v>
      </c>
      <c r="YZ87" s="56"/>
      <c r="ZC87" s="55">
        <f t="shared" si="736"/>
        <v>46093</v>
      </c>
      <c r="ZD87" s="56"/>
      <c r="ZE87" s="242">
        <f>SUMPRODUCT(PRODUCE!$B98:$DY98,PRODUCE!$EB$57:$IY$57)</f>
        <v>0</v>
      </c>
      <c r="ZF87" s="56"/>
      <c r="ZG87" s="242">
        <f t="shared" si="737"/>
        <v>0</v>
      </c>
      <c r="ZH87" s="242">
        <f t="shared" si="738"/>
        <v>0</v>
      </c>
      <c r="ZI87" s="56"/>
      <c r="ZL87" s="55">
        <f t="shared" si="739"/>
        <v>46093</v>
      </c>
      <c r="ZM87" s="56"/>
      <c r="ZN87" s="242">
        <f>SUMPRODUCT(PRODUCE!$B98:$DY98,PRODUCE!$EB$57:$IY$57)</f>
        <v>0</v>
      </c>
      <c r="ZO87" s="56"/>
      <c r="ZP87" s="242">
        <f t="shared" si="740"/>
        <v>0</v>
      </c>
      <c r="ZQ87" s="242">
        <f t="shared" si="741"/>
        <v>0</v>
      </c>
      <c r="ZR87" s="56"/>
      <c r="ZU87" s="55">
        <f t="shared" si="742"/>
        <v>46093</v>
      </c>
      <c r="ZV87" s="56"/>
      <c r="ZW87" s="242">
        <f>SUMPRODUCT(PRODUCE!$B98:$DY98,PRODUCE!$EB$57:$IY$57)</f>
        <v>0</v>
      </c>
      <c r="ZX87" s="56"/>
      <c r="ZY87" s="242">
        <f t="shared" si="743"/>
        <v>0</v>
      </c>
      <c r="ZZ87" s="242">
        <f t="shared" si="744"/>
        <v>0</v>
      </c>
      <c r="AAA87" s="56"/>
      <c r="AAD87" s="55">
        <f t="shared" si="745"/>
        <v>46093</v>
      </c>
      <c r="AAE87" s="56"/>
      <c r="AAF87" s="242">
        <f>SUMPRODUCT(PRODUCE!$B98:$DY98,PRODUCE!$EB$57:$IY$57)</f>
        <v>0</v>
      </c>
      <c r="AAG87" s="56"/>
      <c r="AAH87" s="242">
        <f t="shared" si="746"/>
        <v>0</v>
      </c>
      <c r="AAI87" s="242">
        <f t="shared" si="747"/>
        <v>0</v>
      </c>
      <c r="AAJ87" s="56"/>
      <c r="AAM87" s="55">
        <f t="shared" si="748"/>
        <v>46093</v>
      </c>
      <c r="AAN87" s="56"/>
      <c r="AAO87" s="242">
        <f>SUMPRODUCT(PRODUCE!$B98:$DY98,PRODUCE!$EB$57:$IY$57)</f>
        <v>0</v>
      </c>
      <c r="AAP87" s="56"/>
      <c r="AAQ87" s="242">
        <f t="shared" si="749"/>
        <v>0</v>
      </c>
      <c r="AAR87" s="242">
        <f t="shared" si="750"/>
        <v>0</v>
      </c>
      <c r="AAS87" s="56"/>
      <c r="AAV87" s="55">
        <f t="shared" si="751"/>
        <v>46093</v>
      </c>
      <c r="AAW87" s="56"/>
      <c r="AAX87" s="242">
        <f>SUMPRODUCT(PRODUCE!$B98:$DY98,PRODUCE!$EB$57:$IY$57)</f>
        <v>0</v>
      </c>
      <c r="AAY87" s="56"/>
      <c r="AAZ87" s="242">
        <f t="shared" si="752"/>
        <v>0</v>
      </c>
      <c r="ABA87" s="242">
        <f t="shared" si="753"/>
        <v>0</v>
      </c>
      <c r="ABB87" s="56"/>
      <c r="ABE87" s="55">
        <f t="shared" si="754"/>
        <v>46093</v>
      </c>
      <c r="ABF87" s="56"/>
      <c r="ABG87" s="242">
        <f>SUMPRODUCT(PRODUCE!$B98:$DY98,PRODUCE!$EB$57:$IY$57)</f>
        <v>0</v>
      </c>
      <c r="ABH87" s="56"/>
      <c r="ABI87" s="242">
        <f t="shared" si="755"/>
        <v>0</v>
      </c>
      <c r="ABJ87" s="242">
        <f t="shared" si="756"/>
        <v>0</v>
      </c>
      <c r="ABK87" s="56"/>
    </row>
    <row r="88" spans="2:739" s="54" customFormat="1" ht="15" customHeight="1" outlineLevel="1">
      <c r="B88" s="478">
        <v>100</v>
      </c>
      <c r="C88" s="55">
        <v>46094</v>
      </c>
      <c r="D88" s="422">
        <v>31150</v>
      </c>
      <c r="E88" s="423">
        <f>SUMPRODUCT(PRODUCE!$B99:$DY99,PRODUCE!$EB$7:$IY$7)</f>
        <v>50103</v>
      </c>
      <c r="F88" s="422">
        <v>50100.6</v>
      </c>
      <c r="G88" s="423">
        <f t="shared" si="514"/>
        <v>2.4000000000014552</v>
      </c>
      <c r="H88" s="423">
        <f t="shared" si="512"/>
        <v>108964.19999999998</v>
      </c>
      <c r="I88" s="289" t="s">
        <v>223</v>
      </c>
      <c r="L88" s="55">
        <f t="shared" si="513"/>
        <v>46094</v>
      </c>
      <c r="M88" s="422"/>
      <c r="N88" s="438">
        <f>SUMPRODUCT(PRODUCE!$B99:$DY99,PRODUCE!$EB$8:$IY$8)</f>
        <v>19500</v>
      </c>
      <c r="O88" s="422">
        <v>19499.2</v>
      </c>
      <c r="P88" s="438">
        <f t="shared" si="515"/>
        <v>0.7999999999992724</v>
      </c>
      <c r="Q88" s="438">
        <f t="shared" si="516"/>
        <v>99825.600000000049</v>
      </c>
      <c r="R88" s="56"/>
      <c r="U88" s="55">
        <f t="shared" si="517"/>
        <v>46094</v>
      </c>
      <c r="V88" s="422">
        <v>20080</v>
      </c>
      <c r="W88" s="440">
        <f>SUMPRODUCT(PRODUCE!$B99:$DY99,PRODUCE!$EB$9:$IY$9)</f>
        <v>10000</v>
      </c>
      <c r="X88" s="422">
        <v>10001.299999999999</v>
      </c>
      <c r="Y88" s="440">
        <f t="shared" si="518"/>
        <v>-1.2999999999992724</v>
      </c>
      <c r="Z88" s="440">
        <f t="shared" si="519"/>
        <v>45143.199999999968</v>
      </c>
      <c r="AA88" s="56"/>
      <c r="AD88" s="55">
        <f t="shared" si="520"/>
        <v>46094</v>
      </c>
      <c r="AE88" s="422"/>
      <c r="AF88" s="442">
        <f>SUMPRODUCT(PRODUCE!$B99:$DY99,PRODUCE!$EB$10:$IY$10)</f>
        <v>0</v>
      </c>
      <c r="AG88" s="422"/>
      <c r="AH88" s="442">
        <f t="shared" si="521"/>
        <v>0</v>
      </c>
      <c r="AI88" s="442">
        <f t="shared" si="522"/>
        <v>24066.600000000017</v>
      </c>
      <c r="AJ88" s="56"/>
      <c r="AM88" s="55">
        <f t="shared" si="523"/>
        <v>46094</v>
      </c>
      <c r="AN88" s="422"/>
      <c r="AO88" s="444">
        <f>SUMPRODUCT(PRODUCE!$B99:$DY99,PRODUCE!$EB$11:$IY$11)</f>
        <v>0</v>
      </c>
      <c r="AP88" s="422"/>
      <c r="AQ88" s="444">
        <f t="shared" si="524"/>
        <v>0</v>
      </c>
      <c r="AR88" s="444">
        <f t="shared" si="525"/>
        <v>0</v>
      </c>
      <c r="AS88" s="56"/>
      <c r="AV88" s="55">
        <f t="shared" si="526"/>
        <v>46094</v>
      </c>
      <c r="AW88" s="422"/>
      <c r="AX88" s="446">
        <f>SUMPRODUCT(PRODUCE!$B99:$DY99,PRODUCE!$EB$12:$IY$12)</f>
        <v>0</v>
      </c>
      <c r="AY88" s="422">
        <v>19840</v>
      </c>
      <c r="AZ88" s="446">
        <f t="shared" si="527"/>
        <v>-19840</v>
      </c>
      <c r="BA88" s="446">
        <f t="shared" si="528"/>
        <v>26360.299999999988</v>
      </c>
      <c r="BB88" s="56"/>
      <c r="BE88" s="55">
        <f t="shared" si="529"/>
        <v>46094</v>
      </c>
      <c r="BF88" s="422"/>
      <c r="BG88" s="448">
        <f>SUMPRODUCT(PRODUCE!$B99:$DY99,PRODUCE!$EB$13:$IY$13)</f>
        <v>0</v>
      </c>
      <c r="BH88" s="422"/>
      <c r="BI88" s="448">
        <f t="shared" si="530"/>
        <v>0</v>
      </c>
      <c r="BJ88" s="448">
        <f t="shared" si="531"/>
        <v>831.10000000000423</v>
      </c>
      <c r="BK88" s="56"/>
      <c r="BN88" s="55">
        <f t="shared" si="532"/>
        <v>46094</v>
      </c>
      <c r="BO88" s="422">
        <v>2500</v>
      </c>
      <c r="BP88" s="450">
        <f>SUMPRODUCT(PRODUCE!$B99:$DY99,PRODUCE!$EB$14:$IY$14)</f>
        <v>2500</v>
      </c>
      <c r="BQ88" s="422">
        <v>2500</v>
      </c>
      <c r="BR88" s="450">
        <f t="shared" si="533"/>
        <v>0</v>
      </c>
      <c r="BS88" s="450">
        <f t="shared" si="534"/>
        <v>0</v>
      </c>
      <c r="BT88" s="56"/>
      <c r="BW88" s="55">
        <f t="shared" si="535"/>
        <v>46094</v>
      </c>
      <c r="BX88" s="56"/>
      <c r="BY88" s="65">
        <f>SUMPRODUCT(PRODUCE!$B99:$DY99,PRODUCE!$EB$15:$IY$15)</f>
        <v>550.00000000000011</v>
      </c>
      <c r="BZ88" s="56"/>
      <c r="CA88" s="65">
        <f t="shared" si="536"/>
        <v>550.00000000000011</v>
      </c>
      <c r="CB88" s="65">
        <f t="shared" si="537"/>
        <v>4829.8</v>
      </c>
      <c r="CC88" s="56"/>
      <c r="CF88" s="55">
        <f t="shared" si="538"/>
        <v>46094</v>
      </c>
      <c r="CG88" s="56"/>
      <c r="CH88" s="66">
        <f>SUMPRODUCT(PRODUCE!$B99:$DY99,PRODUCE!$EB$16:$IY$16)</f>
        <v>900.00000000000023</v>
      </c>
      <c r="CI88" s="56"/>
      <c r="CJ88" s="66">
        <f t="shared" si="539"/>
        <v>900.00000000000023</v>
      </c>
      <c r="CK88" s="66">
        <f t="shared" si="540"/>
        <v>0</v>
      </c>
      <c r="CL88" s="56"/>
      <c r="CO88" s="55">
        <f t="shared" si="541"/>
        <v>46094</v>
      </c>
      <c r="CP88" s="422"/>
      <c r="CQ88" s="470">
        <f>SUMPRODUCT(PRODUCE!$B99:$DY99,PRODUCE!$EB$17:$IY$17)</f>
        <v>0</v>
      </c>
      <c r="CR88" s="422"/>
      <c r="CS88" s="470">
        <f t="shared" si="542"/>
        <v>0</v>
      </c>
      <c r="CT88" s="470">
        <f t="shared" si="543"/>
        <v>0</v>
      </c>
      <c r="CU88" s="56"/>
      <c r="CX88" s="55">
        <f t="shared" si="544"/>
        <v>46094</v>
      </c>
      <c r="CY88" s="56"/>
      <c r="CZ88" s="133">
        <f>SUMPRODUCT(PRODUCE!$B99:$DY99,PRODUCE!$EB$18:$IY$18)</f>
        <v>9699.9999999999982</v>
      </c>
      <c r="DA88" s="56">
        <v>9700.5</v>
      </c>
      <c r="DB88" s="133">
        <f t="shared" si="545"/>
        <v>-0.50000000000181899</v>
      </c>
      <c r="DC88" s="133">
        <f t="shared" si="546"/>
        <v>31225.199999999997</v>
      </c>
      <c r="DD88" s="56"/>
      <c r="DG88" s="55">
        <f t="shared" si="547"/>
        <v>46094</v>
      </c>
      <c r="DH88" s="56"/>
      <c r="DI88" s="147">
        <f>SUMPRODUCT(PRODUCE!$B99:$DY99,PRODUCE!$EB$19:$IY$19)</f>
        <v>4000</v>
      </c>
      <c r="DJ88" s="56">
        <v>3999.8</v>
      </c>
      <c r="DK88" s="147">
        <f t="shared" si="548"/>
        <v>0.1999999999998181</v>
      </c>
      <c r="DL88" s="147">
        <f t="shared" si="549"/>
        <v>12039.799999999996</v>
      </c>
      <c r="DM88" s="56"/>
      <c r="DP88" s="55">
        <f t="shared" si="550"/>
        <v>46094</v>
      </c>
      <c r="DQ88" s="56"/>
      <c r="DR88" s="57">
        <f>SUMPRODUCT(PRODUCE!$B99:$DY99,PRODUCE!$EB$20:$IY$20)</f>
        <v>0</v>
      </c>
      <c r="DS88" s="56"/>
      <c r="DT88" s="57">
        <f t="shared" si="551"/>
        <v>0</v>
      </c>
      <c r="DU88" s="57">
        <f t="shared" si="552"/>
        <v>7150</v>
      </c>
      <c r="DV88" s="56"/>
      <c r="DY88" s="55">
        <f t="shared" si="553"/>
        <v>46094</v>
      </c>
      <c r="DZ88" s="56"/>
      <c r="EA88" s="157">
        <f>SUMPRODUCT(PRODUCE!$B99:$DY99,PRODUCE!$EB$21:$IY$21)</f>
        <v>0</v>
      </c>
      <c r="EB88" s="56"/>
      <c r="EC88" s="157">
        <f t="shared" si="554"/>
        <v>0</v>
      </c>
      <c r="ED88" s="157">
        <f t="shared" si="555"/>
        <v>5197.3</v>
      </c>
      <c r="EE88" s="56"/>
      <c r="EH88" s="55">
        <f t="shared" si="556"/>
        <v>46094</v>
      </c>
      <c r="EI88" s="56"/>
      <c r="EJ88" s="162">
        <f>SUMPRODUCT(PRODUCE!$B99:$DY99,PRODUCE!$EB$22:$IY$22)</f>
        <v>0</v>
      </c>
      <c r="EK88" s="56"/>
      <c r="EL88" s="162">
        <f t="shared" si="557"/>
        <v>0</v>
      </c>
      <c r="EM88" s="162">
        <f t="shared" si="558"/>
        <v>0</v>
      </c>
      <c r="EN88" s="56"/>
      <c r="EQ88" s="55">
        <f t="shared" si="559"/>
        <v>46094</v>
      </c>
      <c r="ER88" s="56"/>
      <c r="ES88" s="135">
        <f>SUMPRODUCT(PRODUCE!$B99:$DY99,PRODUCE!$EB$23:$IY$23)</f>
        <v>0</v>
      </c>
      <c r="ET88" s="56"/>
      <c r="EU88" s="135">
        <f t="shared" si="560"/>
        <v>0</v>
      </c>
      <c r="EV88" s="135">
        <f t="shared" si="561"/>
        <v>0</v>
      </c>
      <c r="EW88" s="56"/>
      <c r="EZ88" s="55">
        <f t="shared" si="562"/>
        <v>46094</v>
      </c>
      <c r="FA88" s="56"/>
      <c r="FB88" s="175">
        <f>SUMPRODUCT(PRODUCE!$B99:$DY99,PRODUCE!$EB$24:$IY$24)</f>
        <v>0</v>
      </c>
      <c r="FC88" s="56"/>
      <c r="FD88" s="175">
        <f t="shared" si="563"/>
        <v>0</v>
      </c>
      <c r="FE88" s="175">
        <f t="shared" si="564"/>
        <v>0</v>
      </c>
      <c r="FF88" s="56"/>
      <c r="FI88" s="55">
        <f t="shared" si="565"/>
        <v>46094</v>
      </c>
      <c r="FJ88" s="56"/>
      <c r="FK88" s="183">
        <f>SUMPRODUCT(PRODUCE!$B99:$DY99,PRODUCE!$EB$25:$IY$25)</f>
        <v>0</v>
      </c>
      <c r="FL88" s="56"/>
      <c r="FM88" s="183">
        <f t="shared" si="566"/>
        <v>0</v>
      </c>
      <c r="FN88" s="183">
        <f t="shared" si="567"/>
        <v>0</v>
      </c>
      <c r="FO88" s="56"/>
      <c r="FR88" s="55">
        <f t="shared" si="568"/>
        <v>46094</v>
      </c>
      <c r="FS88" s="422">
        <f>100*20</f>
        <v>2000</v>
      </c>
      <c r="FT88" s="452">
        <f>SUMPRODUCT(PRODUCE!$B99:$DY99,PRODUCE!$EB$26:$IY$26)</f>
        <v>0</v>
      </c>
      <c r="FU88" s="422"/>
      <c r="FV88" s="452">
        <f t="shared" si="569"/>
        <v>0</v>
      </c>
      <c r="FW88" s="452">
        <f t="shared" si="570"/>
        <v>4020</v>
      </c>
      <c r="FX88" s="56"/>
      <c r="GA88" s="55">
        <f t="shared" si="571"/>
        <v>46094</v>
      </c>
      <c r="GB88" s="422"/>
      <c r="GC88" s="454">
        <f>SUMPRODUCT(PRODUCE!$B99:$DY99,PRODUCE!$EB$27:$IY$27)</f>
        <v>0</v>
      </c>
      <c r="GD88" s="422"/>
      <c r="GE88" s="454">
        <f t="shared" si="572"/>
        <v>0</v>
      </c>
      <c r="GF88" s="454">
        <f t="shared" si="573"/>
        <v>5560</v>
      </c>
      <c r="GG88" s="56"/>
      <c r="GI88" s="23"/>
      <c r="GJ88" s="55">
        <f t="shared" si="574"/>
        <v>46094</v>
      </c>
      <c r="GK88" s="422"/>
      <c r="GL88" s="456">
        <f>SUMPRODUCT(PRODUCE!$B99:$DY99,PRODUCE!$EB$28:$IY$28)</f>
        <v>0</v>
      </c>
      <c r="GM88" s="422"/>
      <c r="GN88" s="456">
        <f t="shared" si="575"/>
        <v>0</v>
      </c>
      <c r="GO88" s="456">
        <f t="shared" si="576"/>
        <v>5240</v>
      </c>
      <c r="GP88" s="56"/>
      <c r="GS88" s="55">
        <f t="shared" si="577"/>
        <v>46094</v>
      </c>
      <c r="GT88" s="56"/>
      <c r="GU88" s="195">
        <f>SUMPRODUCT(PRODUCE!$B99:$DY99,PRODUCE!$EB$29:$IY$29)</f>
        <v>0</v>
      </c>
      <c r="GV88" s="56"/>
      <c r="GW88" s="195">
        <f t="shared" si="578"/>
        <v>0</v>
      </c>
      <c r="GX88" s="195">
        <f t="shared" si="579"/>
        <v>0</v>
      </c>
      <c r="GY88" s="56"/>
      <c r="HB88" s="55">
        <f t="shared" si="580"/>
        <v>46094</v>
      </c>
      <c r="HC88" s="56"/>
      <c r="HD88" s="191">
        <f>SUMPRODUCT(PRODUCE!$B99:$DY99,PRODUCE!$EB$30:$IY$30)</f>
        <v>0</v>
      </c>
      <c r="HE88" s="56"/>
      <c r="HF88" s="191">
        <f t="shared" si="581"/>
        <v>0</v>
      </c>
      <c r="HG88" s="191">
        <f t="shared" si="582"/>
        <v>0</v>
      </c>
      <c r="HH88" s="56"/>
      <c r="HK88" s="55">
        <f t="shared" si="583"/>
        <v>46094</v>
      </c>
      <c r="HL88" s="56"/>
      <c r="HM88" s="63">
        <f>SUMPRODUCT(PRODUCE!$B99:$DY99,PRODUCE!$EB$31:$IY$31)</f>
        <v>0</v>
      </c>
      <c r="HN88" s="56"/>
      <c r="HO88" s="63">
        <f t="shared" si="584"/>
        <v>0</v>
      </c>
      <c r="HP88" s="63">
        <f t="shared" si="585"/>
        <v>0</v>
      </c>
      <c r="HQ88" s="56"/>
      <c r="HU88" s="55">
        <f t="shared" si="586"/>
        <v>46094</v>
      </c>
      <c r="HV88" s="56"/>
      <c r="HW88" s="242">
        <f>SUMPRODUCT(PRODUCE!$B99:$DY99,PRODUCE!$EB$32:$IY$32)</f>
        <v>0</v>
      </c>
      <c r="HX88" s="56"/>
      <c r="HY88" s="242">
        <f t="shared" si="587"/>
        <v>0</v>
      </c>
      <c r="HZ88" s="242">
        <f t="shared" si="588"/>
        <v>5120</v>
      </c>
      <c r="IA88" s="56"/>
      <c r="ID88" s="55">
        <f t="shared" si="589"/>
        <v>46094</v>
      </c>
      <c r="IE88" s="56"/>
      <c r="IF88" s="242">
        <f>SUMPRODUCT(PRODUCE!$B99:$DY99,PRODUCE!$EB$33:$IY$33)</f>
        <v>0</v>
      </c>
      <c r="IG88" s="56"/>
      <c r="IH88" s="242">
        <f t="shared" si="590"/>
        <v>0</v>
      </c>
      <c r="II88" s="242">
        <f t="shared" si="591"/>
        <v>6540</v>
      </c>
      <c r="IJ88" s="56"/>
      <c r="IM88" s="55">
        <f t="shared" si="592"/>
        <v>46094</v>
      </c>
      <c r="IN88" s="56"/>
      <c r="IO88" s="242">
        <f>SUMPRODUCT(PRODUCE!$B99:$DY99,PRODUCE!$EB$34:$IY$34)</f>
        <v>0</v>
      </c>
      <c r="IP88" s="56"/>
      <c r="IQ88" s="242">
        <f t="shared" si="593"/>
        <v>0</v>
      </c>
      <c r="IR88" s="242">
        <f t="shared" si="594"/>
        <v>11540</v>
      </c>
      <c r="IS88" s="56"/>
      <c r="IV88" s="55">
        <f t="shared" si="595"/>
        <v>46094</v>
      </c>
      <c r="IW88" s="56"/>
      <c r="IX88" s="242">
        <f>SUMPRODUCT(PRODUCE!$B99:$DY99,PRODUCE!$EB$35:$IY$35)</f>
        <v>0</v>
      </c>
      <c r="IY88" s="56"/>
      <c r="IZ88" s="242">
        <f t="shared" si="596"/>
        <v>0</v>
      </c>
      <c r="JA88" s="242">
        <f t="shared" si="597"/>
        <v>15120</v>
      </c>
      <c r="JB88" s="56"/>
      <c r="JE88" s="55">
        <f t="shared" si="598"/>
        <v>46094</v>
      </c>
      <c r="JF88" s="56"/>
      <c r="JG88" s="242">
        <f>SUMPRODUCT(PRODUCE!$B99:$DY99,PRODUCE!$EB$36:$IY$36)</f>
        <v>0</v>
      </c>
      <c r="JH88" s="56"/>
      <c r="JI88" s="242">
        <f t="shared" si="599"/>
        <v>0</v>
      </c>
      <c r="JJ88" s="242">
        <f t="shared" si="600"/>
        <v>5040</v>
      </c>
      <c r="JK88" s="56"/>
      <c r="JN88" s="55">
        <f t="shared" si="601"/>
        <v>46094</v>
      </c>
      <c r="JO88" s="56"/>
      <c r="JP88" s="242">
        <f>SUMPRODUCT(PRODUCE!$B99:$DY99,PRODUCE!$EB$37:$IY$37)</f>
        <v>0</v>
      </c>
      <c r="JQ88" s="56"/>
      <c r="JR88" s="242">
        <f t="shared" si="602"/>
        <v>0</v>
      </c>
      <c r="JS88" s="242">
        <f t="shared" si="603"/>
        <v>9100</v>
      </c>
      <c r="JT88" s="56"/>
      <c r="JW88" s="55">
        <f t="shared" si="604"/>
        <v>46094</v>
      </c>
      <c r="JX88" s="56"/>
      <c r="JY88" s="242">
        <f>SUMPRODUCT(PRODUCE!$B99:$DY99,PRODUCE!$EB$38:$IY$38)</f>
        <v>0</v>
      </c>
      <c r="JZ88" s="56"/>
      <c r="KA88" s="242">
        <f t="shared" si="605"/>
        <v>0</v>
      </c>
      <c r="KB88" s="242">
        <f t="shared" si="606"/>
        <v>4740</v>
      </c>
      <c r="KC88" s="56"/>
      <c r="KF88" s="55">
        <f t="shared" si="607"/>
        <v>46094</v>
      </c>
      <c r="KG88" s="56"/>
      <c r="KH88" s="242">
        <f>SUMPRODUCT(PRODUCE!$B99:$DY99,PRODUCE!$EB$39:$IY$39)</f>
        <v>0</v>
      </c>
      <c r="KI88" s="56"/>
      <c r="KJ88" s="242">
        <f t="shared" si="608"/>
        <v>0</v>
      </c>
      <c r="KK88" s="242">
        <f t="shared" si="609"/>
        <v>5284.5</v>
      </c>
      <c r="KL88" s="56"/>
      <c r="KO88" s="55">
        <f t="shared" si="610"/>
        <v>46094</v>
      </c>
      <c r="KP88" s="56"/>
      <c r="KQ88" s="242">
        <f>SUMPRODUCT(PRODUCE!$B99:$DY99,PRODUCE!$EB$40:$IY$40)</f>
        <v>1889.9999999999998</v>
      </c>
      <c r="KR88" s="56"/>
      <c r="KS88" s="242">
        <f t="shared" si="611"/>
        <v>1889.9999999999998</v>
      </c>
      <c r="KT88" s="242">
        <f t="shared" si="612"/>
        <v>1701.0000000000009</v>
      </c>
      <c r="KU88" s="56"/>
      <c r="KW88" s="23"/>
      <c r="KX88" s="55">
        <f t="shared" si="613"/>
        <v>46094</v>
      </c>
      <c r="KY88" s="56"/>
      <c r="KZ88" s="242">
        <f>SUMPRODUCT(PRODUCE!$B99:$DY99,PRODUCE!$EB$41:$IY$41)</f>
        <v>0</v>
      </c>
      <c r="LA88" s="56"/>
      <c r="LB88" s="242">
        <f t="shared" si="614"/>
        <v>0</v>
      </c>
      <c r="LC88" s="242">
        <f t="shared" si="615"/>
        <v>0</v>
      </c>
      <c r="LD88" s="56"/>
      <c r="LG88" s="55">
        <f t="shared" si="616"/>
        <v>46094</v>
      </c>
      <c r="LH88" s="56"/>
      <c r="LI88" s="242">
        <f>SUMPRODUCT(PRODUCE!$B99:$DY99,PRODUCE!$EB$42:$IY$42)</f>
        <v>0</v>
      </c>
      <c r="LJ88" s="56"/>
      <c r="LK88" s="242">
        <f t="shared" si="617"/>
        <v>0</v>
      </c>
      <c r="LL88" s="242">
        <f t="shared" si="618"/>
        <v>0</v>
      </c>
      <c r="LM88" s="56"/>
      <c r="LP88" s="55">
        <f t="shared" si="619"/>
        <v>46094</v>
      </c>
      <c r="LQ88" s="56"/>
      <c r="LR88" s="242">
        <f>SUMPRODUCT(PRODUCE!$B103:$DY103,PRODUCE!$EB$43:$IY$43)</f>
        <v>0</v>
      </c>
      <c r="LS88" s="56"/>
      <c r="LT88" s="242">
        <f t="shared" si="620"/>
        <v>0</v>
      </c>
      <c r="LU88" s="242">
        <f t="shared" si="621"/>
        <v>0</v>
      </c>
      <c r="LV88" s="56"/>
      <c r="LY88" s="55">
        <f t="shared" si="622"/>
        <v>46094</v>
      </c>
      <c r="LZ88" s="56"/>
      <c r="MA88" s="242">
        <f>SUMPRODUCT(PRODUCE!$B99:$DY99,PRODUCE!$EB$44:$IY$44)</f>
        <v>0</v>
      </c>
      <c r="MB88" s="56"/>
      <c r="MC88" s="242">
        <f t="shared" si="623"/>
        <v>0</v>
      </c>
      <c r="MD88" s="242">
        <f t="shared" si="624"/>
        <v>0</v>
      </c>
      <c r="ME88" s="56"/>
      <c r="MH88" s="55">
        <f t="shared" si="625"/>
        <v>46094</v>
      </c>
      <c r="MI88" s="56"/>
      <c r="MJ88" s="242">
        <f>SUMPRODUCT(PRODUCE!$B99:$DY99,PRODUCE!$EB$45:$IY$45)</f>
        <v>0</v>
      </c>
      <c r="MK88" s="56"/>
      <c r="ML88" s="242">
        <f t="shared" si="626"/>
        <v>0</v>
      </c>
      <c r="MM88" s="242">
        <f t="shared" si="627"/>
        <v>0</v>
      </c>
      <c r="MN88" s="56"/>
      <c r="MQ88" s="55">
        <f t="shared" si="628"/>
        <v>46094</v>
      </c>
      <c r="MR88" s="56">
        <v>2000</v>
      </c>
      <c r="MS88" s="242">
        <f>SUMPRODUCT(PRODUCE!$B99:$DY99,PRODUCE!$EB$46:$IY$46)</f>
        <v>0</v>
      </c>
      <c r="MT88" s="56"/>
      <c r="MU88" s="242">
        <f t="shared" si="629"/>
        <v>0</v>
      </c>
      <c r="MV88" s="242">
        <f t="shared" si="630"/>
        <v>5450</v>
      </c>
      <c r="MW88" s="56"/>
      <c r="MZ88" s="55">
        <f t="shared" si="631"/>
        <v>46094</v>
      </c>
      <c r="NA88" s="56"/>
      <c r="NB88" s="242">
        <f>SUMPRODUCT(PRODUCE!$B99:$DY99,PRODUCE!$EB$47:$IY$47)</f>
        <v>300</v>
      </c>
      <c r="NC88" s="56"/>
      <c r="ND88" s="242">
        <f t="shared" si="632"/>
        <v>300</v>
      </c>
      <c r="NE88" s="242">
        <f t="shared" si="633"/>
        <v>0</v>
      </c>
      <c r="NF88" s="56"/>
      <c r="NI88" s="55">
        <f t="shared" si="634"/>
        <v>46094</v>
      </c>
      <c r="NJ88" s="56">
        <v>300</v>
      </c>
      <c r="NK88" s="242">
        <f>SUMPRODUCT(PRODUCE!$B99:$DY99,PRODUCE!$EB$48:$IY$48)</f>
        <v>50</v>
      </c>
      <c r="NL88" s="56"/>
      <c r="NM88" s="242">
        <f t="shared" si="635"/>
        <v>50</v>
      </c>
      <c r="NN88" s="242">
        <f t="shared" si="636"/>
        <v>465</v>
      </c>
      <c r="NO88" s="56"/>
      <c r="NR88" s="55">
        <f t="shared" si="637"/>
        <v>46094</v>
      </c>
      <c r="NS88" s="56"/>
      <c r="NT88" s="242">
        <f>SUMPRODUCT(PRODUCE!$B99:$DY99,PRODUCE!$EB$49:$IY$49)</f>
        <v>114.99999999999999</v>
      </c>
      <c r="NU88" s="56"/>
      <c r="NV88" s="242">
        <f t="shared" si="638"/>
        <v>114.99999999999999</v>
      </c>
      <c r="NW88" s="242">
        <f t="shared" si="639"/>
        <v>1578.9</v>
      </c>
      <c r="NX88" s="56"/>
      <c r="OA88" s="55">
        <f t="shared" si="640"/>
        <v>46094</v>
      </c>
      <c r="OB88" s="56"/>
      <c r="OC88" s="242">
        <f>SUMPRODUCT(PRODUCE!$B99:$DY99,PRODUCE!$EB$50:$IY$50)</f>
        <v>0</v>
      </c>
      <c r="OD88" s="56"/>
      <c r="OE88" s="242">
        <f t="shared" si="641"/>
        <v>0</v>
      </c>
      <c r="OF88" s="242">
        <f t="shared" si="642"/>
        <v>1680.5</v>
      </c>
      <c r="OG88" s="56"/>
      <c r="OJ88" s="55">
        <f t="shared" si="643"/>
        <v>46094</v>
      </c>
      <c r="OK88" s="56"/>
      <c r="OL88" s="242">
        <f>SUMPRODUCT(PRODUCE!$B99:$DY99,PRODUCE!$EB$51:$IY$51)</f>
        <v>275.00000000000006</v>
      </c>
      <c r="OM88" s="56"/>
      <c r="ON88" s="242">
        <f t="shared" si="644"/>
        <v>275.00000000000006</v>
      </c>
      <c r="OO88" s="242">
        <f t="shared" si="645"/>
        <v>0</v>
      </c>
      <c r="OP88" s="56"/>
      <c r="OS88" s="55">
        <f t="shared" si="646"/>
        <v>46094</v>
      </c>
      <c r="OT88" s="56"/>
      <c r="OU88" s="242">
        <f>SUMPRODUCT(PRODUCE!$B99:$DY99,PRODUCE!$EB$52:$IY$52)</f>
        <v>0</v>
      </c>
      <c r="OV88" s="56"/>
      <c r="OW88" s="242">
        <f t="shared" si="647"/>
        <v>0</v>
      </c>
      <c r="OX88" s="242">
        <f t="shared" si="648"/>
        <v>1000</v>
      </c>
      <c r="OY88" s="56"/>
      <c r="PB88" s="55">
        <f t="shared" si="649"/>
        <v>46094</v>
      </c>
      <c r="PC88" s="56"/>
      <c r="PD88" s="242">
        <f>SUMPRODUCT(PRODUCE!$B99:$DY99,PRODUCE!$EB$53:$IY$53)</f>
        <v>0</v>
      </c>
      <c r="PE88" s="56"/>
      <c r="PF88" s="242">
        <f t="shared" si="650"/>
        <v>0</v>
      </c>
      <c r="PG88" s="242">
        <f t="shared" si="651"/>
        <v>0</v>
      </c>
      <c r="PH88" s="56"/>
      <c r="PK88" s="55">
        <f t="shared" si="652"/>
        <v>46094</v>
      </c>
      <c r="PL88" s="56"/>
      <c r="PM88" s="242">
        <f>SUMPRODUCT(PRODUCE!$B99:$DY99,PRODUCE!$EB$54:$IY$54)</f>
        <v>0</v>
      </c>
      <c r="PN88" s="56"/>
      <c r="PO88" s="242">
        <f t="shared" si="653"/>
        <v>0</v>
      </c>
      <c r="PP88" s="242">
        <f t="shared" si="654"/>
        <v>100</v>
      </c>
      <c r="PQ88" s="56"/>
      <c r="PT88" s="55">
        <f t="shared" si="655"/>
        <v>46094</v>
      </c>
      <c r="PU88" s="56"/>
      <c r="PV88" s="242">
        <f>SUMPRODUCT(PRODUCE!$B99:$DY99,PRODUCE!$EB$55:$IY$55)</f>
        <v>0</v>
      </c>
      <c r="PW88" s="56"/>
      <c r="PX88" s="242">
        <f t="shared" si="656"/>
        <v>0</v>
      </c>
      <c r="PY88" s="242">
        <f t="shared" si="657"/>
        <v>13.960000000000036</v>
      </c>
      <c r="PZ88" s="56"/>
      <c r="QC88" s="55">
        <f t="shared" si="658"/>
        <v>46094</v>
      </c>
      <c r="QD88" s="56"/>
      <c r="QE88" s="242">
        <f>SUMPRODUCT(PRODUCE!$B99:$DY99,PRODUCE!$EB$56:$IY$56)</f>
        <v>0</v>
      </c>
      <c r="QF88" s="56"/>
      <c r="QG88" s="242">
        <f t="shared" si="659"/>
        <v>0</v>
      </c>
      <c r="QH88" s="242">
        <f t="shared" si="660"/>
        <v>1212</v>
      </c>
      <c r="QI88" s="56"/>
      <c r="QL88" s="55">
        <f t="shared" si="661"/>
        <v>46094</v>
      </c>
      <c r="QM88" s="56"/>
      <c r="QN88" s="242">
        <f>SUMPRODUCT(PRODUCE!$B99:$DY99,PRODUCE!$EB$57:$IY$57)</f>
        <v>0</v>
      </c>
      <c r="QO88" s="56"/>
      <c r="QP88" s="242">
        <f t="shared" si="662"/>
        <v>0</v>
      </c>
      <c r="QQ88" s="242">
        <f t="shared" si="663"/>
        <v>0</v>
      </c>
      <c r="QR88" s="56"/>
      <c r="QU88" s="55">
        <f t="shared" si="664"/>
        <v>46094</v>
      </c>
      <c r="QV88" s="56"/>
      <c r="QW88" s="242">
        <f>SUMPRODUCT(PRODUCE!$B99:$DY99,PRODUCE!$EB$57:$IY$57)</f>
        <v>0</v>
      </c>
      <c r="QX88" s="56"/>
      <c r="QY88" s="242">
        <f t="shared" si="665"/>
        <v>0</v>
      </c>
      <c r="QZ88" s="242">
        <f t="shared" si="666"/>
        <v>207.6</v>
      </c>
      <c r="RA88" s="56"/>
      <c r="RD88" s="55">
        <f t="shared" si="667"/>
        <v>46094</v>
      </c>
      <c r="RE88" s="56"/>
      <c r="RF88" s="242">
        <f>SUMPRODUCT(PRODUCE!$B99:$DY99,PRODUCE!$EB$58:$IY$58)</f>
        <v>0</v>
      </c>
      <c r="RG88" s="56"/>
      <c r="RH88" s="242">
        <f t="shared" si="668"/>
        <v>0</v>
      </c>
      <c r="RI88" s="242">
        <f t="shared" si="669"/>
        <v>197.04000000000002</v>
      </c>
      <c r="RJ88" s="56"/>
      <c r="RM88" s="55">
        <f t="shared" si="670"/>
        <v>46094</v>
      </c>
      <c r="RN88" s="56"/>
      <c r="RO88" s="242">
        <f>SUMPRODUCT(PRODUCE!$B99:$DY99,PRODUCE!$EB$57:$IY$57)</f>
        <v>0</v>
      </c>
      <c r="RP88" s="56"/>
      <c r="RQ88" s="242">
        <f t="shared" si="671"/>
        <v>0</v>
      </c>
      <c r="RR88" s="242">
        <f t="shared" si="672"/>
        <v>46.8</v>
      </c>
      <c r="RS88" s="56"/>
      <c r="RV88" s="55">
        <f t="shared" si="673"/>
        <v>46094</v>
      </c>
      <c r="RW88" s="56"/>
      <c r="RX88" s="242">
        <f>SUMPRODUCT(PRODUCE!$B99:$DY99,PRODUCE!$EB$57:$IY$57)</f>
        <v>0</v>
      </c>
      <c r="RY88" s="56"/>
      <c r="RZ88" s="242">
        <f t="shared" si="674"/>
        <v>0</v>
      </c>
      <c r="SA88" s="242">
        <f t="shared" si="675"/>
        <v>0</v>
      </c>
      <c r="SB88" s="56"/>
      <c r="SE88" s="55">
        <f t="shared" si="676"/>
        <v>46094</v>
      </c>
      <c r="SF88" s="56"/>
      <c r="SG88" s="242">
        <f>SUMPRODUCT(PRODUCE!$B99:$DY99,PRODUCE!$EB$57:$IY$57)</f>
        <v>0</v>
      </c>
      <c r="SH88" s="56"/>
      <c r="SI88" s="242">
        <f t="shared" si="677"/>
        <v>0</v>
      </c>
      <c r="SJ88" s="242">
        <f t="shared" si="678"/>
        <v>0</v>
      </c>
      <c r="SK88" s="56"/>
      <c r="SN88" s="55">
        <f t="shared" si="679"/>
        <v>46094</v>
      </c>
      <c r="SO88" s="56"/>
      <c r="SP88" s="242">
        <f>SUMPRODUCT(PRODUCE!$B99:$DY99,PRODUCE!$EB$57:$IY$57)</f>
        <v>0</v>
      </c>
      <c r="SQ88" s="56"/>
      <c r="SR88" s="242">
        <f t="shared" si="680"/>
        <v>0</v>
      </c>
      <c r="SS88" s="242">
        <f t="shared" si="681"/>
        <v>0</v>
      </c>
      <c r="ST88" s="56"/>
      <c r="SW88" s="55">
        <f t="shared" si="682"/>
        <v>46094</v>
      </c>
      <c r="SX88" s="56"/>
      <c r="SY88" s="242">
        <f>SUMPRODUCT(PRODUCE!$B99:$DY99,PRODUCE!$EB$57:$IY$57)</f>
        <v>0</v>
      </c>
      <c r="SZ88" s="56"/>
      <c r="TA88" s="242">
        <f t="shared" si="683"/>
        <v>0</v>
      </c>
      <c r="TB88" s="242">
        <f t="shared" si="684"/>
        <v>0</v>
      </c>
      <c r="TC88" s="56"/>
      <c r="TF88" s="55">
        <f t="shared" si="685"/>
        <v>46094</v>
      </c>
      <c r="TG88" s="56"/>
      <c r="TH88" s="242">
        <f>SUMPRODUCT(PRODUCE!$B99:$DY99,PRODUCE!$EB$57:$IY$57)</f>
        <v>0</v>
      </c>
      <c r="TI88" s="56"/>
      <c r="TJ88" s="242">
        <f t="shared" si="686"/>
        <v>0</v>
      </c>
      <c r="TK88" s="242">
        <f t="shared" si="687"/>
        <v>0</v>
      </c>
      <c r="TL88" s="56"/>
      <c r="TO88" s="55">
        <f t="shared" si="688"/>
        <v>46094</v>
      </c>
      <c r="TP88" s="56"/>
      <c r="TQ88" s="242">
        <f>SUMPRODUCT(PRODUCE!$B99:$DY99,PRODUCE!$EB$57:$IY$57)</f>
        <v>0</v>
      </c>
      <c r="TR88" s="56"/>
      <c r="TS88" s="242">
        <f t="shared" si="689"/>
        <v>0</v>
      </c>
      <c r="TT88" s="242">
        <f t="shared" si="690"/>
        <v>0</v>
      </c>
      <c r="TU88" s="56"/>
      <c r="TX88" s="55">
        <f t="shared" si="691"/>
        <v>46094</v>
      </c>
      <c r="TY88" s="56"/>
      <c r="TZ88" s="242">
        <f>SUMPRODUCT(PRODUCE!$B99:$DY99,PRODUCE!$EB$57:$IY$57)</f>
        <v>0</v>
      </c>
      <c r="UA88" s="56"/>
      <c r="UB88" s="242">
        <f t="shared" si="692"/>
        <v>0</v>
      </c>
      <c r="UC88" s="242">
        <f t="shared" si="693"/>
        <v>0</v>
      </c>
      <c r="UD88" s="56"/>
      <c r="UG88" s="55">
        <f t="shared" si="694"/>
        <v>46094</v>
      </c>
      <c r="UH88" s="56"/>
      <c r="UI88" s="242">
        <f>SUMPRODUCT(PRODUCE!$B99:$DY99,PRODUCE!$EB$57:$IY$57)</f>
        <v>0</v>
      </c>
      <c r="UJ88" s="56"/>
      <c r="UK88" s="242">
        <f t="shared" si="695"/>
        <v>0</v>
      </c>
      <c r="UL88" s="242">
        <f t="shared" si="696"/>
        <v>0</v>
      </c>
      <c r="UM88" s="56"/>
      <c r="UP88" s="55">
        <f t="shared" si="697"/>
        <v>46094</v>
      </c>
      <c r="UQ88" s="56"/>
      <c r="UR88" s="242">
        <f>SUMPRODUCT(PRODUCE!$B99:$DY99,PRODUCE!$EB$57:$IY$57)</f>
        <v>0</v>
      </c>
      <c r="US88" s="56"/>
      <c r="UT88" s="242">
        <f t="shared" si="698"/>
        <v>0</v>
      </c>
      <c r="UU88" s="242">
        <f t="shared" si="699"/>
        <v>0</v>
      </c>
      <c r="UV88" s="56"/>
      <c r="UY88" s="55">
        <f t="shared" si="700"/>
        <v>46094</v>
      </c>
      <c r="UZ88" s="56"/>
      <c r="VA88" s="242">
        <f>SUMPRODUCT(PRODUCE!$B99:$DY99,PRODUCE!$EB$57:$IY$57)</f>
        <v>0</v>
      </c>
      <c r="VB88" s="56"/>
      <c r="VC88" s="242">
        <f t="shared" si="701"/>
        <v>0</v>
      </c>
      <c r="VD88" s="242">
        <f t="shared" si="702"/>
        <v>41.600000000000023</v>
      </c>
      <c r="VE88" s="56"/>
      <c r="VH88" s="55">
        <f t="shared" si="703"/>
        <v>46094</v>
      </c>
      <c r="VI88" s="56"/>
      <c r="VJ88" s="242">
        <f>SUMPRODUCT(PRODUCE!$B99:$DY99,PRODUCE!$EB$57:$IY$57)</f>
        <v>0</v>
      </c>
      <c r="VK88" s="56"/>
      <c r="VL88" s="242">
        <f t="shared" si="704"/>
        <v>0</v>
      </c>
      <c r="VM88" s="242">
        <f t="shared" si="705"/>
        <v>0</v>
      </c>
      <c r="VN88" s="56"/>
      <c r="VQ88" s="55">
        <f t="shared" si="706"/>
        <v>46094</v>
      </c>
      <c r="VR88" s="56"/>
      <c r="VS88" s="242">
        <f>SUMPRODUCT(PRODUCE!$B99:$DY99,PRODUCE!$EB$57:$IY$57)</f>
        <v>0</v>
      </c>
      <c r="VT88" s="56"/>
      <c r="VU88" s="242">
        <f t="shared" si="707"/>
        <v>0</v>
      </c>
      <c r="VV88" s="242">
        <f t="shared" si="708"/>
        <v>0</v>
      </c>
      <c r="VW88" s="56"/>
      <c r="VZ88" s="55">
        <f t="shared" si="709"/>
        <v>46094</v>
      </c>
      <c r="WA88" s="56"/>
      <c r="WB88" s="242">
        <f>SUMPRODUCT(PRODUCE!$B99:$DY99,PRODUCE!$EB$57:$IY$57)</f>
        <v>0</v>
      </c>
      <c r="WC88" s="56"/>
      <c r="WD88" s="242">
        <f t="shared" si="710"/>
        <v>0</v>
      </c>
      <c r="WE88" s="242">
        <f t="shared" si="711"/>
        <v>0</v>
      </c>
      <c r="WF88" s="56"/>
      <c r="WI88" s="55">
        <f t="shared" si="712"/>
        <v>46094</v>
      </c>
      <c r="WJ88" s="56"/>
      <c r="WK88" s="242">
        <f>SUMPRODUCT(PRODUCE!$B99:$DY99,PRODUCE!$EB$57:$IY$57)</f>
        <v>0</v>
      </c>
      <c r="WL88" s="56"/>
      <c r="WM88" s="242">
        <f t="shared" si="713"/>
        <v>0</v>
      </c>
      <c r="WN88" s="242">
        <f t="shared" si="714"/>
        <v>6022</v>
      </c>
      <c r="WO88" s="56"/>
      <c r="WR88" s="55">
        <f t="shared" si="715"/>
        <v>46094</v>
      </c>
      <c r="WS88" s="56"/>
      <c r="WT88" s="242">
        <f>SUMPRODUCT(PRODUCE!$B99:$DY99,PRODUCE!$EB$57:$IY$57)</f>
        <v>0</v>
      </c>
      <c r="WU88" s="56"/>
      <c r="WV88" s="242">
        <f t="shared" si="716"/>
        <v>0</v>
      </c>
      <c r="WW88" s="242">
        <f t="shared" si="717"/>
        <v>5568</v>
      </c>
      <c r="WX88" s="56"/>
      <c r="XA88" s="55">
        <f t="shared" si="718"/>
        <v>46094</v>
      </c>
      <c r="XB88" s="56"/>
      <c r="XC88" s="242">
        <f>SUMPRODUCT(PRODUCE!$B99:$DY99,PRODUCE!$EB$57:$IY$57)</f>
        <v>0</v>
      </c>
      <c r="XD88" s="56"/>
      <c r="XE88" s="242">
        <f t="shared" si="719"/>
        <v>0</v>
      </c>
      <c r="XF88" s="242">
        <f t="shared" si="720"/>
        <v>590</v>
      </c>
      <c r="XG88" s="56"/>
      <c r="XJ88" s="55">
        <f t="shared" si="721"/>
        <v>46094</v>
      </c>
      <c r="XK88" s="56"/>
      <c r="XL88" s="242">
        <f>SUMPRODUCT(PRODUCE!$B99:$DY99,PRODUCE!$EB$57:$IY$57)</f>
        <v>0</v>
      </c>
      <c r="XM88" s="56"/>
      <c r="XN88" s="242">
        <f t="shared" si="722"/>
        <v>0</v>
      </c>
      <c r="XO88" s="242">
        <f t="shared" si="723"/>
        <v>1439</v>
      </c>
      <c r="XP88" s="56"/>
      <c r="XS88" s="55">
        <f t="shared" si="724"/>
        <v>46094</v>
      </c>
      <c r="XT88" s="56"/>
      <c r="XU88" s="242">
        <f>SUMPRODUCT(PRODUCE!$B99:$DY99,PRODUCE!$EB$57:$IY$57)</f>
        <v>0</v>
      </c>
      <c r="XV88" s="56"/>
      <c r="XW88" s="242">
        <f t="shared" si="725"/>
        <v>0</v>
      </c>
      <c r="XX88" s="242">
        <f t="shared" si="726"/>
        <v>1901</v>
      </c>
      <c r="XY88" s="56"/>
      <c r="YB88" s="55">
        <f t="shared" si="727"/>
        <v>46094</v>
      </c>
      <c r="YC88" s="56"/>
      <c r="YD88" s="242">
        <f>SUMPRODUCT(PRODUCE!$B99:$DY99,PRODUCE!$EB$57:$IY$57)</f>
        <v>0</v>
      </c>
      <c r="YE88" s="56"/>
      <c r="YF88" s="242">
        <f t="shared" si="728"/>
        <v>0</v>
      </c>
      <c r="YG88" s="242">
        <f t="shared" si="729"/>
        <v>0</v>
      </c>
      <c r="YH88" s="56"/>
      <c r="YK88" s="55">
        <f t="shared" si="730"/>
        <v>46094</v>
      </c>
      <c r="YL88" s="56"/>
      <c r="YM88" s="242">
        <f>SUMPRODUCT(PRODUCE!$B99:$DY99,PRODUCE!$EB$57:$IY$57)</f>
        <v>0</v>
      </c>
      <c r="YN88" s="56"/>
      <c r="YO88" s="242">
        <f t="shared" si="731"/>
        <v>0</v>
      </c>
      <c r="YP88" s="242">
        <f t="shared" si="732"/>
        <v>0</v>
      </c>
      <c r="YQ88" s="56"/>
      <c r="YT88" s="55">
        <f t="shared" si="733"/>
        <v>46094</v>
      </c>
      <c r="YU88" s="56"/>
      <c r="YV88" s="242">
        <f>SUMPRODUCT(PRODUCE!$B99:$DY99,PRODUCE!$EB$57:$IY$57)</f>
        <v>0</v>
      </c>
      <c r="YW88" s="56"/>
      <c r="YX88" s="242">
        <f t="shared" si="734"/>
        <v>0</v>
      </c>
      <c r="YY88" s="242">
        <f t="shared" si="735"/>
        <v>0</v>
      </c>
      <c r="YZ88" s="56"/>
      <c r="ZC88" s="55">
        <f t="shared" si="736"/>
        <v>46094</v>
      </c>
      <c r="ZD88" s="56"/>
      <c r="ZE88" s="242">
        <f>SUMPRODUCT(PRODUCE!$B99:$DY99,PRODUCE!$EB$57:$IY$57)</f>
        <v>0</v>
      </c>
      <c r="ZF88" s="56"/>
      <c r="ZG88" s="242">
        <f t="shared" si="737"/>
        <v>0</v>
      </c>
      <c r="ZH88" s="242">
        <f t="shared" si="738"/>
        <v>0</v>
      </c>
      <c r="ZI88" s="56"/>
      <c r="ZL88" s="55">
        <f t="shared" si="739"/>
        <v>46094</v>
      </c>
      <c r="ZM88" s="56"/>
      <c r="ZN88" s="242">
        <f>SUMPRODUCT(PRODUCE!$B99:$DY99,PRODUCE!$EB$57:$IY$57)</f>
        <v>0</v>
      </c>
      <c r="ZO88" s="56"/>
      <c r="ZP88" s="242">
        <f t="shared" si="740"/>
        <v>0</v>
      </c>
      <c r="ZQ88" s="242">
        <f t="shared" si="741"/>
        <v>0</v>
      </c>
      <c r="ZR88" s="56"/>
      <c r="ZU88" s="55">
        <f t="shared" si="742"/>
        <v>46094</v>
      </c>
      <c r="ZV88" s="56"/>
      <c r="ZW88" s="242">
        <f>SUMPRODUCT(PRODUCE!$B99:$DY99,PRODUCE!$EB$57:$IY$57)</f>
        <v>0</v>
      </c>
      <c r="ZX88" s="56"/>
      <c r="ZY88" s="242">
        <f t="shared" si="743"/>
        <v>0</v>
      </c>
      <c r="ZZ88" s="242">
        <f t="shared" si="744"/>
        <v>0</v>
      </c>
      <c r="AAA88" s="56"/>
      <c r="AAD88" s="55">
        <f t="shared" si="745"/>
        <v>46094</v>
      </c>
      <c r="AAE88" s="56"/>
      <c r="AAF88" s="242">
        <f>SUMPRODUCT(PRODUCE!$B99:$DY99,PRODUCE!$EB$57:$IY$57)</f>
        <v>0</v>
      </c>
      <c r="AAG88" s="56"/>
      <c r="AAH88" s="242">
        <f t="shared" si="746"/>
        <v>0</v>
      </c>
      <c r="AAI88" s="242">
        <f t="shared" si="747"/>
        <v>0</v>
      </c>
      <c r="AAJ88" s="56"/>
      <c r="AAM88" s="55">
        <f t="shared" si="748"/>
        <v>46094</v>
      </c>
      <c r="AAN88" s="56"/>
      <c r="AAO88" s="242">
        <f>SUMPRODUCT(PRODUCE!$B99:$DY99,PRODUCE!$EB$57:$IY$57)</f>
        <v>0</v>
      </c>
      <c r="AAP88" s="56"/>
      <c r="AAQ88" s="242">
        <f t="shared" si="749"/>
        <v>0</v>
      </c>
      <c r="AAR88" s="242">
        <f t="shared" si="750"/>
        <v>0</v>
      </c>
      <c r="AAS88" s="56"/>
      <c r="AAV88" s="55">
        <f t="shared" si="751"/>
        <v>46094</v>
      </c>
      <c r="AAW88" s="56"/>
      <c r="AAX88" s="242">
        <f>SUMPRODUCT(PRODUCE!$B99:$DY99,PRODUCE!$EB$57:$IY$57)</f>
        <v>0</v>
      </c>
      <c r="AAY88" s="56"/>
      <c r="AAZ88" s="242">
        <f t="shared" si="752"/>
        <v>0</v>
      </c>
      <c r="ABA88" s="242">
        <f t="shared" si="753"/>
        <v>0</v>
      </c>
      <c r="ABB88" s="56"/>
      <c r="ABE88" s="55">
        <f t="shared" si="754"/>
        <v>46094</v>
      </c>
      <c r="ABF88" s="56"/>
      <c r="ABG88" s="242">
        <f>SUMPRODUCT(PRODUCE!$B99:$DY99,PRODUCE!$EB$57:$IY$57)</f>
        <v>0</v>
      </c>
      <c r="ABH88" s="56"/>
      <c r="ABI88" s="242">
        <f t="shared" si="755"/>
        <v>0</v>
      </c>
      <c r="ABJ88" s="242">
        <f t="shared" si="756"/>
        <v>0</v>
      </c>
      <c r="ABK88" s="56"/>
    </row>
    <row r="89" spans="2:739" s="54" customFormat="1" ht="15" customHeight="1" outlineLevel="1">
      <c r="B89" s="478">
        <f>44+30</f>
        <v>74</v>
      </c>
      <c r="C89" s="55">
        <v>46095</v>
      </c>
      <c r="D89" s="422">
        <v>129210</v>
      </c>
      <c r="E89" s="423">
        <f>SUMPRODUCT(PRODUCE!$B100:$DY100,PRODUCE!$EB$7:$IY$7)</f>
        <v>38722.199999999997</v>
      </c>
      <c r="F89" s="422">
        <v>38724.400000000001</v>
      </c>
      <c r="G89" s="423">
        <f t="shared" si="514"/>
        <v>-2.2000000000043656</v>
      </c>
      <c r="H89" s="423">
        <f t="shared" si="512"/>
        <v>199449.8</v>
      </c>
      <c r="I89" s="289" t="s">
        <v>224</v>
      </c>
      <c r="L89" s="55">
        <f t="shared" si="513"/>
        <v>46095</v>
      </c>
      <c r="M89" s="422"/>
      <c r="N89" s="438">
        <f>SUMPRODUCT(PRODUCE!$B100:$DY100,PRODUCE!$EB$8:$IY$8)</f>
        <v>15639.000000000002</v>
      </c>
      <c r="O89" s="422">
        <v>15643.6</v>
      </c>
      <c r="P89" s="438">
        <f t="shared" si="515"/>
        <v>-4.5999999999985448</v>
      </c>
      <c r="Q89" s="438">
        <f t="shared" si="516"/>
        <v>84182.000000000044</v>
      </c>
      <c r="R89" s="56"/>
      <c r="U89" s="55">
        <f t="shared" si="517"/>
        <v>46095</v>
      </c>
      <c r="V89" s="422"/>
      <c r="W89" s="440">
        <f>SUMPRODUCT(PRODUCE!$B100:$DY100,PRODUCE!$EB$9:$IY$9)</f>
        <v>5476</v>
      </c>
      <c r="X89" s="422">
        <v>5475.5</v>
      </c>
      <c r="Y89" s="440">
        <f t="shared" si="518"/>
        <v>0.5</v>
      </c>
      <c r="Z89" s="440">
        <f t="shared" si="519"/>
        <v>39667.699999999968</v>
      </c>
      <c r="AA89" s="56"/>
      <c r="AD89" s="55">
        <f t="shared" si="520"/>
        <v>46095</v>
      </c>
      <c r="AE89" s="422"/>
      <c r="AF89" s="442">
        <f>SUMPRODUCT(PRODUCE!$B100:$DY100,PRODUCE!$EB$10:$IY$10)</f>
        <v>800</v>
      </c>
      <c r="AG89" s="422">
        <v>801.6</v>
      </c>
      <c r="AH89" s="442">
        <f t="shared" si="521"/>
        <v>-1.6000000000000227</v>
      </c>
      <c r="AI89" s="442">
        <f t="shared" si="522"/>
        <v>23265.000000000018</v>
      </c>
      <c r="AJ89" s="56"/>
      <c r="AM89" s="55">
        <f t="shared" si="523"/>
        <v>46095</v>
      </c>
      <c r="AN89" s="422"/>
      <c r="AO89" s="444">
        <f>SUMPRODUCT(PRODUCE!$B100:$DY100,PRODUCE!$EB$11:$IY$11)</f>
        <v>0</v>
      </c>
      <c r="AP89" s="422"/>
      <c r="AQ89" s="444">
        <f t="shared" si="524"/>
        <v>0</v>
      </c>
      <c r="AR89" s="444">
        <f t="shared" si="525"/>
        <v>0</v>
      </c>
      <c r="AS89" s="56"/>
      <c r="AV89" s="55">
        <f t="shared" si="526"/>
        <v>46095</v>
      </c>
      <c r="AW89" s="422"/>
      <c r="AX89" s="446">
        <f>SUMPRODUCT(PRODUCE!$B100:$DY100,PRODUCE!$EB$12:$IY$12)</f>
        <v>1100</v>
      </c>
      <c r="AY89" s="422">
        <v>1098.9000000000001</v>
      </c>
      <c r="AZ89" s="446">
        <f t="shared" si="527"/>
        <v>1.0999999999999091</v>
      </c>
      <c r="BA89" s="446">
        <f t="shared" si="528"/>
        <v>25261.399999999987</v>
      </c>
      <c r="BB89" s="56"/>
      <c r="BE89" s="55">
        <f t="shared" si="529"/>
        <v>46095</v>
      </c>
      <c r="BF89" s="422">
        <v>28320</v>
      </c>
      <c r="BG89" s="448">
        <f>SUMPRODUCT(PRODUCE!$B100:$DY100,PRODUCE!$EB$13:$IY$13)</f>
        <v>2582</v>
      </c>
      <c r="BH89" s="422">
        <v>2585.6999999999998</v>
      </c>
      <c r="BI89" s="448">
        <f t="shared" si="530"/>
        <v>-3.6999999999998181</v>
      </c>
      <c r="BJ89" s="448">
        <f t="shared" si="531"/>
        <v>26565.400000000005</v>
      </c>
      <c r="BK89" s="56"/>
      <c r="BN89" s="55">
        <f t="shared" si="532"/>
        <v>46095</v>
      </c>
      <c r="BO89" s="422">
        <v>1244.9000000000001</v>
      </c>
      <c r="BP89" s="450">
        <f>SUMPRODUCT(PRODUCE!$B100:$DY100,PRODUCE!$EB$14:$IY$14)</f>
        <v>1245</v>
      </c>
      <c r="BQ89" s="422">
        <v>1244.9000000000001</v>
      </c>
      <c r="BR89" s="450">
        <f t="shared" si="533"/>
        <v>9.9999999999909051E-2</v>
      </c>
      <c r="BS89" s="450">
        <f t="shared" si="534"/>
        <v>0</v>
      </c>
      <c r="BT89" s="56"/>
      <c r="BW89" s="55">
        <f t="shared" si="535"/>
        <v>46095</v>
      </c>
      <c r="BX89" s="56"/>
      <c r="BY89" s="65">
        <f>SUMPRODUCT(PRODUCE!$B100:$DY100,PRODUCE!$EB$15:$IY$15)</f>
        <v>363.00000000000006</v>
      </c>
      <c r="BZ89" s="56">
        <v>1766</v>
      </c>
      <c r="CA89" s="65">
        <f t="shared" si="536"/>
        <v>-1403</v>
      </c>
      <c r="CB89" s="65">
        <f t="shared" si="537"/>
        <v>3063.8</v>
      </c>
      <c r="CC89" s="56"/>
      <c r="CF89" s="55">
        <f t="shared" si="538"/>
        <v>46095</v>
      </c>
      <c r="CG89" s="56">
        <v>3602</v>
      </c>
      <c r="CH89" s="66">
        <f>SUMPRODUCT(PRODUCE!$B100:$DY100,PRODUCE!$EB$16:$IY$16)</f>
        <v>578</v>
      </c>
      <c r="CI89" s="56">
        <v>3602</v>
      </c>
      <c r="CJ89" s="66">
        <f t="shared" si="539"/>
        <v>-3024</v>
      </c>
      <c r="CK89" s="66">
        <f t="shared" si="540"/>
        <v>0</v>
      </c>
      <c r="CL89" s="56"/>
      <c r="CO89" s="55">
        <f t="shared" si="541"/>
        <v>46095</v>
      </c>
      <c r="CP89" s="422"/>
      <c r="CQ89" s="470">
        <f>SUMPRODUCT(PRODUCE!$B100:$DY100,PRODUCE!$EB$17:$IY$17)</f>
        <v>0</v>
      </c>
      <c r="CR89" s="422"/>
      <c r="CS89" s="470">
        <f t="shared" si="542"/>
        <v>0</v>
      </c>
      <c r="CT89" s="470">
        <f t="shared" si="543"/>
        <v>0</v>
      </c>
      <c r="CU89" s="56"/>
      <c r="CX89" s="55">
        <f t="shared" si="544"/>
        <v>46095</v>
      </c>
      <c r="CY89" s="56"/>
      <c r="CZ89" s="133">
        <f>SUMPRODUCT(PRODUCE!$B100:$DY100,PRODUCE!$EB$18:$IY$18)</f>
        <v>2974</v>
      </c>
      <c r="DA89" s="56">
        <v>2974.8</v>
      </c>
      <c r="DB89" s="133">
        <f t="shared" si="545"/>
        <v>-0.8000000000001819</v>
      </c>
      <c r="DC89" s="133">
        <f t="shared" si="546"/>
        <v>28250.399999999998</v>
      </c>
      <c r="DD89" s="56"/>
      <c r="DG89" s="55">
        <f t="shared" si="547"/>
        <v>46095</v>
      </c>
      <c r="DH89" s="56"/>
      <c r="DI89" s="147">
        <f>SUMPRODUCT(PRODUCE!$B100:$DY100,PRODUCE!$EB$19:$IY$19)</f>
        <v>1354</v>
      </c>
      <c r="DJ89" s="56">
        <v>1354.4</v>
      </c>
      <c r="DK89" s="147">
        <f t="shared" si="548"/>
        <v>-0.40000000000009095</v>
      </c>
      <c r="DL89" s="147">
        <f t="shared" si="549"/>
        <v>10685.399999999996</v>
      </c>
      <c r="DM89" s="56"/>
      <c r="DP89" s="55">
        <f t="shared" si="550"/>
        <v>46095</v>
      </c>
      <c r="DQ89" s="56"/>
      <c r="DR89" s="57">
        <f>SUMPRODUCT(PRODUCE!$B100:$DY100,PRODUCE!$EB$20:$IY$20)</f>
        <v>0</v>
      </c>
      <c r="DS89" s="56"/>
      <c r="DT89" s="57">
        <f t="shared" si="551"/>
        <v>0</v>
      </c>
      <c r="DU89" s="57">
        <f t="shared" si="552"/>
        <v>7150</v>
      </c>
      <c r="DV89" s="56"/>
      <c r="DY89" s="55">
        <f t="shared" si="553"/>
        <v>46095</v>
      </c>
      <c r="DZ89" s="56"/>
      <c r="EA89" s="157">
        <f>SUMPRODUCT(PRODUCE!$B100:$DY100,PRODUCE!$EB$21:$IY$21)</f>
        <v>1100</v>
      </c>
      <c r="EB89" s="56">
        <v>1150</v>
      </c>
      <c r="EC89" s="157">
        <f t="shared" si="554"/>
        <v>-50</v>
      </c>
      <c r="ED89" s="157">
        <f t="shared" si="555"/>
        <v>4047.3</v>
      </c>
      <c r="EE89" s="56"/>
      <c r="EH89" s="55">
        <f t="shared" si="556"/>
        <v>46095</v>
      </c>
      <c r="EI89" s="56"/>
      <c r="EJ89" s="162">
        <f>SUMPRODUCT(PRODUCE!$B100:$DY100,PRODUCE!$EB$22:$IY$22)</f>
        <v>0</v>
      </c>
      <c r="EK89" s="56"/>
      <c r="EL89" s="162">
        <f t="shared" si="557"/>
        <v>0</v>
      </c>
      <c r="EM89" s="162">
        <f t="shared" si="558"/>
        <v>0</v>
      </c>
      <c r="EN89" s="56"/>
      <c r="EQ89" s="55">
        <f t="shared" si="559"/>
        <v>46095</v>
      </c>
      <c r="ER89" s="56"/>
      <c r="ES89" s="135">
        <f>SUMPRODUCT(PRODUCE!$B100:$DY100,PRODUCE!$EB$23:$IY$23)</f>
        <v>0</v>
      </c>
      <c r="ET89" s="56"/>
      <c r="EU89" s="135">
        <f t="shared" si="560"/>
        <v>0</v>
      </c>
      <c r="EV89" s="135">
        <f t="shared" si="561"/>
        <v>0</v>
      </c>
      <c r="EW89" s="56"/>
      <c r="EZ89" s="55">
        <f t="shared" si="562"/>
        <v>46095</v>
      </c>
      <c r="FA89" s="56"/>
      <c r="FB89" s="175">
        <f>SUMPRODUCT(PRODUCE!$B100:$DY100,PRODUCE!$EB$24:$IY$24)</f>
        <v>0</v>
      </c>
      <c r="FC89" s="56"/>
      <c r="FD89" s="175">
        <f t="shared" si="563"/>
        <v>0</v>
      </c>
      <c r="FE89" s="175">
        <f t="shared" si="564"/>
        <v>0</v>
      </c>
      <c r="FF89" s="56"/>
      <c r="FI89" s="55">
        <f t="shared" si="565"/>
        <v>46095</v>
      </c>
      <c r="FJ89" s="56"/>
      <c r="FK89" s="183">
        <f>SUMPRODUCT(PRODUCE!$B100:$DY100,PRODUCE!$EB$25:$IY$25)</f>
        <v>0</v>
      </c>
      <c r="FL89" s="56"/>
      <c r="FM89" s="183">
        <f t="shared" si="566"/>
        <v>0</v>
      </c>
      <c r="FN89" s="183">
        <f t="shared" si="567"/>
        <v>0</v>
      </c>
      <c r="FO89" s="56"/>
      <c r="FR89" s="55">
        <f t="shared" si="568"/>
        <v>46095</v>
      </c>
      <c r="FS89" s="422"/>
      <c r="FT89" s="452">
        <f>SUMPRODUCT(PRODUCE!$B100:$DY100,PRODUCE!$EB$26:$IY$26)</f>
        <v>0</v>
      </c>
      <c r="FU89" s="422">
        <f>40*20</f>
        <v>800</v>
      </c>
      <c r="FV89" s="452">
        <f t="shared" si="569"/>
        <v>-800</v>
      </c>
      <c r="FW89" s="452">
        <f t="shared" si="570"/>
        <v>3220</v>
      </c>
      <c r="FX89" s="56"/>
      <c r="GA89" s="55">
        <f t="shared" si="571"/>
        <v>46095</v>
      </c>
      <c r="GB89" s="422"/>
      <c r="GC89" s="454">
        <f>SUMPRODUCT(PRODUCE!$B100:$DY100,PRODUCE!$EB$27:$IY$27)</f>
        <v>0</v>
      </c>
      <c r="GD89" s="422">
        <f>188*20</f>
        <v>3760</v>
      </c>
      <c r="GE89" s="454">
        <f t="shared" si="572"/>
        <v>-3760</v>
      </c>
      <c r="GF89" s="454">
        <f t="shared" si="573"/>
        <v>1800</v>
      </c>
      <c r="GG89" s="56"/>
      <c r="GI89" s="23"/>
      <c r="GJ89" s="55">
        <f t="shared" si="574"/>
        <v>46095</v>
      </c>
      <c r="GK89" s="422"/>
      <c r="GL89" s="456">
        <f>SUMPRODUCT(PRODUCE!$B100:$DY100,PRODUCE!$EB$28:$IY$28)</f>
        <v>0</v>
      </c>
      <c r="GM89" s="422"/>
      <c r="GN89" s="456">
        <f t="shared" si="575"/>
        <v>0</v>
      </c>
      <c r="GO89" s="456">
        <f t="shared" si="576"/>
        <v>5240</v>
      </c>
      <c r="GP89" s="56"/>
      <c r="GS89" s="55">
        <f t="shared" si="577"/>
        <v>46095</v>
      </c>
      <c r="GT89" s="56"/>
      <c r="GU89" s="195">
        <f>SUMPRODUCT(PRODUCE!$B100:$DY100,PRODUCE!$EB$29:$IY$29)</f>
        <v>0</v>
      </c>
      <c r="GV89" s="56"/>
      <c r="GW89" s="195">
        <f t="shared" si="578"/>
        <v>0</v>
      </c>
      <c r="GX89" s="195">
        <f t="shared" si="579"/>
        <v>0</v>
      </c>
      <c r="GY89" s="56"/>
      <c r="HB89" s="55">
        <f t="shared" si="580"/>
        <v>46095</v>
      </c>
      <c r="HC89" s="56"/>
      <c r="HD89" s="191">
        <f>SUMPRODUCT(PRODUCE!$B100:$DY100,PRODUCE!$EB$30:$IY$30)</f>
        <v>0</v>
      </c>
      <c r="HE89" s="56"/>
      <c r="HF89" s="191">
        <f t="shared" si="581"/>
        <v>0</v>
      </c>
      <c r="HG89" s="191">
        <f t="shared" si="582"/>
        <v>0</v>
      </c>
      <c r="HH89" s="56"/>
      <c r="HK89" s="55">
        <f t="shared" si="583"/>
        <v>46095</v>
      </c>
      <c r="HL89" s="56"/>
      <c r="HM89" s="63">
        <f>SUMPRODUCT(PRODUCE!$B100:$DY100,PRODUCE!$EB$31:$IY$31)</f>
        <v>0</v>
      </c>
      <c r="HN89" s="56"/>
      <c r="HO89" s="63">
        <f t="shared" si="584"/>
        <v>0</v>
      </c>
      <c r="HP89" s="63">
        <f t="shared" si="585"/>
        <v>0</v>
      </c>
      <c r="HQ89" s="56"/>
      <c r="HU89" s="55">
        <f t="shared" si="586"/>
        <v>46095</v>
      </c>
      <c r="HV89" s="56"/>
      <c r="HW89" s="242">
        <f>SUMPRODUCT(PRODUCE!$B100:$DY100,PRODUCE!$EB$32:$IY$32)</f>
        <v>0</v>
      </c>
      <c r="HX89" s="56"/>
      <c r="HY89" s="242">
        <f t="shared" si="587"/>
        <v>0</v>
      </c>
      <c r="HZ89" s="242">
        <f t="shared" si="588"/>
        <v>5120</v>
      </c>
      <c r="IA89" s="56"/>
      <c r="ID89" s="55">
        <f t="shared" si="589"/>
        <v>46095</v>
      </c>
      <c r="IE89" s="56"/>
      <c r="IF89" s="242">
        <f>SUMPRODUCT(PRODUCE!$B100:$DY100,PRODUCE!$EB$33:$IY$33)</f>
        <v>0</v>
      </c>
      <c r="IG89" s="56"/>
      <c r="IH89" s="242">
        <f t="shared" si="590"/>
        <v>0</v>
      </c>
      <c r="II89" s="242">
        <f t="shared" si="591"/>
        <v>6540</v>
      </c>
      <c r="IJ89" s="56"/>
      <c r="IM89" s="55">
        <f t="shared" si="592"/>
        <v>46095</v>
      </c>
      <c r="IN89" s="56"/>
      <c r="IO89" s="242">
        <f>SUMPRODUCT(PRODUCE!$B100:$DY100,PRODUCE!$EB$34:$IY$34)</f>
        <v>0</v>
      </c>
      <c r="IP89" s="56"/>
      <c r="IQ89" s="242">
        <f t="shared" si="593"/>
        <v>0</v>
      </c>
      <c r="IR89" s="242">
        <f t="shared" si="594"/>
        <v>11540</v>
      </c>
      <c r="IS89" s="56"/>
      <c r="IV89" s="55">
        <f t="shared" si="595"/>
        <v>46095</v>
      </c>
      <c r="IW89" s="56"/>
      <c r="IX89" s="242">
        <f>SUMPRODUCT(PRODUCE!$B100:$DY100,PRODUCE!$EB$35:$IY$35)</f>
        <v>0</v>
      </c>
      <c r="IY89" s="56"/>
      <c r="IZ89" s="242">
        <f t="shared" si="596"/>
        <v>0</v>
      </c>
      <c r="JA89" s="242">
        <f t="shared" si="597"/>
        <v>15120</v>
      </c>
      <c r="JB89" s="56"/>
      <c r="JE89" s="55">
        <f t="shared" si="598"/>
        <v>46095</v>
      </c>
      <c r="JF89" s="56"/>
      <c r="JG89" s="242">
        <f>SUMPRODUCT(PRODUCE!$B100:$DY100,PRODUCE!$EB$36:$IY$36)</f>
        <v>0</v>
      </c>
      <c r="JH89" s="56"/>
      <c r="JI89" s="242">
        <f t="shared" si="599"/>
        <v>0</v>
      </c>
      <c r="JJ89" s="242">
        <f t="shared" si="600"/>
        <v>5040</v>
      </c>
      <c r="JK89" s="56"/>
      <c r="JN89" s="55">
        <f t="shared" si="601"/>
        <v>46095</v>
      </c>
      <c r="JO89" s="56"/>
      <c r="JP89" s="242">
        <f>SUMPRODUCT(PRODUCE!$B100:$DY100,PRODUCE!$EB$37:$IY$37)</f>
        <v>0</v>
      </c>
      <c r="JQ89" s="56"/>
      <c r="JR89" s="242">
        <f t="shared" si="602"/>
        <v>0</v>
      </c>
      <c r="JS89" s="242">
        <f t="shared" si="603"/>
        <v>9100</v>
      </c>
      <c r="JT89" s="56"/>
      <c r="JW89" s="55">
        <f t="shared" si="604"/>
        <v>46095</v>
      </c>
      <c r="JX89" s="56">
        <f>150*20</f>
        <v>3000</v>
      </c>
      <c r="JY89" s="242">
        <f>SUMPRODUCT(PRODUCE!$B100:$DY100,PRODUCE!$EB$38:$IY$38)</f>
        <v>880</v>
      </c>
      <c r="JZ89" s="56">
        <f>78*20</f>
        <v>1560</v>
      </c>
      <c r="KA89" s="242">
        <f t="shared" si="605"/>
        <v>-680</v>
      </c>
      <c r="KB89" s="242">
        <f t="shared" si="606"/>
        <v>6180</v>
      </c>
      <c r="KC89" s="56"/>
      <c r="KF89" s="55">
        <f t="shared" si="607"/>
        <v>46095</v>
      </c>
      <c r="KG89" s="56">
        <f>300*19.5</f>
        <v>5850</v>
      </c>
      <c r="KH89" s="242">
        <f>SUMPRODUCT(PRODUCE!$B100:$DY100,PRODUCE!$EB$39:$IY$39)</f>
        <v>0</v>
      </c>
      <c r="KI89" s="56">
        <f>100*19.5</f>
        <v>1950</v>
      </c>
      <c r="KJ89" s="242">
        <f t="shared" si="608"/>
        <v>-1950</v>
      </c>
      <c r="KK89" s="242">
        <f t="shared" si="609"/>
        <v>9184.5</v>
      </c>
      <c r="KL89" s="56"/>
      <c r="KO89" s="55">
        <f t="shared" si="610"/>
        <v>46095</v>
      </c>
      <c r="KP89" s="56">
        <f>400*18.9</f>
        <v>7559.9999999999991</v>
      </c>
      <c r="KQ89" s="242">
        <f>SUMPRODUCT(PRODUCE!$B100:$DY100,PRODUCE!$EB$40:$IY$40)</f>
        <v>567</v>
      </c>
      <c r="KR89" s="56">
        <f>120*18.9</f>
        <v>2268</v>
      </c>
      <c r="KS89" s="242">
        <f t="shared" si="611"/>
        <v>-1701</v>
      </c>
      <c r="KT89" s="242">
        <f t="shared" si="612"/>
        <v>6993</v>
      </c>
      <c r="KU89" s="56"/>
      <c r="KW89" s="23"/>
      <c r="KX89" s="55">
        <f t="shared" si="613"/>
        <v>46095</v>
      </c>
      <c r="KY89" s="56"/>
      <c r="KZ89" s="242">
        <f>SUMPRODUCT(PRODUCE!$B100:$DY100,PRODUCE!$EB$41:$IY$41)</f>
        <v>0</v>
      </c>
      <c r="LA89" s="56"/>
      <c r="LB89" s="242">
        <f t="shared" si="614"/>
        <v>0</v>
      </c>
      <c r="LC89" s="242">
        <f t="shared" si="615"/>
        <v>0</v>
      </c>
      <c r="LD89" s="56"/>
      <c r="LG89" s="55">
        <f t="shared" si="616"/>
        <v>46095</v>
      </c>
      <c r="LH89" s="56"/>
      <c r="LI89" s="242">
        <f>SUMPRODUCT(PRODUCE!$B100:$DY100,PRODUCE!$EB$42:$IY$42)</f>
        <v>0</v>
      </c>
      <c r="LJ89" s="56"/>
      <c r="LK89" s="242">
        <f t="shared" si="617"/>
        <v>0</v>
      </c>
      <c r="LL89" s="242">
        <f t="shared" si="618"/>
        <v>0</v>
      </c>
      <c r="LM89" s="56"/>
      <c r="LP89" s="55">
        <f t="shared" si="619"/>
        <v>46095</v>
      </c>
      <c r="LQ89" s="56"/>
      <c r="LR89" s="242">
        <f>SUMPRODUCT(PRODUCE!$B104:$DY104,PRODUCE!$EB$43:$IY$43)</f>
        <v>0</v>
      </c>
      <c r="LS89" s="56"/>
      <c r="LT89" s="242">
        <f t="shared" si="620"/>
        <v>0</v>
      </c>
      <c r="LU89" s="242">
        <f t="shared" si="621"/>
        <v>0</v>
      </c>
      <c r="LV89" s="56"/>
      <c r="LY89" s="55">
        <f t="shared" si="622"/>
        <v>46095</v>
      </c>
      <c r="LZ89" s="56"/>
      <c r="MA89" s="242">
        <f>SUMPRODUCT(PRODUCE!$B100:$DY100,PRODUCE!$EB$44:$IY$44)</f>
        <v>0</v>
      </c>
      <c r="MB89" s="56"/>
      <c r="MC89" s="242">
        <f t="shared" si="623"/>
        <v>0</v>
      </c>
      <c r="MD89" s="242">
        <f t="shared" si="624"/>
        <v>0</v>
      </c>
      <c r="ME89" s="56"/>
      <c r="MH89" s="55">
        <f t="shared" si="625"/>
        <v>46095</v>
      </c>
      <c r="MI89" s="56"/>
      <c r="MJ89" s="242">
        <f>SUMPRODUCT(PRODUCE!$B100:$DY100,PRODUCE!$EB$45:$IY$45)</f>
        <v>0</v>
      </c>
      <c r="MK89" s="56"/>
      <c r="ML89" s="242">
        <f t="shared" si="626"/>
        <v>0</v>
      </c>
      <c r="MM89" s="242">
        <f t="shared" si="627"/>
        <v>0</v>
      </c>
      <c r="MN89" s="56"/>
      <c r="MQ89" s="55">
        <f t="shared" si="628"/>
        <v>46095</v>
      </c>
      <c r="MR89" s="56"/>
      <c r="MS89" s="242">
        <f>SUMPRODUCT(PRODUCE!$B100:$DY100,PRODUCE!$EB$46:$IY$46)</f>
        <v>148</v>
      </c>
      <c r="MT89" s="56">
        <v>710</v>
      </c>
      <c r="MU89" s="242">
        <f t="shared" si="629"/>
        <v>-562</v>
      </c>
      <c r="MV89" s="242">
        <f t="shared" si="630"/>
        <v>4740</v>
      </c>
      <c r="MW89" s="56"/>
      <c r="MZ89" s="55">
        <f t="shared" si="631"/>
        <v>46095</v>
      </c>
      <c r="NA89" s="56">
        <v>804</v>
      </c>
      <c r="NB89" s="242">
        <f>SUMPRODUCT(PRODUCE!$B100:$DY100,PRODUCE!$EB$47:$IY$47)</f>
        <v>222</v>
      </c>
      <c r="NC89" s="56">
        <v>804</v>
      </c>
      <c r="ND89" s="242">
        <f t="shared" si="632"/>
        <v>-582</v>
      </c>
      <c r="NE89" s="242">
        <f t="shared" si="633"/>
        <v>0</v>
      </c>
      <c r="NF89" s="56"/>
      <c r="NI89" s="55">
        <f t="shared" si="634"/>
        <v>46095</v>
      </c>
      <c r="NJ89" s="56"/>
      <c r="NK89" s="242">
        <f>SUMPRODUCT(PRODUCE!$B100:$DY100,PRODUCE!$EB$48:$IY$48)</f>
        <v>0</v>
      </c>
      <c r="NL89" s="56"/>
      <c r="NM89" s="242">
        <f t="shared" si="635"/>
        <v>0</v>
      </c>
      <c r="NN89" s="242">
        <f t="shared" si="636"/>
        <v>465</v>
      </c>
      <c r="NO89" s="56"/>
      <c r="NR89" s="55">
        <f t="shared" si="637"/>
        <v>46095</v>
      </c>
      <c r="NS89" s="56"/>
      <c r="NT89" s="242">
        <f>SUMPRODUCT(PRODUCE!$B100:$DY100,PRODUCE!$EB$49:$IY$49)</f>
        <v>44.8</v>
      </c>
      <c r="NU89" s="56">
        <v>243.6</v>
      </c>
      <c r="NV89" s="242">
        <f t="shared" si="638"/>
        <v>-198.8</v>
      </c>
      <c r="NW89" s="242">
        <f t="shared" si="639"/>
        <v>1335.3000000000002</v>
      </c>
      <c r="NX89" s="56"/>
      <c r="OA89" s="55">
        <f t="shared" si="640"/>
        <v>46095</v>
      </c>
      <c r="OB89" s="56"/>
      <c r="OC89" s="242">
        <f>SUMPRODUCT(PRODUCE!$B100:$DY100,PRODUCE!$EB$50:$IY$50)</f>
        <v>0</v>
      </c>
      <c r="OD89" s="56"/>
      <c r="OE89" s="242">
        <f t="shared" si="641"/>
        <v>0</v>
      </c>
      <c r="OF89" s="242">
        <f t="shared" si="642"/>
        <v>1680.5</v>
      </c>
      <c r="OG89" s="56"/>
      <c r="OJ89" s="55">
        <f t="shared" si="643"/>
        <v>46095</v>
      </c>
      <c r="OK89" s="56">
        <v>746.5</v>
      </c>
      <c r="OL89" s="242">
        <f>SUMPRODUCT(PRODUCE!$B100:$DY100,PRODUCE!$EB$51:$IY$51)</f>
        <v>205</v>
      </c>
      <c r="OM89" s="56">
        <v>746.5</v>
      </c>
      <c r="ON89" s="242">
        <f t="shared" si="644"/>
        <v>-541.5</v>
      </c>
      <c r="OO89" s="242">
        <f t="shared" si="645"/>
        <v>0</v>
      </c>
      <c r="OP89" s="56"/>
      <c r="OS89" s="55">
        <f t="shared" si="646"/>
        <v>46095</v>
      </c>
      <c r="OT89" s="56"/>
      <c r="OU89" s="242">
        <f>SUMPRODUCT(PRODUCE!$B100:$DY100,PRODUCE!$EB$52:$IY$52)</f>
        <v>0</v>
      </c>
      <c r="OV89" s="56"/>
      <c r="OW89" s="242">
        <f t="shared" si="647"/>
        <v>0</v>
      </c>
      <c r="OX89" s="242">
        <f t="shared" si="648"/>
        <v>1000</v>
      </c>
      <c r="OY89" s="56"/>
      <c r="PB89" s="55">
        <f t="shared" si="649"/>
        <v>46095</v>
      </c>
      <c r="PC89" s="56"/>
      <c r="PD89" s="242">
        <f>SUMPRODUCT(PRODUCE!$B100:$DY100,PRODUCE!$EB$53:$IY$53)</f>
        <v>0</v>
      </c>
      <c r="PE89" s="56"/>
      <c r="PF89" s="242">
        <f t="shared" si="650"/>
        <v>0</v>
      </c>
      <c r="PG89" s="242">
        <f t="shared" si="651"/>
        <v>0</v>
      </c>
      <c r="PH89" s="56"/>
      <c r="PK89" s="55">
        <f t="shared" si="652"/>
        <v>46095</v>
      </c>
      <c r="PL89" s="56"/>
      <c r="PM89" s="242">
        <f>SUMPRODUCT(PRODUCE!$B100:$DY100,PRODUCE!$EB$54:$IY$54)</f>
        <v>0</v>
      </c>
      <c r="PN89" s="56"/>
      <c r="PO89" s="242">
        <f t="shared" si="653"/>
        <v>0</v>
      </c>
      <c r="PP89" s="242">
        <f t="shared" si="654"/>
        <v>100</v>
      </c>
      <c r="PQ89" s="56"/>
      <c r="PT89" s="55">
        <f t="shared" si="655"/>
        <v>46095</v>
      </c>
      <c r="PU89" s="56"/>
      <c r="PV89" s="242">
        <f>SUMPRODUCT(PRODUCE!$B100:$DY100,PRODUCE!$EB$55:$IY$55)</f>
        <v>0</v>
      </c>
      <c r="PW89" s="56"/>
      <c r="PX89" s="242">
        <f t="shared" si="656"/>
        <v>0</v>
      </c>
      <c r="PY89" s="242">
        <f t="shared" si="657"/>
        <v>13.960000000000036</v>
      </c>
      <c r="PZ89" s="56"/>
      <c r="QC89" s="55">
        <f t="shared" si="658"/>
        <v>46095</v>
      </c>
      <c r="QD89" s="56"/>
      <c r="QE89" s="242">
        <f>SUMPRODUCT(PRODUCE!$B100:$DY100,PRODUCE!$EB$56:$IY$56)</f>
        <v>0</v>
      </c>
      <c r="QF89" s="56"/>
      <c r="QG89" s="242">
        <f t="shared" si="659"/>
        <v>0</v>
      </c>
      <c r="QH89" s="242">
        <f t="shared" si="660"/>
        <v>1212</v>
      </c>
      <c r="QI89" s="56"/>
      <c r="QL89" s="55">
        <f t="shared" si="661"/>
        <v>46095</v>
      </c>
      <c r="QM89" s="56"/>
      <c r="QN89" s="242">
        <f>SUMPRODUCT(PRODUCE!$B100:$DY100,PRODUCE!$EB$57:$IY$57)</f>
        <v>0</v>
      </c>
      <c r="QO89" s="56"/>
      <c r="QP89" s="242">
        <f t="shared" si="662"/>
        <v>0</v>
      </c>
      <c r="QQ89" s="242">
        <f t="shared" si="663"/>
        <v>0</v>
      </c>
      <c r="QR89" s="56"/>
      <c r="QU89" s="55">
        <f t="shared" si="664"/>
        <v>46095</v>
      </c>
      <c r="QV89" s="56"/>
      <c r="QW89" s="242">
        <f>SUMPRODUCT(PRODUCE!$B100:$DY100,PRODUCE!$EB$57:$IY$57)</f>
        <v>0</v>
      </c>
      <c r="QX89" s="56"/>
      <c r="QY89" s="242">
        <f t="shared" si="665"/>
        <v>0</v>
      </c>
      <c r="QZ89" s="242">
        <f t="shared" si="666"/>
        <v>207.6</v>
      </c>
      <c r="RA89" s="56"/>
      <c r="RD89" s="55">
        <f t="shared" si="667"/>
        <v>46095</v>
      </c>
      <c r="RE89" s="56"/>
      <c r="RF89" s="242">
        <f>SUMPRODUCT(PRODUCE!$B100:$DY100,PRODUCE!$EB$58:$IY$58)</f>
        <v>0</v>
      </c>
      <c r="RG89" s="56"/>
      <c r="RH89" s="242">
        <f t="shared" si="668"/>
        <v>0</v>
      </c>
      <c r="RI89" s="242">
        <f t="shared" si="669"/>
        <v>197.04000000000002</v>
      </c>
      <c r="RJ89" s="56"/>
      <c r="RM89" s="55">
        <f t="shared" si="670"/>
        <v>46095</v>
      </c>
      <c r="RN89" s="56"/>
      <c r="RO89" s="242">
        <f>SUMPRODUCT(PRODUCE!$B100:$DY100,PRODUCE!$EB$57:$IY$57)</f>
        <v>0</v>
      </c>
      <c r="RP89" s="56"/>
      <c r="RQ89" s="242">
        <f t="shared" si="671"/>
        <v>0</v>
      </c>
      <c r="RR89" s="242">
        <f t="shared" si="672"/>
        <v>46.8</v>
      </c>
      <c r="RS89" s="56"/>
      <c r="RV89" s="55">
        <f t="shared" si="673"/>
        <v>46095</v>
      </c>
      <c r="RW89" s="56"/>
      <c r="RX89" s="242">
        <f>SUMPRODUCT(PRODUCE!$B100:$DY100,PRODUCE!$EB$57:$IY$57)</f>
        <v>0</v>
      </c>
      <c r="RY89" s="56"/>
      <c r="RZ89" s="242">
        <f t="shared" si="674"/>
        <v>0</v>
      </c>
      <c r="SA89" s="242">
        <f t="shared" si="675"/>
        <v>0</v>
      </c>
      <c r="SB89" s="56"/>
      <c r="SE89" s="55">
        <f t="shared" si="676"/>
        <v>46095</v>
      </c>
      <c r="SF89" s="56"/>
      <c r="SG89" s="242">
        <f>SUMPRODUCT(PRODUCE!$B100:$DY100,PRODUCE!$EB$57:$IY$57)</f>
        <v>0</v>
      </c>
      <c r="SH89" s="56"/>
      <c r="SI89" s="242">
        <f t="shared" si="677"/>
        <v>0</v>
      </c>
      <c r="SJ89" s="242">
        <f t="shared" si="678"/>
        <v>0</v>
      </c>
      <c r="SK89" s="56"/>
      <c r="SN89" s="55">
        <f t="shared" si="679"/>
        <v>46095</v>
      </c>
      <c r="SO89" s="56"/>
      <c r="SP89" s="242">
        <f>SUMPRODUCT(PRODUCE!$B100:$DY100,PRODUCE!$EB$57:$IY$57)</f>
        <v>0</v>
      </c>
      <c r="SQ89" s="56"/>
      <c r="SR89" s="242">
        <f t="shared" si="680"/>
        <v>0</v>
      </c>
      <c r="SS89" s="242">
        <f t="shared" si="681"/>
        <v>0</v>
      </c>
      <c r="ST89" s="56"/>
      <c r="SW89" s="55">
        <f t="shared" si="682"/>
        <v>46095</v>
      </c>
      <c r="SX89" s="56"/>
      <c r="SY89" s="242">
        <f>SUMPRODUCT(PRODUCE!$B100:$DY100,PRODUCE!$EB$57:$IY$57)</f>
        <v>0</v>
      </c>
      <c r="SZ89" s="56"/>
      <c r="TA89" s="242">
        <f t="shared" si="683"/>
        <v>0</v>
      </c>
      <c r="TB89" s="242">
        <f t="shared" si="684"/>
        <v>0</v>
      </c>
      <c r="TC89" s="56"/>
      <c r="TF89" s="55">
        <f t="shared" si="685"/>
        <v>46095</v>
      </c>
      <c r="TG89" s="56"/>
      <c r="TH89" s="242">
        <f>SUMPRODUCT(PRODUCE!$B100:$DY100,PRODUCE!$EB$57:$IY$57)</f>
        <v>0</v>
      </c>
      <c r="TI89" s="56"/>
      <c r="TJ89" s="242">
        <f t="shared" si="686"/>
        <v>0</v>
      </c>
      <c r="TK89" s="242">
        <f t="shared" si="687"/>
        <v>0</v>
      </c>
      <c r="TL89" s="56"/>
      <c r="TO89" s="55">
        <f t="shared" si="688"/>
        <v>46095</v>
      </c>
      <c r="TP89" s="56"/>
      <c r="TQ89" s="242">
        <f>SUMPRODUCT(PRODUCE!$B100:$DY100,PRODUCE!$EB$57:$IY$57)</f>
        <v>0</v>
      </c>
      <c r="TR89" s="56"/>
      <c r="TS89" s="242">
        <f t="shared" si="689"/>
        <v>0</v>
      </c>
      <c r="TT89" s="242">
        <f t="shared" si="690"/>
        <v>0</v>
      </c>
      <c r="TU89" s="56"/>
      <c r="TX89" s="55">
        <f t="shared" si="691"/>
        <v>46095</v>
      </c>
      <c r="TY89" s="56"/>
      <c r="TZ89" s="242">
        <f>SUMPRODUCT(PRODUCE!$B100:$DY100,PRODUCE!$EB$57:$IY$57)</f>
        <v>0</v>
      </c>
      <c r="UA89" s="56"/>
      <c r="UB89" s="242">
        <f t="shared" si="692"/>
        <v>0</v>
      </c>
      <c r="UC89" s="242">
        <f t="shared" si="693"/>
        <v>0</v>
      </c>
      <c r="UD89" s="56"/>
      <c r="UG89" s="55">
        <f t="shared" si="694"/>
        <v>46095</v>
      </c>
      <c r="UH89" s="56"/>
      <c r="UI89" s="242">
        <f>SUMPRODUCT(PRODUCE!$B100:$DY100,PRODUCE!$EB$57:$IY$57)</f>
        <v>0</v>
      </c>
      <c r="UJ89" s="56"/>
      <c r="UK89" s="242">
        <f t="shared" si="695"/>
        <v>0</v>
      </c>
      <c r="UL89" s="242">
        <f t="shared" si="696"/>
        <v>0</v>
      </c>
      <c r="UM89" s="56"/>
      <c r="UP89" s="55">
        <f t="shared" si="697"/>
        <v>46095</v>
      </c>
      <c r="UQ89" s="56"/>
      <c r="UR89" s="242">
        <f>SUMPRODUCT(PRODUCE!$B100:$DY100,PRODUCE!$EB$57:$IY$57)</f>
        <v>0</v>
      </c>
      <c r="US89" s="56"/>
      <c r="UT89" s="242">
        <f t="shared" si="698"/>
        <v>0</v>
      </c>
      <c r="UU89" s="242">
        <f t="shared" si="699"/>
        <v>0</v>
      </c>
      <c r="UV89" s="56"/>
      <c r="UY89" s="55">
        <f t="shared" si="700"/>
        <v>46095</v>
      </c>
      <c r="UZ89" s="56"/>
      <c r="VA89" s="242">
        <f>SUMPRODUCT(PRODUCE!$B100:$DY100,PRODUCE!$EB$57:$IY$57)</f>
        <v>0</v>
      </c>
      <c r="VB89" s="56"/>
      <c r="VC89" s="242">
        <f t="shared" si="701"/>
        <v>0</v>
      </c>
      <c r="VD89" s="242">
        <f t="shared" si="702"/>
        <v>41.600000000000023</v>
      </c>
      <c r="VE89" s="56"/>
      <c r="VH89" s="55">
        <f t="shared" si="703"/>
        <v>46095</v>
      </c>
      <c r="VI89" s="56"/>
      <c r="VJ89" s="242">
        <f>SUMPRODUCT(PRODUCE!$B100:$DY100,PRODUCE!$EB$57:$IY$57)</f>
        <v>0</v>
      </c>
      <c r="VK89" s="56"/>
      <c r="VL89" s="242">
        <f t="shared" si="704"/>
        <v>0</v>
      </c>
      <c r="VM89" s="242">
        <f t="shared" si="705"/>
        <v>0</v>
      </c>
      <c r="VN89" s="56"/>
      <c r="VQ89" s="55">
        <f t="shared" si="706"/>
        <v>46095</v>
      </c>
      <c r="VR89" s="56"/>
      <c r="VS89" s="242">
        <f>SUMPRODUCT(PRODUCE!$B100:$DY100,PRODUCE!$EB$57:$IY$57)</f>
        <v>0</v>
      </c>
      <c r="VT89" s="56"/>
      <c r="VU89" s="242">
        <f t="shared" si="707"/>
        <v>0</v>
      </c>
      <c r="VV89" s="242">
        <f t="shared" si="708"/>
        <v>0</v>
      </c>
      <c r="VW89" s="56"/>
      <c r="VZ89" s="55">
        <f t="shared" si="709"/>
        <v>46095</v>
      </c>
      <c r="WA89" s="56"/>
      <c r="WB89" s="242">
        <f>SUMPRODUCT(PRODUCE!$B100:$DY100,PRODUCE!$EB$57:$IY$57)</f>
        <v>0</v>
      </c>
      <c r="WC89" s="56"/>
      <c r="WD89" s="242">
        <f t="shared" si="710"/>
        <v>0</v>
      </c>
      <c r="WE89" s="242">
        <f t="shared" si="711"/>
        <v>0</v>
      </c>
      <c r="WF89" s="56"/>
      <c r="WI89" s="55">
        <f t="shared" si="712"/>
        <v>46095</v>
      </c>
      <c r="WJ89" s="56"/>
      <c r="WK89" s="242">
        <f>SUMPRODUCT(PRODUCE!$B100:$DY100,PRODUCE!$EB$57:$IY$57)</f>
        <v>0</v>
      </c>
      <c r="WL89" s="56"/>
      <c r="WM89" s="242">
        <f t="shared" si="713"/>
        <v>0</v>
      </c>
      <c r="WN89" s="242">
        <f t="shared" si="714"/>
        <v>6022</v>
      </c>
      <c r="WO89" s="56"/>
      <c r="WR89" s="55">
        <f t="shared" si="715"/>
        <v>46095</v>
      </c>
      <c r="WS89" s="56"/>
      <c r="WT89" s="242">
        <f>SUMPRODUCT(PRODUCE!$B100:$DY100,PRODUCE!$EB$57:$IY$57)</f>
        <v>0</v>
      </c>
      <c r="WU89" s="56"/>
      <c r="WV89" s="242">
        <f t="shared" si="716"/>
        <v>0</v>
      </c>
      <c r="WW89" s="242">
        <f t="shared" si="717"/>
        <v>5568</v>
      </c>
      <c r="WX89" s="56"/>
      <c r="XA89" s="55">
        <f t="shared" si="718"/>
        <v>46095</v>
      </c>
      <c r="XB89" s="56"/>
      <c r="XC89" s="242">
        <f>SUMPRODUCT(PRODUCE!$B100:$DY100,PRODUCE!$EB$57:$IY$57)</f>
        <v>0</v>
      </c>
      <c r="XD89" s="56"/>
      <c r="XE89" s="242">
        <f t="shared" si="719"/>
        <v>0</v>
      </c>
      <c r="XF89" s="242">
        <f t="shared" si="720"/>
        <v>590</v>
      </c>
      <c r="XG89" s="56"/>
      <c r="XJ89" s="55">
        <f t="shared" si="721"/>
        <v>46095</v>
      </c>
      <c r="XK89" s="56"/>
      <c r="XL89" s="242">
        <f>SUMPRODUCT(PRODUCE!$B100:$DY100,PRODUCE!$EB$57:$IY$57)</f>
        <v>0</v>
      </c>
      <c r="XM89" s="56">
        <v>743</v>
      </c>
      <c r="XN89" s="242">
        <f t="shared" si="722"/>
        <v>-743</v>
      </c>
      <c r="XO89" s="242">
        <f t="shared" si="723"/>
        <v>696</v>
      </c>
      <c r="XP89" s="56"/>
      <c r="XS89" s="55">
        <f t="shared" si="724"/>
        <v>46095</v>
      </c>
      <c r="XT89" s="56"/>
      <c r="XU89" s="242">
        <f>SUMPRODUCT(PRODUCE!$B100:$DY100,PRODUCE!$EB$57:$IY$57)</f>
        <v>0</v>
      </c>
      <c r="XV89" s="56"/>
      <c r="XW89" s="242">
        <f t="shared" si="725"/>
        <v>0</v>
      </c>
      <c r="XX89" s="242">
        <f t="shared" si="726"/>
        <v>1901</v>
      </c>
      <c r="XY89" s="56"/>
      <c r="YB89" s="55">
        <f t="shared" si="727"/>
        <v>46095</v>
      </c>
      <c r="YC89" s="56"/>
      <c r="YD89" s="242">
        <f>SUMPRODUCT(PRODUCE!$B100:$DY100,PRODUCE!$EB$57:$IY$57)</f>
        <v>0</v>
      </c>
      <c r="YE89" s="56"/>
      <c r="YF89" s="242">
        <f t="shared" si="728"/>
        <v>0</v>
      </c>
      <c r="YG89" s="242">
        <f t="shared" si="729"/>
        <v>0</v>
      </c>
      <c r="YH89" s="56"/>
      <c r="YK89" s="55">
        <f t="shared" si="730"/>
        <v>46095</v>
      </c>
      <c r="YL89" s="56"/>
      <c r="YM89" s="242">
        <f>SUMPRODUCT(PRODUCE!$B100:$DY100,PRODUCE!$EB$57:$IY$57)</f>
        <v>0</v>
      </c>
      <c r="YN89" s="56"/>
      <c r="YO89" s="242">
        <f t="shared" si="731"/>
        <v>0</v>
      </c>
      <c r="YP89" s="242">
        <f t="shared" si="732"/>
        <v>0</v>
      </c>
      <c r="YQ89" s="56"/>
      <c r="YT89" s="55">
        <f t="shared" si="733"/>
        <v>46095</v>
      </c>
      <c r="YU89" s="56"/>
      <c r="YV89" s="242">
        <f>SUMPRODUCT(PRODUCE!$B100:$DY100,PRODUCE!$EB$57:$IY$57)</f>
        <v>0</v>
      </c>
      <c r="YW89" s="56"/>
      <c r="YX89" s="242">
        <f t="shared" si="734"/>
        <v>0</v>
      </c>
      <c r="YY89" s="242">
        <f t="shared" si="735"/>
        <v>0</v>
      </c>
      <c r="YZ89" s="56"/>
      <c r="ZC89" s="55">
        <f t="shared" si="736"/>
        <v>46095</v>
      </c>
      <c r="ZD89" s="56"/>
      <c r="ZE89" s="242">
        <f>SUMPRODUCT(PRODUCE!$B100:$DY100,PRODUCE!$EB$57:$IY$57)</f>
        <v>0</v>
      </c>
      <c r="ZF89" s="56"/>
      <c r="ZG89" s="242">
        <f t="shared" si="737"/>
        <v>0</v>
      </c>
      <c r="ZH89" s="242">
        <f t="shared" si="738"/>
        <v>0</v>
      </c>
      <c r="ZI89" s="56"/>
      <c r="ZL89" s="55">
        <f t="shared" si="739"/>
        <v>46095</v>
      </c>
      <c r="ZM89" s="56"/>
      <c r="ZN89" s="242">
        <f>SUMPRODUCT(PRODUCE!$B100:$DY100,PRODUCE!$EB$57:$IY$57)</f>
        <v>0</v>
      </c>
      <c r="ZO89" s="56"/>
      <c r="ZP89" s="242">
        <f t="shared" si="740"/>
        <v>0</v>
      </c>
      <c r="ZQ89" s="242">
        <f t="shared" si="741"/>
        <v>0</v>
      </c>
      <c r="ZR89" s="56"/>
      <c r="ZU89" s="55">
        <f t="shared" si="742"/>
        <v>46095</v>
      </c>
      <c r="ZV89" s="56"/>
      <c r="ZW89" s="242">
        <f>SUMPRODUCT(PRODUCE!$B100:$DY100,PRODUCE!$EB$57:$IY$57)</f>
        <v>0</v>
      </c>
      <c r="ZX89" s="56"/>
      <c r="ZY89" s="242">
        <f t="shared" si="743"/>
        <v>0</v>
      </c>
      <c r="ZZ89" s="242">
        <f t="shared" si="744"/>
        <v>0</v>
      </c>
      <c r="AAA89" s="56"/>
      <c r="AAD89" s="55">
        <f t="shared" si="745"/>
        <v>46095</v>
      </c>
      <c r="AAE89" s="56"/>
      <c r="AAF89" s="242">
        <f>SUMPRODUCT(PRODUCE!$B100:$DY100,PRODUCE!$EB$57:$IY$57)</f>
        <v>0</v>
      </c>
      <c r="AAG89" s="56"/>
      <c r="AAH89" s="242">
        <f t="shared" si="746"/>
        <v>0</v>
      </c>
      <c r="AAI89" s="242">
        <f t="shared" si="747"/>
        <v>0</v>
      </c>
      <c r="AAJ89" s="56"/>
      <c r="AAM89" s="55">
        <f t="shared" si="748"/>
        <v>46095</v>
      </c>
      <c r="AAN89" s="56"/>
      <c r="AAO89" s="242">
        <f>SUMPRODUCT(PRODUCE!$B100:$DY100,PRODUCE!$EB$57:$IY$57)</f>
        <v>0</v>
      </c>
      <c r="AAP89" s="56"/>
      <c r="AAQ89" s="242">
        <f t="shared" si="749"/>
        <v>0</v>
      </c>
      <c r="AAR89" s="242">
        <f t="shared" si="750"/>
        <v>0</v>
      </c>
      <c r="AAS89" s="56"/>
      <c r="AAV89" s="55">
        <f t="shared" si="751"/>
        <v>46095</v>
      </c>
      <c r="AAW89" s="56"/>
      <c r="AAX89" s="242">
        <f>SUMPRODUCT(PRODUCE!$B100:$DY100,PRODUCE!$EB$57:$IY$57)</f>
        <v>0</v>
      </c>
      <c r="AAY89" s="56"/>
      <c r="AAZ89" s="242">
        <f t="shared" si="752"/>
        <v>0</v>
      </c>
      <c r="ABA89" s="242">
        <f t="shared" si="753"/>
        <v>0</v>
      </c>
      <c r="ABB89" s="56"/>
      <c r="ABE89" s="55">
        <f t="shared" si="754"/>
        <v>46095</v>
      </c>
      <c r="ABF89" s="56"/>
      <c r="ABG89" s="242">
        <f>SUMPRODUCT(PRODUCE!$B100:$DY100,PRODUCE!$EB$57:$IY$57)</f>
        <v>0</v>
      </c>
      <c r="ABH89" s="56"/>
      <c r="ABI89" s="242">
        <f t="shared" si="755"/>
        <v>0</v>
      </c>
      <c r="ABJ89" s="242">
        <f t="shared" si="756"/>
        <v>0</v>
      </c>
      <c r="ABK89" s="56"/>
    </row>
    <row r="90" spans="2:739" s="54" customFormat="1" ht="15" customHeight="1" outlineLevel="1">
      <c r="B90" s="478"/>
      <c r="C90" s="55">
        <v>46096</v>
      </c>
      <c r="D90" s="434"/>
      <c r="E90" s="423">
        <f>SUMPRODUCT(PRODUCE!$B101:$DY101,PRODUCE!$EB$7:$IY$7)</f>
        <v>0</v>
      </c>
      <c r="F90" s="434"/>
      <c r="G90" s="423">
        <f t="shared" si="514"/>
        <v>0</v>
      </c>
      <c r="H90" s="423">
        <f t="shared" si="512"/>
        <v>199449.8</v>
      </c>
      <c r="I90" s="289"/>
      <c r="L90" s="55">
        <f t="shared" si="513"/>
        <v>46096</v>
      </c>
      <c r="M90" s="434"/>
      <c r="N90" s="438">
        <f>SUMPRODUCT(PRODUCE!$B101:$DY101,PRODUCE!$EB$8:$IY$8)</f>
        <v>0</v>
      </c>
      <c r="O90" s="434"/>
      <c r="P90" s="438">
        <f t="shared" si="515"/>
        <v>0</v>
      </c>
      <c r="Q90" s="438">
        <f t="shared" si="516"/>
        <v>84182.000000000044</v>
      </c>
      <c r="R90" s="56"/>
      <c r="U90" s="55">
        <f t="shared" si="517"/>
        <v>46096</v>
      </c>
      <c r="V90" s="422"/>
      <c r="W90" s="440">
        <f>SUMPRODUCT(PRODUCE!$B101:$DY101,PRODUCE!$EB$9:$IY$9)</f>
        <v>0</v>
      </c>
      <c r="X90" s="422"/>
      <c r="Y90" s="440">
        <f t="shared" si="518"/>
        <v>0</v>
      </c>
      <c r="Z90" s="440">
        <f t="shared" si="519"/>
        <v>39667.699999999968</v>
      </c>
      <c r="AA90" s="56"/>
      <c r="AD90" s="55">
        <f t="shared" si="520"/>
        <v>46096</v>
      </c>
      <c r="AE90" s="434"/>
      <c r="AF90" s="442">
        <f>SUMPRODUCT(PRODUCE!$B101:$DY101,PRODUCE!$EB$10:$IY$10)</f>
        <v>0</v>
      </c>
      <c r="AG90" s="434"/>
      <c r="AH90" s="442">
        <f t="shared" si="521"/>
        <v>0</v>
      </c>
      <c r="AI90" s="442">
        <f t="shared" si="522"/>
        <v>23265.000000000018</v>
      </c>
      <c r="AJ90" s="56"/>
      <c r="AM90" s="55">
        <f t="shared" si="523"/>
        <v>46096</v>
      </c>
      <c r="AN90" s="422"/>
      <c r="AO90" s="444">
        <f>SUMPRODUCT(PRODUCE!$B101:$DY101,PRODUCE!$EB$11:$IY$11)</f>
        <v>0</v>
      </c>
      <c r="AP90" s="422"/>
      <c r="AQ90" s="444">
        <f t="shared" si="524"/>
        <v>0</v>
      </c>
      <c r="AR90" s="444">
        <f t="shared" si="525"/>
        <v>0</v>
      </c>
      <c r="AS90" s="56"/>
      <c r="AV90" s="55">
        <f t="shared" si="526"/>
        <v>46096</v>
      </c>
      <c r="AW90" s="422"/>
      <c r="AX90" s="446">
        <f>SUMPRODUCT(PRODUCE!$B101:$DY101,PRODUCE!$EB$12:$IY$12)</f>
        <v>0</v>
      </c>
      <c r="AY90" s="422"/>
      <c r="AZ90" s="446">
        <f t="shared" si="527"/>
        <v>0</v>
      </c>
      <c r="BA90" s="446">
        <f t="shared" si="528"/>
        <v>25261.399999999987</v>
      </c>
      <c r="BB90" s="56"/>
      <c r="BE90" s="55">
        <f t="shared" si="529"/>
        <v>46096</v>
      </c>
      <c r="BF90" s="434"/>
      <c r="BG90" s="448">
        <f>SUMPRODUCT(PRODUCE!$B101:$DY101,PRODUCE!$EB$13:$IY$13)</f>
        <v>0</v>
      </c>
      <c r="BH90" s="434"/>
      <c r="BI90" s="448">
        <f t="shared" si="530"/>
        <v>0</v>
      </c>
      <c r="BJ90" s="448">
        <f t="shared" si="531"/>
        <v>26565.400000000005</v>
      </c>
      <c r="BK90" s="56"/>
      <c r="BN90" s="55">
        <f t="shared" si="532"/>
        <v>46096</v>
      </c>
      <c r="BO90" s="434"/>
      <c r="BP90" s="450">
        <f>SUMPRODUCT(PRODUCE!$B101:$DY101,PRODUCE!$EB$14:$IY$14)</f>
        <v>0</v>
      </c>
      <c r="BQ90" s="434"/>
      <c r="BR90" s="450">
        <f t="shared" si="533"/>
        <v>0</v>
      </c>
      <c r="BS90" s="450">
        <f t="shared" si="534"/>
        <v>0</v>
      </c>
      <c r="BT90" s="56"/>
      <c r="BW90" s="55">
        <f t="shared" si="535"/>
        <v>46096</v>
      </c>
      <c r="BX90" s="318"/>
      <c r="BY90" s="65">
        <f>SUMPRODUCT(PRODUCE!$B101:$DY101,PRODUCE!$EB$15:$IY$15)</f>
        <v>0</v>
      </c>
      <c r="BZ90" s="318"/>
      <c r="CA90" s="65">
        <f t="shared" si="536"/>
        <v>0</v>
      </c>
      <c r="CB90" s="65">
        <f t="shared" si="537"/>
        <v>3063.8</v>
      </c>
      <c r="CC90" s="56"/>
      <c r="CF90" s="55">
        <f t="shared" si="538"/>
        <v>46096</v>
      </c>
      <c r="CG90" s="318"/>
      <c r="CH90" s="66">
        <f>SUMPRODUCT(PRODUCE!$B101:$DY101,PRODUCE!$EB$16:$IY$16)</f>
        <v>0</v>
      </c>
      <c r="CI90" s="318"/>
      <c r="CJ90" s="66">
        <f t="shared" si="539"/>
        <v>0</v>
      </c>
      <c r="CK90" s="66">
        <f t="shared" si="540"/>
        <v>0</v>
      </c>
      <c r="CL90" s="56"/>
      <c r="CO90" s="55">
        <f t="shared" si="541"/>
        <v>46096</v>
      </c>
      <c r="CP90" s="434"/>
      <c r="CQ90" s="470">
        <f>SUMPRODUCT(PRODUCE!$B101:$DY101,PRODUCE!$EB$17:$IY$17)</f>
        <v>0</v>
      </c>
      <c r="CR90" s="434"/>
      <c r="CS90" s="470">
        <f t="shared" si="542"/>
        <v>0</v>
      </c>
      <c r="CT90" s="470">
        <f t="shared" si="543"/>
        <v>0</v>
      </c>
      <c r="CU90" s="56"/>
      <c r="CX90" s="55">
        <f t="shared" si="544"/>
        <v>46096</v>
      </c>
      <c r="CY90" s="56"/>
      <c r="CZ90" s="133">
        <f>SUMPRODUCT(PRODUCE!$B101:$DY101,PRODUCE!$EB$18:$IY$18)</f>
        <v>0</v>
      </c>
      <c r="DA90" s="56"/>
      <c r="DB90" s="133">
        <f t="shared" si="545"/>
        <v>0</v>
      </c>
      <c r="DC90" s="133">
        <f t="shared" si="546"/>
        <v>28250.399999999998</v>
      </c>
      <c r="DD90" s="56"/>
      <c r="DG90" s="55">
        <f t="shared" si="547"/>
        <v>46096</v>
      </c>
      <c r="DH90" s="56"/>
      <c r="DI90" s="147">
        <f>SUMPRODUCT(PRODUCE!$B101:$DY101,PRODUCE!$EB$19:$IY$19)</f>
        <v>0</v>
      </c>
      <c r="DJ90" s="56"/>
      <c r="DK90" s="147">
        <f t="shared" si="548"/>
        <v>0</v>
      </c>
      <c r="DL90" s="147">
        <f t="shared" si="549"/>
        <v>10685.399999999996</v>
      </c>
      <c r="DM90" s="56"/>
      <c r="DP90" s="55">
        <f t="shared" si="550"/>
        <v>46096</v>
      </c>
      <c r="DQ90" s="56"/>
      <c r="DR90" s="57">
        <f>SUMPRODUCT(PRODUCE!$B101:$DY101,PRODUCE!$EB$20:$IY$20)</f>
        <v>0</v>
      </c>
      <c r="DS90" s="56"/>
      <c r="DT90" s="57">
        <f t="shared" si="551"/>
        <v>0</v>
      </c>
      <c r="DU90" s="57">
        <f t="shared" si="552"/>
        <v>7150</v>
      </c>
      <c r="DV90" s="56"/>
      <c r="DY90" s="55">
        <f t="shared" si="553"/>
        <v>46096</v>
      </c>
      <c r="DZ90" s="56"/>
      <c r="EA90" s="157">
        <f>SUMPRODUCT(PRODUCE!$B101:$DY101,PRODUCE!$EB$21:$IY$21)</f>
        <v>0</v>
      </c>
      <c r="EB90" s="56"/>
      <c r="EC90" s="157">
        <f t="shared" si="554"/>
        <v>0</v>
      </c>
      <c r="ED90" s="157">
        <f t="shared" si="555"/>
        <v>4047.3</v>
      </c>
      <c r="EE90" s="56"/>
      <c r="EH90" s="55">
        <f t="shared" si="556"/>
        <v>46096</v>
      </c>
      <c r="EI90" s="56"/>
      <c r="EJ90" s="162">
        <f>SUMPRODUCT(PRODUCE!$B101:$DY101,PRODUCE!$EB$22:$IY$22)</f>
        <v>0</v>
      </c>
      <c r="EK90" s="56"/>
      <c r="EL90" s="162">
        <f t="shared" si="557"/>
        <v>0</v>
      </c>
      <c r="EM90" s="162">
        <f t="shared" si="558"/>
        <v>0</v>
      </c>
      <c r="EN90" s="56"/>
      <c r="EQ90" s="55">
        <f t="shared" si="559"/>
        <v>46096</v>
      </c>
      <c r="ER90" s="56"/>
      <c r="ES90" s="135">
        <f>SUMPRODUCT(PRODUCE!$B101:$DY101,PRODUCE!$EB$23:$IY$23)</f>
        <v>0</v>
      </c>
      <c r="ET90" s="56"/>
      <c r="EU90" s="135">
        <f t="shared" si="560"/>
        <v>0</v>
      </c>
      <c r="EV90" s="135">
        <f t="shared" si="561"/>
        <v>0</v>
      </c>
      <c r="EW90" s="56"/>
      <c r="EZ90" s="55">
        <f t="shared" si="562"/>
        <v>46096</v>
      </c>
      <c r="FA90" s="56"/>
      <c r="FB90" s="175">
        <f>SUMPRODUCT(PRODUCE!$B101:$DY101,PRODUCE!$EB$24:$IY$24)</f>
        <v>0</v>
      </c>
      <c r="FC90" s="56"/>
      <c r="FD90" s="175">
        <f t="shared" si="563"/>
        <v>0</v>
      </c>
      <c r="FE90" s="175">
        <f t="shared" si="564"/>
        <v>0</v>
      </c>
      <c r="FF90" s="56"/>
      <c r="FI90" s="55">
        <f t="shared" si="565"/>
        <v>46096</v>
      </c>
      <c r="FJ90" s="56"/>
      <c r="FK90" s="183">
        <f>SUMPRODUCT(PRODUCE!$B101:$DY101,PRODUCE!$EB$25:$IY$25)</f>
        <v>0</v>
      </c>
      <c r="FL90" s="56"/>
      <c r="FM90" s="183">
        <f t="shared" si="566"/>
        <v>0</v>
      </c>
      <c r="FN90" s="183">
        <f t="shared" si="567"/>
        <v>0</v>
      </c>
      <c r="FO90" s="56"/>
      <c r="FR90" s="55">
        <f t="shared" si="568"/>
        <v>46096</v>
      </c>
      <c r="FS90" s="422"/>
      <c r="FT90" s="452">
        <f>SUMPRODUCT(PRODUCE!$B101:$DY101,PRODUCE!$EB$26:$IY$26)</f>
        <v>0</v>
      </c>
      <c r="FU90" s="422"/>
      <c r="FV90" s="452">
        <f t="shared" si="569"/>
        <v>0</v>
      </c>
      <c r="FW90" s="452">
        <f t="shared" si="570"/>
        <v>3220</v>
      </c>
      <c r="FX90" s="56"/>
      <c r="GA90" s="55">
        <f t="shared" si="571"/>
        <v>46096</v>
      </c>
      <c r="GB90" s="422"/>
      <c r="GC90" s="454">
        <f>SUMPRODUCT(PRODUCE!$B101:$DY101,PRODUCE!$EB$27:$IY$27)</f>
        <v>0</v>
      </c>
      <c r="GD90" s="422"/>
      <c r="GE90" s="454">
        <f t="shared" si="572"/>
        <v>0</v>
      </c>
      <c r="GF90" s="454">
        <f t="shared" si="573"/>
        <v>1800</v>
      </c>
      <c r="GG90" s="56"/>
      <c r="GI90" s="23"/>
      <c r="GJ90" s="55">
        <f t="shared" si="574"/>
        <v>46096</v>
      </c>
      <c r="GK90" s="422"/>
      <c r="GL90" s="456">
        <f>SUMPRODUCT(PRODUCE!$B101:$DY101,PRODUCE!$EB$28:$IY$28)</f>
        <v>0</v>
      </c>
      <c r="GM90" s="422"/>
      <c r="GN90" s="456">
        <f t="shared" si="575"/>
        <v>0</v>
      </c>
      <c r="GO90" s="456">
        <f t="shared" si="576"/>
        <v>5240</v>
      </c>
      <c r="GP90" s="56"/>
      <c r="GS90" s="55">
        <f t="shared" si="577"/>
        <v>46096</v>
      </c>
      <c r="GT90" s="56"/>
      <c r="GU90" s="195">
        <f>SUMPRODUCT(PRODUCE!$B101:$DY101,PRODUCE!$EB$29:$IY$29)</f>
        <v>0</v>
      </c>
      <c r="GV90" s="56"/>
      <c r="GW90" s="195">
        <f t="shared" si="578"/>
        <v>0</v>
      </c>
      <c r="GX90" s="195">
        <f t="shared" si="579"/>
        <v>0</v>
      </c>
      <c r="GY90" s="56"/>
      <c r="HB90" s="55">
        <f t="shared" si="580"/>
        <v>46096</v>
      </c>
      <c r="HC90" s="56"/>
      <c r="HD90" s="191">
        <f>SUMPRODUCT(PRODUCE!$B101:$DY101,PRODUCE!$EB$30:$IY$30)</f>
        <v>0</v>
      </c>
      <c r="HE90" s="56"/>
      <c r="HF90" s="191">
        <f t="shared" si="581"/>
        <v>0</v>
      </c>
      <c r="HG90" s="191">
        <f t="shared" si="582"/>
        <v>0</v>
      </c>
      <c r="HH90" s="56"/>
      <c r="HK90" s="55">
        <f t="shared" si="583"/>
        <v>46096</v>
      </c>
      <c r="HL90" s="56"/>
      <c r="HM90" s="63">
        <f>SUMPRODUCT(PRODUCE!$B101:$DY101,PRODUCE!$EB$31:$IY$31)</f>
        <v>0</v>
      </c>
      <c r="HN90" s="56"/>
      <c r="HO90" s="63">
        <f t="shared" si="584"/>
        <v>0</v>
      </c>
      <c r="HP90" s="63">
        <f t="shared" si="585"/>
        <v>0</v>
      </c>
      <c r="HQ90" s="56"/>
      <c r="HU90" s="55">
        <f t="shared" si="586"/>
        <v>46096</v>
      </c>
      <c r="HV90" s="56"/>
      <c r="HW90" s="242">
        <f>SUMPRODUCT(PRODUCE!$B101:$DY101,PRODUCE!$EB$32:$IY$32)</f>
        <v>0</v>
      </c>
      <c r="HX90" s="56"/>
      <c r="HY90" s="242">
        <f t="shared" si="587"/>
        <v>0</v>
      </c>
      <c r="HZ90" s="242">
        <f t="shared" si="588"/>
        <v>5120</v>
      </c>
      <c r="IA90" s="56"/>
      <c r="ID90" s="55">
        <f t="shared" si="589"/>
        <v>46096</v>
      </c>
      <c r="IE90" s="56"/>
      <c r="IF90" s="242">
        <f>SUMPRODUCT(PRODUCE!$B101:$DY101,PRODUCE!$EB$33:$IY$33)</f>
        <v>0</v>
      </c>
      <c r="IG90" s="56"/>
      <c r="IH90" s="242">
        <f t="shared" si="590"/>
        <v>0</v>
      </c>
      <c r="II90" s="242">
        <f t="shared" si="591"/>
        <v>6540</v>
      </c>
      <c r="IJ90" s="56"/>
      <c r="IM90" s="55">
        <f t="shared" si="592"/>
        <v>46096</v>
      </c>
      <c r="IN90" s="56"/>
      <c r="IO90" s="242">
        <f>SUMPRODUCT(PRODUCE!$B101:$DY101,PRODUCE!$EB$34:$IY$34)</f>
        <v>0</v>
      </c>
      <c r="IP90" s="56"/>
      <c r="IQ90" s="242">
        <f t="shared" si="593"/>
        <v>0</v>
      </c>
      <c r="IR90" s="242">
        <f t="shared" si="594"/>
        <v>11540</v>
      </c>
      <c r="IS90" s="56"/>
      <c r="IV90" s="55">
        <f t="shared" si="595"/>
        <v>46096</v>
      </c>
      <c r="IW90" s="56"/>
      <c r="IX90" s="242">
        <f>SUMPRODUCT(PRODUCE!$B101:$DY101,PRODUCE!$EB$35:$IY$35)</f>
        <v>0</v>
      </c>
      <c r="IY90" s="56"/>
      <c r="IZ90" s="242">
        <f t="shared" si="596"/>
        <v>0</v>
      </c>
      <c r="JA90" s="242">
        <f t="shared" si="597"/>
        <v>15120</v>
      </c>
      <c r="JB90" s="56"/>
      <c r="JE90" s="55">
        <f t="shared" si="598"/>
        <v>46096</v>
      </c>
      <c r="JF90" s="56"/>
      <c r="JG90" s="242">
        <f>SUMPRODUCT(PRODUCE!$B101:$DY101,PRODUCE!$EB$36:$IY$36)</f>
        <v>0</v>
      </c>
      <c r="JH90" s="56"/>
      <c r="JI90" s="242">
        <f t="shared" si="599"/>
        <v>0</v>
      </c>
      <c r="JJ90" s="242">
        <f t="shared" si="600"/>
        <v>5040</v>
      </c>
      <c r="JK90" s="56"/>
      <c r="JN90" s="55">
        <f t="shared" si="601"/>
        <v>46096</v>
      </c>
      <c r="JO90" s="56"/>
      <c r="JP90" s="242">
        <f>SUMPRODUCT(PRODUCE!$B101:$DY101,PRODUCE!$EB$37:$IY$37)</f>
        <v>0</v>
      </c>
      <c r="JQ90" s="56"/>
      <c r="JR90" s="242">
        <f t="shared" si="602"/>
        <v>0</v>
      </c>
      <c r="JS90" s="242">
        <f t="shared" si="603"/>
        <v>9100</v>
      </c>
      <c r="JT90" s="56"/>
      <c r="JW90" s="55">
        <f t="shared" si="604"/>
        <v>46096</v>
      </c>
      <c r="JX90" s="56"/>
      <c r="JY90" s="242">
        <f>SUMPRODUCT(PRODUCE!$B101:$DY101,PRODUCE!$EB$38:$IY$38)</f>
        <v>0</v>
      </c>
      <c r="JZ90" s="56"/>
      <c r="KA90" s="242">
        <f t="shared" si="605"/>
        <v>0</v>
      </c>
      <c r="KB90" s="242">
        <f t="shared" si="606"/>
        <v>6180</v>
      </c>
      <c r="KC90" s="56"/>
      <c r="KF90" s="55">
        <f t="shared" si="607"/>
        <v>46096</v>
      </c>
      <c r="KG90" s="56"/>
      <c r="KH90" s="242">
        <f>SUMPRODUCT(PRODUCE!$B101:$DY101,PRODUCE!$EB$39:$IY$39)</f>
        <v>0</v>
      </c>
      <c r="KI90" s="56"/>
      <c r="KJ90" s="242">
        <f t="shared" si="608"/>
        <v>0</v>
      </c>
      <c r="KK90" s="242">
        <f t="shared" si="609"/>
        <v>9184.5</v>
      </c>
      <c r="KL90" s="56"/>
      <c r="KO90" s="55">
        <f t="shared" si="610"/>
        <v>46096</v>
      </c>
      <c r="KP90" s="56"/>
      <c r="KQ90" s="242">
        <f>SUMPRODUCT(PRODUCE!$B101:$DY101,PRODUCE!$EB$40:$IY$40)</f>
        <v>0</v>
      </c>
      <c r="KR90" s="56"/>
      <c r="KS90" s="242">
        <f t="shared" si="611"/>
        <v>0</v>
      </c>
      <c r="KT90" s="242">
        <f t="shared" si="612"/>
        <v>6993</v>
      </c>
      <c r="KU90" s="56"/>
      <c r="KW90" s="23"/>
      <c r="KX90" s="55">
        <f t="shared" si="613"/>
        <v>46096</v>
      </c>
      <c r="KY90" s="56"/>
      <c r="KZ90" s="242">
        <f>SUMPRODUCT(PRODUCE!$B101:$DY101,PRODUCE!$EB$41:$IY$41)</f>
        <v>0</v>
      </c>
      <c r="LA90" s="56"/>
      <c r="LB90" s="242">
        <f t="shared" si="614"/>
        <v>0</v>
      </c>
      <c r="LC90" s="242">
        <f t="shared" si="615"/>
        <v>0</v>
      </c>
      <c r="LD90" s="56"/>
      <c r="LG90" s="55">
        <f t="shared" si="616"/>
        <v>46096</v>
      </c>
      <c r="LH90" s="56"/>
      <c r="LI90" s="242">
        <f>SUMPRODUCT(PRODUCE!$B101:$DY101,PRODUCE!$EB$42:$IY$42)</f>
        <v>0</v>
      </c>
      <c r="LJ90" s="56"/>
      <c r="LK90" s="242">
        <f t="shared" si="617"/>
        <v>0</v>
      </c>
      <c r="LL90" s="242">
        <f t="shared" si="618"/>
        <v>0</v>
      </c>
      <c r="LM90" s="56"/>
      <c r="LP90" s="55">
        <f t="shared" si="619"/>
        <v>46096</v>
      </c>
      <c r="LQ90" s="56"/>
      <c r="LR90" s="242">
        <f>SUMPRODUCT(PRODUCE!$B105:$DY105,PRODUCE!$EB$43:$IY$43)</f>
        <v>0</v>
      </c>
      <c r="LS90" s="56"/>
      <c r="LT90" s="242">
        <f t="shared" si="620"/>
        <v>0</v>
      </c>
      <c r="LU90" s="242">
        <f t="shared" si="621"/>
        <v>0</v>
      </c>
      <c r="LV90" s="56"/>
      <c r="LY90" s="55">
        <f t="shared" si="622"/>
        <v>46096</v>
      </c>
      <c r="LZ90" s="56"/>
      <c r="MA90" s="242">
        <f>SUMPRODUCT(PRODUCE!$B101:$DY101,PRODUCE!$EB$44:$IY$44)</f>
        <v>0</v>
      </c>
      <c r="MB90" s="56"/>
      <c r="MC90" s="242">
        <f t="shared" si="623"/>
        <v>0</v>
      </c>
      <c r="MD90" s="242">
        <f t="shared" si="624"/>
        <v>0</v>
      </c>
      <c r="ME90" s="56"/>
      <c r="MH90" s="55">
        <f t="shared" si="625"/>
        <v>46096</v>
      </c>
      <c r="MI90" s="56"/>
      <c r="MJ90" s="242">
        <f>SUMPRODUCT(PRODUCE!$B101:$DY101,PRODUCE!$EB$45:$IY$45)</f>
        <v>0</v>
      </c>
      <c r="MK90" s="56"/>
      <c r="ML90" s="242">
        <f t="shared" si="626"/>
        <v>0</v>
      </c>
      <c r="MM90" s="242">
        <f t="shared" si="627"/>
        <v>0</v>
      </c>
      <c r="MN90" s="56"/>
      <c r="MQ90" s="55">
        <f t="shared" si="628"/>
        <v>46096</v>
      </c>
      <c r="MR90" s="56"/>
      <c r="MS90" s="242">
        <f>SUMPRODUCT(PRODUCE!$B101:$DY101,PRODUCE!$EB$46:$IY$46)</f>
        <v>0</v>
      </c>
      <c r="MT90" s="56"/>
      <c r="MU90" s="242">
        <f t="shared" si="629"/>
        <v>0</v>
      </c>
      <c r="MV90" s="242">
        <f t="shared" si="630"/>
        <v>4740</v>
      </c>
      <c r="MW90" s="56"/>
      <c r="MZ90" s="55">
        <f t="shared" si="631"/>
        <v>46096</v>
      </c>
      <c r="NA90" s="56">
        <v>90</v>
      </c>
      <c r="NB90" s="242">
        <f>SUMPRODUCT(PRODUCE!$B101:$DY101,PRODUCE!$EB$47:$IY$47)</f>
        <v>0</v>
      </c>
      <c r="NC90" s="56">
        <v>90</v>
      </c>
      <c r="ND90" s="242">
        <f t="shared" si="632"/>
        <v>-90</v>
      </c>
      <c r="NE90" s="242">
        <f t="shared" si="633"/>
        <v>0</v>
      </c>
      <c r="NF90" s="56"/>
      <c r="NI90" s="55">
        <f t="shared" si="634"/>
        <v>46096</v>
      </c>
      <c r="NJ90" s="56"/>
      <c r="NK90" s="242">
        <f>SUMPRODUCT(PRODUCE!$B101:$DY101,PRODUCE!$EB$48:$IY$48)</f>
        <v>0</v>
      </c>
      <c r="NL90" s="56"/>
      <c r="NM90" s="242">
        <f t="shared" si="635"/>
        <v>0</v>
      </c>
      <c r="NN90" s="242">
        <f t="shared" si="636"/>
        <v>465</v>
      </c>
      <c r="NO90" s="56"/>
      <c r="NR90" s="55">
        <f t="shared" si="637"/>
        <v>46096</v>
      </c>
      <c r="NS90" s="56"/>
      <c r="NT90" s="242">
        <f>SUMPRODUCT(PRODUCE!$B101:$DY101,PRODUCE!$EB$49:$IY$49)</f>
        <v>0</v>
      </c>
      <c r="NU90" s="56">
        <v>36</v>
      </c>
      <c r="NV90" s="242">
        <f t="shared" si="638"/>
        <v>-36</v>
      </c>
      <c r="NW90" s="242">
        <f t="shared" si="639"/>
        <v>1299.3000000000002</v>
      </c>
      <c r="NX90" s="56"/>
      <c r="OA90" s="55">
        <f t="shared" si="640"/>
        <v>46096</v>
      </c>
      <c r="OB90" s="56"/>
      <c r="OC90" s="242">
        <f>SUMPRODUCT(PRODUCE!$B101:$DY101,PRODUCE!$EB$50:$IY$50)</f>
        <v>0</v>
      </c>
      <c r="OD90" s="56"/>
      <c r="OE90" s="242">
        <f t="shared" si="641"/>
        <v>0</v>
      </c>
      <c r="OF90" s="242">
        <f t="shared" si="642"/>
        <v>1680.5</v>
      </c>
      <c r="OG90" s="56"/>
      <c r="OJ90" s="55">
        <f t="shared" si="643"/>
        <v>46096</v>
      </c>
      <c r="OK90" s="56">
        <v>84</v>
      </c>
      <c r="OL90" s="242">
        <f>SUMPRODUCT(PRODUCE!$B101:$DY101,PRODUCE!$EB$51:$IY$51)</f>
        <v>0</v>
      </c>
      <c r="OM90" s="56">
        <v>84</v>
      </c>
      <c r="ON90" s="242">
        <f t="shared" si="644"/>
        <v>-84</v>
      </c>
      <c r="OO90" s="242">
        <f t="shared" si="645"/>
        <v>0</v>
      </c>
      <c r="OP90" s="56"/>
      <c r="OS90" s="55">
        <f t="shared" si="646"/>
        <v>46096</v>
      </c>
      <c r="OT90" s="56"/>
      <c r="OU90" s="242">
        <f>SUMPRODUCT(PRODUCE!$B101:$DY101,PRODUCE!$EB$52:$IY$52)</f>
        <v>0</v>
      </c>
      <c r="OV90" s="56"/>
      <c r="OW90" s="242">
        <f t="shared" si="647"/>
        <v>0</v>
      </c>
      <c r="OX90" s="242">
        <f t="shared" si="648"/>
        <v>1000</v>
      </c>
      <c r="OY90" s="56"/>
      <c r="PB90" s="55">
        <f t="shared" si="649"/>
        <v>46096</v>
      </c>
      <c r="PC90" s="56"/>
      <c r="PD90" s="242">
        <f>SUMPRODUCT(PRODUCE!$B101:$DY101,PRODUCE!$EB$53:$IY$53)</f>
        <v>0</v>
      </c>
      <c r="PE90" s="56"/>
      <c r="PF90" s="242">
        <f t="shared" si="650"/>
        <v>0</v>
      </c>
      <c r="PG90" s="242">
        <f t="shared" si="651"/>
        <v>0</v>
      </c>
      <c r="PH90" s="56"/>
      <c r="PK90" s="55">
        <f t="shared" si="652"/>
        <v>46096</v>
      </c>
      <c r="PL90" s="56"/>
      <c r="PM90" s="242">
        <f>SUMPRODUCT(PRODUCE!$B101:$DY101,PRODUCE!$EB$54:$IY$54)</f>
        <v>0</v>
      </c>
      <c r="PN90" s="56"/>
      <c r="PO90" s="242">
        <f t="shared" si="653"/>
        <v>0</v>
      </c>
      <c r="PP90" s="242">
        <f t="shared" si="654"/>
        <v>100</v>
      </c>
      <c r="PQ90" s="56"/>
      <c r="PT90" s="55">
        <f t="shared" si="655"/>
        <v>46096</v>
      </c>
      <c r="PU90" s="56"/>
      <c r="PV90" s="242">
        <f>SUMPRODUCT(PRODUCE!$B101:$DY101,PRODUCE!$EB$55:$IY$55)</f>
        <v>0</v>
      </c>
      <c r="PW90" s="56"/>
      <c r="PX90" s="242">
        <f t="shared" si="656"/>
        <v>0</v>
      </c>
      <c r="PY90" s="242">
        <f t="shared" si="657"/>
        <v>13.960000000000036</v>
      </c>
      <c r="PZ90" s="56"/>
      <c r="QC90" s="55">
        <f t="shared" si="658"/>
        <v>46096</v>
      </c>
      <c r="QD90" s="56"/>
      <c r="QE90" s="242">
        <f>SUMPRODUCT(PRODUCE!$B101:$DY101,PRODUCE!$EB$56:$IY$56)</f>
        <v>0</v>
      </c>
      <c r="QF90" s="56"/>
      <c r="QG90" s="242">
        <f t="shared" si="659"/>
        <v>0</v>
      </c>
      <c r="QH90" s="242">
        <f t="shared" si="660"/>
        <v>1212</v>
      </c>
      <c r="QI90" s="56"/>
      <c r="QL90" s="55">
        <f t="shared" si="661"/>
        <v>46096</v>
      </c>
      <c r="QM90" s="56"/>
      <c r="QN90" s="242">
        <f>SUMPRODUCT(PRODUCE!$B101:$DY101,PRODUCE!$EB$57:$IY$57)</f>
        <v>0</v>
      </c>
      <c r="QO90" s="56"/>
      <c r="QP90" s="242">
        <f t="shared" si="662"/>
        <v>0</v>
      </c>
      <c r="QQ90" s="242">
        <f t="shared" si="663"/>
        <v>0</v>
      </c>
      <c r="QR90" s="56"/>
      <c r="QU90" s="55">
        <f t="shared" si="664"/>
        <v>46096</v>
      </c>
      <c r="QV90" s="56"/>
      <c r="QW90" s="242">
        <f>SUMPRODUCT(PRODUCE!$B101:$DY101,PRODUCE!$EB$57:$IY$57)</f>
        <v>0</v>
      </c>
      <c r="QX90" s="56"/>
      <c r="QY90" s="242">
        <f t="shared" si="665"/>
        <v>0</v>
      </c>
      <c r="QZ90" s="242">
        <f t="shared" si="666"/>
        <v>207.6</v>
      </c>
      <c r="RA90" s="56"/>
      <c r="RD90" s="55">
        <f t="shared" si="667"/>
        <v>46096</v>
      </c>
      <c r="RE90" s="56"/>
      <c r="RF90" s="242">
        <f>SUMPRODUCT(PRODUCE!$B101:$DY101,PRODUCE!$EB$58:$IY$58)</f>
        <v>0</v>
      </c>
      <c r="RG90" s="56"/>
      <c r="RH90" s="242">
        <f t="shared" si="668"/>
        <v>0</v>
      </c>
      <c r="RI90" s="242">
        <f t="shared" si="669"/>
        <v>197.04000000000002</v>
      </c>
      <c r="RJ90" s="56"/>
      <c r="RM90" s="55">
        <f t="shared" si="670"/>
        <v>46096</v>
      </c>
      <c r="RN90" s="56"/>
      <c r="RO90" s="242">
        <f>SUMPRODUCT(PRODUCE!$B101:$DY101,PRODUCE!$EB$57:$IY$57)</f>
        <v>0</v>
      </c>
      <c r="RP90" s="56"/>
      <c r="RQ90" s="242">
        <f t="shared" si="671"/>
        <v>0</v>
      </c>
      <c r="RR90" s="242">
        <f t="shared" si="672"/>
        <v>46.8</v>
      </c>
      <c r="RS90" s="56"/>
      <c r="RV90" s="55">
        <f t="shared" si="673"/>
        <v>46096</v>
      </c>
      <c r="RW90" s="56"/>
      <c r="RX90" s="242">
        <f>SUMPRODUCT(PRODUCE!$B101:$DY101,PRODUCE!$EB$57:$IY$57)</f>
        <v>0</v>
      </c>
      <c r="RY90" s="56"/>
      <c r="RZ90" s="242">
        <f t="shared" si="674"/>
        <v>0</v>
      </c>
      <c r="SA90" s="242">
        <f t="shared" si="675"/>
        <v>0</v>
      </c>
      <c r="SB90" s="56"/>
      <c r="SE90" s="55">
        <f t="shared" si="676"/>
        <v>46096</v>
      </c>
      <c r="SF90" s="56"/>
      <c r="SG90" s="242">
        <f>SUMPRODUCT(PRODUCE!$B101:$DY101,PRODUCE!$EB$57:$IY$57)</f>
        <v>0</v>
      </c>
      <c r="SH90" s="56"/>
      <c r="SI90" s="242">
        <f t="shared" si="677"/>
        <v>0</v>
      </c>
      <c r="SJ90" s="242">
        <f t="shared" si="678"/>
        <v>0</v>
      </c>
      <c r="SK90" s="56"/>
      <c r="SN90" s="55">
        <f t="shared" si="679"/>
        <v>46096</v>
      </c>
      <c r="SO90" s="56"/>
      <c r="SP90" s="242">
        <f>SUMPRODUCT(PRODUCE!$B101:$DY101,PRODUCE!$EB$57:$IY$57)</f>
        <v>0</v>
      </c>
      <c r="SQ90" s="56"/>
      <c r="SR90" s="242">
        <f t="shared" si="680"/>
        <v>0</v>
      </c>
      <c r="SS90" s="242">
        <f t="shared" si="681"/>
        <v>0</v>
      </c>
      <c r="ST90" s="56"/>
      <c r="SW90" s="55">
        <f t="shared" si="682"/>
        <v>46096</v>
      </c>
      <c r="SX90" s="56"/>
      <c r="SY90" s="242">
        <f>SUMPRODUCT(PRODUCE!$B101:$DY101,PRODUCE!$EB$57:$IY$57)</f>
        <v>0</v>
      </c>
      <c r="SZ90" s="56"/>
      <c r="TA90" s="242">
        <f t="shared" si="683"/>
        <v>0</v>
      </c>
      <c r="TB90" s="242">
        <f t="shared" si="684"/>
        <v>0</v>
      </c>
      <c r="TC90" s="56"/>
      <c r="TF90" s="55">
        <f t="shared" si="685"/>
        <v>46096</v>
      </c>
      <c r="TG90" s="56"/>
      <c r="TH90" s="242">
        <f>SUMPRODUCT(PRODUCE!$B101:$DY101,PRODUCE!$EB$57:$IY$57)</f>
        <v>0</v>
      </c>
      <c r="TI90" s="56"/>
      <c r="TJ90" s="242">
        <f t="shared" si="686"/>
        <v>0</v>
      </c>
      <c r="TK90" s="242">
        <f t="shared" si="687"/>
        <v>0</v>
      </c>
      <c r="TL90" s="56"/>
      <c r="TO90" s="55">
        <f t="shared" si="688"/>
        <v>46096</v>
      </c>
      <c r="TP90" s="56"/>
      <c r="TQ90" s="242">
        <f>SUMPRODUCT(PRODUCE!$B101:$DY101,PRODUCE!$EB$57:$IY$57)</f>
        <v>0</v>
      </c>
      <c r="TR90" s="56"/>
      <c r="TS90" s="242">
        <f t="shared" si="689"/>
        <v>0</v>
      </c>
      <c r="TT90" s="242">
        <f t="shared" si="690"/>
        <v>0</v>
      </c>
      <c r="TU90" s="56"/>
      <c r="TX90" s="55">
        <f t="shared" si="691"/>
        <v>46096</v>
      </c>
      <c r="TY90" s="56"/>
      <c r="TZ90" s="242">
        <f>SUMPRODUCT(PRODUCE!$B101:$DY101,PRODUCE!$EB$57:$IY$57)</f>
        <v>0</v>
      </c>
      <c r="UA90" s="56"/>
      <c r="UB90" s="242">
        <f t="shared" si="692"/>
        <v>0</v>
      </c>
      <c r="UC90" s="242">
        <f t="shared" si="693"/>
        <v>0</v>
      </c>
      <c r="UD90" s="56"/>
      <c r="UG90" s="55">
        <f t="shared" si="694"/>
        <v>46096</v>
      </c>
      <c r="UH90" s="56"/>
      <c r="UI90" s="242">
        <f>SUMPRODUCT(PRODUCE!$B101:$DY101,PRODUCE!$EB$57:$IY$57)</f>
        <v>0</v>
      </c>
      <c r="UJ90" s="56"/>
      <c r="UK90" s="242">
        <f t="shared" si="695"/>
        <v>0</v>
      </c>
      <c r="UL90" s="242">
        <f t="shared" si="696"/>
        <v>0</v>
      </c>
      <c r="UM90" s="56"/>
      <c r="UP90" s="55">
        <f t="shared" si="697"/>
        <v>46096</v>
      </c>
      <c r="UQ90" s="56"/>
      <c r="UR90" s="242">
        <f>SUMPRODUCT(PRODUCE!$B101:$DY101,PRODUCE!$EB$57:$IY$57)</f>
        <v>0</v>
      </c>
      <c r="US90" s="56"/>
      <c r="UT90" s="242">
        <f t="shared" si="698"/>
        <v>0</v>
      </c>
      <c r="UU90" s="242">
        <f t="shared" si="699"/>
        <v>0</v>
      </c>
      <c r="UV90" s="56"/>
      <c r="UY90" s="55">
        <f t="shared" si="700"/>
        <v>46096</v>
      </c>
      <c r="UZ90" s="56"/>
      <c r="VA90" s="242">
        <f>SUMPRODUCT(PRODUCE!$B101:$DY101,PRODUCE!$EB$57:$IY$57)</f>
        <v>0</v>
      </c>
      <c r="VB90" s="56"/>
      <c r="VC90" s="242">
        <f t="shared" si="701"/>
        <v>0</v>
      </c>
      <c r="VD90" s="242">
        <f t="shared" si="702"/>
        <v>41.600000000000023</v>
      </c>
      <c r="VE90" s="56"/>
      <c r="VH90" s="55">
        <f t="shared" si="703"/>
        <v>46096</v>
      </c>
      <c r="VI90" s="56"/>
      <c r="VJ90" s="242">
        <f>SUMPRODUCT(PRODUCE!$B101:$DY101,PRODUCE!$EB$57:$IY$57)</f>
        <v>0</v>
      </c>
      <c r="VK90" s="56"/>
      <c r="VL90" s="242">
        <f t="shared" si="704"/>
        <v>0</v>
      </c>
      <c r="VM90" s="242">
        <f t="shared" si="705"/>
        <v>0</v>
      </c>
      <c r="VN90" s="56"/>
      <c r="VQ90" s="55">
        <f t="shared" si="706"/>
        <v>46096</v>
      </c>
      <c r="VR90" s="56"/>
      <c r="VS90" s="242">
        <f>SUMPRODUCT(PRODUCE!$B101:$DY101,PRODUCE!$EB$57:$IY$57)</f>
        <v>0</v>
      </c>
      <c r="VT90" s="56"/>
      <c r="VU90" s="242">
        <f t="shared" si="707"/>
        <v>0</v>
      </c>
      <c r="VV90" s="242">
        <f t="shared" si="708"/>
        <v>0</v>
      </c>
      <c r="VW90" s="56"/>
      <c r="VZ90" s="55">
        <f t="shared" si="709"/>
        <v>46096</v>
      </c>
      <c r="WA90" s="56"/>
      <c r="WB90" s="242">
        <f>SUMPRODUCT(PRODUCE!$B101:$DY101,PRODUCE!$EB$57:$IY$57)</f>
        <v>0</v>
      </c>
      <c r="WC90" s="56"/>
      <c r="WD90" s="242">
        <f t="shared" si="710"/>
        <v>0</v>
      </c>
      <c r="WE90" s="242">
        <f t="shared" si="711"/>
        <v>0</v>
      </c>
      <c r="WF90" s="56"/>
      <c r="WI90" s="55">
        <f t="shared" si="712"/>
        <v>46096</v>
      </c>
      <c r="WJ90" s="56"/>
      <c r="WK90" s="242">
        <f>SUMPRODUCT(PRODUCE!$B101:$DY101,PRODUCE!$EB$57:$IY$57)</f>
        <v>0</v>
      </c>
      <c r="WL90" s="56"/>
      <c r="WM90" s="242">
        <f t="shared" si="713"/>
        <v>0</v>
      </c>
      <c r="WN90" s="242">
        <f t="shared" si="714"/>
        <v>6022</v>
      </c>
      <c r="WO90" s="56"/>
      <c r="WR90" s="55">
        <f t="shared" si="715"/>
        <v>46096</v>
      </c>
      <c r="WS90" s="56"/>
      <c r="WT90" s="242">
        <f>SUMPRODUCT(PRODUCE!$B101:$DY101,PRODUCE!$EB$57:$IY$57)</f>
        <v>0</v>
      </c>
      <c r="WU90" s="56"/>
      <c r="WV90" s="242">
        <f t="shared" si="716"/>
        <v>0</v>
      </c>
      <c r="WW90" s="242">
        <f t="shared" si="717"/>
        <v>5568</v>
      </c>
      <c r="WX90" s="56"/>
      <c r="XA90" s="55">
        <f t="shared" si="718"/>
        <v>46096</v>
      </c>
      <c r="XB90" s="56"/>
      <c r="XC90" s="242">
        <f>SUMPRODUCT(PRODUCE!$B101:$DY101,PRODUCE!$EB$57:$IY$57)</f>
        <v>0</v>
      </c>
      <c r="XD90" s="56"/>
      <c r="XE90" s="242">
        <f t="shared" si="719"/>
        <v>0</v>
      </c>
      <c r="XF90" s="242">
        <f t="shared" si="720"/>
        <v>590</v>
      </c>
      <c r="XG90" s="56"/>
      <c r="XJ90" s="55">
        <f t="shared" si="721"/>
        <v>46096</v>
      </c>
      <c r="XK90" s="56"/>
      <c r="XL90" s="242">
        <f>SUMPRODUCT(PRODUCE!$B101:$DY101,PRODUCE!$EB$57:$IY$57)</f>
        <v>0</v>
      </c>
      <c r="XM90" s="56"/>
      <c r="XN90" s="242">
        <f t="shared" si="722"/>
        <v>0</v>
      </c>
      <c r="XO90" s="242">
        <f t="shared" si="723"/>
        <v>696</v>
      </c>
      <c r="XP90" s="56"/>
      <c r="XS90" s="55">
        <f t="shared" si="724"/>
        <v>46096</v>
      </c>
      <c r="XT90" s="56"/>
      <c r="XU90" s="242">
        <f>SUMPRODUCT(PRODUCE!$B101:$DY101,PRODUCE!$EB$57:$IY$57)</f>
        <v>0</v>
      </c>
      <c r="XV90" s="56"/>
      <c r="XW90" s="242">
        <f t="shared" si="725"/>
        <v>0</v>
      </c>
      <c r="XX90" s="242">
        <f t="shared" si="726"/>
        <v>1901</v>
      </c>
      <c r="XY90" s="56"/>
      <c r="YB90" s="55">
        <f t="shared" si="727"/>
        <v>46096</v>
      </c>
      <c r="YC90" s="56"/>
      <c r="YD90" s="242">
        <f>SUMPRODUCT(PRODUCE!$B101:$DY101,PRODUCE!$EB$57:$IY$57)</f>
        <v>0</v>
      </c>
      <c r="YE90" s="56"/>
      <c r="YF90" s="242">
        <f t="shared" si="728"/>
        <v>0</v>
      </c>
      <c r="YG90" s="242">
        <f t="shared" si="729"/>
        <v>0</v>
      </c>
      <c r="YH90" s="56"/>
      <c r="YK90" s="55">
        <f t="shared" si="730"/>
        <v>46096</v>
      </c>
      <c r="YL90" s="56"/>
      <c r="YM90" s="242">
        <f>SUMPRODUCT(PRODUCE!$B101:$DY101,PRODUCE!$EB$57:$IY$57)</f>
        <v>0</v>
      </c>
      <c r="YN90" s="56"/>
      <c r="YO90" s="242">
        <f t="shared" si="731"/>
        <v>0</v>
      </c>
      <c r="YP90" s="242">
        <f t="shared" si="732"/>
        <v>0</v>
      </c>
      <c r="YQ90" s="56"/>
      <c r="YT90" s="55">
        <f t="shared" si="733"/>
        <v>46096</v>
      </c>
      <c r="YU90" s="56"/>
      <c r="YV90" s="242">
        <f>SUMPRODUCT(PRODUCE!$B101:$DY101,PRODUCE!$EB$57:$IY$57)</f>
        <v>0</v>
      </c>
      <c r="YW90" s="56"/>
      <c r="YX90" s="242">
        <f t="shared" si="734"/>
        <v>0</v>
      </c>
      <c r="YY90" s="242">
        <f t="shared" si="735"/>
        <v>0</v>
      </c>
      <c r="YZ90" s="56"/>
      <c r="ZC90" s="55">
        <f t="shared" si="736"/>
        <v>46096</v>
      </c>
      <c r="ZD90" s="56"/>
      <c r="ZE90" s="242">
        <f>SUMPRODUCT(PRODUCE!$B101:$DY101,PRODUCE!$EB$57:$IY$57)</f>
        <v>0</v>
      </c>
      <c r="ZF90" s="56"/>
      <c r="ZG90" s="242">
        <f t="shared" si="737"/>
        <v>0</v>
      </c>
      <c r="ZH90" s="242">
        <f t="shared" si="738"/>
        <v>0</v>
      </c>
      <c r="ZI90" s="56"/>
      <c r="ZL90" s="55">
        <f t="shared" si="739"/>
        <v>46096</v>
      </c>
      <c r="ZM90" s="56"/>
      <c r="ZN90" s="242">
        <f>SUMPRODUCT(PRODUCE!$B101:$DY101,PRODUCE!$EB$57:$IY$57)</f>
        <v>0</v>
      </c>
      <c r="ZO90" s="56"/>
      <c r="ZP90" s="242">
        <f t="shared" si="740"/>
        <v>0</v>
      </c>
      <c r="ZQ90" s="242">
        <f t="shared" si="741"/>
        <v>0</v>
      </c>
      <c r="ZR90" s="56"/>
      <c r="ZU90" s="55">
        <f t="shared" si="742"/>
        <v>46096</v>
      </c>
      <c r="ZV90" s="56"/>
      <c r="ZW90" s="242">
        <f>SUMPRODUCT(PRODUCE!$B101:$DY101,PRODUCE!$EB$57:$IY$57)</f>
        <v>0</v>
      </c>
      <c r="ZX90" s="56"/>
      <c r="ZY90" s="242">
        <f t="shared" si="743"/>
        <v>0</v>
      </c>
      <c r="ZZ90" s="242">
        <f t="shared" si="744"/>
        <v>0</v>
      </c>
      <c r="AAA90" s="56"/>
      <c r="AAD90" s="55">
        <f t="shared" si="745"/>
        <v>46096</v>
      </c>
      <c r="AAE90" s="56"/>
      <c r="AAF90" s="242">
        <f>SUMPRODUCT(PRODUCE!$B101:$DY101,PRODUCE!$EB$57:$IY$57)</f>
        <v>0</v>
      </c>
      <c r="AAG90" s="56"/>
      <c r="AAH90" s="242">
        <f t="shared" si="746"/>
        <v>0</v>
      </c>
      <c r="AAI90" s="242">
        <f t="shared" si="747"/>
        <v>0</v>
      </c>
      <c r="AAJ90" s="56"/>
      <c r="AAM90" s="55">
        <f t="shared" si="748"/>
        <v>46096</v>
      </c>
      <c r="AAN90" s="56"/>
      <c r="AAO90" s="242">
        <f>SUMPRODUCT(PRODUCE!$B101:$DY101,PRODUCE!$EB$57:$IY$57)</f>
        <v>0</v>
      </c>
      <c r="AAP90" s="56"/>
      <c r="AAQ90" s="242">
        <f t="shared" si="749"/>
        <v>0</v>
      </c>
      <c r="AAR90" s="242">
        <f t="shared" si="750"/>
        <v>0</v>
      </c>
      <c r="AAS90" s="56"/>
      <c r="AAV90" s="55">
        <f t="shared" si="751"/>
        <v>46096</v>
      </c>
      <c r="AAW90" s="56"/>
      <c r="AAX90" s="242">
        <f>SUMPRODUCT(PRODUCE!$B101:$DY101,PRODUCE!$EB$57:$IY$57)</f>
        <v>0</v>
      </c>
      <c r="AAY90" s="56"/>
      <c r="AAZ90" s="242">
        <f t="shared" si="752"/>
        <v>0</v>
      </c>
      <c r="ABA90" s="242">
        <f t="shared" si="753"/>
        <v>0</v>
      </c>
      <c r="ABB90" s="56"/>
      <c r="ABE90" s="55">
        <f t="shared" si="754"/>
        <v>46096</v>
      </c>
      <c r="ABF90" s="56"/>
      <c r="ABG90" s="242">
        <f>SUMPRODUCT(PRODUCE!$B101:$DY101,PRODUCE!$EB$57:$IY$57)</f>
        <v>0</v>
      </c>
      <c r="ABH90" s="56"/>
      <c r="ABI90" s="242">
        <f t="shared" si="755"/>
        <v>0</v>
      </c>
      <c r="ABJ90" s="242">
        <f t="shared" si="756"/>
        <v>0</v>
      </c>
      <c r="ABK90" s="56"/>
    </row>
    <row r="91" spans="2:739" s="54" customFormat="1" ht="15" customHeight="1" outlineLevel="1">
      <c r="B91" s="478">
        <f>118+46</f>
        <v>164</v>
      </c>
      <c r="C91" s="55">
        <v>46097</v>
      </c>
      <c r="D91" s="422">
        <v>89800</v>
      </c>
      <c r="E91" s="423">
        <f>SUMPRODUCT(PRODUCE!$B102:$DY102,PRODUCE!$EB$7:$IY$7)</f>
        <v>90015.799999999988</v>
      </c>
      <c r="F91" s="422">
        <v>90014.2</v>
      </c>
      <c r="G91" s="423">
        <f t="shared" si="514"/>
        <v>1.5999999999912689</v>
      </c>
      <c r="H91" s="423">
        <f t="shared" si="512"/>
        <v>199235.59999999998</v>
      </c>
      <c r="I91" s="289" t="s">
        <v>225</v>
      </c>
      <c r="L91" s="55">
        <f t="shared" si="513"/>
        <v>46097</v>
      </c>
      <c r="M91" s="422">
        <v>82780</v>
      </c>
      <c r="N91" s="438">
        <f>SUMPRODUCT(PRODUCE!$B102:$DY102,PRODUCE!$EB$8:$IY$8)</f>
        <v>31921</v>
      </c>
      <c r="O91" s="422">
        <v>31919.8</v>
      </c>
      <c r="P91" s="438">
        <f t="shared" si="515"/>
        <v>1.2000000000007276</v>
      </c>
      <c r="Q91" s="438">
        <f t="shared" si="516"/>
        <v>135042.20000000007</v>
      </c>
      <c r="R91" s="56"/>
      <c r="U91" s="55">
        <f t="shared" si="517"/>
        <v>46097</v>
      </c>
      <c r="V91" s="422">
        <v>30140</v>
      </c>
      <c r="W91" s="440">
        <f>SUMPRODUCT(PRODUCE!$B102:$DY102,PRODUCE!$EB$9:$IY$9)</f>
        <v>11180</v>
      </c>
      <c r="X91" s="422">
        <v>11182.7</v>
      </c>
      <c r="Y91" s="440">
        <f t="shared" si="518"/>
        <v>-2.7000000000007276</v>
      </c>
      <c r="Z91" s="440">
        <f t="shared" si="519"/>
        <v>58624.999999999971</v>
      </c>
      <c r="AA91" s="56"/>
      <c r="AD91" s="55">
        <f t="shared" si="520"/>
        <v>46097</v>
      </c>
      <c r="AE91" s="422">
        <v>30490</v>
      </c>
      <c r="AF91" s="442">
        <f>SUMPRODUCT(PRODUCE!$B102:$DY102,PRODUCE!$EB$10:$IY$10)</f>
        <v>3716</v>
      </c>
      <c r="AG91" s="422">
        <v>3719.1</v>
      </c>
      <c r="AH91" s="442">
        <f t="shared" si="521"/>
        <v>-3.0999999999999091</v>
      </c>
      <c r="AI91" s="442">
        <f t="shared" si="522"/>
        <v>50035.900000000016</v>
      </c>
      <c r="AJ91" s="56"/>
      <c r="AM91" s="55">
        <f t="shared" si="523"/>
        <v>46097</v>
      </c>
      <c r="AN91" s="422"/>
      <c r="AO91" s="444">
        <f>SUMPRODUCT(PRODUCE!$B102:$DY102,PRODUCE!$EB$11:$IY$11)</f>
        <v>0</v>
      </c>
      <c r="AP91" s="422"/>
      <c r="AQ91" s="444">
        <f t="shared" si="524"/>
        <v>0</v>
      </c>
      <c r="AR91" s="444">
        <f t="shared" si="525"/>
        <v>0</v>
      </c>
      <c r="AS91" s="56"/>
      <c r="AV91" s="55">
        <f t="shared" si="526"/>
        <v>46097</v>
      </c>
      <c r="AW91" s="422"/>
      <c r="AX91" s="446">
        <f>SUMPRODUCT(PRODUCE!$B102:$DY102,PRODUCE!$EB$12:$IY$12)</f>
        <v>460</v>
      </c>
      <c r="AY91" s="422">
        <v>461.7</v>
      </c>
      <c r="AZ91" s="446">
        <f t="shared" si="527"/>
        <v>-1.6999999999999886</v>
      </c>
      <c r="BA91" s="446">
        <f t="shared" si="528"/>
        <v>24799.699999999986</v>
      </c>
      <c r="BB91" s="56"/>
      <c r="BE91" s="55">
        <f t="shared" si="529"/>
        <v>46097</v>
      </c>
      <c r="BF91" s="422"/>
      <c r="BG91" s="448">
        <f>SUMPRODUCT(PRODUCE!$B102:$DY102,PRODUCE!$EB$13:$IY$13)</f>
        <v>6460</v>
      </c>
      <c r="BH91" s="422">
        <v>6458.7</v>
      </c>
      <c r="BI91" s="448">
        <f t="shared" si="530"/>
        <v>1.3000000000001819</v>
      </c>
      <c r="BJ91" s="448">
        <f t="shared" si="531"/>
        <v>20106.700000000004</v>
      </c>
      <c r="BK91" s="56"/>
      <c r="BN91" s="55">
        <f t="shared" si="532"/>
        <v>46097</v>
      </c>
      <c r="BO91" s="422">
        <v>3450.9</v>
      </c>
      <c r="BP91" s="450">
        <f>SUMPRODUCT(PRODUCE!$B102:$DY102,PRODUCE!$EB$14:$IY$14)</f>
        <v>3451</v>
      </c>
      <c r="BQ91" s="422">
        <v>3450.9</v>
      </c>
      <c r="BR91" s="450">
        <f t="shared" si="533"/>
        <v>9.9999999999909051E-2</v>
      </c>
      <c r="BS91" s="450">
        <f t="shared" si="534"/>
        <v>0</v>
      </c>
      <c r="BT91" s="56"/>
      <c r="BW91" s="55">
        <f t="shared" si="535"/>
        <v>46097</v>
      </c>
      <c r="BX91" s="56"/>
      <c r="BY91" s="65">
        <f>SUMPRODUCT(PRODUCE!$B102:$DY102,PRODUCE!$EB$15:$IY$15)</f>
        <v>649.00000000000011</v>
      </c>
      <c r="BZ91" s="56"/>
      <c r="CA91" s="65">
        <f t="shared" si="536"/>
        <v>649.00000000000011</v>
      </c>
      <c r="CB91" s="65">
        <f t="shared" si="537"/>
        <v>3063.8</v>
      </c>
      <c r="CC91" s="56"/>
      <c r="CF91" s="55">
        <f t="shared" si="538"/>
        <v>46097</v>
      </c>
      <c r="CG91" s="56"/>
      <c r="CH91" s="66">
        <f>SUMPRODUCT(PRODUCE!$B102:$DY102,PRODUCE!$EB$16:$IY$16)</f>
        <v>1292.0000000000002</v>
      </c>
      <c r="CI91" s="56"/>
      <c r="CJ91" s="66">
        <f t="shared" si="539"/>
        <v>1292.0000000000002</v>
      </c>
      <c r="CK91" s="66">
        <f t="shared" si="540"/>
        <v>0</v>
      </c>
      <c r="CL91" s="56"/>
      <c r="CO91" s="55">
        <f t="shared" si="541"/>
        <v>46097</v>
      </c>
      <c r="CP91" s="422"/>
      <c r="CQ91" s="470">
        <f>SUMPRODUCT(PRODUCE!$B102:$DY102,PRODUCE!$EB$17:$IY$17)</f>
        <v>0</v>
      </c>
      <c r="CR91" s="422"/>
      <c r="CS91" s="470">
        <f t="shared" si="542"/>
        <v>0</v>
      </c>
      <c r="CT91" s="470">
        <f t="shared" si="543"/>
        <v>0</v>
      </c>
      <c r="CU91" s="56"/>
      <c r="CX91" s="55">
        <f t="shared" si="544"/>
        <v>46097</v>
      </c>
      <c r="CY91" s="56"/>
      <c r="CZ91" s="133">
        <f>SUMPRODUCT(PRODUCE!$B102:$DY102,PRODUCE!$EB$18:$IY$18)</f>
        <v>5900</v>
      </c>
      <c r="DA91" s="56">
        <v>5900</v>
      </c>
      <c r="DB91" s="133">
        <f t="shared" si="545"/>
        <v>0</v>
      </c>
      <c r="DC91" s="133">
        <f t="shared" si="546"/>
        <v>22350.399999999998</v>
      </c>
      <c r="DD91" s="56"/>
      <c r="DG91" s="55">
        <f t="shared" si="547"/>
        <v>46097</v>
      </c>
      <c r="DH91" s="56"/>
      <c r="DI91" s="147">
        <f>SUMPRODUCT(PRODUCE!$B102:$DY102,PRODUCE!$EB$19:$IY$19)</f>
        <v>4720</v>
      </c>
      <c r="DJ91" s="56">
        <v>4719.6000000000004</v>
      </c>
      <c r="DK91" s="147">
        <f t="shared" si="548"/>
        <v>0.3999999999996362</v>
      </c>
      <c r="DL91" s="147">
        <f t="shared" si="549"/>
        <v>5965.7999999999956</v>
      </c>
      <c r="DM91" s="56"/>
      <c r="DP91" s="55">
        <f t="shared" si="550"/>
        <v>46097</v>
      </c>
      <c r="DQ91" s="56"/>
      <c r="DR91" s="57">
        <f>SUMPRODUCT(PRODUCE!$B102:$DY102,PRODUCE!$EB$20:$IY$20)</f>
        <v>0</v>
      </c>
      <c r="DS91" s="56"/>
      <c r="DT91" s="57">
        <f t="shared" si="551"/>
        <v>0</v>
      </c>
      <c r="DU91" s="57">
        <f t="shared" si="552"/>
        <v>7150</v>
      </c>
      <c r="DV91" s="56"/>
      <c r="DY91" s="55">
        <f t="shared" si="553"/>
        <v>46097</v>
      </c>
      <c r="DZ91" s="56"/>
      <c r="EA91" s="157">
        <f>SUMPRODUCT(PRODUCE!$B102:$DY102,PRODUCE!$EB$21:$IY$21)</f>
        <v>0</v>
      </c>
      <c r="EB91" s="56"/>
      <c r="EC91" s="157">
        <f t="shared" si="554"/>
        <v>0</v>
      </c>
      <c r="ED91" s="157">
        <f t="shared" si="555"/>
        <v>4047.3</v>
      </c>
      <c r="EE91" s="56"/>
      <c r="EH91" s="55">
        <f t="shared" si="556"/>
        <v>46097</v>
      </c>
      <c r="EI91" s="56"/>
      <c r="EJ91" s="162">
        <f>SUMPRODUCT(PRODUCE!$B102:$DY102,PRODUCE!$EB$22:$IY$22)</f>
        <v>0</v>
      </c>
      <c r="EK91" s="56"/>
      <c r="EL91" s="162">
        <f t="shared" si="557"/>
        <v>0</v>
      </c>
      <c r="EM91" s="162">
        <f t="shared" si="558"/>
        <v>0</v>
      </c>
      <c r="EN91" s="56"/>
      <c r="EQ91" s="55">
        <f t="shared" si="559"/>
        <v>46097</v>
      </c>
      <c r="ER91" s="56"/>
      <c r="ES91" s="135">
        <f>SUMPRODUCT(PRODUCE!$B102:$DY102,PRODUCE!$EB$23:$IY$23)</f>
        <v>0</v>
      </c>
      <c r="ET91" s="56"/>
      <c r="EU91" s="135">
        <f t="shared" si="560"/>
        <v>0</v>
      </c>
      <c r="EV91" s="135">
        <f t="shared" si="561"/>
        <v>0</v>
      </c>
      <c r="EW91" s="56"/>
      <c r="EZ91" s="55">
        <f t="shared" si="562"/>
        <v>46097</v>
      </c>
      <c r="FA91" s="56"/>
      <c r="FB91" s="175">
        <f>SUMPRODUCT(PRODUCE!$B102:$DY102,PRODUCE!$EB$24:$IY$24)</f>
        <v>0</v>
      </c>
      <c r="FC91" s="56"/>
      <c r="FD91" s="175">
        <f t="shared" si="563"/>
        <v>0</v>
      </c>
      <c r="FE91" s="175">
        <f t="shared" si="564"/>
        <v>0</v>
      </c>
      <c r="FF91" s="56"/>
      <c r="FI91" s="55">
        <f t="shared" si="565"/>
        <v>46097</v>
      </c>
      <c r="FJ91" s="56"/>
      <c r="FK91" s="183">
        <f>SUMPRODUCT(PRODUCE!$B102:$DY102,PRODUCE!$EB$25:$IY$25)</f>
        <v>0</v>
      </c>
      <c r="FL91" s="56"/>
      <c r="FM91" s="183">
        <f t="shared" si="566"/>
        <v>0</v>
      </c>
      <c r="FN91" s="183">
        <f t="shared" si="567"/>
        <v>0</v>
      </c>
      <c r="FO91" s="56"/>
      <c r="FR91" s="55">
        <f t="shared" si="568"/>
        <v>46097</v>
      </c>
      <c r="FS91" s="422"/>
      <c r="FT91" s="452">
        <f>SUMPRODUCT(PRODUCE!$B102:$DY102,PRODUCE!$EB$26:$IY$26)</f>
        <v>0</v>
      </c>
      <c r="FU91" s="422"/>
      <c r="FV91" s="452">
        <f t="shared" si="569"/>
        <v>0</v>
      </c>
      <c r="FW91" s="452">
        <f t="shared" si="570"/>
        <v>3220</v>
      </c>
      <c r="FX91" s="56"/>
      <c r="GA91" s="55">
        <f t="shared" si="571"/>
        <v>46097</v>
      </c>
      <c r="GB91" s="422"/>
      <c r="GC91" s="454">
        <f>SUMPRODUCT(PRODUCE!$B102:$DY102,PRODUCE!$EB$27:$IY$27)</f>
        <v>920</v>
      </c>
      <c r="GD91" s="422"/>
      <c r="GE91" s="454">
        <f t="shared" si="572"/>
        <v>920</v>
      </c>
      <c r="GF91" s="454">
        <f t="shared" si="573"/>
        <v>1800</v>
      </c>
      <c r="GG91" s="56"/>
      <c r="GI91" s="23"/>
      <c r="GJ91" s="55">
        <f t="shared" si="574"/>
        <v>46097</v>
      </c>
      <c r="GK91" s="422"/>
      <c r="GL91" s="456">
        <f>SUMPRODUCT(PRODUCE!$B102:$DY102,PRODUCE!$EB$28:$IY$28)</f>
        <v>0</v>
      </c>
      <c r="GM91" s="422"/>
      <c r="GN91" s="456">
        <f t="shared" si="575"/>
        <v>0</v>
      </c>
      <c r="GO91" s="456">
        <f t="shared" si="576"/>
        <v>5240</v>
      </c>
      <c r="GP91" s="56"/>
      <c r="GS91" s="55">
        <f t="shared" si="577"/>
        <v>46097</v>
      </c>
      <c r="GT91" s="56"/>
      <c r="GU91" s="195">
        <f>SUMPRODUCT(PRODUCE!$B102:$DY102,PRODUCE!$EB$29:$IY$29)</f>
        <v>0</v>
      </c>
      <c r="GV91" s="56"/>
      <c r="GW91" s="195">
        <f t="shared" si="578"/>
        <v>0</v>
      </c>
      <c r="GX91" s="195">
        <f t="shared" si="579"/>
        <v>0</v>
      </c>
      <c r="GY91" s="56"/>
      <c r="HB91" s="55">
        <f t="shared" si="580"/>
        <v>46097</v>
      </c>
      <c r="HC91" s="56"/>
      <c r="HD91" s="191">
        <f>SUMPRODUCT(PRODUCE!$B102:$DY102,PRODUCE!$EB$30:$IY$30)</f>
        <v>0</v>
      </c>
      <c r="HE91" s="56"/>
      <c r="HF91" s="191">
        <f t="shared" si="581"/>
        <v>0</v>
      </c>
      <c r="HG91" s="191">
        <f t="shared" si="582"/>
        <v>0</v>
      </c>
      <c r="HH91" s="56"/>
      <c r="HK91" s="55">
        <f t="shared" si="583"/>
        <v>46097</v>
      </c>
      <c r="HL91" s="56"/>
      <c r="HM91" s="63">
        <f>SUMPRODUCT(PRODUCE!$B102:$DY102,PRODUCE!$EB$31:$IY$31)</f>
        <v>0</v>
      </c>
      <c r="HN91" s="56"/>
      <c r="HO91" s="63">
        <f t="shared" si="584"/>
        <v>0</v>
      </c>
      <c r="HP91" s="63">
        <f t="shared" si="585"/>
        <v>0</v>
      </c>
      <c r="HQ91" s="56"/>
      <c r="HU91" s="55">
        <f t="shared" si="586"/>
        <v>46097</v>
      </c>
      <c r="HV91" s="56"/>
      <c r="HW91" s="242">
        <f>SUMPRODUCT(PRODUCE!$B102:$DY102,PRODUCE!$EB$32:$IY$32)</f>
        <v>0</v>
      </c>
      <c r="HX91" s="56"/>
      <c r="HY91" s="242">
        <f t="shared" si="587"/>
        <v>0</v>
      </c>
      <c r="HZ91" s="242">
        <f t="shared" si="588"/>
        <v>5120</v>
      </c>
      <c r="IA91" s="56"/>
      <c r="ID91" s="55">
        <f t="shared" si="589"/>
        <v>46097</v>
      </c>
      <c r="IE91" s="56"/>
      <c r="IF91" s="242">
        <f>SUMPRODUCT(PRODUCE!$B102:$DY102,PRODUCE!$EB$33:$IY$33)</f>
        <v>0</v>
      </c>
      <c r="IG91" s="56"/>
      <c r="IH91" s="242">
        <f t="shared" si="590"/>
        <v>0</v>
      </c>
      <c r="II91" s="242">
        <f t="shared" si="591"/>
        <v>6540</v>
      </c>
      <c r="IJ91" s="56"/>
      <c r="IM91" s="55">
        <f t="shared" si="592"/>
        <v>46097</v>
      </c>
      <c r="IN91" s="56"/>
      <c r="IO91" s="242">
        <f>SUMPRODUCT(PRODUCE!$B102:$DY102,PRODUCE!$EB$34:$IY$34)</f>
        <v>0</v>
      </c>
      <c r="IP91" s="56"/>
      <c r="IQ91" s="242">
        <f t="shared" si="593"/>
        <v>0</v>
      </c>
      <c r="IR91" s="242">
        <f t="shared" si="594"/>
        <v>11540</v>
      </c>
      <c r="IS91" s="56"/>
      <c r="IV91" s="55">
        <f t="shared" si="595"/>
        <v>46097</v>
      </c>
      <c r="IW91" s="56"/>
      <c r="IX91" s="242">
        <f>SUMPRODUCT(PRODUCE!$B102:$DY102,PRODUCE!$EB$35:$IY$35)</f>
        <v>0</v>
      </c>
      <c r="IY91" s="56"/>
      <c r="IZ91" s="242">
        <f t="shared" si="596"/>
        <v>0</v>
      </c>
      <c r="JA91" s="242">
        <f t="shared" si="597"/>
        <v>15120</v>
      </c>
      <c r="JB91" s="56"/>
      <c r="JE91" s="55">
        <f t="shared" si="598"/>
        <v>46097</v>
      </c>
      <c r="JF91" s="56"/>
      <c r="JG91" s="242">
        <f>SUMPRODUCT(PRODUCE!$B102:$DY102,PRODUCE!$EB$36:$IY$36)</f>
        <v>0</v>
      </c>
      <c r="JH91" s="56"/>
      <c r="JI91" s="242">
        <f t="shared" si="599"/>
        <v>0</v>
      </c>
      <c r="JJ91" s="242">
        <f t="shared" si="600"/>
        <v>5040</v>
      </c>
      <c r="JK91" s="56"/>
      <c r="JN91" s="55">
        <f t="shared" si="601"/>
        <v>46097</v>
      </c>
      <c r="JO91" s="56"/>
      <c r="JP91" s="242">
        <f>SUMPRODUCT(PRODUCE!$B102:$DY102,PRODUCE!$EB$37:$IY$37)</f>
        <v>0</v>
      </c>
      <c r="JQ91" s="56"/>
      <c r="JR91" s="242">
        <f t="shared" si="602"/>
        <v>0</v>
      </c>
      <c r="JS91" s="242">
        <f t="shared" si="603"/>
        <v>9100</v>
      </c>
      <c r="JT91" s="56"/>
      <c r="JW91" s="55">
        <f t="shared" si="604"/>
        <v>46097</v>
      </c>
      <c r="JX91" s="56"/>
      <c r="JY91" s="242">
        <f>SUMPRODUCT(PRODUCE!$B102:$DY102,PRODUCE!$EB$38:$IY$38)</f>
        <v>0</v>
      </c>
      <c r="JZ91" s="56"/>
      <c r="KA91" s="242">
        <f t="shared" si="605"/>
        <v>0</v>
      </c>
      <c r="KB91" s="242">
        <f t="shared" si="606"/>
        <v>6180</v>
      </c>
      <c r="KC91" s="56"/>
      <c r="KF91" s="55">
        <f t="shared" si="607"/>
        <v>46097</v>
      </c>
      <c r="KG91" s="56"/>
      <c r="KH91" s="242">
        <f>SUMPRODUCT(PRODUCE!$B102:$DY102,PRODUCE!$EB$39:$IY$39)</f>
        <v>0</v>
      </c>
      <c r="KI91" s="56"/>
      <c r="KJ91" s="242">
        <f t="shared" si="608"/>
        <v>0</v>
      </c>
      <c r="KK91" s="242">
        <f t="shared" si="609"/>
        <v>9184.5</v>
      </c>
      <c r="KL91" s="56"/>
      <c r="KO91" s="55">
        <f t="shared" si="610"/>
        <v>46097</v>
      </c>
      <c r="KP91" s="56"/>
      <c r="KQ91" s="242">
        <f>SUMPRODUCT(PRODUCE!$B102:$DY102,PRODUCE!$EB$40:$IY$40)</f>
        <v>2230.1999999999998</v>
      </c>
      <c r="KR91" s="56"/>
      <c r="KS91" s="242">
        <f t="shared" si="611"/>
        <v>2230.1999999999998</v>
      </c>
      <c r="KT91" s="242">
        <f t="shared" si="612"/>
        <v>6993</v>
      </c>
      <c r="KU91" s="56"/>
      <c r="KW91" s="23"/>
      <c r="KX91" s="55">
        <f t="shared" si="613"/>
        <v>46097</v>
      </c>
      <c r="KY91" s="56"/>
      <c r="KZ91" s="242">
        <f>SUMPRODUCT(PRODUCE!$B102:$DY102,PRODUCE!$EB$41:$IY$41)</f>
        <v>0</v>
      </c>
      <c r="LA91" s="56"/>
      <c r="LB91" s="242">
        <f t="shared" si="614"/>
        <v>0</v>
      </c>
      <c r="LC91" s="242">
        <f t="shared" si="615"/>
        <v>0</v>
      </c>
      <c r="LD91" s="56"/>
      <c r="LG91" s="55">
        <f t="shared" si="616"/>
        <v>46097</v>
      </c>
      <c r="LH91" s="56"/>
      <c r="LI91" s="242">
        <f>SUMPRODUCT(PRODUCE!$B102:$DY102,PRODUCE!$EB$42:$IY$42)</f>
        <v>0</v>
      </c>
      <c r="LJ91" s="56"/>
      <c r="LK91" s="242">
        <f t="shared" si="617"/>
        <v>0</v>
      </c>
      <c r="LL91" s="242">
        <f t="shared" si="618"/>
        <v>0</v>
      </c>
      <c r="LM91" s="56"/>
      <c r="LP91" s="55">
        <f t="shared" si="619"/>
        <v>46097</v>
      </c>
      <c r="LQ91" s="56"/>
      <c r="LR91" s="242">
        <f>SUMPRODUCT(PRODUCE!$B106:$DY106,PRODUCE!$EB$43:$IY$43)</f>
        <v>0</v>
      </c>
      <c r="LS91" s="56"/>
      <c r="LT91" s="242">
        <f t="shared" si="620"/>
        <v>0</v>
      </c>
      <c r="LU91" s="242">
        <f t="shared" si="621"/>
        <v>0</v>
      </c>
      <c r="LV91" s="56"/>
      <c r="LY91" s="55">
        <f t="shared" si="622"/>
        <v>46097</v>
      </c>
      <c r="LZ91" s="56"/>
      <c r="MA91" s="242">
        <f>SUMPRODUCT(PRODUCE!$B102:$DY102,PRODUCE!$EB$44:$IY$44)</f>
        <v>0</v>
      </c>
      <c r="MB91" s="56"/>
      <c r="MC91" s="242">
        <f t="shared" si="623"/>
        <v>0</v>
      </c>
      <c r="MD91" s="242">
        <f t="shared" si="624"/>
        <v>0</v>
      </c>
      <c r="ME91" s="56"/>
      <c r="MH91" s="55">
        <f t="shared" si="625"/>
        <v>46097</v>
      </c>
      <c r="MI91" s="56"/>
      <c r="MJ91" s="242">
        <f>SUMPRODUCT(PRODUCE!$B102:$DY102,PRODUCE!$EB$45:$IY$45)</f>
        <v>0</v>
      </c>
      <c r="MK91" s="56"/>
      <c r="ML91" s="242">
        <f t="shared" si="626"/>
        <v>0</v>
      </c>
      <c r="MM91" s="242">
        <f t="shared" si="627"/>
        <v>0</v>
      </c>
      <c r="MN91" s="56"/>
      <c r="MQ91" s="55">
        <f t="shared" si="628"/>
        <v>46097</v>
      </c>
      <c r="MR91" s="56"/>
      <c r="MS91" s="242">
        <f>SUMPRODUCT(PRODUCE!$B102:$DY102,PRODUCE!$EB$46:$IY$46)</f>
        <v>259</v>
      </c>
      <c r="MT91" s="56"/>
      <c r="MU91" s="242">
        <f t="shared" si="629"/>
        <v>259</v>
      </c>
      <c r="MV91" s="242">
        <f t="shared" si="630"/>
        <v>4740</v>
      </c>
      <c r="MW91" s="56"/>
      <c r="MZ91" s="55">
        <f t="shared" si="631"/>
        <v>46097</v>
      </c>
      <c r="NA91" s="56"/>
      <c r="NB91" s="242">
        <f>SUMPRODUCT(PRODUCE!$B102:$DY102,PRODUCE!$EB$47:$IY$47)</f>
        <v>354</v>
      </c>
      <c r="NC91" s="56"/>
      <c r="ND91" s="242">
        <f t="shared" si="632"/>
        <v>354</v>
      </c>
      <c r="NE91" s="242">
        <f t="shared" si="633"/>
        <v>0</v>
      </c>
      <c r="NF91" s="56"/>
      <c r="NI91" s="55">
        <f t="shared" si="634"/>
        <v>46097</v>
      </c>
      <c r="NJ91" s="56"/>
      <c r="NK91" s="242">
        <f>SUMPRODUCT(PRODUCE!$B102:$DY102,PRODUCE!$EB$48:$IY$48)</f>
        <v>0</v>
      </c>
      <c r="NL91" s="56"/>
      <c r="NM91" s="242">
        <f t="shared" si="635"/>
        <v>0</v>
      </c>
      <c r="NN91" s="242">
        <f t="shared" si="636"/>
        <v>465</v>
      </c>
      <c r="NO91" s="56"/>
      <c r="NR91" s="55">
        <f t="shared" si="637"/>
        <v>46097</v>
      </c>
      <c r="NS91" s="56"/>
      <c r="NT91" s="242">
        <f>SUMPRODUCT(PRODUCE!$B102:$DY102,PRODUCE!$EB$49:$IY$49)</f>
        <v>141.6</v>
      </c>
      <c r="NU91" s="56"/>
      <c r="NV91" s="242">
        <f t="shared" si="638"/>
        <v>141.6</v>
      </c>
      <c r="NW91" s="242">
        <f t="shared" si="639"/>
        <v>1299.3000000000002</v>
      </c>
      <c r="NX91" s="56"/>
      <c r="OA91" s="55">
        <f t="shared" si="640"/>
        <v>46097</v>
      </c>
      <c r="OB91" s="56"/>
      <c r="OC91" s="242">
        <f>SUMPRODUCT(PRODUCE!$B102:$DY102,PRODUCE!$EB$50:$IY$50)</f>
        <v>0</v>
      </c>
      <c r="OD91" s="56"/>
      <c r="OE91" s="242">
        <f t="shared" si="641"/>
        <v>0</v>
      </c>
      <c r="OF91" s="242">
        <f t="shared" si="642"/>
        <v>1680.5</v>
      </c>
      <c r="OG91" s="56"/>
      <c r="OJ91" s="55">
        <f t="shared" si="643"/>
        <v>46097</v>
      </c>
      <c r="OK91" s="56"/>
      <c r="OL91" s="242">
        <f>SUMPRODUCT(PRODUCE!$B102:$DY102,PRODUCE!$EB$51:$IY$51)</f>
        <v>330.39999999999992</v>
      </c>
      <c r="OM91" s="56"/>
      <c r="ON91" s="242">
        <f t="shared" si="644"/>
        <v>330.39999999999992</v>
      </c>
      <c r="OO91" s="242">
        <f t="shared" si="645"/>
        <v>0</v>
      </c>
      <c r="OP91" s="56"/>
      <c r="OS91" s="55">
        <f t="shared" si="646"/>
        <v>46097</v>
      </c>
      <c r="OT91" s="56"/>
      <c r="OU91" s="242">
        <f>SUMPRODUCT(PRODUCE!$B102:$DY102,PRODUCE!$EB$52:$IY$52)</f>
        <v>0</v>
      </c>
      <c r="OV91" s="56"/>
      <c r="OW91" s="242">
        <f t="shared" si="647"/>
        <v>0</v>
      </c>
      <c r="OX91" s="242">
        <f t="shared" si="648"/>
        <v>1000</v>
      </c>
      <c r="OY91" s="56"/>
      <c r="PB91" s="55">
        <f t="shared" si="649"/>
        <v>46097</v>
      </c>
      <c r="PC91" s="56"/>
      <c r="PD91" s="242">
        <f>SUMPRODUCT(PRODUCE!$B102:$DY102,PRODUCE!$EB$53:$IY$53)</f>
        <v>0</v>
      </c>
      <c r="PE91" s="56"/>
      <c r="PF91" s="242">
        <f t="shared" si="650"/>
        <v>0</v>
      </c>
      <c r="PG91" s="242">
        <f t="shared" si="651"/>
        <v>0</v>
      </c>
      <c r="PH91" s="56"/>
      <c r="PK91" s="55">
        <f t="shared" si="652"/>
        <v>46097</v>
      </c>
      <c r="PL91" s="56"/>
      <c r="PM91" s="242">
        <f>SUMPRODUCT(PRODUCE!$B102:$DY102,PRODUCE!$EB$54:$IY$54)</f>
        <v>0</v>
      </c>
      <c r="PN91" s="56"/>
      <c r="PO91" s="242">
        <f t="shared" si="653"/>
        <v>0</v>
      </c>
      <c r="PP91" s="242">
        <f t="shared" si="654"/>
        <v>100</v>
      </c>
      <c r="PQ91" s="56"/>
      <c r="PT91" s="55">
        <f t="shared" si="655"/>
        <v>46097</v>
      </c>
      <c r="PU91" s="56"/>
      <c r="PV91" s="242">
        <f>SUMPRODUCT(PRODUCE!$B102:$DY102,PRODUCE!$EB$55:$IY$55)</f>
        <v>0</v>
      </c>
      <c r="PW91" s="56"/>
      <c r="PX91" s="242">
        <f t="shared" si="656"/>
        <v>0</v>
      </c>
      <c r="PY91" s="242">
        <f t="shared" si="657"/>
        <v>13.960000000000036</v>
      </c>
      <c r="PZ91" s="56"/>
      <c r="QC91" s="55">
        <f t="shared" si="658"/>
        <v>46097</v>
      </c>
      <c r="QD91" s="56"/>
      <c r="QE91" s="242">
        <f>SUMPRODUCT(PRODUCE!$B102:$DY102,PRODUCE!$EB$56:$IY$56)</f>
        <v>0</v>
      </c>
      <c r="QF91" s="56"/>
      <c r="QG91" s="242">
        <f t="shared" si="659"/>
        <v>0</v>
      </c>
      <c r="QH91" s="242">
        <f t="shared" si="660"/>
        <v>1212</v>
      </c>
      <c r="QI91" s="56"/>
      <c r="QL91" s="55">
        <f t="shared" si="661"/>
        <v>46097</v>
      </c>
      <c r="QM91" s="56"/>
      <c r="QN91" s="242">
        <f>SUMPRODUCT(PRODUCE!$B102:$DY102,PRODUCE!$EB$57:$IY$57)</f>
        <v>0</v>
      </c>
      <c r="QO91" s="56"/>
      <c r="QP91" s="242">
        <f t="shared" si="662"/>
        <v>0</v>
      </c>
      <c r="QQ91" s="242">
        <f t="shared" si="663"/>
        <v>0</v>
      </c>
      <c r="QR91" s="56"/>
      <c r="QU91" s="55">
        <f t="shared" si="664"/>
        <v>46097</v>
      </c>
      <c r="QV91" s="56"/>
      <c r="QW91" s="242">
        <f>SUMPRODUCT(PRODUCE!$B102:$DY102,PRODUCE!$EB$57:$IY$57)</f>
        <v>0</v>
      </c>
      <c r="QX91" s="56"/>
      <c r="QY91" s="242">
        <f t="shared" si="665"/>
        <v>0</v>
      </c>
      <c r="QZ91" s="242">
        <f t="shared" si="666"/>
        <v>207.6</v>
      </c>
      <c r="RA91" s="56"/>
      <c r="RD91" s="55">
        <f t="shared" si="667"/>
        <v>46097</v>
      </c>
      <c r="RE91" s="56"/>
      <c r="RF91" s="242">
        <f>SUMPRODUCT(PRODUCE!$B102:$DY102,PRODUCE!$EB$58:$IY$58)</f>
        <v>0</v>
      </c>
      <c r="RG91" s="56"/>
      <c r="RH91" s="242">
        <f t="shared" si="668"/>
        <v>0</v>
      </c>
      <c r="RI91" s="242">
        <f t="shared" si="669"/>
        <v>197.04000000000002</v>
      </c>
      <c r="RJ91" s="56"/>
      <c r="RM91" s="55">
        <f t="shared" si="670"/>
        <v>46097</v>
      </c>
      <c r="RN91" s="56"/>
      <c r="RO91" s="242">
        <f>SUMPRODUCT(PRODUCE!$B102:$DY102,PRODUCE!$EB$57:$IY$57)</f>
        <v>0</v>
      </c>
      <c r="RP91" s="56"/>
      <c r="RQ91" s="242">
        <f t="shared" si="671"/>
        <v>0</v>
      </c>
      <c r="RR91" s="242">
        <f t="shared" si="672"/>
        <v>46.8</v>
      </c>
      <c r="RS91" s="56"/>
      <c r="RV91" s="55">
        <f t="shared" si="673"/>
        <v>46097</v>
      </c>
      <c r="RW91" s="56"/>
      <c r="RX91" s="242">
        <f>SUMPRODUCT(PRODUCE!$B102:$DY102,PRODUCE!$EB$57:$IY$57)</f>
        <v>0</v>
      </c>
      <c r="RY91" s="56"/>
      <c r="RZ91" s="242">
        <f t="shared" si="674"/>
        <v>0</v>
      </c>
      <c r="SA91" s="242">
        <f t="shared" si="675"/>
        <v>0</v>
      </c>
      <c r="SB91" s="56"/>
      <c r="SE91" s="55">
        <f t="shared" si="676"/>
        <v>46097</v>
      </c>
      <c r="SF91" s="56"/>
      <c r="SG91" s="242">
        <f>SUMPRODUCT(PRODUCE!$B102:$DY102,PRODUCE!$EB$57:$IY$57)</f>
        <v>0</v>
      </c>
      <c r="SH91" s="56"/>
      <c r="SI91" s="242">
        <f t="shared" si="677"/>
        <v>0</v>
      </c>
      <c r="SJ91" s="242">
        <f t="shared" si="678"/>
        <v>0</v>
      </c>
      <c r="SK91" s="56"/>
      <c r="SN91" s="55">
        <f t="shared" si="679"/>
        <v>46097</v>
      </c>
      <c r="SO91" s="56"/>
      <c r="SP91" s="242">
        <f>SUMPRODUCT(PRODUCE!$B102:$DY102,PRODUCE!$EB$57:$IY$57)</f>
        <v>0</v>
      </c>
      <c r="SQ91" s="56"/>
      <c r="SR91" s="242">
        <f t="shared" si="680"/>
        <v>0</v>
      </c>
      <c r="SS91" s="242">
        <f t="shared" si="681"/>
        <v>0</v>
      </c>
      <c r="ST91" s="56"/>
      <c r="SW91" s="55">
        <f t="shared" si="682"/>
        <v>46097</v>
      </c>
      <c r="SX91" s="56"/>
      <c r="SY91" s="242">
        <f>SUMPRODUCT(PRODUCE!$B102:$DY102,PRODUCE!$EB$57:$IY$57)</f>
        <v>0</v>
      </c>
      <c r="SZ91" s="56"/>
      <c r="TA91" s="242">
        <f t="shared" si="683"/>
        <v>0</v>
      </c>
      <c r="TB91" s="242">
        <f t="shared" si="684"/>
        <v>0</v>
      </c>
      <c r="TC91" s="56"/>
      <c r="TF91" s="55">
        <f t="shared" si="685"/>
        <v>46097</v>
      </c>
      <c r="TG91" s="56"/>
      <c r="TH91" s="242">
        <f>SUMPRODUCT(PRODUCE!$B102:$DY102,PRODUCE!$EB$57:$IY$57)</f>
        <v>0</v>
      </c>
      <c r="TI91" s="56"/>
      <c r="TJ91" s="242">
        <f t="shared" si="686"/>
        <v>0</v>
      </c>
      <c r="TK91" s="242">
        <f t="shared" si="687"/>
        <v>0</v>
      </c>
      <c r="TL91" s="56"/>
      <c r="TO91" s="55">
        <f t="shared" si="688"/>
        <v>46097</v>
      </c>
      <c r="TP91" s="56"/>
      <c r="TQ91" s="242">
        <f>SUMPRODUCT(PRODUCE!$B102:$DY102,PRODUCE!$EB$57:$IY$57)</f>
        <v>0</v>
      </c>
      <c r="TR91" s="56"/>
      <c r="TS91" s="242">
        <f t="shared" si="689"/>
        <v>0</v>
      </c>
      <c r="TT91" s="242">
        <f t="shared" si="690"/>
        <v>0</v>
      </c>
      <c r="TU91" s="56"/>
      <c r="TX91" s="55">
        <f t="shared" si="691"/>
        <v>46097</v>
      </c>
      <c r="TY91" s="56"/>
      <c r="TZ91" s="242">
        <f>SUMPRODUCT(PRODUCE!$B102:$DY102,PRODUCE!$EB$57:$IY$57)</f>
        <v>0</v>
      </c>
      <c r="UA91" s="56"/>
      <c r="UB91" s="242">
        <f t="shared" si="692"/>
        <v>0</v>
      </c>
      <c r="UC91" s="242">
        <f t="shared" si="693"/>
        <v>0</v>
      </c>
      <c r="UD91" s="56"/>
      <c r="UG91" s="55">
        <f t="shared" si="694"/>
        <v>46097</v>
      </c>
      <c r="UH91" s="56"/>
      <c r="UI91" s="242">
        <f>SUMPRODUCT(PRODUCE!$B102:$DY102,PRODUCE!$EB$57:$IY$57)</f>
        <v>0</v>
      </c>
      <c r="UJ91" s="56"/>
      <c r="UK91" s="242">
        <f t="shared" si="695"/>
        <v>0</v>
      </c>
      <c r="UL91" s="242">
        <f t="shared" si="696"/>
        <v>0</v>
      </c>
      <c r="UM91" s="56"/>
      <c r="UP91" s="55">
        <f t="shared" si="697"/>
        <v>46097</v>
      </c>
      <c r="UQ91" s="56"/>
      <c r="UR91" s="242">
        <f>SUMPRODUCT(PRODUCE!$B102:$DY102,PRODUCE!$EB$57:$IY$57)</f>
        <v>0</v>
      </c>
      <c r="US91" s="56"/>
      <c r="UT91" s="242">
        <f t="shared" si="698"/>
        <v>0</v>
      </c>
      <c r="UU91" s="242">
        <f t="shared" si="699"/>
        <v>0</v>
      </c>
      <c r="UV91" s="56"/>
      <c r="UY91" s="55">
        <f t="shared" si="700"/>
        <v>46097</v>
      </c>
      <c r="UZ91" s="56"/>
      <c r="VA91" s="242">
        <f>SUMPRODUCT(PRODUCE!$B102:$DY102,PRODUCE!$EB$57:$IY$57)</f>
        <v>0</v>
      </c>
      <c r="VB91" s="56"/>
      <c r="VC91" s="242">
        <f t="shared" si="701"/>
        <v>0</v>
      </c>
      <c r="VD91" s="242">
        <f t="shared" si="702"/>
        <v>41.600000000000023</v>
      </c>
      <c r="VE91" s="56"/>
      <c r="VH91" s="55">
        <f t="shared" si="703"/>
        <v>46097</v>
      </c>
      <c r="VI91" s="56"/>
      <c r="VJ91" s="242">
        <f>SUMPRODUCT(PRODUCE!$B102:$DY102,PRODUCE!$EB$57:$IY$57)</f>
        <v>0</v>
      </c>
      <c r="VK91" s="56"/>
      <c r="VL91" s="242">
        <f t="shared" si="704"/>
        <v>0</v>
      </c>
      <c r="VM91" s="242">
        <f t="shared" si="705"/>
        <v>0</v>
      </c>
      <c r="VN91" s="56"/>
      <c r="VQ91" s="55">
        <f t="shared" si="706"/>
        <v>46097</v>
      </c>
      <c r="VR91" s="56"/>
      <c r="VS91" s="242">
        <f>SUMPRODUCT(PRODUCE!$B102:$DY102,PRODUCE!$EB$57:$IY$57)</f>
        <v>0</v>
      </c>
      <c r="VT91" s="56"/>
      <c r="VU91" s="242">
        <f t="shared" si="707"/>
        <v>0</v>
      </c>
      <c r="VV91" s="242">
        <f t="shared" si="708"/>
        <v>0</v>
      </c>
      <c r="VW91" s="56"/>
      <c r="VZ91" s="55">
        <f t="shared" si="709"/>
        <v>46097</v>
      </c>
      <c r="WA91" s="56"/>
      <c r="WB91" s="242">
        <f>SUMPRODUCT(PRODUCE!$B102:$DY102,PRODUCE!$EB$57:$IY$57)</f>
        <v>0</v>
      </c>
      <c r="WC91" s="56"/>
      <c r="WD91" s="242">
        <f t="shared" si="710"/>
        <v>0</v>
      </c>
      <c r="WE91" s="242">
        <f t="shared" si="711"/>
        <v>0</v>
      </c>
      <c r="WF91" s="56"/>
      <c r="WI91" s="55">
        <f t="shared" si="712"/>
        <v>46097</v>
      </c>
      <c r="WJ91" s="56"/>
      <c r="WK91" s="242">
        <f>SUMPRODUCT(PRODUCE!$B102:$DY102,PRODUCE!$EB$57:$IY$57)</f>
        <v>0</v>
      </c>
      <c r="WL91" s="56"/>
      <c r="WM91" s="242">
        <f t="shared" si="713"/>
        <v>0</v>
      </c>
      <c r="WN91" s="242">
        <f t="shared" si="714"/>
        <v>6022</v>
      </c>
      <c r="WO91" s="56"/>
      <c r="WR91" s="55">
        <f t="shared" si="715"/>
        <v>46097</v>
      </c>
      <c r="WS91" s="56"/>
      <c r="WT91" s="242">
        <f>SUMPRODUCT(PRODUCE!$B102:$DY102,PRODUCE!$EB$57:$IY$57)</f>
        <v>0</v>
      </c>
      <c r="WU91" s="56">
        <v>545</v>
      </c>
      <c r="WV91" s="242">
        <f t="shared" si="716"/>
        <v>-545</v>
      </c>
      <c r="WW91" s="242">
        <f t="shared" si="717"/>
        <v>5023</v>
      </c>
      <c r="WX91" s="56"/>
      <c r="XA91" s="55">
        <f t="shared" si="718"/>
        <v>46097</v>
      </c>
      <c r="XB91" s="56"/>
      <c r="XC91" s="242">
        <f>SUMPRODUCT(PRODUCE!$B102:$DY102,PRODUCE!$EB$57:$IY$57)</f>
        <v>0</v>
      </c>
      <c r="XD91" s="56"/>
      <c r="XE91" s="242">
        <f t="shared" si="719"/>
        <v>0</v>
      </c>
      <c r="XF91" s="242">
        <f t="shared" si="720"/>
        <v>590</v>
      </c>
      <c r="XG91" s="56"/>
      <c r="XJ91" s="55">
        <f t="shared" si="721"/>
        <v>46097</v>
      </c>
      <c r="XK91" s="56"/>
      <c r="XL91" s="242">
        <f>SUMPRODUCT(PRODUCE!$B102:$DY102,PRODUCE!$EB$57:$IY$57)</f>
        <v>0</v>
      </c>
      <c r="XM91" s="56">
        <v>820</v>
      </c>
      <c r="XN91" s="242">
        <f t="shared" si="722"/>
        <v>-820</v>
      </c>
      <c r="XO91" s="242">
        <f t="shared" si="723"/>
        <v>-124</v>
      </c>
      <c r="XP91" s="56"/>
      <c r="XS91" s="55">
        <f t="shared" si="724"/>
        <v>46097</v>
      </c>
      <c r="XT91" s="56"/>
      <c r="XU91" s="242">
        <f>SUMPRODUCT(PRODUCE!$B102:$DY102,PRODUCE!$EB$57:$IY$57)</f>
        <v>0</v>
      </c>
      <c r="XV91" s="56"/>
      <c r="XW91" s="242">
        <f t="shared" si="725"/>
        <v>0</v>
      </c>
      <c r="XX91" s="242">
        <f t="shared" si="726"/>
        <v>1901</v>
      </c>
      <c r="XY91" s="56"/>
      <c r="YB91" s="55">
        <f t="shared" si="727"/>
        <v>46097</v>
      </c>
      <c r="YC91" s="56"/>
      <c r="YD91" s="242">
        <f>SUMPRODUCT(PRODUCE!$B102:$DY102,PRODUCE!$EB$57:$IY$57)</f>
        <v>0</v>
      </c>
      <c r="YE91" s="56"/>
      <c r="YF91" s="242">
        <f t="shared" si="728"/>
        <v>0</v>
      </c>
      <c r="YG91" s="242">
        <f t="shared" si="729"/>
        <v>0</v>
      </c>
      <c r="YH91" s="56"/>
      <c r="YK91" s="55">
        <f t="shared" si="730"/>
        <v>46097</v>
      </c>
      <c r="YL91" s="56"/>
      <c r="YM91" s="242">
        <f>SUMPRODUCT(PRODUCE!$B102:$DY102,PRODUCE!$EB$57:$IY$57)</f>
        <v>0</v>
      </c>
      <c r="YN91" s="56"/>
      <c r="YO91" s="242">
        <f t="shared" si="731"/>
        <v>0</v>
      </c>
      <c r="YP91" s="242">
        <f t="shared" si="732"/>
        <v>0</v>
      </c>
      <c r="YQ91" s="56"/>
      <c r="YT91" s="55">
        <f t="shared" si="733"/>
        <v>46097</v>
      </c>
      <c r="YU91" s="56"/>
      <c r="YV91" s="242">
        <f>SUMPRODUCT(PRODUCE!$B102:$DY102,PRODUCE!$EB$57:$IY$57)</f>
        <v>0</v>
      </c>
      <c r="YW91" s="56"/>
      <c r="YX91" s="242">
        <f t="shared" si="734"/>
        <v>0</v>
      </c>
      <c r="YY91" s="242">
        <f t="shared" si="735"/>
        <v>0</v>
      </c>
      <c r="YZ91" s="56"/>
      <c r="ZC91" s="55">
        <f t="shared" si="736"/>
        <v>46097</v>
      </c>
      <c r="ZD91" s="56"/>
      <c r="ZE91" s="242">
        <f>SUMPRODUCT(PRODUCE!$B102:$DY102,PRODUCE!$EB$57:$IY$57)</f>
        <v>0</v>
      </c>
      <c r="ZF91" s="56"/>
      <c r="ZG91" s="242">
        <f t="shared" si="737"/>
        <v>0</v>
      </c>
      <c r="ZH91" s="242">
        <f t="shared" si="738"/>
        <v>0</v>
      </c>
      <c r="ZI91" s="56"/>
      <c r="ZL91" s="55">
        <f t="shared" si="739"/>
        <v>46097</v>
      </c>
      <c r="ZM91" s="56"/>
      <c r="ZN91" s="242">
        <f>SUMPRODUCT(PRODUCE!$B102:$DY102,PRODUCE!$EB$57:$IY$57)</f>
        <v>0</v>
      </c>
      <c r="ZO91" s="56"/>
      <c r="ZP91" s="242">
        <f t="shared" si="740"/>
        <v>0</v>
      </c>
      <c r="ZQ91" s="242">
        <f t="shared" si="741"/>
        <v>0</v>
      </c>
      <c r="ZR91" s="56"/>
      <c r="ZU91" s="55">
        <f t="shared" si="742"/>
        <v>46097</v>
      </c>
      <c r="ZV91" s="56"/>
      <c r="ZW91" s="242">
        <f>SUMPRODUCT(PRODUCE!$B102:$DY102,PRODUCE!$EB$57:$IY$57)</f>
        <v>0</v>
      </c>
      <c r="ZX91" s="56"/>
      <c r="ZY91" s="242">
        <f t="shared" si="743"/>
        <v>0</v>
      </c>
      <c r="ZZ91" s="242">
        <f t="shared" si="744"/>
        <v>0</v>
      </c>
      <c r="AAA91" s="56"/>
      <c r="AAD91" s="55">
        <f t="shared" si="745"/>
        <v>46097</v>
      </c>
      <c r="AAE91" s="56"/>
      <c r="AAF91" s="242">
        <f>SUMPRODUCT(PRODUCE!$B102:$DY102,PRODUCE!$EB$57:$IY$57)</f>
        <v>0</v>
      </c>
      <c r="AAG91" s="56"/>
      <c r="AAH91" s="242">
        <f t="shared" si="746"/>
        <v>0</v>
      </c>
      <c r="AAI91" s="242">
        <f t="shared" si="747"/>
        <v>0</v>
      </c>
      <c r="AAJ91" s="56"/>
      <c r="AAM91" s="55">
        <f t="shared" si="748"/>
        <v>46097</v>
      </c>
      <c r="AAN91" s="56"/>
      <c r="AAO91" s="242">
        <f>SUMPRODUCT(PRODUCE!$B102:$DY102,PRODUCE!$EB$57:$IY$57)</f>
        <v>0</v>
      </c>
      <c r="AAP91" s="56"/>
      <c r="AAQ91" s="242">
        <f t="shared" si="749"/>
        <v>0</v>
      </c>
      <c r="AAR91" s="242">
        <f t="shared" si="750"/>
        <v>0</v>
      </c>
      <c r="AAS91" s="56"/>
      <c r="AAV91" s="55">
        <f t="shared" si="751"/>
        <v>46097</v>
      </c>
      <c r="AAW91" s="56"/>
      <c r="AAX91" s="242">
        <f>SUMPRODUCT(PRODUCE!$B102:$DY102,PRODUCE!$EB$57:$IY$57)</f>
        <v>0</v>
      </c>
      <c r="AAY91" s="56"/>
      <c r="AAZ91" s="242">
        <f t="shared" si="752"/>
        <v>0</v>
      </c>
      <c r="ABA91" s="242">
        <f t="shared" si="753"/>
        <v>0</v>
      </c>
      <c r="ABB91" s="56"/>
      <c r="ABE91" s="55">
        <f t="shared" si="754"/>
        <v>46097</v>
      </c>
      <c r="ABF91" s="56"/>
      <c r="ABG91" s="242">
        <f>SUMPRODUCT(PRODUCE!$B102:$DY102,PRODUCE!$EB$57:$IY$57)</f>
        <v>0</v>
      </c>
      <c r="ABH91" s="56"/>
      <c r="ABI91" s="242">
        <f t="shared" si="755"/>
        <v>0</v>
      </c>
      <c r="ABJ91" s="242">
        <f t="shared" si="756"/>
        <v>0</v>
      </c>
      <c r="ABK91" s="56"/>
    </row>
    <row r="92" spans="2:739" s="54" customFormat="1" ht="15" customHeight="1" outlineLevel="1">
      <c r="B92" s="478">
        <f>42+40</f>
        <v>82</v>
      </c>
      <c r="C92" s="55">
        <v>46098</v>
      </c>
      <c r="D92" s="422">
        <v>30650</v>
      </c>
      <c r="E92" s="423">
        <f>SUMPRODUCT(PRODUCE!$B103:$DY103,PRODUCE!$EB$7:$IY$7)</f>
        <v>43057.1</v>
      </c>
      <c r="F92" s="422">
        <v>43060.2</v>
      </c>
      <c r="G92" s="423">
        <f t="shared" si="514"/>
        <v>-3.0999999999985448</v>
      </c>
      <c r="H92" s="423">
        <f t="shared" si="512"/>
        <v>186825.39999999997</v>
      </c>
      <c r="I92" s="289" t="s">
        <v>226</v>
      </c>
      <c r="L92" s="55">
        <f t="shared" si="513"/>
        <v>46098</v>
      </c>
      <c r="M92" s="422"/>
      <c r="N92" s="438">
        <f>SUMPRODUCT(PRODUCE!$B103:$DY103,PRODUCE!$EB$8:$IY$8)</f>
        <v>23067</v>
      </c>
      <c r="O92" s="422">
        <v>23066</v>
      </c>
      <c r="P92" s="438">
        <f t="shared" si="515"/>
        <v>1</v>
      </c>
      <c r="Q92" s="438">
        <f t="shared" si="516"/>
        <v>111976.20000000007</v>
      </c>
      <c r="R92" s="56"/>
      <c r="U92" s="55">
        <f t="shared" si="517"/>
        <v>46098</v>
      </c>
      <c r="V92" s="422"/>
      <c r="W92" s="440">
        <f>SUMPRODUCT(PRODUCE!$B103:$DY103,PRODUCE!$EB$9:$IY$9)</f>
        <v>3793</v>
      </c>
      <c r="X92" s="422">
        <v>3791.9</v>
      </c>
      <c r="Y92" s="440">
        <f t="shared" si="518"/>
        <v>1.0999999999999091</v>
      </c>
      <c r="Z92" s="440">
        <f t="shared" si="519"/>
        <v>54833.099999999969</v>
      </c>
      <c r="AA92" s="56"/>
      <c r="AD92" s="55">
        <f t="shared" si="520"/>
        <v>46098</v>
      </c>
      <c r="AE92" s="422"/>
      <c r="AF92" s="442">
        <f>SUMPRODUCT(PRODUCE!$B103:$DY103,PRODUCE!$EB$10:$IY$10)</f>
        <v>2420</v>
      </c>
      <c r="AG92" s="422">
        <v>2421.1999999999998</v>
      </c>
      <c r="AH92" s="442">
        <f t="shared" si="521"/>
        <v>-1.1999999999998181</v>
      </c>
      <c r="AI92" s="442">
        <f t="shared" si="522"/>
        <v>47614.700000000019</v>
      </c>
      <c r="AJ92" s="56"/>
      <c r="AM92" s="55">
        <f t="shared" si="523"/>
        <v>46098</v>
      </c>
      <c r="AN92" s="422"/>
      <c r="AO92" s="444">
        <f>SUMPRODUCT(PRODUCE!$B103:$DY103,PRODUCE!$EB$11:$IY$11)</f>
        <v>0</v>
      </c>
      <c r="AP92" s="422"/>
      <c r="AQ92" s="444">
        <f t="shared" si="524"/>
        <v>0</v>
      </c>
      <c r="AR92" s="444">
        <f t="shared" si="525"/>
        <v>0</v>
      </c>
      <c r="AS92" s="56"/>
      <c r="AV92" s="55">
        <f t="shared" si="526"/>
        <v>46098</v>
      </c>
      <c r="AW92" s="422"/>
      <c r="AX92" s="446">
        <f>SUMPRODUCT(PRODUCE!$B103:$DY103,PRODUCE!$EB$12:$IY$12)</f>
        <v>1850</v>
      </c>
      <c r="AY92" s="422">
        <v>1850.9</v>
      </c>
      <c r="AZ92" s="446">
        <f t="shared" si="527"/>
        <v>-0.90000000000009095</v>
      </c>
      <c r="BA92" s="446">
        <f t="shared" si="528"/>
        <v>22948.799999999985</v>
      </c>
      <c r="BB92" s="56"/>
      <c r="BE92" s="55">
        <f t="shared" si="529"/>
        <v>46098</v>
      </c>
      <c r="BF92" s="422"/>
      <c r="BG92" s="448">
        <f>SUMPRODUCT(PRODUCE!$B103:$DY103,PRODUCE!$EB$13:$IY$13)</f>
        <v>1175.9999999999998</v>
      </c>
      <c r="BH92" s="422">
        <v>1177.9000000000001</v>
      </c>
      <c r="BI92" s="448">
        <f t="shared" si="530"/>
        <v>-1.9000000000003183</v>
      </c>
      <c r="BJ92" s="448">
        <f t="shared" si="531"/>
        <v>18928.800000000003</v>
      </c>
      <c r="BK92" s="56"/>
      <c r="BN92" s="55">
        <f t="shared" si="532"/>
        <v>46098</v>
      </c>
      <c r="BO92" s="422">
        <v>1430</v>
      </c>
      <c r="BP92" s="450">
        <f>SUMPRODUCT(PRODUCE!$B103:$DY103,PRODUCE!$EB$14:$IY$14)</f>
        <v>1430</v>
      </c>
      <c r="BQ92" s="422">
        <v>1430</v>
      </c>
      <c r="BR92" s="450">
        <f t="shared" si="533"/>
        <v>0</v>
      </c>
      <c r="BS92" s="450">
        <f t="shared" si="534"/>
        <v>0</v>
      </c>
      <c r="BT92" s="56"/>
      <c r="BW92" s="55">
        <f t="shared" si="535"/>
        <v>46098</v>
      </c>
      <c r="BX92" s="56"/>
      <c r="BY92" s="65">
        <f>SUMPRODUCT(PRODUCE!$B103:$DY103,PRODUCE!$EB$15:$IY$15)</f>
        <v>279.00000000000006</v>
      </c>
      <c r="BZ92" s="56"/>
      <c r="CA92" s="65">
        <f t="shared" si="536"/>
        <v>279.00000000000006</v>
      </c>
      <c r="CB92" s="65">
        <f t="shared" si="537"/>
        <v>3063.8</v>
      </c>
      <c r="CC92" s="56"/>
      <c r="CF92" s="55">
        <f t="shared" si="538"/>
        <v>46098</v>
      </c>
      <c r="CG92" s="56"/>
      <c r="CH92" s="66">
        <f>SUMPRODUCT(PRODUCE!$B103:$DY103,PRODUCE!$EB$16:$IY$16)</f>
        <v>329.99999999999994</v>
      </c>
      <c r="CI92" s="56"/>
      <c r="CJ92" s="66">
        <f t="shared" si="539"/>
        <v>329.99999999999994</v>
      </c>
      <c r="CK92" s="66">
        <f t="shared" si="540"/>
        <v>0</v>
      </c>
      <c r="CL92" s="56"/>
      <c r="CO92" s="55">
        <f t="shared" si="541"/>
        <v>46098</v>
      </c>
      <c r="CP92" s="422"/>
      <c r="CQ92" s="470">
        <f>SUMPRODUCT(PRODUCE!$B103:$DY103,PRODUCE!$EB$17:$IY$17)</f>
        <v>0</v>
      </c>
      <c r="CR92" s="422"/>
      <c r="CS92" s="470">
        <f t="shared" si="542"/>
        <v>0</v>
      </c>
      <c r="CT92" s="470">
        <f t="shared" si="543"/>
        <v>0</v>
      </c>
      <c r="CU92" s="56"/>
      <c r="CX92" s="55">
        <f t="shared" si="544"/>
        <v>46098</v>
      </c>
      <c r="CY92" s="56"/>
      <c r="CZ92" s="133">
        <f>SUMPRODUCT(PRODUCE!$B103:$DY103,PRODUCE!$EB$18:$IY$18)</f>
        <v>1407</v>
      </c>
      <c r="DA92" s="56">
        <v>1408.6</v>
      </c>
      <c r="DB92" s="133">
        <f t="shared" si="545"/>
        <v>-1.5999999999999091</v>
      </c>
      <c r="DC92" s="133">
        <f t="shared" si="546"/>
        <v>20941.8</v>
      </c>
      <c r="DD92" s="56"/>
      <c r="DG92" s="55">
        <f t="shared" si="547"/>
        <v>46098</v>
      </c>
      <c r="DH92" s="56"/>
      <c r="DI92" s="147">
        <f>SUMPRODUCT(PRODUCE!$B103:$DY103,PRODUCE!$EB$19:$IY$19)</f>
        <v>146.99999999999997</v>
      </c>
      <c r="DJ92" s="56">
        <v>147</v>
      </c>
      <c r="DK92" s="147">
        <f t="shared" si="548"/>
        <v>0</v>
      </c>
      <c r="DL92" s="147">
        <f t="shared" si="549"/>
        <v>5818.7999999999956</v>
      </c>
      <c r="DM92" s="56"/>
      <c r="DP92" s="55">
        <f t="shared" si="550"/>
        <v>46098</v>
      </c>
      <c r="DQ92" s="56"/>
      <c r="DR92" s="57">
        <f>SUMPRODUCT(PRODUCE!$B103:$DY103,PRODUCE!$EB$20:$IY$20)</f>
        <v>0</v>
      </c>
      <c r="DS92" s="56"/>
      <c r="DT92" s="57">
        <f t="shared" si="551"/>
        <v>0</v>
      </c>
      <c r="DU92" s="57">
        <f t="shared" si="552"/>
        <v>7150</v>
      </c>
      <c r="DV92" s="56"/>
      <c r="DY92" s="55">
        <f t="shared" si="553"/>
        <v>46098</v>
      </c>
      <c r="DZ92" s="56"/>
      <c r="EA92" s="157">
        <f>SUMPRODUCT(PRODUCE!$B103:$DY103,PRODUCE!$EB$21:$IY$21)</f>
        <v>1050</v>
      </c>
      <c r="EB92" s="56">
        <v>1100</v>
      </c>
      <c r="EC92" s="157">
        <f t="shared" si="554"/>
        <v>-50</v>
      </c>
      <c r="ED92" s="157">
        <f t="shared" si="555"/>
        <v>2947.3</v>
      </c>
      <c r="EE92" s="56"/>
      <c r="EH92" s="55">
        <f t="shared" si="556"/>
        <v>46098</v>
      </c>
      <c r="EI92" s="56"/>
      <c r="EJ92" s="162">
        <f>SUMPRODUCT(PRODUCE!$B103:$DY103,PRODUCE!$EB$22:$IY$22)</f>
        <v>0</v>
      </c>
      <c r="EK92" s="56"/>
      <c r="EL92" s="162">
        <f t="shared" si="557"/>
        <v>0</v>
      </c>
      <c r="EM92" s="162">
        <f t="shared" si="558"/>
        <v>0</v>
      </c>
      <c r="EN92" s="56"/>
      <c r="EQ92" s="55">
        <f t="shared" si="559"/>
        <v>46098</v>
      </c>
      <c r="ER92" s="56"/>
      <c r="ES92" s="135">
        <f>SUMPRODUCT(PRODUCE!$B103:$DY103,PRODUCE!$EB$23:$IY$23)</f>
        <v>0</v>
      </c>
      <c r="ET92" s="56"/>
      <c r="EU92" s="135">
        <f t="shared" si="560"/>
        <v>0</v>
      </c>
      <c r="EV92" s="135">
        <f t="shared" si="561"/>
        <v>0</v>
      </c>
      <c r="EW92" s="56"/>
      <c r="EZ92" s="55">
        <f t="shared" si="562"/>
        <v>46098</v>
      </c>
      <c r="FA92" s="56"/>
      <c r="FB92" s="175">
        <f>SUMPRODUCT(PRODUCE!$B103:$DY103,PRODUCE!$EB$24:$IY$24)</f>
        <v>0</v>
      </c>
      <c r="FC92" s="56"/>
      <c r="FD92" s="175">
        <f t="shared" si="563"/>
        <v>0</v>
      </c>
      <c r="FE92" s="175">
        <f t="shared" si="564"/>
        <v>0</v>
      </c>
      <c r="FF92" s="56"/>
      <c r="FI92" s="55">
        <f t="shared" si="565"/>
        <v>46098</v>
      </c>
      <c r="FJ92" s="56"/>
      <c r="FK92" s="183">
        <f>SUMPRODUCT(PRODUCE!$B103:$DY103,PRODUCE!$EB$25:$IY$25)</f>
        <v>0</v>
      </c>
      <c r="FL92" s="56"/>
      <c r="FM92" s="183">
        <f t="shared" si="566"/>
        <v>0</v>
      </c>
      <c r="FN92" s="183">
        <f t="shared" si="567"/>
        <v>0</v>
      </c>
      <c r="FO92" s="56"/>
      <c r="FR92" s="55">
        <f t="shared" si="568"/>
        <v>46098</v>
      </c>
      <c r="FS92" s="422"/>
      <c r="FT92" s="452">
        <f>SUMPRODUCT(PRODUCE!$B103:$DY103,PRODUCE!$EB$26:$IY$26)</f>
        <v>800</v>
      </c>
      <c r="FU92" s="422"/>
      <c r="FV92" s="452">
        <f t="shared" si="569"/>
        <v>800</v>
      </c>
      <c r="FW92" s="452">
        <f t="shared" si="570"/>
        <v>3220</v>
      </c>
      <c r="FX92" s="56"/>
      <c r="GA92" s="55">
        <f t="shared" si="571"/>
        <v>46098</v>
      </c>
      <c r="GB92" s="422"/>
      <c r="GC92" s="454">
        <f>SUMPRODUCT(PRODUCE!$B103:$DY103,PRODUCE!$EB$27:$IY$27)</f>
        <v>0</v>
      </c>
      <c r="GD92" s="422"/>
      <c r="GE92" s="454">
        <f t="shared" si="572"/>
        <v>0</v>
      </c>
      <c r="GF92" s="454">
        <f t="shared" si="573"/>
        <v>1800</v>
      </c>
      <c r="GG92" s="56"/>
      <c r="GI92" s="23"/>
      <c r="GJ92" s="55">
        <f t="shared" si="574"/>
        <v>46098</v>
      </c>
      <c r="GK92" s="422"/>
      <c r="GL92" s="456">
        <f>SUMPRODUCT(PRODUCE!$B103:$DY103,PRODUCE!$EB$28:$IY$28)</f>
        <v>0</v>
      </c>
      <c r="GM92" s="422"/>
      <c r="GN92" s="456">
        <f t="shared" si="575"/>
        <v>0</v>
      </c>
      <c r="GO92" s="456">
        <f t="shared" si="576"/>
        <v>5240</v>
      </c>
      <c r="GP92" s="56"/>
      <c r="GS92" s="55">
        <f t="shared" si="577"/>
        <v>46098</v>
      </c>
      <c r="GT92" s="56"/>
      <c r="GU92" s="195">
        <f>SUMPRODUCT(PRODUCE!$B103:$DY103,PRODUCE!$EB$29:$IY$29)</f>
        <v>0</v>
      </c>
      <c r="GV92" s="56"/>
      <c r="GW92" s="195">
        <f t="shared" si="578"/>
        <v>0</v>
      </c>
      <c r="GX92" s="195">
        <f t="shared" si="579"/>
        <v>0</v>
      </c>
      <c r="GY92" s="56"/>
      <c r="HB92" s="55">
        <f t="shared" si="580"/>
        <v>46098</v>
      </c>
      <c r="HC92" s="56"/>
      <c r="HD92" s="191">
        <f>SUMPRODUCT(PRODUCE!$B103:$DY103,PRODUCE!$EB$30:$IY$30)</f>
        <v>0</v>
      </c>
      <c r="HE92" s="56"/>
      <c r="HF92" s="191">
        <f t="shared" si="581"/>
        <v>0</v>
      </c>
      <c r="HG92" s="191">
        <f t="shared" si="582"/>
        <v>0</v>
      </c>
      <c r="HH92" s="56"/>
      <c r="HK92" s="55">
        <f t="shared" si="583"/>
        <v>46098</v>
      </c>
      <c r="HL92" s="56"/>
      <c r="HM92" s="63">
        <f>SUMPRODUCT(PRODUCE!$B103:$DY103,PRODUCE!$EB$31:$IY$31)</f>
        <v>0</v>
      </c>
      <c r="HN92" s="56"/>
      <c r="HO92" s="63">
        <f t="shared" si="584"/>
        <v>0</v>
      </c>
      <c r="HP92" s="63">
        <f t="shared" si="585"/>
        <v>0</v>
      </c>
      <c r="HQ92" s="56"/>
      <c r="HU92" s="55">
        <f t="shared" si="586"/>
        <v>46098</v>
      </c>
      <c r="HV92" s="56"/>
      <c r="HW92" s="242">
        <f>SUMPRODUCT(PRODUCE!$B103:$DY103,PRODUCE!$EB$32:$IY$32)</f>
        <v>0</v>
      </c>
      <c r="HX92" s="56"/>
      <c r="HY92" s="242">
        <f t="shared" si="587"/>
        <v>0</v>
      </c>
      <c r="HZ92" s="242">
        <f t="shared" si="588"/>
        <v>5120</v>
      </c>
      <c r="IA92" s="56"/>
      <c r="ID92" s="55">
        <f t="shared" si="589"/>
        <v>46098</v>
      </c>
      <c r="IE92" s="56"/>
      <c r="IF92" s="242">
        <f>SUMPRODUCT(PRODUCE!$B103:$DY103,PRODUCE!$EB$33:$IY$33)</f>
        <v>0</v>
      </c>
      <c r="IG92" s="56"/>
      <c r="IH92" s="242">
        <f t="shared" si="590"/>
        <v>0</v>
      </c>
      <c r="II92" s="242">
        <f t="shared" si="591"/>
        <v>6540</v>
      </c>
      <c r="IJ92" s="56"/>
      <c r="IM92" s="55">
        <f t="shared" si="592"/>
        <v>46098</v>
      </c>
      <c r="IN92" s="56"/>
      <c r="IO92" s="242">
        <f>SUMPRODUCT(PRODUCE!$B103:$DY103,PRODUCE!$EB$34:$IY$34)</f>
        <v>0</v>
      </c>
      <c r="IP92" s="56"/>
      <c r="IQ92" s="242">
        <f t="shared" si="593"/>
        <v>0</v>
      </c>
      <c r="IR92" s="242">
        <f t="shared" si="594"/>
        <v>11540</v>
      </c>
      <c r="IS92" s="56"/>
      <c r="IV92" s="55">
        <f t="shared" si="595"/>
        <v>46098</v>
      </c>
      <c r="IW92" s="56"/>
      <c r="IX92" s="242">
        <f>SUMPRODUCT(PRODUCE!$B103:$DY103,PRODUCE!$EB$35:$IY$35)</f>
        <v>0</v>
      </c>
      <c r="IY92" s="56"/>
      <c r="IZ92" s="242">
        <f t="shared" si="596"/>
        <v>0</v>
      </c>
      <c r="JA92" s="242">
        <f t="shared" si="597"/>
        <v>15120</v>
      </c>
      <c r="JB92" s="56"/>
      <c r="JE92" s="55">
        <f t="shared" si="598"/>
        <v>46098</v>
      </c>
      <c r="JF92" s="56"/>
      <c r="JG92" s="242">
        <f>SUMPRODUCT(PRODUCE!$B103:$DY103,PRODUCE!$EB$36:$IY$36)</f>
        <v>0</v>
      </c>
      <c r="JH92" s="56"/>
      <c r="JI92" s="242">
        <f t="shared" si="599"/>
        <v>0</v>
      </c>
      <c r="JJ92" s="242">
        <f t="shared" si="600"/>
        <v>5040</v>
      </c>
      <c r="JK92" s="56"/>
      <c r="JN92" s="55">
        <f t="shared" si="601"/>
        <v>46098</v>
      </c>
      <c r="JO92" s="56"/>
      <c r="JP92" s="242">
        <f>SUMPRODUCT(PRODUCE!$B103:$DY103,PRODUCE!$EB$37:$IY$37)</f>
        <v>0</v>
      </c>
      <c r="JQ92" s="56"/>
      <c r="JR92" s="242">
        <f t="shared" si="602"/>
        <v>0</v>
      </c>
      <c r="JS92" s="242">
        <f t="shared" si="603"/>
        <v>9100</v>
      </c>
      <c r="JT92" s="56"/>
      <c r="JW92" s="55">
        <f t="shared" si="604"/>
        <v>46098</v>
      </c>
      <c r="JX92" s="56"/>
      <c r="JY92" s="242">
        <f>SUMPRODUCT(PRODUCE!$B103:$DY103,PRODUCE!$EB$38:$IY$38)</f>
        <v>840</v>
      </c>
      <c r="JZ92" s="56"/>
      <c r="KA92" s="242">
        <f t="shared" si="605"/>
        <v>840</v>
      </c>
      <c r="KB92" s="242">
        <f t="shared" si="606"/>
        <v>6180</v>
      </c>
      <c r="KC92" s="56"/>
      <c r="KF92" s="55">
        <f t="shared" si="607"/>
        <v>46098</v>
      </c>
      <c r="KG92" s="56"/>
      <c r="KH92" s="242">
        <f>SUMPRODUCT(PRODUCE!$B103:$DY103,PRODUCE!$EB$39:$IY$39)</f>
        <v>0</v>
      </c>
      <c r="KI92" s="56"/>
      <c r="KJ92" s="242">
        <f t="shared" si="608"/>
        <v>0</v>
      </c>
      <c r="KK92" s="242">
        <f t="shared" si="609"/>
        <v>9184.5</v>
      </c>
      <c r="KL92" s="56"/>
      <c r="KO92" s="55">
        <f t="shared" si="610"/>
        <v>46098</v>
      </c>
      <c r="KP92" s="56"/>
      <c r="KQ92" s="242">
        <f>SUMPRODUCT(PRODUCE!$B103:$DY103,PRODUCE!$EB$40:$IY$40)</f>
        <v>0</v>
      </c>
      <c r="KR92" s="56"/>
      <c r="KS92" s="242">
        <f t="shared" si="611"/>
        <v>0</v>
      </c>
      <c r="KT92" s="242">
        <f t="shared" si="612"/>
        <v>6993</v>
      </c>
      <c r="KU92" s="56"/>
      <c r="KW92" s="23"/>
      <c r="KX92" s="55">
        <f t="shared" si="613"/>
        <v>46098</v>
      </c>
      <c r="KY92" s="56"/>
      <c r="KZ92" s="242">
        <f>SUMPRODUCT(PRODUCE!$B103:$DY103,PRODUCE!$EB$41:$IY$41)</f>
        <v>0</v>
      </c>
      <c r="LA92" s="56"/>
      <c r="LB92" s="242">
        <f t="shared" si="614"/>
        <v>0</v>
      </c>
      <c r="LC92" s="242">
        <f t="shared" si="615"/>
        <v>0</v>
      </c>
      <c r="LD92" s="56"/>
      <c r="LG92" s="55">
        <f t="shared" si="616"/>
        <v>46098</v>
      </c>
      <c r="LH92" s="56"/>
      <c r="LI92" s="242">
        <f>SUMPRODUCT(PRODUCE!$B103:$DY103,PRODUCE!$EB$42:$IY$42)</f>
        <v>0</v>
      </c>
      <c r="LJ92" s="56"/>
      <c r="LK92" s="242">
        <f t="shared" si="617"/>
        <v>0</v>
      </c>
      <c r="LL92" s="242">
        <f t="shared" si="618"/>
        <v>0</v>
      </c>
      <c r="LM92" s="56"/>
      <c r="LP92" s="55">
        <f t="shared" si="619"/>
        <v>46098</v>
      </c>
      <c r="LQ92" s="56"/>
      <c r="LR92" s="242">
        <f>SUMPRODUCT(PRODUCE!$B107:$DY107,PRODUCE!$EB$43:$IY$43)</f>
        <v>0</v>
      </c>
      <c r="LS92" s="56"/>
      <c r="LT92" s="242">
        <f t="shared" si="620"/>
        <v>0</v>
      </c>
      <c r="LU92" s="242">
        <f t="shared" si="621"/>
        <v>0</v>
      </c>
      <c r="LV92" s="56"/>
      <c r="LY92" s="55">
        <f t="shared" si="622"/>
        <v>46098</v>
      </c>
      <c r="LZ92" s="56"/>
      <c r="MA92" s="242">
        <f>SUMPRODUCT(PRODUCE!$B103:$DY103,PRODUCE!$EB$44:$IY$44)</f>
        <v>0</v>
      </c>
      <c r="MB92" s="56"/>
      <c r="MC92" s="242">
        <f t="shared" si="623"/>
        <v>0</v>
      </c>
      <c r="MD92" s="242">
        <f t="shared" si="624"/>
        <v>0</v>
      </c>
      <c r="ME92" s="56"/>
      <c r="MH92" s="55">
        <f t="shared" si="625"/>
        <v>46098</v>
      </c>
      <c r="MI92" s="56"/>
      <c r="MJ92" s="242">
        <f>SUMPRODUCT(PRODUCE!$B103:$DY103,PRODUCE!$EB$45:$IY$45)</f>
        <v>0</v>
      </c>
      <c r="MK92" s="56"/>
      <c r="ML92" s="242">
        <f t="shared" si="626"/>
        <v>0</v>
      </c>
      <c r="MM92" s="242">
        <f t="shared" si="627"/>
        <v>0</v>
      </c>
      <c r="MN92" s="56"/>
      <c r="MQ92" s="55">
        <f t="shared" si="628"/>
        <v>46098</v>
      </c>
      <c r="MR92" s="56"/>
      <c r="MS92" s="242">
        <f>SUMPRODUCT(PRODUCE!$B103:$DY103,PRODUCE!$EB$46:$IY$46)</f>
        <v>104</v>
      </c>
      <c r="MT92" s="56"/>
      <c r="MU92" s="242">
        <f t="shared" si="629"/>
        <v>104</v>
      </c>
      <c r="MV92" s="242">
        <f t="shared" si="630"/>
        <v>4740</v>
      </c>
      <c r="MW92" s="56"/>
      <c r="MZ92" s="55">
        <f t="shared" si="631"/>
        <v>46098</v>
      </c>
      <c r="NA92" s="56"/>
      <c r="NB92" s="242">
        <f>SUMPRODUCT(PRODUCE!$B103:$DY103,PRODUCE!$EB$47:$IY$47)</f>
        <v>126</v>
      </c>
      <c r="NC92" s="56"/>
      <c r="ND92" s="242">
        <f t="shared" si="632"/>
        <v>126</v>
      </c>
      <c r="NE92" s="242">
        <f t="shared" si="633"/>
        <v>0</v>
      </c>
      <c r="NF92" s="56"/>
      <c r="NI92" s="55">
        <f t="shared" si="634"/>
        <v>46098</v>
      </c>
      <c r="NJ92" s="56"/>
      <c r="NK92" s="242">
        <f>SUMPRODUCT(PRODUCE!$B103:$DY103,PRODUCE!$EB$48:$IY$48)</f>
        <v>0</v>
      </c>
      <c r="NL92" s="56"/>
      <c r="NM92" s="242">
        <f t="shared" si="635"/>
        <v>0</v>
      </c>
      <c r="NN92" s="242">
        <f t="shared" si="636"/>
        <v>465</v>
      </c>
      <c r="NO92" s="56"/>
      <c r="NR92" s="55">
        <f t="shared" si="637"/>
        <v>46098</v>
      </c>
      <c r="NS92" s="56"/>
      <c r="NT92" s="242">
        <f>SUMPRODUCT(PRODUCE!$B103:$DY103,PRODUCE!$EB$49:$IY$49)</f>
        <v>8.4</v>
      </c>
      <c r="NU92" s="56"/>
      <c r="NV92" s="242">
        <f t="shared" si="638"/>
        <v>8.4</v>
      </c>
      <c r="NW92" s="242">
        <f t="shared" si="639"/>
        <v>1299.3000000000002</v>
      </c>
      <c r="NX92" s="56"/>
      <c r="OA92" s="55">
        <f t="shared" si="640"/>
        <v>46098</v>
      </c>
      <c r="OB92" s="56"/>
      <c r="OC92" s="242">
        <f>SUMPRODUCT(PRODUCE!$B103:$DY103,PRODUCE!$EB$50:$IY$50)</f>
        <v>0</v>
      </c>
      <c r="OD92" s="56"/>
      <c r="OE92" s="242">
        <f t="shared" si="641"/>
        <v>0</v>
      </c>
      <c r="OF92" s="242">
        <f t="shared" si="642"/>
        <v>1680.5</v>
      </c>
      <c r="OG92" s="56"/>
      <c r="OJ92" s="55">
        <f t="shared" si="643"/>
        <v>46098</v>
      </c>
      <c r="OK92" s="56"/>
      <c r="OL92" s="242">
        <f>SUMPRODUCT(PRODUCE!$B103:$DY103,PRODUCE!$EB$51:$IY$51)</f>
        <v>115.50000000000001</v>
      </c>
      <c r="OM92" s="56"/>
      <c r="ON92" s="242">
        <f t="shared" si="644"/>
        <v>115.50000000000001</v>
      </c>
      <c r="OO92" s="242">
        <f t="shared" si="645"/>
        <v>0</v>
      </c>
      <c r="OP92" s="56"/>
      <c r="OS92" s="55">
        <f t="shared" si="646"/>
        <v>46098</v>
      </c>
      <c r="OT92" s="56"/>
      <c r="OU92" s="242">
        <f>SUMPRODUCT(PRODUCE!$B103:$DY103,PRODUCE!$EB$52:$IY$52)</f>
        <v>0</v>
      </c>
      <c r="OV92" s="56"/>
      <c r="OW92" s="242">
        <f t="shared" si="647"/>
        <v>0</v>
      </c>
      <c r="OX92" s="242">
        <f t="shared" si="648"/>
        <v>1000</v>
      </c>
      <c r="OY92" s="56"/>
      <c r="PB92" s="55">
        <f t="shared" si="649"/>
        <v>46098</v>
      </c>
      <c r="PC92" s="56"/>
      <c r="PD92" s="242">
        <f>SUMPRODUCT(PRODUCE!$B103:$DY103,PRODUCE!$EB$53:$IY$53)</f>
        <v>0</v>
      </c>
      <c r="PE92" s="56"/>
      <c r="PF92" s="242">
        <f t="shared" si="650"/>
        <v>0</v>
      </c>
      <c r="PG92" s="242">
        <f t="shared" si="651"/>
        <v>0</v>
      </c>
      <c r="PH92" s="56"/>
      <c r="PK92" s="55">
        <f t="shared" si="652"/>
        <v>46098</v>
      </c>
      <c r="PL92" s="56"/>
      <c r="PM92" s="242">
        <f>SUMPRODUCT(PRODUCE!$B103:$DY103,PRODUCE!$EB$54:$IY$54)</f>
        <v>0</v>
      </c>
      <c r="PN92" s="56"/>
      <c r="PO92" s="242">
        <f t="shared" si="653"/>
        <v>0</v>
      </c>
      <c r="PP92" s="242">
        <f t="shared" si="654"/>
        <v>100</v>
      </c>
      <c r="PQ92" s="56"/>
      <c r="PT92" s="55">
        <f t="shared" si="655"/>
        <v>46098</v>
      </c>
      <c r="PU92" s="56"/>
      <c r="PV92" s="242">
        <f>SUMPRODUCT(PRODUCE!$B103:$DY103,PRODUCE!$EB$55:$IY$55)</f>
        <v>0</v>
      </c>
      <c r="PW92" s="56"/>
      <c r="PX92" s="242">
        <f t="shared" si="656"/>
        <v>0</v>
      </c>
      <c r="PY92" s="242">
        <f t="shared" si="657"/>
        <v>13.960000000000036</v>
      </c>
      <c r="PZ92" s="56"/>
      <c r="QC92" s="55">
        <f t="shared" si="658"/>
        <v>46098</v>
      </c>
      <c r="QD92" s="56"/>
      <c r="QE92" s="242">
        <f>SUMPRODUCT(PRODUCE!$B103:$DY103,PRODUCE!$EB$56:$IY$56)</f>
        <v>0</v>
      </c>
      <c r="QF92" s="56"/>
      <c r="QG92" s="242">
        <f t="shared" si="659"/>
        <v>0</v>
      </c>
      <c r="QH92" s="242">
        <f t="shared" si="660"/>
        <v>1212</v>
      </c>
      <c r="QI92" s="56"/>
      <c r="QL92" s="55">
        <f t="shared" si="661"/>
        <v>46098</v>
      </c>
      <c r="QM92" s="56"/>
      <c r="QN92" s="242">
        <f>SUMPRODUCT(PRODUCE!$B103:$DY103,PRODUCE!$EB$57:$IY$57)</f>
        <v>0</v>
      </c>
      <c r="QO92" s="56"/>
      <c r="QP92" s="242">
        <f t="shared" si="662"/>
        <v>0</v>
      </c>
      <c r="QQ92" s="242">
        <f t="shared" si="663"/>
        <v>0</v>
      </c>
      <c r="QR92" s="56"/>
      <c r="QU92" s="55">
        <f t="shared" si="664"/>
        <v>46098</v>
      </c>
      <c r="QV92" s="56"/>
      <c r="QW92" s="242">
        <f>SUMPRODUCT(PRODUCE!$B103:$DY103,PRODUCE!$EB$57:$IY$57)</f>
        <v>0</v>
      </c>
      <c r="QX92" s="56"/>
      <c r="QY92" s="242">
        <f t="shared" si="665"/>
        <v>0</v>
      </c>
      <c r="QZ92" s="242">
        <f t="shared" si="666"/>
        <v>207.6</v>
      </c>
      <c r="RA92" s="56"/>
      <c r="RD92" s="55">
        <f t="shared" si="667"/>
        <v>46098</v>
      </c>
      <c r="RE92" s="56"/>
      <c r="RF92" s="242">
        <f>SUMPRODUCT(PRODUCE!$B103:$DY103,PRODUCE!$EB$58:$IY$58)</f>
        <v>0</v>
      </c>
      <c r="RG92" s="56"/>
      <c r="RH92" s="242">
        <f t="shared" si="668"/>
        <v>0</v>
      </c>
      <c r="RI92" s="242">
        <f t="shared" si="669"/>
        <v>197.04000000000002</v>
      </c>
      <c r="RJ92" s="56"/>
      <c r="RM92" s="55">
        <f t="shared" si="670"/>
        <v>46098</v>
      </c>
      <c r="RN92" s="56"/>
      <c r="RO92" s="242">
        <f>SUMPRODUCT(PRODUCE!$B103:$DY103,PRODUCE!$EB$57:$IY$57)</f>
        <v>0</v>
      </c>
      <c r="RP92" s="56"/>
      <c r="RQ92" s="242">
        <f t="shared" si="671"/>
        <v>0</v>
      </c>
      <c r="RR92" s="242">
        <f t="shared" si="672"/>
        <v>46.8</v>
      </c>
      <c r="RS92" s="56"/>
      <c r="RV92" s="55">
        <f t="shared" si="673"/>
        <v>46098</v>
      </c>
      <c r="RW92" s="56"/>
      <c r="RX92" s="242">
        <f>SUMPRODUCT(PRODUCE!$B103:$DY103,PRODUCE!$EB$57:$IY$57)</f>
        <v>0</v>
      </c>
      <c r="RY92" s="56"/>
      <c r="RZ92" s="242">
        <f t="shared" si="674"/>
        <v>0</v>
      </c>
      <c r="SA92" s="242">
        <f t="shared" si="675"/>
        <v>0</v>
      </c>
      <c r="SB92" s="56"/>
      <c r="SE92" s="55">
        <f t="shared" si="676"/>
        <v>46098</v>
      </c>
      <c r="SF92" s="56"/>
      <c r="SG92" s="242">
        <f>SUMPRODUCT(PRODUCE!$B103:$DY103,PRODUCE!$EB$57:$IY$57)</f>
        <v>0</v>
      </c>
      <c r="SH92" s="56"/>
      <c r="SI92" s="242">
        <f t="shared" si="677"/>
        <v>0</v>
      </c>
      <c r="SJ92" s="242">
        <f t="shared" si="678"/>
        <v>0</v>
      </c>
      <c r="SK92" s="56"/>
      <c r="SN92" s="55">
        <f t="shared" si="679"/>
        <v>46098</v>
      </c>
      <c r="SO92" s="56"/>
      <c r="SP92" s="242">
        <f>SUMPRODUCT(PRODUCE!$B103:$DY103,PRODUCE!$EB$57:$IY$57)</f>
        <v>0</v>
      </c>
      <c r="SQ92" s="56"/>
      <c r="SR92" s="242">
        <f t="shared" si="680"/>
        <v>0</v>
      </c>
      <c r="SS92" s="242">
        <f t="shared" si="681"/>
        <v>0</v>
      </c>
      <c r="ST92" s="56"/>
      <c r="SW92" s="55">
        <f t="shared" si="682"/>
        <v>46098</v>
      </c>
      <c r="SX92" s="56"/>
      <c r="SY92" s="242">
        <f>SUMPRODUCT(PRODUCE!$B103:$DY103,PRODUCE!$EB$57:$IY$57)</f>
        <v>0</v>
      </c>
      <c r="SZ92" s="56"/>
      <c r="TA92" s="242">
        <f t="shared" si="683"/>
        <v>0</v>
      </c>
      <c r="TB92" s="242">
        <f t="shared" si="684"/>
        <v>0</v>
      </c>
      <c r="TC92" s="56"/>
      <c r="TF92" s="55">
        <f t="shared" si="685"/>
        <v>46098</v>
      </c>
      <c r="TG92" s="56"/>
      <c r="TH92" s="242">
        <f>SUMPRODUCT(PRODUCE!$B103:$DY103,PRODUCE!$EB$57:$IY$57)</f>
        <v>0</v>
      </c>
      <c r="TI92" s="56"/>
      <c r="TJ92" s="242">
        <f t="shared" si="686"/>
        <v>0</v>
      </c>
      <c r="TK92" s="242">
        <f t="shared" si="687"/>
        <v>0</v>
      </c>
      <c r="TL92" s="56"/>
      <c r="TO92" s="55">
        <f t="shared" si="688"/>
        <v>46098</v>
      </c>
      <c r="TP92" s="56"/>
      <c r="TQ92" s="242">
        <f>SUMPRODUCT(PRODUCE!$B103:$DY103,PRODUCE!$EB$57:$IY$57)</f>
        <v>0</v>
      </c>
      <c r="TR92" s="56"/>
      <c r="TS92" s="242">
        <f t="shared" si="689"/>
        <v>0</v>
      </c>
      <c r="TT92" s="242">
        <f t="shared" si="690"/>
        <v>0</v>
      </c>
      <c r="TU92" s="56"/>
      <c r="TX92" s="55">
        <f t="shared" si="691"/>
        <v>46098</v>
      </c>
      <c r="TY92" s="56"/>
      <c r="TZ92" s="242">
        <f>SUMPRODUCT(PRODUCE!$B103:$DY103,PRODUCE!$EB$57:$IY$57)</f>
        <v>0</v>
      </c>
      <c r="UA92" s="56"/>
      <c r="UB92" s="242">
        <f t="shared" si="692"/>
        <v>0</v>
      </c>
      <c r="UC92" s="242">
        <f t="shared" si="693"/>
        <v>0</v>
      </c>
      <c r="UD92" s="56"/>
      <c r="UG92" s="55">
        <f t="shared" si="694"/>
        <v>46098</v>
      </c>
      <c r="UH92" s="56"/>
      <c r="UI92" s="242">
        <f>SUMPRODUCT(PRODUCE!$B103:$DY103,PRODUCE!$EB$57:$IY$57)</f>
        <v>0</v>
      </c>
      <c r="UJ92" s="56"/>
      <c r="UK92" s="242">
        <f t="shared" si="695"/>
        <v>0</v>
      </c>
      <c r="UL92" s="242">
        <f t="shared" si="696"/>
        <v>0</v>
      </c>
      <c r="UM92" s="56"/>
      <c r="UP92" s="55">
        <f t="shared" si="697"/>
        <v>46098</v>
      </c>
      <c r="UQ92" s="56"/>
      <c r="UR92" s="242">
        <f>SUMPRODUCT(PRODUCE!$B103:$DY103,PRODUCE!$EB$57:$IY$57)</f>
        <v>0</v>
      </c>
      <c r="US92" s="56"/>
      <c r="UT92" s="242">
        <f t="shared" si="698"/>
        <v>0</v>
      </c>
      <c r="UU92" s="242">
        <f t="shared" si="699"/>
        <v>0</v>
      </c>
      <c r="UV92" s="56"/>
      <c r="UY92" s="55">
        <f t="shared" si="700"/>
        <v>46098</v>
      </c>
      <c r="UZ92" s="56"/>
      <c r="VA92" s="242">
        <f>SUMPRODUCT(PRODUCE!$B103:$DY103,PRODUCE!$EB$57:$IY$57)</f>
        <v>0</v>
      </c>
      <c r="VB92" s="56"/>
      <c r="VC92" s="242">
        <f t="shared" si="701"/>
        <v>0</v>
      </c>
      <c r="VD92" s="242">
        <f t="shared" si="702"/>
        <v>41.600000000000023</v>
      </c>
      <c r="VE92" s="56"/>
      <c r="VH92" s="55">
        <f t="shared" si="703"/>
        <v>46098</v>
      </c>
      <c r="VI92" s="56"/>
      <c r="VJ92" s="242">
        <f>SUMPRODUCT(PRODUCE!$B103:$DY103,PRODUCE!$EB$57:$IY$57)</f>
        <v>0</v>
      </c>
      <c r="VK92" s="56"/>
      <c r="VL92" s="242">
        <f t="shared" si="704"/>
        <v>0</v>
      </c>
      <c r="VM92" s="242">
        <f t="shared" si="705"/>
        <v>0</v>
      </c>
      <c r="VN92" s="56"/>
      <c r="VQ92" s="55">
        <f t="shared" si="706"/>
        <v>46098</v>
      </c>
      <c r="VR92" s="56"/>
      <c r="VS92" s="242">
        <f>SUMPRODUCT(PRODUCE!$B103:$DY103,PRODUCE!$EB$57:$IY$57)</f>
        <v>0</v>
      </c>
      <c r="VT92" s="56"/>
      <c r="VU92" s="242">
        <f t="shared" si="707"/>
        <v>0</v>
      </c>
      <c r="VV92" s="242">
        <f t="shared" si="708"/>
        <v>0</v>
      </c>
      <c r="VW92" s="56"/>
      <c r="VZ92" s="55">
        <f t="shared" si="709"/>
        <v>46098</v>
      </c>
      <c r="WA92" s="56"/>
      <c r="WB92" s="242">
        <f>SUMPRODUCT(PRODUCE!$B103:$DY103,PRODUCE!$EB$57:$IY$57)</f>
        <v>0</v>
      </c>
      <c r="WC92" s="56"/>
      <c r="WD92" s="242">
        <f t="shared" si="710"/>
        <v>0</v>
      </c>
      <c r="WE92" s="242">
        <f t="shared" si="711"/>
        <v>0</v>
      </c>
      <c r="WF92" s="56"/>
      <c r="WI92" s="55">
        <f t="shared" si="712"/>
        <v>46098</v>
      </c>
      <c r="WJ92" s="56"/>
      <c r="WK92" s="242">
        <f>SUMPRODUCT(PRODUCE!$B103:$DY103,PRODUCE!$EB$57:$IY$57)</f>
        <v>0</v>
      </c>
      <c r="WL92" s="56">
        <v>842</v>
      </c>
      <c r="WM92" s="242">
        <f t="shared" si="713"/>
        <v>-842</v>
      </c>
      <c r="WN92" s="242">
        <f t="shared" si="714"/>
        <v>5180</v>
      </c>
      <c r="WO92" s="56"/>
      <c r="WR92" s="55">
        <f t="shared" si="715"/>
        <v>46098</v>
      </c>
      <c r="WS92" s="56"/>
      <c r="WT92" s="242">
        <f>SUMPRODUCT(PRODUCE!$B103:$DY103,PRODUCE!$EB$57:$IY$57)</f>
        <v>0</v>
      </c>
      <c r="WU92" s="56">
        <v>354</v>
      </c>
      <c r="WV92" s="242">
        <f t="shared" si="716"/>
        <v>-354</v>
      </c>
      <c r="WW92" s="242">
        <f t="shared" si="717"/>
        <v>4669</v>
      </c>
      <c r="WX92" s="56"/>
      <c r="XA92" s="55">
        <f t="shared" si="718"/>
        <v>46098</v>
      </c>
      <c r="XB92" s="56">
        <v>6552</v>
      </c>
      <c r="XC92" s="242">
        <f>SUMPRODUCT(PRODUCE!$B103:$DY103,PRODUCE!$EB$57:$IY$57)</f>
        <v>0</v>
      </c>
      <c r="XD92" s="56"/>
      <c r="XE92" s="242">
        <f t="shared" si="719"/>
        <v>0</v>
      </c>
      <c r="XF92" s="242">
        <f t="shared" si="720"/>
        <v>7142</v>
      </c>
      <c r="XG92" s="56"/>
      <c r="XJ92" s="55">
        <f t="shared" si="721"/>
        <v>46098</v>
      </c>
      <c r="XK92" s="56">
        <v>8000</v>
      </c>
      <c r="XL92" s="242">
        <f>SUMPRODUCT(PRODUCE!$B103:$DY103,PRODUCE!$EB$57:$IY$57)</f>
        <v>0</v>
      </c>
      <c r="XM92" s="56">
        <v>327</v>
      </c>
      <c r="XN92" s="242">
        <f t="shared" si="722"/>
        <v>-327</v>
      </c>
      <c r="XO92" s="242">
        <f t="shared" si="723"/>
        <v>7549</v>
      </c>
      <c r="XP92" s="56"/>
      <c r="XS92" s="55">
        <f t="shared" si="724"/>
        <v>46098</v>
      </c>
      <c r="XT92" s="56"/>
      <c r="XU92" s="242">
        <f>SUMPRODUCT(PRODUCE!$B103:$DY103,PRODUCE!$EB$57:$IY$57)</f>
        <v>0</v>
      </c>
      <c r="XV92" s="56"/>
      <c r="XW92" s="242">
        <f t="shared" si="725"/>
        <v>0</v>
      </c>
      <c r="XX92" s="242">
        <f t="shared" si="726"/>
        <v>1901</v>
      </c>
      <c r="XY92" s="56"/>
      <c r="YB92" s="55">
        <f t="shared" si="727"/>
        <v>46098</v>
      </c>
      <c r="YC92" s="56">
        <v>6459</v>
      </c>
      <c r="YD92" s="242">
        <f>SUMPRODUCT(PRODUCE!$B103:$DY103,PRODUCE!$EB$57:$IY$57)</f>
        <v>0</v>
      </c>
      <c r="YE92" s="56"/>
      <c r="YF92" s="242">
        <f t="shared" si="728"/>
        <v>0</v>
      </c>
      <c r="YG92" s="242">
        <f t="shared" si="729"/>
        <v>6459</v>
      </c>
      <c r="YH92" s="56"/>
      <c r="YK92" s="55">
        <f t="shared" si="730"/>
        <v>46098</v>
      </c>
      <c r="YL92" s="56"/>
      <c r="YM92" s="242">
        <f>SUMPRODUCT(PRODUCE!$B103:$DY103,PRODUCE!$EB$57:$IY$57)</f>
        <v>0</v>
      </c>
      <c r="YN92" s="56"/>
      <c r="YO92" s="242">
        <f t="shared" si="731"/>
        <v>0</v>
      </c>
      <c r="YP92" s="242">
        <f t="shared" si="732"/>
        <v>0</v>
      </c>
      <c r="YQ92" s="56"/>
      <c r="YT92" s="55">
        <f t="shared" si="733"/>
        <v>46098</v>
      </c>
      <c r="YU92" s="56"/>
      <c r="YV92" s="242">
        <f>SUMPRODUCT(PRODUCE!$B103:$DY103,PRODUCE!$EB$57:$IY$57)</f>
        <v>0</v>
      </c>
      <c r="YW92" s="56"/>
      <c r="YX92" s="242">
        <f t="shared" si="734"/>
        <v>0</v>
      </c>
      <c r="YY92" s="242">
        <f t="shared" si="735"/>
        <v>0</v>
      </c>
      <c r="YZ92" s="56"/>
      <c r="ZC92" s="55">
        <f t="shared" si="736"/>
        <v>46098</v>
      </c>
      <c r="ZD92" s="56"/>
      <c r="ZE92" s="242">
        <f>SUMPRODUCT(PRODUCE!$B103:$DY103,PRODUCE!$EB$57:$IY$57)</f>
        <v>0</v>
      </c>
      <c r="ZF92" s="56"/>
      <c r="ZG92" s="242">
        <f t="shared" si="737"/>
        <v>0</v>
      </c>
      <c r="ZH92" s="242">
        <f t="shared" si="738"/>
        <v>0</v>
      </c>
      <c r="ZI92" s="56"/>
      <c r="ZL92" s="55">
        <f t="shared" si="739"/>
        <v>46098</v>
      </c>
      <c r="ZM92" s="56"/>
      <c r="ZN92" s="242">
        <f>SUMPRODUCT(PRODUCE!$B103:$DY103,PRODUCE!$EB$57:$IY$57)</f>
        <v>0</v>
      </c>
      <c r="ZO92" s="56"/>
      <c r="ZP92" s="242">
        <f t="shared" si="740"/>
        <v>0</v>
      </c>
      <c r="ZQ92" s="242">
        <f t="shared" si="741"/>
        <v>0</v>
      </c>
      <c r="ZR92" s="56"/>
      <c r="ZU92" s="55">
        <f t="shared" si="742"/>
        <v>46098</v>
      </c>
      <c r="ZV92" s="56"/>
      <c r="ZW92" s="242">
        <f>SUMPRODUCT(PRODUCE!$B103:$DY103,PRODUCE!$EB$57:$IY$57)</f>
        <v>0</v>
      </c>
      <c r="ZX92" s="56"/>
      <c r="ZY92" s="242">
        <f t="shared" si="743"/>
        <v>0</v>
      </c>
      <c r="ZZ92" s="242">
        <f t="shared" si="744"/>
        <v>0</v>
      </c>
      <c r="AAA92" s="56"/>
      <c r="AAD92" s="55">
        <f t="shared" si="745"/>
        <v>46098</v>
      </c>
      <c r="AAE92" s="56"/>
      <c r="AAF92" s="242">
        <f>SUMPRODUCT(PRODUCE!$B103:$DY103,PRODUCE!$EB$57:$IY$57)</f>
        <v>0</v>
      </c>
      <c r="AAG92" s="56"/>
      <c r="AAH92" s="242">
        <f t="shared" si="746"/>
        <v>0</v>
      </c>
      <c r="AAI92" s="242">
        <f t="shared" si="747"/>
        <v>0</v>
      </c>
      <c r="AAJ92" s="56"/>
      <c r="AAM92" s="55">
        <f t="shared" si="748"/>
        <v>46098</v>
      </c>
      <c r="AAN92" s="56"/>
      <c r="AAO92" s="242">
        <f>SUMPRODUCT(PRODUCE!$B103:$DY103,PRODUCE!$EB$57:$IY$57)</f>
        <v>0</v>
      </c>
      <c r="AAP92" s="56"/>
      <c r="AAQ92" s="242">
        <f t="shared" si="749"/>
        <v>0</v>
      </c>
      <c r="AAR92" s="242">
        <f t="shared" si="750"/>
        <v>0</v>
      </c>
      <c r="AAS92" s="56"/>
      <c r="AAV92" s="55">
        <f t="shared" si="751"/>
        <v>46098</v>
      </c>
      <c r="AAW92" s="56"/>
      <c r="AAX92" s="242">
        <f>SUMPRODUCT(PRODUCE!$B103:$DY103,PRODUCE!$EB$57:$IY$57)</f>
        <v>0</v>
      </c>
      <c r="AAY92" s="56"/>
      <c r="AAZ92" s="242">
        <f t="shared" si="752"/>
        <v>0</v>
      </c>
      <c r="ABA92" s="242">
        <f t="shared" si="753"/>
        <v>0</v>
      </c>
      <c r="ABB92" s="56"/>
      <c r="ABE92" s="55">
        <f t="shared" si="754"/>
        <v>46098</v>
      </c>
      <c r="ABF92" s="56"/>
      <c r="ABG92" s="242">
        <f>SUMPRODUCT(PRODUCE!$B103:$DY103,PRODUCE!$EB$57:$IY$57)</f>
        <v>0</v>
      </c>
      <c r="ABH92" s="56"/>
      <c r="ABI92" s="242">
        <f t="shared" si="755"/>
        <v>0</v>
      </c>
      <c r="ABJ92" s="242">
        <f t="shared" si="756"/>
        <v>0</v>
      </c>
      <c r="ABK92" s="56"/>
    </row>
    <row r="93" spans="2:739" s="54" customFormat="1" ht="15" customHeight="1" outlineLevel="1">
      <c r="B93" s="478">
        <f>50+68</f>
        <v>118</v>
      </c>
      <c r="C93" s="55">
        <v>46099</v>
      </c>
      <c r="D93" s="422">
        <v>86290</v>
      </c>
      <c r="E93" s="423">
        <f>SUMPRODUCT(PRODUCE!$B104:$DY104,PRODUCE!$EB$7:$IY$7)</f>
        <v>64881.5</v>
      </c>
      <c r="F93" s="422">
        <v>64885.2</v>
      </c>
      <c r="G93" s="423">
        <f t="shared" si="514"/>
        <v>-3.6999999999970896</v>
      </c>
      <c r="H93" s="423">
        <f t="shared" si="512"/>
        <v>208230.19999999995</v>
      </c>
      <c r="I93" s="289" t="s">
        <v>227</v>
      </c>
      <c r="L93" s="55">
        <f t="shared" si="513"/>
        <v>46099</v>
      </c>
      <c r="M93" s="422"/>
      <c r="N93" s="438">
        <f>SUMPRODUCT(PRODUCE!$B104:$DY104,PRODUCE!$EB$8:$IY$8)</f>
        <v>27522</v>
      </c>
      <c r="O93" s="422">
        <v>27520.2</v>
      </c>
      <c r="P93" s="438">
        <f t="shared" si="515"/>
        <v>1.7999999999992724</v>
      </c>
      <c r="Q93" s="438">
        <f t="shared" si="516"/>
        <v>84456.000000000073</v>
      </c>
      <c r="R93" s="56"/>
      <c r="U93" s="55">
        <f t="shared" si="517"/>
        <v>46099</v>
      </c>
      <c r="V93" s="422"/>
      <c r="W93" s="440">
        <f>SUMPRODUCT(PRODUCE!$B104:$DY104,PRODUCE!$EB$9:$IY$9)</f>
        <v>5874.9999999999991</v>
      </c>
      <c r="X93" s="422">
        <v>5876.4</v>
      </c>
      <c r="Y93" s="440">
        <f t="shared" si="518"/>
        <v>-1.4000000000005457</v>
      </c>
      <c r="Z93" s="440">
        <f t="shared" si="519"/>
        <v>48956.699999999968</v>
      </c>
      <c r="AA93" s="56"/>
      <c r="AD93" s="55">
        <f t="shared" si="520"/>
        <v>46099</v>
      </c>
      <c r="AE93" s="422"/>
      <c r="AF93" s="442">
        <f>SUMPRODUCT(PRODUCE!$B104:$DY104,PRODUCE!$EB$10:$IY$10)</f>
        <v>4050</v>
      </c>
      <c r="AG93" s="422">
        <v>4052.3</v>
      </c>
      <c r="AH93" s="442">
        <f t="shared" si="521"/>
        <v>-2.3000000000001819</v>
      </c>
      <c r="AI93" s="442">
        <f t="shared" si="522"/>
        <v>43562.400000000016</v>
      </c>
      <c r="AJ93" s="56"/>
      <c r="AM93" s="55">
        <f t="shared" si="523"/>
        <v>46099</v>
      </c>
      <c r="AN93" s="422"/>
      <c r="AO93" s="444">
        <f>SUMPRODUCT(PRODUCE!$B104:$DY104,PRODUCE!$EB$11:$IY$11)</f>
        <v>0</v>
      </c>
      <c r="AP93" s="422"/>
      <c r="AQ93" s="444">
        <f t="shared" si="524"/>
        <v>0</v>
      </c>
      <c r="AR93" s="444">
        <f t="shared" si="525"/>
        <v>0</v>
      </c>
      <c r="AS93" s="56"/>
      <c r="AV93" s="55">
        <f t="shared" si="526"/>
        <v>46099</v>
      </c>
      <c r="AW93" s="422"/>
      <c r="AX93" s="446">
        <f>SUMPRODUCT(PRODUCE!$B104:$DY104,PRODUCE!$EB$12:$IY$12)</f>
        <v>680</v>
      </c>
      <c r="AY93" s="422">
        <v>680.4</v>
      </c>
      <c r="AZ93" s="446">
        <f t="shared" si="527"/>
        <v>-0.39999999999997726</v>
      </c>
      <c r="BA93" s="446">
        <f t="shared" si="528"/>
        <v>22268.399999999983</v>
      </c>
      <c r="BB93" s="56"/>
      <c r="BE93" s="55">
        <f t="shared" si="529"/>
        <v>46099</v>
      </c>
      <c r="BF93" s="422"/>
      <c r="BG93" s="448">
        <f>SUMPRODUCT(PRODUCE!$B104:$DY104,PRODUCE!$EB$13:$IY$13)</f>
        <v>3800</v>
      </c>
      <c r="BH93" s="422">
        <v>3801.7</v>
      </c>
      <c r="BI93" s="448">
        <f t="shared" si="530"/>
        <v>-1.6999999999998181</v>
      </c>
      <c r="BJ93" s="448">
        <f t="shared" si="531"/>
        <v>15127.100000000002</v>
      </c>
      <c r="BK93" s="56"/>
      <c r="BN93" s="55">
        <f t="shared" si="532"/>
        <v>46099</v>
      </c>
      <c r="BO93" s="422">
        <v>2700</v>
      </c>
      <c r="BP93" s="450">
        <f>SUMPRODUCT(PRODUCE!$B104:$DY104,PRODUCE!$EB$14:$IY$14)</f>
        <v>2700</v>
      </c>
      <c r="BQ93" s="422">
        <v>2700</v>
      </c>
      <c r="BR93" s="450">
        <f t="shared" si="533"/>
        <v>0</v>
      </c>
      <c r="BS93" s="450">
        <f t="shared" si="534"/>
        <v>0</v>
      </c>
      <c r="BT93" s="56"/>
      <c r="BW93" s="55">
        <f t="shared" si="535"/>
        <v>46099</v>
      </c>
      <c r="BX93" s="56"/>
      <c r="BY93" s="65">
        <f>SUMPRODUCT(PRODUCE!$B104:$DY104,PRODUCE!$EB$15:$IY$15)</f>
        <v>332.5</v>
      </c>
      <c r="BZ93" s="56"/>
      <c r="CA93" s="65">
        <f t="shared" si="536"/>
        <v>332.5</v>
      </c>
      <c r="CB93" s="65">
        <f t="shared" si="537"/>
        <v>3063.8</v>
      </c>
      <c r="CC93" s="56"/>
      <c r="CF93" s="55">
        <f t="shared" si="538"/>
        <v>46099</v>
      </c>
      <c r="CG93" s="56"/>
      <c r="CH93" s="66">
        <f>SUMPRODUCT(PRODUCE!$B104:$DY104,PRODUCE!$EB$16:$IY$16)</f>
        <v>840</v>
      </c>
      <c r="CI93" s="56"/>
      <c r="CJ93" s="66">
        <f t="shared" si="539"/>
        <v>840</v>
      </c>
      <c r="CK93" s="66">
        <f t="shared" si="540"/>
        <v>0</v>
      </c>
      <c r="CL93" s="56"/>
      <c r="CO93" s="55">
        <f t="shared" si="541"/>
        <v>46099</v>
      </c>
      <c r="CP93" s="422"/>
      <c r="CQ93" s="470">
        <f>SUMPRODUCT(PRODUCE!$B104:$DY104,PRODUCE!$EB$17:$IY$17)</f>
        <v>0</v>
      </c>
      <c r="CR93" s="422"/>
      <c r="CS93" s="470">
        <f t="shared" si="542"/>
        <v>0</v>
      </c>
      <c r="CT93" s="470">
        <f t="shared" si="543"/>
        <v>0</v>
      </c>
      <c r="CU93" s="56"/>
      <c r="CX93" s="55">
        <f t="shared" si="544"/>
        <v>46099</v>
      </c>
      <c r="CY93" s="56"/>
      <c r="CZ93" s="133">
        <f>SUMPRODUCT(PRODUCE!$B104:$DY104,PRODUCE!$EB$18:$IY$18)</f>
        <v>2500</v>
      </c>
      <c r="DA93" s="56">
        <v>2500</v>
      </c>
      <c r="DB93" s="133">
        <f t="shared" si="545"/>
        <v>0</v>
      </c>
      <c r="DC93" s="133">
        <f t="shared" si="546"/>
        <v>18441.8</v>
      </c>
      <c r="DD93" s="56"/>
      <c r="DG93" s="55">
        <f t="shared" si="547"/>
        <v>46099</v>
      </c>
      <c r="DH93" s="56">
        <v>10900</v>
      </c>
      <c r="DI93" s="147">
        <f>SUMPRODUCT(PRODUCE!$B104:$DY104,PRODUCE!$EB$19:$IY$19)</f>
        <v>2000</v>
      </c>
      <c r="DJ93" s="56">
        <v>2000</v>
      </c>
      <c r="DK93" s="147">
        <f t="shared" si="548"/>
        <v>0</v>
      </c>
      <c r="DL93" s="147">
        <f t="shared" si="549"/>
        <v>14718.799999999996</v>
      </c>
      <c r="DM93" s="56"/>
      <c r="DP93" s="55">
        <f t="shared" si="550"/>
        <v>46099</v>
      </c>
      <c r="DQ93" s="56"/>
      <c r="DR93" s="57">
        <f>SUMPRODUCT(PRODUCE!$B104:$DY104,PRODUCE!$EB$20:$IY$20)</f>
        <v>0</v>
      </c>
      <c r="DS93" s="56"/>
      <c r="DT93" s="57">
        <f t="shared" si="551"/>
        <v>0</v>
      </c>
      <c r="DU93" s="57">
        <f t="shared" si="552"/>
        <v>7150</v>
      </c>
      <c r="DV93" s="56"/>
      <c r="DY93" s="55">
        <f t="shared" si="553"/>
        <v>46099</v>
      </c>
      <c r="DZ93" s="56"/>
      <c r="EA93" s="157">
        <f>SUMPRODUCT(PRODUCE!$B104:$DY104,PRODUCE!$EB$21:$IY$21)</f>
        <v>0</v>
      </c>
      <c r="EB93" s="56"/>
      <c r="EC93" s="157">
        <f t="shared" si="554"/>
        <v>0</v>
      </c>
      <c r="ED93" s="157">
        <f t="shared" si="555"/>
        <v>2947.3</v>
      </c>
      <c r="EE93" s="56"/>
      <c r="EH93" s="55">
        <f t="shared" si="556"/>
        <v>46099</v>
      </c>
      <c r="EI93" s="56"/>
      <c r="EJ93" s="162">
        <f>SUMPRODUCT(PRODUCE!$B104:$DY104,PRODUCE!$EB$22:$IY$22)</f>
        <v>0</v>
      </c>
      <c r="EK93" s="56"/>
      <c r="EL93" s="162">
        <f t="shared" si="557"/>
        <v>0</v>
      </c>
      <c r="EM93" s="162">
        <f t="shared" si="558"/>
        <v>0</v>
      </c>
      <c r="EN93" s="56"/>
      <c r="EQ93" s="55">
        <f t="shared" si="559"/>
        <v>46099</v>
      </c>
      <c r="ER93" s="56"/>
      <c r="ES93" s="135">
        <f>SUMPRODUCT(PRODUCE!$B104:$DY104,PRODUCE!$EB$23:$IY$23)</f>
        <v>0</v>
      </c>
      <c r="ET93" s="56"/>
      <c r="EU93" s="135">
        <f t="shared" si="560"/>
        <v>0</v>
      </c>
      <c r="EV93" s="135">
        <f t="shared" si="561"/>
        <v>0</v>
      </c>
      <c r="EW93" s="56"/>
      <c r="EZ93" s="55">
        <f t="shared" si="562"/>
        <v>46099</v>
      </c>
      <c r="FA93" s="56"/>
      <c r="FB93" s="175">
        <f>SUMPRODUCT(PRODUCE!$B104:$DY104,PRODUCE!$EB$24:$IY$24)</f>
        <v>0</v>
      </c>
      <c r="FC93" s="56"/>
      <c r="FD93" s="175">
        <f t="shared" si="563"/>
        <v>0</v>
      </c>
      <c r="FE93" s="175">
        <f t="shared" si="564"/>
        <v>0</v>
      </c>
      <c r="FF93" s="56"/>
      <c r="FI93" s="55">
        <f t="shared" si="565"/>
        <v>46099</v>
      </c>
      <c r="FJ93" s="56"/>
      <c r="FK93" s="183">
        <f>SUMPRODUCT(PRODUCE!$B104:$DY104,PRODUCE!$EB$25:$IY$25)</f>
        <v>0</v>
      </c>
      <c r="FL93" s="56"/>
      <c r="FM93" s="183">
        <f t="shared" si="566"/>
        <v>0</v>
      </c>
      <c r="FN93" s="183">
        <f t="shared" si="567"/>
        <v>0</v>
      </c>
      <c r="FO93" s="56"/>
      <c r="FR93" s="55">
        <f t="shared" si="568"/>
        <v>46099</v>
      </c>
      <c r="FS93" s="422"/>
      <c r="FT93" s="452">
        <f>SUMPRODUCT(PRODUCE!$B104:$DY104,PRODUCE!$EB$26:$IY$26)</f>
        <v>0</v>
      </c>
      <c r="FU93" s="422"/>
      <c r="FV93" s="452">
        <f t="shared" si="569"/>
        <v>0</v>
      </c>
      <c r="FW93" s="452">
        <f t="shared" si="570"/>
        <v>3220</v>
      </c>
      <c r="FX93" s="56"/>
      <c r="GA93" s="55">
        <f t="shared" si="571"/>
        <v>46099</v>
      </c>
      <c r="GB93" s="422"/>
      <c r="GC93" s="454">
        <f>SUMPRODUCT(PRODUCE!$B104:$DY104,PRODUCE!$EB$27:$IY$27)</f>
        <v>1360</v>
      </c>
      <c r="GD93" s="422"/>
      <c r="GE93" s="454">
        <f t="shared" si="572"/>
        <v>1360</v>
      </c>
      <c r="GF93" s="454">
        <f t="shared" si="573"/>
        <v>1800</v>
      </c>
      <c r="GG93" s="56"/>
      <c r="GI93" s="23"/>
      <c r="GJ93" s="55">
        <f t="shared" si="574"/>
        <v>46099</v>
      </c>
      <c r="GK93" s="422"/>
      <c r="GL93" s="456">
        <f>SUMPRODUCT(PRODUCE!$B104:$DY104,PRODUCE!$EB$28:$IY$28)</f>
        <v>0</v>
      </c>
      <c r="GM93" s="422"/>
      <c r="GN93" s="456">
        <f t="shared" si="575"/>
        <v>0</v>
      </c>
      <c r="GO93" s="456">
        <f t="shared" si="576"/>
        <v>5240</v>
      </c>
      <c r="GP93" s="56"/>
      <c r="GS93" s="55">
        <f t="shared" si="577"/>
        <v>46099</v>
      </c>
      <c r="GT93" s="56"/>
      <c r="GU93" s="195">
        <f>SUMPRODUCT(PRODUCE!$B104:$DY104,PRODUCE!$EB$29:$IY$29)</f>
        <v>0</v>
      </c>
      <c r="GV93" s="56"/>
      <c r="GW93" s="195">
        <f t="shared" si="578"/>
        <v>0</v>
      </c>
      <c r="GX93" s="195">
        <f t="shared" si="579"/>
        <v>0</v>
      </c>
      <c r="GY93" s="56"/>
      <c r="HB93" s="55">
        <f t="shared" si="580"/>
        <v>46099</v>
      </c>
      <c r="HC93" s="56"/>
      <c r="HD93" s="191">
        <f>SUMPRODUCT(PRODUCE!$B104:$DY104,PRODUCE!$EB$30:$IY$30)</f>
        <v>0</v>
      </c>
      <c r="HE93" s="56"/>
      <c r="HF93" s="191">
        <f t="shared" si="581"/>
        <v>0</v>
      </c>
      <c r="HG93" s="191">
        <f t="shared" si="582"/>
        <v>0</v>
      </c>
      <c r="HH93" s="56"/>
      <c r="HK93" s="55">
        <f t="shared" si="583"/>
        <v>46099</v>
      </c>
      <c r="HL93" s="56"/>
      <c r="HM93" s="63">
        <f>SUMPRODUCT(PRODUCE!$B104:$DY104,PRODUCE!$EB$31:$IY$31)</f>
        <v>0</v>
      </c>
      <c r="HN93" s="56"/>
      <c r="HO93" s="63">
        <f t="shared" si="584"/>
        <v>0</v>
      </c>
      <c r="HP93" s="63">
        <f t="shared" si="585"/>
        <v>0</v>
      </c>
      <c r="HQ93" s="56"/>
      <c r="HU93" s="55">
        <f t="shared" si="586"/>
        <v>46099</v>
      </c>
      <c r="HV93" s="56"/>
      <c r="HW93" s="242">
        <f>SUMPRODUCT(PRODUCE!$B104:$DY104,PRODUCE!$EB$32:$IY$32)</f>
        <v>0</v>
      </c>
      <c r="HX93" s="56"/>
      <c r="HY93" s="242">
        <f t="shared" si="587"/>
        <v>0</v>
      </c>
      <c r="HZ93" s="242">
        <f t="shared" si="588"/>
        <v>5120</v>
      </c>
      <c r="IA93" s="56"/>
      <c r="ID93" s="55">
        <f t="shared" si="589"/>
        <v>46099</v>
      </c>
      <c r="IE93" s="56"/>
      <c r="IF93" s="242">
        <f>SUMPRODUCT(PRODUCE!$B104:$DY104,PRODUCE!$EB$33:$IY$33)</f>
        <v>0</v>
      </c>
      <c r="IG93" s="56"/>
      <c r="IH93" s="242">
        <f t="shared" si="590"/>
        <v>0</v>
      </c>
      <c r="II93" s="242">
        <f t="shared" si="591"/>
        <v>6540</v>
      </c>
      <c r="IJ93" s="56"/>
      <c r="IM93" s="55">
        <f t="shared" si="592"/>
        <v>46099</v>
      </c>
      <c r="IN93" s="56"/>
      <c r="IO93" s="242">
        <f>SUMPRODUCT(PRODUCE!$B104:$DY104,PRODUCE!$EB$34:$IY$34)</f>
        <v>0</v>
      </c>
      <c r="IP93" s="56"/>
      <c r="IQ93" s="242">
        <f t="shared" si="593"/>
        <v>0</v>
      </c>
      <c r="IR93" s="242">
        <f t="shared" si="594"/>
        <v>11540</v>
      </c>
      <c r="IS93" s="56"/>
      <c r="IV93" s="55">
        <f t="shared" si="595"/>
        <v>46099</v>
      </c>
      <c r="IW93" s="56"/>
      <c r="IX93" s="242">
        <f>SUMPRODUCT(PRODUCE!$B104:$DY104,PRODUCE!$EB$35:$IY$35)</f>
        <v>0</v>
      </c>
      <c r="IY93" s="56"/>
      <c r="IZ93" s="242">
        <f t="shared" si="596"/>
        <v>0</v>
      </c>
      <c r="JA93" s="242">
        <f t="shared" si="597"/>
        <v>15120</v>
      </c>
      <c r="JB93" s="56"/>
      <c r="JE93" s="55">
        <f t="shared" si="598"/>
        <v>46099</v>
      </c>
      <c r="JF93" s="56"/>
      <c r="JG93" s="242">
        <f>SUMPRODUCT(PRODUCE!$B104:$DY104,PRODUCE!$EB$36:$IY$36)</f>
        <v>0</v>
      </c>
      <c r="JH93" s="56"/>
      <c r="JI93" s="242">
        <f t="shared" si="599"/>
        <v>0</v>
      </c>
      <c r="JJ93" s="242">
        <f t="shared" si="600"/>
        <v>5040</v>
      </c>
      <c r="JK93" s="56"/>
      <c r="JN93" s="55">
        <f t="shared" si="601"/>
        <v>46099</v>
      </c>
      <c r="JO93" s="56"/>
      <c r="JP93" s="242">
        <f>SUMPRODUCT(PRODUCE!$B104:$DY104,PRODUCE!$EB$37:$IY$37)</f>
        <v>0</v>
      </c>
      <c r="JQ93" s="56"/>
      <c r="JR93" s="242">
        <f t="shared" si="602"/>
        <v>0</v>
      </c>
      <c r="JS93" s="242">
        <f t="shared" si="603"/>
        <v>9100</v>
      </c>
      <c r="JT93" s="56"/>
      <c r="JW93" s="55">
        <f t="shared" si="604"/>
        <v>46099</v>
      </c>
      <c r="JX93" s="56"/>
      <c r="JY93" s="242">
        <f>SUMPRODUCT(PRODUCE!$B104:$DY104,PRODUCE!$EB$38:$IY$38)</f>
        <v>0</v>
      </c>
      <c r="JZ93" s="56"/>
      <c r="KA93" s="242">
        <f t="shared" si="605"/>
        <v>0</v>
      </c>
      <c r="KB93" s="242">
        <f t="shared" si="606"/>
        <v>6180</v>
      </c>
      <c r="KC93" s="56"/>
      <c r="KF93" s="55">
        <f t="shared" si="607"/>
        <v>46099</v>
      </c>
      <c r="KG93" s="56"/>
      <c r="KH93" s="242">
        <f>SUMPRODUCT(PRODUCE!$B104:$DY104,PRODUCE!$EB$39:$IY$39)</f>
        <v>975</v>
      </c>
      <c r="KI93" s="56"/>
      <c r="KJ93" s="242">
        <f t="shared" si="608"/>
        <v>975</v>
      </c>
      <c r="KK93" s="242">
        <f t="shared" si="609"/>
        <v>9184.5</v>
      </c>
      <c r="KL93" s="56"/>
      <c r="KO93" s="55">
        <f t="shared" si="610"/>
        <v>46099</v>
      </c>
      <c r="KP93" s="56"/>
      <c r="KQ93" s="242">
        <f>SUMPRODUCT(PRODUCE!$B104:$DY104,PRODUCE!$EB$40:$IY$40)</f>
        <v>0</v>
      </c>
      <c r="KR93" s="56"/>
      <c r="KS93" s="242">
        <f t="shared" si="611"/>
        <v>0</v>
      </c>
      <c r="KT93" s="242">
        <f t="shared" si="612"/>
        <v>6993</v>
      </c>
      <c r="KU93" s="56"/>
      <c r="KW93" s="23"/>
      <c r="KX93" s="55">
        <f t="shared" si="613"/>
        <v>46099</v>
      </c>
      <c r="KY93" s="56"/>
      <c r="KZ93" s="242">
        <f>SUMPRODUCT(PRODUCE!$B104:$DY104,PRODUCE!$EB$41:$IY$41)</f>
        <v>0</v>
      </c>
      <c r="LA93" s="56"/>
      <c r="LB93" s="242">
        <f t="shared" si="614"/>
        <v>0</v>
      </c>
      <c r="LC93" s="242">
        <f t="shared" si="615"/>
        <v>0</v>
      </c>
      <c r="LD93" s="56"/>
      <c r="LG93" s="55">
        <f t="shared" si="616"/>
        <v>46099</v>
      </c>
      <c r="LH93" s="56"/>
      <c r="LI93" s="242">
        <f>SUMPRODUCT(PRODUCE!$B104:$DY104,PRODUCE!$EB$42:$IY$42)</f>
        <v>0</v>
      </c>
      <c r="LJ93" s="56"/>
      <c r="LK93" s="242">
        <f t="shared" si="617"/>
        <v>0</v>
      </c>
      <c r="LL93" s="242">
        <f t="shared" si="618"/>
        <v>0</v>
      </c>
      <c r="LM93" s="56"/>
      <c r="LP93" s="55">
        <f t="shared" si="619"/>
        <v>46099</v>
      </c>
      <c r="LQ93" s="56"/>
      <c r="LR93" s="242">
        <f>SUMPRODUCT(PRODUCE!$B108:$DY108,PRODUCE!$EB$43:$IY$43)</f>
        <v>0</v>
      </c>
      <c r="LS93" s="56"/>
      <c r="LT93" s="242">
        <f t="shared" si="620"/>
        <v>0</v>
      </c>
      <c r="LU93" s="242">
        <f t="shared" si="621"/>
        <v>0</v>
      </c>
      <c r="LV93" s="56"/>
      <c r="LY93" s="55">
        <f t="shared" si="622"/>
        <v>46099</v>
      </c>
      <c r="LZ93" s="56"/>
      <c r="MA93" s="242">
        <f>SUMPRODUCT(PRODUCE!$B104:$DY104,PRODUCE!$EB$44:$IY$44)</f>
        <v>0</v>
      </c>
      <c r="MB93" s="56"/>
      <c r="MC93" s="242">
        <f t="shared" si="623"/>
        <v>0</v>
      </c>
      <c r="MD93" s="242">
        <f t="shared" si="624"/>
        <v>0</v>
      </c>
      <c r="ME93" s="56"/>
      <c r="MH93" s="55">
        <f t="shared" si="625"/>
        <v>46099</v>
      </c>
      <c r="MI93" s="56"/>
      <c r="MJ93" s="242">
        <f>SUMPRODUCT(PRODUCE!$B104:$DY104,PRODUCE!$EB$45:$IY$45)</f>
        <v>0</v>
      </c>
      <c r="MK93" s="56"/>
      <c r="ML93" s="242">
        <f t="shared" si="626"/>
        <v>0</v>
      </c>
      <c r="MM93" s="242">
        <f t="shared" si="627"/>
        <v>0</v>
      </c>
      <c r="MN93" s="56"/>
      <c r="MQ93" s="55">
        <f t="shared" si="628"/>
        <v>46099</v>
      </c>
      <c r="MR93" s="56"/>
      <c r="MS93" s="242">
        <f>SUMPRODUCT(PRODUCE!$B104:$DY104,PRODUCE!$EB$46:$IY$46)</f>
        <v>134</v>
      </c>
      <c r="MT93" s="56"/>
      <c r="MU93" s="242">
        <f t="shared" si="629"/>
        <v>134</v>
      </c>
      <c r="MV93" s="242">
        <f t="shared" si="630"/>
        <v>4740</v>
      </c>
      <c r="MW93" s="56"/>
      <c r="MZ93" s="55">
        <f t="shared" si="631"/>
        <v>46099</v>
      </c>
      <c r="NA93" s="56"/>
      <c r="NB93" s="242">
        <f>SUMPRODUCT(PRODUCE!$B104:$DY104,PRODUCE!$EB$47:$IY$47)</f>
        <v>150</v>
      </c>
      <c r="NC93" s="56"/>
      <c r="ND93" s="242">
        <f t="shared" si="632"/>
        <v>150</v>
      </c>
      <c r="NE93" s="242">
        <f t="shared" si="633"/>
        <v>0</v>
      </c>
      <c r="NF93" s="56"/>
      <c r="NI93" s="55">
        <f t="shared" si="634"/>
        <v>46099</v>
      </c>
      <c r="NJ93" s="56"/>
      <c r="NK93" s="242">
        <f>SUMPRODUCT(PRODUCE!$B104:$DY104,PRODUCE!$EB$48:$IY$48)</f>
        <v>0</v>
      </c>
      <c r="NL93" s="56"/>
      <c r="NM93" s="242">
        <f t="shared" si="635"/>
        <v>0</v>
      </c>
      <c r="NN93" s="242">
        <f t="shared" si="636"/>
        <v>465</v>
      </c>
      <c r="NO93" s="56"/>
      <c r="NR93" s="55">
        <f t="shared" si="637"/>
        <v>46099</v>
      </c>
      <c r="NS93" s="56"/>
      <c r="NT93" s="242">
        <f>SUMPRODUCT(PRODUCE!$B104:$DY104,PRODUCE!$EB$49:$IY$49)</f>
        <v>60</v>
      </c>
      <c r="NU93" s="56"/>
      <c r="NV93" s="242">
        <f t="shared" si="638"/>
        <v>60</v>
      </c>
      <c r="NW93" s="242">
        <f t="shared" si="639"/>
        <v>1299.3000000000002</v>
      </c>
      <c r="NX93" s="56"/>
      <c r="OA93" s="55">
        <f t="shared" si="640"/>
        <v>46099</v>
      </c>
      <c r="OB93" s="56"/>
      <c r="OC93" s="242">
        <f>SUMPRODUCT(PRODUCE!$B104:$DY104,PRODUCE!$EB$50:$IY$50)</f>
        <v>0</v>
      </c>
      <c r="OD93" s="56"/>
      <c r="OE93" s="242">
        <f t="shared" si="641"/>
        <v>0</v>
      </c>
      <c r="OF93" s="242">
        <f t="shared" si="642"/>
        <v>1680.5</v>
      </c>
      <c r="OG93" s="56"/>
      <c r="OJ93" s="55">
        <f t="shared" si="643"/>
        <v>46099</v>
      </c>
      <c r="OK93" s="56"/>
      <c r="OL93" s="242">
        <f>SUMPRODUCT(PRODUCE!$B104:$DY104,PRODUCE!$EB$51:$IY$51)</f>
        <v>139.99999999999997</v>
      </c>
      <c r="OM93" s="56"/>
      <c r="ON93" s="242">
        <f t="shared" si="644"/>
        <v>139.99999999999997</v>
      </c>
      <c r="OO93" s="242">
        <f t="shared" si="645"/>
        <v>0</v>
      </c>
      <c r="OP93" s="56"/>
      <c r="OS93" s="55">
        <f t="shared" si="646"/>
        <v>46099</v>
      </c>
      <c r="OT93" s="56"/>
      <c r="OU93" s="242">
        <f>SUMPRODUCT(PRODUCE!$B104:$DY104,PRODUCE!$EB$52:$IY$52)</f>
        <v>0</v>
      </c>
      <c r="OV93" s="56"/>
      <c r="OW93" s="242">
        <f t="shared" si="647"/>
        <v>0</v>
      </c>
      <c r="OX93" s="242">
        <f t="shared" si="648"/>
        <v>1000</v>
      </c>
      <c r="OY93" s="56"/>
      <c r="PB93" s="55">
        <f t="shared" si="649"/>
        <v>46099</v>
      </c>
      <c r="PC93" s="56"/>
      <c r="PD93" s="242">
        <f>SUMPRODUCT(PRODUCE!$B104:$DY104,PRODUCE!$EB$53:$IY$53)</f>
        <v>0</v>
      </c>
      <c r="PE93" s="56"/>
      <c r="PF93" s="242">
        <f t="shared" si="650"/>
        <v>0</v>
      </c>
      <c r="PG93" s="242">
        <f t="shared" si="651"/>
        <v>0</v>
      </c>
      <c r="PH93" s="56"/>
      <c r="PK93" s="55">
        <f t="shared" si="652"/>
        <v>46099</v>
      </c>
      <c r="PL93" s="56"/>
      <c r="PM93" s="242">
        <f>SUMPRODUCT(PRODUCE!$B104:$DY104,PRODUCE!$EB$54:$IY$54)</f>
        <v>0</v>
      </c>
      <c r="PN93" s="56"/>
      <c r="PO93" s="242">
        <f t="shared" si="653"/>
        <v>0</v>
      </c>
      <c r="PP93" s="242">
        <f t="shared" si="654"/>
        <v>100</v>
      </c>
      <c r="PQ93" s="56"/>
      <c r="PT93" s="55">
        <f t="shared" si="655"/>
        <v>46099</v>
      </c>
      <c r="PU93" s="56"/>
      <c r="PV93" s="242">
        <f>SUMPRODUCT(PRODUCE!$B104:$DY104,PRODUCE!$EB$55:$IY$55)</f>
        <v>0</v>
      </c>
      <c r="PW93" s="56"/>
      <c r="PX93" s="242">
        <f t="shared" si="656"/>
        <v>0</v>
      </c>
      <c r="PY93" s="242">
        <f t="shared" si="657"/>
        <v>13.960000000000036</v>
      </c>
      <c r="PZ93" s="56"/>
      <c r="QC93" s="55">
        <f t="shared" si="658"/>
        <v>46099</v>
      </c>
      <c r="QD93" s="56"/>
      <c r="QE93" s="242">
        <f>SUMPRODUCT(PRODUCE!$B104:$DY104,PRODUCE!$EB$56:$IY$56)</f>
        <v>0</v>
      </c>
      <c r="QF93" s="56"/>
      <c r="QG93" s="242">
        <f t="shared" si="659"/>
        <v>0</v>
      </c>
      <c r="QH93" s="242">
        <f t="shared" si="660"/>
        <v>1212</v>
      </c>
      <c r="QI93" s="56"/>
      <c r="QL93" s="55">
        <f t="shared" si="661"/>
        <v>46099</v>
      </c>
      <c r="QM93" s="56"/>
      <c r="QN93" s="242">
        <f>SUMPRODUCT(PRODUCE!$B104:$DY104,PRODUCE!$EB$57:$IY$57)</f>
        <v>0</v>
      </c>
      <c r="QO93" s="56"/>
      <c r="QP93" s="242">
        <f t="shared" si="662"/>
        <v>0</v>
      </c>
      <c r="QQ93" s="242">
        <f t="shared" si="663"/>
        <v>0</v>
      </c>
      <c r="QR93" s="56"/>
      <c r="QU93" s="55">
        <f t="shared" si="664"/>
        <v>46099</v>
      </c>
      <c r="QV93" s="56"/>
      <c r="QW93" s="242">
        <f>SUMPRODUCT(PRODUCE!$B104:$DY104,PRODUCE!$EB$57:$IY$57)</f>
        <v>0</v>
      </c>
      <c r="QX93" s="56"/>
      <c r="QY93" s="242">
        <f t="shared" si="665"/>
        <v>0</v>
      </c>
      <c r="QZ93" s="242">
        <f t="shared" si="666"/>
        <v>207.6</v>
      </c>
      <c r="RA93" s="56"/>
      <c r="RD93" s="55">
        <f t="shared" si="667"/>
        <v>46099</v>
      </c>
      <c r="RE93" s="56"/>
      <c r="RF93" s="242">
        <f>SUMPRODUCT(PRODUCE!$B104:$DY104,PRODUCE!$EB$58:$IY$58)</f>
        <v>0</v>
      </c>
      <c r="RG93" s="56"/>
      <c r="RH93" s="242">
        <f t="shared" si="668"/>
        <v>0</v>
      </c>
      <c r="RI93" s="242">
        <f t="shared" si="669"/>
        <v>197.04000000000002</v>
      </c>
      <c r="RJ93" s="56"/>
      <c r="RM93" s="55">
        <f t="shared" si="670"/>
        <v>46099</v>
      </c>
      <c r="RN93" s="56"/>
      <c r="RO93" s="242">
        <f>SUMPRODUCT(PRODUCE!$B104:$DY104,PRODUCE!$EB$57:$IY$57)</f>
        <v>0</v>
      </c>
      <c r="RP93" s="56"/>
      <c r="RQ93" s="242">
        <f t="shared" si="671"/>
        <v>0</v>
      </c>
      <c r="RR93" s="242">
        <f t="shared" si="672"/>
        <v>46.8</v>
      </c>
      <c r="RS93" s="56"/>
      <c r="RV93" s="55">
        <f t="shared" si="673"/>
        <v>46099</v>
      </c>
      <c r="RW93" s="56"/>
      <c r="RX93" s="242">
        <f>SUMPRODUCT(PRODUCE!$B104:$DY104,PRODUCE!$EB$57:$IY$57)</f>
        <v>0</v>
      </c>
      <c r="RY93" s="56"/>
      <c r="RZ93" s="242">
        <f t="shared" si="674"/>
        <v>0</v>
      </c>
      <c r="SA93" s="242">
        <f t="shared" si="675"/>
        <v>0</v>
      </c>
      <c r="SB93" s="56"/>
      <c r="SE93" s="55">
        <f t="shared" si="676"/>
        <v>46099</v>
      </c>
      <c r="SF93" s="56"/>
      <c r="SG93" s="242">
        <f>SUMPRODUCT(PRODUCE!$B104:$DY104,PRODUCE!$EB$57:$IY$57)</f>
        <v>0</v>
      </c>
      <c r="SH93" s="56"/>
      <c r="SI93" s="242">
        <f t="shared" si="677"/>
        <v>0</v>
      </c>
      <c r="SJ93" s="242">
        <f t="shared" si="678"/>
        <v>0</v>
      </c>
      <c r="SK93" s="56"/>
      <c r="SN93" s="55">
        <f t="shared" si="679"/>
        <v>46099</v>
      </c>
      <c r="SO93" s="56"/>
      <c r="SP93" s="242">
        <f>SUMPRODUCT(PRODUCE!$B104:$DY104,PRODUCE!$EB$57:$IY$57)</f>
        <v>0</v>
      </c>
      <c r="SQ93" s="56"/>
      <c r="SR93" s="242">
        <f t="shared" si="680"/>
        <v>0</v>
      </c>
      <c r="SS93" s="242">
        <f t="shared" si="681"/>
        <v>0</v>
      </c>
      <c r="ST93" s="56"/>
      <c r="SW93" s="55">
        <f t="shared" si="682"/>
        <v>46099</v>
      </c>
      <c r="SX93" s="56"/>
      <c r="SY93" s="242">
        <f>SUMPRODUCT(PRODUCE!$B104:$DY104,PRODUCE!$EB$57:$IY$57)</f>
        <v>0</v>
      </c>
      <c r="SZ93" s="56"/>
      <c r="TA93" s="242">
        <f t="shared" si="683"/>
        <v>0</v>
      </c>
      <c r="TB93" s="242">
        <f t="shared" si="684"/>
        <v>0</v>
      </c>
      <c r="TC93" s="56"/>
      <c r="TF93" s="55">
        <f t="shared" si="685"/>
        <v>46099</v>
      </c>
      <c r="TG93" s="56"/>
      <c r="TH93" s="242">
        <f>SUMPRODUCT(PRODUCE!$B104:$DY104,PRODUCE!$EB$57:$IY$57)</f>
        <v>0</v>
      </c>
      <c r="TI93" s="56"/>
      <c r="TJ93" s="242">
        <f t="shared" si="686"/>
        <v>0</v>
      </c>
      <c r="TK93" s="242">
        <f t="shared" si="687"/>
        <v>0</v>
      </c>
      <c r="TL93" s="56"/>
      <c r="TO93" s="55">
        <f t="shared" si="688"/>
        <v>46099</v>
      </c>
      <c r="TP93" s="56"/>
      <c r="TQ93" s="242">
        <f>SUMPRODUCT(PRODUCE!$B104:$DY104,PRODUCE!$EB$57:$IY$57)</f>
        <v>0</v>
      </c>
      <c r="TR93" s="56"/>
      <c r="TS93" s="242">
        <f t="shared" si="689"/>
        <v>0</v>
      </c>
      <c r="TT93" s="242">
        <f t="shared" si="690"/>
        <v>0</v>
      </c>
      <c r="TU93" s="56"/>
      <c r="TX93" s="55">
        <f t="shared" si="691"/>
        <v>46099</v>
      </c>
      <c r="TY93" s="56"/>
      <c r="TZ93" s="242">
        <f>SUMPRODUCT(PRODUCE!$B104:$DY104,PRODUCE!$EB$57:$IY$57)</f>
        <v>0</v>
      </c>
      <c r="UA93" s="56"/>
      <c r="UB93" s="242">
        <f t="shared" si="692"/>
        <v>0</v>
      </c>
      <c r="UC93" s="242">
        <f t="shared" si="693"/>
        <v>0</v>
      </c>
      <c r="UD93" s="56"/>
      <c r="UG93" s="55">
        <f t="shared" si="694"/>
        <v>46099</v>
      </c>
      <c r="UH93" s="56"/>
      <c r="UI93" s="242">
        <f>SUMPRODUCT(PRODUCE!$B104:$DY104,PRODUCE!$EB$57:$IY$57)</f>
        <v>0</v>
      </c>
      <c r="UJ93" s="56"/>
      <c r="UK93" s="242">
        <f t="shared" si="695"/>
        <v>0</v>
      </c>
      <c r="UL93" s="242">
        <f t="shared" si="696"/>
        <v>0</v>
      </c>
      <c r="UM93" s="56"/>
      <c r="UP93" s="55">
        <f t="shared" si="697"/>
        <v>46099</v>
      </c>
      <c r="UQ93" s="56"/>
      <c r="UR93" s="242">
        <f>SUMPRODUCT(PRODUCE!$B104:$DY104,PRODUCE!$EB$57:$IY$57)</f>
        <v>0</v>
      </c>
      <c r="US93" s="56"/>
      <c r="UT93" s="242">
        <f t="shared" si="698"/>
        <v>0</v>
      </c>
      <c r="UU93" s="242">
        <f t="shared" si="699"/>
        <v>0</v>
      </c>
      <c r="UV93" s="56"/>
      <c r="UY93" s="55">
        <f t="shared" si="700"/>
        <v>46099</v>
      </c>
      <c r="UZ93" s="56"/>
      <c r="VA93" s="242">
        <f>SUMPRODUCT(PRODUCE!$B104:$DY104,PRODUCE!$EB$57:$IY$57)</f>
        <v>0</v>
      </c>
      <c r="VB93" s="56"/>
      <c r="VC93" s="242">
        <f t="shared" si="701"/>
        <v>0</v>
      </c>
      <c r="VD93" s="242">
        <f t="shared" si="702"/>
        <v>41.600000000000023</v>
      </c>
      <c r="VE93" s="56"/>
      <c r="VH93" s="55">
        <f t="shared" si="703"/>
        <v>46099</v>
      </c>
      <c r="VI93" s="56"/>
      <c r="VJ93" s="242">
        <f>SUMPRODUCT(PRODUCE!$B104:$DY104,PRODUCE!$EB$57:$IY$57)</f>
        <v>0</v>
      </c>
      <c r="VK93" s="56"/>
      <c r="VL93" s="242">
        <f t="shared" si="704"/>
        <v>0</v>
      </c>
      <c r="VM93" s="242">
        <f t="shared" si="705"/>
        <v>0</v>
      </c>
      <c r="VN93" s="56"/>
      <c r="VQ93" s="55">
        <f t="shared" si="706"/>
        <v>46099</v>
      </c>
      <c r="VR93" s="56"/>
      <c r="VS93" s="242">
        <f>SUMPRODUCT(PRODUCE!$B104:$DY104,PRODUCE!$EB$57:$IY$57)</f>
        <v>0</v>
      </c>
      <c r="VT93" s="56"/>
      <c r="VU93" s="242">
        <f t="shared" si="707"/>
        <v>0</v>
      </c>
      <c r="VV93" s="242">
        <f t="shared" si="708"/>
        <v>0</v>
      </c>
      <c r="VW93" s="56"/>
      <c r="VZ93" s="55">
        <f t="shared" si="709"/>
        <v>46099</v>
      </c>
      <c r="WA93" s="56"/>
      <c r="WB93" s="242">
        <f>SUMPRODUCT(PRODUCE!$B104:$DY104,PRODUCE!$EB$57:$IY$57)</f>
        <v>0</v>
      </c>
      <c r="WC93" s="56"/>
      <c r="WD93" s="242">
        <f t="shared" si="710"/>
        <v>0</v>
      </c>
      <c r="WE93" s="242">
        <f t="shared" si="711"/>
        <v>0</v>
      </c>
      <c r="WF93" s="56"/>
      <c r="WI93" s="55">
        <f t="shared" si="712"/>
        <v>46099</v>
      </c>
      <c r="WJ93" s="56"/>
      <c r="WK93" s="242">
        <f>SUMPRODUCT(PRODUCE!$B104:$DY104,PRODUCE!$EB$57:$IY$57)</f>
        <v>0</v>
      </c>
      <c r="WL93" s="56"/>
      <c r="WM93" s="242">
        <f t="shared" si="713"/>
        <v>0</v>
      </c>
      <c r="WN93" s="242">
        <f t="shared" si="714"/>
        <v>5180</v>
      </c>
      <c r="WO93" s="56"/>
      <c r="WR93" s="55">
        <f t="shared" si="715"/>
        <v>46099</v>
      </c>
      <c r="WS93" s="56"/>
      <c r="WT93" s="242">
        <f>SUMPRODUCT(PRODUCE!$B104:$DY104,PRODUCE!$EB$57:$IY$57)</f>
        <v>0</v>
      </c>
      <c r="WU93" s="56">
        <v>1404</v>
      </c>
      <c r="WV93" s="242">
        <f t="shared" si="716"/>
        <v>-1404</v>
      </c>
      <c r="WW93" s="242">
        <f t="shared" si="717"/>
        <v>3265</v>
      </c>
      <c r="WX93" s="56"/>
      <c r="XA93" s="55">
        <f t="shared" si="718"/>
        <v>46099</v>
      </c>
      <c r="XB93" s="56"/>
      <c r="XC93" s="242">
        <f>SUMPRODUCT(PRODUCE!$B104:$DY104,PRODUCE!$EB$57:$IY$57)</f>
        <v>0</v>
      </c>
      <c r="XD93" s="56"/>
      <c r="XE93" s="242">
        <f t="shared" si="719"/>
        <v>0</v>
      </c>
      <c r="XF93" s="242">
        <f t="shared" si="720"/>
        <v>7142</v>
      </c>
      <c r="XG93" s="56"/>
      <c r="XJ93" s="55">
        <f t="shared" si="721"/>
        <v>46099</v>
      </c>
      <c r="XK93" s="56"/>
      <c r="XL93" s="242">
        <f>SUMPRODUCT(PRODUCE!$B104:$DY104,PRODUCE!$EB$57:$IY$57)</f>
        <v>0</v>
      </c>
      <c r="XM93" s="56"/>
      <c r="XN93" s="242">
        <f t="shared" si="722"/>
        <v>0</v>
      </c>
      <c r="XO93" s="242">
        <f t="shared" si="723"/>
        <v>7549</v>
      </c>
      <c r="XP93" s="56"/>
      <c r="XS93" s="55">
        <f t="shared" si="724"/>
        <v>46099</v>
      </c>
      <c r="XT93" s="56"/>
      <c r="XU93" s="242">
        <f>SUMPRODUCT(PRODUCE!$B104:$DY104,PRODUCE!$EB$57:$IY$57)</f>
        <v>0</v>
      </c>
      <c r="XV93" s="56"/>
      <c r="XW93" s="242">
        <f t="shared" si="725"/>
        <v>0</v>
      </c>
      <c r="XX93" s="242">
        <f t="shared" si="726"/>
        <v>1901</v>
      </c>
      <c r="XY93" s="56"/>
      <c r="YB93" s="55">
        <f t="shared" si="727"/>
        <v>46099</v>
      </c>
      <c r="YC93" s="56"/>
      <c r="YD93" s="242">
        <f>SUMPRODUCT(PRODUCE!$B104:$DY104,PRODUCE!$EB$57:$IY$57)</f>
        <v>0</v>
      </c>
      <c r="YE93" s="56"/>
      <c r="YF93" s="242">
        <f t="shared" si="728"/>
        <v>0</v>
      </c>
      <c r="YG93" s="242">
        <f t="shared" si="729"/>
        <v>6459</v>
      </c>
      <c r="YH93" s="56"/>
      <c r="YK93" s="55">
        <f t="shared" si="730"/>
        <v>46099</v>
      </c>
      <c r="YL93" s="56"/>
      <c r="YM93" s="242">
        <f>SUMPRODUCT(PRODUCE!$B104:$DY104,PRODUCE!$EB$57:$IY$57)</f>
        <v>0</v>
      </c>
      <c r="YN93" s="56"/>
      <c r="YO93" s="242">
        <f t="shared" si="731"/>
        <v>0</v>
      </c>
      <c r="YP93" s="242">
        <f t="shared" si="732"/>
        <v>0</v>
      </c>
      <c r="YQ93" s="56"/>
      <c r="YT93" s="55">
        <f t="shared" si="733"/>
        <v>46099</v>
      </c>
      <c r="YU93" s="56"/>
      <c r="YV93" s="242">
        <f>SUMPRODUCT(PRODUCE!$B104:$DY104,PRODUCE!$EB$57:$IY$57)</f>
        <v>0</v>
      </c>
      <c r="YW93" s="56"/>
      <c r="YX93" s="242">
        <f t="shared" si="734"/>
        <v>0</v>
      </c>
      <c r="YY93" s="242">
        <f t="shared" si="735"/>
        <v>0</v>
      </c>
      <c r="YZ93" s="56"/>
      <c r="ZC93" s="55">
        <f t="shared" si="736"/>
        <v>46099</v>
      </c>
      <c r="ZD93" s="56"/>
      <c r="ZE93" s="242">
        <f>SUMPRODUCT(PRODUCE!$B104:$DY104,PRODUCE!$EB$57:$IY$57)</f>
        <v>0</v>
      </c>
      <c r="ZF93" s="56"/>
      <c r="ZG93" s="242">
        <f t="shared" si="737"/>
        <v>0</v>
      </c>
      <c r="ZH93" s="242">
        <f t="shared" si="738"/>
        <v>0</v>
      </c>
      <c r="ZI93" s="56"/>
      <c r="ZL93" s="55">
        <f t="shared" si="739"/>
        <v>46099</v>
      </c>
      <c r="ZM93" s="56"/>
      <c r="ZN93" s="242">
        <f>SUMPRODUCT(PRODUCE!$B104:$DY104,PRODUCE!$EB$57:$IY$57)</f>
        <v>0</v>
      </c>
      <c r="ZO93" s="56"/>
      <c r="ZP93" s="242">
        <f t="shared" si="740"/>
        <v>0</v>
      </c>
      <c r="ZQ93" s="242">
        <f t="shared" si="741"/>
        <v>0</v>
      </c>
      <c r="ZR93" s="56"/>
      <c r="ZU93" s="55">
        <f t="shared" si="742"/>
        <v>46099</v>
      </c>
      <c r="ZV93" s="56"/>
      <c r="ZW93" s="242">
        <f>SUMPRODUCT(PRODUCE!$B104:$DY104,PRODUCE!$EB$57:$IY$57)</f>
        <v>0</v>
      </c>
      <c r="ZX93" s="56"/>
      <c r="ZY93" s="242">
        <f t="shared" si="743"/>
        <v>0</v>
      </c>
      <c r="ZZ93" s="242">
        <f t="shared" si="744"/>
        <v>0</v>
      </c>
      <c r="AAA93" s="56"/>
      <c r="AAD93" s="55">
        <f t="shared" si="745"/>
        <v>46099</v>
      </c>
      <c r="AAE93" s="56"/>
      <c r="AAF93" s="242">
        <f>SUMPRODUCT(PRODUCE!$B104:$DY104,PRODUCE!$EB$57:$IY$57)</f>
        <v>0</v>
      </c>
      <c r="AAG93" s="56"/>
      <c r="AAH93" s="242">
        <f t="shared" si="746"/>
        <v>0</v>
      </c>
      <c r="AAI93" s="242">
        <f t="shared" si="747"/>
        <v>0</v>
      </c>
      <c r="AAJ93" s="56"/>
      <c r="AAM93" s="55">
        <f t="shared" si="748"/>
        <v>46099</v>
      </c>
      <c r="AAN93" s="56"/>
      <c r="AAO93" s="242">
        <f>SUMPRODUCT(PRODUCE!$B104:$DY104,PRODUCE!$EB$57:$IY$57)</f>
        <v>0</v>
      </c>
      <c r="AAP93" s="56"/>
      <c r="AAQ93" s="242">
        <f t="shared" si="749"/>
        <v>0</v>
      </c>
      <c r="AAR93" s="242">
        <f t="shared" si="750"/>
        <v>0</v>
      </c>
      <c r="AAS93" s="56"/>
      <c r="AAV93" s="55">
        <f t="shared" si="751"/>
        <v>46099</v>
      </c>
      <c r="AAW93" s="56"/>
      <c r="AAX93" s="242">
        <f>SUMPRODUCT(PRODUCE!$B104:$DY104,PRODUCE!$EB$57:$IY$57)</f>
        <v>0</v>
      </c>
      <c r="AAY93" s="56"/>
      <c r="AAZ93" s="242">
        <f t="shared" si="752"/>
        <v>0</v>
      </c>
      <c r="ABA93" s="242">
        <f t="shared" si="753"/>
        <v>0</v>
      </c>
      <c r="ABB93" s="56"/>
      <c r="ABE93" s="55">
        <f t="shared" si="754"/>
        <v>46099</v>
      </c>
      <c r="ABF93" s="56"/>
      <c r="ABG93" s="242">
        <f>SUMPRODUCT(PRODUCE!$B104:$DY104,PRODUCE!$EB$57:$IY$57)</f>
        <v>0</v>
      </c>
      <c r="ABH93" s="56"/>
      <c r="ABI93" s="242">
        <f t="shared" si="755"/>
        <v>0</v>
      </c>
      <c r="ABJ93" s="242">
        <f t="shared" si="756"/>
        <v>0</v>
      </c>
      <c r="ABK93" s="56"/>
    </row>
    <row r="94" spans="2:739" s="54" customFormat="1" ht="15" customHeight="1" outlineLevel="1">
      <c r="B94" s="478">
        <v>20</v>
      </c>
      <c r="C94" s="55">
        <v>46100</v>
      </c>
      <c r="D94" s="422">
        <v>60670</v>
      </c>
      <c r="E94" s="423">
        <f>SUMPRODUCT(PRODUCE!$B105:$DY105,PRODUCE!$EB$7:$IY$7)</f>
        <v>10027.000000000002</v>
      </c>
      <c r="F94" s="422">
        <v>10020.200000000001</v>
      </c>
      <c r="G94" s="423">
        <f t="shared" si="514"/>
        <v>6.8000000000010914</v>
      </c>
      <c r="H94" s="423">
        <f t="shared" si="512"/>
        <v>258879.99999999994</v>
      </c>
      <c r="I94" s="289" t="s">
        <v>228</v>
      </c>
      <c r="L94" s="55">
        <f t="shared" si="513"/>
        <v>46100</v>
      </c>
      <c r="M94" s="422">
        <v>30140</v>
      </c>
      <c r="N94" s="438">
        <f>SUMPRODUCT(PRODUCE!$B105:$DY105,PRODUCE!$EB$8:$IY$8)</f>
        <v>4100</v>
      </c>
      <c r="O94" s="422">
        <v>4099.3999999999996</v>
      </c>
      <c r="P94" s="438">
        <f t="shared" si="515"/>
        <v>0.6000000000003638</v>
      </c>
      <c r="Q94" s="438">
        <f t="shared" si="516"/>
        <v>110496.60000000008</v>
      </c>
      <c r="R94" s="56"/>
      <c r="U94" s="55">
        <f t="shared" si="517"/>
        <v>46100</v>
      </c>
      <c r="V94" s="422"/>
      <c r="W94" s="440">
        <f>SUMPRODUCT(PRODUCE!$B105:$DY105,PRODUCE!$EB$9:$IY$9)</f>
        <v>1669.9999999999998</v>
      </c>
      <c r="X94" s="422">
        <v>1671</v>
      </c>
      <c r="Y94" s="440">
        <f t="shared" si="518"/>
        <v>-1.0000000000002274</v>
      </c>
      <c r="Z94" s="440">
        <f t="shared" si="519"/>
        <v>47285.699999999968</v>
      </c>
      <c r="AA94" s="56"/>
      <c r="AD94" s="55">
        <f t="shared" si="520"/>
        <v>46100</v>
      </c>
      <c r="AE94" s="422"/>
      <c r="AF94" s="442">
        <f>SUMPRODUCT(PRODUCE!$B105:$DY105,PRODUCE!$EB$10:$IY$10)</f>
        <v>260.00000000000006</v>
      </c>
      <c r="AG94" s="422">
        <v>261.2</v>
      </c>
      <c r="AH94" s="442">
        <f t="shared" si="521"/>
        <v>-1.1999999999999318</v>
      </c>
      <c r="AI94" s="442">
        <f t="shared" si="522"/>
        <v>43301.200000000019</v>
      </c>
      <c r="AJ94" s="56"/>
      <c r="AM94" s="55">
        <f t="shared" si="523"/>
        <v>46100</v>
      </c>
      <c r="AN94" s="422"/>
      <c r="AO94" s="444">
        <f>SUMPRODUCT(PRODUCE!$B105:$DY105,PRODUCE!$EB$11:$IY$11)</f>
        <v>0</v>
      </c>
      <c r="AP94" s="422"/>
      <c r="AQ94" s="444">
        <f t="shared" si="524"/>
        <v>0</v>
      </c>
      <c r="AR94" s="444">
        <f t="shared" si="525"/>
        <v>0</v>
      </c>
      <c r="AS94" s="56"/>
      <c r="AV94" s="55">
        <f t="shared" si="526"/>
        <v>46100</v>
      </c>
      <c r="AW94" s="422"/>
      <c r="AX94" s="446">
        <f>SUMPRODUCT(PRODUCE!$B105:$DY105,PRODUCE!$EB$12:$IY$12)</f>
        <v>0</v>
      </c>
      <c r="AY94" s="422"/>
      <c r="AZ94" s="446">
        <f t="shared" si="527"/>
        <v>0</v>
      </c>
      <c r="BA94" s="446">
        <f t="shared" si="528"/>
        <v>22268.399999999983</v>
      </c>
      <c r="BB94" s="56"/>
      <c r="BE94" s="55">
        <f t="shared" si="529"/>
        <v>46100</v>
      </c>
      <c r="BF94" s="422"/>
      <c r="BG94" s="448">
        <f>SUMPRODUCT(PRODUCE!$B105:$DY105,PRODUCE!$EB$13:$IY$13)</f>
        <v>840</v>
      </c>
      <c r="BH94" s="422">
        <v>838.6</v>
      </c>
      <c r="BI94" s="448">
        <f t="shared" si="530"/>
        <v>1.3999999999999773</v>
      </c>
      <c r="BJ94" s="448">
        <f t="shared" si="531"/>
        <v>14288.500000000002</v>
      </c>
      <c r="BK94" s="56"/>
      <c r="BN94" s="55">
        <f t="shared" si="532"/>
        <v>46100</v>
      </c>
      <c r="BO94" s="422">
        <v>400.1</v>
      </c>
      <c r="BP94" s="450">
        <f>SUMPRODUCT(PRODUCE!$B105:$DY105,PRODUCE!$EB$14:$IY$14)</f>
        <v>400</v>
      </c>
      <c r="BQ94" s="422">
        <v>400.1</v>
      </c>
      <c r="BR94" s="450">
        <f t="shared" si="533"/>
        <v>-0.10000000000002274</v>
      </c>
      <c r="BS94" s="450">
        <f t="shared" si="534"/>
        <v>0</v>
      </c>
      <c r="BT94" s="56"/>
      <c r="BW94" s="55">
        <f t="shared" si="535"/>
        <v>46100</v>
      </c>
      <c r="BX94" s="56"/>
      <c r="BY94" s="65">
        <f>SUMPRODUCT(PRODUCE!$B105:$DY105,PRODUCE!$EB$15:$IY$15)</f>
        <v>133</v>
      </c>
      <c r="BZ94" s="56">
        <v>234</v>
      </c>
      <c r="CA94" s="65">
        <f t="shared" si="536"/>
        <v>-101</v>
      </c>
      <c r="CB94" s="65">
        <f t="shared" si="537"/>
        <v>2829.8</v>
      </c>
      <c r="CC94" s="56"/>
      <c r="CF94" s="55">
        <f t="shared" si="538"/>
        <v>46100</v>
      </c>
      <c r="CG94" s="56">
        <v>494</v>
      </c>
      <c r="CH94" s="66">
        <f>SUMPRODUCT(PRODUCE!$B105:$DY105,PRODUCE!$EB$16:$IY$16)</f>
        <v>200</v>
      </c>
      <c r="CI94" s="56">
        <v>494</v>
      </c>
      <c r="CJ94" s="66">
        <f t="shared" si="539"/>
        <v>-294</v>
      </c>
      <c r="CK94" s="66">
        <f t="shared" si="540"/>
        <v>0</v>
      </c>
      <c r="CL94" s="56"/>
      <c r="CO94" s="55">
        <f t="shared" si="541"/>
        <v>46100</v>
      </c>
      <c r="CP94" s="422"/>
      <c r="CQ94" s="470">
        <f>SUMPRODUCT(PRODUCE!$B105:$DY105,PRODUCE!$EB$17:$IY$17)</f>
        <v>0</v>
      </c>
      <c r="CR94" s="422"/>
      <c r="CS94" s="470">
        <f t="shared" si="542"/>
        <v>0</v>
      </c>
      <c r="CT94" s="470">
        <f t="shared" si="543"/>
        <v>0</v>
      </c>
      <c r="CU94" s="56"/>
      <c r="CX94" s="55">
        <f t="shared" si="544"/>
        <v>46100</v>
      </c>
      <c r="CY94" s="56"/>
      <c r="CZ94" s="133">
        <f>SUMPRODUCT(PRODUCE!$B105:$DY105,PRODUCE!$EB$18:$IY$18)</f>
        <v>1000</v>
      </c>
      <c r="DA94" s="56">
        <v>1001.1</v>
      </c>
      <c r="DB94" s="133">
        <f t="shared" si="545"/>
        <v>-1.1000000000000227</v>
      </c>
      <c r="DC94" s="133">
        <f t="shared" si="546"/>
        <v>17440.7</v>
      </c>
      <c r="DD94" s="56"/>
      <c r="DG94" s="55">
        <f t="shared" si="547"/>
        <v>46100</v>
      </c>
      <c r="DH94" s="56"/>
      <c r="DI94" s="147">
        <f>SUMPRODUCT(PRODUCE!$B105:$DY105,PRODUCE!$EB$19:$IY$19)</f>
        <v>800</v>
      </c>
      <c r="DJ94" s="56">
        <v>800.6</v>
      </c>
      <c r="DK94" s="147">
        <f t="shared" si="548"/>
        <v>-0.60000000000002274</v>
      </c>
      <c r="DL94" s="147">
        <f t="shared" si="549"/>
        <v>13918.199999999995</v>
      </c>
      <c r="DM94" s="56"/>
      <c r="DP94" s="55">
        <f t="shared" si="550"/>
        <v>46100</v>
      </c>
      <c r="DQ94" s="56"/>
      <c r="DR94" s="57">
        <f>SUMPRODUCT(PRODUCE!$B105:$DY105,PRODUCE!$EB$20:$IY$20)</f>
        <v>0</v>
      </c>
      <c r="DS94" s="56"/>
      <c r="DT94" s="57">
        <f t="shared" si="551"/>
        <v>0</v>
      </c>
      <c r="DU94" s="57">
        <f t="shared" si="552"/>
        <v>7150</v>
      </c>
      <c r="DV94" s="56"/>
      <c r="DY94" s="55">
        <f t="shared" si="553"/>
        <v>46100</v>
      </c>
      <c r="DZ94" s="56"/>
      <c r="EA94" s="157">
        <f>SUMPRODUCT(PRODUCE!$B105:$DY105,PRODUCE!$EB$21:$IY$21)</f>
        <v>0</v>
      </c>
      <c r="EB94" s="56"/>
      <c r="EC94" s="157">
        <f t="shared" si="554"/>
        <v>0</v>
      </c>
      <c r="ED94" s="157">
        <f t="shared" si="555"/>
        <v>2947.3</v>
      </c>
      <c r="EE94" s="56"/>
      <c r="EH94" s="55">
        <f t="shared" si="556"/>
        <v>46100</v>
      </c>
      <c r="EI94" s="56"/>
      <c r="EJ94" s="162">
        <f>SUMPRODUCT(PRODUCE!$B105:$DY105,PRODUCE!$EB$22:$IY$22)</f>
        <v>0</v>
      </c>
      <c r="EK94" s="56"/>
      <c r="EL94" s="162">
        <f t="shared" si="557"/>
        <v>0</v>
      </c>
      <c r="EM94" s="162">
        <f t="shared" si="558"/>
        <v>0</v>
      </c>
      <c r="EN94" s="56"/>
      <c r="EQ94" s="55">
        <f t="shared" si="559"/>
        <v>46100</v>
      </c>
      <c r="ER94" s="56"/>
      <c r="ES94" s="135">
        <f>SUMPRODUCT(PRODUCE!$B105:$DY105,PRODUCE!$EB$23:$IY$23)</f>
        <v>0</v>
      </c>
      <c r="ET94" s="56"/>
      <c r="EU94" s="135">
        <f t="shared" si="560"/>
        <v>0</v>
      </c>
      <c r="EV94" s="135">
        <f t="shared" si="561"/>
        <v>0</v>
      </c>
      <c r="EW94" s="56"/>
      <c r="EZ94" s="55">
        <f t="shared" si="562"/>
        <v>46100</v>
      </c>
      <c r="FA94" s="56"/>
      <c r="FB94" s="175">
        <f>SUMPRODUCT(PRODUCE!$B105:$DY105,PRODUCE!$EB$24:$IY$24)</f>
        <v>0</v>
      </c>
      <c r="FC94" s="56"/>
      <c r="FD94" s="175">
        <f t="shared" si="563"/>
        <v>0</v>
      </c>
      <c r="FE94" s="175">
        <f t="shared" si="564"/>
        <v>0</v>
      </c>
      <c r="FF94" s="56"/>
      <c r="FI94" s="55">
        <f t="shared" si="565"/>
        <v>46100</v>
      </c>
      <c r="FJ94" s="56"/>
      <c r="FK94" s="183">
        <f>SUMPRODUCT(PRODUCE!$B105:$DY105,PRODUCE!$EB$25:$IY$25)</f>
        <v>0</v>
      </c>
      <c r="FL94" s="56"/>
      <c r="FM94" s="183">
        <f t="shared" si="566"/>
        <v>0</v>
      </c>
      <c r="FN94" s="183">
        <f t="shared" si="567"/>
        <v>0</v>
      </c>
      <c r="FO94" s="56"/>
      <c r="FR94" s="55">
        <f t="shared" si="568"/>
        <v>46100</v>
      </c>
      <c r="FS94" s="422"/>
      <c r="FT94" s="452">
        <f>SUMPRODUCT(PRODUCE!$B105:$DY105,PRODUCE!$EB$26:$IY$26)</f>
        <v>0</v>
      </c>
      <c r="FU94" s="422"/>
      <c r="FV94" s="452">
        <f t="shared" si="569"/>
        <v>0</v>
      </c>
      <c r="FW94" s="452">
        <f t="shared" si="570"/>
        <v>3220</v>
      </c>
      <c r="FX94" s="56"/>
      <c r="GA94" s="55">
        <f t="shared" si="571"/>
        <v>46100</v>
      </c>
      <c r="GB94" s="422"/>
      <c r="GC94" s="454">
        <f>SUMPRODUCT(PRODUCE!$B105:$DY105,PRODUCE!$EB$27:$IY$27)</f>
        <v>0</v>
      </c>
      <c r="GD94" s="422">
        <f>26*20</f>
        <v>520</v>
      </c>
      <c r="GE94" s="454">
        <f t="shared" si="572"/>
        <v>-520</v>
      </c>
      <c r="GF94" s="454">
        <f t="shared" si="573"/>
        <v>1280</v>
      </c>
      <c r="GG94" s="56"/>
      <c r="GI94" s="23"/>
      <c r="GJ94" s="55">
        <f t="shared" si="574"/>
        <v>46100</v>
      </c>
      <c r="GK94" s="422"/>
      <c r="GL94" s="456">
        <f>SUMPRODUCT(PRODUCE!$B105:$DY105,PRODUCE!$EB$28:$IY$28)</f>
        <v>0</v>
      </c>
      <c r="GM94" s="422"/>
      <c r="GN94" s="456">
        <f t="shared" si="575"/>
        <v>0</v>
      </c>
      <c r="GO94" s="456">
        <f t="shared" si="576"/>
        <v>5240</v>
      </c>
      <c r="GP94" s="56"/>
      <c r="GS94" s="55">
        <f t="shared" si="577"/>
        <v>46100</v>
      </c>
      <c r="GT94" s="56"/>
      <c r="GU94" s="195">
        <f>SUMPRODUCT(PRODUCE!$B105:$DY105,PRODUCE!$EB$29:$IY$29)</f>
        <v>0</v>
      </c>
      <c r="GV94" s="56"/>
      <c r="GW94" s="195">
        <f t="shared" si="578"/>
        <v>0</v>
      </c>
      <c r="GX94" s="195">
        <f t="shared" si="579"/>
        <v>0</v>
      </c>
      <c r="GY94" s="56"/>
      <c r="HB94" s="55">
        <f t="shared" si="580"/>
        <v>46100</v>
      </c>
      <c r="HC94" s="56"/>
      <c r="HD94" s="191">
        <f>SUMPRODUCT(PRODUCE!$B105:$DY105,PRODUCE!$EB$30:$IY$30)</f>
        <v>0</v>
      </c>
      <c r="HE94" s="56"/>
      <c r="HF94" s="191">
        <f t="shared" si="581"/>
        <v>0</v>
      </c>
      <c r="HG94" s="191">
        <f t="shared" si="582"/>
        <v>0</v>
      </c>
      <c r="HH94" s="56"/>
      <c r="HK94" s="55">
        <f t="shared" si="583"/>
        <v>46100</v>
      </c>
      <c r="HL94" s="56"/>
      <c r="HM94" s="63">
        <f>SUMPRODUCT(PRODUCE!$B105:$DY105,PRODUCE!$EB$31:$IY$31)</f>
        <v>0</v>
      </c>
      <c r="HN94" s="56"/>
      <c r="HO94" s="63">
        <f t="shared" si="584"/>
        <v>0</v>
      </c>
      <c r="HP94" s="63">
        <f t="shared" si="585"/>
        <v>0</v>
      </c>
      <c r="HQ94" s="56"/>
      <c r="HU94" s="55">
        <f t="shared" si="586"/>
        <v>46100</v>
      </c>
      <c r="HV94" s="56"/>
      <c r="HW94" s="242">
        <f>SUMPRODUCT(PRODUCE!$B105:$DY105,PRODUCE!$EB$32:$IY$32)</f>
        <v>0</v>
      </c>
      <c r="HX94" s="56"/>
      <c r="HY94" s="242">
        <f t="shared" si="587"/>
        <v>0</v>
      </c>
      <c r="HZ94" s="242">
        <f t="shared" si="588"/>
        <v>5120</v>
      </c>
      <c r="IA94" s="56"/>
      <c r="ID94" s="55">
        <f t="shared" si="589"/>
        <v>46100</v>
      </c>
      <c r="IE94" s="56"/>
      <c r="IF94" s="242">
        <f>SUMPRODUCT(PRODUCE!$B105:$DY105,PRODUCE!$EB$33:$IY$33)</f>
        <v>0</v>
      </c>
      <c r="IG94" s="56"/>
      <c r="IH94" s="242">
        <f t="shared" si="590"/>
        <v>0</v>
      </c>
      <c r="II94" s="242">
        <f t="shared" si="591"/>
        <v>6540</v>
      </c>
      <c r="IJ94" s="56"/>
      <c r="IM94" s="55">
        <f t="shared" si="592"/>
        <v>46100</v>
      </c>
      <c r="IN94" s="56"/>
      <c r="IO94" s="242">
        <f>SUMPRODUCT(PRODUCE!$B105:$DY105,PRODUCE!$EB$34:$IY$34)</f>
        <v>0</v>
      </c>
      <c r="IP94" s="56"/>
      <c r="IQ94" s="242">
        <f t="shared" si="593"/>
        <v>0</v>
      </c>
      <c r="IR94" s="242">
        <f t="shared" si="594"/>
        <v>11540</v>
      </c>
      <c r="IS94" s="56"/>
      <c r="IV94" s="55">
        <f t="shared" si="595"/>
        <v>46100</v>
      </c>
      <c r="IW94" s="56"/>
      <c r="IX94" s="242">
        <f>SUMPRODUCT(PRODUCE!$B105:$DY105,PRODUCE!$EB$35:$IY$35)</f>
        <v>0</v>
      </c>
      <c r="IY94" s="56"/>
      <c r="IZ94" s="242">
        <f t="shared" si="596"/>
        <v>0</v>
      </c>
      <c r="JA94" s="242">
        <f t="shared" si="597"/>
        <v>15120</v>
      </c>
      <c r="JB94" s="56"/>
      <c r="JE94" s="55">
        <f t="shared" si="598"/>
        <v>46100</v>
      </c>
      <c r="JF94" s="56"/>
      <c r="JG94" s="242">
        <f>SUMPRODUCT(PRODUCE!$B105:$DY105,PRODUCE!$EB$36:$IY$36)</f>
        <v>0</v>
      </c>
      <c r="JH94" s="56"/>
      <c r="JI94" s="242">
        <f t="shared" si="599"/>
        <v>0</v>
      </c>
      <c r="JJ94" s="242">
        <f t="shared" si="600"/>
        <v>5040</v>
      </c>
      <c r="JK94" s="56"/>
      <c r="JN94" s="55">
        <f t="shared" si="601"/>
        <v>46100</v>
      </c>
      <c r="JO94" s="56"/>
      <c r="JP94" s="242">
        <f>SUMPRODUCT(PRODUCE!$B105:$DY105,PRODUCE!$EB$37:$IY$37)</f>
        <v>0</v>
      </c>
      <c r="JQ94" s="56"/>
      <c r="JR94" s="242">
        <f t="shared" si="602"/>
        <v>0</v>
      </c>
      <c r="JS94" s="242">
        <f t="shared" si="603"/>
        <v>9100</v>
      </c>
      <c r="JT94" s="56"/>
      <c r="JW94" s="55">
        <f t="shared" si="604"/>
        <v>46100</v>
      </c>
      <c r="JX94" s="56"/>
      <c r="JY94" s="242">
        <f>SUMPRODUCT(PRODUCE!$B105:$DY105,PRODUCE!$EB$38:$IY$38)</f>
        <v>0</v>
      </c>
      <c r="JZ94" s="56">
        <f>52*20</f>
        <v>1040</v>
      </c>
      <c r="KA94" s="242">
        <f t="shared" si="605"/>
        <v>-1040</v>
      </c>
      <c r="KB94" s="242">
        <f t="shared" si="606"/>
        <v>5140</v>
      </c>
      <c r="KC94" s="56"/>
      <c r="KF94" s="55">
        <f t="shared" si="607"/>
        <v>46100</v>
      </c>
      <c r="KG94" s="56"/>
      <c r="KH94" s="242">
        <f>SUMPRODUCT(PRODUCE!$B105:$DY105,PRODUCE!$EB$39:$IY$39)</f>
        <v>390</v>
      </c>
      <c r="KI94" s="56"/>
      <c r="KJ94" s="242">
        <f t="shared" si="608"/>
        <v>390</v>
      </c>
      <c r="KK94" s="242">
        <f t="shared" si="609"/>
        <v>9184.5</v>
      </c>
      <c r="KL94" s="56"/>
      <c r="KO94" s="55">
        <f t="shared" si="610"/>
        <v>46100</v>
      </c>
      <c r="KP94" s="56"/>
      <c r="KQ94" s="242">
        <f>SUMPRODUCT(PRODUCE!$B105:$DY105,PRODUCE!$EB$40:$IY$40)</f>
        <v>0</v>
      </c>
      <c r="KR94" s="56"/>
      <c r="KS94" s="242">
        <f t="shared" si="611"/>
        <v>0</v>
      </c>
      <c r="KT94" s="242">
        <f t="shared" si="612"/>
        <v>6993</v>
      </c>
      <c r="KU94" s="56"/>
      <c r="KW94" s="23"/>
      <c r="KX94" s="55">
        <f t="shared" si="613"/>
        <v>46100</v>
      </c>
      <c r="KY94" s="56"/>
      <c r="KZ94" s="242">
        <f>SUMPRODUCT(PRODUCE!$B105:$DY105,PRODUCE!$EB$41:$IY$41)</f>
        <v>0</v>
      </c>
      <c r="LA94" s="56"/>
      <c r="LB94" s="242">
        <f t="shared" si="614"/>
        <v>0</v>
      </c>
      <c r="LC94" s="242">
        <f t="shared" si="615"/>
        <v>0</v>
      </c>
      <c r="LD94" s="56"/>
      <c r="LG94" s="55">
        <f t="shared" si="616"/>
        <v>46100</v>
      </c>
      <c r="LH94" s="56"/>
      <c r="LI94" s="242">
        <f>SUMPRODUCT(PRODUCE!$B105:$DY105,PRODUCE!$EB$42:$IY$42)</f>
        <v>0</v>
      </c>
      <c r="LJ94" s="56"/>
      <c r="LK94" s="242">
        <f t="shared" si="617"/>
        <v>0</v>
      </c>
      <c r="LL94" s="242">
        <f t="shared" si="618"/>
        <v>0</v>
      </c>
      <c r="LM94" s="56"/>
      <c r="LP94" s="55">
        <f t="shared" si="619"/>
        <v>46100</v>
      </c>
      <c r="LQ94" s="56"/>
      <c r="LR94" s="242">
        <f>SUMPRODUCT(PRODUCE!$B109:$DY109,PRODUCE!$EB$43:$IY$43)</f>
        <v>0</v>
      </c>
      <c r="LS94" s="56"/>
      <c r="LT94" s="242">
        <f t="shared" si="620"/>
        <v>0</v>
      </c>
      <c r="LU94" s="242">
        <f t="shared" si="621"/>
        <v>0</v>
      </c>
      <c r="LV94" s="56"/>
      <c r="LY94" s="55">
        <f t="shared" si="622"/>
        <v>46100</v>
      </c>
      <c r="LZ94" s="56"/>
      <c r="MA94" s="242">
        <f>SUMPRODUCT(PRODUCE!$B105:$DY105,PRODUCE!$EB$44:$IY$44)</f>
        <v>0</v>
      </c>
      <c r="MB94" s="56"/>
      <c r="MC94" s="242">
        <f t="shared" si="623"/>
        <v>0</v>
      </c>
      <c r="MD94" s="242">
        <f t="shared" si="624"/>
        <v>0</v>
      </c>
      <c r="ME94" s="56"/>
      <c r="MH94" s="55">
        <f t="shared" si="625"/>
        <v>46100</v>
      </c>
      <c r="MI94" s="56"/>
      <c r="MJ94" s="242">
        <f>SUMPRODUCT(PRODUCE!$B105:$DY105,PRODUCE!$EB$45:$IY$45)</f>
        <v>0</v>
      </c>
      <c r="MK94" s="56"/>
      <c r="ML94" s="242">
        <f t="shared" si="626"/>
        <v>0</v>
      </c>
      <c r="MM94" s="242">
        <f t="shared" si="627"/>
        <v>0</v>
      </c>
      <c r="MN94" s="56"/>
      <c r="MQ94" s="55">
        <f t="shared" si="628"/>
        <v>46100</v>
      </c>
      <c r="MR94" s="56"/>
      <c r="MS94" s="242">
        <f>SUMPRODUCT(PRODUCE!$B105:$DY105,PRODUCE!$EB$46:$IY$46)</f>
        <v>40</v>
      </c>
      <c r="MT94" s="56">
        <v>117</v>
      </c>
      <c r="MU94" s="242">
        <f t="shared" si="629"/>
        <v>-77</v>
      </c>
      <c r="MV94" s="242">
        <f t="shared" si="630"/>
        <v>4623</v>
      </c>
      <c r="MW94" s="56"/>
      <c r="MZ94" s="55">
        <f t="shared" si="631"/>
        <v>46100</v>
      </c>
      <c r="NA94" s="56">
        <v>156</v>
      </c>
      <c r="NB94" s="242">
        <f>SUMPRODUCT(PRODUCE!$B105:$DY105,PRODUCE!$EB$47:$IY$47)</f>
        <v>60</v>
      </c>
      <c r="NC94" s="56">
        <v>156</v>
      </c>
      <c r="ND94" s="242">
        <f t="shared" si="632"/>
        <v>-96</v>
      </c>
      <c r="NE94" s="242">
        <f t="shared" si="633"/>
        <v>0</v>
      </c>
      <c r="NF94" s="56"/>
      <c r="NI94" s="55">
        <f t="shared" si="634"/>
        <v>46100</v>
      </c>
      <c r="NJ94" s="56"/>
      <c r="NK94" s="242">
        <f>SUMPRODUCT(PRODUCE!$B105:$DY105,PRODUCE!$EB$48:$IY$48)</f>
        <v>0</v>
      </c>
      <c r="NL94" s="56"/>
      <c r="NM94" s="242">
        <f t="shared" si="635"/>
        <v>0</v>
      </c>
      <c r="NN94" s="242">
        <f t="shared" si="636"/>
        <v>465</v>
      </c>
      <c r="NO94" s="56"/>
      <c r="NR94" s="55">
        <f t="shared" si="637"/>
        <v>46100</v>
      </c>
      <c r="NS94" s="56"/>
      <c r="NT94" s="242">
        <f>SUMPRODUCT(PRODUCE!$B105:$DY105,PRODUCE!$EB$49:$IY$49)</f>
        <v>24</v>
      </c>
      <c r="NU94" s="56">
        <v>10.4</v>
      </c>
      <c r="NV94" s="242">
        <f t="shared" si="638"/>
        <v>13.6</v>
      </c>
      <c r="NW94" s="242">
        <f t="shared" si="639"/>
        <v>1288.9000000000001</v>
      </c>
      <c r="NX94" s="56"/>
      <c r="OA94" s="55">
        <f t="shared" si="640"/>
        <v>46100</v>
      </c>
      <c r="OB94" s="56"/>
      <c r="OC94" s="242">
        <f>SUMPRODUCT(PRODUCE!$B105:$DY105,PRODUCE!$EB$50:$IY$50)</f>
        <v>0</v>
      </c>
      <c r="OD94" s="56"/>
      <c r="OE94" s="242">
        <f t="shared" si="641"/>
        <v>0</v>
      </c>
      <c r="OF94" s="242">
        <f t="shared" si="642"/>
        <v>1680.5</v>
      </c>
      <c r="OG94" s="56"/>
      <c r="OJ94" s="55">
        <f t="shared" si="643"/>
        <v>46100</v>
      </c>
      <c r="OK94" s="56"/>
      <c r="OL94" s="242">
        <f>SUMPRODUCT(PRODUCE!$B105:$DY105,PRODUCE!$EB$51:$IY$51)</f>
        <v>55.999999999999986</v>
      </c>
      <c r="OM94" s="56"/>
      <c r="ON94" s="242">
        <f t="shared" si="644"/>
        <v>55.999999999999986</v>
      </c>
      <c r="OO94" s="242">
        <f t="shared" si="645"/>
        <v>0</v>
      </c>
      <c r="OP94" s="56"/>
      <c r="OS94" s="55">
        <f t="shared" si="646"/>
        <v>46100</v>
      </c>
      <c r="OT94" s="56"/>
      <c r="OU94" s="242">
        <f>SUMPRODUCT(PRODUCE!$B105:$DY105,PRODUCE!$EB$52:$IY$52)</f>
        <v>0</v>
      </c>
      <c r="OV94" s="56"/>
      <c r="OW94" s="242">
        <f t="shared" si="647"/>
        <v>0</v>
      </c>
      <c r="OX94" s="242">
        <f t="shared" si="648"/>
        <v>1000</v>
      </c>
      <c r="OY94" s="56"/>
      <c r="PB94" s="55">
        <f t="shared" si="649"/>
        <v>46100</v>
      </c>
      <c r="PC94" s="56"/>
      <c r="PD94" s="242">
        <f>SUMPRODUCT(PRODUCE!$B105:$DY105,PRODUCE!$EB$53:$IY$53)</f>
        <v>0</v>
      </c>
      <c r="PE94" s="56"/>
      <c r="PF94" s="242">
        <f t="shared" si="650"/>
        <v>0</v>
      </c>
      <c r="PG94" s="242">
        <f t="shared" si="651"/>
        <v>0</v>
      </c>
      <c r="PH94" s="56"/>
      <c r="PK94" s="55">
        <f t="shared" si="652"/>
        <v>46100</v>
      </c>
      <c r="PL94" s="56"/>
      <c r="PM94" s="242">
        <f>SUMPRODUCT(PRODUCE!$B105:$DY105,PRODUCE!$EB$54:$IY$54)</f>
        <v>0</v>
      </c>
      <c r="PN94" s="56"/>
      <c r="PO94" s="242">
        <f t="shared" si="653"/>
        <v>0</v>
      </c>
      <c r="PP94" s="242">
        <f t="shared" si="654"/>
        <v>100</v>
      </c>
      <c r="PQ94" s="56"/>
      <c r="PT94" s="55">
        <f t="shared" si="655"/>
        <v>46100</v>
      </c>
      <c r="PU94" s="56"/>
      <c r="PV94" s="242">
        <f>SUMPRODUCT(PRODUCE!$B105:$DY105,PRODUCE!$EB$55:$IY$55)</f>
        <v>0</v>
      </c>
      <c r="PW94" s="56"/>
      <c r="PX94" s="242">
        <f t="shared" si="656"/>
        <v>0</v>
      </c>
      <c r="PY94" s="242">
        <f t="shared" si="657"/>
        <v>13.960000000000036</v>
      </c>
      <c r="PZ94" s="56"/>
      <c r="QC94" s="55">
        <f t="shared" si="658"/>
        <v>46100</v>
      </c>
      <c r="QD94" s="56"/>
      <c r="QE94" s="242">
        <f>SUMPRODUCT(PRODUCE!$B105:$DY105,PRODUCE!$EB$56:$IY$56)</f>
        <v>0</v>
      </c>
      <c r="QF94" s="56"/>
      <c r="QG94" s="242">
        <f t="shared" si="659"/>
        <v>0</v>
      </c>
      <c r="QH94" s="242">
        <f t="shared" si="660"/>
        <v>1212</v>
      </c>
      <c r="QI94" s="56"/>
      <c r="QL94" s="55">
        <f t="shared" si="661"/>
        <v>46100</v>
      </c>
      <c r="QM94" s="56"/>
      <c r="QN94" s="242">
        <f>SUMPRODUCT(PRODUCE!$B105:$DY105,PRODUCE!$EB$57:$IY$57)</f>
        <v>0</v>
      </c>
      <c r="QO94" s="56"/>
      <c r="QP94" s="242">
        <f t="shared" si="662"/>
        <v>0</v>
      </c>
      <c r="QQ94" s="242">
        <f t="shared" si="663"/>
        <v>0</v>
      </c>
      <c r="QR94" s="56"/>
      <c r="QU94" s="55">
        <f t="shared" si="664"/>
        <v>46100</v>
      </c>
      <c r="QV94" s="56"/>
      <c r="QW94" s="242">
        <f>SUMPRODUCT(PRODUCE!$B105:$DY105,PRODUCE!$EB$57:$IY$57)</f>
        <v>0</v>
      </c>
      <c r="QX94" s="56"/>
      <c r="QY94" s="242">
        <f t="shared" si="665"/>
        <v>0</v>
      </c>
      <c r="QZ94" s="242">
        <f t="shared" si="666"/>
        <v>207.6</v>
      </c>
      <c r="RA94" s="56"/>
      <c r="RD94" s="55">
        <f t="shared" si="667"/>
        <v>46100</v>
      </c>
      <c r="RE94" s="56"/>
      <c r="RF94" s="242">
        <f>SUMPRODUCT(PRODUCE!$B105:$DY105,PRODUCE!$EB$58:$IY$58)</f>
        <v>0</v>
      </c>
      <c r="RG94" s="56"/>
      <c r="RH94" s="242">
        <f t="shared" si="668"/>
        <v>0</v>
      </c>
      <c r="RI94" s="242">
        <f t="shared" si="669"/>
        <v>197.04000000000002</v>
      </c>
      <c r="RJ94" s="56"/>
      <c r="RM94" s="55">
        <f t="shared" si="670"/>
        <v>46100</v>
      </c>
      <c r="RN94" s="56"/>
      <c r="RO94" s="242">
        <f>SUMPRODUCT(PRODUCE!$B105:$DY105,PRODUCE!$EB$57:$IY$57)</f>
        <v>0</v>
      </c>
      <c r="RP94" s="56"/>
      <c r="RQ94" s="242">
        <f t="shared" si="671"/>
        <v>0</v>
      </c>
      <c r="RR94" s="242">
        <f t="shared" si="672"/>
        <v>46.8</v>
      </c>
      <c r="RS94" s="56"/>
      <c r="RV94" s="55">
        <f t="shared" si="673"/>
        <v>46100</v>
      </c>
      <c r="RW94" s="56"/>
      <c r="RX94" s="242">
        <f>SUMPRODUCT(PRODUCE!$B105:$DY105,PRODUCE!$EB$57:$IY$57)</f>
        <v>0</v>
      </c>
      <c r="RY94" s="56"/>
      <c r="RZ94" s="242">
        <f t="shared" si="674"/>
        <v>0</v>
      </c>
      <c r="SA94" s="242">
        <f t="shared" si="675"/>
        <v>0</v>
      </c>
      <c r="SB94" s="56"/>
      <c r="SE94" s="55">
        <f t="shared" si="676"/>
        <v>46100</v>
      </c>
      <c r="SF94" s="56"/>
      <c r="SG94" s="242">
        <f>SUMPRODUCT(PRODUCE!$B105:$DY105,PRODUCE!$EB$57:$IY$57)</f>
        <v>0</v>
      </c>
      <c r="SH94" s="56"/>
      <c r="SI94" s="242">
        <f t="shared" si="677"/>
        <v>0</v>
      </c>
      <c r="SJ94" s="242">
        <f t="shared" si="678"/>
        <v>0</v>
      </c>
      <c r="SK94" s="56"/>
      <c r="SN94" s="55">
        <f t="shared" si="679"/>
        <v>46100</v>
      </c>
      <c r="SO94" s="56"/>
      <c r="SP94" s="242">
        <f>SUMPRODUCT(PRODUCE!$B105:$DY105,PRODUCE!$EB$57:$IY$57)</f>
        <v>0</v>
      </c>
      <c r="SQ94" s="56"/>
      <c r="SR94" s="242">
        <f t="shared" si="680"/>
        <v>0</v>
      </c>
      <c r="SS94" s="242">
        <f t="shared" si="681"/>
        <v>0</v>
      </c>
      <c r="ST94" s="56"/>
      <c r="SW94" s="55">
        <f t="shared" si="682"/>
        <v>46100</v>
      </c>
      <c r="SX94" s="56"/>
      <c r="SY94" s="242">
        <f>SUMPRODUCT(PRODUCE!$B105:$DY105,PRODUCE!$EB$57:$IY$57)</f>
        <v>0</v>
      </c>
      <c r="SZ94" s="56"/>
      <c r="TA94" s="242">
        <f t="shared" si="683"/>
        <v>0</v>
      </c>
      <c r="TB94" s="242">
        <f t="shared" si="684"/>
        <v>0</v>
      </c>
      <c r="TC94" s="56"/>
      <c r="TF94" s="55">
        <f t="shared" si="685"/>
        <v>46100</v>
      </c>
      <c r="TG94" s="56"/>
      <c r="TH94" s="242">
        <f>SUMPRODUCT(PRODUCE!$B105:$DY105,PRODUCE!$EB$57:$IY$57)</f>
        <v>0</v>
      </c>
      <c r="TI94" s="56"/>
      <c r="TJ94" s="242">
        <f t="shared" si="686"/>
        <v>0</v>
      </c>
      <c r="TK94" s="242">
        <f t="shared" si="687"/>
        <v>0</v>
      </c>
      <c r="TL94" s="56"/>
      <c r="TO94" s="55">
        <f t="shared" si="688"/>
        <v>46100</v>
      </c>
      <c r="TP94" s="56"/>
      <c r="TQ94" s="242">
        <f>SUMPRODUCT(PRODUCE!$B105:$DY105,PRODUCE!$EB$57:$IY$57)</f>
        <v>0</v>
      </c>
      <c r="TR94" s="56"/>
      <c r="TS94" s="242">
        <f t="shared" si="689"/>
        <v>0</v>
      </c>
      <c r="TT94" s="242">
        <f t="shared" si="690"/>
        <v>0</v>
      </c>
      <c r="TU94" s="56"/>
      <c r="TX94" s="55">
        <f t="shared" si="691"/>
        <v>46100</v>
      </c>
      <c r="TY94" s="56"/>
      <c r="TZ94" s="242">
        <f>SUMPRODUCT(PRODUCE!$B105:$DY105,PRODUCE!$EB$57:$IY$57)</f>
        <v>0</v>
      </c>
      <c r="UA94" s="56"/>
      <c r="UB94" s="242">
        <f t="shared" si="692"/>
        <v>0</v>
      </c>
      <c r="UC94" s="242">
        <f t="shared" si="693"/>
        <v>0</v>
      </c>
      <c r="UD94" s="56"/>
      <c r="UG94" s="55">
        <f t="shared" si="694"/>
        <v>46100</v>
      </c>
      <c r="UH94" s="56"/>
      <c r="UI94" s="242">
        <f>SUMPRODUCT(PRODUCE!$B105:$DY105,PRODUCE!$EB$57:$IY$57)</f>
        <v>0</v>
      </c>
      <c r="UJ94" s="56"/>
      <c r="UK94" s="242">
        <f t="shared" si="695"/>
        <v>0</v>
      </c>
      <c r="UL94" s="242">
        <f t="shared" si="696"/>
        <v>0</v>
      </c>
      <c r="UM94" s="56"/>
      <c r="UP94" s="55">
        <f t="shared" si="697"/>
        <v>46100</v>
      </c>
      <c r="UQ94" s="56"/>
      <c r="UR94" s="242">
        <f>SUMPRODUCT(PRODUCE!$B105:$DY105,PRODUCE!$EB$57:$IY$57)</f>
        <v>0</v>
      </c>
      <c r="US94" s="56"/>
      <c r="UT94" s="242">
        <f t="shared" si="698"/>
        <v>0</v>
      </c>
      <c r="UU94" s="242">
        <f t="shared" si="699"/>
        <v>0</v>
      </c>
      <c r="UV94" s="56"/>
      <c r="UY94" s="55">
        <f t="shared" si="700"/>
        <v>46100</v>
      </c>
      <c r="UZ94" s="56"/>
      <c r="VA94" s="242">
        <f>SUMPRODUCT(PRODUCE!$B105:$DY105,PRODUCE!$EB$57:$IY$57)</f>
        <v>0</v>
      </c>
      <c r="VB94" s="56"/>
      <c r="VC94" s="242">
        <f t="shared" si="701"/>
        <v>0</v>
      </c>
      <c r="VD94" s="242">
        <f t="shared" si="702"/>
        <v>41.600000000000023</v>
      </c>
      <c r="VE94" s="56"/>
      <c r="VH94" s="55">
        <f t="shared" si="703"/>
        <v>46100</v>
      </c>
      <c r="VI94" s="56"/>
      <c r="VJ94" s="242">
        <f>SUMPRODUCT(PRODUCE!$B105:$DY105,PRODUCE!$EB$57:$IY$57)</f>
        <v>0</v>
      </c>
      <c r="VK94" s="56"/>
      <c r="VL94" s="242">
        <f t="shared" si="704"/>
        <v>0</v>
      </c>
      <c r="VM94" s="242">
        <f t="shared" si="705"/>
        <v>0</v>
      </c>
      <c r="VN94" s="56"/>
      <c r="VQ94" s="55">
        <f t="shared" si="706"/>
        <v>46100</v>
      </c>
      <c r="VR94" s="56"/>
      <c r="VS94" s="242">
        <f>SUMPRODUCT(PRODUCE!$B105:$DY105,PRODUCE!$EB$57:$IY$57)</f>
        <v>0</v>
      </c>
      <c r="VT94" s="56"/>
      <c r="VU94" s="242">
        <f t="shared" si="707"/>
        <v>0</v>
      </c>
      <c r="VV94" s="242">
        <f t="shared" si="708"/>
        <v>0</v>
      </c>
      <c r="VW94" s="56"/>
      <c r="VZ94" s="55">
        <f t="shared" si="709"/>
        <v>46100</v>
      </c>
      <c r="WA94" s="56"/>
      <c r="WB94" s="242">
        <f>SUMPRODUCT(PRODUCE!$B105:$DY105,PRODUCE!$EB$57:$IY$57)</f>
        <v>0</v>
      </c>
      <c r="WC94" s="56"/>
      <c r="WD94" s="242">
        <f t="shared" si="710"/>
        <v>0</v>
      </c>
      <c r="WE94" s="242">
        <f t="shared" si="711"/>
        <v>0</v>
      </c>
      <c r="WF94" s="56"/>
      <c r="WI94" s="55">
        <f t="shared" si="712"/>
        <v>46100</v>
      </c>
      <c r="WJ94" s="56"/>
      <c r="WK94" s="242">
        <f>SUMPRODUCT(PRODUCE!$B105:$DY105,PRODUCE!$EB$57:$IY$57)</f>
        <v>0</v>
      </c>
      <c r="WL94" s="56"/>
      <c r="WM94" s="242">
        <f t="shared" si="713"/>
        <v>0</v>
      </c>
      <c r="WN94" s="242">
        <f t="shared" si="714"/>
        <v>5180</v>
      </c>
      <c r="WO94" s="56"/>
      <c r="WR94" s="55">
        <f t="shared" si="715"/>
        <v>46100</v>
      </c>
      <c r="WS94" s="56"/>
      <c r="WT94" s="242">
        <f>SUMPRODUCT(PRODUCE!$B105:$DY105,PRODUCE!$EB$57:$IY$57)</f>
        <v>0</v>
      </c>
      <c r="WU94" s="56"/>
      <c r="WV94" s="242">
        <f t="shared" si="716"/>
        <v>0</v>
      </c>
      <c r="WW94" s="242">
        <f t="shared" si="717"/>
        <v>3265</v>
      </c>
      <c r="WX94" s="56"/>
      <c r="XA94" s="55">
        <f t="shared" si="718"/>
        <v>46100</v>
      </c>
      <c r="XB94" s="56"/>
      <c r="XC94" s="242">
        <f>SUMPRODUCT(PRODUCE!$B105:$DY105,PRODUCE!$EB$57:$IY$57)</f>
        <v>0</v>
      </c>
      <c r="XD94" s="56"/>
      <c r="XE94" s="242">
        <f t="shared" si="719"/>
        <v>0</v>
      </c>
      <c r="XF94" s="242">
        <f t="shared" si="720"/>
        <v>7142</v>
      </c>
      <c r="XG94" s="56"/>
      <c r="XJ94" s="55">
        <f t="shared" si="721"/>
        <v>46100</v>
      </c>
      <c r="XK94" s="56"/>
      <c r="XL94" s="242">
        <f>SUMPRODUCT(PRODUCE!$B105:$DY105,PRODUCE!$EB$57:$IY$57)</f>
        <v>0</v>
      </c>
      <c r="XM94" s="56"/>
      <c r="XN94" s="242">
        <f t="shared" si="722"/>
        <v>0</v>
      </c>
      <c r="XO94" s="242">
        <f t="shared" si="723"/>
        <v>7549</v>
      </c>
      <c r="XP94" s="56"/>
      <c r="XS94" s="55">
        <f t="shared" si="724"/>
        <v>46100</v>
      </c>
      <c r="XT94" s="56"/>
      <c r="XU94" s="242">
        <f>SUMPRODUCT(PRODUCE!$B105:$DY105,PRODUCE!$EB$57:$IY$57)</f>
        <v>0</v>
      </c>
      <c r="XV94" s="56"/>
      <c r="XW94" s="242">
        <f t="shared" si="725"/>
        <v>0</v>
      </c>
      <c r="XX94" s="242">
        <f t="shared" si="726"/>
        <v>1901</v>
      </c>
      <c r="XY94" s="56"/>
      <c r="YB94" s="55">
        <f t="shared" si="727"/>
        <v>46100</v>
      </c>
      <c r="YC94" s="56"/>
      <c r="YD94" s="242">
        <f>SUMPRODUCT(PRODUCE!$B105:$DY105,PRODUCE!$EB$57:$IY$57)</f>
        <v>0</v>
      </c>
      <c r="YE94" s="56"/>
      <c r="YF94" s="242">
        <f t="shared" si="728"/>
        <v>0</v>
      </c>
      <c r="YG94" s="242">
        <f t="shared" si="729"/>
        <v>6459</v>
      </c>
      <c r="YH94" s="56"/>
      <c r="YK94" s="55">
        <f t="shared" si="730"/>
        <v>46100</v>
      </c>
      <c r="YL94" s="56"/>
      <c r="YM94" s="242">
        <f>SUMPRODUCT(PRODUCE!$B105:$DY105,PRODUCE!$EB$57:$IY$57)</f>
        <v>0</v>
      </c>
      <c r="YN94" s="56"/>
      <c r="YO94" s="242">
        <f t="shared" si="731"/>
        <v>0</v>
      </c>
      <c r="YP94" s="242">
        <f t="shared" si="732"/>
        <v>0</v>
      </c>
      <c r="YQ94" s="56"/>
      <c r="YT94" s="55">
        <f t="shared" si="733"/>
        <v>46100</v>
      </c>
      <c r="YU94" s="56"/>
      <c r="YV94" s="242">
        <f>SUMPRODUCT(PRODUCE!$B105:$DY105,PRODUCE!$EB$57:$IY$57)</f>
        <v>0</v>
      </c>
      <c r="YW94" s="56"/>
      <c r="YX94" s="242">
        <f t="shared" si="734"/>
        <v>0</v>
      </c>
      <c r="YY94" s="242">
        <f t="shared" si="735"/>
        <v>0</v>
      </c>
      <c r="YZ94" s="56"/>
      <c r="ZC94" s="55">
        <f t="shared" si="736"/>
        <v>46100</v>
      </c>
      <c r="ZD94" s="56"/>
      <c r="ZE94" s="242">
        <f>SUMPRODUCT(PRODUCE!$B105:$DY105,PRODUCE!$EB$57:$IY$57)</f>
        <v>0</v>
      </c>
      <c r="ZF94" s="56"/>
      <c r="ZG94" s="242">
        <f t="shared" si="737"/>
        <v>0</v>
      </c>
      <c r="ZH94" s="242">
        <f t="shared" si="738"/>
        <v>0</v>
      </c>
      <c r="ZI94" s="56"/>
      <c r="ZL94" s="55">
        <f t="shared" si="739"/>
        <v>46100</v>
      </c>
      <c r="ZM94" s="56"/>
      <c r="ZN94" s="242">
        <f>SUMPRODUCT(PRODUCE!$B105:$DY105,PRODUCE!$EB$57:$IY$57)</f>
        <v>0</v>
      </c>
      <c r="ZO94" s="56"/>
      <c r="ZP94" s="242">
        <f t="shared" si="740"/>
        <v>0</v>
      </c>
      <c r="ZQ94" s="242">
        <f t="shared" si="741"/>
        <v>0</v>
      </c>
      <c r="ZR94" s="56"/>
      <c r="ZU94" s="55">
        <f t="shared" si="742"/>
        <v>46100</v>
      </c>
      <c r="ZV94" s="56"/>
      <c r="ZW94" s="242">
        <f>SUMPRODUCT(PRODUCE!$B105:$DY105,PRODUCE!$EB$57:$IY$57)</f>
        <v>0</v>
      </c>
      <c r="ZX94" s="56"/>
      <c r="ZY94" s="242">
        <f t="shared" si="743"/>
        <v>0</v>
      </c>
      <c r="ZZ94" s="242">
        <f t="shared" si="744"/>
        <v>0</v>
      </c>
      <c r="AAA94" s="56"/>
      <c r="AAD94" s="55">
        <f t="shared" si="745"/>
        <v>46100</v>
      </c>
      <c r="AAE94" s="56"/>
      <c r="AAF94" s="242">
        <f>SUMPRODUCT(PRODUCE!$B105:$DY105,PRODUCE!$EB$57:$IY$57)</f>
        <v>0</v>
      </c>
      <c r="AAG94" s="56"/>
      <c r="AAH94" s="242">
        <f t="shared" si="746"/>
        <v>0</v>
      </c>
      <c r="AAI94" s="242">
        <f t="shared" si="747"/>
        <v>0</v>
      </c>
      <c r="AAJ94" s="56"/>
      <c r="AAM94" s="55">
        <f t="shared" si="748"/>
        <v>46100</v>
      </c>
      <c r="AAN94" s="56"/>
      <c r="AAO94" s="242">
        <f>SUMPRODUCT(PRODUCE!$B105:$DY105,PRODUCE!$EB$57:$IY$57)</f>
        <v>0</v>
      </c>
      <c r="AAP94" s="56"/>
      <c r="AAQ94" s="242">
        <f t="shared" si="749"/>
        <v>0</v>
      </c>
      <c r="AAR94" s="242">
        <f t="shared" si="750"/>
        <v>0</v>
      </c>
      <c r="AAS94" s="56"/>
      <c r="AAV94" s="55">
        <f t="shared" si="751"/>
        <v>46100</v>
      </c>
      <c r="AAW94" s="56"/>
      <c r="AAX94" s="242">
        <f>SUMPRODUCT(PRODUCE!$B105:$DY105,PRODUCE!$EB$57:$IY$57)</f>
        <v>0</v>
      </c>
      <c r="AAY94" s="56"/>
      <c r="AAZ94" s="242">
        <f t="shared" si="752"/>
        <v>0</v>
      </c>
      <c r="ABA94" s="242">
        <f t="shared" si="753"/>
        <v>0</v>
      </c>
      <c r="ABB94" s="56"/>
      <c r="ABE94" s="55">
        <f t="shared" si="754"/>
        <v>46100</v>
      </c>
      <c r="ABF94" s="56"/>
      <c r="ABG94" s="242">
        <f>SUMPRODUCT(PRODUCE!$B105:$DY105,PRODUCE!$EB$57:$IY$57)</f>
        <v>0</v>
      </c>
      <c r="ABH94" s="56"/>
      <c r="ABI94" s="242">
        <f t="shared" si="755"/>
        <v>0</v>
      </c>
      <c r="ABJ94" s="242">
        <f t="shared" si="756"/>
        <v>0</v>
      </c>
      <c r="ABK94" s="56"/>
    </row>
    <row r="95" spans="2:739" s="54" customFormat="1" ht="15" customHeight="1" outlineLevel="1">
      <c r="B95" s="478"/>
      <c r="C95" s="55">
        <v>46101</v>
      </c>
      <c r="D95" s="422"/>
      <c r="E95" s="423">
        <f>SUMPRODUCT(PRODUCE!$B106:$DY106,PRODUCE!$EB$7:$IY$7)</f>
        <v>0</v>
      </c>
      <c r="F95" s="422"/>
      <c r="G95" s="423">
        <f t="shared" si="514"/>
        <v>0</v>
      </c>
      <c r="H95" s="423">
        <f t="shared" si="512"/>
        <v>258879.99999999994</v>
      </c>
      <c r="I95" s="289"/>
      <c r="L95" s="55">
        <f t="shared" si="513"/>
        <v>46101</v>
      </c>
      <c r="M95" s="422"/>
      <c r="N95" s="438">
        <f>SUMPRODUCT(PRODUCE!$B106:$DY106,PRODUCE!$EB$8:$IY$8)</f>
        <v>0</v>
      </c>
      <c r="O95" s="422"/>
      <c r="P95" s="438">
        <f t="shared" si="515"/>
        <v>0</v>
      </c>
      <c r="Q95" s="438">
        <f t="shared" si="516"/>
        <v>110496.60000000008</v>
      </c>
      <c r="R95" s="56"/>
      <c r="U95" s="55">
        <f t="shared" si="517"/>
        <v>46101</v>
      </c>
      <c r="V95" s="422"/>
      <c r="W95" s="440">
        <f>SUMPRODUCT(PRODUCE!$B106:$DY106,PRODUCE!$EB$9:$IY$9)</f>
        <v>0</v>
      </c>
      <c r="X95" s="422"/>
      <c r="Y95" s="440">
        <f t="shared" si="518"/>
        <v>0</v>
      </c>
      <c r="Z95" s="440">
        <f t="shared" si="519"/>
        <v>47285.699999999968</v>
      </c>
      <c r="AA95" s="56"/>
      <c r="AD95" s="55">
        <f t="shared" si="520"/>
        <v>46101</v>
      </c>
      <c r="AE95" s="422"/>
      <c r="AF95" s="442">
        <f>SUMPRODUCT(PRODUCE!$B106:$DY106,PRODUCE!$EB$10:$IY$10)</f>
        <v>0</v>
      </c>
      <c r="AG95" s="422"/>
      <c r="AH95" s="442">
        <f t="shared" si="521"/>
        <v>0</v>
      </c>
      <c r="AI95" s="442">
        <f t="shared" si="522"/>
        <v>43301.200000000019</v>
      </c>
      <c r="AJ95" s="56"/>
      <c r="AM95" s="55">
        <f t="shared" si="523"/>
        <v>46101</v>
      </c>
      <c r="AN95" s="422"/>
      <c r="AO95" s="444">
        <f>SUMPRODUCT(PRODUCE!$B106:$DY106,PRODUCE!$EB$11:$IY$11)</f>
        <v>0</v>
      </c>
      <c r="AP95" s="422"/>
      <c r="AQ95" s="444">
        <f t="shared" si="524"/>
        <v>0</v>
      </c>
      <c r="AR95" s="444">
        <f t="shared" si="525"/>
        <v>0</v>
      </c>
      <c r="AS95" s="56"/>
      <c r="AV95" s="55">
        <f t="shared" si="526"/>
        <v>46101</v>
      </c>
      <c r="AW95" s="422"/>
      <c r="AX95" s="446">
        <f>SUMPRODUCT(PRODUCE!$B106:$DY106,PRODUCE!$EB$12:$IY$12)</f>
        <v>0</v>
      </c>
      <c r="AY95" s="422"/>
      <c r="AZ95" s="446">
        <f t="shared" si="527"/>
        <v>0</v>
      </c>
      <c r="BA95" s="446">
        <f t="shared" si="528"/>
        <v>22268.399999999983</v>
      </c>
      <c r="BB95" s="56"/>
      <c r="BE95" s="55">
        <f t="shared" si="529"/>
        <v>46101</v>
      </c>
      <c r="BF95" s="422"/>
      <c r="BG95" s="448">
        <f>SUMPRODUCT(PRODUCE!$B106:$DY106,PRODUCE!$EB$13:$IY$13)</f>
        <v>0</v>
      </c>
      <c r="BH95" s="422"/>
      <c r="BI95" s="448">
        <f t="shared" si="530"/>
        <v>0</v>
      </c>
      <c r="BJ95" s="448">
        <f t="shared" si="531"/>
        <v>14288.500000000002</v>
      </c>
      <c r="BK95" s="56"/>
      <c r="BN95" s="55">
        <f t="shared" si="532"/>
        <v>46101</v>
      </c>
      <c r="BO95" s="422"/>
      <c r="BP95" s="450">
        <f>SUMPRODUCT(PRODUCE!$B106:$DY106,PRODUCE!$EB$14:$IY$14)</f>
        <v>0</v>
      </c>
      <c r="BQ95" s="422"/>
      <c r="BR95" s="450">
        <f t="shared" si="533"/>
        <v>0</v>
      </c>
      <c r="BS95" s="450">
        <f t="shared" si="534"/>
        <v>0</v>
      </c>
      <c r="BT95" s="56"/>
      <c r="BW95" s="55">
        <f t="shared" si="535"/>
        <v>46101</v>
      </c>
      <c r="BX95" s="56"/>
      <c r="BY95" s="65">
        <f>SUMPRODUCT(PRODUCE!$B106:$DY106,PRODUCE!$EB$15:$IY$15)</f>
        <v>0</v>
      </c>
      <c r="BZ95" s="56"/>
      <c r="CA95" s="65">
        <f t="shared" si="536"/>
        <v>0</v>
      </c>
      <c r="CB95" s="65">
        <f t="shared" si="537"/>
        <v>2829.8</v>
      </c>
      <c r="CC95" s="56"/>
      <c r="CF95" s="55">
        <f t="shared" si="538"/>
        <v>46101</v>
      </c>
      <c r="CG95" s="56"/>
      <c r="CH95" s="66">
        <f>SUMPRODUCT(PRODUCE!$B106:$DY106,PRODUCE!$EB$16:$IY$16)</f>
        <v>0</v>
      </c>
      <c r="CI95" s="56"/>
      <c r="CJ95" s="66">
        <f t="shared" si="539"/>
        <v>0</v>
      </c>
      <c r="CK95" s="66">
        <f t="shared" si="540"/>
        <v>0</v>
      </c>
      <c r="CL95" s="56"/>
      <c r="CO95" s="55">
        <f t="shared" si="541"/>
        <v>46101</v>
      </c>
      <c r="CP95" s="422"/>
      <c r="CQ95" s="470">
        <f>SUMPRODUCT(PRODUCE!$B106:$DY106,PRODUCE!$EB$17:$IY$17)</f>
        <v>0</v>
      </c>
      <c r="CR95" s="422"/>
      <c r="CS95" s="470">
        <f t="shared" si="542"/>
        <v>0</v>
      </c>
      <c r="CT95" s="470">
        <f t="shared" si="543"/>
        <v>0</v>
      </c>
      <c r="CU95" s="56"/>
      <c r="CX95" s="55">
        <f t="shared" si="544"/>
        <v>46101</v>
      </c>
      <c r="CY95" s="56"/>
      <c r="CZ95" s="133">
        <f>SUMPRODUCT(PRODUCE!$B106:$DY106,PRODUCE!$EB$18:$IY$18)</f>
        <v>0</v>
      </c>
      <c r="DA95" s="56"/>
      <c r="DB95" s="133">
        <f t="shared" si="545"/>
        <v>0</v>
      </c>
      <c r="DC95" s="133">
        <f t="shared" si="546"/>
        <v>17440.7</v>
      </c>
      <c r="DD95" s="56"/>
      <c r="DG95" s="55">
        <f t="shared" si="547"/>
        <v>46101</v>
      </c>
      <c r="DH95" s="56"/>
      <c r="DI95" s="147">
        <f>SUMPRODUCT(PRODUCE!$B106:$DY106,PRODUCE!$EB$19:$IY$19)</f>
        <v>0</v>
      </c>
      <c r="DJ95" s="56"/>
      <c r="DK95" s="147">
        <f t="shared" si="548"/>
        <v>0</v>
      </c>
      <c r="DL95" s="147">
        <f t="shared" si="549"/>
        <v>13918.199999999995</v>
      </c>
      <c r="DM95" s="56"/>
      <c r="DP95" s="55">
        <f t="shared" si="550"/>
        <v>46101</v>
      </c>
      <c r="DQ95" s="56"/>
      <c r="DR95" s="57">
        <f>SUMPRODUCT(PRODUCE!$B106:$DY106,PRODUCE!$EB$20:$IY$20)</f>
        <v>0</v>
      </c>
      <c r="DS95" s="56"/>
      <c r="DT95" s="57">
        <f t="shared" si="551"/>
        <v>0</v>
      </c>
      <c r="DU95" s="57">
        <f t="shared" si="552"/>
        <v>7150</v>
      </c>
      <c r="DV95" s="56"/>
      <c r="DY95" s="55">
        <f t="shared" si="553"/>
        <v>46101</v>
      </c>
      <c r="DZ95" s="56"/>
      <c r="EA95" s="157">
        <f>SUMPRODUCT(PRODUCE!$B106:$DY106,PRODUCE!$EB$21:$IY$21)</f>
        <v>0</v>
      </c>
      <c r="EB95" s="56"/>
      <c r="EC95" s="157">
        <f t="shared" si="554"/>
        <v>0</v>
      </c>
      <c r="ED95" s="157">
        <f t="shared" si="555"/>
        <v>2947.3</v>
      </c>
      <c r="EE95" s="56"/>
      <c r="EH95" s="55">
        <f t="shared" si="556"/>
        <v>46101</v>
      </c>
      <c r="EI95" s="56"/>
      <c r="EJ95" s="162">
        <f>SUMPRODUCT(PRODUCE!$B106:$DY106,PRODUCE!$EB$22:$IY$22)</f>
        <v>0</v>
      </c>
      <c r="EK95" s="56"/>
      <c r="EL95" s="162">
        <f t="shared" si="557"/>
        <v>0</v>
      </c>
      <c r="EM95" s="162">
        <f t="shared" si="558"/>
        <v>0</v>
      </c>
      <c r="EN95" s="56"/>
      <c r="EQ95" s="55">
        <f t="shared" si="559"/>
        <v>46101</v>
      </c>
      <c r="ER95" s="56"/>
      <c r="ES95" s="135">
        <f>SUMPRODUCT(PRODUCE!$B106:$DY106,PRODUCE!$EB$23:$IY$23)</f>
        <v>0</v>
      </c>
      <c r="ET95" s="56"/>
      <c r="EU95" s="135">
        <f t="shared" si="560"/>
        <v>0</v>
      </c>
      <c r="EV95" s="135">
        <f t="shared" si="561"/>
        <v>0</v>
      </c>
      <c r="EW95" s="56"/>
      <c r="EZ95" s="55">
        <f t="shared" si="562"/>
        <v>46101</v>
      </c>
      <c r="FA95" s="56"/>
      <c r="FB95" s="175">
        <f>SUMPRODUCT(PRODUCE!$B106:$DY106,PRODUCE!$EB$24:$IY$24)</f>
        <v>0</v>
      </c>
      <c r="FC95" s="56"/>
      <c r="FD95" s="175">
        <f t="shared" si="563"/>
        <v>0</v>
      </c>
      <c r="FE95" s="175">
        <f t="shared" si="564"/>
        <v>0</v>
      </c>
      <c r="FF95" s="56"/>
      <c r="FI95" s="55">
        <f t="shared" si="565"/>
        <v>46101</v>
      </c>
      <c r="FJ95" s="56"/>
      <c r="FK95" s="183">
        <f>SUMPRODUCT(PRODUCE!$B106:$DY106,PRODUCE!$EB$25:$IY$25)</f>
        <v>0</v>
      </c>
      <c r="FL95" s="56"/>
      <c r="FM95" s="183">
        <f t="shared" si="566"/>
        <v>0</v>
      </c>
      <c r="FN95" s="183">
        <f t="shared" si="567"/>
        <v>0</v>
      </c>
      <c r="FO95" s="56"/>
      <c r="FR95" s="55">
        <f t="shared" si="568"/>
        <v>46101</v>
      </c>
      <c r="FS95" s="422"/>
      <c r="FT95" s="452">
        <f>SUMPRODUCT(PRODUCE!$B106:$DY106,PRODUCE!$EB$26:$IY$26)</f>
        <v>0</v>
      </c>
      <c r="FU95" s="422"/>
      <c r="FV95" s="452">
        <f t="shared" si="569"/>
        <v>0</v>
      </c>
      <c r="FW95" s="452">
        <f t="shared" si="570"/>
        <v>3220</v>
      </c>
      <c r="FX95" s="56"/>
      <c r="GA95" s="55">
        <f t="shared" si="571"/>
        <v>46101</v>
      </c>
      <c r="GB95" s="422"/>
      <c r="GC95" s="454">
        <f>SUMPRODUCT(PRODUCE!$B106:$DY106,PRODUCE!$EB$27:$IY$27)</f>
        <v>0</v>
      </c>
      <c r="GD95" s="422"/>
      <c r="GE95" s="454">
        <f t="shared" si="572"/>
        <v>0</v>
      </c>
      <c r="GF95" s="454">
        <f t="shared" si="573"/>
        <v>1280</v>
      </c>
      <c r="GG95" s="56"/>
      <c r="GI95" s="23"/>
      <c r="GJ95" s="55">
        <f t="shared" si="574"/>
        <v>46101</v>
      </c>
      <c r="GK95" s="422"/>
      <c r="GL95" s="456">
        <f>SUMPRODUCT(PRODUCE!$B106:$DY106,PRODUCE!$EB$28:$IY$28)</f>
        <v>0</v>
      </c>
      <c r="GM95" s="422"/>
      <c r="GN95" s="456">
        <f t="shared" si="575"/>
        <v>0</v>
      </c>
      <c r="GO95" s="456">
        <f t="shared" si="576"/>
        <v>5240</v>
      </c>
      <c r="GP95" s="56"/>
      <c r="GS95" s="55">
        <f t="shared" si="577"/>
        <v>46101</v>
      </c>
      <c r="GT95" s="56"/>
      <c r="GU95" s="195">
        <f>SUMPRODUCT(PRODUCE!$B106:$DY106,PRODUCE!$EB$29:$IY$29)</f>
        <v>0</v>
      </c>
      <c r="GV95" s="56"/>
      <c r="GW95" s="195">
        <f t="shared" si="578"/>
        <v>0</v>
      </c>
      <c r="GX95" s="195">
        <f t="shared" si="579"/>
        <v>0</v>
      </c>
      <c r="GY95" s="56"/>
      <c r="HB95" s="55">
        <f t="shared" si="580"/>
        <v>46101</v>
      </c>
      <c r="HC95" s="56"/>
      <c r="HD95" s="191">
        <f>SUMPRODUCT(PRODUCE!$B106:$DY106,PRODUCE!$EB$30:$IY$30)</f>
        <v>0</v>
      </c>
      <c r="HE95" s="56"/>
      <c r="HF95" s="191">
        <f t="shared" si="581"/>
        <v>0</v>
      </c>
      <c r="HG95" s="191">
        <f t="shared" si="582"/>
        <v>0</v>
      </c>
      <c r="HH95" s="56"/>
      <c r="HK95" s="55">
        <f t="shared" si="583"/>
        <v>46101</v>
      </c>
      <c r="HL95" s="56"/>
      <c r="HM95" s="63">
        <f>SUMPRODUCT(PRODUCE!$B106:$DY106,PRODUCE!$EB$31:$IY$31)</f>
        <v>0</v>
      </c>
      <c r="HN95" s="56"/>
      <c r="HO95" s="63">
        <f t="shared" si="584"/>
        <v>0</v>
      </c>
      <c r="HP95" s="63">
        <f t="shared" si="585"/>
        <v>0</v>
      </c>
      <c r="HQ95" s="56"/>
      <c r="HU95" s="55">
        <f t="shared" si="586"/>
        <v>46101</v>
      </c>
      <c r="HV95" s="56"/>
      <c r="HW95" s="242">
        <f>SUMPRODUCT(PRODUCE!$B106:$DY106,PRODUCE!$EB$32:$IY$32)</f>
        <v>0</v>
      </c>
      <c r="HX95" s="56"/>
      <c r="HY95" s="242">
        <f t="shared" si="587"/>
        <v>0</v>
      </c>
      <c r="HZ95" s="242">
        <f t="shared" si="588"/>
        <v>5120</v>
      </c>
      <c r="IA95" s="56"/>
      <c r="ID95" s="55">
        <f t="shared" si="589"/>
        <v>46101</v>
      </c>
      <c r="IE95" s="56"/>
      <c r="IF95" s="242">
        <f>SUMPRODUCT(PRODUCE!$B106:$DY106,PRODUCE!$EB$33:$IY$33)</f>
        <v>0</v>
      </c>
      <c r="IG95" s="56"/>
      <c r="IH95" s="242">
        <f t="shared" si="590"/>
        <v>0</v>
      </c>
      <c r="II95" s="242">
        <f t="shared" si="591"/>
        <v>6540</v>
      </c>
      <c r="IJ95" s="56"/>
      <c r="IM95" s="55">
        <f t="shared" si="592"/>
        <v>46101</v>
      </c>
      <c r="IN95" s="56"/>
      <c r="IO95" s="242">
        <f>SUMPRODUCT(PRODUCE!$B106:$DY106,PRODUCE!$EB$34:$IY$34)</f>
        <v>0</v>
      </c>
      <c r="IP95" s="56"/>
      <c r="IQ95" s="242">
        <f t="shared" si="593"/>
        <v>0</v>
      </c>
      <c r="IR95" s="242">
        <f t="shared" si="594"/>
        <v>11540</v>
      </c>
      <c r="IS95" s="56"/>
      <c r="IV95" s="55">
        <f t="shared" si="595"/>
        <v>46101</v>
      </c>
      <c r="IW95" s="56"/>
      <c r="IX95" s="242">
        <f>SUMPRODUCT(PRODUCE!$B106:$DY106,PRODUCE!$EB$35:$IY$35)</f>
        <v>0</v>
      </c>
      <c r="IY95" s="56"/>
      <c r="IZ95" s="242">
        <f t="shared" si="596"/>
        <v>0</v>
      </c>
      <c r="JA95" s="242">
        <f t="shared" si="597"/>
        <v>15120</v>
      </c>
      <c r="JB95" s="56"/>
      <c r="JE95" s="55">
        <f t="shared" si="598"/>
        <v>46101</v>
      </c>
      <c r="JF95" s="56"/>
      <c r="JG95" s="242">
        <f>SUMPRODUCT(PRODUCE!$B106:$DY106,PRODUCE!$EB$36:$IY$36)</f>
        <v>0</v>
      </c>
      <c r="JH95" s="56"/>
      <c r="JI95" s="242">
        <f t="shared" si="599"/>
        <v>0</v>
      </c>
      <c r="JJ95" s="242">
        <f t="shared" si="600"/>
        <v>5040</v>
      </c>
      <c r="JK95" s="56"/>
      <c r="JN95" s="55">
        <f t="shared" si="601"/>
        <v>46101</v>
      </c>
      <c r="JO95" s="56"/>
      <c r="JP95" s="242">
        <f>SUMPRODUCT(PRODUCE!$B106:$DY106,PRODUCE!$EB$37:$IY$37)</f>
        <v>0</v>
      </c>
      <c r="JQ95" s="56"/>
      <c r="JR95" s="242">
        <f t="shared" si="602"/>
        <v>0</v>
      </c>
      <c r="JS95" s="242">
        <f t="shared" si="603"/>
        <v>9100</v>
      </c>
      <c r="JT95" s="56"/>
      <c r="JW95" s="55">
        <f t="shared" si="604"/>
        <v>46101</v>
      </c>
      <c r="JX95" s="56"/>
      <c r="JY95" s="242">
        <f>SUMPRODUCT(PRODUCE!$B106:$DY106,PRODUCE!$EB$38:$IY$38)</f>
        <v>0</v>
      </c>
      <c r="JZ95" s="56"/>
      <c r="KA95" s="242">
        <f t="shared" si="605"/>
        <v>0</v>
      </c>
      <c r="KB95" s="242">
        <f t="shared" si="606"/>
        <v>5140</v>
      </c>
      <c r="KC95" s="56"/>
      <c r="KF95" s="55">
        <f t="shared" si="607"/>
        <v>46101</v>
      </c>
      <c r="KG95" s="56"/>
      <c r="KH95" s="242">
        <f>SUMPRODUCT(PRODUCE!$B106:$DY106,PRODUCE!$EB$39:$IY$39)</f>
        <v>0</v>
      </c>
      <c r="KI95" s="56"/>
      <c r="KJ95" s="242">
        <f t="shared" si="608"/>
        <v>0</v>
      </c>
      <c r="KK95" s="242">
        <f t="shared" si="609"/>
        <v>9184.5</v>
      </c>
      <c r="KL95" s="56"/>
      <c r="KO95" s="55">
        <f t="shared" si="610"/>
        <v>46101</v>
      </c>
      <c r="KP95" s="56"/>
      <c r="KQ95" s="242">
        <f>SUMPRODUCT(PRODUCE!$B106:$DY106,PRODUCE!$EB$40:$IY$40)</f>
        <v>0</v>
      </c>
      <c r="KR95" s="56"/>
      <c r="KS95" s="242">
        <f t="shared" si="611"/>
        <v>0</v>
      </c>
      <c r="KT95" s="242">
        <f t="shared" si="612"/>
        <v>6993</v>
      </c>
      <c r="KU95" s="56"/>
      <c r="KW95" s="23"/>
      <c r="KX95" s="55">
        <f t="shared" si="613"/>
        <v>46101</v>
      </c>
      <c r="KY95" s="56"/>
      <c r="KZ95" s="242">
        <f>SUMPRODUCT(PRODUCE!$B106:$DY106,PRODUCE!$EB$41:$IY$41)</f>
        <v>0</v>
      </c>
      <c r="LA95" s="56"/>
      <c r="LB95" s="242">
        <f t="shared" si="614"/>
        <v>0</v>
      </c>
      <c r="LC95" s="242">
        <f t="shared" si="615"/>
        <v>0</v>
      </c>
      <c r="LD95" s="56"/>
      <c r="LG95" s="55">
        <f t="shared" si="616"/>
        <v>46101</v>
      </c>
      <c r="LH95" s="56"/>
      <c r="LI95" s="242">
        <f>SUMPRODUCT(PRODUCE!$B106:$DY106,PRODUCE!$EB$42:$IY$42)</f>
        <v>0</v>
      </c>
      <c r="LJ95" s="56"/>
      <c r="LK95" s="242">
        <f t="shared" si="617"/>
        <v>0</v>
      </c>
      <c r="LL95" s="242">
        <f t="shared" si="618"/>
        <v>0</v>
      </c>
      <c r="LM95" s="56"/>
      <c r="LP95" s="55">
        <f t="shared" si="619"/>
        <v>46101</v>
      </c>
      <c r="LQ95" s="56"/>
      <c r="LR95" s="242">
        <f>SUMPRODUCT(PRODUCE!$B110:$DY110,PRODUCE!$EB$43:$IY$43)</f>
        <v>0</v>
      </c>
      <c r="LS95" s="56"/>
      <c r="LT95" s="242">
        <f t="shared" si="620"/>
        <v>0</v>
      </c>
      <c r="LU95" s="242">
        <f t="shared" si="621"/>
        <v>0</v>
      </c>
      <c r="LV95" s="56"/>
      <c r="LY95" s="55">
        <f t="shared" si="622"/>
        <v>46101</v>
      </c>
      <c r="LZ95" s="56"/>
      <c r="MA95" s="242">
        <f>SUMPRODUCT(PRODUCE!$B106:$DY106,PRODUCE!$EB$44:$IY$44)</f>
        <v>0</v>
      </c>
      <c r="MB95" s="56"/>
      <c r="MC95" s="242">
        <f t="shared" si="623"/>
        <v>0</v>
      </c>
      <c r="MD95" s="242">
        <f t="shared" si="624"/>
        <v>0</v>
      </c>
      <c r="ME95" s="56"/>
      <c r="MH95" s="55">
        <f t="shared" si="625"/>
        <v>46101</v>
      </c>
      <c r="MI95" s="56"/>
      <c r="MJ95" s="242">
        <f>SUMPRODUCT(PRODUCE!$B106:$DY106,PRODUCE!$EB$45:$IY$45)</f>
        <v>0</v>
      </c>
      <c r="MK95" s="56"/>
      <c r="ML95" s="242">
        <f t="shared" si="626"/>
        <v>0</v>
      </c>
      <c r="MM95" s="242">
        <f t="shared" si="627"/>
        <v>0</v>
      </c>
      <c r="MN95" s="56"/>
      <c r="MQ95" s="55">
        <f t="shared" si="628"/>
        <v>46101</v>
      </c>
      <c r="MR95" s="56"/>
      <c r="MS95" s="242">
        <f>SUMPRODUCT(PRODUCE!$B106:$DY106,PRODUCE!$EB$46:$IY$46)</f>
        <v>0</v>
      </c>
      <c r="MT95" s="56"/>
      <c r="MU95" s="242">
        <f t="shared" si="629"/>
        <v>0</v>
      </c>
      <c r="MV95" s="242">
        <f t="shared" si="630"/>
        <v>4623</v>
      </c>
      <c r="MW95" s="56"/>
      <c r="MZ95" s="55">
        <f t="shared" si="631"/>
        <v>46101</v>
      </c>
      <c r="NA95" s="56"/>
      <c r="NB95" s="242">
        <f>SUMPRODUCT(PRODUCE!$B106:$DY106,PRODUCE!$EB$47:$IY$47)</f>
        <v>0</v>
      </c>
      <c r="NC95" s="56"/>
      <c r="ND95" s="242">
        <f t="shared" si="632"/>
        <v>0</v>
      </c>
      <c r="NE95" s="242">
        <f t="shared" si="633"/>
        <v>0</v>
      </c>
      <c r="NF95" s="56"/>
      <c r="NI95" s="55">
        <f t="shared" si="634"/>
        <v>46101</v>
      </c>
      <c r="NJ95" s="56"/>
      <c r="NK95" s="242">
        <f>SUMPRODUCT(PRODUCE!$B106:$DY106,PRODUCE!$EB$48:$IY$48)</f>
        <v>0</v>
      </c>
      <c r="NL95" s="56"/>
      <c r="NM95" s="242">
        <f t="shared" si="635"/>
        <v>0</v>
      </c>
      <c r="NN95" s="242">
        <f t="shared" si="636"/>
        <v>465</v>
      </c>
      <c r="NO95" s="56"/>
      <c r="NR95" s="55">
        <f t="shared" si="637"/>
        <v>46101</v>
      </c>
      <c r="NS95" s="56"/>
      <c r="NT95" s="242">
        <f>SUMPRODUCT(PRODUCE!$B106:$DY106,PRODUCE!$EB$49:$IY$49)</f>
        <v>0</v>
      </c>
      <c r="NU95" s="56"/>
      <c r="NV95" s="242">
        <f t="shared" si="638"/>
        <v>0</v>
      </c>
      <c r="NW95" s="242">
        <f t="shared" si="639"/>
        <v>1288.9000000000001</v>
      </c>
      <c r="NX95" s="56"/>
      <c r="OA95" s="55">
        <f t="shared" si="640"/>
        <v>46101</v>
      </c>
      <c r="OB95" s="56"/>
      <c r="OC95" s="242">
        <f>SUMPRODUCT(PRODUCE!$B106:$DY106,PRODUCE!$EB$50:$IY$50)</f>
        <v>0</v>
      </c>
      <c r="OD95" s="56"/>
      <c r="OE95" s="242">
        <f t="shared" si="641"/>
        <v>0</v>
      </c>
      <c r="OF95" s="242">
        <f t="shared" si="642"/>
        <v>1680.5</v>
      </c>
      <c r="OG95" s="56"/>
      <c r="OJ95" s="55">
        <f t="shared" si="643"/>
        <v>46101</v>
      </c>
      <c r="OK95" s="56"/>
      <c r="OL95" s="242">
        <f>SUMPRODUCT(PRODUCE!$B106:$DY106,PRODUCE!$EB$51:$IY$51)</f>
        <v>0</v>
      </c>
      <c r="OM95" s="56"/>
      <c r="ON95" s="242">
        <f t="shared" si="644"/>
        <v>0</v>
      </c>
      <c r="OO95" s="242">
        <f t="shared" si="645"/>
        <v>0</v>
      </c>
      <c r="OP95" s="56"/>
      <c r="OS95" s="55">
        <f t="shared" si="646"/>
        <v>46101</v>
      </c>
      <c r="OT95" s="56"/>
      <c r="OU95" s="242">
        <f>SUMPRODUCT(PRODUCE!$B106:$DY106,PRODUCE!$EB$52:$IY$52)</f>
        <v>0</v>
      </c>
      <c r="OV95" s="56"/>
      <c r="OW95" s="242">
        <f t="shared" si="647"/>
        <v>0</v>
      </c>
      <c r="OX95" s="242">
        <f t="shared" si="648"/>
        <v>1000</v>
      </c>
      <c r="OY95" s="56"/>
      <c r="PB95" s="55">
        <f t="shared" si="649"/>
        <v>46101</v>
      </c>
      <c r="PC95" s="56"/>
      <c r="PD95" s="242">
        <f>SUMPRODUCT(PRODUCE!$B106:$DY106,PRODUCE!$EB$53:$IY$53)</f>
        <v>0</v>
      </c>
      <c r="PE95" s="56"/>
      <c r="PF95" s="242">
        <f t="shared" si="650"/>
        <v>0</v>
      </c>
      <c r="PG95" s="242">
        <f t="shared" si="651"/>
        <v>0</v>
      </c>
      <c r="PH95" s="56"/>
      <c r="PK95" s="55">
        <f t="shared" si="652"/>
        <v>46101</v>
      </c>
      <c r="PL95" s="56"/>
      <c r="PM95" s="242">
        <f>SUMPRODUCT(PRODUCE!$B106:$DY106,PRODUCE!$EB$54:$IY$54)</f>
        <v>0</v>
      </c>
      <c r="PN95" s="56"/>
      <c r="PO95" s="242">
        <f t="shared" si="653"/>
        <v>0</v>
      </c>
      <c r="PP95" s="242">
        <f t="shared" si="654"/>
        <v>100</v>
      </c>
      <c r="PQ95" s="56"/>
      <c r="PT95" s="55">
        <f t="shared" si="655"/>
        <v>46101</v>
      </c>
      <c r="PU95" s="56"/>
      <c r="PV95" s="242">
        <f>SUMPRODUCT(PRODUCE!$B106:$DY106,PRODUCE!$EB$55:$IY$55)</f>
        <v>0</v>
      </c>
      <c r="PW95" s="56"/>
      <c r="PX95" s="242">
        <f t="shared" si="656"/>
        <v>0</v>
      </c>
      <c r="PY95" s="242">
        <f t="shared" si="657"/>
        <v>13.960000000000036</v>
      </c>
      <c r="PZ95" s="56"/>
      <c r="QC95" s="55">
        <f t="shared" si="658"/>
        <v>46101</v>
      </c>
      <c r="QD95" s="56"/>
      <c r="QE95" s="242">
        <f>SUMPRODUCT(PRODUCE!$B106:$DY106,PRODUCE!$EB$56:$IY$56)</f>
        <v>0</v>
      </c>
      <c r="QF95" s="56"/>
      <c r="QG95" s="242">
        <f t="shared" si="659"/>
        <v>0</v>
      </c>
      <c r="QH95" s="242">
        <f t="shared" si="660"/>
        <v>1212</v>
      </c>
      <c r="QI95" s="56"/>
      <c r="QL95" s="55">
        <f t="shared" si="661"/>
        <v>46101</v>
      </c>
      <c r="QM95" s="56"/>
      <c r="QN95" s="242">
        <f>SUMPRODUCT(PRODUCE!$B106:$DY106,PRODUCE!$EB$57:$IY$57)</f>
        <v>0</v>
      </c>
      <c r="QO95" s="56"/>
      <c r="QP95" s="242">
        <f t="shared" si="662"/>
        <v>0</v>
      </c>
      <c r="QQ95" s="242">
        <f t="shared" si="663"/>
        <v>0</v>
      </c>
      <c r="QR95" s="56"/>
      <c r="QU95" s="55">
        <f t="shared" si="664"/>
        <v>46101</v>
      </c>
      <c r="QV95" s="56"/>
      <c r="QW95" s="242">
        <f>SUMPRODUCT(PRODUCE!$B106:$DY106,PRODUCE!$EB$57:$IY$57)</f>
        <v>0</v>
      </c>
      <c r="QX95" s="56"/>
      <c r="QY95" s="242">
        <f t="shared" si="665"/>
        <v>0</v>
      </c>
      <c r="QZ95" s="242">
        <f t="shared" si="666"/>
        <v>207.6</v>
      </c>
      <c r="RA95" s="56"/>
      <c r="RD95" s="55">
        <f t="shared" si="667"/>
        <v>46101</v>
      </c>
      <c r="RE95" s="56"/>
      <c r="RF95" s="242">
        <f>SUMPRODUCT(PRODUCE!$B106:$DY106,PRODUCE!$EB$58:$IY$58)</f>
        <v>0</v>
      </c>
      <c r="RG95" s="56"/>
      <c r="RH95" s="242">
        <f t="shared" si="668"/>
        <v>0</v>
      </c>
      <c r="RI95" s="242">
        <f t="shared" si="669"/>
        <v>197.04000000000002</v>
      </c>
      <c r="RJ95" s="56"/>
      <c r="RM95" s="55">
        <f t="shared" si="670"/>
        <v>46101</v>
      </c>
      <c r="RN95" s="56"/>
      <c r="RO95" s="242">
        <f>SUMPRODUCT(PRODUCE!$B106:$DY106,PRODUCE!$EB$57:$IY$57)</f>
        <v>0</v>
      </c>
      <c r="RP95" s="56"/>
      <c r="RQ95" s="242">
        <f t="shared" si="671"/>
        <v>0</v>
      </c>
      <c r="RR95" s="242">
        <f t="shared" si="672"/>
        <v>46.8</v>
      </c>
      <c r="RS95" s="56"/>
      <c r="RV95" s="55">
        <f t="shared" si="673"/>
        <v>46101</v>
      </c>
      <c r="RW95" s="56"/>
      <c r="RX95" s="242">
        <f>SUMPRODUCT(PRODUCE!$B106:$DY106,PRODUCE!$EB$57:$IY$57)</f>
        <v>0</v>
      </c>
      <c r="RY95" s="56"/>
      <c r="RZ95" s="242">
        <f t="shared" si="674"/>
        <v>0</v>
      </c>
      <c r="SA95" s="242">
        <f t="shared" si="675"/>
        <v>0</v>
      </c>
      <c r="SB95" s="56"/>
      <c r="SE95" s="55">
        <f t="shared" si="676"/>
        <v>46101</v>
      </c>
      <c r="SF95" s="56"/>
      <c r="SG95" s="242">
        <f>SUMPRODUCT(PRODUCE!$B106:$DY106,PRODUCE!$EB$57:$IY$57)</f>
        <v>0</v>
      </c>
      <c r="SH95" s="56"/>
      <c r="SI95" s="242">
        <f t="shared" si="677"/>
        <v>0</v>
      </c>
      <c r="SJ95" s="242">
        <f t="shared" si="678"/>
        <v>0</v>
      </c>
      <c r="SK95" s="56"/>
      <c r="SN95" s="55">
        <f t="shared" si="679"/>
        <v>46101</v>
      </c>
      <c r="SO95" s="56"/>
      <c r="SP95" s="242">
        <f>SUMPRODUCT(PRODUCE!$B106:$DY106,PRODUCE!$EB$57:$IY$57)</f>
        <v>0</v>
      </c>
      <c r="SQ95" s="56"/>
      <c r="SR95" s="242">
        <f t="shared" si="680"/>
        <v>0</v>
      </c>
      <c r="SS95" s="242">
        <f t="shared" si="681"/>
        <v>0</v>
      </c>
      <c r="ST95" s="56"/>
      <c r="SW95" s="55">
        <f t="shared" si="682"/>
        <v>46101</v>
      </c>
      <c r="SX95" s="56"/>
      <c r="SY95" s="242">
        <f>SUMPRODUCT(PRODUCE!$B106:$DY106,PRODUCE!$EB$57:$IY$57)</f>
        <v>0</v>
      </c>
      <c r="SZ95" s="56"/>
      <c r="TA95" s="242">
        <f t="shared" si="683"/>
        <v>0</v>
      </c>
      <c r="TB95" s="242">
        <f t="shared" si="684"/>
        <v>0</v>
      </c>
      <c r="TC95" s="56"/>
      <c r="TF95" s="55">
        <f t="shared" si="685"/>
        <v>46101</v>
      </c>
      <c r="TG95" s="56"/>
      <c r="TH95" s="242">
        <f>SUMPRODUCT(PRODUCE!$B106:$DY106,PRODUCE!$EB$57:$IY$57)</f>
        <v>0</v>
      </c>
      <c r="TI95" s="56"/>
      <c r="TJ95" s="242">
        <f t="shared" si="686"/>
        <v>0</v>
      </c>
      <c r="TK95" s="242">
        <f t="shared" si="687"/>
        <v>0</v>
      </c>
      <c r="TL95" s="56"/>
      <c r="TO95" s="55">
        <f t="shared" si="688"/>
        <v>46101</v>
      </c>
      <c r="TP95" s="56"/>
      <c r="TQ95" s="242">
        <f>SUMPRODUCT(PRODUCE!$B106:$DY106,PRODUCE!$EB$57:$IY$57)</f>
        <v>0</v>
      </c>
      <c r="TR95" s="56"/>
      <c r="TS95" s="242">
        <f t="shared" si="689"/>
        <v>0</v>
      </c>
      <c r="TT95" s="242">
        <f t="shared" si="690"/>
        <v>0</v>
      </c>
      <c r="TU95" s="56"/>
      <c r="TX95" s="55">
        <f t="shared" si="691"/>
        <v>46101</v>
      </c>
      <c r="TY95" s="56"/>
      <c r="TZ95" s="242">
        <f>SUMPRODUCT(PRODUCE!$B106:$DY106,PRODUCE!$EB$57:$IY$57)</f>
        <v>0</v>
      </c>
      <c r="UA95" s="56"/>
      <c r="UB95" s="242">
        <f t="shared" si="692"/>
        <v>0</v>
      </c>
      <c r="UC95" s="242">
        <f t="shared" si="693"/>
        <v>0</v>
      </c>
      <c r="UD95" s="56"/>
      <c r="UG95" s="55">
        <f t="shared" si="694"/>
        <v>46101</v>
      </c>
      <c r="UH95" s="56"/>
      <c r="UI95" s="242">
        <f>SUMPRODUCT(PRODUCE!$B106:$DY106,PRODUCE!$EB$57:$IY$57)</f>
        <v>0</v>
      </c>
      <c r="UJ95" s="56"/>
      <c r="UK95" s="242">
        <f t="shared" si="695"/>
        <v>0</v>
      </c>
      <c r="UL95" s="242">
        <f t="shared" si="696"/>
        <v>0</v>
      </c>
      <c r="UM95" s="56"/>
      <c r="UP95" s="55">
        <f t="shared" si="697"/>
        <v>46101</v>
      </c>
      <c r="UQ95" s="56"/>
      <c r="UR95" s="242">
        <f>SUMPRODUCT(PRODUCE!$B106:$DY106,PRODUCE!$EB$57:$IY$57)</f>
        <v>0</v>
      </c>
      <c r="US95" s="56"/>
      <c r="UT95" s="242">
        <f t="shared" si="698"/>
        <v>0</v>
      </c>
      <c r="UU95" s="242">
        <f t="shared" si="699"/>
        <v>0</v>
      </c>
      <c r="UV95" s="56"/>
      <c r="UY95" s="55">
        <f t="shared" si="700"/>
        <v>46101</v>
      </c>
      <c r="UZ95" s="56"/>
      <c r="VA95" s="242">
        <f>SUMPRODUCT(PRODUCE!$B106:$DY106,PRODUCE!$EB$57:$IY$57)</f>
        <v>0</v>
      </c>
      <c r="VB95" s="56"/>
      <c r="VC95" s="242">
        <f t="shared" si="701"/>
        <v>0</v>
      </c>
      <c r="VD95" s="242">
        <f t="shared" si="702"/>
        <v>41.600000000000023</v>
      </c>
      <c r="VE95" s="56"/>
      <c r="VH95" s="55">
        <f t="shared" si="703"/>
        <v>46101</v>
      </c>
      <c r="VI95" s="56"/>
      <c r="VJ95" s="242">
        <f>SUMPRODUCT(PRODUCE!$B106:$DY106,PRODUCE!$EB$57:$IY$57)</f>
        <v>0</v>
      </c>
      <c r="VK95" s="56"/>
      <c r="VL95" s="242">
        <f t="shared" si="704"/>
        <v>0</v>
      </c>
      <c r="VM95" s="242">
        <f t="shared" si="705"/>
        <v>0</v>
      </c>
      <c r="VN95" s="56"/>
      <c r="VQ95" s="55">
        <f t="shared" si="706"/>
        <v>46101</v>
      </c>
      <c r="VR95" s="56"/>
      <c r="VS95" s="242">
        <f>SUMPRODUCT(PRODUCE!$B106:$DY106,PRODUCE!$EB$57:$IY$57)</f>
        <v>0</v>
      </c>
      <c r="VT95" s="56"/>
      <c r="VU95" s="242">
        <f t="shared" si="707"/>
        <v>0</v>
      </c>
      <c r="VV95" s="242">
        <f t="shared" si="708"/>
        <v>0</v>
      </c>
      <c r="VW95" s="56"/>
      <c r="VZ95" s="55">
        <f t="shared" si="709"/>
        <v>46101</v>
      </c>
      <c r="WA95" s="56"/>
      <c r="WB95" s="242">
        <f>SUMPRODUCT(PRODUCE!$B106:$DY106,PRODUCE!$EB$57:$IY$57)</f>
        <v>0</v>
      </c>
      <c r="WC95" s="56"/>
      <c r="WD95" s="242">
        <f t="shared" si="710"/>
        <v>0</v>
      </c>
      <c r="WE95" s="242">
        <f t="shared" si="711"/>
        <v>0</v>
      </c>
      <c r="WF95" s="56"/>
      <c r="WI95" s="55">
        <f t="shared" si="712"/>
        <v>46101</v>
      </c>
      <c r="WJ95" s="56"/>
      <c r="WK95" s="242">
        <f>SUMPRODUCT(PRODUCE!$B106:$DY106,PRODUCE!$EB$57:$IY$57)</f>
        <v>0</v>
      </c>
      <c r="WL95" s="56"/>
      <c r="WM95" s="242">
        <f t="shared" si="713"/>
        <v>0</v>
      </c>
      <c r="WN95" s="242">
        <f t="shared" si="714"/>
        <v>5180</v>
      </c>
      <c r="WO95" s="56"/>
      <c r="WR95" s="55">
        <f t="shared" si="715"/>
        <v>46101</v>
      </c>
      <c r="WS95" s="56"/>
      <c r="WT95" s="242">
        <f>SUMPRODUCT(PRODUCE!$B106:$DY106,PRODUCE!$EB$57:$IY$57)</f>
        <v>0</v>
      </c>
      <c r="WU95" s="56"/>
      <c r="WV95" s="242">
        <f t="shared" si="716"/>
        <v>0</v>
      </c>
      <c r="WW95" s="242">
        <f t="shared" si="717"/>
        <v>3265</v>
      </c>
      <c r="WX95" s="56"/>
      <c r="XA95" s="55">
        <f t="shared" si="718"/>
        <v>46101</v>
      </c>
      <c r="XB95" s="56"/>
      <c r="XC95" s="242">
        <f>SUMPRODUCT(PRODUCE!$B106:$DY106,PRODUCE!$EB$57:$IY$57)</f>
        <v>0</v>
      </c>
      <c r="XD95" s="56"/>
      <c r="XE95" s="242">
        <f t="shared" si="719"/>
        <v>0</v>
      </c>
      <c r="XF95" s="242">
        <f t="shared" si="720"/>
        <v>7142</v>
      </c>
      <c r="XG95" s="56"/>
      <c r="XJ95" s="55">
        <f t="shared" si="721"/>
        <v>46101</v>
      </c>
      <c r="XK95" s="56"/>
      <c r="XL95" s="242">
        <f>SUMPRODUCT(PRODUCE!$B106:$DY106,PRODUCE!$EB$57:$IY$57)</f>
        <v>0</v>
      </c>
      <c r="XM95" s="56"/>
      <c r="XN95" s="242">
        <f t="shared" si="722"/>
        <v>0</v>
      </c>
      <c r="XO95" s="242">
        <f t="shared" si="723"/>
        <v>7549</v>
      </c>
      <c r="XP95" s="56"/>
      <c r="XS95" s="55">
        <f t="shared" si="724"/>
        <v>46101</v>
      </c>
      <c r="XT95" s="56"/>
      <c r="XU95" s="242">
        <f>SUMPRODUCT(PRODUCE!$B106:$DY106,PRODUCE!$EB$57:$IY$57)</f>
        <v>0</v>
      </c>
      <c r="XV95" s="56"/>
      <c r="XW95" s="242">
        <f t="shared" si="725"/>
        <v>0</v>
      </c>
      <c r="XX95" s="242">
        <f t="shared" si="726"/>
        <v>1901</v>
      </c>
      <c r="XY95" s="56"/>
      <c r="YB95" s="55">
        <f t="shared" si="727"/>
        <v>46101</v>
      </c>
      <c r="YC95" s="56"/>
      <c r="YD95" s="242">
        <f>SUMPRODUCT(PRODUCE!$B106:$DY106,PRODUCE!$EB$57:$IY$57)</f>
        <v>0</v>
      </c>
      <c r="YE95" s="56"/>
      <c r="YF95" s="242">
        <f t="shared" si="728"/>
        <v>0</v>
      </c>
      <c r="YG95" s="242">
        <f t="shared" si="729"/>
        <v>6459</v>
      </c>
      <c r="YH95" s="56"/>
      <c r="YK95" s="55">
        <f t="shared" si="730"/>
        <v>46101</v>
      </c>
      <c r="YL95" s="56"/>
      <c r="YM95" s="242">
        <f>SUMPRODUCT(PRODUCE!$B106:$DY106,PRODUCE!$EB$57:$IY$57)</f>
        <v>0</v>
      </c>
      <c r="YN95" s="56"/>
      <c r="YO95" s="242">
        <f t="shared" si="731"/>
        <v>0</v>
      </c>
      <c r="YP95" s="242">
        <f t="shared" si="732"/>
        <v>0</v>
      </c>
      <c r="YQ95" s="56"/>
      <c r="YT95" s="55">
        <f t="shared" si="733"/>
        <v>46101</v>
      </c>
      <c r="YU95" s="56"/>
      <c r="YV95" s="242">
        <f>SUMPRODUCT(PRODUCE!$B106:$DY106,PRODUCE!$EB$57:$IY$57)</f>
        <v>0</v>
      </c>
      <c r="YW95" s="56"/>
      <c r="YX95" s="242">
        <f t="shared" si="734"/>
        <v>0</v>
      </c>
      <c r="YY95" s="242">
        <f t="shared" si="735"/>
        <v>0</v>
      </c>
      <c r="YZ95" s="56"/>
      <c r="ZC95" s="55">
        <f t="shared" si="736"/>
        <v>46101</v>
      </c>
      <c r="ZD95" s="56"/>
      <c r="ZE95" s="242">
        <f>SUMPRODUCT(PRODUCE!$B106:$DY106,PRODUCE!$EB$57:$IY$57)</f>
        <v>0</v>
      </c>
      <c r="ZF95" s="56"/>
      <c r="ZG95" s="242">
        <f t="shared" si="737"/>
        <v>0</v>
      </c>
      <c r="ZH95" s="242">
        <f t="shared" si="738"/>
        <v>0</v>
      </c>
      <c r="ZI95" s="56"/>
      <c r="ZL95" s="55">
        <f t="shared" si="739"/>
        <v>46101</v>
      </c>
      <c r="ZM95" s="56"/>
      <c r="ZN95" s="242">
        <f>SUMPRODUCT(PRODUCE!$B106:$DY106,PRODUCE!$EB$57:$IY$57)</f>
        <v>0</v>
      </c>
      <c r="ZO95" s="56"/>
      <c r="ZP95" s="242">
        <f t="shared" si="740"/>
        <v>0</v>
      </c>
      <c r="ZQ95" s="242">
        <f t="shared" si="741"/>
        <v>0</v>
      </c>
      <c r="ZR95" s="56"/>
      <c r="ZU95" s="55">
        <f t="shared" si="742"/>
        <v>46101</v>
      </c>
      <c r="ZV95" s="56"/>
      <c r="ZW95" s="242">
        <f>SUMPRODUCT(PRODUCE!$B106:$DY106,PRODUCE!$EB$57:$IY$57)</f>
        <v>0</v>
      </c>
      <c r="ZX95" s="56"/>
      <c r="ZY95" s="242">
        <f t="shared" si="743"/>
        <v>0</v>
      </c>
      <c r="ZZ95" s="242">
        <f t="shared" si="744"/>
        <v>0</v>
      </c>
      <c r="AAA95" s="56"/>
      <c r="AAD95" s="55">
        <f t="shared" si="745"/>
        <v>46101</v>
      </c>
      <c r="AAE95" s="56"/>
      <c r="AAF95" s="242">
        <f>SUMPRODUCT(PRODUCE!$B106:$DY106,PRODUCE!$EB$57:$IY$57)</f>
        <v>0</v>
      </c>
      <c r="AAG95" s="56"/>
      <c r="AAH95" s="242">
        <f t="shared" si="746"/>
        <v>0</v>
      </c>
      <c r="AAI95" s="242">
        <f t="shared" si="747"/>
        <v>0</v>
      </c>
      <c r="AAJ95" s="56"/>
      <c r="AAM95" s="55">
        <f t="shared" si="748"/>
        <v>46101</v>
      </c>
      <c r="AAN95" s="56"/>
      <c r="AAO95" s="242">
        <f>SUMPRODUCT(PRODUCE!$B106:$DY106,PRODUCE!$EB$57:$IY$57)</f>
        <v>0</v>
      </c>
      <c r="AAP95" s="56"/>
      <c r="AAQ95" s="242">
        <f t="shared" si="749"/>
        <v>0</v>
      </c>
      <c r="AAR95" s="242">
        <f t="shared" si="750"/>
        <v>0</v>
      </c>
      <c r="AAS95" s="56"/>
      <c r="AAV95" s="55">
        <f t="shared" si="751"/>
        <v>46101</v>
      </c>
      <c r="AAW95" s="56"/>
      <c r="AAX95" s="242">
        <f>SUMPRODUCT(PRODUCE!$B106:$DY106,PRODUCE!$EB$57:$IY$57)</f>
        <v>0</v>
      </c>
      <c r="AAY95" s="56"/>
      <c r="AAZ95" s="242">
        <f t="shared" si="752"/>
        <v>0</v>
      </c>
      <c r="ABA95" s="242">
        <f t="shared" si="753"/>
        <v>0</v>
      </c>
      <c r="ABB95" s="56"/>
      <c r="ABE95" s="55">
        <f t="shared" si="754"/>
        <v>46101</v>
      </c>
      <c r="ABF95" s="56"/>
      <c r="ABG95" s="242">
        <f>SUMPRODUCT(PRODUCE!$B106:$DY106,PRODUCE!$EB$57:$IY$57)</f>
        <v>0</v>
      </c>
      <c r="ABH95" s="56"/>
      <c r="ABI95" s="242">
        <f t="shared" si="755"/>
        <v>0</v>
      </c>
      <c r="ABJ95" s="242">
        <f t="shared" si="756"/>
        <v>0</v>
      </c>
      <c r="ABK95" s="56"/>
    </row>
    <row r="96" spans="2:739" s="54" customFormat="1" ht="15" customHeight="1" outlineLevel="1">
      <c r="B96" s="478"/>
      <c r="C96" s="55">
        <v>46102</v>
      </c>
      <c r="D96" s="422"/>
      <c r="E96" s="423">
        <f>SUMPRODUCT(PRODUCE!$B107:$DY107,PRODUCE!$EB$7:$IY$7)</f>
        <v>0</v>
      </c>
      <c r="F96" s="422"/>
      <c r="G96" s="423">
        <f t="shared" si="514"/>
        <v>0</v>
      </c>
      <c r="H96" s="423">
        <f t="shared" si="512"/>
        <v>258879.99999999994</v>
      </c>
      <c r="I96" s="289"/>
      <c r="L96" s="55">
        <f t="shared" si="513"/>
        <v>46102</v>
      </c>
      <c r="M96" s="422"/>
      <c r="N96" s="438">
        <f>SUMPRODUCT(PRODUCE!$B107:$DY107,PRODUCE!$EB$8:$IY$8)</f>
        <v>0</v>
      </c>
      <c r="O96" s="422"/>
      <c r="P96" s="438">
        <f t="shared" si="515"/>
        <v>0</v>
      </c>
      <c r="Q96" s="438">
        <f t="shared" si="516"/>
        <v>110496.60000000008</v>
      </c>
      <c r="R96" s="56"/>
      <c r="U96" s="55">
        <f t="shared" si="517"/>
        <v>46102</v>
      </c>
      <c r="V96" s="422"/>
      <c r="W96" s="440">
        <f>SUMPRODUCT(PRODUCE!$B107:$DY107,PRODUCE!$EB$9:$IY$9)</f>
        <v>0</v>
      </c>
      <c r="X96" s="422"/>
      <c r="Y96" s="440">
        <f t="shared" si="518"/>
        <v>0</v>
      </c>
      <c r="Z96" s="440">
        <f t="shared" si="519"/>
        <v>47285.699999999968</v>
      </c>
      <c r="AA96" s="56"/>
      <c r="AD96" s="55">
        <f t="shared" si="520"/>
        <v>46102</v>
      </c>
      <c r="AE96" s="422"/>
      <c r="AF96" s="442">
        <f>SUMPRODUCT(PRODUCE!$B107:$DY107,PRODUCE!$EB$10:$IY$10)</f>
        <v>0</v>
      </c>
      <c r="AG96" s="422"/>
      <c r="AH96" s="442">
        <f t="shared" si="521"/>
        <v>0</v>
      </c>
      <c r="AI96" s="442">
        <f t="shared" si="522"/>
        <v>43301.200000000019</v>
      </c>
      <c r="AJ96" s="56"/>
      <c r="AM96" s="55">
        <f t="shared" si="523"/>
        <v>46102</v>
      </c>
      <c r="AN96" s="422"/>
      <c r="AO96" s="444">
        <f>SUMPRODUCT(PRODUCE!$B107:$DY107,PRODUCE!$EB$11:$IY$11)</f>
        <v>0</v>
      </c>
      <c r="AP96" s="422"/>
      <c r="AQ96" s="444">
        <f t="shared" si="524"/>
        <v>0</v>
      </c>
      <c r="AR96" s="444">
        <f t="shared" si="525"/>
        <v>0</v>
      </c>
      <c r="AS96" s="56"/>
      <c r="AV96" s="55">
        <f t="shared" si="526"/>
        <v>46102</v>
      </c>
      <c r="AW96" s="422"/>
      <c r="AX96" s="446">
        <f>SUMPRODUCT(PRODUCE!$B107:$DY107,PRODUCE!$EB$12:$IY$12)</f>
        <v>0</v>
      </c>
      <c r="AY96" s="422"/>
      <c r="AZ96" s="446">
        <f t="shared" si="527"/>
        <v>0</v>
      </c>
      <c r="BA96" s="446">
        <f t="shared" si="528"/>
        <v>22268.399999999983</v>
      </c>
      <c r="BB96" s="56"/>
      <c r="BE96" s="55">
        <f t="shared" si="529"/>
        <v>46102</v>
      </c>
      <c r="BF96" s="422"/>
      <c r="BG96" s="448">
        <f>SUMPRODUCT(PRODUCE!$B107:$DY107,PRODUCE!$EB$13:$IY$13)</f>
        <v>0</v>
      </c>
      <c r="BH96" s="422"/>
      <c r="BI96" s="448">
        <f t="shared" si="530"/>
        <v>0</v>
      </c>
      <c r="BJ96" s="448">
        <f t="shared" si="531"/>
        <v>14288.500000000002</v>
      </c>
      <c r="BK96" s="56"/>
      <c r="BN96" s="55">
        <f t="shared" si="532"/>
        <v>46102</v>
      </c>
      <c r="BO96" s="422"/>
      <c r="BP96" s="450">
        <f>SUMPRODUCT(PRODUCE!$B107:$DY107,PRODUCE!$EB$14:$IY$14)</f>
        <v>0</v>
      </c>
      <c r="BQ96" s="422"/>
      <c r="BR96" s="450">
        <f t="shared" si="533"/>
        <v>0</v>
      </c>
      <c r="BS96" s="450">
        <f t="shared" si="534"/>
        <v>0</v>
      </c>
      <c r="BT96" s="56"/>
      <c r="BW96" s="55">
        <f t="shared" si="535"/>
        <v>46102</v>
      </c>
      <c r="BX96" s="56"/>
      <c r="BY96" s="65">
        <f>SUMPRODUCT(PRODUCE!$B107:$DY107,PRODUCE!$EB$15:$IY$15)</f>
        <v>0</v>
      </c>
      <c r="BZ96" s="56"/>
      <c r="CA96" s="65">
        <f t="shared" si="536"/>
        <v>0</v>
      </c>
      <c r="CB96" s="65">
        <f t="shared" si="537"/>
        <v>2829.8</v>
      </c>
      <c r="CC96" s="56"/>
      <c r="CF96" s="55">
        <f t="shared" si="538"/>
        <v>46102</v>
      </c>
      <c r="CG96" s="56"/>
      <c r="CH96" s="66">
        <f>SUMPRODUCT(PRODUCE!$B107:$DY107,PRODUCE!$EB$16:$IY$16)</f>
        <v>0</v>
      </c>
      <c r="CI96" s="56"/>
      <c r="CJ96" s="66">
        <f t="shared" si="539"/>
        <v>0</v>
      </c>
      <c r="CK96" s="66">
        <f t="shared" si="540"/>
        <v>0</v>
      </c>
      <c r="CL96" s="56"/>
      <c r="CO96" s="55">
        <f t="shared" si="541"/>
        <v>46102</v>
      </c>
      <c r="CP96" s="422"/>
      <c r="CQ96" s="470">
        <f>SUMPRODUCT(PRODUCE!$B107:$DY107,PRODUCE!$EB$17:$IY$17)</f>
        <v>0</v>
      </c>
      <c r="CR96" s="422"/>
      <c r="CS96" s="470">
        <f t="shared" si="542"/>
        <v>0</v>
      </c>
      <c r="CT96" s="470">
        <f t="shared" si="543"/>
        <v>0</v>
      </c>
      <c r="CU96" s="56"/>
      <c r="CX96" s="55">
        <f t="shared" si="544"/>
        <v>46102</v>
      </c>
      <c r="CY96" s="56"/>
      <c r="CZ96" s="133">
        <f>SUMPRODUCT(PRODUCE!$B107:$DY107,PRODUCE!$EB$18:$IY$18)</f>
        <v>0</v>
      </c>
      <c r="DA96" s="56"/>
      <c r="DB96" s="133">
        <f t="shared" si="545"/>
        <v>0</v>
      </c>
      <c r="DC96" s="133">
        <f t="shared" si="546"/>
        <v>17440.7</v>
      </c>
      <c r="DD96" s="56"/>
      <c r="DG96" s="55">
        <f t="shared" si="547"/>
        <v>46102</v>
      </c>
      <c r="DH96" s="56"/>
      <c r="DI96" s="147">
        <f>SUMPRODUCT(PRODUCE!$B107:$DY107,PRODUCE!$EB$19:$IY$19)</f>
        <v>0</v>
      </c>
      <c r="DJ96" s="56"/>
      <c r="DK96" s="147">
        <f t="shared" si="548"/>
        <v>0</v>
      </c>
      <c r="DL96" s="147">
        <f t="shared" si="549"/>
        <v>13918.199999999995</v>
      </c>
      <c r="DM96" s="56"/>
      <c r="DP96" s="55">
        <f t="shared" si="550"/>
        <v>46102</v>
      </c>
      <c r="DQ96" s="56"/>
      <c r="DR96" s="57">
        <f>SUMPRODUCT(PRODUCE!$B107:$DY107,PRODUCE!$EB$20:$IY$20)</f>
        <v>0</v>
      </c>
      <c r="DS96" s="56"/>
      <c r="DT96" s="57">
        <f t="shared" si="551"/>
        <v>0</v>
      </c>
      <c r="DU96" s="57">
        <f t="shared" si="552"/>
        <v>7150</v>
      </c>
      <c r="DV96" s="56"/>
      <c r="DY96" s="55">
        <f t="shared" si="553"/>
        <v>46102</v>
      </c>
      <c r="DZ96" s="56"/>
      <c r="EA96" s="157">
        <f>SUMPRODUCT(PRODUCE!$B107:$DY107,PRODUCE!$EB$21:$IY$21)</f>
        <v>0</v>
      </c>
      <c r="EB96" s="56"/>
      <c r="EC96" s="157">
        <f t="shared" si="554"/>
        <v>0</v>
      </c>
      <c r="ED96" s="157">
        <f t="shared" si="555"/>
        <v>2947.3</v>
      </c>
      <c r="EE96" s="56"/>
      <c r="EH96" s="55">
        <f t="shared" si="556"/>
        <v>46102</v>
      </c>
      <c r="EI96" s="56"/>
      <c r="EJ96" s="162">
        <f>SUMPRODUCT(PRODUCE!$B107:$DY107,PRODUCE!$EB$22:$IY$22)</f>
        <v>0</v>
      </c>
      <c r="EK96" s="56"/>
      <c r="EL96" s="162">
        <f t="shared" si="557"/>
        <v>0</v>
      </c>
      <c r="EM96" s="162">
        <f t="shared" si="558"/>
        <v>0</v>
      </c>
      <c r="EN96" s="56"/>
      <c r="EQ96" s="55">
        <f t="shared" si="559"/>
        <v>46102</v>
      </c>
      <c r="ER96" s="56"/>
      <c r="ES96" s="135">
        <f>SUMPRODUCT(PRODUCE!$B107:$DY107,PRODUCE!$EB$23:$IY$23)</f>
        <v>0</v>
      </c>
      <c r="ET96" s="56"/>
      <c r="EU96" s="135">
        <f t="shared" si="560"/>
        <v>0</v>
      </c>
      <c r="EV96" s="135">
        <f t="shared" si="561"/>
        <v>0</v>
      </c>
      <c r="EW96" s="56"/>
      <c r="EZ96" s="55">
        <f t="shared" si="562"/>
        <v>46102</v>
      </c>
      <c r="FA96" s="56"/>
      <c r="FB96" s="175">
        <f>SUMPRODUCT(PRODUCE!$B107:$DY107,PRODUCE!$EB$24:$IY$24)</f>
        <v>0</v>
      </c>
      <c r="FC96" s="56"/>
      <c r="FD96" s="175">
        <f t="shared" si="563"/>
        <v>0</v>
      </c>
      <c r="FE96" s="175">
        <f t="shared" si="564"/>
        <v>0</v>
      </c>
      <c r="FF96" s="56"/>
      <c r="FI96" s="55">
        <f t="shared" si="565"/>
        <v>46102</v>
      </c>
      <c r="FJ96" s="56"/>
      <c r="FK96" s="183">
        <f>SUMPRODUCT(PRODUCE!$B107:$DY107,PRODUCE!$EB$25:$IY$25)</f>
        <v>0</v>
      </c>
      <c r="FL96" s="56"/>
      <c r="FM96" s="183">
        <f t="shared" si="566"/>
        <v>0</v>
      </c>
      <c r="FN96" s="183">
        <f t="shared" si="567"/>
        <v>0</v>
      </c>
      <c r="FO96" s="56"/>
      <c r="FR96" s="55">
        <f t="shared" si="568"/>
        <v>46102</v>
      </c>
      <c r="FS96" s="422"/>
      <c r="FT96" s="452">
        <f>SUMPRODUCT(PRODUCE!$B107:$DY107,PRODUCE!$EB$26:$IY$26)</f>
        <v>0</v>
      </c>
      <c r="FU96" s="422"/>
      <c r="FV96" s="452">
        <f t="shared" si="569"/>
        <v>0</v>
      </c>
      <c r="FW96" s="452">
        <f t="shared" si="570"/>
        <v>3220</v>
      </c>
      <c r="FX96" s="56"/>
      <c r="GA96" s="55">
        <f t="shared" si="571"/>
        <v>46102</v>
      </c>
      <c r="GB96" s="422"/>
      <c r="GC96" s="454">
        <f>SUMPRODUCT(PRODUCE!$B107:$DY107,PRODUCE!$EB$27:$IY$27)</f>
        <v>0</v>
      </c>
      <c r="GD96" s="422"/>
      <c r="GE96" s="454">
        <f t="shared" si="572"/>
        <v>0</v>
      </c>
      <c r="GF96" s="454">
        <f t="shared" si="573"/>
        <v>1280</v>
      </c>
      <c r="GG96" s="56"/>
      <c r="GI96" s="23"/>
      <c r="GJ96" s="55">
        <f t="shared" si="574"/>
        <v>46102</v>
      </c>
      <c r="GK96" s="422"/>
      <c r="GL96" s="456">
        <f>SUMPRODUCT(PRODUCE!$B107:$DY107,PRODUCE!$EB$28:$IY$28)</f>
        <v>0</v>
      </c>
      <c r="GM96" s="422"/>
      <c r="GN96" s="456">
        <f t="shared" si="575"/>
        <v>0</v>
      </c>
      <c r="GO96" s="456">
        <f t="shared" si="576"/>
        <v>5240</v>
      </c>
      <c r="GP96" s="56"/>
      <c r="GS96" s="55">
        <f t="shared" si="577"/>
        <v>46102</v>
      </c>
      <c r="GT96" s="56"/>
      <c r="GU96" s="195">
        <f>SUMPRODUCT(PRODUCE!$B107:$DY107,PRODUCE!$EB$29:$IY$29)</f>
        <v>0</v>
      </c>
      <c r="GV96" s="56"/>
      <c r="GW96" s="195">
        <f t="shared" si="578"/>
        <v>0</v>
      </c>
      <c r="GX96" s="195">
        <f t="shared" si="579"/>
        <v>0</v>
      </c>
      <c r="GY96" s="56"/>
      <c r="HB96" s="55">
        <f t="shared" si="580"/>
        <v>46102</v>
      </c>
      <c r="HC96" s="56"/>
      <c r="HD96" s="191">
        <f>SUMPRODUCT(PRODUCE!$B107:$DY107,PRODUCE!$EB$30:$IY$30)</f>
        <v>0</v>
      </c>
      <c r="HE96" s="56"/>
      <c r="HF96" s="191">
        <f t="shared" si="581"/>
        <v>0</v>
      </c>
      <c r="HG96" s="191">
        <f t="shared" si="582"/>
        <v>0</v>
      </c>
      <c r="HH96" s="56"/>
      <c r="HK96" s="55">
        <f t="shared" si="583"/>
        <v>46102</v>
      </c>
      <c r="HL96" s="56"/>
      <c r="HM96" s="63">
        <f>SUMPRODUCT(PRODUCE!$B107:$DY107,PRODUCE!$EB$31:$IY$31)</f>
        <v>0</v>
      </c>
      <c r="HN96" s="56"/>
      <c r="HO96" s="63">
        <f t="shared" si="584"/>
        <v>0</v>
      </c>
      <c r="HP96" s="63">
        <f t="shared" si="585"/>
        <v>0</v>
      </c>
      <c r="HQ96" s="56"/>
      <c r="HU96" s="55">
        <f t="shared" si="586"/>
        <v>46102</v>
      </c>
      <c r="HV96" s="56"/>
      <c r="HW96" s="242">
        <f>SUMPRODUCT(PRODUCE!$B107:$DY107,PRODUCE!$EB$32:$IY$32)</f>
        <v>0</v>
      </c>
      <c r="HX96" s="56"/>
      <c r="HY96" s="242">
        <f t="shared" si="587"/>
        <v>0</v>
      </c>
      <c r="HZ96" s="242">
        <f t="shared" si="588"/>
        <v>5120</v>
      </c>
      <c r="IA96" s="56"/>
      <c r="ID96" s="55">
        <f t="shared" si="589"/>
        <v>46102</v>
      </c>
      <c r="IE96" s="56"/>
      <c r="IF96" s="242">
        <f>SUMPRODUCT(PRODUCE!$B107:$DY107,PRODUCE!$EB$33:$IY$33)</f>
        <v>0</v>
      </c>
      <c r="IG96" s="56"/>
      <c r="IH96" s="242">
        <f t="shared" si="590"/>
        <v>0</v>
      </c>
      <c r="II96" s="242">
        <f t="shared" si="591"/>
        <v>6540</v>
      </c>
      <c r="IJ96" s="56"/>
      <c r="IM96" s="55">
        <f t="shared" si="592"/>
        <v>46102</v>
      </c>
      <c r="IN96" s="56"/>
      <c r="IO96" s="242">
        <f>SUMPRODUCT(PRODUCE!$B107:$DY107,PRODUCE!$EB$34:$IY$34)</f>
        <v>0</v>
      </c>
      <c r="IP96" s="56"/>
      <c r="IQ96" s="242">
        <f t="shared" si="593"/>
        <v>0</v>
      </c>
      <c r="IR96" s="242">
        <f t="shared" si="594"/>
        <v>11540</v>
      </c>
      <c r="IS96" s="56"/>
      <c r="IV96" s="55">
        <f t="shared" si="595"/>
        <v>46102</v>
      </c>
      <c r="IW96" s="56"/>
      <c r="IX96" s="242">
        <f>SUMPRODUCT(PRODUCE!$B107:$DY107,PRODUCE!$EB$35:$IY$35)</f>
        <v>0</v>
      </c>
      <c r="IY96" s="56"/>
      <c r="IZ96" s="242">
        <f t="shared" si="596"/>
        <v>0</v>
      </c>
      <c r="JA96" s="242">
        <f t="shared" si="597"/>
        <v>15120</v>
      </c>
      <c r="JB96" s="56"/>
      <c r="JE96" s="55">
        <f t="shared" si="598"/>
        <v>46102</v>
      </c>
      <c r="JF96" s="56"/>
      <c r="JG96" s="242">
        <f>SUMPRODUCT(PRODUCE!$B107:$DY107,PRODUCE!$EB$36:$IY$36)</f>
        <v>0</v>
      </c>
      <c r="JH96" s="56"/>
      <c r="JI96" s="242">
        <f t="shared" si="599"/>
        <v>0</v>
      </c>
      <c r="JJ96" s="242">
        <f t="shared" si="600"/>
        <v>5040</v>
      </c>
      <c r="JK96" s="56"/>
      <c r="JN96" s="55">
        <f t="shared" si="601"/>
        <v>46102</v>
      </c>
      <c r="JO96" s="56"/>
      <c r="JP96" s="242">
        <f>SUMPRODUCT(PRODUCE!$B107:$DY107,PRODUCE!$EB$37:$IY$37)</f>
        <v>0</v>
      </c>
      <c r="JQ96" s="56"/>
      <c r="JR96" s="242">
        <f t="shared" si="602"/>
        <v>0</v>
      </c>
      <c r="JS96" s="242">
        <f t="shared" si="603"/>
        <v>9100</v>
      </c>
      <c r="JT96" s="56"/>
      <c r="JW96" s="55">
        <f t="shared" si="604"/>
        <v>46102</v>
      </c>
      <c r="JX96" s="56"/>
      <c r="JY96" s="242">
        <f>SUMPRODUCT(PRODUCE!$B107:$DY107,PRODUCE!$EB$38:$IY$38)</f>
        <v>0</v>
      </c>
      <c r="JZ96" s="56"/>
      <c r="KA96" s="242">
        <f t="shared" si="605"/>
        <v>0</v>
      </c>
      <c r="KB96" s="242">
        <f t="shared" si="606"/>
        <v>5140</v>
      </c>
      <c r="KC96" s="56"/>
      <c r="KF96" s="55">
        <f t="shared" si="607"/>
        <v>46102</v>
      </c>
      <c r="KG96" s="56"/>
      <c r="KH96" s="242">
        <f>SUMPRODUCT(PRODUCE!$B107:$DY107,PRODUCE!$EB$39:$IY$39)</f>
        <v>0</v>
      </c>
      <c r="KI96" s="56"/>
      <c r="KJ96" s="242">
        <f t="shared" si="608"/>
        <v>0</v>
      </c>
      <c r="KK96" s="242">
        <f t="shared" si="609"/>
        <v>9184.5</v>
      </c>
      <c r="KL96" s="56"/>
      <c r="KO96" s="55">
        <f t="shared" si="610"/>
        <v>46102</v>
      </c>
      <c r="KP96" s="56"/>
      <c r="KQ96" s="242">
        <f>SUMPRODUCT(PRODUCE!$B107:$DY107,PRODUCE!$EB$40:$IY$40)</f>
        <v>0</v>
      </c>
      <c r="KR96" s="56"/>
      <c r="KS96" s="242">
        <f t="shared" si="611"/>
        <v>0</v>
      </c>
      <c r="KT96" s="242">
        <f t="shared" si="612"/>
        <v>6993</v>
      </c>
      <c r="KU96" s="56"/>
      <c r="KW96" s="23"/>
      <c r="KX96" s="55">
        <f t="shared" si="613"/>
        <v>46102</v>
      </c>
      <c r="KY96" s="56"/>
      <c r="KZ96" s="242">
        <f>SUMPRODUCT(PRODUCE!$B107:$DY107,PRODUCE!$EB$41:$IY$41)</f>
        <v>0</v>
      </c>
      <c r="LA96" s="56"/>
      <c r="LB96" s="242">
        <f t="shared" si="614"/>
        <v>0</v>
      </c>
      <c r="LC96" s="242">
        <f t="shared" si="615"/>
        <v>0</v>
      </c>
      <c r="LD96" s="56"/>
      <c r="LG96" s="55">
        <f t="shared" si="616"/>
        <v>46102</v>
      </c>
      <c r="LH96" s="56"/>
      <c r="LI96" s="242">
        <f>SUMPRODUCT(PRODUCE!$B107:$DY107,PRODUCE!$EB$42:$IY$42)</f>
        <v>0</v>
      </c>
      <c r="LJ96" s="56"/>
      <c r="LK96" s="242">
        <f t="shared" si="617"/>
        <v>0</v>
      </c>
      <c r="LL96" s="242">
        <f t="shared" si="618"/>
        <v>0</v>
      </c>
      <c r="LM96" s="56"/>
      <c r="LP96" s="55">
        <f t="shared" si="619"/>
        <v>46102</v>
      </c>
      <c r="LQ96" s="56"/>
      <c r="LR96" s="242">
        <f>SUMPRODUCT(PRODUCE!$B111:$DY111,PRODUCE!$EB$43:$IY$43)</f>
        <v>0</v>
      </c>
      <c r="LS96" s="56"/>
      <c r="LT96" s="242">
        <f t="shared" si="620"/>
        <v>0</v>
      </c>
      <c r="LU96" s="242">
        <f t="shared" si="621"/>
        <v>0</v>
      </c>
      <c r="LV96" s="56"/>
      <c r="LY96" s="55">
        <f t="shared" si="622"/>
        <v>46102</v>
      </c>
      <c r="LZ96" s="56"/>
      <c r="MA96" s="242">
        <f>SUMPRODUCT(PRODUCE!$B107:$DY107,PRODUCE!$EB$44:$IY$44)</f>
        <v>0</v>
      </c>
      <c r="MB96" s="56"/>
      <c r="MC96" s="242">
        <f t="shared" si="623"/>
        <v>0</v>
      </c>
      <c r="MD96" s="242">
        <f t="shared" si="624"/>
        <v>0</v>
      </c>
      <c r="ME96" s="56"/>
      <c r="MH96" s="55">
        <f t="shared" si="625"/>
        <v>46102</v>
      </c>
      <c r="MI96" s="56"/>
      <c r="MJ96" s="242">
        <f>SUMPRODUCT(PRODUCE!$B107:$DY107,PRODUCE!$EB$45:$IY$45)</f>
        <v>0</v>
      </c>
      <c r="MK96" s="56"/>
      <c r="ML96" s="242">
        <f t="shared" si="626"/>
        <v>0</v>
      </c>
      <c r="MM96" s="242">
        <f t="shared" si="627"/>
        <v>0</v>
      </c>
      <c r="MN96" s="56"/>
      <c r="MQ96" s="55">
        <f t="shared" si="628"/>
        <v>46102</v>
      </c>
      <c r="MR96" s="56"/>
      <c r="MS96" s="242">
        <f>SUMPRODUCT(PRODUCE!$B107:$DY107,PRODUCE!$EB$46:$IY$46)</f>
        <v>0</v>
      </c>
      <c r="MT96" s="56"/>
      <c r="MU96" s="242">
        <f t="shared" si="629"/>
        <v>0</v>
      </c>
      <c r="MV96" s="242">
        <f t="shared" si="630"/>
        <v>4623</v>
      </c>
      <c r="MW96" s="56"/>
      <c r="MZ96" s="55">
        <f t="shared" si="631"/>
        <v>46102</v>
      </c>
      <c r="NA96" s="56"/>
      <c r="NB96" s="242">
        <f>SUMPRODUCT(PRODUCE!$B107:$DY107,PRODUCE!$EB$47:$IY$47)</f>
        <v>0</v>
      </c>
      <c r="NC96" s="56"/>
      <c r="ND96" s="242">
        <f t="shared" si="632"/>
        <v>0</v>
      </c>
      <c r="NE96" s="242">
        <f t="shared" si="633"/>
        <v>0</v>
      </c>
      <c r="NF96" s="56"/>
      <c r="NI96" s="55">
        <f t="shared" si="634"/>
        <v>46102</v>
      </c>
      <c r="NJ96" s="56"/>
      <c r="NK96" s="242">
        <f>SUMPRODUCT(PRODUCE!$B107:$DY107,PRODUCE!$EB$48:$IY$48)</f>
        <v>0</v>
      </c>
      <c r="NL96" s="56"/>
      <c r="NM96" s="242">
        <f t="shared" si="635"/>
        <v>0</v>
      </c>
      <c r="NN96" s="242">
        <f t="shared" si="636"/>
        <v>465</v>
      </c>
      <c r="NO96" s="56"/>
      <c r="NR96" s="55">
        <f t="shared" si="637"/>
        <v>46102</v>
      </c>
      <c r="NS96" s="56"/>
      <c r="NT96" s="242">
        <f>SUMPRODUCT(PRODUCE!$B107:$DY107,PRODUCE!$EB$49:$IY$49)</f>
        <v>0</v>
      </c>
      <c r="NU96" s="56"/>
      <c r="NV96" s="242">
        <f t="shared" si="638"/>
        <v>0</v>
      </c>
      <c r="NW96" s="242">
        <f t="shared" si="639"/>
        <v>1288.9000000000001</v>
      </c>
      <c r="NX96" s="56"/>
      <c r="OA96" s="55">
        <f t="shared" si="640"/>
        <v>46102</v>
      </c>
      <c r="OB96" s="56"/>
      <c r="OC96" s="242">
        <f>SUMPRODUCT(PRODUCE!$B107:$DY107,PRODUCE!$EB$50:$IY$50)</f>
        <v>0</v>
      </c>
      <c r="OD96" s="56"/>
      <c r="OE96" s="242">
        <f t="shared" si="641"/>
        <v>0</v>
      </c>
      <c r="OF96" s="242">
        <f t="shared" si="642"/>
        <v>1680.5</v>
      </c>
      <c r="OG96" s="56"/>
      <c r="OJ96" s="55">
        <f t="shared" si="643"/>
        <v>46102</v>
      </c>
      <c r="OK96" s="56"/>
      <c r="OL96" s="242">
        <f>SUMPRODUCT(PRODUCE!$B107:$DY107,PRODUCE!$EB$51:$IY$51)</f>
        <v>0</v>
      </c>
      <c r="OM96" s="56"/>
      <c r="ON96" s="242">
        <f t="shared" si="644"/>
        <v>0</v>
      </c>
      <c r="OO96" s="242">
        <f t="shared" si="645"/>
        <v>0</v>
      </c>
      <c r="OP96" s="56"/>
      <c r="OS96" s="55">
        <f t="shared" si="646"/>
        <v>46102</v>
      </c>
      <c r="OT96" s="56"/>
      <c r="OU96" s="242">
        <f>SUMPRODUCT(PRODUCE!$B107:$DY107,PRODUCE!$EB$52:$IY$52)</f>
        <v>0</v>
      </c>
      <c r="OV96" s="56"/>
      <c r="OW96" s="242">
        <f t="shared" si="647"/>
        <v>0</v>
      </c>
      <c r="OX96" s="242">
        <f t="shared" si="648"/>
        <v>1000</v>
      </c>
      <c r="OY96" s="56"/>
      <c r="PB96" s="55">
        <f t="shared" si="649"/>
        <v>46102</v>
      </c>
      <c r="PC96" s="56"/>
      <c r="PD96" s="242">
        <f>SUMPRODUCT(PRODUCE!$B107:$DY107,PRODUCE!$EB$53:$IY$53)</f>
        <v>0</v>
      </c>
      <c r="PE96" s="56"/>
      <c r="PF96" s="242">
        <f t="shared" si="650"/>
        <v>0</v>
      </c>
      <c r="PG96" s="242">
        <f t="shared" si="651"/>
        <v>0</v>
      </c>
      <c r="PH96" s="56"/>
      <c r="PK96" s="55">
        <f t="shared" si="652"/>
        <v>46102</v>
      </c>
      <c r="PL96" s="56"/>
      <c r="PM96" s="242">
        <f>SUMPRODUCT(PRODUCE!$B107:$DY107,PRODUCE!$EB$54:$IY$54)</f>
        <v>0</v>
      </c>
      <c r="PN96" s="56"/>
      <c r="PO96" s="242">
        <f t="shared" si="653"/>
        <v>0</v>
      </c>
      <c r="PP96" s="242">
        <f t="shared" si="654"/>
        <v>100</v>
      </c>
      <c r="PQ96" s="56"/>
      <c r="PT96" s="55">
        <f t="shared" si="655"/>
        <v>46102</v>
      </c>
      <c r="PU96" s="56"/>
      <c r="PV96" s="242">
        <f>SUMPRODUCT(PRODUCE!$B107:$DY107,PRODUCE!$EB$55:$IY$55)</f>
        <v>0</v>
      </c>
      <c r="PW96" s="56"/>
      <c r="PX96" s="242">
        <f t="shared" si="656"/>
        <v>0</v>
      </c>
      <c r="PY96" s="242">
        <f t="shared" si="657"/>
        <v>13.960000000000036</v>
      </c>
      <c r="PZ96" s="56"/>
      <c r="QC96" s="55">
        <f t="shared" si="658"/>
        <v>46102</v>
      </c>
      <c r="QD96" s="56"/>
      <c r="QE96" s="242">
        <f>SUMPRODUCT(PRODUCE!$B107:$DY107,PRODUCE!$EB$56:$IY$56)</f>
        <v>0</v>
      </c>
      <c r="QF96" s="56"/>
      <c r="QG96" s="242">
        <f t="shared" si="659"/>
        <v>0</v>
      </c>
      <c r="QH96" s="242">
        <f t="shared" si="660"/>
        <v>1212</v>
      </c>
      <c r="QI96" s="56"/>
      <c r="QL96" s="55">
        <f t="shared" si="661"/>
        <v>46102</v>
      </c>
      <c r="QM96" s="56"/>
      <c r="QN96" s="242">
        <f>SUMPRODUCT(PRODUCE!$B107:$DY107,PRODUCE!$EB$57:$IY$57)</f>
        <v>0</v>
      </c>
      <c r="QO96" s="56"/>
      <c r="QP96" s="242">
        <f t="shared" si="662"/>
        <v>0</v>
      </c>
      <c r="QQ96" s="242">
        <f t="shared" si="663"/>
        <v>0</v>
      </c>
      <c r="QR96" s="56"/>
      <c r="QU96" s="55">
        <f t="shared" si="664"/>
        <v>46102</v>
      </c>
      <c r="QV96" s="56"/>
      <c r="QW96" s="242">
        <f>SUMPRODUCT(PRODUCE!$B107:$DY107,PRODUCE!$EB$57:$IY$57)</f>
        <v>0</v>
      </c>
      <c r="QX96" s="56"/>
      <c r="QY96" s="242">
        <f t="shared" si="665"/>
        <v>0</v>
      </c>
      <c r="QZ96" s="242">
        <f t="shared" si="666"/>
        <v>207.6</v>
      </c>
      <c r="RA96" s="56"/>
      <c r="RD96" s="55">
        <f t="shared" si="667"/>
        <v>46102</v>
      </c>
      <c r="RE96" s="56"/>
      <c r="RF96" s="242">
        <f>SUMPRODUCT(PRODUCE!$B107:$DY107,PRODUCE!$EB$58:$IY$58)</f>
        <v>0</v>
      </c>
      <c r="RG96" s="56"/>
      <c r="RH96" s="242">
        <f t="shared" si="668"/>
        <v>0</v>
      </c>
      <c r="RI96" s="242">
        <f t="shared" si="669"/>
        <v>197.04000000000002</v>
      </c>
      <c r="RJ96" s="56"/>
      <c r="RM96" s="55">
        <f t="shared" si="670"/>
        <v>46102</v>
      </c>
      <c r="RN96" s="56"/>
      <c r="RO96" s="242">
        <f>SUMPRODUCT(PRODUCE!$B107:$DY107,PRODUCE!$EB$57:$IY$57)</f>
        <v>0</v>
      </c>
      <c r="RP96" s="56"/>
      <c r="RQ96" s="242">
        <f t="shared" si="671"/>
        <v>0</v>
      </c>
      <c r="RR96" s="242">
        <f t="shared" si="672"/>
        <v>46.8</v>
      </c>
      <c r="RS96" s="56"/>
      <c r="RV96" s="55">
        <f t="shared" si="673"/>
        <v>46102</v>
      </c>
      <c r="RW96" s="56"/>
      <c r="RX96" s="242">
        <f>SUMPRODUCT(PRODUCE!$B107:$DY107,PRODUCE!$EB$57:$IY$57)</f>
        <v>0</v>
      </c>
      <c r="RY96" s="56"/>
      <c r="RZ96" s="242">
        <f t="shared" si="674"/>
        <v>0</v>
      </c>
      <c r="SA96" s="242">
        <f t="shared" si="675"/>
        <v>0</v>
      </c>
      <c r="SB96" s="56"/>
      <c r="SE96" s="55">
        <f t="shared" si="676"/>
        <v>46102</v>
      </c>
      <c r="SF96" s="56"/>
      <c r="SG96" s="242">
        <f>SUMPRODUCT(PRODUCE!$B107:$DY107,PRODUCE!$EB$57:$IY$57)</f>
        <v>0</v>
      </c>
      <c r="SH96" s="56"/>
      <c r="SI96" s="242">
        <f t="shared" si="677"/>
        <v>0</v>
      </c>
      <c r="SJ96" s="242">
        <f t="shared" si="678"/>
        <v>0</v>
      </c>
      <c r="SK96" s="56"/>
      <c r="SN96" s="55">
        <f t="shared" si="679"/>
        <v>46102</v>
      </c>
      <c r="SO96" s="56"/>
      <c r="SP96" s="242">
        <f>SUMPRODUCT(PRODUCE!$B107:$DY107,PRODUCE!$EB$57:$IY$57)</f>
        <v>0</v>
      </c>
      <c r="SQ96" s="56"/>
      <c r="SR96" s="242">
        <f t="shared" si="680"/>
        <v>0</v>
      </c>
      <c r="SS96" s="242">
        <f t="shared" si="681"/>
        <v>0</v>
      </c>
      <c r="ST96" s="56"/>
      <c r="SW96" s="55">
        <f t="shared" si="682"/>
        <v>46102</v>
      </c>
      <c r="SX96" s="56"/>
      <c r="SY96" s="242">
        <f>SUMPRODUCT(PRODUCE!$B107:$DY107,PRODUCE!$EB$57:$IY$57)</f>
        <v>0</v>
      </c>
      <c r="SZ96" s="56"/>
      <c r="TA96" s="242">
        <f t="shared" si="683"/>
        <v>0</v>
      </c>
      <c r="TB96" s="242">
        <f t="shared" si="684"/>
        <v>0</v>
      </c>
      <c r="TC96" s="56"/>
      <c r="TF96" s="55">
        <f t="shared" si="685"/>
        <v>46102</v>
      </c>
      <c r="TG96" s="56"/>
      <c r="TH96" s="242">
        <f>SUMPRODUCT(PRODUCE!$B107:$DY107,PRODUCE!$EB$57:$IY$57)</f>
        <v>0</v>
      </c>
      <c r="TI96" s="56"/>
      <c r="TJ96" s="242">
        <f t="shared" si="686"/>
        <v>0</v>
      </c>
      <c r="TK96" s="242">
        <f t="shared" si="687"/>
        <v>0</v>
      </c>
      <c r="TL96" s="56"/>
      <c r="TO96" s="55">
        <f t="shared" si="688"/>
        <v>46102</v>
      </c>
      <c r="TP96" s="56"/>
      <c r="TQ96" s="242">
        <f>SUMPRODUCT(PRODUCE!$B107:$DY107,PRODUCE!$EB$57:$IY$57)</f>
        <v>0</v>
      </c>
      <c r="TR96" s="56"/>
      <c r="TS96" s="242">
        <f t="shared" si="689"/>
        <v>0</v>
      </c>
      <c r="TT96" s="242">
        <f t="shared" si="690"/>
        <v>0</v>
      </c>
      <c r="TU96" s="56"/>
      <c r="TX96" s="55">
        <f t="shared" si="691"/>
        <v>46102</v>
      </c>
      <c r="TY96" s="56"/>
      <c r="TZ96" s="242">
        <f>SUMPRODUCT(PRODUCE!$B107:$DY107,PRODUCE!$EB$57:$IY$57)</f>
        <v>0</v>
      </c>
      <c r="UA96" s="56"/>
      <c r="UB96" s="242">
        <f t="shared" si="692"/>
        <v>0</v>
      </c>
      <c r="UC96" s="242">
        <f t="shared" si="693"/>
        <v>0</v>
      </c>
      <c r="UD96" s="56"/>
      <c r="UG96" s="55">
        <f t="shared" si="694"/>
        <v>46102</v>
      </c>
      <c r="UH96" s="56"/>
      <c r="UI96" s="242">
        <f>SUMPRODUCT(PRODUCE!$B107:$DY107,PRODUCE!$EB$57:$IY$57)</f>
        <v>0</v>
      </c>
      <c r="UJ96" s="56"/>
      <c r="UK96" s="242">
        <f t="shared" si="695"/>
        <v>0</v>
      </c>
      <c r="UL96" s="242">
        <f t="shared" si="696"/>
        <v>0</v>
      </c>
      <c r="UM96" s="56"/>
      <c r="UP96" s="55">
        <f t="shared" si="697"/>
        <v>46102</v>
      </c>
      <c r="UQ96" s="56"/>
      <c r="UR96" s="242">
        <f>SUMPRODUCT(PRODUCE!$B107:$DY107,PRODUCE!$EB$57:$IY$57)</f>
        <v>0</v>
      </c>
      <c r="US96" s="56"/>
      <c r="UT96" s="242">
        <f t="shared" si="698"/>
        <v>0</v>
      </c>
      <c r="UU96" s="242">
        <f t="shared" si="699"/>
        <v>0</v>
      </c>
      <c r="UV96" s="56"/>
      <c r="UY96" s="55">
        <f t="shared" si="700"/>
        <v>46102</v>
      </c>
      <c r="UZ96" s="56"/>
      <c r="VA96" s="242">
        <f>SUMPRODUCT(PRODUCE!$B107:$DY107,PRODUCE!$EB$57:$IY$57)</f>
        <v>0</v>
      </c>
      <c r="VB96" s="56"/>
      <c r="VC96" s="242">
        <f t="shared" si="701"/>
        <v>0</v>
      </c>
      <c r="VD96" s="242">
        <f t="shared" si="702"/>
        <v>41.600000000000023</v>
      </c>
      <c r="VE96" s="56"/>
      <c r="VH96" s="55">
        <f t="shared" si="703"/>
        <v>46102</v>
      </c>
      <c r="VI96" s="56"/>
      <c r="VJ96" s="242">
        <f>SUMPRODUCT(PRODUCE!$B107:$DY107,PRODUCE!$EB$57:$IY$57)</f>
        <v>0</v>
      </c>
      <c r="VK96" s="56"/>
      <c r="VL96" s="242">
        <f t="shared" si="704"/>
        <v>0</v>
      </c>
      <c r="VM96" s="242">
        <f t="shared" si="705"/>
        <v>0</v>
      </c>
      <c r="VN96" s="56"/>
      <c r="VQ96" s="55">
        <f t="shared" si="706"/>
        <v>46102</v>
      </c>
      <c r="VR96" s="56"/>
      <c r="VS96" s="242">
        <f>SUMPRODUCT(PRODUCE!$B107:$DY107,PRODUCE!$EB$57:$IY$57)</f>
        <v>0</v>
      </c>
      <c r="VT96" s="56"/>
      <c r="VU96" s="242">
        <f t="shared" si="707"/>
        <v>0</v>
      </c>
      <c r="VV96" s="242">
        <f t="shared" si="708"/>
        <v>0</v>
      </c>
      <c r="VW96" s="56"/>
      <c r="VZ96" s="55">
        <f t="shared" si="709"/>
        <v>46102</v>
      </c>
      <c r="WA96" s="56"/>
      <c r="WB96" s="242">
        <f>SUMPRODUCT(PRODUCE!$B107:$DY107,PRODUCE!$EB$57:$IY$57)</f>
        <v>0</v>
      </c>
      <c r="WC96" s="56"/>
      <c r="WD96" s="242">
        <f t="shared" si="710"/>
        <v>0</v>
      </c>
      <c r="WE96" s="242">
        <f t="shared" si="711"/>
        <v>0</v>
      </c>
      <c r="WF96" s="56"/>
      <c r="WI96" s="55">
        <f t="shared" si="712"/>
        <v>46102</v>
      </c>
      <c r="WJ96" s="56"/>
      <c r="WK96" s="242">
        <f>SUMPRODUCT(PRODUCE!$B107:$DY107,PRODUCE!$EB$57:$IY$57)</f>
        <v>0</v>
      </c>
      <c r="WL96" s="56"/>
      <c r="WM96" s="242">
        <f t="shared" si="713"/>
        <v>0</v>
      </c>
      <c r="WN96" s="242">
        <f t="shared" si="714"/>
        <v>5180</v>
      </c>
      <c r="WO96" s="56"/>
      <c r="WR96" s="55">
        <f t="shared" si="715"/>
        <v>46102</v>
      </c>
      <c r="WS96" s="56"/>
      <c r="WT96" s="242">
        <f>SUMPRODUCT(PRODUCE!$B107:$DY107,PRODUCE!$EB$57:$IY$57)</f>
        <v>0</v>
      </c>
      <c r="WU96" s="56"/>
      <c r="WV96" s="242">
        <f t="shared" si="716"/>
        <v>0</v>
      </c>
      <c r="WW96" s="242">
        <f t="shared" si="717"/>
        <v>3265</v>
      </c>
      <c r="WX96" s="56"/>
      <c r="XA96" s="55">
        <f t="shared" si="718"/>
        <v>46102</v>
      </c>
      <c r="XB96" s="56"/>
      <c r="XC96" s="242">
        <f>SUMPRODUCT(PRODUCE!$B107:$DY107,PRODUCE!$EB$57:$IY$57)</f>
        <v>0</v>
      </c>
      <c r="XD96" s="56"/>
      <c r="XE96" s="242">
        <f t="shared" si="719"/>
        <v>0</v>
      </c>
      <c r="XF96" s="242">
        <f t="shared" si="720"/>
        <v>7142</v>
      </c>
      <c r="XG96" s="56"/>
      <c r="XJ96" s="55">
        <f t="shared" si="721"/>
        <v>46102</v>
      </c>
      <c r="XK96" s="56"/>
      <c r="XL96" s="242">
        <f>SUMPRODUCT(PRODUCE!$B107:$DY107,PRODUCE!$EB$57:$IY$57)</f>
        <v>0</v>
      </c>
      <c r="XM96" s="56"/>
      <c r="XN96" s="242">
        <f t="shared" si="722"/>
        <v>0</v>
      </c>
      <c r="XO96" s="242">
        <f t="shared" si="723"/>
        <v>7549</v>
      </c>
      <c r="XP96" s="56"/>
      <c r="XS96" s="55">
        <f t="shared" si="724"/>
        <v>46102</v>
      </c>
      <c r="XT96" s="56"/>
      <c r="XU96" s="242">
        <f>SUMPRODUCT(PRODUCE!$B107:$DY107,PRODUCE!$EB$57:$IY$57)</f>
        <v>0</v>
      </c>
      <c r="XV96" s="56"/>
      <c r="XW96" s="242">
        <f t="shared" si="725"/>
        <v>0</v>
      </c>
      <c r="XX96" s="242">
        <f t="shared" si="726"/>
        <v>1901</v>
      </c>
      <c r="XY96" s="56"/>
      <c r="YB96" s="55">
        <f t="shared" si="727"/>
        <v>46102</v>
      </c>
      <c r="YC96" s="56"/>
      <c r="YD96" s="242">
        <f>SUMPRODUCT(PRODUCE!$B107:$DY107,PRODUCE!$EB$57:$IY$57)</f>
        <v>0</v>
      </c>
      <c r="YE96" s="56"/>
      <c r="YF96" s="242">
        <f t="shared" si="728"/>
        <v>0</v>
      </c>
      <c r="YG96" s="242">
        <f t="shared" si="729"/>
        <v>6459</v>
      </c>
      <c r="YH96" s="56"/>
      <c r="YK96" s="55">
        <f t="shared" si="730"/>
        <v>46102</v>
      </c>
      <c r="YL96" s="56"/>
      <c r="YM96" s="242">
        <f>SUMPRODUCT(PRODUCE!$B107:$DY107,PRODUCE!$EB$57:$IY$57)</f>
        <v>0</v>
      </c>
      <c r="YN96" s="56"/>
      <c r="YO96" s="242">
        <f t="shared" si="731"/>
        <v>0</v>
      </c>
      <c r="YP96" s="242">
        <f t="shared" si="732"/>
        <v>0</v>
      </c>
      <c r="YQ96" s="56"/>
      <c r="YT96" s="55">
        <f t="shared" si="733"/>
        <v>46102</v>
      </c>
      <c r="YU96" s="56"/>
      <c r="YV96" s="242">
        <f>SUMPRODUCT(PRODUCE!$B107:$DY107,PRODUCE!$EB$57:$IY$57)</f>
        <v>0</v>
      </c>
      <c r="YW96" s="56"/>
      <c r="YX96" s="242">
        <f t="shared" si="734"/>
        <v>0</v>
      </c>
      <c r="YY96" s="242">
        <f t="shared" si="735"/>
        <v>0</v>
      </c>
      <c r="YZ96" s="56"/>
      <c r="ZC96" s="55">
        <f t="shared" si="736"/>
        <v>46102</v>
      </c>
      <c r="ZD96" s="56"/>
      <c r="ZE96" s="242">
        <f>SUMPRODUCT(PRODUCE!$B107:$DY107,PRODUCE!$EB$57:$IY$57)</f>
        <v>0</v>
      </c>
      <c r="ZF96" s="56"/>
      <c r="ZG96" s="242">
        <f t="shared" si="737"/>
        <v>0</v>
      </c>
      <c r="ZH96" s="242">
        <f t="shared" si="738"/>
        <v>0</v>
      </c>
      <c r="ZI96" s="56"/>
      <c r="ZL96" s="55">
        <f t="shared" si="739"/>
        <v>46102</v>
      </c>
      <c r="ZM96" s="56"/>
      <c r="ZN96" s="242">
        <f>SUMPRODUCT(PRODUCE!$B107:$DY107,PRODUCE!$EB$57:$IY$57)</f>
        <v>0</v>
      </c>
      <c r="ZO96" s="56"/>
      <c r="ZP96" s="242">
        <f t="shared" si="740"/>
        <v>0</v>
      </c>
      <c r="ZQ96" s="242">
        <f t="shared" si="741"/>
        <v>0</v>
      </c>
      <c r="ZR96" s="56"/>
      <c r="ZU96" s="55">
        <f t="shared" si="742"/>
        <v>46102</v>
      </c>
      <c r="ZV96" s="56"/>
      <c r="ZW96" s="242">
        <f>SUMPRODUCT(PRODUCE!$B107:$DY107,PRODUCE!$EB$57:$IY$57)</f>
        <v>0</v>
      </c>
      <c r="ZX96" s="56"/>
      <c r="ZY96" s="242">
        <f t="shared" si="743"/>
        <v>0</v>
      </c>
      <c r="ZZ96" s="242">
        <f t="shared" si="744"/>
        <v>0</v>
      </c>
      <c r="AAA96" s="56"/>
      <c r="AAD96" s="55">
        <f t="shared" si="745"/>
        <v>46102</v>
      </c>
      <c r="AAE96" s="56"/>
      <c r="AAF96" s="242">
        <f>SUMPRODUCT(PRODUCE!$B107:$DY107,PRODUCE!$EB$57:$IY$57)</f>
        <v>0</v>
      </c>
      <c r="AAG96" s="56"/>
      <c r="AAH96" s="242">
        <f t="shared" si="746"/>
        <v>0</v>
      </c>
      <c r="AAI96" s="242">
        <f t="shared" si="747"/>
        <v>0</v>
      </c>
      <c r="AAJ96" s="56"/>
      <c r="AAM96" s="55">
        <f t="shared" si="748"/>
        <v>46102</v>
      </c>
      <c r="AAN96" s="56"/>
      <c r="AAO96" s="242">
        <f>SUMPRODUCT(PRODUCE!$B107:$DY107,PRODUCE!$EB$57:$IY$57)</f>
        <v>0</v>
      </c>
      <c r="AAP96" s="56"/>
      <c r="AAQ96" s="242">
        <f t="shared" si="749"/>
        <v>0</v>
      </c>
      <c r="AAR96" s="242">
        <f t="shared" si="750"/>
        <v>0</v>
      </c>
      <c r="AAS96" s="56"/>
      <c r="AAV96" s="55">
        <f t="shared" si="751"/>
        <v>46102</v>
      </c>
      <c r="AAW96" s="56"/>
      <c r="AAX96" s="242">
        <f>SUMPRODUCT(PRODUCE!$B107:$DY107,PRODUCE!$EB$57:$IY$57)</f>
        <v>0</v>
      </c>
      <c r="AAY96" s="56"/>
      <c r="AAZ96" s="242">
        <f t="shared" si="752"/>
        <v>0</v>
      </c>
      <c r="ABA96" s="242">
        <f t="shared" si="753"/>
        <v>0</v>
      </c>
      <c r="ABB96" s="56"/>
      <c r="ABE96" s="55">
        <f t="shared" si="754"/>
        <v>46102</v>
      </c>
      <c r="ABF96" s="56"/>
      <c r="ABG96" s="242">
        <f>SUMPRODUCT(PRODUCE!$B107:$DY107,PRODUCE!$EB$57:$IY$57)</f>
        <v>0</v>
      </c>
      <c r="ABH96" s="56"/>
      <c r="ABI96" s="242">
        <f t="shared" si="755"/>
        <v>0</v>
      </c>
      <c r="ABJ96" s="242">
        <f t="shared" si="756"/>
        <v>0</v>
      </c>
      <c r="ABK96" s="56"/>
    </row>
    <row r="97" spans="1:739" s="54" customFormat="1" ht="15" customHeight="1" outlineLevel="1">
      <c r="B97" s="478"/>
      <c r="C97" s="55">
        <v>46103</v>
      </c>
      <c r="D97" s="422"/>
      <c r="E97" s="423">
        <f>SUMPRODUCT(PRODUCE!$B108:$DY108,PRODUCE!$EB$7:$IY$7)</f>
        <v>0</v>
      </c>
      <c r="F97" s="422"/>
      <c r="G97" s="423">
        <f t="shared" si="514"/>
        <v>0</v>
      </c>
      <c r="H97" s="423">
        <f t="shared" si="512"/>
        <v>258879.99999999994</v>
      </c>
      <c r="I97" s="289"/>
      <c r="L97" s="55">
        <f t="shared" si="513"/>
        <v>46103</v>
      </c>
      <c r="M97" s="422"/>
      <c r="N97" s="438">
        <f>SUMPRODUCT(PRODUCE!$B108:$DY108,PRODUCE!$EB$8:$IY$8)</f>
        <v>0</v>
      </c>
      <c r="O97" s="422"/>
      <c r="P97" s="438">
        <f t="shared" si="515"/>
        <v>0</v>
      </c>
      <c r="Q97" s="438">
        <f t="shared" si="516"/>
        <v>110496.60000000008</v>
      </c>
      <c r="R97" s="56"/>
      <c r="U97" s="55">
        <f t="shared" si="517"/>
        <v>46103</v>
      </c>
      <c r="V97" s="422"/>
      <c r="W97" s="440">
        <f>SUMPRODUCT(PRODUCE!$B108:$DY108,PRODUCE!$EB$9:$IY$9)</f>
        <v>0</v>
      </c>
      <c r="X97" s="422"/>
      <c r="Y97" s="440">
        <f t="shared" si="518"/>
        <v>0</v>
      </c>
      <c r="Z97" s="440">
        <f t="shared" si="519"/>
        <v>47285.699999999968</v>
      </c>
      <c r="AA97" s="56"/>
      <c r="AD97" s="55">
        <f t="shared" si="520"/>
        <v>46103</v>
      </c>
      <c r="AE97" s="422"/>
      <c r="AF97" s="442">
        <f>SUMPRODUCT(PRODUCE!$B108:$DY108,PRODUCE!$EB$10:$IY$10)</f>
        <v>0</v>
      </c>
      <c r="AG97" s="422"/>
      <c r="AH97" s="442">
        <f t="shared" si="521"/>
        <v>0</v>
      </c>
      <c r="AI97" s="442">
        <f t="shared" si="522"/>
        <v>43301.200000000019</v>
      </c>
      <c r="AJ97" s="56"/>
      <c r="AM97" s="55">
        <f t="shared" si="523"/>
        <v>46103</v>
      </c>
      <c r="AN97" s="422"/>
      <c r="AO97" s="444">
        <f>SUMPRODUCT(PRODUCE!$B108:$DY108,PRODUCE!$EB$11:$IY$11)</f>
        <v>0</v>
      </c>
      <c r="AP97" s="422"/>
      <c r="AQ97" s="444">
        <f t="shared" si="524"/>
        <v>0</v>
      </c>
      <c r="AR97" s="444">
        <f t="shared" si="525"/>
        <v>0</v>
      </c>
      <c r="AS97" s="56"/>
      <c r="AV97" s="55">
        <f t="shared" si="526"/>
        <v>46103</v>
      </c>
      <c r="AW97" s="422"/>
      <c r="AX97" s="446">
        <f>SUMPRODUCT(PRODUCE!$B108:$DY108,PRODUCE!$EB$12:$IY$12)</f>
        <v>0</v>
      </c>
      <c r="AY97" s="422"/>
      <c r="AZ97" s="446">
        <f t="shared" si="527"/>
        <v>0</v>
      </c>
      <c r="BA97" s="446">
        <f t="shared" si="528"/>
        <v>22268.399999999983</v>
      </c>
      <c r="BB97" s="56"/>
      <c r="BE97" s="55">
        <f t="shared" si="529"/>
        <v>46103</v>
      </c>
      <c r="BF97" s="422"/>
      <c r="BG97" s="448">
        <f>SUMPRODUCT(PRODUCE!$B108:$DY108,PRODUCE!$EB$13:$IY$13)</f>
        <v>0</v>
      </c>
      <c r="BH97" s="422"/>
      <c r="BI97" s="448">
        <f t="shared" si="530"/>
        <v>0</v>
      </c>
      <c r="BJ97" s="448">
        <f t="shared" si="531"/>
        <v>14288.500000000002</v>
      </c>
      <c r="BK97" s="56"/>
      <c r="BN97" s="55">
        <f t="shared" si="532"/>
        <v>46103</v>
      </c>
      <c r="BO97" s="422"/>
      <c r="BP97" s="450">
        <f>SUMPRODUCT(PRODUCE!$B108:$DY108,PRODUCE!$EB$14:$IY$14)</f>
        <v>0</v>
      </c>
      <c r="BQ97" s="422"/>
      <c r="BR97" s="450">
        <f t="shared" si="533"/>
        <v>0</v>
      </c>
      <c r="BS97" s="450">
        <f t="shared" si="534"/>
        <v>0</v>
      </c>
      <c r="BT97" s="56"/>
      <c r="BW97" s="55">
        <f t="shared" si="535"/>
        <v>46103</v>
      </c>
      <c r="BX97" s="56"/>
      <c r="BY97" s="65">
        <f>SUMPRODUCT(PRODUCE!$B108:$DY108,PRODUCE!$EB$15:$IY$15)</f>
        <v>0</v>
      </c>
      <c r="BZ97" s="56"/>
      <c r="CA97" s="65">
        <f t="shared" si="536"/>
        <v>0</v>
      </c>
      <c r="CB97" s="65">
        <f t="shared" si="537"/>
        <v>2829.8</v>
      </c>
      <c r="CC97" s="56"/>
      <c r="CF97" s="55">
        <f t="shared" si="538"/>
        <v>46103</v>
      </c>
      <c r="CG97" s="56"/>
      <c r="CH97" s="66">
        <f>SUMPRODUCT(PRODUCE!$B108:$DY108,PRODUCE!$EB$16:$IY$16)</f>
        <v>0</v>
      </c>
      <c r="CI97" s="56"/>
      <c r="CJ97" s="66">
        <f t="shared" si="539"/>
        <v>0</v>
      </c>
      <c r="CK97" s="66">
        <f t="shared" si="540"/>
        <v>0</v>
      </c>
      <c r="CL97" s="56"/>
      <c r="CO97" s="55">
        <f t="shared" si="541"/>
        <v>46103</v>
      </c>
      <c r="CP97" s="422"/>
      <c r="CQ97" s="470">
        <f>SUMPRODUCT(PRODUCE!$B108:$DY108,PRODUCE!$EB$17:$IY$17)</f>
        <v>0</v>
      </c>
      <c r="CR97" s="422"/>
      <c r="CS97" s="470">
        <f t="shared" si="542"/>
        <v>0</v>
      </c>
      <c r="CT97" s="470">
        <f t="shared" si="543"/>
        <v>0</v>
      </c>
      <c r="CU97" s="56"/>
      <c r="CX97" s="55">
        <f t="shared" si="544"/>
        <v>46103</v>
      </c>
      <c r="CY97" s="56"/>
      <c r="CZ97" s="133">
        <f>SUMPRODUCT(PRODUCE!$B108:$DY108,PRODUCE!$EB$18:$IY$18)</f>
        <v>0</v>
      </c>
      <c r="DA97" s="56"/>
      <c r="DB97" s="133">
        <f t="shared" si="545"/>
        <v>0</v>
      </c>
      <c r="DC97" s="133">
        <f t="shared" si="546"/>
        <v>17440.7</v>
      </c>
      <c r="DD97" s="56"/>
      <c r="DG97" s="55">
        <f t="shared" si="547"/>
        <v>46103</v>
      </c>
      <c r="DH97" s="56"/>
      <c r="DI97" s="147">
        <f>SUMPRODUCT(PRODUCE!$B108:$DY108,PRODUCE!$EB$19:$IY$19)</f>
        <v>0</v>
      </c>
      <c r="DJ97" s="56"/>
      <c r="DK97" s="147">
        <f t="shared" si="548"/>
        <v>0</v>
      </c>
      <c r="DL97" s="147">
        <f t="shared" si="549"/>
        <v>13918.199999999995</v>
      </c>
      <c r="DM97" s="56"/>
      <c r="DP97" s="55">
        <f t="shared" si="550"/>
        <v>46103</v>
      </c>
      <c r="DQ97" s="56"/>
      <c r="DR97" s="57">
        <f>SUMPRODUCT(PRODUCE!$B108:$DY108,PRODUCE!$EB$20:$IY$20)</f>
        <v>0</v>
      </c>
      <c r="DS97" s="56"/>
      <c r="DT97" s="57">
        <f t="shared" si="551"/>
        <v>0</v>
      </c>
      <c r="DU97" s="57">
        <f t="shared" si="552"/>
        <v>7150</v>
      </c>
      <c r="DV97" s="56"/>
      <c r="DY97" s="55">
        <f t="shared" si="553"/>
        <v>46103</v>
      </c>
      <c r="DZ97" s="56"/>
      <c r="EA97" s="157">
        <f>SUMPRODUCT(PRODUCE!$B108:$DY108,PRODUCE!$EB$21:$IY$21)</f>
        <v>0</v>
      </c>
      <c r="EB97" s="56"/>
      <c r="EC97" s="157">
        <f t="shared" si="554"/>
        <v>0</v>
      </c>
      <c r="ED97" s="157">
        <f t="shared" si="555"/>
        <v>2947.3</v>
      </c>
      <c r="EE97" s="56"/>
      <c r="EH97" s="55">
        <f t="shared" si="556"/>
        <v>46103</v>
      </c>
      <c r="EI97" s="56"/>
      <c r="EJ97" s="162">
        <f>SUMPRODUCT(PRODUCE!$B108:$DY108,PRODUCE!$EB$22:$IY$22)</f>
        <v>0</v>
      </c>
      <c r="EK97" s="56"/>
      <c r="EL97" s="162">
        <f t="shared" si="557"/>
        <v>0</v>
      </c>
      <c r="EM97" s="162">
        <f t="shared" si="558"/>
        <v>0</v>
      </c>
      <c r="EN97" s="56"/>
      <c r="EQ97" s="55">
        <f t="shared" si="559"/>
        <v>46103</v>
      </c>
      <c r="ER97" s="56"/>
      <c r="ES97" s="135">
        <f>SUMPRODUCT(PRODUCE!$B108:$DY108,PRODUCE!$EB$23:$IY$23)</f>
        <v>0</v>
      </c>
      <c r="ET97" s="56"/>
      <c r="EU97" s="135">
        <f t="shared" si="560"/>
        <v>0</v>
      </c>
      <c r="EV97" s="135">
        <f t="shared" si="561"/>
        <v>0</v>
      </c>
      <c r="EW97" s="56"/>
      <c r="EZ97" s="55">
        <f t="shared" si="562"/>
        <v>46103</v>
      </c>
      <c r="FA97" s="56"/>
      <c r="FB97" s="175">
        <f>SUMPRODUCT(PRODUCE!$B108:$DY108,PRODUCE!$EB$24:$IY$24)</f>
        <v>0</v>
      </c>
      <c r="FC97" s="56"/>
      <c r="FD97" s="175">
        <f t="shared" si="563"/>
        <v>0</v>
      </c>
      <c r="FE97" s="175">
        <f t="shared" si="564"/>
        <v>0</v>
      </c>
      <c r="FF97" s="56"/>
      <c r="FI97" s="55">
        <f t="shared" si="565"/>
        <v>46103</v>
      </c>
      <c r="FJ97" s="56"/>
      <c r="FK97" s="183">
        <f>SUMPRODUCT(PRODUCE!$B108:$DY108,PRODUCE!$EB$25:$IY$25)</f>
        <v>0</v>
      </c>
      <c r="FL97" s="56"/>
      <c r="FM97" s="183">
        <f t="shared" si="566"/>
        <v>0</v>
      </c>
      <c r="FN97" s="183">
        <f t="shared" si="567"/>
        <v>0</v>
      </c>
      <c r="FO97" s="56"/>
      <c r="FR97" s="55">
        <f t="shared" si="568"/>
        <v>46103</v>
      </c>
      <c r="FS97" s="422"/>
      <c r="FT97" s="452">
        <f>SUMPRODUCT(PRODUCE!$B108:$DY108,PRODUCE!$EB$26:$IY$26)</f>
        <v>0</v>
      </c>
      <c r="FU97" s="422"/>
      <c r="FV97" s="452">
        <f t="shared" si="569"/>
        <v>0</v>
      </c>
      <c r="FW97" s="452">
        <f t="shared" si="570"/>
        <v>3220</v>
      </c>
      <c r="FX97" s="56"/>
      <c r="GA97" s="55">
        <f t="shared" si="571"/>
        <v>46103</v>
      </c>
      <c r="GB97" s="422"/>
      <c r="GC97" s="454">
        <f>SUMPRODUCT(PRODUCE!$B108:$DY108,PRODUCE!$EB$27:$IY$27)</f>
        <v>0</v>
      </c>
      <c r="GD97" s="422"/>
      <c r="GE97" s="454">
        <f t="shared" si="572"/>
        <v>0</v>
      </c>
      <c r="GF97" s="454">
        <f t="shared" si="573"/>
        <v>1280</v>
      </c>
      <c r="GG97" s="56"/>
      <c r="GI97" s="23"/>
      <c r="GJ97" s="55">
        <f t="shared" si="574"/>
        <v>46103</v>
      </c>
      <c r="GK97" s="422"/>
      <c r="GL97" s="456">
        <f>SUMPRODUCT(PRODUCE!$B108:$DY108,PRODUCE!$EB$28:$IY$28)</f>
        <v>0</v>
      </c>
      <c r="GM97" s="422"/>
      <c r="GN97" s="456">
        <f t="shared" si="575"/>
        <v>0</v>
      </c>
      <c r="GO97" s="456">
        <f t="shared" si="576"/>
        <v>5240</v>
      </c>
      <c r="GP97" s="56"/>
      <c r="GS97" s="55">
        <f t="shared" si="577"/>
        <v>46103</v>
      </c>
      <c r="GT97" s="56"/>
      <c r="GU97" s="195">
        <f>SUMPRODUCT(PRODUCE!$B108:$DY108,PRODUCE!$EB$29:$IY$29)</f>
        <v>0</v>
      </c>
      <c r="GV97" s="56"/>
      <c r="GW97" s="195">
        <f t="shared" si="578"/>
        <v>0</v>
      </c>
      <c r="GX97" s="195">
        <f t="shared" si="579"/>
        <v>0</v>
      </c>
      <c r="GY97" s="56"/>
      <c r="HB97" s="55">
        <f t="shared" si="580"/>
        <v>46103</v>
      </c>
      <c r="HC97" s="56"/>
      <c r="HD97" s="191">
        <f>SUMPRODUCT(PRODUCE!$B108:$DY108,PRODUCE!$EB$30:$IY$30)</f>
        <v>0</v>
      </c>
      <c r="HE97" s="56"/>
      <c r="HF97" s="191">
        <f t="shared" si="581"/>
        <v>0</v>
      </c>
      <c r="HG97" s="191">
        <f t="shared" si="582"/>
        <v>0</v>
      </c>
      <c r="HH97" s="56"/>
      <c r="HK97" s="55">
        <f t="shared" si="583"/>
        <v>46103</v>
      </c>
      <c r="HL97" s="56"/>
      <c r="HM97" s="63">
        <f>SUMPRODUCT(PRODUCE!$B108:$DY108,PRODUCE!$EB$31:$IY$31)</f>
        <v>0</v>
      </c>
      <c r="HN97" s="56"/>
      <c r="HO97" s="63">
        <f t="shared" si="584"/>
        <v>0</v>
      </c>
      <c r="HP97" s="63">
        <f t="shared" si="585"/>
        <v>0</v>
      </c>
      <c r="HQ97" s="56"/>
      <c r="HU97" s="55">
        <f t="shared" si="586"/>
        <v>46103</v>
      </c>
      <c r="HV97" s="56"/>
      <c r="HW97" s="242">
        <f>SUMPRODUCT(PRODUCE!$B108:$DY108,PRODUCE!$EB$32:$IY$32)</f>
        <v>0</v>
      </c>
      <c r="HX97" s="56"/>
      <c r="HY97" s="242">
        <f t="shared" si="587"/>
        <v>0</v>
      </c>
      <c r="HZ97" s="242">
        <f t="shared" si="588"/>
        <v>5120</v>
      </c>
      <c r="IA97" s="56"/>
      <c r="ID97" s="55">
        <f t="shared" si="589"/>
        <v>46103</v>
      </c>
      <c r="IE97" s="56"/>
      <c r="IF97" s="242">
        <f>SUMPRODUCT(PRODUCE!$B108:$DY108,PRODUCE!$EB$33:$IY$33)</f>
        <v>0</v>
      </c>
      <c r="IG97" s="56"/>
      <c r="IH97" s="242">
        <f t="shared" si="590"/>
        <v>0</v>
      </c>
      <c r="II97" s="242">
        <f t="shared" si="591"/>
        <v>6540</v>
      </c>
      <c r="IJ97" s="56"/>
      <c r="IM97" s="55">
        <f t="shared" si="592"/>
        <v>46103</v>
      </c>
      <c r="IN97" s="56"/>
      <c r="IO97" s="242">
        <f>SUMPRODUCT(PRODUCE!$B108:$DY108,PRODUCE!$EB$34:$IY$34)</f>
        <v>0</v>
      </c>
      <c r="IP97" s="56"/>
      <c r="IQ97" s="242">
        <f t="shared" si="593"/>
        <v>0</v>
      </c>
      <c r="IR97" s="242">
        <f t="shared" si="594"/>
        <v>11540</v>
      </c>
      <c r="IS97" s="56"/>
      <c r="IV97" s="55">
        <f t="shared" si="595"/>
        <v>46103</v>
      </c>
      <c r="IW97" s="56"/>
      <c r="IX97" s="242">
        <f>SUMPRODUCT(PRODUCE!$B108:$DY108,PRODUCE!$EB$35:$IY$35)</f>
        <v>0</v>
      </c>
      <c r="IY97" s="56"/>
      <c r="IZ97" s="242">
        <f t="shared" si="596"/>
        <v>0</v>
      </c>
      <c r="JA97" s="242">
        <f t="shared" si="597"/>
        <v>15120</v>
      </c>
      <c r="JB97" s="56"/>
      <c r="JE97" s="55">
        <f t="shared" si="598"/>
        <v>46103</v>
      </c>
      <c r="JF97" s="56"/>
      <c r="JG97" s="242">
        <f>SUMPRODUCT(PRODUCE!$B108:$DY108,PRODUCE!$EB$36:$IY$36)</f>
        <v>0</v>
      </c>
      <c r="JH97" s="56"/>
      <c r="JI97" s="242">
        <f t="shared" si="599"/>
        <v>0</v>
      </c>
      <c r="JJ97" s="242">
        <f t="shared" si="600"/>
        <v>5040</v>
      </c>
      <c r="JK97" s="56"/>
      <c r="JN97" s="55">
        <f t="shared" si="601"/>
        <v>46103</v>
      </c>
      <c r="JO97" s="56"/>
      <c r="JP97" s="242">
        <f>SUMPRODUCT(PRODUCE!$B108:$DY108,PRODUCE!$EB$37:$IY$37)</f>
        <v>0</v>
      </c>
      <c r="JQ97" s="56"/>
      <c r="JR97" s="242">
        <f t="shared" si="602"/>
        <v>0</v>
      </c>
      <c r="JS97" s="242">
        <f t="shared" si="603"/>
        <v>9100</v>
      </c>
      <c r="JT97" s="56"/>
      <c r="JW97" s="55">
        <f t="shared" si="604"/>
        <v>46103</v>
      </c>
      <c r="JX97" s="56"/>
      <c r="JY97" s="242">
        <f>SUMPRODUCT(PRODUCE!$B108:$DY108,PRODUCE!$EB$38:$IY$38)</f>
        <v>0</v>
      </c>
      <c r="JZ97" s="56"/>
      <c r="KA97" s="242">
        <f t="shared" si="605"/>
        <v>0</v>
      </c>
      <c r="KB97" s="242">
        <f t="shared" si="606"/>
        <v>5140</v>
      </c>
      <c r="KC97" s="56"/>
      <c r="KF97" s="55">
        <f t="shared" si="607"/>
        <v>46103</v>
      </c>
      <c r="KG97" s="56"/>
      <c r="KH97" s="242">
        <f>SUMPRODUCT(PRODUCE!$B108:$DY108,PRODUCE!$EB$39:$IY$39)</f>
        <v>0</v>
      </c>
      <c r="KI97" s="56"/>
      <c r="KJ97" s="242">
        <f t="shared" si="608"/>
        <v>0</v>
      </c>
      <c r="KK97" s="242">
        <f t="shared" si="609"/>
        <v>9184.5</v>
      </c>
      <c r="KL97" s="56"/>
      <c r="KO97" s="55">
        <f t="shared" si="610"/>
        <v>46103</v>
      </c>
      <c r="KP97" s="56"/>
      <c r="KQ97" s="242">
        <f>SUMPRODUCT(PRODUCE!$B108:$DY108,PRODUCE!$EB$40:$IY$40)</f>
        <v>0</v>
      </c>
      <c r="KR97" s="56"/>
      <c r="KS97" s="242">
        <f t="shared" si="611"/>
        <v>0</v>
      </c>
      <c r="KT97" s="242">
        <f t="shared" si="612"/>
        <v>6993</v>
      </c>
      <c r="KU97" s="56"/>
      <c r="KW97" s="23"/>
      <c r="KX97" s="55">
        <f t="shared" si="613"/>
        <v>46103</v>
      </c>
      <c r="KY97" s="56"/>
      <c r="KZ97" s="242">
        <f>SUMPRODUCT(PRODUCE!$B108:$DY108,PRODUCE!$EB$41:$IY$41)</f>
        <v>0</v>
      </c>
      <c r="LA97" s="56"/>
      <c r="LB97" s="242">
        <f t="shared" si="614"/>
        <v>0</v>
      </c>
      <c r="LC97" s="242">
        <f t="shared" si="615"/>
        <v>0</v>
      </c>
      <c r="LD97" s="56"/>
      <c r="LG97" s="55">
        <f t="shared" si="616"/>
        <v>46103</v>
      </c>
      <c r="LH97" s="56"/>
      <c r="LI97" s="242">
        <f>SUMPRODUCT(PRODUCE!$B108:$DY108,PRODUCE!$EB$42:$IY$42)</f>
        <v>0</v>
      </c>
      <c r="LJ97" s="56"/>
      <c r="LK97" s="242">
        <f t="shared" si="617"/>
        <v>0</v>
      </c>
      <c r="LL97" s="242">
        <f t="shared" si="618"/>
        <v>0</v>
      </c>
      <c r="LM97" s="56"/>
      <c r="LP97" s="55">
        <f t="shared" si="619"/>
        <v>46103</v>
      </c>
      <c r="LQ97" s="56"/>
      <c r="LR97" s="242">
        <f>SUMPRODUCT(PRODUCE!$B112:$DY112,PRODUCE!$EB$43:$IY$43)</f>
        <v>0</v>
      </c>
      <c r="LS97" s="56"/>
      <c r="LT97" s="242">
        <f t="shared" si="620"/>
        <v>0</v>
      </c>
      <c r="LU97" s="242">
        <f t="shared" si="621"/>
        <v>0</v>
      </c>
      <c r="LV97" s="56"/>
      <c r="LY97" s="55">
        <f t="shared" si="622"/>
        <v>46103</v>
      </c>
      <c r="LZ97" s="56"/>
      <c r="MA97" s="242">
        <f>SUMPRODUCT(PRODUCE!$B108:$DY108,PRODUCE!$EB$44:$IY$44)</f>
        <v>0</v>
      </c>
      <c r="MB97" s="56"/>
      <c r="MC97" s="242">
        <f t="shared" si="623"/>
        <v>0</v>
      </c>
      <c r="MD97" s="242">
        <f t="shared" si="624"/>
        <v>0</v>
      </c>
      <c r="ME97" s="56"/>
      <c r="MH97" s="55">
        <f t="shared" si="625"/>
        <v>46103</v>
      </c>
      <c r="MI97" s="56"/>
      <c r="MJ97" s="242">
        <f>SUMPRODUCT(PRODUCE!$B108:$DY108,PRODUCE!$EB$45:$IY$45)</f>
        <v>0</v>
      </c>
      <c r="MK97" s="56"/>
      <c r="ML97" s="242">
        <f t="shared" si="626"/>
        <v>0</v>
      </c>
      <c r="MM97" s="242">
        <f t="shared" si="627"/>
        <v>0</v>
      </c>
      <c r="MN97" s="56"/>
      <c r="MQ97" s="55">
        <f t="shared" si="628"/>
        <v>46103</v>
      </c>
      <c r="MR97" s="56"/>
      <c r="MS97" s="242">
        <f>SUMPRODUCT(PRODUCE!$B108:$DY108,PRODUCE!$EB$46:$IY$46)</f>
        <v>0</v>
      </c>
      <c r="MT97" s="56"/>
      <c r="MU97" s="242">
        <f t="shared" si="629"/>
        <v>0</v>
      </c>
      <c r="MV97" s="242">
        <f t="shared" si="630"/>
        <v>4623</v>
      </c>
      <c r="MW97" s="56"/>
      <c r="MZ97" s="55">
        <f t="shared" si="631"/>
        <v>46103</v>
      </c>
      <c r="NA97" s="56"/>
      <c r="NB97" s="242">
        <f>SUMPRODUCT(PRODUCE!$B108:$DY108,PRODUCE!$EB$47:$IY$47)</f>
        <v>0</v>
      </c>
      <c r="NC97" s="56"/>
      <c r="ND97" s="242">
        <f t="shared" si="632"/>
        <v>0</v>
      </c>
      <c r="NE97" s="242">
        <f t="shared" si="633"/>
        <v>0</v>
      </c>
      <c r="NF97" s="56"/>
      <c r="NI97" s="55">
        <f t="shared" si="634"/>
        <v>46103</v>
      </c>
      <c r="NJ97" s="56"/>
      <c r="NK97" s="242">
        <f>SUMPRODUCT(PRODUCE!$B108:$DY108,PRODUCE!$EB$48:$IY$48)</f>
        <v>0</v>
      </c>
      <c r="NL97" s="56"/>
      <c r="NM97" s="242">
        <f t="shared" si="635"/>
        <v>0</v>
      </c>
      <c r="NN97" s="242">
        <f t="shared" si="636"/>
        <v>465</v>
      </c>
      <c r="NO97" s="56"/>
      <c r="NR97" s="55">
        <f t="shared" si="637"/>
        <v>46103</v>
      </c>
      <c r="NS97" s="56"/>
      <c r="NT97" s="242">
        <f>SUMPRODUCT(PRODUCE!$B108:$DY108,PRODUCE!$EB$49:$IY$49)</f>
        <v>0</v>
      </c>
      <c r="NU97" s="56"/>
      <c r="NV97" s="242">
        <f t="shared" si="638"/>
        <v>0</v>
      </c>
      <c r="NW97" s="242">
        <f t="shared" si="639"/>
        <v>1288.9000000000001</v>
      </c>
      <c r="NX97" s="56"/>
      <c r="OA97" s="55">
        <f t="shared" si="640"/>
        <v>46103</v>
      </c>
      <c r="OB97" s="56"/>
      <c r="OC97" s="242">
        <f>SUMPRODUCT(PRODUCE!$B108:$DY108,PRODUCE!$EB$50:$IY$50)</f>
        <v>0</v>
      </c>
      <c r="OD97" s="56"/>
      <c r="OE97" s="242">
        <f t="shared" si="641"/>
        <v>0</v>
      </c>
      <c r="OF97" s="242">
        <f t="shared" si="642"/>
        <v>1680.5</v>
      </c>
      <c r="OG97" s="56"/>
      <c r="OJ97" s="55">
        <f t="shared" si="643"/>
        <v>46103</v>
      </c>
      <c r="OK97" s="56"/>
      <c r="OL97" s="242">
        <f>SUMPRODUCT(PRODUCE!$B108:$DY108,PRODUCE!$EB$51:$IY$51)</f>
        <v>0</v>
      </c>
      <c r="OM97" s="56"/>
      <c r="ON97" s="242">
        <f t="shared" si="644"/>
        <v>0</v>
      </c>
      <c r="OO97" s="242">
        <f t="shared" si="645"/>
        <v>0</v>
      </c>
      <c r="OP97" s="56"/>
      <c r="OS97" s="55">
        <f t="shared" si="646"/>
        <v>46103</v>
      </c>
      <c r="OT97" s="56"/>
      <c r="OU97" s="242">
        <f>SUMPRODUCT(PRODUCE!$B108:$DY108,PRODUCE!$EB$52:$IY$52)</f>
        <v>0</v>
      </c>
      <c r="OV97" s="56"/>
      <c r="OW97" s="242">
        <f t="shared" si="647"/>
        <v>0</v>
      </c>
      <c r="OX97" s="242">
        <f t="shared" si="648"/>
        <v>1000</v>
      </c>
      <c r="OY97" s="56"/>
      <c r="PB97" s="55">
        <f t="shared" si="649"/>
        <v>46103</v>
      </c>
      <c r="PC97" s="56"/>
      <c r="PD97" s="242">
        <f>SUMPRODUCT(PRODUCE!$B108:$DY108,PRODUCE!$EB$53:$IY$53)</f>
        <v>0</v>
      </c>
      <c r="PE97" s="56"/>
      <c r="PF97" s="242">
        <f t="shared" si="650"/>
        <v>0</v>
      </c>
      <c r="PG97" s="242">
        <f t="shared" si="651"/>
        <v>0</v>
      </c>
      <c r="PH97" s="56"/>
      <c r="PK97" s="55">
        <f t="shared" si="652"/>
        <v>46103</v>
      </c>
      <c r="PL97" s="56"/>
      <c r="PM97" s="242">
        <f>SUMPRODUCT(PRODUCE!$B108:$DY108,PRODUCE!$EB$54:$IY$54)</f>
        <v>0</v>
      </c>
      <c r="PN97" s="56"/>
      <c r="PO97" s="242">
        <f t="shared" si="653"/>
        <v>0</v>
      </c>
      <c r="PP97" s="242">
        <f t="shared" si="654"/>
        <v>100</v>
      </c>
      <c r="PQ97" s="56"/>
      <c r="PT97" s="55">
        <f t="shared" si="655"/>
        <v>46103</v>
      </c>
      <c r="PU97" s="56"/>
      <c r="PV97" s="242">
        <f>SUMPRODUCT(PRODUCE!$B108:$DY108,PRODUCE!$EB$55:$IY$55)</f>
        <v>0</v>
      </c>
      <c r="PW97" s="56"/>
      <c r="PX97" s="242">
        <f t="shared" si="656"/>
        <v>0</v>
      </c>
      <c r="PY97" s="242">
        <f t="shared" si="657"/>
        <v>13.960000000000036</v>
      </c>
      <c r="PZ97" s="56"/>
      <c r="QC97" s="55">
        <f t="shared" si="658"/>
        <v>46103</v>
      </c>
      <c r="QD97" s="56"/>
      <c r="QE97" s="242">
        <f>SUMPRODUCT(PRODUCE!$B108:$DY108,PRODUCE!$EB$56:$IY$56)</f>
        <v>0</v>
      </c>
      <c r="QF97" s="56"/>
      <c r="QG97" s="242">
        <f t="shared" si="659"/>
        <v>0</v>
      </c>
      <c r="QH97" s="242">
        <f t="shared" si="660"/>
        <v>1212</v>
      </c>
      <c r="QI97" s="56"/>
      <c r="QL97" s="55">
        <f t="shared" si="661"/>
        <v>46103</v>
      </c>
      <c r="QM97" s="56"/>
      <c r="QN97" s="242">
        <f>SUMPRODUCT(PRODUCE!$B108:$DY108,PRODUCE!$EB$57:$IY$57)</f>
        <v>0</v>
      </c>
      <c r="QO97" s="56"/>
      <c r="QP97" s="242">
        <f t="shared" si="662"/>
        <v>0</v>
      </c>
      <c r="QQ97" s="242">
        <f t="shared" si="663"/>
        <v>0</v>
      </c>
      <c r="QR97" s="56"/>
      <c r="QU97" s="55">
        <f t="shared" si="664"/>
        <v>46103</v>
      </c>
      <c r="QV97" s="56"/>
      <c r="QW97" s="242">
        <f>SUMPRODUCT(PRODUCE!$B108:$DY108,PRODUCE!$EB$57:$IY$57)</f>
        <v>0</v>
      </c>
      <c r="QX97" s="56"/>
      <c r="QY97" s="242">
        <f t="shared" si="665"/>
        <v>0</v>
      </c>
      <c r="QZ97" s="242">
        <f t="shared" si="666"/>
        <v>207.6</v>
      </c>
      <c r="RA97" s="56"/>
      <c r="RD97" s="55">
        <f t="shared" si="667"/>
        <v>46103</v>
      </c>
      <c r="RE97" s="56"/>
      <c r="RF97" s="242">
        <f>SUMPRODUCT(PRODUCE!$B108:$DY108,PRODUCE!$EB$58:$IY$58)</f>
        <v>0</v>
      </c>
      <c r="RG97" s="56"/>
      <c r="RH97" s="242">
        <f t="shared" si="668"/>
        <v>0</v>
      </c>
      <c r="RI97" s="242">
        <f t="shared" si="669"/>
        <v>197.04000000000002</v>
      </c>
      <c r="RJ97" s="56"/>
      <c r="RM97" s="55">
        <f t="shared" si="670"/>
        <v>46103</v>
      </c>
      <c r="RN97" s="56"/>
      <c r="RO97" s="242">
        <f>SUMPRODUCT(PRODUCE!$B108:$DY108,PRODUCE!$EB$57:$IY$57)</f>
        <v>0</v>
      </c>
      <c r="RP97" s="56"/>
      <c r="RQ97" s="242">
        <f t="shared" si="671"/>
        <v>0</v>
      </c>
      <c r="RR97" s="242">
        <f t="shared" si="672"/>
        <v>46.8</v>
      </c>
      <c r="RS97" s="56"/>
      <c r="RV97" s="55">
        <f t="shared" si="673"/>
        <v>46103</v>
      </c>
      <c r="RW97" s="56"/>
      <c r="RX97" s="242">
        <f>SUMPRODUCT(PRODUCE!$B108:$DY108,PRODUCE!$EB$57:$IY$57)</f>
        <v>0</v>
      </c>
      <c r="RY97" s="56"/>
      <c r="RZ97" s="242">
        <f t="shared" si="674"/>
        <v>0</v>
      </c>
      <c r="SA97" s="242">
        <f t="shared" si="675"/>
        <v>0</v>
      </c>
      <c r="SB97" s="56"/>
      <c r="SE97" s="55">
        <f t="shared" si="676"/>
        <v>46103</v>
      </c>
      <c r="SF97" s="56"/>
      <c r="SG97" s="242">
        <f>SUMPRODUCT(PRODUCE!$B108:$DY108,PRODUCE!$EB$57:$IY$57)</f>
        <v>0</v>
      </c>
      <c r="SH97" s="56"/>
      <c r="SI97" s="242">
        <f t="shared" si="677"/>
        <v>0</v>
      </c>
      <c r="SJ97" s="242">
        <f t="shared" si="678"/>
        <v>0</v>
      </c>
      <c r="SK97" s="56"/>
      <c r="SN97" s="55">
        <f t="shared" si="679"/>
        <v>46103</v>
      </c>
      <c r="SO97" s="56"/>
      <c r="SP97" s="242">
        <f>SUMPRODUCT(PRODUCE!$B108:$DY108,PRODUCE!$EB$57:$IY$57)</f>
        <v>0</v>
      </c>
      <c r="SQ97" s="56"/>
      <c r="SR97" s="242">
        <f t="shared" si="680"/>
        <v>0</v>
      </c>
      <c r="SS97" s="242">
        <f t="shared" si="681"/>
        <v>0</v>
      </c>
      <c r="ST97" s="56"/>
      <c r="SW97" s="55">
        <f t="shared" si="682"/>
        <v>46103</v>
      </c>
      <c r="SX97" s="56"/>
      <c r="SY97" s="242">
        <f>SUMPRODUCT(PRODUCE!$B108:$DY108,PRODUCE!$EB$57:$IY$57)</f>
        <v>0</v>
      </c>
      <c r="SZ97" s="56"/>
      <c r="TA97" s="242">
        <f t="shared" si="683"/>
        <v>0</v>
      </c>
      <c r="TB97" s="242">
        <f t="shared" si="684"/>
        <v>0</v>
      </c>
      <c r="TC97" s="56"/>
      <c r="TF97" s="55">
        <f t="shared" si="685"/>
        <v>46103</v>
      </c>
      <c r="TG97" s="56"/>
      <c r="TH97" s="242">
        <f>SUMPRODUCT(PRODUCE!$B108:$DY108,PRODUCE!$EB$57:$IY$57)</f>
        <v>0</v>
      </c>
      <c r="TI97" s="56"/>
      <c r="TJ97" s="242">
        <f t="shared" si="686"/>
        <v>0</v>
      </c>
      <c r="TK97" s="242">
        <f t="shared" si="687"/>
        <v>0</v>
      </c>
      <c r="TL97" s="56"/>
      <c r="TO97" s="55">
        <f t="shared" si="688"/>
        <v>46103</v>
      </c>
      <c r="TP97" s="56"/>
      <c r="TQ97" s="242">
        <f>SUMPRODUCT(PRODUCE!$B108:$DY108,PRODUCE!$EB$57:$IY$57)</f>
        <v>0</v>
      </c>
      <c r="TR97" s="56"/>
      <c r="TS97" s="242">
        <f t="shared" si="689"/>
        <v>0</v>
      </c>
      <c r="TT97" s="242">
        <f t="shared" si="690"/>
        <v>0</v>
      </c>
      <c r="TU97" s="56"/>
      <c r="TX97" s="55">
        <f t="shared" si="691"/>
        <v>46103</v>
      </c>
      <c r="TY97" s="56"/>
      <c r="TZ97" s="242">
        <f>SUMPRODUCT(PRODUCE!$B108:$DY108,PRODUCE!$EB$57:$IY$57)</f>
        <v>0</v>
      </c>
      <c r="UA97" s="56"/>
      <c r="UB97" s="242">
        <f t="shared" si="692"/>
        <v>0</v>
      </c>
      <c r="UC97" s="242">
        <f t="shared" si="693"/>
        <v>0</v>
      </c>
      <c r="UD97" s="56"/>
      <c r="UG97" s="55">
        <f t="shared" si="694"/>
        <v>46103</v>
      </c>
      <c r="UH97" s="56"/>
      <c r="UI97" s="242">
        <f>SUMPRODUCT(PRODUCE!$B108:$DY108,PRODUCE!$EB$57:$IY$57)</f>
        <v>0</v>
      </c>
      <c r="UJ97" s="56"/>
      <c r="UK97" s="242">
        <f t="shared" si="695"/>
        <v>0</v>
      </c>
      <c r="UL97" s="242">
        <f t="shared" si="696"/>
        <v>0</v>
      </c>
      <c r="UM97" s="56"/>
      <c r="UP97" s="55">
        <f t="shared" si="697"/>
        <v>46103</v>
      </c>
      <c r="UQ97" s="56"/>
      <c r="UR97" s="242">
        <f>SUMPRODUCT(PRODUCE!$B108:$DY108,PRODUCE!$EB$57:$IY$57)</f>
        <v>0</v>
      </c>
      <c r="US97" s="56"/>
      <c r="UT97" s="242">
        <f t="shared" si="698"/>
        <v>0</v>
      </c>
      <c r="UU97" s="242">
        <f t="shared" si="699"/>
        <v>0</v>
      </c>
      <c r="UV97" s="56"/>
      <c r="UY97" s="55">
        <f t="shared" si="700"/>
        <v>46103</v>
      </c>
      <c r="UZ97" s="56"/>
      <c r="VA97" s="242">
        <f>SUMPRODUCT(PRODUCE!$B108:$DY108,PRODUCE!$EB$57:$IY$57)</f>
        <v>0</v>
      </c>
      <c r="VB97" s="56"/>
      <c r="VC97" s="242">
        <f t="shared" si="701"/>
        <v>0</v>
      </c>
      <c r="VD97" s="242">
        <f t="shared" si="702"/>
        <v>41.600000000000023</v>
      </c>
      <c r="VE97" s="56"/>
      <c r="VH97" s="55">
        <f t="shared" si="703"/>
        <v>46103</v>
      </c>
      <c r="VI97" s="56"/>
      <c r="VJ97" s="242">
        <f>SUMPRODUCT(PRODUCE!$B108:$DY108,PRODUCE!$EB$57:$IY$57)</f>
        <v>0</v>
      </c>
      <c r="VK97" s="56"/>
      <c r="VL97" s="242">
        <f t="shared" si="704"/>
        <v>0</v>
      </c>
      <c r="VM97" s="242">
        <f t="shared" si="705"/>
        <v>0</v>
      </c>
      <c r="VN97" s="56"/>
      <c r="VQ97" s="55">
        <f t="shared" si="706"/>
        <v>46103</v>
      </c>
      <c r="VR97" s="56"/>
      <c r="VS97" s="242">
        <f>SUMPRODUCT(PRODUCE!$B108:$DY108,PRODUCE!$EB$57:$IY$57)</f>
        <v>0</v>
      </c>
      <c r="VT97" s="56"/>
      <c r="VU97" s="242">
        <f t="shared" si="707"/>
        <v>0</v>
      </c>
      <c r="VV97" s="242">
        <f t="shared" si="708"/>
        <v>0</v>
      </c>
      <c r="VW97" s="56"/>
      <c r="VZ97" s="55">
        <f t="shared" si="709"/>
        <v>46103</v>
      </c>
      <c r="WA97" s="56"/>
      <c r="WB97" s="242">
        <f>SUMPRODUCT(PRODUCE!$B108:$DY108,PRODUCE!$EB$57:$IY$57)</f>
        <v>0</v>
      </c>
      <c r="WC97" s="56"/>
      <c r="WD97" s="242">
        <f t="shared" si="710"/>
        <v>0</v>
      </c>
      <c r="WE97" s="242">
        <f t="shared" si="711"/>
        <v>0</v>
      </c>
      <c r="WF97" s="56"/>
      <c r="WI97" s="55">
        <f t="shared" si="712"/>
        <v>46103</v>
      </c>
      <c r="WJ97" s="56"/>
      <c r="WK97" s="242">
        <f>SUMPRODUCT(PRODUCE!$B108:$DY108,PRODUCE!$EB$57:$IY$57)</f>
        <v>0</v>
      </c>
      <c r="WL97" s="56"/>
      <c r="WM97" s="242">
        <f t="shared" si="713"/>
        <v>0</v>
      </c>
      <c r="WN97" s="242">
        <f t="shared" si="714"/>
        <v>5180</v>
      </c>
      <c r="WO97" s="56"/>
      <c r="WR97" s="55">
        <f t="shared" si="715"/>
        <v>46103</v>
      </c>
      <c r="WS97" s="56"/>
      <c r="WT97" s="242">
        <f>SUMPRODUCT(PRODUCE!$B108:$DY108,PRODUCE!$EB$57:$IY$57)</f>
        <v>0</v>
      </c>
      <c r="WU97" s="56"/>
      <c r="WV97" s="242">
        <f t="shared" si="716"/>
        <v>0</v>
      </c>
      <c r="WW97" s="242">
        <f t="shared" si="717"/>
        <v>3265</v>
      </c>
      <c r="WX97" s="56"/>
      <c r="XA97" s="55">
        <f t="shared" si="718"/>
        <v>46103</v>
      </c>
      <c r="XB97" s="56"/>
      <c r="XC97" s="242">
        <f>SUMPRODUCT(PRODUCE!$B108:$DY108,PRODUCE!$EB$57:$IY$57)</f>
        <v>0</v>
      </c>
      <c r="XD97" s="56"/>
      <c r="XE97" s="242">
        <f t="shared" si="719"/>
        <v>0</v>
      </c>
      <c r="XF97" s="242">
        <f t="shared" si="720"/>
        <v>7142</v>
      </c>
      <c r="XG97" s="56"/>
      <c r="XJ97" s="55">
        <f t="shared" si="721"/>
        <v>46103</v>
      </c>
      <c r="XK97" s="56"/>
      <c r="XL97" s="242">
        <f>SUMPRODUCT(PRODUCE!$B108:$DY108,PRODUCE!$EB$57:$IY$57)</f>
        <v>0</v>
      </c>
      <c r="XM97" s="56"/>
      <c r="XN97" s="242">
        <f t="shared" si="722"/>
        <v>0</v>
      </c>
      <c r="XO97" s="242">
        <f t="shared" si="723"/>
        <v>7549</v>
      </c>
      <c r="XP97" s="56"/>
      <c r="XS97" s="55">
        <f t="shared" si="724"/>
        <v>46103</v>
      </c>
      <c r="XT97" s="56"/>
      <c r="XU97" s="242">
        <f>SUMPRODUCT(PRODUCE!$B108:$DY108,PRODUCE!$EB$57:$IY$57)</f>
        <v>0</v>
      </c>
      <c r="XV97" s="56"/>
      <c r="XW97" s="242">
        <f t="shared" si="725"/>
        <v>0</v>
      </c>
      <c r="XX97" s="242">
        <f t="shared" si="726"/>
        <v>1901</v>
      </c>
      <c r="XY97" s="56"/>
      <c r="YB97" s="55">
        <f t="shared" si="727"/>
        <v>46103</v>
      </c>
      <c r="YC97" s="56"/>
      <c r="YD97" s="242">
        <f>SUMPRODUCT(PRODUCE!$B108:$DY108,PRODUCE!$EB$57:$IY$57)</f>
        <v>0</v>
      </c>
      <c r="YE97" s="56"/>
      <c r="YF97" s="242">
        <f t="shared" si="728"/>
        <v>0</v>
      </c>
      <c r="YG97" s="242">
        <f t="shared" si="729"/>
        <v>6459</v>
      </c>
      <c r="YH97" s="56"/>
      <c r="YK97" s="55">
        <f t="shared" si="730"/>
        <v>46103</v>
      </c>
      <c r="YL97" s="56"/>
      <c r="YM97" s="242">
        <f>SUMPRODUCT(PRODUCE!$B108:$DY108,PRODUCE!$EB$57:$IY$57)</f>
        <v>0</v>
      </c>
      <c r="YN97" s="56"/>
      <c r="YO97" s="242">
        <f t="shared" si="731"/>
        <v>0</v>
      </c>
      <c r="YP97" s="242">
        <f t="shared" si="732"/>
        <v>0</v>
      </c>
      <c r="YQ97" s="56"/>
      <c r="YT97" s="55">
        <f t="shared" si="733"/>
        <v>46103</v>
      </c>
      <c r="YU97" s="56"/>
      <c r="YV97" s="242">
        <f>SUMPRODUCT(PRODUCE!$B108:$DY108,PRODUCE!$EB$57:$IY$57)</f>
        <v>0</v>
      </c>
      <c r="YW97" s="56"/>
      <c r="YX97" s="242">
        <f t="shared" si="734"/>
        <v>0</v>
      </c>
      <c r="YY97" s="242">
        <f t="shared" si="735"/>
        <v>0</v>
      </c>
      <c r="YZ97" s="56"/>
      <c r="ZC97" s="55">
        <f t="shared" si="736"/>
        <v>46103</v>
      </c>
      <c r="ZD97" s="56"/>
      <c r="ZE97" s="242">
        <f>SUMPRODUCT(PRODUCE!$B108:$DY108,PRODUCE!$EB$57:$IY$57)</f>
        <v>0</v>
      </c>
      <c r="ZF97" s="56"/>
      <c r="ZG97" s="242">
        <f t="shared" si="737"/>
        <v>0</v>
      </c>
      <c r="ZH97" s="242">
        <f t="shared" si="738"/>
        <v>0</v>
      </c>
      <c r="ZI97" s="56"/>
      <c r="ZL97" s="55">
        <f t="shared" si="739"/>
        <v>46103</v>
      </c>
      <c r="ZM97" s="56"/>
      <c r="ZN97" s="242">
        <f>SUMPRODUCT(PRODUCE!$B108:$DY108,PRODUCE!$EB$57:$IY$57)</f>
        <v>0</v>
      </c>
      <c r="ZO97" s="56"/>
      <c r="ZP97" s="242">
        <f t="shared" si="740"/>
        <v>0</v>
      </c>
      <c r="ZQ97" s="242">
        <f t="shared" si="741"/>
        <v>0</v>
      </c>
      <c r="ZR97" s="56"/>
      <c r="ZU97" s="55">
        <f t="shared" si="742"/>
        <v>46103</v>
      </c>
      <c r="ZV97" s="56"/>
      <c r="ZW97" s="242">
        <f>SUMPRODUCT(PRODUCE!$B108:$DY108,PRODUCE!$EB$57:$IY$57)</f>
        <v>0</v>
      </c>
      <c r="ZX97" s="56"/>
      <c r="ZY97" s="242">
        <f t="shared" si="743"/>
        <v>0</v>
      </c>
      <c r="ZZ97" s="242">
        <f t="shared" si="744"/>
        <v>0</v>
      </c>
      <c r="AAA97" s="56"/>
      <c r="AAD97" s="55">
        <f t="shared" si="745"/>
        <v>46103</v>
      </c>
      <c r="AAE97" s="56"/>
      <c r="AAF97" s="242">
        <f>SUMPRODUCT(PRODUCE!$B108:$DY108,PRODUCE!$EB$57:$IY$57)</f>
        <v>0</v>
      </c>
      <c r="AAG97" s="56"/>
      <c r="AAH97" s="242">
        <f t="shared" si="746"/>
        <v>0</v>
      </c>
      <c r="AAI97" s="242">
        <f t="shared" si="747"/>
        <v>0</v>
      </c>
      <c r="AAJ97" s="56"/>
      <c r="AAM97" s="55">
        <f t="shared" si="748"/>
        <v>46103</v>
      </c>
      <c r="AAN97" s="56"/>
      <c r="AAO97" s="242">
        <f>SUMPRODUCT(PRODUCE!$B108:$DY108,PRODUCE!$EB$57:$IY$57)</f>
        <v>0</v>
      </c>
      <c r="AAP97" s="56"/>
      <c r="AAQ97" s="242">
        <f t="shared" si="749"/>
        <v>0</v>
      </c>
      <c r="AAR97" s="242">
        <f t="shared" si="750"/>
        <v>0</v>
      </c>
      <c r="AAS97" s="56"/>
      <c r="AAV97" s="55">
        <f t="shared" si="751"/>
        <v>46103</v>
      </c>
      <c r="AAW97" s="56"/>
      <c r="AAX97" s="242">
        <f>SUMPRODUCT(PRODUCE!$B108:$DY108,PRODUCE!$EB$57:$IY$57)</f>
        <v>0</v>
      </c>
      <c r="AAY97" s="56"/>
      <c r="AAZ97" s="242">
        <f t="shared" si="752"/>
        <v>0</v>
      </c>
      <c r="ABA97" s="242">
        <f t="shared" si="753"/>
        <v>0</v>
      </c>
      <c r="ABB97" s="56"/>
      <c r="ABE97" s="55">
        <f t="shared" si="754"/>
        <v>46103</v>
      </c>
      <c r="ABF97" s="56"/>
      <c r="ABG97" s="242">
        <f>SUMPRODUCT(PRODUCE!$B108:$DY108,PRODUCE!$EB$57:$IY$57)</f>
        <v>0</v>
      </c>
      <c r="ABH97" s="56"/>
      <c r="ABI97" s="242">
        <f t="shared" si="755"/>
        <v>0</v>
      </c>
      <c r="ABJ97" s="242">
        <f t="shared" si="756"/>
        <v>0</v>
      </c>
      <c r="ABK97" s="56"/>
    </row>
    <row r="98" spans="1:739" s="54" customFormat="1" ht="15" customHeight="1" outlineLevel="1">
      <c r="B98" s="478"/>
      <c r="C98" s="55">
        <v>46104</v>
      </c>
      <c r="D98" s="422"/>
      <c r="E98" s="423">
        <f>SUMPRODUCT(PRODUCE!$B109:$DY109,PRODUCE!$EB$7:$IY$7)</f>
        <v>0</v>
      </c>
      <c r="F98" s="422"/>
      <c r="G98" s="423">
        <f t="shared" si="514"/>
        <v>0</v>
      </c>
      <c r="H98" s="423">
        <f t="shared" si="512"/>
        <v>258879.99999999994</v>
      </c>
      <c r="I98" s="289"/>
      <c r="L98" s="55">
        <f t="shared" si="513"/>
        <v>46104</v>
      </c>
      <c r="M98" s="422"/>
      <c r="N98" s="438">
        <f>SUMPRODUCT(PRODUCE!$B109:$DY109,PRODUCE!$EB$8:$IY$8)</f>
        <v>0</v>
      </c>
      <c r="O98" s="422"/>
      <c r="P98" s="438">
        <f t="shared" si="515"/>
        <v>0</v>
      </c>
      <c r="Q98" s="438">
        <f t="shared" si="516"/>
        <v>110496.60000000008</v>
      </c>
      <c r="R98" s="56"/>
      <c r="U98" s="55">
        <f t="shared" si="517"/>
        <v>46104</v>
      </c>
      <c r="V98" s="422"/>
      <c r="W98" s="440">
        <f>SUMPRODUCT(PRODUCE!$B109:$DY109,PRODUCE!$EB$9:$IY$9)</f>
        <v>0</v>
      </c>
      <c r="X98" s="422"/>
      <c r="Y98" s="440">
        <f t="shared" si="518"/>
        <v>0</v>
      </c>
      <c r="Z98" s="440">
        <f t="shared" si="519"/>
        <v>47285.699999999968</v>
      </c>
      <c r="AA98" s="56"/>
      <c r="AD98" s="55">
        <f t="shared" si="520"/>
        <v>46104</v>
      </c>
      <c r="AE98" s="422"/>
      <c r="AF98" s="442">
        <f>SUMPRODUCT(PRODUCE!$B109:$DY109,PRODUCE!$EB$10:$IY$10)</f>
        <v>0</v>
      </c>
      <c r="AG98" s="422"/>
      <c r="AH98" s="442">
        <f t="shared" si="521"/>
        <v>0</v>
      </c>
      <c r="AI98" s="442">
        <f t="shared" si="522"/>
        <v>43301.200000000019</v>
      </c>
      <c r="AJ98" s="56"/>
      <c r="AM98" s="55">
        <f t="shared" si="523"/>
        <v>46104</v>
      </c>
      <c r="AN98" s="422"/>
      <c r="AO98" s="444">
        <f>SUMPRODUCT(PRODUCE!$B109:$DY109,PRODUCE!$EB$11:$IY$11)</f>
        <v>0</v>
      </c>
      <c r="AP98" s="422"/>
      <c r="AQ98" s="444">
        <f t="shared" si="524"/>
        <v>0</v>
      </c>
      <c r="AR98" s="444">
        <f t="shared" si="525"/>
        <v>0</v>
      </c>
      <c r="AS98" s="56"/>
      <c r="AV98" s="55">
        <f t="shared" si="526"/>
        <v>46104</v>
      </c>
      <c r="AW98" s="422"/>
      <c r="AX98" s="446">
        <f>SUMPRODUCT(PRODUCE!$B109:$DY109,PRODUCE!$EB$12:$IY$12)</f>
        <v>0</v>
      </c>
      <c r="AY98" s="422"/>
      <c r="AZ98" s="446">
        <f t="shared" si="527"/>
        <v>0</v>
      </c>
      <c r="BA98" s="446">
        <f t="shared" si="528"/>
        <v>22268.399999999983</v>
      </c>
      <c r="BB98" s="56"/>
      <c r="BE98" s="55">
        <f t="shared" si="529"/>
        <v>46104</v>
      </c>
      <c r="BF98" s="422"/>
      <c r="BG98" s="448">
        <f>SUMPRODUCT(PRODUCE!$B109:$DY109,PRODUCE!$EB$13:$IY$13)</f>
        <v>0</v>
      </c>
      <c r="BH98" s="422"/>
      <c r="BI98" s="448">
        <f t="shared" si="530"/>
        <v>0</v>
      </c>
      <c r="BJ98" s="448">
        <f t="shared" si="531"/>
        <v>14288.500000000002</v>
      </c>
      <c r="BK98" s="56"/>
      <c r="BN98" s="55">
        <f t="shared" si="532"/>
        <v>46104</v>
      </c>
      <c r="BO98" s="422"/>
      <c r="BP98" s="450">
        <f>SUMPRODUCT(PRODUCE!$B109:$DY109,PRODUCE!$EB$14:$IY$14)</f>
        <v>0</v>
      </c>
      <c r="BQ98" s="422"/>
      <c r="BR98" s="450">
        <f t="shared" si="533"/>
        <v>0</v>
      </c>
      <c r="BS98" s="450">
        <f t="shared" si="534"/>
        <v>0</v>
      </c>
      <c r="BT98" s="56"/>
      <c r="BW98" s="55">
        <f t="shared" si="535"/>
        <v>46104</v>
      </c>
      <c r="BX98" s="56"/>
      <c r="BY98" s="65">
        <f>SUMPRODUCT(PRODUCE!$B109:$DY109,PRODUCE!$EB$15:$IY$15)</f>
        <v>0</v>
      </c>
      <c r="BZ98" s="56"/>
      <c r="CA98" s="65">
        <f t="shared" si="536"/>
        <v>0</v>
      </c>
      <c r="CB98" s="65">
        <f t="shared" si="537"/>
        <v>2829.8</v>
      </c>
      <c r="CC98" s="56"/>
      <c r="CF98" s="55">
        <f t="shared" si="538"/>
        <v>46104</v>
      </c>
      <c r="CG98" s="56"/>
      <c r="CH98" s="66">
        <f>SUMPRODUCT(PRODUCE!$B109:$DY109,PRODUCE!$EB$16:$IY$16)</f>
        <v>0</v>
      </c>
      <c r="CI98" s="56"/>
      <c r="CJ98" s="66">
        <f t="shared" si="539"/>
        <v>0</v>
      </c>
      <c r="CK98" s="66">
        <f t="shared" si="540"/>
        <v>0</v>
      </c>
      <c r="CL98" s="56"/>
      <c r="CO98" s="55">
        <f t="shared" si="541"/>
        <v>46104</v>
      </c>
      <c r="CP98" s="422"/>
      <c r="CQ98" s="470">
        <f>SUMPRODUCT(PRODUCE!$B109:$DY109,PRODUCE!$EB$17:$IY$17)</f>
        <v>0</v>
      </c>
      <c r="CR98" s="422"/>
      <c r="CS98" s="470">
        <f t="shared" si="542"/>
        <v>0</v>
      </c>
      <c r="CT98" s="470">
        <f t="shared" si="543"/>
        <v>0</v>
      </c>
      <c r="CU98" s="56"/>
      <c r="CX98" s="55">
        <f t="shared" si="544"/>
        <v>46104</v>
      </c>
      <c r="CY98" s="56"/>
      <c r="CZ98" s="133">
        <f>SUMPRODUCT(PRODUCE!$B109:$DY109,PRODUCE!$EB$18:$IY$18)</f>
        <v>0</v>
      </c>
      <c r="DA98" s="56"/>
      <c r="DB98" s="133">
        <f t="shared" si="545"/>
        <v>0</v>
      </c>
      <c r="DC98" s="133">
        <f t="shared" si="546"/>
        <v>17440.7</v>
      </c>
      <c r="DD98" s="56"/>
      <c r="DG98" s="55">
        <f t="shared" si="547"/>
        <v>46104</v>
      </c>
      <c r="DH98" s="56"/>
      <c r="DI98" s="147">
        <f>SUMPRODUCT(PRODUCE!$B109:$DY109,PRODUCE!$EB$19:$IY$19)</f>
        <v>0</v>
      </c>
      <c r="DJ98" s="56"/>
      <c r="DK98" s="147">
        <f t="shared" si="548"/>
        <v>0</v>
      </c>
      <c r="DL98" s="147">
        <f t="shared" si="549"/>
        <v>13918.199999999995</v>
      </c>
      <c r="DM98" s="56"/>
      <c r="DP98" s="55">
        <f t="shared" si="550"/>
        <v>46104</v>
      </c>
      <c r="DQ98" s="56"/>
      <c r="DR98" s="57">
        <f>SUMPRODUCT(PRODUCE!$B109:$DY109,PRODUCE!$EB$20:$IY$20)</f>
        <v>0</v>
      </c>
      <c r="DS98" s="56"/>
      <c r="DT98" s="57">
        <f t="shared" si="551"/>
        <v>0</v>
      </c>
      <c r="DU98" s="57">
        <f t="shared" si="552"/>
        <v>7150</v>
      </c>
      <c r="DV98" s="56"/>
      <c r="DY98" s="55">
        <f t="shared" si="553"/>
        <v>46104</v>
      </c>
      <c r="DZ98" s="56"/>
      <c r="EA98" s="157">
        <f>SUMPRODUCT(PRODUCE!$B109:$DY109,PRODUCE!$EB$21:$IY$21)</f>
        <v>0</v>
      </c>
      <c r="EB98" s="56"/>
      <c r="EC98" s="157">
        <f t="shared" si="554"/>
        <v>0</v>
      </c>
      <c r="ED98" s="157">
        <f t="shared" si="555"/>
        <v>2947.3</v>
      </c>
      <c r="EE98" s="56"/>
      <c r="EH98" s="55">
        <f t="shared" si="556"/>
        <v>46104</v>
      </c>
      <c r="EI98" s="56"/>
      <c r="EJ98" s="162">
        <f>SUMPRODUCT(PRODUCE!$B109:$DY109,PRODUCE!$EB$22:$IY$22)</f>
        <v>0</v>
      </c>
      <c r="EK98" s="56"/>
      <c r="EL98" s="162">
        <f t="shared" si="557"/>
        <v>0</v>
      </c>
      <c r="EM98" s="162">
        <f t="shared" si="558"/>
        <v>0</v>
      </c>
      <c r="EN98" s="56"/>
      <c r="EQ98" s="55">
        <f t="shared" si="559"/>
        <v>46104</v>
      </c>
      <c r="ER98" s="56"/>
      <c r="ES98" s="135">
        <f>SUMPRODUCT(PRODUCE!$B109:$DY109,PRODUCE!$EB$23:$IY$23)</f>
        <v>0</v>
      </c>
      <c r="ET98" s="56"/>
      <c r="EU98" s="135">
        <f t="shared" si="560"/>
        <v>0</v>
      </c>
      <c r="EV98" s="135">
        <f t="shared" si="561"/>
        <v>0</v>
      </c>
      <c r="EW98" s="56"/>
      <c r="EZ98" s="55">
        <f t="shared" si="562"/>
        <v>46104</v>
      </c>
      <c r="FA98" s="56"/>
      <c r="FB98" s="175">
        <f>SUMPRODUCT(PRODUCE!$B109:$DY109,PRODUCE!$EB$24:$IY$24)</f>
        <v>0</v>
      </c>
      <c r="FC98" s="56"/>
      <c r="FD98" s="175">
        <f t="shared" si="563"/>
        <v>0</v>
      </c>
      <c r="FE98" s="175">
        <f t="shared" si="564"/>
        <v>0</v>
      </c>
      <c r="FF98" s="56"/>
      <c r="FI98" s="55">
        <f t="shared" si="565"/>
        <v>46104</v>
      </c>
      <c r="FJ98" s="56"/>
      <c r="FK98" s="183">
        <f>SUMPRODUCT(PRODUCE!$B109:$DY109,PRODUCE!$EB$25:$IY$25)</f>
        <v>0</v>
      </c>
      <c r="FL98" s="56"/>
      <c r="FM98" s="183">
        <f t="shared" si="566"/>
        <v>0</v>
      </c>
      <c r="FN98" s="183">
        <f t="shared" si="567"/>
        <v>0</v>
      </c>
      <c r="FO98" s="56"/>
      <c r="FR98" s="55">
        <f t="shared" si="568"/>
        <v>46104</v>
      </c>
      <c r="FS98" s="422"/>
      <c r="FT98" s="452">
        <f>SUMPRODUCT(PRODUCE!$B109:$DY109,PRODUCE!$EB$26:$IY$26)</f>
        <v>0</v>
      </c>
      <c r="FU98" s="422"/>
      <c r="FV98" s="452">
        <f t="shared" si="569"/>
        <v>0</v>
      </c>
      <c r="FW98" s="452">
        <f t="shared" si="570"/>
        <v>3220</v>
      </c>
      <c r="FX98" s="56"/>
      <c r="GA98" s="55">
        <f t="shared" si="571"/>
        <v>46104</v>
      </c>
      <c r="GB98" s="422"/>
      <c r="GC98" s="454">
        <f>SUMPRODUCT(PRODUCE!$B109:$DY109,PRODUCE!$EB$27:$IY$27)</f>
        <v>0</v>
      </c>
      <c r="GD98" s="422"/>
      <c r="GE98" s="454">
        <f t="shared" si="572"/>
        <v>0</v>
      </c>
      <c r="GF98" s="454">
        <f t="shared" si="573"/>
        <v>1280</v>
      </c>
      <c r="GG98" s="56"/>
      <c r="GI98" s="23"/>
      <c r="GJ98" s="55">
        <f t="shared" si="574"/>
        <v>46104</v>
      </c>
      <c r="GK98" s="422"/>
      <c r="GL98" s="456">
        <f>SUMPRODUCT(PRODUCE!$B109:$DY109,PRODUCE!$EB$28:$IY$28)</f>
        <v>0</v>
      </c>
      <c r="GM98" s="422"/>
      <c r="GN98" s="456">
        <f t="shared" si="575"/>
        <v>0</v>
      </c>
      <c r="GO98" s="456">
        <f t="shared" si="576"/>
        <v>5240</v>
      </c>
      <c r="GP98" s="56"/>
      <c r="GS98" s="55">
        <f t="shared" si="577"/>
        <v>46104</v>
      </c>
      <c r="GT98" s="56"/>
      <c r="GU98" s="195">
        <f>SUMPRODUCT(PRODUCE!$B109:$DY109,PRODUCE!$EB$29:$IY$29)</f>
        <v>0</v>
      </c>
      <c r="GV98" s="56"/>
      <c r="GW98" s="195">
        <f t="shared" si="578"/>
        <v>0</v>
      </c>
      <c r="GX98" s="195">
        <f t="shared" si="579"/>
        <v>0</v>
      </c>
      <c r="GY98" s="56"/>
      <c r="HB98" s="55">
        <f t="shared" si="580"/>
        <v>46104</v>
      </c>
      <c r="HC98" s="56"/>
      <c r="HD98" s="191">
        <f>SUMPRODUCT(PRODUCE!$B109:$DY109,PRODUCE!$EB$30:$IY$30)</f>
        <v>0</v>
      </c>
      <c r="HE98" s="56"/>
      <c r="HF98" s="191">
        <f t="shared" si="581"/>
        <v>0</v>
      </c>
      <c r="HG98" s="191">
        <f t="shared" si="582"/>
        <v>0</v>
      </c>
      <c r="HH98" s="56"/>
      <c r="HK98" s="55">
        <f t="shared" si="583"/>
        <v>46104</v>
      </c>
      <c r="HL98" s="56"/>
      <c r="HM98" s="63">
        <f>SUMPRODUCT(PRODUCE!$B109:$DY109,PRODUCE!$EB$31:$IY$31)</f>
        <v>0</v>
      </c>
      <c r="HN98" s="56"/>
      <c r="HO98" s="63">
        <f t="shared" si="584"/>
        <v>0</v>
      </c>
      <c r="HP98" s="63">
        <f t="shared" si="585"/>
        <v>0</v>
      </c>
      <c r="HQ98" s="56"/>
      <c r="HU98" s="55">
        <f t="shared" si="586"/>
        <v>46104</v>
      </c>
      <c r="HV98" s="56"/>
      <c r="HW98" s="242">
        <f>SUMPRODUCT(PRODUCE!$B109:$DY109,PRODUCE!$EB$32:$IY$32)</f>
        <v>0</v>
      </c>
      <c r="HX98" s="56"/>
      <c r="HY98" s="242">
        <f t="shared" si="587"/>
        <v>0</v>
      </c>
      <c r="HZ98" s="242">
        <f t="shared" si="588"/>
        <v>5120</v>
      </c>
      <c r="IA98" s="56"/>
      <c r="ID98" s="55">
        <f t="shared" si="589"/>
        <v>46104</v>
      </c>
      <c r="IE98" s="56"/>
      <c r="IF98" s="242">
        <f>SUMPRODUCT(PRODUCE!$B109:$DY109,PRODUCE!$EB$33:$IY$33)</f>
        <v>0</v>
      </c>
      <c r="IG98" s="56"/>
      <c r="IH98" s="242">
        <f t="shared" si="590"/>
        <v>0</v>
      </c>
      <c r="II98" s="242">
        <f t="shared" si="591"/>
        <v>6540</v>
      </c>
      <c r="IJ98" s="56"/>
      <c r="IM98" s="55">
        <f t="shared" si="592"/>
        <v>46104</v>
      </c>
      <c r="IN98" s="56"/>
      <c r="IO98" s="242">
        <f>SUMPRODUCT(PRODUCE!$B109:$DY109,PRODUCE!$EB$34:$IY$34)</f>
        <v>0</v>
      </c>
      <c r="IP98" s="56"/>
      <c r="IQ98" s="242">
        <f t="shared" si="593"/>
        <v>0</v>
      </c>
      <c r="IR98" s="242">
        <f t="shared" si="594"/>
        <v>11540</v>
      </c>
      <c r="IS98" s="56"/>
      <c r="IV98" s="55">
        <f t="shared" si="595"/>
        <v>46104</v>
      </c>
      <c r="IW98" s="56"/>
      <c r="IX98" s="242">
        <f>SUMPRODUCT(PRODUCE!$B109:$DY109,PRODUCE!$EB$35:$IY$35)</f>
        <v>0</v>
      </c>
      <c r="IY98" s="56"/>
      <c r="IZ98" s="242">
        <f t="shared" si="596"/>
        <v>0</v>
      </c>
      <c r="JA98" s="242">
        <f t="shared" si="597"/>
        <v>15120</v>
      </c>
      <c r="JB98" s="56"/>
      <c r="JE98" s="55">
        <f t="shared" si="598"/>
        <v>46104</v>
      </c>
      <c r="JF98" s="56"/>
      <c r="JG98" s="242">
        <f>SUMPRODUCT(PRODUCE!$B109:$DY109,PRODUCE!$EB$36:$IY$36)</f>
        <v>0</v>
      </c>
      <c r="JH98" s="56"/>
      <c r="JI98" s="242">
        <f t="shared" si="599"/>
        <v>0</v>
      </c>
      <c r="JJ98" s="242">
        <f t="shared" si="600"/>
        <v>5040</v>
      </c>
      <c r="JK98" s="56"/>
      <c r="JN98" s="55">
        <f t="shared" si="601"/>
        <v>46104</v>
      </c>
      <c r="JO98" s="56"/>
      <c r="JP98" s="242">
        <f>SUMPRODUCT(PRODUCE!$B109:$DY109,PRODUCE!$EB$37:$IY$37)</f>
        <v>0</v>
      </c>
      <c r="JQ98" s="56"/>
      <c r="JR98" s="242">
        <f t="shared" si="602"/>
        <v>0</v>
      </c>
      <c r="JS98" s="242">
        <f t="shared" si="603"/>
        <v>9100</v>
      </c>
      <c r="JT98" s="56"/>
      <c r="JW98" s="55">
        <f t="shared" si="604"/>
        <v>46104</v>
      </c>
      <c r="JX98" s="56"/>
      <c r="JY98" s="242">
        <f>SUMPRODUCT(PRODUCE!$B109:$DY109,PRODUCE!$EB$38:$IY$38)</f>
        <v>0</v>
      </c>
      <c r="JZ98" s="56"/>
      <c r="KA98" s="242">
        <f t="shared" si="605"/>
        <v>0</v>
      </c>
      <c r="KB98" s="242">
        <f t="shared" si="606"/>
        <v>5140</v>
      </c>
      <c r="KC98" s="56"/>
      <c r="KF98" s="55">
        <f t="shared" si="607"/>
        <v>46104</v>
      </c>
      <c r="KG98" s="56"/>
      <c r="KH98" s="242">
        <f>SUMPRODUCT(PRODUCE!$B109:$DY109,PRODUCE!$EB$39:$IY$39)</f>
        <v>0</v>
      </c>
      <c r="KI98" s="56"/>
      <c r="KJ98" s="242">
        <f t="shared" si="608"/>
        <v>0</v>
      </c>
      <c r="KK98" s="242">
        <f t="shared" si="609"/>
        <v>9184.5</v>
      </c>
      <c r="KL98" s="56"/>
      <c r="KO98" s="55">
        <f t="shared" si="610"/>
        <v>46104</v>
      </c>
      <c r="KP98" s="56"/>
      <c r="KQ98" s="242">
        <f>SUMPRODUCT(PRODUCE!$B109:$DY109,PRODUCE!$EB$40:$IY$40)</f>
        <v>0</v>
      </c>
      <c r="KR98" s="56"/>
      <c r="KS98" s="242">
        <f t="shared" si="611"/>
        <v>0</v>
      </c>
      <c r="KT98" s="242">
        <f t="shared" si="612"/>
        <v>6993</v>
      </c>
      <c r="KU98" s="56"/>
      <c r="KW98" s="23"/>
      <c r="KX98" s="55">
        <f t="shared" si="613"/>
        <v>46104</v>
      </c>
      <c r="KY98" s="56"/>
      <c r="KZ98" s="242">
        <f>SUMPRODUCT(PRODUCE!$B109:$DY109,PRODUCE!$EB$41:$IY$41)</f>
        <v>0</v>
      </c>
      <c r="LA98" s="56"/>
      <c r="LB98" s="242">
        <f t="shared" si="614"/>
        <v>0</v>
      </c>
      <c r="LC98" s="242">
        <f t="shared" si="615"/>
        <v>0</v>
      </c>
      <c r="LD98" s="56"/>
      <c r="LG98" s="55">
        <f t="shared" si="616"/>
        <v>46104</v>
      </c>
      <c r="LH98" s="56"/>
      <c r="LI98" s="242">
        <f>SUMPRODUCT(PRODUCE!$B109:$DY109,PRODUCE!$EB$42:$IY$42)</f>
        <v>0</v>
      </c>
      <c r="LJ98" s="56"/>
      <c r="LK98" s="242">
        <f t="shared" si="617"/>
        <v>0</v>
      </c>
      <c r="LL98" s="242">
        <f t="shared" si="618"/>
        <v>0</v>
      </c>
      <c r="LM98" s="56"/>
      <c r="LP98" s="55">
        <f t="shared" si="619"/>
        <v>46104</v>
      </c>
      <c r="LQ98" s="56"/>
      <c r="LR98" s="242">
        <f>SUMPRODUCT(PRODUCE!$B113:$DY113,PRODUCE!$EB$43:$IY$43)</f>
        <v>0</v>
      </c>
      <c r="LS98" s="56"/>
      <c r="LT98" s="242">
        <f t="shared" si="620"/>
        <v>0</v>
      </c>
      <c r="LU98" s="242">
        <f t="shared" si="621"/>
        <v>0</v>
      </c>
      <c r="LV98" s="56"/>
      <c r="LY98" s="55">
        <f t="shared" si="622"/>
        <v>46104</v>
      </c>
      <c r="LZ98" s="56"/>
      <c r="MA98" s="242">
        <f>SUMPRODUCT(PRODUCE!$B109:$DY109,PRODUCE!$EB$44:$IY$44)</f>
        <v>0</v>
      </c>
      <c r="MB98" s="56"/>
      <c r="MC98" s="242">
        <f t="shared" si="623"/>
        <v>0</v>
      </c>
      <c r="MD98" s="242">
        <f t="shared" si="624"/>
        <v>0</v>
      </c>
      <c r="ME98" s="56"/>
      <c r="MH98" s="55">
        <f t="shared" si="625"/>
        <v>46104</v>
      </c>
      <c r="MI98" s="56"/>
      <c r="MJ98" s="242">
        <f>SUMPRODUCT(PRODUCE!$B109:$DY109,PRODUCE!$EB$45:$IY$45)</f>
        <v>0</v>
      </c>
      <c r="MK98" s="56"/>
      <c r="ML98" s="242">
        <f t="shared" si="626"/>
        <v>0</v>
      </c>
      <c r="MM98" s="242">
        <f t="shared" si="627"/>
        <v>0</v>
      </c>
      <c r="MN98" s="56"/>
      <c r="MQ98" s="55">
        <f t="shared" si="628"/>
        <v>46104</v>
      </c>
      <c r="MR98" s="56"/>
      <c r="MS98" s="242">
        <f>SUMPRODUCT(PRODUCE!$B109:$DY109,PRODUCE!$EB$46:$IY$46)</f>
        <v>0</v>
      </c>
      <c r="MT98" s="56"/>
      <c r="MU98" s="242">
        <f t="shared" si="629"/>
        <v>0</v>
      </c>
      <c r="MV98" s="242">
        <f t="shared" si="630"/>
        <v>4623</v>
      </c>
      <c r="MW98" s="56"/>
      <c r="MZ98" s="55">
        <f t="shared" si="631"/>
        <v>46104</v>
      </c>
      <c r="NA98" s="56"/>
      <c r="NB98" s="242">
        <f>SUMPRODUCT(PRODUCE!$B109:$DY109,PRODUCE!$EB$47:$IY$47)</f>
        <v>0</v>
      </c>
      <c r="NC98" s="56"/>
      <c r="ND98" s="242">
        <f t="shared" si="632"/>
        <v>0</v>
      </c>
      <c r="NE98" s="242">
        <f t="shared" si="633"/>
        <v>0</v>
      </c>
      <c r="NF98" s="56"/>
      <c r="NI98" s="55">
        <f t="shared" si="634"/>
        <v>46104</v>
      </c>
      <c r="NJ98" s="56"/>
      <c r="NK98" s="242">
        <f>SUMPRODUCT(PRODUCE!$B109:$DY109,PRODUCE!$EB$48:$IY$48)</f>
        <v>0</v>
      </c>
      <c r="NL98" s="56"/>
      <c r="NM98" s="242">
        <f t="shared" si="635"/>
        <v>0</v>
      </c>
      <c r="NN98" s="242">
        <f t="shared" si="636"/>
        <v>465</v>
      </c>
      <c r="NO98" s="56"/>
      <c r="NR98" s="55">
        <f t="shared" si="637"/>
        <v>46104</v>
      </c>
      <c r="NS98" s="56"/>
      <c r="NT98" s="242">
        <f>SUMPRODUCT(PRODUCE!$B109:$DY109,PRODUCE!$EB$49:$IY$49)</f>
        <v>0</v>
      </c>
      <c r="NU98" s="56"/>
      <c r="NV98" s="242">
        <f t="shared" si="638"/>
        <v>0</v>
      </c>
      <c r="NW98" s="242">
        <f t="shared" si="639"/>
        <v>1288.9000000000001</v>
      </c>
      <c r="NX98" s="56"/>
      <c r="OA98" s="55">
        <f t="shared" si="640"/>
        <v>46104</v>
      </c>
      <c r="OB98" s="56"/>
      <c r="OC98" s="242">
        <f>SUMPRODUCT(PRODUCE!$B109:$DY109,PRODUCE!$EB$50:$IY$50)</f>
        <v>0</v>
      </c>
      <c r="OD98" s="56"/>
      <c r="OE98" s="242">
        <f t="shared" si="641"/>
        <v>0</v>
      </c>
      <c r="OF98" s="242">
        <f t="shared" si="642"/>
        <v>1680.5</v>
      </c>
      <c r="OG98" s="56"/>
      <c r="OJ98" s="55">
        <f t="shared" si="643"/>
        <v>46104</v>
      </c>
      <c r="OK98" s="56"/>
      <c r="OL98" s="242">
        <f>SUMPRODUCT(PRODUCE!$B109:$DY109,PRODUCE!$EB$51:$IY$51)</f>
        <v>0</v>
      </c>
      <c r="OM98" s="56"/>
      <c r="ON98" s="242">
        <f t="shared" si="644"/>
        <v>0</v>
      </c>
      <c r="OO98" s="242">
        <f t="shared" si="645"/>
        <v>0</v>
      </c>
      <c r="OP98" s="56"/>
      <c r="OS98" s="55">
        <f t="shared" si="646"/>
        <v>46104</v>
      </c>
      <c r="OT98" s="56"/>
      <c r="OU98" s="242">
        <f>SUMPRODUCT(PRODUCE!$B109:$DY109,PRODUCE!$EB$52:$IY$52)</f>
        <v>0</v>
      </c>
      <c r="OV98" s="56"/>
      <c r="OW98" s="242">
        <f t="shared" si="647"/>
        <v>0</v>
      </c>
      <c r="OX98" s="242">
        <f t="shared" si="648"/>
        <v>1000</v>
      </c>
      <c r="OY98" s="56"/>
      <c r="PB98" s="55">
        <f t="shared" si="649"/>
        <v>46104</v>
      </c>
      <c r="PC98" s="56"/>
      <c r="PD98" s="242">
        <f>SUMPRODUCT(PRODUCE!$B109:$DY109,PRODUCE!$EB$53:$IY$53)</f>
        <v>0</v>
      </c>
      <c r="PE98" s="56"/>
      <c r="PF98" s="242">
        <f t="shared" si="650"/>
        <v>0</v>
      </c>
      <c r="PG98" s="242">
        <f t="shared" si="651"/>
        <v>0</v>
      </c>
      <c r="PH98" s="56"/>
      <c r="PK98" s="55">
        <f t="shared" si="652"/>
        <v>46104</v>
      </c>
      <c r="PL98" s="56"/>
      <c r="PM98" s="242">
        <f>SUMPRODUCT(PRODUCE!$B109:$DY109,PRODUCE!$EB$54:$IY$54)</f>
        <v>0</v>
      </c>
      <c r="PN98" s="56"/>
      <c r="PO98" s="242">
        <f t="shared" si="653"/>
        <v>0</v>
      </c>
      <c r="PP98" s="242">
        <f t="shared" si="654"/>
        <v>100</v>
      </c>
      <c r="PQ98" s="56"/>
      <c r="PT98" s="55">
        <f t="shared" si="655"/>
        <v>46104</v>
      </c>
      <c r="PU98" s="56"/>
      <c r="PV98" s="242">
        <f>SUMPRODUCT(PRODUCE!$B109:$DY109,PRODUCE!$EB$55:$IY$55)</f>
        <v>0</v>
      </c>
      <c r="PW98" s="56"/>
      <c r="PX98" s="242">
        <f t="shared" si="656"/>
        <v>0</v>
      </c>
      <c r="PY98" s="242">
        <f t="shared" si="657"/>
        <v>13.960000000000036</v>
      </c>
      <c r="PZ98" s="56"/>
      <c r="QC98" s="55">
        <f t="shared" si="658"/>
        <v>46104</v>
      </c>
      <c r="QD98" s="56"/>
      <c r="QE98" s="242">
        <f>SUMPRODUCT(PRODUCE!$B109:$DY109,PRODUCE!$EB$56:$IY$56)</f>
        <v>0</v>
      </c>
      <c r="QF98" s="56"/>
      <c r="QG98" s="242">
        <f t="shared" si="659"/>
        <v>0</v>
      </c>
      <c r="QH98" s="242">
        <f t="shared" si="660"/>
        <v>1212</v>
      </c>
      <c r="QI98" s="56"/>
      <c r="QL98" s="55">
        <f t="shared" si="661"/>
        <v>46104</v>
      </c>
      <c r="QM98" s="56"/>
      <c r="QN98" s="242">
        <f>SUMPRODUCT(PRODUCE!$B109:$DY109,PRODUCE!$EB$57:$IY$57)</f>
        <v>0</v>
      </c>
      <c r="QO98" s="56"/>
      <c r="QP98" s="242">
        <f t="shared" si="662"/>
        <v>0</v>
      </c>
      <c r="QQ98" s="242">
        <f t="shared" si="663"/>
        <v>0</v>
      </c>
      <c r="QR98" s="56"/>
      <c r="QU98" s="55">
        <f t="shared" si="664"/>
        <v>46104</v>
      </c>
      <c r="QV98" s="56"/>
      <c r="QW98" s="242">
        <f>SUMPRODUCT(PRODUCE!$B109:$DY109,PRODUCE!$EB$57:$IY$57)</f>
        <v>0</v>
      </c>
      <c r="QX98" s="56"/>
      <c r="QY98" s="242">
        <f t="shared" si="665"/>
        <v>0</v>
      </c>
      <c r="QZ98" s="242">
        <f t="shared" si="666"/>
        <v>207.6</v>
      </c>
      <c r="RA98" s="56"/>
      <c r="RD98" s="55">
        <f t="shared" si="667"/>
        <v>46104</v>
      </c>
      <c r="RE98" s="56"/>
      <c r="RF98" s="242">
        <f>SUMPRODUCT(PRODUCE!$B109:$DY109,PRODUCE!$EB$58:$IY$58)</f>
        <v>0</v>
      </c>
      <c r="RG98" s="56"/>
      <c r="RH98" s="242">
        <f t="shared" si="668"/>
        <v>0</v>
      </c>
      <c r="RI98" s="242">
        <f t="shared" si="669"/>
        <v>197.04000000000002</v>
      </c>
      <c r="RJ98" s="56"/>
      <c r="RM98" s="55">
        <f t="shared" si="670"/>
        <v>46104</v>
      </c>
      <c r="RN98" s="56"/>
      <c r="RO98" s="242">
        <f>SUMPRODUCT(PRODUCE!$B109:$DY109,PRODUCE!$EB$57:$IY$57)</f>
        <v>0</v>
      </c>
      <c r="RP98" s="56"/>
      <c r="RQ98" s="242">
        <f t="shared" si="671"/>
        <v>0</v>
      </c>
      <c r="RR98" s="242">
        <f t="shared" si="672"/>
        <v>46.8</v>
      </c>
      <c r="RS98" s="56"/>
      <c r="RV98" s="55">
        <f t="shared" si="673"/>
        <v>46104</v>
      </c>
      <c r="RW98" s="56"/>
      <c r="RX98" s="242">
        <f>SUMPRODUCT(PRODUCE!$B109:$DY109,PRODUCE!$EB$57:$IY$57)</f>
        <v>0</v>
      </c>
      <c r="RY98" s="56"/>
      <c r="RZ98" s="242">
        <f t="shared" si="674"/>
        <v>0</v>
      </c>
      <c r="SA98" s="242">
        <f t="shared" si="675"/>
        <v>0</v>
      </c>
      <c r="SB98" s="56"/>
      <c r="SE98" s="55">
        <f t="shared" si="676"/>
        <v>46104</v>
      </c>
      <c r="SF98" s="56"/>
      <c r="SG98" s="242">
        <f>SUMPRODUCT(PRODUCE!$B109:$DY109,PRODUCE!$EB$57:$IY$57)</f>
        <v>0</v>
      </c>
      <c r="SH98" s="56"/>
      <c r="SI98" s="242">
        <f t="shared" si="677"/>
        <v>0</v>
      </c>
      <c r="SJ98" s="242">
        <f t="shared" si="678"/>
        <v>0</v>
      </c>
      <c r="SK98" s="56"/>
      <c r="SN98" s="55">
        <f t="shared" si="679"/>
        <v>46104</v>
      </c>
      <c r="SO98" s="56"/>
      <c r="SP98" s="242">
        <f>SUMPRODUCT(PRODUCE!$B109:$DY109,PRODUCE!$EB$57:$IY$57)</f>
        <v>0</v>
      </c>
      <c r="SQ98" s="56"/>
      <c r="SR98" s="242">
        <f t="shared" si="680"/>
        <v>0</v>
      </c>
      <c r="SS98" s="242">
        <f t="shared" si="681"/>
        <v>0</v>
      </c>
      <c r="ST98" s="56"/>
      <c r="SW98" s="55">
        <f t="shared" si="682"/>
        <v>46104</v>
      </c>
      <c r="SX98" s="56"/>
      <c r="SY98" s="242">
        <f>SUMPRODUCT(PRODUCE!$B109:$DY109,PRODUCE!$EB$57:$IY$57)</f>
        <v>0</v>
      </c>
      <c r="SZ98" s="56"/>
      <c r="TA98" s="242">
        <f t="shared" si="683"/>
        <v>0</v>
      </c>
      <c r="TB98" s="242">
        <f t="shared" si="684"/>
        <v>0</v>
      </c>
      <c r="TC98" s="56"/>
      <c r="TF98" s="55">
        <f t="shared" si="685"/>
        <v>46104</v>
      </c>
      <c r="TG98" s="56"/>
      <c r="TH98" s="242">
        <f>SUMPRODUCT(PRODUCE!$B109:$DY109,PRODUCE!$EB$57:$IY$57)</f>
        <v>0</v>
      </c>
      <c r="TI98" s="56"/>
      <c r="TJ98" s="242">
        <f t="shared" si="686"/>
        <v>0</v>
      </c>
      <c r="TK98" s="242">
        <f t="shared" si="687"/>
        <v>0</v>
      </c>
      <c r="TL98" s="56"/>
      <c r="TO98" s="55">
        <f t="shared" si="688"/>
        <v>46104</v>
      </c>
      <c r="TP98" s="56"/>
      <c r="TQ98" s="242">
        <f>SUMPRODUCT(PRODUCE!$B109:$DY109,PRODUCE!$EB$57:$IY$57)</f>
        <v>0</v>
      </c>
      <c r="TR98" s="56"/>
      <c r="TS98" s="242">
        <f t="shared" si="689"/>
        <v>0</v>
      </c>
      <c r="TT98" s="242">
        <f t="shared" si="690"/>
        <v>0</v>
      </c>
      <c r="TU98" s="56"/>
      <c r="TX98" s="55">
        <f t="shared" si="691"/>
        <v>46104</v>
      </c>
      <c r="TY98" s="56"/>
      <c r="TZ98" s="242">
        <f>SUMPRODUCT(PRODUCE!$B109:$DY109,PRODUCE!$EB$57:$IY$57)</f>
        <v>0</v>
      </c>
      <c r="UA98" s="56"/>
      <c r="UB98" s="242">
        <f t="shared" si="692"/>
        <v>0</v>
      </c>
      <c r="UC98" s="242">
        <f t="shared" si="693"/>
        <v>0</v>
      </c>
      <c r="UD98" s="56"/>
      <c r="UG98" s="55">
        <f t="shared" si="694"/>
        <v>46104</v>
      </c>
      <c r="UH98" s="56"/>
      <c r="UI98" s="242">
        <f>SUMPRODUCT(PRODUCE!$B109:$DY109,PRODUCE!$EB$57:$IY$57)</f>
        <v>0</v>
      </c>
      <c r="UJ98" s="56"/>
      <c r="UK98" s="242">
        <f t="shared" si="695"/>
        <v>0</v>
      </c>
      <c r="UL98" s="242">
        <f t="shared" si="696"/>
        <v>0</v>
      </c>
      <c r="UM98" s="56"/>
      <c r="UP98" s="55">
        <f t="shared" si="697"/>
        <v>46104</v>
      </c>
      <c r="UQ98" s="56"/>
      <c r="UR98" s="242">
        <f>SUMPRODUCT(PRODUCE!$B109:$DY109,PRODUCE!$EB$57:$IY$57)</f>
        <v>0</v>
      </c>
      <c r="US98" s="56"/>
      <c r="UT98" s="242">
        <f t="shared" si="698"/>
        <v>0</v>
      </c>
      <c r="UU98" s="242">
        <f t="shared" si="699"/>
        <v>0</v>
      </c>
      <c r="UV98" s="56"/>
      <c r="UY98" s="55">
        <f t="shared" si="700"/>
        <v>46104</v>
      </c>
      <c r="UZ98" s="56"/>
      <c r="VA98" s="242">
        <f>SUMPRODUCT(PRODUCE!$B109:$DY109,PRODUCE!$EB$57:$IY$57)</f>
        <v>0</v>
      </c>
      <c r="VB98" s="56"/>
      <c r="VC98" s="242">
        <f t="shared" si="701"/>
        <v>0</v>
      </c>
      <c r="VD98" s="242">
        <f t="shared" si="702"/>
        <v>41.600000000000023</v>
      </c>
      <c r="VE98" s="56"/>
      <c r="VH98" s="55">
        <f t="shared" si="703"/>
        <v>46104</v>
      </c>
      <c r="VI98" s="56"/>
      <c r="VJ98" s="242">
        <f>SUMPRODUCT(PRODUCE!$B109:$DY109,PRODUCE!$EB$57:$IY$57)</f>
        <v>0</v>
      </c>
      <c r="VK98" s="56"/>
      <c r="VL98" s="242">
        <f t="shared" si="704"/>
        <v>0</v>
      </c>
      <c r="VM98" s="242">
        <f t="shared" si="705"/>
        <v>0</v>
      </c>
      <c r="VN98" s="56"/>
      <c r="VQ98" s="55">
        <f t="shared" si="706"/>
        <v>46104</v>
      </c>
      <c r="VR98" s="56"/>
      <c r="VS98" s="242">
        <f>SUMPRODUCT(PRODUCE!$B109:$DY109,PRODUCE!$EB$57:$IY$57)</f>
        <v>0</v>
      </c>
      <c r="VT98" s="56"/>
      <c r="VU98" s="242">
        <f t="shared" si="707"/>
        <v>0</v>
      </c>
      <c r="VV98" s="242">
        <f t="shared" si="708"/>
        <v>0</v>
      </c>
      <c r="VW98" s="56"/>
      <c r="VZ98" s="55">
        <f t="shared" si="709"/>
        <v>46104</v>
      </c>
      <c r="WA98" s="56"/>
      <c r="WB98" s="242">
        <f>SUMPRODUCT(PRODUCE!$B109:$DY109,PRODUCE!$EB$57:$IY$57)</f>
        <v>0</v>
      </c>
      <c r="WC98" s="56"/>
      <c r="WD98" s="242">
        <f t="shared" si="710"/>
        <v>0</v>
      </c>
      <c r="WE98" s="242">
        <f t="shared" si="711"/>
        <v>0</v>
      </c>
      <c r="WF98" s="56"/>
      <c r="WI98" s="55">
        <f t="shared" si="712"/>
        <v>46104</v>
      </c>
      <c r="WJ98" s="56"/>
      <c r="WK98" s="242">
        <f>SUMPRODUCT(PRODUCE!$B109:$DY109,PRODUCE!$EB$57:$IY$57)</f>
        <v>0</v>
      </c>
      <c r="WL98" s="56"/>
      <c r="WM98" s="242">
        <f t="shared" si="713"/>
        <v>0</v>
      </c>
      <c r="WN98" s="242">
        <f t="shared" si="714"/>
        <v>5180</v>
      </c>
      <c r="WO98" s="56"/>
      <c r="WR98" s="55">
        <f t="shared" si="715"/>
        <v>46104</v>
      </c>
      <c r="WS98" s="56"/>
      <c r="WT98" s="242">
        <f>SUMPRODUCT(PRODUCE!$B109:$DY109,PRODUCE!$EB$57:$IY$57)</f>
        <v>0</v>
      </c>
      <c r="WU98" s="56"/>
      <c r="WV98" s="242">
        <f t="shared" si="716"/>
        <v>0</v>
      </c>
      <c r="WW98" s="242">
        <f t="shared" si="717"/>
        <v>3265</v>
      </c>
      <c r="WX98" s="56"/>
      <c r="XA98" s="55">
        <f t="shared" si="718"/>
        <v>46104</v>
      </c>
      <c r="XB98" s="56"/>
      <c r="XC98" s="242">
        <f>SUMPRODUCT(PRODUCE!$B109:$DY109,PRODUCE!$EB$57:$IY$57)</f>
        <v>0</v>
      </c>
      <c r="XD98" s="56"/>
      <c r="XE98" s="242">
        <f t="shared" si="719"/>
        <v>0</v>
      </c>
      <c r="XF98" s="242">
        <f t="shared" si="720"/>
        <v>7142</v>
      </c>
      <c r="XG98" s="56"/>
      <c r="XJ98" s="55">
        <f t="shared" si="721"/>
        <v>46104</v>
      </c>
      <c r="XK98" s="56"/>
      <c r="XL98" s="242">
        <f>SUMPRODUCT(PRODUCE!$B109:$DY109,PRODUCE!$EB$57:$IY$57)</f>
        <v>0</v>
      </c>
      <c r="XM98" s="56"/>
      <c r="XN98" s="242">
        <f t="shared" si="722"/>
        <v>0</v>
      </c>
      <c r="XO98" s="242">
        <f t="shared" si="723"/>
        <v>7549</v>
      </c>
      <c r="XP98" s="56"/>
      <c r="XS98" s="55">
        <f t="shared" si="724"/>
        <v>46104</v>
      </c>
      <c r="XT98" s="56"/>
      <c r="XU98" s="242">
        <f>SUMPRODUCT(PRODUCE!$B109:$DY109,PRODUCE!$EB$57:$IY$57)</f>
        <v>0</v>
      </c>
      <c r="XV98" s="56"/>
      <c r="XW98" s="242">
        <f t="shared" si="725"/>
        <v>0</v>
      </c>
      <c r="XX98" s="242">
        <f t="shared" si="726"/>
        <v>1901</v>
      </c>
      <c r="XY98" s="56"/>
      <c r="YB98" s="55">
        <f t="shared" si="727"/>
        <v>46104</v>
      </c>
      <c r="YC98" s="56"/>
      <c r="YD98" s="242">
        <f>SUMPRODUCT(PRODUCE!$B109:$DY109,PRODUCE!$EB$57:$IY$57)</f>
        <v>0</v>
      </c>
      <c r="YE98" s="56"/>
      <c r="YF98" s="242">
        <f t="shared" si="728"/>
        <v>0</v>
      </c>
      <c r="YG98" s="242">
        <f t="shared" si="729"/>
        <v>6459</v>
      </c>
      <c r="YH98" s="56"/>
      <c r="YK98" s="55">
        <f t="shared" si="730"/>
        <v>46104</v>
      </c>
      <c r="YL98" s="56"/>
      <c r="YM98" s="242">
        <f>SUMPRODUCT(PRODUCE!$B109:$DY109,PRODUCE!$EB$57:$IY$57)</f>
        <v>0</v>
      </c>
      <c r="YN98" s="56"/>
      <c r="YO98" s="242">
        <f t="shared" si="731"/>
        <v>0</v>
      </c>
      <c r="YP98" s="242">
        <f t="shared" si="732"/>
        <v>0</v>
      </c>
      <c r="YQ98" s="56"/>
      <c r="YT98" s="55">
        <f t="shared" si="733"/>
        <v>46104</v>
      </c>
      <c r="YU98" s="56"/>
      <c r="YV98" s="242">
        <f>SUMPRODUCT(PRODUCE!$B109:$DY109,PRODUCE!$EB$57:$IY$57)</f>
        <v>0</v>
      </c>
      <c r="YW98" s="56"/>
      <c r="YX98" s="242">
        <f t="shared" si="734"/>
        <v>0</v>
      </c>
      <c r="YY98" s="242">
        <f t="shared" si="735"/>
        <v>0</v>
      </c>
      <c r="YZ98" s="56"/>
      <c r="ZC98" s="55">
        <f t="shared" si="736"/>
        <v>46104</v>
      </c>
      <c r="ZD98" s="56"/>
      <c r="ZE98" s="242">
        <f>SUMPRODUCT(PRODUCE!$B109:$DY109,PRODUCE!$EB$57:$IY$57)</f>
        <v>0</v>
      </c>
      <c r="ZF98" s="56"/>
      <c r="ZG98" s="242">
        <f t="shared" si="737"/>
        <v>0</v>
      </c>
      <c r="ZH98" s="242">
        <f t="shared" si="738"/>
        <v>0</v>
      </c>
      <c r="ZI98" s="56"/>
      <c r="ZL98" s="55">
        <f t="shared" si="739"/>
        <v>46104</v>
      </c>
      <c r="ZM98" s="56"/>
      <c r="ZN98" s="242">
        <f>SUMPRODUCT(PRODUCE!$B109:$DY109,PRODUCE!$EB$57:$IY$57)</f>
        <v>0</v>
      </c>
      <c r="ZO98" s="56"/>
      <c r="ZP98" s="242">
        <f t="shared" si="740"/>
        <v>0</v>
      </c>
      <c r="ZQ98" s="242">
        <f t="shared" si="741"/>
        <v>0</v>
      </c>
      <c r="ZR98" s="56"/>
      <c r="ZU98" s="55">
        <f t="shared" si="742"/>
        <v>46104</v>
      </c>
      <c r="ZV98" s="56"/>
      <c r="ZW98" s="242">
        <f>SUMPRODUCT(PRODUCE!$B109:$DY109,PRODUCE!$EB$57:$IY$57)</f>
        <v>0</v>
      </c>
      <c r="ZX98" s="56"/>
      <c r="ZY98" s="242">
        <f t="shared" si="743"/>
        <v>0</v>
      </c>
      <c r="ZZ98" s="242">
        <f t="shared" si="744"/>
        <v>0</v>
      </c>
      <c r="AAA98" s="56"/>
      <c r="AAD98" s="55">
        <f t="shared" si="745"/>
        <v>46104</v>
      </c>
      <c r="AAE98" s="56"/>
      <c r="AAF98" s="242">
        <f>SUMPRODUCT(PRODUCE!$B109:$DY109,PRODUCE!$EB$57:$IY$57)</f>
        <v>0</v>
      </c>
      <c r="AAG98" s="56"/>
      <c r="AAH98" s="242">
        <f t="shared" si="746"/>
        <v>0</v>
      </c>
      <c r="AAI98" s="242">
        <f t="shared" si="747"/>
        <v>0</v>
      </c>
      <c r="AAJ98" s="56"/>
      <c r="AAM98" s="55">
        <f t="shared" si="748"/>
        <v>46104</v>
      </c>
      <c r="AAN98" s="56"/>
      <c r="AAO98" s="242">
        <f>SUMPRODUCT(PRODUCE!$B109:$DY109,PRODUCE!$EB$57:$IY$57)</f>
        <v>0</v>
      </c>
      <c r="AAP98" s="56"/>
      <c r="AAQ98" s="242">
        <f t="shared" si="749"/>
        <v>0</v>
      </c>
      <c r="AAR98" s="242">
        <f t="shared" si="750"/>
        <v>0</v>
      </c>
      <c r="AAS98" s="56"/>
      <c r="AAV98" s="55">
        <f t="shared" si="751"/>
        <v>46104</v>
      </c>
      <c r="AAW98" s="56"/>
      <c r="AAX98" s="242">
        <f>SUMPRODUCT(PRODUCE!$B109:$DY109,PRODUCE!$EB$57:$IY$57)</f>
        <v>0</v>
      </c>
      <c r="AAY98" s="56"/>
      <c r="AAZ98" s="242">
        <f t="shared" si="752"/>
        <v>0</v>
      </c>
      <c r="ABA98" s="242">
        <f t="shared" si="753"/>
        <v>0</v>
      </c>
      <c r="ABB98" s="56"/>
      <c r="ABE98" s="55">
        <f t="shared" si="754"/>
        <v>46104</v>
      </c>
      <c r="ABF98" s="56"/>
      <c r="ABG98" s="242">
        <f>SUMPRODUCT(PRODUCE!$B109:$DY109,PRODUCE!$EB$57:$IY$57)</f>
        <v>0</v>
      </c>
      <c r="ABH98" s="56"/>
      <c r="ABI98" s="242">
        <f t="shared" si="755"/>
        <v>0</v>
      </c>
      <c r="ABJ98" s="242">
        <f t="shared" si="756"/>
        <v>0</v>
      </c>
      <c r="ABK98" s="56"/>
    </row>
    <row r="99" spans="1:739" s="54" customFormat="1" ht="15" customHeight="1" outlineLevel="1">
      <c r="B99" s="478">
        <v>40</v>
      </c>
      <c r="C99" s="55">
        <v>46105</v>
      </c>
      <c r="D99" s="422"/>
      <c r="E99" s="423">
        <f>SUMPRODUCT(PRODUCE!$B110:$DY110,PRODUCE!$EB$7:$IY$7)</f>
        <v>20054.000000000004</v>
      </c>
      <c r="F99" s="422">
        <v>20056.400000000001</v>
      </c>
      <c r="G99" s="423">
        <f t="shared" si="514"/>
        <v>-2.3999999999978172</v>
      </c>
      <c r="H99" s="423">
        <f t="shared" si="512"/>
        <v>238823.59999999995</v>
      </c>
      <c r="I99" s="289" t="s">
        <v>229</v>
      </c>
      <c r="L99" s="55">
        <f t="shared" si="513"/>
        <v>46105</v>
      </c>
      <c r="M99" s="422"/>
      <c r="N99" s="438">
        <f>SUMPRODUCT(PRODUCE!$B110:$DY110,PRODUCE!$EB$8:$IY$8)</f>
        <v>8200</v>
      </c>
      <c r="O99" s="422">
        <v>8202.4</v>
      </c>
      <c r="P99" s="438">
        <f t="shared" si="515"/>
        <v>-2.3999999999996362</v>
      </c>
      <c r="Q99" s="438">
        <f t="shared" si="516"/>
        <v>102294.20000000008</v>
      </c>
      <c r="R99" s="56"/>
      <c r="U99" s="55">
        <f t="shared" si="517"/>
        <v>46105</v>
      </c>
      <c r="V99" s="422"/>
      <c r="W99" s="440">
        <f>SUMPRODUCT(PRODUCE!$B110:$DY110,PRODUCE!$EB$9:$IY$9)</f>
        <v>3339.9999999999995</v>
      </c>
      <c r="X99" s="422">
        <v>3340</v>
      </c>
      <c r="Y99" s="440">
        <f t="shared" si="518"/>
        <v>0</v>
      </c>
      <c r="Z99" s="440">
        <f t="shared" si="519"/>
        <v>43945.699999999968</v>
      </c>
      <c r="AA99" s="56"/>
      <c r="AD99" s="55">
        <f t="shared" si="520"/>
        <v>46105</v>
      </c>
      <c r="AE99" s="422"/>
      <c r="AF99" s="442">
        <f>SUMPRODUCT(PRODUCE!$B110:$DY110,PRODUCE!$EB$10:$IY$10)</f>
        <v>520.00000000000011</v>
      </c>
      <c r="AG99" s="422">
        <v>520.29999999999995</v>
      </c>
      <c r="AH99" s="442">
        <f t="shared" si="521"/>
        <v>-0.29999999999984084</v>
      </c>
      <c r="AI99" s="442">
        <f t="shared" si="522"/>
        <v>42780.900000000016</v>
      </c>
      <c r="AJ99" s="56"/>
      <c r="AM99" s="55">
        <f t="shared" si="523"/>
        <v>46105</v>
      </c>
      <c r="AN99" s="422"/>
      <c r="AO99" s="444">
        <f>SUMPRODUCT(PRODUCE!$B110:$DY110,PRODUCE!$EB$11:$IY$11)</f>
        <v>0</v>
      </c>
      <c r="AP99" s="422"/>
      <c r="AQ99" s="444">
        <f t="shared" si="524"/>
        <v>0</v>
      </c>
      <c r="AR99" s="444">
        <f t="shared" si="525"/>
        <v>0</v>
      </c>
      <c r="AS99" s="56"/>
      <c r="AV99" s="55">
        <f t="shared" si="526"/>
        <v>46105</v>
      </c>
      <c r="AW99" s="422"/>
      <c r="AX99" s="446">
        <f>SUMPRODUCT(PRODUCE!$B110:$DY110,PRODUCE!$EB$12:$IY$12)</f>
        <v>0</v>
      </c>
      <c r="AY99" s="422"/>
      <c r="AZ99" s="446">
        <f t="shared" si="527"/>
        <v>0</v>
      </c>
      <c r="BA99" s="446">
        <f t="shared" si="528"/>
        <v>22268.399999999983</v>
      </c>
      <c r="BB99" s="56"/>
      <c r="BE99" s="55">
        <f t="shared" si="529"/>
        <v>46105</v>
      </c>
      <c r="BF99" s="422"/>
      <c r="BG99" s="448">
        <f>SUMPRODUCT(PRODUCE!$B110:$DY110,PRODUCE!$EB$13:$IY$13)</f>
        <v>1680</v>
      </c>
      <c r="BH99" s="422">
        <v>1682.6</v>
      </c>
      <c r="BI99" s="448">
        <f t="shared" si="530"/>
        <v>-2.5999999999999091</v>
      </c>
      <c r="BJ99" s="448">
        <f t="shared" si="531"/>
        <v>12605.900000000001</v>
      </c>
      <c r="BK99" s="56"/>
      <c r="BN99" s="55">
        <f t="shared" si="532"/>
        <v>46105</v>
      </c>
      <c r="BO99" s="422">
        <v>800</v>
      </c>
      <c r="BP99" s="450">
        <f>SUMPRODUCT(PRODUCE!$B110:$DY110,PRODUCE!$EB$14:$IY$14)</f>
        <v>800</v>
      </c>
      <c r="BQ99" s="422">
        <v>800</v>
      </c>
      <c r="BR99" s="450">
        <f t="shared" si="533"/>
        <v>0</v>
      </c>
      <c r="BS99" s="450">
        <f t="shared" si="534"/>
        <v>0</v>
      </c>
      <c r="BT99" s="56"/>
      <c r="BW99" s="55">
        <f t="shared" si="535"/>
        <v>46105</v>
      </c>
      <c r="BX99" s="56"/>
      <c r="BY99" s="65">
        <f>SUMPRODUCT(PRODUCE!$B110:$DY110,PRODUCE!$EB$15:$IY$15)</f>
        <v>266</v>
      </c>
      <c r="BZ99" s="56">
        <v>121.5</v>
      </c>
      <c r="CA99" s="65">
        <f t="shared" si="536"/>
        <v>144.5</v>
      </c>
      <c r="CB99" s="65">
        <f t="shared" si="537"/>
        <v>2708.3</v>
      </c>
      <c r="CC99" s="56"/>
      <c r="CF99" s="55">
        <f t="shared" si="538"/>
        <v>46105</v>
      </c>
      <c r="CG99" s="56">
        <v>510</v>
      </c>
      <c r="CH99" s="66">
        <f>SUMPRODUCT(PRODUCE!$B110:$DY110,PRODUCE!$EB$16:$IY$16)</f>
        <v>400</v>
      </c>
      <c r="CI99" s="56">
        <v>510</v>
      </c>
      <c r="CJ99" s="66">
        <f t="shared" si="539"/>
        <v>-110</v>
      </c>
      <c r="CK99" s="66">
        <f t="shared" si="540"/>
        <v>0</v>
      </c>
      <c r="CL99" s="56"/>
      <c r="CO99" s="55">
        <f t="shared" si="541"/>
        <v>46105</v>
      </c>
      <c r="CP99" s="422"/>
      <c r="CQ99" s="470">
        <f>SUMPRODUCT(PRODUCE!$B110:$DY110,PRODUCE!$EB$17:$IY$17)</f>
        <v>0</v>
      </c>
      <c r="CR99" s="422"/>
      <c r="CS99" s="470">
        <f t="shared" si="542"/>
        <v>0</v>
      </c>
      <c r="CT99" s="470">
        <f t="shared" si="543"/>
        <v>0</v>
      </c>
      <c r="CU99" s="56"/>
      <c r="CX99" s="55">
        <f t="shared" si="544"/>
        <v>46105</v>
      </c>
      <c r="CY99" s="56"/>
      <c r="CZ99" s="133">
        <f>SUMPRODUCT(PRODUCE!$B110:$DY110,PRODUCE!$EB$18:$IY$18)</f>
        <v>2000</v>
      </c>
      <c r="DA99" s="56">
        <v>1999.2</v>
      </c>
      <c r="DB99" s="133">
        <f t="shared" si="545"/>
        <v>0.79999999999995453</v>
      </c>
      <c r="DC99" s="133">
        <f t="shared" si="546"/>
        <v>15441.5</v>
      </c>
      <c r="DD99" s="56"/>
      <c r="DG99" s="55">
        <f t="shared" si="547"/>
        <v>46105</v>
      </c>
      <c r="DH99" s="56"/>
      <c r="DI99" s="147">
        <f>SUMPRODUCT(PRODUCE!$B110:$DY110,PRODUCE!$EB$19:$IY$19)</f>
        <v>1600</v>
      </c>
      <c r="DJ99" s="56">
        <v>1598.4</v>
      </c>
      <c r="DK99" s="147">
        <f t="shared" si="548"/>
        <v>1.5999999999999091</v>
      </c>
      <c r="DL99" s="147">
        <f t="shared" si="549"/>
        <v>12319.799999999996</v>
      </c>
      <c r="DM99" s="56"/>
      <c r="DP99" s="55">
        <f t="shared" si="550"/>
        <v>46105</v>
      </c>
      <c r="DQ99" s="56"/>
      <c r="DR99" s="57">
        <f>SUMPRODUCT(PRODUCE!$B110:$DY110,PRODUCE!$EB$20:$IY$20)</f>
        <v>0</v>
      </c>
      <c r="DS99" s="56"/>
      <c r="DT99" s="57">
        <f t="shared" si="551"/>
        <v>0</v>
      </c>
      <c r="DU99" s="57">
        <f t="shared" si="552"/>
        <v>7150</v>
      </c>
      <c r="DV99" s="56"/>
      <c r="DY99" s="55">
        <f t="shared" si="553"/>
        <v>46105</v>
      </c>
      <c r="DZ99" s="56"/>
      <c r="EA99" s="157">
        <f>SUMPRODUCT(PRODUCE!$B110:$DY110,PRODUCE!$EB$21:$IY$21)</f>
        <v>0</v>
      </c>
      <c r="EB99" s="56"/>
      <c r="EC99" s="157">
        <f t="shared" si="554"/>
        <v>0</v>
      </c>
      <c r="ED99" s="157">
        <f t="shared" si="555"/>
        <v>2947.3</v>
      </c>
      <c r="EE99" s="56"/>
      <c r="EH99" s="55">
        <f t="shared" si="556"/>
        <v>46105</v>
      </c>
      <c r="EI99" s="56"/>
      <c r="EJ99" s="162">
        <f>SUMPRODUCT(PRODUCE!$B110:$DY110,PRODUCE!$EB$22:$IY$22)</f>
        <v>0</v>
      </c>
      <c r="EK99" s="56"/>
      <c r="EL99" s="162">
        <f t="shared" si="557"/>
        <v>0</v>
      </c>
      <c r="EM99" s="162">
        <f t="shared" si="558"/>
        <v>0</v>
      </c>
      <c r="EN99" s="56"/>
      <c r="EQ99" s="55">
        <f t="shared" si="559"/>
        <v>46105</v>
      </c>
      <c r="ER99" s="56"/>
      <c r="ES99" s="135">
        <f>SUMPRODUCT(PRODUCE!$B110:$DY110,PRODUCE!$EB$23:$IY$23)</f>
        <v>0</v>
      </c>
      <c r="ET99" s="56"/>
      <c r="EU99" s="135">
        <f t="shared" si="560"/>
        <v>0</v>
      </c>
      <c r="EV99" s="135">
        <f t="shared" si="561"/>
        <v>0</v>
      </c>
      <c r="EW99" s="56"/>
      <c r="EZ99" s="55">
        <f t="shared" si="562"/>
        <v>46105</v>
      </c>
      <c r="FA99" s="56"/>
      <c r="FB99" s="175">
        <f>SUMPRODUCT(PRODUCE!$B110:$DY110,PRODUCE!$EB$24:$IY$24)</f>
        <v>0</v>
      </c>
      <c r="FC99" s="56"/>
      <c r="FD99" s="175">
        <f t="shared" si="563"/>
        <v>0</v>
      </c>
      <c r="FE99" s="175">
        <f t="shared" si="564"/>
        <v>0</v>
      </c>
      <c r="FF99" s="56"/>
      <c r="FI99" s="55">
        <f t="shared" si="565"/>
        <v>46105</v>
      </c>
      <c r="FJ99" s="56"/>
      <c r="FK99" s="183">
        <f>SUMPRODUCT(PRODUCE!$B110:$DY110,PRODUCE!$EB$25:$IY$25)</f>
        <v>0</v>
      </c>
      <c r="FL99" s="56"/>
      <c r="FM99" s="183">
        <f t="shared" si="566"/>
        <v>0</v>
      </c>
      <c r="FN99" s="183">
        <f t="shared" si="567"/>
        <v>0</v>
      </c>
      <c r="FO99" s="56"/>
      <c r="FR99" s="55">
        <f t="shared" si="568"/>
        <v>46105</v>
      </c>
      <c r="FS99" s="422"/>
      <c r="FT99" s="452">
        <f>SUMPRODUCT(PRODUCE!$B110:$DY110,PRODUCE!$EB$26:$IY$26)</f>
        <v>0</v>
      </c>
      <c r="FU99" s="422"/>
      <c r="FV99" s="452">
        <f t="shared" si="569"/>
        <v>0</v>
      </c>
      <c r="FW99" s="452">
        <f t="shared" si="570"/>
        <v>3220</v>
      </c>
      <c r="FX99" s="56"/>
      <c r="GA99" s="55">
        <f t="shared" si="571"/>
        <v>46105</v>
      </c>
      <c r="GB99" s="422"/>
      <c r="GC99" s="454">
        <f>SUMPRODUCT(PRODUCE!$B110:$DY110,PRODUCE!$EB$27:$IY$27)</f>
        <v>0</v>
      </c>
      <c r="GD99" s="422">
        <f>64*20</f>
        <v>1280</v>
      </c>
      <c r="GE99" s="454">
        <f t="shared" si="572"/>
        <v>-1280</v>
      </c>
      <c r="GF99" s="454">
        <f t="shared" si="573"/>
        <v>0</v>
      </c>
      <c r="GG99" s="56"/>
      <c r="GI99" s="23"/>
      <c r="GJ99" s="55">
        <f t="shared" si="574"/>
        <v>46105</v>
      </c>
      <c r="GK99" s="422"/>
      <c r="GL99" s="456">
        <f>SUMPRODUCT(PRODUCE!$B110:$DY110,PRODUCE!$EB$28:$IY$28)</f>
        <v>0</v>
      </c>
      <c r="GM99" s="422"/>
      <c r="GN99" s="456">
        <f t="shared" si="575"/>
        <v>0</v>
      </c>
      <c r="GO99" s="456">
        <f t="shared" si="576"/>
        <v>5240</v>
      </c>
      <c r="GP99" s="56"/>
      <c r="GS99" s="55">
        <f t="shared" si="577"/>
        <v>46105</v>
      </c>
      <c r="GT99" s="56"/>
      <c r="GU99" s="195">
        <f>SUMPRODUCT(PRODUCE!$B110:$DY110,PRODUCE!$EB$29:$IY$29)</f>
        <v>0</v>
      </c>
      <c r="GV99" s="56"/>
      <c r="GW99" s="195">
        <f t="shared" si="578"/>
        <v>0</v>
      </c>
      <c r="GX99" s="195">
        <f t="shared" si="579"/>
        <v>0</v>
      </c>
      <c r="GY99" s="56"/>
      <c r="HB99" s="55">
        <f t="shared" si="580"/>
        <v>46105</v>
      </c>
      <c r="HC99" s="56"/>
      <c r="HD99" s="191">
        <f>SUMPRODUCT(PRODUCE!$B110:$DY110,PRODUCE!$EB$30:$IY$30)</f>
        <v>0</v>
      </c>
      <c r="HE99" s="56"/>
      <c r="HF99" s="191">
        <f t="shared" si="581"/>
        <v>0</v>
      </c>
      <c r="HG99" s="191">
        <f t="shared" si="582"/>
        <v>0</v>
      </c>
      <c r="HH99" s="56"/>
      <c r="HK99" s="55">
        <f t="shared" si="583"/>
        <v>46105</v>
      </c>
      <c r="HL99" s="56"/>
      <c r="HM99" s="63">
        <f>SUMPRODUCT(PRODUCE!$B110:$DY110,PRODUCE!$EB$31:$IY$31)</f>
        <v>0</v>
      </c>
      <c r="HN99" s="56"/>
      <c r="HO99" s="63">
        <f t="shared" si="584"/>
        <v>0</v>
      </c>
      <c r="HP99" s="63">
        <f t="shared" si="585"/>
        <v>0</v>
      </c>
      <c r="HQ99" s="56"/>
      <c r="HU99" s="55">
        <f t="shared" si="586"/>
        <v>46105</v>
      </c>
      <c r="HV99" s="56"/>
      <c r="HW99" s="242">
        <f>SUMPRODUCT(PRODUCE!$B110:$DY110,PRODUCE!$EB$32:$IY$32)</f>
        <v>0</v>
      </c>
      <c r="HX99" s="56"/>
      <c r="HY99" s="242">
        <f t="shared" si="587"/>
        <v>0</v>
      </c>
      <c r="HZ99" s="242">
        <f t="shared" si="588"/>
        <v>5120</v>
      </c>
      <c r="IA99" s="56"/>
      <c r="ID99" s="55">
        <f t="shared" si="589"/>
        <v>46105</v>
      </c>
      <c r="IE99" s="56"/>
      <c r="IF99" s="242">
        <f>SUMPRODUCT(PRODUCE!$B110:$DY110,PRODUCE!$EB$33:$IY$33)</f>
        <v>0</v>
      </c>
      <c r="IG99" s="56"/>
      <c r="IH99" s="242">
        <f t="shared" si="590"/>
        <v>0</v>
      </c>
      <c r="II99" s="242">
        <f t="shared" si="591"/>
        <v>6540</v>
      </c>
      <c r="IJ99" s="56"/>
      <c r="IM99" s="55">
        <f t="shared" si="592"/>
        <v>46105</v>
      </c>
      <c r="IN99" s="56"/>
      <c r="IO99" s="242">
        <f>SUMPRODUCT(PRODUCE!$B110:$DY110,PRODUCE!$EB$34:$IY$34)</f>
        <v>0</v>
      </c>
      <c r="IP99" s="56"/>
      <c r="IQ99" s="242">
        <f t="shared" si="593"/>
        <v>0</v>
      </c>
      <c r="IR99" s="242">
        <f t="shared" si="594"/>
        <v>11540</v>
      </c>
      <c r="IS99" s="56"/>
      <c r="IV99" s="55">
        <f t="shared" si="595"/>
        <v>46105</v>
      </c>
      <c r="IW99" s="56"/>
      <c r="IX99" s="242">
        <f>SUMPRODUCT(PRODUCE!$B110:$DY110,PRODUCE!$EB$35:$IY$35)</f>
        <v>0</v>
      </c>
      <c r="IY99" s="56"/>
      <c r="IZ99" s="242">
        <f t="shared" si="596"/>
        <v>0</v>
      </c>
      <c r="JA99" s="242">
        <f t="shared" si="597"/>
        <v>15120</v>
      </c>
      <c r="JB99" s="56"/>
      <c r="JE99" s="55">
        <f t="shared" si="598"/>
        <v>46105</v>
      </c>
      <c r="JF99" s="56"/>
      <c r="JG99" s="242">
        <f>SUMPRODUCT(PRODUCE!$B110:$DY110,PRODUCE!$EB$36:$IY$36)</f>
        <v>0</v>
      </c>
      <c r="JH99" s="56"/>
      <c r="JI99" s="242">
        <f t="shared" si="599"/>
        <v>0</v>
      </c>
      <c r="JJ99" s="242">
        <f t="shared" si="600"/>
        <v>5040</v>
      </c>
      <c r="JK99" s="56"/>
      <c r="JN99" s="55">
        <f t="shared" si="601"/>
        <v>46105</v>
      </c>
      <c r="JO99" s="56"/>
      <c r="JP99" s="242">
        <f>SUMPRODUCT(PRODUCE!$B110:$DY110,PRODUCE!$EB$37:$IY$37)</f>
        <v>0</v>
      </c>
      <c r="JQ99" s="56"/>
      <c r="JR99" s="242">
        <f t="shared" si="602"/>
        <v>0</v>
      </c>
      <c r="JS99" s="242">
        <f t="shared" si="603"/>
        <v>9100</v>
      </c>
      <c r="JT99" s="56"/>
      <c r="JW99" s="55">
        <f t="shared" si="604"/>
        <v>46105</v>
      </c>
      <c r="JX99" s="56"/>
      <c r="JY99" s="242">
        <f>SUMPRODUCT(PRODUCE!$B110:$DY110,PRODUCE!$EB$38:$IY$38)</f>
        <v>0</v>
      </c>
      <c r="JZ99" s="56"/>
      <c r="KA99" s="242">
        <f t="shared" si="605"/>
        <v>0</v>
      </c>
      <c r="KB99" s="242">
        <f t="shared" si="606"/>
        <v>5140</v>
      </c>
      <c r="KC99" s="56"/>
      <c r="KF99" s="55">
        <f t="shared" si="607"/>
        <v>46105</v>
      </c>
      <c r="KG99" s="56"/>
      <c r="KH99" s="242">
        <f>SUMPRODUCT(PRODUCE!$B110:$DY110,PRODUCE!$EB$39:$IY$39)</f>
        <v>780</v>
      </c>
      <c r="KI99" s="56">
        <f>10*19.5</f>
        <v>195</v>
      </c>
      <c r="KJ99" s="242">
        <f t="shared" si="608"/>
        <v>585</v>
      </c>
      <c r="KK99" s="242">
        <f t="shared" si="609"/>
        <v>8989.5</v>
      </c>
      <c r="KL99" s="56"/>
      <c r="KO99" s="55">
        <f t="shared" si="610"/>
        <v>46105</v>
      </c>
      <c r="KP99" s="56"/>
      <c r="KQ99" s="242">
        <f>SUMPRODUCT(PRODUCE!$B110:$DY110,PRODUCE!$EB$40:$IY$40)</f>
        <v>0</v>
      </c>
      <c r="KR99" s="56">
        <f>10*18.9</f>
        <v>189</v>
      </c>
      <c r="KS99" s="242">
        <f t="shared" si="611"/>
        <v>-189</v>
      </c>
      <c r="KT99" s="242">
        <f t="shared" si="612"/>
        <v>6804</v>
      </c>
      <c r="KU99" s="56"/>
      <c r="KW99" s="23"/>
      <c r="KX99" s="55">
        <f t="shared" si="613"/>
        <v>46105</v>
      </c>
      <c r="KY99" s="56"/>
      <c r="KZ99" s="242">
        <f>SUMPRODUCT(PRODUCE!$B110:$DY110,PRODUCE!$EB$41:$IY$41)</f>
        <v>0</v>
      </c>
      <c r="LA99" s="56"/>
      <c r="LB99" s="242">
        <f t="shared" si="614"/>
        <v>0</v>
      </c>
      <c r="LC99" s="242">
        <f t="shared" si="615"/>
        <v>0</v>
      </c>
      <c r="LD99" s="56"/>
      <c r="LG99" s="55">
        <f t="shared" si="616"/>
        <v>46105</v>
      </c>
      <c r="LH99" s="56"/>
      <c r="LI99" s="242">
        <f>SUMPRODUCT(PRODUCE!$B110:$DY110,PRODUCE!$EB$42:$IY$42)</f>
        <v>0</v>
      </c>
      <c r="LJ99" s="56"/>
      <c r="LK99" s="242">
        <f t="shared" si="617"/>
        <v>0</v>
      </c>
      <c r="LL99" s="242">
        <f t="shared" si="618"/>
        <v>0</v>
      </c>
      <c r="LM99" s="56"/>
      <c r="LP99" s="55">
        <f t="shared" si="619"/>
        <v>46105</v>
      </c>
      <c r="LQ99" s="56"/>
      <c r="LR99" s="242">
        <f>SUMPRODUCT(PRODUCE!$B114:$DY114,PRODUCE!$EB$43:$IY$43)</f>
        <v>0</v>
      </c>
      <c r="LS99" s="56"/>
      <c r="LT99" s="242">
        <f t="shared" si="620"/>
        <v>0</v>
      </c>
      <c r="LU99" s="242">
        <f t="shared" si="621"/>
        <v>0</v>
      </c>
      <c r="LV99" s="56"/>
      <c r="LY99" s="55">
        <f t="shared" si="622"/>
        <v>46105</v>
      </c>
      <c r="LZ99" s="56"/>
      <c r="MA99" s="242">
        <f>SUMPRODUCT(PRODUCE!$B110:$DY110,PRODUCE!$EB$44:$IY$44)</f>
        <v>0</v>
      </c>
      <c r="MB99" s="56"/>
      <c r="MC99" s="242">
        <f t="shared" si="623"/>
        <v>0</v>
      </c>
      <c r="MD99" s="242">
        <f t="shared" si="624"/>
        <v>0</v>
      </c>
      <c r="ME99" s="56"/>
      <c r="MH99" s="55">
        <f t="shared" si="625"/>
        <v>46105</v>
      </c>
      <c r="MI99" s="56"/>
      <c r="MJ99" s="242">
        <f>SUMPRODUCT(PRODUCE!$B110:$DY110,PRODUCE!$EB$45:$IY$45)</f>
        <v>0</v>
      </c>
      <c r="MK99" s="56"/>
      <c r="ML99" s="242">
        <f t="shared" si="626"/>
        <v>0</v>
      </c>
      <c r="MM99" s="242">
        <f t="shared" si="627"/>
        <v>0</v>
      </c>
      <c r="MN99" s="56"/>
      <c r="MQ99" s="55">
        <f t="shared" si="628"/>
        <v>46105</v>
      </c>
      <c r="MR99" s="56"/>
      <c r="MS99" s="242">
        <f>SUMPRODUCT(PRODUCE!$B110:$DY110,PRODUCE!$EB$46:$IY$46)</f>
        <v>80</v>
      </c>
      <c r="MT99" s="56">
        <v>72</v>
      </c>
      <c r="MU99" s="242">
        <f t="shared" si="629"/>
        <v>8</v>
      </c>
      <c r="MV99" s="242">
        <f t="shared" si="630"/>
        <v>4551</v>
      </c>
      <c r="MW99" s="56"/>
      <c r="MZ99" s="55">
        <f t="shared" si="631"/>
        <v>46105</v>
      </c>
      <c r="NA99" s="56">
        <v>60</v>
      </c>
      <c r="NB99" s="242">
        <f>SUMPRODUCT(PRODUCE!$B110:$DY110,PRODUCE!$EB$47:$IY$47)</f>
        <v>120</v>
      </c>
      <c r="NC99" s="56">
        <v>60</v>
      </c>
      <c r="ND99" s="242">
        <f t="shared" si="632"/>
        <v>60</v>
      </c>
      <c r="NE99" s="242">
        <f t="shared" si="633"/>
        <v>0</v>
      </c>
      <c r="NF99" s="56"/>
      <c r="NI99" s="55">
        <f t="shared" si="634"/>
        <v>46105</v>
      </c>
      <c r="NJ99" s="56"/>
      <c r="NK99" s="242">
        <f>SUMPRODUCT(PRODUCE!$B110:$DY110,PRODUCE!$EB$48:$IY$48)</f>
        <v>0</v>
      </c>
      <c r="NL99" s="56"/>
      <c r="NM99" s="242">
        <f t="shared" si="635"/>
        <v>0</v>
      </c>
      <c r="NN99" s="242">
        <f t="shared" si="636"/>
        <v>465</v>
      </c>
      <c r="NO99" s="56"/>
      <c r="NR99" s="55">
        <f t="shared" si="637"/>
        <v>46105</v>
      </c>
      <c r="NS99" s="56"/>
      <c r="NT99" s="242">
        <f>SUMPRODUCT(PRODUCE!$B110:$DY110,PRODUCE!$EB$49:$IY$49)</f>
        <v>48</v>
      </c>
      <c r="NU99" s="56">
        <v>24</v>
      </c>
      <c r="NV99" s="242">
        <f t="shared" si="638"/>
        <v>24</v>
      </c>
      <c r="NW99" s="242">
        <f t="shared" si="639"/>
        <v>1264.9000000000001</v>
      </c>
      <c r="NX99" s="56"/>
      <c r="OA99" s="55">
        <f t="shared" si="640"/>
        <v>46105</v>
      </c>
      <c r="OB99" s="56"/>
      <c r="OC99" s="242">
        <f>SUMPRODUCT(PRODUCE!$B110:$DY110,PRODUCE!$EB$50:$IY$50)</f>
        <v>0</v>
      </c>
      <c r="OD99" s="56"/>
      <c r="OE99" s="242">
        <f t="shared" si="641"/>
        <v>0</v>
      </c>
      <c r="OF99" s="242">
        <f t="shared" si="642"/>
        <v>1680.5</v>
      </c>
      <c r="OG99" s="56"/>
      <c r="OJ99" s="55">
        <f t="shared" si="643"/>
        <v>46105</v>
      </c>
      <c r="OK99" s="56">
        <v>56</v>
      </c>
      <c r="OL99" s="242">
        <f>SUMPRODUCT(PRODUCE!$B110:$DY110,PRODUCE!$EB$51:$IY$51)</f>
        <v>111.99999999999997</v>
      </c>
      <c r="OM99" s="56">
        <v>56</v>
      </c>
      <c r="ON99" s="242">
        <f t="shared" si="644"/>
        <v>55.999999999999972</v>
      </c>
      <c r="OO99" s="242">
        <f t="shared" si="645"/>
        <v>0</v>
      </c>
      <c r="OP99" s="56"/>
      <c r="OS99" s="55">
        <f t="shared" si="646"/>
        <v>46105</v>
      </c>
      <c r="OT99" s="56"/>
      <c r="OU99" s="242">
        <f>SUMPRODUCT(PRODUCE!$B110:$DY110,PRODUCE!$EB$52:$IY$52)</f>
        <v>0</v>
      </c>
      <c r="OV99" s="56"/>
      <c r="OW99" s="242">
        <f t="shared" si="647"/>
        <v>0</v>
      </c>
      <c r="OX99" s="242">
        <f t="shared" si="648"/>
        <v>1000</v>
      </c>
      <c r="OY99" s="56"/>
      <c r="PB99" s="55">
        <f t="shared" si="649"/>
        <v>46105</v>
      </c>
      <c r="PC99" s="56"/>
      <c r="PD99" s="242">
        <f>SUMPRODUCT(PRODUCE!$B110:$DY110,PRODUCE!$EB$53:$IY$53)</f>
        <v>0</v>
      </c>
      <c r="PE99" s="56"/>
      <c r="PF99" s="242">
        <f t="shared" si="650"/>
        <v>0</v>
      </c>
      <c r="PG99" s="242">
        <f t="shared" si="651"/>
        <v>0</v>
      </c>
      <c r="PH99" s="56"/>
      <c r="PK99" s="55">
        <f t="shared" si="652"/>
        <v>46105</v>
      </c>
      <c r="PL99" s="56"/>
      <c r="PM99" s="242">
        <f>SUMPRODUCT(PRODUCE!$B110:$DY110,PRODUCE!$EB$54:$IY$54)</f>
        <v>0</v>
      </c>
      <c r="PN99" s="56"/>
      <c r="PO99" s="242">
        <f t="shared" si="653"/>
        <v>0</v>
      </c>
      <c r="PP99" s="242">
        <f t="shared" si="654"/>
        <v>100</v>
      </c>
      <c r="PQ99" s="56"/>
      <c r="PT99" s="55">
        <f t="shared" si="655"/>
        <v>46105</v>
      </c>
      <c r="PU99" s="56"/>
      <c r="PV99" s="242">
        <f>SUMPRODUCT(PRODUCE!$B110:$DY110,PRODUCE!$EB$55:$IY$55)</f>
        <v>0</v>
      </c>
      <c r="PW99" s="56"/>
      <c r="PX99" s="242">
        <f t="shared" si="656"/>
        <v>0</v>
      </c>
      <c r="PY99" s="242">
        <f t="shared" si="657"/>
        <v>13.960000000000036</v>
      </c>
      <c r="PZ99" s="56"/>
      <c r="QC99" s="55">
        <f t="shared" si="658"/>
        <v>46105</v>
      </c>
      <c r="QD99" s="56"/>
      <c r="QE99" s="242">
        <f>SUMPRODUCT(PRODUCE!$B110:$DY110,PRODUCE!$EB$56:$IY$56)</f>
        <v>0</v>
      </c>
      <c r="QF99" s="56"/>
      <c r="QG99" s="242">
        <f t="shared" si="659"/>
        <v>0</v>
      </c>
      <c r="QH99" s="242">
        <f t="shared" si="660"/>
        <v>1212</v>
      </c>
      <c r="QI99" s="56"/>
      <c r="QL99" s="55">
        <f t="shared" si="661"/>
        <v>46105</v>
      </c>
      <c r="QM99" s="56"/>
      <c r="QN99" s="242">
        <f>SUMPRODUCT(PRODUCE!$B110:$DY110,PRODUCE!$EB$57:$IY$57)</f>
        <v>0</v>
      </c>
      <c r="QO99" s="56"/>
      <c r="QP99" s="242">
        <f t="shared" si="662"/>
        <v>0</v>
      </c>
      <c r="QQ99" s="242">
        <f t="shared" si="663"/>
        <v>0</v>
      </c>
      <c r="QR99" s="56"/>
      <c r="QU99" s="55">
        <f t="shared" si="664"/>
        <v>46105</v>
      </c>
      <c r="QV99" s="56"/>
      <c r="QW99" s="242">
        <f>SUMPRODUCT(PRODUCE!$B110:$DY110,PRODUCE!$EB$57:$IY$57)</f>
        <v>0</v>
      </c>
      <c r="QX99" s="56"/>
      <c r="QY99" s="242">
        <f t="shared" si="665"/>
        <v>0</v>
      </c>
      <c r="QZ99" s="242">
        <f t="shared" si="666"/>
        <v>207.6</v>
      </c>
      <c r="RA99" s="56"/>
      <c r="RD99" s="55">
        <f t="shared" si="667"/>
        <v>46105</v>
      </c>
      <c r="RE99" s="56"/>
      <c r="RF99" s="242">
        <f>SUMPRODUCT(PRODUCE!$B110:$DY110,PRODUCE!$EB$58:$IY$58)</f>
        <v>0</v>
      </c>
      <c r="RG99" s="56"/>
      <c r="RH99" s="242">
        <f t="shared" si="668"/>
        <v>0</v>
      </c>
      <c r="RI99" s="242">
        <f t="shared" si="669"/>
        <v>197.04000000000002</v>
      </c>
      <c r="RJ99" s="56"/>
      <c r="RM99" s="55">
        <f t="shared" si="670"/>
        <v>46105</v>
      </c>
      <c r="RN99" s="56"/>
      <c r="RO99" s="242">
        <f>SUMPRODUCT(PRODUCE!$B110:$DY110,PRODUCE!$EB$57:$IY$57)</f>
        <v>0</v>
      </c>
      <c r="RP99" s="56"/>
      <c r="RQ99" s="242">
        <f t="shared" si="671"/>
        <v>0</v>
      </c>
      <c r="RR99" s="242">
        <f t="shared" si="672"/>
        <v>46.8</v>
      </c>
      <c r="RS99" s="56"/>
      <c r="RV99" s="55">
        <f t="shared" si="673"/>
        <v>46105</v>
      </c>
      <c r="RW99" s="56"/>
      <c r="RX99" s="242">
        <f>SUMPRODUCT(PRODUCE!$B110:$DY110,PRODUCE!$EB$57:$IY$57)</f>
        <v>0</v>
      </c>
      <c r="RY99" s="56"/>
      <c r="RZ99" s="242">
        <f t="shared" si="674"/>
        <v>0</v>
      </c>
      <c r="SA99" s="242">
        <f t="shared" si="675"/>
        <v>0</v>
      </c>
      <c r="SB99" s="56"/>
      <c r="SE99" s="55">
        <f t="shared" si="676"/>
        <v>46105</v>
      </c>
      <c r="SF99" s="56"/>
      <c r="SG99" s="242">
        <f>SUMPRODUCT(PRODUCE!$B110:$DY110,PRODUCE!$EB$57:$IY$57)</f>
        <v>0</v>
      </c>
      <c r="SH99" s="56"/>
      <c r="SI99" s="242">
        <f t="shared" si="677"/>
        <v>0</v>
      </c>
      <c r="SJ99" s="242">
        <f t="shared" si="678"/>
        <v>0</v>
      </c>
      <c r="SK99" s="56"/>
      <c r="SN99" s="55">
        <f t="shared" si="679"/>
        <v>46105</v>
      </c>
      <c r="SO99" s="56"/>
      <c r="SP99" s="242">
        <f>SUMPRODUCT(PRODUCE!$B110:$DY110,PRODUCE!$EB$57:$IY$57)</f>
        <v>0</v>
      </c>
      <c r="SQ99" s="56"/>
      <c r="SR99" s="242">
        <f t="shared" si="680"/>
        <v>0</v>
      </c>
      <c r="SS99" s="242">
        <f t="shared" si="681"/>
        <v>0</v>
      </c>
      <c r="ST99" s="56"/>
      <c r="SW99" s="55">
        <f t="shared" si="682"/>
        <v>46105</v>
      </c>
      <c r="SX99" s="56"/>
      <c r="SY99" s="242">
        <f>SUMPRODUCT(PRODUCE!$B110:$DY110,PRODUCE!$EB$57:$IY$57)</f>
        <v>0</v>
      </c>
      <c r="SZ99" s="56"/>
      <c r="TA99" s="242">
        <f t="shared" si="683"/>
        <v>0</v>
      </c>
      <c r="TB99" s="242">
        <f t="shared" si="684"/>
        <v>0</v>
      </c>
      <c r="TC99" s="56"/>
      <c r="TF99" s="55">
        <f t="shared" si="685"/>
        <v>46105</v>
      </c>
      <c r="TG99" s="56"/>
      <c r="TH99" s="242">
        <f>SUMPRODUCT(PRODUCE!$B110:$DY110,PRODUCE!$EB$57:$IY$57)</f>
        <v>0</v>
      </c>
      <c r="TI99" s="56"/>
      <c r="TJ99" s="242">
        <f t="shared" si="686"/>
        <v>0</v>
      </c>
      <c r="TK99" s="242">
        <f t="shared" si="687"/>
        <v>0</v>
      </c>
      <c r="TL99" s="56"/>
      <c r="TO99" s="55">
        <f t="shared" si="688"/>
        <v>46105</v>
      </c>
      <c r="TP99" s="56"/>
      <c r="TQ99" s="242">
        <f>SUMPRODUCT(PRODUCE!$B110:$DY110,PRODUCE!$EB$57:$IY$57)</f>
        <v>0</v>
      </c>
      <c r="TR99" s="56"/>
      <c r="TS99" s="242">
        <f t="shared" si="689"/>
        <v>0</v>
      </c>
      <c r="TT99" s="242">
        <f t="shared" si="690"/>
        <v>0</v>
      </c>
      <c r="TU99" s="56"/>
      <c r="TX99" s="55">
        <f t="shared" si="691"/>
        <v>46105</v>
      </c>
      <c r="TY99" s="56"/>
      <c r="TZ99" s="242">
        <f>SUMPRODUCT(PRODUCE!$B110:$DY110,PRODUCE!$EB$57:$IY$57)</f>
        <v>0</v>
      </c>
      <c r="UA99" s="56"/>
      <c r="UB99" s="242">
        <f t="shared" si="692"/>
        <v>0</v>
      </c>
      <c r="UC99" s="242">
        <f t="shared" si="693"/>
        <v>0</v>
      </c>
      <c r="UD99" s="56"/>
      <c r="UG99" s="55">
        <f t="shared" si="694"/>
        <v>46105</v>
      </c>
      <c r="UH99" s="56"/>
      <c r="UI99" s="242">
        <f>SUMPRODUCT(PRODUCE!$B110:$DY110,PRODUCE!$EB$57:$IY$57)</f>
        <v>0</v>
      </c>
      <c r="UJ99" s="56"/>
      <c r="UK99" s="242">
        <f t="shared" si="695"/>
        <v>0</v>
      </c>
      <c r="UL99" s="242">
        <f t="shared" si="696"/>
        <v>0</v>
      </c>
      <c r="UM99" s="56"/>
      <c r="UP99" s="55">
        <f t="shared" si="697"/>
        <v>46105</v>
      </c>
      <c r="UQ99" s="56"/>
      <c r="UR99" s="242">
        <f>SUMPRODUCT(PRODUCE!$B110:$DY110,PRODUCE!$EB$57:$IY$57)</f>
        <v>0</v>
      </c>
      <c r="US99" s="56"/>
      <c r="UT99" s="242">
        <f t="shared" si="698"/>
        <v>0</v>
      </c>
      <c r="UU99" s="242">
        <f t="shared" si="699"/>
        <v>0</v>
      </c>
      <c r="UV99" s="56"/>
      <c r="UY99" s="55">
        <f t="shared" si="700"/>
        <v>46105</v>
      </c>
      <c r="UZ99" s="56"/>
      <c r="VA99" s="242">
        <f>SUMPRODUCT(PRODUCE!$B110:$DY110,PRODUCE!$EB$57:$IY$57)</f>
        <v>0</v>
      </c>
      <c r="VB99" s="56"/>
      <c r="VC99" s="242">
        <f t="shared" si="701"/>
        <v>0</v>
      </c>
      <c r="VD99" s="242">
        <f t="shared" si="702"/>
        <v>41.600000000000023</v>
      </c>
      <c r="VE99" s="56"/>
      <c r="VH99" s="55">
        <f t="shared" si="703"/>
        <v>46105</v>
      </c>
      <c r="VI99" s="56"/>
      <c r="VJ99" s="242">
        <f>SUMPRODUCT(PRODUCE!$B110:$DY110,PRODUCE!$EB$57:$IY$57)</f>
        <v>0</v>
      </c>
      <c r="VK99" s="56"/>
      <c r="VL99" s="242">
        <f t="shared" si="704"/>
        <v>0</v>
      </c>
      <c r="VM99" s="242">
        <f t="shared" si="705"/>
        <v>0</v>
      </c>
      <c r="VN99" s="56"/>
      <c r="VQ99" s="55">
        <f t="shared" si="706"/>
        <v>46105</v>
      </c>
      <c r="VR99" s="56"/>
      <c r="VS99" s="242">
        <f>SUMPRODUCT(PRODUCE!$B110:$DY110,PRODUCE!$EB$57:$IY$57)</f>
        <v>0</v>
      </c>
      <c r="VT99" s="56"/>
      <c r="VU99" s="242">
        <f t="shared" si="707"/>
        <v>0</v>
      </c>
      <c r="VV99" s="242">
        <f t="shared" si="708"/>
        <v>0</v>
      </c>
      <c r="VW99" s="56"/>
      <c r="VZ99" s="55">
        <f t="shared" si="709"/>
        <v>46105</v>
      </c>
      <c r="WA99" s="56"/>
      <c r="WB99" s="242">
        <f>SUMPRODUCT(PRODUCE!$B110:$DY110,PRODUCE!$EB$57:$IY$57)</f>
        <v>0</v>
      </c>
      <c r="WC99" s="56"/>
      <c r="WD99" s="242">
        <f t="shared" si="710"/>
        <v>0</v>
      </c>
      <c r="WE99" s="242">
        <f t="shared" si="711"/>
        <v>0</v>
      </c>
      <c r="WF99" s="56"/>
      <c r="WI99" s="55">
        <f t="shared" si="712"/>
        <v>46105</v>
      </c>
      <c r="WJ99" s="56"/>
      <c r="WK99" s="242">
        <f>SUMPRODUCT(PRODUCE!$B110:$DY110,PRODUCE!$EB$57:$IY$57)</f>
        <v>0</v>
      </c>
      <c r="WL99" s="56"/>
      <c r="WM99" s="242">
        <f t="shared" si="713"/>
        <v>0</v>
      </c>
      <c r="WN99" s="242">
        <f t="shared" si="714"/>
        <v>5180</v>
      </c>
      <c r="WO99" s="56"/>
      <c r="WR99" s="55">
        <f t="shared" si="715"/>
        <v>46105</v>
      </c>
      <c r="WS99" s="56"/>
      <c r="WT99" s="242">
        <f>SUMPRODUCT(PRODUCE!$B110:$DY110,PRODUCE!$EB$57:$IY$57)</f>
        <v>0</v>
      </c>
      <c r="WU99" s="56"/>
      <c r="WV99" s="242">
        <f t="shared" si="716"/>
        <v>0</v>
      </c>
      <c r="WW99" s="242">
        <f t="shared" si="717"/>
        <v>3265</v>
      </c>
      <c r="WX99" s="56"/>
      <c r="XA99" s="55">
        <f t="shared" si="718"/>
        <v>46105</v>
      </c>
      <c r="XB99" s="56"/>
      <c r="XC99" s="242">
        <f>SUMPRODUCT(PRODUCE!$B110:$DY110,PRODUCE!$EB$57:$IY$57)</f>
        <v>0</v>
      </c>
      <c r="XD99" s="56"/>
      <c r="XE99" s="242">
        <f t="shared" si="719"/>
        <v>0</v>
      </c>
      <c r="XF99" s="242">
        <f t="shared" si="720"/>
        <v>7142</v>
      </c>
      <c r="XG99" s="56"/>
      <c r="XJ99" s="55">
        <f t="shared" si="721"/>
        <v>46105</v>
      </c>
      <c r="XK99" s="56"/>
      <c r="XL99" s="242">
        <f>SUMPRODUCT(PRODUCE!$B110:$DY110,PRODUCE!$EB$57:$IY$57)</f>
        <v>0</v>
      </c>
      <c r="XM99" s="56"/>
      <c r="XN99" s="242">
        <f t="shared" si="722"/>
        <v>0</v>
      </c>
      <c r="XO99" s="242">
        <f t="shared" si="723"/>
        <v>7549</v>
      </c>
      <c r="XP99" s="56"/>
      <c r="XS99" s="55">
        <f t="shared" si="724"/>
        <v>46105</v>
      </c>
      <c r="XT99" s="56"/>
      <c r="XU99" s="242">
        <f>SUMPRODUCT(PRODUCE!$B110:$DY110,PRODUCE!$EB$57:$IY$57)</f>
        <v>0</v>
      </c>
      <c r="XV99" s="56"/>
      <c r="XW99" s="242">
        <f t="shared" si="725"/>
        <v>0</v>
      </c>
      <c r="XX99" s="242">
        <f t="shared" si="726"/>
        <v>1901</v>
      </c>
      <c r="XY99" s="56"/>
      <c r="YB99" s="55">
        <f t="shared" si="727"/>
        <v>46105</v>
      </c>
      <c r="YC99" s="56"/>
      <c r="YD99" s="242">
        <f>SUMPRODUCT(PRODUCE!$B110:$DY110,PRODUCE!$EB$57:$IY$57)</f>
        <v>0</v>
      </c>
      <c r="YE99" s="56"/>
      <c r="YF99" s="242">
        <f t="shared" si="728"/>
        <v>0</v>
      </c>
      <c r="YG99" s="242">
        <f t="shared" si="729"/>
        <v>6459</v>
      </c>
      <c r="YH99" s="56"/>
      <c r="YK99" s="55">
        <f t="shared" si="730"/>
        <v>46105</v>
      </c>
      <c r="YL99" s="56"/>
      <c r="YM99" s="242">
        <f>SUMPRODUCT(PRODUCE!$B110:$DY110,PRODUCE!$EB$57:$IY$57)</f>
        <v>0</v>
      </c>
      <c r="YN99" s="56"/>
      <c r="YO99" s="242">
        <f t="shared" si="731"/>
        <v>0</v>
      </c>
      <c r="YP99" s="242">
        <f t="shared" si="732"/>
        <v>0</v>
      </c>
      <c r="YQ99" s="56"/>
      <c r="YT99" s="55">
        <f t="shared" si="733"/>
        <v>46105</v>
      </c>
      <c r="YU99" s="56"/>
      <c r="YV99" s="242">
        <f>SUMPRODUCT(PRODUCE!$B110:$DY110,PRODUCE!$EB$57:$IY$57)</f>
        <v>0</v>
      </c>
      <c r="YW99" s="56"/>
      <c r="YX99" s="242">
        <f t="shared" si="734"/>
        <v>0</v>
      </c>
      <c r="YY99" s="242">
        <f t="shared" si="735"/>
        <v>0</v>
      </c>
      <c r="YZ99" s="56"/>
      <c r="ZC99" s="55">
        <f t="shared" si="736"/>
        <v>46105</v>
      </c>
      <c r="ZD99" s="56"/>
      <c r="ZE99" s="242">
        <f>SUMPRODUCT(PRODUCE!$B110:$DY110,PRODUCE!$EB$57:$IY$57)</f>
        <v>0</v>
      </c>
      <c r="ZF99" s="56"/>
      <c r="ZG99" s="242">
        <f t="shared" si="737"/>
        <v>0</v>
      </c>
      <c r="ZH99" s="242">
        <f t="shared" si="738"/>
        <v>0</v>
      </c>
      <c r="ZI99" s="56"/>
      <c r="ZL99" s="55">
        <f t="shared" si="739"/>
        <v>46105</v>
      </c>
      <c r="ZM99" s="56"/>
      <c r="ZN99" s="242">
        <f>SUMPRODUCT(PRODUCE!$B110:$DY110,PRODUCE!$EB$57:$IY$57)</f>
        <v>0</v>
      </c>
      <c r="ZO99" s="56"/>
      <c r="ZP99" s="242">
        <f t="shared" si="740"/>
        <v>0</v>
      </c>
      <c r="ZQ99" s="242">
        <f t="shared" si="741"/>
        <v>0</v>
      </c>
      <c r="ZR99" s="56"/>
      <c r="ZU99" s="55">
        <f t="shared" si="742"/>
        <v>46105</v>
      </c>
      <c r="ZV99" s="56"/>
      <c r="ZW99" s="242">
        <f>SUMPRODUCT(PRODUCE!$B110:$DY110,PRODUCE!$EB$57:$IY$57)</f>
        <v>0</v>
      </c>
      <c r="ZX99" s="56"/>
      <c r="ZY99" s="242">
        <f t="shared" si="743"/>
        <v>0</v>
      </c>
      <c r="ZZ99" s="242">
        <f t="shared" si="744"/>
        <v>0</v>
      </c>
      <c r="AAA99" s="56"/>
      <c r="AAD99" s="55">
        <f t="shared" si="745"/>
        <v>46105</v>
      </c>
      <c r="AAE99" s="56"/>
      <c r="AAF99" s="242">
        <f>SUMPRODUCT(PRODUCE!$B110:$DY110,PRODUCE!$EB$57:$IY$57)</f>
        <v>0</v>
      </c>
      <c r="AAG99" s="56"/>
      <c r="AAH99" s="242">
        <f t="shared" si="746"/>
        <v>0</v>
      </c>
      <c r="AAI99" s="242">
        <f t="shared" si="747"/>
        <v>0</v>
      </c>
      <c r="AAJ99" s="56"/>
      <c r="AAM99" s="55">
        <f t="shared" si="748"/>
        <v>46105</v>
      </c>
      <c r="AAN99" s="56"/>
      <c r="AAO99" s="242">
        <f>SUMPRODUCT(PRODUCE!$B110:$DY110,PRODUCE!$EB$57:$IY$57)</f>
        <v>0</v>
      </c>
      <c r="AAP99" s="56"/>
      <c r="AAQ99" s="242">
        <f t="shared" si="749"/>
        <v>0</v>
      </c>
      <c r="AAR99" s="242">
        <f t="shared" si="750"/>
        <v>0</v>
      </c>
      <c r="AAS99" s="56"/>
      <c r="AAV99" s="55">
        <f t="shared" si="751"/>
        <v>46105</v>
      </c>
      <c r="AAW99" s="56"/>
      <c r="AAX99" s="242">
        <f>SUMPRODUCT(PRODUCE!$B110:$DY110,PRODUCE!$EB$57:$IY$57)</f>
        <v>0</v>
      </c>
      <c r="AAY99" s="56"/>
      <c r="AAZ99" s="242">
        <f t="shared" si="752"/>
        <v>0</v>
      </c>
      <c r="ABA99" s="242">
        <f t="shared" si="753"/>
        <v>0</v>
      </c>
      <c r="ABB99" s="56"/>
      <c r="ABE99" s="55">
        <f t="shared" si="754"/>
        <v>46105</v>
      </c>
      <c r="ABF99" s="56"/>
      <c r="ABG99" s="242">
        <f>SUMPRODUCT(PRODUCE!$B110:$DY110,PRODUCE!$EB$57:$IY$57)</f>
        <v>0</v>
      </c>
      <c r="ABH99" s="56"/>
      <c r="ABI99" s="242">
        <f t="shared" si="755"/>
        <v>0</v>
      </c>
      <c r="ABJ99" s="242">
        <f t="shared" si="756"/>
        <v>0</v>
      </c>
      <c r="ABK99" s="56"/>
    </row>
    <row r="100" spans="1:739" s="54" customFormat="1" ht="15" customHeight="1" outlineLevel="1">
      <c r="B100" s="478">
        <f>10+120</f>
        <v>130</v>
      </c>
      <c r="C100" s="55">
        <v>46106</v>
      </c>
      <c r="D100" s="422"/>
      <c r="E100" s="423">
        <f>SUMPRODUCT(PRODUCE!$B111:$DY111,PRODUCE!$EB$7:$IY$7)</f>
        <v>75606</v>
      </c>
      <c r="F100" s="422">
        <v>75602.399999999994</v>
      </c>
      <c r="G100" s="423">
        <f t="shared" si="514"/>
        <v>3.6000000000058208</v>
      </c>
      <c r="H100" s="423">
        <f t="shared" si="512"/>
        <v>163221.19999999995</v>
      </c>
      <c r="I100" s="289" t="s">
        <v>230</v>
      </c>
      <c r="L100" s="55">
        <f t="shared" si="513"/>
        <v>46106</v>
      </c>
      <c r="M100" s="422"/>
      <c r="N100" s="438">
        <f>SUMPRODUCT(PRODUCE!$B111:$DY111,PRODUCE!$EB$8:$IY$8)</f>
        <v>32195</v>
      </c>
      <c r="O100" s="422">
        <v>32186.2</v>
      </c>
      <c r="P100" s="438">
        <f t="shared" si="515"/>
        <v>8.7999999999992724</v>
      </c>
      <c r="Q100" s="438">
        <f t="shared" si="516"/>
        <v>70108.000000000087</v>
      </c>
      <c r="R100" s="56"/>
      <c r="U100" s="55">
        <f t="shared" si="517"/>
        <v>46106</v>
      </c>
      <c r="V100" s="422"/>
      <c r="W100" s="440">
        <f>SUMPRODUCT(PRODUCE!$B111:$DY111,PRODUCE!$EB$9:$IY$9)</f>
        <v>3850</v>
      </c>
      <c r="X100" s="422">
        <v>3852</v>
      </c>
      <c r="Y100" s="440">
        <f t="shared" si="518"/>
        <v>-2</v>
      </c>
      <c r="Z100" s="440">
        <f t="shared" si="519"/>
        <v>40093.699999999968</v>
      </c>
      <c r="AA100" s="56"/>
      <c r="AD100" s="55">
        <f t="shared" si="520"/>
        <v>46106</v>
      </c>
      <c r="AE100" s="422"/>
      <c r="AF100" s="442">
        <f>SUMPRODUCT(PRODUCE!$B111:$DY111,PRODUCE!$EB$10:$IY$10)</f>
        <v>6120</v>
      </c>
      <c r="AG100" s="422">
        <v>6122.6</v>
      </c>
      <c r="AH100" s="442">
        <f t="shared" si="521"/>
        <v>-2.6000000000003638</v>
      </c>
      <c r="AI100" s="442">
        <f t="shared" si="522"/>
        <v>36658.300000000017</v>
      </c>
      <c r="AJ100" s="56"/>
      <c r="AM100" s="55">
        <f t="shared" si="523"/>
        <v>46106</v>
      </c>
      <c r="AN100" s="422"/>
      <c r="AO100" s="444">
        <f>SUMPRODUCT(PRODUCE!$B111:$DY111,PRODUCE!$EB$11:$IY$11)</f>
        <v>0</v>
      </c>
      <c r="AP100" s="422"/>
      <c r="AQ100" s="444">
        <f t="shared" si="524"/>
        <v>0</v>
      </c>
      <c r="AR100" s="444">
        <f t="shared" si="525"/>
        <v>0</v>
      </c>
      <c r="AS100" s="56"/>
      <c r="AV100" s="55">
        <f t="shared" si="526"/>
        <v>46106</v>
      </c>
      <c r="AW100" s="422"/>
      <c r="AX100" s="446">
        <f>SUMPRODUCT(PRODUCE!$B111:$DY111,PRODUCE!$EB$12:$IY$12)</f>
        <v>1200</v>
      </c>
      <c r="AY100" s="422">
        <v>1200.3</v>
      </c>
      <c r="AZ100" s="446">
        <f t="shared" si="527"/>
        <v>-0.29999999999995453</v>
      </c>
      <c r="BA100" s="446">
        <f t="shared" si="528"/>
        <v>21068.099999999984</v>
      </c>
      <c r="BB100" s="56"/>
      <c r="BE100" s="55">
        <f t="shared" si="529"/>
        <v>46106</v>
      </c>
      <c r="BF100" s="422"/>
      <c r="BG100" s="448">
        <f>SUMPRODUCT(PRODUCE!$B111:$DY111,PRODUCE!$EB$13:$IY$13)</f>
        <v>3450</v>
      </c>
      <c r="BH100" s="422">
        <v>3450.8</v>
      </c>
      <c r="BI100" s="448">
        <f t="shared" si="530"/>
        <v>-0.8000000000001819</v>
      </c>
      <c r="BJ100" s="448">
        <f t="shared" si="531"/>
        <v>9155.1000000000022</v>
      </c>
      <c r="BK100" s="56"/>
      <c r="BN100" s="55">
        <f t="shared" si="532"/>
        <v>46106</v>
      </c>
      <c r="BO100" s="422">
        <v>3195</v>
      </c>
      <c r="BP100" s="450">
        <f>SUMPRODUCT(PRODUCE!$B111:$DY111,PRODUCE!$EB$14:$IY$14)</f>
        <v>3195</v>
      </c>
      <c r="BQ100" s="422">
        <v>3195</v>
      </c>
      <c r="BR100" s="450">
        <f t="shared" si="533"/>
        <v>0</v>
      </c>
      <c r="BS100" s="450">
        <f t="shared" si="534"/>
        <v>0</v>
      </c>
      <c r="BT100" s="56"/>
      <c r="BW100" s="55">
        <f t="shared" si="535"/>
        <v>46106</v>
      </c>
      <c r="BX100" s="56"/>
      <c r="BY100" s="65">
        <f>SUMPRODUCT(PRODUCE!$B111:$DY111,PRODUCE!$EB$15:$IY$15)</f>
        <v>55.000000000000007</v>
      </c>
      <c r="BZ100" s="56"/>
      <c r="CA100" s="65">
        <f t="shared" si="536"/>
        <v>55.000000000000007</v>
      </c>
      <c r="CB100" s="65">
        <f t="shared" si="537"/>
        <v>2708.3</v>
      </c>
      <c r="CC100" s="56"/>
      <c r="CF100" s="55">
        <f t="shared" si="538"/>
        <v>46106</v>
      </c>
      <c r="CG100" s="56"/>
      <c r="CH100" s="66">
        <f>SUMPRODUCT(PRODUCE!$B111:$DY111,PRODUCE!$EB$16:$IY$16)</f>
        <v>690</v>
      </c>
      <c r="CI100" s="56"/>
      <c r="CJ100" s="66">
        <f t="shared" si="539"/>
        <v>690</v>
      </c>
      <c r="CK100" s="66">
        <f t="shared" si="540"/>
        <v>0</v>
      </c>
      <c r="CL100" s="56"/>
      <c r="CO100" s="55">
        <f t="shared" si="541"/>
        <v>46106</v>
      </c>
      <c r="CP100" s="422"/>
      <c r="CQ100" s="470">
        <f>SUMPRODUCT(PRODUCE!$B111:$DY111,PRODUCE!$EB$17:$IY$17)</f>
        <v>0</v>
      </c>
      <c r="CR100" s="422"/>
      <c r="CS100" s="470">
        <f t="shared" si="542"/>
        <v>0</v>
      </c>
      <c r="CT100" s="470">
        <f t="shared" si="543"/>
        <v>0</v>
      </c>
      <c r="CU100" s="56"/>
      <c r="CX100" s="55">
        <f t="shared" si="544"/>
        <v>46106</v>
      </c>
      <c r="CY100" s="56">
        <v>25040</v>
      </c>
      <c r="CZ100" s="133">
        <f>SUMPRODUCT(PRODUCE!$B111:$DY111,PRODUCE!$EB$18:$IY$18)</f>
        <v>500</v>
      </c>
      <c r="DA100" s="56">
        <v>501.4</v>
      </c>
      <c r="DB100" s="133">
        <f t="shared" si="545"/>
        <v>-1.3999999999999773</v>
      </c>
      <c r="DC100" s="133">
        <f t="shared" si="546"/>
        <v>39980.1</v>
      </c>
      <c r="DD100" s="56"/>
      <c r="DG100" s="55">
        <f t="shared" si="547"/>
        <v>46106</v>
      </c>
      <c r="DH100" s="56"/>
      <c r="DI100" s="147">
        <f>SUMPRODUCT(PRODUCE!$B111:$DY111,PRODUCE!$EB$19:$IY$19)</f>
        <v>400</v>
      </c>
      <c r="DJ100" s="56">
        <v>400.4</v>
      </c>
      <c r="DK100" s="147">
        <f t="shared" si="548"/>
        <v>-0.39999999999997726</v>
      </c>
      <c r="DL100" s="147">
        <f t="shared" si="549"/>
        <v>11919.399999999996</v>
      </c>
      <c r="DM100" s="56"/>
      <c r="DP100" s="55">
        <f t="shared" si="550"/>
        <v>46106</v>
      </c>
      <c r="DQ100" s="56"/>
      <c r="DR100" s="57">
        <f>SUMPRODUCT(PRODUCE!$B111:$DY111,PRODUCE!$EB$20:$IY$20)</f>
        <v>0</v>
      </c>
      <c r="DS100" s="56"/>
      <c r="DT100" s="57">
        <f t="shared" si="551"/>
        <v>0</v>
      </c>
      <c r="DU100" s="57">
        <f t="shared" si="552"/>
        <v>7150</v>
      </c>
      <c r="DV100" s="56"/>
      <c r="DY100" s="55">
        <f t="shared" si="553"/>
        <v>46106</v>
      </c>
      <c r="DZ100" s="56"/>
      <c r="EA100" s="157">
        <f>SUMPRODUCT(PRODUCE!$B111:$DY111,PRODUCE!$EB$21:$IY$21)</f>
        <v>0</v>
      </c>
      <c r="EB100" s="56"/>
      <c r="EC100" s="157">
        <f t="shared" si="554"/>
        <v>0</v>
      </c>
      <c r="ED100" s="157">
        <f t="shared" si="555"/>
        <v>2947.3</v>
      </c>
      <c r="EE100" s="56"/>
      <c r="EH100" s="55">
        <f t="shared" si="556"/>
        <v>46106</v>
      </c>
      <c r="EI100" s="56"/>
      <c r="EJ100" s="162">
        <f>SUMPRODUCT(PRODUCE!$B111:$DY111,PRODUCE!$EB$22:$IY$22)</f>
        <v>0</v>
      </c>
      <c r="EK100" s="56"/>
      <c r="EL100" s="162">
        <f t="shared" si="557"/>
        <v>0</v>
      </c>
      <c r="EM100" s="162">
        <f t="shared" si="558"/>
        <v>0</v>
      </c>
      <c r="EN100" s="56"/>
      <c r="EQ100" s="55">
        <f t="shared" si="559"/>
        <v>46106</v>
      </c>
      <c r="ER100" s="56"/>
      <c r="ES100" s="135">
        <f>SUMPRODUCT(PRODUCE!$B111:$DY111,PRODUCE!$EB$23:$IY$23)</f>
        <v>0</v>
      </c>
      <c r="ET100" s="56"/>
      <c r="EU100" s="135">
        <f t="shared" si="560"/>
        <v>0</v>
      </c>
      <c r="EV100" s="135">
        <f t="shared" si="561"/>
        <v>0</v>
      </c>
      <c r="EW100" s="56"/>
      <c r="EZ100" s="55">
        <f t="shared" si="562"/>
        <v>46106</v>
      </c>
      <c r="FA100" s="56"/>
      <c r="FB100" s="175">
        <f>SUMPRODUCT(PRODUCE!$B111:$DY111,PRODUCE!$EB$24:$IY$24)</f>
        <v>0</v>
      </c>
      <c r="FC100" s="56"/>
      <c r="FD100" s="175">
        <f t="shared" si="563"/>
        <v>0</v>
      </c>
      <c r="FE100" s="175">
        <f t="shared" si="564"/>
        <v>0</v>
      </c>
      <c r="FF100" s="56"/>
      <c r="FI100" s="55">
        <f t="shared" si="565"/>
        <v>46106</v>
      </c>
      <c r="FJ100" s="56"/>
      <c r="FK100" s="183">
        <f>SUMPRODUCT(PRODUCE!$B111:$DY111,PRODUCE!$EB$25:$IY$25)</f>
        <v>0</v>
      </c>
      <c r="FL100" s="56"/>
      <c r="FM100" s="183">
        <f t="shared" si="566"/>
        <v>0</v>
      </c>
      <c r="FN100" s="183">
        <f t="shared" si="567"/>
        <v>0</v>
      </c>
      <c r="FO100" s="56"/>
      <c r="FR100" s="55">
        <f t="shared" si="568"/>
        <v>46106</v>
      </c>
      <c r="FS100" s="422"/>
      <c r="FT100" s="452">
        <f>SUMPRODUCT(PRODUCE!$B111:$DY111,PRODUCE!$EB$26:$IY$26)</f>
        <v>0</v>
      </c>
      <c r="FU100" s="422"/>
      <c r="FV100" s="452">
        <f t="shared" si="569"/>
        <v>0</v>
      </c>
      <c r="FW100" s="452">
        <f t="shared" si="570"/>
        <v>3220</v>
      </c>
      <c r="FX100" s="56"/>
      <c r="GA100" s="55">
        <f t="shared" si="571"/>
        <v>46106</v>
      </c>
      <c r="GB100" s="422"/>
      <c r="GC100" s="454">
        <f>SUMPRODUCT(PRODUCE!$B111:$DY111,PRODUCE!$EB$27:$IY$27)</f>
        <v>2400</v>
      </c>
      <c r="GD100" s="422"/>
      <c r="GE100" s="454">
        <f t="shared" si="572"/>
        <v>2400</v>
      </c>
      <c r="GF100" s="454">
        <f t="shared" si="573"/>
        <v>0</v>
      </c>
      <c r="GG100" s="56"/>
      <c r="GI100" s="23"/>
      <c r="GJ100" s="55">
        <f t="shared" si="574"/>
        <v>46106</v>
      </c>
      <c r="GK100" s="422"/>
      <c r="GL100" s="456">
        <f>SUMPRODUCT(PRODUCE!$B111:$DY111,PRODUCE!$EB$28:$IY$28)</f>
        <v>0</v>
      </c>
      <c r="GM100" s="422"/>
      <c r="GN100" s="456">
        <f t="shared" si="575"/>
        <v>0</v>
      </c>
      <c r="GO100" s="456">
        <f t="shared" si="576"/>
        <v>5240</v>
      </c>
      <c r="GP100" s="56"/>
      <c r="GS100" s="55">
        <f t="shared" si="577"/>
        <v>46106</v>
      </c>
      <c r="GT100" s="56"/>
      <c r="GU100" s="195">
        <f>SUMPRODUCT(PRODUCE!$B111:$DY111,PRODUCE!$EB$29:$IY$29)</f>
        <v>0</v>
      </c>
      <c r="GV100" s="56"/>
      <c r="GW100" s="195">
        <f t="shared" si="578"/>
        <v>0</v>
      </c>
      <c r="GX100" s="195">
        <f t="shared" si="579"/>
        <v>0</v>
      </c>
      <c r="GY100" s="56"/>
      <c r="HB100" s="55">
        <f t="shared" si="580"/>
        <v>46106</v>
      </c>
      <c r="HC100" s="56"/>
      <c r="HD100" s="191">
        <f>SUMPRODUCT(PRODUCE!$B111:$DY111,PRODUCE!$EB$30:$IY$30)</f>
        <v>0</v>
      </c>
      <c r="HE100" s="56"/>
      <c r="HF100" s="191">
        <f t="shared" si="581"/>
        <v>0</v>
      </c>
      <c r="HG100" s="191">
        <f t="shared" si="582"/>
        <v>0</v>
      </c>
      <c r="HH100" s="56"/>
      <c r="HK100" s="55">
        <f t="shared" si="583"/>
        <v>46106</v>
      </c>
      <c r="HL100" s="56"/>
      <c r="HM100" s="63">
        <f>SUMPRODUCT(PRODUCE!$B111:$DY111,PRODUCE!$EB$31:$IY$31)</f>
        <v>0</v>
      </c>
      <c r="HN100" s="56"/>
      <c r="HO100" s="63">
        <f t="shared" si="584"/>
        <v>0</v>
      </c>
      <c r="HP100" s="63">
        <f t="shared" si="585"/>
        <v>0</v>
      </c>
      <c r="HQ100" s="56"/>
      <c r="HU100" s="55">
        <f t="shared" si="586"/>
        <v>46106</v>
      </c>
      <c r="HV100" s="56"/>
      <c r="HW100" s="242">
        <f>SUMPRODUCT(PRODUCE!$B111:$DY111,PRODUCE!$EB$32:$IY$32)</f>
        <v>0</v>
      </c>
      <c r="HX100" s="56"/>
      <c r="HY100" s="242">
        <f t="shared" si="587"/>
        <v>0</v>
      </c>
      <c r="HZ100" s="242">
        <f t="shared" si="588"/>
        <v>5120</v>
      </c>
      <c r="IA100" s="56"/>
      <c r="ID100" s="55">
        <f t="shared" si="589"/>
        <v>46106</v>
      </c>
      <c r="IE100" s="56"/>
      <c r="IF100" s="242">
        <f>SUMPRODUCT(PRODUCE!$B111:$DY111,PRODUCE!$EB$33:$IY$33)</f>
        <v>0</v>
      </c>
      <c r="IG100" s="56"/>
      <c r="IH100" s="242">
        <f t="shared" si="590"/>
        <v>0</v>
      </c>
      <c r="II100" s="242">
        <f t="shared" si="591"/>
        <v>6540</v>
      </c>
      <c r="IJ100" s="56"/>
      <c r="IM100" s="55">
        <f t="shared" si="592"/>
        <v>46106</v>
      </c>
      <c r="IN100" s="56"/>
      <c r="IO100" s="242">
        <f>SUMPRODUCT(PRODUCE!$B111:$DY111,PRODUCE!$EB$34:$IY$34)</f>
        <v>0</v>
      </c>
      <c r="IP100" s="56"/>
      <c r="IQ100" s="242">
        <f t="shared" si="593"/>
        <v>0</v>
      </c>
      <c r="IR100" s="242">
        <f t="shared" si="594"/>
        <v>11540</v>
      </c>
      <c r="IS100" s="56"/>
      <c r="IV100" s="55">
        <f t="shared" si="595"/>
        <v>46106</v>
      </c>
      <c r="IW100" s="56"/>
      <c r="IX100" s="242">
        <f>SUMPRODUCT(PRODUCE!$B111:$DY111,PRODUCE!$EB$35:$IY$35)</f>
        <v>0</v>
      </c>
      <c r="IY100" s="56"/>
      <c r="IZ100" s="242">
        <f t="shared" si="596"/>
        <v>0</v>
      </c>
      <c r="JA100" s="242">
        <f t="shared" si="597"/>
        <v>15120</v>
      </c>
      <c r="JB100" s="56"/>
      <c r="JE100" s="55">
        <f t="shared" si="598"/>
        <v>46106</v>
      </c>
      <c r="JF100" s="56"/>
      <c r="JG100" s="242">
        <f>SUMPRODUCT(PRODUCE!$B111:$DY111,PRODUCE!$EB$36:$IY$36)</f>
        <v>0</v>
      </c>
      <c r="JH100" s="56"/>
      <c r="JI100" s="242">
        <f t="shared" si="599"/>
        <v>0</v>
      </c>
      <c r="JJ100" s="242">
        <f t="shared" si="600"/>
        <v>5040</v>
      </c>
      <c r="JK100" s="56"/>
      <c r="JN100" s="55">
        <f t="shared" si="601"/>
        <v>46106</v>
      </c>
      <c r="JO100" s="56"/>
      <c r="JP100" s="242">
        <f>SUMPRODUCT(PRODUCE!$B111:$DY111,PRODUCE!$EB$37:$IY$37)</f>
        <v>0</v>
      </c>
      <c r="JQ100" s="56"/>
      <c r="JR100" s="242">
        <f t="shared" si="602"/>
        <v>0</v>
      </c>
      <c r="JS100" s="242">
        <f t="shared" si="603"/>
        <v>9100</v>
      </c>
      <c r="JT100" s="56"/>
      <c r="JW100" s="55">
        <f t="shared" si="604"/>
        <v>46106</v>
      </c>
      <c r="JX100" s="56"/>
      <c r="JY100" s="242">
        <f>SUMPRODUCT(PRODUCE!$B111:$DY111,PRODUCE!$EB$38:$IY$38)</f>
        <v>0</v>
      </c>
      <c r="JZ100" s="56"/>
      <c r="KA100" s="242">
        <f t="shared" si="605"/>
        <v>0</v>
      </c>
      <c r="KB100" s="242">
        <f t="shared" si="606"/>
        <v>5140</v>
      </c>
      <c r="KC100" s="56"/>
      <c r="KF100" s="55">
        <f t="shared" si="607"/>
        <v>46106</v>
      </c>
      <c r="KG100" s="56"/>
      <c r="KH100" s="242">
        <f>SUMPRODUCT(PRODUCE!$B111:$DY111,PRODUCE!$EB$39:$IY$39)</f>
        <v>0</v>
      </c>
      <c r="KI100" s="56"/>
      <c r="KJ100" s="242">
        <f t="shared" si="608"/>
        <v>0</v>
      </c>
      <c r="KK100" s="242">
        <f t="shared" si="609"/>
        <v>8989.5</v>
      </c>
      <c r="KL100" s="56"/>
      <c r="KO100" s="55">
        <f t="shared" si="610"/>
        <v>46106</v>
      </c>
      <c r="KP100" s="56"/>
      <c r="KQ100" s="242">
        <f>SUMPRODUCT(PRODUCE!$B111:$DY111,PRODUCE!$EB$40:$IY$40)</f>
        <v>189</v>
      </c>
      <c r="KR100" s="56"/>
      <c r="KS100" s="242">
        <f t="shared" si="611"/>
        <v>189</v>
      </c>
      <c r="KT100" s="242">
        <f t="shared" si="612"/>
        <v>6804</v>
      </c>
      <c r="KU100" s="56"/>
      <c r="KW100" s="23"/>
      <c r="KX100" s="55">
        <f t="shared" si="613"/>
        <v>46106</v>
      </c>
      <c r="KY100" s="56"/>
      <c r="KZ100" s="242">
        <f>SUMPRODUCT(PRODUCE!$B111:$DY111,PRODUCE!$EB$41:$IY$41)</f>
        <v>0</v>
      </c>
      <c r="LA100" s="56"/>
      <c r="LB100" s="242">
        <f t="shared" si="614"/>
        <v>0</v>
      </c>
      <c r="LC100" s="242">
        <f t="shared" si="615"/>
        <v>0</v>
      </c>
      <c r="LD100" s="56"/>
      <c r="LG100" s="55">
        <f t="shared" si="616"/>
        <v>46106</v>
      </c>
      <c r="LH100" s="56"/>
      <c r="LI100" s="242">
        <f>SUMPRODUCT(PRODUCE!$B111:$DY111,PRODUCE!$EB$42:$IY$42)</f>
        <v>0</v>
      </c>
      <c r="LJ100" s="56"/>
      <c r="LK100" s="242">
        <f t="shared" si="617"/>
        <v>0</v>
      </c>
      <c r="LL100" s="242">
        <f t="shared" si="618"/>
        <v>0</v>
      </c>
      <c r="LM100" s="56"/>
      <c r="LP100" s="55">
        <f t="shared" si="619"/>
        <v>46106</v>
      </c>
      <c r="LQ100" s="56"/>
      <c r="LR100" s="242">
        <f>SUMPRODUCT(PRODUCE!$B115:$DY115,PRODUCE!$EB$43:$IY$43)</f>
        <v>0</v>
      </c>
      <c r="LS100" s="56"/>
      <c r="LT100" s="242">
        <f t="shared" si="620"/>
        <v>0</v>
      </c>
      <c r="LU100" s="242">
        <f t="shared" si="621"/>
        <v>0</v>
      </c>
      <c r="LV100" s="56"/>
      <c r="LY100" s="55">
        <f t="shared" si="622"/>
        <v>46106</v>
      </c>
      <c r="LZ100" s="56"/>
      <c r="MA100" s="242">
        <f>SUMPRODUCT(PRODUCE!$B111:$DY111,PRODUCE!$EB$44:$IY$44)</f>
        <v>0</v>
      </c>
      <c r="MB100" s="56"/>
      <c r="MC100" s="242">
        <f t="shared" si="623"/>
        <v>0</v>
      </c>
      <c r="MD100" s="242">
        <f t="shared" si="624"/>
        <v>0</v>
      </c>
      <c r="ME100" s="56"/>
      <c r="MH100" s="55">
        <f t="shared" si="625"/>
        <v>46106</v>
      </c>
      <c r="MI100" s="56"/>
      <c r="MJ100" s="242">
        <f>SUMPRODUCT(PRODUCE!$B111:$DY111,PRODUCE!$EB$45:$IY$45)</f>
        <v>0</v>
      </c>
      <c r="MK100" s="56"/>
      <c r="ML100" s="242">
        <f t="shared" si="626"/>
        <v>0</v>
      </c>
      <c r="MM100" s="242">
        <f t="shared" si="627"/>
        <v>0</v>
      </c>
      <c r="MN100" s="56"/>
      <c r="MQ100" s="55">
        <f t="shared" si="628"/>
        <v>46106</v>
      </c>
      <c r="MR100" s="56"/>
      <c r="MS100" s="242">
        <f>SUMPRODUCT(PRODUCE!$B111:$DY111,PRODUCE!$EB$46:$IY$46)</f>
        <v>80</v>
      </c>
      <c r="MT100" s="56"/>
      <c r="MU100" s="242">
        <f t="shared" si="629"/>
        <v>80</v>
      </c>
      <c r="MV100" s="242">
        <f t="shared" si="630"/>
        <v>4551</v>
      </c>
      <c r="MW100" s="56"/>
      <c r="MZ100" s="55">
        <f t="shared" si="631"/>
        <v>46106</v>
      </c>
      <c r="NA100" s="56"/>
      <c r="NB100" s="242">
        <f>SUMPRODUCT(PRODUCE!$B111:$DY111,PRODUCE!$EB$47:$IY$47)</f>
        <v>30</v>
      </c>
      <c r="NC100" s="56"/>
      <c r="ND100" s="242">
        <f t="shared" si="632"/>
        <v>30</v>
      </c>
      <c r="NE100" s="242">
        <f t="shared" si="633"/>
        <v>0</v>
      </c>
      <c r="NF100" s="56"/>
      <c r="NI100" s="55">
        <f t="shared" si="634"/>
        <v>46106</v>
      </c>
      <c r="NJ100" s="56"/>
      <c r="NK100" s="242">
        <f>SUMPRODUCT(PRODUCE!$B111:$DY111,PRODUCE!$EB$48:$IY$48)</f>
        <v>0</v>
      </c>
      <c r="NL100" s="56"/>
      <c r="NM100" s="242">
        <f t="shared" si="635"/>
        <v>0</v>
      </c>
      <c r="NN100" s="242">
        <f t="shared" si="636"/>
        <v>465</v>
      </c>
      <c r="NO100" s="56"/>
      <c r="NR100" s="55">
        <f t="shared" si="637"/>
        <v>46106</v>
      </c>
      <c r="NS100" s="56"/>
      <c r="NT100" s="242">
        <f>SUMPRODUCT(PRODUCE!$B111:$DY111,PRODUCE!$EB$49:$IY$49)</f>
        <v>12</v>
      </c>
      <c r="NU100" s="56"/>
      <c r="NV100" s="242">
        <f t="shared" si="638"/>
        <v>12</v>
      </c>
      <c r="NW100" s="242">
        <f t="shared" si="639"/>
        <v>1264.9000000000001</v>
      </c>
      <c r="NX100" s="56"/>
      <c r="OA100" s="55">
        <f t="shared" si="640"/>
        <v>46106</v>
      </c>
      <c r="OB100" s="56"/>
      <c r="OC100" s="242">
        <f>SUMPRODUCT(PRODUCE!$B111:$DY111,PRODUCE!$EB$50:$IY$50)</f>
        <v>0</v>
      </c>
      <c r="OD100" s="56"/>
      <c r="OE100" s="242">
        <f t="shared" si="641"/>
        <v>0</v>
      </c>
      <c r="OF100" s="242">
        <f t="shared" si="642"/>
        <v>1680.5</v>
      </c>
      <c r="OG100" s="56"/>
      <c r="OJ100" s="55">
        <f t="shared" si="643"/>
        <v>46106</v>
      </c>
      <c r="OK100" s="56"/>
      <c r="OL100" s="242">
        <f>SUMPRODUCT(PRODUCE!$B111:$DY111,PRODUCE!$EB$51:$IY$51)</f>
        <v>27.999999999999993</v>
      </c>
      <c r="OM100" s="56"/>
      <c r="ON100" s="242">
        <f t="shared" si="644"/>
        <v>27.999999999999993</v>
      </c>
      <c r="OO100" s="242">
        <f t="shared" si="645"/>
        <v>0</v>
      </c>
      <c r="OP100" s="56"/>
      <c r="OS100" s="55">
        <f t="shared" si="646"/>
        <v>46106</v>
      </c>
      <c r="OT100" s="56"/>
      <c r="OU100" s="242">
        <f>SUMPRODUCT(PRODUCE!$B111:$DY111,PRODUCE!$EB$52:$IY$52)</f>
        <v>0</v>
      </c>
      <c r="OV100" s="56"/>
      <c r="OW100" s="242">
        <f t="shared" si="647"/>
        <v>0</v>
      </c>
      <c r="OX100" s="242">
        <f t="shared" si="648"/>
        <v>1000</v>
      </c>
      <c r="OY100" s="56"/>
      <c r="PB100" s="55">
        <f t="shared" si="649"/>
        <v>46106</v>
      </c>
      <c r="PC100" s="56"/>
      <c r="PD100" s="242">
        <f>SUMPRODUCT(PRODUCE!$B111:$DY111,PRODUCE!$EB$53:$IY$53)</f>
        <v>0</v>
      </c>
      <c r="PE100" s="56"/>
      <c r="PF100" s="242">
        <f t="shared" si="650"/>
        <v>0</v>
      </c>
      <c r="PG100" s="242">
        <f t="shared" si="651"/>
        <v>0</v>
      </c>
      <c r="PH100" s="56"/>
      <c r="PK100" s="55">
        <f t="shared" si="652"/>
        <v>46106</v>
      </c>
      <c r="PL100" s="56"/>
      <c r="PM100" s="242">
        <f>SUMPRODUCT(PRODUCE!$B111:$DY111,PRODUCE!$EB$54:$IY$54)</f>
        <v>0</v>
      </c>
      <c r="PN100" s="56"/>
      <c r="PO100" s="242">
        <f t="shared" si="653"/>
        <v>0</v>
      </c>
      <c r="PP100" s="242">
        <f t="shared" si="654"/>
        <v>100</v>
      </c>
      <c r="PQ100" s="56"/>
      <c r="PT100" s="55">
        <f t="shared" si="655"/>
        <v>46106</v>
      </c>
      <c r="PU100" s="56"/>
      <c r="PV100" s="242">
        <f>SUMPRODUCT(PRODUCE!$B111:$DY111,PRODUCE!$EB$55:$IY$55)</f>
        <v>0</v>
      </c>
      <c r="PW100" s="56"/>
      <c r="PX100" s="242">
        <f t="shared" si="656"/>
        <v>0</v>
      </c>
      <c r="PY100" s="242">
        <f t="shared" si="657"/>
        <v>13.960000000000036</v>
      </c>
      <c r="PZ100" s="56"/>
      <c r="QC100" s="55">
        <f t="shared" si="658"/>
        <v>46106</v>
      </c>
      <c r="QD100" s="56"/>
      <c r="QE100" s="242">
        <f>SUMPRODUCT(PRODUCE!$B111:$DY111,PRODUCE!$EB$56:$IY$56)</f>
        <v>0</v>
      </c>
      <c r="QF100" s="56"/>
      <c r="QG100" s="242">
        <f t="shared" si="659"/>
        <v>0</v>
      </c>
      <c r="QH100" s="242">
        <f t="shared" si="660"/>
        <v>1212</v>
      </c>
      <c r="QI100" s="56"/>
      <c r="QL100" s="55">
        <f t="shared" si="661"/>
        <v>46106</v>
      </c>
      <c r="QM100" s="56"/>
      <c r="QN100" s="242">
        <f>SUMPRODUCT(PRODUCE!$B111:$DY111,PRODUCE!$EB$57:$IY$57)</f>
        <v>0</v>
      </c>
      <c r="QO100" s="56"/>
      <c r="QP100" s="242">
        <f t="shared" si="662"/>
        <v>0</v>
      </c>
      <c r="QQ100" s="242">
        <f t="shared" si="663"/>
        <v>0</v>
      </c>
      <c r="QR100" s="56"/>
      <c r="QU100" s="55">
        <f t="shared" si="664"/>
        <v>46106</v>
      </c>
      <c r="QV100" s="56"/>
      <c r="QW100" s="242">
        <f>SUMPRODUCT(PRODUCE!$B111:$DY111,PRODUCE!$EB$57:$IY$57)</f>
        <v>0</v>
      </c>
      <c r="QX100" s="56"/>
      <c r="QY100" s="242">
        <f t="shared" si="665"/>
        <v>0</v>
      </c>
      <c r="QZ100" s="242">
        <f t="shared" si="666"/>
        <v>207.6</v>
      </c>
      <c r="RA100" s="56"/>
      <c r="RD100" s="55">
        <f t="shared" si="667"/>
        <v>46106</v>
      </c>
      <c r="RE100" s="56"/>
      <c r="RF100" s="242">
        <f>SUMPRODUCT(PRODUCE!$B111:$DY111,PRODUCE!$EB$58:$IY$58)</f>
        <v>0</v>
      </c>
      <c r="RG100" s="56"/>
      <c r="RH100" s="242">
        <f t="shared" si="668"/>
        <v>0</v>
      </c>
      <c r="RI100" s="242">
        <f t="shared" si="669"/>
        <v>197.04000000000002</v>
      </c>
      <c r="RJ100" s="56"/>
      <c r="RM100" s="55">
        <f t="shared" si="670"/>
        <v>46106</v>
      </c>
      <c r="RN100" s="56"/>
      <c r="RO100" s="242">
        <f>SUMPRODUCT(PRODUCE!$B111:$DY111,PRODUCE!$EB$57:$IY$57)</f>
        <v>0</v>
      </c>
      <c r="RP100" s="56"/>
      <c r="RQ100" s="242">
        <f t="shared" si="671"/>
        <v>0</v>
      </c>
      <c r="RR100" s="242">
        <f t="shared" si="672"/>
        <v>46.8</v>
      </c>
      <c r="RS100" s="56"/>
      <c r="RV100" s="55">
        <f t="shared" si="673"/>
        <v>46106</v>
      </c>
      <c r="RW100" s="56"/>
      <c r="RX100" s="242">
        <f>SUMPRODUCT(PRODUCE!$B111:$DY111,PRODUCE!$EB$57:$IY$57)</f>
        <v>0</v>
      </c>
      <c r="RY100" s="56"/>
      <c r="RZ100" s="242">
        <f t="shared" si="674"/>
        <v>0</v>
      </c>
      <c r="SA100" s="242">
        <f t="shared" si="675"/>
        <v>0</v>
      </c>
      <c r="SB100" s="56"/>
      <c r="SE100" s="55">
        <f t="shared" si="676"/>
        <v>46106</v>
      </c>
      <c r="SF100" s="56"/>
      <c r="SG100" s="242">
        <f>SUMPRODUCT(PRODUCE!$B111:$DY111,PRODUCE!$EB$57:$IY$57)</f>
        <v>0</v>
      </c>
      <c r="SH100" s="56"/>
      <c r="SI100" s="242">
        <f t="shared" si="677"/>
        <v>0</v>
      </c>
      <c r="SJ100" s="242">
        <f t="shared" si="678"/>
        <v>0</v>
      </c>
      <c r="SK100" s="56"/>
      <c r="SN100" s="55">
        <f t="shared" si="679"/>
        <v>46106</v>
      </c>
      <c r="SO100" s="56"/>
      <c r="SP100" s="242">
        <f>SUMPRODUCT(PRODUCE!$B111:$DY111,PRODUCE!$EB$57:$IY$57)</f>
        <v>0</v>
      </c>
      <c r="SQ100" s="56"/>
      <c r="SR100" s="242">
        <f t="shared" si="680"/>
        <v>0</v>
      </c>
      <c r="SS100" s="242">
        <f t="shared" si="681"/>
        <v>0</v>
      </c>
      <c r="ST100" s="56"/>
      <c r="SW100" s="55">
        <f t="shared" si="682"/>
        <v>46106</v>
      </c>
      <c r="SX100" s="56"/>
      <c r="SY100" s="242">
        <f>SUMPRODUCT(PRODUCE!$B111:$DY111,PRODUCE!$EB$57:$IY$57)</f>
        <v>0</v>
      </c>
      <c r="SZ100" s="56"/>
      <c r="TA100" s="242">
        <f t="shared" si="683"/>
        <v>0</v>
      </c>
      <c r="TB100" s="242">
        <f t="shared" si="684"/>
        <v>0</v>
      </c>
      <c r="TC100" s="56"/>
      <c r="TF100" s="55">
        <f t="shared" si="685"/>
        <v>46106</v>
      </c>
      <c r="TG100" s="56"/>
      <c r="TH100" s="242">
        <f>SUMPRODUCT(PRODUCE!$B111:$DY111,PRODUCE!$EB$57:$IY$57)</f>
        <v>0</v>
      </c>
      <c r="TI100" s="56"/>
      <c r="TJ100" s="242">
        <f t="shared" si="686"/>
        <v>0</v>
      </c>
      <c r="TK100" s="242">
        <f t="shared" si="687"/>
        <v>0</v>
      </c>
      <c r="TL100" s="56"/>
      <c r="TO100" s="55">
        <f t="shared" si="688"/>
        <v>46106</v>
      </c>
      <c r="TP100" s="56"/>
      <c r="TQ100" s="242">
        <f>SUMPRODUCT(PRODUCE!$B111:$DY111,PRODUCE!$EB$57:$IY$57)</f>
        <v>0</v>
      </c>
      <c r="TR100" s="56"/>
      <c r="TS100" s="242">
        <f t="shared" si="689"/>
        <v>0</v>
      </c>
      <c r="TT100" s="242">
        <f t="shared" si="690"/>
        <v>0</v>
      </c>
      <c r="TU100" s="56"/>
      <c r="TX100" s="55">
        <f t="shared" si="691"/>
        <v>46106</v>
      </c>
      <c r="TY100" s="56"/>
      <c r="TZ100" s="242">
        <f>SUMPRODUCT(PRODUCE!$B111:$DY111,PRODUCE!$EB$57:$IY$57)</f>
        <v>0</v>
      </c>
      <c r="UA100" s="56"/>
      <c r="UB100" s="242">
        <f t="shared" si="692"/>
        <v>0</v>
      </c>
      <c r="UC100" s="242">
        <f t="shared" si="693"/>
        <v>0</v>
      </c>
      <c r="UD100" s="56"/>
      <c r="UG100" s="55">
        <f t="shared" si="694"/>
        <v>46106</v>
      </c>
      <c r="UH100" s="56"/>
      <c r="UI100" s="242">
        <f>SUMPRODUCT(PRODUCE!$B111:$DY111,PRODUCE!$EB$57:$IY$57)</f>
        <v>0</v>
      </c>
      <c r="UJ100" s="56"/>
      <c r="UK100" s="242">
        <f t="shared" si="695"/>
        <v>0</v>
      </c>
      <c r="UL100" s="242">
        <f t="shared" si="696"/>
        <v>0</v>
      </c>
      <c r="UM100" s="56"/>
      <c r="UP100" s="55">
        <f t="shared" si="697"/>
        <v>46106</v>
      </c>
      <c r="UQ100" s="56"/>
      <c r="UR100" s="242">
        <f>SUMPRODUCT(PRODUCE!$B111:$DY111,PRODUCE!$EB$57:$IY$57)</f>
        <v>0</v>
      </c>
      <c r="US100" s="56"/>
      <c r="UT100" s="242">
        <f t="shared" si="698"/>
        <v>0</v>
      </c>
      <c r="UU100" s="242">
        <f t="shared" si="699"/>
        <v>0</v>
      </c>
      <c r="UV100" s="56"/>
      <c r="UY100" s="55">
        <f t="shared" si="700"/>
        <v>46106</v>
      </c>
      <c r="UZ100" s="56"/>
      <c r="VA100" s="242">
        <f>SUMPRODUCT(PRODUCE!$B111:$DY111,PRODUCE!$EB$57:$IY$57)</f>
        <v>0</v>
      </c>
      <c r="VB100" s="56"/>
      <c r="VC100" s="242">
        <f t="shared" si="701"/>
        <v>0</v>
      </c>
      <c r="VD100" s="242">
        <f t="shared" si="702"/>
        <v>41.600000000000023</v>
      </c>
      <c r="VE100" s="56"/>
      <c r="VH100" s="55">
        <f t="shared" si="703"/>
        <v>46106</v>
      </c>
      <c r="VI100" s="56"/>
      <c r="VJ100" s="242">
        <f>SUMPRODUCT(PRODUCE!$B111:$DY111,PRODUCE!$EB$57:$IY$57)</f>
        <v>0</v>
      </c>
      <c r="VK100" s="56"/>
      <c r="VL100" s="242">
        <f t="shared" si="704"/>
        <v>0</v>
      </c>
      <c r="VM100" s="242">
        <f t="shared" si="705"/>
        <v>0</v>
      </c>
      <c r="VN100" s="56"/>
      <c r="VQ100" s="55">
        <f t="shared" si="706"/>
        <v>46106</v>
      </c>
      <c r="VR100" s="56"/>
      <c r="VS100" s="242">
        <f>SUMPRODUCT(PRODUCE!$B111:$DY111,PRODUCE!$EB$57:$IY$57)</f>
        <v>0</v>
      </c>
      <c r="VT100" s="56"/>
      <c r="VU100" s="242">
        <f t="shared" si="707"/>
        <v>0</v>
      </c>
      <c r="VV100" s="242">
        <f t="shared" si="708"/>
        <v>0</v>
      </c>
      <c r="VW100" s="56"/>
      <c r="VZ100" s="55">
        <f t="shared" si="709"/>
        <v>46106</v>
      </c>
      <c r="WA100" s="56"/>
      <c r="WB100" s="242">
        <f>SUMPRODUCT(PRODUCE!$B111:$DY111,PRODUCE!$EB$57:$IY$57)</f>
        <v>0</v>
      </c>
      <c r="WC100" s="56"/>
      <c r="WD100" s="242">
        <f t="shared" si="710"/>
        <v>0</v>
      </c>
      <c r="WE100" s="242">
        <f t="shared" si="711"/>
        <v>0</v>
      </c>
      <c r="WF100" s="56"/>
      <c r="WI100" s="55">
        <f t="shared" si="712"/>
        <v>46106</v>
      </c>
      <c r="WJ100" s="56"/>
      <c r="WK100" s="242">
        <f>SUMPRODUCT(PRODUCE!$B111:$DY111,PRODUCE!$EB$57:$IY$57)</f>
        <v>0</v>
      </c>
      <c r="WL100" s="56"/>
      <c r="WM100" s="242">
        <f t="shared" si="713"/>
        <v>0</v>
      </c>
      <c r="WN100" s="242">
        <f t="shared" si="714"/>
        <v>5180</v>
      </c>
      <c r="WO100" s="56"/>
      <c r="WR100" s="55">
        <f t="shared" si="715"/>
        <v>46106</v>
      </c>
      <c r="WS100" s="56"/>
      <c r="WT100" s="242">
        <f>SUMPRODUCT(PRODUCE!$B111:$DY111,PRODUCE!$EB$57:$IY$57)</f>
        <v>0</v>
      </c>
      <c r="WU100" s="56">
        <v>2415</v>
      </c>
      <c r="WV100" s="242">
        <f t="shared" si="716"/>
        <v>-2415</v>
      </c>
      <c r="WW100" s="242">
        <f t="shared" si="717"/>
        <v>850</v>
      </c>
      <c r="WX100" s="56"/>
      <c r="XA100" s="55">
        <f t="shared" si="718"/>
        <v>46106</v>
      </c>
      <c r="XB100" s="56"/>
      <c r="XC100" s="242">
        <f>SUMPRODUCT(PRODUCE!$B111:$DY111,PRODUCE!$EB$57:$IY$57)</f>
        <v>0</v>
      </c>
      <c r="XD100" s="56"/>
      <c r="XE100" s="242">
        <f t="shared" si="719"/>
        <v>0</v>
      </c>
      <c r="XF100" s="242">
        <f t="shared" si="720"/>
        <v>7142</v>
      </c>
      <c r="XG100" s="56"/>
      <c r="XJ100" s="55">
        <f t="shared" si="721"/>
        <v>46106</v>
      </c>
      <c r="XK100" s="56"/>
      <c r="XL100" s="242">
        <f>SUMPRODUCT(PRODUCE!$B111:$DY111,PRODUCE!$EB$57:$IY$57)</f>
        <v>0</v>
      </c>
      <c r="XM100" s="56"/>
      <c r="XN100" s="242">
        <f t="shared" si="722"/>
        <v>0</v>
      </c>
      <c r="XO100" s="242">
        <f t="shared" si="723"/>
        <v>7549</v>
      </c>
      <c r="XP100" s="56"/>
      <c r="XS100" s="55">
        <f t="shared" si="724"/>
        <v>46106</v>
      </c>
      <c r="XT100" s="56"/>
      <c r="XU100" s="242">
        <f>SUMPRODUCT(PRODUCE!$B111:$DY111,PRODUCE!$EB$57:$IY$57)</f>
        <v>0</v>
      </c>
      <c r="XV100" s="56"/>
      <c r="XW100" s="242">
        <f t="shared" si="725"/>
        <v>0</v>
      </c>
      <c r="XX100" s="242">
        <f t="shared" si="726"/>
        <v>1901</v>
      </c>
      <c r="XY100" s="56"/>
      <c r="YB100" s="55">
        <f t="shared" si="727"/>
        <v>46106</v>
      </c>
      <c r="YC100" s="56"/>
      <c r="YD100" s="242">
        <f>SUMPRODUCT(PRODUCE!$B111:$DY111,PRODUCE!$EB$57:$IY$57)</f>
        <v>0</v>
      </c>
      <c r="YE100" s="56"/>
      <c r="YF100" s="242">
        <f t="shared" si="728"/>
        <v>0</v>
      </c>
      <c r="YG100" s="242">
        <f t="shared" si="729"/>
        <v>6459</v>
      </c>
      <c r="YH100" s="56"/>
      <c r="YK100" s="55">
        <f t="shared" si="730"/>
        <v>46106</v>
      </c>
      <c r="YL100" s="56"/>
      <c r="YM100" s="242">
        <f>SUMPRODUCT(PRODUCE!$B111:$DY111,PRODUCE!$EB$57:$IY$57)</f>
        <v>0</v>
      </c>
      <c r="YN100" s="56"/>
      <c r="YO100" s="242">
        <f t="shared" si="731"/>
        <v>0</v>
      </c>
      <c r="YP100" s="242">
        <f t="shared" si="732"/>
        <v>0</v>
      </c>
      <c r="YQ100" s="56"/>
      <c r="YT100" s="55">
        <f t="shared" si="733"/>
        <v>46106</v>
      </c>
      <c r="YU100" s="56"/>
      <c r="YV100" s="242">
        <f>SUMPRODUCT(PRODUCE!$B111:$DY111,PRODUCE!$EB$57:$IY$57)</f>
        <v>0</v>
      </c>
      <c r="YW100" s="56"/>
      <c r="YX100" s="242">
        <f t="shared" si="734"/>
        <v>0</v>
      </c>
      <c r="YY100" s="242">
        <f t="shared" si="735"/>
        <v>0</v>
      </c>
      <c r="YZ100" s="56"/>
      <c r="ZC100" s="55">
        <f t="shared" si="736"/>
        <v>46106</v>
      </c>
      <c r="ZD100" s="56"/>
      <c r="ZE100" s="242">
        <f>SUMPRODUCT(PRODUCE!$B111:$DY111,PRODUCE!$EB$57:$IY$57)</f>
        <v>0</v>
      </c>
      <c r="ZF100" s="56"/>
      <c r="ZG100" s="242">
        <f t="shared" si="737"/>
        <v>0</v>
      </c>
      <c r="ZH100" s="242">
        <f t="shared" si="738"/>
        <v>0</v>
      </c>
      <c r="ZI100" s="56"/>
      <c r="ZL100" s="55">
        <f t="shared" si="739"/>
        <v>46106</v>
      </c>
      <c r="ZM100" s="56"/>
      <c r="ZN100" s="242">
        <f>SUMPRODUCT(PRODUCE!$B111:$DY111,PRODUCE!$EB$57:$IY$57)</f>
        <v>0</v>
      </c>
      <c r="ZO100" s="56"/>
      <c r="ZP100" s="242">
        <f t="shared" si="740"/>
        <v>0</v>
      </c>
      <c r="ZQ100" s="242">
        <f t="shared" si="741"/>
        <v>0</v>
      </c>
      <c r="ZR100" s="56"/>
      <c r="ZU100" s="55">
        <f t="shared" si="742"/>
        <v>46106</v>
      </c>
      <c r="ZV100" s="56"/>
      <c r="ZW100" s="242">
        <f>SUMPRODUCT(PRODUCE!$B111:$DY111,PRODUCE!$EB$57:$IY$57)</f>
        <v>0</v>
      </c>
      <c r="ZX100" s="56"/>
      <c r="ZY100" s="242">
        <f t="shared" si="743"/>
        <v>0</v>
      </c>
      <c r="ZZ100" s="242">
        <f t="shared" si="744"/>
        <v>0</v>
      </c>
      <c r="AAA100" s="56"/>
      <c r="AAD100" s="55">
        <f t="shared" si="745"/>
        <v>46106</v>
      </c>
      <c r="AAE100" s="56"/>
      <c r="AAF100" s="242">
        <f>SUMPRODUCT(PRODUCE!$B111:$DY111,PRODUCE!$EB$57:$IY$57)</f>
        <v>0</v>
      </c>
      <c r="AAG100" s="56"/>
      <c r="AAH100" s="242">
        <f t="shared" si="746"/>
        <v>0</v>
      </c>
      <c r="AAI100" s="242">
        <f t="shared" si="747"/>
        <v>0</v>
      </c>
      <c r="AAJ100" s="56"/>
      <c r="AAM100" s="55">
        <f t="shared" si="748"/>
        <v>46106</v>
      </c>
      <c r="AAN100" s="56"/>
      <c r="AAO100" s="242">
        <f>SUMPRODUCT(PRODUCE!$B111:$DY111,PRODUCE!$EB$57:$IY$57)</f>
        <v>0</v>
      </c>
      <c r="AAP100" s="56"/>
      <c r="AAQ100" s="242">
        <f t="shared" si="749"/>
        <v>0</v>
      </c>
      <c r="AAR100" s="242">
        <f t="shared" si="750"/>
        <v>0</v>
      </c>
      <c r="AAS100" s="56"/>
      <c r="AAV100" s="55">
        <f t="shared" si="751"/>
        <v>46106</v>
      </c>
      <c r="AAW100" s="56"/>
      <c r="AAX100" s="242">
        <f>SUMPRODUCT(PRODUCE!$B111:$DY111,PRODUCE!$EB$57:$IY$57)</f>
        <v>0</v>
      </c>
      <c r="AAY100" s="56"/>
      <c r="AAZ100" s="242">
        <f t="shared" si="752"/>
        <v>0</v>
      </c>
      <c r="ABA100" s="242">
        <f t="shared" si="753"/>
        <v>0</v>
      </c>
      <c r="ABB100" s="56"/>
      <c r="ABE100" s="55">
        <f t="shared" si="754"/>
        <v>46106</v>
      </c>
      <c r="ABF100" s="56"/>
      <c r="ABG100" s="242">
        <f>SUMPRODUCT(PRODUCE!$B111:$DY111,PRODUCE!$EB$57:$IY$57)</f>
        <v>0</v>
      </c>
      <c r="ABH100" s="56"/>
      <c r="ABI100" s="242">
        <f t="shared" si="755"/>
        <v>0</v>
      </c>
      <c r="ABJ100" s="242">
        <f t="shared" si="756"/>
        <v>0</v>
      </c>
      <c r="ABK100" s="56"/>
    </row>
    <row r="101" spans="1:739" s="54" customFormat="1" ht="15" customHeight="1" outlineLevel="1">
      <c r="B101" s="478">
        <f>24+10+16</f>
        <v>50</v>
      </c>
      <c r="C101" s="55">
        <v>46107</v>
      </c>
      <c r="D101" s="422"/>
      <c r="E101" s="423">
        <f>SUMPRODUCT(PRODUCE!$B112:$DY112,PRODUCE!$EB$7:$IY$7)</f>
        <v>26280.799999999999</v>
      </c>
      <c r="F101" s="422">
        <v>26265.8</v>
      </c>
      <c r="G101" s="423">
        <f t="shared" si="514"/>
        <v>15</v>
      </c>
      <c r="H101" s="423">
        <f t="shared" si="512"/>
        <v>136955.39999999997</v>
      </c>
      <c r="I101" s="289" t="s">
        <v>231</v>
      </c>
      <c r="L101" s="55">
        <f t="shared" si="513"/>
        <v>46107</v>
      </c>
      <c r="M101" s="422"/>
      <c r="N101" s="438">
        <f>SUMPRODUCT(PRODUCE!$B112:$DY112,PRODUCE!$EB$8:$IY$8)</f>
        <v>12659</v>
      </c>
      <c r="O101" s="422">
        <v>12662.8</v>
      </c>
      <c r="P101" s="438">
        <f t="shared" si="515"/>
        <v>-3.7999999999992724</v>
      </c>
      <c r="Q101" s="438">
        <f t="shared" si="516"/>
        <v>57445.200000000084</v>
      </c>
      <c r="R101" s="56"/>
      <c r="U101" s="55">
        <f t="shared" si="517"/>
        <v>46107</v>
      </c>
      <c r="V101" s="422"/>
      <c r="W101" s="440">
        <f>SUMPRODUCT(PRODUCE!$B112:$DY112,PRODUCE!$EB$9:$IY$9)</f>
        <v>2846</v>
      </c>
      <c r="X101" s="422">
        <v>2846.4</v>
      </c>
      <c r="Y101" s="440">
        <f t="shared" si="518"/>
        <v>-0.40000000000009095</v>
      </c>
      <c r="Z101" s="440">
        <f t="shared" si="519"/>
        <v>37247.299999999967</v>
      </c>
      <c r="AA101" s="56"/>
      <c r="AD101" s="55">
        <f t="shared" si="520"/>
        <v>46107</v>
      </c>
      <c r="AE101" s="422"/>
      <c r="AF101" s="442">
        <f>SUMPRODUCT(PRODUCE!$B112:$DY112,PRODUCE!$EB$10:$IY$10)</f>
        <v>1160</v>
      </c>
      <c r="AG101" s="422">
        <v>1161.3</v>
      </c>
      <c r="AH101" s="442">
        <f t="shared" si="521"/>
        <v>-1.2999999999999545</v>
      </c>
      <c r="AI101" s="442">
        <f t="shared" si="522"/>
        <v>35497.000000000015</v>
      </c>
      <c r="AJ101" s="56"/>
      <c r="AM101" s="55">
        <f t="shared" si="523"/>
        <v>46107</v>
      </c>
      <c r="AN101" s="422"/>
      <c r="AO101" s="444">
        <f>SUMPRODUCT(PRODUCE!$B112:$DY112,PRODUCE!$EB$11:$IY$11)</f>
        <v>0</v>
      </c>
      <c r="AP101" s="422"/>
      <c r="AQ101" s="444">
        <f t="shared" si="524"/>
        <v>0</v>
      </c>
      <c r="AR101" s="444">
        <f t="shared" si="525"/>
        <v>0</v>
      </c>
      <c r="AS101" s="56"/>
      <c r="AV101" s="55">
        <f t="shared" si="526"/>
        <v>46107</v>
      </c>
      <c r="AW101" s="422"/>
      <c r="AX101" s="446">
        <f>SUMPRODUCT(PRODUCE!$B112:$DY112,PRODUCE!$EB$12:$IY$12)</f>
        <v>920</v>
      </c>
      <c r="AY101" s="422">
        <v>921.6</v>
      </c>
      <c r="AZ101" s="446">
        <f t="shared" si="527"/>
        <v>-1.6000000000000227</v>
      </c>
      <c r="BA101" s="446">
        <f t="shared" si="528"/>
        <v>20146.499999999985</v>
      </c>
      <c r="BB101" s="56"/>
      <c r="BE101" s="55">
        <f t="shared" si="529"/>
        <v>46107</v>
      </c>
      <c r="BF101" s="422"/>
      <c r="BG101" s="448">
        <f>SUMPRODUCT(PRODUCE!$B112:$DY112,PRODUCE!$EB$13:$IY$13)</f>
        <v>1122</v>
      </c>
      <c r="BH101" s="422">
        <v>1121.5</v>
      </c>
      <c r="BI101" s="448">
        <f t="shared" si="530"/>
        <v>0.5</v>
      </c>
      <c r="BJ101" s="448">
        <f t="shared" si="531"/>
        <v>8033.6000000000022</v>
      </c>
      <c r="BK101" s="56"/>
      <c r="BN101" s="55">
        <f t="shared" si="532"/>
        <v>46107</v>
      </c>
      <c r="BO101" s="422">
        <v>875</v>
      </c>
      <c r="BP101" s="450">
        <f>SUMPRODUCT(PRODUCE!$B112:$DY112,PRODUCE!$EB$14:$IY$14)</f>
        <v>875</v>
      </c>
      <c r="BQ101" s="422">
        <v>875</v>
      </c>
      <c r="BR101" s="450">
        <f t="shared" si="533"/>
        <v>0</v>
      </c>
      <c r="BS101" s="450">
        <f t="shared" si="534"/>
        <v>0</v>
      </c>
      <c r="BT101" s="56"/>
      <c r="BW101" s="55">
        <f t="shared" si="535"/>
        <v>46107</v>
      </c>
      <c r="BX101" s="56">
        <v>10000</v>
      </c>
      <c r="BY101" s="65">
        <f>SUMPRODUCT(PRODUCE!$B112:$DY112,PRODUCE!$EB$15:$IY$15)</f>
        <v>199.00000000000003</v>
      </c>
      <c r="BZ101" s="56"/>
      <c r="CA101" s="65">
        <f t="shared" si="536"/>
        <v>199.00000000000003</v>
      </c>
      <c r="CB101" s="65">
        <f t="shared" si="537"/>
        <v>12708.3</v>
      </c>
      <c r="CC101" s="56"/>
      <c r="CF101" s="55">
        <f t="shared" si="538"/>
        <v>46107</v>
      </c>
      <c r="CG101" s="56"/>
      <c r="CH101" s="66">
        <f>SUMPRODUCT(PRODUCE!$B112:$DY112,PRODUCE!$EB$16:$IY$16)</f>
        <v>272.39999999999998</v>
      </c>
      <c r="CI101" s="56"/>
      <c r="CJ101" s="66">
        <f t="shared" si="539"/>
        <v>272.39999999999998</v>
      </c>
      <c r="CK101" s="66">
        <f t="shared" si="540"/>
        <v>0</v>
      </c>
      <c r="CL101" s="56"/>
      <c r="CO101" s="55">
        <f t="shared" si="541"/>
        <v>46107</v>
      </c>
      <c r="CP101" s="422"/>
      <c r="CQ101" s="470">
        <f>SUMPRODUCT(PRODUCE!$B112:$DY112,PRODUCE!$EB$17:$IY$17)</f>
        <v>0</v>
      </c>
      <c r="CR101" s="422"/>
      <c r="CS101" s="470">
        <f t="shared" si="542"/>
        <v>0</v>
      </c>
      <c r="CT101" s="470">
        <f t="shared" si="543"/>
        <v>0</v>
      </c>
      <c r="CU101" s="56"/>
      <c r="CX101" s="55">
        <f t="shared" si="544"/>
        <v>46107</v>
      </c>
      <c r="CY101" s="56"/>
      <c r="CZ101" s="133">
        <f>SUMPRODUCT(PRODUCE!$B112:$DY112,PRODUCE!$EB$18:$IY$18)</f>
        <v>1304</v>
      </c>
      <c r="DA101" s="56">
        <v>1304.4000000000001</v>
      </c>
      <c r="DB101" s="133">
        <f t="shared" si="545"/>
        <v>-0.40000000000009095</v>
      </c>
      <c r="DC101" s="133">
        <f t="shared" si="546"/>
        <v>38675.699999999997</v>
      </c>
      <c r="DD101" s="56"/>
      <c r="DG101" s="55">
        <f t="shared" si="547"/>
        <v>46107</v>
      </c>
      <c r="DH101" s="56"/>
      <c r="DI101" s="147">
        <f>SUMPRODUCT(PRODUCE!$B112:$DY112,PRODUCE!$EB$19:$IY$19)</f>
        <v>484</v>
      </c>
      <c r="DJ101" s="56">
        <v>485</v>
      </c>
      <c r="DK101" s="147">
        <f t="shared" si="548"/>
        <v>-1</v>
      </c>
      <c r="DL101" s="147">
        <f t="shared" si="549"/>
        <v>11434.399999999996</v>
      </c>
      <c r="DM101" s="56"/>
      <c r="DP101" s="55">
        <f t="shared" si="550"/>
        <v>46107</v>
      </c>
      <c r="DQ101" s="56"/>
      <c r="DR101" s="57">
        <f>SUMPRODUCT(PRODUCE!$B112:$DY112,PRODUCE!$EB$20:$IY$20)</f>
        <v>0</v>
      </c>
      <c r="DS101" s="56"/>
      <c r="DT101" s="57">
        <f t="shared" si="551"/>
        <v>0</v>
      </c>
      <c r="DU101" s="57">
        <f t="shared" si="552"/>
        <v>7150</v>
      </c>
      <c r="DV101" s="56"/>
      <c r="DY101" s="55">
        <f t="shared" si="553"/>
        <v>46107</v>
      </c>
      <c r="DZ101" s="56"/>
      <c r="EA101" s="157">
        <f>SUMPRODUCT(PRODUCE!$B112:$DY112,PRODUCE!$EB$21:$IY$21)</f>
        <v>600</v>
      </c>
      <c r="EB101" s="56">
        <v>600</v>
      </c>
      <c r="EC101" s="157">
        <f t="shared" si="554"/>
        <v>0</v>
      </c>
      <c r="ED101" s="157">
        <f t="shared" si="555"/>
        <v>2347.3000000000002</v>
      </c>
      <c r="EE101" s="56"/>
      <c r="EH101" s="55">
        <f t="shared" si="556"/>
        <v>46107</v>
      </c>
      <c r="EI101" s="56"/>
      <c r="EJ101" s="162">
        <f>SUMPRODUCT(PRODUCE!$B112:$DY112,PRODUCE!$EB$22:$IY$22)</f>
        <v>0</v>
      </c>
      <c r="EK101" s="56"/>
      <c r="EL101" s="162">
        <f t="shared" si="557"/>
        <v>0</v>
      </c>
      <c r="EM101" s="162">
        <f t="shared" si="558"/>
        <v>0</v>
      </c>
      <c r="EN101" s="56"/>
      <c r="EQ101" s="55">
        <f t="shared" si="559"/>
        <v>46107</v>
      </c>
      <c r="ER101" s="56"/>
      <c r="ES101" s="135">
        <f>SUMPRODUCT(PRODUCE!$B112:$DY112,PRODUCE!$EB$23:$IY$23)</f>
        <v>0</v>
      </c>
      <c r="ET101" s="56"/>
      <c r="EU101" s="135">
        <f t="shared" si="560"/>
        <v>0</v>
      </c>
      <c r="EV101" s="135">
        <f t="shared" si="561"/>
        <v>0</v>
      </c>
      <c r="EW101" s="56"/>
      <c r="EZ101" s="55">
        <f t="shared" si="562"/>
        <v>46107</v>
      </c>
      <c r="FA101" s="56"/>
      <c r="FB101" s="175">
        <f>SUMPRODUCT(PRODUCE!$B112:$DY112,PRODUCE!$EB$24:$IY$24)</f>
        <v>0</v>
      </c>
      <c r="FC101" s="56"/>
      <c r="FD101" s="175">
        <f t="shared" si="563"/>
        <v>0</v>
      </c>
      <c r="FE101" s="175">
        <f t="shared" si="564"/>
        <v>0</v>
      </c>
      <c r="FF101" s="56"/>
      <c r="FI101" s="55">
        <f t="shared" si="565"/>
        <v>46107</v>
      </c>
      <c r="FJ101" s="56"/>
      <c r="FK101" s="183">
        <f>SUMPRODUCT(PRODUCE!$B112:$DY112,PRODUCE!$EB$25:$IY$25)</f>
        <v>0</v>
      </c>
      <c r="FL101" s="56"/>
      <c r="FM101" s="183">
        <f t="shared" si="566"/>
        <v>0</v>
      </c>
      <c r="FN101" s="183">
        <f t="shared" si="567"/>
        <v>0</v>
      </c>
      <c r="FO101" s="56"/>
      <c r="FR101" s="55">
        <f t="shared" si="568"/>
        <v>46107</v>
      </c>
      <c r="FS101" s="422"/>
      <c r="FT101" s="452">
        <f>SUMPRODUCT(PRODUCE!$B112:$DY112,PRODUCE!$EB$26:$IY$26)</f>
        <v>320</v>
      </c>
      <c r="FU101" s="422"/>
      <c r="FV101" s="452">
        <f t="shared" si="569"/>
        <v>320</v>
      </c>
      <c r="FW101" s="452">
        <f t="shared" si="570"/>
        <v>3220</v>
      </c>
      <c r="FX101" s="56"/>
      <c r="GA101" s="55">
        <f t="shared" si="571"/>
        <v>46107</v>
      </c>
      <c r="GB101" s="422"/>
      <c r="GC101" s="454">
        <f>SUMPRODUCT(PRODUCE!$B112:$DY112,PRODUCE!$EB$27:$IY$27)</f>
        <v>0</v>
      </c>
      <c r="GD101" s="422"/>
      <c r="GE101" s="454">
        <f t="shared" si="572"/>
        <v>0</v>
      </c>
      <c r="GF101" s="454">
        <f t="shared" si="573"/>
        <v>0</v>
      </c>
      <c r="GG101" s="56"/>
      <c r="GI101" s="23"/>
      <c r="GJ101" s="55">
        <f t="shared" si="574"/>
        <v>46107</v>
      </c>
      <c r="GK101" s="422"/>
      <c r="GL101" s="456">
        <f>SUMPRODUCT(PRODUCE!$B112:$DY112,PRODUCE!$EB$28:$IY$28)</f>
        <v>0</v>
      </c>
      <c r="GM101" s="422"/>
      <c r="GN101" s="456">
        <f t="shared" si="575"/>
        <v>0</v>
      </c>
      <c r="GO101" s="456">
        <f t="shared" si="576"/>
        <v>5240</v>
      </c>
      <c r="GP101" s="56"/>
      <c r="GS101" s="55">
        <f t="shared" si="577"/>
        <v>46107</v>
      </c>
      <c r="GT101" s="56"/>
      <c r="GU101" s="195">
        <f>SUMPRODUCT(PRODUCE!$B112:$DY112,PRODUCE!$EB$29:$IY$29)</f>
        <v>0</v>
      </c>
      <c r="GV101" s="56"/>
      <c r="GW101" s="195">
        <f t="shared" si="578"/>
        <v>0</v>
      </c>
      <c r="GX101" s="195">
        <f t="shared" si="579"/>
        <v>0</v>
      </c>
      <c r="GY101" s="56"/>
      <c r="HB101" s="55">
        <f t="shared" si="580"/>
        <v>46107</v>
      </c>
      <c r="HC101" s="56"/>
      <c r="HD101" s="191">
        <f>SUMPRODUCT(PRODUCE!$B112:$DY112,PRODUCE!$EB$30:$IY$30)</f>
        <v>0</v>
      </c>
      <c r="HE101" s="56"/>
      <c r="HF101" s="191">
        <f t="shared" si="581"/>
        <v>0</v>
      </c>
      <c r="HG101" s="191">
        <f t="shared" si="582"/>
        <v>0</v>
      </c>
      <c r="HH101" s="56"/>
      <c r="HK101" s="55">
        <f t="shared" si="583"/>
        <v>46107</v>
      </c>
      <c r="HL101" s="56"/>
      <c r="HM101" s="63">
        <f>SUMPRODUCT(PRODUCE!$B112:$DY112,PRODUCE!$EB$31:$IY$31)</f>
        <v>0</v>
      </c>
      <c r="HN101" s="56"/>
      <c r="HO101" s="63">
        <f t="shared" si="584"/>
        <v>0</v>
      </c>
      <c r="HP101" s="63">
        <f t="shared" si="585"/>
        <v>0</v>
      </c>
      <c r="HQ101" s="56"/>
      <c r="HU101" s="55">
        <f t="shared" si="586"/>
        <v>46107</v>
      </c>
      <c r="HV101" s="56"/>
      <c r="HW101" s="242">
        <f>SUMPRODUCT(PRODUCE!$B112:$DY112,PRODUCE!$EB$32:$IY$32)</f>
        <v>0</v>
      </c>
      <c r="HX101" s="56"/>
      <c r="HY101" s="242">
        <f t="shared" si="587"/>
        <v>0</v>
      </c>
      <c r="HZ101" s="242">
        <f t="shared" si="588"/>
        <v>5120</v>
      </c>
      <c r="IA101" s="56"/>
      <c r="ID101" s="55">
        <f t="shared" si="589"/>
        <v>46107</v>
      </c>
      <c r="IE101" s="56"/>
      <c r="IF101" s="242">
        <f>SUMPRODUCT(PRODUCE!$B112:$DY112,PRODUCE!$EB$33:$IY$33)</f>
        <v>0</v>
      </c>
      <c r="IG101" s="56"/>
      <c r="IH101" s="242">
        <f t="shared" si="590"/>
        <v>0</v>
      </c>
      <c r="II101" s="242">
        <f t="shared" si="591"/>
        <v>6540</v>
      </c>
      <c r="IJ101" s="56"/>
      <c r="IM101" s="55">
        <f t="shared" si="592"/>
        <v>46107</v>
      </c>
      <c r="IN101" s="56"/>
      <c r="IO101" s="242">
        <f>SUMPRODUCT(PRODUCE!$B112:$DY112,PRODUCE!$EB$34:$IY$34)</f>
        <v>0</v>
      </c>
      <c r="IP101" s="56"/>
      <c r="IQ101" s="242">
        <f t="shared" si="593"/>
        <v>0</v>
      </c>
      <c r="IR101" s="242">
        <f t="shared" si="594"/>
        <v>11540</v>
      </c>
      <c r="IS101" s="56"/>
      <c r="IV101" s="55">
        <f t="shared" si="595"/>
        <v>46107</v>
      </c>
      <c r="IW101" s="56"/>
      <c r="IX101" s="242">
        <f>SUMPRODUCT(PRODUCE!$B112:$DY112,PRODUCE!$EB$35:$IY$35)</f>
        <v>0</v>
      </c>
      <c r="IY101" s="56"/>
      <c r="IZ101" s="242">
        <f t="shared" si="596"/>
        <v>0</v>
      </c>
      <c r="JA101" s="242">
        <f t="shared" si="597"/>
        <v>15120</v>
      </c>
      <c r="JB101" s="56"/>
      <c r="JE101" s="55">
        <f t="shared" si="598"/>
        <v>46107</v>
      </c>
      <c r="JF101" s="56"/>
      <c r="JG101" s="242">
        <f>SUMPRODUCT(PRODUCE!$B112:$DY112,PRODUCE!$EB$36:$IY$36)</f>
        <v>0</v>
      </c>
      <c r="JH101" s="56"/>
      <c r="JI101" s="242">
        <f t="shared" si="599"/>
        <v>0</v>
      </c>
      <c r="JJ101" s="242">
        <f t="shared" si="600"/>
        <v>5040</v>
      </c>
      <c r="JK101" s="56"/>
      <c r="JN101" s="55">
        <f t="shared" si="601"/>
        <v>46107</v>
      </c>
      <c r="JO101" s="56"/>
      <c r="JP101" s="242">
        <f>SUMPRODUCT(PRODUCE!$B112:$DY112,PRODUCE!$EB$37:$IY$37)</f>
        <v>0</v>
      </c>
      <c r="JQ101" s="56"/>
      <c r="JR101" s="242">
        <f t="shared" si="602"/>
        <v>0</v>
      </c>
      <c r="JS101" s="242">
        <f t="shared" si="603"/>
        <v>9100</v>
      </c>
      <c r="JT101" s="56"/>
      <c r="JW101" s="55">
        <f t="shared" si="604"/>
        <v>46107</v>
      </c>
      <c r="JX101" s="56"/>
      <c r="JY101" s="242">
        <f>SUMPRODUCT(PRODUCE!$B112:$DY112,PRODUCE!$EB$38:$IY$38)</f>
        <v>480</v>
      </c>
      <c r="JZ101" s="56"/>
      <c r="KA101" s="242">
        <f t="shared" si="605"/>
        <v>480</v>
      </c>
      <c r="KB101" s="242">
        <f t="shared" si="606"/>
        <v>5140</v>
      </c>
      <c r="KC101" s="56"/>
      <c r="KF101" s="55">
        <f t="shared" si="607"/>
        <v>46107</v>
      </c>
      <c r="KG101" s="56"/>
      <c r="KH101" s="242">
        <f>SUMPRODUCT(PRODUCE!$B112:$DY112,PRODUCE!$EB$39:$IY$39)</f>
        <v>0</v>
      </c>
      <c r="KI101" s="56"/>
      <c r="KJ101" s="242">
        <f t="shared" si="608"/>
        <v>0</v>
      </c>
      <c r="KK101" s="242">
        <f t="shared" si="609"/>
        <v>8989.5</v>
      </c>
      <c r="KL101" s="56"/>
      <c r="KO101" s="55">
        <f t="shared" si="610"/>
        <v>46107</v>
      </c>
      <c r="KP101" s="56"/>
      <c r="KQ101" s="242">
        <f>SUMPRODUCT(PRODUCE!$B112:$DY112,PRODUCE!$EB$40:$IY$40)</f>
        <v>189</v>
      </c>
      <c r="KR101" s="56"/>
      <c r="KS101" s="242">
        <f t="shared" si="611"/>
        <v>189</v>
      </c>
      <c r="KT101" s="242">
        <f t="shared" si="612"/>
        <v>6804</v>
      </c>
      <c r="KU101" s="56"/>
      <c r="KW101" s="23"/>
      <c r="KX101" s="55">
        <f t="shared" si="613"/>
        <v>46107</v>
      </c>
      <c r="KY101" s="56"/>
      <c r="KZ101" s="242">
        <f>SUMPRODUCT(PRODUCE!$B112:$DY112,PRODUCE!$EB$41:$IY$41)</f>
        <v>0</v>
      </c>
      <c r="LA101" s="56"/>
      <c r="LB101" s="242">
        <f t="shared" si="614"/>
        <v>0</v>
      </c>
      <c r="LC101" s="242">
        <f t="shared" si="615"/>
        <v>0</v>
      </c>
      <c r="LD101" s="56"/>
      <c r="LG101" s="55">
        <f t="shared" si="616"/>
        <v>46107</v>
      </c>
      <c r="LH101" s="56"/>
      <c r="LI101" s="242">
        <f>SUMPRODUCT(PRODUCE!$B112:$DY112,PRODUCE!$EB$42:$IY$42)</f>
        <v>0</v>
      </c>
      <c r="LJ101" s="56"/>
      <c r="LK101" s="242">
        <f t="shared" si="617"/>
        <v>0</v>
      </c>
      <c r="LL101" s="242">
        <f t="shared" si="618"/>
        <v>0</v>
      </c>
      <c r="LM101" s="56"/>
      <c r="LP101" s="55">
        <f t="shared" si="619"/>
        <v>46107</v>
      </c>
      <c r="LQ101" s="56"/>
      <c r="LR101" s="242">
        <f>SUMPRODUCT(PRODUCE!$B116:$DY116,PRODUCE!$EB$43:$IY$43)</f>
        <v>0</v>
      </c>
      <c r="LS101" s="56"/>
      <c r="LT101" s="242">
        <f t="shared" si="620"/>
        <v>0</v>
      </c>
      <c r="LU101" s="242">
        <f t="shared" si="621"/>
        <v>0</v>
      </c>
      <c r="LV101" s="56"/>
      <c r="LY101" s="55">
        <f t="shared" si="622"/>
        <v>46107</v>
      </c>
      <c r="LZ101" s="56"/>
      <c r="MA101" s="242">
        <f>SUMPRODUCT(PRODUCE!$B112:$DY112,PRODUCE!$EB$44:$IY$44)</f>
        <v>0</v>
      </c>
      <c r="MB101" s="56"/>
      <c r="MC101" s="242">
        <f t="shared" si="623"/>
        <v>0</v>
      </c>
      <c r="MD101" s="242">
        <f t="shared" si="624"/>
        <v>0</v>
      </c>
      <c r="ME101" s="56"/>
      <c r="MH101" s="55">
        <f t="shared" si="625"/>
        <v>46107</v>
      </c>
      <c r="MI101" s="56"/>
      <c r="MJ101" s="242">
        <f>SUMPRODUCT(PRODUCE!$B112:$DY112,PRODUCE!$EB$45:$IY$45)</f>
        <v>0</v>
      </c>
      <c r="MK101" s="56"/>
      <c r="ML101" s="242">
        <f t="shared" si="626"/>
        <v>0</v>
      </c>
      <c r="MM101" s="242">
        <f t="shared" si="627"/>
        <v>0</v>
      </c>
      <c r="MN101" s="56"/>
      <c r="MQ101" s="55">
        <f t="shared" si="628"/>
        <v>46107</v>
      </c>
      <c r="MR101" s="56"/>
      <c r="MS101" s="242">
        <f>SUMPRODUCT(PRODUCE!$B112:$DY112,PRODUCE!$EB$46:$IY$46)</f>
        <v>76</v>
      </c>
      <c r="MT101" s="56"/>
      <c r="MU101" s="242">
        <f t="shared" si="629"/>
        <v>76</v>
      </c>
      <c r="MV101" s="242">
        <f t="shared" si="630"/>
        <v>4551</v>
      </c>
      <c r="MW101" s="56"/>
      <c r="MZ101" s="55">
        <f t="shared" si="631"/>
        <v>46107</v>
      </c>
      <c r="NA101" s="56"/>
      <c r="NB101" s="242">
        <f>SUMPRODUCT(PRODUCE!$B112:$DY112,PRODUCE!$EB$47:$IY$47)</f>
        <v>102</v>
      </c>
      <c r="NC101" s="56"/>
      <c r="ND101" s="242">
        <f t="shared" si="632"/>
        <v>102</v>
      </c>
      <c r="NE101" s="242">
        <f t="shared" si="633"/>
        <v>0</v>
      </c>
      <c r="NF101" s="56"/>
      <c r="NI101" s="55">
        <f t="shared" si="634"/>
        <v>46107</v>
      </c>
      <c r="NJ101" s="56">
        <v>1600</v>
      </c>
      <c r="NK101" s="242">
        <f>SUMPRODUCT(PRODUCE!$B112:$DY112,PRODUCE!$EB$48:$IY$48)</f>
        <v>0</v>
      </c>
      <c r="NL101" s="56"/>
      <c r="NM101" s="242">
        <f t="shared" si="635"/>
        <v>0</v>
      </c>
      <c r="NN101" s="242">
        <f t="shared" si="636"/>
        <v>2065</v>
      </c>
      <c r="NO101" s="56"/>
      <c r="NR101" s="55">
        <f t="shared" si="637"/>
        <v>46107</v>
      </c>
      <c r="NS101" s="56">
        <v>3000</v>
      </c>
      <c r="NT101" s="242">
        <f>SUMPRODUCT(PRODUCE!$B112:$DY112,PRODUCE!$EB$49:$IY$49)</f>
        <v>16.8</v>
      </c>
      <c r="NU101" s="56"/>
      <c r="NV101" s="242">
        <f t="shared" si="638"/>
        <v>16.8</v>
      </c>
      <c r="NW101" s="242">
        <f t="shared" si="639"/>
        <v>4264.8999999999996</v>
      </c>
      <c r="NX101" s="56"/>
      <c r="OA101" s="55">
        <f t="shared" si="640"/>
        <v>46107</v>
      </c>
      <c r="OB101" s="56"/>
      <c r="OC101" s="242">
        <f>SUMPRODUCT(PRODUCE!$B112:$DY112,PRODUCE!$EB$50:$IY$50)</f>
        <v>0</v>
      </c>
      <c r="OD101" s="56"/>
      <c r="OE101" s="242">
        <f t="shared" si="641"/>
        <v>0</v>
      </c>
      <c r="OF101" s="242">
        <f t="shared" si="642"/>
        <v>1680.5</v>
      </c>
      <c r="OG101" s="56"/>
      <c r="OJ101" s="55">
        <f t="shared" si="643"/>
        <v>46107</v>
      </c>
      <c r="OK101" s="56"/>
      <c r="OL101" s="242">
        <f>SUMPRODUCT(PRODUCE!$B112:$DY112,PRODUCE!$EB$51:$IY$51)</f>
        <v>94</v>
      </c>
      <c r="OM101" s="56"/>
      <c r="ON101" s="242">
        <f t="shared" si="644"/>
        <v>94</v>
      </c>
      <c r="OO101" s="242">
        <f t="shared" si="645"/>
        <v>0</v>
      </c>
      <c r="OP101" s="56"/>
      <c r="OS101" s="55">
        <f t="shared" si="646"/>
        <v>46107</v>
      </c>
      <c r="OT101" s="56"/>
      <c r="OU101" s="242">
        <f>SUMPRODUCT(PRODUCE!$B112:$DY112,PRODUCE!$EB$52:$IY$52)</f>
        <v>0</v>
      </c>
      <c r="OV101" s="56"/>
      <c r="OW101" s="242">
        <f t="shared" si="647"/>
        <v>0</v>
      </c>
      <c r="OX101" s="242">
        <f t="shared" si="648"/>
        <v>1000</v>
      </c>
      <c r="OY101" s="56"/>
      <c r="PB101" s="55">
        <f t="shared" si="649"/>
        <v>46107</v>
      </c>
      <c r="PC101" s="56"/>
      <c r="PD101" s="242">
        <f>SUMPRODUCT(PRODUCE!$B112:$DY112,PRODUCE!$EB$53:$IY$53)</f>
        <v>0</v>
      </c>
      <c r="PE101" s="56"/>
      <c r="PF101" s="242">
        <f t="shared" si="650"/>
        <v>0</v>
      </c>
      <c r="PG101" s="242">
        <f t="shared" si="651"/>
        <v>0</v>
      </c>
      <c r="PH101" s="56"/>
      <c r="PK101" s="55">
        <f t="shared" si="652"/>
        <v>46107</v>
      </c>
      <c r="PL101" s="56"/>
      <c r="PM101" s="242">
        <f>SUMPRODUCT(PRODUCE!$B112:$DY112,PRODUCE!$EB$54:$IY$54)</f>
        <v>0</v>
      </c>
      <c r="PN101" s="56"/>
      <c r="PO101" s="242">
        <f t="shared" si="653"/>
        <v>0</v>
      </c>
      <c r="PP101" s="242">
        <f t="shared" si="654"/>
        <v>100</v>
      </c>
      <c r="PQ101" s="56"/>
      <c r="PT101" s="55">
        <f t="shared" si="655"/>
        <v>46107</v>
      </c>
      <c r="PU101" s="56"/>
      <c r="PV101" s="242">
        <f>SUMPRODUCT(PRODUCE!$B112:$DY112,PRODUCE!$EB$55:$IY$55)</f>
        <v>0</v>
      </c>
      <c r="PW101" s="56"/>
      <c r="PX101" s="242">
        <f t="shared" si="656"/>
        <v>0</v>
      </c>
      <c r="PY101" s="242">
        <f t="shared" si="657"/>
        <v>13.960000000000036</v>
      </c>
      <c r="PZ101" s="56"/>
      <c r="QC101" s="55">
        <f t="shared" si="658"/>
        <v>46107</v>
      </c>
      <c r="QD101" s="56"/>
      <c r="QE101" s="242">
        <f>SUMPRODUCT(PRODUCE!$B112:$DY112,PRODUCE!$EB$56:$IY$56)</f>
        <v>0</v>
      </c>
      <c r="QF101" s="56"/>
      <c r="QG101" s="242">
        <f t="shared" si="659"/>
        <v>0</v>
      </c>
      <c r="QH101" s="242">
        <f t="shared" si="660"/>
        <v>1212</v>
      </c>
      <c r="QI101" s="56"/>
      <c r="QL101" s="55">
        <f t="shared" si="661"/>
        <v>46107</v>
      </c>
      <c r="QM101" s="56"/>
      <c r="QN101" s="242">
        <f>SUMPRODUCT(PRODUCE!$B112:$DY112,PRODUCE!$EB$57:$IY$57)</f>
        <v>0</v>
      </c>
      <c r="QO101" s="56"/>
      <c r="QP101" s="242">
        <f t="shared" si="662"/>
        <v>0</v>
      </c>
      <c r="QQ101" s="242">
        <f t="shared" si="663"/>
        <v>0</v>
      </c>
      <c r="QR101" s="56"/>
      <c r="QU101" s="55">
        <f t="shared" si="664"/>
        <v>46107</v>
      </c>
      <c r="QV101" s="56"/>
      <c r="QW101" s="242">
        <f>SUMPRODUCT(PRODUCE!$B112:$DY112,PRODUCE!$EB$57:$IY$57)</f>
        <v>0</v>
      </c>
      <c r="QX101" s="56"/>
      <c r="QY101" s="242">
        <f t="shared" si="665"/>
        <v>0</v>
      </c>
      <c r="QZ101" s="242">
        <f t="shared" si="666"/>
        <v>207.6</v>
      </c>
      <c r="RA101" s="56"/>
      <c r="RD101" s="55">
        <f t="shared" si="667"/>
        <v>46107</v>
      </c>
      <c r="RE101" s="56"/>
      <c r="RF101" s="242">
        <f>SUMPRODUCT(PRODUCE!$B112:$DY112,PRODUCE!$EB$58:$IY$58)</f>
        <v>0</v>
      </c>
      <c r="RG101" s="56"/>
      <c r="RH101" s="242">
        <f t="shared" si="668"/>
        <v>0</v>
      </c>
      <c r="RI101" s="242">
        <f t="shared" si="669"/>
        <v>197.04000000000002</v>
      </c>
      <c r="RJ101" s="56"/>
      <c r="RM101" s="55">
        <f t="shared" si="670"/>
        <v>46107</v>
      </c>
      <c r="RN101" s="56"/>
      <c r="RO101" s="242">
        <f>SUMPRODUCT(PRODUCE!$B112:$DY112,PRODUCE!$EB$57:$IY$57)</f>
        <v>0</v>
      </c>
      <c r="RP101" s="56"/>
      <c r="RQ101" s="242">
        <f t="shared" si="671"/>
        <v>0</v>
      </c>
      <c r="RR101" s="242">
        <f t="shared" si="672"/>
        <v>46.8</v>
      </c>
      <c r="RS101" s="56"/>
      <c r="RV101" s="55">
        <f t="shared" si="673"/>
        <v>46107</v>
      </c>
      <c r="RW101" s="56"/>
      <c r="RX101" s="242">
        <f>SUMPRODUCT(PRODUCE!$B112:$DY112,PRODUCE!$EB$57:$IY$57)</f>
        <v>0</v>
      </c>
      <c r="RY101" s="56"/>
      <c r="RZ101" s="242">
        <f t="shared" si="674"/>
        <v>0</v>
      </c>
      <c r="SA101" s="242">
        <f t="shared" si="675"/>
        <v>0</v>
      </c>
      <c r="SB101" s="56"/>
      <c r="SE101" s="55">
        <f t="shared" si="676"/>
        <v>46107</v>
      </c>
      <c r="SF101" s="56"/>
      <c r="SG101" s="242">
        <f>SUMPRODUCT(PRODUCE!$B112:$DY112,PRODUCE!$EB$57:$IY$57)</f>
        <v>0</v>
      </c>
      <c r="SH101" s="56"/>
      <c r="SI101" s="242">
        <f t="shared" si="677"/>
        <v>0</v>
      </c>
      <c r="SJ101" s="242">
        <f t="shared" si="678"/>
        <v>0</v>
      </c>
      <c r="SK101" s="56"/>
      <c r="SN101" s="55">
        <f t="shared" si="679"/>
        <v>46107</v>
      </c>
      <c r="SO101" s="56"/>
      <c r="SP101" s="242">
        <f>SUMPRODUCT(PRODUCE!$B112:$DY112,PRODUCE!$EB$57:$IY$57)</f>
        <v>0</v>
      </c>
      <c r="SQ101" s="56"/>
      <c r="SR101" s="242">
        <f t="shared" si="680"/>
        <v>0</v>
      </c>
      <c r="SS101" s="242">
        <f t="shared" si="681"/>
        <v>0</v>
      </c>
      <c r="ST101" s="56"/>
      <c r="SW101" s="55">
        <f t="shared" si="682"/>
        <v>46107</v>
      </c>
      <c r="SX101" s="56"/>
      <c r="SY101" s="242">
        <f>SUMPRODUCT(PRODUCE!$B112:$DY112,PRODUCE!$EB$57:$IY$57)</f>
        <v>0</v>
      </c>
      <c r="SZ101" s="56"/>
      <c r="TA101" s="242">
        <f t="shared" si="683"/>
        <v>0</v>
      </c>
      <c r="TB101" s="242">
        <f t="shared" si="684"/>
        <v>0</v>
      </c>
      <c r="TC101" s="56"/>
      <c r="TF101" s="55">
        <f t="shared" si="685"/>
        <v>46107</v>
      </c>
      <c r="TG101" s="56"/>
      <c r="TH101" s="242">
        <f>SUMPRODUCT(PRODUCE!$B112:$DY112,PRODUCE!$EB$57:$IY$57)</f>
        <v>0</v>
      </c>
      <c r="TI101" s="56"/>
      <c r="TJ101" s="242">
        <f t="shared" si="686"/>
        <v>0</v>
      </c>
      <c r="TK101" s="242">
        <f t="shared" si="687"/>
        <v>0</v>
      </c>
      <c r="TL101" s="56"/>
      <c r="TO101" s="55">
        <f t="shared" si="688"/>
        <v>46107</v>
      </c>
      <c r="TP101" s="56"/>
      <c r="TQ101" s="242">
        <f>SUMPRODUCT(PRODUCE!$B112:$DY112,PRODUCE!$EB$57:$IY$57)</f>
        <v>0</v>
      </c>
      <c r="TR101" s="56"/>
      <c r="TS101" s="242">
        <f t="shared" si="689"/>
        <v>0</v>
      </c>
      <c r="TT101" s="242">
        <f t="shared" si="690"/>
        <v>0</v>
      </c>
      <c r="TU101" s="56"/>
      <c r="TX101" s="55">
        <f t="shared" si="691"/>
        <v>46107</v>
      </c>
      <c r="TY101" s="56"/>
      <c r="TZ101" s="242">
        <f>SUMPRODUCT(PRODUCE!$B112:$DY112,PRODUCE!$EB$57:$IY$57)</f>
        <v>0</v>
      </c>
      <c r="UA101" s="56"/>
      <c r="UB101" s="242">
        <f t="shared" si="692"/>
        <v>0</v>
      </c>
      <c r="UC101" s="242">
        <f t="shared" si="693"/>
        <v>0</v>
      </c>
      <c r="UD101" s="56"/>
      <c r="UG101" s="55">
        <f t="shared" si="694"/>
        <v>46107</v>
      </c>
      <c r="UH101" s="56"/>
      <c r="UI101" s="242">
        <f>SUMPRODUCT(PRODUCE!$B112:$DY112,PRODUCE!$EB$57:$IY$57)</f>
        <v>0</v>
      </c>
      <c r="UJ101" s="56"/>
      <c r="UK101" s="242">
        <f t="shared" si="695"/>
        <v>0</v>
      </c>
      <c r="UL101" s="242">
        <f t="shared" si="696"/>
        <v>0</v>
      </c>
      <c r="UM101" s="56"/>
      <c r="UP101" s="55">
        <f t="shared" si="697"/>
        <v>46107</v>
      </c>
      <c r="UQ101" s="56"/>
      <c r="UR101" s="242">
        <f>SUMPRODUCT(PRODUCE!$B112:$DY112,PRODUCE!$EB$57:$IY$57)</f>
        <v>0</v>
      </c>
      <c r="US101" s="56"/>
      <c r="UT101" s="242">
        <f t="shared" si="698"/>
        <v>0</v>
      </c>
      <c r="UU101" s="242">
        <f t="shared" si="699"/>
        <v>0</v>
      </c>
      <c r="UV101" s="56"/>
      <c r="UY101" s="55">
        <f t="shared" si="700"/>
        <v>46107</v>
      </c>
      <c r="UZ101" s="56"/>
      <c r="VA101" s="242">
        <f>SUMPRODUCT(PRODUCE!$B112:$DY112,PRODUCE!$EB$57:$IY$57)</f>
        <v>0</v>
      </c>
      <c r="VB101" s="56"/>
      <c r="VC101" s="242">
        <f t="shared" si="701"/>
        <v>0</v>
      </c>
      <c r="VD101" s="242">
        <f t="shared" si="702"/>
        <v>41.600000000000023</v>
      </c>
      <c r="VE101" s="56"/>
      <c r="VH101" s="55">
        <f t="shared" si="703"/>
        <v>46107</v>
      </c>
      <c r="VI101" s="56"/>
      <c r="VJ101" s="242">
        <f>SUMPRODUCT(PRODUCE!$B112:$DY112,PRODUCE!$EB$57:$IY$57)</f>
        <v>0</v>
      </c>
      <c r="VK101" s="56"/>
      <c r="VL101" s="242">
        <f t="shared" si="704"/>
        <v>0</v>
      </c>
      <c r="VM101" s="242">
        <f t="shared" si="705"/>
        <v>0</v>
      </c>
      <c r="VN101" s="56"/>
      <c r="VQ101" s="55">
        <f t="shared" si="706"/>
        <v>46107</v>
      </c>
      <c r="VR101" s="56"/>
      <c r="VS101" s="242">
        <f>SUMPRODUCT(PRODUCE!$B112:$DY112,PRODUCE!$EB$57:$IY$57)</f>
        <v>0</v>
      </c>
      <c r="VT101" s="56"/>
      <c r="VU101" s="242">
        <f t="shared" si="707"/>
        <v>0</v>
      </c>
      <c r="VV101" s="242">
        <f t="shared" si="708"/>
        <v>0</v>
      </c>
      <c r="VW101" s="56"/>
      <c r="VZ101" s="55">
        <f t="shared" si="709"/>
        <v>46107</v>
      </c>
      <c r="WA101" s="56"/>
      <c r="WB101" s="242">
        <f>SUMPRODUCT(PRODUCE!$B112:$DY112,PRODUCE!$EB$57:$IY$57)</f>
        <v>0</v>
      </c>
      <c r="WC101" s="56"/>
      <c r="WD101" s="242">
        <f t="shared" si="710"/>
        <v>0</v>
      </c>
      <c r="WE101" s="242">
        <f t="shared" si="711"/>
        <v>0</v>
      </c>
      <c r="WF101" s="56"/>
      <c r="WI101" s="55">
        <f t="shared" si="712"/>
        <v>46107</v>
      </c>
      <c r="WJ101" s="56"/>
      <c r="WK101" s="242">
        <f>SUMPRODUCT(PRODUCE!$B112:$DY112,PRODUCE!$EB$57:$IY$57)</f>
        <v>0</v>
      </c>
      <c r="WL101" s="56">
        <v>323</v>
      </c>
      <c r="WM101" s="242">
        <f t="shared" si="713"/>
        <v>-323</v>
      </c>
      <c r="WN101" s="242">
        <f t="shared" si="714"/>
        <v>4857</v>
      </c>
      <c r="WO101" s="56"/>
      <c r="WR101" s="55">
        <f t="shared" si="715"/>
        <v>46107</v>
      </c>
      <c r="WS101" s="56"/>
      <c r="WT101" s="242">
        <f>SUMPRODUCT(PRODUCE!$B112:$DY112,PRODUCE!$EB$57:$IY$57)</f>
        <v>0</v>
      </c>
      <c r="WU101" s="56"/>
      <c r="WV101" s="242">
        <f t="shared" si="716"/>
        <v>0</v>
      </c>
      <c r="WW101" s="242">
        <f t="shared" si="717"/>
        <v>850</v>
      </c>
      <c r="WX101" s="56"/>
      <c r="XA101" s="55">
        <f t="shared" si="718"/>
        <v>46107</v>
      </c>
      <c r="XB101" s="56"/>
      <c r="XC101" s="242">
        <f>SUMPRODUCT(PRODUCE!$B112:$DY112,PRODUCE!$EB$57:$IY$57)</f>
        <v>0</v>
      </c>
      <c r="XD101" s="56"/>
      <c r="XE101" s="242">
        <f t="shared" si="719"/>
        <v>0</v>
      </c>
      <c r="XF101" s="242">
        <f t="shared" si="720"/>
        <v>7142</v>
      </c>
      <c r="XG101" s="56"/>
      <c r="XJ101" s="55">
        <f t="shared" si="721"/>
        <v>46107</v>
      </c>
      <c r="XK101" s="56"/>
      <c r="XL101" s="242">
        <f>SUMPRODUCT(PRODUCE!$B112:$DY112,PRODUCE!$EB$57:$IY$57)</f>
        <v>0</v>
      </c>
      <c r="XM101" s="56">
        <v>492</v>
      </c>
      <c r="XN101" s="242">
        <f t="shared" si="722"/>
        <v>-492</v>
      </c>
      <c r="XO101" s="242">
        <f t="shared" si="723"/>
        <v>7057</v>
      </c>
      <c r="XP101" s="56"/>
      <c r="XS101" s="55">
        <f t="shared" si="724"/>
        <v>46107</v>
      </c>
      <c r="XT101" s="56"/>
      <c r="XU101" s="242">
        <f>SUMPRODUCT(PRODUCE!$B112:$DY112,PRODUCE!$EB$57:$IY$57)</f>
        <v>0</v>
      </c>
      <c r="XV101" s="56"/>
      <c r="XW101" s="242">
        <f t="shared" si="725"/>
        <v>0</v>
      </c>
      <c r="XX101" s="242">
        <f t="shared" si="726"/>
        <v>1901</v>
      </c>
      <c r="XY101" s="56"/>
      <c r="YB101" s="55">
        <f t="shared" si="727"/>
        <v>46107</v>
      </c>
      <c r="YC101" s="56"/>
      <c r="YD101" s="242">
        <f>SUMPRODUCT(PRODUCE!$B112:$DY112,PRODUCE!$EB$57:$IY$57)</f>
        <v>0</v>
      </c>
      <c r="YE101" s="56"/>
      <c r="YF101" s="242">
        <f t="shared" si="728"/>
        <v>0</v>
      </c>
      <c r="YG101" s="242">
        <f t="shared" si="729"/>
        <v>6459</v>
      </c>
      <c r="YH101" s="56"/>
      <c r="YK101" s="55">
        <f t="shared" si="730"/>
        <v>46107</v>
      </c>
      <c r="YL101" s="56"/>
      <c r="YM101" s="242">
        <f>SUMPRODUCT(PRODUCE!$B112:$DY112,PRODUCE!$EB$57:$IY$57)</f>
        <v>0</v>
      </c>
      <c r="YN101" s="56"/>
      <c r="YO101" s="242">
        <f t="shared" si="731"/>
        <v>0</v>
      </c>
      <c r="YP101" s="242">
        <f t="shared" si="732"/>
        <v>0</v>
      </c>
      <c r="YQ101" s="56"/>
      <c r="YT101" s="55">
        <f t="shared" si="733"/>
        <v>46107</v>
      </c>
      <c r="YU101" s="56"/>
      <c r="YV101" s="242">
        <f>SUMPRODUCT(PRODUCE!$B112:$DY112,PRODUCE!$EB$57:$IY$57)</f>
        <v>0</v>
      </c>
      <c r="YW101" s="56"/>
      <c r="YX101" s="242">
        <f t="shared" si="734"/>
        <v>0</v>
      </c>
      <c r="YY101" s="242">
        <f t="shared" si="735"/>
        <v>0</v>
      </c>
      <c r="YZ101" s="56"/>
      <c r="ZC101" s="55">
        <f t="shared" si="736"/>
        <v>46107</v>
      </c>
      <c r="ZD101" s="56"/>
      <c r="ZE101" s="242">
        <f>SUMPRODUCT(PRODUCE!$B112:$DY112,PRODUCE!$EB$57:$IY$57)</f>
        <v>0</v>
      </c>
      <c r="ZF101" s="56"/>
      <c r="ZG101" s="242">
        <f t="shared" si="737"/>
        <v>0</v>
      </c>
      <c r="ZH101" s="242">
        <f t="shared" si="738"/>
        <v>0</v>
      </c>
      <c r="ZI101" s="56"/>
      <c r="ZL101" s="55">
        <f t="shared" si="739"/>
        <v>46107</v>
      </c>
      <c r="ZM101" s="56"/>
      <c r="ZN101" s="242">
        <f>SUMPRODUCT(PRODUCE!$B112:$DY112,PRODUCE!$EB$57:$IY$57)</f>
        <v>0</v>
      </c>
      <c r="ZO101" s="56"/>
      <c r="ZP101" s="242">
        <f t="shared" si="740"/>
        <v>0</v>
      </c>
      <c r="ZQ101" s="242">
        <f t="shared" si="741"/>
        <v>0</v>
      </c>
      <c r="ZR101" s="56"/>
      <c r="ZU101" s="55">
        <f t="shared" si="742"/>
        <v>46107</v>
      </c>
      <c r="ZV101" s="56"/>
      <c r="ZW101" s="242">
        <f>SUMPRODUCT(PRODUCE!$B112:$DY112,PRODUCE!$EB$57:$IY$57)</f>
        <v>0</v>
      </c>
      <c r="ZX101" s="56"/>
      <c r="ZY101" s="242">
        <f t="shared" si="743"/>
        <v>0</v>
      </c>
      <c r="ZZ101" s="242">
        <f t="shared" si="744"/>
        <v>0</v>
      </c>
      <c r="AAA101" s="56"/>
      <c r="AAD101" s="55">
        <f t="shared" si="745"/>
        <v>46107</v>
      </c>
      <c r="AAE101" s="56"/>
      <c r="AAF101" s="242">
        <f>SUMPRODUCT(PRODUCE!$B112:$DY112,PRODUCE!$EB$57:$IY$57)</f>
        <v>0</v>
      </c>
      <c r="AAG101" s="56"/>
      <c r="AAH101" s="242">
        <f t="shared" si="746"/>
        <v>0</v>
      </c>
      <c r="AAI101" s="242">
        <f t="shared" si="747"/>
        <v>0</v>
      </c>
      <c r="AAJ101" s="56"/>
      <c r="AAM101" s="55">
        <f t="shared" si="748"/>
        <v>46107</v>
      </c>
      <c r="AAN101" s="56"/>
      <c r="AAO101" s="242">
        <f>SUMPRODUCT(PRODUCE!$B112:$DY112,PRODUCE!$EB$57:$IY$57)</f>
        <v>0</v>
      </c>
      <c r="AAP101" s="56"/>
      <c r="AAQ101" s="242">
        <f t="shared" si="749"/>
        <v>0</v>
      </c>
      <c r="AAR101" s="242">
        <f t="shared" si="750"/>
        <v>0</v>
      </c>
      <c r="AAS101" s="56"/>
      <c r="AAV101" s="55">
        <f t="shared" si="751"/>
        <v>46107</v>
      </c>
      <c r="AAW101" s="56"/>
      <c r="AAX101" s="242">
        <f>SUMPRODUCT(PRODUCE!$B112:$DY112,PRODUCE!$EB$57:$IY$57)</f>
        <v>0</v>
      </c>
      <c r="AAY101" s="56"/>
      <c r="AAZ101" s="242">
        <f t="shared" si="752"/>
        <v>0</v>
      </c>
      <c r="ABA101" s="242">
        <f t="shared" si="753"/>
        <v>0</v>
      </c>
      <c r="ABB101" s="56"/>
      <c r="ABE101" s="55">
        <f t="shared" si="754"/>
        <v>46107</v>
      </c>
      <c r="ABF101" s="56"/>
      <c r="ABG101" s="242">
        <f>SUMPRODUCT(PRODUCE!$B112:$DY112,PRODUCE!$EB$57:$IY$57)</f>
        <v>0</v>
      </c>
      <c r="ABH101" s="56"/>
      <c r="ABI101" s="242">
        <f t="shared" si="755"/>
        <v>0</v>
      </c>
      <c r="ABJ101" s="242">
        <f t="shared" si="756"/>
        <v>0</v>
      </c>
      <c r="ABK101" s="56"/>
    </row>
    <row r="102" spans="1:739" s="54" customFormat="1" ht="15" customHeight="1" outlineLevel="1">
      <c r="B102" s="478">
        <f>10+70</f>
        <v>80</v>
      </c>
      <c r="C102" s="55">
        <v>46108</v>
      </c>
      <c r="D102" s="422"/>
      <c r="E102" s="423">
        <f>SUMPRODUCT(PRODUCE!$B113:$DY113,PRODUCE!$EB$7:$IY$7)</f>
        <v>42435.499999999993</v>
      </c>
      <c r="F102" s="422">
        <v>42437.2</v>
      </c>
      <c r="G102" s="423">
        <f t="shared" si="514"/>
        <v>-1.7000000000043656</v>
      </c>
      <c r="H102" s="423">
        <f t="shared" si="512"/>
        <v>94518.199999999968</v>
      </c>
      <c r="I102" s="289" t="s">
        <v>232</v>
      </c>
      <c r="L102" s="55">
        <f t="shared" si="513"/>
        <v>46108</v>
      </c>
      <c r="M102" s="422"/>
      <c r="N102" s="438">
        <f>SUMPRODUCT(PRODUCE!$B113:$DY113,PRODUCE!$EB$8:$IY$8)</f>
        <v>14055</v>
      </c>
      <c r="O102" s="422">
        <v>14053.4</v>
      </c>
      <c r="P102" s="438">
        <f t="shared" si="515"/>
        <v>1.6000000000003638</v>
      </c>
      <c r="Q102" s="438">
        <f t="shared" si="516"/>
        <v>43391.800000000083</v>
      </c>
      <c r="R102" s="56"/>
      <c r="U102" s="55">
        <f t="shared" si="517"/>
        <v>46108</v>
      </c>
      <c r="V102" s="422"/>
      <c r="W102" s="440">
        <f>SUMPRODUCT(PRODUCE!$B113:$DY113,PRODUCE!$EB$9:$IY$9)</f>
        <v>6785</v>
      </c>
      <c r="X102" s="422">
        <v>6784.8</v>
      </c>
      <c r="Y102" s="440">
        <f t="shared" si="518"/>
        <v>0.1999999999998181</v>
      </c>
      <c r="Z102" s="440">
        <f t="shared" si="519"/>
        <v>30462.499999999967</v>
      </c>
      <c r="AA102" s="56"/>
      <c r="AD102" s="55">
        <f t="shared" si="520"/>
        <v>46108</v>
      </c>
      <c r="AE102" s="422"/>
      <c r="AF102" s="442">
        <f>SUMPRODUCT(PRODUCE!$B113:$DY113,PRODUCE!$EB$10:$IY$10)</f>
        <v>970</v>
      </c>
      <c r="AG102" s="422">
        <v>972.7</v>
      </c>
      <c r="AH102" s="442">
        <f t="shared" si="521"/>
        <v>-2.7000000000000455</v>
      </c>
      <c r="AI102" s="442">
        <f t="shared" si="522"/>
        <v>34524.300000000017</v>
      </c>
      <c r="AJ102" s="56"/>
      <c r="AM102" s="55">
        <f t="shared" si="523"/>
        <v>46108</v>
      </c>
      <c r="AN102" s="422"/>
      <c r="AO102" s="444">
        <f>SUMPRODUCT(PRODUCE!$B113:$DY113,PRODUCE!$EB$11:$IY$11)</f>
        <v>0</v>
      </c>
      <c r="AP102" s="422"/>
      <c r="AQ102" s="444">
        <f t="shared" si="524"/>
        <v>0</v>
      </c>
      <c r="AR102" s="444">
        <f t="shared" si="525"/>
        <v>0</v>
      </c>
      <c r="AS102" s="56"/>
      <c r="AV102" s="55">
        <f t="shared" si="526"/>
        <v>46108</v>
      </c>
      <c r="AW102" s="422"/>
      <c r="AX102" s="446">
        <f>SUMPRODUCT(PRODUCE!$B113:$DY113,PRODUCE!$EB$12:$IY$12)</f>
        <v>0</v>
      </c>
      <c r="AY102" s="422"/>
      <c r="AZ102" s="446">
        <f t="shared" si="527"/>
        <v>0</v>
      </c>
      <c r="BA102" s="446">
        <f t="shared" si="528"/>
        <v>20146.499999999985</v>
      </c>
      <c r="BB102" s="56"/>
      <c r="BE102" s="55">
        <f t="shared" si="529"/>
        <v>46108</v>
      </c>
      <c r="BF102" s="422"/>
      <c r="BG102" s="448">
        <f>SUMPRODUCT(PRODUCE!$B113:$DY113,PRODUCE!$EB$13:$IY$13)</f>
        <v>3570</v>
      </c>
      <c r="BH102" s="422">
        <v>3571.8</v>
      </c>
      <c r="BI102" s="448">
        <f t="shared" si="530"/>
        <v>-1.8000000000001819</v>
      </c>
      <c r="BJ102" s="448">
        <f t="shared" si="531"/>
        <v>4461.800000000002</v>
      </c>
      <c r="BK102" s="56"/>
      <c r="BN102" s="55">
        <f t="shared" si="532"/>
        <v>46108</v>
      </c>
      <c r="BO102" s="422">
        <v>1565</v>
      </c>
      <c r="BP102" s="450">
        <f>SUMPRODUCT(PRODUCE!$B113:$DY113,PRODUCE!$EB$14:$IY$14)</f>
        <v>1565</v>
      </c>
      <c r="BQ102" s="422">
        <v>1565</v>
      </c>
      <c r="BR102" s="450">
        <f t="shared" si="533"/>
        <v>0</v>
      </c>
      <c r="BS102" s="450">
        <f t="shared" si="534"/>
        <v>0</v>
      </c>
      <c r="BT102" s="56"/>
      <c r="BW102" s="55">
        <f t="shared" si="535"/>
        <v>46108</v>
      </c>
      <c r="BX102" s="56"/>
      <c r="BY102" s="65">
        <f>SUMPRODUCT(PRODUCE!$B113:$DY113,PRODUCE!$EB$15:$IY$15)</f>
        <v>451.50000000000006</v>
      </c>
      <c r="BZ102" s="56">
        <v>895.4</v>
      </c>
      <c r="CA102" s="65">
        <f t="shared" si="536"/>
        <v>-443.89999999999992</v>
      </c>
      <c r="CB102" s="65">
        <f t="shared" si="537"/>
        <v>11812.9</v>
      </c>
      <c r="CC102" s="56"/>
      <c r="CF102" s="55">
        <f t="shared" si="538"/>
        <v>46108</v>
      </c>
      <c r="CG102" s="56">
        <v>1717.8</v>
      </c>
      <c r="CH102" s="66">
        <f>SUMPRODUCT(PRODUCE!$B113:$DY113,PRODUCE!$EB$16:$IY$16)</f>
        <v>730.00000000000011</v>
      </c>
      <c r="CI102" s="56">
        <v>1717.8</v>
      </c>
      <c r="CJ102" s="66">
        <f t="shared" si="539"/>
        <v>-987.79999999999984</v>
      </c>
      <c r="CK102" s="66">
        <f t="shared" si="540"/>
        <v>0</v>
      </c>
      <c r="CL102" s="56"/>
      <c r="CO102" s="55">
        <f t="shared" si="541"/>
        <v>46108</v>
      </c>
      <c r="CP102" s="422"/>
      <c r="CQ102" s="470">
        <f>SUMPRODUCT(PRODUCE!$B113:$DY113,PRODUCE!$EB$17:$IY$17)</f>
        <v>0</v>
      </c>
      <c r="CR102" s="422"/>
      <c r="CS102" s="470">
        <f t="shared" si="542"/>
        <v>0</v>
      </c>
      <c r="CT102" s="470">
        <f t="shared" si="543"/>
        <v>0</v>
      </c>
      <c r="CU102" s="56"/>
      <c r="CX102" s="55">
        <f t="shared" si="544"/>
        <v>46108</v>
      </c>
      <c r="CY102" s="56"/>
      <c r="CZ102" s="133">
        <f>SUMPRODUCT(PRODUCE!$B113:$DY113,PRODUCE!$EB$18:$IY$18)</f>
        <v>4000</v>
      </c>
      <c r="DA102" s="56">
        <v>4001.2</v>
      </c>
      <c r="DB102" s="133">
        <f t="shared" si="545"/>
        <v>-1.1999999999998181</v>
      </c>
      <c r="DC102" s="133">
        <f t="shared" si="546"/>
        <v>34674.5</v>
      </c>
      <c r="DD102" s="56"/>
      <c r="DG102" s="55">
        <f t="shared" si="547"/>
        <v>46108</v>
      </c>
      <c r="DH102" s="56"/>
      <c r="DI102" s="147">
        <f>SUMPRODUCT(PRODUCE!$B113:$DY113,PRODUCE!$EB$19:$IY$19)</f>
        <v>3200</v>
      </c>
      <c r="DJ102" s="56">
        <v>3200.8</v>
      </c>
      <c r="DK102" s="147">
        <f t="shared" si="548"/>
        <v>-0.8000000000001819</v>
      </c>
      <c r="DL102" s="147">
        <f t="shared" si="549"/>
        <v>8233.5999999999949</v>
      </c>
      <c r="DM102" s="56"/>
      <c r="DP102" s="55">
        <f t="shared" si="550"/>
        <v>46108</v>
      </c>
      <c r="DQ102" s="56"/>
      <c r="DR102" s="57">
        <f>SUMPRODUCT(PRODUCE!$B113:$DY113,PRODUCE!$EB$20:$IY$20)</f>
        <v>0</v>
      </c>
      <c r="DS102" s="56"/>
      <c r="DT102" s="57">
        <f t="shared" si="551"/>
        <v>0</v>
      </c>
      <c r="DU102" s="57">
        <f t="shared" si="552"/>
        <v>7150</v>
      </c>
      <c r="DV102" s="56"/>
      <c r="DY102" s="55">
        <f t="shared" si="553"/>
        <v>46108</v>
      </c>
      <c r="DZ102" s="56"/>
      <c r="EA102" s="157">
        <f>SUMPRODUCT(PRODUCE!$B113:$DY113,PRODUCE!$EB$21:$IY$21)</f>
        <v>0</v>
      </c>
      <c r="EB102" s="56"/>
      <c r="EC102" s="157">
        <f t="shared" si="554"/>
        <v>0</v>
      </c>
      <c r="ED102" s="157">
        <f t="shared" si="555"/>
        <v>2347.3000000000002</v>
      </c>
      <c r="EE102" s="56"/>
      <c r="EH102" s="55">
        <f t="shared" si="556"/>
        <v>46108</v>
      </c>
      <c r="EI102" s="56"/>
      <c r="EJ102" s="162">
        <f>SUMPRODUCT(PRODUCE!$B113:$DY113,PRODUCE!$EB$22:$IY$22)</f>
        <v>0</v>
      </c>
      <c r="EK102" s="56"/>
      <c r="EL102" s="162">
        <f t="shared" si="557"/>
        <v>0</v>
      </c>
      <c r="EM102" s="162">
        <f t="shared" si="558"/>
        <v>0</v>
      </c>
      <c r="EN102" s="56"/>
      <c r="EQ102" s="55">
        <f t="shared" si="559"/>
        <v>46108</v>
      </c>
      <c r="ER102" s="56"/>
      <c r="ES102" s="135">
        <f>SUMPRODUCT(PRODUCE!$B113:$DY113,PRODUCE!$EB$23:$IY$23)</f>
        <v>0</v>
      </c>
      <c r="ET102" s="56"/>
      <c r="EU102" s="135">
        <f t="shared" si="560"/>
        <v>0</v>
      </c>
      <c r="EV102" s="135">
        <f t="shared" si="561"/>
        <v>0</v>
      </c>
      <c r="EW102" s="56"/>
      <c r="EZ102" s="55">
        <f t="shared" si="562"/>
        <v>46108</v>
      </c>
      <c r="FA102" s="56"/>
      <c r="FB102" s="175">
        <f>SUMPRODUCT(PRODUCE!$B113:$DY113,PRODUCE!$EB$24:$IY$24)</f>
        <v>0</v>
      </c>
      <c r="FC102" s="56"/>
      <c r="FD102" s="175">
        <f t="shared" si="563"/>
        <v>0</v>
      </c>
      <c r="FE102" s="175">
        <f t="shared" si="564"/>
        <v>0</v>
      </c>
      <c r="FF102" s="56"/>
      <c r="FI102" s="55">
        <f t="shared" si="565"/>
        <v>46108</v>
      </c>
      <c r="FJ102" s="56"/>
      <c r="FK102" s="183">
        <f>SUMPRODUCT(PRODUCE!$B113:$DY113,PRODUCE!$EB$25:$IY$25)</f>
        <v>0</v>
      </c>
      <c r="FL102" s="56"/>
      <c r="FM102" s="183">
        <f t="shared" si="566"/>
        <v>0</v>
      </c>
      <c r="FN102" s="183">
        <f t="shared" si="567"/>
        <v>0</v>
      </c>
      <c r="FO102" s="56"/>
      <c r="FR102" s="55">
        <f t="shared" si="568"/>
        <v>46108</v>
      </c>
      <c r="FS102" s="422"/>
      <c r="FT102" s="452">
        <f>SUMPRODUCT(PRODUCE!$B113:$DY113,PRODUCE!$EB$26:$IY$26)</f>
        <v>0</v>
      </c>
      <c r="FU102" s="422">
        <f>62*20</f>
        <v>1240</v>
      </c>
      <c r="FV102" s="452">
        <f t="shared" si="569"/>
        <v>-1240</v>
      </c>
      <c r="FW102" s="452">
        <f t="shared" si="570"/>
        <v>1980</v>
      </c>
      <c r="FX102" s="56"/>
      <c r="GA102" s="55">
        <f t="shared" si="571"/>
        <v>46108</v>
      </c>
      <c r="GB102" s="422">
        <f>200*20</f>
        <v>4000</v>
      </c>
      <c r="GC102" s="454">
        <f>SUMPRODUCT(PRODUCE!$B113:$DY113,PRODUCE!$EB$27:$IY$27)</f>
        <v>0</v>
      </c>
      <c r="GD102" s="422">
        <f>100*20</f>
        <v>2000</v>
      </c>
      <c r="GE102" s="454">
        <f t="shared" si="572"/>
        <v>-2000</v>
      </c>
      <c r="GF102" s="454">
        <f t="shared" si="573"/>
        <v>2000</v>
      </c>
      <c r="GG102" s="56"/>
      <c r="GI102" s="23"/>
      <c r="GJ102" s="55">
        <f t="shared" si="574"/>
        <v>46108</v>
      </c>
      <c r="GK102" s="422"/>
      <c r="GL102" s="456">
        <f>SUMPRODUCT(PRODUCE!$B113:$DY113,PRODUCE!$EB$28:$IY$28)</f>
        <v>0</v>
      </c>
      <c r="GM102" s="422">
        <f>22*20</f>
        <v>440</v>
      </c>
      <c r="GN102" s="456">
        <f t="shared" si="575"/>
        <v>-440</v>
      </c>
      <c r="GO102" s="456">
        <f t="shared" si="576"/>
        <v>4800</v>
      </c>
      <c r="GP102" s="56"/>
      <c r="GS102" s="55">
        <f t="shared" si="577"/>
        <v>46108</v>
      </c>
      <c r="GT102" s="56"/>
      <c r="GU102" s="195">
        <f>SUMPRODUCT(PRODUCE!$B113:$DY113,PRODUCE!$EB$29:$IY$29)</f>
        <v>0</v>
      </c>
      <c r="GV102" s="56"/>
      <c r="GW102" s="195">
        <f t="shared" si="578"/>
        <v>0</v>
      </c>
      <c r="GX102" s="195">
        <f t="shared" si="579"/>
        <v>0</v>
      </c>
      <c r="GY102" s="56"/>
      <c r="HB102" s="55">
        <f t="shared" si="580"/>
        <v>46108</v>
      </c>
      <c r="HC102" s="56"/>
      <c r="HD102" s="191">
        <f>SUMPRODUCT(PRODUCE!$B113:$DY113,PRODUCE!$EB$30:$IY$30)</f>
        <v>0</v>
      </c>
      <c r="HE102" s="56"/>
      <c r="HF102" s="191">
        <f t="shared" si="581"/>
        <v>0</v>
      </c>
      <c r="HG102" s="191">
        <f t="shared" si="582"/>
        <v>0</v>
      </c>
      <c r="HH102" s="56"/>
      <c r="HK102" s="55">
        <f t="shared" si="583"/>
        <v>46108</v>
      </c>
      <c r="HL102" s="56"/>
      <c r="HM102" s="63">
        <f>SUMPRODUCT(PRODUCE!$B113:$DY113,PRODUCE!$EB$31:$IY$31)</f>
        <v>0</v>
      </c>
      <c r="HN102" s="56"/>
      <c r="HO102" s="63">
        <f t="shared" si="584"/>
        <v>0</v>
      </c>
      <c r="HP102" s="63">
        <f t="shared" si="585"/>
        <v>0</v>
      </c>
      <c r="HQ102" s="56"/>
      <c r="HU102" s="55">
        <f t="shared" si="586"/>
        <v>46108</v>
      </c>
      <c r="HV102" s="56"/>
      <c r="HW102" s="242">
        <f>SUMPRODUCT(PRODUCE!$B113:$DY113,PRODUCE!$EB$32:$IY$32)</f>
        <v>0</v>
      </c>
      <c r="HX102" s="56"/>
      <c r="HY102" s="242">
        <f t="shared" si="587"/>
        <v>0</v>
      </c>
      <c r="HZ102" s="242">
        <f t="shared" si="588"/>
        <v>5120</v>
      </c>
      <c r="IA102" s="56"/>
      <c r="ID102" s="55">
        <f t="shared" si="589"/>
        <v>46108</v>
      </c>
      <c r="IE102" s="56"/>
      <c r="IF102" s="242">
        <f>SUMPRODUCT(PRODUCE!$B113:$DY113,PRODUCE!$EB$33:$IY$33)</f>
        <v>0</v>
      </c>
      <c r="IG102" s="56"/>
      <c r="IH102" s="242">
        <f t="shared" si="590"/>
        <v>0</v>
      </c>
      <c r="II102" s="242">
        <f t="shared" si="591"/>
        <v>6540</v>
      </c>
      <c r="IJ102" s="56"/>
      <c r="IM102" s="55">
        <f t="shared" si="592"/>
        <v>46108</v>
      </c>
      <c r="IN102" s="56"/>
      <c r="IO102" s="242">
        <f>SUMPRODUCT(PRODUCE!$B113:$DY113,PRODUCE!$EB$34:$IY$34)</f>
        <v>0</v>
      </c>
      <c r="IP102" s="56"/>
      <c r="IQ102" s="242">
        <f t="shared" si="593"/>
        <v>0</v>
      </c>
      <c r="IR102" s="242">
        <f t="shared" si="594"/>
        <v>11540</v>
      </c>
      <c r="IS102" s="56"/>
      <c r="IV102" s="55">
        <f t="shared" si="595"/>
        <v>46108</v>
      </c>
      <c r="IW102" s="56"/>
      <c r="IX102" s="242">
        <f>SUMPRODUCT(PRODUCE!$B113:$DY113,PRODUCE!$EB$35:$IY$35)</f>
        <v>0</v>
      </c>
      <c r="IY102" s="56"/>
      <c r="IZ102" s="242">
        <f t="shared" si="596"/>
        <v>0</v>
      </c>
      <c r="JA102" s="242">
        <f t="shared" si="597"/>
        <v>15120</v>
      </c>
      <c r="JB102" s="56"/>
      <c r="JE102" s="55">
        <f t="shared" si="598"/>
        <v>46108</v>
      </c>
      <c r="JF102" s="56"/>
      <c r="JG102" s="242">
        <f>SUMPRODUCT(PRODUCE!$B113:$DY113,PRODUCE!$EB$36:$IY$36)</f>
        <v>0</v>
      </c>
      <c r="JH102" s="56"/>
      <c r="JI102" s="242">
        <f t="shared" si="599"/>
        <v>0</v>
      </c>
      <c r="JJ102" s="242">
        <f t="shared" si="600"/>
        <v>5040</v>
      </c>
      <c r="JK102" s="56"/>
      <c r="JN102" s="55">
        <f t="shared" si="601"/>
        <v>46108</v>
      </c>
      <c r="JO102" s="56"/>
      <c r="JP102" s="242">
        <f>SUMPRODUCT(PRODUCE!$B113:$DY113,PRODUCE!$EB$37:$IY$37)</f>
        <v>0</v>
      </c>
      <c r="JQ102" s="56"/>
      <c r="JR102" s="242">
        <f t="shared" si="602"/>
        <v>0</v>
      </c>
      <c r="JS102" s="242">
        <f t="shared" si="603"/>
        <v>9100</v>
      </c>
      <c r="JT102" s="56"/>
      <c r="JW102" s="55">
        <f t="shared" si="604"/>
        <v>46108</v>
      </c>
      <c r="JX102" s="56"/>
      <c r="JY102" s="242">
        <f>SUMPRODUCT(PRODUCE!$B113:$DY113,PRODUCE!$EB$38:$IY$38)</f>
        <v>0</v>
      </c>
      <c r="JZ102" s="56">
        <f>46*20</f>
        <v>920</v>
      </c>
      <c r="KA102" s="242">
        <f t="shared" si="605"/>
        <v>-920</v>
      </c>
      <c r="KB102" s="242">
        <f t="shared" si="606"/>
        <v>4220</v>
      </c>
      <c r="KC102" s="56"/>
      <c r="KF102" s="55">
        <f t="shared" si="607"/>
        <v>46108</v>
      </c>
      <c r="KG102" s="56"/>
      <c r="KH102" s="242">
        <f>SUMPRODUCT(PRODUCE!$B113:$DY113,PRODUCE!$EB$39:$IY$39)</f>
        <v>195</v>
      </c>
      <c r="KI102" s="56">
        <f>66*19.5</f>
        <v>1287</v>
      </c>
      <c r="KJ102" s="242">
        <f t="shared" si="608"/>
        <v>-1092</v>
      </c>
      <c r="KK102" s="242">
        <f t="shared" si="609"/>
        <v>7702.5</v>
      </c>
      <c r="KL102" s="56"/>
      <c r="KO102" s="55">
        <f t="shared" si="610"/>
        <v>46108</v>
      </c>
      <c r="KP102" s="56"/>
      <c r="KQ102" s="242">
        <f>SUMPRODUCT(PRODUCE!$B113:$DY113,PRODUCE!$EB$40:$IY$40)</f>
        <v>1323</v>
      </c>
      <c r="KR102" s="56">
        <f>20*18.9</f>
        <v>378</v>
      </c>
      <c r="KS102" s="242">
        <f t="shared" si="611"/>
        <v>945</v>
      </c>
      <c r="KT102" s="242">
        <f t="shared" si="612"/>
        <v>6426</v>
      </c>
      <c r="KU102" s="56"/>
      <c r="KW102" s="23"/>
      <c r="KX102" s="55">
        <f t="shared" si="613"/>
        <v>46108</v>
      </c>
      <c r="KY102" s="56"/>
      <c r="KZ102" s="242">
        <f>SUMPRODUCT(PRODUCE!$B113:$DY113,PRODUCE!$EB$41:$IY$41)</f>
        <v>0</v>
      </c>
      <c r="LA102" s="56"/>
      <c r="LB102" s="242">
        <f t="shared" si="614"/>
        <v>0</v>
      </c>
      <c r="LC102" s="242">
        <f t="shared" si="615"/>
        <v>0</v>
      </c>
      <c r="LD102" s="56"/>
      <c r="LG102" s="55">
        <f t="shared" si="616"/>
        <v>46108</v>
      </c>
      <c r="LH102" s="56"/>
      <c r="LI102" s="242">
        <f>SUMPRODUCT(PRODUCE!$B113:$DY113,PRODUCE!$EB$42:$IY$42)</f>
        <v>0</v>
      </c>
      <c r="LJ102" s="56"/>
      <c r="LK102" s="242">
        <f t="shared" si="617"/>
        <v>0</v>
      </c>
      <c r="LL102" s="242">
        <f t="shared" si="618"/>
        <v>0</v>
      </c>
      <c r="LM102" s="56"/>
      <c r="LP102" s="55">
        <f t="shared" si="619"/>
        <v>46108</v>
      </c>
      <c r="LQ102" s="56"/>
      <c r="LR102" s="242">
        <f>SUMPRODUCT(PRODUCE!$B117:$DY117,PRODUCE!$EB$43:$IY$43)</f>
        <v>0</v>
      </c>
      <c r="LS102" s="56"/>
      <c r="LT102" s="242">
        <f t="shared" si="620"/>
        <v>0</v>
      </c>
      <c r="LU102" s="242">
        <f t="shared" si="621"/>
        <v>0</v>
      </c>
      <c r="LV102" s="56"/>
      <c r="LY102" s="55">
        <f t="shared" si="622"/>
        <v>46108</v>
      </c>
      <c r="LZ102" s="56"/>
      <c r="MA102" s="242">
        <f>SUMPRODUCT(PRODUCE!$B113:$DY113,PRODUCE!$EB$44:$IY$44)</f>
        <v>0</v>
      </c>
      <c r="MB102" s="56"/>
      <c r="MC102" s="242">
        <f t="shared" si="623"/>
        <v>0</v>
      </c>
      <c r="MD102" s="242">
        <f t="shared" si="624"/>
        <v>0</v>
      </c>
      <c r="ME102" s="56"/>
      <c r="MH102" s="55">
        <f t="shared" si="625"/>
        <v>46108</v>
      </c>
      <c r="MI102" s="56"/>
      <c r="MJ102" s="242">
        <f>SUMPRODUCT(PRODUCE!$B113:$DY113,PRODUCE!$EB$45:$IY$45)</f>
        <v>0</v>
      </c>
      <c r="MK102" s="56"/>
      <c r="ML102" s="242">
        <f t="shared" si="626"/>
        <v>0</v>
      </c>
      <c r="MM102" s="242">
        <f t="shared" si="627"/>
        <v>0</v>
      </c>
      <c r="MN102" s="56"/>
      <c r="MQ102" s="55">
        <f t="shared" si="628"/>
        <v>46108</v>
      </c>
      <c r="MR102" s="56"/>
      <c r="MS102" s="242">
        <f>SUMPRODUCT(PRODUCE!$B113:$DY113,PRODUCE!$EB$46:$IY$46)</f>
        <v>160</v>
      </c>
      <c r="MT102" s="56">
        <v>356</v>
      </c>
      <c r="MU102" s="242">
        <f t="shared" si="629"/>
        <v>-196</v>
      </c>
      <c r="MV102" s="242">
        <f t="shared" si="630"/>
        <v>4195</v>
      </c>
      <c r="MW102" s="56"/>
      <c r="MZ102" s="55">
        <f t="shared" si="631"/>
        <v>46108</v>
      </c>
      <c r="NA102" s="56">
        <v>396</v>
      </c>
      <c r="NB102" s="242">
        <f>SUMPRODUCT(PRODUCE!$B113:$DY113,PRODUCE!$EB$47:$IY$47)</f>
        <v>240</v>
      </c>
      <c r="NC102" s="56">
        <v>396</v>
      </c>
      <c r="ND102" s="242">
        <f t="shared" si="632"/>
        <v>-156</v>
      </c>
      <c r="NE102" s="242">
        <f t="shared" si="633"/>
        <v>0</v>
      </c>
      <c r="NF102" s="56"/>
      <c r="NI102" s="55">
        <f t="shared" si="634"/>
        <v>46108</v>
      </c>
      <c r="NJ102" s="56"/>
      <c r="NK102" s="242">
        <f>SUMPRODUCT(PRODUCE!$B113:$DY113,PRODUCE!$EB$48:$IY$48)</f>
        <v>0</v>
      </c>
      <c r="NL102" s="56"/>
      <c r="NM102" s="242">
        <f t="shared" si="635"/>
        <v>0</v>
      </c>
      <c r="NN102" s="242">
        <f t="shared" si="636"/>
        <v>2065</v>
      </c>
      <c r="NO102" s="56"/>
      <c r="NR102" s="55">
        <f t="shared" si="637"/>
        <v>46108</v>
      </c>
      <c r="NS102" s="56"/>
      <c r="NT102" s="242">
        <f>SUMPRODUCT(PRODUCE!$B113:$DY113,PRODUCE!$EB$49:$IY$49)</f>
        <v>96</v>
      </c>
      <c r="NU102" s="56">
        <v>112.4</v>
      </c>
      <c r="NV102" s="242">
        <f t="shared" si="638"/>
        <v>-16.400000000000006</v>
      </c>
      <c r="NW102" s="242">
        <f t="shared" si="639"/>
        <v>4152.5</v>
      </c>
      <c r="NX102" s="56"/>
      <c r="OA102" s="55">
        <f t="shared" si="640"/>
        <v>46108</v>
      </c>
      <c r="OB102" s="56"/>
      <c r="OC102" s="242">
        <f>SUMPRODUCT(PRODUCE!$B113:$DY113,PRODUCE!$EB$50:$IY$50)</f>
        <v>0</v>
      </c>
      <c r="OD102" s="56"/>
      <c r="OE102" s="242">
        <f t="shared" si="641"/>
        <v>0</v>
      </c>
      <c r="OF102" s="242">
        <f t="shared" si="642"/>
        <v>1680.5</v>
      </c>
      <c r="OG102" s="56"/>
      <c r="OJ102" s="55">
        <f t="shared" si="643"/>
        <v>46108</v>
      </c>
      <c r="OK102" s="56">
        <v>367.3</v>
      </c>
      <c r="OL102" s="242">
        <f>SUMPRODUCT(PRODUCE!$B113:$DY113,PRODUCE!$EB$51:$IY$51)</f>
        <v>223.99999999999994</v>
      </c>
      <c r="OM102" s="56">
        <v>367.3</v>
      </c>
      <c r="ON102" s="242">
        <f t="shared" si="644"/>
        <v>-143.30000000000007</v>
      </c>
      <c r="OO102" s="242">
        <f t="shared" si="645"/>
        <v>0</v>
      </c>
      <c r="OP102" s="56"/>
      <c r="OS102" s="55">
        <f t="shared" si="646"/>
        <v>46108</v>
      </c>
      <c r="OT102" s="56"/>
      <c r="OU102" s="242">
        <f>SUMPRODUCT(PRODUCE!$B113:$DY113,PRODUCE!$EB$52:$IY$52)</f>
        <v>0</v>
      </c>
      <c r="OV102" s="56"/>
      <c r="OW102" s="242">
        <f t="shared" si="647"/>
        <v>0</v>
      </c>
      <c r="OX102" s="242">
        <f t="shared" si="648"/>
        <v>1000</v>
      </c>
      <c r="OY102" s="56"/>
      <c r="PB102" s="55">
        <f t="shared" si="649"/>
        <v>46108</v>
      </c>
      <c r="PC102" s="56"/>
      <c r="PD102" s="242">
        <f>SUMPRODUCT(PRODUCE!$B113:$DY113,PRODUCE!$EB$53:$IY$53)</f>
        <v>0</v>
      </c>
      <c r="PE102" s="56"/>
      <c r="PF102" s="242">
        <f t="shared" si="650"/>
        <v>0</v>
      </c>
      <c r="PG102" s="242">
        <f t="shared" si="651"/>
        <v>0</v>
      </c>
      <c r="PH102" s="56"/>
      <c r="PK102" s="55">
        <f t="shared" si="652"/>
        <v>46108</v>
      </c>
      <c r="PL102" s="56"/>
      <c r="PM102" s="242">
        <f>SUMPRODUCT(PRODUCE!$B113:$DY113,PRODUCE!$EB$54:$IY$54)</f>
        <v>0</v>
      </c>
      <c r="PN102" s="56"/>
      <c r="PO102" s="242">
        <f t="shared" si="653"/>
        <v>0</v>
      </c>
      <c r="PP102" s="242">
        <f t="shared" si="654"/>
        <v>100</v>
      </c>
      <c r="PQ102" s="56"/>
      <c r="PT102" s="55">
        <f t="shared" si="655"/>
        <v>46108</v>
      </c>
      <c r="PU102" s="56"/>
      <c r="PV102" s="242">
        <f>SUMPRODUCT(PRODUCE!$B113:$DY113,PRODUCE!$EB$55:$IY$55)</f>
        <v>0</v>
      </c>
      <c r="PW102" s="56"/>
      <c r="PX102" s="242">
        <f t="shared" si="656"/>
        <v>0</v>
      </c>
      <c r="PY102" s="242">
        <f t="shared" si="657"/>
        <v>13.960000000000036</v>
      </c>
      <c r="PZ102" s="56"/>
      <c r="QC102" s="55">
        <f t="shared" si="658"/>
        <v>46108</v>
      </c>
      <c r="QD102" s="56"/>
      <c r="QE102" s="242">
        <f>SUMPRODUCT(PRODUCE!$B113:$DY113,PRODUCE!$EB$56:$IY$56)</f>
        <v>0</v>
      </c>
      <c r="QF102" s="56"/>
      <c r="QG102" s="242">
        <f t="shared" si="659"/>
        <v>0</v>
      </c>
      <c r="QH102" s="242">
        <f t="shared" si="660"/>
        <v>1212</v>
      </c>
      <c r="QI102" s="56"/>
      <c r="QL102" s="55">
        <f t="shared" si="661"/>
        <v>46108</v>
      </c>
      <c r="QM102" s="56">
        <v>400</v>
      </c>
      <c r="QN102" s="242">
        <f>SUMPRODUCT(PRODUCE!$B113:$DY113,PRODUCE!$EB$57:$IY$57)</f>
        <v>0</v>
      </c>
      <c r="QO102" s="56"/>
      <c r="QP102" s="242">
        <f t="shared" si="662"/>
        <v>0</v>
      </c>
      <c r="QQ102" s="242">
        <f t="shared" si="663"/>
        <v>400</v>
      </c>
      <c r="QR102" s="56"/>
      <c r="QU102" s="55">
        <f t="shared" si="664"/>
        <v>46108</v>
      </c>
      <c r="QV102" s="56"/>
      <c r="QW102" s="242">
        <f>SUMPRODUCT(PRODUCE!$B113:$DY113,PRODUCE!$EB$57:$IY$57)</f>
        <v>0</v>
      </c>
      <c r="QX102" s="56"/>
      <c r="QY102" s="242">
        <f t="shared" si="665"/>
        <v>0</v>
      </c>
      <c r="QZ102" s="242">
        <f t="shared" si="666"/>
        <v>207.6</v>
      </c>
      <c r="RA102" s="56"/>
      <c r="RD102" s="55">
        <f t="shared" si="667"/>
        <v>46108</v>
      </c>
      <c r="RE102" s="56"/>
      <c r="RF102" s="242">
        <f>SUMPRODUCT(PRODUCE!$B113:$DY113,PRODUCE!$EB$58:$IY$58)</f>
        <v>0</v>
      </c>
      <c r="RG102" s="56"/>
      <c r="RH102" s="242">
        <f t="shared" si="668"/>
        <v>0</v>
      </c>
      <c r="RI102" s="242">
        <f t="shared" si="669"/>
        <v>197.04000000000002</v>
      </c>
      <c r="RJ102" s="56"/>
      <c r="RM102" s="55">
        <f t="shared" si="670"/>
        <v>46108</v>
      </c>
      <c r="RN102" s="56"/>
      <c r="RO102" s="242">
        <f>SUMPRODUCT(PRODUCE!$B113:$DY113,PRODUCE!$EB$57:$IY$57)</f>
        <v>0</v>
      </c>
      <c r="RP102" s="56"/>
      <c r="RQ102" s="242">
        <f t="shared" si="671"/>
        <v>0</v>
      </c>
      <c r="RR102" s="242">
        <f t="shared" si="672"/>
        <v>46.8</v>
      </c>
      <c r="RS102" s="56"/>
      <c r="RV102" s="55">
        <f t="shared" si="673"/>
        <v>46108</v>
      </c>
      <c r="RW102" s="56"/>
      <c r="RX102" s="242">
        <f>SUMPRODUCT(PRODUCE!$B113:$DY113,PRODUCE!$EB$57:$IY$57)</f>
        <v>0</v>
      </c>
      <c r="RY102" s="56"/>
      <c r="RZ102" s="242">
        <f t="shared" si="674"/>
        <v>0</v>
      </c>
      <c r="SA102" s="242">
        <f t="shared" si="675"/>
        <v>0</v>
      </c>
      <c r="SB102" s="56"/>
      <c r="SE102" s="55">
        <f t="shared" si="676"/>
        <v>46108</v>
      </c>
      <c r="SF102" s="56"/>
      <c r="SG102" s="242">
        <f>SUMPRODUCT(PRODUCE!$B113:$DY113,PRODUCE!$EB$57:$IY$57)</f>
        <v>0</v>
      </c>
      <c r="SH102" s="56"/>
      <c r="SI102" s="242">
        <f t="shared" si="677"/>
        <v>0</v>
      </c>
      <c r="SJ102" s="242">
        <f t="shared" si="678"/>
        <v>0</v>
      </c>
      <c r="SK102" s="56"/>
      <c r="SN102" s="55">
        <f t="shared" si="679"/>
        <v>46108</v>
      </c>
      <c r="SO102" s="56"/>
      <c r="SP102" s="242">
        <f>SUMPRODUCT(PRODUCE!$B113:$DY113,PRODUCE!$EB$57:$IY$57)</f>
        <v>0</v>
      </c>
      <c r="SQ102" s="56"/>
      <c r="SR102" s="242">
        <f t="shared" si="680"/>
        <v>0</v>
      </c>
      <c r="SS102" s="242">
        <f t="shared" si="681"/>
        <v>0</v>
      </c>
      <c r="ST102" s="56"/>
      <c r="SW102" s="55">
        <f t="shared" si="682"/>
        <v>46108</v>
      </c>
      <c r="SX102" s="56"/>
      <c r="SY102" s="242">
        <f>SUMPRODUCT(PRODUCE!$B113:$DY113,PRODUCE!$EB$57:$IY$57)</f>
        <v>0</v>
      </c>
      <c r="SZ102" s="56"/>
      <c r="TA102" s="242">
        <f t="shared" si="683"/>
        <v>0</v>
      </c>
      <c r="TB102" s="242">
        <f t="shared" si="684"/>
        <v>0</v>
      </c>
      <c r="TC102" s="56"/>
      <c r="TF102" s="55">
        <f t="shared" si="685"/>
        <v>46108</v>
      </c>
      <c r="TG102" s="56"/>
      <c r="TH102" s="242">
        <f>SUMPRODUCT(PRODUCE!$B113:$DY113,PRODUCE!$EB$57:$IY$57)</f>
        <v>0</v>
      </c>
      <c r="TI102" s="56"/>
      <c r="TJ102" s="242">
        <f t="shared" si="686"/>
        <v>0</v>
      </c>
      <c r="TK102" s="242">
        <f t="shared" si="687"/>
        <v>0</v>
      </c>
      <c r="TL102" s="56"/>
      <c r="TO102" s="55">
        <f t="shared" si="688"/>
        <v>46108</v>
      </c>
      <c r="TP102" s="56"/>
      <c r="TQ102" s="242">
        <f>SUMPRODUCT(PRODUCE!$B113:$DY113,PRODUCE!$EB$57:$IY$57)</f>
        <v>0</v>
      </c>
      <c r="TR102" s="56"/>
      <c r="TS102" s="242">
        <f t="shared" si="689"/>
        <v>0</v>
      </c>
      <c r="TT102" s="242">
        <f t="shared" si="690"/>
        <v>0</v>
      </c>
      <c r="TU102" s="56"/>
      <c r="TX102" s="55">
        <f t="shared" si="691"/>
        <v>46108</v>
      </c>
      <c r="TY102" s="56"/>
      <c r="TZ102" s="242">
        <f>SUMPRODUCT(PRODUCE!$B113:$DY113,PRODUCE!$EB$57:$IY$57)</f>
        <v>0</v>
      </c>
      <c r="UA102" s="56"/>
      <c r="UB102" s="242">
        <f t="shared" si="692"/>
        <v>0</v>
      </c>
      <c r="UC102" s="242">
        <f t="shared" si="693"/>
        <v>0</v>
      </c>
      <c r="UD102" s="56"/>
      <c r="UG102" s="55">
        <f t="shared" si="694"/>
        <v>46108</v>
      </c>
      <c r="UH102" s="56"/>
      <c r="UI102" s="242">
        <f>SUMPRODUCT(PRODUCE!$B113:$DY113,PRODUCE!$EB$57:$IY$57)</f>
        <v>0</v>
      </c>
      <c r="UJ102" s="56"/>
      <c r="UK102" s="242">
        <f t="shared" si="695"/>
        <v>0</v>
      </c>
      <c r="UL102" s="242">
        <f t="shared" si="696"/>
        <v>0</v>
      </c>
      <c r="UM102" s="56"/>
      <c r="UP102" s="55">
        <f t="shared" si="697"/>
        <v>46108</v>
      </c>
      <c r="UQ102" s="56"/>
      <c r="UR102" s="242">
        <f>SUMPRODUCT(PRODUCE!$B113:$DY113,PRODUCE!$EB$57:$IY$57)</f>
        <v>0</v>
      </c>
      <c r="US102" s="56"/>
      <c r="UT102" s="242">
        <f t="shared" si="698"/>
        <v>0</v>
      </c>
      <c r="UU102" s="242">
        <f t="shared" si="699"/>
        <v>0</v>
      </c>
      <c r="UV102" s="56"/>
      <c r="UY102" s="55">
        <f t="shared" si="700"/>
        <v>46108</v>
      </c>
      <c r="UZ102" s="56"/>
      <c r="VA102" s="242">
        <f>SUMPRODUCT(PRODUCE!$B113:$DY113,PRODUCE!$EB$57:$IY$57)</f>
        <v>0</v>
      </c>
      <c r="VB102" s="56"/>
      <c r="VC102" s="242">
        <f t="shared" si="701"/>
        <v>0</v>
      </c>
      <c r="VD102" s="242">
        <f t="shared" si="702"/>
        <v>41.600000000000023</v>
      </c>
      <c r="VE102" s="56"/>
      <c r="VH102" s="55">
        <f t="shared" si="703"/>
        <v>46108</v>
      </c>
      <c r="VI102" s="56"/>
      <c r="VJ102" s="242">
        <f>SUMPRODUCT(PRODUCE!$B113:$DY113,PRODUCE!$EB$57:$IY$57)</f>
        <v>0</v>
      </c>
      <c r="VK102" s="56"/>
      <c r="VL102" s="242">
        <f t="shared" si="704"/>
        <v>0</v>
      </c>
      <c r="VM102" s="242">
        <f t="shared" si="705"/>
        <v>0</v>
      </c>
      <c r="VN102" s="56"/>
      <c r="VQ102" s="55">
        <f t="shared" si="706"/>
        <v>46108</v>
      </c>
      <c r="VR102" s="56"/>
      <c r="VS102" s="242">
        <f>SUMPRODUCT(PRODUCE!$B113:$DY113,PRODUCE!$EB$57:$IY$57)</f>
        <v>0</v>
      </c>
      <c r="VT102" s="56"/>
      <c r="VU102" s="242">
        <f t="shared" si="707"/>
        <v>0</v>
      </c>
      <c r="VV102" s="242">
        <f t="shared" si="708"/>
        <v>0</v>
      </c>
      <c r="VW102" s="56"/>
      <c r="VZ102" s="55">
        <f t="shared" si="709"/>
        <v>46108</v>
      </c>
      <c r="WA102" s="56"/>
      <c r="WB102" s="242">
        <f>SUMPRODUCT(PRODUCE!$B113:$DY113,PRODUCE!$EB$57:$IY$57)</f>
        <v>0</v>
      </c>
      <c r="WC102" s="56"/>
      <c r="WD102" s="242">
        <f t="shared" si="710"/>
        <v>0</v>
      </c>
      <c r="WE102" s="242">
        <f t="shared" si="711"/>
        <v>0</v>
      </c>
      <c r="WF102" s="56"/>
      <c r="WI102" s="55">
        <f t="shared" si="712"/>
        <v>46108</v>
      </c>
      <c r="WJ102" s="56"/>
      <c r="WK102" s="242">
        <f>SUMPRODUCT(PRODUCE!$B113:$DY113,PRODUCE!$EB$57:$IY$57)</f>
        <v>0</v>
      </c>
      <c r="WL102" s="56"/>
      <c r="WM102" s="242">
        <f t="shared" si="713"/>
        <v>0</v>
      </c>
      <c r="WN102" s="242">
        <f t="shared" si="714"/>
        <v>4857</v>
      </c>
      <c r="WO102" s="56"/>
      <c r="WR102" s="55">
        <f t="shared" si="715"/>
        <v>46108</v>
      </c>
      <c r="WS102" s="56"/>
      <c r="WT102" s="242">
        <f>SUMPRODUCT(PRODUCE!$B113:$DY113,PRODUCE!$EB$57:$IY$57)</f>
        <v>0</v>
      </c>
      <c r="WU102" s="56"/>
      <c r="WV102" s="242">
        <f t="shared" si="716"/>
        <v>0</v>
      </c>
      <c r="WW102" s="242">
        <f t="shared" si="717"/>
        <v>850</v>
      </c>
      <c r="WX102" s="56"/>
      <c r="XA102" s="55">
        <f t="shared" si="718"/>
        <v>46108</v>
      </c>
      <c r="XB102" s="56"/>
      <c r="XC102" s="242">
        <f>SUMPRODUCT(PRODUCE!$B113:$DY113,PRODUCE!$EB$57:$IY$57)</f>
        <v>0</v>
      </c>
      <c r="XD102" s="56"/>
      <c r="XE102" s="242">
        <f t="shared" si="719"/>
        <v>0</v>
      </c>
      <c r="XF102" s="242">
        <f t="shared" si="720"/>
        <v>7142</v>
      </c>
      <c r="XG102" s="56"/>
      <c r="XJ102" s="55">
        <f t="shared" si="721"/>
        <v>46108</v>
      </c>
      <c r="XK102" s="56"/>
      <c r="XL102" s="242">
        <f>SUMPRODUCT(PRODUCE!$B113:$DY113,PRODUCE!$EB$57:$IY$57)</f>
        <v>0</v>
      </c>
      <c r="XM102" s="56"/>
      <c r="XN102" s="242">
        <f t="shared" si="722"/>
        <v>0</v>
      </c>
      <c r="XO102" s="242">
        <f t="shared" si="723"/>
        <v>7057</v>
      </c>
      <c r="XP102" s="56"/>
      <c r="XS102" s="55">
        <f t="shared" si="724"/>
        <v>46108</v>
      </c>
      <c r="XT102" s="56"/>
      <c r="XU102" s="242">
        <f>SUMPRODUCT(PRODUCE!$B113:$DY113,PRODUCE!$EB$57:$IY$57)</f>
        <v>0</v>
      </c>
      <c r="XV102" s="56"/>
      <c r="XW102" s="242">
        <f t="shared" si="725"/>
        <v>0</v>
      </c>
      <c r="XX102" s="242">
        <f t="shared" si="726"/>
        <v>1901</v>
      </c>
      <c r="XY102" s="56"/>
      <c r="YB102" s="55">
        <f t="shared" si="727"/>
        <v>46108</v>
      </c>
      <c r="YC102" s="56"/>
      <c r="YD102" s="242">
        <f>SUMPRODUCT(PRODUCE!$B113:$DY113,PRODUCE!$EB$57:$IY$57)</f>
        <v>0</v>
      </c>
      <c r="YE102" s="56"/>
      <c r="YF102" s="242">
        <f t="shared" si="728"/>
        <v>0</v>
      </c>
      <c r="YG102" s="242">
        <f t="shared" si="729"/>
        <v>6459</v>
      </c>
      <c r="YH102" s="56"/>
      <c r="YK102" s="55">
        <f t="shared" si="730"/>
        <v>46108</v>
      </c>
      <c r="YL102" s="56"/>
      <c r="YM102" s="242">
        <f>SUMPRODUCT(PRODUCE!$B113:$DY113,PRODUCE!$EB$57:$IY$57)</f>
        <v>0</v>
      </c>
      <c r="YN102" s="56"/>
      <c r="YO102" s="242">
        <f t="shared" si="731"/>
        <v>0</v>
      </c>
      <c r="YP102" s="242">
        <f t="shared" si="732"/>
        <v>0</v>
      </c>
      <c r="YQ102" s="56"/>
      <c r="YT102" s="55">
        <f t="shared" si="733"/>
        <v>46108</v>
      </c>
      <c r="YU102" s="56"/>
      <c r="YV102" s="242">
        <f>SUMPRODUCT(PRODUCE!$B113:$DY113,PRODUCE!$EB$57:$IY$57)</f>
        <v>0</v>
      </c>
      <c r="YW102" s="56"/>
      <c r="YX102" s="242">
        <f t="shared" si="734"/>
        <v>0</v>
      </c>
      <c r="YY102" s="242">
        <f t="shared" si="735"/>
        <v>0</v>
      </c>
      <c r="YZ102" s="56"/>
      <c r="ZC102" s="55">
        <f t="shared" si="736"/>
        <v>46108</v>
      </c>
      <c r="ZD102" s="56"/>
      <c r="ZE102" s="242">
        <f>SUMPRODUCT(PRODUCE!$B113:$DY113,PRODUCE!$EB$57:$IY$57)</f>
        <v>0</v>
      </c>
      <c r="ZF102" s="56"/>
      <c r="ZG102" s="242">
        <f t="shared" si="737"/>
        <v>0</v>
      </c>
      <c r="ZH102" s="242">
        <f t="shared" si="738"/>
        <v>0</v>
      </c>
      <c r="ZI102" s="56"/>
      <c r="ZL102" s="55">
        <f t="shared" si="739"/>
        <v>46108</v>
      </c>
      <c r="ZM102" s="56"/>
      <c r="ZN102" s="242">
        <f>SUMPRODUCT(PRODUCE!$B113:$DY113,PRODUCE!$EB$57:$IY$57)</f>
        <v>0</v>
      </c>
      <c r="ZO102" s="56"/>
      <c r="ZP102" s="242">
        <f t="shared" si="740"/>
        <v>0</v>
      </c>
      <c r="ZQ102" s="242">
        <f t="shared" si="741"/>
        <v>0</v>
      </c>
      <c r="ZR102" s="56"/>
      <c r="ZU102" s="55">
        <f t="shared" si="742"/>
        <v>46108</v>
      </c>
      <c r="ZV102" s="56"/>
      <c r="ZW102" s="242">
        <f>SUMPRODUCT(PRODUCE!$B113:$DY113,PRODUCE!$EB$57:$IY$57)</f>
        <v>0</v>
      </c>
      <c r="ZX102" s="56"/>
      <c r="ZY102" s="242">
        <f t="shared" si="743"/>
        <v>0</v>
      </c>
      <c r="ZZ102" s="242">
        <f t="shared" si="744"/>
        <v>0</v>
      </c>
      <c r="AAA102" s="56"/>
      <c r="AAD102" s="55">
        <f t="shared" si="745"/>
        <v>46108</v>
      </c>
      <c r="AAE102" s="56"/>
      <c r="AAF102" s="242">
        <f>SUMPRODUCT(PRODUCE!$B113:$DY113,PRODUCE!$EB$57:$IY$57)</f>
        <v>0</v>
      </c>
      <c r="AAG102" s="56"/>
      <c r="AAH102" s="242">
        <f t="shared" si="746"/>
        <v>0</v>
      </c>
      <c r="AAI102" s="242">
        <f t="shared" si="747"/>
        <v>0</v>
      </c>
      <c r="AAJ102" s="56"/>
      <c r="AAM102" s="55">
        <f t="shared" si="748"/>
        <v>46108</v>
      </c>
      <c r="AAN102" s="56"/>
      <c r="AAO102" s="242">
        <f>SUMPRODUCT(PRODUCE!$B113:$DY113,PRODUCE!$EB$57:$IY$57)</f>
        <v>0</v>
      </c>
      <c r="AAP102" s="56"/>
      <c r="AAQ102" s="242">
        <f t="shared" si="749"/>
        <v>0</v>
      </c>
      <c r="AAR102" s="242">
        <f t="shared" si="750"/>
        <v>0</v>
      </c>
      <c r="AAS102" s="56"/>
      <c r="AAV102" s="55">
        <f t="shared" si="751"/>
        <v>46108</v>
      </c>
      <c r="AAW102" s="56"/>
      <c r="AAX102" s="242">
        <f>SUMPRODUCT(PRODUCE!$B113:$DY113,PRODUCE!$EB$57:$IY$57)</f>
        <v>0</v>
      </c>
      <c r="AAY102" s="56"/>
      <c r="AAZ102" s="242">
        <f t="shared" si="752"/>
        <v>0</v>
      </c>
      <c r="ABA102" s="242">
        <f t="shared" si="753"/>
        <v>0</v>
      </c>
      <c r="ABB102" s="56"/>
      <c r="ABE102" s="55">
        <f t="shared" si="754"/>
        <v>46108</v>
      </c>
      <c r="ABF102" s="56"/>
      <c r="ABG102" s="242">
        <f>SUMPRODUCT(PRODUCE!$B113:$DY113,PRODUCE!$EB$57:$IY$57)</f>
        <v>0</v>
      </c>
      <c r="ABH102" s="56"/>
      <c r="ABI102" s="242">
        <f t="shared" si="755"/>
        <v>0</v>
      </c>
      <c r="ABJ102" s="242">
        <f t="shared" si="756"/>
        <v>0</v>
      </c>
      <c r="ABK102" s="56"/>
    </row>
    <row r="103" spans="1:739" s="54" customFormat="1" ht="15" customHeight="1" outlineLevel="1">
      <c r="B103" s="478">
        <f>30+36</f>
        <v>66</v>
      </c>
      <c r="C103" s="55">
        <v>46109</v>
      </c>
      <c r="D103" s="422"/>
      <c r="E103" s="423">
        <f>SUMPRODUCT(PRODUCE!$B114:$DY114,PRODUCE!$EB$7:$IY$7)</f>
        <v>33515.1</v>
      </c>
      <c r="F103" s="422">
        <v>33520.400000000001</v>
      </c>
      <c r="G103" s="423">
        <f t="shared" si="514"/>
        <v>-5.3000000000029104</v>
      </c>
      <c r="H103" s="423">
        <f t="shared" si="512"/>
        <v>60997.799999999967</v>
      </c>
      <c r="I103" s="289" t="s">
        <v>233</v>
      </c>
      <c r="L103" s="55">
        <f t="shared" si="513"/>
        <v>46109</v>
      </c>
      <c r="M103" s="422"/>
      <c r="N103" s="438">
        <f>SUMPRODUCT(PRODUCE!$B114:$DY114,PRODUCE!$EB$8:$IY$8)</f>
        <v>14535</v>
      </c>
      <c r="O103" s="422">
        <v>14530</v>
      </c>
      <c r="P103" s="438">
        <f t="shared" si="515"/>
        <v>5</v>
      </c>
      <c r="Q103" s="438">
        <f t="shared" si="516"/>
        <v>28861.800000000083</v>
      </c>
      <c r="R103" s="56"/>
      <c r="U103" s="55">
        <f t="shared" si="517"/>
        <v>46109</v>
      </c>
      <c r="V103" s="422"/>
      <c r="W103" s="440">
        <f>SUMPRODUCT(PRODUCE!$B114:$DY114,PRODUCE!$EB$9:$IY$9)</f>
        <v>5001</v>
      </c>
      <c r="X103" s="422">
        <v>5003.5</v>
      </c>
      <c r="Y103" s="440">
        <f t="shared" si="518"/>
        <v>-2.5</v>
      </c>
      <c r="Z103" s="440">
        <f t="shared" si="519"/>
        <v>25458.999999999967</v>
      </c>
      <c r="AA103" s="56"/>
      <c r="AD103" s="55">
        <f t="shared" si="520"/>
        <v>46109</v>
      </c>
      <c r="AE103" s="422"/>
      <c r="AF103" s="442">
        <f>SUMPRODUCT(PRODUCE!$B114:$DY114,PRODUCE!$EB$10:$IY$10)</f>
        <v>768</v>
      </c>
      <c r="AG103" s="422">
        <v>768.6</v>
      </c>
      <c r="AH103" s="442">
        <f t="shared" si="521"/>
        <v>-0.60000000000002274</v>
      </c>
      <c r="AI103" s="442">
        <f t="shared" si="522"/>
        <v>33755.700000000019</v>
      </c>
      <c r="AJ103" s="56"/>
      <c r="AM103" s="55">
        <f t="shared" si="523"/>
        <v>46109</v>
      </c>
      <c r="AN103" s="422"/>
      <c r="AO103" s="444">
        <f>SUMPRODUCT(PRODUCE!$B114:$DY114,PRODUCE!$EB$11:$IY$11)</f>
        <v>0</v>
      </c>
      <c r="AP103" s="422"/>
      <c r="AQ103" s="444">
        <f t="shared" si="524"/>
        <v>0</v>
      </c>
      <c r="AR103" s="444">
        <f t="shared" si="525"/>
        <v>0</v>
      </c>
      <c r="AS103" s="56"/>
      <c r="AV103" s="55">
        <f t="shared" si="526"/>
        <v>46109</v>
      </c>
      <c r="AW103" s="422"/>
      <c r="AX103" s="446">
        <f>SUMPRODUCT(PRODUCE!$B114:$DY114,PRODUCE!$EB$12:$IY$12)</f>
        <v>750</v>
      </c>
      <c r="AY103" s="422">
        <v>749.1</v>
      </c>
      <c r="AZ103" s="446">
        <f t="shared" si="527"/>
        <v>0.89999999999997726</v>
      </c>
      <c r="BA103" s="446">
        <f t="shared" si="528"/>
        <v>19397.399999999987</v>
      </c>
      <c r="BB103" s="56"/>
      <c r="BE103" s="55">
        <f t="shared" si="529"/>
        <v>46109</v>
      </c>
      <c r="BF103" s="422"/>
      <c r="BG103" s="448">
        <f>SUMPRODUCT(PRODUCE!$B114:$DY114,PRODUCE!$EB$13:$IY$13)</f>
        <v>2352</v>
      </c>
      <c r="BH103" s="422">
        <v>2351.6</v>
      </c>
      <c r="BI103" s="448">
        <f t="shared" si="530"/>
        <v>0.40000000000009095</v>
      </c>
      <c r="BJ103" s="448">
        <f t="shared" si="531"/>
        <v>2110.2000000000021</v>
      </c>
      <c r="BK103" s="56"/>
      <c r="BN103" s="55">
        <f t="shared" si="532"/>
        <v>46109</v>
      </c>
      <c r="BO103" s="422">
        <v>1170</v>
      </c>
      <c r="BP103" s="450">
        <f>SUMPRODUCT(PRODUCE!$B114:$DY114,PRODUCE!$EB$14:$IY$14)</f>
        <v>1170</v>
      </c>
      <c r="BQ103" s="422">
        <v>1170</v>
      </c>
      <c r="BR103" s="450">
        <f t="shared" si="533"/>
        <v>0</v>
      </c>
      <c r="BS103" s="450">
        <f t="shared" si="534"/>
        <v>0</v>
      </c>
      <c r="BT103" s="56"/>
      <c r="BW103" s="55">
        <f t="shared" si="535"/>
        <v>46109</v>
      </c>
      <c r="BX103" s="56"/>
      <c r="BY103" s="65">
        <f>SUMPRODUCT(PRODUCE!$B114:$DY114,PRODUCE!$EB$15:$IY$15)</f>
        <v>374.40000000000003</v>
      </c>
      <c r="BZ103" s="56"/>
      <c r="CA103" s="65">
        <f t="shared" si="536"/>
        <v>374.40000000000003</v>
      </c>
      <c r="CB103" s="65">
        <f t="shared" si="537"/>
        <v>11812.9</v>
      </c>
      <c r="CC103" s="56"/>
      <c r="CF103" s="55">
        <f t="shared" si="538"/>
        <v>46109</v>
      </c>
      <c r="CG103" s="56"/>
      <c r="CH103" s="66">
        <f>SUMPRODUCT(PRODUCE!$B114:$DY114,PRODUCE!$EB$16:$IY$16)</f>
        <v>570</v>
      </c>
      <c r="CI103" s="56"/>
      <c r="CJ103" s="66">
        <f t="shared" si="539"/>
        <v>570</v>
      </c>
      <c r="CK103" s="66">
        <f t="shared" si="540"/>
        <v>0</v>
      </c>
      <c r="CL103" s="56"/>
      <c r="CO103" s="55">
        <f t="shared" si="541"/>
        <v>46109</v>
      </c>
      <c r="CP103" s="422"/>
      <c r="CQ103" s="470">
        <f>SUMPRODUCT(PRODUCE!$B114:$DY114,PRODUCE!$EB$17:$IY$17)</f>
        <v>0</v>
      </c>
      <c r="CR103" s="422"/>
      <c r="CS103" s="470">
        <f t="shared" si="542"/>
        <v>0</v>
      </c>
      <c r="CT103" s="470">
        <f t="shared" si="543"/>
        <v>0</v>
      </c>
      <c r="CU103" s="56"/>
      <c r="CX103" s="55">
        <f t="shared" si="544"/>
        <v>46109</v>
      </c>
      <c r="CY103" s="56"/>
      <c r="CZ103" s="133">
        <f>SUMPRODUCT(PRODUCE!$B114:$DY114,PRODUCE!$EB$18:$IY$18)</f>
        <v>2805</v>
      </c>
      <c r="DA103" s="56">
        <v>2804.8</v>
      </c>
      <c r="DB103" s="133">
        <f t="shared" si="545"/>
        <v>0.1999999999998181</v>
      </c>
      <c r="DC103" s="133">
        <f t="shared" si="546"/>
        <v>31869.7</v>
      </c>
      <c r="DD103" s="56"/>
      <c r="DG103" s="55">
        <f t="shared" si="547"/>
        <v>46109</v>
      </c>
      <c r="DH103" s="56"/>
      <c r="DI103" s="147">
        <f>SUMPRODUCT(PRODUCE!$B114:$DY114,PRODUCE!$EB$19:$IY$19)</f>
        <v>1545</v>
      </c>
      <c r="DJ103" s="56">
        <v>1545</v>
      </c>
      <c r="DK103" s="147">
        <f t="shared" ref="DK103:DK106" si="757">DI103-DJ103</f>
        <v>0</v>
      </c>
      <c r="DL103" s="147">
        <f t="shared" ref="DL103:DL106" si="758">DL102+DH103-DJ103</f>
        <v>6688.5999999999949</v>
      </c>
      <c r="DM103" s="56"/>
      <c r="DP103" s="55">
        <f t="shared" si="550"/>
        <v>46109</v>
      </c>
      <c r="DQ103" s="56"/>
      <c r="DR103" s="57">
        <f>SUMPRODUCT(PRODUCE!$B114:$DY114,PRODUCE!$EB$20:$IY$20)</f>
        <v>0</v>
      </c>
      <c r="DS103" s="56"/>
      <c r="DT103" s="57">
        <f t="shared" si="551"/>
        <v>0</v>
      </c>
      <c r="DU103" s="57">
        <f t="shared" si="552"/>
        <v>7150</v>
      </c>
      <c r="DV103" s="56"/>
      <c r="DY103" s="55">
        <f t="shared" si="553"/>
        <v>46109</v>
      </c>
      <c r="DZ103" s="56"/>
      <c r="EA103" s="157">
        <f>SUMPRODUCT(PRODUCE!$B114:$DY114,PRODUCE!$EB$21:$IY$21)</f>
        <v>750</v>
      </c>
      <c r="EB103" s="56">
        <v>500</v>
      </c>
      <c r="EC103" s="157">
        <f t="shared" si="554"/>
        <v>250</v>
      </c>
      <c r="ED103" s="157">
        <f t="shared" si="555"/>
        <v>1847.3000000000002</v>
      </c>
      <c r="EE103" s="56"/>
      <c r="EH103" s="55">
        <f t="shared" si="556"/>
        <v>46109</v>
      </c>
      <c r="EI103" s="56"/>
      <c r="EJ103" s="162">
        <f>SUMPRODUCT(PRODUCE!$B114:$DY114,PRODUCE!$EB$22:$IY$22)</f>
        <v>0</v>
      </c>
      <c r="EK103" s="56"/>
      <c r="EL103" s="162">
        <f t="shared" si="557"/>
        <v>0</v>
      </c>
      <c r="EM103" s="162">
        <f t="shared" si="558"/>
        <v>0</v>
      </c>
      <c r="EN103" s="56"/>
      <c r="EQ103" s="55">
        <f t="shared" si="559"/>
        <v>46109</v>
      </c>
      <c r="ER103" s="56"/>
      <c r="ES103" s="135">
        <f>SUMPRODUCT(PRODUCE!$B114:$DY114,PRODUCE!$EB$23:$IY$23)</f>
        <v>0</v>
      </c>
      <c r="ET103" s="56"/>
      <c r="EU103" s="135">
        <f t="shared" si="560"/>
        <v>0</v>
      </c>
      <c r="EV103" s="135">
        <f t="shared" si="561"/>
        <v>0</v>
      </c>
      <c r="EW103" s="56"/>
      <c r="EZ103" s="55">
        <f t="shared" si="562"/>
        <v>46109</v>
      </c>
      <c r="FA103" s="56"/>
      <c r="FB103" s="175">
        <f>SUMPRODUCT(PRODUCE!$B114:$DY114,PRODUCE!$EB$24:$IY$24)</f>
        <v>0</v>
      </c>
      <c r="FC103" s="56"/>
      <c r="FD103" s="175">
        <f t="shared" si="563"/>
        <v>0</v>
      </c>
      <c r="FE103" s="175">
        <f t="shared" si="564"/>
        <v>0</v>
      </c>
      <c r="FF103" s="56"/>
      <c r="FI103" s="55">
        <f t="shared" si="565"/>
        <v>46109</v>
      </c>
      <c r="FJ103" s="56"/>
      <c r="FK103" s="183">
        <f>SUMPRODUCT(PRODUCE!$B114:$DY114,PRODUCE!$EB$25:$IY$25)</f>
        <v>0</v>
      </c>
      <c r="FL103" s="56"/>
      <c r="FM103" s="183">
        <f t="shared" si="566"/>
        <v>0</v>
      </c>
      <c r="FN103" s="183">
        <f t="shared" si="567"/>
        <v>0</v>
      </c>
      <c r="FO103" s="56"/>
      <c r="FR103" s="55">
        <f t="shared" si="568"/>
        <v>46109</v>
      </c>
      <c r="FS103" s="422"/>
      <c r="FT103" s="452">
        <f>SUMPRODUCT(PRODUCE!$B114:$DY114,PRODUCE!$EB$26:$IY$26)</f>
        <v>0</v>
      </c>
      <c r="FU103" s="422"/>
      <c r="FV103" s="452">
        <f t="shared" si="569"/>
        <v>0</v>
      </c>
      <c r="FW103" s="452">
        <f t="shared" si="570"/>
        <v>1980</v>
      </c>
      <c r="FX103" s="56"/>
      <c r="GA103" s="55">
        <f t="shared" si="571"/>
        <v>46109</v>
      </c>
      <c r="GB103" s="422"/>
      <c r="GC103" s="454">
        <f>SUMPRODUCT(PRODUCE!$B114:$DY114,PRODUCE!$EB$27:$IY$27)</f>
        <v>0</v>
      </c>
      <c r="GD103" s="422"/>
      <c r="GE103" s="454">
        <f t="shared" si="572"/>
        <v>0</v>
      </c>
      <c r="GF103" s="454">
        <f t="shared" si="573"/>
        <v>2000</v>
      </c>
      <c r="GG103" s="56"/>
      <c r="GI103" s="23"/>
      <c r="GJ103" s="55">
        <f t="shared" si="574"/>
        <v>46109</v>
      </c>
      <c r="GK103" s="422"/>
      <c r="GL103" s="456">
        <f>SUMPRODUCT(PRODUCE!$B114:$DY114,PRODUCE!$EB$28:$IY$28)</f>
        <v>0</v>
      </c>
      <c r="GM103" s="422"/>
      <c r="GN103" s="456">
        <f t="shared" si="575"/>
        <v>0</v>
      </c>
      <c r="GO103" s="456">
        <f t="shared" si="576"/>
        <v>4800</v>
      </c>
      <c r="GP103" s="56"/>
      <c r="GS103" s="55">
        <f t="shared" si="577"/>
        <v>46109</v>
      </c>
      <c r="GT103" s="56"/>
      <c r="GU103" s="195">
        <f>SUMPRODUCT(PRODUCE!$B114:$DY114,PRODUCE!$EB$29:$IY$29)</f>
        <v>0</v>
      </c>
      <c r="GV103" s="56"/>
      <c r="GW103" s="195">
        <f t="shared" si="578"/>
        <v>0</v>
      </c>
      <c r="GX103" s="195">
        <f t="shared" si="579"/>
        <v>0</v>
      </c>
      <c r="GY103" s="56"/>
      <c r="HB103" s="55">
        <f t="shared" si="580"/>
        <v>46109</v>
      </c>
      <c r="HC103" s="56"/>
      <c r="HD103" s="191">
        <f>SUMPRODUCT(PRODUCE!$B114:$DY114,PRODUCE!$EB$30:$IY$30)</f>
        <v>0</v>
      </c>
      <c r="HE103" s="56"/>
      <c r="HF103" s="191">
        <f t="shared" si="581"/>
        <v>0</v>
      </c>
      <c r="HG103" s="191">
        <f t="shared" si="582"/>
        <v>0</v>
      </c>
      <c r="HH103" s="56"/>
      <c r="HK103" s="55">
        <f t="shared" si="583"/>
        <v>46109</v>
      </c>
      <c r="HL103" s="56"/>
      <c r="HM103" s="63">
        <f>SUMPRODUCT(PRODUCE!$B114:$DY114,PRODUCE!$EB$31:$IY$31)</f>
        <v>0</v>
      </c>
      <c r="HN103" s="56"/>
      <c r="HO103" s="63">
        <f t="shared" si="584"/>
        <v>0</v>
      </c>
      <c r="HP103" s="63">
        <f t="shared" si="585"/>
        <v>0</v>
      </c>
      <c r="HQ103" s="56"/>
      <c r="HU103" s="55">
        <f t="shared" si="586"/>
        <v>46109</v>
      </c>
      <c r="HV103" s="56"/>
      <c r="HW103" s="242">
        <f>SUMPRODUCT(PRODUCE!$B114:$DY114,PRODUCE!$EB$32:$IY$32)</f>
        <v>0</v>
      </c>
      <c r="HX103" s="56"/>
      <c r="HY103" s="242">
        <f t="shared" si="587"/>
        <v>0</v>
      </c>
      <c r="HZ103" s="242">
        <f t="shared" si="588"/>
        <v>5120</v>
      </c>
      <c r="IA103" s="56"/>
      <c r="ID103" s="55">
        <f t="shared" si="589"/>
        <v>46109</v>
      </c>
      <c r="IE103" s="56"/>
      <c r="IF103" s="242">
        <f>SUMPRODUCT(PRODUCE!$B114:$DY114,PRODUCE!$EB$33:$IY$33)</f>
        <v>0</v>
      </c>
      <c r="IG103" s="56"/>
      <c r="IH103" s="242">
        <f t="shared" si="590"/>
        <v>0</v>
      </c>
      <c r="II103" s="242">
        <f t="shared" si="591"/>
        <v>6540</v>
      </c>
      <c r="IJ103" s="56"/>
      <c r="IM103" s="55">
        <f t="shared" si="592"/>
        <v>46109</v>
      </c>
      <c r="IN103" s="56"/>
      <c r="IO103" s="242">
        <f>SUMPRODUCT(PRODUCE!$B114:$DY114,PRODUCE!$EB$34:$IY$34)</f>
        <v>0</v>
      </c>
      <c r="IP103" s="56"/>
      <c r="IQ103" s="242">
        <f t="shared" si="593"/>
        <v>0</v>
      </c>
      <c r="IR103" s="242">
        <f t="shared" si="594"/>
        <v>11540</v>
      </c>
      <c r="IS103" s="56"/>
      <c r="IV103" s="55">
        <f t="shared" si="595"/>
        <v>46109</v>
      </c>
      <c r="IW103" s="56"/>
      <c r="IX103" s="242">
        <f>SUMPRODUCT(PRODUCE!$B114:$DY114,PRODUCE!$EB$35:$IY$35)</f>
        <v>0</v>
      </c>
      <c r="IY103" s="56"/>
      <c r="IZ103" s="242">
        <f t="shared" si="596"/>
        <v>0</v>
      </c>
      <c r="JA103" s="242">
        <f t="shared" si="597"/>
        <v>15120</v>
      </c>
      <c r="JB103" s="56"/>
      <c r="JE103" s="55">
        <f t="shared" si="598"/>
        <v>46109</v>
      </c>
      <c r="JF103" s="56"/>
      <c r="JG103" s="242">
        <f>SUMPRODUCT(PRODUCE!$B114:$DY114,PRODUCE!$EB$36:$IY$36)</f>
        <v>0</v>
      </c>
      <c r="JH103" s="56"/>
      <c r="JI103" s="242">
        <f t="shared" si="599"/>
        <v>0</v>
      </c>
      <c r="JJ103" s="242">
        <f t="shared" si="600"/>
        <v>5040</v>
      </c>
      <c r="JK103" s="56"/>
      <c r="JN103" s="55">
        <f t="shared" si="601"/>
        <v>46109</v>
      </c>
      <c r="JO103" s="56"/>
      <c r="JP103" s="242">
        <f>SUMPRODUCT(PRODUCE!$B114:$DY114,PRODUCE!$EB$37:$IY$37)</f>
        <v>0</v>
      </c>
      <c r="JQ103" s="56"/>
      <c r="JR103" s="242">
        <f t="shared" si="602"/>
        <v>0</v>
      </c>
      <c r="JS103" s="242">
        <f t="shared" si="603"/>
        <v>9100</v>
      </c>
      <c r="JT103" s="56"/>
      <c r="JW103" s="55">
        <f t="shared" si="604"/>
        <v>46109</v>
      </c>
      <c r="JX103" s="56"/>
      <c r="JY103" s="242">
        <f>SUMPRODUCT(PRODUCE!$B114:$DY114,PRODUCE!$EB$38:$IY$38)</f>
        <v>600</v>
      </c>
      <c r="JZ103" s="56"/>
      <c r="KA103" s="242">
        <f t="shared" si="605"/>
        <v>600</v>
      </c>
      <c r="KB103" s="242">
        <f t="shared" si="606"/>
        <v>4220</v>
      </c>
      <c r="KC103" s="56"/>
      <c r="KF103" s="55">
        <f t="shared" si="607"/>
        <v>46109</v>
      </c>
      <c r="KG103" s="56"/>
      <c r="KH103" s="242">
        <f>SUMPRODUCT(PRODUCE!$B114:$DY114,PRODUCE!$EB$39:$IY$39)</f>
        <v>702</v>
      </c>
      <c r="KI103" s="56"/>
      <c r="KJ103" s="242">
        <f t="shared" si="608"/>
        <v>702</v>
      </c>
      <c r="KK103" s="242">
        <f t="shared" si="609"/>
        <v>7702.5</v>
      </c>
      <c r="KL103" s="56"/>
      <c r="KO103" s="55">
        <f t="shared" si="610"/>
        <v>46109</v>
      </c>
      <c r="KP103" s="56"/>
      <c r="KQ103" s="242">
        <f>SUMPRODUCT(PRODUCE!$B114:$DY114,PRODUCE!$EB$40:$IY$40)</f>
        <v>0</v>
      </c>
      <c r="KR103" s="56"/>
      <c r="KS103" s="242">
        <f t="shared" si="611"/>
        <v>0</v>
      </c>
      <c r="KT103" s="242">
        <f t="shared" si="612"/>
        <v>6426</v>
      </c>
      <c r="KU103" s="56"/>
      <c r="KW103" s="23"/>
      <c r="KX103" s="55">
        <f t="shared" si="613"/>
        <v>46109</v>
      </c>
      <c r="KY103" s="56"/>
      <c r="KZ103" s="242">
        <f>SUMPRODUCT(PRODUCE!$B114:$DY114,PRODUCE!$EB$41:$IY$41)</f>
        <v>0</v>
      </c>
      <c r="LA103" s="56"/>
      <c r="LB103" s="242">
        <f t="shared" si="614"/>
        <v>0</v>
      </c>
      <c r="LC103" s="242">
        <f t="shared" si="615"/>
        <v>0</v>
      </c>
      <c r="LD103" s="56"/>
      <c r="LG103" s="55">
        <f t="shared" si="616"/>
        <v>46109</v>
      </c>
      <c r="LH103" s="56"/>
      <c r="LI103" s="242">
        <f>SUMPRODUCT(PRODUCE!$B114:$DY114,PRODUCE!$EB$42:$IY$42)</f>
        <v>0</v>
      </c>
      <c r="LJ103" s="56"/>
      <c r="LK103" s="242">
        <f t="shared" si="617"/>
        <v>0</v>
      </c>
      <c r="LL103" s="242">
        <f t="shared" si="618"/>
        <v>0</v>
      </c>
      <c r="LM103" s="56"/>
      <c r="LP103" s="55">
        <f t="shared" si="619"/>
        <v>46109</v>
      </c>
      <c r="LQ103" s="56"/>
      <c r="LR103" s="242">
        <f>SUMPRODUCT(PRODUCE!$B118:$DY118,PRODUCE!$EB$43:$IY$43)</f>
        <v>0</v>
      </c>
      <c r="LS103" s="56"/>
      <c r="LT103" s="242">
        <f t="shared" si="620"/>
        <v>0</v>
      </c>
      <c r="LU103" s="242">
        <f t="shared" si="621"/>
        <v>0</v>
      </c>
      <c r="LV103" s="56"/>
      <c r="LY103" s="55">
        <f t="shared" si="622"/>
        <v>46109</v>
      </c>
      <c r="LZ103" s="56"/>
      <c r="MA103" s="242">
        <f>SUMPRODUCT(PRODUCE!$B114:$DY114,PRODUCE!$EB$44:$IY$44)</f>
        <v>0</v>
      </c>
      <c r="MB103" s="56"/>
      <c r="MC103" s="242">
        <f t="shared" si="623"/>
        <v>0</v>
      </c>
      <c r="MD103" s="242">
        <f t="shared" si="624"/>
        <v>0</v>
      </c>
      <c r="ME103" s="56"/>
      <c r="MH103" s="55">
        <f t="shared" si="625"/>
        <v>46109</v>
      </c>
      <c r="MI103" s="56"/>
      <c r="MJ103" s="242">
        <f>SUMPRODUCT(PRODUCE!$B114:$DY114,PRODUCE!$EB$45:$IY$45)</f>
        <v>0</v>
      </c>
      <c r="MK103" s="56"/>
      <c r="ML103" s="242">
        <f t="shared" si="626"/>
        <v>0</v>
      </c>
      <c r="MM103" s="242">
        <f t="shared" si="627"/>
        <v>0</v>
      </c>
      <c r="MN103" s="56"/>
      <c r="MQ103" s="55">
        <f t="shared" si="628"/>
        <v>46109</v>
      </c>
      <c r="MR103" s="56"/>
      <c r="MS103" s="242">
        <f>SUMPRODUCT(PRODUCE!$B114:$DY114,PRODUCE!$EB$46:$IY$46)</f>
        <v>132</v>
      </c>
      <c r="MT103" s="56"/>
      <c r="MU103" s="242">
        <f t="shared" si="629"/>
        <v>132</v>
      </c>
      <c r="MV103" s="242">
        <f t="shared" si="630"/>
        <v>4195</v>
      </c>
      <c r="MW103" s="56"/>
      <c r="MZ103" s="55">
        <f t="shared" si="631"/>
        <v>46109</v>
      </c>
      <c r="NA103" s="56"/>
      <c r="NB103" s="242">
        <f>SUMPRODUCT(PRODUCE!$B114:$DY114,PRODUCE!$EB$47:$IY$47)</f>
        <v>198</v>
      </c>
      <c r="NC103" s="56"/>
      <c r="ND103" s="242">
        <f t="shared" si="632"/>
        <v>198</v>
      </c>
      <c r="NE103" s="242">
        <f t="shared" si="633"/>
        <v>0</v>
      </c>
      <c r="NF103" s="56"/>
      <c r="NI103" s="55">
        <f t="shared" si="634"/>
        <v>46109</v>
      </c>
      <c r="NJ103" s="56"/>
      <c r="NK103" s="242">
        <f>SUMPRODUCT(PRODUCE!$B114:$DY114,PRODUCE!$EB$48:$IY$48)</f>
        <v>0</v>
      </c>
      <c r="NL103" s="56"/>
      <c r="NM103" s="242">
        <f t="shared" si="635"/>
        <v>0</v>
      </c>
      <c r="NN103" s="242">
        <f t="shared" si="636"/>
        <v>2065</v>
      </c>
      <c r="NO103" s="56"/>
      <c r="NR103" s="55">
        <f t="shared" si="637"/>
        <v>46109</v>
      </c>
      <c r="NS103" s="56"/>
      <c r="NT103" s="242">
        <f>SUMPRODUCT(PRODUCE!$B114:$DY114,PRODUCE!$EB$49:$IY$49)</f>
        <v>49.199999999999996</v>
      </c>
      <c r="NU103" s="56"/>
      <c r="NV103" s="242">
        <f t="shared" si="638"/>
        <v>49.199999999999996</v>
      </c>
      <c r="NW103" s="242">
        <f t="shared" si="639"/>
        <v>4152.5</v>
      </c>
      <c r="NX103" s="56"/>
      <c r="OA103" s="55">
        <f t="shared" si="640"/>
        <v>46109</v>
      </c>
      <c r="OB103" s="56"/>
      <c r="OC103" s="242">
        <f>SUMPRODUCT(PRODUCE!$B114:$DY114,PRODUCE!$EB$50:$IY$50)</f>
        <v>0</v>
      </c>
      <c r="OD103" s="56"/>
      <c r="OE103" s="242">
        <f t="shared" si="641"/>
        <v>0</v>
      </c>
      <c r="OF103" s="242">
        <f t="shared" si="642"/>
        <v>1680.5</v>
      </c>
      <c r="OG103" s="56"/>
      <c r="OJ103" s="55">
        <f t="shared" si="643"/>
        <v>46109</v>
      </c>
      <c r="OK103" s="56"/>
      <c r="OL103" s="242">
        <f>SUMPRODUCT(PRODUCE!$B114:$DY114,PRODUCE!$EB$51:$IY$51)</f>
        <v>183.3</v>
      </c>
      <c r="OM103" s="56"/>
      <c r="ON103" s="242">
        <f t="shared" si="644"/>
        <v>183.3</v>
      </c>
      <c r="OO103" s="242">
        <f t="shared" si="645"/>
        <v>0</v>
      </c>
      <c r="OP103" s="56"/>
      <c r="OS103" s="55">
        <f t="shared" si="646"/>
        <v>46109</v>
      </c>
      <c r="OT103" s="56"/>
      <c r="OU103" s="242">
        <f>SUMPRODUCT(PRODUCE!$B114:$DY114,PRODUCE!$EB$52:$IY$52)</f>
        <v>0</v>
      </c>
      <c r="OV103" s="56"/>
      <c r="OW103" s="242">
        <f t="shared" si="647"/>
        <v>0</v>
      </c>
      <c r="OX103" s="242">
        <f t="shared" si="648"/>
        <v>1000</v>
      </c>
      <c r="OY103" s="56"/>
      <c r="PB103" s="55">
        <f t="shared" si="649"/>
        <v>46109</v>
      </c>
      <c r="PC103" s="56"/>
      <c r="PD103" s="242">
        <f>SUMPRODUCT(PRODUCE!$B114:$DY114,PRODUCE!$EB$53:$IY$53)</f>
        <v>0</v>
      </c>
      <c r="PE103" s="56"/>
      <c r="PF103" s="242">
        <f t="shared" si="650"/>
        <v>0</v>
      </c>
      <c r="PG103" s="242">
        <f t="shared" si="651"/>
        <v>0</v>
      </c>
      <c r="PH103" s="56"/>
      <c r="PK103" s="55">
        <f t="shared" si="652"/>
        <v>46109</v>
      </c>
      <c r="PL103" s="56"/>
      <c r="PM103" s="242">
        <f>SUMPRODUCT(PRODUCE!$B114:$DY114,PRODUCE!$EB$54:$IY$54)</f>
        <v>0</v>
      </c>
      <c r="PN103" s="56"/>
      <c r="PO103" s="242">
        <f t="shared" si="653"/>
        <v>0</v>
      </c>
      <c r="PP103" s="242">
        <f t="shared" si="654"/>
        <v>100</v>
      </c>
      <c r="PQ103" s="56"/>
      <c r="PT103" s="55">
        <f t="shared" si="655"/>
        <v>46109</v>
      </c>
      <c r="PU103" s="56"/>
      <c r="PV103" s="242">
        <f>SUMPRODUCT(PRODUCE!$B114:$DY114,PRODUCE!$EB$55:$IY$55)</f>
        <v>0</v>
      </c>
      <c r="PW103" s="56"/>
      <c r="PX103" s="242">
        <f t="shared" si="656"/>
        <v>0</v>
      </c>
      <c r="PY103" s="242">
        <f t="shared" si="657"/>
        <v>13.960000000000036</v>
      </c>
      <c r="PZ103" s="56"/>
      <c r="QC103" s="55">
        <f t="shared" si="658"/>
        <v>46109</v>
      </c>
      <c r="QD103" s="56"/>
      <c r="QE103" s="242">
        <f>SUMPRODUCT(PRODUCE!$B114:$DY114,PRODUCE!$EB$56:$IY$56)</f>
        <v>0</v>
      </c>
      <c r="QF103" s="56"/>
      <c r="QG103" s="242">
        <f t="shared" si="659"/>
        <v>0</v>
      </c>
      <c r="QH103" s="242">
        <f t="shared" si="660"/>
        <v>1212</v>
      </c>
      <c r="QI103" s="56"/>
      <c r="QL103" s="55">
        <f t="shared" si="661"/>
        <v>46109</v>
      </c>
      <c r="QM103" s="56"/>
      <c r="QN103" s="242">
        <f>SUMPRODUCT(PRODUCE!$B114:$DY114,PRODUCE!$EB$57:$IY$57)</f>
        <v>0</v>
      </c>
      <c r="QO103" s="56"/>
      <c r="QP103" s="242">
        <f t="shared" si="662"/>
        <v>0</v>
      </c>
      <c r="QQ103" s="242">
        <f t="shared" si="663"/>
        <v>400</v>
      </c>
      <c r="QR103" s="56"/>
      <c r="QU103" s="55">
        <f t="shared" si="664"/>
        <v>46109</v>
      </c>
      <c r="QV103" s="56"/>
      <c r="QW103" s="242">
        <f>SUMPRODUCT(PRODUCE!$B114:$DY114,PRODUCE!$EB$57:$IY$57)</f>
        <v>0</v>
      </c>
      <c r="QX103" s="56"/>
      <c r="QY103" s="242">
        <f t="shared" si="665"/>
        <v>0</v>
      </c>
      <c r="QZ103" s="242">
        <f t="shared" si="666"/>
        <v>207.6</v>
      </c>
      <c r="RA103" s="56"/>
      <c r="RD103" s="55">
        <f t="shared" si="667"/>
        <v>46109</v>
      </c>
      <c r="RE103" s="56"/>
      <c r="RF103" s="242">
        <f>SUMPRODUCT(PRODUCE!$B114:$DY114,PRODUCE!$EB$58:$IY$58)</f>
        <v>0</v>
      </c>
      <c r="RG103" s="56"/>
      <c r="RH103" s="242">
        <f t="shared" si="668"/>
        <v>0</v>
      </c>
      <c r="RI103" s="242">
        <f t="shared" si="669"/>
        <v>197.04000000000002</v>
      </c>
      <c r="RJ103" s="56"/>
      <c r="RM103" s="55">
        <f t="shared" si="670"/>
        <v>46109</v>
      </c>
      <c r="RN103" s="56"/>
      <c r="RO103" s="242">
        <f>SUMPRODUCT(PRODUCE!$B114:$DY114,PRODUCE!$EB$57:$IY$57)</f>
        <v>0</v>
      </c>
      <c r="RP103" s="56"/>
      <c r="RQ103" s="242">
        <f t="shared" si="671"/>
        <v>0</v>
      </c>
      <c r="RR103" s="242">
        <f t="shared" si="672"/>
        <v>46.8</v>
      </c>
      <c r="RS103" s="56"/>
      <c r="RV103" s="55">
        <f t="shared" si="673"/>
        <v>46109</v>
      </c>
      <c r="RW103" s="56"/>
      <c r="RX103" s="242">
        <f>SUMPRODUCT(PRODUCE!$B114:$DY114,PRODUCE!$EB$57:$IY$57)</f>
        <v>0</v>
      </c>
      <c r="RY103" s="56"/>
      <c r="RZ103" s="242">
        <f t="shared" si="674"/>
        <v>0</v>
      </c>
      <c r="SA103" s="242">
        <f t="shared" si="675"/>
        <v>0</v>
      </c>
      <c r="SB103" s="56"/>
      <c r="SE103" s="55">
        <f t="shared" si="676"/>
        <v>46109</v>
      </c>
      <c r="SF103" s="56"/>
      <c r="SG103" s="242">
        <f>SUMPRODUCT(PRODUCE!$B114:$DY114,PRODUCE!$EB$57:$IY$57)</f>
        <v>0</v>
      </c>
      <c r="SH103" s="56"/>
      <c r="SI103" s="242">
        <f t="shared" si="677"/>
        <v>0</v>
      </c>
      <c r="SJ103" s="242">
        <f t="shared" si="678"/>
        <v>0</v>
      </c>
      <c r="SK103" s="56"/>
      <c r="SN103" s="55">
        <f t="shared" si="679"/>
        <v>46109</v>
      </c>
      <c r="SO103" s="56"/>
      <c r="SP103" s="242">
        <f>SUMPRODUCT(PRODUCE!$B114:$DY114,PRODUCE!$EB$57:$IY$57)</f>
        <v>0</v>
      </c>
      <c r="SQ103" s="56"/>
      <c r="SR103" s="242">
        <f t="shared" si="680"/>
        <v>0</v>
      </c>
      <c r="SS103" s="242">
        <f t="shared" si="681"/>
        <v>0</v>
      </c>
      <c r="ST103" s="56"/>
      <c r="SW103" s="55">
        <f t="shared" si="682"/>
        <v>46109</v>
      </c>
      <c r="SX103" s="56"/>
      <c r="SY103" s="242">
        <f>SUMPRODUCT(PRODUCE!$B114:$DY114,PRODUCE!$EB$57:$IY$57)</f>
        <v>0</v>
      </c>
      <c r="SZ103" s="56"/>
      <c r="TA103" s="242">
        <f t="shared" si="683"/>
        <v>0</v>
      </c>
      <c r="TB103" s="242">
        <f t="shared" si="684"/>
        <v>0</v>
      </c>
      <c r="TC103" s="56"/>
      <c r="TF103" s="55">
        <f t="shared" si="685"/>
        <v>46109</v>
      </c>
      <c r="TG103" s="56"/>
      <c r="TH103" s="242">
        <f>SUMPRODUCT(PRODUCE!$B114:$DY114,PRODUCE!$EB$57:$IY$57)</f>
        <v>0</v>
      </c>
      <c r="TI103" s="56"/>
      <c r="TJ103" s="242">
        <f t="shared" si="686"/>
        <v>0</v>
      </c>
      <c r="TK103" s="242">
        <f t="shared" si="687"/>
        <v>0</v>
      </c>
      <c r="TL103" s="56"/>
      <c r="TO103" s="55">
        <f t="shared" si="688"/>
        <v>46109</v>
      </c>
      <c r="TP103" s="56"/>
      <c r="TQ103" s="242">
        <f>SUMPRODUCT(PRODUCE!$B114:$DY114,PRODUCE!$EB$57:$IY$57)</f>
        <v>0</v>
      </c>
      <c r="TR103" s="56"/>
      <c r="TS103" s="242">
        <f t="shared" si="689"/>
        <v>0</v>
      </c>
      <c r="TT103" s="242">
        <f t="shared" si="690"/>
        <v>0</v>
      </c>
      <c r="TU103" s="56"/>
      <c r="TX103" s="55">
        <f t="shared" si="691"/>
        <v>46109</v>
      </c>
      <c r="TY103" s="56"/>
      <c r="TZ103" s="242">
        <f>SUMPRODUCT(PRODUCE!$B114:$DY114,PRODUCE!$EB$57:$IY$57)</f>
        <v>0</v>
      </c>
      <c r="UA103" s="56"/>
      <c r="UB103" s="242">
        <f t="shared" si="692"/>
        <v>0</v>
      </c>
      <c r="UC103" s="242">
        <f t="shared" si="693"/>
        <v>0</v>
      </c>
      <c r="UD103" s="56"/>
      <c r="UG103" s="55">
        <f t="shared" si="694"/>
        <v>46109</v>
      </c>
      <c r="UH103" s="56"/>
      <c r="UI103" s="242">
        <f>SUMPRODUCT(PRODUCE!$B114:$DY114,PRODUCE!$EB$57:$IY$57)</f>
        <v>0</v>
      </c>
      <c r="UJ103" s="56"/>
      <c r="UK103" s="242">
        <f t="shared" si="695"/>
        <v>0</v>
      </c>
      <c r="UL103" s="242">
        <f t="shared" si="696"/>
        <v>0</v>
      </c>
      <c r="UM103" s="56"/>
      <c r="UP103" s="55">
        <f t="shared" si="697"/>
        <v>46109</v>
      </c>
      <c r="UQ103" s="56"/>
      <c r="UR103" s="242">
        <f>SUMPRODUCT(PRODUCE!$B114:$DY114,PRODUCE!$EB$57:$IY$57)</f>
        <v>0</v>
      </c>
      <c r="US103" s="56"/>
      <c r="UT103" s="242">
        <f t="shared" si="698"/>
        <v>0</v>
      </c>
      <c r="UU103" s="242">
        <f t="shared" si="699"/>
        <v>0</v>
      </c>
      <c r="UV103" s="56"/>
      <c r="UY103" s="55">
        <f t="shared" si="700"/>
        <v>46109</v>
      </c>
      <c r="UZ103" s="56"/>
      <c r="VA103" s="242">
        <f>SUMPRODUCT(PRODUCE!$B114:$DY114,PRODUCE!$EB$57:$IY$57)</f>
        <v>0</v>
      </c>
      <c r="VB103" s="56"/>
      <c r="VC103" s="242">
        <f t="shared" si="701"/>
        <v>0</v>
      </c>
      <c r="VD103" s="242">
        <f t="shared" si="702"/>
        <v>41.600000000000023</v>
      </c>
      <c r="VE103" s="56"/>
      <c r="VH103" s="55">
        <f t="shared" si="703"/>
        <v>46109</v>
      </c>
      <c r="VI103" s="56"/>
      <c r="VJ103" s="242">
        <f>SUMPRODUCT(PRODUCE!$B114:$DY114,PRODUCE!$EB$57:$IY$57)</f>
        <v>0</v>
      </c>
      <c r="VK103" s="56"/>
      <c r="VL103" s="242">
        <f t="shared" si="704"/>
        <v>0</v>
      </c>
      <c r="VM103" s="242">
        <f t="shared" si="705"/>
        <v>0</v>
      </c>
      <c r="VN103" s="56"/>
      <c r="VQ103" s="55">
        <f t="shared" si="706"/>
        <v>46109</v>
      </c>
      <c r="VR103" s="56"/>
      <c r="VS103" s="242">
        <f>SUMPRODUCT(PRODUCE!$B114:$DY114,PRODUCE!$EB$57:$IY$57)</f>
        <v>0</v>
      </c>
      <c r="VT103" s="56"/>
      <c r="VU103" s="242">
        <f t="shared" si="707"/>
        <v>0</v>
      </c>
      <c r="VV103" s="242">
        <f t="shared" si="708"/>
        <v>0</v>
      </c>
      <c r="VW103" s="56"/>
      <c r="VZ103" s="55">
        <f t="shared" si="709"/>
        <v>46109</v>
      </c>
      <c r="WA103" s="56"/>
      <c r="WB103" s="242">
        <f>SUMPRODUCT(PRODUCE!$B114:$DY114,PRODUCE!$EB$57:$IY$57)</f>
        <v>0</v>
      </c>
      <c r="WC103" s="56"/>
      <c r="WD103" s="242">
        <f t="shared" si="710"/>
        <v>0</v>
      </c>
      <c r="WE103" s="242">
        <f t="shared" si="711"/>
        <v>0</v>
      </c>
      <c r="WF103" s="56"/>
      <c r="WI103" s="55">
        <f t="shared" si="712"/>
        <v>46109</v>
      </c>
      <c r="WJ103" s="56"/>
      <c r="WK103" s="242">
        <f>SUMPRODUCT(PRODUCE!$B114:$DY114,PRODUCE!$EB$57:$IY$57)</f>
        <v>0</v>
      </c>
      <c r="WL103" s="56"/>
      <c r="WM103" s="242">
        <f t="shared" si="713"/>
        <v>0</v>
      </c>
      <c r="WN103" s="242">
        <f t="shared" si="714"/>
        <v>4857</v>
      </c>
      <c r="WO103" s="56"/>
      <c r="WR103" s="55">
        <f t="shared" si="715"/>
        <v>46109</v>
      </c>
      <c r="WS103" s="56"/>
      <c r="WT103" s="242">
        <f>SUMPRODUCT(PRODUCE!$B114:$DY114,PRODUCE!$EB$57:$IY$57)</f>
        <v>0</v>
      </c>
      <c r="WU103" s="56"/>
      <c r="WV103" s="242">
        <f t="shared" si="716"/>
        <v>0</v>
      </c>
      <c r="WW103" s="242">
        <f t="shared" si="717"/>
        <v>850</v>
      </c>
      <c r="WX103" s="56"/>
      <c r="XA103" s="55">
        <f t="shared" si="718"/>
        <v>46109</v>
      </c>
      <c r="XB103" s="56"/>
      <c r="XC103" s="242">
        <f>SUMPRODUCT(PRODUCE!$B114:$DY114,PRODUCE!$EB$57:$IY$57)</f>
        <v>0</v>
      </c>
      <c r="XD103" s="56"/>
      <c r="XE103" s="242">
        <f t="shared" si="719"/>
        <v>0</v>
      </c>
      <c r="XF103" s="242">
        <f t="shared" si="720"/>
        <v>7142</v>
      </c>
      <c r="XG103" s="56"/>
      <c r="XJ103" s="55">
        <f t="shared" si="721"/>
        <v>46109</v>
      </c>
      <c r="XK103" s="56"/>
      <c r="XL103" s="242">
        <f>SUMPRODUCT(PRODUCE!$B114:$DY114,PRODUCE!$EB$57:$IY$57)</f>
        <v>0</v>
      </c>
      <c r="XM103" s="56">
        <v>1068</v>
      </c>
      <c r="XN103" s="242">
        <f t="shared" si="722"/>
        <v>-1068</v>
      </c>
      <c r="XO103" s="242">
        <f t="shared" si="723"/>
        <v>5989</v>
      </c>
      <c r="XP103" s="56"/>
      <c r="XS103" s="55">
        <f t="shared" si="724"/>
        <v>46109</v>
      </c>
      <c r="XT103" s="56"/>
      <c r="XU103" s="242">
        <f>SUMPRODUCT(PRODUCE!$B114:$DY114,PRODUCE!$EB$57:$IY$57)</f>
        <v>0</v>
      </c>
      <c r="XV103" s="56"/>
      <c r="XW103" s="242">
        <f t="shared" si="725"/>
        <v>0</v>
      </c>
      <c r="XX103" s="242">
        <f t="shared" si="726"/>
        <v>1901</v>
      </c>
      <c r="XY103" s="56"/>
      <c r="YB103" s="55">
        <f t="shared" si="727"/>
        <v>46109</v>
      </c>
      <c r="YC103" s="56"/>
      <c r="YD103" s="242">
        <f>SUMPRODUCT(PRODUCE!$B114:$DY114,PRODUCE!$EB$57:$IY$57)</f>
        <v>0</v>
      </c>
      <c r="YE103" s="56"/>
      <c r="YF103" s="242">
        <f t="shared" si="728"/>
        <v>0</v>
      </c>
      <c r="YG103" s="242">
        <f t="shared" si="729"/>
        <v>6459</v>
      </c>
      <c r="YH103" s="56"/>
      <c r="YK103" s="55">
        <f t="shared" si="730"/>
        <v>46109</v>
      </c>
      <c r="YL103" s="56"/>
      <c r="YM103" s="242">
        <f>SUMPRODUCT(PRODUCE!$B114:$DY114,PRODUCE!$EB$57:$IY$57)</f>
        <v>0</v>
      </c>
      <c r="YN103" s="56"/>
      <c r="YO103" s="242">
        <f t="shared" si="731"/>
        <v>0</v>
      </c>
      <c r="YP103" s="242">
        <f t="shared" si="732"/>
        <v>0</v>
      </c>
      <c r="YQ103" s="56"/>
      <c r="YT103" s="55">
        <f t="shared" si="733"/>
        <v>46109</v>
      </c>
      <c r="YU103" s="56"/>
      <c r="YV103" s="242">
        <f>SUMPRODUCT(PRODUCE!$B114:$DY114,PRODUCE!$EB$57:$IY$57)</f>
        <v>0</v>
      </c>
      <c r="YW103" s="56"/>
      <c r="YX103" s="242">
        <f t="shared" si="734"/>
        <v>0</v>
      </c>
      <c r="YY103" s="242">
        <f t="shared" si="735"/>
        <v>0</v>
      </c>
      <c r="YZ103" s="56"/>
      <c r="ZC103" s="55">
        <f t="shared" si="736"/>
        <v>46109</v>
      </c>
      <c r="ZD103" s="56"/>
      <c r="ZE103" s="242">
        <f>SUMPRODUCT(PRODUCE!$B114:$DY114,PRODUCE!$EB$57:$IY$57)</f>
        <v>0</v>
      </c>
      <c r="ZF103" s="56"/>
      <c r="ZG103" s="242">
        <f t="shared" si="737"/>
        <v>0</v>
      </c>
      <c r="ZH103" s="242">
        <f t="shared" si="738"/>
        <v>0</v>
      </c>
      <c r="ZI103" s="56"/>
      <c r="ZL103" s="55">
        <f t="shared" si="739"/>
        <v>46109</v>
      </c>
      <c r="ZM103" s="56"/>
      <c r="ZN103" s="242">
        <f>SUMPRODUCT(PRODUCE!$B114:$DY114,PRODUCE!$EB$57:$IY$57)</f>
        <v>0</v>
      </c>
      <c r="ZO103" s="56"/>
      <c r="ZP103" s="242">
        <f t="shared" si="740"/>
        <v>0</v>
      </c>
      <c r="ZQ103" s="242">
        <f t="shared" si="741"/>
        <v>0</v>
      </c>
      <c r="ZR103" s="56"/>
      <c r="ZU103" s="55">
        <f t="shared" si="742"/>
        <v>46109</v>
      </c>
      <c r="ZV103" s="56"/>
      <c r="ZW103" s="242">
        <f>SUMPRODUCT(PRODUCE!$B114:$DY114,PRODUCE!$EB$57:$IY$57)</f>
        <v>0</v>
      </c>
      <c r="ZX103" s="56"/>
      <c r="ZY103" s="242">
        <f t="shared" si="743"/>
        <v>0</v>
      </c>
      <c r="ZZ103" s="242">
        <f t="shared" si="744"/>
        <v>0</v>
      </c>
      <c r="AAA103" s="56"/>
      <c r="AAD103" s="55">
        <f t="shared" si="745"/>
        <v>46109</v>
      </c>
      <c r="AAE103" s="56"/>
      <c r="AAF103" s="242">
        <f>SUMPRODUCT(PRODUCE!$B114:$DY114,PRODUCE!$EB$57:$IY$57)</f>
        <v>0</v>
      </c>
      <c r="AAG103" s="56"/>
      <c r="AAH103" s="242">
        <f t="shared" si="746"/>
        <v>0</v>
      </c>
      <c r="AAI103" s="242">
        <f t="shared" si="747"/>
        <v>0</v>
      </c>
      <c r="AAJ103" s="56"/>
      <c r="AAM103" s="55">
        <f t="shared" si="748"/>
        <v>46109</v>
      </c>
      <c r="AAN103" s="56"/>
      <c r="AAO103" s="242">
        <f>SUMPRODUCT(PRODUCE!$B114:$DY114,PRODUCE!$EB$57:$IY$57)</f>
        <v>0</v>
      </c>
      <c r="AAP103" s="56"/>
      <c r="AAQ103" s="242">
        <f t="shared" si="749"/>
        <v>0</v>
      </c>
      <c r="AAR103" s="242">
        <f t="shared" si="750"/>
        <v>0</v>
      </c>
      <c r="AAS103" s="56"/>
      <c r="AAV103" s="55">
        <f t="shared" si="751"/>
        <v>46109</v>
      </c>
      <c r="AAW103" s="56"/>
      <c r="AAX103" s="242">
        <f>SUMPRODUCT(PRODUCE!$B114:$DY114,PRODUCE!$EB$57:$IY$57)</f>
        <v>0</v>
      </c>
      <c r="AAY103" s="56"/>
      <c r="AAZ103" s="242">
        <f t="shared" si="752"/>
        <v>0</v>
      </c>
      <c r="ABA103" s="242">
        <f t="shared" si="753"/>
        <v>0</v>
      </c>
      <c r="ABB103" s="56"/>
      <c r="ABE103" s="55">
        <f t="shared" si="754"/>
        <v>46109</v>
      </c>
      <c r="ABF103" s="56"/>
      <c r="ABG103" s="242">
        <f>SUMPRODUCT(PRODUCE!$B114:$DY114,PRODUCE!$EB$57:$IY$57)</f>
        <v>0</v>
      </c>
      <c r="ABH103" s="56"/>
      <c r="ABI103" s="242">
        <f t="shared" si="755"/>
        <v>0</v>
      </c>
      <c r="ABJ103" s="242">
        <f t="shared" si="756"/>
        <v>0</v>
      </c>
      <c r="ABK103" s="56"/>
    </row>
    <row r="104" spans="1:739" s="54" customFormat="1" ht="15" customHeight="1" outlineLevel="1">
      <c r="B104" s="478"/>
      <c r="C104" s="55">
        <v>46110</v>
      </c>
      <c r="D104" s="422"/>
      <c r="E104" s="423">
        <f>SUMPRODUCT(PRODUCE!$B115:$DY115,PRODUCE!$EB$7:$IY$7)</f>
        <v>0</v>
      </c>
      <c r="F104" s="422">
        <v>10147</v>
      </c>
      <c r="G104" s="423">
        <f t="shared" si="514"/>
        <v>-10147</v>
      </c>
      <c r="H104" s="423">
        <f t="shared" si="512"/>
        <v>50850.799999999967</v>
      </c>
      <c r="I104" s="289"/>
      <c r="L104" s="55">
        <f t="shared" si="513"/>
        <v>46110</v>
      </c>
      <c r="M104" s="422"/>
      <c r="N104" s="438">
        <f>SUMPRODUCT(PRODUCE!$B115:$DY115,PRODUCE!$EB$8:$IY$8)</f>
        <v>0</v>
      </c>
      <c r="O104" s="422"/>
      <c r="P104" s="438">
        <f t="shared" si="515"/>
        <v>0</v>
      </c>
      <c r="Q104" s="438">
        <f t="shared" si="516"/>
        <v>28861.800000000083</v>
      </c>
      <c r="R104" s="56"/>
      <c r="U104" s="55">
        <f t="shared" si="517"/>
        <v>46110</v>
      </c>
      <c r="V104" s="422"/>
      <c r="W104" s="440">
        <f>SUMPRODUCT(PRODUCE!$B115:$DY115,PRODUCE!$EB$9:$IY$9)</f>
        <v>0</v>
      </c>
      <c r="X104" s="422"/>
      <c r="Y104" s="440">
        <f t="shared" si="518"/>
        <v>0</v>
      </c>
      <c r="Z104" s="440">
        <f t="shared" si="519"/>
        <v>25458.999999999967</v>
      </c>
      <c r="AA104" s="56"/>
      <c r="AD104" s="55">
        <f t="shared" si="520"/>
        <v>46110</v>
      </c>
      <c r="AE104" s="422"/>
      <c r="AF104" s="442">
        <f>SUMPRODUCT(PRODUCE!$B115:$DY115,PRODUCE!$EB$10:$IY$10)</f>
        <v>0</v>
      </c>
      <c r="AG104" s="422"/>
      <c r="AH104" s="442">
        <f t="shared" si="521"/>
        <v>0</v>
      </c>
      <c r="AI104" s="442">
        <f t="shared" si="522"/>
        <v>33755.700000000019</v>
      </c>
      <c r="AJ104" s="56"/>
      <c r="AM104" s="55">
        <f t="shared" si="523"/>
        <v>46110</v>
      </c>
      <c r="AN104" s="422"/>
      <c r="AO104" s="444">
        <f>SUMPRODUCT(PRODUCE!$B115:$DY115,PRODUCE!$EB$11:$IY$11)</f>
        <v>0</v>
      </c>
      <c r="AP104" s="422"/>
      <c r="AQ104" s="444">
        <f t="shared" si="524"/>
        <v>0</v>
      </c>
      <c r="AR104" s="444">
        <f t="shared" si="525"/>
        <v>0</v>
      </c>
      <c r="AS104" s="56"/>
      <c r="AV104" s="55">
        <f t="shared" si="526"/>
        <v>46110</v>
      </c>
      <c r="AW104" s="422"/>
      <c r="AX104" s="446">
        <f>SUMPRODUCT(PRODUCE!$B115:$DY115,PRODUCE!$EB$12:$IY$12)</f>
        <v>0</v>
      </c>
      <c r="AY104" s="422"/>
      <c r="AZ104" s="446">
        <f t="shared" si="527"/>
        <v>0</v>
      </c>
      <c r="BA104" s="446">
        <f t="shared" si="528"/>
        <v>19397.399999999987</v>
      </c>
      <c r="BB104" s="56"/>
      <c r="BE104" s="55">
        <f t="shared" si="529"/>
        <v>46110</v>
      </c>
      <c r="BF104" s="422"/>
      <c r="BG104" s="448">
        <f>SUMPRODUCT(PRODUCE!$B115:$DY115,PRODUCE!$EB$13:$IY$13)</f>
        <v>0</v>
      </c>
      <c r="BH104" s="422"/>
      <c r="BI104" s="448">
        <f t="shared" si="530"/>
        <v>0</v>
      </c>
      <c r="BJ104" s="448">
        <f t="shared" si="531"/>
        <v>2110.2000000000021</v>
      </c>
      <c r="BK104" s="56"/>
      <c r="BN104" s="55">
        <f t="shared" si="532"/>
        <v>46110</v>
      </c>
      <c r="BO104" s="422"/>
      <c r="BP104" s="450">
        <f>SUMPRODUCT(PRODUCE!$B115:$DY115,PRODUCE!$EB$14:$IY$14)</f>
        <v>0</v>
      </c>
      <c r="BQ104" s="422"/>
      <c r="BR104" s="450">
        <f t="shared" si="533"/>
        <v>0</v>
      </c>
      <c r="BS104" s="450">
        <f t="shared" si="534"/>
        <v>0</v>
      </c>
      <c r="BT104" s="56"/>
      <c r="BW104" s="55">
        <f t="shared" si="535"/>
        <v>46110</v>
      </c>
      <c r="BX104" s="56"/>
      <c r="BY104" s="65">
        <f>SUMPRODUCT(PRODUCE!$B115:$DY115,PRODUCE!$EB$15:$IY$15)</f>
        <v>0</v>
      </c>
      <c r="BZ104" s="56"/>
      <c r="CA104" s="65">
        <f t="shared" si="536"/>
        <v>0</v>
      </c>
      <c r="CB104" s="65">
        <f t="shared" si="537"/>
        <v>11812.9</v>
      </c>
      <c r="CC104" s="56"/>
      <c r="CF104" s="55">
        <f t="shared" si="538"/>
        <v>46110</v>
      </c>
      <c r="CG104" s="56"/>
      <c r="CH104" s="66">
        <f>SUMPRODUCT(PRODUCE!$B115:$DY115,PRODUCE!$EB$16:$IY$16)</f>
        <v>0</v>
      </c>
      <c r="CI104" s="56"/>
      <c r="CJ104" s="66">
        <f t="shared" si="539"/>
        <v>0</v>
      </c>
      <c r="CK104" s="66">
        <f t="shared" si="540"/>
        <v>0</v>
      </c>
      <c r="CL104" s="56"/>
      <c r="CO104" s="55">
        <f t="shared" si="541"/>
        <v>46110</v>
      </c>
      <c r="CP104" s="422"/>
      <c r="CQ104" s="470">
        <f>SUMPRODUCT(PRODUCE!$B115:$DY115,PRODUCE!$EB$17:$IY$17)</f>
        <v>0</v>
      </c>
      <c r="CR104" s="422"/>
      <c r="CS104" s="470">
        <f t="shared" si="542"/>
        <v>0</v>
      </c>
      <c r="CT104" s="470">
        <f t="shared" si="543"/>
        <v>0</v>
      </c>
      <c r="CU104" s="56"/>
      <c r="CX104" s="55">
        <f t="shared" si="544"/>
        <v>46110</v>
      </c>
      <c r="CY104" s="56"/>
      <c r="CZ104" s="133">
        <f>SUMPRODUCT(PRODUCE!$B115:$DY115,PRODUCE!$EB$18:$IY$18)</f>
        <v>0</v>
      </c>
      <c r="DA104" s="56"/>
      <c r="DB104" s="133">
        <f t="shared" si="545"/>
        <v>0</v>
      </c>
      <c r="DC104" s="133">
        <f t="shared" si="546"/>
        <v>31869.7</v>
      </c>
      <c r="DD104" s="56"/>
      <c r="DG104" s="55">
        <f t="shared" si="547"/>
        <v>46110</v>
      </c>
      <c r="DH104" s="56"/>
      <c r="DI104" s="147">
        <f>SUMPRODUCT(PRODUCE!$B115:$DY115,PRODUCE!$EB$19:$IY$19)</f>
        <v>0</v>
      </c>
      <c r="DJ104" s="56"/>
      <c r="DK104" s="147">
        <f t="shared" si="757"/>
        <v>0</v>
      </c>
      <c r="DL104" s="147">
        <f t="shared" si="758"/>
        <v>6688.5999999999949</v>
      </c>
      <c r="DM104" s="56"/>
      <c r="DP104" s="55">
        <f t="shared" si="550"/>
        <v>46110</v>
      </c>
      <c r="DQ104" s="56"/>
      <c r="DR104" s="57">
        <f>SUMPRODUCT(PRODUCE!$B115:$DY115,PRODUCE!$EB$20:$IY$20)</f>
        <v>0</v>
      </c>
      <c r="DS104" s="56"/>
      <c r="DT104" s="57">
        <f t="shared" si="551"/>
        <v>0</v>
      </c>
      <c r="DU104" s="57">
        <f t="shared" si="552"/>
        <v>7150</v>
      </c>
      <c r="DV104" s="56"/>
      <c r="DY104" s="55">
        <f t="shared" si="553"/>
        <v>46110</v>
      </c>
      <c r="DZ104" s="56"/>
      <c r="EA104" s="157">
        <f>SUMPRODUCT(PRODUCE!$B115:$DY115,PRODUCE!$EB$21:$IY$21)</f>
        <v>0</v>
      </c>
      <c r="EB104" s="56"/>
      <c r="EC104" s="157">
        <f t="shared" si="554"/>
        <v>0</v>
      </c>
      <c r="ED104" s="157">
        <f t="shared" si="555"/>
        <v>1847.3000000000002</v>
      </c>
      <c r="EE104" s="56"/>
      <c r="EH104" s="55">
        <f t="shared" si="556"/>
        <v>46110</v>
      </c>
      <c r="EI104" s="56"/>
      <c r="EJ104" s="162">
        <f>SUMPRODUCT(PRODUCE!$B115:$DY115,PRODUCE!$EB$22:$IY$22)</f>
        <v>0</v>
      </c>
      <c r="EK104" s="56"/>
      <c r="EL104" s="162">
        <f t="shared" si="557"/>
        <v>0</v>
      </c>
      <c r="EM104" s="162">
        <f t="shared" si="558"/>
        <v>0</v>
      </c>
      <c r="EN104" s="56"/>
      <c r="EQ104" s="55">
        <f t="shared" si="559"/>
        <v>46110</v>
      </c>
      <c r="ER104" s="56"/>
      <c r="ES104" s="135">
        <f>SUMPRODUCT(PRODUCE!$B115:$DY115,PRODUCE!$EB$23:$IY$23)</f>
        <v>0</v>
      </c>
      <c r="ET104" s="56"/>
      <c r="EU104" s="135">
        <f t="shared" si="560"/>
        <v>0</v>
      </c>
      <c r="EV104" s="135">
        <f t="shared" si="561"/>
        <v>0</v>
      </c>
      <c r="EW104" s="56"/>
      <c r="EZ104" s="55">
        <f t="shared" si="562"/>
        <v>46110</v>
      </c>
      <c r="FA104" s="56"/>
      <c r="FB104" s="175">
        <f>SUMPRODUCT(PRODUCE!$B115:$DY115,PRODUCE!$EB$24:$IY$24)</f>
        <v>0</v>
      </c>
      <c r="FC104" s="56"/>
      <c r="FD104" s="175">
        <f t="shared" si="563"/>
        <v>0</v>
      </c>
      <c r="FE104" s="175">
        <f t="shared" si="564"/>
        <v>0</v>
      </c>
      <c r="FF104" s="56"/>
      <c r="FI104" s="55">
        <f t="shared" si="565"/>
        <v>46110</v>
      </c>
      <c r="FJ104" s="56"/>
      <c r="FK104" s="183">
        <f>SUMPRODUCT(PRODUCE!$B115:$DY115,PRODUCE!$EB$25:$IY$25)</f>
        <v>0</v>
      </c>
      <c r="FL104" s="56"/>
      <c r="FM104" s="183">
        <f t="shared" si="566"/>
        <v>0</v>
      </c>
      <c r="FN104" s="183">
        <f t="shared" si="567"/>
        <v>0</v>
      </c>
      <c r="FO104" s="56"/>
      <c r="FR104" s="55">
        <f t="shared" si="568"/>
        <v>46110</v>
      </c>
      <c r="FS104" s="422"/>
      <c r="FT104" s="452">
        <f>SUMPRODUCT(PRODUCE!$B115:$DY115,PRODUCE!$EB$26:$IY$26)</f>
        <v>0</v>
      </c>
      <c r="FU104" s="422"/>
      <c r="FV104" s="452">
        <f t="shared" si="569"/>
        <v>0</v>
      </c>
      <c r="FW104" s="452">
        <f t="shared" si="570"/>
        <v>1980</v>
      </c>
      <c r="FX104" s="56"/>
      <c r="GA104" s="55">
        <f t="shared" si="571"/>
        <v>46110</v>
      </c>
      <c r="GB104" s="422"/>
      <c r="GC104" s="454">
        <f>SUMPRODUCT(PRODUCE!$B115:$DY115,PRODUCE!$EB$27:$IY$27)</f>
        <v>0</v>
      </c>
      <c r="GD104" s="422"/>
      <c r="GE104" s="454">
        <f t="shared" si="572"/>
        <v>0</v>
      </c>
      <c r="GF104" s="454">
        <f t="shared" si="573"/>
        <v>2000</v>
      </c>
      <c r="GG104" s="56"/>
      <c r="GI104" s="23"/>
      <c r="GJ104" s="55">
        <f t="shared" si="574"/>
        <v>46110</v>
      </c>
      <c r="GK104" s="422"/>
      <c r="GL104" s="456">
        <f>SUMPRODUCT(PRODUCE!$B115:$DY115,PRODUCE!$EB$28:$IY$28)</f>
        <v>0</v>
      </c>
      <c r="GM104" s="422"/>
      <c r="GN104" s="456">
        <f t="shared" si="575"/>
        <v>0</v>
      </c>
      <c r="GO104" s="456">
        <f t="shared" si="576"/>
        <v>4800</v>
      </c>
      <c r="GP104" s="56"/>
      <c r="GS104" s="55">
        <f t="shared" si="577"/>
        <v>46110</v>
      </c>
      <c r="GT104" s="56"/>
      <c r="GU104" s="195">
        <f>SUMPRODUCT(PRODUCE!$B115:$DY115,PRODUCE!$EB$29:$IY$29)</f>
        <v>0</v>
      </c>
      <c r="GV104" s="56"/>
      <c r="GW104" s="195">
        <f t="shared" si="578"/>
        <v>0</v>
      </c>
      <c r="GX104" s="195">
        <f t="shared" si="579"/>
        <v>0</v>
      </c>
      <c r="GY104" s="56"/>
      <c r="HB104" s="55">
        <f t="shared" si="580"/>
        <v>46110</v>
      </c>
      <c r="HC104" s="56"/>
      <c r="HD104" s="191">
        <f>SUMPRODUCT(PRODUCE!$B115:$DY115,PRODUCE!$EB$30:$IY$30)</f>
        <v>0</v>
      </c>
      <c r="HE104" s="56"/>
      <c r="HF104" s="191">
        <f t="shared" si="581"/>
        <v>0</v>
      </c>
      <c r="HG104" s="191">
        <f t="shared" si="582"/>
        <v>0</v>
      </c>
      <c r="HH104" s="56"/>
      <c r="HK104" s="55">
        <f t="shared" si="583"/>
        <v>46110</v>
      </c>
      <c r="HL104" s="56"/>
      <c r="HM104" s="63">
        <f>SUMPRODUCT(PRODUCE!$B115:$DY115,PRODUCE!$EB$31:$IY$31)</f>
        <v>0</v>
      </c>
      <c r="HN104" s="56"/>
      <c r="HO104" s="63">
        <f t="shared" si="584"/>
        <v>0</v>
      </c>
      <c r="HP104" s="63">
        <f t="shared" si="585"/>
        <v>0</v>
      </c>
      <c r="HQ104" s="56"/>
      <c r="HU104" s="55">
        <f t="shared" si="586"/>
        <v>46110</v>
      </c>
      <c r="HV104" s="56"/>
      <c r="HW104" s="242">
        <f>SUMPRODUCT(PRODUCE!$B115:$DY115,PRODUCE!$EB$32:$IY$32)</f>
        <v>0</v>
      </c>
      <c r="HX104" s="56"/>
      <c r="HY104" s="242">
        <f t="shared" si="587"/>
        <v>0</v>
      </c>
      <c r="HZ104" s="242">
        <f t="shared" si="588"/>
        <v>5120</v>
      </c>
      <c r="IA104" s="56"/>
      <c r="ID104" s="55">
        <f t="shared" si="589"/>
        <v>46110</v>
      </c>
      <c r="IE104" s="56"/>
      <c r="IF104" s="242">
        <f>SUMPRODUCT(PRODUCE!$B115:$DY115,PRODUCE!$EB$33:$IY$33)</f>
        <v>0</v>
      </c>
      <c r="IG104" s="56"/>
      <c r="IH104" s="242">
        <f t="shared" si="590"/>
        <v>0</v>
      </c>
      <c r="II104" s="242">
        <f t="shared" si="591"/>
        <v>6540</v>
      </c>
      <c r="IJ104" s="56"/>
      <c r="IM104" s="55">
        <f t="shared" si="592"/>
        <v>46110</v>
      </c>
      <c r="IN104" s="56"/>
      <c r="IO104" s="242">
        <f>SUMPRODUCT(PRODUCE!$B115:$DY115,PRODUCE!$EB$34:$IY$34)</f>
        <v>0</v>
      </c>
      <c r="IP104" s="56"/>
      <c r="IQ104" s="242">
        <f t="shared" si="593"/>
        <v>0</v>
      </c>
      <c r="IR104" s="242">
        <f t="shared" si="594"/>
        <v>11540</v>
      </c>
      <c r="IS104" s="56"/>
      <c r="IV104" s="55">
        <f t="shared" si="595"/>
        <v>46110</v>
      </c>
      <c r="IW104" s="56"/>
      <c r="IX104" s="242">
        <f>SUMPRODUCT(PRODUCE!$B115:$DY115,PRODUCE!$EB$35:$IY$35)</f>
        <v>0</v>
      </c>
      <c r="IY104" s="56"/>
      <c r="IZ104" s="242">
        <f t="shared" si="596"/>
        <v>0</v>
      </c>
      <c r="JA104" s="242">
        <f t="shared" si="597"/>
        <v>15120</v>
      </c>
      <c r="JB104" s="56"/>
      <c r="JE104" s="55">
        <f t="shared" si="598"/>
        <v>46110</v>
      </c>
      <c r="JF104" s="56"/>
      <c r="JG104" s="242">
        <f>SUMPRODUCT(PRODUCE!$B115:$DY115,PRODUCE!$EB$36:$IY$36)</f>
        <v>0</v>
      </c>
      <c r="JH104" s="56"/>
      <c r="JI104" s="242">
        <f t="shared" si="599"/>
        <v>0</v>
      </c>
      <c r="JJ104" s="242">
        <f t="shared" si="600"/>
        <v>5040</v>
      </c>
      <c r="JK104" s="56"/>
      <c r="JN104" s="55">
        <f t="shared" si="601"/>
        <v>46110</v>
      </c>
      <c r="JO104" s="56"/>
      <c r="JP104" s="242">
        <f>SUMPRODUCT(PRODUCE!$B115:$DY115,PRODUCE!$EB$37:$IY$37)</f>
        <v>0</v>
      </c>
      <c r="JQ104" s="56"/>
      <c r="JR104" s="242">
        <f t="shared" si="602"/>
        <v>0</v>
      </c>
      <c r="JS104" s="242">
        <f t="shared" si="603"/>
        <v>9100</v>
      </c>
      <c r="JT104" s="56"/>
      <c r="JW104" s="55">
        <f t="shared" si="604"/>
        <v>46110</v>
      </c>
      <c r="JX104" s="56"/>
      <c r="JY104" s="242">
        <f>SUMPRODUCT(PRODUCE!$B115:$DY115,PRODUCE!$EB$38:$IY$38)</f>
        <v>0</v>
      </c>
      <c r="JZ104" s="56"/>
      <c r="KA104" s="242">
        <f t="shared" si="605"/>
        <v>0</v>
      </c>
      <c r="KB104" s="242">
        <f t="shared" si="606"/>
        <v>4220</v>
      </c>
      <c r="KC104" s="56"/>
      <c r="KF104" s="55">
        <f t="shared" si="607"/>
        <v>46110</v>
      </c>
      <c r="KG104" s="56"/>
      <c r="KH104" s="242">
        <f>SUMPRODUCT(PRODUCE!$B115:$DY115,PRODUCE!$EB$39:$IY$39)</f>
        <v>0</v>
      </c>
      <c r="KI104" s="56"/>
      <c r="KJ104" s="242">
        <f t="shared" si="608"/>
        <v>0</v>
      </c>
      <c r="KK104" s="242">
        <f t="shared" si="609"/>
        <v>7702.5</v>
      </c>
      <c r="KL104" s="56"/>
      <c r="KO104" s="55">
        <f t="shared" si="610"/>
        <v>46110</v>
      </c>
      <c r="KP104" s="56"/>
      <c r="KQ104" s="242">
        <f>SUMPRODUCT(PRODUCE!$B115:$DY115,PRODUCE!$EB$40:$IY$40)</f>
        <v>0</v>
      </c>
      <c r="KR104" s="56"/>
      <c r="KS104" s="242">
        <f t="shared" si="611"/>
        <v>0</v>
      </c>
      <c r="KT104" s="242">
        <f t="shared" si="612"/>
        <v>6426</v>
      </c>
      <c r="KU104" s="56"/>
      <c r="KW104" s="23"/>
      <c r="KX104" s="55">
        <f t="shared" si="613"/>
        <v>46110</v>
      </c>
      <c r="KY104" s="56"/>
      <c r="KZ104" s="242">
        <f>SUMPRODUCT(PRODUCE!$B115:$DY115,PRODUCE!$EB$41:$IY$41)</f>
        <v>0</v>
      </c>
      <c r="LA104" s="56"/>
      <c r="LB104" s="242">
        <f t="shared" si="614"/>
        <v>0</v>
      </c>
      <c r="LC104" s="242">
        <f t="shared" si="615"/>
        <v>0</v>
      </c>
      <c r="LD104" s="56"/>
      <c r="LG104" s="55">
        <f t="shared" si="616"/>
        <v>46110</v>
      </c>
      <c r="LH104" s="56"/>
      <c r="LI104" s="242">
        <f>SUMPRODUCT(PRODUCE!$B115:$DY115,PRODUCE!$EB$42:$IY$42)</f>
        <v>0</v>
      </c>
      <c r="LJ104" s="56"/>
      <c r="LK104" s="242">
        <f t="shared" si="617"/>
        <v>0</v>
      </c>
      <c r="LL104" s="242">
        <f t="shared" si="618"/>
        <v>0</v>
      </c>
      <c r="LM104" s="56"/>
      <c r="LP104" s="55">
        <f t="shared" si="619"/>
        <v>46110</v>
      </c>
      <c r="LQ104" s="56"/>
      <c r="LR104" s="242">
        <f>SUMPRODUCT(PRODUCE!$B119:$DY119,PRODUCE!$EB$43:$IY$43)</f>
        <v>0</v>
      </c>
      <c r="LS104" s="56"/>
      <c r="LT104" s="242">
        <f t="shared" si="620"/>
        <v>0</v>
      </c>
      <c r="LU104" s="242">
        <f t="shared" si="621"/>
        <v>0</v>
      </c>
      <c r="LV104" s="56"/>
      <c r="LY104" s="55">
        <f t="shared" si="622"/>
        <v>46110</v>
      </c>
      <c r="LZ104" s="56"/>
      <c r="MA104" s="242">
        <f>SUMPRODUCT(PRODUCE!$B115:$DY115,PRODUCE!$EB$44:$IY$44)</f>
        <v>0</v>
      </c>
      <c r="MB104" s="56"/>
      <c r="MC104" s="242">
        <f t="shared" si="623"/>
        <v>0</v>
      </c>
      <c r="MD104" s="242">
        <f t="shared" si="624"/>
        <v>0</v>
      </c>
      <c r="ME104" s="56"/>
      <c r="MH104" s="55">
        <f t="shared" si="625"/>
        <v>46110</v>
      </c>
      <c r="MI104" s="56"/>
      <c r="MJ104" s="242">
        <f>SUMPRODUCT(PRODUCE!$B115:$DY115,PRODUCE!$EB$45:$IY$45)</f>
        <v>0</v>
      </c>
      <c r="MK104" s="56"/>
      <c r="ML104" s="242">
        <f t="shared" si="626"/>
        <v>0</v>
      </c>
      <c r="MM104" s="242">
        <f t="shared" si="627"/>
        <v>0</v>
      </c>
      <c r="MN104" s="56"/>
      <c r="MQ104" s="55">
        <f t="shared" si="628"/>
        <v>46110</v>
      </c>
      <c r="MR104" s="56"/>
      <c r="MS104" s="242">
        <f>SUMPRODUCT(PRODUCE!$B115:$DY115,PRODUCE!$EB$46:$IY$46)</f>
        <v>0</v>
      </c>
      <c r="MT104" s="56"/>
      <c r="MU104" s="242">
        <f t="shared" si="629"/>
        <v>0</v>
      </c>
      <c r="MV104" s="242">
        <f t="shared" si="630"/>
        <v>4195</v>
      </c>
      <c r="MW104" s="56"/>
      <c r="MZ104" s="55">
        <f t="shared" si="631"/>
        <v>46110</v>
      </c>
      <c r="NA104" s="56"/>
      <c r="NB104" s="242">
        <f>SUMPRODUCT(PRODUCE!$B115:$DY115,PRODUCE!$EB$47:$IY$47)</f>
        <v>0</v>
      </c>
      <c r="NC104" s="56"/>
      <c r="ND104" s="242">
        <f t="shared" si="632"/>
        <v>0</v>
      </c>
      <c r="NE104" s="242">
        <f t="shared" si="633"/>
        <v>0</v>
      </c>
      <c r="NF104" s="56"/>
      <c r="NI104" s="55">
        <f t="shared" si="634"/>
        <v>46110</v>
      </c>
      <c r="NJ104" s="56"/>
      <c r="NK104" s="242">
        <f>SUMPRODUCT(PRODUCE!$B115:$DY115,PRODUCE!$EB$48:$IY$48)</f>
        <v>0</v>
      </c>
      <c r="NL104" s="56"/>
      <c r="NM104" s="242">
        <f t="shared" si="635"/>
        <v>0</v>
      </c>
      <c r="NN104" s="242">
        <f t="shared" si="636"/>
        <v>2065</v>
      </c>
      <c r="NO104" s="56"/>
      <c r="NR104" s="55">
        <f t="shared" si="637"/>
        <v>46110</v>
      </c>
      <c r="NS104" s="56"/>
      <c r="NT104" s="242">
        <f>SUMPRODUCT(PRODUCE!$B115:$DY115,PRODUCE!$EB$49:$IY$49)</f>
        <v>0</v>
      </c>
      <c r="NU104" s="56"/>
      <c r="NV104" s="242">
        <f t="shared" si="638"/>
        <v>0</v>
      </c>
      <c r="NW104" s="242">
        <f t="shared" si="639"/>
        <v>4152.5</v>
      </c>
      <c r="NX104" s="56"/>
      <c r="OA104" s="55">
        <f t="shared" si="640"/>
        <v>46110</v>
      </c>
      <c r="OB104" s="56"/>
      <c r="OC104" s="242">
        <f>SUMPRODUCT(PRODUCE!$B115:$DY115,PRODUCE!$EB$50:$IY$50)</f>
        <v>0</v>
      </c>
      <c r="OD104" s="56"/>
      <c r="OE104" s="242">
        <f t="shared" si="641"/>
        <v>0</v>
      </c>
      <c r="OF104" s="242">
        <f t="shared" si="642"/>
        <v>1680.5</v>
      </c>
      <c r="OG104" s="56"/>
      <c r="OJ104" s="55">
        <f t="shared" si="643"/>
        <v>46110</v>
      </c>
      <c r="OK104" s="56"/>
      <c r="OL104" s="242">
        <f>SUMPRODUCT(PRODUCE!$B115:$DY115,PRODUCE!$EB$51:$IY$51)</f>
        <v>0</v>
      </c>
      <c r="OM104" s="56"/>
      <c r="ON104" s="242">
        <f t="shared" si="644"/>
        <v>0</v>
      </c>
      <c r="OO104" s="242">
        <f t="shared" si="645"/>
        <v>0</v>
      </c>
      <c r="OP104" s="56"/>
      <c r="OS104" s="55">
        <f t="shared" si="646"/>
        <v>46110</v>
      </c>
      <c r="OT104" s="56"/>
      <c r="OU104" s="242">
        <f>SUMPRODUCT(PRODUCE!$B115:$DY115,PRODUCE!$EB$52:$IY$52)</f>
        <v>0</v>
      </c>
      <c r="OV104" s="56"/>
      <c r="OW104" s="242">
        <f t="shared" si="647"/>
        <v>0</v>
      </c>
      <c r="OX104" s="242">
        <f t="shared" si="648"/>
        <v>1000</v>
      </c>
      <c r="OY104" s="56"/>
      <c r="PB104" s="55">
        <f t="shared" si="649"/>
        <v>46110</v>
      </c>
      <c r="PC104" s="56"/>
      <c r="PD104" s="242">
        <f>SUMPRODUCT(PRODUCE!$B115:$DY115,PRODUCE!$EB$53:$IY$53)</f>
        <v>0</v>
      </c>
      <c r="PE104" s="56"/>
      <c r="PF104" s="242">
        <f t="shared" si="650"/>
        <v>0</v>
      </c>
      <c r="PG104" s="242">
        <f t="shared" si="651"/>
        <v>0</v>
      </c>
      <c r="PH104" s="56"/>
      <c r="PK104" s="55">
        <f t="shared" si="652"/>
        <v>46110</v>
      </c>
      <c r="PL104" s="56"/>
      <c r="PM104" s="242">
        <f>SUMPRODUCT(PRODUCE!$B115:$DY115,PRODUCE!$EB$54:$IY$54)</f>
        <v>0</v>
      </c>
      <c r="PN104" s="56"/>
      <c r="PO104" s="242">
        <f t="shared" si="653"/>
        <v>0</v>
      </c>
      <c r="PP104" s="242">
        <f t="shared" si="654"/>
        <v>100</v>
      </c>
      <c r="PQ104" s="56"/>
      <c r="PT104" s="55">
        <f t="shared" si="655"/>
        <v>46110</v>
      </c>
      <c r="PU104" s="56"/>
      <c r="PV104" s="242">
        <f>SUMPRODUCT(PRODUCE!$B115:$DY115,PRODUCE!$EB$55:$IY$55)</f>
        <v>0</v>
      </c>
      <c r="PW104" s="56"/>
      <c r="PX104" s="242">
        <f t="shared" si="656"/>
        <v>0</v>
      </c>
      <c r="PY104" s="242">
        <f t="shared" si="657"/>
        <v>13.960000000000036</v>
      </c>
      <c r="PZ104" s="56"/>
      <c r="QC104" s="55">
        <f t="shared" si="658"/>
        <v>46110</v>
      </c>
      <c r="QD104" s="56"/>
      <c r="QE104" s="242">
        <f>SUMPRODUCT(PRODUCE!$B115:$DY115,PRODUCE!$EB$56:$IY$56)</f>
        <v>0</v>
      </c>
      <c r="QF104" s="56"/>
      <c r="QG104" s="242">
        <f t="shared" si="659"/>
        <v>0</v>
      </c>
      <c r="QH104" s="242">
        <f t="shared" si="660"/>
        <v>1212</v>
      </c>
      <c r="QI104" s="56"/>
      <c r="QL104" s="55">
        <f t="shared" si="661"/>
        <v>46110</v>
      </c>
      <c r="QM104" s="56"/>
      <c r="QN104" s="242">
        <f>SUMPRODUCT(PRODUCE!$B115:$DY115,PRODUCE!$EB$57:$IY$57)</f>
        <v>0</v>
      </c>
      <c r="QO104" s="56"/>
      <c r="QP104" s="242">
        <f t="shared" si="662"/>
        <v>0</v>
      </c>
      <c r="QQ104" s="242">
        <f t="shared" si="663"/>
        <v>400</v>
      </c>
      <c r="QR104" s="56"/>
      <c r="QU104" s="55">
        <f t="shared" si="664"/>
        <v>46110</v>
      </c>
      <c r="QV104" s="56"/>
      <c r="QW104" s="242">
        <f>SUMPRODUCT(PRODUCE!$B115:$DY115,PRODUCE!$EB$57:$IY$57)</f>
        <v>0</v>
      </c>
      <c r="QX104" s="56"/>
      <c r="QY104" s="242">
        <f t="shared" si="665"/>
        <v>0</v>
      </c>
      <c r="QZ104" s="242">
        <f t="shared" si="666"/>
        <v>207.6</v>
      </c>
      <c r="RA104" s="56"/>
      <c r="RD104" s="55">
        <f t="shared" si="667"/>
        <v>46110</v>
      </c>
      <c r="RE104" s="56"/>
      <c r="RF104" s="242">
        <f>SUMPRODUCT(PRODUCE!$B115:$DY115,PRODUCE!$EB$58:$IY$58)</f>
        <v>0</v>
      </c>
      <c r="RG104" s="56"/>
      <c r="RH104" s="242">
        <f t="shared" si="668"/>
        <v>0</v>
      </c>
      <c r="RI104" s="242">
        <f t="shared" si="669"/>
        <v>197.04000000000002</v>
      </c>
      <c r="RJ104" s="56"/>
      <c r="RM104" s="55">
        <f t="shared" si="670"/>
        <v>46110</v>
      </c>
      <c r="RN104" s="56"/>
      <c r="RO104" s="242">
        <f>SUMPRODUCT(PRODUCE!$B115:$DY115,PRODUCE!$EB$57:$IY$57)</f>
        <v>0</v>
      </c>
      <c r="RP104" s="56"/>
      <c r="RQ104" s="242">
        <f t="shared" si="671"/>
        <v>0</v>
      </c>
      <c r="RR104" s="242">
        <f t="shared" si="672"/>
        <v>46.8</v>
      </c>
      <c r="RS104" s="56"/>
      <c r="RV104" s="55">
        <f t="shared" si="673"/>
        <v>46110</v>
      </c>
      <c r="RW104" s="56"/>
      <c r="RX104" s="242">
        <f>SUMPRODUCT(PRODUCE!$B115:$DY115,PRODUCE!$EB$57:$IY$57)</f>
        <v>0</v>
      </c>
      <c r="RY104" s="56"/>
      <c r="RZ104" s="242">
        <f t="shared" si="674"/>
        <v>0</v>
      </c>
      <c r="SA104" s="242">
        <f t="shared" si="675"/>
        <v>0</v>
      </c>
      <c r="SB104" s="56"/>
      <c r="SE104" s="55">
        <f t="shared" si="676"/>
        <v>46110</v>
      </c>
      <c r="SF104" s="56"/>
      <c r="SG104" s="242">
        <f>SUMPRODUCT(PRODUCE!$B115:$DY115,PRODUCE!$EB$57:$IY$57)</f>
        <v>0</v>
      </c>
      <c r="SH104" s="56"/>
      <c r="SI104" s="242">
        <f t="shared" si="677"/>
        <v>0</v>
      </c>
      <c r="SJ104" s="242">
        <f t="shared" si="678"/>
        <v>0</v>
      </c>
      <c r="SK104" s="56"/>
      <c r="SN104" s="55">
        <f t="shared" si="679"/>
        <v>46110</v>
      </c>
      <c r="SO104" s="56"/>
      <c r="SP104" s="242">
        <f>SUMPRODUCT(PRODUCE!$B115:$DY115,PRODUCE!$EB$57:$IY$57)</f>
        <v>0</v>
      </c>
      <c r="SQ104" s="56"/>
      <c r="SR104" s="242">
        <f t="shared" si="680"/>
        <v>0</v>
      </c>
      <c r="SS104" s="242">
        <f t="shared" si="681"/>
        <v>0</v>
      </c>
      <c r="ST104" s="56"/>
      <c r="SW104" s="55">
        <f t="shared" si="682"/>
        <v>46110</v>
      </c>
      <c r="SX104" s="56"/>
      <c r="SY104" s="242">
        <f>SUMPRODUCT(PRODUCE!$B115:$DY115,PRODUCE!$EB$57:$IY$57)</f>
        <v>0</v>
      </c>
      <c r="SZ104" s="56"/>
      <c r="TA104" s="242">
        <f t="shared" si="683"/>
        <v>0</v>
      </c>
      <c r="TB104" s="242">
        <f t="shared" si="684"/>
        <v>0</v>
      </c>
      <c r="TC104" s="56"/>
      <c r="TF104" s="55">
        <f t="shared" si="685"/>
        <v>46110</v>
      </c>
      <c r="TG104" s="56"/>
      <c r="TH104" s="242">
        <f>SUMPRODUCT(PRODUCE!$B115:$DY115,PRODUCE!$EB$57:$IY$57)</f>
        <v>0</v>
      </c>
      <c r="TI104" s="56"/>
      <c r="TJ104" s="242">
        <f t="shared" si="686"/>
        <v>0</v>
      </c>
      <c r="TK104" s="242">
        <f t="shared" si="687"/>
        <v>0</v>
      </c>
      <c r="TL104" s="56"/>
      <c r="TO104" s="55">
        <f t="shared" si="688"/>
        <v>46110</v>
      </c>
      <c r="TP104" s="56"/>
      <c r="TQ104" s="242">
        <f>SUMPRODUCT(PRODUCE!$B115:$DY115,PRODUCE!$EB$57:$IY$57)</f>
        <v>0</v>
      </c>
      <c r="TR104" s="56"/>
      <c r="TS104" s="242">
        <f t="shared" si="689"/>
        <v>0</v>
      </c>
      <c r="TT104" s="242">
        <f t="shared" si="690"/>
        <v>0</v>
      </c>
      <c r="TU104" s="56"/>
      <c r="TX104" s="55">
        <f t="shared" si="691"/>
        <v>46110</v>
      </c>
      <c r="TY104" s="56"/>
      <c r="TZ104" s="242">
        <f>SUMPRODUCT(PRODUCE!$B115:$DY115,PRODUCE!$EB$57:$IY$57)</f>
        <v>0</v>
      </c>
      <c r="UA104" s="56"/>
      <c r="UB104" s="242">
        <f t="shared" si="692"/>
        <v>0</v>
      </c>
      <c r="UC104" s="242">
        <f t="shared" si="693"/>
        <v>0</v>
      </c>
      <c r="UD104" s="56"/>
      <c r="UG104" s="55">
        <f t="shared" si="694"/>
        <v>46110</v>
      </c>
      <c r="UH104" s="56"/>
      <c r="UI104" s="242">
        <f>SUMPRODUCT(PRODUCE!$B115:$DY115,PRODUCE!$EB$57:$IY$57)</f>
        <v>0</v>
      </c>
      <c r="UJ104" s="56"/>
      <c r="UK104" s="242">
        <f t="shared" si="695"/>
        <v>0</v>
      </c>
      <c r="UL104" s="242">
        <f t="shared" si="696"/>
        <v>0</v>
      </c>
      <c r="UM104" s="56"/>
      <c r="UP104" s="55">
        <f t="shared" si="697"/>
        <v>46110</v>
      </c>
      <c r="UQ104" s="56"/>
      <c r="UR104" s="242">
        <f>SUMPRODUCT(PRODUCE!$B115:$DY115,PRODUCE!$EB$57:$IY$57)</f>
        <v>0</v>
      </c>
      <c r="US104" s="56"/>
      <c r="UT104" s="242">
        <f t="shared" si="698"/>
        <v>0</v>
      </c>
      <c r="UU104" s="242">
        <f t="shared" si="699"/>
        <v>0</v>
      </c>
      <c r="UV104" s="56"/>
      <c r="UY104" s="55">
        <f t="shared" si="700"/>
        <v>46110</v>
      </c>
      <c r="UZ104" s="56"/>
      <c r="VA104" s="242">
        <f>SUMPRODUCT(PRODUCE!$B115:$DY115,PRODUCE!$EB$57:$IY$57)</f>
        <v>0</v>
      </c>
      <c r="VB104" s="56"/>
      <c r="VC104" s="242">
        <f t="shared" si="701"/>
        <v>0</v>
      </c>
      <c r="VD104" s="242">
        <f t="shared" si="702"/>
        <v>41.600000000000023</v>
      </c>
      <c r="VE104" s="56"/>
      <c r="VH104" s="55">
        <f t="shared" si="703"/>
        <v>46110</v>
      </c>
      <c r="VI104" s="56"/>
      <c r="VJ104" s="242">
        <f>SUMPRODUCT(PRODUCE!$B115:$DY115,PRODUCE!$EB$57:$IY$57)</f>
        <v>0</v>
      </c>
      <c r="VK104" s="56"/>
      <c r="VL104" s="242">
        <f t="shared" si="704"/>
        <v>0</v>
      </c>
      <c r="VM104" s="242">
        <f t="shared" si="705"/>
        <v>0</v>
      </c>
      <c r="VN104" s="56"/>
      <c r="VQ104" s="55">
        <f t="shared" si="706"/>
        <v>46110</v>
      </c>
      <c r="VR104" s="56"/>
      <c r="VS104" s="242">
        <f>SUMPRODUCT(PRODUCE!$B115:$DY115,PRODUCE!$EB$57:$IY$57)</f>
        <v>0</v>
      </c>
      <c r="VT104" s="56"/>
      <c r="VU104" s="242">
        <f t="shared" si="707"/>
        <v>0</v>
      </c>
      <c r="VV104" s="242">
        <f t="shared" si="708"/>
        <v>0</v>
      </c>
      <c r="VW104" s="56"/>
      <c r="VZ104" s="55">
        <f t="shared" si="709"/>
        <v>46110</v>
      </c>
      <c r="WA104" s="56"/>
      <c r="WB104" s="242">
        <f>SUMPRODUCT(PRODUCE!$B115:$DY115,PRODUCE!$EB$57:$IY$57)</f>
        <v>0</v>
      </c>
      <c r="WC104" s="56"/>
      <c r="WD104" s="242">
        <f t="shared" si="710"/>
        <v>0</v>
      </c>
      <c r="WE104" s="242">
        <f t="shared" si="711"/>
        <v>0</v>
      </c>
      <c r="WF104" s="56"/>
      <c r="WI104" s="55">
        <f t="shared" si="712"/>
        <v>46110</v>
      </c>
      <c r="WJ104" s="56"/>
      <c r="WK104" s="242">
        <f>SUMPRODUCT(PRODUCE!$B115:$DY115,PRODUCE!$EB$57:$IY$57)</f>
        <v>0</v>
      </c>
      <c r="WL104" s="56"/>
      <c r="WM104" s="242">
        <f t="shared" si="713"/>
        <v>0</v>
      </c>
      <c r="WN104" s="242">
        <f t="shared" si="714"/>
        <v>4857</v>
      </c>
      <c r="WO104" s="56"/>
      <c r="WR104" s="55">
        <f t="shared" si="715"/>
        <v>46110</v>
      </c>
      <c r="WS104" s="56"/>
      <c r="WT104" s="242">
        <f>SUMPRODUCT(PRODUCE!$B115:$DY115,PRODUCE!$EB$57:$IY$57)</f>
        <v>0</v>
      </c>
      <c r="WU104" s="56"/>
      <c r="WV104" s="242">
        <f t="shared" si="716"/>
        <v>0</v>
      </c>
      <c r="WW104" s="242">
        <f t="shared" si="717"/>
        <v>850</v>
      </c>
      <c r="WX104" s="56"/>
      <c r="XA104" s="55">
        <f t="shared" si="718"/>
        <v>46110</v>
      </c>
      <c r="XB104" s="56"/>
      <c r="XC104" s="242">
        <f>SUMPRODUCT(PRODUCE!$B115:$DY115,PRODUCE!$EB$57:$IY$57)</f>
        <v>0</v>
      </c>
      <c r="XD104" s="56"/>
      <c r="XE104" s="242">
        <f t="shared" si="719"/>
        <v>0</v>
      </c>
      <c r="XF104" s="242">
        <f t="shared" si="720"/>
        <v>7142</v>
      </c>
      <c r="XG104" s="56"/>
      <c r="XJ104" s="55">
        <f t="shared" si="721"/>
        <v>46110</v>
      </c>
      <c r="XK104" s="56"/>
      <c r="XL104" s="242">
        <f>SUMPRODUCT(PRODUCE!$B115:$DY115,PRODUCE!$EB$57:$IY$57)</f>
        <v>0</v>
      </c>
      <c r="XM104" s="56"/>
      <c r="XN104" s="242">
        <f t="shared" si="722"/>
        <v>0</v>
      </c>
      <c r="XO104" s="242">
        <f t="shared" si="723"/>
        <v>5989</v>
      </c>
      <c r="XP104" s="56"/>
      <c r="XS104" s="55">
        <f t="shared" si="724"/>
        <v>46110</v>
      </c>
      <c r="XT104" s="56"/>
      <c r="XU104" s="242">
        <f>SUMPRODUCT(PRODUCE!$B115:$DY115,PRODUCE!$EB$57:$IY$57)</f>
        <v>0</v>
      </c>
      <c r="XV104" s="56"/>
      <c r="XW104" s="242">
        <f t="shared" si="725"/>
        <v>0</v>
      </c>
      <c r="XX104" s="242">
        <f t="shared" si="726"/>
        <v>1901</v>
      </c>
      <c r="XY104" s="56"/>
      <c r="YB104" s="55">
        <f t="shared" si="727"/>
        <v>46110</v>
      </c>
      <c r="YC104" s="56"/>
      <c r="YD104" s="242">
        <f>SUMPRODUCT(PRODUCE!$B115:$DY115,PRODUCE!$EB$57:$IY$57)</f>
        <v>0</v>
      </c>
      <c r="YE104" s="56"/>
      <c r="YF104" s="242">
        <f t="shared" si="728"/>
        <v>0</v>
      </c>
      <c r="YG104" s="242">
        <f t="shared" si="729"/>
        <v>6459</v>
      </c>
      <c r="YH104" s="56"/>
      <c r="YK104" s="55">
        <f t="shared" si="730"/>
        <v>46110</v>
      </c>
      <c r="YL104" s="56"/>
      <c r="YM104" s="242">
        <f>SUMPRODUCT(PRODUCE!$B115:$DY115,PRODUCE!$EB$57:$IY$57)</f>
        <v>0</v>
      </c>
      <c r="YN104" s="56"/>
      <c r="YO104" s="242">
        <f t="shared" si="731"/>
        <v>0</v>
      </c>
      <c r="YP104" s="242">
        <f t="shared" si="732"/>
        <v>0</v>
      </c>
      <c r="YQ104" s="56"/>
      <c r="YT104" s="55">
        <f t="shared" si="733"/>
        <v>46110</v>
      </c>
      <c r="YU104" s="56"/>
      <c r="YV104" s="242">
        <f>SUMPRODUCT(PRODUCE!$B115:$DY115,PRODUCE!$EB$57:$IY$57)</f>
        <v>0</v>
      </c>
      <c r="YW104" s="56"/>
      <c r="YX104" s="242">
        <f t="shared" si="734"/>
        <v>0</v>
      </c>
      <c r="YY104" s="242">
        <f t="shared" si="735"/>
        <v>0</v>
      </c>
      <c r="YZ104" s="56"/>
      <c r="ZC104" s="55">
        <f t="shared" si="736"/>
        <v>46110</v>
      </c>
      <c r="ZD104" s="56"/>
      <c r="ZE104" s="242">
        <f>SUMPRODUCT(PRODUCE!$B115:$DY115,PRODUCE!$EB$57:$IY$57)</f>
        <v>0</v>
      </c>
      <c r="ZF104" s="56"/>
      <c r="ZG104" s="242">
        <f t="shared" si="737"/>
        <v>0</v>
      </c>
      <c r="ZH104" s="242">
        <f t="shared" si="738"/>
        <v>0</v>
      </c>
      <c r="ZI104" s="56"/>
      <c r="ZL104" s="55">
        <f t="shared" si="739"/>
        <v>46110</v>
      </c>
      <c r="ZM104" s="56"/>
      <c r="ZN104" s="242">
        <f>SUMPRODUCT(PRODUCE!$B115:$DY115,PRODUCE!$EB$57:$IY$57)</f>
        <v>0</v>
      </c>
      <c r="ZO104" s="56"/>
      <c r="ZP104" s="242">
        <f t="shared" si="740"/>
        <v>0</v>
      </c>
      <c r="ZQ104" s="242">
        <f t="shared" si="741"/>
        <v>0</v>
      </c>
      <c r="ZR104" s="56"/>
      <c r="ZU104" s="55">
        <f t="shared" si="742"/>
        <v>46110</v>
      </c>
      <c r="ZV104" s="56"/>
      <c r="ZW104" s="242">
        <f>SUMPRODUCT(PRODUCE!$B115:$DY115,PRODUCE!$EB$57:$IY$57)</f>
        <v>0</v>
      </c>
      <c r="ZX104" s="56"/>
      <c r="ZY104" s="242">
        <f t="shared" si="743"/>
        <v>0</v>
      </c>
      <c r="ZZ104" s="242">
        <f t="shared" si="744"/>
        <v>0</v>
      </c>
      <c r="AAA104" s="56"/>
      <c r="AAD104" s="55">
        <f t="shared" si="745"/>
        <v>46110</v>
      </c>
      <c r="AAE104" s="56"/>
      <c r="AAF104" s="242">
        <f>SUMPRODUCT(PRODUCE!$B115:$DY115,PRODUCE!$EB$57:$IY$57)</f>
        <v>0</v>
      </c>
      <c r="AAG104" s="56"/>
      <c r="AAH104" s="242">
        <f t="shared" si="746"/>
        <v>0</v>
      </c>
      <c r="AAI104" s="242">
        <f t="shared" si="747"/>
        <v>0</v>
      </c>
      <c r="AAJ104" s="56"/>
      <c r="AAM104" s="55">
        <f t="shared" si="748"/>
        <v>46110</v>
      </c>
      <c r="AAN104" s="56"/>
      <c r="AAO104" s="242">
        <f>SUMPRODUCT(PRODUCE!$B115:$DY115,PRODUCE!$EB$57:$IY$57)</f>
        <v>0</v>
      </c>
      <c r="AAP104" s="56"/>
      <c r="AAQ104" s="242">
        <f t="shared" si="749"/>
        <v>0</v>
      </c>
      <c r="AAR104" s="242">
        <f t="shared" si="750"/>
        <v>0</v>
      </c>
      <c r="AAS104" s="56"/>
      <c r="AAV104" s="55">
        <f t="shared" si="751"/>
        <v>46110</v>
      </c>
      <c r="AAW104" s="56"/>
      <c r="AAX104" s="242">
        <f>SUMPRODUCT(PRODUCE!$B115:$DY115,PRODUCE!$EB$57:$IY$57)</f>
        <v>0</v>
      </c>
      <c r="AAY104" s="56"/>
      <c r="AAZ104" s="242">
        <f t="shared" si="752"/>
        <v>0</v>
      </c>
      <c r="ABA104" s="242">
        <f t="shared" si="753"/>
        <v>0</v>
      </c>
      <c r="ABB104" s="56"/>
      <c r="ABE104" s="55">
        <f t="shared" si="754"/>
        <v>46110</v>
      </c>
      <c r="ABF104" s="56"/>
      <c r="ABG104" s="242">
        <f>SUMPRODUCT(PRODUCE!$B115:$DY115,PRODUCE!$EB$57:$IY$57)</f>
        <v>0</v>
      </c>
      <c r="ABH104" s="56"/>
      <c r="ABI104" s="242">
        <f t="shared" si="755"/>
        <v>0</v>
      </c>
      <c r="ABJ104" s="242">
        <f t="shared" si="756"/>
        <v>0</v>
      </c>
      <c r="ABK104" s="56"/>
    </row>
    <row r="105" spans="1:739" s="54" customFormat="1" ht="15" customHeight="1" outlineLevel="1">
      <c r="B105" s="478">
        <f>46+38</f>
        <v>84</v>
      </c>
      <c r="C105" s="55">
        <v>46111</v>
      </c>
      <c r="D105" s="422">
        <v>26890</v>
      </c>
      <c r="E105" s="423">
        <f>SUMPRODUCT(PRODUCE!$B116:$DY116,PRODUCE!$EB$7:$IY$7)</f>
        <v>48459.600000000006</v>
      </c>
      <c r="F105" s="422">
        <v>48468.2</v>
      </c>
      <c r="G105" s="423">
        <f t="shared" si="514"/>
        <v>-8.5999999999912689</v>
      </c>
      <c r="H105" s="423">
        <f t="shared" si="512"/>
        <v>29272.599999999962</v>
      </c>
      <c r="I105" s="289" t="s">
        <v>234</v>
      </c>
      <c r="L105" s="55">
        <f t="shared" si="513"/>
        <v>46111</v>
      </c>
      <c r="M105" s="422">
        <v>3371.8</v>
      </c>
      <c r="N105" s="438">
        <f>SUMPRODUCT(PRODUCE!$B116:$DY116,PRODUCE!$EB$8:$IY$8)</f>
        <v>20194.5</v>
      </c>
      <c r="O105" s="422">
        <v>20203.599999999999</v>
      </c>
      <c r="P105" s="438">
        <f t="shared" si="515"/>
        <v>-9.0999999999985448</v>
      </c>
      <c r="Q105" s="438">
        <f t="shared" si="516"/>
        <v>12030.000000000084</v>
      </c>
      <c r="R105" s="56"/>
      <c r="U105" s="55">
        <f t="shared" si="517"/>
        <v>46111</v>
      </c>
      <c r="V105" s="422"/>
      <c r="W105" s="440">
        <f>SUMPRODUCT(PRODUCE!$B116:$DY116,PRODUCE!$EB$9:$IY$9)</f>
        <v>4190</v>
      </c>
      <c r="X105" s="422">
        <v>4189.3</v>
      </c>
      <c r="Y105" s="440">
        <f t="shared" si="518"/>
        <v>0.6999999999998181</v>
      </c>
      <c r="Z105" s="440">
        <f t="shared" si="519"/>
        <v>21269.699999999968</v>
      </c>
      <c r="AA105" s="56"/>
      <c r="AD105" s="55">
        <f t="shared" si="520"/>
        <v>46111</v>
      </c>
      <c r="AE105" s="422"/>
      <c r="AF105" s="442">
        <f>SUMPRODUCT(PRODUCE!$B116:$DY116,PRODUCE!$EB$10:$IY$10)</f>
        <v>4960</v>
      </c>
      <c r="AG105" s="422">
        <v>4962.3999999999996</v>
      </c>
      <c r="AH105" s="442">
        <f t="shared" si="521"/>
        <v>-2.3999999999996362</v>
      </c>
      <c r="AI105" s="442">
        <f t="shared" si="522"/>
        <v>28793.300000000017</v>
      </c>
      <c r="AJ105" s="56"/>
      <c r="AM105" s="55">
        <f t="shared" si="523"/>
        <v>46111</v>
      </c>
      <c r="AN105" s="422"/>
      <c r="AO105" s="444">
        <f>SUMPRODUCT(PRODUCE!$B116:$DY116,PRODUCE!$EB$11:$IY$11)</f>
        <v>0</v>
      </c>
      <c r="AP105" s="422"/>
      <c r="AQ105" s="444">
        <f t="shared" si="524"/>
        <v>0</v>
      </c>
      <c r="AR105" s="444">
        <f t="shared" si="525"/>
        <v>0</v>
      </c>
      <c r="AS105" s="56"/>
      <c r="AV105" s="55">
        <f t="shared" si="526"/>
        <v>46111</v>
      </c>
      <c r="AW105" s="422"/>
      <c r="AX105" s="446">
        <f>SUMPRODUCT(PRODUCE!$B116:$DY116,PRODUCE!$EB$12:$IY$12)</f>
        <v>1509</v>
      </c>
      <c r="AY105" s="422">
        <v>1509.1</v>
      </c>
      <c r="AZ105" s="446">
        <f t="shared" si="527"/>
        <v>-9.9999999999909051E-2</v>
      </c>
      <c r="BA105" s="446">
        <f t="shared" si="528"/>
        <v>17888.299999999988</v>
      </c>
      <c r="BB105" s="56"/>
      <c r="BE105" s="55">
        <f t="shared" si="529"/>
        <v>46111</v>
      </c>
      <c r="BF105" s="422">
        <v>89.7</v>
      </c>
      <c r="BG105" s="448">
        <f>SUMPRODUCT(PRODUCE!$B116:$DY116,PRODUCE!$EB$13:$IY$13)</f>
        <v>950</v>
      </c>
      <c r="BH105" s="422">
        <v>948</v>
      </c>
      <c r="BI105" s="448">
        <f t="shared" si="530"/>
        <v>2</v>
      </c>
      <c r="BJ105" s="448">
        <f t="shared" si="531"/>
        <v>1251.9000000000019</v>
      </c>
      <c r="BK105" s="56"/>
      <c r="BN105" s="55">
        <f t="shared" si="532"/>
        <v>46111</v>
      </c>
      <c r="BO105" s="422">
        <v>1870</v>
      </c>
      <c r="BP105" s="450">
        <f>SUMPRODUCT(PRODUCE!$B116:$DY116,PRODUCE!$EB$14:$IY$14)</f>
        <v>1870</v>
      </c>
      <c r="BQ105" s="422">
        <v>1870</v>
      </c>
      <c r="BR105" s="450">
        <f t="shared" si="533"/>
        <v>0</v>
      </c>
      <c r="BS105" s="450">
        <f t="shared" si="534"/>
        <v>0</v>
      </c>
      <c r="BT105" s="56"/>
      <c r="BW105" s="55">
        <f t="shared" si="535"/>
        <v>46111</v>
      </c>
      <c r="BX105" s="56"/>
      <c r="BY105" s="65">
        <f>SUMPRODUCT(PRODUCE!$B116:$DY116,PRODUCE!$EB$15:$IY$15)</f>
        <v>103.50000000000001</v>
      </c>
      <c r="BZ105" s="56"/>
      <c r="CA105" s="65">
        <f t="shared" si="536"/>
        <v>103.50000000000001</v>
      </c>
      <c r="CB105" s="65">
        <f t="shared" si="537"/>
        <v>11812.9</v>
      </c>
      <c r="CC105" s="56"/>
      <c r="CF105" s="55">
        <f t="shared" si="538"/>
        <v>46111</v>
      </c>
      <c r="CG105" s="56"/>
      <c r="CH105" s="66">
        <f>SUMPRODUCT(PRODUCE!$B116:$DY116,PRODUCE!$EB$16:$IY$16)</f>
        <v>41.4</v>
      </c>
      <c r="CI105" s="56"/>
      <c r="CJ105" s="66">
        <f t="shared" si="539"/>
        <v>41.4</v>
      </c>
      <c r="CK105" s="66">
        <f t="shared" si="540"/>
        <v>0</v>
      </c>
      <c r="CL105" s="56"/>
      <c r="CO105" s="55">
        <f t="shared" si="541"/>
        <v>46111</v>
      </c>
      <c r="CP105" s="422"/>
      <c r="CQ105" s="470">
        <f>SUMPRODUCT(PRODUCE!$B116:$DY116,PRODUCE!$EB$17:$IY$17)</f>
        <v>0</v>
      </c>
      <c r="CR105" s="422"/>
      <c r="CS105" s="470">
        <f t="shared" si="542"/>
        <v>0</v>
      </c>
      <c r="CT105" s="470">
        <f t="shared" si="543"/>
        <v>0</v>
      </c>
      <c r="CU105" s="56"/>
      <c r="CX105" s="55">
        <f t="shared" si="544"/>
        <v>46111</v>
      </c>
      <c r="CY105" s="56"/>
      <c r="CZ105" s="133">
        <f>SUMPRODUCT(PRODUCE!$B116:$DY116,PRODUCE!$EB$18:$IY$18)</f>
        <v>0</v>
      </c>
      <c r="DA105" s="56"/>
      <c r="DB105" s="133">
        <f t="shared" si="545"/>
        <v>0</v>
      </c>
      <c r="DC105" s="133">
        <f t="shared" si="546"/>
        <v>31869.7</v>
      </c>
      <c r="DD105" s="56"/>
      <c r="DG105" s="55">
        <f t="shared" si="547"/>
        <v>46111</v>
      </c>
      <c r="DH105" s="56"/>
      <c r="DI105" s="147">
        <f>SUMPRODUCT(PRODUCE!$B116:$DY116,PRODUCE!$EB$19:$IY$19)</f>
        <v>0</v>
      </c>
      <c r="DJ105" s="56">
        <v>29.6</v>
      </c>
      <c r="DK105" s="147">
        <f t="shared" si="757"/>
        <v>-29.6</v>
      </c>
      <c r="DL105" s="147">
        <f t="shared" si="758"/>
        <v>6658.9999999999945</v>
      </c>
      <c r="DM105" s="56"/>
      <c r="DP105" s="55">
        <f t="shared" si="550"/>
        <v>46111</v>
      </c>
      <c r="DQ105" s="56"/>
      <c r="DR105" s="57">
        <f>SUMPRODUCT(PRODUCE!$B116:$DY116,PRODUCE!$EB$20:$IY$20)</f>
        <v>0</v>
      </c>
      <c r="DS105" s="56"/>
      <c r="DT105" s="57">
        <f t="shared" si="551"/>
        <v>0</v>
      </c>
      <c r="DU105" s="57">
        <f t="shared" si="552"/>
        <v>7150</v>
      </c>
      <c r="DV105" s="56"/>
      <c r="DY105" s="55">
        <f t="shared" si="553"/>
        <v>46111</v>
      </c>
      <c r="DZ105" s="56"/>
      <c r="EA105" s="157">
        <f>SUMPRODUCT(PRODUCE!$B116:$DY116,PRODUCE!$EB$21:$IY$21)</f>
        <v>0</v>
      </c>
      <c r="EB105" s="56"/>
      <c r="EC105" s="157">
        <f t="shared" si="554"/>
        <v>0</v>
      </c>
      <c r="ED105" s="157">
        <f t="shared" si="555"/>
        <v>1847.3000000000002</v>
      </c>
      <c r="EE105" s="56"/>
      <c r="EH105" s="55">
        <f t="shared" si="556"/>
        <v>46111</v>
      </c>
      <c r="EI105" s="56"/>
      <c r="EJ105" s="162">
        <f>SUMPRODUCT(PRODUCE!$B116:$DY116,PRODUCE!$EB$22:$IY$22)</f>
        <v>0</v>
      </c>
      <c r="EK105" s="56"/>
      <c r="EL105" s="162">
        <f t="shared" si="557"/>
        <v>0</v>
      </c>
      <c r="EM105" s="162">
        <f t="shared" si="558"/>
        <v>0</v>
      </c>
      <c r="EN105" s="56"/>
      <c r="EQ105" s="55">
        <f t="shared" si="559"/>
        <v>46111</v>
      </c>
      <c r="ER105" s="56"/>
      <c r="ES105" s="135">
        <f>SUMPRODUCT(PRODUCE!$B116:$DY116,PRODUCE!$EB$23:$IY$23)</f>
        <v>0</v>
      </c>
      <c r="ET105" s="56"/>
      <c r="EU105" s="135">
        <f t="shared" si="560"/>
        <v>0</v>
      </c>
      <c r="EV105" s="135">
        <f t="shared" si="561"/>
        <v>0</v>
      </c>
      <c r="EW105" s="56"/>
      <c r="EZ105" s="55">
        <f t="shared" si="562"/>
        <v>46111</v>
      </c>
      <c r="FA105" s="56"/>
      <c r="FB105" s="175">
        <f>SUMPRODUCT(PRODUCE!$B116:$DY116,PRODUCE!$EB$24:$IY$24)</f>
        <v>0</v>
      </c>
      <c r="FC105" s="56"/>
      <c r="FD105" s="175">
        <f t="shared" si="563"/>
        <v>0</v>
      </c>
      <c r="FE105" s="175">
        <f t="shared" si="564"/>
        <v>0</v>
      </c>
      <c r="FF105" s="56"/>
      <c r="FI105" s="55">
        <f t="shared" si="565"/>
        <v>46111</v>
      </c>
      <c r="FJ105" s="56"/>
      <c r="FK105" s="183">
        <f>SUMPRODUCT(PRODUCE!$B116:$DY116,PRODUCE!$EB$25:$IY$25)</f>
        <v>0</v>
      </c>
      <c r="FL105" s="56"/>
      <c r="FM105" s="183">
        <f t="shared" si="566"/>
        <v>0</v>
      </c>
      <c r="FN105" s="183">
        <f t="shared" si="567"/>
        <v>0</v>
      </c>
      <c r="FO105" s="56"/>
      <c r="FR105" s="55">
        <f t="shared" si="568"/>
        <v>46111</v>
      </c>
      <c r="FS105" s="422"/>
      <c r="FT105" s="452">
        <f>SUMPRODUCT(PRODUCE!$B116:$DY116,PRODUCE!$EB$26:$IY$26)</f>
        <v>920</v>
      </c>
      <c r="FU105" s="422"/>
      <c r="FV105" s="452">
        <f t="shared" si="569"/>
        <v>920</v>
      </c>
      <c r="FW105" s="452">
        <f t="shared" si="570"/>
        <v>1980</v>
      </c>
      <c r="FX105" s="56"/>
      <c r="GA105" s="55">
        <f t="shared" si="571"/>
        <v>46111</v>
      </c>
      <c r="GB105" s="422"/>
      <c r="GC105" s="454">
        <f>SUMPRODUCT(PRODUCE!$B116:$DY116,PRODUCE!$EB$27:$IY$27)</f>
        <v>0</v>
      </c>
      <c r="GD105" s="422"/>
      <c r="GE105" s="454">
        <f t="shared" si="572"/>
        <v>0</v>
      </c>
      <c r="GF105" s="454">
        <f t="shared" si="573"/>
        <v>2000</v>
      </c>
      <c r="GG105" s="56"/>
      <c r="GI105" s="23"/>
      <c r="GJ105" s="55">
        <f t="shared" si="574"/>
        <v>46111</v>
      </c>
      <c r="GK105" s="422"/>
      <c r="GL105" s="456">
        <f>SUMPRODUCT(PRODUCE!$B116:$DY116,PRODUCE!$EB$28:$IY$28)</f>
        <v>760</v>
      </c>
      <c r="GM105" s="422"/>
      <c r="GN105" s="456">
        <f t="shared" si="575"/>
        <v>760</v>
      </c>
      <c r="GO105" s="456">
        <f t="shared" si="576"/>
        <v>4800</v>
      </c>
      <c r="GP105" s="56"/>
      <c r="GS105" s="55">
        <f t="shared" si="577"/>
        <v>46111</v>
      </c>
      <c r="GT105" s="56"/>
      <c r="GU105" s="195">
        <f>SUMPRODUCT(PRODUCE!$B116:$DY116,PRODUCE!$EB$29:$IY$29)</f>
        <v>0</v>
      </c>
      <c r="GV105" s="56"/>
      <c r="GW105" s="195">
        <f t="shared" si="578"/>
        <v>0</v>
      </c>
      <c r="GX105" s="195">
        <f t="shared" si="579"/>
        <v>0</v>
      </c>
      <c r="GY105" s="56"/>
      <c r="HB105" s="55">
        <f t="shared" si="580"/>
        <v>46111</v>
      </c>
      <c r="HC105" s="56"/>
      <c r="HD105" s="191">
        <f>SUMPRODUCT(PRODUCE!$B116:$DY116,PRODUCE!$EB$30:$IY$30)</f>
        <v>0</v>
      </c>
      <c r="HE105" s="56"/>
      <c r="HF105" s="191">
        <f t="shared" si="581"/>
        <v>0</v>
      </c>
      <c r="HG105" s="191">
        <f t="shared" si="582"/>
        <v>0</v>
      </c>
      <c r="HH105" s="56"/>
      <c r="HK105" s="55">
        <f t="shared" si="583"/>
        <v>46111</v>
      </c>
      <c r="HL105" s="56"/>
      <c r="HM105" s="63">
        <f>SUMPRODUCT(PRODUCE!$B116:$DY116,PRODUCE!$EB$31:$IY$31)</f>
        <v>0</v>
      </c>
      <c r="HN105" s="56"/>
      <c r="HO105" s="63">
        <f t="shared" si="584"/>
        <v>0</v>
      </c>
      <c r="HP105" s="63">
        <f t="shared" si="585"/>
        <v>0</v>
      </c>
      <c r="HQ105" s="56"/>
      <c r="HU105" s="55">
        <f t="shared" si="586"/>
        <v>46111</v>
      </c>
      <c r="HV105" s="56"/>
      <c r="HW105" s="242">
        <f>SUMPRODUCT(PRODUCE!$B116:$DY116,PRODUCE!$EB$32:$IY$32)</f>
        <v>0</v>
      </c>
      <c r="HX105" s="56"/>
      <c r="HY105" s="242">
        <f t="shared" si="587"/>
        <v>0</v>
      </c>
      <c r="HZ105" s="242">
        <f t="shared" si="588"/>
        <v>5120</v>
      </c>
      <c r="IA105" s="56"/>
      <c r="ID105" s="55">
        <f t="shared" si="589"/>
        <v>46111</v>
      </c>
      <c r="IE105" s="56"/>
      <c r="IF105" s="242">
        <f>SUMPRODUCT(PRODUCE!$B116:$DY116,PRODUCE!$EB$33:$IY$33)</f>
        <v>0</v>
      </c>
      <c r="IG105" s="56"/>
      <c r="IH105" s="242">
        <f t="shared" si="590"/>
        <v>0</v>
      </c>
      <c r="II105" s="242">
        <f t="shared" si="591"/>
        <v>6540</v>
      </c>
      <c r="IJ105" s="56"/>
      <c r="IM105" s="55">
        <f t="shared" si="592"/>
        <v>46111</v>
      </c>
      <c r="IN105" s="56"/>
      <c r="IO105" s="242">
        <f>SUMPRODUCT(PRODUCE!$B116:$DY116,PRODUCE!$EB$34:$IY$34)</f>
        <v>0</v>
      </c>
      <c r="IP105" s="56"/>
      <c r="IQ105" s="242">
        <f t="shared" si="593"/>
        <v>0</v>
      </c>
      <c r="IR105" s="242">
        <f t="shared" si="594"/>
        <v>11540</v>
      </c>
      <c r="IS105" s="56"/>
      <c r="IV105" s="55">
        <f t="shared" si="595"/>
        <v>46111</v>
      </c>
      <c r="IW105" s="56"/>
      <c r="IX105" s="242">
        <f>SUMPRODUCT(PRODUCE!$B116:$DY116,PRODUCE!$EB$35:$IY$35)</f>
        <v>0</v>
      </c>
      <c r="IY105" s="56"/>
      <c r="IZ105" s="242">
        <f t="shared" si="596"/>
        <v>0</v>
      </c>
      <c r="JA105" s="242">
        <f t="shared" si="597"/>
        <v>15120</v>
      </c>
      <c r="JB105" s="56"/>
      <c r="JE105" s="55">
        <f t="shared" si="598"/>
        <v>46111</v>
      </c>
      <c r="JF105" s="56"/>
      <c r="JG105" s="242">
        <f>SUMPRODUCT(PRODUCE!$B116:$DY116,PRODUCE!$EB$36:$IY$36)</f>
        <v>0</v>
      </c>
      <c r="JH105" s="56"/>
      <c r="JI105" s="242">
        <f t="shared" si="599"/>
        <v>0</v>
      </c>
      <c r="JJ105" s="242">
        <f t="shared" si="600"/>
        <v>5040</v>
      </c>
      <c r="JK105" s="56"/>
      <c r="JN105" s="55">
        <f t="shared" si="601"/>
        <v>46111</v>
      </c>
      <c r="JO105" s="56"/>
      <c r="JP105" s="242">
        <f>SUMPRODUCT(PRODUCE!$B116:$DY116,PRODUCE!$EB$37:$IY$37)</f>
        <v>0</v>
      </c>
      <c r="JQ105" s="56"/>
      <c r="JR105" s="242">
        <f t="shared" si="602"/>
        <v>0</v>
      </c>
      <c r="JS105" s="242">
        <f t="shared" si="603"/>
        <v>9100</v>
      </c>
      <c r="JT105" s="56"/>
      <c r="JW105" s="55">
        <f t="shared" si="604"/>
        <v>46111</v>
      </c>
      <c r="JX105" s="56"/>
      <c r="JY105" s="242">
        <f>SUMPRODUCT(PRODUCE!$B116:$DY116,PRODUCE!$EB$38:$IY$38)</f>
        <v>0</v>
      </c>
      <c r="JZ105" s="56"/>
      <c r="KA105" s="242">
        <f t="shared" si="605"/>
        <v>0</v>
      </c>
      <c r="KB105" s="242">
        <f t="shared" si="606"/>
        <v>4220</v>
      </c>
      <c r="KC105" s="56"/>
      <c r="KF105" s="55">
        <f t="shared" si="607"/>
        <v>46111</v>
      </c>
      <c r="KG105" s="56"/>
      <c r="KH105" s="242">
        <f>SUMPRODUCT(PRODUCE!$B116:$DY116,PRODUCE!$EB$39:$IY$39)</f>
        <v>0</v>
      </c>
      <c r="KI105" s="56"/>
      <c r="KJ105" s="242">
        <f t="shared" si="608"/>
        <v>0</v>
      </c>
      <c r="KK105" s="242">
        <f t="shared" si="609"/>
        <v>7702.5</v>
      </c>
      <c r="KL105" s="56"/>
      <c r="KO105" s="55">
        <f t="shared" si="610"/>
        <v>46111</v>
      </c>
      <c r="KP105" s="56"/>
      <c r="KQ105" s="242">
        <f>SUMPRODUCT(PRODUCE!$B116:$DY116,PRODUCE!$EB$40:$IY$40)</f>
        <v>0</v>
      </c>
      <c r="KR105" s="56"/>
      <c r="KS105" s="242">
        <f t="shared" si="611"/>
        <v>0</v>
      </c>
      <c r="KT105" s="242">
        <f t="shared" si="612"/>
        <v>6426</v>
      </c>
      <c r="KU105" s="56"/>
      <c r="KW105" s="23"/>
      <c r="KX105" s="55">
        <f t="shared" si="613"/>
        <v>46111</v>
      </c>
      <c r="KY105" s="56"/>
      <c r="KZ105" s="242">
        <f>SUMPRODUCT(PRODUCE!$B116:$DY116,PRODUCE!$EB$41:$IY$41)</f>
        <v>0</v>
      </c>
      <c r="LA105" s="56"/>
      <c r="LB105" s="242">
        <f t="shared" si="614"/>
        <v>0</v>
      </c>
      <c r="LC105" s="242">
        <f t="shared" si="615"/>
        <v>0</v>
      </c>
      <c r="LD105" s="56"/>
      <c r="LG105" s="55">
        <f t="shared" si="616"/>
        <v>46111</v>
      </c>
      <c r="LH105" s="56"/>
      <c r="LI105" s="242">
        <f>SUMPRODUCT(PRODUCE!$B116:$DY116,PRODUCE!$EB$42:$IY$42)</f>
        <v>0</v>
      </c>
      <c r="LJ105" s="56"/>
      <c r="LK105" s="242">
        <f t="shared" si="617"/>
        <v>0</v>
      </c>
      <c r="LL105" s="242">
        <f t="shared" si="618"/>
        <v>0</v>
      </c>
      <c r="LM105" s="56"/>
      <c r="LP105" s="55">
        <f t="shared" si="619"/>
        <v>46111</v>
      </c>
      <c r="LQ105" s="56"/>
      <c r="LR105" s="242">
        <f>SUMPRODUCT(PRODUCE!$B120:$DY120,PRODUCE!$EB$43:$IY$43)</f>
        <v>0</v>
      </c>
      <c r="LS105" s="56"/>
      <c r="LT105" s="242">
        <f t="shared" si="620"/>
        <v>0</v>
      </c>
      <c r="LU105" s="242">
        <f t="shared" si="621"/>
        <v>0</v>
      </c>
      <c r="LV105" s="56"/>
      <c r="LY105" s="55">
        <f t="shared" si="622"/>
        <v>46111</v>
      </c>
      <c r="LZ105" s="56"/>
      <c r="MA105" s="242">
        <f>SUMPRODUCT(PRODUCE!$B116:$DY116,PRODUCE!$EB$44:$IY$44)</f>
        <v>0</v>
      </c>
      <c r="MB105" s="56"/>
      <c r="MC105" s="242">
        <f t="shared" si="623"/>
        <v>0</v>
      </c>
      <c r="MD105" s="242">
        <f t="shared" si="624"/>
        <v>0</v>
      </c>
      <c r="ME105" s="56"/>
      <c r="MH105" s="55">
        <f t="shared" si="625"/>
        <v>46111</v>
      </c>
      <c r="MI105" s="56"/>
      <c r="MJ105" s="242">
        <f>SUMPRODUCT(PRODUCE!$B116:$DY116,PRODUCE!$EB$45:$IY$45)</f>
        <v>0</v>
      </c>
      <c r="MK105" s="56"/>
      <c r="ML105" s="242">
        <f t="shared" si="626"/>
        <v>0</v>
      </c>
      <c r="MM105" s="242">
        <f t="shared" si="627"/>
        <v>0</v>
      </c>
      <c r="MN105" s="56"/>
      <c r="MQ105" s="55">
        <f t="shared" si="628"/>
        <v>46111</v>
      </c>
      <c r="MR105" s="56"/>
      <c r="MS105" s="242">
        <f>SUMPRODUCT(PRODUCE!$B116:$DY116,PRODUCE!$EB$46:$IY$46)</f>
        <v>42</v>
      </c>
      <c r="MT105" s="56"/>
      <c r="MU105" s="242">
        <f t="shared" si="629"/>
        <v>42</v>
      </c>
      <c r="MV105" s="242">
        <f t="shared" si="630"/>
        <v>4195</v>
      </c>
      <c r="MW105" s="56"/>
      <c r="MZ105" s="55">
        <f t="shared" si="631"/>
        <v>46111</v>
      </c>
      <c r="NA105" s="56"/>
      <c r="NB105" s="242">
        <f>SUMPRODUCT(PRODUCE!$B116:$DY116,PRODUCE!$EB$47:$IY$47)</f>
        <v>0</v>
      </c>
      <c r="NC105" s="56"/>
      <c r="ND105" s="242">
        <f t="shared" si="632"/>
        <v>0</v>
      </c>
      <c r="NE105" s="242">
        <f t="shared" si="633"/>
        <v>0</v>
      </c>
      <c r="NF105" s="56"/>
      <c r="NI105" s="55">
        <f t="shared" si="634"/>
        <v>46111</v>
      </c>
      <c r="NJ105" s="56"/>
      <c r="NK105" s="242">
        <f>SUMPRODUCT(PRODUCE!$B116:$DY116,PRODUCE!$EB$48:$IY$48)</f>
        <v>0</v>
      </c>
      <c r="NL105" s="56"/>
      <c r="NM105" s="242">
        <f t="shared" si="635"/>
        <v>0</v>
      </c>
      <c r="NN105" s="242">
        <f t="shared" si="636"/>
        <v>2065</v>
      </c>
      <c r="NO105" s="56"/>
      <c r="NR105" s="55">
        <f t="shared" si="637"/>
        <v>46111</v>
      </c>
      <c r="NS105" s="56"/>
      <c r="NT105" s="242">
        <f>SUMPRODUCT(PRODUCE!$B116:$DY116,PRODUCE!$EB$49:$IY$49)</f>
        <v>0</v>
      </c>
      <c r="NU105" s="56"/>
      <c r="NV105" s="242">
        <f t="shared" si="638"/>
        <v>0</v>
      </c>
      <c r="NW105" s="242">
        <f t="shared" si="639"/>
        <v>4152.5</v>
      </c>
      <c r="NX105" s="56"/>
      <c r="OA105" s="55">
        <f t="shared" si="640"/>
        <v>46111</v>
      </c>
      <c r="OB105" s="56"/>
      <c r="OC105" s="242">
        <f>SUMPRODUCT(PRODUCE!$B116:$DY116,PRODUCE!$EB$50:$IY$50)</f>
        <v>0</v>
      </c>
      <c r="OD105" s="56"/>
      <c r="OE105" s="242">
        <f t="shared" si="641"/>
        <v>0</v>
      </c>
      <c r="OF105" s="242">
        <f t="shared" si="642"/>
        <v>1680.5</v>
      </c>
      <c r="OG105" s="56"/>
      <c r="OJ105" s="55">
        <f t="shared" si="643"/>
        <v>46111</v>
      </c>
      <c r="OK105" s="56"/>
      <c r="OL105" s="242">
        <f>SUMPRODUCT(PRODUCE!$B116:$DY116,PRODUCE!$EB$51:$IY$51)</f>
        <v>0</v>
      </c>
      <c r="OM105" s="56"/>
      <c r="ON105" s="242">
        <f t="shared" si="644"/>
        <v>0</v>
      </c>
      <c r="OO105" s="242">
        <f t="shared" si="645"/>
        <v>0</v>
      </c>
      <c r="OP105" s="56"/>
      <c r="OS105" s="55">
        <f t="shared" si="646"/>
        <v>46111</v>
      </c>
      <c r="OT105" s="56"/>
      <c r="OU105" s="242">
        <f>SUMPRODUCT(PRODUCE!$B116:$DY116,PRODUCE!$EB$52:$IY$52)</f>
        <v>0</v>
      </c>
      <c r="OV105" s="56"/>
      <c r="OW105" s="242">
        <f t="shared" si="647"/>
        <v>0</v>
      </c>
      <c r="OX105" s="242">
        <f t="shared" si="648"/>
        <v>1000</v>
      </c>
      <c r="OY105" s="56"/>
      <c r="PB105" s="55">
        <f t="shared" si="649"/>
        <v>46111</v>
      </c>
      <c r="PC105" s="56"/>
      <c r="PD105" s="242">
        <f>SUMPRODUCT(PRODUCE!$B116:$DY116,PRODUCE!$EB$53:$IY$53)</f>
        <v>0</v>
      </c>
      <c r="PE105" s="56"/>
      <c r="PF105" s="242">
        <f t="shared" si="650"/>
        <v>0</v>
      </c>
      <c r="PG105" s="242">
        <f t="shared" si="651"/>
        <v>0</v>
      </c>
      <c r="PH105" s="56"/>
      <c r="PK105" s="55">
        <f t="shared" si="652"/>
        <v>46111</v>
      </c>
      <c r="PL105" s="56"/>
      <c r="PM105" s="242">
        <f>SUMPRODUCT(PRODUCE!$B116:$DY116,PRODUCE!$EB$54:$IY$54)</f>
        <v>0</v>
      </c>
      <c r="PN105" s="56"/>
      <c r="PO105" s="242">
        <f t="shared" si="653"/>
        <v>0</v>
      </c>
      <c r="PP105" s="242">
        <f t="shared" si="654"/>
        <v>100</v>
      </c>
      <c r="PQ105" s="56"/>
      <c r="PT105" s="55">
        <f t="shared" si="655"/>
        <v>46111</v>
      </c>
      <c r="PU105" s="56"/>
      <c r="PV105" s="242">
        <f>SUMPRODUCT(PRODUCE!$B116:$DY116,PRODUCE!$EB$55:$IY$55)</f>
        <v>0</v>
      </c>
      <c r="PW105" s="56"/>
      <c r="PX105" s="242">
        <f t="shared" si="656"/>
        <v>0</v>
      </c>
      <c r="PY105" s="242">
        <f t="shared" si="657"/>
        <v>13.960000000000036</v>
      </c>
      <c r="PZ105" s="56"/>
      <c r="QC105" s="55">
        <f t="shared" si="658"/>
        <v>46111</v>
      </c>
      <c r="QD105" s="56"/>
      <c r="QE105" s="242">
        <f>SUMPRODUCT(PRODUCE!$B116:$DY116,PRODUCE!$EB$56:$IY$56)</f>
        <v>0</v>
      </c>
      <c r="QF105" s="56"/>
      <c r="QG105" s="242">
        <f t="shared" si="659"/>
        <v>0</v>
      </c>
      <c r="QH105" s="242">
        <f t="shared" si="660"/>
        <v>1212</v>
      </c>
      <c r="QI105" s="56"/>
      <c r="QL105" s="55">
        <f t="shared" si="661"/>
        <v>46111</v>
      </c>
      <c r="QM105" s="56"/>
      <c r="QN105" s="242">
        <f>SUMPRODUCT(PRODUCE!$B116:$DY116,PRODUCE!$EB$57:$IY$57)</f>
        <v>0</v>
      </c>
      <c r="QO105" s="56"/>
      <c r="QP105" s="242">
        <f t="shared" si="662"/>
        <v>0</v>
      </c>
      <c r="QQ105" s="242">
        <f t="shared" si="663"/>
        <v>400</v>
      </c>
      <c r="QR105" s="56"/>
      <c r="QU105" s="55">
        <f t="shared" si="664"/>
        <v>46111</v>
      </c>
      <c r="QV105" s="56"/>
      <c r="QW105" s="242">
        <f>SUMPRODUCT(PRODUCE!$B116:$DY116,PRODUCE!$EB$57:$IY$57)</f>
        <v>0</v>
      </c>
      <c r="QX105" s="56"/>
      <c r="QY105" s="242">
        <f t="shared" si="665"/>
        <v>0</v>
      </c>
      <c r="QZ105" s="242">
        <f t="shared" si="666"/>
        <v>207.6</v>
      </c>
      <c r="RA105" s="56"/>
      <c r="RD105" s="55">
        <f t="shared" si="667"/>
        <v>46111</v>
      </c>
      <c r="RE105" s="56"/>
      <c r="RF105" s="242">
        <f>SUMPRODUCT(PRODUCE!$B116:$DY116,PRODUCE!$EB$58:$IY$58)</f>
        <v>0</v>
      </c>
      <c r="RG105" s="56"/>
      <c r="RH105" s="242">
        <f t="shared" si="668"/>
        <v>0</v>
      </c>
      <c r="RI105" s="242">
        <f t="shared" si="669"/>
        <v>197.04000000000002</v>
      </c>
      <c r="RJ105" s="56"/>
      <c r="RM105" s="55">
        <f t="shared" si="670"/>
        <v>46111</v>
      </c>
      <c r="RN105" s="56"/>
      <c r="RO105" s="242">
        <f>SUMPRODUCT(PRODUCE!$B116:$DY116,PRODUCE!$EB$57:$IY$57)</f>
        <v>0</v>
      </c>
      <c r="RP105" s="56"/>
      <c r="RQ105" s="242">
        <f t="shared" si="671"/>
        <v>0</v>
      </c>
      <c r="RR105" s="242">
        <f t="shared" si="672"/>
        <v>46.8</v>
      </c>
      <c r="RS105" s="56"/>
      <c r="RV105" s="55">
        <f t="shared" si="673"/>
        <v>46111</v>
      </c>
      <c r="RW105" s="56"/>
      <c r="RX105" s="242">
        <f>SUMPRODUCT(PRODUCE!$B116:$DY116,PRODUCE!$EB$57:$IY$57)</f>
        <v>0</v>
      </c>
      <c r="RY105" s="56"/>
      <c r="RZ105" s="242">
        <f t="shared" si="674"/>
        <v>0</v>
      </c>
      <c r="SA105" s="242">
        <f t="shared" si="675"/>
        <v>0</v>
      </c>
      <c r="SB105" s="56"/>
      <c r="SE105" s="55">
        <f t="shared" si="676"/>
        <v>46111</v>
      </c>
      <c r="SF105" s="56"/>
      <c r="SG105" s="242">
        <f>SUMPRODUCT(PRODUCE!$B116:$DY116,PRODUCE!$EB$57:$IY$57)</f>
        <v>0</v>
      </c>
      <c r="SH105" s="56"/>
      <c r="SI105" s="242">
        <f t="shared" si="677"/>
        <v>0</v>
      </c>
      <c r="SJ105" s="242">
        <f t="shared" si="678"/>
        <v>0</v>
      </c>
      <c r="SK105" s="56"/>
      <c r="SN105" s="55">
        <f t="shared" si="679"/>
        <v>46111</v>
      </c>
      <c r="SO105" s="56"/>
      <c r="SP105" s="242">
        <f>SUMPRODUCT(PRODUCE!$B116:$DY116,PRODUCE!$EB$57:$IY$57)</f>
        <v>0</v>
      </c>
      <c r="SQ105" s="56"/>
      <c r="SR105" s="242">
        <f t="shared" si="680"/>
        <v>0</v>
      </c>
      <c r="SS105" s="242">
        <f t="shared" si="681"/>
        <v>0</v>
      </c>
      <c r="ST105" s="56"/>
      <c r="SW105" s="55">
        <f t="shared" si="682"/>
        <v>46111</v>
      </c>
      <c r="SX105" s="56"/>
      <c r="SY105" s="242">
        <f>SUMPRODUCT(PRODUCE!$B116:$DY116,PRODUCE!$EB$57:$IY$57)</f>
        <v>0</v>
      </c>
      <c r="SZ105" s="56"/>
      <c r="TA105" s="242">
        <f t="shared" si="683"/>
        <v>0</v>
      </c>
      <c r="TB105" s="242">
        <f t="shared" si="684"/>
        <v>0</v>
      </c>
      <c r="TC105" s="56"/>
      <c r="TF105" s="55">
        <f t="shared" si="685"/>
        <v>46111</v>
      </c>
      <c r="TG105" s="56"/>
      <c r="TH105" s="242">
        <f>SUMPRODUCT(PRODUCE!$B116:$DY116,PRODUCE!$EB$57:$IY$57)</f>
        <v>0</v>
      </c>
      <c r="TI105" s="56"/>
      <c r="TJ105" s="242">
        <f t="shared" si="686"/>
        <v>0</v>
      </c>
      <c r="TK105" s="242">
        <f t="shared" si="687"/>
        <v>0</v>
      </c>
      <c r="TL105" s="56"/>
      <c r="TO105" s="55">
        <f t="shared" si="688"/>
        <v>46111</v>
      </c>
      <c r="TP105" s="56"/>
      <c r="TQ105" s="242">
        <f>SUMPRODUCT(PRODUCE!$B116:$DY116,PRODUCE!$EB$57:$IY$57)</f>
        <v>0</v>
      </c>
      <c r="TR105" s="56"/>
      <c r="TS105" s="242">
        <f t="shared" si="689"/>
        <v>0</v>
      </c>
      <c r="TT105" s="242">
        <f t="shared" si="690"/>
        <v>0</v>
      </c>
      <c r="TU105" s="56"/>
      <c r="TX105" s="55">
        <f t="shared" si="691"/>
        <v>46111</v>
      </c>
      <c r="TY105" s="56"/>
      <c r="TZ105" s="242">
        <f>SUMPRODUCT(PRODUCE!$B116:$DY116,PRODUCE!$EB$57:$IY$57)</f>
        <v>0</v>
      </c>
      <c r="UA105" s="56"/>
      <c r="UB105" s="242">
        <f t="shared" si="692"/>
        <v>0</v>
      </c>
      <c r="UC105" s="242">
        <f t="shared" si="693"/>
        <v>0</v>
      </c>
      <c r="UD105" s="56"/>
      <c r="UG105" s="55">
        <f t="shared" si="694"/>
        <v>46111</v>
      </c>
      <c r="UH105" s="56"/>
      <c r="UI105" s="242">
        <f>SUMPRODUCT(PRODUCE!$B116:$DY116,PRODUCE!$EB$57:$IY$57)</f>
        <v>0</v>
      </c>
      <c r="UJ105" s="56"/>
      <c r="UK105" s="242">
        <f t="shared" si="695"/>
        <v>0</v>
      </c>
      <c r="UL105" s="242">
        <f t="shared" si="696"/>
        <v>0</v>
      </c>
      <c r="UM105" s="56"/>
      <c r="UP105" s="55">
        <f t="shared" si="697"/>
        <v>46111</v>
      </c>
      <c r="UQ105" s="56"/>
      <c r="UR105" s="242">
        <f>SUMPRODUCT(PRODUCE!$B116:$DY116,PRODUCE!$EB$57:$IY$57)</f>
        <v>0</v>
      </c>
      <c r="US105" s="56"/>
      <c r="UT105" s="242">
        <f t="shared" si="698"/>
        <v>0</v>
      </c>
      <c r="UU105" s="242">
        <f t="shared" si="699"/>
        <v>0</v>
      </c>
      <c r="UV105" s="56"/>
      <c r="UY105" s="55">
        <f t="shared" si="700"/>
        <v>46111</v>
      </c>
      <c r="UZ105" s="56"/>
      <c r="VA105" s="242">
        <f>SUMPRODUCT(PRODUCE!$B116:$DY116,PRODUCE!$EB$57:$IY$57)</f>
        <v>0</v>
      </c>
      <c r="VB105" s="56"/>
      <c r="VC105" s="242">
        <f t="shared" si="701"/>
        <v>0</v>
      </c>
      <c r="VD105" s="242">
        <f t="shared" si="702"/>
        <v>41.600000000000023</v>
      </c>
      <c r="VE105" s="56"/>
      <c r="VH105" s="55">
        <f t="shared" si="703"/>
        <v>46111</v>
      </c>
      <c r="VI105" s="56"/>
      <c r="VJ105" s="242">
        <f>SUMPRODUCT(PRODUCE!$B116:$DY116,PRODUCE!$EB$57:$IY$57)</f>
        <v>0</v>
      </c>
      <c r="VK105" s="56"/>
      <c r="VL105" s="242">
        <f t="shared" si="704"/>
        <v>0</v>
      </c>
      <c r="VM105" s="242">
        <f t="shared" si="705"/>
        <v>0</v>
      </c>
      <c r="VN105" s="56"/>
      <c r="VQ105" s="55">
        <f t="shared" si="706"/>
        <v>46111</v>
      </c>
      <c r="VR105" s="56"/>
      <c r="VS105" s="242">
        <f>SUMPRODUCT(PRODUCE!$B116:$DY116,PRODUCE!$EB$57:$IY$57)</f>
        <v>0</v>
      </c>
      <c r="VT105" s="56"/>
      <c r="VU105" s="242">
        <f t="shared" si="707"/>
        <v>0</v>
      </c>
      <c r="VV105" s="242">
        <f t="shared" si="708"/>
        <v>0</v>
      </c>
      <c r="VW105" s="56"/>
      <c r="VZ105" s="55">
        <f t="shared" si="709"/>
        <v>46111</v>
      </c>
      <c r="WA105" s="56"/>
      <c r="WB105" s="242">
        <f>SUMPRODUCT(PRODUCE!$B116:$DY116,PRODUCE!$EB$57:$IY$57)</f>
        <v>0</v>
      </c>
      <c r="WC105" s="56"/>
      <c r="WD105" s="242">
        <f t="shared" si="710"/>
        <v>0</v>
      </c>
      <c r="WE105" s="242">
        <f t="shared" si="711"/>
        <v>0</v>
      </c>
      <c r="WF105" s="56"/>
      <c r="WI105" s="55">
        <f t="shared" si="712"/>
        <v>46111</v>
      </c>
      <c r="WJ105" s="56"/>
      <c r="WK105" s="242">
        <f>SUMPRODUCT(PRODUCE!$B116:$DY116,PRODUCE!$EB$57:$IY$57)</f>
        <v>0</v>
      </c>
      <c r="WL105" s="56">
        <v>968</v>
      </c>
      <c r="WM105" s="242">
        <f t="shared" si="713"/>
        <v>-968</v>
      </c>
      <c r="WN105" s="242">
        <f t="shared" si="714"/>
        <v>3889</v>
      </c>
      <c r="WO105" s="56"/>
      <c r="WR105" s="55">
        <f t="shared" si="715"/>
        <v>46111</v>
      </c>
      <c r="WS105" s="56">
        <v>211</v>
      </c>
      <c r="WT105" s="242">
        <f>SUMPRODUCT(PRODUCE!$B116:$DY116,PRODUCE!$EB$57:$IY$57)</f>
        <v>0</v>
      </c>
      <c r="WU105" s="56"/>
      <c r="WV105" s="242">
        <f t="shared" si="716"/>
        <v>0</v>
      </c>
      <c r="WW105" s="242">
        <f t="shared" si="717"/>
        <v>1061</v>
      </c>
      <c r="WX105" s="56"/>
      <c r="XA105" s="55">
        <f t="shared" si="718"/>
        <v>46111</v>
      </c>
      <c r="XB105" s="56"/>
      <c r="XC105" s="242">
        <f>SUMPRODUCT(PRODUCE!$B116:$DY116,PRODUCE!$EB$57:$IY$57)</f>
        <v>0</v>
      </c>
      <c r="XD105" s="56">
        <v>793</v>
      </c>
      <c r="XE105" s="242">
        <f t="shared" si="719"/>
        <v>-793</v>
      </c>
      <c r="XF105" s="242">
        <f t="shared" si="720"/>
        <v>6349</v>
      </c>
      <c r="XG105" s="56"/>
      <c r="XJ105" s="55">
        <f t="shared" si="721"/>
        <v>46111</v>
      </c>
      <c r="XK105" s="56"/>
      <c r="XL105" s="242">
        <f>SUMPRODUCT(PRODUCE!$B116:$DY116,PRODUCE!$EB$57:$IY$57)</f>
        <v>0</v>
      </c>
      <c r="XM105" s="56"/>
      <c r="XN105" s="242">
        <f t="shared" si="722"/>
        <v>0</v>
      </c>
      <c r="XO105" s="242">
        <f t="shared" si="723"/>
        <v>5989</v>
      </c>
      <c r="XP105" s="56"/>
      <c r="XS105" s="55">
        <f t="shared" si="724"/>
        <v>46111</v>
      </c>
      <c r="XT105" s="56"/>
      <c r="XU105" s="242">
        <f>SUMPRODUCT(PRODUCE!$B116:$DY116,PRODUCE!$EB$57:$IY$57)</f>
        <v>0</v>
      </c>
      <c r="XV105" s="56"/>
      <c r="XW105" s="242">
        <f t="shared" si="725"/>
        <v>0</v>
      </c>
      <c r="XX105" s="242">
        <f t="shared" si="726"/>
        <v>1901</v>
      </c>
      <c r="XY105" s="56"/>
      <c r="YB105" s="55">
        <f t="shared" si="727"/>
        <v>46111</v>
      </c>
      <c r="YC105" s="56"/>
      <c r="YD105" s="242">
        <f>SUMPRODUCT(PRODUCE!$B116:$DY116,PRODUCE!$EB$57:$IY$57)</f>
        <v>0</v>
      </c>
      <c r="YE105" s="56"/>
      <c r="YF105" s="242">
        <f t="shared" si="728"/>
        <v>0</v>
      </c>
      <c r="YG105" s="242">
        <f t="shared" si="729"/>
        <v>6459</v>
      </c>
      <c r="YH105" s="56"/>
      <c r="YK105" s="55">
        <f t="shared" si="730"/>
        <v>46111</v>
      </c>
      <c r="YL105" s="56"/>
      <c r="YM105" s="242">
        <f>SUMPRODUCT(PRODUCE!$B116:$DY116,PRODUCE!$EB$57:$IY$57)</f>
        <v>0</v>
      </c>
      <c r="YN105" s="56"/>
      <c r="YO105" s="242">
        <f t="shared" si="731"/>
        <v>0</v>
      </c>
      <c r="YP105" s="242">
        <f t="shared" si="732"/>
        <v>0</v>
      </c>
      <c r="YQ105" s="56"/>
      <c r="YT105" s="55">
        <f t="shared" si="733"/>
        <v>46111</v>
      </c>
      <c r="YU105" s="56"/>
      <c r="YV105" s="242">
        <f>SUMPRODUCT(PRODUCE!$B116:$DY116,PRODUCE!$EB$57:$IY$57)</f>
        <v>0</v>
      </c>
      <c r="YW105" s="56"/>
      <c r="YX105" s="242">
        <f t="shared" si="734"/>
        <v>0</v>
      </c>
      <c r="YY105" s="242">
        <f t="shared" si="735"/>
        <v>0</v>
      </c>
      <c r="YZ105" s="56"/>
      <c r="ZC105" s="55">
        <f t="shared" si="736"/>
        <v>46111</v>
      </c>
      <c r="ZD105" s="56"/>
      <c r="ZE105" s="242">
        <f>SUMPRODUCT(PRODUCE!$B116:$DY116,PRODUCE!$EB$57:$IY$57)</f>
        <v>0</v>
      </c>
      <c r="ZF105" s="56"/>
      <c r="ZG105" s="242">
        <f t="shared" si="737"/>
        <v>0</v>
      </c>
      <c r="ZH105" s="242">
        <f t="shared" si="738"/>
        <v>0</v>
      </c>
      <c r="ZI105" s="56"/>
      <c r="ZL105" s="55">
        <f t="shared" si="739"/>
        <v>46111</v>
      </c>
      <c r="ZM105" s="56"/>
      <c r="ZN105" s="242">
        <f>SUMPRODUCT(PRODUCE!$B116:$DY116,PRODUCE!$EB$57:$IY$57)</f>
        <v>0</v>
      </c>
      <c r="ZO105" s="56"/>
      <c r="ZP105" s="242">
        <f t="shared" si="740"/>
        <v>0</v>
      </c>
      <c r="ZQ105" s="242">
        <f t="shared" si="741"/>
        <v>0</v>
      </c>
      <c r="ZR105" s="56"/>
      <c r="ZU105" s="55">
        <f t="shared" si="742"/>
        <v>46111</v>
      </c>
      <c r="ZV105" s="56"/>
      <c r="ZW105" s="242">
        <f>SUMPRODUCT(PRODUCE!$B116:$DY116,PRODUCE!$EB$57:$IY$57)</f>
        <v>0</v>
      </c>
      <c r="ZX105" s="56"/>
      <c r="ZY105" s="242">
        <f t="shared" si="743"/>
        <v>0</v>
      </c>
      <c r="ZZ105" s="242">
        <f t="shared" si="744"/>
        <v>0</v>
      </c>
      <c r="AAA105" s="56"/>
      <c r="AAD105" s="55">
        <f t="shared" si="745"/>
        <v>46111</v>
      </c>
      <c r="AAE105" s="56"/>
      <c r="AAF105" s="242">
        <f>SUMPRODUCT(PRODUCE!$B116:$DY116,PRODUCE!$EB$57:$IY$57)</f>
        <v>0</v>
      </c>
      <c r="AAG105" s="56"/>
      <c r="AAH105" s="242">
        <f t="shared" si="746"/>
        <v>0</v>
      </c>
      <c r="AAI105" s="242">
        <f t="shared" si="747"/>
        <v>0</v>
      </c>
      <c r="AAJ105" s="56"/>
      <c r="AAM105" s="55">
        <f t="shared" si="748"/>
        <v>46111</v>
      </c>
      <c r="AAN105" s="56"/>
      <c r="AAO105" s="242">
        <f>SUMPRODUCT(PRODUCE!$B116:$DY116,PRODUCE!$EB$57:$IY$57)</f>
        <v>0</v>
      </c>
      <c r="AAP105" s="56"/>
      <c r="AAQ105" s="242">
        <f t="shared" si="749"/>
        <v>0</v>
      </c>
      <c r="AAR105" s="242">
        <f t="shared" si="750"/>
        <v>0</v>
      </c>
      <c r="AAS105" s="56"/>
      <c r="AAV105" s="55">
        <f t="shared" si="751"/>
        <v>46111</v>
      </c>
      <c r="AAW105" s="56"/>
      <c r="AAX105" s="242">
        <f>SUMPRODUCT(PRODUCE!$B116:$DY116,PRODUCE!$EB$57:$IY$57)</f>
        <v>0</v>
      </c>
      <c r="AAY105" s="56"/>
      <c r="AAZ105" s="242">
        <f t="shared" si="752"/>
        <v>0</v>
      </c>
      <c r="ABA105" s="242">
        <f t="shared" si="753"/>
        <v>0</v>
      </c>
      <c r="ABB105" s="56"/>
      <c r="ABE105" s="55">
        <f t="shared" si="754"/>
        <v>46111</v>
      </c>
      <c r="ABF105" s="56"/>
      <c r="ABG105" s="242">
        <f>SUMPRODUCT(PRODUCE!$B116:$DY116,PRODUCE!$EB$57:$IY$57)</f>
        <v>0</v>
      </c>
      <c r="ABH105" s="56"/>
      <c r="ABI105" s="242">
        <f t="shared" si="755"/>
        <v>0</v>
      </c>
      <c r="ABJ105" s="242">
        <f t="shared" si="756"/>
        <v>0</v>
      </c>
      <c r="ABK105" s="56"/>
    </row>
    <row r="106" spans="1:739" s="54" customFormat="1" ht="15" customHeight="1" outlineLevel="1" thickBot="1">
      <c r="B106" s="478">
        <v>50</v>
      </c>
      <c r="C106" s="55">
        <v>46112</v>
      </c>
      <c r="D106" s="425">
        <v>27840</v>
      </c>
      <c r="E106" s="423">
        <f>SUMPRODUCT(PRODUCE!$B117:$DY117,PRODUCE!$EB$7:$IY$7)</f>
        <v>29275</v>
      </c>
      <c r="F106" s="425">
        <v>29272.6</v>
      </c>
      <c r="G106" s="423">
        <f t="shared" si="514"/>
        <v>2.4000000000014552</v>
      </c>
      <c r="H106" s="423">
        <f t="shared" si="512"/>
        <v>27839.999999999964</v>
      </c>
      <c r="I106" s="289" t="s">
        <v>235</v>
      </c>
      <c r="L106" s="55">
        <f t="shared" si="513"/>
        <v>46112</v>
      </c>
      <c r="M106" s="425"/>
      <c r="N106" s="438">
        <f>SUMPRODUCT(PRODUCE!$B117:$DY117,PRODUCE!$EB$8:$IY$8)</f>
        <v>12700</v>
      </c>
      <c r="O106" s="425">
        <v>12700</v>
      </c>
      <c r="P106" s="438">
        <f t="shared" si="515"/>
        <v>0</v>
      </c>
      <c r="Q106" s="438">
        <f t="shared" si="516"/>
        <v>-669.99999999991633</v>
      </c>
      <c r="R106" s="56"/>
      <c r="U106" s="55">
        <f t="shared" si="517"/>
        <v>46112</v>
      </c>
      <c r="V106" s="425"/>
      <c r="W106" s="440">
        <f>SUMPRODUCT(PRODUCE!$B117:$DY117,PRODUCE!$EB$9:$IY$9)</f>
        <v>1250</v>
      </c>
      <c r="X106" s="425">
        <v>1251.3</v>
      </c>
      <c r="Y106" s="440">
        <f t="shared" si="518"/>
        <v>-1.2999999999999545</v>
      </c>
      <c r="Z106" s="440">
        <f t="shared" si="519"/>
        <v>20018.399999999969</v>
      </c>
      <c r="AA106" s="56"/>
      <c r="AD106" s="55">
        <f t="shared" si="520"/>
        <v>46112</v>
      </c>
      <c r="AE106" s="425"/>
      <c r="AF106" s="442">
        <f>SUMPRODUCT(PRODUCE!$B117:$DY117,PRODUCE!$EB$10:$IY$10)</f>
        <v>2500</v>
      </c>
      <c r="AG106" s="425">
        <v>2500.6</v>
      </c>
      <c r="AH106" s="442">
        <f t="shared" si="521"/>
        <v>-0.59999999999990905</v>
      </c>
      <c r="AI106" s="442">
        <f t="shared" si="522"/>
        <v>26292.700000000019</v>
      </c>
      <c r="AJ106" s="56"/>
      <c r="AM106" s="55">
        <f t="shared" si="523"/>
        <v>46112</v>
      </c>
      <c r="AN106" s="425"/>
      <c r="AO106" s="444">
        <f>SUMPRODUCT(PRODUCE!$B117:$DY117,PRODUCE!$EB$11:$IY$11)</f>
        <v>0</v>
      </c>
      <c r="AP106" s="422"/>
      <c r="AQ106" s="444">
        <f t="shared" si="524"/>
        <v>0</v>
      </c>
      <c r="AR106" s="444">
        <f t="shared" si="525"/>
        <v>0</v>
      </c>
      <c r="AS106" s="56"/>
      <c r="AV106" s="55">
        <f t="shared" si="526"/>
        <v>46112</v>
      </c>
      <c r="AW106" s="425"/>
      <c r="AX106" s="446">
        <f>SUMPRODUCT(PRODUCE!$B117:$DY117,PRODUCE!$EB$12:$IY$12)</f>
        <v>500</v>
      </c>
      <c r="AY106" s="425">
        <v>501.6</v>
      </c>
      <c r="AZ106" s="446">
        <f t="shared" si="527"/>
        <v>-1.6000000000000227</v>
      </c>
      <c r="BA106" s="446">
        <f t="shared" si="528"/>
        <v>17386.69999999999</v>
      </c>
      <c r="BB106" s="56"/>
      <c r="BE106" s="55">
        <f t="shared" si="529"/>
        <v>46112</v>
      </c>
      <c r="BF106" s="425"/>
      <c r="BG106" s="448">
        <f>SUMPRODUCT(PRODUCE!$B117:$DY117,PRODUCE!$EB$13:$IY$13)</f>
        <v>1250</v>
      </c>
      <c r="BH106" s="425">
        <v>1251.9000000000001</v>
      </c>
      <c r="BI106" s="448">
        <f t="shared" si="530"/>
        <v>-1.9000000000000909</v>
      </c>
      <c r="BJ106" s="448">
        <f t="shared" si="531"/>
        <v>1.8189894035458565E-12</v>
      </c>
      <c r="BK106" s="56"/>
      <c r="BN106" s="55">
        <f t="shared" si="532"/>
        <v>46112</v>
      </c>
      <c r="BO106" s="425">
        <v>1250</v>
      </c>
      <c r="BP106" s="450">
        <f>SUMPRODUCT(PRODUCE!$B117:$DY117,PRODUCE!$EB$14:$IY$14)</f>
        <v>1250</v>
      </c>
      <c r="BQ106" s="425">
        <v>1250</v>
      </c>
      <c r="BR106" s="450">
        <f t="shared" si="533"/>
        <v>0</v>
      </c>
      <c r="BS106" s="450">
        <f t="shared" si="534"/>
        <v>0</v>
      </c>
      <c r="BT106" s="56"/>
      <c r="BW106" s="55">
        <f t="shared" si="535"/>
        <v>46112</v>
      </c>
      <c r="BX106" s="67"/>
      <c r="BY106" s="65">
        <f>SUMPRODUCT(PRODUCE!$B117:$DY117,PRODUCE!$EB$15:$IY$15)</f>
        <v>0</v>
      </c>
      <c r="BZ106" s="67"/>
      <c r="CA106" s="65">
        <f t="shared" si="536"/>
        <v>0</v>
      </c>
      <c r="CB106" s="65">
        <f t="shared" si="537"/>
        <v>11812.9</v>
      </c>
      <c r="CC106" s="56"/>
      <c r="CF106" s="55">
        <f t="shared" si="538"/>
        <v>46112</v>
      </c>
      <c r="CG106" s="67"/>
      <c r="CH106" s="66">
        <f>SUMPRODUCT(PRODUCE!$B117:$DY117,PRODUCE!$EB$16:$IY$16)</f>
        <v>250</v>
      </c>
      <c r="CI106" s="67"/>
      <c r="CJ106" s="66">
        <f t="shared" si="539"/>
        <v>250</v>
      </c>
      <c r="CK106" s="66">
        <f t="shared" si="540"/>
        <v>0</v>
      </c>
      <c r="CL106" s="56"/>
      <c r="CO106" s="55">
        <f t="shared" si="541"/>
        <v>46112</v>
      </c>
      <c r="CP106" s="425"/>
      <c r="CQ106" s="470">
        <f>SUMPRODUCT(PRODUCE!$B117:$DY117,PRODUCE!$EB$17:$IY$17)</f>
        <v>0</v>
      </c>
      <c r="CR106" s="425"/>
      <c r="CS106" s="470">
        <f t="shared" si="542"/>
        <v>0</v>
      </c>
      <c r="CT106" s="470">
        <f t="shared" si="543"/>
        <v>0</v>
      </c>
      <c r="CU106" s="56"/>
      <c r="CX106" s="55">
        <f t="shared" si="544"/>
        <v>46112</v>
      </c>
      <c r="CY106" s="67"/>
      <c r="CZ106" s="133">
        <f>SUMPRODUCT(PRODUCE!$B117:$DY117,PRODUCE!$EB$18:$IY$18)</f>
        <v>0</v>
      </c>
      <c r="DA106" s="56"/>
      <c r="DB106" s="133">
        <f t="shared" si="545"/>
        <v>0</v>
      </c>
      <c r="DC106" s="133">
        <f t="shared" si="546"/>
        <v>31869.7</v>
      </c>
      <c r="DD106" s="56"/>
      <c r="DG106" s="55">
        <f t="shared" si="547"/>
        <v>46112</v>
      </c>
      <c r="DH106" s="67"/>
      <c r="DI106" s="147">
        <f>SUMPRODUCT(PRODUCE!$B117:$DY117,PRODUCE!$EB$19:$IY$19)</f>
        <v>0</v>
      </c>
      <c r="DJ106" s="56"/>
      <c r="DK106" s="147">
        <f t="shared" si="757"/>
        <v>0</v>
      </c>
      <c r="DL106" s="147">
        <f t="shared" si="758"/>
        <v>6658.9999999999945</v>
      </c>
      <c r="DM106" s="56"/>
      <c r="DP106" s="55">
        <f t="shared" si="550"/>
        <v>46112</v>
      </c>
      <c r="DQ106" s="67"/>
      <c r="DR106" s="57">
        <f>SUMPRODUCT(PRODUCE!$B117:$DY117,PRODUCE!$EB$20:$IY$20)</f>
        <v>0</v>
      </c>
      <c r="DS106" s="56"/>
      <c r="DT106" s="57">
        <f t="shared" si="551"/>
        <v>0</v>
      </c>
      <c r="DU106" s="57">
        <f t="shared" si="552"/>
        <v>7150</v>
      </c>
      <c r="DV106" s="56"/>
      <c r="DY106" s="55">
        <f t="shared" si="553"/>
        <v>46112</v>
      </c>
      <c r="DZ106" s="67"/>
      <c r="EA106" s="157">
        <f>SUMPRODUCT(PRODUCE!$B117:$DY117,PRODUCE!$EB$21:$IY$21)</f>
        <v>0</v>
      </c>
      <c r="EB106" s="56"/>
      <c r="EC106" s="157">
        <f t="shared" si="554"/>
        <v>0</v>
      </c>
      <c r="ED106" s="157">
        <f t="shared" si="555"/>
        <v>1847.3000000000002</v>
      </c>
      <c r="EE106" s="56"/>
      <c r="EH106" s="55">
        <f t="shared" si="556"/>
        <v>46112</v>
      </c>
      <c r="EI106" s="67"/>
      <c r="EJ106" s="162">
        <f>SUMPRODUCT(PRODUCE!$B117:$DY117,PRODUCE!$EB$22:$IY$22)</f>
        <v>0</v>
      </c>
      <c r="EK106" s="67"/>
      <c r="EL106" s="162">
        <f t="shared" si="557"/>
        <v>0</v>
      </c>
      <c r="EM106" s="162">
        <f t="shared" si="558"/>
        <v>0</v>
      </c>
      <c r="EN106" s="56"/>
      <c r="EQ106" s="55">
        <f t="shared" si="559"/>
        <v>46112</v>
      </c>
      <c r="ER106" s="67"/>
      <c r="ES106" s="135">
        <f>SUMPRODUCT(PRODUCE!$B117:$DY117,PRODUCE!$EB$23:$IY$23)</f>
        <v>0</v>
      </c>
      <c r="ET106" s="56"/>
      <c r="EU106" s="135">
        <f t="shared" si="560"/>
        <v>0</v>
      </c>
      <c r="EV106" s="135">
        <f t="shared" si="561"/>
        <v>0</v>
      </c>
      <c r="EW106" s="56"/>
      <c r="EZ106" s="55">
        <f t="shared" si="562"/>
        <v>46112</v>
      </c>
      <c r="FA106" s="67"/>
      <c r="FB106" s="175">
        <f>SUMPRODUCT(PRODUCE!$B117:$DY117,PRODUCE!$EB$24:$IY$24)</f>
        <v>0</v>
      </c>
      <c r="FC106" s="56"/>
      <c r="FD106" s="175">
        <f t="shared" si="563"/>
        <v>0</v>
      </c>
      <c r="FE106" s="175">
        <f t="shared" si="564"/>
        <v>0</v>
      </c>
      <c r="FF106" s="56"/>
      <c r="FI106" s="55">
        <f t="shared" si="565"/>
        <v>46112</v>
      </c>
      <c r="FJ106" s="67"/>
      <c r="FK106" s="183">
        <f>SUMPRODUCT(PRODUCE!$B117:$DY117,PRODUCE!$EB$25:$IY$25)</f>
        <v>0</v>
      </c>
      <c r="FL106" s="56"/>
      <c r="FM106" s="183">
        <f t="shared" si="566"/>
        <v>0</v>
      </c>
      <c r="FN106" s="183">
        <f t="shared" si="567"/>
        <v>0</v>
      </c>
      <c r="FO106" s="56"/>
      <c r="FR106" s="55">
        <f t="shared" si="568"/>
        <v>46112</v>
      </c>
      <c r="FS106" s="425"/>
      <c r="FT106" s="452">
        <f>SUMPRODUCT(PRODUCE!$B117:$DY117,PRODUCE!$EB$26:$IY$26)</f>
        <v>0</v>
      </c>
      <c r="FU106" s="422"/>
      <c r="FV106" s="452">
        <f t="shared" si="569"/>
        <v>0</v>
      </c>
      <c r="FW106" s="452">
        <f t="shared" si="570"/>
        <v>1980</v>
      </c>
      <c r="FX106" s="56"/>
      <c r="GA106" s="55">
        <f t="shared" si="571"/>
        <v>46112</v>
      </c>
      <c r="GB106" s="425"/>
      <c r="GC106" s="454">
        <f>SUMPRODUCT(PRODUCE!$B117:$DY117,PRODUCE!$EB$27:$IY$27)</f>
        <v>1000</v>
      </c>
      <c r="GD106" s="422"/>
      <c r="GE106" s="454">
        <f t="shared" si="572"/>
        <v>1000</v>
      </c>
      <c r="GF106" s="454">
        <f t="shared" si="573"/>
        <v>2000</v>
      </c>
      <c r="GG106" s="56"/>
      <c r="GI106" s="23"/>
      <c r="GJ106" s="55">
        <f t="shared" si="574"/>
        <v>46112</v>
      </c>
      <c r="GK106" s="425"/>
      <c r="GL106" s="456">
        <f>SUMPRODUCT(PRODUCE!$B117:$DY117,PRODUCE!$EB$28:$IY$28)</f>
        <v>0</v>
      </c>
      <c r="GM106" s="422"/>
      <c r="GN106" s="456">
        <f t="shared" si="575"/>
        <v>0</v>
      </c>
      <c r="GO106" s="456">
        <f t="shared" si="576"/>
        <v>4800</v>
      </c>
      <c r="GP106" s="56"/>
      <c r="GS106" s="55">
        <f t="shared" si="577"/>
        <v>46112</v>
      </c>
      <c r="GT106" s="67"/>
      <c r="GU106" s="195">
        <f>SUMPRODUCT(PRODUCE!$B117:$DY117,PRODUCE!$EB$29:$IY$29)</f>
        <v>0</v>
      </c>
      <c r="GV106" s="56"/>
      <c r="GW106" s="195">
        <f t="shared" si="578"/>
        <v>0</v>
      </c>
      <c r="GX106" s="195">
        <f t="shared" si="579"/>
        <v>0</v>
      </c>
      <c r="GY106" s="56"/>
      <c r="HB106" s="55">
        <f t="shared" si="580"/>
        <v>46112</v>
      </c>
      <c r="HC106" s="67"/>
      <c r="HD106" s="191">
        <f>SUMPRODUCT(PRODUCE!$B117:$DY117,PRODUCE!$EB$30:$IY$30)</f>
        <v>0</v>
      </c>
      <c r="HE106" s="56"/>
      <c r="HF106" s="191">
        <f t="shared" si="581"/>
        <v>0</v>
      </c>
      <c r="HG106" s="191">
        <f t="shared" si="582"/>
        <v>0</v>
      </c>
      <c r="HH106" s="56"/>
      <c r="HK106" s="55">
        <f t="shared" si="583"/>
        <v>46112</v>
      </c>
      <c r="HL106" s="67"/>
      <c r="HM106" s="63">
        <f>SUMPRODUCT(PRODUCE!$B117:$DY117,PRODUCE!$EB$31:$IY$31)</f>
        <v>0</v>
      </c>
      <c r="HN106" s="56"/>
      <c r="HO106" s="63">
        <f t="shared" si="584"/>
        <v>0</v>
      </c>
      <c r="HP106" s="63">
        <f t="shared" si="585"/>
        <v>0</v>
      </c>
      <c r="HQ106" s="56"/>
      <c r="HU106" s="55">
        <f t="shared" si="586"/>
        <v>46112</v>
      </c>
      <c r="HV106" s="67"/>
      <c r="HW106" s="242">
        <f>SUMPRODUCT(PRODUCE!$B117:$DY117,PRODUCE!$EB$32:$IY$32)</f>
        <v>0</v>
      </c>
      <c r="HX106" s="56"/>
      <c r="HY106" s="242">
        <f t="shared" si="587"/>
        <v>0</v>
      </c>
      <c r="HZ106" s="242">
        <f t="shared" si="588"/>
        <v>5120</v>
      </c>
      <c r="IA106" s="56"/>
      <c r="ID106" s="55">
        <f t="shared" si="589"/>
        <v>46112</v>
      </c>
      <c r="IE106" s="67"/>
      <c r="IF106" s="242">
        <f>SUMPRODUCT(PRODUCE!$B117:$DY117,PRODUCE!$EB$33:$IY$33)</f>
        <v>0</v>
      </c>
      <c r="IG106" s="56"/>
      <c r="IH106" s="242">
        <f t="shared" si="590"/>
        <v>0</v>
      </c>
      <c r="II106" s="242">
        <f t="shared" si="591"/>
        <v>6540</v>
      </c>
      <c r="IJ106" s="56"/>
      <c r="IM106" s="55">
        <f t="shared" si="592"/>
        <v>46112</v>
      </c>
      <c r="IN106" s="67"/>
      <c r="IO106" s="242">
        <f>SUMPRODUCT(PRODUCE!$B117:$DY117,PRODUCE!$EB$34:$IY$34)</f>
        <v>0</v>
      </c>
      <c r="IP106" s="56"/>
      <c r="IQ106" s="242">
        <f t="shared" si="593"/>
        <v>0</v>
      </c>
      <c r="IR106" s="242">
        <f t="shared" si="594"/>
        <v>11540</v>
      </c>
      <c r="IS106" s="459"/>
      <c r="IT106" s="460"/>
      <c r="IV106" s="55">
        <f t="shared" si="595"/>
        <v>46112</v>
      </c>
      <c r="IW106" s="67"/>
      <c r="IX106" s="242">
        <f>SUMPRODUCT(PRODUCE!$B117:$DY117,PRODUCE!$EB$35:$IY$35)</f>
        <v>0</v>
      </c>
      <c r="IY106" s="67"/>
      <c r="IZ106" s="242">
        <f t="shared" si="596"/>
        <v>0</v>
      </c>
      <c r="JA106" s="242">
        <f t="shared" si="597"/>
        <v>15120</v>
      </c>
      <c r="JB106" s="56"/>
      <c r="JE106" s="55">
        <f t="shared" si="598"/>
        <v>46112</v>
      </c>
      <c r="JF106" s="67"/>
      <c r="JG106" s="242">
        <f>SUMPRODUCT(PRODUCE!$B117:$DY117,PRODUCE!$EB$36:$IY$36)</f>
        <v>0</v>
      </c>
      <c r="JH106" s="67"/>
      <c r="JI106" s="242">
        <f t="shared" si="599"/>
        <v>0</v>
      </c>
      <c r="JJ106" s="242">
        <f t="shared" si="600"/>
        <v>5040</v>
      </c>
      <c r="JK106" s="56"/>
      <c r="JN106" s="55">
        <f t="shared" si="601"/>
        <v>46112</v>
      </c>
      <c r="JO106" s="67"/>
      <c r="JP106" s="242">
        <f>SUMPRODUCT(PRODUCE!$B117:$DY117,PRODUCE!$EB$37:$IY$37)</f>
        <v>0</v>
      </c>
      <c r="JQ106" s="67"/>
      <c r="JR106" s="242">
        <f t="shared" si="602"/>
        <v>0</v>
      </c>
      <c r="JS106" s="242">
        <f t="shared" si="603"/>
        <v>9100</v>
      </c>
      <c r="JT106" s="56"/>
      <c r="JW106" s="55">
        <f t="shared" si="604"/>
        <v>46112</v>
      </c>
      <c r="JX106" s="67"/>
      <c r="JY106" s="242">
        <f>SUMPRODUCT(PRODUCE!$B117:$DY117,PRODUCE!$EB$38:$IY$38)</f>
        <v>0</v>
      </c>
      <c r="JZ106" s="67"/>
      <c r="KA106" s="242">
        <f t="shared" si="605"/>
        <v>0</v>
      </c>
      <c r="KB106" s="242">
        <f t="shared" si="606"/>
        <v>4220</v>
      </c>
      <c r="KC106" s="56"/>
      <c r="KF106" s="55">
        <f t="shared" si="607"/>
        <v>46112</v>
      </c>
      <c r="KG106" s="67"/>
      <c r="KH106" s="242">
        <f>SUMPRODUCT(PRODUCE!$B117:$DY117,PRODUCE!$EB$39:$IY$39)</f>
        <v>0</v>
      </c>
      <c r="KI106" s="56"/>
      <c r="KJ106" s="242">
        <f t="shared" si="608"/>
        <v>0</v>
      </c>
      <c r="KK106" s="242">
        <f t="shared" si="609"/>
        <v>7702.5</v>
      </c>
      <c r="KL106" s="56"/>
      <c r="KO106" s="55">
        <f t="shared" si="610"/>
        <v>46112</v>
      </c>
      <c r="KP106" s="67"/>
      <c r="KQ106" s="242">
        <f>SUMPRODUCT(PRODUCE!$B117:$DY117,PRODUCE!$EB$40:$IY$40)</f>
        <v>0</v>
      </c>
      <c r="KR106" s="56"/>
      <c r="KS106" s="242">
        <f t="shared" si="611"/>
        <v>0</v>
      </c>
      <c r="KT106" s="242">
        <f t="shared" si="612"/>
        <v>6426</v>
      </c>
      <c r="KU106" s="56"/>
      <c r="KW106" s="23"/>
      <c r="KX106" s="55">
        <f t="shared" si="613"/>
        <v>46112</v>
      </c>
      <c r="KY106" s="67"/>
      <c r="KZ106" s="242">
        <f>SUMPRODUCT(PRODUCE!$B117:$DY117,PRODUCE!$EB$41:$IY$41)</f>
        <v>0</v>
      </c>
      <c r="LA106" s="56"/>
      <c r="LB106" s="242">
        <f t="shared" si="614"/>
        <v>0</v>
      </c>
      <c r="LC106" s="242">
        <f t="shared" si="615"/>
        <v>0</v>
      </c>
      <c r="LD106" s="56"/>
      <c r="LG106" s="55">
        <f t="shared" si="616"/>
        <v>46112</v>
      </c>
      <c r="LH106" s="67"/>
      <c r="LI106" s="242">
        <f>SUMPRODUCT(PRODUCE!$B117:$DY117,PRODUCE!$EB$42:$IY$42)</f>
        <v>0</v>
      </c>
      <c r="LJ106" s="67"/>
      <c r="LK106" s="242">
        <f t="shared" si="617"/>
        <v>0</v>
      </c>
      <c r="LL106" s="242">
        <f t="shared" si="618"/>
        <v>0</v>
      </c>
      <c r="LM106" s="56"/>
      <c r="LP106" s="55">
        <f t="shared" si="619"/>
        <v>46112</v>
      </c>
      <c r="LQ106" s="67"/>
      <c r="LR106" s="242">
        <f>SUMPRODUCT(PRODUCE!$B121:$DY121,PRODUCE!$EB$43:$IY$43)</f>
        <v>0</v>
      </c>
      <c r="LS106" s="56"/>
      <c r="LT106" s="242">
        <f t="shared" si="620"/>
        <v>0</v>
      </c>
      <c r="LU106" s="242">
        <f t="shared" si="621"/>
        <v>0</v>
      </c>
      <c r="LV106" s="56"/>
      <c r="LY106" s="55">
        <f t="shared" si="622"/>
        <v>46112</v>
      </c>
      <c r="LZ106" s="67"/>
      <c r="MA106" s="242">
        <f>SUMPRODUCT(PRODUCE!$B117:$DY117,PRODUCE!$EB$44:$IY$44)</f>
        <v>0</v>
      </c>
      <c r="MB106" s="67"/>
      <c r="MC106" s="242">
        <f t="shared" si="623"/>
        <v>0</v>
      </c>
      <c r="MD106" s="242">
        <f t="shared" si="624"/>
        <v>0</v>
      </c>
      <c r="ME106" s="56"/>
      <c r="MH106" s="55">
        <f t="shared" si="625"/>
        <v>46112</v>
      </c>
      <c r="MI106" s="67"/>
      <c r="MJ106" s="242">
        <f>SUMPRODUCT(PRODUCE!$B117:$DY117,PRODUCE!$EB$45:$IY$45)</f>
        <v>0</v>
      </c>
      <c r="MK106" s="56"/>
      <c r="ML106" s="242">
        <f t="shared" si="626"/>
        <v>0</v>
      </c>
      <c r="MM106" s="242">
        <f t="shared" si="627"/>
        <v>0</v>
      </c>
      <c r="MN106" s="56"/>
      <c r="MQ106" s="55">
        <f t="shared" si="628"/>
        <v>46112</v>
      </c>
      <c r="MR106" s="67"/>
      <c r="MS106" s="242">
        <f>SUMPRODUCT(PRODUCE!$B117:$DY117,PRODUCE!$EB$46:$IY$46)</f>
        <v>25</v>
      </c>
      <c r="MT106" s="67"/>
      <c r="MU106" s="242">
        <f t="shared" si="629"/>
        <v>25</v>
      </c>
      <c r="MV106" s="242">
        <f t="shared" si="630"/>
        <v>4195</v>
      </c>
      <c r="MW106" s="56"/>
      <c r="MZ106" s="55">
        <f t="shared" si="631"/>
        <v>46112</v>
      </c>
      <c r="NA106" s="67"/>
      <c r="NB106" s="242">
        <f>SUMPRODUCT(PRODUCE!$B117:$DY117,PRODUCE!$EB$47:$IY$47)</f>
        <v>0</v>
      </c>
      <c r="NC106" s="67"/>
      <c r="ND106" s="242">
        <f t="shared" si="632"/>
        <v>0</v>
      </c>
      <c r="NE106" s="242">
        <f t="shared" si="633"/>
        <v>0</v>
      </c>
      <c r="NF106" s="56"/>
      <c r="NI106" s="55">
        <f t="shared" si="634"/>
        <v>46112</v>
      </c>
      <c r="NJ106" s="67"/>
      <c r="NK106" s="242">
        <f>SUMPRODUCT(PRODUCE!$B117:$DY117,PRODUCE!$EB$48:$IY$48)</f>
        <v>0</v>
      </c>
      <c r="NL106" s="56"/>
      <c r="NM106" s="242">
        <f t="shared" si="635"/>
        <v>0</v>
      </c>
      <c r="NN106" s="242">
        <f t="shared" si="636"/>
        <v>2065</v>
      </c>
      <c r="NO106" s="56"/>
      <c r="NR106" s="55">
        <f t="shared" si="637"/>
        <v>46112</v>
      </c>
      <c r="NS106" s="67"/>
      <c r="NT106" s="242">
        <f>SUMPRODUCT(PRODUCE!$B117:$DY117,PRODUCE!$EB$49:$IY$49)</f>
        <v>0</v>
      </c>
      <c r="NU106" s="56"/>
      <c r="NV106" s="242">
        <f t="shared" si="638"/>
        <v>0</v>
      </c>
      <c r="NW106" s="242">
        <f t="shared" si="639"/>
        <v>4152.5</v>
      </c>
      <c r="NX106" s="56"/>
      <c r="OA106" s="55">
        <f t="shared" si="640"/>
        <v>46112</v>
      </c>
      <c r="OB106" s="67"/>
      <c r="OC106" s="242">
        <f>SUMPRODUCT(PRODUCE!$B117:$DY117,PRODUCE!$EB$50:$IY$50)</f>
        <v>0</v>
      </c>
      <c r="OD106" s="67"/>
      <c r="OE106" s="242">
        <f t="shared" si="641"/>
        <v>0</v>
      </c>
      <c r="OF106" s="242">
        <f t="shared" si="642"/>
        <v>1680.5</v>
      </c>
      <c r="OG106" s="56"/>
      <c r="OJ106" s="55">
        <f t="shared" si="643"/>
        <v>46112</v>
      </c>
      <c r="OK106" s="67"/>
      <c r="OL106" s="242">
        <f>SUMPRODUCT(PRODUCE!$B117:$DY117,PRODUCE!$EB$51:$IY$51)</f>
        <v>0</v>
      </c>
      <c r="OM106" s="67"/>
      <c r="ON106" s="242">
        <f t="shared" si="644"/>
        <v>0</v>
      </c>
      <c r="OO106" s="242">
        <f t="shared" si="645"/>
        <v>0</v>
      </c>
      <c r="OP106" s="56"/>
      <c r="OS106" s="55">
        <f t="shared" si="646"/>
        <v>46112</v>
      </c>
      <c r="OT106" s="67"/>
      <c r="OU106" s="242">
        <f>SUMPRODUCT(PRODUCE!$B117:$DY117,PRODUCE!$EB$52:$IY$52)</f>
        <v>0</v>
      </c>
      <c r="OV106" s="67"/>
      <c r="OW106" s="242">
        <f t="shared" si="647"/>
        <v>0</v>
      </c>
      <c r="OX106" s="242">
        <f t="shared" si="648"/>
        <v>1000</v>
      </c>
      <c r="OY106" s="56"/>
      <c r="PB106" s="55">
        <f t="shared" si="649"/>
        <v>46112</v>
      </c>
      <c r="PC106" s="67"/>
      <c r="PD106" s="242">
        <f>SUMPRODUCT(PRODUCE!$B117:$DY117,PRODUCE!$EB$53:$IY$53)</f>
        <v>0</v>
      </c>
      <c r="PE106" s="67"/>
      <c r="PF106" s="242">
        <f t="shared" si="650"/>
        <v>0</v>
      </c>
      <c r="PG106" s="242">
        <f t="shared" si="651"/>
        <v>0</v>
      </c>
      <c r="PH106" s="56"/>
      <c r="PK106" s="55">
        <f t="shared" si="652"/>
        <v>46112</v>
      </c>
      <c r="PL106" s="67"/>
      <c r="PM106" s="242">
        <f>SUMPRODUCT(PRODUCE!$B117:$DY117,PRODUCE!$EB$54:$IY$54)</f>
        <v>0</v>
      </c>
      <c r="PN106" s="67"/>
      <c r="PO106" s="242">
        <f t="shared" si="653"/>
        <v>0</v>
      </c>
      <c r="PP106" s="242">
        <f t="shared" si="654"/>
        <v>100</v>
      </c>
      <c r="PQ106" s="56"/>
      <c r="PT106" s="55">
        <f t="shared" si="655"/>
        <v>46112</v>
      </c>
      <c r="PU106" s="67"/>
      <c r="PV106" s="242">
        <f>SUMPRODUCT(PRODUCE!$B117:$DY117,PRODUCE!$EB$55:$IY$55)</f>
        <v>0</v>
      </c>
      <c r="PW106" s="67"/>
      <c r="PX106" s="242">
        <f t="shared" si="656"/>
        <v>0</v>
      </c>
      <c r="PY106" s="242">
        <f t="shared" si="657"/>
        <v>13.960000000000036</v>
      </c>
      <c r="PZ106" s="56"/>
      <c r="QC106" s="55">
        <f t="shared" si="658"/>
        <v>46112</v>
      </c>
      <c r="QD106" s="67"/>
      <c r="QE106" s="242">
        <f>SUMPRODUCT(PRODUCE!$B117:$DY117,PRODUCE!$EB$56:$IY$56)</f>
        <v>0</v>
      </c>
      <c r="QF106" s="67"/>
      <c r="QG106" s="242">
        <f t="shared" si="659"/>
        <v>0</v>
      </c>
      <c r="QH106" s="242">
        <f t="shared" si="660"/>
        <v>1212</v>
      </c>
      <c r="QI106" s="56"/>
      <c r="QL106" s="55">
        <f t="shared" si="661"/>
        <v>46112</v>
      </c>
      <c r="QM106" s="67"/>
      <c r="QN106" s="242">
        <f>SUMPRODUCT(PRODUCE!$B117:$DY117,PRODUCE!$EB$57:$IY$57)</f>
        <v>0</v>
      </c>
      <c r="QO106" s="67"/>
      <c r="QP106" s="242">
        <f t="shared" si="662"/>
        <v>0</v>
      </c>
      <c r="QQ106" s="242">
        <f t="shared" si="663"/>
        <v>400</v>
      </c>
      <c r="QR106" s="56"/>
      <c r="QU106" s="55">
        <f t="shared" si="664"/>
        <v>46112</v>
      </c>
      <c r="QV106" s="67"/>
      <c r="QW106" s="242">
        <f>SUMPRODUCT(PRODUCE!$B117:$DY117,PRODUCE!$EB$57:$IY$57)</f>
        <v>0</v>
      </c>
      <c r="QX106" s="67"/>
      <c r="QY106" s="242">
        <f t="shared" si="665"/>
        <v>0</v>
      </c>
      <c r="QZ106" s="242">
        <f t="shared" si="666"/>
        <v>207.6</v>
      </c>
      <c r="RA106" s="56"/>
      <c r="RD106" s="55">
        <f t="shared" si="667"/>
        <v>46112</v>
      </c>
      <c r="RE106" s="67"/>
      <c r="RF106" s="242">
        <f>SUMPRODUCT(PRODUCE!$B117:$DY117,PRODUCE!$EB$58:$IY$58)</f>
        <v>0</v>
      </c>
      <c r="RG106" s="67"/>
      <c r="RH106" s="242">
        <f t="shared" si="668"/>
        <v>0</v>
      </c>
      <c r="RI106" s="242">
        <f t="shared" si="669"/>
        <v>197.04000000000002</v>
      </c>
      <c r="RJ106" s="56"/>
      <c r="RM106" s="55">
        <f t="shared" si="670"/>
        <v>46112</v>
      </c>
      <c r="RN106" s="67"/>
      <c r="RO106" s="242">
        <f>SUMPRODUCT(PRODUCE!$B117:$DY117,PRODUCE!$EB$57:$IY$57)</f>
        <v>0</v>
      </c>
      <c r="RP106" s="67"/>
      <c r="RQ106" s="242">
        <f t="shared" si="671"/>
        <v>0</v>
      </c>
      <c r="RR106" s="242">
        <f t="shared" si="672"/>
        <v>46.8</v>
      </c>
      <c r="RS106" s="56"/>
      <c r="RV106" s="55">
        <f t="shared" si="673"/>
        <v>46112</v>
      </c>
      <c r="RW106" s="67"/>
      <c r="RX106" s="242">
        <f>SUMPRODUCT(PRODUCE!$B117:$DY117,PRODUCE!$EB$57:$IY$57)</f>
        <v>0</v>
      </c>
      <c r="RY106" s="67"/>
      <c r="RZ106" s="242">
        <f t="shared" si="674"/>
        <v>0</v>
      </c>
      <c r="SA106" s="242">
        <f t="shared" si="675"/>
        <v>0</v>
      </c>
      <c r="SB106" s="56"/>
      <c r="SE106" s="55">
        <f t="shared" si="676"/>
        <v>46112</v>
      </c>
      <c r="SF106" s="67"/>
      <c r="SG106" s="242">
        <f>SUMPRODUCT(PRODUCE!$B117:$DY117,PRODUCE!$EB$57:$IY$57)</f>
        <v>0</v>
      </c>
      <c r="SH106" s="67"/>
      <c r="SI106" s="242">
        <f t="shared" si="677"/>
        <v>0</v>
      </c>
      <c r="SJ106" s="242">
        <f t="shared" si="678"/>
        <v>0</v>
      </c>
      <c r="SK106" s="56"/>
      <c r="SN106" s="55">
        <f t="shared" si="679"/>
        <v>46112</v>
      </c>
      <c r="SO106" s="67"/>
      <c r="SP106" s="242">
        <f>SUMPRODUCT(PRODUCE!$B117:$DY117,PRODUCE!$EB$57:$IY$57)</f>
        <v>0</v>
      </c>
      <c r="SQ106" s="67"/>
      <c r="SR106" s="242">
        <f t="shared" si="680"/>
        <v>0</v>
      </c>
      <c r="SS106" s="242">
        <f t="shared" si="681"/>
        <v>0</v>
      </c>
      <c r="ST106" s="56"/>
      <c r="SW106" s="55">
        <f t="shared" si="682"/>
        <v>46112</v>
      </c>
      <c r="SX106" s="67"/>
      <c r="SY106" s="242">
        <f>SUMPRODUCT(PRODUCE!$B117:$DY117,PRODUCE!$EB$57:$IY$57)</f>
        <v>0</v>
      </c>
      <c r="SZ106" s="67"/>
      <c r="TA106" s="242">
        <f t="shared" si="683"/>
        <v>0</v>
      </c>
      <c r="TB106" s="242">
        <f t="shared" si="684"/>
        <v>0</v>
      </c>
      <c r="TC106" s="56"/>
      <c r="TF106" s="55">
        <f t="shared" si="685"/>
        <v>46112</v>
      </c>
      <c r="TG106" s="67"/>
      <c r="TH106" s="242">
        <f>SUMPRODUCT(PRODUCE!$B117:$DY117,PRODUCE!$EB$57:$IY$57)</f>
        <v>0</v>
      </c>
      <c r="TI106" s="67"/>
      <c r="TJ106" s="242">
        <f t="shared" si="686"/>
        <v>0</v>
      </c>
      <c r="TK106" s="242">
        <f t="shared" si="687"/>
        <v>0</v>
      </c>
      <c r="TL106" s="56"/>
      <c r="TO106" s="55">
        <f t="shared" si="688"/>
        <v>46112</v>
      </c>
      <c r="TP106" s="67"/>
      <c r="TQ106" s="242">
        <f>SUMPRODUCT(PRODUCE!$B117:$DY117,PRODUCE!$EB$57:$IY$57)</f>
        <v>0</v>
      </c>
      <c r="TR106" s="67"/>
      <c r="TS106" s="242">
        <f t="shared" si="689"/>
        <v>0</v>
      </c>
      <c r="TT106" s="242">
        <f t="shared" si="690"/>
        <v>0</v>
      </c>
      <c r="TU106" s="56"/>
      <c r="TX106" s="55">
        <f t="shared" si="691"/>
        <v>46112</v>
      </c>
      <c r="TY106" s="67"/>
      <c r="TZ106" s="242">
        <f>SUMPRODUCT(PRODUCE!$B117:$DY117,PRODUCE!$EB$57:$IY$57)</f>
        <v>0</v>
      </c>
      <c r="UA106" s="67"/>
      <c r="UB106" s="242">
        <f t="shared" si="692"/>
        <v>0</v>
      </c>
      <c r="UC106" s="242">
        <f t="shared" si="693"/>
        <v>0</v>
      </c>
      <c r="UD106" s="56"/>
      <c r="UG106" s="55">
        <f t="shared" si="694"/>
        <v>46112</v>
      </c>
      <c r="UH106" s="67"/>
      <c r="UI106" s="242">
        <f>SUMPRODUCT(PRODUCE!$B117:$DY117,PRODUCE!$EB$57:$IY$57)</f>
        <v>0</v>
      </c>
      <c r="UJ106" s="67"/>
      <c r="UK106" s="242">
        <f t="shared" si="695"/>
        <v>0</v>
      </c>
      <c r="UL106" s="242">
        <f t="shared" si="696"/>
        <v>0</v>
      </c>
      <c r="UM106" s="56"/>
      <c r="UP106" s="55">
        <f t="shared" si="697"/>
        <v>46112</v>
      </c>
      <c r="UQ106" s="67"/>
      <c r="UR106" s="242">
        <f>SUMPRODUCT(PRODUCE!$B117:$DY117,PRODUCE!$EB$57:$IY$57)</f>
        <v>0</v>
      </c>
      <c r="US106" s="67"/>
      <c r="UT106" s="242">
        <f t="shared" si="698"/>
        <v>0</v>
      </c>
      <c r="UU106" s="242">
        <f t="shared" si="699"/>
        <v>0</v>
      </c>
      <c r="UV106" s="56"/>
      <c r="UY106" s="55">
        <f t="shared" si="700"/>
        <v>46112</v>
      </c>
      <c r="UZ106" s="67"/>
      <c r="VA106" s="242">
        <f>SUMPRODUCT(PRODUCE!$B117:$DY117,PRODUCE!$EB$57:$IY$57)</f>
        <v>0</v>
      </c>
      <c r="VB106" s="67"/>
      <c r="VC106" s="242">
        <f t="shared" si="701"/>
        <v>0</v>
      </c>
      <c r="VD106" s="242">
        <f t="shared" si="702"/>
        <v>41.600000000000023</v>
      </c>
      <c r="VE106" s="56"/>
      <c r="VH106" s="55">
        <f t="shared" si="703"/>
        <v>46112</v>
      </c>
      <c r="VI106" s="67"/>
      <c r="VJ106" s="242">
        <f>SUMPRODUCT(PRODUCE!$B117:$DY117,PRODUCE!$EB$57:$IY$57)</f>
        <v>0</v>
      </c>
      <c r="VK106" s="67"/>
      <c r="VL106" s="242">
        <f t="shared" si="704"/>
        <v>0</v>
      </c>
      <c r="VM106" s="242">
        <f t="shared" si="705"/>
        <v>0</v>
      </c>
      <c r="VN106" s="56"/>
      <c r="VQ106" s="55">
        <f t="shared" si="706"/>
        <v>46112</v>
      </c>
      <c r="VR106" s="67"/>
      <c r="VS106" s="242">
        <f>SUMPRODUCT(PRODUCE!$B117:$DY117,PRODUCE!$EB$57:$IY$57)</f>
        <v>0</v>
      </c>
      <c r="VT106" s="67"/>
      <c r="VU106" s="242">
        <f t="shared" si="707"/>
        <v>0</v>
      </c>
      <c r="VV106" s="242">
        <f t="shared" si="708"/>
        <v>0</v>
      </c>
      <c r="VW106" s="56"/>
      <c r="VZ106" s="55">
        <f t="shared" si="709"/>
        <v>46112</v>
      </c>
      <c r="WA106" s="67"/>
      <c r="WB106" s="242">
        <f>SUMPRODUCT(PRODUCE!$B117:$DY117,PRODUCE!$EB$57:$IY$57)</f>
        <v>0</v>
      </c>
      <c r="WC106" s="67"/>
      <c r="WD106" s="242">
        <f t="shared" si="710"/>
        <v>0</v>
      </c>
      <c r="WE106" s="242">
        <f t="shared" si="711"/>
        <v>0</v>
      </c>
      <c r="WF106" s="56"/>
      <c r="WI106" s="55">
        <f t="shared" si="712"/>
        <v>46112</v>
      </c>
      <c r="WJ106" s="67"/>
      <c r="WK106" s="242">
        <f>SUMPRODUCT(PRODUCE!$B117:$DY117,PRODUCE!$EB$57:$IY$57)</f>
        <v>0</v>
      </c>
      <c r="WL106" s="67"/>
      <c r="WM106" s="242">
        <f t="shared" si="713"/>
        <v>0</v>
      </c>
      <c r="WN106" s="242">
        <f t="shared" si="714"/>
        <v>3889</v>
      </c>
      <c r="WO106" s="56"/>
      <c r="WR106" s="55">
        <f t="shared" si="715"/>
        <v>46112</v>
      </c>
      <c r="WS106" s="67"/>
      <c r="WT106" s="242">
        <f>SUMPRODUCT(PRODUCE!$B117:$DY117,PRODUCE!$EB$57:$IY$57)</f>
        <v>0</v>
      </c>
      <c r="WU106" s="67">
        <v>1061</v>
      </c>
      <c r="WV106" s="242">
        <f t="shared" si="716"/>
        <v>-1061</v>
      </c>
      <c r="WW106" s="242">
        <f t="shared" si="717"/>
        <v>0</v>
      </c>
      <c r="WX106" s="56"/>
      <c r="XA106" s="55">
        <f t="shared" si="718"/>
        <v>46112</v>
      </c>
      <c r="XB106" s="67"/>
      <c r="XC106" s="242">
        <f>SUMPRODUCT(PRODUCE!$B117:$DY117,PRODUCE!$EB$57:$IY$57)</f>
        <v>0</v>
      </c>
      <c r="XD106" s="67"/>
      <c r="XE106" s="242">
        <f t="shared" si="719"/>
        <v>0</v>
      </c>
      <c r="XF106" s="242">
        <f t="shared" si="720"/>
        <v>6349</v>
      </c>
      <c r="XG106" s="56"/>
      <c r="XJ106" s="55">
        <f t="shared" si="721"/>
        <v>46112</v>
      </c>
      <c r="XK106" s="67"/>
      <c r="XL106" s="242">
        <f>SUMPRODUCT(PRODUCE!$B117:$DY117,PRODUCE!$EB$57:$IY$57)</f>
        <v>0</v>
      </c>
      <c r="XM106" s="67"/>
      <c r="XN106" s="242">
        <f t="shared" si="722"/>
        <v>0</v>
      </c>
      <c r="XO106" s="242">
        <f t="shared" si="723"/>
        <v>5989</v>
      </c>
      <c r="XP106" s="56"/>
      <c r="XS106" s="55">
        <f t="shared" si="724"/>
        <v>46112</v>
      </c>
      <c r="XT106" s="67"/>
      <c r="XU106" s="242">
        <f>SUMPRODUCT(PRODUCE!$B117:$DY117,PRODUCE!$EB$57:$IY$57)</f>
        <v>0</v>
      </c>
      <c r="XV106" s="67"/>
      <c r="XW106" s="242">
        <f t="shared" si="725"/>
        <v>0</v>
      </c>
      <c r="XX106" s="242">
        <f t="shared" si="726"/>
        <v>1901</v>
      </c>
      <c r="XY106" s="56"/>
      <c r="YB106" s="55">
        <f t="shared" si="727"/>
        <v>46112</v>
      </c>
      <c r="YC106" s="67"/>
      <c r="YD106" s="242">
        <f>SUMPRODUCT(PRODUCE!$B117:$DY117,PRODUCE!$EB$57:$IY$57)</f>
        <v>0</v>
      </c>
      <c r="YE106" s="67"/>
      <c r="YF106" s="242">
        <f t="shared" si="728"/>
        <v>0</v>
      </c>
      <c r="YG106" s="242">
        <f t="shared" si="729"/>
        <v>6459</v>
      </c>
      <c r="YH106" s="56"/>
      <c r="YK106" s="55">
        <f t="shared" si="730"/>
        <v>46112</v>
      </c>
      <c r="YL106" s="67"/>
      <c r="YM106" s="242">
        <f>SUMPRODUCT(PRODUCE!$B117:$DY117,PRODUCE!$EB$57:$IY$57)</f>
        <v>0</v>
      </c>
      <c r="YN106" s="67"/>
      <c r="YO106" s="242">
        <f t="shared" si="731"/>
        <v>0</v>
      </c>
      <c r="YP106" s="242">
        <f t="shared" si="732"/>
        <v>0</v>
      </c>
      <c r="YQ106" s="56"/>
      <c r="YT106" s="55">
        <f t="shared" si="733"/>
        <v>46112</v>
      </c>
      <c r="YU106" s="67"/>
      <c r="YV106" s="242">
        <f>SUMPRODUCT(PRODUCE!$B117:$DY117,PRODUCE!$EB$57:$IY$57)</f>
        <v>0</v>
      </c>
      <c r="YW106" s="67"/>
      <c r="YX106" s="242">
        <f t="shared" si="734"/>
        <v>0</v>
      </c>
      <c r="YY106" s="242">
        <f t="shared" si="735"/>
        <v>0</v>
      </c>
      <c r="YZ106" s="56"/>
      <c r="ZC106" s="55">
        <f t="shared" si="736"/>
        <v>46112</v>
      </c>
      <c r="ZD106" s="67"/>
      <c r="ZE106" s="242">
        <f>SUMPRODUCT(PRODUCE!$B117:$DY117,PRODUCE!$EB$57:$IY$57)</f>
        <v>0</v>
      </c>
      <c r="ZF106" s="67"/>
      <c r="ZG106" s="242">
        <f t="shared" si="737"/>
        <v>0</v>
      </c>
      <c r="ZH106" s="242">
        <f t="shared" si="738"/>
        <v>0</v>
      </c>
      <c r="ZI106" s="56"/>
      <c r="ZL106" s="55">
        <f t="shared" si="739"/>
        <v>46112</v>
      </c>
      <c r="ZM106" s="67"/>
      <c r="ZN106" s="242">
        <f>SUMPRODUCT(PRODUCE!$B117:$DY117,PRODUCE!$EB$57:$IY$57)</f>
        <v>0</v>
      </c>
      <c r="ZO106" s="67"/>
      <c r="ZP106" s="242">
        <f t="shared" si="740"/>
        <v>0</v>
      </c>
      <c r="ZQ106" s="242">
        <f t="shared" si="741"/>
        <v>0</v>
      </c>
      <c r="ZR106" s="56"/>
      <c r="ZU106" s="55">
        <f t="shared" si="742"/>
        <v>46112</v>
      </c>
      <c r="ZV106" s="67"/>
      <c r="ZW106" s="242">
        <f>SUMPRODUCT(PRODUCE!$B117:$DY117,PRODUCE!$EB$57:$IY$57)</f>
        <v>0</v>
      </c>
      <c r="ZX106" s="67"/>
      <c r="ZY106" s="242">
        <f t="shared" si="743"/>
        <v>0</v>
      </c>
      <c r="ZZ106" s="242">
        <f t="shared" si="744"/>
        <v>0</v>
      </c>
      <c r="AAA106" s="56"/>
      <c r="AAD106" s="55">
        <f t="shared" si="745"/>
        <v>46112</v>
      </c>
      <c r="AAE106" s="67"/>
      <c r="AAF106" s="242">
        <f>SUMPRODUCT(PRODUCE!$B117:$DY117,PRODUCE!$EB$57:$IY$57)</f>
        <v>0</v>
      </c>
      <c r="AAG106" s="67"/>
      <c r="AAH106" s="242">
        <f t="shared" si="746"/>
        <v>0</v>
      </c>
      <c r="AAI106" s="242">
        <f t="shared" si="747"/>
        <v>0</v>
      </c>
      <c r="AAJ106" s="56"/>
      <c r="AAM106" s="55">
        <f t="shared" si="748"/>
        <v>46112</v>
      </c>
      <c r="AAN106" s="67"/>
      <c r="AAO106" s="242">
        <f>SUMPRODUCT(PRODUCE!$B117:$DY117,PRODUCE!$EB$57:$IY$57)</f>
        <v>0</v>
      </c>
      <c r="AAP106" s="67"/>
      <c r="AAQ106" s="242">
        <f t="shared" si="749"/>
        <v>0</v>
      </c>
      <c r="AAR106" s="242">
        <f t="shared" si="750"/>
        <v>0</v>
      </c>
      <c r="AAS106" s="56"/>
      <c r="AAV106" s="55">
        <f t="shared" si="751"/>
        <v>46112</v>
      </c>
      <c r="AAW106" s="67"/>
      <c r="AAX106" s="242">
        <f>SUMPRODUCT(PRODUCE!$B117:$DY117,PRODUCE!$EB$57:$IY$57)</f>
        <v>0</v>
      </c>
      <c r="AAY106" s="67"/>
      <c r="AAZ106" s="242">
        <f t="shared" si="752"/>
        <v>0</v>
      </c>
      <c r="ABA106" s="242">
        <f t="shared" si="753"/>
        <v>0</v>
      </c>
      <c r="ABB106" s="56"/>
      <c r="ABE106" s="55">
        <f t="shared" si="754"/>
        <v>46112</v>
      </c>
      <c r="ABF106" s="67"/>
      <c r="ABG106" s="242">
        <f>SUMPRODUCT(PRODUCE!$B117:$DY117,PRODUCE!$EB$57:$IY$57)</f>
        <v>0</v>
      </c>
      <c r="ABH106" s="67"/>
      <c r="ABI106" s="242">
        <f t="shared" si="755"/>
        <v>0</v>
      </c>
      <c r="ABJ106" s="242">
        <f t="shared" si="756"/>
        <v>0</v>
      </c>
      <c r="ABK106" s="56"/>
    </row>
    <row r="107" spans="1:739" ht="14.45" thickBot="1">
      <c r="B107" s="480">
        <f>SUM(B76:B106)</f>
        <v>1632</v>
      </c>
      <c r="C107" s="68" t="s">
        <v>72</v>
      </c>
      <c r="D107" s="426">
        <f>SUM(D76:D106)</f>
        <v>822130</v>
      </c>
      <c r="E107" s="427">
        <f>SUM(E76:E106)</f>
        <v>875753</v>
      </c>
      <c r="F107" s="427">
        <f>SUM(F76:F106)</f>
        <v>885904.79999999993</v>
      </c>
      <c r="G107" s="427">
        <f>SUM(G76:G106)</f>
        <v>-10151.800000000005</v>
      </c>
      <c r="H107" s="428">
        <f>H106</f>
        <v>27839.999999999964</v>
      </c>
      <c r="I107" s="289"/>
      <c r="L107" s="68" t="s">
        <v>72</v>
      </c>
      <c r="M107" s="426">
        <f>SUM(M76:M106)</f>
        <v>284831.8</v>
      </c>
      <c r="N107" s="427">
        <f>SUM(N76:N106)</f>
        <v>350598</v>
      </c>
      <c r="O107" s="427">
        <f>SUM(O76:O106)</f>
        <v>350598.39999999997</v>
      </c>
      <c r="P107" s="427">
        <f>SUM(P76:P106)</f>
        <v>-0.39999999999417923</v>
      </c>
      <c r="Q107" s="428">
        <f>Q106</f>
        <v>-669.99999999991633</v>
      </c>
      <c r="R107" s="71"/>
      <c r="U107" s="68" t="s">
        <v>72</v>
      </c>
      <c r="V107" s="426">
        <f>SUM(V76:V106)</f>
        <v>80280</v>
      </c>
      <c r="W107" s="427">
        <f>SUM(W76:W106)</f>
        <v>108618</v>
      </c>
      <c r="X107" s="427">
        <f>SUM(X76:X106)</f>
        <v>108634.4</v>
      </c>
      <c r="Y107" s="427">
        <f>SUM(Y76:Y106)</f>
        <v>-16.400000000003558</v>
      </c>
      <c r="Z107" s="428">
        <f>Z106</f>
        <v>20018.399999999969</v>
      </c>
      <c r="AA107" s="71"/>
      <c r="AD107" s="68" t="s">
        <v>72</v>
      </c>
      <c r="AE107" s="426">
        <f>SUM(AE76:AE106)</f>
        <v>30490</v>
      </c>
      <c r="AF107" s="427">
        <f>SUM(AF76:AF106)</f>
        <v>38304</v>
      </c>
      <c r="AG107" s="427">
        <f>SUM(AG76:AG106)</f>
        <v>38335.5</v>
      </c>
      <c r="AH107" s="427">
        <f>SUM(AH76:AH106)</f>
        <v>-31.499999999999659</v>
      </c>
      <c r="AI107" s="428">
        <f>AI106</f>
        <v>26292.700000000019</v>
      </c>
      <c r="AJ107" s="71"/>
      <c r="AM107" s="68" t="s">
        <v>72</v>
      </c>
      <c r="AN107" s="426">
        <f>SUM(AN76:AN106)</f>
        <v>0</v>
      </c>
      <c r="AO107" s="427">
        <f>SUM(AO76:AO106)</f>
        <v>0</v>
      </c>
      <c r="AP107" s="427">
        <f>SUM(AP76:AP106)</f>
        <v>0</v>
      </c>
      <c r="AQ107" s="427">
        <f>SUM(AQ76:AQ106)</f>
        <v>0</v>
      </c>
      <c r="AR107" s="428">
        <f>AR106</f>
        <v>0</v>
      </c>
      <c r="AS107" s="71"/>
      <c r="AV107" s="68" t="s">
        <v>72</v>
      </c>
      <c r="AW107" s="426">
        <f>SUM(AW76:AW106)</f>
        <v>0</v>
      </c>
      <c r="AX107" s="427">
        <f>SUM(AX76:AX106)</f>
        <v>10569</v>
      </c>
      <c r="AY107" s="427">
        <f>SUM(AY76:AY106)</f>
        <v>30415.3</v>
      </c>
      <c r="AZ107" s="427">
        <f>SUM(AZ76:AZ106)</f>
        <v>-19846.3</v>
      </c>
      <c r="BA107" s="428">
        <f>BA106</f>
        <v>17386.69999999999</v>
      </c>
      <c r="BB107" s="71"/>
      <c r="BE107" s="68" t="s">
        <v>72</v>
      </c>
      <c r="BF107" s="426">
        <f>SUM(BF76:BF106)</f>
        <v>44369.7</v>
      </c>
      <c r="BG107" s="427">
        <f>SUM(BG76:BG106)</f>
        <v>51856</v>
      </c>
      <c r="BH107" s="427">
        <f>SUM(BH76:BH106)</f>
        <v>51871.5</v>
      </c>
      <c r="BI107" s="427">
        <f>SUM(BI76:BI106)</f>
        <v>-15.500000000000625</v>
      </c>
      <c r="BJ107" s="428">
        <f>BJ106</f>
        <v>1.8189894035458565E-12</v>
      </c>
      <c r="BK107" s="71"/>
      <c r="BN107" s="68" t="s">
        <v>72</v>
      </c>
      <c r="BO107" s="426">
        <f>SUM(BO76:BO106)</f>
        <v>33929.599999999999</v>
      </c>
      <c r="BP107" s="427">
        <f>SUM(BP76:BP106)</f>
        <v>33930</v>
      </c>
      <c r="BQ107" s="427">
        <f>SUM(BQ76:BQ106)</f>
        <v>33929.599999999999</v>
      </c>
      <c r="BR107" s="427">
        <f>SUM(BR76:BR106)</f>
        <v>0.3999999999996362</v>
      </c>
      <c r="BS107" s="428">
        <f>BS106</f>
        <v>0</v>
      </c>
      <c r="BT107" s="71"/>
      <c r="BW107" s="68" t="s">
        <v>72</v>
      </c>
      <c r="BX107" s="73">
        <f>SUM(BX76:BX106)</f>
        <v>18000</v>
      </c>
      <c r="BY107" s="69">
        <f>SUM(BY76:BY106)</f>
        <v>6718.2</v>
      </c>
      <c r="BZ107" s="69">
        <f>SUM(BZ76:BZ106)</f>
        <v>6195.0999999999995</v>
      </c>
      <c r="CA107" s="69">
        <f>SUM(CA76:CA106)</f>
        <v>523.10000000000048</v>
      </c>
      <c r="CB107" s="70">
        <f>CB106</f>
        <v>11812.9</v>
      </c>
      <c r="CC107" s="71"/>
      <c r="CF107" s="68" t="s">
        <v>72</v>
      </c>
      <c r="CG107" s="73">
        <f>SUM(CG76:CG106)</f>
        <v>9326.7999999999993</v>
      </c>
      <c r="CH107" s="69">
        <f>SUM(CH76:CH106)</f>
        <v>11948.8</v>
      </c>
      <c r="CI107" s="69">
        <f>SUM(CI76:CI106)</f>
        <v>9326.7999999999993</v>
      </c>
      <c r="CJ107" s="69">
        <f>SUM(CJ76:CJ106)</f>
        <v>2622.0000000000014</v>
      </c>
      <c r="CK107" s="70">
        <f>CK106</f>
        <v>0</v>
      </c>
      <c r="CL107" s="71"/>
      <c r="CO107" s="72" t="s">
        <v>72</v>
      </c>
      <c r="CP107" s="426">
        <f>SUM(CP76:CP106)</f>
        <v>0</v>
      </c>
      <c r="CQ107" s="427">
        <f>SUM(CQ76:CQ106)</f>
        <v>0</v>
      </c>
      <c r="CR107" s="427">
        <f>SUM(CR76:CR106)</f>
        <v>0</v>
      </c>
      <c r="CS107" s="427">
        <f>SUM(CS76:CS106)</f>
        <v>0</v>
      </c>
      <c r="CT107" s="428">
        <f>CT106</f>
        <v>0</v>
      </c>
      <c r="CU107" s="71"/>
      <c r="CX107" s="72" t="s">
        <v>72</v>
      </c>
      <c r="CY107" s="73">
        <f>SUM(CY76:CY106)</f>
        <v>35280</v>
      </c>
      <c r="CZ107" s="69">
        <f>SUM(CZ76:CZ106)</f>
        <v>58460</v>
      </c>
      <c r="DA107" s="69">
        <f>SUM(DA76:DA106)</f>
        <v>58462.7</v>
      </c>
      <c r="DB107" s="69">
        <f>SUM(DB76:DB106)</f>
        <v>-2.7000000000026603</v>
      </c>
      <c r="DC107" s="70">
        <f>DC106</f>
        <v>31869.7</v>
      </c>
      <c r="DD107" s="71"/>
      <c r="DG107" s="72" t="s">
        <v>72</v>
      </c>
      <c r="DH107" s="73">
        <f>SUM(DH76:DH106)</f>
        <v>45900</v>
      </c>
      <c r="DI107" s="148">
        <f>SUM(DI76:DI106)</f>
        <v>39280</v>
      </c>
      <c r="DJ107" s="69">
        <f>SUM(DJ76:DJ106)</f>
        <v>39241.000000000007</v>
      </c>
      <c r="DK107" s="148">
        <f>SUM(DK76:DK106)</f>
        <v>38.999999999998657</v>
      </c>
      <c r="DL107" s="154">
        <f>DL106</f>
        <v>6658.9999999999945</v>
      </c>
      <c r="DM107" s="340"/>
      <c r="DP107" s="72" t="s">
        <v>72</v>
      </c>
      <c r="DQ107" s="73">
        <f>SUM(DQ76:DQ106)</f>
        <v>4850</v>
      </c>
      <c r="DR107" s="69">
        <f>SUM(DR76:DR106)</f>
        <v>0</v>
      </c>
      <c r="DS107" s="69">
        <f>SUM(DS76:DS106)</f>
        <v>0</v>
      </c>
      <c r="DT107" s="69">
        <f>SUM(DT76:DT106)</f>
        <v>0</v>
      </c>
      <c r="DU107" s="70">
        <f>DU106</f>
        <v>7150</v>
      </c>
      <c r="DV107" s="71"/>
      <c r="DY107" s="72" t="s">
        <v>72</v>
      </c>
      <c r="DZ107" s="73">
        <f>SUM(DZ76:DZ106)</f>
        <v>0</v>
      </c>
      <c r="EA107" s="69">
        <f>SUM(EA76:EA106)</f>
        <v>4000</v>
      </c>
      <c r="EB107" s="69">
        <f>SUM(EB76:EB106)</f>
        <v>3849.5</v>
      </c>
      <c r="EC107" s="69">
        <f>SUM(EC76:EC106)</f>
        <v>150.5</v>
      </c>
      <c r="ED107" s="70">
        <f>ED106</f>
        <v>1847.3000000000002</v>
      </c>
      <c r="EE107" s="71"/>
      <c r="EH107" s="72" t="s">
        <v>72</v>
      </c>
      <c r="EI107" s="73">
        <f>SUM(EI76:EI106)</f>
        <v>0</v>
      </c>
      <c r="EJ107" s="69">
        <f>SUM(EJ76:EJ106)</f>
        <v>0</v>
      </c>
      <c r="EK107" s="69">
        <f>SUM(EK76:EK106)</f>
        <v>0</v>
      </c>
      <c r="EL107" s="69">
        <f>SUM(EL76:EL106)</f>
        <v>0</v>
      </c>
      <c r="EM107" s="70">
        <f>EM106</f>
        <v>0</v>
      </c>
      <c r="EN107" s="71"/>
      <c r="EQ107" s="72" t="s">
        <v>72</v>
      </c>
      <c r="ER107" s="73">
        <f>SUM(ER76:ER106)</f>
        <v>0</v>
      </c>
      <c r="ES107" s="69">
        <f>SUM(ES76:ES106)</f>
        <v>0</v>
      </c>
      <c r="ET107" s="69">
        <f>SUM(ET76:ET106)</f>
        <v>0</v>
      </c>
      <c r="EU107" s="69">
        <f>SUM(EU76:EU106)</f>
        <v>0</v>
      </c>
      <c r="EV107" s="70">
        <f>EV106</f>
        <v>0</v>
      </c>
      <c r="EW107" s="71"/>
      <c r="EZ107" s="72" t="s">
        <v>72</v>
      </c>
      <c r="FA107" s="73">
        <f>SUM(FA76:FA106)</f>
        <v>0</v>
      </c>
      <c r="FB107" s="69">
        <f>SUM(FB76:FB106)</f>
        <v>0</v>
      </c>
      <c r="FC107" s="69">
        <f>SUM(FC76:FC106)</f>
        <v>0</v>
      </c>
      <c r="FD107" s="69">
        <f>SUM(FD76:FD106)</f>
        <v>0</v>
      </c>
      <c r="FE107" s="70">
        <f>FE106</f>
        <v>0</v>
      </c>
      <c r="FF107" s="71"/>
      <c r="FI107" s="72" t="s">
        <v>72</v>
      </c>
      <c r="FJ107" s="73">
        <f>SUM(FJ76:FJ106)</f>
        <v>0</v>
      </c>
      <c r="FK107" s="69">
        <f>SUM(FK76:FK106)</f>
        <v>0</v>
      </c>
      <c r="FL107" s="69">
        <f>SUM(FL76:FL106)</f>
        <v>0</v>
      </c>
      <c r="FM107" s="69">
        <f>SUM(FM76:FM106)</f>
        <v>0</v>
      </c>
      <c r="FN107" s="70">
        <f>FN106</f>
        <v>0</v>
      </c>
      <c r="FO107" s="71"/>
      <c r="FR107" s="72" t="s">
        <v>72</v>
      </c>
      <c r="FS107" s="426">
        <f>SUM(FS76:FS106)</f>
        <v>4000</v>
      </c>
      <c r="FT107" s="427">
        <f>SUM(FT76:FT106)</f>
        <v>2640</v>
      </c>
      <c r="FU107" s="427">
        <f>SUM(FU76:FU106)</f>
        <v>2640</v>
      </c>
      <c r="FV107" s="427">
        <f>SUM(FV76:FV106)</f>
        <v>0</v>
      </c>
      <c r="FW107" s="428">
        <f>FW106</f>
        <v>1980</v>
      </c>
      <c r="FX107" s="459">
        <f>FW107/20</f>
        <v>99</v>
      </c>
      <c r="FY107" s="460" t="s">
        <v>173</v>
      </c>
      <c r="GA107" s="72" t="s">
        <v>72</v>
      </c>
      <c r="GB107" s="426">
        <f>SUM(GB76:GB106)</f>
        <v>4000</v>
      </c>
      <c r="GC107" s="427">
        <f>SUM(GC76:GC106)</f>
        <v>6680</v>
      </c>
      <c r="GD107" s="427">
        <f>SUM(GD76:GD106)</f>
        <v>7960</v>
      </c>
      <c r="GE107" s="427">
        <f>SUM(GE76:GE106)</f>
        <v>-1280</v>
      </c>
      <c r="GF107" s="428">
        <f>GF106</f>
        <v>2000</v>
      </c>
      <c r="GG107" s="461">
        <f>GF107/20</f>
        <v>100</v>
      </c>
      <c r="GH107" s="460" t="s">
        <v>173</v>
      </c>
      <c r="GJ107" s="72" t="s">
        <v>72</v>
      </c>
      <c r="GK107" s="426">
        <f>SUM(GK76:GK106)</f>
        <v>0</v>
      </c>
      <c r="GL107" s="427">
        <f>SUM(GL76:GL106)</f>
        <v>760</v>
      </c>
      <c r="GM107" s="427">
        <f>SUM(GM76:GM106)</f>
        <v>440</v>
      </c>
      <c r="GN107" s="427">
        <f>SUM(GN76:GN106)</f>
        <v>320</v>
      </c>
      <c r="GO107" s="428">
        <f>GO106</f>
        <v>4800</v>
      </c>
      <c r="GP107" s="459">
        <f>GO107/20</f>
        <v>240</v>
      </c>
      <c r="GQ107" s="460" t="s">
        <v>173</v>
      </c>
      <c r="GS107" s="72" t="s">
        <v>72</v>
      </c>
      <c r="GT107" s="73">
        <f>SUM(GT76:GT106)</f>
        <v>0</v>
      </c>
      <c r="GU107" s="69">
        <f>SUM(GU76:GU106)</f>
        <v>0</v>
      </c>
      <c r="GV107" s="69">
        <f>SUM(GV76:GV106)</f>
        <v>0</v>
      </c>
      <c r="GW107" s="69">
        <f>SUM(GW76:GW106)</f>
        <v>0</v>
      </c>
      <c r="GX107" s="70">
        <f>GX106</f>
        <v>0</v>
      </c>
      <c r="GY107" s="71"/>
      <c r="HB107" s="72" t="s">
        <v>72</v>
      </c>
      <c r="HC107" s="73">
        <f>SUM(HC76:HC106)</f>
        <v>0</v>
      </c>
      <c r="HD107" s="69">
        <f>SUM(HD76:HD106)</f>
        <v>0</v>
      </c>
      <c r="HE107" s="69">
        <f>SUM(HE76:HE106)</f>
        <v>0</v>
      </c>
      <c r="HF107" s="69">
        <f>SUM(HF76:HF106)</f>
        <v>0</v>
      </c>
      <c r="HG107" s="70">
        <f>HG106</f>
        <v>0</v>
      </c>
      <c r="HH107" s="71"/>
      <c r="HK107" s="72" t="s">
        <v>72</v>
      </c>
      <c r="HL107" s="73">
        <f>SUM(HL76:HL106)</f>
        <v>0</v>
      </c>
      <c r="HM107" s="69">
        <f>SUM(HM76:HM106)</f>
        <v>0</v>
      </c>
      <c r="HN107" s="69">
        <f>SUM(HN76:HN106)</f>
        <v>0</v>
      </c>
      <c r="HO107" s="69">
        <f>SUM(HO76:HO106)</f>
        <v>0</v>
      </c>
      <c r="HP107" s="70">
        <f>HP106</f>
        <v>0</v>
      </c>
      <c r="HQ107" s="71"/>
      <c r="HU107" s="72" t="s">
        <v>72</v>
      </c>
      <c r="HV107" s="73">
        <f>SUM(HV76:HV106)</f>
        <v>0</v>
      </c>
      <c r="HW107" s="69">
        <f>SUM(HW76:HW106)</f>
        <v>0</v>
      </c>
      <c r="HX107" s="69">
        <f>SUM(HX76:HX106)</f>
        <v>0</v>
      </c>
      <c r="HY107" s="69">
        <f>SUM(HY76:HY106)</f>
        <v>0</v>
      </c>
      <c r="HZ107" s="70">
        <f>HZ106</f>
        <v>5120</v>
      </c>
      <c r="IA107" s="459">
        <f>HZ107/20</f>
        <v>256</v>
      </c>
      <c r="IB107" s="460" t="s">
        <v>173</v>
      </c>
      <c r="ID107" s="72" t="s">
        <v>72</v>
      </c>
      <c r="IE107" s="73">
        <f>SUM(IE76:IE106)</f>
        <v>1440</v>
      </c>
      <c r="IF107" s="69">
        <f>SUM(IF76:IF106)</f>
        <v>0</v>
      </c>
      <c r="IG107" s="69">
        <f>SUM(IG76:IG106)</f>
        <v>0</v>
      </c>
      <c r="IH107" s="69">
        <f>SUM(IH76:IH106)</f>
        <v>0</v>
      </c>
      <c r="II107" s="70">
        <f>II106</f>
        <v>6540</v>
      </c>
      <c r="IJ107" s="459">
        <f>II107/20</f>
        <v>327</v>
      </c>
      <c r="IK107" s="460" t="s">
        <v>173</v>
      </c>
      <c r="IM107" s="72" t="s">
        <v>72</v>
      </c>
      <c r="IN107" s="73">
        <f>SUM(IN76:IN106)</f>
        <v>1300</v>
      </c>
      <c r="IO107" s="69">
        <f>SUM(IO76:IO106)</f>
        <v>0</v>
      </c>
      <c r="IP107" s="69">
        <f>SUM(IP76:IP106)</f>
        <v>0</v>
      </c>
      <c r="IQ107" s="69">
        <f>SUM(IQ76:IQ106)</f>
        <v>0</v>
      </c>
      <c r="IR107" s="70">
        <f>IR106</f>
        <v>11540</v>
      </c>
      <c r="IS107" s="459">
        <f>IR107/20</f>
        <v>577</v>
      </c>
      <c r="IT107" s="460" t="s">
        <v>173</v>
      </c>
      <c r="IV107" s="72" t="s">
        <v>72</v>
      </c>
      <c r="IW107" s="73">
        <f>SUM(IW76:IW106)</f>
        <v>0</v>
      </c>
      <c r="IX107" s="69">
        <f>SUM(IX76:IX106)</f>
        <v>0</v>
      </c>
      <c r="IY107" s="69">
        <f>SUM(IY76:IY106)</f>
        <v>0</v>
      </c>
      <c r="IZ107" s="69">
        <f>SUM(IZ76:IZ106)</f>
        <v>0</v>
      </c>
      <c r="JA107" s="70">
        <f>JA106</f>
        <v>15120</v>
      </c>
      <c r="JB107" s="459">
        <f>JA107/20</f>
        <v>756</v>
      </c>
      <c r="JC107" s="460" t="s">
        <v>173</v>
      </c>
      <c r="JE107" s="72" t="s">
        <v>72</v>
      </c>
      <c r="JF107" s="73">
        <f>SUM(JF76:JF106)</f>
        <v>1720</v>
      </c>
      <c r="JG107" s="69">
        <f>SUM(JG76:JG106)</f>
        <v>0</v>
      </c>
      <c r="JH107" s="69">
        <f>SUM(JH76:JH106)</f>
        <v>0</v>
      </c>
      <c r="JI107" s="69">
        <f>SUM(JI76:JI106)</f>
        <v>0</v>
      </c>
      <c r="JJ107" s="70">
        <f>JJ106</f>
        <v>5040</v>
      </c>
      <c r="JK107" s="459">
        <f>JJ107/20</f>
        <v>252</v>
      </c>
      <c r="JL107" s="460" t="s">
        <v>173</v>
      </c>
      <c r="JN107" s="72" t="s">
        <v>72</v>
      </c>
      <c r="JO107" s="73">
        <f>SUM(JO76:JO106)</f>
        <v>3700</v>
      </c>
      <c r="JP107" s="69">
        <f>SUM(JP76:JP106)</f>
        <v>0</v>
      </c>
      <c r="JQ107" s="69">
        <f>SUM(JQ76:JQ106)</f>
        <v>0</v>
      </c>
      <c r="JR107" s="69">
        <f>SUM(JR76:JR106)</f>
        <v>0</v>
      </c>
      <c r="JS107" s="70">
        <f>JS106</f>
        <v>9100</v>
      </c>
      <c r="JT107" s="459">
        <f>JS107/20</f>
        <v>455</v>
      </c>
      <c r="JU107" s="460" t="s">
        <v>173</v>
      </c>
      <c r="JW107" s="72" t="s">
        <v>72</v>
      </c>
      <c r="JX107" s="73">
        <f>SUM(JX76:JX106)</f>
        <v>4140</v>
      </c>
      <c r="JY107" s="69">
        <f>SUM(JY76:JY106)</f>
        <v>3200</v>
      </c>
      <c r="JZ107" s="69">
        <f>SUM(JZ76:JZ106)</f>
        <v>3920</v>
      </c>
      <c r="KA107" s="69">
        <f>SUM(KA76:KA106)</f>
        <v>-720</v>
      </c>
      <c r="KB107" s="70">
        <f>KB106</f>
        <v>4220</v>
      </c>
      <c r="KC107" s="459">
        <f>KB107/20</f>
        <v>211</v>
      </c>
      <c r="KD107" s="460" t="s">
        <v>173</v>
      </c>
      <c r="KF107" s="72" t="s">
        <v>72</v>
      </c>
      <c r="KG107" s="73">
        <f>SUM(KG76:KG106)</f>
        <v>12577.5</v>
      </c>
      <c r="KH107" s="69">
        <f>SUM(KH76:KH106)</f>
        <v>6396</v>
      </c>
      <c r="KI107" s="69">
        <f>SUM(KI76:KI106)</f>
        <v>4875</v>
      </c>
      <c r="KJ107" s="69">
        <f>SUM(KJ76:KJ106)</f>
        <v>1521</v>
      </c>
      <c r="KK107" s="70">
        <f>KK106</f>
        <v>7702.5</v>
      </c>
      <c r="KL107" s="459">
        <f>KK107/19.5</f>
        <v>395</v>
      </c>
      <c r="KM107" s="460" t="s">
        <v>173</v>
      </c>
      <c r="KO107" s="72" t="s">
        <v>72</v>
      </c>
      <c r="KP107" s="73">
        <f>SUM(KP76:KP106)</f>
        <v>8467.1999999999989</v>
      </c>
      <c r="KQ107" s="69">
        <f>SUM(KQ76:KQ106)</f>
        <v>12096</v>
      </c>
      <c r="KR107" s="69">
        <f>SUM(KR76:KR106)</f>
        <v>8580.5999999999985</v>
      </c>
      <c r="KS107" s="69">
        <f>SUM(KS76:KS106)</f>
        <v>3515.3999999999996</v>
      </c>
      <c r="KT107" s="70">
        <f>KT106</f>
        <v>6426</v>
      </c>
      <c r="KU107" s="459">
        <f>KT107/18.9</f>
        <v>340</v>
      </c>
      <c r="KV107" s="460" t="s">
        <v>173</v>
      </c>
      <c r="KX107" s="72" t="s">
        <v>72</v>
      </c>
      <c r="KY107" s="73">
        <f>SUM(KY76:KY106)</f>
        <v>0</v>
      </c>
      <c r="KZ107" s="69">
        <f>SUM(KZ76:KZ106)</f>
        <v>0</v>
      </c>
      <c r="LA107" s="69">
        <f>SUM(LA76:LA106)</f>
        <v>0</v>
      </c>
      <c r="LB107" s="69">
        <f>SUM(LB76:LB106)</f>
        <v>0</v>
      </c>
      <c r="LC107" s="70">
        <f>LC106</f>
        <v>0</v>
      </c>
      <c r="LD107" s="71"/>
      <c r="LG107" s="72" t="s">
        <v>72</v>
      </c>
      <c r="LH107" s="73">
        <f>SUM(LH76:LH106)</f>
        <v>0</v>
      </c>
      <c r="LI107" s="69">
        <f>SUM(LI76:LI106)</f>
        <v>0</v>
      </c>
      <c r="LJ107" s="69">
        <f>SUM(LJ76:LJ106)</f>
        <v>0</v>
      </c>
      <c r="LK107" s="69">
        <f>SUM(LK76:LK106)</f>
        <v>0</v>
      </c>
      <c r="LL107" s="70">
        <f>LL106</f>
        <v>0</v>
      </c>
      <c r="LM107" s="71"/>
      <c r="LP107" s="72" t="s">
        <v>72</v>
      </c>
      <c r="LQ107" s="73">
        <f>SUM(LQ76:LQ106)</f>
        <v>0</v>
      </c>
      <c r="LR107" s="69">
        <f>SUM(LR76:LR106)</f>
        <v>0</v>
      </c>
      <c r="LS107" s="69">
        <f>SUM(LS76:LS106)</f>
        <v>0</v>
      </c>
      <c r="LT107" s="69">
        <f>SUM(LT76:LT106)</f>
        <v>0</v>
      </c>
      <c r="LU107" s="70">
        <f>LU106</f>
        <v>0</v>
      </c>
      <c r="LV107" s="71"/>
      <c r="LY107" s="72" t="s">
        <v>72</v>
      </c>
      <c r="LZ107" s="73">
        <f>SUM(LZ76:LZ106)</f>
        <v>0</v>
      </c>
      <c r="MA107" s="69">
        <f>SUM(MA76:MA106)</f>
        <v>0</v>
      </c>
      <c r="MB107" s="69">
        <f>SUM(MB76:MB106)</f>
        <v>0</v>
      </c>
      <c r="MC107" s="69">
        <f>SUM(MC76:MC106)</f>
        <v>0</v>
      </c>
      <c r="MD107" s="70">
        <f>MD106</f>
        <v>0</v>
      </c>
      <c r="ME107" s="71"/>
      <c r="MH107" s="72" t="s">
        <v>72</v>
      </c>
      <c r="MI107" s="73">
        <f>SUM(MI76:MI106)</f>
        <v>0</v>
      </c>
      <c r="MJ107" s="69">
        <f>SUM(MJ76:MJ106)</f>
        <v>0</v>
      </c>
      <c r="MK107" s="69">
        <f>SUM(MK76:MK106)</f>
        <v>0</v>
      </c>
      <c r="ML107" s="69">
        <f>SUM(ML76:ML106)</f>
        <v>0</v>
      </c>
      <c r="MM107" s="70">
        <f>MM106</f>
        <v>0</v>
      </c>
      <c r="MN107" s="71"/>
      <c r="MQ107" s="72" t="s">
        <v>72</v>
      </c>
      <c r="MR107" s="73">
        <f>SUM(MR76:MR106)</f>
        <v>2000</v>
      </c>
      <c r="MS107" s="69">
        <f>SUM(MS76:MS106)</f>
        <v>2308</v>
      </c>
      <c r="MT107" s="69">
        <f>SUM(MT76:MT106)</f>
        <v>1928</v>
      </c>
      <c r="MU107" s="69">
        <f>SUM(MU76:MU106)</f>
        <v>380</v>
      </c>
      <c r="MV107" s="70">
        <f>MV106</f>
        <v>4195</v>
      </c>
      <c r="MW107" s="71"/>
      <c r="MZ107" s="72" t="s">
        <v>72</v>
      </c>
      <c r="NA107" s="73">
        <f>SUM(NA76:NA106)</f>
        <v>2478</v>
      </c>
      <c r="NB107" s="69">
        <f>SUM(NB76:NB106)</f>
        <v>3384</v>
      </c>
      <c r="NC107" s="69">
        <f>SUM(NC76:NC106)</f>
        <v>2478</v>
      </c>
      <c r="ND107" s="69">
        <f>SUM(ND76:ND106)</f>
        <v>906</v>
      </c>
      <c r="NE107" s="70">
        <f>NE106</f>
        <v>0</v>
      </c>
      <c r="NF107" s="71"/>
      <c r="NI107" s="72" t="s">
        <v>72</v>
      </c>
      <c r="NJ107" s="73">
        <f>SUM(NJ76:NJ106)</f>
        <v>2065</v>
      </c>
      <c r="NK107" s="69">
        <f>SUM(NK76:NK106)</f>
        <v>50</v>
      </c>
      <c r="NL107" s="69">
        <f>SUM(NL76:NL106)</f>
        <v>0</v>
      </c>
      <c r="NM107" s="69">
        <f>SUM(NM76:NM106)</f>
        <v>50</v>
      </c>
      <c r="NN107" s="70">
        <f>NN106</f>
        <v>2065</v>
      </c>
      <c r="NO107" s="71"/>
      <c r="NR107" s="72" t="s">
        <v>72</v>
      </c>
      <c r="NS107" s="73">
        <f>SUM(NS76:NS106)</f>
        <v>3000</v>
      </c>
      <c r="NT107" s="69">
        <f>SUM(NT76:NT106)</f>
        <v>1188.5999999999999</v>
      </c>
      <c r="NU107" s="69">
        <f>SUM(NU76:NU106)</f>
        <v>795.19999999999993</v>
      </c>
      <c r="NV107" s="69">
        <f>SUM(NV76:NV106)</f>
        <v>393.40000000000003</v>
      </c>
      <c r="NW107" s="70">
        <f>NW106</f>
        <v>4152.5</v>
      </c>
      <c r="NX107" s="71"/>
      <c r="OA107" s="72" t="s">
        <v>72</v>
      </c>
      <c r="OB107" s="73">
        <f>SUM(OB76:OB106)</f>
        <v>0</v>
      </c>
      <c r="OC107" s="69">
        <f>SUM(OC76:OC106)</f>
        <v>0</v>
      </c>
      <c r="OD107" s="69">
        <f>SUM(OD76:OD106)</f>
        <v>0</v>
      </c>
      <c r="OE107" s="69">
        <f>SUM(OE76:OE106)</f>
        <v>0</v>
      </c>
      <c r="OF107" s="70">
        <f>OF106</f>
        <v>1680.5</v>
      </c>
      <c r="OG107" s="71"/>
      <c r="OJ107" s="72" t="s">
        <v>72</v>
      </c>
      <c r="OK107" s="73">
        <f>SUM(OK76:OK106)</f>
        <v>2160</v>
      </c>
      <c r="OL107" s="69">
        <f>SUM(OL76:OL106)</f>
        <v>3145.4</v>
      </c>
      <c r="OM107" s="69">
        <f>SUM(OM76:OM106)</f>
        <v>2160</v>
      </c>
      <c r="ON107" s="69">
        <f>SUM(ON76:ON106)</f>
        <v>985.39999999999964</v>
      </c>
      <c r="OO107" s="70">
        <f>OO106</f>
        <v>0</v>
      </c>
      <c r="OP107" s="71"/>
      <c r="OS107" s="72" t="s">
        <v>72</v>
      </c>
      <c r="OT107" s="73">
        <f>SUM(OT76:OT106)</f>
        <v>2000</v>
      </c>
      <c r="OU107" s="69">
        <f>SUM(OU76:OU106)</f>
        <v>0</v>
      </c>
      <c r="OV107" s="69">
        <f>SUM(OV76:OV106)</f>
        <v>1000</v>
      </c>
      <c r="OW107" s="69">
        <f>SUM(OW76:OW106)</f>
        <v>-1000</v>
      </c>
      <c r="OX107" s="70">
        <f>OX106</f>
        <v>1000</v>
      </c>
      <c r="OY107" s="71"/>
      <c r="PB107" s="72" t="s">
        <v>72</v>
      </c>
      <c r="PC107" s="73">
        <f>SUM(PC76:PC106)</f>
        <v>0</v>
      </c>
      <c r="PD107" s="69">
        <f>SUM(PD76:PD106)</f>
        <v>0</v>
      </c>
      <c r="PE107" s="69">
        <f>SUM(PE76:PE106)</f>
        <v>0</v>
      </c>
      <c r="PF107" s="69">
        <f>SUM(PF76:PF106)</f>
        <v>0</v>
      </c>
      <c r="PG107" s="70">
        <f>PG106</f>
        <v>0</v>
      </c>
      <c r="PH107" s="71"/>
      <c r="PK107" s="72" t="s">
        <v>72</v>
      </c>
      <c r="PL107" s="73">
        <f>SUM(PL76:PL106)</f>
        <v>0</v>
      </c>
      <c r="PM107" s="69">
        <f>SUM(PM76:PM106)</f>
        <v>0</v>
      </c>
      <c r="PN107" s="69">
        <f>SUM(PN76:PN106)</f>
        <v>0</v>
      </c>
      <c r="PO107" s="69">
        <f>SUM(PO76:PO106)</f>
        <v>0</v>
      </c>
      <c r="PP107" s="70">
        <f>PP106</f>
        <v>100</v>
      </c>
      <c r="PQ107" s="71"/>
      <c r="PT107" s="72" t="s">
        <v>72</v>
      </c>
      <c r="PU107" s="73">
        <f>SUM(PU76:PU106)</f>
        <v>0</v>
      </c>
      <c r="PV107" s="69">
        <f>SUM(PV76:PV106)</f>
        <v>0</v>
      </c>
      <c r="PW107" s="69">
        <f>SUM(PW76:PW106)</f>
        <v>0</v>
      </c>
      <c r="PX107" s="69">
        <f>SUM(PX76:PX106)</f>
        <v>0</v>
      </c>
      <c r="PY107" s="70">
        <f>PY106</f>
        <v>13.960000000000036</v>
      </c>
      <c r="PZ107" s="71"/>
      <c r="QC107" s="72" t="s">
        <v>72</v>
      </c>
      <c r="QD107" s="73">
        <f>SUM(QD76:QD106)</f>
        <v>868</v>
      </c>
      <c r="QE107" s="69">
        <f>SUM(QE76:QE106)</f>
        <v>0</v>
      </c>
      <c r="QF107" s="69">
        <f>SUM(QF76:QF106)</f>
        <v>0</v>
      </c>
      <c r="QG107" s="69">
        <f>SUM(QG76:QG106)</f>
        <v>0</v>
      </c>
      <c r="QH107" s="70">
        <f>QH106</f>
        <v>1212</v>
      </c>
      <c r="QI107" s="71"/>
      <c r="QL107" s="72" t="s">
        <v>72</v>
      </c>
      <c r="QM107" s="73">
        <f>SUM(QM76:QM106)</f>
        <v>400</v>
      </c>
      <c r="QN107" s="69">
        <f>SUM(QN76:QN106)</f>
        <v>0</v>
      </c>
      <c r="QO107" s="69">
        <f>SUM(QO76:QO106)</f>
        <v>0</v>
      </c>
      <c r="QP107" s="69">
        <f>SUM(QP76:QP106)</f>
        <v>0</v>
      </c>
      <c r="QQ107" s="70">
        <f>QQ106</f>
        <v>400</v>
      </c>
      <c r="QR107" s="71"/>
      <c r="QU107" s="72" t="s">
        <v>72</v>
      </c>
      <c r="QV107" s="73">
        <f>SUM(QV76:QV106)</f>
        <v>0</v>
      </c>
      <c r="QW107" s="69">
        <f>SUM(QW76:QW106)</f>
        <v>0</v>
      </c>
      <c r="QX107" s="69">
        <f>SUM(QX76:QX106)</f>
        <v>0</v>
      </c>
      <c r="QY107" s="69">
        <f>SUM(QY76:QY106)</f>
        <v>0</v>
      </c>
      <c r="QZ107" s="70">
        <f>QZ106</f>
        <v>207.6</v>
      </c>
      <c r="RA107" s="71"/>
      <c r="RD107" s="72" t="s">
        <v>72</v>
      </c>
      <c r="RE107" s="73">
        <f>SUM(RE76:RE106)</f>
        <v>0</v>
      </c>
      <c r="RF107" s="69">
        <f>SUM(RF76:RF106)</f>
        <v>0</v>
      </c>
      <c r="RG107" s="69">
        <f>SUM(RG76:RG106)</f>
        <v>0</v>
      </c>
      <c r="RH107" s="69">
        <f>SUM(RH76:RH106)</f>
        <v>0</v>
      </c>
      <c r="RI107" s="70">
        <f>RI106</f>
        <v>197.04000000000002</v>
      </c>
      <c r="RJ107" s="71"/>
      <c r="RM107" s="72" t="s">
        <v>72</v>
      </c>
      <c r="RN107" s="73">
        <f>SUM(RN76:RN106)</f>
        <v>0</v>
      </c>
      <c r="RO107" s="69">
        <f>SUM(RO76:RO106)</f>
        <v>0</v>
      </c>
      <c r="RP107" s="69">
        <f>SUM(RP76:RP106)</f>
        <v>0</v>
      </c>
      <c r="RQ107" s="69">
        <f>SUM(RQ76:RQ106)</f>
        <v>0</v>
      </c>
      <c r="RR107" s="70">
        <f>RR106</f>
        <v>46.8</v>
      </c>
      <c r="RS107" s="71"/>
      <c r="RV107" s="72" t="s">
        <v>72</v>
      </c>
      <c r="RW107" s="73">
        <f>SUM(RW76:RW106)</f>
        <v>0</v>
      </c>
      <c r="RX107" s="69">
        <f>SUM(RX76:RX106)</f>
        <v>0</v>
      </c>
      <c r="RY107" s="69">
        <f>SUM(RY76:RY106)</f>
        <v>0</v>
      </c>
      <c r="RZ107" s="69">
        <f>SUM(RZ76:RZ106)</f>
        <v>0</v>
      </c>
      <c r="SA107" s="70">
        <f>SA106</f>
        <v>0</v>
      </c>
      <c r="SB107" s="71"/>
      <c r="SE107" s="72" t="s">
        <v>72</v>
      </c>
      <c r="SF107" s="73">
        <f>SUM(SF76:SF106)</f>
        <v>0</v>
      </c>
      <c r="SG107" s="69">
        <f>SUM(SG76:SG106)</f>
        <v>0</v>
      </c>
      <c r="SH107" s="69">
        <f>SUM(SH76:SH106)</f>
        <v>0</v>
      </c>
      <c r="SI107" s="69">
        <f>SUM(SI76:SI106)</f>
        <v>0</v>
      </c>
      <c r="SJ107" s="70">
        <f>SJ106</f>
        <v>0</v>
      </c>
      <c r="SK107" s="71"/>
      <c r="SN107" s="72" t="s">
        <v>72</v>
      </c>
      <c r="SO107" s="73">
        <f>SUM(SO76:SO106)</f>
        <v>0</v>
      </c>
      <c r="SP107" s="69">
        <f>SUM(SP76:SP106)</f>
        <v>0</v>
      </c>
      <c r="SQ107" s="69">
        <f>SUM(SQ76:SQ106)</f>
        <v>0</v>
      </c>
      <c r="SR107" s="69">
        <f>SUM(SR76:SR106)</f>
        <v>0</v>
      </c>
      <c r="SS107" s="70">
        <f>SS106</f>
        <v>0</v>
      </c>
      <c r="ST107" s="71"/>
      <c r="SW107" s="72" t="s">
        <v>72</v>
      </c>
      <c r="SX107" s="73">
        <f>SUM(SX76:SX106)</f>
        <v>0</v>
      </c>
      <c r="SY107" s="69">
        <f>SUM(SY76:SY106)</f>
        <v>0</v>
      </c>
      <c r="SZ107" s="69">
        <f>SUM(SZ76:SZ106)</f>
        <v>0</v>
      </c>
      <c r="TA107" s="69">
        <f>SUM(TA76:TA106)</f>
        <v>0</v>
      </c>
      <c r="TB107" s="70">
        <f>TB106</f>
        <v>0</v>
      </c>
      <c r="TC107" s="71"/>
      <c r="TF107" s="72" t="s">
        <v>72</v>
      </c>
      <c r="TG107" s="73">
        <f>SUM(TG76:TG106)</f>
        <v>0</v>
      </c>
      <c r="TH107" s="69">
        <f>SUM(TH76:TH106)</f>
        <v>0</v>
      </c>
      <c r="TI107" s="69">
        <f>SUM(TI76:TI106)</f>
        <v>0</v>
      </c>
      <c r="TJ107" s="69">
        <f>SUM(TJ76:TJ106)</f>
        <v>0</v>
      </c>
      <c r="TK107" s="70">
        <f>TK106</f>
        <v>0</v>
      </c>
      <c r="TL107" s="71"/>
      <c r="TO107" s="72" t="s">
        <v>72</v>
      </c>
      <c r="TP107" s="73">
        <f>SUM(TP76:TP106)</f>
        <v>0</v>
      </c>
      <c r="TQ107" s="69">
        <f>SUM(TQ76:TQ106)</f>
        <v>0</v>
      </c>
      <c r="TR107" s="69">
        <f>SUM(TR76:TR106)</f>
        <v>0</v>
      </c>
      <c r="TS107" s="69">
        <f>SUM(TS76:TS106)</f>
        <v>0</v>
      </c>
      <c r="TT107" s="70">
        <f>TT106</f>
        <v>0</v>
      </c>
      <c r="TU107" s="71"/>
      <c r="TX107" s="72" t="s">
        <v>72</v>
      </c>
      <c r="TY107" s="73">
        <f>SUM(TY76:TY106)</f>
        <v>0</v>
      </c>
      <c r="TZ107" s="69">
        <f>SUM(TZ76:TZ106)</f>
        <v>0</v>
      </c>
      <c r="UA107" s="69">
        <f>SUM(UA76:UA106)</f>
        <v>0</v>
      </c>
      <c r="UB107" s="69">
        <f>SUM(UB76:UB106)</f>
        <v>0</v>
      </c>
      <c r="UC107" s="70">
        <f>UC106</f>
        <v>0</v>
      </c>
      <c r="UD107" s="71"/>
      <c r="UG107" s="72" t="s">
        <v>72</v>
      </c>
      <c r="UH107" s="73">
        <f>SUM(UH76:UH106)</f>
        <v>0</v>
      </c>
      <c r="UI107" s="69">
        <f>SUM(UI76:UI106)</f>
        <v>0</v>
      </c>
      <c r="UJ107" s="69">
        <f>SUM(UJ76:UJ106)</f>
        <v>0</v>
      </c>
      <c r="UK107" s="69">
        <f>SUM(UK76:UK106)</f>
        <v>0</v>
      </c>
      <c r="UL107" s="70">
        <f>UL106</f>
        <v>0</v>
      </c>
      <c r="UM107" s="71"/>
      <c r="UP107" s="72" t="s">
        <v>72</v>
      </c>
      <c r="UQ107" s="73">
        <f>SUM(UQ76:UQ106)</f>
        <v>0</v>
      </c>
      <c r="UR107" s="69">
        <f>SUM(UR76:UR106)</f>
        <v>0</v>
      </c>
      <c r="US107" s="69">
        <f>SUM(US76:US106)</f>
        <v>0</v>
      </c>
      <c r="UT107" s="69">
        <f>SUM(UT76:UT106)</f>
        <v>0</v>
      </c>
      <c r="UU107" s="70">
        <f>UU106</f>
        <v>0</v>
      </c>
      <c r="UV107" s="71"/>
      <c r="UY107" s="72" t="s">
        <v>72</v>
      </c>
      <c r="UZ107" s="73">
        <f>SUM(UZ76:UZ106)</f>
        <v>0</v>
      </c>
      <c r="VA107" s="69">
        <f>SUM(VA76:VA106)</f>
        <v>0</v>
      </c>
      <c r="VB107" s="69">
        <f>SUM(VB76:VB106)</f>
        <v>0</v>
      </c>
      <c r="VC107" s="69">
        <f>SUM(VC76:VC106)</f>
        <v>0</v>
      </c>
      <c r="VD107" s="70">
        <f>VD106</f>
        <v>41.600000000000023</v>
      </c>
      <c r="VE107" s="71"/>
      <c r="VH107" s="72" t="s">
        <v>72</v>
      </c>
      <c r="VI107" s="73">
        <f>SUM(VI76:VI106)</f>
        <v>0</v>
      </c>
      <c r="VJ107" s="69">
        <f>SUM(VJ76:VJ106)</f>
        <v>0</v>
      </c>
      <c r="VK107" s="69">
        <f>SUM(VK76:VK106)</f>
        <v>0</v>
      </c>
      <c r="VL107" s="69">
        <f>SUM(VL76:VL106)</f>
        <v>0</v>
      </c>
      <c r="VM107" s="70">
        <f>VM106</f>
        <v>0</v>
      </c>
      <c r="VN107" s="71"/>
      <c r="VQ107" s="72" t="s">
        <v>72</v>
      </c>
      <c r="VR107" s="73">
        <f>SUM(VR76:VR106)</f>
        <v>0</v>
      </c>
      <c r="VS107" s="69">
        <f>SUM(VS76:VS106)</f>
        <v>0</v>
      </c>
      <c r="VT107" s="69">
        <f>SUM(VT76:VT106)</f>
        <v>0</v>
      </c>
      <c r="VU107" s="69">
        <f>SUM(VU76:VU106)</f>
        <v>0</v>
      </c>
      <c r="VV107" s="70">
        <f>VV106</f>
        <v>0</v>
      </c>
      <c r="VW107" s="71"/>
      <c r="VZ107" s="72" t="s">
        <v>72</v>
      </c>
      <c r="WA107" s="73">
        <f>SUM(WA76:WA106)</f>
        <v>0</v>
      </c>
      <c r="WB107" s="69">
        <f>SUM(WB76:WB106)</f>
        <v>0</v>
      </c>
      <c r="WC107" s="69">
        <f>SUM(WC76:WC106)</f>
        <v>0</v>
      </c>
      <c r="WD107" s="69">
        <f>SUM(WD76:WD106)</f>
        <v>0</v>
      </c>
      <c r="WE107" s="70">
        <f>WE106</f>
        <v>0</v>
      </c>
      <c r="WF107" s="71"/>
      <c r="WI107" s="72" t="s">
        <v>72</v>
      </c>
      <c r="WJ107" s="73">
        <f>SUM(WJ76:WJ106)</f>
        <v>0</v>
      </c>
      <c r="WK107" s="69">
        <f>SUM(WK76:WK106)</f>
        <v>0</v>
      </c>
      <c r="WL107" s="69">
        <f>SUM(WL76:WL106)</f>
        <v>2739</v>
      </c>
      <c r="WM107" s="69">
        <f>SUM(WM76:WM106)</f>
        <v>-2739</v>
      </c>
      <c r="WN107" s="70">
        <f>WN106</f>
        <v>3889</v>
      </c>
      <c r="WO107" s="71"/>
      <c r="WR107" s="72" t="s">
        <v>72</v>
      </c>
      <c r="WS107" s="73">
        <f>SUM(WS76:WS106)</f>
        <v>211</v>
      </c>
      <c r="WT107" s="69">
        <f>SUM(WT76:WT106)</f>
        <v>0</v>
      </c>
      <c r="WU107" s="69">
        <f>SUM(WU76:WU106)</f>
        <v>6770</v>
      </c>
      <c r="WV107" s="69">
        <f>SUM(WV76:WV106)</f>
        <v>-6770</v>
      </c>
      <c r="WW107" s="70">
        <f>WW106</f>
        <v>0</v>
      </c>
      <c r="WX107" s="71"/>
      <c r="XA107" s="72" t="s">
        <v>72</v>
      </c>
      <c r="XB107" s="73">
        <f>SUM(XB76:XB106)</f>
        <v>6552</v>
      </c>
      <c r="XC107" s="69">
        <f>SUM(XC76:XC106)</f>
        <v>0</v>
      </c>
      <c r="XD107" s="69">
        <f>SUM(XD76:XD106)</f>
        <v>793</v>
      </c>
      <c r="XE107" s="69">
        <f>SUM(XE76:XE106)</f>
        <v>-793</v>
      </c>
      <c r="XF107" s="70">
        <f>XF106</f>
        <v>6349</v>
      </c>
      <c r="XG107" s="71"/>
      <c r="XJ107" s="72" t="s">
        <v>72</v>
      </c>
      <c r="XK107" s="73">
        <f>SUM(XK76:XK106)</f>
        <v>8000</v>
      </c>
      <c r="XL107" s="69">
        <f>SUM(XL76:XL106)</f>
        <v>0</v>
      </c>
      <c r="XM107" s="69">
        <f>SUM(XM76:XM106)</f>
        <v>5402</v>
      </c>
      <c r="XN107" s="69">
        <f>SUM(XN76:XN106)</f>
        <v>-5402</v>
      </c>
      <c r="XO107" s="70">
        <f>XO106</f>
        <v>5989</v>
      </c>
      <c r="XP107" s="71"/>
      <c r="XS107" s="72" t="s">
        <v>72</v>
      </c>
      <c r="XT107" s="73">
        <f>SUM(XT76:XT106)</f>
        <v>0</v>
      </c>
      <c r="XU107" s="69">
        <f>SUM(XU76:XU106)</f>
        <v>0</v>
      </c>
      <c r="XV107" s="69">
        <f>SUM(XV76:XV106)</f>
        <v>0</v>
      </c>
      <c r="XW107" s="69">
        <f>SUM(XW76:XW106)</f>
        <v>0</v>
      </c>
      <c r="XX107" s="70">
        <f>XX106</f>
        <v>1901</v>
      </c>
      <c r="XY107" s="71"/>
      <c r="YB107" s="72" t="s">
        <v>72</v>
      </c>
      <c r="YC107" s="73">
        <f>SUM(YC76:YC106)</f>
        <v>6459</v>
      </c>
      <c r="YD107" s="69">
        <f>SUM(YD76:YD106)</f>
        <v>0</v>
      </c>
      <c r="YE107" s="69">
        <f>SUM(YE76:YE106)</f>
        <v>0</v>
      </c>
      <c r="YF107" s="69">
        <f>SUM(YF76:YF106)</f>
        <v>0</v>
      </c>
      <c r="YG107" s="70">
        <f>YG106</f>
        <v>6459</v>
      </c>
      <c r="YH107" s="71"/>
      <c r="YK107" s="72" t="s">
        <v>72</v>
      </c>
      <c r="YL107" s="73">
        <f>SUM(YL76:YL106)</f>
        <v>0</v>
      </c>
      <c r="YM107" s="69">
        <f>SUM(YM76:YM106)</f>
        <v>0</v>
      </c>
      <c r="YN107" s="69">
        <f>SUM(YN76:YN106)</f>
        <v>0</v>
      </c>
      <c r="YO107" s="69">
        <f>SUM(YO76:YO106)</f>
        <v>0</v>
      </c>
      <c r="YP107" s="70">
        <f>YP106</f>
        <v>0</v>
      </c>
      <c r="YQ107" s="71"/>
      <c r="YT107" s="72" t="s">
        <v>72</v>
      </c>
      <c r="YU107" s="73">
        <f>SUM(YU76:YU106)</f>
        <v>0</v>
      </c>
      <c r="YV107" s="69">
        <f>SUM(YV76:YV106)</f>
        <v>0</v>
      </c>
      <c r="YW107" s="69">
        <f>SUM(YW76:YW106)</f>
        <v>0</v>
      </c>
      <c r="YX107" s="69">
        <f>SUM(YX76:YX106)</f>
        <v>0</v>
      </c>
      <c r="YY107" s="70">
        <f>YY106</f>
        <v>0</v>
      </c>
      <c r="YZ107" s="71"/>
      <c r="ZC107" s="72" t="s">
        <v>72</v>
      </c>
      <c r="ZD107" s="73">
        <f>SUM(ZD76:ZD106)</f>
        <v>0</v>
      </c>
      <c r="ZE107" s="69">
        <f>SUM(ZE76:ZE106)</f>
        <v>0</v>
      </c>
      <c r="ZF107" s="69">
        <f>SUM(ZF76:ZF106)</f>
        <v>0</v>
      </c>
      <c r="ZG107" s="69">
        <f>SUM(ZG76:ZG106)</f>
        <v>0</v>
      </c>
      <c r="ZH107" s="70">
        <f>ZH106</f>
        <v>0</v>
      </c>
      <c r="ZI107" s="71"/>
      <c r="ZL107" s="72" t="s">
        <v>72</v>
      </c>
      <c r="ZM107" s="73">
        <f>SUM(ZM76:ZM106)</f>
        <v>0</v>
      </c>
      <c r="ZN107" s="69">
        <f>SUM(ZN76:ZN106)</f>
        <v>0</v>
      </c>
      <c r="ZO107" s="69">
        <f>SUM(ZO76:ZO106)</f>
        <v>0</v>
      </c>
      <c r="ZP107" s="69">
        <f>SUM(ZP76:ZP106)</f>
        <v>0</v>
      </c>
      <c r="ZQ107" s="70">
        <f>ZQ106</f>
        <v>0</v>
      </c>
      <c r="ZR107" s="71"/>
      <c r="ZU107" s="72" t="s">
        <v>72</v>
      </c>
      <c r="ZV107" s="73">
        <f>SUM(ZV76:ZV106)</f>
        <v>0</v>
      </c>
      <c r="ZW107" s="69">
        <f>SUM(ZW76:ZW106)</f>
        <v>0</v>
      </c>
      <c r="ZX107" s="69">
        <f>SUM(ZX76:ZX106)</f>
        <v>0</v>
      </c>
      <c r="ZY107" s="69">
        <f>SUM(ZY76:ZY106)</f>
        <v>0</v>
      </c>
      <c r="ZZ107" s="70">
        <f>ZZ106</f>
        <v>0</v>
      </c>
      <c r="AAA107" s="71"/>
      <c r="AAD107" s="72" t="s">
        <v>72</v>
      </c>
      <c r="AAE107" s="73">
        <f>SUM(AAE76:AAE106)</f>
        <v>0</v>
      </c>
      <c r="AAF107" s="69">
        <f>SUM(AAF76:AAF106)</f>
        <v>0</v>
      </c>
      <c r="AAG107" s="69">
        <f>SUM(AAG76:AAG106)</f>
        <v>0</v>
      </c>
      <c r="AAH107" s="69">
        <f>SUM(AAH76:AAH106)</f>
        <v>0</v>
      </c>
      <c r="AAI107" s="70">
        <f>AAI106</f>
        <v>0</v>
      </c>
      <c r="AAJ107" s="71"/>
      <c r="AAM107" s="72" t="s">
        <v>72</v>
      </c>
      <c r="AAN107" s="73">
        <f>SUM(AAN76:AAN106)</f>
        <v>0</v>
      </c>
      <c r="AAO107" s="69">
        <f>SUM(AAO76:AAO106)</f>
        <v>0</v>
      </c>
      <c r="AAP107" s="69">
        <f>SUM(AAP76:AAP106)</f>
        <v>0</v>
      </c>
      <c r="AAQ107" s="69">
        <f>SUM(AAQ76:AAQ106)</f>
        <v>0</v>
      </c>
      <c r="AAR107" s="70">
        <f>AAR106</f>
        <v>0</v>
      </c>
      <c r="AAS107" s="71"/>
      <c r="AAV107" s="72" t="s">
        <v>72</v>
      </c>
      <c r="AAW107" s="73">
        <f>SUM(AAW76:AAW106)</f>
        <v>0</v>
      </c>
      <c r="AAX107" s="69">
        <f>SUM(AAX76:AAX106)</f>
        <v>0</v>
      </c>
      <c r="AAY107" s="69">
        <f>SUM(AAY76:AAY106)</f>
        <v>0</v>
      </c>
      <c r="AAZ107" s="69">
        <f>SUM(AAZ76:AAZ106)</f>
        <v>0</v>
      </c>
      <c r="ABA107" s="70">
        <f>ABA106</f>
        <v>0</v>
      </c>
      <c r="ABB107" s="71"/>
      <c r="ABE107" s="72" t="s">
        <v>72</v>
      </c>
      <c r="ABF107" s="73">
        <f>SUM(ABF76:ABF106)</f>
        <v>0</v>
      </c>
      <c r="ABG107" s="69">
        <f>SUM(ABG76:ABG106)</f>
        <v>0</v>
      </c>
      <c r="ABH107" s="69">
        <f>SUM(ABH76:ABH106)</f>
        <v>0</v>
      </c>
      <c r="ABI107" s="69">
        <f>SUM(ABI76:ABI106)</f>
        <v>0</v>
      </c>
      <c r="ABJ107" s="70">
        <f>ABJ106</f>
        <v>0</v>
      </c>
      <c r="ABK107" s="71"/>
    </row>
    <row r="108" spans="1:739" ht="14.45" thickBot="1">
      <c r="C108" s="75"/>
      <c r="L108" s="75"/>
      <c r="U108" s="75"/>
      <c r="AD108" s="75"/>
      <c r="AM108" s="75"/>
      <c r="AV108" s="75"/>
      <c r="BE108" s="75"/>
      <c r="BN108" s="75"/>
      <c r="BW108" s="75"/>
      <c r="CF108" s="75"/>
      <c r="CO108" s="75"/>
      <c r="CX108" s="75"/>
      <c r="DG108" s="75"/>
      <c r="DP108" s="75"/>
      <c r="DY108" s="75"/>
      <c r="EH108" s="75"/>
      <c r="EQ108" s="75"/>
      <c r="EZ108" s="75"/>
      <c r="FI108" s="75"/>
      <c r="FR108" s="75"/>
      <c r="GA108" s="75"/>
      <c r="GJ108" s="75"/>
      <c r="GS108" s="75"/>
      <c r="HB108" s="75"/>
      <c r="HK108" s="75"/>
      <c r="HU108" s="75"/>
      <c r="ID108" s="75"/>
      <c r="IM108" s="75"/>
      <c r="IV108" s="75"/>
      <c r="JE108" s="75"/>
      <c r="JN108" s="75"/>
      <c r="JW108" s="75"/>
      <c r="KF108" s="75"/>
      <c r="KO108" s="75"/>
      <c r="KX108" s="75"/>
      <c r="LG108" s="75"/>
      <c r="LP108" s="75"/>
      <c r="LY108" s="75"/>
      <c r="MH108" s="75"/>
      <c r="MQ108" s="75"/>
      <c r="MZ108" s="75"/>
      <c r="NI108" s="75"/>
      <c r="NR108" s="75"/>
      <c r="OA108" s="75"/>
      <c r="OJ108" s="75"/>
      <c r="OS108" s="75"/>
      <c r="PB108" s="75"/>
      <c r="PK108" s="75"/>
      <c r="PT108" s="75"/>
      <c r="QC108" s="75"/>
      <c r="QL108" s="75"/>
      <c r="QU108" s="75"/>
      <c r="RD108" s="75"/>
      <c r="RM108" s="75"/>
      <c r="RV108" s="75"/>
      <c r="SE108" s="75"/>
      <c r="SN108" s="75"/>
      <c r="SW108" s="75"/>
      <c r="TF108" s="75"/>
      <c r="TO108" s="75"/>
      <c r="TX108" s="75"/>
      <c r="UG108" s="75"/>
      <c r="UP108" s="75"/>
      <c r="UY108" s="75"/>
      <c r="VH108" s="75"/>
      <c r="VQ108" s="75"/>
      <c r="VZ108" s="75"/>
      <c r="WI108" s="75"/>
      <c r="WR108" s="75"/>
      <c r="XA108" s="75"/>
      <c r="XJ108" s="75"/>
      <c r="XS108" s="75"/>
      <c r="YB108" s="75"/>
      <c r="YK108" s="75"/>
      <c r="YT108" s="75"/>
      <c r="ZC108" s="75"/>
      <c r="ZL108" s="75"/>
      <c r="ZU108" s="75"/>
      <c r="AAD108" s="75"/>
      <c r="AAM108" s="75"/>
      <c r="AAV108" s="75"/>
      <c r="ABE108" s="75"/>
    </row>
    <row r="109" spans="1:739" ht="14.45" thickBot="1">
      <c r="A109" s="22" t="s">
        <v>236</v>
      </c>
      <c r="C109" s="569" t="s">
        <v>143</v>
      </c>
      <c r="D109" s="570"/>
      <c r="E109" s="570"/>
      <c r="F109" s="570"/>
      <c r="G109" s="570"/>
      <c r="H109" s="571"/>
      <c r="I109" s="321"/>
      <c r="J109" s="22" t="s">
        <v>236</v>
      </c>
      <c r="L109" s="569" t="s">
        <v>143</v>
      </c>
      <c r="M109" s="570"/>
      <c r="N109" s="570"/>
      <c r="O109" s="570"/>
      <c r="P109" s="570"/>
      <c r="Q109" s="571"/>
      <c r="R109" s="24"/>
      <c r="S109" s="22" t="s">
        <v>236</v>
      </c>
      <c r="U109" s="569" t="s">
        <v>143</v>
      </c>
      <c r="V109" s="570"/>
      <c r="W109" s="570"/>
      <c r="X109" s="570"/>
      <c r="Y109" s="570"/>
      <c r="Z109" s="571"/>
      <c r="AA109" s="24"/>
      <c r="AB109" s="22" t="s">
        <v>236</v>
      </c>
      <c r="AD109" s="569" t="s">
        <v>143</v>
      </c>
      <c r="AE109" s="570"/>
      <c r="AF109" s="570"/>
      <c r="AG109" s="570"/>
      <c r="AH109" s="570"/>
      <c r="AI109" s="571"/>
      <c r="AJ109" s="24"/>
      <c r="AK109" s="22" t="s">
        <v>236</v>
      </c>
      <c r="AM109" s="569" t="s">
        <v>143</v>
      </c>
      <c r="AN109" s="570"/>
      <c r="AO109" s="570"/>
      <c r="AP109" s="570"/>
      <c r="AQ109" s="570"/>
      <c r="AR109" s="571"/>
      <c r="AS109" s="24"/>
      <c r="AT109" s="22" t="s">
        <v>236</v>
      </c>
      <c r="AV109" s="569" t="s">
        <v>143</v>
      </c>
      <c r="AW109" s="570"/>
      <c r="AX109" s="570"/>
      <c r="AY109" s="570"/>
      <c r="AZ109" s="570"/>
      <c r="BA109" s="571"/>
      <c r="BB109" s="24"/>
      <c r="BC109" s="22" t="s">
        <v>236</v>
      </c>
      <c r="BE109" s="569" t="s">
        <v>143</v>
      </c>
      <c r="BF109" s="570"/>
      <c r="BG109" s="570"/>
      <c r="BH109" s="570"/>
      <c r="BI109" s="570"/>
      <c r="BJ109" s="571"/>
      <c r="BK109" s="24"/>
      <c r="BL109" s="22" t="s">
        <v>236</v>
      </c>
      <c r="BN109" s="569" t="s">
        <v>143</v>
      </c>
      <c r="BO109" s="570"/>
      <c r="BP109" s="570"/>
      <c r="BQ109" s="570"/>
      <c r="BR109" s="570"/>
      <c r="BS109" s="571"/>
      <c r="BT109" s="24"/>
      <c r="BU109" s="22" t="s">
        <v>236</v>
      </c>
      <c r="BW109" s="569" t="s">
        <v>143</v>
      </c>
      <c r="BX109" s="570"/>
      <c r="BY109" s="570"/>
      <c r="BZ109" s="570"/>
      <c r="CA109" s="570"/>
      <c r="CB109" s="571"/>
      <c r="CC109" s="24"/>
      <c r="CD109" s="22" t="s">
        <v>236</v>
      </c>
      <c r="CF109" s="569" t="s">
        <v>143</v>
      </c>
      <c r="CG109" s="570"/>
      <c r="CH109" s="570"/>
      <c r="CI109" s="570"/>
      <c r="CJ109" s="570"/>
      <c r="CK109" s="571"/>
      <c r="CL109" s="24"/>
      <c r="CM109" s="22" t="s">
        <v>236</v>
      </c>
      <c r="CO109" s="569" t="s">
        <v>143</v>
      </c>
      <c r="CP109" s="570"/>
      <c r="CQ109" s="570"/>
      <c r="CR109" s="570"/>
      <c r="CS109" s="570"/>
      <c r="CT109" s="571"/>
      <c r="CU109" s="24"/>
      <c r="CV109" s="22" t="s">
        <v>236</v>
      </c>
      <c r="CX109" s="569" t="s">
        <v>143</v>
      </c>
      <c r="CY109" s="570"/>
      <c r="CZ109" s="570"/>
      <c r="DA109" s="570"/>
      <c r="DB109" s="570"/>
      <c r="DC109" s="571"/>
      <c r="DD109" s="24"/>
      <c r="DE109" s="22" t="s">
        <v>236</v>
      </c>
      <c r="DG109" s="569" t="s">
        <v>143</v>
      </c>
      <c r="DH109" s="570"/>
      <c r="DI109" s="570"/>
      <c r="DJ109" s="570"/>
      <c r="DK109" s="570"/>
      <c r="DL109" s="571"/>
      <c r="DM109" s="24"/>
      <c r="DN109" s="22" t="s">
        <v>236</v>
      </c>
      <c r="DP109" s="569" t="s">
        <v>143</v>
      </c>
      <c r="DQ109" s="570"/>
      <c r="DR109" s="570"/>
      <c r="DS109" s="570"/>
      <c r="DT109" s="570"/>
      <c r="DU109" s="571"/>
      <c r="DV109" s="24"/>
      <c r="DW109" s="22" t="s">
        <v>236</v>
      </c>
      <c r="DY109" s="569" t="s">
        <v>143</v>
      </c>
      <c r="DZ109" s="570"/>
      <c r="EA109" s="570"/>
      <c r="EB109" s="570"/>
      <c r="EC109" s="570"/>
      <c r="ED109" s="571"/>
      <c r="EE109" s="24"/>
      <c r="EF109" s="22" t="s">
        <v>236</v>
      </c>
      <c r="EH109" s="569" t="s">
        <v>143</v>
      </c>
      <c r="EI109" s="570"/>
      <c r="EJ109" s="570"/>
      <c r="EK109" s="570"/>
      <c r="EL109" s="570"/>
      <c r="EM109" s="571"/>
      <c r="EN109" s="24"/>
      <c r="EO109" s="22" t="s">
        <v>236</v>
      </c>
      <c r="EQ109" s="569" t="s">
        <v>143</v>
      </c>
      <c r="ER109" s="570"/>
      <c r="ES109" s="570"/>
      <c r="ET109" s="570"/>
      <c r="EU109" s="570"/>
      <c r="EV109" s="571"/>
      <c r="EW109" s="24"/>
      <c r="EX109" s="22" t="s">
        <v>236</v>
      </c>
      <c r="EZ109" s="569" t="s">
        <v>143</v>
      </c>
      <c r="FA109" s="570"/>
      <c r="FB109" s="570"/>
      <c r="FC109" s="570"/>
      <c r="FD109" s="570"/>
      <c r="FE109" s="571"/>
      <c r="FF109" s="24"/>
      <c r="FG109" s="22" t="s">
        <v>236</v>
      </c>
      <c r="FI109" s="569" t="s">
        <v>143</v>
      </c>
      <c r="FJ109" s="570"/>
      <c r="FK109" s="570"/>
      <c r="FL109" s="570"/>
      <c r="FM109" s="570"/>
      <c r="FN109" s="571"/>
      <c r="FO109" s="24"/>
      <c r="FP109" s="22" t="s">
        <v>236</v>
      </c>
      <c r="FR109" s="569" t="s">
        <v>143</v>
      </c>
      <c r="FS109" s="570"/>
      <c r="FT109" s="570"/>
      <c r="FU109" s="570"/>
      <c r="FV109" s="570"/>
      <c r="FW109" s="571"/>
      <c r="FX109" s="24"/>
      <c r="FY109" s="22" t="s">
        <v>236</v>
      </c>
      <c r="GA109" s="569" t="s">
        <v>143</v>
      </c>
      <c r="GB109" s="570"/>
      <c r="GC109" s="570"/>
      <c r="GD109" s="570"/>
      <c r="GE109" s="570"/>
      <c r="GF109" s="571"/>
      <c r="GG109" s="24"/>
      <c r="GH109" s="22" t="s">
        <v>236</v>
      </c>
      <c r="GJ109" s="569" t="s">
        <v>143</v>
      </c>
      <c r="GK109" s="570"/>
      <c r="GL109" s="570"/>
      <c r="GM109" s="570"/>
      <c r="GN109" s="570"/>
      <c r="GO109" s="571"/>
      <c r="GP109" s="24"/>
      <c r="GQ109" s="22" t="s">
        <v>236</v>
      </c>
      <c r="GS109" s="569" t="s">
        <v>143</v>
      </c>
      <c r="GT109" s="570"/>
      <c r="GU109" s="570"/>
      <c r="GV109" s="570"/>
      <c r="GW109" s="570"/>
      <c r="GX109" s="571"/>
      <c r="GY109" s="24"/>
      <c r="GZ109" s="22" t="s">
        <v>236</v>
      </c>
      <c r="HB109" s="569" t="s">
        <v>143</v>
      </c>
      <c r="HC109" s="570"/>
      <c r="HD109" s="570"/>
      <c r="HE109" s="570"/>
      <c r="HF109" s="570"/>
      <c r="HG109" s="571"/>
      <c r="HH109" s="24"/>
      <c r="HI109" s="22" t="s">
        <v>236</v>
      </c>
      <c r="HK109" s="569" t="s">
        <v>143</v>
      </c>
      <c r="HL109" s="570"/>
      <c r="HM109" s="570"/>
      <c r="HN109" s="570"/>
      <c r="HO109" s="570"/>
      <c r="HP109" s="571"/>
      <c r="HQ109" s="24"/>
      <c r="HS109" s="22" t="s">
        <v>236</v>
      </c>
      <c r="HU109" s="569" t="s">
        <v>143</v>
      </c>
      <c r="HV109" s="570"/>
      <c r="HW109" s="570"/>
      <c r="HX109" s="570"/>
      <c r="HY109" s="570"/>
      <c r="HZ109" s="571"/>
      <c r="IA109" s="24"/>
      <c r="IB109" s="22" t="s">
        <v>236</v>
      </c>
      <c r="ID109" s="569" t="s">
        <v>143</v>
      </c>
      <c r="IE109" s="570"/>
      <c r="IF109" s="570"/>
      <c r="IG109" s="570"/>
      <c r="IH109" s="570"/>
      <c r="II109" s="571"/>
      <c r="IJ109" s="24"/>
      <c r="IK109" s="22" t="s">
        <v>236</v>
      </c>
      <c r="IM109" s="569" t="s">
        <v>143</v>
      </c>
      <c r="IN109" s="570"/>
      <c r="IO109" s="570"/>
      <c r="IP109" s="570"/>
      <c r="IQ109" s="570"/>
      <c r="IR109" s="571"/>
      <c r="IS109" s="24"/>
      <c r="IT109" s="22" t="s">
        <v>236</v>
      </c>
      <c r="IV109" s="569" t="s">
        <v>143</v>
      </c>
      <c r="IW109" s="570"/>
      <c r="IX109" s="570"/>
      <c r="IY109" s="570"/>
      <c r="IZ109" s="570"/>
      <c r="JA109" s="571"/>
      <c r="JB109" s="24"/>
      <c r="JC109" s="22" t="s">
        <v>236</v>
      </c>
      <c r="JE109" s="569" t="s">
        <v>143</v>
      </c>
      <c r="JF109" s="570"/>
      <c r="JG109" s="570"/>
      <c r="JH109" s="570"/>
      <c r="JI109" s="570"/>
      <c r="JJ109" s="571"/>
      <c r="JK109" s="24"/>
      <c r="JL109" s="22" t="s">
        <v>236</v>
      </c>
      <c r="JN109" s="569" t="s">
        <v>143</v>
      </c>
      <c r="JO109" s="570"/>
      <c r="JP109" s="570"/>
      <c r="JQ109" s="570"/>
      <c r="JR109" s="570"/>
      <c r="JS109" s="571"/>
      <c r="JT109" s="24"/>
      <c r="JU109" s="22" t="s">
        <v>236</v>
      </c>
      <c r="JW109" s="569" t="s">
        <v>143</v>
      </c>
      <c r="JX109" s="570"/>
      <c r="JY109" s="570"/>
      <c r="JZ109" s="570"/>
      <c r="KA109" s="570"/>
      <c r="KB109" s="571"/>
      <c r="KC109" s="24"/>
      <c r="KD109" s="22" t="s">
        <v>236</v>
      </c>
      <c r="KF109" s="569" t="s">
        <v>143</v>
      </c>
      <c r="KG109" s="570"/>
      <c r="KH109" s="570"/>
      <c r="KI109" s="570"/>
      <c r="KJ109" s="570"/>
      <c r="KK109" s="571"/>
      <c r="KL109" s="24"/>
      <c r="KM109" s="22" t="s">
        <v>236</v>
      </c>
      <c r="KO109" s="569" t="s">
        <v>143</v>
      </c>
      <c r="KP109" s="570"/>
      <c r="KQ109" s="570"/>
      <c r="KR109" s="570"/>
      <c r="KS109" s="570"/>
      <c r="KT109" s="571"/>
      <c r="KU109" s="24"/>
      <c r="KV109" s="22" t="s">
        <v>236</v>
      </c>
      <c r="KX109" s="569" t="s">
        <v>143</v>
      </c>
      <c r="KY109" s="570"/>
      <c r="KZ109" s="570"/>
      <c r="LA109" s="570"/>
      <c r="LB109" s="570"/>
      <c r="LC109" s="571"/>
      <c r="LD109" s="24"/>
      <c r="LE109" s="22" t="s">
        <v>236</v>
      </c>
      <c r="LG109" s="569" t="s">
        <v>143</v>
      </c>
      <c r="LH109" s="570"/>
      <c r="LI109" s="570"/>
      <c r="LJ109" s="570"/>
      <c r="LK109" s="570"/>
      <c r="LL109" s="571"/>
      <c r="LM109" s="24"/>
      <c r="LN109" s="22" t="s">
        <v>236</v>
      </c>
      <c r="LP109" s="569" t="s">
        <v>143</v>
      </c>
      <c r="LQ109" s="570"/>
      <c r="LR109" s="570"/>
      <c r="LS109" s="570"/>
      <c r="LT109" s="570"/>
      <c r="LU109" s="571"/>
      <c r="LV109" s="24"/>
      <c r="LW109" s="22" t="s">
        <v>236</v>
      </c>
      <c r="LY109" s="569" t="s">
        <v>143</v>
      </c>
      <c r="LZ109" s="570"/>
      <c r="MA109" s="570"/>
      <c r="MB109" s="570"/>
      <c r="MC109" s="570"/>
      <c r="MD109" s="571"/>
      <c r="ME109" s="24"/>
      <c r="MF109" s="22" t="s">
        <v>236</v>
      </c>
      <c r="MH109" s="569" t="s">
        <v>143</v>
      </c>
      <c r="MI109" s="570"/>
      <c r="MJ109" s="570"/>
      <c r="MK109" s="570"/>
      <c r="ML109" s="570"/>
      <c r="MM109" s="571"/>
      <c r="MN109" s="24"/>
      <c r="MO109" s="22" t="s">
        <v>236</v>
      </c>
      <c r="MQ109" s="569" t="s">
        <v>143</v>
      </c>
      <c r="MR109" s="570"/>
      <c r="MS109" s="570"/>
      <c r="MT109" s="570"/>
      <c r="MU109" s="570"/>
      <c r="MV109" s="571"/>
      <c r="MW109" s="24"/>
      <c r="MX109" s="22" t="s">
        <v>236</v>
      </c>
      <c r="MZ109" s="569" t="s">
        <v>143</v>
      </c>
      <c r="NA109" s="570"/>
      <c r="NB109" s="570"/>
      <c r="NC109" s="570"/>
      <c r="ND109" s="570"/>
      <c r="NE109" s="571"/>
      <c r="NF109" s="24"/>
      <c r="NG109" s="22" t="s">
        <v>236</v>
      </c>
      <c r="NI109" s="569" t="s">
        <v>143</v>
      </c>
      <c r="NJ109" s="570"/>
      <c r="NK109" s="570"/>
      <c r="NL109" s="570"/>
      <c r="NM109" s="570"/>
      <c r="NN109" s="571"/>
      <c r="NO109" s="24"/>
      <c r="NP109" s="22" t="s">
        <v>236</v>
      </c>
      <c r="NR109" s="569" t="s">
        <v>143</v>
      </c>
      <c r="NS109" s="570"/>
      <c r="NT109" s="570"/>
      <c r="NU109" s="570"/>
      <c r="NV109" s="570"/>
      <c r="NW109" s="571"/>
      <c r="NX109" s="24"/>
      <c r="NY109" s="22" t="s">
        <v>236</v>
      </c>
      <c r="OA109" s="589" t="s">
        <v>143</v>
      </c>
      <c r="OB109" s="590"/>
      <c r="OC109" s="590"/>
      <c r="OD109" s="590"/>
      <c r="OE109" s="590"/>
      <c r="OF109" s="591"/>
      <c r="OG109" s="24"/>
      <c r="OH109" s="22" t="s">
        <v>236</v>
      </c>
      <c r="OJ109" s="589" t="s">
        <v>143</v>
      </c>
      <c r="OK109" s="590"/>
      <c r="OL109" s="590"/>
      <c r="OM109" s="590"/>
      <c r="ON109" s="590"/>
      <c r="OO109" s="591"/>
      <c r="OP109" s="24"/>
      <c r="OQ109" s="22" t="s">
        <v>236</v>
      </c>
      <c r="OS109" s="589" t="s">
        <v>143</v>
      </c>
      <c r="OT109" s="590"/>
      <c r="OU109" s="590"/>
      <c r="OV109" s="590"/>
      <c r="OW109" s="590"/>
      <c r="OX109" s="591"/>
      <c r="OY109" s="24"/>
      <c r="OZ109" s="22" t="s">
        <v>236</v>
      </c>
      <c r="PB109" s="569" t="s">
        <v>143</v>
      </c>
      <c r="PC109" s="570"/>
      <c r="PD109" s="570"/>
      <c r="PE109" s="570"/>
      <c r="PF109" s="570"/>
      <c r="PG109" s="571"/>
      <c r="PH109" s="24"/>
      <c r="PI109" s="22" t="s">
        <v>236</v>
      </c>
      <c r="PK109" s="569" t="s">
        <v>143</v>
      </c>
      <c r="PL109" s="570"/>
      <c r="PM109" s="570"/>
      <c r="PN109" s="570"/>
      <c r="PO109" s="570"/>
      <c r="PP109" s="571"/>
      <c r="PQ109" s="24"/>
      <c r="PR109" s="22" t="s">
        <v>236</v>
      </c>
      <c r="PT109" s="569" t="s">
        <v>143</v>
      </c>
      <c r="PU109" s="570"/>
      <c r="PV109" s="570"/>
      <c r="PW109" s="570"/>
      <c r="PX109" s="570"/>
      <c r="PY109" s="571"/>
      <c r="PZ109" s="24"/>
      <c r="QA109" s="22" t="s">
        <v>236</v>
      </c>
      <c r="QC109" s="569" t="s">
        <v>143</v>
      </c>
      <c r="QD109" s="570"/>
      <c r="QE109" s="570"/>
      <c r="QF109" s="570"/>
      <c r="QG109" s="570"/>
      <c r="QH109" s="571"/>
      <c r="QI109" s="24"/>
      <c r="QJ109" s="22" t="s">
        <v>236</v>
      </c>
      <c r="QL109" s="569" t="s">
        <v>143</v>
      </c>
      <c r="QM109" s="570"/>
      <c r="QN109" s="570"/>
      <c r="QO109" s="570"/>
      <c r="QP109" s="570"/>
      <c r="QQ109" s="571"/>
      <c r="QR109" s="24"/>
      <c r="QS109" s="22" t="s">
        <v>236</v>
      </c>
      <c r="QU109" s="569" t="s">
        <v>143</v>
      </c>
      <c r="QV109" s="570"/>
      <c r="QW109" s="570"/>
      <c r="QX109" s="570"/>
      <c r="QY109" s="570"/>
      <c r="QZ109" s="571"/>
      <c r="RA109" s="24"/>
      <c r="RB109" s="22" t="s">
        <v>236</v>
      </c>
      <c r="RD109" s="569" t="s">
        <v>143</v>
      </c>
      <c r="RE109" s="570"/>
      <c r="RF109" s="570"/>
      <c r="RG109" s="570"/>
      <c r="RH109" s="570"/>
      <c r="RI109" s="571"/>
      <c r="RJ109" s="24"/>
      <c r="RK109" s="22" t="s">
        <v>236</v>
      </c>
      <c r="RM109" s="569" t="s">
        <v>143</v>
      </c>
      <c r="RN109" s="570"/>
      <c r="RO109" s="570"/>
      <c r="RP109" s="570"/>
      <c r="RQ109" s="570"/>
      <c r="RR109" s="571"/>
      <c r="RS109" s="24"/>
      <c r="RT109" s="22" t="s">
        <v>236</v>
      </c>
      <c r="RV109" s="569" t="s">
        <v>143</v>
      </c>
      <c r="RW109" s="570"/>
      <c r="RX109" s="570"/>
      <c r="RY109" s="570"/>
      <c r="RZ109" s="570"/>
      <c r="SA109" s="571"/>
      <c r="SB109" s="24"/>
      <c r="SC109" s="22" t="s">
        <v>236</v>
      </c>
      <c r="SE109" s="569" t="s">
        <v>143</v>
      </c>
      <c r="SF109" s="570"/>
      <c r="SG109" s="570"/>
      <c r="SH109" s="570"/>
      <c r="SI109" s="570"/>
      <c r="SJ109" s="571"/>
      <c r="SK109" s="24"/>
      <c r="SL109" s="22" t="s">
        <v>236</v>
      </c>
      <c r="SN109" s="569" t="s">
        <v>143</v>
      </c>
      <c r="SO109" s="570"/>
      <c r="SP109" s="570"/>
      <c r="SQ109" s="570"/>
      <c r="SR109" s="570"/>
      <c r="SS109" s="571"/>
      <c r="ST109" s="24"/>
      <c r="SU109" s="22" t="s">
        <v>236</v>
      </c>
      <c r="SW109" s="569" t="s">
        <v>143</v>
      </c>
      <c r="SX109" s="570"/>
      <c r="SY109" s="570"/>
      <c r="SZ109" s="570"/>
      <c r="TA109" s="570"/>
      <c r="TB109" s="571"/>
      <c r="TC109" s="24"/>
      <c r="TD109" s="22" t="s">
        <v>236</v>
      </c>
      <c r="TF109" s="569" t="s">
        <v>143</v>
      </c>
      <c r="TG109" s="570"/>
      <c r="TH109" s="570"/>
      <c r="TI109" s="570"/>
      <c r="TJ109" s="570"/>
      <c r="TK109" s="571"/>
      <c r="TL109" s="24"/>
      <c r="TM109" s="22" t="s">
        <v>236</v>
      </c>
      <c r="TO109" s="569" t="s">
        <v>143</v>
      </c>
      <c r="TP109" s="570"/>
      <c r="TQ109" s="570"/>
      <c r="TR109" s="570"/>
      <c r="TS109" s="570"/>
      <c r="TT109" s="571"/>
      <c r="TU109" s="24"/>
      <c r="TV109" s="22" t="s">
        <v>236</v>
      </c>
      <c r="TX109" s="569" t="s">
        <v>143</v>
      </c>
      <c r="TY109" s="570"/>
      <c r="TZ109" s="570"/>
      <c r="UA109" s="570"/>
      <c r="UB109" s="570"/>
      <c r="UC109" s="571"/>
      <c r="UD109" s="24"/>
      <c r="UE109" s="22" t="s">
        <v>236</v>
      </c>
      <c r="UG109" s="569" t="s">
        <v>143</v>
      </c>
      <c r="UH109" s="570"/>
      <c r="UI109" s="570"/>
      <c r="UJ109" s="570"/>
      <c r="UK109" s="570"/>
      <c r="UL109" s="571"/>
      <c r="UM109" s="24"/>
      <c r="UN109" s="22" t="s">
        <v>236</v>
      </c>
      <c r="UP109" s="569" t="s">
        <v>143</v>
      </c>
      <c r="UQ109" s="570"/>
      <c r="UR109" s="570"/>
      <c r="US109" s="570"/>
      <c r="UT109" s="570"/>
      <c r="UU109" s="571"/>
      <c r="UV109" s="24"/>
      <c r="UW109" s="22" t="s">
        <v>236</v>
      </c>
      <c r="UY109" s="569" t="s">
        <v>143</v>
      </c>
      <c r="UZ109" s="570"/>
      <c r="VA109" s="570"/>
      <c r="VB109" s="570"/>
      <c r="VC109" s="570"/>
      <c r="VD109" s="571"/>
      <c r="VE109" s="24"/>
      <c r="VF109" s="22" t="s">
        <v>236</v>
      </c>
      <c r="VH109" s="569" t="s">
        <v>143</v>
      </c>
      <c r="VI109" s="570"/>
      <c r="VJ109" s="570"/>
      <c r="VK109" s="570"/>
      <c r="VL109" s="570"/>
      <c r="VM109" s="571"/>
      <c r="VN109" s="24"/>
      <c r="VO109" s="22" t="s">
        <v>236</v>
      </c>
      <c r="VQ109" s="569" t="s">
        <v>143</v>
      </c>
      <c r="VR109" s="570"/>
      <c r="VS109" s="570"/>
      <c r="VT109" s="570"/>
      <c r="VU109" s="570"/>
      <c r="VV109" s="571"/>
      <c r="VW109" s="24"/>
      <c r="VX109" s="22" t="s">
        <v>236</v>
      </c>
      <c r="VZ109" s="569" t="s">
        <v>143</v>
      </c>
      <c r="WA109" s="570"/>
      <c r="WB109" s="570"/>
      <c r="WC109" s="570"/>
      <c r="WD109" s="570"/>
      <c r="WE109" s="571"/>
      <c r="WF109" s="24"/>
      <c r="WG109" s="22" t="s">
        <v>236</v>
      </c>
      <c r="WI109" s="569" t="s">
        <v>143</v>
      </c>
      <c r="WJ109" s="570"/>
      <c r="WK109" s="570"/>
      <c r="WL109" s="570"/>
      <c r="WM109" s="570"/>
      <c r="WN109" s="571"/>
      <c r="WO109" s="24"/>
      <c r="WP109" s="22" t="s">
        <v>236</v>
      </c>
      <c r="WR109" s="569" t="s">
        <v>143</v>
      </c>
      <c r="WS109" s="570"/>
      <c r="WT109" s="570"/>
      <c r="WU109" s="570"/>
      <c r="WV109" s="570"/>
      <c r="WW109" s="571"/>
      <c r="WX109" s="24"/>
      <c r="WY109" s="22" t="s">
        <v>236</v>
      </c>
      <c r="XA109" s="569" t="s">
        <v>143</v>
      </c>
      <c r="XB109" s="570"/>
      <c r="XC109" s="570"/>
      <c r="XD109" s="570"/>
      <c r="XE109" s="570"/>
      <c r="XF109" s="571"/>
      <c r="XG109" s="24"/>
      <c r="XH109" s="22" t="s">
        <v>236</v>
      </c>
      <c r="XJ109" s="569" t="s">
        <v>143</v>
      </c>
      <c r="XK109" s="570"/>
      <c r="XL109" s="570"/>
      <c r="XM109" s="570"/>
      <c r="XN109" s="570"/>
      <c r="XO109" s="571"/>
      <c r="XP109" s="24"/>
      <c r="XQ109" s="22" t="s">
        <v>236</v>
      </c>
      <c r="XS109" s="569" t="s">
        <v>143</v>
      </c>
      <c r="XT109" s="570"/>
      <c r="XU109" s="570"/>
      <c r="XV109" s="570"/>
      <c r="XW109" s="570"/>
      <c r="XX109" s="571"/>
      <c r="XY109" s="24"/>
      <c r="XZ109" s="22" t="s">
        <v>236</v>
      </c>
      <c r="YB109" s="569" t="s">
        <v>143</v>
      </c>
      <c r="YC109" s="570"/>
      <c r="YD109" s="570"/>
      <c r="YE109" s="570"/>
      <c r="YF109" s="570"/>
      <c r="YG109" s="571"/>
      <c r="YH109" s="24"/>
      <c r="YI109" s="22" t="s">
        <v>236</v>
      </c>
      <c r="YK109" s="569" t="s">
        <v>143</v>
      </c>
      <c r="YL109" s="570"/>
      <c r="YM109" s="570"/>
      <c r="YN109" s="570"/>
      <c r="YO109" s="570"/>
      <c r="YP109" s="571"/>
      <c r="YQ109" s="24"/>
      <c r="YR109" s="22" t="s">
        <v>236</v>
      </c>
      <c r="YT109" s="569" t="s">
        <v>143</v>
      </c>
      <c r="YU109" s="570"/>
      <c r="YV109" s="570"/>
      <c r="YW109" s="570"/>
      <c r="YX109" s="570"/>
      <c r="YY109" s="571"/>
      <c r="YZ109" s="24"/>
      <c r="ZA109" s="22" t="s">
        <v>236</v>
      </c>
      <c r="ZC109" s="569" t="s">
        <v>143</v>
      </c>
      <c r="ZD109" s="570"/>
      <c r="ZE109" s="570"/>
      <c r="ZF109" s="570"/>
      <c r="ZG109" s="570"/>
      <c r="ZH109" s="571"/>
      <c r="ZI109" s="24"/>
      <c r="ZJ109" s="22" t="s">
        <v>236</v>
      </c>
      <c r="ZL109" s="569" t="s">
        <v>143</v>
      </c>
      <c r="ZM109" s="570"/>
      <c r="ZN109" s="570"/>
      <c r="ZO109" s="570"/>
      <c r="ZP109" s="570"/>
      <c r="ZQ109" s="571"/>
      <c r="ZR109" s="24"/>
      <c r="ZS109" s="22" t="s">
        <v>236</v>
      </c>
      <c r="ZU109" s="569" t="s">
        <v>143</v>
      </c>
      <c r="ZV109" s="570"/>
      <c r="ZW109" s="570"/>
      <c r="ZX109" s="570"/>
      <c r="ZY109" s="570"/>
      <c r="ZZ109" s="571"/>
      <c r="AAA109" s="24"/>
      <c r="AAB109" s="22" t="s">
        <v>236</v>
      </c>
      <c r="AAD109" s="569" t="s">
        <v>143</v>
      </c>
      <c r="AAE109" s="570"/>
      <c r="AAF109" s="570"/>
      <c r="AAG109" s="570"/>
      <c r="AAH109" s="570"/>
      <c r="AAI109" s="571"/>
      <c r="AAJ109" s="24"/>
      <c r="AAK109" s="22" t="s">
        <v>236</v>
      </c>
      <c r="AAM109" s="569" t="s">
        <v>143</v>
      </c>
      <c r="AAN109" s="570"/>
      <c r="AAO109" s="570"/>
      <c r="AAP109" s="570"/>
      <c r="AAQ109" s="570"/>
      <c r="AAR109" s="571"/>
      <c r="AAS109" s="24"/>
      <c r="AAT109" s="22" t="s">
        <v>236</v>
      </c>
      <c r="AAV109" s="569" t="s">
        <v>143</v>
      </c>
      <c r="AAW109" s="570"/>
      <c r="AAX109" s="570"/>
      <c r="AAY109" s="570"/>
      <c r="AAZ109" s="570"/>
      <c r="ABA109" s="571"/>
      <c r="ABB109" s="24"/>
      <c r="ABC109" s="22" t="s">
        <v>236</v>
      </c>
      <c r="ABE109" s="569" t="s">
        <v>143</v>
      </c>
      <c r="ABF109" s="570"/>
      <c r="ABG109" s="570"/>
      <c r="ABH109" s="570"/>
      <c r="ABI109" s="570"/>
      <c r="ABJ109" s="571"/>
      <c r="ABK109" s="24"/>
    </row>
    <row r="110" spans="1:739" ht="14.45" thickBot="1">
      <c r="C110" s="30" t="s">
        <v>164</v>
      </c>
      <c r="D110" s="77" t="s">
        <v>165</v>
      </c>
      <c r="E110" s="27" t="s">
        <v>166</v>
      </c>
      <c r="F110" s="26" t="s">
        <v>167</v>
      </c>
      <c r="G110" s="27" t="s">
        <v>168</v>
      </c>
      <c r="H110" s="28" t="s">
        <v>169</v>
      </c>
      <c r="I110" s="327" t="s">
        <v>170</v>
      </c>
      <c r="L110" s="30" t="s">
        <v>164</v>
      </c>
      <c r="M110" s="77" t="s">
        <v>165</v>
      </c>
      <c r="N110" s="31" t="s">
        <v>166</v>
      </c>
      <c r="O110" s="26" t="s">
        <v>167</v>
      </c>
      <c r="P110" s="31" t="s">
        <v>168</v>
      </c>
      <c r="Q110" s="83" t="s">
        <v>169</v>
      </c>
      <c r="R110" s="79" t="s">
        <v>170</v>
      </c>
      <c r="U110" s="30" t="s">
        <v>164</v>
      </c>
      <c r="V110" s="77" t="s">
        <v>165</v>
      </c>
      <c r="W110" s="33" t="s">
        <v>166</v>
      </c>
      <c r="X110" s="26" t="s">
        <v>167</v>
      </c>
      <c r="Y110" s="33" t="s">
        <v>168</v>
      </c>
      <c r="Z110" s="84" t="s">
        <v>169</v>
      </c>
      <c r="AA110" s="79" t="s">
        <v>170</v>
      </c>
      <c r="AD110" s="30" t="s">
        <v>164</v>
      </c>
      <c r="AE110" s="77" t="s">
        <v>165</v>
      </c>
      <c r="AF110" s="35" t="s">
        <v>166</v>
      </c>
      <c r="AG110" s="26" t="s">
        <v>167</v>
      </c>
      <c r="AH110" s="35" t="s">
        <v>168</v>
      </c>
      <c r="AI110" s="36" t="s">
        <v>169</v>
      </c>
      <c r="AJ110" s="79" t="s">
        <v>170</v>
      </c>
      <c r="AM110" s="30" t="s">
        <v>164</v>
      </c>
      <c r="AN110" s="77" t="s">
        <v>165</v>
      </c>
      <c r="AO110" s="37" t="s">
        <v>166</v>
      </c>
      <c r="AP110" s="26" t="s">
        <v>167</v>
      </c>
      <c r="AQ110" s="37" t="s">
        <v>168</v>
      </c>
      <c r="AR110" s="38" t="s">
        <v>169</v>
      </c>
      <c r="AS110" s="79" t="s">
        <v>170</v>
      </c>
      <c r="AV110" s="30" t="s">
        <v>164</v>
      </c>
      <c r="AW110" s="77" t="s">
        <v>165</v>
      </c>
      <c r="AX110" s="39" t="s">
        <v>166</v>
      </c>
      <c r="AY110" s="26" t="s">
        <v>167</v>
      </c>
      <c r="AZ110" s="39" t="s">
        <v>168</v>
      </c>
      <c r="BA110" s="40" t="s">
        <v>169</v>
      </c>
      <c r="BB110" s="79" t="s">
        <v>170</v>
      </c>
      <c r="BE110" s="30" t="s">
        <v>164</v>
      </c>
      <c r="BF110" s="77" t="s">
        <v>165</v>
      </c>
      <c r="BG110" s="41" t="s">
        <v>166</v>
      </c>
      <c r="BH110" s="26" t="s">
        <v>167</v>
      </c>
      <c r="BI110" s="41" t="s">
        <v>168</v>
      </c>
      <c r="BJ110" s="42" t="s">
        <v>169</v>
      </c>
      <c r="BK110" s="79" t="s">
        <v>170</v>
      </c>
      <c r="BN110" s="30" t="s">
        <v>164</v>
      </c>
      <c r="BO110" s="77" t="s">
        <v>165</v>
      </c>
      <c r="BP110" s="43" t="s">
        <v>166</v>
      </c>
      <c r="BQ110" s="26" t="s">
        <v>167</v>
      </c>
      <c r="BR110" s="43" t="s">
        <v>168</v>
      </c>
      <c r="BS110" s="44" t="s">
        <v>169</v>
      </c>
      <c r="BT110" s="79" t="s">
        <v>170</v>
      </c>
      <c r="BW110" s="30" t="s">
        <v>164</v>
      </c>
      <c r="BX110" s="77" t="s">
        <v>165</v>
      </c>
      <c r="BY110" s="45" t="s">
        <v>166</v>
      </c>
      <c r="BZ110" s="26" t="s">
        <v>167</v>
      </c>
      <c r="CA110" s="45" t="s">
        <v>168</v>
      </c>
      <c r="CB110" s="46" t="s">
        <v>169</v>
      </c>
      <c r="CC110" s="79" t="s">
        <v>170</v>
      </c>
      <c r="CF110" s="30" t="s">
        <v>164</v>
      </c>
      <c r="CG110" s="77" t="s">
        <v>165</v>
      </c>
      <c r="CH110" s="47" t="s">
        <v>166</v>
      </c>
      <c r="CI110" s="26" t="s">
        <v>167</v>
      </c>
      <c r="CJ110" s="47" t="s">
        <v>168</v>
      </c>
      <c r="CK110" s="48" t="s">
        <v>169</v>
      </c>
      <c r="CL110" s="79" t="s">
        <v>170</v>
      </c>
      <c r="CO110" s="30" t="s">
        <v>164</v>
      </c>
      <c r="CP110" s="77" t="s">
        <v>165</v>
      </c>
      <c r="CQ110" s="129" t="s">
        <v>166</v>
      </c>
      <c r="CR110" s="26" t="s">
        <v>167</v>
      </c>
      <c r="CS110" s="129" t="s">
        <v>168</v>
      </c>
      <c r="CT110" s="130" t="s">
        <v>169</v>
      </c>
      <c r="CU110" s="79" t="s">
        <v>170</v>
      </c>
      <c r="CX110" s="30" t="s">
        <v>164</v>
      </c>
      <c r="CY110" s="77" t="s">
        <v>165</v>
      </c>
      <c r="CZ110" s="132" t="s">
        <v>166</v>
      </c>
      <c r="DA110" s="26" t="s">
        <v>167</v>
      </c>
      <c r="DB110" s="132" t="s">
        <v>168</v>
      </c>
      <c r="DC110" s="134" t="s">
        <v>169</v>
      </c>
      <c r="DD110" s="79" t="s">
        <v>170</v>
      </c>
      <c r="DG110" s="30" t="s">
        <v>164</v>
      </c>
      <c r="DH110" s="77" t="s">
        <v>165</v>
      </c>
      <c r="DI110" s="146" t="s">
        <v>166</v>
      </c>
      <c r="DJ110" s="26" t="s">
        <v>167</v>
      </c>
      <c r="DK110" s="146" t="s">
        <v>168</v>
      </c>
      <c r="DL110" s="153" t="s">
        <v>169</v>
      </c>
      <c r="DM110" s="79" t="s">
        <v>170</v>
      </c>
      <c r="DP110" s="30" t="s">
        <v>164</v>
      </c>
      <c r="DQ110" s="77" t="s">
        <v>165</v>
      </c>
      <c r="DR110" s="27" t="s">
        <v>166</v>
      </c>
      <c r="DS110" s="26" t="s">
        <v>167</v>
      </c>
      <c r="DT110" s="27" t="s">
        <v>168</v>
      </c>
      <c r="DU110" s="28" t="s">
        <v>169</v>
      </c>
      <c r="DV110" s="79" t="s">
        <v>170</v>
      </c>
      <c r="DY110" s="30" t="s">
        <v>164</v>
      </c>
      <c r="DZ110" s="77" t="s">
        <v>165</v>
      </c>
      <c r="EA110" s="156" t="s">
        <v>166</v>
      </c>
      <c r="EB110" s="26" t="s">
        <v>167</v>
      </c>
      <c r="EC110" s="156" t="s">
        <v>168</v>
      </c>
      <c r="ED110" s="158" t="s">
        <v>169</v>
      </c>
      <c r="EE110" s="79" t="s">
        <v>170</v>
      </c>
      <c r="EH110" s="30" t="s">
        <v>164</v>
      </c>
      <c r="EI110" s="77" t="s">
        <v>165</v>
      </c>
      <c r="EJ110" s="161" t="s">
        <v>166</v>
      </c>
      <c r="EK110" s="26" t="s">
        <v>167</v>
      </c>
      <c r="EL110" s="161" t="s">
        <v>168</v>
      </c>
      <c r="EM110" s="163" t="s">
        <v>169</v>
      </c>
      <c r="EN110" s="79" t="s">
        <v>170</v>
      </c>
      <c r="EQ110" s="30" t="s">
        <v>164</v>
      </c>
      <c r="ER110" s="77" t="s">
        <v>165</v>
      </c>
      <c r="ES110" s="167" t="s">
        <v>166</v>
      </c>
      <c r="ET110" s="26" t="s">
        <v>167</v>
      </c>
      <c r="EU110" s="167" t="s">
        <v>168</v>
      </c>
      <c r="EV110" s="169" t="s">
        <v>169</v>
      </c>
      <c r="EW110" s="79" t="s">
        <v>170</v>
      </c>
      <c r="EZ110" s="30" t="s">
        <v>164</v>
      </c>
      <c r="FA110" s="77" t="s">
        <v>165</v>
      </c>
      <c r="FB110" s="176" t="s">
        <v>166</v>
      </c>
      <c r="FC110" s="26" t="s">
        <v>167</v>
      </c>
      <c r="FD110" s="176" t="s">
        <v>168</v>
      </c>
      <c r="FE110" s="177" t="s">
        <v>169</v>
      </c>
      <c r="FF110" s="79" t="s">
        <v>170</v>
      </c>
      <c r="FI110" s="30" t="s">
        <v>164</v>
      </c>
      <c r="FJ110" s="77" t="s">
        <v>165</v>
      </c>
      <c r="FK110" s="181" t="s">
        <v>166</v>
      </c>
      <c r="FL110" s="26" t="s">
        <v>167</v>
      </c>
      <c r="FM110" s="181" t="s">
        <v>168</v>
      </c>
      <c r="FN110" s="182" t="s">
        <v>169</v>
      </c>
      <c r="FO110" s="79" t="s">
        <v>170</v>
      </c>
      <c r="FR110" s="30" t="s">
        <v>164</v>
      </c>
      <c r="FS110" s="77" t="s">
        <v>165</v>
      </c>
      <c r="FT110" s="185" t="s">
        <v>166</v>
      </c>
      <c r="FU110" s="26" t="s">
        <v>167</v>
      </c>
      <c r="FV110" s="185" t="s">
        <v>168</v>
      </c>
      <c r="FW110" s="187" t="s">
        <v>169</v>
      </c>
      <c r="FX110" s="79" t="s">
        <v>170</v>
      </c>
      <c r="GA110" s="30" t="s">
        <v>164</v>
      </c>
      <c r="GB110" s="77" t="s">
        <v>165</v>
      </c>
      <c r="GC110" s="128" t="s">
        <v>166</v>
      </c>
      <c r="GD110" s="26" t="s">
        <v>167</v>
      </c>
      <c r="GE110" s="128" t="s">
        <v>168</v>
      </c>
      <c r="GF110" s="200" t="s">
        <v>169</v>
      </c>
      <c r="GG110" s="79" t="s">
        <v>170</v>
      </c>
      <c r="GJ110" s="30" t="s">
        <v>164</v>
      </c>
      <c r="GK110" s="77" t="s">
        <v>165</v>
      </c>
      <c r="GL110" s="197" t="s">
        <v>166</v>
      </c>
      <c r="GM110" s="26" t="s">
        <v>167</v>
      </c>
      <c r="GN110" s="197" t="s">
        <v>168</v>
      </c>
      <c r="GO110" s="198" t="s">
        <v>169</v>
      </c>
      <c r="GP110" s="79" t="s">
        <v>170</v>
      </c>
      <c r="GS110" s="30" t="s">
        <v>164</v>
      </c>
      <c r="GT110" s="77" t="s">
        <v>165</v>
      </c>
      <c r="GU110" s="193" t="s">
        <v>166</v>
      </c>
      <c r="GV110" s="26" t="s">
        <v>167</v>
      </c>
      <c r="GW110" s="193" t="s">
        <v>168</v>
      </c>
      <c r="GX110" s="194" t="s">
        <v>169</v>
      </c>
      <c r="GY110" s="79" t="s">
        <v>170</v>
      </c>
      <c r="HB110" s="30" t="s">
        <v>164</v>
      </c>
      <c r="HC110" s="77" t="s">
        <v>165</v>
      </c>
      <c r="HD110" s="189" t="s">
        <v>166</v>
      </c>
      <c r="HE110" s="26" t="s">
        <v>167</v>
      </c>
      <c r="HF110" s="189" t="s">
        <v>168</v>
      </c>
      <c r="HG110" s="190" t="s">
        <v>169</v>
      </c>
      <c r="HH110" s="79" t="s">
        <v>170</v>
      </c>
      <c r="HK110" s="30" t="s">
        <v>164</v>
      </c>
      <c r="HL110" s="77" t="s">
        <v>165</v>
      </c>
      <c r="HM110" s="41" t="s">
        <v>166</v>
      </c>
      <c r="HN110" s="26" t="s">
        <v>167</v>
      </c>
      <c r="HO110" s="41" t="s">
        <v>168</v>
      </c>
      <c r="HP110" s="42" t="s">
        <v>169</v>
      </c>
      <c r="HQ110" s="79" t="s">
        <v>170</v>
      </c>
      <c r="HU110" s="30" t="s">
        <v>164</v>
      </c>
      <c r="HV110" s="77" t="s">
        <v>165</v>
      </c>
      <c r="HW110" s="241" t="s">
        <v>166</v>
      </c>
      <c r="HX110" s="26" t="s">
        <v>167</v>
      </c>
      <c r="HY110" s="241" t="s">
        <v>168</v>
      </c>
      <c r="HZ110" s="243" t="s">
        <v>169</v>
      </c>
      <c r="IA110" s="79" t="s">
        <v>170</v>
      </c>
      <c r="ID110" s="30" t="s">
        <v>164</v>
      </c>
      <c r="IE110" s="77" t="s">
        <v>165</v>
      </c>
      <c r="IF110" s="241" t="s">
        <v>166</v>
      </c>
      <c r="IG110" s="26" t="s">
        <v>167</v>
      </c>
      <c r="IH110" s="241" t="s">
        <v>168</v>
      </c>
      <c r="II110" s="243" t="s">
        <v>169</v>
      </c>
      <c r="IJ110" s="79" t="s">
        <v>170</v>
      </c>
      <c r="IM110" s="30" t="s">
        <v>164</v>
      </c>
      <c r="IN110" s="77" t="s">
        <v>165</v>
      </c>
      <c r="IO110" s="241" t="s">
        <v>166</v>
      </c>
      <c r="IP110" s="26" t="s">
        <v>167</v>
      </c>
      <c r="IQ110" s="241" t="s">
        <v>168</v>
      </c>
      <c r="IR110" s="243" t="s">
        <v>169</v>
      </c>
      <c r="IS110" s="79" t="s">
        <v>170</v>
      </c>
      <c r="IV110" s="30" t="s">
        <v>164</v>
      </c>
      <c r="IW110" s="77" t="s">
        <v>165</v>
      </c>
      <c r="IX110" s="241" t="s">
        <v>166</v>
      </c>
      <c r="IY110" s="26" t="s">
        <v>167</v>
      </c>
      <c r="IZ110" s="241" t="s">
        <v>168</v>
      </c>
      <c r="JA110" s="243" t="s">
        <v>169</v>
      </c>
      <c r="JB110" s="79" t="s">
        <v>170</v>
      </c>
      <c r="JE110" s="30" t="s">
        <v>164</v>
      </c>
      <c r="JF110" s="77" t="s">
        <v>165</v>
      </c>
      <c r="JG110" s="241" t="s">
        <v>166</v>
      </c>
      <c r="JH110" s="26" t="s">
        <v>167</v>
      </c>
      <c r="JI110" s="241" t="s">
        <v>168</v>
      </c>
      <c r="JJ110" s="243" t="s">
        <v>169</v>
      </c>
      <c r="JK110" s="79" t="s">
        <v>170</v>
      </c>
      <c r="JN110" s="30" t="s">
        <v>164</v>
      </c>
      <c r="JO110" s="77" t="s">
        <v>165</v>
      </c>
      <c r="JP110" s="241" t="s">
        <v>166</v>
      </c>
      <c r="JQ110" s="26" t="s">
        <v>167</v>
      </c>
      <c r="JR110" s="241" t="s">
        <v>168</v>
      </c>
      <c r="JS110" s="243" t="s">
        <v>169</v>
      </c>
      <c r="JT110" s="79" t="s">
        <v>170</v>
      </c>
      <c r="JW110" s="30" t="s">
        <v>164</v>
      </c>
      <c r="JX110" s="77" t="s">
        <v>165</v>
      </c>
      <c r="JY110" s="241" t="s">
        <v>166</v>
      </c>
      <c r="JZ110" s="26" t="s">
        <v>167</v>
      </c>
      <c r="KA110" s="241" t="s">
        <v>168</v>
      </c>
      <c r="KB110" s="243" t="s">
        <v>169</v>
      </c>
      <c r="KC110" s="79" t="s">
        <v>170</v>
      </c>
      <c r="KF110" s="30" t="s">
        <v>164</v>
      </c>
      <c r="KG110" s="77" t="s">
        <v>165</v>
      </c>
      <c r="KH110" s="241" t="s">
        <v>166</v>
      </c>
      <c r="KI110" s="26" t="s">
        <v>167</v>
      </c>
      <c r="KJ110" s="241" t="s">
        <v>168</v>
      </c>
      <c r="KK110" s="243" t="s">
        <v>169</v>
      </c>
      <c r="KL110" s="79" t="s">
        <v>170</v>
      </c>
      <c r="KO110" s="30" t="s">
        <v>164</v>
      </c>
      <c r="KP110" s="77" t="s">
        <v>165</v>
      </c>
      <c r="KQ110" s="241" t="s">
        <v>166</v>
      </c>
      <c r="KR110" s="26" t="s">
        <v>167</v>
      </c>
      <c r="KS110" s="241" t="s">
        <v>168</v>
      </c>
      <c r="KT110" s="243" t="s">
        <v>169</v>
      </c>
      <c r="KU110" s="79" t="s">
        <v>170</v>
      </c>
      <c r="KX110" s="30" t="s">
        <v>164</v>
      </c>
      <c r="KY110" s="77" t="s">
        <v>165</v>
      </c>
      <c r="KZ110" s="241" t="s">
        <v>166</v>
      </c>
      <c r="LA110" s="26" t="s">
        <v>167</v>
      </c>
      <c r="LB110" s="241" t="s">
        <v>168</v>
      </c>
      <c r="LC110" s="243" t="s">
        <v>169</v>
      </c>
      <c r="LD110" s="79" t="s">
        <v>170</v>
      </c>
      <c r="LG110" s="30" t="s">
        <v>164</v>
      </c>
      <c r="LH110" s="77" t="s">
        <v>165</v>
      </c>
      <c r="LI110" s="241" t="s">
        <v>166</v>
      </c>
      <c r="LJ110" s="26" t="s">
        <v>167</v>
      </c>
      <c r="LK110" s="241" t="s">
        <v>168</v>
      </c>
      <c r="LL110" s="243" t="s">
        <v>169</v>
      </c>
      <c r="LM110" s="79" t="s">
        <v>170</v>
      </c>
      <c r="LP110" s="30" t="s">
        <v>164</v>
      </c>
      <c r="LQ110" s="77" t="s">
        <v>165</v>
      </c>
      <c r="LR110" s="241" t="s">
        <v>166</v>
      </c>
      <c r="LS110" s="26" t="s">
        <v>167</v>
      </c>
      <c r="LT110" s="241" t="s">
        <v>168</v>
      </c>
      <c r="LU110" s="243" t="s">
        <v>169</v>
      </c>
      <c r="LV110" s="79" t="s">
        <v>170</v>
      </c>
      <c r="LY110" s="30" t="s">
        <v>164</v>
      </c>
      <c r="LZ110" s="77" t="s">
        <v>165</v>
      </c>
      <c r="MA110" s="241" t="s">
        <v>166</v>
      </c>
      <c r="MB110" s="26" t="s">
        <v>167</v>
      </c>
      <c r="MC110" s="241" t="s">
        <v>168</v>
      </c>
      <c r="MD110" s="243" t="s">
        <v>169</v>
      </c>
      <c r="ME110" s="79" t="s">
        <v>170</v>
      </c>
      <c r="MH110" s="30" t="s">
        <v>164</v>
      </c>
      <c r="MI110" s="77" t="s">
        <v>165</v>
      </c>
      <c r="MJ110" s="241" t="s">
        <v>166</v>
      </c>
      <c r="MK110" s="26" t="s">
        <v>167</v>
      </c>
      <c r="ML110" s="241" t="s">
        <v>168</v>
      </c>
      <c r="MM110" s="243" t="s">
        <v>169</v>
      </c>
      <c r="MN110" s="79" t="s">
        <v>170</v>
      </c>
      <c r="MQ110" s="30" t="s">
        <v>164</v>
      </c>
      <c r="MR110" s="77" t="s">
        <v>165</v>
      </c>
      <c r="MS110" s="241" t="s">
        <v>166</v>
      </c>
      <c r="MT110" s="26" t="s">
        <v>167</v>
      </c>
      <c r="MU110" s="241" t="s">
        <v>168</v>
      </c>
      <c r="MV110" s="243" t="s">
        <v>169</v>
      </c>
      <c r="MW110" s="79" t="s">
        <v>170</v>
      </c>
      <c r="MZ110" s="30" t="s">
        <v>164</v>
      </c>
      <c r="NA110" s="77" t="s">
        <v>165</v>
      </c>
      <c r="NB110" s="241" t="s">
        <v>166</v>
      </c>
      <c r="NC110" s="26" t="s">
        <v>167</v>
      </c>
      <c r="ND110" s="241" t="s">
        <v>168</v>
      </c>
      <c r="NE110" s="243" t="s">
        <v>169</v>
      </c>
      <c r="NF110" s="79" t="s">
        <v>170</v>
      </c>
      <c r="NI110" s="30" t="s">
        <v>164</v>
      </c>
      <c r="NJ110" s="77" t="s">
        <v>165</v>
      </c>
      <c r="NK110" s="241" t="s">
        <v>166</v>
      </c>
      <c r="NL110" s="26" t="s">
        <v>167</v>
      </c>
      <c r="NM110" s="241" t="s">
        <v>168</v>
      </c>
      <c r="NN110" s="243" t="s">
        <v>169</v>
      </c>
      <c r="NO110" s="79" t="s">
        <v>170</v>
      </c>
      <c r="NR110" s="30" t="s">
        <v>164</v>
      </c>
      <c r="NS110" s="77" t="s">
        <v>165</v>
      </c>
      <c r="NT110" s="241" t="s">
        <v>166</v>
      </c>
      <c r="NU110" s="26" t="s">
        <v>167</v>
      </c>
      <c r="NV110" s="241" t="s">
        <v>168</v>
      </c>
      <c r="NW110" s="243" t="s">
        <v>169</v>
      </c>
      <c r="NX110" s="79" t="s">
        <v>170</v>
      </c>
      <c r="OA110" s="30" t="s">
        <v>164</v>
      </c>
      <c r="OB110" s="77" t="s">
        <v>165</v>
      </c>
      <c r="OC110" s="241" t="s">
        <v>166</v>
      </c>
      <c r="OD110" s="26" t="s">
        <v>167</v>
      </c>
      <c r="OE110" s="241" t="s">
        <v>168</v>
      </c>
      <c r="OF110" s="243" t="s">
        <v>169</v>
      </c>
      <c r="OG110" s="79" t="s">
        <v>170</v>
      </c>
      <c r="OJ110" s="30" t="s">
        <v>164</v>
      </c>
      <c r="OK110" s="77" t="s">
        <v>165</v>
      </c>
      <c r="OL110" s="241" t="s">
        <v>166</v>
      </c>
      <c r="OM110" s="26" t="s">
        <v>167</v>
      </c>
      <c r="ON110" s="241" t="s">
        <v>168</v>
      </c>
      <c r="OO110" s="243" t="s">
        <v>169</v>
      </c>
      <c r="OP110" s="79" t="s">
        <v>170</v>
      </c>
      <c r="OS110" s="30" t="s">
        <v>164</v>
      </c>
      <c r="OT110" s="77" t="s">
        <v>165</v>
      </c>
      <c r="OU110" s="241" t="s">
        <v>166</v>
      </c>
      <c r="OV110" s="26" t="s">
        <v>167</v>
      </c>
      <c r="OW110" s="241" t="s">
        <v>168</v>
      </c>
      <c r="OX110" s="243" t="s">
        <v>169</v>
      </c>
      <c r="OY110" s="79" t="s">
        <v>170</v>
      </c>
      <c r="PB110" s="30" t="s">
        <v>164</v>
      </c>
      <c r="PC110" s="77" t="s">
        <v>165</v>
      </c>
      <c r="PD110" s="241" t="s">
        <v>166</v>
      </c>
      <c r="PE110" s="26" t="s">
        <v>167</v>
      </c>
      <c r="PF110" s="241" t="s">
        <v>168</v>
      </c>
      <c r="PG110" s="243" t="s">
        <v>169</v>
      </c>
      <c r="PH110" s="79" t="s">
        <v>170</v>
      </c>
      <c r="PK110" s="30" t="s">
        <v>164</v>
      </c>
      <c r="PL110" s="77" t="s">
        <v>165</v>
      </c>
      <c r="PM110" s="241" t="s">
        <v>166</v>
      </c>
      <c r="PN110" s="26" t="s">
        <v>167</v>
      </c>
      <c r="PO110" s="241" t="s">
        <v>168</v>
      </c>
      <c r="PP110" s="243" t="s">
        <v>169</v>
      </c>
      <c r="PQ110" s="79" t="s">
        <v>170</v>
      </c>
      <c r="PT110" s="30" t="s">
        <v>164</v>
      </c>
      <c r="PU110" s="77" t="s">
        <v>165</v>
      </c>
      <c r="PV110" s="241" t="s">
        <v>166</v>
      </c>
      <c r="PW110" s="26" t="s">
        <v>167</v>
      </c>
      <c r="PX110" s="241" t="s">
        <v>168</v>
      </c>
      <c r="PY110" s="243" t="s">
        <v>169</v>
      </c>
      <c r="PZ110" s="79" t="s">
        <v>170</v>
      </c>
      <c r="QC110" s="30" t="s">
        <v>164</v>
      </c>
      <c r="QD110" s="77" t="s">
        <v>165</v>
      </c>
      <c r="QE110" s="241" t="s">
        <v>166</v>
      </c>
      <c r="QF110" s="26" t="s">
        <v>167</v>
      </c>
      <c r="QG110" s="241" t="s">
        <v>168</v>
      </c>
      <c r="QH110" s="243" t="s">
        <v>169</v>
      </c>
      <c r="QI110" s="79" t="s">
        <v>170</v>
      </c>
      <c r="QL110" s="30" t="s">
        <v>164</v>
      </c>
      <c r="QM110" s="77" t="s">
        <v>165</v>
      </c>
      <c r="QN110" s="241" t="s">
        <v>166</v>
      </c>
      <c r="QO110" s="26" t="s">
        <v>167</v>
      </c>
      <c r="QP110" s="241" t="s">
        <v>168</v>
      </c>
      <c r="QQ110" s="243" t="s">
        <v>169</v>
      </c>
      <c r="QR110" s="79" t="s">
        <v>170</v>
      </c>
      <c r="QU110" s="30" t="s">
        <v>164</v>
      </c>
      <c r="QV110" s="77" t="s">
        <v>165</v>
      </c>
      <c r="QW110" s="241" t="s">
        <v>166</v>
      </c>
      <c r="QX110" s="26" t="s">
        <v>167</v>
      </c>
      <c r="QY110" s="241" t="s">
        <v>168</v>
      </c>
      <c r="QZ110" s="243" t="s">
        <v>169</v>
      </c>
      <c r="RA110" s="79" t="s">
        <v>170</v>
      </c>
      <c r="RD110" s="30" t="s">
        <v>164</v>
      </c>
      <c r="RE110" s="77" t="s">
        <v>165</v>
      </c>
      <c r="RF110" s="241" t="s">
        <v>166</v>
      </c>
      <c r="RG110" s="26" t="s">
        <v>167</v>
      </c>
      <c r="RH110" s="241" t="s">
        <v>168</v>
      </c>
      <c r="RI110" s="243" t="s">
        <v>169</v>
      </c>
      <c r="RJ110" s="79" t="s">
        <v>170</v>
      </c>
      <c r="RM110" s="30" t="s">
        <v>164</v>
      </c>
      <c r="RN110" s="77" t="s">
        <v>165</v>
      </c>
      <c r="RO110" s="241" t="s">
        <v>166</v>
      </c>
      <c r="RP110" s="26" t="s">
        <v>167</v>
      </c>
      <c r="RQ110" s="241" t="s">
        <v>168</v>
      </c>
      <c r="RR110" s="243" t="s">
        <v>169</v>
      </c>
      <c r="RS110" s="79" t="s">
        <v>170</v>
      </c>
      <c r="RV110" s="30" t="s">
        <v>164</v>
      </c>
      <c r="RW110" s="77" t="s">
        <v>165</v>
      </c>
      <c r="RX110" s="241" t="s">
        <v>166</v>
      </c>
      <c r="RY110" s="26" t="s">
        <v>167</v>
      </c>
      <c r="RZ110" s="241" t="s">
        <v>168</v>
      </c>
      <c r="SA110" s="243" t="s">
        <v>169</v>
      </c>
      <c r="SB110" s="79" t="s">
        <v>170</v>
      </c>
      <c r="SE110" s="30" t="s">
        <v>164</v>
      </c>
      <c r="SF110" s="77" t="s">
        <v>165</v>
      </c>
      <c r="SG110" s="241" t="s">
        <v>166</v>
      </c>
      <c r="SH110" s="26" t="s">
        <v>167</v>
      </c>
      <c r="SI110" s="241" t="s">
        <v>168</v>
      </c>
      <c r="SJ110" s="243" t="s">
        <v>169</v>
      </c>
      <c r="SK110" s="79" t="s">
        <v>170</v>
      </c>
      <c r="SN110" s="30" t="s">
        <v>164</v>
      </c>
      <c r="SO110" s="77" t="s">
        <v>165</v>
      </c>
      <c r="SP110" s="241" t="s">
        <v>166</v>
      </c>
      <c r="SQ110" s="26" t="s">
        <v>167</v>
      </c>
      <c r="SR110" s="241" t="s">
        <v>168</v>
      </c>
      <c r="SS110" s="243" t="s">
        <v>169</v>
      </c>
      <c r="ST110" s="79" t="s">
        <v>170</v>
      </c>
      <c r="SW110" s="30" t="s">
        <v>164</v>
      </c>
      <c r="SX110" s="77" t="s">
        <v>165</v>
      </c>
      <c r="SY110" s="241" t="s">
        <v>166</v>
      </c>
      <c r="SZ110" s="26" t="s">
        <v>167</v>
      </c>
      <c r="TA110" s="241" t="s">
        <v>168</v>
      </c>
      <c r="TB110" s="243" t="s">
        <v>169</v>
      </c>
      <c r="TC110" s="79" t="s">
        <v>170</v>
      </c>
      <c r="TF110" s="30" t="s">
        <v>164</v>
      </c>
      <c r="TG110" s="77" t="s">
        <v>165</v>
      </c>
      <c r="TH110" s="241" t="s">
        <v>166</v>
      </c>
      <c r="TI110" s="26" t="s">
        <v>167</v>
      </c>
      <c r="TJ110" s="241" t="s">
        <v>168</v>
      </c>
      <c r="TK110" s="243" t="s">
        <v>169</v>
      </c>
      <c r="TL110" s="79" t="s">
        <v>170</v>
      </c>
      <c r="TO110" s="30" t="s">
        <v>164</v>
      </c>
      <c r="TP110" s="77" t="s">
        <v>165</v>
      </c>
      <c r="TQ110" s="241" t="s">
        <v>166</v>
      </c>
      <c r="TR110" s="26" t="s">
        <v>167</v>
      </c>
      <c r="TS110" s="241" t="s">
        <v>168</v>
      </c>
      <c r="TT110" s="243" t="s">
        <v>169</v>
      </c>
      <c r="TU110" s="79" t="s">
        <v>170</v>
      </c>
      <c r="TX110" s="30" t="s">
        <v>164</v>
      </c>
      <c r="TY110" s="77" t="s">
        <v>165</v>
      </c>
      <c r="TZ110" s="241" t="s">
        <v>166</v>
      </c>
      <c r="UA110" s="26" t="s">
        <v>167</v>
      </c>
      <c r="UB110" s="241" t="s">
        <v>168</v>
      </c>
      <c r="UC110" s="243" t="s">
        <v>169</v>
      </c>
      <c r="UD110" s="79" t="s">
        <v>170</v>
      </c>
      <c r="UG110" s="30" t="s">
        <v>164</v>
      </c>
      <c r="UH110" s="77" t="s">
        <v>165</v>
      </c>
      <c r="UI110" s="241" t="s">
        <v>166</v>
      </c>
      <c r="UJ110" s="26" t="s">
        <v>167</v>
      </c>
      <c r="UK110" s="241" t="s">
        <v>168</v>
      </c>
      <c r="UL110" s="243" t="s">
        <v>169</v>
      </c>
      <c r="UM110" s="79" t="s">
        <v>170</v>
      </c>
      <c r="UP110" s="30" t="s">
        <v>164</v>
      </c>
      <c r="UQ110" s="77" t="s">
        <v>165</v>
      </c>
      <c r="UR110" s="241" t="s">
        <v>166</v>
      </c>
      <c r="US110" s="26" t="s">
        <v>167</v>
      </c>
      <c r="UT110" s="241" t="s">
        <v>168</v>
      </c>
      <c r="UU110" s="243" t="s">
        <v>169</v>
      </c>
      <c r="UV110" s="79" t="s">
        <v>170</v>
      </c>
      <c r="UY110" s="30" t="s">
        <v>164</v>
      </c>
      <c r="UZ110" s="77" t="s">
        <v>165</v>
      </c>
      <c r="VA110" s="241" t="s">
        <v>166</v>
      </c>
      <c r="VB110" s="26" t="s">
        <v>167</v>
      </c>
      <c r="VC110" s="241" t="s">
        <v>168</v>
      </c>
      <c r="VD110" s="243" t="s">
        <v>169</v>
      </c>
      <c r="VE110" s="79" t="s">
        <v>170</v>
      </c>
      <c r="VH110" s="30" t="s">
        <v>164</v>
      </c>
      <c r="VI110" s="77" t="s">
        <v>165</v>
      </c>
      <c r="VJ110" s="241" t="s">
        <v>166</v>
      </c>
      <c r="VK110" s="26" t="s">
        <v>167</v>
      </c>
      <c r="VL110" s="241" t="s">
        <v>168</v>
      </c>
      <c r="VM110" s="243" t="s">
        <v>169</v>
      </c>
      <c r="VN110" s="79" t="s">
        <v>170</v>
      </c>
      <c r="VQ110" s="30" t="s">
        <v>164</v>
      </c>
      <c r="VR110" s="77" t="s">
        <v>165</v>
      </c>
      <c r="VS110" s="241" t="s">
        <v>166</v>
      </c>
      <c r="VT110" s="26" t="s">
        <v>167</v>
      </c>
      <c r="VU110" s="241" t="s">
        <v>168</v>
      </c>
      <c r="VV110" s="243" t="s">
        <v>169</v>
      </c>
      <c r="VW110" s="79" t="s">
        <v>170</v>
      </c>
      <c r="VZ110" s="30" t="s">
        <v>164</v>
      </c>
      <c r="WA110" s="77" t="s">
        <v>165</v>
      </c>
      <c r="WB110" s="241" t="s">
        <v>166</v>
      </c>
      <c r="WC110" s="26" t="s">
        <v>167</v>
      </c>
      <c r="WD110" s="241" t="s">
        <v>168</v>
      </c>
      <c r="WE110" s="243" t="s">
        <v>169</v>
      </c>
      <c r="WF110" s="79" t="s">
        <v>170</v>
      </c>
      <c r="WI110" s="30" t="s">
        <v>164</v>
      </c>
      <c r="WJ110" s="77" t="s">
        <v>165</v>
      </c>
      <c r="WK110" s="241" t="s">
        <v>166</v>
      </c>
      <c r="WL110" s="26" t="s">
        <v>167</v>
      </c>
      <c r="WM110" s="241" t="s">
        <v>168</v>
      </c>
      <c r="WN110" s="243" t="s">
        <v>169</v>
      </c>
      <c r="WO110" s="79" t="s">
        <v>170</v>
      </c>
      <c r="WR110" s="30" t="s">
        <v>164</v>
      </c>
      <c r="WS110" s="77" t="s">
        <v>165</v>
      </c>
      <c r="WT110" s="241" t="s">
        <v>166</v>
      </c>
      <c r="WU110" s="26" t="s">
        <v>167</v>
      </c>
      <c r="WV110" s="241" t="s">
        <v>168</v>
      </c>
      <c r="WW110" s="243" t="s">
        <v>169</v>
      </c>
      <c r="WX110" s="79" t="s">
        <v>170</v>
      </c>
      <c r="XA110" s="30" t="s">
        <v>164</v>
      </c>
      <c r="XB110" s="77" t="s">
        <v>165</v>
      </c>
      <c r="XC110" s="241" t="s">
        <v>166</v>
      </c>
      <c r="XD110" s="26" t="s">
        <v>167</v>
      </c>
      <c r="XE110" s="241" t="s">
        <v>168</v>
      </c>
      <c r="XF110" s="243" t="s">
        <v>169</v>
      </c>
      <c r="XG110" s="79" t="s">
        <v>170</v>
      </c>
      <c r="XJ110" s="30" t="s">
        <v>164</v>
      </c>
      <c r="XK110" s="77" t="s">
        <v>165</v>
      </c>
      <c r="XL110" s="241" t="s">
        <v>166</v>
      </c>
      <c r="XM110" s="26" t="s">
        <v>167</v>
      </c>
      <c r="XN110" s="241" t="s">
        <v>168</v>
      </c>
      <c r="XO110" s="243" t="s">
        <v>169</v>
      </c>
      <c r="XP110" s="79" t="s">
        <v>170</v>
      </c>
      <c r="XS110" s="30" t="s">
        <v>164</v>
      </c>
      <c r="XT110" s="77" t="s">
        <v>165</v>
      </c>
      <c r="XU110" s="241" t="s">
        <v>166</v>
      </c>
      <c r="XV110" s="26" t="s">
        <v>167</v>
      </c>
      <c r="XW110" s="241" t="s">
        <v>168</v>
      </c>
      <c r="XX110" s="243" t="s">
        <v>169</v>
      </c>
      <c r="XY110" s="79" t="s">
        <v>170</v>
      </c>
      <c r="YB110" s="30" t="s">
        <v>164</v>
      </c>
      <c r="YC110" s="77" t="s">
        <v>165</v>
      </c>
      <c r="YD110" s="241" t="s">
        <v>166</v>
      </c>
      <c r="YE110" s="26" t="s">
        <v>167</v>
      </c>
      <c r="YF110" s="241" t="s">
        <v>168</v>
      </c>
      <c r="YG110" s="243" t="s">
        <v>169</v>
      </c>
      <c r="YH110" s="79" t="s">
        <v>170</v>
      </c>
      <c r="YK110" s="30" t="s">
        <v>164</v>
      </c>
      <c r="YL110" s="77" t="s">
        <v>165</v>
      </c>
      <c r="YM110" s="241" t="s">
        <v>166</v>
      </c>
      <c r="YN110" s="26" t="s">
        <v>167</v>
      </c>
      <c r="YO110" s="241" t="s">
        <v>168</v>
      </c>
      <c r="YP110" s="243" t="s">
        <v>169</v>
      </c>
      <c r="YQ110" s="79" t="s">
        <v>170</v>
      </c>
      <c r="YT110" s="30" t="s">
        <v>164</v>
      </c>
      <c r="YU110" s="77" t="s">
        <v>165</v>
      </c>
      <c r="YV110" s="241" t="s">
        <v>166</v>
      </c>
      <c r="YW110" s="26" t="s">
        <v>167</v>
      </c>
      <c r="YX110" s="241" t="s">
        <v>168</v>
      </c>
      <c r="YY110" s="243" t="s">
        <v>169</v>
      </c>
      <c r="YZ110" s="79" t="s">
        <v>170</v>
      </c>
      <c r="ZC110" s="30" t="s">
        <v>164</v>
      </c>
      <c r="ZD110" s="77" t="s">
        <v>165</v>
      </c>
      <c r="ZE110" s="241" t="s">
        <v>166</v>
      </c>
      <c r="ZF110" s="26" t="s">
        <v>167</v>
      </c>
      <c r="ZG110" s="241" t="s">
        <v>168</v>
      </c>
      <c r="ZH110" s="243" t="s">
        <v>169</v>
      </c>
      <c r="ZI110" s="79" t="s">
        <v>170</v>
      </c>
      <c r="ZL110" s="30" t="s">
        <v>164</v>
      </c>
      <c r="ZM110" s="77" t="s">
        <v>165</v>
      </c>
      <c r="ZN110" s="241" t="s">
        <v>166</v>
      </c>
      <c r="ZO110" s="26" t="s">
        <v>167</v>
      </c>
      <c r="ZP110" s="241" t="s">
        <v>168</v>
      </c>
      <c r="ZQ110" s="243" t="s">
        <v>169</v>
      </c>
      <c r="ZR110" s="79" t="s">
        <v>170</v>
      </c>
      <c r="ZU110" s="30" t="s">
        <v>164</v>
      </c>
      <c r="ZV110" s="77" t="s">
        <v>165</v>
      </c>
      <c r="ZW110" s="241" t="s">
        <v>166</v>
      </c>
      <c r="ZX110" s="26" t="s">
        <v>167</v>
      </c>
      <c r="ZY110" s="241" t="s">
        <v>168</v>
      </c>
      <c r="ZZ110" s="243" t="s">
        <v>169</v>
      </c>
      <c r="AAA110" s="79" t="s">
        <v>170</v>
      </c>
      <c r="AAD110" s="30" t="s">
        <v>164</v>
      </c>
      <c r="AAE110" s="77" t="s">
        <v>165</v>
      </c>
      <c r="AAF110" s="241" t="s">
        <v>166</v>
      </c>
      <c r="AAG110" s="26" t="s">
        <v>167</v>
      </c>
      <c r="AAH110" s="241" t="s">
        <v>168</v>
      </c>
      <c r="AAI110" s="243" t="s">
        <v>169</v>
      </c>
      <c r="AAJ110" s="79" t="s">
        <v>170</v>
      </c>
      <c r="AAM110" s="30" t="s">
        <v>164</v>
      </c>
      <c r="AAN110" s="77" t="s">
        <v>165</v>
      </c>
      <c r="AAO110" s="241" t="s">
        <v>166</v>
      </c>
      <c r="AAP110" s="26" t="s">
        <v>167</v>
      </c>
      <c r="AAQ110" s="241" t="s">
        <v>168</v>
      </c>
      <c r="AAR110" s="243" t="s">
        <v>169</v>
      </c>
      <c r="AAS110" s="79" t="s">
        <v>170</v>
      </c>
      <c r="AAV110" s="30" t="s">
        <v>164</v>
      </c>
      <c r="AAW110" s="77" t="s">
        <v>165</v>
      </c>
      <c r="AAX110" s="241" t="s">
        <v>166</v>
      </c>
      <c r="AAY110" s="26" t="s">
        <v>167</v>
      </c>
      <c r="AAZ110" s="241" t="s">
        <v>168</v>
      </c>
      <c r="ABA110" s="243" t="s">
        <v>169</v>
      </c>
      <c r="ABB110" s="79" t="s">
        <v>170</v>
      </c>
      <c r="ABE110" s="30" t="s">
        <v>164</v>
      </c>
      <c r="ABF110" s="77" t="s">
        <v>165</v>
      </c>
      <c r="ABG110" s="241" t="s">
        <v>166</v>
      </c>
      <c r="ABH110" s="26" t="s">
        <v>167</v>
      </c>
      <c r="ABI110" s="241" t="s">
        <v>168</v>
      </c>
      <c r="ABJ110" s="243" t="s">
        <v>169</v>
      </c>
      <c r="ABK110" s="79" t="s">
        <v>170</v>
      </c>
    </row>
    <row r="111" spans="1:739" s="6" customFormat="1" ht="15" customHeight="1" outlineLevel="1" thickBot="1">
      <c r="B111" s="480"/>
      <c r="C111" s="49" t="s">
        <v>171</v>
      </c>
      <c r="D111" s="429" t="s">
        <v>172</v>
      </c>
      <c r="E111" s="429" t="s">
        <v>172</v>
      </c>
      <c r="F111" s="429" t="s">
        <v>172</v>
      </c>
      <c r="G111" s="430" t="s">
        <v>172</v>
      </c>
      <c r="H111" s="431">
        <f>H107</f>
        <v>27839.999999999964</v>
      </c>
      <c r="I111" s="328"/>
      <c r="L111" s="49" t="s">
        <v>171</v>
      </c>
      <c r="M111" s="429" t="s">
        <v>172</v>
      </c>
      <c r="N111" s="429" t="s">
        <v>172</v>
      </c>
      <c r="O111" s="429" t="s">
        <v>172</v>
      </c>
      <c r="P111" s="430" t="s">
        <v>172</v>
      </c>
      <c r="Q111" s="431">
        <f>Q107</f>
        <v>-669.99999999991633</v>
      </c>
      <c r="R111" s="53"/>
      <c r="U111" s="49" t="s">
        <v>171</v>
      </c>
      <c r="V111" s="429" t="s">
        <v>172</v>
      </c>
      <c r="W111" s="429" t="s">
        <v>172</v>
      </c>
      <c r="X111" s="429" t="s">
        <v>172</v>
      </c>
      <c r="Y111" s="430" t="s">
        <v>172</v>
      </c>
      <c r="Z111" s="431">
        <f>Z107</f>
        <v>20018.399999999969</v>
      </c>
      <c r="AA111" s="53"/>
      <c r="AD111" s="49" t="s">
        <v>171</v>
      </c>
      <c r="AE111" s="429" t="s">
        <v>172</v>
      </c>
      <c r="AF111" s="429" t="s">
        <v>172</v>
      </c>
      <c r="AG111" s="429" t="s">
        <v>172</v>
      </c>
      <c r="AH111" s="430" t="s">
        <v>172</v>
      </c>
      <c r="AI111" s="431">
        <f>AI107</f>
        <v>26292.700000000019</v>
      </c>
      <c r="AJ111" s="53"/>
      <c r="AM111" s="49" t="s">
        <v>171</v>
      </c>
      <c r="AN111" s="429" t="s">
        <v>172</v>
      </c>
      <c r="AO111" s="429" t="s">
        <v>172</v>
      </c>
      <c r="AP111" s="429" t="s">
        <v>172</v>
      </c>
      <c r="AQ111" s="430" t="s">
        <v>172</v>
      </c>
      <c r="AR111" s="431">
        <f>AR107</f>
        <v>0</v>
      </c>
      <c r="AS111" s="53"/>
      <c r="AV111" s="49" t="s">
        <v>171</v>
      </c>
      <c r="AW111" s="429" t="s">
        <v>172</v>
      </c>
      <c r="AX111" s="429" t="s">
        <v>172</v>
      </c>
      <c r="AY111" s="429" t="s">
        <v>172</v>
      </c>
      <c r="AZ111" s="430" t="s">
        <v>172</v>
      </c>
      <c r="BA111" s="431">
        <f>BA107</f>
        <v>17386.69999999999</v>
      </c>
      <c r="BB111" s="53"/>
      <c r="BE111" s="49" t="s">
        <v>171</v>
      </c>
      <c r="BF111" s="429" t="s">
        <v>172</v>
      </c>
      <c r="BG111" s="429" t="s">
        <v>172</v>
      </c>
      <c r="BH111" s="429" t="s">
        <v>172</v>
      </c>
      <c r="BI111" s="430" t="s">
        <v>172</v>
      </c>
      <c r="BJ111" s="431">
        <f>BJ107</f>
        <v>1.8189894035458565E-12</v>
      </c>
      <c r="BK111" s="53"/>
      <c r="BN111" s="49" t="s">
        <v>171</v>
      </c>
      <c r="BO111" s="429" t="s">
        <v>172</v>
      </c>
      <c r="BP111" s="429" t="s">
        <v>172</v>
      </c>
      <c r="BQ111" s="429" t="s">
        <v>172</v>
      </c>
      <c r="BR111" s="430" t="s">
        <v>172</v>
      </c>
      <c r="BS111" s="431">
        <f>BS107</f>
        <v>0</v>
      </c>
      <c r="BT111" s="53"/>
      <c r="BW111" s="49" t="s">
        <v>171</v>
      </c>
      <c r="BX111" s="50" t="s">
        <v>172</v>
      </c>
      <c r="BY111" s="50" t="s">
        <v>172</v>
      </c>
      <c r="BZ111" s="50" t="s">
        <v>172</v>
      </c>
      <c r="CA111" s="51" t="s">
        <v>172</v>
      </c>
      <c r="CB111" s="52">
        <f>CB107</f>
        <v>11812.9</v>
      </c>
      <c r="CC111" s="53"/>
      <c r="CF111" s="49" t="s">
        <v>171</v>
      </c>
      <c r="CG111" s="50" t="s">
        <v>172</v>
      </c>
      <c r="CH111" s="50" t="s">
        <v>172</v>
      </c>
      <c r="CI111" s="50" t="s">
        <v>172</v>
      </c>
      <c r="CJ111" s="51" t="s">
        <v>172</v>
      </c>
      <c r="CK111" s="52">
        <f>CK107</f>
        <v>0</v>
      </c>
      <c r="CL111" s="53"/>
      <c r="CO111" s="49" t="s">
        <v>171</v>
      </c>
      <c r="CP111" s="429" t="s">
        <v>172</v>
      </c>
      <c r="CQ111" s="429" t="s">
        <v>172</v>
      </c>
      <c r="CR111" s="429" t="s">
        <v>172</v>
      </c>
      <c r="CS111" s="430" t="s">
        <v>172</v>
      </c>
      <c r="CT111" s="431">
        <f>CT107</f>
        <v>0</v>
      </c>
      <c r="CU111" s="53"/>
      <c r="CX111" s="49" t="s">
        <v>171</v>
      </c>
      <c r="CY111" s="50" t="s">
        <v>172</v>
      </c>
      <c r="CZ111" s="50" t="s">
        <v>172</v>
      </c>
      <c r="DA111" s="50" t="s">
        <v>172</v>
      </c>
      <c r="DB111" s="51" t="s">
        <v>172</v>
      </c>
      <c r="DC111" s="52">
        <f>DC107</f>
        <v>31869.7</v>
      </c>
      <c r="DD111" s="53"/>
      <c r="DG111" s="49" t="s">
        <v>171</v>
      </c>
      <c r="DH111" s="50" t="s">
        <v>172</v>
      </c>
      <c r="DI111" s="142" t="s">
        <v>172</v>
      </c>
      <c r="DJ111" s="50" t="s">
        <v>172</v>
      </c>
      <c r="DK111" s="143" t="s">
        <v>172</v>
      </c>
      <c r="DL111" s="144">
        <f>DL107</f>
        <v>6658.9999999999945</v>
      </c>
      <c r="DM111" s="53"/>
      <c r="DP111" s="49" t="s">
        <v>171</v>
      </c>
      <c r="DQ111" s="50" t="s">
        <v>172</v>
      </c>
      <c r="DR111" s="50" t="s">
        <v>172</v>
      </c>
      <c r="DS111" s="50" t="s">
        <v>172</v>
      </c>
      <c r="DT111" s="51" t="s">
        <v>172</v>
      </c>
      <c r="DU111" s="52">
        <f>DU107</f>
        <v>7150</v>
      </c>
      <c r="DV111" s="53"/>
      <c r="DY111" s="49" t="s">
        <v>171</v>
      </c>
      <c r="DZ111" s="50" t="s">
        <v>172</v>
      </c>
      <c r="EA111" s="50" t="s">
        <v>172</v>
      </c>
      <c r="EB111" s="50" t="s">
        <v>172</v>
      </c>
      <c r="EC111" s="143" t="s">
        <v>172</v>
      </c>
      <c r="ED111" s="144">
        <f>ED107</f>
        <v>1847.3000000000002</v>
      </c>
      <c r="EE111" s="53"/>
      <c r="EH111" s="49" t="s">
        <v>171</v>
      </c>
      <c r="EI111" s="50" t="s">
        <v>172</v>
      </c>
      <c r="EJ111" s="50" t="s">
        <v>172</v>
      </c>
      <c r="EK111" s="50" t="s">
        <v>172</v>
      </c>
      <c r="EL111" s="143" t="s">
        <v>172</v>
      </c>
      <c r="EM111" s="144">
        <f>EM107</f>
        <v>0</v>
      </c>
      <c r="EN111" s="53"/>
      <c r="EQ111" s="49" t="s">
        <v>171</v>
      </c>
      <c r="ER111" s="50" t="s">
        <v>172</v>
      </c>
      <c r="ES111" s="50" t="s">
        <v>172</v>
      </c>
      <c r="ET111" s="50" t="s">
        <v>172</v>
      </c>
      <c r="EU111" s="51" t="s">
        <v>172</v>
      </c>
      <c r="EV111" s="52">
        <f>EV107</f>
        <v>0</v>
      </c>
      <c r="EW111" s="53"/>
      <c r="EZ111" s="49" t="s">
        <v>171</v>
      </c>
      <c r="FA111" s="50" t="s">
        <v>172</v>
      </c>
      <c r="FB111" s="50" t="s">
        <v>172</v>
      </c>
      <c r="FC111" s="50" t="s">
        <v>172</v>
      </c>
      <c r="FD111" s="143" t="s">
        <v>172</v>
      </c>
      <c r="FE111" s="144">
        <f>FE107</f>
        <v>0</v>
      </c>
      <c r="FF111" s="53"/>
      <c r="FI111" s="49" t="s">
        <v>171</v>
      </c>
      <c r="FJ111" s="50" t="s">
        <v>172</v>
      </c>
      <c r="FK111" s="50" t="s">
        <v>172</v>
      </c>
      <c r="FL111" s="50" t="s">
        <v>172</v>
      </c>
      <c r="FM111" s="143" t="s">
        <v>172</v>
      </c>
      <c r="FN111" s="144">
        <f>FN107</f>
        <v>0</v>
      </c>
      <c r="FO111" s="53"/>
      <c r="FR111" s="49" t="s">
        <v>171</v>
      </c>
      <c r="FS111" s="429" t="s">
        <v>172</v>
      </c>
      <c r="FT111" s="429" t="s">
        <v>172</v>
      </c>
      <c r="FU111" s="429" t="s">
        <v>172</v>
      </c>
      <c r="FV111" s="420" t="s">
        <v>172</v>
      </c>
      <c r="FW111" s="421">
        <f>FW107</f>
        <v>1980</v>
      </c>
      <c r="FX111" s="459">
        <f>FW111/20</f>
        <v>99</v>
      </c>
      <c r="FY111" s="460" t="s">
        <v>173</v>
      </c>
      <c r="GA111" s="49" t="s">
        <v>171</v>
      </c>
      <c r="GB111" s="429" t="s">
        <v>172</v>
      </c>
      <c r="GC111" s="429" t="s">
        <v>172</v>
      </c>
      <c r="GD111" s="429" t="s">
        <v>172</v>
      </c>
      <c r="GE111" s="420" t="s">
        <v>172</v>
      </c>
      <c r="GF111" s="421">
        <f>GF107</f>
        <v>2000</v>
      </c>
      <c r="GG111" s="461">
        <f>GF111/20</f>
        <v>100</v>
      </c>
      <c r="GH111" s="460" t="s">
        <v>173</v>
      </c>
      <c r="GI111" s="22"/>
      <c r="GJ111" s="49" t="s">
        <v>171</v>
      </c>
      <c r="GK111" s="429" t="s">
        <v>172</v>
      </c>
      <c r="GL111" s="429" t="s">
        <v>172</v>
      </c>
      <c r="GM111" s="429" t="s">
        <v>172</v>
      </c>
      <c r="GN111" s="420" t="s">
        <v>172</v>
      </c>
      <c r="GO111" s="421">
        <f>GO107</f>
        <v>4800</v>
      </c>
      <c r="GP111" s="459">
        <f>GO111/20</f>
        <v>240</v>
      </c>
      <c r="GQ111" s="460" t="s">
        <v>173</v>
      </c>
      <c r="GS111" s="49" t="s">
        <v>171</v>
      </c>
      <c r="GT111" s="50" t="s">
        <v>172</v>
      </c>
      <c r="GU111" s="50" t="s">
        <v>172</v>
      </c>
      <c r="GV111" s="50" t="s">
        <v>172</v>
      </c>
      <c r="GW111" s="143" t="s">
        <v>172</v>
      </c>
      <c r="GX111" s="144">
        <f>GX107</f>
        <v>0</v>
      </c>
      <c r="GY111" s="53"/>
      <c r="HB111" s="49" t="s">
        <v>171</v>
      </c>
      <c r="HC111" s="50" t="s">
        <v>172</v>
      </c>
      <c r="HD111" s="50" t="s">
        <v>172</v>
      </c>
      <c r="HE111" s="50" t="s">
        <v>172</v>
      </c>
      <c r="HF111" s="143" t="s">
        <v>172</v>
      </c>
      <c r="HG111" s="144">
        <f>HG107</f>
        <v>0</v>
      </c>
      <c r="HH111" s="53"/>
      <c r="HK111" s="49" t="s">
        <v>171</v>
      </c>
      <c r="HL111" s="50" t="s">
        <v>172</v>
      </c>
      <c r="HM111" s="50" t="s">
        <v>172</v>
      </c>
      <c r="HN111" s="50" t="s">
        <v>172</v>
      </c>
      <c r="HO111" s="143" t="s">
        <v>172</v>
      </c>
      <c r="HP111" s="144">
        <f>HP107</f>
        <v>0</v>
      </c>
      <c r="HQ111" s="53"/>
      <c r="HU111" s="49" t="s">
        <v>171</v>
      </c>
      <c r="HV111" s="50" t="s">
        <v>172</v>
      </c>
      <c r="HW111" s="142" t="s">
        <v>172</v>
      </c>
      <c r="HX111" s="50" t="s">
        <v>172</v>
      </c>
      <c r="HY111" s="143" t="s">
        <v>172</v>
      </c>
      <c r="HZ111" s="144">
        <f>HZ107</f>
        <v>5120</v>
      </c>
      <c r="IA111" s="459">
        <f>HZ111/20</f>
        <v>256</v>
      </c>
      <c r="IB111" s="460" t="s">
        <v>173</v>
      </c>
      <c r="ID111" s="49" t="s">
        <v>171</v>
      </c>
      <c r="IE111" s="50" t="s">
        <v>172</v>
      </c>
      <c r="IF111" s="142" t="s">
        <v>172</v>
      </c>
      <c r="IG111" s="50" t="s">
        <v>172</v>
      </c>
      <c r="IH111" s="143" t="s">
        <v>172</v>
      </c>
      <c r="II111" s="144">
        <f>II107</f>
        <v>6540</v>
      </c>
      <c r="IJ111" s="459">
        <f>II111/20</f>
        <v>327</v>
      </c>
      <c r="IK111" s="460" t="s">
        <v>173</v>
      </c>
      <c r="IM111" s="49" t="s">
        <v>171</v>
      </c>
      <c r="IN111" s="50" t="s">
        <v>172</v>
      </c>
      <c r="IO111" s="142" t="s">
        <v>172</v>
      </c>
      <c r="IP111" s="50" t="s">
        <v>172</v>
      </c>
      <c r="IQ111" s="143" t="s">
        <v>172</v>
      </c>
      <c r="IR111" s="144">
        <f>IR107</f>
        <v>11540</v>
      </c>
      <c r="IS111" s="459">
        <f>IR111/20</f>
        <v>577</v>
      </c>
      <c r="IT111" s="460" t="s">
        <v>173</v>
      </c>
      <c r="IV111" s="49" t="s">
        <v>171</v>
      </c>
      <c r="IW111" s="50" t="s">
        <v>172</v>
      </c>
      <c r="IX111" s="142" t="s">
        <v>172</v>
      </c>
      <c r="IY111" s="142" t="s">
        <v>172</v>
      </c>
      <c r="IZ111" s="143" t="s">
        <v>172</v>
      </c>
      <c r="JA111" s="144">
        <f>JA107</f>
        <v>15120</v>
      </c>
      <c r="JB111" s="459">
        <f>JA111/20</f>
        <v>756</v>
      </c>
      <c r="JC111" s="460" t="s">
        <v>173</v>
      </c>
      <c r="JE111" s="49" t="s">
        <v>171</v>
      </c>
      <c r="JF111" s="50" t="s">
        <v>172</v>
      </c>
      <c r="JG111" s="142" t="s">
        <v>172</v>
      </c>
      <c r="JH111" s="142" t="s">
        <v>172</v>
      </c>
      <c r="JI111" s="143" t="s">
        <v>172</v>
      </c>
      <c r="JJ111" s="144">
        <f>JJ107</f>
        <v>5040</v>
      </c>
      <c r="JK111" s="459">
        <f>JJ111/20</f>
        <v>252</v>
      </c>
      <c r="JL111" s="460" t="s">
        <v>173</v>
      </c>
      <c r="JN111" s="49" t="s">
        <v>171</v>
      </c>
      <c r="JO111" s="50" t="s">
        <v>172</v>
      </c>
      <c r="JP111" s="142" t="s">
        <v>172</v>
      </c>
      <c r="JQ111" s="142" t="s">
        <v>172</v>
      </c>
      <c r="JR111" s="143" t="s">
        <v>172</v>
      </c>
      <c r="JS111" s="144">
        <f>JS107</f>
        <v>9100</v>
      </c>
      <c r="JT111" s="459">
        <f>JS111/20</f>
        <v>455</v>
      </c>
      <c r="JU111" s="460" t="s">
        <v>173</v>
      </c>
      <c r="JW111" s="49" t="s">
        <v>171</v>
      </c>
      <c r="JX111" s="50" t="s">
        <v>172</v>
      </c>
      <c r="JY111" s="142" t="s">
        <v>172</v>
      </c>
      <c r="JZ111" s="142" t="s">
        <v>172</v>
      </c>
      <c r="KA111" s="143" t="s">
        <v>172</v>
      </c>
      <c r="KB111" s="144">
        <f>KB107</f>
        <v>4220</v>
      </c>
      <c r="KC111" s="53"/>
      <c r="KF111" s="49" t="s">
        <v>171</v>
      </c>
      <c r="KG111" s="50" t="s">
        <v>172</v>
      </c>
      <c r="KH111" s="142" t="s">
        <v>172</v>
      </c>
      <c r="KI111" s="50" t="s">
        <v>172</v>
      </c>
      <c r="KJ111" s="143" t="s">
        <v>172</v>
      </c>
      <c r="KK111" s="144">
        <f>KK107</f>
        <v>7702.5</v>
      </c>
      <c r="KL111" s="53"/>
      <c r="KO111" s="49" t="s">
        <v>171</v>
      </c>
      <c r="KP111" s="50" t="s">
        <v>172</v>
      </c>
      <c r="KQ111" s="142" t="s">
        <v>172</v>
      </c>
      <c r="KR111" s="50" t="s">
        <v>172</v>
      </c>
      <c r="KS111" s="143" t="s">
        <v>172</v>
      </c>
      <c r="KT111" s="144">
        <f>KT107</f>
        <v>6426</v>
      </c>
      <c r="KU111" s="459">
        <f>KT111/18.9</f>
        <v>340</v>
      </c>
      <c r="KW111" s="22"/>
      <c r="KX111" s="49" t="s">
        <v>171</v>
      </c>
      <c r="KY111" s="50" t="s">
        <v>172</v>
      </c>
      <c r="KZ111" s="142" t="s">
        <v>172</v>
      </c>
      <c r="LA111" s="50" t="s">
        <v>172</v>
      </c>
      <c r="LB111" s="143" t="s">
        <v>172</v>
      </c>
      <c r="LC111" s="144">
        <f>LC107</f>
        <v>0</v>
      </c>
      <c r="LD111" s="53"/>
      <c r="LG111" s="49" t="s">
        <v>171</v>
      </c>
      <c r="LH111" s="50" t="s">
        <v>172</v>
      </c>
      <c r="LI111" s="142" t="s">
        <v>172</v>
      </c>
      <c r="LJ111" s="142" t="s">
        <v>172</v>
      </c>
      <c r="LK111" s="143" t="s">
        <v>172</v>
      </c>
      <c r="LL111" s="144">
        <f>LL107</f>
        <v>0</v>
      </c>
      <c r="LM111" s="459">
        <f>LL111/20</f>
        <v>0</v>
      </c>
      <c r="LN111" s="460" t="s">
        <v>173</v>
      </c>
      <c r="LP111" s="49" t="s">
        <v>171</v>
      </c>
      <c r="LQ111" s="50" t="s">
        <v>172</v>
      </c>
      <c r="LR111" s="142" t="s">
        <v>172</v>
      </c>
      <c r="LS111" s="50" t="s">
        <v>172</v>
      </c>
      <c r="LT111" s="143" t="s">
        <v>172</v>
      </c>
      <c r="LU111" s="144">
        <f>LU107</f>
        <v>0</v>
      </c>
      <c r="LV111" s="53"/>
      <c r="LY111" s="49" t="s">
        <v>171</v>
      </c>
      <c r="LZ111" s="50" t="s">
        <v>172</v>
      </c>
      <c r="MA111" s="142" t="s">
        <v>172</v>
      </c>
      <c r="MB111" s="142" t="s">
        <v>172</v>
      </c>
      <c r="MC111" s="143" t="s">
        <v>172</v>
      </c>
      <c r="MD111" s="144">
        <f>MD107</f>
        <v>0</v>
      </c>
      <c r="ME111" s="53"/>
      <c r="MH111" s="49" t="s">
        <v>171</v>
      </c>
      <c r="MI111" s="50" t="s">
        <v>172</v>
      </c>
      <c r="MJ111" s="142" t="s">
        <v>172</v>
      </c>
      <c r="MK111" s="142" t="s">
        <v>172</v>
      </c>
      <c r="ML111" s="143" t="s">
        <v>172</v>
      </c>
      <c r="MM111" s="144">
        <f>MM107</f>
        <v>0</v>
      </c>
      <c r="MN111" s="53"/>
      <c r="MQ111" s="49" t="s">
        <v>171</v>
      </c>
      <c r="MR111" s="50" t="s">
        <v>172</v>
      </c>
      <c r="MS111" s="142" t="s">
        <v>172</v>
      </c>
      <c r="MT111" s="142" t="s">
        <v>172</v>
      </c>
      <c r="MU111" s="143" t="s">
        <v>172</v>
      </c>
      <c r="MV111" s="144">
        <f>MV107</f>
        <v>4195</v>
      </c>
      <c r="MW111" s="53"/>
      <c r="MZ111" s="49" t="s">
        <v>171</v>
      </c>
      <c r="NA111" s="50" t="s">
        <v>172</v>
      </c>
      <c r="NB111" s="142" t="s">
        <v>172</v>
      </c>
      <c r="NC111" s="142" t="s">
        <v>172</v>
      </c>
      <c r="ND111" s="143" t="s">
        <v>172</v>
      </c>
      <c r="NE111" s="144">
        <f>NE107</f>
        <v>0</v>
      </c>
      <c r="NF111" s="53"/>
      <c r="NI111" s="49" t="s">
        <v>171</v>
      </c>
      <c r="NJ111" s="50" t="s">
        <v>172</v>
      </c>
      <c r="NK111" s="142" t="s">
        <v>172</v>
      </c>
      <c r="NL111" s="50" t="s">
        <v>172</v>
      </c>
      <c r="NM111" s="143" t="s">
        <v>172</v>
      </c>
      <c r="NN111" s="144">
        <f>NN107</f>
        <v>2065</v>
      </c>
      <c r="NO111" s="53"/>
      <c r="NR111" s="49" t="s">
        <v>171</v>
      </c>
      <c r="NS111" s="50" t="s">
        <v>172</v>
      </c>
      <c r="NT111" s="142" t="s">
        <v>172</v>
      </c>
      <c r="NU111" s="50" t="s">
        <v>172</v>
      </c>
      <c r="NV111" s="143" t="s">
        <v>172</v>
      </c>
      <c r="NW111" s="144">
        <f>NW107</f>
        <v>4152.5</v>
      </c>
      <c r="NX111" s="53"/>
      <c r="OA111" s="49" t="s">
        <v>171</v>
      </c>
      <c r="OB111" s="50" t="s">
        <v>172</v>
      </c>
      <c r="OC111" s="142" t="s">
        <v>172</v>
      </c>
      <c r="OD111" s="142" t="s">
        <v>172</v>
      </c>
      <c r="OE111" s="143" t="s">
        <v>172</v>
      </c>
      <c r="OF111" s="144">
        <f>OF107</f>
        <v>1680.5</v>
      </c>
      <c r="OG111" s="53"/>
      <c r="OJ111" s="49" t="s">
        <v>171</v>
      </c>
      <c r="OK111" s="50" t="s">
        <v>172</v>
      </c>
      <c r="OL111" s="142" t="s">
        <v>172</v>
      </c>
      <c r="OM111" s="142" t="s">
        <v>172</v>
      </c>
      <c r="ON111" s="143" t="s">
        <v>172</v>
      </c>
      <c r="OO111" s="144"/>
      <c r="OP111" s="53"/>
      <c r="OS111" s="49" t="s">
        <v>171</v>
      </c>
      <c r="OT111" s="50" t="s">
        <v>172</v>
      </c>
      <c r="OU111" s="142" t="s">
        <v>172</v>
      </c>
      <c r="OV111" s="142" t="s">
        <v>172</v>
      </c>
      <c r="OW111" s="143" t="s">
        <v>172</v>
      </c>
      <c r="OX111" s="144">
        <f>OX107</f>
        <v>1000</v>
      </c>
      <c r="OY111" s="53"/>
      <c r="PB111" s="49" t="s">
        <v>171</v>
      </c>
      <c r="PC111" s="50" t="s">
        <v>172</v>
      </c>
      <c r="PD111" s="142" t="s">
        <v>172</v>
      </c>
      <c r="PE111" s="142" t="s">
        <v>172</v>
      </c>
      <c r="PF111" s="143" t="s">
        <v>172</v>
      </c>
      <c r="PG111" s="144">
        <f>PG107</f>
        <v>0</v>
      </c>
      <c r="PH111" s="53"/>
      <c r="PK111" s="49" t="s">
        <v>171</v>
      </c>
      <c r="PL111" s="50" t="s">
        <v>172</v>
      </c>
      <c r="PM111" s="142" t="s">
        <v>172</v>
      </c>
      <c r="PN111" s="142" t="s">
        <v>172</v>
      </c>
      <c r="PO111" s="143" t="s">
        <v>172</v>
      </c>
      <c r="PP111" s="144">
        <f>PP107</f>
        <v>100</v>
      </c>
      <c r="PQ111" s="53"/>
      <c r="PT111" s="49" t="s">
        <v>171</v>
      </c>
      <c r="PU111" s="50" t="s">
        <v>172</v>
      </c>
      <c r="PV111" s="142" t="s">
        <v>172</v>
      </c>
      <c r="PW111" s="142" t="s">
        <v>172</v>
      </c>
      <c r="PX111" s="143" t="s">
        <v>172</v>
      </c>
      <c r="PY111" s="144">
        <f>PY107</f>
        <v>13.960000000000036</v>
      </c>
      <c r="PZ111" s="53"/>
      <c r="QC111" s="49" t="s">
        <v>171</v>
      </c>
      <c r="QD111" s="50" t="s">
        <v>172</v>
      </c>
      <c r="QE111" s="142" t="s">
        <v>172</v>
      </c>
      <c r="QF111" s="142" t="s">
        <v>172</v>
      </c>
      <c r="QG111" s="143" t="s">
        <v>172</v>
      </c>
      <c r="QH111" s="144">
        <f>QH107</f>
        <v>1212</v>
      </c>
      <c r="QI111" s="53"/>
      <c r="QL111" s="49" t="s">
        <v>171</v>
      </c>
      <c r="QM111" s="50" t="s">
        <v>172</v>
      </c>
      <c r="QN111" s="142" t="s">
        <v>172</v>
      </c>
      <c r="QO111" s="142" t="s">
        <v>172</v>
      </c>
      <c r="QP111" s="143" t="s">
        <v>172</v>
      </c>
      <c r="QQ111" s="144">
        <f>QQ107</f>
        <v>400</v>
      </c>
      <c r="QR111" s="53"/>
      <c r="QU111" s="49" t="s">
        <v>171</v>
      </c>
      <c r="QV111" s="50" t="s">
        <v>172</v>
      </c>
      <c r="QW111" s="142" t="s">
        <v>172</v>
      </c>
      <c r="QX111" s="142" t="s">
        <v>172</v>
      </c>
      <c r="QY111" s="143" t="s">
        <v>172</v>
      </c>
      <c r="QZ111" s="144">
        <f>QZ107</f>
        <v>207.6</v>
      </c>
      <c r="RA111" s="53"/>
      <c r="RD111" s="49" t="s">
        <v>171</v>
      </c>
      <c r="RE111" s="50" t="s">
        <v>172</v>
      </c>
      <c r="RF111" s="142" t="s">
        <v>172</v>
      </c>
      <c r="RG111" s="142" t="s">
        <v>172</v>
      </c>
      <c r="RH111" s="143" t="s">
        <v>172</v>
      </c>
      <c r="RI111" s="144">
        <f>RI107</f>
        <v>197.04000000000002</v>
      </c>
      <c r="RJ111" s="53"/>
      <c r="RM111" s="49" t="s">
        <v>171</v>
      </c>
      <c r="RN111" s="50" t="s">
        <v>172</v>
      </c>
      <c r="RO111" s="142" t="s">
        <v>172</v>
      </c>
      <c r="RP111" s="142" t="s">
        <v>172</v>
      </c>
      <c r="RQ111" s="143" t="s">
        <v>172</v>
      </c>
      <c r="RR111" s="144">
        <f>RR107</f>
        <v>46.8</v>
      </c>
      <c r="RS111" s="53"/>
      <c r="RV111" s="49" t="s">
        <v>171</v>
      </c>
      <c r="RW111" s="50" t="s">
        <v>172</v>
      </c>
      <c r="RX111" s="142" t="s">
        <v>172</v>
      </c>
      <c r="RY111" s="142" t="s">
        <v>172</v>
      </c>
      <c r="RZ111" s="143" t="s">
        <v>172</v>
      </c>
      <c r="SA111" s="144">
        <f>SA107</f>
        <v>0</v>
      </c>
      <c r="SB111" s="53"/>
      <c r="SE111" s="49" t="s">
        <v>171</v>
      </c>
      <c r="SF111" s="50" t="s">
        <v>172</v>
      </c>
      <c r="SG111" s="142" t="s">
        <v>172</v>
      </c>
      <c r="SH111" s="142" t="s">
        <v>172</v>
      </c>
      <c r="SI111" s="143" t="s">
        <v>172</v>
      </c>
      <c r="SJ111" s="144">
        <f>SJ107</f>
        <v>0</v>
      </c>
      <c r="SK111" s="53"/>
      <c r="SN111" s="49" t="s">
        <v>171</v>
      </c>
      <c r="SO111" s="50" t="s">
        <v>172</v>
      </c>
      <c r="SP111" s="142" t="s">
        <v>172</v>
      </c>
      <c r="SQ111" s="142" t="s">
        <v>172</v>
      </c>
      <c r="SR111" s="143" t="s">
        <v>172</v>
      </c>
      <c r="SS111" s="144">
        <f>SS107</f>
        <v>0</v>
      </c>
      <c r="ST111" s="53"/>
      <c r="SW111" s="49" t="s">
        <v>171</v>
      </c>
      <c r="SX111" s="50" t="s">
        <v>172</v>
      </c>
      <c r="SY111" s="142" t="s">
        <v>172</v>
      </c>
      <c r="SZ111" s="142" t="s">
        <v>172</v>
      </c>
      <c r="TA111" s="143" t="s">
        <v>172</v>
      </c>
      <c r="TB111" s="144">
        <f>TB107</f>
        <v>0</v>
      </c>
      <c r="TC111" s="53"/>
      <c r="TF111" s="49" t="s">
        <v>171</v>
      </c>
      <c r="TG111" s="50" t="s">
        <v>172</v>
      </c>
      <c r="TH111" s="142" t="s">
        <v>172</v>
      </c>
      <c r="TI111" s="142" t="s">
        <v>172</v>
      </c>
      <c r="TJ111" s="143" t="s">
        <v>172</v>
      </c>
      <c r="TK111" s="144">
        <f>TK107</f>
        <v>0</v>
      </c>
      <c r="TL111" s="53"/>
      <c r="TO111" s="49" t="s">
        <v>171</v>
      </c>
      <c r="TP111" s="50" t="s">
        <v>172</v>
      </c>
      <c r="TQ111" s="142" t="s">
        <v>172</v>
      </c>
      <c r="TR111" s="142" t="s">
        <v>172</v>
      </c>
      <c r="TS111" s="143" t="s">
        <v>172</v>
      </c>
      <c r="TT111" s="144">
        <f>TT107</f>
        <v>0</v>
      </c>
      <c r="TU111" s="53"/>
      <c r="TX111" s="49" t="s">
        <v>171</v>
      </c>
      <c r="TY111" s="50" t="s">
        <v>172</v>
      </c>
      <c r="TZ111" s="142" t="s">
        <v>172</v>
      </c>
      <c r="UA111" s="142" t="s">
        <v>172</v>
      </c>
      <c r="UB111" s="143" t="s">
        <v>172</v>
      </c>
      <c r="UC111" s="144">
        <f>UC107</f>
        <v>0</v>
      </c>
      <c r="UD111" s="53"/>
      <c r="UG111" s="49" t="s">
        <v>171</v>
      </c>
      <c r="UH111" s="50" t="s">
        <v>172</v>
      </c>
      <c r="UI111" s="142" t="s">
        <v>172</v>
      </c>
      <c r="UJ111" s="142" t="s">
        <v>172</v>
      </c>
      <c r="UK111" s="143" t="s">
        <v>172</v>
      </c>
      <c r="UL111" s="144">
        <f>UL107</f>
        <v>0</v>
      </c>
      <c r="UM111" s="53"/>
      <c r="UP111" s="49" t="s">
        <v>171</v>
      </c>
      <c r="UQ111" s="50" t="s">
        <v>172</v>
      </c>
      <c r="UR111" s="142" t="s">
        <v>172</v>
      </c>
      <c r="US111" s="142" t="s">
        <v>172</v>
      </c>
      <c r="UT111" s="143" t="s">
        <v>172</v>
      </c>
      <c r="UU111" s="144">
        <f>UU107</f>
        <v>0</v>
      </c>
      <c r="UV111" s="53"/>
      <c r="UY111" s="49" t="s">
        <v>171</v>
      </c>
      <c r="UZ111" s="50" t="s">
        <v>172</v>
      </c>
      <c r="VA111" s="142" t="s">
        <v>172</v>
      </c>
      <c r="VB111" s="142" t="s">
        <v>172</v>
      </c>
      <c r="VC111" s="143" t="s">
        <v>172</v>
      </c>
      <c r="VD111" s="144">
        <f>VD107</f>
        <v>41.600000000000023</v>
      </c>
      <c r="VE111" s="53"/>
      <c r="VH111" s="49" t="s">
        <v>171</v>
      </c>
      <c r="VI111" s="50" t="s">
        <v>172</v>
      </c>
      <c r="VJ111" s="142" t="s">
        <v>172</v>
      </c>
      <c r="VK111" s="142" t="s">
        <v>172</v>
      </c>
      <c r="VL111" s="143" t="s">
        <v>172</v>
      </c>
      <c r="VM111" s="144">
        <f>VM107</f>
        <v>0</v>
      </c>
      <c r="VN111" s="53"/>
      <c r="VQ111" s="49" t="s">
        <v>171</v>
      </c>
      <c r="VR111" s="50" t="s">
        <v>172</v>
      </c>
      <c r="VS111" s="142" t="s">
        <v>172</v>
      </c>
      <c r="VT111" s="142" t="s">
        <v>172</v>
      </c>
      <c r="VU111" s="143" t="s">
        <v>172</v>
      </c>
      <c r="VV111" s="144">
        <f>VV107</f>
        <v>0</v>
      </c>
      <c r="VW111" s="53"/>
      <c r="VZ111" s="49" t="s">
        <v>171</v>
      </c>
      <c r="WA111" s="50" t="s">
        <v>172</v>
      </c>
      <c r="WB111" s="142" t="s">
        <v>172</v>
      </c>
      <c r="WC111" s="142" t="s">
        <v>172</v>
      </c>
      <c r="WD111" s="143" t="s">
        <v>172</v>
      </c>
      <c r="WE111" s="144">
        <f>WE107</f>
        <v>0</v>
      </c>
      <c r="WF111" s="53"/>
      <c r="WI111" s="49" t="s">
        <v>171</v>
      </c>
      <c r="WJ111" s="50" t="s">
        <v>172</v>
      </c>
      <c r="WK111" s="142" t="s">
        <v>172</v>
      </c>
      <c r="WL111" s="142" t="s">
        <v>172</v>
      </c>
      <c r="WM111" s="143" t="s">
        <v>172</v>
      </c>
      <c r="WN111" s="144">
        <f>WN107</f>
        <v>3889</v>
      </c>
      <c r="WO111" s="53"/>
      <c r="WR111" s="49" t="s">
        <v>171</v>
      </c>
      <c r="WS111" s="50" t="s">
        <v>172</v>
      </c>
      <c r="WT111" s="142" t="s">
        <v>172</v>
      </c>
      <c r="WU111" s="142" t="s">
        <v>172</v>
      </c>
      <c r="WV111" s="143" t="s">
        <v>172</v>
      </c>
      <c r="WW111" s="144">
        <f>WW107</f>
        <v>0</v>
      </c>
      <c r="WX111" s="53"/>
      <c r="XA111" s="49" t="s">
        <v>171</v>
      </c>
      <c r="XB111" s="50" t="s">
        <v>172</v>
      </c>
      <c r="XC111" s="142" t="s">
        <v>172</v>
      </c>
      <c r="XD111" s="142" t="s">
        <v>172</v>
      </c>
      <c r="XE111" s="143" t="s">
        <v>172</v>
      </c>
      <c r="XF111" s="144">
        <f>XF107</f>
        <v>6349</v>
      </c>
      <c r="XG111" s="53"/>
      <c r="XJ111" s="49" t="s">
        <v>171</v>
      </c>
      <c r="XK111" s="50" t="s">
        <v>172</v>
      </c>
      <c r="XL111" s="142" t="s">
        <v>172</v>
      </c>
      <c r="XM111" s="142" t="s">
        <v>172</v>
      </c>
      <c r="XN111" s="143" t="s">
        <v>172</v>
      </c>
      <c r="XO111" s="144">
        <f>XO107</f>
        <v>5989</v>
      </c>
      <c r="XP111" s="53"/>
      <c r="XS111" s="49" t="s">
        <v>171</v>
      </c>
      <c r="XT111" s="50" t="s">
        <v>172</v>
      </c>
      <c r="XU111" s="142" t="s">
        <v>172</v>
      </c>
      <c r="XV111" s="142" t="s">
        <v>172</v>
      </c>
      <c r="XW111" s="143" t="s">
        <v>172</v>
      </c>
      <c r="XX111" s="144">
        <f>XX107</f>
        <v>1901</v>
      </c>
      <c r="XY111" s="53"/>
      <c r="YB111" s="49" t="s">
        <v>171</v>
      </c>
      <c r="YC111" s="50" t="s">
        <v>172</v>
      </c>
      <c r="YD111" s="142" t="s">
        <v>172</v>
      </c>
      <c r="YE111" s="142" t="s">
        <v>172</v>
      </c>
      <c r="YF111" s="143" t="s">
        <v>172</v>
      </c>
      <c r="YG111" s="144">
        <f>YG107</f>
        <v>6459</v>
      </c>
      <c r="YH111" s="53"/>
      <c r="YK111" s="49" t="s">
        <v>171</v>
      </c>
      <c r="YL111" s="50" t="s">
        <v>172</v>
      </c>
      <c r="YM111" s="142" t="s">
        <v>172</v>
      </c>
      <c r="YN111" s="142" t="s">
        <v>172</v>
      </c>
      <c r="YO111" s="143" t="s">
        <v>172</v>
      </c>
      <c r="YP111" s="144">
        <f>YP107</f>
        <v>0</v>
      </c>
      <c r="YQ111" s="53"/>
      <c r="YT111" s="49" t="s">
        <v>171</v>
      </c>
      <c r="YU111" s="50" t="s">
        <v>172</v>
      </c>
      <c r="YV111" s="142" t="s">
        <v>172</v>
      </c>
      <c r="YW111" s="142" t="s">
        <v>172</v>
      </c>
      <c r="YX111" s="143" t="s">
        <v>172</v>
      </c>
      <c r="YY111" s="144">
        <f>YY107</f>
        <v>0</v>
      </c>
      <c r="YZ111" s="53"/>
      <c r="ZC111" s="49" t="s">
        <v>171</v>
      </c>
      <c r="ZD111" s="50" t="s">
        <v>172</v>
      </c>
      <c r="ZE111" s="142" t="s">
        <v>172</v>
      </c>
      <c r="ZF111" s="142" t="s">
        <v>172</v>
      </c>
      <c r="ZG111" s="143" t="s">
        <v>172</v>
      </c>
      <c r="ZH111" s="144">
        <f>ZH107</f>
        <v>0</v>
      </c>
      <c r="ZI111" s="53"/>
      <c r="ZL111" s="49" t="s">
        <v>171</v>
      </c>
      <c r="ZM111" s="50" t="s">
        <v>172</v>
      </c>
      <c r="ZN111" s="142" t="s">
        <v>172</v>
      </c>
      <c r="ZO111" s="142" t="s">
        <v>172</v>
      </c>
      <c r="ZP111" s="143" t="s">
        <v>172</v>
      </c>
      <c r="ZQ111" s="144">
        <f>ZQ107</f>
        <v>0</v>
      </c>
      <c r="ZR111" s="53"/>
      <c r="ZU111" s="49" t="s">
        <v>171</v>
      </c>
      <c r="ZV111" s="50" t="s">
        <v>172</v>
      </c>
      <c r="ZW111" s="142" t="s">
        <v>172</v>
      </c>
      <c r="ZX111" s="142" t="s">
        <v>172</v>
      </c>
      <c r="ZY111" s="143" t="s">
        <v>172</v>
      </c>
      <c r="ZZ111" s="144">
        <f>ZZ107</f>
        <v>0</v>
      </c>
      <c r="AAA111" s="53"/>
      <c r="AAD111" s="49" t="s">
        <v>171</v>
      </c>
      <c r="AAE111" s="50" t="s">
        <v>172</v>
      </c>
      <c r="AAF111" s="142" t="s">
        <v>172</v>
      </c>
      <c r="AAG111" s="142" t="s">
        <v>172</v>
      </c>
      <c r="AAH111" s="143" t="s">
        <v>172</v>
      </c>
      <c r="AAI111" s="144">
        <f>AAI107</f>
        <v>0</v>
      </c>
      <c r="AAJ111" s="53"/>
      <c r="AAM111" s="49" t="s">
        <v>171</v>
      </c>
      <c r="AAN111" s="50" t="s">
        <v>172</v>
      </c>
      <c r="AAO111" s="142" t="s">
        <v>172</v>
      </c>
      <c r="AAP111" s="142" t="s">
        <v>172</v>
      </c>
      <c r="AAQ111" s="143" t="s">
        <v>172</v>
      </c>
      <c r="AAR111" s="144">
        <f>AAR107</f>
        <v>0</v>
      </c>
      <c r="AAS111" s="53"/>
      <c r="AAV111" s="49" t="s">
        <v>171</v>
      </c>
      <c r="AAW111" s="50" t="s">
        <v>172</v>
      </c>
      <c r="AAX111" s="142" t="s">
        <v>172</v>
      </c>
      <c r="AAY111" s="142" t="s">
        <v>172</v>
      </c>
      <c r="AAZ111" s="143" t="s">
        <v>172</v>
      </c>
      <c r="ABA111" s="144">
        <f>ABA107</f>
        <v>0</v>
      </c>
      <c r="ABB111" s="53"/>
      <c r="ABE111" s="49" t="s">
        <v>171</v>
      </c>
      <c r="ABF111" s="50" t="s">
        <v>172</v>
      </c>
      <c r="ABG111" s="142" t="s">
        <v>172</v>
      </c>
      <c r="ABH111" s="142" t="s">
        <v>172</v>
      </c>
      <c r="ABI111" s="143" t="s">
        <v>172</v>
      </c>
      <c r="ABJ111" s="144">
        <f>ABJ107</f>
        <v>0</v>
      </c>
      <c r="ABK111" s="53"/>
    </row>
    <row r="112" spans="1:739" s="54" customFormat="1" ht="15" customHeight="1" outlineLevel="1">
      <c r="B112" s="478">
        <v>20</v>
      </c>
      <c r="C112" s="55">
        <v>46113</v>
      </c>
      <c r="D112" s="422">
        <v>29600</v>
      </c>
      <c r="E112" s="423">
        <f>SUMPRODUCT(PRODUCE!$B121:$DY121,PRODUCE!$EB$7:$IY$7)</f>
        <v>10311</v>
      </c>
      <c r="F112" s="422">
        <v>10311.200000000001</v>
      </c>
      <c r="G112" s="423">
        <f>E112-F112</f>
        <v>-0.2000000000007276</v>
      </c>
      <c r="H112" s="424">
        <f>H111+D112-F112</f>
        <v>47128.799999999959</v>
      </c>
      <c r="I112" s="289" t="s">
        <v>237</v>
      </c>
      <c r="L112" s="55">
        <f t="shared" ref="L112:L141" si="759">C112</f>
        <v>46113</v>
      </c>
      <c r="M112" s="422">
        <v>25420</v>
      </c>
      <c r="N112" s="438">
        <f>SUMPRODUCT(PRODUCE!$B121:$DY121,PRODUCE!$EB$8:$IY$8)</f>
        <v>4770.0000000000009</v>
      </c>
      <c r="O112" s="422">
        <v>4771.3999999999996</v>
      </c>
      <c r="P112" s="438">
        <f>N112-O112</f>
        <v>-1.3999999999987267</v>
      </c>
      <c r="Q112" s="439">
        <f>Q111+M112-O112</f>
        <v>19978.600000000086</v>
      </c>
      <c r="R112" s="56"/>
      <c r="U112" s="55">
        <f>L112</f>
        <v>46113</v>
      </c>
      <c r="V112" s="422"/>
      <c r="W112" s="440">
        <f>SUMPRODUCT(PRODUCE!$B121:$DY121,PRODUCE!$EB$9:$IY$9)</f>
        <v>1330</v>
      </c>
      <c r="X112" s="422">
        <v>1330.6</v>
      </c>
      <c r="Y112" s="440">
        <f>W112-X112</f>
        <v>-0.59999999999990905</v>
      </c>
      <c r="Z112" s="441">
        <f>Z111+V112-X112</f>
        <v>18687.79999999997</v>
      </c>
      <c r="AA112" s="56"/>
      <c r="AD112" s="55">
        <f>U112</f>
        <v>46113</v>
      </c>
      <c r="AE112" s="422">
        <v>27580</v>
      </c>
      <c r="AF112" s="442">
        <f>SUMPRODUCT(PRODUCE!$B121:$DY121,PRODUCE!$EB$10:$IY$10)</f>
        <v>200</v>
      </c>
      <c r="AG112" s="422">
        <v>200.7</v>
      </c>
      <c r="AH112" s="442">
        <f>AF112-AG112</f>
        <v>-0.69999999999998863</v>
      </c>
      <c r="AI112" s="442">
        <f>AI111+AE112-AG112</f>
        <v>53672.000000000022</v>
      </c>
      <c r="AJ112" s="56"/>
      <c r="AM112" s="55">
        <f>AD112</f>
        <v>46113</v>
      </c>
      <c r="AN112" s="422"/>
      <c r="AO112" s="444">
        <f>SUMPRODUCT(PRODUCE!$B121:$DY121,PRODUCE!$EB$11:$IY$11)</f>
        <v>0</v>
      </c>
      <c r="AP112" s="422"/>
      <c r="AQ112" s="444">
        <f>AO112-AP112</f>
        <v>0</v>
      </c>
      <c r="AR112" s="444">
        <f>AR111+AN112-AP112</f>
        <v>0</v>
      </c>
      <c r="AS112" s="56"/>
      <c r="AV112" s="55">
        <f>AM112</f>
        <v>46113</v>
      </c>
      <c r="AW112" s="422"/>
      <c r="AX112" s="446">
        <f>SUMPRODUCT(PRODUCE!$B121:$DY121,PRODUCE!$EB$12:$IY$12)</f>
        <v>500</v>
      </c>
      <c r="AY112" s="422">
        <v>500</v>
      </c>
      <c r="AZ112" s="446">
        <f>AX112-AY112</f>
        <v>0</v>
      </c>
      <c r="BA112" s="446">
        <f>BA111+AW112-AY112</f>
        <v>16886.69999999999</v>
      </c>
      <c r="BB112" s="56"/>
      <c r="BE112" s="55">
        <f>AV112</f>
        <v>46113</v>
      </c>
      <c r="BF112" s="422"/>
      <c r="BG112" s="448">
        <f>SUMPRODUCT(PRODUCE!$B121:$DY121,PRODUCE!$EB$13:$IY$13)</f>
        <v>559.99999999999989</v>
      </c>
      <c r="BH112" s="422">
        <v>557.4</v>
      </c>
      <c r="BI112" s="448">
        <f>BG112-BH112</f>
        <v>2.5999999999999091</v>
      </c>
      <c r="BJ112" s="448">
        <f>BJ111+BF112-BH112</f>
        <v>-557.39999999999816</v>
      </c>
      <c r="BK112" s="56"/>
      <c r="BN112" s="55">
        <f>BE112</f>
        <v>46113</v>
      </c>
      <c r="BO112" s="422">
        <v>300.10000000000002</v>
      </c>
      <c r="BP112" s="450">
        <f>SUMPRODUCT(PRODUCE!$B121:$DY121,PRODUCE!$EB$14:$IY$14)</f>
        <v>300</v>
      </c>
      <c r="BQ112" s="422">
        <v>300.10000000000002</v>
      </c>
      <c r="BR112" s="450">
        <f>BP112-BQ112</f>
        <v>-0.10000000000002274</v>
      </c>
      <c r="BS112" s="450">
        <f>BS111+BO112-BQ112</f>
        <v>0</v>
      </c>
      <c r="BT112" s="56"/>
      <c r="BW112" s="55">
        <f>BN112</f>
        <v>46113</v>
      </c>
      <c r="BX112" s="56"/>
      <c r="BY112" s="65">
        <f>SUMPRODUCT(PRODUCE!$B121:$DY121,PRODUCE!$EB$15:$IY$15)</f>
        <v>90.000000000000014</v>
      </c>
      <c r="BZ112" s="56"/>
      <c r="CA112" s="65">
        <f>BY112-BZ112</f>
        <v>90.000000000000014</v>
      </c>
      <c r="CB112" s="65">
        <f>CB111+BX112-BZ112</f>
        <v>11812.9</v>
      </c>
      <c r="CC112" s="56"/>
      <c r="CF112" s="55">
        <f>BW112</f>
        <v>46113</v>
      </c>
      <c r="CG112" s="56"/>
      <c r="CH112" s="66">
        <f>SUMPRODUCT(PRODUCE!$B121:$DY121,PRODUCE!$EB$16:$IY$16)</f>
        <v>139.99999999999997</v>
      </c>
      <c r="CI112" s="56"/>
      <c r="CJ112" s="66">
        <f>CH112-CI112</f>
        <v>139.99999999999997</v>
      </c>
      <c r="CK112" s="66">
        <f>CK111+CG112-CI112</f>
        <v>0</v>
      </c>
      <c r="CL112" s="56"/>
      <c r="CO112" s="55">
        <f>CF112</f>
        <v>46113</v>
      </c>
      <c r="CP112" s="422"/>
      <c r="CQ112" s="470">
        <f>SUMPRODUCT(PRODUCE!$B121:$DY121,PRODUCE!$EB$17:$IY$17)</f>
        <v>0</v>
      </c>
      <c r="CR112" s="422"/>
      <c r="CS112" s="470">
        <f>CQ112-CR112</f>
        <v>0</v>
      </c>
      <c r="CT112" s="470">
        <f>CT111+CP112-CR112</f>
        <v>0</v>
      </c>
      <c r="CU112" s="56"/>
      <c r="CX112" s="55">
        <f>CO112</f>
        <v>46113</v>
      </c>
      <c r="CY112" s="56"/>
      <c r="CZ112" s="133">
        <f>SUMPRODUCT(PRODUCE!$B121:$DY121,PRODUCE!$EB$18:$IY$18)</f>
        <v>670</v>
      </c>
      <c r="DA112" s="56">
        <v>671.2</v>
      </c>
      <c r="DB112" s="133">
        <f>CZ112-DA112</f>
        <v>-1.2000000000000455</v>
      </c>
      <c r="DC112" s="133">
        <f>DC111+CY112-DA112</f>
        <v>31198.5</v>
      </c>
      <c r="DD112" s="56"/>
      <c r="DG112" s="55">
        <f>CX112</f>
        <v>46113</v>
      </c>
      <c r="DH112" s="56"/>
      <c r="DI112" s="147">
        <f>SUMPRODUCT(PRODUCE!$B121:$DY121,PRODUCE!$EB$19:$IY$19)</f>
        <v>69.999999999999986</v>
      </c>
      <c r="DJ112" s="56">
        <v>69</v>
      </c>
      <c r="DK112" s="147">
        <f>DI112-DJ112</f>
        <v>0.99999999999998579</v>
      </c>
      <c r="DL112" s="147">
        <f>DL111+DH112-DJ112</f>
        <v>6589.9999999999945</v>
      </c>
      <c r="DM112" s="56"/>
      <c r="DP112" s="55">
        <f>DG112</f>
        <v>46113</v>
      </c>
      <c r="DQ112" s="56"/>
      <c r="DR112" s="57">
        <f>SUMPRODUCT(PRODUCE!$B121:$DY121,PRODUCE!$EB$20:$IY$20)</f>
        <v>0</v>
      </c>
      <c r="DS112" s="56"/>
      <c r="DT112" s="57">
        <f>DR112-DS112</f>
        <v>0</v>
      </c>
      <c r="DU112" s="57">
        <f>DU111+DQ112-DS112</f>
        <v>7150</v>
      </c>
      <c r="DV112" s="56"/>
      <c r="DY112" s="55">
        <f>DP112</f>
        <v>46113</v>
      </c>
      <c r="DZ112" s="56"/>
      <c r="EA112" s="157">
        <f>SUMPRODUCT(PRODUCE!$B121:$DY121,PRODUCE!$EB$21:$IY$21)</f>
        <v>500</v>
      </c>
      <c r="EB112" s="56">
        <v>500</v>
      </c>
      <c r="EC112" s="157">
        <f>EA112-EB112</f>
        <v>0</v>
      </c>
      <c r="ED112" s="157">
        <f>ED111+DZ112-EB112</f>
        <v>1347.3000000000002</v>
      </c>
      <c r="EE112" s="56"/>
      <c r="EH112" s="55">
        <f>DY112</f>
        <v>46113</v>
      </c>
      <c r="EI112" s="56"/>
      <c r="EJ112" s="162">
        <f>SUMPRODUCT(PRODUCE!$B121:$DY121,PRODUCE!$EB$22:$IY$22)</f>
        <v>0</v>
      </c>
      <c r="EK112" s="56"/>
      <c r="EL112" s="162">
        <f>EJ112-EK112</f>
        <v>0</v>
      </c>
      <c r="EM112" s="162">
        <f>EM111+EI112-EK112</f>
        <v>0</v>
      </c>
      <c r="EN112" s="56"/>
      <c r="EQ112" s="55">
        <f>EH112</f>
        <v>46113</v>
      </c>
      <c r="ER112" s="56"/>
      <c r="ES112" s="135">
        <f>SUMPRODUCT(PRODUCE!$B121:$DY121,PRODUCE!$EB$23:$IY$23)</f>
        <v>0</v>
      </c>
      <c r="ET112" s="56"/>
      <c r="EU112" s="135">
        <f>ES112-ET112</f>
        <v>0</v>
      </c>
      <c r="EV112" s="135">
        <f>EV111+ER112-ET112</f>
        <v>0</v>
      </c>
      <c r="EW112" s="56"/>
      <c r="EZ112" s="55">
        <f>EQ112</f>
        <v>46113</v>
      </c>
      <c r="FA112" s="56"/>
      <c r="FB112" s="175">
        <f>SUMPRODUCT(PRODUCE!$B121:$DY121,PRODUCE!$EB$24:$IY$24)</f>
        <v>0</v>
      </c>
      <c r="FC112" s="56"/>
      <c r="FD112" s="175">
        <f>FB112-FC112</f>
        <v>0</v>
      </c>
      <c r="FE112" s="175">
        <f>FE111+FA112-FC112</f>
        <v>0</v>
      </c>
      <c r="FF112" s="56"/>
      <c r="FI112" s="55">
        <f>EZ112</f>
        <v>46113</v>
      </c>
      <c r="FJ112" s="56"/>
      <c r="FK112" s="183">
        <f>SUMPRODUCT(PRODUCE!$B121:$DY121,PRODUCE!$EB$25:$IY$25)</f>
        <v>0</v>
      </c>
      <c r="FL112" s="56"/>
      <c r="FM112" s="183">
        <f>FK112-FL112</f>
        <v>0</v>
      </c>
      <c r="FN112" s="183">
        <f>FN111+FJ112-FL112</f>
        <v>0</v>
      </c>
      <c r="FO112" s="56"/>
      <c r="FR112" s="55">
        <f>FI112</f>
        <v>46113</v>
      </c>
      <c r="FS112" s="422"/>
      <c r="FT112" s="452">
        <f>SUMPRODUCT(PRODUCE!$B121:$DY121,PRODUCE!$EB$26:$IY$26)</f>
        <v>0</v>
      </c>
      <c r="FU112" s="422"/>
      <c r="FV112" s="452">
        <f>FT112-FU112</f>
        <v>0</v>
      </c>
      <c r="FW112" s="452">
        <f>FW111+FS112-FU112</f>
        <v>1980</v>
      </c>
      <c r="FX112" s="56"/>
      <c r="GA112" s="55">
        <f>FR112</f>
        <v>46113</v>
      </c>
      <c r="GB112" s="422"/>
      <c r="GC112" s="454">
        <f>SUMPRODUCT(PRODUCE!$B121:$DY121,PRODUCE!$EB$27:$IY$27)</f>
        <v>0</v>
      </c>
      <c r="GD112" s="422"/>
      <c r="GE112" s="454">
        <f>GC112-GD112</f>
        <v>0</v>
      </c>
      <c r="GF112" s="454">
        <f>GF111+GB112-GD112</f>
        <v>2000</v>
      </c>
      <c r="GG112" s="56"/>
      <c r="GI112" s="23"/>
      <c r="GJ112" s="55">
        <f>GA112</f>
        <v>46113</v>
      </c>
      <c r="GK112" s="422"/>
      <c r="GL112" s="456">
        <f>SUMPRODUCT(PRODUCE!$B121:$DY121,PRODUCE!$EB$28:$IY$28)</f>
        <v>0</v>
      </c>
      <c r="GM112" s="422"/>
      <c r="GN112" s="456">
        <f>GL112-GM112</f>
        <v>0</v>
      </c>
      <c r="GO112" s="456">
        <f>GO111+GK112-GM112</f>
        <v>4800</v>
      </c>
      <c r="GP112" s="56"/>
      <c r="GS112" s="55">
        <f>GJ112</f>
        <v>46113</v>
      </c>
      <c r="GT112" s="56"/>
      <c r="GU112" s="195">
        <f>SUMPRODUCT(PRODUCE!$B121:$DY121,PRODUCE!$EB$29:$IY$29)</f>
        <v>0</v>
      </c>
      <c r="GV112" s="56"/>
      <c r="GW112" s="195">
        <f>GU112-GV112</f>
        <v>0</v>
      </c>
      <c r="GX112" s="195">
        <f>GX111+GT112-GV112</f>
        <v>0</v>
      </c>
      <c r="GY112" s="56"/>
      <c r="HB112" s="55">
        <f>GS112</f>
        <v>46113</v>
      </c>
      <c r="HC112" s="56"/>
      <c r="HD112" s="191">
        <f>SUMPRODUCT(PRODUCE!$B121:$DY121,PRODUCE!$EB$30:$IY$30)</f>
        <v>0</v>
      </c>
      <c r="HE112" s="56"/>
      <c r="HF112" s="191">
        <f>HD112-HE112</f>
        <v>0</v>
      </c>
      <c r="HG112" s="191">
        <f>HG111+HC112-HE112</f>
        <v>0</v>
      </c>
      <c r="HH112" s="56"/>
      <c r="HK112" s="55">
        <f>HB112</f>
        <v>46113</v>
      </c>
      <c r="HL112" s="56"/>
      <c r="HM112" s="63">
        <f>SUMPRODUCT(PRODUCE!$B121:$DY121,PRODUCE!$EB$31:$IY$31)</f>
        <v>0</v>
      </c>
      <c r="HN112" s="56"/>
      <c r="HO112" s="63">
        <f>HM112-HN112</f>
        <v>0</v>
      </c>
      <c r="HP112" s="63">
        <f>HP111+HL112-HN112</f>
        <v>0</v>
      </c>
      <c r="HQ112" s="56"/>
      <c r="HU112" s="55">
        <f>HK112</f>
        <v>46113</v>
      </c>
      <c r="HV112" s="56"/>
      <c r="HW112" s="242">
        <f>SUMPRODUCT(PRODUCE!$B121:$DY121,PRODUCE!$EB$32:$IY$32)</f>
        <v>0</v>
      </c>
      <c r="HX112" s="56"/>
      <c r="HY112" s="242">
        <f>HW112-HX112</f>
        <v>0</v>
      </c>
      <c r="HZ112" s="242">
        <f>HZ111+HV112-HX112</f>
        <v>5120</v>
      </c>
      <c r="IA112" s="56"/>
      <c r="ID112" s="55">
        <f>HU112</f>
        <v>46113</v>
      </c>
      <c r="IE112" s="56"/>
      <c r="IF112" s="242">
        <f>SUMPRODUCT(PRODUCE!$B121:$DY121,PRODUCE!$EB$33:$IY$33)</f>
        <v>0</v>
      </c>
      <c r="IG112" s="56"/>
      <c r="IH112" s="242">
        <f>IF112-IG112</f>
        <v>0</v>
      </c>
      <c r="II112" s="242">
        <f>II111+IE112-IG112</f>
        <v>6540</v>
      </c>
      <c r="IJ112" s="56"/>
      <c r="IM112" s="55">
        <f>ID112</f>
        <v>46113</v>
      </c>
      <c r="IN112" s="56"/>
      <c r="IO112" s="242">
        <f>SUMPRODUCT(PRODUCE!$B121:$DY121,PRODUCE!$EB$34:$IY$34)</f>
        <v>0</v>
      </c>
      <c r="IP112" s="56"/>
      <c r="IQ112" s="242">
        <f>IO112-IP112</f>
        <v>0</v>
      </c>
      <c r="IR112" s="242">
        <f>IR111+IN112-IP112</f>
        <v>11540</v>
      </c>
      <c r="IS112" s="56"/>
      <c r="IV112" s="55">
        <f>IM112</f>
        <v>46113</v>
      </c>
      <c r="IW112" s="56"/>
      <c r="IX112" s="242">
        <f>SUMPRODUCT(PRODUCE!$B121:$DY121,PRODUCE!$EB$35:$IY$35)</f>
        <v>0</v>
      </c>
      <c r="IY112" s="56"/>
      <c r="IZ112" s="242">
        <f>IX112-IY112</f>
        <v>0</v>
      </c>
      <c r="JA112" s="242">
        <f>JA111+IW112-IY112</f>
        <v>15120</v>
      </c>
      <c r="JB112" s="56"/>
      <c r="JE112" s="55">
        <f>IV112</f>
        <v>46113</v>
      </c>
      <c r="JF112" s="56"/>
      <c r="JG112" s="242">
        <f>SUMPRODUCT(PRODUCE!$B121:$DY121,PRODUCE!$EB$36:$IY$36)</f>
        <v>0</v>
      </c>
      <c r="JH112" s="56"/>
      <c r="JI112" s="242">
        <f>JG112-JH112</f>
        <v>0</v>
      </c>
      <c r="JJ112" s="242">
        <f>JJ111+JF112-JH112</f>
        <v>5040</v>
      </c>
      <c r="JK112" s="56"/>
      <c r="JN112" s="55">
        <f>JE112</f>
        <v>46113</v>
      </c>
      <c r="JO112" s="56"/>
      <c r="JP112" s="242">
        <f>SUMPRODUCT(PRODUCE!$B121:$DY121,PRODUCE!$EB$37:$IY$37)</f>
        <v>0</v>
      </c>
      <c r="JQ112" s="56"/>
      <c r="JR112" s="242">
        <f>JP112-JQ112</f>
        <v>0</v>
      </c>
      <c r="JS112" s="242">
        <f>JS111+JO112-JQ112</f>
        <v>9100</v>
      </c>
      <c r="JT112" s="56"/>
      <c r="JW112" s="55">
        <f>JN112</f>
        <v>46113</v>
      </c>
      <c r="JX112" s="56"/>
      <c r="JY112" s="242">
        <f>SUMPRODUCT(PRODUCE!$B121:$DY121,PRODUCE!$EB$38:$IY$38)</f>
        <v>400</v>
      </c>
      <c r="JZ112" s="56"/>
      <c r="KA112" s="242">
        <f>JY112-JZ112</f>
        <v>400</v>
      </c>
      <c r="KB112" s="242">
        <f>KB111+JX112-JZ112</f>
        <v>4220</v>
      </c>
      <c r="KC112" s="56"/>
      <c r="KF112" s="55">
        <f>JW112</f>
        <v>46113</v>
      </c>
      <c r="KG112" s="56"/>
      <c r="KH112" s="242">
        <f>SUMPRODUCT(PRODUCE!$B121:$DY121,PRODUCE!$EB$39:$IY$39)</f>
        <v>0</v>
      </c>
      <c r="KI112" s="56"/>
      <c r="KJ112" s="242">
        <f>KH112-KI112</f>
        <v>0</v>
      </c>
      <c r="KK112" s="242">
        <f>KK111+KG112-KI112</f>
        <v>7702.5</v>
      </c>
      <c r="KL112" s="56"/>
      <c r="KO112" s="55">
        <f>KF112</f>
        <v>46113</v>
      </c>
      <c r="KP112" s="56"/>
      <c r="KQ112" s="242">
        <f>SUMPRODUCT(PRODUCE!$B121:$DY121,PRODUCE!$EB$40:$IY$40)</f>
        <v>0</v>
      </c>
      <c r="KR112" s="56"/>
      <c r="KS112" s="242">
        <f>KQ112-KR112</f>
        <v>0</v>
      </c>
      <c r="KT112" s="242">
        <f>KT111+KP112-KR112</f>
        <v>6426</v>
      </c>
      <c r="KU112" s="56"/>
      <c r="KW112" s="23"/>
      <c r="KX112" s="55">
        <f>KO112</f>
        <v>46113</v>
      </c>
      <c r="KY112" s="56"/>
      <c r="KZ112" s="242">
        <f>SUMPRODUCT(PRODUCE!$B121:$DY121,PRODUCE!$EB$41:$IY$41)</f>
        <v>0</v>
      </c>
      <c r="LA112" s="56"/>
      <c r="LB112" s="242">
        <f>KZ112-LA112</f>
        <v>0</v>
      </c>
      <c r="LC112" s="242">
        <f>LC111+KY112-LA112</f>
        <v>0</v>
      </c>
      <c r="LD112" s="56"/>
      <c r="LG112" s="55">
        <f>KX112</f>
        <v>46113</v>
      </c>
      <c r="LH112" s="56"/>
      <c r="LI112" s="242">
        <f>SUMPRODUCT(PRODUCE!$B121:$DY121,PRODUCE!$EB$42:$IY$42)</f>
        <v>0</v>
      </c>
      <c r="LJ112" s="56"/>
      <c r="LK112" s="242">
        <f>LI112-LJ112</f>
        <v>0</v>
      </c>
      <c r="LL112" s="242">
        <f>LL111+LH112-LJ112</f>
        <v>0</v>
      </c>
      <c r="LM112" s="56"/>
      <c r="LP112" s="55">
        <f>LG112</f>
        <v>46113</v>
      </c>
      <c r="LQ112" s="56"/>
      <c r="LR112" s="242">
        <f>SUMPRODUCT(PRODUCE!$B127:$DY127,PRODUCE!$EB$43:$IY$43)</f>
        <v>0</v>
      </c>
      <c r="LS112" s="56"/>
      <c r="LT112" s="242">
        <f>LR112-LS112</f>
        <v>0</v>
      </c>
      <c r="LU112" s="242">
        <f>LU111+LQ112-LS112</f>
        <v>0</v>
      </c>
      <c r="LV112" s="56"/>
      <c r="LY112" s="55">
        <f>LP112</f>
        <v>46113</v>
      </c>
      <c r="LZ112" s="56"/>
      <c r="MA112" s="242">
        <f>SUMPRODUCT(PRODUCE!$B121:$DY121,PRODUCE!$EB$44:$IY$44)</f>
        <v>0</v>
      </c>
      <c r="MB112" s="56"/>
      <c r="MC112" s="242">
        <f>MA112-MB112</f>
        <v>0</v>
      </c>
      <c r="MD112" s="242">
        <f>MD111+LZ112-MB112</f>
        <v>0</v>
      </c>
      <c r="ME112" s="56"/>
      <c r="MH112" s="55">
        <f>LY112</f>
        <v>46113</v>
      </c>
      <c r="MI112" s="56"/>
      <c r="MJ112" s="242">
        <f>SUMPRODUCT(PRODUCE!$B121:$DY121,PRODUCE!$EB$45:$IY$45)</f>
        <v>0</v>
      </c>
      <c r="MK112" s="56"/>
      <c r="ML112" s="242">
        <f>MJ112-MK112</f>
        <v>0</v>
      </c>
      <c r="MM112" s="242">
        <f>MM111+MI112-MK112</f>
        <v>0</v>
      </c>
      <c r="MN112" s="56"/>
      <c r="MQ112" s="55">
        <f>MH112</f>
        <v>46113</v>
      </c>
      <c r="MR112" s="56"/>
      <c r="MS112" s="242">
        <f>SUMPRODUCT(PRODUCE!$B121:$DY121,PRODUCE!$EB$46:$IY$46)</f>
        <v>40</v>
      </c>
      <c r="MT112" s="56"/>
      <c r="MU112" s="242">
        <f>MS112-MT112</f>
        <v>40</v>
      </c>
      <c r="MV112" s="242">
        <f>MV111+MR112-MT112</f>
        <v>4195</v>
      </c>
      <c r="MW112" s="56"/>
      <c r="MZ112" s="55">
        <f>MQ112</f>
        <v>46113</v>
      </c>
      <c r="NA112" s="56"/>
      <c r="NB112" s="242">
        <f>SUMPRODUCT(PRODUCE!$B121:$DY121,PRODUCE!$EB$47:$IY$47)</f>
        <v>60</v>
      </c>
      <c r="NC112" s="56"/>
      <c r="ND112" s="242">
        <f>NB112-NC112</f>
        <v>60</v>
      </c>
      <c r="NE112" s="242">
        <f>NE111+NA112-NC112</f>
        <v>0</v>
      </c>
      <c r="NF112" s="56"/>
      <c r="NI112" s="55">
        <f>MZ112</f>
        <v>46113</v>
      </c>
      <c r="NJ112" s="56"/>
      <c r="NK112" s="242">
        <f>SUMPRODUCT(PRODUCE!$B121:$DY121,PRODUCE!$EB$48:$IY$48)</f>
        <v>0</v>
      </c>
      <c r="NL112" s="56"/>
      <c r="NM112" s="242">
        <f>NK112-NL112</f>
        <v>0</v>
      </c>
      <c r="NN112" s="242">
        <f>NN111+NJ112-NL112</f>
        <v>2065</v>
      </c>
      <c r="NO112" s="56"/>
      <c r="NR112" s="55">
        <f>MZ112</f>
        <v>46113</v>
      </c>
      <c r="NS112" s="56"/>
      <c r="NT112" s="242">
        <f>SUMPRODUCT(PRODUCE!$B121:$DY121,PRODUCE!$EB$49:$IY$49)</f>
        <v>4</v>
      </c>
      <c r="NU112" s="56"/>
      <c r="NV112" s="242">
        <f>NT112-NU112</f>
        <v>4</v>
      </c>
      <c r="NW112" s="242">
        <f>NW111+NS112-NU112</f>
        <v>4152.5</v>
      </c>
      <c r="NX112" s="56"/>
      <c r="OA112" s="55">
        <f>NR112</f>
        <v>46113</v>
      </c>
      <c r="OB112" s="56"/>
      <c r="OC112" s="242">
        <f>SUMPRODUCT(PRODUCE!$B121:$DY121,PRODUCE!$EB$50:$IY$50)</f>
        <v>0</v>
      </c>
      <c r="OD112" s="56"/>
      <c r="OE112" s="242">
        <f>OC112-OD112</f>
        <v>0</v>
      </c>
      <c r="OF112" s="242">
        <f>OF111+OB112-OD112</f>
        <v>1680.5</v>
      </c>
      <c r="OG112" s="56"/>
      <c r="OJ112" s="55">
        <f>OA112</f>
        <v>46113</v>
      </c>
      <c r="OK112" s="56"/>
      <c r="OL112" s="242">
        <f>SUMPRODUCT(PRODUCE!$B121:$DY121,PRODUCE!$EB$51:$IY$51)</f>
        <v>55.000000000000007</v>
      </c>
      <c r="OM112" s="56"/>
      <c r="ON112" s="242">
        <f>OL112-OM112</f>
        <v>55.000000000000007</v>
      </c>
      <c r="OO112" s="242">
        <f>OO111+OK112-OM112</f>
        <v>0</v>
      </c>
      <c r="OP112" s="56"/>
      <c r="OS112" s="55">
        <f>OJ112</f>
        <v>46113</v>
      </c>
      <c r="OT112" s="56"/>
      <c r="OU112" s="242">
        <f>SUMPRODUCT(PRODUCE!$B121:$DY121,PRODUCE!$EB$52:$IY$52)</f>
        <v>0</v>
      </c>
      <c r="OV112" s="56"/>
      <c r="OW112" s="242">
        <f>OU112-OV112</f>
        <v>0</v>
      </c>
      <c r="OX112" s="242">
        <f>OX111+OT112-OV112</f>
        <v>1000</v>
      </c>
      <c r="OY112" s="56"/>
      <c r="PB112" s="55">
        <f>OS112</f>
        <v>46113</v>
      </c>
      <c r="PC112" s="56"/>
      <c r="PD112" s="242">
        <f>SUMPRODUCT(PRODUCE!$B121:$DY121,PRODUCE!$EB$53:$IY$53)</f>
        <v>0</v>
      </c>
      <c r="PE112" s="56"/>
      <c r="PF112" s="242">
        <f>PD112-PE112</f>
        <v>0</v>
      </c>
      <c r="PG112" s="242">
        <f>PG111+PC112-PE112</f>
        <v>0</v>
      </c>
      <c r="PH112" s="56"/>
      <c r="PK112" s="55">
        <f>PB112</f>
        <v>46113</v>
      </c>
      <c r="PL112" s="56"/>
      <c r="PM112" s="242">
        <f>SUMPRODUCT(PRODUCE!$B121:$DY121,PRODUCE!$EB$54:$IY$54)</f>
        <v>0</v>
      </c>
      <c r="PN112" s="56"/>
      <c r="PO112" s="242">
        <f>PM112-PN112</f>
        <v>0</v>
      </c>
      <c r="PP112" s="242">
        <f>PP111+PL112-PN112</f>
        <v>100</v>
      </c>
      <c r="PQ112" s="56"/>
      <c r="PT112" s="55">
        <f>PK112</f>
        <v>46113</v>
      </c>
      <c r="PU112" s="56"/>
      <c r="PV112" s="242">
        <f>SUMPRODUCT(PRODUCE!$B121:$DY121,PRODUCE!$EB$55:$IY$55)</f>
        <v>0</v>
      </c>
      <c r="PW112" s="56"/>
      <c r="PX112" s="242">
        <f>PV112-PW112</f>
        <v>0</v>
      </c>
      <c r="PY112" s="242">
        <f>PY111+PU112-PW112</f>
        <v>13.960000000000036</v>
      </c>
      <c r="PZ112" s="56"/>
      <c r="QC112" s="55">
        <f>PT112</f>
        <v>46113</v>
      </c>
      <c r="QD112" s="56"/>
      <c r="QE112" s="242">
        <f>SUMPRODUCT(PRODUCE!$B121:$DY121,PRODUCE!$EB$56:$IY$56)</f>
        <v>0</v>
      </c>
      <c r="QF112" s="56"/>
      <c r="QG112" s="242">
        <f>QE112-QF112</f>
        <v>0</v>
      </c>
      <c r="QH112" s="242">
        <f>QH111+QD112-QF112</f>
        <v>1212</v>
      </c>
      <c r="QI112" s="56"/>
      <c r="QL112" s="55">
        <f>QC112</f>
        <v>46113</v>
      </c>
      <c r="QM112" s="56"/>
      <c r="QN112" s="242">
        <f>SUMPRODUCT(PRODUCE!$B121:$DY121,PRODUCE!$EB$57:$IY$57)</f>
        <v>0</v>
      </c>
      <c r="QO112" s="56"/>
      <c r="QP112" s="242">
        <f>QN112-QO112</f>
        <v>0</v>
      </c>
      <c r="QQ112" s="242">
        <f>QQ111+QM112-QO112</f>
        <v>400</v>
      </c>
      <c r="QR112" s="56"/>
      <c r="QU112" s="55">
        <f>QL112</f>
        <v>46113</v>
      </c>
      <c r="QV112" s="56"/>
      <c r="QW112" s="242">
        <f>SUMPRODUCT(PRODUCE!$B121:$DY121,PRODUCE!$EB$57:$IY$57)</f>
        <v>0</v>
      </c>
      <c r="QX112" s="56"/>
      <c r="QY112" s="242">
        <f>QW112-QX112</f>
        <v>0</v>
      </c>
      <c r="QZ112" s="242">
        <f>QZ111+QV112-QX112</f>
        <v>207.6</v>
      </c>
      <c r="RA112" s="56"/>
      <c r="RD112" s="55">
        <f>QU112</f>
        <v>46113</v>
      </c>
      <c r="RE112" s="56"/>
      <c r="RF112" s="242">
        <f>SUMPRODUCT(PRODUCE!$B121:$DY121,PRODUCE!$EB$58:$IY$58)</f>
        <v>0</v>
      </c>
      <c r="RG112" s="56"/>
      <c r="RH112" s="242">
        <f>RF112-RG112</f>
        <v>0</v>
      </c>
      <c r="RI112" s="242">
        <f>RI111+RE112-RG112</f>
        <v>197.04000000000002</v>
      </c>
      <c r="RJ112" s="56"/>
      <c r="RM112" s="55">
        <f>RD112</f>
        <v>46113</v>
      </c>
      <c r="RN112" s="56"/>
      <c r="RO112" s="242">
        <f>SUMPRODUCT(PRODUCE!$B121:$DY121,PRODUCE!$EB$57:$IY$57)</f>
        <v>0</v>
      </c>
      <c r="RP112" s="56"/>
      <c r="RQ112" s="242">
        <f>RO112-RP112</f>
        <v>0</v>
      </c>
      <c r="RR112" s="242">
        <f>RR111+RN112-RP112</f>
        <v>46.8</v>
      </c>
      <c r="RS112" s="56"/>
      <c r="RV112" s="55">
        <f>RM112</f>
        <v>46113</v>
      </c>
      <c r="RW112" s="56"/>
      <c r="RX112" s="242">
        <f>SUMPRODUCT(PRODUCE!$B121:$DY121,PRODUCE!$EB$57:$IY$57)</f>
        <v>0</v>
      </c>
      <c r="RY112" s="56"/>
      <c r="RZ112" s="242">
        <f>RX112-RY112</f>
        <v>0</v>
      </c>
      <c r="SA112" s="242">
        <f>SA111+RW112-RY112</f>
        <v>0</v>
      </c>
      <c r="SB112" s="56"/>
      <c r="SE112" s="55">
        <f>RV112</f>
        <v>46113</v>
      </c>
      <c r="SF112" s="56"/>
      <c r="SG112" s="242">
        <f>SUMPRODUCT(PRODUCE!$B121:$DY121,PRODUCE!$EB$57:$IY$57)</f>
        <v>0</v>
      </c>
      <c r="SH112" s="56"/>
      <c r="SI112" s="242">
        <f>SG112-SH112</f>
        <v>0</v>
      </c>
      <c r="SJ112" s="242">
        <f>SJ111+SF112-SH112</f>
        <v>0</v>
      </c>
      <c r="SK112" s="56"/>
      <c r="SN112" s="55">
        <f>SE112</f>
        <v>46113</v>
      </c>
      <c r="SO112" s="56"/>
      <c r="SP112" s="242">
        <f>SUMPRODUCT(PRODUCE!$B121:$DY121,PRODUCE!$EB$57:$IY$57)</f>
        <v>0</v>
      </c>
      <c r="SQ112" s="56"/>
      <c r="SR112" s="242">
        <f>SP112-SQ112</f>
        <v>0</v>
      </c>
      <c r="SS112" s="242">
        <f>SS111+SO112-SQ112</f>
        <v>0</v>
      </c>
      <c r="ST112" s="56"/>
      <c r="SW112" s="55">
        <f>SN112</f>
        <v>46113</v>
      </c>
      <c r="SX112" s="56"/>
      <c r="SY112" s="242">
        <f>SUMPRODUCT(PRODUCE!$B121:$DY121,PRODUCE!$EB$57:$IY$57)</f>
        <v>0</v>
      </c>
      <c r="SZ112" s="56"/>
      <c r="TA112" s="242">
        <f>SY112-SZ112</f>
        <v>0</v>
      </c>
      <c r="TB112" s="242">
        <f>TB111+SX112-SZ112</f>
        <v>0</v>
      </c>
      <c r="TC112" s="56"/>
      <c r="TF112" s="55">
        <f>SW112</f>
        <v>46113</v>
      </c>
      <c r="TG112" s="56"/>
      <c r="TH112" s="242">
        <f>SUMPRODUCT(PRODUCE!$B121:$DY121,PRODUCE!$EB$57:$IY$57)</f>
        <v>0</v>
      </c>
      <c r="TI112" s="56"/>
      <c r="TJ112" s="242">
        <f>TH112-TI112</f>
        <v>0</v>
      </c>
      <c r="TK112" s="242">
        <f>TK111+TG112-TI112</f>
        <v>0</v>
      </c>
      <c r="TL112" s="56"/>
      <c r="TO112" s="55">
        <f>TF112</f>
        <v>46113</v>
      </c>
      <c r="TP112" s="56"/>
      <c r="TQ112" s="242">
        <f>SUMPRODUCT(PRODUCE!$B121:$DY121,PRODUCE!$EB$57:$IY$57)</f>
        <v>0</v>
      </c>
      <c r="TR112" s="56"/>
      <c r="TS112" s="242">
        <f>TQ112-TR112</f>
        <v>0</v>
      </c>
      <c r="TT112" s="242">
        <f>TT111+TP112-TR112</f>
        <v>0</v>
      </c>
      <c r="TU112" s="56"/>
      <c r="TX112" s="55">
        <f>TO112</f>
        <v>46113</v>
      </c>
      <c r="TY112" s="56"/>
      <c r="TZ112" s="242">
        <f>SUMPRODUCT(PRODUCE!$B121:$DY121,PRODUCE!$EB$57:$IY$57)</f>
        <v>0</v>
      </c>
      <c r="UA112" s="56"/>
      <c r="UB112" s="242">
        <f>TZ112-UA112</f>
        <v>0</v>
      </c>
      <c r="UC112" s="242">
        <f>UC111+TY112-UA112</f>
        <v>0</v>
      </c>
      <c r="UD112" s="56"/>
      <c r="UG112" s="55">
        <f>TX112</f>
        <v>46113</v>
      </c>
      <c r="UH112" s="56"/>
      <c r="UI112" s="242">
        <f>SUMPRODUCT(PRODUCE!$B121:$DY121,PRODUCE!$EB$57:$IY$57)</f>
        <v>0</v>
      </c>
      <c r="UJ112" s="56"/>
      <c r="UK112" s="242">
        <f>UI112-UJ112</f>
        <v>0</v>
      </c>
      <c r="UL112" s="242">
        <f>UL111+UH112-UJ112</f>
        <v>0</v>
      </c>
      <c r="UM112" s="56"/>
      <c r="UP112" s="55">
        <f>UG112</f>
        <v>46113</v>
      </c>
      <c r="UQ112" s="56"/>
      <c r="UR112" s="242">
        <f>SUMPRODUCT(PRODUCE!$B121:$DY121,PRODUCE!$EB$57:$IY$57)</f>
        <v>0</v>
      </c>
      <c r="US112" s="56"/>
      <c r="UT112" s="242">
        <f>UR112-US112</f>
        <v>0</v>
      </c>
      <c r="UU112" s="242">
        <f>UU111+UQ112-US112</f>
        <v>0</v>
      </c>
      <c r="UV112" s="56"/>
      <c r="UY112" s="55">
        <f>UP112</f>
        <v>46113</v>
      </c>
      <c r="UZ112" s="56"/>
      <c r="VA112" s="242">
        <f>SUMPRODUCT(PRODUCE!$B121:$DY121,PRODUCE!$EB$57:$IY$57)</f>
        <v>0</v>
      </c>
      <c r="VB112" s="56"/>
      <c r="VC112" s="242">
        <f>VA112-VB112</f>
        <v>0</v>
      </c>
      <c r="VD112" s="242">
        <f>VD111+UZ112-VB112</f>
        <v>41.600000000000023</v>
      </c>
      <c r="VE112" s="56"/>
      <c r="VH112" s="55">
        <f>UY112</f>
        <v>46113</v>
      </c>
      <c r="VI112" s="56"/>
      <c r="VJ112" s="242">
        <f>SUMPRODUCT(PRODUCE!$B121:$DY121,PRODUCE!$EB$57:$IY$57)</f>
        <v>0</v>
      </c>
      <c r="VK112" s="56"/>
      <c r="VL112" s="242">
        <f>VJ112-VK112</f>
        <v>0</v>
      </c>
      <c r="VM112" s="242">
        <f>VM111+VI112-VK112</f>
        <v>0</v>
      </c>
      <c r="VN112" s="56"/>
      <c r="VQ112" s="55">
        <f>VH112</f>
        <v>46113</v>
      </c>
      <c r="VR112" s="56"/>
      <c r="VS112" s="242">
        <f>SUMPRODUCT(PRODUCE!$B121:$DY121,PRODUCE!$EB$57:$IY$57)</f>
        <v>0</v>
      </c>
      <c r="VT112" s="56"/>
      <c r="VU112" s="242">
        <f>VS112-VT112</f>
        <v>0</v>
      </c>
      <c r="VV112" s="242">
        <f>VV111+VR112-VT112</f>
        <v>0</v>
      </c>
      <c r="VW112" s="56"/>
      <c r="VZ112" s="55">
        <f>VQ112</f>
        <v>46113</v>
      </c>
      <c r="WA112" s="56"/>
      <c r="WB112" s="242">
        <f>SUMPRODUCT(PRODUCE!$B121:$DY121,PRODUCE!$EB$57:$IY$57)</f>
        <v>0</v>
      </c>
      <c r="WC112" s="56"/>
      <c r="WD112" s="242">
        <f>WB112-WC112</f>
        <v>0</v>
      </c>
      <c r="WE112" s="242">
        <f>WE111+WA112-WC112</f>
        <v>0</v>
      </c>
      <c r="WF112" s="56"/>
      <c r="WI112" s="55">
        <f>VZ112</f>
        <v>46113</v>
      </c>
      <c r="WJ112" s="56"/>
      <c r="WK112" s="242">
        <f>SUMPRODUCT(PRODUCE!$B121:$DY121,PRODUCE!$EB$57:$IY$57)</f>
        <v>0</v>
      </c>
      <c r="WL112" s="56"/>
      <c r="WM112" s="242">
        <f>WK112-WL112</f>
        <v>0</v>
      </c>
      <c r="WN112" s="242">
        <f>WN111+WJ112-WL112</f>
        <v>3889</v>
      </c>
      <c r="WO112" s="56"/>
      <c r="WR112" s="55">
        <f>WI112</f>
        <v>46113</v>
      </c>
      <c r="WS112" s="56"/>
      <c r="WT112" s="242">
        <f>SUMPRODUCT(PRODUCE!$B121:$DY121,PRODUCE!$EB$57:$IY$57)</f>
        <v>0</v>
      </c>
      <c r="WU112" s="56"/>
      <c r="WV112" s="242">
        <f>WT112-WU112</f>
        <v>0</v>
      </c>
      <c r="WW112" s="242">
        <f>WW111+WS112-WU112</f>
        <v>0</v>
      </c>
      <c r="WX112" s="56"/>
      <c r="XA112" s="55">
        <f>WR112</f>
        <v>46113</v>
      </c>
      <c r="XB112" s="56"/>
      <c r="XC112" s="242">
        <f>SUMPRODUCT(PRODUCE!$B121:$DY121,PRODUCE!$EB$57:$IY$57)</f>
        <v>0</v>
      </c>
      <c r="XD112" s="56"/>
      <c r="XE112" s="242">
        <f>XC112-XD112</f>
        <v>0</v>
      </c>
      <c r="XF112" s="242">
        <f>XF111+XB112-XD112</f>
        <v>6349</v>
      </c>
      <c r="XG112" s="56"/>
      <c r="XJ112" s="55">
        <f>XA112</f>
        <v>46113</v>
      </c>
      <c r="XK112" s="56"/>
      <c r="XL112" s="242">
        <f>SUMPRODUCT(PRODUCE!$B121:$DY121,PRODUCE!$EB$57:$IY$57)</f>
        <v>0</v>
      </c>
      <c r="XM112" s="56">
        <v>399</v>
      </c>
      <c r="XN112" s="242">
        <f>XL112-XM112</f>
        <v>-399</v>
      </c>
      <c r="XO112" s="242">
        <f>XO111+XK112-XM112</f>
        <v>5590</v>
      </c>
      <c r="XP112" s="56"/>
      <c r="XS112" s="55">
        <f>XJ112</f>
        <v>46113</v>
      </c>
      <c r="XT112" s="56"/>
      <c r="XU112" s="242">
        <f>SUMPRODUCT(PRODUCE!$B121:$DY121,PRODUCE!$EB$57:$IY$57)</f>
        <v>0</v>
      </c>
      <c r="XV112" s="56"/>
      <c r="XW112" s="242">
        <f>XU112-XV112</f>
        <v>0</v>
      </c>
      <c r="XX112" s="242">
        <f>XX111+XT112-XV112</f>
        <v>1901</v>
      </c>
      <c r="XY112" s="56"/>
      <c r="YB112" s="55">
        <f>XS112</f>
        <v>46113</v>
      </c>
      <c r="YC112" s="56"/>
      <c r="YD112" s="242">
        <f>SUMPRODUCT(PRODUCE!$B121:$DY121,PRODUCE!$EB$57:$IY$57)</f>
        <v>0</v>
      </c>
      <c r="YE112" s="56"/>
      <c r="YF112" s="242">
        <f>YD112-YE112</f>
        <v>0</v>
      </c>
      <c r="YG112" s="242">
        <f>YG111+YC112-YE112</f>
        <v>6459</v>
      </c>
      <c r="YH112" s="56"/>
      <c r="YK112" s="55">
        <f>YB112</f>
        <v>46113</v>
      </c>
      <c r="YL112" s="56"/>
      <c r="YM112" s="242">
        <f>SUMPRODUCT(PRODUCE!$B121:$DY121,PRODUCE!$EB$57:$IY$57)</f>
        <v>0</v>
      </c>
      <c r="YN112" s="56"/>
      <c r="YO112" s="242">
        <f>YM112-YN112</f>
        <v>0</v>
      </c>
      <c r="YP112" s="242">
        <f>YP111+YL112-YN112</f>
        <v>0</v>
      </c>
      <c r="YQ112" s="56"/>
      <c r="YT112" s="55">
        <f>YK112</f>
        <v>46113</v>
      </c>
      <c r="YU112" s="56"/>
      <c r="YV112" s="242">
        <f>SUMPRODUCT(PRODUCE!$B121:$DY121,PRODUCE!$EB$57:$IY$57)</f>
        <v>0</v>
      </c>
      <c r="YW112" s="56"/>
      <c r="YX112" s="242">
        <f>YV112-YW112</f>
        <v>0</v>
      </c>
      <c r="YY112" s="242">
        <f>YY111+YU112-YW112</f>
        <v>0</v>
      </c>
      <c r="YZ112" s="56"/>
      <c r="ZC112" s="55">
        <f>YT112</f>
        <v>46113</v>
      </c>
      <c r="ZD112" s="56"/>
      <c r="ZE112" s="242">
        <f>SUMPRODUCT(PRODUCE!$B121:$DY121,PRODUCE!$EB$57:$IY$57)</f>
        <v>0</v>
      </c>
      <c r="ZF112" s="56"/>
      <c r="ZG112" s="242">
        <f>ZE112-ZF112</f>
        <v>0</v>
      </c>
      <c r="ZH112" s="242">
        <f>ZH111+ZD112-ZF112</f>
        <v>0</v>
      </c>
      <c r="ZI112" s="56"/>
      <c r="ZL112" s="55">
        <f>ZC112</f>
        <v>46113</v>
      </c>
      <c r="ZM112" s="56"/>
      <c r="ZN112" s="242">
        <f>SUMPRODUCT(PRODUCE!$B121:$DY121,PRODUCE!$EB$57:$IY$57)</f>
        <v>0</v>
      </c>
      <c r="ZO112" s="56"/>
      <c r="ZP112" s="242">
        <f>ZN112-ZO112</f>
        <v>0</v>
      </c>
      <c r="ZQ112" s="242">
        <f>ZQ111+ZM112-ZO112</f>
        <v>0</v>
      </c>
      <c r="ZR112" s="56"/>
      <c r="ZU112" s="55">
        <f>ZL112</f>
        <v>46113</v>
      </c>
      <c r="ZV112" s="56"/>
      <c r="ZW112" s="242">
        <f>SUMPRODUCT(PRODUCE!$B121:$DY121,PRODUCE!$EB$57:$IY$57)</f>
        <v>0</v>
      </c>
      <c r="ZX112" s="56"/>
      <c r="ZY112" s="242">
        <f>ZW112-ZX112</f>
        <v>0</v>
      </c>
      <c r="ZZ112" s="242">
        <f>ZZ111+ZV112-ZX112</f>
        <v>0</v>
      </c>
      <c r="AAA112" s="56"/>
      <c r="AAD112" s="55">
        <f>ZU112</f>
        <v>46113</v>
      </c>
      <c r="AAE112" s="56"/>
      <c r="AAF112" s="242">
        <f>SUMPRODUCT(PRODUCE!$B121:$DY121,PRODUCE!$EB$57:$IY$57)</f>
        <v>0</v>
      </c>
      <c r="AAG112" s="56"/>
      <c r="AAH112" s="242">
        <f>AAF112-AAG112</f>
        <v>0</v>
      </c>
      <c r="AAI112" s="242">
        <f>AAI111+AAE112-AAG112</f>
        <v>0</v>
      </c>
      <c r="AAJ112" s="56"/>
      <c r="AAM112" s="55">
        <f>AAD112</f>
        <v>46113</v>
      </c>
      <c r="AAN112" s="56"/>
      <c r="AAO112" s="242">
        <f>SUMPRODUCT(PRODUCE!$B121:$DY121,PRODUCE!$EB$57:$IY$57)</f>
        <v>0</v>
      </c>
      <c r="AAP112" s="56"/>
      <c r="AAQ112" s="242">
        <f>AAO112-AAP112</f>
        <v>0</v>
      </c>
      <c r="AAR112" s="242">
        <f>AAR111+AAN112-AAP112</f>
        <v>0</v>
      </c>
      <c r="AAS112" s="56"/>
      <c r="AAV112" s="55">
        <f>AAM112</f>
        <v>46113</v>
      </c>
      <c r="AAW112" s="56"/>
      <c r="AAX112" s="242">
        <f>SUMPRODUCT(PRODUCE!$B121:$DY121,PRODUCE!$EB$57:$IY$57)</f>
        <v>0</v>
      </c>
      <c r="AAY112" s="56"/>
      <c r="AAZ112" s="242">
        <f>AAX112-AAY112</f>
        <v>0</v>
      </c>
      <c r="ABA112" s="242">
        <f>ABA111+AAW112-AAY112</f>
        <v>0</v>
      </c>
      <c r="ABB112" s="56"/>
      <c r="ABE112" s="55">
        <f>AAV112</f>
        <v>46113</v>
      </c>
      <c r="ABF112" s="56"/>
      <c r="ABG112" s="242">
        <f>SUMPRODUCT(PRODUCE!$B121:$DY121,PRODUCE!$EB$57:$IY$57)</f>
        <v>0</v>
      </c>
      <c r="ABH112" s="56"/>
      <c r="ABI112" s="242">
        <f>ABG112-ABH112</f>
        <v>0</v>
      </c>
      <c r="ABJ112" s="242">
        <f>ABJ111+ABF112-ABH112</f>
        <v>0</v>
      </c>
      <c r="ABK112" s="56"/>
    </row>
    <row r="113" spans="2:739" s="54" customFormat="1" ht="15" customHeight="1" outlineLevel="1">
      <c r="B113" s="478"/>
      <c r="C113" s="55">
        <v>46114</v>
      </c>
      <c r="D113" s="422">
        <v>60180</v>
      </c>
      <c r="E113" s="423">
        <f>SUMPRODUCT(PRODUCE!$B122:$DY122,PRODUCE!$EB$7:$IY$7)</f>
        <v>0</v>
      </c>
      <c r="F113" s="422"/>
      <c r="G113" s="423">
        <f>E113-F113</f>
        <v>0</v>
      </c>
      <c r="H113" s="423">
        <f>H112+D113-F113</f>
        <v>107308.79999999996</v>
      </c>
      <c r="I113" s="289"/>
      <c r="L113" s="55">
        <f t="shared" si="759"/>
        <v>46114</v>
      </c>
      <c r="M113" s="422">
        <v>13980</v>
      </c>
      <c r="N113" s="438">
        <f>SUMPRODUCT(PRODUCE!$B122:$DY122,PRODUCE!$EB$8:$IY$8)</f>
        <v>0</v>
      </c>
      <c r="O113" s="422"/>
      <c r="P113" s="438">
        <f t="shared" ref="P113:P141" si="760">N113-O113</f>
        <v>0</v>
      </c>
      <c r="Q113" s="438">
        <f t="shared" ref="Q113:Q141" si="761">Q112+M113-O113</f>
        <v>33958.600000000086</v>
      </c>
      <c r="R113" s="56"/>
      <c r="U113" s="55">
        <f t="shared" ref="U113:U141" si="762">L113</f>
        <v>46114</v>
      </c>
      <c r="V113" s="422"/>
      <c r="W113" s="440">
        <f>SUMPRODUCT(PRODUCE!$B122:$DY122,PRODUCE!$EB$9:$IY$9)</f>
        <v>0</v>
      </c>
      <c r="X113" s="422"/>
      <c r="Y113" s="440">
        <f t="shared" ref="Y113:Y141" si="763">W113-X113</f>
        <v>0</v>
      </c>
      <c r="Z113" s="440">
        <f t="shared" ref="Z113:Z141" si="764">Z112+V113-X113</f>
        <v>18687.79999999997</v>
      </c>
      <c r="AA113" s="56"/>
      <c r="AD113" s="55">
        <f t="shared" ref="AD113:AD141" si="765">U113</f>
        <v>46114</v>
      </c>
      <c r="AE113" s="422"/>
      <c r="AF113" s="442">
        <f>SUMPRODUCT(PRODUCE!$B122:$DY122,PRODUCE!$EB$10:$IY$10)</f>
        <v>0</v>
      </c>
      <c r="AG113" s="422"/>
      <c r="AH113" s="442">
        <f t="shared" ref="AH113:AH141" si="766">AF113-AG113</f>
        <v>0</v>
      </c>
      <c r="AI113" s="442">
        <f t="shared" ref="AI113:AI141" si="767">AI112+AE113-AG113</f>
        <v>53672.000000000022</v>
      </c>
      <c r="AJ113" s="56"/>
      <c r="AM113" s="55">
        <f t="shared" ref="AM113:AM141" si="768">AD113</f>
        <v>46114</v>
      </c>
      <c r="AN113" s="422"/>
      <c r="AO113" s="444">
        <f>SUMPRODUCT(PRODUCE!$B122:$DY122,PRODUCE!$EB$11:$IY$11)</f>
        <v>0</v>
      </c>
      <c r="AP113" s="422"/>
      <c r="AQ113" s="444">
        <f t="shared" ref="AQ113:AQ141" si="769">AO113-AP113</f>
        <v>0</v>
      </c>
      <c r="AR113" s="444">
        <f t="shared" ref="AR113:AR141" si="770">AR112+AN113-AP113</f>
        <v>0</v>
      </c>
      <c r="AS113" s="56"/>
      <c r="AV113" s="55">
        <f t="shared" ref="AV113:AV141" si="771">AM113</f>
        <v>46114</v>
      </c>
      <c r="AW113" s="422"/>
      <c r="AX113" s="446">
        <f>SUMPRODUCT(PRODUCE!$B122:$DY122,PRODUCE!$EB$12:$IY$12)</f>
        <v>0</v>
      </c>
      <c r="AY113" s="422"/>
      <c r="AZ113" s="446">
        <f t="shared" ref="AZ113:AZ141" si="772">AX113-AY113</f>
        <v>0</v>
      </c>
      <c r="BA113" s="446">
        <f t="shared" ref="BA113:BA141" si="773">BA112+AW113-AY113</f>
        <v>16886.69999999999</v>
      </c>
      <c r="BB113" s="56"/>
      <c r="BE113" s="55">
        <f t="shared" ref="BE113:BE141" si="774">AV113</f>
        <v>46114</v>
      </c>
      <c r="BF113" s="422"/>
      <c r="BG113" s="448">
        <f>SUMPRODUCT(PRODUCE!$B122:$DY122,PRODUCE!$EB$13:$IY$13)</f>
        <v>0</v>
      </c>
      <c r="BH113" s="422"/>
      <c r="BI113" s="448">
        <f t="shared" ref="BI113:BI141" si="775">BG113-BH113</f>
        <v>0</v>
      </c>
      <c r="BJ113" s="448">
        <f t="shared" ref="BJ113:BJ141" si="776">BJ112+BF113-BH113</f>
        <v>-557.39999999999816</v>
      </c>
      <c r="BK113" s="56"/>
      <c r="BN113" s="55">
        <f t="shared" ref="BN113:BN141" si="777">BE113</f>
        <v>46114</v>
      </c>
      <c r="BO113" s="422"/>
      <c r="BP113" s="450">
        <f>SUMPRODUCT(PRODUCE!$B122:$DY122,PRODUCE!$EB$14:$IY$14)</f>
        <v>0</v>
      </c>
      <c r="BQ113" s="422"/>
      <c r="BR113" s="450">
        <f t="shared" ref="BR113:BR141" si="778">BP113-BQ113</f>
        <v>0</v>
      </c>
      <c r="BS113" s="450">
        <f t="shared" ref="BS113:BS141" si="779">BS112+BO113-BQ113</f>
        <v>0</v>
      </c>
      <c r="BT113" s="56"/>
      <c r="BW113" s="55">
        <f t="shared" ref="BW113:BW141" si="780">BN113</f>
        <v>46114</v>
      </c>
      <c r="BX113" s="56"/>
      <c r="BY113" s="65">
        <f>SUMPRODUCT(PRODUCE!$B122:$DY122,PRODUCE!$EB$15:$IY$15)</f>
        <v>0</v>
      </c>
      <c r="BZ113" s="56"/>
      <c r="CA113" s="65">
        <f t="shared" ref="CA113:CA141" si="781">BY113-BZ113</f>
        <v>0</v>
      </c>
      <c r="CB113" s="65">
        <f t="shared" ref="CB113:CB141" si="782">CB112+BX113-BZ113</f>
        <v>11812.9</v>
      </c>
      <c r="CC113" s="56"/>
      <c r="CF113" s="55">
        <f t="shared" ref="CF113:CF141" si="783">BW113</f>
        <v>46114</v>
      </c>
      <c r="CG113" s="56"/>
      <c r="CH113" s="66">
        <f>SUMPRODUCT(PRODUCE!$B122:$DY122,PRODUCE!$EB$16:$IY$16)</f>
        <v>0</v>
      </c>
      <c r="CI113" s="56"/>
      <c r="CJ113" s="66">
        <f t="shared" ref="CJ113:CJ141" si="784">CH113-CI113</f>
        <v>0</v>
      </c>
      <c r="CK113" s="66">
        <f t="shared" ref="CK113:CK141" si="785">CK112+CG113-CI113</f>
        <v>0</v>
      </c>
      <c r="CL113" s="56"/>
      <c r="CO113" s="55">
        <f t="shared" ref="CO113:CO141" si="786">CF113</f>
        <v>46114</v>
      </c>
      <c r="CP113" s="422"/>
      <c r="CQ113" s="470">
        <f>SUMPRODUCT(PRODUCE!$B122:$DY122,PRODUCE!$EB$17:$IY$17)</f>
        <v>0</v>
      </c>
      <c r="CR113" s="422"/>
      <c r="CS113" s="470">
        <f t="shared" ref="CS113:CS141" si="787">CQ113-CR113</f>
        <v>0</v>
      </c>
      <c r="CT113" s="470">
        <f t="shared" ref="CT113:CT141" si="788">CT112+CP113-CR113</f>
        <v>0</v>
      </c>
      <c r="CU113" s="56"/>
      <c r="CX113" s="55">
        <f t="shared" ref="CX113:CX141" si="789">CO113</f>
        <v>46114</v>
      </c>
      <c r="CY113" s="56"/>
      <c r="CZ113" s="133">
        <f>SUMPRODUCT(PRODUCE!$B122:$DY122,PRODUCE!$EB$18:$IY$18)</f>
        <v>0</v>
      </c>
      <c r="DA113" s="56"/>
      <c r="DB113" s="133">
        <f t="shared" ref="DB113:DB141" si="790">CZ113-DA113</f>
        <v>0</v>
      </c>
      <c r="DC113" s="133">
        <f t="shared" ref="DC113:DC141" si="791">DC112+CY113-DA113</f>
        <v>31198.5</v>
      </c>
      <c r="DD113" s="56"/>
      <c r="DG113" s="55">
        <f t="shared" ref="DG113:DG141" si="792">CX113</f>
        <v>46114</v>
      </c>
      <c r="DH113" s="56"/>
      <c r="DI113" s="147">
        <f>SUMPRODUCT(PRODUCE!$B122:$DY122,PRODUCE!$EB$19:$IY$19)</f>
        <v>0</v>
      </c>
      <c r="DJ113" s="56"/>
      <c r="DK113" s="147">
        <f t="shared" ref="DK113:DK141" si="793">DI113-DJ113</f>
        <v>0</v>
      </c>
      <c r="DL113" s="147">
        <f t="shared" ref="DL113:DL141" si="794">DL112+DH113-DJ113</f>
        <v>6589.9999999999945</v>
      </c>
      <c r="DM113" s="56"/>
      <c r="DP113" s="55">
        <f t="shared" ref="DP113:DP141" si="795">DG113</f>
        <v>46114</v>
      </c>
      <c r="DQ113" s="56"/>
      <c r="DR113" s="57">
        <f>SUMPRODUCT(PRODUCE!$B122:$DY122,PRODUCE!$EB$20:$IY$20)</f>
        <v>0</v>
      </c>
      <c r="DS113" s="56"/>
      <c r="DT113" s="57">
        <f t="shared" ref="DT113:DT141" si="796">DR113-DS113</f>
        <v>0</v>
      </c>
      <c r="DU113" s="57">
        <f t="shared" ref="DU113:DU141" si="797">DU112+DQ113-DS113</f>
        <v>7150</v>
      </c>
      <c r="DV113" s="56"/>
      <c r="DY113" s="55">
        <f t="shared" ref="DY113:DY141" si="798">DP113</f>
        <v>46114</v>
      </c>
      <c r="DZ113" s="56"/>
      <c r="EA113" s="157">
        <f>SUMPRODUCT(PRODUCE!$B122:$DY122,PRODUCE!$EB$21:$IY$21)</f>
        <v>0</v>
      </c>
      <c r="EB113" s="56"/>
      <c r="EC113" s="157">
        <f t="shared" ref="EC113:EC141" si="799">EA113-EB113</f>
        <v>0</v>
      </c>
      <c r="ED113" s="157">
        <f t="shared" ref="ED113:ED141" si="800">ED112+DZ113-EB113</f>
        <v>1347.3000000000002</v>
      </c>
      <c r="EE113" s="56"/>
      <c r="EH113" s="55">
        <f t="shared" ref="EH113:EH141" si="801">DY113</f>
        <v>46114</v>
      </c>
      <c r="EI113" s="56"/>
      <c r="EJ113" s="162">
        <f>SUMPRODUCT(PRODUCE!$B122:$DY122,PRODUCE!$EB$22:$IY$22)</f>
        <v>0</v>
      </c>
      <c r="EK113" s="56"/>
      <c r="EL113" s="162">
        <f t="shared" ref="EL113:EL141" si="802">EJ113-EK113</f>
        <v>0</v>
      </c>
      <c r="EM113" s="162">
        <f t="shared" ref="EM113:EM141" si="803">EM112+EI113-EK113</f>
        <v>0</v>
      </c>
      <c r="EN113" s="56"/>
      <c r="EQ113" s="55">
        <f t="shared" ref="EQ113:EQ141" si="804">EH113</f>
        <v>46114</v>
      </c>
      <c r="ER113" s="56"/>
      <c r="ES113" s="135">
        <f>SUMPRODUCT(PRODUCE!$B122:$DY122,PRODUCE!$EB$23:$IY$23)</f>
        <v>0</v>
      </c>
      <c r="ET113" s="56"/>
      <c r="EU113" s="135">
        <f t="shared" ref="EU113:EU141" si="805">ES113-ET113</f>
        <v>0</v>
      </c>
      <c r="EV113" s="135">
        <f t="shared" ref="EV113:EV141" si="806">EV112+ER113-ET113</f>
        <v>0</v>
      </c>
      <c r="EW113" s="56"/>
      <c r="EZ113" s="55">
        <f t="shared" ref="EZ113:EZ141" si="807">EQ113</f>
        <v>46114</v>
      </c>
      <c r="FA113" s="56"/>
      <c r="FB113" s="175">
        <f>SUMPRODUCT(PRODUCE!$B122:$DY122,PRODUCE!$EB$24:$IY$24)</f>
        <v>0</v>
      </c>
      <c r="FC113" s="56"/>
      <c r="FD113" s="175">
        <f t="shared" ref="FD113:FD141" si="808">FB113-FC113</f>
        <v>0</v>
      </c>
      <c r="FE113" s="175">
        <f t="shared" ref="FE113:FE141" si="809">FE112+FA113-FC113</f>
        <v>0</v>
      </c>
      <c r="FF113" s="56"/>
      <c r="FI113" s="55">
        <f t="shared" ref="FI113:FI141" si="810">EZ113</f>
        <v>46114</v>
      </c>
      <c r="FJ113" s="56"/>
      <c r="FK113" s="183">
        <f>SUMPRODUCT(PRODUCE!$B122:$DY122,PRODUCE!$EB$25:$IY$25)</f>
        <v>0</v>
      </c>
      <c r="FL113" s="56"/>
      <c r="FM113" s="183">
        <f t="shared" ref="FM113:FM141" si="811">FK113-FL113</f>
        <v>0</v>
      </c>
      <c r="FN113" s="183">
        <f t="shared" ref="FN113:FN141" si="812">FN112+FJ113-FL113</f>
        <v>0</v>
      </c>
      <c r="FO113" s="56"/>
      <c r="FR113" s="55">
        <f t="shared" ref="FR113:FR141" si="813">FI113</f>
        <v>46114</v>
      </c>
      <c r="FS113" s="422"/>
      <c r="FT113" s="452">
        <f>SUMPRODUCT(PRODUCE!$B122:$DY122,PRODUCE!$EB$26:$IY$26)</f>
        <v>0</v>
      </c>
      <c r="FU113" s="422"/>
      <c r="FV113" s="452">
        <f t="shared" ref="FV113:FV141" si="814">FT113-FU113</f>
        <v>0</v>
      </c>
      <c r="FW113" s="452">
        <f t="shared" ref="FW113:FW141" si="815">FW112+FS113-FU113</f>
        <v>1980</v>
      </c>
      <c r="FX113" s="56"/>
      <c r="GA113" s="55">
        <f t="shared" ref="GA113:GA141" si="816">FR113</f>
        <v>46114</v>
      </c>
      <c r="GB113" s="422"/>
      <c r="GC113" s="454">
        <f>SUMPRODUCT(PRODUCE!$B122:$DY122,PRODUCE!$EB$27:$IY$27)</f>
        <v>0</v>
      </c>
      <c r="GD113" s="422"/>
      <c r="GE113" s="454">
        <f t="shared" ref="GE113:GE141" si="817">GC113-GD113</f>
        <v>0</v>
      </c>
      <c r="GF113" s="454">
        <f t="shared" ref="GF113:GF141" si="818">GF112+GB113-GD113</f>
        <v>2000</v>
      </c>
      <c r="GG113" s="56"/>
      <c r="GI113" s="23"/>
      <c r="GJ113" s="55">
        <f t="shared" ref="GJ113:GJ141" si="819">GA113</f>
        <v>46114</v>
      </c>
      <c r="GK113" s="422"/>
      <c r="GL113" s="456">
        <f>SUMPRODUCT(PRODUCE!$B122:$DY122,PRODUCE!$EB$28:$IY$28)</f>
        <v>0</v>
      </c>
      <c r="GM113" s="422"/>
      <c r="GN113" s="456">
        <f t="shared" ref="GN113:GN141" si="820">GL113-GM113</f>
        <v>0</v>
      </c>
      <c r="GO113" s="456">
        <f t="shared" ref="GO113:GO141" si="821">GO112+GK113-GM113</f>
        <v>4800</v>
      </c>
      <c r="GP113" s="56"/>
      <c r="GS113" s="55">
        <f t="shared" ref="GS113:GS141" si="822">GJ113</f>
        <v>46114</v>
      </c>
      <c r="GT113" s="56"/>
      <c r="GU113" s="195">
        <f>SUMPRODUCT(PRODUCE!$B122:$DY122,PRODUCE!$EB$29:$IY$29)</f>
        <v>0</v>
      </c>
      <c r="GV113" s="56"/>
      <c r="GW113" s="195">
        <f t="shared" ref="GW113:GW141" si="823">GU113-GV113</f>
        <v>0</v>
      </c>
      <c r="GX113" s="195">
        <f t="shared" ref="GX113:GX141" si="824">GX112+GT113-GV113</f>
        <v>0</v>
      </c>
      <c r="GY113" s="56"/>
      <c r="HB113" s="55">
        <f t="shared" ref="HB113:HB141" si="825">GS113</f>
        <v>46114</v>
      </c>
      <c r="HC113" s="56"/>
      <c r="HD113" s="191">
        <f>SUMPRODUCT(PRODUCE!$B122:$DY122,PRODUCE!$EB$30:$IY$30)</f>
        <v>0</v>
      </c>
      <c r="HE113" s="56"/>
      <c r="HF113" s="191">
        <f t="shared" ref="HF113:HF141" si="826">HD113-HE113</f>
        <v>0</v>
      </c>
      <c r="HG113" s="191">
        <f t="shared" ref="HG113:HG141" si="827">HG112+HC113-HE113</f>
        <v>0</v>
      </c>
      <c r="HH113" s="56"/>
      <c r="HK113" s="55">
        <f t="shared" ref="HK113:HK141" si="828">HB113</f>
        <v>46114</v>
      </c>
      <c r="HL113" s="56"/>
      <c r="HM113" s="63">
        <f>SUMPRODUCT(PRODUCE!$B122:$DY122,PRODUCE!$EB$31:$IY$31)</f>
        <v>0</v>
      </c>
      <c r="HN113" s="56"/>
      <c r="HO113" s="63">
        <f t="shared" ref="HO113:HO141" si="829">HM113-HN113</f>
        <v>0</v>
      </c>
      <c r="HP113" s="63">
        <f t="shared" ref="HP113:HP141" si="830">HP112+HL113-HN113</f>
        <v>0</v>
      </c>
      <c r="HQ113" s="56"/>
      <c r="HU113" s="55">
        <f t="shared" ref="HU113:HU141" si="831">HK113</f>
        <v>46114</v>
      </c>
      <c r="HV113" s="56"/>
      <c r="HW113" s="242">
        <f>SUMPRODUCT(PRODUCE!$B122:$DY122,PRODUCE!$EB$32:$IY$32)</f>
        <v>0</v>
      </c>
      <c r="HX113" s="56"/>
      <c r="HY113" s="242">
        <f t="shared" ref="HY113:HY141" si="832">HW113-HX113</f>
        <v>0</v>
      </c>
      <c r="HZ113" s="242">
        <f t="shared" ref="HZ113:HZ141" si="833">HZ112+HV113-HX113</f>
        <v>5120</v>
      </c>
      <c r="IA113" s="56"/>
      <c r="ID113" s="55">
        <f t="shared" ref="ID113:ID141" si="834">HU113</f>
        <v>46114</v>
      </c>
      <c r="IE113" s="56"/>
      <c r="IF113" s="242">
        <f>SUMPRODUCT(PRODUCE!$B122:$DY122,PRODUCE!$EB$33:$IY$33)</f>
        <v>0</v>
      </c>
      <c r="IG113" s="56"/>
      <c r="IH113" s="242">
        <f t="shared" ref="IH113:IH141" si="835">IF113-IG113</f>
        <v>0</v>
      </c>
      <c r="II113" s="242">
        <f t="shared" ref="II113:II141" si="836">II112+IE113-IG113</f>
        <v>6540</v>
      </c>
      <c r="IJ113" s="56"/>
      <c r="IM113" s="55">
        <f t="shared" ref="IM113:IM141" si="837">ID113</f>
        <v>46114</v>
      </c>
      <c r="IN113" s="56"/>
      <c r="IO113" s="242">
        <f>SUMPRODUCT(PRODUCE!$B122:$DY122,PRODUCE!$EB$34:$IY$34)</f>
        <v>0</v>
      </c>
      <c r="IP113" s="56"/>
      <c r="IQ113" s="242">
        <f t="shared" ref="IQ113:IQ141" si="838">IO113-IP113</f>
        <v>0</v>
      </c>
      <c r="IR113" s="242">
        <f t="shared" ref="IR113:IR141" si="839">IR112+IN113-IP113</f>
        <v>11540</v>
      </c>
      <c r="IS113" s="56"/>
      <c r="IV113" s="55">
        <f t="shared" ref="IV113:IV141" si="840">IM113</f>
        <v>46114</v>
      </c>
      <c r="IW113" s="56"/>
      <c r="IX113" s="242">
        <f>SUMPRODUCT(PRODUCE!$B122:$DY122,PRODUCE!$EB$35:$IY$35)</f>
        <v>0</v>
      </c>
      <c r="IY113" s="56"/>
      <c r="IZ113" s="242">
        <f t="shared" ref="IZ113:IZ141" si="841">IX113-IY113</f>
        <v>0</v>
      </c>
      <c r="JA113" s="242">
        <f t="shared" ref="JA113:JA141" si="842">JA112+IW113-IY113</f>
        <v>15120</v>
      </c>
      <c r="JB113" s="56"/>
      <c r="JE113" s="55">
        <f t="shared" ref="JE113:JE141" si="843">IV113</f>
        <v>46114</v>
      </c>
      <c r="JF113" s="56"/>
      <c r="JG113" s="242">
        <f>SUMPRODUCT(PRODUCE!$B122:$DY122,PRODUCE!$EB$36:$IY$36)</f>
        <v>0</v>
      </c>
      <c r="JH113" s="56"/>
      <c r="JI113" s="242">
        <f t="shared" ref="JI113:JI141" si="844">JG113-JH113</f>
        <v>0</v>
      </c>
      <c r="JJ113" s="242">
        <f t="shared" ref="JJ113:JJ141" si="845">JJ112+JF113-JH113</f>
        <v>5040</v>
      </c>
      <c r="JK113" s="56"/>
      <c r="JN113" s="55">
        <f t="shared" ref="JN113:JN141" si="846">JE113</f>
        <v>46114</v>
      </c>
      <c r="JO113" s="56"/>
      <c r="JP113" s="242">
        <f>SUMPRODUCT(PRODUCE!$B122:$DY122,PRODUCE!$EB$37:$IY$37)</f>
        <v>0</v>
      </c>
      <c r="JQ113" s="56"/>
      <c r="JR113" s="242">
        <f t="shared" ref="JR113:JR141" si="847">JP113-JQ113</f>
        <v>0</v>
      </c>
      <c r="JS113" s="242">
        <f t="shared" ref="JS113:JS141" si="848">JS112+JO113-JQ113</f>
        <v>9100</v>
      </c>
      <c r="JT113" s="56"/>
      <c r="JW113" s="55">
        <f t="shared" ref="JW113:JW141" si="849">JN113</f>
        <v>46114</v>
      </c>
      <c r="JX113" s="56"/>
      <c r="JY113" s="242">
        <f>SUMPRODUCT(PRODUCE!$B122:$DY122,PRODUCE!$EB$38:$IY$38)</f>
        <v>0</v>
      </c>
      <c r="JZ113" s="56"/>
      <c r="KA113" s="242">
        <f t="shared" ref="KA113:KA141" si="850">JY113-JZ113</f>
        <v>0</v>
      </c>
      <c r="KB113" s="242">
        <f t="shared" ref="KB113:KB141" si="851">KB112+JX113-JZ113</f>
        <v>4220</v>
      </c>
      <c r="KC113" s="56"/>
      <c r="KF113" s="55">
        <f t="shared" ref="KF113:KF141" si="852">JW113</f>
        <v>46114</v>
      </c>
      <c r="KG113" s="56"/>
      <c r="KH113" s="242">
        <f>SUMPRODUCT(PRODUCE!$B122:$DY122,PRODUCE!$EB$39:$IY$39)</f>
        <v>0</v>
      </c>
      <c r="KI113" s="56"/>
      <c r="KJ113" s="242">
        <f t="shared" ref="KJ113:KJ141" si="853">KH113-KI113</f>
        <v>0</v>
      </c>
      <c r="KK113" s="242">
        <f t="shared" ref="KK113:KK141" si="854">KK112+KG113-KI113</f>
        <v>7702.5</v>
      </c>
      <c r="KL113" s="56"/>
      <c r="KO113" s="55">
        <f t="shared" ref="KO113:KO141" si="855">KF113</f>
        <v>46114</v>
      </c>
      <c r="KP113" s="56"/>
      <c r="KQ113" s="242">
        <f>SUMPRODUCT(PRODUCE!$B122:$DY122,PRODUCE!$EB$40:$IY$40)</f>
        <v>0</v>
      </c>
      <c r="KR113" s="56"/>
      <c r="KS113" s="242">
        <f t="shared" ref="KS113:KS141" si="856">KQ113-KR113</f>
        <v>0</v>
      </c>
      <c r="KT113" s="242">
        <f t="shared" ref="KT113:KT141" si="857">KT112+KP113-KR113</f>
        <v>6426</v>
      </c>
      <c r="KU113" s="56"/>
      <c r="KW113" s="23"/>
      <c r="KX113" s="55">
        <f t="shared" ref="KX113:KX141" si="858">KO113</f>
        <v>46114</v>
      </c>
      <c r="KY113" s="56"/>
      <c r="KZ113" s="242">
        <f>SUMPRODUCT(PRODUCE!$B122:$DY122,PRODUCE!$EB$41:$IY$41)</f>
        <v>0</v>
      </c>
      <c r="LA113" s="56"/>
      <c r="LB113" s="242">
        <f t="shared" ref="LB113:LB141" si="859">KZ113-LA113</f>
        <v>0</v>
      </c>
      <c r="LC113" s="242">
        <f t="shared" ref="LC113:LC141" si="860">LC112+KY113-LA113</f>
        <v>0</v>
      </c>
      <c r="LD113" s="56"/>
      <c r="LG113" s="55">
        <f t="shared" ref="LG113:LG141" si="861">KX113</f>
        <v>46114</v>
      </c>
      <c r="LH113" s="56"/>
      <c r="LI113" s="242">
        <f>SUMPRODUCT(PRODUCE!$B122:$DY122,PRODUCE!$EB$42:$IY$42)</f>
        <v>0</v>
      </c>
      <c r="LJ113" s="56"/>
      <c r="LK113" s="242">
        <f t="shared" ref="LK113:LK141" si="862">LI113-LJ113</f>
        <v>0</v>
      </c>
      <c r="LL113" s="242">
        <f t="shared" ref="LL113:LL141" si="863">LL112+LH113-LJ113</f>
        <v>0</v>
      </c>
      <c r="LM113" s="56"/>
      <c r="LP113" s="55">
        <f t="shared" ref="LP113:LP141" si="864">LG113</f>
        <v>46114</v>
      </c>
      <c r="LQ113" s="56"/>
      <c r="LR113" s="242">
        <f>SUMPRODUCT(PRODUCE!$B128:$DY128,PRODUCE!$EB$43:$IY$43)</f>
        <v>0</v>
      </c>
      <c r="LS113" s="56"/>
      <c r="LT113" s="242">
        <f t="shared" ref="LT113:LT141" si="865">LR113-LS113</f>
        <v>0</v>
      </c>
      <c r="LU113" s="242">
        <f t="shared" ref="LU113:LU141" si="866">LU112+LQ113-LS113</f>
        <v>0</v>
      </c>
      <c r="LV113" s="56"/>
      <c r="LY113" s="55">
        <f t="shared" ref="LY113:LY141" si="867">LP113</f>
        <v>46114</v>
      </c>
      <c r="LZ113" s="56"/>
      <c r="MA113" s="242">
        <f>SUMPRODUCT(PRODUCE!$B122:$DY122,PRODUCE!$EB$44:$IY$44)</f>
        <v>0</v>
      </c>
      <c r="MB113" s="56"/>
      <c r="MC113" s="242">
        <f t="shared" ref="MC113:MC141" si="868">MA113-MB113</f>
        <v>0</v>
      </c>
      <c r="MD113" s="242">
        <f t="shared" ref="MD113:MD141" si="869">MD112+LZ113-MB113</f>
        <v>0</v>
      </c>
      <c r="ME113" s="56"/>
      <c r="MH113" s="55">
        <f t="shared" ref="MH113:MH141" si="870">LY113</f>
        <v>46114</v>
      </c>
      <c r="MI113" s="56"/>
      <c r="MJ113" s="242">
        <f>SUMPRODUCT(PRODUCE!$B122:$DY122,PRODUCE!$EB$45:$IY$45)</f>
        <v>0</v>
      </c>
      <c r="MK113" s="56"/>
      <c r="ML113" s="242">
        <f t="shared" ref="ML113:ML141" si="871">MJ113-MK113</f>
        <v>0</v>
      </c>
      <c r="MM113" s="242">
        <f t="shared" ref="MM113:MM141" si="872">MM112+MI113-MK113</f>
        <v>0</v>
      </c>
      <c r="MN113" s="56"/>
      <c r="MQ113" s="55">
        <f t="shared" ref="MQ113:MQ141" si="873">MH113</f>
        <v>46114</v>
      </c>
      <c r="MR113" s="56"/>
      <c r="MS113" s="242">
        <f>SUMPRODUCT(PRODUCE!$B122:$DY122,PRODUCE!$EB$46:$IY$46)</f>
        <v>0</v>
      </c>
      <c r="MT113" s="56"/>
      <c r="MU113" s="242">
        <f t="shared" ref="MU113:MU141" si="874">MS113-MT113</f>
        <v>0</v>
      </c>
      <c r="MV113" s="242">
        <f t="shared" ref="MV113:MV141" si="875">MV112+MR113-MT113</f>
        <v>4195</v>
      </c>
      <c r="MW113" s="56"/>
      <c r="MZ113" s="55">
        <f t="shared" ref="MZ113:MZ141" si="876">MQ113</f>
        <v>46114</v>
      </c>
      <c r="NA113" s="56"/>
      <c r="NB113" s="242">
        <f>SUMPRODUCT(PRODUCE!$B122:$DY122,PRODUCE!$EB$47:$IY$47)</f>
        <v>0</v>
      </c>
      <c r="NC113" s="56"/>
      <c r="ND113" s="242">
        <f t="shared" ref="ND113:ND141" si="877">NB113-NC113</f>
        <v>0</v>
      </c>
      <c r="NE113" s="242">
        <f t="shared" ref="NE113:NE141" si="878">NE112+NA113-NC113</f>
        <v>0</v>
      </c>
      <c r="NF113" s="56"/>
      <c r="NI113" s="55">
        <f t="shared" ref="NI113:NI141" si="879">MZ113</f>
        <v>46114</v>
      </c>
      <c r="NJ113" s="56"/>
      <c r="NK113" s="242">
        <f>SUMPRODUCT(PRODUCE!$B122:$DY122,PRODUCE!$EB$48:$IY$48)</f>
        <v>0</v>
      </c>
      <c r="NL113" s="56"/>
      <c r="NM113" s="242">
        <f t="shared" ref="NM113:NM141" si="880">NK113-NL113</f>
        <v>0</v>
      </c>
      <c r="NN113" s="242">
        <f t="shared" ref="NN113:NN141" si="881">NN112+NJ113-NL113</f>
        <v>2065</v>
      </c>
      <c r="NO113" s="56"/>
      <c r="NR113" s="55">
        <f t="shared" ref="NR113:NR141" si="882">MZ113</f>
        <v>46114</v>
      </c>
      <c r="NS113" s="56"/>
      <c r="NT113" s="242">
        <f>SUMPRODUCT(PRODUCE!$B122:$DY122,PRODUCE!$EB$49:$IY$49)</f>
        <v>0</v>
      </c>
      <c r="NU113" s="56"/>
      <c r="NV113" s="242">
        <f t="shared" ref="NV113:NV141" si="883">NT113-NU113</f>
        <v>0</v>
      </c>
      <c r="NW113" s="242">
        <f t="shared" ref="NW113:NW141" si="884">NW112+NS113-NU113</f>
        <v>4152.5</v>
      </c>
      <c r="NX113" s="56"/>
      <c r="OA113" s="55">
        <f t="shared" ref="OA113:OA141" si="885">NR113</f>
        <v>46114</v>
      </c>
      <c r="OB113" s="56"/>
      <c r="OC113" s="242">
        <f>SUMPRODUCT(PRODUCE!$B122:$DY122,PRODUCE!$EB$50:$IY$50)</f>
        <v>0</v>
      </c>
      <c r="OD113" s="56"/>
      <c r="OE113" s="242">
        <f t="shared" ref="OE113:OE141" si="886">OC113-OD113</f>
        <v>0</v>
      </c>
      <c r="OF113" s="242">
        <f t="shared" ref="OF113:OF141" si="887">OF112+OB113-OD113</f>
        <v>1680.5</v>
      </c>
      <c r="OG113" s="56"/>
      <c r="OJ113" s="55">
        <f t="shared" ref="OJ113:OJ141" si="888">OA113</f>
        <v>46114</v>
      </c>
      <c r="OK113" s="56"/>
      <c r="OL113" s="242">
        <f>SUMPRODUCT(PRODUCE!$B122:$DY122,PRODUCE!$EB$51:$IY$51)</f>
        <v>0</v>
      </c>
      <c r="OM113" s="56"/>
      <c r="ON113" s="242">
        <f t="shared" ref="ON113:ON141" si="889">OL113-OM113</f>
        <v>0</v>
      </c>
      <c r="OO113" s="242">
        <f t="shared" ref="OO113:OO141" si="890">OO112+OK113-OM113</f>
        <v>0</v>
      </c>
      <c r="OP113" s="56"/>
      <c r="OS113" s="55">
        <f t="shared" ref="OS113:OS141" si="891">OJ113</f>
        <v>46114</v>
      </c>
      <c r="OT113" s="56"/>
      <c r="OU113" s="242">
        <f>SUMPRODUCT(PRODUCE!$B122:$DY122,PRODUCE!$EB$52:$IY$52)</f>
        <v>0</v>
      </c>
      <c r="OV113" s="56"/>
      <c r="OW113" s="242">
        <f t="shared" ref="OW113:OW141" si="892">OU113-OV113</f>
        <v>0</v>
      </c>
      <c r="OX113" s="242">
        <f t="shared" ref="OX113:OX141" si="893">OX112+OT113-OV113</f>
        <v>1000</v>
      </c>
      <c r="OY113" s="56"/>
      <c r="PB113" s="55">
        <f t="shared" ref="PB113:PB141" si="894">OS113</f>
        <v>46114</v>
      </c>
      <c r="PC113" s="56"/>
      <c r="PD113" s="242">
        <f>SUMPRODUCT(PRODUCE!$B122:$DY122,PRODUCE!$EB$53:$IY$53)</f>
        <v>0</v>
      </c>
      <c r="PE113" s="56"/>
      <c r="PF113" s="242">
        <f t="shared" ref="PF113:PF141" si="895">PD113-PE113</f>
        <v>0</v>
      </c>
      <c r="PG113" s="242">
        <f t="shared" ref="PG113:PG141" si="896">PG112+PC113-PE113</f>
        <v>0</v>
      </c>
      <c r="PH113" s="56"/>
      <c r="PK113" s="55">
        <f t="shared" ref="PK113:PK141" si="897">PB113</f>
        <v>46114</v>
      </c>
      <c r="PL113" s="56"/>
      <c r="PM113" s="242">
        <f>SUMPRODUCT(PRODUCE!$B122:$DY122,PRODUCE!$EB$54:$IY$54)</f>
        <v>0</v>
      </c>
      <c r="PN113" s="56"/>
      <c r="PO113" s="242">
        <f t="shared" ref="PO113:PO141" si="898">PM113-PN113</f>
        <v>0</v>
      </c>
      <c r="PP113" s="242">
        <f t="shared" ref="PP113:PP141" si="899">PP112+PL113-PN113</f>
        <v>100</v>
      </c>
      <c r="PQ113" s="56"/>
      <c r="PT113" s="55">
        <f t="shared" ref="PT113:PT141" si="900">PK113</f>
        <v>46114</v>
      </c>
      <c r="PU113" s="56"/>
      <c r="PV113" s="242">
        <f>SUMPRODUCT(PRODUCE!$B122:$DY122,PRODUCE!$EB$55:$IY$55)</f>
        <v>0</v>
      </c>
      <c r="PW113" s="56"/>
      <c r="PX113" s="242">
        <f t="shared" ref="PX113:PX141" si="901">PV113-PW113</f>
        <v>0</v>
      </c>
      <c r="PY113" s="242">
        <f t="shared" ref="PY113:PY141" si="902">PY112+PU113-PW113</f>
        <v>13.960000000000036</v>
      </c>
      <c r="PZ113" s="56"/>
      <c r="QC113" s="55">
        <f t="shared" ref="QC113:QC141" si="903">PT113</f>
        <v>46114</v>
      </c>
      <c r="QD113" s="56"/>
      <c r="QE113" s="242">
        <f>SUMPRODUCT(PRODUCE!$B122:$DY122,PRODUCE!$EB$56:$IY$56)</f>
        <v>0</v>
      </c>
      <c r="QF113" s="56"/>
      <c r="QG113" s="242">
        <f t="shared" ref="QG113:QG141" si="904">QE113-QF113</f>
        <v>0</v>
      </c>
      <c r="QH113" s="242">
        <f t="shared" ref="QH113:QH141" si="905">QH112+QD113-QF113</f>
        <v>1212</v>
      </c>
      <c r="QI113" s="56"/>
      <c r="QL113" s="55">
        <f t="shared" ref="QL113:QL141" si="906">QC113</f>
        <v>46114</v>
      </c>
      <c r="QM113" s="56"/>
      <c r="QN113" s="242">
        <f>SUMPRODUCT(PRODUCE!$B122:$DY122,PRODUCE!$EB$57:$IY$57)</f>
        <v>0</v>
      </c>
      <c r="QO113" s="56"/>
      <c r="QP113" s="242">
        <f t="shared" ref="QP113:QP141" si="907">QN113-QO113</f>
        <v>0</v>
      </c>
      <c r="QQ113" s="242">
        <f t="shared" ref="QQ113:QQ141" si="908">QQ112+QM113-QO113</f>
        <v>400</v>
      </c>
      <c r="QR113" s="56"/>
      <c r="QU113" s="55">
        <f t="shared" ref="QU113:QU141" si="909">QL113</f>
        <v>46114</v>
      </c>
      <c r="QV113" s="56"/>
      <c r="QW113" s="242">
        <f>SUMPRODUCT(PRODUCE!$B122:$DY122,PRODUCE!$EB$57:$IY$57)</f>
        <v>0</v>
      </c>
      <c r="QX113" s="56"/>
      <c r="QY113" s="242">
        <f t="shared" ref="QY113:QY141" si="910">QW113-QX113</f>
        <v>0</v>
      </c>
      <c r="QZ113" s="242">
        <f t="shared" ref="QZ113:QZ141" si="911">QZ112+QV113-QX113</f>
        <v>207.6</v>
      </c>
      <c r="RA113" s="56"/>
      <c r="RD113" s="55">
        <f t="shared" ref="RD113:RD141" si="912">QU113</f>
        <v>46114</v>
      </c>
      <c r="RE113" s="56"/>
      <c r="RF113" s="242">
        <f>SUMPRODUCT(PRODUCE!$B122:$DY122,PRODUCE!$EB$58:$IY$58)</f>
        <v>0</v>
      </c>
      <c r="RG113" s="56"/>
      <c r="RH113" s="242">
        <f t="shared" ref="RH113:RH141" si="913">RF113-RG113</f>
        <v>0</v>
      </c>
      <c r="RI113" s="242">
        <f t="shared" ref="RI113:RI141" si="914">RI112+RE113-RG113</f>
        <v>197.04000000000002</v>
      </c>
      <c r="RJ113" s="56"/>
      <c r="RM113" s="55">
        <f t="shared" ref="RM113:RM141" si="915">RD113</f>
        <v>46114</v>
      </c>
      <c r="RN113" s="56"/>
      <c r="RO113" s="242">
        <f>SUMPRODUCT(PRODUCE!$B122:$DY122,PRODUCE!$EB$57:$IY$57)</f>
        <v>0</v>
      </c>
      <c r="RP113" s="56"/>
      <c r="RQ113" s="242">
        <f t="shared" ref="RQ113:RQ141" si="916">RO113-RP113</f>
        <v>0</v>
      </c>
      <c r="RR113" s="242">
        <f t="shared" ref="RR113:RR141" si="917">RR112+RN113-RP113</f>
        <v>46.8</v>
      </c>
      <c r="RS113" s="56"/>
      <c r="RV113" s="55">
        <f t="shared" ref="RV113:RV141" si="918">RM113</f>
        <v>46114</v>
      </c>
      <c r="RW113" s="56"/>
      <c r="RX113" s="242">
        <f>SUMPRODUCT(PRODUCE!$B122:$DY122,PRODUCE!$EB$57:$IY$57)</f>
        <v>0</v>
      </c>
      <c r="RY113" s="56"/>
      <c r="RZ113" s="242">
        <f t="shared" ref="RZ113:RZ141" si="919">RX113-RY113</f>
        <v>0</v>
      </c>
      <c r="SA113" s="242">
        <f t="shared" ref="SA113:SA141" si="920">SA112+RW113-RY113</f>
        <v>0</v>
      </c>
      <c r="SB113" s="56"/>
      <c r="SE113" s="55">
        <f t="shared" ref="SE113:SE141" si="921">RV113</f>
        <v>46114</v>
      </c>
      <c r="SF113" s="56"/>
      <c r="SG113" s="242">
        <f>SUMPRODUCT(PRODUCE!$B122:$DY122,PRODUCE!$EB$57:$IY$57)</f>
        <v>0</v>
      </c>
      <c r="SH113" s="56"/>
      <c r="SI113" s="242">
        <f t="shared" ref="SI113:SI141" si="922">SG113-SH113</f>
        <v>0</v>
      </c>
      <c r="SJ113" s="242">
        <f t="shared" ref="SJ113:SJ141" si="923">SJ112+SF113-SH113</f>
        <v>0</v>
      </c>
      <c r="SK113" s="56"/>
      <c r="SN113" s="55">
        <f t="shared" ref="SN113:SN141" si="924">SE113</f>
        <v>46114</v>
      </c>
      <c r="SO113" s="56"/>
      <c r="SP113" s="242">
        <f>SUMPRODUCT(PRODUCE!$B122:$DY122,PRODUCE!$EB$57:$IY$57)</f>
        <v>0</v>
      </c>
      <c r="SQ113" s="56"/>
      <c r="SR113" s="242">
        <f t="shared" ref="SR113:SR141" si="925">SP113-SQ113</f>
        <v>0</v>
      </c>
      <c r="SS113" s="242">
        <f t="shared" ref="SS113:SS141" si="926">SS112+SO113-SQ113</f>
        <v>0</v>
      </c>
      <c r="ST113" s="56"/>
      <c r="SW113" s="55">
        <f t="shared" ref="SW113:SW141" si="927">SN113</f>
        <v>46114</v>
      </c>
      <c r="SX113" s="56"/>
      <c r="SY113" s="242">
        <f>SUMPRODUCT(PRODUCE!$B122:$DY122,PRODUCE!$EB$57:$IY$57)</f>
        <v>0</v>
      </c>
      <c r="SZ113" s="56"/>
      <c r="TA113" s="242">
        <f t="shared" ref="TA113:TA141" si="928">SY113-SZ113</f>
        <v>0</v>
      </c>
      <c r="TB113" s="242">
        <f t="shared" ref="TB113:TB141" si="929">TB112+SX113-SZ113</f>
        <v>0</v>
      </c>
      <c r="TC113" s="56"/>
      <c r="TF113" s="55">
        <f t="shared" ref="TF113:TF141" si="930">SW113</f>
        <v>46114</v>
      </c>
      <c r="TG113" s="56"/>
      <c r="TH113" s="242">
        <f>SUMPRODUCT(PRODUCE!$B122:$DY122,PRODUCE!$EB$57:$IY$57)</f>
        <v>0</v>
      </c>
      <c r="TI113" s="56"/>
      <c r="TJ113" s="242">
        <f t="shared" ref="TJ113:TJ141" si="931">TH113-TI113</f>
        <v>0</v>
      </c>
      <c r="TK113" s="242">
        <f t="shared" ref="TK113:TK141" si="932">TK112+TG113-TI113</f>
        <v>0</v>
      </c>
      <c r="TL113" s="56"/>
      <c r="TO113" s="55">
        <f t="shared" ref="TO113:TO141" si="933">TF113</f>
        <v>46114</v>
      </c>
      <c r="TP113" s="56"/>
      <c r="TQ113" s="242">
        <f>SUMPRODUCT(PRODUCE!$B122:$DY122,PRODUCE!$EB$57:$IY$57)</f>
        <v>0</v>
      </c>
      <c r="TR113" s="56"/>
      <c r="TS113" s="242">
        <f t="shared" ref="TS113:TS141" si="934">TQ113-TR113</f>
        <v>0</v>
      </c>
      <c r="TT113" s="242">
        <f t="shared" ref="TT113:TT141" si="935">TT112+TP113-TR113</f>
        <v>0</v>
      </c>
      <c r="TU113" s="56"/>
      <c r="TX113" s="55">
        <f t="shared" ref="TX113:TX141" si="936">TO113</f>
        <v>46114</v>
      </c>
      <c r="TY113" s="56"/>
      <c r="TZ113" s="242">
        <f>SUMPRODUCT(PRODUCE!$B122:$DY122,PRODUCE!$EB$57:$IY$57)</f>
        <v>0</v>
      </c>
      <c r="UA113" s="56"/>
      <c r="UB113" s="242">
        <f t="shared" ref="UB113:UB141" si="937">TZ113-UA113</f>
        <v>0</v>
      </c>
      <c r="UC113" s="242">
        <f t="shared" ref="UC113:UC141" si="938">UC112+TY113-UA113</f>
        <v>0</v>
      </c>
      <c r="UD113" s="56"/>
      <c r="UG113" s="55">
        <f t="shared" ref="UG113:UG141" si="939">TX113</f>
        <v>46114</v>
      </c>
      <c r="UH113" s="56"/>
      <c r="UI113" s="242">
        <f>SUMPRODUCT(PRODUCE!$B122:$DY122,PRODUCE!$EB$57:$IY$57)</f>
        <v>0</v>
      </c>
      <c r="UJ113" s="56"/>
      <c r="UK113" s="242">
        <f t="shared" ref="UK113:UK141" si="940">UI113-UJ113</f>
        <v>0</v>
      </c>
      <c r="UL113" s="242">
        <f t="shared" ref="UL113:UL141" si="941">UL112+UH113-UJ113</f>
        <v>0</v>
      </c>
      <c r="UM113" s="56"/>
      <c r="UP113" s="55">
        <f t="shared" ref="UP113:UP141" si="942">UG113</f>
        <v>46114</v>
      </c>
      <c r="UQ113" s="56"/>
      <c r="UR113" s="242">
        <f>SUMPRODUCT(PRODUCE!$B122:$DY122,PRODUCE!$EB$57:$IY$57)</f>
        <v>0</v>
      </c>
      <c r="US113" s="56"/>
      <c r="UT113" s="242">
        <f t="shared" ref="UT113:UT141" si="943">UR113-US113</f>
        <v>0</v>
      </c>
      <c r="UU113" s="242">
        <f t="shared" ref="UU113:UU141" si="944">UU112+UQ113-US113</f>
        <v>0</v>
      </c>
      <c r="UV113" s="56"/>
      <c r="UY113" s="55">
        <f t="shared" ref="UY113:UY141" si="945">UP113</f>
        <v>46114</v>
      </c>
      <c r="UZ113" s="56"/>
      <c r="VA113" s="242">
        <f>SUMPRODUCT(PRODUCE!$B122:$DY122,PRODUCE!$EB$57:$IY$57)</f>
        <v>0</v>
      </c>
      <c r="VB113" s="56"/>
      <c r="VC113" s="242">
        <f t="shared" ref="VC113:VC141" si="946">VA113-VB113</f>
        <v>0</v>
      </c>
      <c r="VD113" s="242">
        <f t="shared" ref="VD113:VD141" si="947">VD112+UZ113-VB113</f>
        <v>41.600000000000023</v>
      </c>
      <c r="VE113" s="56"/>
      <c r="VH113" s="55">
        <f t="shared" ref="VH113:VH141" si="948">UY113</f>
        <v>46114</v>
      </c>
      <c r="VI113" s="56"/>
      <c r="VJ113" s="242">
        <f>SUMPRODUCT(PRODUCE!$B122:$DY122,PRODUCE!$EB$57:$IY$57)</f>
        <v>0</v>
      </c>
      <c r="VK113" s="56"/>
      <c r="VL113" s="242">
        <f t="shared" ref="VL113:VL141" si="949">VJ113-VK113</f>
        <v>0</v>
      </c>
      <c r="VM113" s="242">
        <f t="shared" ref="VM113:VM141" si="950">VM112+VI113-VK113</f>
        <v>0</v>
      </c>
      <c r="VN113" s="56"/>
      <c r="VQ113" s="55">
        <f t="shared" ref="VQ113:VQ141" si="951">VH113</f>
        <v>46114</v>
      </c>
      <c r="VR113" s="56"/>
      <c r="VS113" s="242">
        <f>SUMPRODUCT(PRODUCE!$B122:$DY122,PRODUCE!$EB$57:$IY$57)</f>
        <v>0</v>
      </c>
      <c r="VT113" s="56"/>
      <c r="VU113" s="242">
        <f t="shared" ref="VU113:VU141" si="952">VS113-VT113</f>
        <v>0</v>
      </c>
      <c r="VV113" s="242">
        <f t="shared" ref="VV113:VV141" si="953">VV112+VR113-VT113</f>
        <v>0</v>
      </c>
      <c r="VW113" s="56"/>
      <c r="VZ113" s="55">
        <f t="shared" ref="VZ113:VZ141" si="954">VQ113</f>
        <v>46114</v>
      </c>
      <c r="WA113" s="56"/>
      <c r="WB113" s="242">
        <f>SUMPRODUCT(PRODUCE!$B122:$DY122,PRODUCE!$EB$57:$IY$57)</f>
        <v>0</v>
      </c>
      <c r="WC113" s="56"/>
      <c r="WD113" s="242">
        <f t="shared" ref="WD113:WD141" si="955">WB113-WC113</f>
        <v>0</v>
      </c>
      <c r="WE113" s="242">
        <f t="shared" ref="WE113:WE141" si="956">WE112+WA113-WC113</f>
        <v>0</v>
      </c>
      <c r="WF113" s="56"/>
      <c r="WI113" s="55">
        <f t="shared" ref="WI113:WI141" si="957">VZ113</f>
        <v>46114</v>
      </c>
      <c r="WJ113" s="56"/>
      <c r="WK113" s="242">
        <f>SUMPRODUCT(PRODUCE!$B122:$DY122,PRODUCE!$EB$57:$IY$57)</f>
        <v>0</v>
      </c>
      <c r="WL113" s="56"/>
      <c r="WM113" s="242">
        <f t="shared" ref="WM113:WM141" si="958">WK113-WL113</f>
        <v>0</v>
      </c>
      <c r="WN113" s="242">
        <f t="shared" ref="WN113:WN141" si="959">WN112+WJ113-WL113</f>
        <v>3889</v>
      </c>
      <c r="WO113" s="56"/>
      <c r="WR113" s="55">
        <f t="shared" ref="WR113:WR141" si="960">WI113</f>
        <v>46114</v>
      </c>
      <c r="WS113" s="56"/>
      <c r="WT113" s="242">
        <f>SUMPRODUCT(PRODUCE!$B122:$DY122,PRODUCE!$EB$57:$IY$57)</f>
        <v>0</v>
      </c>
      <c r="WU113" s="56"/>
      <c r="WV113" s="242">
        <f t="shared" ref="WV113:WV141" si="961">WT113-WU113</f>
        <v>0</v>
      </c>
      <c r="WW113" s="242">
        <f t="shared" ref="WW113:WW141" si="962">WW112+WS113-WU113</f>
        <v>0</v>
      </c>
      <c r="WX113" s="56"/>
      <c r="XA113" s="55">
        <f t="shared" ref="XA113:XA141" si="963">WR113</f>
        <v>46114</v>
      </c>
      <c r="XB113" s="56">
        <v>8519</v>
      </c>
      <c r="XC113" s="242">
        <f>SUMPRODUCT(PRODUCE!$B122:$DY122,PRODUCE!$EB$57:$IY$57)</f>
        <v>0</v>
      </c>
      <c r="XD113" s="56"/>
      <c r="XE113" s="242">
        <f t="shared" ref="XE113:XE141" si="964">XC113-XD113</f>
        <v>0</v>
      </c>
      <c r="XF113" s="242">
        <f t="shared" ref="XF113:XF141" si="965">XF112+XB113-XD113</f>
        <v>14868</v>
      </c>
      <c r="XG113" s="56"/>
      <c r="XJ113" s="55">
        <f t="shared" ref="XJ113:XJ141" si="966">XA113</f>
        <v>46114</v>
      </c>
      <c r="XK113" s="56">
        <v>2000</v>
      </c>
      <c r="XL113" s="242">
        <f>SUMPRODUCT(PRODUCE!$B122:$DY122,PRODUCE!$EB$57:$IY$57)</f>
        <v>0</v>
      </c>
      <c r="XM113" s="56"/>
      <c r="XN113" s="242">
        <f t="shared" ref="XN113:XN141" si="967">XL113-XM113</f>
        <v>0</v>
      </c>
      <c r="XO113" s="242">
        <f t="shared" ref="XO113:XO141" si="968">XO112+XK113-XM113</f>
        <v>7590</v>
      </c>
      <c r="XP113" s="56"/>
      <c r="XS113" s="55">
        <f t="shared" ref="XS113:XS141" si="969">XJ113</f>
        <v>46114</v>
      </c>
      <c r="XT113" s="56"/>
      <c r="XU113" s="242">
        <f>SUMPRODUCT(PRODUCE!$B122:$DY122,PRODUCE!$EB$57:$IY$57)</f>
        <v>0</v>
      </c>
      <c r="XV113" s="56"/>
      <c r="XW113" s="242">
        <f t="shared" ref="XW113:XW141" si="970">XU113-XV113</f>
        <v>0</v>
      </c>
      <c r="XX113" s="242">
        <f t="shared" ref="XX113:XX141" si="971">XX112+XT113-XV113</f>
        <v>1901</v>
      </c>
      <c r="XY113" s="56"/>
      <c r="YB113" s="55">
        <f t="shared" ref="YB113:YB141" si="972">XS113</f>
        <v>46114</v>
      </c>
      <c r="YC113" s="56"/>
      <c r="YD113" s="242">
        <f>SUMPRODUCT(PRODUCE!$B122:$DY122,PRODUCE!$EB$57:$IY$57)</f>
        <v>0</v>
      </c>
      <c r="YE113" s="56"/>
      <c r="YF113" s="242">
        <f t="shared" ref="YF113:YF141" si="973">YD113-YE113</f>
        <v>0</v>
      </c>
      <c r="YG113" s="242">
        <f t="shared" ref="YG113:YG141" si="974">YG112+YC113-YE113</f>
        <v>6459</v>
      </c>
      <c r="YH113" s="56"/>
      <c r="YK113" s="55">
        <f t="shared" ref="YK113:YK141" si="975">YB113</f>
        <v>46114</v>
      </c>
      <c r="YL113" s="56"/>
      <c r="YM113" s="242">
        <f>SUMPRODUCT(PRODUCE!$B122:$DY122,PRODUCE!$EB$57:$IY$57)</f>
        <v>0</v>
      </c>
      <c r="YN113" s="56"/>
      <c r="YO113" s="242">
        <f t="shared" ref="YO113:YO141" si="976">YM113-YN113</f>
        <v>0</v>
      </c>
      <c r="YP113" s="242">
        <f t="shared" ref="YP113:YP141" si="977">YP112+YL113-YN113</f>
        <v>0</v>
      </c>
      <c r="YQ113" s="56"/>
      <c r="YT113" s="55">
        <f t="shared" ref="YT113:YT141" si="978">YK113</f>
        <v>46114</v>
      </c>
      <c r="YU113" s="56"/>
      <c r="YV113" s="242">
        <f>SUMPRODUCT(PRODUCE!$B122:$DY122,PRODUCE!$EB$57:$IY$57)</f>
        <v>0</v>
      </c>
      <c r="YW113" s="56"/>
      <c r="YX113" s="242">
        <f t="shared" ref="YX113:YX141" si="979">YV113-YW113</f>
        <v>0</v>
      </c>
      <c r="YY113" s="242">
        <f t="shared" ref="YY113:YY141" si="980">YY112+YU113-YW113</f>
        <v>0</v>
      </c>
      <c r="YZ113" s="56"/>
      <c r="ZC113" s="55">
        <f t="shared" ref="ZC113:ZC141" si="981">YT113</f>
        <v>46114</v>
      </c>
      <c r="ZD113" s="56"/>
      <c r="ZE113" s="242">
        <f>SUMPRODUCT(PRODUCE!$B122:$DY122,PRODUCE!$EB$57:$IY$57)</f>
        <v>0</v>
      </c>
      <c r="ZF113" s="56"/>
      <c r="ZG113" s="242">
        <f t="shared" ref="ZG113:ZG141" si="982">ZE113-ZF113</f>
        <v>0</v>
      </c>
      <c r="ZH113" s="242">
        <f t="shared" ref="ZH113:ZH141" si="983">ZH112+ZD113-ZF113</f>
        <v>0</v>
      </c>
      <c r="ZI113" s="56"/>
      <c r="ZL113" s="55">
        <f t="shared" ref="ZL113:ZL141" si="984">ZC113</f>
        <v>46114</v>
      </c>
      <c r="ZM113" s="56"/>
      <c r="ZN113" s="242">
        <f>SUMPRODUCT(PRODUCE!$B122:$DY122,PRODUCE!$EB$57:$IY$57)</f>
        <v>0</v>
      </c>
      <c r="ZO113" s="56"/>
      <c r="ZP113" s="242">
        <f t="shared" ref="ZP113:ZP141" si="985">ZN113-ZO113</f>
        <v>0</v>
      </c>
      <c r="ZQ113" s="242">
        <f t="shared" ref="ZQ113:ZQ141" si="986">ZQ112+ZM113-ZO113</f>
        <v>0</v>
      </c>
      <c r="ZR113" s="56"/>
      <c r="ZU113" s="55">
        <f t="shared" ref="ZU113:ZU141" si="987">ZL113</f>
        <v>46114</v>
      </c>
      <c r="ZV113" s="56"/>
      <c r="ZW113" s="242">
        <f>SUMPRODUCT(PRODUCE!$B122:$DY122,PRODUCE!$EB$57:$IY$57)</f>
        <v>0</v>
      </c>
      <c r="ZX113" s="56"/>
      <c r="ZY113" s="242">
        <f t="shared" ref="ZY113:ZY141" si="988">ZW113-ZX113</f>
        <v>0</v>
      </c>
      <c r="ZZ113" s="242">
        <f t="shared" ref="ZZ113:ZZ141" si="989">ZZ112+ZV113-ZX113</f>
        <v>0</v>
      </c>
      <c r="AAA113" s="56"/>
      <c r="AAD113" s="55">
        <f t="shared" ref="AAD113:AAD141" si="990">ZU113</f>
        <v>46114</v>
      </c>
      <c r="AAE113" s="56"/>
      <c r="AAF113" s="242">
        <f>SUMPRODUCT(PRODUCE!$B122:$DY122,PRODUCE!$EB$57:$IY$57)</f>
        <v>0</v>
      </c>
      <c r="AAG113" s="56"/>
      <c r="AAH113" s="242">
        <f t="shared" ref="AAH113:AAH141" si="991">AAF113-AAG113</f>
        <v>0</v>
      </c>
      <c r="AAI113" s="242">
        <f t="shared" ref="AAI113:AAI141" si="992">AAI112+AAE113-AAG113</f>
        <v>0</v>
      </c>
      <c r="AAJ113" s="56"/>
      <c r="AAM113" s="55">
        <f t="shared" ref="AAM113:AAM141" si="993">AAD113</f>
        <v>46114</v>
      </c>
      <c r="AAN113" s="56"/>
      <c r="AAO113" s="242">
        <f>SUMPRODUCT(PRODUCE!$B122:$DY122,PRODUCE!$EB$57:$IY$57)</f>
        <v>0</v>
      </c>
      <c r="AAP113" s="56"/>
      <c r="AAQ113" s="242">
        <f t="shared" ref="AAQ113:AAQ141" si="994">AAO113-AAP113</f>
        <v>0</v>
      </c>
      <c r="AAR113" s="242">
        <f t="shared" ref="AAR113:AAR141" si="995">AAR112+AAN113-AAP113</f>
        <v>0</v>
      </c>
      <c r="AAS113" s="56"/>
      <c r="AAV113" s="55">
        <f t="shared" ref="AAV113:AAV141" si="996">AAM113</f>
        <v>46114</v>
      </c>
      <c r="AAW113" s="56"/>
      <c r="AAX113" s="242">
        <f>SUMPRODUCT(PRODUCE!$B122:$DY122,PRODUCE!$EB$57:$IY$57)</f>
        <v>0</v>
      </c>
      <c r="AAY113" s="56"/>
      <c r="AAZ113" s="242">
        <f t="shared" ref="AAZ113:AAZ141" si="997">AAX113-AAY113</f>
        <v>0</v>
      </c>
      <c r="ABA113" s="242">
        <f t="shared" ref="ABA113:ABA141" si="998">ABA112+AAW113-AAY113</f>
        <v>0</v>
      </c>
      <c r="ABB113" s="56"/>
      <c r="ABE113" s="55">
        <f t="shared" ref="ABE113:ABE141" si="999">AAV113</f>
        <v>46114</v>
      </c>
      <c r="ABF113" s="56"/>
      <c r="ABG113" s="242">
        <f>SUMPRODUCT(PRODUCE!$B122:$DY122,PRODUCE!$EB$57:$IY$57)</f>
        <v>0</v>
      </c>
      <c r="ABH113" s="56"/>
      <c r="ABI113" s="242">
        <f t="shared" ref="ABI113:ABI141" si="1000">ABG113-ABH113</f>
        <v>0</v>
      </c>
      <c r="ABJ113" s="242">
        <f t="shared" ref="ABJ113:ABJ141" si="1001">ABJ112+ABF113-ABH113</f>
        <v>0</v>
      </c>
      <c r="ABK113" s="56"/>
    </row>
    <row r="114" spans="2:739" s="54" customFormat="1" ht="15" customHeight="1" outlineLevel="1">
      <c r="B114" s="478">
        <f>20+30+76</f>
        <v>126</v>
      </c>
      <c r="C114" s="55">
        <v>46115</v>
      </c>
      <c r="D114" s="422">
        <v>27490</v>
      </c>
      <c r="E114" s="423">
        <f>SUMPRODUCT(PRODUCE!$B123:$DY123,PRODUCE!$EB$7:$IY$7)</f>
        <v>65765.099999999991</v>
      </c>
      <c r="F114" s="422">
        <v>65767.399999999994</v>
      </c>
      <c r="G114" s="423">
        <f t="shared" ref="G114:G141" si="1002">E114-F114</f>
        <v>-2.3000000000029104</v>
      </c>
      <c r="H114" s="423">
        <f t="shared" ref="H114:H141" si="1003">H113+D114-F114</f>
        <v>69031.399999999965</v>
      </c>
      <c r="I114" s="289" t="s">
        <v>238</v>
      </c>
      <c r="L114" s="55">
        <f t="shared" si="759"/>
        <v>46115</v>
      </c>
      <c r="M114" s="422">
        <v>28250</v>
      </c>
      <c r="N114" s="438">
        <f>SUMPRODUCT(PRODUCE!$B123:$DY123,PRODUCE!$EB$8:$IY$8)</f>
        <v>35045</v>
      </c>
      <c r="O114" s="422">
        <v>35041</v>
      </c>
      <c r="P114" s="438">
        <f t="shared" si="760"/>
        <v>4</v>
      </c>
      <c r="Q114" s="438">
        <f t="shared" si="761"/>
        <v>27167.600000000086</v>
      </c>
      <c r="R114" s="56"/>
      <c r="U114" s="55">
        <f t="shared" si="762"/>
        <v>46115</v>
      </c>
      <c r="V114" s="422"/>
      <c r="W114" s="440">
        <f>SUMPRODUCT(PRODUCE!$B123:$DY123,PRODUCE!$EB$9:$IY$9)</f>
        <v>6075</v>
      </c>
      <c r="X114" s="422">
        <v>6077.2</v>
      </c>
      <c r="Y114" s="440">
        <f t="shared" si="763"/>
        <v>-2.1999999999998181</v>
      </c>
      <c r="Z114" s="440">
        <f t="shared" si="764"/>
        <v>12610.599999999969</v>
      </c>
      <c r="AA114" s="56"/>
      <c r="AD114" s="55">
        <f t="shared" si="765"/>
        <v>46115</v>
      </c>
      <c r="AE114" s="422"/>
      <c r="AF114" s="442">
        <f>SUMPRODUCT(PRODUCE!$B123:$DY123,PRODUCE!$EB$10:$IY$10)</f>
        <v>4450</v>
      </c>
      <c r="AG114" s="422">
        <v>4452.3</v>
      </c>
      <c r="AH114" s="442">
        <f t="shared" si="766"/>
        <v>-2.3000000000001819</v>
      </c>
      <c r="AI114" s="442">
        <f t="shared" si="767"/>
        <v>49219.700000000019</v>
      </c>
      <c r="AJ114" s="56"/>
      <c r="AM114" s="55">
        <f t="shared" si="768"/>
        <v>46115</v>
      </c>
      <c r="AN114" s="422"/>
      <c r="AO114" s="444">
        <f>SUMPRODUCT(PRODUCE!$B123:$DY123,PRODUCE!$EB$11:$IY$11)</f>
        <v>0</v>
      </c>
      <c r="AP114" s="422"/>
      <c r="AQ114" s="444">
        <f t="shared" si="769"/>
        <v>0</v>
      </c>
      <c r="AR114" s="444">
        <f t="shared" si="770"/>
        <v>0</v>
      </c>
      <c r="AS114" s="56"/>
      <c r="AV114" s="55">
        <f t="shared" si="771"/>
        <v>46115</v>
      </c>
      <c r="AW114" s="422"/>
      <c r="AX114" s="446">
        <f>SUMPRODUCT(PRODUCE!$B123:$DY123,PRODUCE!$EB$12:$IY$12)</f>
        <v>1520</v>
      </c>
      <c r="AY114" s="422">
        <v>1518.4</v>
      </c>
      <c r="AZ114" s="446">
        <f t="shared" si="772"/>
        <v>1.5999999999999091</v>
      </c>
      <c r="BA114" s="446">
        <f t="shared" si="773"/>
        <v>15368.29999999999</v>
      </c>
      <c r="BB114" s="56"/>
      <c r="BE114" s="55">
        <f t="shared" si="774"/>
        <v>46115</v>
      </c>
      <c r="BF114" s="422">
        <v>28160</v>
      </c>
      <c r="BG114" s="448">
        <f>SUMPRODUCT(PRODUCE!$B123:$DY123,PRODUCE!$EB$13:$IY$13)</f>
        <v>2100</v>
      </c>
      <c r="BH114" s="422">
        <v>2104.6</v>
      </c>
      <c r="BI114" s="448">
        <f t="shared" si="775"/>
        <v>-4.5999999999999091</v>
      </c>
      <c r="BJ114" s="448">
        <f t="shared" si="776"/>
        <v>25498.000000000004</v>
      </c>
      <c r="BK114" s="56"/>
      <c r="BN114" s="55">
        <f t="shared" si="777"/>
        <v>46115</v>
      </c>
      <c r="BO114" s="422">
        <v>2520</v>
      </c>
      <c r="BP114" s="450">
        <f>SUMPRODUCT(PRODUCE!$B123:$DY123,PRODUCE!$EB$14:$IY$14)</f>
        <v>2520</v>
      </c>
      <c r="BQ114" s="422">
        <v>2520</v>
      </c>
      <c r="BR114" s="450">
        <f t="shared" si="778"/>
        <v>0</v>
      </c>
      <c r="BS114" s="450">
        <f t="shared" si="779"/>
        <v>0</v>
      </c>
      <c r="BT114" s="56"/>
      <c r="BW114" s="55">
        <f t="shared" si="780"/>
        <v>46115</v>
      </c>
      <c r="BX114" s="56"/>
      <c r="BY114" s="65">
        <f>SUMPRODUCT(PRODUCE!$B123:$DY123,PRODUCE!$EB$15:$IY$15)</f>
        <v>503.5</v>
      </c>
      <c r="BZ114" s="56"/>
      <c r="CA114" s="65">
        <f t="shared" si="781"/>
        <v>503.5</v>
      </c>
      <c r="CB114" s="65">
        <f t="shared" si="782"/>
        <v>11812.9</v>
      </c>
      <c r="CC114" s="56"/>
      <c r="CF114" s="55">
        <f t="shared" si="783"/>
        <v>46115</v>
      </c>
      <c r="CG114" s="56"/>
      <c r="CH114" s="66">
        <f>SUMPRODUCT(PRODUCE!$B123:$DY123,PRODUCE!$EB$16:$IY$16)</f>
        <v>568.4</v>
      </c>
      <c r="CI114" s="56"/>
      <c r="CJ114" s="66">
        <f t="shared" si="784"/>
        <v>568.4</v>
      </c>
      <c r="CK114" s="66">
        <f t="shared" si="785"/>
        <v>0</v>
      </c>
      <c r="CL114" s="56"/>
      <c r="CO114" s="55">
        <f t="shared" si="786"/>
        <v>46115</v>
      </c>
      <c r="CP114" s="422"/>
      <c r="CQ114" s="470">
        <f>SUMPRODUCT(PRODUCE!$B123:$DY123,PRODUCE!$EB$17:$IY$17)</f>
        <v>0</v>
      </c>
      <c r="CR114" s="422"/>
      <c r="CS114" s="470">
        <f t="shared" si="787"/>
        <v>0</v>
      </c>
      <c r="CT114" s="470">
        <f t="shared" si="788"/>
        <v>0</v>
      </c>
      <c r="CU114" s="56"/>
      <c r="CX114" s="55">
        <f t="shared" si="789"/>
        <v>46115</v>
      </c>
      <c r="CY114" s="56">
        <v>10240</v>
      </c>
      <c r="CZ114" s="133">
        <f>SUMPRODUCT(PRODUCE!$B123:$DY123,PRODUCE!$EB$18:$IY$18)</f>
        <v>2500</v>
      </c>
      <c r="DA114" s="56">
        <v>2500.6</v>
      </c>
      <c r="DB114" s="133">
        <f t="shared" si="790"/>
        <v>-0.59999999999990905</v>
      </c>
      <c r="DC114" s="133">
        <f t="shared" si="791"/>
        <v>38937.9</v>
      </c>
      <c r="DD114" s="56"/>
      <c r="DG114" s="55">
        <f t="shared" si="792"/>
        <v>46115</v>
      </c>
      <c r="DH114" s="56"/>
      <c r="DI114" s="147">
        <f>SUMPRODUCT(PRODUCE!$B123:$DY123,PRODUCE!$EB$19:$IY$19)</f>
        <v>2000</v>
      </c>
      <c r="DJ114" s="56">
        <v>2001</v>
      </c>
      <c r="DK114" s="147">
        <f t="shared" si="793"/>
        <v>-1</v>
      </c>
      <c r="DL114" s="147">
        <f t="shared" si="794"/>
        <v>4588.9999999999945</v>
      </c>
      <c r="DM114" s="56"/>
      <c r="DP114" s="55">
        <f t="shared" si="795"/>
        <v>46115</v>
      </c>
      <c r="DQ114" s="56"/>
      <c r="DR114" s="57">
        <f>SUMPRODUCT(PRODUCE!$B123:$DY123,PRODUCE!$EB$20:$IY$20)</f>
        <v>0</v>
      </c>
      <c r="DS114" s="56"/>
      <c r="DT114" s="57">
        <f t="shared" si="796"/>
        <v>0</v>
      </c>
      <c r="DU114" s="57">
        <f t="shared" si="797"/>
        <v>7150</v>
      </c>
      <c r="DV114" s="56"/>
      <c r="DY114" s="55">
        <f t="shared" si="798"/>
        <v>46115</v>
      </c>
      <c r="DZ114" s="56"/>
      <c r="EA114" s="157">
        <f>SUMPRODUCT(PRODUCE!$B123:$DY123,PRODUCE!$EB$21:$IY$21)</f>
        <v>0</v>
      </c>
      <c r="EB114" s="56"/>
      <c r="EC114" s="157">
        <f t="shared" si="799"/>
        <v>0</v>
      </c>
      <c r="ED114" s="157">
        <f t="shared" si="800"/>
        <v>1347.3000000000002</v>
      </c>
      <c r="EE114" s="56"/>
      <c r="EH114" s="55">
        <f t="shared" si="801"/>
        <v>46115</v>
      </c>
      <c r="EI114" s="56"/>
      <c r="EJ114" s="162">
        <f>SUMPRODUCT(PRODUCE!$B123:$DY123,PRODUCE!$EB$22:$IY$22)</f>
        <v>0</v>
      </c>
      <c r="EK114" s="56"/>
      <c r="EL114" s="162">
        <f t="shared" si="802"/>
        <v>0</v>
      </c>
      <c r="EM114" s="162">
        <f t="shared" si="803"/>
        <v>0</v>
      </c>
      <c r="EN114" s="56"/>
      <c r="EQ114" s="55">
        <f t="shared" si="804"/>
        <v>46115</v>
      </c>
      <c r="ER114" s="56"/>
      <c r="ES114" s="135">
        <f>SUMPRODUCT(PRODUCE!$B123:$DY123,PRODUCE!$EB$23:$IY$23)</f>
        <v>0</v>
      </c>
      <c r="ET114" s="56"/>
      <c r="EU114" s="135">
        <f t="shared" si="805"/>
        <v>0</v>
      </c>
      <c r="EV114" s="135">
        <f t="shared" si="806"/>
        <v>0</v>
      </c>
      <c r="EW114" s="56"/>
      <c r="EZ114" s="55">
        <f t="shared" si="807"/>
        <v>46115</v>
      </c>
      <c r="FA114" s="56"/>
      <c r="FB114" s="175">
        <f>SUMPRODUCT(PRODUCE!$B123:$DY123,PRODUCE!$EB$24:$IY$24)</f>
        <v>0</v>
      </c>
      <c r="FC114" s="56"/>
      <c r="FD114" s="175">
        <f t="shared" si="808"/>
        <v>0</v>
      </c>
      <c r="FE114" s="175">
        <f t="shared" si="809"/>
        <v>0</v>
      </c>
      <c r="FF114" s="56"/>
      <c r="FI114" s="55">
        <f t="shared" si="810"/>
        <v>46115</v>
      </c>
      <c r="FJ114" s="56"/>
      <c r="FK114" s="183">
        <f>SUMPRODUCT(PRODUCE!$B123:$DY123,PRODUCE!$EB$25:$IY$25)</f>
        <v>0</v>
      </c>
      <c r="FL114" s="56"/>
      <c r="FM114" s="183">
        <f t="shared" si="811"/>
        <v>0</v>
      </c>
      <c r="FN114" s="183">
        <f t="shared" si="812"/>
        <v>0</v>
      </c>
      <c r="FO114" s="56"/>
      <c r="FR114" s="55">
        <f t="shared" si="813"/>
        <v>46115</v>
      </c>
      <c r="FS114" s="422"/>
      <c r="FT114" s="452">
        <f>SUMPRODUCT(PRODUCE!$B123:$DY123,PRODUCE!$EB$26:$IY$26)</f>
        <v>1520</v>
      </c>
      <c r="FU114" s="422"/>
      <c r="FV114" s="452">
        <f t="shared" si="814"/>
        <v>1520</v>
      </c>
      <c r="FW114" s="452">
        <f t="shared" si="815"/>
        <v>1980</v>
      </c>
      <c r="FX114" s="56"/>
      <c r="GA114" s="55">
        <f t="shared" si="816"/>
        <v>46115</v>
      </c>
      <c r="GB114" s="422">
        <f>200*20</f>
        <v>4000</v>
      </c>
      <c r="GC114" s="454">
        <f>SUMPRODUCT(PRODUCE!$B123:$DY123,PRODUCE!$EB$27:$IY$27)</f>
        <v>0</v>
      </c>
      <c r="GD114" s="422"/>
      <c r="GE114" s="454">
        <f t="shared" si="817"/>
        <v>0</v>
      </c>
      <c r="GF114" s="454">
        <f t="shared" si="818"/>
        <v>6000</v>
      </c>
      <c r="GG114" s="56"/>
      <c r="GI114" s="23"/>
      <c r="GJ114" s="55">
        <f t="shared" si="819"/>
        <v>46115</v>
      </c>
      <c r="GK114" s="422"/>
      <c r="GL114" s="456">
        <f>SUMPRODUCT(PRODUCE!$B123:$DY123,PRODUCE!$EB$28:$IY$28)</f>
        <v>0</v>
      </c>
      <c r="GM114" s="422"/>
      <c r="GN114" s="456">
        <f t="shared" si="820"/>
        <v>0</v>
      </c>
      <c r="GO114" s="456">
        <f t="shared" si="821"/>
        <v>4800</v>
      </c>
      <c r="GP114" s="56"/>
      <c r="GS114" s="55">
        <f t="shared" si="822"/>
        <v>46115</v>
      </c>
      <c r="GT114" s="56"/>
      <c r="GU114" s="195">
        <f>SUMPRODUCT(PRODUCE!$B123:$DY123,PRODUCE!$EB$29:$IY$29)</f>
        <v>0</v>
      </c>
      <c r="GV114" s="56"/>
      <c r="GW114" s="195">
        <f t="shared" si="823"/>
        <v>0</v>
      </c>
      <c r="GX114" s="195">
        <f t="shared" si="824"/>
        <v>0</v>
      </c>
      <c r="GY114" s="56"/>
      <c r="HB114" s="55">
        <f t="shared" si="825"/>
        <v>46115</v>
      </c>
      <c r="HC114" s="56"/>
      <c r="HD114" s="191">
        <f>SUMPRODUCT(PRODUCE!$B123:$DY123,PRODUCE!$EB$30:$IY$30)</f>
        <v>0</v>
      </c>
      <c r="HE114" s="56"/>
      <c r="HF114" s="191">
        <f t="shared" si="826"/>
        <v>0</v>
      </c>
      <c r="HG114" s="191">
        <f t="shared" si="827"/>
        <v>0</v>
      </c>
      <c r="HH114" s="56"/>
      <c r="HK114" s="55">
        <f t="shared" si="828"/>
        <v>46115</v>
      </c>
      <c r="HL114" s="56"/>
      <c r="HM114" s="63">
        <f>SUMPRODUCT(PRODUCE!$B123:$DY123,PRODUCE!$EB$31:$IY$31)</f>
        <v>0</v>
      </c>
      <c r="HN114" s="56"/>
      <c r="HO114" s="63">
        <f t="shared" si="829"/>
        <v>0</v>
      </c>
      <c r="HP114" s="63">
        <f t="shared" si="830"/>
        <v>0</v>
      </c>
      <c r="HQ114" s="56"/>
      <c r="HU114" s="55">
        <f t="shared" si="831"/>
        <v>46115</v>
      </c>
      <c r="HV114" s="56"/>
      <c r="HW114" s="242">
        <f>SUMPRODUCT(PRODUCE!$B123:$DY123,PRODUCE!$EB$32:$IY$32)</f>
        <v>0</v>
      </c>
      <c r="HX114" s="56"/>
      <c r="HY114" s="242">
        <f t="shared" si="832"/>
        <v>0</v>
      </c>
      <c r="HZ114" s="242">
        <f t="shared" si="833"/>
        <v>5120</v>
      </c>
      <c r="IA114" s="56"/>
      <c r="ID114" s="55">
        <f t="shared" si="834"/>
        <v>46115</v>
      </c>
      <c r="IE114" s="56"/>
      <c r="IF114" s="242">
        <f>SUMPRODUCT(PRODUCE!$B123:$DY123,PRODUCE!$EB$33:$IY$33)</f>
        <v>0</v>
      </c>
      <c r="IG114" s="56"/>
      <c r="IH114" s="242">
        <f t="shared" si="835"/>
        <v>0</v>
      </c>
      <c r="II114" s="242">
        <f t="shared" si="836"/>
        <v>6540</v>
      </c>
      <c r="IJ114" s="56"/>
      <c r="IM114" s="55">
        <f t="shared" si="837"/>
        <v>46115</v>
      </c>
      <c r="IN114" s="56"/>
      <c r="IO114" s="242">
        <f>SUMPRODUCT(PRODUCE!$B123:$DY123,PRODUCE!$EB$34:$IY$34)</f>
        <v>0</v>
      </c>
      <c r="IP114" s="56"/>
      <c r="IQ114" s="242">
        <f t="shared" si="838"/>
        <v>0</v>
      </c>
      <c r="IR114" s="242">
        <f t="shared" si="839"/>
        <v>11540</v>
      </c>
      <c r="IS114" s="56"/>
      <c r="IV114" s="55">
        <f t="shared" si="840"/>
        <v>46115</v>
      </c>
      <c r="IW114" s="56"/>
      <c r="IX114" s="242">
        <f>SUMPRODUCT(PRODUCE!$B123:$DY123,PRODUCE!$EB$35:$IY$35)</f>
        <v>0</v>
      </c>
      <c r="IY114" s="56"/>
      <c r="IZ114" s="242">
        <f t="shared" si="841"/>
        <v>0</v>
      </c>
      <c r="JA114" s="242">
        <f t="shared" si="842"/>
        <v>15120</v>
      </c>
      <c r="JB114" s="56"/>
      <c r="JE114" s="55">
        <f t="shared" si="843"/>
        <v>46115</v>
      </c>
      <c r="JF114" s="56"/>
      <c r="JG114" s="242">
        <f>SUMPRODUCT(PRODUCE!$B123:$DY123,PRODUCE!$EB$36:$IY$36)</f>
        <v>0</v>
      </c>
      <c r="JH114" s="56"/>
      <c r="JI114" s="242">
        <f t="shared" si="844"/>
        <v>0</v>
      </c>
      <c r="JJ114" s="242">
        <f t="shared" si="845"/>
        <v>5040</v>
      </c>
      <c r="JK114" s="56"/>
      <c r="JN114" s="55">
        <f t="shared" si="846"/>
        <v>46115</v>
      </c>
      <c r="JO114" s="56"/>
      <c r="JP114" s="242">
        <f>SUMPRODUCT(PRODUCE!$B123:$DY123,PRODUCE!$EB$37:$IY$37)</f>
        <v>0</v>
      </c>
      <c r="JQ114" s="56"/>
      <c r="JR114" s="242">
        <f t="shared" si="847"/>
        <v>0</v>
      </c>
      <c r="JS114" s="242">
        <f t="shared" si="848"/>
        <v>9100</v>
      </c>
      <c r="JT114" s="56"/>
      <c r="JW114" s="55">
        <f t="shared" si="849"/>
        <v>46115</v>
      </c>
      <c r="JX114" s="56"/>
      <c r="JY114" s="242">
        <f>SUMPRODUCT(PRODUCE!$B123:$DY123,PRODUCE!$EB$38:$IY$38)</f>
        <v>0</v>
      </c>
      <c r="JZ114" s="56"/>
      <c r="KA114" s="242">
        <f t="shared" si="850"/>
        <v>0</v>
      </c>
      <c r="KB114" s="242">
        <f t="shared" si="851"/>
        <v>4220</v>
      </c>
      <c r="KC114" s="56"/>
      <c r="KF114" s="55">
        <f t="shared" si="852"/>
        <v>46115</v>
      </c>
      <c r="KG114" s="56"/>
      <c r="KH114" s="242">
        <f>SUMPRODUCT(PRODUCE!$B123:$DY123,PRODUCE!$EB$39:$IY$39)</f>
        <v>975</v>
      </c>
      <c r="KI114" s="56"/>
      <c r="KJ114" s="242">
        <f t="shared" si="853"/>
        <v>975</v>
      </c>
      <c r="KK114" s="242">
        <f t="shared" si="854"/>
        <v>7702.5</v>
      </c>
      <c r="KL114" s="56"/>
      <c r="KO114" s="55">
        <f t="shared" si="855"/>
        <v>46115</v>
      </c>
      <c r="KP114" s="56"/>
      <c r="KQ114" s="242">
        <f>SUMPRODUCT(PRODUCE!$B123:$DY123,PRODUCE!$EB$40:$IY$40)</f>
        <v>0</v>
      </c>
      <c r="KR114" s="56"/>
      <c r="KS114" s="242">
        <f t="shared" si="856"/>
        <v>0</v>
      </c>
      <c r="KT114" s="242">
        <f t="shared" si="857"/>
        <v>6426</v>
      </c>
      <c r="KU114" s="56"/>
      <c r="KW114" s="23"/>
      <c r="KX114" s="55">
        <f t="shared" si="858"/>
        <v>46115</v>
      </c>
      <c r="KY114" s="56"/>
      <c r="KZ114" s="242">
        <f>SUMPRODUCT(PRODUCE!$B123:$DY123,PRODUCE!$EB$41:$IY$41)</f>
        <v>0</v>
      </c>
      <c r="LA114" s="56"/>
      <c r="LB114" s="242">
        <f t="shared" si="859"/>
        <v>0</v>
      </c>
      <c r="LC114" s="242">
        <f t="shared" si="860"/>
        <v>0</v>
      </c>
      <c r="LD114" s="56"/>
      <c r="LG114" s="55">
        <f t="shared" si="861"/>
        <v>46115</v>
      </c>
      <c r="LH114" s="56"/>
      <c r="LI114" s="242">
        <f>SUMPRODUCT(PRODUCE!$B123:$DY123,PRODUCE!$EB$42:$IY$42)</f>
        <v>0</v>
      </c>
      <c r="LJ114" s="56"/>
      <c r="LK114" s="242">
        <f t="shared" si="862"/>
        <v>0</v>
      </c>
      <c r="LL114" s="242">
        <f t="shared" si="863"/>
        <v>0</v>
      </c>
      <c r="LM114" s="56"/>
      <c r="LP114" s="55">
        <f t="shared" si="864"/>
        <v>46115</v>
      </c>
      <c r="LQ114" s="56"/>
      <c r="LR114" s="242">
        <f>SUMPRODUCT(PRODUCE!$B129:$DY129,PRODUCE!$EB$43:$IY$43)</f>
        <v>0</v>
      </c>
      <c r="LS114" s="56"/>
      <c r="LT114" s="242">
        <f t="shared" si="865"/>
        <v>0</v>
      </c>
      <c r="LU114" s="242">
        <f t="shared" si="866"/>
        <v>0</v>
      </c>
      <c r="LV114" s="56"/>
      <c r="LY114" s="55">
        <f t="shared" si="867"/>
        <v>46115</v>
      </c>
      <c r="LZ114" s="56"/>
      <c r="MA114" s="242">
        <f>SUMPRODUCT(PRODUCE!$B123:$DY123,PRODUCE!$EB$44:$IY$44)</f>
        <v>0</v>
      </c>
      <c r="MB114" s="56"/>
      <c r="MC114" s="242">
        <f t="shared" si="868"/>
        <v>0</v>
      </c>
      <c r="MD114" s="242">
        <f t="shared" si="869"/>
        <v>0</v>
      </c>
      <c r="ME114" s="56"/>
      <c r="MH114" s="55">
        <f t="shared" si="870"/>
        <v>46115</v>
      </c>
      <c r="MI114" s="56"/>
      <c r="MJ114" s="242">
        <f>SUMPRODUCT(PRODUCE!$B123:$DY123,PRODUCE!$EB$45:$IY$45)</f>
        <v>0</v>
      </c>
      <c r="MK114" s="56"/>
      <c r="ML114" s="242">
        <f t="shared" si="871"/>
        <v>0</v>
      </c>
      <c r="MM114" s="242">
        <f t="shared" si="872"/>
        <v>0</v>
      </c>
      <c r="MN114" s="56"/>
      <c r="MQ114" s="55">
        <f t="shared" si="873"/>
        <v>46115</v>
      </c>
      <c r="MR114" s="56"/>
      <c r="MS114" s="242">
        <f>SUMPRODUCT(PRODUCE!$B123:$DY123,PRODUCE!$EB$46:$IY$46)</f>
        <v>78</v>
      </c>
      <c r="MT114" s="56"/>
      <c r="MU114" s="242">
        <f t="shared" si="874"/>
        <v>78</v>
      </c>
      <c r="MV114" s="242">
        <f t="shared" si="875"/>
        <v>4195</v>
      </c>
      <c r="MW114" s="56"/>
      <c r="MZ114" s="55">
        <f t="shared" si="876"/>
        <v>46115</v>
      </c>
      <c r="NA114" s="56"/>
      <c r="NB114" s="242">
        <f>SUMPRODUCT(PRODUCE!$B123:$DY123,PRODUCE!$EB$47:$IY$47)</f>
        <v>150</v>
      </c>
      <c r="NC114" s="56"/>
      <c r="ND114" s="242">
        <f t="shared" si="877"/>
        <v>150</v>
      </c>
      <c r="NE114" s="242">
        <f t="shared" si="878"/>
        <v>0</v>
      </c>
      <c r="NF114" s="56"/>
      <c r="NI114" s="55">
        <f t="shared" si="879"/>
        <v>46115</v>
      </c>
      <c r="NJ114" s="56"/>
      <c r="NK114" s="242">
        <f>SUMPRODUCT(PRODUCE!$B123:$DY123,PRODUCE!$EB$48:$IY$48)</f>
        <v>30</v>
      </c>
      <c r="NL114" s="56"/>
      <c r="NM114" s="242">
        <f t="shared" si="880"/>
        <v>30</v>
      </c>
      <c r="NN114" s="242">
        <f t="shared" si="881"/>
        <v>2065</v>
      </c>
      <c r="NO114" s="56"/>
      <c r="NR114" s="55">
        <f t="shared" si="882"/>
        <v>46115</v>
      </c>
      <c r="NS114" s="56"/>
      <c r="NT114" s="242">
        <f>SUMPRODUCT(PRODUCE!$B123:$DY123,PRODUCE!$EB$49:$IY$49)</f>
        <v>60</v>
      </c>
      <c r="NU114" s="56"/>
      <c r="NV114" s="242">
        <f t="shared" si="883"/>
        <v>60</v>
      </c>
      <c r="NW114" s="242">
        <f t="shared" si="884"/>
        <v>4152.5</v>
      </c>
      <c r="NX114" s="56"/>
      <c r="OA114" s="55">
        <f t="shared" si="885"/>
        <v>46115</v>
      </c>
      <c r="OB114" s="56"/>
      <c r="OC114" s="242">
        <f>SUMPRODUCT(PRODUCE!$B123:$DY123,PRODUCE!$EB$50:$IY$50)</f>
        <v>0</v>
      </c>
      <c r="OD114" s="56"/>
      <c r="OE114" s="242">
        <f t="shared" si="886"/>
        <v>0</v>
      </c>
      <c r="OF114" s="242">
        <f t="shared" si="887"/>
        <v>1680.5</v>
      </c>
      <c r="OG114" s="56"/>
      <c r="OJ114" s="55">
        <f t="shared" si="888"/>
        <v>46115</v>
      </c>
      <c r="OK114" s="56"/>
      <c r="OL114" s="242">
        <f>SUMPRODUCT(PRODUCE!$B123:$DY123,PRODUCE!$EB$51:$IY$51)</f>
        <v>139.99999999999997</v>
      </c>
      <c r="OM114" s="56"/>
      <c r="ON114" s="242">
        <f t="shared" si="889"/>
        <v>139.99999999999997</v>
      </c>
      <c r="OO114" s="242">
        <f t="shared" si="890"/>
        <v>0</v>
      </c>
      <c r="OP114" s="56"/>
      <c r="OS114" s="55">
        <f t="shared" si="891"/>
        <v>46115</v>
      </c>
      <c r="OT114" s="56"/>
      <c r="OU114" s="242">
        <f>SUMPRODUCT(PRODUCE!$B123:$DY123,PRODUCE!$EB$52:$IY$52)</f>
        <v>0</v>
      </c>
      <c r="OV114" s="56"/>
      <c r="OW114" s="242">
        <f t="shared" si="892"/>
        <v>0</v>
      </c>
      <c r="OX114" s="242">
        <f t="shared" si="893"/>
        <v>1000</v>
      </c>
      <c r="OY114" s="56"/>
      <c r="PB114" s="55">
        <f t="shared" si="894"/>
        <v>46115</v>
      </c>
      <c r="PC114" s="56"/>
      <c r="PD114" s="242">
        <f>SUMPRODUCT(PRODUCE!$B123:$DY123,PRODUCE!$EB$53:$IY$53)</f>
        <v>0</v>
      </c>
      <c r="PE114" s="56"/>
      <c r="PF114" s="242">
        <f t="shared" si="895"/>
        <v>0</v>
      </c>
      <c r="PG114" s="242">
        <f t="shared" si="896"/>
        <v>0</v>
      </c>
      <c r="PH114" s="56"/>
      <c r="PK114" s="55">
        <f t="shared" si="897"/>
        <v>46115</v>
      </c>
      <c r="PL114" s="56"/>
      <c r="PM114" s="242">
        <f>SUMPRODUCT(PRODUCE!$B123:$DY123,PRODUCE!$EB$54:$IY$54)</f>
        <v>0</v>
      </c>
      <c r="PN114" s="56"/>
      <c r="PO114" s="242">
        <f t="shared" si="898"/>
        <v>0</v>
      </c>
      <c r="PP114" s="242">
        <f t="shared" si="899"/>
        <v>100</v>
      </c>
      <c r="PQ114" s="56"/>
      <c r="PT114" s="55">
        <f t="shared" si="900"/>
        <v>46115</v>
      </c>
      <c r="PU114" s="56"/>
      <c r="PV114" s="242">
        <f>SUMPRODUCT(PRODUCE!$B123:$DY123,PRODUCE!$EB$55:$IY$55)</f>
        <v>0</v>
      </c>
      <c r="PW114" s="56"/>
      <c r="PX114" s="242">
        <f t="shared" si="901"/>
        <v>0</v>
      </c>
      <c r="PY114" s="242">
        <f t="shared" si="902"/>
        <v>13.960000000000036</v>
      </c>
      <c r="PZ114" s="56"/>
      <c r="QC114" s="55">
        <f t="shared" si="903"/>
        <v>46115</v>
      </c>
      <c r="QD114" s="56"/>
      <c r="QE114" s="242">
        <f>SUMPRODUCT(PRODUCE!$B123:$DY123,PRODUCE!$EB$56:$IY$56)</f>
        <v>0</v>
      </c>
      <c r="QF114" s="56"/>
      <c r="QG114" s="242">
        <f t="shared" si="904"/>
        <v>0</v>
      </c>
      <c r="QH114" s="242">
        <f t="shared" si="905"/>
        <v>1212</v>
      </c>
      <c r="QI114" s="56"/>
      <c r="QL114" s="55">
        <f t="shared" si="906"/>
        <v>46115</v>
      </c>
      <c r="QM114" s="56"/>
      <c r="QN114" s="242">
        <f>SUMPRODUCT(PRODUCE!$B123:$DY123,PRODUCE!$EB$57:$IY$57)</f>
        <v>0</v>
      </c>
      <c r="QO114" s="56"/>
      <c r="QP114" s="242">
        <f t="shared" si="907"/>
        <v>0</v>
      </c>
      <c r="QQ114" s="242">
        <f t="shared" si="908"/>
        <v>400</v>
      </c>
      <c r="QR114" s="56"/>
      <c r="QU114" s="55">
        <f t="shared" si="909"/>
        <v>46115</v>
      </c>
      <c r="QV114" s="56"/>
      <c r="QW114" s="242">
        <f>SUMPRODUCT(PRODUCE!$B123:$DY123,PRODUCE!$EB$57:$IY$57)</f>
        <v>0</v>
      </c>
      <c r="QX114" s="56"/>
      <c r="QY114" s="242">
        <f t="shared" si="910"/>
        <v>0</v>
      </c>
      <c r="QZ114" s="242">
        <f t="shared" si="911"/>
        <v>207.6</v>
      </c>
      <c r="RA114" s="56"/>
      <c r="RD114" s="55">
        <f t="shared" si="912"/>
        <v>46115</v>
      </c>
      <c r="RE114" s="56"/>
      <c r="RF114" s="242">
        <f>SUMPRODUCT(PRODUCE!$B123:$DY123,PRODUCE!$EB$58:$IY$58)</f>
        <v>0</v>
      </c>
      <c r="RG114" s="56"/>
      <c r="RH114" s="242">
        <f t="shared" si="913"/>
        <v>0</v>
      </c>
      <c r="RI114" s="242">
        <f t="shared" si="914"/>
        <v>197.04000000000002</v>
      </c>
      <c r="RJ114" s="56"/>
      <c r="RM114" s="55">
        <f t="shared" si="915"/>
        <v>46115</v>
      </c>
      <c r="RN114" s="56"/>
      <c r="RO114" s="242">
        <f>SUMPRODUCT(PRODUCE!$B123:$DY123,PRODUCE!$EB$57:$IY$57)</f>
        <v>0</v>
      </c>
      <c r="RP114" s="56"/>
      <c r="RQ114" s="242">
        <f t="shared" si="916"/>
        <v>0</v>
      </c>
      <c r="RR114" s="242">
        <f t="shared" si="917"/>
        <v>46.8</v>
      </c>
      <c r="RS114" s="56"/>
      <c r="RV114" s="55">
        <f t="shared" si="918"/>
        <v>46115</v>
      </c>
      <c r="RW114" s="56"/>
      <c r="RX114" s="242">
        <f>SUMPRODUCT(PRODUCE!$B123:$DY123,PRODUCE!$EB$57:$IY$57)</f>
        <v>0</v>
      </c>
      <c r="RY114" s="56"/>
      <c r="RZ114" s="242">
        <f t="shared" si="919"/>
        <v>0</v>
      </c>
      <c r="SA114" s="242">
        <f t="shared" si="920"/>
        <v>0</v>
      </c>
      <c r="SB114" s="56"/>
      <c r="SE114" s="55">
        <f t="shared" si="921"/>
        <v>46115</v>
      </c>
      <c r="SF114" s="56"/>
      <c r="SG114" s="242">
        <f>SUMPRODUCT(PRODUCE!$B123:$DY123,PRODUCE!$EB$57:$IY$57)</f>
        <v>0</v>
      </c>
      <c r="SH114" s="56"/>
      <c r="SI114" s="242">
        <f t="shared" si="922"/>
        <v>0</v>
      </c>
      <c r="SJ114" s="242">
        <f t="shared" si="923"/>
        <v>0</v>
      </c>
      <c r="SK114" s="56"/>
      <c r="SN114" s="55">
        <f t="shared" si="924"/>
        <v>46115</v>
      </c>
      <c r="SO114" s="56"/>
      <c r="SP114" s="242">
        <f>SUMPRODUCT(PRODUCE!$B123:$DY123,PRODUCE!$EB$57:$IY$57)</f>
        <v>0</v>
      </c>
      <c r="SQ114" s="56"/>
      <c r="SR114" s="242">
        <f t="shared" si="925"/>
        <v>0</v>
      </c>
      <c r="SS114" s="242">
        <f t="shared" si="926"/>
        <v>0</v>
      </c>
      <c r="ST114" s="56"/>
      <c r="SW114" s="55">
        <f t="shared" si="927"/>
        <v>46115</v>
      </c>
      <c r="SX114" s="56"/>
      <c r="SY114" s="242">
        <f>SUMPRODUCT(PRODUCE!$B123:$DY123,PRODUCE!$EB$57:$IY$57)</f>
        <v>0</v>
      </c>
      <c r="SZ114" s="56"/>
      <c r="TA114" s="242">
        <f t="shared" si="928"/>
        <v>0</v>
      </c>
      <c r="TB114" s="242">
        <f t="shared" si="929"/>
        <v>0</v>
      </c>
      <c r="TC114" s="56"/>
      <c r="TF114" s="55">
        <f t="shared" si="930"/>
        <v>46115</v>
      </c>
      <c r="TG114" s="56"/>
      <c r="TH114" s="242">
        <f>SUMPRODUCT(PRODUCE!$B123:$DY123,PRODUCE!$EB$57:$IY$57)</f>
        <v>0</v>
      </c>
      <c r="TI114" s="56"/>
      <c r="TJ114" s="242">
        <f t="shared" si="931"/>
        <v>0</v>
      </c>
      <c r="TK114" s="242">
        <f t="shared" si="932"/>
        <v>0</v>
      </c>
      <c r="TL114" s="56"/>
      <c r="TO114" s="55">
        <f t="shared" si="933"/>
        <v>46115</v>
      </c>
      <c r="TP114" s="56"/>
      <c r="TQ114" s="242">
        <f>SUMPRODUCT(PRODUCE!$B123:$DY123,PRODUCE!$EB$57:$IY$57)</f>
        <v>0</v>
      </c>
      <c r="TR114" s="56"/>
      <c r="TS114" s="242">
        <f t="shared" si="934"/>
        <v>0</v>
      </c>
      <c r="TT114" s="242">
        <f t="shared" si="935"/>
        <v>0</v>
      </c>
      <c r="TU114" s="56"/>
      <c r="TX114" s="55">
        <f t="shared" si="936"/>
        <v>46115</v>
      </c>
      <c r="TY114" s="56"/>
      <c r="TZ114" s="242">
        <f>SUMPRODUCT(PRODUCE!$B123:$DY123,PRODUCE!$EB$57:$IY$57)</f>
        <v>0</v>
      </c>
      <c r="UA114" s="56"/>
      <c r="UB114" s="242">
        <f t="shared" si="937"/>
        <v>0</v>
      </c>
      <c r="UC114" s="242">
        <f t="shared" si="938"/>
        <v>0</v>
      </c>
      <c r="UD114" s="56"/>
      <c r="UG114" s="55">
        <f t="shared" si="939"/>
        <v>46115</v>
      </c>
      <c r="UH114" s="56"/>
      <c r="UI114" s="242">
        <f>SUMPRODUCT(PRODUCE!$B123:$DY123,PRODUCE!$EB$57:$IY$57)</f>
        <v>0</v>
      </c>
      <c r="UJ114" s="56"/>
      <c r="UK114" s="242">
        <f t="shared" si="940"/>
        <v>0</v>
      </c>
      <c r="UL114" s="242">
        <f t="shared" si="941"/>
        <v>0</v>
      </c>
      <c r="UM114" s="56"/>
      <c r="UP114" s="55">
        <f t="shared" si="942"/>
        <v>46115</v>
      </c>
      <c r="UQ114" s="56"/>
      <c r="UR114" s="242">
        <f>SUMPRODUCT(PRODUCE!$B123:$DY123,PRODUCE!$EB$57:$IY$57)</f>
        <v>0</v>
      </c>
      <c r="US114" s="56"/>
      <c r="UT114" s="242">
        <f t="shared" si="943"/>
        <v>0</v>
      </c>
      <c r="UU114" s="242">
        <f t="shared" si="944"/>
        <v>0</v>
      </c>
      <c r="UV114" s="56"/>
      <c r="UY114" s="55">
        <f t="shared" si="945"/>
        <v>46115</v>
      </c>
      <c r="UZ114" s="56"/>
      <c r="VA114" s="242">
        <f>SUMPRODUCT(PRODUCE!$B123:$DY123,PRODUCE!$EB$57:$IY$57)</f>
        <v>0</v>
      </c>
      <c r="VB114" s="56"/>
      <c r="VC114" s="242">
        <f t="shared" si="946"/>
        <v>0</v>
      </c>
      <c r="VD114" s="242">
        <f t="shared" si="947"/>
        <v>41.600000000000023</v>
      </c>
      <c r="VE114" s="56"/>
      <c r="VH114" s="55">
        <f t="shared" si="948"/>
        <v>46115</v>
      </c>
      <c r="VI114" s="56"/>
      <c r="VJ114" s="242">
        <f>SUMPRODUCT(PRODUCE!$B123:$DY123,PRODUCE!$EB$57:$IY$57)</f>
        <v>0</v>
      </c>
      <c r="VK114" s="56"/>
      <c r="VL114" s="242">
        <f t="shared" si="949"/>
        <v>0</v>
      </c>
      <c r="VM114" s="242">
        <f t="shared" si="950"/>
        <v>0</v>
      </c>
      <c r="VN114" s="56"/>
      <c r="VQ114" s="55">
        <f t="shared" si="951"/>
        <v>46115</v>
      </c>
      <c r="VR114" s="56"/>
      <c r="VS114" s="242">
        <f>SUMPRODUCT(PRODUCE!$B123:$DY123,PRODUCE!$EB$57:$IY$57)</f>
        <v>0</v>
      </c>
      <c r="VT114" s="56"/>
      <c r="VU114" s="242">
        <f t="shared" si="952"/>
        <v>0</v>
      </c>
      <c r="VV114" s="242">
        <f t="shared" si="953"/>
        <v>0</v>
      </c>
      <c r="VW114" s="56"/>
      <c r="VZ114" s="55">
        <f t="shared" si="954"/>
        <v>46115</v>
      </c>
      <c r="WA114" s="56"/>
      <c r="WB114" s="242">
        <f>SUMPRODUCT(PRODUCE!$B123:$DY123,PRODUCE!$EB$57:$IY$57)</f>
        <v>0</v>
      </c>
      <c r="WC114" s="56"/>
      <c r="WD114" s="242">
        <f t="shared" si="955"/>
        <v>0</v>
      </c>
      <c r="WE114" s="242">
        <f t="shared" si="956"/>
        <v>0</v>
      </c>
      <c r="WF114" s="56"/>
      <c r="WI114" s="55">
        <f t="shared" si="957"/>
        <v>46115</v>
      </c>
      <c r="WJ114" s="56"/>
      <c r="WK114" s="242">
        <f>SUMPRODUCT(PRODUCE!$B123:$DY123,PRODUCE!$EB$57:$IY$57)</f>
        <v>0</v>
      </c>
      <c r="WL114" s="56">
        <v>853</v>
      </c>
      <c r="WM114" s="242">
        <f t="shared" si="958"/>
        <v>-853</v>
      </c>
      <c r="WN114" s="242">
        <f t="shared" si="959"/>
        <v>3036</v>
      </c>
      <c r="WO114" s="56"/>
      <c r="WR114" s="55">
        <f t="shared" si="960"/>
        <v>46115</v>
      </c>
      <c r="WS114" s="56"/>
      <c r="WT114" s="242">
        <f>SUMPRODUCT(PRODUCE!$B123:$DY123,PRODUCE!$EB$57:$IY$57)</f>
        <v>0</v>
      </c>
      <c r="WU114" s="56"/>
      <c r="WV114" s="242">
        <f t="shared" si="961"/>
        <v>0</v>
      </c>
      <c r="WW114" s="242">
        <f t="shared" si="962"/>
        <v>0</v>
      </c>
      <c r="WX114" s="56"/>
      <c r="XA114" s="55">
        <f t="shared" si="963"/>
        <v>46115</v>
      </c>
      <c r="XB114" s="56"/>
      <c r="XC114" s="242">
        <f>SUMPRODUCT(PRODUCE!$B123:$DY123,PRODUCE!$EB$57:$IY$57)</f>
        <v>0</v>
      </c>
      <c r="XD114" s="56"/>
      <c r="XE114" s="242">
        <f t="shared" si="964"/>
        <v>0</v>
      </c>
      <c r="XF114" s="242">
        <f t="shared" si="965"/>
        <v>14868</v>
      </c>
      <c r="XG114" s="56"/>
      <c r="XJ114" s="55">
        <f t="shared" si="966"/>
        <v>46115</v>
      </c>
      <c r="XK114" s="56"/>
      <c r="XL114" s="242">
        <f>SUMPRODUCT(PRODUCE!$B123:$DY123,PRODUCE!$EB$57:$IY$57)</f>
        <v>0</v>
      </c>
      <c r="XM114" s="56">
        <v>288</v>
      </c>
      <c r="XN114" s="242">
        <f t="shared" si="967"/>
        <v>-288</v>
      </c>
      <c r="XO114" s="242">
        <f t="shared" si="968"/>
        <v>7302</v>
      </c>
      <c r="XP114" s="56"/>
      <c r="XS114" s="55">
        <f t="shared" si="969"/>
        <v>46115</v>
      </c>
      <c r="XT114" s="56"/>
      <c r="XU114" s="242">
        <f>SUMPRODUCT(PRODUCE!$B123:$DY123,PRODUCE!$EB$57:$IY$57)</f>
        <v>0</v>
      </c>
      <c r="XV114" s="56"/>
      <c r="XW114" s="242">
        <f t="shared" si="970"/>
        <v>0</v>
      </c>
      <c r="XX114" s="242">
        <f t="shared" si="971"/>
        <v>1901</v>
      </c>
      <c r="XY114" s="56"/>
      <c r="YB114" s="55">
        <f t="shared" si="972"/>
        <v>46115</v>
      </c>
      <c r="YC114" s="56"/>
      <c r="YD114" s="242">
        <f>SUMPRODUCT(PRODUCE!$B123:$DY123,PRODUCE!$EB$57:$IY$57)</f>
        <v>0</v>
      </c>
      <c r="YE114" s="56"/>
      <c r="YF114" s="242">
        <f t="shared" si="973"/>
        <v>0</v>
      </c>
      <c r="YG114" s="242">
        <f t="shared" si="974"/>
        <v>6459</v>
      </c>
      <c r="YH114" s="56"/>
      <c r="YK114" s="55">
        <f t="shared" si="975"/>
        <v>46115</v>
      </c>
      <c r="YL114" s="56"/>
      <c r="YM114" s="242">
        <f>SUMPRODUCT(PRODUCE!$B123:$DY123,PRODUCE!$EB$57:$IY$57)</f>
        <v>0</v>
      </c>
      <c r="YN114" s="56"/>
      <c r="YO114" s="242">
        <f t="shared" si="976"/>
        <v>0</v>
      </c>
      <c r="YP114" s="242">
        <f t="shared" si="977"/>
        <v>0</v>
      </c>
      <c r="YQ114" s="56"/>
      <c r="YT114" s="55">
        <f t="shared" si="978"/>
        <v>46115</v>
      </c>
      <c r="YU114" s="56"/>
      <c r="YV114" s="242">
        <f>SUMPRODUCT(PRODUCE!$B123:$DY123,PRODUCE!$EB$57:$IY$57)</f>
        <v>0</v>
      </c>
      <c r="YW114" s="56"/>
      <c r="YX114" s="242">
        <f t="shared" si="979"/>
        <v>0</v>
      </c>
      <c r="YY114" s="242">
        <f t="shared" si="980"/>
        <v>0</v>
      </c>
      <c r="YZ114" s="56"/>
      <c r="ZC114" s="55">
        <f t="shared" si="981"/>
        <v>46115</v>
      </c>
      <c r="ZD114" s="56"/>
      <c r="ZE114" s="242">
        <f>SUMPRODUCT(PRODUCE!$B123:$DY123,PRODUCE!$EB$57:$IY$57)</f>
        <v>0</v>
      </c>
      <c r="ZF114" s="56"/>
      <c r="ZG114" s="242">
        <f t="shared" si="982"/>
        <v>0</v>
      </c>
      <c r="ZH114" s="242">
        <f t="shared" si="983"/>
        <v>0</v>
      </c>
      <c r="ZI114" s="56"/>
      <c r="ZL114" s="55">
        <f t="shared" si="984"/>
        <v>46115</v>
      </c>
      <c r="ZM114" s="56"/>
      <c r="ZN114" s="242">
        <f>SUMPRODUCT(PRODUCE!$B123:$DY123,PRODUCE!$EB$57:$IY$57)</f>
        <v>0</v>
      </c>
      <c r="ZO114" s="56"/>
      <c r="ZP114" s="242">
        <f t="shared" si="985"/>
        <v>0</v>
      </c>
      <c r="ZQ114" s="242">
        <f t="shared" si="986"/>
        <v>0</v>
      </c>
      <c r="ZR114" s="56"/>
      <c r="ZU114" s="55">
        <f t="shared" si="987"/>
        <v>46115</v>
      </c>
      <c r="ZV114" s="56"/>
      <c r="ZW114" s="242">
        <f>SUMPRODUCT(PRODUCE!$B123:$DY123,PRODUCE!$EB$57:$IY$57)</f>
        <v>0</v>
      </c>
      <c r="ZX114" s="56"/>
      <c r="ZY114" s="242">
        <f t="shared" si="988"/>
        <v>0</v>
      </c>
      <c r="ZZ114" s="242">
        <f t="shared" si="989"/>
        <v>0</v>
      </c>
      <c r="AAA114" s="56"/>
      <c r="AAD114" s="55">
        <f t="shared" si="990"/>
        <v>46115</v>
      </c>
      <c r="AAE114" s="56"/>
      <c r="AAF114" s="242">
        <f>SUMPRODUCT(PRODUCE!$B123:$DY123,PRODUCE!$EB$57:$IY$57)</f>
        <v>0</v>
      </c>
      <c r="AAG114" s="56"/>
      <c r="AAH114" s="242">
        <f t="shared" si="991"/>
        <v>0</v>
      </c>
      <c r="AAI114" s="242">
        <f t="shared" si="992"/>
        <v>0</v>
      </c>
      <c r="AAJ114" s="56"/>
      <c r="AAM114" s="55">
        <f t="shared" si="993"/>
        <v>46115</v>
      </c>
      <c r="AAN114" s="56"/>
      <c r="AAO114" s="242">
        <f>SUMPRODUCT(PRODUCE!$B123:$DY123,PRODUCE!$EB$57:$IY$57)</f>
        <v>0</v>
      </c>
      <c r="AAP114" s="56"/>
      <c r="AAQ114" s="242">
        <f t="shared" si="994"/>
        <v>0</v>
      </c>
      <c r="AAR114" s="242">
        <f t="shared" si="995"/>
        <v>0</v>
      </c>
      <c r="AAS114" s="56"/>
      <c r="AAV114" s="55">
        <f t="shared" si="996"/>
        <v>46115</v>
      </c>
      <c r="AAW114" s="56"/>
      <c r="AAX114" s="242">
        <f>SUMPRODUCT(PRODUCE!$B123:$DY123,PRODUCE!$EB$57:$IY$57)</f>
        <v>0</v>
      </c>
      <c r="AAY114" s="56"/>
      <c r="AAZ114" s="242">
        <f t="shared" si="997"/>
        <v>0</v>
      </c>
      <c r="ABA114" s="242">
        <f t="shared" si="998"/>
        <v>0</v>
      </c>
      <c r="ABB114" s="56"/>
      <c r="ABE114" s="55">
        <f t="shared" si="999"/>
        <v>46115</v>
      </c>
      <c r="ABF114" s="56"/>
      <c r="ABG114" s="242">
        <f>SUMPRODUCT(PRODUCE!$B123:$DY123,PRODUCE!$EB$57:$IY$57)</f>
        <v>0</v>
      </c>
      <c r="ABH114" s="56"/>
      <c r="ABI114" s="242">
        <f t="shared" si="1000"/>
        <v>0</v>
      </c>
      <c r="ABJ114" s="242">
        <f t="shared" si="1001"/>
        <v>0</v>
      </c>
      <c r="ABK114" s="56"/>
    </row>
    <row r="115" spans="2:739" s="54" customFormat="1" ht="15" customHeight="1" outlineLevel="1">
      <c r="B115" s="478"/>
      <c r="C115" s="55">
        <v>46116</v>
      </c>
      <c r="D115" s="422">
        <v>60450</v>
      </c>
      <c r="E115" s="423">
        <f>SUMPRODUCT(PRODUCE!$B124:$DY124,PRODUCE!$EB$7:$IY$7)</f>
        <v>0</v>
      </c>
      <c r="F115" s="422"/>
      <c r="G115" s="423">
        <f t="shared" si="1002"/>
        <v>0</v>
      </c>
      <c r="H115" s="423">
        <f t="shared" si="1003"/>
        <v>129481.39999999997</v>
      </c>
      <c r="I115" s="289"/>
      <c r="L115" s="55">
        <f t="shared" si="759"/>
        <v>46116</v>
      </c>
      <c r="M115" s="422">
        <v>30310</v>
      </c>
      <c r="N115" s="438">
        <f>SUMPRODUCT(PRODUCE!$B124:$DY124,PRODUCE!$EB$8:$IY$8)</f>
        <v>0</v>
      </c>
      <c r="O115" s="422"/>
      <c r="P115" s="438">
        <f t="shared" si="760"/>
        <v>0</v>
      </c>
      <c r="Q115" s="438">
        <f t="shared" si="761"/>
        <v>57477.600000000086</v>
      </c>
      <c r="R115" s="56"/>
      <c r="U115" s="55">
        <f t="shared" si="762"/>
        <v>46116</v>
      </c>
      <c r="V115" s="422"/>
      <c r="W115" s="440">
        <f>SUMPRODUCT(PRODUCE!$B124:$DY124,PRODUCE!$EB$9:$IY$9)</f>
        <v>0</v>
      </c>
      <c r="X115" s="422"/>
      <c r="Y115" s="440">
        <f t="shared" si="763"/>
        <v>0</v>
      </c>
      <c r="Z115" s="440">
        <f t="shared" si="764"/>
        <v>12610.599999999969</v>
      </c>
      <c r="AA115" s="56"/>
      <c r="AD115" s="55">
        <f t="shared" si="765"/>
        <v>46116</v>
      </c>
      <c r="AE115" s="422"/>
      <c r="AF115" s="442">
        <f>SUMPRODUCT(PRODUCE!$B124:$DY124,PRODUCE!$EB$10:$IY$10)</f>
        <v>0</v>
      </c>
      <c r="AG115" s="422"/>
      <c r="AH115" s="442">
        <f t="shared" si="766"/>
        <v>0</v>
      </c>
      <c r="AI115" s="442">
        <f t="shared" si="767"/>
        <v>49219.700000000019</v>
      </c>
      <c r="AJ115" s="56"/>
      <c r="AM115" s="55">
        <f t="shared" si="768"/>
        <v>46116</v>
      </c>
      <c r="AN115" s="422"/>
      <c r="AO115" s="444">
        <f>SUMPRODUCT(PRODUCE!$B124:$DY124,PRODUCE!$EB$11:$IY$11)</f>
        <v>0</v>
      </c>
      <c r="AP115" s="422"/>
      <c r="AQ115" s="444">
        <f t="shared" si="769"/>
        <v>0</v>
      </c>
      <c r="AR115" s="444">
        <f t="shared" si="770"/>
        <v>0</v>
      </c>
      <c r="AS115" s="56"/>
      <c r="AV115" s="55">
        <f t="shared" si="771"/>
        <v>46116</v>
      </c>
      <c r="AW115" s="422"/>
      <c r="AX115" s="446">
        <f>SUMPRODUCT(PRODUCE!$B124:$DY124,PRODUCE!$EB$12:$IY$12)</f>
        <v>0</v>
      </c>
      <c r="AY115" s="422"/>
      <c r="AZ115" s="446">
        <f t="shared" si="772"/>
        <v>0</v>
      </c>
      <c r="BA115" s="446">
        <f t="shared" si="773"/>
        <v>15368.29999999999</v>
      </c>
      <c r="BB115" s="56"/>
      <c r="BE115" s="55">
        <f t="shared" si="774"/>
        <v>46116</v>
      </c>
      <c r="BF115" s="422"/>
      <c r="BG115" s="448">
        <f>SUMPRODUCT(PRODUCE!$B124:$DY124,PRODUCE!$EB$13:$IY$13)</f>
        <v>0</v>
      </c>
      <c r="BH115" s="422"/>
      <c r="BI115" s="448">
        <f t="shared" si="775"/>
        <v>0</v>
      </c>
      <c r="BJ115" s="448">
        <f t="shared" si="776"/>
        <v>25498.000000000004</v>
      </c>
      <c r="BK115" s="56"/>
      <c r="BN115" s="55">
        <f t="shared" si="777"/>
        <v>46116</v>
      </c>
      <c r="BO115" s="422"/>
      <c r="BP115" s="450">
        <f>SUMPRODUCT(PRODUCE!$B124:$DY124,PRODUCE!$EB$14:$IY$14)</f>
        <v>0</v>
      </c>
      <c r="BQ115" s="422"/>
      <c r="BR115" s="450">
        <f t="shared" si="778"/>
        <v>0</v>
      </c>
      <c r="BS115" s="450">
        <f t="shared" si="779"/>
        <v>0</v>
      </c>
      <c r="BT115" s="56"/>
      <c r="BW115" s="55">
        <f t="shared" si="780"/>
        <v>46116</v>
      </c>
      <c r="BX115" s="56"/>
      <c r="BY115" s="65">
        <f>SUMPRODUCT(PRODUCE!$B124:$DY124,PRODUCE!$EB$15:$IY$15)</f>
        <v>0</v>
      </c>
      <c r="BZ115" s="56">
        <f>8+144+1024.1+171</f>
        <v>1347.1</v>
      </c>
      <c r="CA115" s="65">
        <f t="shared" si="781"/>
        <v>-1347.1</v>
      </c>
      <c r="CB115" s="65">
        <f t="shared" si="782"/>
        <v>10465.799999999999</v>
      </c>
      <c r="CC115" s="56"/>
      <c r="CF115" s="55">
        <f t="shared" si="783"/>
        <v>46116</v>
      </c>
      <c r="CG115" s="56">
        <v>2262.4</v>
      </c>
      <c r="CH115" s="66">
        <f>SUMPRODUCT(PRODUCE!$B124:$DY124,PRODUCE!$EB$16:$IY$16)</f>
        <v>0</v>
      </c>
      <c r="CI115" s="56">
        <f>14+224+1540+68.4+416</f>
        <v>2262.4</v>
      </c>
      <c r="CJ115" s="66">
        <f t="shared" si="784"/>
        <v>-2262.4</v>
      </c>
      <c r="CK115" s="66">
        <f t="shared" si="785"/>
        <v>0</v>
      </c>
      <c r="CL115" s="56"/>
      <c r="CO115" s="55">
        <f t="shared" si="786"/>
        <v>46116</v>
      </c>
      <c r="CP115" s="422"/>
      <c r="CQ115" s="470">
        <f>SUMPRODUCT(PRODUCE!$B124:$DY124,PRODUCE!$EB$17:$IY$17)</f>
        <v>0</v>
      </c>
      <c r="CR115" s="422"/>
      <c r="CS115" s="470">
        <f t="shared" si="787"/>
        <v>0</v>
      </c>
      <c r="CT115" s="470">
        <f t="shared" si="788"/>
        <v>0</v>
      </c>
      <c r="CU115" s="56"/>
      <c r="CX115" s="55">
        <f t="shared" si="789"/>
        <v>46116</v>
      </c>
      <c r="CY115" s="56"/>
      <c r="CZ115" s="133">
        <f>SUMPRODUCT(PRODUCE!$B124:$DY124,PRODUCE!$EB$18:$IY$18)</f>
        <v>0</v>
      </c>
      <c r="DA115" s="56"/>
      <c r="DB115" s="133">
        <f t="shared" si="790"/>
        <v>0</v>
      </c>
      <c r="DC115" s="133">
        <f t="shared" si="791"/>
        <v>38937.9</v>
      </c>
      <c r="DD115" s="56"/>
      <c r="DG115" s="55">
        <f t="shared" si="792"/>
        <v>46116</v>
      </c>
      <c r="DH115" s="56"/>
      <c r="DI115" s="147">
        <f>SUMPRODUCT(PRODUCE!$B124:$DY124,PRODUCE!$EB$19:$IY$19)</f>
        <v>0</v>
      </c>
      <c r="DJ115" s="56"/>
      <c r="DK115" s="147">
        <f t="shared" si="793"/>
        <v>0</v>
      </c>
      <c r="DL115" s="147">
        <f t="shared" si="794"/>
        <v>4588.9999999999945</v>
      </c>
      <c r="DM115" s="56"/>
      <c r="DP115" s="55">
        <f t="shared" si="795"/>
        <v>46116</v>
      </c>
      <c r="DQ115" s="56"/>
      <c r="DR115" s="57">
        <f>SUMPRODUCT(PRODUCE!$B124:$DY124,PRODUCE!$EB$20:$IY$20)</f>
        <v>0</v>
      </c>
      <c r="DS115" s="56"/>
      <c r="DT115" s="57">
        <f t="shared" si="796"/>
        <v>0</v>
      </c>
      <c r="DU115" s="57">
        <f t="shared" si="797"/>
        <v>7150</v>
      </c>
      <c r="DV115" s="56"/>
      <c r="DY115" s="55">
        <f t="shared" si="798"/>
        <v>46116</v>
      </c>
      <c r="DZ115" s="56"/>
      <c r="EA115" s="157">
        <f>SUMPRODUCT(PRODUCE!$B124:$DY124,PRODUCE!$EB$21:$IY$21)</f>
        <v>0</v>
      </c>
      <c r="EB115" s="56"/>
      <c r="EC115" s="157">
        <f t="shared" si="799"/>
        <v>0</v>
      </c>
      <c r="ED115" s="157">
        <f t="shared" si="800"/>
        <v>1347.3000000000002</v>
      </c>
      <c r="EE115" s="56"/>
      <c r="EH115" s="55">
        <f t="shared" si="801"/>
        <v>46116</v>
      </c>
      <c r="EI115" s="56"/>
      <c r="EJ115" s="162">
        <f>SUMPRODUCT(PRODUCE!$B124:$DY124,PRODUCE!$EB$22:$IY$22)</f>
        <v>0</v>
      </c>
      <c r="EK115" s="56"/>
      <c r="EL115" s="162">
        <f t="shared" si="802"/>
        <v>0</v>
      </c>
      <c r="EM115" s="162">
        <f t="shared" si="803"/>
        <v>0</v>
      </c>
      <c r="EN115" s="56"/>
      <c r="EQ115" s="55">
        <f t="shared" si="804"/>
        <v>46116</v>
      </c>
      <c r="ER115" s="56"/>
      <c r="ES115" s="135">
        <f>SUMPRODUCT(PRODUCE!$B124:$DY124,PRODUCE!$EB$23:$IY$23)</f>
        <v>0</v>
      </c>
      <c r="ET115" s="56"/>
      <c r="EU115" s="135">
        <f t="shared" si="805"/>
        <v>0</v>
      </c>
      <c r="EV115" s="135">
        <f t="shared" si="806"/>
        <v>0</v>
      </c>
      <c r="EW115" s="56"/>
      <c r="EZ115" s="55">
        <f t="shared" si="807"/>
        <v>46116</v>
      </c>
      <c r="FA115" s="56"/>
      <c r="FB115" s="175">
        <f>SUMPRODUCT(PRODUCE!$B124:$DY124,PRODUCE!$EB$24:$IY$24)</f>
        <v>0</v>
      </c>
      <c r="FC115" s="56"/>
      <c r="FD115" s="175">
        <f t="shared" si="808"/>
        <v>0</v>
      </c>
      <c r="FE115" s="175">
        <f t="shared" si="809"/>
        <v>0</v>
      </c>
      <c r="FF115" s="56"/>
      <c r="FI115" s="55">
        <f t="shared" si="810"/>
        <v>46116</v>
      </c>
      <c r="FJ115" s="56"/>
      <c r="FK115" s="183">
        <f>SUMPRODUCT(PRODUCE!$B124:$DY124,PRODUCE!$EB$25:$IY$25)</f>
        <v>0</v>
      </c>
      <c r="FL115" s="56"/>
      <c r="FM115" s="183">
        <f t="shared" si="811"/>
        <v>0</v>
      </c>
      <c r="FN115" s="183">
        <f t="shared" si="812"/>
        <v>0</v>
      </c>
      <c r="FO115" s="56"/>
      <c r="FR115" s="55">
        <f t="shared" si="813"/>
        <v>46116</v>
      </c>
      <c r="FS115" s="422"/>
      <c r="FT115" s="452">
        <f>SUMPRODUCT(PRODUCE!$B124:$DY124,PRODUCE!$EB$26:$IY$26)</f>
        <v>0</v>
      </c>
      <c r="FU115" s="422">
        <f>76*20</f>
        <v>1520</v>
      </c>
      <c r="FV115" s="452">
        <f t="shared" si="814"/>
        <v>-1520</v>
      </c>
      <c r="FW115" s="452">
        <f t="shared" si="815"/>
        <v>460</v>
      </c>
      <c r="FX115" s="56">
        <f>FU115/20</f>
        <v>76</v>
      </c>
      <c r="GA115" s="55">
        <f t="shared" si="816"/>
        <v>46116</v>
      </c>
      <c r="GB115" s="422"/>
      <c r="GC115" s="454">
        <f>SUMPRODUCT(PRODUCE!$B124:$DY124,PRODUCE!$EB$27:$IY$27)</f>
        <v>0</v>
      </c>
      <c r="GD115" s="422"/>
      <c r="GE115" s="454">
        <f t="shared" si="817"/>
        <v>0</v>
      </c>
      <c r="GF115" s="454">
        <f t="shared" si="818"/>
        <v>6000</v>
      </c>
      <c r="GG115" s="56"/>
      <c r="GI115" s="23"/>
      <c r="GJ115" s="55">
        <f t="shared" si="819"/>
        <v>46116</v>
      </c>
      <c r="GK115" s="422"/>
      <c r="GL115" s="456">
        <f>SUMPRODUCT(PRODUCE!$B124:$DY124,PRODUCE!$EB$28:$IY$28)</f>
        <v>0</v>
      </c>
      <c r="GM115" s="422"/>
      <c r="GN115" s="456">
        <f t="shared" si="820"/>
        <v>0</v>
      </c>
      <c r="GO115" s="456">
        <f t="shared" si="821"/>
        <v>4800</v>
      </c>
      <c r="GP115" s="56"/>
      <c r="GS115" s="55">
        <f t="shared" si="822"/>
        <v>46116</v>
      </c>
      <c r="GT115" s="56"/>
      <c r="GU115" s="195">
        <f>SUMPRODUCT(PRODUCE!$B124:$DY124,PRODUCE!$EB$29:$IY$29)</f>
        <v>0</v>
      </c>
      <c r="GV115" s="56"/>
      <c r="GW115" s="195">
        <f t="shared" si="823"/>
        <v>0</v>
      </c>
      <c r="GX115" s="195">
        <f t="shared" si="824"/>
        <v>0</v>
      </c>
      <c r="GY115" s="56"/>
      <c r="HB115" s="55">
        <f t="shared" si="825"/>
        <v>46116</v>
      </c>
      <c r="HC115" s="56"/>
      <c r="HD115" s="191">
        <f>SUMPRODUCT(PRODUCE!$B124:$DY124,PRODUCE!$EB$30:$IY$30)</f>
        <v>0</v>
      </c>
      <c r="HE115" s="56"/>
      <c r="HF115" s="191">
        <f t="shared" si="826"/>
        <v>0</v>
      </c>
      <c r="HG115" s="191">
        <f t="shared" si="827"/>
        <v>0</v>
      </c>
      <c r="HH115" s="56"/>
      <c r="HK115" s="55">
        <f t="shared" si="828"/>
        <v>46116</v>
      </c>
      <c r="HL115" s="56"/>
      <c r="HM115" s="63">
        <f>SUMPRODUCT(PRODUCE!$B124:$DY124,PRODUCE!$EB$31:$IY$31)</f>
        <v>0</v>
      </c>
      <c r="HN115" s="56"/>
      <c r="HO115" s="63">
        <f t="shared" si="829"/>
        <v>0</v>
      </c>
      <c r="HP115" s="63">
        <f t="shared" si="830"/>
        <v>0</v>
      </c>
      <c r="HQ115" s="56"/>
      <c r="HU115" s="55">
        <f t="shared" si="831"/>
        <v>46116</v>
      </c>
      <c r="HV115" s="56"/>
      <c r="HW115" s="242">
        <f>SUMPRODUCT(PRODUCE!$B124:$DY124,PRODUCE!$EB$32:$IY$32)</f>
        <v>0</v>
      </c>
      <c r="HX115" s="56"/>
      <c r="HY115" s="242">
        <f t="shared" si="832"/>
        <v>0</v>
      </c>
      <c r="HZ115" s="242">
        <f t="shared" si="833"/>
        <v>5120</v>
      </c>
      <c r="IA115" s="56"/>
      <c r="ID115" s="55">
        <f t="shared" si="834"/>
        <v>46116</v>
      </c>
      <c r="IE115" s="56"/>
      <c r="IF115" s="242">
        <f>SUMPRODUCT(PRODUCE!$B124:$DY124,PRODUCE!$EB$33:$IY$33)</f>
        <v>0</v>
      </c>
      <c r="IG115" s="56"/>
      <c r="IH115" s="242">
        <f t="shared" si="835"/>
        <v>0</v>
      </c>
      <c r="II115" s="242">
        <f t="shared" si="836"/>
        <v>6540</v>
      </c>
      <c r="IJ115" s="56"/>
      <c r="IM115" s="55">
        <f t="shared" si="837"/>
        <v>46116</v>
      </c>
      <c r="IN115" s="56"/>
      <c r="IO115" s="242">
        <f>SUMPRODUCT(PRODUCE!$B124:$DY124,PRODUCE!$EB$34:$IY$34)</f>
        <v>0</v>
      </c>
      <c r="IP115" s="56"/>
      <c r="IQ115" s="242">
        <f t="shared" si="838"/>
        <v>0</v>
      </c>
      <c r="IR115" s="242">
        <f t="shared" si="839"/>
        <v>11540</v>
      </c>
      <c r="IS115" s="56"/>
      <c r="IV115" s="55">
        <f t="shared" si="840"/>
        <v>46116</v>
      </c>
      <c r="IW115" s="56"/>
      <c r="IX115" s="242">
        <f>SUMPRODUCT(PRODUCE!$B124:$DY124,PRODUCE!$EB$35:$IY$35)</f>
        <v>0</v>
      </c>
      <c r="IY115" s="56"/>
      <c r="IZ115" s="242">
        <f t="shared" si="841"/>
        <v>0</v>
      </c>
      <c r="JA115" s="242">
        <f t="shared" si="842"/>
        <v>15120</v>
      </c>
      <c r="JB115" s="56"/>
      <c r="JE115" s="55">
        <f t="shared" si="843"/>
        <v>46116</v>
      </c>
      <c r="JF115" s="56"/>
      <c r="JG115" s="242">
        <f>SUMPRODUCT(PRODUCE!$B124:$DY124,PRODUCE!$EB$36:$IY$36)</f>
        <v>0</v>
      </c>
      <c r="JH115" s="56"/>
      <c r="JI115" s="242">
        <f t="shared" si="844"/>
        <v>0</v>
      </c>
      <c r="JJ115" s="242">
        <f t="shared" si="845"/>
        <v>5040</v>
      </c>
      <c r="JK115" s="56"/>
      <c r="JN115" s="55">
        <f t="shared" si="846"/>
        <v>46116</v>
      </c>
      <c r="JO115" s="56"/>
      <c r="JP115" s="242">
        <f>SUMPRODUCT(PRODUCE!$B124:$DY124,PRODUCE!$EB$37:$IY$37)</f>
        <v>0</v>
      </c>
      <c r="JQ115" s="56"/>
      <c r="JR115" s="242">
        <f t="shared" si="847"/>
        <v>0</v>
      </c>
      <c r="JS115" s="242">
        <f t="shared" si="848"/>
        <v>9100</v>
      </c>
      <c r="JT115" s="56"/>
      <c r="JW115" s="55">
        <f t="shared" si="849"/>
        <v>46116</v>
      </c>
      <c r="JX115" s="56"/>
      <c r="JY115" s="242">
        <f>SUMPRODUCT(PRODUCE!$B124:$DY124,PRODUCE!$EB$38:$IY$38)</f>
        <v>0</v>
      </c>
      <c r="JZ115" s="56">
        <f>34*20</f>
        <v>680</v>
      </c>
      <c r="KA115" s="242">
        <f t="shared" si="850"/>
        <v>-680</v>
      </c>
      <c r="KB115" s="242">
        <f t="shared" si="851"/>
        <v>3540</v>
      </c>
      <c r="KC115" s="56">
        <f>JZ115/20</f>
        <v>34</v>
      </c>
      <c r="KF115" s="55">
        <f t="shared" si="852"/>
        <v>46116</v>
      </c>
      <c r="KG115" s="56"/>
      <c r="KH115" s="242">
        <f>SUMPRODUCT(PRODUCE!$B124:$DY124,PRODUCE!$EB$39:$IY$39)</f>
        <v>0</v>
      </c>
      <c r="KI115" s="56">
        <f>154*19.5</f>
        <v>3003</v>
      </c>
      <c r="KJ115" s="242">
        <f t="shared" si="853"/>
        <v>-3003</v>
      </c>
      <c r="KK115" s="242">
        <f t="shared" si="854"/>
        <v>4699.5</v>
      </c>
      <c r="KL115" s="56">
        <f>KI115/19.5</f>
        <v>154</v>
      </c>
      <c r="KO115" s="55">
        <f t="shared" si="855"/>
        <v>46116</v>
      </c>
      <c r="KP115" s="56"/>
      <c r="KQ115" s="242">
        <f>SUMPRODUCT(PRODUCE!$B124:$DY124,PRODUCE!$EB$40:$IY$40)</f>
        <v>0</v>
      </c>
      <c r="KR115" s="56"/>
      <c r="KS115" s="242">
        <f t="shared" si="856"/>
        <v>0</v>
      </c>
      <c r="KT115" s="242">
        <f t="shared" si="857"/>
        <v>6426</v>
      </c>
      <c r="KU115" s="56"/>
      <c r="KW115" s="23"/>
      <c r="KX115" s="55">
        <f t="shared" si="858"/>
        <v>46116</v>
      </c>
      <c r="KY115" s="56"/>
      <c r="KZ115" s="242">
        <f>SUMPRODUCT(PRODUCE!$B124:$DY124,PRODUCE!$EB$41:$IY$41)</f>
        <v>0</v>
      </c>
      <c r="LA115" s="56"/>
      <c r="LB115" s="242">
        <f t="shared" si="859"/>
        <v>0</v>
      </c>
      <c r="LC115" s="242">
        <f t="shared" si="860"/>
        <v>0</v>
      </c>
      <c r="LD115" s="56"/>
      <c r="LG115" s="55">
        <f t="shared" si="861"/>
        <v>46116</v>
      </c>
      <c r="LH115" s="56"/>
      <c r="LI115" s="242">
        <f>SUMPRODUCT(PRODUCE!$B124:$DY124,PRODUCE!$EB$42:$IY$42)</f>
        <v>0</v>
      </c>
      <c r="LJ115" s="56"/>
      <c r="LK115" s="242">
        <f t="shared" si="862"/>
        <v>0</v>
      </c>
      <c r="LL115" s="242">
        <f t="shared" si="863"/>
        <v>0</v>
      </c>
      <c r="LM115" s="56"/>
      <c r="LP115" s="55">
        <f t="shared" si="864"/>
        <v>46116</v>
      </c>
      <c r="LQ115" s="56"/>
      <c r="LR115" s="242">
        <f>SUMPRODUCT(PRODUCE!$B130:$DY130,PRODUCE!$EB$43:$IY$43)</f>
        <v>0</v>
      </c>
      <c r="LS115" s="56"/>
      <c r="LT115" s="242">
        <f t="shared" si="865"/>
        <v>0</v>
      </c>
      <c r="LU115" s="242">
        <f t="shared" si="866"/>
        <v>0</v>
      </c>
      <c r="LV115" s="56"/>
      <c r="LY115" s="55">
        <f t="shared" si="867"/>
        <v>46116</v>
      </c>
      <c r="LZ115" s="56"/>
      <c r="MA115" s="242">
        <f>SUMPRODUCT(PRODUCE!$B124:$DY124,PRODUCE!$EB$44:$IY$44)</f>
        <v>0</v>
      </c>
      <c r="MB115" s="56"/>
      <c r="MC115" s="242">
        <f t="shared" si="868"/>
        <v>0</v>
      </c>
      <c r="MD115" s="242">
        <f t="shared" si="869"/>
        <v>0</v>
      </c>
      <c r="ME115" s="56"/>
      <c r="MH115" s="55">
        <f t="shared" si="870"/>
        <v>46116</v>
      </c>
      <c r="MI115" s="56"/>
      <c r="MJ115" s="242">
        <f>SUMPRODUCT(PRODUCE!$B124:$DY124,PRODUCE!$EB$45:$IY$45)</f>
        <v>0</v>
      </c>
      <c r="MK115" s="56"/>
      <c r="ML115" s="242">
        <f t="shared" si="871"/>
        <v>0</v>
      </c>
      <c r="MM115" s="242">
        <f t="shared" si="872"/>
        <v>0</v>
      </c>
      <c r="MN115" s="56"/>
      <c r="MQ115" s="55">
        <f t="shared" si="873"/>
        <v>46116</v>
      </c>
      <c r="MR115" s="56"/>
      <c r="MS115" s="242">
        <f>SUMPRODUCT(PRODUCE!$B124:$DY124,PRODUCE!$EB$46:$IY$46)</f>
        <v>0</v>
      </c>
      <c r="MT115" s="56">
        <v>38</v>
      </c>
      <c r="MU115" s="242">
        <f t="shared" si="874"/>
        <v>-38</v>
      </c>
      <c r="MV115" s="242">
        <f t="shared" si="875"/>
        <v>4157</v>
      </c>
      <c r="MW115" s="56"/>
      <c r="MZ115" s="55">
        <f t="shared" si="876"/>
        <v>46116</v>
      </c>
      <c r="NA115" s="56">
        <v>564</v>
      </c>
      <c r="NB115" s="242">
        <f>SUMPRODUCT(PRODUCE!$B124:$DY124,PRODUCE!$EB$47:$IY$47)</f>
        <v>0</v>
      </c>
      <c r="NC115" s="56">
        <f>6+96+462</f>
        <v>564</v>
      </c>
      <c r="ND115" s="242">
        <f t="shared" si="877"/>
        <v>-564</v>
      </c>
      <c r="NE115" s="242">
        <f t="shared" si="878"/>
        <v>0</v>
      </c>
      <c r="NF115" s="56"/>
      <c r="NI115" s="55">
        <f t="shared" si="879"/>
        <v>46116</v>
      </c>
      <c r="NJ115" s="56"/>
      <c r="NK115" s="242">
        <f>SUMPRODUCT(PRODUCE!$B124:$DY124,PRODUCE!$EB$48:$IY$48)</f>
        <v>0</v>
      </c>
      <c r="NL115" s="56">
        <f>2+32+154</f>
        <v>188</v>
      </c>
      <c r="NM115" s="242">
        <f t="shared" si="880"/>
        <v>-188</v>
      </c>
      <c r="NN115" s="242">
        <f t="shared" si="881"/>
        <v>1877</v>
      </c>
      <c r="NO115" s="56"/>
      <c r="NR115" s="55">
        <f t="shared" si="882"/>
        <v>46116</v>
      </c>
      <c r="NS115" s="56"/>
      <c r="NT115" s="242">
        <f>SUMPRODUCT(PRODUCE!$B124:$DY124,PRODUCE!$EB$49:$IY$49)</f>
        <v>0</v>
      </c>
      <c r="NU115" s="56">
        <f>0.4+6.4+184.8</f>
        <v>191.60000000000002</v>
      </c>
      <c r="NV115" s="242">
        <f t="shared" si="883"/>
        <v>-191.60000000000002</v>
      </c>
      <c r="NW115" s="242">
        <f t="shared" si="884"/>
        <v>3960.9</v>
      </c>
      <c r="NX115" s="56"/>
      <c r="OA115" s="55">
        <f t="shared" si="885"/>
        <v>46116</v>
      </c>
      <c r="OB115" s="56"/>
      <c r="OC115" s="242">
        <f>SUMPRODUCT(PRODUCE!$B124:$DY124,PRODUCE!$EB$50:$IY$50)</f>
        <v>0</v>
      </c>
      <c r="OD115" s="56"/>
      <c r="OE115" s="242">
        <f t="shared" si="886"/>
        <v>0</v>
      </c>
      <c r="OF115" s="242">
        <f t="shared" si="887"/>
        <v>1680.5</v>
      </c>
      <c r="OG115" s="56"/>
      <c r="OJ115" s="55">
        <f t="shared" si="888"/>
        <v>46116</v>
      </c>
      <c r="OK115" s="56">
        <v>524.69999999999993</v>
      </c>
      <c r="OL115" s="242">
        <f>SUMPRODUCT(PRODUCE!$B124:$DY124,PRODUCE!$EB$51:$IY$51)</f>
        <v>0</v>
      </c>
      <c r="OM115" s="56">
        <f>5.47+88+431.2+0.03</f>
        <v>524.69999999999993</v>
      </c>
      <c r="ON115" s="242">
        <f t="shared" si="889"/>
        <v>-524.69999999999993</v>
      </c>
      <c r="OO115" s="242">
        <f t="shared" si="890"/>
        <v>0</v>
      </c>
      <c r="OP115" s="56"/>
      <c r="OS115" s="55">
        <f t="shared" si="891"/>
        <v>46116</v>
      </c>
      <c r="OT115" s="56"/>
      <c r="OU115" s="242">
        <f>SUMPRODUCT(PRODUCE!$B124:$DY124,PRODUCE!$EB$52:$IY$52)</f>
        <v>0</v>
      </c>
      <c r="OV115" s="56"/>
      <c r="OW115" s="242">
        <f t="shared" si="892"/>
        <v>0</v>
      </c>
      <c r="OX115" s="242">
        <f t="shared" si="893"/>
        <v>1000</v>
      </c>
      <c r="OY115" s="56"/>
      <c r="PB115" s="55">
        <f t="shared" si="894"/>
        <v>46116</v>
      </c>
      <c r="PC115" s="56"/>
      <c r="PD115" s="242">
        <f>SUMPRODUCT(PRODUCE!$B124:$DY124,PRODUCE!$EB$53:$IY$53)</f>
        <v>0</v>
      </c>
      <c r="PE115" s="56"/>
      <c r="PF115" s="242">
        <f t="shared" si="895"/>
        <v>0</v>
      </c>
      <c r="PG115" s="242">
        <f t="shared" si="896"/>
        <v>0</v>
      </c>
      <c r="PH115" s="56"/>
      <c r="PK115" s="55">
        <f t="shared" si="897"/>
        <v>46116</v>
      </c>
      <c r="PL115" s="56"/>
      <c r="PM115" s="242">
        <f>SUMPRODUCT(PRODUCE!$B124:$DY124,PRODUCE!$EB$54:$IY$54)</f>
        <v>0</v>
      </c>
      <c r="PN115" s="56"/>
      <c r="PO115" s="242">
        <f t="shared" si="898"/>
        <v>0</v>
      </c>
      <c r="PP115" s="242">
        <f t="shared" si="899"/>
        <v>100</v>
      </c>
      <c r="PQ115" s="56"/>
      <c r="PT115" s="55">
        <f t="shared" si="900"/>
        <v>46116</v>
      </c>
      <c r="PU115" s="56"/>
      <c r="PV115" s="242">
        <f>SUMPRODUCT(PRODUCE!$B124:$DY124,PRODUCE!$EB$55:$IY$55)</f>
        <v>0</v>
      </c>
      <c r="PW115" s="56"/>
      <c r="PX115" s="242">
        <f t="shared" si="901"/>
        <v>0</v>
      </c>
      <c r="PY115" s="242">
        <f t="shared" si="902"/>
        <v>13.960000000000036</v>
      </c>
      <c r="PZ115" s="56"/>
      <c r="QC115" s="55">
        <f t="shared" si="903"/>
        <v>46116</v>
      </c>
      <c r="QD115" s="56"/>
      <c r="QE115" s="242">
        <f>SUMPRODUCT(PRODUCE!$B124:$DY124,PRODUCE!$EB$56:$IY$56)</f>
        <v>0</v>
      </c>
      <c r="QF115" s="56"/>
      <c r="QG115" s="242">
        <f t="shared" si="904"/>
        <v>0</v>
      </c>
      <c r="QH115" s="242">
        <f t="shared" si="905"/>
        <v>1212</v>
      </c>
      <c r="QI115" s="56"/>
      <c r="QL115" s="55">
        <f t="shared" si="906"/>
        <v>46116</v>
      </c>
      <c r="QM115" s="56"/>
      <c r="QN115" s="242">
        <f>SUMPRODUCT(PRODUCE!$B124:$DY124,PRODUCE!$EB$57:$IY$57)</f>
        <v>0</v>
      </c>
      <c r="QO115" s="56"/>
      <c r="QP115" s="242">
        <f t="shared" si="907"/>
        <v>0</v>
      </c>
      <c r="QQ115" s="242">
        <f t="shared" si="908"/>
        <v>400</v>
      </c>
      <c r="QR115" s="56"/>
      <c r="QU115" s="55">
        <f t="shared" si="909"/>
        <v>46116</v>
      </c>
      <c r="QV115" s="56"/>
      <c r="QW115" s="242">
        <f>SUMPRODUCT(PRODUCE!$B124:$DY124,PRODUCE!$EB$57:$IY$57)</f>
        <v>0</v>
      </c>
      <c r="QX115" s="56"/>
      <c r="QY115" s="242">
        <f t="shared" si="910"/>
        <v>0</v>
      </c>
      <c r="QZ115" s="242">
        <f t="shared" si="911"/>
        <v>207.6</v>
      </c>
      <c r="RA115" s="56"/>
      <c r="RD115" s="55">
        <f t="shared" si="912"/>
        <v>46116</v>
      </c>
      <c r="RE115" s="56"/>
      <c r="RF115" s="242">
        <f>SUMPRODUCT(PRODUCE!$B124:$DY124,PRODUCE!$EB$58:$IY$58)</f>
        <v>0</v>
      </c>
      <c r="RG115" s="56"/>
      <c r="RH115" s="242">
        <f t="shared" si="913"/>
        <v>0</v>
      </c>
      <c r="RI115" s="242">
        <f t="shared" si="914"/>
        <v>197.04000000000002</v>
      </c>
      <c r="RJ115" s="56"/>
      <c r="RM115" s="55">
        <f t="shared" si="915"/>
        <v>46116</v>
      </c>
      <c r="RN115" s="56"/>
      <c r="RO115" s="242">
        <f>SUMPRODUCT(PRODUCE!$B124:$DY124,PRODUCE!$EB$57:$IY$57)</f>
        <v>0</v>
      </c>
      <c r="RP115" s="56"/>
      <c r="RQ115" s="242">
        <f t="shared" si="916"/>
        <v>0</v>
      </c>
      <c r="RR115" s="242">
        <f t="shared" si="917"/>
        <v>46.8</v>
      </c>
      <c r="RS115" s="56"/>
      <c r="RV115" s="55">
        <f t="shared" si="918"/>
        <v>46116</v>
      </c>
      <c r="RW115" s="56"/>
      <c r="RX115" s="242">
        <f>SUMPRODUCT(PRODUCE!$B124:$DY124,PRODUCE!$EB$57:$IY$57)</f>
        <v>0</v>
      </c>
      <c r="RY115" s="56"/>
      <c r="RZ115" s="242">
        <f t="shared" si="919"/>
        <v>0</v>
      </c>
      <c r="SA115" s="242">
        <f t="shared" si="920"/>
        <v>0</v>
      </c>
      <c r="SB115" s="56"/>
      <c r="SE115" s="55">
        <f t="shared" si="921"/>
        <v>46116</v>
      </c>
      <c r="SF115" s="56"/>
      <c r="SG115" s="242">
        <f>SUMPRODUCT(PRODUCE!$B124:$DY124,PRODUCE!$EB$57:$IY$57)</f>
        <v>0</v>
      </c>
      <c r="SH115" s="56"/>
      <c r="SI115" s="242">
        <f t="shared" si="922"/>
        <v>0</v>
      </c>
      <c r="SJ115" s="242">
        <f t="shared" si="923"/>
        <v>0</v>
      </c>
      <c r="SK115" s="56"/>
      <c r="SN115" s="55">
        <f t="shared" si="924"/>
        <v>46116</v>
      </c>
      <c r="SO115" s="56"/>
      <c r="SP115" s="242">
        <f>SUMPRODUCT(PRODUCE!$B124:$DY124,PRODUCE!$EB$57:$IY$57)</f>
        <v>0</v>
      </c>
      <c r="SQ115" s="56"/>
      <c r="SR115" s="242">
        <f t="shared" si="925"/>
        <v>0</v>
      </c>
      <c r="SS115" s="242">
        <f t="shared" si="926"/>
        <v>0</v>
      </c>
      <c r="ST115" s="56"/>
      <c r="SW115" s="55">
        <f t="shared" si="927"/>
        <v>46116</v>
      </c>
      <c r="SX115" s="56"/>
      <c r="SY115" s="242">
        <f>SUMPRODUCT(PRODUCE!$B124:$DY124,PRODUCE!$EB$57:$IY$57)</f>
        <v>0</v>
      </c>
      <c r="SZ115" s="56"/>
      <c r="TA115" s="242">
        <f t="shared" si="928"/>
        <v>0</v>
      </c>
      <c r="TB115" s="242">
        <f t="shared" si="929"/>
        <v>0</v>
      </c>
      <c r="TC115" s="56"/>
      <c r="TF115" s="55">
        <f t="shared" si="930"/>
        <v>46116</v>
      </c>
      <c r="TG115" s="56"/>
      <c r="TH115" s="242">
        <f>SUMPRODUCT(PRODUCE!$B124:$DY124,PRODUCE!$EB$57:$IY$57)</f>
        <v>0</v>
      </c>
      <c r="TI115" s="56"/>
      <c r="TJ115" s="242">
        <f t="shared" si="931"/>
        <v>0</v>
      </c>
      <c r="TK115" s="242">
        <f t="shared" si="932"/>
        <v>0</v>
      </c>
      <c r="TL115" s="56"/>
      <c r="TO115" s="55">
        <f t="shared" si="933"/>
        <v>46116</v>
      </c>
      <c r="TP115" s="56"/>
      <c r="TQ115" s="242">
        <f>SUMPRODUCT(PRODUCE!$B124:$DY124,PRODUCE!$EB$57:$IY$57)</f>
        <v>0</v>
      </c>
      <c r="TR115" s="56"/>
      <c r="TS115" s="242">
        <f t="shared" si="934"/>
        <v>0</v>
      </c>
      <c r="TT115" s="242">
        <f t="shared" si="935"/>
        <v>0</v>
      </c>
      <c r="TU115" s="56"/>
      <c r="TX115" s="55">
        <f t="shared" si="936"/>
        <v>46116</v>
      </c>
      <c r="TY115" s="56"/>
      <c r="TZ115" s="242">
        <f>SUMPRODUCT(PRODUCE!$B124:$DY124,PRODUCE!$EB$57:$IY$57)</f>
        <v>0</v>
      </c>
      <c r="UA115" s="56"/>
      <c r="UB115" s="242">
        <f t="shared" si="937"/>
        <v>0</v>
      </c>
      <c r="UC115" s="242">
        <f t="shared" si="938"/>
        <v>0</v>
      </c>
      <c r="UD115" s="56"/>
      <c r="UG115" s="55">
        <f t="shared" si="939"/>
        <v>46116</v>
      </c>
      <c r="UH115" s="56"/>
      <c r="UI115" s="242">
        <f>SUMPRODUCT(PRODUCE!$B124:$DY124,PRODUCE!$EB$57:$IY$57)</f>
        <v>0</v>
      </c>
      <c r="UJ115" s="56"/>
      <c r="UK115" s="242">
        <f t="shared" si="940"/>
        <v>0</v>
      </c>
      <c r="UL115" s="242">
        <f t="shared" si="941"/>
        <v>0</v>
      </c>
      <c r="UM115" s="56"/>
      <c r="UP115" s="55">
        <f t="shared" si="942"/>
        <v>46116</v>
      </c>
      <c r="UQ115" s="56"/>
      <c r="UR115" s="242">
        <f>SUMPRODUCT(PRODUCE!$B124:$DY124,PRODUCE!$EB$57:$IY$57)</f>
        <v>0</v>
      </c>
      <c r="US115" s="56"/>
      <c r="UT115" s="242">
        <f t="shared" si="943"/>
        <v>0</v>
      </c>
      <c r="UU115" s="242">
        <f t="shared" si="944"/>
        <v>0</v>
      </c>
      <c r="UV115" s="56"/>
      <c r="UY115" s="55">
        <f t="shared" si="945"/>
        <v>46116</v>
      </c>
      <c r="UZ115" s="56"/>
      <c r="VA115" s="242">
        <f>SUMPRODUCT(PRODUCE!$B124:$DY124,PRODUCE!$EB$57:$IY$57)</f>
        <v>0</v>
      </c>
      <c r="VB115" s="56"/>
      <c r="VC115" s="242">
        <f t="shared" si="946"/>
        <v>0</v>
      </c>
      <c r="VD115" s="242">
        <f t="shared" si="947"/>
        <v>41.600000000000023</v>
      </c>
      <c r="VE115" s="56"/>
      <c r="VH115" s="55">
        <f t="shared" si="948"/>
        <v>46116</v>
      </c>
      <c r="VI115" s="56"/>
      <c r="VJ115" s="242">
        <f>SUMPRODUCT(PRODUCE!$B124:$DY124,PRODUCE!$EB$57:$IY$57)</f>
        <v>0</v>
      </c>
      <c r="VK115" s="56"/>
      <c r="VL115" s="242">
        <f t="shared" si="949"/>
        <v>0</v>
      </c>
      <c r="VM115" s="242">
        <f t="shared" si="950"/>
        <v>0</v>
      </c>
      <c r="VN115" s="56"/>
      <c r="VQ115" s="55">
        <f t="shared" si="951"/>
        <v>46116</v>
      </c>
      <c r="VR115" s="56"/>
      <c r="VS115" s="242">
        <f>SUMPRODUCT(PRODUCE!$B124:$DY124,PRODUCE!$EB$57:$IY$57)</f>
        <v>0</v>
      </c>
      <c r="VT115" s="56"/>
      <c r="VU115" s="242">
        <f t="shared" si="952"/>
        <v>0</v>
      </c>
      <c r="VV115" s="242">
        <f t="shared" si="953"/>
        <v>0</v>
      </c>
      <c r="VW115" s="56"/>
      <c r="VZ115" s="55">
        <f t="shared" si="954"/>
        <v>46116</v>
      </c>
      <c r="WA115" s="56"/>
      <c r="WB115" s="242">
        <f>SUMPRODUCT(PRODUCE!$B124:$DY124,PRODUCE!$EB$57:$IY$57)</f>
        <v>0</v>
      </c>
      <c r="WC115" s="56"/>
      <c r="WD115" s="242">
        <f t="shared" si="955"/>
        <v>0</v>
      </c>
      <c r="WE115" s="242">
        <f t="shared" si="956"/>
        <v>0</v>
      </c>
      <c r="WF115" s="56"/>
      <c r="WI115" s="55">
        <f t="shared" si="957"/>
        <v>46116</v>
      </c>
      <c r="WJ115" s="56"/>
      <c r="WK115" s="242">
        <f>SUMPRODUCT(PRODUCE!$B124:$DY124,PRODUCE!$EB$57:$IY$57)</f>
        <v>0</v>
      </c>
      <c r="WL115" s="56">
        <v>719</v>
      </c>
      <c r="WM115" s="242">
        <f t="shared" si="958"/>
        <v>-719</v>
      </c>
      <c r="WN115" s="242">
        <f t="shared" si="959"/>
        <v>2317</v>
      </c>
      <c r="WO115" s="56"/>
      <c r="WR115" s="55">
        <f t="shared" si="960"/>
        <v>46116</v>
      </c>
      <c r="WS115" s="56"/>
      <c r="WT115" s="242">
        <f>SUMPRODUCT(PRODUCE!$B124:$DY124,PRODUCE!$EB$57:$IY$57)</f>
        <v>0</v>
      </c>
      <c r="WU115" s="56"/>
      <c r="WV115" s="242">
        <f t="shared" si="961"/>
        <v>0</v>
      </c>
      <c r="WW115" s="242">
        <f t="shared" si="962"/>
        <v>0</v>
      </c>
      <c r="WX115" s="56"/>
      <c r="XA115" s="55">
        <f t="shared" si="963"/>
        <v>46116</v>
      </c>
      <c r="XB115" s="56"/>
      <c r="XC115" s="242">
        <f>SUMPRODUCT(PRODUCE!$B124:$DY124,PRODUCE!$EB$57:$IY$57)</f>
        <v>0</v>
      </c>
      <c r="XD115" s="56"/>
      <c r="XE115" s="242">
        <f t="shared" si="964"/>
        <v>0</v>
      </c>
      <c r="XF115" s="242">
        <f t="shared" si="965"/>
        <v>14868</v>
      </c>
      <c r="XG115" s="56"/>
      <c r="XJ115" s="55">
        <f t="shared" si="966"/>
        <v>46116</v>
      </c>
      <c r="XK115" s="56"/>
      <c r="XL115" s="242">
        <f>SUMPRODUCT(PRODUCE!$B124:$DY124,PRODUCE!$EB$57:$IY$57)</f>
        <v>0</v>
      </c>
      <c r="XM115" s="56"/>
      <c r="XN115" s="242">
        <f t="shared" si="967"/>
        <v>0</v>
      </c>
      <c r="XO115" s="242">
        <f t="shared" si="968"/>
        <v>7302</v>
      </c>
      <c r="XP115" s="56"/>
      <c r="XS115" s="55">
        <f t="shared" si="969"/>
        <v>46116</v>
      </c>
      <c r="XT115" s="56"/>
      <c r="XU115" s="242">
        <f>SUMPRODUCT(PRODUCE!$B124:$DY124,PRODUCE!$EB$57:$IY$57)</f>
        <v>0</v>
      </c>
      <c r="XV115" s="56"/>
      <c r="XW115" s="242">
        <f t="shared" si="970"/>
        <v>0</v>
      </c>
      <c r="XX115" s="242">
        <f t="shared" si="971"/>
        <v>1901</v>
      </c>
      <c r="XY115" s="56"/>
      <c r="YB115" s="55">
        <f t="shared" si="972"/>
        <v>46116</v>
      </c>
      <c r="YC115" s="56"/>
      <c r="YD115" s="242">
        <f>SUMPRODUCT(PRODUCE!$B124:$DY124,PRODUCE!$EB$57:$IY$57)</f>
        <v>0</v>
      </c>
      <c r="YE115" s="56"/>
      <c r="YF115" s="242">
        <f t="shared" si="973"/>
        <v>0</v>
      </c>
      <c r="YG115" s="242">
        <f t="shared" si="974"/>
        <v>6459</v>
      </c>
      <c r="YH115" s="56"/>
      <c r="YK115" s="55">
        <f t="shared" si="975"/>
        <v>46116</v>
      </c>
      <c r="YL115" s="56"/>
      <c r="YM115" s="242">
        <f>SUMPRODUCT(PRODUCE!$B124:$DY124,PRODUCE!$EB$57:$IY$57)</f>
        <v>0</v>
      </c>
      <c r="YN115" s="56"/>
      <c r="YO115" s="242">
        <f t="shared" si="976"/>
        <v>0</v>
      </c>
      <c r="YP115" s="242">
        <f t="shared" si="977"/>
        <v>0</v>
      </c>
      <c r="YQ115" s="56"/>
      <c r="YT115" s="55">
        <f t="shared" si="978"/>
        <v>46116</v>
      </c>
      <c r="YU115" s="56"/>
      <c r="YV115" s="242">
        <f>SUMPRODUCT(PRODUCE!$B124:$DY124,PRODUCE!$EB$57:$IY$57)</f>
        <v>0</v>
      </c>
      <c r="YW115" s="56"/>
      <c r="YX115" s="242">
        <f t="shared" si="979"/>
        <v>0</v>
      </c>
      <c r="YY115" s="242">
        <f t="shared" si="980"/>
        <v>0</v>
      </c>
      <c r="YZ115" s="56"/>
      <c r="ZC115" s="55">
        <f t="shared" si="981"/>
        <v>46116</v>
      </c>
      <c r="ZD115" s="56"/>
      <c r="ZE115" s="242">
        <f>SUMPRODUCT(PRODUCE!$B124:$DY124,PRODUCE!$EB$57:$IY$57)</f>
        <v>0</v>
      </c>
      <c r="ZF115" s="56"/>
      <c r="ZG115" s="242">
        <f t="shared" si="982"/>
        <v>0</v>
      </c>
      <c r="ZH115" s="242">
        <f t="shared" si="983"/>
        <v>0</v>
      </c>
      <c r="ZI115" s="56"/>
      <c r="ZL115" s="55">
        <f t="shared" si="984"/>
        <v>46116</v>
      </c>
      <c r="ZM115" s="56"/>
      <c r="ZN115" s="242">
        <f>SUMPRODUCT(PRODUCE!$B124:$DY124,PRODUCE!$EB$57:$IY$57)</f>
        <v>0</v>
      </c>
      <c r="ZO115" s="56"/>
      <c r="ZP115" s="242">
        <f t="shared" si="985"/>
        <v>0</v>
      </c>
      <c r="ZQ115" s="242">
        <f t="shared" si="986"/>
        <v>0</v>
      </c>
      <c r="ZR115" s="56"/>
      <c r="ZU115" s="55">
        <f t="shared" si="987"/>
        <v>46116</v>
      </c>
      <c r="ZV115" s="56"/>
      <c r="ZW115" s="242">
        <f>SUMPRODUCT(PRODUCE!$B124:$DY124,PRODUCE!$EB$57:$IY$57)</f>
        <v>0</v>
      </c>
      <c r="ZX115" s="56"/>
      <c r="ZY115" s="242">
        <f t="shared" si="988"/>
        <v>0</v>
      </c>
      <c r="ZZ115" s="242">
        <f t="shared" si="989"/>
        <v>0</v>
      </c>
      <c r="AAA115" s="56"/>
      <c r="AAD115" s="55">
        <f t="shared" si="990"/>
        <v>46116</v>
      </c>
      <c r="AAE115" s="56"/>
      <c r="AAF115" s="242">
        <f>SUMPRODUCT(PRODUCE!$B124:$DY124,PRODUCE!$EB$57:$IY$57)</f>
        <v>0</v>
      </c>
      <c r="AAG115" s="56"/>
      <c r="AAH115" s="242">
        <f t="shared" si="991"/>
        <v>0</v>
      </c>
      <c r="AAI115" s="242">
        <f t="shared" si="992"/>
        <v>0</v>
      </c>
      <c r="AAJ115" s="56"/>
      <c r="AAM115" s="55">
        <f t="shared" si="993"/>
        <v>46116</v>
      </c>
      <c r="AAN115" s="56"/>
      <c r="AAO115" s="242">
        <f>SUMPRODUCT(PRODUCE!$B124:$DY124,PRODUCE!$EB$57:$IY$57)</f>
        <v>0</v>
      </c>
      <c r="AAP115" s="56"/>
      <c r="AAQ115" s="242">
        <f t="shared" si="994"/>
        <v>0</v>
      </c>
      <c r="AAR115" s="242">
        <f t="shared" si="995"/>
        <v>0</v>
      </c>
      <c r="AAS115" s="56"/>
      <c r="AAV115" s="55">
        <f t="shared" si="996"/>
        <v>46116</v>
      </c>
      <c r="AAW115" s="56"/>
      <c r="AAX115" s="242">
        <f>SUMPRODUCT(PRODUCE!$B124:$DY124,PRODUCE!$EB$57:$IY$57)</f>
        <v>0</v>
      </c>
      <c r="AAY115" s="56"/>
      <c r="AAZ115" s="242">
        <f t="shared" si="997"/>
        <v>0</v>
      </c>
      <c r="ABA115" s="242">
        <f t="shared" si="998"/>
        <v>0</v>
      </c>
      <c r="ABB115" s="56"/>
      <c r="ABE115" s="55">
        <f t="shared" si="999"/>
        <v>46116</v>
      </c>
      <c r="ABF115" s="56"/>
      <c r="ABG115" s="242">
        <f>SUMPRODUCT(PRODUCE!$B124:$DY124,PRODUCE!$EB$57:$IY$57)</f>
        <v>0</v>
      </c>
      <c r="ABH115" s="56"/>
      <c r="ABI115" s="242">
        <f t="shared" si="1000"/>
        <v>0</v>
      </c>
      <c r="ABJ115" s="242">
        <f t="shared" si="1001"/>
        <v>0</v>
      </c>
      <c r="ABK115" s="56"/>
    </row>
    <row r="116" spans="2:739" s="54" customFormat="1" ht="15" customHeight="1" outlineLevel="1">
      <c r="B116" s="478"/>
      <c r="C116" s="55">
        <v>46117</v>
      </c>
      <c r="D116" s="422"/>
      <c r="E116" s="423">
        <f>SUMPRODUCT(PRODUCE!$B125:$DY125,PRODUCE!$EB$7:$IY$7)</f>
        <v>0</v>
      </c>
      <c r="F116" s="422"/>
      <c r="G116" s="423">
        <f t="shared" si="1002"/>
        <v>0</v>
      </c>
      <c r="H116" s="423">
        <f t="shared" si="1003"/>
        <v>129481.39999999997</v>
      </c>
      <c r="I116" s="289"/>
      <c r="L116" s="55">
        <f t="shared" si="759"/>
        <v>46117</v>
      </c>
      <c r="M116" s="422"/>
      <c r="N116" s="438">
        <f>SUMPRODUCT(PRODUCE!$B125:$DY125,PRODUCE!$EB$8:$IY$8)</f>
        <v>0</v>
      </c>
      <c r="O116" s="422"/>
      <c r="P116" s="438">
        <f t="shared" si="760"/>
        <v>0</v>
      </c>
      <c r="Q116" s="438">
        <f t="shared" si="761"/>
        <v>57477.600000000086</v>
      </c>
      <c r="R116" s="56"/>
      <c r="U116" s="55">
        <f t="shared" si="762"/>
        <v>46117</v>
      </c>
      <c r="V116" s="422"/>
      <c r="W116" s="440">
        <f>SUMPRODUCT(PRODUCE!$B125:$DY125,PRODUCE!$EB$9:$IY$9)</f>
        <v>0</v>
      </c>
      <c r="X116" s="422"/>
      <c r="Y116" s="440">
        <f t="shared" si="763"/>
        <v>0</v>
      </c>
      <c r="Z116" s="440">
        <f t="shared" si="764"/>
        <v>12610.599999999969</v>
      </c>
      <c r="AA116" s="56"/>
      <c r="AD116" s="55">
        <f t="shared" si="765"/>
        <v>46117</v>
      </c>
      <c r="AE116" s="422"/>
      <c r="AF116" s="442">
        <f>SUMPRODUCT(PRODUCE!$B125:$DY125,PRODUCE!$EB$10:$IY$10)</f>
        <v>0</v>
      </c>
      <c r="AG116" s="422"/>
      <c r="AH116" s="442">
        <f t="shared" si="766"/>
        <v>0</v>
      </c>
      <c r="AI116" s="442">
        <f t="shared" si="767"/>
        <v>49219.700000000019</v>
      </c>
      <c r="AJ116" s="56"/>
      <c r="AM116" s="55">
        <f t="shared" si="768"/>
        <v>46117</v>
      </c>
      <c r="AN116" s="422"/>
      <c r="AO116" s="444">
        <f>SUMPRODUCT(PRODUCE!$B125:$DY125,PRODUCE!$EB$11:$IY$11)</f>
        <v>0</v>
      </c>
      <c r="AP116" s="422"/>
      <c r="AQ116" s="444">
        <f t="shared" si="769"/>
        <v>0</v>
      </c>
      <c r="AR116" s="444">
        <f t="shared" si="770"/>
        <v>0</v>
      </c>
      <c r="AS116" s="56"/>
      <c r="AV116" s="55">
        <f t="shared" si="771"/>
        <v>46117</v>
      </c>
      <c r="AW116" s="422"/>
      <c r="AX116" s="446">
        <f>SUMPRODUCT(PRODUCE!$B125:$DY125,PRODUCE!$EB$12:$IY$12)</f>
        <v>0</v>
      </c>
      <c r="AY116" s="422"/>
      <c r="AZ116" s="446">
        <f t="shared" si="772"/>
        <v>0</v>
      </c>
      <c r="BA116" s="446">
        <f t="shared" si="773"/>
        <v>15368.29999999999</v>
      </c>
      <c r="BB116" s="56"/>
      <c r="BE116" s="55">
        <f t="shared" si="774"/>
        <v>46117</v>
      </c>
      <c r="BF116" s="422"/>
      <c r="BG116" s="448">
        <f>SUMPRODUCT(PRODUCE!$B125:$DY125,PRODUCE!$EB$13:$IY$13)</f>
        <v>0</v>
      </c>
      <c r="BH116" s="422"/>
      <c r="BI116" s="448">
        <f t="shared" si="775"/>
        <v>0</v>
      </c>
      <c r="BJ116" s="448">
        <f t="shared" si="776"/>
        <v>25498.000000000004</v>
      </c>
      <c r="BK116" s="56"/>
      <c r="BN116" s="55">
        <f t="shared" si="777"/>
        <v>46117</v>
      </c>
      <c r="BO116" s="422"/>
      <c r="BP116" s="450">
        <f>SUMPRODUCT(PRODUCE!$B125:$DY125,PRODUCE!$EB$14:$IY$14)</f>
        <v>0</v>
      </c>
      <c r="BQ116" s="422"/>
      <c r="BR116" s="450">
        <f t="shared" si="778"/>
        <v>0</v>
      </c>
      <c r="BS116" s="450">
        <f t="shared" si="779"/>
        <v>0</v>
      </c>
      <c r="BT116" s="56"/>
      <c r="BW116" s="55">
        <f t="shared" si="780"/>
        <v>46117</v>
      </c>
      <c r="BX116" s="56"/>
      <c r="BY116" s="65">
        <f>SUMPRODUCT(PRODUCE!$B125:$DY125,PRODUCE!$EB$15:$IY$15)</f>
        <v>0</v>
      </c>
      <c r="BZ116" s="56"/>
      <c r="CA116" s="65">
        <f t="shared" si="781"/>
        <v>0</v>
      </c>
      <c r="CB116" s="65">
        <f t="shared" si="782"/>
        <v>10465.799999999999</v>
      </c>
      <c r="CC116" s="56"/>
      <c r="CF116" s="55">
        <f t="shared" si="783"/>
        <v>46117</v>
      </c>
      <c r="CG116" s="56"/>
      <c r="CH116" s="66">
        <f>SUMPRODUCT(PRODUCE!$B125:$DY125,PRODUCE!$EB$16:$IY$16)</f>
        <v>0</v>
      </c>
      <c r="CI116" s="56"/>
      <c r="CJ116" s="66">
        <f t="shared" si="784"/>
        <v>0</v>
      </c>
      <c r="CK116" s="66">
        <f t="shared" si="785"/>
        <v>0</v>
      </c>
      <c r="CL116" s="56"/>
      <c r="CO116" s="55">
        <f t="shared" si="786"/>
        <v>46117</v>
      </c>
      <c r="CP116" s="422"/>
      <c r="CQ116" s="470">
        <f>SUMPRODUCT(PRODUCE!$B125:$DY125,PRODUCE!$EB$17:$IY$17)</f>
        <v>0</v>
      </c>
      <c r="CR116" s="422"/>
      <c r="CS116" s="470">
        <f t="shared" si="787"/>
        <v>0</v>
      </c>
      <c r="CT116" s="470">
        <f t="shared" si="788"/>
        <v>0</v>
      </c>
      <c r="CU116" s="56"/>
      <c r="CX116" s="55">
        <f t="shared" si="789"/>
        <v>46117</v>
      </c>
      <c r="CY116" s="56"/>
      <c r="CZ116" s="133">
        <f>SUMPRODUCT(PRODUCE!$B125:$DY125,PRODUCE!$EB$18:$IY$18)</f>
        <v>0</v>
      </c>
      <c r="DA116" s="56"/>
      <c r="DB116" s="133">
        <f t="shared" si="790"/>
        <v>0</v>
      </c>
      <c r="DC116" s="133">
        <f t="shared" si="791"/>
        <v>38937.9</v>
      </c>
      <c r="DD116" s="56"/>
      <c r="DG116" s="55">
        <f t="shared" si="792"/>
        <v>46117</v>
      </c>
      <c r="DH116" s="56"/>
      <c r="DI116" s="147">
        <f>SUMPRODUCT(PRODUCE!$B125:$DY125,PRODUCE!$EB$19:$IY$19)</f>
        <v>0</v>
      </c>
      <c r="DJ116" s="56"/>
      <c r="DK116" s="147">
        <f t="shared" si="793"/>
        <v>0</v>
      </c>
      <c r="DL116" s="147">
        <f t="shared" si="794"/>
        <v>4588.9999999999945</v>
      </c>
      <c r="DM116" s="56"/>
      <c r="DP116" s="55">
        <f t="shared" si="795"/>
        <v>46117</v>
      </c>
      <c r="DQ116" s="56"/>
      <c r="DR116" s="57">
        <f>SUMPRODUCT(PRODUCE!$B125:$DY125,PRODUCE!$EB$20:$IY$20)</f>
        <v>0</v>
      </c>
      <c r="DS116" s="56"/>
      <c r="DT116" s="57">
        <f t="shared" si="796"/>
        <v>0</v>
      </c>
      <c r="DU116" s="57">
        <f t="shared" si="797"/>
        <v>7150</v>
      </c>
      <c r="DV116" s="56"/>
      <c r="DY116" s="55">
        <f t="shared" si="798"/>
        <v>46117</v>
      </c>
      <c r="DZ116" s="56"/>
      <c r="EA116" s="157">
        <f>SUMPRODUCT(PRODUCE!$B125:$DY125,PRODUCE!$EB$21:$IY$21)</f>
        <v>0</v>
      </c>
      <c r="EB116" s="56"/>
      <c r="EC116" s="157">
        <f t="shared" si="799"/>
        <v>0</v>
      </c>
      <c r="ED116" s="157">
        <f t="shared" si="800"/>
        <v>1347.3000000000002</v>
      </c>
      <c r="EE116" s="56"/>
      <c r="EH116" s="55">
        <f t="shared" si="801"/>
        <v>46117</v>
      </c>
      <c r="EI116" s="56"/>
      <c r="EJ116" s="162">
        <f>SUMPRODUCT(PRODUCE!$B125:$DY125,PRODUCE!$EB$22:$IY$22)</f>
        <v>0</v>
      </c>
      <c r="EK116" s="56"/>
      <c r="EL116" s="162">
        <f t="shared" si="802"/>
        <v>0</v>
      </c>
      <c r="EM116" s="162">
        <f t="shared" si="803"/>
        <v>0</v>
      </c>
      <c r="EN116" s="56"/>
      <c r="EQ116" s="55">
        <f t="shared" si="804"/>
        <v>46117</v>
      </c>
      <c r="ER116" s="56"/>
      <c r="ES116" s="135">
        <f>SUMPRODUCT(PRODUCE!$B125:$DY125,PRODUCE!$EB$23:$IY$23)</f>
        <v>0</v>
      </c>
      <c r="ET116" s="56"/>
      <c r="EU116" s="135">
        <f t="shared" si="805"/>
        <v>0</v>
      </c>
      <c r="EV116" s="135">
        <f t="shared" si="806"/>
        <v>0</v>
      </c>
      <c r="EW116" s="56"/>
      <c r="EZ116" s="55">
        <f t="shared" si="807"/>
        <v>46117</v>
      </c>
      <c r="FA116" s="56"/>
      <c r="FB116" s="175">
        <f>SUMPRODUCT(PRODUCE!$B125:$DY125,PRODUCE!$EB$24:$IY$24)</f>
        <v>0</v>
      </c>
      <c r="FC116" s="56"/>
      <c r="FD116" s="175">
        <f t="shared" si="808"/>
        <v>0</v>
      </c>
      <c r="FE116" s="175">
        <f t="shared" si="809"/>
        <v>0</v>
      </c>
      <c r="FF116" s="56"/>
      <c r="FI116" s="55">
        <f t="shared" si="810"/>
        <v>46117</v>
      </c>
      <c r="FJ116" s="56"/>
      <c r="FK116" s="183">
        <f>SUMPRODUCT(PRODUCE!$B125:$DY125,PRODUCE!$EB$25:$IY$25)</f>
        <v>0</v>
      </c>
      <c r="FL116" s="56"/>
      <c r="FM116" s="183">
        <f t="shared" si="811"/>
        <v>0</v>
      </c>
      <c r="FN116" s="183">
        <f t="shared" si="812"/>
        <v>0</v>
      </c>
      <c r="FO116" s="56"/>
      <c r="FR116" s="55">
        <f t="shared" si="813"/>
        <v>46117</v>
      </c>
      <c r="FS116" s="422"/>
      <c r="FT116" s="452">
        <f>SUMPRODUCT(PRODUCE!$B125:$DY125,PRODUCE!$EB$26:$IY$26)</f>
        <v>0</v>
      </c>
      <c r="FU116" s="422"/>
      <c r="FV116" s="452">
        <f t="shared" si="814"/>
        <v>0</v>
      </c>
      <c r="FW116" s="452">
        <f t="shared" si="815"/>
        <v>460</v>
      </c>
      <c r="FX116" s="56"/>
      <c r="GA116" s="55">
        <f t="shared" si="816"/>
        <v>46117</v>
      </c>
      <c r="GB116" s="422"/>
      <c r="GC116" s="454">
        <f>SUMPRODUCT(PRODUCE!$B125:$DY125,PRODUCE!$EB$27:$IY$27)</f>
        <v>0</v>
      </c>
      <c r="GD116" s="422"/>
      <c r="GE116" s="454">
        <f t="shared" si="817"/>
        <v>0</v>
      </c>
      <c r="GF116" s="454">
        <f t="shared" si="818"/>
        <v>6000</v>
      </c>
      <c r="GG116" s="56"/>
      <c r="GI116" s="23"/>
      <c r="GJ116" s="55">
        <f t="shared" si="819"/>
        <v>46117</v>
      </c>
      <c r="GK116" s="422"/>
      <c r="GL116" s="456">
        <f>SUMPRODUCT(PRODUCE!$B125:$DY125,PRODUCE!$EB$28:$IY$28)</f>
        <v>0</v>
      </c>
      <c r="GM116" s="422"/>
      <c r="GN116" s="456">
        <f t="shared" si="820"/>
        <v>0</v>
      </c>
      <c r="GO116" s="456">
        <f t="shared" si="821"/>
        <v>4800</v>
      </c>
      <c r="GP116" s="56"/>
      <c r="GS116" s="55">
        <f t="shared" si="822"/>
        <v>46117</v>
      </c>
      <c r="GT116" s="56"/>
      <c r="GU116" s="195">
        <f>SUMPRODUCT(PRODUCE!$B125:$DY125,PRODUCE!$EB$29:$IY$29)</f>
        <v>0</v>
      </c>
      <c r="GV116" s="56"/>
      <c r="GW116" s="195">
        <f t="shared" si="823"/>
        <v>0</v>
      </c>
      <c r="GX116" s="195">
        <f t="shared" si="824"/>
        <v>0</v>
      </c>
      <c r="GY116" s="56"/>
      <c r="HB116" s="55">
        <f t="shared" si="825"/>
        <v>46117</v>
      </c>
      <c r="HC116" s="56"/>
      <c r="HD116" s="191">
        <f>SUMPRODUCT(PRODUCE!$B125:$DY125,PRODUCE!$EB$30:$IY$30)</f>
        <v>0</v>
      </c>
      <c r="HE116" s="56"/>
      <c r="HF116" s="191">
        <f t="shared" si="826"/>
        <v>0</v>
      </c>
      <c r="HG116" s="191">
        <f t="shared" si="827"/>
        <v>0</v>
      </c>
      <c r="HH116" s="56"/>
      <c r="HK116" s="55">
        <f t="shared" si="828"/>
        <v>46117</v>
      </c>
      <c r="HL116" s="56"/>
      <c r="HM116" s="63">
        <f>SUMPRODUCT(PRODUCE!$B125:$DY125,PRODUCE!$EB$31:$IY$31)</f>
        <v>0</v>
      </c>
      <c r="HN116" s="56"/>
      <c r="HO116" s="63">
        <f t="shared" si="829"/>
        <v>0</v>
      </c>
      <c r="HP116" s="63">
        <f t="shared" si="830"/>
        <v>0</v>
      </c>
      <c r="HQ116" s="56"/>
      <c r="HU116" s="55">
        <f t="shared" si="831"/>
        <v>46117</v>
      </c>
      <c r="HV116" s="56"/>
      <c r="HW116" s="242">
        <f>SUMPRODUCT(PRODUCE!$B125:$DY125,PRODUCE!$EB$32:$IY$32)</f>
        <v>0</v>
      </c>
      <c r="HX116" s="56"/>
      <c r="HY116" s="242">
        <f t="shared" si="832"/>
        <v>0</v>
      </c>
      <c r="HZ116" s="242">
        <f t="shared" si="833"/>
        <v>5120</v>
      </c>
      <c r="IA116" s="56"/>
      <c r="ID116" s="55">
        <f t="shared" si="834"/>
        <v>46117</v>
      </c>
      <c r="IE116" s="56"/>
      <c r="IF116" s="242">
        <f>SUMPRODUCT(PRODUCE!$B125:$DY125,PRODUCE!$EB$33:$IY$33)</f>
        <v>0</v>
      </c>
      <c r="IG116" s="56"/>
      <c r="IH116" s="242">
        <f t="shared" si="835"/>
        <v>0</v>
      </c>
      <c r="II116" s="242">
        <f t="shared" si="836"/>
        <v>6540</v>
      </c>
      <c r="IJ116" s="56"/>
      <c r="IM116" s="55">
        <f t="shared" si="837"/>
        <v>46117</v>
      </c>
      <c r="IN116" s="56"/>
      <c r="IO116" s="242">
        <f>SUMPRODUCT(PRODUCE!$B125:$DY125,PRODUCE!$EB$34:$IY$34)</f>
        <v>0</v>
      </c>
      <c r="IP116" s="56"/>
      <c r="IQ116" s="242">
        <f t="shared" si="838"/>
        <v>0</v>
      </c>
      <c r="IR116" s="242">
        <f t="shared" si="839"/>
        <v>11540</v>
      </c>
      <c r="IS116" s="56"/>
      <c r="IV116" s="55">
        <f t="shared" si="840"/>
        <v>46117</v>
      </c>
      <c r="IW116" s="56"/>
      <c r="IX116" s="242">
        <f>SUMPRODUCT(PRODUCE!$B125:$DY125,PRODUCE!$EB$35:$IY$35)</f>
        <v>0</v>
      </c>
      <c r="IY116" s="56"/>
      <c r="IZ116" s="242">
        <f t="shared" si="841"/>
        <v>0</v>
      </c>
      <c r="JA116" s="242">
        <f t="shared" si="842"/>
        <v>15120</v>
      </c>
      <c r="JB116" s="56"/>
      <c r="JE116" s="55">
        <f t="shared" si="843"/>
        <v>46117</v>
      </c>
      <c r="JF116" s="56"/>
      <c r="JG116" s="242">
        <f>SUMPRODUCT(PRODUCE!$B125:$DY125,PRODUCE!$EB$36:$IY$36)</f>
        <v>0</v>
      </c>
      <c r="JH116" s="56"/>
      <c r="JI116" s="242">
        <f t="shared" si="844"/>
        <v>0</v>
      </c>
      <c r="JJ116" s="242">
        <f t="shared" si="845"/>
        <v>5040</v>
      </c>
      <c r="JK116" s="56"/>
      <c r="JN116" s="55">
        <f t="shared" si="846"/>
        <v>46117</v>
      </c>
      <c r="JO116" s="56"/>
      <c r="JP116" s="242">
        <f>SUMPRODUCT(PRODUCE!$B125:$DY125,PRODUCE!$EB$37:$IY$37)</f>
        <v>0</v>
      </c>
      <c r="JQ116" s="56"/>
      <c r="JR116" s="242">
        <f t="shared" si="847"/>
        <v>0</v>
      </c>
      <c r="JS116" s="242">
        <f t="shared" si="848"/>
        <v>9100</v>
      </c>
      <c r="JT116" s="56"/>
      <c r="JW116" s="55">
        <f t="shared" si="849"/>
        <v>46117</v>
      </c>
      <c r="JX116" s="56"/>
      <c r="JY116" s="242">
        <f>SUMPRODUCT(PRODUCE!$B125:$DY125,PRODUCE!$EB$38:$IY$38)</f>
        <v>0</v>
      </c>
      <c r="JZ116" s="56"/>
      <c r="KA116" s="242">
        <f t="shared" si="850"/>
        <v>0</v>
      </c>
      <c r="KB116" s="242">
        <f t="shared" si="851"/>
        <v>3540</v>
      </c>
      <c r="KC116" s="56"/>
      <c r="KF116" s="55">
        <f t="shared" si="852"/>
        <v>46117</v>
      </c>
      <c r="KG116" s="56"/>
      <c r="KH116" s="242">
        <f>SUMPRODUCT(PRODUCE!$B125:$DY125,PRODUCE!$EB$39:$IY$39)</f>
        <v>0</v>
      </c>
      <c r="KI116" s="56"/>
      <c r="KJ116" s="242">
        <f t="shared" si="853"/>
        <v>0</v>
      </c>
      <c r="KK116" s="242">
        <f t="shared" si="854"/>
        <v>4699.5</v>
      </c>
      <c r="KL116" s="56"/>
      <c r="KO116" s="55">
        <f t="shared" si="855"/>
        <v>46117</v>
      </c>
      <c r="KP116" s="56"/>
      <c r="KQ116" s="242">
        <f>SUMPRODUCT(PRODUCE!$B125:$DY125,PRODUCE!$EB$40:$IY$40)</f>
        <v>0</v>
      </c>
      <c r="KR116" s="56"/>
      <c r="KS116" s="242">
        <f t="shared" si="856"/>
        <v>0</v>
      </c>
      <c r="KT116" s="242">
        <f t="shared" si="857"/>
        <v>6426</v>
      </c>
      <c r="KU116" s="56"/>
      <c r="KW116" s="23"/>
      <c r="KX116" s="55">
        <f t="shared" si="858"/>
        <v>46117</v>
      </c>
      <c r="KY116" s="56"/>
      <c r="KZ116" s="242">
        <f>SUMPRODUCT(PRODUCE!$B125:$DY125,PRODUCE!$EB$41:$IY$41)</f>
        <v>0</v>
      </c>
      <c r="LA116" s="56"/>
      <c r="LB116" s="242">
        <f t="shared" si="859"/>
        <v>0</v>
      </c>
      <c r="LC116" s="242">
        <f t="shared" si="860"/>
        <v>0</v>
      </c>
      <c r="LD116" s="56"/>
      <c r="LG116" s="55">
        <f t="shared" si="861"/>
        <v>46117</v>
      </c>
      <c r="LH116" s="56"/>
      <c r="LI116" s="242">
        <f>SUMPRODUCT(PRODUCE!$B125:$DY125,PRODUCE!$EB$42:$IY$42)</f>
        <v>0</v>
      </c>
      <c r="LJ116" s="56"/>
      <c r="LK116" s="242">
        <f t="shared" si="862"/>
        <v>0</v>
      </c>
      <c r="LL116" s="242">
        <f t="shared" si="863"/>
        <v>0</v>
      </c>
      <c r="LM116" s="56"/>
      <c r="LP116" s="55">
        <f t="shared" si="864"/>
        <v>46117</v>
      </c>
      <c r="LQ116" s="56"/>
      <c r="LR116" s="242">
        <f>SUMPRODUCT(PRODUCE!$B131:$DY131,PRODUCE!$EB$43:$IY$43)</f>
        <v>0</v>
      </c>
      <c r="LS116" s="56"/>
      <c r="LT116" s="242">
        <f t="shared" si="865"/>
        <v>0</v>
      </c>
      <c r="LU116" s="242">
        <f t="shared" si="866"/>
        <v>0</v>
      </c>
      <c r="LV116" s="56"/>
      <c r="LY116" s="55">
        <f t="shared" si="867"/>
        <v>46117</v>
      </c>
      <c r="LZ116" s="56"/>
      <c r="MA116" s="242">
        <f>SUMPRODUCT(PRODUCE!$B125:$DY125,PRODUCE!$EB$44:$IY$44)</f>
        <v>0</v>
      </c>
      <c r="MB116" s="56"/>
      <c r="MC116" s="242">
        <f t="shared" si="868"/>
        <v>0</v>
      </c>
      <c r="MD116" s="242">
        <f t="shared" si="869"/>
        <v>0</v>
      </c>
      <c r="ME116" s="56"/>
      <c r="MH116" s="55">
        <f t="shared" si="870"/>
        <v>46117</v>
      </c>
      <c r="MI116" s="56"/>
      <c r="MJ116" s="242">
        <f>SUMPRODUCT(PRODUCE!$B125:$DY125,PRODUCE!$EB$45:$IY$45)</f>
        <v>0</v>
      </c>
      <c r="MK116" s="56"/>
      <c r="ML116" s="242">
        <f t="shared" si="871"/>
        <v>0</v>
      </c>
      <c r="MM116" s="242">
        <f t="shared" si="872"/>
        <v>0</v>
      </c>
      <c r="MN116" s="56"/>
      <c r="MQ116" s="55">
        <f t="shared" si="873"/>
        <v>46117</v>
      </c>
      <c r="MR116" s="56"/>
      <c r="MS116" s="242">
        <f>SUMPRODUCT(PRODUCE!$B125:$DY125,PRODUCE!$EB$46:$IY$46)</f>
        <v>0</v>
      </c>
      <c r="MT116" s="56"/>
      <c r="MU116" s="242">
        <f t="shared" si="874"/>
        <v>0</v>
      </c>
      <c r="MV116" s="242">
        <f t="shared" si="875"/>
        <v>4157</v>
      </c>
      <c r="MW116" s="56"/>
      <c r="MZ116" s="55">
        <f t="shared" si="876"/>
        <v>46117</v>
      </c>
      <c r="NA116" s="56"/>
      <c r="NB116" s="242">
        <f>SUMPRODUCT(PRODUCE!$B125:$DY125,PRODUCE!$EB$47:$IY$47)</f>
        <v>0</v>
      </c>
      <c r="NC116" s="56"/>
      <c r="ND116" s="242">
        <f t="shared" si="877"/>
        <v>0</v>
      </c>
      <c r="NE116" s="242">
        <f t="shared" si="878"/>
        <v>0</v>
      </c>
      <c r="NF116" s="56"/>
      <c r="NI116" s="55">
        <f t="shared" si="879"/>
        <v>46117</v>
      </c>
      <c r="NJ116" s="56"/>
      <c r="NK116" s="242">
        <f>SUMPRODUCT(PRODUCE!$B125:$DY125,PRODUCE!$EB$48:$IY$48)</f>
        <v>0</v>
      </c>
      <c r="NL116" s="56"/>
      <c r="NM116" s="242">
        <f t="shared" si="880"/>
        <v>0</v>
      </c>
      <c r="NN116" s="242">
        <f t="shared" si="881"/>
        <v>1877</v>
      </c>
      <c r="NO116" s="56"/>
      <c r="NR116" s="55">
        <f t="shared" si="882"/>
        <v>46117</v>
      </c>
      <c r="NS116" s="56"/>
      <c r="NT116" s="242">
        <f>SUMPRODUCT(PRODUCE!$B125:$DY125,PRODUCE!$EB$49:$IY$49)</f>
        <v>0</v>
      </c>
      <c r="NU116" s="56"/>
      <c r="NV116" s="242">
        <f t="shared" si="883"/>
        <v>0</v>
      </c>
      <c r="NW116" s="242">
        <f t="shared" si="884"/>
        <v>3960.9</v>
      </c>
      <c r="NX116" s="56"/>
      <c r="OA116" s="55">
        <f t="shared" si="885"/>
        <v>46117</v>
      </c>
      <c r="OB116" s="56"/>
      <c r="OC116" s="242">
        <f>SUMPRODUCT(PRODUCE!$B125:$DY125,PRODUCE!$EB$50:$IY$50)</f>
        <v>0</v>
      </c>
      <c r="OD116" s="56"/>
      <c r="OE116" s="242">
        <f t="shared" si="886"/>
        <v>0</v>
      </c>
      <c r="OF116" s="242">
        <f t="shared" si="887"/>
        <v>1680.5</v>
      </c>
      <c r="OG116" s="56"/>
      <c r="OJ116" s="55">
        <f t="shared" si="888"/>
        <v>46117</v>
      </c>
      <c r="OK116" s="56"/>
      <c r="OL116" s="242">
        <f>SUMPRODUCT(PRODUCE!$B125:$DY125,PRODUCE!$EB$51:$IY$51)</f>
        <v>0</v>
      </c>
      <c r="OM116" s="56"/>
      <c r="ON116" s="242">
        <f t="shared" si="889"/>
        <v>0</v>
      </c>
      <c r="OO116" s="242">
        <f t="shared" si="890"/>
        <v>0</v>
      </c>
      <c r="OP116" s="56"/>
      <c r="OS116" s="55">
        <f t="shared" si="891"/>
        <v>46117</v>
      </c>
      <c r="OT116" s="56"/>
      <c r="OU116" s="242">
        <f>SUMPRODUCT(PRODUCE!$B125:$DY125,PRODUCE!$EB$52:$IY$52)</f>
        <v>0</v>
      </c>
      <c r="OV116" s="56"/>
      <c r="OW116" s="242">
        <f t="shared" si="892"/>
        <v>0</v>
      </c>
      <c r="OX116" s="242">
        <f t="shared" si="893"/>
        <v>1000</v>
      </c>
      <c r="OY116" s="56"/>
      <c r="PB116" s="55">
        <f t="shared" si="894"/>
        <v>46117</v>
      </c>
      <c r="PC116" s="56"/>
      <c r="PD116" s="242">
        <f>SUMPRODUCT(PRODUCE!$B125:$DY125,PRODUCE!$EB$53:$IY$53)</f>
        <v>0</v>
      </c>
      <c r="PE116" s="56"/>
      <c r="PF116" s="242">
        <f t="shared" si="895"/>
        <v>0</v>
      </c>
      <c r="PG116" s="242">
        <f t="shared" si="896"/>
        <v>0</v>
      </c>
      <c r="PH116" s="56"/>
      <c r="PK116" s="55">
        <f t="shared" si="897"/>
        <v>46117</v>
      </c>
      <c r="PL116" s="56"/>
      <c r="PM116" s="242">
        <f>SUMPRODUCT(PRODUCE!$B125:$DY125,PRODUCE!$EB$54:$IY$54)</f>
        <v>0</v>
      </c>
      <c r="PN116" s="56"/>
      <c r="PO116" s="242">
        <f t="shared" si="898"/>
        <v>0</v>
      </c>
      <c r="PP116" s="242">
        <f t="shared" si="899"/>
        <v>100</v>
      </c>
      <c r="PQ116" s="56"/>
      <c r="PT116" s="55">
        <f t="shared" si="900"/>
        <v>46117</v>
      </c>
      <c r="PU116" s="56"/>
      <c r="PV116" s="242">
        <f>SUMPRODUCT(PRODUCE!$B125:$DY125,PRODUCE!$EB$55:$IY$55)</f>
        <v>0</v>
      </c>
      <c r="PW116" s="56"/>
      <c r="PX116" s="242">
        <f t="shared" si="901"/>
        <v>0</v>
      </c>
      <c r="PY116" s="242">
        <f t="shared" si="902"/>
        <v>13.960000000000036</v>
      </c>
      <c r="PZ116" s="56"/>
      <c r="QC116" s="55">
        <f t="shared" si="903"/>
        <v>46117</v>
      </c>
      <c r="QD116" s="56"/>
      <c r="QE116" s="242">
        <f>SUMPRODUCT(PRODUCE!$B125:$DY125,PRODUCE!$EB$56:$IY$56)</f>
        <v>0</v>
      </c>
      <c r="QF116" s="56"/>
      <c r="QG116" s="242">
        <f t="shared" si="904"/>
        <v>0</v>
      </c>
      <c r="QH116" s="242">
        <f t="shared" si="905"/>
        <v>1212</v>
      </c>
      <c r="QI116" s="56"/>
      <c r="QL116" s="55">
        <f t="shared" si="906"/>
        <v>46117</v>
      </c>
      <c r="QM116" s="56"/>
      <c r="QN116" s="242">
        <f>SUMPRODUCT(PRODUCE!$B125:$DY125,PRODUCE!$EB$57:$IY$57)</f>
        <v>0</v>
      </c>
      <c r="QO116" s="56"/>
      <c r="QP116" s="242">
        <f t="shared" si="907"/>
        <v>0</v>
      </c>
      <c r="QQ116" s="242">
        <f t="shared" si="908"/>
        <v>400</v>
      </c>
      <c r="QR116" s="56"/>
      <c r="QU116" s="55">
        <f t="shared" si="909"/>
        <v>46117</v>
      </c>
      <c r="QV116" s="56"/>
      <c r="QW116" s="242">
        <f>SUMPRODUCT(PRODUCE!$B125:$DY125,PRODUCE!$EB$57:$IY$57)</f>
        <v>0</v>
      </c>
      <c r="QX116" s="56"/>
      <c r="QY116" s="242">
        <f t="shared" si="910"/>
        <v>0</v>
      </c>
      <c r="QZ116" s="242">
        <f t="shared" si="911"/>
        <v>207.6</v>
      </c>
      <c r="RA116" s="56"/>
      <c r="RD116" s="55">
        <f t="shared" si="912"/>
        <v>46117</v>
      </c>
      <c r="RE116" s="56"/>
      <c r="RF116" s="242">
        <f>SUMPRODUCT(PRODUCE!$B125:$DY125,PRODUCE!$EB$58:$IY$58)</f>
        <v>0</v>
      </c>
      <c r="RG116" s="56"/>
      <c r="RH116" s="242">
        <f t="shared" si="913"/>
        <v>0</v>
      </c>
      <c r="RI116" s="242">
        <f t="shared" si="914"/>
        <v>197.04000000000002</v>
      </c>
      <c r="RJ116" s="56"/>
      <c r="RM116" s="55">
        <f t="shared" si="915"/>
        <v>46117</v>
      </c>
      <c r="RN116" s="56"/>
      <c r="RO116" s="242">
        <f>SUMPRODUCT(PRODUCE!$B125:$DY125,PRODUCE!$EB$57:$IY$57)</f>
        <v>0</v>
      </c>
      <c r="RP116" s="56"/>
      <c r="RQ116" s="242">
        <f t="shared" si="916"/>
        <v>0</v>
      </c>
      <c r="RR116" s="242">
        <f t="shared" si="917"/>
        <v>46.8</v>
      </c>
      <c r="RS116" s="56"/>
      <c r="RV116" s="55">
        <f t="shared" si="918"/>
        <v>46117</v>
      </c>
      <c r="RW116" s="56"/>
      <c r="RX116" s="242">
        <f>SUMPRODUCT(PRODUCE!$B125:$DY125,PRODUCE!$EB$57:$IY$57)</f>
        <v>0</v>
      </c>
      <c r="RY116" s="56"/>
      <c r="RZ116" s="242">
        <f t="shared" si="919"/>
        <v>0</v>
      </c>
      <c r="SA116" s="242">
        <f t="shared" si="920"/>
        <v>0</v>
      </c>
      <c r="SB116" s="56"/>
      <c r="SE116" s="55">
        <f t="shared" si="921"/>
        <v>46117</v>
      </c>
      <c r="SF116" s="56"/>
      <c r="SG116" s="242">
        <f>SUMPRODUCT(PRODUCE!$B125:$DY125,PRODUCE!$EB$57:$IY$57)</f>
        <v>0</v>
      </c>
      <c r="SH116" s="56"/>
      <c r="SI116" s="242">
        <f t="shared" si="922"/>
        <v>0</v>
      </c>
      <c r="SJ116" s="242">
        <f t="shared" si="923"/>
        <v>0</v>
      </c>
      <c r="SK116" s="56"/>
      <c r="SN116" s="55">
        <f t="shared" si="924"/>
        <v>46117</v>
      </c>
      <c r="SO116" s="56"/>
      <c r="SP116" s="242">
        <f>SUMPRODUCT(PRODUCE!$B125:$DY125,PRODUCE!$EB$57:$IY$57)</f>
        <v>0</v>
      </c>
      <c r="SQ116" s="56"/>
      <c r="SR116" s="242">
        <f t="shared" si="925"/>
        <v>0</v>
      </c>
      <c r="SS116" s="242">
        <f t="shared" si="926"/>
        <v>0</v>
      </c>
      <c r="ST116" s="56"/>
      <c r="SW116" s="55">
        <f t="shared" si="927"/>
        <v>46117</v>
      </c>
      <c r="SX116" s="56"/>
      <c r="SY116" s="242">
        <f>SUMPRODUCT(PRODUCE!$B125:$DY125,PRODUCE!$EB$57:$IY$57)</f>
        <v>0</v>
      </c>
      <c r="SZ116" s="56"/>
      <c r="TA116" s="242">
        <f t="shared" si="928"/>
        <v>0</v>
      </c>
      <c r="TB116" s="242">
        <f t="shared" si="929"/>
        <v>0</v>
      </c>
      <c r="TC116" s="56"/>
      <c r="TF116" s="55">
        <f t="shared" si="930"/>
        <v>46117</v>
      </c>
      <c r="TG116" s="56"/>
      <c r="TH116" s="242">
        <f>SUMPRODUCT(PRODUCE!$B125:$DY125,PRODUCE!$EB$57:$IY$57)</f>
        <v>0</v>
      </c>
      <c r="TI116" s="56"/>
      <c r="TJ116" s="242">
        <f t="shared" si="931"/>
        <v>0</v>
      </c>
      <c r="TK116" s="242">
        <f t="shared" si="932"/>
        <v>0</v>
      </c>
      <c r="TL116" s="56"/>
      <c r="TO116" s="55">
        <f t="shared" si="933"/>
        <v>46117</v>
      </c>
      <c r="TP116" s="56"/>
      <c r="TQ116" s="242">
        <f>SUMPRODUCT(PRODUCE!$B125:$DY125,PRODUCE!$EB$57:$IY$57)</f>
        <v>0</v>
      </c>
      <c r="TR116" s="56"/>
      <c r="TS116" s="242">
        <f t="shared" si="934"/>
        <v>0</v>
      </c>
      <c r="TT116" s="242">
        <f t="shared" si="935"/>
        <v>0</v>
      </c>
      <c r="TU116" s="56"/>
      <c r="TX116" s="55">
        <f t="shared" si="936"/>
        <v>46117</v>
      </c>
      <c r="TY116" s="56"/>
      <c r="TZ116" s="242">
        <f>SUMPRODUCT(PRODUCE!$B125:$DY125,PRODUCE!$EB$57:$IY$57)</f>
        <v>0</v>
      </c>
      <c r="UA116" s="56"/>
      <c r="UB116" s="242">
        <f t="shared" si="937"/>
        <v>0</v>
      </c>
      <c r="UC116" s="242">
        <f t="shared" si="938"/>
        <v>0</v>
      </c>
      <c r="UD116" s="56"/>
      <c r="UG116" s="55">
        <f t="shared" si="939"/>
        <v>46117</v>
      </c>
      <c r="UH116" s="56"/>
      <c r="UI116" s="242">
        <f>SUMPRODUCT(PRODUCE!$B125:$DY125,PRODUCE!$EB$57:$IY$57)</f>
        <v>0</v>
      </c>
      <c r="UJ116" s="56"/>
      <c r="UK116" s="242">
        <f t="shared" si="940"/>
        <v>0</v>
      </c>
      <c r="UL116" s="242">
        <f t="shared" si="941"/>
        <v>0</v>
      </c>
      <c r="UM116" s="56"/>
      <c r="UP116" s="55">
        <f t="shared" si="942"/>
        <v>46117</v>
      </c>
      <c r="UQ116" s="56"/>
      <c r="UR116" s="242">
        <f>SUMPRODUCT(PRODUCE!$B125:$DY125,PRODUCE!$EB$57:$IY$57)</f>
        <v>0</v>
      </c>
      <c r="US116" s="56"/>
      <c r="UT116" s="242">
        <f t="shared" si="943"/>
        <v>0</v>
      </c>
      <c r="UU116" s="242">
        <f t="shared" si="944"/>
        <v>0</v>
      </c>
      <c r="UV116" s="56"/>
      <c r="UY116" s="55">
        <f t="shared" si="945"/>
        <v>46117</v>
      </c>
      <c r="UZ116" s="56"/>
      <c r="VA116" s="242">
        <f>SUMPRODUCT(PRODUCE!$B125:$DY125,PRODUCE!$EB$57:$IY$57)</f>
        <v>0</v>
      </c>
      <c r="VB116" s="56"/>
      <c r="VC116" s="242">
        <f t="shared" si="946"/>
        <v>0</v>
      </c>
      <c r="VD116" s="242">
        <f t="shared" si="947"/>
        <v>41.600000000000023</v>
      </c>
      <c r="VE116" s="56"/>
      <c r="VH116" s="55">
        <f t="shared" si="948"/>
        <v>46117</v>
      </c>
      <c r="VI116" s="56"/>
      <c r="VJ116" s="242">
        <f>SUMPRODUCT(PRODUCE!$B125:$DY125,PRODUCE!$EB$57:$IY$57)</f>
        <v>0</v>
      </c>
      <c r="VK116" s="56"/>
      <c r="VL116" s="242">
        <f t="shared" si="949"/>
        <v>0</v>
      </c>
      <c r="VM116" s="242">
        <f t="shared" si="950"/>
        <v>0</v>
      </c>
      <c r="VN116" s="56"/>
      <c r="VQ116" s="55">
        <f t="shared" si="951"/>
        <v>46117</v>
      </c>
      <c r="VR116" s="56"/>
      <c r="VS116" s="242">
        <f>SUMPRODUCT(PRODUCE!$B125:$DY125,PRODUCE!$EB$57:$IY$57)</f>
        <v>0</v>
      </c>
      <c r="VT116" s="56"/>
      <c r="VU116" s="242">
        <f t="shared" si="952"/>
        <v>0</v>
      </c>
      <c r="VV116" s="242">
        <f t="shared" si="953"/>
        <v>0</v>
      </c>
      <c r="VW116" s="56"/>
      <c r="VZ116" s="55">
        <f t="shared" si="954"/>
        <v>46117</v>
      </c>
      <c r="WA116" s="56"/>
      <c r="WB116" s="242">
        <f>SUMPRODUCT(PRODUCE!$B125:$DY125,PRODUCE!$EB$57:$IY$57)</f>
        <v>0</v>
      </c>
      <c r="WC116" s="56"/>
      <c r="WD116" s="242">
        <f t="shared" si="955"/>
        <v>0</v>
      </c>
      <c r="WE116" s="242">
        <f t="shared" si="956"/>
        <v>0</v>
      </c>
      <c r="WF116" s="56"/>
      <c r="WI116" s="55">
        <f t="shared" si="957"/>
        <v>46117</v>
      </c>
      <c r="WJ116" s="56"/>
      <c r="WK116" s="242">
        <f>SUMPRODUCT(PRODUCE!$B125:$DY125,PRODUCE!$EB$57:$IY$57)</f>
        <v>0</v>
      </c>
      <c r="WL116" s="56"/>
      <c r="WM116" s="242">
        <f t="shared" si="958"/>
        <v>0</v>
      </c>
      <c r="WN116" s="242">
        <f t="shared" si="959"/>
        <v>2317</v>
      </c>
      <c r="WO116" s="56"/>
      <c r="WR116" s="55">
        <f t="shared" si="960"/>
        <v>46117</v>
      </c>
      <c r="WS116" s="56"/>
      <c r="WT116" s="242">
        <f>SUMPRODUCT(PRODUCE!$B125:$DY125,PRODUCE!$EB$57:$IY$57)</f>
        <v>0</v>
      </c>
      <c r="WU116" s="56"/>
      <c r="WV116" s="242">
        <f t="shared" si="961"/>
        <v>0</v>
      </c>
      <c r="WW116" s="242">
        <f t="shared" si="962"/>
        <v>0</v>
      </c>
      <c r="WX116" s="56"/>
      <c r="XA116" s="55">
        <f t="shared" si="963"/>
        <v>46117</v>
      </c>
      <c r="XB116" s="56"/>
      <c r="XC116" s="242">
        <f>SUMPRODUCT(PRODUCE!$B125:$DY125,PRODUCE!$EB$57:$IY$57)</f>
        <v>0</v>
      </c>
      <c r="XD116" s="56"/>
      <c r="XE116" s="242">
        <f t="shared" si="964"/>
        <v>0</v>
      </c>
      <c r="XF116" s="242">
        <f t="shared" si="965"/>
        <v>14868</v>
      </c>
      <c r="XG116" s="56"/>
      <c r="XJ116" s="55">
        <f t="shared" si="966"/>
        <v>46117</v>
      </c>
      <c r="XK116" s="56"/>
      <c r="XL116" s="242">
        <f>SUMPRODUCT(PRODUCE!$B125:$DY125,PRODUCE!$EB$57:$IY$57)</f>
        <v>0</v>
      </c>
      <c r="XM116" s="56"/>
      <c r="XN116" s="242">
        <f t="shared" si="967"/>
        <v>0</v>
      </c>
      <c r="XO116" s="242">
        <f t="shared" si="968"/>
        <v>7302</v>
      </c>
      <c r="XP116" s="56"/>
      <c r="XS116" s="55">
        <f t="shared" si="969"/>
        <v>46117</v>
      </c>
      <c r="XT116" s="56"/>
      <c r="XU116" s="242">
        <f>SUMPRODUCT(PRODUCE!$B125:$DY125,PRODUCE!$EB$57:$IY$57)</f>
        <v>0</v>
      </c>
      <c r="XV116" s="56"/>
      <c r="XW116" s="242">
        <f t="shared" si="970"/>
        <v>0</v>
      </c>
      <c r="XX116" s="242">
        <f t="shared" si="971"/>
        <v>1901</v>
      </c>
      <c r="XY116" s="56"/>
      <c r="YB116" s="55">
        <f t="shared" si="972"/>
        <v>46117</v>
      </c>
      <c r="YC116" s="56"/>
      <c r="YD116" s="242">
        <f>SUMPRODUCT(PRODUCE!$B125:$DY125,PRODUCE!$EB$57:$IY$57)</f>
        <v>0</v>
      </c>
      <c r="YE116" s="56"/>
      <c r="YF116" s="242">
        <f t="shared" si="973"/>
        <v>0</v>
      </c>
      <c r="YG116" s="242">
        <f t="shared" si="974"/>
        <v>6459</v>
      </c>
      <c r="YH116" s="56"/>
      <c r="YK116" s="55">
        <f t="shared" si="975"/>
        <v>46117</v>
      </c>
      <c r="YL116" s="56"/>
      <c r="YM116" s="242">
        <f>SUMPRODUCT(PRODUCE!$B125:$DY125,PRODUCE!$EB$57:$IY$57)</f>
        <v>0</v>
      </c>
      <c r="YN116" s="56"/>
      <c r="YO116" s="242">
        <f t="shared" si="976"/>
        <v>0</v>
      </c>
      <c r="YP116" s="242">
        <f t="shared" si="977"/>
        <v>0</v>
      </c>
      <c r="YQ116" s="56"/>
      <c r="YT116" s="55">
        <f t="shared" si="978"/>
        <v>46117</v>
      </c>
      <c r="YU116" s="56"/>
      <c r="YV116" s="242">
        <f>SUMPRODUCT(PRODUCE!$B125:$DY125,PRODUCE!$EB$57:$IY$57)</f>
        <v>0</v>
      </c>
      <c r="YW116" s="56"/>
      <c r="YX116" s="242">
        <f t="shared" si="979"/>
        <v>0</v>
      </c>
      <c r="YY116" s="242">
        <f t="shared" si="980"/>
        <v>0</v>
      </c>
      <c r="YZ116" s="56"/>
      <c r="ZC116" s="55">
        <f t="shared" si="981"/>
        <v>46117</v>
      </c>
      <c r="ZD116" s="56"/>
      <c r="ZE116" s="242">
        <f>SUMPRODUCT(PRODUCE!$B125:$DY125,PRODUCE!$EB$57:$IY$57)</f>
        <v>0</v>
      </c>
      <c r="ZF116" s="56"/>
      <c r="ZG116" s="242">
        <f t="shared" si="982"/>
        <v>0</v>
      </c>
      <c r="ZH116" s="242">
        <f t="shared" si="983"/>
        <v>0</v>
      </c>
      <c r="ZI116" s="56"/>
      <c r="ZL116" s="55">
        <f t="shared" si="984"/>
        <v>46117</v>
      </c>
      <c r="ZM116" s="56"/>
      <c r="ZN116" s="242">
        <f>SUMPRODUCT(PRODUCE!$B125:$DY125,PRODUCE!$EB$57:$IY$57)</f>
        <v>0</v>
      </c>
      <c r="ZO116" s="56"/>
      <c r="ZP116" s="242">
        <f t="shared" si="985"/>
        <v>0</v>
      </c>
      <c r="ZQ116" s="242">
        <f t="shared" si="986"/>
        <v>0</v>
      </c>
      <c r="ZR116" s="56"/>
      <c r="ZU116" s="55">
        <f t="shared" si="987"/>
        <v>46117</v>
      </c>
      <c r="ZV116" s="56"/>
      <c r="ZW116" s="242">
        <f>SUMPRODUCT(PRODUCE!$B125:$DY125,PRODUCE!$EB$57:$IY$57)</f>
        <v>0</v>
      </c>
      <c r="ZX116" s="56"/>
      <c r="ZY116" s="242">
        <f t="shared" si="988"/>
        <v>0</v>
      </c>
      <c r="ZZ116" s="242">
        <f t="shared" si="989"/>
        <v>0</v>
      </c>
      <c r="AAA116" s="56"/>
      <c r="AAD116" s="55">
        <f t="shared" si="990"/>
        <v>46117</v>
      </c>
      <c r="AAE116" s="56"/>
      <c r="AAF116" s="242">
        <f>SUMPRODUCT(PRODUCE!$B125:$DY125,PRODUCE!$EB$57:$IY$57)</f>
        <v>0</v>
      </c>
      <c r="AAG116" s="56"/>
      <c r="AAH116" s="242">
        <f t="shared" si="991"/>
        <v>0</v>
      </c>
      <c r="AAI116" s="242">
        <f t="shared" si="992"/>
        <v>0</v>
      </c>
      <c r="AAJ116" s="56"/>
      <c r="AAM116" s="55">
        <f t="shared" si="993"/>
        <v>46117</v>
      </c>
      <c r="AAN116" s="56"/>
      <c r="AAO116" s="242">
        <f>SUMPRODUCT(PRODUCE!$B125:$DY125,PRODUCE!$EB$57:$IY$57)</f>
        <v>0</v>
      </c>
      <c r="AAP116" s="56"/>
      <c r="AAQ116" s="242">
        <f t="shared" si="994"/>
        <v>0</v>
      </c>
      <c r="AAR116" s="242">
        <f t="shared" si="995"/>
        <v>0</v>
      </c>
      <c r="AAS116" s="56"/>
      <c r="AAV116" s="55">
        <f t="shared" si="996"/>
        <v>46117</v>
      </c>
      <c r="AAW116" s="56"/>
      <c r="AAX116" s="242">
        <f>SUMPRODUCT(PRODUCE!$B125:$DY125,PRODUCE!$EB$57:$IY$57)</f>
        <v>0</v>
      </c>
      <c r="AAY116" s="56"/>
      <c r="AAZ116" s="242">
        <f t="shared" si="997"/>
        <v>0</v>
      </c>
      <c r="ABA116" s="242">
        <f t="shared" si="998"/>
        <v>0</v>
      </c>
      <c r="ABB116" s="56"/>
      <c r="ABE116" s="55">
        <f t="shared" si="999"/>
        <v>46117</v>
      </c>
      <c r="ABF116" s="56"/>
      <c r="ABG116" s="242">
        <f>SUMPRODUCT(PRODUCE!$B125:$DY125,PRODUCE!$EB$57:$IY$57)</f>
        <v>0</v>
      </c>
      <c r="ABH116" s="56"/>
      <c r="ABI116" s="242">
        <f t="shared" si="1000"/>
        <v>0</v>
      </c>
      <c r="ABJ116" s="242">
        <f t="shared" si="1001"/>
        <v>0</v>
      </c>
      <c r="ABK116" s="56"/>
    </row>
    <row r="117" spans="2:739" s="54" customFormat="1" ht="15" customHeight="1" outlineLevel="1">
      <c r="B117" s="478">
        <f>16+32+2+50</f>
        <v>100</v>
      </c>
      <c r="C117" s="55">
        <v>46118</v>
      </c>
      <c r="D117" s="422">
        <v>49440</v>
      </c>
      <c r="E117" s="423">
        <f>SUMPRODUCT(PRODUCE!$B126:$DY126,PRODUCE!$EB$7:$IY$7)</f>
        <v>50934.03</v>
      </c>
      <c r="F117" s="422">
        <v>50934</v>
      </c>
      <c r="G117" s="423">
        <f t="shared" si="1002"/>
        <v>2.9999999998835847E-2</v>
      </c>
      <c r="H117" s="423">
        <f t="shared" si="1003"/>
        <v>127987.39999999997</v>
      </c>
      <c r="I117" s="289" t="s">
        <v>239</v>
      </c>
      <c r="L117" s="55">
        <f t="shared" si="759"/>
        <v>46118</v>
      </c>
      <c r="M117" s="422">
        <v>31480</v>
      </c>
      <c r="N117" s="438">
        <f>SUMPRODUCT(PRODUCE!$B126:$DY126,PRODUCE!$EB$8:$IY$8)</f>
        <v>22162.670000000002</v>
      </c>
      <c r="O117" s="422">
        <v>22158.799999999999</v>
      </c>
      <c r="P117" s="438">
        <f t="shared" si="760"/>
        <v>3.8700000000026193</v>
      </c>
      <c r="Q117" s="438">
        <f t="shared" si="761"/>
        <v>66798.80000000009</v>
      </c>
      <c r="R117" s="56"/>
      <c r="U117" s="55">
        <f t="shared" si="762"/>
        <v>46118</v>
      </c>
      <c r="V117" s="422">
        <v>25130</v>
      </c>
      <c r="W117" s="440">
        <f>SUMPRODUCT(PRODUCE!$B126:$DY126,PRODUCE!$EB$9:$IY$9)</f>
        <v>7500.329999999999</v>
      </c>
      <c r="X117" s="422">
        <v>7499.5</v>
      </c>
      <c r="Y117" s="440">
        <f t="shared" si="763"/>
        <v>0.82999999999901775</v>
      </c>
      <c r="Z117" s="440">
        <f t="shared" si="764"/>
        <v>30241.099999999969</v>
      </c>
      <c r="AA117" s="56"/>
      <c r="AD117" s="55">
        <f t="shared" si="765"/>
        <v>46118</v>
      </c>
      <c r="AE117" s="422"/>
      <c r="AF117" s="442">
        <f>SUMPRODUCT(PRODUCE!$B126:$DY126,PRODUCE!$EB$10:$IY$10)</f>
        <v>1154</v>
      </c>
      <c r="AG117" s="422">
        <v>1156.9000000000001</v>
      </c>
      <c r="AH117" s="442">
        <f t="shared" si="766"/>
        <v>-2.9000000000000909</v>
      </c>
      <c r="AI117" s="442">
        <f t="shared" si="767"/>
        <v>48062.800000000017</v>
      </c>
      <c r="AJ117" s="56"/>
      <c r="AM117" s="55">
        <f t="shared" si="768"/>
        <v>46118</v>
      </c>
      <c r="AN117" s="422"/>
      <c r="AO117" s="444">
        <f>SUMPRODUCT(PRODUCE!$B126:$DY126,PRODUCE!$EB$11:$IY$11)</f>
        <v>0</v>
      </c>
      <c r="AP117" s="422"/>
      <c r="AQ117" s="444">
        <f t="shared" si="769"/>
        <v>0</v>
      </c>
      <c r="AR117" s="444">
        <f t="shared" si="770"/>
        <v>0</v>
      </c>
      <c r="AS117" s="56"/>
      <c r="AV117" s="55">
        <f t="shared" si="771"/>
        <v>46118</v>
      </c>
      <c r="AW117" s="422"/>
      <c r="AX117" s="446">
        <f>SUMPRODUCT(PRODUCE!$B126:$DY126,PRODUCE!$EB$12:$IY$12)</f>
        <v>1250</v>
      </c>
      <c r="AY117" s="422">
        <v>1251.3</v>
      </c>
      <c r="AZ117" s="446">
        <f t="shared" si="772"/>
        <v>-1.2999999999999545</v>
      </c>
      <c r="BA117" s="446">
        <f t="shared" si="773"/>
        <v>14116.999999999991</v>
      </c>
      <c r="BB117" s="56"/>
      <c r="BE117" s="55">
        <f t="shared" si="774"/>
        <v>46118</v>
      </c>
      <c r="BF117" s="422"/>
      <c r="BG117" s="448">
        <f>SUMPRODUCT(PRODUCE!$B126:$DY126,PRODUCE!$EB$13:$IY$13)</f>
        <v>3512</v>
      </c>
      <c r="BH117" s="422">
        <v>3512.8</v>
      </c>
      <c r="BI117" s="448">
        <f t="shared" si="775"/>
        <v>-0.8000000000001819</v>
      </c>
      <c r="BJ117" s="448">
        <f t="shared" si="776"/>
        <v>21985.200000000004</v>
      </c>
      <c r="BK117" s="56"/>
      <c r="BN117" s="55">
        <f t="shared" si="777"/>
        <v>46118</v>
      </c>
      <c r="BO117" s="422">
        <v>1749.1</v>
      </c>
      <c r="BP117" s="450">
        <f>SUMPRODUCT(PRODUCE!$B126:$DY126,PRODUCE!$EB$14:$IY$14)</f>
        <v>1749.33</v>
      </c>
      <c r="BQ117" s="422">
        <v>1749.1</v>
      </c>
      <c r="BR117" s="450">
        <f t="shared" si="778"/>
        <v>0.23000000000001819</v>
      </c>
      <c r="BS117" s="450">
        <f t="shared" si="779"/>
        <v>0</v>
      </c>
      <c r="BT117" s="56"/>
      <c r="BW117" s="55">
        <f t="shared" si="780"/>
        <v>46118</v>
      </c>
      <c r="BX117" s="56"/>
      <c r="BY117" s="65">
        <f>SUMPRODUCT(PRODUCE!$B126:$DY126,PRODUCE!$EB$15:$IY$15)</f>
        <v>556.5</v>
      </c>
      <c r="BZ117" s="56"/>
      <c r="CA117" s="65">
        <f t="shared" si="781"/>
        <v>556.5</v>
      </c>
      <c r="CB117" s="65">
        <f t="shared" si="782"/>
        <v>10465.799999999999</v>
      </c>
      <c r="CC117" s="56"/>
      <c r="CF117" s="55">
        <f t="shared" si="783"/>
        <v>46118</v>
      </c>
      <c r="CG117" s="56"/>
      <c r="CH117" s="66">
        <f>SUMPRODUCT(PRODUCE!$B126:$DY126,PRODUCE!$EB$16:$IY$16)</f>
        <v>850</v>
      </c>
      <c r="CI117" s="56"/>
      <c r="CJ117" s="66">
        <f t="shared" si="784"/>
        <v>850</v>
      </c>
      <c r="CK117" s="66">
        <f t="shared" si="785"/>
        <v>0</v>
      </c>
      <c r="CL117" s="56"/>
      <c r="CO117" s="55">
        <f t="shared" si="786"/>
        <v>46118</v>
      </c>
      <c r="CP117" s="422"/>
      <c r="CQ117" s="470">
        <f>SUMPRODUCT(PRODUCE!$B126:$DY126,PRODUCE!$EB$17:$IY$17)</f>
        <v>0</v>
      </c>
      <c r="CR117" s="422"/>
      <c r="CS117" s="470">
        <f t="shared" si="787"/>
        <v>0</v>
      </c>
      <c r="CT117" s="470">
        <f t="shared" si="788"/>
        <v>0</v>
      </c>
      <c r="CU117" s="56"/>
      <c r="CX117" s="55">
        <f t="shared" si="789"/>
        <v>46118</v>
      </c>
      <c r="CY117" s="56"/>
      <c r="CZ117" s="133">
        <f>SUMPRODUCT(PRODUCE!$B126:$DY126,PRODUCE!$EB$18:$IY$18)</f>
        <v>4174.67</v>
      </c>
      <c r="DA117" s="56">
        <v>4177</v>
      </c>
      <c r="DB117" s="133">
        <f t="shared" si="790"/>
        <v>-2.3299999999999272</v>
      </c>
      <c r="DC117" s="133">
        <f t="shared" si="791"/>
        <v>34760.9</v>
      </c>
      <c r="DD117" s="56"/>
      <c r="DG117" s="55">
        <f t="shared" si="792"/>
        <v>46118</v>
      </c>
      <c r="DH117" s="56"/>
      <c r="DI117" s="147">
        <f>SUMPRODUCT(PRODUCE!$B126:$DY126,PRODUCE!$EB$19:$IY$19)</f>
        <v>2168</v>
      </c>
      <c r="DJ117" s="56">
        <v>2168.6</v>
      </c>
      <c r="DK117" s="147">
        <f t="shared" si="793"/>
        <v>-0.59999999999990905</v>
      </c>
      <c r="DL117" s="147">
        <f t="shared" si="794"/>
        <v>2420.3999999999946</v>
      </c>
      <c r="DM117" s="56"/>
      <c r="DP117" s="55">
        <f t="shared" si="795"/>
        <v>46118</v>
      </c>
      <c r="DQ117" s="56"/>
      <c r="DR117" s="57">
        <f>SUMPRODUCT(PRODUCE!$B126:$DY126,PRODUCE!$EB$20:$IY$20)</f>
        <v>50</v>
      </c>
      <c r="DS117" s="56">
        <v>100</v>
      </c>
      <c r="DT117" s="57">
        <f t="shared" si="796"/>
        <v>-50</v>
      </c>
      <c r="DU117" s="57">
        <f t="shared" si="797"/>
        <v>7050</v>
      </c>
      <c r="DV117" s="56"/>
      <c r="DY117" s="55">
        <f t="shared" si="798"/>
        <v>46118</v>
      </c>
      <c r="DZ117" s="56"/>
      <c r="EA117" s="157">
        <f>SUMPRODUCT(PRODUCE!$B126:$DY126,PRODUCE!$EB$21:$IY$21)</f>
        <v>1200</v>
      </c>
      <c r="EB117" s="56">
        <v>1200</v>
      </c>
      <c r="EC117" s="157">
        <f t="shared" si="799"/>
        <v>0</v>
      </c>
      <c r="ED117" s="157">
        <f t="shared" si="800"/>
        <v>147.30000000000018</v>
      </c>
      <c r="EE117" s="56"/>
      <c r="EH117" s="55">
        <f t="shared" si="801"/>
        <v>46118</v>
      </c>
      <c r="EI117" s="56"/>
      <c r="EJ117" s="162">
        <f>SUMPRODUCT(PRODUCE!$B126:$DY126,PRODUCE!$EB$22:$IY$22)</f>
        <v>0</v>
      </c>
      <c r="EK117" s="56"/>
      <c r="EL117" s="162">
        <f t="shared" si="802"/>
        <v>0</v>
      </c>
      <c r="EM117" s="162">
        <f t="shared" si="803"/>
        <v>0</v>
      </c>
      <c r="EN117" s="56"/>
      <c r="EQ117" s="55">
        <f t="shared" si="804"/>
        <v>46118</v>
      </c>
      <c r="ER117" s="56"/>
      <c r="ES117" s="135">
        <f>SUMPRODUCT(PRODUCE!$B126:$DY126,PRODUCE!$EB$23:$IY$23)</f>
        <v>0</v>
      </c>
      <c r="ET117" s="56"/>
      <c r="EU117" s="135">
        <f t="shared" si="805"/>
        <v>0</v>
      </c>
      <c r="EV117" s="135">
        <f t="shared" si="806"/>
        <v>0</v>
      </c>
      <c r="EW117" s="56"/>
      <c r="EZ117" s="55">
        <f t="shared" si="807"/>
        <v>46118</v>
      </c>
      <c r="FA117" s="56"/>
      <c r="FB117" s="175">
        <f>SUMPRODUCT(PRODUCE!$B126:$DY126,PRODUCE!$EB$24:$IY$24)</f>
        <v>0</v>
      </c>
      <c r="FC117" s="56"/>
      <c r="FD117" s="175">
        <f t="shared" si="808"/>
        <v>0</v>
      </c>
      <c r="FE117" s="175">
        <f t="shared" si="809"/>
        <v>0</v>
      </c>
      <c r="FF117" s="56"/>
      <c r="FI117" s="55">
        <f t="shared" si="810"/>
        <v>46118</v>
      </c>
      <c r="FJ117" s="56"/>
      <c r="FK117" s="183">
        <f>SUMPRODUCT(PRODUCE!$B126:$DY126,PRODUCE!$EB$25:$IY$25)</f>
        <v>0</v>
      </c>
      <c r="FL117" s="56"/>
      <c r="FM117" s="183">
        <f t="shared" si="811"/>
        <v>0</v>
      </c>
      <c r="FN117" s="183">
        <f t="shared" si="812"/>
        <v>0</v>
      </c>
      <c r="FO117" s="56"/>
      <c r="FR117" s="55">
        <f t="shared" si="813"/>
        <v>46118</v>
      </c>
      <c r="FS117" s="422"/>
      <c r="FT117" s="452">
        <f>SUMPRODUCT(PRODUCE!$B126:$DY126,PRODUCE!$EB$26:$IY$26)</f>
        <v>0</v>
      </c>
      <c r="FU117" s="422"/>
      <c r="FV117" s="452">
        <f t="shared" si="814"/>
        <v>0</v>
      </c>
      <c r="FW117" s="452">
        <f t="shared" si="815"/>
        <v>460</v>
      </c>
      <c r="FX117" s="56"/>
      <c r="GA117" s="55">
        <f t="shared" si="816"/>
        <v>46118</v>
      </c>
      <c r="GB117" s="422"/>
      <c r="GC117" s="454">
        <f>SUMPRODUCT(PRODUCE!$B126:$DY126,PRODUCE!$EB$27:$IY$27)</f>
        <v>0</v>
      </c>
      <c r="GD117" s="422"/>
      <c r="GE117" s="454">
        <f t="shared" si="817"/>
        <v>0</v>
      </c>
      <c r="GF117" s="454">
        <f t="shared" si="818"/>
        <v>6000</v>
      </c>
      <c r="GG117" s="56"/>
      <c r="GI117" s="23"/>
      <c r="GJ117" s="55">
        <f t="shared" si="819"/>
        <v>46118</v>
      </c>
      <c r="GK117" s="422"/>
      <c r="GL117" s="456">
        <f>SUMPRODUCT(PRODUCE!$B126:$DY126,PRODUCE!$EB$28:$IY$28)</f>
        <v>0</v>
      </c>
      <c r="GM117" s="422"/>
      <c r="GN117" s="456">
        <f t="shared" si="820"/>
        <v>0</v>
      </c>
      <c r="GO117" s="456">
        <f t="shared" si="821"/>
        <v>4800</v>
      </c>
      <c r="GP117" s="56"/>
      <c r="GS117" s="55">
        <f t="shared" si="822"/>
        <v>46118</v>
      </c>
      <c r="GT117" s="56"/>
      <c r="GU117" s="195">
        <f>SUMPRODUCT(PRODUCE!$B126:$DY126,PRODUCE!$EB$29:$IY$29)</f>
        <v>0</v>
      </c>
      <c r="GV117" s="56"/>
      <c r="GW117" s="195">
        <f t="shared" si="823"/>
        <v>0</v>
      </c>
      <c r="GX117" s="195">
        <f t="shared" si="824"/>
        <v>0</v>
      </c>
      <c r="GY117" s="56"/>
      <c r="HB117" s="55">
        <f t="shared" si="825"/>
        <v>46118</v>
      </c>
      <c r="HC117" s="56"/>
      <c r="HD117" s="191">
        <f>SUMPRODUCT(PRODUCE!$B126:$DY126,PRODUCE!$EB$30:$IY$30)</f>
        <v>0</v>
      </c>
      <c r="HE117" s="56"/>
      <c r="HF117" s="191">
        <f t="shared" si="826"/>
        <v>0</v>
      </c>
      <c r="HG117" s="191">
        <f t="shared" si="827"/>
        <v>0</v>
      </c>
      <c r="HH117" s="56"/>
      <c r="HK117" s="55">
        <f t="shared" si="828"/>
        <v>46118</v>
      </c>
      <c r="HL117" s="56"/>
      <c r="HM117" s="63">
        <f>SUMPRODUCT(PRODUCE!$B126:$DY126,PRODUCE!$EB$31:$IY$31)</f>
        <v>0</v>
      </c>
      <c r="HN117" s="56"/>
      <c r="HO117" s="63">
        <f t="shared" si="829"/>
        <v>0</v>
      </c>
      <c r="HP117" s="63">
        <f t="shared" si="830"/>
        <v>0</v>
      </c>
      <c r="HQ117" s="56"/>
      <c r="HU117" s="55">
        <f t="shared" si="831"/>
        <v>46118</v>
      </c>
      <c r="HV117" s="56"/>
      <c r="HW117" s="242">
        <f>SUMPRODUCT(PRODUCE!$B126:$DY126,PRODUCE!$EB$32:$IY$32)</f>
        <v>0</v>
      </c>
      <c r="HX117" s="56"/>
      <c r="HY117" s="242">
        <f t="shared" si="832"/>
        <v>0</v>
      </c>
      <c r="HZ117" s="242">
        <f t="shared" si="833"/>
        <v>5120</v>
      </c>
      <c r="IA117" s="56"/>
      <c r="ID117" s="55">
        <f t="shared" si="834"/>
        <v>46118</v>
      </c>
      <c r="IE117" s="56"/>
      <c r="IF117" s="242">
        <f>SUMPRODUCT(PRODUCE!$B126:$DY126,PRODUCE!$EB$33:$IY$33)</f>
        <v>0</v>
      </c>
      <c r="IG117" s="56"/>
      <c r="IH117" s="242">
        <f t="shared" si="835"/>
        <v>0</v>
      </c>
      <c r="II117" s="242">
        <f t="shared" si="836"/>
        <v>6540</v>
      </c>
      <c r="IJ117" s="56"/>
      <c r="IM117" s="55">
        <f t="shared" si="837"/>
        <v>46118</v>
      </c>
      <c r="IN117" s="56"/>
      <c r="IO117" s="242">
        <f>SUMPRODUCT(PRODUCE!$B126:$DY126,PRODUCE!$EB$34:$IY$34)</f>
        <v>0</v>
      </c>
      <c r="IP117" s="56"/>
      <c r="IQ117" s="242">
        <f t="shared" si="838"/>
        <v>0</v>
      </c>
      <c r="IR117" s="242">
        <f t="shared" si="839"/>
        <v>11540</v>
      </c>
      <c r="IS117" s="56"/>
      <c r="IV117" s="55">
        <f t="shared" si="840"/>
        <v>46118</v>
      </c>
      <c r="IW117" s="56"/>
      <c r="IX117" s="242">
        <f>SUMPRODUCT(PRODUCE!$B126:$DY126,PRODUCE!$EB$35:$IY$35)</f>
        <v>0</v>
      </c>
      <c r="IY117" s="56"/>
      <c r="IZ117" s="242">
        <f t="shared" si="841"/>
        <v>0</v>
      </c>
      <c r="JA117" s="242">
        <f t="shared" si="842"/>
        <v>15120</v>
      </c>
      <c r="JB117" s="56"/>
      <c r="JE117" s="55">
        <f t="shared" si="843"/>
        <v>46118</v>
      </c>
      <c r="JF117" s="56"/>
      <c r="JG117" s="242">
        <f>SUMPRODUCT(PRODUCE!$B126:$DY126,PRODUCE!$EB$36:$IY$36)</f>
        <v>0</v>
      </c>
      <c r="JH117" s="56"/>
      <c r="JI117" s="242">
        <f t="shared" si="844"/>
        <v>0</v>
      </c>
      <c r="JJ117" s="242">
        <f t="shared" si="845"/>
        <v>5040</v>
      </c>
      <c r="JK117" s="56"/>
      <c r="JN117" s="55">
        <f t="shared" si="846"/>
        <v>46118</v>
      </c>
      <c r="JO117" s="56"/>
      <c r="JP117" s="242">
        <f>SUMPRODUCT(PRODUCE!$B126:$DY126,PRODUCE!$EB$37:$IY$37)</f>
        <v>0</v>
      </c>
      <c r="JQ117" s="56"/>
      <c r="JR117" s="242">
        <f t="shared" si="847"/>
        <v>0</v>
      </c>
      <c r="JS117" s="242">
        <f t="shared" si="848"/>
        <v>9100</v>
      </c>
      <c r="JT117" s="56"/>
      <c r="JW117" s="55">
        <f t="shared" si="849"/>
        <v>46118</v>
      </c>
      <c r="JX117" s="56"/>
      <c r="JY117" s="242">
        <f>SUMPRODUCT(PRODUCE!$B126:$DY126,PRODUCE!$EB$38:$IY$38)</f>
        <v>1000</v>
      </c>
      <c r="JZ117" s="56"/>
      <c r="KA117" s="242">
        <f t="shared" si="850"/>
        <v>1000</v>
      </c>
      <c r="KB117" s="242">
        <f t="shared" si="851"/>
        <v>3540</v>
      </c>
      <c r="KC117" s="56"/>
      <c r="KF117" s="55">
        <f t="shared" si="852"/>
        <v>46118</v>
      </c>
      <c r="KG117" s="56"/>
      <c r="KH117" s="242">
        <f>SUMPRODUCT(PRODUCE!$B126:$DY126,PRODUCE!$EB$39:$IY$39)</f>
        <v>975</v>
      </c>
      <c r="KI117" s="56"/>
      <c r="KJ117" s="242">
        <f t="shared" si="853"/>
        <v>975</v>
      </c>
      <c r="KK117" s="242">
        <f t="shared" si="854"/>
        <v>4699.5</v>
      </c>
      <c r="KL117" s="56"/>
      <c r="KO117" s="55">
        <f t="shared" si="855"/>
        <v>46118</v>
      </c>
      <c r="KP117" s="56"/>
      <c r="KQ117" s="242">
        <f>SUMPRODUCT(PRODUCE!$B126:$DY126,PRODUCE!$EB$40:$IY$40)</f>
        <v>0</v>
      </c>
      <c r="KR117" s="56"/>
      <c r="KS117" s="242">
        <f t="shared" si="856"/>
        <v>0</v>
      </c>
      <c r="KT117" s="242">
        <f t="shared" si="857"/>
        <v>6426</v>
      </c>
      <c r="KU117" s="56"/>
      <c r="KW117" s="23"/>
      <c r="KX117" s="55">
        <f t="shared" si="858"/>
        <v>46118</v>
      </c>
      <c r="KY117" s="56"/>
      <c r="KZ117" s="242">
        <f>SUMPRODUCT(PRODUCE!$B126:$DY126,PRODUCE!$EB$41:$IY$41)</f>
        <v>0</v>
      </c>
      <c r="LA117" s="56"/>
      <c r="LB117" s="242">
        <f t="shared" si="859"/>
        <v>0</v>
      </c>
      <c r="LC117" s="242">
        <f t="shared" si="860"/>
        <v>0</v>
      </c>
      <c r="LD117" s="56"/>
      <c r="LG117" s="55">
        <f t="shared" si="861"/>
        <v>46118</v>
      </c>
      <c r="LH117" s="56"/>
      <c r="LI117" s="242">
        <f>SUMPRODUCT(PRODUCE!$B126:$DY126,PRODUCE!$EB$42:$IY$42)</f>
        <v>0</v>
      </c>
      <c r="LJ117" s="56"/>
      <c r="LK117" s="242">
        <f t="shared" si="862"/>
        <v>0</v>
      </c>
      <c r="LL117" s="242">
        <f t="shared" si="863"/>
        <v>0</v>
      </c>
      <c r="LM117" s="56"/>
      <c r="LP117" s="55">
        <f t="shared" si="864"/>
        <v>46118</v>
      </c>
      <c r="LQ117" s="56"/>
      <c r="LR117" s="242">
        <f>SUMPRODUCT(PRODUCE!$B132:$DY132,PRODUCE!$EB$43:$IY$43)</f>
        <v>0</v>
      </c>
      <c r="LS117" s="56"/>
      <c r="LT117" s="242">
        <f t="shared" si="865"/>
        <v>0</v>
      </c>
      <c r="LU117" s="242">
        <f t="shared" si="866"/>
        <v>0</v>
      </c>
      <c r="LV117" s="56"/>
      <c r="LY117" s="55">
        <f t="shared" si="867"/>
        <v>46118</v>
      </c>
      <c r="LZ117" s="56"/>
      <c r="MA117" s="242">
        <f>SUMPRODUCT(PRODUCE!$B126:$DY126,PRODUCE!$EB$44:$IY$44)</f>
        <v>0</v>
      </c>
      <c r="MB117" s="56"/>
      <c r="MC117" s="242">
        <f t="shared" si="868"/>
        <v>0</v>
      </c>
      <c r="MD117" s="242">
        <f t="shared" si="869"/>
        <v>0</v>
      </c>
      <c r="ME117" s="56"/>
      <c r="MH117" s="55">
        <f t="shared" si="870"/>
        <v>46118</v>
      </c>
      <c r="MI117" s="56"/>
      <c r="MJ117" s="242">
        <f>SUMPRODUCT(PRODUCE!$B126:$DY126,PRODUCE!$EB$45:$IY$45)</f>
        <v>0</v>
      </c>
      <c r="MK117" s="56"/>
      <c r="ML117" s="242">
        <f t="shared" si="871"/>
        <v>0</v>
      </c>
      <c r="MM117" s="242">
        <f t="shared" si="872"/>
        <v>0</v>
      </c>
      <c r="MN117" s="56"/>
      <c r="MQ117" s="55">
        <f t="shared" si="873"/>
        <v>46118</v>
      </c>
      <c r="MR117" s="56"/>
      <c r="MS117" s="242">
        <f>SUMPRODUCT(PRODUCE!$B126:$DY126,PRODUCE!$EB$46:$IY$46)</f>
        <v>32</v>
      </c>
      <c r="MT117" s="56"/>
      <c r="MU117" s="242">
        <f t="shared" si="874"/>
        <v>32</v>
      </c>
      <c r="MV117" s="242">
        <f t="shared" si="875"/>
        <v>4157</v>
      </c>
      <c r="MW117" s="56"/>
      <c r="MZ117" s="55">
        <f t="shared" si="876"/>
        <v>46118</v>
      </c>
      <c r="NA117" s="56"/>
      <c r="NB117" s="242">
        <f>SUMPRODUCT(PRODUCE!$B126:$DY126,PRODUCE!$EB$47:$IY$47)</f>
        <v>300</v>
      </c>
      <c r="NC117" s="56"/>
      <c r="ND117" s="242">
        <f t="shared" si="877"/>
        <v>300</v>
      </c>
      <c r="NE117" s="242">
        <f t="shared" si="878"/>
        <v>0</v>
      </c>
      <c r="NF117" s="56"/>
      <c r="NI117" s="55">
        <f t="shared" si="879"/>
        <v>46118</v>
      </c>
      <c r="NJ117" s="56"/>
      <c r="NK117" s="242">
        <f>SUMPRODUCT(PRODUCE!$B126:$DY126,PRODUCE!$EB$48:$IY$48)</f>
        <v>84</v>
      </c>
      <c r="NL117" s="56"/>
      <c r="NM117" s="242">
        <f t="shared" si="880"/>
        <v>84</v>
      </c>
      <c r="NN117" s="242">
        <f t="shared" si="881"/>
        <v>1877</v>
      </c>
      <c r="NO117" s="56"/>
      <c r="NR117" s="55">
        <f t="shared" si="882"/>
        <v>46118</v>
      </c>
      <c r="NS117" s="56"/>
      <c r="NT117" s="242">
        <f>SUMPRODUCT(PRODUCE!$B126:$DY126,PRODUCE!$EB$49:$IY$49)</f>
        <v>70</v>
      </c>
      <c r="NU117" s="56"/>
      <c r="NV117" s="242">
        <f t="shared" si="883"/>
        <v>70</v>
      </c>
      <c r="NW117" s="242">
        <f t="shared" si="884"/>
        <v>3960.9</v>
      </c>
      <c r="NX117" s="56"/>
      <c r="OA117" s="55">
        <f t="shared" si="885"/>
        <v>46118</v>
      </c>
      <c r="OB117" s="56"/>
      <c r="OC117" s="242">
        <f>SUMPRODUCT(PRODUCE!$B126:$DY126,PRODUCE!$EB$50:$IY$50)</f>
        <v>0</v>
      </c>
      <c r="OD117" s="56"/>
      <c r="OE117" s="242">
        <f t="shared" si="886"/>
        <v>0</v>
      </c>
      <c r="OF117" s="242">
        <f t="shared" si="887"/>
        <v>1680.5</v>
      </c>
      <c r="OG117" s="56"/>
      <c r="OJ117" s="55">
        <f t="shared" si="888"/>
        <v>46118</v>
      </c>
      <c r="OK117" s="56"/>
      <c r="OL117" s="242">
        <f>SUMPRODUCT(PRODUCE!$B126:$DY126,PRODUCE!$EB$51:$IY$51)</f>
        <v>277.47000000000003</v>
      </c>
      <c r="OM117" s="56"/>
      <c r="ON117" s="242">
        <f t="shared" si="889"/>
        <v>277.47000000000003</v>
      </c>
      <c r="OO117" s="242">
        <f t="shared" si="890"/>
        <v>0</v>
      </c>
      <c r="OP117" s="56"/>
      <c r="OS117" s="55">
        <f t="shared" si="891"/>
        <v>46118</v>
      </c>
      <c r="OT117" s="56"/>
      <c r="OU117" s="242">
        <f>SUMPRODUCT(PRODUCE!$B126:$DY126,PRODUCE!$EB$52:$IY$52)</f>
        <v>0</v>
      </c>
      <c r="OV117" s="56"/>
      <c r="OW117" s="242">
        <f t="shared" si="892"/>
        <v>0</v>
      </c>
      <c r="OX117" s="242">
        <f t="shared" si="893"/>
        <v>1000</v>
      </c>
      <c r="OY117" s="56"/>
      <c r="PB117" s="55">
        <f t="shared" si="894"/>
        <v>46118</v>
      </c>
      <c r="PC117" s="56"/>
      <c r="PD117" s="242">
        <f>SUMPRODUCT(PRODUCE!$B126:$DY126,PRODUCE!$EB$53:$IY$53)</f>
        <v>0</v>
      </c>
      <c r="PE117" s="56"/>
      <c r="PF117" s="242">
        <f t="shared" si="895"/>
        <v>0</v>
      </c>
      <c r="PG117" s="242">
        <f t="shared" si="896"/>
        <v>0</v>
      </c>
      <c r="PH117" s="56"/>
      <c r="PK117" s="55">
        <f t="shared" si="897"/>
        <v>46118</v>
      </c>
      <c r="PL117" s="56"/>
      <c r="PM117" s="242">
        <f>SUMPRODUCT(PRODUCE!$B126:$DY126,PRODUCE!$EB$54:$IY$54)</f>
        <v>0</v>
      </c>
      <c r="PN117" s="56"/>
      <c r="PO117" s="242">
        <f t="shared" si="898"/>
        <v>0</v>
      </c>
      <c r="PP117" s="242">
        <f t="shared" si="899"/>
        <v>100</v>
      </c>
      <c r="PQ117" s="56"/>
      <c r="PT117" s="55">
        <f t="shared" si="900"/>
        <v>46118</v>
      </c>
      <c r="PU117" s="56"/>
      <c r="PV117" s="242">
        <f>SUMPRODUCT(PRODUCE!$B126:$DY126,PRODUCE!$EB$55:$IY$55)</f>
        <v>0</v>
      </c>
      <c r="PW117" s="56"/>
      <c r="PX117" s="242">
        <f t="shared" si="901"/>
        <v>0</v>
      </c>
      <c r="PY117" s="242">
        <f t="shared" si="902"/>
        <v>13.960000000000036</v>
      </c>
      <c r="PZ117" s="56"/>
      <c r="QC117" s="55">
        <f t="shared" si="903"/>
        <v>46118</v>
      </c>
      <c r="QD117" s="56"/>
      <c r="QE117" s="242">
        <f>SUMPRODUCT(PRODUCE!$B126:$DY126,PRODUCE!$EB$56:$IY$56)</f>
        <v>0</v>
      </c>
      <c r="QF117" s="56"/>
      <c r="QG117" s="242">
        <f t="shared" si="904"/>
        <v>0</v>
      </c>
      <c r="QH117" s="242">
        <f t="shared" si="905"/>
        <v>1212</v>
      </c>
      <c r="QI117" s="56"/>
      <c r="QL117" s="55">
        <f t="shared" si="906"/>
        <v>46118</v>
      </c>
      <c r="QM117" s="56"/>
      <c r="QN117" s="242">
        <f>SUMPRODUCT(PRODUCE!$B126:$DY126,PRODUCE!$EB$57:$IY$57)</f>
        <v>0</v>
      </c>
      <c r="QO117" s="56"/>
      <c r="QP117" s="242">
        <f t="shared" si="907"/>
        <v>0</v>
      </c>
      <c r="QQ117" s="242">
        <f t="shared" si="908"/>
        <v>400</v>
      </c>
      <c r="QR117" s="56"/>
      <c r="QU117" s="55">
        <f t="shared" si="909"/>
        <v>46118</v>
      </c>
      <c r="QV117" s="56"/>
      <c r="QW117" s="242">
        <f>SUMPRODUCT(PRODUCE!$B126:$DY126,PRODUCE!$EB$57:$IY$57)</f>
        <v>0</v>
      </c>
      <c r="QX117" s="56"/>
      <c r="QY117" s="242">
        <f t="shared" si="910"/>
        <v>0</v>
      </c>
      <c r="QZ117" s="242">
        <f t="shared" si="911"/>
        <v>207.6</v>
      </c>
      <c r="RA117" s="56"/>
      <c r="RD117" s="55">
        <f t="shared" si="912"/>
        <v>46118</v>
      </c>
      <c r="RE117" s="56"/>
      <c r="RF117" s="242">
        <f>SUMPRODUCT(PRODUCE!$B126:$DY126,PRODUCE!$EB$58:$IY$58)</f>
        <v>0</v>
      </c>
      <c r="RG117" s="56"/>
      <c r="RH117" s="242">
        <f t="shared" si="913"/>
        <v>0</v>
      </c>
      <c r="RI117" s="242">
        <f t="shared" si="914"/>
        <v>197.04000000000002</v>
      </c>
      <c r="RJ117" s="56"/>
      <c r="RM117" s="55">
        <f t="shared" si="915"/>
        <v>46118</v>
      </c>
      <c r="RN117" s="56"/>
      <c r="RO117" s="242">
        <f>SUMPRODUCT(PRODUCE!$B126:$DY126,PRODUCE!$EB$57:$IY$57)</f>
        <v>0</v>
      </c>
      <c r="RP117" s="56"/>
      <c r="RQ117" s="242">
        <f t="shared" si="916"/>
        <v>0</v>
      </c>
      <c r="RR117" s="242">
        <f t="shared" si="917"/>
        <v>46.8</v>
      </c>
      <c r="RS117" s="56"/>
      <c r="RV117" s="55">
        <f t="shared" si="918"/>
        <v>46118</v>
      </c>
      <c r="RW117" s="56"/>
      <c r="RX117" s="242">
        <f>SUMPRODUCT(PRODUCE!$B126:$DY126,PRODUCE!$EB$57:$IY$57)</f>
        <v>0</v>
      </c>
      <c r="RY117" s="56"/>
      <c r="RZ117" s="242">
        <f t="shared" si="919"/>
        <v>0</v>
      </c>
      <c r="SA117" s="242">
        <f t="shared" si="920"/>
        <v>0</v>
      </c>
      <c r="SB117" s="56"/>
      <c r="SE117" s="55">
        <f t="shared" si="921"/>
        <v>46118</v>
      </c>
      <c r="SF117" s="56"/>
      <c r="SG117" s="242">
        <f>SUMPRODUCT(PRODUCE!$B126:$DY126,PRODUCE!$EB$57:$IY$57)</f>
        <v>0</v>
      </c>
      <c r="SH117" s="56"/>
      <c r="SI117" s="242">
        <f t="shared" si="922"/>
        <v>0</v>
      </c>
      <c r="SJ117" s="242">
        <f t="shared" si="923"/>
        <v>0</v>
      </c>
      <c r="SK117" s="56"/>
      <c r="SN117" s="55">
        <f t="shared" si="924"/>
        <v>46118</v>
      </c>
      <c r="SO117" s="56"/>
      <c r="SP117" s="242">
        <f>SUMPRODUCT(PRODUCE!$B126:$DY126,PRODUCE!$EB$57:$IY$57)</f>
        <v>0</v>
      </c>
      <c r="SQ117" s="56"/>
      <c r="SR117" s="242">
        <f t="shared" si="925"/>
        <v>0</v>
      </c>
      <c r="SS117" s="242">
        <f t="shared" si="926"/>
        <v>0</v>
      </c>
      <c r="ST117" s="56"/>
      <c r="SW117" s="55">
        <f t="shared" si="927"/>
        <v>46118</v>
      </c>
      <c r="SX117" s="56"/>
      <c r="SY117" s="242">
        <f>SUMPRODUCT(PRODUCE!$B126:$DY126,PRODUCE!$EB$57:$IY$57)</f>
        <v>0</v>
      </c>
      <c r="SZ117" s="56"/>
      <c r="TA117" s="242">
        <f t="shared" si="928"/>
        <v>0</v>
      </c>
      <c r="TB117" s="242">
        <f t="shared" si="929"/>
        <v>0</v>
      </c>
      <c r="TC117" s="56"/>
      <c r="TF117" s="55">
        <f t="shared" si="930"/>
        <v>46118</v>
      </c>
      <c r="TG117" s="56"/>
      <c r="TH117" s="242">
        <f>SUMPRODUCT(PRODUCE!$B126:$DY126,PRODUCE!$EB$57:$IY$57)</f>
        <v>0</v>
      </c>
      <c r="TI117" s="56"/>
      <c r="TJ117" s="242">
        <f t="shared" si="931"/>
        <v>0</v>
      </c>
      <c r="TK117" s="242">
        <f t="shared" si="932"/>
        <v>0</v>
      </c>
      <c r="TL117" s="56"/>
      <c r="TO117" s="55">
        <f t="shared" si="933"/>
        <v>46118</v>
      </c>
      <c r="TP117" s="56"/>
      <c r="TQ117" s="242">
        <f>SUMPRODUCT(PRODUCE!$B126:$DY126,PRODUCE!$EB$57:$IY$57)</f>
        <v>0</v>
      </c>
      <c r="TR117" s="56"/>
      <c r="TS117" s="242">
        <f t="shared" si="934"/>
        <v>0</v>
      </c>
      <c r="TT117" s="242">
        <f t="shared" si="935"/>
        <v>0</v>
      </c>
      <c r="TU117" s="56"/>
      <c r="TX117" s="55">
        <f t="shared" si="936"/>
        <v>46118</v>
      </c>
      <c r="TY117" s="56"/>
      <c r="TZ117" s="242">
        <f>SUMPRODUCT(PRODUCE!$B126:$DY126,PRODUCE!$EB$57:$IY$57)</f>
        <v>0</v>
      </c>
      <c r="UA117" s="56"/>
      <c r="UB117" s="242">
        <f t="shared" si="937"/>
        <v>0</v>
      </c>
      <c r="UC117" s="242">
        <f t="shared" si="938"/>
        <v>0</v>
      </c>
      <c r="UD117" s="56"/>
      <c r="UG117" s="55">
        <f t="shared" si="939"/>
        <v>46118</v>
      </c>
      <c r="UH117" s="56"/>
      <c r="UI117" s="242">
        <f>SUMPRODUCT(PRODUCE!$B126:$DY126,PRODUCE!$EB$57:$IY$57)</f>
        <v>0</v>
      </c>
      <c r="UJ117" s="56"/>
      <c r="UK117" s="242">
        <f t="shared" si="940"/>
        <v>0</v>
      </c>
      <c r="UL117" s="242">
        <f t="shared" si="941"/>
        <v>0</v>
      </c>
      <c r="UM117" s="56"/>
      <c r="UP117" s="55">
        <f t="shared" si="942"/>
        <v>46118</v>
      </c>
      <c r="UQ117" s="56"/>
      <c r="UR117" s="242">
        <f>SUMPRODUCT(PRODUCE!$B126:$DY126,PRODUCE!$EB$57:$IY$57)</f>
        <v>0</v>
      </c>
      <c r="US117" s="56"/>
      <c r="UT117" s="242">
        <f t="shared" si="943"/>
        <v>0</v>
      </c>
      <c r="UU117" s="242">
        <f t="shared" si="944"/>
        <v>0</v>
      </c>
      <c r="UV117" s="56"/>
      <c r="UY117" s="55">
        <f t="shared" si="945"/>
        <v>46118</v>
      </c>
      <c r="UZ117" s="56"/>
      <c r="VA117" s="242">
        <f>SUMPRODUCT(PRODUCE!$B126:$DY126,PRODUCE!$EB$57:$IY$57)</f>
        <v>0</v>
      </c>
      <c r="VB117" s="56"/>
      <c r="VC117" s="242">
        <f t="shared" si="946"/>
        <v>0</v>
      </c>
      <c r="VD117" s="242">
        <f t="shared" si="947"/>
        <v>41.600000000000023</v>
      </c>
      <c r="VE117" s="56"/>
      <c r="VH117" s="55">
        <f t="shared" si="948"/>
        <v>46118</v>
      </c>
      <c r="VI117" s="56"/>
      <c r="VJ117" s="242">
        <f>SUMPRODUCT(PRODUCE!$B126:$DY126,PRODUCE!$EB$57:$IY$57)</f>
        <v>0</v>
      </c>
      <c r="VK117" s="56"/>
      <c r="VL117" s="242">
        <f t="shared" si="949"/>
        <v>0</v>
      </c>
      <c r="VM117" s="242">
        <f t="shared" si="950"/>
        <v>0</v>
      </c>
      <c r="VN117" s="56"/>
      <c r="VQ117" s="55">
        <f t="shared" si="951"/>
        <v>46118</v>
      </c>
      <c r="VR117" s="56"/>
      <c r="VS117" s="242">
        <f>SUMPRODUCT(PRODUCE!$B126:$DY126,PRODUCE!$EB$57:$IY$57)</f>
        <v>0</v>
      </c>
      <c r="VT117" s="56"/>
      <c r="VU117" s="242">
        <f t="shared" si="952"/>
        <v>0</v>
      </c>
      <c r="VV117" s="242">
        <f t="shared" si="953"/>
        <v>0</v>
      </c>
      <c r="VW117" s="56"/>
      <c r="VZ117" s="55">
        <f t="shared" si="954"/>
        <v>46118</v>
      </c>
      <c r="WA117" s="56"/>
      <c r="WB117" s="242">
        <f>SUMPRODUCT(PRODUCE!$B126:$DY126,PRODUCE!$EB$57:$IY$57)</f>
        <v>0</v>
      </c>
      <c r="WC117" s="56"/>
      <c r="WD117" s="242">
        <f t="shared" si="955"/>
        <v>0</v>
      </c>
      <c r="WE117" s="242">
        <f t="shared" si="956"/>
        <v>0</v>
      </c>
      <c r="WF117" s="56"/>
      <c r="WI117" s="55">
        <f t="shared" si="957"/>
        <v>46118</v>
      </c>
      <c r="WJ117" s="56"/>
      <c r="WK117" s="242">
        <f>SUMPRODUCT(PRODUCE!$B126:$DY126,PRODUCE!$EB$57:$IY$57)</f>
        <v>0</v>
      </c>
      <c r="WL117" s="56"/>
      <c r="WM117" s="242">
        <f t="shared" si="958"/>
        <v>0</v>
      </c>
      <c r="WN117" s="242">
        <f t="shared" si="959"/>
        <v>2317</v>
      </c>
      <c r="WO117" s="56"/>
      <c r="WR117" s="55">
        <f t="shared" si="960"/>
        <v>46118</v>
      </c>
      <c r="WS117" s="56"/>
      <c r="WT117" s="242">
        <f>SUMPRODUCT(PRODUCE!$B126:$DY126,PRODUCE!$EB$57:$IY$57)</f>
        <v>0</v>
      </c>
      <c r="WU117" s="56"/>
      <c r="WV117" s="242">
        <f t="shared" si="961"/>
        <v>0</v>
      </c>
      <c r="WW117" s="242">
        <f t="shared" si="962"/>
        <v>0</v>
      </c>
      <c r="WX117" s="56"/>
      <c r="XA117" s="55">
        <f t="shared" si="963"/>
        <v>46118</v>
      </c>
      <c r="XB117" s="56"/>
      <c r="XC117" s="242">
        <f>SUMPRODUCT(PRODUCE!$B126:$DY126,PRODUCE!$EB$57:$IY$57)</f>
        <v>0</v>
      </c>
      <c r="XD117" s="56"/>
      <c r="XE117" s="242">
        <f t="shared" si="964"/>
        <v>0</v>
      </c>
      <c r="XF117" s="242">
        <f t="shared" si="965"/>
        <v>14868</v>
      </c>
      <c r="XG117" s="56"/>
      <c r="XJ117" s="55">
        <f t="shared" si="966"/>
        <v>46118</v>
      </c>
      <c r="XK117" s="56"/>
      <c r="XL117" s="242">
        <f>SUMPRODUCT(PRODUCE!$B126:$DY126,PRODUCE!$EB$57:$IY$57)</f>
        <v>0</v>
      </c>
      <c r="XM117" s="56">
        <v>229</v>
      </c>
      <c r="XN117" s="242">
        <f t="shared" si="967"/>
        <v>-229</v>
      </c>
      <c r="XO117" s="242">
        <f t="shared" si="968"/>
        <v>7073</v>
      </c>
      <c r="XP117" s="56"/>
      <c r="XS117" s="55">
        <f t="shared" si="969"/>
        <v>46118</v>
      </c>
      <c r="XT117" s="56"/>
      <c r="XU117" s="242">
        <f>SUMPRODUCT(PRODUCE!$B126:$DY126,PRODUCE!$EB$57:$IY$57)</f>
        <v>0</v>
      </c>
      <c r="XV117" s="56"/>
      <c r="XW117" s="242">
        <f t="shared" si="970"/>
        <v>0</v>
      </c>
      <c r="XX117" s="242">
        <f t="shared" si="971"/>
        <v>1901</v>
      </c>
      <c r="XY117" s="56"/>
      <c r="YB117" s="55">
        <f t="shared" si="972"/>
        <v>46118</v>
      </c>
      <c r="YC117" s="56"/>
      <c r="YD117" s="242">
        <f>SUMPRODUCT(PRODUCE!$B126:$DY126,PRODUCE!$EB$57:$IY$57)</f>
        <v>0</v>
      </c>
      <c r="YE117" s="56"/>
      <c r="YF117" s="242">
        <f t="shared" si="973"/>
        <v>0</v>
      </c>
      <c r="YG117" s="242">
        <f t="shared" si="974"/>
        <v>6459</v>
      </c>
      <c r="YH117" s="56"/>
      <c r="YK117" s="55">
        <f t="shared" si="975"/>
        <v>46118</v>
      </c>
      <c r="YL117" s="56"/>
      <c r="YM117" s="242">
        <f>SUMPRODUCT(PRODUCE!$B126:$DY126,PRODUCE!$EB$57:$IY$57)</f>
        <v>0</v>
      </c>
      <c r="YN117" s="56"/>
      <c r="YO117" s="242">
        <f t="shared" si="976"/>
        <v>0</v>
      </c>
      <c r="YP117" s="242">
        <f t="shared" si="977"/>
        <v>0</v>
      </c>
      <c r="YQ117" s="56"/>
      <c r="YT117" s="55">
        <f t="shared" si="978"/>
        <v>46118</v>
      </c>
      <c r="YU117" s="56"/>
      <c r="YV117" s="242">
        <f>SUMPRODUCT(PRODUCE!$B126:$DY126,PRODUCE!$EB$57:$IY$57)</f>
        <v>0</v>
      </c>
      <c r="YW117" s="56"/>
      <c r="YX117" s="242">
        <f t="shared" si="979"/>
        <v>0</v>
      </c>
      <c r="YY117" s="242">
        <f t="shared" si="980"/>
        <v>0</v>
      </c>
      <c r="YZ117" s="56"/>
      <c r="ZC117" s="55">
        <f t="shared" si="981"/>
        <v>46118</v>
      </c>
      <c r="ZD117" s="56"/>
      <c r="ZE117" s="242">
        <f>SUMPRODUCT(PRODUCE!$B126:$DY126,PRODUCE!$EB$57:$IY$57)</f>
        <v>0</v>
      </c>
      <c r="ZF117" s="56"/>
      <c r="ZG117" s="242">
        <f t="shared" si="982"/>
        <v>0</v>
      </c>
      <c r="ZH117" s="242">
        <f t="shared" si="983"/>
        <v>0</v>
      </c>
      <c r="ZI117" s="56"/>
      <c r="ZL117" s="55">
        <f t="shared" si="984"/>
        <v>46118</v>
      </c>
      <c r="ZM117" s="56"/>
      <c r="ZN117" s="242">
        <f>SUMPRODUCT(PRODUCE!$B126:$DY126,PRODUCE!$EB$57:$IY$57)</f>
        <v>0</v>
      </c>
      <c r="ZO117" s="56"/>
      <c r="ZP117" s="242">
        <f t="shared" si="985"/>
        <v>0</v>
      </c>
      <c r="ZQ117" s="242">
        <f t="shared" si="986"/>
        <v>0</v>
      </c>
      <c r="ZR117" s="56"/>
      <c r="ZU117" s="55">
        <f t="shared" si="987"/>
        <v>46118</v>
      </c>
      <c r="ZV117" s="56"/>
      <c r="ZW117" s="242">
        <f>SUMPRODUCT(PRODUCE!$B126:$DY126,PRODUCE!$EB$57:$IY$57)</f>
        <v>0</v>
      </c>
      <c r="ZX117" s="56"/>
      <c r="ZY117" s="242">
        <f t="shared" si="988"/>
        <v>0</v>
      </c>
      <c r="ZZ117" s="242">
        <f t="shared" si="989"/>
        <v>0</v>
      </c>
      <c r="AAA117" s="56"/>
      <c r="AAD117" s="55">
        <f t="shared" si="990"/>
        <v>46118</v>
      </c>
      <c r="AAE117" s="56"/>
      <c r="AAF117" s="242">
        <f>SUMPRODUCT(PRODUCE!$B126:$DY126,PRODUCE!$EB$57:$IY$57)</f>
        <v>0</v>
      </c>
      <c r="AAG117" s="56"/>
      <c r="AAH117" s="242">
        <f t="shared" si="991"/>
        <v>0</v>
      </c>
      <c r="AAI117" s="242">
        <f t="shared" si="992"/>
        <v>0</v>
      </c>
      <c r="AAJ117" s="56"/>
      <c r="AAM117" s="55">
        <f t="shared" si="993"/>
        <v>46118</v>
      </c>
      <c r="AAN117" s="56"/>
      <c r="AAO117" s="242">
        <f>SUMPRODUCT(PRODUCE!$B126:$DY126,PRODUCE!$EB$57:$IY$57)</f>
        <v>0</v>
      </c>
      <c r="AAP117" s="56"/>
      <c r="AAQ117" s="242">
        <f t="shared" si="994"/>
        <v>0</v>
      </c>
      <c r="AAR117" s="242">
        <f t="shared" si="995"/>
        <v>0</v>
      </c>
      <c r="AAS117" s="56"/>
      <c r="AAV117" s="55">
        <f t="shared" si="996"/>
        <v>46118</v>
      </c>
      <c r="AAW117" s="56"/>
      <c r="AAX117" s="242">
        <f>SUMPRODUCT(PRODUCE!$B126:$DY126,PRODUCE!$EB$57:$IY$57)</f>
        <v>0</v>
      </c>
      <c r="AAY117" s="56"/>
      <c r="AAZ117" s="242">
        <f t="shared" si="997"/>
        <v>0</v>
      </c>
      <c r="ABA117" s="242">
        <f t="shared" si="998"/>
        <v>0</v>
      </c>
      <c r="ABB117" s="56"/>
      <c r="ABE117" s="55">
        <f t="shared" si="999"/>
        <v>46118</v>
      </c>
      <c r="ABF117" s="56"/>
      <c r="ABG117" s="242">
        <f>SUMPRODUCT(PRODUCE!$B126:$DY126,PRODUCE!$EB$57:$IY$57)</f>
        <v>0</v>
      </c>
      <c r="ABH117" s="56"/>
      <c r="ABI117" s="242">
        <f t="shared" si="1000"/>
        <v>0</v>
      </c>
      <c r="ABJ117" s="242">
        <f t="shared" si="1001"/>
        <v>0</v>
      </c>
      <c r="ABK117" s="56"/>
    </row>
    <row r="118" spans="2:739" s="54" customFormat="1" ht="15" customHeight="1" outlineLevel="1">
      <c r="B118" s="478">
        <v>12</v>
      </c>
      <c r="C118" s="55">
        <v>46119</v>
      </c>
      <c r="D118" s="422">
        <v>29860</v>
      </c>
      <c r="E118" s="423">
        <f>SUMPRODUCT(PRODUCE!$B127:$DY127,PRODUCE!$EB$7:$IY$7)</f>
        <v>6415.1999999999989</v>
      </c>
      <c r="F118" s="422">
        <v>6410.8</v>
      </c>
      <c r="G118" s="423">
        <f t="shared" si="1002"/>
        <v>4.3999999999987267</v>
      </c>
      <c r="H118" s="423">
        <f t="shared" si="1003"/>
        <v>151436.59999999998</v>
      </c>
      <c r="I118" s="289" t="s">
        <v>240</v>
      </c>
      <c r="L118" s="55">
        <f t="shared" si="759"/>
        <v>46119</v>
      </c>
      <c r="M118" s="422"/>
      <c r="N118" s="438">
        <f>SUMPRODUCT(PRODUCE!$B127:$DY127,PRODUCE!$EB$8:$IY$8)</f>
        <v>2058</v>
      </c>
      <c r="O118" s="422">
        <v>2057.4</v>
      </c>
      <c r="P118" s="438">
        <f t="shared" si="760"/>
        <v>0.59999999999990905</v>
      </c>
      <c r="Q118" s="438">
        <f t="shared" si="761"/>
        <v>64741.400000000089</v>
      </c>
      <c r="R118" s="56"/>
      <c r="U118" s="55">
        <f t="shared" si="762"/>
        <v>46119</v>
      </c>
      <c r="V118" s="422"/>
      <c r="W118" s="440">
        <f>SUMPRODUCT(PRODUCE!$B127:$DY127,PRODUCE!$EB$9:$IY$9)</f>
        <v>1020</v>
      </c>
      <c r="X118" s="422">
        <v>1020.6</v>
      </c>
      <c r="Y118" s="440">
        <f t="shared" si="763"/>
        <v>-0.60000000000002274</v>
      </c>
      <c r="Z118" s="440">
        <f t="shared" si="764"/>
        <v>29220.499999999971</v>
      </c>
      <c r="AA118" s="56"/>
      <c r="AD118" s="55">
        <f t="shared" si="765"/>
        <v>46119</v>
      </c>
      <c r="AE118" s="422"/>
      <c r="AF118" s="442">
        <f>SUMPRODUCT(PRODUCE!$B127:$DY127,PRODUCE!$EB$10:$IY$10)</f>
        <v>144</v>
      </c>
      <c r="AG118" s="422">
        <v>144.5</v>
      </c>
      <c r="AH118" s="442">
        <f t="shared" si="766"/>
        <v>-0.5</v>
      </c>
      <c r="AI118" s="442">
        <f t="shared" si="767"/>
        <v>47918.300000000017</v>
      </c>
      <c r="AJ118" s="56"/>
      <c r="AM118" s="55">
        <f t="shared" si="768"/>
        <v>46119</v>
      </c>
      <c r="AN118" s="422"/>
      <c r="AO118" s="444">
        <f>SUMPRODUCT(PRODUCE!$B127:$DY127,PRODUCE!$EB$11:$IY$11)</f>
        <v>0</v>
      </c>
      <c r="AP118" s="422"/>
      <c r="AQ118" s="444">
        <f t="shared" si="769"/>
        <v>0</v>
      </c>
      <c r="AR118" s="444">
        <f t="shared" si="770"/>
        <v>0</v>
      </c>
      <c r="AS118" s="56"/>
      <c r="AV118" s="55">
        <f t="shared" si="771"/>
        <v>46119</v>
      </c>
      <c r="AW118" s="422"/>
      <c r="AX118" s="446">
        <f>SUMPRODUCT(PRODUCE!$B127:$DY127,PRODUCE!$EB$12:$IY$12)</f>
        <v>0</v>
      </c>
      <c r="AY118" s="422"/>
      <c r="AZ118" s="446">
        <f t="shared" si="772"/>
        <v>0</v>
      </c>
      <c r="BA118" s="446">
        <f t="shared" si="773"/>
        <v>14116.999999999991</v>
      </c>
      <c r="BB118" s="56"/>
      <c r="BE118" s="55">
        <f t="shared" si="774"/>
        <v>46119</v>
      </c>
      <c r="BF118" s="422"/>
      <c r="BG118" s="448">
        <f>SUMPRODUCT(PRODUCE!$B127:$DY127,PRODUCE!$EB$13:$IY$13)</f>
        <v>540</v>
      </c>
      <c r="BH118" s="422">
        <v>539.4</v>
      </c>
      <c r="BI118" s="448">
        <f t="shared" si="775"/>
        <v>0.60000000000002274</v>
      </c>
      <c r="BJ118" s="448">
        <f t="shared" si="776"/>
        <v>21445.800000000003</v>
      </c>
      <c r="BK118" s="56"/>
      <c r="BN118" s="55">
        <f t="shared" si="777"/>
        <v>46119</v>
      </c>
      <c r="BO118" s="422">
        <v>234</v>
      </c>
      <c r="BP118" s="450">
        <f>SUMPRODUCT(PRODUCE!$B127:$DY127,PRODUCE!$EB$14:$IY$14)</f>
        <v>234</v>
      </c>
      <c r="BQ118" s="422">
        <v>234</v>
      </c>
      <c r="BR118" s="450">
        <f t="shared" si="778"/>
        <v>0</v>
      </c>
      <c r="BS118" s="450">
        <f t="shared" si="779"/>
        <v>0</v>
      </c>
      <c r="BT118" s="56"/>
      <c r="BW118" s="55">
        <f t="shared" si="780"/>
        <v>46119</v>
      </c>
      <c r="BX118" s="56"/>
      <c r="BY118" s="65">
        <f>SUMPRODUCT(PRODUCE!$B127:$DY127,PRODUCE!$EB$15:$IY$15)</f>
        <v>66.000000000000014</v>
      </c>
      <c r="BZ118" s="56"/>
      <c r="CA118" s="65">
        <f t="shared" si="781"/>
        <v>66.000000000000014</v>
      </c>
      <c r="CB118" s="65">
        <f t="shared" si="782"/>
        <v>10465.799999999999</v>
      </c>
      <c r="CC118" s="56"/>
      <c r="CF118" s="55">
        <f t="shared" si="783"/>
        <v>46119</v>
      </c>
      <c r="CG118" s="56"/>
      <c r="CH118" s="66">
        <f>SUMPRODUCT(PRODUCE!$B127:$DY127,PRODUCE!$EB$16:$IY$16)</f>
        <v>108.00000000000003</v>
      </c>
      <c r="CI118" s="56"/>
      <c r="CJ118" s="66">
        <f t="shared" si="784"/>
        <v>108.00000000000003</v>
      </c>
      <c r="CK118" s="66">
        <f t="shared" si="785"/>
        <v>0</v>
      </c>
      <c r="CL118" s="56"/>
      <c r="CO118" s="55">
        <f t="shared" si="786"/>
        <v>46119</v>
      </c>
      <c r="CP118" s="422"/>
      <c r="CQ118" s="470">
        <f>SUMPRODUCT(PRODUCE!$B127:$DY127,PRODUCE!$EB$17:$IY$17)</f>
        <v>0</v>
      </c>
      <c r="CR118" s="422"/>
      <c r="CS118" s="470">
        <f t="shared" si="787"/>
        <v>0</v>
      </c>
      <c r="CT118" s="470">
        <f t="shared" si="788"/>
        <v>0</v>
      </c>
      <c r="CU118" s="56"/>
      <c r="CX118" s="55">
        <f t="shared" si="789"/>
        <v>46119</v>
      </c>
      <c r="CY118" s="56"/>
      <c r="CZ118" s="133">
        <f>SUMPRODUCT(PRODUCE!$B127:$DY127,PRODUCE!$EB$18:$IY$18)</f>
        <v>600</v>
      </c>
      <c r="DA118" s="56">
        <v>600.20000000000005</v>
      </c>
      <c r="DB118" s="133">
        <f t="shared" si="790"/>
        <v>-0.20000000000004547</v>
      </c>
      <c r="DC118" s="133">
        <f t="shared" si="791"/>
        <v>34160.700000000004</v>
      </c>
      <c r="DD118" s="56"/>
      <c r="DG118" s="55">
        <f t="shared" si="792"/>
        <v>46119</v>
      </c>
      <c r="DH118" s="56">
        <v>28440</v>
      </c>
      <c r="DI118" s="147">
        <f>SUMPRODUCT(PRODUCE!$B127:$DY127,PRODUCE!$EB$19:$IY$19)</f>
        <v>480</v>
      </c>
      <c r="DJ118" s="56">
        <v>479.2</v>
      </c>
      <c r="DK118" s="147">
        <f t="shared" si="793"/>
        <v>0.80000000000001137</v>
      </c>
      <c r="DL118" s="147">
        <f t="shared" si="794"/>
        <v>30381.199999999993</v>
      </c>
      <c r="DM118" s="56"/>
      <c r="DP118" s="55">
        <f t="shared" si="795"/>
        <v>46119</v>
      </c>
      <c r="DQ118" s="56"/>
      <c r="DR118" s="57">
        <f>SUMPRODUCT(PRODUCE!$B127:$DY127,PRODUCE!$EB$20:$IY$20)</f>
        <v>0</v>
      </c>
      <c r="DS118" s="56"/>
      <c r="DT118" s="57">
        <f t="shared" si="796"/>
        <v>0</v>
      </c>
      <c r="DU118" s="57">
        <f t="shared" si="797"/>
        <v>7050</v>
      </c>
      <c r="DV118" s="56"/>
      <c r="DY118" s="55">
        <f t="shared" si="798"/>
        <v>46119</v>
      </c>
      <c r="DZ118" s="56"/>
      <c r="EA118" s="157">
        <f>SUMPRODUCT(PRODUCE!$B127:$DY127,PRODUCE!$EB$21:$IY$21)</f>
        <v>0</v>
      </c>
      <c r="EB118" s="56"/>
      <c r="EC118" s="157">
        <f t="shared" si="799"/>
        <v>0</v>
      </c>
      <c r="ED118" s="157">
        <f t="shared" si="800"/>
        <v>147.30000000000018</v>
      </c>
      <c r="EE118" s="56"/>
      <c r="EH118" s="55">
        <f t="shared" si="801"/>
        <v>46119</v>
      </c>
      <c r="EI118" s="56"/>
      <c r="EJ118" s="162">
        <f>SUMPRODUCT(PRODUCE!$B127:$DY127,PRODUCE!$EB$22:$IY$22)</f>
        <v>0</v>
      </c>
      <c r="EK118" s="56"/>
      <c r="EL118" s="162">
        <f t="shared" si="802"/>
        <v>0</v>
      </c>
      <c r="EM118" s="162">
        <f t="shared" si="803"/>
        <v>0</v>
      </c>
      <c r="EN118" s="56"/>
      <c r="EQ118" s="55">
        <f t="shared" si="804"/>
        <v>46119</v>
      </c>
      <c r="ER118" s="56"/>
      <c r="ES118" s="135">
        <f>SUMPRODUCT(PRODUCE!$B127:$DY127,PRODUCE!$EB$23:$IY$23)</f>
        <v>0</v>
      </c>
      <c r="ET118" s="56"/>
      <c r="EU118" s="135">
        <f t="shared" si="805"/>
        <v>0</v>
      </c>
      <c r="EV118" s="135">
        <f t="shared" si="806"/>
        <v>0</v>
      </c>
      <c r="EW118" s="56"/>
      <c r="EZ118" s="55">
        <f t="shared" si="807"/>
        <v>46119</v>
      </c>
      <c r="FA118" s="56"/>
      <c r="FB118" s="175">
        <f>SUMPRODUCT(PRODUCE!$B127:$DY127,PRODUCE!$EB$24:$IY$24)</f>
        <v>0</v>
      </c>
      <c r="FC118" s="56"/>
      <c r="FD118" s="175">
        <f t="shared" si="808"/>
        <v>0</v>
      </c>
      <c r="FE118" s="175">
        <f t="shared" si="809"/>
        <v>0</v>
      </c>
      <c r="FF118" s="56"/>
      <c r="FI118" s="55">
        <f t="shared" si="810"/>
        <v>46119</v>
      </c>
      <c r="FJ118" s="56"/>
      <c r="FK118" s="183">
        <f>SUMPRODUCT(PRODUCE!$B127:$DY127,PRODUCE!$EB$25:$IY$25)</f>
        <v>0</v>
      </c>
      <c r="FL118" s="56"/>
      <c r="FM118" s="183">
        <f t="shared" si="811"/>
        <v>0</v>
      </c>
      <c r="FN118" s="183">
        <f t="shared" si="812"/>
        <v>0</v>
      </c>
      <c r="FO118" s="56"/>
      <c r="FR118" s="55">
        <f t="shared" si="813"/>
        <v>46119</v>
      </c>
      <c r="FS118" s="422"/>
      <c r="FT118" s="452">
        <f>SUMPRODUCT(PRODUCE!$B127:$DY127,PRODUCE!$EB$26:$IY$26)</f>
        <v>0</v>
      </c>
      <c r="FU118" s="422"/>
      <c r="FV118" s="452">
        <f t="shared" si="814"/>
        <v>0</v>
      </c>
      <c r="FW118" s="452">
        <f t="shared" si="815"/>
        <v>460</v>
      </c>
      <c r="FX118" s="56"/>
      <c r="GA118" s="55">
        <f t="shared" si="816"/>
        <v>46119</v>
      </c>
      <c r="GB118" s="422"/>
      <c r="GC118" s="454">
        <f>SUMPRODUCT(PRODUCE!$B127:$DY127,PRODUCE!$EB$27:$IY$27)</f>
        <v>0</v>
      </c>
      <c r="GD118" s="422"/>
      <c r="GE118" s="454">
        <f t="shared" si="817"/>
        <v>0</v>
      </c>
      <c r="GF118" s="454">
        <f t="shared" si="818"/>
        <v>6000</v>
      </c>
      <c r="GG118" s="56"/>
      <c r="GI118" s="23"/>
      <c r="GJ118" s="55">
        <f t="shared" si="819"/>
        <v>46119</v>
      </c>
      <c r="GK118" s="422"/>
      <c r="GL118" s="456">
        <f>SUMPRODUCT(PRODUCE!$B127:$DY127,PRODUCE!$EB$28:$IY$28)</f>
        <v>0</v>
      </c>
      <c r="GM118" s="422"/>
      <c r="GN118" s="456">
        <f t="shared" si="820"/>
        <v>0</v>
      </c>
      <c r="GO118" s="456">
        <f t="shared" si="821"/>
        <v>4800</v>
      </c>
      <c r="GP118" s="56"/>
      <c r="GS118" s="55">
        <f t="shared" si="822"/>
        <v>46119</v>
      </c>
      <c r="GT118" s="56"/>
      <c r="GU118" s="195">
        <f>SUMPRODUCT(PRODUCE!$B127:$DY127,PRODUCE!$EB$29:$IY$29)</f>
        <v>0</v>
      </c>
      <c r="GV118" s="56"/>
      <c r="GW118" s="195">
        <f t="shared" si="823"/>
        <v>0</v>
      </c>
      <c r="GX118" s="195">
        <f t="shared" si="824"/>
        <v>0</v>
      </c>
      <c r="GY118" s="56"/>
      <c r="HB118" s="55">
        <f t="shared" si="825"/>
        <v>46119</v>
      </c>
      <c r="HC118" s="56"/>
      <c r="HD118" s="191">
        <f>SUMPRODUCT(PRODUCE!$B127:$DY127,PRODUCE!$EB$30:$IY$30)</f>
        <v>0</v>
      </c>
      <c r="HE118" s="56"/>
      <c r="HF118" s="191">
        <f t="shared" si="826"/>
        <v>0</v>
      </c>
      <c r="HG118" s="191">
        <f t="shared" si="827"/>
        <v>0</v>
      </c>
      <c r="HH118" s="56"/>
      <c r="HK118" s="55">
        <f t="shared" si="828"/>
        <v>46119</v>
      </c>
      <c r="HL118" s="56"/>
      <c r="HM118" s="63">
        <f>SUMPRODUCT(PRODUCE!$B127:$DY127,PRODUCE!$EB$31:$IY$31)</f>
        <v>0</v>
      </c>
      <c r="HN118" s="56"/>
      <c r="HO118" s="63">
        <f t="shared" si="829"/>
        <v>0</v>
      </c>
      <c r="HP118" s="63">
        <f t="shared" si="830"/>
        <v>0</v>
      </c>
      <c r="HQ118" s="56"/>
      <c r="HU118" s="55">
        <f t="shared" si="831"/>
        <v>46119</v>
      </c>
      <c r="HV118" s="56"/>
      <c r="HW118" s="242">
        <f>SUMPRODUCT(PRODUCE!$B127:$DY127,PRODUCE!$EB$32:$IY$32)</f>
        <v>0</v>
      </c>
      <c r="HX118" s="56"/>
      <c r="HY118" s="242">
        <f t="shared" si="832"/>
        <v>0</v>
      </c>
      <c r="HZ118" s="242">
        <f t="shared" si="833"/>
        <v>5120</v>
      </c>
      <c r="IA118" s="56"/>
      <c r="ID118" s="55">
        <f t="shared" si="834"/>
        <v>46119</v>
      </c>
      <c r="IE118" s="56"/>
      <c r="IF118" s="242">
        <f>SUMPRODUCT(PRODUCE!$B127:$DY127,PRODUCE!$EB$33:$IY$33)</f>
        <v>0</v>
      </c>
      <c r="IG118" s="56"/>
      <c r="IH118" s="242">
        <f t="shared" si="835"/>
        <v>0</v>
      </c>
      <c r="II118" s="242">
        <f t="shared" si="836"/>
        <v>6540</v>
      </c>
      <c r="IJ118" s="56"/>
      <c r="IM118" s="55">
        <f t="shared" si="837"/>
        <v>46119</v>
      </c>
      <c r="IN118" s="56"/>
      <c r="IO118" s="242">
        <f>SUMPRODUCT(PRODUCE!$B127:$DY127,PRODUCE!$EB$34:$IY$34)</f>
        <v>0</v>
      </c>
      <c r="IP118" s="56"/>
      <c r="IQ118" s="242">
        <f t="shared" si="838"/>
        <v>0</v>
      </c>
      <c r="IR118" s="242">
        <f t="shared" si="839"/>
        <v>11540</v>
      </c>
      <c r="IS118" s="56"/>
      <c r="IV118" s="55">
        <f t="shared" si="840"/>
        <v>46119</v>
      </c>
      <c r="IW118" s="56"/>
      <c r="IX118" s="242">
        <f>SUMPRODUCT(PRODUCE!$B127:$DY127,PRODUCE!$EB$35:$IY$35)</f>
        <v>0</v>
      </c>
      <c r="IY118" s="56"/>
      <c r="IZ118" s="242">
        <f t="shared" si="841"/>
        <v>0</v>
      </c>
      <c r="JA118" s="242">
        <f t="shared" si="842"/>
        <v>15120</v>
      </c>
      <c r="JB118" s="56"/>
      <c r="JE118" s="55">
        <f t="shared" si="843"/>
        <v>46119</v>
      </c>
      <c r="JF118" s="56"/>
      <c r="JG118" s="242">
        <f>SUMPRODUCT(PRODUCE!$B127:$DY127,PRODUCE!$EB$36:$IY$36)</f>
        <v>0</v>
      </c>
      <c r="JH118" s="56"/>
      <c r="JI118" s="242">
        <f t="shared" si="844"/>
        <v>0</v>
      </c>
      <c r="JJ118" s="242">
        <f t="shared" si="845"/>
        <v>5040</v>
      </c>
      <c r="JK118" s="56"/>
      <c r="JN118" s="55">
        <f t="shared" si="846"/>
        <v>46119</v>
      </c>
      <c r="JO118" s="56"/>
      <c r="JP118" s="242">
        <f>SUMPRODUCT(PRODUCE!$B127:$DY127,PRODUCE!$EB$37:$IY$37)</f>
        <v>0</v>
      </c>
      <c r="JQ118" s="56"/>
      <c r="JR118" s="242">
        <f t="shared" si="847"/>
        <v>0</v>
      </c>
      <c r="JS118" s="242">
        <f t="shared" si="848"/>
        <v>9100</v>
      </c>
      <c r="JT118" s="56"/>
      <c r="JW118" s="55">
        <f t="shared" si="849"/>
        <v>46119</v>
      </c>
      <c r="JX118" s="56"/>
      <c r="JY118" s="242">
        <f>SUMPRODUCT(PRODUCE!$B127:$DY127,PRODUCE!$EB$38:$IY$38)</f>
        <v>0</v>
      </c>
      <c r="JZ118" s="56"/>
      <c r="KA118" s="242">
        <f t="shared" si="850"/>
        <v>0</v>
      </c>
      <c r="KB118" s="242">
        <f t="shared" si="851"/>
        <v>3540</v>
      </c>
      <c r="KC118" s="56"/>
      <c r="KF118" s="55">
        <f t="shared" si="852"/>
        <v>46119</v>
      </c>
      <c r="KG118" s="56">
        <f>100*19.5</f>
        <v>1950</v>
      </c>
      <c r="KH118" s="242">
        <f>SUMPRODUCT(PRODUCE!$B127:$DY127,PRODUCE!$EB$39:$IY$39)</f>
        <v>0</v>
      </c>
      <c r="KI118" s="56"/>
      <c r="KJ118" s="242">
        <f t="shared" si="853"/>
        <v>0</v>
      </c>
      <c r="KK118" s="242">
        <f t="shared" si="854"/>
        <v>6649.5</v>
      </c>
      <c r="KL118" s="56"/>
      <c r="KO118" s="55">
        <f t="shared" si="855"/>
        <v>46119</v>
      </c>
      <c r="KP118" s="56"/>
      <c r="KQ118" s="242">
        <f>SUMPRODUCT(PRODUCE!$B127:$DY127,PRODUCE!$EB$40:$IY$40)</f>
        <v>226.79999999999998</v>
      </c>
      <c r="KR118" s="56"/>
      <c r="KS118" s="242">
        <f t="shared" si="856"/>
        <v>226.79999999999998</v>
      </c>
      <c r="KT118" s="242">
        <f t="shared" si="857"/>
        <v>6426</v>
      </c>
      <c r="KU118" s="56"/>
      <c r="KW118" s="23"/>
      <c r="KX118" s="55">
        <f t="shared" si="858"/>
        <v>46119</v>
      </c>
      <c r="KY118" s="56"/>
      <c r="KZ118" s="242">
        <f>SUMPRODUCT(PRODUCE!$B127:$DY127,PRODUCE!$EB$41:$IY$41)</f>
        <v>0</v>
      </c>
      <c r="LA118" s="56"/>
      <c r="LB118" s="242">
        <f t="shared" si="859"/>
        <v>0</v>
      </c>
      <c r="LC118" s="242">
        <f t="shared" si="860"/>
        <v>0</v>
      </c>
      <c r="LD118" s="56"/>
      <c r="LG118" s="55">
        <f t="shared" si="861"/>
        <v>46119</v>
      </c>
      <c r="LH118" s="56"/>
      <c r="LI118" s="242">
        <f>SUMPRODUCT(PRODUCE!$B127:$DY127,PRODUCE!$EB$42:$IY$42)</f>
        <v>0</v>
      </c>
      <c r="LJ118" s="56"/>
      <c r="LK118" s="242">
        <f t="shared" si="862"/>
        <v>0</v>
      </c>
      <c r="LL118" s="242">
        <f t="shared" si="863"/>
        <v>0</v>
      </c>
      <c r="LM118" s="56"/>
      <c r="LP118" s="55">
        <f t="shared" si="864"/>
        <v>46119</v>
      </c>
      <c r="LQ118" s="56"/>
      <c r="LR118" s="242">
        <f>SUMPRODUCT(PRODUCE!$B133:$DY133,PRODUCE!$EB$43:$IY$43)</f>
        <v>0</v>
      </c>
      <c r="LS118" s="56"/>
      <c r="LT118" s="242">
        <f t="shared" si="865"/>
        <v>0</v>
      </c>
      <c r="LU118" s="242">
        <f t="shared" si="866"/>
        <v>0</v>
      </c>
      <c r="LV118" s="56"/>
      <c r="LY118" s="55">
        <f t="shared" si="867"/>
        <v>46119</v>
      </c>
      <c r="LZ118" s="56"/>
      <c r="MA118" s="242">
        <f>SUMPRODUCT(PRODUCE!$B127:$DY127,PRODUCE!$EB$44:$IY$44)</f>
        <v>0</v>
      </c>
      <c r="MB118" s="56"/>
      <c r="MC118" s="242">
        <f t="shared" si="868"/>
        <v>0</v>
      </c>
      <c r="MD118" s="242">
        <f t="shared" si="869"/>
        <v>0</v>
      </c>
      <c r="ME118" s="56"/>
      <c r="MH118" s="55">
        <f t="shared" si="870"/>
        <v>46119</v>
      </c>
      <c r="MI118" s="56"/>
      <c r="MJ118" s="242">
        <f>SUMPRODUCT(PRODUCE!$B127:$DY127,PRODUCE!$EB$45:$IY$45)</f>
        <v>0</v>
      </c>
      <c r="MK118" s="56"/>
      <c r="ML118" s="242">
        <f t="shared" si="871"/>
        <v>0</v>
      </c>
      <c r="MM118" s="242">
        <f t="shared" si="872"/>
        <v>0</v>
      </c>
      <c r="MN118" s="56"/>
      <c r="MQ118" s="55">
        <f t="shared" si="873"/>
        <v>46119</v>
      </c>
      <c r="MR118" s="56"/>
      <c r="MS118" s="242">
        <f>SUMPRODUCT(PRODUCE!$B127:$DY127,PRODUCE!$EB$46:$IY$46)</f>
        <v>24</v>
      </c>
      <c r="MT118" s="56"/>
      <c r="MU118" s="242">
        <f t="shared" si="874"/>
        <v>24</v>
      </c>
      <c r="MV118" s="242">
        <f t="shared" si="875"/>
        <v>4157</v>
      </c>
      <c r="MW118" s="56"/>
      <c r="MZ118" s="55">
        <f t="shared" si="876"/>
        <v>46119</v>
      </c>
      <c r="NA118" s="56"/>
      <c r="NB118" s="242">
        <f>SUMPRODUCT(PRODUCE!$B127:$DY127,PRODUCE!$EB$47:$IY$47)</f>
        <v>36</v>
      </c>
      <c r="NC118" s="56"/>
      <c r="ND118" s="242">
        <f t="shared" si="877"/>
        <v>36</v>
      </c>
      <c r="NE118" s="242">
        <f t="shared" si="878"/>
        <v>0</v>
      </c>
      <c r="NF118" s="56"/>
      <c r="NI118" s="55">
        <f t="shared" si="879"/>
        <v>46119</v>
      </c>
      <c r="NJ118" s="56"/>
      <c r="NK118" s="242">
        <f>SUMPRODUCT(PRODUCE!$B127:$DY127,PRODUCE!$EB$48:$IY$48)</f>
        <v>0</v>
      </c>
      <c r="NL118" s="56"/>
      <c r="NM118" s="242">
        <f t="shared" si="880"/>
        <v>0</v>
      </c>
      <c r="NN118" s="242">
        <f t="shared" si="881"/>
        <v>1877</v>
      </c>
      <c r="NO118" s="56"/>
      <c r="NR118" s="55">
        <f t="shared" si="882"/>
        <v>46119</v>
      </c>
      <c r="NS118" s="56"/>
      <c r="NT118" s="242">
        <f>SUMPRODUCT(PRODUCE!$B127:$DY127,PRODUCE!$EB$49:$IY$49)</f>
        <v>14.399999999999999</v>
      </c>
      <c r="NU118" s="56"/>
      <c r="NV118" s="242">
        <f t="shared" si="883"/>
        <v>14.399999999999999</v>
      </c>
      <c r="NW118" s="242">
        <f t="shared" si="884"/>
        <v>3960.9</v>
      </c>
      <c r="NX118" s="56"/>
      <c r="OA118" s="55">
        <f t="shared" si="885"/>
        <v>46119</v>
      </c>
      <c r="OB118" s="56"/>
      <c r="OC118" s="242">
        <f>SUMPRODUCT(PRODUCE!$B127:$DY127,PRODUCE!$EB$50:$IY$50)</f>
        <v>0</v>
      </c>
      <c r="OD118" s="56"/>
      <c r="OE118" s="242">
        <f t="shared" si="886"/>
        <v>0</v>
      </c>
      <c r="OF118" s="242">
        <f t="shared" si="887"/>
        <v>1680.5</v>
      </c>
      <c r="OG118" s="56"/>
      <c r="OJ118" s="55">
        <f t="shared" si="888"/>
        <v>46119</v>
      </c>
      <c r="OK118" s="56"/>
      <c r="OL118" s="242">
        <f>SUMPRODUCT(PRODUCE!$B127:$DY127,PRODUCE!$EB$51:$IY$51)</f>
        <v>33.599999999999994</v>
      </c>
      <c r="OM118" s="56"/>
      <c r="ON118" s="242">
        <f t="shared" si="889"/>
        <v>33.599999999999994</v>
      </c>
      <c r="OO118" s="242">
        <f t="shared" si="890"/>
        <v>0</v>
      </c>
      <c r="OP118" s="56"/>
      <c r="OS118" s="55">
        <f t="shared" si="891"/>
        <v>46119</v>
      </c>
      <c r="OT118" s="56"/>
      <c r="OU118" s="242">
        <f>SUMPRODUCT(PRODUCE!$B127:$DY127,PRODUCE!$EB$52:$IY$52)</f>
        <v>0</v>
      </c>
      <c r="OV118" s="56"/>
      <c r="OW118" s="242">
        <f t="shared" si="892"/>
        <v>0</v>
      </c>
      <c r="OX118" s="242">
        <f t="shared" si="893"/>
        <v>1000</v>
      </c>
      <c r="OY118" s="56"/>
      <c r="PB118" s="55">
        <f t="shared" si="894"/>
        <v>46119</v>
      </c>
      <c r="PC118" s="56"/>
      <c r="PD118" s="242">
        <f>SUMPRODUCT(PRODUCE!$B127:$DY127,PRODUCE!$EB$53:$IY$53)</f>
        <v>0</v>
      </c>
      <c r="PE118" s="56"/>
      <c r="PF118" s="242">
        <f t="shared" si="895"/>
        <v>0</v>
      </c>
      <c r="PG118" s="242">
        <f t="shared" si="896"/>
        <v>0</v>
      </c>
      <c r="PH118" s="56"/>
      <c r="PK118" s="55">
        <f t="shared" si="897"/>
        <v>46119</v>
      </c>
      <c r="PL118" s="56"/>
      <c r="PM118" s="242">
        <f>SUMPRODUCT(PRODUCE!$B127:$DY127,PRODUCE!$EB$54:$IY$54)</f>
        <v>0</v>
      </c>
      <c r="PN118" s="56"/>
      <c r="PO118" s="242">
        <f t="shared" si="898"/>
        <v>0</v>
      </c>
      <c r="PP118" s="242">
        <f t="shared" si="899"/>
        <v>100</v>
      </c>
      <c r="PQ118" s="56"/>
      <c r="PT118" s="55">
        <f t="shared" si="900"/>
        <v>46119</v>
      </c>
      <c r="PU118" s="56"/>
      <c r="PV118" s="242">
        <f>SUMPRODUCT(PRODUCE!$B127:$DY127,PRODUCE!$EB$55:$IY$55)</f>
        <v>0</v>
      </c>
      <c r="PW118" s="56"/>
      <c r="PX118" s="242">
        <f t="shared" si="901"/>
        <v>0</v>
      </c>
      <c r="PY118" s="242">
        <f t="shared" si="902"/>
        <v>13.960000000000036</v>
      </c>
      <c r="PZ118" s="56"/>
      <c r="QC118" s="55">
        <f t="shared" si="903"/>
        <v>46119</v>
      </c>
      <c r="QD118" s="56"/>
      <c r="QE118" s="242">
        <f>SUMPRODUCT(PRODUCE!$B127:$DY127,PRODUCE!$EB$56:$IY$56)</f>
        <v>0</v>
      </c>
      <c r="QF118" s="56"/>
      <c r="QG118" s="242">
        <f t="shared" si="904"/>
        <v>0</v>
      </c>
      <c r="QH118" s="242">
        <f t="shared" si="905"/>
        <v>1212</v>
      </c>
      <c r="QI118" s="56"/>
      <c r="QL118" s="55">
        <f t="shared" si="906"/>
        <v>46119</v>
      </c>
      <c r="QM118" s="56"/>
      <c r="QN118" s="242">
        <f>SUMPRODUCT(PRODUCE!$B127:$DY127,PRODUCE!$EB$57:$IY$57)</f>
        <v>0</v>
      </c>
      <c r="QO118" s="56"/>
      <c r="QP118" s="242">
        <f t="shared" si="907"/>
        <v>0</v>
      </c>
      <c r="QQ118" s="242">
        <f t="shared" si="908"/>
        <v>400</v>
      </c>
      <c r="QR118" s="56"/>
      <c r="QU118" s="55">
        <f t="shared" si="909"/>
        <v>46119</v>
      </c>
      <c r="QV118" s="56"/>
      <c r="QW118" s="242">
        <f>SUMPRODUCT(PRODUCE!$B127:$DY127,PRODUCE!$EB$57:$IY$57)</f>
        <v>0</v>
      </c>
      <c r="QX118" s="56"/>
      <c r="QY118" s="242">
        <f t="shared" si="910"/>
        <v>0</v>
      </c>
      <c r="QZ118" s="242">
        <f t="shared" si="911"/>
        <v>207.6</v>
      </c>
      <c r="RA118" s="56"/>
      <c r="RD118" s="55">
        <f t="shared" si="912"/>
        <v>46119</v>
      </c>
      <c r="RE118" s="56"/>
      <c r="RF118" s="242">
        <f>SUMPRODUCT(PRODUCE!$B127:$DY127,PRODUCE!$EB$58:$IY$58)</f>
        <v>0</v>
      </c>
      <c r="RG118" s="56"/>
      <c r="RH118" s="242">
        <f t="shared" si="913"/>
        <v>0</v>
      </c>
      <c r="RI118" s="242">
        <f t="shared" si="914"/>
        <v>197.04000000000002</v>
      </c>
      <c r="RJ118" s="56"/>
      <c r="RM118" s="55">
        <f t="shared" si="915"/>
        <v>46119</v>
      </c>
      <c r="RN118" s="56"/>
      <c r="RO118" s="242">
        <f>SUMPRODUCT(PRODUCE!$B127:$DY127,PRODUCE!$EB$57:$IY$57)</f>
        <v>0</v>
      </c>
      <c r="RP118" s="56"/>
      <c r="RQ118" s="242">
        <f t="shared" si="916"/>
        <v>0</v>
      </c>
      <c r="RR118" s="242">
        <f t="shared" si="917"/>
        <v>46.8</v>
      </c>
      <c r="RS118" s="56"/>
      <c r="RV118" s="55">
        <f t="shared" si="918"/>
        <v>46119</v>
      </c>
      <c r="RW118" s="56"/>
      <c r="RX118" s="242">
        <f>SUMPRODUCT(PRODUCE!$B127:$DY127,PRODUCE!$EB$57:$IY$57)</f>
        <v>0</v>
      </c>
      <c r="RY118" s="56"/>
      <c r="RZ118" s="242">
        <f t="shared" si="919"/>
        <v>0</v>
      </c>
      <c r="SA118" s="242">
        <f t="shared" si="920"/>
        <v>0</v>
      </c>
      <c r="SB118" s="56"/>
      <c r="SE118" s="55">
        <f t="shared" si="921"/>
        <v>46119</v>
      </c>
      <c r="SF118" s="56"/>
      <c r="SG118" s="242">
        <f>SUMPRODUCT(PRODUCE!$B127:$DY127,PRODUCE!$EB$57:$IY$57)</f>
        <v>0</v>
      </c>
      <c r="SH118" s="56"/>
      <c r="SI118" s="242">
        <f t="shared" si="922"/>
        <v>0</v>
      </c>
      <c r="SJ118" s="242">
        <f t="shared" si="923"/>
        <v>0</v>
      </c>
      <c r="SK118" s="56"/>
      <c r="SN118" s="55">
        <f t="shared" si="924"/>
        <v>46119</v>
      </c>
      <c r="SO118" s="56"/>
      <c r="SP118" s="242">
        <f>SUMPRODUCT(PRODUCE!$B127:$DY127,PRODUCE!$EB$57:$IY$57)</f>
        <v>0</v>
      </c>
      <c r="SQ118" s="56"/>
      <c r="SR118" s="242">
        <f t="shared" si="925"/>
        <v>0</v>
      </c>
      <c r="SS118" s="242">
        <f t="shared" si="926"/>
        <v>0</v>
      </c>
      <c r="ST118" s="56"/>
      <c r="SW118" s="55">
        <f t="shared" si="927"/>
        <v>46119</v>
      </c>
      <c r="SX118" s="56"/>
      <c r="SY118" s="242">
        <f>SUMPRODUCT(PRODUCE!$B127:$DY127,PRODUCE!$EB$57:$IY$57)</f>
        <v>0</v>
      </c>
      <c r="SZ118" s="56"/>
      <c r="TA118" s="242">
        <f t="shared" si="928"/>
        <v>0</v>
      </c>
      <c r="TB118" s="242">
        <f t="shared" si="929"/>
        <v>0</v>
      </c>
      <c r="TC118" s="56"/>
      <c r="TF118" s="55">
        <f t="shared" si="930"/>
        <v>46119</v>
      </c>
      <c r="TG118" s="56"/>
      <c r="TH118" s="242">
        <f>SUMPRODUCT(PRODUCE!$B127:$DY127,PRODUCE!$EB$57:$IY$57)</f>
        <v>0</v>
      </c>
      <c r="TI118" s="56"/>
      <c r="TJ118" s="242">
        <f t="shared" si="931"/>
        <v>0</v>
      </c>
      <c r="TK118" s="242">
        <f t="shared" si="932"/>
        <v>0</v>
      </c>
      <c r="TL118" s="56"/>
      <c r="TO118" s="55">
        <f t="shared" si="933"/>
        <v>46119</v>
      </c>
      <c r="TP118" s="56"/>
      <c r="TQ118" s="242">
        <f>SUMPRODUCT(PRODUCE!$B127:$DY127,PRODUCE!$EB$57:$IY$57)</f>
        <v>0</v>
      </c>
      <c r="TR118" s="56"/>
      <c r="TS118" s="242">
        <f t="shared" si="934"/>
        <v>0</v>
      </c>
      <c r="TT118" s="242">
        <f t="shared" si="935"/>
        <v>0</v>
      </c>
      <c r="TU118" s="56"/>
      <c r="TX118" s="55">
        <f t="shared" si="936"/>
        <v>46119</v>
      </c>
      <c r="TY118" s="56"/>
      <c r="TZ118" s="242">
        <f>SUMPRODUCT(PRODUCE!$B127:$DY127,PRODUCE!$EB$57:$IY$57)</f>
        <v>0</v>
      </c>
      <c r="UA118" s="56"/>
      <c r="UB118" s="242">
        <f t="shared" si="937"/>
        <v>0</v>
      </c>
      <c r="UC118" s="242">
        <f t="shared" si="938"/>
        <v>0</v>
      </c>
      <c r="UD118" s="56"/>
      <c r="UG118" s="55">
        <f t="shared" si="939"/>
        <v>46119</v>
      </c>
      <c r="UH118" s="56"/>
      <c r="UI118" s="242">
        <f>SUMPRODUCT(PRODUCE!$B127:$DY127,PRODUCE!$EB$57:$IY$57)</f>
        <v>0</v>
      </c>
      <c r="UJ118" s="56"/>
      <c r="UK118" s="242">
        <f t="shared" si="940"/>
        <v>0</v>
      </c>
      <c r="UL118" s="242">
        <f t="shared" si="941"/>
        <v>0</v>
      </c>
      <c r="UM118" s="56"/>
      <c r="UP118" s="55">
        <f t="shared" si="942"/>
        <v>46119</v>
      </c>
      <c r="UQ118" s="56"/>
      <c r="UR118" s="242">
        <f>SUMPRODUCT(PRODUCE!$B127:$DY127,PRODUCE!$EB$57:$IY$57)</f>
        <v>0</v>
      </c>
      <c r="US118" s="56"/>
      <c r="UT118" s="242">
        <f t="shared" si="943"/>
        <v>0</v>
      </c>
      <c r="UU118" s="242">
        <f t="shared" si="944"/>
        <v>0</v>
      </c>
      <c r="UV118" s="56"/>
      <c r="UY118" s="55">
        <f t="shared" si="945"/>
        <v>46119</v>
      </c>
      <c r="UZ118" s="56"/>
      <c r="VA118" s="242">
        <f>SUMPRODUCT(PRODUCE!$B127:$DY127,PRODUCE!$EB$57:$IY$57)</f>
        <v>0</v>
      </c>
      <c r="VB118" s="56"/>
      <c r="VC118" s="242">
        <f t="shared" si="946"/>
        <v>0</v>
      </c>
      <c r="VD118" s="242">
        <f t="shared" si="947"/>
        <v>41.600000000000023</v>
      </c>
      <c r="VE118" s="56"/>
      <c r="VH118" s="55">
        <f t="shared" si="948"/>
        <v>46119</v>
      </c>
      <c r="VI118" s="56"/>
      <c r="VJ118" s="242">
        <f>SUMPRODUCT(PRODUCE!$B127:$DY127,PRODUCE!$EB$57:$IY$57)</f>
        <v>0</v>
      </c>
      <c r="VK118" s="56"/>
      <c r="VL118" s="242">
        <f t="shared" si="949"/>
        <v>0</v>
      </c>
      <c r="VM118" s="242">
        <f t="shared" si="950"/>
        <v>0</v>
      </c>
      <c r="VN118" s="56"/>
      <c r="VQ118" s="55">
        <f t="shared" si="951"/>
        <v>46119</v>
      </c>
      <c r="VR118" s="56"/>
      <c r="VS118" s="242">
        <f>SUMPRODUCT(PRODUCE!$B127:$DY127,PRODUCE!$EB$57:$IY$57)</f>
        <v>0</v>
      </c>
      <c r="VT118" s="56"/>
      <c r="VU118" s="242">
        <f t="shared" si="952"/>
        <v>0</v>
      </c>
      <c r="VV118" s="242">
        <f t="shared" si="953"/>
        <v>0</v>
      </c>
      <c r="VW118" s="56"/>
      <c r="VZ118" s="55">
        <f t="shared" si="954"/>
        <v>46119</v>
      </c>
      <c r="WA118" s="56"/>
      <c r="WB118" s="242">
        <f>SUMPRODUCT(PRODUCE!$B127:$DY127,PRODUCE!$EB$57:$IY$57)</f>
        <v>0</v>
      </c>
      <c r="WC118" s="56"/>
      <c r="WD118" s="242">
        <f t="shared" si="955"/>
        <v>0</v>
      </c>
      <c r="WE118" s="242">
        <f t="shared" si="956"/>
        <v>0</v>
      </c>
      <c r="WF118" s="56"/>
      <c r="WI118" s="55">
        <f t="shared" si="957"/>
        <v>46119</v>
      </c>
      <c r="WJ118" s="56"/>
      <c r="WK118" s="242">
        <f>SUMPRODUCT(PRODUCE!$B127:$DY127,PRODUCE!$EB$57:$IY$57)</f>
        <v>0</v>
      </c>
      <c r="WL118" s="56"/>
      <c r="WM118" s="242">
        <f t="shared" si="958"/>
        <v>0</v>
      </c>
      <c r="WN118" s="242">
        <f t="shared" si="959"/>
        <v>2317</v>
      </c>
      <c r="WO118" s="56"/>
      <c r="WR118" s="55">
        <f t="shared" si="960"/>
        <v>46119</v>
      </c>
      <c r="WS118" s="56">
        <v>8000</v>
      </c>
      <c r="WT118" s="242">
        <f>SUMPRODUCT(PRODUCE!$B127:$DY127,PRODUCE!$EB$57:$IY$57)</f>
        <v>0</v>
      </c>
      <c r="WU118" s="56"/>
      <c r="WV118" s="242">
        <f t="shared" si="961"/>
        <v>0</v>
      </c>
      <c r="WW118" s="242">
        <f t="shared" si="962"/>
        <v>8000</v>
      </c>
      <c r="WX118" s="56"/>
      <c r="XA118" s="55">
        <f t="shared" si="963"/>
        <v>46119</v>
      </c>
      <c r="XB118" s="56"/>
      <c r="XC118" s="242">
        <f>SUMPRODUCT(PRODUCE!$B127:$DY127,PRODUCE!$EB$57:$IY$57)</f>
        <v>0</v>
      </c>
      <c r="XD118" s="56"/>
      <c r="XE118" s="242">
        <f t="shared" si="964"/>
        <v>0</v>
      </c>
      <c r="XF118" s="242">
        <f t="shared" si="965"/>
        <v>14868</v>
      </c>
      <c r="XG118" s="56"/>
      <c r="XJ118" s="55">
        <f t="shared" si="966"/>
        <v>46119</v>
      </c>
      <c r="XK118" s="56"/>
      <c r="XL118" s="242">
        <f>SUMPRODUCT(PRODUCE!$B127:$DY127,PRODUCE!$EB$57:$IY$57)</f>
        <v>0</v>
      </c>
      <c r="XM118" s="56">
        <v>1082</v>
      </c>
      <c r="XN118" s="242">
        <f t="shared" si="967"/>
        <v>-1082</v>
      </c>
      <c r="XO118" s="242">
        <f t="shared" si="968"/>
        <v>5991</v>
      </c>
      <c r="XP118" s="56"/>
      <c r="XS118" s="55">
        <f t="shared" si="969"/>
        <v>46119</v>
      </c>
      <c r="XT118" s="56"/>
      <c r="XU118" s="242">
        <f>SUMPRODUCT(PRODUCE!$B127:$DY127,PRODUCE!$EB$57:$IY$57)</f>
        <v>0</v>
      </c>
      <c r="XV118" s="56"/>
      <c r="XW118" s="242">
        <f t="shared" si="970"/>
        <v>0</v>
      </c>
      <c r="XX118" s="242">
        <f t="shared" si="971"/>
        <v>1901</v>
      </c>
      <c r="XY118" s="56"/>
      <c r="YB118" s="55">
        <f t="shared" si="972"/>
        <v>46119</v>
      </c>
      <c r="YC118" s="56"/>
      <c r="YD118" s="242">
        <f>SUMPRODUCT(PRODUCE!$B127:$DY127,PRODUCE!$EB$57:$IY$57)</f>
        <v>0</v>
      </c>
      <c r="YE118" s="56"/>
      <c r="YF118" s="242">
        <f t="shared" si="973"/>
        <v>0</v>
      </c>
      <c r="YG118" s="242">
        <f t="shared" si="974"/>
        <v>6459</v>
      </c>
      <c r="YH118" s="56"/>
      <c r="YK118" s="55">
        <f t="shared" si="975"/>
        <v>46119</v>
      </c>
      <c r="YL118" s="56"/>
      <c r="YM118" s="242">
        <f>SUMPRODUCT(PRODUCE!$B127:$DY127,PRODUCE!$EB$57:$IY$57)</f>
        <v>0</v>
      </c>
      <c r="YN118" s="56"/>
      <c r="YO118" s="242">
        <f t="shared" si="976"/>
        <v>0</v>
      </c>
      <c r="YP118" s="242">
        <f t="shared" si="977"/>
        <v>0</v>
      </c>
      <c r="YQ118" s="56"/>
      <c r="YT118" s="55">
        <f t="shared" si="978"/>
        <v>46119</v>
      </c>
      <c r="YU118" s="56"/>
      <c r="YV118" s="242">
        <f>SUMPRODUCT(PRODUCE!$B127:$DY127,PRODUCE!$EB$57:$IY$57)</f>
        <v>0</v>
      </c>
      <c r="YW118" s="56"/>
      <c r="YX118" s="242">
        <f t="shared" si="979"/>
        <v>0</v>
      </c>
      <c r="YY118" s="242">
        <f t="shared" si="980"/>
        <v>0</v>
      </c>
      <c r="YZ118" s="56"/>
      <c r="ZC118" s="55">
        <f t="shared" si="981"/>
        <v>46119</v>
      </c>
      <c r="ZD118" s="56"/>
      <c r="ZE118" s="242">
        <f>SUMPRODUCT(PRODUCE!$B127:$DY127,PRODUCE!$EB$57:$IY$57)</f>
        <v>0</v>
      </c>
      <c r="ZF118" s="56"/>
      <c r="ZG118" s="242">
        <f t="shared" si="982"/>
        <v>0</v>
      </c>
      <c r="ZH118" s="242">
        <f t="shared" si="983"/>
        <v>0</v>
      </c>
      <c r="ZI118" s="56"/>
      <c r="ZL118" s="55">
        <f t="shared" si="984"/>
        <v>46119</v>
      </c>
      <c r="ZM118" s="56"/>
      <c r="ZN118" s="242">
        <f>SUMPRODUCT(PRODUCE!$B127:$DY127,PRODUCE!$EB$57:$IY$57)</f>
        <v>0</v>
      </c>
      <c r="ZO118" s="56"/>
      <c r="ZP118" s="242">
        <f t="shared" si="985"/>
        <v>0</v>
      </c>
      <c r="ZQ118" s="242">
        <f t="shared" si="986"/>
        <v>0</v>
      </c>
      <c r="ZR118" s="56"/>
      <c r="ZU118" s="55">
        <f t="shared" si="987"/>
        <v>46119</v>
      </c>
      <c r="ZV118" s="56"/>
      <c r="ZW118" s="242">
        <f>SUMPRODUCT(PRODUCE!$B127:$DY127,PRODUCE!$EB$57:$IY$57)</f>
        <v>0</v>
      </c>
      <c r="ZX118" s="56"/>
      <c r="ZY118" s="242">
        <f t="shared" si="988"/>
        <v>0</v>
      </c>
      <c r="ZZ118" s="242">
        <f t="shared" si="989"/>
        <v>0</v>
      </c>
      <c r="AAA118" s="56"/>
      <c r="AAD118" s="55">
        <f t="shared" si="990"/>
        <v>46119</v>
      </c>
      <c r="AAE118" s="56"/>
      <c r="AAF118" s="242">
        <f>SUMPRODUCT(PRODUCE!$B127:$DY127,PRODUCE!$EB$57:$IY$57)</f>
        <v>0</v>
      </c>
      <c r="AAG118" s="56"/>
      <c r="AAH118" s="242">
        <f t="shared" si="991"/>
        <v>0</v>
      </c>
      <c r="AAI118" s="242">
        <f t="shared" si="992"/>
        <v>0</v>
      </c>
      <c r="AAJ118" s="56"/>
      <c r="AAM118" s="55">
        <f t="shared" si="993"/>
        <v>46119</v>
      </c>
      <c r="AAN118" s="56"/>
      <c r="AAO118" s="242">
        <f>SUMPRODUCT(PRODUCE!$B127:$DY127,PRODUCE!$EB$57:$IY$57)</f>
        <v>0</v>
      </c>
      <c r="AAP118" s="56"/>
      <c r="AAQ118" s="242">
        <f t="shared" si="994"/>
        <v>0</v>
      </c>
      <c r="AAR118" s="242">
        <f t="shared" si="995"/>
        <v>0</v>
      </c>
      <c r="AAS118" s="56"/>
      <c r="AAV118" s="55">
        <f t="shared" si="996"/>
        <v>46119</v>
      </c>
      <c r="AAW118" s="56"/>
      <c r="AAX118" s="242">
        <f>SUMPRODUCT(PRODUCE!$B127:$DY127,PRODUCE!$EB$57:$IY$57)</f>
        <v>0</v>
      </c>
      <c r="AAY118" s="56"/>
      <c r="AAZ118" s="242">
        <f t="shared" si="997"/>
        <v>0</v>
      </c>
      <c r="ABA118" s="242">
        <f t="shared" si="998"/>
        <v>0</v>
      </c>
      <c r="ABB118" s="56"/>
      <c r="ABE118" s="55">
        <f t="shared" si="999"/>
        <v>46119</v>
      </c>
      <c r="ABF118" s="56"/>
      <c r="ABG118" s="242">
        <f>SUMPRODUCT(PRODUCE!$B127:$DY127,PRODUCE!$EB$57:$IY$57)</f>
        <v>0</v>
      </c>
      <c r="ABH118" s="56"/>
      <c r="ABI118" s="242">
        <f t="shared" si="1000"/>
        <v>0</v>
      </c>
      <c r="ABJ118" s="242">
        <f t="shared" si="1001"/>
        <v>0</v>
      </c>
      <c r="ABK118" s="56"/>
    </row>
    <row r="119" spans="2:739" s="54" customFormat="1" ht="15" customHeight="1" outlineLevel="1">
      <c r="B119" s="478">
        <v>70</v>
      </c>
      <c r="C119" s="55">
        <v>46120</v>
      </c>
      <c r="D119" s="422">
        <v>49500</v>
      </c>
      <c r="E119" s="423">
        <f>SUMPRODUCT(PRODUCE!$B128:$DY128,PRODUCE!$EB$7:$IY$7)</f>
        <v>35164.5</v>
      </c>
      <c r="F119" s="422">
        <v>35155.800000000003</v>
      </c>
      <c r="G119" s="423">
        <f t="shared" si="1002"/>
        <v>8.6999999999970896</v>
      </c>
      <c r="H119" s="423">
        <f t="shared" si="1003"/>
        <v>165780.79999999999</v>
      </c>
      <c r="I119" s="289" t="s">
        <v>219</v>
      </c>
      <c r="L119" s="55">
        <f t="shared" si="759"/>
        <v>46120</v>
      </c>
      <c r="M119" s="422">
        <v>23600</v>
      </c>
      <c r="N119" s="438">
        <f>SUMPRODUCT(PRODUCE!$B128:$DY128,PRODUCE!$EB$8:$IY$8)</f>
        <v>14350</v>
      </c>
      <c r="O119" s="422">
        <v>14354.4</v>
      </c>
      <c r="P119" s="438">
        <f t="shared" si="760"/>
        <v>-4.3999999999996362</v>
      </c>
      <c r="Q119" s="438">
        <f t="shared" si="761"/>
        <v>73987.000000000087</v>
      </c>
      <c r="R119" s="56"/>
      <c r="U119" s="55">
        <f t="shared" si="762"/>
        <v>46120</v>
      </c>
      <c r="V119" s="422"/>
      <c r="W119" s="440">
        <f>SUMPRODUCT(PRODUCE!$B128:$DY128,PRODUCE!$EB$9:$IY$9)</f>
        <v>5844.9999999999991</v>
      </c>
      <c r="X119" s="422">
        <v>5845.2</v>
      </c>
      <c r="Y119" s="440">
        <f t="shared" si="763"/>
        <v>-0.2000000000007276</v>
      </c>
      <c r="Z119" s="440">
        <f t="shared" si="764"/>
        <v>23375.29999999997</v>
      </c>
      <c r="AA119" s="56"/>
      <c r="AD119" s="55">
        <f t="shared" si="765"/>
        <v>46120</v>
      </c>
      <c r="AE119" s="422"/>
      <c r="AF119" s="442">
        <f>SUMPRODUCT(PRODUCE!$B128:$DY128,PRODUCE!$EB$10:$IY$10)</f>
        <v>910.00000000000011</v>
      </c>
      <c r="AG119" s="422">
        <v>911.8</v>
      </c>
      <c r="AH119" s="442">
        <f t="shared" si="766"/>
        <v>-1.7999999999998408</v>
      </c>
      <c r="AI119" s="442">
        <f t="shared" si="767"/>
        <v>47006.500000000015</v>
      </c>
      <c r="AJ119" s="56"/>
      <c r="AM119" s="55">
        <f t="shared" si="768"/>
        <v>46120</v>
      </c>
      <c r="AN119" s="422"/>
      <c r="AO119" s="444">
        <f>SUMPRODUCT(PRODUCE!$B128:$DY128,PRODUCE!$EB$11:$IY$11)</f>
        <v>0</v>
      </c>
      <c r="AP119" s="422"/>
      <c r="AQ119" s="444">
        <f t="shared" si="769"/>
        <v>0</v>
      </c>
      <c r="AR119" s="444">
        <f t="shared" si="770"/>
        <v>0</v>
      </c>
      <c r="AS119" s="56"/>
      <c r="AV119" s="55">
        <f t="shared" si="771"/>
        <v>46120</v>
      </c>
      <c r="AW119" s="422"/>
      <c r="AX119" s="446">
        <f>SUMPRODUCT(PRODUCE!$B128:$DY128,PRODUCE!$EB$12:$IY$12)</f>
        <v>0</v>
      </c>
      <c r="AY119" s="422"/>
      <c r="AZ119" s="446">
        <f t="shared" si="772"/>
        <v>0</v>
      </c>
      <c r="BA119" s="446">
        <f t="shared" si="773"/>
        <v>14116.999999999991</v>
      </c>
      <c r="BB119" s="56"/>
      <c r="BE119" s="55">
        <f t="shared" si="774"/>
        <v>46120</v>
      </c>
      <c r="BF119" s="422"/>
      <c r="BG119" s="448">
        <f>SUMPRODUCT(PRODUCE!$B128:$DY128,PRODUCE!$EB$13:$IY$13)</f>
        <v>2940</v>
      </c>
      <c r="BH119" s="422">
        <v>2939.9</v>
      </c>
      <c r="BI119" s="448">
        <f t="shared" si="775"/>
        <v>9.9999999999909051E-2</v>
      </c>
      <c r="BJ119" s="448">
        <f t="shared" si="776"/>
        <v>18505.900000000001</v>
      </c>
      <c r="BK119" s="56"/>
      <c r="BN119" s="55">
        <f t="shared" si="777"/>
        <v>46120</v>
      </c>
      <c r="BO119" s="422">
        <v>1399</v>
      </c>
      <c r="BP119" s="450">
        <f>SUMPRODUCT(PRODUCE!$B128:$DY128,PRODUCE!$EB$14:$IY$14)</f>
        <v>1400</v>
      </c>
      <c r="BQ119" s="422">
        <v>1399</v>
      </c>
      <c r="BR119" s="450">
        <f t="shared" si="778"/>
        <v>1</v>
      </c>
      <c r="BS119" s="450">
        <f t="shared" si="779"/>
        <v>0</v>
      </c>
      <c r="BT119" s="56"/>
      <c r="BW119" s="55">
        <f t="shared" si="780"/>
        <v>46120</v>
      </c>
      <c r="BX119" s="56"/>
      <c r="BY119" s="65">
        <f>SUMPRODUCT(PRODUCE!$B128:$DY128,PRODUCE!$EB$15:$IY$15)</f>
        <v>465.5</v>
      </c>
      <c r="BZ119" s="56">
        <f>465.5+199.5+77</f>
        <v>742</v>
      </c>
      <c r="CA119" s="65">
        <f t="shared" si="781"/>
        <v>-276.5</v>
      </c>
      <c r="CB119" s="65">
        <f t="shared" si="782"/>
        <v>9723.7999999999993</v>
      </c>
      <c r="CC119" s="56"/>
      <c r="CF119" s="55">
        <f t="shared" si="783"/>
        <v>46120</v>
      </c>
      <c r="CG119" s="56">
        <v>1126</v>
      </c>
      <c r="CH119" s="66">
        <f>SUMPRODUCT(PRODUCE!$B128:$DY128,PRODUCE!$EB$16:$IY$16)</f>
        <v>700</v>
      </c>
      <c r="CI119" s="56">
        <f>700+300+126</f>
        <v>1126</v>
      </c>
      <c r="CJ119" s="66">
        <f t="shared" si="784"/>
        <v>-426</v>
      </c>
      <c r="CK119" s="66">
        <f t="shared" si="785"/>
        <v>0</v>
      </c>
      <c r="CL119" s="56"/>
      <c r="CO119" s="55">
        <f t="shared" si="786"/>
        <v>46120</v>
      </c>
      <c r="CP119" s="422"/>
      <c r="CQ119" s="470">
        <f>SUMPRODUCT(PRODUCE!$B128:$DY128,PRODUCE!$EB$17:$IY$17)</f>
        <v>0</v>
      </c>
      <c r="CR119" s="422"/>
      <c r="CS119" s="470">
        <f t="shared" si="787"/>
        <v>0</v>
      </c>
      <c r="CT119" s="470">
        <f t="shared" si="788"/>
        <v>0</v>
      </c>
      <c r="CU119" s="56"/>
      <c r="CX119" s="55">
        <f t="shared" si="789"/>
        <v>46120</v>
      </c>
      <c r="CY119" s="56"/>
      <c r="CZ119" s="133">
        <f>SUMPRODUCT(PRODUCE!$B128:$DY128,PRODUCE!$EB$18:$IY$18)</f>
        <v>3500</v>
      </c>
      <c r="DA119" s="56">
        <v>3501.3</v>
      </c>
      <c r="DB119" s="133">
        <f t="shared" si="790"/>
        <v>-1.3000000000001819</v>
      </c>
      <c r="DC119" s="133">
        <f t="shared" si="791"/>
        <v>30659.400000000005</v>
      </c>
      <c r="DD119" s="56"/>
      <c r="DG119" s="55">
        <f t="shared" si="792"/>
        <v>46120</v>
      </c>
      <c r="DH119" s="56"/>
      <c r="DI119" s="147">
        <f>SUMPRODUCT(PRODUCE!$B128:$DY128,PRODUCE!$EB$19:$IY$19)</f>
        <v>2800</v>
      </c>
      <c r="DJ119" s="56">
        <v>2799.6</v>
      </c>
      <c r="DK119" s="147">
        <f t="shared" si="793"/>
        <v>0.40000000000009095</v>
      </c>
      <c r="DL119" s="147">
        <f t="shared" si="794"/>
        <v>27581.599999999995</v>
      </c>
      <c r="DM119" s="56"/>
      <c r="DP119" s="55">
        <f t="shared" si="795"/>
        <v>46120</v>
      </c>
      <c r="DQ119" s="56"/>
      <c r="DR119" s="57">
        <f>SUMPRODUCT(PRODUCE!$B128:$DY128,PRODUCE!$EB$20:$IY$20)</f>
        <v>0</v>
      </c>
      <c r="DS119" s="56"/>
      <c r="DT119" s="57">
        <f t="shared" si="796"/>
        <v>0</v>
      </c>
      <c r="DU119" s="57">
        <f t="shared" si="797"/>
        <v>7050</v>
      </c>
      <c r="DV119" s="56"/>
      <c r="DY119" s="55">
        <f t="shared" si="798"/>
        <v>46120</v>
      </c>
      <c r="DZ119" s="56"/>
      <c r="EA119" s="157">
        <f>SUMPRODUCT(PRODUCE!$B128:$DY128,PRODUCE!$EB$21:$IY$21)</f>
        <v>0</v>
      </c>
      <c r="EB119" s="56"/>
      <c r="EC119" s="157">
        <f t="shared" si="799"/>
        <v>0</v>
      </c>
      <c r="ED119" s="157">
        <f t="shared" si="800"/>
        <v>147.30000000000018</v>
      </c>
      <c r="EE119" s="56"/>
      <c r="EH119" s="55">
        <f t="shared" si="801"/>
        <v>46120</v>
      </c>
      <c r="EI119" s="56"/>
      <c r="EJ119" s="162">
        <f>SUMPRODUCT(PRODUCE!$B128:$DY128,PRODUCE!$EB$22:$IY$22)</f>
        <v>0</v>
      </c>
      <c r="EK119" s="56"/>
      <c r="EL119" s="162">
        <f t="shared" si="802"/>
        <v>0</v>
      </c>
      <c r="EM119" s="162">
        <f t="shared" si="803"/>
        <v>0</v>
      </c>
      <c r="EN119" s="56"/>
      <c r="EQ119" s="55">
        <f t="shared" si="804"/>
        <v>46120</v>
      </c>
      <c r="ER119" s="56"/>
      <c r="ES119" s="135">
        <f>SUMPRODUCT(PRODUCE!$B128:$DY128,PRODUCE!$EB$23:$IY$23)</f>
        <v>0</v>
      </c>
      <c r="ET119" s="56"/>
      <c r="EU119" s="135">
        <f t="shared" si="805"/>
        <v>0</v>
      </c>
      <c r="EV119" s="135">
        <f t="shared" si="806"/>
        <v>0</v>
      </c>
      <c r="EW119" s="56"/>
      <c r="EZ119" s="55">
        <f t="shared" si="807"/>
        <v>46120</v>
      </c>
      <c r="FA119" s="56"/>
      <c r="FB119" s="175">
        <f>SUMPRODUCT(PRODUCE!$B128:$DY128,PRODUCE!$EB$24:$IY$24)</f>
        <v>0</v>
      </c>
      <c r="FC119" s="56"/>
      <c r="FD119" s="175">
        <f t="shared" si="808"/>
        <v>0</v>
      </c>
      <c r="FE119" s="175">
        <f t="shared" si="809"/>
        <v>0</v>
      </c>
      <c r="FF119" s="56"/>
      <c r="FI119" s="55">
        <f t="shared" si="810"/>
        <v>46120</v>
      </c>
      <c r="FJ119" s="56"/>
      <c r="FK119" s="183">
        <f>SUMPRODUCT(PRODUCE!$B128:$DY128,PRODUCE!$EB$25:$IY$25)</f>
        <v>0</v>
      </c>
      <c r="FL119" s="56"/>
      <c r="FM119" s="183">
        <f t="shared" si="811"/>
        <v>0</v>
      </c>
      <c r="FN119" s="183">
        <f t="shared" si="812"/>
        <v>0</v>
      </c>
      <c r="FO119" s="56"/>
      <c r="FR119" s="55">
        <f t="shared" si="813"/>
        <v>46120</v>
      </c>
      <c r="FS119" s="422"/>
      <c r="FT119" s="452">
        <f>SUMPRODUCT(PRODUCE!$B128:$DY128,PRODUCE!$EB$26:$IY$26)</f>
        <v>0</v>
      </c>
      <c r="FU119" s="422"/>
      <c r="FV119" s="452">
        <f t="shared" si="814"/>
        <v>0</v>
      </c>
      <c r="FW119" s="452">
        <f t="shared" si="815"/>
        <v>460</v>
      </c>
      <c r="FX119" s="56"/>
      <c r="GA119" s="55">
        <f t="shared" si="816"/>
        <v>46120</v>
      </c>
      <c r="GB119" s="422"/>
      <c r="GC119" s="454">
        <f>SUMPRODUCT(PRODUCE!$B128:$DY128,PRODUCE!$EB$27:$IY$27)</f>
        <v>0</v>
      </c>
      <c r="GD119" s="422"/>
      <c r="GE119" s="454">
        <f t="shared" si="817"/>
        <v>0</v>
      </c>
      <c r="GF119" s="454">
        <f t="shared" si="818"/>
        <v>6000</v>
      </c>
      <c r="GG119" s="56"/>
      <c r="GI119" s="23"/>
      <c r="GJ119" s="55">
        <f t="shared" si="819"/>
        <v>46120</v>
      </c>
      <c r="GK119" s="422"/>
      <c r="GL119" s="456">
        <f>SUMPRODUCT(PRODUCE!$B128:$DY128,PRODUCE!$EB$28:$IY$28)</f>
        <v>0</v>
      </c>
      <c r="GM119" s="422"/>
      <c r="GN119" s="456">
        <f t="shared" si="820"/>
        <v>0</v>
      </c>
      <c r="GO119" s="456">
        <f t="shared" si="821"/>
        <v>4800</v>
      </c>
      <c r="GP119" s="56"/>
      <c r="GS119" s="55">
        <f t="shared" si="822"/>
        <v>46120</v>
      </c>
      <c r="GT119" s="56"/>
      <c r="GU119" s="195">
        <f>SUMPRODUCT(PRODUCE!$B128:$DY128,PRODUCE!$EB$29:$IY$29)</f>
        <v>0</v>
      </c>
      <c r="GV119" s="56"/>
      <c r="GW119" s="195">
        <f t="shared" si="823"/>
        <v>0</v>
      </c>
      <c r="GX119" s="195">
        <f t="shared" si="824"/>
        <v>0</v>
      </c>
      <c r="GY119" s="56"/>
      <c r="HB119" s="55">
        <f t="shared" si="825"/>
        <v>46120</v>
      </c>
      <c r="HC119" s="56"/>
      <c r="HD119" s="191">
        <f>SUMPRODUCT(PRODUCE!$B128:$DY128,PRODUCE!$EB$30:$IY$30)</f>
        <v>0</v>
      </c>
      <c r="HE119" s="56"/>
      <c r="HF119" s="191">
        <f t="shared" si="826"/>
        <v>0</v>
      </c>
      <c r="HG119" s="191">
        <f t="shared" si="827"/>
        <v>0</v>
      </c>
      <c r="HH119" s="56"/>
      <c r="HK119" s="55">
        <f t="shared" si="828"/>
        <v>46120</v>
      </c>
      <c r="HL119" s="56"/>
      <c r="HM119" s="63">
        <f>SUMPRODUCT(PRODUCE!$B128:$DY128,PRODUCE!$EB$31:$IY$31)</f>
        <v>0</v>
      </c>
      <c r="HN119" s="56"/>
      <c r="HO119" s="63">
        <f t="shared" si="829"/>
        <v>0</v>
      </c>
      <c r="HP119" s="63">
        <f t="shared" si="830"/>
        <v>0</v>
      </c>
      <c r="HQ119" s="56"/>
      <c r="HU119" s="55">
        <f t="shared" si="831"/>
        <v>46120</v>
      </c>
      <c r="HV119" s="56"/>
      <c r="HW119" s="242">
        <f>SUMPRODUCT(PRODUCE!$B128:$DY128,PRODUCE!$EB$32:$IY$32)</f>
        <v>0</v>
      </c>
      <c r="HX119" s="56"/>
      <c r="HY119" s="242">
        <f t="shared" si="832"/>
        <v>0</v>
      </c>
      <c r="HZ119" s="242">
        <f t="shared" si="833"/>
        <v>5120</v>
      </c>
      <c r="IA119" s="56"/>
      <c r="ID119" s="55">
        <f t="shared" si="834"/>
        <v>46120</v>
      </c>
      <c r="IE119" s="56"/>
      <c r="IF119" s="242">
        <f>SUMPRODUCT(PRODUCE!$B128:$DY128,PRODUCE!$EB$33:$IY$33)</f>
        <v>0</v>
      </c>
      <c r="IG119" s="56"/>
      <c r="IH119" s="242">
        <f t="shared" si="835"/>
        <v>0</v>
      </c>
      <c r="II119" s="242">
        <f t="shared" si="836"/>
        <v>6540</v>
      </c>
      <c r="IJ119" s="56"/>
      <c r="IM119" s="55">
        <f t="shared" si="837"/>
        <v>46120</v>
      </c>
      <c r="IN119" s="56"/>
      <c r="IO119" s="242">
        <f>SUMPRODUCT(PRODUCE!$B128:$DY128,PRODUCE!$EB$34:$IY$34)</f>
        <v>0</v>
      </c>
      <c r="IP119" s="56"/>
      <c r="IQ119" s="242">
        <f t="shared" si="838"/>
        <v>0</v>
      </c>
      <c r="IR119" s="242">
        <f t="shared" si="839"/>
        <v>11540</v>
      </c>
      <c r="IS119" s="56"/>
      <c r="IV119" s="55">
        <f t="shared" si="840"/>
        <v>46120</v>
      </c>
      <c r="IW119" s="56"/>
      <c r="IX119" s="242">
        <f>SUMPRODUCT(PRODUCE!$B128:$DY128,PRODUCE!$EB$35:$IY$35)</f>
        <v>0</v>
      </c>
      <c r="IY119" s="56"/>
      <c r="IZ119" s="242">
        <f t="shared" si="841"/>
        <v>0</v>
      </c>
      <c r="JA119" s="242">
        <f t="shared" si="842"/>
        <v>15120</v>
      </c>
      <c r="JB119" s="56"/>
      <c r="JE119" s="55">
        <f t="shared" si="843"/>
        <v>46120</v>
      </c>
      <c r="JF119" s="56"/>
      <c r="JG119" s="242">
        <f>SUMPRODUCT(PRODUCE!$B128:$DY128,PRODUCE!$EB$36:$IY$36)</f>
        <v>0</v>
      </c>
      <c r="JH119" s="56"/>
      <c r="JI119" s="242">
        <f t="shared" si="844"/>
        <v>0</v>
      </c>
      <c r="JJ119" s="242">
        <f t="shared" si="845"/>
        <v>5040</v>
      </c>
      <c r="JK119" s="56"/>
      <c r="JN119" s="55">
        <f t="shared" si="846"/>
        <v>46120</v>
      </c>
      <c r="JO119" s="56"/>
      <c r="JP119" s="242">
        <f>SUMPRODUCT(PRODUCE!$B128:$DY128,PRODUCE!$EB$37:$IY$37)</f>
        <v>0</v>
      </c>
      <c r="JQ119" s="56"/>
      <c r="JR119" s="242">
        <f t="shared" si="847"/>
        <v>0</v>
      </c>
      <c r="JS119" s="242">
        <f t="shared" si="848"/>
        <v>9100</v>
      </c>
      <c r="JT119" s="56"/>
      <c r="JW119" s="55">
        <f t="shared" si="849"/>
        <v>46120</v>
      </c>
      <c r="JX119" s="56"/>
      <c r="JY119" s="242">
        <f>SUMPRODUCT(PRODUCE!$B128:$DY128,PRODUCE!$EB$38:$IY$38)</f>
        <v>0</v>
      </c>
      <c r="JZ119" s="56"/>
      <c r="KA119" s="242">
        <f t="shared" si="850"/>
        <v>0</v>
      </c>
      <c r="KB119" s="242">
        <f t="shared" si="851"/>
        <v>3540</v>
      </c>
      <c r="KC119" s="56"/>
      <c r="KF119" s="55">
        <f t="shared" si="852"/>
        <v>46120</v>
      </c>
      <c r="KG119" s="56"/>
      <c r="KH119" s="242">
        <f>SUMPRODUCT(PRODUCE!$B128:$DY128,PRODUCE!$EB$39:$IY$39)</f>
        <v>1365</v>
      </c>
      <c r="KI119" s="56">
        <f>100*19.5</f>
        <v>1950</v>
      </c>
      <c r="KJ119" s="242">
        <f t="shared" si="853"/>
        <v>-585</v>
      </c>
      <c r="KK119" s="242">
        <f t="shared" si="854"/>
        <v>4699.5</v>
      </c>
      <c r="KL119" s="56">
        <f>KI119/19.5</f>
        <v>100</v>
      </c>
      <c r="KO119" s="55">
        <f t="shared" si="855"/>
        <v>46120</v>
      </c>
      <c r="KP119" s="56"/>
      <c r="KQ119" s="242">
        <f>SUMPRODUCT(PRODUCE!$B128:$DY128,PRODUCE!$EB$40:$IY$40)</f>
        <v>0</v>
      </c>
      <c r="KR119" s="56">
        <f>14*18.9</f>
        <v>264.59999999999997</v>
      </c>
      <c r="KS119" s="242">
        <f t="shared" si="856"/>
        <v>-264.59999999999997</v>
      </c>
      <c r="KT119" s="242">
        <f t="shared" si="857"/>
        <v>6161.4</v>
      </c>
      <c r="KU119" s="56">
        <f>KR119/18.9</f>
        <v>14</v>
      </c>
      <c r="KW119" s="23"/>
      <c r="KX119" s="55">
        <f t="shared" si="858"/>
        <v>46120</v>
      </c>
      <c r="KY119" s="56"/>
      <c r="KZ119" s="242">
        <f>SUMPRODUCT(PRODUCE!$B128:$DY128,PRODUCE!$EB$41:$IY$41)</f>
        <v>0</v>
      </c>
      <c r="LA119" s="56"/>
      <c r="LB119" s="242">
        <f t="shared" si="859"/>
        <v>0</v>
      </c>
      <c r="LC119" s="242">
        <f t="shared" si="860"/>
        <v>0</v>
      </c>
      <c r="LD119" s="56"/>
      <c r="LG119" s="55">
        <f t="shared" si="861"/>
        <v>46120</v>
      </c>
      <c r="LH119" s="56"/>
      <c r="LI119" s="242">
        <f>SUMPRODUCT(PRODUCE!$B128:$DY128,PRODUCE!$EB$42:$IY$42)</f>
        <v>0</v>
      </c>
      <c r="LJ119" s="56"/>
      <c r="LK119" s="242">
        <f t="shared" si="862"/>
        <v>0</v>
      </c>
      <c r="LL119" s="242">
        <f t="shared" si="863"/>
        <v>0</v>
      </c>
      <c r="LM119" s="56"/>
      <c r="LP119" s="55">
        <f t="shared" si="864"/>
        <v>46120</v>
      </c>
      <c r="LQ119" s="56"/>
      <c r="LR119" s="242">
        <f>SUMPRODUCT(PRODUCE!$B134:$DY134,PRODUCE!$EB$43:$IY$43)</f>
        <v>0</v>
      </c>
      <c r="LS119" s="56"/>
      <c r="LT119" s="242">
        <f t="shared" si="865"/>
        <v>0</v>
      </c>
      <c r="LU119" s="242">
        <f t="shared" si="866"/>
        <v>0</v>
      </c>
      <c r="LV119" s="56"/>
      <c r="LY119" s="55">
        <f t="shared" si="867"/>
        <v>46120</v>
      </c>
      <c r="LZ119" s="56"/>
      <c r="MA119" s="242">
        <f>SUMPRODUCT(PRODUCE!$B128:$DY128,PRODUCE!$EB$44:$IY$44)</f>
        <v>0</v>
      </c>
      <c r="MB119" s="56"/>
      <c r="MC119" s="242">
        <f t="shared" si="868"/>
        <v>0</v>
      </c>
      <c r="MD119" s="242">
        <f t="shared" si="869"/>
        <v>0</v>
      </c>
      <c r="ME119" s="56"/>
      <c r="MH119" s="55">
        <f t="shared" si="870"/>
        <v>46120</v>
      </c>
      <c r="MI119" s="56"/>
      <c r="MJ119" s="242">
        <f>SUMPRODUCT(PRODUCE!$B128:$DY128,PRODUCE!$EB$45:$IY$45)</f>
        <v>0</v>
      </c>
      <c r="MK119" s="56"/>
      <c r="ML119" s="242">
        <f t="shared" si="871"/>
        <v>0</v>
      </c>
      <c r="MM119" s="242">
        <f t="shared" si="872"/>
        <v>0</v>
      </c>
      <c r="MN119" s="56"/>
      <c r="MQ119" s="55">
        <f t="shared" si="873"/>
        <v>46120</v>
      </c>
      <c r="MR119" s="56"/>
      <c r="MS119" s="242">
        <f>SUMPRODUCT(PRODUCE!$B128:$DY128,PRODUCE!$EB$46:$IY$46)</f>
        <v>0</v>
      </c>
      <c r="MT119" s="56"/>
      <c r="MU119" s="242">
        <f t="shared" si="874"/>
        <v>0</v>
      </c>
      <c r="MV119" s="242">
        <f t="shared" si="875"/>
        <v>4157</v>
      </c>
      <c r="MW119" s="56"/>
      <c r="MZ119" s="55">
        <f t="shared" si="876"/>
        <v>46120</v>
      </c>
      <c r="NA119" s="56">
        <v>342</v>
      </c>
      <c r="NB119" s="242">
        <f>SUMPRODUCT(PRODUCE!$B128:$DY128,PRODUCE!$EB$47:$IY$47)</f>
        <v>210</v>
      </c>
      <c r="NC119" s="56">
        <f>210+90+42</f>
        <v>342</v>
      </c>
      <c r="ND119" s="242">
        <f t="shared" si="877"/>
        <v>-132</v>
      </c>
      <c r="NE119" s="242">
        <f t="shared" si="878"/>
        <v>0</v>
      </c>
      <c r="NF119" s="56"/>
      <c r="NI119" s="55">
        <f t="shared" si="879"/>
        <v>46120</v>
      </c>
      <c r="NJ119" s="56"/>
      <c r="NK119" s="242">
        <f>SUMPRODUCT(PRODUCE!$B128:$DY128,PRODUCE!$EB$48:$IY$48)</f>
        <v>70</v>
      </c>
      <c r="NL119" s="56">
        <f>70+30+14</f>
        <v>114</v>
      </c>
      <c r="NM119" s="242">
        <f t="shared" si="880"/>
        <v>-44</v>
      </c>
      <c r="NN119" s="242">
        <f t="shared" si="881"/>
        <v>1763</v>
      </c>
      <c r="NO119" s="56"/>
      <c r="NR119" s="55">
        <f t="shared" si="882"/>
        <v>46120</v>
      </c>
      <c r="NS119" s="56"/>
      <c r="NT119" s="242">
        <f>SUMPRODUCT(PRODUCE!$B128:$DY128,PRODUCE!$EB$49:$IY$49)</f>
        <v>84</v>
      </c>
      <c r="NU119" s="56">
        <f>84+36+16.8</f>
        <v>136.80000000000001</v>
      </c>
      <c r="NV119" s="242">
        <f t="shared" si="883"/>
        <v>-52.800000000000011</v>
      </c>
      <c r="NW119" s="242">
        <f t="shared" si="884"/>
        <v>3824.1</v>
      </c>
      <c r="NX119" s="56"/>
      <c r="OA119" s="55">
        <f t="shared" si="885"/>
        <v>46120</v>
      </c>
      <c r="OB119" s="56"/>
      <c r="OC119" s="242">
        <f>SUMPRODUCT(PRODUCE!$B128:$DY128,PRODUCE!$EB$50:$IY$50)</f>
        <v>0</v>
      </c>
      <c r="OD119" s="56"/>
      <c r="OE119" s="242">
        <f t="shared" si="886"/>
        <v>0</v>
      </c>
      <c r="OF119" s="242">
        <f t="shared" si="887"/>
        <v>1680.5</v>
      </c>
      <c r="OG119" s="56"/>
      <c r="OJ119" s="55">
        <f t="shared" si="888"/>
        <v>46120</v>
      </c>
      <c r="OK119" s="56">
        <v>319.2</v>
      </c>
      <c r="OL119" s="242">
        <f>SUMPRODUCT(PRODUCE!$B128:$DY128,PRODUCE!$EB$51:$IY$51)</f>
        <v>195.99999999999994</v>
      </c>
      <c r="OM119" s="56">
        <f>196+84+39.2</f>
        <v>319.2</v>
      </c>
      <c r="ON119" s="242">
        <f t="shared" si="889"/>
        <v>-123.20000000000005</v>
      </c>
      <c r="OO119" s="242">
        <f t="shared" si="890"/>
        <v>0</v>
      </c>
      <c r="OP119" s="56"/>
      <c r="OS119" s="55">
        <f t="shared" si="891"/>
        <v>46120</v>
      </c>
      <c r="OT119" s="56"/>
      <c r="OU119" s="242">
        <f>SUMPRODUCT(PRODUCE!$B128:$DY128,PRODUCE!$EB$52:$IY$52)</f>
        <v>0</v>
      </c>
      <c r="OV119" s="56"/>
      <c r="OW119" s="242">
        <f t="shared" si="892"/>
        <v>0</v>
      </c>
      <c r="OX119" s="242">
        <f t="shared" si="893"/>
        <v>1000</v>
      </c>
      <c r="OY119" s="56"/>
      <c r="PB119" s="55">
        <f t="shared" si="894"/>
        <v>46120</v>
      </c>
      <c r="PC119" s="56"/>
      <c r="PD119" s="242">
        <f>SUMPRODUCT(PRODUCE!$B128:$DY128,PRODUCE!$EB$53:$IY$53)</f>
        <v>0</v>
      </c>
      <c r="PE119" s="56"/>
      <c r="PF119" s="242">
        <f t="shared" si="895"/>
        <v>0</v>
      </c>
      <c r="PG119" s="242">
        <f t="shared" si="896"/>
        <v>0</v>
      </c>
      <c r="PH119" s="56"/>
      <c r="PK119" s="55">
        <f t="shared" si="897"/>
        <v>46120</v>
      </c>
      <c r="PL119" s="56"/>
      <c r="PM119" s="242">
        <f>SUMPRODUCT(PRODUCE!$B128:$DY128,PRODUCE!$EB$54:$IY$54)</f>
        <v>0</v>
      </c>
      <c r="PN119" s="56"/>
      <c r="PO119" s="242">
        <f t="shared" si="898"/>
        <v>0</v>
      </c>
      <c r="PP119" s="242">
        <f t="shared" si="899"/>
        <v>100</v>
      </c>
      <c r="PQ119" s="56"/>
      <c r="PT119" s="55">
        <f t="shared" si="900"/>
        <v>46120</v>
      </c>
      <c r="PU119" s="56"/>
      <c r="PV119" s="242">
        <f>SUMPRODUCT(PRODUCE!$B128:$DY128,PRODUCE!$EB$55:$IY$55)</f>
        <v>0</v>
      </c>
      <c r="PW119" s="56"/>
      <c r="PX119" s="242">
        <f t="shared" si="901"/>
        <v>0</v>
      </c>
      <c r="PY119" s="242">
        <f t="shared" si="902"/>
        <v>13.960000000000036</v>
      </c>
      <c r="PZ119" s="56"/>
      <c r="QC119" s="55">
        <f t="shared" si="903"/>
        <v>46120</v>
      </c>
      <c r="QD119" s="56"/>
      <c r="QE119" s="242">
        <f>SUMPRODUCT(PRODUCE!$B128:$DY128,PRODUCE!$EB$56:$IY$56)</f>
        <v>0</v>
      </c>
      <c r="QF119" s="56"/>
      <c r="QG119" s="242">
        <f t="shared" si="904"/>
        <v>0</v>
      </c>
      <c r="QH119" s="242">
        <f t="shared" si="905"/>
        <v>1212</v>
      </c>
      <c r="QI119" s="56"/>
      <c r="QL119" s="55">
        <f t="shared" si="906"/>
        <v>46120</v>
      </c>
      <c r="QM119" s="56"/>
      <c r="QN119" s="242">
        <f>SUMPRODUCT(PRODUCE!$B128:$DY128,PRODUCE!$EB$57:$IY$57)</f>
        <v>0</v>
      </c>
      <c r="QO119" s="56"/>
      <c r="QP119" s="242">
        <f t="shared" si="907"/>
        <v>0</v>
      </c>
      <c r="QQ119" s="242">
        <f t="shared" si="908"/>
        <v>400</v>
      </c>
      <c r="QR119" s="56"/>
      <c r="QU119" s="55">
        <f t="shared" si="909"/>
        <v>46120</v>
      </c>
      <c r="QV119" s="56"/>
      <c r="QW119" s="242">
        <f>SUMPRODUCT(PRODUCE!$B128:$DY128,PRODUCE!$EB$57:$IY$57)</f>
        <v>0</v>
      </c>
      <c r="QX119" s="56"/>
      <c r="QY119" s="242">
        <f t="shared" si="910"/>
        <v>0</v>
      </c>
      <c r="QZ119" s="242">
        <f t="shared" si="911"/>
        <v>207.6</v>
      </c>
      <c r="RA119" s="56"/>
      <c r="RD119" s="55">
        <f t="shared" si="912"/>
        <v>46120</v>
      </c>
      <c r="RE119" s="56"/>
      <c r="RF119" s="242">
        <f>SUMPRODUCT(PRODUCE!$B128:$DY128,PRODUCE!$EB$58:$IY$58)</f>
        <v>0</v>
      </c>
      <c r="RG119" s="56"/>
      <c r="RH119" s="242">
        <f t="shared" si="913"/>
        <v>0</v>
      </c>
      <c r="RI119" s="242">
        <f t="shared" si="914"/>
        <v>197.04000000000002</v>
      </c>
      <c r="RJ119" s="56"/>
      <c r="RM119" s="55">
        <f t="shared" si="915"/>
        <v>46120</v>
      </c>
      <c r="RN119" s="56"/>
      <c r="RO119" s="242">
        <f>SUMPRODUCT(PRODUCE!$B128:$DY128,PRODUCE!$EB$57:$IY$57)</f>
        <v>0</v>
      </c>
      <c r="RP119" s="56"/>
      <c r="RQ119" s="242">
        <f t="shared" si="916"/>
        <v>0</v>
      </c>
      <c r="RR119" s="242">
        <f t="shared" si="917"/>
        <v>46.8</v>
      </c>
      <c r="RS119" s="56"/>
      <c r="RV119" s="55">
        <f t="shared" si="918"/>
        <v>46120</v>
      </c>
      <c r="RW119" s="56"/>
      <c r="RX119" s="242">
        <f>SUMPRODUCT(PRODUCE!$B128:$DY128,PRODUCE!$EB$57:$IY$57)</f>
        <v>0</v>
      </c>
      <c r="RY119" s="56"/>
      <c r="RZ119" s="242">
        <f t="shared" si="919"/>
        <v>0</v>
      </c>
      <c r="SA119" s="242">
        <f t="shared" si="920"/>
        <v>0</v>
      </c>
      <c r="SB119" s="56"/>
      <c r="SE119" s="55">
        <f t="shared" si="921"/>
        <v>46120</v>
      </c>
      <c r="SF119" s="56"/>
      <c r="SG119" s="242">
        <f>SUMPRODUCT(PRODUCE!$B128:$DY128,PRODUCE!$EB$57:$IY$57)</f>
        <v>0</v>
      </c>
      <c r="SH119" s="56"/>
      <c r="SI119" s="242">
        <f t="shared" si="922"/>
        <v>0</v>
      </c>
      <c r="SJ119" s="242">
        <f t="shared" si="923"/>
        <v>0</v>
      </c>
      <c r="SK119" s="56"/>
      <c r="SN119" s="55">
        <f t="shared" si="924"/>
        <v>46120</v>
      </c>
      <c r="SO119" s="56"/>
      <c r="SP119" s="242">
        <f>SUMPRODUCT(PRODUCE!$B128:$DY128,PRODUCE!$EB$57:$IY$57)</f>
        <v>0</v>
      </c>
      <c r="SQ119" s="56"/>
      <c r="SR119" s="242">
        <f t="shared" si="925"/>
        <v>0</v>
      </c>
      <c r="SS119" s="242">
        <f t="shared" si="926"/>
        <v>0</v>
      </c>
      <c r="ST119" s="56"/>
      <c r="SW119" s="55">
        <f t="shared" si="927"/>
        <v>46120</v>
      </c>
      <c r="SX119" s="56"/>
      <c r="SY119" s="242">
        <f>SUMPRODUCT(PRODUCE!$B128:$DY128,PRODUCE!$EB$57:$IY$57)</f>
        <v>0</v>
      </c>
      <c r="SZ119" s="56"/>
      <c r="TA119" s="242">
        <f t="shared" si="928"/>
        <v>0</v>
      </c>
      <c r="TB119" s="242">
        <f t="shared" si="929"/>
        <v>0</v>
      </c>
      <c r="TC119" s="56"/>
      <c r="TF119" s="55">
        <f t="shared" si="930"/>
        <v>46120</v>
      </c>
      <c r="TG119" s="56"/>
      <c r="TH119" s="242">
        <f>SUMPRODUCT(PRODUCE!$B128:$DY128,PRODUCE!$EB$57:$IY$57)</f>
        <v>0</v>
      </c>
      <c r="TI119" s="56"/>
      <c r="TJ119" s="242">
        <f t="shared" si="931"/>
        <v>0</v>
      </c>
      <c r="TK119" s="242">
        <f t="shared" si="932"/>
        <v>0</v>
      </c>
      <c r="TL119" s="56"/>
      <c r="TO119" s="55">
        <f t="shared" si="933"/>
        <v>46120</v>
      </c>
      <c r="TP119" s="56"/>
      <c r="TQ119" s="242">
        <f>SUMPRODUCT(PRODUCE!$B128:$DY128,PRODUCE!$EB$57:$IY$57)</f>
        <v>0</v>
      </c>
      <c r="TR119" s="56"/>
      <c r="TS119" s="242">
        <f t="shared" si="934"/>
        <v>0</v>
      </c>
      <c r="TT119" s="242">
        <f t="shared" si="935"/>
        <v>0</v>
      </c>
      <c r="TU119" s="56"/>
      <c r="TX119" s="55">
        <f t="shared" si="936"/>
        <v>46120</v>
      </c>
      <c r="TY119" s="56"/>
      <c r="TZ119" s="242">
        <f>SUMPRODUCT(PRODUCE!$B128:$DY128,PRODUCE!$EB$57:$IY$57)</f>
        <v>0</v>
      </c>
      <c r="UA119" s="56"/>
      <c r="UB119" s="242">
        <f t="shared" si="937"/>
        <v>0</v>
      </c>
      <c r="UC119" s="242">
        <f t="shared" si="938"/>
        <v>0</v>
      </c>
      <c r="UD119" s="56"/>
      <c r="UG119" s="55">
        <f t="shared" si="939"/>
        <v>46120</v>
      </c>
      <c r="UH119" s="56"/>
      <c r="UI119" s="242">
        <f>SUMPRODUCT(PRODUCE!$B128:$DY128,PRODUCE!$EB$57:$IY$57)</f>
        <v>0</v>
      </c>
      <c r="UJ119" s="56"/>
      <c r="UK119" s="242">
        <f t="shared" si="940"/>
        <v>0</v>
      </c>
      <c r="UL119" s="242">
        <f t="shared" si="941"/>
        <v>0</v>
      </c>
      <c r="UM119" s="56"/>
      <c r="UP119" s="55">
        <f t="shared" si="942"/>
        <v>46120</v>
      </c>
      <c r="UQ119" s="56"/>
      <c r="UR119" s="242">
        <f>SUMPRODUCT(PRODUCE!$B128:$DY128,PRODUCE!$EB$57:$IY$57)</f>
        <v>0</v>
      </c>
      <c r="US119" s="56"/>
      <c r="UT119" s="242">
        <f t="shared" si="943"/>
        <v>0</v>
      </c>
      <c r="UU119" s="242">
        <f t="shared" si="944"/>
        <v>0</v>
      </c>
      <c r="UV119" s="56"/>
      <c r="UY119" s="55">
        <f t="shared" si="945"/>
        <v>46120</v>
      </c>
      <c r="UZ119" s="56"/>
      <c r="VA119" s="242">
        <f>SUMPRODUCT(PRODUCE!$B128:$DY128,PRODUCE!$EB$57:$IY$57)</f>
        <v>0</v>
      </c>
      <c r="VB119" s="56"/>
      <c r="VC119" s="242">
        <f t="shared" si="946"/>
        <v>0</v>
      </c>
      <c r="VD119" s="242">
        <f t="shared" si="947"/>
        <v>41.600000000000023</v>
      </c>
      <c r="VE119" s="56"/>
      <c r="VH119" s="55">
        <f t="shared" si="948"/>
        <v>46120</v>
      </c>
      <c r="VI119" s="56"/>
      <c r="VJ119" s="242">
        <f>SUMPRODUCT(PRODUCE!$B128:$DY128,PRODUCE!$EB$57:$IY$57)</f>
        <v>0</v>
      </c>
      <c r="VK119" s="56"/>
      <c r="VL119" s="242">
        <f t="shared" si="949"/>
        <v>0</v>
      </c>
      <c r="VM119" s="242">
        <f t="shared" si="950"/>
        <v>0</v>
      </c>
      <c r="VN119" s="56"/>
      <c r="VQ119" s="55">
        <f t="shared" si="951"/>
        <v>46120</v>
      </c>
      <c r="VR119" s="56"/>
      <c r="VS119" s="242">
        <f>SUMPRODUCT(PRODUCE!$B128:$DY128,PRODUCE!$EB$57:$IY$57)</f>
        <v>0</v>
      </c>
      <c r="VT119" s="56"/>
      <c r="VU119" s="242">
        <f t="shared" si="952"/>
        <v>0</v>
      </c>
      <c r="VV119" s="242">
        <f t="shared" si="953"/>
        <v>0</v>
      </c>
      <c r="VW119" s="56"/>
      <c r="VZ119" s="55">
        <f t="shared" si="954"/>
        <v>46120</v>
      </c>
      <c r="WA119" s="56"/>
      <c r="WB119" s="242">
        <f>SUMPRODUCT(PRODUCE!$B128:$DY128,PRODUCE!$EB$57:$IY$57)</f>
        <v>0</v>
      </c>
      <c r="WC119" s="56"/>
      <c r="WD119" s="242">
        <f t="shared" si="955"/>
        <v>0</v>
      </c>
      <c r="WE119" s="242">
        <f t="shared" si="956"/>
        <v>0</v>
      </c>
      <c r="WF119" s="56"/>
      <c r="WI119" s="55">
        <f t="shared" si="957"/>
        <v>46120</v>
      </c>
      <c r="WJ119" s="56"/>
      <c r="WK119" s="242">
        <f>SUMPRODUCT(PRODUCE!$B128:$DY128,PRODUCE!$EB$57:$IY$57)</f>
        <v>0</v>
      </c>
      <c r="WL119" s="56"/>
      <c r="WM119" s="242">
        <f t="shared" si="958"/>
        <v>0</v>
      </c>
      <c r="WN119" s="242">
        <f t="shared" si="959"/>
        <v>2317</v>
      </c>
      <c r="WO119" s="56"/>
      <c r="WR119" s="55">
        <f t="shared" si="960"/>
        <v>46120</v>
      </c>
      <c r="WS119" s="56"/>
      <c r="WT119" s="242">
        <f>SUMPRODUCT(PRODUCE!$B128:$DY128,PRODUCE!$EB$57:$IY$57)</f>
        <v>0</v>
      </c>
      <c r="WU119" s="56"/>
      <c r="WV119" s="242">
        <f t="shared" si="961"/>
        <v>0</v>
      </c>
      <c r="WW119" s="242">
        <f t="shared" si="962"/>
        <v>8000</v>
      </c>
      <c r="WX119" s="56"/>
      <c r="XA119" s="55">
        <f t="shared" si="963"/>
        <v>46120</v>
      </c>
      <c r="XB119" s="56"/>
      <c r="XC119" s="242">
        <f>SUMPRODUCT(PRODUCE!$B128:$DY128,PRODUCE!$EB$57:$IY$57)</f>
        <v>0</v>
      </c>
      <c r="XD119" s="56"/>
      <c r="XE119" s="242">
        <f t="shared" si="964"/>
        <v>0</v>
      </c>
      <c r="XF119" s="242">
        <f t="shared" si="965"/>
        <v>14868</v>
      </c>
      <c r="XG119" s="56"/>
      <c r="XJ119" s="55">
        <f t="shared" si="966"/>
        <v>46120</v>
      </c>
      <c r="XK119" s="56"/>
      <c r="XL119" s="242">
        <f>SUMPRODUCT(PRODUCE!$B128:$DY128,PRODUCE!$EB$57:$IY$57)</f>
        <v>0</v>
      </c>
      <c r="XM119" s="56"/>
      <c r="XN119" s="242">
        <f t="shared" si="967"/>
        <v>0</v>
      </c>
      <c r="XO119" s="242">
        <f t="shared" si="968"/>
        <v>5991</v>
      </c>
      <c r="XP119" s="56"/>
      <c r="XS119" s="55">
        <f t="shared" si="969"/>
        <v>46120</v>
      </c>
      <c r="XT119" s="56"/>
      <c r="XU119" s="242">
        <f>SUMPRODUCT(PRODUCE!$B128:$DY128,PRODUCE!$EB$57:$IY$57)</f>
        <v>0</v>
      </c>
      <c r="XV119" s="56"/>
      <c r="XW119" s="242">
        <f t="shared" si="970"/>
        <v>0</v>
      </c>
      <c r="XX119" s="242">
        <f t="shared" si="971"/>
        <v>1901</v>
      </c>
      <c r="XY119" s="56"/>
      <c r="YB119" s="55">
        <f t="shared" si="972"/>
        <v>46120</v>
      </c>
      <c r="YC119" s="56"/>
      <c r="YD119" s="242">
        <f>SUMPRODUCT(PRODUCE!$B128:$DY128,PRODUCE!$EB$57:$IY$57)</f>
        <v>0</v>
      </c>
      <c r="YE119" s="56"/>
      <c r="YF119" s="242">
        <f t="shared" si="973"/>
        <v>0</v>
      </c>
      <c r="YG119" s="242">
        <f t="shared" si="974"/>
        <v>6459</v>
      </c>
      <c r="YH119" s="56"/>
      <c r="YK119" s="55">
        <f t="shared" si="975"/>
        <v>46120</v>
      </c>
      <c r="YL119" s="56"/>
      <c r="YM119" s="242">
        <f>SUMPRODUCT(PRODUCE!$B128:$DY128,PRODUCE!$EB$57:$IY$57)</f>
        <v>0</v>
      </c>
      <c r="YN119" s="56"/>
      <c r="YO119" s="242">
        <f t="shared" si="976"/>
        <v>0</v>
      </c>
      <c r="YP119" s="242">
        <f t="shared" si="977"/>
        <v>0</v>
      </c>
      <c r="YQ119" s="56"/>
      <c r="YT119" s="55">
        <f t="shared" si="978"/>
        <v>46120</v>
      </c>
      <c r="YU119" s="56"/>
      <c r="YV119" s="242">
        <f>SUMPRODUCT(PRODUCE!$B128:$DY128,PRODUCE!$EB$57:$IY$57)</f>
        <v>0</v>
      </c>
      <c r="YW119" s="56"/>
      <c r="YX119" s="242">
        <f t="shared" si="979"/>
        <v>0</v>
      </c>
      <c r="YY119" s="242">
        <f t="shared" si="980"/>
        <v>0</v>
      </c>
      <c r="YZ119" s="56"/>
      <c r="ZC119" s="55">
        <f t="shared" si="981"/>
        <v>46120</v>
      </c>
      <c r="ZD119" s="56"/>
      <c r="ZE119" s="242">
        <f>SUMPRODUCT(PRODUCE!$B128:$DY128,PRODUCE!$EB$57:$IY$57)</f>
        <v>0</v>
      </c>
      <c r="ZF119" s="56"/>
      <c r="ZG119" s="242">
        <f t="shared" si="982"/>
        <v>0</v>
      </c>
      <c r="ZH119" s="242">
        <f t="shared" si="983"/>
        <v>0</v>
      </c>
      <c r="ZI119" s="56"/>
      <c r="ZL119" s="55">
        <f t="shared" si="984"/>
        <v>46120</v>
      </c>
      <c r="ZM119" s="56"/>
      <c r="ZN119" s="242">
        <f>SUMPRODUCT(PRODUCE!$B128:$DY128,PRODUCE!$EB$57:$IY$57)</f>
        <v>0</v>
      </c>
      <c r="ZO119" s="56"/>
      <c r="ZP119" s="242">
        <f t="shared" si="985"/>
        <v>0</v>
      </c>
      <c r="ZQ119" s="242">
        <f t="shared" si="986"/>
        <v>0</v>
      </c>
      <c r="ZR119" s="56"/>
      <c r="ZU119" s="55">
        <f t="shared" si="987"/>
        <v>46120</v>
      </c>
      <c r="ZV119" s="56"/>
      <c r="ZW119" s="242">
        <f>SUMPRODUCT(PRODUCE!$B128:$DY128,PRODUCE!$EB$57:$IY$57)</f>
        <v>0</v>
      </c>
      <c r="ZX119" s="56"/>
      <c r="ZY119" s="242">
        <f t="shared" si="988"/>
        <v>0</v>
      </c>
      <c r="ZZ119" s="242">
        <f t="shared" si="989"/>
        <v>0</v>
      </c>
      <c r="AAA119" s="56"/>
      <c r="AAD119" s="55">
        <f t="shared" si="990"/>
        <v>46120</v>
      </c>
      <c r="AAE119" s="56"/>
      <c r="AAF119" s="242">
        <f>SUMPRODUCT(PRODUCE!$B128:$DY128,PRODUCE!$EB$57:$IY$57)</f>
        <v>0</v>
      </c>
      <c r="AAG119" s="56"/>
      <c r="AAH119" s="242">
        <f t="shared" si="991"/>
        <v>0</v>
      </c>
      <c r="AAI119" s="242">
        <f t="shared" si="992"/>
        <v>0</v>
      </c>
      <c r="AAJ119" s="56"/>
      <c r="AAM119" s="55">
        <f t="shared" si="993"/>
        <v>46120</v>
      </c>
      <c r="AAN119" s="56"/>
      <c r="AAO119" s="242">
        <f>SUMPRODUCT(PRODUCE!$B128:$DY128,PRODUCE!$EB$57:$IY$57)</f>
        <v>0</v>
      </c>
      <c r="AAP119" s="56"/>
      <c r="AAQ119" s="242">
        <f t="shared" si="994"/>
        <v>0</v>
      </c>
      <c r="AAR119" s="242">
        <f t="shared" si="995"/>
        <v>0</v>
      </c>
      <c r="AAS119" s="56"/>
      <c r="AAV119" s="55">
        <f t="shared" si="996"/>
        <v>46120</v>
      </c>
      <c r="AAW119" s="56"/>
      <c r="AAX119" s="242">
        <f>SUMPRODUCT(PRODUCE!$B128:$DY128,PRODUCE!$EB$57:$IY$57)</f>
        <v>0</v>
      </c>
      <c r="AAY119" s="56"/>
      <c r="AAZ119" s="242">
        <f t="shared" si="997"/>
        <v>0</v>
      </c>
      <c r="ABA119" s="242">
        <f t="shared" si="998"/>
        <v>0</v>
      </c>
      <c r="ABB119" s="56"/>
      <c r="ABE119" s="55">
        <f t="shared" si="999"/>
        <v>46120</v>
      </c>
      <c r="ABF119" s="56"/>
      <c r="ABG119" s="242">
        <f>SUMPRODUCT(PRODUCE!$B128:$DY128,PRODUCE!$EB$57:$IY$57)</f>
        <v>0</v>
      </c>
      <c r="ABH119" s="56"/>
      <c r="ABI119" s="242">
        <f t="shared" si="1000"/>
        <v>0</v>
      </c>
      <c r="ABJ119" s="242">
        <f t="shared" si="1001"/>
        <v>0</v>
      </c>
      <c r="ABK119" s="56"/>
    </row>
    <row r="120" spans="2:739" s="54" customFormat="1" ht="15" customHeight="1" outlineLevel="1">
      <c r="B120" s="478">
        <v>30</v>
      </c>
      <c r="C120" s="55">
        <v>46121</v>
      </c>
      <c r="D120" s="422">
        <v>27120</v>
      </c>
      <c r="E120" s="423">
        <f>SUMPRODUCT(PRODUCE!$B129:$DY129,PRODUCE!$EB$7:$IY$7)</f>
        <v>15070.499999999998</v>
      </c>
      <c r="F120" s="422">
        <v>15065.6</v>
      </c>
      <c r="G120" s="423">
        <f t="shared" si="1002"/>
        <v>4.8999999999978172</v>
      </c>
      <c r="H120" s="423">
        <f t="shared" si="1003"/>
        <v>177835.19999999998</v>
      </c>
      <c r="I120" s="289" t="s">
        <v>241</v>
      </c>
      <c r="L120" s="55">
        <f t="shared" si="759"/>
        <v>46121</v>
      </c>
      <c r="M120" s="422">
        <v>25320</v>
      </c>
      <c r="N120" s="438">
        <f>SUMPRODUCT(PRODUCE!$B129:$DY129,PRODUCE!$EB$8:$IY$8)</f>
        <v>6150</v>
      </c>
      <c r="O120" s="422">
        <v>6153.4</v>
      </c>
      <c r="P120" s="438">
        <f t="shared" si="760"/>
        <v>-3.3999999999996362</v>
      </c>
      <c r="Q120" s="438">
        <f t="shared" si="761"/>
        <v>93153.600000000093</v>
      </c>
      <c r="R120" s="56"/>
      <c r="U120" s="55">
        <f t="shared" si="762"/>
        <v>46121</v>
      </c>
      <c r="V120" s="422"/>
      <c r="W120" s="440">
        <f>SUMPRODUCT(PRODUCE!$B129:$DY129,PRODUCE!$EB$9:$IY$9)</f>
        <v>2504.9999999999995</v>
      </c>
      <c r="X120" s="422">
        <v>2505.4</v>
      </c>
      <c r="Y120" s="440">
        <f t="shared" si="763"/>
        <v>-0.4000000000005457</v>
      </c>
      <c r="Z120" s="440">
        <f t="shared" si="764"/>
        <v>20869.899999999969</v>
      </c>
      <c r="AA120" s="56"/>
      <c r="AD120" s="55">
        <f t="shared" si="765"/>
        <v>46121</v>
      </c>
      <c r="AE120" s="422"/>
      <c r="AF120" s="442">
        <f>SUMPRODUCT(PRODUCE!$B129:$DY129,PRODUCE!$EB$10:$IY$10)</f>
        <v>390.00000000000006</v>
      </c>
      <c r="AG120" s="422">
        <v>391</v>
      </c>
      <c r="AH120" s="442">
        <f t="shared" si="766"/>
        <v>-0.99999999999994316</v>
      </c>
      <c r="AI120" s="442">
        <f t="shared" si="767"/>
        <v>46615.500000000015</v>
      </c>
      <c r="AJ120" s="56"/>
      <c r="AM120" s="55">
        <f t="shared" si="768"/>
        <v>46121</v>
      </c>
      <c r="AN120" s="422"/>
      <c r="AO120" s="444">
        <f>SUMPRODUCT(PRODUCE!$B129:$DY129,PRODUCE!$EB$11:$IY$11)</f>
        <v>0</v>
      </c>
      <c r="AP120" s="422"/>
      <c r="AQ120" s="444">
        <f t="shared" si="769"/>
        <v>0</v>
      </c>
      <c r="AR120" s="444">
        <f t="shared" si="770"/>
        <v>0</v>
      </c>
      <c r="AS120" s="56"/>
      <c r="AV120" s="55">
        <f t="shared" si="771"/>
        <v>46121</v>
      </c>
      <c r="AW120" s="422"/>
      <c r="AX120" s="446">
        <f>SUMPRODUCT(PRODUCE!$B129:$DY129,PRODUCE!$EB$12:$IY$12)</f>
        <v>0</v>
      </c>
      <c r="AY120" s="422"/>
      <c r="AZ120" s="446">
        <f t="shared" si="772"/>
        <v>0</v>
      </c>
      <c r="BA120" s="446">
        <f t="shared" si="773"/>
        <v>14116.999999999991</v>
      </c>
      <c r="BB120" s="56"/>
      <c r="BE120" s="55">
        <f t="shared" si="774"/>
        <v>46121</v>
      </c>
      <c r="BF120" s="422"/>
      <c r="BG120" s="448">
        <f>SUMPRODUCT(PRODUCE!$B129:$DY129,PRODUCE!$EB$13:$IY$13)</f>
        <v>1260</v>
      </c>
      <c r="BH120" s="422">
        <v>1261.4000000000001</v>
      </c>
      <c r="BI120" s="448">
        <f t="shared" si="775"/>
        <v>-1.4000000000000909</v>
      </c>
      <c r="BJ120" s="448">
        <f t="shared" si="776"/>
        <v>17244.5</v>
      </c>
      <c r="BK120" s="56"/>
      <c r="BN120" s="55">
        <f t="shared" si="777"/>
        <v>46121</v>
      </c>
      <c r="BO120" s="422">
        <v>599.9</v>
      </c>
      <c r="BP120" s="450">
        <f>SUMPRODUCT(PRODUCE!$B129:$DY129,PRODUCE!$EB$14:$IY$14)</f>
        <v>600</v>
      </c>
      <c r="BQ120" s="422">
        <v>599.9</v>
      </c>
      <c r="BR120" s="450">
        <f t="shared" si="778"/>
        <v>0.10000000000002274</v>
      </c>
      <c r="BS120" s="450">
        <f t="shared" si="779"/>
        <v>0</v>
      </c>
      <c r="BT120" s="56"/>
      <c r="BW120" s="55">
        <f t="shared" si="780"/>
        <v>46121</v>
      </c>
      <c r="BX120" s="56"/>
      <c r="BY120" s="65">
        <f>SUMPRODUCT(PRODUCE!$B129:$DY129,PRODUCE!$EB$15:$IY$15)</f>
        <v>199.5</v>
      </c>
      <c r="BZ120" s="56"/>
      <c r="CA120" s="65">
        <f t="shared" si="781"/>
        <v>199.5</v>
      </c>
      <c r="CB120" s="65">
        <f t="shared" si="782"/>
        <v>9723.7999999999993</v>
      </c>
      <c r="CC120" s="56"/>
      <c r="CF120" s="55">
        <f t="shared" si="783"/>
        <v>46121</v>
      </c>
      <c r="CG120" s="56"/>
      <c r="CH120" s="66">
        <f>SUMPRODUCT(PRODUCE!$B129:$DY129,PRODUCE!$EB$16:$IY$16)</f>
        <v>300</v>
      </c>
      <c r="CI120" s="56"/>
      <c r="CJ120" s="66">
        <f t="shared" si="784"/>
        <v>300</v>
      </c>
      <c r="CK120" s="66">
        <f t="shared" si="785"/>
        <v>0</v>
      </c>
      <c r="CL120" s="56"/>
      <c r="CO120" s="55">
        <f t="shared" si="786"/>
        <v>46121</v>
      </c>
      <c r="CP120" s="422"/>
      <c r="CQ120" s="470">
        <f>SUMPRODUCT(PRODUCE!$B129:$DY129,PRODUCE!$EB$17:$IY$17)</f>
        <v>0</v>
      </c>
      <c r="CR120" s="422"/>
      <c r="CS120" s="470">
        <f t="shared" si="787"/>
        <v>0</v>
      </c>
      <c r="CT120" s="470">
        <f t="shared" si="788"/>
        <v>0</v>
      </c>
      <c r="CU120" s="56"/>
      <c r="CX120" s="55">
        <f t="shared" si="789"/>
        <v>46121</v>
      </c>
      <c r="CY120" s="56"/>
      <c r="CZ120" s="133">
        <f>SUMPRODUCT(PRODUCE!$B129:$DY129,PRODUCE!$EB$18:$IY$18)</f>
        <v>1500</v>
      </c>
      <c r="DA120" s="56">
        <v>1500.4</v>
      </c>
      <c r="DB120" s="133">
        <f t="shared" si="790"/>
        <v>-0.40000000000009095</v>
      </c>
      <c r="DC120" s="133">
        <f t="shared" si="791"/>
        <v>29159.000000000004</v>
      </c>
      <c r="DD120" s="56"/>
      <c r="DG120" s="55">
        <f t="shared" si="792"/>
        <v>46121</v>
      </c>
      <c r="DH120" s="56"/>
      <c r="DI120" s="147">
        <f>SUMPRODUCT(PRODUCE!$B129:$DY129,PRODUCE!$EB$19:$IY$19)</f>
        <v>1200</v>
      </c>
      <c r="DJ120" s="56">
        <v>1199.4000000000001</v>
      </c>
      <c r="DK120" s="147">
        <f t="shared" si="793"/>
        <v>0.59999999999990905</v>
      </c>
      <c r="DL120" s="147">
        <f t="shared" si="794"/>
        <v>26382.199999999993</v>
      </c>
      <c r="DM120" s="56"/>
      <c r="DP120" s="55">
        <f t="shared" si="795"/>
        <v>46121</v>
      </c>
      <c r="DQ120" s="56"/>
      <c r="DR120" s="57">
        <f>SUMPRODUCT(PRODUCE!$B129:$DY129,PRODUCE!$EB$20:$IY$20)</f>
        <v>0</v>
      </c>
      <c r="DS120" s="56"/>
      <c r="DT120" s="57">
        <f t="shared" si="796"/>
        <v>0</v>
      </c>
      <c r="DU120" s="57">
        <f t="shared" si="797"/>
        <v>7050</v>
      </c>
      <c r="DV120" s="56"/>
      <c r="DY120" s="55">
        <f t="shared" si="798"/>
        <v>46121</v>
      </c>
      <c r="DZ120" s="56"/>
      <c r="EA120" s="157">
        <f>SUMPRODUCT(PRODUCE!$B129:$DY129,PRODUCE!$EB$21:$IY$21)</f>
        <v>0</v>
      </c>
      <c r="EB120" s="56"/>
      <c r="EC120" s="157">
        <f t="shared" si="799"/>
        <v>0</v>
      </c>
      <c r="ED120" s="157">
        <f t="shared" si="800"/>
        <v>147.30000000000018</v>
      </c>
      <c r="EE120" s="56"/>
      <c r="EH120" s="55">
        <f t="shared" si="801"/>
        <v>46121</v>
      </c>
      <c r="EI120" s="56"/>
      <c r="EJ120" s="162">
        <f>SUMPRODUCT(PRODUCE!$B129:$DY129,PRODUCE!$EB$22:$IY$22)</f>
        <v>0</v>
      </c>
      <c r="EK120" s="56"/>
      <c r="EL120" s="162">
        <f t="shared" si="802"/>
        <v>0</v>
      </c>
      <c r="EM120" s="162">
        <f t="shared" si="803"/>
        <v>0</v>
      </c>
      <c r="EN120" s="56"/>
      <c r="EQ120" s="55">
        <f t="shared" si="804"/>
        <v>46121</v>
      </c>
      <c r="ER120" s="56"/>
      <c r="ES120" s="135">
        <f>SUMPRODUCT(PRODUCE!$B129:$DY129,PRODUCE!$EB$23:$IY$23)</f>
        <v>0</v>
      </c>
      <c r="ET120" s="56"/>
      <c r="EU120" s="135">
        <f t="shared" si="805"/>
        <v>0</v>
      </c>
      <c r="EV120" s="135">
        <f t="shared" si="806"/>
        <v>0</v>
      </c>
      <c r="EW120" s="56"/>
      <c r="EZ120" s="55">
        <f t="shared" si="807"/>
        <v>46121</v>
      </c>
      <c r="FA120" s="56"/>
      <c r="FB120" s="175">
        <f>SUMPRODUCT(PRODUCE!$B129:$DY129,PRODUCE!$EB$24:$IY$24)</f>
        <v>0</v>
      </c>
      <c r="FC120" s="56"/>
      <c r="FD120" s="175">
        <f t="shared" si="808"/>
        <v>0</v>
      </c>
      <c r="FE120" s="175">
        <f t="shared" si="809"/>
        <v>0</v>
      </c>
      <c r="FF120" s="56"/>
      <c r="FI120" s="55">
        <f t="shared" si="810"/>
        <v>46121</v>
      </c>
      <c r="FJ120" s="56"/>
      <c r="FK120" s="183">
        <f>SUMPRODUCT(PRODUCE!$B129:$DY129,PRODUCE!$EB$25:$IY$25)</f>
        <v>0</v>
      </c>
      <c r="FL120" s="56"/>
      <c r="FM120" s="183">
        <f t="shared" si="811"/>
        <v>0</v>
      </c>
      <c r="FN120" s="183">
        <f t="shared" si="812"/>
        <v>0</v>
      </c>
      <c r="FO120" s="56"/>
      <c r="FR120" s="55">
        <f t="shared" si="813"/>
        <v>46121</v>
      </c>
      <c r="FS120" s="422"/>
      <c r="FT120" s="452">
        <f>SUMPRODUCT(PRODUCE!$B129:$DY129,PRODUCE!$EB$26:$IY$26)</f>
        <v>0</v>
      </c>
      <c r="FU120" s="422"/>
      <c r="FV120" s="452">
        <f t="shared" si="814"/>
        <v>0</v>
      </c>
      <c r="FW120" s="452">
        <f t="shared" si="815"/>
        <v>460</v>
      </c>
      <c r="FX120" s="56"/>
      <c r="GA120" s="55">
        <f t="shared" si="816"/>
        <v>46121</v>
      </c>
      <c r="GB120" s="422"/>
      <c r="GC120" s="454">
        <f>SUMPRODUCT(PRODUCE!$B129:$DY129,PRODUCE!$EB$27:$IY$27)</f>
        <v>0</v>
      </c>
      <c r="GD120" s="422"/>
      <c r="GE120" s="454">
        <f t="shared" si="817"/>
        <v>0</v>
      </c>
      <c r="GF120" s="454">
        <f t="shared" si="818"/>
        <v>6000</v>
      </c>
      <c r="GG120" s="56"/>
      <c r="GI120" s="23"/>
      <c r="GJ120" s="55">
        <f t="shared" si="819"/>
        <v>46121</v>
      </c>
      <c r="GK120" s="422"/>
      <c r="GL120" s="456">
        <f>SUMPRODUCT(PRODUCE!$B129:$DY129,PRODUCE!$EB$28:$IY$28)</f>
        <v>0</v>
      </c>
      <c r="GM120" s="422"/>
      <c r="GN120" s="456">
        <f t="shared" si="820"/>
        <v>0</v>
      </c>
      <c r="GO120" s="456">
        <f t="shared" si="821"/>
        <v>4800</v>
      </c>
      <c r="GP120" s="56"/>
      <c r="GS120" s="55">
        <f t="shared" si="822"/>
        <v>46121</v>
      </c>
      <c r="GT120" s="56"/>
      <c r="GU120" s="195">
        <f>SUMPRODUCT(PRODUCE!$B129:$DY129,PRODUCE!$EB$29:$IY$29)</f>
        <v>0</v>
      </c>
      <c r="GV120" s="56"/>
      <c r="GW120" s="195">
        <f t="shared" si="823"/>
        <v>0</v>
      </c>
      <c r="GX120" s="195">
        <f t="shared" si="824"/>
        <v>0</v>
      </c>
      <c r="GY120" s="56"/>
      <c r="HB120" s="55">
        <f t="shared" si="825"/>
        <v>46121</v>
      </c>
      <c r="HC120" s="56"/>
      <c r="HD120" s="191">
        <f>SUMPRODUCT(PRODUCE!$B129:$DY129,PRODUCE!$EB$30:$IY$30)</f>
        <v>0</v>
      </c>
      <c r="HE120" s="56"/>
      <c r="HF120" s="191">
        <f t="shared" si="826"/>
        <v>0</v>
      </c>
      <c r="HG120" s="191">
        <f t="shared" si="827"/>
        <v>0</v>
      </c>
      <c r="HH120" s="56"/>
      <c r="HK120" s="55">
        <f t="shared" si="828"/>
        <v>46121</v>
      </c>
      <c r="HL120" s="56"/>
      <c r="HM120" s="63">
        <f>SUMPRODUCT(PRODUCE!$B129:$DY129,PRODUCE!$EB$31:$IY$31)</f>
        <v>0</v>
      </c>
      <c r="HN120" s="56"/>
      <c r="HO120" s="63">
        <f t="shared" si="829"/>
        <v>0</v>
      </c>
      <c r="HP120" s="63">
        <f t="shared" si="830"/>
        <v>0</v>
      </c>
      <c r="HQ120" s="56"/>
      <c r="HU120" s="55">
        <f t="shared" si="831"/>
        <v>46121</v>
      </c>
      <c r="HV120" s="56"/>
      <c r="HW120" s="242">
        <f>SUMPRODUCT(PRODUCE!$B129:$DY129,PRODUCE!$EB$32:$IY$32)</f>
        <v>0</v>
      </c>
      <c r="HX120" s="56"/>
      <c r="HY120" s="242">
        <f t="shared" si="832"/>
        <v>0</v>
      </c>
      <c r="HZ120" s="242">
        <f t="shared" si="833"/>
        <v>5120</v>
      </c>
      <c r="IA120" s="56"/>
      <c r="ID120" s="55">
        <f t="shared" si="834"/>
        <v>46121</v>
      </c>
      <c r="IE120" s="56"/>
      <c r="IF120" s="242">
        <f>SUMPRODUCT(PRODUCE!$B129:$DY129,PRODUCE!$EB$33:$IY$33)</f>
        <v>0</v>
      </c>
      <c r="IG120" s="56"/>
      <c r="IH120" s="242">
        <f t="shared" si="835"/>
        <v>0</v>
      </c>
      <c r="II120" s="242">
        <f t="shared" si="836"/>
        <v>6540</v>
      </c>
      <c r="IJ120" s="56"/>
      <c r="IM120" s="55">
        <f t="shared" si="837"/>
        <v>46121</v>
      </c>
      <c r="IN120" s="56"/>
      <c r="IO120" s="242">
        <f>SUMPRODUCT(PRODUCE!$B129:$DY129,PRODUCE!$EB$34:$IY$34)</f>
        <v>0</v>
      </c>
      <c r="IP120" s="56"/>
      <c r="IQ120" s="242">
        <f t="shared" si="838"/>
        <v>0</v>
      </c>
      <c r="IR120" s="242">
        <f t="shared" si="839"/>
        <v>11540</v>
      </c>
      <c r="IS120" s="56"/>
      <c r="IV120" s="55">
        <f t="shared" si="840"/>
        <v>46121</v>
      </c>
      <c r="IW120" s="56"/>
      <c r="IX120" s="242">
        <f>SUMPRODUCT(PRODUCE!$B129:$DY129,PRODUCE!$EB$35:$IY$35)</f>
        <v>0</v>
      </c>
      <c r="IY120" s="56"/>
      <c r="IZ120" s="242">
        <f t="shared" si="841"/>
        <v>0</v>
      </c>
      <c r="JA120" s="242">
        <f t="shared" si="842"/>
        <v>15120</v>
      </c>
      <c r="JB120" s="56"/>
      <c r="JE120" s="55">
        <f t="shared" si="843"/>
        <v>46121</v>
      </c>
      <c r="JF120" s="56"/>
      <c r="JG120" s="242">
        <f>SUMPRODUCT(PRODUCE!$B129:$DY129,PRODUCE!$EB$36:$IY$36)</f>
        <v>0</v>
      </c>
      <c r="JH120" s="56"/>
      <c r="JI120" s="242">
        <f t="shared" si="844"/>
        <v>0</v>
      </c>
      <c r="JJ120" s="242">
        <f t="shared" si="845"/>
        <v>5040</v>
      </c>
      <c r="JK120" s="56"/>
      <c r="JN120" s="55">
        <f t="shared" si="846"/>
        <v>46121</v>
      </c>
      <c r="JO120" s="56"/>
      <c r="JP120" s="242">
        <f>SUMPRODUCT(PRODUCE!$B129:$DY129,PRODUCE!$EB$37:$IY$37)</f>
        <v>0</v>
      </c>
      <c r="JQ120" s="56"/>
      <c r="JR120" s="242">
        <f t="shared" si="847"/>
        <v>0</v>
      </c>
      <c r="JS120" s="242">
        <f t="shared" si="848"/>
        <v>9100</v>
      </c>
      <c r="JT120" s="56"/>
      <c r="JW120" s="55">
        <f t="shared" si="849"/>
        <v>46121</v>
      </c>
      <c r="JX120" s="56"/>
      <c r="JY120" s="242">
        <f>SUMPRODUCT(PRODUCE!$B129:$DY129,PRODUCE!$EB$38:$IY$38)</f>
        <v>0</v>
      </c>
      <c r="JZ120" s="56"/>
      <c r="KA120" s="242">
        <f t="shared" si="850"/>
        <v>0</v>
      </c>
      <c r="KB120" s="242">
        <f t="shared" si="851"/>
        <v>3540</v>
      </c>
      <c r="KC120" s="56"/>
      <c r="KF120" s="55">
        <f t="shared" si="852"/>
        <v>46121</v>
      </c>
      <c r="KG120" s="56"/>
      <c r="KH120" s="242">
        <f>SUMPRODUCT(PRODUCE!$B129:$DY129,PRODUCE!$EB$39:$IY$39)</f>
        <v>585</v>
      </c>
      <c r="KI120" s="56"/>
      <c r="KJ120" s="242">
        <f t="shared" si="853"/>
        <v>585</v>
      </c>
      <c r="KK120" s="242">
        <f t="shared" si="854"/>
        <v>4699.5</v>
      </c>
      <c r="KL120" s="56"/>
      <c r="KO120" s="55">
        <f t="shared" si="855"/>
        <v>46121</v>
      </c>
      <c r="KP120" s="56"/>
      <c r="KQ120" s="242">
        <f>SUMPRODUCT(PRODUCE!$B129:$DY129,PRODUCE!$EB$40:$IY$40)</f>
        <v>0</v>
      </c>
      <c r="KR120" s="56"/>
      <c r="KS120" s="242">
        <f t="shared" si="856"/>
        <v>0</v>
      </c>
      <c r="KT120" s="242">
        <f t="shared" si="857"/>
        <v>6161.4</v>
      </c>
      <c r="KU120" s="56"/>
      <c r="KW120" s="23"/>
      <c r="KX120" s="55">
        <f t="shared" si="858"/>
        <v>46121</v>
      </c>
      <c r="KY120" s="56"/>
      <c r="KZ120" s="242">
        <f>SUMPRODUCT(PRODUCE!$B129:$DY129,PRODUCE!$EB$41:$IY$41)</f>
        <v>0</v>
      </c>
      <c r="LA120" s="56"/>
      <c r="LB120" s="242">
        <f t="shared" si="859"/>
        <v>0</v>
      </c>
      <c r="LC120" s="242">
        <f t="shared" si="860"/>
        <v>0</v>
      </c>
      <c r="LD120" s="56"/>
      <c r="LG120" s="55">
        <f t="shared" si="861"/>
        <v>46121</v>
      </c>
      <c r="LH120" s="56"/>
      <c r="LI120" s="242">
        <f>SUMPRODUCT(PRODUCE!$B129:$DY129,PRODUCE!$EB$42:$IY$42)</f>
        <v>0</v>
      </c>
      <c r="LJ120" s="56"/>
      <c r="LK120" s="242">
        <f t="shared" si="862"/>
        <v>0</v>
      </c>
      <c r="LL120" s="242">
        <f t="shared" si="863"/>
        <v>0</v>
      </c>
      <c r="LM120" s="56"/>
      <c r="LP120" s="55">
        <f t="shared" si="864"/>
        <v>46121</v>
      </c>
      <c r="LQ120" s="56"/>
      <c r="LR120" s="242">
        <f>SUMPRODUCT(PRODUCE!$B135:$DY135,PRODUCE!$EB$43:$IY$43)</f>
        <v>0</v>
      </c>
      <c r="LS120" s="56"/>
      <c r="LT120" s="242">
        <f t="shared" si="865"/>
        <v>0</v>
      </c>
      <c r="LU120" s="242">
        <f t="shared" si="866"/>
        <v>0</v>
      </c>
      <c r="LV120" s="56"/>
      <c r="LY120" s="55">
        <f t="shared" si="867"/>
        <v>46121</v>
      </c>
      <c r="LZ120" s="56"/>
      <c r="MA120" s="242">
        <f>SUMPRODUCT(PRODUCE!$B129:$DY129,PRODUCE!$EB$44:$IY$44)</f>
        <v>0</v>
      </c>
      <c r="MB120" s="56"/>
      <c r="MC120" s="242">
        <f t="shared" si="868"/>
        <v>0</v>
      </c>
      <c r="MD120" s="242">
        <f t="shared" si="869"/>
        <v>0</v>
      </c>
      <c r="ME120" s="56"/>
      <c r="MH120" s="55">
        <f t="shared" si="870"/>
        <v>46121</v>
      </c>
      <c r="MI120" s="56"/>
      <c r="MJ120" s="242">
        <f>SUMPRODUCT(PRODUCE!$B129:$DY129,PRODUCE!$EB$45:$IY$45)</f>
        <v>0</v>
      </c>
      <c r="MK120" s="56"/>
      <c r="ML120" s="242">
        <f t="shared" si="871"/>
        <v>0</v>
      </c>
      <c r="MM120" s="242">
        <f t="shared" si="872"/>
        <v>0</v>
      </c>
      <c r="MN120" s="56"/>
      <c r="MQ120" s="55">
        <f t="shared" si="873"/>
        <v>46121</v>
      </c>
      <c r="MR120" s="56"/>
      <c r="MS120" s="242">
        <f>SUMPRODUCT(PRODUCE!$B129:$DY129,PRODUCE!$EB$46:$IY$46)</f>
        <v>0</v>
      </c>
      <c r="MT120" s="56"/>
      <c r="MU120" s="242">
        <f t="shared" si="874"/>
        <v>0</v>
      </c>
      <c r="MV120" s="242">
        <f t="shared" si="875"/>
        <v>4157</v>
      </c>
      <c r="MW120" s="56"/>
      <c r="MZ120" s="55">
        <f t="shared" si="876"/>
        <v>46121</v>
      </c>
      <c r="NA120" s="56"/>
      <c r="NB120" s="242">
        <f>SUMPRODUCT(PRODUCE!$B129:$DY129,PRODUCE!$EB$47:$IY$47)</f>
        <v>90</v>
      </c>
      <c r="NC120" s="56"/>
      <c r="ND120" s="242">
        <f t="shared" si="877"/>
        <v>90</v>
      </c>
      <c r="NE120" s="242">
        <f t="shared" si="878"/>
        <v>0</v>
      </c>
      <c r="NF120" s="56"/>
      <c r="NI120" s="55">
        <f t="shared" si="879"/>
        <v>46121</v>
      </c>
      <c r="NJ120" s="56"/>
      <c r="NK120" s="242">
        <f>SUMPRODUCT(PRODUCE!$B129:$DY129,PRODUCE!$EB$48:$IY$48)</f>
        <v>30</v>
      </c>
      <c r="NL120" s="56"/>
      <c r="NM120" s="242">
        <f t="shared" si="880"/>
        <v>30</v>
      </c>
      <c r="NN120" s="242">
        <f t="shared" si="881"/>
        <v>1763</v>
      </c>
      <c r="NO120" s="56"/>
      <c r="NR120" s="55">
        <f t="shared" si="882"/>
        <v>46121</v>
      </c>
      <c r="NS120" s="56"/>
      <c r="NT120" s="242">
        <f>SUMPRODUCT(PRODUCE!$B129:$DY129,PRODUCE!$EB$49:$IY$49)</f>
        <v>36</v>
      </c>
      <c r="NU120" s="56"/>
      <c r="NV120" s="242">
        <f t="shared" si="883"/>
        <v>36</v>
      </c>
      <c r="NW120" s="242">
        <f t="shared" si="884"/>
        <v>3824.1</v>
      </c>
      <c r="NX120" s="56"/>
      <c r="OA120" s="55">
        <f t="shared" si="885"/>
        <v>46121</v>
      </c>
      <c r="OB120" s="56"/>
      <c r="OC120" s="242">
        <f>SUMPRODUCT(PRODUCE!$B129:$DY129,PRODUCE!$EB$50:$IY$50)</f>
        <v>0</v>
      </c>
      <c r="OD120" s="56"/>
      <c r="OE120" s="242">
        <f t="shared" si="886"/>
        <v>0</v>
      </c>
      <c r="OF120" s="242">
        <f t="shared" si="887"/>
        <v>1680.5</v>
      </c>
      <c r="OG120" s="56"/>
      <c r="OJ120" s="55">
        <f t="shared" si="888"/>
        <v>46121</v>
      </c>
      <c r="OK120" s="56"/>
      <c r="OL120" s="242">
        <f>SUMPRODUCT(PRODUCE!$B129:$DY129,PRODUCE!$EB$51:$IY$51)</f>
        <v>83.999999999999986</v>
      </c>
      <c r="OM120" s="56"/>
      <c r="ON120" s="242">
        <f t="shared" si="889"/>
        <v>83.999999999999986</v>
      </c>
      <c r="OO120" s="242">
        <f t="shared" si="890"/>
        <v>0</v>
      </c>
      <c r="OP120" s="56"/>
      <c r="OS120" s="55">
        <f t="shared" si="891"/>
        <v>46121</v>
      </c>
      <c r="OT120" s="56"/>
      <c r="OU120" s="242">
        <f>SUMPRODUCT(PRODUCE!$B129:$DY129,PRODUCE!$EB$52:$IY$52)</f>
        <v>0</v>
      </c>
      <c r="OV120" s="56"/>
      <c r="OW120" s="242">
        <f t="shared" si="892"/>
        <v>0</v>
      </c>
      <c r="OX120" s="242">
        <f t="shared" si="893"/>
        <v>1000</v>
      </c>
      <c r="OY120" s="56"/>
      <c r="PB120" s="55">
        <f t="shared" si="894"/>
        <v>46121</v>
      </c>
      <c r="PC120" s="56"/>
      <c r="PD120" s="242">
        <f>SUMPRODUCT(PRODUCE!$B129:$DY129,PRODUCE!$EB$53:$IY$53)</f>
        <v>0</v>
      </c>
      <c r="PE120" s="56"/>
      <c r="PF120" s="242">
        <f t="shared" si="895"/>
        <v>0</v>
      </c>
      <c r="PG120" s="242">
        <f t="shared" si="896"/>
        <v>0</v>
      </c>
      <c r="PH120" s="56"/>
      <c r="PK120" s="55">
        <f t="shared" si="897"/>
        <v>46121</v>
      </c>
      <c r="PL120" s="56"/>
      <c r="PM120" s="242">
        <f>SUMPRODUCT(PRODUCE!$B129:$DY129,PRODUCE!$EB$54:$IY$54)</f>
        <v>0</v>
      </c>
      <c r="PN120" s="56"/>
      <c r="PO120" s="242">
        <f t="shared" si="898"/>
        <v>0</v>
      </c>
      <c r="PP120" s="242">
        <f t="shared" si="899"/>
        <v>100</v>
      </c>
      <c r="PQ120" s="56"/>
      <c r="PT120" s="55">
        <f t="shared" si="900"/>
        <v>46121</v>
      </c>
      <c r="PU120" s="56"/>
      <c r="PV120" s="242">
        <f>SUMPRODUCT(PRODUCE!$B129:$DY129,PRODUCE!$EB$55:$IY$55)</f>
        <v>0</v>
      </c>
      <c r="PW120" s="56"/>
      <c r="PX120" s="242">
        <f t="shared" si="901"/>
        <v>0</v>
      </c>
      <c r="PY120" s="242">
        <f t="shared" si="902"/>
        <v>13.960000000000036</v>
      </c>
      <c r="PZ120" s="56"/>
      <c r="QC120" s="55">
        <f t="shared" si="903"/>
        <v>46121</v>
      </c>
      <c r="QD120" s="56"/>
      <c r="QE120" s="242">
        <f>SUMPRODUCT(PRODUCE!$B129:$DY129,PRODUCE!$EB$56:$IY$56)</f>
        <v>0</v>
      </c>
      <c r="QF120" s="56"/>
      <c r="QG120" s="242">
        <f t="shared" si="904"/>
        <v>0</v>
      </c>
      <c r="QH120" s="242">
        <f t="shared" si="905"/>
        <v>1212</v>
      </c>
      <c r="QI120" s="56"/>
      <c r="QL120" s="55">
        <f t="shared" si="906"/>
        <v>46121</v>
      </c>
      <c r="QM120" s="56"/>
      <c r="QN120" s="242">
        <f>SUMPRODUCT(PRODUCE!$B129:$DY129,PRODUCE!$EB$57:$IY$57)</f>
        <v>0</v>
      </c>
      <c r="QO120" s="56"/>
      <c r="QP120" s="242">
        <f t="shared" si="907"/>
        <v>0</v>
      </c>
      <c r="QQ120" s="242">
        <f t="shared" si="908"/>
        <v>400</v>
      </c>
      <c r="QR120" s="56"/>
      <c r="QU120" s="55">
        <f t="shared" si="909"/>
        <v>46121</v>
      </c>
      <c r="QV120" s="56"/>
      <c r="QW120" s="242">
        <f>SUMPRODUCT(PRODUCE!$B129:$DY129,PRODUCE!$EB$57:$IY$57)</f>
        <v>0</v>
      </c>
      <c r="QX120" s="56"/>
      <c r="QY120" s="242">
        <f t="shared" si="910"/>
        <v>0</v>
      </c>
      <c r="QZ120" s="242">
        <f t="shared" si="911"/>
        <v>207.6</v>
      </c>
      <c r="RA120" s="56"/>
      <c r="RD120" s="55">
        <f t="shared" si="912"/>
        <v>46121</v>
      </c>
      <c r="RE120" s="56"/>
      <c r="RF120" s="242">
        <f>SUMPRODUCT(PRODUCE!$B129:$DY129,PRODUCE!$EB$58:$IY$58)</f>
        <v>0</v>
      </c>
      <c r="RG120" s="56"/>
      <c r="RH120" s="242">
        <f t="shared" si="913"/>
        <v>0</v>
      </c>
      <c r="RI120" s="242">
        <f t="shared" si="914"/>
        <v>197.04000000000002</v>
      </c>
      <c r="RJ120" s="56"/>
      <c r="RM120" s="55">
        <f t="shared" si="915"/>
        <v>46121</v>
      </c>
      <c r="RN120" s="56"/>
      <c r="RO120" s="242">
        <f>SUMPRODUCT(PRODUCE!$B129:$DY129,PRODUCE!$EB$57:$IY$57)</f>
        <v>0</v>
      </c>
      <c r="RP120" s="56"/>
      <c r="RQ120" s="242">
        <f t="shared" si="916"/>
        <v>0</v>
      </c>
      <c r="RR120" s="242">
        <f t="shared" si="917"/>
        <v>46.8</v>
      </c>
      <c r="RS120" s="56"/>
      <c r="RV120" s="55">
        <f t="shared" si="918"/>
        <v>46121</v>
      </c>
      <c r="RW120" s="56"/>
      <c r="RX120" s="242">
        <f>SUMPRODUCT(PRODUCE!$B129:$DY129,PRODUCE!$EB$57:$IY$57)</f>
        <v>0</v>
      </c>
      <c r="RY120" s="56"/>
      <c r="RZ120" s="242">
        <f t="shared" si="919"/>
        <v>0</v>
      </c>
      <c r="SA120" s="242">
        <f t="shared" si="920"/>
        <v>0</v>
      </c>
      <c r="SB120" s="56"/>
      <c r="SE120" s="55">
        <f t="shared" si="921"/>
        <v>46121</v>
      </c>
      <c r="SF120" s="56"/>
      <c r="SG120" s="242">
        <f>SUMPRODUCT(PRODUCE!$B129:$DY129,PRODUCE!$EB$57:$IY$57)</f>
        <v>0</v>
      </c>
      <c r="SH120" s="56"/>
      <c r="SI120" s="242">
        <f t="shared" si="922"/>
        <v>0</v>
      </c>
      <c r="SJ120" s="242">
        <f t="shared" si="923"/>
        <v>0</v>
      </c>
      <c r="SK120" s="56"/>
      <c r="SN120" s="55">
        <f t="shared" si="924"/>
        <v>46121</v>
      </c>
      <c r="SO120" s="56"/>
      <c r="SP120" s="242">
        <f>SUMPRODUCT(PRODUCE!$B129:$DY129,PRODUCE!$EB$57:$IY$57)</f>
        <v>0</v>
      </c>
      <c r="SQ120" s="56"/>
      <c r="SR120" s="242">
        <f t="shared" si="925"/>
        <v>0</v>
      </c>
      <c r="SS120" s="242">
        <f t="shared" si="926"/>
        <v>0</v>
      </c>
      <c r="ST120" s="56"/>
      <c r="SW120" s="55">
        <f t="shared" si="927"/>
        <v>46121</v>
      </c>
      <c r="SX120" s="56"/>
      <c r="SY120" s="242">
        <f>SUMPRODUCT(PRODUCE!$B129:$DY129,PRODUCE!$EB$57:$IY$57)</f>
        <v>0</v>
      </c>
      <c r="SZ120" s="56"/>
      <c r="TA120" s="242">
        <f t="shared" si="928"/>
        <v>0</v>
      </c>
      <c r="TB120" s="242">
        <f t="shared" si="929"/>
        <v>0</v>
      </c>
      <c r="TC120" s="56"/>
      <c r="TF120" s="55">
        <f t="shared" si="930"/>
        <v>46121</v>
      </c>
      <c r="TG120" s="56"/>
      <c r="TH120" s="242">
        <f>SUMPRODUCT(PRODUCE!$B129:$DY129,PRODUCE!$EB$57:$IY$57)</f>
        <v>0</v>
      </c>
      <c r="TI120" s="56"/>
      <c r="TJ120" s="242">
        <f t="shared" si="931"/>
        <v>0</v>
      </c>
      <c r="TK120" s="242">
        <f t="shared" si="932"/>
        <v>0</v>
      </c>
      <c r="TL120" s="56"/>
      <c r="TO120" s="55">
        <f t="shared" si="933"/>
        <v>46121</v>
      </c>
      <c r="TP120" s="56"/>
      <c r="TQ120" s="242">
        <f>SUMPRODUCT(PRODUCE!$B129:$DY129,PRODUCE!$EB$57:$IY$57)</f>
        <v>0</v>
      </c>
      <c r="TR120" s="56"/>
      <c r="TS120" s="242">
        <f t="shared" si="934"/>
        <v>0</v>
      </c>
      <c r="TT120" s="242">
        <f t="shared" si="935"/>
        <v>0</v>
      </c>
      <c r="TU120" s="56"/>
      <c r="TX120" s="55">
        <f t="shared" si="936"/>
        <v>46121</v>
      </c>
      <c r="TY120" s="56"/>
      <c r="TZ120" s="242">
        <f>SUMPRODUCT(PRODUCE!$B129:$DY129,PRODUCE!$EB$57:$IY$57)</f>
        <v>0</v>
      </c>
      <c r="UA120" s="56"/>
      <c r="UB120" s="242">
        <f t="shared" si="937"/>
        <v>0</v>
      </c>
      <c r="UC120" s="242">
        <f t="shared" si="938"/>
        <v>0</v>
      </c>
      <c r="UD120" s="56"/>
      <c r="UG120" s="55">
        <f t="shared" si="939"/>
        <v>46121</v>
      </c>
      <c r="UH120" s="56"/>
      <c r="UI120" s="242">
        <f>SUMPRODUCT(PRODUCE!$B129:$DY129,PRODUCE!$EB$57:$IY$57)</f>
        <v>0</v>
      </c>
      <c r="UJ120" s="56"/>
      <c r="UK120" s="242">
        <f t="shared" si="940"/>
        <v>0</v>
      </c>
      <c r="UL120" s="242">
        <f t="shared" si="941"/>
        <v>0</v>
      </c>
      <c r="UM120" s="56"/>
      <c r="UP120" s="55">
        <f t="shared" si="942"/>
        <v>46121</v>
      </c>
      <c r="UQ120" s="56"/>
      <c r="UR120" s="242">
        <f>SUMPRODUCT(PRODUCE!$B129:$DY129,PRODUCE!$EB$57:$IY$57)</f>
        <v>0</v>
      </c>
      <c r="US120" s="56"/>
      <c r="UT120" s="242">
        <f t="shared" si="943"/>
        <v>0</v>
      </c>
      <c r="UU120" s="242">
        <f t="shared" si="944"/>
        <v>0</v>
      </c>
      <c r="UV120" s="56"/>
      <c r="UY120" s="55">
        <f t="shared" si="945"/>
        <v>46121</v>
      </c>
      <c r="UZ120" s="56"/>
      <c r="VA120" s="242">
        <f>SUMPRODUCT(PRODUCE!$B129:$DY129,PRODUCE!$EB$57:$IY$57)</f>
        <v>0</v>
      </c>
      <c r="VB120" s="56"/>
      <c r="VC120" s="242">
        <f t="shared" si="946"/>
        <v>0</v>
      </c>
      <c r="VD120" s="242">
        <f t="shared" si="947"/>
        <v>41.600000000000023</v>
      </c>
      <c r="VE120" s="56"/>
      <c r="VH120" s="55">
        <f t="shared" si="948"/>
        <v>46121</v>
      </c>
      <c r="VI120" s="56"/>
      <c r="VJ120" s="242">
        <f>SUMPRODUCT(PRODUCE!$B129:$DY129,PRODUCE!$EB$57:$IY$57)</f>
        <v>0</v>
      </c>
      <c r="VK120" s="56"/>
      <c r="VL120" s="242">
        <f t="shared" si="949"/>
        <v>0</v>
      </c>
      <c r="VM120" s="242">
        <f t="shared" si="950"/>
        <v>0</v>
      </c>
      <c r="VN120" s="56"/>
      <c r="VQ120" s="55">
        <f t="shared" si="951"/>
        <v>46121</v>
      </c>
      <c r="VR120" s="56"/>
      <c r="VS120" s="242">
        <f>SUMPRODUCT(PRODUCE!$B129:$DY129,PRODUCE!$EB$57:$IY$57)</f>
        <v>0</v>
      </c>
      <c r="VT120" s="56"/>
      <c r="VU120" s="242">
        <f t="shared" si="952"/>
        <v>0</v>
      </c>
      <c r="VV120" s="242">
        <f t="shared" si="953"/>
        <v>0</v>
      </c>
      <c r="VW120" s="56"/>
      <c r="VZ120" s="55">
        <f t="shared" si="954"/>
        <v>46121</v>
      </c>
      <c r="WA120" s="56"/>
      <c r="WB120" s="242">
        <f>SUMPRODUCT(PRODUCE!$B129:$DY129,PRODUCE!$EB$57:$IY$57)</f>
        <v>0</v>
      </c>
      <c r="WC120" s="56"/>
      <c r="WD120" s="242">
        <f t="shared" si="955"/>
        <v>0</v>
      </c>
      <c r="WE120" s="242">
        <f t="shared" si="956"/>
        <v>0</v>
      </c>
      <c r="WF120" s="56"/>
      <c r="WI120" s="55">
        <f t="shared" si="957"/>
        <v>46121</v>
      </c>
      <c r="WJ120" s="56"/>
      <c r="WK120" s="242">
        <f>SUMPRODUCT(PRODUCE!$B129:$DY129,PRODUCE!$EB$57:$IY$57)</f>
        <v>0</v>
      </c>
      <c r="WL120" s="56"/>
      <c r="WM120" s="242">
        <f t="shared" si="958"/>
        <v>0</v>
      </c>
      <c r="WN120" s="242">
        <f t="shared" si="959"/>
        <v>2317</v>
      </c>
      <c r="WO120" s="56"/>
      <c r="WR120" s="55">
        <f t="shared" si="960"/>
        <v>46121</v>
      </c>
      <c r="WS120" s="56"/>
      <c r="WT120" s="242">
        <f>SUMPRODUCT(PRODUCE!$B129:$DY129,PRODUCE!$EB$57:$IY$57)</f>
        <v>0</v>
      </c>
      <c r="WU120" s="56"/>
      <c r="WV120" s="242">
        <f t="shared" si="961"/>
        <v>0</v>
      </c>
      <c r="WW120" s="242">
        <f t="shared" si="962"/>
        <v>8000</v>
      </c>
      <c r="WX120" s="56"/>
      <c r="XA120" s="55">
        <f t="shared" si="963"/>
        <v>46121</v>
      </c>
      <c r="XB120" s="56"/>
      <c r="XC120" s="242">
        <f>SUMPRODUCT(PRODUCE!$B129:$DY129,PRODUCE!$EB$57:$IY$57)</f>
        <v>0</v>
      </c>
      <c r="XD120" s="56"/>
      <c r="XE120" s="242">
        <f t="shared" si="964"/>
        <v>0</v>
      </c>
      <c r="XF120" s="242">
        <f t="shared" si="965"/>
        <v>14868</v>
      </c>
      <c r="XG120" s="56"/>
      <c r="XJ120" s="55">
        <f t="shared" si="966"/>
        <v>46121</v>
      </c>
      <c r="XK120" s="56"/>
      <c r="XL120" s="242">
        <f>SUMPRODUCT(PRODUCE!$B129:$DY129,PRODUCE!$EB$57:$IY$57)</f>
        <v>0</v>
      </c>
      <c r="XM120" s="56"/>
      <c r="XN120" s="242">
        <f t="shared" si="967"/>
        <v>0</v>
      </c>
      <c r="XO120" s="242">
        <f t="shared" si="968"/>
        <v>5991</v>
      </c>
      <c r="XP120" s="56"/>
      <c r="XS120" s="55">
        <f t="shared" si="969"/>
        <v>46121</v>
      </c>
      <c r="XT120" s="56"/>
      <c r="XU120" s="242">
        <f>SUMPRODUCT(PRODUCE!$B129:$DY129,PRODUCE!$EB$57:$IY$57)</f>
        <v>0</v>
      </c>
      <c r="XV120" s="56"/>
      <c r="XW120" s="242">
        <f t="shared" si="970"/>
        <v>0</v>
      </c>
      <c r="XX120" s="242">
        <f t="shared" si="971"/>
        <v>1901</v>
      </c>
      <c r="XY120" s="56"/>
      <c r="YB120" s="55">
        <f t="shared" si="972"/>
        <v>46121</v>
      </c>
      <c r="YC120" s="56"/>
      <c r="YD120" s="242">
        <f>SUMPRODUCT(PRODUCE!$B129:$DY129,PRODUCE!$EB$57:$IY$57)</f>
        <v>0</v>
      </c>
      <c r="YE120" s="56"/>
      <c r="YF120" s="242">
        <f t="shared" si="973"/>
        <v>0</v>
      </c>
      <c r="YG120" s="242">
        <f t="shared" si="974"/>
        <v>6459</v>
      </c>
      <c r="YH120" s="56"/>
      <c r="YK120" s="55">
        <f t="shared" si="975"/>
        <v>46121</v>
      </c>
      <c r="YL120" s="56"/>
      <c r="YM120" s="242">
        <f>SUMPRODUCT(PRODUCE!$B129:$DY129,PRODUCE!$EB$57:$IY$57)</f>
        <v>0</v>
      </c>
      <c r="YN120" s="56"/>
      <c r="YO120" s="242">
        <f t="shared" si="976"/>
        <v>0</v>
      </c>
      <c r="YP120" s="242">
        <f t="shared" si="977"/>
        <v>0</v>
      </c>
      <c r="YQ120" s="56"/>
      <c r="YT120" s="55">
        <f t="shared" si="978"/>
        <v>46121</v>
      </c>
      <c r="YU120" s="56"/>
      <c r="YV120" s="242">
        <f>SUMPRODUCT(PRODUCE!$B129:$DY129,PRODUCE!$EB$57:$IY$57)</f>
        <v>0</v>
      </c>
      <c r="YW120" s="56"/>
      <c r="YX120" s="242">
        <f t="shared" si="979"/>
        <v>0</v>
      </c>
      <c r="YY120" s="242">
        <f t="shared" si="980"/>
        <v>0</v>
      </c>
      <c r="YZ120" s="56"/>
      <c r="ZC120" s="55">
        <f t="shared" si="981"/>
        <v>46121</v>
      </c>
      <c r="ZD120" s="56"/>
      <c r="ZE120" s="242">
        <f>SUMPRODUCT(PRODUCE!$B129:$DY129,PRODUCE!$EB$57:$IY$57)</f>
        <v>0</v>
      </c>
      <c r="ZF120" s="56"/>
      <c r="ZG120" s="242">
        <f t="shared" si="982"/>
        <v>0</v>
      </c>
      <c r="ZH120" s="242">
        <f t="shared" si="983"/>
        <v>0</v>
      </c>
      <c r="ZI120" s="56"/>
      <c r="ZL120" s="55">
        <f t="shared" si="984"/>
        <v>46121</v>
      </c>
      <c r="ZM120" s="56"/>
      <c r="ZN120" s="242">
        <f>SUMPRODUCT(PRODUCE!$B129:$DY129,PRODUCE!$EB$57:$IY$57)</f>
        <v>0</v>
      </c>
      <c r="ZO120" s="56"/>
      <c r="ZP120" s="242">
        <f t="shared" si="985"/>
        <v>0</v>
      </c>
      <c r="ZQ120" s="242">
        <f t="shared" si="986"/>
        <v>0</v>
      </c>
      <c r="ZR120" s="56"/>
      <c r="ZU120" s="55">
        <f t="shared" si="987"/>
        <v>46121</v>
      </c>
      <c r="ZV120" s="56"/>
      <c r="ZW120" s="242">
        <f>SUMPRODUCT(PRODUCE!$B129:$DY129,PRODUCE!$EB$57:$IY$57)</f>
        <v>0</v>
      </c>
      <c r="ZX120" s="56"/>
      <c r="ZY120" s="242">
        <f t="shared" si="988"/>
        <v>0</v>
      </c>
      <c r="ZZ120" s="242">
        <f t="shared" si="989"/>
        <v>0</v>
      </c>
      <c r="AAA120" s="56"/>
      <c r="AAD120" s="55">
        <f t="shared" si="990"/>
        <v>46121</v>
      </c>
      <c r="AAE120" s="56"/>
      <c r="AAF120" s="242">
        <f>SUMPRODUCT(PRODUCE!$B129:$DY129,PRODUCE!$EB$57:$IY$57)</f>
        <v>0</v>
      </c>
      <c r="AAG120" s="56"/>
      <c r="AAH120" s="242">
        <f t="shared" si="991"/>
        <v>0</v>
      </c>
      <c r="AAI120" s="242">
        <f t="shared" si="992"/>
        <v>0</v>
      </c>
      <c r="AAJ120" s="56"/>
      <c r="AAM120" s="55">
        <f t="shared" si="993"/>
        <v>46121</v>
      </c>
      <c r="AAN120" s="56"/>
      <c r="AAO120" s="242">
        <f>SUMPRODUCT(PRODUCE!$B129:$DY129,PRODUCE!$EB$57:$IY$57)</f>
        <v>0</v>
      </c>
      <c r="AAP120" s="56"/>
      <c r="AAQ120" s="242">
        <f t="shared" si="994"/>
        <v>0</v>
      </c>
      <c r="AAR120" s="242">
        <f t="shared" si="995"/>
        <v>0</v>
      </c>
      <c r="AAS120" s="56"/>
      <c r="AAV120" s="55">
        <f t="shared" si="996"/>
        <v>46121</v>
      </c>
      <c r="AAW120" s="56"/>
      <c r="AAX120" s="242">
        <f>SUMPRODUCT(PRODUCE!$B129:$DY129,PRODUCE!$EB$57:$IY$57)</f>
        <v>0</v>
      </c>
      <c r="AAY120" s="56"/>
      <c r="AAZ120" s="242">
        <f t="shared" si="997"/>
        <v>0</v>
      </c>
      <c r="ABA120" s="242">
        <f t="shared" si="998"/>
        <v>0</v>
      </c>
      <c r="ABB120" s="56"/>
      <c r="ABE120" s="55">
        <f t="shared" si="999"/>
        <v>46121</v>
      </c>
      <c r="ABF120" s="56"/>
      <c r="ABG120" s="242">
        <f>SUMPRODUCT(PRODUCE!$B129:$DY129,PRODUCE!$EB$57:$IY$57)</f>
        <v>0</v>
      </c>
      <c r="ABH120" s="56"/>
      <c r="ABI120" s="242">
        <f t="shared" si="1000"/>
        <v>0</v>
      </c>
      <c r="ABJ120" s="242">
        <f t="shared" si="1001"/>
        <v>0</v>
      </c>
      <c r="ABK120" s="56"/>
    </row>
    <row r="121" spans="2:739" s="54" customFormat="1" ht="15" customHeight="1" outlineLevel="1">
      <c r="B121" s="478">
        <v>26</v>
      </c>
      <c r="C121" s="55">
        <v>46122</v>
      </c>
      <c r="D121" s="422">
        <v>29140</v>
      </c>
      <c r="E121" s="423">
        <f>SUMPRODUCT(PRODUCE!$B130:$DY130,PRODUCE!$EB$7:$IY$7)</f>
        <v>13925.6</v>
      </c>
      <c r="F121" s="422">
        <v>13934.4</v>
      </c>
      <c r="G121" s="423">
        <f t="shared" si="1002"/>
        <v>-8.7999999999992724</v>
      </c>
      <c r="H121" s="423">
        <f t="shared" si="1003"/>
        <v>193040.8</v>
      </c>
      <c r="I121" s="289" t="s">
        <v>242</v>
      </c>
      <c r="L121" s="55">
        <f t="shared" si="759"/>
        <v>46122</v>
      </c>
      <c r="M121" s="422"/>
      <c r="N121" s="438">
        <f>SUMPRODUCT(PRODUCE!$B130:$DY130,PRODUCE!$EB$8:$IY$8)</f>
        <v>4459</v>
      </c>
      <c r="O121" s="422">
        <v>4455</v>
      </c>
      <c r="P121" s="438">
        <f t="shared" si="760"/>
        <v>4</v>
      </c>
      <c r="Q121" s="438">
        <f t="shared" si="761"/>
        <v>88698.600000000093</v>
      </c>
      <c r="R121" s="56"/>
      <c r="U121" s="55">
        <f t="shared" si="762"/>
        <v>46122</v>
      </c>
      <c r="V121" s="422">
        <v>25090</v>
      </c>
      <c r="W121" s="440">
        <f>SUMPRODUCT(PRODUCE!$B130:$DY130,PRODUCE!$EB$9:$IY$9)</f>
        <v>2210</v>
      </c>
      <c r="X121" s="422">
        <v>2210.5</v>
      </c>
      <c r="Y121" s="440">
        <f t="shared" si="763"/>
        <v>-0.5</v>
      </c>
      <c r="Z121" s="440">
        <f t="shared" si="764"/>
        <v>43749.399999999965</v>
      </c>
      <c r="AA121" s="56"/>
      <c r="AD121" s="55">
        <f t="shared" si="765"/>
        <v>46122</v>
      </c>
      <c r="AE121" s="422"/>
      <c r="AF121" s="442">
        <f>SUMPRODUCT(PRODUCE!$B130:$DY130,PRODUCE!$EB$10:$IY$10)</f>
        <v>312</v>
      </c>
      <c r="AG121" s="422">
        <v>312.5</v>
      </c>
      <c r="AH121" s="442">
        <f t="shared" si="766"/>
        <v>-0.5</v>
      </c>
      <c r="AI121" s="442">
        <f t="shared" si="767"/>
        <v>46303.000000000015</v>
      </c>
      <c r="AJ121" s="56"/>
      <c r="AM121" s="55">
        <f t="shared" si="768"/>
        <v>46122</v>
      </c>
      <c r="AN121" s="422"/>
      <c r="AO121" s="444">
        <f>SUMPRODUCT(PRODUCE!$B130:$DY130,PRODUCE!$EB$11:$IY$11)</f>
        <v>0</v>
      </c>
      <c r="AP121" s="422"/>
      <c r="AQ121" s="444">
        <f t="shared" si="769"/>
        <v>0</v>
      </c>
      <c r="AR121" s="444">
        <f t="shared" si="770"/>
        <v>0</v>
      </c>
      <c r="AS121" s="56"/>
      <c r="AV121" s="55">
        <f t="shared" si="771"/>
        <v>46122</v>
      </c>
      <c r="AW121" s="422"/>
      <c r="AX121" s="446">
        <f>SUMPRODUCT(PRODUCE!$B130:$DY130,PRODUCE!$EB$12:$IY$12)</f>
        <v>0</v>
      </c>
      <c r="AY121" s="422"/>
      <c r="AZ121" s="446">
        <f t="shared" si="772"/>
        <v>0</v>
      </c>
      <c r="BA121" s="446">
        <f t="shared" si="773"/>
        <v>14116.999999999991</v>
      </c>
      <c r="BB121" s="56"/>
      <c r="BE121" s="55">
        <f t="shared" si="774"/>
        <v>46122</v>
      </c>
      <c r="BF121" s="422"/>
      <c r="BG121" s="448">
        <f>SUMPRODUCT(PRODUCE!$B130:$DY130,PRODUCE!$EB$13:$IY$13)</f>
        <v>1170</v>
      </c>
      <c r="BH121" s="422">
        <v>1171.8</v>
      </c>
      <c r="BI121" s="448">
        <f t="shared" si="775"/>
        <v>-1.7999999999999545</v>
      </c>
      <c r="BJ121" s="448">
        <f t="shared" si="776"/>
        <v>16072.7</v>
      </c>
      <c r="BK121" s="56"/>
      <c r="BN121" s="55">
        <f t="shared" si="777"/>
        <v>46122</v>
      </c>
      <c r="BO121" s="422">
        <v>507</v>
      </c>
      <c r="BP121" s="450">
        <f>SUMPRODUCT(PRODUCE!$B130:$DY130,PRODUCE!$EB$14:$IY$14)</f>
        <v>507</v>
      </c>
      <c r="BQ121" s="422">
        <v>507</v>
      </c>
      <c r="BR121" s="450">
        <f t="shared" si="778"/>
        <v>0</v>
      </c>
      <c r="BS121" s="450">
        <f t="shared" si="779"/>
        <v>0</v>
      </c>
      <c r="BT121" s="56"/>
      <c r="BW121" s="55">
        <f t="shared" si="780"/>
        <v>46122</v>
      </c>
      <c r="BX121" s="56"/>
      <c r="BY121" s="65">
        <f>SUMPRODUCT(PRODUCE!$B130:$DY130,PRODUCE!$EB$15:$IY$15)</f>
        <v>143.00000000000003</v>
      </c>
      <c r="BZ121" s="56">
        <f>120+1064+275+36</f>
        <v>1495</v>
      </c>
      <c r="CA121" s="65">
        <f t="shared" si="781"/>
        <v>-1352</v>
      </c>
      <c r="CB121" s="65">
        <f t="shared" si="782"/>
        <v>8228.7999999999993</v>
      </c>
      <c r="CC121" s="56"/>
      <c r="CF121" s="55">
        <f t="shared" si="783"/>
        <v>46122</v>
      </c>
      <c r="CG121" s="56">
        <v>2274.4</v>
      </c>
      <c r="CH121" s="66">
        <f>SUMPRODUCT(PRODUCE!$B130:$DY130,PRODUCE!$EB$16:$IY$16)</f>
        <v>234.00000000000006</v>
      </c>
      <c r="CI121" s="56">
        <f>210+1600+450+14.4</f>
        <v>2274.4</v>
      </c>
      <c r="CJ121" s="66">
        <f t="shared" si="784"/>
        <v>-2040.4</v>
      </c>
      <c r="CK121" s="66">
        <f t="shared" si="785"/>
        <v>0</v>
      </c>
      <c r="CL121" s="56"/>
      <c r="CO121" s="55">
        <f t="shared" si="786"/>
        <v>46122</v>
      </c>
      <c r="CP121" s="422"/>
      <c r="CQ121" s="470">
        <f>SUMPRODUCT(PRODUCE!$B130:$DY130,PRODUCE!$EB$17:$IY$17)</f>
        <v>0</v>
      </c>
      <c r="CR121" s="422"/>
      <c r="CS121" s="470">
        <f t="shared" si="787"/>
        <v>0</v>
      </c>
      <c r="CT121" s="470">
        <f t="shared" si="788"/>
        <v>0</v>
      </c>
      <c r="CU121" s="56"/>
      <c r="CX121" s="55">
        <f t="shared" si="789"/>
        <v>46122</v>
      </c>
      <c r="CY121" s="56"/>
      <c r="CZ121" s="133">
        <f>SUMPRODUCT(PRODUCE!$B130:$DY130,PRODUCE!$EB$18:$IY$18)</f>
        <v>1300</v>
      </c>
      <c r="DA121" s="56">
        <v>1300.8</v>
      </c>
      <c r="DB121" s="133">
        <f t="shared" si="790"/>
        <v>-0.79999999999995453</v>
      </c>
      <c r="DC121" s="133">
        <f t="shared" si="791"/>
        <v>27858.200000000004</v>
      </c>
      <c r="DD121" s="56"/>
      <c r="DG121" s="55">
        <f t="shared" si="792"/>
        <v>46122</v>
      </c>
      <c r="DH121" s="56"/>
      <c r="DI121" s="147">
        <f>SUMPRODUCT(PRODUCE!$B130:$DY130,PRODUCE!$EB$19:$IY$19)</f>
        <v>1040</v>
      </c>
      <c r="DJ121" s="56">
        <v>1041.2</v>
      </c>
      <c r="DK121" s="147">
        <f t="shared" si="793"/>
        <v>-1.2000000000000455</v>
      </c>
      <c r="DL121" s="147">
        <f t="shared" si="794"/>
        <v>25340.999999999993</v>
      </c>
      <c r="DM121" s="56"/>
      <c r="DP121" s="55">
        <f t="shared" si="795"/>
        <v>46122</v>
      </c>
      <c r="DQ121" s="56"/>
      <c r="DR121" s="57">
        <f>SUMPRODUCT(PRODUCE!$B130:$DY130,PRODUCE!$EB$20:$IY$20)</f>
        <v>0</v>
      </c>
      <c r="DS121" s="56"/>
      <c r="DT121" s="57">
        <f t="shared" si="796"/>
        <v>0</v>
      </c>
      <c r="DU121" s="57">
        <f t="shared" si="797"/>
        <v>7050</v>
      </c>
      <c r="DV121" s="56"/>
      <c r="DY121" s="55">
        <f t="shared" si="798"/>
        <v>46122</v>
      </c>
      <c r="DZ121" s="56"/>
      <c r="EA121" s="157">
        <f>SUMPRODUCT(PRODUCE!$B130:$DY130,PRODUCE!$EB$21:$IY$21)</f>
        <v>0</v>
      </c>
      <c r="EB121" s="56"/>
      <c r="EC121" s="157">
        <f t="shared" si="799"/>
        <v>0</v>
      </c>
      <c r="ED121" s="157">
        <f t="shared" si="800"/>
        <v>147.30000000000018</v>
      </c>
      <c r="EE121" s="56"/>
      <c r="EH121" s="55">
        <f t="shared" si="801"/>
        <v>46122</v>
      </c>
      <c r="EI121" s="56"/>
      <c r="EJ121" s="162">
        <f>SUMPRODUCT(PRODUCE!$B130:$DY130,PRODUCE!$EB$22:$IY$22)</f>
        <v>0</v>
      </c>
      <c r="EK121" s="56"/>
      <c r="EL121" s="162">
        <f t="shared" si="802"/>
        <v>0</v>
      </c>
      <c r="EM121" s="162">
        <f t="shared" si="803"/>
        <v>0</v>
      </c>
      <c r="EN121" s="56"/>
      <c r="EQ121" s="55">
        <f t="shared" si="804"/>
        <v>46122</v>
      </c>
      <c r="ER121" s="56"/>
      <c r="ES121" s="135">
        <f>SUMPRODUCT(PRODUCE!$B130:$DY130,PRODUCE!$EB$23:$IY$23)</f>
        <v>0</v>
      </c>
      <c r="ET121" s="56"/>
      <c r="EU121" s="135">
        <f t="shared" si="805"/>
        <v>0</v>
      </c>
      <c r="EV121" s="135">
        <f t="shared" si="806"/>
        <v>0</v>
      </c>
      <c r="EW121" s="56"/>
      <c r="EZ121" s="55">
        <f t="shared" si="807"/>
        <v>46122</v>
      </c>
      <c r="FA121" s="56"/>
      <c r="FB121" s="175">
        <f>SUMPRODUCT(PRODUCE!$B130:$DY130,PRODUCE!$EB$24:$IY$24)</f>
        <v>0</v>
      </c>
      <c r="FC121" s="56"/>
      <c r="FD121" s="175">
        <f t="shared" si="808"/>
        <v>0</v>
      </c>
      <c r="FE121" s="175">
        <f t="shared" si="809"/>
        <v>0</v>
      </c>
      <c r="FF121" s="56"/>
      <c r="FI121" s="55">
        <f t="shared" si="810"/>
        <v>46122</v>
      </c>
      <c r="FJ121" s="56"/>
      <c r="FK121" s="183">
        <f>SUMPRODUCT(PRODUCE!$B130:$DY130,PRODUCE!$EB$25:$IY$25)</f>
        <v>0</v>
      </c>
      <c r="FL121" s="56"/>
      <c r="FM121" s="183">
        <f t="shared" si="811"/>
        <v>0</v>
      </c>
      <c r="FN121" s="183">
        <f t="shared" si="812"/>
        <v>0</v>
      </c>
      <c r="FO121" s="56"/>
      <c r="FR121" s="55">
        <f t="shared" si="813"/>
        <v>46122</v>
      </c>
      <c r="FS121" s="422"/>
      <c r="FT121" s="452">
        <f>SUMPRODUCT(PRODUCE!$B130:$DY130,PRODUCE!$EB$26:$IY$26)</f>
        <v>0</v>
      </c>
      <c r="FU121" s="422">
        <f>16*20</f>
        <v>320</v>
      </c>
      <c r="FV121" s="452">
        <f t="shared" si="814"/>
        <v>-320</v>
      </c>
      <c r="FW121" s="452">
        <f t="shared" si="815"/>
        <v>140</v>
      </c>
      <c r="FX121" s="56">
        <f>FU121/20</f>
        <v>16</v>
      </c>
      <c r="GA121" s="55">
        <f t="shared" si="816"/>
        <v>46122</v>
      </c>
      <c r="GB121" s="422"/>
      <c r="GC121" s="454">
        <f>SUMPRODUCT(PRODUCE!$B130:$DY130,PRODUCE!$EB$27:$IY$27)</f>
        <v>0</v>
      </c>
      <c r="GD121" s="422"/>
      <c r="GE121" s="454">
        <f t="shared" si="817"/>
        <v>0</v>
      </c>
      <c r="GF121" s="454">
        <f t="shared" si="818"/>
        <v>6000</v>
      </c>
      <c r="GG121" s="56"/>
      <c r="GI121" s="23"/>
      <c r="GJ121" s="55">
        <f t="shared" si="819"/>
        <v>46122</v>
      </c>
      <c r="GK121" s="422"/>
      <c r="GL121" s="456">
        <f>SUMPRODUCT(PRODUCE!$B130:$DY130,PRODUCE!$EB$28:$IY$28)</f>
        <v>0</v>
      </c>
      <c r="GM121" s="422"/>
      <c r="GN121" s="456">
        <f t="shared" si="820"/>
        <v>0</v>
      </c>
      <c r="GO121" s="456">
        <f t="shared" si="821"/>
        <v>4800</v>
      </c>
      <c r="GP121" s="56"/>
      <c r="GS121" s="55">
        <f t="shared" si="822"/>
        <v>46122</v>
      </c>
      <c r="GT121" s="56"/>
      <c r="GU121" s="195">
        <f>SUMPRODUCT(PRODUCE!$B130:$DY130,PRODUCE!$EB$29:$IY$29)</f>
        <v>0</v>
      </c>
      <c r="GV121" s="56"/>
      <c r="GW121" s="195">
        <f t="shared" si="823"/>
        <v>0</v>
      </c>
      <c r="GX121" s="195">
        <f t="shared" si="824"/>
        <v>0</v>
      </c>
      <c r="GY121" s="56"/>
      <c r="HB121" s="55">
        <f t="shared" si="825"/>
        <v>46122</v>
      </c>
      <c r="HC121" s="56"/>
      <c r="HD121" s="191">
        <f>SUMPRODUCT(PRODUCE!$B130:$DY130,PRODUCE!$EB$30:$IY$30)</f>
        <v>0</v>
      </c>
      <c r="HE121" s="56"/>
      <c r="HF121" s="191">
        <f t="shared" si="826"/>
        <v>0</v>
      </c>
      <c r="HG121" s="191">
        <f t="shared" si="827"/>
        <v>0</v>
      </c>
      <c r="HH121" s="56"/>
      <c r="HK121" s="55">
        <f t="shared" si="828"/>
        <v>46122</v>
      </c>
      <c r="HL121" s="56"/>
      <c r="HM121" s="63">
        <f>SUMPRODUCT(PRODUCE!$B130:$DY130,PRODUCE!$EB$31:$IY$31)</f>
        <v>0</v>
      </c>
      <c r="HN121" s="56"/>
      <c r="HO121" s="63">
        <f t="shared" si="829"/>
        <v>0</v>
      </c>
      <c r="HP121" s="63">
        <f t="shared" si="830"/>
        <v>0</v>
      </c>
      <c r="HQ121" s="56"/>
      <c r="HU121" s="55">
        <f t="shared" si="831"/>
        <v>46122</v>
      </c>
      <c r="HV121" s="56"/>
      <c r="HW121" s="242">
        <f>SUMPRODUCT(PRODUCE!$B130:$DY130,PRODUCE!$EB$32:$IY$32)</f>
        <v>0</v>
      </c>
      <c r="HX121" s="56"/>
      <c r="HY121" s="242">
        <f t="shared" si="832"/>
        <v>0</v>
      </c>
      <c r="HZ121" s="242">
        <f t="shared" si="833"/>
        <v>5120</v>
      </c>
      <c r="IA121" s="56"/>
      <c r="ID121" s="55">
        <f t="shared" si="834"/>
        <v>46122</v>
      </c>
      <c r="IE121" s="56"/>
      <c r="IF121" s="242">
        <f>SUMPRODUCT(PRODUCE!$B130:$DY130,PRODUCE!$EB$33:$IY$33)</f>
        <v>0</v>
      </c>
      <c r="IG121" s="56"/>
      <c r="IH121" s="242">
        <f t="shared" si="835"/>
        <v>0</v>
      </c>
      <c r="II121" s="242">
        <f t="shared" si="836"/>
        <v>6540</v>
      </c>
      <c r="IJ121" s="56"/>
      <c r="IM121" s="55">
        <f t="shared" si="837"/>
        <v>46122</v>
      </c>
      <c r="IN121" s="56"/>
      <c r="IO121" s="242">
        <f>SUMPRODUCT(PRODUCE!$B130:$DY130,PRODUCE!$EB$34:$IY$34)</f>
        <v>0</v>
      </c>
      <c r="IP121" s="56"/>
      <c r="IQ121" s="242">
        <f t="shared" si="838"/>
        <v>0</v>
      </c>
      <c r="IR121" s="242">
        <f t="shared" si="839"/>
        <v>11540</v>
      </c>
      <c r="IS121" s="56"/>
      <c r="IV121" s="55">
        <f t="shared" si="840"/>
        <v>46122</v>
      </c>
      <c r="IW121" s="56"/>
      <c r="IX121" s="242">
        <f>SUMPRODUCT(PRODUCE!$B130:$DY130,PRODUCE!$EB$35:$IY$35)</f>
        <v>0</v>
      </c>
      <c r="IY121" s="56"/>
      <c r="IZ121" s="242">
        <f t="shared" si="841"/>
        <v>0</v>
      </c>
      <c r="JA121" s="242">
        <f t="shared" si="842"/>
        <v>15120</v>
      </c>
      <c r="JB121" s="56"/>
      <c r="JE121" s="55">
        <f t="shared" si="843"/>
        <v>46122</v>
      </c>
      <c r="JF121" s="56"/>
      <c r="JG121" s="242">
        <f>SUMPRODUCT(PRODUCE!$B130:$DY130,PRODUCE!$EB$36:$IY$36)</f>
        <v>0</v>
      </c>
      <c r="JH121" s="56"/>
      <c r="JI121" s="242">
        <f t="shared" si="844"/>
        <v>0</v>
      </c>
      <c r="JJ121" s="242">
        <f t="shared" si="845"/>
        <v>5040</v>
      </c>
      <c r="JK121" s="56"/>
      <c r="JN121" s="55">
        <f t="shared" si="846"/>
        <v>46122</v>
      </c>
      <c r="JO121" s="56"/>
      <c r="JP121" s="242">
        <f>SUMPRODUCT(PRODUCE!$B130:$DY130,PRODUCE!$EB$37:$IY$37)</f>
        <v>0</v>
      </c>
      <c r="JQ121" s="56"/>
      <c r="JR121" s="242">
        <f t="shared" si="847"/>
        <v>0</v>
      </c>
      <c r="JS121" s="242">
        <f t="shared" si="848"/>
        <v>9100</v>
      </c>
      <c r="JT121" s="56"/>
      <c r="JW121" s="55">
        <f t="shared" si="849"/>
        <v>46122</v>
      </c>
      <c r="JX121" s="56"/>
      <c r="JY121" s="242">
        <f>SUMPRODUCT(PRODUCE!$B130:$DY130,PRODUCE!$EB$38:$IY$38)</f>
        <v>0</v>
      </c>
      <c r="JZ121" s="56">
        <f>30*20</f>
        <v>600</v>
      </c>
      <c r="KA121" s="242">
        <f t="shared" si="850"/>
        <v>-600</v>
      </c>
      <c r="KB121" s="242">
        <f t="shared" si="851"/>
        <v>2940</v>
      </c>
      <c r="KC121" s="56">
        <f>JZ121/20</f>
        <v>30</v>
      </c>
      <c r="KF121" s="55">
        <f t="shared" si="852"/>
        <v>46122</v>
      </c>
      <c r="KG121" s="56"/>
      <c r="KH121" s="242">
        <f>SUMPRODUCT(PRODUCE!$B130:$DY130,PRODUCE!$EB$39:$IY$39)</f>
        <v>0</v>
      </c>
      <c r="KI121" s="56">
        <f>160*19.5</f>
        <v>3120</v>
      </c>
      <c r="KJ121" s="242">
        <f t="shared" si="853"/>
        <v>-3120</v>
      </c>
      <c r="KK121" s="242">
        <f t="shared" si="854"/>
        <v>1579.5</v>
      </c>
      <c r="KL121" s="56">
        <f>KI121/19.5</f>
        <v>160</v>
      </c>
      <c r="KO121" s="55">
        <f t="shared" si="855"/>
        <v>46122</v>
      </c>
      <c r="KP121" s="56"/>
      <c r="KQ121" s="242">
        <f>SUMPRODUCT(PRODUCE!$B130:$DY130,PRODUCE!$EB$40:$IY$40)</f>
        <v>491.4</v>
      </c>
      <c r="KR121" s="56">
        <f>50*18.9</f>
        <v>944.99999999999989</v>
      </c>
      <c r="KS121" s="242">
        <f t="shared" si="856"/>
        <v>-453.59999999999991</v>
      </c>
      <c r="KT121" s="242">
        <f t="shared" si="857"/>
        <v>5216.3999999999996</v>
      </c>
      <c r="KU121" s="56">
        <f>KR121/18.9</f>
        <v>50</v>
      </c>
      <c r="KW121" s="23"/>
      <c r="KX121" s="55">
        <f t="shared" si="858"/>
        <v>46122</v>
      </c>
      <c r="KY121" s="56"/>
      <c r="KZ121" s="242">
        <f>SUMPRODUCT(PRODUCE!$B130:$DY130,PRODUCE!$EB$41:$IY$41)</f>
        <v>0</v>
      </c>
      <c r="LA121" s="56"/>
      <c r="LB121" s="242">
        <f t="shared" si="859"/>
        <v>0</v>
      </c>
      <c r="LC121" s="242">
        <f t="shared" si="860"/>
        <v>0</v>
      </c>
      <c r="LD121" s="56"/>
      <c r="LG121" s="55">
        <f t="shared" si="861"/>
        <v>46122</v>
      </c>
      <c r="LH121" s="56"/>
      <c r="LI121" s="242">
        <f>SUMPRODUCT(PRODUCE!$B130:$DY130,PRODUCE!$EB$42:$IY$42)</f>
        <v>0</v>
      </c>
      <c r="LJ121" s="56"/>
      <c r="LK121" s="242">
        <f t="shared" si="862"/>
        <v>0</v>
      </c>
      <c r="LL121" s="242">
        <f t="shared" si="863"/>
        <v>0</v>
      </c>
      <c r="LM121" s="56"/>
      <c r="LP121" s="55">
        <f t="shared" si="864"/>
        <v>46122</v>
      </c>
      <c r="LQ121" s="56"/>
      <c r="LR121" s="242">
        <f>SUMPRODUCT(PRODUCE!$B136:$DY136,PRODUCE!$EB$43:$IY$43)</f>
        <v>0</v>
      </c>
      <c r="LS121" s="56"/>
      <c r="LT121" s="242">
        <f t="shared" si="865"/>
        <v>0</v>
      </c>
      <c r="LU121" s="242">
        <f t="shared" si="866"/>
        <v>0</v>
      </c>
      <c r="LV121" s="56"/>
      <c r="LY121" s="55">
        <f t="shared" si="867"/>
        <v>46122</v>
      </c>
      <c r="LZ121" s="56"/>
      <c r="MA121" s="242">
        <f>SUMPRODUCT(PRODUCE!$B130:$DY130,PRODUCE!$EB$44:$IY$44)</f>
        <v>0</v>
      </c>
      <c r="MB121" s="56"/>
      <c r="MC121" s="242">
        <f t="shared" si="868"/>
        <v>0</v>
      </c>
      <c r="MD121" s="242">
        <f t="shared" si="869"/>
        <v>0</v>
      </c>
      <c r="ME121" s="56"/>
      <c r="MH121" s="55">
        <f t="shared" si="870"/>
        <v>46122</v>
      </c>
      <c r="MI121" s="56"/>
      <c r="MJ121" s="242">
        <f>SUMPRODUCT(PRODUCE!$B130:$DY130,PRODUCE!$EB$45:$IY$45)</f>
        <v>0</v>
      </c>
      <c r="MK121" s="56"/>
      <c r="ML121" s="242">
        <f t="shared" si="871"/>
        <v>0</v>
      </c>
      <c r="MM121" s="242">
        <f t="shared" si="872"/>
        <v>0</v>
      </c>
      <c r="MN121" s="56"/>
      <c r="MQ121" s="55">
        <f t="shared" si="873"/>
        <v>46122</v>
      </c>
      <c r="MR121" s="56"/>
      <c r="MS121" s="242">
        <f>SUMPRODUCT(PRODUCE!$B130:$DY130,PRODUCE!$EB$46:$IY$46)</f>
        <v>0</v>
      </c>
      <c r="MT121" s="56">
        <v>8</v>
      </c>
      <c r="MU121" s="242">
        <f t="shared" si="874"/>
        <v>-8</v>
      </c>
      <c r="MV121" s="242">
        <f t="shared" si="875"/>
        <v>4149</v>
      </c>
      <c r="MW121" s="56"/>
      <c r="MZ121" s="55">
        <f t="shared" si="876"/>
        <v>46122</v>
      </c>
      <c r="NA121" s="56">
        <v>720</v>
      </c>
      <c r="NB121" s="242">
        <f>SUMPRODUCT(PRODUCE!$B130:$DY130,PRODUCE!$EB$47:$IY$47)</f>
        <v>78</v>
      </c>
      <c r="NC121" s="56">
        <f>90+480+150</f>
        <v>720</v>
      </c>
      <c r="ND121" s="242">
        <f t="shared" si="877"/>
        <v>-642</v>
      </c>
      <c r="NE121" s="242">
        <f t="shared" si="878"/>
        <v>0</v>
      </c>
      <c r="NF121" s="56"/>
      <c r="NI121" s="55">
        <f t="shared" si="879"/>
        <v>46122</v>
      </c>
      <c r="NJ121" s="56"/>
      <c r="NK121" s="242">
        <f>SUMPRODUCT(PRODUCE!$B130:$DY130,PRODUCE!$EB$48:$IY$48)</f>
        <v>26</v>
      </c>
      <c r="NL121" s="56">
        <f>30+160+50</f>
        <v>240</v>
      </c>
      <c r="NM121" s="242">
        <f t="shared" si="880"/>
        <v>-214</v>
      </c>
      <c r="NN121" s="242">
        <f t="shared" si="881"/>
        <v>1523</v>
      </c>
      <c r="NO121" s="56"/>
      <c r="NR121" s="55">
        <f t="shared" si="882"/>
        <v>46122</v>
      </c>
      <c r="NS121" s="56"/>
      <c r="NT121" s="242">
        <f>SUMPRODUCT(PRODUCE!$B130:$DY130,PRODUCE!$EB$49:$IY$49)</f>
        <v>31.2</v>
      </c>
      <c r="NU121" s="56">
        <f>6+192+60</f>
        <v>258</v>
      </c>
      <c r="NV121" s="242">
        <f t="shared" si="883"/>
        <v>-226.8</v>
      </c>
      <c r="NW121" s="242">
        <f t="shared" si="884"/>
        <v>3566.1</v>
      </c>
      <c r="NX121" s="56"/>
      <c r="OA121" s="55">
        <f t="shared" si="885"/>
        <v>46122</v>
      </c>
      <c r="OB121" s="56"/>
      <c r="OC121" s="242">
        <f>SUMPRODUCT(PRODUCE!$B130:$DY130,PRODUCE!$EB$50:$IY$50)</f>
        <v>0</v>
      </c>
      <c r="OD121" s="56"/>
      <c r="OE121" s="242">
        <f t="shared" si="886"/>
        <v>0</v>
      </c>
      <c r="OF121" s="242">
        <f t="shared" si="887"/>
        <v>1680.5</v>
      </c>
      <c r="OG121" s="56"/>
      <c r="OJ121" s="55">
        <f t="shared" si="888"/>
        <v>46122</v>
      </c>
      <c r="OK121" s="56">
        <v>705.59999999999991</v>
      </c>
      <c r="OL121" s="242">
        <f>SUMPRODUCT(PRODUCE!$B130:$DY130,PRODUCE!$EB$51:$IY$51)</f>
        <v>72.799999999999983</v>
      </c>
      <c r="OM121" s="56">
        <f>82.05+448+140+35.55</f>
        <v>705.59999999999991</v>
      </c>
      <c r="ON121" s="242">
        <f t="shared" si="889"/>
        <v>-632.79999999999995</v>
      </c>
      <c r="OO121" s="242">
        <f t="shared" si="890"/>
        <v>0</v>
      </c>
      <c r="OP121" s="56"/>
      <c r="OS121" s="55">
        <f t="shared" si="891"/>
        <v>46122</v>
      </c>
      <c r="OT121" s="56"/>
      <c r="OU121" s="242">
        <f>SUMPRODUCT(PRODUCE!$B130:$DY130,PRODUCE!$EB$52:$IY$52)</f>
        <v>0</v>
      </c>
      <c r="OV121" s="56"/>
      <c r="OW121" s="242">
        <f t="shared" si="892"/>
        <v>0</v>
      </c>
      <c r="OX121" s="242">
        <f t="shared" si="893"/>
        <v>1000</v>
      </c>
      <c r="OY121" s="56"/>
      <c r="PB121" s="55">
        <f t="shared" si="894"/>
        <v>46122</v>
      </c>
      <c r="PC121" s="56"/>
      <c r="PD121" s="242">
        <f>SUMPRODUCT(PRODUCE!$B130:$DY130,PRODUCE!$EB$53:$IY$53)</f>
        <v>0</v>
      </c>
      <c r="PE121" s="56"/>
      <c r="PF121" s="242">
        <f t="shared" si="895"/>
        <v>0</v>
      </c>
      <c r="PG121" s="242">
        <f t="shared" si="896"/>
        <v>0</v>
      </c>
      <c r="PH121" s="56"/>
      <c r="PK121" s="55">
        <f t="shared" si="897"/>
        <v>46122</v>
      </c>
      <c r="PL121" s="56"/>
      <c r="PM121" s="242">
        <f>SUMPRODUCT(PRODUCE!$B130:$DY130,PRODUCE!$EB$54:$IY$54)</f>
        <v>0</v>
      </c>
      <c r="PN121" s="56"/>
      <c r="PO121" s="242">
        <f t="shared" si="898"/>
        <v>0</v>
      </c>
      <c r="PP121" s="242">
        <f t="shared" si="899"/>
        <v>100</v>
      </c>
      <c r="PQ121" s="56"/>
      <c r="PT121" s="55">
        <f t="shared" si="900"/>
        <v>46122</v>
      </c>
      <c r="PU121" s="56"/>
      <c r="PV121" s="242">
        <f>SUMPRODUCT(PRODUCE!$B130:$DY130,PRODUCE!$EB$55:$IY$55)</f>
        <v>0</v>
      </c>
      <c r="PW121" s="56"/>
      <c r="PX121" s="242">
        <f t="shared" si="901"/>
        <v>0</v>
      </c>
      <c r="PY121" s="242">
        <f t="shared" si="902"/>
        <v>13.960000000000036</v>
      </c>
      <c r="PZ121" s="56"/>
      <c r="QC121" s="55">
        <f t="shared" si="903"/>
        <v>46122</v>
      </c>
      <c r="QD121" s="56"/>
      <c r="QE121" s="242">
        <f>SUMPRODUCT(PRODUCE!$B130:$DY130,PRODUCE!$EB$56:$IY$56)</f>
        <v>0</v>
      </c>
      <c r="QF121" s="56"/>
      <c r="QG121" s="242">
        <f t="shared" si="904"/>
        <v>0</v>
      </c>
      <c r="QH121" s="242">
        <f t="shared" si="905"/>
        <v>1212</v>
      </c>
      <c r="QI121" s="56"/>
      <c r="QL121" s="55">
        <f t="shared" si="906"/>
        <v>46122</v>
      </c>
      <c r="QM121" s="56"/>
      <c r="QN121" s="242">
        <f>SUMPRODUCT(PRODUCE!$B130:$DY130,PRODUCE!$EB$57:$IY$57)</f>
        <v>0</v>
      </c>
      <c r="QO121" s="56"/>
      <c r="QP121" s="242">
        <f t="shared" si="907"/>
        <v>0</v>
      </c>
      <c r="QQ121" s="242">
        <f t="shared" si="908"/>
        <v>400</v>
      </c>
      <c r="QR121" s="56"/>
      <c r="QU121" s="55">
        <f t="shared" si="909"/>
        <v>46122</v>
      </c>
      <c r="QV121" s="56"/>
      <c r="QW121" s="242">
        <f>SUMPRODUCT(PRODUCE!$B130:$DY130,PRODUCE!$EB$57:$IY$57)</f>
        <v>0</v>
      </c>
      <c r="QX121" s="56"/>
      <c r="QY121" s="242">
        <f t="shared" si="910"/>
        <v>0</v>
      </c>
      <c r="QZ121" s="242">
        <f t="shared" si="911"/>
        <v>207.6</v>
      </c>
      <c r="RA121" s="56"/>
      <c r="RD121" s="55">
        <f t="shared" si="912"/>
        <v>46122</v>
      </c>
      <c r="RE121" s="56"/>
      <c r="RF121" s="242">
        <f>SUMPRODUCT(PRODUCE!$B130:$DY130,PRODUCE!$EB$58:$IY$58)</f>
        <v>0</v>
      </c>
      <c r="RG121" s="56"/>
      <c r="RH121" s="242">
        <f t="shared" si="913"/>
        <v>0</v>
      </c>
      <c r="RI121" s="242">
        <f t="shared" si="914"/>
        <v>197.04000000000002</v>
      </c>
      <c r="RJ121" s="56"/>
      <c r="RM121" s="55">
        <f t="shared" si="915"/>
        <v>46122</v>
      </c>
      <c r="RN121" s="56"/>
      <c r="RO121" s="242">
        <f>SUMPRODUCT(PRODUCE!$B130:$DY130,PRODUCE!$EB$57:$IY$57)</f>
        <v>0</v>
      </c>
      <c r="RP121" s="56"/>
      <c r="RQ121" s="242">
        <f t="shared" si="916"/>
        <v>0</v>
      </c>
      <c r="RR121" s="242">
        <f t="shared" si="917"/>
        <v>46.8</v>
      </c>
      <c r="RS121" s="56"/>
      <c r="RV121" s="55">
        <f t="shared" si="918"/>
        <v>46122</v>
      </c>
      <c r="RW121" s="56"/>
      <c r="RX121" s="242">
        <f>SUMPRODUCT(PRODUCE!$B130:$DY130,PRODUCE!$EB$57:$IY$57)</f>
        <v>0</v>
      </c>
      <c r="RY121" s="56"/>
      <c r="RZ121" s="242">
        <f t="shared" si="919"/>
        <v>0</v>
      </c>
      <c r="SA121" s="242">
        <f t="shared" si="920"/>
        <v>0</v>
      </c>
      <c r="SB121" s="56"/>
      <c r="SE121" s="55">
        <f t="shared" si="921"/>
        <v>46122</v>
      </c>
      <c r="SF121" s="56"/>
      <c r="SG121" s="242">
        <f>SUMPRODUCT(PRODUCE!$B130:$DY130,PRODUCE!$EB$57:$IY$57)</f>
        <v>0</v>
      </c>
      <c r="SH121" s="56"/>
      <c r="SI121" s="242">
        <f t="shared" si="922"/>
        <v>0</v>
      </c>
      <c r="SJ121" s="242">
        <f t="shared" si="923"/>
        <v>0</v>
      </c>
      <c r="SK121" s="56"/>
      <c r="SN121" s="55">
        <f t="shared" si="924"/>
        <v>46122</v>
      </c>
      <c r="SO121" s="56"/>
      <c r="SP121" s="242">
        <f>SUMPRODUCT(PRODUCE!$B130:$DY130,PRODUCE!$EB$57:$IY$57)</f>
        <v>0</v>
      </c>
      <c r="SQ121" s="56"/>
      <c r="SR121" s="242">
        <f t="shared" si="925"/>
        <v>0</v>
      </c>
      <c r="SS121" s="242">
        <f t="shared" si="926"/>
        <v>0</v>
      </c>
      <c r="ST121" s="56"/>
      <c r="SW121" s="55">
        <f t="shared" si="927"/>
        <v>46122</v>
      </c>
      <c r="SX121" s="56"/>
      <c r="SY121" s="242">
        <f>SUMPRODUCT(PRODUCE!$B130:$DY130,PRODUCE!$EB$57:$IY$57)</f>
        <v>0</v>
      </c>
      <c r="SZ121" s="56"/>
      <c r="TA121" s="242">
        <f t="shared" si="928"/>
        <v>0</v>
      </c>
      <c r="TB121" s="242">
        <f t="shared" si="929"/>
        <v>0</v>
      </c>
      <c r="TC121" s="56"/>
      <c r="TF121" s="55">
        <f t="shared" si="930"/>
        <v>46122</v>
      </c>
      <c r="TG121" s="56"/>
      <c r="TH121" s="242">
        <f>SUMPRODUCT(PRODUCE!$B130:$DY130,PRODUCE!$EB$57:$IY$57)</f>
        <v>0</v>
      </c>
      <c r="TI121" s="56"/>
      <c r="TJ121" s="242">
        <f t="shared" si="931"/>
        <v>0</v>
      </c>
      <c r="TK121" s="242">
        <f t="shared" si="932"/>
        <v>0</v>
      </c>
      <c r="TL121" s="56"/>
      <c r="TO121" s="55">
        <f t="shared" si="933"/>
        <v>46122</v>
      </c>
      <c r="TP121" s="56"/>
      <c r="TQ121" s="242">
        <f>SUMPRODUCT(PRODUCE!$B130:$DY130,PRODUCE!$EB$57:$IY$57)</f>
        <v>0</v>
      </c>
      <c r="TR121" s="56"/>
      <c r="TS121" s="242">
        <f t="shared" si="934"/>
        <v>0</v>
      </c>
      <c r="TT121" s="242">
        <f t="shared" si="935"/>
        <v>0</v>
      </c>
      <c r="TU121" s="56"/>
      <c r="TX121" s="55">
        <f t="shared" si="936"/>
        <v>46122</v>
      </c>
      <c r="TY121" s="56"/>
      <c r="TZ121" s="242">
        <f>SUMPRODUCT(PRODUCE!$B130:$DY130,PRODUCE!$EB$57:$IY$57)</f>
        <v>0</v>
      </c>
      <c r="UA121" s="56"/>
      <c r="UB121" s="242">
        <f t="shared" si="937"/>
        <v>0</v>
      </c>
      <c r="UC121" s="242">
        <f t="shared" si="938"/>
        <v>0</v>
      </c>
      <c r="UD121" s="56"/>
      <c r="UG121" s="55">
        <f t="shared" si="939"/>
        <v>46122</v>
      </c>
      <c r="UH121" s="56"/>
      <c r="UI121" s="242">
        <f>SUMPRODUCT(PRODUCE!$B130:$DY130,PRODUCE!$EB$57:$IY$57)</f>
        <v>0</v>
      </c>
      <c r="UJ121" s="56"/>
      <c r="UK121" s="242">
        <f t="shared" si="940"/>
        <v>0</v>
      </c>
      <c r="UL121" s="242">
        <f t="shared" si="941"/>
        <v>0</v>
      </c>
      <c r="UM121" s="56"/>
      <c r="UP121" s="55">
        <f t="shared" si="942"/>
        <v>46122</v>
      </c>
      <c r="UQ121" s="56"/>
      <c r="UR121" s="242">
        <f>SUMPRODUCT(PRODUCE!$B130:$DY130,PRODUCE!$EB$57:$IY$57)</f>
        <v>0</v>
      </c>
      <c r="US121" s="56"/>
      <c r="UT121" s="242">
        <f t="shared" si="943"/>
        <v>0</v>
      </c>
      <c r="UU121" s="242">
        <f t="shared" si="944"/>
        <v>0</v>
      </c>
      <c r="UV121" s="56"/>
      <c r="UY121" s="55">
        <f t="shared" si="945"/>
        <v>46122</v>
      </c>
      <c r="UZ121" s="56"/>
      <c r="VA121" s="242">
        <f>SUMPRODUCT(PRODUCE!$B130:$DY130,PRODUCE!$EB$57:$IY$57)</f>
        <v>0</v>
      </c>
      <c r="VB121" s="56"/>
      <c r="VC121" s="242">
        <f t="shared" si="946"/>
        <v>0</v>
      </c>
      <c r="VD121" s="242">
        <f t="shared" si="947"/>
        <v>41.600000000000023</v>
      </c>
      <c r="VE121" s="56"/>
      <c r="VH121" s="55">
        <f t="shared" si="948"/>
        <v>46122</v>
      </c>
      <c r="VI121" s="56"/>
      <c r="VJ121" s="242">
        <f>SUMPRODUCT(PRODUCE!$B130:$DY130,PRODUCE!$EB$57:$IY$57)</f>
        <v>0</v>
      </c>
      <c r="VK121" s="56"/>
      <c r="VL121" s="242">
        <f t="shared" si="949"/>
        <v>0</v>
      </c>
      <c r="VM121" s="242">
        <f t="shared" si="950"/>
        <v>0</v>
      </c>
      <c r="VN121" s="56"/>
      <c r="VQ121" s="55">
        <f t="shared" si="951"/>
        <v>46122</v>
      </c>
      <c r="VR121" s="56"/>
      <c r="VS121" s="242">
        <f>SUMPRODUCT(PRODUCE!$B130:$DY130,PRODUCE!$EB$57:$IY$57)</f>
        <v>0</v>
      </c>
      <c r="VT121" s="56"/>
      <c r="VU121" s="242">
        <f t="shared" si="952"/>
        <v>0</v>
      </c>
      <c r="VV121" s="242">
        <f t="shared" si="953"/>
        <v>0</v>
      </c>
      <c r="VW121" s="56"/>
      <c r="VZ121" s="55">
        <f t="shared" si="954"/>
        <v>46122</v>
      </c>
      <c r="WA121" s="56"/>
      <c r="WB121" s="242">
        <f>SUMPRODUCT(PRODUCE!$B130:$DY130,PRODUCE!$EB$57:$IY$57)</f>
        <v>0</v>
      </c>
      <c r="WC121" s="56"/>
      <c r="WD121" s="242">
        <f t="shared" si="955"/>
        <v>0</v>
      </c>
      <c r="WE121" s="242">
        <f t="shared" si="956"/>
        <v>0</v>
      </c>
      <c r="WF121" s="56"/>
      <c r="WI121" s="55">
        <f t="shared" si="957"/>
        <v>46122</v>
      </c>
      <c r="WJ121" s="56"/>
      <c r="WK121" s="242">
        <f>SUMPRODUCT(PRODUCE!$B130:$DY130,PRODUCE!$EB$57:$IY$57)</f>
        <v>0</v>
      </c>
      <c r="WL121" s="56"/>
      <c r="WM121" s="242">
        <f t="shared" si="958"/>
        <v>0</v>
      </c>
      <c r="WN121" s="242">
        <f t="shared" si="959"/>
        <v>2317</v>
      </c>
      <c r="WO121" s="56"/>
      <c r="WR121" s="55">
        <f t="shared" si="960"/>
        <v>46122</v>
      </c>
      <c r="WS121" s="56"/>
      <c r="WT121" s="242">
        <f>SUMPRODUCT(PRODUCE!$B130:$DY130,PRODUCE!$EB$57:$IY$57)</f>
        <v>0</v>
      </c>
      <c r="WU121" s="56"/>
      <c r="WV121" s="242">
        <f t="shared" si="961"/>
        <v>0</v>
      </c>
      <c r="WW121" s="242">
        <f t="shared" si="962"/>
        <v>8000</v>
      </c>
      <c r="WX121" s="56"/>
      <c r="XA121" s="55">
        <f t="shared" si="963"/>
        <v>46122</v>
      </c>
      <c r="XB121" s="56"/>
      <c r="XC121" s="242">
        <f>SUMPRODUCT(PRODUCE!$B130:$DY130,PRODUCE!$EB$57:$IY$57)</f>
        <v>0</v>
      </c>
      <c r="XD121" s="56"/>
      <c r="XE121" s="242">
        <f t="shared" si="964"/>
        <v>0</v>
      </c>
      <c r="XF121" s="242">
        <f t="shared" si="965"/>
        <v>14868</v>
      </c>
      <c r="XG121" s="56"/>
      <c r="XJ121" s="55">
        <f t="shared" si="966"/>
        <v>46122</v>
      </c>
      <c r="XK121" s="56"/>
      <c r="XL121" s="242">
        <f>SUMPRODUCT(PRODUCE!$B130:$DY130,PRODUCE!$EB$57:$IY$57)</f>
        <v>0</v>
      </c>
      <c r="XM121" s="56">
        <v>124</v>
      </c>
      <c r="XN121" s="242">
        <f t="shared" si="967"/>
        <v>-124</v>
      </c>
      <c r="XO121" s="242">
        <f t="shared" si="968"/>
        <v>5867</v>
      </c>
      <c r="XP121" s="56"/>
      <c r="XS121" s="55">
        <f t="shared" si="969"/>
        <v>46122</v>
      </c>
      <c r="XT121" s="56"/>
      <c r="XU121" s="242">
        <f>SUMPRODUCT(PRODUCE!$B130:$DY130,PRODUCE!$EB$57:$IY$57)</f>
        <v>0</v>
      </c>
      <c r="XV121" s="56"/>
      <c r="XW121" s="242">
        <f t="shared" si="970"/>
        <v>0</v>
      </c>
      <c r="XX121" s="242">
        <f t="shared" si="971"/>
        <v>1901</v>
      </c>
      <c r="XY121" s="56"/>
      <c r="YB121" s="55">
        <f t="shared" si="972"/>
        <v>46122</v>
      </c>
      <c r="YC121" s="56"/>
      <c r="YD121" s="242">
        <f>SUMPRODUCT(PRODUCE!$B130:$DY130,PRODUCE!$EB$57:$IY$57)</f>
        <v>0</v>
      </c>
      <c r="YE121" s="56"/>
      <c r="YF121" s="242">
        <f t="shared" si="973"/>
        <v>0</v>
      </c>
      <c r="YG121" s="242">
        <f t="shared" si="974"/>
        <v>6459</v>
      </c>
      <c r="YH121" s="56"/>
      <c r="YK121" s="55">
        <f t="shared" si="975"/>
        <v>46122</v>
      </c>
      <c r="YL121" s="56"/>
      <c r="YM121" s="242">
        <f>SUMPRODUCT(PRODUCE!$B130:$DY130,PRODUCE!$EB$57:$IY$57)</f>
        <v>0</v>
      </c>
      <c r="YN121" s="56"/>
      <c r="YO121" s="242">
        <f t="shared" si="976"/>
        <v>0</v>
      </c>
      <c r="YP121" s="242">
        <f t="shared" si="977"/>
        <v>0</v>
      </c>
      <c r="YQ121" s="56"/>
      <c r="YT121" s="55">
        <f t="shared" si="978"/>
        <v>46122</v>
      </c>
      <c r="YU121" s="56"/>
      <c r="YV121" s="242">
        <f>SUMPRODUCT(PRODUCE!$B130:$DY130,PRODUCE!$EB$57:$IY$57)</f>
        <v>0</v>
      </c>
      <c r="YW121" s="56"/>
      <c r="YX121" s="242">
        <f t="shared" si="979"/>
        <v>0</v>
      </c>
      <c r="YY121" s="242">
        <f t="shared" si="980"/>
        <v>0</v>
      </c>
      <c r="YZ121" s="56"/>
      <c r="ZC121" s="55">
        <f t="shared" si="981"/>
        <v>46122</v>
      </c>
      <c r="ZD121" s="56"/>
      <c r="ZE121" s="242">
        <f>SUMPRODUCT(PRODUCE!$B130:$DY130,PRODUCE!$EB$57:$IY$57)</f>
        <v>0</v>
      </c>
      <c r="ZF121" s="56"/>
      <c r="ZG121" s="242">
        <f t="shared" si="982"/>
        <v>0</v>
      </c>
      <c r="ZH121" s="242">
        <f t="shared" si="983"/>
        <v>0</v>
      </c>
      <c r="ZI121" s="56"/>
      <c r="ZL121" s="55">
        <f t="shared" si="984"/>
        <v>46122</v>
      </c>
      <c r="ZM121" s="56"/>
      <c r="ZN121" s="242">
        <f>SUMPRODUCT(PRODUCE!$B130:$DY130,PRODUCE!$EB$57:$IY$57)</f>
        <v>0</v>
      </c>
      <c r="ZO121" s="56"/>
      <c r="ZP121" s="242">
        <f t="shared" si="985"/>
        <v>0</v>
      </c>
      <c r="ZQ121" s="242">
        <f t="shared" si="986"/>
        <v>0</v>
      </c>
      <c r="ZR121" s="56"/>
      <c r="ZU121" s="55">
        <f t="shared" si="987"/>
        <v>46122</v>
      </c>
      <c r="ZV121" s="56"/>
      <c r="ZW121" s="242">
        <f>SUMPRODUCT(PRODUCE!$B130:$DY130,PRODUCE!$EB$57:$IY$57)</f>
        <v>0</v>
      </c>
      <c r="ZX121" s="56"/>
      <c r="ZY121" s="242">
        <f t="shared" si="988"/>
        <v>0</v>
      </c>
      <c r="ZZ121" s="242">
        <f t="shared" si="989"/>
        <v>0</v>
      </c>
      <c r="AAA121" s="56"/>
      <c r="AAD121" s="55">
        <f t="shared" si="990"/>
        <v>46122</v>
      </c>
      <c r="AAE121" s="56"/>
      <c r="AAF121" s="242">
        <f>SUMPRODUCT(PRODUCE!$B130:$DY130,PRODUCE!$EB$57:$IY$57)</f>
        <v>0</v>
      </c>
      <c r="AAG121" s="56"/>
      <c r="AAH121" s="242">
        <f t="shared" si="991"/>
        <v>0</v>
      </c>
      <c r="AAI121" s="242">
        <f t="shared" si="992"/>
        <v>0</v>
      </c>
      <c r="AAJ121" s="56"/>
      <c r="AAM121" s="55">
        <f t="shared" si="993"/>
        <v>46122</v>
      </c>
      <c r="AAN121" s="56"/>
      <c r="AAO121" s="242">
        <f>SUMPRODUCT(PRODUCE!$B130:$DY130,PRODUCE!$EB$57:$IY$57)</f>
        <v>0</v>
      </c>
      <c r="AAP121" s="56"/>
      <c r="AAQ121" s="242">
        <f t="shared" si="994"/>
        <v>0</v>
      </c>
      <c r="AAR121" s="242">
        <f t="shared" si="995"/>
        <v>0</v>
      </c>
      <c r="AAS121" s="56"/>
      <c r="AAV121" s="55">
        <f t="shared" si="996"/>
        <v>46122</v>
      </c>
      <c r="AAW121" s="56"/>
      <c r="AAX121" s="242">
        <f>SUMPRODUCT(PRODUCE!$B130:$DY130,PRODUCE!$EB$57:$IY$57)</f>
        <v>0</v>
      </c>
      <c r="AAY121" s="56"/>
      <c r="AAZ121" s="242">
        <f t="shared" si="997"/>
        <v>0</v>
      </c>
      <c r="ABA121" s="242">
        <f t="shared" si="998"/>
        <v>0</v>
      </c>
      <c r="ABB121" s="56"/>
      <c r="ABE121" s="55">
        <f t="shared" si="999"/>
        <v>46122</v>
      </c>
      <c r="ABF121" s="56"/>
      <c r="ABG121" s="242">
        <f>SUMPRODUCT(PRODUCE!$B130:$DY130,PRODUCE!$EB$57:$IY$57)</f>
        <v>0</v>
      </c>
      <c r="ABH121" s="56"/>
      <c r="ABI121" s="242">
        <f t="shared" si="1000"/>
        <v>0</v>
      </c>
      <c r="ABJ121" s="242">
        <f t="shared" si="1001"/>
        <v>0</v>
      </c>
      <c r="ABK121" s="56"/>
    </row>
    <row r="122" spans="2:739" s="54" customFormat="1" ht="15" customHeight="1" outlineLevel="1">
      <c r="B122" s="478">
        <f>20+50</f>
        <v>70</v>
      </c>
      <c r="C122" s="55">
        <v>46123</v>
      </c>
      <c r="D122" s="422">
        <v>32620</v>
      </c>
      <c r="E122" s="423">
        <f>SUMPRODUCT(PRODUCE!$B131:$DY131,PRODUCE!$EB$7:$IY$7)</f>
        <v>39322</v>
      </c>
      <c r="F122" s="422">
        <v>39326.199999999997</v>
      </c>
      <c r="G122" s="423">
        <f t="shared" si="1002"/>
        <v>-4.1999999999970896</v>
      </c>
      <c r="H122" s="423">
        <f t="shared" si="1003"/>
        <v>186334.59999999998</v>
      </c>
      <c r="I122" s="289" t="s">
        <v>243</v>
      </c>
      <c r="L122" s="55">
        <f t="shared" si="759"/>
        <v>46123</v>
      </c>
      <c r="M122" s="422"/>
      <c r="N122" s="438">
        <f>SUMPRODUCT(PRODUCE!$B131:$DY131,PRODUCE!$EB$8:$IY$8)</f>
        <v>16800</v>
      </c>
      <c r="O122" s="422">
        <v>16799.400000000001</v>
      </c>
      <c r="P122" s="438">
        <f t="shared" si="760"/>
        <v>0.59999999999854481</v>
      </c>
      <c r="Q122" s="438">
        <f t="shared" si="761"/>
        <v>71899.200000000099</v>
      </c>
      <c r="R122" s="56"/>
      <c r="U122" s="55">
        <f t="shared" si="762"/>
        <v>46123</v>
      </c>
      <c r="V122" s="422"/>
      <c r="W122" s="440">
        <f>SUMPRODUCT(PRODUCE!$B131:$DY131,PRODUCE!$EB$9:$IY$9)</f>
        <v>2920</v>
      </c>
      <c r="X122" s="422">
        <v>2919.7</v>
      </c>
      <c r="Y122" s="440">
        <f t="shared" si="763"/>
        <v>0.3000000000001819</v>
      </c>
      <c r="Z122" s="440">
        <f t="shared" si="764"/>
        <v>40829.699999999968</v>
      </c>
      <c r="AA122" s="56"/>
      <c r="AD122" s="55">
        <f t="shared" si="765"/>
        <v>46123</v>
      </c>
      <c r="AE122" s="422"/>
      <c r="AF122" s="442">
        <f>SUMPRODUCT(PRODUCE!$B131:$DY131,PRODUCE!$EB$10:$IY$10)</f>
        <v>2760</v>
      </c>
      <c r="AG122" s="422">
        <v>2761.2</v>
      </c>
      <c r="AH122" s="442">
        <f t="shared" si="766"/>
        <v>-1.1999999999998181</v>
      </c>
      <c r="AI122" s="442">
        <f t="shared" si="767"/>
        <v>43541.800000000017</v>
      </c>
      <c r="AJ122" s="56"/>
      <c r="AM122" s="55">
        <f t="shared" si="768"/>
        <v>46123</v>
      </c>
      <c r="AN122" s="422"/>
      <c r="AO122" s="444">
        <f>SUMPRODUCT(PRODUCE!$B131:$DY131,PRODUCE!$EB$11:$IY$11)</f>
        <v>0</v>
      </c>
      <c r="AP122" s="422"/>
      <c r="AQ122" s="444">
        <f t="shared" si="769"/>
        <v>0</v>
      </c>
      <c r="AR122" s="444">
        <f t="shared" si="770"/>
        <v>0</v>
      </c>
      <c r="AS122" s="56"/>
      <c r="AV122" s="55">
        <f t="shared" si="771"/>
        <v>46123</v>
      </c>
      <c r="AW122" s="422"/>
      <c r="AX122" s="446">
        <f>SUMPRODUCT(PRODUCE!$B131:$DY131,PRODUCE!$EB$12:$IY$12)</f>
        <v>500</v>
      </c>
      <c r="AY122" s="422">
        <v>499.3</v>
      </c>
      <c r="AZ122" s="446">
        <f t="shared" si="772"/>
        <v>0.69999999999998863</v>
      </c>
      <c r="BA122" s="446">
        <f t="shared" si="773"/>
        <v>13617.699999999992</v>
      </c>
      <c r="BB122" s="56"/>
      <c r="BE122" s="55">
        <f t="shared" si="774"/>
        <v>46123</v>
      </c>
      <c r="BF122" s="422"/>
      <c r="BG122" s="448">
        <f>SUMPRODUCT(PRODUCE!$B131:$DY131,PRODUCE!$EB$13:$IY$13)</f>
        <v>2090</v>
      </c>
      <c r="BH122" s="422">
        <v>2089.3000000000002</v>
      </c>
      <c r="BI122" s="448">
        <f t="shared" si="775"/>
        <v>0.6999999999998181</v>
      </c>
      <c r="BJ122" s="448">
        <f t="shared" si="776"/>
        <v>13983.400000000001</v>
      </c>
      <c r="BK122" s="56"/>
      <c r="BN122" s="55">
        <f t="shared" si="777"/>
        <v>46123</v>
      </c>
      <c r="BO122" s="422">
        <v>1050</v>
      </c>
      <c r="BP122" s="450">
        <f>SUMPRODUCT(PRODUCE!$B131:$DY131,PRODUCE!$EB$14:$IY$14)</f>
        <v>1650</v>
      </c>
      <c r="BQ122" s="422">
        <v>1050</v>
      </c>
      <c r="BR122" s="450">
        <f t="shared" si="778"/>
        <v>600</v>
      </c>
      <c r="BS122" s="450">
        <f t="shared" si="779"/>
        <v>0</v>
      </c>
      <c r="BT122" s="56"/>
      <c r="BW122" s="55">
        <f t="shared" si="780"/>
        <v>46123</v>
      </c>
      <c r="BX122" s="56"/>
      <c r="BY122" s="65">
        <f>SUMPRODUCT(PRODUCE!$B131:$DY131,PRODUCE!$EB$15:$IY$15)</f>
        <v>133</v>
      </c>
      <c r="BZ122" s="56"/>
      <c r="CA122" s="65">
        <f t="shared" si="781"/>
        <v>133</v>
      </c>
      <c r="CB122" s="65">
        <f t="shared" si="782"/>
        <v>8228.7999999999993</v>
      </c>
      <c r="CC122" s="56"/>
      <c r="CF122" s="55">
        <f t="shared" si="783"/>
        <v>46123</v>
      </c>
      <c r="CG122" s="56"/>
      <c r="CH122" s="66">
        <f>SUMPRODUCT(PRODUCE!$B131:$DY131,PRODUCE!$EB$16:$IY$16)</f>
        <v>450</v>
      </c>
      <c r="CI122" s="56"/>
      <c r="CJ122" s="66">
        <f t="shared" si="784"/>
        <v>450</v>
      </c>
      <c r="CK122" s="66">
        <f t="shared" si="785"/>
        <v>0</v>
      </c>
      <c r="CL122" s="56"/>
      <c r="CO122" s="55">
        <f t="shared" si="786"/>
        <v>46123</v>
      </c>
      <c r="CP122" s="422"/>
      <c r="CQ122" s="470">
        <f>SUMPRODUCT(PRODUCE!$B131:$DY131,PRODUCE!$EB$17:$IY$17)</f>
        <v>0</v>
      </c>
      <c r="CR122" s="422"/>
      <c r="CS122" s="470">
        <f t="shared" si="787"/>
        <v>0</v>
      </c>
      <c r="CT122" s="470">
        <f t="shared" si="788"/>
        <v>0</v>
      </c>
      <c r="CU122" s="56"/>
      <c r="CX122" s="55">
        <f t="shared" si="789"/>
        <v>46123</v>
      </c>
      <c r="CY122" s="56"/>
      <c r="CZ122" s="133">
        <f>SUMPRODUCT(PRODUCE!$B131:$DY131,PRODUCE!$EB$18:$IY$18)</f>
        <v>1000</v>
      </c>
      <c r="DA122" s="56">
        <v>1000.1</v>
      </c>
      <c r="DB122" s="133">
        <f t="shared" si="790"/>
        <v>-0.10000000000002274</v>
      </c>
      <c r="DC122" s="133">
        <f t="shared" si="791"/>
        <v>26858.100000000006</v>
      </c>
      <c r="DD122" s="56"/>
      <c r="DG122" s="55">
        <f t="shared" si="792"/>
        <v>46123</v>
      </c>
      <c r="DH122" s="56"/>
      <c r="DI122" s="147">
        <f>SUMPRODUCT(PRODUCE!$B131:$DY131,PRODUCE!$EB$19:$IY$19)</f>
        <v>800</v>
      </c>
      <c r="DJ122" s="56">
        <v>799.4</v>
      </c>
      <c r="DK122" s="147">
        <f t="shared" si="793"/>
        <v>0.60000000000002274</v>
      </c>
      <c r="DL122" s="147">
        <f t="shared" si="794"/>
        <v>24541.599999999991</v>
      </c>
      <c r="DM122" s="56"/>
      <c r="DP122" s="55">
        <f t="shared" si="795"/>
        <v>46123</v>
      </c>
      <c r="DQ122" s="56"/>
      <c r="DR122" s="57">
        <f>SUMPRODUCT(PRODUCE!$B131:$DY131,PRODUCE!$EB$20:$IY$20)</f>
        <v>0</v>
      </c>
      <c r="DS122" s="56"/>
      <c r="DT122" s="57">
        <f t="shared" si="796"/>
        <v>0</v>
      </c>
      <c r="DU122" s="57">
        <f t="shared" si="797"/>
        <v>7050</v>
      </c>
      <c r="DV122" s="56"/>
      <c r="DY122" s="55">
        <f t="shared" si="798"/>
        <v>46123</v>
      </c>
      <c r="DZ122" s="56"/>
      <c r="EA122" s="157">
        <f>SUMPRODUCT(PRODUCE!$B131:$DY131,PRODUCE!$EB$21:$IY$21)</f>
        <v>0</v>
      </c>
      <c r="EB122" s="56"/>
      <c r="EC122" s="157">
        <f t="shared" si="799"/>
        <v>0</v>
      </c>
      <c r="ED122" s="157">
        <f t="shared" si="800"/>
        <v>147.30000000000018</v>
      </c>
      <c r="EE122" s="56"/>
      <c r="EH122" s="55">
        <f t="shared" si="801"/>
        <v>46123</v>
      </c>
      <c r="EI122" s="56"/>
      <c r="EJ122" s="162">
        <f>SUMPRODUCT(PRODUCE!$B131:$DY131,PRODUCE!$EB$22:$IY$22)</f>
        <v>0</v>
      </c>
      <c r="EK122" s="56"/>
      <c r="EL122" s="162">
        <f t="shared" si="802"/>
        <v>0</v>
      </c>
      <c r="EM122" s="162">
        <f t="shared" si="803"/>
        <v>0</v>
      </c>
      <c r="EN122" s="56"/>
      <c r="EQ122" s="55">
        <f t="shared" si="804"/>
        <v>46123</v>
      </c>
      <c r="ER122" s="56"/>
      <c r="ES122" s="135">
        <f>SUMPRODUCT(PRODUCE!$B131:$DY131,PRODUCE!$EB$23:$IY$23)</f>
        <v>0</v>
      </c>
      <c r="ET122" s="56"/>
      <c r="EU122" s="135">
        <f t="shared" si="805"/>
        <v>0</v>
      </c>
      <c r="EV122" s="135">
        <f t="shared" si="806"/>
        <v>0</v>
      </c>
      <c r="EW122" s="56"/>
      <c r="EZ122" s="55">
        <f t="shared" si="807"/>
        <v>46123</v>
      </c>
      <c r="FA122" s="56"/>
      <c r="FB122" s="175">
        <f>SUMPRODUCT(PRODUCE!$B131:$DY131,PRODUCE!$EB$24:$IY$24)</f>
        <v>0</v>
      </c>
      <c r="FC122" s="56"/>
      <c r="FD122" s="175">
        <f t="shared" si="808"/>
        <v>0</v>
      </c>
      <c r="FE122" s="175">
        <f t="shared" si="809"/>
        <v>0</v>
      </c>
      <c r="FF122" s="56"/>
      <c r="FI122" s="55">
        <f t="shared" si="810"/>
        <v>46123</v>
      </c>
      <c r="FJ122" s="56"/>
      <c r="FK122" s="183">
        <f>SUMPRODUCT(PRODUCE!$B131:$DY131,PRODUCE!$EB$25:$IY$25)</f>
        <v>0</v>
      </c>
      <c r="FL122" s="56"/>
      <c r="FM122" s="183">
        <f t="shared" si="811"/>
        <v>0</v>
      </c>
      <c r="FN122" s="183">
        <f t="shared" si="812"/>
        <v>0</v>
      </c>
      <c r="FO122" s="56"/>
      <c r="FR122" s="55">
        <f t="shared" si="813"/>
        <v>46123</v>
      </c>
      <c r="FS122" s="422"/>
      <c r="FT122" s="452">
        <f>SUMPRODUCT(PRODUCE!$B131:$DY131,PRODUCE!$EB$26:$IY$26)</f>
        <v>0</v>
      </c>
      <c r="FU122" s="422"/>
      <c r="FV122" s="452">
        <f t="shared" si="814"/>
        <v>0</v>
      </c>
      <c r="FW122" s="452">
        <f t="shared" si="815"/>
        <v>140</v>
      </c>
      <c r="FX122" s="56"/>
      <c r="GA122" s="55">
        <f t="shared" si="816"/>
        <v>46123</v>
      </c>
      <c r="GB122" s="422"/>
      <c r="GC122" s="454">
        <f>SUMPRODUCT(PRODUCE!$B131:$DY131,PRODUCE!$EB$27:$IY$27)</f>
        <v>1000</v>
      </c>
      <c r="GD122" s="422"/>
      <c r="GE122" s="454">
        <f t="shared" si="817"/>
        <v>1000</v>
      </c>
      <c r="GF122" s="454">
        <f t="shared" si="818"/>
        <v>6000</v>
      </c>
      <c r="GG122" s="56"/>
      <c r="GI122" s="23"/>
      <c r="GJ122" s="55">
        <f t="shared" si="819"/>
        <v>46123</v>
      </c>
      <c r="GK122" s="422"/>
      <c r="GL122" s="456">
        <f>SUMPRODUCT(PRODUCE!$B131:$DY131,PRODUCE!$EB$28:$IY$28)</f>
        <v>0</v>
      </c>
      <c r="GM122" s="422"/>
      <c r="GN122" s="456">
        <f t="shared" si="820"/>
        <v>0</v>
      </c>
      <c r="GO122" s="456">
        <f t="shared" si="821"/>
        <v>4800</v>
      </c>
      <c r="GP122" s="56"/>
      <c r="GS122" s="55">
        <f t="shared" si="822"/>
        <v>46123</v>
      </c>
      <c r="GT122" s="56"/>
      <c r="GU122" s="195">
        <f>SUMPRODUCT(PRODUCE!$B131:$DY131,PRODUCE!$EB$29:$IY$29)</f>
        <v>0</v>
      </c>
      <c r="GV122" s="56"/>
      <c r="GW122" s="195">
        <f t="shared" si="823"/>
        <v>0</v>
      </c>
      <c r="GX122" s="195">
        <f t="shared" si="824"/>
        <v>0</v>
      </c>
      <c r="GY122" s="56"/>
      <c r="HB122" s="55">
        <f t="shared" si="825"/>
        <v>46123</v>
      </c>
      <c r="HC122" s="56"/>
      <c r="HD122" s="191">
        <f>SUMPRODUCT(PRODUCE!$B131:$DY131,PRODUCE!$EB$30:$IY$30)</f>
        <v>0</v>
      </c>
      <c r="HE122" s="56"/>
      <c r="HF122" s="191">
        <f t="shared" si="826"/>
        <v>0</v>
      </c>
      <c r="HG122" s="191">
        <f t="shared" si="827"/>
        <v>0</v>
      </c>
      <c r="HH122" s="56"/>
      <c r="HK122" s="55">
        <f t="shared" si="828"/>
        <v>46123</v>
      </c>
      <c r="HL122" s="56"/>
      <c r="HM122" s="63">
        <f>SUMPRODUCT(PRODUCE!$B131:$DY131,PRODUCE!$EB$31:$IY$31)</f>
        <v>0</v>
      </c>
      <c r="HN122" s="56"/>
      <c r="HO122" s="63">
        <f t="shared" si="829"/>
        <v>0</v>
      </c>
      <c r="HP122" s="63">
        <f t="shared" si="830"/>
        <v>0</v>
      </c>
      <c r="HQ122" s="56"/>
      <c r="HU122" s="55">
        <f t="shared" si="831"/>
        <v>46123</v>
      </c>
      <c r="HV122" s="56"/>
      <c r="HW122" s="242">
        <f>SUMPRODUCT(PRODUCE!$B131:$DY131,PRODUCE!$EB$32:$IY$32)</f>
        <v>0</v>
      </c>
      <c r="HX122" s="56"/>
      <c r="HY122" s="242">
        <f t="shared" si="832"/>
        <v>0</v>
      </c>
      <c r="HZ122" s="242">
        <f t="shared" si="833"/>
        <v>5120</v>
      </c>
      <c r="IA122" s="56"/>
      <c r="ID122" s="55">
        <f t="shared" si="834"/>
        <v>46123</v>
      </c>
      <c r="IE122" s="56"/>
      <c r="IF122" s="242">
        <f>SUMPRODUCT(PRODUCE!$B131:$DY131,PRODUCE!$EB$33:$IY$33)</f>
        <v>0</v>
      </c>
      <c r="IG122" s="56"/>
      <c r="IH122" s="242">
        <f t="shared" si="835"/>
        <v>0</v>
      </c>
      <c r="II122" s="242">
        <f t="shared" si="836"/>
        <v>6540</v>
      </c>
      <c r="IJ122" s="56"/>
      <c r="IM122" s="55">
        <f t="shared" si="837"/>
        <v>46123</v>
      </c>
      <c r="IN122" s="56"/>
      <c r="IO122" s="242">
        <f>SUMPRODUCT(PRODUCE!$B131:$DY131,PRODUCE!$EB$34:$IY$34)</f>
        <v>0</v>
      </c>
      <c r="IP122" s="56"/>
      <c r="IQ122" s="242">
        <f t="shared" si="838"/>
        <v>0</v>
      </c>
      <c r="IR122" s="242">
        <f t="shared" si="839"/>
        <v>11540</v>
      </c>
      <c r="IS122" s="56"/>
      <c r="IV122" s="55">
        <f t="shared" si="840"/>
        <v>46123</v>
      </c>
      <c r="IW122" s="56"/>
      <c r="IX122" s="242">
        <f>SUMPRODUCT(PRODUCE!$B131:$DY131,PRODUCE!$EB$35:$IY$35)</f>
        <v>0</v>
      </c>
      <c r="IY122" s="56"/>
      <c r="IZ122" s="242">
        <f t="shared" si="841"/>
        <v>0</v>
      </c>
      <c r="JA122" s="242">
        <f t="shared" si="842"/>
        <v>15120</v>
      </c>
      <c r="JB122" s="56"/>
      <c r="JE122" s="55">
        <f t="shared" si="843"/>
        <v>46123</v>
      </c>
      <c r="JF122" s="56"/>
      <c r="JG122" s="242">
        <f>SUMPRODUCT(PRODUCE!$B131:$DY131,PRODUCE!$EB$36:$IY$36)</f>
        <v>0</v>
      </c>
      <c r="JH122" s="56"/>
      <c r="JI122" s="242">
        <f t="shared" si="844"/>
        <v>0</v>
      </c>
      <c r="JJ122" s="242">
        <f t="shared" si="845"/>
        <v>5040</v>
      </c>
      <c r="JK122" s="56"/>
      <c r="JN122" s="55">
        <f t="shared" si="846"/>
        <v>46123</v>
      </c>
      <c r="JO122" s="56"/>
      <c r="JP122" s="242">
        <f>SUMPRODUCT(PRODUCE!$B131:$DY131,PRODUCE!$EB$37:$IY$37)</f>
        <v>0</v>
      </c>
      <c r="JQ122" s="56"/>
      <c r="JR122" s="242">
        <f t="shared" si="847"/>
        <v>0</v>
      </c>
      <c r="JS122" s="242">
        <f t="shared" si="848"/>
        <v>9100</v>
      </c>
      <c r="JT122" s="56"/>
      <c r="JW122" s="55">
        <f t="shared" si="849"/>
        <v>46123</v>
      </c>
      <c r="JX122" s="56"/>
      <c r="JY122" s="242">
        <f>SUMPRODUCT(PRODUCE!$B131:$DY131,PRODUCE!$EB$38:$IY$38)</f>
        <v>0</v>
      </c>
      <c r="JZ122" s="56"/>
      <c r="KA122" s="242">
        <f t="shared" si="850"/>
        <v>0</v>
      </c>
      <c r="KB122" s="242">
        <f t="shared" si="851"/>
        <v>2940</v>
      </c>
      <c r="KC122" s="56"/>
      <c r="KF122" s="55">
        <f t="shared" si="852"/>
        <v>46123</v>
      </c>
      <c r="KG122" s="56"/>
      <c r="KH122" s="242">
        <f>SUMPRODUCT(PRODUCE!$B131:$DY131,PRODUCE!$EB$39:$IY$39)</f>
        <v>390</v>
      </c>
      <c r="KI122" s="56"/>
      <c r="KJ122" s="242">
        <f t="shared" si="853"/>
        <v>390</v>
      </c>
      <c r="KK122" s="242">
        <f t="shared" si="854"/>
        <v>1579.5</v>
      </c>
      <c r="KL122" s="56"/>
      <c r="KO122" s="55">
        <f t="shared" si="855"/>
        <v>46123</v>
      </c>
      <c r="KP122" s="56"/>
      <c r="KQ122" s="242">
        <f>SUMPRODUCT(PRODUCE!$B131:$DY131,PRODUCE!$EB$40:$IY$40)</f>
        <v>0</v>
      </c>
      <c r="KR122" s="56"/>
      <c r="KS122" s="242">
        <f t="shared" si="856"/>
        <v>0</v>
      </c>
      <c r="KT122" s="242">
        <f t="shared" si="857"/>
        <v>5216.3999999999996</v>
      </c>
      <c r="KU122" s="56"/>
      <c r="KW122" s="518">
        <f>KY122/20.5</f>
        <v>0</v>
      </c>
      <c r="KX122" s="55">
        <f t="shared" si="858"/>
        <v>46123</v>
      </c>
      <c r="KY122" s="56"/>
      <c r="KZ122" s="242">
        <f>SUMPRODUCT(PRODUCE!$B131:$DY131,PRODUCE!$EB$41:$IY$41)</f>
        <v>0</v>
      </c>
      <c r="LA122" s="56"/>
      <c r="LB122" s="242">
        <f t="shared" si="859"/>
        <v>0</v>
      </c>
      <c r="LC122" s="242">
        <f t="shared" si="860"/>
        <v>0</v>
      </c>
      <c r="LD122" s="56"/>
      <c r="LG122" s="55">
        <f t="shared" si="861"/>
        <v>46123</v>
      </c>
      <c r="LH122" s="56"/>
      <c r="LI122" s="242">
        <f>SUMPRODUCT(PRODUCE!$B131:$DY131,PRODUCE!$EB$42:$IY$42)</f>
        <v>0</v>
      </c>
      <c r="LJ122" s="56"/>
      <c r="LK122" s="242">
        <f t="shared" si="862"/>
        <v>0</v>
      </c>
      <c r="LL122" s="242">
        <f t="shared" si="863"/>
        <v>0</v>
      </c>
      <c r="LM122" s="56"/>
      <c r="LP122" s="55">
        <f t="shared" si="864"/>
        <v>46123</v>
      </c>
      <c r="LQ122" s="56"/>
      <c r="LR122" s="242">
        <f>SUMPRODUCT(PRODUCE!$B137:$DY137,PRODUCE!$EB$43:$IY$43)</f>
        <v>0</v>
      </c>
      <c r="LS122" s="56"/>
      <c r="LT122" s="242">
        <f t="shared" si="865"/>
        <v>0</v>
      </c>
      <c r="LU122" s="242">
        <f t="shared" si="866"/>
        <v>0</v>
      </c>
      <c r="LV122" s="56"/>
      <c r="LY122" s="55">
        <f t="shared" si="867"/>
        <v>46123</v>
      </c>
      <c r="LZ122" s="56"/>
      <c r="MA122" s="242">
        <f>SUMPRODUCT(PRODUCE!$B131:$DY131,PRODUCE!$EB$44:$IY$44)</f>
        <v>0</v>
      </c>
      <c r="MB122" s="56"/>
      <c r="MC122" s="242">
        <f t="shared" si="868"/>
        <v>0</v>
      </c>
      <c r="MD122" s="242">
        <f t="shared" si="869"/>
        <v>0</v>
      </c>
      <c r="ME122" s="56"/>
      <c r="MH122" s="55">
        <f t="shared" si="870"/>
        <v>46123</v>
      </c>
      <c r="MI122" s="56"/>
      <c r="MJ122" s="242">
        <f>SUMPRODUCT(PRODUCE!$B131:$DY131,PRODUCE!$EB$45:$IY$45)</f>
        <v>0</v>
      </c>
      <c r="MK122" s="56"/>
      <c r="ML122" s="242">
        <f t="shared" si="871"/>
        <v>0</v>
      </c>
      <c r="MM122" s="242">
        <f t="shared" si="872"/>
        <v>0</v>
      </c>
      <c r="MN122" s="56"/>
      <c r="MQ122" s="55">
        <f t="shared" si="873"/>
        <v>46123</v>
      </c>
      <c r="MR122" s="56"/>
      <c r="MS122" s="242">
        <f>SUMPRODUCT(PRODUCE!$B131:$DY131,PRODUCE!$EB$46:$IY$46)</f>
        <v>25</v>
      </c>
      <c r="MT122" s="56"/>
      <c r="MU122" s="242">
        <f t="shared" si="874"/>
        <v>25</v>
      </c>
      <c r="MV122" s="242">
        <f t="shared" si="875"/>
        <v>4149</v>
      </c>
      <c r="MW122" s="56"/>
      <c r="MZ122" s="55">
        <f t="shared" si="876"/>
        <v>46123</v>
      </c>
      <c r="NA122" s="56"/>
      <c r="NB122" s="242">
        <f>SUMPRODUCT(PRODUCE!$B131:$DY131,PRODUCE!$EB$47:$IY$47)</f>
        <v>60</v>
      </c>
      <c r="NC122" s="56"/>
      <c r="ND122" s="242">
        <f t="shared" si="877"/>
        <v>60</v>
      </c>
      <c r="NE122" s="242">
        <f t="shared" si="878"/>
        <v>0</v>
      </c>
      <c r="NF122" s="56"/>
      <c r="NI122" s="55">
        <f t="shared" si="879"/>
        <v>46123</v>
      </c>
      <c r="NJ122" s="56"/>
      <c r="NK122" s="242">
        <f>SUMPRODUCT(PRODUCE!$B131:$DY131,PRODUCE!$EB$48:$IY$48)</f>
        <v>20</v>
      </c>
      <c r="NL122" s="56"/>
      <c r="NM122" s="242">
        <f t="shared" si="880"/>
        <v>20</v>
      </c>
      <c r="NN122" s="242">
        <f t="shared" si="881"/>
        <v>1523</v>
      </c>
      <c r="NO122" s="56"/>
      <c r="NR122" s="55">
        <f t="shared" si="882"/>
        <v>46123</v>
      </c>
      <c r="NS122" s="56"/>
      <c r="NT122" s="242">
        <f>SUMPRODUCT(PRODUCE!$B131:$DY131,PRODUCE!$EB$49:$IY$49)</f>
        <v>24</v>
      </c>
      <c r="NU122" s="56"/>
      <c r="NV122" s="242">
        <f t="shared" si="883"/>
        <v>24</v>
      </c>
      <c r="NW122" s="242">
        <f t="shared" si="884"/>
        <v>3566.1</v>
      </c>
      <c r="NX122" s="56"/>
      <c r="OA122" s="55">
        <f t="shared" si="885"/>
        <v>46123</v>
      </c>
      <c r="OB122" s="56"/>
      <c r="OC122" s="242">
        <f>SUMPRODUCT(PRODUCE!$B131:$DY131,PRODUCE!$EB$50:$IY$50)</f>
        <v>0</v>
      </c>
      <c r="OD122" s="56"/>
      <c r="OE122" s="242">
        <f t="shared" si="886"/>
        <v>0</v>
      </c>
      <c r="OF122" s="242">
        <f t="shared" si="887"/>
        <v>1680.5</v>
      </c>
      <c r="OG122" s="56"/>
      <c r="OJ122" s="55">
        <f t="shared" si="888"/>
        <v>46123</v>
      </c>
      <c r="OK122" s="56"/>
      <c r="OL122" s="242">
        <f>SUMPRODUCT(PRODUCE!$B131:$DY131,PRODUCE!$EB$51:$IY$51)</f>
        <v>55.999999999999986</v>
      </c>
      <c r="OM122" s="56"/>
      <c r="ON122" s="242">
        <f t="shared" si="889"/>
        <v>55.999999999999986</v>
      </c>
      <c r="OO122" s="242">
        <f t="shared" si="890"/>
        <v>0</v>
      </c>
      <c r="OP122" s="56"/>
      <c r="OS122" s="55">
        <f t="shared" si="891"/>
        <v>46123</v>
      </c>
      <c r="OT122" s="56"/>
      <c r="OU122" s="242">
        <f>SUMPRODUCT(PRODUCE!$B131:$DY131,PRODUCE!$EB$52:$IY$52)</f>
        <v>0</v>
      </c>
      <c r="OV122" s="56"/>
      <c r="OW122" s="242">
        <f t="shared" si="892"/>
        <v>0</v>
      </c>
      <c r="OX122" s="242">
        <f t="shared" si="893"/>
        <v>1000</v>
      </c>
      <c r="OY122" s="56"/>
      <c r="PB122" s="55">
        <f t="shared" si="894"/>
        <v>46123</v>
      </c>
      <c r="PC122" s="56"/>
      <c r="PD122" s="242">
        <f>SUMPRODUCT(PRODUCE!$B131:$DY131,PRODUCE!$EB$53:$IY$53)</f>
        <v>0</v>
      </c>
      <c r="PE122" s="56"/>
      <c r="PF122" s="242">
        <f t="shared" si="895"/>
        <v>0</v>
      </c>
      <c r="PG122" s="242">
        <f t="shared" si="896"/>
        <v>0</v>
      </c>
      <c r="PH122" s="56"/>
      <c r="PK122" s="55">
        <f t="shared" si="897"/>
        <v>46123</v>
      </c>
      <c r="PL122" s="56"/>
      <c r="PM122" s="242">
        <f>SUMPRODUCT(PRODUCE!$B131:$DY131,PRODUCE!$EB$54:$IY$54)</f>
        <v>0</v>
      </c>
      <c r="PN122" s="56"/>
      <c r="PO122" s="242">
        <f t="shared" si="898"/>
        <v>0</v>
      </c>
      <c r="PP122" s="242">
        <f t="shared" si="899"/>
        <v>100</v>
      </c>
      <c r="PQ122" s="56"/>
      <c r="PT122" s="55">
        <f t="shared" si="900"/>
        <v>46123</v>
      </c>
      <c r="PU122" s="56"/>
      <c r="PV122" s="242">
        <f>SUMPRODUCT(PRODUCE!$B131:$DY131,PRODUCE!$EB$55:$IY$55)</f>
        <v>0</v>
      </c>
      <c r="PW122" s="56"/>
      <c r="PX122" s="242">
        <f t="shared" si="901"/>
        <v>0</v>
      </c>
      <c r="PY122" s="242">
        <f t="shared" si="902"/>
        <v>13.960000000000036</v>
      </c>
      <c r="PZ122" s="56"/>
      <c r="QC122" s="55">
        <f t="shared" si="903"/>
        <v>46123</v>
      </c>
      <c r="QD122" s="56"/>
      <c r="QE122" s="242">
        <f>SUMPRODUCT(PRODUCE!$B131:$DY131,PRODUCE!$EB$56:$IY$56)</f>
        <v>0</v>
      </c>
      <c r="QF122" s="56"/>
      <c r="QG122" s="242">
        <f t="shared" si="904"/>
        <v>0</v>
      </c>
      <c r="QH122" s="242">
        <f t="shared" si="905"/>
        <v>1212</v>
      </c>
      <c r="QI122" s="56"/>
      <c r="QL122" s="55">
        <f t="shared" si="906"/>
        <v>46123</v>
      </c>
      <c r="QM122" s="56"/>
      <c r="QN122" s="242">
        <f>SUMPRODUCT(PRODUCE!$B131:$DY131,PRODUCE!$EB$57:$IY$57)</f>
        <v>0</v>
      </c>
      <c r="QO122" s="56"/>
      <c r="QP122" s="242">
        <f t="shared" si="907"/>
        <v>0</v>
      </c>
      <c r="QQ122" s="242">
        <f t="shared" si="908"/>
        <v>400</v>
      </c>
      <c r="QR122" s="56"/>
      <c r="QU122" s="55">
        <f t="shared" si="909"/>
        <v>46123</v>
      </c>
      <c r="QV122" s="56"/>
      <c r="QW122" s="242">
        <f>SUMPRODUCT(PRODUCE!$B131:$DY131,PRODUCE!$EB$57:$IY$57)</f>
        <v>0</v>
      </c>
      <c r="QX122" s="56"/>
      <c r="QY122" s="242">
        <f t="shared" si="910"/>
        <v>0</v>
      </c>
      <c r="QZ122" s="242">
        <f t="shared" si="911"/>
        <v>207.6</v>
      </c>
      <c r="RA122" s="56"/>
      <c r="RD122" s="55">
        <f t="shared" si="912"/>
        <v>46123</v>
      </c>
      <c r="RE122" s="56"/>
      <c r="RF122" s="242">
        <f>SUMPRODUCT(PRODUCE!$B131:$DY131,PRODUCE!$EB$58:$IY$58)</f>
        <v>0</v>
      </c>
      <c r="RG122" s="56"/>
      <c r="RH122" s="242">
        <f t="shared" si="913"/>
        <v>0</v>
      </c>
      <c r="RI122" s="242">
        <f t="shared" si="914"/>
        <v>197.04000000000002</v>
      </c>
      <c r="RJ122" s="56"/>
      <c r="RM122" s="55">
        <f t="shared" si="915"/>
        <v>46123</v>
      </c>
      <c r="RN122" s="56"/>
      <c r="RO122" s="242">
        <f>SUMPRODUCT(PRODUCE!$B131:$DY131,PRODUCE!$EB$57:$IY$57)</f>
        <v>0</v>
      </c>
      <c r="RP122" s="56"/>
      <c r="RQ122" s="242">
        <f t="shared" si="916"/>
        <v>0</v>
      </c>
      <c r="RR122" s="242">
        <f t="shared" si="917"/>
        <v>46.8</v>
      </c>
      <c r="RS122" s="56"/>
      <c r="RV122" s="55">
        <f t="shared" si="918"/>
        <v>46123</v>
      </c>
      <c r="RW122" s="56"/>
      <c r="RX122" s="242">
        <f>SUMPRODUCT(PRODUCE!$B131:$DY131,PRODUCE!$EB$57:$IY$57)</f>
        <v>0</v>
      </c>
      <c r="RY122" s="56"/>
      <c r="RZ122" s="242">
        <f t="shared" si="919"/>
        <v>0</v>
      </c>
      <c r="SA122" s="242">
        <f t="shared" si="920"/>
        <v>0</v>
      </c>
      <c r="SB122" s="56"/>
      <c r="SE122" s="55">
        <f t="shared" si="921"/>
        <v>46123</v>
      </c>
      <c r="SF122" s="56"/>
      <c r="SG122" s="242">
        <f>SUMPRODUCT(PRODUCE!$B131:$DY131,PRODUCE!$EB$57:$IY$57)</f>
        <v>0</v>
      </c>
      <c r="SH122" s="56"/>
      <c r="SI122" s="242">
        <f t="shared" si="922"/>
        <v>0</v>
      </c>
      <c r="SJ122" s="242">
        <f t="shared" si="923"/>
        <v>0</v>
      </c>
      <c r="SK122" s="56"/>
      <c r="SN122" s="55">
        <f t="shared" si="924"/>
        <v>46123</v>
      </c>
      <c r="SO122" s="56"/>
      <c r="SP122" s="242">
        <f>SUMPRODUCT(PRODUCE!$B131:$DY131,PRODUCE!$EB$57:$IY$57)</f>
        <v>0</v>
      </c>
      <c r="SQ122" s="56"/>
      <c r="SR122" s="242">
        <f t="shared" si="925"/>
        <v>0</v>
      </c>
      <c r="SS122" s="242">
        <f t="shared" si="926"/>
        <v>0</v>
      </c>
      <c r="ST122" s="56"/>
      <c r="SW122" s="55">
        <f t="shared" si="927"/>
        <v>46123</v>
      </c>
      <c r="SX122" s="56"/>
      <c r="SY122" s="242">
        <f>SUMPRODUCT(PRODUCE!$B131:$DY131,PRODUCE!$EB$57:$IY$57)</f>
        <v>0</v>
      </c>
      <c r="SZ122" s="56"/>
      <c r="TA122" s="242">
        <f t="shared" si="928"/>
        <v>0</v>
      </c>
      <c r="TB122" s="242">
        <f t="shared" si="929"/>
        <v>0</v>
      </c>
      <c r="TC122" s="56"/>
      <c r="TF122" s="55">
        <f t="shared" si="930"/>
        <v>46123</v>
      </c>
      <c r="TG122" s="56"/>
      <c r="TH122" s="242">
        <f>SUMPRODUCT(PRODUCE!$B131:$DY131,PRODUCE!$EB$57:$IY$57)</f>
        <v>0</v>
      </c>
      <c r="TI122" s="56"/>
      <c r="TJ122" s="242">
        <f t="shared" si="931"/>
        <v>0</v>
      </c>
      <c r="TK122" s="242">
        <f t="shared" si="932"/>
        <v>0</v>
      </c>
      <c r="TL122" s="56"/>
      <c r="TO122" s="55">
        <f t="shared" si="933"/>
        <v>46123</v>
      </c>
      <c r="TP122" s="56"/>
      <c r="TQ122" s="242">
        <f>SUMPRODUCT(PRODUCE!$B131:$DY131,PRODUCE!$EB$57:$IY$57)</f>
        <v>0</v>
      </c>
      <c r="TR122" s="56"/>
      <c r="TS122" s="242">
        <f t="shared" si="934"/>
        <v>0</v>
      </c>
      <c r="TT122" s="242">
        <f t="shared" si="935"/>
        <v>0</v>
      </c>
      <c r="TU122" s="56"/>
      <c r="TX122" s="55">
        <f t="shared" si="936"/>
        <v>46123</v>
      </c>
      <c r="TY122" s="56"/>
      <c r="TZ122" s="242">
        <f>SUMPRODUCT(PRODUCE!$B131:$DY131,PRODUCE!$EB$57:$IY$57)</f>
        <v>0</v>
      </c>
      <c r="UA122" s="56"/>
      <c r="UB122" s="242">
        <f t="shared" si="937"/>
        <v>0</v>
      </c>
      <c r="UC122" s="242">
        <f t="shared" si="938"/>
        <v>0</v>
      </c>
      <c r="UD122" s="56"/>
      <c r="UG122" s="55">
        <f t="shared" si="939"/>
        <v>46123</v>
      </c>
      <c r="UH122" s="56"/>
      <c r="UI122" s="242">
        <f>SUMPRODUCT(PRODUCE!$B131:$DY131,PRODUCE!$EB$57:$IY$57)</f>
        <v>0</v>
      </c>
      <c r="UJ122" s="56"/>
      <c r="UK122" s="242">
        <f t="shared" si="940"/>
        <v>0</v>
      </c>
      <c r="UL122" s="242">
        <f t="shared" si="941"/>
        <v>0</v>
      </c>
      <c r="UM122" s="56"/>
      <c r="UP122" s="55">
        <f t="shared" si="942"/>
        <v>46123</v>
      </c>
      <c r="UQ122" s="56"/>
      <c r="UR122" s="242">
        <f>SUMPRODUCT(PRODUCE!$B131:$DY131,PRODUCE!$EB$57:$IY$57)</f>
        <v>0</v>
      </c>
      <c r="US122" s="56"/>
      <c r="UT122" s="242">
        <f t="shared" si="943"/>
        <v>0</v>
      </c>
      <c r="UU122" s="242">
        <f t="shared" si="944"/>
        <v>0</v>
      </c>
      <c r="UV122" s="56"/>
      <c r="UY122" s="55">
        <f t="shared" si="945"/>
        <v>46123</v>
      </c>
      <c r="UZ122" s="56"/>
      <c r="VA122" s="242">
        <f>SUMPRODUCT(PRODUCE!$B131:$DY131,PRODUCE!$EB$57:$IY$57)</f>
        <v>0</v>
      </c>
      <c r="VB122" s="56"/>
      <c r="VC122" s="242">
        <f t="shared" si="946"/>
        <v>0</v>
      </c>
      <c r="VD122" s="242">
        <f t="shared" si="947"/>
        <v>41.600000000000023</v>
      </c>
      <c r="VE122" s="56"/>
      <c r="VH122" s="55">
        <f t="shared" si="948"/>
        <v>46123</v>
      </c>
      <c r="VI122" s="56"/>
      <c r="VJ122" s="242">
        <f>SUMPRODUCT(PRODUCE!$B131:$DY131,PRODUCE!$EB$57:$IY$57)</f>
        <v>0</v>
      </c>
      <c r="VK122" s="56"/>
      <c r="VL122" s="242">
        <f t="shared" si="949"/>
        <v>0</v>
      </c>
      <c r="VM122" s="242">
        <f t="shared" si="950"/>
        <v>0</v>
      </c>
      <c r="VN122" s="56"/>
      <c r="VQ122" s="55">
        <f t="shared" si="951"/>
        <v>46123</v>
      </c>
      <c r="VR122" s="56"/>
      <c r="VS122" s="242">
        <f>SUMPRODUCT(PRODUCE!$B131:$DY131,PRODUCE!$EB$57:$IY$57)</f>
        <v>0</v>
      </c>
      <c r="VT122" s="56"/>
      <c r="VU122" s="242">
        <f t="shared" si="952"/>
        <v>0</v>
      </c>
      <c r="VV122" s="242">
        <f t="shared" si="953"/>
        <v>0</v>
      </c>
      <c r="VW122" s="56"/>
      <c r="VZ122" s="55">
        <f t="shared" si="954"/>
        <v>46123</v>
      </c>
      <c r="WA122" s="56"/>
      <c r="WB122" s="242">
        <f>SUMPRODUCT(PRODUCE!$B131:$DY131,PRODUCE!$EB$57:$IY$57)</f>
        <v>0</v>
      </c>
      <c r="WC122" s="56"/>
      <c r="WD122" s="242">
        <f t="shared" si="955"/>
        <v>0</v>
      </c>
      <c r="WE122" s="242">
        <f t="shared" si="956"/>
        <v>0</v>
      </c>
      <c r="WF122" s="56"/>
      <c r="WI122" s="55">
        <f t="shared" si="957"/>
        <v>46123</v>
      </c>
      <c r="WJ122" s="56"/>
      <c r="WK122" s="242">
        <f>SUMPRODUCT(PRODUCE!$B131:$DY131,PRODUCE!$EB$57:$IY$57)</f>
        <v>0</v>
      </c>
      <c r="WL122" s="56"/>
      <c r="WM122" s="242">
        <f t="shared" si="958"/>
        <v>0</v>
      </c>
      <c r="WN122" s="242">
        <f t="shared" si="959"/>
        <v>2317</v>
      </c>
      <c r="WO122" s="56"/>
      <c r="WR122" s="55">
        <f t="shared" si="960"/>
        <v>46123</v>
      </c>
      <c r="WS122" s="56"/>
      <c r="WT122" s="242">
        <f>SUMPRODUCT(PRODUCE!$B131:$DY131,PRODUCE!$EB$57:$IY$57)</f>
        <v>0</v>
      </c>
      <c r="WU122" s="56">
        <v>1020</v>
      </c>
      <c r="WV122" s="242">
        <f t="shared" si="961"/>
        <v>-1020</v>
      </c>
      <c r="WW122" s="242">
        <f t="shared" si="962"/>
        <v>6980</v>
      </c>
      <c r="WX122" s="56"/>
      <c r="XA122" s="55">
        <f t="shared" si="963"/>
        <v>46123</v>
      </c>
      <c r="XB122" s="56"/>
      <c r="XC122" s="242">
        <f>SUMPRODUCT(PRODUCE!$B131:$DY131,PRODUCE!$EB$57:$IY$57)</f>
        <v>0</v>
      </c>
      <c r="XD122" s="56"/>
      <c r="XE122" s="242">
        <f t="shared" si="964"/>
        <v>0</v>
      </c>
      <c r="XF122" s="242">
        <f t="shared" si="965"/>
        <v>14868</v>
      </c>
      <c r="XG122" s="56"/>
      <c r="XJ122" s="55">
        <f t="shared" si="966"/>
        <v>46123</v>
      </c>
      <c r="XK122" s="56"/>
      <c r="XL122" s="242">
        <f>SUMPRODUCT(PRODUCE!$B131:$DY131,PRODUCE!$EB$57:$IY$57)</f>
        <v>0</v>
      </c>
      <c r="XM122" s="56">
        <v>420</v>
      </c>
      <c r="XN122" s="242">
        <f t="shared" si="967"/>
        <v>-420</v>
      </c>
      <c r="XO122" s="242">
        <f t="shared" si="968"/>
        <v>5447</v>
      </c>
      <c r="XP122" s="56"/>
      <c r="XS122" s="55">
        <f t="shared" si="969"/>
        <v>46123</v>
      </c>
      <c r="XT122" s="56"/>
      <c r="XU122" s="242">
        <f>SUMPRODUCT(PRODUCE!$B131:$DY131,PRODUCE!$EB$57:$IY$57)</f>
        <v>0</v>
      </c>
      <c r="XV122" s="56"/>
      <c r="XW122" s="242">
        <f t="shared" si="970"/>
        <v>0</v>
      </c>
      <c r="XX122" s="242">
        <f t="shared" si="971"/>
        <v>1901</v>
      </c>
      <c r="XY122" s="56"/>
      <c r="YB122" s="55">
        <f t="shared" si="972"/>
        <v>46123</v>
      </c>
      <c r="YC122" s="56"/>
      <c r="YD122" s="242">
        <f>SUMPRODUCT(PRODUCE!$B131:$DY131,PRODUCE!$EB$57:$IY$57)</f>
        <v>0</v>
      </c>
      <c r="YE122" s="56"/>
      <c r="YF122" s="242">
        <f t="shared" si="973"/>
        <v>0</v>
      </c>
      <c r="YG122" s="242">
        <f t="shared" si="974"/>
        <v>6459</v>
      </c>
      <c r="YH122" s="56"/>
      <c r="YK122" s="55">
        <f t="shared" si="975"/>
        <v>46123</v>
      </c>
      <c r="YL122" s="56"/>
      <c r="YM122" s="242">
        <f>SUMPRODUCT(PRODUCE!$B131:$DY131,PRODUCE!$EB$57:$IY$57)</f>
        <v>0</v>
      </c>
      <c r="YN122" s="56"/>
      <c r="YO122" s="242">
        <f t="shared" si="976"/>
        <v>0</v>
      </c>
      <c r="YP122" s="242">
        <f t="shared" si="977"/>
        <v>0</v>
      </c>
      <c r="YQ122" s="56"/>
      <c r="YT122" s="55">
        <f t="shared" si="978"/>
        <v>46123</v>
      </c>
      <c r="YU122" s="56"/>
      <c r="YV122" s="242">
        <f>SUMPRODUCT(PRODUCE!$B131:$DY131,PRODUCE!$EB$57:$IY$57)</f>
        <v>0</v>
      </c>
      <c r="YW122" s="56"/>
      <c r="YX122" s="242">
        <f t="shared" si="979"/>
        <v>0</v>
      </c>
      <c r="YY122" s="242">
        <f t="shared" si="980"/>
        <v>0</v>
      </c>
      <c r="YZ122" s="56"/>
      <c r="ZC122" s="55">
        <f t="shared" si="981"/>
        <v>46123</v>
      </c>
      <c r="ZD122" s="56"/>
      <c r="ZE122" s="242">
        <f>SUMPRODUCT(PRODUCE!$B131:$DY131,PRODUCE!$EB$57:$IY$57)</f>
        <v>0</v>
      </c>
      <c r="ZF122" s="56"/>
      <c r="ZG122" s="242">
        <f t="shared" si="982"/>
        <v>0</v>
      </c>
      <c r="ZH122" s="242">
        <f t="shared" si="983"/>
        <v>0</v>
      </c>
      <c r="ZI122" s="56"/>
      <c r="ZL122" s="55">
        <f t="shared" si="984"/>
        <v>46123</v>
      </c>
      <c r="ZM122" s="56"/>
      <c r="ZN122" s="242">
        <f>SUMPRODUCT(PRODUCE!$B131:$DY131,PRODUCE!$EB$57:$IY$57)</f>
        <v>0</v>
      </c>
      <c r="ZO122" s="56"/>
      <c r="ZP122" s="242">
        <f t="shared" si="985"/>
        <v>0</v>
      </c>
      <c r="ZQ122" s="242">
        <f t="shared" si="986"/>
        <v>0</v>
      </c>
      <c r="ZR122" s="56"/>
      <c r="ZU122" s="55">
        <f t="shared" si="987"/>
        <v>46123</v>
      </c>
      <c r="ZV122" s="56"/>
      <c r="ZW122" s="242">
        <f>SUMPRODUCT(PRODUCE!$B131:$DY131,PRODUCE!$EB$57:$IY$57)</f>
        <v>0</v>
      </c>
      <c r="ZX122" s="56"/>
      <c r="ZY122" s="242">
        <f t="shared" si="988"/>
        <v>0</v>
      </c>
      <c r="ZZ122" s="242">
        <f t="shared" si="989"/>
        <v>0</v>
      </c>
      <c r="AAA122" s="56"/>
      <c r="AAD122" s="55">
        <f t="shared" si="990"/>
        <v>46123</v>
      </c>
      <c r="AAE122" s="56"/>
      <c r="AAF122" s="242">
        <f>SUMPRODUCT(PRODUCE!$B131:$DY131,PRODUCE!$EB$57:$IY$57)</f>
        <v>0</v>
      </c>
      <c r="AAG122" s="56"/>
      <c r="AAH122" s="242">
        <f t="shared" si="991"/>
        <v>0</v>
      </c>
      <c r="AAI122" s="242">
        <f t="shared" si="992"/>
        <v>0</v>
      </c>
      <c r="AAJ122" s="56"/>
      <c r="AAM122" s="55">
        <f t="shared" si="993"/>
        <v>46123</v>
      </c>
      <c r="AAN122" s="56"/>
      <c r="AAO122" s="242">
        <f>SUMPRODUCT(PRODUCE!$B131:$DY131,PRODUCE!$EB$57:$IY$57)</f>
        <v>0</v>
      </c>
      <c r="AAP122" s="56"/>
      <c r="AAQ122" s="242">
        <f t="shared" si="994"/>
        <v>0</v>
      </c>
      <c r="AAR122" s="242">
        <f t="shared" si="995"/>
        <v>0</v>
      </c>
      <c r="AAS122" s="56"/>
      <c r="AAV122" s="55">
        <f t="shared" si="996"/>
        <v>46123</v>
      </c>
      <c r="AAW122" s="56"/>
      <c r="AAX122" s="242">
        <f>SUMPRODUCT(PRODUCE!$B131:$DY131,PRODUCE!$EB$57:$IY$57)</f>
        <v>0</v>
      </c>
      <c r="AAY122" s="56"/>
      <c r="AAZ122" s="242">
        <f t="shared" si="997"/>
        <v>0</v>
      </c>
      <c r="ABA122" s="242">
        <f t="shared" si="998"/>
        <v>0</v>
      </c>
      <c r="ABB122" s="56"/>
      <c r="ABE122" s="55">
        <f t="shared" si="999"/>
        <v>46123</v>
      </c>
      <c r="ABF122" s="56"/>
      <c r="ABG122" s="242">
        <f>SUMPRODUCT(PRODUCE!$B131:$DY131,PRODUCE!$EB$57:$IY$57)</f>
        <v>0</v>
      </c>
      <c r="ABH122" s="56"/>
      <c r="ABI122" s="242">
        <f t="shared" si="1000"/>
        <v>0</v>
      </c>
      <c r="ABJ122" s="242">
        <f t="shared" si="1001"/>
        <v>0</v>
      </c>
      <c r="ABK122" s="56"/>
    </row>
    <row r="123" spans="2:739" s="54" customFormat="1" ht="15" customHeight="1" outlineLevel="1">
      <c r="B123" s="478"/>
      <c r="C123" s="55">
        <v>46124</v>
      </c>
      <c r="D123" s="422"/>
      <c r="E123" s="423">
        <f>SUMPRODUCT(PRODUCE!$B132:$DY132,PRODUCE!$EB$7:$IY$7)</f>
        <v>0</v>
      </c>
      <c r="F123" s="422"/>
      <c r="G123" s="423">
        <f t="shared" si="1002"/>
        <v>0</v>
      </c>
      <c r="H123" s="423">
        <f t="shared" si="1003"/>
        <v>186334.59999999998</v>
      </c>
      <c r="I123" s="289"/>
      <c r="L123" s="55">
        <f t="shared" si="759"/>
        <v>46124</v>
      </c>
      <c r="M123" s="422"/>
      <c r="N123" s="438">
        <f>SUMPRODUCT(PRODUCE!$B132:$DY132,PRODUCE!$EB$8:$IY$8)</f>
        <v>0</v>
      </c>
      <c r="O123" s="422"/>
      <c r="P123" s="438">
        <f t="shared" si="760"/>
        <v>0</v>
      </c>
      <c r="Q123" s="438">
        <f t="shared" si="761"/>
        <v>71899.200000000099</v>
      </c>
      <c r="R123" s="56"/>
      <c r="U123" s="55">
        <f t="shared" si="762"/>
        <v>46124</v>
      </c>
      <c r="V123" s="422"/>
      <c r="W123" s="440">
        <f>SUMPRODUCT(PRODUCE!$B132:$DY132,PRODUCE!$EB$9:$IY$9)</f>
        <v>0</v>
      </c>
      <c r="X123" s="422"/>
      <c r="Y123" s="440">
        <f t="shared" si="763"/>
        <v>0</v>
      </c>
      <c r="Z123" s="440">
        <f t="shared" si="764"/>
        <v>40829.699999999968</v>
      </c>
      <c r="AA123" s="56"/>
      <c r="AD123" s="55">
        <f t="shared" si="765"/>
        <v>46124</v>
      </c>
      <c r="AE123" s="422"/>
      <c r="AF123" s="442">
        <f>SUMPRODUCT(PRODUCE!$B132:$DY132,PRODUCE!$EB$10:$IY$10)</f>
        <v>0</v>
      </c>
      <c r="AG123" s="422"/>
      <c r="AH123" s="442">
        <f t="shared" si="766"/>
        <v>0</v>
      </c>
      <c r="AI123" s="442">
        <f t="shared" si="767"/>
        <v>43541.800000000017</v>
      </c>
      <c r="AJ123" s="56"/>
      <c r="AM123" s="55">
        <f t="shared" si="768"/>
        <v>46124</v>
      </c>
      <c r="AN123" s="422"/>
      <c r="AO123" s="444">
        <f>SUMPRODUCT(PRODUCE!$B132:$DY132,PRODUCE!$EB$11:$IY$11)</f>
        <v>0</v>
      </c>
      <c r="AP123" s="422"/>
      <c r="AQ123" s="444">
        <f t="shared" si="769"/>
        <v>0</v>
      </c>
      <c r="AR123" s="444">
        <f t="shared" si="770"/>
        <v>0</v>
      </c>
      <c r="AS123" s="56"/>
      <c r="AV123" s="55">
        <f t="shared" si="771"/>
        <v>46124</v>
      </c>
      <c r="AW123" s="422"/>
      <c r="AX123" s="446">
        <f>SUMPRODUCT(PRODUCE!$B132:$DY132,PRODUCE!$EB$12:$IY$12)</f>
        <v>0</v>
      </c>
      <c r="AY123" s="422"/>
      <c r="AZ123" s="446">
        <f t="shared" si="772"/>
        <v>0</v>
      </c>
      <c r="BA123" s="446">
        <f t="shared" si="773"/>
        <v>13617.699999999992</v>
      </c>
      <c r="BB123" s="56"/>
      <c r="BE123" s="55">
        <f t="shared" si="774"/>
        <v>46124</v>
      </c>
      <c r="BF123" s="422"/>
      <c r="BG123" s="448">
        <f>SUMPRODUCT(PRODUCE!$B132:$DY132,PRODUCE!$EB$13:$IY$13)</f>
        <v>0</v>
      </c>
      <c r="BH123" s="422"/>
      <c r="BI123" s="448">
        <f t="shared" si="775"/>
        <v>0</v>
      </c>
      <c r="BJ123" s="448">
        <f t="shared" si="776"/>
        <v>13983.400000000001</v>
      </c>
      <c r="BK123" s="56"/>
      <c r="BN123" s="55">
        <f t="shared" si="777"/>
        <v>46124</v>
      </c>
      <c r="BO123" s="422"/>
      <c r="BP123" s="450">
        <f>SUMPRODUCT(PRODUCE!$B132:$DY132,PRODUCE!$EB$14:$IY$14)</f>
        <v>0</v>
      </c>
      <c r="BQ123" s="422"/>
      <c r="BR123" s="450">
        <f t="shared" si="778"/>
        <v>0</v>
      </c>
      <c r="BS123" s="450">
        <f t="shared" si="779"/>
        <v>0</v>
      </c>
      <c r="BT123" s="56"/>
      <c r="BW123" s="55">
        <f t="shared" si="780"/>
        <v>46124</v>
      </c>
      <c r="BX123" s="56"/>
      <c r="BY123" s="65">
        <f>SUMPRODUCT(PRODUCE!$B132:$DY132,PRODUCE!$EB$15:$IY$15)</f>
        <v>0</v>
      </c>
      <c r="BZ123" s="56"/>
      <c r="CA123" s="65">
        <f t="shared" si="781"/>
        <v>0</v>
      </c>
      <c r="CB123" s="65">
        <f t="shared" si="782"/>
        <v>8228.7999999999993</v>
      </c>
      <c r="CC123" s="56"/>
      <c r="CF123" s="55">
        <f t="shared" si="783"/>
        <v>46124</v>
      </c>
      <c r="CG123" s="56"/>
      <c r="CH123" s="66">
        <f>SUMPRODUCT(PRODUCE!$B132:$DY132,PRODUCE!$EB$16:$IY$16)</f>
        <v>0</v>
      </c>
      <c r="CI123" s="56"/>
      <c r="CJ123" s="66">
        <f t="shared" si="784"/>
        <v>0</v>
      </c>
      <c r="CK123" s="66">
        <f t="shared" si="785"/>
        <v>0</v>
      </c>
      <c r="CL123" s="56"/>
      <c r="CO123" s="55">
        <f t="shared" si="786"/>
        <v>46124</v>
      </c>
      <c r="CP123" s="422"/>
      <c r="CQ123" s="470">
        <f>SUMPRODUCT(PRODUCE!$B132:$DY132,PRODUCE!$EB$17:$IY$17)</f>
        <v>0</v>
      </c>
      <c r="CR123" s="422"/>
      <c r="CS123" s="470">
        <f t="shared" si="787"/>
        <v>0</v>
      </c>
      <c r="CT123" s="470">
        <f t="shared" si="788"/>
        <v>0</v>
      </c>
      <c r="CU123" s="56"/>
      <c r="CX123" s="55">
        <f t="shared" si="789"/>
        <v>46124</v>
      </c>
      <c r="CY123" s="56"/>
      <c r="CZ123" s="133">
        <f>SUMPRODUCT(PRODUCE!$B132:$DY132,PRODUCE!$EB$18:$IY$18)</f>
        <v>0</v>
      </c>
      <c r="DA123" s="56"/>
      <c r="DB123" s="133">
        <f t="shared" si="790"/>
        <v>0</v>
      </c>
      <c r="DC123" s="133">
        <f t="shared" si="791"/>
        <v>26858.100000000006</v>
      </c>
      <c r="DD123" s="56"/>
      <c r="DG123" s="55">
        <f t="shared" si="792"/>
        <v>46124</v>
      </c>
      <c r="DH123" s="56"/>
      <c r="DI123" s="147">
        <f>SUMPRODUCT(PRODUCE!$B132:$DY132,PRODUCE!$EB$19:$IY$19)</f>
        <v>0</v>
      </c>
      <c r="DJ123" s="56"/>
      <c r="DK123" s="147">
        <f t="shared" si="793"/>
        <v>0</v>
      </c>
      <c r="DL123" s="147">
        <f t="shared" si="794"/>
        <v>24541.599999999991</v>
      </c>
      <c r="DM123" s="56"/>
      <c r="DP123" s="55">
        <f t="shared" si="795"/>
        <v>46124</v>
      </c>
      <c r="DQ123" s="56"/>
      <c r="DR123" s="57">
        <f>SUMPRODUCT(PRODUCE!$B132:$DY132,PRODUCE!$EB$20:$IY$20)</f>
        <v>0</v>
      </c>
      <c r="DS123" s="56"/>
      <c r="DT123" s="57">
        <f t="shared" si="796"/>
        <v>0</v>
      </c>
      <c r="DU123" s="57">
        <f t="shared" si="797"/>
        <v>7050</v>
      </c>
      <c r="DV123" s="56"/>
      <c r="DY123" s="55">
        <f t="shared" si="798"/>
        <v>46124</v>
      </c>
      <c r="DZ123" s="56"/>
      <c r="EA123" s="157">
        <f>SUMPRODUCT(PRODUCE!$B132:$DY132,PRODUCE!$EB$21:$IY$21)</f>
        <v>0</v>
      </c>
      <c r="EB123" s="56"/>
      <c r="EC123" s="157">
        <f t="shared" si="799"/>
        <v>0</v>
      </c>
      <c r="ED123" s="157">
        <f t="shared" si="800"/>
        <v>147.30000000000018</v>
      </c>
      <c r="EE123" s="56"/>
      <c r="EH123" s="55">
        <f t="shared" si="801"/>
        <v>46124</v>
      </c>
      <c r="EI123" s="56"/>
      <c r="EJ123" s="162">
        <f>SUMPRODUCT(PRODUCE!$B132:$DY132,PRODUCE!$EB$22:$IY$22)</f>
        <v>0</v>
      </c>
      <c r="EK123" s="56"/>
      <c r="EL123" s="162">
        <f t="shared" si="802"/>
        <v>0</v>
      </c>
      <c r="EM123" s="162">
        <f t="shared" si="803"/>
        <v>0</v>
      </c>
      <c r="EN123" s="56"/>
      <c r="EQ123" s="55">
        <f t="shared" si="804"/>
        <v>46124</v>
      </c>
      <c r="ER123" s="56"/>
      <c r="ES123" s="135">
        <f>SUMPRODUCT(PRODUCE!$B132:$DY132,PRODUCE!$EB$23:$IY$23)</f>
        <v>0</v>
      </c>
      <c r="ET123" s="56"/>
      <c r="EU123" s="135">
        <f t="shared" si="805"/>
        <v>0</v>
      </c>
      <c r="EV123" s="135">
        <f t="shared" si="806"/>
        <v>0</v>
      </c>
      <c r="EW123" s="56"/>
      <c r="EZ123" s="55">
        <f t="shared" si="807"/>
        <v>46124</v>
      </c>
      <c r="FA123" s="56"/>
      <c r="FB123" s="175">
        <f>SUMPRODUCT(PRODUCE!$B132:$DY132,PRODUCE!$EB$24:$IY$24)</f>
        <v>0</v>
      </c>
      <c r="FC123" s="56"/>
      <c r="FD123" s="175">
        <f t="shared" si="808"/>
        <v>0</v>
      </c>
      <c r="FE123" s="175">
        <f t="shared" si="809"/>
        <v>0</v>
      </c>
      <c r="FF123" s="56"/>
      <c r="FI123" s="55">
        <f t="shared" si="810"/>
        <v>46124</v>
      </c>
      <c r="FJ123" s="56"/>
      <c r="FK123" s="183">
        <f>SUMPRODUCT(PRODUCE!$B132:$DY132,PRODUCE!$EB$25:$IY$25)</f>
        <v>0</v>
      </c>
      <c r="FL123" s="56"/>
      <c r="FM123" s="183">
        <f t="shared" si="811"/>
        <v>0</v>
      </c>
      <c r="FN123" s="183">
        <f t="shared" si="812"/>
        <v>0</v>
      </c>
      <c r="FO123" s="56"/>
      <c r="FR123" s="55">
        <f t="shared" si="813"/>
        <v>46124</v>
      </c>
      <c r="FS123" s="422"/>
      <c r="FT123" s="452">
        <f>SUMPRODUCT(PRODUCE!$B132:$DY132,PRODUCE!$EB$26:$IY$26)</f>
        <v>0</v>
      </c>
      <c r="FU123" s="422"/>
      <c r="FV123" s="452">
        <f t="shared" si="814"/>
        <v>0</v>
      </c>
      <c r="FW123" s="452">
        <f t="shared" si="815"/>
        <v>140</v>
      </c>
      <c r="FX123" s="56"/>
      <c r="GA123" s="55">
        <f t="shared" si="816"/>
        <v>46124</v>
      </c>
      <c r="GB123" s="422"/>
      <c r="GC123" s="454">
        <f>SUMPRODUCT(PRODUCE!$B132:$DY132,PRODUCE!$EB$27:$IY$27)</f>
        <v>0</v>
      </c>
      <c r="GD123" s="422"/>
      <c r="GE123" s="454">
        <f t="shared" si="817"/>
        <v>0</v>
      </c>
      <c r="GF123" s="454">
        <f t="shared" si="818"/>
        <v>6000</v>
      </c>
      <c r="GG123" s="56"/>
      <c r="GI123" s="23"/>
      <c r="GJ123" s="55">
        <f t="shared" si="819"/>
        <v>46124</v>
      </c>
      <c r="GK123" s="422"/>
      <c r="GL123" s="456">
        <f>SUMPRODUCT(PRODUCE!$B132:$DY132,PRODUCE!$EB$28:$IY$28)</f>
        <v>0</v>
      </c>
      <c r="GM123" s="422"/>
      <c r="GN123" s="456">
        <f t="shared" si="820"/>
        <v>0</v>
      </c>
      <c r="GO123" s="456">
        <f t="shared" si="821"/>
        <v>4800</v>
      </c>
      <c r="GP123" s="56"/>
      <c r="GS123" s="55">
        <f t="shared" si="822"/>
        <v>46124</v>
      </c>
      <c r="GT123" s="56"/>
      <c r="GU123" s="195">
        <f>SUMPRODUCT(PRODUCE!$B132:$DY132,PRODUCE!$EB$29:$IY$29)</f>
        <v>0</v>
      </c>
      <c r="GV123" s="56"/>
      <c r="GW123" s="195">
        <f t="shared" si="823"/>
        <v>0</v>
      </c>
      <c r="GX123" s="195">
        <f t="shared" si="824"/>
        <v>0</v>
      </c>
      <c r="GY123" s="56"/>
      <c r="HB123" s="55">
        <f t="shared" si="825"/>
        <v>46124</v>
      </c>
      <c r="HC123" s="56"/>
      <c r="HD123" s="191">
        <f>SUMPRODUCT(PRODUCE!$B132:$DY132,PRODUCE!$EB$30:$IY$30)</f>
        <v>0</v>
      </c>
      <c r="HE123" s="56"/>
      <c r="HF123" s="191">
        <f t="shared" si="826"/>
        <v>0</v>
      </c>
      <c r="HG123" s="191">
        <f t="shared" si="827"/>
        <v>0</v>
      </c>
      <c r="HH123" s="56"/>
      <c r="HK123" s="55">
        <f t="shared" si="828"/>
        <v>46124</v>
      </c>
      <c r="HL123" s="56"/>
      <c r="HM123" s="63">
        <f>SUMPRODUCT(PRODUCE!$B132:$DY132,PRODUCE!$EB$31:$IY$31)</f>
        <v>0</v>
      </c>
      <c r="HN123" s="56"/>
      <c r="HO123" s="63">
        <f t="shared" si="829"/>
        <v>0</v>
      </c>
      <c r="HP123" s="63">
        <f t="shared" si="830"/>
        <v>0</v>
      </c>
      <c r="HQ123" s="56"/>
      <c r="HU123" s="55">
        <f t="shared" si="831"/>
        <v>46124</v>
      </c>
      <c r="HV123" s="56"/>
      <c r="HW123" s="242">
        <f>SUMPRODUCT(PRODUCE!$B132:$DY132,PRODUCE!$EB$32:$IY$32)</f>
        <v>0</v>
      </c>
      <c r="HX123" s="56"/>
      <c r="HY123" s="242">
        <f t="shared" si="832"/>
        <v>0</v>
      </c>
      <c r="HZ123" s="242">
        <f t="shared" si="833"/>
        <v>5120</v>
      </c>
      <c r="IA123" s="56"/>
      <c r="ID123" s="55">
        <f t="shared" si="834"/>
        <v>46124</v>
      </c>
      <c r="IE123" s="56"/>
      <c r="IF123" s="242">
        <f>SUMPRODUCT(PRODUCE!$B132:$DY132,PRODUCE!$EB$33:$IY$33)</f>
        <v>0</v>
      </c>
      <c r="IG123" s="56"/>
      <c r="IH123" s="242">
        <f t="shared" si="835"/>
        <v>0</v>
      </c>
      <c r="II123" s="242">
        <f t="shared" si="836"/>
        <v>6540</v>
      </c>
      <c r="IJ123" s="56"/>
      <c r="IM123" s="55">
        <f t="shared" si="837"/>
        <v>46124</v>
      </c>
      <c r="IN123" s="56"/>
      <c r="IO123" s="242">
        <f>SUMPRODUCT(PRODUCE!$B132:$DY132,PRODUCE!$EB$34:$IY$34)</f>
        <v>0</v>
      </c>
      <c r="IP123" s="56"/>
      <c r="IQ123" s="242">
        <f t="shared" si="838"/>
        <v>0</v>
      </c>
      <c r="IR123" s="242">
        <f t="shared" si="839"/>
        <v>11540</v>
      </c>
      <c r="IS123" s="56"/>
      <c r="IV123" s="55">
        <f t="shared" si="840"/>
        <v>46124</v>
      </c>
      <c r="IW123" s="56"/>
      <c r="IX123" s="242">
        <f>SUMPRODUCT(PRODUCE!$B132:$DY132,PRODUCE!$EB$35:$IY$35)</f>
        <v>0</v>
      </c>
      <c r="IY123" s="56"/>
      <c r="IZ123" s="242">
        <f t="shared" si="841"/>
        <v>0</v>
      </c>
      <c r="JA123" s="242">
        <f t="shared" si="842"/>
        <v>15120</v>
      </c>
      <c r="JB123" s="56"/>
      <c r="JE123" s="55">
        <f t="shared" si="843"/>
        <v>46124</v>
      </c>
      <c r="JF123" s="56"/>
      <c r="JG123" s="242">
        <f>SUMPRODUCT(PRODUCE!$B132:$DY132,PRODUCE!$EB$36:$IY$36)</f>
        <v>0</v>
      </c>
      <c r="JH123" s="56"/>
      <c r="JI123" s="242">
        <f t="shared" si="844"/>
        <v>0</v>
      </c>
      <c r="JJ123" s="242">
        <f t="shared" si="845"/>
        <v>5040</v>
      </c>
      <c r="JK123" s="56"/>
      <c r="JN123" s="55">
        <f t="shared" si="846"/>
        <v>46124</v>
      </c>
      <c r="JO123" s="56"/>
      <c r="JP123" s="242">
        <f>SUMPRODUCT(PRODUCE!$B132:$DY132,PRODUCE!$EB$37:$IY$37)</f>
        <v>0</v>
      </c>
      <c r="JQ123" s="56"/>
      <c r="JR123" s="242">
        <f t="shared" si="847"/>
        <v>0</v>
      </c>
      <c r="JS123" s="242">
        <f t="shared" si="848"/>
        <v>9100</v>
      </c>
      <c r="JT123" s="56"/>
      <c r="JW123" s="55">
        <f t="shared" si="849"/>
        <v>46124</v>
      </c>
      <c r="JX123" s="56"/>
      <c r="JY123" s="242">
        <f>SUMPRODUCT(PRODUCE!$B132:$DY132,PRODUCE!$EB$38:$IY$38)</f>
        <v>0</v>
      </c>
      <c r="JZ123" s="56"/>
      <c r="KA123" s="242">
        <f t="shared" si="850"/>
        <v>0</v>
      </c>
      <c r="KB123" s="242">
        <f t="shared" si="851"/>
        <v>2940</v>
      </c>
      <c r="KC123" s="56"/>
      <c r="KF123" s="55">
        <f t="shared" si="852"/>
        <v>46124</v>
      </c>
      <c r="KG123" s="56"/>
      <c r="KH123" s="242">
        <f>SUMPRODUCT(PRODUCE!$B132:$DY132,PRODUCE!$EB$39:$IY$39)</f>
        <v>0</v>
      </c>
      <c r="KI123" s="56"/>
      <c r="KJ123" s="242">
        <f t="shared" si="853"/>
        <v>0</v>
      </c>
      <c r="KK123" s="242">
        <f t="shared" si="854"/>
        <v>1579.5</v>
      </c>
      <c r="KL123" s="56"/>
      <c r="KO123" s="55">
        <f t="shared" si="855"/>
        <v>46124</v>
      </c>
      <c r="KP123" s="56"/>
      <c r="KQ123" s="242">
        <f>SUMPRODUCT(PRODUCE!$B132:$DY132,PRODUCE!$EB$40:$IY$40)</f>
        <v>0</v>
      </c>
      <c r="KR123" s="56"/>
      <c r="KS123" s="242">
        <f t="shared" si="856"/>
        <v>0</v>
      </c>
      <c r="KT123" s="242">
        <f t="shared" si="857"/>
        <v>5216.3999999999996</v>
      </c>
      <c r="KU123" s="56"/>
      <c r="KW123" s="518"/>
      <c r="KX123" s="55">
        <f t="shared" si="858"/>
        <v>46124</v>
      </c>
      <c r="KY123" s="56"/>
      <c r="KZ123" s="242">
        <f>SUMPRODUCT(PRODUCE!$B132:$DY132,PRODUCE!$EB$41:$IY$41)</f>
        <v>0</v>
      </c>
      <c r="LA123" s="56"/>
      <c r="LB123" s="242">
        <f t="shared" si="859"/>
        <v>0</v>
      </c>
      <c r="LC123" s="242">
        <f t="shared" si="860"/>
        <v>0</v>
      </c>
      <c r="LD123" s="56"/>
      <c r="LG123" s="55">
        <f t="shared" si="861"/>
        <v>46124</v>
      </c>
      <c r="LH123" s="56"/>
      <c r="LI123" s="242">
        <f>SUMPRODUCT(PRODUCE!$B132:$DY132,PRODUCE!$EB$42:$IY$42)</f>
        <v>0</v>
      </c>
      <c r="LJ123" s="56"/>
      <c r="LK123" s="242">
        <f t="shared" si="862"/>
        <v>0</v>
      </c>
      <c r="LL123" s="242">
        <f t="shared" si="863"/>
        <v>0</v>
      </c>
      <c r="LM123" s="56"/>
      <c r="LP123" s="55">
        <f t="shared" si="864"/>
        <v>46124</v>
      </c>
      <c r="LQ123" s="56"/>
      <c r="LR123" s="242">
        <f>SUMPRODUCT(PRODUCE!$B138:$DY138,PRODUCE!$EB$43:$IY$43)</f>
        <v>0</v>
      </c>
      <c r="LS123" s="56"/>
      <c r="LT123" s="242">
        <f t="shared" si="865"/>
        <v>0</v>
      </c>
      <c r="LU123" s="242">
        <f t="shared" si="866"/>
        <v>0</v>
      </c>
      <c r="LV123" s="56"/>
      <c r="LY123" s="55">
        <f t="shared" si="867"/>
        <v>46124</v>
      </c>
      <c r="LZ123" s="56"/>
      <c r="MA123" s="242">
        <f>SUMPRODUCT(PRODUCE!$B132:$DY132,PRODUCE!$EB$44:$IY$44)</f>
        <v>0</v>
      </c>
      <c r="MB123" s="56"/>
      <c r="MC123" s="242">
        <f t="shared" si="868"/>
        <v>0</v>
      </c>
      <c r="MD123" s="242">
        <f t="shared" si="869"/>
        <v>0</v>
      </c>
      <c r="ME123" s="56"/>
      <c r="MH123" s="55">
        <f t="shared" si="870"/>
        <v>46124</v>
      </c>
      <c r="MI123" s="56"/>
      <c r="MJ123" s="242">
        <f>SUMPRODUCT(PRODUCE!$B132:$DY132,PRODUCE!$EB$45:$IY$45)</f>
        <v>0</v>
      </c>
      <c r="MK123" s="56"/>
      <c r="ML123" s="242">
        <f t="shared" si="871"/>
        <v>0</v>
      </c>
      <c r="MM123" s="242">
        <f t="shared" si="872"/>
        <v>0</v>
      </c>
      <c r="MN123" s="56"/>
      <c r="MQ123" s="55">
        <f t="shared" si="873"/>
        <v>46124</v>
      </c>
      <c r="MR123" s="56"/>
      <c r="MS123" s="242">
        <f>SUMPRODUCT(PRODUCE!$B132:$DY132,PRODUCE!$EB$46:$IY$46)</f>
        <v>0</v>
      </c>
      <c r="MT123" s="56"/>
      <c r="MU123" s="242">
        <f t="shared" si="874"/>
        <v>0</v>
      </c>
      <c r="MV123" s="242">
        <f t="shared" si="875"/>
        <v>4149</v>
      </c>
      <c r="MW123" s="56"/>
      <c r="MZ123" s="55">
        <f t="shared" si="876"/>
        <v>46124</v>
      </c>
      <c r="NA123" s="56"/>
      <c r="NB123" s="242">
        <f>SUMPRODUCT(PRODUCE!$B132:$DY132,PRODUCE!$EB$47:$IY$47)</f>
        <v>0</v>
      </c>
      <c r="NC123" s="56"/>
      <c r="ND123" s="242">
        <f t="shared" si="877"/>
        <v>0</v>
      </c>
      <c r="NE123" s="242">
        <f t="shared" si="878"/>
        <v>0</v>
      </c>
      <c r="NF123" s="56"/>
      <c r="NI123" s="55">
        <f t="shared" si="879"/>
        <v>46124</v>
      </c>
      <c r="NJ123" s="56"/>
      <c r="NK123" s="242">
        <f>SUMPRODUCT(PRODUCE!$B132:$DY132,PRODUCE!$EB$48:$IY$48)</f>
        <v>0</v>
      </c>
      <c r="NL123" s="56"/>
      <c r="NM123" s="242">
        <f t="shared" si="880"/>
        <v>0</v>
      </c>
      <c r="NN123" s="242">
        <f t="shared" si="881"/>
        <v>1523</v>
      </c>
      <c r="NO123" s="56"/>
      <c r="NR123" s="55">
        <f t="shared" si="882"/>
        <v>46124</v>
      </c>
      <c r="NS123" s="56"/>
      <c r="NT123" s="242">
        <f>SUMPRODUCT(PRODUCE!$B132:$DY132,PRODUCE!$EB$49:$IY$49)</f>
        <v>0</v>
      </c>
      <c r="NU123" s="56"/>
      <c r="NV123" s="242">
        <f t="shared" si="883"/>
        <v>0</v>
      </c>
      <c r="NW123" s="242">
        <f t="shared" si="884"/>
        <v>3566.1</v>
      </c>
      <c r="NX123" s="56"/>
      <c r="OA123" s="55">
        <f t="shared" si="885"/>
        <v>46124</v>
      </c>
      <c r="OB123" s="56"/>
      <c r="OC123" s="242">
        <f>SUMPRODUCT(PRODUCE!$B132:$DY132,PRODUCE!$EB$50:$IY$50)</f>
        <v>0</v>
      </c>
      <c r="OD123" s="56"/>
      <c r="OE123" s="242">
        <f t="shared" si="886"/>
        <v>0</v>
      </c>
      <c r="OF123" s="242">
        <f t="shared" si="887"/>
        <v>1680.5</v>
      </c>
      <c r="OG123" s="56"/>
      <c r="OJ123" s="55">
        <f t="shared" si="888"/>
        <v>46124</v>
      </c>
      <c r="OK123" s="56"/>
      <c r="OL123" s="242">
        <f>SUMPRODUCT(PRODUCE!$B132:$DY132,PRODUCE!$EB$51:$IY$51)</f>
        <v>0</v>
      </c>
      <c r="OM123" s="56"/>
      <c r="ON123" s="242">
        <f t="shared" si="889"/>
        <v>0</v>
      </c>
      <c r="OO123" s="242">
        <f t="shared" si="890"/>
        <v>0</v>
      </c>
      <c r="OP123" s="56"/>
      <c r="OS123" s="55">
        <f t="shared" si="891"/>
        <v>46124</v>
      </c>
      <c r="OT123" s="56"/>
      <c r="OU123" s="242">
        <f>SUMPRODUCT(PRODUCE!$B132:$DY132,PRODUCE!$EB$52:$IY$52)</f>
        <v>0</v>
      </c>
      <c r="OV123" s="56"/>
      <c r="OW123" s="242">
        <f t="shared" si="892"/>
        <v>0</v>
      </c>
      <c r="OX123" s="242">
        <f t="shared" si="893"/>
        <v>1000</v>
      </c>
      <c r="OY123" s="56"/>
      <c r="PB123" s="55">
        <f t="shared" si="894"/>
        <v>46124</v>
      </c>
      <c r="PC123" s="56"/>
      <c r="PD123" s="242">
        <f>SUMPRODUCT(PRODUCE!$B132:$DY132,PRODUCE!$EB$53:$IY$53)</f>
        <v>0</v>
      </c>
      <c r="PE123" s="56"/>
      <c r="PF123" s="242">
        <f t="shared" si="895"/>
        <v>0</v>
      </c>
      <c r="PG123" s="242">
        <f t="shared" si="896"/>
        <v>0</v>
      </c>
      <c r="PH123" s="56"/>
      <c r="PK123" s="55">
        <f t="shared" si="897"/>
        <v>46124</v>
      </c>
      <c r="PL123" s="56"/>
      <c r="PM123" s="242">
        <f>SUMPRODUCT(PRODUCE!$B132:$DY132,PRODUCE!$EB$54:$IY$54)</f>
        <v>0</v>
      </c>
      <c r="PN123" s="56"/>
      <c r="PO123" s="242">
        <f t="shared" si="898"/>
        <v>0</v>
      </c>
      <c r="PP123" s="242">
        <f t="shared" si="899"/>
        <v>100</v>
      </c>
      <c r="PQ123" s="56"/>
      <c r="PT123" s="55">
        <f t="shared" si="900"/>
        <v>46124</v>
      </c>
      <c r="PU123" s="56"/>
      <c r="PV123" s="242">
        <f>SUMPRODUCT(PRODUCE!$B132:$DY132,PRODUCE!$EB$55:$IY$55)</f>
        <v>0</v>
      </c>
      <c r="PW123" s="56"/>
      <c r="PX123" s="242">
        <f t="shared" si="901"/>
        <v>0</v>
      </c>
      <c r="PY123" s="242">
        <f t="shared" si="902"/>
        <v>13.960000000000036</v>
      </c>
      <c r="PZ123" s="56"/>
      <c r="QC123" s="55">
        <f t="shared" si="903"/>
        <v>46124</v>
      </c>
      <c r="QD123" s="56"/>
      <c r="QE123" s="242">
        <f>SUMPRODUCT(PRODUCE!$B132:$DY132,PRODUCE!$EB$56:$IY$56)</f>
        <v>0</v>
      </c>
      <c r="QF123" s="56"/>
      <c r="QG123" s="242">
        <f t="shared" si="904"/>
        <v>0</v>
      </c>
      <c r="QH123" s="242">
        <f t="shared" si="905"/>
        <v>1212</v>
      </c>
      <c r="QI123" s="56"/>
      <c r="QL123" s="55">
        <f t="shared" si="906"/>
        <v>46124</v>
      </c>
      <c r="QM123" s="56"/>
      <c r="QN123" s="242">
        <f>SUMPRODUCT(PRODUCE!$B132:$DY132,PRODUCE!$EB$57:$IY$57)</f>
        <v>0</v>
      </c>
      <c r="QO123" s="56"/>
      <c r="QP123" s="242">
        <f t="shared" si="907"/>
        <v>0</v>
      </c>
      <c r="QQ123" s="242">
        <f t="shared" si="908"/>
        <v>400</v>
      </c>
      <c r="QR123" s="56"/>
      <c r="QU123" s="55">
        <f t="shared" si="909"/>
        <v>46124</v>
      </c>
      <c r="QV123" s="56"/>
      <c r="QW123" s="242">
        <f>SUMPRODUCT(PRODUCE!$B132:$DY132,PRODUCE!$EB$57:$IY$57)</f>
        <v>0</v>
      </c>
      <c r="QX123" s="56"/>
      <c r="QY123" s="242">
        <f t="shared" si="910"/>
        <v>0</v>
      </c>
      <c r="QZ123" s="242">
        <f t="shared" si="911"/>
        <v>207.6</v>
      </c>
      <c r="RA123" s="56"/>
      <c r="RD123" s="55">
        <f t="shared" si="912"/>
        <v>46124</v>
      </c>
      <c r="RE123" s="56"/>
      <c r="RF123" s="242">
        <f>SUMPRODUCT(PRODUCE!$B132:$DY132,PRODUCE!$EB$58:$IY$58)</f>
        <v>0</v>
      </c>
      <c r="RG123" s="56"/>
      <c r="RH123" s="242">
        <f t="shared" si="913"/>
        <v>0</v>
      </c>
      <c r="RI123" s="242">
        <f t="shared" si="914"/>
        <v>197.04000000000002</v>
      </c>
      <c r="RJ123" s="56"/>
      <c r="RM123" s="55">
        <f t="shared" si="915"/>
        <v>46124</v>
      </c>
      <c r="RN123" s="56"/>
      <c r="RO123" s="242">
        <f>SUMPRODUCT(PRODUCE!$B132:$DY132,PRODUCE!$EB$57:$IY$57)</f>
        <v>0</v>
      </c>
      <c r="RP123" s="56"/>
      <c r="RQ123" s="242">
        <f t="shared" si="916"/>
        <v>0</v>
      </c>
      <c r="RR123" s="242">
        <f t="shared" si="917"/>
        <v>46.8</v>
      </c>
      <c r="RS123" s="56"/>
      <c r="RV123" s="55">
        <f t="shared" si="918"/>
        <v>46124</v>
      </c>
      <c r="RW123" s="56"/>
      <c r="RX123" s="242">
        <f>SUMPRODUCT(PRODUCE!$B132:$DY132,PRODUCE!$EB$57:$IY$57)</f>
        <v>0</v>
      </c>
      <c r="RY123" s="56"/>
      <c r="RZ123" s="242">
        <f t="shared" si="919"/>
        <v>0</v>
      </c>
      <c r="SA123" s="242">
        <f t="shared" si="920"/>
        <v>0</v>
      </c>
      <c r="SB123" s="56"/>
      <c r="SE123" s="55">
        <f t="shared" si="921"/>
        <v>46124</v>
      </c>
      <c r="SF123" s="56"/>
      <c r="SG123" s="242">
        <f>SUMPRODUCT(PRODUCE!$B132:$DY132,PRODUCE!$EB$57:$IY$57)</f>
        <v>0</v>
      </c>
      <c r="SH123" s="56"/>
      <c r="SI123" s="242">
        <f t="shared" si="922"/>
        <v>0</v>
      </c>
      <c r="SJ123" s="242">
        <f t="shared" si="923"/>
        <v>0</v>
      </c>
      <c r="SK123" s="56"/>
      <c r="SN123" s="55">
        <f t="shared" si="924"/>
        <v>46124</v>
      </c>
      <c r="SO123" s="56"/>
      <c r="SP123" s="242">
        <f>SUMPRODUCT(PRODUCE!$B132:$DY132,PRODUCE!$EB$57:$IY$57)</f>
        <v>0</v>
      </c>
      <c r="SQ123" s="56"/>
      <c r="SR123" s="242">
        <f t="shared" si="925"/>
        <v>0</v>
      </c>
      <c r="SS123" s="242">
        <f t="shared" si="926"/>
        <v>0</v>
      </c>
      <c r="ST123" s="56"/>
      <c r="SW123" s="55">
        <f t="shared" si="927"/>
        <v>46124</v>
      </c>
      <c r="SX123" s="56"/>
      <c r="SY123" s="242">
        <f>SUMPRODUCT(PRODUCE!$B132:$DY132,PRODUCE!$EB$57:$IY$57)</f>
        <v>0</v>
      </c>
      <c r="SZ123" s="56"/>
      <c r="TA123" s="242">
        <f t="shared" si="928"/>
        <v>0</v>
      </c>
      <c r="TB123" s="242">
        <f t="shared" si="929"/>
        <v>0</v>
      </c>
      <c r="TC123" s="56"/>
      <c r="TF123" s="55">
        <f t="shared" si="930"/>
        <v>46124</v>
      </c>
      <c r="TG123" s="56"/>
      <c r="TH123" s="242">
        <f>SUMPRODUCT(PRODUCE!$B132:$DY132,PRODUCE!$EB$57:$IY$57)</f>
        <v>0</v>
      </c>
      <c r="TI123" s="56"/>
      <c r="TJ123" s="242">
        <f t="shared" si="931"/>
        <v>0</v>
      </c>
      <c r="TK123" s="242">
        <f t="shared" si="932"/>
        <v>0</v>
      </c>
      <c r="TL123" s="56"/>
      <c r="TO123" s="55">
        <f t="shared" si="933"/>
        <v>46124</v>
      </c>
      <c r="TP123" s="56"/>
      <c r="TQ123" s="242">
        <f>SUMPRODUCT(PRODUCE!$B132:$DY132,PRODUCE!$EB$57:$IY$57)</f>
        <v>0</v>
      </c>
      <c r="TR123" s="56"/>
      <c r="TS123" s="242">
        <f t="shared" si="934"/>
        <v>0</v>
      </c>
      <c r="TT123" s="242">
        <f t="shared" si="935"/>
        <v>0</v>
      </c>
      <c r="TU123" s="56"/>
      <c r="TX123" s="55">
        <f t="shared" si="936"/>
        <v>46124</v>
      </c>
      <c r="TY123" s="56"/>
      <c r="TZ123" s="242">
        <f>SUMPRODUCT(PRODUCE!$B132:$DY132,PRODUCE!$EB$57:$IY$57)</f>
        <v>0</v>
      </c>
      <c r="UA123" s="56"/>
      <c r="UB123" s="242">
        <f t="shared" si="937"/>
        <v>0</v>
      </c>
      <c r="UC123" s="242">
        <f t="shared" si="938"/>
        <v>0</v>
      </c>
      <c r="UD123" s="56"/>
      <c r="UG123" s="55">
        <f t="shared" si="939"/>
        <v>46124</v>
      </c>
      <c r="UH123" s="56"/>
      <c r="UI123" s="242">
        <f>SUMPRODUCT(PRODUCE!$B132:$DY132,PRODUCE!$EB$57:$IY$57)</f>
        <v>0</v>
      </c>
      <c r="UJ123" s="56"/>
      <c r="UK123" s="242">
        <f t="shared" si="940"/>
        <v>0</v>
      </c>
      <c r="UL123" s="242">
        <f t="shared" si="941"/>
        <v>0</v>
      </c>
      <c r="UM123" s="56"/>
      <c r="UP123" s="55">
        <f t="shared" si="942"/>
        <v>46124</v>
      </c>
      <c r="UQ123" s="56"/>
      <c r="UR123" s="242">
        <f>SUMPRODUCT(PRODUCE!$B132:$DY132,PRODUCE!$EB$57:$IY$57)</f>
        <v>0</v>
      </c>
      <c r="US123" s="56"/>
      <c r="UT123" s="242">
        <f t="shared" si="943"/>
        <v>0</v>
      </c>
      <c r="UU123" s="242">
        <f t="shared" si="944"/>
        <v>0</v>
      </c>
      <c r="UV123" s="56"/>
      <c r="UY123" s="55">
        <f t="shared" si="945"/>
        <v>46124</v>
      </c>
      <c r="UZ123" s="56"/>
      <c r="VA123" s="242">
        <f>SUMPRODUCT(PRODUCE!$B132:$DY132,PRODUCE!$EB$57:$IY$57)</f>
        <v>0</v>
      </c>
      <c r="VB123" s="56"/>
      <c r="VC123" s="242">
        <f t="shared" si="946"/>
        <v>0</v>
      </c>
      <c r="VD123" s="242">
        <f t="shared" si="947"/>
        <v>41.600000000000023</v>
      </c>
      <c r="VE123" s="56"/>
      <c r="VH123" s="55">
        <f t="shared" si="948"/>
        <v>46124</v>
      </c>
      <c r="VI123" s="56"/>
      <c r="VJ123" s="242">
        <f>SUMPRODUCT(PRODUCE!$B132:$DY132,PRODUCE!$EB$57:$IY$57)</f>
        <v>0</v>
      </c>
      <c r="VK123" s="56"/>
      <c r="VL123" s="242">
        <f t="shared" si="949"/>
        <v>0</v>
      </c>
      <c r="VM123" s="242">
        <f t="shared" si="950"/>
        <v>0</v>
      </c>
      <c r="VN123" s="56"/>
      <c r="VQ123" s="55">
        <f t="shared" si="951"/>
        <v>46124</v>
      </c>
      <c r="VR123" s="56"/>
      <c r="VS123" s="242">
        <f>SUMPRODUCT(PRODUCE!$B132:$DY132,PRODUCE!$EB$57:$IY$57)</f>
        <v>0</v>
      </c>
      <c r="VT123" s="56"/>
      <c r="VU123" s="242">
        <f t="shared" si="952"/>
        <v>0</v>
      </c>
      <c r="VV123" s="242">
        <f t="shared" si="953"/>
        <v>0</v>
      </c>
      <c r="VW123" s="56"/>
      <c r="VZ123" s="55">
        <f t="shared" si="954"/>
        <v>46124</v>
      </c>
      <c r="WA123" s="56"/>
      <c r="WB123" s="242">
        <f>SUMPRODUCT(PRODUCE!$B132:$DY132,PRODUCE!$EB$57:$IY$57)</f>
        <v>0</v>
      </c>
      <c r="WC123" s="56"/>
      <c r="WD123" s="242">
        <f t="shared" si="955"/>
        <v>0</v>
      </c>
      <c r="WE123" s="242">
        <f t="shared" si="956"/>
        <v>0</v>
      </c>
      <c r="WF123" s="56"/>
      <c r="WI123" s="55">
        <f t="shared" si="957"/>
        <v>46124</v>
      </c>
      <c r="WJ123" s="56"/>
      <c r="WK123" s="242">
        <f>SUMPRODUCT(PRODUCE!$B132:$DY132,PRODUCE!$EB$57:$IY$57)</f>
        <v>0</v>
      </c>
      <c r="WL123" s="56"/>
      <c r="WM123" s="242">
        <f t="shared" si="958"/>
        <v>0</v>
      </c>
      <c r="WN123" s="242">
        <f t="shared" si="959"/>
        <v>2317</v>
      </c>
      <c r="WO123" s="56"/>
      <c r="WR123" s="55">
        <f t="shared" si="960"/>
        <v>46124</v>
      </c>
      <c r="WS123" s="56"/>
      <c r="WT123" s="242">
        <f>SUMPRODUCT(PRODUCE!$B132:$DY132,PRODUCE!$EB$57:$IY$57)</f>
        <v>0</v>
      </c>
      <c r="WU123" s="56"/>
      <c r="WV123" s="242">
        <f t="shared" si="961"/>
        <v>0</v>
      </c>
      <c r="WW123" s="242">
        <f t="shared" si="962"/>
        <v>6980</v>
      </c>
      <c r="WX123" s="56"/>
      <c r="XA123" s="55">
        <f t="shared" si="963"/>
        <v>46124</v>
      </c>
      <c r="XB123" s="56"/>
      <c r="XC123" s="242">
        <f>SUMPRODUCT(PRODUCE!$B132:$DY132,PRODUCE!$EB$57:$IY$57)</f>
        <v>0</v>
      </c>
      <c r="XD123" s="56"/>
      <c r="XE123" s="242">
        <f t="shared" si="964"/>
        <v>0</v>
      </c>
      <c r="XF123" s="242">
        <f t="shared" si="965"/>
        <v>14868</v>
      </c>
      <c r="XG123" s="56"/>
      <c r="XJ123" s="55">
        <f t="shared" si="966"/>
        <v>46124</v>
      </c>
      <c r="XK123" s="56"/>
      <c r="XL123" s="242">
        <f>SUMPRODUCT(PRODUCE!$B132:$DY132,PRODUCE!$EB$57:$IY$57)</f>
        <v>0</v>
      </c>
      <c r="XM123" s="56"/>
      <c r="XN123" s="242">
        <f t="shared" si="967"/>
        <v>0</v>
      </c>
      <c r="XO123" s="242">
        <f t="shared" si="968"/>
        <v>5447</v>
      </c>
      <c r="XP123" s="56"/>
      <c r="XS123" s="55">
        <f t="shared" si="969"/>
        <v>46124</v>
      </c>
      <c r="XT123" s="56"/>
      <c r="XU123" s="242">
        <f>SUMPRODUCT(PRODUCE!$B132:$DY132,PRODUCE!$EB$57:$IY$57)</f>
        <v>0</v>
      </c>
      <c r="XV123" s="56"/>
      <c r="XW123" s="242">
        <f t="shared" si="970"/>
        <v>0</v>
      </c>
      <c r="XX123" s="242">
        <f t="shared" si="971"/>
        <v>1901</v>
      </c>
      <c r="XY123" s="56"/>
      <c r="YB123" s="55">
        <f t="shared" si="972"/>
        <v>46124</v>
      </c>
      <c r="YC123" s="56"/>
      <c r="YD123" s="242">
        <f>SUMPRODUCT(PRODUCE!$B132:$DY132,PRODUCE!$EB$57:$IY$57)</f>
        <v>0</v>
      </c>
      <c r="YE123" s="56"/>
      <c r="YF123" s="242">
        <f t="shared" si="973"/>
        <v>0</v>
      </c>
      <c r="YG123" s="242">
        <f t="shared" si="974"/>
        <v>6459</v>
      </c>
      <c r="YH123" s="56"/>
      <c r="YK123" s="55">
        <f t="shared" si="975"/>
        <v>46124</v>
      </c>
      <c r="YL123" s="56"/>
      <c r="YM123" s="242">
        <f>SUMPRODUCT(PRODUCE!$B132:$DY132,PRODUCE!$EB$57:$IY$57)</f>
        <v>0</v>
      </c>
      <c r="YN123" s="56"/>
      <c r="YO123" s="242">
        <f t="shared" si="976"/>
        <v>0</v>
      </c>
      <c r="YP123" s="242">
        <f t="shared" si="977"/>
        <v>0</v>
      </c>
      <c r="YQ123" s="56"/>
      <c r="YT123" s="55">
        <f t="shared" si="978"/>
        <v>46124</v>
      </c>
      <c r="YU123" s="56"/>
      <c r="YV123" s="242">
        <f>SUMPRODUCT(PRODUCE!$B132:$DY132,PRODUCE!$EB$57:$IY$57)</f>
        <v>0</v>
      </c>
      <c r="YW123" s="56"/>
      <c r="YX123" s="242">
        <f t="shared" si="979"/>
        <v>0</v>
      </c>
      <c r="YY123" s="242">
        <f t="shared" si="980"/>
        <v>0</v>
      </c>
      <c r="YZ123" s="56"/>
      <c r="ZC123" s="55">
        <f t="shared" si="981"/>
        <v>46124</v>
      </c>
      <c r="ZD123" s="56"/>
      <c r="ZE123" s="242">
        <f>SUMPRODUCT(PRODUCE!$B132:$DY132,PRODUCE!$EB$57:$IY$57)</f>
        <v>0</v>
      </c>
      <c r="ZF123" s="56"/>
      <c r="ZG123" s="242">
        <f t="shared" si="982"/>
        <v>0</v>
      </c>
      <c r="ZH123" s="242">
        <f t="shared" si="983"/>
        <v>0</v>
      </c>
      <c r="ZI123" s="56"/>
      <c r="ZL123" s="55">
        <f t="shared" si="984"/>
        <v>46124</v>
      </c>
      <c r="ZM123" s="56"/>
      <c r="ZN123" s="242">
        <f>SUMPRODUCT(PRODUCE!$B132:$DY132,PRODUCE!$EB$57:$IY$57)</f>
        <v>0</v>
      </c>
      <c r="ZO123" s="56"/>
      <c r="ZP123" s="242">
        <f t="shared" si="985"/>
        <v>0</v>
      </c>
      <c r="ZQ123" s="242">
        <f t="shared" si="986"/>
        <v>0</v>
      </c>
      <c r="ZR123" s="56"/>
      <c r="ZU123" s="55">
        <f t="shared" si="987"/>
        <v>46124</v>
      </c>
      <c r="ZV123" s="56"/>
      <c r="ZW123" s="242">
        <f>SUMPRODUCT(PRODUCE!$B132:$DY132,PRODUCE!$EB$57:$IY$57)</f>
        <v>0</v>
      </c>
      <c r="ZX123" s="56"/>
      <c r="ZY123" s="242">
        <f t="shared" si="988"/>
        <v>0</v>
      </c>
      <c r="ZZ123" s="242">
        <f t="shared" si="989"/>
        <v>0</v>
      </c>
      <c r="AAA123" s="56"/>
      <c r="AAD123" s="55">
        <f t="shared" si="990"/>
        <v>46124</v>
      </c>
      <c r="AAE123" s="56"/>
      <c r="AAF123" s="242">
        <f>SUMPRODUCT(PRODUCE!$B132:$DY132,PRODUCE!$EB$57:$IY$57)</f>
        <v>0</v>
      </c>
      <c r="AAG123" s="56"/>
      <c r="AAH123" s="242">
        <f t="shared" si="991"/>
        <v>0</v>
      </c>
      <c r="AAI123" s="242">
        <f t="shared" si="992"/>
        <v>0</v>
      </c>
      <c r="AAJ123" s="56"/>
      <c r="AAM123" s="55">
        <f t="shared" si="993"/>
        <v>46124</v>
      </c>
      <c r="AAN123" s="56"/>
      <c r="AAO123" s="242">
        <f>SUMPRODUCT(PRODUCE!$B132:$DY132,PRODUCE!$EB$57:$IY$57)</f>
        <v>0</v>
      </c>
      <c r="AAP123" s="56"/>
      <c r="AAQ123" s="242">
        <f t="shared" si="994"/>
        <v>0</v>
      </c>
      <c r="AAR123" s="242">
        <f t="shared" si="995"/>
        <v>0</v>
      </c>
      <c r="AAS123" s="56"/>
      <c r="AAV123" s="55">
        <f t="shared" si="996"/>
        <v>46124</v>
      </c>
      <c r="AAW123" s="56"/>
      <c r="AAX123" s="242">
        <f>SUMPRODUCT(PRODUCE!$B132:$DY132,PRODUCE!$EB$57:$IY$57)</f>
        <v>0</v>
      </c>
      <c r="AAY123" s="56"/>
      <c r="AAZ123" s="242">
        <f t="shared" si="997"/>
        <v>0</v>
      </c>
      <c r="ABA123" s="242">
        <f t="shared" si="998"/>
        <v>0</v>
      </c>
      <c r="ABB123" s="56"/>
      <c r="ABE123" s="55">
        <f t="shared" si="999"/>
        <v>46124</v>
      </c>
      <c r="ABF123" s="56"/>
      <c r="ABG123" s="242">
        <f>SUMPRODUCT(PRODUCE!$B132:$DY132,PRODUCE!$EB$57:$IY$57)</f>
        <v>0</v>
      </c>
      <c r="ABH123" s="56"/>
      <c r="ABI123" s="242">
        <f t="shared" si="1000"/>
        <v>0</v>
      </c>
      <c r="ABJ123" s="242">
        <f t="shared" si="1001"/>
        <v>0</v>
      </c>
      <c r="ABK123" s="56"/>
    </row>
    <row r="124" spans="2:739" s="54" customFormat="1" ht="15" customHeight="1" outlineLevel="1">
      <c r="B124" s="478">
        <v>30</v>
      </c>
      <c r="C124" s="55">
        <v>46125</v>
      </c>
      <c r="D124" s="422">
        <v>18420</v>
      </c>
      <c r="E124" s="423">
        <f>SUMPRODUCT(PRODUCE!$B133:$DY133,PRODUCE!$EB$7:$IY$7)</f>
        <v>15070.499999999998</v>
      </c>
      <c r="F124" s="422">
        <v>15071.4</v>
      </c>
      <c r="G124" s="423">
        <f t="shared" si="1002"/>
        <v>-0.90000000000145519</v>
      </c>
      <c r="H124" s="423">
        <f t="shared" si="1003"/>
        <v>189683.19999999998</v>
      </c>
      <c r="I124" s="289" t="s">
        <v>241</v>
      </c>
      <c r="L124" s="55">
        <f t="shared" si="759"/>
        <v>46125</v>
      </c>
      <c r="M124" s="422">
        <v>29520</v>
      </c>
      <c r="N124" s="438">
        <f>SUMPRODUCT(PRODUCE!$B133:$DY133,PRODUCE!$EB$8:$IY$8)</f>
        <v>6150</v>
      </c>
      <c r="O124" s="422">
        <v>6153.4</v>
      </c>
      <c r="P124" s="438">
        <f t="shared" si="760"/>
        <v>-3.3999999999996362</v>
      </c>
      <c r="Q124" s="438">
        <f t="shared" si="761"/>
        <v>95265.800000000105</v>
      </c>
      <c r="R124" s="56"/>
      <c r="U124" s="55">
        <f t="shared" si="762"/>
        <v>46125</v>
      </c>
      <c r="V124" s="422"/>
      <c r="W124" s="440">
        <f>SUMPRODUCT(PRODUCE!$B133:$DY133,PRODUCE!$EB$9:$IY$9)</f>
        <v>2504.9999999999995</v>
      </c>
      <c r="X124" s="422">
        <v>2506.1999999999998</v>
      </c>
      <c r="Y124" s="440">
        <f t="shared" si="763"/>
        <v>-1.2000000000002728</v>
      </c>
      <c r="Z124" s="440">
        <f t="shared" si="764"/>
        <v>38323.499999999971</v>
      </c>
      <c r="AA124" s="56"/>
      <c r="AD124" s="55">
        <f t="shared" si="765"/>
        <v>46125</v>
      </c>
      <c r="AE124" s="422"/>
      <c r="AF124" s="442">
        <f>SUMPRODUCT(PRODUCE!$B133:$DY133,PRODUCE!$EB$10:$IY$10)</f>
        <v>390.00000000000006</v>
      </c>
      <c r="AG124" s="422">
        <v>390.8</v>
      </c>
      <c r="AH124" s="442">
        <f t="shared" si="766"/>
        <v>-0.79999999999995453</v>
      </c>
      <c r="AI124" s="442">
        <f t="shared" si="767"/>
        <v>43151.000000000015</v>
      </c>
      <c r="AJ124" s="56"/>
      <c r="AM124" s="55">
        <f t="shared" si="768"/>
        <v>46125</v>
      </c>
      <c r="AN124" s="422"/>
      <c r="AO124" s="444">
        <f>SUMPRODUCT(PRODUCE!$B133:$DY133,PRODUCE!$EB$11:$IY$11)</f>
        <v>0</v>
      </c>
      <c r="AP124" s="422"/>
      <c r="AQ124" s="444">
        <f t="shared" si="769"/>
        <v>0</v>
      </c>
      <c r="AR124" s="444">
        <f t="shared" si="770"/>
        <v>0</v>
      </c>
      <c r="AS124" s="56"/>
      <c r="AV124" s="55">
        <f t="shared" si="771"/>
        <v>46125</v>
      </c>
      <c r="AW124" s="422"/>
      <c r="AX124" s="446">
        <f>SUMPRODUCT(PRODUCE!$B133:$DY133,PRODUCE!$EB$12:$IY$12)</f>
        <v>0</v>
      </c>
      <c r="AY124" s="422"/>
      <c r="AZ124" s="446">
        <f t="shared" si="772"/>
        <v>0</v>
      </c>
      <c r="BA124" s="446">
        <f t="shared" si="773"/>
        <v>13617.699999999992</v>
      </c>
      <c r="BB124" s="56"/>
      <c r="BE124" s="55">
        <f t="shared" si="774"/>
        <v>46125</v>
      </c>
      <c r="BF124" s="422"/>
      <c r="BG124" s="448">
        <f>SUMPRODUCT(PRODUCE!$B133:$DY133,PRODUCE!$EB$13:$IY$13)</f>
        <v>1260</v>
      </c>
      <c r="BH124" s="422">
        <v>1260.4000000000001</v>
      </c>
      <c r="BI124" s="448">
        <f t="shared" si="775"/>
        <v>-0.40000000000009095</v>
      </c>
      <c r="BJ124" s="448">
        <f t="shared" si="776"/>
        <v>12723.000000000002</v>
      </c>
      <c r="BK124" s="56"/>
      <c r="BN124" s="55">
        <f t="shared" si="777"/>
        <v>46125</v>
      </c>
      <c r="BO124" s="422">
        <v>600</v>
      </c>
      <c r="BP124" s="450">
        <f>SUMPRODUCT(PRODUCE!$B133:$DY133,PRODUCE!$EB$14:$IY$14)</f>
        <v>600</v>
      </c>
      <c r="BQ124" s="422">
        <v>600</v>
      </c>
      <c r="BR124" s="450">
        <f t="shared" si="778"/>
        <v>0</v>
      </c>
      <c r="BS124" s="450">
        <f t="shared" si="779"/>
        <v>0</v>
      </c>
      <c r="BT124" s="56"/>
      <c r="BW124" s="55">
        <f t="shared" si="780"/>
        <v>46125</v>
      </c>
      <c r="BX124" s="56"/>
      <c r="BY124" s="65">
        <f>SUMPRODUCT(PRODUCE!$B133:$DY133,PRODUCE!$EB$15:$IY$15)</f>
        <v>199.5</v>
      </c>
      <c r="BZ124" s="56"/>
      <c r="CA124" s="65">
        <f t="shared" si="781"/>
        <v>199.5</v>
      </c>
      <c r="CB124" s="65">
        <f t="shared" si="782"/>
        <v>8228.7999999999993</v>
      </c>
      <c r="CC124" s="56"/>
      <c r="CF124" s="55">
        <f t="shared" si="783"/>
        <v>46125</v>
      </c>
      <c r="CG124" s="56"/>
      <c r="CH124" s="66">
        <f>SUMPRODUCT(PRODUCE!$B133:$DY133,PRODUCE!$EB$16:$IY$16)</f>
        <v>300</v>
      </c>
      <c r="CI124" s="56"/>
      <c r="CJ124" s="66">
        <f t="shared" si="784"/>
        <v>300</v>
      </c>
      <c r="CK124" s="66">
        <f t="shared" si="785"/>
        <v>0</v>
      </c>
      <c r="CL124" s="56"/>
      <c r="CO124" s="55">
        <f t="shared" si="786"/>
        <v>46125</v>
      </c>
      <c r="CP124" s="422"/>
      <c r="CQ124" s="470">
        <f>SUMPRODUCT(PRODUCE!$B133:$DY133,PRODUCE!$EB$17:$IY$17)</f>
        <v>0</v>
      </c>
      <c r="CR124" s="422"/>
      <c r="CS124" s="470">
        <f t="shared" si="787"/>
        <v>0</v>
      </c>
      <c r="CT124" s="470">
        <f t="shared" si="788"/>
        <v>0</v>
      </c>
      <c r="CU124" s="56"/>
      <c r="CX124" s="55">
        <f t="shared" si="789"/>
        <v>46125</v>
      </c>
      <c r="CY124" s="56"/>
      <c r="CZ124" s="133">
        <f>SUMPRODUCT(PRODUCE!$B133:$DY133,PRODUCE!$EB$18:$IY$18)</f>
        <v>1500</v>
      </c>
      <c r="DA124" s="56">
        <v>1499.9</v>
      </c>
      <c r="DB124" s="133">
        <f t="shared" si="790"/>
        <v>9.9999999999909051E-2</v>
      </c>
      <c r="DC124" s="133">
        <f t="shared" si="791"/>
        <v>25358.200000000004</v>
      </c>
      <c r="DD124" s="56"/>
      <c r="DG124" s="55">
        <f t="shared" si="792"/>
        <v>46125</v>
      </c>
      <c r="DH124" s="56"/>
      <c r="DI124" s="147">
        <f>SUMPRODUCT(PRODUCE!$B133:$DY133,PRODUCE!$EB$19:$IY$19)</f>
        <v>1200</v>
      </c>
      <c r="DJ124" s="56">
        <v>1200.4000000000001</v>
      </c>
      <c r="DK124" s="147">
        <f t="shared" si="793"/>
        <v>-0.40000000000009095</v>
      </c>
      <c r="DL124" s="147">
        <f t="shared" si="794"/>
        <v>23341.19999999999</v>
      </c>
      <c r="DM124" s="56"/>
      <c r="DP124" s="55">
        <f t="shared" si="795"/>
        <v>46125</v>
      </c>
      <c r="DQ124" s="56"/>
      <c r="DR124" s="57">
        <f>SUMPRODUCT(PRODUCE!$B133:$DY133,PRODUCE!$EB$20:$IY$20)</f>
        <v>0</v>
      </c>
      <c r="DS124" s="56"/>
      <c r="DT124" s="57">
        <f t="shared" si="796"/>
        <v>0</v>
      </c>
      <c r="DU124" s="57">
        <f t="shared" si="797"/>
        <v>7050</v>
      </c>
      <c r="DV124" s="56"/>
      <c r="DY124" s="55">
        <f t="shared" si="798"/>
        <v>46125</v>
      </c>
      <c r="DZ124" s="56"/>
      <c r="EA124" s="157">
        <f>SUMPRODUCT(PRODUCE!$B133:$DY133,PRODUCE!$EB$21:$IY$21)</f>
        <v>0</v>
      </c>
      <c r="EB124" s="56"/>
      <c r="EC124" s="157">
        <f t="shared" si="799"/>
        <v>0</v>
      </c>
      <c r="ED124" s="157">
        <f t="shared" si="800"/>
        <v>147.30000000000018</v>
      </c>
      <c r="EE124" s="56"/>
      <c r="EH124" s="55">
        <f t="shared" si="801"/>
        <v>46125</v>
      </c>
      <c r="EI124" s="56"/>
      <c r="EJ124" s="162">
        <f>SUMPRODUCT(PRODUCE!$B133:$DY133,PRODUCE!$EB$22:$IY$22)</f>
        <v>0</v>
      </c>
      <c r="EK124" s="56"/>
      <c r="EL124" s="162">
        <f t="shared" si="802"/>
        <v>0</v>
      </c>
      <c r="EM124" s="162">
        <f t="shared" si="803"/>
        <v>0</v>
      </c>
      <c r="EN124" s="56"/>
      <c r="EQ124" s="55">
        <f t="shared" si="804"/>
        <v>46125</v>
      </c>
      <c r="ER124" s="56"/>
      <c r="ES124" s="135">
        <f>SUMPRODUCT(PRODUCE!$B133:$DY133,PRODUCE!$EB$23:$IY$23)</f>
        <v>0</v>
      </c>
      <c r="ET124" s="56"/>
      <c r="EU124" s="135">
        <f t="shared" si="805"/>
        <v>0</v>
      </c>
      <c r="EV124" s="135">
        <f t="shared" si="806"/>
        <v>0</v>
      </c>
      <c r="EW124" s="56"/>
      <c r="EZ124" s="55">
        <f t="shared" si="807"/>
        <v>46125</v>
      </c>
      <c r="FA124" s="56"/>
      <c r="FB124" s="175">
        <f>SUMPRODUCT(PRODUCE!$B133:$DY133,PRODUCE!$EB$24:$IY$24)</f>
        <v>0</v>
      </c>
      <c r="FC124" s="56"/>
      <c r="FD124" s="175">
        <f t="shared" si="808"/>
        <v>0</v>
      </c>
      <c r="FE124" s="175">
        <f t="shared" si="809"/>
        <v>0</v>
      </c>
      <c r="FF124" s="56"/>
      <c r="FI124" s="55">
        <f t="shared" si="810"/>
        <v>46125</v>
      </c>
      <c r="FJ124" s="56"/>
      <c r="FK124" s="183">
        <f>SUMPRODUCT(PRODUCE!$B133:$DY133,PRODUCE!$EB$25:$IY$25)</f>
        <v>0</v>
      </c>
      <c r="FL124" s="56"/>
      <c r="FM124" s="183">
        <f t="shared" si="811"/>
        <v>0</v>
      </c>
      <c r="FN124" s="183">
        <f t="shared" si="812"/>
        <v>0</v>
      </c>
      <c r="FO124" s="56"/>
      <c r="FR124" s="55">
        <f t="shared" si="813"/>
        <v>46125</v>
      </c>
      <c r="FS124" s="422"/>
      <c r="FT124" s="452">
        <f>SUMPRODUCT(PRODUCE!$B133:$DY133,PRODUCE!$EB$26:$IY$26)</f>
        <v>0</v>
      </c>
      <c r="FU124" s="422"/>
      <c r="FV124" s="452">
        <f t="shared" si="814"/>
        <v>0</v>
      </c>
      <c r="FW124" s="452">
        <f t="shared" si="815"/>
        <v>140</v>
      </c>
      <c r="FX124" s="56"/>
      <c r="GA124" s="55">
        <f t="shared" si="816"/>
        <v>46125</v>
      </c>
      <c r="GB124" s="422"/>
      <c r="GC124" s="454">
        <f>SUMPRODUCT(PRODUCE!$B133:$DY133,PRODUCE!$EB$27:$IY$27)</f>
        <v>0</v>
      </c>
      <c r="GD124" s="422"/>
      <c r="GE124" s="454">
        <f t="shared" si="817"/>
        <v>0</v>
      </c>
      <c r="GF124" s="454">
        <f t="shared" si="818"/>
        <v>6000</v>
      </c>
      <c r="GG124" s="56"/>
      <c r="GI124" s="23"/>
      <c r="GJ124" s="55">
        <f t="shared" si="819"/>
        <v>46125</v>
      </c>
      <c r="GK124" s="422"/>
      <c r="GL124" s="456">
        <f>SUMPRODUCT(PRODUCE!$B133:$DY133,PRODUCE!$EB$28:$IY$28)</f>
        <v>0</v>
      </c>
      <c r="GM124" s="422"/>
      <c r="GN124" s="456">
        <f t="shared" si="820"/>
        <v>0</v>
      </c>
      <c r="GO124" s="456">
        <f t="shared" si="821"/>
        <v>4800</v>
      </c>
      <c r="GP124" s="56"/>
      <c r="GS124" s="55">
        <f t="shared" si="822"/>
        <v>46125</v>
      </c>
      <c r="GT124" s="56"/>
      <c r="GU124" s="195">
        <f>SUMPRODUCT(PRODUCE!$B133:$DY133,PRODUCE!$EB$29:$IY$29)</f>
        <v>0</v>
      </c>
      <c r="GV124" s="56"/>
      <c r="GW124" s="195">
        <f t="shared" si="823"/>
        <v>0</v>
      </c>
      <c r="GX124" s="195">
        <f t="shared" si="824"/>
        <v>0</v>
      </c>
      <c r="GY124" s="56"/>
      <c r="HB124" s="55">
        <f t="shared" si="825"/>
        <v>46125</v>
      </c>
      <c r="HC124" s="56"/>
      <c r="HD124" s="191">
        <f>SUMPRODUCT(PRODUCE!$B133:$DY133,PRODUCE!$EB$30:$IY$30)</f>
        <v>0</v>
      </c>
      <c r="HE124" s="56"/>
      <c r="HF124" s="191">
        <f t="shared" si="826"/>
        <v>0</v>
      </c>
      <c r="HG124" s="191">
        <f t="shared" si="827"/>
        <v>0</v>
      </c>
      <c r="HH124" s="56"/>
      <c r="HK124" s="55">
        <f t="shared" si="828"/>
        <v>46125</v>
      </c>
      <c r="HL124" s="56"/>
      <c r="HM124" s="63">
        <f>SUMPRODUCT(PRODUCE!$B133:$DY133,PRODUCE!$EB$31:$IY$31)</f>
        <v>0</v>
      </c>
      <c r="HN124" s="56"/>
      <c r="HO124" s="63">
        <f t="shared" si="829"/>
        <v>0</v>
      </c>
      <c r="HP124" s="63">
        <f t="shared" si="830"/>
        <v>0</v>
      </c>
      <c r="HQ124" s="56"/>
      <c r="HU124" s="55">
        <f t="shared" si="831"/>
        <v>46125</v>
      </c>
      <c r="HV124" s="56"/>
      <c r="HW124" s="242">
        <f>SUMPRODUCT(PRODUCE!$B133:$DY133,PRODUCE!$EB$32:$IY$32)</f>
        <v>0</v>
      </c>
      <c r="HX124" s="56"/>
      <c r="HY124" s="242">
        <f t="shared" si="832"/>
        <v>0</v>
      </c>
      <c r="HZ124" s="242">
        <f t="shared" si="833"/>
        <v>5120</v>
      </c>
      <c r="IA124" s="56"/>
      <c r="ID124" s="55">
        <f t="shared" si="834"/>
        <v>46125</v>
      </c>
      <c r="IE124" s="56"/>
      <c r="IF124" s="242">
        <f>SUMPRODUCT(PRODUCE!$B133:$DY133,PRODUCE!$EB$33:$IY$33)</f>
        <v>0</v>
      </c>
      <c r="IG124" s="56"/>
      <c r="IH124" s="242">
        <f t="shared" si="835"/>
        <v>0</v>
      </c>
      <c r="II124" s="242">
        <f t="shared" si="836"/>
        <v>6540</v>
      </c>
      <c r="IJ124" s="56"/>
      <c r="IM124" s="55">
        <f t="shared" si="837"/>
        <v>46125</v>
      </c>
      <c r="IN124" s="56"/>
      <c r="IO124" s="242">
        <f>SUMPRODUCT(PRODUCE!$B133:$DY133,PRODUCE!$EB$34:$IY$34)</f>
        <v>0</v>
      </c>
      <c r="IP124" s="56"/>
      <c r="IQ124" s="242">
        <f t="shared" si="838"/>
        <v>0</v>
      </c>
      <c r="IR124" s="242">
        <f t="shared" si="839"/>
        <v>11540</v>
      </c>
      <c r="IS124" s="56"/>
      <c r="IV124" s="55">
        <f t="shared" si="840"/>
        <v>46125</v>
      </c>
      <c r="IW124" s="56"/>
      <c r="IX124" s="242">
        <f>SUMPRODUCT(PRODUCE!$B133:$DY133,PRODUCE!$EB$35:$IY$35)</f>
        <v>0</v>
      </c>
      <c r="IY124" s="56"/>
      <c r="IZ124" s="242">
        <f t="shared" si="841"/>
        <v>0</v>
      </c>
      <c r="JA124" s="242">
        <f t="shared" si="842"/>
        <v>15120</v>
      </c>
      <c r="JB124" s="56"/>
      <c r="JE124" s="55">
        <f t="shared" si="843"/>
        <v>46125</v>
      </c>
      <c r="JF124" s="56"/>
      <c r="JG124" s="242">
        <f>SUMPRODUCT(PRODUCE!$B133:$DY133,PRODUCE!$EB$36:$IY$36)</f>
        <v>0</v>
      </c>
      <c r="JH124" s="56"/>
      <c r="JI124" s="242">
        <f t="shared" si="844"/>
        <v>0</v>
      </c>
      <c r="JJ124" s="242">
        <f t="shared" si="845"/>
        <v>5040</v>
      </c>
      <c r="JK124" s="56"/>
      <c r="JN124" s="55">
        <f t="shared" si="846"/>
        <v>46125</v>
      </c>
      <c r="JO124" s="56"/>
      <c r="JP124" s="242">
        <f>SUMPRODUCT(PRODUCE!$B133:$DY133,PRODUCE!$EB$37:$IY$37)</f>
        <v>0</v>
      </c>
      <c r="JQ124" s="56"/>
      <c r="JR124" s="242">
        <f t="shared" si="847"/>
        <v>0</v>
      </c>
      <c r="JS124" s="242">
        <f t="shared" si="848"/>
        <v>9100</v>
      </c>
      <c r="JT124" s="56"/>
      <c r="JW124" s="55">
        <f t="shared" si="849"/>
        <v>46125</v>
      </c>
      <c r="JX124" s="56"/>
      <c r="JY124" s="242">
        <f>SUMPRODUCT(PRODUCE!$B133:$DY133,PRODUCE!$EB$38:$IY$38)</f>
        <v>0</v>
      </c>
      <c r="JZ124" s="56"/>
      <c r="KA124" s="242">
        <f t="shared" si="850"/>
        <v>0</v>
      </c>
      <c r="KB124" s="242">
        <f t="shared" si="851"/>
        <v>2940</v>
      </c>
      <c r="KC124" s="56"/>
      <c r="KF124" s="55">
        <f t="shared" si="852"/>
        <v>46125</v>
      </c>
      <c r="KG124" s="56"/>
      <c r="KH124" s="242">
        <f>SUMPRODUCT(PRODUCE!$B133:$DY133,PRODUCE!$EB$39:$IY$39)</f>
        <v>585</v>
      </c>
      <c r="KI124" s="56"/>
      <c r="KJ124" s="242">
        <f t="shared" si="853"/>
        <v>585</v>
      </c>
      <c r="KK124" s="242">
        <f t="shared" si="854"/>
        <v>1579.5</v>
      </c>
      <c r="KL124" s="56"/>
      <c r="KO124" s="55">
        <f t="shared" si="855"/>
        <v>46125</v>
      </c>
      <c r="KP124" s="56"/>
      <c r="KQ124" s="242">
        <f>SUMPRODUCT(PRODUCE!$B133:$DY133,PRODUCE!$EB$40:$IY$40)</f>
        <v>0</v>
      </c>
      <c r="KR124" s="56"/>
      <c r="KS124" s="242">
        <f t="shared" si="856"/>
        <v>0</v>
      </c>
      <c r="KT124" s="242">
        <f t="shared" si="857"/>
        <v>5216.3999999999996</v>
      </c>
      <c r="KU124" s="56"/>
      <c r="KW124" s="518"/>
      <c r="KX124" s="55">
        <f t="shared" si="858"/>
        <v>46125</v>
      </c>
      <c r="KY124" s="56"/>
      <c r="KZ124" s="242">
        <f>SUMPRODUCT(PRODUCE!$B133:$DY133,PRODUCE!$EB$41:$IY$41)</f>
        <v>0</v>
      </c>
      <c r="LA124" s="56"/>
      <c r="LB124" s="242">
        <f t="shared" si="859"/>
        <v>0</v>
      </c>
      <c r="LC124" s="242">
        <f t="shared" si="860"/>
        <v>0</v>
      </c>
      <c r="LD124" s="56"/>
      <c r="LG124" s="55">
        <f t="shared" si="861"/>
        <v>46125</v>
      </c>
      <c r="LH124" s="56"/>
      <c r="LI124" s="242">
        <f>SUMPRODUCT(PRODUCE!$B133:$DY133,PRODUCE!$EB$42:$IY$42)</f>
        <v>0</v>
      </c>
      <c r="LJ124" s="56"/>
      <c r="LK124" s="242">
        <f t="shared" si="862"/>
        <v>0</v>
      </c>
      <c r="LL124" s="242">
        <f t="shared" si="863"/>
        <v>0</v>
      </c>
      <c r="LM124" s="56"/>
      <c r="LP124" s="55">
        <f t="shared" si="864"/>
        <v>46125</v>
      </c>
      <c r="LQ124" s="56"/>
      <c r="LR124" s="242">
        <f>SUMPRODUCT(PRODUCE!$B139:$DY139,PRODUCE!$EB$43:$IY$43)</f>
        <v>0</v>
      </c>
      <c r="LS124" s="56"/>
      <c r="LT124" s="242">
        <f t="shared" si="865"/>
        <v>0</v>
      </c>
      <c r="LU124" s="242">
        <f t="shared" si="866"/>
        <v>0</v>
      </c>
      <c r="LV124" s="56"/>
      <c r="LY124" s="55">
        <f t="shared" si="867"/>
        <v>46125</v>
      </c>
      <c r="LZ124" s="56"/>
      <c r="MA124" s="242">
        <f>SUMPRODUCT(PRODUCE!$B133:$DY133,PRODUCE!$EB$44:$IY$44)</f>
        <v>0</v>
      </c>
      <c r="MB124" s="56"/>
      <c r="MC124" s="242">
        <f t="shared" si="868"/>
        <v>0</v>
      </c>
      <c r="MD124" s="242">
        <f t="shared" si="869"/>
        <v>0</v>
      </c>
      <c r="ME124" s="56"/>
      <c r="MH124" s="55">
        <f t="shared" si="870"/>
        <v>46125</v>
      </c>
      <c r="MI124" s="56"/>
      <c r="MJ124" s="242">
        <f>SUMPRODUCT(PRODUCE!$B133:$DY133,PRODUCE!$EB$45:$IY$45)</f>
        <v>0</v>
      </c>
      <c r="MK124" s="56"/>
      <c r="ML124" s="242">
        <f t="shared" si="871"/>
        <v>0</v>
      </c>
      <c r="MM124" s="242">
        <f t="shared" si="872"/>
        <v>0</v>
      </c>
      <c r="MN124" s="56"/>
      <c r="MQ124" s="55">
        <f t="shared" si="873"/>
        <v>46125</v>
      </c>
      <c r="MR124" s="56"/>
      <c r="MS124" s="242">
        <f>SUMPRODUCT(PRODUCE!$B133:$DY133,PRODUCE!$EB$46:$IY$46)</f>
        <v>0</v>
      </c>
      <c r="MT124" s="56"/>
      <c r="MU124" s="242">
        <f t="shared" si="874"/>
        <v>0</v>
      </c>
      <c r="MV124" s="242">
        <f t="shared" si="875"/>
        <v>4149</v>
      </c>
      <c r="MW124" s="56"/>
      <c r="MZ124" s="55">
        <f t="shared" si="876"/>
        <v>46125</v>
      </c>
      <c r="NA124" s="56"/>
      <c r="NB124" s="242">
        <f>SUMPRODUCT(PRODUCE!$B133:$DY133,PRODUCE!$EB$47:$IY$47)</f>
        <v>90</v>
      </c>
      <c r="NC124" s="56"/>
      <c r="ND124" s="242">
        <f t="shared" si="877"/>
        <v>90</v>
      </c>
      <c r="NE124" s="242">
        <f t="shared" si="878"/>
        <v>0</v>
      </c>
      <c r="NF124" s="56"/>
      <c r="NI124" s="55">
        <f t="shared" si="879"/>
        <v>46125</v>
      </c>
      <c r="NJ124" s="56"/>
      <c r="NK124" s="242">
        <f>SUMPRODUCT(PRODUCE!$B133:$DY133,PRODUCE!$EB$48:$IY$48)</f>
        <v>30</v>
      </c>
      <c r="NL124" s="56"/>
      <c r="NM124" s="242">
        <f t="shared" si="880"/>
        <v>30</v>
      </c>
      <c r="NN124" s="242">
        <f t="shared" si="881"/>
        <v>1523</v>
      </c>
      <c r="NO124" s="56"/>
      <c r="NR124" s="55">
        <f t="shared" si="882"/>
        <v>46125</v>
      </c>
      <c r="NS124" s="56"/>
      <c r="NT124" s="242">
        <f>SUMPRODUCT(PRODUCE!$B133:$DY133,PRODUCE!$EB$49:$IY$49)</f>
        <v>36</v>
      </c>
      <c r="NU124" s="56"/>
      <c r="NV124" s="242">
        <f t="shared" si="883"/>
        <v>36</v>
      </c>
      <c r="NW124" s="242">
        <f t="shared" si="884"/>
        <v>3566.1</v>
      </c>
      <c r="NX124" s="56"/>
      <c r="OA124" s="55">
        <f t="shared" si="885"/>
        <v>46125</v>
      </c>
      <c r="OB124" s="56"/>
      <c r="OC124" s="242">
        <f>SUMPRODUCT(PRODUCE!$B133:$DY133,PRODUCE!$EB$50:$IY$50)</f>
        <v>0</v>
      </c>
      <c r="OD124" s="56"/>
      <c r="OE124" s="242">
        <f t="shared" si="886"/>
        <v>0</v>
      </c>
      <c r="OF124" s="242">
        <f t="shared" si="887"/>
        <v>1680.5</v>
      </c>
      <c r="OG124" s="56"/>
      <c r="OJ124" s="55">
        <f t="shared" si="888"/>
        <v>46125</v>
      </c>
      <c r="OK124" s="56"/>
      <c r="OL124" s="242">
        <f>SUMPRODUCT(PRODUCE!$B133:$DY133,PRODUCE!$EB$51:$IY$51)</f>
        <v>83.999999999999986</v>
      </c>
      <c r="OM124" s="56"/>
      <c r="ON124" s="242">
        <f t="shared" si="889"/>
        <v>83.999999999999986</v>
      </c>
      <c r="OO124" s="242">
        <f t="shared" si="890"/>
        <v>0</v>
      </c>
      <c r="OP124" s="56"/>
      <c r="OS124" s="55">
        <f t="shared" si="891"/>
        <v>46125</v>
      </c>
      <c r="OT124" s="56"/>
      <c r="OU124" s="242">
        <f>SUMPRODUCT(PRODUCE!$B133:$DY133,PRODUCE!$EB$52:$IY$52)</f>
        <v>0</v>
      </c>
      <c r="OV124" s="56"/>
      <c r="OW124" s="242">
        <f t="shared" si="892"/>
        <v>0</v>
      </c>
      <c r="OX124" s="242">
        <f t="shared" si="893"/>
        <v>1000</v>
      </c>
      <c r="OY124" s="56"/>
      <c r="PB124" s="55">
        <f t="shared" si="894"/>
        <v>46125</v>
      </c>
      <c r="PC124" s="56"/>
      <c r="PD124" s="242">
        <f>SUMPRODUCT(PRODUCE!$B133:$DY133,PRODUCE!$EB$53:$IY$53)</f>
        <v>0</v>
      </c>
      <c r="PE124" s="56"/>
      <c r="PF124" s="242">
        <f t="shared" si="895"/>
        <v>0</v>
      </c>
      <c r="PG124" s="242">
        <f t="shared" si="896"/>
        <v>0</v>
      </c>
      <c r="PH124" s="56"/>
      <c r="PK124" s="55">
        <f t="shared" si="897"/>
        <v>46125</v>
      </c>
      <c r="PL124" s="56"/>
      <c r="PM124" s="242">
        <f>SUMPRODUCT(PRODUCE!$B133:$DY133,PRODUCE!$EB$54:$IY$54)</f>
        <v>0</v>
      </c>
      <c r="PN124" s="56"/>
      <c r="PO124" s="242">
        <f t="shared" si="898"/>
        <v>0</v>
      </c>
      <c r="PP124" s="242">
        <f t="shared" si="899"/>
        <v>100</v>
      </c>
      <c r="PQ124" s="56"/>
      <c r="PT124" s="55">
        <f t="shared" si="900"/>
        <v>46125</v>
      </c>
      <c r="PU124" s="56"/>
      <c r="PV124" s="242">
        <f>SUMPRODUCT(PRODUCE!$B133:$DY133,PRODUCE!$EB$55:$IY$55)</f>
        <v>0</v>
      </c>
      <c r="PW124" s="56"/>
      <c r="PX124" s="242">
        <f t="shared" si="901"/>
        <v>0</v>
      </c>
      <c r="PY124" s="242">
        <f t="shared" si="902"/>
        <v>13.960000000000036</v>
      </c>
      <c r="PZ124" s="56"/>
      <c r="QC124" s="55">
        <f t="shared" si="903"/>
        <v>46125</v>
      </c>
      <c r="QD124" s="56"/>
      <c r="QE124" s="242">
        <f>SUMPRODUCT(PRODUCE!$B133:$DY133,PRODUCE!$EB$56:$IY$56)</f>
        <v>0</v>
      </c>
      <c r="QF124" s="56"/>
      <c r="QG124" s="242">
        <f t="shared" si="904"/>
        <v>0</v>
      </c>
      <c r="QH124" s="242">
        <f t="shared" si="905"/>
        <v>1212</v>
      </c>
      <c r="QI124" s="56"/>
      <c r="QL124" s="55">
        <f t="shared" si="906"/>
        <v>46125</v>
      </c>
      <c r="QM124" s="56"/>
      <c r="QN124" s="242">
        <f>SUMPRODUCT(PRODUCE!$B133:$DY133,PRODUCE!$EB$57:$IY$57)</f>
        <v>0</v>
      </c>
      <c r="QO124" s="56"/>
      <c r="QP124" s="242">
        <f t="shared" si="907"/>
        <v>0</v>
      </c>
      <c r="QQ124" s="242">
        <f t="shared" si="908"/>
        <v>400</v>
      </c>
      <c r="QR124" s="56"/>
      <c r="QU124" s="55">
        <f t="shared" si="909"/>
        <v>46125</v>
      </c>
      <c r="QV124" s="56"/>
      <c r="QW124" s="242">
        <f>SUMPRODUCT(PRODUCE!$B133:$DY133,PRODUCE!$EB$57:$IY$57)</f>
        <v>0</v>
      </c>
      <c r="QX124" s="56"/>
      <c r="QY124" s="242">
        <f t="shared" si="910"/>
        <v>0</v>
      </c>
      <c r="QZ124" s="242">
        <f t="shared" si="911"/>
        <v>207.6</v>
      </c>
      <c r="RA124" s="56"/>
      <c r="RD124" s="55">
        <f t="shared" si="912"/>
        <v>46125</v>
      </c>
      <c r="RE124" s="56"/>
      <c r="RF124" s="242">
        <f>SUMPRODUCT(PRODUCE!$B133:$DY133,PRODUCE!$EB$58:$IY$58)</f>
        <v>0</v>
      </c>
      <c r="RG124" s="56">
        <v>50</v>
      </c>
      <c r="RH124" s="242">
        <f t="shared" si="913"/>
        <v>-50</v>
      </c>
      <c r="RI124" s="242">
        <f t="shared" si="914"/>
        <v>147.04000000000002</v>
      </c>
      <c r="RJ124" s="56"/>
      <c r="RM124" s="55">
        <f t="shared" si="915"/>
        <v>46125</v>
      </c>
      <c r="RN124" s="56"/>
      <c r="RO124" s="242">
        <f>SUMPRODUCT(PRODUCE!$B133:$DY133,PRODUCE!$EB$57:$IY$57)</f>
        <v>0</v>
      </c>
      <c r="RP124" s="56"/>
      <c r="RQ124" s="242">
        <f t="shared" si="916"/>
        <v>0</v>
      </c>
      <c r="RR124" s="242">
        <f t="shared" si="917"/>
        <v>46.8</v>
      </c>
      <c r="RS124" s="56"/>
      <c r="RV124" s="55">
        <f t="shared" si="918"/>
        <v>46125</v>
      </c>
      <c r="RW124" s="56"/>
      <c r="RX124" s="242">
        <f>SUMPRODUCT(PRODUCE!$B133:$DY133,PRODUCE!$EB$57:$IY$57)</f>
        <v>0</v>
      </c>
      <c r="RY124" s="56"/>
      <c r="RZ124" s="242">
        <f t="shared" si="919"/>
        <v>0</v>
      </c>
      <c r="SA124" s="242">
        <f t="shared" si="920"/>
        <v>0</v>
      </c>
      <c r="SB124" s="56"/>
      <c r="SE124" s="55">
        <f t="shared" si="921"/>
        <v>46125</v>
      </c>
      <c r="SF124" s="56"/>
      <c r="SG124" s="242">
        <f>SUMPRODUCT(PRODUCE!$B133:$DY133,PRODUCE!$EB$57:$IY$57)</f>
        <v>0</v>
      </c>
      <c r="SH124" s="56"/>
      <c r="SI124" s="242">
        <f t="shared" si="922"/>
        <v>0</v>
      </c>
      <c r="SJ124" s="242">
        <f t="shared" si="923"/>
        <v>0</v>
      </c>
      <c r="SK124" s="56"/>
      <c r="SN124" s="55">
        <f t="shared" si="924"/>
        <v>46125</v>
      </c>
      <c r="SO124" s="56"/>
      <c r="SP124" s="242">
        <f>SUMPRODUCT(PRODUCE!$B133:$DY133,PRODUCE!$EB$57:$IY$57)</f>
        <v>0</v>
      </c>
      <c r="SQ124" s="56"/>
      <c r="SR124" s="242">
        <f t="shared" si="925"/>
        <v>0</v>
      </c>
      <c r="SS124" s="242">
        <f t="shared" si="926"/>
        <v>0</v>
      </c>
      <c r="ST124" s="56"/>
      <c r="SW124" s="55">
        <f t="shared" si="927"/>
        <v>46125</v>
      </c>
      <c r="SX124" s="56"/>
      <c r="SY124" s="242">
        <f>SUMPRODUCT(PRODUCE!$B133:$DY133,PRODUCE!$EB$57:$IY$57)</f>
        <v>0</v>
      </c>
      <c r="SZ124" s="56"/>
      <c r="TA124" s="242">
        <f t="shared" si="928"/>
        <v>0</v>
      </c>
      <c r="TB124" s="242">
        <f t="shared" si="929"/>
        <v>0</v>
      </c>
      <c r="TC124" s="56"/>
      <c r="TF124" s="55">
        <f t="shared" si="930"/>
        <v>46125</v>
      </c>
      <c r="TG124" s="56"/>
      <c r="TH124" s="242">
        <f>SUMPRODUCT(PRODUCE!$B133:$DY133,PRODUCE!$EB$57:$IY$57)</f>
        <v>0</v>
      </c>
      <c r="TI124" s="56"/>
      <c r="TJ124" s="242">
        <f t="shared" si="931"/>
        <v>0</v>
      </c>
      <c r="TK124" s="242">
        <f t="shared" si="932"/>
        <v>0</v>
      </c>
      <c r="TL124" s="56"/>
      <c r="TO124" s="55">
        <f t="shared" si="933"/>
        <v>46125</v>
      </c>
      <c r="TP124" s="56"/>
      <c r="TQ124" s="242">
        <f>SUMPRODUCT(PRODUCE!$B133:$DY133,PRODUCE!$EB$57:$IY$57)</f>
        <v>0</v>
      </c>
      <c r="TR124" s="56"/>
      <c r="TS124" s="242">
        <f t="shared" si="934"/>
        <v>0</v>
      </c>
      <c r="TT124" s="242">
        <f t="shared" si="935"/>
        <v>0</v>
      </c>
      <c r="TU124" s="56"/>
      <c r="TX124" s="55">
        <f t="shared" si="936"/>
        <v>46125</v>
      </c>
      <c r="TY124" s="56"/>
      <c r="TZ124" s="242">
        <f>SUMPRODUCT(PRODUCE!$B133:$DY133,PRODUCE!$EB$57:$IY$57)</f>
        <v>0</v>
      </c>
      <c r="UA124" s="56"/>
      <c r="UB124" s="242">
        <f t="shared" si="937"/>
        <v>0</v>
      </c>
      <c r="UC124" s="242">
        <f t="shared" si="938"/>
        <v>0</v>
      </c>
      <c r="UD124" s="56"/>
      <c r="UG124" s="55">
        <f t="shared" si="939"/>
        <v>46125</v>
      </c>
      <c r="UH124" s="56"/>
      <c r="UI124" s="242">
        <f>SUMPRODUCT(PRODUCE!$B133:$DY133,PRODUCE!$EB$57:$IY$57)</f>
        <v>0</v>
      </c>
      <c r="UJ124" s="56"/>
      <c r="UK124" s="242">
        <f t="shared" si="940"/>
        <v>0</v>
      </c>
      <c r="UL124" s="242">
        <f t="shared" si="941"/>
        <v>0</v>
      </c>
      <c r="UM124" s="56"/>
      <c r="UP124" s="55">
        <f t="shared" si="942"/>
        <v>46125</v>
      </c>
      <c r="UQ124" s="56"/>
      <c r="UR124" s="242">
        <f>SUMPRODUCT(PRODUCE!$B133:$DY133,PRODUCE!$EB$57:$IY$57)</f>
        <v>0</v>
      </c>
      <c r="US124" s="56"/>
      <c r="UT124" s="242">
        <f t="shared" si="943"/>
        <v>0</v>
      </c>
      <c r="UU124" s="242">
        <f t="shared" si="944"/>
        <v>0</v>
      </c>
      <c r="UV124" s="56"/>
      <c r="UY124" s="55">
        <f t="shared" si="945"/>
        <v>46125</v>
      </c>
      <c r="UZ124" s="56"/>
      <c r="VA124" s="242">
        <f>SUMPRODUCT(PRODUCE!$B133:$DY133,PRODUCE!$EB$57:$IY$57)</f>
        <v>0</v>
      </c>
      <c r="VB124" s="56"/>
      <c r="VC124" s="242">
        <f t="shared" si="946"/>
        <v>0</v>
      </c>
      <c r="VD124" s="242">
        <f t="shared" si="947"/>
        <v>41.600000000000023</v>
      </c>
      <c r="VE124" s="56"/>
      <c r="VH124" s="55">
        <f t="shared" si="948"/>
        <v>46125</v>
      </c>
      <c r="VI124" s="56"/>
      <c r="VJ124" s="242">
        <f>SUMPRODUCT(PRODUCE!$B133:$DY133,PRODUCE!$EB$57:$IY$57)</f>
        <v>0</v>
      </c>
      <c r="VK124" s="56"/>
      <c r="VL124" s="242">
        <f t="shared" si="949"/>
        <v>0</v>
      </c>
      <c r="VM124" s="242">
        <f t="shared" si="950"/>
        <v>0</v>
      </c>
      <c r="VN124" s="56"/>
      <c r="VQ124" s="55">
        <f t="shared" si="951"/>
        <v>46125</v>
      </c>
      <c r="VR124" s="56"/>
      <c r="VS124" s="242">
        <f>SUMPRODUCT(PRODUCE!$B133:$DY133,PRODUCE!$EB$57:$IY$57)</f>
        <v>0</v>
      </c>
      <c r="VT124" s="56"/>
      <c r="VU124" s="242">
        <f t="shared" si="952"/>
        <v>0</v>
      </c>
      <c r="VV124" s="242">
        <f t="shared" si="953"/>
        <v>0</v>
      </c>
      <c r="VW124" s="56"/>
      <c r="VZ124" s="55">
        <f t="shared" si="954"/>
        <v>46125</v>
      </c>
      <c r="WA124" s="56"/>
      <c r="WB124" s="242">
        <f>SUMPRODUCT(PRODUCE!$B133:$DY133,PRODUCE!$EB$57:$IY$57)</f>
        <v>0</v>
      </c>
      <c r="WC124" s="56"/>
      <c r="WD124" s="242">
        <f t="shared" si="955"/>
        <v>0</v>
      </c>
      <c r="WE124" s="242">
        <f t="shared" si="956"/>
        <v>0</v>
      </c>
      <c r="WF124" s="56"/>
      <c r="WI124" s="55">
        <f t="shared" si="957"/>
        <v>46125</v>
      </c>
      <c r="WJ124" s="56"/>
      <c r="WK124" s="242">
        <f>SUMPRODUCT(PRODUCE!$B133:$DY133,PRODUCE!$EB$57:$IY$57)</f>
        <v>0</v>
      </c>
      <c r="WL124" s="56"/>
      <c r="WM124" s="242">
        <f t="shared" si="958"/>
        <v>0</v>
      </c>
      <c r="WN124" s="242">
        <f t="shared" si="959"/>
        <v>2317</v>
      </c>
      <c r="WO124" s="56"/>
      <c r="WR124" s="55">
        <f t="shared" si="960"/>
        <v>46125</v>
      </c>
      <c r="WS124" s="56"/>
      <c r="WT124" s="242">
        <f>SUMPRODUCT(PRODUCE!$B133:$DY133,PRODUCE!$EB$57:$IY$57)</f>
        <v>0</v>
      </c>
      <c r="WU124" s="56"/>
      <c r="WV124" s="242">
        <f t="shared" si="961"/>
        <v>0</v>
      </c>
      <c r="WW124" s="242">
        <f t="shared" si="962"/>
        <v>6980</v>
      </c>
      <c r="WX124" s="56"/>
      <c r="XA124" s="55">
        <f t="shared" si="963"/>
        <v>46125</v>
      </c>
      <c r="XB124" s="56"/>
      <c r="XC124" s="242">
        <f>SUMPRODUCT(PRODUCE!$B133:$DY133,PRODUCE!$EB$57:$IY$57)</f>
        <v>0</v>
      </c>
      <c r="XD124" s="56"/>
      <c r="XE124" s="242">
        <f t="shared" si="964"/>
        <v>0</v>
      </c>
      <c r="XF124" s="242">
        <f t="shared" si="965"/>
        <v>14868</v>
      </c>
      <c r="XG124" s="56"/>
      <c r="XJ124" s="55">
        <f t="shared" si="966"/>
        <v>46125</v>
      </c>
      <c r="XK124" s="56"/>
      <c r="XL124" s="242">
        <f>SUMPRODUCT(PRODUCE!$B133:$DY133,PRODUCE!$EB$57:$IY$57)</f>
        <v>0</v>
      </c>
      <c r="XM124" s="56"/>
      <c r="XN124" s="242">
        <f t="shared" si="967"/>
        <v>0</v>
      </c>
      <c r="XO124" s="242">
        <f t="shared" si="968"/>
        <v>5447</v>
      </c>
      <c r="XP124" s="56"/>
      <c r="XS124" s="55">
        <f t="shared" si="969"/>
        <v>46125</v>
      </c>
      <c r="XT124" s="56"/>
      <c r="XU124" s="242">
        <f>SUMPRODUCT(PRODUCE!$B133:$DY133,PRODUCE!$EB$57:$IY$57)</f>
        <v>0</v>
      </c>
      <c r="XV124" s="56"/>
      <c r="XW124" s="242">
        <f t="shared" si="970"/>
        <v>0</v>
      </c>
      <c r="XX124" s="242">
        <f t="shared" si="971"/>
        <v>1901</v>
      </c>
      <c r="XY124" s="56"/>
      <c r="YB124" s="55">
        <f t="shared" si="972"/>
        <v>46125</v>
      </c>
      <c r="YC124" s="56"/>
      <c r="YD124" s="242">
        <f>SUMPRODUCT(PRODUCE!$B133:$DY133,PRODUCE!$EB$57:$IY$57)</f>
        <v>0</v>
      </c>
      <c r="YE124" s="56"/>
      <c r="YF124" s="242">
        <f t="shared" si="973"/>
        <v>0</v>
      </c>
      <c r="YG124" s="242">
        <f t="shared" si="974"/>
        <v>6459</v>
      </c>
      <c r="YH124" s="56"/>
      <c r="YK124" s="55">
        <f t="shared" si="975"/>
        <v>46125</v>
      </c>
      <c r="YL124" s="56"/>
      <c r="YM124" s="242">
        <f>SUMPRODUCT(PRODUCE!$B133:$DY133,PRODUCE!$EB$57:$IY$57)</f>
        <v>0</v>
      </c>
      <c r="YN124" s="56"/>
      <c r="YO124" s="242">
        <f t="shared" si="976"/>
        <v>0</v>
      </c>
      <c r="YP124" s="242">
        <f t="shared" si="977"/>
        <v>0</v>
      </c>
      <c r="YQ124" s="56"/>
      <c r="YT124" s="55">
        <f t="shared" si="978"/>
        <v>46125</v>
      </c>
      <c r="YU124" s="56"/>
      <c r="YV124" s="242">
        <f>SUMPRODUCT(PRODUCE!$B133:$DY133,PRODUCE!$EB$57:$IY$57)</f>
        <v>0</v>
      </c>
      <c r="YW124" s="56"/>
      <c r="YX124" s="242">
        <f t="shared" si="979"/>
        <v>0</v>
      </c>
      <c r="YY124" s="242">
        <f t="shared" si="980"/>
        <v>0</v>
      </c>
      <c r="YZ124" s="56"/>
      <c r="ZC124" s="55">
        <f t="shared" si="981"/>
        <v>46125</v>
      </c>
      <c r="ZD124" s="56"/>
      <c r="ZE124" s="242">
        <f>SUMPRODUCT(PRODUCE!$B133:$DY133,PRODUCE!$EB$57:$IY$57)</f>
        <v>0</v>
      </c>
      <c r="ZF124" s="56"/>
      <c r="ZG124" s="242">
        <f t="shared" si="982"/>
        <v>0</v>
      </c>
      <c r="ZH124" s="242">
        <f t="shared" si="983"/>
        <v>0</v>
      </c>
      <c r="ZI124" s="56"/>
      <c r="ZL124" s="55">
        <f t="shared" si="984"/>
        <v>46125</v>
      </c>
      <c r="ZM124" s="56"/>
      <c r="ZN124" s="242">
        <f>SUMPRODUCT(PRODUCE!$B133:$DY133,PRODUCE!$EB$57:$IY$57)</f>
        <v>0</v>
      </c>
      <c r="ZO124" s="56"/>
      <c r="ZP124" s="242">
        <f t="shared" si="985"/>
        <v>0</v>
      </c>
      <c r="ZQ124" s="242">
        <f t="shared" si="986"/>
        <v>0</v>
      </c>
      <c r="ZR124" s="56"/>
      <c r="ZU124" s="55">
        <f t="shared" si="987"/>
        <v>46125</v>
      </c>
      <c r="ZV124" s="56"/>
      <c r="ZW124" s="242">
        <f>SUMPRODUCT(PRODUCE!$B133:$DY133,PRODUCE!$EB$57:$IY$57)</f>
        <v>0</v>
      </c>
      <c r="ZX124" s="56"/>
      <c r="ZY124" s="242">
        <f t="shared" si="988"/>
        <v>0</v>
      </c>
      <c r="ZZ124" s="242">
        <f t="shared" si="989"/>
        <v>0</v>
      </c>
      <c r="AAA124" s="56"/>
      <c r="AAD124" s="55">
        <f t="shared" si="990"/>
        <v>46125</v>
      </c>
      <c r="AAE124" s="56"/>
      <c r="AAF124" s="242">
        <f>SUMPRODUCT(PRODUCE!$B133:$DY133,PRODUCE!$EB$57:$IY$57)</f>
        <v>0</v>
      </c>
      <c r="AAG124" s="56"/>
      <c r="AAH124" s="242">
        <f t="shared" si="991"/>
        <v>0</v>
      </c>
      <c r="AAI124" s="242">
        <f t="shared" si="992"/>
        <v>0</v>
      </c>
      <c r="AAJ124" s="56"/>
      <c r="AAM124" s="55">
        <f t="shared" si="993"/>
        <v>46125</v>
      </c>
      <c r="AAN124" s="56"/>
      <c r="AAO124" s="242">
        <f>SUMPRODUCT(PRODUCE!$B133:$DY133,PRODUCE!$EB$57:$IY$57)</f>
        <v>0</v>
      </c>
      <c r="AAP124" s="56"/>
      <c r="AAQ124" s="242">
        <f t="shared" si="994"/>
        <v>0</v>
      </c>
      <c r="AAR124" s="242">
        <f t="shared" si="995"/>
        <v>0</v>
      </c>
      <c r="AAS124" s="56"/>
      <c r="AAV124" s="55">
        <f t="shared" si="996"/>
        <v>46125</v>
      </c>
      <c r="AAW124" s="56"/>
      <c r="AAX124" s="242">
        <f>SUMPRODUCT(PRODUCE!$B133:$DY133,PRODUCE!$EB$57:$IY$57)</f>
        <v>0</v>
      </c>
      <c r="AAY124" s="56"/>
      <c r="AAZ124" s="242">
        <f t="shared" si="997"/>
        <v>0</v>
      </c>
      <c r="ABA124" s="242">
        <f t="shared" si="998"/>
        <v>0</v>
      </c>
      <c r="ABB124" s="56"/>
      <c r="ABE124" s="55">
        <f t="shared" si="999"/>
        <v>46125</v>
      </c>
      <c r="ABF124" s="56"/>
      <c r="ABG124" s="242">
        <f>SUMPRODUCT(PRODUCE!$B133:$DY133,PRODUCE!$EB$57:$IY$57)</f>
        <v>0</v>
      </c>
      <c r="ABH124" s="56"/>
      <c r="ABI124" s="242">
        <f t="shared" si="1000"/>
        <v>0</v>
      </c>
      <c r="ABJ124" s="242">
        <f t="shared" si="1001"/>
        <v>0</v>
      </c>
      <c r="ABK124" s="56"/>
    </row>
    <row r="125" spans="2:739" s="54" customFormat="1" ht="15" customHeight="1" outlineLevel="1">
      <c r="B125" s="478">
        <f>30+100</f>
        <v>130</v>
      </c>
      <c r="C125" s="55">
        <v>46126</v>
      </c>
      <c r="D125" s="422"/>
      <c r="E125" s="423">
        <f>SUMPRODUCT(PRODUCE!$B134:$DY134,PRODUCE!$EB$7:$IY$7)</f>
        <v>65806.95</v>
      </c>
      <c r="F125" s="422">
        <v>65810.600000000006</v>
      </c>
      <c r="G125" s="423">
        <f t="shared" si="1002"/>
        <v>-3.6500000000087311</v>
      </c>
      <c r="H125" s="423">
        <f t="shared" si="1003"/>
        <v>123872.59999999998</v>
      </c>
      <c r="I125" s="289" t="s">
        <v>244</v>
      </c>
      <c r="L125" s="55">
        <f t="shared" si="759"/>
        <v>46126</v>
      </c>
      <c r="M125" s="422"/>
      <c r="N125" s="438">
        <f>SUMPRODUCT(PRODUCE!$B134:$DY134,PRODUCE!$EB$8:$IY$8)</f>
        <v>27470.05</v>
      </c>
      <c r="O125" s="422">
        <v>27468.6</v>
      </c>
      <c r="P125" s="438">
        <f t="shared" si="760"/>
        <v>1.4500000000007276</v>
      </c>
      <c r="Q125" s="438">
        <f t="shared" si="761"/>
        <v>67797.200000000099</v>
      </c>
      <c r="R125" s="56"/>
      <c r="U125" s="55">
        <f t="shared" si="762"/>
        <v>46126</v>
      </c>
      <c r="V125" s="422"/>
      <c r="W125" s="440">
        <f>SUMPRODUCT(PRODUCE!$B134:$DY134,PRODUCE!$EB$9:$IY$9)</f>
        <v>10349.949999999999</v>
      </c>
      <c r="X125" s="422">
        <v>10345.700000000001</v>
      </c>
      <c r="Y125" s="440">
        <f t="shared" si="763"/>
        <v>4.249999999998181</v>
      </c>
      <c r="Z125" s="440">
        <f t="shared" si="764"/>
        <v>27977.79999999997</v>
      </c>
      <c r="AA125" s="56"/>
      <c r="AD125" s="55">
        <f t="shared" si="765"/>
        <v>46126</v>
      </c>
      <c r="AE125" s="422"/>
      <c r="AF125" s="442">
        <f>SUMPRODUCT(PRODUCE!$B134:$DY134,PRODUCE!$EB$10:$IY$10)</f>
        <v>1660.0000000000002</v>
      </c>
      <c r="AG125" s="422">
        <v>1662.2</v>
      </c>
      <c r="AH125" s="442">
        <f t="shared" si="766"/>
        <v>-2.1999999999998181</v>
      </c>
      <c r="AI125" s="442">
        <f t="shared" si="767"/>
        <v>41488.800000000017</v>
      </c>
      <c r="AJ125" s="56"/>
      <c r="AM125" s="55">
        <f t="shared" si="768"/>
        <v>46126</v>
      </c>
      <c r="AN125" s="422"/>
      <c r="AO125" s="444">
        <f>SUMPRODUCT(PRODUCE!$B134:$DY134,PRODUCE!$EB$11:$IY$11)</f>
        <v>0</v>
      </c>
      <c r="AP125" s="422"/>
      <c r="AQ125" s="444">
        <f t="shared" si="769"/>
        <v>0</v>
      </c>
      <c r="AR125" s="444">
        <f t="shared" si="770"/>
        <v>0</v>
      </c>
      <c r="AS125" s="56"/>
      <c r="AV125" s="55">
        <f t="shared" si="771"/>
        <v>46126</v>
      </c>
      <c r="AW125" s="422"/>
      <c r="AX125" s="446">
        <f>SUMPRODUCT(PRODUCE!$B134:$DY134,PRODUCE!$EB$12:$IY$12)</f>
        <v>750</v>
      </c>
      <c r="AY125" s="422">
        <v>751.4</v>
      </c>
      <c r="AZ125" s="446">
        <f t="shared" si="772"/>
        <v>-1.3999999999999773</v>
      </c>
      <c r="BA125" s="446">
        <f t="shared" si="773"/>
        <v>12866.299999999992</v>
      </c>
      <c r="BB125" s="56"/>
      <c r="BE125" s="55">
        <f t="shared" si="774"/>
        <v>46126</v>
      </c>
      <c r="BF125" s="422"/>
      <c r="BG125" s="448">
        <f>SUMPRODUCT(PRODUCE!$B134:$DY134,PRODUCE!$EB$13:$IY$13)</f>
        <v>5220</v>
      </c>
      <c r="BH125" s="422">
        <v>5219.8999999999996</v>
      </c>
      <c r="BI125" s="448">
        <f t="shared" si="775"/>
        <v>0.1000000000003638</v>
      </c>
      <c r="BJ125" s="448">
        <f t="shared" si="776"/>
        <v>7503.1000000000022</v>
      </c>
      <c r="BK125" s="56"/>
      <c r="BN125" s="55">
        <f t="shared" si="777"/>
        <v>46126</v>
      </c>
      <c r="BO125" s="422">
        <v>2439.3000000000002</v>
      </c>
      <c r="BP125" s="450">
        <f>SUMPRODUCT(PRODUCE!$B134:$DY134,PRODUCE!$EB$14:$IY$14)</f>
        <v>2439.9499999999998</v>
      </c>
      <c r="BQ125" s="422">
        <v>2439.3000000000002</v>
      </c>
      <c r="BR125" s="450">
        <f t="shared" si="778"/>
        <v>0.6499999999996362</v>
      </c>
      <c r="BS125" s="450">
        <f t="shared" si="779"/>
        <v>0</v>
      </c>
      <c r="BT125" s="56"/>
      <c r="BW125" s="55">
        <f t="shared" si="780"/>
        <v>46126</v>
      </c>
      <c r="BX125" s="56"/>
      <c r="BY125" s="65">
        <f>SUMPRODUCT(PRODUCE!$B134:$DY134,PRODUCE!$EB$15:$IY$15)</f>
        <v>785</v>
      </c>
      <c r="BZ125" s="56"/>
      <c r="CA125" s="65">
        <f t="shared" si="781"/>
        <v>785</v>
      </c>
      <c r="CB125" s="65">
        <f t="shared" si="782"/>
        <v>8228.7999999999993</v>
      </c>
      <c r="CC125" s="56"/>
      <c r="CF125" s="55">
        <f t="shared" si="783"/>
        <v>46126</v>
      </c>
      <c r="CG125" s="56"/>
      <c r="CH125" s="66">
        <f>SUMPRODUCT(PRODUCE!$B134:$DY134,PRODUCE!$EB$16:$IY$16)</f>
        <v>1210</v>
      </c>
      <c r="CI125" s="56"/>
      <c r="CJ125" s="66">
        <f t="shared" si="784"/>
        <v>1210</v>
      </c>
      <c r="CK125" s="66">
        <f t="shared" si="785"/>
        <v>0</v>
      </c>
      <c r="CL125" s="56"/>
      <c r="CO125" s="55">
        <f t="shared" si="786"/>
        <v>46126</v>
      </c>
      <c r="CP125" s="422"/>
      <c r="CQ125" s="470">
        <f>SUMPRODUCT(PRODUCE!$B134:$DY134,PRODUCE!$EB$17:$IY$17)</f>
        <v>0</v>
      </c>
      <c r="CR125" s="422"/>
      <c r="CS125" s="470">
        <f t="shared" si="787"/>
        <v>0</v>
      </c>
      <c r="CT125" s="470">
        <f t="shared" si="788"/>
        <v>0</v>
      </c>
      <c r="CU125" s="56"/>
      <c r="CX125" s="55">
        <f t="shared" si="789"/>
        <v>46126</v>
      </c>
      <c r="CY125" s="56"/>
      <c r="CZ125" s="133">
        <f>SUMPRODUCT(PRODUCE!$B134:$DY134,PRODUCE!$EB$18:$IY$18)</f>
        <v>6000.05</v>
      </c>
      <c r="DA125" s="56">
        <v>6006.3</v>
      </c>
      <c r="DB125" s="133">
        <f t="shared" si="790"/>
        <v>-6.25</v>
      </c>
      <c r="DC125" s="133">
        <f t="shared" si="791"/>
        <v>19351.900000000005</v>
      </c>
      <c r="DD125" s="56"/>
      <c r="DG125" s="55">
        <f t="shared" si="792"/>
        <v>46126</v>
      </c>
      <c r="DH125" s="56"/>
      <c r="DI125" s="147">
        <f>SUMPRODUCT(PRODUCE!$B134:$DY134,PRODUCE!$EB$19:$IY$19)</f>
        <v>4000</v>
      </c>
      <c r="DJ125" s="56">
        <v>3999.6</v>
      </c>
      <c r="DK125" s="147">
        <f t="shared" si="793"/>
        <v>0.40000000000009095</v>
      </c>
      <c r="DL125" s="147">
        <f t="shared" si="794"/>
        <v>19341.599999999991</v>
      </c>
      <c r="DM125" s="56"/>
      <c r="DP125" s="55">
        <f t="shared" si="795"/>
        <v>46126</v>
      </c>
      <c r="DQ125" s="56"/>
      <c r="DR125" s="57">
        <f>SUMPRODUCT(PRODUCE!$B134:$DY134,PRODUCE!$EB$20:$IY$20)</f>
        <v>750</v>
      </c>
      <c r="DS125" s="56">
        <v>750</v>
      </c>
      <c r="DT125" s="57">
        <f t="shared" si="796"/>
        <v>0</v>
      </c>
      <c r="DU125" s="57">
        <f t="shared" si="797"/>
        <v>6300</v>
      </c>
      <c r="DV125" s="56"/>
      <c r="DY125" s="55">
        <f t="shared" si="798"/>
        <v>46126</v>
      </c>
      <c r="DZ125" s="56"/>
      <c r="EA125" s="157">
        <f>SUMPRODUCT(PRODUCE!$B134:$DY134,PRODUCE!$EB$21:$IY$21)</f>
        <v>0</v>
      </c>
      <c r="EB125" s="56"/>
      <c r="EC125" s="157">
        <f t="shared" si="799"/>
        <v>0</v>
      </c>
      <c r="ED125" s="157">
        <f t="shared" si="800"/>
        <v>147.30000000000018</v>
      </c>
      <c r="EE125" s="56"/>
      <c r="EH125" s="55">
        <f t="shared" si="801"/>
        <v>46126</v>
      </c>
      <c r="EI125" s="56"/>
      <c r="EJ125" s="162">
        <f>SUMPRODUCT(PRODUCE!$B134:$DY134,PRODUCE!$EB$22:$IY$22)</f>
        <v>0</v>
      </c>
      <c r="EK125" s="56"/>
      <c r="EL125" s="162">
        <f t="shared" si="802"/>
        <v>0</v>
      </c>
      <c r="EM125" s="162">
        <f t="shared" si="803"/>
        <v>0</v>
      </c>
      <c r="EN125" s="56"/>
      <c r="EQ125" s="55">
        <f t="shared" si="804"/>
        <v>46126</v>
      </c>
      <c r="ER125" s="56"/>
      <c r="ES125" s="135">
        <f>SUMPRODUCT(PRODUCE!$B134:$DY134,PRODUCE!$EB$23:$IY$23)</f>
        <v>0</v>
      </c>
      <c r="ET125" s="56"/>
      <c r="EU125" s="135">
        <f t="shared" si="805"/>
        <v>0</v>
      </c>
      <c r="EV125" s="135">
        <f t="shared" si="806"/>
        <v>0</v>
      </c>
      <c r="EW125" s="56"/>
      <c r="EZ125" s="55">
        <f t="shared" si="807"/>
        <v>46126</v>
      </c>
      <c r="FA125" s="56"/>
      <c r="FB125" s="175">
        <f>SUMPRODUCT(PRODUCE!$B134:$DY134,PRODUCE!$EB$24:$IY$24)</f>
        <v>0</v>
      </c>
      <c r="FC125" s="56"/>
      <c r="FD125" s="175">
        <f t="shared" si="808"/>
        <v>0</v>
      </c>
      <c r="FE125" s="175">
        <f t="shared" si="809"/>
        <v>0</v>
      </c>
      <c r="FF125" s="56"/>
      <c r="FI125" s="55">
        <f t="shared" si="810"/>
        <v>46126</v>
      </c>
      <c r="FJ125" s="56"/>
      <c r="FK125" s="183">
        <f>SUMPRODUCT(PRODUCE!$B134:$DY134,PRODUCE!$EB$25:$IY$25)</f>
        <v>0</v>
      </c>
      <c r="FL125" s="56"/>
      <c r="FM125" s="183">
        <f t="shared" si="811"/>
        <v>0</v>
      </c>
      <c r="FN125" s="183">
        <f t="shared" si="812"/>
        <v>0</v>
      </c>
      <c r="FO125" s="56"/>
      <c r="FR125" s="55">
        <f t="shared" si="813"/>
        <v>46126</v>
      </c>
      <c r="FS125" s="422">
        <f>99*20</f>
        <v>1980</v>
      </c>
      <c r="FT125" s="452">
        <f>SUMPRODUCT(PRODUCE!$B134:$DY134,PRODUCE!$EB$26:$IY$26)</f>
        <v>0</v>
      </c>
      <c r="FU125" s="422"/>
      <c r="FV125" s="452">
        <f t="shared" si="814"/>
        <v>0</v>
      </c>
      <c r="FW125" s="452">
        <f t="shared" si="815"/>
        <v>2120</v>
      </c>
      <c r="FX125" s="56"/>
      <c r="GA125" s="55">
        <f t="shared" si="816"/>
        <v>46126</v>
      </c>
      <c r="GB125" s="422"/>
      <c r="GC125" s="454">
        <f>SUMPRODUCT(PRODUCE!$B134:$DY134,PRODUCE!$EB$27:$IY$27)</f>
        <v>0</v>
      </c>
      <c r="GD125" s="422"/>
      <c r="GE125" s="454">
        <f t="shared" si="817"/>
        <v>0</v>
      </c>
      <c r="GF125" s="454">
        <f t="shared" si="818"/>
        <v>6000</v>
      </c>
      <c r="GG125" s="56"/>
      <c r="GI125" s="23"/>
      <c r="GJ125" s="55">
        <f t="shared" si="819"/>
        <v>46126</v>
      </c>
      <c r="GK125" s="422"/>
      <c r="GL125" s="456">
        <f>SUMPRODUCT(PRODUCE!$B134:$DY134,PRODUCE!$EB$28:$IY$28)</f>
        <v>0</v>
      </c>
      <c r="GM125" s="422"/>
      <c r="GN125" s="456">
        <f t="shared" si="820"/>
        <v>0</v>
      </c>
      <c r="GO125" s="456">
        <f t="shared" si="821"/>
        <v>4800</v>
      </c>
      <c r="GP125" s="56"/>
      <c r="GS125" s="55">
        <f t="shared" si="822"/>
        <v>46126</v>
      </c>
      <c r="GT125" s="56"/>
      <c r="GU125" s="195">
        <f>SUMPRODUCT(PRODUCE!$B134:$DY134,PRODUCE!$EB$29:$IY$29)</f>
        <v>0</v>
      </c>
      <c r="GV125" s="56"/>
      <c r="GW125" s="195">
        <f t="shared" si="823"/>
        <v>0</v>
      </c>
      <c r="GX125" s="195">
        <f t="shared" si="824"/>
        <v>0</v>
      </c>
      <c r="GY125" s="56"/>
      <c r="HB125" s="55">
        <f t="shared" si="825"/>
        <v>46126</v>
      </c>
      <c r="HC125" s="56"/>
      <c r="HD125" s="191">
        <f>SUMPRODUCT(PRODUCE!$B134:$DY134,PRODUCE!$EB$30:$IY$30)</f>
        <v>0</v>
      </c>
      <c r="HE125" s="56"/>
      <c r="HF125" s="191">
        <f t="shared" si="826"/>
        <v>0</v>
      </c>
      <c r="HG125" s="191">
        <f t="shared" si="827"/>
        <v>0</v>
      </c>
      <c r="HH125" s="56"/>
      <c r="HK125" s="55">
        <f t="shared" si="828"/>
        <v>46126</v>
      </c>
      <c r="HL125" s="56"/>
      <c r="HM125" s="63">
        <f>SUMPRODUCT(PRODUCE!$B134:$DY134,PRODUCE!$EB$31:$IY$31)</f>
        <v>0</v>
      </c>
      <c r="HN125" s="56"/>
      <c r="HO125" s="63">
        <f t="shared" si="829"/>
        <v>0</v>
      </c>
      <c r="HP125" s="63">
        <f t="shared" si="830"/>
        <v>0</v>
      </c>
      <c r="HQ125" s="56"/>
      <c r="HU125" s="55">
        <f t="shared" si="831"/>
        <v>46126</v>
      </c>
      <c r="HV125" s="56"/>
      <c r="HW125" s="242">
        <f>SUMPRODUCT(PRODUCE!$B134:$DY134,PRODUCE!$EB$32:$IY$32)</f>
        <v>0</v>
      </c>
      <c r="HX125" s="56"/>
      <c r="HY125" s="242">
        <f t="shared" si="832"/>
        <v>0</v>
      </c>
      <c r="HZ125" s="242">
        <f t="shared" si="833"/>
        <v>5120</v>
      </c>
      <c r="IA125" s="56"/>
      <c r="ID125" s="55">
        <f t="shared" si="834"/>
        <v>46126</v>
      </c>
      <c r="IE125" s="56"/>
      <c r="IF125" s="242">
        <f>SUMPRODUCT(PRODUCE!$B134:$DY134,PRODUCE!$EB$33:$IY$33)</f>
        <v>0</v>
      </c>
      <c r="IG125" s="56"/>
      <c r="IH125" s="242">
        <f t="shared" si="835"/>
        <v>0</v>
      </c>
      <c r="II125" s="242">
        <f t="shared" si="836"/>
        <v>6540</v>
      </c>
      <c r="IJ125" s="56"/>
      <c r="IM125" s="55">
        <f t="shared" si="837"/>
        <v>46126</v>
      </c>
      <c r="IN125" s="56"/>
      <c r="IO125" s="242">
        <f>SUMPRODUCT(PRODUCE!$B134:$DY134,PRODUCE!$EB$34:$IY$34)</f>
        <v>0</v>
      </c>
      <c r="IP125" s="56"/>
      <c r="IQ125" s="242">
        <f t="shared" si="838"/>
        <v>0</v>
      </c>
      <c r="IR125" s="242">
        <f t="shared" si="839"/>
        <v>11540</v>
      </c>
      <c r="IS125" s="56"/>
      <c r="IV125" s="55">
        <f t="shared" si="840"/>
        <v>46126</v>
      </c>
      <c r="IW125" s="56"/>
      <c r="IX125" s="242">
        <f>SUMPRODUCT(PRODUCE!$B134:$DY134,PRODUCE!$EB$35:$IY$35)</f>
        <v>0</v>
      </c>
      <c r="IY125" s="56"/>
      <c r="IZ125" s="242">
        <f t="shared" si="841"/>
        <v>0</v>
      </c>
      <c r="JA125" s="242">
        <f t="shared" si="842"/>
        <v>15120</v>
      </c>
      <c r="JB125" s="56"/>
      <c r="JE125" s="55">
        <f t="shared" si="843"/>
        <v>46126</v>
      </c>
      <c r="JF125" s="56"/>
      <c r="JG125" s="242">
        <f>SUMPRODUCT(PRODUCE!$B134:$DY134,PRODUCE!$EB$36:$IY$36)</f>
        <v>0</v>
      </c>
      <c r="JH125" s="56"/>
      <c r="JI125" s="242">
        <f t="shared" si="844"/>
        <v>0</v>
      </c>
      <c r="JJ125" s="242">
        <f t="shared" si="845"/>
        <v>5040</v>
      </c>
      <c r="JK125" s="56"/>
      <c r="JN125" s="55">
        <f t="shared" si="846"/>
        <v>46126</v>
      </c>
      <c r="JO125" s="56"/>
      <c r="JP125" s="242">
        <f>SUMPRODUCT(PRODUCE!$B134:$DY134,PRODUCE!$EB$37:$IY$37)</f>
        <v>0</v>
      </c>
      <c r="JQ125" s="56"/>
      <c r="JR125" s="242">
        <f t="shared" si="847"/>
        <v>0</v>
      </c>
      <c r="JS125" s="242">
        <f t="shared" si="848"/>
        <v>9100</v>
      </c>
      <c r="JT125" s="56"/>
      <c r="JW125" s="55">
        <f t="shared" si="849"/>
        <v>46126</v>
      </c>
      <c r="JX125" s="56"/>
      <c r="JY125" s="242">
        <f>SUMPRODUCT(PRODUCE!$B134:$DY134,PRODUCE!$EB$38:$IY$38)</f>
        <v>600</v>
      </c>
      <c r="JZ125" s="56"/>
      <c r="KA125" s="242">
        <f t="shared" si="850"/>
        <v>600</v>
      </c>
      <c r="KB125" s="242">
        <f t="shared" si="851"/>
        <v>2940</v>
      </c>
      <c r="KC125" s="56"/>
      <c r="KF125" s="55">
        <f t="shared" si="852"/>
        <v>46126</v>
      </c>
      <c r="KG125" s="56"/>
      <c r="KH125" s="242">
        <f>SUMPRODUCT(PRODUCE!$B134:$DY134,PRODUCE!$EB$39:$IY$39)</f>
        <v>1950</v>
      </c>
      <c r="KI125" s="56"/>
      <c r="KJ125" s="242">
        <f t="shared" si="853"/>
        <v>1950</v>
      </c>
      <c r="KK125" s="242">
        <f t="shared" si="854"/>
        <v>1579.5</v>
      </c>
      <c r="KL125" s="56"/>
      <c r="KO125" s="55">
        <f t="shared" si="855"/>
        <v>46126</v>
      </c>
      <c r="KP125" s="56"/>
      <c r="KQ125" s="242">
        <f>SUMPRODUCT(PRODUCE!$B134:$DY134,PRODUCE!$EB$40:$IY$40)</f>
        <v>0</v>
      </c>
      <c r="KR125" s="56"/>
      <c r="KS125" s="242">
        <f t="shared" si="856"/>
        <v>0</v>
      </c>
      <c r="KT125" s="242">
        <f t="shared" si="857"/>
        <v>5216.3999999999996</v>
      </c>
      <c r="KU125" s="56"/>
      <c r="KW125" s="518"/>
      <c r="KX125" s="55">
        <f t="shared" si="858"/>
        <v>46126</v>
      </c>
      <c r="KY125" s="56"/>
      <c r="KZ125" s="242">
        <f>SUMPRODUCT(PRODUCE!$B134:$DY134,PRODUCE!$EB$41:$IY$41)</f>
        <v>0</v>
      </c>
      <c r="LA125" s="56"/>
      <c r="LB125" s="242">
        <f t="shared" si="859"/>
        <v>0</v>
      </c>
      <c r="LC125" s="242">
        <f t="shared" si="860"/>
        <v>0</v>
      </c>
      <c r="LD125" s="56"/>
      <c r="LG125" s="55">
        <f t="shared" si="861"/>
        <v>46126</v>
      </c>
      <c r="LH125" s="56"/>
      <c r="LI125" s="242">
        <f>SUMPRODUCT(PRODUCE!$B134:$DY134,PRODUCE!$EB$42:$IY$42)</f>
        <v>0</v>
      </c>
      <c r="LJ125" s="56"/>
      <c r="LK125" s="242">
        <f t="shared" si="862"/>
        <v>0</v>
      </c>
      <c r="LL125" s="242">
        <f t="shared" si="863"/>
        <v>0</v>
      </c>
      <c r="LM125" s="56"/>
      <c r="LP125" s="55">
        <f t="shared" si="864"/>
        <v>46126</v>
      </c>
      <c r="LQ125" s="56"/>
      <c r="LR125" s="242">
        <f>SUMPRODUCT(PRODUCE!$B140:$DY140,PRODUCE!$EB$43:$IY$43)</f>
        <v>0</v>
      </c>
      <c r="LS125" s="56"/>
      <c r="LT125" s="242">
        <f t="shared" si="865"/>
        <v>0</v>
      </c>
      <c r="LU125" s="242">
        <f t="shared" si="866"/>
        <v>0</v>
      </c>
      <c r="LV125" s="56"/>
      <c r="LY125" s="55">
        <f t="shared" si="867"/>
        <v>46126</v>
      </c>
      <c r="LZ125" s="56"/>
      <c r="MA125" s="242">
        <f>SUMPRODUCT(PRODUCE!$B134:$DY134,PRODUCE!$EB$44:$IY$44)</f>
        <v>0</v>
      </c>
      <c r="MB125" s="56"/>
      <c r="MC125" s="242">
        <f t="shared" si="868"/>
        <v>0</v>
      </c>
      <c r="MD125" s="242">
        <f t="shared" si="869"/>
        <v>0</v>
      </c>
      <c r="ME125" s="56"/>
      <c r="MH125" s="55">
        <f t="shared" si="870"/>
        <v>46126</v>
      </c>
      <c r="MI125" s="56"/>
      <c r="MJ125" s="242">
        <f>SUMPRODUCT(PRODUCE!$B134:$DY134,PRODUCE!$EB$45:$IY$45)</f>
        <v>0</v>
      </c>
      <c r="MK125" s="56"/>
      <c r="ML125" s="242">
        <f t="shared" si="871"/>
        <v>0</v>
      </c>
      <c r="MM125" s="242">
        <f t="shared" si="872"/>
        <v>0</v>
      </c>
      <c r="MN125" s="56"/>
      <c r="MQ125" s="55">
        <f t="shared" si="873"/>
        <v>46126</v>
      </c>
      <c r="MR125" s="56"/>
      <c r="MS125" s="242">
        <f>SUMPRODUCT(PRODUCE!$B134:$DY134,PRODUCE!$EB$46:$IY$46)</f>
        <v>0</v>
      </c>
      <c r="MT125" s="56"/>
      <c r="MU125" s="242">
        <f t="shared" si="874"/>
        <v>0</v>
      </c>
      <c r="MV125" s="242">
        <f t="shared" si="875"/>
        <v>4149</v>
      </c>
      <c r="MW125" s="56"/>
      <c r="MZ125" s="55">
        <f t="shared" si="876"/>
        <v>46126</v>
      </c>
      <c r="NA125" s="56"/>
      <c r="NB125" s="242">
        <f>SUMPRODUCT(PRODUCE!$B134:$DY134,PRODUCE!$EB$47:$IY$47)</f>
        <v>390</v>
      </c>
      <c r="NC125" s="56"/>
      <c r="ND125" s="242">
        <f t="shared" si="877"/>
        <v>390</v>
      </c>
      <c r="NE125" s="242">
        <f t="shared" si="878"/>
        <v>0</v>
      </c>
      <c r="NF125" s="56"/>
      <c r="NI125" s="55">
        <f t="shared" si="879"/>
        <v>46126</v>
      </c>
      <c r="NJ125" s="56"/>
      <c r="NK125" s="242">
        <f>SUMPRODUCT(PRODUCE!$B134:$DY134,PRODUCE!$EB$48:$IY$48)</f>
        <v>130</v>
      </c>
      <c r="NL125" s="56"/>
      <c r="NM125" s="242">
        <f t="shared" si="880"/>
        <v>130</v>
      </c>
      <c r="NN125" s="242">
        <f t="shared" si="881"/>
        <v>1523</v>
      </c>
      <c r="NO125" s="56"/>
      <c r="NR125" s="55">
        <f t="shared" si="882"/>
        <v>46126</v>
      </c>
      <c r="NS125" s="56"/>
      <c r="NT125" s="242">
        <f>SUMPRODUCT(PRODUCE!$B134:$DY134,PRODUCE!$EB$49:$IY$49)</f>
        <v>126</v>
      </c>
      <c r="NU125" s="56"/>
      <c r="NV125" s="242">
        <f t="shared" si="883"/>
        <v>126</v>
      </c>
      <c r="NW125" s="242">
        <f t="shared" si="884"/>
        <v>3566.1</v>
      </c>
      <c r="NX125" s="56"/>
      <c r="OA125" s="55">
        <f t="shared" si="885"/>
        <v>46126</v>
      </c>
      <c r="OB125" s="56"/>
      <c r="OC125" s="242">
        <f>SUMPRODUCT(PRODUCE!$B134:$DY134,PRODUCE!$EB$50:$IY$50)</f>
        <v>0</v>
      </c>
      <c r="OD125" s="56"/>
      <c r="OE125" s="242">
        <f t="shared" si="886"/>
        <v>0</v>
      </c>
      <c r="OF125" s="242">
        <f t="shared" si="887"/>
        <v>1680.5</v>
      </c>
      <c r="OG125" s="56"/>
      <c r="OJ125" s="55">
        <f t="shared" si="888"/>
        <v>46126</v>
      </c>
      <c r="OK125" s="56"/>
      <c r="OL125" s="242">
        <f>SUMPRODUCT(PRODUCE!$B134:$DY134,PRODUCE!$EB$51:$IY$51)</f>
        <v>362.04999999999995</v>
      </c>
      <c r="OM125" s="56"/>
      <c r="ON125" s="242">
        <f t="shared" si="889"/>
        <v>362.04999999999995</v>
      </c>
      <c r="OO125" s="242">
        <f t="shared" si="890"/>
        <v>0</v>
      </c>
      <c r="OP125" s="56"/>
      <c r="OS125" s="55">
        <f t="shared" si="891"/>
        <v>46126</v>
      </c>
      <c r="OT125" s="56"/>
      <c r="OU125" s="242">
        <f>SUMPRODUCT(PRODUCE!$B134:$DY134,PRODUCE!$EB$52:$IY$52)</f>
        <v>0</v>
      </c>
      <c r="OV125" s="56"/>
      <c r="OW125" s="242">
        <f t="shared" si="892"/>
        <v>0</v>
      </c>
      <c r="OX125" s="242">
        <f t="shared" si="893"/>
        <v>1000</v>
      </c>
      <c r="OY125" s="56"/>
      <c r="PB125" s="55">
        <f t="shared" si="894"/>
        <v>46126</v>
      </c>
      <c r="PC125" s="56"/>
      <c r="PD125" s="242">
        <f>SUMPRODUCT(PRODUCE!$B134:$DY134,PRODUCE!$EB$53:$IY$53)</f>
        <v>0</v>
      </c>
      <c r="PE125" s="56"/>
      <c r="PF125" s="242">
        <f t="shared" si="895"/>
        <v>0</v>
      </c>
      <c r="PG125" s="242">
        <f t="shared" si="896"/>
        <v>0</v>
      </c>
      <c r="PH125" s="56"/>
      <c r="PK125" s="55">
        <f t="shared" si="897"/>
        <v>46126</v>
      </c>
      <c r="PL125" s="56"/>
      <c r="PM125" s="242">
        <f>SUMPRODUCT(PRODUCE!$B134:$DY134,PRODUCE!$EB$54:$IY$54)</f>
        <v>0</v>
      </c>
      <c r="PN125" s="56"/>
      <c r="PO125" s="242">
        <f t="shared" si="898"/>
        <v>0</v>
      </c>
      <c r="PP125" s="242">
        <f t="shared" si="899"/>
        <v>100</v>
      </c>
      <c r="PQ125" s="56"/>
      <c r="PT125" s="55">
        <f t="shared" si="900"/>
        <v>46126</v>
      </c>
      <c r="PU125" s="56"/>
      <c r="PV125" s="242">
        <f>SUMPRODUCT(PRODUCE!$B134:$DY134,PRODUCE!$EB$55:$IY$55)</f>
        <v>0</v>
      </c>
      <c r="PW125" s="56"/>
      <c r="PX125" s="242">
        <f t="shared" si="901"/>
        <v>0</v>
      </c>
      <c r="PY125" s="242">
        <f t="shared" si="902"/>
        <v>13.960000000000036</v>
      </c>
      <c r="PZ125" s="56"/>
      <c r="QC125" s="55">
        <f t="shared" si="903"/>
        <v>46126</v>
      </c>
      <c r="QD125" s="56"/>
      <c r="QE125" s="242">
        <f>SUMPRODUCT(PRODUCE!$B134:$DY134,PRODUCE!$EB$56:$IY$56)</f>
        <v>0</v>
      </c>
      <c r="QF125" s="56"/>
      <c r="QG125" s="242">
        <f t="shared" si="904"/>
        <v>0</v>
      </c>
      <c r="QH125" s="242">
        <f t="shared" si="905"/>
        <v>1212</v>
      </c>
      <c r="QI125" s="56"/>
      <c r="QL125" s="55">
        <f t="shared" si="906"/>
        <v>46126</v>
      </c>
      <c r="QM125" s="56"/>
      <c r="QN125" s="242">
        <f>SUMPRODUCT(PRODUCE!$B134:$DY134,PRODUCE!$EB$57:$IY$57)</f>
        <v>0</v>
      </c>
      <c r="QO125" s="56"/>
      <c r="QP125" s="242">
        <f t="shared" si="907"/>
        <v>0</v>
      </c>
      <c r="QQ125" s="242">
        <f t="shared" si="908"/>
        <v>400</v>
      </c>
      <c r="QR125" s="56"/>
      <c r="QU125" s="55">
        <f t="shared" si="909"/>
        <v>46126</v>
      </c>
      <c r="QV125" s="56"/>
      <c r="QW125" s="242">
        <f>SUMPRODUCT(PRODUCE!$B134:$DY134,PRODUCE!$EB$57:$IY$57)</f>
        <v>0</v>
      </c>
      <c r="QX125" s="56"/>
      <c r="QY125" s="242">
        <f t="shared" si="910"/>
        <v>0</v>
      </c>
      <c r="QZ125" s="242">
        <f t="shared" si="911"/>
        <v>207.6</v>
      </c>
      <c r="RA125" s="56"/>
      <c r="RD125" s="55">
        <f t="shared" si="912"/>
        <v>46126</v>
      </c>
      <c r="RE125" s="56"/>
      <c r="RF125" s="242">
        <f>SUMPRODUCT(PRODUCE!$B134:$DY134,PRODUCE!$EB$58:$IY$58)</f>
        <v>0</v>
      </c>
      <c r="RG125" s="56"/>
      <c r="RH125" s="242">
        <f t="shared" si="913"/>
        <v>0</v>
      </c>
      <c r="RI125" s="242">
        <f t="shared" si="914"/>
        <v>147.04000000000002</v>
      </c>
      <c r="RJ125" s="56"/>
      <c r="RM125" s="55">
        <f t="shared" si="915"/>
        <v>46126</v>
      </c>
      <c r="RN125" s="56"/>
      <c r="RO125" s="242">
        <f>SUMPRODUCT(PRODUCE!$B134:$DY134,PRODUCE!$EB$57:$IY$57)</f>
        <v>0</v>
      </c>
      <c r="RP125" s="56"/>
      <c r="RQ125" s="242">
        <f t="shared" si="916"/>
        <v>0</v>
      </c>
      <c r="RR125" s="242">
        <f t="shared" si="917"/>
        <v>46.8</v>
      </c>
      <c r="RS125" s="56"/>
      <c r="RV125" s="55">
        <f t="shared" si="918"/>
        <v>46126</v>
      </c>
      <c r="RW125" s="56"/>
      <c r="RX125" s="242">
        <f>SUMPRODUCT(PRODUCE!$B134:$DY134,PRODUCE!$EB$57:$IY$57)</f>
        <v>0</v>
      </c>
      <c r="RY125" s="56"/>
      <c r="RZ125" s="242">
        <f t="shared" si="919"/>
        <v>0</v>
      </c>
      <c r="SA125" s="242">
        <f t="shared" si="920"/>
        <v>0</v>
      </c>
      <c r="SB125" s="56"/>
      <c r="SE125" s="55">
        <f t="shared" si="921"/>
        <v>46126</v>
      </c>
      <c r="SF125" s="56">
        <v>125</v>
      </c>
      <c r="SG125" s="242">
        <f>SUMPRODUCT(PRODUCE!$B134:$DY134,PRODUCE!$EB$57:$IY$57)</f>
        <v>0</v>
      </c>
      <c r="SH125" s="56"/>
      <c r="SI125" s="242">
        <f t="shared" si="922"/>
        <v>0</v>
      </c>
      <c r="SJ125" s="242">
        <f t="shared" si="923"/>
        <v>125</v>
      </c>
      <c r="SK125" s="56"/>
      <c r="SN125" s="55">
        <f t="shared" si="924"/>
        <v>46126</v>
      </c>
      <c r="SO125" s="56">
        <v>200</v>
      </c>
      <c r="SP125" s="242">
        <f>SUMPRODUCT(PRODUCE!$B134:$DY134,PRODUCE!$EB$57:$IY$57)</f>
        <v>0</v>
      </c>
      <c r="SQ125" s="56"/>
      <c r="SR125" s="242">
        <f t="shared" si="925"/>
        <v>0</v>
      </c>
      <c r="SS125" s="242">
        <f t="shared" si="926"/>
        <v>200</v>
      </c>
      <c r="ST125" s="56"/>
      <c r="SW125" s="55">
        <f t="shared" si="927"/>
        <v>46126</v>
      </c>
      <c r="SX125" s="56"/>
      <c r="SY125" s="242">
        <f>SUMPRODUCT(PRODUCE!$B134:$DY134,PRODUCE!$EB$57:$IY$57)</f>
        <v>0</v>
      </c>
      <c r="SZ125" s="56"/>
      <c r="TA125" s="242">
        <f t="shared" si="928"/>
        <v>0</v>
      </c>
      <c r="TB125" s="242">
        <f t="shared" si="929"/>
        <v>0</v>
      </c>
      <c r="TC125" s="56"/>
      <c r="TF125" s="55">
        <f t="shared" si="930"/>
        <v>46126</v>
      </c>
      <c r="TG125" s="56"/>
      <c r="TH125" s="242">
        <f>SUMPRODUCT(PRODUCE!$B134:$DY134,PRODUCE!$EB$57:$IY$57)</f>
        <v>0</v>
      </c>
      <c r="TI125" s="56"/>
      <c r="TJ125" s="242">
        <f t="shared" si="931"/>
        <v>0</v>
      </c>
      <c r="TK125" s="242">
        <f t="shared" si="932"/>
        <v>0</v>
      </c>
      <c r="TL125" s="56"/>
      <c r="TO125" s="55">
        <f t="shared" si="933"/>
        <v>46126</v>
      </c>
      <c r="TP125" s="56"/>
      <c r="TQ125" s="242">
        <f>SUMPRODUCT(PRODUCE!$B134:$DY134,PRODUCE!$EB$57:$IY$57)</f>
        <v>0</v>
      </c>
      <c r="TR125" s="56"/>
      <c r="TS125" s="242">
        <f t="shared" si="934"/>
        <v>0</v>
      </c>
      <c r="TT125" s="242">
        <f t="shared" si="935"/>
        <v>0</v>
      </c>
      <c r="TU125" s="56"/>
      <c r="TX125" s="55">
        <f t="shared" si="936"/>
        <v>46126</v>
      </c>
      <c r="TY125" s="56"/>
      <c r="TZ125" s="242">
        <f>SUMPRODUCT(PRODUCE!$B134:$DY134,PRODUCE!$EB$57:$IY$57)</f>
        <v>0</v>
      </c>
      <c r="UA125" s="56"/>
      <c r="UB125" s="242">
        <f t="shared" si="937"/>
        <v>0</v>
      </c>
      <c r="UC125" s="242">
        <f t="shared" si="938"/>
        <v>0</v>
      </c>
      <c r="UD125" s="56"/>
      <c r="UG125" s="55">
        <f t="shared" si="939"/>
        <v>46126</v>
      </c>
      <c r="UH125" s="56"/>
      <c r="UI125" s="242">
        <f>SUMPRODUCT(PRODUCE!$B134:$DY134,PRODUCE!$EB$57:$IY$57)</f>
        <v>0</v>
      </c>
      <c r="UJ125" s="56"/>
      <c r="UK125" s="242">
        <f t="shared" si="940"/>
        <v>0</v>
      </c>
      <c r="UL125" s="242">
        <f t="shared" si="941"/>
        <v>0</v>
      </c>
      <c r="UM125" s="56"/>
      <c r="UP125" s="55">
        <f t="shared" si="942"/>
        <v>46126</v>
      </c>
      <c r="UQ125" s="56"/>
      <c r="UR125" s="242">
        <f>SUMPRODUCT(PRODUCE!$B134:$DY134,PRODUCE!$EB$57:$IY$57)</f>
        <v>0</v>
      </c>
      <c r="US125" s="56"/>
      <c r="UT125" s="242">
        <f t="shared" si="943"/>
        <v>0</v>
      </c>
      <c r="UU125" s="242">
        <f t="shared" si="944"/>
        <v>0</v>
      </c>
      <c r="UV125" s="56"/>
      <c r="UY125" s="55">
        <f t="shared" si="945"/>
        <v>46126</v>
      </c>
      <c r="UZ125" s="56"/>
      <c r="VA125" s="242">
        <f>SUMPRODUCT(PRODUCE!$B134:$DY134,PRODUCE!$EB$57:$IY$57)</f>
        <v>0</v>
      </c>
      <c r="VB125" s="56"/>
      <c r="VC125" s="242">
        <f t="shared" si="946"/>
        <v>0</v>
      </c>
      <c r="VD125" s="242">
        <f t="shared" si="947"/>
        <v>41.600000000000023</v>
      </c>
      <c r="VE125" s="56"/>
      <c r="VH125" s="55">
        <f t="shared" si="948"/>
        <v>46126</v>
      </c>
      <c r="VI125" s="56"/>
      <c r="VJ125" s="242">
        <f>SUMPRODUCT(PRODUCE!$B134:$DY134,PRODUCE!$EB$57:$IY$57)</f>
        <v>0</v>
      </c>
      <c r="VK125" s="56"/>
      <c r="VL125" s="242">
        <f t="shared" si="949"/>
        <v>0</v>
      </c>
      <c r="VM125" s="242">
        <f t="shared" si="950"/>
        <v>0</v>
      </c>
      <c r="VN125" s="56"/>
      <c r="VQ125" s="55">
        <f t="shared" si="951"/>
        <v>46126</v>
      </c>
      <c r="VR125" s="56"/>
      <c r="VS125" s="242">
        <f>SUMPRODUCT(PRODUCE!$B134:$DY134,PRODUCE!$EB$57:$IY$57)</f>
        <v>0</v>
      </c>
      <c r="VT125" s="56"/>
      <c r="VU125" s="242">
        <f t="shared" si="952"/>
        <v>0</v>
      </c>
      <c r="VV125" s="242">
        <f t="shared" si="953"/>
        <v>0</v>
      </c>
      <c r="VW125" s="56"/>
      <c r="VZ125" s="55">
        <f t="shared" si="954"/>
        <v>46126</v>
      </c>
      <c r="WA125" s="56"/>
      <c r="WB125" s="242">
        <f>SUMPRODUCT(PRODUCE!$B134:$DY134,PRODUCE!$EB$57:$IY$57)</f>
        <v>0</v>
      </c>
      <c r="WC125" s="56"/>
      <c r="WD125" s="242">
        <f t="shared" si="955"/>
        <v>0</v>
      </c>
      <c r="WE125" s="242">
        <f t="shared" si="956"/>
        <v>0</v>
      </c>
      <c r="WF125" s="56"/>
      <c r="WI125" s="55">
        <f t="shared" si="957"/>
        <v>46126</v>
      </c>
      <c r="WJ125" s="56"/>
      <c r="WK125" s="242">
        <f>SUMPRODUCT(PRODUCE!$B134:$DY134,PRODUCE!$EB$57:$IY$57)</f>
        <v>0</v>
      </c>
      <c r="WL125" s="56"/>
      <c r="WM125" s="242">
        <f t="shared" si="958"/>
        <v>0</v>
      </c>
      <c r="WN125" s="242">
        <f t="shared" si="959"/>
        <v>2317</v>
      </c>
      <c r="WO125" s="56"/>
      <c r="WR125" s="55">
        <f t="shared" si="960"/>
        <v>46126</v>
      </c>
      <c r="WS125" s="56"/>
      <c r="WT125" s="242">
        <f>SUMPRODUCT(PRODUCE!$B134:$DY134,PRODUCE!$EB$57:$IY$57)</f>
        <v>0</v>
      </c>
      <c r="WU125" s="56"/>
      <c r="WV125" s="242">
        <f t="shared" si="961"/>
        <v>0</v>
      </c>
      <c r="WW125" s="242">
        <f t="shared" si="962"/>
        <v>6980</v>
      </c>
      <c r="WX125" s="56"/>
      <c r="XA125" s="55">
        <f t="shared" si="963"/>
        <v>46126</v>
      </c>
      <c r="XB125" s="56"/>
      <c r="XC125" s="242">
        <f>SUMPRODUCT(PRODUCE!$B134:$DY134,PRODUCE!$EB$57:$IY$57)</f>
        <v>0</v>
      </c>
      <c r="XD125" s="56"/>
      <c r="XE125" s="242">
        <f t="shared" si="964"/>
        <v>0</v>
      </c>
      <c r="XF125" s="242">
        <f t="shared" si="965"/>
        <v>14868</v>
      </c>
      <c r="XG125" s="56"/>
      <c r="XJ125" s="55">
        <f t="shared" si="966"/>
        <v>46126</v>
      </c>
      <c r="XK125" s="56"/>
      <c r="XL125" s="242">
        <f>SUMPRODUCT(PRODUCE!$B134:$DY134,PRODUCE!$EB$57:$IY$57)</f>
        <v>0</v>
      </c>
      <c r="XM125" s="56">
        <v>615</v>
      </c>
      <c r="XN125" s="242">
        <f t="shared" si="967"/>
        <v>-615</v>
      </c>
      <c r="XO125" s="242">
        <f t="shared" si="968"/>
        <v>4832</v>
      </c>
      <c r="XP125" s="56"/>
      <c r="XS125" s="55">
        <f t="shared" si="969"/>
        <v>46126</v>
      </c>
      <c r="XT125" s="56"/>
      <c r="XU125" s="242">
        <f>SUMPRODUCT(PRODUCE!$B134:$DY134,PRODUCE!$EB$57:$IY$57)</f>
        <v>0</v>
      </c>
      <c r="XV125" s="56"/>
      <c r="XW125" s="242">
        <f t="shared" si="970"/>
        <v>0</v>
      </c>
      <c r="XX125" s="242">
        <f t="shared" si="971"/>
        <v>1901</v>
      </c>
      <c r="XY125" s="56"/>
      <c r="YB125" s="55">
        <f t="shared" si="972"/>
        <v>46126</v>
      </c>
      <c r="YC125" s="56"/>
      <c r="YD125" s="242">
        <f>SUMPRODUCT(PRODUCE!$B134:$DY134,PRODUCE!$EB$57:$IY$57)</f>
        <v>0</v>
      </c>
      <c r="YE125" s="56"/>
      <c r="YF125" s="242">
        <f t="shared" si="973"/>
        <v>0</v>
      </c>
      <c r="YG125" s="242">
        <f t="shared" si="974"/>
        <v>6459</v>
      </c>
      <c r="YH125" s="56"/>
      <c r="YK125" s="55">
        <f t="shared" si="975"/>
        <v>46126</v>
      </c>
      <c r="YL125" s="56"/>
      <c r="YM125" s="242">
        <f>SUMPRODUCT(PRODUCE!$B134:$DY134,PRODUCE!$EB$57:$IY$57)</f>
        <v>0</v>
      </c>
      <c r="YN125" s="56"/>
      <c r="YO125" s="242">
        <f t="shared" si="976"/>
        <v>0</v>
      </c>
      <c r="YP125" s="242">
        <f t="shared" si="977"/>
        <v>0</v>
      </c>
      <c r="YQ125" s="56"/>
      <c r="YT125" s="55">
        <f t="shared" si="978"/>
        <v>46126</v>
      </c>
      <c r="YU125" s="56"/>
      <c r="YV125" s="242">
        <f>SUMPRODUCT(PRODUCE!$B134:$DY134,PRODUCE!$EB$57:$IY$57)</f>
        <v>0</v>
      </c>
      <c r="YW125" s="56"/>
      <c r="YX125" s="242">
        <f t="shared" si="979"/>
        <v>0</v>
      </c>
      <c r="YY125" s="242">
        <f t="shared" si="980"/>
        <v>0</v>
      </c>
      <c r="YZ125" s="56"/>
      <c r="ZC125" s="55">
        <f t="shared" si="981"/>
        <v>46126</v>
      </c>
      <c r="ZD125" s="56"/>
      <c r="ZE125" s="242">
        <f>SUMPRODUCT(PRODUCE!$B134:$DY134,PRODUCE!$EB$57:$IY$57)</f>
        <v>0</v>
      </c>
      <c r="ZF125" s="56"/>
      <c r="ZG125" s="242">
        <f t="shared" si="982"/>
        <v>0</v>
      </c>
      <c r="ZH125" s="242">
        <f t="shared" si="983"/>
        <v>0</v>
      </c>
      <c r="ZI125" s="56"/>
      <c r="ZL125" s="55">
        <f t="shared" si="984"/>
        <v>46126</v>
      </c>
      <c r="ZM125" s="56"/>
      <c r="ZN125" s="242">
        <f>SUMPRODUCT(PRODUCE!$B134:$DY134,PRODUCE!$EB$57:$IY$57)</f>
        <v>0</v>
      </c>
      <c r="ZO125" s="56"/>
      <c r="ZP125" s="242">
        <f t="shared" si="985"/>
        <v>0</v>
      </c>
      <c r="ZQ125" s="242">
        <f t="shared" si="986"/>
        <v>0</v>
      </c>
      <c r="ZR125" s="56"/>
      <c r="ZU125" s="55">
        <f t="shared" si="987"/>
        <v>46126</v>
      </c>
      <c r="ZV125" s="56"/>
      <c r="ZW125" s="242">
        <f>SUMPRODUCT(PRODUCE!$B134:$DY134,PRODUCE!$EB$57:$IY$57)</f>
        <v>0</v>
      </c>
      <c r="ZX125" s="56"/>
      <c r="ZY125" s="242">
        <f t="shared" si="988"/>
        <v>0</v>
      </c>
      <c r="ZZ125" s="242">
        <f t="shared" si="989"/>
        <v>0</v>
      </c>
      <c r="AAA125" s="56"/>
      <c r="AAD125" s="55">
        <f t="shared" si="990"/>
        <v>46126</v>
      </c>
      <c r="AAE125" s="56"/>
      <c r="AAF125" s="242">
        <f>SUMPRODUCT(PRODUCE!$B134:$DY134,PRODUCE!$EB$57:$IY$57)</f>
        <v>0</v>
      </c>
      <c r="AAG125" s="56"/>
      <c r="AAH125" s="242">
        <f t="shared" si="991"/>
        <v>0</v>
      </c>
      <c r="AAI125" s="242">
        <f t="shared" si="992"/>
        <v>0</v>
      </c>
      <c r="AAJ125" s="56"/>
      <c r="AAM125" s="55">
        <f t="shared" si="993"/>
        <v>46126</v>
      </c>
      <c r="AAN125" s="56"/>
      <c r="AAO125" s="242">
        <f>SUMPRODUCT(PRODUCE!$B134:$DY134,PRODUCE!$EB$57:$IY$57)</f>
        <v>0</v>
      </c>
      <c r="AAP125" s="56"/>
      <c r="AAQ125" s="242">
        <f t="shared" si="994"/>
        <v>0</v>
      </c>
      <c r="AAR125" s="242">
        <f t="shared" si="995"/>
        <v>0</v>
      </c>
      <c r="AAS125" s="56"/>
      <c r="AAV125" s="55">
        <f t="shared" si="996"/>
        <v>46126</v>
      </c>
      <c r="AAW125" s="56"/>
      <c r="AAX125" s="242">
        <f>SUMPRODUCT(PRODUCE!$B134:$DY134,PRODUCE!$EB$57:$IY$57)</f>
        <v>0</v>
      </c>
      <c r="AAY125" s="56"/>
      <c r="AAZ125" s="242">
        <f t="shared" si="997"/>
        <v>0</v>
      </c>
      <c r="ABA125" s="242">
        <f t="shared" si="998"/>
        <v>0</v>
      </c>
      <c r="ABB125" s="56"/>
      <c r="ABE125" s="55">
        <f t="shared" si="999"/>
        <v>46126</v>
      </c>
      <c r="ABF125" s="56"/>
      <c r="ABG125" s="242">
        <f>SUMPRODUCT(PRODUCE!$B134:$DY134,PRODUCE!$EB$57:$IY$57)</f>
        <v>0</v>
      </c>
      <c r="ABH125" s="56"/>
      <c r="ABI125" s="242">
        <f t="shared" si="1000"/>
        <v>0</v>
      </c>
      <c r="ABJ125" s="242">
        <f t="shared" si="1001"/>
        <v>0</v>
      </c>
      <c r="ABK125" s="56"/>
    </row>
    <row r="126" spans="2:739" s="54" customFormat="1" ht="15" customHeight="1" outlineLevel="1">
      <c r="B126" s="478">
        <v>38</v>
      </c>
      <c r="C126" s="55">
        <v>46127</v>
      </c>
      <c r="D126" s="422">
        <v>32240</v>
      </c>
      <c r="E126" s="423">
        <f>SUMPRODUCT(PRODUCE!$B135:$DY135,PRODUCE!$EB$7:$IY$7)</f>
        <v>20352.8</v>
      </c>
      <c r="F126" s="422">
        <v>20350</v>
      </c>
      <c r="G126" s="423">
        <f t="shared" si="1002"/>
        <v>2.7999999999992724</v>
      </c>
      <c r="H126" s="423">
        <f t="shared" si="1003"/>
        <v>135762.59999999998</v>
      </c>
      <c r="I126" s="289" t="s">
        <v>245</v>
      </c>
      <c r="L126" s="55">
        <f t="shared" si="759"/>
        <v>46127</v>
      </c>
      <c r="M126" s="422"/>
      <c r="N126" s="438">
        <f>SUMPRODUCT(PRODUCE!$B135:$DY135,PRODUCE!$EB$8:$IY$8)</f>
        <v>6517</v>
      </c>
      <c r="O126" s="422">
        <v>6517.8</v>
      </c>
      <c r="P126" s="438">
        <f t="shared" si="760"/>
        <v>-0.8000000000001819</v>
      </c>
      <c r="Q126" s="438">
        <f t="shared" si="761"/>
        <v>61279.400000000096</v>
      </c>
      <c r="R126" s="56"/>
      <c r="U126" s="55">
        <f t="shared" si="762"/>
        <v>46127</v>
      </c>
      <c r="V126" s="422"/>
      <c r="W126" s="440">
        <f>SUMPRODUCT(PRODUCE!$B135:$DY135,PRODUCE!$EB$9:$IY$9)</f>
        <v>3230</v>
      </c>
      <c r="X126" s="422">
        <v>3231.6</v>
      </c>
      <c r="Y126" s="440">
        <f t="shared" si="763"/>
        <v>-1.5999999999999091</v>
      </c>
      <c r="Z126" s="440">
        <f t="shared" si="764"/>
        <v>24746.199999999972</v>
      </c>
      <c r="AA126" s="56"/>
      <c r="AD126" s="55">
        <f t="shared" si="765"/>
        <v>46127</v>
      </c>
      <c r="AE126" s="422"/>
      <c r="AF126" s="442">
        <f>SUMPRODUCT(PRODUCE!$B135:$DY135,PRODUCE!$EB$10:$IY$10)</f>
        <v>456</v>
      </c>
      <c r="AG126" s="422">
        <v>456.5</v>
      </c>
      <c r="AH126" s="442">
        <f t="shared" si="766"/>
        <v>-0.5</v>
      </c>
      <c r="AI126" s="442">
        <f t="shared" si="767"/>
        <v>41032.300000000017</v>
      </c>
      <c r="AJ126" s="56"/>
      <c r="AM126" s="55">
        <f t="shared" si="768"/>
        <v>46127</v>
      </c>
      <c r="AN126" s="422"/>
      <c r="AO126" s="444">
        <f>SUMPRODUCT(PRODUCE!$B135:$DY135,PRODUCE!$EB$11:$IY$11)</f>
        <v>0</v>
      </c>
      <c r="AP126" s="422"/>
      <c r="AQ126" s="444">
        <f t="shared" si="769"/>
        <v>0</v>
      </c>
      <c r="AR126" s="444">
        <f t="shared" si="770"/>
        <v>0</v>
      </c>
      <c r="AS126" s="56"/>
      <c r="AV126" s="55">
        <f t="shared" si="771"/>
        <v>46127</v>
      </c>
      <c r="AW126" s="422"/>
      <c r="AX126" s="446">
        <f>SUMPRODUCT(PRODUCE!$B135:$DY135,PRODUCE!$EB$12:$IY$12)</f>
        <v>0</v>
      </c>
      <c r="AY126" s="422"/>
      <c r="AZ126" s="446">
        <f t="shared" si="772"/>
        <v>0</v>
      </c>
      <c r="BA126" s="446">
        <f t="shared" si="773"/>
        <v>12866.299999999992</v>
      </c>
      <c r="BB126" s="56"/>
      <c r="BE126" s="55">
        <f t="shared" si="774"/>
        <v>46127</v>
      </c>
      <c r="BF126" s="422"/>
      <c r="BG126" s="448">
        <f>SUMPRODUCT(PRODUCE!$B135:$DY135,PRODUCE!$EB$13:$IY$13)</f>
        <v>1710</v>
      </c>
      <c r="BH126" s="422">
        <v>1709.2</v>
      </c>
      <c r="BI126" s="448">
        <f t="shared" si="775"/>
        <v>0.79999999999995453</v>
      </c>
      <c r="BJ126" s="448">
        <f t="shared" si="776"/>
        <v>5793.9000000000024</v>
      </c>
      <c r="BK126" s="56"/>
      <c r="BN126" s="55">
        <f t="shared" si="777"/>
        <v>46127</v>
      </c>
      <c r="BO126" s="422">
        <v>741.1</v>
      </c>
      <c r="BP126" s="450">
        <f>SUMPRODUCT(PRODUCE!$B135:$DY135,PRODUCE!$EB$14:$IY$14)</f>
        <v>741</v>
      </c>
      <c r="BQ126" s="422">
        <v>741.1</v>
      </c>
      <c r="BR126" s="450">
        <f t="shared" si="778"/>
        <v>-0.10000000000002274</v>
      </c>
      <c r="BS126" s="450">
        <f t="shared" si="779"/>
        <v>0</v>
      </c>
      <c r="BT126" s="56"/>
      <c r="BW126" s="55">
        <f t="shared" si="780"/>
        <v>46127</v>
      </c>
      <c r="BX126" s="56"/>
      <c r="BY126" s="65">
        <f>SUMPRODUCT(PRODUCE!$B135:$DY135,PRODUCE!$EB$15:$IY$15)</f>
        <v>209.00000000000003</v>
      </c>
      <c r="BZ126" s="56"/>
      <c r="CA126" s="65">
        <f t="shared" si="781"/>
        <v>209.00000000000003</v>
      </c>
      <c r="CB126" s="65">
        <f t="shared" si="782"/>
        <v>8228.7999999999993</v>
      </c>
      <c r="CC126" s="56"/>
      <c r="CF126" s="55">
        <f t="shared" si="783"/>
        <v>46127</v>
      </c>
      <c r="CG126" s="56"/>
      <c r="CH126" s="66">
        <f>SUMPRODUCT(PRODUCE!$B135:$DY135,PRODUCE!$EB$16:$IY$16)</f>
        <v>342.00000000000006</v>
      </c>
      <c r="CI126" s="56"/>
      <c r="CJ126" s="66">
        <f t="shared" si="784"/>
        <v>342.00000000000006</v>
      </c>
      <c r="CK126" s="66">
        <f t="shared" si="785"/>
        <v>0</v>
      </c>
      <c r="CL126" s="56"/>
      <c r="CO126" s="55">
        <f t="shared" si="786"/>
        <v>46127</v>
      </c>
      <c r="CP126" s="422"/>
      <c r="CQ126" s="470">
        <f>SUMPRODUCT(PRODUCE!$B135:$DY135,PRODUCE!$EB$17:$IY$17)</f>
        <v>0</v>
      </c>
      <c r="CR126" s="422"/>
      <c r="CS126" s="470">
        <f t="shared" si="787"/>
        <v>0</v>
      </c>
      <c r="CT126" s="470">
        <f t="shared" si="788"/>
        <v>0</v>
      </c>
      <c r="CU126" s="56"/>
      <c r="CX126" s="55">
        <f t="shared" si="789"/>
        <v>46127</v>
      </c>
      <c r="CY126" s="56"/>
      <c r="CZ126" s="133">
        <f>SUMPRODUCT(PRODUCE!$B135:$DY135,PRODUCE!$EB$18:$IY$18)</f>
        <v>1900</v>
      </c>
      <c r="DA126" s="56">
        <v>1900.5</v>
      </c>
      <c r="DB126" s="133">
        <f t="shared" si="790"/>
        <v>-0.5</v>
      </c>
      <c r="DC126" s="133">
        <f t="shared" si="791"/>
        <v>17451.400000000005</v>
      </c>
      <c r="DD126" s="56"/>
      <c r="DG126" s="55">
        <f t="shared" si="792"/>
        <v>46127</v>
      </c>
      <c r="DH126" s="56"/>
      <c r="DI126" s="147">
        <f>SUMPRODUCT(PRODUCE!$B135:$DY135,PRODUCE!$EB$19:$IY$19)</f>
        <v>1520</v>
      </c>
      <c r="DJ126" s="56">
        <v>1520.6</v>
      </c>
      <c r="DK126" s="147">
        <f t="shared" si="793"/>
        <v>-0.59999999999990905</v>
      </c>
      <c r="DL126" s="147">
        <f t="shared" si="794"/>
        <v>17820.999999999993</v>
      </c>
      <c r="DM126" s="56"/>
      <c r="DP126" s="55">
        <f t="shared" si="795"/>
        <v>46127</v>
      </c>
      <c r="DQ126" s="56"/>
      <c r="DR126" s="57">
        <f>SUMPRODUCT(PRODUCE!$B135:$DY135,PRODUCE!$EB$20:$IY$20)</f>
        <v>0</v>
      </c>
      <c r="DS126" s="56"/>
      <c r="DT126" s="57">
        <f t="shared" si="796"/>
        <v>0</v>
      </c>
      <c r="DU126" s="57">
        <f t="shared" si="797"/>
        <v>6300</v>
      </c>
      <c r="DV126" s="56"/>
      <c r="DY126" s="55">
        <f t="shared" si="798"/>
        <v>46127</v>
      </c>
      <c r="DZ126" s="56"/>
      <c r="EA126" s="157">
        <f>SUMPRODUCT(PRODUCE!$B135:$DY135,PRODUCE!$EB$21:$IY$21)</f>
        <v>0</v>
      </c>
      <c r="EB126" s="56"/>
      <c r="EC126" s="157">
        <f t="shared" si="799"/>
        <v>0</v>
      </c>
      <c r="ED126" s="157">
        <f t="shared" si="800"/>
        <v>147.30000000000018</v>
      </c>
      <c r="EE126" s="56"/>
      <c r="EH126" s="55">
        <f t="shared" si="801"/>
        <v>46127</v>
      </c>
      <c r="EI126" s="56"/>
      <c r="EJ126" s="162">
        <f>SUMPRODUCT(PRODUCE!$B135:$DY135,PRODUCE!$EB$22:$IY$22)</f>
        <v>0</v>
      </c>
      <c r="EK126" s="56"/>
      <c r="EL126" s="162">
        <f t="shared" si="802"/>
        <v>0</v>
      </c>
      <c r="EM126" s="162">
        <f t="shared" si="803"/>
        <v>0</v>
      </c>
      <c r="EN126" s="56"/>
      <c r="EQ126" s="55">
        <f t="shared" si="804"/>
        <v>46127</v>
      </c>
      <c r="ER126" s="56"/>
      <c r="ES126" s="135">
        <f>SUMPRODUCT(PRODUCE!$B135:$DY135,PRODUCE!$EB$23:$IY$23)</f>
        <v>0</v>
      </c>
      <c r="ET126" s="56"/>
      <c r="EU126" s="135">
        <f t="shared" si="805"/>
        <v>0</v>
      </c>
      <c r="EV126" s="135">
        <f t="shared" si="806"/>
        <v>0</v>
      </c>
      <c r="EW126" s="56"/>
      <c r="EZ126" s="55">
        <f t="shared" si="807"/>
        <v>46127</v>
      </c>
      <c r="FA126" s="56"/>
      <c r="FB126" s="175">
        <f>SUMPRODUCT(PRODUCE!$B135:$DY135,PRODUCE!$EB$24:$IY$24)</f>
        <v>0</v>
      </c>
      <c r="FC126" s="56"/>
      <c r="FD126" s="175">
        <f t="shared" si="808"/>
        <v>0</v>
      </c>
      <c r="FE126" s="175">
        <f t="shared" si="809"/>
        <v>0</v>
      </c>
      <c r="FF126" s="56"/>
      <c r="FI126" s="55">
        <f t="shared" si="810"/>
        <v>46127</v>
      </c>
      <c r="FJ126" s="56"/>
      <c r="FK126" s="183">
        <f>SUMPRODUCT(PRODUCE!$B135:$DY135,PRODUCE!$EB$25:$IY$25)</f>
        <v>0</v>
      </c>
      <c r="FL126" s="56"/>
      <c r="FM126" s="183">
        <f t="shared" si="811"/>
        <v>0</v>
      </c>
      <c r="FN126" s="183">
        <f t="shared" si="812"/>
        <v>0</v>
      </c>
      <c r="FO126" s="56"/>
      <c r="FR126" s="55">
        <f t="shared" si="813"/>
        <v>46127</v>
      </c>
      <c r="FS126" s="422"/>
      <c r="FT126" s="452">
        <f>SUMPRODUCT(PRODUCE!$B135:$DY135,PRODUCE!$EB$26:$IY$26)</f>
        <v>0</v>
      </c>
      <c r="FU126" s="422"/>
      <c r="FV126" s="452">
        <f t="shared" si="814"/>
        <v>0</v>
      </c>
      <c r="FW126" s="452">
        <f t="shared" si="815"/>
        <v>2120</v>
      </c>
      <c r="FX126" s="56"/>
      <c r="GA126" s="55">
        <f t="shared" si="816"/>
        <v>46127</v>
      </c>
      <c r="GB126" s="422">
        <f>200*20</f>
        <v>4000</v>
      </c>
      <c r="GC126" s="454">
        <f>SUMPRODUCT(PRODUCE!$B135:$DY135,PRODUCE!$EB$27:$IY$27)</f>
        <v>0</v>
      </c>
      <c r="GD126" s="422"/>
      <c r="GE126" s="454">
        <f t="shared" si="817"/>
        <v>0</v>
      </c>
      <c r="GF126" s="454">
        <f t="shared" si="818"/>
        <v>10000</v>
      </c>
      <c r="GG126" s="56"/>
      <c r="GI126" s="23"/>
      <c r="GJ126" s="55">
        <f t="shared" si="819"/>
        <v>46127</v>
      </c>
      <c r="GK126" s="422"/>
      <c r="GL126" s="456">
        <f>SUMPRODUCT(PRODUCE!$B135:$DY135,PRODUCE!$EB$28:$IY$28)</f>
        <v>0</v>
      </c>
      <c r="GM126" s="422"/>
      <c r="GN126" s="456">
        <f t="shared" si="820"/>
        <v>0</v>
      </c>
      <c r="GO126" s="456">
        <f t="shared" si="821"/>
        <v>4800</v>
      </c>
      <c r="GP126" s="56"/>
      <c r="GS126" s="55">
        <f t="shared" si="822"/>
        <v>46127</v>
      </c>
      <c r="GT126" s="56"/>
      <c r="GU126" s="195">
        <f>SUMPRODUCT(PRODUCE!$B135:$DY135,PRODUCE!$EB$29:$IY$29)</f>
        <v>0</v>
      </c>
      <c r="GV126" s="56"/>
      <c r="GW126" s="195">
        <f t="shared" si="823"/>
        <v>0</v>
      </c>
      <c r="GX126" s="195">
        <f t="shared" si="824"/>
        <v>0</v>
      </c>
      <c r="GY126" s="56"/>
      <c r="HB126" s="55">
        <f t="shared" si="825"/>
        <v>46127</v>
      </c>
      <c r="HC126" s="56"/>
      <c r="HD126" s="191">
        <f>SUMPRODUCT(PRODUCE!$B135:$DY135,PRODUCE!$EB$30:$IY$30)</f>
        <v>0</v>
      </c>
      <c r="HE126" s="56"/>
      <c r="HF126" s="191">
        <f t="shared" si="826"/>
        <v>0</v>
      </c>
      <c r="HG126" s="191">
        <f t="shared" si="827"/>
        <v>0</v>
      </c>
      <c r="HH126" s="56"/>
      <c r="HK126" s="55">
        <f t="shared" si="828"/>
        <v>46127</v>
      </c>
      <c r="HL126" s="56"/>
      <c r="HM126" s="63">
        <f>SUMPRODUCT(PRODUCE!$B135:$DY135,PRODUCE!$EB$31:$IY$31)</f>
        <v>0</v>
      </c>
      <c r="HN126" s="56"/>
      <c r="HO126" s="63">
        <f t="shared" si="829"/>
        <v>0</v>
      </c>
      <c r="HP126" s="63">
        <f t="shared" si="830"/>
        <v>0</v>
      </c>
      <c r="HQ126" s="56"/>
      <c r="HU126" s="55">
        <f t="shared" si="831"/>
        <v>46127</v>
      </c>
      <c r="HV126" s="56"/>
      <c r="HW126" s="242">
        <f>SUMPRODUCT(PRODUCE!$B135:$DY135,PRODUCE!$EB$32:$IY$32)</f>
        <v>0</v>
      </c>
      <c r="HX126" s="56"/>
      <c r="HY126" s="242">
        <f t="shared" si="832"/>
        <v>0</v>
      </c>
      <c r="HZ126" s="242">
        <f t="shared" si="833"/>
        <v>5120</v>
      </c>
      <c r="IA126" s="56"/>
      <c r="ID126" s="55">
        <f t="shared" si="834"/>
        <v>46127</v>
      </c>
      <c r="IE126" s="56"/>
      <c r="IF126" s="242">
        <f>SUMPRODUCT(PRODUCE!$B135:$DY135,PRODUCE!$EB$33:$IY$33)</f>
        <v>0</v>
      </c>
      <c r="IG126" s="56"/>
      <c r="IH126" s="242">
        <f t="shared" si="835"/>
        <v>0</v>
      </c>
      <c r="II126" s="242">
        <f t="shared" si="836"/>
        <v>6540</v>
      </c>
      <c r="IJ126" s="56"/>
      <c r="IM126" s="55">
        <f t="shared" si="837"/>
        <v>46127</v>
      </c>
      <c r="IN126" s="56"/>
      <c r="IO126" s="242">
        <f>SUMPRODUCT(PRODUCE!$B135:$DY135,PRODUCE!$EB$34:$IY$34)</f>
        <v>0</v>
      </c>
      <c r="IP126" s="56"/>
      <c r="IQ126" s="242">
        <f t="shared" si="838"/>
        <v>0</v>
      </c>
      <c r="IR126" s="242">
        <f t="shared" si="839"/>
        <v>11540</v>
      </c>
      <c r="IS126" s="56"/>
      <c r="IV126" s="55">
        <f t="shared" si="840"/>
        <v>46127</v>
      </c>
      <c r="IW126" s="56"/>
      <c r="IX126" s="242">
        <f>SUMPRODUCT(PRODUCE!$B135:$DY135,PRODUCE!$EB$35:$IY$35)</f>
        <v>0</v>
      </c>
      <c r="IY126" s="56"/>
      <c r="IZ126" s="242">
        <f t="shared" si="841"/>
        <v>0</v>
      </c>
      <c r="JA126" s="242">
        <f t="shared" si="842"/>
        <v>15120</v>
      </c>
      <c r="JB126" s="56"/>
      <c r="JE126" s="55">
        <f t="shared" si="843"/>
        <v>46127</v>
      </c>
      <c r="JF126" s="56"/>
      <c r="JG126" s="242">
        <f>SUMPRODUCT(PRODUCE!$B135:$DY135,PRODUCE!$EB$36:$IY$36)</f>
        <v>0</v>
      </c>
      <c r="JH126" s="56"/>
      <c r="JI126" s="242">
        <f t="shared" si="844"/>
        <v>0</v>
      </c>
      <c r="JJ126" s="242">
        <f t="shared" si="845"/>
        <v>5040</v>
      </c>
      <c r="JK126" s="56"/>
      <c r="JN126" s="55">
        <f t="shared" si="846"/>
        <v>46127</v>
      </c>
      <c r="JO126" s="56"/>
      <c r="JP126" s="242">
        <f>SUMPRODUCT(PRODUCE!$B135:$DY135,PRODUCE!$EB$37:$IY$37)</f>
        <v>0</v>
      </c>
      <c r="JQ126" s="56"/>
      <c r="JR126" s="242">
        <f t="shared" si="847"/>
        <v>0</v>
      </c>
      <c r="JS126" s="242">
        <f t="shared" si="848"/>
        <v>9100</v>
      </c>
      <c r="JT126" s="56"/>
      <c r="JW126" s="55">
        <f t="shared" si="849"/>
        <v>46127</v>
      </c>
      <c r="JX126" s="56"/>
      <c r="JY126" s="242">
        <f>SUMPRODUCT(PRODUCE!$B135:$DY135,PRODUCE!$EB$38:$IY$38)</f>
        <v>0</v>
      </c>
      <c r="JZ126" s="56"/>
      <c r="KA126" s="242">
        <f t="shared" si="850"/>
        <v>0</v>
      </c>
      <c r="KB126" s="242">
        <f t="shared" si="851"/>
        <v>2940</v>
      </c>
      <c r="KC126" s="56"/>
      <c r="KF126" s="55">
        <f t="shared" si="852"/>
        <v>46127</v>
      </c>
      <c r="KG126" s="56"/>
      <c r="KH126" s="242">
        <f>SUMPRODUCT(PRODUCE!$B135:$DY135,PRODUCE!$EB$39:$IY$39)</f>
        <v>0</v>
      </c>
      <c r="KI126" s="56"/>
      <c r="KJ126" s="242">
        <f t="shared" si="853"/>
        <v>0</v>
      </c>
      <c r="KK126" s="242">
        <f t="shared" si="854"/>
        <v>1579.5</v>
      </c>
      <c r="KL126" s="56"/>
      <c r="KO126" s="55">
        <f t="shared" si="855"/>
        <v>46127</v>
      </c>
      <c r="KP126" s="56"/>
      <c r="KQ126" s="242">
        <f>SUMPRODUCT(PRODUCE!$B135:$DY135,PRODUCE!$EB$40:$IY$40)</f>
        <v>718.19999999999993</v>
      </c>
      <c r="KR126" s="56"/>
      <c r="KS126" s="242">
        <f t="shared" si="856"/>
        <v>718.19999999999993</v>
      </c>
      <c r="KT126" s="242">
        <f t="shared" si="857"/>
        <v>5216.3999999999996</v>
      </c>
      <c r="KU126" s="56"/>
      <c r="KW126" s="518"/>
      <c r="KX126" s="55">
        <f t="shared" si="858"/>
        <v>46127</v>
      </c>
      <c r="KY126" s="56"/>
      <c r="KZ126" s="242">
        <f>SUMPRODUCT(PRODUCE!$B135:$DY135,PRODUCE!$EB$41:$IY$41)</f>
        <v>0</v>
      </c>
      <c r="LA126" s="56"/>
      <c r="LB126" s="242">
        <f t="shared" si="859"/>
        <v>0</v>
      </c>
      <c r="LC126" s="242">
        <f t="shared" si="860"/>
        <v>0</v>
      </c>
      <c r="LD126" s="56"/>
      <c r="LG126" s="55">
        <f t="shared" si="861"/>
        <v>46127</v>
      </c>
      <c r="LH126" s="56"/>
      <c r="LI126" s="242">
        <f>SUMPRODUCT(PRODUCE!$B135:$DY135,PRODUCE!$EB$42:$IY$42)</f>
        <v>0</v>
      </c>
      <c r="LJ126" s="56"/>
      <c r="LK126" s="242">
        <f t="shared" si="862"/>
        <v>0</v>
      </c>
      <c r="LL126" s="242">
        <f t="shared" si="863"/>
        <v>0</v>
      </c>
      <c r="LM126" s="56"/>
      <c r="LP126" s="55">
        <f t="shared" si="864"/>
        <v>46127</v>
      </c>
      <c r="LQ126" s="56"/>
      <c r="LR126" s="242">
        <f>SUMPRODUCT(PRODUCE!$B141:$DY141,PRODUCE!$EB$43:$IY$43)</f>
        <v>0</v>
      </c>
      <c r="LS126" s="56"/>
      <c r="LT126" s="242">
        <f t="shared" si="865"/>
        <v>0</v>
      </c>
      <c r="LU126" s="242">
        <f t="shared" si="866"/>
        <v>0</v>
      </c>
      <c r="LV126" s="56"/>
      <c r="LY126" s="55">
        <f t="shared" si="867"/>
        <v>46127</v>
      </c>
      <c r="LZ126" s="56"/>
      <c r="MA126" s="242">
        <f>SUMPRODUCT(PRODUCE!$B135:$DY135,PRODUCE!$EB$44:$IY$44)</f>
        <v>0</v>
      </c>
      <c r="MB126" s="56"/>
      <c r="MC126" s="242">
        <f t="shared" si="868"/>
        <v>0</v>
      </c>
      <c r="MD126" s="242">
        <f t="shared" si="869"/>
        <v>0</v>
      </c>
      <c r="ME126" s="56"/>
      <c r="MH126" s="55">
        <f t="shared" si="870"/>
        <v>46127</v>
      </c>
      <c r="MI126" s="56"/>
      <c r="MJ126" s="242">
        <f>SUMPRODUCT(PRODUCE!$B135:$DY135,PRODUCE!$EB$45:$IY$45)</f>
        <v>0</v>
      </c>
      <c r="MK126" s="56"/>
      <c r="ML126" s="242">
        <f t="shared" si="871"/>
        <v>0</v>
      </c>
      <c r="MM126" s="242">
        <f t="shared" si="872"/>
        <v>0</v>
      </c>
      <c r="MN126" s="56"/>
      <c r="MQ126" s="55">
        <f t="shared" si="873"/>
        <v>46127</v>
      </c>
      <c r="MR126" s="56"/>
      <c r="MS126" s="242">
        <f>SUMPRODUCT(PRODUCE!$B135:$DY135,PRODUCE!$EB$46:$IY$46)</f>
        <v>0</v>
      </c>
      <c r="MT126" s="56"/>
      <c r="MU126" s="242">
        <f t="shared" si="874"/>
        <v>0</v>
      </c>
      <c r="MV126" s="242">
        <f t="shared" si="875"/>
        <v>4149</v>
      </c>
      <c r="MW126" s="56"/>
      <c r="MZ126" s="55">
        <f t="shared" si="876"/>
        <v>46127</v>
      </c>
      <c r="NA126" s="56"/>
      <c r="NB126" s="242">
        <f>SUMPRODUCT(PRODUCE!$B135:$DY135,PRODUCE!$EB$47:$IY$47)</f>
        <v>114</v>
      </c>
      <c r="NC126" s="56"/>
      <c r="ND126" s="242">
        <f t="shared" si="877"/>
        <v>114</v>
      </c>
      <c r="NE126" s="242">
        <f t="shared" si="878"/>
        <v>0</v>
      </c>
      <c r="NF126" s="56"/>
      <c r="NI126" s="55">
        <f t="shared" si="879"/>
        <v>46127</v>
      </c>
      <c r="NJ126" s="56"/>
      <c r="NK126" s="242">
        <f>SUMPRODUCT(PRODUCE!$B135:$DY135,PRODUCE!$EB$48:$IY$48)</f>
        <v>38</v>
      </c>
      <c r="NL126" s="56"/>
      <c r="NM126" s="242">
        <f t="shared" si="880"/>
        <v>38</v>
      </c>
      <c r="NN126" s="242">
        <f t="shared" si="881"/>
        <v>1523</v>
      </c>
      <c r="NO126" s="56"/>
      <c r="NR126" s="55">
        <f t="shared" si="882"/>
        <v>46127</v>
      </c>
      <c r="NS126" s="56"/>
      <c r="NT126" s="242">
        <f>SUMPRODUCT(PRODUCE!$B135:$DY135,PRODUCE!$EB$49:$IY$49)</f>
        <v>45.6</v>
      </c>
      <c r="NU126" s="56"/>
      <c r="NV126" s="242">
        <f t="shared" si="883"/>
        <v>45.6</v>
      </c>
      <c r="NW126" s="242">
        <f t="shared" si="884"/>
        <v>3566.1</v>
      </c>
      <c r="NX126" s="56"/>
      <c r="OA126" s="55">
        <f t="shared" si="885"/>
        <v>46127</v>
      </c>
      <c r="OB126" s="56"/>
      <c r="OC126" s="242">
        <f>SUMPRODUCT(PRODUCE!$B135:$DY135,PRODUCE!$EB$50:$IY$50)</f>
        <v>0</v>
      </c>
      <c r="OD126" s="56"/>
      <c r="OE126" s="242">
        <f t="shared" si="886"/>
        <v>0</v>
      </c>
      <c r="OF126" s="242">
        <f t="shared" si="887"/>
        <v>1680.5</v>
      </c>
      <c r="OG126" s="56"/>
      <c r="OJ126" s="55">
        <f t="shared" si="888"/>
        <v>46127</v>
      </c>
      <c r="OK126" s="56"/>
      <c r="OL126" s="242">
        <f>SUMPRODUCT(PRODUCE!$B135:$DY135,PRODUCE!$EB$51:$IY$51)</f>
        <v>106.39999999999998</v>
      </c>
      <c r="OM126" s="56"/>
      <c r="ON126" s="242">
        <f t="shared" si="889"/>
        <v>106.39999999999998</v>
      </c>
      <c r="OO126" s="242">
        <f t="shared" si="890"/>
        <v>0</v>
      </c>
      <c r="OP126" s="56"/>
      <c r="OS126" s="55">
        <f t="shared" si="891"/>
        <v>46127</v>
      </c>
      <c r="OT126" s="56"/>
      <c r="OU126" s="242">
        <f>SUMPRODUCT(PRODUCE!$B135:$DY135,PRODUCE!$EB$52:$IY$52)</f>
        <v>0</v>
      </c>
      <c r="OV126" s="56"/>
      <c r="OW126" s="242">
        <f t="shared" si="892"/>
        <v>0</v>
      </c>
      <c r="OX126" s="242">
        <f t="shared" si="893"/>
        <v>1000</v>
      </c>
      <c r="OY126" s="56"/>
      <c r="PB126" s="55">
        <f t="shared" si="894"/>
        <v>46127</v>
      </c>
      <c r="PC126" s="56"/>
      <c r="PD126" s="242">
        <f>SUMPRODUCT(PRODUCE!$B135:$DY135,PRODUCE!$EB$53:$IY$53)</f>
        <v>0</v>
      </c>
      <c r="PE126" s="56"/>
      <c r="PF126" s="242">
        <f t="shared" si="895"/>
        <v>0</v>
      </c>
      <c r="PG126" s="242">
        <f t="shared" si="896"/>
        <v>0</v>
      </c>
      <c r="PH126" s="56"/>
      <c r="PK126" s="55">
        <f t="shared" si="897"/>
        <v>46127</v>
      </c>
      <c r="PL126" s="56"/>
      <c r="PM126" s="242">
        <f>SUMPRODUCT(PRODUCE!$B135:$DY135,PRODUCE!$EB$54:$IY$54)</f>
        <v>0</v>
      </c>
      <c r="PN126" s="56"/>
      <c r="PO126" s="242">
        <f t="shared" si="898"/>
        <v>0</v>
      </c>
      <c r="PP126" s="242">
        <f t="shared" si="899"/>
        <v>100</v>
      </c>
      <c r="PQ126" s="56"/>
      <c r="PT126" s="55">
        <f t="shared" si="900"/>
        <v>46127</v>
      </c>
      <c r="PU126" s="56"/>
      <c r="PV126" s="242">
        <f>SUMPRODUCT(PRODUCE!$B135:$DY135,PRODUCE!$EB$55:$IY$55)</f>
        <v>0</v>
      </c>
      <c r="PW126" s="56"/>
      <c r="PX126" s="242">
        <f t="shared" si="901"/>
        <v>0</v>
      </c>
      <c r="PY126" s="242">
        <f t="shared" si="902"/>
        <v>13.960000000000036</v>
      </c>
      <c r="PZ126" s="56"/>
      <c r="QC126" s="55">
        <f t="shared" si="903"/>
        <v>46127</v>
      </c>
      <c r="QD126" s="56"/>
      <c r="QE126" s="242">
        <f>SUMPRODUCT(PRODUCE!$B135:$DY135,PRODUCE!$EB$56:$IY$56)</f>
        <v>0</v>
      </c>
      <c r="QF126" s="56"/>
      <c r="QG126" s="242">
        <f t="shared" si="904"/>
        <v>0</v>
      </c>
      <c r="QH126" s="242">
        <f t="shared" si="905"/>
        <v>1212</v>
      </c>
      <c r="QI126" s="56"/>
      <c r="QL126" s="55">
        <f t="shared" si="906"/>
        <v>46127</v>
      </c>
      <c r="QM126" s="56"/>
      <c r="QN126" s="242">
        <f>SUMPRODUCT(PRODUCE!$B135:$DY135,PRODUCE!$EB$57:$IY$57)</f>
        <v>0</v>
      </c>
      <c r="QO126" s="56"/>
      <c r="QP126" s="242">
        <f t="shared" si="907"/>
        <v>0</v>
      </c>
      <c r="QQ126" s="242">
        <f t="shared" si="908"/>
        <v>400</v>
      </c>
      <c r="QR126" s="56"/>
      <c r="QU126" s="55">
        <f t="shared" si="909"/>
        <v>46127</v>
      </c>
      <c r="QV126" s="56"/>
      <c r="QW126" s="242">
        <f>SUMPRODUCT(PRODUCE!$B135:$DY135,PRODUCE!$EB$57:$IY$57)</f>
        <v>0</v>
      </c>
      <c r="QX126" s="56"/>
      <c r="QY126" s="242">
        <f t="shared" si="910"/>
        <v>0</v>
      </c>
      <c r="QZ126" s="242">
        <f t="shared" si="911"/>
        <v>207.6</v>
      </c>
      <c r="RA126" s="56"/>
      <c r="RD126" s="55">
        <f t="shared" si="912"/>
        <v>46127</v>
      </c>
      <c r="RE126" s="56"/>
      <c r="RF126" s="242">
        <f>SUMPRODUCT(PRODUCE!$B135:$DY135,PRODUCE!$EB$58:$IY$58)</f>
        <v>0</v>
      </c>
      <c r="RG126" s="56"/>
      <c r="RH126" s="242">
        <f t="shared" si="913"/>
        <v>0</v>
      </c>
      <c r="RI126" s="242">
        <f t="shared" si="914"/>
        <v>147.04000000000002</v>
      </c>
      <c r="RJ126" s="56"/>
      <c r="RM126" s="55">
        <f t="shared" si="915"/>
        <v>46127</v>
      </c>
      <c r="RN126" s="56"/>
      <c r="RO126" s="242">
        <f>SUMPRODUCT(PRODUCE!$B135:$DY135,PRODUCE!$EB$57:$IY$57)</f>
        <v>0</v>
      </c>
      <c r="RP126" s="56"/>
      <c r="RQ126" s="242">
        <f t="shared" si="916"/>
        <v>0</v>
      </c>
      <c r="RR126" s="242">
        <f t="shared" si="917"/>
        <v>46.8</v>
      </c>
      <c r="RS126" s="56"/>
      <c r="RV126" s="55">
        <f t="shared" si="918"/>
        <v>46127</v>
      </c>
      <c r="RW126" s="56"/>
      <c r="RX126" s="242">
        <f>SUMPRODUCT(PRODUCE!$B135:$DY135,PRODUCE!$EB$57:$IY$57)</f>
        <v>0</v>
      </c>
      <c r="RY126" s="56"/>
      <c r="RZ126" s="242">
        <f t="shared" si="919"/>
        <v>0</v>
      </c>
      <c r="SA126" s="242">
        <f t="shared" si="920"/>
        <v>0</v>
      </c>
      <c r="SB126" s="56"/>
      <c r="SE126" s="55">
        <f t="shared" si="921"/>
        <v>46127</v>
      </c>
      <c r="SF126" s="56"/>
      <c r="SG126" s="242">
        <f>SUMPRODUCT(PRODUCE!$B135:$DY135,PRODUCE!$EB$57:$IY$57)</f>
        <v>0</v>
      </c>
      <c r="SH126" s="56"/>
      <c r="SI126" s="242">
        <f t="shared" si="922"/>
        <v>0</v>
      </c>
      <c r="SJ126" s="242">
        <f t="shared" si="923"/>
        <v>125</v>
      </c>
      <c r="SK126" s="56"/>
      <c r="SN126" s="55">
        <f t="shared" si="924"/>
        <v>46127</v>
      </c>
      <c r="SO126" s="56"/>
      <c r="SP126" s="242">
        <f>SUMPRODUCT(PRODUCE!$B135:$DY135,PRODUCE!$EB$57:$IY$57)</f>
        <v>0</v>
      </c>
      <c r="SQ126" s="56"/>
      <c r="SR126" s="242">
        <f t="shared" si="925"/>
        <v>0</v>
      </c>
      <c r="SS126" s="242">
        <f t="shared" si="926"/>
        <v>200</v>
      </c>
      <c r="ST126" s="56"/>
      <c r="SW126" s="55">
        <f t="shared" si="927"/>
        <v>46127</v>
      </c>
      <c r="SX126" s="56"/>
      <c r="SY126" s="242">
        <f>SUMPRODUCT(PRODUCE!$B135:$DY135,PRODUCE!$EB$57:$IY$57)</f>
        <v>0</v>
      </c>
      <c r="SZ126" s="56"/>
      <c r="TA126" s="242">
        <f t="shared" si="928"/>
        <v>0</v>
      </c>
      <c r="TB126" s="242">
        <f t="shared" si="929"/>
        <v>0</v>
      </c>
      <c r="TC126" s="56"/>
      <c r="TF126" s="55">
        <f t="shared" si="930"/>
        <v>46127</v>
      </c>
      <c r="TG126" s="56"/>
      <c r="TH126" s="242">
        <f>SUMPRODUCT(PRODUCE!$B135:$DY135,PRODUCE!$EB$57:$IY$57)</f>
        <v>0</v>
      </c>
      <c r="TI126" s="56"/>
      <c r="TJ126" s="242">
        <f t="shared" si="931"/>
        <v>0</v>
      </c>
      <c r="TK126" s="242">
        <f t="shared" si="932"/>
        <v>0</v>
      </c>
      <c r="TL126" s="56"/>
      <c r="TO126" s="55">
        <f t="shared" si="933"/>
        <v>46127</v>
      </c>
      <c r="TP126" s="56"/>
      <c r="TQ126" s="242">
        <f>SUMPRODUCT(PRODUCE!$B135:$DY135,PRODUCE!$EB$57:$IY$57)</f>
        <v>0</v>
      </c>
      <c r="TR126" s="56"/>
      <c r="TS126" s="242">
        <f t="shared" si="934"/>
        <v>0</v>
      </c>
      <c r="TT126" s="242">
        <f t="shared" si="935"/>
        <v>0</v>
      </c>
      <c r="TU126" s="56"/>
      <c r="TX126" s="55">
        <f t="shared" si="936"/>
        <v>46127</v>
      </c>
      <c r="TY126" s="56"/>
      <c r="TZ126" s="242">
        <f>SUMPRODUCT(PRODUCE!$B135:$DY135,PRODUCE!$EB$57:$IY$57)</f>
        <v>0</v>
      </c>
      <c r="UA126" s="56"/>
      <c r="UB126" s="242">
        <f t="shared" si="937"/>
        <v>0</v>
      </c>
      <c r="UC126" s="242">
        <f t="shared" si="938"/>
        <v>0</v>
      </c>
      <c r="UD126" s="56"/>
      <c r="UG126" s="55">
        <f t="shared" si="939"/>
        <v>46127</v>
      </c>
      <c r="UH126" s="56"/>
      <c r="UI126" s="242">
        <f>SUMPRODUCT(PRODUCE!$B135:$DY135,PRODUCE!$EB$57:$IY$57)</f>
        <v>0</v>
      </c>
      <c r="UJ126" s="56"/>
      <c r="UK126" s="242">
        <f t="shared" si="940"/>
        <v>0</v>
      </c>
      <c r="UL126" s="242">
        <f t="shared" si="941"/>
        <v>0</v>
      </c>
      <c r="UM126" s="56"/>
      <c r="UP126" s="55">
        <f t="shared" si="942"/>
        <v>46127</v>
      </c>
      <c r="UQ126" s="56"/>
      <c r="UR126" s="242">
        <f>SUMPRODUCT(PRODUCE!$B135:$DY135,PRODUCE!$EB$57:$IY$57)</f>
        <v>0</v>
      </c>
      <c r="US126" s="56"/>
      <c r="UT126" s="242">
        <f t="shared" si="943"/>
        <v>0</v>
      </c>
      <c r="UU126" s="242">
        <f t="shared" si="944"/>
        <v>0</v>
      </c>
      <c r="UV126" s="56"/>
      <c r="UY126" s="55">
        <f t="shared" si="945"/>
        <v>46127</v>
      </c>
      <c r="UZ126" s="56"/>
      <c r="VA126" s="242">
        <f>SUMPRODUCT(PRODUCE!$B135:$DY135,PRODUCE!$EB$57:$IY$57)</f>
        <v>0</v>
      </c>
      <c r="VB126" s="56"/>
      <c r="VC126" s="242">
        <f t="shared" si="946"/>
        <v>0</v>
      </c>
      <c r="VD126" s="242">
        <f t="shared" si="947"/>
        <v>41.600000000000023</v>
      </c>
      <c r="VE126" s="56"/>
      <c r="VH126" s="55">
        <f t="shared" si="948"/>
        <v>46127</v>
      </c>
      <c r="VI126" s="56"/>
      <c r="VJ126" s="242">
        <f>SUMPRODUCT(PRODUCE!$B135:$DY135,PRODUCE!$EB$57:$IY$57)</f>
        <v>0</v>
      </c>
      <c r="VK126" s="56"/>
      <c r="VL126" s="242">
        <f t="shared" si="949"/>
        <v>0</v>
      </c>
      <c r="VM126" s="242">
        <f t="shared" si="950"/>
        <v>0</v>
      </c>
      <c r="VN126" s="56"/>
      <c r="VQ126" s="55">
        <f t="shared" si="951"/>
        <v>46127</v>
      </c>
      <c r="VR126" s="56"/>
      <c r="VS126" s="242">
        <f>SUMPRODUCT(PRODUCE!$B135:$DY135,PRODUCE!$EB$57:$IY$57)</f>
        <v>0</v>
      </c>
      <c r="VT126" s="56"/>
      <c r="VU126" s="242">
        <f t="shared" si="952"/>
        <v>0</v>
      </c>
      <c r="VV126" s="242">
        <f t="shared" si="953"/>
        <v>0</v>
      </c>
      <c r="VW126" s="56"/>
      <c r="VZ126" s="55">
        <f t="shared" si="954"/>
        <v>46127</v>
      </c>
      <c r="WA126" s="56"/>
      <c r="WB126" s="242">
        <f>SUMPRODUCT(PRODUCE!$B135:$DY135,PRODUCE!$EB$57:$IY$57)</f>
        <v>0</v>
      </c>
      <c r="WC126" s="56"/>
      <c r="WD126" s="242">
        <f t="shared" si="955"/>
        <v>0</v>
      </c>
      <c r="WE126" s="242">
        <f t="shared" si="956"/>
        <v>0</v>
      </c>
      <c r="WF126" s="56"/>
      <c r="WI126" s="55">
        <f t="shared" si="957"/>
        <v>46127</v>
      </c>
      <c r="WJ126" s="56"/>
      <c r="WK126" s="242">
        <f>SUMPRODUCT(PRODUCE!$B135:$DY135,PRODUCE!$EB$57:$IY$57)</f>
        <v>0</v>
      </c>
      <c r="WL126" s="56"/>
      <c r="WM126" s="242">
        <f t="shared" si="958"/>
        <v>0</v>
      </c>
      <c r="WN126" s="242">
        <f t="shared" si="959"/>
        <v>2317</v>
      </c>
      <c r="WO126" s="56"/>
      <c r="WR126" s="55">
        <f t="shared" si="960"/>
        <v>46127</v>
      </c>
      <c r="WS126" s="56"/>
      <c r="WT126" s="242">
        <f>SUMPRODUCT(PRODUCE!$B135:$DY135,PRODUCE!$EB$57:$IY$57)</f>
        <v>0</v>
      </c>
      <c r="WU126" s="56"/>
      <c r="WV126" s="242">
        <f t="shared" si="961"/>
        <v>0</v>
      </c>
      <c r="WW126" s="242">
        <f t="shared" si="962"/>
        <v>6980</v>
      </c>
      <c r="WX126" s="56"/>
      <c r="XA126" s="55">
        <f t="shared" si="963"/>
        <v>46127</v>
      </c>
      <c r="XB126" s="56"/>
      <c r="XC126" s="242">
        <f>SUMPRODUCT(PRODUCE!$B135:$DY135,PRODUCE!$EB$57:$IY$57)</f>
        <v>0</v>
      </c>
      <c r="XD126" s="56"/>
      <c r="XE126" s="242">
        <f t="shared" si="964"/>
        <v>0</v>
      </c>
      <c r="XF126" s="242">
        <f t="shared" si="965"/>
        <v>14868</v>
      </c>
      <c r="XG126" s="56"/>
      <c r="XJ126" s="55">
        <f t="shared" si="966"/>
        <v>46127</v>
      </c>
      <c r="XK126" s="56"/>
      <c r="XL126" s="242">
        <f>SUMPRODUCT(PRODUCE!$B135:$DY135,PRODUCE!$EB$57:$IY$57)</f>
        <v>0</v>
      </c>
      <c r="XM126" s="56">
        <v>829</v>
      </c>
      <c r="XN126" s="242">
        <f t="shared" si="967"/>
        <v>-829</v>
      </c>
      <c r="XO126" s="242">
        <f t="shared" si="968"/>
        <v>4003</v>
      </c>
      <c r="XP126" s="56"/>
      <c r="XS126" s="55">
        <f t="shared" si="969"/>
        <v>46127</v>
      </c>
      <c r="XT126" s="56"/>
      <c r="XU126" s="242">
        <f>SUMPRODUCT(PRODUCE!$B135:$DY135,PRODUCE!$EB$57:$IY$57)</f>
        <v>0</v>
      </c>
      <c r="XV126" s="56"/>
      <c r="XW126" s="242">
        <f t="shared" si="970"/>
        <v>0</v>
      </c>
      <c r="XX126" s="242">
        <f t="shared" si="971"/>
        <v>1901</v>
      </c>
      <c r="XY126" s="56"/>
      <c r="YB126" s="55">
        <f t="shared" si="972"/>
        <v>46127</v>
      </c>
      <c r="YC126" s="56"/>
      <c r="YD126" s="242">
        <f>SUMPRODUCT(PRODUCE!$B135:$DY135,PRODUCE!$EB$57:$IY$57)</f>
        <v>0</v>
      </c>
      <c r="YE126" s="56"/>
      <c r="YF126" s="242">
        <f t="shared" si="973"/>
        <v>0</v>
      </c>
      <c r="YG126" s="242">
        <f t="shared" si="974"/>
        <v>6459</v>
      </c>
      <c r="YH126" s="56"/>
      <c r="YK126" s="55">
        <f t="shared" si="975"/>
        <v>46127</v>
      </c>
      <c r="YL126" s="56"/>
      <c r="YM126" s="242">
        <f>SUMPRODUCT(PRODUCE!$B135:$DY135,PRODUCE!$EB$57:$IY$57)</f>
        <v>0</v>
      </c>
      <c r="YN126" s="56"/>
      <c r="YO126" s="242">
        <f t="shared" si="976"/>
        <v>0</v>
      </c>
      <c r="YP126" s="242">
        <f t="shared" si="977"/>
        <v>0</v>
      </c>
      <c r="YQ126" s="56"/>
      <c r="YT126" s="55">
        <f t="shared" si="978"/>
        <v>46127</v>
      </c>
      <c r="YU126" s="56"/>
      <c r="YV126" s="242">
        <f>SUMPRODUCT(PRODUCE!$B135:$DY135,PRODUCE!$EB$57:$IY$57)</f>
        <v>0</v>
      </c>
      <c r="YW126" s="56"/>
      <c r="YX126" s="242">
        <f t="shared" si="979"/>
        <v>0</v>
      </c>
      <c r="YY126" s="242">
        <f t="shared" si="980"/>
        <v>0</v>
      </c>
      <c r="YZ126" s="56"/>
      <c r="ZC126" s="55">
        <f t="shared" si="981"/>
        <v>46127</v>
      </c>
      <c r="ZD126" s="56"/>
      <c r="ZE126" s="242">
        <f>SUMPRODUCT(PRODUCE!$B135:$DY135,PRODUCE!$EB$57:$IY$57)</f>
        <v>0</v>
      </c>
      <c r="ZF126" s="56"/>
      <c r="ZG126" s="242">
        <f t="shared" si="982"/>
        <v>0</v>
      </c>
      <c r="ZH126" s="242">
        <f t="shared" si="983"/>
        <v>0</v>
      </c>
      <c r="ZI126" s="56"/>
      <c r="ZL126" s="55">
        <f t="shared" si="984"/>
        <v>46127</v>
      </c>
      <c r="ZM126" s="56"/>
      <c r="ZN126" s="242">
        <f>SUMPRODUCT(PRODUCE!$B135:$DY135,PRODUCE!$EB$57:$IY$57)</f>
        <v>0</v>
      </c>
      <c r="ZO126" s="56"/>
      <c r="ZP126" s="242">
        <f t="shared" si="985"/>
        <v>0</v>
      </c>
      <c r="ZQ126" s="242">
        <f t="shared" si="986"/>
        <v>0</v>
      </c>
      <c r="ZR126" s="56"/>
      <c r="ZU126" s="55">
        <f t="shared" si="987"/>
        <v>46127</v>
      </c>
      <c r="ZV126" s="56"/>
      <c r="ZW126" s="242">
        <f>SUMPRODUCT(PRODUCE!$B135:$DY135,PRODUCE!$EB$57:$IY$57)</f>
        <v>0</v>
      </c>
      <c r="ZX126" s="56"/>
      <c r="ZY126" s="242">
        <f t="shared" si="988"/>
        <v>0</v>
      </c>
      <c r="ZZ126" s="242">
        <f t="shared" si="989"/>
        <v>0</v>
      </c>
      <c r="AAA126" s="56"/>
      <c r="AAD126" s="55">
        <f t="shared" si="990"/>
        <v>46127</v>
      </c>
      <c r="AAE126" s="56"/>
      <c r="AAF126" s="242">
        <f>SUMPRODUCT(PRODUCE!$B135:$DY135,PRODUCE!$EB$57:$IY$57)</f>
        <v>0</v>
      </c>
      <c r="AAG126" s="56"/>
      <c r="AAH126" s="242">
        <f t="shared" si="991"/>
        <v>0</v>
      </c>
      <c r="AAI126" s="242">
        <f t="shared" si="992"/>
        <v>0</v>
      </c>
      <c r="AAJ126" s="56"/>
      <c r="AAM126" s="55">
        <f t="shared" si="993"/>
        <v>46127</v>
      </c>
      <c r="AAN126" s="56"/>
      <c r="AAO126" s="242">
        <f>SUMPRODUCT(PRODUCE!$B135:$DY135,PRODUCE!$EB$57:$IY$57)</f>
        <v>0</v>
      </c>
      <c r="AAP126" s="56"/>
      <c r="AAQ126" s="242">
        <f t="shared" si="994"/>
        <v>0</v>
      </c>
      <c r="AAR126" s="242">
        <f t="shared" si="995"/>
        <v>0</v>
      </c>
      <c r="AAS126" s="56"/>
      <c r="AAV126" s="55">
        <f t="shared" si="996"/>
        <v>46127</v>
      </c>
      <c r="AAW126" s="56"/>
      <c r="AAX126" s="242">
        <f>SUMPRODUCT(PRODUCE!$B135:$DY135,PRODUCE!$EB$57:$IY$57)</f>
        <v>0</v>
      </c>
      <c r="AAY126" s="56"/>
      <c r="AAZ126" s="242">
        <f t="shared" si="997"/>
        <v>0</v>
      </c>
      <c r="ABA126" s="242">
        <f t="shared" si="998"/>
        <v>0</v>
      </c>
      <c r="ABB126" s="56"/>
      <c r="ABE126" s="55">
        <f t="shared" si="999"/>
        <v>46127</v>
      </c>
      <c r="ABF126" s="56"/>
      <c r="ABG126" s="242">
        <f>SUMPRODUCT(PRODUCE!$B135:$DY135,PRODUCE!$EB$57:$IY$57)</f>
        <v>0</v>
      </c>
      <c r="ABH126" s="56"/>
      <c r="ABI126" s="242">
        <f t="shared" si="1000"/>
        <v>0</v>
      </c>
      <c r="ABJ126" s="242">
        <f t="shared" si="1001"/>
        <v>0</v>
      </c>
      <c r="ABK126" s="56"/>
    </row>
    <row r="127" spans="2:739" s="54" customFormat="1" ht="15" customHeight="1" outlineLevel="1">
      <c r="B127" s="478">
        <v>60</v>
      </c>
      <c r="C127" s="55">
        <v>46128</v>
      </c>
      <c r="D127" s="422">
        <v>29570</v>
      </c>
      <c r="E127" s="423">
        <f>SUMPRODUCT(PRODUCE!$B136:$DY136,PRODUCE!$EB$7:$IY$7)</f>
        <v>30140.999999999996</v>
      </c>
      <c r="F127" s="422">
        <v>30137.4</v>
      </c>
      <c r="G127" s="423">
        <f t="shared" si="1002"/>
        <v>3.5999999999949068</v>
      </c>
      <c r="H127" s="423">
        <f t="shared" si="1003"/>
        <v>135195.19999999998</v>
      </c>
      <c r="I127" s="289" t="s">
        <v>246</v>
      </c>
      <c r="L127" s="55">
        <f t="shared" si="759"/>
        <v>46128</v>
      </c>
      <c r="M127" s="422"/>
      <c r="N127" s="438">
        <f>SUMPRODUCT(PRODUCE!$B136:$DY136,PRODUCE!$EB$8:$IY$8)</f>
        <v>12300</v>
      </c>
      <c r="O127" s="422">
        <v>12299.6</v>
      </c>
      <c r="P127" s="438">
        <f t="shared" si="760"/>
        <v>0.3999999999996362</v>
      </c>
      <c r="Q127" s="438">
        <f t="shared" si="761"/>
        <v>48979.800000000097</v>
      </c>
      <c r="R127" s="56"/>
      <c r="U127" s="55">
        <f t="shared" si="762"/>
        <v>46128</v>
      </c>
      <c r="V127" s="422"/>
      <c r="W127" s="440">
        <f>SUMPRODUCT(PRODUCE!$B136:$DY136,PRODUCE!$EB$9:$IY$9)</f>
        <v>5009.9999999999991</v>
      </c>
      <c r="X127" s="422">
        <v>5009.5</v>
      </c>
      <c r="Y127" s="440">
        <f t="shared" si="763"/>
        <v>0.49999999999909051</v>
      </c>
      <c r="Z127" s="440">
        <f t="shared" si="764"/>
        <v>19736.699999999972</v>
      </c>
      <c r="AA127" s="56"/>
      <c r="AD127" s="55">
        <f t="shared" si="765"/>
        <v>46128</v>
      </c>
      <c r="AE127" s="422"/>
      <c r="AF127" s="442">
        <f>SUMPRODUCT(PRODUCE!$B136:$DY136,PRODUCE!$EB$10:$IY$10)</f>
        <v>780.00000000000011</v>
      </c>
      <c r="AG127" s="422">
        <v>780.5</v>
      </c>
      <c r="AH127" s="442">
        <f t="shared" si="766"/>
        <v>-0.49999999999988631</v>
      </c>
      <c r="AI127" s="442">
        <f t="shared" si="767"/>
        <v>40251.800000000017</v>
      </c>
      <c r="AJ127" s="56"/>
      <c r="AM127" s="55">
        <f t="shared" si="768"/>
        <v>46128</v>
      </c>
      <c r="AN127" s="422"/>
      <c r="AO127" s="444">
        <f>SUMPRODUCT(PRODUCE!$B136:$DY136,PRODUCE!$EB$11:$IY$11)</f>
        <v>0</v>
      </c>
      <c r="AP127" s="422"/>
      <c r="AQ127" s="444">
        <f t="shared" si="769"/>
        <v>0</v>
      </c>
      <c r="AR127" s="444">
        <f t="shared" si="770"/>
        <v>0</v>
      </c>
      <c r="AS127" s="56"/>
      <c r="AV127" s="55">
        <f t="shared" si="771"/>
        <v>46128</v>
      </c>
      <c r="AW127" s="422"/>
      <c r="AX127" s="446">
        <f>SUMPRODUCT(PRODUCE!$B136:$DY136,PRODUCE!$EB$12:$IY$12)</f>
        <v>0</v>
      </c>
      <c r="AY127" s="422"/>
      <c r="AZ127" s="446">
        <f t="shared" si="772"/>
        <v>0</v>
      </c>
      <c r="BA127" s="446">
        <f t="shared" si="773"/>
        <v>12866.299999999992</v>
      </c>
      <c r="BB127" s="56"/>
      <c r="BE127" s="55">
        <f t="shared" si="774"/>
        <v>46128</v>
      </c>
      <c r="BF127" s="422">
        <v>28080</v>
      </c>
      <c r="BG127" s="448">
        <f>SUMPRODUCT(PRODUCE!$B136:$DY136,PRODUCE!$EB$13:$IY$13)</f>
        <v>2520</v>
      </c>
      <c r="BH127" s="422">
        <v>2521</v>
      </c>
      <c r="BI127" s="448">
        <f t="shared" si="775"/>
        <v>-1</v>
      </c>
      <c r="BJ127" s="448">
        <f t="shared" si="776"/>
        <v>31352.9</v>
      </c>
      <c r="BK127" s="56"/>
      <c r="BN127" s="55">
        <f t="shared" si="777"/>
        <v>46128</v>
      </c>
      <c r="BO127" s="422">
        <v>1200.2</v>
      </c>
      <c r="BP127" s="450">
        <f>SUMPRODUCT(PRODUCE!$B136:$DY136,PRODUCE!$EB$14:$IY$14)</f>
        <v>1200</v>
      </c>
      <c r="BQ127" s="422">
        <v>1200.2</v>
      </c>
      <c r="BR127" s="450">
        <f t="shared" si="778"/>
        <v>-0.20000000000004547</v>
      </c>
      <c r="BS127" s="450">
        <f t="shared" si="779"/>
        <v>0</v>
      </c>
      <c r="BT127" s="56"/>
      <c r="BW127" s="55">
        <f t="shared" si="780"/>
        <v>46128</v>
      </c>
      <c r="BX127" s="56"/>
      <c r="BY127" s="65">
        <f>SUMPRODUCT(PRODUCE!$B136:$DY136,PRODUCE!$EB$15:$IY$15)</f>
        <v>399</v>
      </c>
      <c r="BZ127" s="56"/>
      <c r="CA127" s="65">
        <f t="shared" si="781"/>
        <v>399</v>
      </c>
      <c r="CB127" s="65">
        <f t="shared" si="782"/>
        <v>8228.7999999999993</v>
      </c>
      <c r="CC127" s="56"/>
      <c r="CF127" s="55">
        <f t="shared" si="783"/>
        <v>46128</v>
      </c>
      <c r="CG127" s="56"/>
      <c r="CH127" s="66">
        <f>SUMPRODUCT(PRODUCE!$B136:$DY136,PRODUCE!$EB$16:$IY$16)</f>
        <v>600</v>
      </c>
      <c r="CI127" s="56"/>
      <c r="CJ127" s="66">
        <f t="shared" si="784"/>
        <v>600</v>
      </c>
      <c r="CK127" s="66">
        <f t="shared" si="785"/>
        <v>0</v>
      </c>
      <c r="CL127" s="56"/>
      <c r="CO127" s="55">
        <f t="shared" si="786"/>
        <v>46128</v>
      </c>
      <c r="CP127" s="422"/>
      <c r="CQ127" s="470">
        <f>SUMPRODUCT(PRODUCE!$B136:$DY136,PRODUCE!$EB$17:$IY$17)</f>
        <v>0</v>
      </c>
      <c r="CR127" s="422"/>
      <c r="CS127" s="470">
        <f t="shared" si="787"/>
        <v>0</v>
      </c>
      <c r="CT127" s="470">
        <f t="shared" si="788"/>
        <v>0</v>
      </c>
      <c r="CU127" s="56"/>
      <c r="CX127" s="55">
        <f t="shared" si="789"/>
        <v>46128</v>
      </c>
      <c r="CY127" s="56"/>
      <c r="CZ127" s="133">
        <f>SUMPRODUCT(PRODUCE!$B136:$DY136,PRODUCE!$EB$18:$IY$18)</f>
        <v>3000</v>
      </c>
      <c r="DA127" s="56">
        <v>3000.6</v>
      </c>
      <c r="DB127" s="133">
        <f t="shared" si="790"/>
        <v>-0.59999999999990905</v>
      </c>
      <c r="DC127" s="133">
        <f t="shared" si="791"/>
        <v>14450.800000000005</v>
      </c>
      <c r="DD127" s="56"/>
      <c r="DG127" s="55">
        <f t="shared" si="792"/>
        <v>46128</v>
      </c>
      <c r="DH127" s="56"/>
      <c r="DI127" s="147">
        <f>SUMPRODUCT(PRODUCE!$B136:$DY136,PRODUCE!$EB$19:$IY$19)</f>
        <v>2400</v>
      </c>
      <c r="DJ127" s="56">
        <v>2399.8000000000002</v>
      </c>
      <c r="DK127" s="147">
        <f t="shared" si="793"/>
        <v>0.1999999999998181</v>
      </c>
      <c r="DL127" s="147">
        <f t="shared" si="794"/>
        <v>15421.199999999993</v>
      </c>
      <c r="DM127" s="56"/>
      <c r="DP127" s="55">
        <f t="shared" si="795"/>
        <v>46128</v>
      </c>
      <c r="DQ127" s="56"/>
      <c r="DR127" s="57">
        <f>SUMPRODUCT(PRODUCE!$B136:$DY136,PRODUCE!$EB$20:$IY$20)</f>
        <v>0</v>
      </c>
      <c r="DS127" s="56"/>
      <c r="DT127" s="57">
        <f t="shared" si="796"/>
        <v>0</v>
      </c>
      <c r="DU127" s="57">
        <f t="shared" si="797"/>
        <v>6300</v>
      </c>
      <c r="DV127" s="56"/>
      <c r="DY127" s="55">
        <f t="shared" si="798"/>
        <v>46128</v>
      </c>
      <c r="DZ127" s="56"/>
      <c r="EA127" s="157">
        <f>SUMPRODUCT(PRODUCE!$B136:$DY136,PRODUCE!$EB$21:$IY$21)</f>
        <v>0</v>
      </c>
      <c r="EB127" s="56"/>
      <c r="EC127" s="157">
        <f t="shared" si="799"/>
        <v>0</v>
      </c>
      <c r="ED127" s="157">
        <f t="shared" si="800"/>
        <v>147.30000000000018</v>
      </c>
      <c r="EE127" s="56"/>
      <c r="EH127" s="55">
        <f t="shared" si="801"/>
        <v>46128</v>
      </c>
      <c r="EI127" s="56"/>
      <c r="EJ127" s="162">
        <f>SUMPRODUCT(PRODUCE!$B136:$DY136,PRODUCE!$EB$22:$IY$22)</f>
        <v>0</v>
      </c>
      <c r="EK127" s="56"/>
      <c r="EL127" s="162">
        <f t="shared" si="802"/>
        <v>0</v>
      </c>
      <c r="EM127" s="162">
        <f t="shared" si="803"/>
        <v>0</v>
      </c>
      <c r="EN127" s="56"/>
      <c r="EQ127" s="55">
        <f t="shared" si="804"/>
        <v>46128</v>
      </c>
      <c r="ER127" s="56"/>
      <c r="ES127" s="135">
        <f>SUMPRODUCT(PRODUCE!$B136:$DY136,PRODUCE!$EB$23:$IY$23)</f>
        <v>0</v>
      </c>
      <c r="ET127" s="56"/>
      <c r="EU127" s="135">
        <f t="shared" si="805"/>
        <v>0</v>
      </c>
      <c r="EV127" s="135">
        <f t="shared" si="806"/>
        <v>0</v>
      </c>
      <c r="EW127" s="56"/>
      <c r="EZ127" s="55">
        <f t="shared" si="807"/>
        <v>46128</v>
      </c>
      <c r="FA127" s="56"/>
      <c r="FB127" s="175">
        <f>SUMPRODUCT(PRODUCE!$B136:$DY136,PRODUCE!$EB$24:$IY$24)</f>
        <v>0</v>
      </c>
      <c r="FC127" s="56"/>
      <c r="FD127" s="175">
        <f t="shared" si="808"/>
        <v>0</v>
      </c>
      <c r="FE127" s="175">
        <f t="shared" si="809"/>
        <v>0</v>
      </c>
      <c r="FF127" s="56"/>
      <c r="FI127" s="55">
        <f t="shared" si="810"/>
        <v>46128</v>
      </c>
      <c r="FJ127" s="56"/>
      <c r="FK127" s="183">
        <f>SUMPRODUCT(PRODUCE!$B136:$DY136,PRODUCE!$EB$25:$IY$25)</f>
        <v>0</v>
      </c>
      <c r="FL127" s="56"/>
      <c r="FM127" s="183">
        <f t="shared" si="811"/>
        <v>0</v>
      </c>
      <c r="FN127" s="183">
        <f t="shared" si="812"/>
        <v>0</v>
      </c>
      <c r="FO127" s="56"/>
      <c r="FR127" s="55">
        <f t="shared" si="813"/>
        <v>46128</v>
      </c>
      <c r="FS127" s="422"/>
      <c r="FT127" s="452">
        <f>SUMPRODUCT(PRODUCE!$B136:$DY136,PRODUCE!$EB$26:$IY$26)</f>
        <v>0</v>
      </c>
      <c r="FU127" s="422"/>
      <c r="FV127" s="452">
        <f t="shared" si="814"/>
        <v>0</v>
      </c>
      <c r="FW127" s="452">
        <f t="shared" si="815"/>
        <v>2120</v>
      </c>
      <c r="FX127" s="56"/>
      <c r="GA127" s="55">
        <f t="shared" si="816"/>
        <v>46128</v>
      </c>
      <c r="GB127" s="422"/>
      <c r="GC127" s="454">
        <f>SUMPRODUCT(PRODUCE!$B136:$DY136,PRODUCE!$EB$27:$IY$27)</f>
        <v>0</v>
      </c>
      <c r="GD127" s="422"/>
      <c r="GE127" s="454">
        <f t="shared" si="817"/>
        <v>0</v>
      </c>
      <c r="GF127" s="454">
        <f t="shared" si="818"/>
        <v>10000</v>
      </c>
      <c r="GG127" s="56"/>
      <c r="GI127" s="23"/>
      <c r="GJ127" s="55">
        <f t="shared" si="819"/>
        <v>46128</v>
      </c>
      <c r="GK127" s="422"/>
      <c r="GL127" s="456">
        <f>SUMPRODUCT(PRODUCE!$B136:$DY136,PRODUCE!$EB$28:$IY$28)</f>
        <v>0</v>
      </c>
      <c r="GM127" s="422"/>
      <c r="GN127" s="456">
        <f t="shared" si="820"/>
        <v>0</v>
      </c>
      <c r="GO127" s="456">
        <f t="shared" si="821"/>
        <v>4800</v>
      </c>
      <c r="GP127" s="56"/>
      <c r="GS127" s="55">
        <f t="shared" si="822"/>
        <v>46128</v>
      </c>
      <c r="GT127" s="56"/>
      <c r="GU127" s="195">
        <f>SUMPRODUCT(PRODUCE!$B136:$DY136,PRODUCE!$EB$29:$IY$29)</f>
        <v>0</v>
      </c>
      <c r="GV127" s="56"/>
      <c r="GW127" s="195">
        <f t="shared" si="823"/>
        <v>0</v>
      </c>
      <c r="GX127" s="195">
        <f t="shared" si="824"/>
        <v>0</v>
      </c>
      <c r="GY127" s="56"/>
      <c r="HB127" s="55">
        <f t="shared" si="825"/>
        <v>46128</v>
      </c>
      <c r="HC127" s="56"/>
      <c r="HD127" s="191">
        <f>SUMPRODUCT(PRODUCE!$B136:$DY136,PRODUCE!$EB$30:$IY$30)</f>
        <v>0</v>
      </c>
      <c r="HE127" s="56"/>
      <c r="HF127" s="191">
        <f t="shared" si="826"/>
        <v>0</v>
      </c>
      <c r="HG127" s="191">
        <f t="shared" si="827"/>
        <v>0</v>
      </c>
      <c r="HH127" s="56"/>
      <c r="HK127" s="55">
        <f t="shared" si="828"/>
        <v>46128</v>
      </c>
      <c r="HL127" s="56"/>
      <c r="HM127" s="63">
        <f>SUMPRODUCT(PRODUCE!$B136:$DY136,PRODUCE!$EB$31:$IY$31)</f>
        <v>0</v>
      </c>
      <c r="HN127" s="56"/>
      <c r="HO127" s="63">
        <f t="shared" si="829"/>
        <v>0</v>
      </c>
      <c r="HP127" s="63">
        <f t="shared" si="830"/>
        <v>0</v>
      </c>
      <c r="HQ127" s="56"/>
      <c r="HU127" s="55">
        <f t="shared" si="831"/>
        <v>46128</v>
      </c>
      <c r="HV127" s="56"/>
      <c r="HW127" s="242">
        <f>SUMPRODUCT(PRODUCE!$B136:$DY136,PRODUCE!$EB$32:$IY$32)</f>
        <v>0</v>
      </c>
      <c r="HX127" s="56"/>
      <c r="HY127" s="242">
        <f t="shared" si="832"/>
        <v>0</v>
      </c>
      <c r="HZ127" s="242">
        <f t="shared" si="833"/>
        <v>5120</v>
      </c>
      <c r="IA127" s="56"/>
      <c r="ID127" s="55">
        <f t="shared" si="834"/>
        <v>46128</v>
      </c>
      <c r="IE127" s="56"/>
      <c r="IF127" s="242">
        <f>SUMPRODUCT(PRODUCE!$B136:$DY136,PRODUCE!$EB$33:$IY$33)</f>
        <v>0</v>
      </c>
      <c r="IG127" s="56"/>
      <c r="IH127" s="242">
        <f t="shared" si="835"/>
        <v>0</v>
      </c>
      <c r="II127" s="242">
        <f t="shared" si="836"/>
        <v>6540</v>
      </c>
      <c r="IJ127" s="56"/>
      <c r="IM127" s="55">
        <f t="shared" si="837"/>
        <v>46128</v>
      </c>
      <c r="IN127" s="56"/>
      <c r="IO127" s="242">
        <f>SUMPRODUCT(PRODUCE!$B136:$DY136,PRODUCE!$EB$34:$IY$34)</f>
        <v>0</v>
      </c>
      <c r="IP127" s="56"/>
      <c r="IQ127" s="242">
        <f t="shared" si="838"/>
        <v>0</v>
      </c>
      <c r="IR127" s="242">
        <f t="shared" si="839"/>
        <v>11540</v>
      </c>
      <c r="IS127" s="56"/>
      <c r="IV127" s="55">
        <f t="shared" si="840"/>
        <v>46128</v>
      </c>
      <c r="IW127" s="56"/>
      <c r="IX127" s="242">
        <f>SUMPRODUCT(PRODUCE!$B136:$DY136,PRODUCE!$EB$35:$IY$35)</f>
        <v>0</v>
      </c>
      <c r="IY127" s="56"/>
      <c r="IZ127" s="242">
        <f t="shared" si="841"/>
        <v>0</v>
      </c>
      <c r="JA127" s="242">
        <f t="shared" si="842"/>
        <v>15120</v>
      </c>
      <c r="JB127" s="56"/>
      <c r="JE127" s="55">
        <f t="shared" si="843"/>
        <v>46128</v>
      </c>
      <c r="JF127" s="56"/>
      <c r="JG127" s="242">
        <f>SUMPRODUCT(PRODUCE!$B136:$DY136,PRODUCE!$EB$36:$IY$36)</f>
        <v>0</v>
      </c>
      <c r="JH127" s="56"/>
      <c r="JI127" s="242">
        <f t="shared" si="844"/>
        <v>0</v>
      </c>
      <c r="JJ127" s="242">
        <f t="shared" si="845"/>
        <v>5040</v>
      </c>
      <c r="JK127" s="56"/>
      <c r="JN127" s="55">
        <f t="shared" si="846"/>
        <v>46128</v>
      </c>
      <c r="JO127" s="56"/>
      <c r="JP127" s="242">
        <f>SUMPRODUCT(PRODUCE!$B136:$DY136,PRODUCE!$EB$37:$IY$37)</f>
        <v>0</v>
      </c>
      <c r="JQ127" s="56"/>
      <c r="JR127" s="242">
        <f t="shared" si="847"/>
        <v>0</v>
      </c>
      <c r="JS127" s="242">
        <f t="shared" si="848"/>
        <v>9100</v>
      </c>
      <c r="JT127" s="56"/>
      <c r="JW127" s="55">
        <f t="shared" si="849"/>
        <v>46128</v>
      </c>
      <c r="JX127" s="56"/>
      <c r="JY127" s="242">
        <f>SUMPRODUCT(PRODUCE!$B136:$DY136,PRODUCE!$EB$38:$IY$38)</f>
        <v>0</v>
      </c>
      <c r="JZ127" s="56"/>
      <c r="KA127" s="242">
        <f t="shared" si="850"/>
        <v>0</v>
      </c>
      <c r="KB127" s="242">
        <f t="shared" si="851"/>
        <v>2940</v>
      </c>
      <c r="KC127" s="56"/>
      <c r="KF127" s="55">
        <f t="shared" si="852"/>
        <v>46128</v>
      </c>
      <c r="KG127" s="56"/>
      <c r="KH127" s="242">
        <f>SUMPRODUCT(PRODUCE!$B136:$DY136,PRODUCE!$EB$39:$IY$39)</f>
        <v>1170</v>
      </c>
      <c r="KI127" s="56"/>
      <c r="KJ127" s="242">
        <f t="shared" si="853"/>
        <v>1170</v>
      </c>
      <c r="KK127" s="242">
        <f t="shared" si="854"/>
        <v>1579.5</v>
      </c>
      <c r="KL127" s="56"/>
      <c r="KO127" s="55">
        <f t="shared" si="855"/>
        <v>46128</v>
      </c>
      <c r="KP127" s="56"/>
      <c r="KQ127" s="242">
        <f>SUMPRODUCT(PRODUCE!$B136:$DY136,PRODUCE!$EB$40:$IY$40)</f>
        <v>0</v>
      </c>
      <c r="KR127" s="56"/>
      <c r="KS127" s="242">
        <f t="shared" si="856"/>
        <v>0</v>
      </c>
      <c r="KT127" s="242">
        <f t="shared" si="857"/>
        <v>5216.3999999999996</v>
      </c>
      <c r="KU127" s="56"/>
      <c r="KW127" s="518"/>
      <c r="KX127" s="55">
        <f t="shared" si="858"/>
        <v>46128</v>
      </c>
      <c r="KY127" s="56"/>
      <c r="KZ127" s="242">
        <f>SUMPRODUCT(PRODUCE!$B136:$DY136,PRODUCE!$EB$41:$IY$41)</f>
        <v>0</v>
      </c>
      <c r="LA127" s="56"/>
      <c r="LB127" s="242">
        <f t="shared" si="859"/>
        <v>0</v>
      </c>
      <c r="LC127" s="242">
        <f t="shared" si="860"/>
        <v>0</v>
      </c>
      <c r="LD127" s="56"/>
      <c r="LG127" s="55">
        <f t="shared" si="861"/>
        <v>46128</v>
      </c>
      <c r="LH127" s="56"/>
      <c r="LI127" s="242">
        <f>SUMPRODUCT(PRODUCE!$B136:$DY136,PRODUCE!$EB$42:$IY$42)</f>
        <v>0</v>
      </c>
      <c r="LJ127" s="56"/>
      <c r="LK127" s="242">
        <f t="shared" si="862"/>
        <v>0</v>
      </c>
      <c r="LL127" s="242">
        <f t="shared" si="863"/>
        <v>0</v>
      </c>
      <c r="LM127" s="56"/>
      <c r="LP127" s="55">
        <f t="shared" si="864"/>
        <v>46128</v>
      </c>
      <c r="LQ127" s="56"/>
      <c r="LR127" s="242">
        <f>SUMPRODUCT(PRODUCE!$B142:$DY142,PRODUCE!$EB$43:$IY$43)</f>
        <v>0</v>
      </c>
      <c r="LS127" s="56"/>
      <c r="LT127" s="242">
        <f t="shared" si="865"/>
        <v>0</v>
      </c>
      <c r="LU127" s="242">
        <f t="shared" si="866"/>
        <v>0</v>
      </c>
      <c r="LV127" s="56"/>
      <c r="LY127" s="55">
        <f t="shared" si="867"/>
        <v>46128</v>
      </c>
      <c r="LZ127" s="56"/>
      <c r="MA127" s="242">
        <f>SUMPRODUCT(PRODUCE!$B136:$DY136,PRODUCE!$EB$44:$IY$44)</f>
        <v>0</v>
      </c>
      <c r="MB127" s="56"/>
      <c r="MC127" s="242">
        <f t="shared" si="868"/>
        <v>0</v>
      </c>
      <c r="MD127" s="242">
        <f t="shared" si="869"/>
        <v>0</v>
      </c>
      <c r="ME127" s="56"/>
      <c r="MH127" s="55">
        <f t="shared" si="870"/>
        <v>46128</v>
      </c>
      <c r="MI127" s="56"/>
      <c r="MJ127" s="242">
        <f>SUMPRODUCT(PRODUCE!$B136:$DY136,PRODUCE!$EB$45:$IY$45)</f>
        <v>0</v>
      </c>
      <c r="MK127" s="56"/>
      <c r="ML127" s="242">
        <f t="shared" si="871"/>
        <v>0</v>
      </c>
      <c r="MM127" s="242">
        <f t="shared" si="872"/>
        <v>0</v>
      </c>
      <c r="MN127" s="56"/>
      <c r="MQ127" s="55">
        <f t="shared" si="873"/>
        <v>46128</v>
      </c>
      <c r="MR127" s="56"/>
      <c r="MS127" s="242">
        <f>SUMPRODUCT(PRODUCE!$B136:$DY136,PRODUCE!$EB$46:$IY$46)</f>
        <v>0</v>
      </c>
      <c r="MT127" s="56"/>
      <c r="MU127" s="242">
        <f t="shared" si="874"/>
        <v>0</v>
      </c>
      <c r="MV127" s="242">
        <f t="shared" si="875"/>
        <v>4149</v>
      </c>
      <c r="MW127" s="56"/>
      <c r="MZ127" s="55">
        <f t="shared" si="876"/>
        <v>46128</v>
      </c>
      <c r="NA127" s="56"/>
      <c r="NB127" s="242">
        <f>SUMPRODUCT(PRODUCE!$B136:$DY136,PRODUCE!$EB$47:$IY$47)</f>
        <v>180</v>
      </c>
      <c r="NC127" s="56"/>
      <c r="ND127" s="242">
        <f t="shared" si="877"/>
        <v>180</v>
      </c>
      <c r="NE127" s="242">
        <f t="shared" si="878"/>
        <v>0</v>
      </c>
      <c r="NF127" s="56"/>
      <c r="NI127" s="55">
        <f t="shared" si="879"/>
        <v>46128</v>
      </c>
      <c r="NJ127" s="56"/>
      <c r="NK127" s="242">
        <f>SUMPRODUCT(PRODUCE!$B136:$DY136,PRODUCE!$EB$48:$IY$48)</f>
        <v>60</v>
      </c>
      <c r="NL127" s="56"/>
      <c r="NM127" s="242">
        <f t="shared" si="880"/>
        <v>60</v>
      </c>
      <c r="NN127" s="242">
        <f t="shared" si="881"/>
        <v>1523</v>
      </c>
      <c r="NO127" s="56"/>
      <c r="NR127" s="55">
        <f t="shared" si="882"/>
        <v>46128</v>
      </c>
      <c r="NS127" s="56"/>
      <c r="NT127" s="242">
        <f>SUMPRODUCT(PRODUCE!$B136:$DY136,PRODUCE!$EB$49:$IY$49)</f>
        <v>72</v>
      </c>
      <c r="NU127" s="56"/>
      <c r="NV127" s="242">
        <f t="shared" si="883"/>
        <v>72</v>
      </c>
      <c r="NW127" s="242">
        <f t="shared" si="884"/>
        <v>3566.1</v>
      </c>
      <c r="NX127" s="56"/>
      <c r="OA127" s="55">
        <f t="shared" si="885"/>
        <v>46128</v>
      </c>
      <c r="OB127" s="56"/>
      <c r="OC127" s="242">
        <f>SUMPRODUCT(PRODUCE!$B136:$DY136,PRODUCE!$EB$50:$IY$50)</f>
        <v>0</v>
      </c>
      <c r="OD127" s="56"/>
      <c r="OE127" s="242">
        <f t="shared" si="886"/>
        <v>0</v>
      </c>
      <c r="OF127" s="242">
        <f t="shared" si="887"/>
        <v>1680.5</v>
      </c>
      <c r="OG127" s="56"/>
      <c r="OJ127" s="55">
        <f t="shared" si="888"/>
        <v>46128</v>
      </c>
      <c r="OK127" s="56"/>
      <c r="OL127" s="242">
        <f>SUMPRODUCT(PRODUCE!$B136:$DY136,PRODUCE!$EB$51:$IY$51)</f>
        <v>167.99999999999997</v>
      </c>
      <c r="OM127" s="56"/>
      <c r="ON127" s="242">
        <f t="shared" si="889"/>
        <v>167.99999999999997</v>
      </c>
      <c r="OO127" s="242">
        <f t="shared" si="890"/>
        <v>0</v>
      </c>
      <c r="OP127" s="56"/>
      <c r="OS127" s="55">
        <f t="shared" si="891"/>
        <v>46128</v>
      </c>
      <c r="OT127" s="56"/>
      <c r="OU127" s="242">
        <f>SUMPRODUCT(PRODUCE!$B136:$DY136,PRODUCE!$EB$52:$IY$52)</f>
        <v>0</v>
      </c>
      <c r="OV127" s="56"/>
      <c r="OW127" s="242">
        <f t="shared" si="892"/>
        <v>0</v>
      </c>
      <c r="OX127" s="242">
        <f t="shared" si="893"/>
        <v>1000</v>
      </c>
      <c r="OY127" s="56"/>
      <c r="PB127" s="55">
        <f t="shared" si="894"/>
        <v>46128</v>
      </c>
      <c r="PC127" s="56"/>
      <c r="PD127" s="242">
        <f>SUMPRODUCT(PRODUCE!$B136:$DY136,PRODUCE!$EB$53:$IY$53)</f>
        <v>0</v>
      </c>
      <c r="PE127" s="56"/>
      <c r="PF127" s="242">
        <f t="shared" si="895"/>
        <v>0</v>
      </c>
      <c r="PG127" s="242">
        <f t="shared" si="896"/>
        <v>0</v>
      </c>
      <c r="PH127" s="56"/>
      <c r="PK127" s="55">
        <f t="shared" si="897"/>
        <v>46128</v>
      </c>
      <c r="PL127" s="56"/>
      <c r="PM127" s="242">
        <f>SUMPRODUCT(PRODUCE!$B136:$DY136,PRODUCE!$EB$54:$IY$54)</f>
        <v>0</v>
      </c>
      <c r="PN127" s="56"/>
      <c r="PO127" s="242">
        <f t="shared" si="898"/>
        <v>0</v>
      </c>
      <c r="PP127" s="242">
        <f t="shared" si="899"/>
        <v>100</v>
      </c>
      <c r="PQ127" s="56"/>
      <c r="PT127" s="55">
        <f t="shared" si="900"/>
        <v>46128</v>
      </c>
      <c r="PU127" s="56"/>
      <c r="PV127" s="242">
        <f>SUMPRODUCT(PRODUCE!$B136:$DY136,PRODUCE!$EB$55:$IY$55)</f>
        <v>0</v>
      </c>
      <c r="PW127" s="56"/>
      <c r="PX127" s="242">
        <f t="shared" si="901"/>
        <v>0</v>
      </c>
      <c r="PY127" s="242">
        <f t="shared" si="902"/>
        <v>13.960000000000036</v>
      </c>
      <c r="PZ127" s="56"/>
      <c r="QC127" s="55">
        <f t="shared" si="903"/>
        <v>46128</v>
      </c>
      <c r="QD127" s="56"/>
      <c r="QE127" s="242">
        <f>SUMPRODUCT(PRODUCE!$B136:$DY136,PRODUCE!$EB$56:$IY$56)</f>
        <v>0</v>
      </c>
      <c r="QF127" s="56"/>
      <c r="QG127" s="242">
        <f t="shared" si="904"/>
        <v>0</v>
      </c>
      <c r="QH127" s="242">
        <f t="shared" si="905"/>
        <v>1212</v>
      </c>
      <c r="QI127" s="56"/>
      <c r="QL127" s="55">
        <f t="shared" si="906"/>
        <v>46128</v>
      </c>
      <c r="QM127" s="56"/>
      <c r="QN127" s="242">
        <f>SUMPRODUCT(PRODUCE!$B136:$DY136,PRODUCE!$EB$57:$IY$57)</f>
        <v>0</v>
      </c>
      <c r="QO127" s="56"/>
      <c r="QP127" s="242">
        <f t="shared" si="907"/>
        <v>0</v>
      </c>
      <c r="QQ127" s="242">
        <f t="shared" si="908"/>
        <v>400</v>
      </c>
      <c r="QR127" s="56"/>
      <c r="QU127" s="55">
        <f t="shared" si="909"/>
        <v>46128</v>
      </c>
      <c r="QV127" s="56"/>
      <c r="QW127" s="242">
        <f>SUMPRODUCT(PRODUCE!$B136:$DY136,PRODUCE!$EB$57:$IY$57)</f>
        <v>0</v>
      </c>
      <c r="QX127" s="56"/>
      <c r="QY127" s="242">
        <f t="shared" si="910"/>
        <v>0</v>
      </c>
      <c r="QZ127" s="242">
        <f t="shared" si="911"/>
        <v>207.6</v>
      </c>
      <c r="RA127" s="56"/>
      <c r="RD127" s="55">
        <f t="shared" si="912"/>
        <v>46128</v>
      </c>
      <c r="RE127" s="56"/>
      <c r="RF127" s="242">
        <f>SUMPRODUCT(PRODUCE!$B136:$DY136,PRODUCE!$EB$58:$IY$58)</f>
        <v>0</v>
      </c>
      <c r="RG127" s="56"/>
      <c r="RH127" s="242">
        <f t="shared" si="913"/>
        <v>0</v>
      </c>
      <c r="RI127" s="242">
        <f t="shared" si="914"/>
        <v>147.04000000000002</v>
      </c>
      <c r="RJ127" s="56"/>
      <c r="RM127" s="55">
        <f t="shared" si="915"/>
        <v>46128</v>
      </c>
      <c r="RN127" s="56"/>
      <c r="RO127" s="242">
        <f>SUMPRODUCT(PRODUCE!$B136:$DY136,PRODUCE!$EB$57:$IY$57)</f>
        <v>0</v>
      </c>
      <c r="RP127" s="56"/>
      <c r="RQ127" s="242">
        <f t="shared" si="916"/>
        <v>0</v>
      </c>
      <c r="RR127" s="242">
        <f t="shared" si="917"/>
        <v>46.8</v>
      </c>
      <c r="RS127" s="56"/>
      <c r="RV127" s="55">
        <f t="shared" si="918"/>
        <v>46128</v>
      </c>
      <c r="RW127" s="56"/>
      <c r="RX127" s="242">
        <f>SUMPRODUCT(PRODUCE!$B136:$DY136,PRODUCE!$EB$57:$IY$57)</f>
        <v>0</v>
      </c>
      <c r="RY127" s="56"/>
      <c r="RZ127" s="242">
        <f t="shared" si="919"/>
        <v>0</v>
      </c>
      <c r="SA127" s="242">
        <f t="shared" si="920"/>
        <v>0</v>
      </c>
      <c r="SB127" s="56"/>
      <c r="SE127" s="55">
        <f t="shared" si="921"/>
        <v>46128</v>
      </c>
      <c r="SF127" s="56"/>
      <c r="SG127" s="242">
        <f>SUMPRODUCT(PRODUCE!$B136:$DY136,PRODUCE!$EB$57:$IY$57)</f>
        <v>0</v>
      </c>
      <c r="SH127" s="56"/>
      <c r="SI127" s="242">
        <f t="shared" si="922"/>
        <v>0</v>
      </c>
      <c r="SJ127" s="242">
        <f t="shared" si="923"/>
        <v>125</v>
      </c>
      <c r="SK127" s="56"/>
      <c r="SN127" s="55">
        <f t="shared" si="924"/>
        <v>46128</v>
      </c>
      <c r="SO127" s="56"/>
      <c r="SP127" s="242">
        <f>SUMPRODUCT(PRODUCE!$B136:$DY136,PRODUCE!$EB$57:$IY$57)</f>
        <v>0</v>
      </c>
      <c r="SQ127" s="56"/>
      <c r="SR127" s="242">
        <f t="shared" si="925"/>
        <v>0</v>
      </c>
      <c r="SS127" s="242">
        <f t="shared" si="926"/>
        <v>200</v>
      </c>
      <c r="ST127" s="56"/>
      <c r="SW127" s="55">
        <f t="shared" si="927"/>
        <v>46128</v>
      </c>
      <c r="SX127" s="56"/>
      <c r="SY127" s="242">
        <f>SUMPRODUCT(PRODUCE!$B136:$DY136,PRODUCE!$EB$57:$IY$57)</f>
        <v>0</v>
      </c>
      <c r="SZ127" s="56"/>
      <c r="TA127" s="242">
        <f t="shared" si="928"/>
        <v>0</v>
      </c>
      <c r="TB127" s="242">
        <f t="shared" si="929"/>
        <v>0</v>
      </c>
      <c r="TC127" s="56"/>
      <c r="TF127" s="55">
        <f t="shared" si="930"/>
        <v>46128</v>
      </c>
      <c r="TG127" s="56"/>
      <c r="TH127" s="242">
        <f>SUMPRODUCT(PRODUCE!$B136:$DY136,PRODUCE!$EB$57:$IY$57)</f>
        <v>0</v>
      </c>
      <c r="TI127" s="56"/>
      <c r="TJ127" s="242">
        <f t="shared" si="931"/>
        <v>0</v>
      </c>
      <c r="TK127" s="242">
        <f t="shared" si="932"/>
        <v>0</v>
      </c>
      <c r="TL127" s="56"/>
      <c r="TO127" s="55">
        <f t="shared" si="933"/>
        <v>46128</v>
      </c>
      <c r="TP127" s="56"/>
      <c r="TQ127" s="242">
        <f>SUMPRODUCT(PRODUCE!$B136:$DY136,PRODUCE!$EB$57:$IY$57)</f>
        <v>0</v>
      </c>
      <c r="TR127" s="56"/>
      <c r="TS127" s="242">
        <f t="shared" si="934"/>
        <v>0</v>
      </c>
      <c r="TT127" s="242">
        <f t="shared" si="935"/>
        <v>0</v>
      </c>
      <c r="TU127" s="56"/>
      <c r="TX127" s="55">
        <f t="shared" si="936"/>
        <v>46128</v>
      </c>
      <c r="TY127" s="56"/>
      <c r="TZ127" s="242">
        <f>SUMPRODUCT(PRODUCE!$B136:$DY136,PRODUCE!$EB$57:$IY$57)</f>
        <v>0</v>
      </c>
      <c r="UA127" s="56"/>
      <c r="UB127" s="242">
        <f t="shared" si="937"/>
        <v>0</v>
      </c>
      <c r="UC127" s="242">
        <f t="shared" si="938"/>
        <v>0</v>
      </c>
      <c r="UD127" s="56"/>
      <c r="UG127" s="55">
        <f t="shared" si="939"/>
        <v>46128</v>
      </c>
      <c r="UH127" s="56"/>
      <c r="UI127" s="242">
        <f>SUMPRODUCT(PRODUCE!$B136:$DY136,PRODUCE!$EB$57:$IY$57)</f>
        <v>0</v>
      </c>
      <c r="UJ127" s="56"/>
      <c r="UK127" s="242">
        <f t="shared" si="940"/>
        <v>0</v>
      </c>
      <c r="UL127" s="242">
        <f t="shared" si="941"/>
        <v>0</v>
      </c>
      <c r="UM127" s="56"/>
      <c r="UP127" s="55">
        <f t="shared" si="942"/>
        <v>46128</v>
      </c>
      <c r="UQ127" s="56"/>
      <c r="UR127" s="242">
        <f>SUMPRODUCT(PRODUCE!$B136:$DY136,PRODUCE!$EB$57:$IY$57)</f>
        <v>0</v>
      </c>
      <c r="US127" s="56"/>
      <c r="UT127" s="242">
        <f t="shared" si="943"/>
        <v>0</v>
      </c>
      <c r="UU127" s="242">
        <f t="shared" si="944"/>
        <v>0</v>
      </c>
      <c r="UV127" s="56"/>
      <c r="UY127" s="55">
        <f t="shared" si="945"/>
        <v>46128</v>
      </c>
      <c r="UZ127" s="56"/>
      <c r="VA127" s="242">
        <f>SUMPRODUCT(PRODUCE!$B136:$DY136,PRODUCE!$EB$57:$IY$57)</f>
        <v>0</v>
      </c>
      <c r="VB127" s="56"/>
      <c r="VC127" s="242">
        <f t="shared" si="946"/>
        <v>0</v>
      </c>
      <c r="VD127" s="242">
        <f t="shared" si="947"/>
        <v>41.600000000000023</v>
      </c>
      <c r="VE127" s="56"/>
      <c r="VH127" s="55">
        <f t="shared" si="948"/>
        <v>46128</v>
      </c>
      <c r="VI127" s="56"/>
      <c r="VJ127" s="242">
        <f>SUMPRODUCT(PRODUCE!$B136:$DY136,PRODUCE!$EB$57:$IY$57)</f>
        <v>0</v>
      </c>
      <c r="VK127" s="56"/>
      <c r="VL127" s="242">
        <f t="shared" si="949"/>
        <v>0</v>
      </c>
      <c r="VM127" s="242">
        <f t="shared" si="950"/>
        <v>0</v>
      </c>
      <c r="VN127" s="56"/>
      <c r="VQ127" s="55">
        <f t="shared" si="951"/>
        <v>46128</v>
      </c>
      <c r="VR127" s="56"/>
      <c r="VS127" s="242">
        <f>SUMPRODUCT(PRODUCE!$B136:$DY136,PRODUCE!$EB$57:$IY$57)</f>
        <v>0</v>
      </c>
      <c r="VT127" s="56"/>
      <c r="VU127" s="242">
        <f t="shared" si="952"/>
        <v>0</v>
      </c>
      <c r="VV127" s="242">
        <f t="shared" si="953"/>
        <v>0</v>
      </c>
      <c r="VW127" s="56"/>
      <c r="VZ127" s="55">
        <f t="shared" si="954"/>
        <v>46128</v>
      </c>
      <c r="WA127" s="56"/>
      <c r="WB127" s="242">
        <f>SUMPRODUCT(PRODUCE!$B136:$DY136,PRODUCE!$EB$57:$IY$57)</f>
        <v>0</v>
      </c>
      <c r="WC127" s="56"/>
      <c r="WD127" s="242">
        <f t="shared" si="955"/>
        <v>0</v>
      </c>
      <c r="WE127" s="242">
        <f t="shared" si="956"/>
        <v>0</v>
      </c>
      <c r="WF127" s="56"/>
      <c r="WI127" s="55">
        <f t="shared" si="957"/>
        <v>46128</v>
      </c>
      <c r="WJ127" s="56"/>
      <c r="WK127" s="242">
        <f>SUMPRODUCT(PRODUCE!$B136:$DY136,PRODUCE!$EB$57:$IY$57)</f>
        <v>0</v>
      </c>
      <c r="WL127" s="56"/>
      <c r="WM127" s="242">
        <f t="shared" si="958"/>
        <v>0</v>
      </c>
      <c r="WN127" s="242">
        <f t="shared" si="959"/>
        <v>2317</v>
      </c>
      <c r="WO127" s="56"/>
      <c r="WR127" s="55">
        <f t="shared" si="960"/>
        <v>46128</v>
      </c>
      <c r="WS127" s="56"/>
      <c r="WT127" s="242">
        <f>SUMPRODUCT(PRODUCE!$B136:$DY136,PRODUCE!$EB$57:$IY$57)</f>
        <v>0</v>
      </c>
      <c r="WU127" s="56"/>
      <c r="WV127" s="242">
        <f t="shared" si="961"/>
        <v>0</v>
      </c>
      <c r="WW127" s="242">
        <f t="shared" si="962"/>
        <v>6980</v>
      </c>
      <c r="WX127" s="56"/>
      <c r="XA127" s="55">
        <f t="shared" si="963"/>
        <v>46128</v>
      </c>
      <c r="XB127" s="56"/>
      <c r="XC127" s="242">
        <f>SUMPRODUCT(PRODUCE!$B136:$DY136,PRODUCE!$EB$57:$IY$57)</f>
        <v>0</v>
      </c>
      <c r="XD127" s="56"/>
      <c r="XE127" s="242">
        <f t="shared" si="964"/>
        <v>0</v>
      </c>
      <c r="XF127" s="242">
        <f t="shared" si="965"/>
        <v>14868</v>
      </c>
      <c r="XG127" s="56"/>
      <c r="XJ127" s="55">
        <f t="shared" si="966"/>
        <v>46128</v>
      </c>
      <c r="XK127" s="56"/>
      <c r="XL127" s="242">
        <f>SUMPRODUCT(PRODUCE!$B136:$DY136,PRODUCE!$EB$57:$IY$57)</f>
        <v>0</v>
      </c>
      <c r="XM127" s="56"/>
      <c r="XN127" s="242">
        <f t="shared" si="967"/>
        <v>0</v>
      </c>
      <c r="XO127" s="242">
        <f t="shared" si="968"/>
        <v>4003</v>
      </c>
      <c r="XP127" s="56"/>
      <c r="XS127" s="55">
        <f t="shared" si="969"/>
        <v>46128</v>
      </c>
      <c r="XT127" s="56"/>
      <c r="XU127" s="242">
        <f>SUMPRODUCT(PRODUCE!$B136:$DY136,PRODUCE!$EB$57:$IY$57)</f>
        <v>0</v>
      </c>
      <c r="XV127" s="56"/>
      <c r="XW127" s="242">
        <f t="shared" si="970"/>
        <v>0</v>
      </c>
      <c r="XX127" s="242">
        <f t="shared" si="971"/>
        <v>1901</v>
      </c>
      <c r="XY127" s="56"/>
      <c r="YB127" s="55">
        <f t="shared" si="972"/>
        <v>46128</v>
      </c>
      <c r="YC127" s="56"/>
      <c r="YD127" s="242">
        <f>SUMPRODUCT(PRODUCE!$B136:$DY136,PRODUCE!$EB$57:$IY$57)</f>
        <v>0</v>
      </c>
      <c r="YE127" s="56"/>
      <c r="YF127" s="242">
        <f t="shared" si="973"/>
        <v>0</v>
      </c>
      <c r="YG127" s="242">
        <f t="shared" si="974"/>
        <v>6459</v>
      </c>
      <c r="YH127" s="56"/>
      <c r="YK127" s="55">
        <f t="shared" si="975"/>
        <v>46128</v>
      </c>
      <c r="YL127" s="56"/>
      <c r="YM127" s="242">
        <f>SUMPRODUCT(PRODUCE!$B136:$DY136,PRODUCE!$EB$57:$IY$57)</f>
        <v>0</v>
      </c>
      <c r="YN127" s="56"/>
      <c r="YO127" s="242">
        <f t="shared" si="976"/>
        <v>0</v>
      </c>
      <c r="YP127" s="242">
        <f t="shared" si="977"/>
        <v>0</v>
      </c>
      <c r="YQ127" s="56"/>
      <c r="YT127" s="55">
        <f t="shared" si="978"/>
        <v>46128</v>
      </c>
      <c r="YU127" s="56"/>
      <c r="YV127" s="242">
        <f>SUMPRODUCT(PRODUCE!$B136:$DY136,PRODUCE!$EB$57:$IY$57)</f>
        <v>0</v>
      </c>
      <c r="YW127" s="56"/>
      <c r="YX127" s="242">
        <f t="shared" si="979"/>
        <v>0</v>
      </c>
      <c r="YY127" s="242">
        <f t="shared" si="980"/>
        <v>0</v>
      </c>
      <c r="YZ127" s="56"/>
      <c r="ZC127" s="55">
        <f t="shared" si="981"/>
        <v>46128</v>
      </c>
      <c r="ZD127" s="56"/>
      <c r="ZE127" s="242">
        <f>SUMPRODUCT(PRODUCE!$B136:$DY136,PRODUCE!$EB$57:$IY$57)</f>
        <v>0</v>
      </c>
      <c r="ZF127" s="56"/>
      <c r="ZG127" s="242">
        <f t="shared" si="982"/>
        <v>0</v>
      </c>
      <c r="ZH127" s="242">
        <f t="shared" si="983"/>
        <v>0</v>
      </c>
      <c r="ZI127" s="56"/>
      <c r="ZL127" s="55">
        <f t="shared" si="984"/>
        <v>46128</v>
      </c>
      <c r="ZM127" s="56"/>
      <c r="ZN127" s="242">
        <f>SUMPRODUCT(PRODUCE!$B136:$DY136,PRODUCE!$EB$57:$IY$57)</f>
        <v>0</v>
      </c>
      <c r="ZO127" s="56"/>
      <c r="ZP127" s="242">
        <f t="shared" si="985"/>
        <v>0</v>
      </c>
      <c r="ZQ127" s="242">
        <f t="shared" si="986"/>
        <v>0</v>
      </c>
      <c r="ZR127" s="56"/>
      <c r="ZU127" s="55">
        <f t="shared" si="987"/>
        <v>46128</v>
      </c>
      <c r="ZV127" s="56"/>
      <c r="ZW127" s="242">
        <f>SUMPRODUCT(PRODUCE!$B136:$DY136,PRODUCE!$EB$57:$IY$57)</f>
        <v>0</v>
      </c>
      <c r="ZX127" s="56"/>
      <c r="ZY127" s="242">
        <f t="shared" si="988"/>
        <v>0</v>
      </c>
      <c r="ZZ127" s="242">
        <f t="shared" si="989"/>
        <v>0</v>
      </c>
      <c r="AAA127" s="56"/>
      <c r="AAD127" s="55">
        <f t="shared" si="990"/>
        <v>46128</v>
      </c>
      <c r="AAE127" s="56"/>
      <c r="AAF127" s="242">
        <f>SUMPRODUCT(PRODUCE!$B136:$DY136,PRODUCE!$EB$57:$IY$57)</f>
        <v>0</v>
      </c>
      <c r="AAG127" s="56"/>
      <c r="AAH127" s="242">
        <f t="shared" si="991"/>
        <v>0</v>
      </c>
      <c r="AAI127" s="242">
        <f t="shared" si="992"/>
        <v>0</v>
      </c>
      <c r="AAJ127" s="56"/>
      <c r="AAM127" s="55">
        <f t="shared" si="993"/>
        <v>46128</v>
      </c>
      <c r="AAN127" s="56"/>
      <c r="AAO127" s="242">
        <f>SUMPRODUCT(PRODUCE!$B136:$DY136,PRODUCE!$EB$57:$IY$57)</f>
        <v>0</v>
      </c>
      <c r="AAP127" s="56"/>
      <c r="AAQ127" s="242">
        <f t="shared" si="994"/>
        <v>0</v>
      </c>
      <c r="AAR127" s="242">
        <f t="shared" si="995"/>
        <v>0</v>
      </c>
      <c r="AAS127" s="56"/>
      <c r="AAV127" s="55">
        <f t="shared" si="996"/>
        <v>46128</v>
      </c>
      <c r="AAW127" s="56"/>
      <c r="AAX127" s="242">
        <f>SUMPRODUCT(PRODUCE!$B136:$DY136,PRODUCE!$EB$57:$IY$57)</f>
        <v>0</v>
      </c>
      <c r="AAY127" s="56"/>
      <c r="AAZ127" s="242">
        <f t="shared" si="997"/>
        <v>0</v>
      </c>
      <c r="ABA127" s="242">
        <f t="shared" si="998"/>
        <v>0</v>
      </c>
      <c r="ABB127" s="56"/>
      <c r="ABE127" s="55">
        <f t="shared" si="999"/>
        <v>46128</v>
      </c>
      <c r="ABF127" s="56"/>
      <c r="ABG127" s="242">
        <f>SUMPRODUCT(PRODUCE!$B136:$DY136,PRODUCE!$EB$57:$IY$57)</f>
        <v>0</v>
      </c>
      <c r="ABH127" s="56"/>
      <c r="ABI127" s="242">
        <f t="shared" si="1000"/>
        <v>0</v>
      </c>
      <c r="ABJ127" s="242">
        <f t="shared" si="1001"/>
        <v>0</v>
      </c>
      <c r="ABK127" s="56"/>
    </row>
    <row r="128" spans="2:739" s="54" customFormat="1" ht="15" customHeight="1" outlineLevel="1">
      <c r="B128" s="478">
        <f>20+46</f>
        <v>66</v>
      </c>
      <c r="C128" s="55">
        <v>46129</v>
      </c>
      <c r="D128" s="422"/>
      <c r="E128" s="423">
        <f>SUMPRODUCT(PRODUCE!$B137:$DY137,PRODUCE!$EB$7:$IY$7)</f>
        <v>36980</v>
      </c>
      <c r="F128" s="422">
        <v>36981.199999999997</v>
      </c>
      <c r="G128" s="423">
        <f t="shared" si="1002"/>
        <v>-1.1999999999970896</v>
      </c>
      <c r="H128" s="423">
        <f t="shared" si="1003"/>
        <v>98213.999999999985</v>
      </c>
      <c r="I128" s="289" t="s">
        <v>247</v>
      </c>
      <c r="L128" s="55">
        <f t="shared" si="759"/>
        <v>46129</v>
      </c>
      <c r="M128" s="422">
        <v>42810</v>
      </c>
      <c r="N128" s="438">
        <f>SUMPRODUCT(PRODUCE!$B137:$DY137,PRODUCE!$EB$8:$IY$8)</f>
        <v>15784</v>
      </c>
      <c r="O128" s="422">
        <v>15779.2</v>
      </c>
      <c r="P128" s="438">
        <f t="shared" si="760"/>
        <v>4.7999999999992724</v>
      </c>
      <c r="Q128" s="438">
        <f t="shared" si="761"/>
        <v>76010.600000000108</v>
      </c>
      <c r="R128" s="56"/>
      <c r="U128" s="55">
        <f t="shared" si="762"/>
        <v>46129</v>
      </c>
      <c r="V128" s="422"/>
      <c r="W128" s="440">
        <f>SUMPRODUCT(PRODUCE!$B137:$DY137,PRODUCE!$EB$9:$IY$9)</f>
        <v>2820</v>
      </c>
      <c r="X128" s="422">
        <v>2821.7</v>
      </c>
      <c r="Y128" s="440">
        <f t="shared" si="763"/>
        <v>-1.6999999999998181</v>
      </c>
      <c r="Z128" s="440">
        <f t="shared" si="764"/>
        <v>16914.999999999971</v>
      </c>
      <c r="AA128" s="56"/>
      <c r="AD128" s="55">
        <f t="shared" si="765"/>
        <v>46129</v>
      </c>
      <c r="AE128" s="422"/>
      <c r="AF128" s="442">
        <f>SUMPRODUCT(PRODUCE!$B137:$DY137,PRODUCE!$EB$10:$IY$10)</f>
        <v>2560</v>
      </c>
      <c r="AG128" s="422">
        <v>2562.1</v>
      </c>
      <c r="AH128" s="442">
        <f t="shared" si="766"/>
        <v>-2.0999999999999091</v>
      </c>
      <c r="AI128" s="442">
        <f t="shared" si="767"/>
        <v>37689.700000000019</v>
      </c>
      <c r="AJ128" s="56"/>
      <c r="AM128" s="55">
        <f t="shared" si="768"/>
        <v>46129</v>
      </c>
      <c r="AN128" s="422"/>
      <c r="AO128" s="444">
        <f>SUMPRODUCT(PRODUCE!$B137:$DY137,PRODUCE!$EB$11:$IY$11)</f>
        <v>0</v>
      </c>
      <c r="AP128" s="422"/>
      <c r="AQ128" s="444">
        <f t="shared" si="769"/>
        <v>0</v>
      </c>
      <c r="AR128" s="444">
        <f t="shared" si="770"/>
        <v>0</v>
      </c>
      <c r="AS128" s="56"/>
      <c r="AV128" s="55">
        <f t="shared" si="771"/>
        <v>46129</v>
      </c>
      <c r="AW128" s="422"/>
      <c r="AX128" s="446">
        <f>SUMPRODUCT(PRODUCE!$B137:$DY137,PRODUCE!$EB$12:$IY$12)</f>
        <v>460</v>
      </c>
      <c r="AY128" s="422">
        <v>459.9</v>
      </c>
      <c r="AZ128" s="446">
        <f t="shared" si="772"/>
        <v>0.10000000000002274</v>
      </c>
      <c r="BA128" s="446">
        <f t="shared" si="773"/>
        <v>12406.399999999992</v>
      </c>
      <c r="BB128" s="56"/>
      <c r="BE128" s="55">
        <f t="shared" si="774"/>
        <v>46129</v>
      </c>
      <c r="BF128" s="422"/>
      <c r="BG128" s="448">
        <f>SUMPRODUCT(PRODUCE!$B137:$DY137,PRODUCE!$EB$13:$IY$13)</f>
        <v>1990</v>
      </c>
      <c r="BH128" s="422">
        <v>1992.9</v>
      </c>
      <c r="BI128" s="448">
        <f t="shared" si="775"/>
        <v>-2.9000000000000909</v>
      </c>
      <c r="BJ128" s="448">
        <f t="shared" si="776"/>
        <v>29360</v>
      </c>
      <c r="BK128" s="56"/>
      <c r="BN128" s="55">
        <f t="shared" si="777"/>
        <v>46129</v>
      </c>
      <c r="BO128" s="422">
        <v>1650.1</v>
      </c>
      <c r="BP128" s="450">
        <f>SUMPRODUCT(PRODUCE!$B137:$DY137,PRODUCE!$EB$14:$IY$14)</f>
        <v>1550</v>
      </c>
      <c r="BQ128" s="422">
        <v>1650.1</v>
      </c>
      <c r="BR128" s="450">
        <f t="shared" si="778"/>
        <v>-100.09999999999991</v>
      </c>
      <c r="BS128" s="450">
        <f t="shared" si="779"/>
        <v>0</v>
      </c>
      <c r="BT128" s="56"/>
      <c r="BW128" s="55">
        <f t="shared" si="780"/>
        <v>46129</v>
      </c>
      <c r="BX128" s="56"/>
      <c r="BY128" s="65">
        <f>SUMPRODUCT(PRODUCE!$B137:$DY137,PRODUCE!$EB$15:$IY$15)</f>
        <v>133</v>
      </c>
      <c r="BZ128" s="56"/>
      <c r="CA128" s="65">
        <f t="shared" si="781"/>
        <v>133</v>
      </c>
      <c r="CB128" s="65">
        <f t="shared" si="782"/>
        <v>8228.7999999999993</v>
      </c>
      <c r="CC128" s="56"/>
      <c r="CF128" s="55">
        <f t="shared" si="783"/>
        <v>46129</v>
      </c>
      <c r="CG128" s="56"/>
      <c r="CH128" s="66">
        <f>SUMPRODUCT(PRODUCE!$B137:$DY137,PRODUCE!$EB$16:$IY$16)</f>
        <v>430</v>
      </c>
      <c r="CI128" s="56"/>
      <c r="CJ128" s="66">
        <f t="shared" si="784"/>
        <v>430</v>
      </c>
      <c r="CK128" s="66">
        <f t="shared" si="785"/>
        <v>0</v>
      </c>
      <c r="CL128" s="56"/>
      <c r="CO128" s="55">
        <f t="shared" si="786"/>
        <v>46129</v>
      </c>
      <c r="CP128" s="422"/>
      <c r="CQ128" s="470">
        <f>SUMPRODUCT(PRODUCE!$B137:$DY137,PRODUCE!$EB$17:$IY$17)</f>
        <v>0</v>
      </c>
      <c r="CR128" s="422"/>
      <c r="CS128" s="470">
        <f t="shared" si="787"/>
        <v>0</v>
      </c>
      <c r="CT128" s="470">
        <f t="shared" si="788"/>
        <v>0</v>
      </c>
      <c r="CU128" s="56"/>
      <c r="CX128" s="55">
        <f t="shared" si="789"/>
        <v>46129</v>
      </c>
      <c r="CY128" s="56"/>
      <c r="CZ128" s="133">
        <f>SUMPRODUCT(PRODUCE!$B137:$DY137,PRODUCE!$EB$18:$IY$18)</f>
        <v>1000</v>
      </c>
      <c r="DA128" s="56">
        <v>999.8</v>
      </c>
      <c r="DB128" s="133">
        <f t="shared" si="790"/>
        <v>0.20000000000004547</v>
      </c>
      <c r="DC128" s="133">
        <f t="shared" si="791"/>
        <v>13451.000000000005</v>
      </c>
      <c r="DD128" s="56"/>
      <c r="DG128" s="55">
        <f t="shared" si="792"/>
        <v>46129</v>
      </c>
      <c r="DH128" s="56"/>
      <c r="DI128" s="147">
        <f>SUMPRODUCT(PRODUCE!$B137:$DY137,PRODUCE!$EB$19:$IY$19)</f>
        <v>800</v>
      </c>
      <c r="DJ128" s="56">
        <v>801.2</v>
      </c>
      <c r="DK128" s="147">
        <f t="shared" si="793"/>
        <v>-1.2000000000000455</v>
      </c>
      <c r="DL128" s="147">
        <f t="shared" si="794"/>
        <v>14619.999999999993</v>
      </c>
      <c r="DM128" s="56"/>
      <c r="DP128" s="55">
        <f t="shared" si="795"/>
        <v>46129</v>
      </c>
      <c r="DQ128" s="56"/>
      <c r="DR128" s="57">
        <f>SUMPRODUCT(PRODUCE!$B137:$DY137,PRODUCE!$EB$20:$IY$20)</f>
        <v>0</v>
      </c>
      <c r="DS128" s="56"/>
      <c r="DT128" s="57">
        <f t="shared" si="796"/>
        <v>0</v>
      </c>
      <c r="DU128" s="57">
        <f t="shared" si="797"/>
        <v>6300</v>
      </c>
      <c r="DV128" s="56"/>
      <c r="DY128" s="55">
        <f t="shared" si="798"/>
        <v>46129</v>
      </c>
      <c r="DZ128" s="56"/>
      <c r="EA128" s="157">
        <f>SUMPRODUCT(PRODUCE!$B137:$DY137,PRODUCE!$EB$21:$IY$21)</f>
        <v>0</v>
      </c>
      <c r="EB128" s="56"/>
      <c r="EC128" s="157">
        <f t="shared" si="799"/>
        <v>0</v>
      </c>
      <c r="ED128" s="157">
        <f t="shared" si="800"/>
        <v>147.30000000000018</v>
      </c>
      <c r="EE128" s="56"/>
      <c r="EH128" s="55">
        <f t="shared" si="801"/>
        <v>46129</v>
      </c>
      <c r="EI128" s="56"/>
      <c r="EJ128" s="162">
        <f>SUMPRODUCT(PRODUCE!$B137:$DY137,PRODUCE!$EB$22:$IY$22)</f>
        <v>0</v>
      </c>
      <c r="EK128" s="56"/>
      <c r="EL128" s="162">
        <f t="shared" si="802"/>
        <v>0</v>
      </c>
      <c r="EM128" s="162">
        <f t="shared" si="803"/>
        <v>0</v>
      </c>
      <c r="EN128" s="56"/>
      <c r="EQ128" s="55">
        <f t="shared" si="804"/>
        <v>46129</v>
      </c>
      <c r="ER128" s="56"/>
      <c r="ES128" s="135">
        <f>SUMPRODUCT(PRODUCE!$B137:$DY137,PRODUCE!$EB$23:$IY$23)</f>
        <v>0</v>
      </c>
      <c r="ET128" s="56"/>
      <c r="EU128" s="135">
        <f t="shared" si="805"/>
        <v>0</v>
      </c>
      <c r="EV128" s="135">
        <f t="shared" si="806"/>
        <v>0</v>
      </c>
      <c r="EW128" s="56"/>
      <c r="EZ128" s="55">
        <f t="shared" si="807"/>
        <v>46129</v>
      </c>
      <c r="FA128" s="56"/>
      <c r="FB128" s="175">
        <f>SUMPRODUCT(PRODUCE!$B137:$DY137,PRODUCE!$EB$24:$IY$24)</f>
        <v>0</v>
      </c>
      <c r="FC128" s="56"/>
      <c r="FD128" s="175">
        <f t="shared" si="808"/>
        <v>0</v>
      </c>
      <c r="FE128" s="175">
        <f t="shared" si="809"/>
        <v>0</v>
      </c>
      <c r="FF128" s="56"/>
      <c r="FI128" s="55">
        <f t="shared" si="810"/>
        <v>46129</v>
      </c>
      <c r="FJ128" s="56"/>
      <c r="FK128" s="183">
        <f>SUMPRODUCT(PRODUCE!$B137:$DY137,PRODUCE!$EB$25:$IY$25)</f>
        <v>0</v>
      </c>
      <c r="FL128" s="56"/>
      <c r="FM128" s="183">
        <f t="shared" si="811"/>
        <v>0</v>
      </c>
      <c r="FN128" s="183">
        <f t="shared" si="812"/>
        <v>0</v>
      </c>
      <c r="FO128" s="56"/>
      <c r="FR128" s="55">
        <f t="shared" si="813"/>
        <v>46129</v>
      </c>
      <c r="FS128" s="422"/>
      <c r="FT128" s="452">
        <f>SUMPRODUCT(PRODUCE!$B137:$DY137,PRODUCE!$EB$26:$IY$26)</f>
        <v>0</v>
      </c>
      <c r="FU128" s="422"/>
      <c r="FV128" s="452">
        <f t="shared" si="814"/>
        <v>0</v>
      </c>
      <c r="FW128" s="452">
        <f t="shared" si="815"/>
        <v>2120</v>
      </c>
      <c r="FX128" s="56"/>
      <c r="GA128" s="55">
        <f t="shared" si="816"/>
        <v>46129</v>
      </c>
      <c r="GB128" s="422"/>
      <c r="GC128" s="454">
        <f>SUMPRODUCT(PRODUCE!$B137:$DY137,PRODUCE!$EB$27:$IY$27)</f>
        <v>920</v>
      </c>
      <c r="GD128" s="422"/>
      <c r="GE128" s="454">
        <f t="shared" si="817"/>
        <v>920</v>
      </c>
      <c r="GF128" s="454">
        <f t="shared" si="818"/>
        <v>10000</v>
      </c>
      <c r="GG128" s="56"/>
      <c r="GI128" s="23"/>
      <c r="GJ128" s="55">
        <f t="shared" si="819"/>
        <v>46129</v>
      </c>
      <c r="GK128" s="422"/>
      <c r="GL128" s="456">
        <f>SUMPRODUCT(PRODUCE!$B137:$DY137,PRODUCE!$EB$28:$IY$28)</f>
        <v>0</v>
      </c>
      <c r="GM128" s="422"/>
      <c r="GN128" s="456">
        <f t="shared" si="820"/>
        <v>0</v>
      </c>
      <c r="GO128" s="456">
        <f t="shared" si="821"/>
        <v>4800</v>
      </c>
      <c r="GP128" s="56"/>
      <c r="GS128" s="55">
        <f t="shared" si="822"/>
        <v>46129</v>
      </c>
      <c r="GT128" s="56"/>
      <c r="GU128" s="195">
        <f>SUMPRODUCT(PRODUCE!$B137:$DY137,PRODUCE!$EB$29:$IY$29)</f>
        <v>0</v>
      </c>
      <c r="GV128" s="56"/>
      <c r="GW128" s="195">
        <f t="shared" si="823"/>
        <v>0</v>
      </c>
      <c r="GX128" s="195">
        <f t="shared" si="824"/>
        <v>0</v>
      </c>
      <c r="GY128" s="56"/>
      <c r="HB128" s="55">
        <f t="shared" si="825"/>
        <v>46129</v>
      </c>
      <c r="HC128" s="56"/>
      <c r="HD128" s="191">
        <f>SUMPRODUCT(PRODUCE!$B137:$DY137,PRODUCE!$EB$30:$IY$30)</f>
        <v>0</v>
      </c>
      <c r="HE128" s="56"/>
      <c r="HF128" s="191">
        <f t="shared" si="826"/>
        <v>0</v>
      </c>
      <c r="HG128" s="191">
        <f t="shared" si="827"/>
        <v>0</v>
      </c>
      <c r="HH128" s="56"/>
      <c r="HK128" s="55">
        <f t="shared" si="828"/>
        <v>46129</v>
      </c>
      <c r="HL128" s="56"/>
      <c r="HM128" s="63">
        <f>SUMPRODUCT(PRODUCE!$B137:$DY137,PRODUCE!$EB$31:$IY$31)</f>
        <v>0</v>
      </c>
      <c r="HN128" s="56"/>
      <c r="HO128" s="63">
        <f t="shared" si="829"/>
        <v>0</v>
      </c>
      <c r="HP128" s="63">
        <f t="shared" si="830"/>
        <v>0</v>
      </c>
      <c r="HQ128" s="56"/>
      <c r="HU128" s="55">
        <f t="shared" si="831"/>
        <v>46129</v>
      </c>
      <c r="HV128" s="56"/>
      <c r="HW128" s="242">
        <f>SUMPRODUCT(PRODUCE!$B137:$DY137,PRODUCE!$EB$32:$IY$32)</f>
        <v>0</v>
      </c>
      <c r="HX128" s="56"/>
      <c r="HY128" s="242">
        <f t="shared" si="832"/>
        <v>0</v>
      </c>
      <c r="HZ128" s="242">
        <f t="shared" si="833"/>
        <v>5120</v>
      </c>
      <c r="IA128" s="56"/>
      <c r="ID128" s="55">
        <f t="shared" si="834"/>
        <v>46129</v>
      </c>
      <c r="IE128" s="56"/>
      <c r="IF128" s="242">
        <f>SUMPRODUCT(PRODUCE!$B137:$DY137,PRODUCE!$EB$33:$IY$33)</f>
        <v>0</v>
      </c>
      <c r="IG128" s="56"/>
      <c r="IH128" s="242">
        <f t="shared" si="835"/>
        <v>0</v>
      </c>
      <c r="II128" s="242">
        <f t="shared" si="836"/>
        <v>6540</v>
      </c>
      <c r="IJ128" s="56"/>
      <c r="IM128" s="55">
        <f t="shared" si="837"/>
        <v>46129</v>
      </c>
      <c r="IN128" s="56"/>
      <c r="IO128" s="242">
        <f>SUMPRODUCT(PRODUCE!$B137:$DY137,PRODUCE!$EB$34:$IY$34)</f>
        <v>0</v>
      </c>
      <c r="IP128" s="56"/>
      <c r="IQ128" s="242">
        <f t="shared" si="838"/>
        <v>0</v>
      </c>
      <c r="IR128" s="242">
        <f t="shared" si="839"/>
        <v>11540</v>
      </c>
      <c r="IS128" s="56"/>
      <c r="IV128" s="55">
        <f t="shared" si="840"/>
        <v>46129</v>
      </c>
      <c r="IW128" s="56"/>
      <c r="IX128" s="242">
        <f>SUMPRODUCT(PRODUCE!$B137:$DY137,PRODUCE!$EB$35:$IY$35)</f>
        <v>0</v>
      </c>
      <c r="IY128" s="56"/>
      <c r="IZ128" s="242">
        <f t="shared" si="841"/>
        <v>0</v>
      </c>
      <c r="JA128" s="242">
        <f t="shared" si="842"/>
        <v>15120</v>
      </c>
      <c r="JB128" s="56"/>
      <c r="JE128" s="55">
        <f t="shared" si="843"/>
        <v>46129</v>
      </c>
      <c r="JF128" s="56"/>
      <c r="JG128" s="242">
        <f>SUMPRODUCT(PRODUCE!$B137:$DY137,PRODUCE!$EB$36:$IY$36)</f>
        <v>0</v>
      </c>
      <c r="JH128" s="56"/>
      <c r="JI128" s="242">
        <f t="shared" si="844"/>
        <v>0</v>
      </c>
      <c r="JJ128" s="242">
        <f t="shared" si="845"/>
        <v>5040</v>
      </c>
      <c r="JK128" s="56"/>
      <c r="JN128" s="55">
        <f t="shared" si="846"/>
        <v>46129</v>
      </c>
      <c r="JO128" s="56"/>
      <c r="JP128" s="242">
        <f>SUMPRODUCT(PRODUCE!$B137:$DY137,PRODUCE!$EB$37:$IY$37)</f>
        <v>0</v>
      </c>
      <c r="JQ128" s="56"/>
      <c r="JR128" s="242">
        <f t="shared" si="847"/>
        <v>0</v>
      </c>
      <c r="JS128" s="242">
        <f t="shared" si="848"/>
        <v>9100</v>
      </c>
      <c r="JT128" s="56"/>
      <c r="JW128" s="55">
        <f t="shared" si="849"/>
        <v>46129</v>
      </c>
      <c r="JX128" s="56"/>
      <c r="JY128" s="242">
        <f>SUMPRODUCT(PRODUCE!$B137:$DY137,PRODUCE!$EB$38:$IY$38)</f>
        <v>0</v>
      </c>
      <c r="JZ128" s="56"/>
      <c r="KA128" s="242">
        <f t="shared" si="850"/>
        <v>0</v>
      </c>
      <c r="KB128" s="242">
        <f t="shared" si="851"/>
        <v>2940</v>
      </c>
      <c r="KC128" s="56"/>
      <c r="KF128" s="55">
        <f t="shared" si="852"/>
        <v>46129</v>
      </c>
      <c r="KG128" s="56"/>
      <c r="KH128" s="242">
        <f>SUMPRODUCT(PRODUCE!$B137:$DY137,PRODUCE!$EB$39:$IY$39)</f>
        <v>390</v>
      </c>
      <c r="KI128" s="56"/>
      <c r="KJ128" s="242">
        <f t="shared" si="853"/>
        <v>390</v>
      </c>
      <c r="KK128" s="242">
        <f t="shared" si="854"/>
        <v>1579.5</v>
      </c>
      <c r="KL128" s="56"/>
      <c r="KO128" s="55">
        <f t="shared" si="855"/>
        <v>46129</v>
      </c>
      <c r="KP128" s="56"/>
      <c r="KQ128" s="242">
        <f>SUMPRODUCT(PRODUCE!$B137:$DY137,PRODUCE!$EB$40:$IY$40)</f>
        <v>0</v>
      </c>
      <c r="KR128" s="56"/>
      <c r="KS128" s="242">
        <f t="shared" si="856"/>
        <v>0</v>
      </c>
      <c r="KT128" s="242">
        <f t="shared" si="857"/>
        <v>5216.3999999999996</v>
      </c>
      <c r="KU128" s="56"/>
      <c r="KW128" s="518"/>
      <c r="KX128" s="55">
        <f t="shared" si="858"/>
        <v>46129</v>
      </c>
      <c r="KY128" s="56"/>
      <c r="KZ128" s="242">
        <f>SUMPRODUCT(PRODUCE!$B137:$DY137,PRODUCE!$EB$41:$IY$41)</f>
        <v>0</v>
      </c>
      <c r="LA128" s="56"/>
      <c r="LB128" s="242">
        <f t="shared" si="859"/>
        <v>0</v>
      </c>
      <c r="LC128" s="242">
        <f t="shared" si="860"/>
        <v>0</v>
      </c>
      <c r="LD128" s="56"/>
      <c r="LG128" s="55">
        <f t="shared" si="861"/>
        <v>46129</v>
      </c>
      <c r="LH128" s="56"/>
      <c r="LI128" s="242">
        <f>SUMPRODUCT(PRODUCE!$B137:$DY137,PRODUCE!$EB$42:$IY$42)</f>
        <v>0</v>
      </c>
      <c r="LJ128" s="56"/>
      <c r="LK128" s="242">
        <f t="shared" si="862"/>
        <v>0</v>
      </c>
      <c r="LL128" s="242">
        <f t="shared" si="863"/>
        <v>0</v>
      </c>
      <c r="LM128" s="56"/>
      <c r="LP128" s="55">
        <f t="shared" si="864"/>
        <v>46129</v>
      </c>
      <c r="LQ128" s="56"/>
      <c r="LR128" s="242">
        <f>SUMPRODUCT(PRODUCE!$B143:$DY143,PRODUCE!$EB$43:$IY$43)</f>
        <v>0</v>
      </c>
      <c r="LS128" s="56"/>
      <c r="LT128" s="242">
        <f t="shared" si="865"/>
        <v>0</v>
      </c>
      <c r="LU128" s="242">
        <f t="shared" si="866"/>
        <v>0</v>
      </c>
      <c r="LV128" s="56"/>
      <c r="LY128" s="55">
        <f t="shared" si="867"/>
        <v>46129</v>
      </c>
      <c r="LZ128" s="56"/>
      <c r="MA128" s="242">
        <f>SUMPRODUCT(PRODUCE!$B137:$DY137,PRODUCE!$EB$44:$IY$44)</f>
        <v>0</v>
      </c>
      <c r="MB128" s="56"/>
      <c r="MC128" s="242">
        <f t="shared" si="868"/>
        <v>0</v>
      </c>
      <c r="MD128" s="242">
        <f t="shared" si="869"/>
        <v>0</v>
      </c>
      <c r="ME128" s="56"/>
      <c r="MH128" s="55">
        <f t="shared" si="870"/>
        <v>46129</v>
      </c>
      <c r="MI128" s="56"/>
      <c r="MJ128" s="242">
        <f>SUMPRODUCT(PRODUCE!$B137:$DY137,PRODUCE!$EB$45:$IY$45)</f>
        <v>0</v>
      </c>
      <c r="MK128" s="56"/>
      <c r="ML128" s="242">
        <f t="shared" si="871"/>
        <v>0</v>
      </c>
      <c r="MM128" s="242">
        <f t="shared" si="872"/>
        <v>0</v>
      </c>
      <c r="MN128" s="56"/>
      <c r="MQ128" s="55">
        <f t="shared" si="873"/>
        <v>46129</v>
      </c>
      <c r="MR128" s="56"/>
      <c r="MS128" s="242">
        <f>SUMPRODUCT(PRODUCE!$B137:$DY137,PRODUCE!$EB$46:$IY$46)</f>
        <v>23</v>
      </c>
      <c r="MT128" s="56"/>
      <c r="MU128" s="242">
        <f t="shared" si="874"/>
        <v>23</v>
      </c>
      <c r="MV128" s="242">
        <f t="shared" si="875"/>
        <v>4149</v>
      </c>
      <c r="MW128" s="56"/>
      <c r="MZ128" s="55">
        <f t="shared" si="876"/>
        <v>46129</v>
      </c>
      <c r="NA128" s="56"/>
      <c r="NB128" s="242">
        <f>SUMPRODUCT(PRODUCE!$B137:$DY137,PRODUCE!$EB$47:$IY$47)</f>
        <v>60</v>
      </c>
      <c r="NC128" s="56"/>
      <c r="ND128" s="242">
        <f t="shared" si="877"/>
        <v>60</v>
      </c>
      <c r="NE128" s="242">
        <f t="shared" si="878"/>
        <v>0</v>
      </c>
      <c r="NF128" s="56"/>
      <c r="NI128" s="55">
        <f t="shared" si="879"/>
        <v>46129</v>
      </c>
      <c r="NJ128" s="56"/>
      <c r="NK128" s="242">
        <f>SUMPRODUCT(PRODUCE!$B137:$DY137,PRODUCE!$EB$48:$IY$48)</f>
        <v>20</v>
      </c>
      <c r="NL128" s="56"/>
      <c r="NM128" s="242">
        <f t="shared" si="880"/>
        <v>20</v>
      </c>
      <c r="NN128" s="242">
        <f t="shared" si="881"/>
        <v>1523</v>
      </c>
      <c r="NO128" s="56"/>
      <c r="NR128" s="55">
        <f t="shared" si="882"/>
        <v>46129</v>
      </c>
      <c r="NS128" s="56"/>
      <c r="NT128" s="242">
        <f>SUMPRODUCT(PRODUCE!$B137:$DY137,PRODUCE!$EB$49:$IY$49)</f>
        <v>24</v>
      </c>
      <c r="NU128" s="56"/>
      <c r="NV128" s="242">
        <f t="shared" si="883"/>
        <v>24</v>
      </c>
      <c r="NW128" s="242">
        <f t="shared" si="884"/>
        <v>3566.1</v>
      </c>
      <c r="NX128" s="56"/>
      <c r="OA128" s="55">
        <f t="shared" si="885"/>
        <v>46129</v>
      </c>
      <c r="OB128" s="56"/>
      <c r="OC128" s="242">
        <f>SUMPRODUCT(PRODUCE!$B137:$DY137,PRODUCE!$EB$50:$IY$50)</f>
        <v>0</v>
      </c>
      <c r="OD128" s="56"/>
      <c r="OE128" s="242">
        <f t="shared" si="886"/>
        <v>0</v>
      </c>
      <c r="OF128" s="242">
        <f t="shared" si="887"/>
        <v>1680.5</v>
      </c>
      <c r="OG128" s="56"/>
      <c r="OJ128" s="55">
        <f t="shared" si="888"/>
        <v>46129</v>
      </c>
      <c r="OK128" s="56"/>
      <c r="OL128" s="242">
        <f>SUMPRODUCT(PRODUCE!$B137:$DY137,PRODUCE!$EB$51:$IY$51)</f>
        <v>55.999999999999986</v>
      </c>
      <c r="OM128" s="56"/>
      <c r="ON128" s="242">
        <f t="shared" si="889"/>
        <v>55.999999999999986</v>
      </c>
      <c r="OO128" s="242">
        <f t="shared" si="890"/>
        <v>0</v>
      </c>
      <c r="OP128" s="56"/>
      <c r="OS128" s="55">
        <f t="shared" si="891"/>
        <v>46129</v>
      </c>
      <c r="OT128" s="56"/>
      <c r="OU128" s="242">
        <f>SUMPRODUCT(PRODUCE!$B137:$DY137,PRODUCE!$EB$52:$IY$52)</f>
        <v>0</v>
      </c>
      <c r="OV128" s="56"/>
      <c r="OW128" s="242">
        <f t="shared" si="892"/>
        <v>0</v>
      </c>
      <c r="OX128" s="242">
        <f t="shared" si="893"/>
        <v>1000</v>
      </c>
      <c r="OY128" s="56"/>
      <c r="PB128" s="55">
        <f t="shared" si="894"/>
        <v>46129</v>
      </c>
      <c r="PC128" s="56"/>
      <c r="PD128" s="242">
        <f>SUMPRODUCT(PRODUCE!$B137:$DY137,PRODUCE!$EB$53:$IY$53)</f>
        <v>0</v>
      </c>
      <c r="PE128" s="56"/>
      <c r="PF128" s="242">
        <f t="shared" si="895"/>
        <v>0</v>
      </c>
      <c r="PG128" s="242">
        <f t="shared" si="896"/>
        <v>0</v>
      </c>
      <c r="PH128" s="56"/>
      <c r="PK128" s="55">
        <f t="shared" si="897"/>
        <v>46129</v>
      </c>
      <c r="PL128" s="56"/>
      <c r="PM128" s="242">
        <f>SUMPRODUCT(PRODUCE!$B137:$DY137,PRODUCE!$EB$54:$IY$54)</f>
        <v>0</v>
      </c>
      <c r="PN128" s="56"/>
      <c r="PO128" s="242">
        <f t="shared" si="898"/>
        <v>0</v>
      </c>
      <c r="PP128" s="242">
        <f t="shared" si="899"/>
        <v>100</v>
      </c>
      <c r="PQ128" s="56"/>
      <c r="PT128" s="55">
        <f t="shared" si="900"/>
        <v>46129</v>
      </c>
      <c r="PU128" s="56"/>
      <c r="PV128" s="242">
        <f>SUMPRODUCT(PRODUCE!$B137:$DY137,PRODUCE!$EB$55:$IY$55)</f>
        <v>0</v>
      </c>
      <c r="PW128" s="56"/>
      <c r="PX128" s="242">
        <f t="shared" si="901"/>
        <v>0</v>
      </c>
      <c r="PY128" s="242">
        <f t="shared" si="902"/>
        <v>13.960000000000036</v>
      </c>
      <c r="PZ128" s="56"/>
      <c r="QC128" s="55">
        <f t="shared" si="903"/>
        <v>46129</v>
      </c>
      <c r="QD128" s="56"/>
      <c r="QE128" s="242">
        <f>SUMPRODUCT(PRODUCE!$B137:$DY137,PRODUCE!$EB$56:$IY$56)</f>
        <v>0</v>
      </c>
      <c r="QF128" s="56"/>
      <c r="QG128" s="242">
        <f t="shared" si="904"/>
        <v>0</v>
      </c>
      <c r="QH128" s="242">
        <f t="shared" si="905"/>
        <v>1212</v>
      </c>
      <c r="QI128" s="56"/>
      <c r="QL128" s="55">
        <f t="shared" si="906"/>
        <v>46129</v>
      </c>
      <c r="QM128" s="56"/>
      <c r="QN128" s="242">
        <f>SUMPRODUCT(PRODUCE!$B137:$DY137,PRODUCE!$EB$57:$IY$57)</f>
        <v>0</v>
      </c>
      <c r="QO128" s="56"/>
      <c r="QP128" s="242">
        <f t="shared" si="907"/>
        <v>0</v>
      </c>
      <c r="QQ128" s="242">
        <f t="shared" si="908"/>
        <v>400</v>
      </c>
      <c r="QR128" s="56"/>
      <c r="QU128" s="55">
        <f t="shared" si="909"/>
        <v>46129</v>
      </c>
      <c r="QV128" s="56"/>
      <c r="QW128" s="242">
        <f>SUMPRODUCT(PRODUCE!$B137:$DY137,PRODUCE!$EB$57:$IY$57)</f>
        <v>0</v>
      </c>
      <c r="QX128" s="56"/>
      <c r="QY128" s="242">
        <f t="shared" si="910"/>
        <v>0</v>
      </c>
      <c r="QZ128" s="242">
        <f t="shared" si="911"/>
        <v>207.6</v>
      </c>
      <c r="RA128" s="56"/>
      <c r="RD128" s="55">
        <f t="shared" si="912"/>
        <v>46129</v>
      </c>
      <c r="RE128" s="56"/>
      <c r="RF128" s="242">
        <f>SUMPRODUCT(PRODUCE!$B137:$DY137,PRODUCE!$EB$58:$IY$58)</f>
        <v>0</v>
      </c>
      <c r="RG128" s="56"/>
      <c r="RH128" s="242">
        <f t="shared" si="913"/>
        <v>0</v>
      </c>
      <c r="RI128" s="242">
        <f t="shared" si="914"/>
        <v>147.04000000000002</v>
      </c>
      <c r="RJ128" s="56"/>
      <c r="RM128" s="55">
        <f t="shared" si="915"/>
        <v>46129</v>
      </c>
      <c r="RN128" s="56"/>
      <c r="RO128" s="242">
        <f>SUMPRODUCT(PRODUCE!$B137:$DY137,PRODUCE!$EB$57:$IY$57)</f>
        <v>0</v>
      </c>
      <c r="RP128" s="56"/>
      <c r="RQ128" s="242">
        <f t="shared" si="916"/>
        <v>0</v>
      </c>
      <c r="RR128" s="242">
        <f t="shared" si="917"/>
        <v>46.8</v>
      </c>
      <c r="RS128" s="56"/>
      <c r="RV128" s="55">
        <f t="shared" si="918"/>
        <v>46129</v>
      </c>
      <c r="RW128" s="56"/>
      <c r="RX128" s="242">
        <f>SUMPRODUCT(PRODUCE!$B137:$DY137,PRODUCE!$EB$57:$IY$57)</f>
        <v>0</v>
      </c>
      <c r="RY128" s="56"/>
      <c r="RZ128" s="242">
        <f t="shared" si="919"/>
        <v>0</v>
      </c>
      <c r="SA128" s="242">
        <f t="shared" si="920"/>
        <v>0</v>
      </c>
      <c r="SB128" s="56"/>
      <c r="SE128" s="55">
        <f t="shared" si="921"/>
        <v>46129</v>
      </c>
      <c r="SF128" s="56"/>
      <c r="SG128" s="242">
        <f>SUMPRODUCT(PRODUCE!$B137:$DY137,PRODUCE!$EB$57:$IY$57)</f>
        <v>0</v>
      </c>
      <c r="SH128" s="56"/>
      <c r="SI128" s="242">
        <f t="shared" si="922"/>
        <v>0</v>
      </c>
      <c r="SJ128" s="242">
        <f t="shared" si="923"/>
        <v>125</v>
      </c>
      <c r="SK128" s="56"/>
      <c r="SN128" s="55">
        <f t="shared" si="924"/>
        <v>46129</v>
      </c>
      <c r="SO128" s="56"/>
      <c r="SP128" s="242">
        <f>SUMPRODUCT(PRODUCE!$B137:$DY137,PRODUCE!$EB$57:$IY$57)</f>
        <v>0</v>
      </c>
      <c r="SQ128" s="56"/>
      <c r="SR128" s="242">
        <f t="shared" si="925"/>
        <v>0</v>
      </c>
      <c r="SS128" s="242">
        <f t="shared" si="926"/>
        <v>200</v>
      </c>
      <c r="ST128" s="56"/>
      <c r="SW128" s="55">
        <f t="shared" si="927"/>
        <v>46129</v>
      </c>
      <c r="SX128" s="56"/>
      <c r="SY128" s="242">
        <f>SUMPRODUCT(PRODUCE!$B137:$DY137,PRODUCE!$EB$57:$IY$57)</f>
        <v>0</v>
      </c>
      <c r="SZ128" s="56"/>
      <c r="TA128" s="242">
        <f t="shared" si="928"/>
        <v>0</v>
      </c>
      <c r="TB128" s="242">
        <f t="shared" si="929"/>
        <v>0</v>
      </c>
      <c r="TC128" s="56"/>
      <c r="TF128" s="55">
        <f t="shared" si="930"/>
        <v>46129</v>
      </c>
      <c r="TG128" s="56"/>
      <c r="TH128" s="242">
        <f>SUMPRODUCT(PRODUCE!$B137:$DY137,PRODUCE!$EB$57:$IY$57)</f>
        <v>0</v>
      </c>
      <c r="TI128" s="56"/>
      <c r="TJ128" s="242">
        <f t="shared" si="931"/>
        <v>0</v>
      </c>
      <c r="TK128" s="242">
        <f t="shared" si="932"/>
        <v>0</v>
      </c>
      <c r="TL128" s="56"/>
      <c r="TO128" s="55">
        <f t="shared" si="933"/>
        <v>46129</v>
      </c>
      <c r="TP128" s="56"/>
      <c r="TQ128" s="242">
        <f>SUMPRODUCT(PRODUCE!$B137:$DY137,PRODUCE!$EB$57:$IY$57)</f>
        <v>0</v>
      </c>
      <c r="TR128" s="56"/>
      <c r="TS128" s="242">
        <f t="shared" si="934"/>
        <v>0</v>
      </c>
      <c r="TT128" s="242">
        <f t="shared" si="935"/>
        <v>0</v>
      </c>
      <c r="TU128" s="56"/>
      <c r="TX128" s="55">
        <f t="shared" si="936"/>
        <v>46129</v>
      </c>
      <c r="TY128" s="56"/>
      <c r="TZ128" s="242">
        <f>SUMPRODUCT(PRODUCE!$B137:$DY137,PRODUCE!$EB$57:$IY$57)</f>
        <v>0</v>
      </c>
      <c r="UA128" s="56"/>
      <c r="UB128" s="242">
        <f t="shared" si="937"/>
        <v>0</v>
      </c>
      <c r="UC128" s="242">
        <f t="shared" si="938"/>
        <v>0</v>
      </c>
      <c r="UD128" s="56"/>
      <c r="UG128" s="55">
        <f t="shared" si="939"/>
        <v>46129</v>
      </c>
      <c r="UH128" s="56"/>
      <c r="UI128" s="242">
        <f>SUMPRODUCT(PRODUCE!$B137:$DY137,PRODUCE!$EB$57:$IY$57)</f>
        <v>0</v>
      </c>
      <c r="UJ128" s="56"/>
      <c r="UK128" s="242">
        <f t="shared" si="940"/>
        <v>0</v>
      </c>
      <c r="UL128" s="242">
        <f t="shared" si="941"/>
        <v>0</v>
      </c>
      <c r="UM128" s="56"/>
      <c r="UP128" s="55">
        <f t="shared" si="942"/>
        <v>46129</v>
      </c>
      <c r="UQ128" s="56"/>
      <c r="UR128" s="242">
        <f>SUMPRODUCT(PRODUCE!$B137:$DY137,PRODUCE!$EB$57:$IY$57)</f>
        <v>0</v>
      </c>
      <c r="US128" s="56"/>
      <c r="UT128" s="242">
        <f t="shared" si="943"/>
        <v>0</v>
      </c>
      <c r="UU128" s="242">
        <f t="shared" si="944"/>
        <v>0</v>
      </c>
      <c r="UV128" s="56"/>
      <c r="UY128" s="55">
        <f t="shared" si="945"/>
        <v>46129</v>
      </c>
      <c r="UZ128" s="56"/>
      <c r="VA128" s="242">
        <f>SUMPRODUCT(PRODUCE!$B137:$DY137,PRODUCE!$EB$57:$IY$57)</f>
        <v>0</v>
      </c>
      <c r="VB128" s="56"/>
      <c r="VC128" s="242">
        <f t="shared" si="946"/>
        <v>0</v>
      </c>
      <c r="VD128" s="242">
        <f t="shared" si="947"/>
        <v>41.600000000000023</v>
      </c>
      <c r="VE128" s="56"/>
      <c r="VH128" s="55">
        <f t="shared" si="948"/>
        <v>46129</v>
      </c>
      <c r="VI128" s="56"/>
      <c r="VJ128" s="242">
        <f>SUMPRODUCT(PRODUCE!$B137:$DY137,PRODUCE!$EB$57:$IY$57)</f>
        <v>0</v>
      </c>
      <c r="VK128" s="56"/>
      <c r="VL128" s="242">
        <f t="shared" si="949"/>
        <v>0</v>
      </c>
      <c r="VM128" s="242">
        <f t="shared" si="950"/>
        <v>0</v>
      </c>
      <c r="VN128" s="56"/>
      <c r="VQ128" s="55">
        <f t="shared" si="951"/>
        <v>46129</v>
      </c>
      <c r="VR128" s="56"/>
      <c r="VS128" s="242">
        <f>SUMPRODUCT(PRODUCE!$B137:$DY137,PRODUCE!$EB$57:$IY$57)</f>
        <v>0</v>
      </c>
      <c r="VT128" s="56"/>
      <c r="VU128" s="242">
        <f t="shared" si="952"/>
        <v>0</v>
      </c>
      <c r="VV128" s="242">
        <f t="shared" si="953"/>
        <v>0</v>
      </c>
      <c r="VW128" s="56"/>
      <c r="VZ128" s="55">
        <f t="shared" si="954"/>
        <v>46129</v>
      </c>
      <c r="WA128" s="56"/>
      <c r="WB128" s="242">
        <f>SUMPRODUCT(PRODUCE!$B137:$DY137,PRODUCE!$EB$57:$IY$57)</f>
        <v>0</v>
      </c>
      <c r="WC128" s="56"/>
      <c r="WD128" s="242">
        <f t="shared" si="955"/>
        <v>0</v>
      </c>
      <c r="WE128" s="242">
        <f t="shared" si="956"/>
        <v>0</v>
      </c>
      <c r="WF128" s="56"/>
      <c r="WI128" s="55">
        <f t="shared" si="957"/>
        <v>46129</v>
      </c>
      <c r="WJ128" s="56"/>
      <c r="WK128" s="242">
        <f>SUMPRODUCT(PRODUCE!$B137:$DY137,PRODUCE!$EB$57:$IY$57)</f>
        <v>0</v>
      </c>
      <c r="WL128" s="56"/>
      <c r="WM128" s="242">
        <f t="shared" si="958"/>
        <v>0</v>
      </c>
      <c r="WN128" s="242">
        <f t="shared" si="959"/>
        <v>2317</v>
      </c>
      <c r="WO128" s="56"/>
      <c r="WR128" s="55">
        <f t="shared" si="960"/>
        <v>46129</v>
      </c>
      <c r="WS128" s="56"/>
      <c r="WT128" s="242">
        <f>SUMPRODUCT(PRODUCE!$B137:$DY137,PRODUCE!$EB$57:$IY$57)</f>
        <v>0</v>
      </c>
      <c r="WU128" s="56">
        <v>944</v>
      </c>
      <c r="WV128" s="242">
        <f t="shared" si="961"/>
        <v>-944</v>
      </c>
      <c r="WW128" s="242">
        <f t="shared" si="962"/>
        <v>6036</v>
      </c>
      <c r="WX128" s="56"/>
      <c r="XA128" s="55">
        <f t="shared" si="963"/>
        <v>46129</v>
      </c>
      <c r="XB128" s="56"/>
      <c r="XC128" s="242">
        <f>SUMPRODUCT(PRODUCE!$B137:$DY137,PRODUCE!$EB$57:$IY$57)</f>
        <v>0</v>
      </c>
      <c r="XD128" s="56"/>
      <c r="XE128" s="242">
        <f t="shared" si="964"/>
        <v>0</v>
      </c>
      <c r="XF128" s="242">
        <f t="shared" si="965"/>
        <v>14868</v>
      </c>
      <c r="XG128" s="56"/>
      <c r="XJ128" s="55">
        <f t="shared" si="966"/>
        <v>46129</v>
      </c>
      <c r="XK128" s="56"/>
      <c r="XL128" s="242">
        <f>SUMPRODUCT(PRODUCE!$B137:$DY137,PRODUCE!$EB$57:$IY$57)</f>
        <v>0</v>
      </c>
      <c r="XM128" s="56"/>
      <c r="XN128" s="242">
        <f t="shared" si="967"/>
        <v>0</v>
      </c>
      <c r="XO128" s="242">
        <f t="shared" si="968"/>
        <v>4003</v>
      </c>
      <c r="XP128" s="56"/>
      <c r="XS128" s="55">
        <f t="shared" si="969"/>
        <v>46129</v>
      </c>
      <c r="XT128" s="56"/>
      <c r="XU128" s="242">
        <f>SUMPRODUCT(PRODUCE!$B137:$DY137,PRODUCE!$EB$57:$IY$57)</f>
        <v>0</v>
      </c>
      <c r="XV128" s="56"/>
      <c r="XW128" s="242">
        <f t="shared" si="970"/>
        <v>0</v>
      </c>
      <c r="XX128" s="242">
        <f t="shared" si="971"/>
        <v>1901</v>
      </c>
      <c r="XY128" s="56"/>
      <c r="YB128" s="55">
        <f t="shared" si="972"/>
        <v>46129</v>
      </c>
      <c r="YC128" s="56"/>
      <c r="YD128" s="242">
        <f>SUMPRODUCT(PRODUCE!$B137:$DY137,PRODUCE!$EB$57:$IY$57)</f>
        <v>0</v>
      </c>
      <c r="YE128" s="56"/>
      <c r="YF128" s="242">
        <f t="shared" si="973"/>
        <v>0</v>
      </c>
      <c r="YG128" s="242">
        <f t="shared" si="974"/>
        <v>6459</v>
      </c>
      <c r="YH128" s="56"/>
      <c r="YK128" s="55">
        <f t="shared" si="975"/>
        <v>46129</v>
      </c>
      <c r="YL128" s="56"/>
      <c r="YM128" s="242">
        <f>SUMPRODUCT(PRODUCE!$B137:$DY137,PRODUCE!$EB$57:$IY$57)</f>
        <v>0</v>
      </c>
      <c r="YN128" s="56"/>
      <c r="YO128" s="242">
        <f t="shared" si="976"/>
        <v>0</v>
      </c>
      <c r="YP128" s="242">
        <f t="shared" si="977"/>
        <v>0</v>
      </c>
      <c r="YQ128" s="56"/>
      <c r="YT128" s="55">
        <f t="shared" si="978"/>
        <v>46129</v>
      </c>
      <c r="YU128" s="56"/>
      <c r="YV128" s="242">
        <f>SUMPRODUCT(PRODUCE!$B137:$DY137,PRODUCE!$EB$57:$IY$57)</f>
        <v>0</v>
      </c>
      <c r="YW128" s="56"/>
      <c r="YX128" s="242">
        <f t="shared" si="979"/>
        <v>0</v>
      </c>
      <c r="YY128" s="242">
        <f t="shared" si="980"/>
        <v>0</v>
      </c>
      <c r="YZ128" s="56"/>
      <c r="ZC128" s="55">
        <f t="shared" si="981"/>
        <v>46129</v>
      </c>
      <c r="ZD128" s="56"/>
      <c r="ZE128" s="242">
        <f>SUMPRODUCT(PRODUCE!$B137:$DY137,PRODUCE!$EB$57:$IY$57)</f>
        <v>0</v>
      </c>
      <c r="ZF128" s="56"/>
      <c r="ZG128" s="242">
        <f t="shared" si="982"/>
        <v>0</v>
      </c>
      <c r="ZH128" s="242">
        <f t="shared" si="983"/>
        <v>0</v>
      </c>
      <c r="ZI128" s="56"/>
      <c r="ZL128" s="55">
        <f t="shared" si="984"/>
        <v>46129</v>
      </c>
      <c r="ZM128" s="56"/>
      <c r="ZN128" s="242">
        <f>SUMPRODUCT(PRODUCE!$B137:$DY137,PRODUCE!$EB$57:$IY$57)</f>
        <v>0</v>
      </c>
      <c r="ZO128" s="56"/>
      <c r="ZP128" s="242">
        <f t="shared" si="985"/>
        <v>0</v>
      </c>
      <c r="ZQ128" s="242">
        <f t="shared" si="986"/>
        <v>0</v>
      </c>
      <c r="ZR128" s="56"/>
      <c r="ZU128" s="55">
        <f t="shared" si="987"/>
        <v>46129</v>
      </c>
      <c r="ZV128" s="56"/>
      <c r="ZW128" s="242">
        <f>SUMPRODUCT(PRODUCE!$B137:$DY137,PRODUCE!$EB$57:$IY$57)</f>
        <v>0</v>
      </c>
      <c r="ZX128" s="56"/>
      <c r="ZY128" s="242">
        <f t="shared" si="988"/>
        <v>0</v>
      </c>
      <c r="ZZ128" s="242">
        <f t="shared" si="989"/>
        <v>0</v>
      </c>
      <c r="AAA128" s="56"/>
      <c r="AAD128" s="55">
        <f t="shared" si="990"/>
        <v>46129</v>
      </c>
      <c r="AAE128" s="56"/>
      <c r="AAF128" s="242">
        <f>SUMPRODUCT(PRODUCE!$B137:$DY137,PRODUCE!$EB$57:$IY$57)</f>
        <v>0</v>
      </c>
      <c r="AAG128" s="56"/>
      <c r="AAH128" s="242">
        <f t="shared" si="991"/>
        <v>0</v>
      </c>
      <c r="AAI128" s="242">
        <f t="shared" si="992"/>
        <v>0</v>
      </c>
      <c r="AAJ128" s="56"/>
      <c r="AAM128" s="55">
        <f t="shared" si="993"/>
        <v>46129</v>
      </c>
      <c r="AAN128" s="56"/>
      <c r="AAO128" s="242">
        <f>SUMPRODUCT(PRODUCE!$B137:$DY137,PRODUCE!$EB$57:$IY$57)</f>
        <v>0</v>
      </c>
      <c r="AAP128" s="56"/>
      <c r="AAQ128" s="242">
        <f t="shared" si="994"/>
        <v>0</v>
      </c>
      <c r="AAR128" s="242">
        <f t="shared" si="995"/>
        <v>0</v>
      </c>
      <c r="AAS128" s="56"/>
      <c r="AAV128" s="55">
        <f t="shared" si="996"/>
        <v>46129</v>
      </c>
      <c r="AAW128" s="56"/>
      <c r="AAX128" s="242">
        <f>SUMPRODUCT(PRODUCE!$B137:$DY137,PRODUCE!$EB$57:$IY$57)</f>
        <v>0</v>
      </c>
      <c r="AAY128" s="56"/>
      <c r="AAZ128" s="242">
        <f t="shared" si="997"/>
        <v>0</v>
      </c>
      <c r="ABA128" s="242">
        <f t="shared" si="998"/>
        <v>0</v>
      </c>
      <c r="ABB128" s="56"/>
      <c r="ABE128" s="55">
        <f t="shared" si="999"/>
        <v>46129</v>
      </c>
      <c r="ABF128" s="56"/>
      <c r="ABG128" s="242">
        <f>SUMPRODUCT(PRODUCE!$B137:$DY137,PRODUCE!$EB$57:$IY$57)</f>
        <v>0</v>
      </c>
      <c r="ABH128" s="56"/>
      <c r="ABI128" s="242">
        <f t="shared" si="1000"/>
        <v>0</v>
      </c>
      <c r="ABJ128" s="242">
        <f t="shared" si="1001"/>
        <v>0</v>
      </c>
      <c r="ABK128" s="56"/>
    </row>
    <row r="129" spans="1:739" s="54" customFormat="1" ht="15" customHeight="1" outlineLevel="1">
      <c r="B129" s="478">
        <v>56</v>
      </c>
      <c r="C129" s="55">
        <v>46130</v>
      </c>
      <c r="D129" s="422">
        <v>91960</v>
      </c>
      <c r="E129" s="423">
        <f>SUMPRODUCT(PRODUCE!$B138:$DY138,PRODUCE!$EB$7:$IY$7)</f>
        <v>29993.600000000002</v>
      </c>
      <c r="F129" s="422">
        <v>29985.4</v>
      </c>
      <c r="G129" s="423">
        <f t="shared" si="1002"/>
        <v>8.2000000000007276</v>
      </c>
      <c r="H129" s="423">
        <f t="shared" si="1003"/>
        <v>160188.6</v>
      </c>
      <c r="I129" s="289" t="s">
        <v>248</v>
      </c>
      <c r="L129" s="55">
        <f t="shared" si="759"/>
        <v>46130</v>
      </c>
      <c r="M129" s="422">
        <v>30640</v>
      </c>
      <c r="N129" s="438">
        <f>SUMPRODUCT(PRODUCE!$B138:$DY138,PRODUCE!$EB$8:$IY$8)</f>
        <v>9604</v>
      </c>
      <c r="O129" s="422">
        <v>9605.4</v>
      </c>
      <c r="P129" s="438">
        <f t="shared" si="760"/>
        <v>-1.3999999999996362</v>
      </c>
      <c r="Q129" s="438">
        <f t="shared" si="761"/>
        <v>97045.200000000114</v>
      </c>
      <c r="R129" s="56"/>
      <c r="U129" s="55">
        <f t="shared" si="762"/>
        <v>46130</v>
      </c>
      <c r="V129" s="422">
        <v>25050</v>
      </c>
      <c r="W129" s="440">
        <f>SUMPRODUCT(PRODUCE!$B138:$DY138,PRODUCE!$EB$9:$IY$9)</f>
        <v>4760</v>
      </c>
      <c r="X129" s="422">
        <v>4760.8</v>
      </c>
      <c r="Y129" s="440">
        <f t="shared" si="763"/>
        <v>-0.8000000000001819</v>
      </c>
      <c r="Z129" s="440">
        <f t="shared" si="764"/>
        <v>37204.199999999968</v>
      </c>
      <c r="AA129" s="56"/>
      <c r="AD129" s="55">
        <f t="shared" si="765"/>
        <v>46130</v>
      </c>
      <c r="AE129" s="422"/>
      <c r="AF129" s="442">
        <f>SUMPRODUCT(PRODUCE!$B138:$DY138,PRODUCE!$EB$10:$IY$10)</f>
        <v>672</v>
      </c>
      <c r="AG129" s="422">
        <v>672.7</v>
      </c>
      <c r="AH129" s="442">
        <f t="shared" si="766"/>
        <v>-0.70000000000004547</v>
      </c>
      <c r="AI129" s="442">
        <f t="shared" si="767"/>
        <v>37017.000000000022</v>
      </c>
      <c r="AJ129" s="56"/>
      <c r="AM129" s="55">
        <f t="shared" si="768"/>
        <v>46130</v>
      </c>
      <c r="AN129" s="422"/>
      <c r="AO129" s="444">
        <f>SUMPRODUCT(PRODUCE!$B138:$DY138,PRODUCE!$EB$11:$IY$11)</f>
        <v>0</v>
      </c>
      <c r="AP129" s="422"/>
      <c r="AQ129" s="444">
        <f t="shared" si="769"/>
        <v>0</v>
      </c>
      <c r="AR129" s="444">
        <f t="shared" si="770"/>
        <v>0</v>
      </c>
      <c r="AS129" s="56"/>
      <c r="AV129" s="55">
        <f t="shared" si="771"/>
        <v>46130</v>
      </c>
      <c r="AW129" s="422"/>
      <c r="AX129" s="446">
        <f>SUMPRODUCT(PRODUCE!$B138:$DY138,PRODUCE!$EB$12:$IY$12)</f>
        <v>0</v>
      </c>
      <c r="AY129" s="422"/>
      <c r="AZ129" s="446">
        <f t="shared" si="772"/>
        <v>0</v>
      </c>
      <c r="BA129" s="446">
        <f t="shared" si="773"/>
        <v>12406.399999999992</v>
      </c>
      <c r="BB129" s="56"/>
      <c r="BE129" s="55">
        <f t="shared" si="774"/>
        <v>46130</v>
      </c>
      <c r="BF129" s="422">
        <v>22020</v>
      </c>
      <c r="BG129" s="448">
        <f>SUMPRODUCT(PRODUCE!$B138:$DY138,PRODUCE!$EB$13:$IY$13)</f>
        <v>2520</v>
      </c>
      <c r="BH129" s="422">
        <v>2517.8000000000002</v>
      </c>
      <c r="BI129" s="448">
        <f t="shared" si="775"/>
        <v>2.1999999999998181</v>
      </c>
      <c r="BJ129" s="448">
        <f t="shared" si="776"/>
        <v>48862.2</v>
      </c>
      <c r="BK129" s="56"/>
      <c r="BN129" s="55">
        <f t="shared" si="777"/>
        <v>46130</v>
      </c>
      <c r="BO129" s="422">
        <v>1091.9000000000001</v>
      </c>
      <c r="BP129" s="450">
        <f>SUMPRODUCT(PRODUCE!$B138:$DY138,PRODUCE!$EB$14:$IY$14)</f>
        <v>1092</v>
      </c>
      <c r="BQ129" s="422">
        <v>1091.9000000000001</v>
      </c>
      <c r="BR129" s="450">
        <f t="shared" si="778"/>
        <v>9.9999999999909051E-2</v>
      </c>
      <c r="BS129" s="450">
        <f t="shared" si="779"/>
        <v>0</v>
      </c>
      <c r="BT129" s="56"/>
      <c r="BW129" s="55">
        <f t="shared" si="780"/>
        <v>46130</v>
      </c>
      <c r="BX129" s="56"/>
      <c r="BY129" s="65">
        <f>SUMPRODUCT(PRODUCE!$B138:$DY138,PRODUCE!$EB$15:$IY$15)</f>
        <v>308.00000000000006</v>
      </c>
      <c r="BZ129" s="56">
        <f>80+532+407</f>
        <v>1019</v>
      </c>
      <c r="CA129" s="65">
        <f t="shared" si="781"/>
        <v>-711</v>
      </c>
      <c r="CB129" s="65">
        <f t="shared" si="782"/>
        <v>7209.7999999999993</v>
      </c>
      <c r="CC129" s="56"/>
      <c r="CF129" s="55">
        <f t="shared" si="783"/>
        <v>46130</v>
      </c>
      <c r="CG129" s="56">
        <v>2406</v>
      </c>
      <c r="CH129" s="66">
        <f>SUMPRODUCT(PRODUCE!$B138:$DY138,PRODUCE!$EB$16:$IY$16)</f>
        <v>504.00000000000011</v>
      </c>
      <c r="CI129" s="56">
        <f>140+800+666+800</f>
        <v>2406</v>
      </c>
      <c r="CJ129" s="66">
        <f t="shared" si="784"/>
        <v>-1902</v>
      </c>
      <c r="CK129" s="66">
        <f t="shared" si="785"/>
        <v>0</v>
      </c>
      <c r="CL129" s="56"/>
      <c r="CO129" s="55">
        <f t="shared" si="786"/>
        <v>46130</v>
      </c>
      <c r="CP129" s="422"/>
      <c r="CQ129" s="470">
        <f>SUMPRODUCT(PRODUCE!$B138:$DY138,PRODUCE!$EB$17:$IY$17)</f>
        <v>0</v>
      </c>
      <c r="CR129" s="422"/>
      <c r="CS129" s="470">
        <f t="shared" si="787"/>
        <v>0</v>
      </c>
      <c r="CT129" s="470">
        <f t="shared" si="788"/>
        <v>0</v>
      </c>
      <c r="CU129" s="56"/>
      <c r="CX129" s="55">
        <f t="shared" si="789"/>
        <v>46130</v>
      </c>
      <c r="CY129" s="56"/>
      <c r="CZ129" s="133">
        <f>SUMPRODUCT(PRODUCE!$B138:$DY138,PRODUCE!$EB$18:$IY$18)</f>
        <v>2800</v>
      </c>
      <c r="DA129" s="56">
        <v>2799.9</v>
      </c>
      <c r="DB129" s="133">
        <f t="shared" si="790"/>
        <v>9.9999999999909051E-2</v>
      </c>
      <c r="DC129" s="133">
        <f t="shared" si="791"/>
        <v>10651.100000000006</v>
      </c>
      <c r="DD129" s="56"/>
      <c r="DG129" s="55">
        <f t="shared" si="792"/>
        <v>46130</v>
      </c>
      <c r="DH129" s="56"/>
      <c r="DI129" s="147">
        <f>SUMPRODUCT(PRODUCE!$B138:$DY138,PRODUCE!$EB$19:$IY$19)</f>
        <v>2240</v>
      </c>
      <c r="DJ129" s="56">
        <v>2237.1999999999998</v>
      </c>
      <c r="DK129" s="147">
        <f t="shared" si="793"/>
        <v>2.8000000000001819</v>
      </c>
      <c r="DL129" s="147">
        <f t="shared" si="794"/>
        <v>12382.799999999992</v>
      </c>
      <c r="DM129" s="56"/>
      <c r="DP129" s="55">
        <f t="shared" si="795"/>
        <v>46130</v>
      </c>
      <c r="DQ129" s="56"/>
      <c r="DR129" s="57">
        <f>SUMPRODUCT(PRODUCE!$B138:$DY138,PRODUCE!$EB$20:$IY$20)</f>
        <v>0</v>
      </c>
      <c r="DS129" s="56"/>
      <c r="DT129" s="57">
        <f t="shared" si="796"/>
        <v>0</v>
      </c>
      <c r="DU129" s="57">
        <f t="shared" si="797"/>
        <v>6300</v>
      </c>
      <c r="DV129" s="56"/>
      <c r="DY129" s="55">
        <f t="shared" si="798"/>
        <v>46130</v>
      </c>
      <c r="DZ129" s="56"/>
      <c r="EA129" s="157">
        <f>SUMPRODUCT(PRODUCE!$B138:$DY138,PRODUCE!$EB$21:$IY$21)</f>
        <v>0</v>
      </c>
      <c r="EB129" s="56"/>
      <c r="EC129" s="157">
        <f t="shared" si="799"/>
        <v>0</v>
      </c>
      <c r="ED129" s="157">
        <f t="shared" si="800"/>
        <v>147.30000000000018</v>
      </c>
      <c r="EE129" s="56"/>
      <c r="EH129" s="55">
        <f t="shared" si="801"/>
        <v>46130</v>
      </c>
      <c r="EI129" s="56"/>
      <c r="EJ129" s="162">
        <f>SUMPRODUCT(PRODUCE!$B138:$DY138,PRODUCE!$EB$22:$IY$22)</f>
        <v>0</v>
      </c>
      <c r="EK129" s="56"/>
      <c r="EL129" s="162">
        <f t="shared" si="802"/>
        <v>0</v>
      </c>
      <c r="EM129" s="162">
        <f t="shared" si="803"/>
        <v>0</v>
      </c>
      <c r="EN129" s="56"/>
      <c r="EQ129" s="55">
        <f t="shared" si="804"/>
        <v>46130</v>
      </c>
      <c r="ER129" s="56"/>
      <c r="ES129" s="135">
        <f>SUMPRODUCT(PRODUCE!$B138:$DY138,PRODUCE!$EB$23:$IY$23)</f>
        <v>0</v>
      </c>
      <c r="ET129" s="56"/>
      <c r="EU129" s="135">
        <f t="shared" si="805"/>
        <v>0</v>
      </c>
      <c r="EV129" s="135">
        <f t="shared" si="806"/>
        <v>0</v>
      </c>
      <c r="EW129" s="56"/>
      <c r="EZ129" s="55">
        <f t="shared" si="807"/>
        <v>46130</v>
      </c>
      <c r="FA129" s="56"/>
      <c r="FB129" s="175">
        <f>SUMPRODUCT(PRODUCE!$B138:$DY138,PRODUCE!$EB$24:$IY$24)</f>
        <v>0</v>
      </c>
      <c r="FC129" s="56"/>
      <c r="FD129" s="175">
        <f t="shared" si="808"/>
        <v>0</v>
      </c>
      <c r="FE129" s="175">
        <f t="shared" si="809"/>
        <v>0</v>
      </c>
      <c r="FF129" s="56"/>
      <c r="FI129" s="55">
        <f t="shared" si="810"/>
        <v>46130</v>
      </c>
      <c r="FJ129" s="56"/>
      <c r="FK129" s="183">
        <f>SUMPRODUCT(PRODUCE!$B138:$DY138,PRODUCE!$EB$25:$IY$25)</f>
        <v>0</v>
      </c>
      <c r="FL129" s="56"/>
      <c r="FM129" s="183">
        <f t="shared" si="811"/>
        <v>0</v>
      </c>
      <c r="FN129" s="183">
        <f t="shared" si="812"/>
        <v>0</v>
      </c>
      <c r="FO129" s="56"/>
      <c r="FR129" s="55">
        <f t="shared" si="813"/>
        <v>46130</v>
      </c>
      <c r="FS129" s="422"/>
      <c r="FT129" s="452">
        <f>SUMPRODUCT(PRODUCE!$B138:$DY138,PRODUCE!$EB$26:$IY$26)</f>
        <v>0</v>
      </c>
      <c r="FU129" s="422"/>
      <c r="FV129" s="452">
        <f t="shared" si="814"/>
        <v>0</v>
      </c>
      <c r="FW129" s="452">
        <f t="shared" si="815"/>
        <v>2120</v>
      </c>
      <c r="FX129" s="56"/>
      <c r="GA129" s="55">
        <f t="shared" si="816"/>
        <v>46130</v>
      </c>
      <c r="GB129" s="422"/>
      <c r="GC129" s="454">
        <f>SUMPRODUCT(PRODUCE!$B138:$DY138,PRODUCE!$EB$27:$IY$27)</f>
        <v>0</v>
      </c>
      <c r="GD129" s="422">
        <f>160*20</f>
        <v>3200</v>
      </c>
      <c r="GE129" s="454">
        <f t="shared" si="817"/>
        <v>-3200</v>
      </c>
      <c r="GF129" s="454">
        <f t="shared" si="818"/>
        <v>6800</v>
      </c>
      <c r="GG129" s="56">
        <f>GD129/20</f>
        <v>160</v>
      </c>
      <c r="GI129" s="23"/>
      <c r="GJ129" s="55">
        <f t="shared" si="819"/>
        <v>46130</v>
      </c>
      <c r="GK129" s="422"/>
      <c r="GL129" s="456">
        <f>SUMPRODUCT(PRODUCE!$B138:$DY138,PRODUCE!$EB$28:$IY$28)</f>
        <v>0</v>
      </c>
      <c r="GM129" s="422"/>
      <c r="GN129" s="456">
        <f t="shared" si="820"/>
        <v>0</v>
      </c>
      <c r="GO129" s="456">
        <f t="shared" si="821"/>
        <v>4800</v>
      </c>
      <c r="GP129" s="56"/>
      <c r="GS129" s="55">
        <f t="shared" si="822"/>
        <v>46130</v>
      </c>
      <c r="GT129" s="56"/>
      <c r="GU129" s="195">
        <f>SUMPRODUCT(PRODUCE!$B138:$DY138,PRODUCE!$EB$29:$IY$29)</f>
        <v>0</v>
      </c>
      <c r="GV129" s="56"/>
      <c r="GW129" s="195">
        <f t="shared" si="823"/>
        <v>0</v>
      </c>
      <c r="GX129" s="195">
        <f t="shared" si="824"/>
        <v>0</v>
      </c>
      <c r="GY129" s="56"/>
      <c r="HB129" s="55">
        <f t="shared" si="825"/>
        <v>46130</v>
      </c>
      <c r="HC129" s="56"/>
      <c r="HD129" s="191">
        <f>SUMPRODUCT(PRODUCE!$B138:$DY138,PRODUCE!$EB$30:$IY$30)</f>
        <v>0</v>
      </c>
      <c r="HE129" s="56"/>
      <c r="HF129" s="191">
        <f t="shared" si="826"/>
        <v>0</v>
      </c>
      <c r="HG129" s="191">
        <f t="shared" si="827"/>
        <v>0</v>
      </c>
      <c r="HH129" s="56"/>
      <c r="HK129" s="55">
        <f t="shared" si="828"/>
        <v>46130</v>
      </c>
      <c r="HL129" s="56"/>
      <c r="HM129" s="63">
        <f>SUMPRODUCT(PRODUCE!$B138:$DY138,PRODUCE!$EB$31:$IY$31)</f>
        <v>0</v>
      </c>
      <c r="HN129" s="56"/>
      <c r="HO129" s="63">
        <f t="shared" si="829"/>
        <v>0</v>
      </c>
      <c r="HP129" s="63">
        <f t="shared" si="830"/>
        <v>0</v>
      </c>
      <c r="HQ129" s="56"/>
      <c r="HU129" s="55">
        <f t="shared" si="831"/>
        <v>46130</v>
      </c>
      <c r="HV129" s="56"/>
      <c r="HW129" s="242">
        <f>SUMPRODUCT(PRODUCE!$B138:$DY138,PRODUCE!$EB$32:$IY$32)</f>
        <v>0</v>
      </c>
      <c r="HX129" s="56"/>
      <c r="HY129" s="242">
        <f t="shared" si="832"/>
        <v>0</v>
      </c>
      <c r="HZ129" s="242">
        <f t="shared" si="833"/>
        <v>5120</v>
      </c>
      <c r="IA129" s="56"/>
      <c r="ID129" s="55">
        <f t="shared" si="834"/>
        <v>46130</v>
      </c>
      <c r="IE129" s="56"/>
      <c r="IF129" s="242">
        <f>SUMPRODUCT(PRODUCE!$B138:$DY138,PRODUCE!$EB$33:$IY$33)</f>
        <v>0</v>
      </c>
      <c r="IG129" s="56"/>
      <c r="IH129" s="242">
        <f t="shared" si="835"/>
        <v>0</v>
      </c>
      <c r="II129" s="242">
        <f t="shared" si="836"/>
        <v>6540</v>
      </c>
      <c r="IJ129" s="56"/>
      <c r="IM129" s="55">
        <f t="shared" si="837"/>
        <v>46130</v>
      </c>
      <c r="IN129" s="56"/>
      <c r="IO129" s="242">
        <f>SUMPRODUCT(PRODUCE!$B138:$DY138,PRODUCE!$EB$34:$IY$34)</f>
        <v>0</v>
      </c>
      <c r="IP129" s="56"/>
      <c r="IQ129" s="242">
        <f t="shared" si="838"/>
        <v>0</v>
      </c>
      <c r="IR129" s="242">
        <f t="shared" si="839"/>
        <v>11540</v>
      </c>
      <c r="IS129" s="56"/>
      <c r="IV129" s="55">
        <f t="shared" si="840"/>
        <v>46130</v>
      </c>
      <c r="IW129" s="56"/>
      <c r="IX129" s="242">
        <f>SUMPRODUCT(PRODUCE!$B138:$DY138,PRODUCE!$EB$35:$IY$35)</f>
        <v>0</v>
      </c>
      <c r="IY129" s="56"/>
      <c r="IZ129" s="242">
        <f t="shared" si="841"/>
        <v>0</v>
      </c>
      <c r="JA129" s="242">
        <f t="shared" si="842"/>
        <v>15120</v>
      </c>
      <c r="JB129" s="56"/>
      <c r="JE129" s="55">
        <f t="shared" si="843"/>
        <v>46130</v>
      </c>
      <c r="JF129" s="56"/>
      <c r="JG129" s="242">
        <f>SUMPRODUCT(PRODUCE!$B138:$DY138,PRODUCE!$EB$36:$IY$36)</f>
        <v>0</v>
      </c>
      <c r="JH129" s="56"/>
      <c r="JI129" s="242">
        <f t="shared" si="844"/>
        <v>0</v>
      </c>
      <c r="JJ129" s="242">
        <f t="shared" si="845"/>
        <v>5040</v>
      </c>
      <c r="JK129" s="56"/>
      <c r="JN129" s="55">
        <f t="shared" si="846"/>
        <v>46130</v>
      </c>
      <c r="JO129" s="56"/>
      <c r="JP129" s="242">
        <f>SUMPRODUCT(PRODUCE!$B138:$DY138,PRODUCE!$EB$37:$IY$37)</f>
        <v>0</v>
      </c>
      <c r="JQ129" s="56"/>
      <c r="JR129" s="242">
        <f t="shared" si="847"/>
        <v>0</v>
      </c>
      <c r="JS129" s="242">
        <f t="shared" si="848"/>
        <v>9100</v>
      </c>
      <c r="JT129" s="56"/>
      <c r="JW129" s="55">
        <f t="shared" si="849"/>
        <v>46130</v>
      </c>
      <c r="JX129" s="56"/>
      <c r="JY129" s="242">
        <f>SUMPRODUCT(PRODUCE!$B138:$DY138,PRODUCE!$EB$38:$IY$38)</f>
        <v>0</v>
      </c>
      <c r="JZ129" s="56">
        <f>20*20</f>
        <v>400</v>
      </c>
      <c r="KA129" s="242">
        <f t="shared" si="850"/>
        <v>-400</v>
      </c>
      <c r="KB129" s="242">
        <f t="shared" si="851"/>
        <v>2540</v>
      </c>
      <c r="KC129" s="56">
        <f>JZ129/20</f>
        <v>20</v>
      </c>
      <c r="KF129" s="55">
        <f t="shared" si="852"/>
        <v>46130</v>
      </c>
      <c r="KG129" s="56"/>
      <c r="KH129" s="242">
        <f>SUMPRODUCT(PRODUCE!$B138:$DY138,PRODUCE!$EB$39:$IY$39)</f>
        <v>0</v>
      </c>
      <c r="KI129" s="56">
        <f>80*19.5</f>
        <v>1560</v>
      </c>
      <c r="KJ129" s="242">
        <f t="shared" si="853"/>
        <v>-1560</v>
      </c>
      <c r="KK129" s="242">
        <f t="shared" si="854"/>
        <v>19.5</v>
      </c>
      <c r="KL129" s="56">
        <f>KI129/19.5</f>
        <v>80</v>
      </c>
      <c r="KO129" s="55">
        <f t="shared" si="855"/>
        <v>46130</v>
      </c>
      <c r="KP129" s="56"/>
      <c r="KQ129" s="242">
        <f>SUMPRODUCT(PRODUCE!$B138:$DY138,PRODUCE!$EB$40:$IY$40)</f>
        <v>1058.3999999999999</v>
      </c>
      <c r="KR129" s="56">
        <f>74*18.9</f>
        <v>1398.6</v>
      </c>
      <c r="KS129" s="242">
        <f t="shared" si="856"/>
        <v>-340.20000000000005</v>
      </c>
      <c r="KT129" s="242">
        <f t="shared" si="857"/>
        <v>3817.7999999999997</v>
      </c>
      <c r="KU129" s="56">
        <f>KR129/18.9</f>
        <v>74</v>
      </c>
      <c r="KW129" s="518"/>
      <c r="KX129" s="55">
        <f t="shared" si="858"/>
        <v>46130</v>
      </c>
      <c r="KY129" s="56"/>
      <c r="KZ129" s="242">
        <f>SUMPRODUCT(PRODUCE!$B138:$DY138,PRODUCE!$EB$41:$IY$41)</f>
        <v>0</v>
      </c>
      <c r="LA129" s="56"/>
      <c r="LB129" s="242">
        <f t="shared" si="859"/>
        <v>0</v>
      </c>
      <c r="LC129" s="242">
        <f t="shared" si="860"/>
        <v>0</v>
      </c>
      <c r="LD129" s="56"/>
      <c r="LG129" s="55">
        <f t="shared" si="861"/>
        <v>46130</v>
      </c>
      <c r="LH129" s="56"/>
      <c r="LI129" s="242">
        <f>SUMPRODUCT(PRODUCE!$B138:$DY138,PRODUCE!$EB$42:$IY$42)</f>
        <v>0</v>
      </c>
      <c r="LJ129" s="56"/>
      <c r="LK129" s="242">
        <f t="shared" si="862"/>
        <v>0</v>
      </c>
      <c r="LL129" s="242">
        <f t="shared" si="863"/>
        <v>0</v>
      </c>
      <c r="LM129" s="56"/>
      <c r="LP129" s="55">
        <f t="shared" si="864"/>
        <v>46130</v>
      </c>
      <c r="LQ129" s="56"/>
      <c r="LR129" s="242">
        <f>SUMPRODUCT(PRODUCE!$B144:$DY144,PRODUCE!$EB$43:$IY$43)</f>
        <v>0</v>
      </c>
      <c r="LS129" s="56"/>
      <c r="LT129" s="242">
        <f t="shared" si="865"/>
        <v>0</v>
      </c>
      <c r="LU129" s="242">
        <f t="shared" si="866"/>
        <v>0</v>
      </c>
      <c r="LV129" s="56"/>
      <c r="LY129" s="55">
        <f t="shared" si="867"/>
        <v>46130</v>
      </c>
      <c r="LZ129" s="56"/>
      <c r="MA129" s="242">
        <f>SUMPRODUCT(PRODUCE!$B138:$DY138,PRODUCE!$EB$44:$IY$44)</f>
        <v>0</v>
      </c>
      <c r="MB129" s="56"/>
      <c r="MC129" s="242">
        <f t="shared" si="868"/>
        <v>0</v>
      </c>
      <c r="MD129" s="242">
        <f t="shared" si="869"/>
        <v>0</v>
      </c>
      <c r="ME129" s="56"/>
      <c r="MH129" s="55">
        <f t="shared" si="870"/>
        <v>46130</v>
      </c>
      <c r="MI129" s="56"/>
      <c r="MJ129" s="242">
        <f>SUMPRODUCT(PRODUCE!$B138:$DY138,PRODUCE!$EB$45:$IY$45)</f>
        <v>0</v>
      </c>
      <c r="MK129" s="56"/>
      <c r="ML129" s="242">
        <f t="shared" si="871"/>
        <v>0</v>
      </c>
      <c r="MM129" s="242">
        <f t="shared" si="872"/>
        <v>0</v>
      </c>
      <c r="MN129" s="56"/>
      <c r="MQ129" s="55">
        <f t="shared" si="873"/>
        <v>46130</v>
      </c>
      <c r="MR129" s="56"/>
      <c r="MS129" s="242">
        <f>SUMPRODUCT(PRODUCE!$B138:$DY138,PRODUCE!$EB$46:$IY$46)</f>
        <v>0</v>
      </c>
      <c r="MT129" s="56">
        <v>80</v>
      </c>
      <c r="MU129" s="242">
        <f t="shared" si="874"/>
        <v>-80</v>
      </c>
      <c r="MV129" s="242">
        <f t="shared" si="875"/>
        <v>4069</v>
      </c>
      <c r="MW129" s="56"/>
      <c r="MZ129" s="55">
        <f t="shared" si="876"/>
        <v>46130</v>
      </c>
      <c r="NA129" s="56">
        <v>522</v>
      </c>
      <c r="NB129" s="242">
        <f>SUMPRODUCT(PRODUCE!$B138:$DY138,PRODUCE!$EB$47:$IY$47)</f>
        <v>168</v>
      </c>
      <c r="NC129" s="56">
        <f>60+240+222</f>
        <v>522</v>
      </c>
      <c r="ND129" s="242">
        <f t="shared" si="877"/>
        <v>-354</v>
      </c>
      <c r="NE129" s="242">
        <f t="shared" si="878"/>
        <v>0</v>
      </c>
      <c r="NF129" s="56"/>
      <c r="NI129" s="55">
        <f t="shared" si="879"/>
        <v>46130</v>
      </c>
      <c r="NJ129" s="56"/>
      <c r="NK129" s="242">
        <f>SUMPRODUCT(PRODUCE!$B138:$DY138,PRODUCE!$EB$48:$IY$48)</f>
        <v>56</v>
      </c>
      <c r="NL129" s="56">
        <f>20+80+74</f>
        <v>174</v>
      </c>
      <c r="NM129" s="242">
        <f t="shared" si="880"/>
        <v>-118</v>
      </c>
      <c r="NN129" s="242">
        <f t="shared" si="881"/>
        <v>1349</v>
      </c>
      <c r="NO129" s="56"/>
      <c r="NR129" s="55">
        <f t="shared" si="882"/>
        <v>46130</v>
      </c>
      <c r="NS129" s="56"/>
      <c r="NT129" s="242">
        <f>SUMPRODUCT(PRODUCE!$B138:$DY138,PRODUCE!$EB$49:$IY$49)</f>
        <v>67.2</v>
      </c>
      <c r="NU129" s="56">
        <f>4+96+88.8</f>
        <v>188.8</v>
      </c>
      <c r="NV129" s="242">
        <f t="shared" si="883"/>
        <v>-121.60000000000001</v>
      </c>
      <c r="NW129" s="242">
        <f t="shared" si="884"/>
        <v>3377.2999999999997</v>
      </c>
      <c r="NX129" s="56"/>
      <c r="OA129" s="55">
        <f t="shared" si="885"/>
        <v>46130</v>
      </c>
      <c r="OB129" s="56"/>
      <c r="OC129" s="242">
        <f>SUMPRODUCT(PRODUCE!$B138:$DY138,PRODUCE!$EB$50:$IY$50)</f>
        <v>0</v>
      </c>
      <c r="OD129" s="56"/>
      <c r="OE129" s="242">
        <f t="shared" si="886"/>
        <v>0</v>
      </c>
      <c r="OF129" s="242">
        <f t="shared" si="887"/>
        <v>1680.5</v>
      </c>
      <c r="OG129" s="56"/>
      <c r="OJ129" s="55">
        <f t="shared" si="888"/>
        <v>46130</v>
      </c>
      <c r="OK129" s="56">
        <v>485.9</v>
      </c>
      <c r="OL129" s="242">
        <f>SUMPRODUCT(PRODUCE!$B138:$DY138,PRODUCE!$EB$51:$IY$51)</f>
        <v>156.79999999999995</v>
      </c>
      <c r="OM129" s="56">
        <f>54.7+224+207.2</f>
        <v>485.9</v>
      </c>
      <c r="ON129" s="242">
        <f t="shared" si="889"/>
        <v>-329.1</v>
      </c>
      <c r="OO129" s="242">
        <f t="shared" si="890"/>
        <v>0</v>
      </c>
      <c r="OP129" s="56"/>
      <c r="OS129" s="55">
        <f t="shared" si="891"/>
        <v>46130</v>
      </c>
      <c r="OT129" s="56"/>
      <c r="OU129" s="242">
        <f>SUMPRODUCT(PRODUCE!$B138:$DY138,PRODUCE!$EB$52:$IY$52)</f>
        <v>0</v>
      </c>
      <c r="OV129" s="56"/>
      <c r="OW129" s="242">
        <f t="shared" si="892"/>
        <v>0</v>
      </c>
      <c r="OX129" s="242">
        <f t="shared" si="893"/>
        <v>1000</v>
      </c>
      <c r="OY129" s="56"/>
      <c r="PB129" s="55">
        <f t="shared" si="894"/>
        <v>46130</v>
      </c>
      <c r="PC129" s="56"/>
      <c r="PD129" s="242">
        <f>SUMPRODUCT(PRODUCE!$B138:$DY138,PRODUCE!$EB$53:$IY$53)</f>
        <v>0</v>
      </c>
      <c r="PE129" s="56"/>
      <c r="PF129" s="242">
        <f t="shared" si="895"/>
        <v>0</v>
      </c>
      <c r="PG129" s="242">
        <f t="shared" si="896"/>
        <v>0</v>
      </c>
      <c r="PH129" s="56"/>
      <c r="PK129" s="55">
        <f t="shared" si="897"/>
        <v>46130</v>
      </c>
      <c r="PL129" s="56"/>
      <c r="PM129" s="242">
        <f>SUMPRODUCT(PRODUCE!$B138:$DY138,PRODUCE!$EB$54:$IY$54)</f>
        <v>0</v>
      </c>
      <c r="PN129" s="56"/>
      <c r="PO129" s="242">
        <f t="shared" si="898"/>
        <v>0</v>
      </c>
      <c r="PP129" s="242">
        <f t="shared" si="899"/>
        <v>100</v>
      </c>
      <c r="PQ129" s="56"/>
      <c r="PT129" s="55">
        <f t="shared" si="900"/>
        <v>46130</v>
      </c>
      <c r="PU129" s="56"/>
      <c r="PV129" s="242">
        <f>SUMPRODUCT(PRODUCE!$B138:$DY138,PRODUCE!$EB$55:$IY$55)</f>
        <v>0</v>
      </c>
      <c r="PW129" s="56"/>
      <c r="PX129" s="242">
        <f t="shared" si="901"/>
        <v>0</v>
      </c>
      <c r="PY129" s="242">
        <f t="shared" si="902"/>
        <v>13.960000000000036</v>
      </c>
      <c r="PZ129" s="56"/>
      <c r="QC129" s="55">
        <f t="shared" si="903"/>
        <v>46130</v>
      </c>
      <c r="QD129" s="56"/>
      <c r="QE129" s="242">
        <f>SUMPRODUCT(PRODUCE!$B138:$DY138,PRODUCE!$EB$56:$IY$56)</f>
        <v>0</v>
      </c>
      <c r="QF129" s="56"/>
      <c r="QG129" s="242">
        <f t="shared" si="904"/>
        <v>0</v>
      </c>
      <c r="QH129" s="242">
        <f t="shared" si="905"/>
        <v>1212</v>
      </c>
      <c r="QI129" s="56"/>
      <c r="QL129" s="55">
        <f t="shared" si="906"/>
        <v>46130</v>
      </c>
      <c r="QM129" s="56"/>
      <c r="QN129" s="242">
        <f>SUMPRODUCT(PRODUCE!$B138:$DY138,PRODUCE!$EB$57:$IY$57)</f>
        <v>0</v>
      </c>
      <c r="QO129" s="56"/>
      <c r="QP129" s="242">
        <f t="shared" si="907"/>
        <v>0</v>
      </c>
      <c r="QQ129" s="242">
        <f t="shared" si="908"/>
        <v>400</v>
      </c>
      <c r="QR129" s="56"/>
      <c r="QU129" s="55">
        <f t="shared" si="909"/>
        <v>46130</v>
      </c>
      <c r="QV129" s="56"/>
      <c r="QW129" s="242">
        <f>SUMPRODUCT(PRODUCE!$B138:$DY138,PRODUCE!$EB$57:$IY$57)</f>
        <v>0</v>
      </c>
      <c r="QX129" s="56"/>
      <c r="QY129" s="242">
        <f t="shared" si="910"/>
        <v>0</v>
      </c>
      <c r="QZ129" s="242">
        <f t="shared" si="911"/>
        <v>207.6</v>
      </c>
      <c r="RA129" s="56"/>
      <c r="RD129" s="55">
        <f t="shared" si="912"/>
        <v>46130</v>
      </c>
      <c r="RE129" s="56"/>
      <c r="RF129" s="242">
        <f>SUMPRODUCT(PRODUCE!$B138:$DY138,PRODUCE!$EB$58:$IY$58)</f>
        <v>0</v>
      </c>
      <c r="RG129" s="56"/>
      <c r="RH129" s="242">
        <f t="shared" si="913"/>
        <v>0</v>
      </c>
      <c r="RI129" s="242">
        <f t="shared" si="914"/>
        <v>147.04000000000002</v>
      </c>
      <c r="RJ129" s="56"/>
      <c r="RM129" s="55">
        <f t="shared" si="915"/>
        <v>46130</v>
      </c>
      <c r="RN129" s="56"/>
      <c r="RO129" s="242">
        <f>SUMPRODUCT(PRODUCE!$B138:$DY138,PRODUCE!$EB$57:$IY$57)</f>
        <v>0</v>
      </c>
      <c r="RP129" s="56"/>
      <c r="RQ129" s="242">
        <f t="shared" si="916"/>
        <v>0</v>
      </c>
      <c r="RR129" s="242">
        <f t="shared" si="917"/>
        <v>46.8</v>
      </c>
      <c r="RS129" s="56"/>
      <c r="RV129" s="55">
        <f t="shared" si="918"/>
        <v>46130</v>
      </c>
      <c r="RW129" s="56"/>
      <c r="RX129" s="242">
        <f>SUMPRODUCT(PRODUCE!$B138:$DY138,PRODUCE!$EB$57:$IY$57)</f>
        <v>0</v>
      </c>
      <c r="RY129" s="56"/>
      <c r="RZ129" s="242">
        <f t="shared" si="919"/>
        <v>0</v>
      </c>
      <c r="SA129" s="242">
        <f t="shared" si="920"/>
        <v>0</v>
      </c>
      <c r="SB129" s="56"/>
      <c r="SE129" s="55">
        <f t="shared" si="921"/>
        <v>46130</v>
      </c>
      <c r="SF129" s="56"/>
      <c r="SG129" s="242">
        <f>SUMPRODUCT(PRODUCE!$B138:$DY138,PRODUCE!$EB$57:$IY$57)</f>
        <v>0</v>
      </c>
      <c r="SH129" s="56"/>
      <c r="SI129" s="242">
        <f t="shared" si="922"/>
        <v>0</v>
      </c>
      <c r="SJ129" s="242">
        <f t="shared" si="923"/>
        <v>125</v>
      </c>
      <c r="SK129" s="56"/>
      <c r="SN129" s="55">
        <f t="shared" si="924"/>
        <v>46130</v>
      </c>
      <c r="SO129" s="56"/>
      <c r="SP129" s="242">
        <f>SUMPRODUCT(PRODUCE!$B138:$DY138,PRODUCE!$EB$57:$IY$57)</f>
        <v>0</v>
      </c>
      <c r="SQ129" s="56"/>
      <c r="SR129" s="242">
        <f t="shared" si="925"/>
        <v>0</v>
      </c>
      <c r="SS129" s="242">
        <f t="shared" si="926"/>
        <v>200</v>
      </c>
      <c r="ST129" s="56"/>
      <c r="SW129" s="55">
        <f t="shared" si="927"/>
        <v>46130</v>
      </c>
      <c r="SX129" s="56"/>
      <c r="SY129" s="242">
        <f>SUMPRODUCT(PRODUCE!$B138:$DY138,PRODUCE!$EB$57:$IY$57)</f>
        <v>0</v>
      </c>
      <c r="SZ129" s="56"/>
      <c r="TA129" s="242">
        <f t="shared" si="928"/>
        <v>0</v>
      </c>
      <c r="TB129" s="242">
        <f t="shared" si="929"/>
        <v>0</v>
      </c>
      <c r="TC129" s="56"/>
      <c r="TF129" s="55">
        <f t="shared" si="930"/>
        <v>46130</v>
      </c>
      <c r="TG129" s="56"/>
      <c r="TH129" s="242">
        <f>SUMPRODUCT(PRODUCE!$B138:$DY138,PRODUCE!$EB$57:$IY$57)</f>
        <v>0</v>
      </c>
      <c r="TI129" s="56"/>
      <c r="TJ129" s="242">
        <f t="shared" si="931"/>
        <v>0</v>
      </c>
      <c r="TK129" s="242">
        <f t="shared" si="932"/>
        <v>0</v>
      </c>
      <c r="TL129" s="56"/>
      <c r="TO129" s="55">
        <f t="shared" si="933"/>
        <v>46130</v>
      </c>
      <c r="TP129" s="56"/>
      <c r="TQ129" s="242">
        <f>SUMPRODUCT(PRODUCE!$B138:$DY138,PRODUCE!$EB$57:$IY$57)</f>
        <v>0</v>
      </c>
      <c r="TR129" s="56"/>
      <c r="TS129" s="242">
        <f t="shared" si="934"/>
        <v>0</v>
      </c>
      <c r="TT129" s="242">
        <f t="shared" si="935"/>
        <v>0</v>
      </c>
      <c r="TU129" s="56"/>
      <c r="TX129" s="55">
        <f t="shared" si="936"/>
        <v>46130</v>
      </c>
      <c r="TY129" s="56"/>
      <c r="TZ129" s="242">
        <f>SUMPRODUCT(PRODUCE!$B138:$DY138,PRODUCE!$EB$57:$IY$57)</f>
        <v>0</v>
      </c>
      <c r="UA129" s="56"/>
      <c r="UB129" s="242">
        <f t="shared" si="937"/>
        <v>0</v>
      </c>
      <c r="UC129" s="242">
        <f t="shared" si="938"/>
        <v>0</v>
      </c>
      <c r="UD129" s="56"/>
      <c r="UG129" s="55">
        <f t="shared" si="939"/>
        <v>46130</v>
      </c>
      <c r="UH129" s="56"/>
      <c r="UI129" s="242">
        <f>SUMPRODUCT(PRODUCE!$B138:$DY138,PRODUCE!$EB$57:$IY$57)</f>
        <v>0</v>
      </c>
      <c r="UJ129" s="56"/>
      <c r="UK129" s="242">
        <f t="shared" si="940"/>
        <v>0</v>
      </c>
      <c r="UL129" s="242">
        <f t="shared" si="941"/>
        <v>0</v>
      </c>
      <c r="UM129" s="56"/>
      <c r="UP129" s="55">
        <f t="shared" si="942"/>
        <v>46130</v>
      </c>
      <c r="UQ129" s="56"/>
      <c r="UR129" s="242">
        <f>SUMPRODUCT(PRODUCE!$B138:$DY138,PRODUCE!$EB$57:$IY$57)</f>
        <v>0</v>
      </c>
      <c r="US129" s="56"/>
      <c r="UT129" s="242">
        <f t="shared" si="943"/>
        <v>0</v>
      </c>
      <c r="UU129" s="242">
        <f t="shared" si="944"/>
        <v>0</v>
      </c>
      <c r="UV129" s="56"/>
      <c r="UY129" s="55">
        <f t="shared" si="945"/>
        <v>46130</v>
      </c>
      <c r="UZ129" s="56"/>
      <c r="VA129" s="242">
        <f>SUMPRODUCT(PRODUCE!$B138:$DY138,PRODUCE!$EB$57:$IY$57)</f>
        <v>0</v>
      </c>
      <c r="VB129" s="56"/>
      <c r="VC129" s="242">
        <f t="shared" si="946"/>
        <v>0</v>
      </c>
      <c r="VD129" s="242">
        <f t="shared" si="947"/>
        <v>41.600000000000023</v>
      </c>
      <c r="VE129" s="56"/>
      <c r="VH129" s="55">
        <f t="shared" si="948"/>
        <v>46130</v>
      </c>
      <c r="VI129" s="56"/>
      <c r="VJ129" s="242">
        <f>SUMPRODUCT(PRODUCE!$B138:$DY138,PRODUCE!$EB$57:$IY$57)</f>
        <v>0</v>
      </c>
      <c r="VK129" s="56"/>
      <c r="VL129" s="242">
        <f t="shared" si="949"/>
        <v>0</v>
      </c>
      <c r="VM129" s="242">
        <f t="shared" si="950"/>
        <v>0</v>
      </c>
      <c r="VN129" s="56"/>
      <c r="VQ129" s="55">
        <f t="shared" si="951"/>
        <v>46130</v>
      </c>
      <c r="VR129" s="56"/>
      <c r="VS129" s="242">
        <f>SUMPRODUCT(PRODUCE!$B138:$DY138,PRODUCE!$EB$57:$IY$57)</f>
        <v>0</v>
      </c>
      <c r="VT129" s="56"/>
      <c r="VU129" s="242">
        <f t="shared" si="952"/>
        <v>0</v>
      </c>
      <c r="VV129" s="242">
        <f t="shared" si="953"/>
        <v>0</v>
      </c>
      <c r="VW129" s="56"/>
      <c r="VZ129" s="55">
        <f t="shared" si="954"/>
        <v>46130</v>
      </c>
      <c r="WA129" s="56"/>
      <c r="WB129" s="242">
        <f>SUMPRODUCT(PRODUCE!$B138:$DY138,PRODUCE!$EB$57:$IY$57)</f>
        <v>0</v>
      </c>
      <c r="WC129" s="56"/>
      <c r="WD129" s="242">
        <f t="shared" si="955"/>
        <v>0</v>
      </c>
      <c r="WE129" s="242">
        <f t="shared" si="956"/>
        <v>0</v>
      </c>
      <c r="WF129" s="56"/>
      <c r="WI129" s="55">
        <f t="shared" si="957"/>
        <v>46130</v>
      </c>
      <c r="WJ129" s="56"/>
      <c r="WK129" s="242">
        <f>SUMPRODUCT(PRODUCE!$B138:$DY138,PRODUCE!$EB$57:$IY$57)</f>
        <v>0</v>
      </c>
      <c r="WL129" s="56"/>
      <c r="WM129" s="242">
        <f t="shared" si="958"/>
        <v>0</v>
      </c>
      <c r="WN129" s="242">
        <f t="shared" si="959"/>
        <v>2317</v>
      </c>
      <c r="WO129" s="56"/>
      <c r="WR129" s="55">
        <f t="shared" si="960"/>
        <v>46130</v>
      </c>
      <c r="WS129" s="56"/>
      <c r="WT129" s="242">
        <f>SUMPRODUCT(PRODUCE!$B138:$DY138,PRODUCE!$EB$57:$IY$57)</f>
        <v>0</v>
      </c>
      <c r="WU129" s="56"/>
      <c r="WV129" s="242">
        <f t="shared" si="961"/>
        <v>0</v>
      </c>
      <c r="WW129" s="242">
        <f t="shared" si="962"/>
        <v>6036</v>
      </c>
      <c r="WX129" s="56"/>
      <c r="XA129" s="55">
        <f t="shared" si="963"/>
        <v>46130</v>
      </c>
      <c r="XB129" s="56"/>
      <c r="XC129" s="242">
        <f>SUMPRODUCT(PRODUCE!$B138:$DY138,PRODUCE!$EB$57:$IY$57)</f>
        <v>0</v>
      </c>
      <c r="XD129" s="56"/>
      <c r="XE129" s="242">
        <f t="shared" si="964"/>
        <v>0</v>
      </c>
      <c r="XF129" s="242">
        <f t="shared" si="965"/>
        <v>14868</v>
      </c>
      <c r="XG129" s="56"/>
      <c r="XJ129" s="55">
        <f t="shared" si="966"/>
        <v>46130</v>
      </c>
      <c r="XK129" s="56"/>
      <c r="XL129" s="242">
        <f>SUMPRODUCT(PRODUCE!$B138:$DY138,PRODUCE!$EB$57:$IY$57)</f>
        <v>0</v>
      </c>
      <c r="XM129" s="56">
        <v>1219</v>
      </c>
      <c r="XN129" s="242">
        <f t="shared" si="967"/>
        <v>-1219</v>
      </c>
      <c r="XO129" s="242">
        <f t="shared" si="968"/>
        <v>2784</v>
      </c>
      <c r="XP129" s="56"/>
      <c r="XS129" s="55">
        <f t="shared" si="969"/>
        <v>46130</v>
      </c>
      <c r="XT129" s="56"/>
      <c r="XU129" s="242">
        <f>SUMPRODUCT(PRODUCE!$B138:$DY138,PRODUCE!$EB$57:$IY$57)</f>
        <v>0</v>
      </c>
      <c r="XV129" s="56"/>
      <c r="XW129" s="242">
        <f t="shared" si="970"/>
        <v>0</v>
      </c>
      <c r="XX129" s="242">
        <f t="shared" si="971"/>
        <v>1901</v>
      </c>
      <c r="XY129" s="56"/>
      <c r="YB129" s="55">
        <f t="shared" si="972"/>
        <v>46130</v>
      </c>
      <c r="YC129" s="56"/>
      <c r="YD129" s="242">
        <f>SUMPRODUCT(PRODUCE!$B138:$DY138,PRODUCE!$EB$57:$IY$57)</f>
        <v>0</v>
      </c>
      <c r="YE129" s="56"/>
      <c r="YF129" s="242">
        <f t="shared" si="973"/>
        <v>0</v>
      </c>
      <c r="YG129" s="242">
        <f t="shared" si="974"/>
        <v>6459</v>
      </c>
      <c r="YH129" s="56"/>
      <c r="YK129" s="55">
        <f t="shared" si="975"/>
        <v>46130</v>
      </c>
      <c r="YL129" s="56"/>
      <c r="YM129" s="242">
        <f>SUMPRODUCT(PRODUCE!$B138:$DY138,PRODUCE!$EB$57:$IY$57)</f>
        <v>0</v>
      </c>
      <c r="YN129" s="56"/>
      <c r="YO129" s="242">
        <f t="shared" si="976"/>
        <v>0</v>
      </c>
      <c r="YP129" s="242">
        <f t="shared" si="977"/>
        <v>0</v>
      </c>
      <c r="YQ129" s="56"/>
      <c r="YT129" s="55">
        <f t="shared" si="978"/>
        <v>46130</v>
      </c>
      <c r="YU129" s="56"/>
      <c r="YV129" s="242">
        <f>SUMPRODUCT(PRODUCE!$B138:$DY138,PRODUCE!$EB$57:$IY$57)</f>
        <v>0</v>
      </c>
      <c r="YW129" s="56"/>
      <c r="YX129" s="242">
        <f t="shared" si="979"/>
        <v>0</v>
      </c>
      <c r="YY129" s="242">
        <f t="shared" si="980"/>
        <v>0</v>
      </c>
      <c r="YZ129" s="56"/>
      <c r="ZC129" s="55">
        <f t="shared" si="981"/>
        <v>46130</v>
      </c>
      <c r="ZD129" s="56"/>
      <c r="ZE129" s="242">
        <f>SUMPRODUCT(PRODUCE!$B138:$DY138,PRODUCE!$EB$57:$IY$57)</f>
        <v>0</v>
      </c>
      <c r="ZF129" s="56"/>
      <c r="ZG129" s="242">
        <f t="shared" si="982"/>
        <v>0</v>
      </c>
      <c r="ZH129" s="242">
        <f t="shared" si="983"/>
        <v>0</v>
      </c>
      <c r="ZI129" s="56"/>
      <c r="ZL129" s="55">
        <f t="shared" si="984"/>
        <v>46130</v>
      </c>
      <c r="ZM129" s="56"/>
      <c r="ZN129" s="242">
        <f>SUMPRODUCT(PRODUCE!$B138:$DY138,PRODUCE!$EB$57:$IY$57)</f>
        <v>0</v>
      </c>
      <c r="ZO129" s="56"/>
      <c r="ZP129" s="242">
        <f t="shared" si="985"/>
        <v>0</v>
      </c>
      <c r="ZQ129" s="242">
        <f t="shared" si="986"/>
        <v>0</v>
      </c>
      <c r="ZR129" s="56"/>
      <c r="ZU129" s="55">
        <f t="shared" si="987"/>
        <v>46130</v>
      </c>
      <c r="ZV129" s="56"/>
      <c r="ZW129" s="242">
        <f>SUMPRODUCT(PRODUCE!$B138:$DY138,PRODUCE!$EB$57:$IY$57)</f>
        <v>0</v>
      </c>
      <c r="ZX129" s="56"/>
      <c r="ZY129" s="242">
        <f t="shared" si="988"/>
        <v>0</v>
      </c>
      <c r="ZZ129" s="242">
        <f t="shared" si="989"/>
        <v>0</v>
      </c>
      <c r="AAA129" s="56"/>
      <c r="AAD129" s="55">
        <f t="shared" si="990"/>
        <v>46130</v>
      </c>
      <c r="AAE129" s="56"/>
      <c r="AAF129" s="242">
        <f>SUMPRODUCT(PRODUCE!$B138:$DY138,PRODUCE!$EB$57:$IY$57)</f>
        <v>0</v>
      </c>
      <c r="AAG129" s="56"/>
      <c r="AAH129" s="242">
        <f t="shared" si="991"/>
        <v>0</v>
      </c>
      <c r="AAI129" s="242">
        <f t="shared" si="992"/>
        <v>0</v>
      </c>
      <c r="AAJ129" s="56"/>
      <c r="AAM129" s="55">
        <f t="shared" si="993"/>
        <v>46130</v>
      </c>
      <c r="AAN129" s="56"/>
      <c r="AAO129" s="242">
        <f>SUMPRODUCT(PRODUCE!$B138:$DY138,PRODUCE!$EB$57:$IY$57)</f>
        <v>0</v>
      </c>
      <c r="AAP129" s="56"/>
      <c r="AAQ129" s="242">
        <f t="shared" si="994"/>
        <v>0</v>
      </c>
      <c r="AAR129" s="242">
        <f t="shared" si="995"/>
        <v>0</v>
      </c>
      <c r="AAS129" s="56"/>
      <c r="AAV129" s="55">
        <f t="shared" si="996"/>
        <v>46130</v>
      </c>
      <c r="AAW129" s="56"/>
      <c r="AAX129" s="242">
        <f>SUMPRODUCT(PRODUCE!$B138:$DY138,PRODUCE!$EB$57:$IY$57)</f>
        <v>0</v>
      </c>
      <c r="AAY129" s="56"/>
      <c r="AAZ129" s="242">
        <f t="shared" si="997"/>
        <v>0</v>
      </c>
      <c r="ABA129" s="242">
        <f t="shared" si="998"/>
        <v>0</v>
      </c>
      <c r="ABB129" s="56"/>
      <c r="ABE129" s="55">
        <f t="shared" si="999"/>
        <v>46130</v>
      </c>
      <c r="ABF129" s="56"/>
      <c r="ABG129" s="242">
        <f>SUMPRODUCT(PRODUCE!$B138:$DY138,PRODUCE!$EB$57:$IY$57)</f>
        <v>0</v>
      </c>
      <c r="ABH129" s="56"/>
      <c r="ABI129" s="242">
        <f t="shared" si="1000"/>
        <v>0</v>
      </c>
      <c r="ABJ129" s="242">
        <f t="shared" si="1001"/>
        <v>0</v>
      </c>
      <c r="ABK129" s="56"/>
    </row>
    <row r="130" spans="1:739" s="54" customFormat="1" ht="15" customHeight="1" outlineLevel="1">
      <c r="B130" s="478"/>
      <c r="C130" s="55">
        <v>46131</v>
      </c>
      <c r="D130" s="422"/>
      <c r="E130" s="423">
        <f>SUMPRODUCT(PRODUCE!$B139:$DY139,PRODUCE!$EB$7:$IY$7)</f>
        <v>0</v>
      </c>
      <c r="F130" s="422"/>
      <c r="G130" s="423">
        <f t="shared" si="1002"/>
        <v>0</v>
      </c>
      <c r="H130" s="423">
        <f t="shared" si="1003"/>
        <v>160188.6</v>
      </c>
      <c r="I130" s="289"/>
      <c r="L130" s="55">
        <f t="shared" si="759"/>
        <v>46131</v>
      </c>
      <c r="M130" s="422"/>
      <c r="N130" s="438">
        <f>SUMPRODUCT(PRODUCE!$B139:$DY139,PRODUCE!$EB$8:$IY$8)</f>
        <v>0</v>
      </c>
      <c r="O130" s="422"/>
      <c r="P130" s="438">
        <f t="shared" si="760"/>
        <v>0</v>
      </c>
      <c r="Q130" s="438">
        <f t="shared" si="761"/>
        <v>97045.200000000114</v>
      </c>
      <c r="R130" s="56"/>
      <c r="U130" s="55">
        <f t="shared" si="762"/>
        <v>46131</v>
      </c>
      <c r="V130" s="422"/>
      <c r="W130" s="440">
        <f>SUMPRODUCT(PRODUCE!$B139:$DY139,PRODUCE!$EB$9:$IY$9)</f>
        <v>0</v>
      </c>
      <c r="X130" s="422"/>
      <c r="Y130" s="440">
        <f t="shared" si="763"/>
        <v>0</v>
      </c>
      <c r="Z130" s="440">
        <f t="shared" si="764"/>
        <v>37204.199999999968</v>
      </c>
      <c r="AA130" s="56"/>
      <c r="AD130" s="55">
        <f t="shared" si="765"/>
        <v>46131</v>
      </c>
      <c r="AE130" s="422"/>
      <c r="AF130" s="442">
        <f>SUMPRODUCT(PRODUCE!$B139:$DY139,PRODUCE!$EB$10:$IY$10)</f>
        <v>0</v>
      </c>
      <c r="AG130" s="422"/>
      <c r="AH130" s="442">
        <f t="shared" si="766"/>
        <v>0</v>
      </c>
      <c r="AI130" s="442">
        <f t="shared" si="767"/>
        <v>37017.000000000022</v>
      </c>
      <c r="AJ130" s="56"/>
      <c r="AM130" s="55">
        <f t="shared" si="768"/>
        <v>46131</v>
      </c>
      <c r="AN130" s="422"/>
      <c r="AO130" s="444">
        <f>SUMPRODUCT(PRODUCE!$B139:$DY139,PRODUCE!$EB$11:$IY$11)</f>
        <v>0</v>
      </c>
      <c r="AP130" s="422"/>
      <c r="AQ130" s="444">
        <f t="shared" si="769"/>
        <v>0</v>
      </c>
      <c r="AR130" s="444">
        <f t="shared" si="770"/>
        <v>0</v>
      </c>
      <c r="AS130" s="56"/>
      <c r="AV130" s="55">
        <f t="shared" si="771"/>
        <v>46131</v>
      </c>
      <c r="AW130" s="422"/>
      <c r="AX130" s="446">
        <f>SUMPRODUCT(PRODUCE!$B139:$DY139,PRODUCE!$EB$12:$IY$12)</f>
        <v>0</v>
      </c>
      <c r="AY130" s="422"/>
      <c r="AZ130" s="446">
        <f t="shared" si="772"/>
        <v>0</v>
      </c>
      <c r="BA130" s="446">
        <f t="shared" si="773"/>
        <v>12406.399999999992</v>
      </c>
      <c r="BB130" s="56"/>
      <c r="BE130" s="55">
        <f t="shared" si="774"/>
        <v>46131</v>
      </c>
      <c r="BF130" s="422"/>
      <c r="BG130" s="448">
        <f>SUMPRODUCT(PRODUCE!$B139:$DY139,PRODUCE!$EB$13:$IY$13)</f>
        <v>0</v>
      </c>
      <c r="BH130" s="422"/>
      <c r="BI130" s="448">
        <f t="shared" si="775"/>
        <v>0</v>
      </c>
      <c r="BJ130" s="448">
        <f t="shared" si="776"/>
        <v>48862.2</v>
      </c>
      <c r="BK130" s="56"/>
      <c r="BN130" s="55">
        <f t="shared" si="777"/>
        <v>46131</v>
      </c>
      <c r="BO130" s="422"/>
      <c r="BP130" s="450">
        <f>SUMPRODUCT(PRODUCE!$B139:$DY139,PRODUCE!$EB$14:$IY$14)</f>
        <v>0</v>
      </c>
      <c r="BQ130" s="422"/>
      <c r="BR130" s="450">
        <f t="shared" si="778"/>
        <v>0</v>
      </c>
      <c r="BS130" s="450">
        <f t="shared" si="779"/>
        <v>0</v>
      </c>
      <c r="BT130" s="56"/>
      <c r="BW130" s="55">
        <f t="shared" si="780"/>
        <v>46131</v>
      </c>
      <c r="BX130" s="56"/>
      <c r="BY130" s="65">
        <f>SUMPRODUCT(PRODUCE!$B139:$DY139,PRODUCE!$EB$15:$IY$15)</f>
        <v>0</v>
      </c>
      <c r="BZ130" s="56"/>
      <c r="CA130" s="65">
        <f t="shared" si="781"/>
        <v>0</v>
      </c>
      <c r="CB130" s="65">
        <f t="shared" si="782"/>
        <v>7209.7999999999993</v>
      </c>
      <c r="CC130" s="56"/>
      <c r="CF130" s="55">
        <f t="shared" si="783"/>
        <v>46131</v>
      </c>
      <c r="CG130" s="56"/>
      <c r="CH130" s="66">
        <f>SUMPRODUCT(PRODUCE!$B139:$DY139,PRODUCE!$EB$16:$IY$16)</f>
        <v>0</v>
      </c>
      <c r="CI130" s="56"/>
      <c r="CJ130" s="66">
        <f t="shared" si="784"/>
        <v>0</v>
      </c>
      <c r="CK130" s="66">
        <f t="shared" si="785"/>
        <v>0</v>
      </c>
      <c r="CL130" s="56"/>
      <c r="CO130" s="55">
        <f t="shared" si="786"/>
        <v>46131</v>
      </c>
      <c r="CP130" s="422"/>
      <c r="CQ130" s="470">
        <f>SUMPRODUCT(PRODUCE!$B139:$DY139,PRODUCE!$EB$17:$IY$17)</f>
        <v>0</v>
      </c>
      <c r="CR130" s="422"/>
      <c r="CS130" s="470">
        <f t="shared" si="787"/>
        <v>0</v>
      </c>
      <c r="CT130" s="470">
        <f t="shared" si="788"/>
        <v>0</v>
      </c>
      <c r="CU130" s="56"/>
      <c r="CX130" s="55">
        <f t="shared" si="789"/>
        <v>46131</v>
      </c>
      <c r="CY130" s="56"/>
      <c r="CZ130" s="133">
        <f>SUMPRODUCT(PRODUCE!$B139:$DY139,PRODUCE!$EB$18:$IY$18)</f>
        <v>0</v>
      </c>
      <c r="DA130" s="56"/>
      <c r="DB130" s="133">
        <f t="shared" si="790"/>
        <v>0</v>
      </c>
      <c r="DC130" s="133">
        <f t="shared" si="791"/>
        <v>10651.100000000006</v>
      </c>
      <c r="DD130" s="56"/>
      <c r="DG130" s="55">
        <f t="shared" si="792"/>
        <v>46131</v>
      </c>
      <c r="DH130" s="56"/>
      <c r="DI130" s="147">
        <f>SUMPRODUCT(PRODUCE!$B139:$DY139,PRODUCE!$EB$19:$IY$19)</f>
        <v>0</v>
      </c>
      <c r="DJ130" s="56"/>
      <c r="DK130" s="147">
        <f t="shared" si="793"/>
        <v>0</v>
      </c>
      <c r="DL130" s="147">
        <f t="shared" si="794"/>
        <v>12382.799999999992</v>
      </c>
      <c r="DM130" s="56"/>
      <c r="DP130" s="55">
        <f t="shared" si="795"/>
        <v>46131</v>
      </c>
      <c r="DQ130" s="56"/>
      <c r="DR130" s="57">
        <f>SUMPRODUCT(PRODUCE!$B139:$DY139,PRODUCE!$EB$20:$IY$20)</f>
        <v>0</v>
      </c>
      <c r="DS130" s="56"/>
      <c r="DT130" s="57">
        <f t="shared" si="796"/>
        <v>0</v>
      </c>
      <c r="DU130" s="57">
        <f t="shared" si="797"/>
        <v>6300</v>
      </c>
      <c r="DV130" s="56"/>
      <c r="DY130" s="55">
        <f t="shared" si="798"/>
        <v>46131</v>
      </c>
      <c r="DZ130" s="56"/>
      <c r="EA130" s="157">
        <f>SUMPRODUCT(PRODUCE!$B139:$DY139,PRODUCE!$EB$21:$IY$21)</f>
        <v>0</v>
      </c>
      <c r="EB130" s="56"/>
      <c r="EC130" s="157">
        <f t="shared" si="799"/>
        <v>0</v>
      </c>
      <c r="ED130" s="157">
        <f t="shared" si="800"/>
        <v>147.30000000000018</v>
      </c>
      <c r="EE130" s="56"/>
      <c r="EH130" s="55">
        <f t="shared" si="801"/>
        <v>46131</v>
      </c>
      <c r="EI130" s="56"/>
      <c r="EJ130" s="162">
        <f>SUMPRODUCT(PRODUCE!$B139:$DY139,PRODUCE!$EB$22:$IY$22)</f>
        <v>0</v>
      </c>
      <c r="EK130" s="56"/>
      <c r="EL130" s="162">
        <f t="shared" si="802"/>
        <v>0</v>
      </c>
      <c r="EM130" s="162">
        <f t="shared" si="803"/>
        <v>0</v>
      </c>
      <c r="EN130" s="56"/>
      <c r="EQ130" s="55">
        <f t="shared" si="804"/>
        <v>46131</v>
      </c>
      <c r="ER130" s="56"/>
      <c r="ES130" s="135">
        <f>SUMPRODUCT(PRODUCE!$B139:$DY139,PRODUCE!$EB$23:$IY$23)</f>
        <v>0</v>
      </c>
      <c r="ET130" s="56"/>
      <c r="EU130" s="135">
        <f t="shared" si="805"/>
        <v>0</v>
      </c>
      <c r="EV130" s="135">
        <f t="shared" si="806"/>
        <v>0</v>
      </c>
      <c r="EW130" s="56"/>
      <c r="EZ130" s="55">
        <f t="shared" si="807"/>
        <v>46131</v>
      </c>
      <c r="FA130" s="56"/>
      <c r="FB130" s="175">
        <f>SUMPRODUCT(PRODUCE!$B139:$DY139,PRODUCE!$EB$24:$IY$24)</f>
        <v>0</v>
      </c>
      <c r="FC130" s="56"/>
      <c r="FD130" s="175">
        <f t="shared" si="808"/>
        <v>0</v>
      </c>
      <c r="FE130" s="175">
        <f t="shared" si="809"/>
        <v>0</v>
      </c>
      <c r="FF130" s="56"/>
      <c r="FI130" s="55">
        <f t="shared" si="810"/>
        <v>46131</v>
      </c>
      <c r="FJ130" s="56"/>
      <c r="FK130" s="183">
        <f>SUMPRODUCT(PRODUCE!$B139:$DY139,PRODUCE!$EB$25:$IY$25)</f>
        <v>0</v>
      </c>
      <c r="FL130" s="56"/>
      <c r="FM130" s="183">
        <f t="shared" si="811"/>
        <v>0</v>
      </c>
      <c r="FN130" s="183">
        <f t="shared" si="812"/>
        <v>0</v>
      </c>
      <c r="FO130" s="56"/>
      <c r="FR130" s="55">
        <f t="shared" si="813"/>
        <v>46131</v>
      </c>
      <c r="FS130" s="422"/>
      <c r="FT130" s="452">
        <f>SUMPRODUCT(PRODUCE!$B139:$DY139,PRODUCE!$EB$26:$IY$26)</f>
        <v>0</v>
      </c>
      <c r="FU130" s="422"/>
      <c r="FV130" s="452">
        <f t="shared" si="814"/>
        <v>0</v>
      </c>
      <c r="FW130" s="452">
        <f t="shared" si="815"/>
        <v>2120</v>
      </c>
      <c r="FX130" s="56"/>
      <c r="GA130" s="55">
        <f t="shared" si="816"/>
        <v>46131</v>
      </c>
      <c r="GB130" s="422"/>
      <c r="GC130" s="454">
        <f>SUMPRODUCT(PRODUCE!$B139:$DY139,PRODUCE!$EB$27:$IY$27)</f>
        <v>0</v>
      </c>
      <c r="GD130" s="422"/>
      <c r="GE130" s="454">
        <f t="shared" si="817"/>
        <v>0</v>
      </c>
      <c r="GF130" s="454">
        <f t="shared" si="818"/>
        <v>6800</v>
      </c>
      <c r="GG130" s="56"/>
      <c r="GI130" s="23"/>
      <c r="GJ130" s="55">
        <f t="shared" si="819"/>
        <v>46131</v>
      </c>
      <c r="GK130" s="422"/>
      <c r="GL130" s="456">
        <f>SUMPRODUCT(PRODUCE!$B139:$DY139,PRODUCE!$EB$28:$IY$28)</f>
        <v>0</v>
      </c>
      <c r="GM130" s="422"/>
      <c r="GN130" s="456">
        <f t="shared" si="820"/>
        <v>0</v>
      </c>
      <c r="GO130" s="456">
        <f t="shared" si="821"/>
        <v>4800</v>
      </c>
      <c r="GP130" s="56"/>
      <c r="GS130" s="55">
        <f t="shared" si="822"/>
        <v>46131</v>
      </c>
      <c r="GT130" s="56"/>
      <c r="GU130" s="195">
        <f>SUMPRODUCT(PRODUCE!$B139:$DY139,PRODUCE!$EB$29:$IY$29)</f>
        <v>0</v>
      </c>
      <c r="GV130" s="56"/>
      <c r="GW130" s="195">
        <f t="shared" si="823"/>
        <v>0</v>
      </c>
      <c r="GX130" s="195">
        <f t="shared" si="824"/>
        <v>0</v>
      </c>
      <c r="GY130" s="56"/>
      <c r="HB130" s="55">
        <f t="shared" si="825"/>
        <v>46131</v>
      </c>
      <c r="HC130" s="56"/>
      <c r="HD130" s="191">
        <f>SUMPRODUCT(PRODUCE!$B139:$DY139,PRODUCE!$EB$30:$IY$30)</f>
        <v>0</v>
      </c>
      <c r="HE130" s="56"/>
      <c r="HF130" s="191">
        <f t="shared" si="826"/>
        <v>0</v>
      </c>
      <c r="HG130" s="191">
        <f t="shared" si="827"/>
        <v>0</v>
      </c>
      <c r="HH130" s="56"/>
      <c r="HK130" s="55">
        <f t="shared" si="828"/>
        <v>46131</v>
      </c>
      <c r="HL130" s="56"/>
      <c r="HM130" s="63">
        <f>SUMPRODUCT(PRODUCE!$B139:$DY139,PRODUCE!$EB$31:$IY$31)</f>
        <v>0</v>
      </c>
      <c r="HN130" s="56"/>
      <c r="HO130" s="63">
        <f t="shared" si="829"/>
        <v>0</v>
      </c>
      <c r="HP130" s="63">
        <f t="shared" si="830"/>
        <v>0</v>
      </c>
      <c r="HQ130" s="56"/>
      <c r="HU130" s="55">
        <f t="shared" si="831"/>
        <v>46131</v>
      </c>
      <c r="HV130" s="56"/>
      <c r="HW130" s="242">
        <f>SUMPRODUCT(PRODUCE!$B139:$DY139,PRODUCE!$EB$32:$IY$32)</f>
        <v>0</v>
      </c>
      <c r="HX130" s="56"/>
      <c r="HY130" s="242">
        <f t="shared" si="832"/>
        <v>0</v>
      </c>
      <c r="HZ130" s="242">
        <f t="shared" si="833"/>
        <v>5120</v>
      </c>
      <c r="IA130" s="56"/>
      <c r="ID130" s="55">
        <f t="shared" si="834"/>
        <v>46131</v>
      </c>
      <c r="IE130" s="56"/>
      <c r="IF130" s="242">
        <f>SUMPRODUCT(PRODUCE!$B139:$DY139,PRODUCE!$EB$33:$IY$33)</f>
        <v>0</v>
      </c>
      <c r="IG130" s="56"/>
      <c r="IH130" s="242">
        <f t="shared" si="835"/>
        <v>0</v>
      </c>
      <c r="II130" s="242">
        <f t="shared" si="836"/>
        <v>6540</v>
      </c>
      <c r="IJ130" s="56"/>
      <c r="IM130" s="55">
        <f t="shared" si="837"/>
        <v>46131</v>
      </c>
      <c r="IN130" s="56"/>
      <c r="IO130" s="242">
        <f>SUMPRODUCT(PRODUCE!$B139:$DY139,PRODUCE!$EB$34:$IY$34)</f>
        <v>0</v>
      </c>
      <c r="IP130" s="56"/>
      <c r="IQ130" s="242">
        <f t="shared" si="838"/>
        <v>0</v>
      </c>
      <c r="IR130" s="242">
        <f t="shared" si="839"/>
        <v>11540</v>
      </c>
      <c r="IS130" s="56"/>
      <c r="IV130" s="55">
        <f t="shared" si="840"/>
        <v>46131</v>
      </c>
      <c r="IW130" s="56"/>
      <c r="IX130" s="242">
        <f>SUMPRODUCT(PRODUCE!$B139:$DY139,PRODUCE!$EB$35:$IY$35)</f>
        <v>0</v>
      </c>
      <c r="IY130" s="56"/>
      <c r="IZ130" s="242">
        <f t="shared" si="841"/>
        <v>0</v>
      </c>
      <c r="JA130" s="242">
        <f t="shared" si="842"/>
        <v>15120</v>
      </c>
      <c r="JB130" s="56"/>
      <c r="JE130" s="55">
        <f t="shared" si="843"/>
        <v>46131</v>
      </c>
      <c r="JF130" s="56"/>
      <c r="JG130" s="242">
        <f>SUMPRODUCT(PRODUCE!$B139:$DY139,PRODUCE!$EB$36:$IY$36)</f>
        <v>0</v>
      </c>
      <c r="JH130" s="56"/>
      <c r="JI130" s="242">
        <f t="shared" si="844"/>
        <v>0</v>
      </c>
      <c r="JJ130" s="242">
        <f t="shared" si="845"/>
        <v>5040</v>
      </c>
      <c r="JK130" s="56"/>
      <c r="JN130" s="55">
        <f t="shared" si="846"/>
        <v>46131</v>
      </c>
      <c r="JO130" s="56"/>
      <c r="JP130" s="242">
        <f>SUMPRODUCT(PRODUCE!$B139:$DY139,PRODUCE!$EB$37:$IY$37)</f>
        <v>0</v>
      </c>
      <c r="JQ130" s="56"/>
      <c r="JR130" s="242">
        <f t="shared" si="847"/>
        <v>0</v>
      </c>
      <c r="JS130" s="242">
        <f t="shared" si="848"/>
        <v>9100</v>
      </c>
      <c r="JT130" s="56"/>
      <c r="JW130" s="55">
        <f t="shared" si="849"/>
        <v>46131</v>
      </c>
      <c r="JX130" s="56"/>
      <c r="JY130" s="242">
        <f>SUMPRODUCT(PRODUCE!$B139:$DY139,PRODUCE!$EB$38:$IY$38)</f>
        <v>0</v>
      </c>
      <c r="JZ130" s="56"/>
      <c r="KA130" s="242">
        <f t="shared" si="850"/>
        <v>0</v>
      </c>
      <c r="KB130" s="242">
        <f t="shared" si="851"/>
        <v>2540</v>
      </c>
      <c r="KC130" s="56"/>
      <c r="KF130" s="55">
        <f t="shared" si="852"/>
        <v>46131</v>
      </c>
      <c r="KG130" s="56"/>
      <c r="KH130" s="242">
        <f>SUMPRODUCT(PRODUCE!$B139:$DY139,PRODUCE!$EB$39:$IY$39)</f>
        <v>0</v>
      </c>
      <c r="KI130" s="56"/>
      <c r="KJ130" s="242">
        <f t="shared" si="853"/>
        <v>0</v>
      </c>
      <c r="KK130" s="242">
        <f t="shared" si="854"/>
        <v>19.5</v>
      </c>
      <c r="KL130" s="56"/>
      <c r="KO130" s="55">
        <f t="shared" si="855"/>
        <v>46131</v>
      </c>
      <c r="KP130" s="56"/>
      <c r="KQ130" s="242">
        <f>SUMPRODUCT(PRODUCE!$B139:$DY139,PRODUCE!$EB$40:$IY$40)</f>
        <v>0</v>
      </c>
      <c r="KR130" s="56"/>
      <c r="KS130" s="242">
        <f t="shared" si="856"/>
        <v>0</v>
      </c>
      <c r="KT130" s="242">
        <f t="shared" si="857"/>
        <v>3817.7999999999997</v>
      </c>
      <c r="KU130" s="56"/>
      <c r="KW130" s="518"/>
      <c r="KX130" s="55">
        <f t="shared" si="858"/>
        <v>46131</v>
      </c>
      <c r="KY130" s="56"/>
      <c r="KZ130" s="242">
        <f>SUMPRODUCT(PRODUCE!$B139:$DY139,PRODUCE!$EB$41:$IY$41)</f>
        <v>0</v>
      </c>
      <c r="LA130" s="56"/>
      <c r="LB130" s="242">
        <f t="shared" si="859"/>
        <v>0</v>
      </c>
      <c r="LC130" s="242">
        <f t="shared" si="860"/>
        <v>0</v>
      </c>
      <c r="LD130" s="56"/>
      <c r="LG130" s="55">
        <f t="shared" si="861"/>
        <v>46131</v>
      </c>
      <c r="LH130" s="56"/>
      <c r="LI130" s="242">
        <f>SUMPRODUCT(PRODUCE!$B139:$DY139,PRODUCE!$EB$42:$IY$42)</f>
        <v>0</v>
      </c>
      <c r="LJ130" s="56"/>
      <c r="LK130" s="242">
        <f t="shared" si="862"/>
        <v>0</v>
      </c>
      <c r="LL130" s="242">
        <f t="shared" si="863"/>
        <v>0</v>
      </c>
      <c r="LM130" s="56"/>
      <c r="LP130" s="55">
        <f t="shared" si="864"/>
        <v>46131</v>
      </c>
      <c r="LQ130" s="56"/>
      <c r="LR130" s="242">
        <f>SUMPRODUCT(PRODUCE!$B145:$DY145,PRODUCE!$EB$43:$IY$43)</f>
        <v>0</v>
      </c>
      <c r="LS130" s="56"/>
      <c r="LT130" s="242">
        <f t="shared" si="865"/>
        <v>0</v>
      </c>
      <c r="LU130" s="242">
        <f t="shared" si="866"/>
        <v>0</v>
      </c>
      <c r="LV130" s="56"/>
      <c r="LY130" s="55">
        <f t="shared" si="867"/>
        <v>46131</v>
      </c>
      <c r="LZ130" s="56"/>
      <c r="MA130" s="242">
        <f>SUMPRODUCT(PRODUCE!$B139:$DY139,PRODUCE!$EB$44:$IY$44)</f>
        <v>0</v>
      </c>
      <c r="MB130" s="56"/>
      <c r="MC130" s="242">
        <f t="shared" si="868"/>
        <v>0</v>
      </c>
      <c r="MD130" s="242">
        <f t="shared" si="869"/>
        <v>0</v>
      </c>
      <c r="ME130" s="56"/>
      <c r="MH130" s="55">
        <f t="shared" si="870"/>
        <v>46131</v>
      </c>
      <c r="MI130" s="56"/>
      <c r="MJ130" s="242">
        <f>SUMPRODUCT(PRODUCE!$B139:$DY139,PRODUCE!$EB$45:$IY$45)</f>
        <v>0</v>
      </c>
      <c r="MK130" s="56"/>
      <c r="ML130" s="242">
        <f t="shared" si="871"/>
        <v>0</v>
      </c>
      <c r="MM130" s="242">
        <f t="shared" si="872"/>
        <v>0</v>
      </c>
      <c r="MN130" s="56"/>
      <c r="MQ130" s="55">
        <f t="shared" si="873"/>
        <v>46131</v>
      </c>
      <c r="MR130" s="56"/>
      <c r="MS130" s="242">
        <f>SUMPRODUCT(PRODUCE!$B139:$DY139,PRODUCE!$EB$46:$IY$46)</f>
        <v>0</v>
      </c>
      <c r="MT130" s="56"/>
      <c r="MU130" s="242">
        <f t="shared" si="874"/>
        <v>0</v>
      </c>
      <c r="MV130" s="242">
        <f t="shared" si="875"/>
        <v>4069</v>
      </c>
      <c r="MW130" s="56"/>
      <c r="MZ130" s="55">
        <f t="shared" si="876"/>
        <v>46131</v>
      </c>
      <c r="NA130" s="56"/>
      <c r="NB130" s="242">
        <f>SUMPRODUCT(PRODUCE!$B139:$DY139,PRODUCE!$EB$47:$IY$47)</f>
        <v>0</v>
      </c>
      <c r="NC130" s="56"/>
      <c r="ND130" s="242">
        <f t="shared" si="877"/>
        <v>0</v>
      </c>
      <c r="NE130" s="242">
        <f t="shared" si="878"/>
        <v>0</v>
      </c>
      <c r="NF130" s="56"/>
      <c r="NI130" s="55">
        <f t="shared" si="879"/>
        <v>46131</v>
      </c>
      <c r="NJ130" s="56"/>
      <c r="NK130" s="242">
        <f>SUMPRODUCT(PRODUCE!$B139:$DY139,PRODUCE!$EB$48:$IY$48)</f>
        <v>0</v>
      </c>
      <c r="NL130" s="56"/>
      <c r="NM130" s="242">
        <f t="shared" si="880"/>
        <v>0</v>
      </c>
      <c r="NN130" s="242">
        <f t="shared" si="881"/>
        <v>1349</v>
      </c>
      <c r="NO130" s="56"/>
      <c r="NR130" s="55">
        <f t="shared" si="882"/>
        <v>46131</v>
      </c>
      <c r="NS130" s="56"/>
      <c r="NT130" s="242">
        <f>SUMPRODUCT(PRODUCE!$B139:$DY139,PRODUCE!$EB$49:$IY$49)</f>
        <v>0</v>
      </c>
      <c r="NU130" s="56"/>
      <c r="NV130" s="242">
        <f t="shared" si="883"/>
        <v>0</v>
      </c>
      <c r="NW130" s="242">
        <f t="shared" si="884"/>
        <v>3377.2999999999997</v>
      </c>
      <c r="NX130" s="56"/>
      <c r="OA130" s="55">
        <f t="shared" si="885"/>
        <v>46131</v>
      </c>
      <c r="OB130" s="56"/>
      <c r="OC130" s="242">
        <f>SUMPRODUCT(PRODUCE!$B139:$DY139,PRODUCE!$EB$50:$IY$50)</f>
        <v>0</v>
      </c>
      <c r="OD130" s="56"/>
      <c r="OE130" s="242">
        <f t="shared" si="886"/>
        <v>0</v>
      </c>
      <c r="OF130" s="242">
        <f t="shared" si="887"/>
        <v>1680.5</v>
      </c>
      <c r="OG130" s="56"/>
      <c r="OJ130" s="55">
        <f t="shared" si="888"/>
        <v>46131</v>
      </c>
      <c r="OK130" s="56"/>
      <c r="OL130" s="242">
        <f>SUMPRODUCT(PRODUCE!$B139:$DY139,PRODUCE!$EB$51:$IY$51)</f>
        <v>0</v>
      </c>
      <c r="OM130" s="56"/>
      <c r="ON130" s="242">
        <f t="shared" si="889"/>
        <v>0</v>
      </c>
      <c r="OO130" s="242">
        <f t="shared" si="890"/>
        <v>0</v>
      </c>
      <c r="OP130" s="56"/>
      <c r="OS130" s="55">
        <f t="shared" si="891"/>
        <v>46131</v>
      </c>
      <c r="OT130" s="56"/>
      <c r="OU130" s="242">
        <f>SUMPRODUCT(PRODUCE!$B139:$DY139,PRODUCE!$EB$52:$IY$52)</f>
        <v>0</v>
      </c>
      <c r="OV130" s="56"/>
      <c r="OW130" s="242">
        <f t="shared" si="892"/>
        <v>0</v>
      </c>
      <c r="OX130" s="242">
        <f t="shared" si="893"/>
        <v>1000</v>
      </c>
      <c r="OY130" s="56"/>
      <c r="PB130" s="55">
        <f t="shared" si="894"/>
        <v>46131</v>
      </c>
      <c r="PC130" s="56"/>
      <c r="PD130" s="242">
        <f>SUMPRODUCT(PRODUCE!$B139:$DY139,PRODUCE!$EB$53:$IY$53)</f>
        <v>0</v>
      </c>
      <c r="PE130" s="56"/>
      <c r="PF130" s="242">
        <f t="shared" si="895"/>
        <v>0</v>
      </c>
      <c r="PG130" s="242">
        <f t="shared" si="896"/>
        <v>0</v>
      </c>
      <c r="PH130" s="56"/>
      <c r="PK130" s="55">
        <f t="shared" si="897"/>
        <v>46131</v>
      </c>
      <c r="PL130" s="56"/>
      <c r="PM130" s="242">
        <f>SUMPRODUCT(PRODUCE!$B139:$DY139,PRODUCE!$EB$54:$IY$54)</f>
        <v>0</v>
      </c>
      <c r="PN130" s="56"/>
      <c r="PO130" s="242">
        <f t="shared" si="898"/>
        <v>0</v>
      </c>
      <c r="PP130" s="242">
        <f t="shared" si="899"/>
        <v>100</v>
      </c>
      <c r="PQ130" s="56"/>
      <c r="PT130" s="55">
        <f t="shared" si="900"/>
        <v>46131</v>
      </c>
      <c r="PU130" s="56"/>
      <c r="PV130" s="242">
        <f>SUMPRODUCT(PRODUCE!$B139:$DY139,PRODUCE!$EB$55:$IY$55)</f>
        <v>0</v>
      </c>
      <c r="PW130" s="56"/>
      <c r="PX130" s="242">
        <f t="shared" si="901"/>
        <v>0</v>
      </c>
      <c r="PY130" s="242">
        <f t="shared" si="902"/>
        <v>13.960000000000036</v>
      </c>
      <c r="PZ130" s="56"/>
      <c r="QC130" s="55">
        <f t="shared" si="903"/>
        <v>46131</v>
      </c>
      <c r="QD130" s="56"/>
      <c r="QE130" s="242">
        <f>SUMPRODUCT(PRODUCE!$B139:$DY139,PRODUCE!$EB$56:$IY$56)</f>
        <v>0</v>
      </c>
      <c r="QF130" s="56"/>
      <c r="QG130" s="242">
        <f t="shared" si="904"/>
        <v>0</v>
      </c>
      <c r="QH130" s="242">
        <f t="shared" si="905"/>
        <v>1212</v>
      </c>
      <c r="QI130" s="56"/>
      <c r="QL130" s="55">
        <f t="shared" si="906"/>
        <v>46131</v>
      </c>
      <c r="QM130" s="56"/>
      <c r="QN130" s="242">
        <f>SUMPRODUCT(PRODUCE!$B139:$DY139,PRODUCE!$EB$57:$IY$57)</f>
        <v>0</v>
      </c>
      <c r="QO130" s="56"/>
      <c r="QP130" s="242">
        <f t="shared" si="907"/>
        <v>0</v>
      </c>
      <c r="QQ130" s="242">
        <f t="shared" si="908"/>
        <v>400</v>
      </c>
      <c r="QR130" s="56"/>
      <c r="QU130" s="55">
        <f t="shared" si="909"/>
        <v>46131</v>
      </c>
      <c r="QV130" s="56"/>
      <c r="QW130" s="242">
        <f>SUMPRODUCT(PRODUCE!$B139:$DY139,PRODUCE!$EB$57:$IY$57)</f>
        <v>0</v>
      </c>
      <c r="QX130" s="56"/>
      <c r="QY130" s="242">
        <f t="shared" si="910"/>
        <v>0</v>
      </c>
      <c r="QZ130" s="242">
        <f t="shared" si="911"/>
        <v>207.6</v>
      </c>
      <c r="RA130" s="56"/>
      <c r="RD130" s="55">
        <f t="shared" si="912"/>
        <v>46131</v>
      </c>
      <c r="RE130" s="56"/>
      <c r="RF130" s="242">
        <f>SUMPRODUCT(PRODUCE!$B139:$DY139,PRODUCE!$EB$58:$IY$58)</f>
        <v>0</v>
      </c>
      <c r="RG130" s="56"/>
      <c r="RH130" s="242">
        <f t="shared" si="913"/>
        <v>0</v>
      </c>
      <c r="RI130" s="242">
        <f t="shared" si="914"/>
        <v>147.04000000000002</v>
      </c>
      <c r="RJ130" s="56"/>
      <c r="RM130" s="55">
        <f t="shared" si="915"/>
        <v>46131</v>
      </c>
      <c r="RN130" s="56"/>
      <c r="RO130" s="242">
        <f>SUMPRODUCT(PRODUCE!$B139:$DY139,PRODUCE!$EB$57:$IY$57)</f>
        <v>0</v>
      </c>
      <c r="RP130" s="56"/>
      <c r="RQ130" s="242">
        <f t="shared" si="916"/>
        <v>0</v>
      </c>
      <c r="RR130" s="242">
        <f t="shared" si="917"/>
        <v>46.8</v>
      </c>
      <c r="RS130" s="56"/>
      <c r="RV130" s="55">
        <f t="shared" si="918"/>
        <v>46131</v>
      </c>
      <c r="RW130" s="56"/>
      <c r="RX130" s="242">
        <f>SUMPRODUCT(PRODUCE!$B139:$DY139,PRODUCE!$EB$57:$IY$57)</f>
        <v>0</v>
      </c>
      <c r="RY130" s="56"/>
      <c r="RZ130" s="242">
        <f t="shared" si="919"/>
        <v>0</v>
      </c>
      <c r="SA130" s="242">
        <f t="shared" si="920"/>
        <v>0</v>
      </c>
      <c r="SB130" s="56"/>
      <c r="SE130" s="55">
        <f t="shared" si="921"/>
        <v>46131</v>
      </c>
      <c r="SF130" s="56"/>
      <c r="SG130" s="242">
        <f>SUMPRODUCT(PRODUCE!$B139:$DY139,PRODUCE!$EB$57:$IY$57)</f>
        <v>0</v>
      </c>
      <c r="SH130" s="56"/>
      <c r="SI130" s="242">
        <f t="shared" si="922"/>
        <v>0</v>
      </c>
      <c r="SJ130" s="242">
        <f t="shared" si="923"/>
        <v>125</v>
      </c>
      <c r="SK130" s="56"/>
      <c r="SN130" s="55">
        <f t="shared" si="924"/>
        <v>46131</v>
      </c>
      <c r="SO130" s="56"/>
      <c r="SP130" s="242">
        <f>SUMPRODUCT(PRODUCE!$B139:$DY139,PRODUCE!$EB$57:$IY$57)</f>
        <v>0</v>
      </c>
      <c r="SQ130" s="56"/>
      <c r="SR130" s="242">
        <f t="shared" si="925"/>
        <v>0</v>
      </c>
      <c r="SS130" s="242">
        <f t="shared" si="926"/>
        <v>200</v>
      </c>
      <c r="ST130" s="56"/>
      <c r="SW130" s="55">
        <f t="shared" si="927"/>
        <v>46131</v>
      </c>
      <c r="SX130" s="56"/>
      <c r="SY130" s="242">
        <f>SUMPRODUCT(PRODUCE!$B139:$DY139,PRODUCE!$EB$57:$IY$57)</f>
        <v>0</v>
      </c>
      <c r="SZ130" s="56"/>
      <c r="TA130" s="242">
        <f t="shared" si="928"/>
        <v>0</v>
      </c>
      <c r="TB130" s="242">
        <f t="shared" si="929"/>
        <v>0</v>
      </c>
      <c r="TC130" s="56"/>
      <c r="TF130" s="55">
        <f t="shared" si="930"/>
        <v>46131</v>
      </c>
      <c r="TG130" s="56"/>
      <c r="TH130" s="242">
        <f>SUMPRODUCT(PRODUCE!$B139:$DY139,PRODUCE!$EB$57:$IY$57)</f>
        <v>0</v>
      </c>
      <c r="TI130" s="56"/>
      <c r="TJ130" s="242">
        <f t="shared" si="931"/>
        <v>0</v>
      </c>
      <c r="TK130" s="242">
        <f t="shared" si="932"/>
        <v>0</v>
      </c>
      <c r="TL130" s="56"/>
      <c r="TO130" s="55">
        <f t="shared" si="933"/>
        <v>46131</v>
      </c>
      <c r="TP130" s="56"/>
      <c r="TQ130" s="242">
        <f>SUMPRODUCT(PRODUCE!$B139:$DY139,PRODUCE!$EB$57:$IY$57)</f>
        <v>0</v>
      </c>
      <c r="TR130" s="56"/>
      <c r="TS130" s="242">
        <f t="shared" si="934"/>
        <v>0</v>
      </c>
      <c r="TT130" s="242">
        <f t="shared" si="935"/>
        <v>0</v>
      </c>
      <c r="TU130" s="56"/>
      <c r="TX130" s="55">
        <f t="shared" si="936"/>
        <v>46131</v>
      </c>
      <c r="TY130" s="56"/>
      <c r="TZ130" s="242">
        <f>SUMPRODUCT(PRODUCE!$B139:$DY139,PRODUCE!$EB$57:$IY$57)</f>
        <v>0</v>
      </c>
      <c r="UA130" s="56"/>
      <c r="UB130" s="242">
        <f t="shared" si="937"/>
        <v>0</v>
      </c>
      <c r="UC130" s="242">
        <f t="shared" si="938"/>
        <v>0</v>
      </c>
      <c r="UD130" s="56"/>
      <c r="UG130" s="55">
        <f t="shared" si="939"/>
        <v>46131</v>
      </c>
      <c r="UH130" s="56"/>
      <c r="UI130" s="242">
        <f>SUMPRODUCT(PRODUCE!$B139:$DY139,PRODUCE!$EB$57:$IY$57)</f>
        <v>0</v>
      </c>
      <c r="UJ130" s="56"/>
      <c r="UK130" s="242">
        <f t="shared" si="940"/>
        <v>0</v>
      </c>
      <c r="UL130" s="242">
        <f t="shared" si="941"/>
        <v>0</v>
      </c>
      <c r="UM130" s="56"/>
      <c r="UP130" s="55">
        <f t="shared" si="942"/>
        <v>46131</v>
      </c>
      <c r="UQ130" s="56"/>
      <c r="UR130" s="242">
        <f>SUMPRODUCT(PRODUCE!$B139:$DY139,PRODUCE!$EB$57:$IY$57)</f>
        <v>0</v>
      </c>
      <c r="US130" s="56"/>
      <c r="UT130" s="242">
        <f t="shared" si="943"/>
        <v>0</v>
      </c>
      <c r="UU130" s="242">
        <f t="shared" si="944"/>
        <v>0</v>
      </c>
      <c r="UV130" s="56"/>
      <c r="UY130" s="55">
        <f t="shared" si="945"/>
        <v>46131</v>
      </c>
      <c r="UZ130" s="56"/>
      <c r="VA130" s="242">
        <f>SUMPRODUCT(PRODUCE!$B139:$DY139,PRODUCE!$EB$57:$IY$57)</f>
        <v>0</v>
      </c>
      <c r="VB130" s="56"/>
      <c r="VC130" s="242">
        <f t="shared" si="946"/>
        <v>0</v>
      </c>
      <c r="VD130" s="242">
        <f t="shared" si="947"/>
        <v>41.600000000000023</v>
      </c>
      <c r="VE130" s="56"/>
      <c r="VH130" s="55">
        <f t="shared" si="948"/>
        <v>46131</v>
      </c>
      <c r="VI130" s="56"/>
      <c r="VJ130" s="242">
        <f>SUMPRODUCT(PRODUCE!$B139:$DY139,PRODUCE!$EB$57:$IY$57)</f>
        <v>0</v>
      </c>
      <c r="VK130" s="56"/>
      <c r="VL130" s="242">
        <f t="shared" si="949"/>
        <v>0</v>
      </c>
      <c r="VM130" s="242">
        <f t="shared" si="950"/>
        <v>0</v>
      </c>
      <c r="VN130" s="56"/>
      <c r="VQ130" s="55">
        <f t="shared" si="951"/>
        <v>46131</v>
      </c>
      <c r="VR130" s="56"/>
      <c r="VS130" s="242">
        <f>SUMPRODUCT(PRODUCE!$B139:$DY139,PRODUCE!$EB$57:$IY$57)</f>
        <v>0</v>
      </c>
      <c r="VT130" s="56"/>
      <c r="VU130" s="242">
        <f t="shared" si="952"/>
        <v>0</v>
      </c>
      <c r="VV130" s="242">
        <f t="shared" si="953"/>
        <v>0</v>
      </c>
      <c r="VW130" s="56"/>
      <c r="VZ130" s="55">
        <f t="shared" si="954"/>
        <v>46131</v>
      </c>
      <c r="WA130" s="56"/>
      <c r="WB130" s="242">
        <f>SUMPRODUCT(PRODUCE!$B139:$DY139,PRODUCE!$EB$57:$IY$57)</f>
        <v>0</v>
      </c>
      <c r="WC130" s="56"/>
      <c r="WD130" s="242">
        <f t="shared" si="955"/>
        <v>0</v>
      </c>
      <c r="WE130" s="242">
        <f t="shared" si="956"/>
        <v>0</v>
      </c>
      <c r="WF130" s="56"/>
      <c r="WI130" s="55">
        <f t="shared" si="957"/>
        <v>46131</v>
      </c>
      <c r="WJ130" s="56"/>
      <c r="WK130" s="242">
        <f>SUMPRODUCT(PRODUCE!$B139:$DY139,PRODUCE!$EB$57:$IY$57)</f>
        <v>0</v>
      </c>
      <c r="WL130" s="56"/>
      <c r="WM130" s="242">
        <f t="shared" si="958"/>
        <v>0</v>
      </c>
      <c r="WN130" s="242">
        <f t="shared" si="959"/>
        <v>2317</v>
      </c>
      <c r="WO130" s="56"/>
      <c r="WR130" s="55">
        <f t="shared" si="960"/>
        <v>46131</v>
      </c>
      <c r="WS130" s="56"/>
      <c r="WT130" s="242">
        <f>SUMPRODUCT(PRODUCE!$B139:$DY139,PRODUCE!$EB$57:$IY$57)</f>
        <v>0</v>
      </c>
      <c r="WU130" s="56"/>
      <c r="WV130" s="242">
        <f t="shared" si="961"/>
        <v>0</v>
      </c>
      <c r="WW130" s="242">
        <f t="shared" si="962"/>
        <v>6036</v>
      </c>
      <c r="WX130" s="56"/>
      <c r="XA130" s="55">
        <f t="shared" si="963"/>
        <v>46131</v>
      </c>
      <c r="XB130" s="56"/>
      <c r="XC130" s="242">
        <f>SUMPRODUCT(PRODUCE!$B139:$DY139,PRODUCE!$EB$57:$IY$57)</f>
        <v>0</v>
      </c>
      <c r="XD130" s="56"/>
      <c r="XE130" s="242">
        <f t="shared" si="964"/>
        <v>0</v>
      </c>
      <c r="XF130" s="242">
        <f t="shared" si="965"/>
        <v>14868</v>
      </c>
      <c r="XG130" s="56"/>
      <c r="XJ130" s="55">
        <f t="shared" si="966"/>
        <v>46131</v>
      </c>
      <c r="XK130" s="56"/>
      <c r="XL130" s="242">
        <f>SUMPRODUCT(PRODUCE!$B139:$DY139,PRODUCE!$EB$57:$IY$57)</f>
        <v>0</v>
      </c>
      <c r="XM130" s="56"/>
      <c r="XN130" s="242">
        <f t="shared" si="967"/>
        <v>0</v>
      </c>
      <c r="XO130" s="242">
        <f t="shared" si="968"/>
        <v>2784</v>
      </c>
      <c r="XP130" s="56"/>
      <c r="XS130" s="55">
        <f t="shared" si="969"/>
        <v>46131</v>
      </c>
      <c r="XT130" s="56"/>
      <c r="XU130" s="242">
        <f>SUMPRODUCT(PRODUCE!$B139:$DY139,PRODUCE!$EB$57:$IY$57)</f>
        <v>0</v>
      </c>
      <c r="XV130" s="56"/>
      <c r="XW130" s="242">
        <f t="shared" si="970"/>
        <v>0</v>
      </c>
      <c r="XX130" s="242">
        <f t="shared" si="971"/>
        <v>1901</v>
      </c>
      <c r="XY130" s="56"/>
      <c r="YB130" s="55">
        <f t="shared" si="972"/>
        <v>46131</v>
      </c>
      <c r="YC130" s="56"/>
      <c r="YD130" s="242">
        <f>SUMPRODUCT(PRODUCE!$B139:$DY139,PRODUCE!$EB$57:$IY$57)</f>
        <v>0</v>
      </c>
      <c r="YE130" s="56"/>
      <c r="YF130" s="242">
        <f t="shared" si="973"/>
        <v>0</v>
      </c>
      <c r="YG130" s="242">
        <f t="shared" si="974"/>
        <v>6459</v>
      </c>
      <c r="YH130" s="56"/>
      <c r="YK130" s="55">
        <f t="shared" si="975"/>
        <v>46131</v>
      </c>
      <c r="YL130" s="56"/>
      <c r="YM130" s="242">
        <f>SUMPRODUCT(PRODUCE!$B139:$DY139,PRODUCE!$EB$57:$IY$57)</f>
        <v>0</v>
      </c>
      <c r="YN130" s="56"/>
      <c r="YO130" s="242">
        <f t="shared" si="976"/>
        <v>0</v>
      </c>
      <c r="YP130" s="242">
        <f t="shared" si="977"/>
        <v>0</v>
      </c>
      <c r="YQ130" s="56"/>
      <c r="YT130" s="55">
        <f t="shared" si="978"/>
        <v>46131</v>
      </c>
      <c r="YU130" s="56"/>
      <c r="YV130" s="242">
        <f>SUMPRODUCT(PRODUCE!$B139:$DY139,PRODUCE!$EB$57:$IY$57)</f>
        <v>0</v>
      </c>
      <c r="YW130" s="56"/>
      <c r="YX130" s="242">
        <f t="shared" si="979"/>
        <v>0</v>
      </c>
      <c r="YY130" s="242">
        <f t="shared" si="980"/>
        <v>0</v>
      </c>
      <c r="YZ130" s="56"/>
      <c r="ZC130" s="55">
        <f t="shared" si="981"/>
        <v>46131</v>
      </c>
      <c r="ZD130" s="56"/>
      <c r="ZE130" s="242">
        <f>SUMPRODUCT(PRODUCE!$B139:$DY139,PRODUCE!$EB$57:$IY$57)</f>
        <v>0</v>
      </c>
      <c r="ZF130" s="56"/>
      <c r="ZG130" s="242">
        <f t="shared" si="982"/>
        <v>0</v>
      </c>
      <c r="ZH130" s="242">
        <f t="shared" si="983"/>
        <v>0</v>
      </c>
      <c r="ZI130" s="56"/>
      <c r="ZL130" s="55">
        <f t="shared" si="984"/>
        <v>46131</v>
      </c>
      <c r="ZM130" s="56"/>
      <c r="ZN130" s="242">
        <f>SUMPRODUCT(PRODUCE!$B139:$DY139,PRODUCE!$EB$57:$IY$57)</f>
        <v>0</v>
      </c>
      <c r="ZO130" s="56"/>
      <c r="ZP130" s="242">
        <f t="shared" si="985"/>
        <v>0</v>
      </c>
      <c r="ZQ130" s="242">
        <f t="shared" si="986"/>
        <v>0</v>
      </c>
      <c r="ZR130" s="56"/>
      <c r="ZU130" s="55">
        <f t="shared" si="987"/>
        <v>46131</v>
      </c>
      <c r="ZV130" s="56"/>
      <c r="ZW130" s="242">
        <f>SUMPRODUCT(PRODUCE!$B139:$DY139,PRODUCE!$EB$57:$IY$57)</f>
        <v>0</v>
      </c>
      <c r="ZX130" s="56"/>
      <c r="ZY130" s="242">
        <f t="shared" si="988"/>
        <v>0</v>
      </c>
      <c r="ZZ130" s="242">
        <f t="shared" si="989"/>
        <v>0</v>
      </c>
      <c r="AAA130" s="56"/>
      <c r="AAD130" s="55">
        <f t="shared" si="990"/>
        <v>46131</v>
      </c>
      <c r="AAE130" s="56"/>
      <c r="AAF130" s="242">
        <f>SUMPRODUCT(PRODUCE!$B139:$DY139,PRODUCE!$EB$57:$IY$57)</f>
        <v>0</v>
      </c>
      <c r="AAG130" s="56"/>
      <c r="AAH130" s="242">
        <f t="shared" si="991"/>
        <v>0</v>
      </c>
      <c r="AAI130" s="242">
        <f t="shared" si="992"/>
        <v>0</v>
      </c>
      <c r="AAJ130" s="56"/>
      <c r="AAM130" s="55">
        <f t="shared" si="993"/>
        <v>46131</v>
      </c>
      <c r="AAN130" s="56"/>
      <c r="AAO130" s="242">
        <f>SUMPRODUCT(PRODUCE!$B139:$DY139,PRODUCE!$EB$57:$IY$57)</f>
        <v>0</v>
      </c>
      <c r="AAP130" s="56"/>
      <c r="AAQ130" s="242">
        <f t="shared" si="994"/>
        <v>0</v>
      </c>
      <c r="AAR130" s="242">
        <f t="shared" si="995"/>
        <v>0</v>
      </c>
      <c r="AAS130" s="56"/>
      <c r="AAV130" s="55">
        <f t="shared" si="996"/>
        <v>46131</v>
      </c>
      <c r="AAW130" s="56"/>
      <c r="AAX130" s="242">
        <f>SUMPRODUCT(PRODUCE!$B139:$DY139,PRODUCE!$EB$57:$IY$57)</f>
        <v>0</v>
      </c>
      <c r="AAY130" s="56"/>
      <c r="AAZ130" s="242">
        <f t="shared" si="997"/>
        <v>0</v>
      </c>
      <c r="ABA130" s="242">
        <f t="shared" si="998"/>
        <v>0</v>
      </c>
      <c r="ABB130" s="56"/>
      <c r="ABE130" s="55">
        <f t="shared" si="999"/>
        <v>46131</v>
      </c>
      <c r="ABF130" s="56"/>
      <c r="ABG130" s="242">
        <f>SUMPRODUCT(PRODUCE!$B139:$DY139,PRODUCE!$EB$57:$IY$57)</f>
        <v>0</v>
      </c>
      <c r="ABH130" s="56"/>
      <c r="ABI130" s="242">
        <f t="shared" si="1000"/>
        <v>0</v>
      </c>
      <c r="ABJ130" s="242">
        <f t="shared" si="1001"/>
        <v>0</v>
      </c>
      <c r="ABK130" s="56"/>
    </row>
    <row r="131" spans="1:739" s="54" customFormat="1" ht="15" customHeight="1" outlineLevel="1">
      <c r="B131" s="478">
        <f>20+30+40</f>
        <v>90</v>
      </c>
      <c r="C131" s="55">
        <v>46132</v>
      </c>
      <c r="D131" s="422">
        <v>17340</v>
      </c>
      <c r="E131" s="423">
        <f>SUMPRODUCT(PRODUCE!$B140:$DY140,PRODUCE!$EB$7:$IY$7)</f>
        <v>48821.5</v>
      </c>
      <c r="F131" s="422">
        <v>48825.4</v>
      </c>
      <c r="G131" s="423">
        <f t="shared" si="1002"/>
        <v>-3.9000000000014552</v>
      </c>
      <c r="H131" s="423">
        <f t="shared" si="1003"/>
        <v>128703.20000000001</v>
      </c>
      <c r="I131" s="289" t="s">
        <v>249</v>
      </c>
      <c r="L131" s="55">
        <f t="shared" si="759"/>
        <v>46132</v>
      </c>
      <c r="M131" s="422"/>
      <c r="N131" s="438">
        <f>SUMPRODUCT(PRODUCE!$B140:$DY140,PRODUCE!$EB$8:$IY$8)</f>
        <v>21080</v>
      </c>
      <c r="O131" s="422">
        <v>21090.799999999999</v>
      </c>
      <c r="P131" s="438">
        <f t="shared" si="760"/>
        <v>-10.799999999999272</v>
      </c>
      <c r="Q131" s="438">
        <f t="shared" si="761"/>
        <v>75954.400000000111</v>
      </c>
      <c r="R131" s="56"/>
      <c r="U131" s="55">
        <f t="shared" si="762"/>
        <v>46132</v>
      </c>
      <c r="V131" s="422"/>
      <c r="W131" s="440">
        <f>SUMPRODUCT(PRODUCE!$B140:$DY140,PRODUCE!$EB$9:$IY$9)</f>
        <v>4835</v>
      </c>
      <c r="X131" s="422">
        <v>4835.8</v>
      </c>
      <c r="Y131" s="440">
        <f t="shared" si="763"/>
        <v>-0.8000000000001819</v>
      </c>
      <c r="Z131" s="440">
        <f t="shared" si="764"/>
        <v>32368.399999999969</v>
      </c>
      <c r="AA131" s="56"/>
      <c r="AD131" s="55">
        <f t="shared" si="765"/>
        <v>46132</v>
      </c>
      <c r="AE131" s="422"/>
      <c r="AF131" s="442">
        <f>SUMPRODUCT(PRODUCE!$B140:$DY140,PRODUCE!$EB$10:$IY$10)</f>
        <v>2590</v>
      </c>
      <c r="AG131" s="422">
        <v>2592.3000000000002</v>
      </c>
      <c r="AH131" s="442">
        <f t="shared" si="766"/>
        <v>-2.3000000000001819</v>
      </c>
      <c r="AI131" s="442">
        <f t="shared" si="767"/>
        <v>34424.700000000019</v>
      </c>
      <c r="AJ131" s="56"/>
      <c r="AM131" s="55">
        <f t="shared" si="768"/>
        <v>46132</v>
      </c>
      <c r="AN131" s="422"/>
      <c r="AO131" s="444">
        <f>SUMPRODUCT(PRODUCE!$B140:$DY140,PRODUCE!$EB$11:$IY$11)</f>
        <v>0</v>
      </c>
      <c r="AP131" s="422"/>
      <c r="AQ131" s="444">
        <f t="shared" si="769"/>
        <v>0</v>
      </c>
      <c r="AR131" s="444">
        <f t="shared" si="770"/>
        <v>0</v>
      </c>
      <c r="AS131" s="56"/>
      <c r="AV131" s="55">
        <f t="shared" si="771"/>
        <v>46132</v>
      </c>
      <c r="AW131" s="422"/>
      <c r="AX131" s="446">
        <f>SUMPRODUCT(PRODUCE!$B140:$DY140,PRODUCE!$EB$12:$IY$12)</f>
        <v>900</v>
      </c>
      <c r="AY131" s="422">
        <v>901.3</v>
      </c>
      <c r="AZ131" s="446">
        <f t="shared" si="772"/>
        <v>-1.2999999999999545</v>
      </c>
      <c r="BA131" s="446">
        <f t="shared" si="773"/>
        <v>11505.099999999993</v>
      </c>
      <c r="BB131" s="56"/>
      <c r="BE131" s="55">
        <f t="shared" si="774"/>
        <v>46132</v>
      </c>
      <c r="BF131" s="422"/>
      <c r="BG131" s="448">
        <f>SUMPRODUCT(PRODUCE!$B140:$DY140,PRODUCE!$EB$13:$IY$13)</f>
        <v>2820</v>
      </c>
      <c r="BH131" s="422">
        <v>2822.8</v>
      </c>
      <c r="BI131" s="448">
        <f t="shared" si="775"/>
        <v>-2.8000000000001819</v>
      </c>
      <c r="BJ131" s="448">
        <f t="shared" si="776"/>
        <v>46039.399999999994</v>
      </c>
      <c r="BK131" s="56"/>
      <c r="BN131" s="55">
        <f t="shared" si="777"/>
        <v>46132</v>
      </c>
      <c r="BO131" s="422">
        <v>1900.1</v>
      </c>
      <c r="BP131" s="450">
        <f>SUMPRODUCT(PRODUCE!$B140:$DY140,PRODUCE!$EB$14:$IY$14)</f>
        <v>1900</v>
      </c>
      <c r="BQ131" s="422">
        <v>1900.1</v>
      </c>
      <c r="BR131" s="450">
        <f t="shared" si="778"/>
        <v>-9.9999999999909051E-2</v>
      </c>
      <c r="BS131" s="450">
        <f t="shared" si="779"/>
        <v>0</v>
      </c>
      <c r="BT131" s="56"/>
      <c r="BW131" s="55">
        <f t="shared" si="780"/>
        <v>46132</v>
      </c>
      <c r="BX131" s="56"/>
      <c r="BY131" s="65">
        <f>SUMPRODUCT(PRODUCE!$B140:$DY140,PRODUCE!$EB$15:$IY$15)</f>
        <v>289.5</v>
      </c>
      <c r="BZ131" s="56">
        <v>798</v>
      </c>
      <c r="CA131" s="65">
        <f t="shared" si="781"/>
        <v>-508.5</v>
      </c>
      <c r="CB131" s="65">
        <f t="shared" si="782"/>
        <v>6411.7999999999993</v>
      </c>
      <c r="CC131" s="56"/>
      <c r="CF131" s="55">
        <f t="shared" si="783"/>
        <v>46132</v>
      </c>
      <c r="CG131" s="56">
        <v>1200</v>
      </c>
      <c r="CH131" s="66">
        <f>SUMPRODUCT(PRODUCE!$B140:$DY140,PRODUCE!$EB$16:$IY$16)</f>
        <v>640</v>
      </c>
      <c r="CI131" s="56">
        <v>1200</v>
      </c>
      <c r="CJ131" s="66">
        <f t="shared" si="784"/>
        <v>-560</v>
      </c>
      <c r="CK131" s="66">
        <f t="shared" si="785"/>
        <v>0</v>
      </c>
      <c r="CL131" s="56"/>
      <c r="CO131" s="55">
        <f t="shared" si="786"/>
        <v>46132</v>
      </c>
      <c r="CP131" s="422"/>
      <c r="CQ131" s="470">
        <f>SUMPRODUCT(PRODUCE!$B140:$DY140,PRODUCE!$EB$17:$IY$17)</f>
        <v>0</v>
      </c>
      <c r="CR131" s="422"/>
      <c r="CS131" s="470">
        <f t="shared" si="787"/>
        <v>0</v>
      </c>
      <c r="CT131" s="470">
        <f t="shared" si="788"/>
        <v>0</v>
      </c>
      <c r="CU131" s="56"/>
      <c r="CX131" s="55">
        <f t="shared" si="789"/>
        <v>46132</v>
      </c>
      <c r="CY131" s="56"/>
      <c r="CZ131" s="133">
        <f>SUMPRODUCT(PRODUCE!$B140:$DY140,PRODUCE!$EB$18:$IY$18)</f>
        <v>2170</v>
      </c>
      <c r="DA131" s="56">
        <v>2168.6</v>
      </c>
      <c r="DB131" s="133">
        <f t="shared" si="790"/>
        <v>1.4000000000000909</v>
      </c>
      <c r="DC131" s="133">
        <f t="shared" si="791"/>
        <v>8482.5000000000055</v>
      </c>
      <c r="DD131" s="56"/>
      <c r="DG131" s="55">
        <f t="shared" si="792"/>
        <v>46132</v>
      </c>
      <c r="DH131" s="56"/>
      <c r="DI131" s="147">
        <f>SUMPRODUCT(PRODUCE!$B140:$DY140,PRODUCE!$EB$19:$IY$19)</f>
        <v>1270</v>
      </c>
      <c r="DJ131" s="56">
        <v>1271.4000000000001</v>
      </c>
      <c r="DK131" s="147">
        <f t="shared" si="793"/>
        <v>-1.4000000000000909</v>
      </c>
      <c r="DL131" s="147">
        <f t="shared" si="794"/>
        <v>11111.399999999992</v>
      </c>
      <c r="DM131" s="56"/>
      <c r="DP131" s="55">
        <f t="shared" si="795"/>
        <v>46132</v>
      </c>
      <c r="DQ131" s="56"/>
      <c r="DR131" s="57">
        <f>SUMPRODUCT(PRODUCE!$B140:$DY140,PRODUCE!$EB$20:$IY$20)</f>
        <v>0</v>
      </c>
      <c r="DS131" s="56">
        <v>500</v>
      </c>
      <c r="DT131" s="57">
        <f t="shared" si="796"/>
        <v>-500</v>
      </c>
      <c r="DU131" s="57">
        <f t="shared" si="797"/>
        <v>5800</v>
      </c>
      <c r="DV131" s="56"/>
      <c r="DY131" s="55">
        <f t="shared" si="798"/>
        <v>46132</v>
      </c>
      <c r="DZ131" s="56"/>
      <c r="EA131" s="157">
        <f>SUMPRODUCT(PRODUCE!$B140:$DY140,PRODUCE!$EB$21:$IY$21)</f>
        <v>500</v>
      </c>
      <c r="EB131" s="56"/>
      <c r="EC131" s="157">
        <f t="shared" si="799"/>
        <v>500</v>
      </c>
      <c r="ED131" s="157">
        <f t="shared" si="800"/>
        <v>147.30000000000018</v>
      </c>
      <c r="EE131" s="56"/>
      <c r="EH131" s="55">
        <f t="shared" si="801"/>
        <v>46132</v>
      </c>
      <c r="EI131" s="56"/>
      <c r="EJ131" s="162">
        <f>SUMPRODUCT(PRODUCE!$B140:$DY140,PRODUCE!$EB$22:$IY$22)</f>
        <v>0</v>
      </c>
      <c r="EK131" s="56"/>
      <c r="EL131" s="162">
        <f t="shared" si="802"/>
        <v>0</v>
      </c>
      <c r="EM131" s="162">
        <f t="shared" si="803"/>
        <v>0</v>
      </c>
      <c r="EN131" s="56"/>
      <c r="EQ131" s="55">
        <f t="shared" si="804"/>
        <v>46132</v>
      </c>
      <c r="ER131" s="56"/>
      <c r="ES131" s="135">
        <f>SUMPRODUCT(PRODUCE!$B140:$DY140,PRODUCE!$EB$23:$IY$23)</f>
        <v>0</v>
      </c>
      <c r="ET131" s="56"/>
      <c r="EU131" s="135">
        <f t="shared" si="805"/>
        <v>0</v>
      </c>
      <c r="EV131" s="135">
        <f t="shared" si="806"/>
        <v>0</v>
      </c>
      <c r="EW131" s="56"/>
      <c r="EZ131" s="55">
        <f t="shared" si="807"/>
        <v>46132</v>
      </c>
      <c r="FA131" s="56"/>
      <c r="FB131" s="175">
        <f>SUMPRODUCT(PRODUCE!$B140:$DY140,PRODUCE!$EB$24:$IY$24)</f>
        <v>0</v>
      </c>
      <c r="FC131" s="56"/>
      <c r="FD131" s="175">
        <f t="shared" si="808"/>
        <v>0</v>
      </c>
      <c r="FE131" s="175">
        <f t="shared" si="809"/>
        <v>0</v>
      </c>
      <c r="FF131" s="56"/>
      <c r="FI131" s="55">
        <f t="shared" si="810"/>
        <v>46132</v>
      </c>
      <c r="FJ131" s="56"/>
      <c r="FK131" s="183">
        <f>SUMPRODUCT(PRODUCE!$B140:$DY140,PRODUCE!$EB$25:$IY$25)</f>
        <v>0</v>
      </c>
      <c r="FL131" s="56"/>
      <c r="FM131" s="183">
        <f t="shared" si="811"/>
        <v>0</v>
      </c>
      <c r="FN131" s="183">
        <f t="shared" si="812"/>
        <v>0</v>
      </c>
      <c r="FO131" s="56"/>
      <c r="FR131" s="55">
        <f t="shared" si="813"/>
        <v>46132</v>
      </c>
      <c r="FS131" s="422"/>
      <c r="FT131" s="452">
        <f>SUMPRODUCT(PRODUCE!$B140:$DY140,PRODUCE!$EB$26:$IY$26)</f>
        <v>0</v>
      </c>
      <c r="FU131" s="422"/>
      <c r="FV131" s="452">
        <f t="shared" si="814"/>
        <v>0</v>
      </c>
      <c r="FW131" s="452">
        <f t="shared" si="815"/>
        <v>2120</v>
      </c>
      <c r="FX131" s="56"/>
      <c r="GA131" s="55">
        <f t="shared" si="816"/>
        <v>46132</v>
      </c>
      <c r="GB131" s="422"/>
      <c r="GC131" s="454">
        <f>SUMPRODUCT(PRODUCE!$B140:$DY140,PRODUCE!$EB$27:$IY$27)</f>
        <v>800</v>
      </c>
      <c r="GD131" s="422"/>
      <c r="GE131" s="454">
        <f t="shared" si="817"/>
        <v>800</v>
      </c>
      <c r="GF131" s="454">
        <f t="shared" si="818"/>
        <v>6800</v>
      </c>
      <c r="GG131" s="56"/>
      <c r="GI131" s="23"/>
      <c r="GJ131" s="55">
        <f t="shared" si="819"/>
        <v>46132</v>
      </c>
      <c r="GK131" s="422"/>
      <c r="GL131" s="456">
        <f>SUMPRODUCT(PRODUCE!$B140:$DY140,PRODUCE!$EB$28:$IY$28)</f>
        <v>0</v>
      </c>
      <c r="GM131" s="422"/>
      <c r="GN131" s="456">
        <f t="shared" si="820"/>
        <v>0</v>
      </c>
      <c r="GO131" s="456">
        <f t="shared" si="821"/>
        <v>4800</v>
      </c>
      <c r="GP131" s="56"/>
      <c r="GS131" s="55">
        <f t="shared" si="822"/>
        <v>46132</v>
      </c>
      <c r="GT131" s="56"/>
      <c r="GU131" s="195">
        <f>SUMPRODUCT(PRODUCE!$B140:$DY140,PRODUCE!$EB$29:$IY$29)</f>
        <v>0</v>
      </c>
      <c r="GV131" s="56"/>
      <c r="GW131" s="195">
        <f t="shared" si="823"/>
        <v>0</v>
      </c>
      <c r="GX131" s="195">
        <f t="shared" si="824"/>
        <v>0</v>
      </c>
      <c r="GY131" s="56"/>
      <c r="HB131" s="55">
        <f t="shared" si="825"/>
        <v>46132</v>
      </c>
      <c r="HC131" s="56"/>
      <c r="HD131" s="191">
        <f>SUMPRODUCT(PRODUCE!$B140:$DY140,PRODUCE!$EB$30:$IY$30)</f>
        <v>0</v>
      </c>
      <c r="HE131" s="56"/>
      <c r="HF131" s="191">
        <f t="shared" si="826"/>
        <v>0</v>
      </c>
      <c r="HG131" s="191">
        <f t="shared" si="827"/>
        <v>0</v>
      </c>
      <c r="HH131" s="56"/>
      <c r="HK131" s="55">
        <f t="shared" si="828"/>
        <v>46132</v>
      </c>
      <c r="HL131" s="56"/>
      <c r="HM131" s="63">
        <f>SUMPRODUCT(PRODUCE!$B140:$DY140,PRODUCE!$EB$31:$IY$31)</f>
        <v>0</v>
      </c>
      <c r="HN131" s="56"/>
      <c r="HO131" s="63">
        <f t="shared" si="829"/>
        <v>0</v>
      </c>
      <c r="HP131" s="63">
        <f t="shared" si="830"/>
        <v>0</v>
      </c>
      <c r="HQ131" s="56"/>
      <c r="HU131" s="55">
        <f t="shared" si="831"/>
        <v>46132</v>
      </c>
      <c r="HV131" s="56"/>
      <c r="HW131" s="242">
        <f>SUMPRODUCT(PRODUCE!$B140:$DY140,PRODUCE!$EB$32:$IY$32)</f>
        <v>0</v>
      </c>
      <c r="HX131" s="56"/>
      <c r="HY131" s="242">
        <f t="shared" si="832"/>
        <v>0</v>
      </c>
      <c r="HZ131" s="242">
        <f t="shared" si="833"/>
        <v>5120</v>
      </c>
      <c r="IA131" s="56"/>
      <c r="ID131" s="55">
        <f t="shared" si="834"/>
        <v>46132</v>
      </c>
      <c r="IE131" s="56"/>
      <c r="IF131" s="242">
        <f>SUMPRODUCT(PRODUCE!$B140:$DY140,PRODUCE!$EB$33:$IY$33)</f>
        <v>0</v>
      </c>
      <c r="IG131" s="56"/>
      <c r="IH131" s="242">
        <f t="shared" si="835"/>
        <v>0</v>
      </c>
      <c r="II131" s="242">
        <f t="shared" si="836"/>
        <v>6540</v>
      </c>
      <c r="IJ131" s="56"/>
      <c r="IM131" s="55">
        <f t="shared" si="837"/>
        <v>46132</v>
      </c>
      <c r="IN131" s="56"/>
      <c r="IO131" s="242">
        <f>SUMPRODUCT(PRODUCE!$B140:$DY140,PRODUCE!$EB$34:$IY$34)</f>
        <v>0</v>
      </c>
      <c r="IP131" s="56"/>
      <c r="IQ131" s="242">
        <f t="shared" si="838"/>
        <v>0</v>
      </c>
      <c r="IR131" s="242">
        <f t="shared" si="839"/>
        <v>11540</v>
      </c>
      <c r="IS131" s="56"/>
      <c r="IV131" s="55">
        <f t="shared" si="840"/>
        <v>46132</v>
      </c>
      <c r="IW131" s="56"/>
      <c r="IX131" s="242">
        <f>SUMPRODUCT(PRODUCE!$B140:$DY140,PRODUCE!$EB$35:$IY$35)</f>
        <v>0</v>
      </c>
      <c r="IY131" s="56"/>
      <c r="IZ131" s="242">
        <f t="shared" si="841"/>
        <v>0</v>
      </c>
      <c r="JA131" s="242">
        <f t="shared" si="842"/>
        <v>15120</v>
      </c>
      <c r="JB131" s="56"/>
      <c r="JE131" s="55">
        <f t="shared" si="843"/>
        <v>46132</v>
      </c>
      <c r="JF131" s="56"/>
      <c r="JG131" s="242">
        <f>SUMPRODUCT(PRODUCE!$B140:$DY140,PRODUCE!$EB$36:$IY$36)</f>
        <v>0</v>
      </c>
      <c r="JH131" s="56"/>
      <c r="JI131" s="242">
        <f t="shared" si="844"/>
        <v>0</v>
      </c>
      <c r="JJ131" s="242">
        <f t="shared" si="845"/>
        <v>5040</v>
      </c>
      <c r="JK131" s="56"/>
      <c r="JN131" s="55">
        <f t="shared" si="846"/>
        <v>46132</v>
      </c>
      <c r="JO131" s="56"/>
      <c r="JP131" s="242">
        <f>SUMPRODUCT(PRODUCE!$B140:$DY140,PRODUCE!$EB$37:$IY$37)</f>
        <v>0</v>
      </c>
      <c r="JQ131" s="56"/>
      <c r="JR131" s="242">
        <f t="shared" si="847"/>
        <v>0</v>
      </c>
      <c r="JS131" s="242">
        <f t="shared" si="848"/>
        <v>9100</v>
      </c>
      <c r="JT131" s="56"/>
      <c r="JW131" s="55">
        <f t="shared" si="849"/>
        <v>46132</v>
      </c>
      <c r="JX131" s="56"/>
      <c r="JY131" s="242">
        <f>SUMPRODUCT(PRODUCE!$B140:$DY140,PRODUCE!$EB$38:$IY$38)</f>
        <v>400</v>
      </c>
      <c r="JZ131" s="56"/>
      <c r="KA131" s="242">
        <f t="shared" si="850"/>
        <v>400</v>
      </c>
      <c r="KB131" s="242">
        <f t="shared" si="851"/>
        <v>2540</v>
      </c>
      <c r="KC131" s="56"/>
      <c r="KF131" s="55">
        <f t="shared" si="852"/>
        <v>46132</v>
      </c>
      <c r="KG131" s="56"/>
      <c r="KH131" s="242">
        <f>SUMPRODUCT(PRODUCE!$B140:$DY140,PRODUCE!$EB$39:$IY$39)</f>
        <v>585</v>
      </c>
      <c r="KI131" s="56"/>
      <c r="KJ131" s="242">
        <f t="shared" si="853"/>
        <v>585</v>
      </c>
      <c r="KK131" s="242">
        <f t="shared" si="854"/>
        <v>19.5</v>
      </c>
      <c r="KL131" s="56"/>
      <c r="KO131" s="55">
        <f t="shared" si="855"/>
        <v>46132</v>
      </c>
      <c r="KP131" s="56"/>
      <c r="KQ131" s="242">
        <f>SUMPRODUCT(PRODUCE!$B140:$DY140,PRODUCE!$EB$40:$IY$40)</f>
        <v>0</v>
      </c>
      <c r="KR131" s="56"/>
      <c r="KS131" s="242">
        <f t="shared" si="856"/>
        <v>0</v>
      </c>
      <c r="KT131" s="242">
        <f t="shared" si="857"/>
        <v>3817.7999999999997</v>
      </c>
      <c r="KU131" s="56"/>
      <c r="KW131" s="518">
        <f>KY131/20.5</f>
        <v>300</v>
      </c>
      <c r="KX131" s="55">
        <f t="shared" si="858"/>
        <v>46132</v>
      </c>
      <c r="KY131" s="56">
        <f>300*20.5</f>
        <v>6150</v>
      </c>
      <c r="KZ131" s="242">
        <f>SUMPRODUCT(PRODUCE!$B140:$DY140,PRODUCE!$EB$41:$IY$41)</f>
        <v>0</v>
      </c>
      <c r="LA131" s="56">
        <f>120*20.5</f>
        <v>2460</v>
      </c>
      <c r="LB131" s="242">
        <f t="shared" si="859"/>
        <v>-2460</v>
      </c>
      <c r="LC131" s="242">
        <f t="shared" si="860"/>
        <v>3690</v>
      </c>
      <c r="LD131" s="56"/>
      <c r="LG131" s="55">
        <f t="shared" si="861"/>
        <v>46132</v>
      </c>
      <c r="LH131" s="56">
        <f>200*20</f>
        <v>4000</v>
      </c>
      <c r="LI131" s="242">
        <f>SUMPRODUCT(PRODUCE!$B140:$DY140,PRODUCE!$EB$42:$IY$42)</f>
        <v>0</v>
      </c>
      <c r="LJ131" s="56"/>
      <c r="LK131" s="242">
        <f t="shared" si="862"/>
        <v>0</v>
      </c>
      <c r="LL131" s="242">
        <f t="shared" si="863"/>
        <v>4000</v>
      </c>
      <c r="LM131" s="56"/>
      <c r="LP131" s="55">
        <f t="shared" si="864"/>
        <v>46132</v>
      </c>
      <c r="LQ131" s="56"/>
      <c r="LR131" s="242">
        <f>SUMPRODUCT(PRODUCE!$B146:$DY146,PRODUCE!$EB$43:$IY$43)</f>
        <v>0</v>
      </c>
      <c r="LS131" s="56"/>
      <c r="LT131" s="242">
        <f t="shared" si="865"/>
        <v>0</v>
      </c>
      <c r="LU131" s="242">
        <f t="shared" si="866"/>
        <v>0</v>
      </c>
      <c r="LV131" s="56"/>
      <c r="LY131" s="55">
        <f t="shared" si="867"/>
        <v>46132</v>
      </c>
      <c r="LZ131" s="56"/>
      <c r="MA131" s="242">
        <f>SUMPRODUCT(PRODUCE!$B140:$DY140,PRODUCE!$EB$44:$IY$44)</f>
        <v>0</v>
      </c>
      <c r="MB131" s="56"/>
      <c r="MC131" s="242">
        <f t="shared" si="868"/>
        <v>0</v>
      </c>
      <c r="MD131" s="242">
        <f t="shared" si="869"/>
        <v>0</v>
      </c>
      <c r="ME131" s="56"/>
      <c r="MH131" s="55">
        <f t="shared" si="870"/>
        <v>46132</v>
      </c>
      <c r="MI131" s="56"/>
      <c r="MJ131" s="242">
        <f>SUMPRODUCT(PRODUCE!$B140:$DY140,PRODUCE!$EB$45:$IY$45)</f>
        <v>0</v>
      </c>
      <c r="MK131" s="56"/>
      <c r="ML131" s="242">
        <f t="shared" si="871"/>
        <v>0</v>
      </c>
      <c r="MM131" s="242">
        <f t="shared" si="872"/>
        <v>0</v>
      </c>
      <c r="MN131" s="56"/>
      <c r="MQ131" s="55">
        <f t="shared" si="873"/>
        <v>46132</v>
      </c>
      <c r="MR131" s="56"/>
      <c r="MS131" s="242">
        <f>SUMPRODUCT(PRODUCE!$B140:$DY140,PRODUCE!$EB$46:$IY$46)</f>
        <v>20</v>
      </c>
      <c r="MT131" s="56"/>
      <c r="MU131" s="242">
        <f t="shared" si="874"/>
        <v>20</v>
      </c>
      <c r="MV131" s="242">
        <f t="shared" si="875"/>
        <v>4069</v>
      </c>
      <c r="MW131" s="56"/>
      <c r="MZ131" s="55">
        <f t="shared" si="876"/>
        <v>46132</v>
      </c>
      <c r="NA131" s="56">
        <v>360</v>
      </c>
      <c r="NB131" s="242">
        <f>SUMPRODUCT(PRODUCE!$B140:$DY140,PRODUCE!$EB$47:$IY$47)</f>
        <v>150</v>
      </c>
      <c r="NC131" s="56">
        <v>360</v>
      </c>
      <c r="ND131" s="242">
        <f t="shared" si="877"/>
        <v>-210</v>
      </c>
      <c r="NE131" s="242">
        <f t="shared" si="878"/>
        <v>0</v>
      </c>
      <c r="NF131" s="56"/>
      <c r="NI131" s="55">
        <f t="shared" si="879"/>
        <v>46132</v>
      </c>
      <c r="NJ131" s="56"/>
      <c r="NK131" s="242">
        <f>SUMPRODUCT(PRODUCE!$B140:$DY140,PRODUCE!$EB$48:$IY$48)</f>
        <v>50</v>
      </c>
      <c r="NL131" s="56">
        <v>120</v>
      </c>
      <c r="NM131" s="242">
        <f t="shared" si="880"/>
        <v>-70</v>
      </c>
      <c r="NN131" s="242">
        <f t="shared" si="881"/>
        <v>1229</v>
      </c>
      <c r="NO131" s="56"/>
      <c r="NR131" s="55">
        <f t="shared" si="882"/>
        <v>46132</v>
      </c>
      <c r="NS131" s="56"/>
      <c r="NT131" s="242">
        <f>SUMPRODUCT(PRODUCE!$B140:$DY140,PRODUCE!$EB$49:$IY$49)</f>
        <v>40</v>
      </c>
      <c r="NU131" s="56">
        <v>144</v>
      </c>
      <c r="NV131" s="242">
        <f t="shared" si="883"/>
        <v>-104</v>
      </c>
      <c r="NW131" s="242">
        <f t="shared" si="884"/>
        <v>3233.2999999999997</v>
      </c>
      <c r="NX131" s="56"/>
      <c r="OA131" s="55">
        <f t="shared" si="885"/>
        <v>46132</v>
      </c>
      <c r="OB131" s="56"/>
      <c r="OC131" s="242">
        <f>SUMPRODUCT(PRODUCE!$B140:$DY140,PRODUCE!$EB$50:$IY$50)</f>
        <v>0</v>
      </c>
      <c r="OD131" s="56"/>
      <c r="OE131" s="242">
        <f t="shared" si="886"/>
        <v>0</v>
      </c>
      <c r="OF131" s="242">
        <f t="shared" si="887"/>
        <v>1680.5</v>
      </c>
      <c r="OG131" s="56"/>
      <c r="OJ131" s="55">
        <f t="shared" si="888"/>
        <v>46132</v>
      </c>
      <c r="OK131" s="56">
        <v>336</v>
      </c>
      <c r="OL131" s="242">
        <f>SUMPRODUCT(PRODUCE!$B140:$DY140,PRODUCE!$EB$51:$IY$51)</f>
        <v>139</v>
      </c>
      <c r="OM131" s="56">
        <v>336</v>
      </c>
      <c r="ON131" s="242">
        <f t="shared" si="889"/>
        <v>-197</v>
      </c>
      <c r="OO131" s="242">
        <f t="shared" si="890"/>
        <v>0</v>
      </c>
      <c r="OP131" s="56"/>
      <c r="OS131" s="55">
        <f t="shared" si="891"/>
        <v>46132</v>
      </c>
      <c r="OT131" s="56"/>
      <c r="OU131" s="242">
        <f>SUMPRODUCT(PRODUCE!$B140:$DY140,PRODUCE!$EB$52:$IY$52)</f>
        <v>0</v>
      </c>
      <c r="OV131" s="56"/>
      <c r="OW131" s="242">
        <f t="shared" si="892"/>
        <v>0</v>
      </c>
      <c r="OX131" s="242">
        <f t="shared" si="893"/>
        <v>1000</v>
      </c>
      <c r="OY131" s="56"/>
      <c r="PB131" s="55">
        <f t="shared" si="894"/>
        <v>46132</v>
      </c>
      <c r="PC131" s="56"/>
      <c r="PD131" s="242">
        <f>SUMPRODUCT(PRODUCE!$B140:$DY140,PRODUCE!$EB$53:$IY$53)</f>
        <v>0</v>
      </c>
      <c r="PE131" s="56"/>
      <c r="PF131" s="242">
        <f t="shared" si="895"/>
        <v>0</v>
      </c>
      <c r="PG131" s="242">
        <f t="shared" si="896"/>
        <v>0</v>
      </c>
      <c r="PH131" s="56"/>
      <c r="PK131" s="55">
        <f t="shared" si="897"/>
        <v>46132</v>
      </c>
      <c r="PL131" s="56"/>
      <c r="PM131" s="242">
        <f>SUMPRODUCT(PRODUCE!$B140:$DY140,PRODUCE!$EB$54:$IY$54)</f>
        <v>0</v>
      </c>
      <c r="PN131" s="56"/>
      <c r="PO131" s="242">
        <f t="shared" si="898"/>
        <v>0</v>
      </c>
      <c r="PP131" s="242">
        <f t="shared" si="899"/>
        <v>100</v>
      </c>
      <c r="PQ131" s="56"/>
      <c r="PT131" s="55">
        <f t="shared" si="900"/>
        <v>46132</v>
      </c>
      <c r="PU131" s="56"/>
      <c r="PV131" s="242">
        <f>SUMPRODUCT(PRODUCE!$B140:$DY140,PRODUCE!$EB$55:$IY$55)</f>
        <v>0</v>
      </c>
      <c r="PW131" s="56"/>
      <c r="PX131" s="242">
        <f t="shared" si="901"/>
        <v>0</v>
      </c>
      <c r="PY131" s="242">
        <f t="shared" si="902"/>
        <v>13.960000000000036</v>
      </c>
      <c r="PZ131" s="56"/>
      <c r="QC131" s="55">
        <f t="shared" si="903"/>
        <v>46132</v>
      </c>
      <c r="QD131" s="56"/>
      <c r="QE131" s="242">
        <f>SUMPRODUCT(PRODUCE!$B140:$DY140,PRODUCE!$EB$56:$IY$56)</f>
        <v>0</v>
      </c>
      <c r="QF131" s="56"/>
      <c r="QG131" s="242">
        <f t="shared" si="904"/>
        <v>0</v>
      </c>
      <c r="QH131" s="242">
        <f t="shared" si="905"/>
        <v>1212</v>
      </c>
      <c r="QI131" s="56"/>
      <c r="QL131" s="55">
        <f t="shared" si="906"/>
        <v>46132</v>
      </c>
      <c r="QM131" s="56"/>
      <c r="QN131" s="242">
        <f>SUMPRODUCT(PRODUCE!$B140:$DY140,PRODUCE!$EB$57:$IY$57)</f>
        <v>0</v>
      </c>
      <c r="QO131" s="56"/>
      <c r="QP131" s="242">
        <f t="shared" si="907"/>
        <v>0</v>
      </c>
      <c r="QQ131" s="242">
        <f t="shared" si="908"/>
        <v>400</v>
      </c>
      <c r="QR131" s="56"/>
      <c r="QU131" s="55">
        <f t="shared" si="909"/>
        <v>46132</v>
      </c>
      <c r="QV131" s="56"/>
      <c r="QW131" s="242">
        <f>SUMPRODUCT(PRODUCE!$B140:$DY140,PRODUCE!$EB$57:$IY$57)</f>
        <v>0</v>
      </c>
      <c r="QX131" s="56"/>
      <c r="QY131" s="242">
        <f t="shared" si="910"/>
        <v>0</v>
      </c>
      <c r="QZ131" s="242">
        <f t="shared" si="911"/>
        <v>207.6</v>
      </c>
      <c r="RA131" s="56"/>
      <c r="RD131" s="55">
        <f t="shared" si="912"/>
        <v>46132</v>
      </c>
      <c r="RE131" s="56"/>
      <c r="RF131" s="242">
        <f>SUMPRODUCT(PRODUCE!$B140:$DY140,PRODUCE!$EB$58:$IY$58)</f>
        <v>0</v>
      </c>
      <c r="RG131" s="56"/>
      <c r="RH131" s="242">
        <f t="shared" si="913"/>
        <v>0</v>
      </c>
      <c r="RI131" s="242">
        <f t="shared" si="914"/>
        <v>147.04000000000002</v>
      </c>
      <c r="RJ131" s="56"/>
      <c r="RM131" s="55">
        <f t="shared" si="915"/>
        <v>46132</v>
      </c>
      <c r="RN131" s="56"/>
      <c r="RO131" s="242">
        <f>SUMPRODUCT(PRODUCE!$B140:$DY140,PRODUCE!$EB$57:$IY$57)</f>
        <v>0</v>
      </c>
      <c r="RP131" s="56"/>
      <c r="RQ131" s="242">
        <f t="shared" si="916"/>
        <v>0</v>
      </c>
      <c r="RR131" s="242">
        <f t="shared" si="917"/>
        <v>46.8</v>
      </c>
      <c r="RS131" s="56"/>
      <c r="RV131" s="55">
        <f t="shared" si="918"/>
        <v>46132</v>
      </c>
      <c r="RW131" s="56"/>
      <c r="RX131" s="242">
        <f>SUMPRODUCT(PRODUCE!$B140:$DY140,PRODUCE!$EB$57:$IY$57)</f>
        <v>0</v>
      </c>
      <c r="RY131" s="56"/>
      <c r="RZ131" s="242">
        <f t="shared" si="919"/>
        <v>0</v>
      </c>
      <c r="SA131" s="242">
        <f t="shared" si="920"/>
        <v>0</v>
      </c>
      <c r="SB131" s="56"/>
      <c r="SE131" s="55">
        <f t="shared" si="921"/>
        <v>46132</v>
      </c>
      <c r="SF131" s="56"/>
      <c r="SG131" s="242">
        <f>SUMPRODUCT(PRODUCE!$B140:$DY140,PRODUCE!$EB$57:$IY$57)</f>
        <v>0</v>
      </c>
      <c r="SH131" s="56"/>
      <c r="SI131" s="242">
        <f t="shared" si="922"/>
        <v>0</v>
      </c>
      <c r="SJ131" s="242">
        <f t="shared" si="923"/>
        <v>125</v>
      </c>
      <c r="SK131" s="56"/>
      <c r="SN131" s="55">
        <f t="shared" si="924"/>
        <v>46132</v>
      </c>
      <c r="SO131" s="56"/>
      <c r="SP131" s="242">
        <f>SUMPRODUCT(PRODUCE!$B140:$DY140,PRODUCE!$EB$57:$IY$57)</f>
        <v>0</v>
      </c>
      <c r="SQ131" s="56"/>
      <c r="SR131" s="242">
        <f t="shared" si="925"/>
        <v>0</v>
      </c>
      <c r="SS131" s="242">
        <f t="shared" si="926"/>
        <v>200</v>
      </c>
      <c r="ST131" s="56"/>
      <c r="SW131" s="55">
        <f t="shared" si="927"/>
        <v>46132</v>
      </c>
      <c r="SX131" s="56"/>
      <c r="SY131" s="242">
        <f>SUMPRODUCT(PRODUCE!$B140:$DY140,PRODUCE!$EB$57:$IY$57)</f>
        <v>0</v>
      </c>
      <c r="SZ131" s="56"/>
      <c r="TA131" s="242">
        <f t="shared" si="928"/>
        <v>0</v>
      </c>
      <c r="TB131" s="242">
        <f t="shared" si="929"/>
        <v>0</v>
      </c>
      <c r="TC131" s="56"/>
      <c r="TF131" s="55">
        <f t="shared" si="930"/>
        <v>46132</v>
      </c>
      <c r="TG131" s="56"/>
      <c r="TH131" s="242">
        <f>SUMPRODUCT(PRODUCE!$B140:$DY140,PRODUCE!$EB$57:$IY$57)</f>
        <v>0</v>
      </c>
      <c r="TI131" s="56"/>
      <c r="TJ131" s="242">
        <f t="shared" si="931"/>
        <v>0</v>
      </c>
      <c r="TK131" s="242">
        <f t="shared" si="932"/>
        <v>0</v>
      </c>
      <c r="TL131" s="56"/>
      <c r="TO131" s="55">
        <f t="shared" si="933"/>
        <v>46132</v>
      </c>
      <c r="TP131" s="56"/>
      <c r="TQ131" s="242">
        <f>SUMPRODUCT(PRODUCE!$B140:$DY140,PRODUCE!$EB$57:$IY$57)</f>
        <v>0</v>
      </c>
      <c r="TR131" s="56"/>
      <c r="TS131" s="242">
        <f t="shared" si="934"/>
        <v>0</v>
      </c>
      <c r="TT131" s="242">
        <f t="shared" si="935"/>
        <v>0</v>
      </c>
      <c r="TU131" s="56"/>
      <c r="TX131" s="55">
        <f t="shared" si="936"/>
        <v>46132</v>
      </c>
      <c r="TY131" s="56"/>
      <c r="TZ131" s="242">
        <f>SUMPRODUCT(PRODUCE!$B140:$DY140,PRODUCE!$EB$57:$IY$57)</f>
        <v>0</v>
      </c>
      <c r="UA131" s="56"/>
      <c r="UB131" s="242">
        <f t="shared" si="937"/>
        <v>0</v>
      </c>
      <c r="UC131" s="242">
        <f t="shared" si="938"/>
        <v>0</v>
      </c>
      <c r="UD131" s="56"/>
      <c r="UG131" s="55">
        <f t="shared" si="939"/>
        <v>46132</v>
      </c>
      <c r="UH131" s="56"/>
      <c r="UI131" s="242">
        <f>SUMPRODUCT(PRODUCE!$B140:$DY140,PRODUCE!$EB$57:$IY$57)</f>
        <v>0</v>
      </c>
      <c r="UJ131" s="56"/>
      <c r="UK131" s="242">
        <f t="shared" si="940"/>
        <v>0</v>
      </c>
      <c r="UL131" s="242">
        <f t="shared" si="941"/>
        <v>0</v>
      </c>
      <c r="UM131" s="56"/>
      <c r="UP131" s="55">
        <f t="shared" si="942"/>
        <v>46132</v>
      </c>
      <c r="UQ131" s="56"/>
      <c r="UR131" s="242">
        <f>SUMPRODUCT(PRODUCE!$B140:$DY140,PRODUCE!$EB$57:$IY$57)</f>
        <v>0</v>
      </c>
      <c r="US131" s="56"/>
      <c r="UT131" s="242">
        <f t="shared" si="943"/>
        <v>0</v>
      </c>
      <c r="UU131" s="242">
        <f t="shared" si="944"/>
        <v>0</v>
      </c>
      <c r="UV131" s="56"/>
      <c r="UY131" s="55">
        <f t="shared" si="945"/>
        <v>46132</v>
      </c>
      <c r="UZ131" s="56"/>
      <c r="VA131" s="242">
        <f>SUMPRODUCT(PRODUCE!$B140:$DY140,PRODUCE!$EB$57:$IY$57)</f>
        <v>0</v>
      </c>
      <c r="VB131" s="56"/>
      <c r="VC131" s="242">
        <f t="shared" si="946"/>
        <v>0</v>
      </c>
      <c r="VD131" s="242">
        <f t="shared" si="947"/>
        <v>41.600000000000023</v>
      </c>
      <c r="VE131" s="56"/>
      <c r="VH131" s="55">
        <f t="shared" si="948"/>
        <v>46132</v>
      </c>
      <c r="VI131" s="56"/>
      <c r="VJ131" s="242">
        <f>SUMPRODUCT(PRODUCE!$B140:$DY140,PRODUCE!$EB$57:$IY$57)</f>
        <v>0</v>
      </c>
      <c r="VK131" s="56"/>
      <c r="VL131" s="242">
        <f t="shared" si="949"/>
        <v>0</v>
      </c>
      <c r="VM131" s="242">
        <f t="shared" si="950"/>
        <v>0</v>
      </c>
      <c r="VN131" s="56"/>
      <c r="VQ131" s="55">
        <f t="shared" si="951"/>
        <v>46132</v>
      </c>
      <c r="VR131" s="56"/>
      <c r="VS131" s="242">
        <f>SUMPRODUCT(PRODUCE!$B140:$DY140,PRODUCE!$EB$57:$IY$57)</f>
        <v>0</v>
      </c>
      <c r="VT131" s="56"/>
      <c r="VU131" s="242">
        <f t="shared" si="952"/>
        <v>0</v>
      </c>
      <c r="VV131" s="242">
        <f t="shared" si="953"/>
        <v>0</v>
      </c>
      <c r="VW131" s="56"/>
      <c r="VZ131" s="55">
        <f t="shared" si="954"/>
        <v>46132</v>
      </c>
      <c r="WA131" s="56"/>
      <c r="WB131" s="242">
        <f>SUMPRODUCT(PRODUCE!$B140:$DY140,PRODUCE!$EB$57:$IY$57)</f>
        <v>0</v>
      </c>
      <c r="WC131" s="56"/>
      <c r="WD131" s="242">
        <f t="shared" si="955"/>
        <v>0</v>
      </c>
      <c r="WE131" s="242">
        <f t="shared" si="956"/>
        <v>0</v>
      </c>
      <c r="WF131" s="56"/>
      <c r="WI131" s="55">
        <f t="shared" si="957"/>
        <v>46132</v>
      </c>
      <c r="WJ131" s="56"/>
      <c r="WK131" s="242">
        <f>SUMPRODUCT(PRODUCE!$B140:$DY140,PRODUCE!$EB$57:$IY$57)</f>
        <v>0</v>
      </c>
      <c r="WL131" s="56"/>
      <c r="WM131" s="242">
        <f t="shared" si="958"/>
        <v>0</v>
      </c>
      <c r="WN131" s="242">
        <f t="shared" si="959"/>
        <v>2317</v>
      </c>
      <c r="WO131" s="56"/>
      <c r="WR131" s="55">
        <f t="shared" si="960"/>
        <v>46132</v>
      </c>
      <c r="WS131" s="56"/>
      <c r="WT131" s="242">
        <f>SUMPRODUCT(PRODUCE!$B140:$DY140,PRODUCE!$EB$57:$IY$57)</f>
        <v>0</v>
      </c>
      <c r="WU131" s="56">
        <v>181</v>
      </c>
      <c r="WV131" s="242">
        <f t="shared" si="961"/>
        <v>-181</v>
      </c>
      <c r="WW131" s="242">
        <f t="shared" si="962"/>
        <v>5855</v>
      </c>
      <c r="WX131" s="56"/>
      <c r="XA131" s="55">
        <f t="shared" si="963"/>
        <v>46132</v>
      </c>
      <c r="XB131" s="56"/>
      <c r="XC131" s="242">
        <f>SUMPRODUCT(PRODUCE!$B140:$DY140,PRODUCE!$EB$57:$IY$57)</f>
        <v>0</v>
      </c>
      <c r="XD131" s="56"/>
      <c r="XE131" s="242">
        <f t="shared" si="964"/>
        <v>0</v>
      </c>
      <c r="XF131" s="242">
        <f t="shared" si="965"/>
        <v>14868</v>
      </c>
      <c r="XG131" s="56"/>
      <c r="XJ131" s="55">
        <f t="shared" si="966"/>
        <v>46132</v>
      </c>
      <c r="XK131" s="56"/>
      <c r="XL131" s="242">
        <f>SUMPRODUCT(PRODUCE!$B140:$DY140,PRODUCE!$EB$57:$IY$57)</f>
        <v>0</v>
      </c>
      <c r="XM131" s="56">
        <v>408</v>
      </c>
      <c r="XN131" s="242">
        <f t="shared" si="967"/>
        <v>-408</v>
      </c>
      <c r="XO131" s="242">
        <f t="shared" si="968"/>
        <v>2376</v>
      </c>
      <c r="XP131" s="56"/>
      <c r="XS131" s="55">
        <f t="shared" si="969"/>
        <v>46132</v>
      </c>
      <c r="XT131" s="56"/>
      <c r="XU131" s="242">
        <f>SUMPRODUCT(PRODUCE!$B140:$DY140,PRODUCE!$EB$57:$IY$57)</f>
        <v>0</v>
      </c>
      <c r="XV131" s="56"/>
      <c r="XW131" s="242">
        <f t="shared" si="970"/>
        <v>0</v>
      </c>
      <c r="XX131" s="242">
        <f t="shared" si="971"/>
        <v>1901</v>
      </c>
      <c r="XY131" s="56"/>
      <c r="YB131" s="55">
        <f t="shared" si="972"/>
        <v>46132</v>
      </c>
      <c r="YC131" s="56"/>
      <c r="YD131" s="242">
        <f>SUMPRODUCT(PRODUCE!$B140:$DY140,PRODUCE!$EB$57:$IY$57)</f>
        <v>0</v>
      </c>
      <c r="YE131" s="56"/>
      <c r="YF131" s="242">
        <f t="shared" si="973"/>
        <v>0</v>
      </c>
      <c r="YG131" s="242">
        <f t="shared" si="974"/>
        <v>6459</v>
      </c>
      <c r="YH131" s="56"/>
      <c r="YK131" s="55">
        <f t="shared" si="975"/>
        <v>46132</v>
      </c>
      <c r="YL131" s="56"/>
      <c r="YM131" s="242">
        <f>SUMPRODUCT(PRODUCE!$B140:$DY140,PRODUCE!$EB$57:$IY$57)</f>
        <v>0</v>
      </c>
      <c r="YN131" s="56"/>
      <c r="YO131" s="242">
        <f t="shared" si="976"/>
        <v>0</v>
      </c>
      <c r="YP131" s="242">
        <f t="shared" si="977"/>
        <v>0</v>
      </c>
      <c r="YQ131" s="56"/>
      <c r="YT131" s="55">
        <f t="shared" si="978"/>
        <v>46132</v>
      </c>
      <c r="YU131" s="56"/>
      <c r="YV131" s="242">
        <f>SUMPRODUCT(PRODUCE!$B140:$DY140,PRODUCE!$EB$57:$IY$57)</f>
        <v>0</v>
      </c>
      <c r="YW131" s="56"/>
      <c r="YX131" s="242">
        <f t="shared" si="979"/>
        <v>0</v>
      </c>
      <c r="YY131" s="242">
        <f t="shared" si="980"/>
        <v>0</v>
      </c>
      <c r="YZ131" s="56"/>
      <c r="ZC131" s="55">
        <f t="shared" si="981"/>
        <v>46132</v>
      </c>
      <c r="ZD131" s="56"/>
      <c r="ZE131" s="242">
        <f>SUMPRODUCT(PRODUCE!$B140:$DY140,PRODUCE!$EB$57:$IY$57)</f>
        <v>0</v>
      </c>
      <c r="ZF131" s="56"/>
      <c r="ZG131" s="242">
        <f t="shared" si="982"/>
        <v>0</v>
      </c>
      <c r="ZH131" s="242">
        <f t="shared" si="983"/>
        <v>0</v>
      </c>
      <c r="ZI131" s="56"/>
      <c r="ZL131" s="55">
        <f t="shared" si="984"/>
        <v>46132</v>
      </c>
      <c r="ZM131" s="56"/>
      <c r="ZN131" s="242">
        <f>SUMPRODUCT(PRODUCE!$B140:$DY140,PRODUCE!$EB$57:$IY$57)</f>
        <v>0</v>
      </c>
      <c r="ZO131" s="56"/>
      <c r="ZP131" s="242">
        <f t="shared" si="985"/>
        <v>0</v>
      </c>
      <c r="ZQ131" s="242">
        <f t="shared" si="986"/>
        <v>0</v>
      </c>
      <c r="ZR131" s="56"/>
      <c r="ZU131" s="55">
        <f t="shared" si="987"/>
        <v>46132</v>
      </c>
      <c r="ZV131" s="56"/>
      <c r="ZW131" s="242">
        <f>SUMPRODUCT(PRODUCE!$B140:$DY140,PRODUCE!$EB$57:$IY$57)</f>
        <v>0</v>
      </c>
      <c r="ZX131" s="56"/>
      <c r="ZY131" s="242">
        <f t="shared" si="988"/>
        <v>0</v>
      </c>
      <c r="ZZ131" s="242">
        <f t="shared" si="989"/>
        <v>0</v>
      </c>
      <c r="AAA131" s="56"/>
      <c r="AAD131" s="55">
        <f t="shared" si="990"/>
        <v>46132</v>
      </c>
      <c r="AAE131" s="56"/>
      <c r="AAF131" s="242">
        <f>SUMPRODUCT(PRODUCE!$B140:$DY140,PRODUCE!$EB$57:$IY$57)</f>
        <v>0</v>
      </c>
      <c r="AAG131" s="56"/>
      <c r="AAH131" s="242">
        <f t="shared" si="991"/>
        <v>0</v>
      </c>
      <c r="AAI131" s="242">
        <f t="shared" si="992"/>
        <v>0</v>
      </c>
      <c r="AAJ131" s="56"/>
      <c r="AAM131" s="55">
        <f t="shared" si="993"/>
        <v>46132</v>
      </c>
      <c r="AAN131" s="56"/>
      <c r="AAO131" s="242">
        <f>SUMPRODUCT(PRODUCE!$B140:$DY140,PRODUCE!$EB$57:$IY$57)</f>
        <v>0</v>
      </c>
      <c r="AAP131" s="56"/>
      <c r="AAQ131" s="242">
        <f t="shared" si="994"/>
        <v>0</v>
      </c>
      <c r="AAR131" s="242">
        <f t="shared" si="995"/>
        <v>0</v>
      </c>
      <c r="AAS131" s="56"/>
      <c r="AAV131" s="55">
        <f t="shared" si="996"/>
        <v>46132</v>
      </c>
      <c r="AAW131" s="56"/>
      <c r="AAX131" s="242">
        <f>SUMPRODUCT(PRODUCE!$B140:$DY140,PRODUCE!$EB$57:$IY$57)</f>
        <v>0</v>
      </c>
      <c r="AAY131" s="56"/>
      <c r="AAZ131" s="242">
        <f t="shared" si="997"/>
        <v>0</v>
      </c>
      <c r="ABA131" s="242">
        <f t="shared" si="998"/>
        <v>0</v>
      </c>
      <c r="ABB131" s="56"/>
      <c r="ABE131" s="55">
        <f t="shared" si="999"/>
        <v>46132</v>
      </c>
      <c r="ABF131" s="56"/>
      <c r="ABG131" s="242">
        <f>SUMPRODUCT(PRODUCE!$B140:$DY140,PRODUCE!$EB$57:$IY$57)</f>
        <v>0</v>
      </c>
      <c r="ABH131" s="56"/>
      <c r="ABI131" s="242">
        <f t="shared" si="1000"/>
        <v>0</v>
      </c>
      <c r="ABJ131" s="242">
        <f t="shared" si="1001"/>
        <v>0</v>
      </c>
      <c r="ABK131" s="56"/>
    </row>
    <row r="132" spans="1:739" s="54" customFormat="1" ht="15" customHeight="1" outlineLevel="1">
      <c r="B132" s="478">
        <f>30+60</f>
        <v>90</v>
      </c>
      <c r="C132" s="55">
        <v>46133</v>
      </c>
      <c r="D132" s="422">
        <v>19480</v>
      </c>
      <c r="E132" s="423">
        <f>SUMPRODUCT(PRODUCE!$B141:$DY141,PRODUCE!$EB$7:$IY$7)</f>
        <v>50200.5</v>
      </c>
      <c r="F132" s="422">
        <v>50202.400000000001</v>
      </c>
      <c r="G132" s="423">
        <f t="shared" si="1002"/>
        <v>-1.9000000000014552</v>
      </c>
      <c r="H132" s="423">
        <f t="shared" si="1003"/>
        <v>97980.800000000017</v>
      </c>
      <c r="I132" s="289" t="s">
        <v>250</v>
      </c>
      <c r="L132" s="55">
        <f t="shared" si="759"/>
        <v>46133</v>
      </c>
      <c r="M132" s="422"/>
      <c r="N132" s="438">
        <f>SUMPRODUCT(PRODUCE!$B141:$DY141,PRODUCE!$EB$8:$IY$8)</f>
        <v>21390</v>
      </c>
      <c r="O132" s="422">
        <v>21387</v>
      </c>
      <c r="P132" s="438">
        <f t="shared" si="760"/>
        <v>3</v>
      </c>
      <c r="Q132" s="438">
        <f t="shared" si="761"/>
        <v>54567.400000000111</v>
      </c>
      <c r="R132" s="56"/>
      <c r="U132" s="55">
        <f t="shared" si="762"/>
        <v>46133</v>
      </c>
      <c r="V132" s="422"/>
      <c r="W132" s="440">
        <f>SUMPRODUCT(PRODUCE!$B141:$DY141,PRODUCE!$EB$9:$IY$9)</f>
        <v>4004.9999999999995</v>
      </c>
      <c r="X132" s="422">
        <v>4004.3</v>
      </c>
      <c r="Y132" s="440">
        <f t="shared" si="763"/>
        <v>0.69999999999936335</v>
      </c>
      <c r="Z132" s="440">
        <f t="shared" si="764"/>
        <v>28364.099999999969</v>
      </c>
      <c r="AA132" s="56"/>
      <c r="AD132" s="55">
        <f t="shared" si="765"/>
        <v>46133</v>
      </c>
      <c r="AE132" s="422"/>
      <c r="AF132" s="442">
        <f>SUMPRODUCT(PRODUCE!$B141:$DY141,PRODUCE!$EB$10:$IY$10)</f>
        <v>3390</v>
      </c>
      <c r="AG132" s="422">
        <v>3391.8</v>
      </c>
      <c r="AH132" s="442">
        <f t="shared" si="766"/>
        <v>-1.8000000000001819</v>
      </c>
      <c r="AI132" s="442">
        <f t="shared" si="767"/>
        <v>31032.90000000002</v>
      </c>
      <c r="AJ132" s="56"/>
      <c r="AM132" s="55">
        <f t="shared" si="768"/>
        <v>46133</v>
      </c>
      <c r="AN132" s="422"/>
      <c r="AO132" s="444">
        <f>SUMPRODUCT(PRODUCE!$B141:$DY141,PRODUCE!$EB$11:$IY$11)</f>
        <v>0</v>
      </c>
      <c r="AP132" s="422"/>
      <c r="AQ132" s="444">
        <f t="shared" si="769"/>
        <v>0</v>
      </c>
      <c r="AR132" s="444">
        <f t="shared" si="770"/>
        <v>0</v>
      </c>
      <c r="AS132" s="56"/>
      <c r="AV132" s="55">
        <f t="shared" si="771"/>
        <v>46133</v>
      </c>
      <c r="AW132" s="422"/>
      <c r="AX132" s="446">
        <f>SUMPRODUCT(PRODUCE!$B141:$DY141,PRODUCE!$EB$12:$IY$12)</f>
        <v>600</v>
      </c>
      <c r="AY132" s="422">
        <v>598.6</v>
      </c>
      <c r="AZ132" s="446">
        <f t="shared" si="772"/>
        <v>1.3999999999999773</v>
      </c>
      <c r="BA132" s="446">
        <f t="shared" si="773"/>
        <v>10906.499999999993</v>
      </c>
      <c r="BB132" s="56"/>
      <c r="BE132" s="55">
        <f t="shared" si="774"/>
        <v>46133</v>
      </c>
      <c r="BF132" s="422"/>
      <c r="BG132" s="448">
        <f>SUMPRODUCT(PRODUCE!$B141:$DY141,PRODUCE!$EB$13:$IY$13)</f>
        <v>2760</v>
      </c>
      <c r="BH132" s="422">
        <v>2760.8</v>
      </c>
      <c r="BI132" s="448">
        <f t="shared" si="775"/>
        <v>-0.8000000000001819</v>
      </c>
      <c r="BJ132" s="448">
        <f t="shared" si="776"/>
        <v>43278.599999999991</v>
      </c>
      <c r="BK132" s="56"/>
      <c r="BN132" s="55">
        <f t="shared" si="777"/>
        <v>46133</v>
      </c>
      <c r="BO132" s="422">
        <v>2100</v>
      </c>
      <c r="BP132" s="450">
        <f>SUMPRODUCT(PRODUCE!$B141:$DY141,PRODUCE!$EB$14:$IY$14)</f>
        <v>2100</v>
      </c>
      <c r="BQ132" s="422">
        <v>2100</v>
      </c>
      <c r="BR132" s="450">
        <f t="shared" si="778"/>
        <v>0</v>
      </c>
      <c r="BS132" s="450">
        <f t="shared" si="779"/>
        <v>0</v>
      </c>
      <c r="BT132" s="56"/>
      <c r="BW132" s="55">
        <f t="shared" si="780"/>
        <v>46133</v>
      </c>
      <c r="BX132" s="56"/>
      <c r="BY132" s="65">
        <f>SUMPRODUCT(PRODUCE!$B141:$DY141,PRODUCE!$EB$15:$IY$15)</f>
        <v>199.5</v>
      </c>
      <c r="BZ132" s="56"/>
      <c r="CA132" s="65">
        <f t="shared" si="781"/>
        <v>199.5</v>
      </c>
      <c r="CB132" s="65">
        <f t="shared" si="782"/>
        <v>6411.7999999999993</v>
      </c>
      <c r="CC132" s="56"/>
      <c r="CF132" s="55">
        <f t="shared" si="783"/>
        <v>46133</v>
      </c>
      <c r="CG132" s="56"/>
      <c r="CH132" s="66">
        <f>SUMPRODUCT(PRODUCE!$B141:$DY141,PRODUCE!$EB$16:$IY$16)</f>
        <v>600</v>
      </c>
      <c r="CI132" s="56"/>
      <c r="CJ132" s="66">
        <f t="shared" si="784"/>
        <v>600</v>
      </c>
      <c r="CK132" s="66">
        <f t="shared" si="785"/>
        <v>0</v>
      </c>
      <c r="CL132" s="56"/>
      <c r="CO132" s="55">
        <f t="shared" si="786"/>
        <v>46133</v>
      </c>
      <c r="CP132" s="422"/>
      <c r="CQ132" s="470">
        <f>SUMPRODUCT(PRODUCE!$B141:$DY141,PRODUCE!$EB$17:$IY$17)</f>
        <v>0</v>
      </c>
      <c r="CR132" s="422"/>
      <c r="CS132" s="470">
        <f t="shared" si="787"/>
        <v>0</v>
      </c>
      <c r="CT132" s="470">
        <f t="shared" si="788"/>
        <v>0</v>
      </c>
      <c r="CU132" s="56"/>
      <c r="CX132" s="55">
        <f t="shared" si="789"/>
        <v>46133</v>
      </c>
      <c r="CY132" s="56"/>
      <c r="CZ132" s="133">
        <f>SUMPRODUCT(PRODUCE!$B141:$DY141,PRODUCE!$EB$18:$IY$18)</f>
        <v>1500</v>
      </c>
      <c r="DA132" s="56">
        <v>1501.6</v>
      </c>
      <c r="DB132" s="133">
        <f t="shared" si="790"/>
        <v>-1.5999999999999091</v>
      </c>
      <c r="DC132" s="133">
        <f t="shared" si="791"/>
        <v>6980.9000000000051</v>
      </c>
      <c r="DD132" s="56"/>
      <c r="DG132" s="55">
        <f t="shared" si="792"/>
        <v>46133</v>
      </c>
      <c r="DH132" s="56"/>
      <c r="DI132" s="147">
        <f>SUMPRODUCT(PRODUCE!$B141:$DY141,PRODUCE!$EB$19:$IY$19)</f>
        <v>1200</v>
      </c>
      <c r="DJ132" s="56">
        <v>1200.5999999999999</v>
      </c>
      <c r="DK132" s="147">
        <f t="shared" si="793"/>
        <v>-0.59999999999990905</v>
      </c>
      <c r="DL132" s="147">
        <f t="shared" si="794"/>
        <v>9910.799999999992</v>
      </c>
      <c r="DM132" s="56"/>
      <c r="DP132" s="55">
        <f t="shared" si="795"/>
        <v>46133</v>
      </c>
      <c r="DQ132" s="56"/>
      <c r="DR132" s="57">
        <f>SUMPRODUCT(PRODUCE!$B141:$DY141,PRODUCE!$EB$20:$IY$20)</f>
        <v>0</v>
      </c>
      <c r="DS132" s="56"/>
      <c r="DT132" s="57">
        <f t="shared" si="796"/>
        <v>0</v>
      </c>
      <c r="DU132" s="57">
        <f t="shared" si="797"/>
        <v>5800</v>
      </c>
      <c r="DV132" s="56"/>
      <c r="DY132" s="55">
        <f t="shared" si="798"/>
        <v>46133</v>
      </c>
      <c r="DZ132" s="56"/>
      <c r="EA132" s="157">
        <f>SUMPRODUCT(PRODUCE!$B141:$DY141,PRODUCE!$EB$21:$IY$21)</f>
        <v>0</v>
      </c>
      <c r="EB132" s="56"/>
      <c r="EC132" s="157">
        <f t="shared" si="799"/>
        <v>0</v>
      </c>
      <c r="ED132" s="157">
        <f t="shared" si="800"/>
        <v>147.30000000000018</v>
      </c>
      <c r="EE132" s="56"/>
      <c r="EH132" s="55">
        <f t="shared" si="801"/>
        <v>46133</v>
      </c>
      <c r="EI132" s="56"/>
      <c r="EJ132" s="162">
        <f>SUMPRODUCT(PRODUCE!$B141:$DY141,PRODUCE!$EB$22:$IY$22)</f>
        <v>0</v>
      </c>
      <c r="EK132" s="56"/>
      <c r="EL132" s="162">
        <f t="shared" si="802"/>
        <v>0</v>
      </c>
      <c r="EM132" s="162">
        <f t="shared" si="803"/>
        <v>0</v>
      </c>
      <c r="EN132" s="56"/>
      <c r="EQ132" s="55">
        <f t="shared" si="804"/>
        <v>46133</v>
      </c>
      <c r="ER132" s="56"/>
      <c r="ES132" s="135">
        <f>SUMPRODUCT(PRODUCE!$B141:$DY141,PRODUCE!$EB$23:$IY$23)</f>
        <v>0</v>
      </c>
      <c r="ET132" s="56"/>
      <c r="EU132" s="135">
        <f t="shared" si="805"/>
        <v>0</v>
      </c>
      <c r="EV132" s="135">
        <f t="shared" si="806"/>
        <v>0</v>
      </c>
      <c r="EW132" s="56"/>
      <c r="EZ132" s="55">
        <f t="shared" si="807"/>
        <v>46133</v>
      </c>
      <c r="FA132" s="56"/>
      <c r="FB132" s="175">
        <f>SUMPRODUCT(PRODUCE!$B141:$DY141,PRODUCE!$EB$24:$IY$24)</f>
        <v>0</v>
      </c>
      <c r="FC132" s="56"/>
      <c r="FD132" s="175">
        <f t="shared" si="808"/>
        <v>0</v>
      </c>
      <c r="FE132" s="175">
        <f t="shared" si="809"/>
        <v>0</v>
      </c>
      <c r="FF132" s="56"/>
      <c r="FI132" s="55">
        <f t="shared" si="810"/>
        <v>46133</v>
      </c>
      <c r="FJ132" s="56"/>
      <c r="FK132" s="183">
        <f>SUMPRODUCT(PRODUCE!$B141:$DY141,PRODUCE!$EB$25:$IY$25)</f>
        <v>0</v>
      </c>
      <c r="FL132" s="56"/>
      <c r="FM132" s="183">
        <f t="shared" si="811"/>
        <v>0</v>
      </c>
      <c r="FN132" s="183">
        <f t="shared" si="812"/>
        <v>0</v>
      </c>
      <c r="FO132" s="56"/>
      <c r="FR132" s="55">
        <f t="shared" si="813"/>
        <v>46133</v>
      </c>
      <c r="FS132" s="422"/>
      <c r="FT132" s="452">
        <f>SUMPRODUCT(PRODUCE!$B141:$DY141,PRODUCE!$EB$26:$IY$26)</f>
        <v>0</v>
      </c>
      <c r="FU132" s="422"/>
      <c r="FV132" s="452">
        <f t="shared" si="814"/>
        <v>0</v>
      </c>
      <c r="FW132" s="452">
        <f t="shared" si="815"/>
        <v>2120</v>
      </c>
      <c r="FX132" s="56"/>
      <c r="GA132" s="55">
        <f t="shared" si="816"/>
        <v>46133</v>
      </c>
      <c r="GB132" s="422"/>
      <c r="GC132" s="454">
        <f>SUMPRODUCT(PRODUCE!$B141:$DY141,PRODUCE!$EB$27:$IY$27)</f>
        <v>1200</v>
      </c>
      <c r="GD132" s="422"/>
      <c r="GE132" s="454">
        <f t="shared" si="817"/>
        <v>1200</v>
      </c>
      <c r="GF132" s="454">
        <f t="shared" si="818"/>
        <v>6800</v>
      </c>
      <c r="GG132" s="56"/>
      <c r="GI132" s="23"/>
      <c r="GJ132" s="55">
        <f t="shared" si="819"/>
        <v>46133</v>
      </c>
      <c r="GK132" s="422"/>
      <c r="GL132" s="456">
        <f>SUMPRODUCT(PRODUCE!$B141:$DY141,PRODUCE!$EB$28:$IY$28)</f>
        <v>0</v>
      </c>
      <c r="GM132" s="422"/>
      <c r="GN132" s="456">
        <f t="shared" si="820"/>
        <v>0</v>
      </c>
      <c r="GO132" s="456">
        <f t="shared" si="821"/>
        <v>4800</v>
      </c>
      <c r="GP132" s="56"/>
      <c r="GS132" s="55">
        <f t="shared" si="822"/>
        <v>46133</v>
      </c>
      <c r="GT132" s="56"/>
      <c r="GU132" s="195">
        <f>SUMPRODUCT(PRODUCE!$B141:$DY141,PRODUCE!$EB$29:$IY$29)</f>
        <v>0</v>
      </c>
      <c r="GV132" s="56"/>
      <c r="GW132" s="195">
        <f t="shared" si="823"/>
        <v>0</v>
      </c>
      <c r="GX132" s="195">
        <f t="shared" si="824"/>
        <v>0</v>
      </c>
      <c r="GY132" s="56"/>
      <c r="HB132" s="55">
        <f t="shared" si="825"/>
        <v>46133</v>
      </c>
      <c r="HC132" s="56"/>
      <c r="HD132" s="191">
        <f>SUMPRODUCT(PRODUCE!$B141:$DY141,PRODUCE!$EB$30:$IY$30)</f>
        <v>0</v>
      </c>
      <c r="HE132" s="56"/>
      <c r="HF132" s="191">
        <f t="shared" si="826"/>
        <v>0</v>
      </c>
      <c r="HG132" s="191">
        <f t="shared" si="827"/>
        <v>0</v>
      </c>
      <c r="HH132" s="56"/>
      <c r="HK132" s="55">
        <f t="shared" si="828"/>
        <v>46133</v>
      </c>
      <c r="HL132" s="56"/>
      <c r="HM132" s="63">
        <f>SUMPRODUCT(PRODUCE!$B141:$DY141,PRODUCE!$EB$31:$IY$31)</f>
        <v>0</v>
      </c>
      <c r="HN132" s="56"/>
      <c r="HO132" s="63">
        <f t="shared" si="829"/>
        <v>0</v>
      </c>
      <c r="HP132" s="63">
        <f t="shared" si="830"/>
        <v>0</v>
      </c>
      <c r="HQ132" s="56"/>
      <c r="HU132" s="55">
        <f t="shared" si="831"/>
        <v>46133</v>
      </c>
      <c r="HV132" s="56"/>
      <c r="HW132" s="242">
        <f>SUMPRODUCT(PRODUCE!$B141:$DY141,PRODUCE!$EB$32:$IY$32)</f>
        <v>0</v>
      </c>
      <c r="HX132" s="56"/>
      <c r="HY132" s="242">
        <f t="shared" si="832"/>
        <v>0</v>
      </c>
      <c r="HZ132" s="242">
        <f t="shared" si="833"/>
        <v>5120</v>
      </c>
      <c r="IA132" s="56"/>
      <c r="ID132" s="55">
        <f t="shared" si="834"/>
        <v>46133</v>
      </c>
      <c r="IE132" s="56"/>
      <c r="IF132" s="242">
        <f>SUMPRODUCT(PRODUCE!$B141:$DY141,PRODUCE!$EB$33:$IY$33)</f>
        <v>0</v>
      </c>
      <c r="IG132" s="56"/>
      <c r="IH132" s="242">
        <f t="shared" si="835"/>
        <v>0</v>
      </c>
      <c r="II132" s="242">
        <f t="shared" si="836"/>
        <v>6540</v>
      </c>
      <c r="IJ132" s="56"/>
      <c r="IM132" s="55">
        <f t="shared" si="837"/>
        <v>46133</v>
      </c>
      <c r="IN132" s="56"/>
      <c r="IO132" s="242">
        <f>SUMPRODUCT(PRODUCE!$B141:$DY141,PRODUCE!$EB$34:$IY$34)</f>
        <v>0</v>
      </c>
      <c r="IP132" s="56"/>
      <c r="IQ132" s="242">
        <f t="shared" si="838"/>
        <v>0</v>
      </c>
      <c r="IR132" s="242">
        <f t="shared" si="839"/>
        <v>11540</v>
      </c>
      <c r="IS132" s="56"/>
      <c r="IV132" s="55">
        <f t="shared" si="840"/>
        <v>46133</v>
      </c>
      <c r="IW132" s="56"/>
      <c r="IX132" s="242">
        <f>SUMPRODUCT(PRODUCE!$B141:$DY141,PRODUCE!$EB$35:$IY$35)</f>
        <v>0</v>
      </c>
      <c r="IY132" s="56"/>
      <c r="IZ132" s="242">
        <f t="shared" si="841"/>
        <v>0</v>
      </c>
      <c r="JA132" s="242">
        <f t="shared" si="842"/>
        <v>15120</v>
      </c>
      <c r="JB132" s="56"/>
      <c r="JE132" s="55">
        <f t="shared" si="843"/>
        <v>46133</v>
      </c>
      <c r="JF132" s="56"/>
      <c r="JG132" s="242">
        <f>SUMPRODUCT(PRODUCE!$B141:$DY141,PRODUCE!$EB$36:$IY$36)</f>
        <v>0</v>
      </c>
      <c r="JH132" s="56"/>
      <c r="JI132" s="242">
        <f t="shared" si="844"/>
        <v>0</v>
      </c>
      <c r="JJ132" s="242">
        <f t="shared" si="845"/>
        <v>5040</v>
      </c>
      <c r="JK132" s="56"/>
      <c r="JN132" s="55">
        <f t="shared" si="846"/>
        <v>46133</v>
      </c>
      <c r="JO132" s="56"/>
      <c r="JP132" s="242">
        <f>SUMPRODUCT(PRODUCE!$B141:$DY141,PRODUCE!$EB$37:$IY$37)</f>
        <v>0</v>
      </c>
      <c r="JQ132" s="56"/>
      <c r="JR132" s="242">
        <f t="shared" si="847"/>
        <v>0</v>
      </c>
      <c r="JS132" s="242">
        <f t="shared" si="848"/>
        <v>9100</v>
      </c>
      <c r="JT132" s="56"/>
      <c r="JW132" s="55">
        <f t="shared" si="849"/>
        <v>46133</v>
      </c>
      <c r="JX132" s="56"/>
      <c r="JY132" s="242">
        <f>SUMPRODUCT(PRODUCE!$B141:$DY141,PRODUCE!$EB$38:$IY$38)</f>
        <v>0</v>
      </c>
      <c r="JZ132" s="56"/>
      <c r="KA132" s="242">
        <f t="shared" si="850"/>
        <v>0</v>
      </c>
      <c r="KB132" s="242">
        <f t="shared" si="851"/>
        <v>2540</v>
      </c>
      <c r="KC132" s="56"/>
      <c r="KF132" s="55">
        <f t="shared" si="852"/>
        <v>46133</v>
      </c>
      <c r="KG132" s="56"/>
      <c r="KH132" s="242">
        <f>SUMPRODUCT(PRODUCE!$B141:$DY141,PRODUCE!$EB$39:$IY$39)</f>
        <v>585</v>
      </c>
      <c r="KI132" s="56"/>
      <c r="KJ132" s="242">
        <f t="shared" si="853"/>
        <v>585</v>
      </c>
      <c r="KK132" s="242">
        <f t="shared" si="854"/>
        <v>19.5</v>
      </c>
      <c r="KL132" s="56"/>
      <c r="KO132" s="55">
        <f t="shared" si="855"/>
        <v>46133</v>
      </c>
      <c r="KP132" s="56"/>
      <c r="KQ132" s="242">
        <f>SUMPRODUCT(PRODUCE!$B141:$DY141,PRODUCE!$EB$40:$IY$40)</f>
        <v>0</v>
      </c>
      <c r="KR132" s="56"/>
      <c r="KS132" s="242">
        <f t="shared" si="856"/>
        <v>0</v>
      </c>
      <c r="KT132" s="242">
        <f t="shared" si="857"/>
        <v>3817.7999999999997</v>
      </c>
      <c r="KU132" s="56"/>
      <c r="KW132" s="23"/>
      <c r="KX132" s="55">
        <f t="shared" si="858"/>
        <v>46133</v>
      </c>
      <c r="KY132" s="56"/>
      <c r="KZ132" s="242">
        <f>SUMPRODUCT(PRODUCE!$B141:$DY141,PRODUCE!$EB$41:$IY$41)</f>
        <v>0</v>
      </c>
      <c r="LA132" s="56"/>
      <c r="LB132" s="242">
        <f t="shared" si="859"/>
        <v>0</v>
      </c>
      <c r="LC132" s="242">
        <f t="shared" si="860"/>
        <v>3690</v>
      </c>
      <c r="LD132" s="56"/>
      <c r="LG132" s="55">
        <f t="shared" si="861"/>
        <v>46133</v>
      </c>
      <c r="LH132" s="56"/>
      <c r="LI132" s="242">
        <f>SUMPRODUCT(PRODUCE!$B141:$DY141,PRODUCE!$EB$42:$IY$42)</f>
        <v>0</v>
      </c>
      <c r="LJ132" s="56"/>
      <c r="LK132" s="242">
        <f t="shared" si="862"/>
        <v>0</v>
      </c>
      <c r="LL132" s="242">
        <f t="shared" si="863"/>
        <v>4000</v>
      </c>
      <c r="LM132" s="56"/>
      <c r="LP132" s="55">
        <f t="shared" si="864"/>
        <v>46133</v>
      </c>
      <c r="LQ132" s="56"/>
      <c r="LR132" s="242">
        <f>SUMPRODUCT(PRODUCE!$B147:$DY147,PRODUCE!$EB$43:$IY$43)</f>
        <v>0</v>
      </c>
      <c r="LS132" s="56"/>
      <c r="LT132" s="242">
        <f t="shared" si="865"/>
        <v>0</v>
      </c>
      <c r="LU132" s="242">
        <f t="shared" si="866"/>
        <v>0</v>
      </c>
      <c r="LV132" s="56"/>
      <c r="LY132" s="55">
        <f t="shared" si="867"/>
        <v>46133</v>
      </c>
      <c r="LZ132" s="56"/>
      <c r="MA132" s="242">
        <f>SUMPRODUCT(PRODUCE!$B141:$DY141,PRODUCE!$EB$44:$IY$44)</f>
        <v>0</v>
      </c>
      <c r="MB132" s="56"/>
      <c r="MC132" s="242">
        <f t="shared" si="868"/>
        <v>0</v>
      </c>
      <c r="MD132" s="242">
        <f t="shared" si="869"/>
        <v>0</v>
      </c>
      <c r="ME132" s="56"/>
      <c r="MH132" s="55">
        <f t="shared" si="870"/>
        <v>46133</v>
      </c>
      <c r="MI132" s="56"/>
      <c r="MJ132" s="242">
        <f>SUMPRODUCT(PRODUCE!$B141:$DY141,PRODUCE!$EB$45:$IY$45)</f>
        <v>0</v>
      </c>
      <c r="MK132" s="56"/>
      <c r="ML132" s="242">
        <f t="shared" si="871"/>
        <v>0</v>
      </c>
      <c r="MM132" s="242">
        <f t="shared" si="872"/>
        <v>0</v>
      </c>
      <c r="MN132" s="56"/>
      <c r="MQ132" s="55">
        <f t="shared" si="873"/>
        <v>46133</v>
      </c>
      <c r="MR132" s="56"/>
      <c r="MS132" s="242">
        <f>SUMPRODUCT(PRODUCE!$B141:$DY141,PRODUCE!$EB$46:$IY$46)</f>
        <v>30</v>
      </c>
      <c r="MT132" s="56"/>
      <c r="MU132" s="242">
        <f t="shared" si="874"/>
        <v>30</v>
      </c>
      <c r="MV132" s="242">
        <f t="shared" si="875"/>
        <v>4069</v>
      </c>
      <c r="MW132" s="56"/>
      <c r="MZ132" s="55">
        <f t="shared" si="876"/>
        <v>46133</v>
      </c>
      <c r="NA132" s="56"/>
      <c r="NB132" s="242">
        <f>SUMPRODUCT(PRODUCE!$B141:$DY141,PRODUCE!$EB$47:$IY$47)</f>
        <v>90</v>
      </c>
      <c r="NC132" s="56"/>
      <c r="ND132" s="242">
        <f t="shared" si="877"/>
        <v>90</v>
      </c>
      <c r="NE132" s="242">
        <f t="shared" si="878"/>
        <v>0</v>
      </c>
      <c r="NF132" s="56"/>
      <c r="NI132" s="55">
        <f t="shared" si="879"/>
        <v>46133</v>
      </c>
      <c r="NJ132" s="56"/>
      <c r="NK132" s="242">
        <f>SUMPRODUCT(PRODUCE!$B141:$DY141,PRODUCE!$EB$48:$IY$48)</f>
        <v>30</v>
      </c>
      <c r="NL132" s="56"/>
      <c r="NM132" s="242">
        <f t="shared" si="880"/>
        <v>30</v>
      </c>
      <c r="NN132" s="242">
        <f t="shared" si="881"/>
        <v>1229</v>
      </c>
      <c r="NO132" s="56"/>
      <c r="NR132" s="55">
        <f t="shared" si="882"/>
        <v>46133</v>
      </c>
      <c r="NS132" s="56"/>
      <c r="NT132" s="242">
        <f>SUMPRODUCT(PRODUCE!$B141:$DY141,PRODUCE!$EB$49:$IY$49)</f>
        <v>36</v>
      </c>
      <c r="NU132" s="56"/>
      <c r="NV132" s="242">
        <f t="shared" si="883"/>
        <v>36</v>
      </c>
      <c r="NW132" s="242">
        <f t="shared" si="884"/>
        <v>3233.2999999999997</v>
      </c>
      <c r="NX132" s="56"/>
      <c r="OA132" s="55">
        <f t="shared" si="885"/>
        <v>46133</v>
      </c>
      <c r="OB132" s="56"/>
      <c r="OC132" s="242">
        <f>SUMPRODUCT(PRODUCE!$B141:$DY141,PRODUCE!$EB$50:$IY$50)</f>
        <v>0</v>
      </c>
      <c r="OD132" s="56"/>
      <c r="OE132" s="242">
        <f t="shared" si="886"/>
        <v>0</v>
      </c>
      <c r="OF132" s="242">
        <f t="shared" si="887"/>
        <v>1680.5</v>
      </c>
      <c r="OG132" s="56"/>
      <c r="OJ132" s="55">
        <f t="shared" si="888"/>
        <v>46133</v>
      </c>
      <c r="OK132" s="56"/>
      <c r="OL132" s="242">
        <f>SUMPRODUCT(PRODUCE!$B141:$DY141,PRODUCE!$EB$51:$IY$51)</f>
        <v>83.999999999999986</v>
      </c>
      <c r="OM132" s="56"/>
      <c r="ON132" s="242">
        <f t="shared" si="889"/>
        <v>83.999999999999986</v>
      </c>
      <c r="OO132" s="242">
        <f t="shared" si="890"/>
        <v>0</v>
      </c>
      <c r="OP132" s="56"/>
      <c r="OS132" s="55">
        <f t="shared" si="891"/>
        <v>46133</v>
      </c>
      <c r="OT132" s="56"/>
      <c r="OU132" s="242">
        <f>SUMPRODUCT(PRODUCE!$B141:$DY141,PRODUCE!$EB$52:$IY$52)</f>
        <v>0</v>
      </c>
      <c r="OV132" s="56"/>
      <c r="OW132" s="242">
        <f t="shared" si="892"/>
        <v>0</v>
      </c>
      <c r="OX132" s="242">
        <f t="shared" si="893"/>
        <v>1000</v>
      </c>
      <c r="OY132" s="56"/>
      <c r="PB132" s="55">
        <f t="shared" si="894"/>
        <v>46133</v>
      </c>
      <c r="PC132" s="56"/>
      <c r="PD132" s="242">
        <f>SUMPRODUCT(PRODUCE!$B141:$DY141,PRODUCE!$EB$53:$IY$53)</f>
        <v>0</v>
      </c>
      <c r="PE132" s="56"/>
      <c r="PF132" s="242">
        <f t="shared" si="895"/>
        <v>0</v>
      </c>
      <c r="PG132" s="242">
        <f t="shared" si="896"/>
        <v>0</v>
      </c>
      <c r="PH132" s="56"/>
      <c r="PK132" s="55">
        <f t="shared" si="897"/>
        <v>46133</v>
      </c>
      <c r="PL132" s="56"/>
      <c r="PM132" s="242">
        <f>SUMPRODUCT(PRODUCE!$B141:$DY141,PRODUCE!$EB$54:$IY$54)</f>
        <v>0</v>
      </c>
      <c r="PN132" s="56"/>
      <c r="PO132" s="242">
        <f t="shared" si="898"/>
        <v>0</v>
      </c>
      <c r="PP132" s="242">
        <f t="shared" si="899"/>
        <v>100</v>
      </c>
      <c r="PQ132" s="56"/>
      <c r="PT132" s="55">
        <f t="shared" si="900"/>
        <v>46133</v>
      </c>
      <c r="PU132" s="56"/>
      <c r="PV132" s="242">
        <f>SUMPRODUCT(PRODUCE!$B141:$DY141,PRODUCE!$EB$55:$IY$55)</f>
        <v>0</v>
      </c>
      <c r="PW132" s="56"/>
      <c r="PX132" s="242">
        <f t="shared" si="901"/>
        <v>0</v>
      </c>
      <c r="PY132" s="242">
        <f t="shared" si="902"/>
        <v>13.960000000000036</v>
      </c>
      <c r="PZ132" s="56"/>
      <c r="QC132" s="55">
        <f t="shared" si="903"/>
        <v>46133</v>
      </c>
      <c r="QD132" s="56"/>
      <c r="QE132" s="242">
        <f>SUMPRODUCT(PRODUCE!$B141:$DY141,PRODUCE!$EB$56:$IY$56)</f>
        <v>0</v>
      </c>
      <c r="QF132" s="56"/>
      <c r="QG132" s="242">
        <f t="shared" si="904"/>
        <v>0</v>
      </c>
      <c r="QH132" s="242">
        <f t="shared" si="905"/>
        <v>1212</v>
      </c>
      <c r="QI132" s="56"/>
      <c r="QL132" s="55">
        <f t="shared" si="906"/>
        <v>46133</v>
      </c>
      <c r="QM132" s="56"/>
      <c r="QN132" s="242">
        <f>SUMPRODUCT(PRODUCE!$B141:$DY141,PRODUCE!$EB$57:$IY$57)</f>
        <v>0</v>
      </c>
      <c r="QO132" s="56"/>
      <c r="QP132" s="242">
        <f t="shared" si="907"/>
        <v>0</v>
      </c>
      <c r="QQ132" s="242">
        <f t="shared" si="908"/>
        <v>400</v>
      </c>
      <c r="QR132" s="56"/>
      <c r="QU132" s="55">
        <f t="shared" si="909"/>
        <v>46133</v>
      </c>
      <c r="QV132" s="56"/>
      <c r="QW132" s="242">
        <f>SUMPRODUCT(PRODUCE!$B141:$DY141,PRODUCE!$EB$57:$IY$57)</f>
        <v>0</v>
      </c>
      <c r="QX132" s="56"/>
      <c r="QY132" s="242">
        <f t="shared" si="910"/>
        <v>0</v>
      </c>
      <c r="QZ132" s="242">
        <f t="shared" si="911"/>
        <v>207.6</v>
      </c>
      <c r="RA132" s="56"/>
      <c r="RD132" s="55">
        <f t="shared" si="912"/>
        <v>46133</v>
      </c>
      <c r="RE132" s="56"/>
      <c r="RF132" s="242">
        <f>SUMPRODUCT(PRODUCE!$B141:$DY141,PRODUCE!$EB$58:$IY$58)</f>
        <v>0</v>
      </c>
      <c r="RG132" s="56"/>
      <c r="RH132" s="242">
        <f t="shared" si="913"/>
        <v>0</v>
      </c>
      <c r="RI132" s="242">
        <f t="shared" si="914"/>
        <v>147.04000000000002</v>
      </c>
      <c r="RJ132" s="56"/>
      <c r="RM132" s="55">
        <f t="shared" si="915"/>
        <v>46133</v>
      </c>
      <c r="RN132" s="56"/>
      <c r="RO132" s="242">
        <f>SUMPRODUCT(PRODUCE!$B141:$DY141,PRODUCE!$EB$57:$IY$57)</f>
        <v>0</v>
      </c>
      <c r="RP132" s="56"/>
      <c r="RQ132" s="242">
        <f t="shared" si="916"/>
        <v>0</v>
      </c>
      <c r="RR132" s="242">
        <f t="shared" si="917"/>
        <v>46.8</v>
      </c>
      <c r="RS132" s="56"/>
      <c r="RV132" s="55">
        <f t="shared" si="918"/>
        <v>46133</v>
      </c>
      <c r="RW132" s="56"/>
      <c r="RX132" s="242">
        <f>SUMPRODUCT(PRODUCE!$B141:$DY141,PRODUCE!$EB$57:$IY$57)</f>
        <v>0</v>
      </c>
      <c r="RY132" s="56"/>
      <c r="RZ132" s="242">
        <f t="shared" si="919"/>
        <v>0</v>
      </c>
      <c r="SA132" s="242">
        <f t="shared" si="920"/>
        <v>0</v>
      </c>
      <c r="SB132" s="56"/>
      <c r="SE132" s="55">
        <f t="shared" si="921"/>
        <v>46133</v>
      </c>
      <c r="SF132" s="56"/>
      <c r="SG132" s="242">
        <f>SUMPRODUCT(PRODUCE!$B141:$DY141,PRODUCE!$EB$57:$IY$57)</f>
        <v>0</v>
      </c>
      <c r="SH132" s="56"/>
      <c r="SI132" s="242">
        <f t="shared" si="922"/>
        <v>0</v>
      </c>
      <c r="SJ132" s="242">
        <f t="shared" si="923"/>
        <v>125</v>
      </c>
      <c r="SK132" s="56"/>
      <c r="SN132" s="55">
        <f t="shared" si="924"/>
        <v>46133</v>
      </c>
      <c r="SO132" s="56"/>
      <c r="SP132" s="242">
        <f>SUMPRODUCT(PRODUCE!$B141:$DY141,PRODUCE!$EB$57:$IY$57)</f>
        <v>0</v>
      </c>
      <c r="SQ132" s="56"/>
      <c r="SR132" s="242">
        <f t="shared" si="925"/>
        <v>0</v>
      </c>
      <c r="SS132" s="242">
        <f t="shared" si="926"/>
        <v>200</v>
      </c>
      <c r="ST132" s="56"/>
      <c r="SW132" s="55">
        <f t="shared" si="927"/>
        <v>46133</v>
      </c>
      <c r="SX132" s="56"/>
      <c r="SY132" s="242">
        <f>SUMPRODUCT(PRODUCE!$B141:$DY141,PRODUCE!$EB$57:$IY$57)</f>
        <v>0</v>
      </c>
      <c r="SZ132" s="56"/>
      <c r="TA132" s="242">
        <f t="shared" si="928"/>
        <v>0</v>
      </c>
      <c r="TB132" s="242">
        <f t="shared" si="929"/>
        <v>0</v>
      </c>
      <c r="TC132" s="56"/>
      <c r="TF132" s="55">
        <f t="shared" si="930"/>
        <v>46133</v>
      </c>
      <c r="TG132" s="56"/>
      <c r="TH132" s="242">
        <f>SUMPRODUCT(PRODUCE!$B141:$DY141,PRODUCE!$EB$57:$IY$57)</f>
        <v>0</v>
      </c>
      <c r="TI132" s="56"/>
      <c r="TJ132" s="242">
        <f t="shared" si="931"/>
        <v>0</v>
      </c>
      <c r="TK132" s="242">
        <f t="shared" si="932"/>
        <v>0</v>
      </c>
      <c r="TL132" s="56"/>
      <c r="TO132" s="55">
        <f t="shared" si="933"/>
        <v>46133</v>
      </c>
      <c r="TP132" s="56"/>
      <c r="TQ132" s="242">
        <f>SUMPRODUCT(PRODUCE!$B141:$DY141,PRODUCE!$EB$57:$IY$57)</f>
        <v>0</v>
      </c>
      <c r="TR132" s="56"/>
      <c r="TS132" s="242">
        <f t="shared" si="934"/>
        <v>0</v>
      </c>
      <c r="TT132" s="242">
        <f t="shared" si="935"/>
        <v>0</v>
      </c>
      <c r="TU132" s="56"/>
      <c r="TX132" s="55">
        <f t="shared" si="936"/>
        <v>46133</v>
      </c>
      <c r="TY132" s="56"/>
      <c r="TZ132" s="242">
        <f>SUMPRODUCT(PRODUCE!$B141:$DY141,PRODUCE!$EB$57:$IY$57)</f>
        <v>0</v>
      </c>
      <c r="UA132" s="56"/>
      <c r="UB132" s="242">
        <f t="shared" si="937"/>
        <v>0</v>
      </c>
      <c r="UC132" s="242">
        <f t="shared" si="938"/>
        <v>0</v>
      </c>
      <c r="UD132" s="56"/>
      <c r="UG132" s="55">
        <f t="shared" si="939"/>
        <v>46133</v>
      </c>
      <c r="UH132" s="56"/>
      <c r="UI132" s="242">
        <f>SUMPRODUCT(PRODUCE!$B141:$DY141,PRODUCE!$EB$57:$IY$57)</f>
        <v>0</v>
      </c>
      <c r="UJ132" s="56"/>
      <c r="UK132" s="242">
        <f t="shared" si="940"/>
        <v>0</v>
      </c>
      <c r="UL132" s="242">
        <f t="shared" si="941"/>
        <v>0</v>
      </c>
      <c r="UM132" s="56"/>
      <c r="UP132" s="55">
        <f t="shared" si="942"/>
        <v>46133</v>
      </c>
      <c r="UQ132" s="56"/>
      <c r="UR132" s="242">
        <f>SUMPRODUCT(PRODUCE!$B141:$DY141,PRODUCE!$EB$57:$IY$57)</f>
        <v>0</v>
      </c>
      <c r="US132" s="56"/>
      <c r="UT132" s="242">
        <f t="shared" si="943"/>
        <v>0</v>
      </c>
      <c r="UU132" s="242">
        <f t="shared" si="944"/>
        <v>0</v>
      </c>
      <c r="UV132" s="56"/>
      <c r="UY132" s="55">
        <f t="shared" si="945"/>
        <v>46133</v>
      </c>
      <c r="UZ132" s="56"/>
      <c r="VA132" s="242">
        <f>SUMPRODUCT(PRODUCE!$B141:$DY141,PRODUCE!$EB$57:$IY$57)</f>
        <v>0</v>
      </c>
      <c r="VB132" s="56"/>
      <c r="VC132" s="242">
        <f t="shared" si="946"/>
        <v>0</v>
      </c>
      <c r="VD132" s="242">
        <f t="shared" si="947"/>
        <v>41.600000000000023</v>
      </c>
      <c r="VE132" s="56"/>
      <c r="VH132" s="55">
        <f t="shared" si="948"/>
        <v>46133</v>
      </c>
      <c r="VI132" s="56"/>
      <c r="VJ132" s="242">
        <f>SUMPRODUCT(PRODUCE!$B141:$DY141,PRODUCE!$EB$57:$IY$57)</f>
        <v>0</v>
      </c>
      <c r="VK132" s="56"/>
      <c r="VL132" s="242">
        <f t="shared" si="949"/>
        <v>0</v>
      </c>
      <c r="VM132" s="242">
        <f t="shared" si="950"/>
        <v>0</v>
      </c>
      <c r="VN132" s="56"/>
      <c r="VQ132" s="55">
        <f t="shared" si="951"/>
        <v>46133</v>
      </c>
      <c r="VR132" s="56"/>
      <c r="VS132" s="242">
        <f>SUMPRODUCT(PRODUCE!$B141:$DY141,PRODUCE!$EB$57:$IY$57)</f>
        <v>0</v>
      </c>
      <c r="VT132" s="56"/>
      <c r="VU132" s="242">
        <f t="shared" si="952"/>
        <v>0</v>
      </c>
      <c r="VV132" s="242">
        <f t="shared" si="953"/>
        <v>0</v>
      </c>
      <c r="VW132" s="56"/>
      <c r="VZ132" s="55">
        <f t="shared" si="954"/>
        <v>46133</v>
      </c>
      <c r="WA132" s="56"/>
      <c r="WB132" s="242">
        <f>SUMPRODUCT(PRODUCE!$B141:$DY141,PRODUCE!$EB$57:$IY$57)</f>
        <v>0</v>
      </c>
      <c r="WC132" s="56"/>
      <c r="WD132" s="242">
        <f t="shared" si="955"/>
        <v>0</v>
      </c>
      <c r="WE132" s="242">
        <f t="shared" si="956"/>
        <v>0</v>
      </c>
      <c r="WF132" s="56"/>
      <c r="WI132" s="55">
        <f t="shared" si="957"/>
        <v>46133</v>
      </c>
      <c r="WJ132" s="56"/>
      <c r="WK132" s="242">
        <f>SUMPRODUCT(PRODUCE!$B141:$DY141,PRODUCE!$EB$57:$IY$57)</f>
        <v>0</v>
      </c>
      <c r="WL132" s="56"/>
      <c r="WM132" s="242">
        <f t="shared" si="958"/>
        <v>0</v>
      </c>
      <c r="WN132" s="242">
        <f t="shared" si="959"/>
        <v>2317</v>
      </c>
      <c r="WO132" s="56"/>
      <c r="WR132" s="55">
        <f t="shared" si="960"/>
        <v>46133</v>
      </c>
      <c r="WS132" s="56"/>
      <c r="WT132" s="242">
        <f>SUMPRODUCT(PRODUCE!$B141:$DY141,PRODUCE!$EB$57:$IY$57)</f>
        <v>0</v>
      </c>
      <c r="WU132" s="56">
        <v>1921</v>
      </c>
      <c r="WV132" s="242">
        <f t="shared" si="961"/>
        <v>-1921</v>
      </c>
      <c r="WW132" s="242">
        <f t="shared" si="962"/>
        <v>3934</v>
      </c>
      <c r="WX132" s="56"/>
      <c r="XA132" s="55">
        <f t="shared" si="963"/>
        <v>46133</v>
      </c>
      <c r="XB132" s="56"/>
      <c r="XC132" s="242">
        <f>SUMPRODUCT(PRODUCE!$B141:$DY141,PRODUCE!$EB$57:$IY$57)</f>
        <v>0</v>
      </c>
      <c r="XD132" s="56"/>
      <c r="XE132" s="242">
        <f t="shared" si="964"/>
        <v>0</v>
      </c>
      <c r="XF132" s="242">
        <f t="shared" si="965"/>
        <v>14868</v>
      </c>
      <c r="XG132" s="56"/>
      <c r="XJ132" s="55">
        <f t="shared" si="966"/>
        <v>46133</v>
      </c>
      <c r="XK132" s="56"/>
      <c r="XL132" s="242">
        <f>SUMPRODUCT(PRODUCE!$B141:$DY141,PRODUCE!$EB$57:$IY$57)</f>
        <v>0</v>
      </c>
      <c r="XM132" s="56"/>
      <c r="XN132" s="242">
        <f t="shared" si="967"/>
        <v>0</v>
      </c>
      <c r="XO132" s="242">
        <f t="shared" si="968"/>
        <v>2376</v>
      </c>
      <c r="XP132" s="56"/>
      <c r="XS132" s="55">
        <f t="shared" si="969"/>
        <v>46133</v>
      </c>
      <c r="XT132" s="56"/>
      <c r="XU132" s="242">
        <f>SUMPRODUCT(PRODUCE!$B141:$DY141,PRODUCE!$EB$57:$IY$57)</f>
        <v>0</v>
      </c>
      <c r="XV132" s="56"/>
      <c r="XW132" s="242">
        <f t="shared" si="970"/>
        <v>0</v>
      </c>
      <c r="XX132" s="242">
        <f t="shared" si="971"/>
        <v>1901</v>
      </c>
      <c r="XY132" s="56"/>
      <c r="YB132" s="55">
        <f t="shared" si="972"/>
        <v>46133</v>
      </c>
      <c r="YC132" s="56"/>
      <c r="YD132" s="242">
        <f>SUMPRODUCT(PRODUCE!$B141:$DY141,PRODUCE!$EB$57:$IY$57)</f>
        <v>0</v>
      </c>
      <c r="YE132" s="56"/>
      <c r="YF132" s="242">
        <f t="shared" si="973"/>
        <v>0</v>
      </c>
      <c r="YG132" s="242">
        <f t="shared" si="974"/>
        <v>6459</v>
      </c>
      <c r="YH132" s="56"/>
      <c r="YK132" s="55">
        <f t="shared" si="975"/>
        <v>46133</v>
      </c>
      <c r="YL132" s="56"/>
      <c r="YM132" s="242">
        <f>SUMPRODUCT(PRODUCE!$B141:$DY141,PRODUCE!$EB$57:$IY$57)</f>
        <v>0</v>
      </c>
      <c r="YN132" s="56"/>
      <c r="YO132" s="242">
        <f t="shared" si="976"/>
        <v>0</v>
      </c>
      <c r="YP132" s="242">
        <f t="shared" si="977"/>
        <v>0</v>
      </c>
      <c r="YQ132" s="56"/>
      <c r="YT132" s="55">
        <f t="shared" si="978"/>
        <v>46133</v>
      </c>
      <c r="YU132" s="56"/>
      <c r="YV132" s="242">
        <f>SUMPRODUCT(PRODUCE!$B141:$DY141,PRODUCE!$EB$57:$IY$57)</f>
        <v>0</v>
      </c>
      <c r="YW132" s="56"/>
      <c r="YX132" s="242">
        <f t="shared" si="979"/>
        <v>0</v>
      </c>
      <c r="YY132" s="242">
        <f t="shared" si="980"/>
        <v>0</v>
      </c>
      <c r="YZ132" s="56"/>
      <c r="ZC132" s="55">
        <f t="shared" si="981"/>
        <v>46133</v>
      </c>
      <c r="ZD132" s="56"/>
      <c r="ZE132" s="242">
        <f>SUMPRODUCT(PRODUCE!$B141:$DY141,PRODUCE!$EB$57:$IY$57)</f>
        <v>0</v>
      </c>
      <c r="ZF132" s="56"/>
      <c r="ZG132" s="242">
        <f t="shared" si="982"/>
        <v>0</v>
      </c>
      <c r="ZH132" s="242">
        <f t="shared" si="983"/>
        <v>0</v>
      </c>
      <c r="ZI132" s="56"/>
      <c r="ZL132" s="55">
        <f t="shared" si="984"/>
        <v>46133</v>
      </c>
      <c r="ZM132" s="56"/>
      <c r="ZN132" s="242">
        <f>SUMPRODUCT(PRODUCE!$B141:$DY141,PRODUCE!$EB$57:$IY$57)</f>
        <v>0</v>
      </c>
      <c r="ZO132" s="56"/>
      <c r="ZP132" s="242">
        <f t="shared" si="985"/>
        <v>0</v>
      </c>
      <c r="ZQ132" s="242">
        <f t="shared" si="986"/>
        <v>0</v>
      </c>
      <c r="ZR132" s="56"/>
      <c r="ZU132" s="55">
        <f t="shared" si="987"/>
        <v>46133</v>
      </c>
      <c r="ZV132" s="56"/>
      <c r="ZW132" s="242">
        <f>SUMPRODUCT(PRODUCE!$B141:$DY141,PRODUCE!$EB$57:$IY$57)</f>
        <v>0</v>
      </c>
      <c r="ZX132" s="56"/>
      <c r="ZY132" s="242">
        <f t="shared" si="988"/>
        <v>0</v>
      </c>
      <c r="ZZ132" s="242">
        <f t="shared" si="989"/>
        <v>0</v>
      </c>
      <c r="AAA132" s="56"/>
      <c r="AAD132" s="55">
        <f t="shared" si="990"/>
        <v>46133</v>
      </c>
      <c r="AAE132" s="56"/>
      <c r="AAF132" s="242">
        <f>SUMPRODUCT(PRODUCE!$B141:$DY141,PRODUCE!$EB$57:$IY$57)</f>
        <v>0</v>
      </c>
      <c r="AAG132" s="56"/>
      <c r="AAH132" s="242">
        <f t="shared" si="991"/>
        <v>0</v>
      </c>
      <c r="AAI132" s="242">
        <f t="shared" si="992"/>
        <v>0</v>
      </c>
      <c r="AAJ132" s="56"/>
      <c r="AAM132" s="55">
        <f t="shared" si="993"/>
        <v>46133</v>
      </c>
      <c r="AAN132" s="56"/>
      <c r="AAO132" s="242">
        <f>SUMPRODUCT(PRODUCE!$B141:$DY141,PRODUCE!$EB$57:$IY$57)</f>
        <v>0</v>
      </c>
      <c r="AAP132" s="56"/>
      <c r="AAQ132" s="242">
        <f t="shared" si="994"/>
        <v>0</v>
      </c>
      <c r="AAR132" s="242">
        <f t="shared" si="995"/>
        <v>0</v>
      </c>
      <c r="AAS132" s="56"/>
      <c r="AAV132" s="55">
        <f t="shared" si="996"/>
        <v>46133</v>
      </c>
      <c r="AAW132" s="56"/>
      <c r="AAX132" s="242">
        <f>SUMPRODUCT(PRODUCE!$B141:$DY141,PRODUCE!$EB$57:$IY$57)</f>
        <v>0</v>
      </c>
      <c r="AAY132" s="56"/>
      <c r="AAZ132" s="242">
        <f t="shared" si="997"/>
        <v>0</v>
      </c>
      <c r="ABA132" s="242">
        <f t="shared" si="998"/>
        <v>0</v>
      </c>
      <c r="ABB132" s="56"/>
      <c r="ABE132" s="55">
        <f t="shared" si="999"/>
        <v>46133</v>
      </c>
      <c r="ABF132" s="56"/>
      <c r="ABG132" s="242">
        <f>SUMPRODUCT(PRODUCE!$B141:$DY141,PRODUCE!$EB$57:$IY$57)</f>
        <v>0</v>
      </c>
      <c r="ABH132" s="56"/>
      <c r="ABI132" s="242">
        <f t="shared" si="1000"/>
        <v>0</v>
      </c>
      <c r="ABJ132" s="242">
        <f t="shared" si="1001"/>
        <v>0</v>
      </c>
      <c r="ABK132" s="56"/>
    </row>
    <row r="133" spans="1:739" s="54" customFormat="1" ht="15" customHeight="1" outlineLevel="1">
      <c r="B133" s="478"/>
      <c r="C133" s="55">
        <v>46134</v>
      </c>
      <c r="D133" s="422">
        <v>91450</v>
      </c>
      <c r="E133" s="423">
        <f>SUMPRODUCT(PRODUCE!$B142:$DY142,PRODUCE!$EB$7:$IY$7)</f>
        <v>0</v>
      </c>
      <c r="F133" s="422"/>
      <c r="G133" s="423">
        <f t="shared" si="1002"/>
        <v>0</v>
      </c>
      <c r="H133" s="423">
        <f t="shared" si="1003"/>
        <v>189430.80000000002</v>
      </c>
      <c r="I133" s="289"/>
      <c r="L133" s="55">
        <f t="shared" si="759"/>
        <v>46134</v>
      </c>
      <c r="M133" s="422">
        <v>21300</v>
      </c>
      <c r="N133" s="438">
        <f>SUMPRODUCT(PRODUCE!$B142:$DY142,PRODUCE!$EB$8:$IY$8)</f>
        <v>0</v>
      </c>
      <c r="O133" s="422"/>
      <c r="P133" s="438">
        <f t="shared" si="760"/>
        <v>0</v>
      </c>
      <c r="Q133" s="438">
        <f t="shared" si="761"/>
        <v>75867.400000000111</v>
      </c>
      <c r="R133" s="56"/>
      <c r="U133" s="55">
        <f t="shared" si="762"/>
        <v>46134</v>
      </c>
      <c r="V133" s="422"/>
      <c r="W133" s="440">
        <f>SUMPRODUCT(PRODUCE!$B142:$DY142,PRODUCE!$EB$9:$IY$9)</f>
        <v>0</v>
      </c>
      <c r="X133" s="422"/>
      <c r="Y133" s="440">
        <f t="shared" si="763"/>
        <v>0</v>
      </c>
      <c r="Z133" s="440">
        <f t="shared" si="764"/>
        <v>28364.099999999969</v>
      </c>
      <c r="AA133" s="56"/>
      <c r="AD133" s="55">
        <f t="shared" si="765"/>
        <v>46134</v>
      </c>
      <c r="AE133" s="422"/>
      <c r="AF133" s="442">
        <f>SUMPRODUCT(PRODUCE!$B142:$DY142,PRODUCE!$EB$10:$IY$10)</f>
        <v>0</v>
      </c>
      <c r="AG133" s="422"/>
      <c r="AH133" s="442">
        <f t="shared" si="766"/>
        <v>0</v>
      </c>
      <c r="AI133" s="442">
        <f t="shared" si="767"/>
        <v>31032.90000000002</v>
      </c>
      <c r="AJ133" s="56"/>
      <c r="AM133" s="55">
        <f t="shared" si="768"/>
        <v>46134</v>
      </c>
      <c r="AN133" s="422"/>
      <c r="AO133" s="444">
        <f>SUMPRODUCT(PRODUCE!$B142:$DY142,PRODUCE!$EB$11:$IY$11)</f>
        <v>0</v>
      </c>
      <c r="AP133" s="422"/>
      <c r="AQ133" s="444">
        <f t="shared" si="769"/>
        <v>0</v>
      </c>
      <c r="AR133" s="444">
        <f t="shared" si="770"/>
        <v>0</v>
      </c>
      <c r="AS133" s="56"/>
      <c r="AV133" s="55">
        <f t="shared" si="771"/>
        <v>46134</v>
      </c>
      <c r="AW133" s="422"/>
      <c r="AX133" s="446">
        <f>SUMPRODUCT(PRODUCE!$B142:$DY142,PRODUCE!$EB$12:$IY$12)</f>
        <v>0</v>
      </c>
      <c r="AY133" s="422"/>
      <c r="AZ133" s="446">
        <f t="shared" si="772"/>
        <v>0</v>
      </c>
      <c r="BA133" s="446">
        <f t="shared" si="773"/>
        <v>10906.499999999993</v>
      </c>
      <c r="BB133" s="56"/>
      <c r="BE133" s="55">
        <f t="shared" si="774"/>
        <v>46134</v>
      </c>
      <c r="BF133" s="422"/>
      <c r="BG133" s="448">
        <f>SUMPRODUCT(PRODUCE!$B142:$DY142,PRODUCE!$EB$13:$IY$13)</f>
        <v>0</v>
      </c>
      <c r="BH133" s="422"/>
      <c r="BI133" s="448">
        <f t="shared" si="775"/>
        <v>0</v>
      </c>
      <c r="BJ133" s="448">
        <f t="shared" si="776"/>
        <v>43278.599999999991</v>
      </c>
      <c r="BK133" s="56"/>
      <c r="BN133" s="55">
        <f t="shared" si="777"/>
        <v>46134</v>
      </c>
      <c r="BO133" s="422"/>
      <c r="BP133" s="450">
        <f>SUMPRODUCT(PRODUCE!$B142:$DY142,PRODUCE!$EB$14:$IY$14)</f>
        <v>0</v>
      </c>
      <c r="BQ133" s="422"/>
      <c r="BR133" s="450">
        <f t="shared" si="778"/>
        <v>0</v>
      </c>
      <c r="BS133" s="450">
        <f t="shared" si="779"/>
        <v>0</v>
      </c>
      <c r="BT133" s="56"/>
      <c r="BW133" s="55">
        <f t="shared" si="780"/>
        <v>46134</v>
      </c>
      <c r="BX133" s="56"/>
      <c r="BY133" s="65">
        <f>SUMPRODUCT(PRODUCE!$B142:$DY142,PRODUCE!$EB$15:$IY$15)</f>
        <v>0</v>
      </c>
      <c r="BZ133" s="56"/>
      <c r="CA133" s="65">
        <f t="shared" si="781"/>
        <v>0</v>
      </c>
      <c r="CB133" s="65">
        <f t="shared" si="782"/>
        <v>6411.7999999999993</v>
      </c>
      <c r="CC133" s="56"/>
      <c r="CF133" s="55">
        <f t="shared" si="783"/>
        <v>46134</v>
      </c>
      <c r="CG133" s="56"/>
      <c r="CH133" s="66">
        <f>SUMPRODUCT(PRODUCE!$B142:$DY142,PRODUCE!$EB$16:$IY$16)</f>
        <v>0</v>
      </c>
      <c r="CI133" s="56"/>
      <c r="CJ133" s="66">
        <f t="shared" si="784"/>
        <v>0</v>
      </c>
      <c r="CK133" s="66">
        <f t="shared" si="785"/>
        <v>0</v>
      </c>
      <c r="CL133" s="56"/>
      <c r="CO133" s="55">
        <f t="shared" si="786"/>
        <v>46134</v>
      </c>
      <c r="CP133" s="422"/>
      <c r="CQ133" s="470">
        <f>SUMPRODUCT(PRODUCE!$B142:$DY142,PRODUCE!$EB$17:$IY$17)</f>
        <v>0</v>
      </c>
      <c r="CR133" s="422"/>
      <c r="CS133" s="470">
        <f t="shared" si="787"/>
        <v>0</v>
      </c>
      <c r="CT133" s="470">
        <f t="shared" si="788"/>
        <v>0</v>
      </c>
      <c r="CU133" s="56"/>
      <c r="CX133" s="55">
        <f t="shared" si="789"/>
        <v>46134</v>
      </c>
      <c r="CY133" s="56"/>
      <c r="CZ133" s="133">
        <f>SUMPRODUCT(PRODUCE!$B142:$DY142,PRODUCE!$EB$18:$IY$18)</f>
        <v>0</v>
      </c>
      <c r="DA133" s="56"/>
      <c r="DB133" s="133">
        <f t="shared" si="790"/>
        <v>0</v>
      </c>
      <c r="DC133" s="133">
        <f t="shared" si="791"/>
        <v>6980.9000000000051</v>
      </c>
      <c r="DD133" s="56"/>
      <c r="DG133" s="55">
        <f t="shared" si="792"/>
        <v>46134</v>
      </c>
      <c r="DH133" s="56">
        <v>10860</v>
      </c>
      <c r="DI133" s="147">
        <f>SUMPRODUCT(PRODUCE!$B142:$DY142,PRODUCE!$EB$19:$IY$19)</f>
        <v>0</v>
      </c>
      <c r="DJ133" s="56"/>
      <c r="DK133" s="147">
        <f t="shared" si="793"/>
        <v>0</v>
      </c>
      <c r="DL133" s="147">
        <f t="shared" si="794"/>
        <v>20770.799999999992</v>
      </c>
      <c r="DM133" s="56"/>
      <c r="DP133" s="55">
        <f t="shared" si="795"/>
        <v>46134</v>
      </c>
      <c r="DQ133" s="56"/>
      <c r="DR133" s="57">
        <f>SUMPRODUCT(PRODUCE!$B142:$DY142,PRODUCE!$EB$20:$IY$20)</f>
        <v>0</v>
      </c>
      <c r="DS133" s="56"/>
      <c r="DT133" s="57">
        <f t="shared" si="796"/>
        <v>0</v>
      </c>
      <c r="DU133" s="57">
        <f t="shared" si="797"/>
        <v>5800</v>
      </c>
      <c r="DV133" s="56"/>
      <c r="DY133" s="55">
        <f t="shared" si="798"/>
        <v>46134</v>
      </c>
      <c r="DZ133" s="56"/>
      <c r="EA133" s="157">
        <f>SUMPRODUCT(PRODUCE!$B142:$DY142,PRODUCE!$EB$21:$IY$21)</f>
        <v>0</v>
      </c>
      <c r="EB133" s="56"/>
      <c r="EC133" s="157">
        <f t="shared" si="799"/>
        <v>0</v>
      </c>
      <c r="ED133" s="157">
        <f t="shared" si="800"/>
        <v>147.30000000000018</v>
      </c>
      <c r="EE133" s="56"/>
      <c r="EH133" s="55">
        <f t="shared" si="801"/>
        <v>46134</v>
      </c>
      <c r="EI133" s="56"/>
      <c r="EJ133" s="162">
        <f>SUMPRODUCT(PRODUCE!$B142:$DY142,PRODUCE!$EB$22:$IY$22)</f>
        <v>0</v>
      </c>
      <c r="EK133" s="56"/>
      <c r="EL133" s="162">
        <f t="shared" si="802"/>
        <v>0</v>
      </c>
      <c r="EM133" s="162">
        <f t="shared" si="803"/>
        <v>0</v>
      </c>
      <c r="EN133" s="56"/>
      <c r="EQ133" s="55">
        <f t="shared" si="804"/>
        <v>46134</v>
      </c>
      <c r="ER133" s="56"/>
      <c r="ES133" s="135">
        <f>SUMPRODUCT(PRODUCE!$B142:$DY142,PRODUCE!$EB$23:$IY$23)</f>
        <v>0</v>
      </c>
      <c r="ET133" s="56"/>
      <c r="EU133" s="135">
        <f t="shared" si="805"/>
        <v>0</v>
      </c>
      <c r="EV133" s="135">
        <f t="shared" si="806"/>
        <v>0</v>
      </c>
      <c r="EW133" s="56"/>
      <c r="EZ133" s="55">
        <f t="shared" si="807"/>
        <v>46134</v>
      </c>
      <c r="FA133" s="56"/>
      <c r="FB133" s="175">
        <f>SUMPRODUCT(PRODUCE!$B142:$DY142,PRODUCE!$EB$24:$IY$24)</f>
        <v>0</v>
      </c>
      <c r="FC133" s="56"/>
      <c r="FD133" s="175">
        <f t="shared" si="808"/>
        <v>0</v>
      </c>
      <c r="FE133" s="175">
        <f t="shared" si="809"/>
        <v>0</v>
      </c>
      <c r="FF133" s="56"/>
      <c r="FI133" s="55">
        <f t="shared" si="810"/>
        <v>46134</v>
      </c>
      <c r="FJ133" s="56"/>
      <c r="FK133" s="183">
        <f>SUMPRODUCT(PRODUCE!$B142:$DY142,PRODUCE!$EB$25:$IY$25)</f>
        <v>0</v>
      </c>
      <c r="FL133" s="56"/>
      <c r="FM133" s="183">
        <f t="shared" si="811"/>
        <v>0</v>
      </c>
      <c r="FN133" s="183">
        <f t="shared" si="812"/>
        <v>0</v>
      </c>
      <c r="FO133" s="56"/>
      <c r="FR133" s="55">
        <f t="shared" si="813"/>
        <v>46134</v>
      </c>
      <c r="FS133" s="422"/>
      <c r="FT133" s="452">
        <f>SUMPRODUCT(PRODUCE!$B142:$DY142,PRODUCE!$EB$26:$IY$26)</f>
        <v>0</v>
      </c>
      <c r="FU133" s="422"/>
      <c r="FV133" s="452">
        <f t="shared" si="814"/>
        <v>0</v>
      </c>
      <c r="FW133" s="452">
        <f t="shared" si="815"/>
        <v>2120</v>
      </c>
      <c r="FX133" s="56"/>
      <c r="GA133" s="55">
        <f t="shared" si="816"/>
        <v>46134</v>
      </c>
      <c r="GB133" s="422"/>
      <c r="GC133" s="454">
        <f>SUMPRODUCT(PRODUCE!$B142:$DY142,PRODUCE!$EB$27:$IY$27)</f>
        <v>0</v>
      </c>
      <c r="GD133" s="422"/>
      <c r="GE133" s="454">
        <f t="shared" si="817"/>
        <v>0</v>
      </c>
      <c r="GF133" s="454">
        <f t="shared" si="818"/>
        <v>6800</v>
      </c>
      <c r="GG133" s="56"/>
      <c r="GI133" s="23"/>
      <c r="GJ133" s="55">
        <f t="shared" si="819"/>
        <v>46134</v>
      </c>
      <c r="GK133" s="422"/>
      <c r="GL133" s="456">
        <f>SUMPRODUCT(PRODUCE!$B142:$DY142,PRODUCE!$EB$28:$IY$28)</f>
        <v>0</v>
      </c>
      <c r="GM133" s="422"/>
      <c r="GN133" s="456">
        <f t="shared" si="820"/>
        <v>0</v>
      </c>
      <c r="GO133" s="456">
        <f t="shared" si="821"/>
        <v>4800</v>
      </c>
      <c r="GP133" s="56"/>
      <c r="GS133" s="55">
        <f t="shared" si="822"/>
        <v>46134</v>
      </c>
      <c r="GT133" s="56"/>
      <c r="GU133" s="195">
        <f>SUMPRODUCT(PRODUCE!$B142:$DY142,PRODUCE!$EB$29:$IY$29)</f>
        <v>0</v>
      </c>
      <c r="GV133" s="56"/>
      <c r="GW133" s="195">
        <f t="shared" si="823"/>
        <v>0</v>
      </c>
      <c r="GX133" s="195">
        <f t="shared" si="824"/>
        <v>0</v>
      </c>
      <c r="GY133" s="56"/>
      <c r="HB133" s="55">
        <f t="shared" si="825"/>
        <v>46134</v>
      </c>
      <c r="HC133" s="56"/>
      <c r="HD133" s="191">
        <f>SUMPRODUCT(PRODUCE!$B142:$DY142,PRODUCE!$EB$30:$IY$30)</f>
        <v>0</v>
      </c>
      <c r="HE133" s="56"/>
      <c r="HF133" s="191">
        <f t="shared" si="826"/>
        <v>0</v>
      </c>
      <c r="HG133" s="191">
        <f t="shared" si="827"/>
        <v>0</v>
      </c>
      <c r="HH133" s="56"/>
      <c r="HK133" s="55">
        <f t="shared" si="828"/>
        <v>46134</v>
      </c>
      <c r="HL133" s="56"/>
      <c r="HM133" s="63">
        <f>SUMPRODUCT(PRODUCE!$B142:$DY142,PRODUCE!$EB$31:$IY$31)</f>
        <v>0</v>
      </c>
      <c r="HN133" s="56"/>
      <c r="HO133" s="63">
        <f t="shared" si="829"/>
        <v>0</v>
      </c>
      <c r="HP133" s="63">
        <f t="shared" si="830"/>
        <v>0</v>
      </c>
      <c r="HQ133" s="56"/>
      <c r="HU133" s="55">
        <f t="shared" si="831"/>
        <v>46134</v>
      </c>
      <c r="HV133" s="56"/>
      <c r="HW133" s="242">
        <f>SUMPRODUCT(PRODUCE!$B142:$DY142,PRODUCE!$EB$32:$IY$32)</f>
        <v>0</v>
      </c>
      <c r="HX133" s="56"/>
      <c r="HY133" s="242">
        <f t="shared" si="832"/>
        <v>0</v>
      </c>
      <c r="HZ133" s="242">
        <f t="shared" si="833"/>
        <v>5120</v>
      </c>
      <c r="IA133" s="56"/>
      <c r="ID133" s="55">
        <f t="shared" si="834"/>
        <v>46134</v>
      </c>
      <c r="IE133" s="56"/>
      <c r="IF133" s="242">
        <f>SUMPRODUCT(PRODUCE!$B142:$DY142,PRODUCE!$EB$33:$IY$33)</f>
        <v>0</v>
      </c>
      <c r="IG133" s="56"/>
      <c r="IH133" s="242">
        <f t="shared" si="835"/>
        <v>0</v>
      </c>
      <c r="II133" s="242">
        <f t="shared" si="836"/>
        <v>6540</v>
      </c>
      <c r="IJ133" s="56"/>
      <c r="IM133" s="55">
        <f t="shared" si="837"/>
        <v>46134</v>
      </c>
      <c r="IN133" s="56"/>
      <c r="IO133" s="242">
        <f>SUMPRODUCT(PRODUCE!$B142:$DY142,PRODUCE!$EB$34:$IY$34)</f>
        <v>0</v>
      </c>
      <c r="IP133" s="56"/>
      <c r="IQ133" s="242">
        <f t="shared" si="838"/>
        <v>0</v>
      </c>
      <c r="IR133" s="242">
        <f t="shared" si="839"/>
        <v>11540</v>
      </c>
      <c r="IS133" s="56"/>
      <c r="IV133" s="55">
        <f t="shared" si="840"/>
        <v>46134</v>
      </c>
      <c r="IW133" s="56"/>
      <c r="IX133" s="242">
        <f>SUMPRODUCT(PRODUCE!$B142:$DY142,PRODUCE!$EB$35:$IY$35)</f>
        <v>0</v>
      </c>
      <c r="IY133" s="56"/>
      <c r="IZ133" s="242">
        <f t="shared" si="841"/>
        <v>0</v>
      </c>
      <c r="JA133" s="242">
        <f t="shared" si="842"/>
        <v>15120</v>
      </c>
      <c r="JB133" s="56"/>
      <c r="JE133" s="55">
        <f t="shared" si="843"/>
        <v>46134</v>
      </c>
      <c r="JF133" s="56"/>
      <c r="JG133" s="242">
        <f>SUMPRODUCT(PRODUCE!$B142:$DY142,PRODUCE!$EB$36:$IY$36)</f>
        <v>0</v>
      </c>
      <c r="JH133" s="56"/>
      <c r="JI133" s="242">
        <f t="shared" si="844"/>
        <v>0</v>
      </c>
      <c r="JJ133" s="242">
        <f t="shared" si="845"/>
        <v>5040</v>
      </c>
      <c r="JK133" s="56"/>
      <c r="JN133" s="55">
        <f t="shared" si="846"/>
        <v>46134</v>
      </c>
      <c r="JO133" s="56"/>
      <c r="JP133" s="242">
        <f>SUMPRODUCT(PRODUCE!$B142:$DY142,PRODUCE!$EB$37:$IY$37)</f>
        <v>0</v>
      </c>
      <c r="JQ133" s="56"/>
      <c r="JR133" s="242">
        <f t="shared" si="847"/>
        <v>0</v>
      </c>
      <c r="JS133" s="242">
        <f t="shared" si="848"/>
        <v>9100</v>
      </c>
      <c r="JT133" s="56"/>
      <c r="JW133" s="55">
        <f t="shared" si="849"/>
        <v>46134</v>
      </c>
      <c r="JX133" s="56"/>
      <c r="JY133" s="242">
        <f>SUMPRODUCT(PRODUCE!$B142:$DY142,PRODUCE!$EB$38:$IY$38)</f>
        <v>0</v>
      </c>
      <c r="JZ133" s="56"/>
      <c r="KA133" s="242">
        <f t="shared" si="850"/>
        <v>0</v>
      </c>
      <c r="KB133" s="242">
        <f t="shared" si="851"/>
        <v>2540</v>
      </c>
      <c r="KC133" s="56"/>
      <c r="KF133" s="55">
        <f t="shared" si="852"/>
        <v>46134</v>
      </c>
      <c r="KG133" s="56"/>
      <c r="KH133" s="242">
        <f>SUMPRODUCT(PRODUCE!$B142:$DY142,PRODUCE!$EB$39:$IY$39)</f>
        <v>0</v>
      </c>
      <c r="KI133" s="56"/>
      <c r="KJ133" s="242">
        <f t="shared" si="853"/>
        <v>0</v>
      </c>
      <c r="KK133" s="242">
        <f t="shared" si="854"/>
        <v>19.5</v>
      </c>
      <c r="KL133" s="56"/>
      <c r="KO133" s="55">
        <f t="shared" si="855"/>
        <v>46134</v>
      </c>
      <c r="KP133" s="56"/>
      <c r="KQ133" s="242">
        <f>SUMPRODUCT(PRODUCE!$B142:$DY142,PRODUCE!$EB$40:$IY$40)</f>
        <v>0</v>
      </c>
      <c r="KR133" s="56"/>
      <c r="KS133" s="242">
        <f t="shared" si="856"/>
        <v>0</v>
      </c>
      <c r="KT133" s="242">
        <f t="shared" si="857"/>
        <v>3817.7999999999997</v>
      </c>
      <c r="KU133" s="56"/>
      <c r="KW133" s="23"/>
      <c r="KX133" s="55">
        <f t="shared" si="858"/>
        <v>46134</v>
      </c>
      <c r="KY133" s="56"/>
      <c r="KZ133" s="242">
        <f>SUMPRODUCT(PRODUCE!$B142:$DY142,PRODUCE!$EB$41:$IY$41)</f>
        <v>0</v>
      </c>
      <c r="LA133" s="56"/>
      <c r="LB133" s="242">
        <f t="shared" si="859"/>
        <v>0</v>
      </c>
      <c r="LC133" s="242">
        <f t="shared" si="860"/>
        <v>3690</v>
      </c>
      <c r="LD133" s="56"/>
      <c r="LG133" s="55">
        <f t="shared" si="861"/>
        <v>46134</v>
      </c>
      <c r="LH133" s="56"/>
      <c r="LI133" s="242">
        <f>SUMPRODUCT(PRODUCE!$B142:$DY142,PRODUCE!$EB$42:$IY$42)</f>
        <v>0</v>
      </c>
      <c r="LJ133" s="56"/>
      <c r="LK133" s="242">
        <f t="shared" si="862"/>
        <v>0</v>
      </c>
      <c r="LL133" s="242">
        <f t="shared" si="863"/>
        <v>4000</v>
      </c>
      <c r="LM133" s="56"/>
      <c r="LP133" s="55">
        <f t="shared" si="864"/>
        <v>46134</v>
      </c>
      <c r="LQ133" s="56"/>
      <c r="LR133" s="242">
        <f>SUMPRODUCT(PRODUCE!$B148:$DY148,PRODUCE!$EB$43:$IY$43)</f>
        <v>0</v>
      </c>
      <c r="LS133" s="56"/>
      <c r="LT133" s="242">
        <f t="shared" si="865"/>
        <v>0</v>
      </c>
      <c r="LU133" s="242">
        <f t="shared" si="866"/>
        <v>0</v>
      </c>
      <c r="LV133" s="56"/>
      <c r="LY133" s="55">
        <f t="shared" si="867"/>
        <v>46134</v>
      </c>
      <c r="LZ133" s="56"/>
      <c r="MA133" s="242">
        <f>SUMPRODUCT(PRODUCE!$B142:$DY142,PRODUCE!$EB$44:$IY$44)</f>
        <v>0</v>
      </c>
      <c r="MB133" s="56"/>
      <c r="MC133" s="242">
        <f t="shared" si="868"/>
        <v>0</v>
      </c>
      <c r="MD133" s="242">
        <f t="shared" si="869"/>
        <v>0</v>
      </c>
      <c r="ME133" s="56"/>
      <c r="MH133" s="55">
        <f t="shared" si="870"/>
        <v>46134</v>
      </c>
      <c r="MI133" s="56"/>
      <c r="MJ133" s="242">
        <f>SUMPRODUCT(PRODUCE!$B142:$DY142,PRODUCE!$EB$45:$IY$45)</f>
        <v>0</v>
      </c>
      <c r="MK133" s="56"/>
      <c r="ML133" s="242">
        <f t="shared" si="871"/>
        <v>0</v>
      </c>
      <c r="MM133" s="242">
        <f t="shared" si="872"/>
        <v>0</v>
      </c>
      <c r="MN133" s="56"/>
      <c r="MQ133" s="55">
        <f t="shared" si="873"/>
        <v>46134</v>
      </c>
      <c r="MR133" s="56"/>
      <c r="MS133" s="242">
        <f>SUMPRODUCT(PRODUCE!$B142:$DY142,PRODUCE!$EB$46:$IY$46)</f>
        <v>0</v>
      </c>
      <c r="MT133" s="56"/>
      <c r="MU133" s="242">
        <f t="shared" si="874"/>
        <v>0</v>
      </c>
      <c r="MV133" s="242">
        <f t="shared" si="875"/>
        <v>4069</v>
      </c>
      <c r="MW133" s="56"/>
      <c r="MZ133" s="55">
        <f t="shared" si="876"/>
        <v>46134</v>
      </c>
      <c r="NA133" s="56"/>
      <c r="NB133" s="242">
        <f>SUMPRODUCT(PRODUCE!$B142:$DY142,PRODUCE!$EB$47:$IY$47)</f>
        <v>0</v>
      </c>
      <c r="NC133" s="56"/>
      <c r="ND133" s="242">
        <f t="shared" si="877"/>
        <v>0</v>
      </c>
      <c r="NE133" s="242">
        <f t="shared" si="878"/>
        <v>0</v>
      </c>
      <c r="NF133" s="56"/>
      <c r="NI133" s="55">
        <f t="shared" si="879"/>
        <v>46134</v>
      </c>
      <c r="NJ133" s="56"/>
      <c r="NK133" s="242">
        <f>SUMPRODUCT(PRODUCE!$B142:$DY142,PRODUCE!$EB$48:$IY$48)</f>
        <v>0</v>
      </c>
      <c r="NL133" s="56"/>
      <c r="NM133" s="242">
        <f t="shared" si="880"/>
        <v>0</v>
      </c>
      <c r="NN133" s="242">
        <f t="shared" si="881"/>
        <v>1229</v>
      </c>
      <c r="NO133" s="56"/>
      <c r="NR133" s="55">
        <f t="shared" si="882"/>
        <v>46134</v>
      </c>
      <c r="NS133" s="56"/>
      <c r="NT133" s="242">
        <f>SUMPRODUCT(PRODUCE!$B142:$DY142,PRODUCE!$EB$49:$IY$49)</f>
        <v>0</v>
      </c>
      <c r="NU133" s="56"/>
      <c r="NV133" s="242">
        <f t="shared" si="883"/>
        <v>0</v>
      </c>
      <c r="NW133" s="242">
        <f t="shared" si="884"/>
        <v>3233.2999999999997</v>
      </c>
      <c r="NX133" s="56"/>
      <c r="OA133" s="55">
        <f t="shared" si="885"/>
        <v>46134</v>
      </c>
      <c r="OB133" s="56"/>
      <c r="OC133" s="242">
        <f>SUMPRODUCT(PRODUCE!$B142:$DY142,PRODUCE!$EB$50:$IY$50)</f>
        <v>0</v>
      </c>
      <c r="OD133" s="56"/>
      <c r="OE133" s="242">
        <f t="shared" si="886"/>
        <v>0</v>
      </c>
      <c r="OF133" s="242">
        <f t="shared" si="887"/>
        <v>1680.5</v>
      </c>
      <c r="OG133" s="56"/>
      <c r="OJ133" s="55">
        <f t="shared" si="888"/>
        <v>46134</v>
      </c>
      <c r="OK133" s="56"/>
      <c r="OL133" s="242">
        <f>SUMPRODUCT(PRODUCE!$B142:$DY142,PRODUCE!$EB$51:$IY$51)</f>
        <v>0</v>
      </c>
      <c r="OM133" s="56"/>
      <c r="ON133" s="242">
        <f t="shared" si="889"/>
        <v>0</v>
      </c>
      <c r="OO133" s="242">
        <f t="shared" si="890"/>
        <v>0</v>
      </c>
      <c r="OP133" s="56"/>
      <c r="OS133" s="55">
        <f t="shared" si="891"/>
        <v>46134</v>
      </c>
      <c r="OT133" s="56"/>
      <c r="OU133" s="242">
        <f>SUMPRODUCT(PRODUCE!$B142:$DY142,PRODUCE!$EB$52:$IY$52)</f>
        <v>0</v>
      </c>
      <c r="OV133" s="56"/>
      <c r="OW133" s="242">
        <f t="shared" si="892"/>
        <v>0</v>
      </c>
      <c r="OX133" s="242">
        <f t="shared" si="893"/>
        <v>1000</v>
      </c>
      <c r="OY133" s="56"/>
      <c r="PB133" s="55">
        <f t="shared" si="894"/>
        <v>46134</v>
      </c>
      <c r="PC133" s="56"/>
      <c r="PD133" s="242">
        <f>SUMPRODUCT(PRODUCE!$B142:$DY142,PRODUCE!$EB$53:$IY$53)</f>
        <v>0</v>
      </c>
      <c r="PE133" s="56"/>
      <c r="PF133" s="242">
        <f t="shared" si="895"/>
        <v>0</v>
      </c>
      <c r="PG133" s="242">
        <f t="shared" si="896"/>
        <v>0</v>
      </c>
      <c r="PH133" s="56"/>
      <c r="PK133" s="55">
        <f t="shared" si="897"/>
        <v>46134</v>
      </c>
      <c r="PL133" s="56"/>
      <c r="PM133" s="242">
        <f>SUMPRODUCT(PRODUCE!$B142:$DY142,PRODUCE!$EB$54:$IY$54)</f>
        <v>0</v>
      </c>
      <c r="PN133" s="56"/>
      <c r="PO133" s="242">
        <f t="shared" si="898"/>
        <v>0</v>
      </c>
      <c r="PP133" s="242">
        <f t="shared" si="899"/>
        <v>100</v>
      </c>
      <c r="PQ133" s="56"/>
      <c r="PT133" s="55">
        <f t="shared" si="900"/>
        <v>46134</v>
      </c>
      <c r="PU133" s="56"/>
      <c r="PV133" s="242">
        <f>SUMPRODUCT(PRODUCE!$B142:$DY142,PRODUCE!$EB$55:$IY$55)</f>
        <v>0</v>
      </c>
      <c r="PW133" s="56"/>
      <c r="PX133" s="242">
        <f t="shared" si="901"/>
        <v>0</v>
      </c>
      <c r="PY133" s="242">
        <f t="shared" si="902"/>
        <v>13.960000000000036</v>
      </c>
      <c r="PZ133" s="56"/>
      <c r="QC133" s="55">
        <f t="shared" si="903"/>
        <v>46134</v>
      </c>
      <c r="QD133" s="56"/>
      <c r="QE133" s="242">
        <f>SUMPRODUCT(PRODUCE!$B142:$DY142,PRODUCE!$EB$56:$IY$56)</f>
        <v>0</v>
      </c>
      <c r="QF133" s="56"/>
      <c r="QG133" s="242">
        <f t="shared" si="904"/>
        <v>0</v>
      </c>
      <c r="QH133" s="242">
        <f t="shared" si="905"/>
        <v>1212</v>
      </c>
      <c r="QI133" s="56"/>
      <c r="QL133" s="55">
        <f t="shared" si="906"/>
        <v>46134</v>
      </c>
      <c r="QM133" s="56"/>
      <c r="QN133" s="242">
        <f>SUMPRODUCT(PRODUCE!$B142:$DY142,PRODUCE!$EB$57:$IY$57)</f>
        <v>0</v>
      </c>
      <c r="QO133" s="56"/>
      <c r="QP133" s="242">
        <f t="shared" si="907"/>
        <v>0</v>
      </c>
      <c r="QQ133" s="242">
        <f t="shared" si="908"/>
        <v>400</v>
      </c>
      <c r="QR133" s="56"/>
      <c r="QU133" s="55">
        <f t="shared" si="909"/>
        <v>46134</v>
      </c>
      <c r="QV133" s="56"/>
      <c r="QW133" s="242">
        <f>SUMPRODUCT(PRODUCE!$B142:$DY142,PRODUCE!$EB$57:$IY$57)</f>
        <v>0</v>
      </c>
      <c r="QX133" s="56"/>
      <c r="QY133" s="242">
        <f t="shared" si="910"/>
        <v>0</v>
      </c>
      <c r="QZ133" s="242">
        <f t="shared" si="911"/>
        <v>207.6</v>
      </c>
      <c r="RA133" s="56"/>
      <c r="RD133" s="55">
        <f t="shared" si="912"/>
        <v>46134</v>
      </c>
      <c r="RE133" s="56"/>
      <c r="RF133" s="242">
        <f>SUMPRODUCT(PRODUCE!$B142:$DY142,PRODUCE!$EB$58:$IY$58)</f>
        <v>0</v>
      </c>
      <c r="RG133" s="56"/>
      <c r="RH133" s="242">
        <f t="shared" si="913"/>
        <v>0</v>
      </c>
      <c r="RI133" s="242">
        <f t="shared" si="914"/>
        <v>147.04000000000002</v>
      </c>
      <c r="RJ133" s="56"/>
      <c r="RM133" s="55">
        <f t="shared" si="915"/>
        <v>46134</v>
      </c>
      <c r="RN133" s="56"/>
      <c r="RO133" s="242">
        <f>SUMPRODUCT(PRODUCE!$B142:$DY142,PRODUCE!$EB$57:$IY$57)</f>
        <v>0</v>
      </c>
      <c r="RP133" s="56"/>
      <c r="RQ133" s="242">
        <f t="shared" si="916"/>
        <v>0</v>
      </c>
      <c r="RR133" s="242">
        <f t="shared" si="917"/>
        <v>46.8</v>
      </c>
      <c r="RS133" s="56"/>
      <c r="RV133" s="55">
        <f t="shared" si="918"/>
        <v>46134</v>
      </c>
      <c r="RW133" s="56"/>
      <c r="RX133" s="242">
        <f>SUMPRODUCT(PRODUCE!$B142:$DY142,PRODUCE!$EB$57:$IY$57)</f>
        <v>0</v>
      </c>
      <c r="RY133" s="56"/>
      <c r="RZ133" s="242">
        <f t="shared" si="919"/>
        <v>0</v>
      </c>
      <c r="SA133" s="242">
        <f t="shared" si="920"/>
        <v>0</v>
      </c>
      <c r="SB133" s="56"/>
      <c r="SE133" s="55">
        <f t="shared" si="921"/>
        <v>46134</v>
      </c>
      <c r="SF133" s="56"/>
      <c r="SG133" s="242">
        <f>SUMPRODUCT(PRODUCE!$B142:$DY142,PRODUCE!$EB$57:$IY$57)</f>
        <v>0</v>
      </c>
      <c r="SH133" s="56"/>
      <c r="SI133" s="242">
        <f t="shared" si="922"/>
        <v>0</v>
      </c>
      <c r="SJ133" s="242">
        <f t="shared" si="923"/>
        <v>125</v>
      </c>
      <c r="SK133" s="56"/>
      <c r="SN133" s="55">
        <f t="shared" si="924"/>
        <v>46134</v>
      </c>
      <c r="SO133" s="56"/>
      <c r="SP133" s="242">
        <f>SUMPRODUCT(PRODUCE!$B142:$DY142,PRODUCE!$EB$57:$IY$57)</f>
        <v>0</v>
      </c>
      <c r="SQ133" s="56"/>
      <c r="SR133" s="242">
        <f t="shared" si="925"/>
        <v>0</v>
      </c>
      <c r="SS133" s="242">
        <f t="shared" si="926"/>
        <v>200</v>
      </c>
      <c r="ST133" s="56"/>
      <c r="SW133" s="55">
        <f t="shared" si="927"/>
        <v>46134</v>
      </c>
      <c r="SX133" s="56"/>
      <c r="SY133" s="242">
        <f>SUMPRODUCT(PRODUCE!$B142:$DY142,PRODUCE!$EB$57:$IY$57)</f>
        <v>0</v>
      </c>
      <c r="SZ133" s="56"/>
      <c r="TA133" s="242">
        <f t="shared" si="928"/>
        <v>0</v>
      </c>
      <c r="TB133" s="242">
        <f t="shared" si="929"/>
        <v>0</v>
      </c>
      <c r="TC133" s="56"/>
      <c r="TF133" s="55">
        <f t="shared" si="930"/>
        <v>46134</v>
      </c>
      <c r="TG133" s="56"/>
      <c r="TH133" s="242">
        <f>SUMPRODUCT(PRODUCE!$B142:$DY142,PRODUCE!$EB$57:$IY$57)</f>
        <v>0</v>
      </c>
      <c r="TI133" s="56"/>
      <c r="TJ133" s="242">
        <f t="shared" si="931"/>
        <v>0</v>
      </c>
      <c r="TK133" s="242">
        <f t="shared" si="932"/>
        <v>0</v>
      </c>
      <c r="TL133" s="56"/>
      <c r="TO133" s="55">
        <f t="shared" si="933"/>
        <v>46134</v>
      </c>
      <c r="TP133" s="56"/>
      <c r="TQ133" s="242">
        <f>SUMPRODUCT(PRODUCE!$B142:$DY142,PRODUCE!$EB$57:$IY$57)</f>
        <v>0</v>
      </c>
      <c r="TR133" s="56"/>
      <c r="TS133" s="242">
        <f t="shared" si="934"/>
        <v>0</v>
      </c>
      <c r="TT133" s="242">
        <f t="shared" si="935"/>
        <v>0</v>
      </c>
      <c r="TU133" s="56"/>
      <c r="TX133" s="55">
        <f t="shared" si="936"/>
        <v>46134</v>
      </c>
      <c r="TY133" s="56"/>
      <c r="TZ133" s="242">
        <f>SUMPRODUCT(PRODUCE!$B142:$DY142,PRODUCE!$EB$57:$IY$57)</f>
        <v>0</v>
      </c>
      <c r="UA133" s="56"/>
      <c r="UB133" s="242">
        <f t="shared" si="937"/>
        <v>0</v>
      </c>
      <c r="UC133" s="242">
        <f t="shared" si="938"/>
        <v>0</v>
      </c>
      <c r="UD133" s="56"/>
      <c r="UG133" s="55">
        <f t="shared" si="939"/>
        <v>46134</v>
      </c>
      <c r="UH133" s="56"/>
      <c r="UI133" s="242">
        <f>SUMPRODUCT(PRODUCE!$B142:$DY142,PRODUCE!$EB$57:$IY$57)</f>
        <v>0</v>
      </c>
      <c r="UJ133" s="56"/>
      <c r="UK133" s="242">
        <f t="shared" si="940"/>
        <v>0</v>
      </c>
      <c r="UL133" s="242">
        <f t="shared" si="941"/>
        <v>0</v>
      </c>
      <c r="UM133" s="56"/>
      <c r="UP133" s="55">
        <f t="shared" si="942"/>
        <v>46134</v>
      </c>
      <c r="UQ133" s="56"/>
      <c r="UR133" s="242">
        <f>SUMPRODUCT(PRODUCE!$B142:$DY142,PRODUCE!$EB$57:$IY$57)</f>
        <v>0</v>
      </c>
      <c r="US133" s="56"/>
      <c r="UT133" s="242">
        <f t="shared" si="943"/>
        <v>0</v>
      </c>
      <c r="UU133" s="242">
        <f t="shared" si="944"/>
        <v>0</v>
      </c>
      <c r="UV133" s="56"/>
      <c r="UY133" s="55">
        <f t="shared" si="945"/>
        <v>46134</v>
      </c>
      <c r="UZ133" s="56"/>
      <c r="VA133" s="242">
        <f>SUMPRODUCT(PRODUCE!$B142:$DY142,PRODUCE!$EB$57:$IY$57)</f>
        <v>0</v>
      </c>
      <c r="VB133" s="56"/>
      <c r="VC133" s="242">
        <f t="shared" si="946"/>
        <v>0</v>
      </c>
      <c r="VD133" s="242">
        <f t="shared" si="947"/>
        <v>41.600000000000023</v>
      </c>
      <c r="VE133" s="56"/>
      <c r="VH133" s="55">
        <f t="shared" si="948"/>
        <v>46134</v>
      </c>
      <c r="VI133" s="56"/>
      <c r="VJ133" s="242">
        <f>SUMPRODUCT(PRODUCE!$B142:$DY142,PRODUCE!$EB$57:$IY$57)</f>
        <v>0</v>
      </c>
      <c r="VK133" s="56"/>
      <c r="VL133" s="242">
        <f t="shared" si="949"/>
        <v>0</v>
      </c>
      <c r="VM133" s="242">
        <f t="shared" si="950"/>
        <v>0</v>
      </c>
      <c r="VN133" s="56"/>
      <c r="VQ133" s="55">
        <f t="shared" si="951"/>
        <v>46134</v>
      </c>
      <c r="VR133" s="56"/>
      <c r="VS133" s="242">
        <f>SUMPRODUCT(PRODUCE!$B142:$DY142,PRODUCE!$EB$57:$IY$57)</f>
        <v>0</v>
      </c>
      <c r="VT133" s="56"/>
      <c r="VU133" s="242">
        <f t="shared" si="952"/>
        <v>0</v>
      </c>
      <c r="VV133" s="242">
        <f t="shared" si="953"/>
        <v>0</v>
      </c>
      <c r="VW133" s="56"/>
      <c r="VZ133" s="55">
        <f t="shared" si="954"/>
        <v>46134</v>
      </c>
      <c r="WA133" s="56"/>
      <c r="WB133" s="242">
        <f>SUMPRODUCT(PRODUCE!$B142:$DY142,PRODUCE!$EB$57:$IY$57)</f>
        <v>0</v>
      </c>
      <c r="WC133" s="56"/>
      <c r="WD133" s="242">
        <f t="shared" si="955"/>
        <v>0</v>
      </c>
      <c r="WE133" s="242">
        <f t="shared" si="956"/>
        <v>0</v>
      </c>
      <c r="WF133" s="56"/>
      <c r="WI133" s="55">
        <f t="shared" si="957"/>
        <v>46134</v>
      </c>
      <c r="WJ133" s="56"/>
      <c r="WK133" s="242">
        <f>SUMPRODUCT(PRODUCE!$B142:$DY142,PRODUCE!$EB$57:$IY$57)</f>
        <v>0</v>
      </c>
      <c r="WL133" s="56"/>
      <c r="WM133" s="242">
        <f t="shared" si="958"/>
        <v>0</v>
      </c>
      <c r="WN133" s="242">
        <f t="shared" si="959"/>
        <v>2317</v>
      </c>
      <c r="WO133" s="56"/>
      <c r="WR133" s="55">
        <f t="shared" si="960"/>
        <v>46134</v>
      </c>
      <c r="WS133" s="56"/>
      <c r="WT133" s="242">
        <f>SUMPRODUCT(PRODUCE!$B142:$DY142,PRODUCE!$EB$57:$IY$57)</f>
        <v>0</v>
      </c>
      <c r="WU133" s="56"/>
      <c r="WV133" s="242">
        <f t="shared" si="961"/>
        <v>0</v>
      </c>
      <c r="WW133" s="242">
        <f t="shared" si="962"/>
        <v>3934</v>
      </c>
      <c r="WX133" s="56"/>
      <c r="XA133" s="55">
        <f t="shared" si="963"/>
        <v>46134</v>
      </c>
      <c r="XB133" s="56"/>
      <c r="XC133" s="242">
        <f>SUMPRODUCT(PRODUCE!$B142:$DY142,PRODUCE!$EB$57:$IY$57)</f>
        <v>0</v>
      </c>
      <c r="XD133" s="56"/>
      <c r="XE133" s="242">
        <f t="shared" si="964"/>
        <v>0</v>
      </c>
      <c r="XF133" s="242">
        <f t="shared" si="965"/>
        <v>14868</v>
      </c>
      <c r="XG133" s="56"/>
      <c r="XJ133" s="55">
        <f t="shared" si="966"/>
        <v>46134</v>
      </c>
      <c r="XK133" s="56"/>
      <c r="XL133" s="242">
        <f>SUMPRODUCT(PRODUCE!$B142:$DY142,PRODUCE!$EB$57:$IY$57)</f>
        <v>0</v>
      </c>
      <c r="XM133" s="56"/>
      <c r="XN133" s="242">
        <f t="shared" si="967"/>
        <v>0</v>
      </c>
      <c r="XO133" s="242">
        <f t="shared" si="968"/>
        <v>2376</v>
      </c>
      <c r="XP133" s="56"/>
      <c r="XS133" s="55">
        <f t="shared" si="969"/>
        <v>46134</v>
      </c>
      <c r="XT133" s="56"/>
      <c r="XU133" s="242">
        <f>SUMPRODUCT(PRODUCE!$B142:$DY142,PRODUCE!$EB$57:$IY$57)</f>
        <v>0</v>
      </c>
      <c r="XV133" s="56"/>
      <c r="XW133" s="242">
        <f t="shared" si="970"/>
        <v>0</v>
      </c>
      <c r="XX133" s="242">
        <f t="shared" si="971"/>
        <v>1901</v>
      </c>
      <c r="XY133" s="56"/>
      <c r="YB133" s="55">
        <f t="shared" si="972"/>
        <v>46134</v>
      </c>
      <c r="YC133" s="56"/>
      <c r="YD133" s="242">
        <f>SUMPRODUCT(PRODUCE!$B142:$DY142,PRODUCE!$EB$57:$IY$57)</f>
        <v>0</v>
      </c>
      <c r="YE133" s="56"/>
      <c r="YF133" s="242">
        <f t="shared" si="973"/>
        <v>0</v>
      </c>
      <c r="YG133" s="242">
        <f t="shared" si="974"/>
        <v>6459</v>
      </c>
      <c r="YH133" s="56"/>
      <c r="YK133" s="55">
        <f t="shared" si="975"/>
        <v>46134</v>
      </c>
      <c r="YL133" s="56"/>
      <c r="YM133" s="242">
        <f>SUMPRODUCT(PRODUCE!$B142:$DY142,PRODUCE!$EB$57:$IY$57)</f>
        <v>0</v>
      </c>
      <c r="YN133" s="56"/>
      <c r="YO133" s="242">
        <f t="shared" si="976"/>
        <v>0</v>
      </c>
      <c r="YP133" s="242">
        <f t="shared" si="977"/>
        <v>0</v>
      </c>
      <c r="YQ133" s="56"/>
      <c r="YT133" s="55">
        <f t="shared" si="978"/>
        <v>46134</v>
      </c>
      <c r="YU133" s="56"/>
      <c r="YV133" s="242">
        <f>SUMPRODUCT(PRODUCE!$B142:$DY142,PRODUCE!$EB$57:$IY$57)</f>
        <v>0</v>
      </c>
      <c r="YW133" s="56"/>
      <c r="YX133" s="242">
        <f t="shared" si="979"/>
        <v>0</v>
      </c>
      <c r="YY133" s="242">
        <f t="shared" si="980"/>
        <v>0</v>
      </c>
      <c r="YZ133" s="56"/>
      <c r="ZC133" s="55">
        <f t="shared" si="981"/>
        <v>46134</v>
      </c>
      <c r="ZD133" s="56"/>
      <c r="ZE133" s="242">
        <f>SUMPRODUCT(PRODUCE!$B142:$DY142,PRODUCE!$EB$57:$IY$57)</f>
        <v>0</v>
      </c>
      <c r="ZF133" s="56"/>
      <c r="ZG133" s="242">
        <f t="shared" si="982"/>
        <v>0</v>
      </c>
      <c r="ZH133" s="242">
        <f t="shared" si="983"/>
        <v>0</v>
      </c>
      <c r="ZI133" s="56"/>
      <c r="ZL133" s="55">
        <f t="shared" si="984"/>
        <v>46134</v>
      </c>
      <c r="ZM133" s="56"/>
      <c r="ZN133" s="242">
        <f>SUMPRODUCT(PRODUCE!$B142:$DY142,PRODUCE!$EB$57:$IY$57)</f>
        <v>0</v>
      </c>
      <c r="ZO133" s="56"/>
      <c r="ZP133" s="242">
        <f t="shared" si="985"/>
        <v>0</v>
      </c>
      <c r="ZQ133" s="242">
        <f t="shared" si="986"/>
        <v>0</v>
      </c>
      <c r="ZR133" s="56"/>
      <c r="ZU133" s="55">
        <f t="shared" si="987"/>
        <v>46134</v>
      </c>
      <c r="ZV133" s="56"/>
      <c r="ZW133" s="242">
        <f>SUMPRODUCT(PRODUCE!$B142:$DY142,PRODUCE!$EB$57:$IY$57)</f>
        <v>0</v>
      </c>
      <c r="ZX133" s="56"/>
      <c r="ZY133" s="242">
        <f t="shared" si="988"/>
        <v>0</v>
      </c>
      <c r="ZZ133" s="242">
        <f t="shared" si="989"/>
        <v>0</v>
      </c>
      <c r="AAA133" s="56"/>
      <c r="AAD133" s="55">
        <f t="shared" si="990"/>
        <v>46134</v>
      </c>
      <c r="AAE133" s="56"/>
      <c r="AAF133" s="242">
        <f>SUMPRODUCT(PRODUCE!$B142:$DY142,PRODUCE!$EB$57:$IY$57)</f>
        <v>0</v>
      </c>
      <c r="AAG133" s="56"/>
      <c r="AAH133" s="242">
        <f t="shared" si="991"/>
        <v>0</v>
      </c>
      <c r="AAI133" s="242">
        <f t="shared" si="992"/>
        <v>0</v>
      </c>
      <c r="AAJ133" s="56"/>
      <c r="AAM133" s="55">
        <f t="shared" si="993"/>
        <v>46134</v>
      </c>
      <c r="AAN133" s="56"/>
      <c r="AAO133" s="242">
        <f>SUMPRODUCT(PRODUCE!$B142:$DY142,PRODUCE!$EB$57:$IY$57)</f>
        <v>0</v>
      </c>
      <c r="AAP133" s="56"/>
      <c r="AAQ133" s="242">
        <f t="shared" si="994"/>
        <v>0</v>
      </c>
      <c r="AAR133" s="242">
        <f t="shared" si="995"/>
        <v>0</v>
      </c>
      <c r="AAS133" s="56"/>
      <c r="AAV133" s="55">
        <f t="shared" si="996"/>
        <v>46134</v>
      </c>
      <c r="AAW133" s="56"/>
      <c r="AAX133" s="242">
        <f>SUMPRODUCT(PRODUCE!$B142:$DY142,PRODUCE!$EB$57:$IY$57)</f>
        <v>0</v>
      </c>
      <c r="AAY133" s="56"/>
      <c r="AAZ133" s="242">
        <f t="shared" si="997"/>
        <v>0</v>
      </c>
      <c r="ABA133" s="242">
        <f t="shared" si="998"/>
        <v>0</v>
      </c>
      <c r="ABB133" s="56"/>
      <c r="ABE133" s="55">
        <f t="shared" si="999"/>
        <v>46134</v>
      </c>
      <c r="ABF133" s="56"/>
      <c r="ABG133" s="242">
        <f>SUMPRODUCT(PRODUCE!$B142:$DY142,PRODUCE!$EB$57:$IY$57)</f>
        <v>0</v>
      </c>
      <c r="ABH133" s="56"/>
      <c r="ABI133" s="242">
        <f t="shared" si="1000"/>
        <v>0</v>
      </c>
      <c r="ABJ133" s="242">
        <f t="shared" si="1001"/>
        <v>0</v>
      </c>
      <c r="ABK133" s="56"/>
    </row>
    <row r="134" spans="1:739" s="54" customFormat="1" ht="15" customHeight="1" outlineLevel="1">
      <c r="B134" s="478">
        <f>24+16+66</f>
        <v>106</v>
      </c>
      <c r="C134" s="55">
        <v>46135</v>
      </c>
      <c r="D134" s="422">
        <v>62970</v>
      </c>
      <c r="E134" s="423">
        <f>SUMPRODUCT(PRODUCE!$B143:$DY143,PRODUCE!$EB$7:$IY$7)</f>
        <v>58721</v>
      </c>
      <c r="F134" s="422">
        <v>58728.2</v>
      </c>
      <c r="G134" s="423">
        <f t="shared" si="1002"/>
        <v>-7.1999999999970896</v>
      </c>
      <c r="H134" s="423">
        <f t="shared" si="1003"/>
        <v>193672.60000000003</v>
      </c>
      <c r="I134" s="289" t="s">
        <v>251</v>
      </c>
      <c r="L134" s="55">
        <f t="shared" si="759"/>
        <v>46135</v>
      </c>
      <c r="M134" s="422">
        <v>12120</v>
      </c>
      <c r="N134" s="438">
        <f>SUMPRODUCT(PRODUCE!$B143:$DY143,PRODUCE!$EB$8:$IY$8)</f>
        <v>24964</v>
      </c>
      <c r="O134" s="422">
        <v>24963.8</v>
      </c>
      <c r="P134" s="438">
        <f t="shared" si="760"/>
        <v>0.2000000000007276</v>
      </c>
      <c r="Q134" s="438">
        <f t="shared" si="761"/>
        <v>63023.600000000108</v>
      </c>
      <c r="R134" s="56"/>
      <c r="U134" s="55">
        <f t="shared" si="762"/>
        <v>46135</v>
      </c>
      <c r="V134" s="422">
        <v>30090</v>
      </c>
      <c r="W134" s="440">
        <f>SUMPRODUCT(PRODUCE!$B143:$DY143,PRODUCE!$EB$9:$IY$9)</f>
        <v>4989.9999999999991</v>
      </c>
      <c r="X134" s="422">
        <v>4993.7</v>
      </c>
      <c r="Y134" s="440">
        <f t="shared" si="763"/>
        <v>-3.7000000000007276</v>
      </c>
      <c r="Z134" s="440">
        <f t="shared" si="764"/>
        <v>53460.399999999972</v>
      </c>
      <c r="AA134" s="56"/>
      <c r="AD134" s="55">
        <f t="shared" si="765"/>
        <v>46135</v>
      </c>
      <c r="AE134" s="422"/>
      <c r="AF134" s="442">
        <f>SUMPRODUCT(PRODUCE!$B143:$DY143,PRODUCE!$EB$10:$IY$10)</f>
        <v>3820</v>
      </c>
      <c r="AG134" s="422">
        <v>3822.2</v>
      </c>
      <c r="AH134" s="442">
        <f t="shared" si="766"/>
        <v>-2.1999999999998181</v>
      </c>
      <c r="AI134" s="442">
        <f t="shared" si="767"/>
        <v>27210.700000000019</v>
      </c>
      <c r="AJ134" s="56"/>
      <c r="AM134" s="55">
        <f t="shared" si="768"/>
        <v>46135</v>
      </c>
      <c r="AN134" s="422"/>
      <c r="AO134" s="444">
        <f>SUMPRODUCT(PRODUCE!$B143:$DY143,PRODUCE!$EB$11:$IY$11)</f>
        <v>0</v>
      </c>
      <c r="AP134" s="422"/>
      <c r="AQ134" s="444">
        <f t="shared" si="769"/>
        <v>0</v>
      </c>
      <c r="AR134" s="444">
        <f t="shared" si="770"/>
        <v>0</v>
      </c>
      <c r="AS134" s="56"/>
      <c r="AV134" s="55">
        <f t="shared" si="771"/>
        <v>46135</v>
      </c>
      <c r="AW134" s="422"/>
      <c r="AX134" s="446">
        <f>SUMPRODUCT(PRODUCE!$B143:$DY143,PRODUCE!$EB$12:$IY$12)</f>
        <v>660</v>
      </c>
      <c r="AY134" s="422">
        <v>660.4</v>
      </c>
      <c r="AZ134" s="446">
        <f t="shared" si="772"/>
        <v>-0.39999999999997726</v>
      </c>
      <c r="BA134" s="446">
        <f t="shared" si="773"/>
        <v>10246.099999999993</v>
      </c>
      <c r="BB134" s="56"/>
      <c r="BE134" s="55">
        <f t="shared" si="774"/>
        <v>46135</v>
      </c>
      <c r="BF134" s="422"/>
      <c r="BG134" s="448">
        <f>SUMPRODUCT(PRODUCE!$B143:$DY143,PRODUCE!$EB$13:$IY$13)</f>
        <v>3330</v>
      </c>
      <c r="BH134" s="422">
        <v>3329.8</v>
      </c>
      <c r="BI134" s="448">
        <f t="shared" si="775"/>
        <v>0.1999999999998181</v>
      </c>
      <c r="BJ134" s="448">
        <f t="shared" si="776"/>
        <v>39948.799999999988</v>
      </c>
      <c r="BK134" s="56"/>
      <c r="BN134" s="55">
        <f t="shared" si="777"/>
        <v>46135</v>
      </c>
      <c r="BO134" s="422">
        <v>2450</v>
      </c>
      <c r="BP134" s="450">
        <f>SUMPRODUCT(PRODUCE!$B143:$DY143,PRODUCE!$EB$14:$IY$14)</f>
        <v>2450</v>
      </c>
      <c r="BQ134" s="422">
        <v>2450</v>
      </c>
      <c r="BR134" s="450">
        <f t="shared" si="778"/>
        <v>0</v>
      </c>
      <c r="BS134" s="450">
        <f t="shared" si="779"/>
        <v>0</v>
      </c>
      <c r="BT134" s="56"/>
      <c r="BW134" s="55">
        <f t="shared" si="780"/>
        <v>46135</v>
      </c>
      <c r="BX134" s="56"/>
      <c r="BY134" s="65">
        <f>SUMPRODUCT(PRODUCE!$B143:$DY143,PRODUCE!$EB$15:$IY$15)</f>
        <v>266</v>
      </c>
      <c r="BZ134" s="56"/>
      <c r="CA134" s="65">
        <f t="shared" si="781"/>
        <v>266</v>
      </c>
      <c r="CB134" s="65">
        <f t="shared" si="782"/>
        <v>6411.7999999999993</v>
      </c>
      <c r="CC134" s="56"/>
      <c r="CF134" s="55">
        <f t="shared" si="783"/>
        <v>46135</v>
      </c>
      <c r="CG134" s="56"/>
      <c r="CH134" s="66">
        <f>SUMPRODUCT(PRODUCE!$B143:$DY143,PRODUCE!$EB$16:$IY$16)</f>
        <v>730</v>
      </c>
      <c r="CI134" s="56"/>
      <c r="CJ134" s="66">
        <f t="shared" si="784"/>
        <v>730</v>
      </c>
      <c r="CK134" s="66">
        <f t="shared" si="785"/>
        <v>0</v>
      </c>
      <c r="CL134" s="56"/>
      <c r="CO134" s="55">
        <f t="shared" si="786"/>
        <v>46135</v>
      </c>
      <c r="CP134" s="422"/>
      <c r="CQ134" s="470">
        <f>SUMPRODUCT(PRODUCE!$B143:$DY143,PRODUCE!$EB$17:$IY$17)</f>
        <v>0</v>
      </c>
      <c r="CR134" s="422"/>
      <c r="CS134" s="470">
        <f t="shared" si="787"/>
        <v>0</v>
      </c>
      <c r="CT134" s="470">
        <f t="shared" si="788"/>
        <v>0</v>
      </c>
      <c r="CU134" s="56"/>
      <c r="CX134" s="55">
        <f t="shared" si="789"/>
        <v>46135</v>
      </c>
      <c r="CY134" s="56">
        <v>25180</v>
      </c>
      <c r="CZ134" s="133">
        <f>SUMPRODUCT(PRODUCE!$B143:$DY143,PRODUCE!$EB$18:$IY$18)</f>
        <v>2000</v>
      </c>
      <c r="DA134" s="56">
        <v>2001</v>
      </c>
      <c r="DB134" s="133">
        <f t="shared" si="790"/>
        <v>-1</v>
      </c>
      <c r="DC134" s="133">
        <f t="shared" si="791"/>
        <v>30159.900000000005</v>
      </c>
      <c r="DD134" s="56"/>
      <c r="DG134" s="55">
        <f t="shared" si="792"/>
        <v>46135</v>
      </c>
      <c r="DH134" s="56"/>
      <c r="DI134" s="147">
        <f>SUMPRODUCT(PRODUCE!$B143:$DY143,PRODUCE!$EB$19:$IY$19)</f>
        <v>1600</v>
      </c>
      <c r="DJ134" s="56">
        <v>1600</v>
      </c>
      <c r="DK134" s="147">
        <f t="shared" si="793"/>
        <v>0</v>
      </c>
      <c r="DL134" s="147">
        <f t="shared" si="794"/>
        <v>19170.799999999992</v>
      </c>
      <c r="DM134" s="56"/>
      <c r="DP134" s="55">
        <f t="shared" si="795"/>
        <v>46135</v>
      </c>
      <c r="DQ134" s="56"/>
      <c r="DR134" s="57">
        <f>SUMPRODUCT(PRODUCE!$B143:$DY143,PRODUCE!$EB$20:$IY$20)</f>
        <v>0</v>
      </c>
      <c r="DS134" s="56"/>
      <c r="DT134" s="57">
        <f t="shared" si="796"/>
        <v>0</v>
      </c>
      <c r="DU134" s="57">
        <f t="shared" si="797"/>
        <v>5800</v>
      </c>
      <c r="DV134" s="56"/>
      <c r="DY134" s="55">
        <f t="shared" si="798"/>
        <v>46135</v>
      </c>
      <c r="DZ134" s="56"/>
      <c r="EA134" s="157">
        <f>SUMPRODUCT(PRODUCE!$B143:$DY143,PRODUCE!$EB$21:$IY$21)</f>
        <v>0</v>
      </c>
      <c r="EB134" s="56"/>
      <c r="EC134" s="157">
        <f t="shared" si="799"/>
        <v>0</v>
      </c>
      <c r="ED134" s="157">
        <f t="shared" si="800"/>
        <v>147.30000000000018</v>
      </c>
      <c r="EE134" s="56"/>
      <c r="EH134" s="55">
        <f t="shared" si="801"/>
        <v>46135</v>
      </c>
      <c r="EI134" s="56"/>
      <c r="EJ134" s="162">
        <f>SUMPRODUCT(PRODUCE!$B143:$DY143,PRODUCE!$EB$22:$IY$22)</f>
        <v>0</v>
      </c>
      <c r="EK134" s="56"/>
      <c r="EL134" s="162">
        <f t="shared" si="802"/>
        <v>0</v>
      </c>
      <c r="EM134" s="162">
        <f t="shared" si="803"/>
        <v>0</v>
      </c>
      <c r="EN134" s="56"/>
      <c r="EQ134" s="55">
        <f t="shared" si="804"/>
        <v>46135</v>
      </c>
      <c r="ER134" s="56"/>
      <c r="ES134" s="135">
        <f>SUMPRODUCT(PRODUCE!$B143:$DY143,PRODUCE!$EB$23:$IY$23)</f>
        <v>0</v>
      </c>
      <c r="ET134" s="56"/>
      <c r="EU134" s="135">
        <f t="shared" si="805"/>
        <v>0</v>
      </c>
      <c r="EV134" s="135">
        <f t="shared" si="806"/>
        <v>0</v>
      </c>
      <c r="EW134" s="56"/>
      <c r="EZ134" s="55">
        <f t="shared" si="807"/>
        <v>46135</v>
      </c>
      <c r="FA134" s="56"/>
      <c r="FB134" s="175">
        <f>SUMPRODUCT(PRODUCE!$B143:$DY143,PRODUCE!$EB$24:$IY$24)</f>
        <v>0</v>
      </c>
      <c r="FC134" s="56"/>
      <c r="FD134" s="175">
        <f t="shared" si="808"/>
        <v>0</v>
      </c>
      <c r="FE134" s="175">
        <f t="shared" si="809"/>
        <v>0</v>
      </c>
      <c r="FF134" s="56"/>
      <c r="FI134" s="55">
        <f t="shared" si="810"/>
        <v>46135</v>
      </c>
      <c r="FJ134" s="56"/>
      <c r="FK134" s="183">
        <f>SUMPRODUCT(PRODUCE!$B143:$DY143,PRODUCE!$EB$25:$IY$25)</f>
        <v>0</v>
      </c>
      <c r="FL134" s="56"/>
      <c r="FM134" s="183">
        <f t="shared" si="811"/>
        <v>0</v>
      </c>
      <c r="FN134" s="183">
        <f t="shared" si="812"/>
        <v>0</v>
      </c>
      <c r="FO134" s="56"/>
      <c r="FR134" s="55">
        <f t="shared" si="813"/>
        <v>46135</v>
      </c>
      <c r="FS134" s="422"/>
      <c r="FT134" s="452">
        <f>SUMPRODUCT(PRODUCE!$B143:$DY143,PRODUCE!$EB$26:$IY$26)</f>
        <v>0</v>
      </c>
      <c r="FU134" s="422"/>
      <c r="FV134" s="452">
        <f t="shared" si="814"/>
        <v>0</v>
      </c>
      <c r="FW134" s="452">
        <f t="shared" si="815"/>
        <v>2120</v>
      </c>
      <c r="FX134" s="56"/>
      <c r="GA134" s="55">
        <f t="shared" si="816"/>
        <v>46135</v>
      </c>
      <c r="GB134" s="422"/>
      <c r="GC134" s="454">
        <f>SUMPRODUCT(PRODUCE!$B143:$DY143,PRODUCE!$EB$27:$IY$27)</f>
        <v>1320</v>
      </c>
      <c r="GD134" s="422"/>
      <c r="GE134" s="454">
        <f t="shared" si="817"/>
        <v>1320</v>
      </c>
      <c r="GF134" s="454">
        <f t="shared" si="818"/>
        <v>6800</v>
      </c>
      <c r="GG134" s="56"/>
      <c r="GI134" s="23"/>
      <c r="GJ134" s="55">
        <f t="shared" si="819"/>
        <v>46135</v>
      </c>
      <c r="GK134" s="422"/>
      <c r="GL134" s="456">
        <f>SUMPRODUCT(PRODUCE!$B143:$DY143,PRODUCE!$EB$28:$IY$28)</f>
        <v>0</v>
      </c>
      <c r="GM134" s="422"/>
      <c r="GN134" s="456">
        <f t="shared" si="820"/>
        <v>0</v>
      </c>
      <c r="GO134" s="456">
        <f t="shared" si="821"/>
        <v>4800</v>
      </c>
      <c r="GP134" s="56"/>
      <c r="GS134" s="55">
        <f t="shared" si="822"/>
        <v>46135</v>
      </c>
      <c r="GT134" s="56"/>
      <c r="GU134" s="195">
        <f>SUMPRODUCT(PRODUCE!$B143:$DY143,PRODUCE!$EB$29:$IY$29)</f>
        <v>0</v>
      </c>
      <c r="GV134" s="56"/>
      <c r="GW134" s="195">
        <f t="shared" si="823"/>
        <v>0</v>
      </c>
      <c r="GX134" s="195">
        <f t="shared" si="824"/>
        <v>0</v>
      </c>
      <c r="GY134" s="56"/>
      <c r="HB134" s="55">
        <f t="shared" si="825"/>
        <v>46135</v>
      </c>
      <c r="HC134" s="56"/>
      <c r="HD134" s="191">
        <f>SUMPRODUCT(PRODUCE!$B143:$DY143,PRODUCE!$EB$30:$IY$30)</f>
        <v>0</v>
      </c>
      <c r="HE134" s="56"/>
      <c r="HF134" s="191">
        <f t="shared" si="826"/>
        <v>0</v>
      </c>
      <c r="HG134" s="191">
        <f t="shared" si="827"/>
        <v>0</v>
      </c>
      <c r="HH134" s="56"/>
      <c r="HK134" s="55">
        <f t="shared" si="828"/>
        <v>46135</v>
      </c>
      <c r="HL134" s="56"/>
      <c r="HM134" s="63">
        <f>SUMPRODUCT(PRODUCE!$B143:$DY143,PRODUCE!$EB$31:$IY$31)</f>
        <v>0</v>
      </c>
      <c r="HN134" s="56"/>
      <c r="HO134" s="63">
        <f t="shared" si="829"/>
        <v>0</v>
      </c>
      <c r="HP134" s="63">
        <f t="shared" si="830"/>
        <v>0</v>
      </c>
      <c r="HQ134" s="56"/>
      <c r="HU134" s="55">
        <f t="shared" si="831"/>
        <v>46135</v>
      </c>
      <c r="HV134" s="56"/>
      <c r="HW134" s="242">
        <f>SUMPRODUCT(PRODUCE!$B143:$DY143,PRODUCE!$EB$32:$IY$32)</f>
        <v>0</v>
      </c>
      <c r="HX134" s="56"/>
      <c r="HY134" s="242">
        <f t="shared" si="832"/>
        <v>0</v>
      </c>
      <c r="HZ134" s="242">
        <f t="shared" si="833"/>
        <v>5120</v>
      </c>
      <c r="IA134" s="56"/>
      <c r="ID134" s="55">
        <f t="shared" si="834"/>
        <v>46135</v>
      </c>
      <c r="IE134" s="56"/>
      <c r="IF134" s="242">
        <f>SUMPRODUCT(PRODUCE!$B143:$DY143,PRODUCE!$EB$33:$IY$33)</f>
        <v>0</v>
      </c>
      <c r="IG134" s="56"/>
      <c r="IH134" s="242">
        <f t="shared" si="835"/>
        <v>0</v>
      </c>
      <c r="II134" s="242">
        <f t="shared" si="836"/>
        <v>6540</v>
      </c>
      <c r="IJ134" s="56"/>
      <c r="IM134" s="55">
        <f t="shared" si="837"/>
        <v>46135</v>
      </c>
      <c r="IN134" s="56"/>
      <c r="IO134" s="242">
        <f>SUMPRODUCT(PRODUCE!$B143:$DY143,PRODUCE!$EB$34:$IY$34)</f>
        <v>0</v>
      </c>
      <c r="IP134" s="56"/>
      <c r="IQ134" s="242">
        <f t="shared" si="838"/>
        <v>0</v>
      </c>
      <c r="IR134" s="242">
        <f t="shared" si="839"/>
        <v>11540</v>
      </c>
      <c r="IS134" s="56"/>
      <c r="IV134" s="55">
        <f t="shared" si="840"/>
        <v>46135</v>
      </c>
      <c r="IW134" s="56"/>
      <c r="IX134" s="242">
        <f>SUMPRODUCT(PRODUCE!$B143:$DY143,PRODUCE!$EB$35:$IY$35)</f>
        <v>0</v>
      </c>
      <c r="IY134" s="56"/>
      <c r="IZ134" s="242">
        <f t="shared" si="841"/>
        <v>0</v>
      </c>
      <c r="JA134" s="242">
        <f t="shared" si="842"/>
        <v>15120</v>
      </c>
      <c r="JB134" s="56"/>
      <c r="JE134" s="55">
        <f t="shared" si="843"/>
        <v>46135</v>
      </c>
      <c r="JF134" s="56"/>
      <c r="JG134" s="242">
        <f>SUMPRODUCT(PRODUCE!$B143:$DY143,PRODUCE!$EB$36:$IY$36)</f>
        <v>0</v>
      </c>
      <c r="JH134" s="56"/>
      <c r="JI134" s="242">
        <f t="shared" si="844"/>
        <v>0</v>
      </c>
      <c r="JJ134" s="242">
        <f t="shared" si="845"/>
        <v>5040</v>
      </c>
      <c r="JK134" s="56"/>
      <c r="JN134" s="55">
        <f t="shared" si="846"/>
        <v>46135</v>
      </c>
      <c r="JO134" s="56"/>
      <c r="JP134" s="242">
        <f>SUMPRODUCT(PRODUCE!$B143:$DY143,PRODUCE!$EB$37:$IY$37)</f>
        <v>0</v>
      </c>
      <c r="JQ134" s="56"/>
      <c r="JR134" s="242">
        <f t="shared" si="847"/>
        <v>0</v>
      </c>
      <c r="JS134" s="242">
        <f t="shared" si="848"/>
        <v>9100</v>
      </c>
      <c r="JT134" s="56"/>
      <c r="JW134" s="55">
        <f t="shared" si="849"/>
        <v>46135</v>
      </c>
      <c r="JX134" s="56"/>
      <c r="JY134" s="242">
        <f>SUMPRODUCT(PRODUCE!$B143:$DY143,PRODUCE!$EB$38:$IY$38)</f>
        <v>0</v>
      </c>
      <c r="JZ134" s="56"/>
      <c r="KA134" s="242">
        <f t="shared" si="850"/>
        <v>0</v>
      </c>
      <c r="KB134" s="242">
        <f t="shared" si="851"/>
        <v>2540</v>
      </c>
      <c r="KC134" s="56"/>
      <c r="KF134" s="55">
        <f t="shared" si="852"/>
        <v>46135</v>
      </c>
      <c r="KG134" s="56"/>
      <c r="KH134" s="242">
        <f>SUMPRODUCT(PRODUCE!$B143:$DY143,PRODUCE!$EB$39:$IY$39)</f>
        <v>468</v>
      </c>
      <c r="KI134" s="56"/>
      <c r="KJ134" s="242">
        <f t="shared" si="853"/>
        <v>468</v>
      </c>
      <c r="KK134" s="242">
        <f t="shared" si="854"/>
        <v>19.5</v>
      </c>
      <c r="KL134" s="56"/>
      <c r="KO134" s="55">
        <f t="shared" si="855"/>
        <v>46135</v>
      </c>
      <c r="KP134" s="56"/>
      <c r="KQ134" s="242">
        <f>SUMPRODUCT(PRODUCE!$B143:$DY143,PRODUCE!$EB$40:$IY$40)</f>
        <v>0</v>
      </c>
      <c r="KR134" s="56"/>
      <c r="KS134" s="242">
        <f t="shared" si="856"/>
        <v>0</v>
      </c>
      <c r="KT134" s="242">
        <f t="shared" si="857"/>
        <v>3817.7999999999997</v>
      </c>
      <c r="KU134" s="56"/>
      <c r="KW134" s="23"/>
      <c r="KX134" s="55">
        <f t="shared" si="858"/>
        <v>46135</v>
      </c>
      <c r="KY134" s="56"/>
      <c r="KZ134" s="242">
        <f>SUMPRODUCT(PRODUCE!$B143:$DY143,PRODUCE!$EB$41:$IY$41)</f>
        <v>327.99999999999994</v>
      </c>
      <c r="LA134" s="56"/>
      <c r="LB134" s="242">
        <f t="shared" si="859"/>
        <v>327.99999999999994</v>
      </c>
      <c r="LC134" s="242">
        <f t="shared" si="860"/>
        <v>3690</v>
      </c>
      <c r="LD134" s="542" t="s">
        <v>252</v>
      </c>
      <c r="LE134" s="543"/>
      <c r="LF134" s="543"/>
      <c r="LG134" s="55">
        <f t="shared" si="861"/>
        <v>46135</v>
      </c>
      <c r="LH134" s="56"/>
      <c r="LI134" s="242">
        <f>SUMPRODUCT(PRODUCE!$B143:$DY143,PRODUCE!$EB$42:$IY$42)</f>
        <v>0</v>
      </c>
      <c r="LJ134" s="56"/>
      <c r="LK134" s="242">
        <f t="shared" si="862"/>
        <v>0</v>
      </c>
      <c r="LL134" s="242">
        <f t="shared" si="863"/>
        <v>4000</v>
      </c>
      <c r="LM134" s="56"/>
      <c r="LP134" s="55">
        <f t="shared" si="864"/>
        <v>46135</v>
      </c>
      <c r="LQ134" s="56"/>
      <c r="LR134" s="242">
        <f>SUMPRODUCT(PRODUCE!$B149:$DY149,PRODUCE!$EB$43:$IY$43)</f>
        <v>0</v>
      </c>
      <c r="LS134" s="56"/>
      <c r="LT134" s="242">
        <f t="shared" si="865"/>
        <v>0</v>
      </c>
      <c r="LU134" s="242">
        <f t="shared" si="866"/>
        <v>0</v>
      </c>
      <c r="LV134" s="56"/>
      <c r="LY134" s="55">
        <f t="shared" si="867"/>
        <v>46135</v>
      </c>
      <c r="LZ134" s="56"/>
      <c r="MA134" s="242">
        <f>SUMPRODUCT(PRODUCE!$B143:$DY143,PRODUCE!$EB$44:$IY$44)</f>
        <v>0</v>
      </c>
      <c r="MB134" s="56"/>
      <c r="MC134" s="242">
        <f t="shared" si="868"/>
        <v>0</v>
      </c>
      <c r="MD134" s="242">
        <f t="shared" si="869"/>
        <v>0</v>
      </c>
      <c r="ME134" s="56"/>
      <c r="MH134" s="55">
        <f t="shared" si="870"/>
        <v>46135</v>
      </c>
      <c r="MI134" s="56"/>
      <c r="MJ134" s="242">
        <f>SUMPRODUCT(PRODUCE!$B143:$DY143,PRODUCE!$EB$45:$IY$45)</f>
        <v>0</v>
      </c>
      <c r="MK134" s="56"/>
      <c r="ML134" s="242">
        <f t="shared" si="871"/>
        <v>0</v>
      </c>
      <c r="MM134" s="242">
        <f t="shared" si="872"/>
        <v>0</v>
      </c>
      <c r="MN134" s="56"/>
      <c r="MQ134" s="55">
        <f t="shared" si="873"/>
        <v>46135</v>
      </c>
      <c r="MR134" s="56"/>
      <c r="MS134" s="242">
        <f>SUMPRODUCT(PRODUCE!$B143:$DY143,PRODUCE!$EB$46:$IY$46)</f>
        <v>33</v>
      </c>
      <c r="MT134" s="56"/>
      <c r="MU134" s="242">
        <f t="shared" si="874"/>
        <v>33</v>
      </c>
      <c r="MV134" s="242">
        <f t="shared" si="875"/>
        <v>4069</v>
      </c>
      <c r="MW134" s="56"/>
      <c r="MZ134" s="55">
        <f t="shared" si="876"/>
        <v>46135</v>
      </c>
      <c r="NA134" s="56"/>
      <c r="NB134" s="242">
        <f>SUMPRODUCT(PRODUCE!$B143:$DY143,PRODUCE!$EB$47:$IY$47)</f>
        <v>120</v>
      </c>
      <c r="NC134" s="56"/>
      <c r="ND134" s="242">
        <f t="shared" si="877"/>
        <v>120</v>
      </c>
      <c r="NE134" s="242">
        <f t="shared" si="878"/>
        <v>0</v>
      </c>
      <c r="NF134" s="56"/>
      <c r="NI134" s="55">
        <f t="shared" si="879"/>
        <v>46135</v>
      </c>
      <c r="NJ134" s="56"/>
      <c r="NK134" s="242">
        <f>SUMPRODUCT(PRODUCE!$B143:$DY143,PRODUCE!$EB$48:$IY$48)</f>
        <v>40</v>
      </c>
      <c r="NL134" s="56"/>
      <c r="NM134" s="242">
        <f t="shared" si="880"/>
        <v>40</v>
      </c>
      <c r="NN134" s="242">
        <f t="shared" si="881"/>
        <v>1229</v>
      </c>
      <c r="NO134" s="56"/>
      <c r="NR134" s="55">
        <f t="shared" si="882"/>
        <v>46135</v>
      </c>
      <c r="NS134" s="56"/>
      <c r="NT134" s="242">
        <f>SUMPRODUCT(PRODUCE!$B143:$DY143,PRODUCE!$EB$49:$IY$49)</f>
        <v>48</v>
      </c>
      <c r="NU134" s="56"/>
      <c r="NV134" s="242">
        <f t="shared" si="883"/>
        <v>48</v>
      </c>
      <c r="NW134" s="242">
        <f t="shared" si="884"/>
        <v>3233.2999999999997</v>
      </c>
      <c r="NX134" s="56"/>
      <c r="OA134" s="55">
        <f t="shared" si="885"/>
        <v>46135</v>
      </c>
      <c r="OB134" s="56"/>
      <c r="OC134" s="242">
        <f>SUMPRODUCT(PRODUCE!$B143:$DY143,PRODUCE!$EB$50:$IY$50)</f>
        <v>0</v>
      </c>
      <c r="OD134" s="56"/>
      <c r="OE134" s="242">
        <f t="shared" si="886"/>
        <v>0</v>
      </c>
      <c r="OF134" s="242">
        <f t="shared" si="887"/>
        <v>1680.5</v>
      </c>
      <c r="OG134" s="56"/>
      <c r="OJ134" s="55">
        <f t="shared" si="888"/>
        <v>46135</v>
      </c>
      <c r="OK134" s="56"/>
      <c r="OL134" s="242">
        <f>SUMPRODUCT(PRODUCE!$B143:$DY143,PRODUCE!$EB$51:$IY$51)</f>
        <v>111.99999999999997</v>
      </c>
      <c r="OM134" s="56"/>
      <c r="ON134" s="242">
        <f t="shared" si="889"/>
        <v>111.99999999999997</v>
      </c>
      <c r="OO134" s="242">
        <f t="shared" si="890"/>
        <v>0</v>
      </c>
      <c r="OP134" s="56"/>
      <c r="OS134" s="55">
        <f t="shared" si="891"/>
        <v>46135</v>
      </c>
      <c r="OT134" s="56"/>
      <c r="OU134" s="242">
        <f>SUMPRODUCT(PRODUCE!$B143:$DY143,PRODUCE!$EB$52:$IY$52)</f>
        <v>0</v>
      </c>
      <c r="OV134" s="56"/>
      <c r="OW134" s="242">
        <f t="shared" si="892"/>
        <v>0</v>
      </c>
      <c r="OX134" s="242">
        <f t="shared" si="893"/>
        <v>1000</v>
      </c>
      <c r="OY134" s="56"/>
      <c r="PB134" s="55">
        <f t="shared" si="894"/>
        <v>46135</v>
      </c>
      <c r="PC134" s="56"/>
      <c r="PD134" s="242">
        <f>SUMPRODUCT(PRODUCE!$B143:$DY143,PRODUCE!$EB$53:$IY$53)</f>
        <v>0</v>
      </c>
      <c r="PE134" s="56"/>
      <c r="PF134" s="242">
        <f t="shared" si="895"/>
        <v>0</v>
      </c>
      <c r="PG134" s="242">
        <f t="shared" si="896"/>
        <v>0</v>
      </c>
      <c r="PH134" s="56"/>
      <c r="PK134" s="55">
        <f t="shared" si="897"/>
        <v>46135</v>
      </c>
      <c r="PL134" s="56"/>
      <c r="PM134" s="242">
        <f>SUMPRODUCT(PRODUCE!$B143:$DY143,PRODUCE!$EB$54:$IY$54)</f>
        <v>0</v>
      </c>
      <c r="PN134" s="56"/>
      <c r="PO134" s="242">
        <f t="shared" si="898"/>
        <v>0</v>
      </c>
      <c r="PP134" s="242">
        <f t="shared" si="899"/>
        <v>100</v>
      </c>
      <c r="PQ134" s="56"/>
      <c r="PT134" s="55">
        <f t="shared" si="900"/>
        <v>46135</v>
      </c>
      <c r="PU134" s="56"/>
      <c r="PV134" s="242">
        <f>SUMPRODUCT(PRODUCE!$B143:$DY143,PRODUCE!$EB$55:$IY$55)</f>
        <v>0</v>
      </c>
      <c r="PW134" s="56"/>
      <c r="PX134" s="242">
        <f t="shared" si="901"/>
        <v>0</v>
      </c>
      <c r="PY134" s="242">
        <f t="shared" si="902"/>
        <v>13.960000000000036</v>
      </c>
      <c r="PZ134" s="56"/>
      <c r="QC134" s="55">
        <f t="shared" si="903"/>
        <v>46135</v>
      </c>
      <c r="QD134" s="56"/>
      <c r="QE134" s="242">
        <f>SUMPRODUCT(PRODUCE!$B143:$DY143,PRODUCE!$EB$56:$IY$56)</f>
        <v>0</v>
      </c>
      <c r="QF134" s="56"/>
      <c r="QG134" s="242">
        <f t="shared" si="904"/>
        <v>0</v>
      </c>
      <c r="QH134" s="242">
        <f t="shared" si="905"/>
        <v>1212</v>
      </c>
      <c r="QI134" s="56"/>
      <c r="QL134" s="55">
        <f t="shared" si="906"/>
        <v>46135</v>
      </c>
      <c r="QM134" s="56"/>
      <c r="QN134" s="242">
        <f>SUMPRODUCT(PRODUCE!$B143:$DY143,PRODUCE!$EB$57:$IY$57)</f>
        <v>0</v>
      </c>
      <c r="QO134" s="56"/>
      <c r="QP134" s="242">
        <f t="shared" si="907"/>
        <v>0</v>
      </c>
      <c r="QQ134" s="242">
        <f t="shared" si="908"/>
        <v>400</v>
      </c>
      <c r="QR134" s="56"/>
      <c r="QU134" s="55">
        <f t="shared" si="909"/>
        <v>46135</v>
      </c>
      <c r="QV134" s="56"/>
      <c r="QW134" s="242">
        <f>SUMPRODUCT(PRODUCE!$B143:$DY143,PRODUCE!$EB$57:$IY$57)</f>
        <v>0</v>
      </c>
      <c r="QX134" s="56"/>
      <c r="QY134" s="242">
        <f t="shared" si="910"/>
        <v>0</v>
      </c>
      <c r="QZ134" s="242">
        <f t="shared" si="911"/>
        <v>207.6</v>
      </c>
      <c r="RA134" s="56"/>
      <c r="RD134" s="55">
        <f t="shared" si="912"/>
        <v>46135</v>
      </c>
      <c r="RE134" s="56"/>
      <c r="RF134" s="242">
        <f>SUMPRODUCT(PRODUCE!$B143:$DY143,PRODUCE!$EB$58:$IY$58)</f>
        <v>0</v>
      </c>
      <c r="RG134" s="56"/>
      <c r="RH134" s="242">
        <f t="shared" si="913"/>
        <v>0</v>
      </c>
      <c r="RI134" s="242">
        <f t="shared" si="914"/>
        <v>147.04000000000002</v>
      </c>
      <c r="RJ134" s="56"/>
      <c r="RM134" s="55">
        <f t="shared" si="915"/>
        <v>46135</v>
      </c>
      <c r="RN134" s="56"/>
      <c r="RO134" s="242">
        <f>SUMPRODUCT(PRODUCE!$B143:$DY143,PRODUCE!$EB$57:$IY$57)</f>
        <v>0</v>
      </c>
      <c r="RP134" s="56"/>
      <c r="RQ134" s="242">
        <f t="shared" si="916"/>
        <v>0</v>
      </c>
      <c r="RR134" s="242">
        <f t="shared" si="917"/>
        <v>46.8</v>
      </c>
      <c r="RS134" s="56"/>
      <c r="RV134" s="55">
        <f t="shared" si="918"/>
        <v>46135</v>
      </c>
      <c r="RW134" s="56"/>
      <c r="RX134" s="242">
        <f>SUMPRODUCT(PRODUCE!$B143:$DY143,PRODUCE!$EB$57:$IY$57)</f>
        <v>0</v>
      </c>
      <c r="RY134" s="56"/>
      <c r="RZ134" s="242">
        <f t="shared" si="919"/>
        <v>0</v>
      </c>
      <c r="SA134" s="242">
        <f t="shared" si="920"/>
        <v>0</v>
      </c>
      <c r="SB134" s="56"/>
      <c r="SE134" s="55">
        <f t="shared" si="921"/>
        <v>46135</v>
      </c>
      <c r="SF134" s="56"/>
      <c r="SG134" s="242">
        <f>SUMPRODUCT(PRODUCE!$B143:$DY143,PRODUCE!$EB$57:$IY$57)</f>
        <v>0</v>
      </c>
      <c r="SH134" s="56"/>
      <c r="SI134" s="242">
        <f t="shared" si="922"/>
        <v>0</v>
      </c>
      <c r="SJ134" s="242">
        <f t="shared" si="923"/>
        <v>125</v>
      </c>
      <c r="SK134" s="56"/>
      <c r="SN134" s="55">
        <f t="shared" si="924"/>
        <v>46135</v>
      </c>
      <c r="SO134" s="56"/>
      <c r="SP134" s="242">
        <f>SUMPRODUCT(PRODUCE!$B143:$DY143,PRODUCE!$EB$57:$IY$57)</f>
        <v>0</v>
      </c>
      <c r="SQ134" s="56"/>
      <c r="SR134" s="242">
        <f t="shared" si="925"/>
        <v>0</v>
      </c>
      <c r="SS134" s="242">
        <f t="shared" si="926"/>
        <v>200</v>
      </c>
      <c r="ST134" s="56"/>
      <c r="SW134" s="55">
        <f t="shared" si="927"/>
        <v>46135</v>
      </c>
      <c r="SX134" s="56"/>
      <c r="SY134" s="242">
        <f>SUMPRODUCT(PRODUCE!$B143:$DY143,PRODUCE!$EB$57:$IY$57)</f>
        <v>0</v>
      </c>
      <c r="SZ134" s="56"/>
      <c r="TA134" s="242">
        <f t="shared" si="928"/>
        <v>0</v>
      </c>
      <c r="TB134" s="242">
        <f t="shared" si="929"/>
        <v>0</v>
      </c>
      <c r="TC134" s="56"/>
      <c r="TF134" s="55">
        <f t="shared" si="930"/>
        <v>46135</v>
      </c>
      <c r="TG134" s="56"/>
      <c r="TH134" s="242">
        <f>SUMPRODUCT(PRODUCE!$B143:$DY143,PRODUCE!$EB$57:$IY$57)</f>
        <v>0</v>
      </c>
      <c r="TI134" s="56"/>
      <c r="TJ134" s="242">
        <f t="shared" si="931"/>
        <v>0</v>
      </c>
      <c r="TK134" s="242">
        <f t="shared" si="932"/>
        <v>0</v>
      </c>
      <c r="TL134" s="56"/>
      <c r="TO134" s="55">
        <f t="shared" si="933"/>
        <v>46135</v>
      </c>
      <c r="TP134" s="56"/>
      <c r="TQ134" s="242">
        <f>SUMPRODUCT(PRODUCE!$B143:$DY143,PRODUCE!$EB$57:$IY$57)</f>
        <v>0</v>
      </c>
      <c r="TR134" s="56"/>
      <c r="TS134" s="242">
        <f t="shared" si="934"/>
        <v>0</v>
      </c>
      <c r="TT134" s="242">
        <f t="shared" si="935"/>
        <v>0</v>
      </c>
      <c r="TU134" s="56"/>
      <c r="TX134" s="55">
        <f t="shared" si="936"/>
        <v>46135</v>
      </c>
      <c r="TY134" s="56"/>
      <c r="TZ134" s="242">
        <f>SUMPRODUCT(PRODUCE!$B143:$DY143,PRODUCE!$EB$57:$IY$57)</f>
        <v>0</v>
      </c>
      <c r="UA134" s="56"/>
      <c r="UB134" s="242">
        <f t="shared" si="937"/>
        <v>0</v>
      </c>
      <c r="UC134" s="242">
        <f t="shared" si="938"/>
        <v>0</v>
      </c>
      <c r="UD134" s="56"/>
      <c r="UG134" s="55">
        <f t="shared" si="939"/>
        <v>46135</v>
      </c>
      <c r="UH134" s="56"/>
      <c r="UI134" s="242">
        <f>SUMPRODUCT(PRODUCE!$B143:$DY143,PRODUCE!$EB$57:$IY$57)</f>
        <v>0</v>
      </c>
      <c r="UJ134" s="56"/>
      <c r="UK134" s="242">
        <f t="shared" si="940"/>
        <v>0</v>
      </c>
      <c r="UL134" s="242">
        <f t="shared" si="941"/>
        <v>0</v>
      </c>
      <c r="UM134" s="56"/>
      <c r="UP134" s="55">
        <f t="shared" si="942"/>
        <v>46135</v>
      </c>
      <c r="UQ134" s="56"/>
      <c r="UR134" s="242">
        <f>SUMPRODUCT(PRODUCE!$B143:$DY143,PRODUCE!$EB$57:$IY$57)</f>
        <v>0</v>
      </c>
      <c r="US134" s="56"/>
      <c r="UT134" s="242">
        <f t="shared" si="943"/>
        <v>0</v>
      </c>
      <c r="UU134" s="242">
        <f t="shared" si="944"/>
        <v>0</v>
      </c>
      <c r="UV134" s="56"/>
      <c r="UY134" s="55">
        <f t="shared" si="945"/>
        <v>46135</v>
      </c>
      <c r="UZ134" s="56"/>
      <c r="VA134" s="242">
        <f>SUMPRODUCT(PRODUCE!$B143:$DY143,PRODUCE!$EB$57:$IY$57)</f>
        <v>0</v>
      </c>
      <c r="VB134" s="56"/>
      <c r="VC134" s="242">
        <f t="shared" si="946"/>
        <v>0</v>
      </c>
      <c r="VD134" s="242">
        <f t="shared" si="947"/>
        <v>41.600000000000023</v>
      </c>
      <c r="VE134" s="56"/>
      <c r="VH134" s="55">
        <f t="shared" si="948"/>
        <v>46135</v>
      </c>
      <c r="VI134" s="56"/>
      <c r="VJ134" s="242">
        <f>SUMPRODUCT(PRODUCE!$B143:$DY143,PRODUCE!$EB$57:$IY$57)</f>
        <v>0</v>
      </c>
      <c r="VK134" s="56"/>
      <c r="VL134" s="242">
        <f t="shared" si="949"/>
        <v>0</v>
      </c>
      <c r="VM134" s="242">
        <f t="shared" si="950"/>
        <v>0</v>
      </c>
      <c r="VN134" s="56"/>
      <c r="VQ134" s="55">
        <f t="shared" si="951"/>
        <v>46135</v>
      </c>
      <c r="VR134" s="56"/>
      <c r="VS134" s="242">
        <f>SUMPRODUCT(PRODUCE!$B143:$DY143,PRODUCE!$EB$57:$IY$57)</f>
        <v>0</v>
      </c>
      <c r="VT134" s="56"/>
      <c r="VU134" s="242">
        <f t="shared" si="952"/>
        <v>0</v>
      </c>
      <c r="VV134" s="242">
        <f t="shared" si="953"/>
        <v>0</v>
      </c>
      <c r="VW134" s="56"/>
      <c r="VZ134" s="55">
        <f t="shared" si="954"/>
        <v>46135</v>
      </c>
      <c r="WA134" s="56"/>
      <c r="WB134" s="242">
        <f>SUMPRODUCT(PRODUCE!$B143:$DY143,PRODUCE!$EB$57:$IY$57)</f>
        <v>0</v>
      </c>
      <c r="WC134" s="56"/>
      <c r="WD134" s="242">
        <f t="shared" si="955"/>
        <v>0</v>
      </c>
      <c r="WE134" s="242">
        <f t="shared" si="956"/>
        <v>0</v>
      </c>
      <c r="WF134" s="56"/>
      <c r="WI134" s="55">
        <f t="shared" si="957"/>
        <v>46135</v>
      </c>
      <c r="WJ134" s="56"/>
      <c r="WK134" s="242">
        <f>SUMPRODUCT(PRODUCE!$B143:$DY143,PRODUCE!$EB$57:$IY$57)</f>
        <v>0</v>
      </c>
      <c r="WL134" s="56"/>
      <c r="WM134" s="242">
        <f t="shared" si="958"/>
        <v>0</v>
      </c>
      <c r="WN134" s="242">
        <f t="shared" si="959"/>
        <v>2317</v>
      </c>
      <c r="WO134" s="56"/>
      <c r="WR134" s="55">
        <f t="shared" si="960"/>
        <v>46135</v>
      </c>
      <c r="WS134" s="56"/>
      <c r="WT134" s="242">
        <f>SUMPRODUCT(PRODUCE!$B143:$DY143,PRODUCE!$EB$57:$IY$57)</f>
        <v>0</v>
      </c>
      <c r="WU134" s="56">
        <v>1337</v>
      </c>
      <c r="WV134" s="242">
        <f t="shared" si="961"/>
        <v>-1337</v>
      </c>
      <c r="WW134" s="242">
        <f t="shared" si="962"/>
        <v>2597</v>
      </c>
      <c r="WX134" s="56"/>
      <c r="XA134" s="55">
        <f t="shared" si="963"/>
        <v>46135</v>
      </c>
      <c r="XB134" s="56"/>
      <c r="XC134" s="242">
        <f>SUMPRODUCT(PRODUCE!$B143:$DY143,PRODUCE!$EB$57:$IY$57)</f>
        <v>0</v>
      </c>
      <c r="XD134" s="56"/>
      <c r="XE134" s="242">
        <f t="shared" si="964"/>
        <v>0</v>
      </c>
      <c r="XF134" s="242">
        <f t="shared" si="965"/>
        <v>14868</v>
      </c>
      <c r="XG134" s="56"/>
      <c r="XJ134" s="55">
        <f t="shared" si="966"/>
        <v>46135</v>
      </c>
      <c r="XK134" s="56"/>
      <c r="XL134" s="242">
        <f>SUMPRODUCT(PRODUCE!$B143:$DY143,PRODUCE!$EB$57:$IY$57)</f>
        <v>0</v>
      </c>
      <c r="XM134" s="56"/>
      <c r="XN134" s="242">
        <f t="shared" si="967"/>
        <v>0</v>
      </c>
      <c r="XO134" s="242">
        <f t="shared" si="968"/>
        <v>2376</v>
      </c>
      <c r="XP134" s="56"/>
      <c r="XS134" s="55">
        <f t="shared" si="969"/>
        <v>46135</v>
      </c>
      <c r="XT134" s="56"/>
      <c r="XU134" s="242">
        <f>SUMPRODUCT(PRODUCE!$B143:$DY143,PRODUCE!$EB$57:$IY$57)</f>
        <v>0</v>
      </c>
      <c r="XV134" s="56"/>
      <c r="XW134" s="242">
        <f t="shared" si="970"/>
        <v>0</v>
      </c>
      <c r="XX134" s="242">
        <f t="shared" si="971"/>
        <v>1901</v>
      </c>
      <c r="XY134" s="56"/>
      <c r="YB134" s="55">
        <f t="shared" si="972"/>
        <v>46135</v>
      </c>
      <c r="YC134" s="56"/>
      <c r="YD134" s="242">
        <f>SUMPRODUCT(PRODUCE!$B143:$DY143,PRODUCE!$EB$57:$IY$57)</f>
        <v>0</v>
      </c>
      <c r="YE134" s="56"/>
      <c r="YF134" s="242">
        <f t="shared" si="973"/>
        <v>0</v>
      </c>
      <c r="YG134" s="242">
        <f t="shared" si="974"/>
        <v>6459</v>
      </c>
      <c r="YH134" s="56"/>
      <c r="YK134" s="55">
        <f t="shared" si="975"/>
        <v>46135</v>
      </c>
      <c r="YL134" s="56"/>
      <c r="YM134" s="242">
        <f>SUMPRODUCT(PRODUCE!$B143:$DY143,PRODUCE!$EB$57:$IY$57)</f>
        <v>0</v>
      </c>
      <c r="YN134" s="56"/>
      <c r="YO134" s="242">
        <f t="shared" si="976"/>
        <v>0</v>
      </c>
      <c r="YP134" s="242">
        <f t="shared" si="977"/>
        <v>0</v>
      </c>
      <c r="YQ134" s="56"/>
      <c r="YT134" s="55">
        <f t="shared" si="978"/>
        <v>46135</v>
      </c>
      <c r="YU134" s="56"/>
      <c r="YV134" s="242">
        <f>SUMPRODUCT(PRODUCE!$B143:$DY143,PRODUCE!$EB$57:$IY$57)</f>
        <v>0</v>
      </c>
      <c r="YW134" s="56"/>
      <c r="YX134" s="242">
        <f t="shared" si="979"/>
        <v>0</v>
      </c>
      <c r="YY134" s="242">
        <f t="shared" si="980"/>
        <v>0</v>
      </c>
      <c r="YZ134" s="56"/>
      <c r="ZC134" s="55">
        <f t="shared" si="981"/>
        <v>46135</v>
      </c>
      <c r="ZD134" s="56"/>
      <c r="ZE134" s="242">
        <f>SUMPRODUCT(PRODUCE!$B143:$DY143,PRODUCE!$EB$57:$IY$57)</f>
        <v>0</v>
      </c>
      <c r="ZF134" s="56"/>
      <c r="ZG134" s="242">
        <f t="shared" si="982"/>
        <v>0</v>
      </c>
      <c r="ZH134" s="242">
        <f t="shared" si="983"/>
        <v>0</v>
      </c>
      <c r="ZI134" s="56"/>
      <c r="ZL134" s="55">
        <f t="shared" si="984"/>
        <v>46135</v>
      </c>
      <c r="ZM134" s="56"/>
      <c r="ZN134" s="242">
        <f>SUMPRODUCT(PRODUCE!$B143:$DY143,PRODUCE!$EB$57:$IY$57)</f>
        <v>0</v>
      </c>
      <c r="ZO134" s="56"/>
      <c r="ZP134" s="242">
        <f t="shared" si="985"/>
        <v>0</v>
      </c>
      <c r="ZQ134" s="242">
        <f t="shared" si="986"/>
        <v>0</v>
      </c>
      <c r="ZR134" s="56"/>
      <c r="ZU134" s="55">
        <f t="shared" si="987"/>
        <v>46135</v>
      </c>
      <c r="ZV134" s="56"/>
      <c r="ZW134" s="242">
        <f>SUMPRODUCT(PRODUCE!$B143:$DY143,PRODUCE!$EB$57:$IY$57)</f>
        <v>0</v>
      </c>
      <c r="ZX134" s="56"/>
      <c r="ZY134" s="242">
        <f t="shared" si="988"/>
        <v>0</v>
      </c>
      <c r="ZZ134" s="242">
        <f t="shared" si="989"/>
        <v>0</v>
      </c>
      <c r="AAA134" s="56"/>
      <c r="AAD134" s="55">
        <f t="shared" si="990"/>
        <v>46135</v>
      </c>
      <c r="AAE134" s="56"/>
      <c r="AAF134" s="242">
        <f>SUMPRODUCT(PRODUCE!$B143:$DY143,PRODUCE!$EB$57:$IY$57)</f>
        <v>0</v>
      </c>
      <c r="AAG134" s="56"/>
      <c r="AAH134" s="242">
        <f t="shared" si="991"/>
        <v>0</v>
      </c>
      <c r="AAI134" s="242">
        <f t="shared" si="992"/>
        <v>0</v>
      </c>
      <c r="AAJ134" s="56"/>
      <c r="AAM134" s="55">
        <f t="shared" si="993"/>
        <v>46135</v>
      </c>
      <c r="AAN134" s="56"/>
      <c r="AAO134" s="242">
        <f>SUMPRODUCT(PRODUCE!$B143:$DY143,PRODUCE!$EB$57:$IY$57)</f>
        <v>0</v>
      </c>
      <c r="AAP134" s="56"/>
      <c r="AAQ134" s="242">
        <f t="shared" si="994"/>
        <v>0</v>
      </c>
      <c r="AAR134" s="242">
        <f t="shared" si="995"/>
        <v>0</v>
      </c>
      <c r="AAS134" s="56"/>
      <c r="AAV134" s="55">
        <f t="shared" si="996"/>
        <v>46135</v>
      </c>
      <c r="AAW134" s="56"/>
      <c r="AAX134" s="242">
        <f>SUMPRODUCT(PRODUCE!$B143:$DY143,PRODUCE!$EB$57:$IY$57)</f>
        <v>0</v>
      </c>
      <c r="AAY134" s="56"/>
      <c r="AAZ134" s="242">
        <f t="shared" si="997"/>
        <v>0</v>
      </c>
      <c r="ABA134" s="242">
        <f t="shared" si="998"/>
        <v>0</v>
      </c>
      <c r="ABB134" s="56"/>
      <c r="ABE134" s="55">
        <f t="shared" si="999"/>
        <v>46135</v>
      </c>
      <c r="ABF134" s="56"/>
      <c r="ABG134" s="242">
        <f>SUMPRODUCT(PRODUCE!$B143:$DY143,PRODUCE!$EB$57:$IY$57)</f>
        <v>0</v>
      </c>
      <c r="ABH134" s="56"/>
      <c r="ABI134" s="242">
        <f t="shared" si="1000"/>
        <v>0</v>
      </c>
      <c r="ABJ134" s="242">
        <f t="shared" si="1001"/>
        <v>0</v>
      </c>
      <c r="ABK134" s="56"/>
    </row>
    <row r="135" spans="1:739" s="54" customFormat="1" ht="15" customHeight="1" outlineLevel="1">
      <c r="B135" s="478">
        <v>58</v>
      </c>
      <c r="C135" s="55">
        <v>46136</v>
      </c>
      <c r="D135" s="422">
        <v>29790</v>
      </c>
      <c r="E135" s="423">
        <f>SUMPRODUCT(PRODUCE!$B144:$DY144,PRODUCE!$EB$7:$IY$7)</f>
        <v>36395</v>
      </c>
      <c r="F135" s="422">
        <v>36397.800000000003</v>
      </c>
      <c r="G135" s="423">
        <f t="shared" si="1002"/>
        <v>-2.8000000000029104</v>
      </c>
      <c r="H135" s="423">
        <f t="shared" si="1003"/>
        <v>187064.80000000005</v>
      </c>
      <c r="I135" s="289" t="s">
        <v>253</v>
      </c>
      <c r="L135" s="55">
        <f t="shared" si="759"/>
        <v>46136</v>
      </c>
      <c r="M135" s="422">
        <v>53120</v>
      </c>
      <c r="N135" s="438">
        <f>SUMPRODUCT(PRODUCE!$B144:$DY144,PRODUCE!$EB$8:$IY$8)</f>
        <v>7917</v>
      </c>
      <c r="O135" s="422">
        <v>7915.6</v>
      </c>
      <c r="P135" s="438">
        <f t="shared" si="760"/>
        <v>1.3999999999996362</v>
      </c>
      <c r="Q135" s="438">
        <f t="shared" si="761"/>
        <v>108228.0000000001</v>
      </c>
      <c r="R135" s="56"/>
      <c r="U135" s="55">
        <f t="shared" si="762"/>
        <v>46136</v>
      </c>
      <c r="V135" s="422"/>
      <c r="W135" s="440">
        <f>SUMPRODUCT(PRODUCE!$B144:$DY144,PRODUCE!$EB$9:$IY$9)</f>
        <v>4640</v>
      </c>
      <c r="X135" s="422">
        <v>4641.3</v>
      </c>
      <c r="Y135" s="440">
        <f t="shared" si="763"/>
        <v>-1.3000000000001819</v>
      </c>
      <c r="Z135" s="440">
        <f t="shared" si="764"/>
        <v>48819.099999999969</v>
      </c>
      <c r="AA135" s="56"/>
      <c r="AD135" s="55">
        <f t="shared" si="765"/>
        <v>46136</v>
      </c>
      <c r="AE135" s="422"/>
      <c r="AF135" s="442">
        <f>SUMPRODUCT(PRODUCE!$B144:$DY144,PRODUCE!$EB$10:$IY$10)</f>
        <v>4060</v>
      </c>
      <c r="AG135" s="422">
        <v>4060.9</v>
      </c>
      <c r="AH135" s="442">
        <f t="shared" si="766"/>
        <v>-0.90000000000009095</v>
      </c>
      <c r="AI135" s="442">
        <f t="shared" si="767"/>
        <v>23149.800000000017</v>
      </c>
      <c r="AJ135" s="56"/>
      <c r="AM135" s="55">
        <f t="shared" si="768"/>
        <v>46136</v>
      </c>
      <c r="AN135" s="422"/>
      <c r="AO135" s="444">
        <f>SUMPRODUCT(PRODUCE!$B144:$DY144,PRODUCE!$EB$11:$IY$11)</f>
        <v>0</v>
      </c>
      <c r="AP135" s="422"/>
      <c r="AQ135" s="444">
        <f t="shared" si="769"/>
        <v>0</v>
      </c>
      <c r="AR135" s="444">
        <f t="shared" si="770"/>
        <v>0</v>
      </c>
      <c r="AS135" s="56"/>
      <c r="AV135" s="55">
        <f t="shared" si="771"/>
        <v>46136</v>
      </c>
      <c r="AW135" s="422"/>
      <c r="AX135" s="446">
        <f>SUMPRODUCT(PRODUCE!$B144:$DY144,PRODUCE!$EB$12:$IY$12)</f>
        <v>899</v>
      </c>
      <c r="AY135" s="422">
        <v>899.1</v>
      </c>
      <c r="AZ135" s="446">
        <f t="shared" si="772"/>
        <v>-0.10000000000002274</v>
      </c>
      <c r="BA135" s="446">
        <f t="shared" si="773"/>
        <v>9346.9999999999927</v>
      </c>
      <c r="BB135" s="56"/>
      <c r="BE135" s="55">
        <f t="shared" si="774"/>
        <v>46136</v>
      </c>
      <c r="BF135" s="422"/>
      <c r="BG135" s="448">
        <f>SUMPRODUCT(PRODUCE!$B144:$DY144,PRODUCE!$EB$13:$IY$13)</f>
        <v>1450</v>
      </c>
      <c r="BH135" s="422">
        <v>1448.5</v>
      </c>
      <c r="BI135" s="448">
        <f t="shared" si="775"/>
        <v>1.5</v>
      </c>
      <c r="BJ135" s="448">
        <f t="shared" si="776"/>
        <v>38500.299999999988</v>
      </c>
      <c r="BK135" s="56"/>
      <c r="BN135" s="55">
        <f t="shared" si="777"/>
        <v>46136</v>
      </c>
      <c r="BO135" s="422">
        <v>1450.1</v>
      </c>
      <c r="BP135" s="450">
        <f>SUMPRODUCT(PRODUCE!$B144:$DY144,PRODUCE!$EB$14:$IY$14)</f>
        <v>1450</v>
      </c>
      <c r="BQ135" s="422">
        <v>1450.1</v>
      </c>
      <c r="BR135" s="450">
        <f t="shared" si="778"/>
        <v>-9.9999999999909051E-2</v>
      </c>
      <c r="BS135" s="450">
        <f t="shared" si="779"/>
        <v>0</v>
      </c>
      <c r="BT135" s="56"/>
      <c r="BW135" s="55">
        <f t="shared" si="780"/>
        <v>46136</v>
      </c>
      <c r="BX135" s="56"/>
      <c r="BY135" s="65">
        <f>SUMPRODUCT(PRODUCE!$B144:$DY144,PRODUCE!$EB$15:$IY$15)</f>
        <v>0</v>
      </c>
      <c r="BZ135" s="56"/>
      <c r="CA135" s="65">
        <f t="shared" si="781"/>
        <v>0</v>
      </c>
      <c r="CB135" s="65">
        <f t="shared" si="782"/>
        <v>6411.7999999999993</v>
      </c>
      <c r="CC135" s="56"/>
      <c r="CF135" s="55">
        <f t="shared" si="783"/>
        <v>46136</v>
      </c>
      <c r="CG135" s="56"/>
      <c r="CH135" s="66">
        <f>SUMPRODUCT(PRODUCE!$B144:$DY144,PRODUCE!$EB$16:$IY$16)</f>
        <v>0</v>
      </c>
      <c r="CI135" s="56"/>
      <c r="CJ135" s="66">
        <f t="shared" si="784"/>
        <v>0</v>
      </c>
      <c r="CK135" s="66">
        <f t="shared" si="785"/>
        <v>0</v>
      </c>
      <c r="CL135" s="56"/>
      <c r="CO135" s="55">
        <f t="shared" si="786"/>
        <v>46136</v>
      </c>
      <c r="CP135" s="422"/>
      <c r="CQ135" s="470">
        <f>SUMPRODUCT(PRODUCE!$B144:$DY144,PRODUCE!$EB$17:$IY$17)</f>
        <v>0</v>
      </c>
      <c r="CR135" s="422"/>
      <c r="CS135" s="470">
        <f t="shared" si="787"/>
        <v>0</v>
      </c>
      <c r="CT135" s="470">
        <f t="shared" si="788"/>
        <v>0</v>
      </c>
      <c r="CU135" s="56"/>
      <c r="CX135" s="55">
        <f t="shared" si="789"/>
        <v>46136</v>
      </c>
      <c r="CY135" s="56"/>
      <c r="CZ135" s="133">
        <f>SUMPRODUCT(PRODUCE!$B144:$DY144,PRODUCE!$EB$18:$IY$18)</f>
        <v>0</v>
      </c>
      <c r="DA135" s="56"/>
      <c r="DB135" s="133">
        <f t="shared" si="790"/>
        <v>0</v>
      </c>
      <c r="DC135" s="133">
        <f t="shared" si="791"/>
        <v>30159.900000000005</v>
      </c>
      <c r="DD135" s="56"/>
      <c r="DG135" s="55">
        <f t="shared" si="792"/>
        <v>46136</v>
      </c>
      <c r="DH135" s="56"/>
      <c r="DI135" s="147">
        <f>SUMPRODUCT(PRODUCE!$B144:$DY144,PRODUCE!$EB$19:$IY$19)</f>
        <v>0</v>
      </c>
      <c r="DJ135" s="56"/>
      <c r="DK135" s="147">
        <f t="shared" si="793"/>
        <v>0</v>
      </c>
      <c r="DL135" s="147">
        <f t="shared" si="794"/>
        <v>19170.799999999992</v>
      </c>
      <c r="DM135" s="56"/>
      <c r="DP135" s="55">
        <f t="shared" si="795"/>
        <v>46136</v>
      </c>
      <c r="DQ135" s="56"/>
      <c r="DR135" s="57">
        <f>SUMPRODUCT(PRODUCE!$B144:$DY144,PRODUCE!$EB$20:$IY$20)</f>
        <v>0</v>
      </c>
      <c r="DS135" s="56"/>
      <c r="DT135" s="57">
        <f t="shared" si="796"/>
        <v>0</v>
      </c>
      <c r="DU135" s="57">
        <f t="shared" si="797"/>
        <v>5800</v>
      </c>
      <c r="DV135" s="56"/>
      <c r="DY135" s="55">
        <f t="shared" si="798"/>
        <v>46136</v>
      </c>
      <c r="DZ135" s="56"/>
      <c r="EA135" s="157">
        <f>SUMPRODUCT(PRODUCE!$B144:$DY144,PRODUCE!$EB$21:$IY$21)</f>
        <v>0</v>
      </c>
      <c r="EB135" s="56"/>
      <c r="EC135" s="157">
        <f t="shared" si="799"/>
        <v>0</v>
      </c>
      <c r="ED135" s="157">
        <f t="shared" si="800"/>
        <v>147.30000000000018</v>
      </c>
      <c r="EE135" s="56"/>
      <c r="EH135" s="55">
        <f t="shared" si="801"/>
        <v>46136</v>
      </c>
      <c r="EI135" s="56"/>
      <c r="EJ135" s="162">
        <f>SUMPRODUCT(PRODUCE!$B144:$DY144,PRODUCE!$EB$22:$IY$22)</f>
        <v>0</v>
      </c>
      <c r="EK135" s="56"/>
      <c r="EL135" s="162">
        <f t="shared" si="802"/>
        <v>0</v>
      </c>
      <c r="EM135" s="162">
        <f t="shared" si="803"/>
        <v>0</v>
      </c>
      <c r="EN135" s="56"/>
      <c r="EQ135" s="55">
        <f t="shared" si="804"/>
        <v>46136</v>
      </c>
      <c r="ER135" s="56"/>
      <c r="ES135" s="135">
        <f>SUMPRODUCT(PRODUCE!$B144:$DY144,PRODUCE!$EB$23:$IY$23)</f>
        <v>0</v>
      </c>
      <c r="ET135" s="56"/>
      <c r="EU135" s="135">
        <f t="shared" si="805"/>
        <v>0</v>
      </c>
      <c r="EV135" s="135">
        <f t="shared" si="806"/>
        <v>0</v>
      </c>
      <c r="EW135" s="56"/>
      <c r="EZ135" s="55">
        <f t="shared" si="807"/>
        <v>46136</v>
      </c>
      <c r="FA135" s="56"/>
      <c r="FB135" s="175">
        <f>SUMPRODUCT(PRODUCE!$B144:$DY144,PRODUCE!$EB$24:$IY$24)</f>
        <v>0</v>
      </c>
      <c r="FC135" s="56"/>
      <c r="FD135" s="175">
        <f t="shared" si="808"/>
        <v>0</v>
      </c>
      <c r="FE135" s="175">
        <f t="shared" si="809"/>
        <v>0</v>
      </c>
      <c r="FF135" s="56"/>
      <c r="FI135" s="55">
        <f t="shared" si="810"/>
        <v>46136</v>
      </c>
      <c r="FJ135" s="56"/>
      <c r="FK135" s="183">
        <f>SUMPRODUCT(PRODUCE!$B144:$DY144,PRODUCE!$EB$25:$IY$25)</f>
        <v>0</v>
      </c>
      <c r="FL135" s="56"/>
      <c r="FM135" s="183">
        <f t="shared" si="811"/>
        <v>0</v>
      </c>
      <c r="FN135" s="183">
        <f t="shared" si="812"/>
        <v>0</v>
      </c>
      <c r="FO135" s="56"/>
      <c r="FR135" s="55">
        <f t="shared" si="813"/>
        <v>46136</v>
      </c>
      <c r="FS135" s="422"/>
      <c r="FT135" s="452">
        <f>SUMPRODUCT(PRODUCE!$B144:$DY144,PRODUCE!$EB$26:$IY$26)</f>
        <v>0</v>
      </c>
      <c r="FU135" s="422"/>
      <c r="FV135" s="452">
        <f t="shared" si="814"/>
        <v>0</v>
      </c>
      <c r="FW135" s="452">
        <f t="shared" si="815"/>
        <v>2120</v>
      </c>
      <c r="FX135" s="56"/>
      <c r="GA135" s="55">
        <f t="shared" si="816"/>
        <v>46136</v>
      </c>
      <c r="GB135" s="422"/>
      <c r="GC135" s="454">
        <f>SUMPRODUCT(PRODUCE!$B144:$DY144,PRODUCE!$EB$27:$IY$27)</f>
        <v>0</v>
      </c>
      <c r="GD135" s="422"/>
      <c r="GE135" s="454">
        <f t="shared" si="817"/>
        <v>0</v>
      </c>
      <c r="GF135" s="454">
        <f t="shared" si="818"/>
        <v>6800</v>
      </c>
      <c r="GG135" s="56"/>
      <c r="GI135" s="23"/>
      <c r="GJ135" s="55">
        <f t="shared" si="819"/>
        <v>46136</v>
      </c>
      <c r="GK135" s="422"/>
      <c r="GL135" s="456">
        <f>SUMPRODUCT(PRODUCE!$B144:$DY144,PRODUCE!$EB$28:$IY$28)</f>
        <v>1160</v>
      </c>
      <c r="GM135" s="422"/>
      <c r="GN135" s="456">
        <f t="shared" si="820"/>
        <v>1160</v>
      </c>
      <c r="GO135" s="456">
        <f t="shared" si="821"/>
        <v>4800</v>
      </c>
      <c r="GP135" s="56"/>
      <c r="GS135" s="55">
        <f t="shared" si="822"/>
        <v>46136</v>
      </c>
      <c r="GT135" s="56"/>
      <c r="GU135" s="195">
        <f>SUMPRODUCT(PRODUCE!$B144:$DY144,PRODUCE!$EB$29:$IY$29)</f>
        <v>0</v>
      </c>
      <c r="GV135" s="56"/>
      <c r="GW135" s="195">
        <f t="shared" si="823"/>
        <v>0</v>
      </c>
      <c r="GX135" s="195">
        <f t="shared" si="824"/>
        <v>0</v>
      </c>
      <c r="GY135" s="56"/>
      <c r="HB135" s="55">
        <f t="shared" si="825"/>
        <v>46136</v>
      </c>
      <c r="HC135" s="56"/>
      <c r="HD135" s="191">
        <f>SUMPRODUCT(PRODUCE!$B144:$DY144,PRODUCE!$EB$30:$IY$30)</f>
        <v>0</v>
      </c>
      <c r="HE135" s="56"/>
      <c r="HF135" s="191">
        <f t="shared" si="826"/>
        <v>0</v>
      </c>
      <c r="HG135" s="191">
        <f t="shared" si="827"/>
        <v>0</v>
      </c>
      <c r="HH135" s="56"/>
      <c r="HK135" s="55">
        <f t="shared" si="828"/>
        <v>46136</v>
      </c>
      <c r="HL135" s="56"/>
      <c r="HM135" s="63">
        <f>SUMPRODUCT(PRODUCE!$B144:$DY144,PRODUCE!$EB$31:$IY$31)</f>
        <v>0</v>
      </c>
      <c r="HN135" s="56"/>
      <c r="HO135" s="63">
        <f t="shared" si="829"/>
        <v>0</v>
      </c>
      <c r="HP135" s="63">
        <f t="shared" si="830"/>
        <v>0</v>
      </c>
      <c r="HQ135" s="56"/>
      <c r="HU135" s="55">
        <f t="shared" si="831"/>
        <v>46136</v>
      </c>
      <c r="HV135" s="56"/>
      <c r="HW135" s="242">
        <f>SUMPRODUCT(PRODUCE!$B144:$DY144,PRODUCE!$EB$32:$IY$32)</f>
        <v>0</v>
      </c>
      <c r="HX135" s="56"/>
      <c r="HY135" s="242">
        <f t="shared" si="832"/>
        <v>0</v>
      </c>
      <c r="HZ135" s="242">
        <f t="shared" si="833"/>
        <v>5120</v>
      </c>
      <c r="IA135" s="56"/>
      <c r="ID135" s="55">
        <f t="shared" si="834"/>
        <v>46136</v>
      </c>
      <c r="IE135" s="56"/>
      <c r="IF135" s="242">
        <f>SUMPRODUCT(PRODUCE!$B144:$DY144,PRODUCE!$EB$33:$IY$33)</f>
        <v>0</v>
      </c>
      <c r="IG135" s="56"/>
      <c r="IH135" s="242">
        <f t="shared" si="835"/>
        <v>0</v>
      </c>
      <c r="II135" s="242">
        <f t="shared" si="836"/>
        <v>6540</v>
      </c>
      <c r="IJ135" s="56"/>
      <c r="IM135" s="55">
        <f t="shared" si="837"/>
        <v>46136</v>
      </c>
      <c r="IN135" s="56"/>
      <c r="IO135" s="242">
        <f>SUMPRODUCT(PRODUCE!$B144:$DY144,PRODUCE!$EB$34:$IY$34)</f>
        <v>0</v>
      </c>
      <c r="IP135" s="56"/>
      <c r="IQ135" s="242">
        <f t="shared" si="838"/>
        <v>0</v>
      </c>
      <c r="IR135" s="242">
        <f t="shared" si="839"/>
        <v>11540</v>
      </c>
      <c r="IS135" s="56"/>
      <c r="IV135" s="55">
        <f t="shared" si="840"/>
        <v>46136</v>
      </c>
      <c r="IW135" s="56"/>
      <c r="IX135" s="242">
        <f>SUMPRODUCT(PRODUCE!$B144:$DY144,PRODUCE!$EB$35:$IY$35)</f>
        <v>0</v>
      </c>
      <c r="IY135" s="56"/>
      <c r="IZ135" s="242">
        <f t="shared" si="841"/>
        <v>0</v>
      </c>
      <c r="JA135" s="242">
        <f t="shared" si="842"/>
        <v>15120</v>
      </c>
      <c r="JB135" s="56"/>
      <c r="JE135" s="55">
        <f t="shared" si="843"/>
        <v>46136</v>
      </c>
      <c r="JF135" s="56"/>
      <c r="JG135" s="242">
        <f>SUMPRODUCT(PRODUCE!$B144:$DY144,PRODUCE!$EB$36:$IY$36)</f>
        <v>0</v>
      </c>
      <c r="JH135" s="56"/>
      <c r="JI135" s="242">
        <f t="shared" si="844"/>
        <v>0</v>
      </c>
      <c r="JJ135" s="242">
        <f t="shared" si="845"/>
        <v>5040</v>
      </c>
      <c r="JK135" s="56"/>
      <c r="JN135" s="55">
        <f t="shared" si="846"/>
        <v>46136</v>
      </c>
      <c r="JO135" s="56"/>
      <c r="JP135" s="242">
        <f>SUMPRODUCT(PRODUCE!$B144:$DY144,PRODUCE!$EB$37:$IY$37)</f>
        <v>0</v>
      </c>
      <c r="JQ135" s="56"/>
      <c r="JR135" s="242">
        <f t="shared" si="847"/>
        <v>0</v>
      </c>
      <c r="JS135" s="242">
        <f t="shared" si="848"/>
        <v>9100</v>
      </c>
      <c r="JT135" s="56"/>
      <c r="JW135" s="55">
        <f t="shared" si="849"/>
        <v>46136</v>
      </c>
      <c r="JX135" s="56"/>
      <c r="JY135" s="242">
        <f>SUMPRODUCT(PRODUCE!$B144:$DY144,PRODUCE!$EB$38:$IY$38)</f>
        <v>0</v>
      </c>
      <c r="JZ135" s="56"/>
      <c r="KA135" s="242">
        <f t="shared" si="850"/>
        <v>0</v>
      </c>
      <c r="KB135" s="242">
        <f t="shared" si="851"/>
        <v>2540</v>
      </c>
      <c r="KC135" s="56"/>
      <c r="KF135" s="55">
        <f t="shared" si="852"/>
        <v>46136</v>
      </c>
      <c r="KG135" s="56"/>
      <c r="KH135" s="242">
        <f>SUMPRODUCT(PRODUCE!$B144:$DY144,PRODUCE!$EB$39:$IY$39)</f>
        <v>0</v>
      </c>
      <c r="KI135" s="56"/>
      <c r="KJ135" s="242">
        <f t="shared" si="853"/>
        <v>0</v>
      </c>
      <c r="KK135" s="242">
        <f t="shared" si="854"/>
        <v>19.5</v>
      </c>
      <c r="KL135" s="56"/>
      <c r="KO135" s="55">
        <f t="shared" si="855"/>
        <v>46136</v>
      </c>
      <c r="KP135" s="56"/>
      <c r="KQ135" s="242">
        <f>SUMPRODUCT(PRODUCE!$B144:$DY144,PRODUCE!$EB$40:$IY$40)</f>
        <v>0</v>
      </c>
      <c r="KR135" s="56"/>
      <c r="KS135" s="242">
        <f t="shared" si="856"/>
        <v>0</v>
      </c>
      <c r="KT135" s="242">
        <f t="shared" si="857"/>
        <v>3817.7999999999997</v>
      </c>
      <c r="KU135" s="56"/>
      <c r="KW135" s="23"/>
      <c r="KX135" s="55">
        <f t="shared" si="858"/>
        <v>46136</v>
      </c>
      <c r="KY135" s="56"/>
      <c r="KZ135" s="242">
        <f>SUMPRODUCT(PRODUCE!$B144:$DY144,PRODUCE!$EB$41:$IY$41)</f>
        <v>0</v>
      </c>
      <c r="LA135" s="56"/>
      <c r="LB135" s="242">
        <f t="shared" si="859"/>
        <v>0</v>
      </c>
      <c r="LC135" s="242">
        <f t="shared" si="860"/>
        <v>3690</v>
      </c>
      <c r="LD135" s="56"/>
      <c r="LG135" s="55">
        <f t="shared" si="861"/>
        <v>46136</v>
      </c>
      <c r="LH135" s="56"/>
      <c r="LI135" s="242">
        <f>SUMPRODUCT(PRODUCE!$B144:$DY144,PRODUCE!$EB$42:$IY$42)</f>
        <v>0</v>
      </c>
      <c r="LJ135" s="56"/>
      <c r="LK135" s="242">
        <f t="shared" si="862"/>
        <v>0</v>
      </c>
      <c r="LL135" s="242">
        <f t="shared" si="863"/>
        <v>4000</v>
      </c>
      <c r="LM135" s="56"/>
      <c r="LP135" s="55">
        <f t="shared" si="864"/>
        <v>46136</v>
      </c>
      <c r="LQ135" s="56"/>
      <c r="LR135" s="242">
        <f>SUMPRODUCT(PRODUCE!$B150:$DY150,PRODUCE!$EB$43:$IY$43)</f>
        <v>0</v>
      </c>
      <c r="LS135" s="56"/>
      <c r="LT135" s="242">
        <f t="shared" si="865"/>
        <v>0</v>
      </c>
      <c r="LU135" s="242">
        <f t="shared" si="866"/>
        <v>0</v>
      </c>
      <c r="LV135" s="56"/>
      <c r="LY135" s="55">
        <f t="shared" si="867"/>
        <v>46136</v>
      </c>
      <c r="LZ135" s="56"/>
      <c r="MA135" s="242">
        <f>SUMPRODUCT(PRODUCE!$B144:$DY144,PRODUCE!$EB$44:$IY$44)</f>
        <v>0</v>
      </c>
      <c r="MB135" s="56"/>
      <c r="MC135" s="242">
        <f t="shared" si="868"/>
        <v>0</v>
      </c>
      <c r="MD135" s="242">
        <f t="shared" si="869"/>
        <v>0</v>
      </c>
      <c r="ME135" s="56"/>
      <c r="MH135" s="55">
        <f t="shared" si="870"/>
        <v>46136</v>
      </c>
      <c r="MI135" s="56"/>
      <c r="MJ135" s="242">
        <f>SUMPRODUCT(PRODUCE!$B144:$DY144,PRODUCE!$EB$45:$IY$45)</f>
        <v>0</v>
      </c>
      <c r="MK135" s="56"/>
      <c r="ML135" s="242">
        <f t="shared" si="871"/>
        <v>0</v>
      </c>
      <c r="MM135" s="242">
        <f t="shared" si="872"/>
        <v>0</v>
      </c>
      <c r="MN135" s="56"/>
      <c r="MQ135" s="55">
        <f t="shared" si="873"/>
        <v>46136</v>
      </c>
      <c r="MR135" s="56"/>
      <c r="MS135" s="242">
        <f>SUMPRODUCT(PRODUCE!$B144:$DY144,PRODUCE!$EB$46:$IY$46)</f>
        <v>29</v>
      </c>
      <c r="MT135" s="56"/>
      <c r="MU135" s="242">
        <f t="shared" si="874"/>
        <v>29</v>
      </c>
      <c r="MV135" s="242">
        <f t="shared" si="875"/>
        <v>4069</v>
      </c>
      <c r="MW135" s="56"/>
      <c r="MZ135" s="55">
        <f t="shared" si="876"/>
        <v>46136</v>
      </c>
      <c r="NA135" s="56"/>
      <c r="NB135" s="242">
        <f>SUMPRODUCT(PRODUCE!$B144:$DY144,PRODUCE!$EB$47:$IY$47)</f>
        <v>0</v>
      </c>
      <c r="NC135" s="56"/>
      <c r="ND135" s="242">
        <f t="shared" si="877"/>
        <v>0</v>
      </c>
      <c r="NE135" s="242">
        <f t="shared" si="878"/>
        <v>0</v>
      </c>
      <c r="NF135" s="56"/>
      <c r="NI135" s="55">
        <f t="shared" si="879"/>
        <v>46136</v>
      </c>
      <c r="NJ135" s="56"/>
      <c r="NK135" s="242">
        <f>SUMPRODUCT(PRODUCE!$B144:$DY144,PRODUCE!$EB$48:$IY$48)</f>
        <v>0</v>
      </c>
      <c r="NL135" s="56"/>
      <c r="NM135" s="242">
        <f t="shared" si="880"/>
        <v>0</v>
      </c>
      <c r="NN135" s="242">
        <f t="shared" si="881"/>
        <v>1229</v>
      </c>
      <c r="NO135" s="56"/>
      <c r="NR135" s="55">
        <f t="shared" si="882"/>
        <v>46136</v>
      </c>
      <c r="NS135" s="56"/>
      <c r="NT135" s="242">
        <f>SUMPRODUCT(PRODUCE!$B144:$DY144,PRODUCE!$EB$49:$IY$49)</f>
        <v>0</v>
      </c>
      <c r="NU135" s="56"/>
      <c r="NV135" s="242">
        <f t="shared" si="883"/>
        <v>0</v>
      </c>
      <c r="NW135" s="242">
        <f t="shared" si="884"/>
        <v>3233.2999999999997</v>
      </c>
      <c r="NX135" s="56"/>
      <c r="OA135" s="55">
        <f t="shared" si="885"/>
        <v>46136</v>
      </c>
      <c r="OB135" s="56"/>
      <c r="OC135" s="242">
        <f>SUMPRODUCT(PRODUCE!$B144:$DY144,PRODUCE!$EB$50:$IY$50)</f>
        <v>0</v>
      </c>
      <c r="OD135" s="56"/>
      <c r="OE135" s="242">
        <f t="shared" si="886"/>
        <v>0</v>
      </c>
      <c r="OF135" s="242">
        <f t="shared" si="887"/>
        <v>1680.5</v>
      </c>
      <c r="OG135" s="56"/>
      <c r="OJ135" s="55">
        <f t="shared" si="888"/>
        <v>46136</v>
      </c>
      <c r="OK135" s="56"/>
      <c r="OL135" s="242">
        <f>SUMPRODUCT(PRODUCE!$B144:$DY144,PRODUCE!$EB$51:$IY$51)</f>
        <v>0</v>
      </c>
      <c r="OM135" s="56"/>
      <c r="ON135" s="242">
        <f t="shared" si="889"/>
        <v>0</v>
      </c>
      <c r="OO135" s="242">
        <f t="shared" si="890"/>
        <v>0</v>
      </c>
      <c r="OP135" s="56"/>
      <c r="OS135" s="55">
        <f t="shared" si="891"/>
        <v>46136</v>
      </c>
      <c r="OT135" s="56"/>
      <c r="OU135" s="242">
        <f>SUMPRODUCT(PRODUCE!$B144:$DY144,PRODUCE!$EB$52:$IY$52)</f>
        <v>0</v>
      </c>
      <c r="OV135" s="56"/>
      <c r="OW135" s="242">
        <f t="shared" si="892"/>
        <v>0</v>
      </c>
      <c r="OX135" s="242">
        <f t="shared" si="893"/>
        <v>1000</v>
      </c>
      <c r="OY135" s="56"/>
      <c r="PB135" s="55">
        <f t="shared" si="894"/>
        <v>46136</v>
      </c>
      <c r="PC135" s="56"/>
      <c r="PD135" s="242">
        <f>SUMPRODUCT(PRODUCE!$B144:$DY144,PRODUCE!$EB$53:$IY$53)</f>
        <v>0</v>
      </c>
      <c r="PE135" s="56"/>
      <c r="PF135" s="242">
        <f t="shared" si="895"/>
        <v>0</v>
      </c>
      <c r="PG135" s="242">
        <f t="shared" si="896"/>
        <v>0</v>
      </c>
      <c r="PH135" s="56"/>
      <c r="PK135" s="55">
        <f t="shared" si="897"/>
        <v>46136</v>
      </c>
      <c r="PL135" s="56"/>
      <c r="PM135" s="242">
        <f>SUMPRODUCT(PRODUCE!$B144:$DY144,PRODUCE!$EB$54:$IY$54)</f>
        <v>0</v>
      </c>
      <c r="PN135" s="56"/>
      <c r="PO135" s="242">
        <f t="shared" si="898"/>
        <v>0</v>
      </c>
      <c r="PP135" s="242">
        <f t="shared" si="899"/>
        <v>100</v>
      </c>
      <c r="PQ135" s="56"/>
      <c r="PT135" s="55">
        <f t="shared" si="900"/>
        <v>46136</v>
      </c>
      <c r="PU135" s="56"/>
      <c r="PV135" s="242">
        <f>SUMPRODUCT(PRODUCE!$B144:$DY144,PRODUCE!$EB$55:$IY$55)</f>
        <v>0</v>
      </c>
      <c r="PW135" s="56"/>
      <c r="PX135" s="242">
        <f t="shared" si="901"/>
        <v>0</v>
      </c>
      <c r="PY135" s="242">
        <f t="shared" si="902"/>
        <v>13.960000000000036</v>
      </c>
      <c r="PZ135" s="56"/>
      <c r="QC135" s="55">
        <f t="shared" si="903"/>
        <v>46136</v>
      </c>
      <c r="QD135" s="56"/>
      <c r="QE135" s="242">
        <f>SUMPRODUCT(PRODUCE!$B144:$DY144,PRODUCE!$EB$56:$IY$56)</f>
        <v>0</v>
      </c>
      <c r="QF135" s="56"/>
      <c r="QG135" s="242">
        <f t="shared" si="904"/>
        <v>0</v>
      </c>
      <c r="QH135" s="242">
        <f t="shared" si="905"/>
        <v>1212</v>
      </c>
      <c r="QI135" s="56"/>
      <c r="QL135" s="55">
        <f t="shared" si="906"/>
        <v>46136</v>
      </c>
      <c r="QM135" s="56"/>
      <c r="QN135" s="242">
        <f>SUMPRODUCT(PRODUCE!$B144:$DY144,PRODUCE!$EB$57:$IY$57)</f>
        <v>0</v>
      </c>
      <c r="QO135" s="56"/>
      <c r="QP135" s="242">
        <f t="shared" si="907"/>
        <v>0</v>
      </c>
      <c r="QQ135" s="242">
        <f t="shared" si="908"/>
        <v>400</v>
      </c>
      <c r="QR135" s="56"/>
      <c r="QU135" s="55">
        <f t="shared" si="909"/>
        <v>46136</v>
      </c>
      <c r="QV135" s="56"/>
      <c r="QW135" s="242">
        <f>SUMPRODUCT(PRODUCE!$B144:$DY144,PRODUCE!$EB$57:$IY$57)</f>
        <v>0</v>
      </c>
      <c r="QX135" s="56"/>
      <c r="QY135" s="242">
        <f t="shared" si="910"/>
        <v>0</v>
      </c>
      <c r="QZ135" s="242">
        <f t="shared" si="911"/>
        <v>207.6</v>
      </c>
      <c r="RA135" s="56"/>
      <c r="RD135" s="55">
        <f t="shared" si="912"/>
        <v>46136</v>
      </c>
      <c r="RE135" s="56"/>
      <c r="RF135" s="242">
        <f>SUMPRODUCT(PRODUCE!$B144:$DY144,PRODUCE!$EB$58:$IY$58)</f>
        <v>0</v>
      </c>
      <c r="RG135" s="56"/>
      <c r="RH135" s="242">
        <f t="shared" si="913"/>
        <v>0</v>
      </c>
      <c r="RI135" s="242">
        <f t="shared" si="914"/>
        <v>147.04000000000002</v>
      </c>
      <c r="RJ135" s="56"/>
      <c r="RM135" s="55">
        <f t="shared" si="915"/>
        <v>46136</v>
      </c>
      <c r="RN135" s="56"/>
      <c r="RO135" s="242">
        <f>SUMPRODUCT(PRODUCE!$B144:$DY144,PRODUCE!$EB$57:$IY$57)</f>
        <v>0</v>
      </c>
      <c r="RP135" s="56"/>
      <c r="RQ135" s="242">
        <f t="shared" si="916"/>
        <v>0</v>
      </c>
      <c r="RR135" s="242">
        <f t="shared" si="917"/>
        <v>46.8</v>
      </c>
      <c r="RS135" s="56"/>
      <c r="RV135" s="55">
        <f t="shared" si="918"/>
        <v>46136</v>
      </c>
      <c r="RW135" s="56"/>
      <c r="RX135" s="242">
        <f>SUMPRODUCT(PRODUCE!$B144:$DY144,PRODUCE!$EB$57:$IY$57)</f>
        <v>0</v>
      </c>
      <c r="RY135" s="56"/>
      <c r="RZ135" s="242">
        <f t="shared" si="919"/>
        <v>0</v>
      </c>
      <c r="SA135" s="242">
        <f t="shared" si="920"/>
        <v>0</v>
      </c>
      <c r="SB135" s="56"/>
      <c r="SE135" s="55">
        <f t="shared" si="921"/>
        <v>46136</v>
      </c>
      <c r="SF135" s="56"/>
      <c r="SG135" s="242">
        <f>SUMPRODUCT(PRODUCE!$B144:$DY144,PRODUCE!$EB$57:$IY$57)</f>
        <v>0</v>
      </c>
      <c r="SH135" s="56"/>
      <c r="SI135" s="242">
        <f t="shared" si="922"/>
        <v>0</v>
      </c>
      <c r="SJ135" s="242">
        <f t="shared" si="923"/>
        <v>125</v>
      </c>
      <c r="SK135" s="56"/>
      <c r="SN135" s="55">
        <f t="shared" si="924"/>
        <v>46136</v>
      </c>
      <c r="SO135" s="56"/>
      <c r="SP135" s="242">
        <f>SUMPRODUCT(PRODUCE!$B144:$DY144,PRODUCE!$EB$57:$IY$57)</f>
        <v>0</v>
      </c>
      <c r="SQ135" s="56"/>
      <c r="SR135" s="242">
        <f t="shared" si="925"/>
        <v>0</v>
      </c>
      <c r="SS135" s="242">
        <f t="shared" si="926"/>
        <v>200</v>
      </c>
      <c r="ST135" s="56"/>
      <c r="SW135" s="55">
        <f t="shared" si="927"/>
        <v>46136</v>
      </c>
      <c r="SX135" s="56"/>
      <c r="SY135" s="242">
        <f>SUMPRODUCT(PRODUCE!$B144:$DY144,PRODUCE!$EB$57:$IY$57)</f>
        <v>0</v>
      </c>
      <c r="SZ135" s="56"/>
      <c r="TA135" s="242">
        <f t="shared" si="928"/>
        <v>0</v>
      </c>
      <c r="TB135" s="242">
        <f t="shared" si="929"/>
        <v>0</v>
      </c>
      <c r="TC135" s="56"/>
      <c r="TF135" s="55">
        <f t="shared" si="930"/>
        <v>46136</v>
      </c>
      <c r="TG135" s="56"/>
      <c r="TH135" s="242">
        <f>SUMPRODUCT(PRODUCE!$B144:$DY144,PRODUCE!$EB$57:$IY$57)</f>
        <v>0</v>
      </c>
      <c r="TI135" s="56"/>
      <c r="TJ135" s="242">
        <f t="shared" si="931"/>
        <v>0</v>
      </c>
      <c r="TK135" s="242">
        <f t="shared" si="932"/>
        <v>0</v>
      </c>
      <c r="TL135" s="56"/>
      <c r="TO135" s="55">
        <f t="shared" si="933"/>
        <v>46136</v>
      </c>
      <c r="TP135" s="56"/>
      <c r="TQ135" s="242">
        <f>SUMPRODUCT(PRODUCE!$B144:$DY144,PRODUCE!$EB$57:$IY$57)</f>
        <v>0</v>
      </c>
      <c r="TR135" s="56"/>
      <c r="TS135" s="242">
        <f t="shared" si="934"/>
        <v>0</v>
      </c>
      <c r="TT135" s="242">
        <f t="shared" si="935"/>
        <v>0</v>
      </c>
      <c r="TU135" s="56"/>
      <c r="TX135" s="55">
        <f t="shared" si="936"/>
        <v>46136</v>
      </c>
      <c r="TY135" s="56"/>
      <c r="TZ135" s="242">
        <f>SUMPRODUCT(PRODUCE!$B144:$DY144,PRODUCE!$EB$57:$IY$57)</f>
        <v>0</v>
      </c>
      <c r="UA135" s="56"/>
      <c r="UB135" s="242">
        <f t="shared" si="937"/>
        <v>0</v>
      </c>
      <c r="UC135" s="242">
        <f t="shared" si="938"/>
        <v>0</v>
      </c>
      <c r="UD135" s="56"/>
      <c r="UG135" s="55">
        <f t="shared" si="939"/>
        <v>46136</v>
      </c>
      <c r="UH135" s="56"/>
      <c r="UI135" s="242">
        <f>SUMPRODUCT(PRODUCE!$B144:$DY144,PRODUCE!$EB$57:$IY$57)</f>
        <v>0</v>
      </c>
      <c r="UJ135" s="56"/>
      <c r="UK135" s="242">
        <f t="shared" si="940"/>
        <v>0</v>
      </c>
      <c r="UL135" s="242">
        <f t="shared" si="941"/>
        <v>0</v>
      </c>
      <c r="UM135" s="56"/>
      <c r="UP135" s="55">
        <f t="shared" si="942"/>
        <v>46136</v>
      </c>
      <c r="UQ135" s="56"/>
      <c r="UR135" s="242">
        <f>SUMPRODUCT(PRODUCE!$B144:$DY144,PRODUCE!$EB$57:$IY$57)</f>
        <v>0</v>
      </c>
      <c r="US135" s="56"/>
      <c r="UT135" s="242">
        <f t="shared" si="943"/>
        <v>0</v>
      </c>
      <c r="UU135" s="242">
        <f t="shared" si="944"/>
        <v>0</v>
      </c>
      <c r="UV135" s="56"/>
      <c r="UY135" s="55">
        <f t="shared" si="945"/>
        <v>46136</v>
      </c>
      <c r="UZ135" s="56"/>
      <c r="VA135" s="242">
        <f>SUMPRODUCT(PRODUCE!$B144:$DY144,PRODUCE!$EB$57:$IY$57)</f>
        <v>0</v>
      </c>
      <c r="VB135" s="56"/>
      <c r="VC135" s="242">
        <f t="shared" si="946"/>
        <v>0</v>
      </c>
      <c r="VD135" s="242">
        <f t="shared" si="947"/>
        <v>41.600000000000023</v>
      </c>
      <c r="VE135" s="56"/>
      <c r="VH135" s="55">
        <f t="shared" si="948"/>
        <v>46136</v>
      </c>
      <c r="VI135" s="56"/>
      <c r="VJ135" s="242">
        <f>SUMPRODUCT(PRODUCE!$B144:$DY144,PRODUCE!$EB$57:$IY$57)</f>
        <v>0</v>
      </c>
      <c r="VK135" s="56"/>
      <c r="VL135" s="242">
        <f t="shared" si="949"/>
        <v>0</v>
      </c>
      <c r="VM135" s="242">
        <f t="shared" si="950"/>
        <v>0</v>
      </c>
      <c r="VN135" s="56"/>
      <c r="VQ135" s="55">
        <f t="shared" si="951"/>
        <v>46136</v>
      </c>
      <c r="VR135" s="56"/>
      <c r="VS135" s="242">
        <f>SUMPRODUCT(PRODUCE!$B144:$DY144,PRODUCE!$EB$57:$IY$57)</f>
        <v>0</v>
      </c>
      <c r="VT135" s="56"/>
      <c r="VU135" s="242">
        <f t="shared" si="952"/>
        <v>0</v>
      </c>
      <c r="VV135" s="242">
        <f t="shared" si="953"/>
        <v>0</v>
      </c>
      <c r="VW135" s="56"/>
      <c r="VZ135" s="55">
        <f t="shared" si="954"/>
        <v>46136</v>
      </c>
      <c r="WA135" s="56"/>
      <c r="WB135" s="242">
        <f>SUMPRODUCT(PRODUCE!$B144:$DY144,PRODUCE!$EB$57:$IY$57)</f>
        <v>0</v>
      </c>
      <c r="WC135" s="56"/>
      <c r="WD135" s="242">
        <f t="shared" si="955"/>
        <v>0</v>
      </c>
      <c r="WE135" s="242">
        <f t="shared" si="956"/>
        <v>0</v>
      </c>
      <c r="WF135" s="56"/>
      <c r="WI135" s="55">
        <f t="shared" si="957"/>
        <v>46136</v>
      </c>
      <c r="WJ135" s="56"/>
      <c r="WK135" s="242">
        <f>SUMPRODUCT(PRODUCE!$B144:$DY144,PRODUCE!$EB$57:$IY$57)</f>
        <v>0</v>
      </c>
      <c r="WL135" s="56"/>
      <c r="WM135" s="242">
        <f t="shared" si="958"/>
        <v>0</v>
      </c>
      <c r="WN135" s="242">
        <f t="shared" si="959"/>
        <v>2317</v>
      </c>
      <c r="WO135" s="56"/>
      <c r="WR135" s="55">
        <f t="shared" si="960"/>
        <v>46136</v>
      </c>
      <c r="WS135" s="56"/>
      <c r="WT135" s="242">
        <f>SUMPRODUCT(PRODUCE!$B144:$DY144,PRODUCE!$EB$57:$IY$57)</f>
        <v>0</v>
      </c>
      <c r="WU135" s="56"/>
      <c r="WV135" s="242">
        <f t="shared" si="961"/>
        <v>0</v>
      </c>
      <c r="WW135" s="242">
        <f t="shared" si="962"/>
        <v>2597</v>
      </c>
      <c r="WX135" s="56"/>
      <c r="XA135" s="55">
        <f t="shared" si="963"/>
        <v>46136</v>
      </c>
      <c r="XB135" s="56"/>
      <c r="XC135" s="242">
        <f>SUMPRODUCT(PRODUCE!$B144:$DY144,PRODUCE!$EB$57:$IY$57)</f>
        <v>0</v>
      </c>
      <c r="XD135" s="56">
        <v>541</v>
      </c>
      <c r="XE135" s="242">
        <f t="shared" si="964"/>
        <v>-541</v>
      </c>
      <c r="XF135" s="242">
        <f t="shared" si="965"/>
        <v>14327</v>
      </c>
      <c r="XG135" s="56"/>
      <c r="XJ135" s="55">
        <f t="shared" si="966"/>
        <v>46136</v>
      </c>
      <c r="XK135" s="56"/>
      <c r="XL135" s="242">
        <f>SUMPRODUCT(PRODUCE!$B144:$DY144,PRODUCE!$EB$57:$IY$57)</f>
        <v>0</v>
      </c>
      <c r="XM135" s="56"/>
      <c r="XN135" s="242">
        <f t="shared" si="967"/>
        <v>0</v>
      </c>
      <c r="XO135" s="242">
        <f t="shared" si="968"/>
        <v>2376</v>
      </c>
      <c r="XP135" s="56"/>
      <c r="XS135" s="55">
        <f t="shared" si="969"/>
        <v>46136</v>
      </c>
      <c r="XT135" s="56"/>
      <c r="XU135" s="242">
        <f>SUMPRODUCT(PRODUCE!$B144:$DY144,PRODUCE!$EB$57:$IY$57)</f>
        <v>0</v>
      </c>
      <c r="XV135" s="56"/>
      <c r="XW135" s="242">
        <f t="shared" si="970"/>
        <v>0</v>
      </c>
      <c r="XX135" s="242">
        <f t="shared" si="971"/>
        <v>1901</v>
      </c>
      <c r="XY135" s="56"/>
      <c r="YB135" s="55">
        <f t="shared" si="972"/>
        <v>46136</v>
      </c>
      <c r="YC135" s="56"/>
      <c r="YD135" s="242">
        <f>SUMPRODUCT(PRODUCE!$B144:$DY144,PRODUCE!$EB$57:$IY$57)</f>
        <v>0</v>
      </c>
      <c r="YE135" s="56"/>
      <c r="YF135" s="242">
        <f t="shared" si="973"/>
        <v>0</v>
      </c>
      <c r="YG135" s="242">
        <f t="shared" si="974"/>
        <v>6459</v>
      </c>
      <c r="YH135" s="56"/>
      <c r="YK135" s="55">
        <f t="shared" si="975"/>
        <v>46136</v>
      </c>
      <c r="YL135" s="56"/>
      <c r="YM135" s="242">
        <f>SUMPRODUCT(PRODUCE!$B144:$DY144,PRODUCE!$EB$57:$IY$57)</f>
        <v>0</v>
      </c>
      <c r="YN135" s="56"/>
      <c r="YO135" s="242">
        <f t="shared" si="976"/>
        <v>0</v>
      </c>
      <c r="YP135" s="242">
        <f t="shared" si="977"/>
        <v>0</v>
      </c>
      <c r="YQ135" s="56"/>
      <c r="YT135" s="55">
        <f t="shared" si="978"/>
        <v>46136</v>
      </c>
      <c r="YU135" s="56"/>
      <c r="YV135" s="242">
        <f>SUMPRODUCT(PRODUCE!$B144:$DY144,PRODUCE!$EB$57:$IY$57)</f>
        <v>0</v>
      </c>
      <c r="YW135" s="56"/>
      <c r="YX135" s="242">
        <f t="shared" si="979"/>
        <v>0</v>
      </c>
      <c r="YY135" s="242">
        <f t="shared" si="980"/>
        <v>0</v>
      </c>
      <c r="YZ135" s="56"/>
      <c r="ZC135" s="55">
        <f t="shared" si="981"/>
        <v>46136</v>
      </c>
      <c r="ZD135" s="56"/>
      <c r="ZE135" s="242">
        <f>SUMPRODUCT(PRODUCE!$B144:$DY144,PRODUCE!$EB$57:$IY$57)</f>
        <v>0</v>
      </c>
      <c r="ZF135" s="56"/>
      <c r="ZG135" s="242">
        <f t="shared" si="982"/>
        <v>0</v>
      </c>
      <c r="ZH135" s="242">
        <f t="shared" si="983"/>
        <v>0</v>
      </c>
      <c r="ZI135" s="56"/>
      <c r="ZL135" s="55">
        <f t="shared" si="984"/>
        <v>46136</v>
      </c>
      <c r="ZM135" s="56"/>
      <c r="ZN135" s="242">
        <f>SUMPRODUCT(PRODUCE!$B144:$DY144,PRODUCE!$EB$57:$IY$57)</f>
        <v>0</v>
      </c>
      <c r="ZO135" s="56"/>
      <c r="ZP135" s="242">
        <f t="shared" si="985"/>
        <v>0</v>
      </c>
      <c r="ZQ135" s="242">
        <f t="shared" si="986"/>
        <v>0</v>
      </c>
      <c r="ZR135" s="56"/>
      <c r="ZU135" s="55">
        <f t="shared" si="987"/>
        <v>46136</v>
      </c>
      <c r="ZV135" s="56"/>
      <c r="ZW135" s="242">
        <f>SUMPRODUCT(PRODUCE!$B144:$DY144,PRODUCE!$EB$57:$IY$57)</f>
        <v>0</v>
      </c>
      <c r="ZX135" s="56"/>
      <c r="ZY135" s="242">
        <f t="shared" si="988"/>
        <v>0</v>
      </c>
      <c r="ZZ135" s="242">
        <f t="shared" si="989"/>
        <v>0</v>
      </c>
      <c r="AAA135" s="56"/>
      <c r="AAD135" s="55">
        <f t="shared" si="990"/>
        <v>46136</v>
      </c>
      <c r="AAE135" s="56"/>
      <c r="AAF135" s="242">
        <f>SUMPRODUCT(PRODUCE!$B144:$DY144,PRODUCE!$EB$57:$IY$57)</f>
        <v>0</v>
      </c>
      <c r="AAG135" s="56"/>
      <c r="AAH135" s="242">
        <f t="shared" si="991"/>
        <v>0</v>
      </c>
      <c r="AAI135" s="242">
        <f t="shared" si="992"/>
        <v>0</v>
      </c>
      <c r="AAJ135" s="56"/>
      <c r="AAM135" s="55">
        <f t="shared" si="993"/>
        <v>46136</v>
      </c>
      <c r="AAN135" s="56"/>
      <c r="AAO135" s="242">
        <f>SUMPRODUCT(PRODUCE!$B144:$DY144,PRODUCE!$EB$57:$IY$57)</f>
        <v>0</v>
      </c>
      <c r="AAP135" s="56"/>
      <c r="AAQ135" s="242">
        <f t="shared" si="994"/>
        <v>0</v>
      </c>
      <c r="AAR135" s="242">
        <f t="shared" si="995"/>
        <v>0</v>
      </c>
      <c r="AAS135" s="56"/>
      <c r="AAV135" s="55">
        <f t="shared" si="996"/>
        <v>46136</v>
      </c>
      <c r="AAW135" s="56"/>
      <c r="AAX135" s="242">
        <f>SUMPRODUCT(PRODUCE!$B144:$DY144,PRODUCE!$EB$57:$IY$57)</f>
        <v>0</v>
      </c>
      <c r="AAY135" s="56"/>
      <c r="AAZ135" s="242">
        <f t="shared" si="997"/>
        <v>0</v>
      </c>
      <c r="ABA135" s="242">
        <f t="shared" si="998"/>
        <v>0</v>
      </c>
      <c r="ABB135" s="56"/>
      <c r="ABE135" s="55">
        <f t="shared" si="999"/>
        <v>46136</v>
      </c>
      <c r="ABF135" s="56"/>
      <c r="ABG135" s="242">
        <f>SUMPRODUCT(PRODUCE!$B144:$DY144,PRODUCE!$EB$57:$IY$57)</f>
        <v>0</v>
      </c>
      <c r="ABH135" s="56"/>
      <c r="ABI135" s="242">
        <f t="shared" si="1000"/>
        <v>0</v>
      </c>
      <c r="ABJ135" s="242">
        <f t="shared" si="1001"/>
        <v>0</v>
      </c>
      <c r="ABK135" s="56"/>
    </row>
    <row r="136" spans="1:739" s="54" customFormat="1" ht="15" customHeight="1" outlineLevel="1">
      <c r="B136" s="478">
        <f>40+40+18</f>
        <v>98</v>
      </c>
      <c r="C136" s="55">
        <v>46137</v>
      </c>
      <c r="D136" s="422"/>
      <c r="E136" s="423">
        <f>SUMPRODUCT(PRODUCE!$B145:$DY145,PRODUCE!$EB$7:$IY$7)</f>
        <v>52773</v>
      </c>
      <c r="F136" s="422">
        <v>52770.400000000001</v>
      </c>
      <c r="G136" s="423">
        <f t="shared" si="1002"/>
        <v>2.5999999999985448</v>
      </c>
      <c r="H136" s="423">
        <f t="shared" si="1003"/>
        <v>134294.40000000005</v>
      </c>
      <c r="I136" s="289" t="s">
        <v>254</v>
      </c>
      <c r="L136" s="55">
        <f t="shared" si="759"/>
        <v>46137</v>
      </c>
      <c r="M136" s="422"/>
      <c r="N136" s="438">
        <f>SUMPRODUCT(PRODUCE!$B145:$DY145,PRODUCE!$EB$8:$IY$8)</f>
        <v>17517</v>
      </c>
      <c r="O136" s="422">
        <v>17521.400000000001</v>
      </c>
      <c r="P136" s="438">
        <f t="shared" si="760"/>
        <v>-4.4000000000014552</v>
      </c>
      <c r="Q136" s="438">
        <f t="shared" si="761"/>
        <v>90706.600000000093</v>
      </c>
      <c r="R136" s="56"/>
      <c r="U136" s="55">
        <f t="shared" si="762"/>
        <v>46137</v>
      </c>
      <c r="V136" s="422"/>
      <c r="W136" s="440">
        <f>SUMPRODUCT(PRODUCE!$B145:$DY145,PRODUCE!$EB$9:$IY$9)</f>
        <v>8180</v>
      </c>
      <c r="X136" s="422">
        <v>8180.7</v>
      </c>
      <c r="Y136" s="440">
        <f t="shared" si="763"/>
        <v>-0.6999999999998181</v>
      </c>
      <c r="Z136" s="440">
        <f t="shared" si="764"/>
        <v>40638.399999999972</v>
      </c>
      <c r="AA136" s="56"/>
      <c r="AD136" s="55">
        <f t="shared" si="765"/>
        <v>46137</v>
      </c>
      <c r="AE136" s="422"/>
      <c r="AF136" s="442">
        <f>SUMPRODUCT(PRODUCE!$B145:$DY145,PRODUCE!$EB$10:$IY$10)</f>
        <v>2260</v>
      </c>
      <c r="AG136" s="422">
        <v>2261.9</v>
      </c>
      <c r="AH136" s="442">
        <f t="shared" si="766"/>
        <v>-1.9000000000000909</v>
      </c>
      <c r="AI136" s="442">
        <f t="shared" si="767"/>
        <v>20887.900000000016</v>
      </c>
      <c r="AJ136" s="56"/>
      <c r="AM136" s="55">
        <f t="shared" si="768"/>
        <v>46137</v>
      </c>
      <c r="AN136" s="422"/>
      <c r="AO136" s="444">
        <f>SUMPRODUCT(PRODUCE!$B145:$DY145,PRODUCE!$EB$11:$IY$11)</f>
        <v>0</v>
      </c>
      <c r="AP136" s="422"/>
      <c r="AQ136" s="444">
        <f t="shared" si="769"/>
        <v>0</v>
      </c>
      <c r="AR136" s="444">
        <f t="shared" si="770"/>
        <v>0</v>
      </c>
      <c r="AS136" s="56"/>
      <c r="AV136" s="55">
        <f t="shared" si="771"/>
        <v>46137</v>
      </c>
      <c r="AW136" s="422"/>
      <c r="AX136" s="446">
        <f>SUMPRODUCT(PRODUCE!$B145:$DY145,PRODUCE!$EB$12:$IY$12)</f>
        <v>279</v>
      </c>
      <c r="AY136" s="422">
        <v>280</v>
      </c>
      <c r="AZ136" s="446">
        <f t="shared" si="772"/>
        <v>-1</v>
      </c>
      <c r="BA136" s="446">
        <f t="shared" si="773"/>
        <v>9066.9999999999927</v>
      </c>
      <c r="BB136" s="56"/>
      <c r="BE136" s="55">
        <f t="shared" si="774"/>
        <v>46137</v>
      </c>
      <c r="BF136" s="422"/>
      <c r="BG136" s="448">
        <f>SUMPRODUCT(PRODUCE!$B145:$DY145,PRODUCE!$EB$13:$IY$13)</f>
        <v>3930</v>
      </c>
      <c r="BH136" s="422">
        <v>3930.9</v>
      </c>
      <c r="BI136" s="448">
        <f t="shared" si="775"/>
        <v>-0.90000000000009095</v>
      </c>
      <c r="BJ136" s="448">
        <f t="shared" si="776"/>
        <v>34569.399999999987</v>
      </c>
      <c r="BK136" s="56"/>
      <c r="BN136" s="55">
        <f t="shared" si="777"/>
        <v>46137</v>
      </c>
      <c r="BO136" s="422">
        <v>2029.8</v>
      </c>
      <c r="BP136" s="450">
        <f>SUMPRODUCT(PRODUCE!$B145:$DY145,PRODUCE!$EB$14:$IY$14)</f>
        <v>2030</v>
      </c>
      <c r="BQ136" s="422">
        <v>2029.8</v>
      </c>
      <c r="BR136" s="450">
        <f t="shared" si="778"/>
        <v>0.20000000000004547</v>
      </c>
      <c r="BS136" s="450">
        <f t="shared" si="779"/>
        <v>0</v>
      </c>
      <c r="BT136" s="56"/>
      <c r="BW136" s="55">
        <f t="shared" si="780"/>
        <v>46137</v>
      </c>
      <c r="BX136" s="56"/>
      <c r="BY136" s="65">
        <f>SUMPRODUCT(PRODUCE!$B145:$DY145,PRODUCE!$EB$15:$IY$15)</f>
        <v>486</v>
      </c>
      <c r="BZ136" s="56">
        <v>231</v>
      </c>
      <c r="CA136" s="65">
        <f t="shared" si="781"/>
        <v>255</v>
      </c>
      <c r="CB136" s="65">
        <f t="shared" si="782"/>
        <v>6180.7999999999993</v>
      </c>
      <c r="CC136" s="56"/>
      <c r="CF136" s="55">
        <f t="shared" si="783"/>
        <v>46137</v>
      </c>
      <c r="CG136" s="56">
        <v>1034.92</v>
      </c>
      <c r="CH136" s="66">
        <f>SUMPRODUCT(PRODUCE!$B145:$DY145,PRODUCE!$EB$16:$IY$16)</f>
        <v>760</v>
      </c>
      <c r="CI136" s="56">
        <f>378+166.92+490</f>
        <v>1034.92</v>
      </c>
      <c r="CJ136" s="66">
        <f t="shared" si="784"/>
        <v>-274.92000000000007</v>
      </c>
      <c r="CK136" s="66">
        <f t="shared" si="785"/>
        <v>0</v>
      </c>
      <c r="CL136" s="56"/>
      <c r="CO136" s="55">
        <f t="shared" si="786"/>
        <v>46137</v>
      </c>
      <c r="CP136" s="422"/>
      <c r="CQ136" s="470">
        <f>SUMPRODUCT(PRODUCE!$B145:$DY145,PRODUCE!$EB$17:$IY$17)</f>
        <v>0</v>
      </c>
      <c r="CR136" s="422"/>
      <c r="CS136" s="470">
        <f t="shared" si="787"/>
        <v>0</v>
      </c>
      <c r="CT136" s="470">
        <f t="shared" si="788"/>
        <v>0</v>
      </c>
      <c r="CU136" s="56"/>
      <c r="CX136" s="55">
        <f t="shared" si="789"/>
        <v>46137</v>
      </c>
      <c r="CY136" s="56"/>
      <c r="CZ136" s="133">
        <f>SUMPRODUCT(PRODUCE!$B145:$DY145,PRODUCE!$EB$18:$IY$18)</f>
        <v>4000</v>
      </c>
      <c r="DA136" s="56">
        <v>4001.2</v>
      </c>
      <c r="DB136" s="133">
        <f t="shared" si="790"/>
        <v>-1.1999999999998181</v>
      </c>
      <c r="DC136" s="133">
        <f t="shared" si="791"/>
        <v>26158.700000000004</v>
      </c>
      <c r="DD136" s="56"/>
      <c r="DG136" s="55">
        <f t="shared" si="792"/>
        <v>46137</v>
      </c>
      <c r="DH136" s="56">
        <v>29570</v>
      </c>
      <c r="DI136" s="147">
        <f>SUMPRODUCT(PRODUCE!$B145:$DY145,PRODUCE!$EB$19:$IY$19)</f>
        <v>3200</v>
      </c>
      <c r="DJ136" s="56">
        <v>3198.8</v>
      </c>
      <c r="DK136" s="147">
        <f t="shared" si="793"/>
        <v>1.1999999999998181</v>
      </c>
      <c r="DL136" s="147">
        <f t="shared" si="794"/>
        <v>45541.999999999985</v>
      </c>
      <c r="DM136" s="56"/>
      <c r="DP136" s="55">
        <f t="shared" si="795"/>
        <v>46137</v>
      </c>
      <c r="DQ136" s="56"/>
      <c r="DR136" s="57">
        <f>SUMPRODUCT(PRODUCE!$B145:$DY145,PRODUCE!$EB$20:$IY$20)</f>
        <v>0</v>
      </c>
      <c r="DS136" s="56"/>
      <c r="DT136" s="57">
        <f t="shared" si="796"/>
        <v>0</v>
      </c>
      <c r="DU136" s="57">
        <f t="shared" si="797"/>
        <v>5800</v>
      </c>
      <c r="DV136" s="56"/>
      <c r="DY136" s="55">
        <f t="shared" si="798"/>
        <v>46137</v>
      </c>
      <c r="DZ136" s="56"/>
      <c r="EA136" s="157">
        <f>SUMPRODUCT(PRODUCE!$B145:$DY145,PRODUCE!$EB$21:$IY$21)</f>
        <v>0</v>
      </c>
      <c r="EB136" s="56"/>
      <c r="EC136" s="157">
        <f t="shared" si="799"/>
        <v>0</v>
      </c>
      <c r="ED136" s="157">
        <f t="shared" si="800"/>
        <v>147.30000000000018</v>
      </c>
      <c r="EE136" s="56"/>
      <c r="EH136" s="55">
        <f t="shared" si="801"/>
        <v>46137</v>
      </c>
      <c r="EI136" s="56"/>
      <c r="EJ136" s="162">
        <f>SUMPRODUCT(PRODUCE!$B145:$DY145,PRODUCE!$EB$22:$IY$22)</f>
        <v>0</v>
      </c>
      <c r="EK136" s="56"/>
      <c r="EL136" s="162">
        <f t="shared" si="802"/>
        <v>0</v>
      </c>
      <c r="EM136" s="162">
        <f t="shared" si="803"/>
        <v>0</v>
      </c>
      <c r="EN136" s="56"/>
      <c r="EQ136" s="55">
        <f t="shared" si="804"/>
        <v>46137</v>
      </c>
      <c r="ER136" s="56"/>
      <c r="ES136" s="135">
        <f>SUMPRODUCT(PRODUCE!$B145:$DY145,PRODUCE!$EB$23:$IY$23)</f>
        <v>0</v>
      </c>
      <c r="ET136" s="56"/>
      <c r="EU136" s="135">
        <f t="shared" si="805"/>
        <v>0</v>
      </c>
      <c r="EV136" s="135">
        <f t="shared" si="806"/>
        <v>0</v>
      </c>
      <c r="EW136" s="56"/>
      <c r="EZ136" s="55">
        <f t="shared" si="807"/>
        <v>46137</v>
      </c>
      <c r="FA136" s="56"/>
      <c r="FB136" s="175">
        <f>SUMPRODUCT(PRODUCE!$B145:$DY145,PRODUCE!$EB$24:$IY$24)</f>
        <v>0</v>
      </c>
      <c r="FC136" s="56"/>
      <c r="FD136" s="175">
        <f t="shared" si="808"/>
        <v>0</v>
      </c>
      <c r="FE136" s="175">
        <f t="shared" si="809"/>
        <v>0</v>
      </c>
      <c r="FF136" s="56"/>
      <c r="FI136" s="55">
        <f t="shared" si="810"/>
        <v>46137</v>
      </c>
      <c r="FJ136" s="56"/>
      <c r="FK136" s="183">
        <f>SUMPRODUCT(PRODUCE!$B145:$DY145,PRODUCE!$EB$25:$IY$25)</f>
        <v>0</v>
      </c>
      <c r="FL136" s="56"/>
      <c r="FM136" s="183">
        <f t="shared" si="811"/>
        <v>0</v>
      </c>
      <c r="FN136" s="183">
        <f t="shared" si="812"/>
        <v>0</v>
      </c>
      <c r="FO136" s="56"/>
      <c r="FR136" s="55">
        <f t="shared" si="813"/>
        <v>46137</v>
      </c>
      <c r="FS136" s="422"/>
      <c r="FT136" s="452">
        <f>SUMPRODUCT(PRODUCE!$B145:$DY145,PRODUCE!$EB$26:$IY$26)</f>
        <v>0</v>
      </c>
      <c r="FU136" s="422"/>
      <c r="FV136" s="452">
        <f t="shared" si="814"/>
        <v>0</v>
      </c>
      <c r="FW136" s="452">
        <f t="shared" si="815"/>
        <v>2120</v>
      </c>
      <c r="FX136" s="56"/>
      <c r="GA136" s="55">
        <f t="shared" si="816"/>
        <v>46137</v>
      </c>
      <c r="GB136" s="422"/>
      <c r="GC136" s="454">
        <f>SUMPRODUCT(PRODUCE!$B145:$DY145,PRODUCE!$EB$27:$IY$27)</f>
        <v>0</v>
      </c>
      <c r="GD136" s="422">
        <f>98*20</f>
        <v>1960</v>
      </c>
      <c r="GE136" s="454">
        <f t="shared" si="817"/>
        <v>-1960</v>
      </c>
      <c r="GF136" s="454">
        <f t="shared" si="818"/>
        <v>4840</v>
      </c>
      <c r="GG136" s="56">
        <f>GD136/20</f>
        <v>98</v>
      </c>
      <c r="GI136" s="23"/>
      <c r="GJ136" s="55">
        <f t="shared" si="819"/>
        <v>46137</v>
      </c>
      <c r="GK136" s="422"/>
      <c r="GL136" s="456">
        <f>SUMPRODUCT(PRODUCE!$B145:$DY145,PRODUCE!$EB$28:$IY$28)</f>
        <v>360</v>
      </c>
      <c r="GM136" s="422">
        <f>76*20</f>
        <v>1520</v>
      </c>
      <c r="GN136" s="456">
        <f t="shared" si="820"/>
        <v>-1160</v>
      </c>
      <c r="GO136" s="456">
        <f t="shared" si="821"/>
        <v>3280</v>
      </c>
      <c r="GP136" s="56">
        <f>GM136/20</f>
        <v>76</v>
      </c>
      <c r="GS136" s="55">
        <f t="shared" si="822"/>
        <v>46137</v>
      </c>
      <c r="GT136" s="56"/>
      <c r="GU136" s="195">
        <f>SUMPRODUCT(PRODUCE!$B145:$DY145,PRODUCE!$EB$29:$IY$29)</f>
        <v>0</v>
      </c>
      <c r="GV136" s="56"/>
      <c r="GW136" s="195">
        <f t="shared" si="823"/>
        <v>0</v>
      </c>
      <c r="GX136" s="195">
        <f t="shared" si="824"/>
        <v>0</v>
      </c>
      <c r="GY136" s="56"/>
      <c r="HB136" s="55">
        <f t="shared" si="825"/>
        <v>46137</v>
      </c>
      <c r="HC136" s="56"/>
      <c r="HD136" s="191">
        <f>SUMPRODUCT(PRODUCE!$B145:$DY145,PRODUCE!$EB$30:$IY$30)</f>
        <v>0</v>
      </c>
      <c r="HE136" s="56"/>
      <c r="HF136" s="191">
        <f t="shared" si="826"/>
        <v>0</v>
      </c>
      <c r="HG136" s="191">
        <f t="shared" si="827"/>
        <v>0</v>
      </c>
      <c r="HH136" s="56"/>
      <c r="HK136" s="55">
        <f t="shared" si="828"/>
        <v>46137</v>
      </c>
      <c r="HL136" s="56"/>
      <c r="HM136" s="63">
        <f>SUMPRODUCT(PRODUCE!$B145:$DY145,PRODUCE!$EB$31:$IY$31)</f>
        <v>0</v>
      </c>
      <c r="HN136" s="56"/>
      <c r="HO136" s="63">
        <f t="shared" si="829"/>
        <v>0</v>
      </c>
      <c r="HP136" s="63">
        <f t="shared" si="830"/>
        <v>0</v>
      </c>
      <c r="HQ136" s="56"/>
      <c r="HU136" s="55">
        <f t="shared" si="831"/>
        <v>46137</v>
      </c>
      <c r="HV136" s="56"/>
      <c r="HW136" s="242">
        <f>SUMPRODUCT(PRODUCE!$B145:$DY145,PRODUCE!$EB$32:$IY$32)</f>
        <v>0</v>
      </c>
      <c r="HX136" s="56"/>
      <c r="HY136" s="242">
        <f t="shared" si="832"/>
        <v>0</v>
      </c>
      <c r="HZ136" s="242">
        <f t="shared" si="833"/>
        <v>5120</v>
      </c>
      <c r="IA136" s="56"/>
      <c r="ID136" s="55">
        <f t="shared" si="834"/>
        <v>46137</v>
      </c>
      <c r="IE136" s="56"/>
      <c r="IF136" s="242">
        <f>SUMPRODUCT(PRODUCE!$B145:$DY145,PRODUCE!$EB$33:$IY$33)</f>
        <v>0</v>
      </c>
      <c r="IG136" s="56"/>
      <c r="IH136" s="242">
        <f t="shared" si="835"/>
        <v>0</v>
      </c>
      <c r="II136" s="242">
        <f t="shared" si="836"/>
        <v>6540</v>
      </c>
      <c r="IJ136" s="56"/>
      <c r="IM136" s="55">
        <f t="shared" si="837"/>
        <v>46137</v>
      </c>
      <c r="IN136" s="56"/>
      <c r="IO136" s="242">
        <f>SUMPRODUCT(PRODUCE!$B145:$DY145,PRODUCE!$EB$34:$IY$34)</f>
        <v>0</v>
      </c>
      <c r="IP136" s="56"/>
      <c r="IQ136" s="242">
        <f t="shared" si="838"/>
        <v>0</v>
      </c>
      <c r="IR136" s="242">
        <f t="shared" si="839"/>
        <v>11540</v>
      </c>
      <c r="IS136" s="56"/>
      <c r="IV136" s="55">
        <f t="shared" si="840"/>
        <v>46137</v>
      </c>
      <c r="IW136" s="56"/>
      <c r="IX136" s="242">
        <f>SUMPRODUCT(PRODUCE!$B145:$DY145,PRODUCE!$EB$35:$IY$35)</f>
        <v>0</v>
      </c>
      <c r="IY136" s="56"/>
      <c r="IZ136" s="242">
        <f t="shared" si="841"/>
        <v>0</v>
      </c>
      <c r="JA136" s="242">
        <f t="shared" si="842"/>
        <v>15120</v>
      </c>
      <c r="JB136" s="56"/>
      <c r="JE136" s="55">
        <f t="shared" si="843"/>
        <v>46137</v>
      </c>
      <c r="JF136" s="56"/>
      <c r="JG136" s="242">
        <f>SUMPRODUCT(PRODUCE!$B145:$DY145,PRODUCE!$EB$36:$IY$36)</f>
        <v>0</v>
      </c>
      <c r="JH136" s="56">
        <f>26*20</f>
        <v>520</v>
      </c>
      <c r="JI136" s="242">
        <f t="shared" si="844"/>
        <v>-520</v>
      </c>
      <c r="JJ136" s="242">
        <f t="shared" si="845"/>
        <v>4520</v>
      </c>
      <c r="JK136" s="56">
        <f>JH136/20</f>
        <v>26</v>
      </c>
      <c r="JN136" s="55">
        <f t="shared" si="846"/>
        <v>46137</v>
      </c>
      <c r="JO136" s="56"/>
      <c r="JP136" s="242">
        <f>SUMPRODUCT(PRODUCE!$B145:$DY145,PRODUCE!$EB$37:$IY$37)</f>
        <v>0</v>
      </c>
      <c r="JQ136" s="56"/>
      <c r="JR136" s="242">
        <f t="shared" si="847"/>
        <v>0</v>
      </c>
      <c r="JS136" s="242">
        <f t="shared" si="848"/>
        <v>9100</v>
      </c>
      <c r="JT136" s="56"/>
      <c r="JW136" s="55">
        <f t="shared" si="849"/>
        <v>46137</v>
      </c>
      <c r="JX136" s="56"/>
      <c r="JY136" s="242">
        <f>SUMPRODUCT(PRODUCE!$B145:$DY145,PRODUCE!$EB$38:$IY$38)</f>
        <v>0</v>
      </c>
      <c r="JZ136" s="56"/>
      <c r="KA136" s="242">
        <f t="shared" si="850"/>
        <v>0</v>
      </c>
      <c r="KB136" s="242">
        <f t="shared" si="851"/>
        <v>2540</v>
      </c>
      <c r="KC136" s="56"/>
      <c r="KF136" s="55">
        <f t="shared" si="852"/>
        <v>46137</v>
      </c>
      <c r="KG136" s="56"/>
      <c r="KH136" s="242">
        <f>SUMPRODUCT(PRODUCE!$B145:$DY145,PRODUCE!$EB$39:$IY$39)</f>
        <v>0</v>
      </c>
      <c r="KI136" s="56"/>
      <c r="KJ136" s="242">
        <f t="shared" si="853"/>
        <v>0</v>
      </c>
      <c r="KK136" s="242">
        <f t="shared" si="854"/>
        <v>19.5</v>
      </c>
      <c r="KL136" s="56"/>
      <c r="KO136" s="55">
        <f t="shared" si="855"/>
        <v>46137</v>
      </c>
      <c r="KP136" s="56"/>
      <c r="KQ136" s="242">
        <f>SUMPRODUCT(PRODUCE!$B145:$DY145,PRODUCE!$EB$40:$IY$40)</f>
        <v>756</v>
      </c>
      <c r="KR136" s="56">
        <f>42*18.9</f>
        <v>793.8</v>
      </c>
      <c r="KS136" s="242">
        <f t="shared" si="856"/>
        <v>-37.799999999999955</v>
      </c>
      <c r="KT136" s="242">
        <f t="shared" si="857"/>
        <v>3024</v>
      </c>
      <c r="KU136" s="56">
        <f>KR136/18.9</f>
        <v>42</v>
      </c>
      <c r="KW136" s="23"/>
      <c r="KX136" s="55">
        <f t="shared" si="858"/>
        <v>46137</v>
      </c>
      <c r="KY136" s="56">
        <f>120*20.5</f>
        <v>2460</v>
      </c>
      <c r="KZ136" s="242">
        <f>SUMPRODUCT(PRODUCE!$B145:$DY145,PRODUCE!$EB$41:$IY$41)</f>
        <v>819.99999999999989</v>
      </c>
      <c r="LA136" s="56"/>
      <c r="LB136" s="242">
        <f t="shared" si="859"/>
        <v>819.99999999999989</v>
      </c>
      <c r="LC136" s="242">
        <f t="shared" si="860"/>
        <v>6150</v>
      </c>
      <c r="LD136" s="56"/>
      <c r="LG136" s="55">
        <f t="shared" si="861"/>
        <v>46137</v>
      </c>
      <c r="LH136" s="56"/>
      <c r="LI136" s="242">
        <f>SUMPRODUCT(PRODUCE!$B145:$DY145,PRODUCE!$EB$42:$IY$42)</f>
        <v>0</v>
      </c>
      <c r="LJ136" s="56"/>
      <c r="LK136" s="242">
        <f t="shared" si="862"/>
        <v>0</v>
      </c>
      <c r="LL136" s="242">
        <f t="shared" si="863"/>
        <v>4000</v>
      </c>
      <c r="LM136" s="56"/>
      <c r="LP136" s="55">
        <f t="shared" si="864"/>
        <v>46137</v>
      </c>
      <c r="LQ136" s="56"/>
      <c r="LR136" s="242">
        <f>SUMPRODUCT(PRODUCE!$B151:$DY151,PRODUCE!$EB$43:$IY$43)</f>
        <v>0</v>
      </c>
      <c r="LS136" s="56"/>
      <c r="LT136" s="242">
        <f t="shared" si="865"/>
        <v>0</v>
      </c>
      <c r="LU136" s="242">
        <f t="shared" si="866"/>
        <v>0</v>
      </c>
      <c r="LV136" s="56"/>
      <c r="LY136" s="55">
        <f t="shared" si="867"/>
        <v>46137</v>
      </c>
      <c r="LZ136" s="56"/>
      <c r="MA136" s="242">
        <f>SUMPRODUCT(PRODUCE!$B145:$DY145,PRODUCE!$EB$44:$IY$44)</f>
        <v>0</v>
      </c>
      <c r="MB136" s="56"/>
      <c r="MC136" s="242">
        <f t="shared" si="868"/>
        <v>0</v>
      </c>
      <c r="MD136" s="242">
        <f t="shared" si="869"/>
        <v>0</v>
      </c>
      <c r="ME136" s="56"/>
      <c r="MH136" s="55">
        <f t="shared" si="870"/>
        <v>46137</v>
      </c>
      <c r="MI136" s="56"/>
      <c r="MJ136" s="242">
        <f>SUMPRODUCT(PRODUCE!$B145:$DY145,PRODUCE!$EB$45:$IY$45)</f>
        <v>0</v>
      </c>
      <c r="MK136" s="56"/>
      <c r="ML136" s="242">
        <f t="shared" si="871"/>
        <v>0</v>
      </c>
      <c r="MM136" s="242">
        <f t="shared" si="872"/>
        <v>0</v>
      </c>
      <c r="MN136" s="56"/>
      <c r="MQ136" s="55">
        <f t="shared" si="873"/>
        <v>46137</v>
      </c>
      <c r="MR136" s="56"/>
      <c r="MS136" s="242">
        <f>SUMPRODUCT(PRODUCE!$B145:$DY145,PRODUCE!$EB$46:$IY$46)</f>
        <v>9</v>
      </c>
      <c r="MT136" s="56">
        <f>49+38</f>
        <v>87</v>
      </c>
      <c r="MU136" s="242">
        <f t="shared" si="874"/>
        <v>-78</v>
      </c>
      <c r="MV136" s="242">
        <f t="shared" si="875"/>
        <v>3982</v>
      </c>
      <c r="MW136" s="56"/>
      <c r="MZ136" s="55">
        <f t="shared" si="876"/>
        <v>46137</v>
      </c>
      <c r="NA136" s="56">
        <v>204</v>
      </c>
      <c r="NB136" s="242">
        <f>SUMPRODUCT(PRODUCE!$B145:$DY145,PRODUCE!$EB$47:$IY$47)</f>
        <v>240</v>
      </c>
      <c r="NC136" s="56">
        <f>126+78</f>
        <v>204</v>
      </c>
      <c r="ND136" s="242">
        <f t="shared" si="877"/>
        <v>36</v>
      </c>
      <c r="NE136" s="242">
        <f t="shared" si="878"/>
        <v>0</v>
      </c>
      <c r="NF136" s="56"/>
      <c r="NI136" s="55">
        <f t="shared" si="879"/>
        <v>46137</v>
      </c>
      <c r="NJ136" s="56"/>
      <c r="NK136" s="242">
        <f>SUMPRODUCT(PRODUCE!$B145:$DY145,PRODUCE!$EB$48:$IY$48)</f>
        <v>80</v>
      </c>
      <c r="NL136" s="56">
        <v>42</v>
      </c>
      <c r="NM136" s="242">
        <f t="shared" si="880"/>
        <v>38</v>
      </c>
      <c r="NN136" s="242">
        <f t="shared" si="881"/>
        <v>1187</v>
      </c>
      <c r="NO136" s="56"/>
      <c r="NR136" s="55">
        <f t="shared" si="882"/>
        <v>46137</v>
      </c>
      <c r="NS136" s="56"/>
      <c r="NT136" s="242">
        <f>SUMPRODUCT(PRODUCE!$B145:$DY145,PRODUCE!$EB$49:$IY$49)</f>
        <v>96</v>
      </c>
      <c r="NU136" s="56">
        <v>50.4</v>
      </c>
      <c r="NV136" s="242">
        <f t="shared" si="883"/>
        <v>45.6</v>
      </c>
      <c r="NW136" s="242">
        <f t="shared" si="884"/>
        <v>3182.8999999999996</v>
      </c>
      <c r="NX136" s="56"/>
      <c r="OA136" s="55">
        <f t="shared" si="885"/>
        <v>46137</v>
      </c>
      <c r="OB136" s="56"/>
      <c r="OC136" s="242">
        <f>SUMPRODUCT(PRODUCE!$B145:$DY145,PRODUCE!$EB$50:$IY$50)</f>
        <v>0</v>
      </c>
      <c r="OD136" s="56"/>
      <c r="OE136" s="242">
        <f t="shared" si="886"/>
        <v>0</v>
      </c>
      <c r="OF136" s="242">
        <f t="shared" si="887"/>
        <v>1680.5</v>
      </c>
      <c r="OG136" s="56"/>
      <c r="OJ136" s="55">
        <f t="shared" si="888"/>
        <v>46137</v>
      </c>
      <c r="OK136" s="56">
        <v>117.6</v>
      </c>
      <c r="OL136" s="242">
        <f>SUMPRODUCT(PRODUCE!$B145:$DY145,PRODUCE!$EB$51:$IY$51)</f>
        <v>223.99999999999994</v>
      </c>
      <c r="OM136" s="56">
        <v>117.6</v>
      </c>
      <c r="ON136" s="242">
        <f t="shared" si="889"/>
        <v>106.39999999999995</v>
      </c>
      <c r="OO136" s="242">
        <f t="shared" si="890"/>
        <v>0</v>
      </c>
      <c r="OP136" s="56"/>
      <c r="OS136" s="55">
        <f t="shared" si="891"/>
        <v>46137</v>
      </c>
      <c r="OT136" s="56"/>
      <c r="OU136" s="242">
        <f>SUMPRODUCT(PRODUCE!$B145:$DY145,PRODUCE!$EB$52:$IY$52)</f>
        <v>0</v>
      </c>
      <c r="OV136" s="56"/>
      <c r="OW136" s="242">
        <f t="shared" si="892"/>
        <v>0</v>
      </c>
      <c r="OX136" s="242">
        <f t="shared" si="893"/>
        <v>1000</v>
      </c>
      <c r="OY136" s="56"/>
      <c r="PB136" s="55">
        <f t="shared" si="894"/>
        <v>46137</v>
      </c>
      <c r="PC136" s="56"/>
      <c r="PD136" s="242">
        <f>SUMPRODUCT(PRODUCE!$B145:$DY145,PRODUCE!$EB$53:$IY$53)</f>
        <v>0</v>
      </c>
      <c r="PE136" s="56"/>
      <c r="PF136" s="242">
        <f t="shared" si="895"/>
        <v>0</v>
      </c>
      <c r="PG136" s="242">
        <f t="shared" si="896"/>
        <v>0</v>
      </c>
      <c r="PH136" s="56"/>
      <c r="PK136" s="55">
        <f t="shared" si="897"/>
        <v>46137</v>
      </c>
      <c r="PL136" s="56"/>
      <c r="PM136" s="242">
        <f>SUMPRODUCT(PRODUCE!$B145:$DY145,PRODUCE!$EB$54:$IY$54)</f>
        <v>0</v>
      </c>
      <c r="PN136" s="56"/>
      <c r="PO136" s="242">
        <f t="shared" si="898"/>
        <v>0</v>
      </c>
      <c r="PP136" s="242">
        <f t="shared" si="899"/>
        <v>100</v>
      </c>
      <c r="PQ136" s="56"/>
      <c r="PT136" s="55">
        <f t="shared" si="900"/>
        <v>46137</v>
      </c>
      <c r="PU136" s="56"/>
      <c r="PV136" s="242">
        <f>SUMPRODUCT(PRODUCE!$B145:$DY145,PRODUCE!$EB$55:$IY$55)</f>
        <v>0</v>
      </c>
      <c r="PW136" s="56"/>
      <c r="PX136" s="242">
        <f t="shared" si="901"/>
        <v>0</v>
      </c>
      <c r="PY136" s="242">
        <f t="shared" si="902"/>
        <v>13.960000000000036</v>
      </c>
      <c r="PZ136" s="56"/>
      <c r="QC136" s="55">
        <f t="shared" si="903"/>
        <v>46137</v>
      </c>
      <c r="QD136" s="56"/>
      <c r="QE136" s="242">
        <f>SUMPRODUCT(PRODUCE!$B145:$DY145,PRODUCE!$EB$56:$IY$56)</f>
        <v>0</v>
      </c>
      <c r="QF136" s="56">
        <v>104</v>
      </c>
      <c r="QG136" s="242">
        <f t="shared" si="904"/>
        <v>-104</v>
      </c>
      <c r="QH136" s="242">
        <f t="shared" si="905"/>
        <v>1108</v>
      </c>
      <c r="QI136" s="56"/>
      <c r="QL136" s="55">
        <f t="shared" si="906"/>
        <v>46137</v>
      </c>
      <c r="QM136" s="56"/>
      <c r="QN136" s="242">
        <f>SUMPRODUCT(PRODUCE!$B145:$DY145,PRODUCE!$EB$57:$IY$57)</f>
        <v>0</v>
      </c>
      <c r="QO136" s="56"/>
      <c r="QP136" s="242">
        <f t="shared" si="907"/>
        <v>0</v>
      </c>
      <c r="QQ136" s="242">
        <f t="shared" si="908"/>
        <v>400</v>
      </c>
      <c r="QR136" s="56"/>
      <c r="QU136" s="55">
        <f t="shared" si="909"/>
        <v>46137</v>
      </c>
      <c r="QV136" s="56"/>
      <c r="QW136" s="242">
        <f>SUMPRODUCT(PRODUCE!$B145:$DY145,PRODUCE!$EB$57:$IY$57)</f>
        <v>0</v>
      </c>
      <c r="QX136" s="56"/>
      <c r="QY136" s="242">
        <f t="shared" si="910"/>
        <v>0</v>
      </c>
      <c r="QZ136" s="242">
        <f t="shared" si="911"/>
        <v>207.6</v>
      </c>
      <c r="RA136" s="56"/>
      <c r="RD136" s="55">
        <f t="shared" si="912"/>
        <v>46137</v>
      </c>
      <c r="RE136" s="56"/>
      <c r="RF136" s="242">
        <f>SUMPRODUCT(PRODUCE!$B145:$DY145,PRODUCE!$EB$58:$IY$58)</f>
        <v>0</v>
      </c>
      <c r="RG136" s="56"/>
      <c r="RH136" s="242">
        <f t="shared" si="913"/>
        <v>0</v>
      </c>
      <c r="RI136" s="242">
        <f t="shared" si="914"/>
        <v>147.04000000000002</v>
      </c>
      <c r="RJ136" s="56"/>
      <c r="RM136" s="55">
        <f t="shared" si="915"/>
        <v>46137</v>
      </c>
      <c r="RN136" s="56"/>
      <c r="RO136" s="242">
        <f>SUMPRODUCT(PRODUCE!$B145:$DY145,PRODUCE!$EB$57:$IY$57)</f>
        <v>0</v>
      </c>
      <c r="RP136" s="56"/>
      <c r="RQ136" s="242">
        <f t="shared" si="916"/>
        <v>0</v>
      </c>
      <c r="RR136" s="242">
        <f t="shared" si="917"/>
        <v>46.8</v>
      </c>
      <c r="RS136" s="56"/>
      <c r="RV136" s="55">
        <f t="shared" si="918"/>
        <v>46137</v>
      </c>
      <c r="RW136" s="56"/>
      <c r="RX136" s="242">
        <f>SUMPRODUCT(PRODUCE!$B145:$DY145,PRODUCE!$EB$57:$IY$57)</f>
        <v>0</v>
      </c>
      <c r="RY136" s="56"/>
      <c r="RZ136" s="242">
        <f t="shared" si="919"/>
        <v>0</v>
      </c>
      <c r="SA136" s="242">
        <f t="shared" si="920"/>
        <v>0</v>
      </c>
      <c r="SB136" s="56"/>
      <c r="SE136" s="55">
        <f t="shared" si="921"/>
        <v>46137</v>
      </c>
      <c r="SF136" s="56"/>
      <c r="SG136" s="242">
        <f>SUMPRODUCT(PRODUCE!$B145:$DY145,PRODUCE!$EB$57:$IY$57)</f>
        <v>0</v>
      </c>
      <c r="SH136" s="56">
        <f>15.6+85.2</f>
        <v>100.8</v>
      </c>
      <c r="SI136" s="242">
        <f t="shared" si="922"/>
        <v>-100.8</v>
      </c>
      <c r="SJ136" s="242">
        <f t="shared" si="923"/>
        <v>24.200000000000003</v>
      </c>
      <c r="SK136" s="56"/>
      <c r="SN136" s="55">
        <f t="shared" si="924"/>
        <v>46137</v>
      </c>
      <c r="SO136" s="56"/>
      <c r="SP136" s="242">
        <f>SUMPRODUCT(PRODUCE!$B145:$DY145,PRODUCE!$EB$57:$IY$57)</f>
        <v>0</v>
      </c>
      <c r="SQ136" s="56">
        <f>26+142</f>
        <v>168</v>
      </c>
      <c r="SR136" s="242">
        <f t="shared" si="925"/>
        <v>-168</v>
      </c>
      <c r="SS136" s="242">
        <f t="shared" si="926"/>
        <v>32</v>
      </c>
      <c r="ST136" s="56"/>
      <c r="SW136" s="55">
        <f t="shared" si="927"/>
        <v>46137</v>
      </c>
      <c r="SX136" s="56"/>
      <c r="SY136" s="242">
        <f>SUMPRODUCT(PRODUCE!$B145:$DY145,PRODUCE!$EB$57:$IY$57)</f>
        <v>0</v>
      </c>
      <c r="SZ136" s="56"/>
      <c r="TA136" s="242">
        <f t="shared" si="928"/>
        <v>0</v>
      </c>
      <c r="TB136" s="242">
        <f t="shared" si="929"/>
        <v>0</v>
      </c>
      <c r="TC136" s="56"/>
      <c r="TF136" s="55">
        <f t="shared" si="930"/>
        <v>46137</v>
      </c>
      <c r="TG136" s="56"/>
      <c r="TH136" s="242">
        <f>SUMPRODUCT(PRODUCE!$B145:$DY145,PRODUCE!$EB$57:$IY$57)</f>
        <v>0</v>
      </c>
      <c r="TI136" s="56"/>
      <c r="TJ136" s="242">
        <f t="shared" si="931"/>
        <v>0</v>
      </c>
      <c r="TK136" s="242">
        <f t="shared" si="932"/>
        <v>0</v>
      </c>
      <c r="TL136" s="56"/>
      <c r="TO136" s="55">
        <f t="shared" si="933"/>
        <v>46137</v>
      </c>
      <c r="TP136" s="56"/>
      <c r="TQ136" s="242">
        <f>SUMPRODUCT(PRODUCE!$B145:$DY145,PRODUCE!$EB$57:$IY$57)</f>
        <v>0</v>
      </c>
      <c r="TR136" s="56"/>
      <c r="TS136" s="242">
        <f t="shared" si="934"/>
        <v>0</v>
      </c>
      <c r="TT136" s="242">
        <f t="shared" si="935"/>
        <v>0</v>
      </c>
      <c r="TU136" s="56"/>
      <c r="TX136" s="55">
        <f t="shared" si="936"/>
        <v>46137</v>
      </c>
      <c r="TY136" s="56"/>
      <c r="TZ136" s="242">
        <f>SUMPRODUCT(PRODUCE!$B145:$DY145,PRODUCE!$EB$57:$IY$57)</f>
        <v>0</v>
      </c>
      <c r="UA136" s="56"/>
      <c r="UB136" s="242">
        <f t="shared" si="937"/>
        <v>0</v>
      </c>
      <c r="UC136" s="242">
        <f t="shared" si="938"/>
        <v>0</v>
      </c>
      <c r="UD136" s="56"/>
      <c r="UG136" s="55">
        <f t="shared" si="939"/>
        <v>46137</v>
      </c>
      <c r="UH136" s="56"/>
      <c r="UI136" s="242">
        <f>SUMPRODUCT(PRODUCE!$B145:$DY145,PRODUCE!$EB$57:$IY$57)</f>
        <v>0</v>
      </c>
      <c r="UJ136" s="56"/>
      <c r="UK136" s="242">
        <f t="shared" si="940"/>
        <v>0</v>
      </c>
      <c r="UL136" s="242">
        <f t="shared" si="941"/>
        <v>0</v>
      </c>
      <c r="UM136" s="56"/>
      <c r="UP136" s="55">
        <f t="shared" si="942"/>
        <v>46137</v>
      </c>
      <c r="UQ136" s="56"/>
      <c r="UR136" s="242">
        <f>SUMPRODUCT(PRODUCE!$B145:$DY145,PRODUCE!$EB$57:$IY$57)</f>
        <v>0</v>
      </c>
      <c r="US136" s="56"/>
      <c r="UT136" s="242">
        <f t="shared" si="943"/>
        <v>0</v>
      </c>
      <c r="UU136" s="242">
        <f t="shared" si="944"/>
        <v>0</v>
      </c>
      <c r="UV136" s="56"/>
      <c r="UY136" s="55">
        <f t="shared" si="945"/>
        <v>46137</v>
      </c>
      <c r="UZ136" s="56"/>
      <c r="VA136" s="242">
        <f>SUMPRODUCT(PRODUCE!$B145:$DY145,PRODUCE!$EB$57:$IY$57)</f>
        <v>0</v>
      </c>
      <c r="VB136" s="56"/>
      <c r="VC136" s="242">
        <f t="shared" si="946"/>
        <v>0</v>
      </c>
      <c r="VD136" s="242">
        <f t="shared" si="947"/>
        <v>41.600000000000023</v>
      </c>
      <c r="VE136" s="56"/>
      <c r="VH136" s="55">
        <f t="shared" si="948"/>
        <v>46137</v>
      </c>
      <c r="VI136" s="56"/>
      <c r="VJ136" s="242">
        <f>SUMPRODUCT(PRODUCE!$B145:$DY145,PRODUCE!$EB$57:$IY$57)</f>
        <v>0</v>
      </c>
      <c r="VK136" s="56"/>
      <c r="VL136" s="242">
        <f t="shared" si="949"/>
        <v>0</v>
      </c>
      <c r="VM136" s="242">
        <f t="shared" si="950"/>
        <v>0</v>
      </c>
      <c r="VN136" s="56"/>
      <c r="VQ136" s="55">
        <f t="shared" si="951"/>
        <v>46137</v>
      </c>
      <c r="VR136" s="56"/>
      <c r="VS136" s="242">
        <f>SUMPRODUCT(PRODUCE!$B145:$DY145,PRODUCE!$EB$57:$IY$57)</f>
        <v>0</v>
      </c>
      <c r="VT136" s="56"/>
      <c r="VU136" s="242">
        <f t="shared" si="952"/>
        <v>0</v>
      </c>
      <c r="VV136" s="242">
        <f t="shared" si="953"/>
        <v>0</v>
      </c>
      <c r="VW136" s="56"/>
      <c r="VZ136" s="55">
        <f t="shared" si="954"/>
        <v>46137</v>
      </c>
      <c r="WA136" s="56"/>
      <c r="WB136" s="242">
        <f>SUMPRODUCT(PRODUCE!$B145:$DY145,PRODUCE!$EB$57:$IY$57)</f>
        <v>0</v>
      </c>
      <c r="WC136" s="56"/>
      <c r="WD136" s="242">
        <f t="shared" si="955"/>
        <v>0</v>
      </c>
      <c r="WE136" s="242">
        <f t="shared" si="956"/>
        <v>0</v>
      </c>
      <c r="WF136" s="56"/>
      <c r="WI136" s="55">
        <f t="shared" si="957"/>
        <v>46137</v>
      </c>
      <c r="WJ136" s="56"/>
      <c r="WK136" s="242">
        <f>SUMPRODUCT(PRODUCE!$B145:$DY145,PRODUCE!$EB$57:$IY$57)</f>
        <v>0</v>
      </c>
      <c r="WL136" s="56"/>
      <c r="WM136" s="242">
        <f t="shared" si="958"/>
        <v>0</v>
      </c>
      <c r="WN136" s="242">
        <f t="shared" si="959"/>
        <v>2317</v>
      </c>
      <c r="WO136" s="56"/>
      <c r="WR136" s="55">
        <f t="shared" si="960"/>
        <v>46137</v>
      </c>
      <c r="WS136" s="56"/>
      <c r="WT136" s="242">
        <f>SUMPRODUCT(PRODUCE!$B145:$DY145,PRODUCE!$EB$57:$IY$57)</f>
        <v>0</v>
      </c>
      <c r="WU136" s="56"/>
      <c r="WV136" s="242">
        <f t="shared" si="961"/>
        <v>0</v>
      </c>
      <c r="WW136" s="242">
        <f t="shared" si="962"/>
        <v>2597</v>
      </c>
      <c r="WX136" s="56"/>
      <c r="XA136" s="55">
        <f t="shared" si="963"/>
        <v>46137</v>
      </c>
      <c r="XB136" s="56">
        <v>193</v>
      </c>
      <c r="XC136" s="242">
        <f>SUMPRODUCT(PRODUCE!$B145:$DY145,PRODUCE!$EB$57:$IY$57)</f>
        <v>0</v>
      </c>
      <c r="XD136" s="56">
        <v>1065</v>
      </c>
      <c r="XE136" s="242">
        <f t="shared" si="964"/>
        <v>-1065</v>
      </c>
      <c r="XF136" s="242">
        <f t="shared" si="965"/>
        <v>13455</v>
      </c>
      <c r="XG136" s="56"/>
      <c r="XJ136" s="55">
        <f t="shared" si="966"/>
        <v>46137</v>
      </c>
      <c r="XK136" s="56"/>
      <c r="XL136" s="242">
        <f>SUMPRODUCT(PRODUCE!$B145:$DY145,PRODUCE!$EB$57:$IY$57)</f>
        <v>0</v>
      </c>
      <c r="XM136" s="56"/>
      <c r="XN136" s="242">
        <f t="shared" si="967"/>
        <v>0</v>
      </c>
      <c r="XO136" s="242">
        <f t="shared" si="968"/>
        <v>2376</v>
      </c>
      <c r="XP136" s="56"/>
      <c r="XS136" s="55">
        <f t="shared" si="969"/>
        <v>46137</v>
      </c>
      <c r="XT136" s="56"/>
      <c r="XU136" s="242">
        <f>SUMPRODUCT(PRODUCE!$B145:$DY145,PRODUCE!$EB$57:$IY$57)</f>
        <v>0</v>
      </c>
      <c r="XV136" s="56"/>
      <c r="XW136" s="242">
        <f t="shared" si="970"/>
        <v>0</v>
      </c>
      <c r="XX136" s="242">
        <f t="shared" si="971"/>
        <v>1901</v>
      </c>
      <c r="XY136" s="56"/>
      <c r="YB136" s="55">
        <f t="shared" si="972"/>
        <v>46137</v>
      </c>
      <c r="YC136" s="56"/>
      <c r="YD136" s="242">
        <f>SUMPRODUCT(PRODUCE!$B145:$DY145,PRODUCE!$EB$57:$IY$57)</f>
        <v>0</v>
      </c>
      <c r="YE136" s="56"/>
      <c r="YF136" s="242">
        <f t="shared" si="973"/>
        <v>0</v>
      </c>
      <c r="YG136" s="242">
        <f t="shared" si="974"/>
        <v>6459</v>
      </c>
      <c r="YH136" s="56"/>
      <c r="YK136" s="55">
        <f t="shared" si="975"/>
        <v>46137</v>
      </c>
      <c r="YL136" s="56"/>
      <c r="YM136" s="242">
        <f>SUMPRODUCT(PRODUCE!$B145:$DY145,PRODUCE!$EB$57:$IY$57)</f>
        <v>0</v>
      </c>
      <c r="YN136" s="56"/>
      <c r="YO136" s="242">
        <f t="shared" si="976"/>
        <v>0</v>
      </c>
      <c r="YP136" s="242">
        <f t="shared" si="977"/>
        <v>0</v>
      </c>
      <c r="YQ136" s="56"/>
      <c r="YT136" s="55">
        <f t="shared" si="978"/>
        <v>46137</v>
      </c>
      <c r="YU136" s="56"/>
      <c r="YV136" s="242">
        <f>SUMPRODUCT(PRODUCE!$B145:$DY145,PRODUCE!$EB$57:$IY$57)</f>
        <v>0</v>
      </c>
      <c r="YW136" s="56"/>
      <c r="YX136" s="242">
        <f t="shared" si="979"/>
        <v>0</v>
      </c>
      <c r="YY136" s="242">
        <f t="shared" si="980"/>
        <v>0</v>
      </c>
      <c r="YZ136" s="56"/>
      <c r="ZC136" s="55">
        <f t="shared" si="981"/>
        <v>46137</v>
      </c>
      <c r="ZD136" s="56"/>
      <c r="ZE136" s="242">
        <f>SUMPRODUCT(PRODUCE!$B145:$DY145,PRODUCE!$EB$57:$IY$57)</f>
        <v>0</v>
      </c>
      <c r="ZF136" s="56"/>
      <c r="ZG136" s="242">
        <f t="shared" si="982"/>
        <v>0</v>
      </c>
      <c r="ZH136" s="242">
        <f t="shared" si="983"/>
        <v>0</v>
      </c>
      <c r="ZI136" s="56"/>
      <c r="ZL136" s="55">
        <f t="shared" si="984"/>
        <v>46137</v>
      </c>
      <c r="ZM136" s="56"/>
      <c r="ZN136" s="242">
        <f>SUMPRODUCT(PRODUCE!$B145:$DY145,PRODUCE!$EB$57:$IY$57)</f>
        <v>0</v>
      </c>
      <c r="ZO136" s="56"/>
      <c r="ZP136" s="242">
        <f t="shared" si="985"/>
        <v>0</v>
      </c>
      <c r="ZQ136" s="242">
        <f t="shared" si="986"/>
        <v>0</v>
      </c>
      <c r="ZR136" s="56"/>
      <c r="ZU136" s="55">
        <f t="shared" si="987"/>
        <v>46137</v>
      </c>
      <c r="ZV136" s="56"/>
      <c r="ZW136" s="242">
        <f>SUMPRODUCT(PRODUCE!$B145:$DY145,PRODUCE!$EB$57:$IY$57)</f>
        <v>0</v>
      </c>
      <c r="ZX136" s="56"/>
      <c r="ZY136" s="242">
        <f t="shared" si="988"/>
        <v>0</v>
      </c>
      <c r="ZZ136" s="242">
        <f t="shared" si="989"/>
        <v>0</v>
      </c>
      <c r="AAA136" s="56"/>
      <c r="AAD136" s="55">
        <f t="shared" si="990"/>
        <v>46137</v>
      </c>
      <c r="AAE136" s="56"/>
      <c r="AAF136" s="242">
        <f>SUMPRODUCT(PRODUCE!$B145:$DY145,PRODUCE!$EB$57:$IY$57)</f>
        <v>0</v>
      </c>
      <c r="AAG136" s="56"/>
      <c r="AAH136" s="242">
        <f t="shared" si="991"/>
        <v>0</v>
      </c>
      <c r="AAI136" s="242">
        <f t="shared" si="992"/>
        <v>0</v>
      </c>
      <c r="AAJ136" s="56"/>
      <c r="AAM136" s="55">
        <f t="shared" si="993"/>
        <v>46137</v>
      </c>
      <c r="AAN136" s="56"/>
      <c r="AAO136" s="242">
        <f>SUMPRODUCT(PRODUCE!$B145:$DY145,PRODUCE!$EB$57:$IY$57)</f>
        <v>0</v>
      </c>
      <c r="AAP136" s="56"/>
      <c r="AAQ136" s="242">
        <f t="shared" si="994"/>
        <v>0</v>
      </c>
      <c r="AAR136" s="242">
        <f t="shared" si="995"/>
        <v>0</v>
      </c>
      <c r="AAS136" s="56"/>
      <c r="AAV136" s="55">
        <f t="shared" si="996"/>
        <v>46137</v>
      </c>
      <c r="AAW136" s="56"/>
      <c r="AAX136" s="242">
        <f>SUMPRODUCT(PRODUCE!$B145:$DY145,PRODUCE!$EB$57:$IY$57)</f>
        <v>0</v>
      </c>
      <c r="AAY136" s="56"/>
      <c r="AAZ136" s="242">
        <f t="shared" si="997"/>
        <v>0</v>
      </c>
      <c r="ABA136" s="242">
        <f t="shared" si="998"/>
        <v>0</v>
      </c>
      <c r="ABB136" s="56"/>
      <c r="ABE136" s="55">
        <f t="shared" si="999"/>
        <v>46137</v>
      </c>
      <c r="ABF136" s="56"/>
      <c r="ABG136" s="242">
        <f>SUMPRODUCT(PRODUCE!$B145:$DY145,PRODUCE!$EB$57:$IY$57)</f>
        <v>0</v>
      </c>
      <c r="ABH136" s="56"/>
      <c r="ABI136" s="242">
        <f t="shared" si="1000"/>
        <v>0</v>
      </c>
      <c r="ABJ136" s="242">
        <f t="shared" si="1001"/>
        <v>0</v>
      </c>
      <c r="ABK136" s="56"/>
    </row>
    <row r="137" spans="1:739" s="54" customFormat="1" ht="15" customHeight="1" outlineLevel="1">
      <c r="B137" s="478"/>
      <c r="C137" s="55">
        <v>46138</v>
      </c>
      <c r="D137" s="422"/>
      <c r="E137" s="423">
        <f>SUMPRODUCT(PRODUCE!$B146:$DY146,PRODUCE!$EB$7:$IY$7)</f>
        <v>0</v>
      </c>
      <c r="F137" s="422"/>
      <c r="G137" s="423">
        <f t="shared" si="1002"/>
        <v>0</v>
      </c>
      <c r="H137" s="423">
        <f t="shared" si="1003"/>
        <v>134294.40000000005</v>
      </c>
      <c r="I137" s="289"/>
      <c r="L137" s="55">
        <f t="shared" si="759"/>
        <v>46138</v>
      </c>
      <c r="M137" s="422"/>
      <c r="N137" s="438">
        <f>SUMPRODUCT(PRODUCE!$B146:$DY146,PRODUCE!$EB$8:$IY$8)</f>
        <v>0</v>
      </c>
      <c r="O137" s="422"/>
      <c r="P137" s="438">
        <f t="shared" si="760"/>
        <v>0</v>
      </c>
      <c r="Q137" s="438">
        <f t="shared" si="761"/>
        <v>90706.600000000093</v>
      </c>
      <c r="R137" s="56"/>
      <c r="U137" s="55">
        <f t="shared" si="762"/>
        <v>46138</v>
      </c>
      <c r="V137" s="422"/>
      <c r="W137" s="440">
        <f>SUMPRODUCT(PRODUCE!$B146:$DY146,PRODUCE!$EB$9:$IY$9)</f>
        <v>0</v>
      </c>
      <c r="X137" s="422"/>
      <c r="Y137" s="440">
        <f t="shared" si="763"/>
        <v>0</v>
      </c>
      <c r="Z137" s="440">
        <f t="shared" si="764"/>
        <v>40638.399999999972</v>
      </c>
      <c r="AA137" s="56"/>
      <c r="AD137" s="55">
        <f t="shared" si="765"/>
        <v>46138</v>
      </c>
      <c r="AE137" s="422"/>
      <c r="AF137" s="442">
        <f>SUMPRODUCT(PRODUCE!$B146:$DY146,PRODUCE!$EB$10:$IY$10)</f>
        <v>0</v>
      </c>
      <c r="AG137" s="422"/>
      <c r="AH137" s="442">
        <f t="shared" si="766"/>
        <v>0</v>
      </c>
      <c r="AI137" s="442">
        <f t="shared" si="767"/>
        <v>20887.900000000016</v>
      </c>
      <c r="AJ137" s="56"/>
      <c r="AM137" s="55">
        <f t="shared" si="768"/>
        <v>46138</v>
      </c>
      <c r="AN137" s="422"/>
      <c r="AO137" s="444">
        <f>SUMPRODUCT(PRODUCE!$B146:$DY146,PRODUCE!$EB$11:$IY$11)</f>
        <v>0</v>
      </c>
      <c r="AP137" s="422"/>
      <c r="AQ137" s="444">
        <f t="shared" si="769"/>
        <v>0</v>
      </c>
      <c r="AR137" s="444">
        <f t="shared" si="770"/>
        <v>0</v>
      </c>
      <c r="AS137" s="56"/>
      <c r="AV137" s="55">
        <f t="shared" si="771"/>
        <v>46138</v>
      </c>
      <c r="AW137" s="422"/>
      <c r="AX137" s="446">
        <f>SUMPRODUCT(PRODUCE!$B146:$DY146,PRODUCE!$EB$12:$IY$12)</f>
        <v>0</v>
      </c>
      <c r="AY137" s="422"/>
      <c r="AZ137" s="446">
        <f t="shared" si="772"/>
        <v>0</v>
      </c>
      <c r="BA137" s="446">
        <f t="shared" si="773"/>
        <v>9066.9999999999927</v>
      </c>
      <c r="BB137" s="56"/>
      <c r="BE137" s="55">
        <f t="shared" si="774"/>
        <v>46138</v>
      </c>
      <c r="BF137" s="422"/>
      <c r="BG137" s="448">
        <f>SUMPRODUCT(PRODUCE!$B146:$DY146,PRODUCE!$EB$13:$IY$13)</f>
        <v>0</v>
      </c>
      <c r="BH137" s="422"/>
      <c r="BI137" s="448">
        <f t="shared" si="775"/>
        <v>0</v>
      </c>
      <c r="BJ137" s="448">
        <f t="shared" si="776"/>
        <v>34569.399999999987</v>
      </c>
      <c r="BK137" s="56"/>
      <c r="BN137" s="55">
        <f t="shared" si="777"/>
        <v>46138</v>
      </c>
      <c r="BO137" s="422"/>
      <c r="BP137" s="450">
        <f>SUMPRODUCT(PRODUCE!$B146:$DY146,PRODUCE!$EB$14:$IY$14)</f>
        <v>0</v>
      </c>
      <c r="BQ137" s="422"/>
      <c r="BR137" s="450">
        <f t="shared" si="778"/>
        <v>0</v>
      </c>
      <c r="BS137" s="450">
        <f t="shared" si="779"/>
        <v>0</v>
      </c>
      <c r="BT137" s="56"/>
      <c r="BW137" s="55">
        <f t="shared" si="780"/>
        <v>46138</v>
      </c>
      <c r="BX137" s="56"/>
      <c r="BY137" s="65">
        <f>SUMPRODUCT(PRODUCE!$B146:$DY146,PRODUCE!$EB$15:$IY$15)</f>
        <v>0</v>
      </c>
      <c r="BZ137" s="56"/>
      <c r="CA137" s="65">
        <f t="shared" si="781"/>
        <v>0</v>
      </c>
      <c r="CB137" s="65">
        <f t="shared" si="782"/>
        <v>6180.7999999999993</v>
      </c>
      <c r="CC137" s="56"/>
      <c r="CF137" s="55">
        <f t="shared" si="783"/>
        <v>46138</v>
      </c>
      <c r="CG137" s="56"/>
      <c r="CH137" s="66">
        <f>SUMPRODUCT(PRODUCE!$B146:$DY146,PRODUCE!$EB$16:$IY$16)</f>
        <v>0</v>
      </c>
      <c r="CI137" s="56"/>
      <c r="CJ137" s="66">
        <f t="shared" si="784"/>
        <v>0</v>
      </c>
      <c r="CK137" s="66">
        <f t="shared" si="785"/>
        <v>0</v>
      </c>
      <c r="CL137" s="56"/>
      <c r="CO137" s="55">
        <f t="shared" si="786"/>
        <v>46138</v>
      </c>
      <c r="CP137" s="422"/>
      <c r="CQ137" s="470">
        <f>SUMPRODUCT(PRODUCE!$B146:$DY146,PRODUCE!$EB$17:$IY$17)</f>
        <v>0</v>
      </c>
      <c r="CR137" s="422"/>
      <c r="CS137" s="470">
        <f t="shared" si="787"/>
        <v>0</v>
      </c>
      <c r="CT137" s="470">
        <f t="shared" si="788"/>
        <v>0</v>
      </c>
      <c r="CU137" s="56"/>
      <c r="CX137" s="55">
        <f t="shared" si="789"/>
        <v>46138</v>
      </c>
      <c r="CY137" s="56"/>
      <c r="CZ137" s="133">
        <f>SUMPRODUCT(PRODUCE!$B146:$DY146,PRODUCE!$EB$18:$IY$18)</f>
        <v>0</v>
      </c>
      <c r="DA137" s="56"/>
      <c r="DB137" s="133">
        <f t="shared" si="790"/>
        <v>0</v>
      </c>
      <c r="DC137" s="133">
        <f t="shared" si="791"/>
        <v>26158.700000000004</v>
      </c>
      <c r="DD137" s="56"/>
      <c r="DG137" s="55">
        <f t="shared" si="792"/>
        <v>46138</v>
      </c>
      <c r="DH137" s="56"/>
      <c r="DI137" s="147">
        <f>SUMPRODUCT(PRODUCE!$B146:$DY146,PRODUCE!$EB$19:$IY$19)</f>
        <v>0</v>
      </c>
      <c r="DJ137" s="56"/>
      <c r="DK137" s="147">
        <f t="shared" si="793"/>
        <v>0</v>
      </c>
      <c r="DL137" s="147">
        <f t="shared" si="794"/>
        <v>45541.999999999985</v>
      </c>
      <c r="DM137" s="56"/>
      <c r="DP137" s="55">
        <f t="shared" si="795"/>
        <v>46138</v>
      </c>
      <c r="DQ137" s="56"/>
      <c r="DR137" s="57">
        <f>SUMPRODUCT(PRODUCE!$B146:$DY146,PRODUCE!$EB$20:$IY$20)</f>
        <v>0</v>
      </c>
      <c r="DS137" s="56"/>
      <c r="DT137" s="57">
        <f t="shared" si="796"/>
        <v>0</v>
      </c>
      <c r="DU137" s="57">
        <f t="shared" si="797"/>
        <v>5800</v>
      </c>
      <c r="DV137" s="56"/>
      <c r="DY137" s="55">
        <f t="shared" si="798"/>
        <v>46138</v>
      </c>
      <c r="DZ137" s="56"/>
      <c r="EA137" s="157">
        <f>SUMPRODUCT(PRODUCE!$B146:$DY146,PRODUCE!$EB$21:$IY$21)</f>
        <v>0</v>
      </c>
      <c r="EB137" s="56"/>
      <c r="EC137" s="157">
        <f t="shared" si="799"/>
        <v>0</v>
      </c>
      <c r="ED137" s="157">
        <f t="shared" si="800"/>
        <v>147.30000000000018</v>
      </c>
      <c r="EE137" s="56"/>
      <c r="EH137" s="55">
        <f t="shared" si="801"/>
        <v>46138</v>
      </c>
      <c r="EI137" s="56"/>
      <c r="EJ137" s="162">
        <f>SUMPRODUCT(PRODUCE!$B146:$DY146,PRODUCE!$EB$22:$IY$22)</f>
        <v>0</v>
      </c>
      <c r="EK137" s="56"/>
      <c r="EL137" s="162">
        <f t="shared" si="802"/>
        <v>0</v>
      </c>
      <c r="EM137" s="162">
        <f t="shared" si="803"/>
        <v>0</v>
      </c>
      <c r="EN137" s="56"/>
      <c r="EQ137" s="55">
        <f t="shared" si="804"/>
        <v>46138</v>
      </c>
      <c r="ER137" s="56"/>
      <c r="ES137" s="135">
        <f>SUMPRODUCT(PRODUCE!$B146:$DY146,PRODUCE!$EB$23:$IY$23)</f>
        <v>0</v>
      </c>
      <c r="ET137" s="56"/>
      <c r="EU137" s="135">
        <f t="shared" si="805"/>
        <v>0</v>
      </c>
      <c r="EV137" s="135">
        <f t="shared" si="806"/>
        <v>0</v>
      </c>
      <c r="EW137" s="56"/>
      <c r="EZ137" s="55">
        <f t="shared" si="807"/>
        <v>46138</v>
      </c>
      <c r="FA137" s="56"/>
      <c r="FB137" s="175">
        <f>SUMPRODUCT(PRODUCE!$B146:$DY146,PRODUCE!$EB$24:$IY$24)</f>
        <v>0</v>
      </c>
      <c r="FC137" s="56"/>
      <c r="FD137" s="175">
        <f t="shared" si="808"/>
        <v>0</v>
      </c>
      <c r="FE137" s="175">
        <f t="shared" si="809"/>
        <v>0</v>
      </c>
      <c r="FF137" s="56"/>
      <c r="FI137" s="55">
        <f t="shared" si="810"/>
        <v>46138</v>
      </c>
      <c r="FJ137" s="56"/>
      <c r="FK137" s="183">
        <f>SUMPRODUCT(PRODUCE!$B146:$DY146,PRODUCE!$EB$25:$IY$25)</f>
        <v>0</v>
      </c>
      <c r="FL137" s="56"/>
      <c r="FM137" s="183">
        <f t="shared" si="811"/>
        <v>0</v>
      </c>
      <c r="FN137" s="183">
        <f t="shared" si="812"/>
        <v>0</v>
      </c>
      <c r="FO137" s="56"/>
      <c r="FR137" s="55">
        <f t="shared" si="813"/>
        <v>46138</v>
      </c>
      <c r="FS137" s="422"/>
      <c r="FT137" s="452">
        <f>SUMPRODUCT(PRODUCE!$B146:$DY146,PRODUCE!$EB$26:$IY$26)</f>
        <v>0</v>
      </c>
      <c r="FU137" s="422"/>
      <c r="FV137" s="452">
        <f t="shared" si="814"/>
        <v>0</v>
      </c>
      <c r="FW137" s="452">
        <f t="shared" si="815"/>
        <v>2120</v>
      </c>
      <c r="FX137" s="56"/>
      <c r="GA137" s="55">
        <f t="shared" si="816"/>
        <v>46138</v>
      </c>
      <c r="GB137" s="422"/>
      <c r="GC137" s="454">
        <f>SUMPRODUCT(PRODUCE!$B146:$DY146,PRODUCE!$EB$27:$IY$27)</f>
        <v>0</v>
      </c>
      <c r="GD137" s="422"/>
      <c r="GE137" s="454">
        <f t="shared" si="817"/>
        <v>0</v>
      </c>
      <c r="GF137" s="454">
        <f t="shared" si="818"/>
        <v>4840</v>
      </c>
      <c r="GG137" s="56"/>
      <c r="GI137" s="23"/>
      <c r="GJ137" s="55">
        <f t="shared" si="819"/>
        <v>46138</v>
      </c>
      <c r="GK137" s="422"/>
      <c r="GL137" s="456">
        <f>SUMPRODUCT(PRODUCE!$B146:$DY146,PRODUCE!$EB$28:$IY$28)</f>
        <v>0</v>
      </c>
      <c r="GM137" s="422"/>
      <c r="GN137" s="456">
        <f t="shared" si="820"/>
        <v>0</v>
      </c>
      <c r="GO137" s="456">
        <f t="shared" si="821"/>
        <v>3280</v>
      </c>
      <c r="GP137" s="56"/>
      <c r="GS137" s="55">
        <f t="shared" si="822"/>
        <v>46138</v>
      </c>
      <c r="GT137" s="56"/>
      <c r="GU137" s="195">
        <f>SUMPRODUCT(PRODUCE!$B146:$DY146,PRODUCE!$EB$29:$IY$29)</f>
        <v>0</v>
      </c>
      <c r="GV137" s="56"/>
      <c r="GW137" s="195">
        <f t="shared" si="823"/>
        <v>0</v>
      </c>
      <c r="GX137" s="195">
        <f t="shared" si="824"/>
        <v>0</v>
      </c>
      <c r="GY137" s="56"/>
      <c r="HB137" s="55">
        <f t="shared" si="825"/>
        <v>46138</v>
      </c>
      <c r="HC137" s="56"/>
      <c r="HD137" s="191">
        <f>SUMPRODUCT(PRODUCE!$B146:$DY146,PRODUCE!$EB$30:$IY$30)</f>
        <v>0</v>
      </c>
      <c r="HE137" s="56"/>
      <c r="HF137" s="191">
        <f t="shared" si="826"/>
        <v>0</v>
      </c>
      <c r="HG137" s="191">
        <f t="shared" si="827"/>
        <v>0</v>
      </c>
      <c r="HH137" s="56"/>
      <c r="HK137" s="55">
        <f t="shared" si="828"/>
        <v>46138</v>
      </c>
      <c r="HL137" s="56"/>
      <c r="HM137" s="63">
        <f>SUMPRODUCT(PRODUCE!$B146:$DY146,PRODUCE!$EB$31:$IY$31)</f>
        <v>0</v>
      </c>
      <c r="HN137" s="56"/>
      <c r="HO137" s="63">
        <f t="shared" si="829"/>
        <v>0</v>
      </c>
      <c r="HP137" s="63">
        <f t="shared" si="830"/>
        <v>0</v>
      </c>
      <c r="HQ137" s="56"/>
      <c r="HU137" s="55">
        <f t="shared" si="831"/>
        <v>46138</v>
      </c>
      <c r="HV137" s="56"/>
      <c r="HW137" s="242">
        <f>SUMPRODUCT(PRODUCE!$B146:$DY146,PRODUCE!$EB$32:$IY$32)</f>
        <v>0</v>
      </c>
      <c r="HX137" s="56"/>
      <c r="HY137" s="242">
        <f t="shared" si="832"/>
        <v>0</v>
      </c>
      <c r="HZ137" s="242">
        <f t="shared" si="833"/>
        <v>5120</v>
      </c>
      <c r="IA137" s="56"/>
      <c r="ID137" s="55">
        <f t="shared" si="834"/>
        <v>46138</v>
      </c>
      <c r="IE137" s="56"/>
      <c r="IF137" s="242">
        <f>SUMPRODUCT(PRODUCE!$B146:$DY146,PRODUCE!$EB$33:$IY$33)</f>
        <v>0</v>
      </c>
      <c r="IG137" s="56"/>
      <c r="IH137" s="242">
        <f t="shared" si="835"/>
        <v>0</v>
      </c>
      <c r="II137" s="242">
        <f t="shared" si="836"/>
        <v>6540</v>
      </c>
      <c r="IJ137" s="56"/>
      <c r="IM137" s="55">
        <f t="shared" si="837"/>
        <v>46138</v>
      </c>
      <c r="IN137" s="56"/>
      <c r="IO137" s="242">
        <f>SUMPRODUCT(PRODUCE!$B146:$DY146,PRODUCE!$EB$34:$IY$34)</f>
        <v>0</v>
      </c>
      <c r="IP137" s="56"/>
      <c r="IQ137" s="242">
        <f t="shared" si="838"/>
        <v>0</v>
      </c>
      <c r="IR137" s="242">
        <f t="shared" si="839"/>
        <v>11540</v>
      </c>
      <c r="IS137" s="56"/>
      <c r="IV137" s="55">
        <f t="shared" si="840"/>
        <v>46138</v>
      </c>
      <c r="IW137" s="56"/>
      <c r="IX137" s="242">
        <f>SUMPRODUCT(PRODUCE!$B146:$DY146,PRODUCE!$EB$35:$IY$35)</f>
        <v>0</v>
      </c>
      <c r="IY137" s="56"/>
      <c r="IZ137" s="242">
        <f t="shared" si="841"/>
        <v>0</v>
      </c>
      <c r="JA137" s="242">
        <f t="shared" si="842"/>
        <v>15120</v>
      </c>
      <c r="JB137" s="56"/>
      <c r="JE137" s="55">
        <f t="shared" si="843"/>
        <v>46138</v>
      </c>
      <c r="JF137" s="56"/>
      <c r="JG137" s="242">
        <f>SUMPRODUCT(PRODUCE!$B146:$DY146,PRODUCE!$EB$36:$IY$36)</f>
        <v>0</v>
      </c>
      <c r="JH137" s="56"/>
      <c r="JI137" s="242">
        <f t="shared" si="844"/>
        <v>0</v>
      </c>
      <c r="JJ137" s="242">
        <f t="shared" si="845"/>
        <v>4520</v>
      </c>
      <c r="JK137" s="56"/>
      <c r="JN137" s="55">
        <f t="shared" si="846"/>
        <v>46138</v>
      </c>
      <c r="JO137" s="56"/>
      <c r="JP137" s="242">
        <f>SUMPRODUCT(PRODUCE!$B146:$DY146,PRODUCE!$EB$37:$IY$37)</f>
        <v>0</v>
      </c>
      <c r="JQ137" s="56"/>
      <c r="JR137" s="242">
        <f t="shared" si="847"/>
        <v>0</v>
      </c>
      <c r="JS137" s="242">
        <f t="shared" si="848"/>
        <v>9100</v>
      </c>
      <c r="JT137" s="56"/>
      <c r="JW137" s="55">
        <f t="shared" si="849"/>
        <v>46138</v>
      </c>
      <c r="JX137" s="56"/>
      <c r="JY137" s="242">
        <f>SUMPRODUCT(PRODUCE!$B146:$DY146,PRODUCE!$EB$38:$IY$38)</f>
        <v>0</v>
      </c>
      <c r="JZ137" s="56"/>
      <c r="KA137" s="242">
        <f t="shared" si="850"/>
        <v>0</v>
      </c>
      <c r="KB137" s="242">
        <f t="shared" si="851"/>
        <v>2540</v>
      </c>
      <c r="KC137" s="56"/>
      <c r="KF137" s="55">
        <f t="shared" si="852"/>
        <v>46138</v>
      </c>
      <c r="KG137" s="56"/>
      <c r="KH137" s="242">
        <f>SUMPRODUCT(PRODUCE!$B146:$DY146,PRODUCE!$EB$39:$IY$39)</f>
        <v>0</v>
      </c>
      <c r="KI137" s="56"/>
      <c r="KJ137" s="242">
        <f t="shared" si="853"/>
        <v>0</v>
      </c>
      <c r="KK137" s="242">
        <f t="shared" si="854"/>
        <v>19.5</v>
      </c>
      <c r="KL137" s="56"/>
      <c r="KO137" s="55">
        <f t="shared" si="855"/>
        <v>46138</v>
      </c>
      <c r="KP137" s="56"/>
      <c r="KQ137" s="242">
        <f>SUMPRODUCT(PRODUCE!$B146:$DY146,PRODUCE!$EB$40:$IY$40)</f>
        <v>0</v>
      </c>
      <c r="KR137" s="56"/>
      <c r="KS137" s="242">
        <f t="shared" si="856"/>
        <v>0</v>
      </c>
      <c r="KT137" s="242">
        <f t="shared" si="857"/>
        <v>3024</v>
      </c>
      <c r="KU137" s="56"/>
      <c r="KW137" s="23"/>
      <c r="KX137" s="55">
        <f t="shared" si="858"/>
        <v>46138</v>
      </c>
      <c r="KY137" s="56"/>
      <c r="KZ137" s="242">
        <f>SUMPRODUCT(PRODUCE!$B146:$DY146,PRODUCE!$EB$41:$IY$41)</f>
        <v>0</v>
      </c>
      <c r="LA137" s="56"/>
      <c r="LB137" s="242">
        <f t="shared" si="859"/>
        <v>0</v>
      </c>
      <c r="LC137" s="242">
        <f t="shared" si="860"/>
        <v>6150</v>
      </c>
      <c r="LD137" s="56"/>
      <c r="LG137" s="55">
        <f t="shared" si="861"/>
        <v>46138</v>
      </c>
      <c r="LH137" s="56"/>
      <c r="LI137" s="242">
        <f>SUMPRODUCT(PRODUCE!$B146:$DY146,PRODUCE!$EB$42:$IY$42)</f>
        <v>0</v>
      </c>
      <c r="LJ137" s="56"/>
      <c r="LK137" s="242">
        <f t="shared" si="862"/>
        <v>0</v>
      </c>
      <c r="LL137" s="242">
        <f t="shared" si="863"/>
        <v>4000</v>
      </c>
      <c r="LM137" s="56"/>
      <c r="LP137" s="55">
        <f t="shared" si="864"/>
        <v>46138</v>
      </c>
      <c r="LQ137" s="56"/>
      <c r="LR137" s="242">
        <f>SUMPRODUCT(PRODUCE!$B152:$DY152,PRODUCE!$EB$43:$IY$43)</f>
        <v>0</v>
      </c>
      <c r="LS137" s="56"/>
      <c r="LT137" s="242">
        <f t="shared" si="865"/>
        <v>0</v>
      </c>
      <c r="LU137" s="242">
        <f t="shared" si="866"/>
        <v>0</v>
      </c>
      <c r="LV137" s="56"/>
      <c r="LY137" s="55">
        <f t="shared" si="867"/>
        <v>46138</v>
      </c>
      <c r="LZ137" s="56"/>
      <c r="MA137" s="242">
        <f>SUMPRODUCT(PRODUCE!$B146:$DY146,PRODUCE!$EB$44:$IY$44)</f>
        <v>0</v>
      </c>
      <c r="MB137" s="56"/>
      <c r="MC137" s="242">
        <f t="shared" si="868"/>
        <v>0</v>
      </c>
      <c r="MD137" s="242">
        <f t="shared" si="869"/>
        <v>0</v>
      </c>
      <c r="ME137" s="56"/>
      <c r="MH137" s="55">
        <f t="shared" si="870"/>
        <v>46138</v>
      </c>
      <c r="MI137" s="56"/>
      <c r="MJ137" s="242">
        <f>SUMPRODUCT(PRODUCE!$B146:$DY146,PRODUCE!$EB$45:$IY$45)</f>
        <v>0</v>
      </c>
      <c r="MK137" s="56"/>
      <c r="ML137" s="242">
        <f t="shared" si="871"/>
        <v>0</v>
      </c>
      <c r="MM137" s="242">
        <f t="shared" si="872"/>
        <v>0</v>
      </c>
      <c r="MN137" s="56"/>
      <c r="MQ137" s="55">
        <f t="shared" si="873"/>
        <v>46138</v>
      </c>
      <c r="MR137" s="56"/>
      <c r="MS137" s="242">
        <f>SUMPRODUCT(PRODUCE!$B146:$DY146,PRODUCE!$EB$46:$IY$46)</f>
        <v>0</v>
      </c>
      <c r="MT137" s="56"/>
      <c r="MU137" s="242">
        <f t="shared" si="874"/>
        <v>0</v>
      </c>
      <c r="MV137" s="242">
        <f t="shared" si="875"/>
        <v>3982</v>
      </c>
      <c r="MW137" s="56"/>
      <c r="MZ137" s="55">
        <f t="shared" si="876"/>
        <v>46138</v>
      </c>
      <c r="NA137" s="56"/>
      <c r="NB137" s="242">
        <f>SUMPRODUCT(PRODUCE!$B146:$DY146,PRODUCE!$EB$47:$IY$47)</f>
        <v>0</v>
      </c>
      <c r="NC137" s="56"/>
      <c r="ND137" s="242">
        <f t="shared" si="877"/>
        <v>0</v>
      </c>
      <c r="NE137" s="242">
        <f t="shared" si="878"/>
        <v>0</v>
      </c>
      <c r="NF137" s="56"/>
      <c r="NI137" s="55">
        <f t="shared" si="879"/>
        <v>46138</v>
      </c>
      <c r="NJ137" s="56"/>
      <c r="NK137" s="242">
        <f>SUMPRODUCT(PRODUCE!$B146:$DY146,PRODUCE!$EB$48:$IY$48)</f>
        <v>0</v>
      </c>
      <c r="NL137" s="56"/>
      <c r="NM137" s="242">
        <f t="shared" si="880"/>
        <v>0</v>
      </c>
      <c r="NN137" s="242">
        <f t="shared" si="881"/>
        <v>1187</v>
      </c>
      <c r="NO137" s="56"/>
      <c r="NR137" s="55">
        <f t="shared" si="882"/>
        <v>46138</v>
      </c>
      <c r="NS137" s="56"/>
      <c r="NT137" s="242">
        <f>SUMPRODUCT(PRODUCE!$B146:$DY146,PRODUCE!$EB$49:$IY$49)</f>
        <v>0</v>
      </c>
      <c r="NU137" s="56"/>
      <c r="NV137" s="242">
        <f t="shared" si="883"/>
        <v>0</v>
      </c>
      <c r="NW137" s="242">
        <f t="shared" si="884"/>
        <v>3182.8999999999996</v>
      </c>
      <c r="NX137" s="56"/>
      <c r="OA137" s="55">
        <f t="shared" si="885"/>
        <v>46138</v>
      </c>
      <c r="OB137" s="56"/>
      <c r="OC137" s="242">
        <f>SUMPRODUCT(PRODUCE!$B146:$DY146,PRODUCE!$EB$50:$IY$50)</f>
        <v>0</v>
      </c>
      <c r="OD137" s="56"/>
      <c r="OE137" s="242">
        <f t="shared" si="886"/>
        <v>0</v>
      </c>
      <c r="OF137" s="242">
        <f t="shared" si="887"/>
        <v>1680.5</v>
      </c>
      <c r="OG137" s="56"/>
      <c r="OJ137" s="55">
        <f t="shared" si="888"/>
        <v>46138</v>
      </c>
      <c r="OK137" s="56"/>
      <c r="OL137" s="242">
        <f>SUMPRODUCT(PRODUCE!$B146:$DY146,PRODUCE!$EB$51:$IY$51)</f>
        <v>0</v>
      </c>
      <c r="OM137" s="56"/>
      <c r="ON137" s="242">
        <f t="shared" si="889"/>
        <v>0</v>
      </c>
      <c r="OO137" s="242">
        <f t="shared" si="890"/>
        <v>0</v>
      </c>
      <c r="OP137" s="56"/>
      <c r="OS137" s="55">
        <f t="shared" si="891"/>
        <v>46138</v>
      </c>
      <c r="OT137" s="56"/>
      <c r="OU137" s="242">
        <f>SUMPRODUCT(PRODUCE!$B146:$DY146,PRODUCE!$EB$52:$IY$52)</f>
        <v>0</v>
      </c>
      <c r="OV137" s="56"/>
      <c r="OW137" s="242">
        <f t="shared" si="892"/>
        <v>0</v>
      </c>
      <c r="OX137" s="242">
        <f t="shared" si="893"/>
        <v>1000</v>
      </c>
      <c r="OY137" s="56"/>
      <c r="PB137" s="55">
        <f t="shared" si="894"/>
        <v>46138</v>
      </c>
      <c r="PC137" s="56"/>
      <c r="PD137" s="242">
        <f>SUMPRODUCT(PRODUCE!$B146:$DY146,PRODUCE!$EB$53:$IY$53)</f>
        <v>0</v>
      </c>
      <c r="PE137" s="56"/>
      <c r="PF137" s="242">
        <f t="shared" si="895"/>
        <v>0</v>
      </c>
      <c r="PG137" s="242">
        <f t="shared" si="896"/>
        <v>0</v>
      </c>
      <c r="PH137" s="56"/>
      <c r="PK137" s="55">
        <f t="shared" si="897"/>
        <v>46138</v>
      </c>
      <c r="PL137" s="56"/>
      <c r="PM137" s="242">
        <f>SUMPRODUCT(PRODUCE!$B146:$DY146,PRODUCE!$EB$54:$IY$54)</f>
        <v>0</v>
      </c>
      <c r="PN137" s="56"/>
      <c r="PO137" s="242">
        <f t="shared" si="898"/>
        <v>0</v>
      </c>
      <c r="PP137" s="242">
        <f t="shared" si="899"/>
        <v>100</v>
      </c>
      <c r="PQ137" s="56"/>
      <c r="PT137" s="55">
        <f t="shared" si="900"/>
        <v>46138</v>
      </c>
      <c r="PU137" s="56"/>
      <c r="PV137" s="242">
        <f>SUMPRODUCT(PRODUCE!$B146:$DY146,PRODUCE!$EB$55:$IY$55)</f>
        <v>0</v>
      </c>
      <c r="PW137" s="56"/>
      <c r="PX137" s="242">
        <f t="shared" si="901"/>
        <v>0</v>
      </c>
      <c r="PY137" s="242">
        <f t="shared" si="902"/>
        <v>13.960000000000036</v>
      </c>
      <c r="PZ137" s="56"/>
      <c r="QC137" s="55">
        <f t="shared" si="903"/>
        <v>46138</v>
      </c>
      <c r="QD137" s="56"/>
      <c r="QE137" s="242">
        <f>SUMPRODUCT(PRODUCE!$B146:$DY146,PRODUCE!$EB$56:$IY$56)</f>
        <v>0</v>
      </c>
      <c r="QF137" s="56"/>
      <c r="QG137" s="242">
        <f t="shared" si="904"/>
        <v>0</v>
      </c>
      <c r="QH137" s="242">
        <f t="shared" si="905"/>
        <v>1108</v>
      </c>
      <c r="QI137" s="56"/>
      <c r="QL137" s="55">
        <f t="shared" si="906"/>
        <v>46138</v>
      </c>
      <c r="QM137" s="56"/>
      <c r="QN137" s="242">
        <f>SUMPRODUCT(PRODUCE!$B146:$DY146,PRODUCE!$EB$57:$IY$57)</f>
        <v>0</v>
      </c>
      <c r="QO137" s="56"/>
      <c r="QP137" s="242">
        <f t="shared" si="907"/>
        <v>0</v>
      </c>
      <c r="QQ137" s="242">
        <f t="shared" si="908"/>
        <v>400</v>
      </c>
      <c r="QR137" s="56"/>
      <c r="QU137" s="55">
        <f t="shared" si="909"/>
        <v>46138</v>
      </c>
      <c r="QV137" s="56"/>
      <c r="QW137" s="242">
        <f>SUMPRODUCT(PRODUCE!$B146:$DY146,PRODUCE!$EB$57:$IY$57)</f>
        <v>0</v>
      </c>
      <c r="QX137" s="56"/>
      <c r="QY137" s="242">
        <f t="shared" si="910"/>
        <v>0</v>
      </c>
      <c r="QZ137" s="242">
        <f t="shared" si="911"/>
        <v>207.6</v>
      </c>
      <c r="RA137" s="56"/>
      <c r="RD137" s="55">
        <f t="shared" si="912"/>
        <v>46138</v>
      </c>
      <c r="RE137" s="56"/>
      <c r="RF137" s="242">
        <f>SUMPRODUCT(PRODUCE!$B146:$DY146,PRODUCE!$EB$58:$IY$58)</f>
        <v>0</v>
      </c>
      <c r="RG137" s="56"/>
      <c r="RH137" s="242">
        <f t="shared" si="913"/>
        <v>0</v>
      </c>
      <c r="RI137" s="242">
        <f t="shared" si="914"/>
        <v>147.04000000000002</v>
      </c>
      <c r="RJ137" s="56"/>
      <c r="RM137" s="55">
        <f t="shared" si="915"/>
        <v>46138</v>
      </c>
      <c r="RN137" s="56"/>
      <c r="RO137" s="242">
        <f>SUMPRODUCT(PRODUCE!$B146:$DY146,PRODUCE!$EB$57:$IY$57)</f>
        <v>0</v>
      </c>
      <c r="RP137" s="56"/>
      <c r="RQ137" s="242">
        <f t="shared" si="916"/>
        <v>0</v>
      </c>
      <c r="RR137" s="242">
        <f t="shared" si="917"/>
        <v>46.8</v>
      </c>
      <c r="RS137" s="56"/>
      <c r="RV137" s="55">
        <f t="shared" si="918"/>
        <v>46138</v>
      </c>
      <c r="RW137" s="56"/>
      <c r="RX137" s="242">
        <f>SUMPRODUCT(PRODUCE!$B146:$DY146,PRODUCE!$EB$57:$IY$57)</f>
        <v>0</v>
      </c>
      <c r="RY137" s="56"/>
      <c r="RZ137" s="242">
        <f t="shared" si="919"/>
        <v>0</v>
      </c>
      <c r="SA137" s="242">
        <f t="shared" si="920"/>
        <v>0</v>
      </c>
      <c r="SB137" s="56"/>
      <c r="SE137" s="55">
        <f t="shared" si="921"/>
        <v>46138</v>
      </c>
      <c r="SF137" s="56"/>
      <c r="SG137" s="242">
        <f>SUMPRODUCT(PRODUCE!$B146:$DY146,PRODUCE!$EB$57:$IY$57)</f>
        <v>0</v>
      </c>
      <c r="SH137" s="56"/>
      <c r="SI137" s="242">
        <f t="shared" si="922"/>
        <v>0</v>
      </c>
      <c r="SJ137" s="242">
        <f t="shared" si="923"/>
        <v>24.200000000000003</v>
      </c>
      <c r="SK137" s="56"/>
      <c r="SN137" s="55">
        <f t="shared" si="924"/>
        <v>46138</v>
      </c>
      <c r="SO137" s="56"/>
      <c r="SP137" s="242">
        <f>SUMPRODUCT(PRODUCE!$B146:$DY146,PRODUCE!$EB$57:$IY$57)</f>
        <v>0</v>
      </c>
      <c r="SQ137" s="56"/>
      <c r="SR137" s="242">
        <f t="shared" si="925"/>
        <v>0</v>
      </c>
      <c r="SS137" s="242">
        <f t="shared" si="926"/>
        <v>32</v>
      </c>
      <c r="ST137" s="56"/>
      <c r="SW137" s="55">
        <f t="shared" si="927"/>
        <v>46138</v>
      </c>
      <c r="SX137" s="56"/>
      <c r="SY137" s="242">
        <f>SUMPRODUCT(PRODUCE!$B146:$DY146,PRODUCE!$EB$57:$IY$57)</f>
        <v>0</v>
      </c>
      <c r="SZ137" s="56"/>
      <c r="TA137" s="242">
        <f t="shared" si="928"/>
        <v>0</v>
      </c>
      <c r="TB137" s="242">
        <f t="shared" si="929"/>
        <v>0</v>
      </c>
      <c r="TC137" s="56"/>
      <c r="TF137" s="55">
        <f t="shared" si="930"/>
        <v>46138</v>
      </c>
      <c r="TG137" s="56"/>
      <c r="TH137" s="242">
        <f>SUMPRODUCT(PRODUCE!$B146:$DY146,PRODUCE!$EB$57:$IY$57)</f>
        <v>0</v>
      </c>
      <c r="TI137" s="56"/>
      <c r="TJ137" s="242">
        <f t="shared" si="931"/>
        <v>0</v>
      </c>
      <c r="TK137" s="242">
        <f t="shared" si="932"/>
        <v>0</v>
      </c>
      <c r="TL137" s="56"/>
      <c r="TO137" s="55">
        <f t="shared" si="933"/>
        <v>46138</v>
      </c>
      <c r="TP137" s="56"/>
      <c r="TQ137" s="242">
        <f>SUMPRODUCT(PRODUCE!$B146:$DY146,PRODUCE!$EB$57:$IY$57)</f>
        <v>0</v>
      </c>
      <c r="TR137" s="56"/>
      <c r="TS137" s="242">
        <f t="shared" si="934"/>
        <v>0</v>
      </c>
      <c r="TT137" s="242">
        <f t="shared" si="935"/>
        <v>0</v>
      </c>
      <c r="TU137" s="56"/>
      <c r="TX137" s="55">
        <f t="shared" si="936"/>
        <v>46138</v>
      </c>
      <c r="TY137" s="56"/>
      <c r="TZ137" s="242">
        <f>SUMPRODUCT(PRODUCE!$B146:$DY146,PRODUCE!$EB$57:$IY$57)</f>
        <v>0</v>
      </c>
      <c r="UA137" s="56"/>
      <c r="UB137" s="242">
        <f t="shared" si="937"/>
        <v>0</v>
      </c>
      <c r="UC137" s="242">
        <f t="shared" si="938"/>
        <v>0</v>
      </c>
      <c r="UD137" s="56"/>
      <c r="UG137" s="55">
        <f t="shared" si="939"/>
        <v>46138</v>
      </c>
      <c r="UH137" s="56"/>
      <c r="UI137" s="242">
        <f>SUMPRODUCT(PRODUCE!$B146:$DY146,PRODUCE!$EB$57:$IY$57)</f>
        <v>0</v>
      </c>
      <c r="UJ137" s="56"/>
      <c r="UK137" s="242">
        <f t="shared" si="940"/>
        <v>0</v>
      </c>
      <c r="UL137" s="242">
        <f t="shared" si="941"/>
        <v>0</v>
      </c>
      <c r="UM137" s="56"/>
      <c r="UP137" s="55">
        <f t="shared" si="942"/>
        <v>46138</v>
      </c>
      <c r="UQ137" s="56"/>
      <c r="UR137" s="242">
        <f>SUMPRODUCT(PRODUCE!$B146:$DY146,PRODUCE!$EB$57:$IY$57)</f>
        <v>0</v>
      </c>
      <c r="US137" s="56"/>
      <c r="UT137" s="242">
        <f t="shared" si="943"/>
        <v>0</v>
      </c>
      <c r="UU137" s="242">
        <f t="shared" si="944"/>
        <v>0</v>
      </c>
      <c r="UV137" s="56"/>
      <c r="UY137" s="55">
        <f t="shared" si="945"/>
        <v>46138</v>
      </c>
      <c r="UZ137" s="56"/>
      <c r="VA137" s="242">
        <f>SUMPRODUCT(PRODUCE!$B146:$DY146,PRODUCE!$EB$57:$IY$57)</f>
        <v>0</v>
      </c>
      <c r="VB137" s="56"/>
      <c r="VC137" s="242">
        <f t="shared" si="946"/>
        <v>0</v>
      </c>
      <c r="VD137" s="242">
        <f t="shared" si="947"/>
        <v>41.600000000000023</v>
      </c>
      <c r="VE137" s="56"/>
      <c r="VH137" s="55">
        <f t="shared" si="948"/>
        <v>46138</v>
      </c>
      <c r="VI137" s="56"/>
      <c r="VJ137" s="242">
        <f>SUMPRODUCT(PRODUCE!$B146:$DY146,PRODUCE!$EB$57:$IY$57)</f>
        <v>0</v>
      </c>
      <c r="VK137" s="56"/>
      <c r="VL137" s="242">
        <f t="shared" si="949"/>
        <v>0</v>
      </c>
      <c r="VM137" s="242">
        <f t="shared" si="950"/>
        <v>0</v>
      </c>
      <c r="VN137" s="56"/>
      <c r="VQ137" s="55">
        <f t="shared" si="951"/>
        <v>46138</v>
      </c>
      <c r="VR137" s="56"/>
      <c r="VS137" s="242">
        <f>SUMPRODUCT(PRODUCE!$B146:$DY146,PRODUCE!$EB$57:$IY$57)</f>
        <v>0</v>
      </c>
      <c r="VT137" s="56"/>
      <c r="VU137" s="242">
        <f t="shared" si="952"/>
        <v>0</v>
      </c>
      <c r="VV137" s="242">
        <f t="shared" si="953"/>
        <v>0</v>
      </c>
      <c r="VW137" s="56"/>
      <c r="VZ137" s="55">
        <f t="shared" si="954"/>
        <v>46138</v>
      </c>
      <c r="WA137" s="56"/>
      <c r="WB137" s="242">
        <f>SUMPRODUCT(PRODUCE!$B146:$DY146,PRODUCE!$EB$57:$IY$57)</f>
        <v>0</v>
      </c>
      <c r="WC137" s="56"/>
      <c r="WD137" s="242">
        <f t="shared" si="955"/>
        <v>0</v>
      </c>
      <c r="WE137" s="242">
        <f t="shared" si="956"/>
        <v>0</v>
      </c>
      <c r="WF137" s="56"/>
      <c r="WI137" s="55">
        <f t="shared" si="957"/>
        <v>46138</v>
      </c>
      <c r="WJ137" s="56"/>
      <c r="WK137" s="242">
        <f>SUMPRODUCT(PRODUCE!$B146:$DY146,PRODUCE!$EB$57:$IY$57)</f>
        <v>0</v>
      </c>
      <c r="WL137" s="56"/>
      <c r="WM137" s="242">
        <f t="shared" si="958"/>
        <v>0</v>
      </c>
      <c r="WN137" s="242">
        <f t="shared" si="959"/>
        <v>2317</v>
      </c>
      <c r="WO137" s="56"/>
      <c r="WR137" s="55">
        <f t="shared" si="960"/>
        <v>46138</v>
      </c>
      <c r="WS137" s="56"/>
      <c r="WT137" s="242">
        <f>SUMPRODUCT(PRODUCE!$B146:$DY146,PRODUCE!$EB$57:$IY$57)</f>
        <v>0</v>
      </c>
      <c r="WU137" s="56"/>
      <c r="WV137" s="242">
        <f t="shared" si="961"/>
        <v>0</v>
      </c>
      <c r="WW137" s="242">
        <f t="shared" si="962"/>
        <v>2597</v>
      </c>
      <c r="WX137" s="56"/>
      <c r="XA137" s="55">
        <f t="shared" si="963"/>
        <v>46138</v>
      </c>
      <c r="XB137" s="56"/>
      <c r="XC137" s="242">
        <f>SUMPRODUCT(PRODUCE!$B146:$DY146,PRODUCE!$EB$57:$IY$57)</f>
        <v>0</v>
      </c>
      <c r="XD137" s="56"/>
      <c r="XE137" s="242">
        <f t="shared" si="964"/>
        <v>0</v>
      </c>
      <c r="XF137" s="242">
        <f t="shared" si="965"/>
        <v>13455</v>
      </c>
      <c r="XG137" s="56"/>
      <c r="XJ137" s="55">
        <f t="shared" si="966"/>
        <v>46138</v>
      </c>
      <c r="XK137" s="56"/>
      <c r="XL137" s="242">
        <f>SUMPRODUCT(PRODUCE!$B146:$DY146,PRODUCE!$EB$57:$IY$57)</f>
        <v>0</v>
      </c>
      <c r="XM137" s="56"/>
      <c r="XN137" s="242">
        <f t="shared" si="967"/>
        <v>0</v>
      </c>
      <c r="XO137" s="242">
        <f t="shared" si="968"/>
        <v>2376</v>
      </c>
      <c r="XP137" s="56"/>
      <c r="XS137" s="55">
        <f t="shared" si="969"/>
        <v>46138</v>
      </c>
      <c r="XT137" s="56"/>
      <c r="XU137" s="242">
        <f>SUMPRODUCT(PRODUCE!$B146:$DY146,PRODUCE!$EB$57:$IY$57)</f>
        <v>0</v>
      </c>
      <c r="XV137" s="56"/>
      <c r="XW137" s="242">
        <f t="shared" si="970"/>
        <v>0</v>
      </c>
      <c r="XX137" s="242">
        <f t="shared" si="971"/>
        <v>1901</v>
      </c>
      <c r="XY137" s="56"/>
      <c r="YB137" s="55">
        <f t="shared" si="972"/>
        <v>46138</v>
      </c>
      <c r="YC137" s="56"/>
      <c r="YD137" s="242">
        <f>SUMPRODUCT(PRODUCE!$B146:$DY146,PRODUCE!$EB$57:$IY$57)</f>
        <v>0</v>
      </c>
      <c r="YE137" s="56"/>
      <c r="YF137" s="242">
        <f t="shared" si="973"/>
        <v>0</v>
      </c>
      <c r="YG137" s="242">
        <f t="shared" si="974"/>
        <v>6459</v>
      </c>
      <c r="YH137" s="56"/>
      <c r="YK137" s="55">
        <f t="shared" si="975"/>
        <v>46138</v>
      </c>
      <c r="YL137" s="56"/>
      <c r="YM137" s="242">
        <f>SUMPRODUCT(PRODUCE!$B146:$DY146,PRODUCE!$EB$57:$IY$57)</f>
        <v>0</v>
      </c>
      <c r="YN137" s="56"/>
      <c r="YO137" s="242">
        <f t="shared" si="976"/>
        <v>0</v>
      </c>
      <c r="YP137" s="242">
        <f t="shared" si="977"/>
        <v>0</v>
      </c>
      <c r="YQ137" s="56"/>
      <c r="YT137" s="55">
        <f t="shared" si="978"/>
        <v>46138</v>
      </c>
      <c r="YU137" s="56"/>
      <c r="YV137" s="242">
        <f>SUMPRODUCT(PRODUCE!$B146:$DY146,PRODUCE!$EB$57:$IY$57)</f>
        <v>0</v>
      </c>
      <c r="YW137" s="56"/>
      <c r="YX137" s="242">
        <f t="shared" si="979"/>
        <v>0</v>
      </c>
      <c r="YY137" s="242">
        <f t="shared" si="980"/>
        <v>0</v>
      </c>
      <c r="YZ137" s="56"/>
      <c r="ZC137" s="55">
        <f t="shared" si="981"/>
        <v>46138</v>
      </c>
      <c r="ZD137" s="56"/>
      <c r="ZE137" s="242">
        <f>SUMPRODUCT(PRODUCE!$B146:$DY146,PRODUCE!$EB$57:$IY$57)</f>
        <v>0</v>
      </c>
      <c r="ZF137" s="56"/>
      <c r="ZG137" s="242">
        <f t="shared" si="982"/>
        <v>0</v>
      </c>
      <c r="ZH137" s="242">
        <f t="shared" si="983"/>
        <v>0</v>
      </c>
      <c r="ZI137" s="56"/>
      <c r="ZL137" s="55">
        <f t="shared" si="984"/>
        <v>46138</v>
      </c>
      <c r="ZM137" s="56"/>
      <c r="ZN137" s="242">
        <f>SUMPRODUCT(PRODUCE!$B146:$DY146,PRODUCE!$EB$57:$IY$57)</f>
        <v>0</v>
      </c>
      <c r="ZO137" s="56"/>
      <c r="ZP137" s="242">
        <f t="shared" si="985"/>
        <v>0</v>
      </c>
      <c r="ZQ137" s="242">
        <f t="shared" si="986"/>
        <v>0</v>
      </c>
      <c r="ZR137" s="56"/>
      <c r="ZU137" s="55">
        <f t="shared" si="987"/>
        <v>46138</v>
      </c>
      <c r="ZV137" s="56"/>
      <c r="ZW137" s="242">
        <f>SUMPRODUCT(PRODUCE!$B146:$DY146,PRODUCE!$EB$57:$IY$57)</f>
        <v>0</v>
      </c>
      <c r="ZX137" s="56"/>
      <c r="ZY137" s="242">
        <f t="shared" si="988"/>
        <v>0</v>
      </c>
      <c r="ZZ137" s="242">
        <f t="shared" si="989"/>
        <v>0</v>
      </c>
      <c r="AAA137" s="56"/>
      <c r="AAD137" s="55">
        <f t="shared" si="990"/>
        <v>46138</v>
      </c>
      <c r="AAE137" s="56"/>
      <c r="AAF137" s="242">
        <f>SUMPRODUCT(PRODUCE!$B146:$DY146,PRODUCE!$EB$57:$IY$57)</f>
        <v>0</v>
      </c>
      <c r="AAG137" s="56"/>
      <c r="AAH137" s="242">
        <f t="shared" si="991"/>
        <v>0</v>
      </c>
      <c r="AAI137" s="242">
        <f t="shared" si="992"/>
        <v>0</v>
      </c>
      <c r="AAJ137" s="56"/>
      <c r="AAM137" s="55">
        <f t="shared" si="993"/>
        <v>46138</v>
      </c>
      <c r="AAN137" s="56"/>
      <c r="AAO137" s="242">
        <f>SUMPRODUCT(PRODUCE!$B146:$DY146,PRODUCE!$EB$57:$IY$57)</f>
        <v>0</v>
      </c>
      <c r="AAP137" s="56"/>
      <c r="AAQ137" s="242">
        <f t="shared" si="994"/>
        <v>0</v>
      </c>
      <c r="AAR137" s="242">
        <f t="shared" si="995"/>
        <v>0</v>
      </c>
      <c r="AAS137" s="56"/>
      <c r="AAV137" s="55">
        <f t="shared" si="996"/>
        <v>46138</v>
      </c>
      <c r="AAW137" s="56"/>
      <c r="AAX137" s="242">
        <f>SUMPRODUCT(PRODUCE!$B146:$DY146,PRODUCE!$EB$57:$IY$57)</f>
        <v>0</v>
      </c>
      <c r="AAY137" s="56"/>
      <c r="AAZ137" s="242">
        <f t="shared" si="997"/>
        <v>0</v>
      </c>
      <c r="ABA137" s="242">
        <f t="shared" si="998"/>
        <v>0</v>
      </c>
      <c r="ABB137" s="56"/>
      <c r="ABE137" s="55">
        <f t="shared" si="999"/>
        <v>46138</v>
      </c>
      <c r="ABF137" s="56"/>
      <c r="ABG137" s="242">
        <f>SUMPRODUCT(PRODUCE!$B146:$DY146,PRODUCE!$EB$57:$IY$57)</f>
        <v>0</v>
      </c>
      <c r="ABH137" s="56"/>
      <c r="ABI137" s="242">
        <f t="shared" si="1000"/>
        <v>0</v>
      </c>
      <c r="ABJ137" s="242">
        <f t="shared" si="1001"/>
        <v>0</v>
      </c>
      <c r="ABK137" s="56"/>
    </row>
    <row r="138" spans="1:739" s="54" customFormat="1" ht="15" customHeight="1" outlineLevel="1">
      <c r="B138" s="478">
        <f>90+18+48</f>
        <v>156</v>
      </c>
      <c r="C138" s="55">
        <v>46139</v>
      </c>
      <c r="D138" s="422">
        <v>30620</v>
      </c>
      <c r="E138" s="423">
        <f>SUMPRODUCT(PRODUCE!$B147:$DY147,PRODUCE!$EB$7:$IY$7)</f>
        <v>86705.040000000008</v>
      </c>
      <c r="F138" s="422">
        <v>86678.6</v>
      </c>
      <c r="G138" s="423">
        <f t="shared" si="1002"/>
        <v>26.440000000002328</v>
      </c>
      <c r="H138" s="423">
        <f t="shared" si="1003"/>
        <v>78235.800000000047</v>
      </c>
      <c r="I138" s="289" t="s">
        <v>255</v>
      </c>
      <c r="L138" s="55">
        <f t="shared" si="759"/>
        <v>46139</v>
      </c>
      <c r="M138" s="422"/>
      <c r="N138" s="438">
        <f>SUMPRODUCT(PRODUCE!$B147:$DY147,PRODUCE!$EB$8:$IY$8)</f>
        <v>43521.599999999999</v>
      </c>
      <c r="O138" s="422">
        <v>43509.8</v>
      </c>
      <c r="P138" s="438">
        <f t="shared" si="760"/>
        <v>11.799999999995634</v>
      </c>
      <c r="Q138" s="438">
        <f t="shared" si="761"/>
        <v>47196.80000000009</v>
      </c>
      <c r="R138" s="56"/>
      <c r="U138" s="55">
        <f t="shared" si="762"/>
        <v>46139</v>
      </c>
      <c r="V138" s="422"/>
      <c r="W138" s="440">
        <f>SUMPRODUCT(PRODUCE!$B147:$DY147,PRODUCE!$EB$9:$IY$9)</f>
        <v>5550</v>
      </c>
      <c r="X138" s="422">
        <v>5550.6</v>
      </c>
      <c r="Y138" s="440">
        <f t="shared" si="763"/>
        <v>-0.6000000000003638</v>
      </c>
      <c r="Z138" s="440">
        <f t="shared" si="764"/>
        <v>35087.799999999974</v>
      </c>
      <c r="AA138" s="56"/>
      <c r="AD138" s="55">
        <f t="shared" si="765"/>
        <v>46139</v>
      </c>
      <c r="AE138" s="422"/>
      <c r="AF138" s="442">
        <f>SUMPRODUCT(PRODUCE!$B147:$DY147,PRODUCE!$EB$10:$IY$10)</f>
        <v>7350</v>
      </c>
      <c r="AG138" s="422">
        <v>7354.1</v>
      </c>
      <c r="AH138" s="442">
        <f t="shared" si="766"/>
        <v>-4.1000000000003638</v>
      </c>
      <c r="AI138" s="442">
        <f t="shared" si="767"/>
        <v>13533.800000000016</v>
      </c>
      <c r="AJ138" s="56"/>
      <c r="AM138" s="55">
        <f t="shared" si="768"/>
        <v>46139</v>
      </c>
      <c r="AN138" s="422"/>
      <c r="AO138" s="444">
        <f>SUMPRODUCT(PRODUCE!$B147:$DY147,PRODUCE!$EB$11:$IY$11)</f>
        <v>0</v>
      </c>
      <c r="AP138" s="422"/>
      <c r="AQ138" s="444">
        <f t="shared" si="769"/>
        <v>0</v>
      </c>
      <c r="AR138" s="444">
        <f t="shared" si="770"/>
        <v>0</v>
      </c>
      <c r="AS138" s="56"/>
      <c r="AV138" s="55">
        <f t="shared" si="771"/>
        <v>46139</v>
      </c>
      <c r="AW138" s="422">
        <v>29980</v>
      </c>
      <c r="AX138" s="446">
        <f>SUMPRODUCT(PRODUCE!$B147:$DY147,PRODUCE!$EB$12:$IY$12)</f>
        <v>1260</v>
      </c>
      <c r="AY138" s="422">
        <v>1260.7</v>
      </c>
      <c r="AZ138" s="446">
        <f t="shared" si="772"/>
        <v>-0.70000000000004547</v>
      </c>
      <c r="BA138" s="446">
        <f t="shared" si="773"/>
        <v>37786.299999999996</v>
      </c>
      <c r="BB138" s="56"/>
      <c r="BE138" s="55">
        <f t="shared" si="774"/>
        <v>46139</v>
      </c>
      <c r="BF138" s="422"/>
      <c r="BG138" s="448">
        <f>SUMPRODUCT(PRODUCE!$B147:$DY147,PRODUCE!$EB$13:$IY$13)</f>
        <v>3546</v>
      </c>
      <c r="BH138" s="422">
        <v>3549</v>
      </c>
      <c r="BI138" s="448">
        <f t="shared" si="775"/>
        <v>-3</v>
      </c>
      <c r="BJ138" s="448">
        <f t="shared" si="776"/>
        <v>31020.399999999987</v>
      </c>
      <c r="BK138" s="56"/>
      <c r="BN138" s="55">
        <f t="shared" si="777"/>
        <v>46139</v>
      </c>
      <c r="BO138" s="422">
        <v>3612</v>
      </c>
      <c r="BP138" s="450">
        <f>SUMPRODUCT(PRODUCE!$B147:$DY147,PRODUCE!$EB$14:$IY$14)</f>
        <v>3612</v>
      </c>
      <c r="BQ138" s="422">
        <v>3612</v>
      </c>
      <c r="BR138" s="450">
        <f t="shared" si="778"/>
        <v>0</v>
      </c>
      <c r="BS138" s="450">
        <f t="shared" si="779"/>
        <v>0</v>
      </c>
      <c r="BT138" s="56"/>
      <c r="BW138" s="55">
        <f t="shared" si="780"/>
        <v>46139</v>
      </c>
      <c r="BX138" s="56"/>
      <c r="BY138" s="65">
        <f>SUMPRODUCT(PRODUCE!$B147:$DY147,PRODUCE!$EB$15:$IY$15)</f>
        <v>27</v>
      </c>
      <c r="BZ138" s="56">
        <v>27</v>
      </c>
      <c r="CA138" s="65">
        <f t="shared" si="781"/>
        <v>0</v>
      </c>
      <c r="CB138" s="65">
        <f t="shared" si="782"/>
        <v>6153.7999999999993</v>
      </c>
      <c r="CC138" s="56"/>
      <c r="CF138" s="55">
        <f t="shared" si="783"/>
        <v>46139</v>
      </c>
      <c r="CG138" s="56">
        <v>157.56</v>
      </c>
      <c r="CH138" s="66">
        <f>SUMPRODUCT(PRODUCE!$B147:$DY147,PRODUCE!$EB$16:$IY$16)</f>
        <v>864.36</v>
      </c>
      <c r="CI138" s="56">
        <f>106.2+51.36</f>
        <v>157.56</v>
      </c>
      <c r="CJ138" s="66">
        <f t="shared" si="784"/>
        <v>706.8</v>
      </c>
      <c r="CK138" s="66">
        <f t="shared" si="785"/>
        <v>0</v>
      </c>
      <c r="CL138" s="56"/>
      <c r="CO138" s="55">
        <f t="shared" si="786"/>
        <v>46139</v>
      </c>
      <c r="CP138" s="422"/>
      <c r="CQ138" s="470">
        <f>SUMPRODUCT(PRODUCE!$B147:$DY147,PRODUCE!$EB$17:$IY$17)</f>
        <v>0</v>
      </c>
      <c r="CR138" s="422"/>
      <c r="CS138" s="470">
        <f t="shared" si="787"/>
        <v>0</v>
      </c>
      <c r="CT138" s="470">
        <f t="shared" si="788"/>
        <v>0</v>
      </c>
      <c r="CU138" s="56"/>
      <c r="CX138" s="55">
        <f t="shared" si="789"/>
        <v>46139</v>
      </c>
      <c r="CY138" s="56"/>
      <c r="CZ138" s="133">
        <f>SUMPRODUCT(PRODUCE!$B147:$DY147,PRODUCE!$EB$18:$IY$18)</f>
        <v>0</v>
      </c>
      <c r="DA138" s="56"/>
      <c r="DB138" s="133">
        <f t="shared" si="790"/>
        <v>0</v>
      </c>
      <c r="DC138" s="133">
        <f t="shared" si="791"/>
        <v>26158.700000000004</v>
      </c>
      <c r="DD138" s="56"/>
      <c r="DG138" s="55">
        <f t="shared" si="792"/>
        <v>46139</v>
      </c>
      <c r="DH138" s="56"/>
      <c r="DI138" s="147">
        <f>SUMPRODUCT(PRODUCE!$B147:$DY147,PRODUCE!$EB$19:$IY$19)</f>
        <v>0</v>
      </c>
      <c r="DJ138" s="56"/>
      <c r="DK138" s="147">
        <f t="shared" si="793"/>
        <v>0</v>
      </c>
      <c r="DL138" s="147">
        <f t="shared" si="794"/>
        <v>45541.999999999985</v>
      </c>
      <c r="DM138" s="56"/>
      <c r="DP138" s="55">
        <f t="shared" si="795"/>
        <v>46139</v>
      </c>
      <c r="DQ138" s="56"/>
      <c r="DR138" s="57">
        <f>SUMPRODUCT(PRODUCE!$B147:$DY147,PRODUCE!$EB$20:$IY$20)</f>
        <v>0</v>
      </c>
      <c r="DS138" s="56"/>
      <c r="DT138" s="57">
        <f t="shared" si="796"/>
        <v>0</v>
      </c>
      <c r="DU138" s="57">
        <f t="shared" si="797"/>
        <v>5800</v>
      </c>
      <c r="DV138" s="56"/>
      <c r="DY138" s="55">
        <f t="shared" si="798"/>
        <v>46139</v>
      </c>
      <c r="DZ138" s="56"/>
      <c r="EA138" s="157">
        <f>SUMPRODUCT(PRODUCE!$B147:$DY147,PRODUCE!$EB$21:$IY$21)</f>
        <v>0</v>
      </c>
      <c r="EB138" s="56"/>
      <c r="EC138" s="157">
        <f t="shared" si="799"/>
        <v>0</v>
      </c>
      <c r="ED138" s="157">
        <f t="shared" si="800"/>
        <v>147.30000000000018</v>
      </c>
      <c r="EE138" s="56"/>
      <c r="EH138" s="55">
        <f t="shared" si="801"/>
        <v>46139</v>
      </c>
      <c r="EI138" s="56"/>
      <c r="EJ138" s="162">
        <f>SUMPRODUCT(PRODUCE!$B147:$DY147,PRODUCE!$EB$22:$IY$22)</f>
        <v>0</v>
      </c>
      <c r="EK138" s="56"/>
      <c r="EL138" s="162">
        <f t="shared" si="802"/>
        <v>0</v>
      </c>
      <c r="EM138" s="162">
        <f t="shared" si="803"/>
        <v>0</v>
      </c>
      <c r="EN138" s="56"/>
      <c r="EQ138" s="55">
        <f t="shared" si="804"/>
        <v>46139</v>
      </c>
      <c r="ER138" s="56"/>
      <c r="ES138" s="135">
        <f>SUMPRODUCT(PRODUCE!$B147:$DY147,PRODUCE!$EB$23:$IY$23)</f>
        <v>0</v>
      </c>
      <c r="ET138" s="56"/>
      <c r="EU138" s="135">
        <f t="shared" si="805"/>
        <v>0</v>
      </c>
      <c r="EV138" s="135">
        <f t="shared" si="806"/>
        <v>0</v>
      </c>
      <c r="EW138" s="56"/>
      <c r="EZ138" s="55">
        <f t="shared" si="807"/>
        <v>46139</v>
      </c>
      <c r="FA138" s="56"/>
      <c r="FB138" s="175">
        <f>SUMPRODUCT(PRODUCE!$B147:$DY147,PRODUCE!$EB$24:$IY$24)</f>
        <v>0</v>
      </c>
      <c r="FC138" s="56"/>
      <c r="FD138" s="175">
        <f t="shared" si="808"/>
        <v>0</v>
      </c>
      <c r="FE138" s="175">
        <f t="shared" si="809"/>
        <v>0</v>
      </c>
      <c r="FF138" s="56"/>
      <c r="FI138" s="55">
        <f t="shared" si="810"/>
        <v>46139</v>
      </c>
      <c r="FJ138" s="56"/>
      <c r="FK138" s="183">
        <f>SUMPRODUCT(PRODUCE!$B147:$DY147,PRODUCE!$EB$25:$IY$25)</f>
        <v>0</v>
      </c>
      <c r="FL138" s="56"/>
      <c r="FM138" s="183">
        <f t="shared" si="811"/>
        <v>0</v>
      </c>
      <c r="FN138" s="183">
        <f t="shared" si="812"/>
        <v>0</v>
      </c>
      <c r="FO138" s="56"/>
      <c r="FR138" s="55">
        <f t="shared" si="813"/>
        <v>46139</v>
      </c>
      <c r="FS138" s="422"/>
      <c r="FT138" s="452">
        <f>SUMPRODUCT(PRODUCE!$B147:$DY147,PRODUCE!$EB$26:$IY$26)</f>
        <v>0</v>
      </c>
      <c r="FU138" s="422"/>
      <c r="FV138" s="452">
        <f t="shared" si="814"/>
        <v>0</v>
      </c>
      <c r="FW138" s="452">
        <f t="shared" si="815"/>
        <v>2120</v>
      </c>
      <c r="FX138" s="56"/>
      <c r="GA138" s="55">
        <f t="shared" si="816"/>
        <v>46139</v>
      </c>
      <c r="GB138" s="422"/>
      <c r="GC138" s="454">
        <f>SUMPRODUCT(PRODUCE!$B147:$DY147,PRODUCE!$EB$27:$IY$27)</f>
        <v>1800</v>
      </c>
      <c r="GD138" s="422"/>
      <c r="GE138" s="454">
        <f t="shared" si="817"/>
        <v>1800</v>
      </c>
      <c r="GF138" s="454">
        <f t="shared" si="818"/>
        <v>4840</v>
      </c>
      <c r="GG138" s="56"/>
      <c r="GI138" s="23"/>
      <c r="GJ138" s="55">
        <f t="shared" si="819"/>
        <v>46139</v>
      </c>
      <c r="GK138" s="422"/>
      <c r="GL138" s="456">
        <f>SUMPRODUCT(PRODUCE!$B147:$DY147,PRODUCE!$EB$28:$IY$28)</f>
        <v>0</v>
      </c>
      <c r="GM138" s="422"/>
      <c r="GN138" s="456">
        <f t="shared" si="820"/>
        <v>0</v>
      </c>
      <c r="GO138" s="456">
        <f t="shared" si="821"/>
        <v>3280</v>
      </c>
      <c r="GP138" s="56"/>
      <c r="GS138" s="55">
        <f t="shared" si="822"/>
        <v>46139</v>
      </c>
      <c r="GT138" s="56"/>
      <c r="GU138" s="195">
        <f>SUMPRODUCT(PRODUCE!$B147:$DY147,PRODUCE!$EB$29:$IY$29)</f>
        <v>0</v>
      </c>
      <c r="GV138" s="56"/>
      <c r="GW138" s="195">
        <f t="shared" si="823"/>
        <v>0</v>
      </c>
      <c r="GX138" s="195">
        <f t="shared" si="824"/>
        <v>0</v>
      </c>
      <c r="GY138" s="56"/>
      <c r="HB138" s="55">
        <f t="shared" si="825"/>
        <v>46139</v>
      </c>
      <c r="HC138" s="56"/>
      <c r="HD138" s="191">
        <f>SUMPRODUCT(PRODUCE!$B147:$DY147,PRODUCE!$EB$30:$IY$30)</f>
        <v>0</v>
      </c>
      <c r="HE138" s="56"/>
      <c r="HF138" s="191">
        <f t="shared" si="826"/>
        <v>0</v>
      </c>
      <c r="HG138" s="191">
        <f t="shared" si="827"/>
        <v>0</v>
      </c>
      <c r="HH138" s="56"/>
      <c r="HK138" s="55">
        <f t="shared" si="828"/>
        <v>46139</v>
      </c>
      <c r="HL138" s="56"/>
      <c r="HM138" s="63">
        <f>SUMPRODUCT(PRODUCE!$B147:$DY147,PRODUCE!$EB$31:$IY$31)</f>
        <v>0</v>
      </c>
      <c r="HN138" s="56"/>
      <c r="HO138" s="63">
        <f t="shared" si="829"/>
        <v>0</v>
      </c>
      <c r="HP138" s="63">
        <f t="shared" si="830"/>
        <v>0</v>
      </c>
      <c r="HQ138" s="56"/>
      <c r="HU138" s="55">
        <f t="shared" si="831"/>
        <v>46139</v>
      </c>
      <c r="HV138" s="56"/>
      <c r="HW138" s="242">
        <f>SUMPRODUCT(PRODUCE!$B147:$DY147,PRODUCE!$EB$32:$IY$32)</f>
        <v>360</v>
      </c>
      <c r="HX138" s="56">
        <f>18*20</f>
        <v>360</v>
      </c>
      <c r="HY138" s="242">
        <f t="shared" si="832"/>
        <v>0</v>
      </c>
      <c r="HZ138" s="242">
        <f t="shared" si="833"/>
        <v>4760</v>
      </c>
      <c r="IA138" s="56">
        <f>HX138/20</f>
        <v>18</v>
      </c>
      <c r="ID138" s="55">
        <f t="shared" si="834"/>
        <v>46139</v>
      </c>
      <c r="IE138" s="56"/>
      <c r="IF138" s="242">
        <f>SUMPRODUCT(PRODUCE!$B147:$DY147,PRODUCE!$EB$33:$IY$33)</f>
        <v>0</v>
      </c>
      <c r="IG138" s="56"/>
      <c r="IH138" s="242">
        <f t="shared" si="835"/>
        <v>0</v>
      </c>
      <c r="II138" s="242">
        <f t="shared" si="836"/>
        <v>6540</v>
      </c>
      <c r="IJ138" s="56"/>
      <c r="IM138" s="55">
        <f t="shared" si="837"/>
        <v>46139</v>
      </c>
      <c r="IN138" s="56"/>
      <c r="IO138" s="242">
        <f>SUMPRODUCT(PRODUCE!$B147:$DY147,PRODUCE!$EB$34:$IY$34)</f>
        <v>0</v>
      </c>
      <c r="IP138" s="56"/>
      <c r="IQ138" s="242">
        <f t="shared" si="838"/>
        <v>0</v>
      </c>
      <c r="IR138" s="242">
        <f t="shared" si="839"/>
        <v>11540</v>
      </c>
      <c r="IS138" s="56"/>
      <c r="IV138" s="55">
        <f t="shared" si="840"/>
        <v>46139</v>
      </c>
      <c r="IW138" s="56"/>
      <c r="IX138" s="242">
        <f>SUMPRODUCT(PRODUCE!$B147:$DY147,PRODUCE!$EB$35:$IY$35)</f>
        <v>0</v>
      </c>
      <c r="IY138" s="56"/>
      <c r="IZ138" s="242">
        <f t="shared" si="841"/>
        <v>0</v>
      </c>
      <c r="JA138" s="242">
        <f t="shared" si="842"/>
        <v>15120</v>
      </c>
      <c r="JB138" s="56"/>
      <c r="JE138" s="55">
        <f t="shared" si="843"/>
        <v>46139</v>
      </c>
      <c r="JF138" s="56"/>
      <c r="JG138" s="242">
        <f>SUMPRODUCT(PRODUCE!$B147:$DY147,PRODUCE!$EB$36:$IY$36)</f>
        <v>960</v>
      </c>
      <c r="JH138" s="56">
        <f>8*20</f>
        <v>160</v>
      </c>
      <c r="JI138" s="242">
        <f t="shared" si="844"/>
        <v>800</v>
      </c>
      <c r="JJ138" s="242">
        <f t="shared" si="845"/>
        <v>4360</v>
      </c>
      <c r="JK138" s="56">
        <f>JH138/20</f>
        <v>8</v>
      </c>
      <c r="JN138" s="55">
        <f t="shared" si="846"/>
        <v>46139</v>
      </c>
      <c r="JO138" s="56"/>
      <c r="JP138" s="242">
        <f>SUMPRODUCT(PRODUCE!$B147:$DY147,PRODUCE!$EB$37:$IY$37)</f>
        <v>0</v>
      </c>
      <c r="JQ138" s="56"/>
      <c r="JR138" s="242">
        <f t="shared" si="847"/>
        <v>0</v>
      </c>
      <c r="JS138" s="242">
        <f t="shared" si="848"/>
        <v>9100</v>
      </c>
      <c r="JT138" s="56"/>
      <c r="JW138" s="55">
        <f t="shared" si="849"/>
        <v>46139</v>
      </c>
      <c r="JX138" s="56"/>
      <c r="JY138" s="242">
        <f>SUMPRODUCT(PRODUCE!$B147:$DY147,PRODUCE!$EB$38:$IY$38)</f>
        <v>0</v>
      </c>
      <c r="JZ138" s="56"/>
      <c r="KA138" s="242">
        <f t="shared" si="850"/>
        <v>0</v>
      </c>
      <c r="KB138" s="242">
        <f t="shared" si="851"/>
        <v>2540</v>
      </c>
      <c r="KC138" s="56"/>
      <c r="KF138" s="55">
        <f t="shared" si="852"/>
        <v>46139</v>
      </c>
      <c r="KG138" s="56"/>
      <c r="KH138" s="242">
        <f>SUMPRODUCT(PRODUCE!$B147:$DY147,PRODUCE!$EB$39:$IY$39)</f>
        <v>0</v>
      </c>
      <c r="KI138" s="56"/>
      <c r="KJ138" s="242">
        <f t="shared" si="853"/>
        <v>0</v>
      </c>
      <c r="KK138" s="242">
        <f t="shared" si="854"/>
        <v>19.5</v>
      </c>
      <c r="KL138" s="56"/>
      <c r="KO138" s="55">
        <f t="shared" si="855"/>
        <v>46139</v>
      </c>
      <c r="KP138" s="56"/>
      <c r="KQ138" s="242">
        <f>SUMPRODUCT(PRODUCE!$B147:$DY147,PRODUCE!$EB$40:$IY$40)</f>
        <v>0</v>
      </c>
      <c r="KR138" s="56"/>
      <c r="KS138" s="242">
        <f t="shared" si="856"/>
        <v>0</v>
      </c>
      <c r="KT138" s="242">
        <f t="shared" si="857"/>
        <v>3024</v>
      </c>
      <c r="KU138" s="56"/>
      <c r="KW138" s="23"/>
      <c r="KX138" s="55">
        <f t="shared" si="858"/>
        <v>46139</v>
      </c>
      <c r="KY138" s="56"/>
      <c r="KZ138" s="242">
        <f>SUMPRODUCT(PRODUCE!$B147:$DY147,PRODUCE!$EB$41:$IY$41)</f>
        <v>0</v>
      </c>
      <c r="LA138" s="56"/>
      <c r="LB138" s="242">
        <f t="shared" si="859"/>
        <v>0</v>
      </c>
      <c r="LC138" s="242">
        <f t="shared" si="860"/>
        <v>6150</v>
      </c>
      <c r="LD138" s="56"/>
      <c r="LG138" s="55">
        <f t="shared" si="861"/>
        <v>46139</v>
      </c>
      <c r="LH138" s="56"/>
      <c r="LI138" s="242">
        <f>SUMPRODUCT(PRODUCE!$B147:$DY147,PRODUCE!$EB$42:$IY$42)</f>
        <v>0</v>
      </c>
      <c r="LJ138" s="56"/>
      <c r="LK138" s="242">
        <f t="shared" si="862"/>
        <v>0</v>
      </c>
      <c r="LL138" s="242">
        <f t="shared" si="863"/>
        <v>4000</v>
      </c>
      <c r="LM138" s="56"/>
      <c r="LP138" s="55">
        <f t="shared" si="864"/>
        <v>46139</v>
      </c>
      <c r="LQ138" s="56"/>
      <c r="LR138" s="242">
        <f>SUMPRODUCT(PRODUCE!$B153:$DY153,PRODUCE!$EB$43:$IY$43)</f>
        <v>0</v>
      </c>
      <c r="LS138" s="56"/>
      <c r="LT138" s="242">
        <f t="shared" si="865"/>
        <v>0</v>
      </c>
      <c r="LU138" s="242">
        <f t="shared" si="866"/>
        <v>0</v>
      </c>
      <c r="LV138" s="56"/>
      <c r="LY138" s="55">
        <f t="shared" si="867"/>
        <v>46139</v>
      </c>
      <c r="LZ138" s="56"/>
      <c r="MA138" s="242">
        <f>SUMPRODUCT(PRODUCE!$B147:$DY147,PRODUCE!$EB$44:$IY$44)</f>
        <v>0</v>
      </c>
      <c r="MB138" s="56"/>
      <c r="MC138" s="242">
        <f t="shared" si="868"/>
        <v>0</v>
      </c>
      <c r="MD138" s="242">
        <f t="shared" si="869"/>
        <v>0</v>
      </c>
      <c r="ME138" s="56"/>
      <c r="MH138" s="55">
        <f t="shared" si="870"/>
        <v>46139</v>
      </c>
      <c r="MI138" s="56"/>
      <c r="MJ138" s="242">
        <f>SUMPRODUCT(PRODUCE!$B147:$DY147,PRODUCE!$EB$45:$IY$45)</f>
        <v>0</v>
      </c>
      <c r="MK138" s="56"/>
      <c r="ML138" s="242">
        <f t="shared" si="871"/>
        <v>0</v>
      </c>
      <c r="MM138" s="242">
        <f t="shared" si="872"/>
        <v>0</v>
      </c>
      <c r="MN138" s="56"/>
      <c r="MQ138" s="55">
        <f t="shared" si="873"/>
        <v>46139</v>
      </c>
      <c r="MR138" s="56"/>
      <c r="MS138" s="242">
        <f>SUMPRODUCT(PRODUCE!$B147:$DY147,PRODUCE!$EB$46:$IY$46)</f>
        <v>54</v>
      </c>
      <c r="MT138" s="56">
        <v>9</v>
      </c>
      <c r="MU138" s="242">
        <f t="shared" si="874"/>
        <v>45</v>
      </c>
      <c r="MV138" s="242">
        <f t="shared" si="875"/>
        <v>3973</v>
      </c>
      <c r="MW138" s="56"/>
      <c r="MZ138" s="55">
        <f t="shared" si="876"/>
        <v>46139</v>
      </c>
      <c r="NA138" s="56">
        <v>78</v>
      </c>
      <c r="NB138" s="242">
        <f>SUMPRODUCT(PRODUCE!$B147:$DY147,PRODUCE!$EB$47:$IY$47)</f>
        <v>198</v>
      </c>
      <c r="NC138" s="56">
        <f>54+24</f>
        <v>78</v>
      </c>
      <c r="ND138" s="242">
        <f t="shared" si="877"/>
        <v>120</v>
      </c>
      <c r="NE138" s="242">
        <f t="shared" si="878"/>
        <v>0</v>
      </c>
      <c r="NF138" s="56"/>
      <c r="NI138" s="55">
        <f t="shared" si="879"/>
        <v>46139</v>
      </c>
      <c r="NJ138" s="56"/>
      <c r="NK138" s="242">
        <f>SUMPRODUCT(PRODUCE!$B147:$DY147,PRODUCE!$EB$48:$IY$48)</f>
        <v>0</v>
      </c>
      <c r="NL138" s="56"/>
      <c r="NM138" s="242">
        <f t="shared" si="880"/>
        <v>0</v>
      </c>
      <c r="NN138" s="242">
        <f t="shared" si="881"/>
        <v>1187</v>
      </c>
      <c r="NO138" s="56"/>
      <c r="NR138" s="55">
        <f t="shared" si="882"/>
        <v>46139</v>
      </c>
      <c r="NS138" s="56"/>
      <c r="NT138" s="242">
        <f>SUMPRODUCT(PRODUCE!$B147:$DY147,PRODUCE!$EB$49:$IY$49)</f>
        <v>0</v>
      </c>
      <c r="NU138" s="56"/>
      <c r="NV138" s="242">
        <f t="shared" si="883"/>
        <v>0</v>
      </c>
      <c r="NW138" s="242">
        <f t="shared" si="884"/>
        <v>3182.8999999999996</v>
      </c>
      <c r="NX138" s="56"/>
      <c r="OA138" s="55">
        <f t="shared" si="885"/>
        <v>46139</v>
      </c>
      <c r="OB138" s="56"/>
      <c r="OC138" s="242">
        <f>SUMPRODUCT(PRODUCE!$B147:$DY147,PRODUCE!$EB$50:$IY$50)</f>
        <v>0</v>
      </c>
      <c r="OD138" s="56"/>
      <c r="OE138" s="242">
        <f t="shared" si="886"/>
        <v>0</v>
      </c>
      <c r="OF138" s="242">
        <f t="shared" si="887"/>
        <v>1680.5</v>
      </c>
      <c r="OG138" s="56"/>
      <c r="OJ138" s="55">
        <f t="shared" si="888"/>
        <v>46139</v>
      </c>
      <c r="OK138" s="56"/>
      <c r="OL138" s="242">
        <f>SUMPRODUCT(PRODUCE!$B147:$DY147,PRODUCE!$EB$51:$IY$51)</f>
        <v>0</v>
      </c>
      <c r="OM138" s="56"/>
      <c r="ON138" s="242">
        <f t="shared" si="889"/>
        <v>0</v>
      </c>
      <c r="OO138" s="242">
        <f t="shared" si="890"/>
        <v>0</v>
      </c>
      <c r="OP138" s="56"/>
      <c r="OS138" s="55">
        <f t="shared" si="891"/>
        <v>46139</v>
      </c>
      <c r="OT138" s="56"/>
      <c r="OU138" s="242">
        <f>SUMPRODUCT(PRODUCE!$B147:$DY147,PRODUCE!$EB$52:$IY$52)</f>
        <v>0</v>
      </c>
      <c r="OV138" s="56">
        <v>18</v>
      </c>
      <c r="OW138" s="242">
        <f t="shared" si="892"/>
        <v>-18</v>
      </c>
      <c r="OX138" s="242">
        <f t="shared" si="893"/>
        <v>982</v>
      </c>
      <c r="OY138" s="56"/>
      <c r="PB138" s="55">
        <f t="shared" si="894"/>
        <v>46139</v>
      </c>
      <c r="PC138" s="56"/>
      <c r="PD138" s="242">
        <f>SUMPRODUCT(PRODUCE!$B147:$DY147,PRODUCE!$EB$53:$IY$53)</f>
        <v>0</v>
      </c>
      <c r="PE138" s="56"/>
      <c r="PF138" s="242">
        <f t="shared" si="895"/>
        <v>0</v>
      </c>
      <c r="PG138" s="242">
        <f t="shared" si="896"/>
        <v>0</v>
      </c>
      <c r="PH138" s="56"/>
      <c r="PK138" s="55">
        <f t="shared" si="897"/>
        <v>46139</v>
      </c>
      <c r="PL138" s="56"/>
      <c r="PM138" s="242">
        <f>SUMPRODUCT(PRODUCE!$B147:$DY147,PRODUCE!$EB$54:$IY$54)</f>
        <v>0</v>
      </c>
      <c r="PN138" s="56"/>
      <c r="PO138" s="242">
        <f t="shared" si="898"/>
        <v>0</v>
      </c>
      <c r="PP138" s="242">
        <f t="shared" si="899"/>
        <v>100</v>
      </c>
      <c r="PQ138" s="56"/>
      <c r="PT138" s="55">
        <f t="shared" si="900"/>
        <v>46139</v>
      </c>
      <c r="PU138" s="56"/>
      <c r="PV138" s="242">
        <f>SUMPRODUCT(PRODUCE!$B147:$DY147,PRODUCE!$EB$55:$IY$55)</f>
        <v>0</v>
      </c>
      <c r="PW138" s="56"/>
      <c r="PX138" s="242">
        <f t="shared" si="901"/>
        <v>0</v>
      </c>
      <c r="PY138" s="242">
        <f t="shared" si="902"/>
        <v>13.960000000000036</v>
      </c>
      <c r="PZ138" s="56"/>
      <c r="QC138" s="55">
        <f t="shared" si="903"/>
        <v>46139</v>
      </c>
      <c r="QD138" s="56"/>
      <c r="QE138" s="242">
        <f>SUMPRODUCT(PRODUCE!$B147:$DY147,PRODUCE!$EB$56:$IY$56)</f>
        <v>192</v>
      </c>
      <c r="QF138" s="56">
        <v>32</v>
      </c>
      <c r="QG138" s="242">
        <f t="shared" si="904"/>
        <v>160</v>
      </c>
      <c r="QH138" s="242">
        <f t="shared" si="905"/>
        <v>1076</v>
      </c>
      <c r="QI138" s="56"/>
      <c r="QL138" s="55">
        <f t="shared" si="906"/>
        <v>46139</v>
      </c>
      <c r="QM138" s="56"/>
      <c r="QN138" s="242">
        <f>SUMPRODUCT(PRODUCE!$B147:$DY147,PRODUCE!$EB$57:$IY$57)</f>
        <v>0</v>
      </c>
      <c r="QO138" s="56"/>
      <c r="QP138" s="242">
        <f t="shared" si="907"/>
        <v>0</v>
      </c>
      <c r="QQ138" s="242">
        <f t="shared" si="908"/>
        <v>400</v>
      </c>
      <c r="QR138" s="56"/>
      <c r="QU138" s="55">
        <f t="shared" si="909"/>
        <v>46139</v>
      </c>
      <c r="QV138" s="56"/>
      <c r="QW138" s="242">
        <f>SUMPRODUCT(PRODUCE!$B147:$DY147,PRODUCE!$EB$57:$IY$57)</f>
        <v>0</v>
      </c>
      <c r="QX138" s="56"/>
      <c r="QY138" s="242">
        <f t="shared" si="910"/>
        <v>0</v>
      </c>
      <c r="QZ138" s="242">
        <f t="shared" si="911"/>
        <v>207.6</v>
      </c>
      <c r="RA138" s="56"/>
      <c r="RD138" s="55">
        <f t="shared" si="912"/>
        <v>46139</v>
      </c>
      <c r="RE138" s="56"/>
      <c r="RF138" s="242">
        <f>SUMPRODUCT(PRODUCE!$B147:$DY147,PRODUCE!$EB$58:$IY$58)</f>
        <v>0</v>
      </c>
      <c r="RG138" s="56"/>
      <c r="RH138" s="242">
        <f t="shared" si="913"/>
        <v>0</v>
      </c>
      <c r="RI138" s="242">
        <f t="shared" si="914"/>
        <v>147.04000000000002</v>
      </c>
      <c r="RJ138" s="56"/>
      <c r="RM138" s="55">
        <f t="shared" si="915"/>
        <v>46139</v>
      </c>
      <c r="RN138" s="56"/>
      <c r="RO138" s="242">
        <f>SUMPRODUCT(PRODUCE!$B147:$DY147,PRODUCE!$EB$57:$IY$57)</f>
        <v>0</v>
      </c>
      <c r="RP138" s="56"/>
      <c r="RQ138" s="242">
        <f t="shared" si="916"/>
        <v>0</v>
      </c>
      <c r="RR138" s="242">
        <f t="shared" si="917"/>
        <v>46.8</v>
      </c>
      <c r="RS138" s="56"/>
      <c r="RV138" s="55">
        <f t="shared" si="918"/>
        <v>46139</v>
      </c>
      <c r="RW138" s="56"/>
      <c r="RX138" s="242">
        <f>SUMPRODUCT(PRODUCE!$B147:$DY147,PRODUCE!$EB$57:$IY$57)</f>
        <v>0</v>
      </c>
      <c r="RY138" s="56"/>
      <c r="RZ138" s="242">
        <f t="shared" si="919"/>
        <v>0</v>
      </c>
      <c r="SA138" s="242">
        <f t="shared" si="920"/>
        <v>0</v>
      </c>
      <c r="SB138" s="56"/>
      <c r="SE138" s="55">
        <f t="shared" si="921"/>
        <v>46139</v>
      </c>
      <c r="SF138" s="56"/>
      <c r="SG138" s="242">
        <f>SUMPRODUCT(PRODUCE!$B147:$DY147,PRODUCE!$EB$57:$IY$57)</f>
        <v>0</v>
      </c>
      <c r="SH138" s="56"/>
      <c r="SI138" s="242">
        <f t="shared" si="922"/>
        <v>0</v>
      </c>
      <c r="SJ138" s="242">
        <f t="shared" si="923"/>
        <v>24.200000000000003</v>
      </c>
      <c r="SK138" s="56"/>
      <c r="SN138" s="55">
        <f t="shared" si="924"/>
        <v>46139</v>
      </c>
      <c r="SO138" s="56"/>
      <c r="SP138" s="242">
        <f>SUMPRODUCT(PRODUCE!$B147:$DY147,PRODUCE!$EB$57:$IY$57)</f>
        <v>0</v>
      </c>
      <c r="SQ138" s="56"/>
      <c r="SR138" s="242">
        <f t="shared" si="925"/>
        <v>0</v>
      </c>
      <c r="SS138" s="242">
        <f t="shared" si="926"/>
        <v>32</v>
      </c>
      <c r="ST138" s="56"/>
      <c r="SW138" s="55">
        <f t="shared" si="927"/>
        <v>46139</v>
      </c>
      <c r="SX138" s="56"/>
      <c r="SY138" s="242">
        <f>SUMPRODUCT(PRODUCE!$B147:$DY147,PRODUCE!$EB$57:$IY$57)</f>
        <v>0</v>
      </c>
      <c r="SZ138" s="56"/>
      <c r="TA138" s="242">
        <f t="shared" si="928"/>
        <v>0</v>
      </c>
      <c r="TB138" s="242">
        <f t="shared" si="929"/>
        <v>0</v>
      </c>
      <c r="TC138" s="56"/>
      <c r="TF138" s="55">
        <f t="shared" si="930"/>
        <v>46139</v>
      </c>
      <c r="TG138" s="56"/>
      <c r="TH138" s="242">
        <f>SUMPRODUCT(PRODUCE!$B147:$DY147,PRODUCE!$EB$57:$IY$57)</f>
        <v>0</v>
      </c>
      <c r="TI138" s="56"/>
      <c r="TJ138" s="242">
        <f t="shared" si="931"/>
        <v>0</v>
      </c>
      <c r="TK138" s="242">
        <f t="shared" si="932"/>
        <v>0</v>
      </c>
      <c r="TL138" s="56"/>
      <c r="TO138" s="55">
        <f t="shared" si="933"/>
        <v>46139</v>
      </c>
      <c r="TP138" s="56"/>
      <c r="TQ138" s="242">
        <f>SUMPRODUCT(PRODUCE!$B147:$DY147,PRODUCE!$EB$57:$IY$57)</f>
        <v>0</v>
      </c>
      <c r="TR138" s="56"/>
      <c r="TS138" s="242">
        <f t="shared" si="934"/>
        <v>0</v>
      </c>
      <c r="TT138" s="242">
        <f t="shared" si="935"/>
        <v>0</v>
      </c>
      <c r="TU138" s="56"/>
      <c r="TX138" s="55">
        <f t="shared" si="936"/>
        <v>46139</v>
      </c>
      <c r="TY138" s="56"/>
      <c r="TZ138" s="242">
        <f>SUMPRODUCT(PRODUCE!$B147:$DY147,PRODUCE!$EB$57:$IY$57)</f>
        <v>0</v>
      </c>
      <c r="UA138" s="56"/>
      <c r="UB138" s="242">
        <f t="shared" si="937"/>
        <v>0</v>
      </c>
      <c r="UC138" s="242">
        <f t="shared" si="938"/>
        <v>0</v>
      </c>
      <c r="UD138" s="56"/>
      <c r="UG138" s="55">
        <f t="shared" si="939"/>
        <v>46139</v>
      </c>
      <c r="UH138" s="56"/>
      <c r="UI138" s="242">
        <f>SUMPRODUCT(PRODUCE!$B147:$DY147,PRODUCE!$EB$57:$IY$57)</f>
        <v>0</v>
      </c>
      <c r="UJ138" s="56"/>
      <c r="UK138" s="242">
        <f t="shared" si="940"/>
        <v>0</v>
      </c>
      <c r="UL138" s="242">
        <f t="shared" si="941"/>
        <v>0</v>
      </c>
      <c r="UM138" s="56"/>
      <c r="UP138" s="55">
        <f t="shared" si="942"/>
        <v>46139</v>
      </c>
      <c r="UQ138" s="56"/>
      <c r="UR138" s="242">
        <f>SUMPRODUCT(PRODUCE!$B147:$DY147,PRODUCE!$EB$57:$IY$57)</f>
        <v>0</v>
      </c>
      <c r="US138" s="56"/>
      <c r="UT138" s="242">
        <f t="shared" si="943"/>
        <v>0</v>
      </c>
      <c r="UU138" s="242">
        <f t="shared" si="944"/>
        <v>0</v>
      </c>
      <c r="UV138" s="56"/>
      <c r="UY138" s="55">
        <f t="shared" si="945"/>
        <v>46139</v>
      </c>
      <c r="UZ138" s="56"/>
      <c r="VA138" s="242">
        <f>SUMPRODUCT(PRODUCE!$B147:$DY147,PRODUCE!$EB$57:$IY$57)</f>
        <v>0</v>
      </c>
      <c r="VB138" s="56"/>
      <c r="VC138" s="242">
        <f t="shared" si="946"/>
        <v>0</v>
      </c>
      <c r="VD138" s="242">
        <f t="shared" si="947"/>
        <v>41.600000000000023</v>
      </c>
      <c r="VE138" s="56"/>
      <c r="VH138" s="55">
        <f t="shared" si="948"/>
        <v>46139</v>
      </c>
      <c r="VI138" s="56"/>
      <c r="VJ138" s="242">
        <f>SUMPRODUCT(PRODUCE!$B147:$DY147,PRODUCE!$EB$57:$IY$57)</f>
        <v>0</v>
      </c>
      <c r="VK138" s="56"/>
      <c r="VL138" s="242">
        <f t="shared" si="949"/>
        <v>0</v>
      </c>
      <c r="VM138" s="242">
        <f t="shared" si="950"/>
        <v>0</v>
      </c>
      <c r="VN138" s="56"/>
      <c r="VQ138" s="55">
        <f t="shared" si="951"/>
        <v>46139</v>
      </c>
      <c r="VR138" s="56"/>
      <c r="VS138" s="242">
        <f>SUMPRODUCT(PRODUCE!$B147:$DY147,PRODUCE!$EB$57:$IY$57)</f>
        <v>0</v>
      </c>
      <c r="VT138" s="56"/>
      <c r="VU138" s="242">
        <f t="shared" si="952"/>
        <v>0</v>
      </c>
      <c r="VV138" s="242">
        <f t="shared" si="953"/>
        <v>0</v>
      </c>
      <c r="VW138" s="56"/>
      <c r="VZ138" s="55">
        <f t="shared" si="954"/>
        <v>46139</v>
      </c>
      <c r="WA138" s="56"/>
      <c r="WB138" s="242">
        <f>SUMPRODUCT(PRODUCE!$B147:$DY147,PRODUCE!$EB$57:$IY$57)</f>
        <v>0</v>
      </c>
      <c r="WC138" s="56"/>
      <c r="WD138" s="242">
        <f t="shared" si="955"/>
        <v>0</v>
      </c>
      <c r="WE138" s="242">
        <f t="shared" si="956"/>
        <v>0</v>
      </c>
      <c r="WF138" s="56"/>
      <c r="WI138" s="55">
        <f t="shared" si="957"/>
        <v>46139</v>
      </c>
      <c r="WJ138" s="56"/>
      <c r="WK138" s="242">
        <f>SUMPRODUCT(PRODUCE!$B147:$DY147,PRODUCE!$EB$57:$IY$57)</f>
        <v>0</v>
      </c>
      <c r="WL138" s="56"/>
      <c r="WM138" s="242">
        <f t="shared" si="958"/>
        <v>0</v>
      </c>
      <c r="WN138" s="242">
        <f t="shared" si="959"/>
        <v>2317</v>
      </c>
      <c r="WO138" s="56"/>
      <c r="WR138" s="55">
        <f t="shared" si="960"/>
        <v>46139</v>
      </c>
      <c r="WS138" s="56"/>
      <c r="WT138" s="242">
        <f>SUMPRODUCT(PRODUCE!$B147:$DY147,PRODUCE!$EB$57:$IY$57)</f>
        <v>0</v>
      </c>
      <c r="WU138" s="56">
        <v>1821</v>
      </c>
      <c r="WV138" s="242">
        <f t="shared" si="961"/>
        <v>-1821</v>
      </c>
      <c r="WW138" s="242">
        <f t="shared" si="962"/>
        <v>776</v>
      </c>
      <c r="WX138" s="56"/>
      <c r="XA138" s="55">
        <f t="shared" si="963"/>
        <v>46139</v>
      </c>
      <c r="XB138" s="56"/>
      <c r="XC138" s="242">
        <f>SUMPRODUCT(PRODUCE!$B147:$DY147,PRODUCE!$EB$57:$IY$57)</f>
        <v>0</v>
      </c>
      <c r="XD138" s="56"/>
      <c r="XE138" s="242">
        <f t="shared" si="964"/>
        <v>0</v>
      </c>
      <c r="XF138" s="242">
        <f t="shared" si="965"/>
        <v>13455</v>
      </c>
      <c r="XG138" s="56"/>
      <c r="XJ138" s="55">
        <f t="shared" si="966"/>
        <v>46139</v>
      </c>
      <c r="XK138" s="56"/>
      <c r="XL138" s="242">
        <f>SUMPRODUCT(PRODUCE!$B147:$DY147,PRODUCE!$EB$57:$IY$57)</f>
        <v>0</v>
      </c>
      <c r="XM138" s="56">
        <v>504</v>
      </c>
      <c r="XN138" s="242">
        <f t="shared" si="967"/>
        <v>-504</v>
      </c>
      <c r="XO138" s="242">
        <f t="shared" si="968"/>
        <v>1872</v>
      </c>
      <c r="XP138" s="56"/>
      <c r="XS138" s="55">
        <f t="shared" si="969"/>
        <v>46139</v>
      </c>
      <c r="XT138" s="56"/>
      <c r="XU138" s="242">
        <f>SUMPRODUCT(PRODUCE!$B147:$DY147,PRODUCE!$EB$57:$IY$57)</f>
        <v>0</v>
      </c>
      <c r="XV138" s="56"/>
      <c r="XW138" s="242">
        <f t="shared" si="970"/>
        <v>0</v>
      </c>
      <c r="XX138" s="242">
        <f t="shared" si="971"/>
        <v>1901</v>
      </c>
      <c r="XY138" s="56"/>
      <c r="YB138" s="55">
        <f t="shared" si="972"/>
        <v>46139</v>
      </c>
      <c r="YC138" s="56"/>
      <c r="YD138" s="242">
        <f>SUMPRODUCT(PRODUCE!$B147:$DY147,PRODUCE!$EB$57:$IY$57)</f>
        <v>0</v>
      </c>
      <c r="YE138" s="56"/>
      <c r="YF138" s="242">
        <f t="shared" si="973"/>
        <v>0</v>
      </c>
      <c r="YG138" s="242">
        <f t="shared" si="974"/>
        <v>6459</v>
      </c>
      <c r="YH138" s="56"/>
      <c r="YK138" s="55">
        <f t="shared" si="975"/>
        <v>46139</v>
      </c>
      <c r="YL138" s="56"/>
      <c r="YM138" s="242">
        <f>SUMPRODUCT(PRODUCE!$B147:$DY147,PRODUCE!$EB$57:$IY$57)</f>
        <v>0</v>
      </c>
      <c r="YN138" s="56"/>
      <c r="YO138" s="242">
        <f t="shared" si="976"/>
        <v>0</v>
      </c>
      <c r="YP138" s="242">
        <f t="shared" si="977"/>
        <v>0</v>
      </c>
      <c r="YQ138" s="56"/>
      <c r="YT138" s="55">
        <f t="shared" si="978"/>
        <v>46139</v>
      </c>
      <c r="YU138" s="56"/>
      <c r="YV138" s="242">
        <f>SUMPRODUCT(PRODUCE!$B147:$DY147,PRODUCE!$EB$57:$IY$57)</f>
        <v>0</v>
      </c>
      <c r="YW138" s="56"/>
      <c r="YX138" s="242">
        <f t="shared" si="979"/>
        <v>0</v>
      </c>
      <c r="YY138" s="242">
        <f t="shared" si="980"/>
        <v>0</v>
      </c>
      <c r="YZ138" s="56"/>
      <c r="ZC138" s="55">
        <f t="shared" si="981"/>
        <v>46139</v>
      </c>
      <c r="ZD138" s="56"/>
      <c r="ZE138" s="242">
        <f>SUMPRODUCT(PRODUCE!$B147:$DY147,PRODUCE!$EB$57:$IY$57)</f>
        <v>0</v>
      </c>
      <c r="ZF138" s="56"/>
      <c r="ZG138" s="242">
        <f t="shared" si="982"/>
        <v>0</v>
      </c>
      <c r="ZH138" s="242">
        <f t="shared" si="983"/>
        <v>0</v>
      </c>
      <c r="ZI138" s="56"/>
      <c r="ZL138" s="55">
        <f t="shared" si="984"/>
        <v>46139</v>
      </c>
      <c r="ZM138" s="56"/>
      <c r="ZN138" s="242">
        <f>SUMPRODUCT(PRODUCE!$B147:$DY147,PRODUCE!$EB$57:$IY$57)</f>
        <v>0</v>
      </c>
      <c r="ZO138" s="56"/>
      <c r="ZP138" s="242">
        <f t="shared" si="985"/>
        <v>0</v>
      </c>
      <c r="ZQ138" s="242">
        <f t="shared" si="986"/>
        <v>0</v>
      </c>
      <c r="ZR138" s="56"/>
      <c r="ZU138" s="55">
        <f t="shared" si="987"/>
        <v>46139</v>
      </c>
      <c r="ZV138" s="56"/>
      <c r="ZW138" s="242">
        <f>SUMPRODUCT(PRODUCE!$B147:$DY147,PRODUCE!$EB$57:$IY$57)</f>
        <v>0</v>
      </c>
      <c r="ZX138" s="56"/>
      <c r="ZY138" s="242">
        <f t="shared" si="988"/>
        <v>0</v>
      </c>
      <c r="ZZ138" s="242">
        <f t="shared" si="989"/>
        <v>0</v>
      </c>
      <c r="AAA138" s="56"/>
      <c r="AAD138" s="55">
        <f t="shared" si="990"/>
        <v>46139</v>
      </c>
      <c r="AAE138" s="56"/>
      <c r="AAF138" s="242">
        <f>SUMPRODUCT(PRODUCE!$B147:$DY147,PRODUCE!$EB$57:$IY$57)</f>
        <v>0</v>
      </c>
      <c r="AAG138" s="56"/>
      <c r="AAH138" s="242">
        <f t="shared" si="991"/>
        <v>0</v>
      </c>
      <c r="AAI138" s="242">
        <f t="shared" si="992"/>
        <v>0</v>
      </c>
      <c r="AAJ138" s="56"/>
      <c r="AAM138" s="55">
        <f t="shared" si="993"/>
        <v>46139</v>
      </c>
      <c r="AAN138" s="56"/>
      <c r="AAO138" s="242">
        <f>SUMPRODUCT(PRODUCE!$B147:$DY147,PRODUCE!$EB$57:$IY$57)</f>
        <v>0</v>
      </c>
      <c r="AAP138" s="56"/>
      <c r="AAQ138" s="242">
        <f t="shared" si="994"/>
        <v>0</v>
      </c>
      <c r="AAR138" s="242">
        <f t="shared" si="995"/>
        <v>0</v>
      </c>
      <c r="AAS138" s="56"/>
      <c r="AAV138" s="55">
        <f t="shared" si="996"/>
        <v>46139</v>
      </c>
      <c r="AAW138" s="56"/>
      <c r="AAX138" s="242">
        <f>SUMPRODUCT(PRODUCE!$B147:$DY147,PRODUCE!$EB$57:$IY$57)</f>
        <v>0</v>
      </c>
      <c r="AAY138" s="56"/>
      <c r="AAZ138" s="242">
        <f t="shared" si="997"/>
        <v>0</v>
      </c>
      <c r="ABA138" s="242">
        <f t="shared" si="998"/>
        <v>0</v>
      </c>
      <c r="ABB138" s="56"/>
      <c r="ABE138" s="55">
        <f t="shared" si="999"/>
        <v>46139</v>
      </c>
      <c r="ABF138" s="56"/>
      <c r="ABG138" s="242">
        <f>SUMPRODUCT(PRODUCE!$B147:$DY147,PRODUCE!$EB$57:$IY$57)</f>
        <v>0</v>
      </c>
      <c r="ABH138" s="56"/>
      <c r="ABI138" s="242">
        <f t="shared" si="1000"/>
        <v>0</v>
      </c>
      <c r="ABJ138" s="242">
        <f t="shared" si="1001"/>
        <v>0</v>
      </c>
      <c r="ABK138" s="56"/>
    </row>
    <row r="139" spans="1:739" s="54" customFormat="1" ht="15" customHeight="1" outlineLevel="1">
      <c r="B139" s="478">
        <f>20+20</f>
        <v>40</v>
      </c>
      <c r="C139" s="55">
        <v>46140</v>
      </c>
      <c r="D139" s="422">
        <v>63800</v>
      </c>
      <c r="E139" s="423">
        <f>SUMPRODUCT(PRODUCE!$B148:$DY148,PRODUCE!$EB$7:$IY$7)</f>
        <v>20739</v>
      </c>
      <c r="F139" s="422">
        <v>20745</v>
      </c>
      <c r="G139" s="423">
        <f t="shared" si="1002"/>
        <v>-6</v>
      </c>
      <c r="H139" s="423">
        <f t="shared" si="1003"/>
        <v>121290.80000000005</v>
      </c>
      <c r="I139" s="289" t="s">
        <v>256</v>
      </c>
      <c r="L139" s="55">
        <f t="shared" si="759"/>
        <v>46140</v>
      </c>
      <c r="M139" s="422"/>
      <c r="N139" s="438">
        <f>SUMPRODUCT(PRODUCE!$B148:$DY148,PRODUCE!$EB$8:$IY$8)</f>
        <v>7530</v>
      </c>
      <c r="O139" s="422">
        <v>7537.2</v>
      </c>
      <c r="P139" s="438">
        <f t="shared" si="760"/>
        <v>-7.1999999999998181</v>
      </c>
      <c r="Q139" s="438">
        <f t="shared" si="761"/>
        <v>39659.600000000093</v>
      </c>
      <c r="R139" s="56"/>
      <c r="U139" s="55">
        <f t="shared" si="762"/>
        <v>46140</v>
      </c>
      <c r="V139" s="422"/>
      <c r="W139" s="440">
        <f>SUMPRODUCT(PRODUCE!$B148:$DY148,PRODUCE!$EB$9:$IY$9)</f>
        <v>3370</v>
      </c>
      <c r="X139" s="422">
        <v>3370.2</v>
      </c>
      <c r="Y139" s="440">
        <f t="shared" si="763"/>
        <v>-0.1999999999998181</v>
      </c>
      <c r="Z139" s="440">
        <f t="shared" si="764"/>
        <v>31717.599999999973</v>
      </c>
      <c r="AA139" s="56"/>
      <c r="AD139" s="55">
        <f t="shared" si="765"/>
        <v>46140</v>
      </c>
      <c r="AE139" s="422"/>
      <c r="AF139" s="442">
        <f>SUMPRODUCT(PRODUCE!$B148:$DY148,PRODUCE!$EB$10:$IY$10)</f>
        <v>500.00000000000006</v>
      </c>
      <c r="AG139" s="422">
        <v>501.3</v>
      </c>
      <c r="AH139" s="442">
        <f t="shared" si="766"/>
        <v>-1.2999999999999545</v>
      </c>
      <c r="AI139" s="442">
        <f t="shared" si="767"/>
        <v>13032.500000000016</v>
      </c>
      <c r="AJ139" s="56"/>
      <c r="AM139" s="55">
        <f t="shared" si="768"/>
        <v>46140</v>
      </c>
      <c r="AN139" s="422"/>
      <c r="AO139" s="444">
        <f>SUMPRODUCT(PRODUCE!$B148:$DY148,PRODUCE!$EB$11:$IY$11)</f>
        <v>0</v>
      </c>
      <c r="AP139" s="422"/>
      <c r="AQ139" s="444">
        <f t="shared" si="769"/>
        <v>0</v>
      </c>
      <c r="AR139" s="444">
        <f t="shared" si="770"/>
        <v>0</v>
      </c>
      <c r="AS139" s="56"/>
      <c r="AV139" s="55">
        <f t="shared" si="771"/>
        <v>46140</v>
      </c>
      <c r="AW139" s="422"/>
      <c r="AX139" s="446">
        <f>SUMPRODUCT(PRODUCE!$B148:$DY148,PRODUCE!$EB$12:$IY$12)</f>
        <v>0</v>
      </c>
      <c r="AY139" s="422"/>
      <c r="AZ139" s="446">
        <f t="shared" si="772"/>
        <v>0</v>
      </c>
      <c r="BA139" s="446">
        <f t="shared" si="773"/>
        <v>37786.299999999996</v>
      </c>
      <c r="BB139" s="56"/>
      <c r="BE139" s="55">
        <f t="shared" si="774"/>
        <v>46140</v>
      </c>
      <c r="BF139" s="422"/>
      <c r="BG139" s="448">
        <f>SUMPRODUCT(PRODUCE!$B148:$DY148,PRODUCE!$EB$13:$IY$13)</f>
        <v>1740</v>
      </c>
      <c r="BH139" s="422">
        <v>1740.2</v>
      </c>
      <c r="BI139" s="448">
        <f t="shared" si="775"/>
        <v>-0.20000000000004547</v>
      </c>
      <c r="BJ139" s="448">
        <f t="shared" si="776"/>
        <v>29280.199999999986</v>
      </c>
      <c r="BK139" s="56"/>
      <c r="BN139" s="55">
        <f t="shared" si="777"/>
        <v>46140</v>
      </c>
      <c r="BO139" s="422">
        <v>790</v>
      </c>
      <c r="BP139" s="450">
        <f>SUMPRODUCT(PRODUCE!$B148:$DY148,PRODUCE!$EB$14:$IY$14)</f>
        <v>790</v>
      </c>
      <c r="BQ139" s="422">
        <v>790</v>
      </c>
      <c r="BR139" s="450">
        <f t="shared" si="778"/>
        <v>0</v>
      </c>
      <c r="BS139" s="450">
        <f t="shared" si="779"/>
        <v>0</v>
      </c>
      <c r="BT139" s="56"/>
      <c r="BW139" s="55">
        <f t="shared" si="780"/>
        <v>46140</v>
      </c>
      <c r="BX139" s="56"/>
      <c r="BY139" s="65">
        <f>SUMPRODUCT(PRODUCE!$B148:$DY148,PRODUCE!$EB$15:$IY$15)</f>
        <v>243</v>
      </c>
      <c r="BZ139" s="56"/>
      <c r="CA139" s="65">
        <f t="shared" si="781"/>
        <v>243</v>
      </c>
      <c r="CB139" s="65">
        <f t="shared" si="782"/>
        <v>6153.7999999999993</v>
      </c>
      <c r="CC139" s="56"/>
      <c r="CF139" s="55">
        <f t="shared" si="783"/>
        <v>46140</v>
      </c>
      <c r="CG139" s="56"/>
      <c r="CH139" s="66">
        <f>SUMPRODUCT(PRODUCE!$B148:$DY148,PRODUCE!$EB$16:$IY$16)</f>
        <v>380</v>
      </c>
      <c r="CI139" s="56"/>
      <c r="CJ139" s="66">
        <f t="shared" si="784"/>
        <v>380</v>
      </c>
      <c r="CK139" s="66">
        <f t="shared" si="785"/>
        <v>0</v>
      </c>
      <c r="CL139" s="56"/>
      <c r="CO139" s="55">
        <f t="shared" si="786"/>
        <v>46140</v>
      </c>
      <c r="CP139" s="422"/>
      <c r="CQ139" s="470">
        <f>SUMPRODUCT(PRODUCE!$B148:$DY148,PRODUCE!$EB$17:$IY$17)</f>
        <v>0</v>
      </c>
      <c r="CR139" s="422"/>
      <c r="CS139" s="470">
        <f t="shared" si="787"/>
        <v>0</v>
      </c>
      <c r="CT139" s="470">
        <f t="shared" si="788"/>
        <v>0</v>
      </c>
      <c r="CU139" s="56"/>
      <c r="CX139" s="55">
        <f t="shared" si="789"/>
        <v>46140</v>
      </c>
      <c r="CY139" s="56"/>
      <c r="CZ139" s="133">
        <f>SUMPRODUCT(PRODUCE!$B148:$DY148,PRODUCE!$EB$18:$IY$18)</f>
        <v>2000</v>
      </c>
      <c r="DA139" s="56">
        <v>2000.4</v>
      </c>
      <c r="DB139" s="133">
        <f t="shared" si="790"/>
        <v>-0.40000000000009095</v>
      </c>
      <c r="DC139" s="133">
        <f t="shared" si="791"/>
        <v>24158.300000000003</v>
      </c>
      <c r="DD139" s="56"/>
      <c r="DG139" s="55">
        <f t="shared" si="792"/>
        <v>46140</v>
      </c>
      <c r="DH139" s="56"/>
      <c r="DI139" s="147">
        <f>SUMPRODUCT(PRODUCE!$B148:$DY148,PRODUCE!$EB$19:$IY$19)</f>
        <v>1600</v>
      </c>
      <c r="DJ139" s="56">
        <v>1602</v>
      </c>
      <c r="DK139" s="147">
        <f t="shared" si="793"/>
        <v>-2</v>
      </c>
      <c r="DL139" s="147">
        <f t="shared" si="794"/>
        <v>43939.999999999985</v>
      </c>
      <c r="DM139" s="56"/>
      <c r="DP139" s="55">
        <f t="shared" si="795"/>
        <v>46140</v>
      </c>
      <c r="DQ139" s="56"/>
      <c r="DR139" s="57">
        <f>SUMPRODUCT(PRODUCE!$B148:$DY148,PRODUCE!$EB$20:$IY$20)</f>
        <v>0</v>
      </c>
      <c r="DS139" s="56"/>
      <c r="DT139" s="57">
        <f t="shared" si="796"/>
        <v>0</v>
      </c>
      <c r="DU139" s="57">
        <f t="shared" si="797"/>
        <v>5800</v>
      </c>
      <c r="DV139" s="56"/>
      <c r="DY139" s="55">
        <f t="shared" si="798"/>
        <v>46140</v>
      </c>
      <c r="DZ139" s="56"/>
      <c r="EA139" s="157">
        <f>SUMPRODUCT(PRODUCE!$B148:$DY148,PRODUCE!$EB$21:$IY$21)</f>
        <v>0</v>
      </c>
      <c r="EB139" s="56"/>
      <c r="EC139" s="157">
        <f t="shared" si="799"/>
        <v>0</v>
      </c>
      <c r="ED139" s="157">
        <f t="shared" si="800"/>
        <v>147.30000000000018</v>
      </c>
      <c r="EE139" s="56"/>
      <c r="EH139" s="55">
        <f t="shared" si="801"/>
        <v>46140</v>
      </c>
      <c r="EI139" s="56"/>
      <c r="EJ139" s="162">
        <f>SUMPRODUCT(PRODUCE!$B148:$DY148,PRODUCE!$EB$22:$IY$22)</f>
        <v>0</v>
      </c>
      <c r="EK139" s="56"/>
      <c r="EL139" s="162">
        <f t="shared" si="802"/>
        <v>0</v>
      </c>
      <c r="EM139" s="162">
        <f t="shared" si="803"/>
        <v>0</v>
      </c>
      <c r="EN139" s="56"/>
      <c r="EQ139" s="55">
        <f t="shared" si="804"/>
        <v>46140</v>
      </c>
      <c r="ER139" s="56"/>
      <c r="ES139" s="135">
        <f>SUMPRODUCT(PRODUCE!$B148:$DY148,PRODUCE!$EB$23:$IY$23)</f>
        <v>0</v>
      </c>
      <c r="ET139" s="56"/>
      <c r="EU139" s="135">
        <f t="shared" si="805"/>
        <v>0</v>
      </c>
      <c r="EV139" s="135">
        <f t="shared" si="806"/>
        <v>0</v>
      </c>
      <c r="EW139" s="56"/>
      <c r="EZ139" s="55">
        <f t="shared" si="807"/>
        <v>46140</v>
      </c>
      <c r="FA139" s="56"/>
      <c r="FB139" s="175">
        <f>SUMPRODUCT(PRODUCE!$B148:$DY148,PRODUCE!$EB$24:$IY$24)</f>
        <v>0</v>
      </c>
      <c r="FC139" s="56"/>
      <c r="FD139" s="175">
        <f t="shared" si="808"/>
        <v>0</v>
      </c>
      <c r="FE139" s="175">
        <f t="shared" si="809"/>
        <v>0</v>
      </c>
      <c r="FF139" s="56"/>
      <c r="FI139" s="55">
        <f t="shared" si="810"/>
        <v>46140</v>
      </c>
      <c r="FJ139" s="56"/>
      <c r="FK139" s="183">
        <f>SUMPRODUCT(PRODUCE!$B148:$DY148,PRODUCE!$EB$25:$IY$25)</f>
        <v>0</v>
      </c>
      <c r="FL139" s="56"/>
      <c r="FM139" s="183">
        <f t="shared" si="811"/>
        <v>0</v>
      </c>
      <c r="FN139" s="183">
        <f t="shared" si="812"/>
        <v>0</v>
      </c>
      <c r="FO139" s="56"/>
      <c r="FR139" s="55">
        <f t="shared" si="813"/>
        <v>46140</v>
      </c>
      <c r="FS139" s="422"/>
      <c r="FT139" s="452">
        <f>SUMPRODUCT(PRODUCE!$B148:$DY148,PRODUCE!$EB$26:$IY$26)</f>
        <v>0</v>
      </c>
      <c r="FU139" s="422"/>
      <c r="FV139" s="452">
        <f t="shared" si="814"/>
        <v>0</v>
      </c>
      <c r="FW139" s="452">
        <f t="shared" si="815"/>
        <v>2120</v>
      </c>
      <c r="FX139" s="56"/>
      <c r="GA139" s="55">
        <f t="shared" si="816"/>
        <v>46140</v>
      </c>
      <c r="GB139" s="422"/>
      <c r="GC139" s="454">
        <f>SUMPRODUCT(PRODUCE!$B148:$DY148,PRODUCE!$EB$27:$IY$27)</f>
        <v>0</v>
      </c>
      <c r="GD139" s="422"/>
      <c r="GE139" s="454">
        <f t="shared" si="817"/>
        <v>0</v>
      </c>
      <c r="GF139" s="454">
        <f t="shared" si="818"/>
        <v>4840</v>
      </c>
      <c r="GG139" s="56"/>
      <c r="GI139" s="23"/>
      <c r="GJ139" s="55">
        <f t="shared" si="819"/>
        <v>46140</v>
      </c>
      <c r="GK139" s="422"/>
      <c r="GL139" s="456">
        <f>SUMPRODUCT(PRODUCE!$B148:$DY148,PRODUCE!$EB$28:$IY$28)</f>
        <v>0</v>
      </c>
      <c r="GM139" s="422"/>
      <c r="GN139" s="456">
        <f t="shared" si="820"/>
        <v>0</v>
      </c>
      <c r="GO139" s="456">
        <f t="shared" si="821"/>
        <v>3280</v>
      </c>
      <c r="GP139" s="56"/>
      <c r="GS139" s="55">
        <f t="shared" si="822"/>
        <v>46140</v>
      </c>
      <c r="GT139" s="56"/>
      <c r="GU139" s="195">
        <f>SUMPRODUCT(PRODUCE!$B148:$DY148,PRODUCE!$EB$29:$IY$29)</f>
        <v>0</v>
      </c>
      <c r="GV139" s="56"/>
      <c r="GW139" s="195">
        <f t="shared" si="823"/>
        <v>0</v>
      </c>
      <c r="GX139" s="195">
        <f t="shared" si="824"/>
        <v>0</v>
      </c>
      <c r="GY139" s="56"/>
      <c r="HB139" s="55">
        <f t="shared" si="825"/>
        <v>46140</v>
      </c>
      <c r="HC139" s="56"/>
      <c r="HD139" s="191">
        <f>SUMPRODUCT(PRODUCE!$B148:$DY148,PRODUCE!$EB$30:$IY$30)</f>
        <v>0</v>
      </c>
      <c r="HE139" s="56"/>
      <c r="HF139" s="191">
        <f t="shared" si="826"/>
        <v>0</v>
      </c>
      <c r="HG139" s="191">
        <f t="shared" si="827"/>
        <v>0</v>
      </c>
      <c r="HH139" s="56"/>
      <c r="HK139" s="55">
        <f t="shared" si="828"/>
        <v>46140</v>
      </c>
      <c r="HL139" s="56"/>
      <c r="HM139" s="63">
        <f>SUMPRODUCT(PRODUCE!$B148:$DY148,PRODUCE!$EB$31:$IY$31)</f>
        <v>0</v>
      </c>
      <c r="HN139" s="56"/>
      <c r="HO139" s="63">
        <f t="shared" si="829"/>
        <v>0</v>
      </c>
      <c r="HP139" s="63">
        <f t="shared" si="830"/>
        <v>0</v>
      </c>
      <c r="HQ139" s="56"/>
      <c r="HU139" s="55">
        <f t="shared" si="831"/>
        <v>46140</v>
      </c>
      <c r="HV139" s="56"/>
      <c r="HW139" s="242">
        <f>SUMPRODUCT(PRODUCE!$B148:$DY148,PRODUCE!$EB$32:$IY$32)</f>
        <v>0</v>
      </c>
      <c r="HX139" s="56"/>
      <c r="HY139" s="242">
        <f t="shared" si="832"/>
        <v>0</v>
      </c>
      <c r="HZ139" s="242">
        <f t="shared" si="833"/>
        <v>4760</v>
      </c>
      <c r="IA139" s="56"/>
      <c r="ID139" s="55">
        <f t="shared" si="834"/>
        <v>46140</v>
      </c>
      <c r="IE139" s="56"/>
      <c r="IF139" s="242">
        <f>SUMPRODUCT(PRODUCE!$B148:$DY148,PRODUCE!$EB$33:$IY$33)</f>
        <v>0</v>
      </c>
      <c r="IG139" s="56"/>
      <c r="IH139" s="242">
        <f t="shared" si="835"/>
        <v>0</v>
      </c>
      <c r="II139" s="242">
        <f t="shared" si="836"/>
        <v>6540</v>
      </c>
      <c r="IJ139" s="56"/>
      <c r="IM139" s="55">
        <f t="shared" si="837"/>
        <v>46140</v>
      </c>
      <c r="IN139" s="56"/>
      <c r="IO139" s="242">
        <f>SUMPRODUCT(PRODUCE!$B148:$DY148,PRODUCE!$EB$34:$IY$34)</f>
        <v>0</v>
      </c>
      <c r="IP139" s="56"/>
      <c r="IQ139" s="242">
        <f t="shared" si="838"/>
        <v>0</v>
      </c>
      <c r="IR139" s="242">
        <f t="shared" si="839"/>
        <v>11540</v>
      </c>
      <c r="IS139" s="289"/>
      <c r="IV139" s="55">
        <f t="shared" si="840"/>
        <v>46140</v>
      </c>
      <c r="IW139" s="56"/>
      <c r="IX139" s="242">
        <f>SUMPRODUCT(PRODUCE!$B148:$DY148,PRODUCE!$EB$35:$IY$35)</f>
        <v>0</v>
      </c>
      <c r="IY139" s="56"/>
      <c r="IZ139" s="242">
        <f t="shared" si="841"/>
        <v>0</v>
      </c>
      <c r="JA139" s="242">
        <f t="shared" si="842"/>
        <v>15120</v>
      </c>
      <c r="JB139" s="56"/>
      <c r="JE139" s="55">
        <f t="shared" si="843"/>
        <v>46140</v>
      </c>
      <c r="JF139" s="56"/>
      <c r="JG139" s="242">
        <f>SUMPRODUCT(PRODUCE!$B148:$DY148,PRODUCE!$EB$36:$IY$36)</f>
        <v>0</v>
      </c>
      <c r="JH139" s="56"/>
      <c r="JI139" s="242">
        <f t="shared" si="844"/>
        <v>0</v>
      </c>
      <c r="JJ139" s="242">
        <f t="shared" si="845"/>
        <v>4360</v>
      </c>
      <c r="JK139" s="56"/>
      <c r="JN139" s="55">
        <f t="shared" si="846"/>
        <v>46140</v>
      </c>
      <c r="JO139" s="56"/>
      <c r="JP139" s="242">
        <f>SUMPRODUCT(PRODUCE!$B148:$DY148,PRODUCE!$EB$37:$IY$37)</f>
        <v>0</v>
      </c>
      <c r="JQ139" s="56"/>
      <c r="JR139" s="242">
        <f t="shared" si="847"/>
        <v>0</v>
      </c>
      <c r="JS139" s="242">
        <f t="shared" si="848"/>
        <v>9100</v>
      </c>
      <c r="JT139" s="56"/>
      <c r="JW139" s="55">
        <f t="shared" si="849"/>
        <v>46140</v>
      </c>
      <c r="JX139" s="56"/>
      <c r="JY139" s="242">
        <f>SUMPRODUCT(PRODUCE!$B148:$DY148,PRODUCE!$EB$38:$IY$38)</f>
        <v>0</v>
      </c>
      <c r="JZ139" s="56"/>
      <c r="KA139" s="242">
        <f t="shared" si="850"/>
        <v>0</v>
      </c>
      <c r="KB139" s="242">
        <f t="shared" si="851"/>
        <v>2540</v>
      </c>
      <c r="KC139" s="56"/>
      <c r="KF139" s="55">
        <f t="shared" si="852"/>
        <v>46140</v>
      </c>
      <c r="KG139" s="56"/>
      <c r="KH139" s="242">
        <f>SUMPRODUCT(PRODUCE!$B148:$DY148,PRODUCE!$EB$39:$IY$39)</f>
        <v>0</v>
      </c>
      <c r="KI139" s="56"/>
      <c r="KJ139" s="242">
        <f t="shared" si="853"/>
        <v>0</v>
      </c>
      <c r="KK139" s="242">
        <f t="shared" si="854"/>
        <v>19.5</v>
      </c>
      <c r="KL139" s="56"/>
      <c r="KO139" s="55">
        <f t="shared" si="855"/>
        <v>46140</v>
      </c>
      <c r="KP139" s="56"/>
      <c r="KQ139" s="242">
        <f>SUMPRODUCT(PRODUCE!$B148:$DY148,PRODUCE!$EB$40:$IY$40)</f>
        <v>378</v>
      </c>
      <c r="KR139" s="56"/>
      <c r="KS139" s="242">
        <f t="shared" si="856"/>
        <v>378</v>
      </c>
      <c r="KT139" s="242">
        <f t="shared" si="857"/>
        <v>3024</v>
      </c>
      <c r="KU139" s="56"/>
      <c r="KW139" s="23"/>
      <c r="KX139" s="55">
        <f t="shared" si="858"/>
        <v>46140</v>
      </c>
      <c r="KY139" s="56"/>
      <c r="KZ139" s="242">
        <f>SUMPRODUCT(PRODUCE!$B148:$DY148,PRODUCE!$EB$41:$IY$41)</f>
        <v>409.99999999999994</v>
      </c>
      <c r="LA139" s="56"/>
      <c r="LB139" s="242">
        <f t="shared" si="859"/>
        <v>409.99999999999994</v>
      </c>
      <c r="LC139" s="242">
        <f t="shared" si="860"/>
        <v>6150</v>
      </c>
      <c r="LD139" s="56"/>
      <c r="LG139" s="55">
        <f t="shared" si="861"/>
        <v>46140</v>
      </c>
      <c r="LH139" s="56"/>
      <c r="LI139" s="242">
        <f>SUMPRODUCT(PRODUCE!$B148:$DY148,PRODUCE!$EB$42:$IY$42)</f>
        <v>0</v>
      </c>
      <c r="LJ139" s="56"/>
      <c r="LK139" s="242">
        <f t="shared" si="862"/>
        <v>0</v>
      </c>
      <c r="LL139" s="242">
        <f t="shared" si="863"/>
        <v>4000</v>
      </c>
      <c r="LM139" s="56"/>
      <c r="LP139" s="55">
        <f t="shared" si="864"/>
        <v>46140</v>
      </c>
      <c r="LQ139" s="56"/>
      <c r="LR139" s="242">
        <f>SUMPRODUCT(PRODUCE!$B154:$DY154,PRODUCE!$EB$43:$IY$43)</f>
        <v>0</v>
      </c>
      <c r="LS139" s="56"/>
      <c r="LT139" s="242">
        <f t="shared" si="865"/>
        <v>0</v>
      </c>
      <c r="LU139" s="242">
        <f t="shared" si="866"/>
        <v>0</v>
      </c>
      <c r="LV139" s="56"/>
      <c r="LY139" s="55">
        <f t="shared" si="867"/>
        <v>46140</v>
      </c>
      <c r="LZ139" s="56"/>
      <c r="MA139" s="242">
        <f>SUMPRODUCT(PRODUCE!$B148:$DY148,PRODUCE!$EB$44:$IY$44)</f>
        <v>0</v>
      </c>
      <c r="MB139" s="56"/>
      <c r="MC139" s="242">
        <f t="shared" si="868"/>
        <v>0</v>
      </c>
      <c r="MD139" s="242">
        <f t="shared" si="869"/>
        <v>0</v>
      </c>
      <c r="ME139" s="56"/>
      <c r="MH139" s="55">
        <f t="shared" si="870"/>
        <v>46140</v>
      </c>
      <c r="MI139" s="56"/>
      <c r="MJ139" s="242">
        <f>SUMPRODUCT(PRODUCE!$B148:$DY148,PRODUCE!$EB$45:$IY$45)</f>
        <v>0</v>
      </c>
      <c r="MK139" s="56"/>
      <c r="ML139" s="242">
        <f t="shared" si="871"/>
        <v>0</v>
      </c>
      <c r="MM139" s="242">
        <f t="shared" si="872"/>
        <v>0</v>
      </c>
      <c r="MN139" s="56"/>
      <c r="MQ139" s="55">
        <f t="shared" si="873"/>
        <v>46140</v>
      </c>
      <c r="MR139" s="56"/>
      <c r="MS139" s="242">
        <f>SUMPRODUCT(PRODUCE!$B148:$DY148,PRODUCE!$EB$46:$IY$46)</f>
        <v>0</v>
      </c>
      <c r="MT139" s="56"/>
      <c r="MU139" s="242">
        <f t="shared" si="874"/>
        <v>0</v>
      </c>
      <c r="MV139" s="242">
        <f t="shared" si="875"/>
        <v>3973</v>
      </c>
      <c r="MW139" s="56"/>
      <c r="MZ139" s="55">
        <f t="shared" si="876"/>
        <v>46140</v>
      </c>
      <c r="NA139" s="56"/>
      <c r="NB139" s="242">
        <f>SUMPRODUCT(PRODUCE!$B148:$DY148,PRODUCE!$EB$47:$IY$47)</f>
        <v>120</v>
      </c>
      <c r="NC139" s="56"/>
      <c r="ND139" s="242">
        <f t="shared" si="877"/>
        <v>120</v>
      </c>
      <c r="NE139" s="242">
        <f t="shared" si="878"/>
        <v>0</v>
      </c>
      <c r="NF139" s="56"/>
      <c r="NI139" s="55">
        <f t="shared" si="879"/>
        <v>46140</v>
      </c>
      <c r="NJ139" s="56"/>
      <c r="NK139" s="242">
        <f>SUMPRODUCT(PRODUCE!$B148:$DY148,PRODUCE!$EB$48:$IY$48)</f>
        <v>40</v>
      </c>
      <c r="NL139" s="56"/>
      <c r="NM139" s="242">
        <f t="shared" si="880"/>
        <v>40</v>
      </c>
      <c r="NN139" s="242">
        <f t="shared" si="881"/>
        <v>1187</v>
      </c>
      <c r="NO139" s="56"/>
      <c r="NR139" s="55">
        <f t="shared" si="882"/>
        <v>46140</v>
      </c>
      <c r="NS139" s="56"/>
      <c r="NT139" s="242">
        <f>SUMPRODUCT(PRODUCE!$B148:$DY148,PRODUCE!$EB$49:$IY$49)</f>
        <v>48</v>
      </c>
      <c r="NU139" s="56"/>
      <c r="NV139" s="242">
        <f t="shared" si="883"/>
        <v>48</v>
      </c>
      <c r="NW139" s="242">
        <f t="shared" si="884"/>
        <v>3182.8999999999996</v>
      </c>
      <c r="NX139" s="56"/>
      <c r="OA139" s="55">
        <f t="shared" si="885"/>
        <v>46140</v>
      </c>
      <c r="OB139" s="56"/>
      <c r="OC139" s="242">
        <f>SUMPRODUCT(PRODUCE!$B148:$DY148,PRODUCE!$EB$50:$IY$50)</f>
        <v>0</v>
      </c>
      <c r="OD139" s="56"/>
      <c r="OE139" s="242">
        <f t="shared" si="886"/>
        <v>0</v>
      </c>
      <c r="OF139" s="242">
        <f t="shared" si="887"/>
        <v>1680.5</v>
      </c>
      <c r="OG139" s="56"/>
      <c r="OJ139" s="55">
        <f t="shared" si="888"/>
        <v>46140</v>
      </c>
      <c r="OK139" s="56"/>
      <c r="OL139" s="242">
        <f>SUMPRODUCT(PRODUCE!$B148:$DY148,PRODUCE!$EB$51:$IY$51)</f>
        <v>111.99999999999997</v>
      </c>
      <c r="OM139" s="56"/>
      <c r="ON139" s="242">
        <f t="shared" si="889"/>
        <v>111.99999999999997</v>
      </c>
      <c r="OO139" s="242">
        <f t="shared" si="890"/>
        <v>0</v>
      </c>
      <c r="OP139" s="56"/>
      <c r="OS139" s="55">
        <f t="shared" si="891"/>
        <v>46140</v>
      </c>
      <c r="OT139" s="56"/>
      <c r="OU139" s="242">
        <f>SUMPRODUCT(PRODUCE!$B148:$DY148,PRODUCE!$EB$52:$IY$52)</f>
        <v>0</v>
      </c>
      <c r="OV139" s="56"/>
      <c r="OW139" s="242">
        <f t="shared" si="892"/>
        <v>0</v>
      </c>
      <c r="OX139" s="242">
        <f t="shared" si="893"/>
        <v>982</v>
      </c>
      <c r="OY139" s="56"/>
      <c r="PB139" s="55">
        <f t="shared" si="894"/>
        <v>46140</v>
      </c>
      <c r="PC139" s="56"/>
      <c r="PD139" s="242">
        <f>SUMPRODUCT(PRODUCE!$B148:$DY148,PRODUCE!$EB$53:$IY$53)</f>
        <v>0</v>
      </c>
      <c r="PE139" s="56"/>
      <c r="PF139" s="242">
        <f t="shared" si="895"/>
        <v>0</v>
      </c>
      <c r="PG139" s="242">
        <f t="shared" si="896"/>
        <v>0</v>
      </c>
      <c r="PH139" s="56"/>
      <c r="PK139" s="55">
        <f t="shared" si="897"/>
        <v>46140</v>
      </c>
      <c r="PL139" s="56"/>
      <c r="PM139" s="242">
        <f>SUMPRODUCT(PRODUCE!$B148:$DY148,PRODUCE!$EB$54:$IY$54)</f>
        <v>0</v>
      </c>
      <c r="PN139" s="56"/>
      <c r="PO139" s="242">
        <f t="shared" si="898"/>
        <v>0</v>
      </c>
      <c r="PP139" s="242">
        <f t="shared" si="899"/>
        <v>100</v>
      </c>
      <c r="PQ139" s="56"/>
      <c r="PT139" s="55">
        <f t="shared" si="900"/>
        <v>46140</v>
      </c>
      <c r="PU139" s="56"/>
      <c r="PV139" s="242">
        <f>SUMPRODUCT(PRODUCE!$B148:$DY148,PRODUCE!$EB$55:$IY$55)</f>
        <v>0</v>
      </c>
      <c r="PW139" s="56"/>
      <c r="PX139" s="242">
        <f t="shared" si="901"/>
        <v>0</v>
      </c>
      <c r="PY139" s="242">
        <f t="shared" si="902"/>
        <v>13.960000000000036</v>
      </c>
      <c r="PZ139" s="56"/>
      <c r="QC139" s="55">
        <f t="shared" si="903"/>
        <v>46140</v>
      </c>
      <c r="QD139" s="56"/>
      <c r="QE139" s="242">
        <f>SUMPRODUCT(PRODUCE!$B148:$DY148,PRODUCE!$EB$56:$IY$56)</f>
        <v>0</v>
      </c>
      <c r="QF139" s="56"/>
      <c r="QG139" s="242">
        <f t="shared" si="904"/>
        <v>0</v>
      </c>
      <c r="QH139" s="242">
        <f t="shared" si="905"/>
        <v>1076</v>
      </c>
      <c r="QI139" s="56"/>
      <c r="QL139" s="55">
        <f t="shared" si="906"/>
        <v>46140</v>
      </c>
      <c r="QM139" s="56"/>
      <c r="QN139" s="242">
        <f>SUMPRODUCT(PRODUCE!$B148:$DY148,PRODUCE!$EB$57:$IY$57)</f>
        <v>0</v>
      </c>
      <c r="QO139" s="56"/>
      <c r="QP139" s="242">
        <f t="shared" si="907"/>
        <v>0</v>
      </c>
      <c r="QQ139" s="242">
        <f t="shared" si="908"/>
        <v>400</v>
      </c>
      <c r="QR139" s="56"/>
      <c r="QU139" s="55">
        <f t="shared" si="909"/>
        <v>46140</v>
      </c>
      <c r="QV139" s="56"/>
      <c r="QW139" s="242">
        <f>SUMPRODUCT(PRODUCE!$B148:$DY148,PRODUCE!$EB$57:$IY$57)</f>
        <v>0</v>
      </c>
      <c r="QX139" s="56"/>
      <c r="QY139" s="242">
        <f t="shared" si="910"/>
        <v>0</v>
      </c>
      <c r="QZ139" s="242">
        <f t="shared" si="911"/>
        <v>207.6</v>
      </c>
      <c r="RA139" s="56"/>
      <c r="RD139" s="55">
        <f t="shared" si="912"/>
        <v>46140</v>
      </c>
      <c r="RE139" s="56"/>
      <c r="RF139" s="242">
        <f>SUMPRODUCT(PRODUCE!$B148:$DY148,PRODUCE!$EB$58:$IY$58)</f>
        <v>0</v>
      </c>
      <c r="RG139" s="56"/>
      <c r="RH139" s="242">
        <f t="shared" si="913"/>
        <v>0</v>
      </c>
      <c r="RI139" s="242">
        <f t="shared" si="914"/>
        <v>147.04000000000002</v>
      </c>
      <c r="RJ139" s="56"/>
      <c r="RM139" s="55">
        <f t="shared" si="915"/>
        <v>46140</v>
      </c>
      <c r="RN139" s="56"/>
      <c r="RO139" s="242">
        <f>SUMPRODUCT(PRODUCE!$B148:$DY148,PRODUCE!$EB$57:$IY$57)</f>
        <v>0</v>
      </c>
      <c r="RP139" s="56"/>
      <c r="RQ139" s="242">
        <f t="shared" si="916"/>
        <v>0</v>
      </c>
      <c r="RR139" s="242">
        <f t="shared" si="917"/>
        <v>46.8</v>
      </c>
      <c r="RS139" s="56"/>
      <c r="RV139" s="55">
        <f t="shared" si="918"/>
        <v>46140</v>
      </c>
      <c r="RW139" s="56"/>
      <c r="RX139" s="242">
        <f>SUMPRODUCT(PRODUCE!$B148:$DY148,PRODUCE!$EB$57:$IY$57)</f>
        <v>0</v>
      </c>
      <c r="RY139" s="56"/>
      <c r="RZ139" s="242">
        <f t="shared" si="919"/>
        <v>0</v>
      </c>
      <c r="SA139" s="242">
        <f t="shared" si="920"/>
        <v>0</v>
      </c>
      <c r="SB139" s="56"/>
      <c r="SE139" s="55">
        <f t="shared" si="921"/>
        <v>46140</v>
      </c>
      <c r="SF139" s="56"/>
      <c r="SG139" s="242">
        <f>SUMPRODUCT(PRODUCE!$B148:$DY148,PRODUCE!$EB$57:$IY$57)</f>
        <v>0</v>
      </c>
      <c r="SH139" s="56"/>
      <c r="SI139" s="242">
        <f t="shared" si="922"/>
        <v>0</v>
      </c>
      <c r="SJ139" s="242">
        <f t="shared" si="923"/>
        <v>24.200000000000003</v>
      </c>
      <c r="SK139" s="56"/>
      <c r="SN139" s="55">
        <f t="shared" si="924"/>
        <v>46140</v>
      </c>
      <c r="SO139" s="56"/>
      <c r="SP139" s="242">
        <f>SUMPRODUCT(PRODUCE!$B148:$DY148,PRODUCE!$EB$57:$IY$57)</f>
        <v>0</v>
      </c>
      <c r="SQ139" s="56"/>
      <c r="SR139" s="242">
        <f t="shared" si="925"/>
        <v>0</v>
      </c>
      <c r="SS139" s="242">
        <f t="shared" si="926"/>
        <v>32</v>
      </c>
      <c r="ST139" s="56"/>
      <c r="SW139" s="55">
        <f t="shared" si="927"/>
        <v>46140</v>
      </c>
      <c r="SX139" s="56"/>
      <c r="SY139" s="242">
        <f>SUMPRODUCT(PRODUCE!$B148:$DY148,PRODUCE!$EB$57:$IY$57)</f>
        <v>0</v>
      </c>
      <c r="SZ139" s="56"/>
      <c r="TA139" s="242">
        <f t="shared" si="928"/>
        <v>0</v>
      </c>
      <c r="TB139" s="242">
        <f t="shared" si="929"/>
        <v>0</v>
      </c>
      <c r="TC139" s="56"/>
      <c r="TF139" s="55">
        <f t="shared" si="930"/>
        <v>46140</v>
      </c>
      <c r="TG139" s="56"/>
      <c r="TH139" s="242">
        <f>SUMPRODUCT(PRODUCE!$B148:$DY148,PRODUCE!$EB$57:$IY$57)</f>
        <v>0</v>
      </c>
      <c r="TI139" s="56"/>
      <c r="TJ139" s="242">
        <f t="shared" si="931"/>
        <v>0</v>
      </c>
      <c r="TK139" s="242">
        <f t="shared" si="932"/>
        <v>0</v>
      </c>
      <c r="TL139" s="56"/>
      <c r="TO139" s="55">
        <f t="shared" si="933"/>
        <v>46140</v>
      </c>
      <c r="TP139" s="56"/>
      <c r="TQ139" s="242">
        <f>SUMPRODUCT(PRODUCE!$B148:$DY148,PRODUCE!$EB$57:$IY$57)</f>
        <v>0</v>
      </c>
      <c r="TR139" s="56"/>
      <c r="TS139" s="242">
        <f t="shared" si="934"/>
        <v>0</v>
      </c>
      <c r="TT139" s="242">
        <f t="shared" si="935"/>
        <v>0</v>
      </c>
      <c r="TU139" s="56"/>
      <c r="TX139" s="55">
        <f t="shared" si="936"/>
        <v>46140</v>
      </c>
      <c r="TY139" s="56"/>
      <c r="TZ139" s="242">
        <f>SUMPRODUCT(PRODUCE!$B148:$DY148,PRODUCE!$EB$57:$IY$57)</f>
        <v>0</v>
      </c>
      <c r="UA139" s="56"/>
      <c r="UB139" s="242">
        <f t="shared" si="937"/>
        <v>0</v>
      </c>
      <c r="UC139" s="242">
        <f t="shared" si="938"/>
        <v>0</v>
      </c>
      <c r="UD139" s="56"/>
      <c r="UG139" s="55">
        <f t="shared" si="939"/>
        <v>46140</v>
      </c>
      <c r="UH139" s="56"/>
      <c r="UI139" s="242">
        <f>SUMPRODUCT(PRODUCE!$B148:$DY148,PRODUCE!$EB$57:$IY$57)</f>
        <v>0</v>
      </c>
      <c r="UJ139" s="56"/>
      <c r="UK139" s="242">
        <f t="shared" si="940"/>
        <v>0</v>
      </c>
      <c r="UL139" s="242">
        <f t="shared" si="941"/>
        <v>0</v>
      </c>
      <c r="UM139" s="56"/>
      <c r="UP139" s="55">
        <f t="shared" si="942"/>
        <v>46140</v>
      </c>
      <c r="UQ139" s="56"/>
      <c r="UR139" s="242">
        <f>SUMPRODUCT(PRODUCE!$B148:$DY148,PRODUCE!$EB$57:$IY$57)</f>
        <v>0</v>
      </c>
      <c r="US139" s="56"/>
      <c r="UT139" s="242">
        <f t="shared" si="943"/>
        <v>0</v>
      </c>
      <c r="UU139" s="242">
        <f t="shared" si="944"/>
        <v>0</v>
      </c>
      <c r="UV139" s="56"/>
      <c r="UY139" s="55">
        <f t="shared" si="945"/>
        <v>46140</v>
      </c>
      <c r="UZ139" s="56"/>
      <c r="VA139" s="242">
        <f>SUMPRODUCT(PRODUCE!$B148:$DY148,PRODUCE!$EB$57:$IY$57)</f>
        <v>0</v>
      </c>
      <c r="VB139" s="56"/>
      <c r="VC139" s="242">
        <f t="shared" si="946"/>
        <v>0</v>
      </c>
      <c r="VD139" s="242">
        <f t="shared" si="947"/>
        <v>41.600000000000023</v>
      </c>
      <c r="VE139" s="56"/>
      <c r="VH139" s="55">
        <f t="shared" si="948"/>
        <v>46140</v>
      </c>
      <c r="VI139" s="56"/>
      <c r="VJ139" s="242">
        <f>SUMPRODUCT(PRODUCE!$B148:$DY148,PRODUCE!$EB$57:$IY$57)</f>
        <v>0</v>
      </c>
      <c r="VK139" s="56"/>
      <c r="VL139" s="242">
        <f t="shared" si="949"/>
        <v>0</v>
      </c>
      <c r="VM139" s="242">
        <f t="shared" si="950"/>
        <v>0</v>
      </c>
      <c r="VN139" s="56"/>
      <c r="VQ139" s="55">
        <f t="shared" si="951"/>
        <v>46140</v>
      </c>
      <c r="VR139" s="56"/>
      <c r="VS139" s="242">
        <f>SUMPRODUCT(PRODUCE!$B148:$DY148,PRODUCE!$EB$57:$IY$57)</f>
        <v>0</v>
      </c>
      <c r="VT139" s="56"/>
      <c r="VU139" s="242">
        <f t="shared" si="952"/>
        <v>0</v>
      </c>
      <c r="VV139" s="242">
        <f t="shared" si="953"/>
        <v>0</v>
      </c>
      <c r="VW139" s="56"/>
      <c r="VZ139" s="55">
        <f t="shared" si="954"/>
        <v>46140</v>
      </c>
      <c r="WA139" s="56"/>
      <c r="WB139" s="242">
        <f>SUMPRODUCT(PRODUCE!$B148:$DY148,PRODUCE!$EB$57:$IY$57)</f>
        <v>0</v>
      </c>
      <c r="WC139" s="56"/>
      <c r="WD139" s="242">
        <f t="shared" si="955"/>
        <v>0</v>
      </c>
      <c r="WE139" s="242">
        <f t="shared" si="956"/>
        <v>0</v>
      </c>
      <c r="WF139" s="56"/>
      <c r="WI139" s="55">
        <f t="shared" si="957"/>
        <v>46140</v>
      </c>
      <c r="WJ139" s="56"/>
      <c r="WK139" s="242">
        <f>SUMPRODUCT(PRODUCE!$B148:$DY148,PRODUCE!$EB$57:$IY$57)</f>
        <v>0</v>
      </c>
      <c r="WL139" s="56"/>
      <c r="WM139" s="242">
        <f t="shared" si="958"/>
        <v>0</v>
      </c>
      <c r="WN139" s="242">
        <f t="shared" si="959"/>
        <v>2317</v>
      </c>
      <c r="WO139" s="56"/>
      <c r="WR139" s="55">
        <f t="shared" si="960"/>
        <v>46140</v>
      </c>
      <c r="WS139" s="56"/>
      <c r="WT139" s="242">
        <f>SUMPRODUCT(PRODUCE!$B148:$DY148,PRODUCE!$EB$57:$IY$57)</f>
        <v>0</v>
      </c>
      <c r="WU139" s="56"/>
      <c r="WV139" s="242">
        <f t="shared" si="961"/>
        <v>0</v>
      </c>
      <c r="WW139" s="242">
        <f t="shared" si="962"/>
        <v>776</v>
      </c>
      <c r="WX139" s="56"/>
      <c r="XA139" s="55">
        <f t="shared" si="963"/>
        <v>46140</v>
      </c>
      <c r="XB139" s="56"/>
      <c r="XC139" s="242">
        <f>SUMPRODUCT(PRODUCE!$B148:$DY148,PRODUCE!$EB$57:$IY$57)</f>
        <v>0</v>
      </c>
      <c r="XD139" s="56"/>
      <c r="XE139" s="242">
        <f t="shared" si="964"/>
        <v>0</v>
      </c>
      <c r="XF139" s="242">
        <f t="shared" si="965"/>
        <v>13455</v>
      </c>
      <c r="XG139" s="56"/>
      <c r="XJ139" s="55">
        <f t="shared" si="966"/>
        <v>46140</v>
      </c>
      <c r="XK139" s="56"/>
      <c r="XL139" s="242">
        <f>SUMPRODUCT(PRODUCE!$B148:$DY148,PRODUCE!$EB$57:$IY$57)</f>
        <v>0</v>
      </c>
      <c r="XM139" s="56"/>
      <c r="XN139" s="242">
        <f t="shared" si="967"/>
        <v>0</v>
      </c>
      <c r="XO139" s="242">
        <f t="shared" si="968"/>
        <v>1872</v>
      </c>
      <c r="XP139" s="56"/>
      <c r="XS139" s="55">
        <f t="shared" si="969"/>
        <v>46140</v>
      </c>
      <c r="XT139" s="56"/>
      <c r="XU139" s="242">
        <f>SUMPRODUCT(PRODUCE!$B148:$DY148,PRODUCE!$EB$57:$IY$57)</f>
        <v>0</v>
      </c>
      <c r="XV139" s="56"/>
      <c r="XW139" s="242">
        <f t="shared" si="970"/>
        <v>0</v>
      </c>
      <c r="XX139" s="242">
        <f t="shared" si="971"/>
        <v>1901</v>
      </c>
      <c r="XY139" s="56"/>
      <c r="YB139" s="55">
        <f t="shared" si="972"/>
        <v>46140</v>
      </c>
      <c r="YC139" s="56"/>
      <c r="YD139" s="242">
        <f>SUMPRODUCT(PRODUCE!$B148:$DY148,PRODUCE!$EB$57:$IY$57)</f>
        <v>0</v>
      </c>
      <c r="YE139" s="56"/>
      <c r="YF139" s="242">
        <f t="shared" si="973"/>
        <v>0</v>
      </c>
      <c r="YG139" s="242">
        <f t="shared" si="974"/>
        <v>6459</v>
      </c>
      <c r="YH139" s="56"/>
      <c r="YK139" s="55">
        <f t="shared" si="975"/>
        <v>46140</v>
      </c>
      <c r="YL139" s="56"/>
      <c r="YM139" s="242">
        <f>SUMPRODUCT(PRODUCE!$B148:$DY148,PRODUCE!$EB$57:$IY$57)</f>
        <v>0</v>
      </c>
      <c r="YN139" s="56"/>
      <c r="YO139" s="242">
        <f t="shared" si="976"/>
        <v>0</v>
      </c>
      <c r="YP139" s="242">
        <f t="shared" si="977"/>
        <v>0</v>
      </c>
      <c r="YQ139" s="56"/>
      <c r="YT139" s="55">
        <f t="shared" si="978"/>
        <v>46140</v>
      </c>
      <c r="YU139" s="56"/>
      <c r="YV139" s="242">
        <f>SUMPRODUCT(PRODUCE!$B148:$DY148,PRODUCE!$EB$57:$IY$57)</f>
        <v>0</v>
      </c>
      <c r="YW139" s="56"/>
      <c r="YX139" s="242">
        <f t="shared" si="979"/>
        <v>0</v>
      </c>
      <c r="YY139" s="242">
        <f t="shared" si="980"/>
        <v>0</v>
      </c>
      <c r="YZ139" s="56"/>
      <c r="ZC139" s="55">
        <f t="shared" si="981"/>
        <v>46140</v>
      </c>
      <c r="ZD139" s="56"/>
      <c r="ZE139" s="242">
        <f>SUMPRODUCT(PRODUCE!$B148:$DY148,PRODUCE!$EB$57:$IY$57)</f>
        <v>0</v>
      </c>
      <c r="ZF139" s="56"/>
      <c r="ZG139" s="242">
        <f t="shared" si="982"/>
        <v>0</v>
      </c>
      <c r="ZH139" s="242">
        <f t="shared" si="983"/>
        <v>0</v>
      </c>
      <c r="ZI139" s="56"/>
      <c r="ZL139" s="55">
        <f t="shared" si="984"/>
        <v>46140</v>
      </c>
      <c r="ZM139" s="56"/>
      <c r="ZN139" s="242">
        <f>SUMPRODUCT(PRODUCE!$B148:$DY148,PRODUCE!$EB$57:$IY$57)</f>
        <v>0</v>
      </c>
      <c r="ZO139" s="56"/>
      <c r="ZP139" s="242">
        <f t="shared" si="985"/>
        <v>0</v>
      </c>
      <c r="ZQ139" s="242">
        <f t="shared" si="986"/>
        <v>0</v>
      </c>
      <c r="ZR139" s="56"/>
      <c r="ZU139" s="55">
        <f t="shared" si="987"/>
        <v>46140</v>
      </c>
      <c r="ZV139" s="56"/>
      <c r="ZW139" s="242">
        <f>SUMPRODUCT(PRODUCE!$B148:$DY148,PRODUCE!$EB$57:$IY$57)</f>
        <v>0</v>
      </c>
      <c r="ZX139" s="56"/>
      <c r="ZY139" s="242">
        <f t="shared" si="988"/>
        <v>0</v>
      </c>
      <c r="ZZ139" s="242">
        <f t="shared" si="989"/>
        <v>0</v>
      </c>
      <c r="AAA139" s="56"/>
      <c r="AAD139" s="55">
        <f t="shared" si="990"/>
        <v>46140</v>
      </c>
      <c r="AAE139" s="56"/>
      <c r="AAF139" s="242">
        <f>SUMPRODUCT(PRODUCE!$B148:$DY148,PRODUCE!$EB$57:$IY$57)</f>
        <v>0</v>
      </c>
      <c r="AAG139" s="56"/>
      <c r="AAH139" s="242">
        <f t="shared" si="991"/>
        <v>0</v>
      </c>
      <c r="AAI139" s="242">
        <f t="shared" si="992"/>
        <v>0</v>
      </c>
      <c r="AAJ139" s="56"/>
      <c r="AAM139" s="55">
        <f t="shared" si="993"/>
        <v>46140</v>
      </c>
      <c r="AAN139" s="56"/>
      <c r="AAO139" s="242">
        <f>SUMPRODUCT(PRODUCE!$B148:$DY148,PRODUCE!$EB$57:$IY$57)</f>
        <v>0</v>
      </c>
      <c r="AAP139" s="56"/>
      <c r="AAQ139" s="242">
        <f t="shared" si="994"/>
        <v>0</v>
      </c>
      <c r="AAR139" s="242">
        <f t="shared" si="995"/>
        <v>0</v>
      </c>
      <c r="AAS139" s="56"/>
      <c r="AAV139" s="55">
        <f t="shared" si="996"/>
        <v>46140</v>
      </c>
      <c r="AAW139" s="56"/>
      <c r="AAX139" s="242">
        <f>SUMPRODUCT(PRODUCE!$B148:$DY148,PRODUCE!$EB$57:$IY$57)</f>
        <v>0</v>
      </c>
      <c r="AAY139" s="56"/>
      <c r="AAZ139" s="242">
        <f t="shared" si="997"/>
        <v>0</v>
      </c>
      <c r="ABA139" s="242">
        <f t="shared" si="998"/>
        <v>0</v>
      </c>
      <c r="ABB139" s="56"/>
      <c r="ABE139" s="55">
        <f t="shared" si="999"/>
        <v>46140</v>
      </c>
      <c r="ABF139" s="56"/>
      <c r="ABG139" s="242">
        <f>SUMPRODUCT(PRODUCE!$B148:$DY148,PRODUCE!$EB$57:$IY$57)</f>
        <v>0</v>
      </c>
      <c r="ABH139" s="56"/>
      <c r="ABI139" s="242">
        <f t="shared" si="1000"/>
        <v>0</v>
      </c>
      <c r="ABJ139" s="242">
        <f t="shared" si="1001"/>
        <v>0</v>
      </c>
      <c r="ABK139" s="56"/>
    </row>
    <row r="140" spans="1:739" s="54" customFormat="1" ht="15" customHeight="1" outlineLevel="1">
      <c r="B140" s="478"/>
      <c r="C140" s="55">
        <v>46141</v>
      </c>
      <c r="D140" s="422">
        <v>30560</v>
      </c>
      <c r="E140" s="423">
        <f>SUMPRODUCT(PRODUCE!$B149:$DY149,PRODUCE!$EB$7:$IY$7)</f>
        <v>0</v>
      </c>
      <c r="F140" s="422"/>
      <c r="G140" s="423">
        <f t="shared" si="1002"/>
        <v>0</v>
      </c>
      <c r="H140" s="423">
        <f t="shared" si="1003"/>
        <v>151850.80000000005</v>
      </c>
      <c r="I140" s="289"/>
      <c r="L140" s="55">
        <f t="shared" si="759"/>
        <v>46141</v>
      </c>
      <c r="M140" s="422">
        <v>28660</v>
      </c>
      <c r="N140" s="438">
        <f>SUMPRODUCT(PRODUCE!$B149:$DY149,PRODUCE!$EB$8:$IY$8)</f>
        <v>0</v>
      </c>
      <c r="O140" s="422"/>
      <c r="P140" s="438">
        <f t="shared" si="760"/>
        <v>0</v>
      </c>
      <c r="Q140" s="438">
        <f t="shared" si="761"/>
        <v>68319.600000000093</v>
      </c>
      <c r="R140" s="56"/>
      <c r="U140" s="55">
        <f t="shared" si="762"/>
        <v>46141</v>
      </c>
      <c r="V140" s="422"/>
      <c r="W140" s="440">
        <f>SUMPRODUCT(PRODUCE!$B149:$DY149,PRODUCE!$EB$9:$IY$9)</f>
        <v>0</v>
      </c>
      <c r="X140" s="422"/>
      <c r="Y140" s="440">
        <f t="shared" si="763"/>
        <v>0</v>
      </c>
      <c r="Z140" s="440">
        <f t="shared" si="764"/>
        <v>31717.599999999973</v>
      </c>
      <c r="AA140" s="56"/>
      <c r="AD140" s="55">
        <f t="shared" si="765"/>
        <v>46141</v>
      </c>
      <c r="AE140" s="422"/>
      <c r="AF140" s="442">
        <f>SUMPRODUCT(PRODUCE!$B149:$DY149,PRODUCE!$EB$10:$IY$10)</f>
        <v>0</v>
      </c>
      <c r="AG140" s="422"/>
      <c r="AH140" s="442">
        <f t="shared" si="766"/>
        <v>0</v>
      </c>
      <c r="AI140" s="442">
        <f t="shared" si="767"/>
        <v>13032.500000000016</v>
      </c>
      <c r="AJ140" s="56"/>
      <c r="AM140" s="55">
        <f t="shared" si="768"/>
        <v>46141</v>
      </c>
      <c r="AN140" s="422"/>
      <c r="AO140" s="444">
        <f>SUMPRODUCT(PRODUCE!$B149:$DY149,PRODUCE!$EB$11:$IY$11)</f>
        <v>0</v>
      </c>
      <c r="AP140" s="422"/>
      <c r="AQ140" s="444">
        <f t="shared" si="769"/>
        <v>0</v>
      </c>
      <c r="AR140" s="444">
        <f t="shared" si="770"/>
        <v>0</v>
      </c>
      <c r="AS140" s="56"/>
      <c r="AV140" s="55">
        <f t="shared" si="771"/>
        <v>46141</v>
      </c>
      <c r="AW140" s="422"/>
      <c r="AX140" s="446">
        <f>SUMPRODUCT(PRODUCE!$B149:$DY149,PRODUCE!$EB$12:$IY$12)</f>
        <v>0</v>
      </c>
      <c r="AY140" s="422"/>
      <c r="AZ140" s="446">
        <f t="shared" si="772"/>
        <v>0</v>
      </c>
      <c r="BA140" s="446">
        <f t="shared" si="773"/>
        <v>37786.299999999996</v>
      </c>
      <c r="BB140" s="56"/>
      <c r="BE140" s="55">
        <f t="shared" si="774"/>
        <v>46141</v>
      </c>
      <c r="BF140" s="422">
        <v>557.4</v>
      </c>
      <c r="BG140" s="448">
        <f>SUMPRODUCT(PRODUCE!$B149:$DY149,PRODUCE!$EB$13:$IY$13)</f>
        <v>0</v>
      </c>
      <c r="BH140" s="422"/>
      <c r="BI140" s="448">
        <f t="shared" si="775"/>
        <v>0</v>
      </c>
      <c r="BJ140" s="448">
        <f t="shared" si="776"/>
        <v>29837.599999999988</v>
      </c>
      <c r="BK140" s="56"/>
      <c r="BN140" s="55">
        <f t="shared" si="777"/>
        <v>46141</v>
      </c>
      <c r="BO140" s="422"/>
      <c r="BP140" s="450">
        <f>SUMPRODUCT(PRODUCE!$B149:$DY149,PRODUCE!$EB$14:$IY$14)</f>
        <v>0</v>
      </c>
      <c r="BQ140" s="422"/>
      <c r="BR140" s="450">
        <f t="shared" si="778"/>
        <v>0</v>
      </c>
      <c r="BS140" s="450">
        <f t="shared" si="779"/>
        <v>0</v>
      </c>
      <c r="BT140" s="56"/>
      <c r="BW140" s="55">
        <f t="shared" si="780"/>
        <v>46141</v>
      </c>
      <c r="BX140" s="56"/>
      <c r="BY140" s="65">
        <f>SUMPRODUCT(PRODUCE!$B149:$DY149,PRODUCE!$EB$15:$IY$15)</f>
        <v>0</v>
      </c>
      <c r="BZ140" s="56"/>
      <c r="CA140" s="65">
        <f t="shared" si="781"/>
        <v>0</v>
      </c>
      <c r="CB140" s="65">
        <f t="shared" si="782"/>
        <v>6153.7999999999993</v>
      </c>
      <c r="CC140" s="56"/>
      <c r="CF140" s="55">
        <f t="shared" si="783"/>
        <v>46141</v>
      </c>
      <c r="CG140" s="56"/>
      <c r="CH140" s="66">
        <f>SUMPRODUCT(PRODUCE!$B149:$DY149,PRODUCE!$EB$16:$IY$16)</f>
        <v>0</v>
      </c>
      <c r="CI140" s="56"/>
      <c r="CJ140" s="66">
        <f t="shared" si="784"/>
        <v>0</v>
      </c>
      <c r="CK140" s="66">
        <f t="shared" si="785"/>
        <v>0</v>
      </c>
      <c r="CL140" s="56"/>
      <c r="CO140" s="55">
        <f t="shared" si="786"/>
        <v>46141</v>
      </c>
      <c r="CP140" s="422"/>
      <c r="CQ140" s="470">
        <f>SUMPRODUCT(PRODUCE!$B149:$DY149,PRODUCE!$EB$17:$IY$17)</f>
        <v>0</v>
      </c>
      <c r="CR140" s="422"/>
      <c r="CS140" s="470">
        <f t="shared" si="787"/>
        <v>0</v>
      </c>
      <c r="CT140" s="470">
        <f t="shared" si="788"/>
        <v>0</v>
      </c>
      <c r="CU140" s="56"/>
      <c r="CX140" s="55">
        <f t="shared" si="789"/>
        <v>46141</v>
      </c>
      <c r="CY140" s="56"/>
      <c r="CZ140" s="133">
        <f>SUMPRODUCT(PRODUCE!$B149:$DY149,PRODUCE!$EB$18:$IY$18)</f>
        <v>0</v>
      </c>
      <c r="DA140" s="56"/>
      <c r="DB140" s="133">
        <f t="shared" si="790"/>
        <v>0</v>
      </c>
      <c r="DC140" s="133">
        <f t="shared" si="791"/>
        <v>24158.300000000003</v>
      </c>
      <c r="DD140" s="56"/>
      <c r="DG140" s="55">
        <f t="shared" si="792"/>
        <v>46141</v>
      </c>
      <c r="DH140" s="56"/>
      <c r="DI140" s="147">
        <f>SUMPRODUCT(PRODUCE!$B149:$DY149,PRODUCE!$EB$19:$IY$19)</f>
        <v>0</v>
      </c>
      <c r="DJ140" s="56"/>
      <c r="DK140" s="147">
        <f t="shared" si="793"/>
        <v>0</v>
      </c>
      <c r="DL140" s="147">
        <f t="shared" si="794"/>
        <v>43939.999999999985</v>
      </c>
      <c r="DM140" s="56"/>
      <c r="DP140" s="55">
        <f t="shared" si="795"/>
        <v>46141</v>
      </c>
      <c r="DQ140" s="56"/>
      <c r="DR140" s="57">
        <f>SUMPRODUCT(PRODUCE!$B149:$DY149,PRODUCE!$EB$20:$IY$20)</f>
        <v>0</v>
      </c>
      <c r="DS140" s="56"/>
      <c r="DT140" s="57">
        <f t="shared" si="796"/>
        <v>0</v>
      </c>
      <c r="DU140" s="57">
        <f t="shared" si="797"/>
        <v>5800</v>
      </c>
      <c r="DV140" s="56"/>
      <c r="DY140" s="55">
        <f t="shared" si="798"/>
        <v>46141</v>
      </c>
      <c r="DZ140" s="56"/>
      <c r="EA140" s="157">
        <f>SUMPRODUCT(PRODUCE!$B149:$DY149,PRODUCE!$EB$21:$IY$21)</f>
        <v>0</v>
      </c>
      <c r="EB140" s="56">
        <v>147.30000000000001</v>
      </c>
      <c r="EC140" s="157">
        <f t="shared" si="799"/>
        <v>-147.30000000000001</v>
      </c>
      <c r="ED140" s="157">
        <f t="shared" si="800"/>
        <v>0</v>
      </c>
      <c r="EE140" s="56"/>
      <c r="EH140" s="55">
        <f t="shared" si="801"/>
        <v>46141</v>
      </c>
      <c r="EI140" s="56"/>
      <c r="EJ140" s="162">
        <f>SUMPRODUCT(PRODUCE!$B149:$DY149,PRODUCE!$EB$22:$IY$22)</f>
        <v>0</v>
      </c>
      <c r="EK140" s="56"/>
      <c r="EL140" s="162">
        <f t="shared" si="802"/>
        <v>0</v>
      </c>
      <c r="EM140" s="162">
        <f t="shared" si="803"/>
        <v>0</v>
      </c>
      <c r="EN140" s="56"/>
      <c r="EQ140" s="55">
        <f t="shared" si="804"/>
        <v>46141</v>
      </c>
      <c r="ER140" s="56"/>
      <c r="ES140" s="135">
        <f>SUMPRODUCT(PRODUCE!$B149:$DY149,PRODUCE!$EB$23:$IY$23)</f>
        <v>0</v>
      </c>
      <c r="ET140" s="56"/>
      <c r="EU140" s="135">
        <f t="shared" si="805"/>
        <v>0</v>
      </c>
      <c r="EV140" s="135">
        <f t="shared" si="806"/>
        <v>0</v>
      </c>
      <c r="EW140" s="56"/>
      <c r="EZ140" s="55">
        <f t="shared" si="807"/>
        <v>46141</v>
      </c>
      <c r="FA140" s="56"/>
      <c r="FB140" s="175">
        <f>SUMPRODUCT(PRODUCE!$B149:$DY149,PRODUCE!$EB$24:$IY$24)</f>
        <v>0</v>
      </c>
      <c r="FC140" s="56"/>
      <c r="FD140" s="175">
        <f t="shared" si="808"/>
        <v>0</v>
      </c>
      <c r="FE140" s="175">
        <f t="shared" si="809"/>
        <v>0</v>
      </c>
      <c r="FF140" s="56"/>
      <c r="FI140" s="55">
        <f t="shared" si="810"/>
        <v>46141</v>
      </c>
      <c r="FJ140" s="56"/>
      <c r="FK140" s="183">
        <f>SUMPRODUCT(PRODUCE!$B149:$DY149,PRODUCE!$EB$25:$IY$25)</f>
        <v>0</v>
      </c>
      <c r="FL140" s="56"/>
      <c r="FM140" s="183">
        <f t="shared" si="811"/>
        <v>0</v>
      </c>
      <c r="FN140" s="183">
        <f t="shared" si="812"/>
        <v>0</v>
      </c>
      <c r="FO140" s="56"/>
      <c r="FR140" s="55">
        <f t="shared" si="813"/>
        <v>46141</v>
      </c>
      <c r="FS140" s="422"/>
      <c r="FT140" s="452">
        <f>SUMPRODUCT(PRODUCE!$B149:$DY149,PRODUCE!$EB$26:$IY$26)</f>
        <v>0</v>
      </c>
      <c r="FU140" s="422"/>
      <c r="FV140" s="452">
        <f t="shared" si="814"/>
        <v>0</v>
      </c>
      <c r="FW140" s="452">
        <f t="shared" si="815"/>
        <v>2120</v>
      </c>
      <c r="FX140" s="56"/>
      <c r="GA140" s="55">
        <f t="shared" si="816"/>
        <v>46141</v>
      </c>
      <c r="GB140" s="422"/>
      <c r="GC140" s="454">
        <f>SUMPRODUCT(PRODUCE!$B149:$DY149,PRODUCE!$EB$27:$IY$27)</f>
        <v>0</v>
      </c>
      <c r="GD140" s="422"/>
      <c r="GE140" s="454">
        <f t="shared" si="817"/>
        <v>0</v>
      </c>
      <c r="GF140" s="454">
        <f t="shared" si="818"/>
        <v>4840</v>
      </c>
      <c r="GG140" s="56"/>
      <c r="GI140" s="23"/>
      <c r="GJ140" s="55">
        <f t="shared" si="819"/>
        <v>46141</v>
      </c>
      <c r="GK140" s="422"/>
      <c r="GL140" s="456">
        <f>SUMPRODUCT(PRODUCE!$B149:$DY149,PRODUCE!$EB$28:$IY$28)</f>
        <v>0</v>
      </c>
      <c r="GM140" s="422"/>
      <c r="GN140" s="456">
        <f t="shared" si="820"/>
        <v>0</v>
      </c>
      <c r="GO140" s="456">
        <f t="shared" si="821"/>
        <v>3280</v>
      </c>
      <c r="GP140" s="56"/>
      <c r="GS140" s="55">
        <f t="shared" si="822"/>
        <v>46141</v>
      </c>
      <c r="GT140" s="56"/>
      <c r="GU140" s="195">
        <f>SUMPRODUCT(PRODUCE!$B149:$DY149,PRODUCE!$EB$29:$IY$29)</f>
        <v>0</v>
      </c>
      <c r="GV140" s="56"/>
      <c r="GW140" s="195">
        <f t="shared" si="823"/>
        <v>0</v>
      </c>
      <c r="GX140" s="195">
        <f t="shared" si="824"/>
        <v>0</v>
      </c>
      <c r="GY140" s="56"/>
      <c r="HB140" s="55">
        <f t="shared" si="825"/>
        <v>46141</v>
      </c>
      <c r="HC140" s="56"/>
      <c r="HD140" s="191">
        <f>SUMPRODUCT(PRODUCE!$B149:$DY149,PRODUCE!$EB$30:$IY$30)</f>
        <v>0</v>
      </c>
      <c r="HE140" s="56"/>
      <c r="HF140" s="191">
        <f t="shared" si="826"/>
        <v>0</v>
      </c>
      <c r="HG140" s="191">
        <f t="shared" si="827"/>
        <v>0</v>
      </c>
      <c r="HH140" s="56"/>
      <c r="HK140" s="55">
        <f t="shared" si="828"/>
        <v>46141</v>
      </c>
      <c r="HL140" s="56"/>
      <c r="HM140" s="63">
        <f>SUMPRODUCT(PRODUCE!$B149:$DY149,PRODUCE!$EB$31:$IY$31)</f>
        <v>0</v>
      </c>
      <c r="HN140" s="56"/>
      <c r="HO140" s="63">
        <f t="shared" si="829"/>
        <v>0</v>
      </c>
      <c r="HP140" s="63">
        <f t="shared" si="830"/>
        <v>0</v>
      </c>
      <c r="HQ140" s="56"/>
      <c r="HU140" s="55">
        <f t="shared" si="831"/>
        <v>46141</v>
      </c>
      <c r="HV140" s="56"/>
      <c r="HW140" s="242">
        <f>SUMPRODUCT(PRODUCE!$B149:$DY149,PRODUCE!$EB$32:$IY$32)</f>
        <v>0</v>
      </c>
      <c r="HX140" s="56"/>
      <c r="HY140" s="242">
        <f t="shared" si="832"/>
        <v>0</v>
      </c>
      <c r="HZ140" s="242">
        <f t="shared" si="833"/>
        <v>4760</v>
      </c>
      <c r="IA140" s="56"/>
      <c r="ID140" s="55">
        <f t="shared" si="834"/>
        <v>46141</v>
      </c>
      <c r="IE140" s="56"/>
      <c r="IF140" s="242">
        <f>SUMPRODUCT(PRODUCE!$B149:$DY149,PRODUCE!$EB$33:$IY$33)</f>
        <v>0</v>
      </c>
      <c r="IG140" s="56"/>
      <c r="IH140" s="242">
        <f t="shared" si="835"/>
        <v>0</v>
      </c>
      <c r="II140" s="242">
        <f t="shared" si="836"/>
        <v>6540</v>
      </c>
      <c r="IJ140" s="56"/>
      <c r="IM140" s="55">
        <f t="shared" si="837"/>
        <v>46141</v>
      </c>
      <c r="IN140" s="56"/>
      <c r="IO140" s="242">
        <f>SUMPRODUCT(PRODUCE!$B149:$DY149,PRODUCE!$EB$34:$IY$34)</f>
        <v>0</v>
      </c>
      <c r="IP140" s="56"/>
      <c r="IQ140" s="242">
        <f t="shared" si="838"/>
        <v>0</v>
      </c>
      <c r="IR140" s="242">
        <f t="shared" si="839"/>
        <v>11540</v>
      </c>
      <c r="IS140" s="56"/>
      <c r="IV140" s="55">
        <f t="shared" si="840"/>
        <v>46141</v>
      </c>
      <c r="IW140" s="56"/>
      <c r="IX140" s="242">
        <f>SUMPRODUCT(PRODUCE!$B149:$DY149,PRODUCE!$EB$35:$IY$35)</f>
        <v>0</v>
      </c>
      <c r="IY140" s="56"/>
      <c r="IZ140" s="242">
        <f t="shared" si="841"/>
        <v>0</v>
      </c>
      <c r="JA140" s="242">
        <f t="shared" si="842"/>
        <v>15120</v>
      </c>
      <c r="JB140" s="56"/>
      <c r="JE140" s="55">
        <f t="shared" si="843"/>
        <v>46141</v>
      </c>
      <c r="JF140" s="56"/>
      <c r="JG140" s="242">
        <f>SUMPRODUCT(PRODUCE!$B149:$DY149,PRODUCE!$EB$36:$IY$36)</f>
        <v>0</v>
      </c>
      <c r="JH140" s="56"/>
      <c r="JI140" s="242">
        <f t="shared" si="844"/>
        <v>0</v>
      </c>
      <c r="JJ140" s="242">
        <f t="shared" si="845"/>
        <v>4360</v>
      </c>
      <c r="JK140" s="56"/>
      <c r="JN140" s="55">
        <f t="shared" si="846"/>
        <v>46141</v>
      </c>
      <c r="JO140" s="56"/>
      <c r="JP140" s="242">
        <f>SUMPRODUCT(PRODUCE!$B149:$DY149,PRODUCE!$EB$37:$IY$37)</f>
        <v>0</v>
      </c>
      <c r="JQ140" s="56"/>
      <c r="JR140" s="242">
        <f t="shared" si="847"/>
        <v>0</v>
      </c>
      <c r="JS140" s="242">
        <f t="shared" si="848"/>
        <v>9100</v>
      </c>
      <c r="JT140" s="56"/>
      <c r="JW140" s="55">
        <f t="shared" si="849"/>
        <v>46141</v>
      </c>
      <c r="JX140" s="56"/>
      <c r="JY140" s="242">
        <f>SUMPRODUCT(PRODUCE!$B149:$DY149,PRODUCE!$EB$38:$IY$38)</f>
        <v>0</v>
      </c>
      <c r="JZ140" s="56"/>
      <c r="KA140" s="242">
        <f t="shared" si="850"/>
        <v>0</v>
      </c>
      <c r="KB140" s="242">
        <f t="shared" si="851"/>
        <v>2540</v>
      </c>
      <c r="KC140" s="56"/>
      <c r="KF140" s="55">
        <f t="shared" si="852"/>
        <v>46141</v>
      </c>
      <c r="KG140" s="56"/>
      <c r="KH140" s="242">
        <f>SUMPRODUCT(PRODUCE!$B149:$DY149,PRODUCE!$EB$39:$IY$39)</f>
        <v>0</v>
      </c>
      <c r="KI140" s="56"/>
      <c r="KJ140" s="242">
        <f t="shared" si="853"/>
        <v>0</v>
      </c>
      <c r="KK140" s="242">
        <f t="shared" si="854"/>
        <v>19.5</v>
      </c>
      <c r="KL140" s="56"/>
      <c r="KO140" s="55">
        <f t="shared" si="855"/>
        <v>46141</v>
      </c>
      <c r="KP140" s="56"/>
      <c r="KQ140" s="242">
        <f>SUMPRODUCT(PRODUCE!$B149:$DY149,PRODUCE!$EB$40:$IY$40)</f>
        <v>0</v>
      </c>
      <c r="KR140" s="56"/>
      <c r="KS140" s="242">
        <f t="shared" si="856"/>
        <v>0</v>
      </c>
      <c r="KT140" s="242">
        <f t="shared" si="857"/>
        <v>3024</v>
      </c>
      <c r="KU140" s="56"/>
      <c r="KW140" s="23"/>
      <c r="KX140" s="55">
        <f t="shared" si="858"/>
        <v>46141</v>
      </c>
      <c r="KY140" s="56"/>
      <c r="KZ140" s="242">
        <f>SUMPRODUCT(PRODUCE!$B149:$DY149,PRODUCE!$EB$41:$IY$41)</f>
        <v>0</v>
      </c>
      <c r="LA140" s="56"/>
      <c r="LB140" s="242">
        <f t="shared" si="859"/>
        <v>0</v>
      </c>
      <c r="LC140" s="242">
        <f t="shared" si="860"/>
        <v>6150</v>
      </c>
      <c r="LD140" s="56"/>
      <c r="LG140" s="55">
        <f t="shared" si="861"/>
        <v>46141</v>
      </c>
      <c r="LH140" s="56"/>
      <c r="LI140" s="242">
        <f>SUMPRODUCT(PRODUCE!$B149:$DY149,PRODUCE!$EB$42:$IY$42)</f>
        <v>0</v>
      </c>
      <c r="LJ140" s="56"/>
      <c r="LK140" s="242">
        <f t="shared" si="862"/>
        <v>0</v>
      </c>
      <c r="LL140" s="242">
        <f t="shared" si="863"/>
        <v>4000</v>
      </c>
      <c r="LM140" s="56"/>
      <c r="LP140" s="55">
        <f t="shared" si="864"/>
        <v>46141</v>
      </c>
      <c r="LQ140" s="56"/>
      <c r="LR140" s="242">
        <f>SUMPRODUCT(PRODUCE!$B155:$DY155,PRODUCE!$EB$43:$IY$43)</f>
        <v>0</v>
      </c>
      <c r="LS140" s="56"/>
      <c r="LT140" s="242">
        <f t="shared" si="865"/>
        <v>0</v>
      </c>
      <c r="LU140" s="242">
        <f t="shared" si="866"/>
        <v>0</v>
      </c>
      <c r="LV140" s="56"/>
      <c r="LY140" s="55">
        <f t="shared" si="867"/>
        <v>46141</v>
      </c>
      <c r="LZ140" s="56"/>
      <c r="MA140" s="242">
        <f>SUMPRODUCT(PRODUCE!$B149:$DY149,PRODUCE!$EB$44:$IY$44)</f>
        <v>0</v>
      </c>
      <c r="MB140" s="56"/>
      <c r="MC140" s="242">
        <f t="shared" si="868"/>
        <v>0</v>
      </c>
      <c r="MD140" s="242">
        <f t="shared" si="869"/>
        <v>0</v>
      </c>
      <c r="ME140" s="56"/>
      <c r="MH140" s="55">
        <f t="shared" si="870"/>
        <v>46141</v>
      </c>
      <c r="MI140" s="56"/>
      <c r="MJ140" s="242">
        <f>SUMPRODUCT(PRODUCE!$B149:$DY149,PRODUCE!$EB$45:$IY$45)</f>
        <v>0</v>
      </c>
      <c r="MK140" s="56"/>
      <c r="ML140" s="242">
        <f t="shared" si="871"/>
        <v>0</v>
      </c>
      <c r="MM140" s="242">
        <f t="shared" si="872"/>
        <v>0</v>
      </c>
      <c r="MN140" s="56"/>
      <c r="MQ140" s="55">
        <f t="shared" si="873"/>
        <v>46141</v>
      </c>
      <c r="MR140" s="56"/>
      <c r="MS140" s="242">
        <f>SUMPRODUCT(PRODUCE!$B149:$DY149,PRODUCE!$EB$46:$IY$46)</f>
        <v>0</v>
      </c>
      <c r="MT140" s="56"/>
      <c r="MU140" s="242">
        <f t="shared" si="874"/>
        <v>0</v>
      </c>
      <c r="MV140" s="242">
        <f t="shared" si="875"/>
        <v>3973</v>
      </c>
      <c r="MW140" s="56"/>
      <c r="MZ140" s="55">
        <f t="shared" si="876"/>
        <v>46141</v>
      </c>
      <c r="NA140" s="56"/>
      <c r="NB140" s="242">
        <f>SUMPRODUCT(PRODUCE!$B149:$DY149,PRODUCE!$EB$47:$IY$47)</f>
        <v>0</v>
      </c>
      <c r="NC140" s="56"/>
      <c r="ND140" s="242">
        <f t="shared" si="877"/>
        <v>0</v>
      </c>
      <c r="NE140" s="242">
        <f t="shared" si="878"/>
        <v>0</v>
      </c>
      <c r="NF140" s="56"/>
      <c r="NI140" s="55">
        <f t="shared" si="879"/>
        <v>46141</v>
      </c>
      <c r="NJ140" s="56"/>
      <c r="NK140" s="242">
        <f>SUMPRODUCT(PRODUCE!$B149:$DY149,PRODUCE!$EB$48:$IY$48)</f>
        <v>0</v>
      </c>
      <c r="NL140" s="56"/>
      <c r="NM140" s="242">
        <f t="shared" si="880"/>
        <v>0</v>
      </c>
      <c r="NN140" s="242">
        <f t="shared" si="881"/>
        <v>1187</v>
      </c>
      <c r="NO140" s="56"/>
      <c r="NR140" s="55">
        <f t="shared" si="882"/>
        <v>46141</v>
      </c>
      <c r="NS140" s="56"/>
      <c r="NT140" s="242">
        <f>SUMPRODUCT(PRODUCE!$B149:$DY149,PRODUCE!$EB$49:$IY$49)</f>
        <v>0</v>
      </c>
      <c r="NU140" s="56"/>
      <c r="NV140" s="242">
        <f t="shared" si="883"/>
        <v>0</v>
      </c>
      <c r="NW140" s="242">
        <f t="shared" si="884"/>
        <v>3182.8999999999996</v>
      </c>
      <c r="NX140" s="56"/>
      <c r="OA140" s="55">
        <f t="shared" si="885"/>
        <v>46141</v>
      </c>
      <c r="OB140" s="56"/>
      <c r="OC140" s="242">
        <f>SUMPRODUCT(PRODUCE!$B149:$DY149,PRODUCE!$EB$50:$IY$50)</f>
        <v>0</v>
      </c>
      <c r="OD140" s="56"/>
      <c r="OE140" s="242">
        <f t="shared" si="886"/>
        <v>0</v>
      </c>
      <c r="OF140" s="242">
        <f t="shared" si="887"/>
        <v>1680.5</v>
      </c>
      <c r="OG140" s="56"/>
      <c r="OJ140" s="55">
        <f t="shared" si="888"/>
        <v>46141</v>
      </c>
      <c r="OK140" s="56"/>
      <c r="OL140" s="242">
        <f>SUMPRODUCT(PRODUCE!$B149:$DY149,PRODUCE!$EB$51:$IY$51)</f>
        <v>0</v>
      </c>
      <c r="OM140" s="56"/>
      <c r="ON140" s="242">
        <f t="shared" si="889"/>
        <v>0</v>
      </c>
      <c r="OO140" s="242">
        <f t="shared" si="890"/>
        <v>0</v>
      </c>
      <c r="OP140" s="56"/>
      <c r="OS140" s="55">
        <f t="shared" si="891"/>
        <v>46141</v>
      </c>
      <c r="OT140" s="56"/>
      <c r="OU140" s="242">
        <f>SUMPRODUCT(PRODUCE!$B149:$DY149,PRODUCE!$EB$52:$IY$52)</f>
        <v>0</v>
      </c>
      <c r="OV140" s="56"/>
      <c r="OW140" s="242">
        <f t="shared" si="892"/>
        <v>0</v>
      </c>
      <c r="OX140" s="242">
        <f t="shared" si="893"/>
        <v>982</v>
      </c>
      <c r="OY140" s="56"/>
      <c r="PB140" s="55">
        <f t="shared" si="894"/>
        <v>46141</v>
      </c>
      <c r="PC140" s="56"/>
      <c r="PD140" s="242">
        <f>SUMPRODUCT(PRODUCE!$B149:$DY149,PRODUCE!$EB$53:$IY$53)</f>
        <v>0</v>
      </c>
      <c r="PE140" s="56"/>
      <c r="PF140" s="242">
        <f t="shared" si="895"/>
        <v>0</v>
      </c>
      <c r="PG140" s="242">
        <f t="shared" si="896"/>
        <v>0</v>
      </c>
      <c r="PH140" s="56"/>
      <c r="PK140" s="55">
        <f t="shared" si="897"/>
        <v>46141</v>
      </c>
      <c r="PL140" s="56"/>
      <c r="PM140" s="242">
        <f>SUMPRODUCT(PRODUCE!$B149:$DY149,PRODUCE!$EB$54:$IY$54)</f>
        <v>0</v>
      </c>
      <c r="PN140" s="56"/>
      <c r="PO140" s="242">
        <f t="shared" si="898"/>
        <v>0</v>
      </c>
      <c r="PP140" s="242">
        <f t="shared" si="899"/>
        <v>100</v>
      </c>
      <c r="PQ140" s="56"/>
      <c r="PT140" s="55">
        <f t="shared" si="900"/>
        <v>46141</v>
      </c>
      <c r="PU140" s="56"/>
      <c r="PV140" s="242">
        <f>SUMPRODUCT(PRODUCE!$B149:$DY149,PRODUCE!$EB$55:$IY$55)</f>
        <v>0</v>
      </c>
      <c r="PW140" s="56"/>
      <c r="PX140" s="242">
        <f t="shared" si="901"/>
        <v>0</v>
      </c>
      <c r="PY140" s="242">
        <f t="shared" si="902"/>
        <v>13.960000000000036</v>
      </c>
      <c r="PZ140" s="56"/>
      <c r="QC140" s="55">
        <f t="shared" si="903"/>
        <v>46141</v>
      </c>
      <c r="QD140" s="56"/>
      <c r="QE140" s="242">
        <f>SUMPRODUCT(PRODUCE!$B149:$DY149,PRODUCE!$EB$56:$IY$56)</f>
        <v>0</v>
      </c>
      <c r="QF140" s="56"/>
      <c r="QG140" s="242">
        <f t="shared" si="904"/>
        <v>0</v>
      </c>
      <c r="QH140" s="242">
        <f t="shared" si="905"/>
        <v>1076</v>
      </c>
      <c r="QI140" s="56"/>
      <c r="QL140" s="55">
        <f t="shared" si="906"/>
        <v>46141</v>
      </c>
      <c r="QM140" s="56"/>
      <c r="QN140" s="242">
        <f>SUMPRODUCT(PRODUCE!$B149:$DY149,PRODUCE!$EB$57:$IY$57)</f>
        <v>0</v>
      </c>
      <c r="QO140" s="56"/>
      <c r="QP140" s="242">
        <f t="shared" si="907"/>
        <v>0</v>
      </c>
      <c r="QQ140" s="242">
        <f t="shared" si="908"/>
        <v>400</v>
      </c>
      <c r="QR140" s="56"/>
      <c r="QU140" s="55">
        <f t="shared" si="909"/>
        <v>46141</v>
      </c>
      <c r="QV140" s="56"/>
      <c r="QW140" s="242">
        <f>SUMPRODUCT(PRODUCE!$B149:$DY149,PRODUCE!$EB$57:$IY$57)</f>
        <v>0</v>
      </c>
      <c r="QX140" s="56"/>
      <c r="QY140" s="242">
        <f t="shared" si="910"/>
        <v>0</v>
      </c>
      <c r="QZ140" s="242">
        <f t="shared" si="911"/>
        <v>207.6</v>
      </c>
      <c r="RA140" s="56"/>
      <c r="RD140" s="55">
        <f t="shared" si="912"/>
        <v>46141</v>
      </c>
      <c r="RE140" s="56"/>
      <c r="RF140" s="242">
        <f>SUMPRODUCT(PRODUCE!$B149:$DY149,PRODUCE!$EB$58:$IY$58)</f>
        <v>0</v>
      </c>
      <c r="RG140" s="56"/>
      <c r="RH140" s="242">
        <f t="shared" si="913"/>
        <v>0</v>
      </c>
      <c r="RI140" s="242">
        <f t="shared" si="914"/>
        <v>147.04000000000002</v>
      </c>
      <c r="RJ140" s="56"/>
      <c r="RM140" s="55">
        <f t="shared" si="915"/>
        <v>46141</v>
      </c>
      <c r="RN140" s="56"/>
      <c r="RO140" s="242">
        <f>SUMPRODUCT(PRODUCE!$B149:$DY149,PRODUCE!$EB$57:$IY$57)</f>
        <v>0</v>
      </c>
      <c r="RP140" s="56"/>
      <c r="RQ140" s="242">
        <f t="shared" si="916"/>
        <v>0</v>
      </c>
      <c r="RR140" s="242">
        <f t="shared" si="917"/>
        <v>46.8</v>
      </c>
      <c r="RS140" s="56"/>
      <c r="RV140" s="55">
        <f t="shared" si="918"/>
        <v>46141</v>
      </c>
      <c r="RW140" s="56"/>
      <c r="RX140" s="242">
        <f>SUMPRODUCT(PRODUCE!$B149:$DY149,PRODUCE!$EB$57:$IY$57)</f>
        <v>0</v>
      </c>
      <c r="RY140" s="56"/>
      <c r="RZ140" s="242">
        <f t="shared" si="919"/>
        <v>0</v>
      </c>
      <c r="SA140" s="242">
        <f t="shared" si="920"/>
        <v>0</v>
      </c>
      <c r="SB140" s="56"/>
      <c r="SE140" s="55">
        <f t="shared" si="921"/>
        <v>46141</v>
      </c>
      <c r="SF140" s="56"/>
      <c r="SG140" s="242">
        <f>SUMPRODUCT(PRODUCE!$B149:$DY149,PRODUCE!$EB$57:$IY$57)</f>
        <v>0</v>
      </c>
      <c r="SH140" s="56"/>
      <c r="SI140" s="242">
        <f t="shared" si="922"/>
        <v>0</v>
      </c>
      <c r="SJ140" s="242">
        <f t="shared" si="923"/>
        <v>24.200000000000003</v>
      </c>
      <c r="SK140" s="56"/>
      <c r="SN140" s="55">
        <f t="shared" si="924"/>
        <v>46141</v>
      </c>
      <c r="SO140" s="56"/>
      <c r="SP140" s="242">
        <f>SUMPRODUCT(PRODUCE!$B149:$DY149,PRODUCE!$EB$57:$IY$57)</f>
        <v>0</v>
      </c>
      <c r="SQ140" s="56"/>
      <c r="SR140" s="242">
        <f t="shared" si="925"/>
        <v>0</v>
      </c>
      <c r="SS140" s="242">
        <f t="shared" si="926"/>
        <v>32</v>
      </c>
      <c r="ST140" s="56"/>
      <c r="SW140" s="55">
        <f t="shared" si="927"/>
        <v>46141</v>
      </c>
      <c r="SX140" s="56"/>
      <c r="SY140" s="242">
        <f>SUMPRODUCT(PRODUCE!$B149:$DY149,PRODUCE!$EB$57:$IY$57)</f>
        <v>0</v>
      </c>
      <c r="SZ140" s="56"/>
      <c r="TA140" s="242">
        <f t="shared" si="928"/>
        <v>0</v>
      </c>
      <c r="TB140" s="242">
        <f t="shared" si="929"/>
        <v>0</v>
      </c>
      <c r="TC140" s="56"/>
      <c r="TF140" s="55">
        <f t="shared" si="930"/>
        <v>46141</v>
      </c>
      <c r="TG140" s="56"/>
      <c r="TH140" s="242">
        <f>SUMPRODUCT(PRODUCE!$B149:$DY149,PRODUCE!$EB$57:$IY$57)</f>
        <v>0</v>
      </c>
      <c r="TI140" s="56"/>
      <c r="TJ140" s="242">
        <f t="shared" si="931"/>
        <v>0</v>
      </c>
      <c r="TK140" s="242">
        <f t="shared" si="932"/>
        <v>0</v>
      </c>
      <c r="TL140" s="56"/>
      <c r="TO140" s="55">
        <f t="shared" si="933"/>
        <v>46141</v>
      </c>
      <c r="TP140" s="56"/>
      <c r="TQ140" s="242">
        <f>SUMPRODUCT(PRODUCE!$B149:$DY149,PRODUCE!$EB$57:$IY$57)</f>
        <v>0</v>
      </c>
      <c r="TR140" s="56"/>
      <c r="TS140" s="242">
        <f t="shared" si="934"/>
        <v>0</v>
      </c>
      <c r="TT140" s="242">
        <f t="shared" si="935"/>
        <v>0</v>
      </c>
      <c r="TU140" s="56"/>
      <c r="TX140" s="55">
        <f t="shared" si="936"/>
        <v>46141</v>
      </c>
      <c r="TY140" s="56"/>
      <c r="TZ140" s="242">
        <f>SUMPRODUCT(PRODUCE!$B149:$DY149,PRODUCE!$EB$57:$IY$57)</f>
        <v>0</v>
      </c>
      <c r="UA140" s="56"/>
      <c r="UB140" s="242">
        <f t="shared" si="937"/>
        <v>0</v>
      </c>
      <c r="UC140" s="242">
        <f t="shared" si="938"/>
        <v>0</v>
      </c>
      <c r="UD140" s="56"/>
      <c r="UG140" s="55">
        <f t="shared" si="939"/>
        <v>46141</v>
      </c>
      <c r="UH140" s="56"/>
      <c r="UI140" s="242">
        <f>SUMPRODUCT(PRODUCE!$B149:$DY149,PRODUCE!$EB$57:$IY$57)</f>
        <v>0</v>
      </c>
      <c r="UJ140" s="56"/>
      <c r="UK140" s="242">
        <f t="shared" si="940"/>
        <v>0</v>
      </c>
      <c r="UL140" s="242">
        <f t="shared" si="941"/>
        <v>0</v>
      </c>
      <c r="UM140" s="56"/>
      <c r="UP140" s="55">
        <f t="shared" si="942"/>
        <v>46141</v>
      </c>
      <c r="UQ140" s="56"/>
      <c r="UR140" s="242">
        <f>SUMPRODUCT(PRODUCE!$B149:$DY149,PRODUCE!$EB$57:$IY$57)</f>
        <v>0</v>
      </c>
      <c r="US140" s="56"/>
      <c r="UT140" s="242">
        <f t="shared" si="943"/>
        <v>0</v>
      </c>
      <c r="UU140" s="242">
        <f t="shared" si="944"/>
        <v>0</v>
      </c>
      <c r="UV140" s="56"/>
      <c r="UY140" s="55">
        <f t="shared" si="945"/>
        <v>46141</v>
      </c>
      <c r="UZ140" s="56"/>
      <c r="VA140" s="242">
        <f>SUMPRODUCT(PRODUCE!$B149:$DY149,PRODUCE!$EB$57:$IY$57)</f>
        <v>0</v>
      </c>
      <c r="VB140" s="56"/>
      <c r="VC140" s="242">
        <f t="shared" si="946"/>
        <v>0</v>
      </c>
      <c r="VD140" s="242">
        <f t="shared" si="947"/>
        <v>41.600000000000023</v>
      </c>
      <c r="VE140" s="56"/>
      <c r="VH140" s="55">
        <f t="shared" si="948"/>
        <v>46141</v>
      </c>
      <c r="VI140" s="56"/>
      <c r="VJ140" s="242">
        <f>SUMPRODUCT(PRODUCE!$B149:$DY149,PRODUCE!$EB$57:$IY$57)</f>
        <v>0</v>
      </c>
      <c r="VK140" s="56"/>
      <c r="VL140" s="242">
        <f t="shared" si="949"/>
        <v>0</v>
      </c>
      <c r="VM140" s="242">
        <f t="shared" si="950"/>
        <v>0</v>
      </c>
      <c r="VN140" s="56"/>
      <c r="VQ140" s="55">
        <f t="shared" si="951"/>
        <v>46141</v>
      </c>
      <c r="VR140" s="56"/>
      <c r="VS140" s="242">
        <f>SUMPRODUCT(PRODUCE!$B149:$DY149,PRODUCE!$EB$57:$IY$57)</f>
        <v>0</v>
      </c>
      <c r="VT140" s="56"/>
      <c r="VU140" s="242">
        <f t="shared" si="952"/>
        <v>0</v>
      </c>
      <c r="VV140" s="242">
        <f t="shared" si="953"/>
        <v>0</v>
      </c>
      <c r="VW140" s="56"/>
      <c r="VZ140" s="55">
        <f t="shared" si="954"/>
        <v>46141</v>
      </c>
      <c r="WA140" s="56"/>
      <c r="WB140" s="242">
        <f>SUMPRODUCT(PRODUCE!$B149:$DY149,PRODUCE!$EB$57:$IY$57)</f>
        <v>0</v>
      </c>
      <c r="WC140" s="56"/>
      <c r="WD140" s="242">
        <f t="shared" si="955"/>
        <v>0</v>
      </c>
      <c r="WE140" s="242">
        <f t="shared" si="956"/>
        <v>0</v>
      </c>
      <c r="WF140" s="56"/>
      <c r="WI140" s="55">
        <f t="shared" si="957"/>
        <v>46141</v>
      </c>
      <c r="WJ140" s="56"/>
      <c r="WK140" s="242">
        <f>SUMPRODUCT(PRODUCE!$B149:$DY149,PRODUCE!$EB$57:$IY$57)</f>
        <v>0</v>
      </c>
      <c r="WL140" s="56"/>
      <c r="WM140" s="242">
        <f t="shared" si="958"/>
        <v>0</v>
      </c>
      <c r="WN140" s="242">
        <f t="shared" si="959"/>
        <v>2317</v>
      </c>
      <c r="WO140" s="56"/>
      <c r="WR140" s="55">
        <f t="shared" si="960"/>
        <v>46141</v>
      </c>
      <c r="WS140" s="56"/>
      <c r="WT140" s="242">
        <f>SUMPRODUCT(PRODUCE!$B149:$DY149,PRODUCE!$EB$57:$IY$57)</f>
        <v>0</v>
      </c>
      <c r="WU140" s="56"/>
      <c r="WV140" s="242">
        <f t="shared" si="961"/>
        <v>0</v>
      </c>
      <c r="WW140" s="242">
        <f t="shared" si="962"/>
        <v>776</v>
      </c>
      <c r="WX140" s="56"/>
      <c r="XA140" s="55">
        <f t="shared" si="963"/>
        <v>46141</v>
      </c>
      <c r="XB140" s="56"/>
      <c r="XC140" s="242">
        <f>SUMPRODUCT(PRODUCE!$B149:$DY149,PRODUCE!$EB$57:$IY$57)</f>
        <v>0</v>
      </c>
      <c r="XD140" s="56"/>
      <c r="XE140" s="242">
        <f t="shared" si="964"/>
        <v>0</v>
      </c>
      <c r="XF140" s="242">
        <f t="shared" si="965"/>
        <v>13455</v>
      </c>
      <c r="XG140" s="56"/>
      <c r="XJ140" s="55">
        <f t="shared" si="966"/>
        <v>46141</v>
      </c>
      <c r="XK140" s="56"/>
      <c r="XL140" s="242">
        <f>SUMPRODUCT(PRODUCE!$B149:$DY149,PRODUCE!$EB$57:$IY$57)</f>
        <v>0</v>
      </c>
      <c r="XM140" s="56"/>
      <c r="XN140" s="242">
        <f t="shared" si="967"/>
        <v>0</v>
      </c>
      <c r="XO140" s="242">
        <f t="shared" si="968"/>
        <v>1872</v>
      </c>
      <c r="XP140" s="56"/>
      <c r="XS140" s="55">
        <f t="shared" si="969"/>
        <v>46141</v>
      </c>
      <c r="XT140" s="56"/>
      <c r="XU140" s="242">
        <f>SUMPRODUCT(PRODUCE!$B149:$DY149,PRODUCE!$EB$57:$IY$57)</f>
        <v>0</v>
      </c>
      <c r="XV140" s="56"/>
      <c r="XW140" s="242">
        <f t="shared" si="970"/>
        <v>0</v>
      </c>
      <c r="XX140" s="242">
        <f t="shared" si="971"/>
        <v>1901</v>
      </c>
      <c r="XY140" s="56"/>
      <c r="YB140" s="55">
        <f t="shared" si="972"/>
        <v>46141</v>
      </c>
      <c r="YC140" s="56"/>
      <c r="YD140" s="242">
        <f>SUMPRODUCT(PRODUCE!$B149:$DY149,PRODUCE!$EB$57:$IY$57)</f>
        <v>0</v>
      </c>
      <c r="YE140" s="56"/>
      <c r="YF140" s="242">
        <f t="shared" si="973"/>
        <v>0</v>
      </c>
      <c r="YG140" s="242">
        <f t="shared" si="974"/>
        <v>6459</v>
      </c>
      <c r="YH140" s="56"/>
      <c r="YK140" s="55">
        <f t="shared" si="975"/>
        <v>46141</v>
      </c>
      <c r="YL140" s="56"/>
      <c r="YM140" s="242">
        <f>SUMPRODUCT(PRODUCE!$B149:$DY149,PRODUCE!$EB$57:$IY$57)</f>
        <v>0</v>
      </c>
      <c r="YN140" s="56"/>
      <c r="YO140" s="242">
        <f t="shared" si="976"/>
        <v>0</v>
      </c>
      <c r="YP140" s="242">
        <f t="shared" si="977"/>
        <v>0</v>
      </c>
      <c r="YQ140" s="56"/>
      <c r="YT140" s="55">
        <f t="shared" si="978"/>
        <v>46141</v>
      </c>
      <c r="YU140" s="56"/>
      <c r="YV140" s="242">
        <f>SUMPRODUCT(PRODUCE!$B149:$DY149,PRODUCE!$EB$57:$IY$57)</f>
        <v>0</v>
      </c>
      <c r="YW140" s="56"/>
      <c r="YX140" s="242">
        <f t="shared" si="979"/>
        <v>0</v>
      </c>
      <c r="YY140" s="242">
        <f t="shared" si="980"/>
        <v>0</v>
      </c>
      <c r="YZ140" s="56"/>
      <c r="ZC140" s="55">
        <f t="shared" si="981"/>
        <v>46141</v>
      </c>
      <c r="ZD140" s="56"/>
      <c r="ZE140" s="242">
        <f>SUMPRODUCT(PRODUCE!$B149:$DY149,PRODUCE!$EB$57:$IY$57)</f>
        <v>0</v>
      </c>
      <c r="ZF140" s="56"/>
      <c r="ZG140" s="242">
        <f t="shared" si="982"/>
        <v>0</v>
      </c>
      <c r="ZH140" s="242">
        <f t="shared" si="983"/>
        <v>0</v>
      </c>
      <c r="ZI140" s="56"/>
      <c r="ZL140" s="55">
        <f t="shared" si="984"/>
        <v>46141</v>
      </c>
      <c r="ZM140" s="56"/>
      <c r="ZN140" s="242">
        <f>SUMPRODUCT(PRODUCE!$B149:$DY149,PRODUCE!$EB$57:$IY$57)</f>
        <v>0</v>
      </c>
      <c r="ZO140" s="56"/>
      <c r="ZP140" s="242">
        <f t="shared" si="985"/>
        <v>0</v>
      </c>
      <c r="ZQ140" s="242">
        <f t="shared" si="986"/>
        <v>0</v>
      </c>
      <c r="ZR140" s="56"/>
      <c r="ZU140" s="55">
        <f t="shared" si="987"/>
        <v>46141</v>
      </c>
      <c r="ZV140" s="56"/>
      <c r="ZW140" s="242">
        <f>SUMPRODUCT(PRODUCE!$B149:$DY149,PRODUCE!$EB$57:$IY$57)</f>
        <v>0</v>
      </c>
      <c r="ZX140" s="56"/>
      <c r="ZY140" s="242">
        <f t="shared" si="988"/>
        <v>0</v>
      </c>
      <c r="ZZ140" s="242">
        <f t="shared" si="989"/>
        <v>0</v>
      </c>
      <c r="AAA140" s="56"/>
      <c r="AAD140" s="55">
        <f t="shared" si="990"/>
        <v>46141</v>
      </c>
      <c r="AAE140" s="56"/>
      <c r="AAF140" s="242">
        <f>SUMPRODUCT(PRODUCE!$B149:$DY149,PRODUCE!$EB$57:$IY$57)</f>
        <v>0</v>
      </c>
      <c r="AAG140" s="56"/>
      <c r="AAH140" s="242">
        <f t="shared" si="991"/>
        <v>0</v>
      </c>
      <c r="AAI140" s="242">
        <f t="shared" si="992"/>
        <v>0</v>
      </c>
      <c r="AAJ140" s="56"/>
      <c r="AAM140" s="55">
        <f t="shared" si="993"/>
        <v>46141</v>
      </c>
      <c r="AAN140" s="56"/>
      <c r="AAO140" s="242">
        <f>SUMPRODUCT(PRODUCE!$B149:$DY149,PRODUCE!$EB$57:$IY$57)</f>
        <v>0</v>
      </c>
      <c r="AAP140" s="56"/>
      <c r="AAQ140" s="242">
        <f t="shared" si="994"/>
        <v>0</v>
      </c>
      <c r="AAR140" s="242">
        <f t="shared" si="995"/>
        <v>0</v>
      </c>
      <c r="AAS140" s="56"/>
      <c r="AAV140" s="55">
        <f t="shared" si="996"/>
        <v>46141</v>
      </c>
      <c r="AAW140" s="56"/>
      <c r="AAX140" s="242">
        <f>SUMPRODUCT(PRODUCE!$B149:$DY149,PRODUCE!$EB$57:$IY$57)</f>
        <v>0</v>
      </c>
      <c r="AAY140" s="56"/>
      <c r="AAZ140" s="242">
        <f t="shared" si="997"/>
        <v>0</v>
      </c>
      <c r="ABA140" s="242">
        <f t="shared" si="998"/>
        <v>0</v>
      </c>
      <c r="ABB140" s="56"/>
      <c r="ABE140" s="55">
        <f t="shared" si="999"/>
        <v>46141</v>
      </c>
      <c r="ABF140" s="56"/>
      <c r="ABG140" s="242">
        <f>SUMPRODUCT(PRODUCE!$B149:$DY149,PRODUCE!$EB$57:$IY$57)</f>
        <v>0</v>
      </c>
      <c r="ABH140" s="56"/>
      <c r="ABI140" s="242">
        <f t="shared" si="1000"/>
        <v>0</v>
      </c>
      <c r="ABJ140" s="242">
        <f t="shared" si="1001"/>
        <v>0</v>
      </c>
      <c r="ABK140" s="56"/>
    </row>
    <row r="141" spans="1:739" s="54" customFormat="1" ht="15" customHeight="1" outlineLevel="1" thickBot="1">
      <c r="B141" s="478">
        <v>20</v>
      </c>
      <c r="C141" s="55">
        <v>46142</v>
      </c>
      <c r="D141" s="422">
        <v>27290</v>
      </c>
      <c r="E141" s="423">
        <f>SUMPRODUCT(PRODUCE!$B150:$DY150,PRODUCE!$EB$7:$IY$7)</f>
        <v>10766.400000000003</v>
      </c>
      <c r="F141" s="422">
        <v>10772.4</v>
      </c>
      <c r="G141" s="423">
        <f t="shared" si="1002"/>
        <v>-5.999999999996362</v>
      </c>
      <c r="H141" s="423">
        <f t="shared" si="1003"/>
        <v>168368.40000000005</v>
      </c>
      <c r="I141" s="289" t="s">
        <v>257</v>
      </c>
      <c r="L141" s="55">
        <f t="shared" si="759"/>
        <v>46142</v>
      </c>
      <c r="M141" s="422">
        <v>670</v>
      </c>
      <c r="N141" s="438">
        <f>SUMPRODUCT(PRODUCE!$B150:$DY150,PRODUCE!$EB$8:$IY$8)</f>
        <v>5712</v>
      </c>
      <c r="O141" s="422">
        <v>5713.8</v>
      </c>
      <c r="P141" s="438">
        <f t="shared" si="760"/>
        <v>-1.8000000000001819</v>
      </c>
      <c r="Q141" s="438">
        <f t="shared" si="761"/>
        <v>63275.80000000009</v>
      </c>
      <c r="R141" s="56"/>
      <c r="U141" s="55">
        <f t="shared" si="762"/>
        <v>46142</v>
      </c>
      <c r="V141" s="422"/>
      <c r="W141" s="440">
        <f>SUMPRODUCT(PRODUCE!$B150:$DY150,PRODUCE!$EB$9:$IY$9)</f>
        <v>1000</v>
      </c>
      <c r="X141" s="422">
        <v>700.4</v>
      </c>
      <c r="Y141" s="440">
        <f t="shared" si="763"/>
        <v>299.60000000000002</v>
      </c>
      <c r="Z141" s="440">
        <f t="shared" si="764"/>
        <v>31017.199999999972</v>
      </c>
      <c r="AA141" s="56"/>
      <c r="AD141" s="55">
        <f t="shared" si="765"/>
        <v>46142</v>
      </c>
      <c r="AE141" s="422"/>
      <c r="AF141" s="442">
        <f>SUMPRODUCT(PRODUCE!$B150:$DY150,PRODUCE!$EB$10:$IY$10)</f>
        <v>0</v>
      </c>
      <c r="AG141" s="422"/>
      <c r="AH141" s="442">
        <f t="shared" si="766"/>
        <v>0</v>
      </c>
      <c r="AI141" s="442">
        <f t="shared" si="767"/>
        <v>13032.500000000016</v>
      </c>
      <c r="AJ141" s="56"/>
      <c r="AM141" s="55">
        <f t="shared" si="768"/>
        <v>46142</v>
      </c>
      <c r="AN141" s="422"/>
      <c r="AO141" s="444">
        <f>SUMPRODUCT(PRODUCE!$B150:$DY150,PRODUCE!$EB$11:$IY$11)</f>
        <v>0</v>
      </c>
      <c r="AP141" s="422"/>
      <c r="AQ141" s="444">
        <f t="shared" si="769"/>
        <v>0</v>
      </c>
      <c r="AR141" s="444">
        <f t="shared" si="770"/>
        <v>0</v>
      </c>
      <c r="AS141" s="56"/>
      <c r="AV141" s="55">
        <f t="shared" si="771"/>
        <v>46142</v>
      </c>
      <c r="AW141" s="422"/>
      <c r="AX141" s="446">
        <f>SUMPRODUCT(PRODUCE!$B150:$DY150,PRODUCE!$EB$12:$IY$12)</f>
        <v>400</v>
      </c>
      <c r="AY141" s="422">
        <v>399.1</v>
      </c>
      <c r="AZ141" s="446">
        <f t="shared" si="772"/>
        <v>0.89999999999997726</v>
      </c>
      <c r="BA141" s="446">
        <f t="shared" si="773"/>
        <v>37387.199999999997</v>
      </c>
      <c r="BB141" s="56"/>
      <c r="BE141" s="55">
        <f t="shared" si="774"/>
        <v>46142</v>
      </c>
      <c r="BF141" s="422"/>
      <c r="BG141" s="448">
        <f>SUMPRODUCT(PRODUCE!$B150:$DY150,PRODUCE!$EB$13:$IY$13)</f>
        <v>300</v>
      </c>
      <c r="BH141" s="422">
        <v>300.39999999999998</v>
      </c>
      <c r="BI141" s="448">
        <f t="shared" si="775"/>
        <v>-0.39999999999997726</v>
      </c>
      <c r="BJ141" s="448">
        <f t="shared" si="776"/>
        <v>29537.199999999986</v>
      </c>
      <c r="BK141" s="56"/>
      <c r="BN141" s="55">
        <f t="shared" si="777"/>
        <v>46142</v>
      </c>
      <c r="BO141" s="422">
        <v>199.9</v>
      </c>
      <c r="BP141" s="450">
        <f>SUMPRODUCT(PRODUCE!$B150:$DY150,PRODUCE!$EB$14:$IY$14)</f>
        <v>200</v>
      </c>
      <c r="BQ141" s="422">
        <v>199.9</v>
      </c>
      <c r="BR141" s="450">
        <f t="shared" si="778"/>
        <v>9.9999999999994316E-2</v>
      </c>
      <c r="BS141" s="450">
        <f t="shared" si="779"/>
        <v>0</v>
      </c>
      <c r="BT141" s="56"/>
      <c r="BW141" s="55">
        <f t="shared" si="780"/>
        <v>46142</v>
      </c>
      <c r="BX141" s="56"/>
      <c r="BY141" s="65">
        <f>SUMPRODUCT(PRODUCE!$B150:$DY150,PRODUCE!$EB$15:$IY$15)</f>
        <v>30</v>
      </c>
      <c r="BZ141" s="56">
        <f>275+30</f>
        <v>305</v>
      </c>
      <c r="CA141" s="65">
        <f t="shared" si="781"/>
        <v>-275</v>
      </c>
      <c r="CB141" s="65">
        <f t="shared" si="782"/>
        <v>5848.7999999999993</v>
      </c>
      <c r="CC141" s="56"/>
      <c r="CF141" s="55">
        <f t="shared" si="783"/>
        <v>46142</v>
      </c>
      <c r="CG141" s="56">
        <v>1645.6</v>
      </c>
      <c r="CH141" s="66">
        <f>SUMPRODUCT(PRODUCE!$B150:$DY150,PRODUCE!$EB$16:$IY$16)</f>
        <v>121.59999999999998</v>
      </c>
      <c r="CI141" s="56">
        <f>450+121.6+3.6+770.4+300</f>
        <v>1645.6</v>
      </c>
      <c r="CJ141" s="66">
        <f t="shared" si="784"/>
        <v>-1524</v>
      </c>
      <c r="CK141" s="66">
        <f t="shared" si="785"/>
        <v>0</v>
      </c>
      <c r="CL141" s="56"/>
      <c r="CO141" s="55">
        <f t="shared" si="786"/>
        <v>46142</v>
      </c>
      <c r="CP141" s="422"/>
      <c r="CQ141" s="470">
        <f>SUMPRODUCT(PRODUCE!$B150:$DY150,PRODUCE!$EB$17:$IY$17)</f>
        <v>0</v>
      </c>
      <c r="CR141" s="422"/>
      <c r="CS141" s="470">
        <f t="shared" si="787"/>
        <v>0</v>
      </c>
      <c r="CT141" s="470">
        <f t="shared" si="788"/>
        <v>0</v>
      </c>
      <c r="CU141" s="56"/>
      <c r="CX141" s="55">
        <f t="shared" si="789"/>
        <v>46142</v>
      </c>
      <c r="CY141" s="56"/>
      <c r="CZ141" s="133">
        <f>SUMPRODUCT(PRODUCE!$B150:$DY150,PRODUCE!$EB$18:$IY$18)</f>
        <v>0</v>
      </c>
      <c r="DA141" s="56"/>
      <c r="DB141" s="133">
        <f t="shared" si="790"/>
        <v>0</v>
      </c>
      <c r="DC141" s="133">
        <f t="shared" si="791"/>
        <v>24158.300000000003</v>
      </c>
      <c r="DD141" s="56"/>
      <c r="DG141" s="55">
        <f t="shared" si="792"/>
        <v>46142</v>
      </c>
      <c r="DH141" s="56"/>
      <c r="DI141" s="147">
        <f>SUMPRODUCT(PRODUCE!$B150:$DY150,PRODUCE!$EB$19:$IY$19)</f>
        <v>1000</v>
      </c>
      <c r="DJ141" s="56">
        <v>1000.4</v>
      </c>
      <c r="DK141" s="147">
        <f t="shared" si="793"/>
        <v>-0.39999999999997726</v>
      </c>
      <c r="DL141" s="147">
        <f t="shared" si="794"/>
        <v>42939.599999999984</v>
      </c>
      <c r="DM141" s="56"/>
      <c r="DP141" s="55">
        <f t="shared" si="795"/>
        <v>46142</v>
      </c>
      <c r="DQ141" s="56"/>
      <c r="DR141" s="57">
        <f>SUMPRODUCT(PRODUCE!$B150:$DY150,PRODUCE!$EB$20:$IY$20)</f>
        <v>0</v>
      </c>
      <c r="DS141" s="56"/>
      <c r="DT141" s="57">
        <f t="shared" si="796"/>
        <v>0</v>
      </c>
      <c r="DU141" s="57">
        <f t="shared" si="797"/>
        <v>5800</v>
      </c>
      <c r="DV141" s="56"/>
      <c r="DY141" s="55">
        <f t="shared" si="798"/>
        <v>46142</v>
      </c>
      <c r="DZ141" s="56"/>
      <c r="EA141" s="157">
        <f>SUMPRODUCT(PRODUCE!$B150:$DY150,PRODUCE!$EB$21:$IY$21)</f>
        <v>0</v>
      </c>
      <c r="EB141" s="56"/>
      <c r="EC141" s="157">
        <f t="shared" si="799"/>
        <v>0</v>
      </c>
      <c r="ED141" s="157">
        <f t="shared" si="800"/>
        <v>0</v>
      </c>
      <c r="EE141" s="56"/>
      <c r="EH141" s="55">
        <f t="shared" si="801"/>
        <v>46142</v>
      </c>
      <c r="EI141" s="56"/>
      <c r="EJ141" s="162">
        <f>SUMPRODUCT(PRODUCE!$B150:$DY150,PRODUCE!$EB$22:$IY$22)</f>
        <v>0</v>
      </c>
      <c r="EK141" s="56"/>
      <c r="EL141" s="162">
        <f t="shared" si="802"/>
        <v>0</v>
      </c>
      <c r="EM141" s="162">
        <f t="shared" si="803"/>
        <v>0</v>
      </c>
      <c r="EN141" s="56"/>
      <c r="EQ141" s="55">
        <f t="shared" si="804"/>
        <v>46142</v>
      </c>
      <c r="ER141" s="56"/>
      <c r="ES141" s="135">
        <f>SUMPRODUCT(PRODUCE!$B150:$DY150,PRODUCE!$EB$23:$IY$23)</f>
        <v>0</v>
      </c>
      <c r="ET141" s="56"/>
      <c r="EU141" s="135">
        <f t="shared" si="805"/>
        <v>0</v>
      </c>
      <c r="EV141" s="135">
        <f t="shared" si="806"/>
        <v>0</v>
      </c>
      <c r="EW141" s="56"/>
      <c r="EZ141" s="55">
        <f t="shared" si="807"/>
        <v>46142</v>
      </c>
      <c r="FA141" s="56"/>
      <c r="FB141" s="175">
        <f>SUMPRODUCT(PRODUCE!$B150:$DY150,PRODUCE!$EB$24:$IY$24)</f>
        <v>0</v>
      </c>
      <c r="FC141" s="56"/>
      <c r="FD141" s="175">
        <f t="shared" si="808"/>
        <v>0</v>
      </c>
      <c r="FE141" s="175">
        <f t="shared" si="809"/>
        <v>0</v>
      </c>
      <c r="FF141" s="56"/>
      <c r="FI141" s="55">
        <f t="shared" si="810"/>
        <v>46142</v>
      </c>
      <c r="FJ141" s="56"/>
      <c r="FK141" s="183">
        <f>SUMPRODUCT(PRODUCE!$B150:$DY150,PRODUCE!$EB$25:$IY$25)</f>
        <v>0</v>
      </c>
      <c r="FL141" s="56"/>
      <c r="FM141" s="183">
        <f t="shared" si="811"/>
        <v>0</v>
      </c>
      <c r="FN141" s="183">
        <f t="shared" si="812"/>
        <v>0</v>
      </c>
      <c r="FO141" s="56"/>
      <c r="FR141" s="55">
        <f t="shared" si="813"/>
        <v>46142</v>
      </c>
      <c r="FS141" s="422"/>
      <c r="FT141" s="452">
        <f>SUMPRODUCT(PRODUCE!$B150:$DY150,PRODUCE!$EB$26:$IY$26)</f>
        <v>0</v>
      </c>
      <c r="FU141" s="422"/>
      <c r="FV141" s="452">
        <f t="shared" si="814"/>
        <v>0</v>
      </c>
      <c r="FW141" s="452">
        <f t="shared" si="815"/>
        <v>2120</v>
      </c>
      <c r="FX141" s="56"/>
      <c r="GA141" s="55">
        <f t="shared" si="816"/>
        <v>46142</v>
      </c>
      <c r="GB141" s="422"/>
      <c r="GC141" s="454">
        <f>SUMPRODUCT(PRODUCE!$B150:$DY150,PRODUCE!$EB$27:$IY$27)</f>
        <v>0</v>
      </c>
      <c r="GD141" s="422">
        <f>60*20</f>
        <v>1200</v>
      </c>
      <c r="GE141" s="454">
        <f t="shared" si="817"/>
        <v>-1200</v>
      </c>
      <c r="GF141" s="454">
        <f t="shared" si="818"/>
        <v>3640</v>
      </c>
      <c r="GG141" s="56">
        <f>GD141/20</f>
        <v>60</v>
      </c>
      <c r="GI141" s="23"/>
      <c r="GJ141" s="55">
        <f t="shared" si="819"/>
        <v>46142</v>
      </c>
      <c r="GK141" s="422"/>
      <c r="GL141" s="456">
        <f>SUMPRODUCT(PRODUCE!$B150:$DY150,PRODUCE!$EB$28:$IY$28)</f>
        <v>0</v>
      </c>
      <c r="GM141" s="422">
        <f>60*20</f>
        <v>1200</v>
      </c>
      <c r="GN141" s="456">
        <f t="shared" si="820"/>
        <v>-1200</v>
      </c>
      <c r="GO141" s="456">
        <f t="shared" si="821"/>
        <v>2080</v>
      </c>
      <c r="GP141" s="56">
        <f>GM141/20</f>
        <v>60</v>
      </c>
      <c r="GS141" s="55">
        <f t="shared" si="822"/>
        <v>46142</v>
      </c>
      <c r="GT141" s="56"/>
      <c r="GU141" s="195">
        <f>SUMPRODUCT(PRODUCE!$B150:$DY150,PRODUCE!$EB$29:$IY$29)</f>
        <v>0</v>
      </c>
      <c r="GV141" s="56"/>
      <c r="GW141" s="195">
        <f t="shared" si="823"/>
        <v>0</v>
      </c>
      <c r="GX141" s="195">
        <f t="shared" si="824"/>
        <v>0</v>
      </c>
      <c r="GY141" s="56"/>
      <c r="HB141" s="55">
        <f t="shared" si="825"/>
        <v>46142</v>
      </c>
      <c r="HC141" s="56"/>
      <c r="HD141" s="191">
        <f>SUMPRODUCT(PRODUCE!$B150:$DY150,PRODUCE!$EB$30:$IY$30)</f>
        <v>0</v>
      </c>
      <c r="HE141" s="56"/>
      <c r="HF141" s="191">
        <f t="shared" si="826"/>
        <v>0</v>
      </c>
      <c r="HG141" s="191">
        <f t="shared" si="827"/>
        <v>0</v>
      </c>
      <c r="HH141" s="56"/>
      <c r="HK141" s="55">
        <f t="shared" si="828"/>
        <v>46142</v>
      </c>
      <c r="HL141" s="56"/>
      <c r="HM141" s="63">
        <f>SUMPRODUCT(PRODUCE!$B150:$DY150,PRODUCE!$EB$31:$IY$31)</f>
        <v>0</v>
      </c>
      <c r="HN141" s="56"/>
      <c r="HO141" s="63">
        <f t="shared" si="829"/>
        <v>0</v>
      </c>
      <c r="HP141" s="63">
        <f t="shared" si="830"/>
        <v>0</v>
      </c>
      <c r="HQ141" s="56"/>
      <c r="HU141" s="55">
        <f t="shared" si="831"/>
        <v>46142</v>
      </c>
      <c r="HV141" s="56">
        <f>100*20</f>
        <v>2000</v>
      </c>
      <c r="HW141" s="242">
        <f>SUMPRODUCT(PRODUCE!$B150:$DY150,PRODUCE!$EB$32:$IY$32)</f>
        <v>400</v>
      </c>
      <c r="HX141" s="56">
        <f>20*20</f>
        <v>400</v>
      </c>
      <c r="HY141" s="242">
        <f t="shared" si="832"/>
        <v>0</v>
      </c>
      <c r="HZ141" s="242">
        <f t="shared" si="833"/>
        <v>6360</v>
      </c>
      <c r="IA141" s="56">
        <f>HX141/20</f>
        <v>20</v>
      </c>
      <c r="ID141" s="55">
        <f t="shared" si="834"/>
        <v>46142</v>
      </c>
      <c r="IE141" s="56"/>
      <c r="IF141" s="242">
        <f>SUMPRODUCT(PRODUCE!$B150:$DY150,PRODUCE!$EB$33:$IY$33)</f>
        <v>0</v>
      </c>
      <c r="IG141" s="56"/>
      <c r="IH141" s="242">
        <f t="shared" si="835"/>
        <v>0</v>
      </c>
      <c r="II141" s="242">
        <f t="shared" si="836"/>
        <v>6540</v>
      </c>
      <c r="IJ141" s="56"/>
      <c r="IM141" s="55">
        <f t="shared" si="837"/>
        <v>46142</v>
      </c>
      <c r="IN141" s="56"/>
      <c r="IO141" s="242">
        <f>SUMPRODUCT(PRODUCE!$B150:$DY150,PRODUCE!$EB$34:$IY$34)</f>
        <v>0</v>
      </c>
      <c r="IP141" s="56"/>
      <c r="IQ141" s="242">
        <f t="shared" si="838"/>
        <v>0</v>
      </c>
      <c r="IR141" s="242">
        <f t="shared" si="839"/>
        <v>11540</v>
      </c>
      <c r="IS141" s="56"/>
      <c r="IV141" s="55">
        <f t="shared" si="840"/>
        <v>46142</v>
      </c>
      <c r="IW141" s="56"/>
      <c r="IX141" s="242">
        <f>SUMPRODUCT(PRODUCE!$B150:$DY150,PRODUCE!$EB$35:$IY$35)</f>
        <v>0</v>
      </c>
      <c r="IY141" s="56"/>
      <c r="IZ141" s="242">
        <f t="shared" si="841"/>
        <v>0</v>
      </c>
      <c r="JA141" s="242">
        <f t="shared" si="842"/>
        <v>15120</v>
      </c>
      <c r="JB141" s="56"/>
      <c r="JE141" s="55">
        <f t="shared" si="843"/>
        <v>46142</v>
      </c>
      <c r="JF141" s="56"/>
      <c r="JG141" s="242">
        <f>SUMPRODUCT(PRODUCE!$B150:$DY150,PRODUCE!$EB$36:$IY$36)</f>
        <v>0</v>
      </c>
      <c r="JH141" s="56">
        <f>120*20</f>
        <v>2400</v>
      </c>
      <c r="JI141" s="242">
        <f t="shared" si="844"/>
        <v>-2400</v>
      </c>
      <c r="JJ141" s="242">
        <f t="shared" si="845"/>
        <v>1960</v>
      </c>
      <c r="JK141" s="56">
        <f>JH141/20</f>
        <v>120</v>
      </c>
      <c r="JN141" s="55">
        <f t="shared" si="846"/>
        <v>46142</v>
      </c>
      <c r="JO141" s="56"/>
      <c r="JP141" s="242">
        <f>SUMPRODUCT(PRODUCE!$B150:$DY150,PRODUCE!$EB$37:$IY$37)</f>
        <v>0</v>
      </c>
      <c r="JQ141" s="56"/>
      <c r="JR141" s="242">
        <f t="shared" si="847"/>
        <v>0</v>
      </c>
      <c r="JS141" s="242">
        <f t="shared" si="848"/>
        <v>9100</v>
      </c>
      <c r="JT141" s="56"/>
      <c r="JW141" s="55">
        <f t="shared" si="849"/>
        <v>46142</v>
      </c>
      <c r="JX141" s="56"/>
      <c r="JY141" s="242">
        <f>SUMPRODUCT(PRODUCE!$B150:$DY150,PRODUCE!$EB$38:$IY$38)</f>
        <v>0</v>
      </c>
      <c r="JZ141" s="56"/>
      <c r="KA141" s="242">
        <f t="shared" si="850"/>
        <v>0</v>
      </c>
      <c r="KB141" s="242">
        <f t="shared" si="851"/>
        <v>2540</v>
      </c>
      <c r="KC141" s="56"/>
      <c r="KF141" s="55">
        <f t="shared" si="852"/>
        <v>46142</v>
      </c>
      <c r="KG141" s="56"/>
      <c r="KH141" s="242">
        <f>SUMPRODUCT(PRODUCE!$B150:$DY150,PRODUCE!$EB$39:$IY$39)</f>
        <v>0</v>
      </c>
      <c r="KI141" s="56"/>
      <c r="KJ141" s="242">
        <f t="shared" si="853"/>
        <v>0</v>
      </c>
      <c r="KK141" s="242">
        <f t="shared" si="854"/>
        <v>19.5</v>
      </c>
      <c r="KL141" s="56"/>
      <c r="KO141" s="55">
        <f t="shared" si="855"/>
        <v>46142</v>
      </c>
      <c r="KP141" s="56"/>
      <c r="KQ141" s="242">
        <f>SUMPRODUCT(PRODUCE!$B150:$DY150,PRODUCE!$EB$40:$IY$40)</f>
        <v>0</v>
      </c>
      <c r="KR141" s="56">
        <f>50*18.9</f>
        <v>944.99999999999989</v>
      </c>
      <c r="KS141" s="242">
        <f t="shared" si="856"/>
        <v>-944.99999999999989</v>
      </c>
      <c r="KT141" s="242">
        <f t="shared" si="857"/>
        <v>2079</v>
      </c>
      <c r="KU141" s="56">
        <f>KR141/18.9</f>
        <v>50</v>
      </c>
      <c r="KW141" s="23"/>
      <c r="KX141" s="55">
        <f t="shared" si="858"/>
        <v>46142</v>
      </c>
      <c r="KY141" s="56"/>
      <c r="KZ141" s="242">
        <f>SUMPRODUCT(PRODUCE!$B150:$DY150,PRODUCE!$EB$41:$IY$41)</f>
        <v>0</v>
      </c>
      <c r="LA141" s="56"/>
      <c r="LB141" s="242">
        <f t="shared" si="859"/>
        <v>0</v>
      </c>
      <c r="LC141" s="242">
        <f t="shared" si="860"/>
        <v>6150</v>
      </c>
      <c r="LD141" s="56"/>
      <c r="LG141" s="55">
        <f t="shared" si="861"/>
        <v>46142</v>
      </c>
      <c r="LH141" s="56"/>
      <c r="LI141" s="242">
        <f>SUMPRODUCT(PRODUCE!$B150:$DY150,PRODUCE!$EB$42:$IY$42)</f>
        <v>0</v>
      </c>
      <c r="LJ141" s="56"/>
      <c r="LK141" s="242">
        <f t="shared" si="862"/>
        <v>0</v>
      </c>
      <c r="LL141" s="242">
        <f t="shared" si="863"/>
        <v>4000</v>
      </c>
      <c r="LM141" s="56"/>
      <c r="LP141" s="55">
        <f t="shared" si="864"/>
        <v>46142</v>
      </c>
      <c r="LQ141" s="56"/>
      <c r="LR141" s="242">
        <f>SUMPRODUCT(PRODUCE!$B156:$DY156,PRODUCE!$EB$43:$IY$43)</f>
        <v>0</v>
      </c>
      <c r="LS141" s="56"/>
      <c r="LT141" s="242">
        <f t="shared" si="865"/>
        <v>0</v>
      </c>
      <c r="LU141" s="242">
        <f t="shared" si="866"/>
        <v>0</v>
      </c>
      <c r="LV141" s="56"/>
      <c r="LY141" s="55">
        <f t="shared" si="867"/>
        <v>46142</v>
      </c>
      <c r="LZ141" s="56"/>
      <c r="MA141" s="242">
        <f>SUMPRODUCT(PRODUCE!$B150:$DY150,PRODUCE!$EB$44:$IY$44)</f>
        <v>0</v>
      </c>
      <c r="MB141" s="56"/>
      <c r="MC141" s="242">
        <f t="shared" si="868"/>
        <v>0</v>
      </c>
      <c r="MD141" s="242">
        <f t="shared" si="869"/>
        <v>0</v>
      </c>
      <c r="ME141" s="56"/>
      <c r="MH141" s="55">
        <f t="shared" si="870"/>
        <v>46142</v>
      </c>
      <c r="MI141" s="56"/>
      <c r="MJ141" s="242">
        <f>SUMPRODUCT(PRODUCE!$B150:$DY150,PRODUCE!$EB$45:$IY$45)</f>
        <v>0</v>
      </c>
      <c r="MK141" s="56"/>
      <c r="ML141" s="242">
        <f t="shared" si="871"/>
        <v>0</v>
      </c>
      <c r="MM141" s="242">
        <f t="shared" si="872"/>
        <v>0</v>
      </c>
      <c r="MN141" s="56"/>
      <c r="MQ141" s="55">
        <f t="shared" si="873"/>
        <v>46142</v>
      </c>
      <c r="MR141" s="56"/>
      <c r="MS141" s="242">
        <f>SUMPRODUCT(PRODUCE!$B150:$DY150,PRODUCE!$EB$46:$IY$46)</f>
        <v>10</v>
      </c>
      <c r="MT141" s="56">
        <f>10+30+30</f>
        <v>70</v>
      </c>
      <c r="MU141" s="242">
        <f t="shared" si="874"/>
        <v>-60</v>
      </c>
      <c r="MV141" s="242">
        <f t="shared" si="875"/>
        <v>3903</v>
      </c>
      <c r="MW141" s="56"/>
      <c r="MZ141" s="55">
        <f t="shared" si="876"/>
        <v>46142</v>
      </c>
      <c r="NA141" s="56">
        <v>570</v>
      </c>
      <c r="NB141" s="242">
        <f>SUMPRODUCT(PRODUCE!$B150:$DY150,PRODUCE!$EB$47:$IY$47)</f>
        <v>60</v>
      </c>
      <c r="NC141" s="56">
        <f>150+60+360</f>
        <v>570</v>
      </c>
      <c r="ND141" s="242">
        <f t="shared" si="877"/>
        <v>-510</v>
      </c>
      <c r="NE141" s="242">
        <f t="shared" si="878"/>
        <v>0</v>
      </c>
      <c r="NF141" s="56"/>
      <c r="NI141" s="55">
        <f t="shared" si="879"/>
        <v>46142</v>
      </c>
      <c r="NJ141" s="56"/>
      <c r="NK141" s="242">
        <f>SUMPRODUCT(PRODUCE!$B150:$DY150,PRODUCE!$EB$48:$IY$48)</f>
        <v>0</v>
      </c>
      <c r="NL141" s="56">
        <v>50</v>
      </c>
      <c r="NM141" s="242">
        <f t="shared" si="880"/>
        <v>-50</v>
      </c>
      <c r="NN141" s="242">
        <f t="shared" si="881"/>
        <v>1137</v>
      </c>
      <c r="NO141" s="56"/>
      <c r="NR141" s="55">
        <f t="shared" si="882"/>
        <v>46142</v>
      </c>
      <c r="NS141" s="56"/>
      <c r="NT141" s="242">
        <f>SUMPRODUCT(PRODUCE!$B150:$DY150,PRODUCE!$EB$49:$IY$49)</f>
        <v>0</v>
      </c>
      <c r="NU141" s="56">
        <v>60</v>
      </c>
      <c r="NV141" s="242">
        <f t="shared" si="883"/>
        <v>-60</v>
      </c>
      <c r="NW141" s="242">
        <f t="shared" si="884"/>
        <v>3122.8999999999996</v>
      </c>
      <c r="NX141" s="56"/>
      <c r="OA141" s="55">
        <f t="shared" si="885"/>
        <v>46142</v>
      </c>
      <c r="OB141" s="56"/>
      <c r="OC141" s="242">
        <f>SUMPRODUCT(PRODUCE!$B150:$DY150,PRODUCE!$EB$50:$IY$50)</f>
        <v>0</v>
      </c>
      <c r="OD141" s="56"/>
      <c r="OE141" s="242">
        <f t="shared" si="886"/>
        <v>0</v>
      </c>
      <c r="OF141" s="242">
        <f t="shared" si="887"/>
        <v>1680.5</v>
      </c>
      <c r="OG141" s="56"/>
      <c r="OJ141" s="55">
        <f t="shared" si="888"/>
        <v>46142</v>
      </c>
      <c r="OK141" s="56">
        <v>140</v>
      </c>
      <c r="OL141" s="242">
        <f>SUMPRODUCT(PRODUCE!$B150:$DY150,PRODUCE!$EB$51:$IY$51)</f>
        <v>0</v>
      </c>
      <c r="OM141" s="56">
        <v>140</v>
      </c>
      <c r="ON141" s="242">
        <f t="shared" si="889"/>
        <v>-140</v>
      </c>
      <c r="OO141" s="242">
        <f t="shared" si="890"/>
        <v>0</v>
      </c>
      <c r="OP141" s="56"/>
      <c r="OS141" s="55">
        <f t="shared" si="891"/>
        <v>46142</v>
      </c>
      <c r="OT141" s="56"/>
      <c r="OU141" s="242">
        <f>SUMPRODUCT(PRODUCE!$B150:$DY150,PRODUCE!$EB$52:$IY$52)</f>
        <v>0</v>
      </c>
      <c r="OV141" s="56"/>
      <c r="OW141" s="242">
        <f t="shared" si="892"/>
        <v>0</v>
      </c>
      <c r="OX141" s="242">
        <f t="shared" si="893"/>
        <v>982</v>
      </c>
      <c r="OY141" s="56"/>
      <c r="PB141" s="55">
        <f t="shared" si="894"/>
        <v>46142</v>
      </c>
      <c r="PC141" s="56"/>
      <c r="PD141" s="242">
        <f>SUMPRODUCT(PRODUCE!$B150:$DY150,PRODUCE!$EB$53:$IY$53)</f>
        <v>0</v>
      </c>
      <c r="PE141" s="56"/>
      <c r="PF141" s="242">
        <f t="shared" si="895"/>
        <v>0</v>
      </c>
      <c r="PG141" s="242">
        <f t="shared" si="896"/>
        <v>0</v>
      </c>
      <c r="PH141" s="56"/>
      <c r="PK141" s="55">
        <f t="shared" si="897"/>
        <v>46142</v>
      </c>
      <c r="PL141" s="56"/>
      <c r="PM141" s="242">
        <f>SUMPRODUCT(PRODUCE!$B150:$DY150,PRODUCE!$EB$54:$IY$54)</f>
        <v>0</v>
      </c>
      <c r="PN141" s="56"/>
      <c r="PO141" s="242">
        <f t="shared" si="898"/>
        <v>0</v>
      </c>
      <c r="PP141" s="242">
        <f t="shared" si="899"/>
        <v>100</v>
      </c>
      <c r="PQ141" s="56"/>
      <c r="PT141" s="55">
        <f t="shared" si="900"/>
        <v>46142</v>
      </c>
      <c r="PU141" s="56"/>
      <c r="PV141" s="242">
        <f>SUMPRODUCT(PRODUCE!$B150:$DY150,PRODUCE!$EB$55:$IY$55)</f>
        <v>0</v>
      </c>
      <c r="PW141" s="56"/>
      <c r="PX141" s="242">
        <f t="shared" si="901"/>
        <v>0</v>
      </c>
      <c r="PY141" s="242">
        <f t="shared" si="902"/>
        <v>13.960000000000036</v>
      </c>
      <c r="PZ141" s="56"/>
      <c r="QC141" s="55">
        <f t="shared" si="903"/>
        <v>46142</v>
      </c>
      <c r="QD141" s="56"/>
      <c r="QE141" s="242">
        <f>SUMPRODUCT(PRODUCE!$B150:$DY150,PRODUCE!$EB$56:$IY$56)</f>
        <v>0</v>
      </c>
      <c r="QF141" s="56">
        <v>480</v>
      </c>
      <c r="QG141" s="242">
        <f t="shared" si="904"/>
        <v>-480</v>
      </c>
      <c r="QH141" s="242">
        <f t="shared" si="905"/>
        <v>596</v>
      </c>
      <c r="QI141" s="56"/>
      <c r="QL141" s="55">
        <f t="shared" si="906"/>
        <v>46142</v>
      </c>
      <c r="QM141" s="56"/>
      <c r="QN141" s="242">
        <f>SUMPRODUCT(PRODUCE!$B150:$DY150,PRODUCE!$EB$57:$IY$57)</f>
        <v>0</v>
      </c>
      <c r="QO141" s="56"/>
      <c r="QP141" s="242">
        <f t="shared" si="907"/>
        <v>0</v>
      </c>
      <c r="QQ141" s="242">
        <f t="shared" si="908"/>
        <v>400</v>
      </c>
      <c r="QR141" s="56"/>
      <c r="QU141" s="55">
        <f t="shared" si="909"/>
        <v>46142</v>
      </c>
      <c r="QV141" s="56"/>
      <c r="QW141" s="242">
        <f>SUMPRODUCT(PRODUCE!$B150:$DY150,PRODUCE!$EB$57:$IY$57)</f>
        <v>0</v>
      </c>
      <c r="QX141" s="56"/>
      <c r="QY141" s="242">
        <f t="shared" si="910"/>
        <v>0</v>
      </c>
      <c r="QZ141" s="242">
        <f t="shared" si="911"/>
        <v>207.6</v>
      </c>
      <c r="RA141" s="56"/>
      <c r="RD141" s="55">
        <f t="shared" si="912"/>
        <v>46142</v>
      </c>
      <c r="RE141" s="56"/>
      <c r="RF141" s="242">
        <f>SUMPRODUCT(PRODUCE!$B150:$DY150,PRODUCE!$EB$58:$IY$58)</f>
        <v>0</v>
      </c>
      <c r="RG141" s="56"/>
      <c r="RH141" s="242">
        <f t="shared" si="913"/>
        <v>0</v>
      </c>
      <c r="RI141" s="242">
        <f t="shared" si="914"/>
        <v>147.04000000000002</v>
      </c>
      <c r="RJ141" s="56"/>
      <c r="RM141" s="55">
        <f t="shared" si="915"/>
        <v>46142</v>
      </c>
      <c r="RN141" s="56"/>
      <c r="RO141" s="242">
        <f>SUMPRODUCT(PRODUCE!$B150:$DY150,PRODUCE!$EB$57:$IY$57)</f>
        <v>0</v>
      </c>
      <c r="RP141" s="56"/>
      <c r="RQ141" s="242">
        <f t="shared" si="916"/>
        <v>0</v>
      </c>
      <c r="RR141" s="242">
        <f t="shared" si="917"/>
        <v>46.8</v>
      </c>
      <c r="RS141" s="56"/>
      <c r="RV141" s="55">
        <f t="shared" si="918"/>
        <v>46142</v>
      </c>
      <c r="RW141" s="56"/>
      <c r="RX141" s="242">
        <f>SUMPRODUCT(PRODUCE!$B150:$DY150,PRODUCE!$EB$57:$IY$57)</f>
        <v>0</v>
      </c>
      <c r="RY141" s="56"/>
      <c r="RZ141" s="242">
        <f t="shared" si="919"/>
        <v>0</v>
      </c>
      <c r="SA141" s="242">
        <f t="shared" si="920"/>
        <v>0</v>
      </c>
      <c r="SB141" s="56"/>
      <c r="SE141" s="55">
        <f t="shared" si="921"/>
        <v>46142</v>
      </c>
      <c r="SF141" s="56"/>
      <c r="SG141" s="242">
        <f>SUMPRODUCT(PRODUCE!$B150:$DY150,PRODUCE!$EB$57:$IY$57)</f>
        <v>0</v>
      </c>
      <c r="SH141" s="56"/>
      <c r="SI141" s="242">
        <f t="shared" si="922"/>
        <v>0</v>
      </c>
      <c r="SJ141" s="242">
        <f t="shared" si="923"/>
        <v>24.200000000000003</v>
      </c>
      <c r="SK141" s="56"/>
      <c r="SN141" s="55">
        <f t="shared" si="924"/>
        <v>46142</v>
      </c>
      <c r="SO141" s="56"/>
      <c r="SP141" s="242">
        <f>SUMPRODUCT(PRODUCE!$B150:$DY150,PRODUCE!$EB$57:$IY$57)</f>
        <v>0</v>
      </c>
      <c r="SQ141" s="56"/>
      <c r="SR141" s="242">
        <f t="shared" si="925"/>
        <v>0</v>
      </c>
      <c r="SS141" s="242">
        <f t="shared" si="926"/>
        <v>32</v>
      </c>
      <c r="ST141" s="56"/>
      <c r="SW141" s="55">
        <f t="shared" si="927"/>
        <v>46142</v>
      </c>
      <c r="SX141" s="56"/>
      <c r="SY141" s="242">
        <f>SUMPRODUCT(PRODUCE!$B150:$DY150,PRODUCE!$EB$57:$IY$57)</f>
        <v>0</v>
      </c>
      <c r="SZ141" s="56"/>
      <c r="TA141" s="242">
        <f t="shared" si="928"/>
        <v>0</v>
      </c>
      <c r="TB141" s="242">
        <f t="shared" si="929"/>
        <v>0</v>
      </c>
      <c r="TC141" s="56"/>
      <c r="TF141" s="55">
        <f t="shared" si="930"/>
        <v>46142</v>
      </c>
      <c r="TG141" s="56"/>
      <c r="TH141" s="242">
        <f>SUMPRODUCT(PRODUCE!$B150:$DY150,PRODUCE!$EB$57:$IY$57)</f>
        <v>0</v>
      </c>
      <c r="TI141" s="56"/>
      <c r="TJ141" s="242">
        <f t="shared" si="931"/>
        <v>0</v>
      </c>
      <c r="TK141" s="242">
        <f t="shared" si="932"/>
        <v>0</v>
      </c>
      <c r="TL141" s="56"/>
      <c r="TO141" s="55">
        <f t="shared" si="933"/>
        <v>46142</v>
      </c>
      <c r="TP141" s="56"/>
      <c r="TQ141" s="242">
        <f>SUMPRODUCT(PRODUCE!$B150:$DY150,PRODUCE!$EB$57:$IY$57)</f>
        <v>0</v>
      </c>
      <c r="TR141" s="56"/>
      <c r="TS141" s="242">
        <f t="shared" si="934"/>
        <v>0</v>
      </c>
      <c r="TT141" s="242">
        <f t="shared" si="935"/>
        <v>0</v>
      </c>
      <c r="TU141" s="56"/>
      <c r="TX141" s="55">
        <f t="shared" si="936"/>
        <v>46142</v>
      </c>
      <c r="TY141" s="56"/>
      <c r="TZ141" s="242">
        <f>SUMPRODUCT(PRODUCE!$B150:$DY150,PRODUCE!$EB$57:$IY$57)</f>
        <v>0</v>
      </c>
      <c r="UA141" s="56"/>
      <c r="UB141" s="242">
        <f t="shared" si="937"/>
        <v>0</v>
      </c>
      <c r="UC141" s="242">
        <f t="shared" si="938"/>
        <v>0</v>
      </c>
      <c r="UD141" s="56"/>
      <c r="UG141" s="55">
        <f t="shared" si="939"/>
        <v>46142</v>
      </c>
      <c r="UH141" s="56"/>
      <c r="UI141" s="242">
        <f>SUMPRODUCT(PRODUCE!$B150:$DY150,PRODUCE!$EB$57:$IY$57)</f>
        <v>0</v>
      </c>
      <c r="UJ141" s="56"/>
      <c r="UK141" s="242">
        <f t="shared" si="940"/>
        <v>0</v>
      </c>
      <c r="UL141" s="242">
        <f t="shared" si="941"/>
        <v>0</v>
      </c>
      <c r="UM141" s="56"/>
      <c r="UP141" s="55">
        <f t="shared" si="942"/>
        <v>46142</v>
      </c>
      <c r="UQ141" s="56"/>
      <c r="UR141" s="242">
        <f>SUMPRODUCT(PRODUCE!$B150:$DY150,PRODUCE!$EB$57:$IY$57)</f>
        <v>0</v>
      </c>
      <c r="US141" s="56"/>
      <c r="UT141" s="242">
        <f t="shared" si="943"/>
        <v>0</v>
      </c>
      <c r="UU141" s="242">
        <f t="shared" si="944"/>
        <v>0</v>
      </c>
      <c r="UV141" s="56"/>
      <c r="UY141" s="55">
        <f t="shared" si="945"/>
        <v>46142</v>
      </c>
      <c r="UZ141" s="56"/>
      <c r="VA141" s="242">
        <f>SUMPRODUCT(PRODUCE!$B150:$DY150,PRODUCE!$EB$57:$IY$57)</f>
        <v>0</v>
      </c>
      <c r="VB141" s="56"/>
      <c r="VC141" s="242">
        <f t="shared" si="946"/>
        <v>0</v>
      </c>
      <c r="VD141" s="242">
        <f t="shared" si="947"/>
        <v>41.600000000000023</v>
      </c>
      <c r="VE141" s="56"/>
      <c r="VH141" s="55">
        <f t="shared" si="948"/>
        <v>46142</v>
      </c>
      <c r="VI141" s="56"/>
      <c r="VJ141" s="242">
        <f>SUMPRODUCT(PRODUCE!$B150:$DY150,PRODUCE!$EB$57:$IY$57)</f>
        <v>0</v>
      </c>
      <c r="VK141" s="56"/>
      <c r="VL141" s="242">
        <f t="shared" si="949"/>
        <v>0</v>
      </c>
      <c r="VM141" s="242">
        <f t="shared" si="950"/>
        <v>0</v>
      </c>
      <c r="VN141" s="56"/>
      <c r="VQ141" s="55">
        <f t="shared" si="951"/>
        <v>46142</v>
      </c>
      <c r="VR141" s="56"/>
      <c r="VS141" s="242">
        <f>SUMPRODUCT(PRODUCE!$B150:$DY150,PRODUCE!$EB$57:$IY$57)</f>
        <v>0</v>
      </c>
      <c r="VT141" s="56"/>
      <c r="VU141" s="242">
        <f t="shared" si="952"/>
        <v>0</v>
      </c>
      <c r="VV141" s="242">
        <f t="shared" si="953"/>
        <v>0</v>
      </c>
      <c r="VW141" s="56"/>
      <c r="VZ141" s="55">
        <f t="shared" si="954"/>
        <v>46142</v>
      </c>
      <c r="WA141" s="56"/>
      <c r="WB141" s="242">
        <f>SUMPRODUCT(PRODUCE!$B150:$DY150,PRODUCE!$EB$57:$IY$57)</f>
        <v>0</v>
      </c>
      <c r="WC141" s="56"/>
      <c r="WD141" s="242">
        <f t="shared" si="955"/>
        <v>0</v>
      </c>
      <c r="WE141" s="242">
        <f t="shared" si="956"/>
        <v>0</v>
      </c>
      <c r="WF141" s="56"/>
      <c r="WI141" s="55">
        <f t="shared" si="957"/>
        <v>46142</v>
      </c>
      <c r="WJ141" s="56"/>
      <c r="WK141" s="242">
        <f>SUMPRODUCT(PRODUCE!$B150:$DY150,PRODUCE!$EB$57:$IY$57)</f>
        <v>0</v>
      </c>
      <c r="WL141" s="56"/>
      <c r="WM141" s="242">
        <f t="shared" si="958"/>
        <v>0</v>
      </c>
      <c r="WN141" s="242">
        <f t="shared" si="959"/>
        <v>2317</v>
      </c>
      <c r="WO141" s="56"/>
      <c r="WR141" s="55">
        <f t="shared" si="960"/>
        <v>46142</v>
      </c>
      <c r="WS141" s="56"/>
      <c r="WT141" s="242">
        <f>SUMPRODUCT(PRODUCE!$B150:$DY150,PRODUCE!$EB$57:$IY$57)</f>
        <v>0</v>
      </c>
      <c r="WU141" s="56"/>
      <c r="WV141" s="242">
        <f t="shared" si="961"/>
        <v>0</v>
      </c>
      <c r="WW141" s="242">
        <f t="shared" si="962"/>
        <v>776</v>
      </c>
      <c r="WX141" s="56"/>
      <c r="XA141" s="55">
        <f t="shared" si="963"/>
        <v>46142</v>
      </c>
      <c r="XB141" s="56"/>
      <c r="XC141" s="242">
        <f>SUMPRODUCT(PRODUCE!$B150:$DY150,PRODUCE!$EB$57:$IY$57)</f>
        <v>0</v>
      </c>
      <c r="XD141" s="56"/>
      <c r="XE141" s="242">
        <f t="shared" si="964"/>
        <v>0</v>
      </c>
      <c r="XF141" s="242">
        <f t="shared" si="965"/>
        <v>13455</v>
      </c>
      <c r="XG141" s="56"/>
      <c r="XJ141" s="55">
        <f t="shared" si="966"/>
        <v>46142</v>
      </c>
      <c r="XK141" s="56"/>
      <c r="XL141" s="242">
        <f>SUMPRODUCT(PRODUCE!$B150:$DY150,PRODUCE!$EB$57:$IY$57)</f>
        <v>0</v>
      </c>
      <c r="XM141" s="56">
        <v>391</v>
      </c>
      <c r="XN141" s="242">
        <f t="shared" si="967"/>
        <v>-391</v>
      </c>
      <c r="XO141" s="242">
        <f t="shared" si="968"/>
        <v>1481</v>
      </c>
      <c r="XP141" s="56"/>
      <c r="XS141" s="55">
        <f t="shared" si="969"/>
        <v>46142</v>
      </c>
      <c r="XT141" s="56"/>
      <c r="XU141" s="242">
        <f>SUMPRODUCT(PRODUCE!$B150:$DY150,PRODUCE!$EB$57:$IY$57)</f>
        <v>0</v>
      </c>
      <c r="XV141" s="56"/>
      <c r="XW141" s="242">
        <f t="shared" si="970"/>
        <v>0</v>
      </c>
      <c r="XX141" s="242">
        <f t="shared" si="971"/>
        <v>1901</v>
      </c>
      <c r="XY141" s="56"/>
      <c r="YB141" s="55">
        <f t="shared" si="972"/>
        <v>46142</v>
      </c>
      <c r="YC141" s="56"/>
      <c r="YD141" s="242">
        <f>SUMPRODUCT(PRODUCE!$B150:$DY150,PRODUCE!$EB$57:$IY$57)</f>
        <v>0</v>
      </c>
      <c r="YE141" s="56"/>
      <c r="YF141" s="242">
        <f t="shared" si="973"/>
        <v>0</v>
      </c>
      <c r="YG141" s="242">
        <f t="shared" si="974"/>
        <v>6459</v>
      </c>
      <c r="YH141" s="56"/>
      <c r="YK141" s="55">
        <f t="shared" si="975"/>
        <v>46142</v>
      </c>
      <c r="YL141" s="56"/>
      <c r="YM141" s="242">
        <f>SUMPRODUCT(PRODUCE!$B150:$DY150,PRODUCE!$EB$57:$IY$57)</f>
        <v>0</v>
      </c>
      <c r="YN141" s="56"/>
      <c r="YO141" s="242">
        <f t="shared" si="976"/>
        <v>0</v>
      </c>
      <c r="YP141" s="242">
        <f t="shared" si="977"/>
        <v>0</v>
      </c>
      <c r="YQ141" s="56"/>
      <c r="YT141" s="55">
        <f t="shared" si="978"/>
        <v>46142</v>
      </c>
      <c r="YU141" s="56"/>
      <c r="YV141" s="242">
        <f>SUMPRODUCT(PRODUCE!$B150:$DY150,PRODUCE!$EB$57:$IY$57)</f>
        <v>0</v>
      </c>
      <c r="YW141" s="56"/>
      <c r="YX141" s="242">
        <f t="shared" si="979"/>
        <v>0</v>
      </c>
      <c r="YY141" s="242">
        <f t="shared" si="980"/>
        <v>0</v>
      </c>
      <c r="YZ141" s="56"/>
      <c r="ZC141" s="55">
        <f t="shared" si="981"/>
        <v>46142</v>
      </c>
      <c r="ZD141" s="56"/>
      <c r="ZE141" s="242">
        <f>SUMPRODUCT(PRODUCE!$B150:$DY150,PRODUCE!$EB$57:$IY$57)</f>
        <v>0</v>
      </c>
      <c r="ZF141" s="56"/>
      <c r="ZG141" s="242">
        <f t="shared" si="982"/>
        <v>0</v>
      </c>
      <c r="ZH141" s="242">
        <f t="shared" si="983"/>
        <v>0</v>
      </c>
      <c r="ZI141" s="56"/>
      <c r="ZL141" s="55">
        <f t="shared" si="984"/>
        <v>46142</v>
      </c>
      <c r="ZM141" s="56"/>
      <c r="ZN141" s="242">
        <f>SUMPRODUCT(PRODUCE!$B150:$DY150,PRODUCE!$EB$57:$IY$57)</f>
        <v>0</v>
      </c>
      <c r="ZO141" s="56"/>
      <c r="ZP141" s="242">
        <f t="shared" si="985"/>
        <v>0</v>
      </c>
      <c r="ZQ141" s="242">
        <f t="shared" si="986"/>
        <v>0</v>
      </c>
      <c r="ZR141" s="56"/>
      <c r="ZU141" s="55">
        <f t="shared" si="987"/>
        <v>46142</v>
      </c>
      <c r="ZV141" s="56"/>
      <c r="ZW141" s="242">
        <f>SUMPRODUCT(PRODUCE!$B150:$DY150,PRODUCE!$EB$57:$IY$57)</f>
        <v>0</v>
      </c>
      <c r="ZX141" s="56"/>
      <c r="ZY141" s="242">
        <f t="shared" si="988"/>
        <v>0</v>
      </c>
      <c r="ZZ141" s="242">
        <f t="shared" si="989"/>
        <v>0</v>
      </c>
      <c r="AAA141" s="56"/>
      <c r="AAD141" s="55">
        <f t="shared" si="990"/>
        <v>46142</v>
      </c>
      <c r="AAE141" s="56"/>
      <c r="AAF141" s="242">
        <f>SUMPRODUCT(PRODUCE!$B150:$DY150,PRODUCE!$EB$57:$IY$57)</f>
        <v>0</v>
      </c>
      <c r="AAG141" s="56"/>
      <c r="AAH141" s="242">
        <f t="shared" si="991"/>
        <v>0</v>
      </c>
      <c r="AAI141" s="242">
        <f t="shared" si="992"/>
        <v>0</v>
      </c>
      <c r="AAJ141" s="56"/>
      <c r="AAM141" s="55">
        <f t="shared" si="993"/>
        <v>46142</v>
      </c>
      <c r="AAN141" s="56"/>
      <c r="AAO141" s="242">
        <f>SUMPRODUCT(PRODUCE!$B150:$DY150,PRODUCE!$EB$57:$IY$57)</f>
        <v>0</v>
      </c>
      <c r="AAP141" s="56"/>
      <c r="AAQ141" s="242">
        <f t="shared" si="994"/>
        <v>0</v>
      </c>
      <c r="AAR141" s="242">
        <f t="shared" si="995"/>
        <v>0</v>
      </c>
      <c r="AAS141" s="56"/>
      <c r="AAV141" s="55">
        <f t="shared" si="996"/>
        <v>46142</v>
      </c>
      <c r="AAW141" s="56"/>
      <c r="AAX141" s="242">
        <f>SUMPRODUCT(PRODUCE!$B150:$DY150,PRODUCE!$EB$57:$IY$57)</f>
        <v>0</v>
      </c>
      <c r="AAY141" s="56"/>
      <c r="AAZ141" s="242">
        <f t="shared" si="997"/>
        <v>0</v>
      </c>
      <c r="ABA141" s="242">
        <f t="shared" si="998"/>
        <v>0</v>
      </c>
      <c r="ABB141" s="56"/>
      <c r="ABE141" s="55">
        <f t="shared" si="999"/>
        <v>46142</v>
      </c>
      <c r="ABF141" s="56"/>
      <c r="ABG141" s="242">
        <f>SUMPRODUCT(PRODUCE!$B150:$DY150,PRODUCE!$EB$57:$IY$57)</f>
        <v>0</v>
      </c>
      <c r="ABH141" s="56"/>
      <c r="ABI141" s="242">
        <f t="shared" si="1000"/>
        <v>0</v>
      </c>
      <c r="ABJ141" s="242">
        <f t="shared" si="1001"/>
        <v>0</v>
      </c>
      <c r="ABK141" s="56"/>
    </row>
    <row r="142" spans="1:739" s="54" customFormat="1" ht="14.45" thickBot="1">
      <c r="B142" s="480">
        <f>SUM(B111:B141)</f>
        <v>1492</v>
      </c>
      <c r="C142" s="68" t="s">
        <v>72</v>
      </c>
      <c r="D142" s="435">
        <f>SUM(D112:D141)</f>
        <v>940890</v>
      </c>
      <c r="E142" s="436">
        <f>SUM(E112:E141)</f>
        <v>800374.22000000009</v>
      </c>
      <c r="F142" s="436">
        <f>SUM(F112:F141)</f>
        <v>800361.60000000009</v>
      </c>
      <c r="G142" s="436">
        <f>SUM(G112:G141)</f>
        <v>12.619999999981701</v>
      </c>
      <c r="H142" s="437">
        <f>H141</f>
        <v>168368.40000000005</v>
      </c>
      <c r="I142" s="289"/>
      <c r="L142" s="68" t="s">
        <v>72</v>
      </c>
      <c r="M142" s="435">
        <f>SUM(M112:M141)</f>
        <v>397200</v>
      </c>
      <c r="N142" s="436">
        <f>SUM(N112:N141)</f>
        <v>333251.31999999995</v>
      </c>
      <c r="O142" s="436">
        <f>SUM(O112:O141)</f>
        <v>333254.19999999995</v>
      </c>
      <c r="P142" s="436">
        <f>SUM(P112:P141)</f>
        <v>-2.8800000000014734</v>
      </c>
      <c r="Q142" s="437">
        <f>Q141</f>
        <v>63275.80000000009</v>
      </c>
      <c r="R142" s="56"/>
      <c r="U142" s="68" t="s">
        <v>72</v>
      </c>
      <c r="V142" s="435">
        <f>SUM(V112:V141)</f>
        <v>105360</v>
      </c>
      <c r="W142" s="436">
        <f>SUM(W112:W141)</f>
        <v>94650.28</v>
      </c>
      <c r="X142" s="436">
        <f>SUM(X112:X141)</f>
        <v>94361.2</v>
      </c>
      <c r="Y142" s="436">
        <f>SUM(Y112:Y141)</f>
        <v>289.07999999999356</v>
      </c>
      <c r="Z142" s="437">
        <f>Z141</f>
        <v>31017.199999999972</v>
      </c>
      <c r="AA142" s="56"/>
      <c r="AD142" s="68" t="s">
        <v>72</v>
      </c>
      <c r="AE142" s="435">
        <f>SUM(AE112:AE141)</f>
        <v>27580</v>
      </c>
      <c r="AF142" s="436">
        <f>SUM(AF112:AF141)</f>
        <v>40808</v>
      </c>
      <c r="AG142" s="436">
        <f>SUM(AG112:AG141)</f>
        <v>40840.200000000004</v>
      </c>
      <c r="AH142" s="436">
        <f>SUM(AH112:AH141)</f>
        <v>-32.200000000000159</v>
      </c>
      <c r="AI142" s="437">
        <f>AI141</f>
        <v>13032.500000000016</v>
      </c>
      <c r="AJ142" s="56"/>
      <c r="AM142" s="68" t="s">
        <v>72</v>
      </c>
      <c r="AN142" s="435">
        <f>SUM(AN112:AN141)</f>
        <v>0</v>
      </c>
      <c r="AO142" s="436">
        <f>SUM(AO112:AO141)</f>
        <v>0</v>
      </c>
      <c r="AP142" s="436">
        <f>SUM(AP112:AP141)</f>
        <v>0</v>
      </c>
      <c r="AQ142" s="436">
        <f>SUM(AQ112:AQ141)</f>
        <v>0</v>
      </c>
      <c r="AR142" s="437">
        <f>AR141</f>
        <v>0</v>
      </c>
      <c r="AS142" s="56"/>
      <c r="AV142" s="68" t="s">
        <v>72</v>
      </c>
      <c r="AW142" s="435">
        <f>SUM(AW112:AW141)</f>
        <v>29980</v>
      </c>
      <c r="AX142" s="436">
        <f>SUM(AX112:AX141)</f>
        <v>9978</v>
      </c>
      <c r="AY142" s="436">
        <f>SUM(AY112:AY141)</f>
        <v>9979.5000000000018</v>
      </c>
      <c r="AZ142" s="436">
        <f>SUM(AZ112:AZ141)</f>
        <v>-1.5000000000000568</v>
      </c>
      <c r="BA142" s="437">
        <f>BA141</f>
        <v>37387.199999999997</v>
      </c>
      <c r="BB142" s="56"/>
      <c r="BE142" s="68" t="s">
        <v>72</v>
      </c>
      <c r="BF142" s="435">
        <f>SUM(BF112:BF141)</f>
        <v>78817.399999999994</v>
      </c>
      <c r="BG142" s="436">
        <f>SUM(BG112:BG141)</f>
        <v>49268</v>
      </c>
      <c r="BH142" s="436">
        <f>SUM(BH112:BH141)</f>
        <v>49280.200000000004</v>
      </c>
      <c r="BI142" s="436">
        <f>SUM(BI112:BI141)</f>
        <v>-12.200000000001182</v>
      </c>
      <c r="BJ142" s="437">
        <f>BJ141</f>
        <v>29537.199999999986</v>
      </c>
      <c r="BK142" s="56"/>
      <c r="BN142" s="68" t="s">
        <v>72</v>
      </c>
      <c r="BO142" s="435">
        <f>SUM(BO112:BO141)</f>
        <v>30613.599999999999</v>
      </c>
      <c r="BP142" s="436">
        <f>SUM(BP112:BP141)</f>
        <v>31115.279999999999</v>
      </c>
      <c r="BQ142" s="436">
        <f>SUM(BQ112:BQ141)</f>
        <v>30613.599999999999</v>
      </c>
      <c r="BR142" s="436">
        <f>SUM(BR112:BR141)</f>
        <v>501.67999999999984</v>
      </c>
      <c r="BS142" s="437">
        <f>BS141</f>
        <v>0</v>
      </c>
      <c r="BT142" s="56"/>
      <c r="BW142" s="68" t="s">
        <v>72</v>
      </c>
      <c r="BX142" s="86">
        <f>SUM(BX112:BX141)</f>
        <v>0</v>
      </c>
      <c r="BY142" s="87">
        <f>SUM(BY112:BY141)</f>
        <v>5731.5</v>
      </c>
      <c r="BZ142" s="87">
        <f>SUM(BZ112:BZ141)</f>
        <v>5964.1</v>
      </c>
      <c r="CA142" s="87">
        <f>SUM(CA112:CA141)</f>
        <v>-232.59999999999991</v>
      </c>
      <c r="CB142" s="88">
        <f>CB141</f>
        <v>5848.7999999999993</v>
      </c>
      <c r="CC142" s="56"/>
      <c r="CF142" s="68" t="s">
        <v>72</v>
      </c>
      <c r="CG142" s="86">
        <f>SUM(CG112:CG141)</f>
        <v>12106.88</v>
      </c>
      <c r="CH142" s="87">
        <f>SUM(CH112:CH141)</f>
        <v>10832.36</v>
      </c>
      <c r="CI142" s="87">
        <f>SUM(CI112:CI141)</f>
        <v>12106.88</v>
      </c>
      <c r="CJ142" s="87">
        <f>SUM(CJ112:CJ141)</f>
        <v>-1274.5200000000002</v>
      </c>
      <c r="CK142" s="88">
        <f>CK141</f>
        <v>0</v>
      </c>
      <c r="CL142" s="56"/>
      <c r="CO142" s="72" t="s">
        <v>72</v>
      </c>
      <c r="CP142" s="435">
        <f>SUM(CP112:CP141)</f>
        <v>0</v>
      </c>
      <c r="CQ142" s="436">
        <f>SUM(CQ112:CQ141)</f>
        <v>0</v>
      </c>
      <c r="CR142" s="436">
        <f>SUM(CR112:CR141)</f>
        <v>0</v>
      </c>
      <c r="CS142" s="436">
        <f>SUM(CS112:CS141)</f>
        <v>0</v>
      </c>
      <c r="CT142" s="437">
        <f>CT141</f>
        <v>0</v>
      </c>
      <c r="CU142" s="56"/>
      <c r="CX142" s="72" t="s">
        <v>72</v>
      </c>
      <c r="CY142" s="86">
        <f>SUM(CY112:CY141)</f>
        <v>35420</v>
      </c>
      <c r="CZ142" s="87">
        <f>SUM(CZ112:CZ141)</f>
        <v>43114.720000000001</v>
      </c>
      <c r="DA142" s="87">
        <f>SUM(DA112:DA141)</f>
        <v>43131.399999999994</v>
      </c>
      <c r="DB142" s="87">
        <f>SUM(DB112:DB141)</f>
        <v>-16.67999999999995</v>
      </c>
      <c r="DC142" s="88">
        <f>DC141</f>
        <v>24158.300000000003</v>
      </c>
      <c r="DD142" s="56"/>
      <c r="DG142" s="72" t="s">
        <v>72</v>
      </c>
      <c r="DH142" s="86">
        <f>SUM(DH112:DH141)</f>
        <v>68870</v>
      </c>
      <c r="DI142" s="151">
        <f>SUM(DI112:DI141)</f>
        <v>32588</v>
      </c>
      <c r="DJ142" s="87">
        <f>SUM(DJ112:DJ141)</f>
        <v>32589.4</v>
      </c>
      <c r="DK142" s="151">
        <f>SUM(DK112:DK141)</f>
        <v>-1.4000000000000483</v>
      </c>
      <c r="DL142" s="155">
        <f>DL141</f>
        <v>42939.599999999984</v>
      </c>
      <c r="DM142" s="340"/>
      <c r="DP142" s="72" t="s">
        <v>72</v>
      </c>
      <c r="DQ142" s="86">
        <f>SUM(DQ112:DQ141)</f>
        <v>0</v>
      </c>
      <c r="DR142" s="87">
        <f>SUM(DR112:DR141)</f>
        <v>800</v>
      </c>
      <c r="DS142" s="87">
        <f>SUM(DS112:DS141)</f>
        <v>1350</v>
      </c>
      <c r="DT142" s="87">
        <f>SUM(DT112:DT141)</f>
        <v>-550</v>
      </c>
      <c r="DU142" s="88">
        <f>DU141</f>
        <v>5800</v>
      </c>
      <c r="DV142" s="56"/>
      <c r="DY142" s="72" t="s">
        <v>72</v>
      </c>
      <c r="DZ142" s="86">
        <f>SUM(DZ112:DZ141)</f>
        <v>0</v>
      </c>
      <c r="EA142" s="87">
        <f>SUM(EA112:EA141)</f>
        <v>2200</v>
      </c>
      <c r="EB142" s="87">
        <f>SUM(EB112:EB141)</f>
        <v>1847.3</v>
      </c>
      <c r="EC142" s="87">
        <f>SUM(EC112:EC141)</f>
        <v>352.7</v>
      </c>
      <c r="ED142" s="88">
        <f>ED141</f>
        <v>0</v>
      </c>
      <c r="EE142" s="56"/>
      <c r="EH142" s="72" t="s">
        <v>72</v>
      </c>
      <c r="EI142" s="86">
        <f>SUM(EI112:EI141)</f>
        <v>0</v>
      </c>
      <c r="EJ142" s="87">
        <f>SUM(EJ112:EJ141)</f>
        <v>0</v>
      </c>
      <c r="EK142" s="87">
        <f>SUM(EK112:EK141)</f>
        <v>0</v>
      </c>
      <c r="EL142" s="87">
        <f>SUM(EL112:EL141)</f>
        <v>0</v>
      </c>
      <c r="EM142" s="88">
        <f>EM141</f>
        <v>0</v>
      </c>
      <c r="EN142" s="56"/>
      <c r="EQ142" s="72" t="s">
        <v>72</v>
      </c>
      <c r="ER142" s="86">
        <f>SUM(ER112:ER141)</f>
        <v>0</v>
      </c>
      <c r="ES142" s="87">
        <f>SUM(ES112:ES141)</f>
        <v>0</v>
      </c>
      <c r="ET142" s="87">
        <f>SUM(ET112:ET141)</f>
        <v>0</v>
      </c>
      <c r="EU142" s="87">
        <f>SUM(EU112:EU141)</f>
        <v>0</v>
      </c>
      <c r="EV142" s="88">
        <f>EV141</f>
        <v>0</v>
      </c>
      <c r="EW142" s="56"/>
      <c r="EZ142" s="72" t="s">
        <v>72</v>
      </c>
      <c r="FA142" s="86">
        <f>SUM(FA112:FA141)</f>
        <v>0</v>
      </c>
      <c r="FB142" s="87">
        <f>SUM(FB112:FB141)</f>
        <v>0</v>
      </c>
      <c r="FC142" s="87">
        <f>SUM(FC112:FC141)</f>
        <v>0</v>
      </c>
      <c r="FD142" s="87">
        <f>SUM(FD112:FD141)</f>
        <v>0</v>
      </c>
      <c r="FE142" s="88">
        <f>FE141</f>
        <v>0</v>
      </c>
      <c r="FF142" s="56"/>
      <c r="FI142" s="72" t="s">
        <v>72</v>
      </c>
      <c r="FJ142" s="86">
        <f>SUM(FJ112:FJ141)</f>
        <v>0</v>
      </c>
      <c r="FK142" s="87">
        <f>SUM(FK112:FK141)</f>
        <v>0</v>
      </c>
      <c r="FL142" s="87">
        <f>SUM(FL112:FL141)</f>
        <v>0</v>
      </c>
      <c r="FM142" s="87">
        <f>SUM(FM112:FM141)</f>
        <v>0</v>
      </c>
      <c r="FN142" s="88">
        <f>FN141</f>
        <v>0</v>
      </c>
      <c r="FO142" s="56"/>
      <c r="FR142" s="72" t="s">
        <v>72</v>
      </c>
      <c r="FS142" s="435">
        <f>SUM(FS112:FS141)</f>
        <v>1980</v>
      </c>
      <c r="FT142" s="436">
        <f>SUM(FT112:FT141)</f>
        <v>1520</v>
      </c>
      <c r="FU142" s="436">
        <f>SUM(FU112:FU141)</f>
        <v>1840</v>
      </c>
      <c r="FV142" s="436">
        <f>SUM(FV112:FV141)</f>
        <v>-320</v>
      </c>
      <c r="FW142" s="437">
        <f>FW141</f>
        <v>2120</v>
      </c>
      <c r="FX142" s="459">
        <f>FW142/20</f>
        <v>106</v>
      </c>
      <c r="FY142" s="460" t="s">
        <v>173</v>
      </c>
      <c r="GA142" s="72" t="s">
        <v>72</v>
      </c>
      <c r="GB142" s="435">
        <f>SUM(GB112:GB141)</f>
        <v>8000</v>
      </c>
      <c r="GC142" s="436">
        <f>SUM(GC112:GC141)</f>
        <v>7040</v>
      </c>
      <c r="GD142" s="436">
        <f>SUM(GD112:GD141)</f>
        <v>6360</v>
      </c>
      <c r="GE142" s="436">
        <f>SUM(GE112:GE141)</f>
        <v>680</v>
      </c>
      <c r="GF142" s="437">
        <f>GF141</f>
        <v>3640</v>
      </c>
      <c r="GG142" s="461">
        <f>GF142/20</f>
        <v>182</v>
      </c>
      <c r="GH142" s="460" t="s">
        <v>173</v>
      </c>
      <c r="GI142" s="23"/>
      <c r="GJ142" s="72" t="s">
        <v>72</v>
      </c>
      <c r="GK142" s="435">
        <f>SUM(GK112:GK141)</f>
        <v>0</v>
      </c>
      <c r="GL142" s="436">
        <f>SUM(GL112:GL141)</f>
        <v>1520</v>
      </c>
      <c r="GM142" s="436">
        <f>SUM(GM112:GM141)</f>
        <v>2720</v>
      </c>
      <c r="GN142" s="436">
        <f>SUM(GN112:GN141)</f>
        <v>-1200</v>
      </c>
      <c r="GO142" s="437">
        <f>GO141</f>
        <v>2080</v>
      </c>
      <c r="GP142" s="459">
        <f>GO142/20</f>
        <v>104</v>
      </c>
      <c r="GQ142" s="460" t="s">
        <v>173</v>
      </c>
      <c r="GS142" s="72" t="s">
        <v>72</v>
      </c>
      <c r="GT142" s="86">
        <f>SUM(GT112:GT141)</f>
        <v>0</v>
      </c>
      <c r="GU142" s="87">
        <f>SUM(GU112:GU141)</f>
        <v>0</v>
      </c>
      <c r="GV142" s="87">
        <f>SUM(GV112:GV141)</f>
        <v>0</v>
      </c>
      <c r="GW142" s="87">
        <f>SUM(GW112:GW141)</f>
        <v>0</v>
      </c>
      <c r="GX142" s="88">
        <f>GX141</f>
        <v>0</v>
      </c>
      <c r="GY142" s="56"/>
      <c r="HB142" s="72" t="s">
        <v>72</v>
      </c>
      <c r="HC142" s="86">
        <f>SUM(HC112:HC141)</f>
        <v>0</v>
      </c>
      <c r="HD142" s="87">
        <f>SUM(HD112:HD141)</f>
        <v>0</v>
      </c>
      <c r="HE142" s="87">
        <f>SUM(HE112:HE141)</f>
        <v>0</v>
      </c>
      <c r="HF142" s="87">
        <f>SUM(HF112:HF141)</f>
        <v>0</v>
      </c>
      <c r="HG142" s="88">
        <f>HG141</f>
        <v>0</v>
      </c>
      <c r="HH142" s="56"/>
      <c r="HK142" s="72" t="s">
        <v>72</v>
      </c>
      <c r="HL142" s="86">
        <f>SUM(HL112:HL141)</f>
        <v>0</v>
      </c>
      <c r="HM142" s="87">
        <f>SUM(HM112:HM141)</f>
        <v>0</v>
      </c>
      <c r="HN142" s="87">
        <f>SUM(HN112:HN141)</f>
        <v>0</v>
      </c>
      <c r="HO142" s="87">
        <f>SUM(HO112:HO141)</f>
        <v>0</v>
      </c>
      <c r="HP142" s="88">
        <f>HP141</f>
        <v>0</v>
      </c>
      <c r="HQ142" s="56"/>
      <c r="HU142" s="72" t="s">
        <v>72</v>
      </c>
      <c r="HV142" s="86">
        <f>SUM(HV112:HV141)</f>
        <v>2000</v>
      </c>
      <c r="HW142" s="87">
        <f>SUM(HW112:HW141)</f>
        <v>760</v>
      </c>
      <c r="HX142" s="87">
        <f>SUM(HX112:HX141)</f>
        <v>760</v>
      </c>
      <c r="HY142" s="87">
        <f>SUM(HY112:HY141)</f>
        <v>0</v>
      </c>
      <c r="HZ142" s="88">
        <f>HZ141</f>
        <v>6360</v>
      </c>
      <c r="IA142" s="459">
        <f>HZ142/20</f>
        <v>318</v>
      </c>
      <c r="IB142" s="460" t="s">
        <v>173</v>
      </c>
      <c r="ID142" s="72" t="s">
        <v>72</v>
      </c>
      <c r="IE142" s="86">
        <f>SUM(IE112:IE141)</f>
        <v>0</v>
      </c>
      <c r="IF142" s="87">
        <f>SUM(IF112:IF141)</f>
        <v>0</v>
      </c>
      <c r="IG142" s="87">
        <f>SUM(IG112:IG141)</f>
        <v>0</v>
      </c>
      <c r="IH142" s="87">
        <f>SUM(IH112:IH141)</f>
        <v>0</v>
      </c>
      <c r="II142" s="88">
        <f>II141</f>
        <v>6540</v>
      </c>
      <c r="IJ142" s="459">
        <f>II142/20</f>
        <v>327</v>
      </c>
      <c r="IK142" s="460" t="s">
        <v>173</v>
      </c>
      <c r="IM142" s="72" t="s">
        <v>72</v>
      </c>
      <c r="IN142" s="86">
        <f>SUM(IN112:IN141)</f>
        <v>0</v>
      </c>
      <c r="IO142" s="87">
        <f>SUM(IO112:IO141)</f>
        <v>0</v>
      </c>
      <c r="IP142" s="87">
        <f>SUM(IP112:IP141)</f>
        <v>0</v>
      </c>
      <c r="IQ142" s="87">
        <f>SUM(IQ112:IQ141)</f>
        <v>0</v>
      </c>
      <c r="IR142" s="88">
        <f>IR141</f>
        <v>11540</v>
      </c>
      <c r="IS142" s="459">
        <f>IR142/20</f>
        <v>577</v>
      </c>
      <c r="IT142" s="460" t="s">
        <v>173</v>
      </c>
      <c r="IV142" s="72" t="s">
        <v>72</v>
      </c>
      <c r="IW142" s="86">
        <f>SUM(IW112:IW141)</f>
        <v>0</v>
      </c>
      <c r="IX142" s="87">
        <f>SUM(IX112:IX141)</f>
        <v>0</v>
      </c>
      <c r="IY142" s="87">
        <f>SUM(IY112:IY141)</f>
        <v>0</v>
      </c>
      <c r="IZ142" s="87">
        <f>SUM(IZ112:IZ141)</f>
        <v>0</v>
      </c>
      <c r="JA142" s="88">
        <f>JA141</f>
        <v>15120</v>
      </c>
      <c r="JB142" s="459">
        <f>JA142/20</f>
        <v>756</v>
      </c>
      <c r="JC142" s="460" t="s">
        <v>173</v>
      </c>
      <c r="JE142" s="72" t="s">
        <v>72</v>
      </c>
      <c r="JF142" s="86">
        <f>SUM(JF112:JF141)</f>
        <v>0</v>
      </c>
      <c r="JG142" s="87">
        <f>SUM(JG112:JG141)</f>
        <v>960</v>
      </c>
      <c r="JH142" s="87">
        <f>SUM(JH112:JH141)</f>
        <v>3080</v>
      </c>
      <c r="JI142" s="87">
        <f>SUM(JI112:JI141)</f>
        <v>-2120</v>
      </c>
      <c r="JJ142" s="88">
        <f>JJ141</f>
        <v>1960</v>
      </c>
      <c r="JK142" s="459">
        <f>JJ142/20</f>
        <v>98</v>
      </c>
      <c r="JL142" s="460" t="s">
        <v>173</v>
      </c>
      <c r="JN142" s="72" t="s">
        <v>72</v>
      </c>
      <c r="JO142" s="86">
        <f>SUM(JO112:JO141)</f>
        <v>0</v>
      </c>
      <c r="JP142" s="87">
        <f>SUM(JP112:JP141)</f>
        <v>0</v>
      </c>
      <c r="JQ142" s="87">
        <f>SUM(JQ112:JQ141)</f>
        <v>0</v>
      </c>
      <c r="JR142" s="87">
        <f>SUM(JR112:JR141)</f>
        <v>0</v>
      </c>
      <c r="JS142" s="88">
        <f>JS141</f>
        <v>9100</v>
      </c>
      <c r="JT142" s="459">
        <f>JS142/20</f>
        <v>455</v>
      </c>
      <c r="JU142" s="460" t="s">
        <v>173</v>
      </c>
      <c r="JW142" s="72" t="s">
        <v>72</v>
      </c>
      <c r="JX142" s="86">
        <f>SUM(JX112:JX141)</f>
        <v>0</v>
      </c>
      <c r="JY142" s="87">
        <f>SUM(JY112:JY141)</f>
        <v>2400</v>
      </c>
      <c r="JZ142" s="87">
        <f>SUM(JZ112:JZ141)</f>
        <v>1680</v>
      </c>
      <c r="KA142" s="87">
        <f>SUM(KA112:KA141)</f>
        <v>720</v>
      </c>
      <c r="KB142" s="88">
        <f>KB141</f>
        <v>2540</v>
      </c>
      <c r="KC142" s="459">
        <f>KB142/20</f>
        <v>127</v>
      </c>
      <c r="KD142" s="460" t="s">
        <v>173</v>
      </c>
      <c r="KF142" s="72" t="s">
        <v>72</v>
      </c>
      <c r="KG142" s="86">
        <f>SUM(KG112:KG141)</f>
        <v>1950</v>
      </c>
      <c r="KH142" s="87">
        <f>SUM(KH112:KH141)</f>
        <v>10023</v>
      </c>
      <c r="KI142" s="87">
        <f>SUM(KI112:KI141)</f>
        <v>9633</v>
      </c>
      <c r="KJ142" s="87">
        <f>SUM(KJ112:KJ141)</f>
        <v>390</v>
      </c>
      <c r="KK142" s="88">
        <f>KK141</f>
        <v>19.5</v>
      </c>
      <c r="KL142" s="459">
        <f>KK142/19.5</f>
        <v>1</v>
      </c>
      <c r="KM142" s="460" t="s">
        <v>173</v>
      </c>
      <c r="KO142" s="72" t="s">
        <v>72</v>
      </c>
      <c r="KP142" s="86">
        <f>SUM(KP112:KP141)</f>
        <v>0</v>
      </c>
      <c r="KQ142" s="87">
        <f>SUM(KQ112:KQ141)</f>
        <v>3628.7999999999997</v>
      </c>
      <c r="KR142" s="87">
        <f>SUM(KR112:KR141)</f>
        <v>4347</v>
      </c>
      <c r="KS142" s="87">
        <f>SUM(KS112:KS141)</f>
        <v>-718.19999999999982</v>
      </c>
      <c r="KT142" s="88">
        <f>KT141</f>
        <v>2079</v>
      </c>
      <c r="KU142" s="459">
        <f>KT142/18.9</f>
        <v>110.00000000000001</v>
      </c>
      <c r="KV142" s="460" t="s">
        <v>173</v>
      </c>
      <c r="KW142" s="23"/>
      <c r="KX142" s="72" t="s">
        <v>72</v>
      </c>
      <c r="KY142" s="86">
        <f>SUM(KY112:KY141)</f>
        <v>8610</v>
      </c>
      <c r="KZ142" s="87">
        <f>SUM(KZ112:KZ141)</f>
        <v>1557.9999999999998</v>
      </c>
      <c r="LA142" s="87">
        <f>SUM(LA112:LA141)</f>
        <v>2460</v>
      </c>
      <c r="LB142" s="87">
        <f>SUM(LB112:LB141)</f>
        <v>-902</v>
      </c>
      <c r="LC142" s="88">
        <f>LC141</f>
        <v>6150</v>
      </c>
      <c r="LD142" s="459">
        <f>LC142/20.5</f>
        <v>300</v>
      </c>
      <c r="LE142" s="460" t="s">
        <v>173</v>
      </c>
      <c r="LG142" s="72" t="s">
        <v>72</v>
      </c>
      <c r="LH142" s="86">
        <f>SUM(LH112:LH141)</f>
        <v>4000</v>
      </c>
      <c r="LI142" s="87">
        <f>SUM(LI112:LI141)</f>
        <v>0</v>
      </c>
      <c r="LJ142" s="87">
        <f>SUM(LJ112:LJ141)</f>
        <v>0</v>
      </c>
      <c r="LK142" s="87">
        <f>SUM(LK112:LK141)</f>
        <v>0</v>
      </c>
      <c r="LL142" s="88">
        <f>LL141</f>
        <v>4000</v>
      </c>
      <c r="LM142" s="459">
        <f>LL142/20</f>
        <v>200</v>
      </c>
      <c r="LN142" s="460" t="s">
        <v>173</v>
      </c>
      <c r="LP142" s="72" t="s">
        <v>72</v>
      </c>
      <c r="LQ142" s="86">
        <f>SUM(LQ112:LQ141)</f>
        <v>0</v>
      </c>
      <c r="LR142" s="87">
        <f>SUM(LR112:LR141)</f>
        <v>0</v>
      </c>
      <c r="LS142" s="87">
        <f>SUM(LS112:LS141)</f>
        <v>0</v>
      </c>
      <c r="LT142" s="87">
        <f>SUM(LT112:LT141)</f>
        <v>0</v>
      </c>
      <c r="LU142" s="88">
        <f>LU141</f>
        <v>0</v>
      </c>
      <c r="LV142" s="56"/>
      <c r="LY142" s="72" t="s">
        <v>72</v>
      </c>
      <c r="LZ142" s="86">
        <f>SUM(LZ112:LZ141)</f>
        <v>0</v>
      </c>
      <c r="MA142" s="87">
        <f>SUM(MA112:MA141)</f>
        <v>0</v>
      </c>
      <c r="MB142" s="87">
        <f>SUM(MB112:MB141)</f>
        <v>0</v>
      </c>
      <c r="MC142" s="87">
        <f>SUM(MC112:MC141)</f>
        <v>0</v>
      </c>
      <c r="MD142" s="88">
        <f>MD141</f>
        <v>0</v>
      </c>
      <c r="ME142" s="56"/>
      <c r="MH142" s="72" t="s">
        <v>72</v>
      </c>
      <c r="MI142" s="86">
        <f>SUM(MI112:MI141)</f>
        <v>0</v>
      </c>
      <c r="MJ142" s="87">
        <f>SUM(MJ112:MJ141)</f>
        <v>0</v>
      </c>
      <c r="MK142" s="87">
        <f>SUM(MK112:MK141)</f>
        <v>0</v>
      </c>
      <c r="ML142" s="87">
        <f>SUM(ML112:ML141)</f>
        <v>0</v>
      </c>
      <c r="MM142" s="88">
        <f>MM141</f>
        <v>0</v>
      </c>
      <c r="MN142" s="56"/>
      <c r="MQ142" s="72" t="s">
        <v>72</v>
      </c>
      <c r="MR142" s="86">
        <f>SUM(MR112:MR141)</f>
        <v>0</v>
      </c>
      <c r="MS142" s="87">
        <f>SUM(MS112:MS141)</f>
        <v>407</v>
      </c>
      <c r="MT142" s="87">
        <f>SUM(MT112:MT141)</f>
        <v>292</v>
      </c>
      <c r="MU142" s="87">
        <f>SUM(MU112:MU141)</f>
        <v>115</v>
      </c>
      <c r="MV142" s="88">
        <f>MV141</f>
        <v>3903</v>
      </c>
      <c r="MW142" s="56"/>
      <c r="MZ142" s="72" t="s">
        <v>72</v>
      </c>
      <c r="NA142" s="86">
        <f>SUM(NA112:NA141)</f>
        <v>3360</v>
      </c>
      <c r="NB142" s="87">
        <f>SUM(NB112:NB141)</f>
        <v>2964</v>
      </c>
      <c r="NC142" s="87">
        <f>SUM(NC112:NC141)</f>
        <v>3360</v>
      </c>
      <c r="ND142" s="87">
        <f>SUM(ND112:ND141)</f>
        <v>-396</v>
      </c>
      <c r="NE142" s="88">
        <f>NE141</f>
        <v>0</v>
      </c>
      <c r="NF142" s="56"/>
      <c r="NI142" s="72" t="s">
        <v>72</v>
      </c>
      <c r="NJ142" s="86">
        <f>SUM(NJ112:NJ141)</f>
        <v>0</v>
      </c>
      <c r="NK142" s="87">
        <f>SUM(NK112:NK141)</f>
        <v>834</v>
      </c>
      <c r="NL142" s="87">
        <f>SUM(NL112:NL141)</f>
        <v>928</v>
      </c>
      <c r="NM142" s="87">
        <f>SUM(NM112:NM141)</f>
        <v>-94</v>
      </c>
      <c r="NN142" s="88">
        <f>NN141</f>
        <v>1137</v>
      </c>
      <c r="NO142" s="56"/>
      <c r="NR142" s="72" t="s">
        <v>72</v>
      </c>
      <c r="NS142" s="86">
        <f>SUM(NS112:NS141)</f>
        <v>0</v>
      </c>
      <c r="NT142" s="87">
        <f>SUM(NT112:NT141)</f>
        <v>962.4</v>
      </c>
      <c r="NU142" s="87">
        <f>SUM(NU112:NU141)</f>
        <v>1029.5999999999999</v>
      </c>
      <c r="NV142" s="87">
        <f>SUM(NV112:NV141)</f>
        <v>-67.200000000000074</v>
      </c>
      <c r="NW142" s="88">
        <f>NW141</f>
        <v>3122.8999999999996</v>
      </c>
      <c r="NX142" s="56"/>
      <c r="OA142" s="72" t="s">
        <v>72</v>
      </c>
      <c r="OB142" s="86">
        <f>SUM(OB112:OB141)</f>
        <v>0</v>
      </c>
      <c r="OC142" s="87">
        <f>SUM(OC112:OC141)</f>
        <v>0</v>
      </c>
      <c r="OD142" s="87">
        <f>SUM(OD112:OD141)</f>
        <v>0</v>
      </c>
      <c r="OE142" s="87">
        <f>SUM(OE112:OE141)</f>
        <v>0</v>
      </c>
      <c r="OF142" s="88">
        <f>OF141</f>
        <v>1680.5</v>
      </c>
      <c r="OG142" s="56"/>
      <c r="OJ142" s="72" t="s">
        <v>72</v>
      </c>
      <c r="OK142" s="86">
        <f>SUM(OK112:OK141)</f>
        <v>2628.9999999999995</v>
      </c>
      <c r="OL142" s="87">
        <f>SUM(OL112:OL141)</f>
        <v>2519.1199999999994</v>
      </c>
      <c r="OM142" s="87">
        <f>SUM(OM112:OM141)</f>
        <v>2628.9999999999995</v>
      </c>
      <c r="ON142" s="87">
        <f>SUM(ON112:ON141)</f>
        <v>-109.88000000000014</v>
      </c>
      <c r="OO142" s="88">
        <f>OO141</f>
        <v>0</v>
      </c>
      <c r="OP142" s="56"/>
      <c r="OS142" s="72" t="s">
        <v>72</v>
      </c>
      <c r="OT142" s="86">
        <f>SUM(OT112:OT141)</f>
        <v>0</v>
      </c>
      <c r="OU142" s="87">
        <f>SUM(OU112:OU141)</f>
        <v>0</v>
      </c>
      <c r="OV142" s="87">
        <f>SUM(OV112:OV141)</f>
        <v>18</v>
      </c>
      <c r="OW142" s="87">
        <f>SUM(OW112:OW141)</f>
        <v>-18</v>
      </c>
      <c r="OX142" s="88">
        <f>OX141</f>
        <v>982</v>
      </c>
      <c r="OY142" s="56"/>
      <c r="PB142" s="72" t="s">
        <v>72</v>
      </c>
      <c r="PC142" s="86">
        <f>SUM(PC112:PC141)</f>
        <v>0</v>
      </c>
      <c r="PD142" s="87">
        <f>SUM(PD112:PD141)</f>
        <v>0</v>
      </c>
      <c r="PE142" s="87">
        <f>SUM(PE112:PE141)</f>
        <v>0</v>
      </c>
      <c r="PF142" s="87">
        <f>SUM(PF112:PF141)</f>
        <v>0</v>
      </c>
      <c r="PG142" s="88">
        <f>PG141</f>
        <v>0</v>
      </c>
      <c r="PH142" s="56"/>
      <c r="PK142" s="72" t="s">
        <v>72</v>
      </c>
      <c r="PL142" s="86">
        <f>SUM(PL112:PL141)</f>
        <v>0</v>
      </c>
      <c r="PM142" s="87">
        <f>SUM(PM112:PM141)</f>
        <v>0</v>
      </c>
      <c r="PN142" s="87">
        <f>SUM(PN112:PN141)</f>
        <v>0</v>
      </c>
      <c r="PO142" s="87">
        <f>SUM(PO112:PO141)</f>
        <v>0</v>
      </c>
      <c r="PP142" s="88">
        <f>PP141</f>
        <v>100</v>
      </c>
      <c r="PQ142" s="56"/>
      <c r="PT142" s="72" t="s">
        <v>72</v>
      </c>
      <c r="PU142" s="86">
        <f>SUM(PU112:PU141)</f>
        <v>0</v>
      </c>
      <c r="PV142" s="87">
        <f>SUM(PV112:PV141)</f>
        <v>0</v>
      </c>
      <c r="PW142" s="87">
        <f>SUM(PW112:PW141)</f>
        <v>0</v>
      </c>
      <c r="PX142" s="87">
        <f>SUM(PX112:PX141)</f>
        <v>0</v>
      </c>
      <c r="PY142" s="88">
        <f>PY141</f>
        <v>13.960000000000036</v>
      </c>
      <c r="PZ142" s="56"/>
      <c r="QC142" s="72" t="s">
        <v>72</v>
      </c>
      <c r="QD142" s="86">
        <f>SUM(QD112:QD141)</f>
        <v>0</v>
      </c>
      <c r="QE142" s="87">
        <f>SUM(QE112:QE141)</f>
        <v>192</v>
      </c>
      <c r="QF142" s="87">
        <f>SUM(QF112:QF141)</f>
        <v>616</v>
      </c>
      <c r="QG142" s="87">
        <f>SUM(QG112:QG141)</f>
        <v>-424</v>
      </c>
      <c r="QH142" s="88">
        <f>QH141</f>
        <v>596</v>
      </c>
      <c r="QI142" s="56"/>
      <c r="QL142" s="72" t="s">
        <v>72</v>
      </c>
      <c r="QM142" s="86">
        <f>SUM(QM112:QM141)</f>
        <v>0</v>
      </c>
      <c r="QN142" s="87">
        <f>SUM(QN112:QN141)</f>
        <v>0</v>
      </c>
      <c r="QO142" s="87">
        <f>SUM(QO112:QO141)</f>
        <v>0</v>
      </c>
      <c r="QP142" s="87">
        <f>SUM(QP112:QP141)</f>
        <v>0</v>
      </c>
      <c r="QQ142" s="88">
        <f>QQ141</f>
        <v>400</v>
      </c>
      <c r="QR142" s="56"/>
      <c r="QU142" s="72" t="s">
        <v>72</v>
      </c>
      <c r="QV142" s="86">
        <f>SUM(QV112:QV141)</f>
        <v>0</v>
      </c>
      <c r="QW142" s="87">
        <f>SUM(QW112:QW141)</f>
        <v>0</v>
      </c>
      <c r="QX142" s="69">
        <f>SUM(QX112:QX141)</f>
        <v>0</v>
      </c>
      <c r="QY142" s="87">
        <f>SUM(QY112:QY141)</f>
        <v>0</v>
      </c>
      <c r="QZ142" s="88">
        <f>QZ141</f>
        <v>207.6</v>
      </c>
      <c r="RA142" s="56"/>
      <c r="RD142" s="72" t="s">
        <v>72</v>
      </c>
      <c r="RE142" s="86">
        <f>SUM(RE112:RE141)</f>
        <v>0</v>
      </c>
      <c r="RF142" s="87">
        <f>SUM(RF112:RF141)</f>
        <v>0</v>
      </c>
      <c r="RG142" s="69">
        <f>SUM(RG112:RG141)</f>
        <v>50</v>
      </c>
      <c r="RH142" s="87">
        <f>SUM(RH112:RH141)</f>
        <v>-50</v>
      </c>
      <c r="RI142" s="88">
        <f>RI141</f>
        <v>147.04000000000002</v>
      </c>
      <c r="RJ142" s="56"/>
      <c r="RM142" s="72" t="s">
        <v>72</v>
      </c>
      <c r="RN142" s="86">
        <f>SUM(RN112:RN141)</f>
        <v>0</v>
      </c>
      <c r="RO142" s="87">
        <f>SUM(RO112:RO141)</f>
        <v>0</v>
      </c>
      <c r="RP142" s="69">
        <f>SUM(RP112:RP141)</f>
        <v>0</v>
      </c>
      <c r="RQ142" s="87">
        <f>SUM(RQ112:RQ141)</f>
        <v>0</v>
      </c>
      <c r="RR142" s="88">
        <f>RR141</f>
        <v>46.8</v>
      </c>
      <c r="RS142" s="56"/>
      <c r="RV142" s="72" t="s">
        <v>72</v>
      </c>
      <c r="RW142" s="86">
        <f>SUM(RW112:RW141)</f>
        <v>0</v>
      </c>
      <c r="RX142" s="87">
        <f>SUM(RX112:RX141)</f>
        <v>0</v>
      </c>
      <c r="RY142" s="69">
        <f>SUM(RY112:RY141)</f>
        <v>0</v>
      </c>
      <c r="RZ142" s="87">
        <f>SUM(RZ112:RZ141)</f>
        <v>0</v>
      </c>
      <c r="SA142" s="88">
        <f>SA141</f>
        <v>0</v>
      </c>
      <c r="SB142" s="56"/>
      <c r="SE142" s="72" t="s">
        <v>72</v>
      </c>
      <c r="SF142" s="86">
        <f>SUM(SF112:SF141)</f>
        <v>125</v>
      </c>
      <c r="SG142" s="87">
        <f>SUM(SG112:SG141)</f>
        <v>0</v>
      </c>
      <c r="SH142" s="69">
        <f>SUM(SH112:SH141)</f>
        <v>100.8</v>
      </c>
      <c r="SI142" s="87">
        <f>SUM(SI112:SI141)</f>
        <v>-100.8</v>
      </c>
      <c r="SJ142" s="88">
        <f>SJ141</f>
        <v>24.200000000000003</v>
      </c>
      <c r="SK142" s="56"/>
      <c r="SN142" s="72" t="s">
        <v>72</v>
      </c>
      <c r="SO142" s="86">
        <f>SUM(SO112:SO141)</f>
        <v>200</v>
      </c>
      <c r="SP142" s="87">
        <f>SUM(SP112:SP141)</f>
        <v>0</v>
      </c>
      <c r="SQ142" s="69">
        <f>SUM(SQ112:SQ141)</f>
        <v>168</v>
      </c>
      <c r="SR142" s="87">
        <f>SUM(SR112:SR141)</f>
        <v>-168</v>
      </c>
      <c r="SS142" s="88">
        <f>SS141</f>
        <v>32</v>
      </c>
      <c r="ST142" s="56"/>
      <c r="SW142" s="72" t="s">
        <v>72</v>
      </c>
      <c r="SX142" s="86">
        <f>SUM(SX112:SX141)</f>
        <v>0</v>
      </c>
      <c r="SY142" s="87">
        <f>SUM(SY112:SY141)</f>
        <v>0</v>
      </c>
      <c r="SZ142" s="69">
        <f>SUM(SZ112:SZ141)</f>
        <v>0</v>
      </c>
      <c r="TA142" s="87">
        <f>SUM(TA112:TA141)</f>
        <v>0</v>
      </c>
      <c r="TB142" s="88">
        <f>TB141</f>
        <v>0</v>
      </c>
      <c r="TC142" s="56"/>
      <c r="TF142" s="72" t="s">
        <v>72</v>
      </c>
      <c r="TG142" s="86">
        <f>SUM(TG112:TG141)</f>
        <v>0</v>
      </c>
      <c r="TH142" s="87">
        <f>SUM(TH112:TH141)</f>
        <v>0</v>
      </c>
      <c r="TI142" s="69">
        <f>SUM(TI112:TI141)</f>
        <v>0</v>
      </c>
      <c r="TJ142" s="87">
        <f>SUM(TJ112:TJ141)</f>
        <v>0</v>
      </c>
      <c r="TK142" s="88">
        <f>TK141</f>
        <v>0</v>
      </c>
      <c r="TL142" s="56"/>
      <c r="TO142" s="72" t="s">
        <v>72</v>
      </c>
      <c r="TP142" s="86">
        <f>SUM(TP112:TP141)</f>
        <v>0</v>
      </c>
      <c r="TQ142" s="87">
        <f>SUM(TQ112:TQ141)</f>
        <v>0</v>
      </c>
      <c r="TR142" s="69">
        <f>SUM(TR112:TR141)</f>
        <v>0</v>
      </c>
      <c r="TS142" s="87">
        <f>SUM(TS112:TS141)</f>
        <v>0</v>
      </c>
      <c r="TT142" s="88">
        <f>TT141</f>
        <v>0</v>
      </c>
      <c r="TU142" s="56"/>
      <c r="TX142" s="72" t="s">
        <v>72</v>
      </c>
      <c r="TY142" s="86">
        <f>SUM(TY112:TY141)</f>
        <v>0</v>
      </c>
      <c r="TZ142" s="87">
        <f>SUM(TZ112:TZ141)</f>
        <v>0</v>
      </c>
      <c r="UA142" s="69">
        <f>SUM(UA112:UA141)</f>
        <v>0</v>
      </c>
      <c r="UB142" s="87">
        <f>SUM(UB112:UB141)</f>
        <v>0</v>
      </c>
      <c r="UC142" s="88">
        <f>UC141</f>
        <v>0</v>
      </c>
      <c r="UD142" s="56"/>
      <c r="UG142" s="72" t="s">
        <v>72</v>
      </c>
      <c r="UH142" s="86">
        <f>SUM(UH112:UH141)</f>
        <v>0</v>
      </c>
      <c r="UI142" s="87">
        <f>SUM(UI112:UI141)</f>
        <v>0</v>
      </c>
      <c r="UJ142" s="69">
        <f>SUM(UJ112:UJ141)</f>
        <v>0</v>
      </c>
      <c r="UK142" s="87">
        <f>SUM(UK112:UK141)</f>
        <v>0</v>
      </c>
      <c r="UL142" s="88">
        <f>UL141</f>
        <v>0</v>
      </c>
      <c r="UM142" s="56"/>
      <c r="UP142" s="72" t="s">
        <v>72</v>
      </c>
      <c r="UQ142" s="86">
        <f>SUM(UQ112:UQ141)</f>
        <v>0</v>
      </c>
      <c r="UR142" s="87">
        <f>SUM(UR112:UR141)</f>
        <v>0</v>
      </c>
      <c r="US142" s="69">
        <f>SUM(US112:US141)</f>
        <v>0</v>
      </c>
      <c r="UT142" s="87">
        <f>SUM(UT112:UT141)</f>
        <v>0</v>
      </c>
      <c r="UU142" s="88">
        <f>UU141</f>
        <v>0</v>
      </c>
      <c r="UV142" s="56"/>
      <c r="UY142" s="72" t="s">
        <v>72</v>
      </c>
      <c r="UZ142" s="86">
        <f>SUM(UZ112:UZ141)</f>
        <v>0</v>
      </c>
      <c r="VA142" s="87">
        <f>SUM(VA112:VA141)</f>
        <v>0</v>
      </c>
      <c r="VB142" s="69">
        <f>SUM(VB111:VB141)</f>
        <v>0</v>
      </c>
      <c r="VC142" s="87">
        <f>SUM(VC112:VC141)</f>
        <v>0</v>
      </c>
      <c r="VD142" s="88">
        <f>VD141</f>
        <v>41.600000000000023</v>
      </c>
      <c r="VE142" s="56"/>
      <c r="VH142" s="72" t="s">
        <v>72</v>
      </c>
      <c r="VI142" s="86">
        <f>SUM(VI112:VI141)</f>
        <v>0</v>
      </c>
      <c r="VJ142" s="87">
        <f>SUM(VJ112:VJ141)</f>
        <v>0</v>
      </c>
      <c r="VK142" s="69">
        <f>SUM(VK111:VK141)</f>
        <v>0</v>
      </c>
      <c r="VL142" s="87">
        <f>SUM(VL112:VL141)</f>
        <v>0</v>
      </c>
      <c r="VM142" s="88">
        <f>VM141</f>
        <v>0</v>
      </c>
      <c r="VN142" s="56"/>
      <c r="VQ142" s="72" t="s">
        <v>72</v>
      </c>
      <c r="VR142" s="86">
        <f>SUM(VR112:VR141)</f>
        <v>0</v>
      </c>
      <c r="VS142" s="87">
        <f>SUM(VS112:VS141)</f>
        <v>0</v>
      </c>
      <c r="VT142" s="69">
        <f>SUM(VT111:VT141)</f>
        <v>0</v>
      </c>
      <c r="VU142" s="87">
        <f>SUM(VU112:VU141)</f>
        <v>0</v>
      </c>
      <c r="VV142" s="88">
        <f>VV141</f>
        <v>0</v>
      </c>
      <c r="VW142" s="56"/>
      <c r="VZ142" s="72" t="s">
        <v>72</v>
      </c>
      <c r="WA142" s="86">
        <f>SUM(WA112:WA141)</f>
        <v>0</v>
      </c>
      <c r="WB142" s="87">
        <f>SUM(WB112:WB141)</f>
        <v>0</v>
      </c>
      <c r="WC142" s="69">
        <f>SUM(WC111:WC141)</f>
        <v>0</v>
      </c>
      <c r="WD142" s="87">
        <f>SUM(WD112:WD141)</f>
        <v>0</v>
      </c>
      <c r="WE142" s="88">
        <f>WE141</f>
        <v>0</v>
      </c>
      <c r="WF142" s="56"/>
      <c r="WI142" s="72" t="s">
        <v>72</v>
      </c>
      <c r="WJ142" s="86">
        <f>SUM(WJ112:WJ141)</f>
        <v>0</v>
      </c>
      <c r="WK142" s="87">
        <f>SUM(WK112:WK141)</f>
        <v>0</v>
      </c>
      <c r="WL142" s="69">
        <f>SUM(WL112:WL141)</f>
        <v>1572</v>
      </c>
      <c r="WM142" s="87">
        <f>SUM(WM112:WM141)</f>
        <v>-1572</v>
      </c>
      <c r="WN142" s="88">
        <f>WN141</f>
        <v>2317</v>
      </c>
      <c r="WO142" s="56"/>
      <c r="WR142" s="72" t="s">
        <v>72</v>
      </c>
      <c r="WS142" s="86">
        <f>SUM(WS112:WS141)</f>
        <v>8000</v>
      </c>
      <c r="WT142" s="87">
        <f>SUM(WT112:WT141)</f>
        <v>0</v>
      </c>
      <c r="WU142" s="69">
        <f>SUM(WU112:WU141)</f>
        <v>7224</v>
      </c>
      <c r="WV142" s="87">
        <f>SUM(WV112:WV141)</f>
        <v>-7224</v>
      </c>
      <c r="WW142" s="88">
        <f>WW141</f>
        <v>776</v>
      </c>
      <c r="WX142" s="56"/>
      <c r="XA142" s="72" t="s">
        <v>72</v>
      </c>
      <c r="XB142" s="86">
        <f>SUM(XB112:XB141)</f>
        <v>8712</v>
      </c>
      <c r="XC142" s="87">
        <f>SUM(XC112:XC141)</f>
        <v>0</v>
      </c>
      <c r="XD142" s="69">
        <f>SUM(XD112:XD141)</f>
        <v>1606</v>
      </c>
      <c r="XE142" s="87">
        <f>SUM(XE112:XE141)</f>
        <v>-1606</v>
      </c>
      <c r="XF142" s="88">
        <f>XF141</f>
        <v>13455</v>
      </c>
      <c r="XG142" s="56"/>
      <c r="XJ142" s="72" t="s">
        <v>72</v>
      </c>
      <c r="XK142" s="86">
        <f>SUM(XK112:XK141)</f>
        <v>2000</v>
      </c>
      <c r="XL142" s="87">
        <f>SUM(XL112:XL141)</f>
        <v>0</v>
      </c>
      <c r="XM142" s="69">
        <f>SUM(XM112:XM141)</f>
        <v>6508</v>
      </c>
      <c r="XN142" s="87">
        <f>SUM(XN112:XN141)</f>
        <v>-6508</v>
      </c>
      <c r="XO142" s="88">
        <f>XO141</f>
        <v>1481</v>
      </c>
      <c r="XP142" s="56"/>
      <c r="XS142" s="72" t="s">
        <v>72</v>
      </c>
      <c r="XT142" s="86">
        <f>SUM(XT112:XT141)</f>
        <v>0</v>
      </c>
      <c r="XU142" s="87">
        <f>SUM(XU112:XU141)</f>
        <v>0</v>
      </c>
      <c r="XV142" s="69">
        <f>SUM(XV112:XV141)</f>
        <v>0</v>
      </c>
      <c r="XW142" s="87">
        <f>SUM(XW112:XW141)</f>
        <v>0</v>
      </c>
      <c r="XX142" s="88">
        <f>XX141</f>
        <v>1901</v>
      </c>
      <c r="XY142" s="56"/>
      <c r="YB142" s="72" t="s">
        <v>72</v>
      </c>
      <c r="YC142" s="86">
        <f>SUM(YC112:YC141)</f>
        <v>0</v>
      </c>
      <c r="YD142" s="87">
        <f>SUM(YD112:YD141)</f>
        <v>0</v>
      </c>
      <c r="YE142" s="69">
        <f>SUM(YE112:YE141)</f>
        <v>0</v>
      </c>
      <c r="YF142" s="87">
        <f>SUM(YF112:YF141)</f>
        <v>0</v>
      </c>
      <c r="YG142" s="88">
        <f>YG141</f>
        <v>6459</v>
      </c>
      <c r="YH142" s="56"/>
      <c r="YK142" s="72" t="s">
        <v>72</v>
      </c>
      <c r="YL142" s="86">
        <f>SUM(YL112:YL141)</f>
        <v>0</v>
      </c>
      <c r="YM142" s="87">
        <f>SUM(YM112:YM141)</f>
        <v>0</v>
      </c>
      <c r="YN142" s="69">
        <f>SUM(YN112:YN141)</f>
        <v>0</v>
      </c>
      <c r="YO142" s="87">
        <f>SUM(YO112:YO141)</f>
        <v>0</v>
      </c>
      <c r="YP142" s="88">
        <f>YP141</f>
        <v>0</v>
      </c>
      <c r="YQ142" s="56"/>
      <c r="YT142" s="72" t="s">
        <v>72</v>
      </c>
      <c r="YU142" s="86">
        <f>SUM(YU112:YU141)</f>
        <v>0</v>
      </c>
      <c r="YV142" s="87">
        <f>SUM(YV112:YV141)</f>
        <v>0</v>
      </c>
      <c r="YW142" s="69">
        <f>SUM(YW112:YW141)</f>
        <v>0</v>
      </c>
      <c r="YX142" s="87">
        <f>SUM(YX112:YX141)</f>
        <v>0</v>
      </c>
      <c r="YY142" s="88">
        <f>YY141</f>
        <v>0</v>
      </c>
      <c r="YZ142" s="56"/>
      <c r="ZC142" s="72" t="s">
        <v>72</v>
      </c>
      <c r="ZD142" s="86">
        <f>SUM(ZD112:ZD141)</f>
        <v>0</v>
      </c>
      <c r="ZE142" s="87">
        <f>SUM(ZE112:ZE141)</f>
        <v>0</v>
      </c>
      <c r="ZF142" s="69">
        <f>SUM(ZF112:ZF141)</f>
        <v>0</v>
      </c>
      <c r="ZG142" s="87">
        <f>SUM(ZG112:ZG141)</f>
        <v>0</v>
      </c>
      <c r="ZH142" s="88">
        <f>ZH141</f>
        <v>0</v>
      </c>
      <c r="ZI142" s="56"/>
      <c r="ZL142" s="72" t="s">
        <v>72</v>
      </c>
      <c r="ZM142" s="86">
        <f>SUM(ZM112:ZM141)</f>
        <v>0</v>
      </c>
      <c r="ZN142" s="87">
        <f>SUM(ZN112:ZN141)</f>
        <v>0</v>
      </c>
      <c r="ZO142" s="69">
        <f>SUM(ZO112:ZO141)</f>
        <v>0</v>
      </c>
      <c r="ZP142" s="87">
        <f>SUM(ZP112:ZP141)</f>
        <v>0</v>
      </c>
      <c r="ZQ142" s="88">
        <f>ZQ141</f>
        <v>0</v>
      </c>
      <c r="ZR142" s="56"/>
      <c r="ZU142" s="72" t="s">
        <v>72</v>
      </c>
      <c r="ZV142" s="86">
        <f>SUM(ZV112:ZV141)</f>
        <v>0</v>
      </c>
      <c r="ZW142" s="87">
        <f>SUM(ZW112:ZW141)</f>
        <v>0</v>
      </c>
      <c r="ZX142" s="69">
        <f>SUM(ZX112:ZX141)</f>
        <v>0</v>
      </c>
      <c r="ZY142" s="87">
        <f>SUM(ZY112:ZY141)</f>
        <v>0</v>
      </c>
      <c r="ZZ142" s="88">
        <f>ZZ141</f>
        <v>0</v>
      </c>
      <c r="AAA142" s="56"/>
      <c r="AAD142" s="72" t="s">
        <v>72</v>
      </c>
      <c r="AAE142" s="86">
        <f>SUM(AAE112:AAE141)</f>
        <v>0</v>
      </c>
      <c r="AAF142" s="87">
        <f>SUM(AAF112:AAF141)</f>
        <v>0</v>
      </c>
      <c r="AAG142" s="69">
        <f>SUM(AAG112:AAG141)</f>
        <v>0</v>
      </c>
      <c r="AAH142" s="87">
        <f>SUM(AAH112:AAH141)</f>
        <v>0</v>
      </c>
      <c r="AAI142" s="88">
        <f>AAI141</f>
        <v>0</v>
      </c>
      <c r="AAJ142" s="56"/>
      <c r="AAM142" s="72" t="s">
        <v>72</v>
      </c>
      <c r="AAN142" s="86">
        <f>SUM(AAN112:AAN141)</f>
        <v>0</v>
      </c>
      <c r="AAO142" s="87">
        <f>SUM(AAO112:AAO141)</f>
        <v>0</v>
      </c>
      <c r="AAP142" s="69">
        <f>SUM(AAP112:AAP141)</f>
        <v>0</v>
      </c>
      <c r="AAQ142" s="87">
        <f>SUM(AAQ112:AAQ141)</f>
        <v>0</v>
      </c>
      <c r="AAR142" s="88">
        <f>AAR141</f>
        <v>0</v>
      </c>
      <c r="AAS142" s="56"/>
      <c r="AAV142" s="72" t="s">
        <v>72</v>
      </c>
      <c r="AAW142" s="86">
        <f>SUM(AAW112:AAW141)</f>
        <v>0</v>
      </c>
      <c r="AAX142" s="87">
        <f>SUM(AAX112:AAX141)</f>
        <v>0</v>
      </c>
      <c r="AAY142" s="69">
        <f>SUM(AAY112:AAY141)</f>
        <v>0</v>
      </c>
      <c r="AAZ142" s="87">
        <f>SUM(AAZ112:AAZ141)</f>
        <v>0</v>
      </c>
      <c r="ABA142" s="88">
        <f>ABA141</f>
        <v>0</v>
      </c>
      <c r="ABB142" s="56"/>
      <c r="ABE142" s="72" t="s">
        <v>72</v>
      </c>
      <c r="ABF142" s="86">
        <f>SUM(ABF112:ABF141)</f>
        <v>0</v>
      </c>
      <c r="ABG142" s="87">
        <f>SUM(ABG112:ABG141)</f>
        <v>0</v>
      </c>
      <c r="ABH142" s="69">
        <f>SUM(ABH112:ABH141)</f>
        <v>0</v>
      </c>
      <c r="ABI142" s="87">
        <f>SUM(ABI112:ABI141)</f>
        <v>0</v>
      </c>
      <c r="ABJ142" s="88">
        <f>ABJ141</f>
        <v>0</v>
      </c>
      <c r="ABK142" s="56"/>
    </row>
    <row r="143" spans="1:739" ht="14.45" thickBot="1">
      <c r="C143" s="75"/>
      <c r="L143" s="75"/>
      <c r="U143" s="75"/>
      <c r="AD143" s="75"/>
      <c r="AM143" s="75"/>
      <c r="AV143" s="75"/>
      <c r="BE143" s="75"/>
      <c r="BN143" s="75"/>
      <c r="BW143" s="75"/>
      <c r="CF143" s="75"/>
      <c r="CO143" s="75"/>
      <c r="CX143" s="75"/>
      <c r="DG143" s="75"/>
      <c r="DP143" s="75"/>
      <c r="DY143" s="75"/>
      <c r="EH143" s="75"/>
      <c r="EQ143" s="75"/>
      <c r="EZ143" s="75"/>
      <c r="FI143" s="75"/>
      <c r="FR143" s="75"/>
      <c r="GA143" s="75"/>
      <c r="GJ143" s="75"/>
      <c r="GS143" s="75"/>
      <c r="HB143" s="75"/>
      <c r="HK143" s="75"/>
      <c r="HU143" s="75"/>
      <c r="ID143" s="75"/>
      <c r="IM143" s="75"/>
      <c r="IV143" s="75"/>
      <c r="JE143" s="75"/>
      <c r="JN143" s="75"/>
      <c r="JW143" s="75"/>
      <c r="KF143" s="75"/>
      <c r="KO143" s="75"/>
      <c r="KX143" s="75"/>
      <c r="LG143" s="75"/>
      <c r="LP143" s="75"/>
      <c r="LY143" s="75"/>
      <c r="MH143" s="75"/>
      <c r="MQ143" s="75"/>
      <c r="MZ143" s="75"/>
      <c r="NI143" s="75"/>
      <c r="NR143" s="75"/>
      <c r="OA143" s="75"/>
      <c r="OJ143" s="75"/>
      <c r="OS143" s="75"/>
      <c r="PB143" s="75"/>
      <c r="PK143" s="75"/>
      <c r="PT143" s="75"/>
      <c r="QC143" s="75"/>
      <c r="QL143" s="75"/>
      <c r="QU143" s="75"/>
      <c r="RD143" s="75"/>
      <c r="RM143" s="75"/>
      <c r="RV143" s="75"/>
      <c r="SE143" s="75"/>
      <c r="SN143" s="75"/>
      <c r="SW143" s="75"/>
      <c r="TF143" s="75"/>
      <c r="TO143" s="75"/>
      <c r="TX143" s="75"/>
      <c r="UG143" s="75"/>
      <c r="UP143" s="75"/>
      <c r="UY143" s="75"/>
      <c r="VH143" s="75"/>
      <c r="VQ143" s="75"/>
      <c r="VZ143" s="75"/>
      <c r="WI143" s="75"/>
      <c r="WR143" s="75"/>
      <c r="XA143" s="75"/>
      <c r="XJ143" s="75"/>
      <c r="XS143" s="75"/>
      <c r="YB143" s="75"/>
      <c r="YK143" s="75"/>
      <c r="YT143" s="75"/>
      <c r="ZC143" s="75"/>
      <c r="ZL143" s="75"/>
      <c r="ZU143" s="75"/>
      <c r="AAD143" s="75"/>
      <c r="AAM143" s="75"/>
      <c r="AAV143" s="75"/>
      <c r="ABE143" s="75"/>
    </row>
    <row r="144" spans="1:739" ht="14.45" thickBot="1">
      <c r="A144" s="22" t="s">
        <v>144</v>
      </c>
      <c r="C144" s="569" t="s">
        <v>144</v>
      </c>
      <c r="D144" s="570"/>
      <c r="E144" s="570"/>
      <c r="F144" s="570"/>
      <c r="G144" s="570"/>
      <c r="H144" s="571"/>
      <c r="I144" s="321"/>
      <c r="J144" s="22" t="s">
        <v>144</v>
      </c>
      <c r="L144" s="569" t="s">
        <v>144</v>
      </c>
      <c r="M144" s="570"/>
      <c r="N144" s="570"/>
      <c r="O144" s="570"/>
      <c r="P144" s="570"/>
      <c r="Q144" s="571"/>
      <c r="R144" s="24"/>
      <c r="S144" s="22" t="s">
        <v>144</v>
      </c>
      <c r="U144" s="569" t="s">
        <v>144</v>
      </c>
      <c r="V144" s="570"/>
      <c r="W144" s="570"/>
      <c r="X144" s="570"/>
      <c r="Y144" s="570"/>
      <c r="Z144" s="571"/>
      <c r="AA144" s="24"/>
      <c r="AB144" s="22" t="s">
        <v>144</v>
      </c>
      <c r="AD144" s="569" t="s">
        <v>144</v>
      </c>
      <c r="AE144" s="570"/>
      <c r="AF144" s="570"/>
      <c r="AG144" s="570"/>
      <c r="AH144" s="570"/>
      <c r="AI144" s="571"/>
      <c r="AJ144" s="24"/>
      <c r="AK144" s="22" t="s">
        <v>144</v>
      </c>
      <c r="AM144" s="569" t="s">
        <v>144</v>
      </c>
      <c r="AN144" s="570"/>
      <c r="AO144" s="570"/>
      <c r="AP144" s="570"/>
      <c r="AQ144" s="570"/>
      <c r="AR144" s="571"/>
      <c r="AS144" s="24"/>
      <c r="AT144" s="22" t="s">
        <v>144</v>
      </c>
      <c r="AV144" s="569" t="s">
        <v>144</v>
      </c>
      <c r="AW144" s="570"/>
      <c r="AX144" s="570"/>
      <c r="AY144" s="570"/>
      <c r="AZ144" s="570"/>
      <c r="BA144" s="571"/>
      <c r="BB144" s="24"/>
      <c r="BC144" s="22" t="s">
        <v>144</v>
      </c>
      <c r="BE144" s="569" t="s">
        <v>144</v>
      </c>
      <c r="BF144" s="570"/>
      <c r="BG144" s="570"/>
      <c r="BH144" s="570"/>
      <c r="BI144" s="570"/>
      <c r="BJ144" s="571"/>
      <c r="BK144" s="24"/>
      <c r="BL144" s="22" t="s">
        <v>144</v>
      </c>
      <c r="BN144" s="569" t="s">
        <v>144</v>
      </c>
      <c r="BO144" s="570"/>
      <c r="BP144" s="570"/>
      <c r="BQ144" s="570"/>
      <c r="BR144" s="570"/>
      <c r="BS144" s="571"/>
      <c r="BT144" s="24"/>
      <c r="BU144" s="22" t="s">
        <v>144</v>
      </c>
      <c r="BW144" s="569" t="s">
        <v>144</v>
      </c>
      <c r="BX144" s="570"/>
      <c r="BY144" s="570"/>
      <c r="BZ144" s="570"/>
      <c r="CA144" s="570"/>
      <c r="CB144" s="571"/>
      <c r="CC144" s="24"/>
      <c r="CD144" s="22" t="s">
        <v>144</v>
      </c>
      <c r="CF144" s="569" t="s">
        <v>144</v>
      </c>
      <c r="CG144" s="570"/>
      <c r="CH144" s="570"/>
      <c r="CI144" s="570"/>
      <c r="CJ144" s="570"/>
      <c r="CK144" s="571"/>
      <c r="CL144" s="24"/>
      <c r="CM144" s="22" t="s">
        <v>144</v>
      </c>
      <c r="CO144" s="569" t="s">
        <v>144</v>
      </c>
      <c r="CP144" s="570"/>
      <c r="CQ144" s="570"/>
      <c r="CR144" s="570"/>
      <c r="CS144" s="570"/>
      <c r="CT144" s="571"/>
      <c r="CU144" s="24"/>
      <c r="CV144" s="22" t="s">
        <v>144</v>
      </c>
      <c r="CX144" s="569" t="s">
        <v>144</v>
      </c>
      <c r="CY144" s="570"/>
      <c r="CZ144" s="570"/>
      <c r="DA144" s="570"/>
      <c r="DB144" s="570"/>
      <c r="DC144" s="571"/>
      <c r="DD144" s="24"/>
      <c r="DE144" s="22" t="s">
        <v>144</v>
      </c>
      <c r="DG144" s="569" t="s">
        <v>144</v>
      </c>
      <c r="DH144" s="570"/>
      <c r="DI144" s="570"/>
      <c r="DJ144" s="570"/>
      <c r="DK144" s="570"/>
      <c r="DL144" s="571"/>
      <c r="DM144" s="24"/>
      <c r="DN144" s="22" t="s">
        <v>144</v>
      </c>
      <c r="DP144" s="569" t="s">
        <v>144</v>
      </c>
      <c r="DQ144" s="570"/>
      <c r="DR144" s="570"/>
      <c r="DS144" s="570"/>
      <c r="DT144" s="570"/>
      <c r="DU144" s="571"/>
      <c r="DV144" s="24"/>
      <c r="DW144" s="22" t="s">
        <v>144</v>
      </c>
      <c r="DY144" s="569" t="s">
        <v>144</v>
      </c>
      <c r="DZ144" s="570"/>
      <c r="EA144" s="570"/>
      <c r="EB144" s="570"/>
      <c r="EC144" s="570"/>
      <c r="ED144" s="571"/>
      <c r="EE144" s="24"/>
      <c r="EF144" s="22" t="s">
        <v>144</v>
      </c>
      <c r="EH144" s="569" t="s">
        <v>144</v>
      </c>
      <c r="EI144" s="570"/>
      <c r="EJ144" s="570"/>
      <c r="EK144" s="570"/>
      <c r="EL144" s="570"/>
      <c r="EM144" s="571"/>
      <c r="EN144" s="24"/>
      <c r="EO144" s="22" t="s">
        <v>144</v>
      </c>
      <c r="EQ144" s="569" t="s">
        <v>144</v>
      </c>
      <c r="ER144" s="570"/>
      <c r="ES144" s="570"/>
      <c r="ET144" s="570"/>
      <c r="EU144" s="570"/>
      <c r="EV144" s="571"/>
      <c r="EW144" s="24"/>
      <c r="EX144" s="22" t="s">
        <v>144</v>
      </c>
      <c r="EZ144" s="569" t="s">
        <v>144</v>
      </c>
      <c r="FA144" s="570"/>
      <c r="FB144" s="570"/>
      <c r="FC144" s="570"/>
      <c r="FD144" s="570"/>
      <c r="FE144" s="571"/>
      <c r="FF144" s="24"/>
      <c r="FG144" s="22" t="s">
        <v>144</v>
      </c>
      <c r="FI144" s="569" t="s">
        <v>144</v>
      </c>
      <c r="FJ144" s="570"/>
      <c r="FK144" s="570"/>
      <c r="FL144" s="570"/>
      <c r="FM144" s="570"/>
      <c r="FN144" s="571"/>
      <c r="FO144" s="24"/>
      <c r="FP144" s="22" t="s">
        <v>144</v>
      </c>
      <c r="FR144" s="569" t="s">
        <v>144</v>
      </c>
      <c r="FS144" s="570"/>
      <c r="FT144" s="570"/>
      <c r="FU144" s="570"/>
      <c r="FV144" s="570"/>
      <c r="FW144" s="571"/>
      <c r="FX144" s="24"/>
      <c r="FY144" s="22" t="s">
        <v>144</v>
      </c>
      <c r="GA144" s="569" t="s">
        <v>144</v>
      </c>
      <c r="GB144" s="570"/>
      <c r="GC144" s="570"/>
      <c r="GD144" s="570"/>
      <c r="GE144" s="570"/>
      <c r="GF144" s="571"/>
      <c r="GG144" s="24"/>
      <c r="GH144" s="22" t="s">
        <v>144</v>
      </c>
      <c r="GJ144" s="569" t="s">
        <v>144</v>
      </c>
      <c r="GK144" s="570"/>
      <c r="GL144" s="570"/>
      <c r="GM144" s="570"/>
      <c r="GN144" s="570"/>
      <c r="GO144" s="571"/>
      <c r="GP144" s="24"/>
      <c r="GQ144" s="22" t="s">
        <v>144</v>
      </c>
      <c r="GS144" s="569" t="s">
        <v>144</v>
      </c>
      <c r="GT144" s="570"/>
      <c r="GU144" s="570"/>
      <c r="GV144" s="570"/>
      <c r="GW144" s="570"/>
      <c r="GX144" s="571"/>
      <c r="GY144" s="24"/>
      <c r="GZ144" s="22" t="s">
        <v>144</v>
      </c>
      <c r="HB144" s="569" t="s">
        <v>144</v>
      </c>
      <c r="HC144" s="570"/>
      <c r="HD144" s="570"/>
      <c r="HE144" s="570"/>
      <c r="HF144" s="570"/>
      <c r="HG144" s="571"/>
      <c r="HH144" s="24"/>
      <c r="HI144" s="22" t="s">
        <v>144</v>
      </c>
      <c r="HK144" s="569" t="s">
        <v>144</v>
      </c>
      <c r="HL144" s="570"/>
      <c r="HM144" s="570"/>
      <c r="HN144" s="570"/>
      <c r="HO144" s="570"/>
      <c r="HP144" s="571"/>
      <c r="HQ144" s="24"/>
      <c r="HS144" s="22" t="s">
        <v>144</v>
      </c>
      <c r="HU144" s="569" t="s">
        <v>144</v>
      </c>
      <c r="HV144" s="570"/>
      <c r="HW144" s="570"/>
      <c r="HX144" s="570"/>
      <c r="HY144" s="570"/>
      <c r="HZ144" s="571"/>
      <c r="IA144" s="24"/>
      <c r="IB144" s="22" t="s">
        <v>144</v>
      </c>
      <c r="ID144" s="569" t="s">
        <v>144</v>
      </c>
      <c r="IE144" s="570"/>
      <c r="IF144" s="570"/>
      <c r="IG144" s="570"/>
      <c r="IH144" s="570"/>
      <c r="II144" s="571"/>
      <c r="IJ144" s="24"/>
      <c r="IK144" s="22" t="s">
        <v>144</v>
      </c>
      <c r="IM144" s="569" t="s">
        <v>144</v>
      </c>
      <c r="IN144" s="570"/>
      <c r="IO144" s="570"/>
      <c r="IP144" s="570"/>
      <c r="IQ144" s="570"/>
      <c r="IR144" s="571"/>
      <c r="IS144" s="24"/>
      <c r="IT144" s="22" t="s">
        <v>144</v>
      </c>
      <c r="IV144" s="569" t="s">
        <v>144</v>
      </c>
      <c r="IW144" s="570"/>
      <c r="IX144" s="570"/>
      <c r="IY144" s="570"/>
      <c r="IZ144" s="570"/>
      <c r="JA144" s="571"/>
      <c r="JB144" s="24"/>
      <c r="JC144" s="22" t="s">
        <v>144</v>
      </c>
      <c r="JE144" s="569" t="s">
        <v>144</v>
      </c>
      <c r="JF144" s="570"/>
      <c r="JG144" s="570"/>
      <c r="JH144" s="570"/>
      <c r="JI144" s="570"/>
      <c r="JJ144" s="571"/>
      <c r="JK144" s="24"/>
      <c r="JL144" s="22" t="s">
        <v>144</v>
      </c>
      <c r="JN144" s="569" t="s">
        <v>144</v>
      </c>
      <c r="JO144" s="570"/>
      <c r="JP144" s="570"/>
      <c r="JQ144" s="570"/>
      <c r="JR144" s="570"/>
      <c r="JS144" s="571"/>
      <c r="JT144" s="24"/>
      <c r="JU144" s="22" t="s">
        <v>144</v>
      </c>
      <c r="JW144" s="569" t="s">
        <v>144</v>
      </c>
      <c r="JX144" s="570"/>
      <c r="JY144" s="570"/>
      <c r="JZ144" s="570"/>
      <c r="KA144" s="570"/>
      <c r="KB144" s="571"/>
      <c r="KC144" s="24"/>
      <c r="KD144" s="22" t="s">
        <v>144</v>
      </c>
      <c r="KF144" s="569" t="s">
        <v>144</v>
      </c>
      <c r="KG144" s="570"/>
      <c r="KH144" s="570"/>
      <c r="KI144" s="570"/>
      <c r="KJ144" s="570"/>
      <c r="KK144" s="571"/>
      <c r="KL144" s="24"/>
      <c r="KM144" s="22" t="s">
        <v>144</v>
      </c>
      <c r="KO144" s="569" t="s">
        <v>144</v>
      </c>
      <c r="KP144" s="570"/>
      <c r="KQ144" s="570"/>
      <c r="KR144" s="570"/>
      <c r="KS144" s="570"/>
      <c r="KT144" s="571"/>
      <c r="KU144" s="24"/>
      <c r="KV144" s="22" t="s">
        <v>144</v>
      </c>
      <c r="KX144" s="569" t="s">
        <v>144</v>
      </c>
      <c r="KY144" s="570"/>
      <c r="KZ144" s="570"/>
      <c r="LA144" s="570"/>
      <c r="LB144" s="570"/>
      <c r="LC144" s="571"/>
      <c r="LD144" s="24"/>
      <c r="LE144" s="22" t="s">
        <v>144</v>
      </c>
      <c r="LG144" s="569" t="s">
        <v>144</v>
      </c>
      <c r="LH144" s="570"/>
      <c r="LI144" s="570"/>
      <c r="LJ144" s="570"/>
      <c r="LK144" s="570"/>
      <c r="LL144" s="571"/>
      <c r="LM144" s="24"/>
      <c r="LN144" s="22" t="s">
        <v>144</v>
      </c>
      <c r="LP144" s="569" t="s">
        <v>144</v>
      </c>
      <c r="LQ144" s="570"/>
      <c r="LR144" s="570"/>
      <c r="LS144" s="570"/>
      <c r="LT144" s="570"/>
      <c r="LU144" s="571"/>
      <c r="LV144" s="24"/>
      <c r="LW144" s="22" t="s">
        <v>144</v>
      </c>
      <c r="LY144" s="569" t="s">
        <v>144</v>
      </c>
      <c r="LZ144" s="570"/>
      <c r="MA144" s="570"/>
      <c r="MB144" s="570"/>
      <c r="MC144" s="570"/>
      <c r="MD144" s="571"/>
      <c r="ME144" s="24"/>
      <c r="MF144" s="22" t="s">
        <v>144</v>
      </c>
      <c r="MH144" s="569" t="s">
        <v>144</v>
      </c>
      <c r="MI144" s="570"/>
      <c r="MJ144" s="570"/>
      <c r="MK144" s="570"/>
      <c r="ML144" s="570"/>
      <c r="MM144" s="571"/>
      <c r="MN144" s="24"/>
      <c r="MO144" s="22" t="s">
        <v>144</v>
      </c>
      <c r="MQ144" s="569" t="s">
        <v>144</v>
      </c>
      <c r="MR144" s="570"/>
      <c r="MS144" s="570"/>
      <c r="MT144" s="570"/>
      <c r="MU144" s="570"/>
      <c r="MV144" s="571"/>
      <c r="MW144" s="24"/>
      <c r="MX144" s="22" t="s">
        <v>144</v>
      </c>
      <c r="MZ144" s="569" t="s">
        <v>144</v>
      </c>
      <c r="NA144" s="570"/>
      <c r="NB144" s="570"/>
      <c r="NC144" s="570"/>
      <c r="ND144" s="570"/>
      <c r="NE144" s="571"/>
      <c r="NF144" s="24"/>
      <c r="NG144" s="22" t="s">
        <v>144</v>
      </c>
      <c r="NI144" s="569" t="s">
        <v>144</v>
      </c>
      <c r="NJ144" s="570"/>
      <c r="NK144" s="570"/>
      <c r="NL144" s="570"/>
      <c r="NM144" s="570"/>
      <c r="NN144" s="571"/>
      <c r="NO144" s="24"/>
      <c r="NP144" s="22" t="s">
        <v>144</v>
      </c>
      <c r="NR144" s="569" t="s">
        <v>144</v>
      </c>
      <c r="NS144" s="570"/>
      <c r="NT144" s="570"/>
      <c r="NU144" s="570"/>
      <c r="NV144" s="570"/>
      <c r="NW144" s="571"/>
      <c r="NX144" s="24"/>
      <c r="NY144" s="22" t="s">
        <v>144</v>
      </c>
      <c r="OA144" s="589" t="s">
        <v>144</v>
      </c>
      <c r="OB144" s="590"/>
      <c r="OC144" s="590"/>
      <c r="OD144" s="590"/>
      <c r="OE144" s="590"/>
      <c r="OF144" s="591"/>
      <c r="OG144" s="24"/>
      <c r="OH144" s="22" t="s">
        <v>144</v>
      </c>
      <c r="OJ144" s="589" t="s">
        <v>144</v>
      </c>
      <c r="OK144" s="590"/>
      <c r="OL144" s="590"/>
      <c r="OM144" s="590"/>
      <c r="ON144" s="590"/>
      <c r="OO144" s="591"/>
      <c r="OP144" s="24"/>
      <c r="OQ144" s="22" t="s">
        <v>144</v>
      </c>
      <c r="OS144" s="589" t="s">
        <v>144</v>
      </c>
      <c r="OT144" s="590"/>
      <c r="OU144" s="590"/>
      <c r="OV144" s="590"/>
      <c r="OW144" s="590"/>
      <c r="OX144" s="591"/>
      <c r="OY144" s="24"/>
      <c r="OZ144" s="22" t="s">
        <v>144</v>
      </c>
      <c r="PB144" s="569" t="s">
        <v>144</v>
      </c>
      <c r="PC144" s="570"/>
      <c r="PD144" s="570"/>
      <c r="PE144" s="570"/>
      <c r="PF144" s="570"/>
      <c r="PG144" s="571"/>
      <c r="PH144" s="24"/>
      <c r="PI144" s="22" t="s">
        <v>144</v>
      </c>
      <c r="PK144" s="569" t="s">
        <v>144</v>
      </c>
      <c r="PL144" s="570"/>
      <c r="PM144" s="570"/>
      <c r="PN144" s="570"/>
      <c r="PO144" s="570"/>
      <c r="PP144" s="571"/>
      <c r="PQ144" s="24"/>
      <c r="PR144" s="22" t="s">
        <v>144</v>
      </c>
      <c r="PT144" s="569" t="s">
        <v>144</v>
      </c>
      <c r="PU144" s="570"/>
      <c r="PV144" s="570"/>
      <c r="PW144" s="570"/>
      <c r="PX144" s="570"/>
      <c r="PY144" s="571"/>
      <c r="PZ144" s="24"/>
      <c r="QA144" s="22" t="s">
        <v>144</v>
      </c>
      <c r="QC144" s="569" t="s">
        <v>144</v>
      </c>
      <c r="QD144" s="570"/>
      <c r="QE144" s="570"/>
      <c r="QF144" s="570"/>
      <c r="QG144" s="570"/>
      <c r="QH144" s="571"/>
      <c r="QI144" s="24"/>
      <c r="QJ144" s="22" t="s">
        <v>144</v>
      </c>
      <c r="QL144" s="569" t="s">
        <v>144</v>
      </c>
      <c r="QM144" s="570"/>
      <c r="QN144" s="570"/>
      <c r="QO144" s="570"/>
      <c r="QP144" s="570"/>
      <c r="QQ144" s="571"/>
      <c r="QR144" s="24"/>
      <c r="QS144" s="22" t="s">
        <v>144</v>
      </c>
      <c r="QU144" s="569" t="s">
        <v>144</v>
      </c>
      <c r="QV144" s="570"/>
      <c r="QW144" s="570"/>
      <c r="QX144" s="570"/>
      <c r="QY144" s="570"/>
      <c r="QZ144" s="571"/>
      <c r="RA144" s="24"/>
      <c r="RB144" s="22" t="s">
        <v>144</v>
      </c>
      <c r="RD144" s="569" t="s">
        <v>144</v>
      </c>
      <c r="RE144" s="570"/>
      <c r="RF144" s="570"/>
      <c r="RG144" s="570"/>
      <c r="RH144" s="570"/>
      <c r="RI144" s="571"/>
      <c r="RJ144" s="24"/>
      <c r="RK144" s="22" t="s">
        <v>144</v>
      </c>
      <c r="RM144" s="569" t="s">
        <v>144</v>
      </c>
      <c r="RN144" s="570"/>
      <c r="RO144" s="570"/>
      <c r="RP144" s="570"/>
      <c r="RQ144" s="570"/>
      <c r="RR144" s="571"/>
      <c r="RS144" s="24"/>
      <c r="RT144" s="22" t="s">
        <v>144</v>
      </c>
      <c r="RV144" s="569" t="s">
        <v>144</v>
      </c>
      <c r="RW144" s="570"/>
      <c r="RX144" s="570"/>
      <c r="RY144" s="570"/>
      <c r="RZ144" s="570"/>
      <c r="SA144" s="571"/>
      <c r="SB144" s="24"/>
      <c r="SC144" s="22" t="s">
        <v>144</v>
      </c>
      <c r="SE144" s="569" t="s">
        <v>144</v>
      </c>
      <c r="SF144" s="570"/>
      <c r="SG144" s="570"/>
      <c r="SH144" s="570"/>
      <c r="SI144" s="570"/>
      <c r="SJ144" s="571"/>
      <c r="SK144" s="24"/>
      <c r="SL144" s="22" t="s">
        <v>144</v>
      </c>
      <c r="SN144" s="569" t="s">
        <v>144</v>
      </c>
      <c r="SO144" s="570"/>
      <c r="SP144" s="570"/>
      <c r="SQ144" s="570"/>
      <c r="SR144" s="570"/>
      <c r="SS144" s="571"/>
      <c r="ST144" s="24"/>
      <c r="SU144" s="22" t="s">
        <v>144</v>
      </c>
      <c r="SW144" s="569" t="s">
        <v>144</v>
      </c>
      <c r="SX144" s="570"/>
      <c r="SY144" s="570"/>
      <c r="SZ144" s="570"/>
      <c r="TA144" s="570"/>
      <c r="TB144" s="571"/>
      <c r="TC144" s="24"/>
      <c r="TD144" s="22" t="s">
        <v>144</v>
      </c>
      <c r="TF144" s="569" t="s">
        <v>144</v>
      </c>
      <c r="TG144" s="570"/>
      <c r="TH144" s="570"/>
      <c r="TI144" s="570"/>
      <c r="TJ144" s="570"/>
      <c r="TK144" s="571"/>
      <c r="TL144" s="24"/>
      <c r="TM144" s="22" t="s">
        <v>144</v>
      </c>
      <c r="TO144" s="569" t="s">
        <v>144</v>
      </c>
      <c r="TP144" s="570"/>
      <c r="TQ144" s="570"/>
      <c r="TR144" s="570"/>
      <c r="TS144" s="570"/>
      <c r="TT144" s="571"/>
      <c r="TU144" s="24"/>
      <c r="TV144" s="22" t="s">
        <v>144</v>
      </c>
      <c r="TX144" s="569" t="s">
        <v>144</v>
      </c>
      <c r="TY144" s="570"/>
      <c r="TZ144" s="570"/>
      <c r="UA144" s="570"/>
      <c r="UB144" s="570"/>
      <c r="UC144" s="571"/>
      <c r="UD144" s="24"/>
      <c r="UE144" s="22" t="s">
        <v>144</v>
      </c>
      <c r="UG144" s="569" t="s">
        <v>144</v>
      </c>
      <c r="UH144" s="570"/>
      <c r="UI144" s="570"/>
      <c r="UJ144" s="570"/>
      <c r="UK144" s="570"/>
      <c r="UL144" s="571"/>
      <c r="UM144" s="24"/>
      <c r="UN144" s="22" t="s">
        <v>144</v>
      </c>
      <c r="UP144" s="569" t="s">
        <v>144</v>
      </c>
      <c r="UQ144" s="570"/>
      <c r="UR144" s="570"/>
      <c r="US144" s="570"/>
      <c r="UT144" s="570"/>
      <c r="UU144" s="571"/>
      <c r="UV144" s="24"/>
      <c r="UW144" s="22" t="s">
        <v>144</v>
      </c>
      <c r="UY144" s="569" t="s">
        <v>144</v>
      </c>
      <c r="UZ144" s="570"/>
      <c r="VA144" s="570"/>
      <c r="VB144" s="570"/>
      <c r="VC144" s="570"/>
      <c r="VD144" s="571"/>
      <c r="VE144" s="24"/>
      <c r="VF144" s="22" t="s">
        <v>144</v>
      </c>
      <c r="VH144" s="569" t="s">
        <v>144</v>
      </c>
      <c r="VI144" s="570"/>
      <c r="VJ144" s="570"/>
      <c r="VK144" s="570"/>
      <c r="VL144" s="570"/>
      <c r="VM144" s="571"/>
      <c r="VN144" s="24"/>
      <c r="VO144" s="22" t="s">
        <v>144</v>
      </c>
      <c r="VQ144" s="569" t="s">
        <v>144</v>
      </c>
      <c r="VR144" s="570"/>
      <c r="VS144" s="570"/>
      <c r="VT144" s="570"/>
      <c r="VU144" s="570"/>
      <c r="VV144" s="571"/>
      <c r="VW144" s="24"/>
      <c r="VX144" s="22" t="s">
        <v>144</v>
      </c>
      <c r="VZ144" s="569" t="s">
        <v>144</v>
      </c>
      <c r="WA144" s="570"/>
      <c r="WB144" s="570"/>
      <c r="WC144" s="570"/>
      <c r="WD144" s="570"/>
      <c r="WE144" s="571"/>
      <c r="WF144" s="24"/>
      <c r="WG144" s="22" t="s">
        <v>144</v>
      </c>
      <c r="WI144" s="569" t="s">
        <v>144</v>
      </c>
      <c r="WJ144" s="570"/>
      <c r="WK144" s="570"/>
      <c r="WL144" s="570"/>
      <c r="WM144" s="570"/>
      <c r="WN144" s="571"/>
      <c r="WO144" s="24"/>
      <c r="WP144" s="22" t="s">
        <v>144</v>
      </c>
      <c r="WR144" s="569" t="s">
        <v>144</v>
      </c>
      <c r="WS144" s="570"/>
      <c r="WT144" s="570"/>
      <c r="WU144" s="570"/>
      <c r="WV144" s="570"/>
      <c r="WW144" s="571"/>
      <c r="WX144" s="24"/>
      <c r="WY144" s="22" t="s">
        <v>144</v>
      </c>
      <c r="XA144" s="569" t="s">
        <v>144</v>
      </c>
      <c r="XB144" s="570"/>
      <c r="XC144" s="570"/>
      <c r="XD144" s="570"/>
      <c r="XE144" s="570"/>
      <c r="XF144" s="571"/>
      <c r="XG144" s="24"/>
      <c r="XH144" s="22" t="s">
        <v>144</v>
      </c>
      <c r="XJ144" s="569" t="s">
        <v>144</v>
      </c>
      <c r="XK144" s="570"/>
      <c r="XL144" s="570"/>
      <c r="XM144" s="570"/>
      <c r="XN144" s="570"/>
      <c r="XO144" s="571"/>
      <c r="XP144" s="24"/>
      <c r="XQ144" s="22" t="s">
        <v>144</v>
      </c>
      <c r="XS144" s="569" t="s">
        <v>144</v>
      </c>
      <c r="XT144" s="570"/>
      <c r="XU144" s="570"/>
      <c r="XV144" s="570"/>
      <c r="XW144" s="570"/>
      <c r="XX144" s="571"/>
      <c r="XY144" s="24"/>
      <c r="XZ144" s="22" t="s">
        <v>144</v>
      </c>
      <c r="YB144" s="569" t="s">
        <v>144</v>
      </c>
      <c r="YC144" s="570"/>
      <c r="YD144" s="570"/>
      <c r="YE144" s="570"/>
      <c r="YF144" s="570"/>
      <c r="YG144" s="571"/>
      <c r="YH144" s="24"/>
      <c r="YI144" s="22" t="s">
        <v>144</v>
      </c>
      <c r="YK144" s="569" t="s">
        <v>144</v>
      </c>
      <c r="YL144" s="570"/>
      <c r="YM144" s="570"/>
      <c r="YN144" s="570"/>
      <c r="YO144" s="570"/>
      <c r="YP144" s="571"/>
      <c r="YQ144" s="24"/>
      <c r="YR144" s="22" t="s">
        <v>144</v>
      </c>
      <c r="YT144" s="569" t="s">
        <v>144</v>
      </c>
      <c r="YU144" s="570"/>
      <c r="YV144" s="570"/>
      <c r="YW144" s="570"/>
      <c r="YX144" s="570"/>
      <c r="YY144" s="571"/>
      <c r="YZ144" s="24"/>
      <c r="ZA144" s="22" t="s">
        <v>144</v>
      </c>
      <c r="ZC144" s="569" t="s">
        <v>144</v>
      </c>
      <c r="ZD144" s="570"/>
      <c r="ZE144" s="570"/>
      <c r="ZF144" s="570"/>
      <c r="ZG144" s="570"/>
      <c r="ZH144" s="571"/>
      <c r="ZI144" s="24"/>
      <c r="ZJ144" s="22" t="s">
        <v>144</v>
      </c>
      <c r="ZL144" s="569" t="s">
        <v>144</v>
      </c>
      <c r="ZM144" s="570"/>
      <c r="ZN144" s="570"/>
      <c r="ZO144" s="570"/>
      <c r="ZP144" s="570"/>
      <c r="ZQ144" s="571"/>
      <c r="ZR144" s="24"/>
      <c r="ZS144" s="22" t="s">
        <v>144</v>
      </c>
      <c r="ZU144" s="569" t="s">
        <v>144</v>
      </c>
      <c r="ZV144" s="570"/>
      <c r="ZW144" s="570"/>
      <c r="ZX144" s="570"/>
      <c r="ZY144" s="570"/>
      <c r="ZZ144" s="571"/>
      <c r="AAA144" s="24"/>
      <c r="AAB144" s="22" t="s">
        <v>144</v>
      </c>
      <c r="AAD144" s="569" t="s">
        <v>144</v>
      </c>
      <c r="AAE144" s="570"/>
      <c r="AAF144" s="570"/>
      <c r="AAG144" s="570"/>
      <c r="AAH144" s="570"/>
      <c r="AAI144" s="571"/>
      <c r="AAJ144" s="24"/>
      <c r="AAK144" s="22" t="s">
        <v>144</v>
      </c>
      <c r="AAM144" s="569" t="s">
        <v>144</v>
      </c>
      <c r="AAN144" s="570"/>
      <c r="AAO144" s="570"/>
      <c r="AAP144" s="570"/>
      <c r="AAQ144" s="570"/>
      <c r="AAR144" s="571"/>
      <c r="AAS144" s="24"/>
      <c r="AAT144" s="22" t="s">
        <v>144</v>
      </c>
      <c r="AAV144" s="569" t="s">
        <v>144</v>
      </c>
      <c r="AAW144" s="570"/>
      <c r="AAX144" s="570"/>
      <c r="AAY144" s="570"/>
      <c r="AAZ144" s="570"/>
      <c r="ABA144" s="571"/>
      <c r="ABB144" s="24"/>
      <c r="ABC144" s="22" t="s">
        <v>144</v>
      </c>
      <c r="ABE144" s="569" t="s">
        <v>144</v>
      </c>
      <c r="ABF144" s="570"/>
      <c r="ABG144" s="570"/>
      <c r="ABH144" s="570"/>
      <c r="ABI144" s="570"/>
      <c r="ABJ144" s="571"/>
      <c r="ABK144" s="24"/>
    </row>
    <row r="145" spans="2:739" ht="14.45" thickBot="1">
      <c r="C145" s="30" t="s">
        <v>164</v>
      </c>
      <c r="D145" s="77" t="s">
        <v>165</v>
      </c>
      <c r="E145" s="27" t="s">
        <v>166</v>
      </c>
      <c r="F145" s="26" t="s">
        <v>167</v>
      </c>
      <c r="G145" s="27" t="s">
        <v>168</v>
      </c>
      <c r="H145" s="28" t="s">
        <v>169</v>
      </c>
      <c r="I145" s="327" t="s">
        <v>170</v>
      </c>
      <c r="L145" s="30" t="s">
        <v>164</v>
      </c>
      <c r="M145" s="77" t="s">
        <v>165</v>
      </c>
      <c r="N145" s="31" t="s">
        <v>166</v>
      </c>
      <c r="O145" s="26" t="s">
        <v>167</v>
      </c>
      <c r="P145" s="31" t="s">
        <v>168</v>
      </c>
      <c r="Q145" s="83" t="s">
        <v>169</v>
      </c>
      <c r="R145" s="79" t="s">
        <v>170</v>
      </c>
      <c r="U145" s="30" t="s">
        <v>164</v>
      </c>
      <c r="V145" s="77" t="s">
        <v>165</v>
      </c>
      <c r="W145" s="33" t="s">
        <v>166</v>
      </c>
      <c r="X145" s="26" t="s">
        <v>167</v>
      </c>
      <c r="Y145" s="33" t="s">
        <v>168</v>
      </c>
      <c r="Z145" s="84" t="s">
        <v>169</v>
      </c>
      <c r="AA145" s="79" t="s">
        <v>170</v>
      </c>
      <c r="AD145" s="30" t="s">
        <v>164</v>
      </c>
      <c r="AE145" s="77" t="s">
        <v>165</v>
      </c>
      <c r="AF145" s="35" t="s">
        <v>166</v>
      </c>
      <c r="AG145" s="26" t="s">
        <v>167</v>
      </c>
      <c r="AH145" s="35" t="s">
        <v>168</v>
      </c>
      <c r="AI145" s="36" t="s">
        <v>169</v>
      </c>
      <c r="AJ145" s="79" t="s">
        <v>170</v>
      </c>
      <c r="AM145" s="30" t="s">
        <v>164</v>
      </c>
      <c r="AN145" s="77" t="s">
        <v>165</v>
      </c>
      <c r="AO145" s="37" t="s">
        <v>166</v>
      </c>
      <c r="AP145" s="26" t="s">
        <v>167</v>
      </c>
      <c r="AQ145" s="37" t="s">
        <v>168</v>
      </c>
      <c r="AR145" s="38" t="s">
        <v>169</v>
      </c>
      <c r="AS145" s="79" t="s">
        <v>170</v>
      </c>
      <c r="AV145" s="30" t="s">
        <v>164</v>
      </c>
      <c r="AW145" s="77" t="s">
        <v>165</v>
      </c>
      <c r="AX145" s="39" t="s">
        <v>166</v>
      </c>
      <c r="AY145" s="26" t="s">
        <v>167</v>
      </c>
      <c r="AZ145" s="39" t="s">
        <v>168</v>
      </c>
      <c r="BA145" s="40" t="s">
        <v>169</v>
      </c>
      <c r="BB145" s="79" t="s">
        <v>170</v>
      </c>
      <c r="BE145" s="30" t="s">
        <v>164</v>
      </c>
      <c r="BF145" s="77" t="s">
        <v>165</v>
      </c>
      <c r="BG145" s="41" t="s">
        <v>166</v>
      </c>
      <c r="BH145" s="26" t="s">
        <v>167</v>
      </c>
      <c r="BI145" s="41" t="s">
        <v>168</v>
      </c>
      <c r="BJ145" s="42" t="s">
        <v>169</v>
      </c>
      <c r="BK145" s="79" t="s">
        <v>170</v>
      </c>
      <c r="BN145" s="30" t="s">
        <v>164</v>
      </c>
      <c r="BO145" s="77" t="s">
        <v>165</v>
      </c>
      <c r="BP145" s="43" t="s">
        <v>166</v>
      </c>
      <c r="BQ145" s="26" t="s">
        <v>167</v>
      </c>
      <c r="BR145" s="43" t="s">
        <v>168</v>
      </c>
      <c r="BS145" s="44" t="s">
        <v>169</v>
      </c>
      <c r="BT145" s="79" t="s">
        <v>170</v>
      </c>
      <c r="BW145" s="30" t="s">
        <v>164</v>
      </c>
      <c r="BX145" s="77" t="s">
        <v>165</v>
      </c>
      <c r="BY145" s="45" t="s">
        <v>166</v>
      </c>
      <c r="BZ145" s="26" t="s">
        <v>167</v>
      </c>
      <c r="CA145" s="45" t="s">
        <v>168</v>
      </c>
      <c r="CB145" s="46" t="s">
        <v>169</v>
      </c>
      <c r="CC145" s="79" t="s">
        <v>170</v>
      </c>
      <c r="CF145" s="30" t="s">
        <v>164</v>
      </c>
      <c r="CG145" s="77" t="s">
        <v>165</v>
      </c>
      <c r="CH145" s="47" t="s">
        <v>166</v>
      </c>
      <c r="CI145" s="26" t="s">
        <v>167</v>
      </c>
      <c r="CJ145" s="47" t="s">
        <v>168</v>
      </c>
      <c r="CK145" s="48" t="s">
        <v>169</v>
      </c>
      <c r="CL145" s="79" t="s">
        <v>170</v>
      </c>
      <c r="CO145" s="30" t="s">
        <v>164</v>
      </c>
      <c r="CP145" s="77" t="s">
        <v>165</v>
      </c>
      <c r="CQ145" s="129" t="s">
        <v>166</v>
      </c>
      <c r="CR145" s="26" t="s">
        <v>167</v>
      </c>
      <c r="CS145" s="129" t="s">
        <v>168</v>
      </c>
      <c r="CT145" s="130" t="s">
        <v>169</v>
      </c>
      <c r="CU145" s="79" t="s">
        <v>170</v>
      </c>
      <c r="CX145" s="30" t="s">
        <v>164</v>
      </c>
      <c r="CY145" s="77" t="s">
        <v>165</v>
      </c>
      <c r="CZ145" s="132" t="s">
        <v>166</v>
      </c>
      <c r="DA145" s="26" t="s">
        <v>167</v>
      </c>
      <c r="DB145" s="132" t="s">
        <v>168</v>
      </c>
      <c r="DC145" s="134" t="s">
        <v>169</v>
      </c>
      <c r="DD145" s="79" t="s">
        <v>170</v>
      </c>
      <c r="DG145" s="30" t="s">
        <v>164</v>
      </c>
      <c r="DH145" s="77" t="s">
        <v>165</v>
      </c>
      <c r="DI145" s="146" t="s">
        <v>166</v>
      </c>
      <c r="DJ145" s="26" t="s">
        <v>167</v>
      </c>
      <c r="DK145" s="146" t="s">
        <v>168</v>
      </c>
      <c r="DL145" s="153" t="s">
        <v>169</v>
      </c>
      <c r="DM145" s="79" t="s">
        <v>170</v>
      </c>
      <c r="DP145" s="30" t="s">
        <v>164</v>
      </c>
      <c r="DQ145" s="77" t="s">
        <v>165</v>
      </c>
      <c r="DR145" s="27" t="s">
        <v>166</v>
      </c>
      <c r="DS145" s="26" t="s">
        <v>167</v>
      </c>
      <c r="DT145" s="27" t="s">
        <v>168</v>
      </c>
      <c r="DU145" s="28" t="s">
        <v>169</v>
      </c>
      <c r="DV145" s="79" t="s">
        <v>170</v>
      </c>
      <c r="DY145" s="30" t="s">
        <v>164</v>
      </c>
      <c r="DZ145" s="77" t="s">
        <v>165</v>
      </c>
      <c r="EA145" s="156" t="s">
        <v>166</v>
      </c>
      <c r="EB145" s="26" t="s">
        <v>167</v>
      </c>
      <c r="EC145" s="156" t="s">
        <v>168</v>
      </c>
      <c r="ED145" s="158" t="s">
        <v>169</v>
      </c>
      <c r="EE145" s="79" t="s">
        <v>170</v>
      </c>
      <c r="EH145" s="30" t="s">
        <v>164</v>
      </c>
      <c r="EI145" s="77" t="s">
        <v>165</v>
      </c>
      <c r="EJ145" s="161" t="s">
        <v>166</v>
      </c>
      <c r="EK145" s="26" t="s">
        <v>167</v>
      </c>
      <c r="EL145" s="161" t="s">
        <v>168</v>
      </c>
      <c r="EM145" s="163" t="s">
        <v>169</v>
      </c>
      <c r="EN145" s="79" t="s">
        <v>170</v>
      </c>
      <c r="EQ145" s="30" t="s">
        <v>164</v>
      </c>
      <c r="ER145" s="77" t="s">
        <v>165</v>
      </c>
      <c r="ES145" s="167" t="s">
        <v>166</v>
      </c>
      <c r="ET145" s="26" t="s">
        <v>167</v>
      </c>
      <c r="EU145" s="167" t="s">
        <v>168</v>
      </c>
      <c r="EV145" s="169" t="s">
        <v>169</v>
      </c>
      <c r="EW145" s="79" t="s">
        <v>170</v>
      </c>
      <c r="EZ145" s="30" t="s">
        <v>164</v>
      </c>
      <c r="FA145" s="77" t="s">
        <v>165</v>
      </c>
      <c r="FB145" s="176" t="s">
        <v>166</v>
      </c>
      <c r="FC145" s="26" t="s">
        <v>167</v>
      </c>
      <c r="FD145" s="176" t="s">
        <v>168</v>
      </c>
      <c r="FE145" s="177" t="s">
        <v>169</v>
      </c>
      <c r="FF145" s="79" t="s">
        <v>170</v>
      </c>
      <c r="FI145" s="30" t="s">
        <v>164</v>
      </c>
      <c r="FJ145" s="77" t="s">
        <v>165</v>
      </c>
      <c r="FK145" s="181" t="s">
        <v>166</v>
      </c>
      <c r="FL145" s="26" t="s">
        <v>167</v>
      </c>
      <c r="FM145" s="181" t="s">
        <v>168</v>
      </c>
      <c r="FN145" s="182" t="s">
        <v>169</v>
      </c>
      <c r="FO145" s="79" t="s">
        <v>170</v>
      </c>
      <c r="FR145" s="30" t="s">
        <v>164</v>
      </c>
      <c r="FS145" s="77" t="s">
        <v>165</v>
      </c>
      <c r="FT145" s="185" t="s">
        <v>166</v>
      </c>
      <c r="FU145" s="26" t="s">
        <v>167</v>
      </c>
      <c r="FV145" s="185" t="s">
        <v>168</v>
      </c>
      <c r="FW145" s="187" t="s">
        <v>169</v>
      </c>
      <c r="FX145" s="79" t="s">
        <v>170</v>
      </c>
      <c r="GA145" s="30" t="s">
        <v>164</v>
      </c>
      <c r="GB145" s="77" t="s">
        <v>165</v>
      </c>
      <c r="GC145" s="128" t="s">
        <v>166</v>
      </c>
      <c r="GD145" s="26" t="s">
        <v>167</v>
      </c>
      <c r="GE145" s="128" t="s">
        <v>168</v>
      </c>
      <c r="GF145" s="200" t="s">
        <v>169</v>
      </c>
      <c r="GG145" s="79" t="s">
        <v>170</v>
      </c>
      <c r="GJ145" s="30" t="s">
        <v>164</v>
      </c>
      <c r="GK145" s="77" t="s">
        <v>165</v>
      </c>
      <c r="GL145" s="197" t="s">
        <v>166</v>
      </c>
      <c r="GM145" s="26" t="s">
        <v>167</v>
      </c>
      <c r="GN145" s="197" t="s">
        <v>168</v>
      </c>
      <c r="GO145" s="198" t="s">
        <v>169</v>
      </c>
      <c r="GP145" s="79" t="s">
        <v>170</v>
      </c>
      <c r="GS145" s="30" t="s">
        <v>164</v>
      </c>
      <c r="GT145" s="77" t="s">
        <v>165</v>
      </c>
      <c r="GU145" s="193" t="s">
        <v>166</v>
      </c>
      <c r="GV145" s="26" t="s">
        <v>167</v>
      </c>
      <c r="GW145" s="193" t="s">
        <v>168</v>
      </c>
      <c r="GX145" s="194" t="s">
        <v>169</v>
      </c>
      <c r="GY145" s="79" t="s">
        <v>170</v>
      </c>
      <c r="HB145" s="30" t="s">
        <v>164</v>
      </c>
      <c r="HC145" s="77" t="s">
        <v>165</v>
      </c>
      <c r="HD145" s="189" t="s">
        <v>166</v>
      </c>
      <c r="HE145" s="26" t="s">
        <v>167</v>
      </c>
      <c r="HF145" s="189" t="s">
        <v>168</v>
      </c>
      <c r="HG145" s="190" t="s">
        <v>169</v>
      </c>
      <c r="HH145" s="79" t="s">
        <v>170</v>
      </c>
      <c r="HK145" s="30" t="s">
        <v>164</v>
      </c>
      <c r="HL145" s="77" t="s">
        <v>165</v>
      </c>
      <c r="HM145" s="41" t="s">
        <v>166</v>
      </c>
      <c r="HN145" s="26" t="s">
        <v>167</v>
      </c>
      <c r="HO145" s="41" t="s">
        <v>168</v>
      </c>
      <c r="HP145" s="42" t="s">
        <v>169</v>
      </c>
      <c r="HQ145" s="79" t="s">
        <v>170</v>
      </c>
      <c r="HU145" s="30" t="s">
        <v>164</v>
      </c>
      <c r="HV145" s="77" t="s">
        <v>165</v>
      </c>
      <c r="HW145" s="241" t="s">
        <v>166</v>
      </c>
      <c r="HX145" s="26" t="s">
        <v>167</v>
      </c>
      <c r="HY145" s="241" t="s">
        <v>168</v>
      </c>
      <c r="HZ145" s="243" t="s">
        <v>169</v>
      </c>
      <c r="IA145" s="79" t="s">
        <v>170</v>
      </c>
      <c r="ID145" s="30" t="s">
        <v>164</v>
      </c>
      <c r="IE145" s="77" t="s">
        <v>165</v>
      </c>
      <c r="IF145" s="241" t="s">
        <v>166</v>
      </c>
      <c r="IG145" s="26" t="s">
        <v>167</v>
      </c>
      <c r="IH145" s="241" t="s">
        <v>168</v>
      </c>
      <c r="II145" s="243" t="s">
        <v>169</v>
      </c>
      <c r="IJ145" s="79" t="s">
        <v>170</v>
      </c>
      <c r="IM145" s="30" t="s">
        <v>164</v>
      </c>
      <c r="IN145" s="77" t="s">
        <v>165</v>
      </c>
      <c r="IO145" s="241" t="s">
        <v>166</v>
      </c>
      <c r="IP145" s="26" t="s">
        <v>167</v>
      </c>
      <c r="IQ145" s="241" t="s">
        <v>168</v>
      </c>
      <c r="IR145" s="243" t="s">
        <v>169</v>
      </c>
      <c r="IS145" s="79" t="s">
        <v>170</v>
      </c>
      <c r="IV145" s="30" t="s">
        <v>164</v>
      </c>
      <c r="IW145" s="77" t="s">
        <v>165</v>
      </c>
      <c r="IX145" s="241" t="s">
        <v>166</v>
      </c>
      <c r="IY145" s="26" t="s">
        <v>167</v>
      </c>
      <c r="IZ145" s="241" t="s">
        <v>168</v>
      </c>
      <c r="JA145" s="243" t="s">
        <v>169</v>
      </c>
      <c r="JB145" s="79" t="s">
        <v>170</v>
      </c>
      <c r="JE145" s="30" t="s">
        <v>164</v>
      </c>
      <c r="JF145" s="77" t="s">
        <v>165</v>
      </c>
      <c r="JG145" s="241" t="s">
        <v>166</v>
      </c>
      <c r="JH145" s="26" t="s">
        <v>167</v>
      </c>
      <c r="JI145" s="241" t="s">
        <v>168</v>
      </c>
      <c r="JJ145" s="243" t="s">
        <v>169</v>
      </c>
      <c r="JK145" s="79" t="s">
        <v>170</v>
      </c>
      <c r="JN145" s="30" t="s">
        <v>164</v>
      </c>
      <c r="JO145" s="77" t="s">
        <v>165</v>
      </c>
      <c r="JP145" s="241" t="s">
        <v>166</v>
      </c>
      <c r="JQ145" s="26" t="s">
        <v>167</v>
      </c>
      <c r="JR145" s="241" t="s">
        <v>168</v>
      </c>
      <c r="JS145" s="243" t="s">
        <v>169</v>
      </c>
      <c r="JT145" s="79" t="s">
        <v>170</v>
      </c>
      <c r="JW145" s="30" t="s">
        <v>164</v>
      </c>
      <c r="JX145" s="77" t="s">
        <v>165</v>
      </c>
      <c r="JY145" s="241" t="s">
        <v>166</v>
      </c>
      <c r="JZ145" s="26" t="s">
        <v>167</v>
      </c>
      <c r="KA145" s="241" t="s">
        <v>168</v>
      </c>
      <c r="KB145" s="243" t="s">
        <v>169</v>
      </c>
      <c r="KC145" s="79" t="s">
        <v>170</v>
      </c>
      <c r="KF145" s="30" t="s">
        <v>164</v>
      </c>
      <c r="KG145" s="77" t="s">
        <v>165</v>
      </c>
      <c r="KH145" s="241" t="s">
        <v>166</v>
      </c>
      <c r="KI145" s="26" t="s">
        <v>167</v>
      </c>
      <c r="KJ145" s="241" t="s">
        <v>168</v>
      </c>
      <c r="KK145" s="243" t="s">
        <v>169</v>
      </c>
      <c r="KL145" s="79" t="s">
        <v>170</v>
      </c>
      <c r="KO145" s="30" t="s">
        <v>164</v>
      </c>
      <c r="KP145" s="77" t="s">
        <v>165</v>
      </c>
      <c r="KQ145" s="241" t="s">
        <v>166</v>
      </c>
      <c r="KR145" s="26" t="s">
        <v>167</v>
      </c>
      <c r="KS145" s="241" t="s">
        <v>168</v>
      </c>
      <c r="KT145" s="243" t="s">
        <v>169</v>
      </c>
      <c r="KU145" s="79" t="s">
        <v>170</v>
      </c>
      <c r="KX145" s="30" t="s">
        <v>164</v>
      </c>
      <c r="KY145" s="77" t="s">
        <v>165</v>
      </c>
      <c r="KZ145" s="241" t="s">
        <v>166</v>
      </c>
      <c r="LA145" s="26" t="s">
        <v>167</v>
      </c>
      <c r="LB145" s="241" t="s">
        <v>168</v>
      </c>
      <c r="LC145" s="243" t="s">
        <v>169</v>
      </c>
      <c r="LD145" s="79" t="s">
        <v>170</v>
      </c>
      <c r="LG145" s="30" t="s">
        <v>164</v>
      </c>
      <c r="LH145" s="77" t="s">
        <v>165</v>
      </c>
      <c r="LI145" s="241" t="s">
        <v>166</v>
      </c>
      <c r="LJ145" s="26" t="s">
        <v>167</v>
      </c>
      <c r="LK145" s="241" t="s">
        <v>168</v>
      </c>
      <c r="LL145" s="243" t="s">
        <v>169</v>
      </c>
      <c r="LM145" s="79" t="s">
        <v>170</v>
      </c>
      <c r="LP145" s="30" t="s">
        <v>164</v>
      </c>
      <c r="LQ145" s="77" t="s">
        <v>165</v>
      </c>
      <c r="LR145" s="241" t="s">
        <v>166</v>
      </c>
      <c r="LS145" s="26" t="s">
        <v>167</v>
      </c>
      <c r="LT145" s="241" t="s">
        <v>168</v>
      </c>
      <c r="LU145" s="243" t="s">
        <v>169</v>
      </c>
      <c r="LV145" s="79" t="s">
        <v>170</v>
      </c>
      <c r="LY145" s="30" t="s">
        <v>164</v>
      </c>
      <c r="LZ145" s="77" t="s">
        <v>165</v>
      </c>
      <c r="MA145" s="241" t="s">
        <v>166</v>
      </c>
      <c r="MB145" s="26" t="s">
        <v>167</v>
      </c>
      <c r="MC145" s="241" t="s">
        <v>168</v>
      </c>
      <c r="MD145" s="243" t="s">
        <v>169</v>
      </c>
      <c r="ME145" s="79" t="s">
        <v>170</v>
      </c>
      <c r="MH145" s="30" t="s">
        <v>164</v>
      </c>
      <c r="MI145" s="77" t="s">
        <v>165</v>
      </c>
      <c r="MJ145" s="241" t="s">
        <v>166</v>
      </c>
      <c r="MK145" s="26" t="s">
        <v>167</v>
      </c>
      <c r="ML145" s="241" t="s">
        <v>168</v>
      </c>
      <c r="MM145" s="243" t="s">
        <v>169</v>
      </c>
      <c r="MN145" s="79" t="s">
        <v>170</v>
      </c>
      <c r="MQ145" s="30" t="s">
        <v>164</v>
      </c>
      <c r="MR145" s="77" t="s">
        <v>165</v>
      </c>
      <c r="MS145" s="241" t="s">
        <v>166</v>
      </c>
      <c r="MT145" s="26" t="s">
        <v>167</v>
      </c>
      <c r="MU145" s="241" t="s">
        <v>168</v>
      </c>
      <c r="MV145" s="243" t="s">
        <v>169</v>
      </c>
      <c r="MW145" s="79" t="s">
        <v>170</v>
      </c>
      <c r="MZ145" s="30" t="s">
        <v>164</v>
      </c>
      <c r="NA145" s="77" t="s">
        <v>165</v>
      </c>
      <c r="NB145" s="241" t="s">
        <v>166</v>
      </c>
      <c r="NC145" s="26" t="s">
        <v>167</v>
      </c>
      <c r="ND145" s="241" t="s">
        <v>168</v>
      </c>
      <c r="NE145" s="243" t="s">
        <v>169</v>
      </c>
      <c r="NF145" s="79" t="s">
        <v>170</v>
      </c>
      <c r="NI145" s="30" t="s">
        <v>164</v>
      </c>
      <c r="NJ145" s="77" t="s">
        <v>165</v>
      </c>
      <c r="NK145" s="241" t="s">
        <v>166</v>
      </c>
      <c r="NL145" s="26" t="s">
        <v>167</v>
      </c>
      <c r="NM145" s="241" t="s">
        <v>168</v>
      </c>
      <c r="NN145" s="243" t="s">
        <v>169</v>
      </c>
      <c r="NO145" s="79" t="s">
        <v>170</v>
      </c>
      <c r="NR145" s="30" t="s">
        <v>164</v>
      </c>
      <c r="NS145" s="77" t="s">
        <v>165</v>
      </c>
      <c r="NT145" s="241" t="s">
        <v>166</v>
      </c>
      <c r="NU145" s="26" t="s">
        <v>167</v>
      </c>
      <c r="NV145" s="241" t="s">
        <v>168</v>
      </c>
      <c r="NW145" s="243" t="s">
        <v>169</v>
      </c>
      <c r="NX145" s="79" t="s">
        <v>170</v>
      </c>
      <c r="OA145" s="30" t="s">
        <v>164</v>
      </c>
      <c r="OB145" s="77" t="s">
        <v>165</v>
      </c>
      <c r="OC145" s="241" t="s">
        <v>166</v>
      </c>
      <c r="OD145" s="26" t="s">
        <v>167</v>
      </c>
      <c r="OE145" s="241" t="s">
        <v>168</v>
      </c>
      <c r="OF145" s="243" t="s">
        <v>169</v>
      </c>
      <c r="OG145" s="79" t="s">
        <v>170</v>
      </c>
      <c r="OJ145" s="30" t="s">
        <v>164</v>
      </c>
      <c r="OK145" s="77" t="s">
        <v>165</v>
      </c>
      <c r="OL145" s="241" t="s">
        <v>166</v>
      </c>
      <c r="OM145" s="26" t="s">
        <v>167</v>
      </c>
      <c r="ON145" s="241" t="s">
        <v>168</v>
      </c>
      <c r="OO145" s="243" t="s">
        <v>169</v>
      </c>
      <c r="OP145" s="79" t="s">
        <v>170</v>
      </c>
      <c r="OS145" s="30" t="s">
        <v>164</v>
      </c>
      <c r="OT145" s="77" t="s">
        <v>165</v>
      </c>
      <c r="OU145" s="241" t="s">
        <v>166</v>
      </c>
      <c r="OV145" s="26" t="s">
        <v>167</v>
      </c>
      <c r="OW145" s="241" t="s">
        <v>168</v>
      </c>
      <c r="OX145" s="243" t="s">
        <v>169</v>
      </c>
      <c r="OY145" s="79" t="s">
        <v>170</v>
      </c>
      <c r="PB145" s="30" t="s">
        <v>164</v>
      </c>
      <c r="PC145" s="77" t="s">
        <v>165</v>
      </c>
      <c r="PD145" s="241" t="s">
        <v>166</v>
      </c>
      <c r="PE145" s="26" t="s">
        <v>167</v>
      </c>
      <c r="PF145" s="241" t="s">
        <v>168</v>
      </c>
      <c r="PG145" s="243" t="s">
        <v>169</v>
      </c>
      <c r="PH145" s="79" t="s">
        <v>170</v>
      </c>
      <c r="PK145" s="30" t="s">
        <v>164</v>
      </c>
      <c r="PL145" s="77" t="s">
        <v>165</v>
      </c>
      <c r="PM145" s="241" t="s">
        <v>166</v>
      </c>
      <c r="PN145" s="26" t="s">
        <v>167</v>
      </c>
      <c r="PO145" s="241" t="s">
        <v>168</v>
      </c>
      <c r="PP145" s="243" t="s">
        <v>169</v>
      </c>
      <c r="PQ145" s="79" t="s">
        <v>170</v>
      </c>
      <c r="PT145" s="30" t="s">
        <v>164</v>
      </c>
      <c r="PU145" s="77" t="s">
        <v>165</v>
      </c>
      <c r="PV145" s="241" t="s">
        <v>166</v>
      </c>
      <c r="PW145" s="26" t="s">
        <v>167</v>
      </c>
      <c r="PX145" s="241" t="s">
        <v>168</v>
      </c>
      <c r="PY145" s="243" t="s">
        <v>169</v>
      </c>
      <c r="PZ145" s="79" t="s">
        <v>170</v>
      </c>
      <c r="QC145" s="30" t="s">
        <v>164</v>
      </c>
      <c r="QD145" s="77" t="s">
        <v>165</v>
      </c>
      <c r="QE145" s="241" t="s">
        <v>166</v>
      </c>
      <c r="QF145" s="26" t="s">
        <v>167</v>
      </c>
      <c r="QG145" s="241" t="s">
        <v>168</v>
      </c>
      <c r="QH145" s="243" t="s">
        <v>169</v>
      </c>
      <c r="QI145" s="79" t="s">
        <v>170</v>
      </c>
      <c r="QL145" s="30" t="s">
        <v>164</v>
      </c>
      <c r="QM145" s="77" t="s">
        <v>165</v>
      </c>
      <c r="QN145" s="241" t="s">
        <v>166</v>
      </c>
      <c r="QO145" s="26" t="s">
        <v>167</v>
      </c>
      <c r="QP145" s="241" t="s">
        <v>168</v>
      </c>
      <c r="QQ145" s="243" t="s">
        <v>169</v>
      </c>
      <c r="QR145" s="79" t="s">
        <v>170</v>
      </c>
      <c r="QU145" s="30" t="s">
        <v>164</v>
      </c>
      <c r="QV145" s="77" t="s">
        <v>165</v>
      </c>
      <c r="QW145" s="241" t="s">
        <v>166</v>
      </c>
      <c r="QX145" s="26" t="s">
        <v>167</v>
      </c>
      <c r="QY145" s="241" t="s">
        <v>168</v>
      </c>
      <c r="QZ145" s="243" t="s">
        <v>169</v>
      </c>
      <c r="RA145" s="79" t="s">
        <v>170</v>
      </c>
      <c r="RD145" s="30" t="s">
        <v>164</v>
      </c>
      <c r="RE145" s="77" t="s">
        <v>165</v>
      </c>
      <c r="RF145" s="241" t="s">
        <v>166</v>
      </c>
      <c r="RG145" s="26" t="s">
        <v>167</v>
      </c>
      <c r="RH145" s="241" t="s">
        <v>168</v>
      </c>
      <c r="RI145" s="243" t="s">
        <v>169</v>
      </c>
      <c r="RJ145" s="79" t="s">
        <v>170</v>
      </c>
      <c r="RM145" s="30" t="s">
        <v>164</v>
      </c>
      <c r="RN145" s="77" t="s">
        <v>165</v>
      </c>
      <c r="RO145" s="241" t="s">
        <v>166</v>
      </c>
      <c r="RP145" s="26" t="s">
        <v>167</v>
      </c>
      <c r="RQ145" s="241" t="s">
        <v>168</v>
      </c>
      <c r="RR145" s="243" t="s">
        <v>169</v>
      </c>
      <c r="RS145" s="79" t="s">
        <v>170</v>
      </c>
      <c r="RV145" s="30" t="s">
        <v>164</v>
      </c>
      <c r="RW145" s="77" t="s">
        <v>165</v>
      </c>
      <c r="RX145" s="241" t="s">
        <v>166</v>
      </c>
      <c r="RY145" s="26" t="s">
        <v>167</v>
      </c>
      <c r="RZ145" s="241" t="s">
        <v>168</v>
      </c>
      <c r="SA145" s="243" t="s">
        <v>169</v>
      </c>
      <c r="SB145" s="79" t="s">
        <v>170</v>
      </c>
      <c r="SE145" s="30" t="s">
        <v>164</v>
      </c>
      <c r="SF145" s="77" t="s">
        <v>165</v>
      </c>
      <c r="SG145" s="241" t="s">
        <v>166</v>
      </c>
      <c r="SH145" s="26" t="s">
        <v>167</v>
      </c>
      <c r="SI145" s="241" t="s">
        <v>168</v>
      </c>
      <c r="SJ145" s="243" t="s">
        <v>169</v>
      </c>
      <c r="SK145" s="79" t="s">
        <v>170</v>
      </c>
      <c r="SN145" s="30" t="s">
        <v>164</v>
      </c>
      <c r="SO145" s="77" t="s">
        <v>165</v>
      </c>
      <c r="SP145" s="241" t="s">
        <v>166</v>
      </c>
      <c r="SQ145" s="26" t="s">
        <v>167</v>
      </c>
      <c r="SR145" s="241" t="s">
        <v>168</v>
      </c>
      <c r="SS145" s="243" t="s">
        <v>169</v>
      </c>
      <c r="ST145" s="79" t="s">
        <v>170</v>
      </c>
      <c r="SW145" s="30" t="s">
        <v>164</v>
      </c>
      <c r="SX145" s="77" t="s">
        <v>165</v>
      </c>
      <c r="SY145" s="241" t="s">
        <v>166</v>
      </c>
      <c r="SZ145" s="26" t="s">
        <v>167</v>
      </c>
      <c r="TA145" s="241" t="s">
        <v>168</v>
      </c>
      <c r="TB145" s="243" t="s">
        <v>169</v>
      </c>
      <c r="TC145" s="79" t="s">
        <v>170</v>
      </c>
      <c r="TF145" s="30" t="s">
        <v>164</v>
      </c>
      <c r="TG145" s="77" t="s">
        <v>165</v>
      </c>
      <c r="TH145" s="241" t="s">
        <v>166</v>
      </c>
      <c r="TI145" s="26" t="s">
        <v>167</v>
      </c>
      <c r="TJ145" s="241" t="s">
        <v>168</v>
      </c>
      <c r="TK145" s="243" t="s">
        <v>169</v>
      </c>
      <c r="TL145" s="79" t="s">
        <v>170</v>
      </c>
      <c r="TO145" s="30" t="s">
        <v>164</v>
      </c>
      <c r="TP145" s="77" t="s">
        <v>165</v>
      </c>
      <c r="TQ145" s="241" t="s">
        <v>166</v>
      </c>
      <c r="TR145" s="26" t="s">
        <v>167</v>
      </c>
      <c r="TS145" s="241" t="s">
        <v>168</v>
      </c>
      <c r="TT145" s="243" t="s">
        <v>169</v>
      </c>
      <c r="TU145" s="79" t="s">
        <v>170</v>
      </c>
      <c r="TX145" s="30" t="s">
        <v>164</v>
      </c>
      <c r="TY145" s="77" t="s">
        <v>165</v>
      </c>
      <c r="TZ145" s="241" t="s">
        <v>166</v>
      </c>
      <c r="UA145" s="26" t="s">
        <v>167</v>
      </c>
      <c r="UB145" s="241" t="s">
        <v>168</v>
      </c>
      <c r="UC145" s="243" t="s">
        <v>169</v>
      </c>
      <c r="UD145" s="79" t="s">
        <v>170</v>
      </c>
      <c r="UG145" s="30" t="s">
        <v>164</v>
      </c>
      <c r="UH145" s="77" t="s">
        <v>165</v>
      </c>
      <c r="UI145" s="241" t="s">
        <v>166</v>
      </c>
      <c r="UJ145" s="26" t="s">
        <v>167</v>
      </c>
      <c r="UK145" s="241" t="s">
        <v>168</v>
      </c>
      <c r="UL145" s="243" t="s">
        <v>169</v>
      </c>
      <c r="UM145" s="79" t="s">
        <v>170</v>
      </c>
      <c r="UP145" s="30" t="s">
        <v>164</v>
      </c>
      <c r="UQ145" s="77" t="s">
        <v>165</v>
      </c>
      <c r="UR145" s="241" t="s">
        <v>166</v>
      </c>
      <c r="US145" s="26" t="s">
        <v>167</v>
      </c>
      <c r="UT145" s="241" t="s">
        <v>168</v>
      </c>
      <c r="UU145" s="243" t="s">
        <v>169</v>
      </c>
      <c r="UV145" s="79" t="s">
        <v>170</v>
      </c>
      <c r="UY145" s="30" t="s">
        <v>164</v>
      </c>
      <c r="UZ145" s="77" t="s">
        <v>165</v>
      </c>
      <c r="VA145" s="241" t="s">
        <v>166</v>
      </c>
      <c r="VB145" s="26" t="s">
        <v>167</v>
      </c>
      <c r="VC145" s="241" t="s">
        <v>168</v>
      </c>
      <c r="VD145" s="243" t="s">
        <v>169</v>
      </c>
      <c r="VE145" s="79" t="s">
        <v>170</v>
      </c>
      <c r="VH145" s="30" t="s">
        <v>164</v>
      </c>
      <c r="VI145" s="77" t="s">
        <v>165</v>
      </c>
      <c r="VJ145" s="241" t="s">
        <v>166</v>
      </c>
      <c r="VK145" s="26" t="s">
        <v>167</v>
      </c>
      <c r="VL145" s="241" t="s">
        <v>168</v>
      </c>
      <c r="VM145" s="243" t="s">
        <v>169</v>
      </c>
      <c r="VN145" s="79" t="s">
        <v>170</v>
      </c>
      <c r="VQ145" s="30" t="s">
        <v>164</v>
      </c>
      <c r="VR145" s="77" t="s">
        <v>165</v>
      </c>
      <c r="VS145" s="241" t="s">
        <v>166</v>
      </c>
      <c r="VT145" s="26" t="s">
        <v>167</v>
      </c>
      <c r="VU145" s="241" t="s">
        <v>168</v>
      </c>
      <c r="VV145" s="243" t="s">
        <v>169</v>
      </c>
      <c r="VW145" s="79" t="s">
        <v>170</v>
      </c>
      <c r="VZ145" s="30" t="s">
        <v>164</v>
      </c>
      <c r="WA145" s="77" t="s">
        <v>165</v>
      </c>
      <c r="WB145" s="241" t="s">
        <v>166</v>
      </c>
      <c r="WC145" s="26" t="s">
        <v>167</v>
      </c>
      <c r="WD145" s="241" t="s">
        <v>168</v>
      </c>
      <c r="WE145" s="243" t="s">
        <v>169</v>
      </c>
      <c r="WF145" s="79" t="s">
        <v>170</v>
      </c>
      <c r="WI145" s="30" t="s">
        <v>164</v>
      </c>
      <c r="WJ145" s="77" t="s">
        <v>165</v>
      </c>
      <c r="WK145" s="241" t="s">
        <v>166</v>
      </c>
      <c r="WL145" s="26" t="s">
        <v>167</v>
      </c>
      <c r="WM145" s="241" t="s">
        <v>168</v>
      </c>
      <c r="WN145" s="243" t="s">
        <v>169</v>
      </c>
      <c r="WO145" s="79" t="s">
        <v>170</v>
      </c>
      <c r="WR145" s="30" t="s">
        <v>164</v>
      </c>
      <c r="WS145" s="77" t="s">
        <v>165</v>
      </c>
      <c r="WT145" s="241" t="s">
        <v>166</v>
      </c>
      <c r="WU145" s="26" t="s">
        <v>167</v>
      </c>
      <c r="WV145" s="241" t="s">
        <v>168</v>
      </c>
      <c r="WW145" s="243" t="s">
        <v>169</v>
      </c>
      <c r="WX145" s="79" t="s">
        <v>170</v>
      </c>
      <c r="XA145" s="30" t="s">
        <v>164</v>
      </c>
      <c r="XB145" s="77" t="s">
        <v>165</v>
      </c>
      <c r="XC145" s="241" t="s">
        <v>166</v>
      </c>
      <c r="XD145" s="26" t="s">
        <v>167</v>
      </c>
      <c r="XE145" s="241" t="s">
        <v>168</v>
      </c>
      <c r="XF145" s="243" t="s">
        <v>169</v>
      </c>
      <c r="XG145" s="79" t="s">
        <v>170</v>
      </c>
      <c r="XJ145" s="30" t="s">
        <v>164</v>
      </c>
      <c r="XK145" s="77" t="s">
        <v>165</v>
      </c>
      <c r="XL145" s="241" t="s">
        <v>166</v>
      </c>
      <c r="XM145" s="26" t="s">
        <v>167</v>
      </c>
      <c r="XN145" s="241" t="s">
        <v>168</v>
      </c>
      <c r="XO145" s="243" t="s">
        <v>169</v>
      </c>
      <c r="XP145" s="79" t="s">
        <v>170</v>
      </c>
      <c r="XS145" s="30" t="s">
        <v>164</v>
      </c>
      <c r="XT145" s="77" t="s">
        <v>165</v>
      </c>
      <c r="XU145" s="241" t="s">
        <v>166</v>
      </c>
      <c r="XV145" s="26" t="s">
        <v>167</v>
      </c>
      <c r="XW145" s="241" t="s">
        <v>168</v>
      </c>
      <c r="XX145" s="243" t="s">
        <v>169</v>
      </c>
      <c r="XY145" s="79" t="s">
        <v>170</v>
      </c>
      <c r="YB145" s="30" t="s">
        <v>164</v>
      </c>
      <c r="YC145" s="77" t="s">
        <v>165</v>
      </c>
      <c r="YD145" s="241" t="s">
        <v>166</v>
      </c>
      <c r="YE145" s="26" t="s">
        <v>167</v>
      </c>
      <c r="YF145" s="241" t="s">
        <v>168</v>
      </c>
      <c r="YG145" s="243" t="s">
        <v>169</v>
      </c>
      <c r="YH145" s="79" t="s">
        <v>170</v>
      </c>
      <c r="YK145" s="30" t="s">
        <v>164</v>
      </c>
      <c r="YL145" s="77" t="s">
        <v>165</v>
      </c>
      <c r="YM145" s="241" t="s">
        <v>166</v>
      </c>
      <c r="YN145" s="26" t="s">
        <v>167</v>
      </c>
      <c r="YO145" s="241" t="s">
        <v>168</v>
      </c>
      <c r="YP145" s="243" t="s">
        <v>169</v>
      </c>
      <c r="YQ145" s="79" t="s">
        <v>170</v>
      </c>
      <c r="YT145" s="30" t="s">
        <v>164</v>
      </c>
      <c r="YU145" s="77" t="s">
        <v>165</v>
      </c>
      <c r="YV145" s="241" t="s">
        <v>166</v>
      </c>
      <c r="YW145" s="26" t="s">
        <v>167</v>
      </c>
      <c r="YX145" s="241" t="s">
        <v>168</v>
      </c>
      <c r="YY145" s="243" t="s">
        <v>169</v>
      </c>
      <c r="YZ145" s="79" t="s">
        <v>170</v>
      </c>
      <c r="ZC145" s="30" t="s">
        <v>164</v>
      </c>
      <c r="ZD145" s="77" t="s">
        <v>165</v>
      </c>
      <c r="ZE145" s="241" t="s">
        <v>166</v>
      </c>
      <c r="ZF145" s="26" t="s">
        <v>167</v>
      </c>
      <c r="ZG145" s="241" t="s">
        <v>168</v>
      </c>
      <c r="ZH145" s="243" t="s">
        <v>169</v>
      </c>
      <c r="ZI145" s="79" t="s">
        <v>170</v>
      </c>
      <c r="ZL145" s="30" t="s">
        <v>164</v>
      </c>
      <c r="ZM145" s="77" t="s">
        <v>165</v>
      </c>
      <c r="ZN145" s="241" t="s">
        <v>166</v>
      </c>
      <c r="ZO145" s="26" t="s">
        <v>167</v>
      </c>
      <c r="ZP145" s="241" t="s">
        <v>168</v>
      </c>
      <c r="ZQ145" s="243" t="s">
        <v>169</v>
      </c>
      <c r="ZR145" s="79" t="s">
        <v>170</v>
      </c>
      <c r="ZU145" s="30" t="s">
        <v>164</v>
      </c>
      <c r="ZV145" s="77" t="s">
        <v>165</v>
      </c>
      <c r="ZW145" s="241" t="s">
        <v>166</v>
      </c>
      <c r="ZX145" s="26" t="s">
        <v>167</v>
      </c>
      <c r="ZY145" s="241" t="s">
        <v>168</v>
      </c>
      <c r="ZZ145" s="243" t="s">
        <v>169</v>
      </c>
      <c r="AAA145" s="79" t="s">
        <v>170</v>
      </c>
      <c r="AAD145" s="30" t="s">
        <v>164</v>
      </c>
      <c r="AAE145" s="77" t="s">
        <v>165</v>
      </c>
      <c r="AAF145" s="241" t="s">
        <v>166</v>
      </c>
      <c r="AAG145" s="26" t="s">
        <v>167</v>
      </c>
      <c r="AAH145" s="241" t="s">
        <v>168</v>
      </c>
      <c r="AAI145" s="243" t="s">
        <v>169</v>
      </c>
      <c r="AAJ145" s="79" t="s">
        <v>170</v>
      </c>
      <c r="AAM145" s="30" t="s">
        <v>164</v>
      </c>
      <c r="AAN145" s="77" t="s">
        <v>165</v>
      </c>
      <c r="AAO145" s="241" t="s">
        <v>166</v>
      </c>
      <c r="AAP145" s="26" t="s">
        <v>167</v>
      </c>
      <c r="AAQ145" s="241" t="s">
        <v>168</v>
      </c>
      <c r="AAR145" s="243" t="s">
        <v>169</v>
      </c>
      <c r="AAS145" s="79" t="s">
        <v>170</v>
      </c>
      <c r="AAV145" s="30" t="s">
        <v>164</v>
      </c>
      <c r="AAW145" s="77" t="s">
        <v>165</v>
      </c>
      <c r="AAX145" s="241" t="s">
        <v>166</v>
      </c>
      <c r="AAY145" s="26" t="s">
        <v>167</v>
      </c>
      <c r="AAZ145" s="241" t="s">
        <v>168</v>
      </c>
      <c r="ABA145" s="243" t="s">
        <v>169</v>
      </c>
      <c r="ABB145" s="79" t="s">
        <v>170</v>
      </c>
      <c r="ABE145" s="30" t="s">
        <v>164</v>
      </c>
      <c r="ABF145" s="77" t="s">
        <v>165</v>
      </c>
      <c r="ABG145" s="241" t="s">
        <v>166</v>
      </c>
      <c r="ABH145" s="26" t="s">
        <v>167</v>
      </c>
      <c r="ABI145" s="241" t="s">
        <v>168</v>
      </c>
      <c r="ABJ145" s="243" t="s">
        <v>169</v>
      </c>
      <c r="ABK145" s="79" t="s">
        <v>170</v>
      </c>
    </row>
    <row r="146" spans="2:739" s="6" customFormat="1" ht="15" customHeight="1" outlineLevel="1" thickBot="1">
      <c r="B146" s="480"/>
      <c r="C146" s="49" t="s">
        <v>171</v>
      </c>
      <c r="D146" s="429" t="s">
        <v>172</v>
      </c>
      <c r="E146" s="429" t="s">
        <v>172</v>
      </c>
      <c r="F146" s="429" t="s">
        <v>172</v>
      </c>
      <c r="G146" s="430" t="s">
        <v>172</v>
      </c>
      <c r="H146" s="431">
        <f>H142</f>
        <v>168368.40000000005</v>
      </c>
      <c r="I146" s="328"/>
      <c r="L146" s="49" t="s">
        <v>171</v>
      </c>
      <c r="M146" s="429" t="s">
        <v>172</v>
      </c>
      <c r="N146" s="429" t="s">
        <v>172</v>
      </c>
      <c r="O146" s="429" t="s">
        <v>172</v>
      </c>
      <c r="P146" s="430" t="s">
        <v>172</v>
      </c>
      <c r="Q146" s="431">
        <f>Q142</f>
        <v>63275.80000000009</v>
      </c>
      <c r="R146" s="53"/>
      <c r="U146" s="49" t="s">
        <v>171</v>
      </c>
      <c r="V146" s="429" t="s">
        <v>172</v>
      </c>
      <c r="W146" s="429" t="s">
        <v>172</v>
      </c>
      <c r="X146" s="429" t="s">
        <v>172</v>
      </c>
      <c r="Y146" s="430" t="s">
        <v>172</v>
      </c>
      <c r="Z146" s="431">
        <f>Z142</f>
        <v>31017.199999999972</v>
      </c>
      <c r="AA146" s="53"/>
      <c r="AD146" s="49" t="s">
        <v>171</v>
      </c>
      <c r="AE146" s="429" t="s">
        <v>172</v>
      </c>
      <c r="AF146" s="429" t="s">
        <v>172</v>
      </c>
      <c r="AG146" s="429" t="s">
        <v>172</v>
      </c>
      <c r="AH146" s="430" t="s">
        <v>172</v>
      </c>
      <c r="AI146" s="431">
        <f>AI142</f>
        <v>13032.500000000016</v>
      </c>
      <c r="AJ146" s="53"/>
      <c r="AM146" s="49" t="s">
        <v>171</v>
      </c>
      <c r="AN146" s="429" t="s">
        <v>172</v>
      </c>
      <c r="AO146" s="429" t="s">
        <v>172</v>
      </c>
      <c r="AP146" s="429" t="s">
        <v>172</v>
      </c>
      <c r="AQ146" s="430" t="s">
        <v>172</v>
      </c>
      <c r="AR146" s="431">
        <f>AR142</f>
        <v>0</v>
      </c>
      <c r="AS146" s="53"/>
      <c r="AV146" s="49" t="s">
        <v>171</v>
      </c>
      <c r="AW146" s="429" t="s">
        <v>172</v>
      </c>
      <c r="AX146" s="429" t="s">
        <v>172</v>
      </c>
      <c r="AY146" s="429" t="s">
        <v>172</v>
      </c>
      <c r="AZ146" s="430" t="s">
        <v>172</v>
      </c>
      <c r="BA146" s="431">
        <f>BA142</f>
        <v>37387.199999999997</v>
      </c>
      <c r="BB146" s="53"/>
      <c r="BE146" s="49" t="s">
        <v>171</v>
      </c>
      <c r="BF146" s="429" t="s">
        <v>172</v>
      </c>
      <c r="BG146" s="429" t="s">
        <v>172</v>
      </c>
      <c r="BH146" s="429" t="s">
        <v>172</v>
      </c>
      <c r="BI146" s="430" t="s">
        <v>172</v>
      </c>
      <c r="BJ146" s="431">
        <f>BJ142</f>
        <v>29537.199999999986</v>
      </c>
      <c r="BK146" s="53"/>
      <c r="BN146" s="49" t="s">
        <v>171</v>
      </c>
      <c r="BO146" s="429" t="s">
        <v>172</v>
      </c>
      <c r="BP146" s="429" t="s">
        <v>172</v>
      </c>
      <c r="BQ146" s="429" t="s">
        <v>172</v>
      </c>
      <c r="BR146" s="430" t="s">
        <v>172</v>
      </c>
      <c r="BS146" s="431">
        <f>BS142</f>
        <v>0</v>
      </c>
      <c r="BT146" s="53"/>
      <c r="BW146" s="49" t="s">
        <v>171</v>
      </c>
      <c r="BX146" s="429" t="s">
        <v>172</v>
      </c>
      <c r="BY146" s="429" t="s">
        <v>172</v>
      </c>
      <c r="BZ146" s="429" t="s">
        <v>172</v>
      </c>
      <c r="CA146" s="430" t="s">
        <v>172</v>
      </c>
      <c r="CB146" s="431">
        <f>CB142</f>
        <v>5848.7999999999993</v>
      </c>
      <c r="CC146" s="53"/>
      <c r="CF146" s="49" t="s">
        <v>171</v>
      </c>
      <c r="CG146" s="429" t="s">
        <v>172</v>
      </c>
      <c r="CH146" s="429" t="s">
        <v>172</v>
      </c>
      <c r="CI146" s="429" t="s">
        <v>172</v>
      </c>
      <c r="CJ146" s="430" t="s">
        <v>172</v>
      </c>
      <c r="CK146" s="431">
        <f>CK142</f>
        <v>0</v>
      </c>
      <c r="CL146" s="53"/>
      <c r="CO146" s="49" t="s">
        <v>171</v>
      </c>
      <c r="CP146" s="429" t="s">
        <v>172</v>
      </c>
      <c r="CQ146" s="429" t="s">
        <v>172</v>
      </c>
      <c r="CR146" s="429" t="s">
        <v>172</v>
      </c>
      <c r="CS146" s="430" t="s">
        <v>172</v>
      </c>
      <c r="CT146" s="431">
        <f>CT142</f>
        <v>0</v>
      </c>
      <c r="CU146" s="53"/>
      <c r="CX146" s="49" t="s">
        <v>171</v>
      </c>
      <c r="CY146" s="429" t="s">
        <v>172</v>
      </c>
      <c r="CZ146" s="429" t="s">
        <v>172</v>
      </c>
      <c r="DA146" s="429" t="s">
        <v>172</v>
      </c>
      <c r="DB146" s="430" t="s">
        <v>172</v>
      </c>
      <c r="DC146" s="431">
        <f>DC142</f>
        <v>24158.300000000003</v>
      </c>
      <c r="DD146" s="53"/>
      <c r="DG146" s="49" t="s">
        <v>171</v>
      </c>
      <c r="DH146" s="429" t="s">
        <v>172</v>
      </c>
      <c r="DI146" s="419" t="s">
        <v>172</v>
      </c>
      <c r="DJ146" s="429" t="s">
        <v>172</v>
      </c>
      <c r="DK146" s="420" t="s">
        <v>172</v>
      </c>
      <c r="DL146" s="421">
        <f>DL142</f>
        <v>42939.599999999984</v>
      </c>
      <c r="DM146" s="53"/>
      <c r="DP146" s="49" t="s">
        <v>171</v>
      </c>
      <c r="DQ146" s="429" t="s">
        <v>172</v>
      </c>
      <c r="DR146" s="429" t="s">
        <v>172</v>
      </c>
      <c r="DS146" s="429" t="s">
        <v>172</v>
      </c>
      <c r="DT146" s="430" t="s">
        <v>172</v>
      </c>
      <c r="DU146" s="431">
        <f>DU142</f>
        <v>5800</v>
      </c>
      <c r="DV146" s="53"/>
      <c r="DY146" s="49" t="s">
        <v>171</v>
      </c>
      <c r="DZ146" s="50" t="s">
        <v>172</v>
      </c>
      <c r="EA146" s="50" t="s">
        <v>172</v>
      </c>
      <c r="EB146" s="50" t="s">
        <v>172</v>
      </c>
      <c r="EC146" s="143" t="s">
        <v>172</v>
      </c>
      <c r="ED146" s="144">
        <f>ED142</f>
        <v>0</v>
      </c>
      <c r="EE146" s="53"/>
      <c r="EH146" s="49" t="s">
        <v>171</v>
      </c>
      <c r="EI146" s="50" t="s">
        <v>172</v>
      </c>
      <c r="EJ146" s="50" t="s">
        <v>172</v>
      </c>
      <c r="EK146" s="50" t="s">
        <v>172</v>
      </c>
      <c r="EL146" s="143" t="s">
        <v>172</v>
      </c>
      <c r="EM146" s="144">
        <f>EM142</f>
        <v>0</v>
      </c>
      <c r="EN146" s="53"/>
      <c r="EQ146" s="49" t="s">
        <v>171</v>
      </c>
      <c r="ER146" s="50" t="s">
        <v>172</v>
      </c>
      <c r="ES146" s="50" t="s">
        <v>172</v>
      </c>
      <c r="ET146" s="50" t="s">
        <v>172</v>
      </c>
      <c r="EU146" s="51" t="s">
        <v>172</v>
      </c>
      <c r="EV146" s="52">
        <f>EV142</f>
        <v>0</v>
      </c>
      <c r="EW146" s="53"/>
      <c r="EZ146" s="49" t="s">
        <v>171</v>
      </c>
      <c r="FA146" s="50" t="s">
        <v>172</v>
      </c>
      <c r="FB146" s="50" t="s">
        <v>172</v>
      </c>
      <c r="FC146" s="50" t="s">
        <v>172</v>
      </c>
      <c r="FD146" s="143" t="s">
        <v>172</v>
      </c>
      <c r="FE146" s="144">
        <f>FE142</f>
        <v>0</v>
      </c>
      <c r="FF146" s="53"/>
      <c r="FI146" s="49" t="s">
        <v>171</v>
      </c>
      <c r="FJ146" s="50" t="s">
        <v>172</v>
      </c>
      <c r="FK146" s="50" t="s">
        <v>172</v>
      </c>
      <c r="FL146" s="50" t="s">
        <v>172</v>
      </c>
      <c r="FM146" s="143" t="s">
        <v>172</v>
      </c>
      <c r="FN146" s="144">
        <f>FN142</f>
        <v>0</v>
      </c>
      <c r="FO146" s="53"/>
      <c r="FR146" s="49" t="s">
        <v>171</v>
      </c>
      <c r="FS146" s="50" t="s">
        <v>172</v>
      </c>
      <c r="FT146" s="50" t="s">
        <v>172</v>
      </c>
      <c r="FU146" s="50" t="s">
        <v>172</v>
      </c>
      <c r="FV146" s="143" t="s">
        <v>172</v>
      </c>
      <c r="FW146" s="144">
        <f>FW142</f>
        <v>2120</v>
      </c>
      <c r="FX146" s="459">
        <f>FW146/20</f>
        <v>106</v>
      </c>
      <c r="FY146" s="460" t="s">
        <v>173</v>
      </c>
      <c r="GA146" s="49" t="s">
        <v>171</v>
      </c>
      <c r="GB146" s="50" t="s">
        <v>172</v>
      </c>
      <c r="GC146" s="50" t="s">
        <v>172</v>
      </c>
      <c r="GD146" s="50" t="s">
        <v>172</v>
      </c>
      <c r="GE146" s="143" t="s">
        <v>172</v>
      </c>
      <c r="GF146" s="144">
        <f>GF142</f>
        <v>3640</v>
      </c>
      <c r="GG146" s="461">
        <f>GF146/20</f>
        <v>182</v>
      </c>
      <c r="GH146" s="460" t="s">
        <v>173</v>
      </c>
      <c r="GI146" s="22"/>
      <c r="GJ146" s="49" t="s">
        <v>171</v>
      </c>
      <c r="GK146" s="50" t="s">
        <v>172</v>
      </c>
      <c r="GL146" s="50" t="s">
        <v>172</v>
      </c>
      <c r="GM146" s="50" t="s">
        <v>172</v>
      </c>
      <c r="GN146" s="143" t="s">
        <v>172</v>
      </c>
      <c r="GO146" s="144">
        <f>GO142</f>
        <v>2080</v>
      </c>
      <c r="GP146" s="459">
        <f>GO146/20</f>
        <v>104</v>
      </c>
      <c r="GQ146" s="460" t="s">
        <v>173</v>
      </c>
      <c r="GS146" s="49" t="s">
        <v>171</v>
      </c>
      <c r="GT146" s="50" t="s">
        <v>172</v>
      </c>
      <c r="GU146" s="50" t="s">
        <v>172</v>
      </c>
      <c r="GV146" s="50" t="s">
        <v>172</v>
      </c>
      <c r="GW146" s="143" t="s">
        <v>172</v>
      </c>
      <c r="GX146" s="144">
        <f>GX142</f>
        <v>0</v>
      </c>
      <c r="GY146" s="459">
        <f>GX146/20</f>
        <v>0</v>
      </c>
      <c r="GZ146" s="460" t="s">
        <v>173</v>
      </c>
      <c r="HB146" s="49" t="s">
        <v>171</v>
      </c>
      <c r="HC146" s="50" t="s">
        <v>172</v>
      </c>
      <c r="HD146" s="50" t="s">
        <v>172</v>
      </c>
      <c r="HE146" s="50" t="s">
        <v>172</v>
      </c>
      <c r="HF146" s="143" t="s">
        <v>172</v>
      </c>
      <c r="HG146" s="144">
        <f>HG142</f>
        <v>0</v>
      </c>
      <c r="HH146" s="459">
        <f>HG146/20</f>
        <v>0</v>
      </c>
      <c r="HI146" s="460" t="s">
        <v>173</v>
      </c>
      <c r="HK146" s="49" t="s">
        <v>171</v>
      </c>
      <c r="HL146" s="50" t="s">
        <v>172</v>
      </c>
      <c r="HM146" s="50" t="s">
        <v>172</v>
      </c>
      <c r="HN146" s="50" t="s">
        <v>172</v>
      </c>
      <c r="HO146" s="143" t="s">
        <v>172</v>
      </c>
      <c r="HP146" s="144">
        <f>HP142</f>
        <v>0</v>
      </c>
      <c r="HQ146" s="53"/>
      <c r="HU146" s="49" t="s">
        <v>171</v>
      </c>
      <c r="HV146" s="50" t="s">
        <v>172</v>
      </c>
      <c r="HW146" s="142" t="s">
        <v>172</v>
      </c>
      <c r="HX146" s="50" t="s">
        <v>172</v>
      </c>
      <c r="HY146" s="143" t="s">
        <v>172</v>
      </c>
      <c r="HZ146" s="144">
        <f>HZ142</f>
        <v>6360</v>
      </c>
      <c r="IA146" s="459">
        <f>HZ146/20</f>
        <v>318</v>
      </c>
      <c r="IB146" s="460" t="s">
        <v>173</v>
      </c>
      <c r="ID146" s="49" t="s">
        <v>171</v>
      </c>
      <c r="IE146" s="50" t="s">
        <v>172</v>
      </c>
      <c r="IF146" s="142" t="s">
        <v>172</v>
      </c>
      <c r="IG146" s="50" t="s">
        <v>172</v>
      </c>
      <c r="IH146" s="143" t="s">
        <v>172</v>
      </c>
      <c r="II146" s="144">
        <f>II142</f>
        <v>6540</v>
      </c>
      <c r="IJ146" s="459">
        <f>II146/20</f>
        <v>327</v>
      </c>
      <c r="IK146" s="460" t="s">
        <v>173</v>
      </c>
      <c r="IM146" s="49" t="s">
        <v>171</v>
      </c>
      <c r="IN146" s="50" t="s">
        <v>172</v>
      </c>
      <c r="IO146" s="142" t="s">
        <v>172</v>
      </c>
      <c r="IP146" s="50" t="s">
        <v>172</v>
      </c>
      <c r="IQ146" s="143" t="s">
        <v>172</v>
      </c>
      <c r="IR146" s="144">
        <f>IR142</f>
        <v>11540</v>
      </c>
      <c r="IS146" s="459">
        <f>IR146/20</f>
        <v>577</v>
      </c>
      <c r="IT146" s="460" t="s">
        <v>173</v>
      </c>
      <c r="IV146" s="49" t="s">
        <v>171</v>
      </c>
      <c r="IW146" s="50" t="s">
        <v>172</v>
      </c>
      <c r="IX146" s="142" t="s">
        <v>172</v>
      </c>
      <c r="IY146" s="142" t="s">
        <v>172</v>
      </c>
      <c r="IZ146" s="143" t="s">
        <v>172</v>
      </c>
      <c r="JA146" s="144">
        <f>JA142</f>
        <v>15120</v>
      </c>
      <c r="JB146" s="459">
        <f>JA146/20</f>
        <v>756</v>
      </c>
      <c r="JC146" s="460" t="s">
        <v>173</v>
      </c>
      <c r="JE146" s="49" t="s">
        <v>171</v>
      </c>
      <c r="JF146" s="50" t="s">
        <v>172</v>
      </c>
      <c r="JG146" s="142" t="s">
        <v>172</v>
      </c>
      <c r="JH146" s="142" t="s">
        <v>172</v>
      </c>
      <c r="JI146" s="143" t="s">
        <v>172</v>
      </c>
      <c r="JJ146" s="144">
        <f>JJ142</f>
        <v>1960</v>
      </c>
      <c r="JK146" s="459">
        <f>JJ146/20</f>
        <v>98</v>
      </c>
      <c r="JL146" s="460" t="s">
        <v>173</v>
      </c>
      <c r="JN146" s="49" t="s">
        <v>171</v>
      </c>
      <c r="JO146" s="50" t="s">
        <v>172</v>
      </c>
      <c r="JP146" s="142" t="s">
        <v>172</v>
      </c>
      <c r="JQ146" s="142" t="s">
        <v>172</v>
      </c>
      <c r="JR146" s="143" t="s">
        <v>172</v>
      </c>
      <c r="JS146" s="144">
        <f>JS142</f>
        <v>9100</v>
      </c>
      <c r="JT146" s="459">
        <f>JS146/20</f>
        <v>455</v>
      </c>
      <c r="JU146" s="460" t="s">
        <v>173</v>
      </c>
      <c r="JW146" s="49" t="s">
        <v>171</v>
      </c>
      <c r="JX146" s="50" t="s">
        <v>172</v>
      </c>
      <c r="JY146" s="142" t="s">
        <v>172</v>
      </c>
      <c r="JZ146" s="142" t="s">
        <v>172</v>
      </c>
      <c r="KA146" s="143" t="s">
        <v>172</v>
      </c>
      <c r="KB146" s="144">
        <f>KB142</f>
        <v>2540</v>
      </c>
      <c r="KC146" s="53"/>
      <c r="KF146" s="49" t="s">
        <v>171</v>
      </c>
      <c r="KG146" s="50" t="s">
        <v>172</v>
      </c>
      <c r="KH146" s="142" t="s">
        <v>172</v>
      </c>
      <c r="KI146" s="50" t="s">
        <v>172</v>
      </c>
      <c r="KJ146" s="143" t="s">
        <v>172</v>
      </c>
      <c r="KK146" s="144">
        <f>KK142</f>
        <v>19.5</v>
      </c>
      <c r="KL146" s="459">
        <f>KK146/19.5</f>
        <v>1</v>
      </c>
      <c r="KM146" s="460" t="s">
        <v>173</v>
      </c>
      <c r="KO146" s="49" t="s">
        <v>171</v>
      </c>
      <c r="KP146" s="50" t="s">
        <v>172</v>
      </c>
      <c r="KQ146" s="142" t="s">
        <v>172</v>
      </c>
      <c r="KR146" s="50" t="s">
        <v>172</v>
      </c>
      <c r="KS146" s="143" t="s">
        <v>172</v>
      </c>
      <c r="KT146" s="144">
        <f>KT142</f>
        <v>2079</v>
      </c>
      <c r="KU146" s="53"/>
      <c r="KW146" s="22"/>
      <c r="KX146" s="49" t="s">
        <v>171</v>
      </c>
      <c r="KY146" s="50" t="s">
        <v>172</v>
      </c>
      <c r="KZ146" s="142" t="s">
        <v>172</v>
      </c>
      <c r="LA146" s="50" t="s">
        <v>172</v>
      </c>
      <c r="LB146" s="143" t="s">
        <v>172</v>
      </c>
      <c r="LC146" s="144">
        <f>LC142</f>
        <v>6150</v>
      </c>
      <c r="LD146" s="459">
        <f>LC146/20.5</f>
        <v>300</v>
      </c>
      <c r="LE146" s="460" t="s">
        <v>173</v>
      </c>
      <c r="LG146" s="49" t="s">
        <v>171</v>
      </c>
      <c r="LH146" s="50" t="s">
        <v>172</v>
      </c>
      <c r="LI146" s="142" t="s">
        <v>172</v>
      </c>
      <c r="LJ146" s="142" t="s">
        <v>172</v>
      </c>
      <c r="LK146" s="143" t="s">
        <v>172</v>
      </c>
      <c r="LL146" s="144">
        <f>LL142</f>
        <v>4000</v>
      </c>
      <c r="LM146" s="459">
        <f>LL146/20</f>
        <v>200</v>
      </c>
      <c r="LN146" s="460" t="s">
        <v>173</v>
      </c>
      <c r="LP146" s="49" t="s">
        <v>171</v>
      </c>
      <c r="LQ146" s="50" t="s">
        <v>172</v>
      </c>
      <c r="LR146" s="142" t="s">
        <v>172</v>
      </c>
      <c r="LS146" s="50" t="s">
        <v>172</v>
      </c>
      <c r="LT146" s="143" t="s">
        <v>172</v>
      </c>
      <c r="LU146" s="144">
        <f>LU142</f>
        <v>0</v>
      </c>
      <c r="LV146" s="53"/>
      <c r="LY146" s="49" t="s">
        <v>171</v>
      </c>
      <c r="LZ146" s="50" t="s">
        <v>172</v>
      </c>
      <c r="MA146" s="142" t="s">
        <v>172</v>
      </c>
      <c r="MB146" s="142" t="s">
        <v>172</v>
      </c>
      <c r="MC146" s="143" t="s">
        <v>172</v>
      </c>
      <c r="MD146" s="144">
        <f>MD142</f>
        <v>0</v>
      </c>
      <c r="ME146" s="53"/>
      <c r="MH146" s="49" t="s">
        <v>171</v>
      </c>
      <c r="MI146" s="50" t="s">
        <v>172</v>
      </c>
      <c r="MJ146" s="142" t="s">
        <v>172</v>
      </c>
      <c r="MK146" s="142" t="s">
        <v>172</v>
      </c>
      <c r="ML146" s="143" t="s">
        <v>172</v>
      </c>
      <c r="MM146" s="144">
        <f>MM142</f>
        <v>0</v>
      </c>
      <c r="MN146" s="53"/>
      <c r="MQ146" s="49" t="s">
        <v>171</v>
      </c>
      <c r="MR146" s="50" t="s">
        <v>172</v>
      </c>
      <c r="MS146" s="142" t="s">
        <v>172</v>
      </c>
      <c r="MT146" s="142" t="s">
        <v>172</v>
      </c>
      <c r="MU146" s="143" t="s">
        <v>172</v>
      </c>
      <c r="MV146" s="144">
        <f>MV142</f>
        <v>3903</v>
      </c>
      <c r="MW146" s="53"/>
      <c r="MZ146" s="49" t="s">
        <v>171</v>
      </c>
      <c r="NA146" s="50" t="s">
        <v>172</v>
      </c>
      <c r="NB146" s="142" t="s">
        <v>172</v>
      </c>
      <c r="NC146" s="142" t="s">
        <v>172</v>
      </c>
      <c r="ND146" s="143" t="s">
        <v>172</v>
      </c>
      <c r="NE146" s="144">
        <f>NE142</f>
        <v>0</v>
      </c>
      <c r="NF146" s="53"/>
      <c r="NI146" s="49" t="s">
        <v>171</v>
      </c>
      <c r="NJ146" s="50" t="s">
        <v>172</v>
      </c>
      <c r="NK146" s="142" t="s">
        <v>172</v>
      </c>
      <c r="NL146" s="50" t="s">
        <v>172</v>
      </c>
      <c r="NM146" s="143" t="s">
        <v>172</v>
      </c>
      <c r="NN146" s="144">
        <f>NN142</f>
        <v>1137</v>
      </c>
      <c r="NO146" s="53"/>
      <c r="NR146" s="49" t="s">
        <v>171</v>
      </c>
      <c r="NS146" s="50" t="s">
        <v>172</v>
      </c>
      <c r="NT146" s="142" t="s">
        <v>172</v>
      </c>
      <c r="NU146" s="50" t="s">
        <v>172</v>
      </c>
      <c r="NV146" s="143" t="s">
        <v>172</v>
      </c>
      <c r="NW146" s="144">
        <f>NW142</f>
        <v>3122.8999999999996</v>
      </c>
      <c r="NX146" s="53"/>
      <c r="OA146" s="49" t="s">
        <v>171</v>
      </c>
      <c r="OB146" s="50" t="s">
        <v>172</v>
      </c>
      <c r="OC146" s="142" t="s">
        <v>172</v>
      </c>
      <c r="OD146" s="142" t="s">
        <v>172</v>
      </c>
      <c r="OE146" s="143" t="s">
        <v>172</v>
      </c>
      <c r="OF146" s="144">
        <f>OF142</f>
        <v>1680.5</v>
      </c>
      <c r="OG146" s="53"/>
      <c r="OJ146" s="49" t="s">
        <v>171</v>
      </c>
      <c r="OK146" s="50" t="s">
        <v>172</v>
      </c>
      <c r="OL146" s="142" t="s">
        <v>172</v>
      </c>
      <c r="OM146" s="142" t="s">
        <v>172</v>
      </c>
      <c r="ON146" s="143" t="s">
        <v>172</v>
      </c>
      <c r="OO146" s="144"/>
      <c r="OP146" s="53"/>
      <c r="OS146" s="49" t="s">
        <v>171</v>
      </c>
      <c r="OT146" s="50" t="s">
        <v>172</v>
      </c>
      <c r="OU146" s="142" t="s">
        <v>172</v>
      </c>
      <c r="OV146" s="142" t="s">
        <v>172</v>
      </c>
      <c r="OW146" s="143" t="s">
        <v>172</v>
      </c>
      <c r="OX146" s="144">
        <f>OX142</f>
        <v>982</v>
      </c>
      <c r="OY146" s="53"/>
      <c r="PB146" s="49" t="s">
        <v>171</v>
      </c>
      <c r="PC146" s="50" t="s">
        <v>172</v>
      </c>
      <c r="PD146" s="142" t="s">
        <v>172</v>
      </c>
      <c r="PE146" s="142" t="s">
        <v>172</v>
      </c>
      <c r="PF146" s="143" t="s">
        <v>172</v>
      </c>
      <c r="PG146" s="144">
        <f>PG142</f>
        <v>0</v>
      </c>
      <c r="PH146" s="53"/>
      <c r="PK146" s="49" t="s">
        <v>171</v>
      </c>
      <c r="PL146" s="50" t="s">
        <v>172</v>
      </c>
      <c r="PM146" s="142" t="s">
        <v>172</v>
      </c>
      <c r="PN146" s="142" t="s">
        <v>172</v>
      </c>
      <c r="PO146" s="143" t="s">
        <v>172</v>
      </c>
      <c r="PP146" s="144">
        <f>PP142</f>
        <v>100</v>
      </c>
      <c r="PQ146" s="53"/>
      <c r="PT146" s="49" t="s">
        <v>171</v>
      </c>
      <c r="PU146" s="50" t="s">
        <v>172</v>
      </c>
      <c r="PV146" s="142" t="s">
        <v>172</v>
      </c>
      <c r="PW146" s="142" t="s">
        <v>172</v>
      </c>
      <c r="PX146" s="143" t="s">
        <v>172</v>
      </c>
      <c r="PY146" s="144">
        <f>PY142</f>
        <v>13.960000000000036</v>
      </c>
      <c r="PZ146" s="53"/>
      <c r="QC146" s="49" t="s">
        <v>171</v>
      </c>
      <c r="QD146" s="50" t="s">
        <v>172</v>
      </c>
      <c r="QE146" s="142" t="s">
        <v>172</v>
      </c>
      <c r="QF146" s="142" t="s">
        <v>172</v>
      </c>
      <c r="QG146" s="143" t="s">
        <v>172</v>
      </c>
      <c r="QH146" s="144">
        <f>QH142</f>
        <v>596</v>
      </c>
      <c r="QI146" s="53"/>
      <c r="QL146" s="49" t="s">
        <v>171</v>
      </c>
      <c r="QM146" s="50" t="s">
        <v>172</v>
      </c>
      <c r="QN146" s="142" t="s">
        <v>172</v>
      </c>
      <c r="QO146" s="142" t="s">
        <v>172</v>
      </c>
      <c r="QP146" s="143" t="s">
        <v>172</v>
      </c>
      <c r="QQ146" s="144">
        <f>QQ142</f>
        <v>400</v>
      </c>
      <c r="QR146" s="53"/>
      <c r="QU146" s="49" t="s">
        <v>171</v>
      </c>
      <c r="QV146" s="50" t="s">
        <v>172</v>
      </c>
      <c r="QW146" s="142" t="s">
        <v>172</v>
      </c>
      <c r="QX146" s="142" t="s">
        <v>172</v>
      </c>
      <c r="QY146" s="143" t="s">
        <v>172</v>
      </c>
      <c r="QZ146" s="144">
        <f>QZ142</f>
        <v>207.6</v>
      </c>
      <c r="RA146" s="53"/>
      <c r="RD146" s="49" t="s">
        <v>171</v>
      </c>
      <c r="RE146" s="50" t="s">
        <v>172</v>
      </c>
      <c r="RF146" s="142" t="s">
        <v>172</v>
      </c>
      <c r="RG146" s="142" t="s">
        <v>172</v>
      </c>
      <c r="RH146" s="143" t="s">
        <v>172</v>
      </c>
      <c r="RI146" s="144">
        <f>RI142</f>
        <v>147.04000000000002</v>
      </c>
      <c r="RJ146" s="53"/>
      <c r="RM146" s="49" t="s">
        <v>171</v>
      </c>
      <c r="RN146" s="50" t="s">
        <v>172</v>
      </c>
      <c r="RO146" s="142" t="s">
        <v>172</v>
      </c>
      <c r="RP146" s="142" t="s">
        <v>172</v>
      </c>
      <c r="RQ146" s="143" t="s">
        <v>172</v>
      </c>
      <c r="RR146" s="144">
        <f>RR142</f>
        <v>46.8</v>
      </c>
      <c r="RS146" s="53"/>
      <c r="RV146" s="49" t="s">
        <v>171</v>
      </c>
      <c r="RW146" s="50" t="s">
        <v>172</v>
      </c>
      <c r="RX146" s="142" t="s">
        <v>172</v>
      </c>
      <c r="RY146" s="142" t="s">
        <v>172</v>
      </c>
      <c r="RZ146" s="143" t="s">
        <v>172</v>
      </c>
      <c r="SA146" s="144">
        <f>SA142</f>
        <v>0</v>
      </c>
      <c r="SB146" s="53"/>
      <c r="SE146" s="49" t="s">
        <v>171</v>
      </c>
      <c r="SF146" s="50" t="s">
        <v>172</v>
      </c>
      <c r="SG146" s="142" t="s">
        <v>172</v>
      </c>
      <c r="SH146" s="142" t="s">
        <v>172</v>
      </c>
      <c r="SI146" s="143" t="s">
        <v>172</v>
      </c>
      <c r="SJ146" s="144">
        <f>SJ142</f>
        <v>24.200000000000003</v>
      </c>
      <c r="SK146" s="53"/>
      <c r="SN146" s="49" t="s">
        <v>171</v>
      </c>
      <c r="SO146" s="50" t="s">
        <v>172</v>
      </c>
      <c r="SP146" s="142" t="s">
        <v>172</v>
      </c>
      <c r="SQ146" s="142" t="s">
        <v>172</v>
      </c>
      <c r="SR146" s="143" t="s">
        <v>172</v>
      </c>
      <c r="SS146" s="144">
        <f>SS142</f>
        <v>32</v>
      </c>
      <c r="ST146" s="53"/>
      <c r="SW146" s="49" t="s">
        <v>171</v>
      </c>
      <c r="SX146" s="50" t="s">
        <v>172</v>
      </c>
      <c r="SY146" s="142" t="s">
        <v>172</v>
      </c>
      <c r="SZ146" s="142" t="s">
        <v>172</v>
      </c>
      <c r="TA146" s="143" t="s">
        <v>172</v>
      </c>
      <c r="TB146" s="144">
        <f>TB142</f>
        <v>0</v>
      </c>
      <c r="TC146" s="53"/>
      <c r="TF146" s="49" t="s">
        <v>171</v>
      </c>
      <c r="TG146" s="50" t="s">
        <v>172</v>
      </c>
      <c r="TH146" s="142" t="s">
        <v>172</v>
      </c>
      <c r="TI146" s="142" t="s">
        <v>172</v>
      </c>
      <c r="TJ146" s="143" t="s">
        <v>172</v>
      </c>
      <c r="TK146" s="144">
        <f>TK142</f>
        <v>0</v>
      </c>
      <c r="TL146" s="53"/>
      <c r="TO146" s="49" t="s">
        <v>171</v>
      </c>
      <c r="TP146" s="50" t="s">
        <v>172</v>
      </c>
      <c r="TQ146" s="142" t="s">
        <v>172</v>
      </c>
      <c r="TR146" s="142" t="s">
        <v>172</v>
      </c>
      <c r="TS146" s="143" t="s">
        <v>172</v>
      </c>
      <c r="TT146" s="144">
        <f>TT142</f>
        <v>0</v>
      </c>
      <c r="TU146" s="53"/>
      <c r="TX146" s="49" t="s">
        <v>171</v>
      </c>
      <c r="TY146" s="50" t="s">
        <v>172</v>
      </c>
      <c r="TZ146" s="142" t="s">
        <v>172</v>
      </c>
      <c r="UA146" s="142" t="s">
        <v>172</v>
      </c>
      <c r="UB146" s="143" t="s">
        <v>172</v>
      </c>
      <c r="UC146" s="144">
        <f>UC142</f>
        <v>0</v>
      </c>
      <c r="UD146" s="53"/>
      <c r="UG146" s="49" t="s">
        <v>171</v>
      </c>
      <c r="UH146" s="50" t="s">
        <v>172</v>
      </c>
      <c r="UI146" s="142" t="s">
        <v>172</v>
      </c>
      <c r="UJ146" s="142" t="s">
        <v>172</v>
      </c>
      <c r="UK146" s="143" t="s">
        <v>172</v>
      </c>
      <c r="UL146" s="144">
        <f>UL142</f>
        <v>0</v>
      </c>
      <c r="UM146" s="53"/>
      <c r="UP146" s="49" t="s">
        <v>171</v>
      </c>
      <c r="UQ146" s="50" t="s">
        <v>172</v>
      </c>
      <c r="UR146" s="142" t="s">
        <v>172</v>
      </c>
      <c r="US146" s="142" t="s">
        <v>172</v>
      </c>
      <c r="UT146" s="143" t="s">
        <v>172</v>
      </c>
      <c r="UU146" s="144">
        <f>UU142</f>
        <v>0</v>
      </c>
      <c r="UV146" s="53"/>
      <c r="UY146" s="49" t="s">
        <v>171</v>
      </c>
      <c r="UZ146" s="50" t="s">
        <v>172</v>
      </c>
      <c r="VA146" s="142" t="s">
        <v>172</v>
      </c>
      <c r="VB146" s="142" t="s">
        <v>172</v>
      </c>
      <c r="VC146" s="143" t="s">
        <v>172</v>
      </c>
      <c r="VD146" s="144">
        <f>VD142</f>
        <v>41.600000000000023</v>
      </c>
      <c r="VE146" s="53"/>
      <c r="VH146" s="49" t="s">
        <v>171</v>
      </c>
      <c r="VI146" s="50" t="s">
        <v>172</v>
      </c>
      <c r="VJ146" s="142" t="s">
        <v>172</v>
      </c>
      <c r="VK146" s="142" t="s">
        <v>172</v>
      </c>
      <c r="VL146" s="143" t="s">
        <v>172</v>
      </c>
      <c r="VM146" s="144">
        <f>VM142</f>
        <v>0</v>
      </c>
      <c r="VN146" s="53"/>
      <c r="VQ146" s="49" t="s">
        <v>171</v>
      </c>
      <c r="VR146" s="50" t="s">
        <v>172</v>
      </c>
      <c r="VS146" s="142" t="s">
        <v>172</v>
      </c>
      <c r="VT146" s="142" t="s">
        <v>172</v>
      </c>
      <c r="VU146" s="143" t="s">
        <v>172</v>
      </c>
      <c r="VV146" s="144">
        <f>VV142</f>
        <v>0</v>
      </c>
      <c r="VW146" s="53"/>
      <c r="VZ146" s="49" t="s">
        <v>171</v>
      </c>
      <c r="WA146" s="50" t="s">
        <v>172</v>
      </c>
      <c r="WB146" s="142" t="s">
        <v>172</v>
      </c>
      <c r="WC146" s="142" t="s">
        <v>172</v>
      </c>
      <c r="WD146" s="143" t="s">
        <v>172</v>
      </c>
      <c r="WE146" s="144">
        <f>WE142</f>
        <v>0</v>
      </c>
      <c r="WF146" s="53"/>
      <c r="WI146" s="49" t="s">
        <v>171</v>
      </c>
      <c r="WJ146" s="429" t="s">
        <v>172</v>
      </c>
      <c r="WK146" s="419" t="s">
        <v>172</v>
      </c>
      <c r="WL146" s="419" t="s">
        <v>172</v>
      </c>
      <c r="WM146" s="420" t="s">
        <v>172</v>
      </c>
      <c r="WN146" s="421">
        <f>WN142</f>
        <v>2317</v>
      </c>
      <c r="WO146" s="53"/>
      <c r="WR146" s="49" t="s">
        <v>171</v>
      </c>
      <c r="WS146" s="429" t="s">
        <v>172</v>
      </c>
      <c r="WT146" s="419" t="s">
        <v>172</v>
      </c>
      <c r="WU146" s="419" t="s">
        <v>172</v>
      </c>
      <c r="WV146" s="420" t="s">
        <v>172</v>
      </c>
      <c r="WW146" s="421">
        <f>WW142</f>
        <v>776</v>
      </c>
      <c r="WX146" s="53"/>
      <c r="XA146" s="49" t="s">
        <v>171</v>
      </c>
      <c r="XB146" s="429" t="s">
        <v>172</v>
      </c>
      <c r="XC146" s="419" t="s">
        <v>172</v>
      </c>
      <c r="XD146" s="419" t="s">
        <v>172</v>
      </c>
      <c r="XE146" s="420" t="s">
        <v>172</v>
      </c>
      <c r="XF146" s="421">
        <f>XF142</f>
        <v>13455</v>
      </c>
      <c r="XG146" s="53"/>
      <c r="XJ146" s="49" t="s">
        <v>171</v>
      </c>
      <c r="XK146" s="429" t="s">
        <v>172</v>
      </c>
      <c r="XL146" s="419" t="s">
        <v>172</v>
      </c>
      <c r="XM146" s="419" t="s">
        <v>172</v>
      </c>
      <c r="XN146" s="420" t="s">
        <v>172</v>
      </c>
      <c r="XO146" s="421">
        <f>XO142</f>
        <v>1481</v>
      </c>
      <c r="XP146" s="53"/>
      <c r="XS146" s="49" t="s">
        <v>171</v>
      </c>
      <c r="XT146" s="50" t="s">
        <v>172</v>
      </c>
      <c r="XU146" s="142" t="s">
        <v>172</v>
      </c>
      <c r="XV146" s="142" t="s">
        <v>172</v>
      </c>
      <c r="XW146" s="143" t="s">
        <v>172</v>
      </c>
      <c r="XX146" s="144">
        <f>XX142</f>
        <v>1901</v>
      </c>
      <c r="XY146" s="53"/>
      <c r="YB146" s="49" t="s">
        <v>171</v>
      </c>
      <c r="YC146" s="50" t="s">
        <v>172</v>
      </c>
      <c r="YD146" s="142" t="s">
        <v>172</v>
      </c>
      <c r="YE146" s="142" t="s">
        <v>172</v>
      </c>
      <c r="YF146" s="143" t="s">
        <v>172</v>
      </c>
      <c r="YG146" s="144">
        <f>YG142</f>
        <v>6459</v>
      </c>
      <c r="YH146" s="53"/>
      <c r="YK146" s="49" t="s">
        <v>171</v>
      </c>
      <c r="YL146" s="50" t="s">
        <v>172</v>
      </c>
      <c r="YM146" s="142" t="s">
        <v>172</v>
      </c>
      <c r="YN146" s="142" t="s">
        <v>172</v>
      </c>
      <c r="YO146" s="143" t="s">
        <v>172</v>
      </c>
      <c r="YP146" s="144">
        <f>YP142</f>
        <v>0</v>
      </c>
      <c r="YQ146" s="53"/>
      <c r="YT146" s="49" t="s">
        <v>171</v>
      </c>
      <c r="YU146" s="50" t="s">
        <v>172</v>
      </c>
      <c r="YV146" s="142" t="s">
        <v>172</v>
      </c>
      <c r="YW146" s="142" t="s">
        <v>172</v>
      </c>
      <c r="YX146" s="143" t="s">
        <v>172</v>
      </c>
      <c r="YY146" s="144">
        <f>YY142</f>
        <v>0</v>
      </c>
      <c r="YZ146" s="53"/>
      <c r="ZC146" s="49" t="s">
        <v>171</v>
      </c>
      <c r="ZD146" s="50" t="s">
        <v>172</v>
      </c>
      <c r="ZE146" s="142" t="s">
        <v>172</v>
      </c>
      <c r="ZF146" s="142" t="s">
        <v>172</v>
      </c>
      <c r="ZG146" s="143" t="s">
        <v>172</v>
      </c>
      <c r="ZH146" s="144">
        <f>ZH142</f>
        <v>0</v>
      </c>
      <c r="ZI146" s="53"/>
      <c r="ZL146" s="49" t="s">
        <v>171</v>
      </c>
      <c r="ZM146" s="50" t="s">
        <v>172</v>
      </c>
      <c r="ZN146" s="142" t="s">
        <v>172</v>
      </c>
      <c r="ZO146" s="142" t="s">
        <v>172</v>
      </c>
      <c r="ZP146" s="143" t="s">
        <v>172</v>
      </c>
      <c r="ZQ146" s="144">
        <f>ZQ142</f>
        <v>0</v>
      </c>
      <c r="ZR146" s="53"/>
      <c r="ZU146" s="49" t="s">
        <v>171</v>
      </c>
      <c r="ZV146" s="50" t="s">
        <v>172</v>
      </c>
      <c r="ZW146" s="142" t="s">
        <v>172</v>
      </c>
      <c r="ZX146" s="142" t="s">
        <v>172</v>
      </c>
      <c r="ZY146" s="143" t="s">
        <v>172</v>
      </c>
      <c r="ZZ146" s="144">
        <f>ZZ142</f>
        <v>0</v>
      </c>
      <c r="AAA146" s="53"/>
      <c r="AAD146" s="49" t="s">
        <v>171</v>
      </c>
      <c r="AAE146" s="50" t="s">
        <v>172</v>
      </c>
      <c r="AAF146" s="142" t="s">
        <v>172</v>
      </c>
      <c r="AAG146" s="142" t="s">
        <v>172</v>
      </c>
      <c r="AAH146" s="143" t="s">
        <v>172</v>
      </c>
      <c r="AAI146" s="144">
        <f>AAI142</f>
        <v>0</v>
      </c>
      <c r="AAJ146" s="53"/>
      <c r="AAM146" s="49" t="s">
        <v>171</v>
      </c>
      <c r="AAN146" s="50" t="s">
        <v>172</v>
      </c>
      <c r="AAO146" s="142" t="s">
        <v>172</v>
      </c>
      <c r="AAP146" s="142" t="s">
        <v>172</v>
      </c>
      <c r="AAQ146" s="143" t="s">
        <v>172</v>
      </c>
      <c r="AAR146" s="144">
        <f>AAR142</f>
        <v>0</v>
      </c>
      <c r="AAS146" s="53"/>
      <c r="AAV146" s="49" t="s">
        <v>171</v>
      </c>
      <c r="AAW146" s="50" t="s">
        <v>172</v>
      </c>
      <c r="AAX146" s="142" t="s">
        <v>172</v>
      </c>
      <c r="AAY146" s="142" t="s">
        <v>172</v>
      </c>
      <c r="AAZ146" s="143" t="s">
        <v>172</v>
      </c>
      <c r="ABA146" s="144">
        <f>ABA142</f>
        <v>0</v>
      </c>
      <c r="ABB146" s="53"/>
      <c r="ABE146" s="49" t="s">
        <v>171</v>
      </c>
      <c r="ABF146" s="50" t="s">
        <v>172</v>
      </c>
      <c r="ABG146" s="142" t="s">
        <v>172</v>
      </c>
      <c r="ABH146" s="142" t="s">
        <v>172</v>
      </c>
      <c r="ABI146" s="143" t="s">
        <v>172</v>
      </c>
      <c r="ABJ146" s="144">
        <f>ABJ142</f>
        <v>0</v>
      </c>
      <c r="ABK146" s="53"/>
    </row>
    <row r="147" spans="2:739" s="54" customFormat="1" ht="15" customHeight="1" outlineLevel="1">
      <c r="B147" s="478"/>
      <c r="C147" s="55">
        <v>46143</v>
      </c>
      <c r="D147" s="422"/>
      <c r="E147" s="423">
        <f>SUMPRODUCT(PRODUCE!$B154:$DY154,PRODUCE!$EB$7:$IY$7)</f>
        <v>0</v>
      </c>
      <c r="F147" s="422"/>
      <c r="G147" s="423">
        <f>E147-F147</f>
        <v>0</v>
      </c>
      <c r="H147" s="424">
        <f>H146+D147-F147</f>
        <v>168368.40000000005</v>
      </c>
      <c r="I147" s="289"/>
      <c r="L147" s="55">
        <f>C147</f>
        <v>46143</v>
      </c>
      <c r="M147" s="422"/>
      <c r="N147" s="438">
        <f>SUMPRODUCT(PRODUCE!$B154:$DY154,PRODUCE!$EB$8:$IY$8)</f>
        <v>0</v>
      </c>
      <c r="O147" s="422"/>
      <c r="P147" s="438">
        <f>N147-O147</f>
        <v>0</v>
      </c>
      <c r="Q147" s="439">
        <f>Q146+M147-O147</f>
        <v>63275.80000000009</v>
      </c>
      <c r="R147" s="56"/>
      <c r="U147" s="55">
        <f>L147</f>
        <v>46143</v>
      </c>
      <c r="V147" s="422"/>
      <c r="W147" s="440">
        <f>SUMPRODUCT(PRODUCE!$B154:$DY154,PRODUCE!$EB$9:$IY$9)</f>
        <v>0</v>
      </c>
      <c r="X147" s="422"/>
      <c r="Y147" s="440">
        <f>W147-X147</f>
        <v>0</v>
      </c>
      <c r="Z147" s="441">
        <f>Z146+V147-X147</f>
        <v>31017.199999999972</v>
      </c>
      <c r="AA147" s="56"/>
      <c r="AD147" s="55">
        <f>U147</f>
        <v>46143</v>
      </c>
      <c r="AE147" s="422"/>
      <c r="AF147" s="442">
        <f>SUMPRODUCT(PRODUCE!$B154:$DY154,PRODUCE!$EB$10:$IY$10)</f>
        <v>0</v>
      </c>
      <c r="AG147" s="422"/>
      <c r="AH147" s="442">
        <f>AF147-AG147</f>
        <v>0</v>
      </c>
      <c r="AI147" s="442">
        <f>AI146+AE147-AG147</f>
        <v>13032.500000000016</v>
      </c>
      <c r="AJ147" s="56"/>
      <c r="AM147" s="55">
        <f>AD147</f>
        <v>46143</v>
      </c>
      <c r="AN147" s="422"/>
      <c r="AO147" s="444">
        <f>SUMPRODUCT(PRODUCE!$B154:$DY154,PRODUCE!$EB$11:$IY$11)</f>
        <v>0</v>
      </c>
      <c r="AP147" s="422"/>
      <c r="AQ147" s="444">
        <f>AO147-AP147</f>
        <v>0</v>
      </c>
      <c r="AR147" s="444">
        <f>AR146+AN147-AP147</f>
        <v>0</v>
      </c>
      <c r="AS147" s="56"/>
      <c r="AV147" s="55">
        <f>AM147</f>
        <v>46143</v>
      </c>
      <c r="AW147" s="422"/>
      <c r="AX147" s="446">
        <f>SUMPRODUCT(PRODUCE!$B154:$DY154,PRODUCE!$EB$12:$IY$12)</f>
        <v>0</v>
      </c>
      <c r="AY147" s="422"/>
      <c r="AZ147" s="446">
        <f>AX147-AY147</f>
        <v>0</v>
      </c>
      <c r="BA147" s="446">
        <f>BA146+AW147-AY147</f>
        <v>37387.199999999997</v>
      </c>
      <c r="BB147" s="56"/>
      <c r="BE147" s="55">
        <f>AV147</f>
        <v>46143</v>
      </c>
      <c r="BF147" s="422"/>
      <c r="BG147" s="448">
        <f>SUMPRODUCT(PRODUCE!$B154:$DY154,PRODUCE!$EB$13:$IY$13)</f>
        <v>0</v>
      </c>
      <c r="BH147" s="422"/>
      <c r="BI147" s="448">
        <f>BG147-BH147</f>
        <v>0</v>
      </c>
      <c r="BJ147" s="448">
        <f>BJ146+BF147-BH147</f>
        <v>29537.199999999986</v>
      </c>
      <c r="BK147" s="56"/>
      <c r="BN147" s="55">
        <f>BE147</f>
        <v>46143</v>
      </c>
      <c r="BO147" s="422"/>
      <c r="BP147" s="450">
        <f>SUMPRODUCT(PRODUCE!$B154:$DY154,PRODUCE!$EB$14:$IY$14)</f>
        <v>0</v>
      </c>
      <c r="BQ147" s="422"/>
      <c r="BR147" s="450">
        <f>BP147-BQ147</f>
        <v>0</v>
      </c>
      <c r="BS147" s="450">
        <f>BS146+BO147-BQ147</f>
        <v>0</v>
      </c>
      <c r="BT147" s="56"/>
      <c r="BW147" s="55">
        <f>BN147</f>
        <v>46143</v>
      </c>
      <c r="BX147" s="422"/>
      <c r="BY147" s="523">
        <f>SUMPRODUCT(PRODUCE!$B154:$DY154,PRODUCE!$EB$15:$IY$15)</f>
        <v>0</v>
      </c>
      <c r="BZ147" s="422"/>
      <c r="CA147" s="523">
        <f>BY147-BZ147</f>
        <v>0</v>
      </c>
      <c r="CB147" s="523">
        <f>CB146+BX147-BZ147</f>
        <v>5848.7999999999993</v>
      </c>
      <c r="CC147" s="56"/>
      <c r="CF147" s="55">
        <f>BW147</f>
        <v>46143</v>
      </c>
      <c r="CG147" s="422"/>
      <c r="CH147" s="524">
        <f>SUMPRODUCT(PRODUCE!$B154:$DY154,PRODUCE!$EB$16:$IY$16)</f>
        <v>0</v>
      </c>
      <c r="CI147" s="422"/>
      <c r="CJ147" s="524">
        <f>CH147-CI147</f>
        <v>0</v>
      </c>
      <c r="CK147" s="524">
        <f>CK146+CG147-CI147</f>
        <v>0</v>
      </c>
      <c r="CL147" s="56"/>
      <c r="CO147" s="55">
        <f>CF147</f>
        <v>46143</v>
      </c>
      <c r="CP147" s="422"/>
      <c r="CQ147" s="470">
        <f>SUMPRODUCT(PRODUCE!$B154:$DY154,PRODUCE!$EB$17:$IY$17)</f>
        <v>0</v>
      </c>
      <c r="CR147" s="422"/>
      <c r="CS147" s="470">
        <f>CQ147-CR147</f>
        <v>0</v>
      </c>
      <c r="CT147" s="470">
        <f>CT146+CP147-CR147</f>
        <v>0</v>
      </c>
      <c r="CU147" s="56"/>
      <c r="CX147" s="55">
        <f>CO147</f>
        <v>46143</v>
      </c>
      <c r="CY147" s="422"/>
      <c r="CZ147" s="525">
        <f>SUMPRODUCT(PRODUCE!$B154:$DY154,PRODUCE!$EB$18:$IY$18)</f>
        <v>0</v>
      </c>
      <c r="DA147" s="422"/>
      <c r="DB147" s="525">
        <f>CZ147-DA147</f>
        <v>0</v>
      </c>
      <c r="DC147" s="525">
        <f>DC146+CY147-DA147</f>
        <v>24158.300000000003</v>
      </c>
      <c r="DD147" s="56"/>
      <c r="DG147" s="55">
        <f>CX147</f>
        <v>46143</v>
      </c>
      <c r="DH147" s="422"/>
      <c r="DI147" s="526">
        <f>SUMPRODUCT(PRODUCE!$B154:$DY154,PRODUCE!$EB$19:$IY$19)</f>
        <v>0</v>
      </c>
      <c r="DJ147" s="422"/>
      <c r="DK147" s="526">
        <f>DI147-DJ147</f>
        <v>0</v>
      </c>
      <c r="DL147" s="526">
        <f>DL146+DH147-DJ147</f>
        <v>42939.599999999984</v>
      </c>
      <c r="DM147" s="56"/>
      <c r="DP147" s="55">
        <f>DG147</f>
        <v>46143</v>
      </c>
      <c r="DQ147" s="422"/>
      <c r="DR147" s="423">
        <f>SUMPRODUCT(PRODUCE!$B154:$DY154,PRODUCE!$EB$20:$IY$20)</f>
        <v>0</v>
      </c>
      <c r="DS147" s="422"/>
      <c r="DT147" s="423">
        <f>DR147-DS147</f>
        <v>0</v>
      </c>
      <c r="DU147" s="423">
        <f>DU146+DQ147-DS147</f>
        <v>5800</v>
      </c>
      <c r="DV147" s="56"/>
      <c r="DY147" s="55">
        <f>DP147</f>
        <v>46143</v>
      </c>
      <c r="DZ147" s="56"/>
      <c r="EA147" s="157">
        <f>SUMPRODUCT(PRODUCE!$B154:$DY154,PRODUCE!$EB$21:$IY$21)</f>
        <v>0</v>
      </c>
      <c r="EB147" s="56"/>
      <c r="EC147" s="157">
        <f>EA147-EB147</f>
        <v>0</v>
      </c>
      <c r="ED147" s="157">
        <f>ED146+DZ147-EB147</f>
        <v>0</v>
      </c>
      <c r="EE147" s="56"/>
      <c r="EH147" s="55">
        <f>DY147</f>
        <v>46143</v>
      </c>
      <c r="EI147" s="56"/>
      <c r="EJ147" s="162">
        <f>SUMPRODUCT(PRODUCE!$B154:$DY154,PRODUCE!$EB$22:$IY$22)</f>
        <v>0</v>
      </c>
      <c r="EK147" s="56"/>
      <c r="EL147" s="162">
        <f>EJ147-EK147</f>
        <v>0</v>
      </c>
      <c r="EM147" s="162">
        <f>EM146+EI147-EK147</f>
        <v>0</v>
      </c>
      <c r="EN147" s="56"/>
      <c r="EQ147" s="55">
        <f>EH147</f>
        <v>46143</v>
      </c>
      <c r="ER147" s="56"/>
      <c r="ES147" s="135">
        <f>SUMPRODUCT(PRODUCE!$B154:$DY154,PRODUCE!$EB$23:$IY$23)</f>
        <v>0</v>
      </c>
      <c r="ET147" s="56"/>
      <c r="EU147" s="135">
        <f>ES147-ET147</f>
        <v>0</v>
      </c>
      <c r="EV147" s="135">
        <f>EV146+ER147-ET147</f>
        <v>0</v>
      </c>
      <c r="EW147" s="56"/>
      <c r="EZ147" s="55">
        <f>EQ147</f>
        <v>46143</v>
      </c>
      <c r="FA147" s="56"/>
      <c r="FB147" s="175">
        <f>SUMPRODUCT(PRODUCE!$B154:$DY154,PRODUCE!$EB$24:$IY$24)</f>
        <v>0</v>
      </c>
      <c r="FC147" s="56"/>
      <c r="FD147" s="175">
        <f>FB147-FC147</f>
        <v>0</v>
      </c>
      <c r="FE147" s="175">
        <f>FE146+FA147-FC147</f>
        <v>0</v>
      </c>
      <c r="FF147" s="56"/>
      <c r="FI147" s="55">
        <f>EZ147</f>
        <v>46143</v>
      </c>
      <c r="FJ147" s="56"/>
      <c r="FK147" s="183">
        <f>SUMPRODUCT(PRODUCE!$B154:$DY154,PRODUCE!$EB$25:$IY$25)</f>
        <v>0</v>
      </c>
      <c r="FL147" s="56"/>
      <c r="FM147" s="183">
        <f>FK147-FL147</f>
        <v>0</v>
      </c>
      <c r="FN147" s="183">
        <f>FN146+FJ147-FL147</f>
        <v>0</v>
      </c>
      <c r="FO147" s="56"/>
      <c r="FR147" s="55">
        <f>FI147</f>
        <v>46143</v>
      </c>
      <c r="FS147" s="56"/>
      <c r="FT147" s="186">
        <f>SUMPRODUCT(PRODUCE!$B154:$DY154,PRODUCE!$EB$26:$IY$26)</f>
        <v>0</v>
      </c>
      <c r="FU147" s="56"/>
      <c r="FV147" s="186">
        <f>FT147-FU147</f>
        <v>0</v>
      </c>
      <c r="FW147" s="186">
        <f>FW146+FS147-FU147</f>
        <v>2120</v>
      </c>
      <c r="FX147" s="56"/>
      <c r="GA147" s="55">
        <f>FR147</f>
        <v>46143</v>
      </c>
      <c r="GB147" s="56"/>
      <c r="GC147" s="137">
        <f>SUMPRODUCT(PRODUCE!$B154:$DY154,PRODUCE!$EB$27:$IY$27)</f>
        <v>0</v>
      </c>
      <c r="GD147" s="56"/>
      <c r="GE147" s="137">
        <f>GC147-GD147</f>
        <v>0</v>
      </c>
      <c r="GF147" s="137">
        <f>GF146+GB147-GD147</f>
        <v>3640</v>
      </c>
      <c r="GG147" s="56"/>
      <c r="GI147" s="23"/>
      <c r="GJ147" s="55">
        <f>GA147</f>
        <v>46143</v>
      </c>
      <c r="GK147" s="56"/>
      <c r="GL147" s="199">
        <f>SUMPRODUCT(PRODUCE!$B154:$DY154,PRODUCE!$EB$28:$IY$28)</f>
        <v>0</v>
      </c>
      <c r="GM147" s="56"/>
      <c r="GN147" s="199">
        <f>GL147-GM147</f>
        <v>0</v>
      </c>
      <c r="GO147" s="199">
        <f>GO146+GK147-GM147</f>
        <v>2080</v>
      </c>
      <c r="GP147" s="56"/>
      <c r="GS147" s="55">
        <f>GJ147</f>
        <v>46143</v>
      </c>
      <c r="GT147" s="56"/>
      <c r="GU147" s="195">
        <f>SUMPRODUCT(PRODUCE!$B154:$DY154,PRODUCE!$EB$29:$IY$29)</f>
        <v>0</v>
      </c>
      <c r="GV147" s="56"/>
      <c r="GW147" s="195">
        <f>GU147-GV147</f>
        <v>0</v>
      </c>
      <c r="GX147" s="195">
        <f>GX146+GT147-GV147</f>
        <v>0</v>
      </c>
      <c r="GY147" s="56"/>
      <c r="HB147" s="55">
        <f>GS147</f>
        <v>46143</v>
      </c>
      <c r="HC147" s="56"/>
      <c r="HD147" s="191">
        <f>SUMPRODUCT(PRODUCE!$B154:$DY154,PRODUCE!$EB$30:$IY$30)</f>
        <v>0</v>
      </c>
      <c r="HE147" s="56"/>
      <c r="HF147" s="191">
        <f>HD147-HE147</f>
        <v>0</v>
      </c>
      <c r="HG147" s="191">
        <f>HG146+HC147-HE147</f>
        <v>0</v>
      </c>
      <c r="HH147" s="56"/>
      <c r="HK147" s="55">
        <f>HB147</f>
        <v>46143</v>
      </c>
      <c r="HL147" s="56"/>
      <c r="HM147" s="63">
        <f>SUMPRODUCT(PRODUCE!$B154:$DY154,PRODUCE!$EB$31:$IY$31)</f>
        <v>0</v>
      </c>
      <c r="HN147" s="56"/>
      <c r="HO147" s="63">
        <f>HM147-HN147</f>
        <v>0</v>
      </c>
      <c r="HP147" s="63">
        <f>HP146+HL147-HN147</f>
        <v>0</v>
      </c>
      <c r="HQ147" s="56"/>
      <c r="HU147" s="55">
        <f>HK147</f>
        <v>46143</v>
      </c>
      <c r="HV147" s="56"/>
      <c r="HW147" s="242">
        <f>SUMPRODUCT(PRODUCE!$B154:$DY154,PRODUCE!$EB$32:$IY$32)</f>
        <v>0</v>
      </c>
      <c r="HX147" s="56"/>
      <c r="HY147" s="242">
        <f>HW147-HX147</f>
        <v>0</v>
      </c>
      <c r="HZ147" s="242">
        <f>HZ146+HV147-HX147</f>
        <v>6360</v>
      </c>
      <c r="IA147" s="56"/>
      <c r="ID147" s="55">
        <f>HU147</f>
        <v>46143</v>
      </c>
      <c r="IE147" s="56"/>
      <c r="IF147" s="242">
        <f>SUMPRODUCT(PRODUCE!$B154:$DY154,PRODUCE!$EB$33:$IY$33)</f>
        <v>0</v>
      </c>
      <c r="IG147" s="56"/>
      <c r="IH147" s="242">
        <f>IF147-IG147</f>
        <v>0</v>
      </c>
      <c r="II147" s="242">
        <f>II146+IE147-IG147</f>
        <v>6540</v>
      </c>
      <c r="IJ147" s="56"/>
      <c r="IM147" s="55">
        <f>ID147</f>
        <v>46143</v>
      </c>
      <c r="IN147" s="56"/>
      <c r="IO147" s="242">
        <f>SUMPRODUCT(PRODUCE!$B154:$DY154,PRODUCE!$EB$34:$IY$34)</f>
        <v>0</v>
      </c>
      <c r="IP147" s="56"/>
      <c r="IQ147" s="242">
        <f>IO147-IP147</f>
        <v>0</v>
      </c>
      <c r="IR147" s="242">
        <f>IR146+IN147-IP147</f>
        <v>11540</v>
      </c>
      <c r="IS147" s="56"/>
      <c r="IV147" s="55">
        <f>IM147</f>
        <v>46143</v>
      </c>
      <c r="IW147" s="56"/>
      <c r="IX147" s="242">
        <f>SUMPRODUCT(PRODUCE!$B154:$DY154,PRODUCE!$EB$35:$IY$35)</f>
        <v>0</v>
      </c>
      <c r="IY147" s="56"/>
      <c r="IZ147" s="242">
        <f>IX147-IY147</f>
        <v>0</v>
      </c>
      <c r="JA147" s="242">
        <f>JA146+IW147-IY147</f>
        <v>15120</v>
      </c>
      <c r="JB147" s="56"/>
      <c r="JE147" s="55">
        <f>IV147</f>
        <v>46143</v>
      </c>
      <c r="JF147" s="56"/>
      <c r="JG147" s="242">
        <f>SUMPRODUCT(PRODUCE!$B154:$DY154,PRODUCE!$EB$36:$IY$36)</f>
        <v>0</v>
      </c>
      <c r="JH147" s="56"/>
      <c r="JI147" s="242">
        <f>JG147-JH147</f>
        <v>0</v>
      </c>
      <c r="JJ147" s="242">
        <f>JJ146+JF147-JH147</f>
        <v>1960</v>
      </c>
      <c r="JK147" s="56"/>
      <c r="JN147" s="55">
        <f>JE147</f>
        <v>46143</v>
      </c>
      <c r="JO147" s="56"/>
      <c r="JP147" s="242">
        <f>SUMPRODUCT(PRODUCE!$B154:$DY154,PRODUCE!$EB$37:$IY$37)</f>
        <v>0</v>
      </c>
      <c r="JQ147" s="56"/>
      <c r="JR147" s="242">
        <f>JP147-JQ147</f>
        <v>0</v>
      </c>
      <c r="JS147" s="242">
        <f>JS146+JO147-JQ147</f>
        <v>9100</v>
      </c>
      <c r="JT147" s="56"/>
      <c r="JW147" s="55">
        <f>JN147</f>
        <v>46143</v>
      </c>
      <c r="JX147" s="56"/>
      <c r="JY147" s="242">
        <f>SUMPRODUCT(PRODUCE!$B154:$DY154,PRODUCE!$EB$38:$IY$38)</f>
        <v>0</v>
      </c>
      <c r="JZ147" s="56"/>
      <c r="KA147" s="242">
        <f>JY147-JZ147</f>
        <v>0</v>
      </c>
      <c r="KB147" s="242">
        <f>KB146+JX147-JZ147</f>
        <v>2540</v>
      </c>
      <c r="KC147" s="56"/>
      <c r="KF147" s="55">
        <f>JW147</f>
        <v>46143</v>
      </c>
      <c r="KG147" s="56"/>
      <c r="KH147" s="242">
        <f>SUMPRODUCT(PRODUCE!$B154:$DY154,PRODUCE!$EB$39:$IY$39)</f>
        <v>0</v>
      </c>
      <c r="KI147" s="56"/>
      <c r="KJ147" s="242">
        <f>KH147-KI147</f>
        <v>0</v>
      </c>
      <c r="KK147" s="242">
        <f>KK146+KG147-KI147</f>
        <v>19.5</v>
      </c>
      <c r="KL147" s="56"/>
      <c r="KO147" s="55">
        <f>KF147</f>
        <v>46143</v>
      </c>
      <c r="KP147" s="56"/>
      <c r="KQ147" s="242">
        <f>SUMPRODUCT(PRODUCE!$B154:$DY154,PRODUCE!$EB$40:$IY$40)</f>
        <v>0</v>
      </c>
      <c r="KR147" s="56"/>
      <c r="KS147" s="242">
        <f>KQ147-KR147</f>
        <v>0</v>
      </c>
      <c r="KT147" s="242">
        <f>KT146+KP147-KR147</f>
        <v>2079</v>
      </c>
      <c r="KU147" s="56"/>
      <c r="KW147" s="23"/>
      <c r="KX147" s="55">
        <f>KO147</f>
        <v>46143</v>
      </c>
      <c r="KY147" s="56"/>
      <c r="KZ147" s="242">
        <f>SUMPRODUCT(PRODUCE!$B154:$DY154,PRODUCE!$EB$41:$IY$41)</f>
        <v>0</v>
      </c>
      <c r="LA147" s="56"/>
      <c r="LB147" s="242">
        <f>KZ147-LA147</f>
        <v>0</v>
      </c>
      <c r="LC147" s="242">
        <f>LC146+KY147-LA147</f>
        <v>6150</v>
      </c>
      <c r="LD147" s="56"/>
      <c r="LG147" s="55">
        <f>KX147</f>
        <v>46143</v>
      </c>
      <c r="LH147" s="56"/>
      <c r="LI147" s="242">
        <f>SUMPRODUCT(PRODUCE!$B154:$DY154,PRODUCE!$EB$42:$IY$42)</f>
        <v>0</v>
      </c>
      <c r="LJ147" s="56"/>
      <c r="LK147" s="242">
        <f>LI147-LJ147</f>
        <v>0</v>
      </c>
      <c r="LL147" s="242">
        <f>LL146+LH147-LJ147</f>
        <v>4000</v>
      </c>
      <c r="LM147" s="56"/>
      <c r="LP147" s="55">
        <f>LG147</f>
        <v>46143</v>
      </c>
      <c r="LQ147" s="56"/>
      <c r="LR147" s="242">
        <f>SUMPRODUCT(PRODUCE!$B162:$DY162,PRODUCE!$EB$43:$IY$43)</f>
        <v>0</v>
      </c>
      <c r="LS147" s="56"/>
      <c r="LT147" s="242">
        <f>LR147-LS147</f>
        <v>0</v>
      </c>
      <c r="LU147" s="242">
        <f>LU146+LQ147-LS147</f>
        <v>0</v>
      </c>
      <c r="LV147" s="56"/>
      <c r="LY147" s="55">
        <f>LP147</f>
        <v>46143</v>
      </c>
      <c r="LZ147" s="56"/>
      <c r="MA147" s="242">
        <f>SUMPRODUCT(PRODUCE!$B154:$DY154,PRODUCE!$EB$44:$IY$44)</f>
        <v>0</v>
      </c>
      <c r="MB147" s="56"/>
      <c r="MC147" s="242">
        <f>MA147-MB147</f>
        <v>0</v>
      </c>
      <c r="MD147" s="242">
        <f>MD146+LZ147-MB147</f>
        <v>0</v>
      </c>
      <c r="ME147" s="56"/>
      <c r="MH147" s="55">
        <f>LY147</f>
        <v>46143</v>
      </c>
      <c r="MI147" s="56"/>
      <c r="MJ147" s="242">
        <f>SUMPRODUCT(PRODUCE!$B154:$DY154,PRODUCE!$EB$45:$IY$45)</f>
        <v>0</v>
      </c>
      <c r="MK147" s="56"/>
      <c r="ML147" s="242">
        <f>MJ147-MK147</f>
        <v>0</v>
      </c>
      <c r="MM147" s="242">
        <f>MM146+MI147-MK147</f>
        <v>0</v>
      </c>
      <c r="MN147" s="56"/>
      <c r="MQ147" s="55">
        <f>MH147</f>
        <v>46143</v>
      </c>
      <c r="MR147" s="56"/>
      <c r="MS147" s="242">
        <f>SUMPRODUCT(PRODUCE!$B154:$DY154,PRODUCE!$EB$46:$IY$46)</f>
        <v>0</v>
      </c>
      <c r="MT147" s="56"/>
      <c r="MU147" s="242">
        <f>MS147-MT147</f>
        <v>0</v>
      </c>
      <c r="MV147" s="242">
        <f>MV146+MR147-MT147</f>
        <v>3903</v>
      </c>
      <c r="MW147" s="56"/>
      <c r="MZ147" s="55">
        <f>MQ147</f>
        <v>46143</v>
      </c>
      <c r="NA147" s="56"/>
      <c r="NB147" s="242">
        <f>SUMPRODUCT(PRODUCE!$B154:$DY154,PRODUCE!$EB$47:$IY$47)</f>
        <v>0</v>
      </c>
      <c r="NC147" s="56"/>
      <c r="ND147" s="242">
        <f>NB147-NC147</f>
        <v>0</v>
      </c>
      <c r="NE147" s="242">
        <f>NE146+NA147-NC147</f>
        <v>0</v>
      </c>
      <c r="NF147" s="56"/>
      <c r="NI147" s="55">
        <f>MZ147</f>
        <v>46143</v>
      </c>
      <c r="NJ147" s="56"/>
      <c r="NK147" s="242">
        <f>SUMPRODUCT(PRODUCE!$B154:$DY154,PRODUCE!$EB$48:$IY$48)</f>
        <v>0</v>
      </c>
      <c r="NL147" s="56"/>
      <c r="NM147" s="242">
        <f>NK147-NL147</f>
        <v>0</v>
      </c>
      <c r="NN147" s="242">
        <f>NN146+NJ147-NL147</f>
        <v>1137</v>
      </c>
      <c r="NO147" s="56"/>
      <c r="NR147" s="55">
        <f>MZ147</f>
        <v>46143</v>
      </c>
      <c r="NS147" s="56"/>
      <c r="NT147" s="242">
        <f>SUMPRODUCT(PRODUCE!$B154:$DY154,PRODUCE!$EB$49:$IY$49)</f>
        <v>0</v>
      </c>
      <c r="NU147" s="56"/>
      <c r="NV147" s="242">
        <f>NT147-NU147</f>
        <v>0</v>
      </c>
      <c r="NW147" s="242">
        <f>NW146+NS147-NU147</f>
        <v>3122.8999999999996</v>
      </c>
      <c r="NX147" s="56"/>
      <c r="OA147" s="55">
        <f>NR147</f>
        <v>46143</v>
      </c>
      <c r="OB147" s="56"/>
      <c r="OC147" s="242">
        <f>SUMPRODUCT(PRODUCE!$B154:$DY154,PRODUCE!$EB$50:$IY$50)</f>
        <v>0</v>
      </c>
      <c r="OD147" s="56"/>
      <c r="OE147" s="242">
        <f>OC147-OD147</f>
        <v>0</v>
      </c>
      <c r="OF147" s="242">
        <f>OF146+OB147-OD147</f>
        <v>1680.5</v>
      </c>
      <c r="OG147" s="56"/>
      <c r="OJ147" s="55">
        <f>OA147</f>
        <v>46143</v>
      </c>
      <c r="OK147" s="56"/>
      <c r="OL147" s="242">
        <f>SUMPRODUCT(PRODUCE!$B154:$DY154,PRODUCE!$EB$51:$IY$51)</f>
        <v>0</v>
      </c>
      <c r="OM147" s="56"/>
      <c r="ON147" s="242">
        <f>OL147-OM147</f>
        <v>0</v>
      </c>
      <c r="OO147" s="242">
        <f>OO146+OK147-OM147</f>
        <v>0</v>
      </c>
      <c r="OP147" s="56"/>
      <c r="OS147" s="55">
        <f>OJ147</f>
        <v>46143</v>
      </c>
      <c r="OT147" s="56"/>
      <c r="OU147" s="242">
        <f>SUMPRODUCT(PRODUCE!$B154:$DY154,PRODUCE!$EB$52:$IY$52)</f>
        <v>0</v>
      </c>
      <c r="OV147" s="56"/>
      <c r="OW147" s="242">
        <f>OU147-OV147</f>
        <v>0</v>
      </c>
      <c r="OX147" s="242">
        <f>OX146+OT147-OV147</f>
        <v>982</v>
      </c>
      <c r="OY147" s="56"/>
      <c r="PB147" s="55">
        <f>OS147</f>
        <v>46143</v>
      </c>
      <c r="PC147" s="56"/>
      <c r="PD147" s="242">
        <f>SUMPRODUCT(PRODUCE!$B154:$DY154,PRODUCE!$EB$53:$IY$53)</f>
        <v>0</v>
      </c>
      <c r="PE147" s="56"/>
      <c r="PF147" s="242">
        <f>PD147-PE147</f>
        <v>0</v>
      </c>
      <c r="PG147" s="242">
        <f>PG146+PC147-PE147</f>
        <v>0</v>
      </c>
      <c r="PH147" s="56"/>
      <c r="PK147" s="55">
        <f>PB147</f>
        <v>46143</v>
      </c>
      <c r="PL147" s="56"/>
      <c r="PM147" s="242">
        <f>SUMPRODUCT(PRODUCE!$B154:$DY154,PRODUCE!$EB$54:$IY$54)</f>
        <v>0</v>
      </c>
      <c r="PN147" s="56"/>
      <c r="PO147" s="242">
        <f>PM147-PN147</f>
        <v>0</v>
      </c>
      <c r="PP147" s="242">
        <f>PP146+PL147-PN147</f>
        <v>100</v>
      </c>
      <c r="PQ147" s="56"/>
      <c r="PT147" s="55">
        <f>PK147</f>
        <v>46143</v>
      </c>
      <c r="PU147" s="56"/>
      <c r="PV147" s="242">
        <f>SUMPRODUCT(PRODUCE!$B154:$DY154,PRODUCE!$EB$55:$IY$55)</f>
        <v>0</v>
      </c>
      <c r="PW147" s="56"/>
      <c r="PX147" s="242">
        <f>PV147-PW147</f>
        <v>0</v>
      </c>
      <c r="PY147" s="242">
        <f>PY146+PU147-PW147</f>
        <v>13.960000000000036</v>
      </c>
      <c r="PZ147" s="56"/>
      <c r="QC147" s="55">
        <f>PT147</f>
        <v>46143</v>
      </c>
      <c r="QD147" s="56"/>
      <c r="QE147" s="242">
        <f>SUMPRODUCT(PRODUCE!$B154:$DY154,PRODUCE!$EB$56:$IY$56)</f>
        <v>0</v>
      </c>
      <c r="QF147" s="56"/>
      <c r="QG147" s="242">
        <f>QE147-QF147</f>
        <v>0</v>
      </c>
      <c r="QH147" s="242">
        <f>QH146+QD147-QF147</f>
        <v>596</v>
      </c>
      <c r="QI147" s="56"/>
      <c r="QL147" s="55">
        <f>QC147</f>
        <v>46143</v>
      </c>
      <c r="QM147" s="56"/>
      <c r="QN147" s="242">
        <f>SUMPRODUCT(PRODUCE!$B154:$DY154,PRODUCE!$EB$57:$IY$57)</f>
        <v>0</v>
      </c>
      <c r="QO147" s="56"/>
      <c r="QP147" s="242">
        <f>QN147-QO147</f>
        <v>0</v>
      </c>
      <c r="QQ147" s="242">
        <f>QQ146+QM147-QO147</f>
        <v>400</v>
      </c>
      <c r="QR147" s="56"/>
      <c r="QU147" s="55">
        <f>QL147</f>
        <v>46143</v>
      </c>
      <c r="QV147" s="56"/>
      <c r="QW147" s="242">
        <f>SUMPRODUCT(PRODUCE!$B154:$DY154,PRODUCE!$EB$58:$IY$58)</f>
        <v>0</v>
      </c>
      <c r="QX147" s="56"/>
      <c r="QY147" s="242">
        <f>QW147-QX147</f>
        <v>0</v>
      </c>
      <c r="QZ147" s="242">
        <f>QZ146+QV147-QX147</f>
        <v>207.6</v>
      </c>
      <c r="RA147" s="56"/>
      <c r="RD147" s="55">
        <f>QU147</f>
        <v>46143</v>
      </c>
      <c r="RE147" s="56"/>
      <c r="RF147" s="242">
        <f>SUMPRODUCT(PRODUCE!$B154:$DY154,PRODUCE!$EB$59:$IY$59)</f>
        <v>0</v>
      </c>
      <c r="RG147" s="56"/>
      <c r="RH147" s="242">
        <f>RF147-RG147</f>
        <v>0</v>
      </c>
      <c r="RI147" s="242">
        <f>RI146+RE147-RG147</f>
        <v>147.04000000000002</v>
      </c>
      <c r="RJ147" s="56"/>
      <c r="RM147" s="55">
        <f>RD147</f>
        <v>46143</v>
      </c>
      <c r="RN147" s="56"/>
      <c r="RO147" s="242">
        <f>SUMPRODUCT(PRODUCE!$B154:$DY154,PRODUCE!$EB$60:$IY$60)</f>
        <v>0</v>
      </c>
      <c r="RP147" s="56"/>
      <c r="RQ147" s="242">
        <f>RO147-RP147</f>
        <v>0</v>
      </c>
      <c r="RR147" s="242">
        <f>RR146+RN147-RP147</f>
        <v>46.8</v>
      </c>
      <c r="RS147" s="56"/>
      <c r="RV147" s="55">
        <f>RM147</f>
        <v>46143</v>
      </c>
      <c r="RW147" s="56"/>
      <c r="RX147" s="242">
        <f>SUMPRODUCT(PRODUCE!$B154:$DY154,PRODUCE!$EB$61:$IY$61)</f>
        <v>0</v>
      </c>
      <c r="RY147" s="56"/>
      <c r="RZ147" s="242">
        <f>RX147-RY147</f>
        <v>0</v>
      </c>
      <c r="SA147" s="242">
        <f>SA146+RW147-RY147</f>
        <v>0</v>
      </c>
      <c r="SB147" s="56"/>
      <c r="SE147" s="55">
        <f>RV147</f>
        <v>46143</v>
      </c>
      <c r="SF147" s="56"/>
      <c r="SG147" s="242">
        <f>SUMPRODUCT(PRODUCE!$B154:$DY154,PRODUCE!$EB$62:$IY$62)</f>
        <v>0</v>
      </c>
      <c r="SH147" s="56"/>
      <c r="SI147" s="242">
        <f>SG147-SH147</f>
        <v>0</v>
      </c>
      <c r="SJ147" s="242">
        <f>SJ146+SF147-SH147</f>
        <v>24.200000000000003</v>
      </c>
      <c r="SK147" s="56"/>
      <c r="SN147" s="55">
        <f>SE147</f>
        <v>46143</v>
      </c>
      <c r="SO147" s="56"/>
      <c r="SP147" s="242">
        <f>SUMPRODUCT(PRODUCE!$B154:$DY154,PRODUCE!$EB$63:$IY$63)</f>
        <v>0</v>
      </c>
      <c r="SQ147" s="56"/>
      <c r="SR147" s="242">
        <f>SP147-SQ147</f>
        <v>0</v>
      </c>
      <c r="SS147" s="242">
        <f>SS146+SO147-SQ147</f>
        <v>32</v>
      </c>
      <c r="ST147" s="56"/>
      <c r="SW147" s="55">
        <f>SN147</f>
        <v>46143</v>
      </c>
      <c r="SX147" s="56"/>
      <c r="SY147" s="242">
        <f>SUMPRODUCT(PRODUCE!$B154:$DY154,PRODUCE!$EB$64:$IY$64)</f>
        <v>0</v>
      </c>
      <c r="SZ147" s="56"/>
      <c r="TA147" s="242">
        <f>SY147-SZ147</f>
        <v>0</v>
      </c>
      <c r="TB147" s="242">
        <f>TB146+SX147-SZ147</f>
        <v>0</v>
      </c>
      <c r="TC147" s="56"/>
      <c r="TF147" s="55">
        <f>SW147</f>
        <v>46143</v>
      </c>
      <c r="TG147" s="56"/>
      <c r="TH147" s="242">
        <f>SUMPRODUCT(PRODUCE!$B154:$DY154,PRODUCE!$EB$65:$IY$65)</f>
        <v>0</v>
      </c>
      <c r="TI147" s="56"/>
      <c r="TJ147" s="242">
        <f>TH147-TI147</f>
        <v>0</v>
      </c>
      <c r="TK147" s="242">
        <f>TK146+TG147-TI147</f>
        <v>0</v>
      </c>
      <c r="TL147" s="56"/>
      <c r="TO147" s="55">
        <f>TF147</f>
        <v>46143</v>
      </c>
      <c r="TP147" s="56"/>
      <c r="TQ147" s="242">
        <f>SUMPRODUCT(PRODUCE!$B154:$DY154,PRODUCE!$EB$66:$IY$66)</f>
        <v>0</v>
      </c>
      <c r="TR147" s="56"/>
      <c r="TS147" s="242">
        <f>TQ147-TR147</f>
        <v>0</v>
      </c>
      <c r="TT147" s="242">
        <f>TT146+TP147-TR147</f>
        <v>0</v>
      </c>
      <c r="TU147" s="56"/>
      <c r="TX147" s="55">
        <f>TO147</f>
        <v>46143</v>
      </c>
      <c r="TY147" s="56"/>
      <c r="TZ147" s="242">
        <f>SUMPRODUCT(PRODUCE!$B154:$DY154,PRODUCE!$EB$67:$IY$67)</f>
        <v>0</v>
      </c>
      <c r="UA147" s="56"/>
      <c r="UB147" s="242">
        <f>TZ147-UA147</f>
        <v>0</v>
      </c>
      <c r="UC147" s="242">
        <f>UC146+TY147-UA147</f>
        <v>0</v>
      </c>
      <c r="UD147" s="56"/>
      <c r="UG147" s="55">
        <f>TX147</f>
        <v>46143</v>
      </c>
      <c r="UH147" s="56"/>
      <c r="UI147" s="242">
        <f>SUMPRODUCT(PRODUCE!$B154:$DY154,PRODUCE!$EB$68:$IY$68)</f>
        <v>0</v>
      </c>
      <c r="UJ147" s="56"/>
      <c r="UK147" s="242">
        <f>UI147-UJ147</f>
        <v>0</v>
      </c>
      <c r="UL147" s="242">
        <f>UL146+UH147-UJ147</f>
        <v>0</v>
      </c>
      <c r="UM147" s="56"/>
      <c r="UP147" s="55">
        <f>UG147</f>
        <v>46143</v>
      </c>
      <c r="UQ147" s="56"/>
      <c r="UR147" s="242">
        <f>SUMPRODUCT(PRODUCE!$B154:$DY154,PRODUCE!$EB$69:$IY$69)</f>
        <v>0</v>
      </c>
      <c r="US147" s="56"/>
      <c r="UT147" s="242">
        <f>UR147-US147</f>
        <v>0</v>
      </c>
      <c r="UU147" s="242">
        <f>UU146+UQ147-US147</f>
        <v>0</v>
      </c>
      <c r="UV147" s="56"/>
      <c r="UY147" s="55">
        <f>UP147</f>
        <v>46143</v>
      </c>
      <c r="UZ147" s="56"/>
      <c r="VA147" s="242">
        <f>SUMPRODUCT(PRODUCE!$B154:$DY154,PRODUCE!$EB$70:$IY$70)</f>
        <v>0</v>
      </c>
      <c r="VB147" s="56"/>
      <c r="VC147" s="242">
        <f>VA147-VB147</f>
        <v>0</v>
      </c>
      <c r="VD147" s="242">
        <f>VD146+UZ147-VB147</f>
        <v>41.600000000000023</v>
      </c>
      <c r="VE147" s="56"/>
      <c r="VH147" s="55">
        <f>UY147</f>
        <v>46143</v>
      </c>
      <c r="VI147" s="56"/>
      <c r="VJ147" s="242">
        <f>SUMPRODUCT(PRODUCE!$B154:$DY154,PRODUCE!$EB$71:$IY$71)</f>
        <v>0</v>
      </c>
      <c r="VK147" s="56"/>
      <c r="VL147" s="242">
        <f>VJ147-VK147</f>
        <v>0</v>
      </c>
      <c r="VM147" s="242">
        <f>VM146+VI147-VK147</f>
        <v>0</v>
      </c>
      <c r="VN147" s="56"/>
      <c r="VQ147" s="55">
        <f>VH147</f>
        <v>46143</v>
      </c>
      <c r="VR147" s="56"/>
      <c r="VS147" s="242">
        <f>SUMPRODUCT(PRODUCE!$B154:$DY154,PRODUCE!$EB$57:$IY$57)</f>
        <v>0</v>
      </c>
      <c r="VT147" s="56"/>
      <c r="VU147" s="242">
        <f>VS147-VT147</f>
        <v>0</v>
      </c>
      <c r="VV147" s="242">
        <f>VV146+VR147-VT147</f>
        <v>0</v>
      </c>
      <c r="VW147" s="56"/>
      <c r="VZ147" s="55">
        <f>VQ147</f>
        <v>46143</v>
      </c>
      <c r="WA147" s="56"/>
      <c r="WB147" s="242">
        <f>SUMPRODUCT(PRODUCE!$B154:$DY154,PRODUCE!$EB$57:$IY$57)</f>
        <v>0</v>
      </c>
      <c r="WC147" s="56"/>
      <c r="WD147" s="242">
        <f>WB147-WC147</f>
        <v>0</v>
      </c>
      <c r="WE147" s="242">
        <f>WE146+WA147-WC147</f>
        <v>0</v>
      </c>
      <c r="WF147" s="56"/>
      <c r="WI147" s="55">
        <f>VZ147</f>
        <v>46143</v>
      </c>
      <c r="WJ147" s="422"/>
      <c r="WK147" s="540">
        <f>SUMPRODUCT(PRODUCE!$B154:$DY154,PRODUCE!$EB$74:$IY$74)</f>
        <v>0</v>
      </c>
      <c r="WL147" s="422"/>
      <c r="WM147" s="540">
        <f>WK147-WL147</f>
        <v>0</v>
      </c>
      <c r="WN147" s="540">
        <f>WN146+WJ147-WL147</f>
        <v>2317</v>
      </c>
      <c r="WO147" s="56"/>
      <c r="WR147" s="55">
        <f>WI147</f>
        <v>46143</v>
      </c>
      <c r="WS147" s="422"/>
      <c r="WT147" s="540">
        <f>SUMPRODUCT(PRODUCE!$B154:$DY154,PRODUCE!$EB$75:$IY$75)</f>
        <v>0</v>
      </c>
      <c r="WU147" s="422"/>
      <c r="WV147" s="540">
        <f>WT147-WU147</f>
        <v>0</v>
      </c>
      <c r="WW147" s="540">
        <f>WW146+WS147-WU147</f>
        <v>776</v>
      </c>
      <c r="WX147" s="56"/>
      <c r="XA147" s="55">
        <f>WR147</f>
        <v>46143</v>
      </c>
      <c r="XB147" s="422"/>
      <c r="XC147" s="540">
        <f>SUMPRODUCT(PRODUCE!$B154:$DY154,PRODUCE!$EB$76:$IY$76)</f>
        <v>0</v>
      </c>
      <c r="XD147" s="422"/>
      <c r="XE147" s="540">
        <f>XC147-XD147</f>
        <v>0</v>
      </c>
      <c r="XF147" s="540">
        <f>XF146+XB147-XD147</f>
        <v>13455</v>
      </c>
      <c r="XG147" s="56"/>
      <c r="XJ147" s="55">
        <f>XA147</f>
        <v>46143</v>
      </c>
      <c r="XK147" s="422"/>
      <c r="XL147" s="540">
        <f>SUMPRODUCT(PRODUCE!$B154:$DY154,PRODUCE!$EB$77:$IY$77)</f>
        <v>0</v>
      </c>
      <c r="XM147" s="422"/>
      <c r="XN147" s="540">
        <f>XL147-XM147</f>
        <v>0</v>
      </c>
      <c r="XO147" s="540">
        <f>XO146+XK147-XM147</f>
        <v>1481</v>
      </c>
      <c r="XP147" s="56"/>
      <c r="XS147" s="55">
        <f>XJ147</f>
        <v>46143</v>
      </c>
      <c r="XT147" s="56"/>
      <c r="XU147" s="242">
        <f>SUMPRODUCT(PRODUCE!$B154:$DY154,PRODUCE!$EB$78:$IY$78)</f>
        <v>0</v>
      </c>
      <c r="XV147" s="56"/>
      <c r="XW147" s="242">
        <f>XU147-XV147</f>
        <v>0</v>
      </c>
      <c r="XX147" s="242">
        <f>XX146+XT147-XV147</f>
        <v>1901</v>
      </c>
      <c r="XY147" s="56"/>
      <c r="YB147" s="55">
        <f>XS147</f>
        <v>46143</v>
      </c>
      <c r="YC147" s="56"/>
      <c r="YD147" s="242">
        <f>SUMPRODUCT(PRODUCE!$B154:$DY154,PRODUCE!$EB$79:$IY$79)</f>
        <v>0</v>
      </c>
      <c r="YE147" s="56"/>
      <c r="YF147" s="242">
        <f>YD147-YE147</f>
        <v>0</v>
      </c>
      <c r="YG147" s="242">
        <f>YG146+YC147-YE147</f>
        <v>6459</v>
      </c>
      <c r="YH147" s="56"/>
      <c r="YK147" s="55">
        <f>YB147</f>
        <v>46143</v>
      </c>
      <c r="YL147" s="56"/>
      <c r="YM147" s="242">
        <f>SUMPRODUCT(PRODUCE!$B154:$DY154,PRODUCE!$EB$80:$IY$80)</f>
        <v>0</v>
      </c>
      <c r="YN147" s="56"/>
      <c r="YO147" s="242">
        <f>YM147-YN147</f>
        <v>0</v>
      </c>
      <c r="YP147" s="242">
        <f>YP146+YL147-YN147</f>
        <v>0</v>
      </c>
      <c r="YQ147" s="56"/>
      <c r="YT147" s="55">
        <f>YK147</f>
        <v>46143</v>
      </c>
      <c r="YU147" s="56"/>
      <c r="YV147" s="242">
        <f>SUMPRODUCT(PRODUCE!$B154:$DY154,PRODUCE!$EB$57:$IY$57)</f>
        <v>0</v>
      </c>
      <c r="YW147" s="56"/>
      <c r="YX147" s="242">
        <f>YV147-YW147</f>
        <v>0</v>
      </c>
      <c r="YY147" s="242">
        <f>YY146+YU147-YW147</f>
        <v>0</v>
      </c>
      <c r="YZ147" s="56"/>
      <c r="ZC147" s="55">
        <f>YT147</f>
        <v>46143</v>
      </c>
      <c r="ZD147" s="56"/>
      <c r="ZE147" s="242">
        <f>SUMPRODUCT(PRODUCE!$B154:$DY154,PRODUCE!$EB$57:$IY$57)</f>
        <v>0</v>
      </c>
      <c r="ZF147" s="56"/>
      <c r="ZG147" s="242">
        <f>ZE147-ZF147</f>
        <v>0</v>
      </c>
      <c r="ZH147" s="242">
        <f>ZH146+ZD147-ZF147</f>
        <v>0</v>
      </c>
      <c r="ZI147" s="56"/>
      <c r="ZL147" s="55">
        <f>ZC147</f>
        <v>46143</v>
      </c>
      <c r="ZM147" s="56"/>
      <c r="ZN147" s="242">
        <f>SUMPRODUCT(PRODUCE!$B154:$DY154,PRODUCE!$EB$57:$IY$57)</f>
        <v>0</v>
      </c>
      <c r="ZO147" s="56"/>
      <c r="ZP147" s="242">
        <f>ZN147-ZO147</f>
        <v>0</v>
      </c>
      <c r="ZQ147" s="242">
        <f>ZQ146+ZM147-ZO147</f>
        <v>0</v>
      </c>
      <c r="ZR147" s="56"/>
      <c r="ZU147" s="55">
        <f>ZL147</f>
        <v>46143</v>
      </c>
      <c r="ZV147" s="56"/>
      <c r="ZW147" s="242">
        <f>SUMPRODUCT(PRODUCE!$B154:$DY154,PRODUCE!$EB$57:$IY$57)</f>
        <v>0</v>
      </c>
      <c r="ZX147" s="56"/>
      <c r="ZY147" s="242">
        <f>ZW147-ZX147</f>
        <v>0</v>
      </c>
      <c r="ZZ147" s="242">
        <f>ZZ146+ZV147-ZX147</f>
        <v>0</v>
      </c>
      <c r="AAA147" s="56"/>
      <c r="AAD147" s="55">
        <f>ZU147</f>
        <v>46143</v>
      </c>
      <c r="AAE147" s="56"/>
      <c r="AAF147" s="242">
        <f>SUMPRODUCT(PRODUCE!$B154:$DY154,PRODUCE!$EB$57:$IY$57)</f>
        <v>0</v>
      </c>
      <c r="AAG147" s="56"/>
      <c r="AAH147" s="242">
        <f>AAF147-AAG147</f>
        <v>0</v>
      </c>
      <c r="AAI147" s="242">
        <f>AAI146+AAE147-AAG147</f>
        <v>0</v>
      </c>
      <c r="AAJ147" s="56"/>
      <c r="AAM147" s="55">
        <f>AAD147</f>
        <v>46143</v>
      </c>
      <c r="AAN147" s="56"/>
      <c r="AAO147" s="242">
        <f>SUMPRODUCT(PRODUCE!$B154:$DY154,PRODUCE!$EB$57:$IY$57)</f>
        <v>0</v>
      </c>
      <c r="AAP147" s="56"/>
      <c r="AAQ147" s="242">
        <f>AAO147-AAP147</f>
        <v>0</v>
      </c>
      <c r="AAR147" s="242">
        <f>AAR146+AAN147-AAP147</f>
        <v>0</v>
      </c>
      <c r="AAS147" s="56"/>
      <c r="AAV147" s="55">
        <f>AAM147</f>
        <v>46143</v>
      </c>
      <c r="AAW147" s="56"/>
      <c r="AAX147" s="242">
        <f>SUMPRODUCT(PRODUCE!$B154:$DY154,PRODUCE!$EB$57:$IY$57)</f>
        <v>0</v>
      </c>
      <c r="AAY147" s="56"/>
      <c r="AAZ147" s="242">
        <f>AAX147-AAY147</f>
        <v>0</v>
      </c>
      <c r="ABA147" s="242">
        <f>ABA146+AAW147-AAY147</f>
        <v>0</v>
      </c>
      <c r="ABB147" s="56"/>
      <c r="ABE147" s="55">
        <f>AAV147</f>
        <v>46143</v>
      </c>
      <c r="ABF147" s="56"/>
      <c r="ABG147" s="242">
        <f>SUMPRODUCT(PRODUCE!$B154:$DY154,PRODUCE!$EB$57:$IY$57)</f>
        <v>0</v>
      </c>
      <c r="ABH147" s="56"/>
      <c r="ABI147" s="242">
        <f>ABG147-ABH147</f>
        <v>0</v>
      </c>
      <c r="ABJ147" s="242">
        <f>ABJ146+ABF147-ABH147</f>
        <v>0</v>
      </c>
      <c r="ABK147" s="56"/>
    </row>
    <row r="148" spans="2:739" s="54" customFormat="1" ht="15" customHeight="1" outlineLevel="1">
      <c r="B148" s="478">
        <v>80</v>
      </c>
      <c r="C148" s="55">
        <v>46144</v>
      </c>
      <c r="D148" s="422">
        <v>30930</v>
      </c>
      <c r="E148" s="423">
        <f>SUMPRODUCT(PRODUCE!$B155:$DY155,PRODUCE!$EB$7:$IY$7)</f>
        <v>40510.399999999994</v>
      </c>
      <c r="F148" s="422">
        <v>40512</v>
      </c>
      <c r="G148" s="423">
        <f t="shared" ref="G148:G177" si="1004">E148-F148</f>
        <v>-1.6000000000058208</v>
      </c>
      <c r="H148" s="423">
        <f t="shared" ref="H148:H177" si="1005">H147+D148-F148</f>
        <v>158786.40000000005</v>
      </c>
      <c r="I148" s="289" t="s">
        <v>258</v>
      </c>
      <c r="L148" s="55">
        <f t="shared" ref="L148:L177" si="1006">C148</f>
        <v>46144</v>
      </c>
      <c r="M148" s="422"/>
      <c r="N148" s="438">
        <f>SUMPRODUCT(PRODUCE!$B155:$DY155,PRODUCE!$EB$8:$IY$8)</f>
        <v>25376</v>
      </c>
      <c r="O148" s="422">
        <v>25366.2</v>
      </c>
      <c r="P148" s="438">
        <f t="shared" ref="P148:P177" si="1007">N148-O148</f>
        <v>9.7999999999992724</v>
      </c>
      <c r="Q148" s="438">
        <f t="shared" ref="Q148:Q177" si="1008">Q147+M148-O148</f>
        <v>37909.600000000093</v>
      </c>
      <c r="R148" s="56"/>
      <c r="U148" s="55">
        <f t="shared" ref="U148:U177" si="1009">L148</f>
        <v>46144</v>
      </c>
      <c r="V148" s="422"/>
      <c r="W148" s="440">
        <f>SUMPRODUCT(PRODUCE!$B155:$DY155,PRODUCE!$EB$9:$IY$9)</f>
        <v>4000</v>
      </c>
      <c r="X148" s="422">
        <v>4001.5</v>
      </c>
      <c r="Y148" s="440">
        <f t="shared" ref="Y148:Y177" si="1010">W148-X148</f>
        <v>-1.5</v>
      </c>
      <c r="Z148" s="440">
        <f t="shared" ref="Z148:Z177" si="1011">Z147+V148-X148</f>
        <v>27015.699999999972</v>
      </c>
      <c r="AA148" s="56"/>
      <c r="AD148" s="55">
        <f t="shared" ref="AD148:AD177" si="1012">U148</f>
        <v>46144</v>
      </c>
      <c r="AE148" s="422"/>
      <c r="AF148" s="442">
        <f>SUMPRODUCT(PRODUCE!$B155:$DY155,PRODUCE!$EB$10:$IY$10)</f>
        <v>4000</v>
      </c>
      <c r="AG148" s="422">
        <v>4001.2</v>
      </c>
      <c r="AH148" s="442">
        <f t="shared" ref="AH148:AH177" si="1013">AF148-AG148</f>
        <v>-1.1999999999998181</v>
      </c>
      <c r="AI148" s="442">
        <f t="shared" ref="AI148:AI177" si="1014">AI147+AE148-AG148</f>
        <v>9031.3000000000175</v>
      </c>
      <c r="AJ148" s="56"/>
      <c r="AM148" s="55">
        <f t="shared" ref="AM148:AM177" si="1015">AD148</f>
        <v>46144</v>
      </c>
      <c r="AN148" s="422"/>
      <c r="AO148" s="444">
        <f>SUMPRODUCT(PRODUCE!$B155:$DY155,PRODUCE!$EB$11:$IY$11)</f>
        <v>0</v>
      </c>
      <c r="AP148" s="422"/>
      <c r="AQ148" s="444">
        <f t="shared" ref="AQ148:AQ177" si="1016">AO148-AP148</f>
        <v>0</v>
      </c>
      <c r="AR148" s="444">
        <f t="shared" ref="AR148:AR177" si="1017">AR147+AN148-AP148</f>
        <v>0</v>
      </c>
      <c r="AS148" s="56"/>
      <c r="AV148" s="55">
        <f t="shared" ref="AV148:AV177" si="1018">AM148</f>
        <v>46144</v>
      </c>
      <c r="AW148" s="422"/>
      <c r="AX148" s="446">
        <f>SUMPRODUCT(PRODUCE!$B155:$DY155,PRODUCE!$EB$12:$IY$12)</f>
        <v>0</v>
      </c>
      <c r="AY148" s="422"/>
      <c r="AZ148" s="446">
        <f t="shared" ref="AZ148:AZ177" si="1019">AX148-AY148</f>
        <v>0</v>
      </c>
      <c r="BA148" s="446">
        <f t="shared" ref="BA148:BA177" si="1020">BA147+AW148-AY148</f>
        <v>37387.199999999997</v>
      </c>
      <c r="BB148" s="56"/>
      <c r="BE148" s="55">
        <f t="shared" ref="BE148:BE177" si="1021">AV148</f>
        <v>46144</v>
      </c>
      <c r="BF148" s="422"/>
      <c r="BG148" s="448">
        <f>SUMPRODUCT(PRODUCE!$B155:$DY155,PRODUCE!$EB$13:$IY$13)</f>
        <v>1560</v>
      </c>
      <c r="BH148" s="422">
        <v>1561.3</v>
      </c>
      <c r="BI148" s="448">
        <f t="shared" ref="BI148:BI177" si="1022">BG148-BH148</f>
        <v>-1.2999999999999545</v>
      </c>
      <c r="BJ148" s="448">
        <f t="shared" ref="BJ148:BJ177" si="1023">BJ147+BF148-BH148</f>
        <v>27975.899999999987</v>
      </c>
      <c r="BK148" s="56"/>
      <c r="BN148" s="55">
        <f t="shared" ref="BN148:BN177" si="1024">BE148</f>
        <v>46144</v>
      </c>
      <c r="BO148" s="422">
        <v>1879.9</v>
      </c>
      <c r="BP148" s="450">
        <f>SUMPRODUCT(PRODUCE!$B155:$DY155,PRODUCE!$EB$14:$IY$14)</f>
        <v>1880</v>
      </c>
      <c r="BQ148" s="422">
        <v>1879.9</v>
      </c>
      <c r="BR148" s="450">
        <f t="shared" ref="BR148:BR177" si="1025">BP148-BQ148</f>
        <v>9.9999999999909051E-2</v>
      </c>
      <c r="BS148" s="450">
        <f t="shared" ref="BS148:BS177" si="1026">BS147+BO148-BQ148</f>
        <v>0</v>
      </c>
      <c r="BT148" s="56"/>
      <c r="BW148" s="55">
        <f t="shared" ref="BW148:BW177" si="1027">BN148</f>
        <v>46144</v>
      </c>
      <c r="BX148" s="422"/>
      <c r="BY148" s="523">
        <f>SUMPRODUCT(PRODUCE!$B155:$DY155,PRODUCE!$EB$15:$IY$15)</f>
        <v>0</v>
      </c>
      <c r="BZ148" s="422"/>
      <c r="CA148" s="523">
        <f t="shared" ref="CA148:CA177" si="1028">BY148-BZ148</f>
        <v>0</v>
      </c>
      <c r="CB148" s="523">
        <f t="shared" ref="CB148:CB177" si="1029">CB147+BX148-BZ148</f>
        <v>5848.7999999999993</v>
      </c>
      <c r="CC148" s="56"/>
      <c r="CF148" s="55">
        <f t="shared" ref="CF148:CF177" si="1030">BW148</f>
        <v>46144</v>
      </c>
      <c r="CG148" s="422"/>
      <c r="CH148" s="524">
        <f>SUMPRODUCT(PRODUCE!$B155:$DY155,PRODUCE!$EB$16:$IY$16)</f>
        <v>513.6</v>
      </c>
      <c r="CI148" s="422"/>
      <c r="CJ148" s="524">
        <f t="shared" ref="CJ148:CJ177" si="1031">CH148-CI148</f>
        <v>513.6</v>
      </c>
      <c r="CK148" s="524">
        <f t="shared" ref="CK148:CK177" si="1032">CK147+CG148-CI148</f>
        <v>0</v>
      </c>
      <c r="CL148" s="56"/>
      <c r="CO148" s="55">
        <f t="shared" ref="CO148:CO177" si="1033">CF148</f>
        <v>46144</v>
      </c>
      <c r="CP148" s="422"/>
      <c r="CQ148" s="470">
        <f>SUMPRODUCT(PRODUCE!$B155:$DY155,PRODUCE!$EB$17:$IY$17)</f>
        <v>0</v>
      </c>
      <c r="CR148" s="422"/>
      <c r="CS148" s="470">
        <f t="shared" ref="CS148:CS177" si="1034">CQ148-CR148</f>
        <v>0</v>
      </c>
      <c r="CT148" s="470">
        <f t="shared" ref="CT148:CT177" si="1035">CT147+CP148-CR148</f>
        <v>0</v>
      </c>
      <c r="CU148" s="56"/>
      <c r="CX148" s="55">
        <f t="shared" ref="CX148:CX177" si="1036">CO148</f>
        <v>46144</v>
      </c>
      <c r="CY148" s="422"/>
      <c r="CZ148" s="525">
        <f>SUMPRODUCT(PRODUCE!$B155:$DY155,PRODUCE!$EB$18:$IY$18)</f>
        <v>0</v>
      </c>
      <c r="DA148" s="422"/>
      <c r="DB148" s="525">
        <f t="shared" ref="DB148:DB177" si="1037">CZ148-DA148</f>
        <v>0</v>
      </c>
      <c r="DC148" s="525">
        <f t="shared" ref="DC148:DC177" si="1038">DC147+CY148-DA148</f>
        <v>24158.300000000003</v>
      </c>
      <c r="DD148" s="56"/>
      <c r="DG148" s="55">
        <f t="shared" ref="DG148:DG177" si="1039">CX148</f>
        <v>46144</v>
      </c>
      <c r="DH148" s="422"/>
      <c r="DI148" s="526">
        <f>SUMPRODUCT(PRODUCE!$B155:$DY155,PRODUCE!$EB$19:$IY$19)</f>
        <v>0</v>
      </c>
      <c r="DJ148" s="422"/>
      <c r="DK148" s="526">
        <f t="shared" ref="DK148:DK177" si="1040">DI148-DJ148</f>
        <v>0</v>
      </c>
      <c r="DL148" s="526">
        <f t="shared" ref="DL148:DL177" si="1041">DL147+DH148-DJ148</f>
        <v>42939.599999999984</v>
      </c>
      <c r="DM148" s="56"/>
      <c r="DP148" s="55">
        <f t="shared" ref="DP148:DP177" si="1042">DG148</f>
        <v>46144</v>
      </c>
      <c r="DQ148" s="422"/>
      <c r="DR148" s="423">
        <f>SUMPRODUCT(PRODUCE!$B155:$DY155,PRODUCE!$EB$20:$IY$20)</f>
        <v>0</v>
      </c>
      <c r="DS148" s="422"/>
      <c r="DT148" s="423">
        <f t="shared" ref="DT148:DT177" si="1043">DR148-DS148</f>
        <v>0</v>
      </c>
      <c r="DU148" s="423">
        <f t="shared" ref="DU148:DU177" si="1044">DU147+DQ148-DS148</f>
        <v>5800</v>
      </c>
      <c r="DV148" s="56"/>
      <c r="DY148" s="55">
        <f t="shared" ref="DY148:DY177" si="1045">DP148</f>
        <v>46144</v>
      </c>
      <c r="DZ148" s="56"/>
      <c r="EA148" s="157">
        <f>SUMPRODUCT(PRODUCE!$B155:$DY155,PRODUCE!$EB$21:$IY$21)</f>
        <v>0</v>
      </c>
      <c r="EB148" s="56"/>
      <c r="EC148" s="157">
        <f t="shared" ref="EC148:EC177" si="1046">EA148-EB148</f>
        <v>0</v>
      </c>
      <c r="ED148" s="157">
        <f t="shared" ref="ED148:ED177" si="1047">ED147+DZ148-EB148</f>
        <v>0</v>
      </c>
      <c r="EE148" s="56"/>
      <c r="EH148" s="55">
        <f t="shared" ref="EH148:EH177" si="1048">DY148</f>
        <v>46144</v>
      </c>
      <c r="EI148" s="56"/>
      <c r="EJ148" s="162">
        <f>SUMPRODUCT(PRODUCE!$B155:$DY155,PRODUCE!$EB$22:$IY$22)</f>
        <v>0</v>
      </c>
      <c r="EK148" s="56"/>
      <c r="EL148" s="162">
        <f t="shared" ref="EL148:EL177" si="1049">EJ148-EK148</f>
        <v>0</v>
      </c>
      <c r="EM148" s="162">
        <f t="shared" ref="EM148:EM177" si="1050">EM147+EI148-EK148</f>
        <v>0</v>
      </c>
      <c r="EN148" s="56"/>
      <c r="EQ148" s="55">
        <f t="shared" ref="EQ148:EQ177" si="1051">EH148</f>
        <v>46144</v>
      </c>
      <c r="ER148" s="56"/>
      <c r="ES148" s="135">
        <f>SUMPRODUCT(PRODUCE!$B155:$DY155,PRODUCE!$EB$23:$IY$23)</f>
        <v>0</v>
      </c>
      <c r="ET148" s="56"/>
      <c r="EU148" s="135">
        <f t="shared" ref="EU148:EU177" si="1052">ES148-ET148</f>
        <v>0</v>
      </c>
      <c r="EV148" s="135">
        <f t="shared" ref="EV148:EV177" si="1053">EV147+ER148-ET148</f>
        <v>0</v>
      </c>
      <c r="EW148" s="56"/>
      <c r="EZ148" s="55">
        <f t="shared" ref="EZ148:EZ177" si="1054">EQ148</f>
        <v>46144</v>
      </c>
      <c r="FA148" s="56"/>
      <c r="FB148" s="175">
        <f>SUMPRODUCT(PRODUCE!$B155:$DY155,PRODUCE!$EB$24:$IY$24)</f>
        <v>0</v>
      </c>
      <c r="FC148" s="56"/>
      <c r="FD148" s="175">
        <f t="shared" ref="FD148:FD177" si="1055">FB148-FC148</f>
        <v>0</v>
      </c>
      <c r="FE148" s="175">
        <f t="shared" ref="FE148:FE177" si="1056">FE147+FA148-FC148</f>
        <v>0</v>
      </c>
      <c r="FF148" s="56"/>
      <c r="FI148" s="55">
        <f t="shared" ref="FI148:FI177" si="1057">EZ148</f>
        <v>46144</v>
      </c>
      <c r="FJ148" s="56"/>
      <c r="FK148" s="183">
        <f>SUMPRODUCT(PRODUCE!$B155:$DY155,PRODUCE!$EB$25:$IY$25)</f>
        <v>0</v>
      </c>
      <c r="FL148" s="56"/>
      <c r="FM148" s="183">
        <f t="shared" ref="FM148:FM177" si="1058">FK148-FL148</f>
        <v>0</v>
      </c>
      <c r="FN148" s="183">
        <f t="shared" ref="FN148:FN177" si="1059">FN147+FJ148-FL148</f>
        <v>0</v>
      </c>
      <c r="FO148" s="56"/>
      <c r="FR148" s="55">
        <f t="shared" ref="FR148:FR177" si="1060">FI148</f>
        <v>46144</v>
      </c>
      <c r="FS148" s="56"/>
      <c r="FT148" s="186">
        <f>SUMPRODUCT(PRODUCE!$B155:$DY155,PRODUCE!$EB$26:$IY$26)</f>
        <v>0</v>
      </c>
      <c r="FU148" s="56"/>
      <c r="FV148" s="186">
        <f t="shared" ref="FV148:FV177" si="1061">FT148-FU148</f>
        <v>0</v>
      </c>
      <c r="FW148" s="186">
        <f t="shared" ref="FW148:FW177" si="1062">FW147+FS148-FU148</f>
        <v>2120</v>
      </c>
      <c r="FX148" s="56"/>
      <c r="GA148" s="55">
        <f t="shared" ref="GA148:GA177" si="1063">FR148</f>
        <v>46144</v>
      </c>
      <c r="GB148" s="56"/>
      <c r="GC148" s="137">
        <f>SUMPRODUCT(PRODUCE!$B155:$DY155,PRODUCE!$EB$27:$IY$27)</f>
        <v>0</v>
      </c>
      <c r="GD148" s="56"/>
      <c r="GE148" s="137">
        <f t="shared" ref="GE148:GE177" si="1064">GC148-GD148</f>
        <v>0</v>
      </c>
      <c r="GF148" s="137">
        <f t="shared" ref="GF148:GF177" si="1065">GF147+GB148-GD148</f>
        <v>3640</v>
      </c>
      <c r="GG148" s="56"/>
      <c r="GI148" s="23"/>
      <c r="GJ148" s="55">
        <f t="shared" ref="GJ148:GJ177" si="1066">GA148</f>
        <v>46144</v>
      </c>
      <c r="GK148" s="56"/>
      <c r="GL148" s="199">
        <f>SUMPRODUCT(PRODUCE!$B155:$DY155,PRODUCE!$EB$28:$IY$28)</f>
        <v>0</v>
      </c>
      <c r="GM148" s="56"/>
      <c r="GN148" s="199">
        <f t="shared" ref="GN148:GN177" si="1067">GL148-GM148</f>
        <v>0</v>
      </c>
      <c r="GO148" s="199">
        <f t="shared" ref="GO148:GO177" si="1068">GO147+GK148-GM148</f>
        <v>2080</v>
      </c>
      <c r="GP148" s="56"/>
      <c r="GS148" s="55">
        <f t="shared" ref="GS148:GS177" si="1069">GJ148</f>
        <v>46144</v>
      </c>
      <c r="GT148" s="56"/>
      <c r="GU148" s="195">
        <f>SUMPRODUCT(PRODUCE!$B155:$DY155,PRODUCE!$EB$29:$IY$29)</f>
        <v>0</v>
      </c>
      <c r="GV148" s="56"/>
      <c r="GW148" s="195">
        <f t="shared" ref="GW148:GW177" si="1070">GU148-GV148</f>
        <v>0</v>
      </c>
      <c r="GX148" s="195">
        <f t="shared" ref="GX148:GX177" si="1071">GX147+GT148-GV148</f>
        <v>0</v>
      </c>
      <c r="GY148" s="56"/>
      <c r="HB148" s="55">
        <f t="shared" ref="HB148:HB177" si="1072">GS148</f>
        <v>46144</v>
      </c>
      <c r="HC148" s="56"/>
      <c r="HD148" s="191">
        <f>SUMPRODUCT(PRODUCE!$B155:$DY155,PRODUCE!$EB$30:$IY$30)</f>
        <v>0</v>
      </c>
      <c r="HE148" s="56"/>
      <c r="HF148" s="191">
        <f t="shared" ref="HF148:HF177" si="1073">HD148-HE148</f>
        <v>0</v>
      </c>
      <c r="HG148" s="191">
        <f t="shared" ref="HG148:HG177" si="1074">HG147+HC148-HE148</f>
        <v>0</v>
      </c>
      <c r="HH148" s="56"/>
      <c r="HK148" s="55">
        <f t="shared" ref="HK148:HK177" si="1075">HB148</f>
        <v>46144</v>
      </c>
      <c r="HL148" s="56"/>
      <c r="HM148" s="63">
        <f>SUMPRODUCT(PRODUCE!$B155:$DY155,PRODUCE!$EB$31:$IY$31)</f>
        <v>0</v>
      </c>
      <c r="HN148" s="56"/>
      <c r="HO148" s="63">
        <f t="shared" ref="HO148:HO177" si="1076">HM148-HN148</f>
        <v>0</v>
      </c>
      <c r="HP148" s="63">
        <f t="shared" ref="HP148:HP177" si="1077">HP147+HL148-HN148</f>
        <v>0</v>
      </c>
      <c r="HQ148" s="56"/>
      <c r="HU148" s="55">
        <f t="shared" ref="HU148:HU177" si="1078">HK148</f>
        <v>46144</v>
      </c>
      <c r="HV148" s="56"/>
      <c r="HW148" s="242">
        <f>SUMPRODUCT(PRODUCE!$B155:$DY155,PRODUCE!$EB$32:$IY$32)</f>
        <v>0</v>
      </c>
      <c r="HX148" s="56"/>
      <c r="HY148" s="242">
        <f t="shared" ref="HY148:HY177" si="1079">HW148-HX148</f>
        <v>0</v>
      </c>
      <c r="HZ148" s="242">
        <f t="shared" ref="HZ148:HZ177" si="1080">HZ147+HV148-HX148</f>
        <v>6360</v>
      </c>
      <c r="IA148" s="56"/>
      <c r="ID148" s="55">
        <f t="shared" ref="ID148:ID177" si="1081">HU148</f>
        <v>46144</v>
      </c>
      <c r="IE148" s="56"/>
      <c r="IF148" s="242">
        <f>SUMPRODUCT(PRODUCE!$B155:$DY155,PRODUCE!$EB$33:$IY$33)</f>
        <v>0</v>
      </c>
      <c r="IG148" s="56"/>
      <c r="IH148" s="242">
        <f t="shared" ref="IH148:IH177" si="1082">IF148-IG148</f>
        <v>0</v>
      </c>
      <c r="II148" s="242">
        <f t="shared" ref="II148:II177" si="1083">II147+IE148-IG148</f>
        <v>6540</v>
      </c>
      <c r="IJ148" s="56"/>
      <c r="IM148" s="55">
        <f t="shared" ref="IM148:IM177" si="1084">ID148</f>
        <v>46144</v>
      </c>
      <c r="IN148" s="56"/>
      <c r="IO148" s="242">
        <f>SUMPRODUCT(PRODUCE!$B155:$DY155,PRODUCE!$EB$34:$IY$34)</f>
        <v>0</v>
      </c>
      <c r="IP148" s="56"/>
      <c r="IQ148" s="242">
        <f t="shared" ref="IQ148:IQ177" si="1085">IO148-IP148</f>
        <v>0</v>
      </c>
      <c r="IR148" s="242">
        <f t="shared" ref="IR148:IR177" si="1086">IR147+IN148-IP148</f>
        <v>11540</v>
      </c>
      <c r="IS148" s="56"/>
      <c r="IV148" s="55">
        <f t="shared" ref="IV148:IV177" si="1087">IM148</f>
        <v>46144</v>
      </c>
      <c r="IW148" s="56"/>
      <c r="IX148" s="242">
        <f>SUMPRODUCT(PRODUCE!$B155:$DY155,PRODUCE!$EB$35:$IY$35)</f>
        <v>0</v>
      </c>
      <c r="IY148" s="56"/>
      <c r="IZ148" s="242">
        <f t="shared" ref="IZ148:IZ177" si="1088">IX148-IY148</f>
        <v>0</v>
      </c>
      <c r="JA148" s="242">
        <f t="shared" ref="JA148:JA177" si="1089">JA147+IW148-IY148</f>
        <v>15120</v>
      </c>
      <c r="JB148" s="56"/>
      <c r="JE148" s="55">
        <f t="shared" ref="JE148:JE177" si="1090">IV148</f>
        <v>46144</v>
      </c>
      <c r="JF148" s="56"/>
      <c r="JG148" s="242">
        <f>SUMPRODUCT(PRODUCE!$B155:$DY155,PRODUCE!$EB$36:$IY$36)</f>
        <v>1600</v>
      </c>
      <c r="JH148" s="56"/>
      <c r="JI148" s="242">
        <f t="shared" ref="JI148:JI177" si="1091">JG148-JH148</f>
        <v>1600</v>
      </c>
      <c r="JJ148" s="242">
        <f t="shared" ref="JJ148:JJ177" si="1092">JJ147+JF148-JH148</f>
        <v>1960</v>
      </c>
      <c r="JK148" s="56"/>
      <c r="JN148" s="55">
        <f t="shared" ref="JN148:JN177" si="1093">JE148</f>
        <v>46144</v>
      </c>
      <c r="JO148" s="56"/>
      <c r="JP148" s="242">
        <f>SUMPRODUCT(PRODUCE!$B155:$DY155,PRODUCE!$EB$37:$IY$37)</f>
        <v>0</v>
      </c>
      <c r="JQ148" s="56"/>
      <c r="JR148" s="242">
        <f t="shared" ref="JR148:JR177" si="1094">JP148-JQ148</f>
        <v>0</v>
      </c>
      <c r="JS148" s="242">
        <f t="shared" ref="JS148:JS177" si="1095">JS147+JO148-JQ148</f>
        <v>9100</v>
      </c>
      <c r="JT148" s="56"/>
      <c r="JW148" s="55">
        <f t="shared" ref="JW148:JW177" si="1096">JN148</f>
        <v>46144</v>
      </c>
      <c r="JX148" s="56"/>
      <c r="JY148" s="242">
        <f>SUMPRODUCT(PRODUCE!$B155:$DY155,PRODUCE!$EB$38:$IY$38)</f>
        <v>0</v>
      </c>
      <c r="JZ148" s="56"/>
      <c r="KA148" s="242">
        <f t="shared" ref="KA148:KA177" si="1097">JY148-JZ148</f>
        <v>0</v>
      </c>
      <c r="KB148" s="242">
        <f t="shared" ref="KB148:KB177" si="1098">KB147+JX148-JZ148</f>
        <v>2540</v>
      </c>
      <c r="KC148" s="56"/>
      <c r="KF148" s="55">
        <f t="shared" ref="KF148:KF177" si="1099">JW148</f>
        <v>46144</v>
      </c>
      <c r="KG148" s="56"/>
      <c r="KH148" s="242">
        <f>SUMPRODUCT(PRODUCE!$B155:$DY155,PRODUCE!$EB$39:$IY$39)</f>
        <v>0</v>
      </c>
      <c r="KI148" s="56"/>
      <c r="KJ148" s="242">
        <f t="shared" ref="KJ148:KJ177" si="1100">KH148-KI148</f>
        <v>0</v>
      </c>
      <c r="KK148" s="242">
        <f t="shared" ref="KK148:KK177" si="1101">KK147+KG148-KI148</f>
        <v>19.5</v>
      </c>
      <c r="KL148" s="56"/>
      <c r="KO148" s="55">
        <f t="shared" ref="KO148:KO177" si="1102">KF148</f>
        <v>46144</v>
      </c>
      <c r="KP148" s="56"/>
      <c r="KQ148" s="242">
        <f>SUMPRODUCT(PRODUCE!$B155:$DY155,PRODUCE!$EB$40:$IY$40)</f>
        <v>0</v>
      </c>
      <c r="KR148" s="56"/>
      <c r="KS148" s="242">
        <f t="shared" ref="KS148:KS177" si="1103">KQ148-KR148</f>
        <v>0</v>
      </c>
      <c r="KT148" s="242">
        <f t="shared" ref="KT148:KT177" si="1104">KT147+KP148-KR148</f>
        <v>2079</v>
      </c>
      <c r="KU148" s="56"/>
      <c r="KW148" s="23"/>
      <c r="KX148" s="55">
        <f t="shared" ref="KX148:KX177" si="1105">KO148</f>
        <v>46144</v>
      </c>
      <c r="KY148" s="56"/>
      <c r="KZ148" s="242">
        <f>SUMPRODUCT(PRODUCE!$B155:$DY155,PRODUCE!$EB$41:$IY$41)</f>
        <v>0</v>
      </c>
      <c r="LA148" s="56"/>
      <c r="LB148" s="242">
        <f t="shared" ref="LB148:LB177" si="1106">KZ148-LA148</f>
        <v>0</v>
      </c>
      <c r="LC148" s="242">
        <f t="shared" ref="LC148:LC177" si="1107">LC147+KY148-LA148</f>
        <v>6150</v>
      </c>
      <c r="LD148" s="56"/>
      <c r="LG148" s="55">
        <f t="shared" ref="LG148:LG177" si="1108">KX148</f>
        <v>46144</v>
      </c>
      <c r="LH148" s="56"/>
      <c r="LI148" s="242">
        <f>SUMPRODUCT(PRODUCE!$B155:$DY155,PRODUCE!$EB$42:$IY$42)</f>
        <v>0</v>
      </c>
      <c r="LJ148" s="56"/>
      <c r="LK148" s="242">
        <f t="shared" ref="LK148:LK177" si="1109">LI148-LJ148</f>
        <v>0</v>
      </c>
      <c r="LL148" s="242">
        <f t="shared" ref="LL148:LL177" si="1110">LL147+LH148-LJ148</f>
        <v>4000</v>
      </c>
      <c r="LM148" s="56"/>
      <c r="LP148" s="55">
        <f t="shared" ref="LP148:LP177" si="1111">LG148</f>
        <v>46144</v>
      </c>
      <c r="LQ148" s="56"/>
      <c r="LR148" s="242">
        <f>SUMPRODUCT(PRODUCE!$B163:$DY163,PRODUCE!$EB$43:$IY$43)</f>
        <v>0</v>
      </c>
      <c r="LS148" s="56"/>
      <c r="LT148" s="242">
        <f t="shared" ref="LT148:LT177" si="1112">LR148-LS148</f>
        <v>0</v>
      </c>
      <c r="LU148" s="242">
        <f t="shared" ref="LU148:LU177" si="1113">LU147+LQ148-LS148</f>
        <v>0</v>
      </c>
      <c r="LV148" s="56"/>
      <c r="LY148" s="55">
        <f t="shared" ref="LY148:LY177" si="1114">LP148</f>
        <v>46144</v>
      </c>
      <c r="LZ148" s="56"/>
      <c r="MA148" s="242">
        <f>SUMPRODUCT(PRODUCE!$B155:$DY155,PRODUCE!$EB$44:$IY$44)</f>
        <v>0</v>
      </c>
      <c r="MB148" s="56"/>
      <c r="MC148" s="242">
        <f t="shared" ref="MC148:MC177" si="1115">MA148-MB148</f>
        <v>0</v>
      </c>
      <c r="MD148" s="242">
        <f t="shared" ref="MD148:MD177" si="1116">MD147+LZ148-MB148</f>
        <v>0</v>
      </c>
      <c r="ME148" s="56"/>
      <c r="MH148" s="55">
        <f t="shared" ref="MH148:MH177" si="1117">LY148</f>
        <v>46144</v>
      </c>
      <c r="MI148" s="56"/>
      <c r="MJ148" s="242">
        <f>SUMPRODUCT(PRODUCE!$B155:$DY155,PRODUCE!$EB$45:$IY$45)</f>
        <v>0</v>
      </c>
      <c r="MK148" s="56"/>
      <c r="ML148" s="242">
        <f t="shared" ref="ML148:ML177" si="1118">MJ148-MK148</f>
        <v>0</v>
      </c>
      <c r="MM148" s="242">
        <f t="shared" ref="MM148:MM177" si="1119">MM147+MI148-MK148</f>
        <v>0</v>
      </c>
      <c r="MN148" s="56"/>
      <c r="MQ148" s="55">
        <f t="shared" ref="MQ148:MQ177" si="1120">MH148</f>
        <v>46144</v>
      </c>
      <c r="MR148" s="56"/>
      <c r="MS148" s="242">
        <f>SUMPRODUCT(PRODUCE!$B155:$DY155,PRODUCE!$EB$46:$IY$46)</f>
        <v>0</v>
      </c>
      <c r="MT148" s="56"/>
      <c r="MU148" s="242">
        <f t="shared" ref="MU148:MU177" si="1121">MS148-MT148</f>
        <v>0</v>
      </c>
      <c r="MV148" s="242">
        <f t="shared" ref="MV148:MV177" si="1122">MV147+MR148-MT148</f>
        <v>3903</v>
      </c>
      <c r="MW148" s="56"/>
      <c r="MZ148" s="55">
        <f t="shared" ref="MZ148:MZ177" si="1123">MQ148</f>
        <v>46144</v>
      </c>
      <c r="NA148" s="56"/>
      <c r="NB148" s="242">
        <f>SUMPRODUCT(PRODUCE!$B155:$DY155,PRODUCE!$EB$47:$IY$47)</f>
        <v>240</v>
      </c>
      <c r="NC148" s="56"/>
      <c r="ND148" s="242">
        <f t="shared" ref="ND148:ND177" si="1124">NB148-NC148</f>
        <v>240</v>
      </c>
      <c r="NE148" s="242">
        <f t="shared" ref="NE148:NE177" si="1125">NE147+NA148-NC148</f>
        <v>0</v>
      </c>
      <c r="NF148" s="56"/>
      <c r="NI148" s="55">
        <f t="shared" ref="NI148:NI177" si="1126">MZ148</f>
        <v>46144</v>
      </c>
      <c r="NJ148" s="56"/>
      <c r="NK148" s="242">
        <f>SUMPRODUCT(PRODUCE!$B155:$DY155,PRODUCE!$EB$48:$IY$48)</f>
        <v>0</v>
      </c>
      <c r="NL148" s="56"/>
      <c r="NM148" s="242">
        <f t="shared" ref="NM148:NM177" si="1127">NK148-NL148</f>
        <v>0</v>
      </c>
      <c r="NN148" s="242">
        <f t="shared" ref="NN148:NN177" si="1128">NN147+NJ148-NL148</f>
        <v>1137</v>
      </c>
      <c r="NO148" s="56"/>
      <c r="NR148" s="55">
        <f t="shared" ref="NR148:NR177" si="1129">MZ148</f>
        <v>46144</v>
      </c>
      <c r="NS148" s="56"/>
      <c r="NT148" s="242">
        <f>SUMPRODUCT(PRODUCE!$B155:$DY155,PRODUCE!$EB$49:$IY$49)</f>
        <v>0</v>
      </c>
      <c r="NU148" s="56"/>
      <c r="NV148" s="242">
        <f t="shared" ref="NV148:NV177" si="1130">NT148-NU148</f>
        <v>0</v>
      </c>
      <c r="NW148" s="242">
        <f t="shared" ref="NW148:NW177" si="1131">NW147+NS148-NU148</f>
        <v>3122.8999999999996</v>
      </c>
      <c r="NX148" s="56"/>
      <c r="OA148" s="55">
        <f t="shared" ref="OA148:OA177" si="1132">NR148</f>
        <v>46144</v>
      </c>
      <c r="OB148" s="56"/>
      <c r="OC148" s="242">
        <f>SUMPRODUCT(PRODUCE!$B155:$DY155,PRODUCE!$EB$50:$IY$50)</f>
        <v>0</v>
      </c>
      <c r="OD148" s="56"/>
      <c r="OE148" s="242">
        <f t="shared" ref="OE148:OE177" si="1133">OC148-OD148</f>
        <v>0</v>
      </c>
      <c r="OF148" s="242">
        <f t="shared" ref="OF148:OF177" si="1134">OF147+OB148-OD148</f>
        <v>1680.5</v>
      </c>
      <c r="OG148" s="56"/>
      <c r="OJ148" s="55">
        <f t="shared" ref="OJ148:OJ177" si="1135">OA148</f>
        <v>46144</v>
      </c>
      <c r="OK148" s="56"/>
      <c r="OL148" s="242">
        <f>SUMPRODUCT(PRODUCE!$B155:$DY155,PRODUCE!$EB$51:$IY$51)</f>
        <v>0</v>
      </c>
      <c r="OM148" s="56"/>
      <c r="ON148" s="242">
        <f t="shared" ref="ON148:ON177" si="1136">OL148-OM148</f>
        <v>0</v>
      </c>
      <c r="OO148" s="242">
        <f t="shared" ref="OO148:OO177" si="1137">OO147+OK148-OM148</f>
        <v>0</v>
      </c>
      <c r="OP148" s="56"/>
      <c r="OS148" s="55">
        <f t="shared" ref="OS148:OS177" si="1138">OJ148</f>
        <v>46144</v>
      </c>
      <c r="OT148" s="56"/>
      <c r="OU148" s="242">
        <f>SUMPRODUCT(PRODUCE!$B155:$DY155,PRODUCE!$EB$52:$IY$52)</f>
        <v>0</v>
      </c>
      <c r="OV148" s="56"/>
      <c r="OW148" s="242">
        <f t="shared" ref="OW148:OW177" si="1139">OU148-OV148</f>
        <v>0</v>
      </c>
      <c r="OX148" s="242">
        <f t="shared" ref="OX148:OX177" si="1140">OX147+OT148-OV148</f>
        <v>982</v>
      </c>
      <c r="OY148" s="56"/>
      <c r="PB148" s="55">
        <f t="shared" ref="PB148:PB177" si="1141">OS148</f>
        <v>46144</v>
      </c>
      <c r="PC148" s="56"/>
      <c r="PD148" s="242">
        <f>SUMPRODUCT(PRODUCE!$B155:$DY155,PRODUCE!$EB$53:$IY$53)</f>
        <v>0</v>
      </c>
      <c r="PE148" s="56"/>
      <c r="PF148" s="242">
        <f t="shared" ref="PF148:PF177" si="1142">PD148-PE148</f>
        <v>0</v>
      </c>
      <c r="PG148" s="242">
        <f t="shared" ref="PG148:PG177" si="1143">PG147+PC148-PE148</f>
        <v>0</v>
      </c>
      <c r="PH148" s="56"/>
      <c r="PK148" s="55">
        <f t="shared" ref="PK148:PK177" si="1144">PB148</f>
        <v>46144</v>
      </c>
      <c r="PL148" s="56"/>
      <c r="PM148" s="242">
        <f>SUMPRODUCT(PRODUCE!$B155:$DY155,PRODUCE!$EB$54:$IY$54)</f>
        <v>0</v>
      </c>
      <c r="PN148" s="56"/>
      <c r="PO148" s="242">
        <f t="shared" ref="PO148:PO177" si="1145">PM148-PN148</f>
        <v>0</v>
      </c>
      <c r="PP148" s="242">
        <f t="shared" ref="PP148:PP177" si="1146">PP147+PL148-PN148</f>
        <v>100</v>
      </c>
      <c r="PQ148" s="56"/>
      <c r="PT148" s="55">
        <f t="shared" ref="PT148:PT177" si="1147">PK148</f>
        <v>46144</v>
      </c>
      <c r="PU148" s="56"/>
      <c r="PV148" s="242">
        <f>SUMPRODUCT(PRODUCE!$B155:$DY155,PRODUCE!$EB$55:$IY$55)</f>
        <v>0</v>
      </c>
      <c r="PW148" s="56"/>
      <c r="PX148" s="242">
        <f t="shared" ref="PX148:PX177" si="1148">PV148-PW148</f>
        <v>0</v>
      </c>
      <c r="PY148" s="242">
        <f t="shared" ref="PY148:PY177" si="1149">PY147+PU148-PW148</f>
        <v>13.960000000000036</v>
      </c>
      <c r="PZ148" s="56"/>
      <c r="QC148" s="55">
        <f t="shared" ref="QC148:QC177" si="1150">PT148</f>
        <v>46144</v>
      </c>
      <c r="QD148" s="56"/>
      <c r="QE148" s="242">
        <f>SUMPRODUCT(PRODUCE!$B155:$DY155,PRODUCE!$EB$56:$IY$56)</f>
        <v>320</v>
      </c>
      <c r="QF148" s="56"/>
      <c r="QG148" s="242">
        <f t="shared" ref="QG148:QG177" si="1151">QE148-QF148</f>
        <v>320</v>
      </c>
      <c r="QH148" s="242">
        <f t="shared" ref="QH148:QH177" si="1152">QH147+QD148-QF148</f>
        <v>596</v>
      </c>
      <c r="QI148" s="56"/>
      <c r="QL148" s="55">
        <f t="shared" ref="QL148:QL177" si="1153">QC148</f>
        <v>46144</v>
      </c>
      <c r="QM148" s="56"/>
      <c r="QN148" s="242">
        <f>SUMPRODUCT(PRODUCE!$B155:$DY155,PRODUCE!$EB$57:$IY$57)</f>
        <v>0</v>
      </c>
      <c r="QO148" s="56"/>
      <c r="QP148" s="242">
        <f t="shared" ref="QP148:QP177" si="1154">QN148-QO148</f>
        <v>0</v>
      </c>
      <c r="QQ148" s="242">
        <f t="shared" ref="QQ148:QQ177" si="1155">QQ147+QM148-QO148</f>
        <v>400</v>
      </c>
      <c r="QR148" s="56"/>
      <c r="QU148" s="55">
        <f t="shared" ref="QU148:QU177" si="1156">QL148</f>
        <v>46144</v>
      </c>
      <c r="QV148" s="56"/>
      <c r="QW148" s="242">
        <f>SUMPRODUCT(PRODUCE!$B155:$DY155,PRODUCE!$EB$58:$IY$58)</f>
        <v>0</v>
      </c>
      <c r="QX148" s="56"/>
      <c r="QY148" s="242">
        <f t="shared" ref="QY148:QY177" si="1157">QW148-QX148</f>
        <v>0</v>
      </c>
      <c r="QZ148" s="242">
        <f t="shared" ref="QZ148:QZ177" si="1158">QZ147+QV148-QX148</f>
        <v>207.6</v>
      </c>
      <c r="RA148" s="56"/>
      <c r="RD148" s="55">
        <f t="shared" ref="RD148:RD177" si="1159">QU148</f>
        <v>46144</v>
      </c>
      <c r="RE148" s="56"/>
      <c r="RF148" s="242">
        <f>SUMPRODUCT(PRODUCE!$B155:$DY155,PRODUCE!$EB$59:$IY$59)</f>
        <v>0</v>
      </c>
      <c r="RG148" s="56"/>
      <c r="RH148" s="242">
        <f t="shared" ref="RH148:RH177" si="1160">RF148-RG148</f>
        <v>0</v>
      </c>
      <c r="RI148" s="242">
        <f t="shared" ref="RI148:RI177" si="1161">RI147+RE148-RG148</f>
        <v>147.04000000000002</v>
      </c>
      <c r="RJ148" s="56"/>
      <c r="RM148" s="55">
        <f t="shared" ref="RM148:RM177" si="1162">RD148</f>
        <v>46144</v>
      </c>
      <c r="RN148" s="56"/>
      <c r="RO148" s="242">
        <f>SUMPRODUCT(PRODUCE!$B155:$DY155,PRODUCE!$EB$60:$IY$60)</f>
        <v>0</v>
      </c>
      <c r="RP148" s="56"/>
      <c r="RQ148" s="242">
        <f t="shared" ref="RQ148:RQ177" si="1163">RO148-RP148</f>
        <v>0</v>
      </c>
      <c r="RR148" s="242">
        <f t="shared" ref="RR148:RR177" si="1164">RR147+RN148-RP148</f>
        <v>46.8</v>
      </c>
      <c r="RS148" s="56"/>
      <c r="RV148" s="55">
        <f t="shared" ref="RV148:RV177" si="1165">RM148</f>
        <v>46144</v>
      </c>
      <c r="RW148" s="56"/>
      <c r="RX148" s="242">
        <f>SUMPRODUCT(PRODUCE!$B155:$DY155,PRODUCE!$EB$61:$IY$61)</f>
        <v>0</v>
      </c>
      <c r="RY148" s="56"/>
      <c r="RZ148" s="242">
        <f t="shared" ref="RZ148:RZ177" si="1166">RX148-RY148</f>
        <v>0</v>
      </c>
      <c r="SA148" s="242">
        <f t="shared" ref="SA148:SA177" si="1167">SA147+RW148-RY148</f>
        <v>0</v>
      </c>
      <c r="SB148" s="56"/>
      <c r="SE148" s="55">
        <f t="shared" ref="SE148:SE177" si="1168">RV148</f>
        <v>46144</v>
      </c>
      <c r="SF148" s="56"/>
      <c r="SG148" s="242">
        <f>SUMPRODUCT(PRODUCE!$B155:$DY155,PRODUCE!$EB$62:$IY$62)</f>
        <v>0</v>
      </c>
      <c r="SH148" s="56"/>
      <c r="SI148" s="242">
        <f t="shared" ref="SI148:SI177" si="1169">SG148-SH148</f>
        <v>0</v>
      </c>
      <c r="SJ148" s="242">
        <f t="shared" ref="SJ148:SJ177" si="1170">SJ147+SF148-SH148</f>
        <v>24.200000000000003</v>
      </c>
      <c r="SK148" s="56"/>
      <c r="SN148" s="55">
        <f t="shared" ref="SN148:SN177" si="1171">SE148</f>
        <v>46144</v>
      </c>
      <c r="SO148" s="56"/>
      <c r="SP148" s="242">
        <f>SUMPRODUCT(PRODUCE!$B155:$DY155,PRODUCE!$EB$63:$IY$63)</f>
        <v>0</v>
      </c>
      <c r="SQ148" s="56"/>
      <c r="SR148" s="242">
        <f t="shared" ref="SR148:SR177" si="1172">SP148-SQ148</f>
        <v>0</v>
      </c>
      <c r="SS148" s="242">
        <f t="shared" ref="SS148:SS177" si="1173">SS147+SO148-SQ148</f>
        <v>32</v>
      </c>
      <c r="ST148" s="56"/>
      <c r="SW148" s="55">
        <f t="shared" ref="SW148:SW177" si="1174">SN148</f>
        <v>46144</v>
      </c>
      <c r="SX148" s="56"/>
      <c r="SY148" s="242">
        <f>SUMPRODUCT(PRODUCE!$B155:$DY155,PRODUCE!$EB$64:$IY$64)</f>
        <v>0</v>
      </c>
      <c r="SZ148" s="56"/>
      <c r="TA148" s="242">
        <f t="shared" ref="TA148:TA177" si="1175">SY148-SZ148</f>
        <v>0</v>
      </c>
      <c r="TB148" s="242">
        <f t="shared" ref="TB148:TB177" si="1176">TB147+SX148-SZ148</f>
        <v>0</v>
      </c>
      <c r="TC148" s="56"/>
      <c r="TF148" s="55">
        <f t="shared" ref="TF148:TF177" si="1177">SW148</f>
        <v>46144</v>
      </c>
      <c r="TG148" s="56"/>
      <c r="TH148" s="242">
        <f>SUMPRODUCT(PRODUCE!$B155:$DY155,PRODUCE!$EB$65:$IY$65)</f>
        <v>0</v>
      </c>
      <c r="TI148" s="56"/>
      <c r="TJ148" s="242">
        <f t="shared" ref="TJ148:TJ177" si="1178">TH148-TI148</f>
        <v>0</v>
      </c>
      <c r="TK148" s="242">
        <f t="shared" ref="TK148:TK177" si="1179">TK147+TG148-TI148</f>
        <v>0</v>
      </c>
      <c r="TL148" s="56"/>
      <c r="TO148" s="55">
        <f t="shared" ref="TO148:TO177" si="1180">TF148</f>
        <v>46144</v>
      </c>
      <c r="TP148" s="56"/>
      <c r="TQ148" s="242">
        <f>SUMPRODUCT(PRODUCE!$B155:$DY155,PRODUCE!$EB$66:$IY$66)</f>
        <v>0</v>
      </c>
      <c r="TR148" s="56"/>
      <c r="TS148" s="242">
        <f t="shared" ref="TS148:TS177" si="1181">TQ148-TR148</f>
        <v>0</v>
      </c>
      <c r="TT148" s="242">
        <f t="shared" ref="TT148:TT177" si="1182">TT147+TP148-TR148</f>
        <v>0</v>
      </c>
      <c r="TU148" s="56"/>
      <c r="TX148" s="55">
        <f t="shared" ref="TX148:TX177" si="1183">TO148</f>
        <v>46144</v>
      </c>
      <c r="TY148" s="56"/>
      <c r="TZ148" s="242">
        <f>SUMPRODUCT(PRODUCE!$B155:$DY155,PRODUCE!$EB$67:$IY$67)</f>
        <v>0</v>
      </c>
      <c r="UA148" s="56"/>
      <c r="UB148" s="242">
        <f t="shared" ref="UB148:UB177" si="1184">TZ148-UA148</f>
        <v>0</v>
      </c>
      <c r="UC148" s="242">
        <f t="shared" ref="UC148:UC177" si="1185">UC147+TY148-UA148</f>
        <v>0</v>
      </c>
      <c r="UD148" s="56"/>
      <c r="UG148" s="55">
        <f t="shared" ref="UG148:UG177" si="1186">TX148</f>
        <v>46144</v>
      </c>
      <c r="UH148" s="56"/>
      <c r="UI148" s="242">
        <f>SUMPRODUCT(PRODUCE!$B155:$DY155,PRODUCE!$EB$68:$IY$68)</f>
        <v>0</v>
      </c>
      <c r="UJ148" s="56"/>
      <c r="UK148" s="242">
        <f t="shared" ref="UK148:UK177" si="1187">UI148-UJ148</f>
        <v>0</v>
      </c>
      <c r="UL148" s="242">
        <f t="shared" ref="UL148:UL177" si="1188">UL147+UH148-UJ148</f>
        <v>0</v>
      </c>
      <c r="UM148" s="56"/>
      <c r="UP148" s="55">
        <f t="shared" ref="UP148:UP177" si="1189">UG148</f>
        <v>46144</v>
      </c>
      <c r="UQ148" s="56"/>
      <c r="UR148" s="242">
        <f>SUMPRODUCT(PRODUCE!$B155:$DY155,PRODUCE!$EB$69:$IY$69)</f>
        <v>0</v>
      </c>
      <c r="US148" s="56"/>
      <c r="UT148" s="242">
        <f t="shared" ref="UT148:UT177" si="1190">UR148-US148</f>
        <v>0</v>
      </c>
      <c r="UU148" s="242">
        <f t="shared" ref="UU148:UU177" si="1191">UU147+UQ148-US148</f>
        <v>0</v>
      </c>
      <c r="UV148" s="56"/>
      <c r="UY148" s="55">
        <f t="shared" ref="UY148:UY177" si="1192">UP148</f>
        <v>46144</v>
      </c>
      <c r="UZ148" s="56"/>
      <c r="VA148" s="242">
        <f>SUMPRODUCT(PRODUCE!$B155:$DY155,PRODUCE!$EB$70:$IY$70)</f>
        <v>0</v>
      </c>
      <c r="VB148" s="56"/>
      <c r="VC148" s="242">
        <f t="shared" ref="VC148:VC177" si="1193">VA148-VB148</f>
        <v>0</v>
      </c>
      <c r="VD148" s="242">
        <f t="shared" ref="VD148:VD177" si="1194">VD147+UZ148-VB148</f>
        <v>41.600000000000023</v>
      </c>
      <c r="VE148" s="56"/>
      <c r="VH148" s="55">
        <f t="shared" ref="VH148:VH177" si="1195">UY148</f>
        <v>46144</v>
      </c>
      <c r="VI148" s="56"/>
      <c r="VJ148" s="242">
        <f>SUMPRODUCT(PRODUCE!$B155:$DY155,PRODUCE!$EB$71:$IY$71)</f>
        <v>0</v>
      </c>
      <c r="VK148" s="56"/>
      <c r="VL148" s="242">
        <f t="shared" ref="VL148:VL177" si="1196">VJ148-VK148</f>
        <v>0</v>
      </c>
      <c r="VM148" s="242">
        <f t="shared" ref="VM148:VM177" si="1197">VM147+VI148-VK148</f>
        <v>0</v>
      </c>
      <c r="VN148" s="56"/>
      <c r="VQ148" s="55">
        <f t="shared" ref="VQ148:VQ177" si="1198">VH148</f>
        <v>46144</v>
      </c>
      <c r="VR148" s="56"/>
      <c r="VS148" s="242">
        <f>SUMPRODUCT(PRODUCE!$B155:$DY155,PRODUCE!$EB$57:$IY$57)</f>
        <v>0</v>
      </c>
      <c r="VT148" s="56"/>
      <c r="VU148" s="242">
        <f t="shared" ref="VU148:VU177" si="1199">VS148-VT148</f>
        <v>0</v>
      </c>
      <c r="VV148" s="242">
        <f t="shared" ref="VV148:VV177" si="1200">VV147+VR148-VT148</f>
        <v>0</v>
      </c>
      <c r="VW148" s="56"/>
      <c r="VZ148" s="55">
        <f t="shared" ref="VZ148:VZ177" si="1201">VQ148</f>
        <v>46144</v>
      </c>
      <c r="WA148" s="56"/>
      <c r="WB148" s="242">
        <f>SUMPRODUCT(PRODUCE!$B155:$DY155,PRODUCE!$EB$57:$IY$57)</f>
        <v>0</v>
      </c>
      <c r="WC148" s="56"/>
      <c r="WD148" s="242">
        <f t="shared" ref="WD148:WD177" si="1202">WB148-WC148</f>
        <v>0</v>
      </c>
      <c r="WE148" s="242">
        <f t="shared" ref="WE148:WE177" si="1203">WE147+WA148-WC148</f>
        <v>0</v>
      </c>
      <c r="WF148" s="56"/>
      <c r="WI148" s="55">
        <f t="shared" ref="WI148:WI177" si="1204">VZ148</f>
        <v>46144</v>
      </c>
      <c r="WJ148" s="422"/>
      <c r="WK148" s="540">
        <f>SUMPRODUCT(PRODUCE!$B155:$DY155,PRODUCE!$EB$74:$IY$74)</f>
        <v>0</v>
      </c>
      <c r="WL148" s="422"/>
      <c r="WM148" s="540">
        <f t="shared" ref="WM148:WM177" si="1205">WK148-WL148</f>
        <v>0</v>
      </c>
      <c r="WN148" s="540">
        <f t="shared" ref="WN148:WN177" si="1206">WN147+WJ148-WL148</f>
        <v>2317</v>
      </c>
      <c r="WO148" s="56"/>
      <c r="WR148" s="55">
        <f t="shared" ref="WR148:WR177" si="1207">WI148</f>
        <v>46144</v>
      </c>
      <c r="WS148" s="422"/>
      <c r="WT148" s="540">
        <f>SUMPRODUCT(PRODUCE!$B155:$DY155,PRODUCE!$EB$75:$IY$75)</f>
        <v>0</v>
      </c>
      <c r="WU148" s="422"/>
      <c r="WV148" s="540">
        <f t="shared" ref="WV148:WV177" si="1208">WT148-WU148</f>
        <v>0</v>
      </c>
      <c r="WW148" s="540">
        <f t="shared" ref="WW148:WW177" si="1209">WW147+WS148-WU148</f>
        <v>776</v>
      </c>
      <c r="WX148" s="56"/>
      <c r="XA148" s="55">
        <f t="shared" ref="XA148:XA177" si="1210">WR148</f>
        <v>46144</v>
      </c>
      <c r="XB148" s="422"/>
      <c r="XC148" s="540">
        <f>SUMPRODUCT(PRODUCE!$B155:$DY155,PRODUCE!$EB$76:$IY$76)</f>
        <v>0</v>
      </c>
      <c r="XD148" s="422"/>
      <c r="XE148" s="540">
        <f t="shared" ref="XE148:XE177" si="1211">XC148-XD148</f>
        <v>0</v>
      </c>
      <c r="XF148" s="540">
        <f t="shared" ref="XF148:XF177" si="1212">XF147+XB148-XD148</f>
        <v>13455</v>
      </c>
      <c r="XG148" s="56"/>
      <c r="XJ148" s="55">
        <f t="shared" ref="XJ148:XJ177" si="1213">XA148</f>
        <v>46144</v>
      </c>
      <c r="XK148" s="422"/>
      <c r="XL148" s="540">
        <f>SUMPRODUCT(PRODUCE!$B155:$DY155,PRODUCE!$EB$77:$IY$77)</f>
        <v>0</v>
      </c>
      <c r="XM148" s="422"/>
      <c r="XN148" s="540">
        <f t="shared" ref="XN148:XN177" si="1214">XL148-XM148</f>
        <v>0</v>
      </c>
      <c r="XO148" s="540">
        <f t="shared" ref="XO148:XO177" si="1215">XO147+XK148-XM148</f>
        <v>1481</v>
      </c>
      <c r="XP148" s="56"/>
      <c r="XS148" s="55">
        <f t="shared" ref="XS148:XS177" si="1216">XJ148</f>
        <v>46144</v>
      </c>
      <c r="XT148" s="56"/>
      <c r="XU148" s="242">
        <f>SUMPRODUCT(PRODUCE!$B155:$DY155,PRODUCE!$EB$78:$IY$78)</f>
        <v>0</v>
      </c>
      <c r="XV148" s="56"/>
      <c r="XW148" s="242">
        <f t="shared" ref="XW148:XW177" si="1217">XU148-XV148</f>
        <v>0</v>
      </c>
      <c r="XX148" s="242">
        <f t="shared" ref="XX148:XX177" si="1218">XX147+XT148-XV148</f>
        <v>1901</v>
      </c>
      <c r="XY148" s="56"/>
      <c r="YB148" s="55">
        <f t="shared" ref="YB148:YB177" si="1219">XS148</f>
        <v>46144</v>
      </c>
      <c r="YC148" s="56"/>
      <c r="YD148" s="242">
        <f>SUMPRODUCT(PRODUCE!$B155:$DY155,PRODUCE!$EB$79:$IY$79)</f>
        <v>0</v>
      </c>
      <c r="YE148" s="56"/>
      <c r="YF148" s="242">
        <f t="shared" ref="YF148:YF177" si="1220">YD148-YE148</f>
        <v>0</v>
      </c>
      <c r="YG148" s="242">
        <f t="shared" ref="YG148:YG177" si="1221">YG147+YC148-YE148</f>
        <v>6459</v>
      </c>
      <c r="YH148" s="56"/>
      <c r="YK148" s="55">
        <f t="shared" ref="YK148:YK177" si="1222">YB148</f>
        <v>46144</v>
      </c>
      <c r="YL148" s="56"/>
      <c r="YM148" s="242">
        <f>SUMPRODUCT(PRODUCE!$B155:$DY155,PRODUCE!$EB$80:$IY$80)</f>
        <v>0</v>
      </c>
      <c r="YN148" s="56"/>
      <c r="YO148" s="242">
        <f t="shared" ref="YO148:YO177" si="1223">YM148-YN148</f>
        <v>0</v>
      </c>
      <c r="YP148" s="242">
        <f t="shared" ref="YP148:YP177" si="1224">YP147+YL148-YN148</f>
        <v>0</v>
      </c>
      <c r="YQ148" s="56"/>
      <c r="YT148" s="55">
        <f t="shared" ref="YT148:YT177" si="1225">YK148</f>
        <v>46144</v>
      </c>
      <c r="YU148" s="56"/>
      <c r="YV148" s="242">
        <f>SUMPRODUCT(PRODUCE!$B155:$DY155,PRODUCE!$EB$57:$IY$57)</f>
        <v>0</v>
      </c>
      <c r="YW148" s="56"/>
      <c r="YX148" s="242">
        <f t="shared" ref="YX148:YX177" si="1226">YV148-YW148</f>
        <v>0</v>
      </c>
      <c r="YY148" s="242">
        <f t="shared" ref="YY148:YY177" si="1227">YY147+YU148-YW148</f>
        <v>0</v>
      </c>
      <c r="YZ148" s="56"/>
      <c r="ZC148" s="55">
        <f t="shared" ref="ZC148:ZC177" si="1228">YT148</f>
        <v>46144</v>
      </c>
      <c r="ZD148" s="56"/>
      <c r="ZE148" s="242">
        <f>SUMPRODUCT(PRODUCE!$B155:$DY155,PRODUCE!$EB$57:$IY$57)</f>
        <v>0</v>
      </c>
      <c r="ZF148" s="56"/>
      <c r="ZG148" s="242">
        <f t="shared" ref="ZG148:ZG177" si="1229">ZE148-ZF148</f>
        <v>0</v>
      </c>
      <c r="ZH148" s="242">
        <f t="shared" ref="ZH148:ZH177" si="1230">ZH147+ZD148-ZF148</f>
        <v>0</v>
      </c>
      <c r="ZI148" s="56"/>
      <c r="ZL148" s="55">
        <f t="shared" ref="ZL148:ZL177" si="1231">ZC148</f>
        <v>46144</v>
      </c>
      <c r="ZM148" s="56"/>
      <c r="ZN148" s="242">
        <f>SUMPRODUCT(PRODUCE!$B155:$DY155,PRODUCE!$EB$57:$IY$57)</f>
        <v>0</v>
      </c>
      <c r="ZO148" s="56"/>
      <c r="ZP148" s="242">
        <f t="shared" ref="ZP148:ZP177" si="1232">ZN148-ZO148</f>
        <v>0</v>
      </c>
      <c r="ZQ148" s="242">
        <f t="shared" ref="ZQ148:ZQ177" si="1233">ZQ147+ZM148-ZO148</f>
        <v>0</v>
      </c>
      <c r="ZR148" s="56"/>
      <c r="ZU148" s="55">
        <f t="shared" ref="ZU148:ZU177" si="1234">ZL148</f>
        <v>46144</v>
      </c>
      <c r="ZV148" s="56"/>
      <c r="ZW148" s="242">
        <f>SUMPRODUCT(PRODUCE!$B155:$DY155,PRODUCE!$EB$57:$IY$57)</f>
        <v>0</v>
      </c>
      <c r="ZX148" s="56"/>
      <c r="ZY148" s="242">
        <f t="shared" ref="ZY148:ZY177" si="1235">ZW148-ZX148</f>
        <v>0</v>
      </c>
      <c r="ZZ148" s="242">
        <f t="shared" ref="ZZ148:ZZ177" si="1236">ZZ147+ZV148-ZX148</f>
        <v>0</v>
      </c>
      <c r="AAA148" s="56"/>
      <c r="AAD148" s="55">
        <f t="shared" ref="AAD148:AAD177" si="1237">ZU148</f>
        <v>46144</v>
      </c>
      <c r="AAE148" s="56"/>
      <c r="AAF148" s="242">
        <f>SUMPRODUCT(PRODUCE!$B155:$DY155,PRODUCE!$EB$57:$IY$57)</f>
        <v>0</v>
      </c>
      <c r="AAG148" s="56"/>
      <c r="AAH148" s="242">
        <f t="shared" ref="AAH148:AAH177" si="1238">AAF148-AAG148</f>
        <v>0</v>
      </c>
      <c r="AAI148" s="242">
        <f t="shared" ref="AAI148:AAI177" si="1239">AAI147+AAE148-AAG148</f>
        <v>0</v>
      </c>
      <c r="AAJ148" s="56"/>
      <c r="AAM148" s="55">
        <f t="shared" ref="AAM148:AAM177" si="1240">AAD148</f>
        <v>46144</v>
      </c>
      <c r="AAN148" s="56"/>
      <c r="AAO148" s="242">
        <f>SUMPRODUCT(PRODUCE!$B155:$DY155,PRODUCE!$EB$57:$IY$57)</f>
        <v>0</v>
      </c>
      <c r="AAP148" s="56"/>
      <c r="AAQ148" s="242">
        <f t="shared" ref="AAQ148:AAQ177" si="1241">AAO148-AAP148</f>
        <v>0</v>
      </c>
      <c r="AAR148" s="242">
        <f t="shared" ref="AAR148:AAR177" si="1242">AAR147+AAN148-AAP148</f>
        <v>0</v>
      </c>
      <c r="AAS148" s="56"/>
      <c r="AAV148" s="55">
        <f t="shared" ref="AAV148:AAV177" si="1243">AAM148</f>
        <v>46144</v>
      </c>
      <c r="AAW148" s="56"/>
      <c r="AAX148" s="242">
        <f>SUMPRODUCT(PRODUCE!$B155:$DY155,PRODUCE!$EB$57:$IY$57)</f>
        <v>0</v>
      </c>
      <c r="AAY148" s="56"/>
      <c r="AAZ148" s="242">
        <f t="shared" ref="AAZ148:AAZ177" si="1244">AAX148-AAY148</f>
        <v>0</v>
      </c>
      <c r="ABA148" s="242">
        <f t="shared" ref="ABA148:ABA177" si="1245">ABA147+AAW148-AAY148</f>
        <v>0</v>
      </c>
      <c r="ABB148" s="56"/>
      <c r="ABE148" s="55">
        <f t="shared" ref="ABE148:ABE177" si="1246">AAV148</f>
        <v>46144</v>
      </c>
      <c r="ABF148" s="56"/>
      <c r="ABG148" s="242">
        <f>SUMPRODUCT(PRODUCE!$B155:$DY155,PRODUCE!$EB$57:$IY$57)</f>
        <v>0</v>
      </c>
      <c r="ABH148" s="56"/>
      <c r="ABI148" s="242">
        <f t="shared" ref="ABI148:ABI177" si="1247">ABG148-ABH148</f>
        <v>0</v>
      </c>
      <c r="ABJ148" s="242">
        <f t="shared" ref="ABJ148:ABJ177" si="1248">ABJ147+ABF148-ABH148</f>
        <v>0</v>
      </c>
      <c r="ABK148" s="56"/>
    </row>
    <row r="149" spans="2:739" s="54" customFormat="1" ht="15" customHeight="1" outlineLevel="1">
      <c r="B149" s="478"/>
      <c r="C149" s="55">
        <v>46145</v>
      </c>
      <c r="D149" s="422"/>
      <c r="E149" s="423">
        <f>SUMPRODUCT(PRODUCE!$B156:$DY156,PRODUCE!$EB$7:$IY$7)</f>
        <v>0</v>
      </c>
      <c r="F149" s="422"/>
      <c r="G149" s="423">
        <f t="shared" si="1004"/>
        <v>0</v>
      </c>
      <c r="H149" s="423">
        <f t="shared" si="1005"/>
        <v>158786.40000000005</v>
      </c>
      <c r="I149" s="289"/>
      <c r="L149" s="55">
        <f t="shared" si="1006"/>
        <v>46145</v>
      </c>
      <c r="M149" s="422"/>
      <c r="N149" s="438">
        <f>SUMPRODUCT(PRODUCE!$B156:$DY156,PRODUCE!$EB$8:$IY$8)</f>
        <v>0</v>
      </c>
      <c r="O149" s="422"/>
      <c r="P149" s="438">
        <f t="shared" si="1007"/>
        <v>0</v>
      </c>
      <c r="Q149" s="438">
        <f t="shared" si="1008"/>
        <v>37909.600000000093</v>
      </c>
      <c r="R149" s="56"/>
      <c r="U149" s="55">
        <f t="shared" si="1009"/>
        <v>46145</v>
      </c>
      <c r="V149" s="422"/>
      <c r="W149" s="440">
        <f>SUMPRODUCT(PRODUCE!$B156:$DY156,PRODUCE!$EB$9:$IY$9)</f>
        <v>0</v>
      </c>
      <c r="X149" s="422"/>
      <c r="Y149" s="440">
        <f t="shared" si="1010"/>
        <v>0</v>
      </c>
      <c r="Z149" s="440">
        <f t="shared" si="1011"/>
        <v>27015.699999999972</v>
      </c>
      <c r="AA149" s="56"/>
      <c r="AD149" s="55">
        <f t="shared" si="1012"/>
        <v>46145</v>
      </c>
      <c r="AE149" s="422"/>
      <c r="AF149" s="442">
        <f>SUMPRODUCT(PRODUCE!$B156:$DY156,PRODUCE!$EB$10:$IY$10)</f>
        <v>0</v>
      </c>
      <c r="AG149" s="422"/>
      <c r="AH149" s="442">
        <f t="shared" si="1013"/>
        <v>0</v>
      </c>
      <c r="AI149" s="442">
        <f t="shared" si="1014"/>
        <v>9031.3000000000175</v>
      </c>
      <c r="AJ149" s="56"/>
      <c r="AM149" s="55">
        <f t="shared" si="1015"/>
        <v>46145</v>
      </c>
      <c r="AN149" s="422"/>
      <c r="AO149" s="444">
        <f>SUMPRODUCT(PRODUCE!$B156:$DY156,PRODUCE!$EB$11:$IY$11)</f>
        <v>0</v>
      </c>
      <c r="AP149" s="422"/>
      <c r="AQ149" s="444">
        <f t="shared" si="1016"/>
        <v>0</v>
      </c>
      <c r="AR149" s="444">
        <f t="shared" si="1017"/>
        <v>0</v>
      </c>
      <c r="AS149" s="56"/>
      <c r="AV149" s="55">
        <f t="shared" si="1018"/>
        <v>46145</v>
      </c>
      <c r="AW149" s="422"/>
      <c r="AX149" s="446">
        <f>SUMPRODUCT(PRODUCE!$B156:$DY156,PRODUCE!$EB$12:$IY$12)</f>
        <v>0</v>
      </c>
      <c r="AY149" s="422"/>
      <c r="AZ149" s="446">
        <f t="shared" si="1019"/>
        <v>0</v>
      </c>
      <c r="BA149" s="446">
        <f t="shared" si="1020"/>
        <v>37387.199999999997</v>
      </c>
      <c r="BB149" s="56"/>
      <c r="BE149" s="55">
        <f t="shared" si="1021"/>
        <v>46145</v>
      </c>
      <c r="BF149" s="422"/>
      <c r="BG149" s="448">
        <f>SUMPRODUCT(PRODUCE!$B156:$DY156,PRODUCE!$EB$13:$IY$13)</f>
        <v>0</v>
      </c>
      <c r="BH149" s="422"/>
      <c r="BI149" s="448">
        <f t="shared" si="1022"/>
        <v>0</v>
      </c>
      <c r="BJ149" s="448">
        <f t="shared" si="1023"/>
        <v>27975.899999999987</v>
      </c>
      <c r="BK149" s="56"/>
      <c r="BN149" s="55">
        <f t="shared" si="1024"/>
        <v>46145</v>
      </c>
      <c r="BO149" s="422"/>
      <c r="BP149" s="450">
        <f>SUMPRODUCT(PRODUCE!$B156:$DY156,PRODUCE!$EB$14:$IY$14)</f>
        <v>0</v>
      </c>
      <c r="BQ149" s="422"/>
      <c r="BR149" s="450">
        <f t="shared" si="1025"/>
        <v>0</v>
      </c>
      <c r="BS149" s="450">
        <f t="shared" si="1026"/>
        <v>0</v>
      </c>
      <c r="BT149" s="56"/>
      <c r="BW149" s="55">
        <f t="shared" si="1027"/>
        <v>46145</v>
      </c>
      <c r="BX149" s="422"/>
      <c r="BY149" s="523">
        <f>SUMPRODUCT(PRODUCE!$B156:$DY156,PRODUCE!$EB$15:$IY$15)</f>
        <v>0</v>
      </c>
      <c r="BZ149" s="422"/>
      <c r="CA149" s="523">
        <f t="shared" si="1028"/>
        <v>0</v>
      </c>
      <c r="CB149" s="523">
        <f t="shared" si="1029"/>
        <v>5848.7999999999993</v>
      </c>
      <c r="CC149" s="56"/>
      <c r="CF149" s="55">
        <f t="shared" si="1030"/>
        <v>46145</v>
      </c>
      <c r="CG149" s="422"/>
      <c r="CH149" s="524">
        <f>SUMPRODUCT(PRODUCE!$B156:$DY156,PRODUCE!$EB$16:$IY$16)</f>
        <v>0</v>
      </c>
      <c r="CI149" s="422"/>
      <c r="CJ149" s="524">
        <f t="shared" si="1031"/>
        <v>0</v>
      </c>
      <c r="CK149" s="524">
        <f t="shared" si="1032"/>
        <v>0</v>
      </c>
      <c r="CL149" s="56"/>
      <c r="CO149" s="55">
        <f t="shared" si="1033"/>
        <v>46145</v>
      </c>
      <c r="CP149" s="422"/>
      <c r="CQ149" s="470">
        <f>SUMPRODUCT(PRODUCE!$B156:$DY156,PRODUCE!$EB$17:$IY$17)</f>
        <v>0</v>
      </c>
      <c r="CR149" s="422"/>
      <c r="CS149" s="470">
        <f t="shared" si="1034"/>
        <v>0</v>
      </c>
      <c r="CT149" s="470">
        <f t="shared" si="1035"/>
        <v>0</v>
      </c>
      <c r="CU149" s="56"/>
      <c r="CX149" s="55">
        <f t="shared" si="1036"/>
        <v>46145</v>
      </c>
      <c r="CY149" s="422"/>
      <c r="CZ149" s="525">
        <f>SUMPRODUCT(PRODUCE!$B156:$DY156,PRODUCE!$EB$18:$IY$18)</f>
        <v>0</v>
      </c>
      <c r="DA149" s="422"/>
      <c r="DB149" s="525">
        <f t="shared" si="1037"/>
        <v>0</v>
      </c>
      <c r="DC149" s="525">
        <f t="shared" si="1038"/>
        <v>24158.300000000003</v>
      </c>
      <c r="DD149" s="56"/>
      <c r="DG149" s="55">
        <f t="shared" si="1039"/>
        <v>46145</v>
      </c>
      <c r="DH149" s="422"/>
      <c r="DI149" s="526">
        <f>SUMPRODUCT(PRODUCE!$B156:$DY156,PRODUCE!$EB$19:$IY$19)</f>
        <v>0</v>
      </c>
      <c r="DJ149" s="422"/>
      <c r="DK149" s="526">
        <f t="shared" si="1040"/>
        <v>0</v>
      </c>
      <c r="DL149" s="526">
        <f t="shared" si="1041"/>
        <v>42939.599999999984</v>
      </c>
      <c r="DM149" s="56"/>
      <c r="DP149" s="55">
        <f t="shared" si="1042"/>
        <v>46145</v>
      </c>
      <c r="DQ149" s="422"/>
      <c r="DR149" s="423">
        <f>SUMPRODUCT(PRODUCE!$B156:$DY156,PRODUCE!$EB$20:$IY$20)</f>
        <v>0</v>
      </c>
      <c r="DS149" s="422"/>
      <c r="DT149" s="423">
        <f t="shared" si="1043"/>
        <v>0</v>
      </c>
      <c r="DU149" s="423">
        <f t="shared" si="1044"/>
        <v>5800</v>
      </c>
      <c r="DV149" s="56"/>
      <c r="DY149" s="55">
        <f t="shared" si="1045"/>
        <v>46145</v>
      </c>
      <c r="DZ149" s="56"/>
      <c r="EA149" s="157">
        <f>SUMPRODUCT(PRODUCE!$B156:$DY156,PRODUCE!$EB$21:$IY$21)</f>
        <v>0</v>
      </c>
      <c r="EB149" s="56"/>
      <c r="EC149" s="157">
        <f t="shared" si="1046"/>
        <v>0</v>
      </c>
      <c r="ED149" s="157">
        <f t="shared" si="1047"/>
        <v>0</v>
      </c>
      <c r="EE149" s="56"/>
      <c r="EH149" s="55">
        <f t="shared" si="1048"/>
        <v>46145</v>
      </c>
      <c r="EI149" s="56"/>
      <c r="EJ149" s="162">
        <f>SUMPRODUCT(PRODUCE!$B156:$DY156,PRODUCE!$EB$22:$IY$22)</f>
        <v>0</v>
      </c>
      <c r="EK149" s="56"/>
      <c r="EL149" s="162">
        <f t="shared" si="1049"/>
        <v>0</v>
      </c>
      <c r="EM149" s="162">
        <f t="shared" si="1050"/>
        <v>0</v>
      </c>
      <c r="EN149" s="56"/>
      <c r="EQ149" s="55">
        <f t="shared" si="1051"/>
        <v>46145</v>
      </c>
      <c r="ER149" s="56"/>
      <c r="ES149" s="135">
        <f>SUMPRODUCT(PRODUCE!$B156:$DY156,PRODUCE!$EB$23:$IY$23)</f>
        <v>0</v>
      </c>
      <c r="ET149" s="56"/>
      <c r="EU149" s="135">
        <f t="shared" si="1052"/>
        <v>0</v>
      </c>
      <c r="EV149" s="135">
        <f t="shared" si="1053"/>
        <v>0</v>
      </c>
      <c r="EW149" s="56"/>
      <c r="EZ149" s="55">
        <f t="shared" si="1054"/>
        <v>46145</v>
      </c>
      <c r="FA149" s="56"/>
      <c r="FB149" s="175">
        <f>SUMPRODUCT(PRODUCE!$B156:$DY156,PRODUCE!$EB$24:$IY$24)</f>
        <v>0</v>
      </c>
      <c r="FC149" s="56"/>
      <c r="FD149" s="175">
        <f t="shared" si="1055"/>
        <v>0</v>
      </c>
      <c r="FE149" s="175">
        <f t="shared" si="1056"/>
        <v>0</v>
      </c>
      <c r="FF149" s="56"/>
      <c r="FI149" s="55">
        <f t="shared" si="1057"/>
        <v>46145</v>
      </c>
      <c r="FJ149" s="56"/>
      <c r="FK149" s="183">
        <f>SUMPRODUCT(PRODUCE!$B156:$DY156,PRODUCE!$EB$25:$IY$25)</f>
        <v>0</v>
      </c>
      <c r="FL149" s="56"/>
      <c r="FM149" s="183">
        <f t="shared" si="1058"/>
        <v>0</v>
      </c>
      <c r="FN149" s="183">
        <f t="shared" si="1059"/>
        <v>0</v>
      </c>
      <c r="FO149" s="56"/>
      <c r="FR149" s="55">
        <f t="shared" si="1060"/>
        <v>46145</v>
      </c>
      <c r="FS149" s="56"/>
      <c r="FT149" s="186">
        <f>SUMPRODUCT(PRODUCE!$B156:$DY156,PRODUCE!$EB$26:$IY$26)</f>
        <v>0</v>
      </c>
      <c r="FU149" s="56"/>
      <c r="FV149" s="186">
        <f t="shared" si="1061"/>
        <v>0</v>
      </c>
      <c r="FW149" s="186">
        <f t="shared" si="1062"/>
        <v>2120</v>
      </c>
      <c r="FX149" s="56"/>
      <c r="GA149" s="55">
        <f t="shared" si="1063"/>
        <v>46145</v>
      </c>
      <c r="GB149" s="56"/>
      <c r="GC149" s="137">
        <f>SUMPRODUCT(PRODUCE!$B156:$DY156,PRODUCE!$EB$27:$IY$27)</f>
        <v>0</v>
      </c>
      <c r="GD149" s="56"/>
      <c r="GE149" s="137">
        <f t="shared" si="1064"/>
        <v>0</v>
      </c>
      <c r="GF149" s="137">
        <f t="shared" si="1065"/>
        <v>3640</v>
      </c>
      <c r="GG149" s="56"/>
      <c r="GI149" s="23"/>
      <c r="GJ149" s="55">
        <f t="shared" si="1066"/>
        <v>46145</v>
      </c>
      <c r="GK149" s="56"/>
      <c r="GL149" s="199">
        <f>SUMPRODUCT(PRODUCE!$B156:$DY156,PRODUCE!$EB$28:$IY$28)</f>
        <v>0</v>
      </c>
      <c r="GM149" s="56"/>
      <c r="GN149" s="199">
        <f t="shared" si="1067"/>
        <v>0</v>
      </c>
      <c r="GO149" s="199">
        <f t="shared" si="1068"/>
        <v>2080</v>
      </c>
      <c r="GP149" s="56"/>
      <c r="GS149" s="55">
        <f t="shared" si="1069"/>
        <v>46145</v>
      </c>
      <c r="GT149" s="56"/>
      <c r="GU149" s="195">
        <f>SUMPRODUCT(PRODUCE!$B156:$DY156,PRODUCE!$EB$29:$IY$29)</f>
        <v>0</v>
      </c>
      <c r="GV149" s="56"/>
      <c r="GW149" s="195">
        <f t="shared" si="1070"/>
        <v>0</v>
      </c>
      <c r="GX149" s="195">
        <f t="shared" si="1071"/>
        <v>0</v>
      </c>
      <c r="GY149" s="56"/>
      <c r="HB149" s="55">
        <f t="shared" si="1072"/>
        <v>46145</v>
      </c>
      <c r="HC149" s="56"/>
      <c r="HD149" s="191">
        <f>SUMPRODUCT(PRODUCE!$B156:$DY156,PRODUCE!$EB$30:$IY$30)</f>
        <v>0</v>
      </c>
      <c r="HE149" s="56"/>
      <c r="HF149" s="191">
        <f t="shared" si="1073"/>
        <v>0</v>
      </c>
      <c r="HG149" s="191">
        <f t="shared" si="1074"/>
        <v>0</v>
      </c>
      <c r="HH149" s="56"/>
      <c r="HK149" s="55">
        <f t="shared" si="1075"/>
        <v>46145</v>
      </c>
      <c r="HL149" s="56"/>
      <c r="HM149" s="63">
        <f>SUMPRODUCT(PRODUCE!$B156:$DY156,PRODUCE!$EB$31:$IY$31)</f>
        <v>0</v>
      </c>
      <c r="HN149" s="56"/>
      <c r="HO149" s="63">
        <f t="shared" si="1076"/>
        <v>0</v>
      </c>
      <c r="HP149" s="63">
        <f t="shared" si="1077"/>
        <v>0</v>
      </c>
      <c r="HQ149" s="56"/>
      <c r="HU149" s="55">
        <f t="shared" si="1078"/>
        <v>46145</v>
      </c>
      <c r="HV149" s="56"/>
      <c r="HW149" s="242">
        <f>SUMPRODUCT(PRODUCE!$B156:$DY156,PRODUCE!$EB$32:$IY$32)</f>
        <v>0</v>
      </c>
      <c r="HX149" s="56"/>
      <c r="HY149" s="242">
        <f t="shared" si="1079"/>
        <v>0</v>
      </c>
      <c r="HZ149" s="242">
        <f t="shared" si="1080"/>
        <v>6360</v>
      </c>
      <c r="IA149" s="56"/>
      <c r="ID149" s="55">
        <f t="shared" si="1081"/>
        <v>46145</v>
      </c>
      <c r="IE149" s="56"/>
      <c r="IF149" s="242">
        <f>SUMPRODUCT(PRODUCE!$B156:$DY156,PRODUCE!$EB$33:$IY$33)</f>
        <v>0</v>
      </c>
      <c r="IG149" s="56"/>
      <c r="IH149" s="242">
        <f t="shared" si="1082"/>
        <v>0</v>
      </c>
      <c r="II149" s="242">
        <f t="shared" si="1083"/>
        <v>6540</v>
      </c>
      <c r="IJ149" s="56"/>
      <c r="IM149" s="55">
        <f t="shared" si="1084"/>
        <v>46145</v>
      </c>
      <c r="IN149" s="56"/>
      <c r="IO149" s="242">
        <f>SUMPRODUCT(PRODUCE!$B156:$DY156,PRODUCE!$EB$34:$IY$34)</f>
        <v>0</v>
      </c>
      <c r="IP149" s="56"/>
      <c r="IQ149" s="242">
        <f t="shared" si="1085"/>
        <v>0</v>
      </c>
      <c r="IR149" s="242">
        <f t="shared" si="1086"/>
        <v>11540</v>
      </c>
      <c r="IS149" s="56"/>
      <c r="IV149" s="55">
        <f t="shared" si="1087"/>
        <v>46145</v>
      </c>
      <c r="IW149" s="56"/>
      <c r="IX149" s="242">
        <f>SUMPRODUCT(PRODUCE!$B156:$DY156,PRODUCE!$EB$35:$IY$35)</f>
        <v>0</v>
      </c>
      <c r="IY149" s="56"/>
      <c r="IZ149" s="242">
        <f t="shared" si="1088"/>
        <v>0</v>
      </c>
      <c r="JA149" s="242">
        <f t="shared" si="1089"/>
        <v>15120</v>
      </c>
      <c r="JB149" s="56"/>
      <c r="JE149" s="55">
        <f t="shared" si="1090"/>
        <v>46145</v>
      </c>
      <c r="JF149" s="56"/>
      <c r="JG149" s="242">
        <f>SUMPRODUCT(PRODUCE!$B156:$DY156,PRODUCE!$EB$36:$IY$36)</f>
        <v>0</v>
      </c>
      <c r="JH149" s="56"/>
      <c r="JI149" s="242">
        <f t="shared" si="1091"/>
        <v>0</v>
      </c>
      <c r="JJ149" s="242">
        <f t="shared" si="1092"/>
        <v>1960</v>
      </c>
      <c r="JK149" s="56"/>
      <c r="JN149" s="55">
        <f t="shared" si="1093"/>
        <v>46145</v>
      </c>
      <c r="JO149" s="56"/>
      <c r="JP149" s="242">
        <f>SUMPRODUCT(PRODUCE!$B156:$DY156,PRODUCE!$EB$37:$IY$37)</f>
        <v>0</v>
      </c>
      <c r="JQ149" s="56"/>
      <c r="JR149" s="242">
        <f t="shared" si="1094"/>
        <v>0</v>
      </c>
      <c r="JS149" s="242">
        <f t="shared" si="1095"/>
        <v>9100</v>
      </c>
      <c r="JT149" s="56"/>
      <c r="JW149" s="55">
        <f t="shared" si="1096"/>
        <v>46145</v>
      </c>
      <c r="JX149" s="56"/>
      <c r="JY149" s="242">
        <f>SUMPRODUCT(PRODUCE!$B156:$DY156,PRODUCE!$EB$38:$IY$38)</f>
        <v>0</v>
      </c>
      <c r="JZ149" s="56"/>
      <c r="KA149" s="242">
        <f t="shared" si="1097"/>
        <v>0</v>
      </c>
      <c r="KB149" s="242">
        <f t="shared" si="1098"/>
        <v>2540</v>
      </c>
      <c r="KC149" s="56"/>
      <c r="KF149" s="55">
        <f t="shared" si="1099"/>
        <v>46145</v>
      </c>
      <c r="KG149" s="56">
        <v>2340</v>
      </c>
      <c r="KH149" s="242">
        <f>SUMPRODUCT(PRODUCE!$B156:$DY156,PRODUCE!$EB$39:$IY$39)</f>
        <v>0</v>
      </c>
      <c r="KI149" s="56"/>
      <c r="KJ149" s="242">
        <f t="shared" si="1100"/>
        <v>0</v>
      </c>
      <c r="KK149" s="242">
        <f t="shared" si="1101"/>
        <v>2359.5</v>
      </c>
      <c r="KL149" s="56"/>
      <c r="KO149" s="55">
        <f t="shared" si="1102"/>
        <v>46145</v>
      </c>
      <c r="KP149" s="56"/>
      <c r="KQ149" s="242">
        <f>SUMPRODUCT(PRODUCE!$B156:$DY156,PRODUCE!$EB$40:$IY$40)</f>
        <v>0</v>
      </c>
      <c r="KR149" s="56"/>
      <c r="KS149" s="242">
        <f t="shared" si="1103"/>
        <v>0</v>
      </c>
      <c r="KT149" s="242">
        <f t="shared" si="1104"/>
        <v>2079</v>
      </c>
      <c r="KU149" s="56"/>
      <c r="KW149" s="23"/>
      <c r="KX149" s="55">
        <f t="shared" si="1105"/>
        <v>46145</v>
      </c>
      <c r="KY149" s="56"/>
      <c r="KZ149" s="242">
        <f>SUMPRODUCT(PRODUCE!$B156:$DY156,PRODUCE!$EB$41:$IY$41)</f>
        <v>0</v>
      </c>
      <c r="LA149" s="56">
        <v>2460</v>
      </c>
      <c r="LB149" s="242">
        <f t="shared" si="1106"/>
        <v>-2460</v>
      </c>
      <c r="LC149" s="242">
        <f t="shared" si="1107"/>
        <v>3690</v>
      </c>
      <c r="LD149" s="56"/>
      <c r="LG149" s="55">
        <f t="shared" si="1108"/>
        <v>46145</v>
      </c>
      <c r="LH149" s="56"/>
      <c r="LI149" s="242">
        <f>SUMPRODUCT(PRODUCE!$B156:$DY156,PRODUCE!$EB$42:$IY$42)</f>
        <v>0</v>
      </c>
      <c r="LJ149" s="56"/>
      <c r="LK149" s="242">
        <f t="shared" si="1109"/>
        <v>0</v>
      </c>
      <c r="LL149" s="242">
        <f t="shared" si="1110"/>
        <v>4000</v>
      </c>
      <c r="LM149" s="56"/>
      <c r="LP149" s="55">
        <f t="shared" si="1111"/>
        <v>46145</v>
      </c>
      <c r="LQ149" s="56"/>
      <c r="LR149" s="242">
        <f>SUMPRODUCT(PRODUCE!$B164:$DY164,PRODUCE!$EB$43:$IY$43)</f>
        <v>0</v>
      </c>
      <c r="LS149" s="56"/>
      <c r="LT149" s="242">
        <f t="shared" si="1112"/>
        <v>0</v>
      </c>
      <c r="LU149" s="242">
        <f t="shared" si="1113"/>
        <v>0</v>
      </c>
      <c r="LV149" s="56"/>
      <c r="LY149" s="55">
        <f t="shared" si="1114"/>
        <v>46145</v>
      </c>
      <c r="LZ149" s="56"/>
      <c r="MA149" s="242">
        <f>SUMPRODUCT(PRODUCE!$B156:$DY156,PRODUCE!$EB$44:$IY$44)</f>
        <v>0</v>
      </c>
      <c r="MB149" s="56"/>
      <c r="MC149" s="242">
        <f t="shared" si="1115"/>
        <v>0</v>
      </c>
      <c r="MD149" s="242">
        <f t="shared" si="1116"/>
        <v>0</v>
      </c>
      <c r="ME149" s="56"/>
      <c r="MH149" s="55">
        <f t="shared" si="1117"/>
        <v>46145</v>
      </c>
      <c r="MI149" s="56"/>
      <c r="MJ149" s="242">
        <f>SUMPRODUCT(PRODUCE!$B156:$DY156,PRODUCE!$EB$45:$IY$45)</f>
        <v>0</v>
      </c>
      <c r="MK149" s="56"/>
      <c r="ML149" s="242">
        <f t="shared" si="1118"/>
        <v>0</v>
      </c>
      <c r="MM149" s="242">
        <f t="shared" si="1119"/>
        <v>0</v>
      </c>
      <c r="MN149" s="56"/>
      <c r="MQ149" s="55">
        <f t="shared" si="1120"/>
        <v>46145</v>
      </c>
      <c r="MR149" s="56"/>
      <c r="MS149" s="242">
        <f>SUMPRODUCT(PRODUCE!$B156:$DY156,PRODUCE!$EB$46:$IY$46)</f>
        <v>0</v>
      </c>
      <c r="MT149" s="56"/>
      <c r="MU149" s="242">
        <f t="shared" si="1121"/>
        <v>0</v>
      </c>
      <c r="MV149" s="242">
        <f t="shared" si="1122"/>
        <v>3903</v>
      </c>
      <c r="MW149" s="56"/>
      <c r="MZ149" s="55">
        <f t="shared" si="1123"/>
        <v>46145</v>
      </c>
      <c r="NA149" s="56"/>
      <c r="NB149" s="242">
        <f>SUMPRODUCT(PRODUCE!$B156:$DY156,PRODUCE!$EB$47:$IY$47)</f>
        <v>0</v>
      </c>
      <c r="NC149" s="56"/>
      <c r="ND149" s="242">
        <f t="shared" si="1124"/>
        <v>0</v>
      </c>
      <c r="NE149" s="242">
        <f t="shared" si="1125"/>
        <v>0</v>
      </c>
      <c r="NF149" s="56"/>
      <c r="NI149" s="55">
        <f t="shared" si="1126"/>
        <v>46145</v>
      </c>
      <c r="NJ149" s="56"/>
      <c r="NK149" s="242">
        <f>SUMPRODUCT(PRODUCE!$B156:$DY156,PRODUCE!$EB$48:$IY$48)</f>
        <v>0</v>
      </c>
      <c r="NL149" s="56"/>
      <c r="NM149" s="242">
        <f t="shared" si="1127"/>
        <v>0</v>
      </c>
      <c r="NN149" s="242">
        <f t="shared" si="1128"/>
        <v>1137</v>
      </c>
      <c r="NO149" s="56"/>
      <c r="NR149" s="55">
        <f t="shared" si="1129"/>
        <v>46145</v>
      </c>
      <c r="NS149" s="56"/>
      <c r="NT149" s="242">
        <f>SUMPRODUCT(PRODUCE!$B156:$DY156,PRODUCE!$EB$49:$IY$49)</f>
        <v>0</v>
      </c>
      <c r="NU149" s="56"/>
      <c r="NV149" s="242">
        <f t="shared" si="1130"/>
        <v>0</v>
      </c>
      <c r="NW149" s="242">
        <f t="shared" si="1131"/>
        <v>3122.8999999999996</v>
      </c>
      <c r="NX149" s="56"/>
      <c r="OA149" s="55">
        <f t="shared" si="1132"/>
        <v>46145</v>
      </c>
      <c r="OB149" s="56"/>
      <c r="OC149" s="242">
        <f>SUMPRODUCT(PRODUCE!$B156:$DY156,PRODUCE!$EB$50:$IY$50)</f>
        <v>0</v>
      </c>
      <c r="OD149" s="56"/>
      <c r="OE149" s="242">
        <f t="shared" si="1133"/>
        <v>0</v>
      </c>
      <c r="OF149" s="242">
        <f t="shared" si="1134"/>
        <v>1680.5</v>
      </c>
      <c r="OG149" s="56"/>
      <c r="OJ149" s="55">
        <f t="shared" si="1135"/>
        <v>46145</v>
      </c>
      <c r="OK149" s="56"/>
      <c r="OL149" s="242">
        <f>SUMPRODUCT(PRODUCE!$B156:$DY156,PRODUCE!$EB$51:$IY$51)</f>
        <v>0</v>
      </c>
      <c r="OM149" s="56"/>
      <c r="ON149" s="242">
        <f t="shared" si="1136"/>
        <v>0</v>
      </c>
      <c r="OO149" s="242">
        <f t="shared" si="1137"/>
        <v>0</v>
      </c>
      <c r="OP149" s="56"/>
      <c r="OS149" s="55">
        <f t="shared" si="1138"/>
        <v>46145</v>
      </c>
      <c r="OT149" s="56"/>
      <c r="OU149" s="242">
        <f>SUMPRODUCT(PRODUCE!$B156:$DY156,PRODUCE!$EB$52:$IY$52)</f>
        <v>0</v>
      </c>
      <c r="OV149" s="56"/>
      <c r="OW149" s="242">
        <f t="shared" si="1139"/>
        <v>0</v>
      </c>
      <c r="OX149" s="242">
        <f t="shared" si="1140"/>
        <v>982</v>
      </c>
      <c r="OY149" s="56"/>
      <c r="PB149" s="55">
        <f t="shared" si="1141"/>
        <v>46145</v>
      </c>
      <c r="PC149" s="56"/>
      <c r="PD149" s="242">
        <f>SUMPRODUCT(PRODUCE!$B156:$DY156,PRODUCE!$EB$53:$IY$53)</f>
        <v>0</v>
      </c>
      <c r="PE149" s="56"/>
      <c r="PF149" s="242">
        <f t="shared" si="1142"/>
        <v>0</v>
      </c>
      <c r="PG149" s="242">
        <f t="shared" si="1143"/>
        <v>0</v>
      </c>
      <c r="PH149" s="56"/>
      <c r="PK149" s="55">
        <f t="shared" si="1144"/>
        <v>46145</v>
      </c>
      <c r="PL149" s="56"/>
      <c r="PM149" s="242">
        <f>SUMPRODUCT(PRODUCE!$B156:$DY156,PRODUCE!$EB$54:$IY$54)</f>
        <v>0</v>
      </c>
      <c r="PN149" s="56"/>
      <c r="PO149" s="242">
        <f t="shared" si="1145"/>
        <v>0</v>
      </c>
      <c r="PP149" s="242">
        <f t="shared" si="1146"/>
        <v>100</v>
      </c>
      <c r="PQ149" s="56"/>
      <c r="PT149" s="55">
        <f t="shared" si="1147"/>
        <v>46145</v>
      </c>
      <c r="PU149" s="56"/>
      <c r="PV149" s="242">
        <f>SUMPRODUCT(PRODUCE!$B156:$DY156,PRODUCE!$EB$55:$IY$55)</f>
        <v>0</v>
      </c>
      <c r="PW149" s="56"/>
      <c r="PX149" s="242">
        <f t="shared" si="1148"/>
        <v>0</v>
      </c>
      <c r="PY149" s="242">
        <f t="shared" si="1149"/>
        <v>13.960000000000036</v>
      </c>
      <c r="PZ149" s="56"/>
      <c r="QC149" s="55">
        <f t="shared" si="1150"/>
        <v>46145</v>
      </c>
      <c r="QD149" s="56"/>
      <c r="QE149" s="242">
        <f>SUMPRODUCT(PRODUCE!$B156:$DY156,PRODUCE!$EB$56:$IY$56)</f>
        <v>0</v>
      </c>
      <c r="QF149" s="56"/>
      <c r="QG149" s="242">
        <f t="shared" si="1151"/>
        <v>0</v>
      </c>
      <c r="QH149" s="242">
        <f t="shared" si="1152"/>
        <v>596</v>
      </c>
      <c r="QI149" s="56"/>
      <c r="QL149" s="55">
        <f t="shared" si="1153"/>
        <v>46145</v>
      </c>
      <c r="QM149" s="56"/>
      <c r="QN149" s="242">
        <f>SUMPRODUCT(PRODUCE!$B156:$DY156,PRODUCE!$EB$57:$IY$57)</f>
        <v>0</v>
      </c>
      <c r="QO149" s="56"/>
      <c r="QP149" s="242">
        <f t="shared" si="1154"/>
        <v>0</v>
      </c>
      <c r="QQ149" s="242">
        <f t="shared" si="1155"/>
        <v>400</v>
      </c>
      <c r="QR149" s="56"/>
      <c r="QU149" s="55">
        <f t="shared" si="1156"/>
        <v>46145</v>
      </c>
      <c r="QV149" s="56"/>
      <c r="QW149" s="242">
        <f>SUMPRODUCT(PRODUCE!$B156:$DY156,PRODUCE!$EB$58:$IY$58)</f>
        <v>0</v>
      </c>
      <c r="QX149" s="56"/>
      <c r="QY149" s="242">
        <f t="shared" si="1157"/>
        <v>0</v>
      </c>
      <c r="QZ149" s="242">
        <f t="shared" si="1158"/>
        <v>207.6</v>
      </c>
      <c r="RA149" s="56"/>
      <c r="RD149" s="55">
        <f t="shared" si="1159"/>
        <v>46145</v>
      </c>
      <c r="RE149" s="56"/>
      <c r="RF149" s="242">
        <f>SUMPRODUCT(PRODUCE!$B156:$DY156,PRODUCE!$EB$59:$IY$59)</f>
        <v>0</v>
      </c>
      <c r="RG149" s="56"/>
      <c r="RH149" s="242">
        <f t="shared" si="1160"/>
        <v>0</v>
      </c>
      <c r="RI149" s="242">
        <f t="shared" si="1161"/>
        <v>147.04000000000002</v>
      </c>
      <c r="RJ149" s="56"/>
      <c r="RM149" s="55">
        <f t="shared" si="1162"/>
        <v>46145</v>
      </c>
      <c r="RN149" s="56"/>
      <c r="RO149" s="242">
        <f>SUMPRODUCT(PRODUCE!$B156:$DY156,PRODUCE!$EB$60:$IY$60)</f>
        <v>0</v>
      </c>
      <c r="RP149" s="56"/>
      <c r="RQ149" s="242">
        <f t="shared" si="1163"/>
        <v>0</v>
      </c>
      <c r="RR149" s="242">
        <f t="shared" si="1164"/>
        <v>46.8</v>
      </c>
      <c r="RS149" s="56"/>
      <c r="RV149" s="55">
        <f t="shared" si="1165"/>
        <v>46145</v>
      </c>
      <c r="RW149" s="56"/>
      <c r="RX149" s="242">
        <f>SUMPRODUCT(PRODUCE!$B156:$DY156,PRODUCE!$EB$61:$IY$61)</f>
        <v>0</v>
      </c>
      <c r="RY149" s="56"/>
      <c r="RZ149" s="242">
        <f t="shared" si="1166"/>
        <v>0</v>
      </c>
      <c r="SA149" s="242">
        <f t="shared" si="1167"/>
        <v>0</v>
      </c>
      <c r="SB149" s="56"/>
      <c r="SE149" s="55">
        <f t="shared" si="1168"/>
        <v>46145</v>
      </c>
      <c r="SF149" s="56"/>
      <c r="SG149" s="242">
        <f>SUMPRODUCT(PRODUCE!$B156:$DY156,PRODUCE!$EB$62:$IY$62)</f>
        <v>0</v>
      </c>
      <c r="SH149" s="56"/>
      <c r="SI149" s="242">
        <f t="shared" si="1169"/>
        <v>0</v>
      </c>
      <c r="SJ149" s="242">
        <f t="shared" si="1170"/>
        <v>24.200000000000003</v>
      </c>
      <c r="SK149" s="56"/>
      <c r="SN149" s="55">
        <f t="shared" si="1171"/>
        <v>46145</v>
      </c>
      <c r="SO149" s="56"/>
      <c r="SP149" s="242">
        <f>SUMPRODUCT(PRODUCE!$B156:$DY156,PRODUCE!$EB$63:$IY$63)</f>
        <v>0</v>
      </c>
      <c r="SQ149" s="56"/>
      <c r="SR149" s="242">
        <f t="shared" si="1172"/>
        <v>0</v>
      </c>
      <c r="SS149" s="242">
        <f t="shared" si="1173"/>
        <v>32</v>
      </c>
      <c r="ST149" s="56"/>
      <c r="SW149" s="55">
        <f t="shared" si="1174"/>
        <v>46145</v>
      </c>
      <c r="SX149" s="56"/>
      <c r="SY149" s="242">
        <f>SUMPRODUCT(PRODUCE!$B156:$DY156,PRODUCE!$EB$64:$IY$64)</f>
        <v>0</v>
      </c>
      <c r="SZ149" s="56"/>
      <c r="TA149" s="242">
        <f t="shared" si="1175"/>
        <v>0</v>
      </c>
      <c r="TB149" s="242">
        <f t="shared" si="1176"/>
        <v>0</v>
      </c>
      <c r="TC149" s="56"/>
      <c r="TF149" s="55">
        <f t="shared" si="1177"/>
        <v>46145</v>
      </c>
      <c r="TG149" s="56"/>
      <c r="TH149" s="242">
        <f>SUMPRODUCT(PRODUCE!$B156:$DY156,PRODUCE!$EB$65:$IY$65)</f>
        <v>0</v>
      </c>
      <c r="TI149" s="56"/>
      <c r="TJ149" s="242">
        <f t="shared" si="1178"/>
        <v>0</v>
      </c>
      <c r="TK149" s="242">
        <f t="shared" si="1179"/>
        <v>0</v>
      </c>
      <c r="TL149" s="56"/>
      <c r="TO149" s="55">
        <f t="shared" si="1180"/>
        <v>46145</v>
      </c>
      <c r="TP149" s="56"/>
      <c r="TQ149" s="242">
        <f>SUMPRODUCT(PRODUCE!$B156:$DY156,PRODUCE!$EB$66:$IY$66)</f>
        <v>0</v>
      </c>
      <c r="TR149" s="56"/>
      <c r="TS149" s="242">
        <f t="shared" si="1181"/>
        <v>0</v>
      </c>
      <c r="TT149" s="242">
        <f t="shared" si="1182"/>
        <v>0</v>
      </c>
      <c r="TU149" s="56"/>
      <c r="TX149" s="55">
        <f t="shared" si="1183"/>
        <v>46145</v>
      </c>
      <c r="TY149" s="56"/>
      <c r="TZ149" s="242">
        <f>SUMPRODUCT(PRODUCE!$B156:$DY156,PRODUCE!$EB$67:$IY$67)</f>
        <v>0</v>
      </c>
      <c r="UA149" s="56"/>
      <c r="UB149" s="242">
        <f t="shared" si="1184"/>
        <v>0</v>
      </c>
      <c r="UC149" s="242">
        <f t="shared" si="1185"/>
        <v>0</v>
      </c>
      <c r="UD149" s="56"/>
      <c r="UG149" s="55">
        <f t="shared" si="1186"/>
        <v>46145</v>
      </c>
      <c r="UH149" s="56"/>
      <c r="UI149" s="242">
        <f>SUMPRODUCT(PRODUCE!$B156:$DY156,PRODUCE!$EB$68:$IY$68)</f>
        <v>0</v>
      </c>
      <c r="UJ149" s="56"/>
      <c r="UK149" s="242">
        <f t="shared" si="1187"/>
        <v>0</v>
      </c>
      <c r="UL149" s="242">
        <f t="shared" si="1188"/>
        <v>0</v>
      </c>
      <c r="UM149" s="56"/>
      <c r="UP149" s="55">
        <f t="shared" si="1189"/>
        <v>46145</v>
      </c>
      <c r="UQ149" s="56"/>
      <c r="UR149" s="242">
        <f>SUMPRODUCT(PRODUCE!$B156:$DY156,PRODUCE!$EB$69:$IY$69)</f>
        <v>0</v>
      </c>
      <c r="US149" s="56"/>
      <c r="UT149" s="242">
        <f t="shared" si="1190"/>
        <v>0</v>
      </c>
      <c r="UU149" s="242">
        <f t="shared" si="1191"/>
        <v>0</v>
      </c>
      <c r="UV149" s="56"/>
      <c r="UY149" s="55">
        <f t="shared" si="1192"/>
        <v>46145</v>
      </c>
      <c r="UZ149" s="56"/>
      <c r="VA149" s="242">
        <f>SUMPRODUCT(PRODUCE!$B156:$DY156,PRODUCE!$EB$70:$IY$70)</f>
        <v>0</v>
      </c>
      <c r="VB149" s="56"/>
      <c r="VC149" s="242">
        <f t="shared" si="1193"/>
        <v>0</v>
      </c>
      <c r="VD149" s="242">
        <f t="shared" si="1194"/>
        <v>41.600000000000023</v>
      </c>
      <c r="VE149" s="56"/>
      <c r="VH149" s="55">
        <f t="shared" si="1195"/>
        <v>46145</v>
      </c>
      <c r="VI149" s="56"/>
      <c r="VJ149" s="242">
        <f>SUMPRODUCT(PRODUCE!$B156:$DY156,PRODUCE!$EB$71:$IY$71)</f>
        <v>0</v>
      </c>
      <c r="VK149" s="56"/>
      <c r="VL149" s="242">
        <f t="shared" si="1196"/>
        <v>0</v>
      </c>
      <c r="VM149" s="242">
        <f t="shared" si="1197"/>
        <v>0</v>
      </c>
      <c r="VN149" s="56"/>
      <c r="VQ149" s="55">
        <f t="shared" si="1198"/>
        <v>46145</v>
      </c>
      <c r="VR149" s="56"/>
      <c r="VS149" s="242">
        <f>SUMPRODUCT(PRODUCE!$B156:$DY156,PRODUCE!$EB$57:$IY$57)</f>
        <v>0</v>
      </c>
      <c r="VT149" s="56"/>
      <c r="VU149" s="242">
        <f t="shared" si="1199"/>
        <v>0</v>
      </c>
      <c r="VV149" s="242">
        <f t="shared" si="1200"/>
        <v>0</v>
      </c>
      <c r="VW149" s="56"/>
      <c r="VZ149" s="55">
        <f t="shared" si="1201"/>
        <v>46145</v>
      </c>
      <c r="WA149" s="56"/>
      <c r="WB149" s="242">
        <f>SUMPRODUCT(PRODUCE!$B156:$DY156,PRODUCE!$EB$57:$IY$57)</f>
        <v>0</v>
      </c>
      <c r="WC149" s="56"/>
      <c r="WD149" s="242">
        <f t="shared" si="1202"/>
        <v>0</v>
      </c>
      <c r="WE149" s="242">
        <f t="shared" si="1203"/>
        <v>0</v>
      </c>
      <c r="WF149" s="56"/>
      <c r="WI149" s="55">
        <f t="shared" si="1204"/>
        <v>46145</v>
      </c>
      <c r="WJ149" s="422"/>
      <c r="WK149" s="540">
        <f>SUMPRODUCT(PRODUCE!$B156:$DY156,PRODUCE!$EB$74:$IY$74)</f>
        <v>0</v>
      </c>
      <c r="WL149" s="422"/>
      <c r="WM149" s="540">
        <f t="shared" si="1205"/>
        <v>0</v>
      </c>
      <c r="WN149" s="540">
        <f t="shared" si="1206"/>
        <v>2317</v>
      </c>
      <c r="WO149" s="56"/>
      <c r="WR149" s="55">
        <f t="shared" si="1207"/>
        <v>46145</v>
      </c>
      <c r="WS149" s="422"/>
      <c r="WT149" s="540">
        <f>SUMPRODUCT(PRODUCE!$B156:$DY156,PRODUCE!$EB$75:$IY$75)</f>
        <v>0</v>
      </c>
      <c r="WU149" s="422"/>
      <c r="WV149" s="540">
        <f t="shared" si="1208"/>
        <v>0</v>
      </c>
      <c r="WW149" s="540">
        <f t="shared" si="1209"/>
        <v>776</v>
      </c>
      <c r="WX149" s="56"/>
      <c r="XA149" s="55">
        <f t="shared" si="1210"/>
        <v>46145</v>
      </c>
      <c r="XB149" s="422"/>
      <c r="XC149" s="540">
        <f>SUMPRODUCT(PRODUCE!$B156:$DY156,PRODUCE!$EB$76:$IY$76)</f>
        <v>0</v>
      </c>
      <c r="XD149" s="422"/>
      <c r="XE149" s="540">
        <f t="shared" si="1211"/>
        <v>0</v>
      </c>
      <c r="XF149" s="540">
        <f t="shared" si="1212"/>
        <v>13455</v>
      </c>
      <c r="XG149" s="56"/>
      <c r="XJ149" s="55">
        <f t="shared" si="1213"/>
        <v>46145</v>
      </c>
      <c r="XK149" s="422"/>
      <c r="XL149" s="540">
        <f>SUMPRODUCT(PRODUCE!$B156:$DY156,PRODUCE!$EB$77:$IY$77)</f>
        <v>0</v>
      </c>
      <c r="XM149" s="422"/>
      <c r="XN149" s="540">
        <f t="shared" si="1214"/>
        <v>0</v>
      </c>
      <c r="XO149" s="540">
        <f t="shared" si="1215"/>
        <v>1481</v>
      </c>
      <c r="XP149" s="56"/>
      <c r="XS149" s="55">
        <f t="shared" si="1216"/>
        <v>46145</v>
      </c>
      <c r="XT149" s="56"/>
      <c r="XU149" s="242">
        <f>SUMPRODUCT(PRODUCE!$B156:$DY156,PRODUCE!$EB$78:$IY$78)</f>
        <v>0</v>
      </c>
      <c r="XV149" s="56"/>
      <c r="XW149" s="242">
        <f t="shared" si="1217"/>
        <v>0</v>
      </c>
      <c r="XX149" s="242">
        <f t="shared" si="1218"/>
        <v>1901</v>
      </c>
      <c r="XY149" s="56"/>
      <c r="YB149" s="55">
        <f t="shared" si="1219"/>
        <v>46145</v>
      </c>
      <c r="YC149" s="56"/>
      <c r="YD149" s="242">
        <f>SUMPRODUCT(PRODUCE!$B156:$DY156,PRODUCE!$EB$79:$IY$79)</f>
        <v>0</v>
      </c>
      <c r="YE149" s="56"/>
      <c r="YF149" s="242">
        <f t="shared" si="1220"/>
        <v>0</v>
      </c>
      <c r="YG149" s="242">
        <f t="shared" si="1221"/>
        <v>6459</v>
      </c>
      <c r="YH149" s="56"/>
      <c r="YK149" s="55">
        <f t="shared" si="1222"/>
        <v>46145</v>
      </c>
      <c r="YL149" s="56"/>
      <c r="YM149" s="242">
        <f>SUMPRODUCT(PRODUCE!$B156:$DY156,PRODUCE!$EB$80:$IY$80)</f>
        <v>0</v>
      </c>
      <c r="YN149" s="56"/>
      <c r="YO149" s="242">
        <f t="shared" si="1223"/>
        <v>0</v>
      </c>
      <c r="YP149" s="242">
        <f t="shared" si="1224"/>
        <v>0</v>
      </c>
      <c r="YQ149" s="56"/>
      <c r="YT149" s="55">
        <f t="shared" si="1225"/>
        <v>46145</v>
      </c>
      <c r="YU149" s="56"/>
      <c r="YV149" s="242">
        <f>SUMPRODUCT(PRODUCE!$B156:$DY156,PRODUCE!$EB$57:$IY$57)</f>
        <v>0</v>
      </c>
      <c r="YW149" s="56"/>
      <c r="YX149" s="242">
        <f t="shared" si="1226"/>
        <v>0</v>
      </c>
      <c r="YY149" s="242">
        <f t="shared" si="1227"/>
        <v>0</v>
      </c>
      <c r="YZ149" s="56"/>
      <c r="ZC149" s="55">
        <f t="shared" si="1228"/>
        <v>46145</v>
      </c>
      <c r="ZD149" s="56"/>
      <c r="ZE149" s="242">
        <f>SUMPRODUCT(PRODUCE!$B156:$DY156,PRODUCE!$EB$57:$IY$57)</f>
        <v>0</v>
      </c>
      <c r="ZF149" s="56"/>
      <c r="ZG149" s="242">
        <f t="shared" si="1229"/>
        <v>0</v>
      </c>
      <c r="ZH149" s="242">
        <f t="shared" si="1230"/>
        <v>0</v>
      </c>
      <c r="ZI149" s="56"/>
      <c r="ZL149" s="55">
        <f t="shared" si="1231"/>
        <v>46145</v>
      </c>
      <c r="ZM149" s="56"/>
      <c r="ZN149" s="242">
        <f>SUMPRODUCT(PRODUCE!$B156:$DY156,PRODUCE!$EB$57:$IY$57)</f>
        <v>0</v>
      </c>
      <c r="ZO149" s="56"/>
      <c r="ZP149" s="242">
        <f t="shared" si="1232"/>
        <v>0</v>
      </c>
      <c r="ZQ149" s="242">
        <f t="shared" si="1233"/>
        <v>0</v>
      </c>
      <c r="ZR149" s="56"/>
      <c r="ZU149" s="55">
        <f t="shared" si="1234"/>
        <v>46145</v>
      </c>
      <c r="ZV149" s="56"/>
      <c r="ZW149" s="242">
        <f>SUMPRODUCT(PRODUCE!$B156:$DY156,PRODUCE!$EB$57:$IY$57)</f>
        <v>0</v>
      </c>
      <c r="ZX149" s="56"/>
      <c r="ZY149" s="242">
        <f t="shared" si="1235"/>
        <v>0</v>
      </c>
      <c r="ZZ149" s="242">
        <f t="shared" si="1236"/>
        <v>0</v>
      </c>
      <c r="AAA149" s="56"/>
      <c r="AAD149" s="55">
        <f t="shared" si="1237"/>
        <v>46145</v>
      </c>
      <c r="AAE149" s="56"/>
      <c r="AAF149" s="242">
        <f>SUMPRODUCT(PRODUCE!$B156:$DY156,PRODUCE!$EB$57:$IY$57)</f>
        <v>0</v>
      </c>
      <c r="AAG149" s="56"/>
      <c r="AAH149" s="242">
        <f t="shared" si="1238"/>
        <v>0</v>
      </c>
      <c r="AAI149" s="242">
        <f t="shared" si="1239"/>
        <v>0</v>
      </c>
      <c r="AAJ149" s="56"/>
      <c r="AAM149" s="55">
        <f t="shared" si="1240"/>
        <v>46145</v>
      </c>
      <c r="AAN149" s="56"/>
      <c r="AAO149" s="242">
        <f>SUMPRODUCT(PRODUCE!$B156:$DY156,PRODUCE!$EB$57:$IY$57)</f>
        <v>0</v>
      </c>
      <c r="AAP149" s="56"/>
      <c r="AAQ149" s="242">
        <f t="shared" si="1241"/>
        <v>0</v>
      </c>
      <c r="AAR149" s="242">
        <f t="shared" si="1242"/>
        <v>0</v>
      </c>
      <c r="AAS149" s="56"/>
      <c r="AAV149" s="55">
        <f t="shared" si="1243"/>
        <v>46145</v>
      </c>
      <c r="AAW149" s="56"/>
      <c r="AAX149" s="242">
        <f>SUMPRODUCT(PRODUCE!$B156:$DY156,PRODUCE!$EB$57:$IY$57)</f>
        <v>0</v>
      </c>
      <c r="AAY149" s="56"/>
      <c r="AAZ149" s="242">
        <f t="shared" si="1244"/>
        <v>0</v>
      </c>
      <c r="ABA149" s="242">
        <f t="shared" si="1245"/>
        <v>0</v>
      </c>
      <c r="ABB149" s="56"/>
      <c r="ABE149" s="55">
        <f t="shared" si="1246"/>
        <v>46145</v>
      </c>
      <c r="ABF149" s="56"/>
      <c r="ABG149" s="242">
        <f>SUMPRODUCT(PRODUCE!$B156:$DY156,PRODUCE!$EB$57:$IY$57)</f>
        <v>0</v>
      </c>
      <c r="ABH149" s="56"/>
      <c r="ABI149" s="242">
        <f t="shared" si="1247"/>
        <v>0</v>
      </c>
      <c r="ABJ149" s="242">
        <f t="shared" si="1248"/>
        <v>0</v>
      </c>
      <c r="ABK149" s="56"/>
    </row>
    <row r="150" spans="2:739" s="54" customFormat="1" ht="15" customHeight="1" outlineLevel="1">
      <c r="B150" s="478">
        <f>50+50</f>
        <v>100</v>
      </c>
      <c r="C150" s="55">
        <v>46146</v>
      </c>
      <c r="D150" s="422">
        <v>79550</v>
      </c>
      <c r="E150" s="423">
        <f>SUMPRODUCT(PRODUCE!$B157:$DY157,PRODUCE!$EB$7:$IY$7)</f>
        <v>58155</v>
      </c>
      <c r="F150" s="422">
        <f>26778.8+31380</f>
        <v>58158.8</v>
      </c>
      <c r="G150" s="423">
        <f t="shared" si="1004"/>
        <v>-3.8000000000029104</v>
      </c>
      <c r="H150" s="423">
        <f t="shared" si="1005"/>
        <v>180177.60000000003</v>
      </c>
      <c r="I150" s="289" t="s">
        <v>259</v>
      </c>
      <c r="L150" s="55">
        <f t="shared" si="1006"/>
        <v>46146</v>
      </c>
      <c r="M150" s="422">
        <v>29000</v>
      </c>
      <c r="N150" s="438">
        <f>SUMPRODUCT(PRODUCE!$B157:$DY157,PRODUCE!$EB$8:$IY$8)</f>
        <v>15400</v>
      </c>
      <c r="O150" s="422">
        <v>15405.4</v>
      </c>
      <c r="P150" s="438">
        <f t="shared" si="1007"/>
        <v>-5.3999999999996362</v>
      </c>
      <c r="Q150" s="438">
        <f t="shared" si="1008"/>
        <v>51504.200000000092</v>
      </c>
      <c r="R150" s="56"/>
      <c r="U150" s="55">
        <f t="shared" si="1009"/>
        <v>46146</v>
      </c>
      <c r="V150" s="422"/>
      <c r="W150" s="440">
        <f>SUMPRODUCT(PRODUCE!$B157:$DY157,PRODUCE!$EB$9:$IY$9)</f>
        <v>8250</v>
      </c>
      <c r="X150" s="422">
        <v>8249.9</v>
      </c>
      <c r="Y150" s="440">
        <f t="shared" si="1010"/>
        <v>0.1000000000003638</v>
      </c>
      <c r="Z150" s="440">
        <f t="shared" si="1011"/>
        <v>18765.799999999974</v>
      </c>
      <c r="AA150" s="56"/>
      <c r="AD150" s="55">
        <f t="shared" si="1012"/>
        <v>46146</v>
      </c>
      <c r="AE150" s="422"/>
      <c r="AF150" s="442">
        <f>SUMPRODUCT(PRODUCE!$B157:$DY157,PRODUCE!$EB$10:$IY$10)</f>
        <v>4100</v>
      </c>
      <c r="AG150" s="422">
        <v>4102.8999999999996</v>
      </c>
      <c r="AH150" s="442">
        <f t="shared" si="1013"/>
        <v>-2.8999999999996362</v>
      </c>
      <c r="AI150" s="442">
        <f t="shared" si="1014"/>
        <v>4928.4000000000178</v>
      </c>
      <c r="AJ150" s="56"/>
      <c r="AM150" s="55">
        <f t="shared" si="1015"/>
        <v>46146</v>
      </c>
      <c r="AN150" s="422"/>
      <c r="AO150" s="444">
        <f>SUMPRODUCT(PRODUCE!$B157:$DY157,PRODUCE!$EB$11:$IY$11)</f>
        <v>0</v>
      </c>
      <c r="AP150" s="422"/>
      <c r="AQ150" s="444">
        <f t="shared" si="1016"/>
        <v>0</v>
      </c>
      <c r="AR150" s="444">
        <f t="shared" si="1017"/>
        <v>0</v>
      </c>
      <c r="AS150" s="56"/>
      <c r="AV150" s="55">
        <f t="shared" si="1018"/>
        <v>46146</v>
      </c>
      <c r="AW150" s="422"/>
      <c r="AX150" s="446">
        <f>SUMPRODUCT(PRODUCE!$B157:$DY157,PRODUCE!$EB$12:$IY$12)</f>
        <v>775</v>
      </c>
      <c r="AY150" s="422">
        <v>776.3</v>
      </c>
      <c r="AZ150" s="446">
        <f t="shared" si="1019"/>
        <v>-1.2999999999999545</v>
      </c>
      <c r="BA150" s="446">
        <f t="shared" si="1020"/>
        <v>36610.899999999994</v>
      </c>
      <c r="BB150" s="56"/>
      <c r="BE150" s="55">
        <f t="shared" si="1021"/>
        <v>46146</v>
      </c>
      <c r="BF150" s="422"/>
      <c r="BG150" s="448">
        <f>SUMPRODUCT(PRODUCE!$B157:$DY157,PRODUCE!$EB$13:$IY$13)</f>
        <v>3500</v>
      </c>
      <c r="BH150" s="422">
        <v>3500.1</v>
      </c>
      <c r="BI150" s="448">
        <f t="shared" si="1022"/>
        <v>-9.9999999999909051E-2</v>
      </c>
      <c r="BJ150" s="448">
        <f t="shared" si="1023"/>
        <v>24475.799999999988</v>
      </c>
      <c r="BK150" s="56"/>
      <c r="BN150" s="55">
        <f t="shared" si="1024"/>
        <v>46146</v>
      </c>
      <c r="BO150" s="422">
        <v>2225.1</v>
      </c>
      <c r="BP150" s="450">
        <f>SUMPRODUCT(PRODUCE!$B157:$DY157,PRODUCE!$EB$14:$IY$14)</f>
        <v>2225</v>
      </c>
      <c r="BQ150" s="422">
        <v>2225.1</v>
      </c>
      <c r="BR150" s="450">
        <f t="shared" si="1025"/>
        <v>-9.9999999999909051E-2</v>
      </c>
      <c r="BS150" s="450">
        <f t="shared" si="1026"/>
        <v>0</v>
      </c>
      <c r="BT150" s="56"/>
      <c r="BW150" s="55">
        <f t="shared" si="1027"/>
        <v>46146</v>
      </c>
      <c r="BX150" s="422"/>
      <c r="BY150" s="523">
        <f>SUMPRODUCT(PRODUCE!$B157:$DY157,PRODUCE!$EB$15:$IY$15)</f>
        <v>275.00000000000006</v>
      </c>
      <c r="BZ150" s="422"/>
      <c r="CA150" s="523">
        <f t="shared" si="1028"/>
        <v>275.00000000000006</v>
      </c>
      <c r="CB150" s="523">
        <f t="shared" si="1029"/>
        <v>5848.7999999999993</v>
      </c>
      <c r="CC150" s="56"/>
      <c r="CF150" s="55">
        <f t="shared" si="1030"/>
        <v>46146</v>
      </c>
      <c r="CG150" s="422"/>
      <c r="CH150" s="524">
        <f>SUMPRODUCT(PRODUCE!$B157:$DY157,PRODUCE!$EB$16:$IY$16)</f>
        <v>450.00000000000011</v>
      </c>
      <c r="CI150" s="422"/>
      <c r="CJ150" s="524">
        <f t="shared" si="1031"/>
        <v>450.00000000000011</v>
      </c>
      <c r="CK150" s="524">
        <f t="shared" si="1032"/>
        <v>0</v>
      </c>
      <c r="CL150" s="56"/>
      <c r="CO150" s="55">
        <f t="shared" si="1033"/>
        <v>46146</v>
      </c>
      <c r="CP150" s="422"/>
      <c r="CQ150" s="470">
        <f>SUMPRODUCT(PRODUCE!$B157:$DY157,PRODUCE!$EB$17:$IY$17)</f>
        <v>0</v>
      </c>
      <c r="CR150" s="422"/>
      <c r="CS150" s="470">
        <f t="shared" si="1034"/>
        <v>0</v>
      </c>
      <c r="CT150" s="470">
        <f t="shared" si="1035"/>
        <v>0</v>
      </c>
      <c r="CU150" s="56"/>
      <c r="CX150" s="55">
        <f t="shared" si="1036"/>
        <v>46146</v>
      </c>
      <c r="CY150" s="422"/>
      <c r="CZ150" s="525">
        <f>SUMPRODUCT(PRODUCE!$B157:$DY157,PRODUCE!$EB$18:$IY$18)</f>
        <v>2500</v>
      </c>
      <c r="DA150" s="422">
        <v>2501.3000000000002</v>
      </c>
      <c r="DB150" s="525">
        <f t="shared" si="1037"/>
        <v>-1.3000000000001819</v>
      </c>
      <c r="DC150" s="525">
        <f t="shared" si="1038"/>
        <v>21657.000000000004</v>
      </c>
      <c r="DD150" s="56"/>
      <c r="DG150" s="55">
        <f t="shared" si="1039"/>
        <v>46146</v>
      </c>
      <c r="DH150" s="422"/>
      <c r="DI150" s="526">
        <f>SUMPRODUCT(PRODUCE!$B157:$DY157,PRODUCE!$EB$19:$IY$19)</f>
        <v>2000</v>
      </c>
      <c r="DJ150" s="422">
        <v>2001.1</v>
      </c>
      <c r="DK150" s="526">
        <f t="shared" si="1040"/>
        <v>-1.0999999999999091</v>
      </c>
      <c r="DL150" s="526">
        <f t="shared" si="1041"/>
        <v>40938.499999999985</v>
      </c>
      <c r="DM150" s="56"/>
      <c r="DP150" s="55">
        <f t="shared" si="1042"/>
        <v>46146</v>
      </c>
      <c r="DQ150" s="422"/>
      <c r="DR150" s="423">
        <f>SUMPRODUCT(PRODUCE!$B157:$DY157,PRODUCE!$EB$20:$IY$20)</f>
        <v>0</v>
      </c>
      <c r="DS150" s="422"/>
      <c r="DT150" s="423">
        <f t="shared" si="1043"/>
        <v>0</v>
      </c>
      <c r="DU150" s="423">
        <f t="shared" si="1044"/>
        <v>5800</v>
      </c>
      <c r="DV150" s="56"/>
      <c r="DY150" s="55">
        <f t="shared" si="1045"/>
        <v>46146</v>
      </c>
      <c r="DZ150" s="56"/>
      <c r="EA150" s="157">
        <f>SUMPRODUCT(PRODUCE!$B157:$DY157,PRODUCE!$EB$21:$IY$21)</f>
        <v>0</v>
      </c>
      <c r="EB150" s="56"/>
      <c r="EC150" s="157">
        <f t="shared" si="1046"/>
        <v>0</v>
      </c>
      <c r="ED150" s="157">
        <f t="shared" si="1047"/>
        <v>0</v>
      </c>
      <c r="EE150" s="56"/>
      <c r="EH150" s="55">
        <f t="shared" si="1048"/>
        <v>46146</v>
      </c>
      <c r="EI150" s="56"/>
      <c r="EJ150" s="162">
        <f>SUMPRODUCT(PRODUCE!$B157:$DY157,PRODUCE!$EB$22:$IY$22)</f>
        <v>0</v>
      </c>
      <c r="EK150" s="56"/>
      <c r="EL150" s="162">
        <f t="shared" si="1049"/>
        <v>0</v>
      </c>
      <c r="EM150" s="162">
        <f t="shared" si="1050"/>
        <v>0</v>
      </c>
      <c r="EN150" s="56"/>
      <c r="EQ150" s="55">
        <f t="shared" si="1051"/>
        <v>46146</v>
      </c>
      <c r="ER150" s="56"/>
      <c r="ES150" s="135">
        <f>SUMPRODUCT(PRODUCE!$B157:$DY157,PRODUCE!$EB$23:$IY$23)</f>
        <v>0</v>
      </c>
      <c r="ET150" s="56"/>
      <c r="EU150" s="135">
        <f t="shared" si="1052"/>
        <v>0</v>
      </c>
      <c r="EV150" s="135">
        <f t="shared" si="1053"/>
        <v>0</v>
      </c>
      <c r="EW150" s="56"/>
      <c r="EZ150" s="55">
        <f t="shared" si="1054"/>
        <v>46146</v>
      </c>
      <c r="FA150" s="56"/>
      <c r="FB150" s="175">
        <f>SUMPRODUCT(PRODUCE!$B157:$DY157,PRODUCE!$EB$24:$IY$24)</f>
        <v>0</v>
      </c>
      <c r="FC150" s="56"/>
      <c r="FD150" s="175">
        <f t="shared" si="1055"/>
        <v>0</v>
      </c>
      <c r="FE150" s="175">
        <f t="shared" si="1056"/>
        <v>0</v>
      </c>
      <c r="FF150" s="56"/>
      <c r="FI150" s="55">
        <f t="shared" si="1057"/>
        <v>46146</v>
      </c>
      <c r="FJ150" s="56"/>
      <c r="FK150" s="183">
        <f>SUMPRODUCT(PRODUCE!$B157:$DY157,PRODUCE!$EB$25:$IY$25)</f>
        <v>0</v>
      </c>
      <c r="FL150" s="56"/>
      <c r="FM150" s="183">
        <f t="shared" si="1058"/>
        <v>0</v>
      </c>
      <c r="FN150" s="183">
        <f t="shared" si="1059"/>
        <v>0</v>
      </c>
      <c r="FO150" s="56"/>
      <c r="FR150" s="55">
        <f t="shared" si="1060"/>
        <v>46146</v>
      </c>
      <c r="FS150" s="56"/>
      <c r="FT150" s="186">
        <f>SUMPRODUCT(PRODUCE!$B157:$DY157,PRODUCE!$EB$26:$IY$26)</f>
        <v>0</v>
      </c>
      <c r="FU150" s="56"/>
      <c r="FV150" s="186">
        <f t="shared" si="1061"/>
        <v>0</v>
      </c>
      <c r="FW150" s="186">
        <f t="shared" si="1062"/>
        <v>2120</v>
      </c>
      <c r="FX150" s="56"/>
      <c r="GA150" s="55">
        <f t="shared" si="1063"/>
        <v>46146</v>
      </c>
      <c r="GB150" s="56"/>
      <c r="GC150" s="137">
        <f>SUMPRODUCT(PRODUCE!$B157:$DY157,PRODUCE!$EB$27:$IY$27)</f>
        <v>0</v>
      </c>
      <c r="GD150" s="56"/>
      <c r="GE150" s="137">
        <f t="shared" si="1064"/>
        <v>0</v>
      </c>
      <c r="GF150" s="137">
        <f t="shared" si="1065"/>
        <v>3640</v>
      </c>
      <c r="GG150" s="56"/>
      <c r="GI150" s="23"/>
      <c r="GJ150" s="55">
        <f t="shared" si="1066"/>
        <v>46146</v>
      </c>
      <c r="GK150" s="56"/>
      <c r="GL150" s="199">
        <f>SUMPRODUCT(PRODUCE!$B157:$DY157,PRODUCE!$EB$28:$IY$28)</f>
        <v>1000</v>
      </c>
      <c r="GM150" s="56"/>
      <c r="GN150" s="199">
        <f t="shared" si="1067"/>
        <v>1000</v>
      </c>
      <c r="GO150" s="199">
        <f t="shared" si="1068"/>
        <v>2080</v>
      </c>
      <c r="GP150" s="56"/>
      <c r="GS150" s="55">
        <f t="shared" si="1069"/>
        <v>46146</v>
      </c>
      <c r="GT150" s="56"/>
      <c r="GU150" s="195">
        <f>SUMPRODUCT(PRODUCE!$B157:$DY157,PRODUCE!$EB$29:$IY$29)</f>
        <v>0</v>
      </c>
      <c r="GV150" s="56"/>
      <c r="GW150" s="195">
        <f t="shared" si="1070"/>
        <v>0</v>
      </c>
      <c r="GX150" s="195">
        <f t="shared" si="1071"/>
        <v>0</v>
      </c>
      <c r="GY150" s="56"/>
      <c r="HB150" s="55">
        <f t="shared" si="1072"/>
        <v>46146</v>
      </c>
      <c r="HC150" s="56"/>
      <c r="HD150" s="191">
        <f>SUMPRODUCT(PRODUCE!$B157:$DY157,PRODUCE!$EB$30:$IY$30)</f>
        <v>0</v>
      </c>
      <c r="HE150" s="56"/>
      <c r="HF150" s="191">
        <f t="shared" si="1073"/>
        <v>0</v>
      </c>
      <c r="HG150" s="191">
        <f t="shared" si="1074"/>
        <v>0</v>
      </c>
      <c r="HH150" s="56"/>
      <c r="HK150" s="55">
        <f t="shared" si="1075"/>
        <v>46146</v>
      </c>
      <c r="HL150" s="56"/>
      <c r="HM150" s="63">
        <f>SUMPRODUCT(PRODUCE!$B157:$DY157,PRODUCE!$EB$31:$IY$31)</f>
        <v>0</v>
      </c>
      <c r="HN150" s="56"/>
      <c r="HO150" s="63">
        <f t="shared" si="1076"/>
        <v>0</v>
      </c>
      <c r="HP150" s="63">
        <f t="shared" si="1077"/>
        <v>0</v>
      </c>
      <c r="HQ150" s="56"/>
      <c r="HU150" s="55">
        <f t="shared" si="1078"/>
        <v>46146</v>
      </c>
      <c r="HV150" s="56"/>
      <c r="HW150" s="242">
        <f>SUMPRODUCT(PRODUCE!$B157:$DY157,PRODUCE!$EB$32:$IY$32)</f>
        <v>0</v>
      </c>
      <c r="HX150" s="56"/>
      <c r="HY150" s="242">
        <f t="shared" si="1079"/>
        <v>0</v>
      </c>
      <c r="HZ150" s="242">
        <f t="shared" si="1080"/>
        <v>6360</v>
      </c>
      <c r="IA150" s="56"/>
      <c r="ID150" s="55">
        <f t="shared" si="1081"/>
        <v>46146</v>
      </c>
      <c r="IE150" s="56"/>
      <c r="IF150" s="242">
        <f>SUMPRODUCT(PRODUCE!$B157:$DY157,PRODUCE!$EB$33:$IY$33)</f>
        <v>0</v>
      </c>
      <c r="IG150" s="56"/>
      <c r="IH150" s="242">
        <f t="shared" si="1082"/>
        <v>0</v>
      </c>
      <c r="II150" s="242">
        <f t="shared" si="1083"/>
        <v>6540</v>
      </c>
      <c r="IJ150" s="56"/>
      <c r="IM150" s="55">
        <f t="shared" si="1084"/>
        <v>46146</v>
      </c>
      <c r="IN150" s="56"/>
      <c r="IO150" s="242">
        <f>SUMPRODUCT(PRODUCE!$B157:$DY157,PRODUCE!$EB$34:$IY$34)</f>
        <v>0</v>
      </c>
      <c r="IP150" s="56"/>
      <c r="IQ150" s="242">
        <f t="shared" si="1085"/>
        <v>0</v>
      </c>
      <c r="IR150" s="242">
        <f t="shared" si="1086"/>
        <v>11540</v>
      </c>
      <c r="IS150" s="56"/>
      <c r="IV150" s="55">
        <f t="shared" si="1087"/>
        <v>46146</v>
      </c>
      <c r="IW150" s="56"/>
      <c r="IX150" s="242">
        <f>SUMPRODUCT(PRODUCE!$B157:$DY157,PRODUCE!$EB$35:$IY$35)</f>
        <v>0</v>
      </c>
      <c r="IY150" s="56"/>
      <c r="IZ150" s="242">
        <f t="shared" si="1088"/>
        <v>0</v>
      </c>
      <c r="JA150" s="242">
        <f t="shared" si="1089"/>
        <v>15120</v>
      </c>
      <c r="JB150" s="56"/>
      <c r="JE150" s="55">
        <f t="shared" si="1090"/>
        <v>46146</v>
      </c>
      <c r="JF150" s="56"/>
      <c r="JG150" s="242">
        <f>SUMPRODUCT(PRODUCE!$B157:$DY157,PRODUCE!$EB$36:$IY$36)</f>
        <v>0</v>
      </c>
      <c r="JH150" s="56"/>
      <c r="JI150" s="242">
        <f t="shared" si="1091"/>
        <v>0</v>
      </c>
      <c r="JJ150" s="242">
        <f t="shared" si="1092"/>
        <v>1960</v>
      </c>
      <c r="JK150" s="56"/>
      <c r="JN150" s="55">
        <f t="shared" si="1093"/>
        <v>46146</v>
      </c>
      <c r="JO150" s="56"/>
      <c r="JP150" s="242">
        <f>SUMPRODUCT(PRODUCE!$B157:$DY157,PRODUCE!$EB$37:$IY$37)</f>
        <v>0</v>
      </c>
      <c r="JQ150" s="56"/>
      <c r="JR150" s="242">
        <f t="shared" si="1094"/>
        <v>0</v>
      </c>
      <c r="JS150" s="242">
        <f t="shared" si="1095"/>
        <v>9100</v>
      </c>
      <c r="JT150" s="56"/>
      <c r="JW150" s="55">
        <f t="shared" si="1096"/>
        <v>46146</v>
      </c>
      <c r="JX150" s="56"/>
      <c r="JY150" s="242">
        <f>SUMPRODUCT(PRODUCE!$B157:$DY157,PRODUCE!$EB$38:$IY$38)</f>
        <v>0</v>
      </c>
      <c r="JZ150" s="56"/>
      <c r="KA150" s="242">
        <f t="shared" si="1097"/>
        <v>0</v>
      </c>
      <c r="KB150" s="242">
        <f t="shared" si="1098"/>
        <v>2540</v>
      </c>
      <c r="KC150" s="56"/>
      <c r="KF150" s="55">
        <f t="shared" si="1099"/>
        <v>46146</v>
      </c>
      <c r="KG150" s="56"/>
      <c r="KH150" s="242">
        <f>SUMPRODUCT(PRODUCE!$B157:$DY157,PRODUCE!$EB$39:$IY$39)</f>
        <v>0</v>
      </c>
      <c r="KI150" s="56"/>
      <c r="KJ150" s="242">
        <f t="shared" si="1100"/>
        <v>0</v>
      </c>
      <c r="KK150" s="242">
        <f t="shared" si="1101"/>
        <v>2359.5</v>
      </c>
      <c r="KL150" s="56"/>
      <c r="KO150" s="55">
        <f t="shared" si="1102"/>
        <v>46146</v>
      </c>
      <c r="KP150" s="56"/>
      <c r="KQ150" s="242">
        <f>SUMPRODUCT(PRODUCE!$B157:$DY157,PRODUCE!$EB$40:$IY$40)</f>
        <v>944.99999999999989</v>
      </c>
      <c r="KR150" s="56"/>
      <c r="KS150" s="242">
        <f t="shared" si="1103"/>
        <v>944.99999999999989</v>
      </c>
      <c r="KT150" s="242">
        <f t="shared" si="1104"/>
        <v>2079</v>
      </c>
      <c r="KU150" s="56"/>
      <c r="KW150" s="23"/>
      <c r="KX150" s="55">
        <f t="shared" si="1105"/>
        <v>46146</v>
      </c>
      <c r="KY150" s="56"/>
      <c r="KZ150" s="242">
        <f>SUMPRODUCT(PRODUCE!$B157:$DY157,PRODUCE!$EB$41:$IY$41)</f>
        <v>0</v>
      </c>
      <c r="LA150" s="56"/>
      <c r="LB150" s="242">
        <f t="shared" si="1106"/>
        <v>0</v>
      </c>
      <c r="LC150" s="242">
        <f t="shared" si="1107"/>
        <v>3690</v>
      </c>
      <c r="LD150" s="56"/>
      <c r="LG150" s="55">
        <f t="shared" si="1108"/>
        <v>46146</v>
      </c>
      <c r="LH150" s="56"/>
      <c r="LI150" s="242">
        <f>SUMPRODUCT(PRODUCE!$B157:$DY157,PRODUCE!$EB$42:$IY$42)</f>
        <v>0</v>
      </c>
      <c r="LJ150" s="56"/>
      <c r="LK150" s="242">
        <f t="shared" si="1109"/>
        <v>0</v>
      </c>
      <c r="LL150" s="242">
        <f t="shared" si="1110"/>
        <v>4000</v>
      </c>
      <c r="LM150" s="56"/>
      <c r="LP150" s="55">
        <f t="shared" si="1111"/>
        <v>46146</v>
      </c>
      <c r="LQ150" s="56"/>
      <c r="LR150" s="242">
        <f>SUMPRODUCT(PRODUCE!$B165:$DY165,PRODUCE!$EB$43:$IY$43)</f>
        <v>0</v>
      </c>
      <c r="LS150" s="56"/>
      <c r="LT150" s="242">
        <f t="shared" si="1112"/>
        <v>0</v>
      </c>
      <c r="LU150" s="242">
        <f t="shared" si="1113"/>
        <v>0</v>
      </c>
      <c r="LV150" s="56"/>
      <c r="LY150" s="55">
        <f t="shared" si="1114"/>
        <v>46146</v>
      </c>
      <c r="LZ150" s="56"/>
      <c r="MA150" s="242">
        <f>SUMPRODUCT(PRODUCE!$B157:$DY157,PRODUCE!$EB$44:$IY$44)</f>
        <v>0</v>
      </c>
      <c r="MB150" s="56"/>
      <c r="MC150" s="242">
        <f t="shared" si="1115"/>
        <v>0</v>
      </c>
      <c r="MD150" s="242">
        <f t="shared" si="1116"/>
        <v>0</v>
      </c>
      <c r="ME150" s="56"/>
      <c r="MH150" s="55">
        <f t="shared" si="1117"/>
        <v>46146</v>
      </c>
      <c r="MI150" s="56"/>
      <c r="MJ150" s="242">
        <f>SUMPRODUCT(PRODUCE!$B157:$DY157,PRODUCE!$EB$45:$IY$45)</f>
        <v>0</v>
      </c>
      <c r="MK150" s="56"/>
      <c r="ML150" s="242">
        <f t="shared" si="1118"/>
        <v>0</v>
      </c>
      <c r="MM150" s="242">
        <f t="shared" si="1119"/>
        <v>0</v>
      </c>
      <c r="MN150" s="56"/>
      <c r="MQ150" s="55">
        <f t="shared" si="1120"/>
        <v>46146</v>
      </c>
      <c r="MR150" s="56"/>
      <c r="MS150" s="242">
        <f>SUMPRODUCT(PRODUCE!$B157:$DY157,PRODUCE!$EB$46:$IY$46)</f>
        <v>25</v>
      </c>
      <c r="MT150" s="56"/>
      <c r="MU150" s="242">
        <f t="shared" si="1121"/>
        <v>25</v>
      </c>
      <c r="MV150" s="242">
        <f t="shared" si="1122"/>
        <v>3903</v>
      </c>
      <c r="MW150" s="56"/>
      <c r="MZ150" s="55">
        <f t="shared" si="1123"/>
        <v>46146</v>
      </c>
      <c r="NA150" s="56"/>
      <c r="NB150" s="242">
        <f>SUMPRODUCT(PRODUCE!$B157:$DY157,PRODUCE!$EB$47:$IY$47)</f>
        <v>150</v>
      </c>
      <c r="NC150" s="56"/>
      <c r="ND150" s="242">
        <f t="shared" si="1124"/>
        <v>150</v>
      </c>
      <c r="NE150" s="242">
        <f t="shared" si="1125"/>
        <v>0</v>
      </c>
      <c r="NF150" s="56"/>
      <c r="NI150" s="55">
        <f t="shared" si="1126"/>
        <v>46146</v>
      </c>
      <c r="NJ150" s="56"/>
      <c r="NK150" s="242">
        <f>SUMPRODUCT(PRODUCE!$B157:$DY157,PRODUCE!$EB$48:$IY$48)</f>
        <v>50</v>
      </c>
      <c r="NL150" s="56"/>
      <c r="NM150" s="242">
        <f t="shared" si="1127"/>
        <v>50</v>
      </c>
      <c r="NN150" s="242">
        <f t="shared" si="1128"/>
        <v>1137</v>
      </c>
      <c r="NO150" s="56"/>
      <c r="NR150" s="55">
        <f t="shared" si="1129"/>
        <v>46146</v>
      </c>
      <c r="NS150" s="56"/>
      <c r="NT150" s="242">
        <f>SUMPRODUCT(PRODUCE!$B157:$DY157,PRODUCE!$EB$49:$IY$49)</f>
        <v>60</v>
      </c>
      <c r="NU150" s="56"/>
      <c r="NV150" s="242">
        <f t="shared" si="1130"/>
        <v>60</v>
      </c>
      <c r="NW150" s="242">
        <f t="shared" si="1131"/>
        <v>3122.8999999999996</v>
      </c>
      <c r="NX150" s="56"/>
      <c r="OA150" s="55">
        <f t="shared" si="1132"/>
        <v>46146</v>
      </c>
      <c r="OB150" s="56"/>
      <c r="OC150" s="242">
        <f>SUMPRODUCT(PRODUCE!$B157:$DY157,PRODUCE!$EB$50:$IY$50)</f>
        <v>0</v>
      </c>
      <c r="OD150" s="56"/>
      <c r="OE150" s="242">
        <f t="shared" si="1133"/>
        <v>0</v>
      </c>
      <c r="OF150" s="242">
        <f t="shared" si="1134"/>
        <v>1680.5</v>
      </c>
      <c r="OG150" s="56"/>
      <c r="OJ150" s="55">
        <f t="shared" si="1135"/>
        <v>46146</v>
      </c>
      <c r="OK150" s="56"/>
      <c r="OL150" s="242">
        <f>SUMPRODUCT(PRODUCE!$B157:$DY157,PRODUCE!$EB$51:$IY$51)</f>
        <v>139.99999999999997</v>
      </c>
      <c r="OM150" s="56"/>
      <c r="ON150" s="242">
        <f t="shared" si="1136"/>
        <v>139.99999999999997</v>
      </c>
      <c r="OO150" s="242">
        <f t="shared" si="1137"/>
        <v>0</v>
      </c>
      <c r="OP150" s="56"/>
      <c r="OS150" s="55">
        <f t="shared" si="1138"/>
        <v>46146</v>
      </c>
      <c r="OT150" s="56"/>
      <c r="OU150" s="242">
        <f>SUMPRODUCT(PRODUCE!$B157:$DY157,PRODUCE!$EB$52:$IY$52)</f>
        <v>0</v>
      </c>
      <c r="OV150" s="56"/>
      <c r="OW150" s="242">
        <f t="shared" si="1139"/>
        <v>0</v>
      </c>
      <c r="OX150" s="242">
        <f t="shared" si="1140"/>
        <v>982</v>
      </c>
      <c r="OY150" s="56"/>
      <c r="PB150" s="55">
        <f t="shared" si="1141"/>
        <v>46146</v>
      </c>
      <c r="PC150" s="56"/>
      <c r="PD150" s="242">
        <f>SUMPRODUCT(PRODUCE!$B157:$DY157,PRODUCE!$EB$53:$IY$53)</f>
        <v>0</v>
      </c>
      <c r="PE150" s="56"/>
      <c r="PF150" s="242">
        <f t="shared" si="1142"/>
        <v>0</v>
      </c>
      <c r="PG150" s="242">
        <f t="shared" si="1143"/>
        <v>0</v>
      </c>
      <c r="PH150" s="56"/>
      <c r="PK150" s="55">
        <f t="shared" si="1144"/>
        <v>46146</v>
      </c>
      <c r="PL150" s="56"/>
      <c r="PM150" s="242">
        <f>SUMPRODUCT(PRODUCE!$B157:$DY157,PRODUCE!$EB$54:$IY$54)</f>
        <v>0</v>
      </c>
      <c r="PN150" s="56"/>
      <c r="PO150" s="242">
        <f t="shared" si="1145"/>
        <v>0</v>
      </c>
      <c r="PP150" s="242">
        <f t="shared" si="1146"/>
        <v>100</v>
      </c>
      <c r="PQ150" s="56"/>
      <c r="PT150" s="55">
        <f t="shared" si="1147"/>
        <v>46146</v>
      </c>
      <c r="PU150" s="56"/>
      <c r="PV150" s="242">
        <f>SUMPRODUCT(PRODUCE!$B157:$DY157,PRODUCE!$EB$55:$IY$55)</f>
        <v>0</v>
      </c>
      <c r="PW150" s="56"/>
      <c r="PX150" s="242">
        <f t="shared" si="1148"/>
        <v>0</v>
      </c>
      <c r="PY150" s="242">
        <f t="shared" si="1149"/>
        <v>13.960000000000036</v>
      </c>
      <c r="PZ150" s="56"/>
      <c r="QC150" s="55">
        <f t="shared" si="1150"/>
        <v>46146</v>
      </c>
      <c r="QD150" s="56"/>
      <c r="QE150" s="242">
        <f>SUMPRODUCT(PRODUCE!$B157:$DY157,PRODUCE!$EB$56:$IY$56)</f>
        <v>0</v>
      </c>
      <c r="QF150" s="56"/>
      <c r="QG150" s="242">
        <f t="shared" si="1151"/>
        <v>0</v>
      </c>
      <c r="QH150" s="242">
        <f t="shared" si="1152"/>
        <v>596</v>
      </c>
      <c r="QI150" s="56"/>
      <c r="QL150" s="55">
        <f t="shared" si="1153"/>
        <v>46146</v>
      </c>
      <c r="QM150" s="56"/>
      <c r="QN150" s="242">
        <f>SUMPRODUCT(PRODUCE!$B157:$DY157,PRODUCE!$EB$57:$IY$57)</f>
        <v>0</v>
      </c>
      <c r="QO150" s="56"/>
      <c r="QP150" s="242">
        <f t="shared" si="1154"/>
        <v>0</v>
      </c>
      <c r="QQ150" s="242">
        <f t="shared" si="1155"/>
        <v>400</v>
      </c>
      <c r="QR150" s="56"/>
      <c r="QU150" s="55">
        <f t="shared" si="1156"/>
        <v>46146</v>
      </c>
      <c r="QV150" s="56"/>
      <c r="QW150" s="242">
        <f>SUMPRODUCT(PRODUCE!$B157:$DY157,PRODUCE!$EB$58:$IY$58)</f>
        <v>0</v>
      </c>
      <c r="QX150" s="56"/>
      <c r="QY150" s="242">
        <f t="shared" si="1157"/>
        <v>0</v>
      </c>
      <c r="QZ150" s="242">
        <f t="shared" si="1158"/>
        <v>207.6</v>
      </c>
      <c r="RA150" s="56"/>
      <c r="RD150" s="55">
        <f t="shared" si="1159"/>
        <v>46146</v>
      </c>
      <c r="RE150" s="56"/>
      <c r="RF150" s="242">
        <f>SUMPRODUCT(PRODUCE!$B157:$DY157,PRODUCE!$EB$59:$IY$59)</f>
        <v>0</v>
      </c>
      <c r="RG150" s="56"/>
      <c r="RH150" s="242">
        <f t="shared" si="1160"/>
        <v>0</v>
      </c>
      <c r="RI150" s="242">
        <f t="shared" si="1161"/>
        <v>147.04000000000002</v>
      </c>
      <c r="RJ150" s="56"/>
      <c r="RM150" s="55">
        <f t="shared" si="1162"/>
        <v>46146</v>
      </c>
      <c r="RN150" s="56"/>
      <c r="RO150" s="242">
        <f>SUMPRODUCT(PRODUCE!$B157:$DY157,PRODUCE!$EB$60:$IY$60)</f>
        <v>0</v>
      </c>
      <c r="RP150" s="56"/>
      <c r="RQ150" s="242">
        <f t="shared" si="1163"/>
        <v>0</v>
      </c>
      <c r="RR150" s="242">
        <f t="shared" si="1164"/>
        <v>46.8</v>
      </c>
      <c r="RS150" s="56"/>
      <c r="RV150" s="55">
        <f t="shared" si="1165"/>
        <v>46146</v>
      </c>
      <c r="RW150" s="56"/>
      <c r="RX150" s="242">
        <f>SUMPRODUCT(PRODUCE!$B157:$DY157,PRODUCE!$EB$61:$IY$61)</f>
        <v>0</v>
      </c>
      <c r="RY150" s="56"/>
      <c r="RZ150" s="242">
        <f t="shared" si="1166"/>
        <v>0</v>
      </c>
      <c r="SA150" s="242">
        <f t="shared" si="1167"/>
        <v>0</v>
      </c>
      <c r="SB150" s="56"/>
      <c r="SE150" s="55">
        <f t="shared" si="1168"/>
        <v>46146</v>
      </c>
      <c r="SF150" s="56"/>
      <c r="SG150" s="242">
        <f>SUMPRODUCT(PRODUCE!$B157:$DY157,PRODUCE!$EB$62:$IY$62)</f>
        <v>0</v>
      </c>
      <c r="SH150" s="56"/>
      <c r="SI150" s="242">
        <f t="shared" si="1169"/>
        <v>0</v>
      </c>
      <c r="SJ150" s="242">
        <f t="shared" si="1170"/>
        <v>24.200000000000003</v>
      </c>
      <c r="SK150" s="56"/>
      <c r="SN150" s="55">
        <f t="shared" si="1171"/>
        <v>46146</v>
      </c>
      <c r="SO150" s="56"/>
      <c r="SP150" s="242">
        <f>SUMPRODUCT(PRODUCE!$B157:$DY157,PRODUCE!$EB$63:$IY$63)</f>
        <v>0</v>
      </c>
      <c r="SQ150" s="56"/>
      <c r="SR150" s="242">
        <f t="shared" si="1172"/>
        <v>0</v>
      </c>
      <c r="SS150" s="242">
        <f t="shared" si="1173"/>
        <v>32</v>
      </c>
      <c r="ST150" s="56"/>
      <c r="SW150" s="55">
        <f t="shared" si="1174"/>
        <v>46146</v>
      </c>
      <c r="SX150" s="56"/>
      <c r="SY150" s="242">
        <f>SUMPRODUCT(PRODUCE!$B157:$DY157,PRODUCE!$EB$64:$IY$64)</f>
        <v>0</v>
      </c>
      <c r="SZ150" s="56"/>
      <c r="TA150" s="242">
        <f t="shared" si="1175"/>
        <v>0</v>
      </c>
      <c r="TB150" s="242">
        <f t="shared" si="1176"/>
        <v>0</v>
      </c>
      <c r="TC150" s="56"/>
      <c r="TF150" s="55">
        <f t="shared" si="1177"/>
        <v>46146</v>
      </c>
      <c r="TG150" s="56"/>
      <c r="TH150" s="242">
        <f>SUMPRODUCT(PRODUCE!$B157:$DY157,PRODUCE!$EB$65:$IY$65)</f>
        <v>0</v>
      </c>
      <c r="TI150" s="56"/>
      <c r="TJ150" s="242">
        <f t="shared" si="1178"/>
        <v>0</v>
      </c>
      <c r="TK150" s="242">
        <f t="shared" si="1179"/>
        <v>0</v>
      </c>
      <c r="TL150" s="56"/>
      <c r="TO150" s="55">
        <f t="shared" si="1180"/>
        <v>46146</v>
      </c>
      <c r="TP150" s="56"/>
      <c r="TQ150" s="242">
        <f>SUMPRODUCT(PRODUCE!$B157:$DY157,PRODUCE!$EB$66:$IY$66)</f>
        <v>0</v>
      </c>
      <c r="TR150" s="56"/>
      <c r="TS150" s="242">
        <f t="shared" si="1181"/>
        <v>0</v>
      </c>
      <c r="TT150" s="242">
        <f t="shared" si="1182"/>
        <v>0</v>
      </c>
      <c r="TU150" s="56"/>
      <c r="TX150" s="55">
        <f t="shared" si="1183"/>
        <v>46146</v>
      </c>
      <c r="TY150" s="56"/>
      <c r="TZ150" s="242">
        <f>SUMPRODUCT(PRODUCE!$B157:$DY157,PRODUCE!$EB$67:$IY$67)</f>
        <v>0</v>
      </c>
      <c r="UA150" s="56"/>
      <c r="UB150" s="242">
        <f t="shared" si="1184"/>
        <v>0</v>
      </c>
      <c r="UC150" s="242">
        <f t="shared" si="1185"/>
        <v>0</v>
      </c>
      <c r="UD150" s="56"/>
      <c r="UG150" s="55">
        <f t="shared" si="1186"/>
        <v>46146</v>
      </c>
      <c r="UH150" s="56"/>
      <c r="UI150" s="242">
        <f>SUMPRODUCT(PRODUCE!$B157:$DY157,PRODUCE!$EB$68:$IY$68)</f>
        <v>0</v>
      </c>
      <c r="UJ150" s="56"/>
      <c r="UK150" s="242">
        <f t="shared" si="1187"/>
        <v>0</v>
      </c>
      <c r="UL150" s="242">
        <f t="shared" si="1188"/>
        <v>0</v>
      </c>
      <c r="UM150" s="56"/>
      <c r="UP150" s="55">
        <f t="shared" si="1189"/>
        <v>46146</v>
      </c>
      <c r="UQ150" s="56"/>
      <c r="UR150" s="242">
        <f>SUMPRODUCT(PRODUCE!$B157:$DY157,PRODUCE!$EB$69:$IY$69)</f>
        <v>0</v>
      </c>
      <c r="US150" s="56"/>
      <c r="UT150" s="242">
        <f t="shared" si="1190"/>
        <v>0</v>
      </c>
      <c r="UU150" s="242">
        <f t="shared" si="1191"/>
        <v>0</v>
      </c>
      <c r="UV150" s="56"/>
      <c r="UY150" s="55">
        <f t="shared" si="1192"/>
        <v>46146</v>
      </c>
      <c r="UZ150" s="56"/>
      <c r="VA150" s="242">
        <f>SUMPRODUCT(PRODUCE!$B157:$DY157,PRODUCE!$EB$70:$IY$70)</f>
        <v>0</v>
      </c>
      <c r="VB150" s="56"/>
      <c r="VC150" s="242">
        <f t="shared" si="1193"/>
        <v>0</v>
      </c>
      <c r="VD150" s="242">
        <f t="shared" si="1194"/>
        <v>41.600000000000023</v>
      </c>
      <c r="VE150" s="56"/>
      <c r="VH150" s="55">
        <f t="shared" si="1195"/>
        <v>46146</v>
      </c>
      <c r="VI150" s="56"/>
      <c r="VJ150" s="242">
        <f>SUMPRODUCT(PRODUCE!$B157:$DY157,PRODUCE!$EB$71:$IY$71)</f>
        <v>0</v>
      </c>
      <c r="VK150" s="56"/>
      <c r="VL150" s="242">
        <f t="shared" si="1196"/>
        <v>0</v>
      </c>
      <c r="VM150" s="242">
        <f t="shared" si="1197"/>
        <v>0</v>
      </c>
      <c r="VN150" s="56"/>
      <c r="VQ150" s="55">
        <f t="shared" si="1198"/>
        <v>46146</v>
      </c>
      <c r="VR150" s="56"/>
      <c r="VS150" s="242">
        <f>SUMPRODUCT(PRODUCE!$B157:$DY157,PRODUCE!$EB$57:$IY$57)</f>
        <v>0</v>
      </c>
      <c r="VT150" s="56"/>
      <c r="VU150" s="242">
        <f t="shared" si="1199"/>
        <v>0</v>
      </c>
      <c r="VV150" s="242">
        <f t="shared" si="1200"/>
        <v>0</v>
      </c>
      <c r="VW150" s="56"/>
      <c r="VZ150" s="55">
        <f t="shared" si="1201"/>
        <v>46146</v>
      </c>
      <c r="WA150" s="56"/>
      <c r="WB150" s="242">
        <f>SUMPRODUCT(PRODUCE!$B157:$DY157,PRODUCE!$EB$57:$IY$57)</f>
        <v>0</v>
      </c>
      <c r="WC150" s="56"/>
      <c r="WD150" s="242">
        <f t="shared" si="1202"/>
        <v>0</v>
      </c>
      <c r="WE150" s="242">
        <f t="shared" si="1203"/>
        <v>0</v>
      </c>
      <c r="WF150" s="56"/>
      <c r="WI150" s="55">
        <f t="shared" si="1204"/>
        <v>46146</v>
      </c>
      <c r="WJ150" s="422"/>
      <c r="WK150" s="540">
        <f>SUMPRODUCT(PRODUCE!$B157:$DY157,PRODUCE!$EB$74:$IY$74)</f>
        <v>0</v>
      </c>
      <c r="WL150" s="422"/>
      <c r="WM150" s="540">
        <f t="shared" si="1205"/>
        <v>0</v>
      </c>
      <c r="WN150" s="540">
        <f t="shared" si="1206"/>
        <v>2317</v>
      </c>
      <c r="WO150" s="56"/>
      <c r="WR150" s="55">
        <f t="shared" si="1207"/>
        <v>46146</v>
      </c>
      <c r="WS150" s="422"/>
      <c r="WT150" s="540">
        <f>SUMPRODUCT(PRODUCE!$B157:$DY157,PRODUCE!$EB$75:$IY$75)</f>
        <v>0</v>
      </c>
      <c r="WU150" s="422"/>
      <c r="WV150" s="540">
        <f t="shared" si="1208"/>
        <v>0</v>
      </c>
      <c r="WW150" s="540">
        <f t="shared" si="1209"/>
        <v>776</v>
      </c>
      <c r="WX150" s="56"/>
      <c r="XA150" s="55">
        <f t="shared" si="1210"/>
        <v>46146</v>
      </c>
      <c r="XB150" s="422"/>
      <c r="XC150" s="540">
        <f>SUMPRODUCT(PRODUCE!$B157:$DY157,PRODUCE!$EB$76:$IY$76)</f>
        <v>0</v>
      </c>
      <c r="XD150" s="422">
        <v>1002</v>
      </c>
      <c r="XE150" s="540">
        <f t="shared" si="1211"/>
        <v>-1002</v>
      </c>
      <c r="XF150" s="540">
        <f t="shared" si="1212"/>
        <v>12453</v>
      </c>
      <c r="XG150" s="56"/>
      <c r="XJ150" s="55">
        <f t="shared" si="1213"/>
        <v>46146</v>
      </c>
      <c r="XK150" s="422"/>
      <c r="XL150" s="540">
        <f>SUMPRODUCT(PRODUCE!$B157:$DY157,PRODUCE!$EB$77:$IY$77)</f>
        <v>0</v>
      </c>
      <c r="XM150" s="422"/>
      <c r="XN150" s="540">
        <f t="shared" si="1214"/>
        <v>0</v>
      </c>
      <c r="XO150" s="540">
        <f t="shared" si="1215"/>
        <v>1481</v>
      </c>
      <c r="XP150" s="56"/>
      <c r="XS150" s="55">
        <f t="shared" si="1216"/>
        <v>46146</v>
      </c>
      <c r="XT150" s="56"/>
      <c r="XU150" s="242">
        <f>SUMPRODUCT(PRODUCE!$B157:$DY157,PRODUCE!$EB$78:$IY$78)</f>
        <v>0</v>
      </c>
      <c r="XV150" s="56"/>
      <c r="XW150" s="242">
        <f t="shared" si="1217"/>
        <v>0</v>
      </c>
      <c r="XX150" s="242">
        <f t="shared" si="1218"/>
        <v>1901</v>
      </c>
      <c r="XY150" s="56"/>
      <c r="YB150" s="55">
        <f t="shared" si="1219"/>
        <v>46146</v>
      </c>
      <c r="YC150" s="56"/>
      <c r="YD150" s="242">
        <f>SUMPRODUCT(PRODUCE!$B157:$DY157,PRODUCE!$EB$79:$IY$79)</f>
        <v>0</v>
      </c>
      <c r="YE150" s="56"/>
      <c r="YF150" s="242">
        <f t="shared" si="1220"/>
        <v>0</v>
      </c>
      <c r="YG150" s="242">
        <f t="shared" si="1221"/>
        <v>6459</v>
      </c>
      <c r="YH150" s="56"/>
      <c r="YK150" s="55">
        <f t="shared" si="1222"/>
        <v>46146</v>
      </c>
      <c r="YL150" s="56"/>
      <c r="YM150" s="242">
        <f>SUMPRODUCT(PRODUCE!$B157:$DY157,PRODUCE!$EB$80:$IY$80)</f>
        <v>0</v>
      </c>
      <c r="YN150" s="56"/>
      <c r="YO150" s="242">
        <f t="shared" si="1223"/>
        <v>0</v>
      </c>
      <c r="YP150" s="242">
        <f t="shared" si="1224"/>
        <v>0</v>
      </c>
      <c r="YQ150" s="56"/>
      <c r="YT150" s="55">
        <f t="shared" si="1225"/>
        <v>46146</v>
      </c>
      <c r="YU150" s="56"/>
      <c r="YV150" s="242">
        <f>SUMPRODUCT(PRODUCE!$B157:$DY157,PRODUCE!$EB$57:$IY$57)</f>
        <v>0</v>
      </c>
      <c r="YW150" s="56"/>
      <c r="YX150" s="242">
        <f t="shared" si="1226"/>
        <v>0</v>
      </c>
      <c r="YY150" s="242">
        <f t="shared" si="1227"/>
        <v>0</v>
      </c>
      <c r="YZ150" s="56"/>
      <c r="ZC150" s="55">
        <f t="shared" si="1228"/>
        <v>46146</v>
      </c>
      <c r="ZD150" s="56"/>
      <c r="ZE150" s="242">
        <f>SUMPRODUCT(PRODUCE!$B157:$DY157,PRODUCE!$EB$57:$IY$57)</f>
        <v>0</v>
      </c>
      <c r="ZF150" s="56"/>
      <c r="ZG150" s="242">
        <f t="shared" si="1229"/>
        <v>0</v>
      </c>
      <c r="ZH150" s="242">
        <f t="shared" si="1230"/>
        <v>0</v>
      </c>
      <c r="ZI150" s="56"/>
      <c r="ZL150" s="55">
        <f t="shared" si="1231"/>
        <v>46146</v>
      </c>
      <c r="ZM150" s="56"/>
      <c r="ZN150" s="242">
        <f>SUMPRODUCT(PRODUCE!$B157:$DY157,PRODUCE!$EB$57:$IY$57)</f>
        <v>0</v>
      </c>
      <c r="ZO150" s="56"/>
      <c r="ZP150" s="242">
        <f t="shared" si="1232"/>
        <v>0</v>
      </c>
      <c r="ZQ150" s="242">
        <f t="shared" si="1233"/>
        <v>0</v>
      </c>
      <c r="ZR150" s="56"/>
      <c r="ZU150" s="55">
        <f t="shared" si="1234"/>
        <v>46146</v>
      </c>
      <c r="ZV150" s="56"/>
      <c r="ZW150" s="242">
        <f>SUMPRODUCT(PRODUCE!$B157:$DY157,PRODUCE!$EB$57:$IY$57)</f>
        <v>0</v>
      </c>
      <c r="ZX150" s="56"/>
      <c r="ZY150" s="242">
        <f t="shared" si="1235"/>
        <v>0</v>
      </c>
      <c r="ZZ150" s="242">
        <f t="shared" si="1236"/>
        <v>0</v>
      </c>
      <c r="AAA150" s="56"/>
      <c r="AAD150" s="55">
        <f t="shared" si="1237"/>
        <v>46146</v>
      </c>
      <c r="AAE150" s="56"/>
      <c r="AAF150" s="242">
        <f>SUMPRODUCT(PRODUCE!$B157:$DY157,PRODUCE!$EB$57:$IY$57)</f>
        <v>0</v>
      </c>
      <c r="AAG150" s="56"/>
      <c r="AAH150" s="242">
        <f t="shared" si="1238"/>
        <v>0</v>
      </c>
      <c r="AAI150" s="242">
        <f t="shared" si="1239"/>
        <v>0</v>
      </c>
      <c r="AAJ150" s="56"/>
      <c r="AAM150" s="55">
        <f t="shared" si="1240"/>
        <v>46146</v>
      </c>
      <c r="AAN150" s="56"/>
      <c r="AAO150" s="242">
        <f>SUMPRODUCT(PRODUCE!$B157:$DY157,PRODUCE!$EB$57:$IY$57)</f>
        <v>0</v>
      </c>
      <c r="AAP150" s="56"/>
      <c r="AAQ150" s="242">
        <f t="shared" si="1241"/>
        <v>0</v>
      </c>
      <c r="AAR150" s="242">
        <f t="shared" si="1242"/>
        <v>0</v>
      </c>
      <c r="AAS150" s="56"/>
      <c r="AAV150" s="55">
        <f t="shared" si="1243"/>
        <v>46146</v>
      </c>
      <c r="AAW150" s="56"/>
      <c r="AAX150" s="242">
        <f>SUMPRODUCT(PRODUCE!$B157:$DY157,PRODUCE!$EB$57:$IY$57)</f>
        <v>0</v>
      </c>
      <c r="AAY150" s="56"/>
      <c r="AAZ150" s="242">
        <f t="shared" si="1244"/>
        <v>0</v>
      </c>
      <c r="ABA150" s="242">
        <f t="shared" si="1245"/>
        <v>0</v>
      </c>
      <c r="ABB150" s="56"/>
      <c r="ABE150" s="55">
        <f t="shared" si="1246"/>
        <v>46146</v>
      </c>
      <c r="ABF150" s="56"/>
      <c r="ABG150" s="242">
        <f>SUMPRODUCT(PRODUCE!$B157:$DY157,PRODUCE!$EB$57:$IY$57)</f>
        <v>0</v>
      </c>
      <c r="ABH150" s="56"/>
      <c r="ABI150" s="242">
        <f t="shared" si="1247"/>
        <v>0</v>
      </c>
      <c r="ABJ150" s="242">
        <f t="shared" si="1248"/>
        <v>0</v>
      </c>
      <c r="ABK150" s="56"/>
    </row>
    <row r="151" spans="2:739" s="54" customFormat="1" ht="15" customHeight="1" outlineLevel="1">
      <c r="B151" s="478"/>
      <c r="C151" s="55">
        <v>46147</v>
      </c>
      <c r="D151" s="422">
        <v>20920</v>
      </c>
      <c r="E151" s="423">
        <f>SUMPRODUCT(PRODUCE!$B158:$DY158,PRODUCE!$EB$7:$IY$7)</f>
        <v>0</v>
      </c>
      <c r="F151" s="422"/>
      <c r="G151" s="423">
        <f t="shared" si="1004"/>
        <v>0</v>
      </c>
      <c r="H151" s="423">
        <f t="shared" si="1005"/>
        <v>201097.60000000003</v>
      </c>
      <c r="I151" s="289"/>
      <c r="L151" s="55">
        <f t="shared" si="1006"/>
        <v>46147</v>
      </c>
      <c r="M151" s="422"/>
      <c r="N151" s="438">
        <f>SUMPRODUCT(PRODUCE!$B158:$DY158,PRODUCE!$EB$8:$IY$8)</f>
        <v>0</v>
      </c>
      <c r="O151" s="422"/>
      <c r="P151" s="438">
        <f t="shared" si="1007"/>
        <v>0</v>
      </c>
      <c r="Q151" s="438">
        <f t="shared" si="1008"/>
        <v>51504.200000000092</v>
      </c>
      <c r="R151" s="56"/>
      <c r="U151" s="55">
        <f t="shared" si="1009"/>
        <v>46147</v>
      </c>
      <c r="V151" s="422"/>
      <c r="W151" s="440">
        <f>SUMPRODUCT(PRODUCE!$B158:$DY158,PRODUCE!$EB$9:$IY$9)</f>
        <v>0</v>
      </c>
      <c r="X151" s="422"/>
      <c r="Y151" s="440">
        <f t="shared" si="1010"/>
        <v>0</v>
      </c>
      <c r="Z151" s="440">
        <f t="shared" si="1011"/>
        <v>18765.799999999974</v>
      </c>
      <c r="AA151" s="56"/>
      <c r="AD151" s="55">
        <f t="shared" si="1012"/>
        <v>46147</v>
      </c>
      <c r="AE151" s="422"/>
      <c r="AF151" s="442">
        <f>SUMPRODUCT(PRODUCE!$B158:$DY158,PRODUCE!$EB$10:$IY$10)</f>
        <v>0</v>
      </c>
      <c r="AG151" s="422"/>
      <c r="AH151" s="442">
        <f t="shared" si="1013"/>
        <v>0</v>
      </c>
      <c r="AI151" s="442">
        <f t="shared" si="1014"/>
        <v>4928.4000000000178</v>
      </c>
      <c r="AJ151" s="56"/>
      <c r="AM151" s="55">
        <f t="shared" si="1015"/>
        <v>46147</v>
      </c>
      <c r="AN151" s="422"/>
      <c r="AO151" s="444">
        <f>SUMPRODUCT(PRODUCE!$B158:$DY158,PRODUCE!$EB$11:$IY$11)</f>
        <v>0</v>
      </c>
      <c r="AP151" s="422"/>
      <c r="AQ151" s="444">
        <f t="shared" si="1016"/>
        <v>0</v>
      </c>
      <c r="AR151" s="444">
        <f t="shared" si="1017"/>
        <v>0</v>
      </c>
      <c r="AS151" s="56"/>
      <c r="AV151" s="55">
        <f t="shared" si="1018"/>
        <v>46147</v>
      </c>
      <c r="AW151" s="422"/>
      <c r="AX151" s="446">
        <f>SUMPRODUCT(PRODUCE!$B158:$DY158,PRODUCE!$EB$12:$IY$12)</f>
        <v>0</v>
      </c>
      <c r="AY151" s="422"/>
      <c r="AZ151" s="446">
        <f t="shared" si="1019"/>
        <v>0</v>
      </c>
      <c r="BA151" s="446">
        <f t="shared" si="1020"/>
        <v>36610.899999999994</v>
      </c>
      <c r="BB151" s="56"/>
      <c r="BE151" s="55">
        <f t="shared" si="1021"/>
        <v>46147</v>
      </c>
      <c r="BF151" s="422"/>
      <c r="BG151" s="448">
        <f>SUMPRODUCT(PRODUCE!$B158:$DY158,PRODUCE!$EB$13:$IY$13)</f>
        <v>0</v>
      </c>
      <c r="BH151" s="422"/>
      <c r="BI151" s="448">
        <f t="shared" si="1022"/>
        <v>0</v>
      </c>
      <c r="BJ151" s="448">
        <f t="shared" si="1023"/>
        <v>24475.799999999988</v>
      </c>
      <c r="BK151" s="56"/>
      <c r="BN151" s="55">
        <f t="shared" si="1024"/>
        <v>46147</v>
      </c>
      <c r="BO151" s="422"/>
      <c r="BP151" s="450">
        <f>SUMPRODUCT(PRODUCE!$B158:$DY158,PRODUCE!$EB$14:$IY$14)</f>
        <v>0</v>
      </c>
      <c r="BQ151" s="422"/>
      <c r="BR151" s="450">
        <f t="shared" si="1025"/>
        <v>0</v>
      </c>
      <c r="BS151" s="450">
        <f t="shared" si="1026"/>
        <v>0</v>
      </c>
      <c r="BT151" s="56"/>
      <c r="BW151" s="55">
        <f t="shared" si="1027"/>
        <v>46147</v>
      </c>
      <c r="BX151" s="422"/>
      <c r="BY151" s="523">
        <f>SUMPRODUCT(PRODUCE!$B158:$DY158,PRODUCE!$EB$15:$IY$15)</f>
        <v>0</v>
      </c>
      <c r="BZ151" s="422"/>
      <c r="CA151" s="523">
        <f t="shared" si="1028"/>
        <v>0</v>
      </c>
      <c r="CB151" s="523">
        <f t="shared" si="1029"/>
        <v>5848.7999999999993</v>
      </c>
      <c r="CC151" s="56"/>
      <c r="CF151" s="55">
        <f t="shared" si="1030"/>
        <v>46147</v>
      </c>
      <c r="CG151" s="422"/>
      <c r="CH151" s="524">
        <f>SUMPRODUCT(PRODUCE!$B158:$DY158,PRODUCE!$EB$16:$IY$16)</f>
        <v>0</v>
      </c>
      <c r="CI151" s="422"/>
      <c r="CJ151" s="524">
        <f t="shared" si="1031"/>
        <v>0</v>
      </c>
      <c r="CK151" s="524">
        <f t="shared" si="1032"/>
        <v>0</v>
      </c>
      <c r="CL151" s="56"/>
      <c r="CO151" s="55">
        <f t="shared" si="1033"/>
        <v>46147</v>
      </c>
      <c r="CP151" s="422"/>
      <c r="CQ151" s="470">
        <f>SUMPRODUCT(PRODUCE!$B158:$DY158,PRODUCE!$EB$17:$IY$17)</f>
        <v>0</v>
      </c>
      <c r="CR151" s="422"/>
      <c r="CS151" s="470">
        <f t="shared" si="1034"/>
        <v>0</v>
      </c>
      <c r="CT151" s="470">
        <f t="shared" si="1035"/>
        <v>0</v>
      </c>
      <c r="CU151" s="56"/>
      <c r="CX151" s="55">
        <f t="shared" si="1036"/>
        <v>46147</v>
      </c>
      <c r="CY151" s="422"/>
      <c r="CZ151" s="525">
        <f>SUMPRODUCT(PRODUCE!$B158:$DY158,PRODUCE!$EB$18:$IY$18)</f>
        <v>0</v>
      </c>
      <c r="DA151" s="422"/>
      <c r="DB151" s="525">
        <f t="shared" si="1037"/>
        <v>0</v>
      </c>
      <c r="DC151" s="525">
        <f t="shared" si="1038"/>
        <v>21657.000000000004</v>
      </c>
      <c r="DD151" s="56"/>
      <c r="DG151" s="55">
        <f t="shared" si="1039"/>
        <v>46147</v>
      </c>
      <c r="DH151" s="422"/>
      <c r="DI151" s="526">
        <f>SUMPRODUCT(PRODUCE!$B158:$DY158,PRODUCE!$EB$19:$IY$19)</f>
        <v>0</v>
      </c>
      <c r="DJ151" s="422"/>
      <c r="DK151" s="526">
        <f t="shared" si="1040"/>
        <v>0</v>
      </c>
      <c r="DL151" s="526">
        <f t="shared" si="1041"/>
        <v>40938.499999999985</v>
      </c>
      <c r="DM151" s="56"/>
      <c r="DP151" s="55">
        <f t="shared" si="1042"/>
        <v>46147</v>
      </c>
      <c r="DQ151" s="422"/>
      <c r="DR151" s="423">
        <f>SUMPRODUCT(PRODUCE!$B158:$DY158,PRODUCE!$EB$20:$IY$20)</f>
        <v>0</v>
      </c>
      <c r="DS151" s="422"/>
      <c r="DT151" s="423">
        <f t="shared" si="1043"/>
        <v>0</v>
      </c>
      <c r="DU151" s="423">
        <f t="shared" si="1044"/>
        <v>5800</v>
      </c>
      <c r="DV151" s="56"/>
      <c r="DY151" s="55">
        <f t="shared" si="1045"/>
        <v>46147</v>
      </c>
      <c r="DZ151" s="56"/>
      <c r="EA151" s="157">
        <f>SUMPRODUCT(PRODUCE!$B158:$DY158,PRODUCE!$EB$21:$IY$21)</f>
        <v>0</v>
      </c>
      <c r="EB151" s="56"/>
      <c r="EC151" s="157">
        <f t="shared" si="1046"/>
        <v>0</v>
      </c>
      <c r="ED151" s="157">
        <f t="shared" si="1047"/>
        <v>0</v>
      </c>
      <c r="EE151" s="56"/>
      <c r="EH151" s="55">
        <f t="shared" si="1048"/>
        <v>46147</v>
      </c>
      <c r="EI151" s="56"/>
      <c r="EJ151" s="162">
        <f>SUMPRODUCT(PRODUCE!$B158:$DY158,PRODUCE!$EB$22:$IY$22)</f>
        <v>0</v>
      </c>
      <c r="EK151" s="56"/>
      <c r="EL151" s="162">
        <f t="shared" si="1049"/>
        <v>0</v>
      </c>
      <c r="EM151" s="162">
        <f t="shared" si="1050"/>
        <v>0</v>
      </c>
      <c r="EN151" s="56"/>
      <c r="EQ151" s="55">
        <f t="shared" si="1051"/>
        <v>46147</v>
      </c>
      <c r="ER151" s="56"/>
      <c r="ES151" s="135">
        <f>SUMPRODUCT(PRODUCE!$B158:$DY158,PRODUCE!$EB$23:$IY$23)</f>
        <v>0</v>
      </c>
      <c r="ET151" s="56"/>
      <c r="EU151" s="135">
        <f t="shared" si="1052"/>
        <v>0</v>
      </c>
      <c r="EV151" s="135">
        <f t="shared" si="1053"/>
        <v>0</v>
      </c>
      <c r="EW151" s="56"/>
      <c r="EZ151" s="55">
        <f t="shared" si="1054"/>
        <v>46147</v>
      </c>
      <c r="FA151" s="56"/>
      <c r="FB151" s="175">
        <f>SUMPRODUCT(PRODUCE!$B158:$DY158,PRODUCE!$EB$24:$IY$24)</f>
        <v>0</v>
      </c>
      <c r="FC151" s="56"/>
      <c r="FD151" s="175">
        <f t="shared" si="1055"/>
        <v>0</v>
      </c>
      <c r="FE151" s="175">
        <f t="shared" si="1056"/>
        <v>0</v>
      </c>
      <c r="FF151" s="56"/>
      <c r="FI151" s="55">
        <f t="shared" si="1057"/>
        <v>46147</v>
      </c>
      <c r="FJ151" s="56"/>
      <c r="FK151" s="183">
        <f>SUMPRODUCT(PRODUCE!$B158:$DY158,PRODUCE!$EB$25:$IY$25)</f>
        <v>0</v>
      </c>
      <c r="FL151" s="56"/>
      <c r="FM151" s="183">
        <f t="shared" si="1058"/>
        <v>0</v>
      </c>
      <c r="FN151" s="183">
        <f t="shared" si="1059"/>
        <v>0</v>
      </c>
      <c r="FO151" s="56"/>
      <c r="FR151" s="55">
        <f t="shared" si="1060"/>
        <v>46147</v>
      </c>
      <c r="FS151" s="56"/>
      <c r="FT151" s="186">
        <f>SUMPRODUCT(PRODUCE!$B158:$DY158,PRODUCE!$EB$26:$IY$26)</f>
        <v>0</v>
      </c>
      <c r="FU151" s="56"/>
      <c r="FV151" s="186">
        <f t="shared" si="1061"/>
        <v>0</v>
      </c>
      <c r="FW151" s="186">
        <f t="shared" si="1062"/>
        <v>2120</v>
      </c>
      <c r="FX151" s="56"/>
      <c r="GA151" s="55">
        <f t="shared" si="1063"/>
        <v>46147</v>
      </c>
      <c r="GB151" s="56"/>
      <c r="GC151" s="137">
        <f>SUMPRODUCT(PRODUCE!$B158:$DY158,PRODUCE!$EB$27:$IY$27)</f>
        <v>0</v>
      </c>
      <c r="GD151" s="56"/>
      <c r="GE151" s="137">
        <f t="shared" si="1064"/>
        <v>0</v>
      </c>
      <c r="GF151" s="137">
        <f t="shared" si="1065"/>
        <v>3640</v>
      </c>
      <c r="GG151" s="56"/>
      <c r="GI151" s="23"/>
      <c r="GJ151" s="55">
        <f t="shared" si="1066"/>
        <v>46147</v>
      </c>
      <c r="GK151" s="56"/>
      <c r="GL151" s="199">
        <f>SUMPRODUCT(PRODUCE!$B158:$DY158,PRODUCE!$EB$28:$IY$28)</f>
        <v>0</v>
      </c>
      <c r="GM151" s="56"/>
      <c r="GN151" s="199">
        <f t="shared" si="1067"/>
        <v>0</v>
      </c>
      <c r="GO151" s="199">
        <f t="shared" si="1068"/>
        <v>2080</v>
      </c>
      <c r="GP151" s="56"/>
      <c r="GS151" s="55">
        <f t="shared" si="1069"/>
        <v>46147</v>
      </c>
      <c r="GT151" s="56"/>
      <c r="GU151" s="195">
        <f>SUMPRODUCT(PRODUCE!$B158:$DY158,PRODUCE!$EB$29:$IY$29)</f>
        <v>0</v>
      </c>
      <c r="GV151" s="56"/>
      <c r="GW151" s="195">
        <f t="shared" si="1070"/>
        <v>0</v>
      </c>
      <c r="GX151" s="195">
        <f t="shared" si="1071"/>
        <v>0</v>
      </c>
      <c r="GY151" s="56"/>
      <c r="HB151" s="55">
        <f t="shared" si="1072"/>
        <v>46147</v>
      </c>
      <c r="HC151" s="56"/>
      <c r="HD151" s="191">
        <f>SUMPRODUCT(PRODUCE!$B158:$DY158,PRODUCE!$EB$30:$IY$30)</f>
        <v>0</v>
      </c>
      <c r="HE151" s="56"/>
      <c r="HF151" s="191">
        <f t="shared" si="1073"/>
        <v>0</v>
      </c>
      <c r="HG151" s="191">
        <f t="shared" si="1074"/>
        <v>0</v>
      </c>
      <c r="HH151" s="56"/>
      <c r="HK151" s="55">
        <f t="shared" si="1075"/>
        <v>46147</v>
      </c>
      <c r="HL151" s="56"/>
      <c r="HM151" s="63">
        <f>SUMPRODUCT(PRODUCE!$B158:$DY158,PRODUCE!$EB$31:$IY$31)</f>
        <v>0</v>
      </c>
      <c r="HN151" s="56"/>
      <c r="HO151" s="63">
        <f t="shared" si="1076"/>
        <v>0</v>
      </c>
      <c r="HP151" s="63">
        <f t="shared" si="1077"/>
        <v>0</v>
      </c>
      <c r="HQ151" s="56"/>
      <c r="HU151" s="55">
        <f t="shared" si="1078"/>
        <v>46147</v>
      </c>
      <c r="HV151" s="56"/>
      <c r="HW151" s="242">
        <f>SUMPRODUCT(PRODUCE!$B158:$DY158,PRODUCE!$EB$32:$IY$32)</f>
        <v>0</v>
      </c>
      <c r="HX151" s="56"/>
      <c r="HY151" s="242">
        <f t="shared" si="1079"/>
        <v>0</v>
      </c>
      <c r="HZ151" s="242">
        <f t="shared" si="1080"/>
        <v>6360</v>
      </c>
      <c r="IA151" s="56"/>
      <c r="ID151" s="55">
        <f t="shared" si="1081"/>
        <v>46147</v>
      </c>
      <c r="IE151" s="56"/>
      <c r="IF151" s="242">
        <f>SUMPRODUCT(PRODUCE!$B158:$DY158,PRODUCE!$EB$33:$IY$33)</f>
        <v>0</v>
      </c>
      <c r="IG151" s="56"/>
      <c r="IH151" s="242">
        <f t="shared" si="1082"/>
        <v>0</v>
      </c>
      <c r="II151" s="242">
        <f t="shared" si="1083"/>
        <v>6540</v>
      </c>
      <c r="IJ151" s="56"/>
      <c r="IM151" s="55">
        <f t="shared" si="1084"/>
        <v>46147</v>
      </c>
      <c r="IN151" s="56"/>
      <c r="IO151" s="242">
        <f>SUMPRODUCT(PRODUCE!$B158:$DY158,PRODUCE!$EB$34:$IY$34)</f>
        <v>0</v>
      </c>
      <c r="IP151" s="56"/>
      <c r="IQ151" s="242">
        <f t="shared" si="1085"/>
        <v>0</v>
      </c>
      <c r="IR151" s="242">
        <f t="shared" si="1086"/>
        <v>11540</v>
      </c>
      <c r="IS151" s="56"/>
      <c r="IV151" s="55">
        <f t="shared" si="1087"/>
        <v>46147</v>
      </c>
      <c r="IW151" s="56"/>
      <c r="IX151" s="242">
        <f>SUMPRODUCT(PRODUCE!$B158:$DY158,PRODUCE!$EB$35:$IY$35)</f>
        <v>0</v>
      </c>
      <c r="IY151" s="56"/>
      <c r="IZ151" s="242">
        <f t="shared" si="1088"/>
        <v>0</v>
      </c>
      <c r="JA151" s="242">
        <f t="shared" si="1089"/>
        <v>15120</v>
      </c>
      <c r="JB151" s="56"/>
      <c r="JE151" s="55">
        <f t="shared" si="1090"/>
        <v>46147</v>
      </c>
      <c r="JF151" s="56"/>
      <c r="JG151" s="242">
        <f>SUMPRODUCT(PRODUCE!$B158:$DY158,PRODUCE!$EB$36:$IY$36)</f>
        <v>0</v>
      </c>
      <c r="JH151" s="56"/>
      <c r="JI151" s="242">
        <f t="shared" si="1091"/>
        <v>0</v>
      </c>
      <c r="JJ151" s="242">
        <f t="shared" si="1092"/>
        <v>1960</v>
      </c>
      <c r="JK151" s="56"/>
      <c r="JN151" s="55">
        <f t="shared" si="1093"/>
        <v>46147</v>
      </c>
      <c r="JO151" s="56"/>
      <c r="JP151" s="242">
        <f>SUMPRODUCT(PRODUCE!$B158:$DY158,PRODUCE!$EB$37:$IY$37)</f>
        <v>0</v>
      </c>
      <c r="JQ151" s="56"/>
      <c r="JR151" s="242">
        <f t="shared" si="1094"/>
        <v>0</v>
      </c>
      <c r="JS151" s="242">
        <f t="shared" si="1095"/>
        <v>9100</v>
      </c>
      <c r="JT151" s="56"/>
      <c r="JW151" s="55">
        <f t="shared" si="1096"/>
        <v>46147</v>
      </c>
      <c r="JX151" s="56"/>
      <c r="JY151" s="242">
        <f>SUMPRODUCT(PRODUCE!$B158:$DY158,PRODUCE!$EB$38:$IY$38)</f>
        <v>0</v>
      </c>
      <c r="JZ151" s="56"/>
      <c r="KA151" s="242">
        <f t="shared" si="1097"/>
        <v>0</v>
      </c>
      <c r="KB151" s="242">
        <f t="shared" si="1098"/>
        <v>2540</v>
      </c>
      <c r="KC151" s="56"/>
      <c r="KF151" s="55">
        <f t="shared" si="1099"/>
        <v>46147</v>
      </c>
      <c r="KG151" s="56"/>
      <c r="KH151" s="242">
        <f>SUMPRODUCT(PRODUCE!$B158:$DY158,PRODUCE!$EB$39:$IY$39)</f>
        <v>0</v>
      </c>
      <c r="KI151" s="56"/>
      <c r="KJ151" s="242">
        <f t="shared" si="1100"/>
        <v>0</v>
      </c>
      <c r="KK151" s="242">
        <f t="shared" si="1101"/>
        <v>2359.5</v>
      </c>
      <c r="KL151" s="56"/>
      <c r="KO151" s="55">
        <f t="shared" si="1102"/>
        <v>46147</v>
      </c>
      <c r="KP151" s="56"/>
      <c r="KQ151" s="242">
        <f>SUMPRODUCT(PRODUCE!$B158:$DY158,PRODUCE!$EB$40:$IY$40)</f>
        <v>0</v>
      </c>
      <c r="KR151" s="56"/>
      <c r="KS151" s="242">
        <f t="shared" si="1103"/>
        <v>0</v>
      </c>
      <c r="KT151" s="242">
        <f t="shared" si="1104"/>
        <v>2079</v>
      </c>
      <c r="KU151" s="56"/>
      <c r="KW151" s="23"/>
      <c r="KX151" s="55">
        <f t="shared" si="1105"/>
        <v>46147</v>
      </c>
      <c r="KY151" s="56"/>
      <c r="KZ151" s="242">
        <f>SUMPRODUCT(PRODUCE!$B158:$DY158,PRODUCE!$EB$41:$IY$41)</f>
        <v>0</v>
      </c>
      <c r="LA151" s="56"/>
      <c r="LB151" s="242">
        <f t="shared" si="1106"/>
        <v>0</v>
      </c>
      <c r="LC151" s="242">
        <f t="shared" si="1107"/>
        <v>3690</v>
      </c>
      <c r="LD151" s="56"/>
      <c r="LG151" s="55">
        <f t="shared" si="1108"/>
        <v>46147</v>
      </c>
      <c r="LH151" s="56"/>
      <c r="LI151" s="242">
        <f>SUMPRODUCT(PRODUCE!$B158:$DY158,PRODUCE!$EB$42:$IY$42)</f>
        <v>0</v>
      </c>
      <c r="LJ151" s="56"/>
      <c r="LK151" s="242">
        <f t="shared" si="1109"/>
        <v>0</v>
      </c>
      <c r="LL151" s="242">
        <f t="shared" si="1110"/>
        <v>4000</v>
      </c>
      <c r="LM151" s="56"/>
      <c r="LP151" s="55">
        <f t="shared" si="1111"/>
        <v>46147</v>
      </c>
      <c r="LQ151" s="56"/>
      <c r="LR151" s="242">
        <f>SUMPRODUCT(PRODUCE!$B166:$DY166,PRODUCE!$EB$43:$IY$43)</f>
        <v>0</v>
      </c>
      <c r="LS151" s="56"/>
      <c r="LT151" s="242">
        <f t="shared" si="1112"/>
        <v>0</v>
      </c>
      <c r="LU151" s="242">
        <f t="shared" si="1113"/>
        <v>0</v>
      </c>
      <c r="LV151" s="56"/>
      <c r="LY151" s="55">
        <f t="shared" si="1114"/>
        <v>46147</v>
      </c>
      <c r="LZ151" s="56"/>
      <c r="MA151" s="242">
        <f>SUMPRODUCT(PRODUCE!$B158:$DY158,PRODUCE!$EB$44:$IY$44)</f>
        <v>0</v>
      </c>
      <c r="MB151" s="56"/>
      <c r="MC151" s="242">
        <f t="shared" si="1115"/>
        <v>0</v>
      </c>
      <c r="MD151" s="242">
        <f t="shared" si="1116"/>
        <v>0</v>
      </c>
      <c r="ME151" s="56"/>
      <c r="MH151" s="55">
        <f t="shared" si="1117"/>
        <v>46147</v>
      </c>
      <c r="MI151" s="56"/>
      <c r="MJ151" s="242">
        <f>SUMPRODUCT(PRODUCE!$B158:$DY158,PRODUCE!$EB$45:$IY$45)</f>
        <v>0</v>
      </c>
      <c r="MK151" s="56"/>
      <c r="ML151" s="242">
        <f t="shared" si="1118"/>
        <v>0</v>
      </c>
      <c r="MM151" s="242">
        <f t="shared" si="1119"/>
        <v>0</v>
      </c>
      <c r="MN151" s="56"/>
      <c r="MQ151" s="55">
        <f t="shared" si="1120"/>
        <v>46147</v>
      </c>
      <c r="MR151" s="56"/>
      <c r="MS151" s="242">
        <f>SUMPRODUCT(PRODUCE!$B158:$DY158,PRODUCE!$EB$46:$IY$46)</f>
        <v>0</v>
      </c>
      <c r="MT151" s="56"/>
      <c r="MU151" s="242">
        <f t="shared" si="1121"/>
        <v>0</v>
      </c>
      <c r="MV151" s="242">
        <f t="shared" si="1122"/>
        <v>3903</v>
      </c>
      <c r="MW151" s="56"/>
      <c r="MZ151" s="55">
        <f t="shared" si="1123"/>
        <v>46147</v>
      </c>
      <c r="NA151" s="56"/>
      <c r="NB151" s="242">
        <f>SUMPRODUCT(PRODUCE!$B158:$DY158,PRODUCE!$EB$47:$IY$47)</f>
        <v>0</v>
      </c>
      <c r="NC151" s="56"/>
      <c r="ND151" s="242">
        <f t="shared" si="1124"/>
        <v>0</v>
      </c>
      <c r="NE151" s="242">
        <f t="shared" si="1125"/>
        <v>0</v>
      </c>
      <c r="NF151" s="56"/>
      <c r="NI151" s="55">
        <f t="shared" si="1126"/>
        <v>46147</v>
      </c>
      <c r="NJ151" s="56"/>
      <c r="NK151" s="242">
        <f>SUMPRODUCT(PRODUCE!$B158:$DY158,PRODUCE!$EB$48:$IY$48)</f>
        <v>0</v>
      </c>
      <c r="NL151" s="56"/>
      <c r="NM151" s="242">
        <f t="shared" si="1127"/>
        <v>0</v>
      </c>
      <c r="NN151" s="242">
        <f t="shared" si="1128"/>
        <v>1137</v>
      </c>
      <c r="NO151" s="56"/>
      <c r="NR151" s="55">
        <f t="shared" si="1129"/>
        <v>46147</v>
      </c>
      <c r="NS151" s="56"/>
      <c r="NT151" s="242">
        <f>SUMPRODUCT(PRODUCE!$B158:$DY158,PRODUCE!$EB$49:$IY$49)</f>
        <v>0</v>
      </c>
      <c r="NU151" s="56"/>
      <c r="NV151" s="242">
        <f t="shared" si="1130"/>
        <v>0</v>
      </c>
      <c r="NW151" s="242">
        <f t="shared" si="1131"/>
        <v>3122.8999999999996</v>
      </c>
      <c r="NX151" s="56"/>
      <c r="OA151" s="55">
        <f t="shared" si="1132"/>
        <v>46147</v>
      </c>
      <c r="OB151" s="56"/>
      <c r="OC151" s="242">
        <f>SUMPRODUCT(PRODUCE!$B158:$DY158,PRODUCE!$EB$50:$IY$50)</f>
        <v>0</v>
      </c>
      <c r="OD151" s="56"/>
      <c r="OE151" s="242">
        <f t="shared" si="1133"/>
        <v>0</v>
      </c>
      <c r="OF151" s="242">
        <f t="shared" si="1134"/>
        <v>1680.5</v>
      </c>
      <c r="OG151" s="56"/>
      <c r="OJ151" s="55">
        <f t="shared" si="1135"/>
        <v>46147</v>
      </c>
      <c r="OK151" s="56"/>
      <c r="OL151" s="242">
        <f>SUMPRODUCT(PRODUCE!$B158:$DY158,PRODUCE!$EB$51:$IY$51)</f>
        <v>0</v>
      </c>
      <c r="OM151" s="56"/>
      <c r="ON151" s="242">
        <f t="shared" si="1136"/>
        <v>0</v>
      </c>
      <c r="OO151" s="242">
        <f t="shared" si="1137"/>
        <v>0</v>
      </c>
      <c r="OP151" s="56"/>
      <c r="OS151" s="55">
        <f t="shared" si="1138"/>
        <v>46147</v>
      </c>
      <c r="OT151" s="56"/>
      <c r="OU151" s="242">
        <f>SUMPRODUCT(PRODUCE!$B158:$DY158,PRODUCE!$EB$52:$IY$52)</f>
        <v>0</v>
      </c>
      <c r="OV151" s="56"/>
      <c r="OW151" s="242">
        <f t="shared" si="1139"/>
        <v>0</v>
      </c>
      <c r="OX151" s="242">
        <f t="shared" si="1140"/>
        <v>982</v>
      </c>
      <c r="OY151" s="56"/>
      <c r="PB151" s="55">
        <f t="shared" si="1141"/>
        <v>46147</v>
      </c>
      <c r="PC151" s="56"/>
      <c r="PD151" s="242">
        <f>SUMPRODUCT(PRODUCE!$B158:$DY158,PRODUCE!$EB$53:$IY$53)</f>
        <v>0</v>
      </c>
      <c r="PE151" s="56"/>
      <c r="PF151" s="242">
        <f t="shared" si="1142"/>
        <v>0</v>
      </c>
      <c r="PG151" s="242">
        <f t="shared" si="1143"/>
        <v>0</v>
      </c>
      <c r="PH151" s="56"/>
      <c r="PK151" s="55">
        <f t="shared" si="1144"/>
        <v>46147</v>
      </c>
      <c r="PL151" s="56"/>
      <c r="PM151" s="242">
        <f>SUMPRODUCT(PRODUCE!$B158:$DY158,PRODUCE!$EB$54:$IY$54)</f>
        <v>0</v>
      </c>
      <c r="PN151" s="56"/>
      <c r="PO151" s="242">
        <f t="shared" si="1145"/>
        <v>0</v>
      </c>
      <c r="PP151" s="242">
        <f t="shared" si="1146"/>
        <v>100</v>
      </c>
      <c r="PQ151" s="56"/>
      <c r="PT151" s="55">
        <f t="shared" si="1147"/>
        <v>46147</v>
      </c>
      <c r="PU151" s="56"/>
      <c r="PV151" s="242">
        <f>SUMPRODUCT(PRODUCE!$B158:$DY158,PRODUCE!$EB$55:$IY$55)</f>
        <v>0</v>
      </c>
      <c r="PW151" s="56"/>
      <c r="PX151" s="242">
        <f t="shared" si="1148"/>
        <v>0</v>
      </c>
      <c r="PY151" s="242">
        <f t="shared" si="1149"/>
        <v>13.960000000000036</v>
      </c>
      <c r="PZ151" s="56"/>
      <c r="QC151" s="55">
        <f t="shared" si="1150"/>
        <v>46147</v>
      </c>
      <c r="QD151" s="56"/>
      <c r="QE151" s="242">
        <f>SUMPRODUCT(PRODUCE!$B158:$DY158,PRODUCE!$EB$56:$IY$56)</f>
        <v>0</v>
      </c>
      <c r="QF151" s="56"/>
      <c r="QG151" s="242">
        <f t="shared" si="1151"/>
        <v>0</v>
      </c>
      <c r="QH151" s="242">
        <f t="shared" si="1152"/>
        <v>596</v>
      </c>
      <c r="QI151" s="56"/>
      <c r="QL151" s="55">
        <f t="shared" si="1153"/>
        <v>46147</v>
      </c>
      <c r="QM151" s="56"/>
      <c r="QN151" s="242">
        <f>SUMPRODUCT(PRODUCE!$B158:$DY158,PRODUCE!$EB$57:$IY$57)</f>
        <v>0</v>
      </c>
      <c r="QO151" s="56"/>
      <c r="QP151" s="242">
        <f t="shared" si="1154"/>
        <v>0</v>
      </c>
      <c r="QQ151" s="242">
        <f t="shared" si="1155"/>
        <v>400</v>
      </c>
      <c r="QR151" s="56"/>
      <c r="QU151" s="55">
        <f t="shared" si="1156"/>
        <v>46147</v>
      </c>
      <c r="QV151" s="56"/>
      <c r="QW151" s="242">
        <f>SUMPRODUCT(PRODUCE!$B158:$DY158,PRODUCE!$EB$58:$IY$58)</f>
        <v>0</v>
      </c>
      <c r="QX151" s="56"/>
      <c r="QY151" s="242">
        <f t="shared" si="1157"/>
        <v>0</v>
      </c>
      <c r="QZ151" s="242">
        <f t="shared" si="1158"/>
        <v>207.6</v>
      </c>
      <c r="RA151" s="56"/>
      <c r="RD151" s="55">
        <f t="shared" si="1159"/>
        <v>46147</v>
      </c>
      <c r="RE151" s="56"/>
      <c r="RF151" s="242">
        <f>SUMPRODUCT(PRODUCE!$B158:$DY158,PRODUCE!$EB$59:$IY$59)</f>
        <v>0</v>
      </c>
      <c r="RG151" s="56"/>
      <c r="RH151" s="242">
        <f t="shared" si="1160"/>
        <v>0</v>
      </c>
      <c r="RI151" s="242">
        <f t="shared" si="1161"/>
        <v>147.04000000000002</v>
      </c>
      <c r="RJ151" s="56"/>
      <c r="RM151" s="55">
        <f t="shared" si="1162"/>
        <v>46147</v>
      </c>
      <c r="RN151" s="56"/>
      <c r="RO151" s="242">
        <f>SUMPRODUCT(PRODUCE!$B158:$DY158,PRODUCE!$EB$60:$IY$60)</f>
        <v>0</v>
      </c>
      <c r="RP151" s="56"/>
      <c r="RQ151" s="242">
        <f t="shared" si="1163"/>
        <v>0</v>
      </c>
      <c r="RR151" s="242">
        <f t="shared" si="1164"/>
        <v>46.8</v>
      </c>
      <c r="RS151" s="56"/>
      <c r="RV151" s="55">
        <f t="shared" si="1165"/>
        <v>46147</v>
      </c>
      <c r="RW151" s="56"/>
      <c r="RX151" s="242">
        <f>SUMPRODUCT(PRODUCE!$B158:$DY158,PRODUCE!$EB$61:$IY$61)</f>
        <v>0</v>
      </c>
      <c r="RY151" s="56"/>
      <c r="RZ151" s="242">
        <f t="shared" si="1166"/>
        <v>0</v>
      </c>
      <c r="SA151" s="242">
        <f t="shared" si="1167"/>
        <v>0</v>
      </c>
      <c r="SB151" s="56"/>
      <c r="SE151" s="55">
        <f t="shared" si="1168"/>
        <v>46147</v>
      </c>
      <c r="SF151" s="56"/>
      <c r="SG151" s="242">
        <f>SUMPRODUCT(PRODUCE!$B158:$DY158,PRODUCE!$EB$62:$IY$62)</f>
        <v>0</v>
      </c>
      <c r="SH151" s="56"/>
      <c r="SI151" s="242">
        <f t="shared" si="1169"/>
        <v>0</v>
      </c>
      <c r="SJ151" s="242">
        <f t="shared" si="1170"/>
        <v>24.200000000000003</v>
      </c>
      <c r="SK151" s="56"/>
      <c r="SN151" s="55">
        <f t="shared" si="1171"/>
        <v>46147</v>
      </c>
      <c r="SO151" s="56"/>
      <c r="SP151" s="242">
        <f>SUMPRODUCT(PRODUCE!$B158:$DY158,PRODUCE!$EB$63:$IY$63)</f>
        <v>0</v>
      </c>
      <c r="SQ151" s="56"/>
      <c r="SR151" s="242">
        <f t="shared" si="1172"/>
        <v>0</v>
      </c>
      <c r="SS151" s="242">
        <f t="shared" si="1173"/>
        <v>32</v>
      </c>
      <c r="ST151" s="56"/>
      <c r="SW151" s="55">
        <f t="shared" si="1174"/>
        <v>46147</v>
      </c>
      <c r="SX151" s="56"/>
      <c r="SY151" s="242">
        <f>SUMPRODUCT(PRODUCE!$B158:$DY158,PRODUCE!$EB$64:$IY$64)</f>
        <v>0</v>
      </c>
      <c r="SZ151" s="56"/>
      <c r="TA151" s="242">
        <f t="shared" si="1175"/>
        <v>0</v>
      </c>
      <c r="TB151" s="242">
        <f t="shared" si="1176"/>
        <v>0</v>
      </c>
      <c r="TC151" s="56"/>
      <c r="TF151" s="55">
        <f t="shared" si="1177"/>
        <v>46147</v>
      </c>
      <c r="TG151" s="56"/>
      <c r="TH151" s="242">
        <f>SUMPRODUCT(PRODUCE!$B158:$DY158,PRODUCE!$EB$65:$IY$65)</f>
        <v>0</v>
      </c>
      <c r="TI151" s="56"/>
      <c r="TJ151" s="242">
        <f t="shared" si="1178"/>
        <v>0</v>
      </c>
      <c r="TK151" s="242">
        <f t="shared" si="1179"/>
        <v>0</v>
      </c>
      <c r="TL151" s="56"/>
      <c r="TO151" s="55">
        <f t="shared" si="1180"/>
        <v>46147</v>
      </c>
      <c r="TP151" s="56"/>
      <c r="TQ151" s="242">
        <f>SUMPRODUCT(PRODUCE!$B158:$DY158,PRODUCE!$EB$66:$IY$66)</f>
        <v>0</v>
      </c>
      <c r="TR151" s="56"/>
      <c r="TS151" s="242">
        <f t="shared" si="1181"/>
        <v>0</v>
      </c>
      <c r="TT151" s="242">
        <f t="shared" si="1182"/>
        <v>0</v>
      </c>
      <c r="TU151" s="56"/>
      <c r="TX151" s="55">
        <f t="shared" si="1183"/>
        <v>46147</v>
      </c>
      <c r="TY151" s="56"/>
      <c r="TZ151" s="242">
        <f>SUMPRODUCT(PRODUCE!$B158:$DY158,PRODUCE!$EB$67:$IY$67)</f>
        <v>0</v>
      </c>
      <c r="UA151" s="56"/>
      <c r="UB151" s="242">
        <f t="shared" si="1184"/>
        <v>0</v>
      </c>
      <c r="UC151" s="242">
        <f t="shared" si="1185"/>
        <v>0</v>
      </c>
      <c r="UD151" s="56"/>
      <c r="UG151" s="55">
        <f t="shared" si="1186"/>
        <v>46147</v>
      </c>
      <c r="UH151" s="56"/>
      <c r="UI151" s="242">
        <f>SUMPRODUCT(PRODUCE!$B158:$DY158,PRODUCE!$EB$68:$IY$68)</f>
        <v>0</v>
      </c>
      <c r="UJ151" s="56"/>
      <c r="UK151" s="242">
        <f t="shared" si="1187"/>
        <v>0</v>
      </c>
      <c r="UL151" s="242">
        <f t="shared" si="1188"/>
        <v>0</v>
      </c>
      <c r="UM151" s="56"/>
      <c r="UP151" s="55">
        <f t="shared" si="1189"/>
        <v>46147</v>
      </c>
      <c r="UQ151" s="56"/>
      <c r="UR151" s="242">
        <f>SUMPRODUCT(PRODUCE!$B158:$DY158,PRODUCE!$EB$69:$IY$69)</f>
        <v>0</v>
      </c>
      <c r="US151" s="56"/>
      <c r="UT151" s="242">
        <f t="shared" si="1190"/>
        <v>0</v>
      </c>
      <c r="UU151" s="242">
        <f t="shared" si="1191"/>
        <v>0</v>
      </c>
      <c r="UV151" s="56"/>
      <c r="UY151" s="55">
        <f t="shared" si="1192"/>
        <v>46147</v>
      </c>
      <c r="UZ151" s="56"/>
      <c r="VA151" s="242">
        <f>SUMPRODUCT(PRODUCE!$B158:$DY158,PRODUCE!$EB$70:$IY$70)</f>
        <v>0</v>
      </c>
      <c r="VB151" s="56"/>
      <c r="VC151" s="242">
        <f t="shared" si="1193"/>
        <v>0</v>
      </c>
      <c r="VD151" s="242">
        <f t="shared" si="1194"/>
        <v>41.600000000000023</v>
      </c>
      <c r="VE151" s="56"/>
      <c r="VH151" s="55">
        <f t="shared" si="1195"/>
        <v>46147</v>
      </c>
      <c r="VI151" s="56"/>
      <c r="VJ151" s="242">
        <f>SUMPRODUCT(PRODUCE!$B158:$DY158,PRODUCE!$EB$71:$IY$71)</f>
        <v>0</v>
      </c>
      <c r="VK151" s="56"/>
      <c r="VL151" s="242">
        <f t="shared" si="1196"/>
        <v>0</v>
      </c>
      <c r="VM151" s="242">
        <f t="shared" si="1197"/>
        <v>0</v>
      </c>
      <c r="VN151" s="56"/>
      <c r="VQ151" s="55">
        <f t="shared" si="1198"/>
        <v>46147</v>
      </c>
      <c r="VR151" s="56"/>
      <c r="VS151" s="242">
        <f>SUMPRODUCT(PRODUCE!$B158:$DY158,PRODUCE!$EB$57:$IY$57)</f>
        <v>0</v>
      </c>
      <c r="VT151" s="56"/>
      <c r="VU151" s="242">
        <f t="shared" si="1199"/>
        <v>0</v>
      </c>
      <c r="VV151" s="242">
        <f t="shared" si="1200"/>
        <v>0</v>
      </c>
      <c r="VW151" s="56"/>
      <c r="VZ151" s="55">
        <f t="shared" si="1201"/>
        <v>46147</v>
      </c>
      <c r="WA151" s="56"/>
      <c r="WB151" s="242">
        <f>SUMPRODUCT(PRODUCE!$B158:$DY158,PRODUCE!$EB$57:$IY$57)</f>
        <v>0</v>
      </c>
      <c r="WC151" s="56"/>
      <c r="WD151" s="242">
        <f t="shared" si="1202"/>
        <v>0</v>
      </c>
      <c r="WE151" s="242">
        <f t="shared" si="1203"/>
        <v>0</v>
      </c>
      <c r="WF151" s="56"/>
      <c r="WI151" s="55">
        <f t="shared" si="1204"/>
        <v>46147</v>
      </c>
      <c r="WJ151" s="422"/>
      <c r="WK151" s="540">
        <f>SUMPRODUCT(PRODUCE!$B158:$DY158,PRODUCE!$EB$74:$IY$74)</f>
        <v>0</v>
      </c>
      <c r="WL151" s="422"/>
      <c r="WM151" s="540">
        <f t="shared" si="1205"/>
        <v>0</v>
      </c>
      <c r="WN151" s="540">
        <f t="shared" si="1206"/>
        <v>2317</v>
      </c>
      <c r="WO151" s="56"/>
      <c r="WR151" s="55">
        <f t="shared" si="1207"/>
        <v>46147</v>
      </c>
      <c r="WS151" s="422"/>
      <c r="WT151" s="540">
        <f>SUMPRODUCT(PRODUCE!$B158:$DY158,PRODUCE!$EB$75:$IY$75)</f>
        <v>0</v>
      </c>
      <c r="WU151" s="422"/>
      <c r="WV151" s="540">
        <f t="shared" si="1208"/>
        <v>0</v>
      </c>
      <c r="WW151" s="540">
        <f t="shared" si="1209"/>
        <v>776</v>
      </c>
      <c r="WX151" s="56"/>
      <c r="XA151" s="55">
        <f t="shared" si="1210"/>
        <v>46147</v>
      </c>
      <c r="XB151" s="422"/>
      <c r="XC151" s="540">
        <f>SUMPRODUCT(PRODUCE!$B158:$DY158,PRODUCE!$EB$76:$IY$76)</f>
        <v>0</v>
      </c>
      <c r="XD151" s="422"/>
      <c r="XE151" s="540">
        <f t="shared" si="1211"/>
        <v>0</v>
      </c>
      <c r="XF151" s="540">
        <f t="shared" si="1212"/>
        <v>12453</v>
      </c>
      <c r="XG151" s="56"/>
      <c r="XJ151" s="55">
        <f t="shared" si="1213"/>
        <v>46147</v>
      </c>
      <c r="XK151" s="422"/>
      <c r="XL151" s="540">
        <f>SUMPRODUCT(PRODUCE!$B158:$DY158,PRODUCE!$EB$77:$IY$77)</f>
        <v>0</v>
      </c>
      <c r="XM151" s="422"/>
      <c r="XN151" s="540">
        <f t="shared" si="1214"/>
        <v>0</v>
      </c>
      <c r="XO151" s="540">
        <f t="shared" si="1215"/>
        <v>1481</v>
      </c>
      <c r="XP151" s="56"/>
      <c r="XS151" s="55">
        <f t="shared" si="1216"/>
        <v>46147</v>
      </c>
      <c r="XT151" s="56"/>
      <c r="XU151" s="242">
        <f>SUMPRODUCT(PRODUCE!$B158:$DY158,PRODUCE!$EB$78:$IY$78)</f>
        <v>0</v>
      </c>
      <c r="XV151" s="56"/>
      <c r="XW151" s="242">
        <f t="shared" si="1217"/>
        <v>0</v>
      </c>
      <c r="XX151" s="242">
        <f t="shared" si="1218"/>
        <v>1901</v>
      </c>
      <c r="XY151" s="56"/>
      <c r="YB151" s="55">
        <f t="shared" si="1219"/>
        <v>46147</v>
      </c>
      <c r="YC151" s="56"/>
      <c r="YD151" s="242">
        <f>SUMPRODUCT(PRODUCE!$B158:$DY158,PRODUCE!$EB$79:$IY$79)</f>
        <v>0</v>
      </c>
      <c r="YE151" s="56"/>
      <c r="YF151" s="242">
        <f t="shared" si="1220"/>
        <v>0</v>
      </c>
      <c r="YG151" s="242">
        <f t="shared" si="1221"/>
        <v>6459</v>
      </c>
      <c r="YH151" s="56"/>
      <c r="YK151" s="55">
        <f t="shared" si="1222"/>
        <v>46147</v>
      </c>
      <c r="YL151" s="56"/>
      <c r="YM151" s="242">
        <f>SUMPRODUCT(PRODUCE!$B158:$DY158,PRODUCE!$EB$80:$IY$80)</f>
        <v>0</v>
      </c>
      <c r="YN151" s="56"/>
      <c r="YO151" s="242">
        <f t="shared" si="1223"/>
        <v>0</v>
      </c>
      <c r="YP151" s="242">
        <f t="shared" si="1224"/>
        <v>0</v>
      </c>
      <c r="YQ151" s="56"/>
      <c r="YT151" s="55">
        <f t="shared" si="1225"/>
        <v>46147</v>
      </c>
      <c r="YU151" s="56"/>
      <c r="YV151" s="242">
        <f>SUMPRODUCT(PRODUCE!$B158:$DY158,PRODUCE!$EB$57:$IY$57)</f>
        <v>0</v>
      </c>
      <c r="YW151" s="56"/>
      <c r="YX151" s="242">
        <f t="shared" si="1226"/>
        <v>0</v>
      </c>
      <c r="YY151" s="242">
        <f t="shared" si="1227"/>
        <v>0</v>
      </c>
      <c r="YZ151" s="56"/>
      <c r="ZC151" s="55">
        <f t="shared" si="1228"/>
        <v>46147</v>
      </c>
      <c r="ZD151" s="56"/>
      <c r="ZE151" s="242">
        <f>SUMPRODUCT(PRODUCE!$B158:$DY158,PRODUCE!$EB$57:$IY$57)</f>
        <v>0</v>
      </c>
      <c r="ZF151" s="56"/>
      <c r="ZG151" s="242">
        <f t="shared" si="1229"/>
        <v>0</v>
      </c>
      <c r="ZH151" s="242">
        <f t="shared" si="1230"/>
        <v>0</v>
      </c>
      <c r="ZI151" s="56"/>
      <c r="ZL151" s="55">
        <f t="shared" si="1231"/>
        <v>46147</v>
      </c>
      <c r="ZM151" s="56"/>
      <c r="ZN151" s="242">
        <f>SUMPRODUCT(PRODUCE!$B158:$DY158,PRODUCE!$EB$57:$IY$57)</f>
        <v>0</v>
      </c>
      <c r="ZO151" s="56"/>
      <c r="ZP151" s="242">
        <f t="shared" si="1232"/>
        <v>0</v>
      </c>
      <c r="ZQ151" s="242">
        <f t="shared" si="1233"/>
        <v>0</v>
      </c>
      <c r="ZR151" s="56"/>
      <c r="ZU151" s="55">
        <f t="shared" si="1234"/>
        <v>46147</v>
      </c>
      <c r="ZV151" s="56"/>
      <c r="ZW151" s="242">
        <f>SUMPRODUCT(PRODUCE!$B158:$DY158,PRODUCE!$EB$57:$IY$57)</f>
        <v>0</v>
      </c>
      <c r="ZX151" s="56"/>
      <c r="ZY151" s="242">
        <f t="shared" si="1235"/>
        <v>0</v>
      </c>
      <c r="ZZ151" s="242">
        <f t="shared" si="1236"/>
        <v>0</v>
      </c>
      <c r="AAA151" s="56"/>
      <c r="AAD151" s="55">
        <f t="shared" si="1237"/>
        <v>46147</v>
      </c>
      <c r="AAE151" s="56"/>
      <c r="AAF151" s="242">
        <f>SUMPRODUCT(PRODUCE!$B158:$DY158,PRODUCE!$EB$57:$IY$57)</f>
        <v>0</v>
      </c>
      <c r="AAG151" s="56"/>
      <c r="AAH151" s="242">
        <f t="shared" si="1238"/>
        <v>0</v>
      </c>
      <c r="AAI151" s="242">
        <f t="shared" si="1239"/>
        <v>0</v>
      </c>
      <c r="AAJ151" s="56"/>
      <c r="AAM151" s="55">
        <f t="shared" si="1240"/>
        <v>46147</v>
      </c>
      <c r="AAN151" s="56"/>
      <c r="AAO151" s="242">
        <f>SUMPRODUCT(PRODUCE!$B158:$DY158,PRODUCE!$EB$57:$IY$57)</f>
        <v>0</v>
      </c>
      <c r="AAP151" s="56"/>
      <c r="AAQ151" s="242">
        <f t="shared" si="1241"/>
        <v>0</v>
      </c>
      <c r="AAR151" s="242">
        <f t="shared" si="1242"/>
        <v>0</v>
      </c>
      <c r="AAS151" s="56"/>
      <c r="AAV151" s="55">
        <f t="shared" si="1243"/>
        <v>46147</v>
      </c>
      <c r="AAW151" s="56"/>
      <c r="AAX151" s="242">
        <f>SUMPRODUCT(PRODUCE!$B158:$DY158,PRODUCE!$EB$57:$IY$57)</f>
        <v>0</v>
      </c>
      <c r="AAY151" s="56"/>
      <c r="AAZ151" s="242">
        <f t="shared" si="1244"/>
        <v>0</v>
      </c>
      <c r="ABA151" s="242">
        <f t="shared" si="1245"/>
        <v>0</v>
      </c>
      <c r="ABB151" s="56"/>
      <c r="ABE151" s="55">
        <f t="shared" si="1246"/>
        <v>46147</v>
      </c>
      <c r="ABF151" s="56"/>
      <c r="ABG151" s="242">
        <f>SUMPRODUCT(PRODUCE!$B158:$DY158,PRODUCE!$EB$57:$IY$57)</f>
        <v>0</v>
      </c>
      <c r="ABH151" s="56"/>
      <c r="ABI151" s="242">
        <f t="shared" si="1247"/>
        <v>0</v>
      </c>
      <c r="ABJ151" s="242">
        <f t="shared" si="1248"/>
        <v>0</v>
      </c>
      <c r="ABK151" s="56"/>
    </row>
    <row r="152" spans="2:739" s="54" customFormat="1" ht="15" customHeight="1" outlineLevel="1">
      <c r="B152" s="478">
        <v>38</v>
      </c>
      <c r="C152" s="55">
        <v>46148</v>
      </c>
      <c r="D152" s="422">
        <v>55480</v>
      </c>
      <c r="E152" s="423">
        <f>SUMPRODUCT(PRODUCE!$B159:$DY159,PRODUCE!$EB$7:$IY$7)</f>
        <v>19242.439999999999</v>
      </c>
      <c r="F152" s="422">
        <v>19243.400000000001</v>
      </c>
      <c r="G152" s="423">
        <f t="shared" si="1004"/>
        <v>-0.96000000000276486</v>
      </c>
      <c r="H152" s="423">
        <f t="shared" si="1005"/>
        <v>237334.20000000004</v>
      </c>
      <c r="I152" s="289" t="s">
        <v>260</v>
      </c>
      <c r="L152" s="55">
        <f t="shared" si="1006"/>
        <v>46148</v>
      </c>
      <c r="M152" s="422"/>
      <c r="N152" s="438">
        <f>SUMPRODUCT(PRODUCE!$B159:$DY159,PRODUCE!$EB$8:$IY$8)</f>
        <v>12053.6</v>
      </c>
      <c r="O152" s="422">
        <v>12054.8</v>
      </c>
      <c r="P152" s="438">
        <f t="shared" si="1007"/>
        <v>-1.1999999999989086</v>
      </c>
      <c r="Q152" s="438">
        <f t="shared" si="1008"/>
        <v>39449.400000000096</v>
      </c>
      <c r="R152" s="56"/>
      <c r="U152" s="55">
        <f t="shared" si="1009"/>
        <v>46148</v>
      </c>
      <c r="V152" s="422"/>
      <c r="W152" s="440">
        <f>SUMPRODUCT(PRODUCE!$B159:$DY159,PRODUCE!$EB$9:$IY$9)</f>
        <v>1900</v>
      </c>
      <c r="X152" s="422">
        <v>1901.4</v>
      </c>
      <c r="Y152" s="440">
        <f t="shared" si="1010"/>
        <v>-1.4000000000000909</v>
      </c>
      <c r="Z152" s="440">
        <f t="shared" si="1011"/>
        <v>16864.399999999972</v>
      </c>
      <c r="AA152" s="56"/>
      <c r="AD152" s="55">
        <f t="shared" si="1012"/>
        <v>46148</v>
      </c>
      <c r="AE152" s="422"/>
      <c r="AF152" s="442">
        <f>SUMPRODUCT(PRODUCE!$B159:$DY159,PRODUCE!$EB$10:$IY$10)</f>
        <v>1900</v>
      </c>
      <c r="AG152" s="422">
        <v>1898.8</v>
      </c>
      <c r="AH152" s="442">
        <f t="shared" si="1013"/>
        <v>1.2000000000000455</v>
      </c>
      <c r="AI152" s="442">
        <f t="shared" si="1014"/>
        <v>3029.6000000000176</v>
      </c>
      <c r="AJ152" s="56"/>
      <c r="AM152" s="55">
        <f t="shared" si="1015"/>
        <v>46148</v>
      </c>
      <c r="AN152" s="422"/>
      <c r="AO152" s="444">
        <f>SUMPRODUCT(PRODUCE!$B159:$DY159,PRODUCE!$EB$11:$IY$11)</f>
        <v>0</v>
      </c>
      <c r="AP152" s="422"/>
      <c r="AQ152" s="444">
        <f t="shared" si="1016"/>
        <v>0</v>
      </c>
      <c r="AR152" s="444">
        <f t="shared" si="1017"/>
        <v>0</v>
      </c>
      <c r="AS152" s="56"/>
      <c r="AV152" s="55">
        <f t="shared" si="1018"/>
        <v>46148</v>
      </c>
      <c r="AW152" s="422"/>
      <c r="AX152" s="446">
        <f>SUMPRODUCT(PRODUCE!$B159:$DY159,PRODUCE!$EB$12:$IY$12)</f>
        <v>0</v>
      </c>
      <c r="AY152" s="422"/>
      <c r="AZ152" s="446">
        <f t="shared" si="1019"/>
        <v>0</v>
      </c>
      <c r="BA152" s="446">
        <f t="shared" si="1020"/>
        <v>36610.899999999994</v>
      </c>
      <c r="BB152" s="56"/>
      <c r="BE152" s="55">
        <f t="shared" si="1021"/>
        <v>46148</v>
      </c>
      <c r="BF152" s="422"/>
      <c r="BG152" s="448">
        <f>SUMPRODUCT(PRODUCE!$B159:$DY159,PRODUCE!$EB$13:$IY$13)</f>
        <v>741</v>
      </c>
      <c r="BH152" s="422">
        <v>741.1</v>
      </c>
      <c r="BI152" s="448">
        <f t="shared" si="1022"/>
        <v>-0.10000000000002274</v>
      </c>
      <c r="BJ152" s="448">
        <f t="shared" si="1023"/>
        <v>23734.69999999999</v>
      </c>
      <c r="BK152" s="56"/>
      <c r="BN152" s="55">
        <f t="shared" si="1024"/>
        <v>46148</v>
      </c>
      <c r="BO152" s="422">
        <v>893</v>
      </c>
      <c r="BP152" s="450">
        <f>SUMPRODUCT(PRODUCE!$B159:$DY159,PRODUCE!$EB$14:$IY$14)</f>
        <v>893</v>
      </c>
      <c r="BQ152" s="422">
        <v>893</v>
      </c>
      <c r="BR152" s="450">
        <f t="shared" si="1025"/>
        <v>0</v>
      </c>
      <c r="BS152" s="450">
        <f t="shared" si="1026"/>
        <v>0</v>
      </c>
      <c r="BT152" s="56"/>
      <c r="BW152" s="55">
        <f t="shared" si="1027"/>
        <v>46148</v>
      </c>
      <c r="BX152" s="422"/>
      <c r="BY152" s="523">
        <f>SUMPRODUCT(PRODUCE!$B159:$DY159,PRODUCE!$EB$15:$IY$15)</f>
        <v>0</v>
      </c>
      <c r="BZ152" s="422"/>
      <c r="CA152" s="523">
        <f t="shared" si="1028"/>
        <v>0</v>
      </c>
      <c r="CB152" s="523">
        <f t="shared" si="1029"/>
        <v>5848.7999999999993</v>
      </c>
      <c r="CC152" s="56"/>
      <c r="CF152" s="55">
        <f t="shared" si="1030"/>
        <v>46148</v>
      </c>
      <c r="CG152" s="422">
        <v>513.6</v>
      </c>
      <c r="CH152" s="524">
        <f>SUMPRODUCT(PRODUCE!$B159:$DY159,PRODUCE!$EB$16:$IY$16)</f>
        <v>243.96</v>
      </c>
      <c r="CI152" s="422">
        <v>513.6</v>
      </c>
      <c r="CJ152" s="524">
        <f t="shared" si="1031"/>
        <v>-269.64</v>
      </c>
      <c r="CK152" s="524">
        <f t="shared" si="1032"/>
        <v>0</v>
      </c>
      <c r="CL152" s="56"/>
      <c r="CO152" s="55">
        <f t="shared" si="1033"/>
        <v>46148</v>
      </c>
      <c r="CP152" s="422"/>
      <c r="CQ152" s="470">
        <f>SUMPRODUCT(PRODUCE!$B159:$DY159,PRODUCE!$EB$17:$IY$17)</f>
        <v>0</v>
      </c>
      <c r="CR152" s="422"/>
      <c r="CS152" s="470">
        <f t="shared" si="1034"/>
        <v>0</v>
      </c>
      <c r="CT152" s="470">
        <f t="shared" si="1035"/>
        <v>0</v>
      </c>
      <c r="CU152" s="56"/>
      <c r="CX152" s="55">
        <f t="shared" si="1036"/>
        <v>46148</v>
      </c>
      <c r="CY152" s="422"/>
      <c r="CZ152" s="525">
        <f>SUMPRODUCT(PRODUCE!$B159:$DY159,PRODUCE!$EB$18:$IY$18)</f>
        <v>0</v>
      </c>
      <c r="DA152" s="422"/>
      <c r="DB152" s="525">
        <f t="shared" si="1037"/>
        <v>0</v>
      </c>
      <c r="DC152" s="525">
        <f t="shared" si="1038"/>
        <v>21657.000000000004</v>
      </c>
      <c r="DD152" s="56"/>
      <c r="DG152" s="55">
        <f t="shared" si="1039"/>
        <v>46148</v>
      </c>
      <c r="DH152" s="422"/>
      <c r="DI152" s="526">
        <f>SUMPRODUCT(PRODUCE!$B159:$DY159,PRODUCE!$EB$19:$IY$19)</f>
        <v>0</v>
      </c>
      <c r="DJ152" s="422"/>
      <c r="DK152" s="526">
        <f t="shared" si="1040"/>
        <v>0</v>
      </c>
      <c r="DL152" s="526">
        <f t="shared" si="1041"/>
        <v>40938.499999999985</v>
      </c>
      <c r="DM152" s="56"/>
      <c r="DP152" s="55">
        <f t="shared" si="1042"/>
        <v>46148</v>
      </c>
      <c r="DQ152" s="422"/>
      <c r="DR152" s="423">
        <f>SUMPRODUCT(PRODUCE!$B159:$DY159,PRODUCE!$EB$20:$IY$20)</f>
        <v>0</v>
      </c>
      <c r="DS152" s="422"/>
      <c r="DT152" s="423">
        <f t="shared" si="1043"/>
        <v>0</v>
      </c>
      <c r="DU152" s="423">
        <f t="shared" si="1044"/>
        <v>5800</v>
      </c>
      <c r="DV152" s="56"/>
      <c r="DY152" s="55">
        <f t="shared" si="1045"/>
        <v>46148</v>
      </c>
      <c r="DZ152" s="56"/>
      <c r="EA152" s="157">
        <f>SUMPRODUCT(PRODUCE!$B159:$DY159,PRODUCE!$EB$21:$IY$21)</f>
        <v>0</v>
      </c>
      <c r="EB152" s="56"/>
      <c r="EC152" s="157">
        <f t="shared" si="1046"/>
        <v>0</v>
      </c>
      <c r="ED152" s="157">
        <f t="shared" si="1047"/>
        <v>0</v>
      </c>
      <c r="EE152" s="56"/>
      <c r="EH152" s="55">
        <f t="shared" si="1048"/>
        <v>46148</v>
      </c>
      <c r="EI152" s="56"/>
      <c r="EJ152" s="162">
        <f>SUMPRODUCT(PRODUCE!$B159:$DY159,PRODUCE!$EB$22:$IY$22)</f>
        <v>0</v>
      </c>
      <c r="EK152" s="56"/>
      <c r="EL152" s="162">
        <f t="shared" si="1049"/>
        <v>0</v>
      </c>
      <c r="EM152" s="162">
        <f t="shared" si="1050"/>
        <v>0</v>
      </c>
      <c r="EN152" s="56"/>
      <c r="EQ152" s="55">
        <f t="shared" si="1051"/>
        <v>46148</v>
      </c>
      <c r="ER152" s="56"/>
      <c r="ES152" s="135">
        <f>SUMPRODUCT(PRODUCE!$B159:$DY159,PRODUCE!$EB$23:$IY$23)</f>
        <v>0</v>
      </c>
      <c r="ET152" s="56"/>
      <c r="EU152" s="135">
        <f t="shared" si="1052"/>
        <v>0</v>
      </c>
      <c r="EV152" s="135">
        <f t="shared" si="1053"/>
        <v>0</v>
      </c>
      <c r="EW152" s="56"/>
      <c r="EZ152" s="55">
        <f t="shared" si="1054"/>
        <v>46148</v>
      </c>
      <c r="FA152" s="56"/>
      <c r="FB152" s="175">
        <f>SUMPRODUCT(PRODUCE!$B159:$DY159,PRODUCE!$EB$24:$IY$24)</f>
        <v>0</v>
      </c>
      <c r="FC152" s="56"/>
      <c r="FD152" s="175">
        <f t="shared" si="1055"/>
        <v>0</v>
      </c>
      <c r="FE152" s="175">
        <f t="shared" si="1056"/>
        <v>0</v>
      </c>
      <c r="FF152" s="56"/>
      <c r="FI152" s="55">
        <f t="shared" si="1057"/>
        <v>46148</v>
      </c>
      <c r="FJ152" s="56"/>
      <c r="FK152" s="183">
        <f>SUMPRODUCT(PRODUCE!$B159:$DY159,PRODUCE!$EB$25:$IY$25)</f>
        <v>0</v>
      </c>
      <c r="FL152" s="56"/>
      <c r="FM152" s="183">
        <f t="shared" si="1058"/>
        <v>0</v>
      </c>
      <c r="FN152" s="183">
        <f t="shared" si="1059"/>
        <v>0</v>
      </c>
      <c r="FO152" s="56"/>
      <c r="FR152" s="55">
        <f t="shared" si="1060"/>
        <v>46148</v>
      </c>
      <c r="FS152" s="56"/>
      <c r="FT152" s="186">
        <f>SUMPRODUCT(PRODUCE!$B159:$DY159,PRODUCE!$EB$26:$IY$26)</f>
        <v>0</v>
      </c>
      <c r="FU152" s="56"/>
      <c r="FV152" s="186">
        <f t="shared" si="1061"/>
        <v>0</v>
      </c>
      <c r="FW152" s="186">
        <f t="shared" si="1062"/>
        <v>2120</v>
      </c>
      <c r="FX152" s="56"/>
      <c r="GA152" s="55">
        <f t="shared" si="1063"/>
        <v>46148</v>
      </c>
      <c r="GB152" s="56"/>
      <c r="GC152" s="137">
        <f>SUMPRODUCT(PRODUCE!$B159:$DY159,PRODUCE!$EB$27:$IY$27)</f>
        <v>0</v>
      </c>
      <c r="GD152" s="56"/>
      <c r="GE152" s="137">
        <f t="shared" si="1064"/>
        <v>0</v>
      </c>
      <c r="GF152" s="137">
        <f t="shared" si="1065"/>
        <v>3640</v>
      </c>
      <c r="GG152" s="56"/>
      <c r="GI152" s="23"/>
      <c r="GJ152" s="55">
        <f t="shared" si="1066"/>
        <v>46148</v>
      </c>
      <c r="GK152" s="56"/>
      <c r="GL152" s="199">
        <f>SUMPRODUCT(PRODUCE!$B159:$DY159,PRODUCE!$EB$28:$IY$28)</f>
        <v>0</v>
      </c>
      <c r="GM152" s="56"/>
      <c r="GN152" s="199">
        <f t="shared" si="1067"/>
        <v>0</v>
      </c>
      <c r="GO152" s="199">
        <f t="shared" si="1068"/>
        <v>2080</v>
      </c>
      <c r="GP152" s="56"/>
      <c r="GS152" s="55">
        <f t="shared" si="1069"/>
        <v>46148</v>
      </c>
      <c r="GT152" s="56"/>
      <c r="GU152" s="195">
        <f>SUMPRODUCT(PRODUCE!$B159:$DY159,PRODUCE!$EB$29:$IY$29)</f>
        <v>0</v>
      </c>
      <c r="GV152" s="56"/>
      <c r="GW152" s="195">
        <f t="shared" si="1070"/>
        <v>0</v>
      </c>
      <c r="GX152" s="195">
        <f t="shared" si="1071"/>
        <v>0</v>
      </c>
      <c r="GY152" s="56"/>
      <c r="HB152" s="55">
        <f t="shared" si="1072"/>
        <v>46148</v>
      </c>
      <c r="HC152" s="56"/>
      <c r="HD152" s="191">
        <f>SUMPRODUCT(PRODUCE!$B159:$DY159,PRODUCE!$EB$30:$IY$30)</f>
        <v>0</v>
      </c>
      <c r="HE152" s="56"/>
      <c r="HF152" s="191">
        <f t="shared" si="1073"/>
        <v>0</v>
      </c>
      <c r="HG152" s="191">
        <f t="shared" si="1074"/>
        <v>0</v>
      </c>
      <c r="HH152" s="56"/>
      <c r="HK152" s="55">
        <f t="shared" si="1075"/>
        <v>46148</v>
      </c>
      <c r="HL152" s="56"/>
      <c r="HM152" s="63">
        <f>SUMPRODUCT(PRODUCE!$B159:$DY159,PRODUCE!$EB$31:$IY$31)</f>
        <v>0</v>
      </c>
      <c r="HN152" s="56"/>
      <c r="HO152" s="63">
        <f t="shared" si="1076"/>
        <v>0</v>
      </c>
      <c r="HP152" s="63">
        <f t="shared" si="1077"/>
        <v>0</v>
      </c>
      <c r="HQ152" s="56"/>
      <c r="HU152" s="55">
        <f t="shared" si="1078"/>
        <v>46148</v>
      </c>
      <c r="HV152" s="56"/>
      <c r="HW152" s="242">
        <f>SUMPRODUCT(PRODUCE!$B159:$DY159,PRODUCE!$EB$32:$IY$32)</f>
        <v>0</v>
      </c>
      <c r="HX152" s="56"/>
      <c r="HY152" s="242">
        <f t="shared" si="1079"/>
        <v>0</v>
      </c>
      <c r="HZ152" s="242">
        <f t="shared" si="1080"/>
        <v>6360</v>
      </c>
      <c r="IA152" s="56"/>
      <c r="ID152" s="55">
        <f t="shared" si="1081"/>
        <v>46148</v>
      </c>
      <c r="IE152" s="56"/>
      <c r="IF152" s="242">
        <f>SUMPRODUCT(PRODUCE!$B159:$DY159,PRODUCE!$EB$33:$IY$33)</f>
        <v>0</v>
      </c>
      <c r="IG152" s="56"/>
      <c r="IH152" s="242">
        <f t="shared" si="1082"/>
        <v>0</v>
      </c>
      <c r="II152" s="242">
        <f t="shared" si="1083"/>
        <v>6540</v>
      </c>
      <c r="IJ152" s="56"/>
      <c r="IM152" s="55">
        <f t="shared" si="1084"/>
        <v>46148</v>
      </c>
      <c r="IN152" s="56"/>
      <c r="IO152" s="242">
        <f>SUMPRODUCT(PRODUCE!$B159:$DY159,PRODUCE!$EB$34:$IY$34)</f>
        <v>0</v>
      </c>
      <c r="IP152" s="56"/>
      <c r="IQ152" s="242">
        <f t="shared" si="1085"/>
        <v>0</v>
      </c>
      <c r="IR152" s="242">
        <f t="shared" si="1086"/>
        <v>11540</v>
      </c>
      <c r="IS152" s="56"/>
      <c r="IV152" s="55">
        <f t="shared" si="1087"/>
        <v>46148</v>
      </c>
      <c r="IW152" s="56"/>
      <c r="IX152" s="242">
        <f>SUMPRODUCT(PRODUCE!$B159:$DY159,PRODUCE!$EB$35:$IY$35)</f>
        <v>0</v>
      </c>
      <c r="IY152" s="56"/>
      <c r="IZ152" s="242">
        <f t="shared" si="1088"/>
        <v>0</v>
      </c>
      <c r="JA152" s="242">
        <f t="shared" si="1089"/>
        <v>15120</v>
      </c>
      <c r="JB152" s="56"/>
      <c r="JE152" s="55">
        <f t="shared" si="1090"/>
        <v>46148</v>
      </c>
      <c r="JF152" s="56"/>
      <c r="JG152" s="242">
        <f>SUMPRODUCT(PRODUCE!$B159:$DY159,PRODUCE!$EB$36:$IY$36)</f>
        <v>760</v>
      </c>
      <c r="JH152" s="56">
        <f>80*20</f>
        <v>1600</v>
      </c>
      <c r="JI152" s="242">
        <f t="shared" si="1091"/>
        <v>-840</v>
      </c>
      <c r="JJ152" s="242">
        <f t="shared" si="1092"/>
        <v>360</v>
      </c>
      <c r="JK152" s="56">
        <f>JH152/20</f>
        <v>80</v>
      </c>
      <c r="JN152" s="55">
        <f t="shared" si="1093"/>
        <v>46148</v>
      </c>
      <c r="JO152" s="56"/>
      <c r="JP152" s="242">
        <f>SUMPRODUCT(PRODUCE!$B159:$DY159,PRODUCE!$EB$37:$IY$37)</f>
        <v>0</v>
      </c>
      <c r="JQ152" s="56"/>
      <c r="JR152" s="242">
        <f t="shared" si="1094"/>
        <v>0</v>
      </c>
      <c r="JS152" s="242">
        <f t="shared" si="1095"/>
        <v>9100</v>
      </c>
      <c r="JT152" s="56"/>
      <c r="JW152" s="55">
        <f t="shared" si="1096"/>
        <v>46148</v>
      </c>
      <c r="JX152" s="56"/>
      <c r="JY152" s="242">
        <f>SUMPRODUCT(PRODUCE!$B159:$DY159,PRODUCE!$EB$38:$IY$38)</f>
        <v>0</v>
      </c>
      <c r="JZ152" s="56"/>
      <c r="KA152" s="242">
        <f t="shared" si="1097"/>
        <v>0</v>
      </c>
      <c r="KB152" s="242">
        <f t="shared" si="1098"/>
        <v>2540</v>
      </c>
      <c r="KC152" s="56"/>
      <c r="KF152" s="55">
        <f t="shared" si="1099"/>
        <v>46148</v>
      </c>
      <c r="KG152" s="56"/>
      <c r="KH152" s="242">
        <f>SUMPRODUCT(PRODUCE!$B159:$DY159,PRODUCE!$EB$39:$IY$39)</f>
        <v>0</v>
      </c>
      <c r="KI152" s="56"/>
      <c r="KJ152" s="242">
        <f t="shared" si="1100"/>
        <v>0</v>
      </c>
      <c r="KK152" s="242">
        <f t="shared" si="1101"/>
        <v>2359.5</v>
      </c>
      <c r="KL152" s="56"/>
      <c r="KO152" s="55">
        <f t="shared" si="1102"/>
        <v>46148</v>
      </c>
      <c r="KP152" s="56"/>
      <c r="KQ152" s="242">
        <f>SUMPRODUCT(PRODUCE!$B159:$DY159,PRODUCE!$EB$40:$IY$40)</f>
        <v>0</v>
      </c>
      <c r="KR152" s="56"/>
      <c r="KS152" s="242">
        <f t="shared" si="1103"/>
        <v>0</v>
      </c>
      <c r="KT152" s="242">
        <f t="shared" si="1104"/>
        <v>2079</v>
      </c>
      <c r="KU152" s="56"/>
      <c r="KW152" s="23"/>
      <c r="KX152" s="55">
        <f t="shared" si="1105"/>
        <v>46148</v>
      </c>
      <c r="KY152" s="56"/>
      <c r="KZ152" s="242">
        <f>SUMPRODUCT(PRODUCE!$B159:$DY159,PRODUCE!$EB$41:$IY$41)</f>
        <v>0</v>
      </c>
      <c r="LA152" s="56"/>
      <c r="LB152" s="242">
        <f t="shared" si="1106"/>
        <v>0</v>
      </c>
      <c r="LC152" s="242">
        <f t="shared" si="1107"/>
        <v>3690</v>
      </c>
      <c r="LD152" s="56"/>
      <c r="LG152" s="55">
        <f t="shared" si="1108"/>
        <v>46148</v>
      </c>
      <c r="LH152" s="56"/>
      <c r="LI152" s="242">
        <f>SUMPRODUCT(PRODUCE!$B159:$DY159,PRODUCE!$EB$42:$IY$42)</f>
        <v>0</v>
      </c>
      <c r="LJ152" s="56"/>
      <c r="LK152" s="242">
        <f t="shared" si="1109"/>
        <v>0</v>
      </c>
      <c r="LL152" s="242">
        <f t="shared" si="1110"/>
        <v>4000</v>
      </c>
      <c r="LM152" s="56"/>
      <c r="LP152" s="55">
        <f t="shared" si="1111"/>
        <v>46148</v>
      </c>
      <c r="LQ152" s="56"/>
      <c r="LR152" s="242">
        <f>SUMPRODUCT(PRODUCE!$B167:$DY167,PRODUCE!$EB$43:$IY$43)</f>
        <v>0</v>
      </c>
      <c r="LS152" s="56"/>
      <c r="LT152" s="242">
        <f t="shared" si="1112"/>
        <v>0</v>
      </c>
      <c r="LU152" s="242">
        <f t="shared" si="1113"/>
        <v>0</v>
      </c>
      <c r="LV152" s="56"/>
      <c r="LY152" s="55">
        <f t="shared" si="1114"/>
        <v>46148</v>
      </c>
      <c r="LZ152" s="56"/>
      <c r="MA152" s="242">
        <f>SUMPRODUCT(PRODUCE!$B159:$DY159,PRODUCE!$EB$44:$IY$44)</f>
        <v>0</v>
      </c>
      <c r="MB152" s="56"/>
      <c r="MC152" s="242">
        <f t="shared" si="1115"/>
        <v>0</v>
      </c>
      <c r="MD152" s="242">
        <f t="shared" si="1116"/>
        <v>0</v>
      </c>
      <c r="ME152" s="56"/>
      <c r="MH152" s="55">
        <f t="shared" si="1117"/>
        <v>46148</v>
      </c>
      <c r="MI152" s="56"/>
      <c r="MJ152" s="242">
        <f>SUMPRODUCT(PRODUCE!$B159:$DY159,PRODUCE!$EB$45:$IY$45)</f>
        <v>0</v>
      </c>
      <c r="MK152" s="56"/>
      <c r="ML152" s="242">
        <f t="shared" si="1118"/>
        <v>0</v>
      </c>
      <c r="MM152" s="242">
        <f t="shared" si="1119"/>
        <v>0</v>
      </c>
      <c r="MN152" s="56"/>
      <c r="MQ152" s="55">
        <f t="shared" si="1120"/>
        <v>46148</v>
      </c>
      <c r="MR152" s="56"/>
      <c r="MS152" s="242">
        <f>SUMPRODUCT(PRODUCE!$B159:$DY159,PRODUCE!$EB$46:$IY$46)</f>
        <v>0</v>
      </c>
      <c r="MT152" s="56"/>
      <c r="MU152" s="242">
        <f t="shared" si="1121"/>
        <v>0</v>
      </c>
      <c r="MV152" s="242">
        <f t="shared" si="1122"/>
        <v>3903</v>
      </c>
      <c r="MW152" s="56"/>
      <c r="MZ152" s="55">
        <f t="shared" si="1123"/>
        <v>46148</v>
      </c>
      <c r="NA152" s="56">
        <v>240</v>
      </c>
      <c r="NB152" s="242">
        <f>SUMPRODUCT(PRODUCE!$B159:$DY159,PRODUCE!$EB$47:$IY$47)</f>
        <v>114</v>
      </c>
      <c r="NC152" s="56">
        <v>240</v>
      </c>
      <c r="ND152" s="242">
        <f t="shared" si="1124"/>
        <v>-126</v>
      </c>
      <c r="NE152" s="242">
        <f t="shared" si="1125"/>
        <v>0</v>
      </c>
      <c r="NF152" s="56"/>
      <c r="NI152" s="55">
        <f t="shared" si="1126"/>
        <v>46148</v>
      </c>
      <c r="NJ152" s="56"/>
      <c r="NK152" s="242">
        <f>SUMPRODUCT(PRODUCE!$B159:$DY159,PRODUCE!$EB$48:$IY$48)</f>
        <v>0</v>
      </c>
      <c r="NL152" s="56"/>
      <c r="NM152" s="242">
        <f t="shared" si="1127"/>
        <v>0</v>
      </c>
      <c r="NN152" s="242">
        <f t="shared" si="1128"/>
        <v>1137</v>
      </c>
      <c r="NO152" s="56"/>
      <c r="NR152" s="55">
        <f t="shared" si="1129"/>
        <v>46148</v>
      </c>
      <c r="NS152" s="56"/>
      <c r="NT152" s="242">
        <f>SUMPRODUCT(PRODUCE!$B159:$DY159,PRODUCE!$EB$49:$IY$49)</f>
        <v>0</v>
      </c>
      <c r="NU152" s="56"/>
      <c r="NV152" s="242">
        <f t="shared" si="1130"/>
        <v>0</v>
      </c>
      <c r="NW152" s="242">
        <f t="shared" si="1131"/>
        <v>3122.8999999999996</v>
      </c>
      <c r="NX152" s="56"/>
      <c r="OA152" s="55">
        <f t="shared" si="1132"/>
        <v>46148</v>
      </c>
      <c r="OB152" s="56"/>
      <c r="OC152" s="242">
        <f>SUMPRODUCT(PRODUCE!$B159:$DY159,PRODUCE!$EB$50:$IY$50)</f>
        <v>0</v>
      </c>
      <c r="OD152" s="56"/>
      <c r="OE152" s="242">
        <f t="shared" si="1133"/>
        <v>0</v>
      </c>
      <c r="OF152" s="242">
        <f t="shared" si="1134"/>
        <v>1680.5</v>
      </c>
      <c r="OG152" s="56"/>
      <c r="OJ152" s="55">
        <f t="shared" si="1135"/>
        <v>46148</v>
      </c>
      <c r="OK152" s="56"/>
      <c r="OL152" s="242">
        <f>SUMPRODUCT(PRODUCE!$B159:$DY159,PRODUCE!$EB$51:$IY$51)</f>
        <v>0</v>
      </c>
      <c r="OM152" s="56"/>
      <c r="ON152" s="242">
        <f t="shared" si="1136"/>
        <v>0</v>
      </c>
      <c r="OO152" s="242">
        <f t="shared" si="1137"/>
        <v>0</v>
      </c>
      <c r="OP152" s="56"/>
      <c r="OS152" s="55">
        <f t="shared" si="1138"/>
        <v>46148</v>
      </c>
      <c r="OT152" s="56"/>
      <c r="OU152" s="242">
        <f>SUMPRODUCT(PRODUCE!$B159:$DY159,PRODUCE!$EB$52:$IY$52)</f>
        <v>0</v>
      </c>
      <c r="OV152" s="56"/>
      <c r="OW152" s="242">
        <f t="shared" si="1139"/>
        <v>0</v>
      </c>
      <c r="OX152" s="242">
        <f t="shared" si="1140"/>
        <v>982</v>
      </c>
      <c r="OY152" s="56"/>
      <c r="PB152" s="55">
        <f t="shared" si="1141"/>
        <v>46148</v>
      </c>
      <c r="PC152" s="56"/>
      <c r="PD152" s="242">
        <f>SUMPRODUCT(PRODUCE!$B159:$DY159,PRODUCE!$EB$53:$IY$53)</f>
        <v>0</v>
      </c>
      <c r="PE152" s="56"/>
      <c r="PF152" s="242">
        <f t="shared" si="1142"/>
        <v>0</v>
      </c>
      <c r="PG152" s="242">
        <f t="shared" si="1143"/>
        <v>0</v>
      </c>
      <c r="PH152" s="56"/>
      <c r="PK152" s="55">
        <f t="shared" si="1144"/>
        <v>46148</v>
      </c>
      <c r="PL152" s="56"/>
      <c r="PM152" s="242">
        <f>SUMPRODUCT(PRODUCE!$B159:$DY159,PRODUCE!$EB$54:$IY$54)</f>
        <v>0</v>
      </c>
      <c r="PN152" s="56"/>
      <c r="PO152" s="242">
        <f t="shared" si="1145"/>
        <v>0</v>
      </c>
      <c r="PP152" s="242">
        <f t="shared" si="1146"/>
        <v>100</v>
      </c>
      <c r="PQ152" s="56"/>
      <c r="PT152" s="55">
        <f t="shared" si="1147"/>
        <v>46148</v>
      </c>
      <c r="PU152" s="56"/>
      <c r="PV152" s="242">
        <f>SUMPRODUCT(PRODUCE!$B159:$DY159,PRODUCE!$EB$55:$IY$55)</f>
        <v>0</v>
      </c>
      <c r="PW152" s="56"/>
      <c r="PX152" s="242">
        <f t="shared" si="1148"/>
        <v>0</v>
      </c>
      <c r="PY152" s="242">
        <f t="shared" si="1149"/>
        <v>13.960000000000036</v>
      </c>
      <c r="PZ152" s="56"/>
      <c r="QC152" s="55">
        <f t="shared" si="1150"/>
        <v>46148</v>
      </c>
      <c r="QD152" s="56"/>
      <c r="QE152" s="242">
        <f>SUMPRODUCT(PRODUCE!$B159:$DY159,PRODUCE!$EB$56:$IY$56)</f>
        <v>152</v>
      </c>
      <c r="QF152" s="56">
        <v>320</v>
      </c>
      <c r="QG152" s="242">
        <f t="shared" si="1151"/>
        <v>-168</v>
      </c>
      <c r="QH152" s="242">
        <f t="shared" si="1152"/>
        <v>276</v>
      </c>
      <c r="QI152" s="56"/>
      <c r="QL152" s="55">
        <f t="shared" si="1153"/>
        <v>46148</v>
      </c>
      <c r="QM152" s="56"/>
      <c r="QN152" s="242">
        <f>SUMPRODUCT(PRODUCE!$B159:$DY159,PRODUCE!$EB$57:$IY$57)</f>
        <v>0</v>
      </c>
      <c r="QO152" s="56"/>
      <c r="QP152" s="242">
        <f t="shared" si="1154"/>
        <v>0</v>
      </c>
      <c r="QQ152" s="242">
        <f t="shared" si="1155"/>
        <v>400</v>
      </c>
      <c r="QR152" s="56"/>
      <c r="QU152" s="55">
        <f t="shared" si="1156"/>
        <v>46148</v>
      </c>
      <c r="QV152" s="56"/>
      <c r="QW152" s="242">
        <f>SUMPRODUCT(PRODUCE!$B159:$DY159,PRODUCE!$EB$58:$IY$58)</f>
        <v>0</v>
      </c>
      <c r="QX152" s="56"/>
      <c r="QY152" s="242">
        <f t="shared" si="1157"/>
        <v>0</v>
      </c>
      <c r="QZ152" s="242">
        <f t="shared" si="1158"/>
        <v>207.6</v>
      </c>
      <c r="RA152" s="56"/>
      <c r="RD152" s="55">
        <f t="shared" si="1159"/>
        <v>46148</v>
      </c>
      <c r="RE152" s="56"/>
      <c r="RF152" s="242">
        <f>SUMPRODUCT(PRODUCE!$B159:$DY159,PRODUCE!$EB$59:$IY$59)</f>
        <v>0</v>
      </c>
      <c r="RG152" s="56"/>
      <c r="RH152" s="242">
        <f t="shared" si="1160"/>
        <v>0</v>
      </c>
      <c r="RI152" s="242">
        <f t="shared" si="1161"/>
        <v>147.04000000000002</v>
      </c>
      <c r="RJ152" s="56"/>
      <c r="RM152" s="55">
        <f t="shared" si="1162"/>
        <v>46148</v>
      </c>
      <c r="RN152" s="56"/>
      <c r="RO152" s="242">
        <f>SUMPRODUCT(PRODUCE!$B159:$DY159,PRODUCE!$EB$60:$IY$60)</f>
        <v>0</v>
      </c>
      <c r="RP152" s="56"/>
      <c r="RQ152" s="242">
        <f t="shared" si="1163"/>
        <v>0</v>
      </c>
      <c r="RR152" s="242">
        <f t="shared" si="1164"/>
        <v>46.8</v>
      </c>
      <c r="RS152" s="56"/>
      <c r="RV152" s="55">
        <f t="shared" si="1165"/>
        <v>46148</v>
      </c>
      <c r="RW152" s="56"/>
      <c r="RX152" s="242">
        <f>SUMPRODUCT(PRODUCE!$B159:$DY159,PRODUCE!$EB$61:$IY$61)</f>
        <v>0</v>
      </c>
      <c r="RY152" s="56"/>
      <c r="RZ152" s="242">
        <f t="shared" si="1166"/>
        <v>0</v>
      </c>
      <c r="SA152" s="242">
        <f t="shared" si="1167"/>
        <v>0</v>
      </c>
      <c r="SB152" s="56"/>
      <c r="SE152" s="55">
        <f t="shared" si="1168"/>
        <v>46148</v>
      </c>
      <c r="SF152" s="56"/>
      <c r="SG152" s="242">
        <f>SUMPRODUCT(PRODUCE!$B159:$DY159,PRODUCE!$EB$62:$IY$62)</f>
        <v>0</v>
      </c>
      <c r="SH152" s="56"/>
      <c r="SI152" s="242">
        <f t="shared" si="1169"/>
        <v>0</v>
      </c>
      <c r="SJ152" s="242">
        <f t="shared" si="1170"/>
        <v>24.200000000000003</v>
      </c>
      <c r="SK152" s="56"/>
      <c r="SN152" s="55">
        <f t="shared" si="1171"/>
        <v>46148</v>
      </c>
      <c r="SO152" s="56"/>
      <c r="SP152" s="242">
        <f>SUMPRODUCT(PRODUCE!$B159:$DY159,PRODUCE!$EB$63:$IY$63)</f>
        <v>0</v>
      </c>
      <c r="SQ152" s="56"/>
      <c r="SR152" s="242">
        <f t="shared" si="1172"/>
        <v>0</v>
      </c>
      <c r="SS152" s="242">
        <f t="shared" si="1173"/>
        <v>32</v>
      </c>
      <c r="ST152" s="56"/>
      <c r="SW152" s="55">
        <f t="shared" si="1174"/>
        <v>46148</v>
      </c>
      <c r="SX152" s="56"/>
      <c r="SY152" s="242">
        <f>SUMPRODUCT(PRODUCE!$B159:$DY159,PRODUCE!$EB$64:$IY$64)</f>
        <v>0</v>
      </c>
      <c r="SZ152" s="56"/>
      <c r="TA152" s="242">
        <f t="shared" si="1175"/>
        <v>0</v>
      </c>
      <c r="TB152" s="242">
        <f t="shared" si="1176"/>
        <v>0</v>
      </c>
      <c r="TC152" s="56"/>
      <c r="TF152" s="55">
        <f t="shared" si="1177"/>
        <v>46148</v>
      </c>
      <c r="TG152" s="56"/>
      <c r="TH152" s="242">
        <f>SUMPRODUCT(PRODUCE!$B159:$DY159,PRODUCE!$EB$65:$IY$65)</f>
        <v>0</v>
      </c>
      <c r="TI152" s="56"/>
      <c r="TJ152" s="242">
        <f t="shared" si="1178"/>
        <v>0</v>
      </c>
      <c r="TK152" s="242">
        <f t="shared" si="1179"/>
        <v>0</v>
      </c>
      <c r="TL152" s="56"/>
      <c r="TO152" s="55">
        <f t="shared" si="1180"/>
        <v>46148</v>
      </c>
      <c r="TP152" s="56"/>
      <c r="TQ152" s="242">
        <f>SUMPRODUCT(PRODUCE!$B159:$DY159,PRODUCE!$EB$66:$IY$66)</f>
        <v>0</v>
      </c>
      <c r="TR152" s="56"/>
      <c r="TS152" s="242">
        <f t="shared" si="1181"/>
        <v>0</v>
      </c>
      <c r="TT152" s="242">
        <f t="shared" si="1182"/>
        <v>0</v>
      </c>
      <c r="TU152" s="56"/>
      <c r="TX152" s="55">
        <f t="shared" si="1183"/>
        <v>46148</v>
      </c>
      <c r="TY152" s="56"/>
      <c r="TZ152" s="242">
        <f>SUMPRODUCT(PRODUCE!$B159:$DY159,PRODUCE!$EB$67:$IY$67)</f>
        <v>0</v>
      </c>
      <c r="UA152" s="56"/>
      <c r="UB152" s="242">
        <f t="shared" si="1184"/>
        <v>0</v>
      </c>
      <c r="UC152" s="242">
        <f t="shared" si="1185"/>
        <v>0</v>
      </c>
      <c r="UD152" s="56"/>
      <c r="UG152" s="55">
        <f t="shared" si="1186"/>
        <v>46148</v>
      </c>
      <c r="UH152" s="56"/>
      <c r="UI152" s="242">
        <f>SUMPRODUCT(PRODUCE!$B159:$DY159,PRODUCE!$EB$68:$IY$68)</f>
        <v>0</v>
      </c>
      <c r="UJ152" s="56"/>
      <c r="UK152" s="242">
        <f t="shared" si="1187"/>
        <v>0</v>
      </c>
      <c r="UL152" s="242">
        <f t="shared" si="1188"/>
        <v>0</v>
      </c>
      <c r="UM152" s="56"/>
      <c r="UP152" s="55">
        <f t="shared" si="1189"/>
        <v>46148</v>
      </c>
      <c r="UQ152" s="56"/>
      <c r="UR152" s="242">
        <f>SUMPRODUCT(PRODUCE!$B159:$DY159,PRODUCE!$EB$69:$IY$69)</f>
        <v>0</v>
      </c>
      <c r="US152" s="56"/>
      <c r="UT152" s="242">
        <f t="shared" si="1190"/>
        <v>0</v>
      </c>
      <c r="UU152" s="242">
        <f t="shared" si="1191"/>
        <v>0</v>
      </c>
      <c r="UV152" s="56"/>
      <c r="UY152" s="55">
        <f t="shared" si="1192"/>
        <v>46148</v>
      </c>
      <c r="UZ152" s="56"/>
      <c r="VA152" s="242">
        <f>SUMPRODUCT(PRODUCE!$B159:$DY159,PRODUCE!$EB$70:$IY$70)</f>
        <v>0</v>
      </c>
      <c r="VB152" s="56"/>
      <c r="VC152" s="242">
        <f t="shared" si="1193"/>
        <v>0</v>
      </c>
      <c r="VD152" s="242">
        <f t="shared" si="1194"/>
        <v>41.600000000000023</v>
      </c>
      <c r="VE152" s="56"/>
      <c r="VH152" s="55">
        <f t="shared" si="1195"/>
        <v>46148</v>
      </c>
      <c r="VI152" s="56"/>
      <c r="VJ152" s="242">
        <f>SUMPRODUCT(PRODUCE!$B159:$DY159,PRODUCE!$EB$71:$IY$71)</f>
        <v>0</v>
      </c>
      <c r="VK152" s="56"/>
      <c r="VL152" s="242">
        <f t="shared" si="1196"/>
        <v>0</v>
      </c>
      <c r="VM152" s="242">
        <f t="shared" si="1197"/>
        <v>0</v>
      </c>
      <c r="VN152" s="56"/>
      <c r="VQ152" s="55">
        <f t="shared" si="1198"/>
        <v>46148</v>
      </c>
      <c r="VR152" s="56"/>
      <c r="VS152" s="242">
        <f>SUMPRODUCT(PRODUCE!$B159:$DY159,PRODUCE!$EB$57:$IY$57)</f>
        <v>0</v>
      </c>
      <c r="VT152" s="56"/>
      <c r="VU152" s="242">
        <f t="shared" si="1199"/>
        <v>0</v>
      </c>
      <c r="VV152" s="242">
        <f t="shared" si="1200"/>
        <v>0</v>
      </c>
      <c r="VW152" s="56"/>
      <c r="VZ152" s="55">
        <f t="shared" si="1201"/>
        <v>46148</v>
      </c>
      <c r="WA152" s="56"/>
      <c r="WB152" s="242">
        <f>SUMPRODUCT(PRODUCE!$B159:$DY159,PRODUCE!$EB$57:$IY$57)</f>
        <v>0</v>
      </c>
      <c r="WC152" s="56"/>
      <c r="WD152" s="242">
        <f t="shared" si="1202"/>
        <v>0</v>
      </c>
      <c r="WE152" s="242">
        <f t="shared" si="1203"/>
        <v>0</v>
      </c>
      <c r="WF152" s="56"/>
      <c r="WI152" s="55">
        <f t="shared" si="1204"/>
        <v>46148</v>
      </c>
      <c r="WJ152" s="422"/>
      <c r="WK152" s="540">
        <f>SUMPRODUCT(PRODUCE!$B159:$DY159,PRODUCE!$EB$74:$IY$74)</f>
        <v>0</v>
      </c>
      <c r="WL152" s="422"/>
      <c r="WM152" s="540">
        <f t="shared" si="1205"/>
        <v>0</v>
      </c>
      <c r="WN152" s="540">
        <f t="shared" si="1206"/>
        <v>2317</v>
      </c>
      <c r="WO152" s="56"/>
      <c r="WR152" s="55">
        <f t="shared" si="1207"/>
        <v>46148</v>
      </c>
      <c r="WS152" s="422"/>
      <c r="WT152" s="540">
        <f>SUMPRODUCT(PRODUCE!$B159:$DY159,PRODUCE!$EB$75:$IY$75)</f>
        <v>0</v>
      </c>
      <c r="WU152" s="422"/>
      <c r="WV152" s="540">
        <f t="shared" si="1208"/>
        <v>0</v>
      </c>
      <c r="WW152" s="540">
        <f t="shared" si="1209"/>
        <v>776</v>
      </c>
      <c r="WX152" s="56"/>
      <c r="XA152" s="55">
        <f t="shared" si="1210"/>
        <v>46148</v>
      </c>
      <c r="XB152" s="422"/>
      <c r="XC152" s="540">
        <f>SUMPRODUCT(PRODUCE!$B159:$DY159,PRODUCE!$EB$76:$IY$76)</f>
        <v>0</v>
      </c>
      <c r="XD152" s="422"/>
      <c r="XE152" s="540">
        <f t="shared" si="1211"/>
        <v>0</v>
      </c>
      <c r="XF152" s="540">
        <f t="shared" si="1212"/>
        <v>12453</v>
      </c>
      <c r="XG152" s="56"/>
      <c r="XJ152" s="55">
        <f t="shared" si="1213"/>
        <v>46148</v>
      </c>
      <c r="XK152" s="422"/>
      <c r="XL152" s="540">
        <f>SUMPRODUCT(PRODUCE!$B159:$DY159,PRODUCE!$EB$77:$IY$77)</f>
        <v>0</v>
      </c>
      <c r="XM152" s="422"/>
      <c r="XN152" s="540">
        <f t="shared" si="1214"/>
        <v>0</v>
      </c>
      <c r="XO152" s="540">
        <f t="shared" si="1215"/>
        <v>1481</v>
      </c>
      <c r="XP152" s="56"/>
      <c r="XS152" s="55">
        <f t="shared" si="1216"/>
        <v>46148</v>
      </c>
      <c r="XT152" s="56"/>
      <c r="XU152" s="242">
        <f>SUMPRODUCT(PRODUCE!$B159:$DY159,PRODUCE!$EB$78:$IY$78)</f>
        <v>0</v>
      </c>
      <c r="XV152" s="56"/>
      <c r="XW152" s="242">
        <f t="shared" si="1217"/>
        <v>0</v>
      </c>
      <c r="XX152" s="242">
        <f t="shared" si="1218"/>
        <v>1901</v>
      </c>
      <c r="XY152" s="56"/>
      <c r="YB152" s="55">
        <f t="shared" si="1219"/>
        <v>46148</v>
      </c>
      <c r="YC152" s="56"/>
      <c r="YD152" s="242">
        <f>SUMPRODUCT(PRODUCE!$B159:$DY159,PRODUCE!$EB$79:$IY$79)</f>
        <v>0</v>
      </c>
      <c r="YE152" s="56"/>
      <c r="YF152" s="242">
        <f t="shared" si="1220"/>
        <v>0</v>
      </c>
      <c r="YG152" s="242">
        <f t="shared" si="1221"/>
        <v>6459</v>
      </c>
      <c r="YH152" s="56"/>
      <c r="YK152" s="55">
        <f t="shared" si="1222"/>
        <v>46148</v>
      </c>
      <c r="YL152" s="56"/>
      <c r="YM152" s="242">
        <f>SUMPRODUCT(PRODUCE!$B159:$DY159,PRODUCE!$EB$80:$IY$80)</f>
        <v>0</v>
      </c>
      <c r="YN152" s="56"/>
      <c r="YO152" s="242">
        <f t="shared" si="1223"/>
        <v>0</v>
      </c>
      <c r="YP152" s="242">
        <f t="shared" si="1224"/>
        <v>0</v>
      </c>
      <c r="YQ152" s="56"/>
      <c r="YT152" s="55">
        <f t="shared" si="1225"/>
        <v>46148</v>
      </c>
      <c r="YU152" s="56"/>
      <c r="YV152" s="242">
        <f>SUMPRODUCT(PRODUCE!$B159:$DY159,PRODUCE!$EB$57:$IY$57)</f>
        <v>0</v>
      </c>
      <c r="YW152" s="56"/>
      <c r="YX152" s="242">
        <f t="shared" si="1226"/>
        <v>0</v>
      </c>
      <c r="YY152" s="242">
        <f t="shared" si="1227"/>
        <v>0</v>
      </c>
      <c r="YZ152" s="56"/>
      <c r="ZC152" s="55">
        <f t="shared" si="1228"/>
        <v>46148</v>
      </c>
      <c r="ZD152" s="56"/>
      <c r="ZE152" s="242">
        <f>SUMPRODUCT(PRODUCE!$B159:$DY159,PRODUCE!$EB$57:$IY$57)</f>
        <v>0</v>
      </c>
      <c r="ZF152" s="56"/>
      <c r="ZG152" s="242">
        <f t="shared" si="1229"/>
        <v>0</v>
      </c>
      <c r="ZH152" s="242">
        <f t="shared" si="1230"/>
        <v>0</v>
      </c>
      <c r="ZI152" s="56"/>
      <c r="ZL152" s="55">
        <f t="shared" si="1231"/>
        <v>46148</v>
      </c>
      <c r="ZM152" s="56"/>
      <c r="ZN152" s="242">
        <f>SUMPRODUCT(PRODUCE!$B159:$DY159,PRODUCE!$EB$57:$IY$57)</f>
        <v>0</v>
      </c>
      <c r="ZO152" s="56"/>
      <c r="ZP152" s="242">
        <f t="shared" si="1232"/>
        <v>0</v>
      </c>
      <c r="ZQ152" s="242">
        <f t="shared" si="1233"/>
        <v>0</v>
      </c>
      <c r="ZR152" s="56"/>
      <c r="ZU152" s="55">
        <f t="shared" si="1234"/>
        <v>46148</v>
      </c>
      <c r="ZV152" s="56"/>
      <c r="ZW152" s="242">
        <f>SUMPRODUCT(PRODUCE!$B159:$DY159,PRODUCE!$EB$57:$IY$57)</f>
        <v>0</v>
      </c>
      <c r="ZX152" s="56"/>
      <c r="ZY152" s="242">
        <f t="shared" si="1235"/>
        <v>0</v>
      </c>
      <c r="ZZ152" s="242">
        <f t="shared" si="1236"/>
        <v>0</v>
      </c>
      <c r="AAA152" s="56"/>
      <c r="AAD152" s="55">
        <f t="shared" si="1237"/>
        <v>46148</v>
      </c>
      <c r="AAE152" s="56"/>
      <c r="AAF152" s="242">
        <f>SUMPRODUCT(PRODUCE!$B159:$DY159,PRODUCE!$EB$57:$IY$57)</f>
        <v>0</v>
      </c>
      <c r="AAG152" s="56"/>
      <c r="AAH152" s="242">
        <f t="shared" si="1238"/>
        <v>0</v>
      </c>
      <c r="AAI152" s="242">
        <f t="shared" si="1239"/>
        <v>0</v>
      </c>
      <c r="AAJ152" s="56"/>
      <c r="AAM152" s="55">
        <f t="shared" si="1240"/>
        <v>46148</v>
      </c>
      <c r="AAN152" s="56"/>
      <c r="AAO152" s="242">
        <f>SUMPRODUCT(PRODUCE!$B159:$DY159,PRODUCE!$EB$57:$IY$57)</f>
        <v>0</v>
      </c>
      <c r="AAP152" s="56"/>
      <c r="AAQ152" s="242">
        <f t="shared" si="1241"/>
        <v>0</v>
      </c>
      <c r="AAR152" s="242">
        <f t="shared" si="1242"/>
        <v>0</v>
      </c>
      <c r="AAS152" s="56"/>
      <c r="AAV152" s="55">
        <f t="shared" si="1243"/>
        <v>46148</v>
      </c>
      <c r="AAW152" s="56"/>
      <c r="AAX152" s="242">
        <f>SUMPRODUCT(PRODUCE!$B159:$DY159,PRODUCE!$EB$57:$IY$57)</f>
        <v>0</v>
      </c>
      <c r="AAY152" s="56"/>
      <c r="AAZ152" s="242">
        <f t="shared" si="1244"/>
        <v>0</v>
      </c>
      <c r="ABA152" s="242">
        <f t="shared" si="1245"/>
        <v>0</v>
      </c>
      <c r="ABB152" s="56"/>
      <c r="ABE152" s="55">
        <f t="shared" si="1246"/>
        <v>46148</v>
      </c>
      <c r="ABF152" s="56"/>
      <c r="ABG152" s="242">
        <f>SUMPRODUCT(PRODUCE!$B159:$DY159,PRODUCE!$EB$57:$IY$57)</f>
        <v>0</v>
      </c>
      <c r="ABH152" s="56"/>
      <c r="ABI152" s="242">
        <f t="shared" si="1247"/>
        <v>0</v>
      </c>
      <c r="ABJ152" s="242">
        <f t="shared" si="1248"/>
        <v>0</v>
      </c>
      <c r="ABK152" s="56"/>
    </row>
    <row r="153" spans="2:739" s="54" customFormat="1" ht="15" customHeight="1" outlineLevel="1">
      <c r="B153" s="478">
        <v>82</v>
      </c>
      <c r="C153" s="55">
        <v>46149</v>
      </c>
      <c r="D153" s="422">
        <v>49000</v>
      </c>
      <c r="E153" s="423">
        <f>SUMPRODUCT(PRODUCE!$B160:$DY160,PRODUCE!$EB$7:$IY$7)</f>
        <v>45623.159999999996</v>
      </c>
      <c r="F153" s="422">
        <v>45612.6</v>
      </c>
      <c r="G153" s="423">
        <f t="shared" si="1004"/>
        <v>10.559999999997672</v>
      </c>
      <c r="H153" s="423">
        <f t="shared" si="1005"/>
        <v>240721.60000000006</v>
      </c>
      <c r="I153" s="289" t="s">
        <v>261</v>
      </c>
      <c r="L153" s="55">
        <f t="shared" si="1006"/>
        <v>46149</v>
      </c>
      <c r="M153" s="422">
        <v>30430</v>
      </c>
      <c r="N153" s="438">
        <f>SUMPRODUCT(PRODUCE!$B160:$DY160,PRODUCE!$EB$8:$IY$8)</f>
        <v>26010.399999999998</v>
      </c>
      <c r="O153" s="422">
        <v>26008.799999999999</v>
      </c>
      <c r="P153" s="438">
        <f t="shared" si="1007"/>
        <v>1.5999999999985448</v>
      </c>
      <c r="Q153" s="438">
        <f t="shared" si="1008"/>
        <v>43870.600000000093</v>
      </c>
      <c r="R153" s="56"/>
      <c r="U153" s="55">
        <f t="shared" si="1009"/>
        <v>46149</v>
      </c>
      <c r="V153" s="422"/>
      <c r="W153" s="440">
        <f>SUMPRODUCT(PRODUCE!$B160:$DY160,PRODUCE!$EB$9:$IY$9)</f>
        <v>4100</v>
      </c>
      <c r="X153" s="422">
        <v>4100.7</v>
      </c>
      <c r="Y153" s="440">
        <f t="shared" si="1010"/>
        <v>-0.6999999999998181</v>
      </c>
      <c r="Z153" s="440">
        <f t="shared" si="1011"/>
        <v>12763.699999999972</v>
      </c>
      <c r="AA153" s="56"/>
      <c r="AD153" s="55">
        <f t="shared" si="1012"/>
        <v>46149</v>
      </c>
      <c r="AE153" s="422"/>
      <c r="AF153" s="442">
        <f>SUMPRODUCT(PRODUCE!$B160:$DY160,PRODUCE!$EB$10:$IY$10)</f>
        <v>0</v>
      </c>
      <c r="AG153" s="422"/>
      <c r="AH153" s="442">
        <f t="shared" si="1013"/>
        <v>0</v>
      </c>
      <c r="AI153" s="442">
        <f t="shared" si="1014"/>
        <v>3029.6000000000176</v>
      </c>
      <c r="AJ153" s="56"/>
      <c r="AM153" s="55">
        <f t="shared" si="1015"/>
        <v>46149</v>
      </c>
      <c r="AN153" s="422"/>
      <c r="AO153" s="444">
        <f>SUMPRODUCT(PRODUCE!$B160:$DY160,PRODUCE!$EB$11:$IY$11)</f>
        <v>0</v>
      </c>
      <c r="AP153" s="422"/>
      <c r="AQ153" s="444">
        <f t="shared" si="1016"/>
        <v>0</v>
      </c>
      <c r="AR153" s="444">
        <f t="shared" si="1017"/>
        <v>0</v>
      </c>
      <c r="AS153" s="56"/>
      <c r="AV153" s="55">
        <f t="shared" si="1018"/>
        <v>46149</v>
      </c>
      <c r="AW153" s="422"/>
      <c r="AX153" s="446">
        <f>SUMPRODUCT(PRODUCE!$B160:$DY160,PRODUCE!$EB$12:$IY$12)</f>
        <v>0</v>
      </c>
      <c r="AY153" s="422"/>
      <c r="AZ153" s="446">
        <f t="shared" si="1019"/>
        <v>0</v>
      </c>
      <c r="BA153" s="446">
        <f t="shared" si="1020"/>
        <v>36610.899999999994</v>
      </c>
      <c r="BB153" s="56"/>
      <c r="BE153" s="55">
        <f t="shared" si="1021"/>
        <v>46149</v>
      </c>
      <c r="BF153" s="422"/>
      <c r="BG153" s="448">
        <f>SUMPRODUCT(PRODUCE!$B160:$DY160,PRODUCE!$EB$13:$IY$13)</f>
        <v>1599</v>
      </c>
      <c r="BH153" s="422">
        <v>1600.3</v>
      </c>
      <c r="BI153" s="448">
        <f t="shared" si="1022"/>
        <v>-1.2999999999999545</v>
      </c>
      <c r="BJ153" s="448">
        <f t="shared" si="1023"/>
        <v>22134.399999999991</v>
      </c>
      <c r="BK153" s="56"/>
      <c r="BN153" s="55">
        <f t="shared" si="1024"/>
        <v>46149</v>
      </c>
      <c r="BO153" s="422">
        <v>1927</v>
      </c>
      <c r="BP153" s="450">
        <f>SUMPRODUCT(PRODUCE!$B160:$DY160,PRODUCE!$EB$14:$IY$14)</f>
        <v>1927</v>
      </c>
      <c r="BQ153" s="422">
        <v>1927</v>
      </c>
      <c r="BR153" s="450">
        <f t="shared" si="1025"/>
        <v>0</v>
      </c>
      <c r="BS153" s="450">
        <f t="shared" si="1026"/>
        <v>0</v>
      </c>
      <c r="BT153" s="56"/>
      <c r="BW153" s="55">
        <f t="shared" si="1027"/>
        <v>46149</v>
      </c>
      <c r="BX153" s="422"/>
      <c r="BY153" s="523">
        <f>SUMPRODUCT(PRODUCE!$B160:$DY160,PRODUCE!$EB$15:$IY$15)</f>
        <v>0</v>
      </c>
      <c r="BZ153" s="422"/>
      <c r="CA153" s="523">
        <f t="shared" si="1028"/>
        <v>0</v>
      </c>
      <c r="CB153" s="523">
        <f t="shared" si="1029"/>
        <v>5848.7999999999993</v>
      </c>
      <c r="CC153" s="56"/>
      <c r="CF153" s="55">
        <f t="shared" si="1030"/>
        <v>46149</v>
      </c>
      <c r="CG153" s="422"/>
      <c r="CH153" s="524">
        <f>SUMPRODUCT(PRODUCE!$B160:$DY160,PRODUCE!$EB$16:$IY$16)</f>
        <v>526.43999999999994</v>
      </c>
      <c r="CI153" s="422"/>
      <c r="CJ153" s="524">
        <f t="shared" si="1031"/>
        <v>526.43999999999994</v>
      </c>
      <c r="CK153" s="524">
        <f t="shared" si="1032"/>
        <v>0</v>
      </c>
      <c r="CL153" s="56"/>
      <c r="CO153" s="55">
        <f t="shared" si="1033"/>
        <v>46149</v>
      </c>
      <c r="CP153" s="422"/>
      <c r="CQ153" s="470">
        <f>SUMPRODUCT(PRODUCE!$B160:$DY160,PRODUCE!$EB$17:$IY$17)</f>
        <v>0</v>
      </c>
      <c r="CR153" s="422"/>
      <c r="CS153" s="470">
        <f t="shared" si="1034"/>
        <v>0</v>
      </c>
      <c r="CT153" s="470">
        <f t="shared" si="1035"/>
        <v>0</v>
      </c>
      <c r="CU153" s="56"/>
      <c r="CX153" s="55">
        <f t="shared" si="1036"/>
        <v>46149</v>
      </c>
      <c r="CY153" s="422"/>
      <c r="CZ153" s="525">
        <f>SUMPRODUCT(PRODUCE!$B160:$DY160,PRODUCE!$EB$18:$IY$18)</f>
        <v>0</v>
      </c>
      <c r="DA153" s="422"/>
      <c r="DB153" s="525">
        <f t="shared" si="1037"/>
        <v>0</v>
      </c>
      <c r="DC153" s="525">
        <f t="shared" si="1038"/>
        <v>21657.000000000004</v>
      </c>
      <c r="DD153" s="56"/>
      <c r="DG153" s="55">
        <f t="shared" si="1039"/>
        <v>46149</v>
      </c>
      <c r="DH153" s="422"/>
      <c r="DI153" s="526">
        <f>SUMPRODUCT(PRODUCE!$B160:$DY160,PRODUCE!$EB$19:$IY$19)</f>
        <v>0</v>
      </c>
      <c r="DJ153" s="422"/>
      <c r="DK153" s="526">
        <f t="shared" si="1040"/>
        <v>0</v>
      </c>
      <c r="DL153" s="526">
        <f t="shared" si="1041"/>
        <v>40938.499999999985</v>
      </c>
      <c r="DM153" s="56"/>
      <c r="DP153" s="55">
        <f t="shared" si="1042"/>
        <v>46149</v>
      </c>
      <c r="DQ153" s="422"/>
      <c r="DR153" s="423">
        <f>SUMPRODUCT(PRODUCE!$B160:$DY160,PRODUCE!$EB$20:$IY$20)</f>
        <v>0</v>
      </c>
      <c r="DS153" s="422"/>
      <c r="DT153" s="423">
        <f t="shared" si="1043"/>
        <v>0</v>
      </c>
      <c r="DU153" s="423">
        <f t="shared" si="1044"/>
        <v>5800</v>
      </c>
      <c r="DV153" s="56"/>
      <c r="DY153" s="55">
        <f t="shared" si="1045"/>
        <v>46149</v>
      </c>
      <c r="DZ153" s="56"/>
      <c r="EA153" s="157">
        <f>SUMPRODUCT(PRODUCE!$B160:$DY160,PRODUCE!$EB$21:$IY$21)</f>
        <v>0</v>
      </c>
      <c r="EB153" s="56"/>
      <c r="EC153" s="157">
        <f t="shared" si="1046"/>
        <v>0</v>
      </c>
      <c r="ED153" s="157">
        <f t="shared" si="1047"/>
        <v>0</v>
      </c>
      <c r="EE153" s="56"/>
      <c r="EH153" s="55">
        <f t="shared" si="1048"/>
        <v>46149</v>
      </c>
      <c r="EI153" s="56"/>
      <c r="EJ153" s="162">
        <f>SUMPRODUCT(PRODUCE!$B160:$DY160,PRODUCE!$EB$22:$IY$22)</f>
        <v>0</v>
      </c>
      <c r="EK153" s="56"/>
      <c r="EL153" s="162">
        <f t="shared" si="1049"/>
        <v>0</v>
      </c>
      <c r="EM153" s="162">
        <f t="shared" si="1050"/>
        <v>0</v>
      </c>
      <c r="EN153" s="56"/>
      <c r="EQ153" s="55">
        <f t="shared" si="1051"/>
        <v>46149</v>
      </c>
      <c r="ER153" s="56"/>
      <c r="ES153" s="135">
        <f>SUMPRODUCT(PRODUCE!$B160:$DY160,PRODUCE!$EB$23:$IY$23)</f>
        <v>0</v>
      </c>
      <c r="ET153" s="56"/>
      <c r="EU153" s="135">
        <f t="shared" si="1052"/>
        <v>0</v>
      </c>
      <c r="EV153" s="135">
        <f t="shared" si="1053"/>
        <v>0</v>
      </c>
      <c r="EW153" s="56"/>
      <c r="EZ153" s="55">
        <f t="shared" si="1054"/>
        <v>46149</v>
      </c>
      <c r="FA153" s="56"/>
      <c r="FB153" s="175">
        <f>SUMPRODUCT(PRODUCE!$B160:$DY160,PRODUCE!$EB$24:$IY$24)</f>
        <v>0</v>
      </c>
      <c r="FC153" s="56"/>
      <c r="FD153" s="175">
        <f t="shared" si="1055"/>
        <v>0</v>
      </c>
      <c r="FE153" s="175">
        <f t="shared" si="1056"/>
        <v>0</v>
      </c>
      <c r="FF153" s="56"/>
      <c r="FI153" s="55">
        <f t="shared" si="1057"/>
        <v>46149</v>
      </c>
      <c r="FJ153" s="56"/>
      <c r="FK153" s="183">
        <f>SUMPRODUCT(PRODUCE!$B160:$DY160,PRODUCE!$EB$25:$IY$25)</f>
        <v>0</v>
      </c>
      <c r="FL153" s="56"/>
      <c r="FM153" s="183">
        <f t="shared" si="1058"/>
        <v>0</v>
      </c>
      <c r="FN153" s="183">
        <f t="shared" si="1059"/>
        <v>0</v>
      </c>
      <c r="FO153" s="56"/>
      <c r="FR153" s="55">
        <f t="shared" si="1060"/>
        <v>46149</v>
      </c>
      <c r="FS153" s="56"/>
      <c r="FT153" s="186">
        <f>SUMPRODUCT(PRODUCE!$B160:$DY160,PRODUCE!$EB$26:$IY$26)</f>
        <v>0</v>
      </c>
      <c r="FU153" s="56"/>
      <c r="FV153" s="186">
        <f t="shared" si="1061"/>
        <v>0</v>
      </c>
      <c r="FW153" s="186">
        <f t="shared" si="1062"/>
        <v>2120</v>
      </c>
      <c r="FX153" s="56"/>
      <c r="GA153" s="55">
        <f t="shared" si="1063"/>
        <v>46149</v>
      </c>
      <c r="GB153" s="56"/>
      <c r="GC153" s="137">
        <f>SUMPRODUCT(PRODUCE!$B160:$DY160,PRODUCE!$EB$27:$IY$27)</f>
        <v>0</v>
      </c>
      <c r="GD153" s="56"/>
      <c r="GE153" s="137">
        <f t="shared" si="1064"/>
        <v>0</v>
      </c>
      <c r="GF153" s="137">
        <f t="shared" si="1065"/>
        <v>3640</v>
      </c>
      <c r="GG153" s="56"/>
      <c r="GI153" s="23"/>
      <c r="GJ153" s="55">
        <f t="shared" si="1066"/>
        <v>46149</v>
      </c>
      <c r="GK153" s="56"/>
      <c r="GL153" s="199">
        <f>SUMPRODUCT(PRODUCE!$B160:$DY160,PRODUCE!$EB$28:$IY$28)</f>
        <v>0</v>
      </c>
      <c r="GM153" s="56"/>
      <c r="GN153" s="199">
        <f t="shared" si="1067"/>
        <v>0</v>
      </c>
      <c r="GO153" s="199">
        <f t="shared" si="1068"/>
        <v>2080</v>
      </c>
      <c r="GP153" s="56"/>
      <c r="GS153" s="55">
        <f t="shared" si="1069"/>
        <v>46149</v>
      </c>
      <c r="GT153" s="56"/>
      <c r="GU153" s="195">
        <f>SUMPRODUCT(PRODUCE!$B160:$DY160,PRODUCE!$EB$29:$IY$29)</f>
        <v>0</v>
      </c>
      <c r="GV153" s="56"/>
      <c r="GW153" s="195">
        <f t="shared" si="1070"/>
        <v>0</v>
      </c>
      <c r="GX153" s="195">
        <f t="shared" si="1071"/>
        <v>0</v>
      </c>
      <c r="GY153" s="56"/>
      <c r="HB153" s="55">
        <f t="shared" si="1072"/>
        <v>46149</v>
      </c>
      <c r="HC153" s="56"/>
      <c r="HD153" s="191">
        <f>SUMPRODUCT(PRODUCE!$B160:$DY160,PRODUCE!$EB$30:$IY$30)</f>
        <v>0</v>
      </c>
      <c r="HE153" s="56"/>
      <c r="HF153" s="191">
        <f t="shared" si="1073"/>
        <v>0</v>
      </c>
      <c r="HG153" s="191">
        <f t="shared" si="1074"/>
        <v>0</v>
      </c>
      <c r="HH153" s="56"/>
      <c r="HK153" s="55">
        <f t="shared" si="1075"/>
        <v>46149</v>
      </c>
      <c r="HL153" s="56"/>
      <c r="HM153" s="63">
        <f>SUMPRODUCT(PRODUCE!$B160:$DY160,PRODUCE!$EB$31:$IY$31)</f>
        <v>0</v>
      </c>
      <c r="HN153" s="56"/>
      <c r="HO153" s="63">
        <f t="shared" si="1076"/>
        <v>0</v>
      </c>
      <c r="HP153" s="63">
        <f t="shared" si="1077"/>
        <v>0</v>
      </c>
      <c r="HQ153" s="56"/>
      <c r="HU153" s="55">
        <f t="shared" si="1078"/>
        <v>46149</v>
      </c>
      <c r="HV153" s="56"/>
      <c r="HW153" s="242">
        <f>SUMPRODUCT(PRODUCE!$B160:$DY160,PRODUCE!$EB$32:$IY$32)</f>
        <v>0</v>
      </c>
      <c r="HX153" s="56"/>
      <c r="HY153" s="242">
        <f t="shared" si="1079"/>
        <v>0</v>
      </c>
      <c r="HZ153" s="242">
        <f t="shared" si="1080"/>
        <v>6360</v>
      </c>
      <c r="IA153" s="56"/>
      <c r="ID153" s="55">
        <f t="shared" si="1081"/>
        <v>46149</v>
      </c>
      <c r="IE153" s="56"/>
      <c r="IF153" s="242">
        <f>SUMPRODUCT(PRODUCE!$B160:$DY160,PRODUCE!$EB$33:$IY$33)</f>
        <v>0</v>
      </c>
      <c r="IG153" s="56"/>
      <c r="IH153" s="242">
        <f t="shared" si="1082"/>
        <v>0</v>
      </c>
      <c r="II153" s="242">
        <f t="shared" si="1083"/>
        <v>6540</v>
      </c>
      <c r="IJ153" s="56"/>
      <c r="IM153" s="55">
        <f t="shared" si="1084"/>
        <v>46149</v>
      </c>
      <c r="IN153" s="56"/>
      <c r="IO153" s="242">
        <f>SUMPRODUCT(PRODUCE!$B160:$DY160,PRODUCE!$EB$34:$IY$34)</f>
        <v>0</v>
      </c>
      <c r="IP153" s="56"/>
      <c r="IQ153" s="242">
        <f t="shared" si="1085"/>
        <v>0</v>
      </c>
      <c r="IR153" s="242">
        <f t="shared" si="1086"/>
        <v>11540</v>
      </c>
      <c r="IS153" s="56"/>
      <c r="IV153" s="55">
        <f t="shared" si="1087"/>
        <v>46149</v>
      </c>
      <c r="IW153" s="56"/>
      <c r="IX153" s="242">
        <f>SUMPRODUCT(PRODUCE!$B160:$DY160,PRODUCE!$EB$35:$IY$35)</f>
        <v>0</v>
      </c>
      <c r="IY153" s="56"/>
      <c r="IZ153" s="242">
        <f t="shared" si="1088"/>
        <v>0</v>
      </c>
      <c r="JA153" s="242">
        <f t="shared" si="1089"/>
        <v>15120</v>
      </c>
      <c r="JB153" s="56"/>
      <c r="JE153" s="55">
        <f t="shared" si="1090"/>
        <v>46149</v>
      </c>
      <c r="JF153" s="56"/>
      <c r="JG153" s="242">
        <f>SUMPRODUCT(PRODUCE!$B160:$DY160,PRODUCE!$EB$36:$IY$36)</f>
        <v>1640</v>
      </c>
      <c r="JH153" s="56"/>
      <c r="JI153" s="242">
        <f t="shared" si="1091"/>
        <v>1640</v>
      </c>
      <c r="JJ153" s="242">
        <f t="shared" si="1092"/>
        <v>360</v>
      </c>
      <c r="JK153" s="56"/>
      <c r="JN153" s="55">
        <f t="shared" si="1093"/>
        <v>46149</v>
      </c>
      <c r="JO153" s="56"/>
      <c r="JP153" s="242">
        <f>SUMPRODUCT(PRODUCE!$B160:$DY160,PRODUCE!$EB$37:$IY$37)</f>
        <v>0</v>
      </c>
      <c r="JQ153" s="56"/>
      <c r="JR153" s="242">
        <f t="shared" si="1094"/>
        <v>0</v>
      </c>
      <c r="JS153" s="242">
        <f t="shared" si="1095"/>
        <v>9100</v>
      </c>
      <c r="JT153" s="56"/>
      <c r="JW153" s="55">
        <f t="shared" si="1096"/>
        <v>46149</v>
      </c>
      <c r="JX153" s="56"/>
      <c r="JY153" s="242">
        <f>SUMPRODUCT(PRODUCE!$B160:$DY160,PRODUCE!$EB$38:$IY$38)</f>
        <v>0</v>
      </c>
      <c r="JZ153" s="56"/>
      <c r="KA153" s="242">
        <f t="shared" si="1097"/>
        <v>0</v>
      </c>
      <c r="KB153" s="242">
        <f t="shared" si="1098"/>
        <v>2540</v>
      </c>
      <c r="KC153" s="56"/>
      <c r="KF153" s="55">
        <f t="shared" si="1099"/>
        <v>46149</v>
      </c>
      <c r="KG153" s="56"/>
      <c r="KH153" s="242">
        <f>SUMPRODUCT(PRODUCE!$B160:$DY160,PRODUCE!$EB$39:$IY$39)</f>
        <v>0</v>
      </c>
      <c r="KI153" s="56"/>
      <c r="KJ153" s="242">
        <f t="shared" si="1100"/>
        <v>0</v>
      </c>
      <c r="KK153" s="242">
        <f t="shared" si="1101"/>
        <v>2359.5</v>
      </c>
      <c r="KL153" s="56"/>
      <c r="KO153" s="55">
        <f t="shared" si="1102"/>
        <v>46149</v>
      </c>
      <c r="KP153" s="56"/>
      <c r="KQ153" s="242">
        <f>SUMPRODUCT(PRODUCE!$B160:$DY160,PRODUCE!$EB$40:$IY$40)</f>
        <v>0</v>
      </c>
      <c r="KR153" s="56"/>
      <c r="KS153" s="242">
        <f t="shared" si="1103"/>
        <v>0</v>
      </c>
      <c r="KT153" s="242">
        <f t="shared" si="1104"/>
        <v>2079</v>
      </c>
      <c r="KU153" s="56"/>
      <c r="KW153" s="23"/>
      <c r="KX153" s="55">
        <f t="shared" si="1105"/>
        <v>46149</v>
      </c>
      <c r="KY153" s="56"/>
      <c r="KZ153" s="242">
        <f>SUMPRODUCT(PRODUCE!$B160:$DY160,PRODUCE!$EB$41:$IY$41)</f>
        <v>0</v>
      </c>
      <c r="LA153" s="56"/>
      <c r="LB153" s="242">
        <f t="shared" si="1106"/>
        <v>0</v>
      </c>
      <c r="LC153" s="242">
        <f t="shared" si="1107"/>
        <v>3690</v>
      </c>
      <c r="LD153" s="56"/>
      <c r="LG153" s="55">
        <f t="shared" si="1108"/>
        <v>46149</v>
      </c>
      <c r="LH153" s="56"/>
      <c r="LI153" s="242">
        <f>SUMPRODUCT(PRODUCE!$B160:$DY160,PRODUCE!$EB$42:$IY$42)</f>
        <v>0</v>
      </c>
      <c r="LJ153" s="56"/>
      <c r="LK153" s="242">
        <f t="shared" si="1109"/>
        <v>0</v>
      </c>
      <c r="LL153" s="242">
        <f t="shared" si="1110"/>
        <v>4000</v>
      </c>
      <c r="LM153" s="56"/>
      <c r="LP153" s="55">
        <f t="shared" si="1111"/>
        <v>46149</v>
      </c>
      <c r="LQ153" s="56"/>
      <c r="LR153" s="242">
        <f>SUMPRODUCT(PRODUCE!$B168:$DY168,PRODUCE!$EB$43:$IY$43)</f>
        <v>0</v>
      </c>
      <c r="LS153" s="56"/>
      <c r="LT153" s="242">
        <f t="shared" si="1112"/>
        <v>0</v>
      </c>
      <c r="LU153" s="242">
        <f t="shared" si="1113"/>
        <v>0</v>
      </c>
      <c r="LV153" s="56"/>
      <c r="LY153" s="55">
        <f t="shared" si="1114"/>
        <v>46149</v>
      </c>
      <c r="LZ153" s="56"/>
      <c r="MA153" s="242">
        <f>SUMPRODUCT(PRODUCE!$B160:$DY160,PRODUCE!$EB$44:$IY$44)</f>
        <v>0</v>
      </c>
      <c r="MB153" s="56"/>
      <c r="MC153" s="242">
        <f t="shared" si="1115"/>
        <v>0</v>
      </c>
      <c r="MD153" s="242">
        <f t="shared" si="1116"/>
        <v>0</v>
      </c>
      <c r="ME153" s="56"/>
      <c r="MH153" s="55">
        <f t="shared" si="1117"/>
        <v>46149</v>
      </c>
      <c r="MI153" s="56"/>
      <c r="MJ153" s="242">
        <f>SUMPRODUCT(PRODUCE!$B160:$DY160,PRODUCE!$EB$45:$IY$45)</f>
        <v>0</v>
      </c>
      <c r="MK153" s="56"/>
      <c r="ML153" s="242">
        <f t="shared" si="1118"/>
        <v>0</v>
      </c>
      <c r="MM153" s="242">
        <f t="shared" si="1119"/>
        <v>0</v>
      </c>
      <c r="MN153" s="56"/>
      <c r="MQ153" s="55">
        <f t="shared" si="1120"/>
        <v>46149</v>
      </c>
      <c r="MR153" s="56"/>
      <c r="MS153" s="242">
        <f>SUMPRODUCT(PRODUCE!$B160:$DY160,PRODUCE!$EB$46:$IY$46)</f>
        <v>0</v>
      </c>
      <c r="MT153" s="56"/>
      <c r="MU153" s="242">
        <f t="shared" si="1121"/>
        <v>0</v>
      </c>
      <c r="MV153" s="242">
        <f t="shared" si="1122"/>
        <v>3903</v>
      </c>
      <c r="MW153" s="56"/>
      <c r="MZ153" s="55">
        <f t="shared" si="1123"/>
        <v>46149</v>
      </c>
      <c r="NA153" s="56"/>
      <c r="NB153" s="242">
        <f>SUMPRODUCT(PRODUCE!$B160:$DY160,PRODUCE!$EB$47:$IY$47)</f>
        <v>246</v>
      </c>
      <c r="NC153" s="56"/>
      <c r="ND153" s="242">
        <f t="shared" si="1124"/>
        <v>246</v>
      </c>
      <c r="NE153" s="242">
        <f t="shared" si="1125"/>
        <v>0</v>
      </c>
      <c r="NF153" s="56"/>
      <c r="NI153" s="55">
        <f t="shared" si="1126"/>
        <v>46149</v>
      </c>
      <c r="NJ153" s="56"/>
      <c r="NK153" s="242">
        <f>SUMPRODUCT(PRODUCE!$B160:$DY160,PRODUCE!$EB$48:$IY$48)</f>
        <v>0</v>
      </c>
      <c r="NL153" s="56"/>
      <c r="NM153" s="242">
        <f t="shared" si="1127"/>
        <v>0</v>
      </c>
      <c r="NN153" s="242">
        <f t="shared" si="1128"/>
        <v>1137</v>
      </c>
      <c r="NO153" s="56"/>
      <c r="NR153" s="55">
        <f t="shared" si="1129"/>
        <v>46149</v>
      </c>
      <c r="NS153" s="56"/>
      <c r="NT153" s="242">
        <f>SUMPRODUCT(PRODUCE!$B160:$DY160,PRODUCE!$EB$49:$IY$49)</f>
        <v>0</v>
      </c>
      <c r="NU153" s="56"/>
      <c r="NV153" s="242">
        <f t="shared" si="1130"/>
        <v>0</v>
      </c>
      <c r="NW153" s="242">
        <f t="shared" si="1131"/>
        <v>3122.8999999999996</v>
      </c>
      <c r="NX153" s="56"/>
      <c r="OA153" s="55">
        <f t="shared" si="1132"/>
        <v>46149</v>
      </c>
      <c r="OB153" s="56"/>
      <c r="OC153" s="242">
        <f>SUMPRODUCT(PRODUCE!$B160:$DY160,PRODUCE!$EB$50:$IY$50)</f>
        <v>0</v>
      </c>
      <c r="OD153" s="56"/>
      <c r="OE153" s="242">
        <f t="shared" si="1133"/>
        <v>0</v>
      </c>
      <c r="OF153" s="242">
        <f t="shared" si="1134"/>
        <v>1680.5</v>
      </c>
      <c r="OG153" s="56"/>
      <c r="OJ153" s="55">
        <f t="shared" si="1135"/>
        <v>46149</v>
      </c>
      <c r="OK153" s="56"/>
      <c r="OL153" s="242">
        <f>SUMPRODUCT(PRODUCE!$B160:$DY160,PRODUCE!$EB$51:$IY$51)</f>
        <v>0</v>
      </c>
      <c r="OM153" s="56"/>
      <c r="ON153" s="242">
        <f t="shared" si="1136"/>
        <v>0</v>
      </c>
      <c r="OO153" s="242">
        <f t="shared" si="1137"/>
        <v>0</v>
      </c>
      <c r="OP153" s="56"/>
      <c r="OS153" s="55">
        <f t="shared" si="1138"/>
        <v>46149</v>
      </c>
      <c r="OT153" s="56"/>
      <c r="OU153" s="242">
        <f>SUMPRODUCT(PRODUCE!$B160:$DY160,PRODUCE!$EB$52:$IY$52)</f>
        <v>0</v>
      </c>
      <c r="OV153" s="56"/>
      <c r="OW153" s="242">
        <f t="shared" si="1139"/>
        <v>0</v>
      </c>
      <c r="OX153" s="242">
        <f t="shared" si="1140"/>
        <v>982</v>
      </c>
      <c r="OY153" s="56"/>
      <c r="PB153" s="55">
        <f t="shared" si="1141"/>
        <v>46149</v>
      </c>
      <c r="PC153" s="56"/>
      <c r="PD153" s="242">
        <f>SUMPRODUCT(PRODUCE!$B160:$DY160,PRODUCE!$EB$53:$IY$53)</f>
        <v>0</v>
      </c>
      <c r="PE153" s="56"/>
      <c r="PF153" s="242">
        <f t="shared" si="1142"/>
        <v>0</v>
      </c>
      <c r="PG153" s="242">
        <f t="shared" si="1143"/>
        <v>0</v>
      </c>
      <c r="PH153" s="56"/>
      <c r="PK153" s="55">
        <f t="shared" si="1144"/>
        <v>46149</v>
      </c>
      <c r="PL153" s="56"/>
      <c r="PM153" s="242">
        <f>SUMPRODUCT(PRODUCE!$B160:$DY160,PRODUCE!$EB$54:$IY$54)</f>
        <v>0</v>
      </c>
      <c r="PN153" s="56"/>
      <c r="PO153" s="242">
        <f t="shared" si="1145"/>
        <v>0</v>
      </c>
      <c r="PP153" s="242">
        <f t="shared" si="1146"/>
        <v>100</v>
      </c>
      <c r="PQ153" s="56"/>
      <c r="PT153" s="55">
        <f t="shared" si="1147"/>
        <v>46149</v>
      </c>
      <c r="PU153" s="56"/>
      <c r="PV153" s="242">
        <f>SUMPRODUCT(PRODUCE!$B160:$DY160,PRODUCE!$EB$55:$IY$55)</f>
        <v>0</v>
      </c>
      <c r="PW153" s="56"/>
      <c r="PX153" s="242">
        <f t="shared" si="1148"/>
        <v>0</v>
      </c>
      <c r="PY153" s="242">
        <f t="shared" si="1149"/>
        <v>13.960000000000036</v>
      </c>
      <c r="PZ153" s="56"/>
      <c r="QC153" s="55">
        <f t="shared" si="1150"/>
        <v>46149</v>
      </c>
      <c r="QD153" s="56"/>
      <c r="QE153" s="242">
        <f>SUMPRODUCT(PRODUCE!$B160:$DY160,PRODUCE!$EB$56:$IY$56)</f>
        <v>328</v>
      </c>
      <c r="QF153" s="56"/>
      <c r="QG153" s="242">
        <f t="shared" si="1151"/>
        <v>328</v>
      </c>
      <c r="QH153" s="242">
        <f t="shared" si="1152"/>
        <v>276</v>
      </c>
      <c r="QI153" s="56"/>
      <c r="QL153" s="55">
        <f t="shared" si="1153"/>
        <v>46149</v>
      </c>
      <c r="QM153" s="56"/>
      <c r="QN153" s="242">
        <f>SUMPRODUCT(PRODUCE!$B160:$DY160,PRODUCE!$EB$57:$IY$57)</f>
        <v>0</v>
      </c>
      <c r="QO153" s="56"/>
      <c r="QP153" s="242">
        <f t="shared" si="1154"/>
        <v>0</v>
      </c>
      <c r="QQ153" s="242">
        <f t="shared" si="1155"/>
        <v>400</v>
      </c>
      <c r="QR153" s="56"/>
      <c r="QU153" s="55">
        <f t="shared" si="1156"/>
        <v>46149</v>
      </c>
      <c r="QV153" s="56"/>
      <c r="QW153" s="242">
        <f>SUMPRODUCT(PRODUCE!$B160:$DY160,PRODUCE!$EB$58:$IY$58)</f>
        <v>0</v>
      </c>
      <c r="QX153" s="56"/>
      <c r="QY153" s="242">
        <f t="shared" si="1157"/>
        <v>0</v>
      </c>
      <c r="QZ153" s="242">
        <f t="shared" si="1158"/>
        <v>207.6</v>
      </c>
      <c r="RA153" s="56"/>
      <c r="RD153" s="55">
        <f t="shared" si="1159"/>
        <v>46149</v>
      </c>
      <c r="RE153" s="56"/>
      <c r="RF153" s="242">
        <f>SUMPRODUCT(PRODUCE!$B160:$DY160,PRODUCE!$EB$59:$IY$59)</f>
        <v>0</v>
      </c>
      <c r="RG153" s="56"/>
      <c r="RH153" s="242">
        <f t="shared" si="1160"/>
        <v>0</v>
      </c>
      <c r="RI153" s="242">
        <f t="shared" si="1161"/>
        <v>147.04000000000002</v>
      </c>
      <c r="RJ153" s="56"/>
      <c r="RM153" s="55">
        <f t="shared" si="1162"/>
        <v>46149</v>
      </c>
      <c r="RN153" s="56"/>
      <c r="RO153" s="242">
        <f>SUMPRODUCT(PRODUCE!$B160:$DY160,PRODUCE!$EB$60:$IY$60)</f>
        <v>0</v>
      </c>
      <c r="RP153" s="56"/>
      <c r="RQ153" s="242">
        <f t="shared" si="1163"/>
        <v>0</v>
      </c>
      <c r="RR153" s="242">
        <f t="shared" si="1164"/>
        <v>46.8</v>
      </c>
      <c r="RS153" s="56"/>
      <c r="RV153" s="55">
        <f t="shared" si="1165"/>
        <v>46149</v>
      </c>
      <c r="RW153" s="56"/>
      <c r="RX153" s="242">
        <f>SUMPRODUCT(PRODUCE!$B160:$DY160,PRODUCE!$EB$61:$IY$61)</f>
        <v>0</v>
      </c>
      <c r="RY153" s="56"/>
      <c r="RZ153" s="242">
        <f t="shared" si="1166"/>
        <v>0</v>
      </c>
      <c r="SA153" s="242">
        <f t="shared" si="1167"/>
        <v>0</v>
      </c>
      <c r="SB153" s="56"/>
      <c r="SE153" s="55">
        <f t="shared" si="1168"/>
        <v>46149</v>
      </c>
      <c r="SF153" s="56"/>
      <c r="SG153" s="242">
        <f>SUMPRODUCT(PRODUCE!$B160:$DY160,PRODUCE!$EB$62:$IY$62)</f>
        <v>0</v>
      </c>
      <c r="SH153" s="56"/>
      <c r="SI153" s="242">
        <f t="shared" si="1169"/>
        <v>0</v>
      </c>
      <c r="SJ153" s="242">
        <f t="shared" si="1170"/>
        <v>24.200000000000003</v>
      </c>
      <c r="SK153" s="56"/>
      <c r="SN153" s="55">
        <f t="shared" si="1171"/>
        <v>46149</v>
      </c>
      <c r="SO153" s="56"/>
      <c r="SP153" s="242">
        <f>SUMPRODUCT(PRODUCE!$B160:$DY160,PRODUCE!$EB$63:$IY$63)</f>
        <v>0</v>
      </c>
      <c r="SQ153" s="56"/>
      <c r="SR153" s="242">
        <f t="shared" si="1172"/>
        <v>0</v>
      </c>
      <c r="SS153" s="242">
        <f t="shared" si="1173"/>
        <v>32</v>
      </c>
      <c r="ST153" s="56"/>
      <c r="SW153" s="55">
        <f t="shared" si="1174"/>
        <v>46149</v>
      </c>
      <c r="SX153" s="56"/>
      <c r="SY153" s="242">
        <f>SUMPRODUCT(PRODUCE!$B160:$DY160,PRODUCE!$EB$64:$IY$64)</f>
        <v>0</v>
      </c>
      <c r="SZ153" s="56"/>
      <c r="TA153" s="242">
        <f t="shared" si="1175"/>
        <v>0</v>
      </c>
      <c r="TB153" s="242">
        <f t="shared" si="1176"/>
        <v>0</v>
      </c>
      <c r="TC153" s="56"/>
      <c r="TF153" s="55">
        <f t="shared" si="1177"/>
        <v>46149</v>
      </c>
      <c r="TG153" s="56"/>
      <c r="TH153" s="242">
        <f>SUMPRODUCT(PRODUCE!$B160:$DY160,PRODUCE!$EB$65:$IY$65)</f>
        <v>0</v>
      </c>
      <c r="TI153" s="56"/>
      <c r="TJ153" s="242">
        <f t="shared" si="1178"/>
        <v>0</v>
      </c>
      <c r="TK153" s="242">
        <f t="shared" si="1179"/>
        <v>0</v>
      </c>
      <c r="TL153" s="56"/>
      <c r="TO153" s="55">
        <f t="shared" si="1180"/>
        <v>46149</v>
      </c>
      <c r="TP153" s="56"/>
      <c r="TQ153" s="242">
        <f>SUMPRODUCT(PRODUCE!$B160:$DY160,PRODUCE!$EB$66:$IY$66)</f>
        <v>0</v>
      </c>
      <c r="TR153" s="56"/>
      <c r="TS153" s="242">
        <f t="shared" si="1181"/>
        <v>0</v>
      </c>
      <c r="TT153" s="242">
        <f t="shared" si="1182"/>
        <v>0</v>
      </c>
      <c r="TU153" s="56"/>
      <c r="TX153" s="55">
        <f t="shared" si="1183"/>
        <v>46149</v>
      </c>
      <c r="TY153" s="56"/>
      <c r="TZ153" s="242">
        <f>SUMPRODUCT(PRODUCE!$B160:$DY160,PRODUCE!$EB$67:$IY$67)</f>
        <v>0</v>
      </c>
      <c r="UA153" s="56"/>
      <c r="UB153" s="242">
        <f t="shared" si="1184"/>
        <v>0</v>
      </c>
      <c r="UC153" s="242">
        <f t="shared" si="1185"/>
        <v>0</v>
      </c>
      <c r="UD153" s="56"/>
      <c r="UG153" s="55">
        <f t="shared" si="1186"/>
        <v>46149</v>
      </c>
      <c r="UH153" s="56"/>
      <c r="UI153" s="242">
        <f>SUMPRODUCT(PRODUCE!$B160:$DY160,PRODUCE!$EB$68:$IY$68)</f>
        <v>0</v>
      </c>
      <c r="UJ153" s="56"/>
      <c r="UK153" s="242">
        <f t="shared" si="1187"/>
        <v>0</v>
      </c>
      <c r="UL153" s="242">
        <f t="shared" si="1188"/>
        <v>0</v>
      </c>
      <c r="UM153" s="56"/>
      <c r="UP153" s="55">
        <f t="shared" si="1189"/>
        <v>46149</v>
      </c>
      <c r="UQ153" s="56"/>
      <c r="UR153" s="242">
        <f>SUMPRODUCT(PRODUCE!$B160:$DY160,PRODUCE!$EB$69:$IY$69)</f>
        <v>0</v>
      </c>
      <c r="US153" s="56"/>
      <c r="UT153" s="242">
        <f t="shared" si="1190"/>
        <v>0</v>
      </c>
      <c r="UU153" s="242">
        <f t="shared" si="1191"/>
        <v>0</v>
      </c>
      <c r="UV153" s="56"/>
      <c r="UY153" s="55">
        <f t="shared" si="1192"/>
        <v>46149</v>
      </c>
      <c r="UZ153" s="56"/>
      <c r="VA153" s="242">
        <f>SUMPRODUCT(PRODUCE!$B160:$DY160,PRODUCE!$EB$70:$IY$70)</f>
        <v>0</v>
      </c>
      <c r="VB153" s="56"/>
      <c r="VC153" s="242">
        <f t="shared" si="1193"/>
        <v>0</v>
      </c>
      <c r="VD153" s="242">
        <f t="shared" si="1194"/>
        <v>41.600000000000023</v>
      </c>
      <c r="VE153" s="56"/>
      <c r="VH153" s="55">
        <f t="shared" si="1195"/>
        <v>46149</v>
      </c>
      <c r="VI153" s="56"/>
      <c r="VJ153" s="242">
        <f>SUMPRODUCT(PRODUCE!$B160:$DY160,PRODUCE!$EB$71:$IY$71)</f>
        <v>0</v>
      </c>
      <c r="VK153" s="56"/>
      <c r="VL153" s="242">
        <f t="shared" si="1196"/>
        <v>0</v>
      </c>
      <c r="VM153" s="242">
        <f t="shared" si="1197"/>
        <v>0</v>
      </c>
      <c r="VN153" s="56"/>
      <c r="VQ153" s="55">
        <f t="shared" si="1198"/>
        <v>46149</v>
      </c>
      <c r="VR153" s="56"/>
      <c r="VS153" s="242">
        <f>SUMPRODUCT(PRODUCE!$B160:$DY160,PRODUCE!$EB$57:$IY$57)</f>
        <v>0</v>
      </c>
      <c r="VT153" s="56"/>
      <c r="VU153" s="242">
        <f t="shared" si="1199"/>
        <v>0</v>
      </c>
      <c r="VV153" s="242">
        <f t="shared" si="1200"/>
        <v>0</v>
      </c>
      <c r="VW153" s="56"/>
      <c r="VZ153" s="55">
        <f t="shared" si="1201"/>
        <v>46149</v>
      </c>
      <c r="WA153" s="56"/>
      <c r="WB153" s="242">
        <f>SUMPRODUCT(PRODUCE!$B160:$DY160,PRODUCE!$EB$57:$IY$57)</f>
        <v>0</v>
      </c>
      <c r="WC153" s="56"/>
      <c r="WD153" s="242">
        <f t="shared" si="1202"/>
        <v>0</v>
      </c>
      <c r="WE153" s="242">
        <f t="shared" si="1203"/>
        <v>0</v>
      </c>
      <c r="WF153" s="56"/>
      <c r="WI153" s="55">
        <f t="shared" si="1204"/>
        <v>46149</v>
      </c>
      <c r="WJ153" s="422"/>
      <c r="WK153" s="540">
        <f>SUMPRODUCT(PRODUCE!$B160:$DY160,PRODUCE!$EB$74:$IY$74)</f>
        <v>0</v>
      </c>
      <c r="WL153" s="422"/>
      <c r="WM153" s="540">
        <f t="shared" si="1205"/>
        <v>0</v>
      </c>
      <c r="WN153" s="540">
        <f t="shared" si="1206"/>
        <v>2317</v>
      </c>
      <c r="WO153" s="56"/>
      <c r="WR153" s="55">
        <f t="shared" si="1207"/>
        <v>46149</v>
      </c>
      <c r="WS153" s="422"/>
      <c r="WT153" s="540">
        <f>SUMPRODUCT(PRODUCE!$B160:$DY160,PRODUCE!$EB$75:$IY$75)</f>
        <v>0</v>
      </c>
      <c r="WU153" s="422"/>
      <c r="WV153" s="540">
        <f t="shared" si="1208"/>
        <v>0</v>
      </c>
      <c r="WW153" s="540">
        <f t="shared" si="1209"/>
        <v>776</v>
      </c>
      <c r="WX153" s="56"/>
      <c r="XA153" s="55">
        <f t="shared" si="1210"/>
        <v>46149</v>
      </c>
      <c r="XB153" s="422"/>
      <c r="XC153" s="540">
        <f>SUMPRODUCT(PRODUCE!$B160:$DY160,PRODUCE!$EB$76:$IY$76)</f>
        <v>0</v>
      </c>
      <c r="XD153" s="422"/>
      <c r="XE153" s="540">
        <f t="shared" si="1211"/>
        <v>0</v>
      </c>
      <c r="XF153" s="540">
        <f t="shared" si="1212"/>
        <v>12453</v>
      </c>
      <c r="XG153" s="56"/>
      <c r="XJ153" s="55">
        <f t="shared" si="1213"/>
        <v>46149</v>
      </c>
      <c r="XK153" s="422"/>
      <c r="XL153" s="540">
        <f>SUMPRODUCT(PRODUCE!$B160:$DY160,PRODUCE!$EB$77:$IY$77)</f>
        <v>0</v>
      </c>
      <c r="XM153" s="422"/>
      <c r="XN153" s="540">
        <f t="shared" si="1214"/>
        <v>0</v>
      </c>
      <c r="XO153" s="540">
        <f t="shared" si="1215"/>
        <v>1481</v>
      </c>
      <c r="XP153" s="56"/>
      <c r="XS153" s="55">
        <f t="shared" si="1216"/>
        <v>46149</v>
      </c>
      <c r="XT153" s="56"/>
      <c r="XU153" s="242">
        <f>SUMPRODUCT(PRODUCE!$B160:$DY160,PRODUCE!$EB$78:$IY$78)</f>
        <v>0</v>
      </c>
      <c r="XV153" s="56"/>
      <c r="XW153" s="242">
        <f t="shared" si="1217"/>
        <v>0</v>
      </c>
      <c r="XX153" s="242">
        <f t="shared" si="1218"/>
        <v>1901</v>
      </c>
      <c r="XY153" s="56"/>
      <c r="YB153" s="55">
        <f t="shared" si="1219"/>
        <v>46149</v>
      </c>
      <c r="YC153" s="56"/>
      <c r="YD153" s="242">
        <f>SUMPRODUCT(PRODUCE!$B160:$DY160,PRODUCE!$EB$79:$IY$79)</f>
        <v>0</v>
      </c>
      <c r="YE153" s="56"/>
      <c r="YF153" s="242">
        <f t="shared" si="1220"/>
        <v>0</v>
      </c>
      <c r="YG153" s="242">
        <f t="shared" si="1221"/>
        <v>6459</v>
      </c>
      <c r="YH153" s="56"/>
      <c r="YK153" s="55">
        <f t="shared" si="1222"/>
        <v>46149</v>
      </c>
      <c r="YL153" s="56"/>
      <c r="YM153" s="242">
        <f>SUMPRODUCT(PRODUCE!$B160:$DY160,PRODUCE!$EB$80:$IY$80)</f>
        <v>0</v>
      </c>
      <c r="YN153" s="56"/>
      <c r="YO153" s="242">
        <f t="shared" si="1223"/>
        <v>0</v>
      </c>
      <c r="YP153" s="242">
        <f t="shared" si="1224"/>
        <v>0</v>
      </c>
      <c r="YQ153" s="56"/>
      <c r="YT153" s="55">
        <f t="shared" si="1225"/>
        <v>46149</v>
      </c>
      <c r="YU153" s="56"/>
      <c r="YV153" s="242">
        <f>SUMPRODUCT(PRODUCE!$B160:$DY160,PRODUCE!$EB$57:$IY$57)</f>
        <v>0</v>
      </c>
      <c r="YW153" s="56"/>
      <c r="YX153" s="242">
        <f t="shared" si="1226"/>
        <v>0</v>
      </c>
      <c r="YY153" s="242">
        <f t="shared" si="1227"/>
        <v>0</v>
      </c>
      <c r="YZ153" s="56"/>
      <c r="ZC153" s="55">
        <f t="shared" si="1228"/>
        <v>46149</v>
      </c>
      <c r="ZD153" s="56"/>
      <c r="ZE153" s="242">
        <f>SUMPRODUCT(PRODUCE!$B160:$DY160,PRODUCE!$EB$57:$IY$57)</f>
        <v>0</v>
      </c>
      <c r="ZF153" s="56"/>
      <c r="ZG153" s="242">
        <f t="shared" si="1229"/>
        <v>0</v>
      </c>
      <c r="ZH153" s="242">
        <f t="shared" si="1230"/>
        <v>0</v>
      </c>
      <c r="ZI153" s="56"/>
      <c r="ZL153" s="55">
        <f t="shared" si="1231"/>
        <v>46149</v>
      </c>
      <c r="ZM153" s="56"/>
      <c r="ZN153" s="242">
        <f>SUMPRODUCT(PRODUCE!$B160:$DY160,PRODUCE!$EB$57:$IY$57)</f>
        <v>0</v>
      </c>
      <c r="ZO153" s="56"/>
      <c r="ZP153" s="242">
        <f t="shared" si="1232"/>
        <v>0</v>
      </c>
      <c r="ZQ153" s="242">
        <f t="shared" si="1233"/>
        <v>0</v>
      </c>
      <c r="ZR153" s="56"/>
      <c r="ZU153" s="55">
        <f t="shared" si="1234"/>
        <v>46149</v>
      </c>
      <c r="ZV153" s="56"/>
      <c r="ZW153" s="242">
        <f>SUMPRODUCT(PRODUCE!$B160:$DY160,PRODUCE!$EB$57:$IY$57)</f>
        <v>0</v>
      </c>
      <c r="ZX153" s="56"/>
      <c r="ZY153" s="242">
        <f t="shared" si="1235"/>
        <v>0</v>
      </c>
      <c r="ZZ153" s="242">
        <f t="shared" si="1236"/>
        <v>0</v>
      </c>
      <c r="AAA153" s="56"/>
      <c r="AAD153" s="55">
        <f t="shared" si="1237"/>
        <v>46149</v>
      </c>
      <c r="AAE153" s="56"/>
      <c r="AAF153" s="242">
        <f>SUMPRODUCT(PRODUCE!$B160:$DY160,PRODUCE!$EB$57:$IY$57)</f>
        <v>0</v>
      </c>
      <c r="AAG153" s="56"/>
      <c r="AAH153" s="242">
        <f t="shared" si="1238"/>
        <v>0</v>
      </c>
      <c r="AAI153" s="242">
        <f t="shared" si="1239"/>
        <v>0</v>
      </c>
      <c r="AAJ153" s="56"/>
      <c r="AAM153" s="55">
        <f t="shared" si="1240"/>
        <v>46149</v>
      </c>
      <c r="AAN153" s="56"/>
      <c r="AAO153" s="242">
        <f>SUMPRODUCT(PRODUCE!$B160:$DY160,PRODUCE!$EB$57:$IY$57)</f>
        <v>0</v>
      </c>
      <c r="AAP153" s="56"/>
      <c r="AAQ153" s="242">
        <f t="shared" si="1241"/>
        <v>0</v>
      </c>
      <c r="AAR153" s="242">
        <f t="shared" si="1242"/>
        <v>0</v>
      </c>
      <c r="AAS153" s="56"/>
      <c r="AAV153" s="55">
        <f t="shared" si="1243"/>
        <v>46149</v>
      </c>
      <c r="AAW153" s="56"/>
      <c r="AAX153" s="242">
        <f>SUMPRODUCT(PRODUCE!$B160:$DY160,PRODUCE!$EB$57:$IY$57)</f>
        <v>0</v>
      </c>
      <c r="AAY153" s="56"/>
      <c r="AAZ153" s="242">
        <f t="shared" si="1244"/>
        <v>0</v>
      </c>
      <c r="ABA153" s="242">
        <f t="shared" si="1245"/>
        <v>0</v>
      </c>
      <c r="ABB153" s="56"/>
      <c r="ABE153" s="55">
        <f t="shared" si="1246"/>
        <v>46149</v>
      </c>
      <c r="ABF153" s="56"/>
      <c r="ABG153" s="242">
        <f>SUMPRODUCT(PRODUCE!$B160:$DY160,PRODUCE!$EB$57:$IY$57)</f>
        <v>0</v>
      </c>
      <c r="ABH153" s="56"/>
      <c r="ABI153" s="242">
        <f t="shared" si="1247"/>
        <v>0</v>
      </c>
      <c r="ABJ153" s="242">
        <f t="shared" si="1248"/>
        <v>0</v>
      </c>
      <c r="ABK153" s="56"/>
    </row>
    <row r="154" spans="2:739" s="54" customFormat="1" ht="15" customHeight="1" outlineLevel="1">
      <c r="B154" s="478">
        <f>18+20+32+2</f>
        <v>72</v>
      </c>
      <c r="C154" s="55">
        <v>46150</v>
      </c>
      <c r="D154" s="422"/>
      <c r="E154" s="423">
        <f>SUMPRODUCT(PRODUCE!$B161:$DY161,PRODUCE!$EB$7:$IY$7)</f>
        <v>40032.36</v>
      </c>
      <c r="F154" s="422">
        <f>10013.2+11112.6+17775.6+1111.8</f>
        <v>40013.200000000004</v>
      </c>
      <c r="G154" s="423">
        <f t="shared" si="1004"/>
        <v>19.159999999996217</v>
      </c>
      <c r="H154" s="423">
        <f t="shared" si="1005"/>
        <v>200708.40000000005</v>
      </c>
      <c r="I154" s="289" t="s">
        <v>262</v>
      </c>
      <c r="L154" s="55">
        <f t="shared" si="1006"/>
        <v>46150</v>
      </c>
      <c r="M154" s="422"/>
      <c r="N154" s="438">
        <f>SUMPRODUCT(PRODUCE!$B161:$DY161,PRODUCE!$EB$8:$IY$8)</f>
        <v>22838.399999999998</v>
      </c>
      <c r="O154" s="422">
        <f>5709.6+6347.2+10150.4+635</f>
        <v>22842.199999999997</v>
      </c>
      <c r="P154" s="438">
        <f t="shared" si="1007"/>
        <v>-3.7999999999992724</v>
      </c>
      <c r="Q154" s="438">
        <f t="shared" si="1008"/>
        <v>21028.400000000096</v>
      </c>
      <c r="R154" s="56"/>
      <c r="U154" s="55">
        <f t="shared" si="1009"/>
        <v>46150</v>
      </c>
      <c r="V154" s="422">
        <v>30150</v>
      </c>
      <c r="W154" s="440">
        <f>SUMPRODUCT(PRODUCE!$B161:$DY161,PRODUCE!$EB$9:$IY$9)</f>
        <v>3600</v>
      </c>
      <c r="X154" s="422">
        <f>900.3+999.6+1600.2+100.2</f>
        <v>3600.3</v>
      </c>
      <c r="Y154" s="440">
        <f t="shared" si="1010"/>
        <v>-0.3000000000001819</v>
      </c>
      <c r="Z154" s="440">
        <f t="shared" si="1011"/>
        <v>39313.399999999965</v>
      </c>
      <c r="AA154" s="56"/>
      <c r="AD154" s="55">
        <f t="shared" si="1012"/>
        <v>46150</v>
      </c>
      <c r="AE154" s="422"/>
      <c r="AF154" s="442">
        <f>SUMPRODUCT(PRODUCE!$B161:$DY161,PRODUCE!$EB$10:$IY$10)</f>
        <v>0</v>
      </c>
      <c r="AG154" s="422"/>
      <c r="AH154" s="442">
        <f t="shared" si="1013"/>
        <v>0</v>
      </c>
      <c r="AI154" s="442">
        <f t="shared" si="1014"/>
        <v>3029.6000000000176</v>
      </c>
      <c r="AJ154" s="56"/>
      <c r="AM154" s="55">
        <f t="shared" si="1015"/>
        <v>46150</v>
      </c>
      <c r="AN154" s="422"/>
      <c r="AO154" s="444">
        <f>SUMPRODUCT(PRODUCE!$B161:$DY161,PRODUCE!$EB$11:$IY$11)</f>
        <v>0</v>
      </c>
      <c r="AP154" s="422"/>
      <c r="AQ154" s="444">
        <f t="shared" si="1016"/>
        <v>0</v>
      </c>
      <c r="AR154" s="444">
        <f t="shared" si="1017"/>
        <v>0</v>
      </c>
      <c r="AS154" s="56"/>
      <c r="AV154" s="55">
        <f t="shared" si="1018"/>
        <v>46150</v>
      </c>
      <c r="AW154" s="422"/>
      <c r="AX154" s="446">
        <f>SUMPRODUCT(PRODUCE!$B161:$DY161,PRODUCE!$EB$12:$IY$12)</f>
        <v>0</v>
      </c>
      <c r="AY154" s="422"/>
      <c r="AZ154" s="446">
        <f t="shared" si="1019"/>
        <v>0</v>
      </c>
      <c r="BA154" s="446">
        <f t="shared" si="1020"/>
        <v>36610.899999999994</v>
      </c>
      <c r="BB154" s="56"/>
      <c r="BE154" s="55">
        <f t="shared" si="1021"/>
        <v>46150</v>
      </c>
      <c r="BF154" s="422"/>
      <c r="BG154" s="448">
        <f>SUMPRODUCT(PRODUCE!$B161:$DY161,PRODUCE!$EB$13:$IY$13)</f>
        <v>1404</v>
      </c>
      <c r="BH154" s="422">
        <f>351.3+394.2+621.9+39.2</f>
        <v>1406.6000000000001</v>
      </c>
      <c r="BI154" s="448">
        <f t="shared" si="1022"/>
        <v>-2.6000000000001364</v>
      </c>
      <c r="BJ154" s="448">
        <f t="shared" si="1023"/>
        <v>20727.799999999992</v>
      </c>
      <c r="BK154" s="56"/>
      <c r="BN154" s="55">
        <f t="shared" si="1024"/>
        <v>46150</v>
      </c>
      <c r="BO154" s="422">
        <v>1692</v>
      </c>
      <c r="BP154" s="450">
        <f>SUMPRODUCT(PRODUCE!$B161:$DY161,PRODUCE!$EB$14:$IY$14)</f>
        <v>1692</v>
      </c>
      <c r="BQ154" s="422">
        <f>423+470+752+47</f>
        <v>1692</v>
      </c>
      <c r="BR154" s="450">
        <f t="shared" si="1025"/>
        <v>0</v>
      </c>
      <c r="BS154" s="450">
        <f t="shared" si="1026"/>
        <v>0</v>
      </c>
      <c r="BT154" s="56"/>
      <c r="BW154" s="55">
        <f t="shared" si="1027"/>
        <v>46150</v>
      </c>
      <c r="BX154" s="422"/>
      <c r="BY154" s="523">
        <f>SUMPRODUCT(PRODUCE!$B161:$DY161,PRODUCE!$EB$15:$IY$15)</f>
        <v>0</v>
      </c>
      <c r="BZ154" s="422">
        <v>15</v>
      </c>
      <c r="CA154" s="523">
        <f t="shared" si="1028"/>
        <v>-15</v>
      </c>
      <c r="CB154" s="523">
        <f t="shared" si="1029"/>
        <v>5833.7999999999993</v>
      </c>
      <c r="CC154" s="56"/>
      <c r="CF154" s="55">
        <f t="shared" si="1030"/>
        <v>46150</v>
      </c>
      <c r="CG154" s="422">
        <v>1542.6</v>
      </c>
      <c r="CH154" s="524">
        <f>SUMPRODUCT(PRODUCE!$B161:$DY161,PRODUCE!$EB$16:$IY$16)</f>
        <v>462.24</v>
      </c>
      <c r="CI154" s="422">
        <f>1.8+115.56+770.4+449.4+205.44</f>
        <v>1542.6</v>
      </c>
      <c r="CJ154" s="524">
        <f t="shared" si="1031"/>
        <v>-1080.3599999999999</v>
      </c>
      <c r="CK154" s="524">
        <f t="shared" si="1032"/>
        <v>0</v>
      </c>
      <c r="CL154" s="56"/>
      <c r="CO154" s="55">
        <f t="shared" si="1033"/>
        <v>46150</v>
      </c>
      <c r="CP154" s="422"/>
      <c r="CQ154" s="470">
        <f>SUMPRODUCT(PRODUCE!$B161:$DY161,PRODUCE!$EB$17:$IY$17)</f>
        <v>0</v>
      </c>
      <c r="CR154" s="422"/>
      <c r="CS154" s="470">
        <f t="shared" si="1034"/>
        <v>0</v>
      </c>
      <c r="CT154" s="470">
        <f t="shared" si="1035"/>
        <v>0</v>
      </c>
      <c r="CU154" s="56"/>
      <c r="CX154" s="55">
        <f t="shared" si="1036"/>
        <v>46150</v>
      </c>
      <c r="CY154" s="422"/>
      <c r="CZ154" s="525">
        <f>SUMPRODUCT(PRODUCE!$B161:$DY161,PRODUCE!$EB$18:$IY$18)</f>
        <v>0</v>
      </c>
      <c r="DA154" s="422"/>
      <c r="DB154" s="525">
        <f t="shared" si="1037"/>
        <v>0</v>
      </c>
      <c r="DC154" s="525">
        <f t="shared" si="1038"/>
        <v>21657.000000000004</v>
      </c>
      <c r="DD154" s="56"/>
      <c r="DG154" s="55">
        <f t="shared" si="1039"/>
        <v>46150</v>
      </c>
      <c r="DH154" s="422"/>
      <c r="DI154" s="526">
        <f>SUMPRODUCT(PRODUCE!$B161:$DY161,PRODUCE!$EB$19:$IY$19)</f>
        <v>0</v>
      </c>
      <c r="DJ154" s="422"/>
      <c r="DK154" s="526">
        <f t="shared" si="1040"/>
        <v>0</v>
      </c>
      <c r="DL154" s="526">
        <f t="shared" si="1041"/>
        <v>40938.499999999985</v>
      </c>
      <c r="DM154" s="56"/>
      <c r="DP154" s="55">
        <f t="shared" si="1042"/>
        <v>46150</v>
      </c>
      <c r="DQ154" s="422"/>
      <c r="DR154" s="423">
        <f>SUMPRODUCT(PRODUCE!$B161:$DY161,PRODUCE!$EB$20:$IY$20)</f>
        <v>0</v>
      </c>
      <c r="DS154" s="422"/>
      <c r="DT154" s="423">
        <f t="shared" si="1043"/>
        <v>0</v>
      </c>
      <c r="DU154" s="423">
        <f t="shared" si="1044"/>
        <v>5800</v>
      </c>
      <c r="DV154" s="56"/>
      <c r="DY154" s="55">
        <f t="shared" si="1045"/>
        <v>46150</v>
      </c>
      <c r="DZ154" s="56"/>
      <c r="EA154" s="157">
        <f>SUMPRODUCT(PRODUCE!$B161:$DY161,PRODUCE!$EB$21:$IY$21)</f>
        <v>0</v>
      </c>
      <c r="EB154" s="56"/>
      <c r="EC154" s="157">
        <f t="shared" si="1046"/>
        <v>0</v>
      </c>
      <c r="ED154" s="157">
        <f t="shared" si="1047"/>
        <v>0</v>
      </c>
      <c r="EE154" s="56"/>
      <c r="EH154" s="55">
        <f t="shared" si="1048"/>
        <v>46150</v>
      </c>
      <c r="EI154" s="56"/>
      <c r="EJ154" s="162">
        <f>SUMPRODUCT(PRODUCE!$B161:$DY161,PRODUCE!$EB$22:$IY$22)</f>
        <v>0</v>
      </c>
      <c r="EK154" s="56"/>
      <c r="EL154" s="162">
        <f t="shared" si="1049"/>
        <v>0</v>
      </c>
      <c r="EM154" s="162">
        <f t="shared" si="1050"/>
        <v>0</v>
      </c>
      <c r="EN154" s="56"/>
      <c r="EQ154" s="55">
        <f t="shared" si="1051"/>
        <v>46150</v>
      </c>
      <c r="ER154" s="56"/>
      <c r="ES154" s="135">
        <f>SUMPRODUCT(PRODUCE!$B161:$DY161,PRODUCE!$EB$23:$IY$23)</f>
        <v>0</v>
      </c>
      <c r="ET154" s="56"/>
      <c r="EU154" s="135">
        <f t="shared" si="1052"/>
        <v>0</v>
      </c>
      <c r="EV154" s="135">
        <f t="shared" si="1053"/>
        <v>0</v>
      </c>
      <c r="EW154" s="56"/>
      <c r="EZ154" s="55">
        <f t="shared" si="1054"/>
        <v>46150</v>
      </c>
      <c r="FA154" s="56"/>
      <c r="FB154" s="175">
        <f>SUMPRODUCT(PRODUCE!$B161:$DY161,PRODUCE!$EB$24:$IY$24)</f>
        <v>0</v>
      </c>
      <c r="FC154" s="56"/>
      <c r="FD154" s="175">
        <f t="shared" si="1055"/>
        <v>0</v>
      </c>
      <c r="FE154" s="175">
        <f t="shared" si="1056"/>
        <v>0</v>
      </c>
      <c r="FF154" s="56"/>
      <c r="FI154" s="55">
        <f t="shared" si="1057"/>
        <v>46150</v>
      </c>
      <c r="FJ154" s="56"/>
      <c r="FK154" s="183">
        <f>SUMPRODUCT(PRODUCE!$B161:$DY161,PRODUCE!$EB$25:$IY$25)</f>
        <v>0</v>
      </c>
      <c r="FL154" s="56"/>
      <c r="FM154" s="183">
        <f t="shared" si="1058"/>
        <v>0</v>
      </c>
      <c r="FN154" s="183">
        <f t="shared" si="1059"/>
        <v>0</v>
      </c>
      <c r="FO154" s="56"/>
      <c r="FR154" s="55">
        <f t="shared" si="1060"/>
        <v>46150</v>
      </c>
      <c r="FS154" s="56"/>
      <c r="FT154" s="186">
        <f>SUMPRODUCT(PRODUCE!$B161:$DY161,PRODUCE!$EB$26:$IY$26)</f>
        <v>0</v>
      </c>
      <c r="FU154" s="56"/>
      <c r="FV154" s="186">
        <f t="shared" si="1061"/>
        <v>0</v>
      </c>
      <c r="FW154" s="186">
        <f t="shared" si="1062"/>
        <v>2120</v>
      </c>
      <c r="FX154" s="56"/>
      <c r="GA154" s="55">
        <f t="shared" si="1063"/>
        <v>46150</v>
      </c>
      <c r="GB154" s="56"/>
      <c r="GC154" s="137">
        <f>SUMPRODUCT(PRODUCE!$B161:$DY161,PRODUCE!$EB$27:$IY$27)</f>
        <v>0</v>
      </c>
      <c r="GD154" s="56"/>
      <c r="GE154" s="137">
        <f t="shared" si="1064"/>
        <v>0</v>
      </c>
      <c r="GF154" s="137">
        <f t="shared" si="1065"/>
        <v>3640</v>
      </c>
      <c r="GG154" s="56"/>
      <c r="GI154" s="23"/>
      <c r="GJ154" s="55">
        <f t="shared" si="1066"/>
        <v>46150</v>
      </c>
      <c r="GK154" s="56"/>
      <c r="GL154" s="199">
        <f>SUMPRODUCT(PRODUCE!$B161:$DY161,PRODUCE!$EB$28:$IY$28)</f>
        <v>0</v>
      </c>
      <c r="GM154" s="56">
        <f>104*20</f>
        <v>2080</v>
      </c>
      <c r="GN154" s="199">
        <f t="shared" si="1067"/>
        <v>-2080</v>
      </c>
      <c r="GO154" s="199">
        <f t="shared" si="1068"/>
        <v>0</v>
      </c>
      <c r="GP154" s="56">
        <f>GM154/20</f>
        <v>104</v>
      </c>
      <c r="GS154" s="55">
        <f t="shared" si="1069"/>
        <v>46150</v>
      </c>
      <c r="GT154" s="56"/>
      <c r="GU154" s="195">
        <f>SUMPRODUCT(PRODUCE!$B161:$DY161,PRODUCE!$EB$29:$IY$29)</f>
        <v>0</v>
      </c>
      <c r="GV154" s="56"/>
      <c r="GW154" s="195">
        <f t="shared" si="1070"/>
        <v>0</v>
      </c>
      <c r="GX154" s="195">
        <f t="shared" si="1071"/>
        <v>0</v>
      </c>
      <c r="GY154" s="56"/>
      <c r="HB154" s="55">
        <f t="shared" si="1072"/>
        <v>46150</v>
      </c>
      <c r="HC154" s="56"/>
      <c r="HD154" s="191">
        <f>SUMPRODUCT(PRODUCE!$B161:$DY161,PRODUCE!$EB$30:$IY$30)</f>
        <v>0</v>
      </c>
      <c r="HE154" s="56"/>
      <c r="HF154" s="191">
        <f t="shared" si="1073"/>
        <v>0</v>
      </c>
      <c r="HG154" s="191">
        <f t="shared" si="1074"/>
        <v>0</v>
      </c>
      <c r="HH154" s="56"/>
      <c r="HK154" s="55">
        <f t="shared" si="1075"/>
        <v>46150</v>
      </c>
      <c r="HL154" s="56"/>
      <c r="HM154" s="63">
        <f>SUMPRODUCT(PRODUCE!$B161:$DY161,PRODUCE!$EB$31:$IY$31)</f>
        <v>0</v>
      </c>
      <c r="HN154" s="56"/>
      <c r="HO154" s="63">
        <f t="shared" si="1076"/>
        <v>0</v>
      </c>
      <c r="HP154" s="63">
        <f t="shared" si="1077"/>
        <v>0</v>
      </c>
      <c r="HQ154" s="56"/>
      <c r="HU154" s="55">
        <f t="shared" si="1078"/>
        <v>46150</v>
      </c>
      <c r="HV154" s="56"/>
      <c r="HW154" s="242">
        <f>SUMPRODUCT(PRODUCE!$B161:$DY161,PRODUCE!$EB$32:$IY$32)</f>
        <v>0</v>
      </c>
      <c r="HX154" s="56">
        <f>10*20</f>
        <v>200</v>
      </c>
      <c r="HY154" s="242">
        <f t="shared" si="1079"/>
        <v>-200</v>
      </c>
      <c r="HZ154" s="242">
        <f t="shared" si="1080"/>
        <v>6160</v>
      </c>
      <c r="IA154" s="56">
        <f>HX154/20</f>
        <v>10</v>
      </c>
      <c r="ID154" s="55">
        <f t="shared" si="1081"/>
        <v>46150</v>
      </c>
      <c r="IE154" s="56"/>
      <c r="IF154" s="242">
        <f>SUMPRODUCT(PRODUCE!$B161:$DY161,PRODUCE!$EB$33:$IY$33)</f>
        <v>0</v>
      </c>
      <c r="IG154" s="56">
        <f>300*20</f>
        <v>6000</v>
      </c>
      <c r="IH154" s="242">
        <f t="shared" si="1082"/>
        <v>-6000</v>
      </c>
      <c r="II154" s="242">
        <f t="shared" si="1083"/>
        <v>540</v>
      </c>
      <c r="IJ154" s="56"/>
      <c r="IM154" s="55">
        <f t="shared" si="1084"/>
        <v>46150</v>
      </c>
      <c r="IN154" s="56"/>
      <c r="IO154" s="242">
        <f>SUMPRODUCT(PRODUCE!$B161:$DY161,PRODUCE!$EB$34:$IY$34)</f>
        <v>0</v>
      </c>
      <c r="IP154" s="56"/>
      <c r="IQ154" s="242">
        <f t="shared" si="1085"/>
        <v>0</v>
      </c>
      <c r="IR154" s="242">
        <f t="shared" si="1086"/>
        <v>11540</v>
      </c>
      <c r="IS154" s="56"/>
      <c r="IV154" s="55">
        <f t="shared" si="1087"/>
        <v>46150</v>
      </c>
      <c r="IW154" s="56"/>
      <c r="IX154" s="242">
        <f>SUMPRODUCT(PRODUCE!$B161:$DY161,PRODUCE!$EB$35:$IY$35)</f>
        <v>0</v>
      </c>
      <c r="IY154" s="56"/>
      <c r="IZ154" s="242">
        <f t="shared" si="1088"/>
        <v>0</v>
      </c>
      <c r="JA154" s="242">
        <f t="shared" si="1089"/>
        <v>15120</v>
      </c>
      <c r="JB154" s="56"/>
      <c r="JE154" s="55">
        <f t="shared" si="1090"/>
        <v>46150</v>
      </c>
      <c r="JF154" s="56"/>
      <c r="JG154" s="242">
        <f>SUMPRODUCT(PRODUCE!$B161:$DY161,PRODUCE!$EB$36:$IY$36)</f>
        <v>1440</v>
      </c>
      <c r="JH154" s="56">
        <f>18*20</f>
        <v>360</v>
      </c>
      <c r="JI154" s="242">
        <f t="shared" si="1091"/>
        <v>1080</v>
      </c>
      <c r="JJ154" s="242">
        <f t="shared" si="1092"/>
        <v>0</v>
      </c>
      <c r="JK154" s="56">
        <f>JH154/20</f>
        <v>18</v>
      </c>
      <c r="JN154" s="55">
        <f t="shared" si="1093"/>
        <v>46150</v>
      </c>
      <c r="JO154" s="56"/>
      <c r="JP154" s="242">
        <f>SUMPRODUCT(PRODUCE!$B161:$DY161,PRODUCE!$EB$37:$IY$37)</f>
        <v>0</v>
      </c>
      <c r="JQ154" s="56">
        <f>120*20</f>
        <v>2400</v>
      </c>
      <c r="JR154" s="242">
        <f t="shared" si="1094"/>
        <v>-2400</v>
      </c>
      <c r="JS154" s="242">
        <f t="shared" si="1095"/>
        <v>6700</v>
      </c>
      <c r="JT154" s="56">
        <f>JQ154/20</f>
        <v>120</v>
      </c>
      <c r="JW154" s="55">
        <f t="shared" si="1096"/>
        <v>46150</v>
      </c>
      <c r="JX154" s="56"/>
      <c r="JY154" s="242">
        <f>SUMPRODUCT(PRODUCE!$B161:$DY161,PRODUCE!$EB$38:$IY$38)</f>
        <v>0</v>
      </c>
      <c r="JZ154" s="56"/>
      <c r="KA154" s="242">
        <f t="shared" si="1097"/>
        <v>0</v>
      </c>
      <c r="KB154" s="242">
        <f t="shared" si="1098"/>
        <v>2540</v>
      </c>
      <c r="KC154" s="56"/>
      <c r="KF154" s="55">
        <f t="shared" si="1099"/>
        <v>46150</v>
      </c>
      <c r="KG154" s="56"/>
      <c r="KH154" s="242">
        <f>SUMPRODUCT(PRODUCE!$B161:$DY161,PRODUCE!$EB$39:$IY$39)</f>
        <v>0</v>
      </c>
      <c r="KI154" s="56"/>
      <c r="KJ154" s="242">
        <f t="shared" si="1100"/>
        <v>0</v>
      </c>
      <c r="KK154" s="242">
        <f t="shared" si="1101"/>
        <v>2359.5</v>
      </c>
      <c r="KL154" s="56"/>
      <c r="KO154" s="55">
        <f t="shared" si="1102"/>
        <v>46150</v>
      </c>
      <c r="KP154" s="56"/>
      <c r="KQ154" s="242">
        <f>SUMPRODUCT(PRODUCE!$B161:$DY161,PRODUCE!$EB$40:$IY$40)</f>
        <v>0</v>
      </c>
      <c r="KR154" s="56"/>
      <c r="KS154" s="242">
        <f t="shared" si="1103"/>
        <v>0</v>
      </c>
      <c r="KT154" s="242">
        <f t="shared" si="1104"/>
        <v>2079</v>
      </c>
      <c r="KU154" s="56"/>
      <c r="KW154" s="23"/>
      <c r="KX154" s="55">
        <f t="shared" si="1105"/>
        <v>46150</v>
      </c>
      <c r="KY154" s="56"/>
      <c r="KZ154" s="242">
        <f>SUMPRODUCT(PRODUCE!$B161:$DY161,PRODUCE!$EB$41:$IY$41)</f>
        <v>0</v>
      </c>
      <c r="LA154" s="56"/>
      <c r="LB154" s="242">
        <f t="shared" si="1106"/>
        <v>0</v>
      </c>
      <c r="LC154" s="242">
        <f t="shared" si="1107"/>
        <v>3690</v>
      </c>
      <c r="LD154" s="56"/>
      <c r="LG154" s="55">
        <f t="shared" si="1108"/>
        <v>46150</v>
      </c>
      <c r="LH154" s="56"/>
      <c r="LI154" s="242">
        <f>SUMPRODUCT(PRODUCE!$B161:$DY161,PRODUCE!$EB$42:$IY$42)</f>
        <v>0</v>
      </c>
      <c r="LJ154" s="56"/>
      <c r="LK154" s="242">
        <f t="shared" si="1109"/>
        <v>0</v>
      </c>
      <c r="LL154" s="242">
        <f t="shared" si="1110"/>
        <v>4000</v>
      </c>
      <c r="LM154" s="56"/>
      <c r="LP154" s="55">
        <f t="shared" si="1111"/>
        <v>46150</v>
      </c>
      <c r="LQ154" s="56"/>
      <c r="LR154" s="242">
        <f>SUMPRODUCT(PRODUCE!$B169:$DY169,PRODUCE!$EB$43:$IY$43)</f>
        <v>0</v>
      </c>
      <c r="LS154" s="56"/>
      <c r="LT154" s="242">
        <f t="shared" si="1112"/>
        <v>0</v>
      </c>
      <c r="LU154" s="242">
        <f t="shared" si="1113"/>
        <v>0</v>
      </c>
      <c r="LV154" s="56"/>
      <c r="LY154" s="55">
        <f t="shared" si="1114"/>
        <v>46150</v>
      </c>
      <c r="LZ154" s="56"/>
      <c r="MA154" s="242">
        <f>SUMPRODUCT(PRODUCE!$B161:$DY161,PRODUCE!$EB$44:$IY$44)</f>
        <v>0</v>
      </c>
      <c r="MB154" s="56"/>
      <c r="MC154" s="242">
        <f t="shared" si="1115"/>
        <v>0</v>
      </c>
      <c r="MD154" s="242">
        <f t="shared" si="1116"/>
        <v>0</v>
      </c>
      <c r="ME154" s="56"/>
      <c r="MH154" s="55">
        <f t="shared" si="1117"/>
        <v>46150</v>
      </c>
      <c r="MI154" s="56"/>
      <c r="MJ154" s="242">
        <f>SUMPRODUCT(PRODUCE!$B161:$DY161,PRODUCE!$EB$45:$IY$45)</f>
        <v>0</v>
      </c>
      <c r="MK154" s="56"/>
      <c r="ML154" s="242">
        <f t="shared" si="1118"/>
        <v>0</v>
      </c>
      <c r="MM154" s="242">
        <f t="shared" si="1119"/>
        <v>0</v>
      </c>
      <c r="MN154" s="56"/>
      <c r="MQ154" s="55">
        <f t="shared" si="1120"/>
        <v>46150</v>
      </c>
      <c r="MR154" s="56"/>
      <c r="MS154" s="242">
        <f>SUMPRODUCT(PRODUCE!$B161:$DY161,PRODUCE!$EB$46:$IY$46)</f>
        <v>0</v>
      </c>
      <c r="MT154" s="56">
        <f>5+52</f>
        <v>57</v>
      </c>
      <c r="MU154" s="242">
        <f t="shared" si="1121"/>
        <v>-57</v>
      </c>
      <c r="MV154" s="242">
        <f t="shared" si="1122"/>
        <v>3846</v>
      </c>
      <c r="MW154" s="56"/>
      <c r="MZ154" s="55">
        <f t="shared" si="1123"/>
        <v>46150</v>
      </c>
      <c r="NA154" s="56">
        <f>54+360</f>
        <v>414</v>
      </c>
      <c r="NB154" s="242">
        <f>SUMPRODUCT(PRODUCE!$B161:$DY161,PRODUCE!$EB$47:$IY$47)</f>
        <v>216</v>
      </c>
      <c r="NC154" s="56">
        <f>54+360</f>
        <v>414</v>
      </c>
      <c r="ND154" s="242">
        <f t="shared" si="1124"/>
        <v>-198</v>
      </c>
      <c r="NE154" s="242">
        <f t="shared" si="1125"/>
        <v>0</v>
      </c>
      <c r="NF154" s="56"/>
      <c r="NI154" s="55">
        <f t="shared" si="1126"/>
        <v>46150</v>
      </c>
      <c r="NJ154" s="56"/>
      <c r="NK154" s="242">
        <f>SUMPRODUCT(PRODUCE!$B161:$DY161,PRODUCE!$EB$48:$IY$48)</f>
        <v>0</v>
      </c>
      <c r="NL154" s="56"/>
      <c r="NM154" s="242">
        <f t="shared" si="1127"/>
        <v>0</v>
      </c>
      <c r="NN154" s="242">
        <f t="shared" si="1128"/>
        <v>1137</v>
      </c>
      <c r="NO154" s="56"/>
      <c r="NR154" s="55">
        <f t="shared" si="1129"/>
        <v>46150</v>
      </c>
      <c r="NS154" s="56"/>
      <c r="NT154" s="242">
        <f>SUMPRODUCT(PRODUCE!$B161:$DY161,PRODUCE!$EB$49:$IY$49)</f>
        <v>0</v>
      </c>
      <c r="NU154" s="56"/>
      <c r="NV154" s="242">
        <f t="shared" si="1130"/>
        <v>0</v>
      </c>
      <c r="NW154" s="242">
        <f t="shared" si="1131"/>
        <v>3122.8999999999996</v>
      </c>
      <c r="NX154" s="56"/>
      <c r="OA154" s="55">
        <f t="shared" si="1132"/>
        <v>46150</v>
      </c>
      <c r="OB154" s="56"/>
      <c r="OC154" s="242">
        <f>SUMPRODUCT(PRODUCE!$B161:$DY161,PRODUCE!$EB$50:$IY$50)</f>
        <v>54</v>
      </c>
      <c r="OD154" s="56"/>
      <c r="OE154" s="242">
        <f t="shared" si="1133"/>
        <v>54</v>
      </c>
      <c r="OF154" s="242">
        <f t="shared" si="1134"/>
        <v>1680.5</v>
      </c>
      <c r="OG154" s="56"/>
      <c r="OJ154" s="55">
        <f t="shared" si="1135"/>
        <v>46150</v>
      </c>
      <c r="OK154" s="56"/>
      <c r="OL154" s="242">
        <f>SUMPRODUCT(PRODUCE!$B161:$DY161,PRODUCE!$EB$51:$IY$51)</f>
        <v>0</v>
      </c>
      <c r="OM154" s="56"/>
      <c r="ON154" s="242">
        <f t="shared" si="1136"/>
        <v>0</v>
      </c>
      <c r="OO154" s="242">
        <f t="shared" si="1137"/>
        <v>0</v>
      </c>
      <c r="OP154" s="56"/>
      <c r="OS154" s="55">
        <f t="shared" si="1138"/>
        <v>46150</v>
      </c>
      <c r="OT154" s="56"/>
      <c r="OU154" s="242">
        <f>SUMPRODUCT(PRODUCE!$B161:$DY161,PRODUCE!$EB$52:$IY$52)</f>
        <v>54</v>
      </c>
      <c r="OV154" s="56"/>
      <c r="OW154" s="242">
        <f t="shared" si="1139"/>
        <v>54</v>
      </c>
      <c r="OX154" s="242">
        <f t="shared" si="1140"/>
        <v>982</v>
      </c>
      <c r="OY154" s="56"/>
      <c r="PB154" s="55">
        <f t="shared" si="1141"/>
        <v>46150</v>
      </c>
      <c r="PC154" s="56"/>
      <c r="PD154" s="242">
        <f>SUMPRODUCT(PRODUCE!$B161:$DY161,PRODUCE!$EB$53:$IY$53)</f>
        <v>0</v>
      </c>
      <c r="PE154" s="56"/>
      <c r="PF154" s="242">
        <f t="shared" si="1142"/>
        <v>0</v>
      </c>
      <c r="PG154" s="242">
        <f t="shared" si="1143"/>
        <v>0</v>
      </c>
      <c r="PH154" s="56"/>
      <c r="PK154" s="55">
        <f t="shared" si="1144"/>
        <v>46150</v>
      </c>
      <c r="PL154" s="56"/>
      <c r="PM154" s="242">
        <f>SUMPRODUCT(PRODUCE!$B161:$DY161,PRODUCE!$EB$54:$IY$54)</f>
        <v>0</v>
      </c>
      <c r="PN154" s="56"/>
      <c r="PO154" s="242">
        <f t="shared" si="1145"/>
        <v>0</v>
      </c>
      <c r="PP154" s="242">
        <f t="shared" si="1146"/>
        <v>100</v>
      </c>
      <c r="PQ154" s="56"/>
      <c r="PT154" s="55">
        <f t="shared" si="1147"/>
        <v>46150</v>
      </c>
      <c r="PU154" s="56"/>
      <c r="PV154" s="242">
        <f>SUMPRODUCT(PRODUCE!$B161:$DY161,PRODUCE!$EB$55:$IY$55)</f>
        <v>0</v>
      </c>
      <c r="PW154" s="56"/>
      <c r="PX154" s="242">
        <f t="shared" si="1148"/>
        <v>0</v>
      </c>
      <c r="PY154" s="242">
        <f t="shared" si="1149"/>
        <v>13.960000000000036</v>
      </c>
      <c r="PZ154" s="56"/>
      <c r="QC154" s="55">
        <f t="shared" si="1150"/>
        <v>46150</v>
      </c>
      <c r="QD154" s="56">
        <f>72+228+92</f>
        <v>392</v>
      </c>
      <c r="QE154" s="242">
        <f>SUMPRODUCT(PRODUCE!$B161:$DY161,PRODUCE!$EB$56:$IY$56)</f>
        <v>72</v>
      </c>
      <c r="QF154" s="56">
        <f>72+128</f>
        <v>200</v>
      </c>
      <c r="QG154" s="242">
        <f t="shared" si="1151"/>
        <v>-128</v>
      </c>
      <c r="QH154" s="242">
        <f t="shared" si="1152"/>
        <v>468</v>
      </c>
      <c r="QI154" s="56"/>
      <c r="QL154" s="55">
        <f t="shared" si="1153"/>
        <v>46150</v>
      </c>
      <c r="QM154" s="56"/>
      <c r="QN154" s="242">
        <f>SUMPRODUCT(PRODUCE!$B161:$DY161,PRODUCE!$EB$57:$IY$57)</f>
        <v>135</v>
      </c>
      <c r="QO154" s="56">
        <f>225+175</f>
        <v>400</v>
      </c>
      <c r="QP154" s="242">
        <f t="shared" si="1154"/>
        <v>-265</v>
      </c>
      <c r="QQ154" s="242">
        <f t="shared" si="1155"/>
        <v>0</v>
      </c>
      <c r="QR154" s="56"/>
      <c r="QU154" s="55">
        <f t="shared" si="1156"/>
        <v>46150</v>
      </c>
      <c r="QV154" s="56"/>
      <c r="QW154" s="242">
        <f>SUMPRODUCT(PRODUCE!$B161:$DY161,PRODUCE!$EB$58:$IY$58)</f>
        <v>0</v>
      </c>
      <c r="QX154" s="56"/>
      <c r="QY154" s="242">
        <f t="shared" si="1157"/>
        <v>0</v>
      </c>
      <c r="QZ154" s="242">
        <f t="shared" si="1158"/>
        <v>207.6</v>
      </c>
      <c r="RA154" s="56"/>
      <c r="RD154" s="55">
        <f t="shared" si="1159"/>
        <v>46150</v>
      </c>
      <c r="RE154" s="56"/>
      <c r="RF154" s="242">
        <f>SUMPRODUCT(PRODUCE!$B161:$DY161,PRODUCE!$EB$59:$IY$59)</f>
        <v>0</v>
      </c>
      <c r="RG154" s="56"/>
      <c r="RH154" s="242">
        <f t="shared" si="1160"/>
        <v>0</v>
      </c>
      <c r="RI154" s="242">
        <f t="shared" si="1161"/>
        <v>147.04000000000002</v>
      </c>
      <c r="RJ154" s="56"/>
      <c r="RM154" s="55">
        <f t="shared" si="1162"/>
        <v>46150</v>
      </c>
      <c r="RN154" s="56"/>
      <c r="RO154" s="242">
        <f>SUMPRODUCT(PRODUCE!$B161:$DY161,PRODUCE!$EB$60:$IY$60)</f>
        <v>0</v>
      </c>
      <c r="RP154" s="56"/>
      <c r="RQ154" s="242">
        <f t="shared" si="1163"/>
        <v>0</v>
      </c>
      <c r="RR154" s="242">
        <f t="shared" si="1164"/>
        <v>46.8</v>
      </c>
      <c r="RS154" s="56"/>
      <c r="RV154" s="55">
        <f t="shared" si="1165"/>
        <v>46150</v>
      </c>
      <c r="RW154" s="56"/>
      <c r="RX154" s="242">
        <f>SUMPRODUCT(PRODUCE!$B161:$DY161,PRODUCE!$EB$61:$IY$61)</f>
        <v>0</v>
      </c>
      <c r="RY154" s="56"/>
      <c r="RZ154" s="242">
        <f t="shared" si="1166"/>
        <v>0</v>
      </c>
      <c r="SA154" s="242">
        <f t="shared" si="1167"/>
        <v>0</v>
      </c>
      <c r="SB154" s="56"/>
      <c r="SE154" s="55">
        <f t="shared" si="1168"/>
        <v>46150</v>
      </c>
      <c r="SF154" s="56"/>
      <c r="SG154" s="242">
        <f>SUMPRODUCT(PRODUCE!$B161:$DY161,PRODUCE!$EB$62:$IY$62)</f>
        <v>0</v>
      </c>
      <c r="SH154" s="56"/>
      <c r="SI154" s="242">
        <f t="shared" si="1169"/>
        <v>0</v>
      </c>
      <c r="SJ154" s="242">
        <f t="shared" si="1170"/>
        <v>24.200000000000003</v>
      </c>
      <c r="SK154" s="56"/>
      <c r="SN154" s="55">
        <f t="shared" si="1171"/>
        <v>46150</v>
      </c>
      <c r="SO154" s="56"/>
      <c r="SP154" s="242">
        <f>SUMPRODUCT(PRODUCE!$B161:$DY161,PRODUCE!$EB$63:$IY$63)</f>
        <v>0</v>
      </c>
      <c r="SQ154" s="56"/>
      <c r="SR154" s="242">
        <f t="shared" si="1172"/>
        <v>0</v>
      </c>
      <c r="SS154" s="242">
        <f t="shared" si="1173"/>
        <v>32</v>
      </c>
      <c r="ST154" s="56"/>
      <c r="SW154" s="55">
        <f t="shared" si="1174"/>
        <v>46150</v>
      </c>
      <c r="SX154" s="56"/>
      <c r="SY154" s="242">
        <f>SUMPRODUCT(PRODUCE!$B161:$DY161,PRODUCE!$EB$64:$IY$64)</f>
        <v>0</v>
      </c>
      <c r="SZ154" s="56"/>
      <c r="TA154" s="242">
        <f t="shared" si="1175"/>
        <v>0</v>
      </c>
      <c r="TB154" s="242">
        <f t="shared" si="1176"/>
        <v>0</v>
      </c>
      <c r="TC154" s="56"/>
      <c r="TF154" s="55">
        <f t="shared" si="1177"/>
        <v>46150</v>
      </c>
      <c r="TG154" s="56"/>
      <c r="TH154" s="242">
        <f>SUMPRODUCT(PRODUCE!$B161:$DY161,PRODUCE!$EB$65:$IY$65)</f>
        <v>0</v>
      </c>
      <c r="TI154" s="56"/>
      <c r="TJ154" s="242">
        <f t="shared" si="1178"/>
        <v>0</v>
      </c>
      <c r="TK154" s="242">
        <f t="shared" si="1179"/>
        <v>0</v>
      </c>
      <c r="TL154" s="56"/>
      <c r="TO154" s="55">
        <f t="shared" si="1180"/>
        <v>46150</v>
      </c>
      <c r="TP154" s="56"/>
      <c r="TQ154" s="242">
        <f>SUMPRODUCT(PRODUCE!$B161:$DY161,PRODUCE!$EB$66:$IY$66)</f>
        <v>0</v>
      </c>
      <c r="TR154" s="56"/>
      <c r="TS154" s="242">
        <f t="shared" si="1181"/>
        <v>0</v>
      </c>
      <c r="TT154" s="242">
        <f t="shared" si="1182"/>
        <v>0</v>
      </c>
      <c r="TU154" s="56"/>
      <c r="TX154" s="55">
        <f t="shared" si="1183"/>
        <v>46150</v>
      </c>
      <c r="TY154" s="56"/>
      <c r="TZ154" s="242">
        <f>SUMPRODUCT(PRODUCE!$B161:$DY161,PRODUCE!$EB$67:$IY$67)</f>
        <v>0</v>
      </c>
      <c r="UA154" s="56"/>
      <c r="UB154" s="242">
        <f t="shared" si="1184"/>
        <v>0</v>
      </c>
      <c r="UC154" s="242">
        <f t="shared" si="1185"/>
        <v>0</v>
      </c>
      <c r="UD154" s="56"/>
      <c r="UG154" s="55">
        <f t="shared" si="1186"/>
        <v>46150</v>
      </c>
      <c r="UH154" s="56"/>
      <c r="UI154" s="242">
        <f>SUMPRODUCT(PRODUCE!$B161:$DY161,PRODUCE!$EB$68:$IY$68)</f>
        <v>0</v>
      </c>
      <c r="UJ154" s="56"/>
      <c r="UK154" s="242">
        <f t="shared" si="1187"/>
        <v>0</v>
      </c>
      <c r="UL154" s="242">
        <f t="shared" si="1188"/>
        <v>0</v>
      </c>
      <c r="UM154" s="56"/>
      <c r="UP154" s="55">
        <f t="shared" si="1189"/>
        <v>46150</v>
      </c>
      <c r="UQ154" s="56"/>
      <c r="UR154" s="242">
        <f>SUMPRODUCT(PRODUCE!$B161:$DY161,PRODUCE!$EB$69:$IY$69)</f>
        <v>0</v>
      </c>
      <c r="US154" s="56"/>
      <c r="UT154" s="242">
        <f t="shared" si="1190"/>
        <v>0</v>
      </c>
      <c r="UU154" s="242">
        <f t="shared" si="1191"/>
        <v>0</v>
      </c>
      <c r="UV154" s="56"/>
      <c r="UY154" s="55">
        <f t="shared" si="1192"/>
        <v>46150</v>
      </c>
      <c r="UZ154" s="56"/>
      <c r="VA154" s="242">
        <f>SUMPRODUCT(PRODUCE!$B161:$DY161,PRODUCE!$EB$70:$IY$70)</f>
        <v>0</v>
      </c>
      <c r="VB154" s="56"/>
      <c r="VC154" s="242">
        <f t="shared" si="1193"/>
        <v>0</v>
      </c>
      <c r="VD154" s="242">
        <f t="shared" si="1194"/>
        <v>41.600000000000023</v>
      </c>
      <c r="VE154" s="56"/>
      <c r="VH154" s="55">
        <f t="shared" si="1195"/>
        <v>46150</v>
      </c>
      <c r="VI154" s="56"/>
      <c r="VJ154" s="242">
        <f>SUMPRODUCT(PRODUCE!$B161:$DY161,PRODUCE!$EB$71:$IY$71)</f>
        <v>0</v>
      </c>
      <c r="VK154" s="56"/>
      <c r="VL154" s="242">
        <f t="shared" si="1196"/>
        <v>0</v>
      </c>
      <c r="VM154" s="242">
        <f t="shared" si="1197"/>
        <v>0</v>
      </c>
      <c r="VN154" s="56"/>
      <c r="VQ154" s="55">
        <f t="shared" si="1198"/>
        <v>46150</v>
      </c>
      <c r="VR154" s="56"/>
      <c r="VS154" s="242">
        <f>SUMPRODUCT(PRODUCE!$B161:$DY161,PRODUCE!$EB$57:$IY$57)</f>
        <v>135</v>
      </c>
      <c r="VT154" s="56"/>
      <c r="VU154" s="242">
        <f t="shared" si="1199"/>
        <v>135</v>
      </c>
      <c r="VV154" s="242">
        <f t="shared" si="1200"/>
        <v>0</v>
      </c>
      <c r="VW154" s="56"/>
      <c r="VZ154" s="55">
        <f t="shared" si="1201"/>
        <v>46150</v>
      </c>
      <c r="WA154" s="56"/>
      <c r="WB154" s="242">
        <f>SUMPRODUCT(PRODUCE!$B161:$DY161,PRODUCE!$EB$57:$IY$57)</f>
        <v>135</v>
      </c>
      <c r="WC154" s="56"/>
      <c r="WD154" s="242">
        <f t="shared" si="1202"/>
        <v>135</v>
      </c>
      <c r="WE154" s="242">
        <f t="shared" si="1203"/>
        <v>0</v>
      </c>
      <c r="WF154" s="56"/>
      <c r="WI154" s="55">
        <f t="shared" si="1204"/>
        <v>46150</v>
      </c>
      <c r="WJ154" s="422"/>
      <c r="WK154" s="540">
        <f>SUMPRODUCT(PRODUCE!$B161:$DY161,PRODUCE!$EB$74:$IY$74)</f>
        <v>0</v>
      </c>
      <c r="WL154" s="422"/>
      <c r="WM154" s="540">
        <f t="shared" si="1205"/>
        <v>0</v>
      </c>
      <c r="WN154" s="540">
        <f t="shared" si="1206"/>
        <v>2317</v>
      </c>
      <c r="WO154" s="56"/>
      <c r="WR154" s="55">
        <f t="shared" si="1207"/>
        <v>46150</v>
      </c>
      <c r="WS154" s="422"/>
      <c r="WT154" s="540">
        <f>SUMPRODUCT(PRODUCE!$B161:$DY161,PRODUCE!$EB$75:$IY$75)</f>
        <v>0</v>
      </c>
      <c r="WU154" s="422"/>
      <c r="WV154" s="540">
        <f t="shared" si="1208"/>
        <v>0</v>
      </c>
      <c r="WW154" s="540">
        <f t="shared" si="1209"/>
        <v>776</v>
      </c>
      <c r="WX154" s="56"/>
      <c r="XA154" s="55">
        <f t="shared" si="1210"/>
        <v>46150</v>
      </c>
      <c r="XB154" s="422"/>
      <c r="XC154" s="540">
        <f>SUMPRODUCT(PRODUCE!$B161:$DY161,PRODUCE!$EB$76:$IY$76)</f>
        <v>0</v>
      </c>
      <c r="XD154" s="422"/>
      <c r="XE154" s="540">
        <f t="shared" si="1211"/>
        <v>0</v>
      </c>
      <c r="XF154" s="540">
        <f t="shared" si="1212"/>
        <v>12453</v>
      </c>
      <c r="XG154" s="56"/>
      <c r="XJ154" s="55">
        <f t="shared" si="1213"/>
        <v>46150</v>
      </c>
      <c r="XK154" s="422"/>
      <c r="XL154" s="540">
        <f>SUMPRODUCT(PRODUCE!$B161:$DY161,PRODUCE!$EB$77:$IY$77)</f>
        <v>0</v>
      </c>
      <c r="XM154" s="422"/>
      <c r="XN154" s="540">
        <f t="shared" si="1214"/>
        <v>0</v>
      </c>
      <c r="XO154" s="540">
        <f t="shared" si="1215"/>
        <v>1481</v>
      </c>
      <c r="XP154" s="56"/>
      <c r="XS154" s="55">
        <f t="shared" si="1216"/>
        <v>46150</v>
      </c>
      <c r="XT154" s="56"/>
      <c r="XU154" s="242">
        <f>SUMPRODUCT(PRODUCE!$B161:$DY161,PRODUCE!$EB$78:$IY$78)</f>
        <v>0</v>
      </c>
      <c r="XV154" s="56"/>
      <c r="XW154" s="242">
        <f t="shared" si="1217"/>
        <v>0</v>
      </c>
      <c r="XX154" s="242">
        <f t="shared" si="1218"/>
        <v>1901</v>
      </c>
      <c r="XY154" s="56"/>
      <c r="YB154" s="55">
        <f t="shared" si="1219"/>
        <v>46150</v>
      </c>
      <c r="YC154" s="56"/>
      <c r="YD154" s="242">
        <f>SUMPRODUCT(PRODUCE!$B161:$DY161,PRODUCE!$EB$79:$IY$79)</f>
        <v>0</v>
      </c>
      <c r="YE154" s="56"/>
      <c r="YF154" s="242">
        <f t="shared" si="1220"/>
        <v>0</v>
      </c>
      <c r="YG154" s="242">
        <f t="shared" si="1221"/>
        <v>6459</v>
      </c>
      <c r="YH154" s="56"/>
      <c r="YK154" s="55">
        <f t="shared" si="1222"/>
        <v>46150</v>
      </c>
      <c r="YL154" s="56"/>
      <c r="YM154" s="242">
        <f>SUMPRODUCT(PRODUCE!$B161:$DY161,PRODUCE!$EB$80:$IY$80)</f>
        <v>0</v>
      </c>
      <c r="YN154" s="56"/>
      <c r="YO154" s="242">
        <f t="shared" si="1223"/>
        <v>0</v>
      </c>
      <c r="YP154" s="242">
        <f t="shared" si="1224"/>
        <v>0</v>
      </c>
      <c r="YQ154" s="56"/>
      <c r="YT154" s="55">
        <f t="shared" si="1225"/>
        <v>46150</v>
      </c>
      <c r="YU154" s="56"/>
      <c r="YV154" s="242">
        <f>SUMPRODUCT(PRODUCE!$B161:$DY161,PRODUCE!$EB$57:$IY$57)</f>
        <v>135</v>
      </c>
      <c r="YW154" s="56"/>
      <c r="YX154" s="242">
        <f t="shared" si="1226"/>
        <v>135</v>
      </c>
      <c r="YY154" s="242">
        <f t="shared" si="1227"/>
        <v>0</v>
      </c>
      <c r="YZ154" s="56"/>
      <c r="ZC154" s="55">
        <f t="shared" si="1228"/>
        <v>46150</v>
      </c>
      <c r="ZD154" s="56"/>
      <c r="ZE154" s="242">
        <f>SUMPRODUCT(PRODUCE!$B161:$DY161,PRODUCE!$EB$57:$IY$57)</f>
        <v>135</v>
      </c>
      <c r="ZF154" s="56"/>
      <c r="ZG154" s="242">
        <f t="shared" si="1229"/>
        <v>135</v>
      </c>
      <c r="ZH154" s="242">
        <f t="shared" si="1230"/>
        <v>0</v>
      </c>
      <c r="ZI154" s="56"/>
      <c r="ZL154" s="55">
        <f t="shared" si="1231"/>
        <v>46150</v>
      </c>
      <c r="ZM154" s="56"/>
      <c r="ZN154" s="242">
        <f>SUMPRODUCT(PRODUCE!$B161:$DY161,PRODUCE!$EB$57:$IY$57)</f>
        <v>135</v>
      </c>
      <c r="ZO154" s="56"/>
      <c r="ZP154" s="242">
        <f t="shared" si="1232"/>
        <v>135</v>
      </c>
      <c r="ZQ154" s="242">
        <f t="shared" si="1233"/>
        <v>0</v>
      </c>
      <c r="ZR154" s="56"/>
      <c r="ZU154" s="55">
        <f t="shared" si="1234"/>
        <v>46150</v>
      </c>
      <c r="ZV154" s="56"/>
      <c r="ZW154" s="242">
        <f>SUMPRODUCT(PRODUCE!$B161:$DY161,PRODUCE!$EB$57:$IY$57)</f>
        <v>135</v>
      </c>
      <c r="ZX154" s="56"/>
      <c r="ZY154" s="242">
        <f t="shared" si="1235"/>
        <v>135</v>
      </c>
      <c r="ZZ154" s="242">
        <f t="shared" si="1236"/>
        <v>0</v>
      </c>
      <c r="AAA154" s="56"/>
      <c r="AAD154" s="55">
        <f t="shared" si="1237"/>
        <v>46150</v>
      </c>
      <c r="AAE154" s="56"/>
      <c r="AAF154" s="242">
        <f>SUMPRODUCT(PRODUCE!$B161:$DY161,PRODUCE!$EB$57:$IY$57)</f>
        <v>135</v>
      </c>
      <c r="AAG154" s="56"/>
      <c r="AAH154" s="242">
        <f t="shared" si="1238"/>
        <v>135</v>
      </c>
      <c r="AAI154" s="242">
        <f t="shared" si="1239"/>
        <v>0</v>
      </c>
      <c r="AAJ154" s="56"/>
      <c r="AAM154" s="55">
        <f t="shared" si="1240"/>
        <v>46150</v>
      </c>
      <c r="AAN154" s="56"/>
      <c r="AAO154" s="242">
        <f>SUMPRODUCT(PRODUCE!$B161:$DY161,PRODUCE!$EB$57:$IY$57)</f>
        <v>135</v>
      </c>
      <c r="AAP154" s="56"/>
      <c r="AAQ154" s="242">
        <f t="shared" si="1241"/>
        <v>135</v>
      </c>
      <c r="AAR154" s="242">
        <f t="shared" si="1242"/>
        <v>0</v>
      </c>
      <c r="AAS154" s="56"/>
      <c r="AAV154" s="55">
        <f t="shared" si="1243"/>
        <v>46150</v>
      </c>
      <c r="AAW154" s="56"/>
      <c r="AAX154" s="242">
        <f>SUMPRODUCT(PRODUCE!$B161:$DY161,PRODUCE!$EB$57:$IY$57)</f>
        <v>135</v>
      </c>
      <c r="AAY154" s="56"/>
      <c r="AAZ154" s="242">
        <f t="shared" si="1244"/>
        <v>135</v>
      </c>
      <c r="ABA154" s="242">
        <f t="shared" si="1245"/>
        <v>0</v>
      </c>
      <c r="ABB154" s="56"/>
      <c r="ABE154" s="55">
        <f t="shared" si="1246"/>
        <v>46150</v>
      </c>
      <c r="ABF154" s="56"/>
      <c r="ABG154" s="242">
        <f>SUMPRODUCT(PRODUCE!$B161:$DY161,PRODUCE!$EB$57:$IY$57)</f>
        <v>135</v>
      </c>
      <c r="ABH154" s="56"/>
      <c r="ABI154" s="242">
        <f t="shared" si="1247"/>
        <v>135</v>
      </c>
      <c r="ABJ154" s="242">
        <f t="shared" si="1248"/>
        <v>0</v>
      </c>
      <c r="ABK154" s="56"/>
    </row>
    <row r="155" spans="2:739" s="54" customFormat="1" ht="15" customHeight="1" outlineLevel="1">
      <c r="B155" s="478">
        <v>10</v>
      </c>
      <c r="C155" s="55">
        <v>46151</v>
      </c>
      <c r="D155" s="422"/>
      <c r="E155" s="423">
        <f>SUMPRODUCT(PRODUCE!$B162:$DY162,PRODUCE!$EB$7:$IY$7)</f>
        <v>5383.2000000000016</v>
      </c>
      <c r="F155" s="422">
        <v>5388.4</v>
      </c>
      <c r="G155" s="423">
        <f t="shared" si="1004"/>
        <v>-5.1999999999979991</v>
      </c>
      <c r="H155" s="423">
        <f t="shared" si="1005"/>
        <v>195320.00000000006</v>
      </c>
      <c r="I155" s="289" t="s">
        <v>263</v>
      </c>
      <c r="L155" s="55">
        <f t="shared" si="1006"/>
        <v>46151</v>
      </c>
      <c r="M155" s="422">
        <v>30100</v>
      </c>
      <c r="N155" s="438">
        <f>SUMPRODUCT(PRODUCE!$B162:$DY162,PRODUCE!$EB$8:$IY$8)</f>
        <v>2856</v>
      </c>
      <c r="O155" s="422">
        <v>2857</v>
      </c>
      <c r="P155" s="438">
        <f t="shared" si="1007"/>
        <v>-1</v>
      </c>
      <c r="Q155" s="438">
        <f t="shared" si="1008"/>
        <v>48271.400000000096</v>
      </c>
      <c r="R155" s="56"/>
      <c r="U155" s="55">
        <f t="shared" si="1009"/>
        <v>46151</v>
      </c>
      <c r="V155" s="422"/>
      <c r="W155" s="440">
        <f>SUMPRODUCT(PRODUCE!$B162:$DY162,PRODUCE!$EB$9:$IY$9)</f>
        <v>500</v>
      </c>
      <c r="X155" s="422">
        <v>500.5</v>
      </c>
      <c r="Y155" s="440">
        <f t="shared" si="1010"/>
        <v>-0.5</v>
      </c>
      <c r="Z155" s="440">
        <f t="shared" si="1011"/>
        <v>38812.899999999965</v>
      </c>
      <c r="AA155" s="56"/>
      <c r="AD155" s="55">
        <f t="shared" si="1012"/>
        <v>46151</v>
      </c>
      <c r="AE155" s="422"/>
      <c r="AF155" s="442">
        <f>SUMPRODUCT(PRODUCE!$B162:$DY162,PRODUCE!$EB$10:$IY$10)</f>
        <v>0</v>
      </c>
      <c r="AG155" s="422"/>
      <c r="AH155" s="442">
        <f t="shared" si="1013"/>
        <v>0</v>
      </c>
      <c r="AI155" s="442">
        <f t="shared" si="1014"/>
        <v>3029.6000000000176</v>
      </c>
      <c r="AJ155" s="56"/>
      <c r="AM155" s="55">
        <f t="shared" si="1015"/>
        <v>46151</v>
      </c>
      <c r="AN155" s="422"/>
      <c r="AO155" s="444">
        <f>SUMPRODUCT(PRODUCE!$B162:$DY162,PRODUCE!$EB$11:$IY$11)</f>
        <v>0</v>
      </c>
      <c r="AP155" s="422"/>
      <c r="AQ155" s="444">
        <f t="shared" si="1016"/>
        <v>0</v>
      </c>
      <c r="AR155" s="444">
        <f t="shared" si="1017"/>
        <v>0</v>
      </c>
      <c r="AS155" s="56"/>
      <c r="AV155" s="55">
        <f t="shared" si="1018"/>
        <v>46151</v>
      </c>
      <c r="AW155" s="422"/>
      <c r="AX155" s="446">
        <f>SUMPRODUCT(PRODUCE!$B162:$DY162,PRODUCE!$EB$12:$IY$12)</f>
        <v>200</v>
      </c>
      <c r="AY155" s="422">
        <v>201</v>
      </c>
      <c r="AZ155" s="446">
        <f t="shared" si="1019"/>
        <v>-1</v>
      </c>
      <c r="BA155" s="446">
        <f t="shared" si="1020"/>
        <v>36409.899999999994</v>
      </c>
      <c r="BB155" s="56"/>
      <c r="BE155" s="55">
        <f t="shared" si="1021"/>
        <v>46151</v>
      </c>
      <c r="BF155" s="422"/>
      <c r="BG155" s="448">
        <f>SUMPRODUCT(PRODUCE!$B162:$DY162,PRODUCE!$EB$13:$IY$13)</f>
        <v>150</v>
      </c>
      <c r="BH155" s="422">
        <v>150.5</v>
      </c>
      <c r="BI155" s="448">
        <f t="shared" si="1022"/>
        <v>-0.5</v>
      </c>
      <c r="BJ155" s="448">
        <f t="shared" si="1023"/>
        <v>20577.299999999992</v>
      </c>
      <c r="BK155" s="56"/>
      <c r="BN155" s="55">
        <f t="shared" si="1024"/>
        <v>46151</v>
      </c>
      <c r="BO155" s="422">
        <v>100</v>
      </c>
      <c r="BP155" s="450">
        <f>SUMPRODUCT(PRODUCE!$B162:$DY162,PRODUCE!$EB$14:$IY$14)</f>
        <v>100</v>
      </c>
      <c r="BQ155" s="422">
        <v>100</v>
      </c>
      <c r="BR155" s="450">
        <f t="shared" si="1025"/>
        <v>0</v>
      </c>
      <c r="BS155" s="450">
        <f t="shared" si="1026"/>
        <v>0</v>
      </c>
      <c r="BT155" s="56"/>
      <c r="BW155" s="55">
        <f t="shared" si="1027"/>
        <v>46151</v>
      </c>
      <c r="BX155" s="422"/>
      <c r="BY155" s="523">
        <f>SUMPRODUCT(PRODUCE!$B162:$DY162,PRODUCE!$EB$15:$IY$15)</f>
        <v>15</v>
      </c>
      <c r="BZ155" s="422"/>
      <c r="CA155" s="523">
        <f t="shared" si="1028"/>
        <v>15</v>
      </c>
      <c r="CB155" s="523">
        <f t="shared" si="1029"/>
        <v>5833.7999999999993</v>
      </c>
      <c r="CC155" s="56"/>
      <c r="CF155" s="55">
        <f t="shared" si="1030"/>
        <v>46151</v>
      </c>
      <c r="CG155" s="422"/>
      <c r="CH155" s="524">
        <f>SUMPRODUCT(PRODUCE!$B162:$DY162,PRODUCE!$EB$16:$IY$16)</f>
        <v>60.79999999999999</v>
      </c>
      <c r="CI155" s="422"/>
      <c r="CJ155" s="524">
        <f t="shared" si="1031"/>
        <v>60.79999999999999</v>
      </c>
      <c r="CK155" s="524">
        <f t="shared" si="1032"/>
        <v>0</v>
      </c>
      <c r="CL155" s="56"/>
      <c r="CO155" s="55">
        <f t="shared" si="1033"/>
        <v>46151</v>
      </c>
      <c r="CP155" s="422"/>
      <c r="CQ155" s="470">
        <f>SUMPRODUCT(PRODUCE!$B162:$DY162,PRODUCE!$EB$17:$IY$17)</f>
        <v>0</v>
      </c>
      <c r="CR155" s="422"/>
      <c r="CS155" s="470">
        <f t="shared" si="1034"/>
        <v>0</v>
      </c>
      <c r="CT155" s="470">
        <f t="shared" si="1035"/>
        <v>0</v>
      </c>
      <c r="CU155" s="56"/>
      <c r="CX155" s="55">
        <f t="shared" si="1036"/>
        <v>46151</v>
      </c>
      <c r="CY155" s="422"/>
      <c r="CZ155" s="525">
        <f>SUMPRODUCT(PRODUCE!$B162:$DY162,PRODUCE!$EB$18:$IY$18)</f>
        <v>0</v>
      </c>
      <c r="DA155" s="422"/>
      <c r="DB155" s="525">
        <f t="shared" si="1037"/>
        <v>0</v>
      </c>
      <c r="DC155" s="525">
        <f t="shared" si="1038"/>
        <v>21657.000000000004</v>
      </c>
      <c r="DD155" s="56"/>
      <c r="DG155" s="55">
        <f t="shared" si="1039"/>
        <v>46151</v>
      </c>
      <c r="DH155" s="422"/>
      <c r="DI155" s="526">
        <f>SUMPRODUCT(PRODUCE!$B162:$DY162,PRODUCE!$EB$19:$IY$19)</f>
        <v>500</v>
      </c>
      <c r="DJ155" s="422">
        <v>500.5</v>
      </c>
      <c r="DK155" s="526">
        <f t="shared" si="1040"/>
        <v>-0.5</v>
      </c>
      <c r="DL155" s="526">
        <f t="shared" si="1041"/>
        <v>40437.999999999985</v>
      </c>
      <c r="DM155" s="56"/>
      <c r="DP155" s="55">
        <f t="shared" si="1042"/>
        <v>46151</v>
      </c>
      <c r="DQ155" s="422"/>
      <c r="DR155" s="423">
        <f>SUMPRODUCT(PRODUCE!$B162:$DY162,PRODUCE!$EB$20:$IY$20)</f>
        <v>0</v>
      </c>
      <c r="DS155" s="422"/>
      <c r="DT155" s="423">
        <f t="shared" si="1043"/>
        <v>0</v>
      </c>
      <c r="DU155" s="423">
        <f t="shared" si="1044"/>
        <v>5800</v>
      </c>
      <c r="DV155" s="56"/>
      <c r="DY155" s="55">
        <f t="shared" si="1045"/>
        <v>46151</v>
      </c>
      <c r="DZ155" s="56"/>
      <c r="EA155" s="157">
        <f>SUMPRODUCT(PRODUCE!$B162:$DY162,PRODUCE!$EB$21:$IY$21)</f>
        <v>0</v>
      </c>
      <c r="EB155" s="56"/>
      <c r="EC155" s="157">
        <f t="shared" si="1046"/>
        <v>0</v>
      </c>
      <c r="ED155" s="157">
        <f t="shared" si="1047"/>
        <v>0</v>
      </c>
      <c r="EE155" s="56"/>
      <c r="EH155" s="55">
        <f t="shared" si="1048"/>
        <v>46151</v>
      </c>
      <c r="EI155" s="56"/>
      <c r="EJ155" s="162">
        <f>SUMPRODUCT(PRODUCE!$B162:$DY162,PRODUCE!$EB$22:$IY$22)</f>
        <v>0</v>
      </c>
      <c r="EK155" s="56"/>
      <c r="EL155" s="162">
        <f t="shared" si="1049"/>
        <v>0</v>
      </c>
      <c r="EM155" s="162">
        <f t="shared" si="1050"/>
        <v>0</v>
      </c>
      <c r="EN155" s="56"/>
      <c r="EQ155" s="55">
        <f t="shared" si="1051"/>
        <v>46151</v>
      </c>
      <c r="ER155" s="56"/>
      <c r="ES155" s="135">
        <f>SUMPRODUCT(PRODUCE!$B162:$DY162,PRODUCE!$EB$23:$IY$23)</f>
        <v>0</v>
      </c>
      <c r="ET155" s="56"/>
      <c r="EU155" s="135">
        <f t="shared" si="1052"/>
        <v>0</v>
      </c>
      <c r="EV155" s="135">
        <f t="shared" si="1053"/>
        <v>0</v>
      </c>
      <c r="EW155" s="56"/>
      <c r="EZ155" s="55">
        <f t="shared" si="1054"/>
        <v>46151</v>
      </c>
      <c r="FA155" s="56"/>
      <c r="FB155" s="175">
        <f>SUMPRODUCT(PRODUCE!$B162:$DY162,PRODUCE!$EB$24:$IY$24)</f>
        <v>0</v>
      </c>
      <c r="FC155" s="56"/>
      <c r="FD155" s="175">
        <f t="shared" si="1055"/>
        <v>0</v>
      </c>
      <c r="FE155" s="175">
        <f t="shared" si="1056"/>
        <v>0</v>
      </c>
      <c r="FF155" s="56"/>
      <c r="FI155" s="55">
        <f t="shared" si="1057"/>
        <v>46151</v>
      </c>
      <c r="FJ155" s="56"/>
      <c r="FK155" s="183">
        <f>SUMPRODUCT(PRODUCE!$B162:$DY162,PRODUCE!$EB$25:$IY$25)</f>
        <v>0</v>
      </c>
      <c r="FL155" s="56"/>
      <c r="FM155" s="183">
        <f t="shared" si="1058"/>
        <v>0</v>
      </c>
      <c r="FN155" s="183">
        <f t="shared" si="1059"/>
        <v>0</v>
      </c>
      <c r="FO155" s="56"/>
      <c r="FR155" s="55">
        <f t="shared" si="1060"/>
        <v>46151</v>
      </c>
      <c r="FS155" s="56"/>
      <c r="FT155" s="186">
        <f>SUMPRODUCT(PRODUCE!$B162:$DY162,PRODUCE!$EB$26:$IY$26)</f>
        <v>0</v>
      </c>
      <c r="FU155" s="56"/>
      <c r="FV155" s="186">
        <f t="shared" si="1061"/>
        <v>0</v>
      </c>
      <c r="FW155" s="186">
        <f t="shared" si="1062"/>
        <v>2120</v>
      </c>
      <c r="FX155" s="56"/>
      <c r="GA155" s="55">
        <f t="shared" si="1063"/>
        <v>46151</v>
      </c>
      <c r="GB155" s="56"/>
      <c r="GC155" s="137">
        <f>SUMPRODUCT(PRODUCE!$B162:$DY162,PRODUCE!$EB$27:$IY$27)</f>
        <v>0</v>
      </c>
      <c r="GD155" s="56"/>
      <c r="GE155" s="137">
        <f t="shared" si="1064"/>
        <v>0</v>
      </c>
      <c r="GF155" s="137">
        <f t="shared" si="1065"/>
        <v>3640</v>
      </c>
      <c r="GG155" s="56"/>
      <c r="GI155" s="23"/>
      <c r="GJ155" s="55">
        <f t="shared" si="1066"/>
        <v>46151</v>
      </c>
      <c r="GK155" s="56"/>
      <c r="GL155" s="199">
        <f>SUMPRODUCT(PRODUCE!$B162:$DY162,PRODUCE!$EB$28:$IY$28)</f>
        <v>0</v>
      </c>
      <c r="GM155" s="56"/>
      <c r="GN155" s="199">
        <f t="shared" si="1067"/>
        <v>0</v>
      </c>
      <c r="GO155" s="199">
        <f t="shared" si="1068"/>
        <v>0</v>
      </c>
      <c r="GP155" s="56"/>
      <c r="GS155" s="55">
        <f t="shared" si="1069"/>
        <v>46151</v>
      </c>
      <c r="GT155" s="56"/>
      <c r="GU155" s="195">
        <f>SUMPRODUCT(PRODUCE!$B162:$DY162,PRODUCE!$EB$29:$IY$29)</f>
        <v>0</v>
      </c>
      <c r="GV155" s="56"/>
      <c r="GW155" s="195">
        <f t="shared" si="1070"/>
        <v>0</v>
      </c>
      <c r="GX155" s="195">
        <f t="shared" si="1071"/>
        <v>0</v>
      </c>
      <c r="GY155" s="56"/>
      <c r="HB155" s="55">
        <f t="shared" si="1072"/>
        <v>46151</v>
      </c>
      <c r="HC155" s="56"/>
      <c r="HD155" s="191">
        <f>SUMPRODUCT(PRODUCE!$B162:$DY162,PRODUCE!$EB$30:$IY$30)</f>
        <v>0</v>
      </c>
      <c r="HE155" s="56"/>
      <c r="HF155" s="191">
        <f t="shared" si="1073"/>
        <v>0</v>
      </c>
      <c r="HG155" s="191">
        <f t="shared" si="1074"/>
        <v>0</v>
      </c>
      <c r="HH155" s="56"/>
      <c r="HK155" s="55">
        <f t="shared" si="1075"/>
        <v>46151</v>
      </c>
      <c r="HL155" s="56"/>
      <c r="HM155" s="63">
        <f>SUMPRODUCT(PRODUCE!$B162:$DY162,PRODUCE!$EB$31:$IY$31)</f>
        <v>0</v>
      </c>
      <c r="HN155" s="56"/>
      <c r="HO155" s="63">
        <f t="shared" si="1076"/>
        <v>0</v>
      </c>
      <c r="HP155" s="63">
        <f t="shared" si="1077"/>
        <v>0</v>
      </c>
      <c r="HQ155" s="56"/>
      <c r="HU155" s="55">
        <f t="shared" si="1078"/>
        <v>46151</v>
      </c>
      <c r="HV155" s="56"/>
      <c r="HW155" s="242">
        <f>SUMPRODUCT(PRODUCE!$B162:$DY162,PRODUCE!$EB$32:$IY$32)</f>
        <v>200</v>
      </c>
      <c r="HX155" s="56"/>
      <c r="HY155" s="242">
        <f t="shared" si="1079"/>
        <v>200</v>
      </c>
      <c r="HZ155" s="242">
        <f t="shared" si="1080"/>
        <v>6160</v>
      </c>
      <c r="IA155" s="56"/>
      <c r="ID155" s="55">
        <f t="shared" si="1081"/>
        <v>46151</v>
      </c>
      <c r="IE155" s="56"/>
      <c r="IF155" s="242">
        <f>SUMPRODUCT(PRODUCE!$B162:$DY162,PRODUCE!$EB$33:$IY$33)</f>
        <v>0</v>
      </c>
      <c r="IG155" s="56"/>
      <c r="IH155" s="242">
        <f t="shared" si="1082"/>
        <v>0</v>
      </c>
      <c r="II155" s="242">
        <f t="shared" si="1083"/>
        <v>540</v>
      </c>
      <c r="IJ155" s="56"/>
      <c r="IM155" s="55">
        <f t="shared" si="1084"/>
        <v>46151</v>
      </c>
      <c r="IN155" s="56"/>
      <c r="IO155" s="242">
        <f>SUMPRODUCT(PRODUCE!$B162:$DY162,PRODUCE!$EB$34:$IY$34)</f>
        <v>0</v>
      </c>
      <c r="IP155" s="56"/>
      <c r="IQ155" s="242">
        <f t="shared" si="1085"/>
        <v>0</v>
      </c>
      <c r="IR155" s="242">
        <f t="shared" si="1086"/>
        <v>11540</v>
      </c>
      <c r="IS155" s="56"/>
      <c r="IV155" s="55">
        <f t="shared" si="1087"/>
        <v>46151</v>
      </c>
      <c r="IW155" s="56"/>
      <c r="IX155" s="242">
        <f>SUMPRODUCT(PRODUCE!$B162:$DY162,PRODUCE!$EB$35:$IY$35)</f>
        <v>0</v>
      </c>
      <c r="IY155" s="56"/>
      <c r="IZ155" s="242">
        <f t="shared" si="1088"/>
        <v>0</v>
      </c>
      <c r="JA155" s="242">
        <f t="shared" si="1089"/>
        <v>15120</v>
      </c>
      <c r="JB155" s="56"/>
      <c r="JE155" s="55">
        <f t="shared" si="1090"/>
        <v>46151</v>
      </c>
      <c r="JF155" s="56"/>
      <c r="JG155" s="242">
        <f>SUMPRODUCT(PRODUCE!$B162:$DY162,PRODUCE!$EB$36:$IY$36)</f>
        <v>0</v>
      </c>
      <c r="JH155" s="56"/>
      <c r="JI155" s="242">
        <f t="shared" si="1091"/>
        <v>0</v>
      </c>
      <c r="JJ155" s="242">
        <f t="shared" si="1092"/>
        <v>0</v>
      </c>
      <c r="JK155" s="56"/>
      <c r="JN155" s="55">
        <f t="shared" si="1093"/>
        <v>46151</v>
      </c>
      <c r="JO155" s="56"/>
      <c r="JP155" s="242">
        <f>SUMPRODUCT(PRODUCE!$B162:$DY162,PRODUCE!$EB$37:$IY$37)</f>
        <v>0</v>
      </c>
      <c r="JQ155" s="56"/>
      <c r="JR155" s="242">
        <f t="shared" si="1094"/>
        <v>0</v>
      </c>
      <c r="JS155" s="242">
        <f t="shared" si="1095"/>
        <v>6700</v>
      </c>
      <c r="JT155" s="56"/>
      <c r="JW155" s="55">
        <f t="shared" si="1096"/>
        <v>46151</v>
      </c>
      <c r="JX155" s="56"/>
      <c r="JY155" s="242">
        <f>SUMPRODUCT(PRODUCE!$B162:$DY162,PRODUCE!$EB$38:$IY$38)</f>
        <v>0</v>
      </c>
      <c r="JZ155" s="56"/>
      <c r="KA155" s="242">
        <f t="shared" si="1097"/>
        <v>0</v>
      </c>
      <c r="KB155" s="242">
        <f t="shared" si="1098"/>
        <v>2540</v>
      </c>
      <c r="KC155" s="56"/>
      <c r="KF155" s="55">
        <f t="shared" si="1099"/>
        <v>46151</v>
      </c>
      <c r="KG155" s="56"/>
      <c r="KH155" s="242">
        <f>SUMPRODUCT(PRODUCE!$B162:$DY162,PRODUCE!$EB$39:$IY$39)</f>
        <v>0</v>
      </c>
      <c r="KI155" s="56"/>
      <c r="KJ155" s="242">
        <f t="shared" si="1100"/>
        <v>0</v>
      </c>
      <c r="KK155" s="242">
        <f t="shared" si="1101"/>
        <v>2359.5</v>
      </c>
      <c r="KL155" s="56"/>
      <c r="KO155" s="55">
        <f t="shared" si="1102"/>
        <v>46151</v>
      </c>
      <c r="KP155" s="56"/>
      <c r="KQ155" s="242">
        <f>SUMPRODUCT(PRODUCE!$B162:$DY162,PRODUCE!$EB$40:$IY$40)</f>
        <v>0</v>
      </c>
      <c r="KR155" s="56"/>
      <c r="KS155" s="242">
        <f t="shared" si="1103"/>
        <v>0</v>
      </c>
      <c r="KT155" s="242">
        <f t="shared" si="1104"/>
        <v>2079</v>
      </c>
      <c r="KU155" s="56"/>
      <c r="KW155" s="23"/>
      <c r="KX155" s="55">
        <f t="shared" si="1105"/>
        <v>46151</v>
      </c>
      <c r="KY155" s="56"/>
      <c r="KZ155" s="242">
        <f>SUMPRODUCT(PRODUCE!$B162:$DY162,PRODUCE!$EB$41:$IY$41)</f>
        <v>0</v>
      </c>
      <c r="LA155" s="56"/>
      <c r="LB155" s="242">
        <f t="shared" si="1106"/>
        <v>0</v>
      </c>
      <c r="LC155" s="242">
        <f t="shared" si="1107"/>
        <v>3690</v>
      </c>
      <c r="LD155" s="56"/>
      <c r="LG155" s="55">
        <f t="shared" si="1108"/>
        <v>46151</v>
      </c>
      <c r="LH155" s="56"/>
      <c r="LI155" s="242">
        <f>SUMPRODUCT(PRODUCE!$B162:$DY162,PRODUCE!$EB$42:$IY$42)</f>
        <v>0</v>
      </c>
      <c r="LJ155" s="56"/>
      <c r="LK155" s="242">
        <f t="shared" si="1109"/>
        <v>0</v>
      </c>
      <c r="LL155" s="242">
        <f t="shared" si="1110"/>
        <v>4000</v>
      </c>
      <c r="LM155" s="56"/>
      <c r="LP155" s="55">
        <f t="shared" si="1111"/>
        <v>46151</v>
      </c>
      <c r="LQ155" s="56"/>
      <c r="LR155" s="242">
        <f>SUMPRODUCT(PRODUCE!$B170:$DY170,PRODUCE!$EB$43:$IY$43)</f>
        <v>0</v>
      </c>
      <c r="LS155" s="56"/>
      <c r="LT155" s="242">
        <f t="shared" si="1112"/>
        <v>0</v>
      </c>
      <c r="LU155" s="242">
        <f t="shared" si="1113"/>
        <v>0</v>
      </c>
      <c r="LV155" s="56"/>
      <c r="LY155" s="55">
        <f t="shared" si="1114"/>
        <v>46151</v>
      </c>
      <c r="LZ155" s="56"/>
      <c r="MA155" s="242">
        <f>SUMPRODUCT(PRODUCE!$B162:$DY162,PRODUCE!$EB$44:$IY$44)</f>
        <v>0</v>
      </c>
      <c r="MB155" s="56"/>
      <c r="MC155" s="242">
        <f t="shared" si="1115"/>
        <v>0</v>
      </c>
      <c r="MD155" s="242">
        <f t="shared" si="1116"/>
        <v>0</v>
      </c>
      <c r="ME155" s="56"/>
      <c r="MH155" s="55">
        <f t="shared" si="1117"/>
        <v>46151</v>
      </c>
      <c r="MI155" s="56"/>
      <c r="MJ155" s="242">
        <f>SUMPRODUCT(PRODUCE!$B162:$DY162,PRODUCE!$EB$45:$IY$45)</f>
        <v>0</v>
      </c>
      <c r="MK155" s="56"/>
      <c r="ML155" s="242">
        <f t="shared" si="1118"/>
        <v>0</v>
      </c>
      <c r="MM155" s="242">
        <f t="shared" si="1119"/>
        <v>0</v>
      </c>
      <c r="MN155" s="56"/>
      <c r="MQ155" s="55">
        <f t="shared" si="1120"/>
        <v>46151</v>
      </c>
      <c r="MR155" s="56"/>
      <c r="MS155" s="242">
        <f>SUMPRODUCT(PRODUCE!$B162:$DY162,PRODUCE!$EB$46:$IY$46)</f>
        <v>5</v>
      </c>
      <c r="MT155" s="56"/>
      <c r="MU155" s="242">
        <f t="shared" si="1121"/>
        <v>5</v>
      </c>
      <c r="MV155" s="242">
        <f t="shared" si="1122"/>
        <v>3846</v>
      </c>
      <c r="MW155" s="56"/>
      <c r="MZ155" s="55">
        <f t="shared" si="1123"/>
        <v>46151</v>
      </c>
      <c r="NA155" s="56"/>
      <c r="NB155" s="242">
        <f>SUMPRODUCT(PRODUCE!$B162:$DY162,PRODUCE!$EB$47:$IY$47)</f>
        <v>30</v>
      </c>
      <c r="NC155" s="56"/>
      <c r="ND155" s="242">
        <f t="shared" si="1124"/>
        <v>30</v>
      </c>
      <c r="NE155" s="242">
        <f t="shared" si="1125"/>
        <v>0</v>
      </c>
      <c r="NF155" s="56"/>
      <c r="NI155" s="55">
        <f t="shared" si="1126"/>
        <v>46151</v>
      </c>
      <c r="NJ155" s="56"/>
      <c r="NK155" s="242">
        <f>SUMPRODUCT(PRODUCE!$B162:$DY162,PRODUCE!$EB$48:$IY$48)</f>
        <v>0</v>
      </c>
      <c r="NL155" s="56"/>
      <c r="NM155" s="242">
        <f t="shared" si="1127"/>
        <v>0</v>
      </c>
      <c r="NN155" s="242">
        <f t="shared" si="1128"/>
        <v>1137</v>
      </c>
      <c r="NO155" s="56"/>
      <c r="NR155" s="55">
        <f t="shared" si="1129"/>
        <v>46151</v>
      </c>
      <c r="NS155" s="56"/>
      <c r="NT155" s="242">
        <f>SUMPRODUCT(PRODUCE!$B162:$DY162,PRODUCE!$EB$49:$IY$49)</f>
        <v>0</v>
      </c>
      <c r="NU155" s="56"/>
      <c r="NV155" s="242">
        <f t="shared" si="1130"/>
        <v>0</v>
      </c>
      <c r="NW155" s="242">
        <f t="shared" si="1131"/>
        <v>3122.8999999999996</v>
      </c>
      <c r="NX155" s="56"/>
      <c r="OA155" s="55">
        <f t="shared" si="1132"/>
        <v>46151</v>
      </c>
      <c r="OB155" s="56"/>
      <c r="OC155" s="242">
        <f>SUMPRODUCT(PRODUCE!$B162:$DY162,PRODUCE!$EB$50:$IY$50)</f>
        <v>0</v>
      </c>
      <c r="OD155" s="56"/>
      <c r="OE155" s="242">
        <f t="shared" si="1133"/>
        <v>0</v>
      </c>
      <c r="OF155" s="242">
        <f t="shared" si="1134"/>
        <v>1680.5</v>
      </c>
      <c r="OG155" s="56"/>
      <c r="OJ155" s="55">
        <f t="shared" si="1135"/>
        <v>46151</v>
      </c>
      <c r="OK155" s="56"/>
      <c r="OL155" s="242">
        <f>SUMPRODUCT(PRODUCE!$B162:$DY162,PRODUCE!$EB$51:$IY$51)</f>
        <v>0</v>
      </c>
      <c r="OM155" s="56"/>
      <c r="ON155" s="242">
        <f t="shared" si="1136"/>
        <v>0</v>
      </c>
      <c r="OO155" s="242">
        <f t="shared" si="1137"/>
        <v>0</v>
      </c>
      <c r="OP155" s="56"/>
      <c r="OS155" s="55">
        <f t="shared" si="1138"/>
        <v>46151</v>
      </c>
      <c r="OT155" s="56"/>
      <c r="OU155" s="242">
        <f>SUMPRODUCT(PRODUCE!$B162:$DY162,PRODUCE!$EB$52:$IY$52)</f>
        <v>0</v>
      </c>
      <c r="OV155" s="56"/>
      <c r="OW155" s="242">
        <f t="shared" si="1139"/>
        <v>0</v>
      </c>
      <c r="OX155" s="242">
        <f t="shared" si="1140"/>
        <v>982</v>
      </c>
      <c r="OY155" s="56"/>
      <c r="PB155" s="55">
        <f t="shared" si="1141"/>
        <v>46151</v>
      </c>
      <c r="PC155" s="56"/>
      <c r="PD155" s="242">
        <f>SUMPRODUCT(PRODUCE!$B162:$DY162,PRODUCE!$EB$53:$IY$53)</f>
        <v>0</v>
      </c>
      <c r="PE155" s="56"/>
      <c r="PF155" s="242">
        <f t="shared" si="1142"/>
        <v>0</v>
      </c>
      <c r="PG155" s="242">
        <f t="shared" si="1143"/>
        <v>0</v>
      </c>
      <c r="PH155" s="56"/>
      <c r="PK155" s="55">
        <f t="shared" si="1144"/>
        <v>46151</v>
      </c>
      <c r="PL155" s="56"/>
      <c r="PM155" s="242">
        <f>SUMPRODUCT(PRODUCE!$B162:$DY162,PRODUCE!$EB$54:$IY$54)</f>
        <v>0</v>
      </c>
      <c r="PN155" s="56"/>
      <c r="PO155" s="242">
        <f t="shared" si="1145"/>
        <v>0</v>
      </c>
      <c r="PP155" s="242">
        <f t="shared" si="1146"/>
        <v>100</v>
      </c>
      <c r="PQ155" s="56"/>
      <c r="PT155" s="55">
        <f t="shared" si="1147"/>
        <v>46151</v>
      </c>
      <c r="PU155" s="56"/>
      <c r="PV155" s="242">
        <f>SUMPRODUCT(PRODUCE!$B162:$DY162,PRODUCE!$EB$55:$IY$55)</f>
        <v>0</v>
      </c>
      <c r="PW155" s="56"/>
      <c r="PX155" s="242">
        <f t="shared" si="1148"/>
        <v>0</v>
      </c>
      <c r="PY155" s="242">
        <f t="shared" si="1149"/>
        <v>13.960000000000036</v>
      </c>
      <c r="PZ155" s="56"/>
      <c r="QC155" s="55">
        <f t="shared" si="1150"/>
        <v>46151</v>
      </c>
      <c r="QD155" s="56"/>
      <c r="QE155" s="242">
        <f>SUMPRODUCT(PRODUCE!$B162:$DY162,PRODUCE!$EB$56:$IY$56)</f>
        <v>0</v>
      </c>
      <c r="QF155" s="56"/>
      <c r="QG155" s="242">
        <f t="shared" si="1151"/>
        <v>0</v>
      </c>
      <c r="QH155" s="242">
        <f t="shared" si="1152"/>
        <v>468</v>
      </c>
      <c r="QI155" s="56"/>
      <c r="QL155" s="55">
        <f t="shared" si="1153"/>
        <v>46151</v>
      </c>
      <c r="QM155" s="56"/>
      <c r="QN155" s="242">
        <f>SUMPRODUCT(PRODUCE!$B162:$DY162,PRODUCE!$EB$57:$IY$57)</f>
        <v>0</v>
      </c>
      <c r="QO155" s="56"/>
      <c r="QP155" s="242">
        <f t="shared" si="1154"/>
        <v>0</v>
      </c>
      <c r="QQ155" s="242">
        <f t="shared" si="1155"/>
        <v>0</v>
      </c>
      <c r="QR155" s="56"/>
      <c r="QU155" s="55">
        <f t="shared" si="1156"/>
        <v>46151</v>
      </c>
      <c r="QV155" s="56"/>
      <c r="QW155" s="242">
        <f>SUMPRODUCT(PRODUCE!$B162:$DY162,PRODUCE!$EB$58:$IY$58)</f>
        <v>0</v>
      </c>
      <c r="QX155" s="56"/>
      <c r="QY155" s="242">
        <f t="shared" si="1157"/>
        <v>0</v>
      </c>
      <c r="QZ155" s="242">
        <f t="shared" si="1158"/>
        <v>207.6</v>
      </c>
      <c r="RA155" s="56"/>
      <c r="RD155" s="55">
        <f t="shared" si="1159"/>
        <v>46151</v>
      </c>
      <c r="RE155" s="56"/>
      <c r="RF155" s="242">
        <f>SUMPRODUCT(PRODUCE!$B162:$DY162,PRODUCE!$EB$59:$IY$59)</f>
        <v>0</v>
      </c>
      <c r="RG155" s="56"/>
      <c r="RH155" s="242">
        <f t="shared" si="1160"/>
        <v>0</v>
      </c>
      <c r="RI155" s="242">
        <f t="shared" si="1161"/>
        <v>147.04000000000002</v>
      </c>
      <c r="RJ155" s="56"/>
      <c r="RM155" s="55">
        <f t="shared" si="1162"/>
        <v>46151</v>
      </c>
      <c r="RN155" s="56"/>
      <c r="RO155" s="242">
        <f>SUMPRODUCT(PRODUCE!$B162:$DY162,PRODUCE!$EB$60:$IY$60)</f>
        <v>0</v>
      </c>
      <c r="RP155" s="56"/>
      <c r="RQ155" s="242">
        <f t="shared" si="1163"/>
        <v>0</v>
      </c>
      <c r="RR155" s="242">
        <f t="shared" si="1164"/>
        <v>46.8</v>
      </c>
      <c r="RS155" s="56"/>
      <c r="RV155" s="55">
        <f t="shared" si="1165"/>
        <v>46151</v>
      </c>
      <c r="RW155" s="56"/>
      <c r="RX155" s="242">
        <f>SUMPRODUCT(PRODUCE!$B162:$DY162,PRODUCE!$EB$61:$IY$61)</f>
        <v>0</v>
      </c>
      <c r="RY155" s="56"/>
      <c r="RZ155" s="242">
        <f t="shared" si="1166"/>
        <v>0</v>
      </c>
      <c r="SA155" s="242">
        <f t="shared" si="1167"/>
        <v>0</v>
      </c>
      <c r="SB155" s="56"/>
      <c r="SE155" s="55">
        <f t="shared" si="1168"/>
        <v>46151</v>
      </c>
      <c r="SF155" s="56"/>
      <c r="SG155" s="242">
        <f>SUMPRODUCT(PRODUCE!$B162:$DY162,PRODUCE!$EB$62:$IY$62)</f>
        <v>0</v>
      </c>
      <c r="SH155" s="56"/>
      <c r="SI155" s="242">
        <f t="shared" si="1169"/>
        <v>0</v>
      </c>
      <c r="SJ155" s="242">
        <f t="shared" si="1170"/>
        <v>24.200000000000003</v>
      </c>
      <c r="SK155" s="56"/>
      <c r="SN155" s="55">
        <f t="shared" si="1171"/>
        <v>46151</v>
      </c>
      <c r="SO155" s="56"/>
      <c r="SP155" s="242">
        <f>SUMPRODUCT(PRODUCE!$B162:$DY162,PRODUCE!$EB$63:$IY$63)</f>
        <v>0</v>
      </c>
      <c r="SQ155" s="56"/>
      <c r="SR155" s="242">
        <f t="shared" si="1172"/>
        <v>0</v>
      </c>
      <c r="SS155" s="242">
        <f t="shared" si="1173"/>
        <v>32</v>
      </c>
      <c r="ST155" s="56"/>
      <c r="SW155" s="55">
        <f t="shared" si="1174"/>
        <v>46151</v>
      </c>
      <c r="SX155" s="56"/>
      <c r="SY155" s="242">
        <f>SUMPRODUCT(PRODUCE!$B162:$DY162,PRODUCE!$EB$64:$IY$64)</f>
        <v>0</v>
      </c>
      <c r="SZ155" s="56"/>
      <c r="TA155" s="242">
        <f t="shared" si="1175"/>
        <v>0</v>
      </c>
      <c r="TB155" s="242">
        <f t="shared" si="1176"/>
        <v>0</v>
      </c>
      <c r="TC155" s="56"/>
      <c r="TF155" s="55">
        <f t="shared" si="1177"/>
        <v>46151</v>
      </c>
      <c r="TG155" s="56"/>
      <c r="TH155" s="242">
        <f>SUMPRODUCT(PRODUCE!$B162:$DY162,PRODUCE!$EB$65:$IY$65)</f>
        <v>0</v>
      </c>
      <c r="TI155" s="56"/>
      <c r="TJ155" s="242">
        <f t="shared" si="1178"/>
        <v>0</v>
      </c>
      <c r="TK155" s="242">
        <f t="shared" si="1179"/>
        <v>0</v>
      </c>
      <c r="TL155" s="56"/>
      <c r="TO155" s="55">
        <f t="shared" si="1180"/>
        <v>46151</v>
      </c>
      <c r="TP155" s="56"/>
      <c r="TQ155" s="242">
        <f>SUMPRODUCT(PRODUCE!$B162:$DY162,PRODUCE!$EB$66:$IY$66)</f>
        <v>0</v>
      </c>
      <c r="TR155" s="56"/>
      <c r="TS155" s="242">
        <f t="shared" si="1181"/>
        <v>0</v>
      </c>
      <c r="TT155" s="242">
        <f t="shared" si="1182"/>
        <v>0</v>
      </c>
      <c r="TU155" s="56"/>
      <c r="TX155" s="55">
        <f t="shared" si="1183"/>
        <v>46151</v>
      </c>
      <c r="TY155" s="56"/>
      <c r="TZ155" s="242">
        <f>SUMPRODUCT(PRODUCE!$B162:$DY162,PRODUCE!$EB$67:$IY$67)</f>
        <v>0</v>
      </c>
      <c r="UA155" s="56"/>
      <c r="UB155" s="242">
        <f t="shared" si="1184"/>
        <v>0</v>
      </c>
      <c r="UC155" s="242">
        <f t="shared" si="1185"/>
        <v>0</v>
      </c>
      <c r="UD155" s="56"/>
      <c r="UG155" s="55">
        <f t="shared" si="1186"/>
        <v>46151</v>
      </c>
      <c r="UH155" s="56"/>
      <c r="UI155" s="242">
        <f>SUMPRODUCT(PRODUCE!$B162:$DY162,PRODUCE!$EB$68:$IY$68)</f>
        <v>0</v>
      </c>
      <c r="UJ155" s="56"/>
      <c r="UK155" s="242">
        <f t="shared" si="1187"/>
        <v>0</v>
      </c>
      <c r="UL155" s="242">
        <f t="shared" si="1188"/>
        <v>0</v>
      </c>
      <c r="UM155" s="56"/>
      <c r="UP155" s="55">
        <f t="shared" si="1189"/>
        <v>46151</v>
      </c>
      <c r="UQ155" s="56"/>
      <c r="UR155" s="242">
        <f>SUMPRODUCT(PRODUCE!$B162:$DY162,PRODUCE!$EB$69:$IY$69)</f>
        <v>0</v>
      </c>
      <c r="US155" s="56"/>
      <c r="UT155" s="242">
        <f t="shared" si="1190"/>
        <v>0</v>
      </c>
      <c r="UU155" s="242">
        <f t="shared" si="1191"/>
        <v>0</v>
      </c>
      <c r="UV155" s="56"/>
      <c r="UY155" s="55">
        <f t="shared" si="1192"/>
        <v>46151</v>
      </c>
      <c r="UZ155" s="56"/>
      <c r="VA155" s="242">
        <f>SUMPRODUCT(PRODUCE!$B162:$DY162,PRODUCE!$EB$70:$IY$70)</f>
        <v>0</v>
      </c>
      <c r="VB155" s="56"/>
      <c r="VC155" s="242">
        <f t="shared" si="1193"/>
        <v>0</v>
      </c>
      <c r="VD155" s="242">
        <f t="shared" si="1194"/>
        <v>41.600000000000023</v>
      </c>
      <c r="VE155" s="56"/>
      <c r="VH155" s="55">
        <f t="shared" si="1195"/>
        <v>46151</v>
      </c>
      <c r="VI155" s="56"/>
      <c r="VJ155" s="242">
        <f>SUMPRODUCT(PRODUCE!$B162:$DY162,PRODUCE!$EB$71:$IY$71)</f>
        <v>0</v>
      </c>
      <c r="VK155" s="56"/>
      <c r="VL155" s="242">
        <f t="shared" si="1196"/>
        <v>0</v>
      </c>
      <c r="VM155" s="242">
        <f t="shared" si="1197"/>
        <v>0</v>
      </c>
      <c r="VN155" s="56"/>
      <c r="VQ155" s="55">
        <f t="shared" si="1198"/>
        <v>46151</v>
      </c>
      <c r="VR155" s="56"/>
      <c r="VS155" s="242">
        <f>SUMPRODUCT(PRODUCE!$B162:$DY162,PRODUCE!$EB$57:$IY$57)</f>
        <v>0</v>
      </c>
      <c r="VT155" s="56"/>
      <c r="VU155" s="242">
        <f t="shared" si="1199"/>
        <v>0</v>
      </c>
      <c r="VV155" s="242">
        <f t="shared" si="1200"/>
        <v>0</v>
      </c>
      <c r="VW155" s="56"/>
      <c r="VZ155" s="55">
        <f t="shared" si="1201"/>
        <v>46151</v>
      </c>
      <c r="WA155" s="56"/>
      <c r="WB155" s="242">
        <f>SUMPRODUCT(PRODUCE!$B162:$DY162,PRODUCE!$EB$57:$IY$57)</f>
        <v>0</v>
      </c>
      <c r="WC155" s="56"/>
      <c r="WD155" s="242">
        <f t="shared" si="1202"/>
        <v>0</v>
      </c>
      <c r="WE155" s="242">
        <f t="shared" si="1203"/>
        <v>0</v>
      </c>
      <c r="WF155" s="56"/>
      <c r="WI155" s="55">
        <f t="shared" si="1204"/>
        <v>46151</v>
      </c>
      <c r="WJ155" s="422"/>
      <c r="WK155" s="540">
        <f>SUMPRODUCT(PRODUCE!$B162:$DY162,PRODUCE!$EB$74:$IY$74)</f>
        <v>0</v>
      </c>
      <c r="WL155" s="422"/>
      <c r="WM155" s="540">
        <f t="shared" si="1205"/>
        <v>0</v>
      </c>
      <c r="WN155" s="540">
        <f t="shared" si="1206"/>
        <v>2317</v>
      </c>
      <c r="WO155" s="56"/>
      <c r="WR155" s="55">
        <f t="shared" si="1207"/>
        <v>46151</v>
      </c>
      <c r="WS155" s="422"/>
      <c r="WT155" s="540">
        <f>SUMPRODUCT(PRODUCE!$B162:$DY162,PRODUCE!$EB$75:$IY$75)</f>
        <v>0</v>
      </c>
      <c r="WU155" s="422"/>
      <c r="WV155" s="540">
        <f t="shared" si="1208"/>
        <v>0</v>
      </c>
      <c r="WW155" s="540">
        <f t="shared" si="1209"/>
        <v>776</v>
      </c>
      <c r="WX155" s="56"/>
      <c r="XA155" s="55">
        <f t="shared" si="1210"/>
        <v>46151</v>
      </c>
      <c r="XB155" s="422"/>
      <c r="XC155" s="540">
        <f>SUMPRODUCT(PRODUCE!$B162:$DY162,PRODUCE!$EB$76:$IY$76)</f>
        <v>0</v>
      </c>
      <c r="XD155" s="422"/>
      <c r="XE155" s="540">
        <f t="shared" si="1211"/>
        <v>0</v>
      </c>
      <c r="XF155" s="540">
        <f t="shared" si="1212"/>
        <v>12453</v>
      </c>
      <c r="XG155" s="56"/>
      <c r="XJ155" s="55">
        <f t="shared" si="1213"/>
        <v>46151</v>
      </c>
      <c r="XK155" s="422"/>
      <c r="XL155" s="540">
        <f>SUMPRODUCT(PRODUCE!$B162:$DY162,PRODUCE!$EB$77:$IY$77)</f>
        <v>0</v>
      </c>
      <c r="XM155" s="422">
        <v>192</v>
      </c>
      <c r="XN155" s="540">
        <f t="shared" si="1214"/>
        <v>-192</v>
      </c>
      <c r="XO155" s="540">
        <f t="shared" si="1215"/>
        <v>1289</v>
      </c>
      <c r="XP155" s="56"/>
      <c r="XS155" s="55">
        <f t="shared" si="1216"/>
        <v>46151</v>
      </c>
      <c r="XT155" s="56"/>
      <c r="XU155" s="242">
        <f>SUMPRODUCT(PRODUCE!$B162:$DY162,PRODUCE!$EB$78:$IY$78)</f>
        <v>0</v>
      </c>
      <c r="XV155" s="56"/>
      <c r="XW155" s="242">
        <f t="shared" si="1217"/>
        <v>0</v>
      </c>
      <c r="XX155" s="242">
        <f t="shared" si="1218"/>
        <v>1901</v>
      </c>
      <c r="XY155" s="56"/>
      <c r="YB155" s="55">
        <f t="shared" si="1219"/>
        <v>46151</v>
      </c>
      <c r="YC155" s="56"/>
      <c r="YD155" s="242">
        <f>SUMPRODUCT(PRODUCE!$B162:$DY162,PRODUCE!$EB$79:$IY$79)</f>
        <v>0</v>
      </c>
      <c r="YE155" s="56"/>
      <c r="YF155" s="242">
        <f t="shared" si="1220"/>
        <v>0</v>
      </c>
      <c r="YG155" s="242">
        <f t="shared" si="1221"/>
        <v>6459</v>
      </c>
      <c r="YH155" s="56"/>
      <c r="YK155" s="55">
        <f t="shared" si="1222"/>
        <v>46151</v>
      </c>
      <c r="YL155" s="56"/>
      <c r="YM155" s="242">
        <f>SUMPRODUCT(PRODUCE!$B162:$DY162,PRODUCE!$EB$80:$IY$80)</f>
        <v>0</v>
      </c>
      <c r="YN155" s="56"/>
      <c r="YO155" s="242">
        <f t="shared" si="1223"/>
        <v>0</v>
      </c>
      <c r="YP155" s="242">
        <f t="shared" si="1224"/>
        <v>0</v>
      </c>
      <c r="YQ155" s="56"/>
      <c r="YT155" s="55">
        <f t="shared" si="1225"/>
        <v>46151</v>
      </c>
      <c r="YU155" s="56"/>
      <c r="YV155" s="242">
        <f>SUMPRODUCT(PRODUCE!$B162:$DY162,PRODUCE!$EB$57:$IY$57)</f>
        <v>0</v>
      </c>
      <c r="YW155" s="56"/>
      <c r="YX155" s="242">
        <f t="shared" si="1226"/>
        <v>0</v>
      </c>
      <c r="YY155" s="242">
        <f t="shared" si="1227"/>
        <v>0</v>
      </c>
      <c r="YZ155" s="56"/>
      <c r="ZC155" s="55">
        <f t="shared" si="1228"/>
        <v>46151</v>
      </c>
      <c r="ZD155" s="56"/>
      <c r="ZE155" s="242">
        <f>SUMPRODUCT(PRODUCE!$B162:$DY162,PRODUCE!$EB$57:$IY$57)</f>
        <v>0</v>
      </c>
      <c r="ZF155" s="56"/>
      <c r="ZG155" s="242">
        <f t="shared" si="1229"/>
        <v>0</v>
      </c>
      <c r="ZH155" s="242">
        <f t="shared" si="1230"/>
        <v>0</v>
      </c>
      <c r="ZI155" s="56"/>
      <c r="ZL155" s="55">
        <f t="shared" si="1231"/>
        <v>46151</v>
      </c>
      <c r="ZM155" s="56"/>
      <c r="ZN155" s="242">
        <f>SUMPRODUCT(PRODUCE!$B162:$DY162,PRODUCE!$EB$57:$IY$57)</f>
        <v>0</v>
      </c>
      <c r="ZO155" s="56"/>
      <c r="ZP155" s="242">
        <f t="shared" si="1232"/>
        <v>0</v>
      </c>
      <c r="ZQ155" s="242">
        <f t="shared" si="1233"/>
        <v>0</v>
      </c>
      <c r="ZR155" s="56"/>
      <c r="ZU155" s="55">
        <f t="shared" si="1234"/>
        <v>46151</v>
      </c>
      <c r="ZV155" s="56"/>
      <c r="ZW155" s="242">
        <f>SUMPRODUCT(PRODUCE!$B162:$DY162,PRODUCE!$EB$57:$IY$57)</f>
        <v>0</v>
      </c>
      <c r="ZX155" s="56"/>
      <c r="ZY155" s="242">
        <f t="shared" si="1235"/>
        <v>0</v>
      </c>
      <c r="ZZ155" s="242">
        <f t="shared" si="1236"/>
        <v>0</v>
      </c>
      <c r="AAA155" s="56"/>
      <c r="AAD155" s="55">
        <f t="shared" si="1237"/>
        <v>46151</v>
      </c>
      <c r="AAE155" s="56"/>
      <c r="AAF155" s="242">
        <f>SUMPRODUCT(PRODUCE!$B162:$DY162,PRODUCE!$EB$57:$IY$57)</f>
        <v>0</v>
      </c>
      <c r="AAG155" s="56"/>
      <c r="AAH155" s="242">
        <f t="shared" si="1238"/>
        <v>0</v>
      </c>
      <c r="AAI155" s="242">
        <f t="shared" si="1239"/>
        <v>0</v>
      </c>
      <c r="AAJ155" s="56"/>
      <c r="AAM155" s="55">
        <f t="shared" si="1240"/>
        <v>46151</v>
      </c>
      <c r="AAN155" s="56"/>
      <c r="AAO155" s="242">
        <f>SUMPRODUCT(PRODUCE!$B162:$DY162,PRODUCE!$EB$57:$IY$57)</f>
        <v>0</v>
      </c>
      <c r="AAP155" s="56"/>
      <c r="AAQ155" s="242">
        <f t="shared" si="1241"/>
        <v>0</v>
      </c>
      <c r="AAR155" s="242">
        <f t="shared" si="1242"/>
        <v>0</v>
      </c>
      <c r="AAS155" s="56"/>
      <c r="AAV155" s="55">
        <f t="shared" si="1243"/>
        <v>46151</v>
      </c>
      <c r="AAW155" s="56"/>
      <c r="AAX155" s="242">
        <f>SUMPRODUCT(PRODUCE!$B162:$DY162,PRODUCE!$EB$57:$IY$57)</f>
        <v>0</v>
      </c>
      <c r="AAY155" s="56"/>
      <c r="AAZ155" s="242">
        <f t="shared" si="1244"/>
        <v>0</v>
      </c>
      <c r="ABA155" s="242">
        <f t="shared" si="1245"/>
        <v>0</v>
      </c>
      <c r="ABB155" s="56"/>
      <c r="ABE155" s="55">
        <f t="shared" si="1246"/>
        <v>46151</v>
      </c>
      <c r="ABF155" s="56"/>
      <c r="ABG155" s="242">
        <f>SUMPRODUCT(PRODUCE!$B162:$DY162,PRODUCE!$EB$57:$IY$57)</f>
        <v>0</v>
      </c>
      <c r="ABH155" s="56"/>
      <c r="ABI155" s="242">
        <f t="shared" si="1247"/>
        <v>0</v>
      </c>
      <c r="ABJ155" s="242">
        <f t="shared" si="1248"/>
        <v>0</v>
      </c>
      <c r="ABK155" s="56"/>
    </row>
    <row r="156" spans="2:739" s="54" customFormat="1" ht="15" customHeight="1" outlineLevel="1">
      <c r="B156" s="478"/>
      <c r="C156" s="55">
        <v>46152</v>
      </c>
      <c r="D156" s="422"/>
      <c r="E156" s="423">
        <f>SUMPRODUCT(PRODUCE!$B163:$DY163,PRODUCE!$EB$7:$IY$7)</f>
        <v>0</v>
      </c>
      <c r="F156" s="422"/>
      <c r="G156" s="423">
        <f t="shared" si="1004"/>
        <v>0</v>
      </c>
      <c r="H156" s="423">
        <f t="shared" si="1005"/>
        <v>195320.00000000006</v>
      </c>
      <c r="I156" s="289"/>
      <c r="L156" s="55">
        <f t="shared" si="1006"/>
        <v>46152</v>
      </c>
      <c r="M156" s="422"/>
      <c r="N156" s="438">
        <f>SUMPRODUCT(PRODUCE!$B163:$DY163,PRODUCE!$EB$8:$IY$8)</f>
        <v>0</v>
      </c>
      <c r="O156" s="422"/>
      <c r="P156" s="438">
        <f t="shared" si="1007"/>
        <v>0</v>
      </c>
      <c r="Q156" s="438">
        <f t="shared" si="1008"/>
        <v>48271.400000000096</v>
      </c>
      <c r="R156" s="56"/>
      <c r="U156" s="55">
        <f t="shared" si="1009"/>
        <v>46152</v>
      </c>
      <c r="V156" s="422"/>
      <c r="W156" s="440">
        <f>SUMPRODUCT(PRODUCE!$B163:$DY163,PRODUCE!$EB$9:$IY$9)</f>
        <v>0</v>
      </c>
      <c r="X156" s="422"/>
      <c r="Y156" s="440">
        <f t="shared" si="1010"/>
        <v>0</v>
      </c>
      <c r="Z156" s="440">
        <f t="shared" si="1011"/>
        <v>38812.899999999965</v>
      </c>
      <c r="AA156" s="56"/>
      <c r="AD156" s="55">
        <f t="shared" si="1012"/>
        <v>46152</v>
      </c>
      <c r="AE156" s="422"/>
      <c r="AF156" s="442">
        <f>SUMPRODUCT(PRODUCE!$B163:$DY163,PRODUCE!$EB$10:$IY$10)</f>
        <v>0</v>
      </c>
      <c r="AG156" s="422"/>
      <c r="AH156" s="442">
        <f t="shared" si="1013"/>
        <v>0</v>
      </c>
      <c r="AI156" s="442">
        <f t="shared" si="1014"/>
        <v>3029.6000000000176</v>
      </c>
      <c r="AJ156" s="56"/>
      <c r="AM156" s="55">
        <f t="shared" si="1015"/>
        <v>46152</v>
      </c>
      <c r="AN156" s="422"/>
      <c r="AO156" s="444">
        <f>SUMPRODUCT(PRODUCE!$B163:$DY163,PRODUCE!$EB$11:$IY$11)</f>
        <v>0</v>
      </c>
      <c r="AP156" s="422"/>
      <c r="AQ156" s="444">
        <f t="shared" si="1016"/>
        <v>0</v>
      </c>
      <c r="AR156" s="444">
        <f t="shared" si="1017"/>
        <v>0</v>
      </c>
      <c r="AS156" s="56"/>
      <c r="AV156" s="55">
        <f t="shared" si="1018"/>
        <v>46152</v>
      </c>
      <c r="AW156" s="422"/>
      <c r="AX156" s="446">
        <f>SUMPRODUCT(PRODUCE!$B163:$DY163,PRODUCE!$EB$12:$IY$12)</f>
        <v>0</v>
      </c>
      <c r="AY156" s="422"/>
      <c r="AZ156" s="446">
        <f t="shared" si="1019"/>
        <v>0</v>
      </c>
      <c r="BA156" s="446">
        <f t="shared" si="1020"/>
        <v>36409.899999999994</v>
      </c>
      <c r="BB156" s="56"/>
      <c r="BE156" s="55">
        <f t="shared" si="1021"/>
        <v>46152</v>
      </c>
      <c r="BF156" s="422"/>
      <c r="BG156" s="448">
        <f>SUMPRODUCT(PRODUCE!$B163:$DY163,PRODUCE!$EB$13:$IY$13)</f>
        <v>0</v>
      </c>
      <c r="BH156" s="422"/>
      <c r="BI156" s="448">
        <f t="shared" si="1022"/>
        <v>0</v>
      </c>
      <c r="BJ156" s="448">
        <f t="shared" si="1023"/>
        <v>20577.299999999992</v>
      </c>
      <c r="BK156" s="56"/>
      <c r="BN156" s="55">
        <f t="shared" si="1024"/>
        <v>46152</v>
      </c>
      <c r="BO156" s="422"/>
      <c r="BP156" s="450">
        <f>SUMPRODUCT(PRODUCE!$B163:$DY163,PRODUCE!$EB$14:$IY$14)</f>
        <v>0</v>
      </c>
      <c r="BQ156" s="422"/>
      <c r="BR156" s="450">
        <f t="shared" si="1025"/>
        <v>0</v>
      </c>
      <c r="BS156" s="450">
        <f t="shared" si="1026"/>
        <v>0</v>
      </c>
      <c r="BT156" s="56"/>
      <c r="BW156" s="55">
        <f t="shared" si="1027"/>
        <v>46152</v>
      </c>
      <c r="BX156" s="422"/>
      <c r="BY156" s="523">
        <f>SUMPRODUCT(PRODUCE!$B163:$DY163,PRODUCE!$EB$15:$IY$15)</f>
        <v>0</v>
      </c>
      <c r="BZ156" s="422"/>
      <c r="CA156" s="523">
        <f t="shared" si="1028"/>
        <v>0</v>
      </c>
      <c r="CB156" s="523">
        <f t="shared" si="1029"/>
        <v>5833.7999999999993</v>
      </c>
      <c r="CC156" s="56"/>
      <c r="CF156" s="55">
        <f t="shared" si="1030"/>
        <v>46152</v>
      </c>
      <c r="CG156" s="422"/>
      <c r="CH156" s="524">
        <f>SUMPRODUCT(PRODUCE!$B163:$DY163,PRODUCE!$EB$16:$IY$16)</f>
        <v>0</v>
      </c>
      <c r="CI156" s="422"/>
      <c r="CJ156" s="524">
        <f t="shared" si="1031"/>
        <v>0</v>
      </c>
      <c r="CK156" s="524">
        <f t="shared" si="1032"/>
        <v>0</v>
      </c>
      <c r="CL156" s="56"/>
      <c r="CO156" s="55">
        <f t="shared" si="1033"/>
        <v>46152</v>
      </c>
      <c r="CP156" s="422"/>
      <c r="CQ156" s="470">
        <f>SUMPRODUCT(PRODUCE!$B163:$DY163,PRODUCE!$EB$17:$IY$17)</f>
        <v>0</v>
      </c>
      <c r="CR156" s="422"/>
      <c r="CS156" s="470">
        <f t="shared" si="1034"/>
        <v>0</v>
      </c>
      <c r="CT156" s="470">
        <f t="shared" si="1035"/>
        <v>0</v>
      </c>
      <c r="CU156" s="56"/>
      <c r="CX156" s="55">
        <f t="shared" si="1036"/>
        <v>46152</v>
      </c>
      <c r="CY156" s="422"/>
      <c r="CZ156" s="525">
        <f>SUMPRODUCT(PRODUCE!$B163:$DY163,PRODUCE!$EB$18:$IY$18)</f>
        <v>0</v>
      </c>
      <c r="DA156" s="422"/>
      <c r="DB156" s="525">
        <f t="shared" si="1037"/>
        <v>0</v>
      </c>
      <c r="DC156" s="525">
        <f t="shared" si="1038"/>
        <v>21657.000000000004</v>
      </c>
      <c r="DD156" s="56"/>
      <c r="DG156" s="55">
        <f t="shared" si="1039"/>
        <v>46152</v>
      </c>
      <c r="DH156" s="422"/>
      <c r="DI156" s="526">
        <f>SUMPRODUCT(PRODUCE!$B163:$DY163,PRODUCE!$EB$19:$IY$19)</f>
        <v>0</v>
      </c>
      <c r="DJ156" s="422"/>
      <c r="DK156" s="526">
        <f t="shared" si="1040"/>
        <v>0</v>
      </c>
      <c r="DL156" s="526">
        <f t="shared" si="1041"/>
        <v>40437.999999999985</v>
      </c>
      <c r="DM156" s="56"/>
      <c r="DP156" s="55">
        <f t="shared" si="1042"/>
        <v>46152</v>
      </c>
      <c r="DQ156" s="422"/>
      <c r="DR156" s="423">
        <f>SUMPRODUCT(PRODUCE!$B163:$DY163,PRODUCE!$EB$20:$IY$20)</f>
        <v>0</v>
      </c>
      <c r="DS156" s="422"/>
      <c r="DT156" s="423">
        <f t="shared" si="1043"/>
        <v>0</v>
      </c>
      <c r="DU156" s="423">
        <f t="shared" si="1044"/>
        <v>5800</v>
      </c>
      <c r="DV156" s="56"/>
      <c r="DY156" s="55">
        <f t="shared" si="1045"/>
        <v>46152</v>
      </c>
      <c r="DZ156" s="56"/>
      <c r="EA156" s="157">
        <f>SUMPRODUCT(PRODUCE!$B163:$DY163,PRODUCE!$EB$21:$IY$21)</f>
        <v>0</v>
      </c>
      <c r="EB156" s="56"/>
      <c r="EC156" s="157">
        <f t="shared" si="1046"/>
        <v>0</v>
      </c>
      <c r="ED156" s="157">
        <f t="shared" si="1047"/>
        <v>0</v>
      </c>
      <c r="EE156" s="56"/>
      <c r="EH156" s="55">
        <f t="shared" si="1048"/>
        <v>46152</v>
      </c>
      <c r="EI156" s="56"/>
      <c r="EJ156" s="162">
        <f>SUMPRODUCT(PRODUCE!$B163:$DY163,PRODUCE!$EB$22:$IY$22)</f>
        <v>0</v>
      </c>
      <c r="EK156" s="56"/>
      <c r="EL156" s="162">
        <f t="shared" si="1049"/>
        <v>0</v>
      </c>
      <c r="EM156" s="162">
        <f t="shared" si="1050"/>
        <v>0</v>
      </c>
      <c r="EN156" s="56"/>
      <c r="EQ156" s="55">
        <f t="shared" si="1051"/>
        <v>46152</v>
      </c>
      <c r="ER156" s="56"/>
      <c r="ES156" s="135">
        <f>SUMPRODUCT(PRODUCE!$B163:$DY163,PRODUCE!$EB$23:$IY$23)</f>
        <v>0</v>
      </c>
      <c r="ET156" s="56"/>
      <c r="EU156" s="135">
        <f t="shared" si="1052"/>
        <v>0</v>
      </c>
      <c r="EV156" s="135">
        <f t="shared" si="1053"/>
        <v>0</v>
      </c>
      <c r="EW156" s="56"/>
      <c r="EZ156" s="55">
        <f t="shared" si="1054"/>
        <v>46152</v>
      </c>
      <c r="FA156" s="56"/>
      <c r="FB156" s="175">
        <f>SUMPRODUCT(PRODUCE!$B163:$DY163,PRODUCE!$EB$24:$IY$24)</f>
        <v>0</v>
      </c>
      <c r="FC156" s="56"/>
      <c r="FD156" s="175">
        <f t="shared" si="1055"/>
        <v>0</v>
      </c>
      <c r="FE156" s="175">
        <f t="shared" si="1056"/>
        <v>0</v>
      </c>
      <c r="FF156" s="56"/>
      <c r="FI156" s="55">
        <f t="shared" si="1057"/>
        <v>46152</v>
      </c>
      <c r="FJ156" s="56"/>
      <c r="FK156" s="183">
        <f>SUMPRODUCT(PRODUCE!$B163:$DY163,PRODUCE!$EB$25:$IY$25)</f>
        <v>0</v>
      </c>
      <c r="FL156" s="56"/>
      <c r="FM156" s="183">
        <f t="shared" si="1058"/>
        <v>0</v>
      </c>
      <c r="FN156" s="183">
        <f t="shared" si="1059"/>
        <v>0</v>
      </c>
      <c r="FO156" s="56"/>
      <c r="FR156" s="55">
        <f t="shared" si="1060"/>
        <v>46152</v>
      </c>
      <c r="FS156" s="56"/>
      <c r="FT156" s="186">
        <f>SUMPRODUCT(PRODUCE!$B163:$DY163,PRODUCE!$EB$26:$IY$26)</f>
        <v>0</v>
      </c>
      <c r="FU156" s="56"/>
      <c r="FV156" s="186">
        <f t="shared" si="1061"/>
        <v>0</v>
      </c>
      <c r="FW156" s="186">
        <f t="shared" si="1062"/>
        <v>2120</v>
      </c>
      <c r="FX156" s="56"/>
      <c r="GA156" s="55">
        <f t="shared" si="1063"/>
        <v>46152</v>
      </c>
      <c r="GB156" s="56"/>
      <c r="GC156" s="137">
        <f>SUMPRODUCT(PRODUCE!$B163:$DY163,PRODUCE!$EB$27:$IY$27)</f>
        <v>0</v>
      </c>
      <c r="GD156" s="56"/>
      <c r="GE156" s="137">
        <f t="shared" si="1064"/>
        <v>0</v>
      </c>
      <c r="GF156" s="137">
        <f t="shared" si="1065"/>
        <v>3640</v>
      </c>
      <c r="GG156" s="56"/>
      <c r="GI156" s="23"/>
      <c r="GJ156" s="55">
        <f t="shared" si="1066"/>
        <v>46152</v>
      </c>
      <c r="GK156" s="56"/>
      <c r="GL156" s="199">
        <f>SUMPRODUCT(PRODUCE!$B163:$DY163,PRODUCE!$EB$28:$IY$28)</f>
        <v>0</v>
      </c>
      <c r="GM156" s="56"/>
      <c r="GN156" s="199">
        <f t="shared" si="1067"/>
        <v>0</v>
      </c>
      <c r="GO156" s="199">
        <f t="shared" si="1068"/>
        <v>0</v>
      </c>
      <c r="GP156" s="56"/>
      <c r="GS156" s="55">
        <f t="shared" si="1069"/>
        <v>46152</v>
      </c>
      <c r="GT156" s="56"/>
      <c r="GU156" s="195">
        <f>SUMPRODUCT(PRODUCE!$B163:$DY163,PRODUCE!$EB$29:$IY$29)</f>
        <v>0</v>
      </c>
      <c r="GV156" s="56"/>
      <c r="GW156" s="195">
        <f t="shared" si="1070"/>
        <v>0</v>
      </c>
      <c r="GX156" s="195">
        <f t="shared" si="1071"/>
        <v>0</v>
      </c>
      <c r="GY156" s="56"/>
      <c r="HB156" s="55">
        <f t="shared" si="1072"/>
        <v>46152</v>
      </c>
      <c r="HC156" s="56"/>
      <c r="HD156" s="191">
        <f>SUMPRODUCT(PRODUCE!$B163:$DY163,PRODUCE!$EB$30:$IY$30)</f>
        <v>0</v>
      </c>
      <c r="HE156" s="56"/>
      <c r="HF156" s="191">
        <f t="shared" si="1073"/>
        <v>0</v>
      </c>
      <c r="HG156" s="191">
        <f t="shared" si="1074"/>
        <v>0</v>
      </c>
      <c r="HH156" s="56"/>
      <c r="HK156" s="55">
        <f t="shared" si="1075"/>
        <v>46152</v>
      </c>
      <c r="HL156" s="56"/>
      <c r="HM156" s="63">
        <f>SUMPRODUCT(PRODUCE!$B163:$DY163,PRODUCE!$EB$31:$IY$31)</f>
        <v>0</v>
      </c>
      <c r="HN156" s="56"/>
      <c r="HO156" s="63">
        <f t="shared" si="1076"/>
        <v>0</v>
      </c>
      <c r="HP156" s="63">
        <f t="shared" si="1077"/>
        <v>0</v>
      </c>
      <c r="HQ156" s="56"/>
      <c r="HU156" s="55">
        <f t="shared" si="1078"/>
        <v>46152</v>
      </c>
      <c r="HV156" s="56"/>
      <c r="HW156" s="242">
        <f>SUMPRODUCT(PRODUCE!$B163:$DY163,PRODUCE!$EB$32:$IY$32)</f>
        <v>0</v>
      </c>
      <c r="HX156" s="56"/>
      <c r="HY156" s="242">
        <f t="shared" si="1079"/>
        <v>0</v>
      </c>
      <c r="HZ156" s="242">
        <f t="shared" si="1080"/>
        <v>6160</v>
      </c>
      <c r="IA156" s="56"/>
      <c r="ID156" s="55">
        <f t="shared" si="1081"/>
        <v>46152</v>
      </c>
      <c r="IE156" s="56"/>
      <c r="IF156" s="242">
        <f>SUMPRODUCT(PRODUCE!$B163:$DY163,PRODUCE!$EB$33:$IY$33)</f>
        <v>0</v>
      </c>
      <c r="IG156" s="56"/>
      <c r="IH156" s="242">
        <f t="shared" si="1082"/>
        <v>0</v>
      </c>
      <c r="II156" s="242">
        <f t="shared" si="1083"/>
        <v>540</v>
      </c>
      <c r="IJ156" s="56"/>
      <c r="IM156" s="55">
        <f t="shared" si="1084"/>
        <v>46152</v>
      </c>
      <c r="IN156" s="56"/>
      <c r="IO156" s="242">
        <f>SUMPRODUCT(PRODUCE!$B163:$DY163,PRODUCE!$EB$34:$IY$34)</f>
        <v>0</v>
      </c>
      <c r="IP156" s="56"/>
      <c r="IQ156" s="242">
        <f t="shared" si="1085"/>
        <v>0</v>
      </c>
      <c r="IR156" s="242">
        <f t="shared" si="1086"/>
        <v>11540</v>
      </c>
      <c r="IS156" s="56"/>
      <c r="IV156" s="55">
        <f t="shared" si="1087"/>
        <v>46152</v>
      </c>
      <c r="IW156" s="56"/>
      <c r="IX156" s="242">
        <f>SUMPRODUCT(PRODUCE!$B163:$DY163,PRODUCE!$EB$35:$IY$35)</f>
        <v>0</v>
      </c>
      <c r="IY156" s="56"/>
      <c r="IZ156" s="242">
        <f t="shared" si="1088"/>
        <v>0</v>
      </c>
      <c r="JA156" s="242">
        <f t="shared" si="1089"/>
        <v>15120</v>
      </c>
      <c r="JB156" s="56"/>
      <c r="JE156" s="55">
        <f t="shared" si="1090"/>
        <v>46152</v>
      </c>
      <c r="JF156" s="56"/>
      <c r="JG156" s="242">
        <f>SUMPRODUCT(PRODUCE!$B163:$DY163,PRODUCE!$EB$36:$IY$36)</f>
        <v>0</v>
      </c>
      <c r="JH156" s="56"/>
      <c r="JI156" s="242">
        <f t="shared" si="1091"/>
        <v>0</v>
      </c>
      <c r="JJ156" s="242">
        <f t="shared" si="1092"/>
        <v>0</v>
      </c>
      <c r="JK156" s="56"/>
      <c r="JN156" s="55">
        <f t="shared" si="1093"/>
        <v>46152</v>
      </c>
      <c r="JO156" s="56"/>
      <c r="JP156" s="242">
        <f>SUMPRODUCT(PRODUCE!$B163:$DY163,PRODUCE!$EB$37:$IY$37)</f>
        <v>0</v>
      </c>
      <c r="JQ156" s="56"/>
      <c r="JR156" s="242">
        <f t="shared" si="1094"/>
        <v>0</v>
      </c>
      <c r="JS156" s="242">
        <f t="shared" si="1095"/>
        <v>6700</v>
      </c>
      <c r="JT156" s="56"/>
      <c r="JW156" s="55">
        <f t="shared" si="1096"/>
        <v>46152</v>
      </c>
      <c r="JX156" s="56"/>
      <c r="JY156" s="242">
        <f>SUMPRODUCT(PRODUCE!$B163:$DY163,PRODUCE!$EB$38:$IY$38)</f>
        <v>0</v>
      </c>
      <c r="JZ156" s="56"/>
      <c r="KA156" s="242">
        <f t="shared" si="1097"/>
        <v>0</v>
      </c>
      <c r="KB156" s="242">
        <f t="shared" si="1098"/>
        <v>2540</v>
      </c>
      <c r="KC156" s="56"/>
      <c r="KF156" s="55">
        <f t="shared" si="1099"/>
        <v>46152</v>
      </c>
      <c r="KG156" s="56"/>
      <c r="KH156" s="242">
        <f>SUMPRODUCT(PRODUCE!$B163:$DY163,PRODUCE!$EB$39:$IY$39)</f>
        <v>0</v>
      </c>
      <c r="KI156" s="56"/>
      <c r="KJ156" s="242">
        <f t="shared" si="1100"/>
        <v>0</v>
      </c>
      <c r="KK156" s="242">
        <f t="shared" si="1101"/>
        <v>2359.5</v>
      </c>
      <c r="KL156" s="56"/>
      <c r="KO156" s="55">
        <f t="shared" si="1102"/>
        <v>46152</v>
      </c>
      <c r="KP156" s="56"/>
      <c r="KQ156" s="242">
        <f>SUMPRODUCT(PRODUCE!$B163:$DY163,PRODUCE!$EB$40:$IY$40)</f>
        <v>0</v>
      </c>
      <c r="KR156" s="56"/>
      <c r="KS156" s="242">
        <f t="shared" si="1103"/>
        <v>0</v>
      </c>
      <c r="KT156" s="242">
        <f t="shared" si="1104"/>
        <v>2079</v>
      </c>
      <c r="KU156" s="56"/>
      <c r="KW156" s="23"/>
      <c r="KX156" s="55">
        <f t="shared" si="1105"/>
        <v>46152</v>
      </c>
      <c r="KY156" s="56"/>
      <c r="KZ156" s="242">
        <f>SUMPRODUCT(PRODUCE!$B163:$DY163,PRODUCE!$EB$41:$IY$41)</f>
        <v>0</v>
      </c>
      <c r="LA156" s="56"/>
      <c r="LB156" s="242">
        <f t="shared" si="1106"/>
        <v>0</v>
      </c>
      <c r="LC156" s="242">
        <f t="shared" si="1107"/>
        <v>3690</v>
      </c>
      <c r="LD156" s="56"/>
      <c r="LG156" s="55">
        <f t="shared" si="1108"/>
        <v>46152</v>
      </c>
      <c r="LH156" s="56"/>
      <c r="LI156" s="242">
        <f>SUMPRODUCT(PRODUCE!$B163:$DY163,PRODUCE!$EB$42:$IY$42)</f>
        <v>0</v>
      </c>
      <c r="LJ156" s="56"/>
      <c r="LK156" s="242">
        <f t="shared" si="1109"/>
        <v>0</v>
      </c>
      <c r="LL156" s="242">
        <f t="shared" si="1110"/>
        <v>4000</v>
      </c>
      <c r="LM156" s="56"/>
      <c r="LP156" s="55">
        <f t="shared" si="1111"/>
        <v>46152</v>
      </c>
      <c r="LQ156" s="56"/>
      <c r="LR156" s="242">
        <f>SUMPRODUCT(PRODUCE!$B171:$DY171,PRODUCE!$EB$43:$IY$43)</f>
        <v>0</v>
      </c>
      <c r="LS156" s="56"/>
      <c r="LT156" s="242">
        <f t="shared" si="1112"/>
        <v>0</v>
      </c>
      <c r="LU156" s="242">
        <f t="shared" si="1113"/>
        <v>0</v>
      </c>
      <c r="LV156" s="56"/>
      <c r="LY156" s="55">
        <f t="shared" si="1114"/>
        <v>46152</v>
      </c>
      <c r="LZ156" s="56"/>
      <c r="MA156" s="242">
        <f>SUMPRODUCT(PRODUCE!$B163:$DY163,PRODUCE!$EB$44:$IY$44)</f>
        <v>0</v>
      </c>
      <c r="MB156" s="56"/>
      <c r="MC156" s="242">
        <f t="shared" si="1115"/>
        <v>0</v>
      </c>
      <c r="MD156" s="242">
        <f t="shared" si="1116"/>
        <v>0</v>
      </c>
      <c r="ME156" s="56"/>
      <c r="MH156" s="55">
        <f t="shared" si="1117"/>
        <v>46152</v>
      </c>
      <c r="MI156" s="56"/>
      <c r="MJ156" s="242">
        <f>SUMPRODUCT(PRODUCE!$B163:$DY163,PRODUCE!$EB$45:$IY$45)</f>
        <v>0</v>
      </c>
      <c r="MK156" s="56"/>
      <c r="ML156" s="242">
        <f t="shared" si="1118"/>
        <v>0</v>
      </c>
      <c r="MM156" s="242">
        <f t="shared" si="1119"/>
        <v>0</v>
      </c>
      <c r="MN156" s="56"/>
      <c r="MQ156" s="55">
        <f t="shared" si="1120"/>
        <v>46152</v>
      </c>
      <c r="MR156" s="56"/>
      <c r="MS156" s="242">
        <f>SUMPRODUCT(PRODUCE!$B163:$DY163,PRODUCE!$EB$46:$IY$46)</f>
        <v>0</v>
      </c>
      <c r="MT156" s="56"/>
      <c r="MU156" s="242">
        <f t="shared" si="1121"/>
        <v>0</v>
      </c>
      <c r="MV156" s="242">
        <f t="shared" si="1122"/>
        <v>3846</v>
      </c>
      <c r="MW156" s="56"/>
      <c r="MZ156" s="55">
        <f t="shared" si="1123"/>
        <v>46152</v>
      </c>
      <c r="NA156" s="56"/>
      <c r="NB156" s="242">
        <f>SUMPRODUCT(PRODUCE!$B163:$DY163,PRODUCE!$EB$47:$IY$47)</f>
        <v>0</v>
      </c>
      <c r="NC156" s="56"/>
      <c r="ND156" s="242">
        <f t="shared" si="1124"/>
        <v>0</v>
      </c>
      <c r="NE156" s="242">
        <f t="shared" si="1125"/>
        <v>0</v>
      </c>
      <c r="NF156" s="56"/>
      <c r="NI156" s="55">
        <f t="shared" si="1126"/>
        <v>46152</v>
      </c>
      <c r="NJ156" s="56"/>
      <c r="NK156" s="242">
        <f>SUMPRODUCT(PRODUCE!$B163:$DY163,PRODUCE!$EB$48:$IY$48)</f>
        <v>0</v>
      </c>
      <c r="NL156" s="56"/>
      <c r="NM156" s="242">
        <f t="shared" si="1127"/>
        <v>0</v>
      </c>
      <c r="NN156" s="242">
        <f t="shared" si="1128"/>
        <v>1137</v>
      </c>
      <c r="NO156" s="56"/>
      <c r="NR156" s="55">
        <f t="shared" si="1129"/>
        <v>46152</v>
      </c>
      <c r="NS156" s="56"/>
      <c r="NT156" s="242">
        <f>SUMPRODUCT(PRODUCE!$B163:$DY163,PRODUCE!$EB$49:$IY$49)</f>
        <v>0</v>
      </c>
      <c r="NU156" s="56"/>
      <c r="NV156" s="242">
        <f t="shared" si="1130"/>
        <v>0</v>
      </c>
      <c r="NW156" s="242">
        <f t="shared" si="1131"/>
        <v>3122.8999999999996</v>
      </c>
      <c r="NX156" s="56"/>
      <c r="OA156" s="55">
        <f t="shared" si="1132"/>
        <v>46152</v>
      </c>
      <c r="OB156" s="56"/>
      <c r="OC156" s="242">
        <f>SUMPRODUCT(PRODUCE!$B163:$DY163,PRODUCE!$EB$50:$IY$50)</f>
        <v>0</v>
      </c>
      <c r="OD156" s="56"/>
      <c r="OE156" s="242">
        <f t="shared" si="1133"/>
        <v>0</v>
      </c>
      <c r="OF156" s="242">
        <f t="shared" si="1134"/>
        <v>1680.5</v>
      </c>
      <c r="OG156" s="56"/>
      <c r="OJ156" s="55">
        <f t="shared" si="1135"/>
        <v>46152</v>
      </c>
      <c r="OK156" s="56"/>
      <c r="OL156" s="242">
        <f>SUMPRODUCT(PRODUCE!$B163:$DY163,PRODUCE!$EB$51:$IY$51)</f>
        <v>0</v>
      </c>
      <c r="OM156" s="56"/>
      <c r="ON156" s="242">
        <f t="shared" si="1136"/>
        <v>0</v>
      </c>
      <c r="OO156" s="242">
        <f t="shared" si="1137"/>
        <v>0</v>
      </c>
      <c r="OP156" s="56"/>
      <c r="OS156" s="55">
        <f t="shared" si="1138"/>
        <v>46152</v>
      </c>
      <c r="OT156" s="56"/>
      <c r="OU156" s="242">
        <f>SUMPRODUCT(PRODUCE!$B163:$DY163,PRODUCE!$EB$52:$IY$52)</f>
        <v>0</v>
      </c>
      <c r="OV156" s="56"/>
      <c r="OW156" s="242">
        <f t="shared" si="1139"/>
        <v>0</v>
      </c>
      <c r="OX156" s="242">
        <f t="shared" si="1140"/>
        <v>982</v>
      </c>
      <c r="OY156" s="56"/>
      <c r="PB156" s="55">
        <f t="shared" si="1141"/>
        <v>46152</v>
      </c>
      <c r="PC156" s="56"/>
      <c r="PD156" s="242">
        <f>SUMPRODUCT(PRODUCE!$B163:$DY163,PRODUCE!$EB$53:$IY$53)</f>
        <v>0</v>
      </c>
      <c r="PE156" s="56"/>
      <c r="PF156" s="242">
        <f t="shared" si="1142"/>
        <v>0</v>
      </c>
      <c r="PG156" s="242">
        <f t="shared" si="1143"/>
        <v>0</v>
      </c>
      <c r="PH156" s="56"/>
      <c r="PK156" s="55">
        <f t="shared" si="1144"/>
        <v>46152</v>
      </c>
      <c r="PL156" s="56"/>
      <c r="PM156" s="242">
        <f>SUMPRODUCT(PRODUCE!$B163:$DY163,PRODUCE!$EB$54:$IY$54)</f>
        <v>0</v>
      </c>
      <c r="PN156" s="56"/>
      <c r="PO156" s="242">
        <f t="shared" si="1145"/>
        <v>0</v>
      </c>
      <c r="PP156" s="242">
        <f t="shared" si="1146"/>
        <v>100</v>
      </c>
      <c r="PQ156" s="56"/>
      <c r="PT156" s="55">
        <f t="shared" si="1147"/>
        <v>46152</v>
      </c>
      <c r="PU156" s="56"/>
      <c r="PV156" s="242">
        <f>SUMPRODUCT(PRODUCE!$B163:$DY163,PRODUCE!$EB$55:$IY$55)</f>
        <v>0</v>
      </c>
      <c r="PW156" s="56"/>
      <c r="PX156" s="242">
        <f t="shared" si="1148"/>
        <v>0</v>
      </c>
      <c r="PY156" s="242">
        <f t="shared" si="1149"/>
        <v>13.960000000000036</v>
      </c>
      <c r="PZ156" s="56"/>
      <c r="QC156" s="55">
        <f t="shared" si="1150"/>
        <v>46152</v>
      </c>
      <c r="QD156" s="56"/>
      <c r="QE156" s="242">
        <f>SUMPRODUCT(PRODUCE!$B163:$DY163,PRODUCE!$EB$56:$IY$56)</f>
        <v>0</v>
      </c>
      <c r="QF156" s="56"/>
      <c r="QG156" s="242">
        <f t="shared" si="1151"/>
        <v>0</v>
      </c>
      <c r="QH156" s="242">
        <f t="shared" si="1152"/>
        <v>468</v>
      </c>
      <c r="QI156" s="56"/>
      <c r="QL156" s="55">
        <f t="shared" si="1153"/>
        <v>46152</v>
      </c>
      <c r="QM156" s="56"/>
      <c r="QN156" s="242">
        <f>SUMPRODUCT(PRODUCE!$B163:$DY163,PRODUCE!$EB$57:$IY$57)</f>
        <v>0</v>
      </c>
      <c r="QO156" s="56"/>
      <c r="QP156" s="242">
        <f t="shared" si="1154"/>
        <v>0</v>
      </c>
      <c r="QQ156" s="242">
        <f t="shared" si="1155"/>
        <v>0</v>
      </c>
      <c r="QR156" s="56"/>
      <c r="QU156" s="55">
        <f t="shared" si="1156"/>
        <v>46152</v>
      </c>
      <c r="QV156" s="56"/>
      <c r="QW156" s="242">
        <f>SUMPRODUCT(PRODUCE!$B163:$DY163,PRODUCE!$EB$58:$IY$58)</f>
        <v>0</v>
      </c>
      <c r="QX156" s="56"/>
      <c r="QY156" s="242">
        <f t="shared" si="1157"/>
        <v>0</v>
      </c>
      <c r="QZ156" s="242">
        <f t="shared" si="1158"/>
        <v>207.6</v>
      </c>
      <c r="RA156" s="56"/>
      <c r="RD156" s="55">
        <f t="shared" si="1159"/>
        <v>46152</v>
      </c>
      <c r="RE156" s="56"/>
      <c r="RF156" s="242">
        <f>SUMPRODUCT(PRODUCE!$B163:$DY163,PRODUCE!$EB$59:$IY$59)</f>
        <v>0</v>
      </c>
      <c r="RG156" s="56"/>
      <c r="RH156" s="242">
        <f t="shared" si="1160"/>
        <v>0</v>
      </c>
      <c r="RI156" s="242">
        <f t="shared" si="1161"/>
        <v>147.04000000000002</v>
      </c>
      <c r="RJ156" s="56"/>
      <c r="RM156" s="55">
        <f t="shared" si="1162"/>
        <v>46152</v>
      </c>
      <c r="RN156" s="56"/>
      <c r="RO156" s="242">
        <f>SUMPRODUCT(PRODUCE!$B163:$DY163,PRODUCE!$EB$60:$IY$60)</f>
        <v>0</v>
      </c>
      <c r="RP156" s="56"/>
      <c r="RQ156" s="242">
        <f t="shared" si="1163"/>
        <v>0</v>
      </c>
      <c r="RR156" s="242">
        <f t="shared" si="1164"/>
        <v>46.8</v>
      </c>
      <c r="RS156" s="56"/>
      <c r="RV156" s="55">
        <f t="shared" si="1165"/>
        <v>46152</v>
      </c>
      <c r="RW156" s="56"/>
      <c r="RX156" s="242">
        <f>SUMPRODUCT(PRODUCE!$B163:$DY163,PRODUCE!$EB$61:$IY$61)</f>
        <v>0</v>
      </c>
      <c r="RY156" s="56"/>
      <c r="RZ156" s="242">
        <f t="shared" si="1166"/>
        <v>0</v>
      </c>
      <c r="SA156" s="242">
        <f t="shared" si="1167"/>
        <v>0</v>
      </c>
      <c r="SB156" s="56"/>
      <c r="SE156" s="55">
        <f t="shared" si="1168"/>
        <v>46152</v>
      </c>
      <c r="SF156" s="56"/>
      <c r="SG156" s="242">
        <f>SUMPRODUCT(PRODUCE!$B163:$DY163,PRODUCE!$EB$62:$IY$62)</f>
        <v>0</v>
      </c>
      <c r="SH156" s="56"/>
      <c r="SI156" s="242">
        <f t="shared" si="1169"/>
        <v>0</v>
      </c>
      <c r="SJ156" s="242">
        <f t="shared" si="1170"/>
        <v>24.200000000000003</v>
      </c>
      <c r="SK156" s="56"/>
      <c r="SN156" s="55">
        <f t="shared" si="1171"/>
        <v>46152</v>
      </c>
      <c r="SO156" s="56"/>
      <c r="SP156" s="242">
        <f>SUMPRODUCT(PRODUCE!$B163:$DY163,PRODUCE!$EB$63:$IY$63)</f>
        <v>0</v>
      </c>
      <c r="SQ156" s="56"/>
      <c r="SR156" s="242">
        <f t="shared" si="1172"/>
        <v>0</v>
      </c>
      <c r="SS156" s="242">
        <f t="shared" si="1173"/>
        <v>32</v>
      </c>
      <c r="ST156" s="56"/>
      <c r="SW156" s="55">
        <f t="shared" si="1174"/>
        <v>46152</v>
      </c>
      <c r="SX156" s="56"/>
      <c r="SY156" s="242">
        <f>SUMPRODUCT(PRODUCE!$B163:$DY163,PRODUCE!$EB$64:$IY$64)</f>
        <v>0</v>
      </c>
      <c r="SZ156" s="56"/>
      <c r="TA156" s="242">
        <f t="shared" si="1175"/>
        <v>0</v>
      </c>
      <c r="TB156" s="242">
        <f t="shared" si="1176"/>
        <v>0</v>
      </c>
      <c r="TC156" s="56"/>
      <c r="TF156" s="55">
        <f t="shared" si="1177"/>
        <v>46152</v>
      </c>
      <c r="TG156" s="56"/>
      <c r="TH156" s="242">
        <f>SUMPRODUCT(PRODUCE!$B163:$DY163,PRODUCE!$EB$65:$IY$65)</f>
        <v>0</v>
      </c>
      <c r="TI156" s="56"/>
      <c r="TJ156" s="242">
        <f t="shared" si="1178"/>
        <v>0</v>
      </c>
      <c r="TK156" s="242">
        <f t="shared" si="1179"/>
        <v>0</v>
      </c>
      <c r="TL156" s="56"/>
      <c r="TO156" s="55">
        <f t="shared" si="1180"/>
        <v>46152</v>
      </c>
      <c r="TP156" s="56"/>
      <c r="TQ156" s="242">
        <f>SUMPRODUCT(PRODUCE!$B163:$DY163,PRODUCE!$EB$66:$IY$66)</f>
        <v>0</v>
      </c>
      <c r="TR156" s="56"/>
      <c r="TS156" s="242">
        <f t="shared" si="1181"/>
        <v>0</v>
      </c>
      <c r="TT156" s="242">
        <f t="shared" si="1182"/>
        <v>0</v>
      </c>
      <c r="TU156" s="56"/>
      <c r="TX156" s="55">
        <f t="shared" si="1183"/>
        <v>46152</v>
      </c>
      <c r="TY156" s="56"/>
      <c r="TZ156" s="242">
        <f>SUMPRODUCT(PRODUCE!$B163:$DY163,PRODUCE!$EB$67:$IY$67)</f>
        <v>0</v>
      </c>
      <c r="UA156" s="56"/>
      <c r="UB156" s="242">
        <f t="shared" si="1184"/>
        <v>0</v>
      </c>
      <c r="UC156" s="242">
        <f t="shared" si="1185"/>
        <v>0</v>
      </c>
      <c r="UD156" s="56"/>
      <c r="UG156" s="55">
        <f t="shared" si="1186"/>
        <v>46152</v>
      </c>
      <c r="UH156" s="56"/>
      <c r="UI156" s="242">
        <f>SUMPRODUCT(PRODUCE!$B163:$DY163,PRODUCE!$EB$68:$IY$68)</f>
        <v>0</v>
      </c>
      <c r="UJ156" s="56"/>
      <c r="UK156" s="242">
        <f t="shared" si="1187"/>
        <v>0</v>
      </c>
      <c r="UL156" s="242">
        <f t="shared" si="1188"/>
        <v>0</v>
      </c>
      <c r="UM156" s="56"/>
      <c r="UP156" s="55">
        <f t="shared" si="1189"/>
        <v>46152</v>
      </c>
      <c r="UQ156" s="56"/>
      <c r="UR156" s="242">
        <f>SUMPRODUCT(PRODUCE!$B163:$DY163,PRODUCE!$EB$69:$IY$69)</f>
        <v>0</v>
      </c>
      <c r="US156" s="56"/>
      <c r="UT156" s="242">
        <f t="shared" si="1190"/>
        <v>0</v>
      </c>
      <c r="UU156" s="242">
        <f t="shared" si="1191"/>
        <v>0</v>
      </c>
      <c r="UV156" s="56"/>
      <c r="UY156" s="55">
        <f t="shared" si="1192"/>
        <v>46152</v>
      </c>
      <c r="UZ156" s="56"/>
      <c r="VA156" s="242">
        <f>SUMPRODUCT(PRODUCE!$B163:$DY163,PRODUCE!$EB$70:$IY$70)</f>
        <v>0</v>
      </c>
      <c r="VB156" s="56"/>
      <c r="VC156" s="242">
        <f t="shared" si="1193"/>
        <v>0</v>
      </c>
      <c r="VD156" s="242">
        <f t="shared" si="1194"/>
        <v>41.600000000000023</v>
      </c>
      <c r="VE156" s="56"/>
      <c r="VH156" s="55">
        <f t="shared" si="1195"/>
        <v>46152</v>
      </c>
      <c r="VI156" s="56"/>
      <c r="VJ156" s="242">
        <f>SUMPRODUCT(PRODUCE!$B163:$DY163,PRODUCE!$EB$71:$IY$71)</f>
        <v>0</v>
      </c>
      <c r="VK156" s="56"/>
      <c r="VL156" s="242">
        <f t="shared" si="1196"/>
        <v>0</v>
      </c>
      <c r="VM156" s="242">
        <f t="shared" si="1197"/>
        <v>0</v>
      </c>
      <c r="VN156" s="56"/>
      <c r="VQ156" s="55">
        <f t="shared" si="1198"/>
        <v>46152</v>
      </c>
      <c r="VR156" s="56"/>
      <c r="VS156" s="242">
        <f>SUMPRODUCT(PRODUCE!$B163:$DY163,PRODUCE!$EB$57:$IY$57)</f>
        <v>0</v>
      </c>
      <c r="VT156" s="56"/>
      <c r="VU156" s="242">
        <f t="shared" si="1199"/>
        <v>0</v>
      </c>
      <c r="VV156" s="242">
        <f t="shared" si="1200"/>
        <v>0</v>
      </c>
      <c r="VW156" s="56"/>
      <c r="VZ156" s="55">
        <f t="shared" si="1201"/>
        <v>46152</v>
      </c>
      <c r="WA156" s="56"/>
      <c r="WB156" s="242">
        <f>SUMPRODUCT(PRODUCE!$B163:$DY163,PRODUCE!$EB$57:$IY$57)</f>
        <v>0</v>
      </c>
      <c r="WC156" s="56"/>
      <c r="WD156" s="242">
        <f t="shared" si="1202"/>
        <v>0</v>
      </c>
      <c r="WE156" s="242">
        <f t="shared" si="1203"/>
        <v>0</v>
      </c>
      <c r="WF156" s="56"/>
      <c r="WI156" s="55">
        <f t="shared" si="1204"/>
        <v>46152</v>
      </c>
      <c r="WJ156" s="422"/>
      <c r="WK156" s="540">
        <f>SUMPRODUCT(PRODUCE!$B163:$DY163,PRODUCE!$EB$74:$IY$74)</f>
        <v>0</v>
      </c>
      <c r="WL156" s="422"/>
      <c r="WM156" s="540">
        <f t="shared" si="1205"/>
        <v>0</v>
      </c>
      <c r="WN156" s="540">
        <f t="shared" si="1206"/>
        <v>2317</v>
      </c>
      <c r="WO156" s="56"/>
      <c r="WR156" s="55">
        <f t="shared" si="1207"/>
        <v>46152</v>
      </c>
      <c r="WS156" s="422"/>
      <c r="WT156" s="540">
        <f>SUMPRODUCT(PRODUCE!$B163:$DY163,PRODUCE!$EB$75:$IY$75)</f>
        <v>0</v>
      </c>
      <c r="WU156" s="422"/>
      <c r="WV156" s="540">
        <f t="shared" si="1208"/>
        <v>0</v>
      </c>
      <c r="WW156" s="540">
        <f t="shared" si="1209"/>
        <v>776</v>
      </c>
      <c r="WX156" s="56"/>
      <c r="XA156" s="55">
        <f t="shared" si="1210"/>
        <v>46152</v>
      </c>
      <c r="XB156" s="422"/>
      <c r="XC156" s="540">
        <f>SUMPRODUCT(PRODUCE!$B163:$DY163,PRODUCE!$EB$76:$IY$76)</f>
        <v>0</v>
      </c>
      <c r="XD156" s="422"/>
      <c r="XE156" s="540">
        <f t="shared" si="1211"/>
        <v>0</v>
      </c>
      <c r="XF156" s="540">
        <f t="shared" si="1212"/>
        <v>12453</v>
      </c>
      <c r="XG156" s="56"/>
      <c r="XJ156" s="55">
        <f t="shared" si="1213"/>
        <v>46152</v>
      </c>
      <c r="XK156" s="422"/>
      <c r="XL156" s="540">
        <f>SUMPRODUCT(PRODUCE!$B163:$DY163,PRODUCE!$EB$77:$IY$77)</f>
        <v>0</v>
      </c>
      <c r="XM156" s="422"/>
      <c r="XN156" s="540">
        <f t="shared" si="1214"/>
        <v>0</v>
      </c>
      <c r="XO156" s="540">
        <f t="shared" si="1215"/>
        <v>1289</v>
      </c>
      <c r="XP156" s="56"/>
      <c r="XS156" s="55">
        <f t="shared" si="1216"/>
        <v>46152</v>
      </c>
      <c r="XT156" s="56"/>
      <c r="XU156" s="242">
        <f>SUMPRODUCT(PRODUCE!$B163:$DY163,PRODUCE!$EB$78:$IY$78)</f>
        <v>0</v>
      </c>
      <c r="XV156" s="56"/>
      <c r="XW156" s="242">
        <f t="shared" si="1217"/>
        <v>0</v>
      </c>
      <c r="XX156" s="242">
        <f t="shared" si="1218"/>
        <v>1901</v>
      </c>
      <c r="XY156" s="56"/>
      <c r="YB156" s="55">
        <f t="shared" si="1219"/>
        <v>46152</v>
      </c>
      <c r="YC156" s="56"/>
      <c r="YD156" s="242">
        <f>SUMPRODUCT(PRODUCE!$B163:$DY163,PRODUCE!$EB$79:$IY$79)</f>
        <v>0</v>
      </c>
      <c r="YE156" s="56"/>
      <c r="YF156" s="242">
        <f t="shared" si="1220"/>
        <v>0</v>
      </c>
      <c r="YG156" s="242">
        <f t="shared" si="1221"/>
        <v>6459</v>
      </c>
      <c r="YH156" s="56"/>
      <c r="YK156" s="55">
        <f t="shared" si="1222"/>
        <v>46152</v>
      </c>
      <c r="YL156" s="56"/>
      <c r="YM156" s="242">
        <f>SUMPRODUCT(PRODUCE!$B163:$DY163,PRODUCE!$EB$80:$IY$80)</f>
        <v>0</v>
      </c>
      <c r="YN156" s="56"/>
      <c r="YO156" s="242">
        <f t="shared" si="1223"/>
        <v>0</v>
      </c>
      <c r="YP156" s="242">
        <f t="shared" si="1224"/>
        <v>0</v>
      </c>
      <c r="YQ156" s="56"/>
      <c r="YT156" s="55">
        <f t="shared" si="1225"/>
        <v>46152</v>
      </c>
      <c r="YU156" s="56"/>
      <c r="YV156" s="242">
        <f>SUMPRODUCT(PRODUCE!$B163:$DY163,PRODUCE!$EB$57:$IY$57)</f>
        <v>0</v>
      </c>
      <c r="YW156" s="56"/>
      <c r="YX156" s="242">
        <f t="shared" si="1226"/>
        <v>0</v>
      </c>
      <c r="YY156" s="242">
        <f t="shared" si="1227"/>
        <v>0</v>
      </c>
      <c r="YZ156" s="56"/>
      <c r="ZC156" s="55">
        <f t="shared" si="1228"/>
        <v>46152</v>
      </c>
      <c r="ZD156" s="56"/>
      <c r="ZE156" s="242">
        <f>SUMPRODUCT(PRODUCE!$B163:$DY163,PRODUCE!$EB$57:$IY$57)</f>
        <v>0</v>
      </c>
      <c r="ZF156" s="56"/>
      <c r="ZG156" s="242">
        <f t="shared" si="1229"/>
        <v>0</v>
      </c>
      <c r="ZH156" s="242">
        <f t="shared" si="1230"/>
        <v>0</v>
      </c>
      <c r="ZI156" s="56"/>
      <c r="ZL156" s="55">
        <f t="shared" si="1231"/>
        <v>46152</v>
      </c>
      <c r="ZM156" s="56"/>
      <c r="ZN156" s="242">
        <f>SUMPRODUCT(PRODUCE!$B163:$DY163,PRODUCE!$EB$57:$IY$57)</f>
        <v>0</v>
      </c>
      <c r="ZO156" s="56"/>
      <c r="ZP156" s="242">
        <f t="shared" si="1232"/>
        <v>0</v>
      </c>
      <c r="ZQ156" s="242">
        <f t="shared" si="1233"/>
        <v>0</v>
      </c>
      <c r="ZR156" s="56"/>
      <c r="ZU156" s="55">
        <f t="shared" si="1234"/>
        <v>46152</v>
      </c>
      <c r="ZV156" s="56"/>
      <c r="ZW156" s="242">
        <f>SUMPRODUCT(PRODUCE!$B163:$DY163,PRODUCE!$EB$57:$IY$57)</f>
        <v>0</v>
      </c>
      <c r="ZX156" s="56"/>
      <c r="ZY156" s="242">
        <f t="shared" si="1235"/>
        <v>0</v>
      </c>
      <c r="ZZ156" s="242">
        <f t="shared" si="1236"/>
        <v>0</v>
      </c>
      <c r="AAA156" s="56"/>
      <c r="AAD156" s="55">
        <f t="shared" si="1237"/>
        <v>46152</v>
      </c>
      <c r="AAE156" s="56"/>
      <c r="AAF156" s="242">
        <f>SUMPRODUCT(PRODUCE!$B163:$DY163,PRODUCE!$EB$57:$IY$57)</f>
        <v>0</v>
      </c>
      <c r="AAG156" s="56"/>
      <c r="AAH156" s="242">
        <f t="shared" si="1238"/>
        <v>0</v>
      </c>
      <c r="AAI156" s="242">
        <f t="shared" si="1239"/>
        <v>0</v>
      </c>
      <c r="AAJ156" s="56"/>
      <c r="AAM156" s="55">
        <f t="shared" si="1240"/>
        <v>46152</v>
      </c>
      <c r="AAN156" s="56"/>
      <c r="AAO156" s="242">
        <f>SUMPRODUCT(PRODUCE!$B163:$DY163,PRODUCE!$EB$57:$IY$57)</f>
        <v>0</v>
      </c>
      <c r="AAP156" s="56"/>
      <c r="AAQ156" s="242">
        <f t="shared" si="1241"/>
        <v>0</v>
      </c>
      <c r="AAR156" s="242">
        <f t="shared" si="1242"/>
        <v>0</v>
      </c>
      <c r="AAS156" s="56"/>
      <c r="AAV156" s="55">
        <f t="shared" si="1243"/>
        <v>46152</v>
      </c>
      <c r="AAW156" s="56"/>
      <c r="AAX156" s="242">
        <f>SUMPRODUCT(PRODUCE!$B163:$DY163,PRODUCE!$EB$57:$IY$57)</f>
        <v>0</v>
      </c>
      <c r="AAY156" s="56"/>
      <c r="AAZ156" s="242">
        <f t="shared" si="1244"/>
        <v>0</v>
      </c>
      <c r="ABA156" s="242">
        <f t="shared" si="1245"/>
        <v>0</v>
      </c>
      <c r="ABB156" s="56"/>
      <c r="ABE156" s="55">
        <f t="shared" si="1246"/>
        <v>46152</v>
      </c>
      <c r="ABF156" s="56"/>
      <c r="ABG156" s="242">
        <f>SUMPRODUCT(PRODUCE!$B163:$DY163,PRODUCE!$EB$57:$IY$57)</f>
        <v>0</v>
      </c>
      <c r="ABH156" s="56"/>
      <c r="ABI156" s="242">
        <f t="shared" si="1247"/>
        <v>0</v>
      </c>
      <c r="ABJ156" s="242">
        <f t="shared" si="1248"/>
        <v>0</v>
      </c>
      <c r="ABK156" s="56"/>
    </row>
    <row r="157" spans="2:739" s="54" customFormat="1" ht="15" customHeight="1" outlineLevel="1">
      <c r="B157" s="478">
        <f>20+50</f>
        <v>70</v>
      </c>
      <c r="C157" s="55">
        <v>46153</v>
      </c>
      <c r="D157" s="422"/>
      <c r="E157" s="423">
        <f>SUMPRODUCT(PRODUCE!$B164:$DY164,PRODUCE!$EB$7:$IY$7)</f>
        <v>38951.599999999999</v>
      </c>
      <c r="F157" s="422">
        <v>38943</v>
      </c>
      <c r="G157" s="423">
        <f t="shared" si="1004"/>
        <v>8.5999999999985448</v>
      </c>
      <c r="H157" s="423">
        <f t="shared" si="1005"/>
        <v>156377.00000000006</v>
      </c>
      <c r="I157" s="289" t="s">
        <v>264</v>
      </c>
      <c r="L157" s="55">
        <f t="shared" si="1006"/>
        <v>46153</v>
      </c>
      <c r="M157" s="544">
        <v>25720</v>
      </c>
      <c r="N157" s="438">
        <f>SUMPRODUCT(PRODUCE!$B164:$DY164,PRODUCE!$EB$8:$IY$8)</f>
        <v>22204</v>
      </c>
      <c r="O157" s="422">
        <v>22206.799999999999</v>
      </c>
      <c r="P157" s="438">
        <f t="shared" si="1007"/>
        <v>-2.7999999999992724</v>
      </c>
      <c r="Q157" s="438">
        <f t="shared" si="1008"/>
        <v>51784.600000000093</v>
      </c>
      <c r="R157" s="56"/>
      <c r="U157" s="55">
        <f t="shared" si="1009"/>
        <v>46153</v>
      </c>
      <c r="V157" s="422"/>
      <c r="W157" s="440">
        <f>SUMPRODUCT(PRODUCE!$B164:$DY164,PRODUCE!$EB$9:$IY$9)</f>
        <v>3500</v>
      </c>
      <c r="X157" s="422">
        <v>3500.2</v>
      </c>
      <c r="Y157" s="440">
        <f t="shared" si="1010"/>
        <v>-0.1999999999998181</v>
      </c>
      <c r="Z157" s="440">
        <f t="shared" si="1011"/>
        <v>35312.699999999968</v>
      </c>
      <c r="AA157" s="56"/>
      <c r="AD157" s="55">
        <f t="shared" si="1012"/>
        <v>46153</v>
      </c>
      <c r="AE157" s="422">
        <v>30400</v>
      </c>
      <c r="AF157" s="442">
        <f>SUMPRODUCT(PRODUCE!$B164:$DY164,PRODUCE!$EB$10:$IY$10)</f>
        <v>0</v>
      </c>
      <c r="AG157" s="422"/>
      <c r="AH157" s="442">
        <f t="shared" si="1013"/>
        <v>0</v>
      </c>
      <c r="AI157" s="442">
        <f t="shared" si="1014"/>
        <v>33429.60000000002</v>
      </c>
      <c r="AJ157" s="56"/>
      <c r="AM157" s="55">
        <f t="shared" si="1015"/>
        <v>46153</v>
      </c>
      <c r="AN157" s="422"/>
      <c r="AO157" s="444">
        <f>SUMPRODUCT(PRODUCE!$B164:$DY164,PRODUCE!$EB$11:$IY$11)</f>
        <v>0</v>
      </c>
      <c r="AP157" s="422"/>
      <c r="AQ157" s="444">
        <f t="shared" si="1016"/>
        <v>0</v>
      </c>
      <c r="AR157" s="444">
        <f t="shared" si="1017"/>
        <v>0</v>
      </c>
      <c r="AS157" s="56"/>
      <c r="AV157" s="55">
        <f t="shared" si="1018"/>
        <v>46153</v>
      </c>
      <c r="AW157" s="422"/>
      <c r="AX157" s="446">
        <f>SUMPRODUCT(PRODUCE!$B164:$DY164,PRODUCE!$EB$12:$IY$12)</f>
        <v>0</v>
      </c>
      <c r="AY157" s="422"/>
      <c r="AZ157" s="446">
        <f t="shared" si="1019"/>
        <v>0</v>
      </c>
      <c r="BA157" s="446">
        <f t="shared" si="1020"/>
        <v>36409.899999999994</v>
      </c>
      <c r="BB157" s="56"/>
      <c r="BE157" s="55">
        <f t="shared" si="1021"/>
        <v>46153</v>
      </c>
      <c r="BF157" s="422"/>
      <c r="BG157" s="448">
        <f>SUMPRODUCT(PRODUCE!$B164:$DY164,PRODUCE!$EB$13:$IY$13)</f>
        <v>1365</v>
      </c>
      <c r="BH157" s="422">
        <v>1364</v>
      </c>
      <c r="BI157" s="448">
        <f t="shared" si="1022"/>
        <v>1</v>
      </c>
      <c r="BJ157" s="448">
        <f t="shared" si="1023"/>
        <v>19213.299999999992</v>
      </c>
      <c r="BK157" s="56"/>
      <c r="BN157" s="55">
        <f t="shared" si="1024"/>
        <v>46153</v>
      </c>
      <c r="BO157" s="422">
        <v>1645</v>
      </c>
      <c r="BP157" s="450">
        <f>SUMPRODUCT(PRODUCE!$B164:$DY164,PRODUCE!$EB$14:$IY$14)</f>
        <v>1645</v>
      </c>
      <c r="BQ157" s="422">
        <v>1645</v>
      </c>
      <c r="BR157" s="450">
        <f t="shared" si="1025"/>
        <v>0</v>
      </c>
      <c r="BS157" s="450">
        <f t="shared" si="1026"/>
        <v>0</v>
      </c>
      <c r="BT157" s="56"/>
      <c r="BW157" s="55">
        <f t="shared" si="1027"/>
        <v>46153</v>
      </c>
      <c r="BX157" s="422"/>
      <c r="BY157" s="523">
        <f>SUMPRODUCT(PRODUCE!$B164:$DY164,PRODUCE!$EB$15:$IY$15)</f>
        <v>0</v>
      </c>
      <c r="BZ157" s="422"/>
      <c r="CA157" s="523">
        <f t="shared" si="1028"/>
        <v>0</v>
      </c>
      <c r="CB157" s="523">
        <f t="shared" si="1029"/>
        <v>5833.7999999999993</v>
      </c>
      <c r="CC157" s="56"/>
      <c r="CF157" s="55">
        <f t="shared" si="1030"/>
        <v>46153</v>
      </c>
      <c r="CG157" s="422"/>
      <c r="CH157" s="524">
        <f>SUMPRODUCT(PRODUCE!$B164:$DY164,PRODUCE!$EB$16:$IY$16)</f>
        <v>449.4</v>
      </c>
      <c r="CI157" s="422"/>
      <c r="CJ157" s="524">
        <f t="shared" si="1031"/>
        <v>449.4</v>
      </c>
      <c r="CK157" s="524">
        <f t="shared" si="1032"/>
        <v>0</v>
      </c>
      <c r="CL157" s="56"/>
      <c r="CO157" s="55">
        <f t="shared" si="1033"/>
        <v>46153</v>
      </c>
      <c r="CP157" s="422"/>
      <c r="CQ157" s="470">
        <f>SUMPRODUCT(PRODUCE!$B164:$DY164,PRODUCE!$EB$17:$IY$17)</f>
        <v>0</v>
      </c>
      <c r="CR157" s="422"/>
      <c r="CS157" s="470">
        <f t="shared" si="1034"/>
        <v>0</v>
      </c>
      <c r="CT157" s="470">
        <f t="shared" si="1035"/>
        <v>0</v>
      </c>
      <c r="CU157" s="56"/>
      <c r="CX157" s="55">
        <f t="shared" si="1036"/>
        <v>46153</v>
      </c>
      <c r="CY157" s="422"/>
      <c r="CZ157" s="525">
        <f>SUMPRODUCT(PRODUCE!$B164:$DY164,PRODUCE!$EB$18:$IY$18)</f>
        <v>0</v>
      </c>
      <c r="DA157" s="422"/>
      <c r="DB157" s="525">
        <f t="shared" si="1037"/>
        <v>0</v>
      </c>
      <c r="DC157" s="525">
        <f t="shared" si="1038"/>
        <v>21657.000000000004</v>
      </c>
      <c r="DD157" s="56"/>
      <c r="DG157" s="55">
        <f t="shared" si="1039"/>
        <v>46153</v>
      </c>
      <c r="DH157" s="422"/>
      <c r="DI157" s="526">
        <f>SUMPRODUCT(PRODUCE!$B164:$DY164,PRODUCE!$EB$19:$IY$19)</f>
        <v>0</v>
      </c>
      <c r="DJ157" s="422"/>
      <c r="DK157" s="526">
        <f t="shared" si="1040"/>
        <v>0</v>
      </c>
      <c r="DL157" s="526">
        <f t="shared" si="1041"/>
        <v>40437.999999999985</v>
      </c>
      <c r="DM157" s="56"/>
      <c r="DP157" s="55">
        <f t="shared" si="1042"/>
        <v>46153</v>
      </c>
      <c r="DQ157" s="422"/>
      <c r="DR157" s="423">
        <f>SUMPRODUCT(PRODUCE!$B164:$DY164,PRODUCE!$EB$20:$IY$20)</f>
        <v>0</v>
      </c>
      <c r="DS157" s="422"/>
      <c r="DT157" s="423">
        <f t="shared" si="1043"/>
        <v>0</v>
      </c>
      <c r="DU157" s="423">
        <f t="shared" si="1044"/>
        <v>5800</v>
      </c>
      <c r="DV157" s="56"/>
      <c r="DY157" s="55">
        <f t="shared" si="1045"/>
        <v>46153</v>
      </c>
      <c r="DZ157" s="56"/>
      <c r="EA157" s="157">
        <f>SUMPRODUCT(PRODUCE!$B164:$DY164,PRODUCE!$EB$21:$IY$21)</f>
        <v>0</v>
      </c>
      <c r="EB157" s="56"/>
      <c r="EC157" s="157">
        <f t="shared" si="1046"/>
        <v>0</v>
      </c>
      <c r="ED157" s="157">
        <f t="shared" si="1047"/>
        <v>0</v>
      </c>
      <c r="EE157" s="56"/>
      <c r="EH157" s="55">
        <f t="shared" si="1048"/>
        <v>46153</v>
      </c>
      <c r="EI157" s="56"/>
      <c r="EJ157" s="162">
        <f>SUMPRODUCT(PRODUCE!$B164:$DY164,PRODUCE!$EB$22:$IY$22)</f>
        <v>0</v>
      </c>
      <c r="EK157" s="56"/>
      <c r="EL157" s="162">
        <f t="shared" si="1049"/>
        <v>0</v>
      </c>
      <c r="EM157" s="162">
        <f t="shared" si="1050"/>
        <v>0</v>
      </c>
      <c r="EN157" s="56"/>
      <c r="EQ157" s="55">
        <f t="shared" si="1051"/>
        <v>46153</v>
      </c>
      <c r="ER157" s="56"/>
      <c r="ES157" s="135">
        <f>SUMPRODUCT(PRODUCE!$B164:$DY164,PRODUCE!$EB$23:$IY$23)</f>
        <v>0</v>
      </c>
      <c r="ET157" s="56"/>
      <c r="EU157" s="135">
        <f t="shared" si="1052"/>
        <v>0</v>
      </c>
      <c r="EV157" s="135">
        <f t="shared" si="1053"/>
        <v>0</v>
      </c>
      <c r="EW157" s="56"/>
      <c r="EZ157" s="55">
        <f t="shared" si="1054"/>
        <v>46153</v>
      </c>
      <c r="FA157" s="56"/>
      <c r="FB157" s="175">
        <f>SUMPRODUCT(PRODUCE!$B164:$DY164,PRODUCE!$EB$24:$IY$24)</f>
        <v>0</v>
      </c>
      <c r="FC157" s="56"/>
      <c r="FD157" s="175">
        <f t="shared" si="1055"/>
        <v>0</v>
      </c>
      <c r="FE157" s="175">
        <f t="shared" si="1056"/>
        <v>0</v>
      </c>
      <c r="FF157" s="56"/>
      <c r="FI157" s="55">
        <f t="shared" si="1057"/>
        <v>46153</v>
      </c>
      <c r="FJ157" s="56"/>
      <c r="FK157" s="183">
        <f>SUMPRODUCT(PRODUCE!$B164:$DY164,PRODUCE!$EB$25:$IY$25)</f>
        <v>0</v>
      </c>
      <c r="FL157" s="56"/>
      <c r="FM157" s="183">
        <f t="shared" si="1058"/>
        <v>0</v>
      </c>
      <c r="FN157" s="183">
        <f t="shared" si="1059"/>
        <v>0</v>
      </c>
      <c r="FO157" s="56"/>
      <c r="FR157" s="55">
        <f t="shared" si="1060"/>
        <v>46153</v>
      </c>
      <c r="FS157" s="56"/>
      <c r="FT157" s="186">
        <f>SUMPRODUCT(PRODUCE!$B164:$DY164,PRODUCE!$EB$26:$IY$26)</f>
        <v>0</v>
      </c>
      <c r="FU157" s="56"/>
      <c r="FV157" s="186">
        <f t="shared" si="1061"/>
        <v>0</v>
      </c>
      <c r="FW157" s="186">
        <f t="shared" si="1062"/>
        <v>2120</v>
      </c>
      <c r="FX157" s="56"/>
      <c r="GA157" s="55">
        <f t="shared" si="1063"/>
        <v>46153</v>
      </c>
      <c r="GB157" s="56"/>
      <c r="GC157" s="137">
        <f>SUMPRODUCT(PRODUCE!$B164:$DY164,PRODUCE!$EB$27:$IY$27)</f>
        <v>0</v>
      </c>
      <c r="GD157" s="56"/>
      <c r="GE157" s="137">
        <f t="shared" si="1064"/>
        <v>0</v>
      </c>
      <c r="GF157" s="137">
        <f t="shared" si="1065"/>
        <v>3640</v>
      </c>
      <c r="GG157" s="56"/>
      <c r="GI157" s="23"/>
      <c r="GJ157" s="55">
        <f t="shared" si="1066"/>
        <v>46153</v>
      </c>
      <c r="GK157" s="56"/>
      <c r="GL157" s="199">
        <f>SUMPRODUCT(PRODUCE!$B164:$DY164,PRODUCE!$EB$28:$IY$28)</f>
        <v>0</v>
      </c>
      <c r="GM157" s="56"/>
      <c r="GN157" s="199">
        <f t="shared" si="1067"/>
        <v>0</v>
      </c>
      <c r="GO157" s="199">
        <f t="shared" si="1068"/>
        <v>0</v>
      </c>
      <c r="GP157" s="56"/>
      <c r="GS157" s="55">
        <f t="shared" si="1069"/>
        <v>46153</v>
      </c>
      <c r="GT157" s="56"/>
      <c r="GU157" s="195">
        <f>SUMPRODUCT(PRODUCE!$B164:$DY164,PRODUCE!$EB$29:$IY$29)</f>
        <v>0</v>
      </c>
      <c r="GV157" s="56"/>
      <c r="GW157" s="195">
        <f t="shared" si="1070"/>
        <v>0</v>
      </c>
      <c r="GX157" s="195">
        <f t="shared" si="1071"/>
        <v>0</v>
      </c>
      <c r="GY157" s="56"/>
      <c r="HB157" s="55">
        <f t="shared" si="1072"/>
        <v>46153</v>
      </c>
      <c r="HC157" s="56"/>
      <c r="HD157" s="191">
        <f>SUMPRODUCT(PRODUCE!$B164:$DY164,PRODUCE!$EB$30:$IY$30)</f>
        <v>0</v>
      </c>
      <c r="HE157" s="56"/>
      <c r="HF157" s="191">
        <f t="shared" si="1073"/>
        <v>0</v>
      </c>
      <c r="HG157" s="191">
        <f t="shared" si="1074"/>
        <v>0</v>
      </c>
      <c r="HH157" s="56"/>
      <c r="HK157" s="55">
        <f t="shared" si="1075"/>
        <v>46153</v>
      </c>
      <c r="HL157" s="56"/>
      <c r="HM157" s="63">
        <f>SUMPRODUCT(PRODUCE!$B164:$DY164,PRODUCE!$EB$31:$IY$31)</f>
        <v>0</v>
      </c>
      <c r="HN157" s="56"/>
      <c r="HO157" s="63">
        <f t="shared" si="1076"/>
        <v>0</v>
      </c>
      <c r="HP157" s="63">
        <f t="shared" si="1077"/>
        <v>0</v>
      </c>
      <c r="HQ157" s="56"/>
      <c r="HU157" s="55">
        <f t="shared" si="1078"/>
        <v>46153</v>
      </c>
      <c r="HV157" s="56"/>
      <c r="HW157" s="242">
        <f>SUMPRODUCT(PRODUCE!$B164:$DY164,PRODUCE!$EB$32:$IY$32)</f>
        <v>0</v>
      </c>
      <c r="HX157" s="56"/>
      <c r="HY157" s="242">
        <f t="shared" si="1079"/>
        <v>0</v>
      </c>
      <c r="HZ157" s="242">
        <f t="shared" si="1080"/>
        <v>6160</v>
      </c>
      <c r="IA157" s="56"/>
      <c r="ID157" s="55">
        <f t="shared" si="1081"/>
        <v>46153</v>
      </c>
      <c r="IE157" s="56"/>
      <c r="IF157" s="242">
        <f>SUMPRODUCT(PRODUCE!$B164:$DY164,PRODUCE!$EB$33:$IY$33)</f>
        <v>0</v>
      </c>
      <c r="IG157" s="56"/>
      <c r="IH157" s="242">
        <f t="shared" si="1082"/>
        <v>0</v>
      </c>
      <c r="II157" s="242">
        <f t="shared" si="1083"/>
        <v>540</v>
      </c>
      <c r="IJ157" s="56"/>
      <c r="IM157" s="55">
        <f t="shared" si="1084"/>
        <v>46153</v>
      </c>
      <c r="IN157" s="56"/>
      <c r="IO157" s="242">
        <f>SUMPRODUCT(PRODUCE!$B164:$DY164,PRODUCE!$EB$34:$IY$34)</f>
        <v>0</v>
      </c>
      <c r="IP157" s="56"/>
      <c r="IQ157" s="242">
        <f t="shared" si="1085"/>
        <v>0</v>
      </c>
      <c r="IR157" s="242">
        <f t="shared" si="1086"/>
        <v>11540</v>
      </c>
      <c r="IS157" s="56"/>
      <c r="IV157" s="55">
        <f t="shared" si="1087"/>
        <v>46153</v>
      </c>
      <c r="IW157" s="56"/>
      <c r="IX157" s="242">
        <f>SUMPRODUCT(PRODUCE!$B164:$DY164,PRODUCE!$EB$35:$IY$35)</f>
        <v>0</v>
      </c>
      <c r="IY157" s="56"/>
      <c r="IZ157" s="242">
        <f t="shared" si="1088"/>
        <v>0</v>
      </c>
      <c r="JA157" s="242">
        <f t="shared" si="1089"/>
        <v>15120</v>
      </c>
      <c r="JB157" s="56"/>
      <c r="JE157" s="55">
        <f t="shared" si="1090"/>
        <v>46153</v>
      </c>
      <c r="JF157" s="56"/>
      <c r="JG157" s="242">
        <f>SUMPRODUCT(PRODUCE!$B164:$DY164,PRODUCE!$EB$36:$IY$36)</f>
        <v>1000</v>
      </c>
      <c r="JH157" s="56"/>
      <c r="JI157" s="242">
        <f t="shared" si="1091"/>
        <v>1000</v>
      </c>
      <c r="JJ157" s="242">
        <f t="shared" si="1092"/>
        <v>0</v>
      </c>
      <c r="JK157" s="56"/>
      <c r="JN157" s="55">
        <f t="shared" si="1093"/>
        <v>46153</v>
      </c>
      <c r="JO157" s="56"/>
      <c r="JP157" s="242">
        <f>SUMPRODUCT(PRODUCE!$B164:$DY164,PRODUCE!$EB$37:$IY$37)</f>
        <v>400</v>
      </c>
      <c r="JQ157" s="56"/>
      <c r="JR157" s="242">
        <f t="shared" si="1094"/>
        <v>400</v>
      </c>
      <c r="JS157" s="242">
        <f t="shared" si="1095"/>
        <v>6700</v>
      </c>
      <c r="JT157" s="56"/>
      <c r="JW157" s="55">
        <f t="shared" si="1096"/>
        <v>46153</v>
      </c>
      <c r="JX157" s="56"/>
      <c r="JY157" s="242">
        <f>SUMPRODUCT(PRODUCE!$B164:$DY164,PRODUCE!$EB$38:$IY$38)</f>
        <v>0</v>
      </c>
      <c r="JZ157" s="56"/>
      <c r="KA157" s="242">
        <f t="shared" si="1097"/>
        <v>0</v>
      </c>
      <c r="KB157" s="242">
        <f t="shared" si="1098"/>
        <v>2540</v>
      </c>
      <c r="KC157" s="56"/>
      <c r="KF157" s="55">
        <f t="shared" si="1099"/>
        <v>46153</v>
      </c>
      <c r="KG157" s="56"/>
      <c r="KH157" s="242">
        <f>SUMPRODUCT(PRODUCE!$B164:$DY164,PRODUCE!$EB$39:$IY$39)</f>
        <v>0</v>
      </c>
      <c r="KI157" s="56"/>
      <c r="KJ157" s="242">
        <f t="shared" si="1100"/>
        <v>0</v>
      </c>
      <c r="KK157" s="242">
        <f t="shared" si="1101"/>
        <v>2359.5</v>
      </c>
      <c r="KL157" s="56"/>
      <c r="KO157" s="55">
        <f t="shared" si="1102"/>
        <v>46153</v>
      </c>
      <c r="KP157" s="56"/>
      <c r="KQ157" s="242">
        <f>SUMPRODUCT(PRODUCE!$B164:$DY164,PRODUCE!$EB$40:$IY$40)</f>
        <v>0</v>
      </c>
      <c r="KR157" s="56"/>
      <c r="KS157" s="242">
        <f t="shared" si="1103"/>
        <v>0</v>
      </c>
      <c r="KT157" s="242">
        <f t="shared" si="1104"/>
        <v>2079</v>
      </c>
      <c r="KU157" s="56"/>
      <c r="KW157" s="23"/>
      <c r="KX157" s="55">
        <f t="shared" si="1105"/>
        <v>46153</v>
      </c>
      <c r="KY157" s="56"/>
      <c r="KZ157" s="242">
        <f>SUMPRODUCT(PRODUCE!$B164:$DY164,PRODUCE!$EB$41:$IY$41)</f>
        <v>0</v>
      </c>
      <c r="LA157" s="56"/>
      <c r="LB157" s="242">
        <f t="shared" si="1106"/>
        <v>0</v>
      </c>
      <c r="LC157" s="242">
        <f t="shared" si="1107"/>
        <v>3690</v>
      </c>
      <c r="LD157" s="56"/>
      <c r="LG157" s="55">
        <f t="shared" si="1108"/>
        <v>46153</v>
      </c>
      <c r="LH157" s="56"/>
      <c r="LI157" s="242">
        <f>SUMPRODUCT(PRODUCE!$B164:$DY164,PRODUCE!$EB$42:$IY$42)</f>
        <v>0</v>
      </c>
      <c r="LJ157" s="56"/>
      <c r="LK157" s="242">
        <f t="shared" si="1109"/>
        <v>0</v>
      </c>
      <c r="LL157" s="242">
        <f t="shared" si="1110"/>
        <v>4000</v>
      </c>
      <c r="LM157" s="56"/>
      <c r="LP157" s="55">
        <f t="shared" si="1111"/>
        <v>46153</v>
      </c>
      <c r="LQ157" s="56"/>
      <c r="LR157" s="242">
        <f>SUMPRODUCT(PRODUCE!$B172:$DY172,PRODUCE!$EB$43:$IY$43)</f>
        <v>0</v>
      </c>
      <c r="LS157" s="56"/>
      <c r="LT157" s="242">
        <f t="shared" si="1112"/>
        <v>0</v>
      </c>
      <c r="LU157" s="242">
        <f t="shared" si="1113"/>
        <v>0</v>
      </c>
      <c r="LV157" s="56"/>
      <c r="LY157" s="55">
        <f t="shared" si="1114"/>
        <v>46153</v>
      </c>
      <c r="LZ157" s="56"/>
      <c r="MA157" s="242">
        <f>SUMPRODUCT(PRODUCE!$B164:$DY164,PRODUCE!$EB$44:$IY$44)</f>
        <v>0</v>
      </c>
      <c r="MB157" s="56"/>
      <c r="MC157" s="242">
        <f t="shared" si="1115"/>
        <v>0</v>
      </c>
      <c r="MD157" s="242">
        <f t="shared" si="1116"/>
        <v>0</v>
      </c>
      <c r="ME157" s="56"/>
      <c r="MH157" s="55">
        <f t="shared" si="1117"/>
        <v>46153</v>
      </c>
      <c r="MI157" s="56"/>
      <c r="MJ157" s="242">
        <f>SUMPRODUCT(PRODUCE!$B164:$DY164,PRODUCE!$EB$45:$IY$45)</f>
        <v>0</v>
      </c>
      <c r="MK157" s="56"/>
      <c r="ML157" s="242">
        <f t="shared" si="1118"/>
        <v>0</v>
      </c>
      <c r="MM157" s="242">
        <f t="shared" si="1119"/>
        <v>0</v>
      </c>
      <c r="MN157" s="56"/>
      <c r="MQ157" s="55">
        <f t="shared" si="1120"/>
        <v>46153</v>
      </c>
      <c r="MR157" s="56"/>
      <c r="MS157" s="242">
        <f>SUMPRODUCT(PRODUCE!$B164:$DY164,PRODUCE!$EB$46:$IY$46)</f>
        <v>0</v>
      </c>
      <c r="MT157" s="56"/>
      <c r="MU157" s="242">
        <f t="shared" si="1121"/>
        <v>0</v>
      </c>
      <c r="MV157" s="242">
        <f t="shared" si="1122"/>
        <v>3846</v>
      </c>
      <c r="MW157" s="56"/>
      <c r="MZ157" s="55">
        <f t="shared" si="1123"/>
        <v>46153</v>
      </c>
      <c r="NA157" s="56"/>
      <c r="NB157" s="242">
        <f>SUMPRODUCT(PRODUCE!$B164:$DY164,PRODUCE!$EB$47:$IY$47)</f>
        <v>210</v>
      </c>
      <c r="NC157" s="56"/>
      <c r="ND157" s="242">
        <f t="shared" si="1124"/>
        <v>210</v>
      </c>
      <c r="NE157" s="242">
        <f t="shared" si="1125"/>
        <v>0</v>
      </c>
      <c r="NF157" s="56"/>
      <c r="NI157" s="55">
        <f t="shared" si="1126"/>
        <v>46153</v>
      </c>
      <c r="NJ157" s="56"/>
      <c r="NK157" s="242">
        <f>SUMPRODUCT(PRODUCE!$B164:$DY164,PRODUCE!$EB$48:$IY$48)</f>
        <v>0</v>
      </c>
      <c r="NL157" s="56"/>
      <c r="NM157" s="242">
        <f t="shared" si="1127"/>
        <v>0</v>
      </c>
      <c r="NN157" s="242">
        <f t="shared" si="1128"/>
        <v>1137</v>
      </c>
      <c r="NO157" s="56"/>
      <c r="NR157" s="55">
        <f t="shared" si="1129"/>
        <v>46153</v>
      </c>
      <c r="NS157" s="56"/>
      <c r="NT157" s="242">
        <f>SUMPRODUCT(PRODUCE!$B164:$DY164,PRODUCE!$EB$49:$IY$49)</f>
        <v>0</v>
      </c>
      <c r="NU157" s="56"/>
      <c r="NV157" s="242">
        <f t="shared" si="1130"/>
        <v>0</v>
      </c>
      <c r="NW157" s="242">
        <f t="shared" si="1131"/>
        <v>3122.8999999999996</v>
      </c>
      <c r="NX157" s="56"/>
      <c r="OA157" s="55">
        <f t="shared" si="1132"/>
        <v>46153</v>
      </c>
      <c r="OB157" s="56"/>
      <c r="OC157" s="242">
        <f>SUMPRODUCT(PRODUCE!$B164:$DY164,PRODUCE!$EB$50:$IY$50)</f>
        <v>50</v>
      </c>
      <c r="OD157" s="56"/>
      <c r="OE157" s="242">
        <f t="shared" si="1133"/>
        <v>50</v>
      </c>
      <c r="OF157" s="242">
        <f t="shared" si="1134"/>
        <v>1680.5</v>
      </c>
      <c r="OG157" s="56"/>
      <c r="OJ157" s="55">
        <f t="shared" si="1135"/>
        <v>46153</v>
      </c>
      <c r="OK157" s="56"/>
      <c r="OL157" s="242">
        <f>SUMPRODUCT(PRODUCE!$B164:$DY164,PRODUCE!$EB$51:$IY$51)</f>
        <v>0</v>
      </c>
      <c r="OM157" s="56"/>
      <c r="ON157" s="242">
        <f t="shared" si="1136"/>
        <v>0</v>
      </c>
      <c r="OO157" s="242">
        <f t="shared" si="1137"/>
        <v>0</v>
      </c>
      <c r="OP157" s="56"/>
      <c r="OS157" s="55">
        <f t="shared" si="1138"/>
        <v>46153</v>
      </c>
      <c r="OT157" s="56"/>
      <c r="OU157" s="242">
        <f>SUMPRODUCT(PRODUCE!$B164:$DY164,PRODUCE!$EB$52:$IY$52)</f>
        <v>50</v>
      </c>
      <c r="OV157" s="56"/>
      <c r="OW157" s="242">
        <f t="shared" si="1139"/>
        <v>50</v>
      </c>
      <c r="OX157" s="242">
        <f t="shared" si="1140"/>
        <v>982</v>
      </c>
      <c r="OY157" s="56"/>
      <c r="PB157" s="55">
        <f t="shared" si="1141"/>
        <v>46153</v>
      </c>
      <c r="PC157" s="56"/>
      <c r="PD157" s="242">
        <f>SUMPRODUCT(PRODUCE!$B164:$DY164,PRODUCE!$EB$53:$IY$53)</f>
        <v>0</v>
      </c>
      <c r="PE157" s="56"/>
      <c r="PF157" s="242">
        <f t="shared" si="1142"/>
        <v>0</v>
      </c>
      <c r="PG157" s="242">
        <f t="shared" si="1143"/>
        <v>0</v>
      </c>
      <c r="PH157" s="56"/>
      <c r="PK157" s="55">
        <f t="shared" si="1144"/>
        <v>46153</v>
      </c>
      <c r="PL157" s="56"/>
      <c r="PM157" s="242">
        <f>SUMPRODUCT(PRODUCE!$B164:$DY164,PRODUCE!$EB$54:$IY$54)</f>
        <v>0</v>
      </c>
      <c r="PN157" s="56"/>
      <c r="PO157" s="242">
        <f t="shared" si="1145"/>
        <v>0</v>
      </c>
      <c r="PP157" s="242">
        <f t="shared" si="1146"/>
        <v>100</v>
      </c>
      <c r="PQ157" s="56"/>
      <c r="PT157" s="55">
        <f t="shared" si="1147"/>
        <v>46153</v>
      </c>
      <c r="PU157" s="56"/>
      <c r="PV157" s="242">
        <f>SUMPRODUCT(PRODUCE!$B164:$DY164,PRODUCE!$EB$55:$IY$55)</f>
        <v>0</v>
      </c>
      <c r="PW157" s="56"/>
      <c r="PX157" s="242">
        <f t="shared" si="1148"/>
        <v>0</v>
      </c>
      <c r="PY157" s="242">
        <f t="shared" si="1149"/>
        <v>13.960000000000036</v>
      </c>
      <c r="PZ157" s="56"/>
      <c r="QC157" s="55">
        <f t="shared" si="1150"/>
        <v>46153</v>
      </c>
      <c r="QD157" s="56"/>
      <c r="QE157" s="242">
        <f>SUMPRODUCT(PRODUCE!$B164:$DY164,PRODUCE!$EB$56:$IY$56)</f>
        <v>0</v>
      </c>
      <c r="QF157" s="56"/>
      <c r="QG157" s="242">
        <f t="shared" si="1151"/>
        <v>0</v>
      </c>
      <c r="QH157" s="242">
        <f t="shared" si="1152"/>
        <v>468</v>
      </c>
      <c r="QI157" s="56"/>
      <c r="QL157" s="55">
        <f t="shared" si="1153"/>
        <v>46153</v>
      </c>
      <c r="QM157" s="56"/>
      <c r="QN157" s="242">
        <f>SUMPRODUCT(PRODUCE!$B164:$DY164,PRODUCE!$EB$57:$IY$57)</f>
        <v>175</v>
      </c>
      <c r="QO157" s="56"/>
      <c r="QP157" s="242">
        <f t="shared" si="1154"/>
        <v>175</v>
      </c>
      <c r="QQ157" s="242">
        <f t="shared" si="1155"/>
        <v>0</v>
      </c>
      <c r="QR157" s="56"/>
      <c r="QU157" s="55">
        <f t="shared" si="1156"/>
        <v>46153</v>
      </c>
      <c r="QV157" s="56"/>
      <c r="QW157" s="242">
        <f>SUMPRODUCT(PRODUCE!$B164:$DY164,PRODUCE!$EB$58:$IY$58)</f>
        <v>0</v>
      </c>
      <c r="QX157" s="56"/>
      <c r="QY157" s="242">
        <f t="shared" si="1157"/>
        <v>0</v>
      </c>
      <c r="QZ157" s="242">
        <f t="shared" si="1158"/>
        <v>207.6</v>
      </c>
      <c r="RA157" s="56"/>
      <c r="RD157" s="55">
        <f t="shared" si="1159"/>
        <v>46153</v>
      </c>
      <c r="RE157" s="56"/>
      <c r="RF157" s="242">
        <f>SUMPRODUCT(PRODUCE!$B164:$DY164,PRODUCE!$EB$59:$IY$59)</f>
        <v>0</v>
      </c>
      <c r="RG157" s="56"/>
      <c r="RH157" s="242">
        <f t="shared" si="1160"/>
        <v>0</v>
      </c>
      <c r="RI157" s="242">
        <f t="shared" si="1161"/>
        <v>147.04000000000002</v>
      </c>
      <c r="RJ157" s="56"/>
      <c r="RM157" s="55">
        <f t="shared" si="1162"/>
        <v>46153</v>
      </c>
      <c r="RN157" s="56"/>
      <c r="RO157" s="242">
        <f>SUMPRODUCT(PRODUCE!$B164:$DY164,PRODUCE!$EB$60:$IY$60)</f>
        <v>0</v>
      </c>
      <c r="RP157" s="56"/>
      <c r="RQ157" s="242">
        <f t="shared" si="1163"/>
        <v>0</v>
      </c>
      <c r="RR157" s="242">
        <f t="shared" si="1164"/>
        <v>46.8</v>
      </c>
      <c r="RS157" s="56"/>
      <c r="RV157" s="55">
        <f t="shared" si="1165"/>
        <v>46153</v>
      </c>
      <c r="RW157" s="56"/>
      <c r="RX157" s="242">
        <f>SUMPRODUCT(PRODUCE!$B164:$DY164,PRODUCE!$EB$61:$IY$61)</f>
        <v>0</v>
      </c>
      <c r="RY157" s="56"/>
      <c r="RZ157" s="242">
        <f t="shared" si="1166"/>
        <v>0</v>
      </c>
      <c r="SA157" s="242">
        <f t="shared" si="1167"/>
        <v>0</v>
      </c>
      <c r="SB157" s="56"/>
      <c r="SE157" s="55">
        <f t="shared" si="1168"/>
        <v>46153</v>
      </c>
      <c r="SF157" s="56"/>
      <c r="SG157" s="242">
        <f>SUMPRODUCT(PRODUCE!$B164:$DY164,PRODUCE!$EB$62:$IY$62)</f>
        <v>0</v>
      </c>
      <c r="SH157" s="56"/>
      <c r="SI157" s="242">
        <f t="shared" si="1169"/>
        <v>0</v>
      </c>
      <c r="SJ157" s="242">
        <f t="shared" si="1170"/>
        <v>24.200000000000003</v>
      </c>
      <c r="SK157" s="56"/>
      <c r="SN157" s="55">
        <f t="shared" si="1171"/>
        <v>46153</v>
      </c>
      <c r="SO157" s="56"/>
      <c r="SP157" s="242">
        <f>SUMPRODUCT(PRODUCE!$B164:$DY164,PRODUCE!$EB$63:$IY$63)</f>
        <v>0</v>
      </c>
      <c r="SQ157" s="56"/>
      <c r="SR157" s="242">
        <f t="shared" si="1172"/>
        <v>0</v>
      </c>
      <c r="SS157" s="242">
        <f t="shared" si="1173"/>
        <v>32</v>
      </c>
      <c r="ST157" s="56"/>
      <c r="SW157" s="55">
        <f t="shared" si="1174"/>
        <v>46153</v>
      </c>
      <c r="SX157" s="56"/>
      <c r="SY157" s="242">
        <f>SUMPRODUCT(PRODUCE!$B164:$DY164,PRODUCE!$EB$64:$IY$64)</f>
        <v>0</v>
      </c>
      <c r="SZ157" s="56"/>
      <c r="TA157" s="242">
        <f t="shared" si="1175"/>
        <v>0</v>
      </c>
      <c r="TB157" s="242">
        <f t="shared" si="1176"/>
        <v>0</v>
      </c>
      <c r="TC157" s="56"/>
      <c r="TF157" s="55">
        <f t="shared" si="1177"/>
        <v>46153</v>
      </c>
      <c r="TG157" s="56"/>
      <c r="TH157" s="242">
        <f>SUMPRODUCT(PRODUCE!$B164:$DY164,PRODUCE!$EB$65:$IY$65)</f>
        <v>0</v>
      </c>
      <c r="TI157" s="56"/>
      <c r="TJ157" s="242">
        <f t="shared" si="1178"/>
        <v>0</v>
      </c>
      <c r="TK157" s="242">
        <f t="shared" si="1179"/>
        <v>0</v>
      </c>
      <c r="TL157" s="56"/>
      <c r="TO157" s="55">
        <f t="shared" si="1180"/>
        <v>46153</v>
      </c>
      <c r="TP157" s="56"/>
      <c r="TQ157" s="242">
        <f>SUMPRODUCT(PRODUCE!$B164:$DY164,PRODUCE!$EB$66:$IY$66)</f>
        <v>0</v>
      </c>
      <c r="TR157" s="56"/>
      <c r="TS157" s="242">
        <f t="shared" si="1181"/>
        <v>0</v>
      </c>
      <c r="TT157" s="242">
        <f t="shared" si="1182"/>
        <v>0</v>
      </c>
      <c r="TU157" s="56"/>
      <c r="TX157" s="55">
        <f t="shared" si="1183"/>
        <v>46153</v>
      </c>
      <c r="TY157" s="56"/>
      <c r="TZ157" s="242">
        <f>SUMPRODUCT(PRODUCE!$B164:$DY164,PRODUCE!$EB$67:$IY$67)</f>
        <v>0</v>
      </c>
      <c r="UA157" s="56"/>
      <c r="UB157" s="242">
        <f t="shared" si="1184"/>
        <v>0</v>
      </c>
      <c r="UC157" s="242">
        <f t="shared" si="1185"/>
        <v>0</v>
      </c>
      <c r="UD157" s="56"/>
      <c r="UG157" s="55">
        <f t="shared" si="1186"/>
        <v>46153</v>
      </c>
      <c r="UH157" s="56"/>
      <c r="UI157" s="242">
        <f>SUMPRODUCT(PRODUCE!$B164:$DY164,PRODUCE!$EB$68:$IY$68)</f>
        <v>0</v>
      </c>
      <c r="UJ157" s="56"/>
      <c r="UK157" s="242">
        <f t="shared" si="1187"/>
        <v>0</v>
      </c>
      <c r="UL157" s="242">
        <f t="shared" si="1188"/>
        <v>0</v>
      </c>
      <c r="UM157" s="56"/>
      <c r="UP157" s="55">
        <f t="shared" si="1189"/>
        <v>46153</v>
      </c>
      <c r="UQ157" s="56"/>
      <c r="UR157" s="242">
        <f>SUMPRODUCT(PRODUCE!$B164:$DY164,PRODUCE!$EB$69:$IY$69)</f>
        <v>0</v>
      </c>
      <c r="US157" s="56"/>
      <c r="UT157" s="242">
        <f t="shared" si="1190"/>
        <v>0</v>
      </c>
      <c r="UU157" s="242">
        <f t="shared" si="1191"/>
        <v>0</v>
      </c>
      <c r="UV157" s="56"/>
      <c r="UY157" s="55">
        <f t="shared" si="1192"/>
        <v>46153</v>
      </c>
      <c r="UZ157" s="56"/>
      <c r="VA157" s="242">
        <f>SUMPRODUCT(PRODUCE!$B164:$DY164,PRODUCE!$EB$70:$IY$70)</f>
        <v>0</v>
      </c>
      <c r="VB157" s="56"/>
      <c r="VC157" s="242">
        <f t="shared" si="1193"/>
        <v>0</v>
      </c>
      <c r="VD157" s="242">
        <f t="shared" si="1194"/>
        <v>41.600000000000023</v>
      </c>
      <c r="VE157" s="56"/>
      <c r="VH157" s="55">
        <f t="shared" si="1195"/>
        <v>46153</v>
      </c>
      <c r="VI157" s="56"/>
      <c r="VJ157" s="242">
        <f>SUMPRODUCT(PRODUCE!$B164:$DY164,PRODUCE!$EB$71:$IY$71)</f>
        <v>0</v>
      </c>
      <c r="VK157" s="56"/>
      <c r="VL157" s="242">
        <f t="shared" si="1196"/>
        <v>0</v>
      </c>
      <c r="VM157" s="242">
        <f t="shared" si="1197"/>
        <v>0</v>
      </c>
      <c r="VN157" s="56"/>
      <c r="VQ157" s="55">
        <f t="shared" si="1198"/>
        <v>46153</v>
      </c>
      <c r="VR157" s="56"/>
      <c r="VS157" s="242">
        <f>SUMPRODUCT(PRODUCE!$B164:$DY164,PRODUCE!$EB$57:$IY$57)</f>
        <v>175</v>
      </c>
      <c r="VT157" s="56"/>
      <c r="VU157" s="242">
        <f t="shared" si="1199"/>
        <v>175</v>
      </c>
      <c r="VV157" s="242">
        <f t="shared" si="1200"/>
        <v>0</v>
      </c>
      <c r="VW157" s="56"/>
      <c r="VZ157" s="55">
        <f t="shared" si="1201"/>
        <v>46153</v>
      </c>
      <c r="WA157" s="56"/>
      <c r="WB157" s="242">
        <f>SUMPRODUCT(PRODUCE!$B164:$DY164,PRODUCE!$EB$57:$IY$57)</f>
        <v>175</v>
      </c>
      <c r="WC157" s="56"/>
      <c r="WD157" s="242">
        <f t="shared" si="1202"/>
        <v>175</v>
      </c>
      <c r="WE157" s="242">
        <f t="shared" si="1203"/>
        <v>0</v>
      </c>
      <c r="WF157" s="56"/>
      <c r="WI157" s="55">
        <f t="shared" si="1204"/>
        <v>46153</v>
      </c>
      <c r="WJ157" s="422"/>
      <c r="WK157" s="540">
        <f>SUMPRODUCT(PRODUCE!$B164:$DY164,PRODUCE!$EB$74:$IY$74)</f>
        <v>0</v>
      </c>
      <c r="WL157" s="422"/>
      <c r="WM157" s="540">
        <f t="shared" si="1205"/>
        <v>0</v>
      </c>
      <c r="WN157" s="540">
        <f t="shared" si="1206"/>
        <v>2317</v>
      </c>
      <c r="WO157" s="56"/>
      <c r="WR157" s="55">
        <f t="shared" si="1207"/>
        <v>46153</v>
      </c>
      <c r="WS157" s="422"/>
      <c r="WT157" s="540">
        <f>SUMPRODUCT(PRODUCE!$B164:$DY164,PRODUCE!$EB$75:$IY$75)</f>
        <v>0</v>
      </c>
      <c r="WU157" s="422"/>
      <c r="WV157" s="540">
        <f t="shared" si="1208"/>
        <v>0</v>
      </c>
      <c r="WW157" s="540">
        <f t="shared" si="1209"/>
        <v>776</v>
      </c>
      <c r="WX157" s="56"/>
      <c r="XA157" s="55">
        <f t="shared" si="1210"/>
        <v>46153</v>
      </c>
      <c r="XB157" s="422"/>
      <c r="XC157" s="540">
        <f>SUMPRODUCT(PRODUCE!$B164:$DY164,PRODUCE!$EB$76:$IY$76)</f>
        <v>0</v>
      </c>
      <c r="XD157" s="422"/>
      <c r="XE157" s="540">
        <f t="shared" si="1211"/>
        <v>0</v>
      </c>
      <c r="XF157" s="540">
        <f t="shared" si="1212"/>
        <v>12453</v>
      </c>
      <c r="XG157" s="56"/>
      <c r="XJ157" s="55">
        <f t="shared" si="1213"/>
        <v>46153</v>
      </c>
      <c r="XK157" s="422"/>
      <c r="XL157" s="540">
        <f>SUMPRODUCT(PRODUCE!$B164:$DY164,PRODUCE!$EB$77:$IY$77)</f>
        <v>0</v>
      </c>
      <c r="XM157" s="422"/>
      <c r="XN157" s="540">
        <f t="shared" si="1214"/>
        <v>0</v>
      </c>
      <c r="XO157" s="540">
        <f t="shared" si="1215"/>
        <v>1289</v>
      </c>
      <c r="XP157" s="56"/>
      <c r="XS157" s="55">
        <f t="shared" si="1216"/>
        <v>46153</v>
      </c>
      <c r="XT157" s="56"/>
      <c r="XU157" s="242">
        <f>SUMPRODUCT(PRODUCE!$B164:$DY164,PRODUCE!$EB$78:$IY$78)</f>
        <v>0</v>
      </c>
      <c r="XV157" s="56"/>
      <c r="XW157" s="242">
        <f t="shared" si="1217"/>
        <v>0</v>
      </c>
      <c r="XX157" s="242">
        <f t="shared" si="1218"/>
        <v>1901</v>
      </c>
      <c r="XY157" s="56"/>
      <c r="YB157" s="55">
        <f t="shared" si="1219"/>
        <v>46153</v>
      </c>
      <c r="YC157" s="56"/>
      <c r="YD157" s="242">
        <f>SUMPRODUCT(PRODUCE!$B164:$DY164,PRODUCE!$EB$79:$IY$79)</f>
        <v>0</v>
      </c>
      <c r="YE157" s="56"/>
      <c r="YF157" s="242">
        <f t="shared" si="1220"/>
        <v>0</v>
      </c>
      <c r="YG157" s="242">
        <f t="shared" si="1221"/>
        <v>6459</v>
      </c>
      <c r="YH157" s="56"/>
      <c r="YK157" s="55">
        <f t="shared" si="1222"/>
        <v>46153</v>
      </c>
      <c r="YL157" s="56"/>
      <c r="YM157" s="242">
        <f>SUMPRODUCT(PRODUCE!$B164:$DY164,PRODUCE!$EB$80:$IY$80)</f>
        <v>0</v>
      </c>
      <c r="YN157" s="56"/>
      <c r="YO157" s="242">
        <f t="shared" si="1223"/>
        <v>0</v>
      </c>
      <c r="YP157" s="242">
        <f t="shared" si="1224"/>
        <v>0</v>
      </c>
      <c r="YQ157" s="56"/>
      <c r="YT157" s="55">
        <f t="shared" si="1225"/>
        <v>46153</v>
      </c>
      <c r="YU157" s="56"/>
      <c r="YV157" s="242">
        <f>SUMPRODUCT(PRODUCE!$B164:$DY164,PRODUCE!$EB$57:$IY$57)</f>
        <v>175</v>
      </c>
      <c r="YW157" s="56"/>
      <c r="YX157" s="242">
        <f t="shared" si="1226"/>
        <v>175</v>
      </c>
      <c r="YY157" s="242">
        <f t="shared" si="1227"/>
        <v>0</v>
      </c>
      <c r="YZ157" s="56"/>
      <c r="ZC157" s="55">
        <f t="shared" si="1228"/>
        <v>46153</v>
      </c>
      <c r="ZD157" s="56"/>
      <c r="ZE157" s="242">
        <f>SUMPRODUCT(PRODUCE!$B164:$DY164,PRODUCE!$EB$57:$IY$57)</f>
        <v>175</v>
      </c>
      <c r="ZF157" s="56"/>
      <c r="ZG157" s="242">
        <f t="shared" si="1229"/>
        <v>175</v>
      </c>
      <c r="ZH157" s="242">
        <f t="shared" si="1230"/>
        <v>0</v>
      </c>
      <c r="ZI157" s="56"/>
      <c r="ZL157" s="55">
        <f t="shared" si="1231"/>
        <v>46153</v>
      </c>
      <c r="ZM157" s="56"/>
      <c r="ZN157" s="242">
        <f>SUMPRODUCT(PRODUCE!$B164:$DY164,PRODUCE!$EB$57:$IY$57)</f>
        <v>175</v>
      </c>
      <c r="ZO157" s="56"/>
      <c r="ZP157" s="242">
        <f t="shared" si="1232"/>
        <v>175</v>
      </c>
      <c r="ZQ157" s="242">
        <f t="shared" si="1233"/>
        <v>0</v>
      </c>
      <c r="ZR157" s="56"/>
      <c r="ZU157" s="55">
        <f t="shared" si="1234"/>
        <v>46153</v>
      </c>
      <c r="ZV157" s="56"/>
      <c r="ZW157" s="242">
        <f>SUMPRODUCT(PRODUCE!$B164:$DY164,PRODUCE!$EB$57:$IY$57)</f>
        <v>175</v>
      </c>
      <c r="ZX157" s="56"/>
      <c r="ZY157" s="242">
        <f t="shared" si="1235"/>
        <v>175</v>
      </c>
      <c r="ZZ157" s="242">
        <f t="shared" si="1236"/>
        <v>0</v>
      </c>
      <c r="AAA157" s="56"/>
      <c r="AAD157" s="55">
        <f t="shared" si="1237"/>
        <v>46153</v>
      </c>
      <c r="AAE157" s="56"/>
      <c r="AAF157" s="242">
        <f>SUMPRODUCT(PRODUCE!$B164:$DY164,PRODUCE!$EB$57:$IY$57)</f>
        <v>175</v>
      </c>
      <c r="AAG157" s="56"/>
      <c r="AAH157" s="242">
        <f t="shared" si="1238"/>
        <v>175</v>
      </c>
      <c r="AAI157" s="242">
        <f t="shared" si="1239"/>
        <v>0</v>
      </c>
      <c r="AAJ157" s="56"/>
      <c r="AAM157" s="55">
        <f t="shared" si="1240"/>
        <v>46153</v>
      </c>
      <c r="AAN157" s="56"/>
      <c r="AAO157" s="242">
        <f>SUMPRODUCT(PRODUCE!$B164:$DY164,PRODUCE!$EB$57:$IY$57)</f>
        <v>175</v>
      </c>
      <c r="AAP157" s="56"/>
      <c r="AAQ157" s="242">
        <f t="shared" si="1241"/>
        <v>175</v>
      </c>
      <c r="AAR157" s="242">
        <f t="shared" si="1242"/>
        <v>0</v>
      </c>
      <c r="AAS157" s="56"/>
      <c r="AAV157" s="55">
        <f t="shared" si="1243"/>
        <v>46153</v>
      </c>
      <c r="AAW157" s="56"/>
      <c r="AAX157" s="242">
        <f>SUMPRODUCT(PRODUCE!$B164:$DY164,PRODUCE!$EB$57:$IY$57)</f>
        <v>175</v>
      </c>
      <c r="AAY157" s="56"/>
      <c r="AAZ157" s="242">
        <f t="shared" si="1244"/>
        <v>175</v>
      </c>
      <c r="ABA157" s="242">
        <f t="shared" si="1245"/>
        <v>0</v>
      </c>
      <c r="ABB157" s="56"/>
      <c r="ABE157" s="55">
        <f t="shared" si="1246"/>
        <v>46153</v>
      </c>
      <c r="ABF157" s="56"/>
      <c r="ABG157" s="242">
        <f>SUMPRODUCT(PRODUCE!$B164:$DY164,PRODUCE!$EB$57:$IY$57)</f>
        <v>175</v>
      </c>
      <c r="ABH157" s="56"/>
      <c r="ABI157" s="242">
        <f t="shared" si="1247"/>
        <v>175</v>
      </c>
      <c r="ABJ157" s="242">
        <f t="shared" si="1248"/>
        <v>0</v>
      </c>
      <c r="ABK157" s="56"/>
    </row>
    <row r="158" spans="2:739" s="54" customFormat="1" ht="15" customHeight="1" outlineLevel="1">
      <c r="B158" s="478">
        <v>90</v>
      </c>
      <c r="C158" s="55">
        <v>46154</v>
      </c>
      <c r="D158" s="422">
        <v>13820</v>
      </c>
      <c r="E158" s="423">
        <f>SUMPRODUCT(PRODUCE!$B165:$DY165,PRODUCE!$EB$7:$IY$7)</f>
        <v>56475</v>
      </c>
      <c r="F158" s="422">
        <v>56479.6</v>
      </c>
      <c r="G158" s="423">
        <f t="shared" si="1004"/>
        <v>-4.5999999999985448</v>
      </c>
      <c r="H158" s="423">
        <f t="shared" si="1005"/>
        <v>113717.40000000005</v>
      </c>
      <c r="I158" s="289" t="s">
        <v>265</v>
      </c>
      <c r="L158" s="55">
        <f t="shared" si="1006"/>
        <v>46154</v>
      </c>
      <c r="M158" s="422"/>
      <c r="N158" s="438">
        <f>SUMPRODUCT(PRODUCE!$B165:$DY165,PRODUCE!$EB$8:$IY$8)</f>
        <v>12285</v>
      </c>
      <c r="O158" s="422">
        <v>12280</v>
      </c>
      <c r="P158" s="438">
        <f t="shared" si="1007"/>
        <v>5</v>
      </c>
      <c r="Q158" s="438">
        <f t="shared" si="1008"/>
        <v>39504.600000000093</v>
      </c>
      <c r="R158" s="56"/>
      <c r="U158" s="55">
        <f t="shared" si="1009"/>
        <v>46154</v>
      </c>
      <c r="V158" s="422"/>
      <c r="W158" s="440">
        <f>SUMPRODUCT(PRODUCE!$B165:$DY165,PRODUCE!$EB$9:$IY$9)</f>
        <v>7200</v>
      </c>
      <c r="X158" s="422">
        <v>7200.5</v>
      </c>
      <c r="Y158" s="440">
        <f t="shared" si="1010"/>
        <v>-0.5</v>
      </c>
      <c r="Z158" s="440">
        <f t="shared" si="1011"/>
        <v>28112.199999999968</v>
      </c>
      <c r="AA158" s="56"/>
      <c r="AD158" s="55">
        <f t="shared" si="1012"/>
        <v>46154</v>
      </c>
      <c r="AE158" s="422"/>
      <c r="AF158" s="442">
        <f>SUMPRODUCT(PRODUCE!$B165:$DY165,PRODUCE!$EB$10:$IY$10)</f>
        <v>6300</v>
      </c>
      <c r="AG158" s="422">
        <v>6301.7</v>
      </c>
      <c r="AH158" s="442">
        <f t="shared" si="1013"/>
        <v>-1.6999999999998181</v>
      </c>
      <c r="AI158" s="442">
        <f t="shared" si="1014"/>
        <v>27127.90000000002</v>
      </c>
      <c r="AJ158" s="56"/>
      <c r="AM158" s="55">
        <f t="shared" si="1015"/>
        <v>46154</v>
      </c>
      <c r="AN158" s="422"/>
      <c r="AO158" s="444">
        <f>SUMPRODUCT(PRODUCE!$B165:$DY165,PRODUCE!$EB$11:$IY$11)</f>
        <v>0</v>
      </c>
      <c r="AP158" s="422"/>
      <c r="AQ158" s="444">
        <f t="shared" si="1016"/>
        <v>0</v>
      </c>
      <c r="AR158" s="444">
        <f t="shared" si="1017"/>
        <v>0</v>
      </c>
      <c r="AS158" s="56"/>
      <c r="AV158" s="55">
        <f t="shared" si="1018"/>
        <v>46154</v>
      </c>
      <c r="AW158" s="422"/>
      <c r="AX158" s="446">
        <f>SUMPRODUCT(PRODUCE!$B165:$DY165,PRODUCE!$EB$12:$IY$12)</f>
        <v>1395</v>
      </c>
      <c r="AY158" s="422">
        <v>1395.4</v>
      </c>
      <c r="AZ158" s="446">
        <f t="shared" si="1019"/>
        <v>-0.40000000000009095</v>
      </c>
      <c r="BA158" s="446">
        <f t="shared" si="1020"/>
        <v>35014.499999999993</v>
      </c>
      <c r="BB158" s="56"/>
      <c r="BE158" s="55">
        <f t="shared" si="1021"/>
        <v>46154</v>
      </c>
      <c r="BF158" s="422"/>
      <c r="BG158" s="448">
        <f>SUMPRODUCT(PRODUCE!$B165:$DY165,PRODUCE!$EB$13:$IY$13)</f>
        <v>2250</v>
      </c>
      <c r="BH158" s="422">
        <v>2251.6</v>
      </c>
      <c r="BI158" s="448">
        <f t="shared" si="1022"/>
        <v>-1.5999999999999091</v>
      </c>
      <c r="BJ158" s="448">
        <f t="shared" si="1023"/>
        <v>16961.699999999993</v>
      </c>
      <c r="BK158" s="56"/>
      <c r="BN158" s="55">
        <f t="shared" si="1024"/>
        <v>46154</v>
      </c>
      <c r="BO158" s="422">
        <v>2250</v>
      </c>
      <c r="BP158" s="450">
        <f>SUMPRODUCT(PRODUCE!$B165:$DY165,PRODUCE!$EB$14:$IY$14)</f>
        <v>2250</v>
      </c>
      <c r="BQ158" s="422">
        <v>2250</v>
      </c>
      <c r="BR158" s="450">
        <f t="shared" si="1025"/>
        <v>0</v>
      </c>
      <c r="BS158" s="450">
        <f t="shared" si="1026"/>
        <v>0</v>
      </c>
      <c r="BT158" s="56"/>
      <c r="BW158" s="55">
        <f t="shared" si="1027"/>
        <v>46154</v>
      </c>
      <c r="BX158" s="422"/>
      <c r="BY158" s="523">
        <f>SUMPRODUCT(PRODUCE!$B165:$DY165,PRODUCE!$EB$15:$IY$15)</f>
        <v>0</v>
      </c>
      <c r="BZ158" s="422">
        <f>55+27</f>
        <v>82</v>
      </c>
      <c r="CA158" s="523">
        <f t="shared" si="1028"/>
        <v>-82</v>
      </c>
      <c r="CB158" s="523">
        <f t="shared" si="1029"/>
        <v>5751.7999999999993</v>
      </c>
      <c r="CC158" s="56"/>
      <c r="CF158" s="55">
        <f t="shared" si="1030"/>
        <v>46154</v>
      </c>
      <c r="CG158" s="422">
        <v>204.12</v>
      </c>
      <c r="CH158" s="524">
        <f>SUMPRODUCT(PRODUCE!$B165:$DY165,PRODUCE!$EB$16:$IY$16)</f>
        <v>0</v>
      </c>
      <c r="CI158" s="422">
        <f>109.44+4.68+90</f>
        <v>204.12</v>
      </c>
      <c r="CJ158" s="524">
        <f t="shared" si="1031"/>
        <v>-204.12</v>
      </c>
      <c r="CK158" s="524">
        <f t="shared" si="1032"/>
        <v>0</v>
      </c>
      <c r="CL158" s="56"/>
      <c r="CO158" s="55">
        <f t="shared" si="1033"/>
        <v>46154</v>
      </c>
      <c r="CP158" s="422"/>
      <c r="CQ158" s="470">
        <f>SUMPRODUCT(PRODUCE!$B165:$DY165,PRODUCE!$EB$17:$IY$17)</f>
        <v>0</v>
      </c>
      <c r="CR158" s="422"/>
      <c r="CS158" s="470">
        <f t="shared" si="1034"/>
        <v>0</v>
      </c>
      <c r="CT158" s="470">
        <f t="shared" si="1035"/>
        <v>0</v>
      </c>
      <c r="CU158" s="56"/>
      <c r="CX158" s="55">
        <f t="shared" si="1036"/>
        <v>46154</v>
      </c>
      <c r="CY158" s="422"/>
      <c r="CZ158" s="525">
        <f>SUMPRODUCT(PRODUCE!$B165:$DY165,PRODUCE!$EB$18:$IY$18)</f>
        <v>0</v>
      </c>
      <c r="DA158" s="422"/>
      <c r="DB158" s="525">
        <f t="shared" si="1037"/>
        <v>0</v>
      </c>
      <c r="DC158" s="525">
        <f t="shared" si="1038"/>
        <v>21657.000000000004</v>
      </c>
      <c r="DD158" s="56"/>
      <c r="DG158" s="55">
        <f t="shared" si="1039"/>
        <v>46154</v>
      </c>
      <c r="DH158" s="422"/>
      <c r="DI158" s="526">
        <f>SUMPRODUCT(PRODUCE!$B165:$DY165,PRODUCE!$EB$19:$IY$19)</f>
        <v>0</v>
      </c>
      <c r="DJ158" s="422"/>
      <c r="DK158" s="526">
        <f t="shared" si="1040"/>
        <v>0</v>
      </c>
      <c r="DL158" s="526">
        <f t="shared" si="1041"/>
        <v>40437.999999999985</v>
      </c>
      <c r="DM158" s="56"/>
      <c r="DP158" s="55">
        <f t="shared" si="1042"/>
        <v>46154</v>
      </c>
      <c r="DQ158" s="422"/>
      <c r="DR158" s="423">
        <f>SUMPRODUCT(PRODUCE!$B165:$DY165,PRODUCE!$EB$20:$IY$20)</f>
        <v>0</v>
      </c>
      <c r="DS158" s="422"/>
      <c r="DT158" s="423">
        <f t="shared" si="1043"/>
        <v>0</v>
      </c>
      <c r="DU158" s="423">
        <f t="shared" si="1044"/>
        <v>5800</v>
      </c>
      <c r="DV158" s="56"/>
      <c r="DY158" s="55">
        <f t="shared" si="1045"/>
        <v>46154</v>
      </c>
      <c r="DZ158" s="56"/>
      <c r="EA158" s="157">
        <f>SUMPRODUCT(PRODUCE!$B165:$DY165,PRODUCE!$EB$21:$IY$21)</f>
        <v>0</v>
      </c>
      <c r="EB158" s="56"/>
      <c r="EC158" s="157">
        <f t="shared" si="1046"/>
        <v>0</v>
      </c>
      <c r="ED158" s="157">
        <f t="shared" si="1047"/>
        <v>0</v>
      </c>
      <c r="EE158" s="56"/>
      <c r="EH158" s="55">
        <f t="shared" si="1048"/>
        <v>46154</v>
      </c>
      <c r="EI158" s="56"/>
      <c r="EJ158" s="162">
        <f>SUMPRODUCT(PRODUCE!$B165:$DY165,PRODUCE!$EB$22:$IY$22)</f>
        <v>0</v>
      </c>
      <c r="EK158" s="56"/>
      <c r="EL158" s="162">
        <f t="shared" si="1049"/>
        <v>0</v>
      </c>
      <c r="EM158" s="162">
        <f t="shared" si="1050"/>
        <v>0</v>
      </c>
      <c r="EN158" s="56"/>
      <c r="EQ158" s="55">
        <f t="shared" si="1051"/>
        <v>46154</v>
      </c>
      <c r="ER158" s="56"/>
      <c r="ES158" s="135">
        <f>SUMPRODUCT(PRODUCE!$B165:$DY165,PRODUCE!$EB$23:$IY$23)</f>
        <v>0</v>
      </c>
      <c r="ET158" s="56"/>
      <c r="EU158" s="135">
        <f t="shared" si="1052"/>
        <v>0</v>
      </c>
      <c r="EV158" s="135">
        <f t="shared" si="1053"/>
        <v>0</v>
      </c>
      <c r="EW158" s="56"/>
      <c r="EZ158" s="55">
        <f t="shared" si="1054"/>
        <v>46154</v>
      </c>
      <c r="FA158" s="56"/>
      <c r="FB158" s="175">
        <f>SUMPRODUCT(PRODUCE!$B165:$DY165,PRODUCE!$EB$24:$IY$24)</f>
        <v>0</v>
      </c>
      <c r="FC158" s="56"/>
      <c r="FD158" s="175">
        <f t="shared" si="1055"/>
        <v>0</v>
      </c>
      <c r="FE158" s="175">
        <f t="shared" si="1056"/>
        <v>0</v>
      </c>
      <c r="FF158" s="56"/>
      <c r="FI158" s="55">
        <f t="shared" si="1057"/>
        <v>46154</v>
      </c>
      <c r="FJ158" s="56"/>
      <c r="FK158" s="183">
        <f>SUMPRODUCT(PRODUCE!$B165:$DY165,PRODUCE!$EB$25:$IY$25)</f>
        <v>0</v>
      </c>
      <c r="FL158" s="56"/>
      <c r="FM158" s="183">
        <f t="shared" si="1058"/>
        <v>0</v>
      </c>
      <c r="FN158" s="183">
        <f t="shared" si="1059"/>
        <v>0</v>
      </c>
      <c r="FO158" s="56"/>
      <c r="FR158" s="55">
        <f t="shared" si="1060"/>
        <v>46154</v>
      </c>
      <c r="FS158" s="56"/>
      <c r="FT158" s="186">
        <f>SUMPRODUCT(PRODUCE!$B165:$DY165,PRODUCE!$EB$26:$IY$26)</f>
        <v>0</v>
      </c>
      <c r="FU158" s="56"/>
      <c r="FV158" s="186">
        <f t="shared" si="1061"/>
        <v>0</v>
      </c>
      <c r="FW158" s="186">
        <f t="shared" si="1062"/>
        <v>2120</v>
      </c>
      <c r="FX158" s="56"/>
      <c r="GA158" s="55">
        <f t="shared" si="1063"/>
        <v>46154</v>
      </c>
      <c r="GB158" s="56"/>
      <c r="GC158" s="137">
        <f>SUMPRODUCT(PRODUCE!$B165:$DY165,PRODUCE!$EB$27:$IY$27)</f>
        <v>0</v>
      </c>
      <c r="GD158" s="56"/>
      <c r="GE158" s="137">
        <f t="shared" si="1064"/>
        <v>0</v>
      </c>
      <c r="GF158" s="137">
        <f t="shared" si="1065"/>
        <v>3640</v>
      </c>
      <c r="GG158" s="56"/>
      <c r="GI158" s="23"/>
      <c r="GJ158" s="55">
        <f t="shared" si="1066"/>
        <v>46154</v>
      </c>
      <c r="GK158" s="56"/>
      <c r="GL158" s="199">
        <f>SUMPRODUCT(PRODUCE!$B165:$DY165,PRODUCE!$EB$28:$IY$28)</f>
        <v>1800</v>
      </c>
      <c r="GM158" s="56"/>
      <c r="GN158" s="199">
        <f t="shared" si="1067"/>
        <v>1800</v>
      </c>
      <c r="GO158" s="199">
        <f t="shared" si="1068"/>
        <v>0</v>
      </c>
      <c r="GP158" s="56"/>
      <c r="GS158" s="55">
        <f t="shared" si="1069"/>
        <v>46154</v>
      </c>
      <c r="GT158" s="56"/>
      <c r="GU158" s="195">
        <f>SUMPRODUCT(PRODUCE!$B165:$DY165,PRODUCE!$EB$29:$IY$29)</f>
        <v>0</v>
      </c>
      <c r="GV158" s="56"/>
      <c r="GW158" s="195">
        <f t="shared" si="1070"/>
        <v>0</v>
      </c>
      <c r="GX158" s="195">
        <f t="shared" si="1071"/>
        <v>0</v>
      </c>
      <c r="GY158" s="56"/>
      <c r="HB158" s="55">
        <f t="shared" si="1072"/>
        <v>46154</v>
      </c>
      <c r="HC158" s="56"/>
      <c r="HD158" s="191">
        <f>SUMPRODUCT(PRODUCE!$B165:$DY165,PRODUCE!$EB$30:$IY$30)</f>
        <v>0</v>
      </c>
      <c r="HE158" s="56"/>
      <c r="HF158" s="191">
        <f t="shared" si="1073"/>
        <v>0</v>
      </c>
      <c r="HG158" s="191">
        <f t="shared" si="1074"/>
        <v>0</v>
      </c>
      <c r="HH158" s="56"/>
      <c r="HK158" s="55">
        <f t="shared" si="1075"/>
        <v>46154</v>
      </c>
      <c r="HL158" s="56"/>
      <c r="HM158" s="63">
        <f>SUMPRODUCT(PRODUCE!$B165:$DY165,PRODUCE!$EB$31:$IY$31)</f>
        <v>0</v>
      </c>
      <c r="HN158" s="56"/>
      <c r="HO158" s="63">
        <f t="shared" si="1076"/>
        <v>0</v>
      </c>
      <c r="HP158" s="63">
        <f t="shared" si="1077"/>
        <v>0</v>
      </c>
      <c r="HQ158" s="56"/>
      <c r="HU158" s="55">
        <f t="shared" si="1078"/>
        <v>46154</v>
      </c>
      <c r="HV158" s="56"/>
      <c r="HW158" s="242">
        <f>SUMPRODUCT(PRODUCE!$B165:$DY165,PRODUCE!$EB$32:$IY$32)</f>
        <v>0</v>
      </c>
      <c r="HX158" s="56">
        <f>44*20</f>
        <v>880</v>
      </c>
      <c r="HY158" s="242">
        <f t="shared" si="1079"/>
        <v>-880</v>
      </c>
      <c r="HZ158" s="242">
        <f t="shared" si="1080"/>
        <v>5280</v>
      </c>
      <c r="IA158" s="56">
        <f>HX158/20</f>
        <v>44</v>
      </c>
      <c r="ID158" s="55">
        <f t="shared" si="1081"/>
        <v>46154</v>
      </c>
      <c r="IE158" s="56">
        <v>180</v>
      </c>
      <c r="IF158" s="242">
        <f>SUMPRODUCT(PRODUCE!$B165:$DY165,PRODUCE!$EB$33:$IY$33)</f>
        <v>0</v>
      </c>
      <c r="IG158" s="56"/>
      <c r="IH158" s="242">
        <f t="shared" si="1082"/>
        <v>0</v>
      </c>
      <c r="II158" s="242">
        <f t="shared" si="1083"/>
        <v>720</v>
      </c>
      <c r="IJ158" s="56"/>
      <c r="IM158" s="55">
        <f t="shared" si="1084"/>
        <v>46154</v>
      </c>
      <c r="IN158" s="56"/>
      <c r="IO158" s="242">
        <f>SUMPRODUCT(PRODUCE!$B165:$DY165,PRODUCE!$EB$34:$IY$34)</f>
        <v>0</v>
      </c>
      <c r="IP158" s="56"/>
      <c r="IQ158" s="242">
        <f t="shared" si="1085"/>
        <v>0</v>
      </c>
      <c r="IR158" s="242">
        <f t="shared" si="1086"/>
        <v>11540</v>
      </c>
      <c r="IS158" s="56"/>
      <c r="IV158" s="55">
        <f t="shared" si="1087"/>
        <v>46154</v>
      </c>
      <c r="IW158" s="56"/>
      <c r="IX158" s="242">
        <f>SUMPRODUCT(PRODUCE!$B165:$DY165,PRODUCE!$EB$35:$IY$35)</f>
        <v>0</v>
      </c>
      <c r="IY158" s="56">
        <v>2260</v>
      </c>
      <c r="IZ158" s="242">
        <f t="shared" si="1088"/>
        <v>-2260</v>
      </c>
      <c r="JA158" s="242">
        <f t="shared" si="1089"/>
        <v>12860</v>
      </c>
      <c r="JB158" s="56"/>
      <c r="JE158" s="55">
        <f t="shared" si="1090"/>
        <v>46154</v>
      </c>
      <c r="JF158" s="56"/>
      <c r="JG158" s="242">
        <f>SUMPRODUCT(PRODUCE!$B165:$DY165,PRODUCE!$EB$36:$IY$36)</f>
        <v>0</v>
      </c>
      <c r="JH158" s="56"/>
      <c r="JI158" s="242">
        <f t="shared" si="1091"/>
        <v>0</v>
      </c>
      <c r="JJ158" s="242">
        <f t="shared" si="1092"/>
        <v>0</v>
      </c>
      <c r="JK158" s="56"/>
      <c r="JN158" s="55">
        <f t="shared" si="1093"/>
        <v>46154</v>
      </c>
      <c r="JO158" s="56"/>
      <c r="JP158" s="242">
        <f>SUMPRODUCT(PRODUCE!$B165:$DY165,PRODUCE!$EB$37:$IY$37)</f>
        <v>0</v>
      </c>
      <c r="JQ158" s="56"/>
      <c r="JR158" s="242">
        <f t="shared" si="1094"/>
        <v>0</v>
      </c>
      <c r="JS158" s="242">
        <f t="shared" si="1095"/>
        <v>6700</v>
      </c>
      <c r="JT158" s="56"/>
      <c r="JW158" s="55">
        <f t="shared" si="1096"/>
        <v>46154</v>
      </c>
      <c r="JX158" s="56"/>
      <c r="JY158" s="242">
        <f>SUMPRODUCT(PRODUCE!$B165:$DY165,PRODUCE!$EB$38:$IY$38)</f>
        <v>0</v>
      </c>
      <c r="JZ158" s="56"/>
      <c r="KA158" s="242">
        <f t="shared" si="1097"/>
        <v>0</v>
      </c>
      <c r="KB158" s="242">
        <f t="shared" si="1098"/>
        <v>2540</v>
      </c>
      <c r="KC158" s="56"/>
      <c r="KF158" s="55">
        <f t="shared" si="1099"/>
        <v>46154</v>
      </c>
      <c r="KG158" s="56"/>
      <c r="KH158" s="242">
        <f>SUMPRODUCT(PRODUCE!$B165:$DY165,PRODUCE!$EB$39:$IY$39)</f>
        <v>0</v>
      </c>
      <c r="KI158" s="56"/>
      <c r="KJ158" s="242">
        <f t="shared" si="1100"/>
        <v>0</v>
      </c>
      <c r="KK158" s="242">
        <f t="shared" si="1101"/>
        <v>2359.5</v>
      </c>
      <c r="KL158" s="56"/>
      <c r="KO158" s="55">
        <f t="shared" si="1102"/>
        <v>46154</v>
      </c>
      <c r="KP158" s="56"/>
      <c r="KQ158" s="242">
        <f>SUMPRODUCT(PRODUCE!$B165:$DY165,PRODUCE!$EB$40:$IY$40)</f>
        <v>0</v>
      </c>
      <c r="KR158" s="56">
        <f>10*18.9</f>
        <v>189</v>
      </c>
      <c r="KS158" s="242">
        <f t="shared" si="1103"/>
        <v>-189</v>
      </c>
      <c r="KT158" s="242">
        <f t="shared" si="1104"/>
        <v>1890</v>
      </c>
      <c r="KU158" s="56"/>
      <c r="KW158" s="23"/>
      <c r="KX158" s="55">
        <f t="shared" si="1105"/>
        <v>46154</v>
      </c>
      <c r="KY158" s="56"/>
      <c r="KZ158" s="242">
        <f>SUMPRODUCT(PRODUCE!$B165:$DY165,PRODUCE!$EB$41:$IY$41)</f>
        <v>0</v>
      </c>
      <c r="LA158" s="56"/>
      <c r="LB158" s="242">
        <f t="shared" si="1106"/>
        <v>0</v>
      </c>
      <c r="LC158" s="242">
        <f t="shared" si="1107"/>
        <v>3690</v>
      </c>
      <c r="LD158" s="56"/>
      <c r="LG158" s="55">
        <f t="shared" si="1108"/>
        <v>46154</v>
      </c>
      <c r="LH158" s="56"/>
      <c r="LI158" s="242">
        <f>SUMPRODUCT(PRODUCE!$B165:$DY165,PRODUCE!$EB$42:$IY$42)</f>
        <v>0</v>
      </c>
      <c r="LJ158" s="56"/>
      <c r="LK158" s="242">
        <f t="shared" si="1109"/>
        <v>0</v>
      </c>
      <c r="LL158" s="242">
        <f t="shared" si="1110"/>
        <v>4000</v>
      </c>
      <c r="LM158" s="56"/>
      <c r="LP158" s="55">
        <f t="shared" si="1111"/>
        <v>46154</v>
      </c>
      <c r="LQ158" s="56"/>
      <c r="LR158" s="242">
        <f>SUMPRODUCT(PRODUCE!$B173:$DY173,PRODUCE!$EB$43:$IY$43)</f>
        <v>0</v>
      </c>
      <c r="LS158" s="56"/>
      <c r="LT158" s="242">
        <f t="shared" si="1112"/>
        <v>0</v>
      </c>
      <c r="LU158" s="242">
        <f t="shared" si="1113"/>
        <v>0</v>
      </c>
      <c r="LV158" s="56"/>
      <c r="LY158" s="55">
        <f t="shared" si="1114"/>
        <v>46154</v>
      </c>
      <c r="LZ158" s="56"/>
      <c r="MA158" s="242">
        <f>SUMPRODUCT(PRODUCE!$B165:$DY165,PRODUCE!$EB$44:$IY$44)</f>
        <v>0</v>
      </c>
      <c r="MB158" s="56"/>
      <c r="MC158" s="242">
        <f t="shared" si="1115"/>
        <v>0</v>
      </c>
      <c r="MD158" s="242">
        <f t="shared" si="1116"/>
        <v>0</v>
      </c>
      <c r="ME158" s="56"/>
      <c r="MH158" s="55">
        <f t="shared" si="1117"/>
        <v>46154</v>
      </c>
      <c r="MI158" s="56"/>
      <c r="MJ158" s="242">
        <f>SUMPRODUCT(PRODUCE!$B165:$DY165,PRODUCE!$EB$45:$IY$45)</f>
        <v>0</v>
      </c>
      <c r="MK158" s="56"/>
      <c r="ML158" s="242">
        <f t="shared" si="1118"/>
        <v>0</v>
      </c>
      <c r="MM158" s="242">
        <f t="shared" si="1119"/>
        <v>0</v>
      </c>
      <c r="MN158" s="56"/>
      <c r="MQ158" s="55">
        <f t="shared" si="1120"/>
        <v>46154</v>
      </c>
      <c r="MR158" s="56"/>
      <c r="MS158" s="242">
        <f>SUMPRODUCT(PRODUCE!$B165:$DY165,PRODUCE!$EB$46:$IY$46)</f>
        <v>45</v>
      </c>
      <c r="MT158" s="56">
        <v>9</v>
      </c>
      <c r="MU158" s="242">
        <f t="shared" si="1121"/>
        <v>36</v>
      </c>
      <c r="MV158" s="242">
        <f t="shared" si="1122"/>
        <v>3837</v>
      </c>
      <c r="MW158" s="56"/>
      <c r="MZ158" s="55">
        <f t="shared" si="1123"/>
        <v>46154</v>
      </c>
      <c r="NA158" s="56">
        <f>54+30</f>
        <v>84</v>
      </c>
      <c r="NB158" s="242">
        <f>SUMPRODUCT(PRODUCE!$B165:$DY165,PRODUCE!$EB$47:$IY$47)</f>
        <v>0</v>
      </c>
      <c r="NC158" s="56">
        <f>54+30</f>
        <v>84</v>
      </c>
      <c r="ND158" s="242">
        <f t="shared" si="1124"/>
        <v>-84</v>
      </c>
      <c r="NE158" s="242">
        <f t="shared" si="1125"/>
        <v>0</v>
      </c>
      <c r="NF158" s="56"/>
      <c r="NI158" s="55">
        <f t="shared" si="1126"/>
        <v>46154</v>
      </c>
      <c r="NJ158" s="56"/>
      <c r="NK158" s="242">
        <f>SUMPRODUCT(PRODUCE!$B165:$DY165,PRODUCE!$EB$48:$IY$48)</f>
        <v>0</v>
      </c>
      <c r="NL158" s="56">
        <v>10</v>
      </c>
      <c r="NM158" s="242">
        <f t="shared" si="1127"/>
        <v>-10</v>
      </c>
      <c r="NN158" s="242">
        <f t="shared" si="1128"/>
        <v>1127</v>
      </c>
      <c r="NO158" s="56"/>
      <c r="NR158" s="55">
        <f t="shared" si="1129"/>
        <v>46154</v>
      </c>
      <c r="NS158" s="56"/>
      <c r="NT158" s="242">
        <f>SUMPRODUCT(PRODUCE!$B165:$DY165,PRODUCE!$EB$49:$IY$49)</f>
        <v>0</v>
      </c>
      <c r="NU158" s="56">
        <v>12</v>
      </c>
      <c r="NV158" s="242">
        <f t="shared" si="1130"/>
        <v>-12</v>
      </c>
      <c r="NW158" s="242">
        <f t="shared" si="1131"/>
        <v>3110.8999999999996</v>
      </c>
      <c r="NX158" s="56"/>
      <c r="OA158" s="55">
        <f t="shared" si="1132"/>
        <v>46154</v>
      </c>
      <c r="OB158" s="56"/>
      <c r="OC158" s="242">
        <f>SUMPRODUCT(PRODUCE!$B165:$DY165,PRODUCE!$EB$50:$IY$50)</f>
        <v>0</v>
      </c>
      <c r="OD158" s="56"/>
      <c r="OE158" s="242">
        <f t="shared" si="1133"/>
        <v>0</v>
      </c>
      <c r="OF158" s="242">
        <f t="shared" si="1134"/>
        <v>1680.5</v>
      </c>
      <c r="OG158" s="56"/>
      <c r="OJ158" s="55">
        <f t="shared" si="1135"/>
        <v>46154</v>
      </c>
      <c r="OK158" s="56">
        <v>28</v>
      </c>
      <c r="OL158" s="242">
        <f>SUMPRODUCT(PRODUCE!$B165:$DY165,PRODUCE!$EB$51:$IY$51)</f>
        <v>0</v>
      </c>
      <c r="OM158" s="56">
        <v>28</v>
      </c>
      <c r="ON158" s="242">
        <f t="shared" si="1136"/>
        <v>-28</v>
      </c>
      <c r="OO158" s="242">
        <f t="shared" si="1137"/>
        <v>0</v>
      </c>
      <c r="OP158" s="56"/>
      <c r="OS158" s="55">
        <f t="shared" si="1138"/>
        <v>46154</v>
      </c>
      <c r="OT158" s="56"/>
      <c r="OU158" s="242">
        <f>SUMPRODUCT(PRODUCE!$B165:$DY165,PRODUCE!$EB$52:$IY$52)</f>
        <v>0</v>
      </c>
      <c r="OV158" s="56"/>
      <c r="OW158" s="242">
        <f t="shared" si="1139"/>
        <v>0</v>
      </c>
      <c r="OX158" s="242">
        <f t="shared" si="1140"/>
        <v>982</v>
      </c>
      <c r="OY158" s="56"/>
      <c r="PB158" s="55">
        <f t="shared" si="1141"/>
        <v>46154</v>
      </c>
      <c r="PC158" s="56"/>
      <c r="PD158" s="242">
        <f>SUMPRODUCT(PRODUCE!$B165:$DY165,PRODUCE!$EB$53:$IY$53)</f>
        <v>0</v>
      </c>
      <c r="PE158" s="56"/>
      <c r="PF158" s="242">
        <f t="shared" si="1142"/>
        <v>0</v>
      </c>
      <c r="PG158" s="242">
        <f t="shared" si="1143"/>
        <v>0</v>
      </c>
      <c r="PH158" s="56"/>
      <c r="PK158" s="55">
        <f t="shared" si="1144"/>
        <v>46154</v>
      </c>
      <c r="PL158" s="56"/>
      <c r="PM158" s="242">
        <f>SUMPRODUCT(PRODUCE!$B165:$DY165,PRODUCE!$EB$54:$IY$54)</f>
        <v>0</v>
      </c>
      <c r="PN158" s="56"/>
      <c r="PO158" s="242">
        <f t="shared" si="1145"/>
        <v>0</v>
      </c>
      <c r="PP158" s="242">
        <f t="shared" si="1146"/>
        <v>100</v>
      </c>
      <c r="PQ158" s="56"/>
      <c r="PT158" s="55">
        <f t="shared" si="1147"/>
        <v>46154</v>
      </c>
      <c r="PU158" s="56"/>
      <c r="PV158" s="242">
        <f>SUMPRODUCT(PRODUCE!$B165:$DY165,PRODUCE!$EB$55:$IY$55)</f>
        <v>0</v>
      </c>
      <c r="PW158" s="56"/>
      <c r="PX158" s="242">
        <f t="shared" si="1148"/>
        <v>0</v>
      </c>
      <c r="PY158" s="242">
        <f t="shared" si="1149"/>
        <v>13.960000000000036</v>
      </c>
      <c r="PZ158" s="56"/>
      <c r="QC158" s="55">
        <f t="shared" si="1150"/>
        <v>46154</v>
      </c>
      <c r="QD158" s="56">
        <v>408</v>
      </c>
      <c r="QE158" s="242">
        <f>SUMPRODUCT(PRODUCE!$B165:$DY165,PRODUCE!$EB$56:$IY$56)</f>
        <v>0</v>
      </c>
      <c r="QF158" s="56"/>
      <c r="QG158" s="242">
        <f t="shared" si="1151"/>
        <v>0</v>
      </c>
      <c r="QH158" s="242">
        <f t="shared" si="1152"/>
        <v>876</v>
      </c>
      <c r="QI158" s="56"/>
      <c r="QL158" s="55">
        <f t="shared" si="1153"/>
        <v>46154</v>
      </c>
      <c r="QM158" s="56">
        <f>500+240</f>
        <v>740</v>
      </c>
      <c r="QN158" s="242">
        <f>SUMPRODUCT(PRODUCE!$B165:$DY165,PRODUCE!$EB$57:$IY$57)</f>
        <v>0</v>
      </c>
      <c r="QO158" s="56">
        <v>75</v>
      </c>
      <c r="QP158" s="242">
        <f t="shared" si="1154"/>
        <v>-75</v>
      </c>
      <c r="QQ158" s="242">
        <f t="shared" si="1155"/>
        <v>665</v>
      </c>
      <c r="QR158" s="56"/>
      <c r="QU158" s="55">
        <f t="shared" si="1156"/>
        <v>46154</v>
      </c>
      <c r="QV158" s="56"/>
      <c r="QW158" s="242">
        <f>SUMPRODUCT(PRODUCE!$B165:$DY165,PRODUCE!$EB$58:$IY$58)</f>
        <v>0</v>
      </c>
      <c r="QX158" s="56"/>
      <c r="QY158" s="242">
        <f t="shared" si="1157"/>
        <v>0</v>
      </c>
      <c r="QZ158" s="242">
        <f t="shared" si="1158"/>
        <v>207.6</v>
      </c>
      <c r="RA158" s="56"/>
      <c r="RD158" s="55">
        <f t="shared" si="1159"/>
        <v>46154</v>
      </c>
      <c r="RE158" s="56"/>
      <c r="RF158" s="242">
        <f>SUMPRODUCT(PRODUCE!$B165:$DY165,PRODUCE!$EB$59:$IY$59)</f>
        <v>0</v>
      </c>
      <c r="RG158" s="56"/>
      <c r="RH158" s="242">
        <f t="shared" si="1160"/>
        <v>0</v>
      </c>
      <c r="RI158" s="242">
        <f t="shared" si="1161"/>
        <v>147.04000000000002</v>
      </c>
      <c r="RJ158" s="56"/>
      <c r="RM158" s="55">
        <f t="shared" si="1162"/>
        <v>46154</v>
      </c>
      <c r="RN158" s="56"/>
      <c r="RO158" s="242">
        <f>SUMPRODUCT(PRODUCE!$B165:$DY165,PRODUCE!$EB$60:$IY$60)</f>
        <v>0</v>
      </c>
      <c r="RP158" s="56"/>
      <c r="RQ158" s="242">
        <f t="shared" si="1163"/>
        <v>0</v>
      </c>
      <c r="RR158" s="242">
        <f t="shared" si="1164"/>
        <v>46.8</v>
      </c>
      <c r="RS158" s="56"/>
      <c r="RV158" s="55">
        <f t="shared" si="1165"/>
        <v>46154</v>
      </c>
      <c r="RW158" s="56"/>
      <c r="RX158" s="242">
        <f>SUMPRODUCT(PRODUCE!$B165:$DY165,PRODUCE!$EB$61:$IY$61)</f>
        <v>0</v>
      </c>
      <c r="RY158" s="56"/>
      <c r="RZ158" s="242">
        <f t="shared" si="1166"/>
        <v>0</v>
      </c>
      <c r="SA158" s="242">
        <f t="shared" si="1167"/>
        <v>0</v>
      </c>
      <c r="SB158" s="56"/>
      <c r="SE158" s="55">
        <f t="shared" si="1168"/>
        <v>46154</v>
      </c>
      <c r="SF158" s="56"/>
      <c r="SG158" s="242">
        <f>SUMPRODUCT(PRODUCE!$B165:$DY165,PRODUCE!$EB$62:$IY$62)</f>
        <v>0</v>
      </c>
      <c r="SH158" s="56"/>
      <c r="SI158" s="242">
        <f t="shared" si="1169"/>
        <v>0</v>
      </c>
      <c r="SJ158" s="242">
        <f t="shared" si="1170"/>
        <v>24.200000000000003</v>
      </c>
      <c r="SK158" s="56"/>
      <c r="SN158" s="55">
        <f t="shared" si="1171"/>
        <v>46154</v>
      </c>
      <c r="SO158" s="56"/>
      <c r="SP158" s="242">
        <f>SUMPRODUCT(PRODUCE!$B165:$DY165,PRODUCE!$EB$63:$IY$63)</f>
        <v>0</v>
      </c>
      <c r="SQ158" s="56"/>
      <c r="SR158" s="242">
        <f t="shared" si="1172"/>
        <v>0</v>
      </c>
      <c r="SS158" s="242">
        <f t="shared" si="1173"/>
        <v>32</v>
      </c>
      <c r="ST158" s="56"/>
      <c r="SW158" s="55">
        <f t="shared" si="1174"/>
        <v>46154</v>
      </c>
      <c r="SX158" s="56"/>
      <c r="SY158" s="242">
        <f>SUMPRODUCT(PRODUCE!$B165:$DY165,PRODUCE!$EB$64:$IY$64)</f>
        <v>0</v>
      </c>
      <c r="SZ158" s="56"/>
      <c r="TA158" s="242">
        <f t="shared" si="1175"/>
        <v>0</v>
      </c>
      <c r="TB158" s="242">
        <f t="shared" si="1176"/>
        <v>0</v>
      </c>
      <c r="TC158" s="56"/>
      <c r="TF158" s="55">
        <f t="shared" si="1177"/>
        <v>46154</v>
      </c>
      <c r="TG158" s="56"/>
      <c r="TH158" s="242">
        <f>SUMPRODUCT(PRODUCE!$B165:$DY165,PRODUCE!$EB$65:$IY$65)</f>
        <v>0</v>
      </c>
      <c r="TI158" s="56"/>
      <c r="TJ158" s="242">
        <f t="shared" si="1178"/>
        <v>0</v>
      </c>
      <c r="TK158" s="242">
        <f t="shared" si="1179"/>
        <v>0</v>
      </c>
      <c r="TL158" s="56"/>
      <c r="TO158" s="55">
        <f t="shared" si="1180"/>
        <v>46154</v>
      </c>
      <c r="TP158" s="56"/>
      <c r="TQ158" s="242">
        <f>SUMPRODUCT(PRODUCE!$B165:$DY165,PRODUCE!$EB$66:$IY$66)</f>
        <v>0</v>
      </c>
      <c r="TR158" s="56"/>
      <c r="TS158" s="242">
        <f t="shared" si="1181"/>
        <v>0</v>
      </c>
      <c r="TT158" s="242">
        <f t="shared" si="1182"/>
        <v>0</v>
      </c>
      <c r="TU158" s="56"/>
      <c r="TX158" s="55">
        <f t="shared" si="1183"/>
        <v>46154</v>
      </c>
      <c r="TY158" s="56"/>
      <c r="TZ158" s="242">
        <f>SUMPRODUCT(PRODUCE!$B165:$DY165,PRODUCE!$EB$67:$IY$67)</f>
        <v>0</v>
      </c>
      <c r="UA158" s="56"/>
      <c r="UB158" s="242">
        <f t="shared" si="1184"/>
        <v>0</v>
      </c>
      <c r="UC158" s="242">
        <f t="shared" si="1185"/>
        <v>0</v>
      </c>
      <c r="UD158" s="56"/>
      <c r="UG158" s="55">
        <f t="shared" si="1186"/>
        <v>46154</v>
      </c>
      <c r="UH158" s="56"/>
      <c r="UI158" s="242">
        <f>SUMPRODUCT(PRODUCE!$B165:$DY165,PRODUCE!$EB$68:$IY$68)</f>
        <v>0</v>
      </c>
      <c r="UJ158" s="56"/>
      <c r="UK158" s="242">
        <f t="shared" si="1187"/>
        <v>0</v>
      </c>
      <c r="UL158" s="242">
        <f t="shared" si="1188"/>
        <v>0</v>
      </c>
      <c r="UM158" s="56"/>
      <c r="UP158" s="55">
        <f t="shared" si="1189"/>
        <v>46154</v>
      </c>
      <c r="UQ158" s="56"/>
      <c r="UR158" s="242">
        <f>SUMPRODUCT(PRODUCE!$B165:$DY165,PRODUCE!$EB$69:$IY$69)</f>
        <v>0</v>
      </c>
      <c r="US158" s="56"/>
      <c r="UT158" s="242">
        <f t="shared" si="1190"/>
        <v>0</v>
      </c>
      <c r="UU158" s="242">
        <f t="shared" si="1191"/>
        <v>0</v>
      </c>
      <c r="UV158" s="56"/>
      <c r="UY158" s="55">
        <f t="shared" si="1192"/>
        <v>46154</v>
      </c>
      <c r="UZ158" s="56"/>
      <c r="VA158" s="242">
        <f>SUMPRODUCT(PRODUCE!$B165:$DY165,PRODUCE!$EB$70:$IY$70)</f>
        <v>0</v>
      </c>
      <c r="VB158" s="56"/>
      <c r="VC158" s="242">
        <f t="shared" si="1193"/>
        <v>0</v>
      </c>
      <c r="VD158" s="242">
        <f t="shared" si="1194"/>
        <v>41.600000000000023</v>
      </c>
      <c r="VE158" s="56"/>
      <c r="VH158" s="55">
        <f t="shared" si="1195"/>
        <v>46154</v>
      </c>
      <c r="VI158" s="56"/>
      <c r="VJ158" s="242">
        <f>SUMPRODUCT(PRODUCE!$B165:$DY165,PRODUCE!$EB$71:$IY$71)</f>
        <v>0</v>
      </c>
      <c r="VK158" s="56"/>
      <c r="VL158" s="242">
        <f t="shared" si="1196"/>
        <v>0</v>
      </c>
      <c r="VM158" s="242">
        <f t="shared" si="1197"/>
        <v>0</v>
      </c>
      <c r="VN158" s="56"/>
      <c r="VQ158" s="55">
        <f t="shared" si="1198"/>
        <v>46154</v>
      </c>
      <c r="VR158" s="56"/>
      <c r="VS158" s="242">
        <f>SUMPRODUCT(PRODUCE!$B165:$DY165,PRODUCE!$EB$57:$IY$57)</f>
        <v>0</v>
      </c>
      <c r="VT158" s="56"/>
      <c r="VU158" s="242">
        <f t="shared" si="1199"/>
        <v>0</v>
      </c>
      <c r="VV158" s="242">
        <f t="shared" si="1200"/>
        <v>0</v>
      </c>
      <c r="VW158" s="56"/>
      <c r="VZ158" s="55">
        <f t="shared" si="1201"/>
        <v>46154</v>
      </c>
      <c r="WA158" s="56"/>
      <c r="WB158" s="242">
        <f>SUMPRODUCT(PRODUCE!$B165:$DY165,PRODUCE!$EB$57:$IY$57)</f>
        <v>0</v>
      </c>
      <c r="WC158" s="56"/>
      <c r="WD158" s="242">
        <f t="shared" si="1202"/>
        <v>0</v>
      </c>
      <c r="WE158" s="242">
        <f t="shared" si="1203"/>
        <v>0</v>
      </c>
      <c r="WF158" s="56"/>
      <c r="WI158" s="55">
        <f t="shared" si="1204"/>
        <v>46154</v>
      </c>
      <c r="WJ158" s="422"/>
      <c r="WK158" s="540">
        <f>SUMPRODUCT(PRODUCE!$B165:$DY165,PRODUCE!$EB$74:$IY$74)</f>
        <v>0</v>
      </c>
      <c r="WL158" s="422"/>
      <c r="WM158" s="540">
        <f t="shared" si="1205"/>
        <v>0</v>
      </c>
      <c r="WN158" s="540">
        <f t="shared" si="1206"/>
        <v>2317</v>
      </c>
      <c r="WO158" s="56"/>
      <c r="WR158" s="55">
        <f t="shared" si="1207"/>
        <v>46154</v>
      </c>
      <c r="WS158" s="422"/>
      <c r="WT158" s="540">
        <f>SUMPRODUCT(PRODUCE!$B165:$DY165,PRODUCE!$EB$75:$IY$75)</f>
        <v>0</v>
      </c>
      <c r="WU158" s="422"/>
      <c r="WV158" s="540">
        <f t="shared" si="1208"/>
        <v>0</v>
      </c>
      <c r="WW158" s="540">
        <f t="shared" si="1209"/>
        <v>776</v>
      </c>
      <c r="WX158" s="56"/>
      <c r="XA158" s="55">
        <f t="shared" si="1210"/>
        <v>46154</v>
      </c>
      <c r="XB158" s="422"/>
      <c r="XC158" s="540">
        <f>SUMPRODUCT(PRODUCE!$B165:$DY165,PRODUCE!$EB$76:$IY$76)</f>
        <v>0</v>
      </c>
      <c r="XD158" s="422">
        <v>1826</v>
      </c>
      <c r="XE158" s="540">
        <f t="shared" si="1211"/>
        <v>-1826</v>
      </c>
      <c r="XF158" s="540">
        <f t="shared" si="1212"/>
        <v>10627</v>
      </c>
      <c r="XG158" s="56"/>
      <c r="XJ158" s="55">
        <f t="shared" si="1213"/>
        <v>46154</v>
      </c>
      <c r="XK158" s="422"/>
      <c r="XL158" s="540">
        <f>SUMPRODUCT(PRODUCE!$B165:$DY165,PRODUCE!$EB$77:$IY$77)</f>
        <v>0</v>
      </c>
      <c r="XM158" s="422"/>
      <c r="XN158" s="540">
        <f t="shared" si="1214"/>
        <v>0</v>
      </c>
      <c r="XO158" s="540">
        <f t="shared" si="1215"/>
        <v>1289</v>
      </c>
      <c r="XP158" s="56"/>
      <c r="XS158" s="55">
        <f t="shared" si="1216"/>
        <v>46154</v>
      </c>
      <c r="XT158" s="56"/>
      <c r="XU158" s="242">
        <f>SUMPRODUCT(PRODUCE!$B165:$DY165,PRODUCE!$EB$78:$IY$78)</f>
        <v>0</v>
      </c>
      <c r="XV158" s="56"/>
      <c r="XW158" s="242">
        <f t="shared" si="1217"/>
        <v>0</v>
      </c>
      <c r="XX158" s="242">
        <f t="shared" si="1218"/>
        <v>1901</v>
      </c>
      <c r="XY158" s="56"/>
      <c r="YB158" s="55">
        <f t="shared" si="1219"/>
        <v>46154</v>
      </c>
      <c r="YC158" s="56"/>
      <c r="YD158" s="242">
        <f>SUMPRODUCT(PRODUCE!$B165:$DY165,PRODUCE!$EB$79:$IY$79)</f>
        <v>0</v>
      </c>
      <c r="YE158" s="56"/>
      <c r="YF158" s="242">
        <f t="shared" si="1220"/>
        <v>0</v>
      </c>
      <c r="YG158" s="242">
        <f t="shared" si="1221"/>
        <v>6459</v>
      </c>
      <c r="YH158" s="56"/>
      <c r="YK158" s="55">
        <f t="shared" si="1222"/>
        <v>46154</v>
      </c>
      <c r="YL158" s="56"/>
      <c r="YM158" s="242">
        <f>SUMPRODUCT(PRODUCE!$B165:$DY165,PRODUCE!$EB$80:$IY$80)</f>
        <v>0</v>
      </c>
      <c r="YN158" s="56"/>
      <c r="YO158" s="242">
        <f t="shared" si="1223"/>
        <v>0</v>
      </c>
      <c r="YP158" s="242">
        <f t="shared" si="1224"/>
        <v>0</v>
      </c>
      <c r="YQ158" s="56"/>
      <c r="YT158" s="55">
        <f t="shared" si="1225"/>
        <v>46154</v>
      </c>
      <c r="YU158" s="56"/>
      <c r="YV158" s="242">
        <f>SUMPRODUCT(PRODUCE!$B165:$DY165,PRODUCE!$EB$57:$IY$57)</f>
        <v>0</v>
      </c>
      <c r="YW158" s="56"/>
      <c r="YX158" s="242">
        <f t="shared" si="1226"/>
        <v>0</v>
      </c>
      <c r="YY158" s="242">
        <f t="shared" si="1227"/>
        <v>0</v>
      </c>
      <c r="YZ158" s="56"/>
      <c r="ZC158" s="55">
        <f t="shared" si="1228"/>
        <v>46154</v>
      </c>
      <c r="ZD158" s="56"/>
      <c r="ZE158" s="242">
        <f>SUMPRODUCT(PRODUCE!$B165:$DY165,PRODUCE!$EB$57:$IY$57)</f>
        <v>0</v>
      </c>
      <c r="ZF158" s="56"/>
      <c r="ZG158" s="242">
        <f t="shared" si="1229"/>
        <v>0</v>
      </c>
      <c r="ZH158" s="242">
        <f t="shared" si="1230"/>
        <v>0</v>
      </c>
      <c r="ZI158" s="56"/>
      <c r="ZL158" s="55">
        <f t="shared" si="1231"/>
        <v>46154</v>
      </c>
      <c r="ZM158" s="56"/>
      <c r="ZN158" s="242">
        <f>SUMPRODUCT(PRODUCE!$B165:$DY165,PRODUCE!$EB$57:$IY$57)</f>
        <v>0</v>
      </c>
      <c r="ZO158" s="56"/>
      <c r="ZP158" s="242">
        <f t="shared" si="1232"/>
        <v>0</v>
      </c>
      <c r="ZQ158" s="242">
        <f t="shared" si="1233"/>
        <v>0</v>
      </c>
      <c r="ZR158" s="56"/>
      <c r="ZU158" s="55">
        <f t="shared" si="1234"/>
        <v>46154</v>
      </c>
      <c r="ZV158" s="56"/>
      <c r="ZW158" s="242">
        <f>SUMPRODUCT(PRODUCE!$B165:$DY165,PRODUCE!$EB$57:$IY$57)</f>
        <v>0</v>
      </c>
      <c r="ZX158" s="56"/>
      <c r="ZY158" s="242">
        <f t="shared" si="1235"/>
        <v>0</v>
      </c>
      <c r="ZZ158" s="242">
        <f t="shared" si="1236"/>
        <v>0</v>
      </c>
      <c r="AAA158" s="56"/>
      <c r="AAD158" s="55">
        <f t="shared" si="1237"/>
        <v>46154</v>
      </c>
      <c r="AAE158" s="56"/>
      <c r="AAF158" s="242">
        <f>SUMPRODUCT(PRODUCE!$B165:$DY165,PRODUCE!$EB$57:$IY$57)</f>
        <v>0</v>
      </c>
      <c r="AAG158" s="56"/>
      <c r="AAH158" s="242">
        <f t="shared" si="1238"/>
        <v>0</v>
      </c>
      <c r="AAI158" s="242">
        <f t="shared" si="1239"/>
        <v>0</v>
      </c>
      <c r="AAJ158" s="56"/>
      <c r="AAM158" s="55">
        <f t="shared" si="1240"/>
        <v>46154</v>
      </c>
      <c r="AAN158" s="56"/>
      <c r="AAO158" s="242">
        <f>SUMPRODUCT(PRODUCE!$B165:$DY165,PRODUCE!$EB$57:$IY$57)</f>
        <v>0</v>
      </c>
      <c r="AAP158" s="56"/>
      <c r="AAQ158" s="242">
        <f t="shared" si="1241"/>
        <v>0</v>
      </c>
      <c r="AAR158" s="242">
        <f t="shared" si="1242"/>
        <v>0</v>
      </c>
      <c r="AAS158" s="56"/>
      <c r="AAV158" s="55">
        <f t="shared" si="1243"/>
        <v>46154</v>
      </c>
      <c r="AAW158" s="56"/>
      <c r="AAX158" s="242">
        <f>SUMPRODUCT(PRODUCE!$B165:$DY165,PRODUCE!$EB$57:$IY$57)</f>
        <v>0</v>
      </c>
      <c r="AAY158" s="56"/>
      <c r="AAZ158" s="242">
        <f t="shared" si="1244"/>
        <v>0</v>
      </c>
      <c r="ABA158" s="242">
        <f t="shared" si="1245"/>
        <v>0</v>
      </c>
      <c r="ABB158" s="56"/>
      <c r="ABE158" s="55">
        <f t="shared" si="1246"/>
        <v>46154</v>
      </c>
      <c r="ABF158" s="56"/>
      <c r="ABG158" s="242">
        <f>SUMPRODUCT(PRODUCE!$B165:$DY165,PRODUCE!$EB$57:$IY$57)</f>
        <v>0</v>
      </c>
      <c r="ABH158" s="56"/>
      <c r="ABI158" s="242">
        <f t="shared" si="1247"/>
        <v>0</v>
      </c>
      <c r="ABJ158" s="242">
        <f t="shared" si="1248"/>
        <v>0</v>
      </c>
      <c r="ABK158" s="56"/>
    </row>
    <row r="159" spans="2:739" s="54" customFormat="1" ht="15" customHeight="1" outlineLevel="1">
      <c r="B159" s="478">
        <f>46+44</f>
        <v>90</v>
      </c>
      <c r="C159" s="55">
        <v>46155</v>
      </c>
      <c r="D159" s="422">
        <v>73300</v>
      </c>
      <c r="E159" s="423">
        <f>SUMPRODUCT(PRODUCE!$B166:$DY166,PRODUCE!$EB$7:$IY$7)</f>
        <v>50619.080000000009</v>
      </c>
      <c r="F159" s="422">
        <f>26943.8+23675.4</f>
        <v>50619.199999999997</v>
      </c>
      <c r="G159" s="423">
        <f t="shared" si="1004"/>
        <v>-0.11999999998806743</v>
      </c>
      <c r="H159" s="423">
        <f t="shared" si="1005"/>
        <v>136398.20000000007</v>
      </c>
      <c r="I159" s="289" t="s">
        <v>266</v>
      </c>
      <c r="L159" s="55">
        <f t="shared" si="1006"/>
        <v>46155</v>
      </c>
      <c r="M159" s="422"/>
      <c r="N159" s="438">
        <f>SUMPRODUCT(PRODUCE!$B166:$DY166,PRODUCE!$EB$8:$IY$8)</f>
        <v>24250.400000000001</v>
      </c>
      <c r="O159" s="422">
        <v>24251.8</v>
      </c>
      <c r="P159" s="438">
        <f t="shared" si="1007"/>
        <v>-1.3999999999978172</v>
      </c>
      <c r="Q159" s="438">
        <f t="shared" si="1008"/>
        <v>15252.800000000094</v>
      </c>
      <c r="R159" s="56"/>
      <c r="U159" s="55">
        <f t="shared" si="1009"/>
        <v>46155</v>
      </c>
      <c r="V159" s="422"/>
      <c r="W159" s="440">
        <f>SUMPRODUCT(PRODUCE!$B166:$DY166,PRODUCE!$EB$9:$IY$9)</f>
        <v>3350</v>
      </c>
      <c r="X159" s="422">
        <v>3350.1</v>
      </c>
      <c r="Y159" s="440">
        <f t="shared" si="1010"/>
        <v>-9.9999999999909051E-2</v>
      </c>
      <c r="Z159" s="440">
        <f t="shared" si="1011"/>
        <v>24762.099999999969</v>
      </c>
      <c r="AA159" s="56"/>
      <c r="AD159" s="55">
        <f t="shared" si="1012"/>
        <v>46155</v>
      </c>
      <c r="AE159" s="422"/>
      <c r="AF159" s="442">
        <f>SUMPRODUCT(PRODUCE!$B166:$DY166,PRODUCE!$EB$10:$IY$10)</f>
        <v>2300</v>
      </c>
      <c r="AG159" s="422">
        <v>2300.4</v>
      </c>
      <c r="AH159" s="442">
        <f t="shared" si="1013"/>
        <v>-0.40000000000009095</v>
      </c>
      <c r="AI159" s="442">
        <f t="shared" si="1014"/>
        <v>24827.500000000018</v>
      </c>
      <c r="AJ159" s="56"/>
      <c r="AM159" s="55">
        <f t="shared" si="1015"/>
        <v>46155</v>
      </c>
      <c r="AN159" s="422"/>
      <c r="AO159" s="444">
        <f>SUMPRODUCT(PRODUCE!$B166:$DY166,PRODUCE!$EB$11:$IY$11)</f>
        <v>0</v>
      </c>
      <c r="AP159" s="422"/>
      <c r="AQ159" s="444">
        <f t="shared" si="1016"/>
        <v>0</v>
      </c>
      <c r="AR159" s="444">
        <f t="shared" si="1017"/>
        <v>0</v>
      </c>
      <c r="AS159" s="56"/>
      <c r="AV159" s="55">
        <f t="shared" si="1018"/>
        <v>46155</v>
      </c>
      <c r="AW159" s="422"/>
      <c r="AX159" s="446">
        <f>SUMPRODUCT(PRODUCE!$B166:$DY166,PRODUCE!$EB$12:$IY$12)</f>
        <v>1340</v>
      </c>
      <c r="AY159" s="422">
        <v>1339.7</v>
      </c>
      <c r="AZ159" s="446">
        <f t="shared" si="1019"/>
        <v>0.29999999999995453</v>
      </c>
      <c r="BA159" s="446">
        <f t="shared" si="1020"/>
        <v>33674.799999999996</v>
      </c>
      <c r="BB159" s="56"/>
      <c r="BE159" s="55">
        <f t="shared" si="1021"/>
        <v>46155</v>
      </c>
      <c r="BF159" s="422"/>
      <c r="BG159" s="448">
        <f>SUMPRODUCT(PRODUCE!$B166:$DY166,PRODUCE!$EB$13:$IY$13)</f>
        <v>1810</v>
      </c>
      <c r="BH159" s="422">
        <v>1809.9</v>
      </c>
      <c r="BI159" s="448">
        <f t="shared" si="1022"/>
        <v>9.9999999999909051E-2</v>
      </c>
      <c r="BJ159" s="448">
        <f t="shared" si="1023"/>
        <v>15151.799999999994</v>
      </c>
      <c r="BK159" s="56"/>
      <c r="BN159" s="55">
        <f t="shared" si="1024"/>
        <v>46155</v>
      </c>
      <c r="BO159" s="422">
        <v>1590.1</v>
      </c>
      <c r="BP159" s="450">
        <f>SUMPRODUCT(PRODUCE!$B166:$DY166,PRODUCE!$EB$14:$IY$14)</f>
        <v>1590</v>
      </c>
      <c r="BQ159" s="422">
        <v>1590.1</v>
      </c>
      <c r="BR159" s="450">
        <f t="shared" si="1025"/>
        <v>-9.9999999999909051E-2</v>
      </c>
      <c r="BS159" s="450">
        <f t="shared" si="1026"/>
        <v>0</v>
      </c>
      <c r="BT159" s="56"/>
      <c r="BW159" s="55">
        <f t="shared" si="1027"/>
        <v>46155</v>
      </c>
      <c r="BX159" s="422"/>
      <c r="BY159" s="523">
        <f>SUMPRODUCT(PRODUCE!$B166:$DY166,PRODUCE!$EB$15:$IY$15)</f>
        <v>66</v>
      </c>
      <c r="BZ159" s="422"/>
      <c r="CA159" s="523">
        <f t="shared" si="1028"/>
        <v>66</v>
      </c>
      <c r="CB159" s="523">
        <f t="shared" si="1029"/>
        <v>5751.7999999999993</v>
      </c>
      <c r="CC159" s="56"/>
      <c r="CF159" s="55">
        <f t="shared" si="1030"/>
        <v>46155</v>
      </c>
      <c r="CG159" s="422"/>
      <c r="CH159" s="524">
        <f>SUMPRODUCT(PRODUCE!$B166:$DY166,PRODUCE!$EB$16:$IY$16)</f>
        <v>497.52</v>
      </c>
      <c r="CI159" s="422"/>
      <c r="CJ159" s="524">
        <f t="shared" si="1031"/>
        <v>497.52</v>
      </c>
      <c r="CK159" s="524">
        <f t="shared" si="1032"/>
        <v>0</v>
      </c>
      <c r="CL159" s="56"/>
      <c r="CO159" s="55">
        <f t="shared" si="1033"/>
        <v>46155</v>
      </c>
      <c r="CP159" s="422"/>
      <c r="CQ159" s="470">
        <f>SUMPRODUCT(PRODUCE!$B166:$DY166,PRODUCE!$EB$17:$IY$17)</f>
        <v>0</v>
      </c>
      <c r="CR159" s="422"/>
      <c r="CS159" s="470">
        <f t="shared" si="1034"/>
        <v>0</v>
      </c>
      <c r="CT159" s="470">
        <f t="shared" si="1035"/>
        <v>0</v>
      </c>
      <c r="CU159" s="56"/>
      <c r="CX159" s="55">
        <f t="shared" si="1036"/>
        <v>46155</v>
      </c>
      <c r="CY159" s="422"/>
      <c r="CZ159" s="525">
        <f>SUMPRODUCT(PRODUCE!$B166:$DY166,PRODUCE!$EB$18:$IY$18)</f>
        <v>0</v>
      </c>
      <c r="DA159" s="422"/>
      <c r="DB159" s="525">
        <f t="shared" si="1037"/>
        <v>0</v>
      </c>
      <c r="DC159" s="525">
        <f t="shared" si="1038"/>
        <v>21657.000000000004</v>
      </c>
      <c r="DD159" s="56"/>
      <c r="DG159" s="55">
        <f t="shared" si="1039"/>
        <v>46155</v>
      </c>
      <c r="DH159" s="422"/>
      <c r="DI159" s="526">
        <f>SUMPRODUCT(PRODUCE!$B166:$DY166,PRODUCE!$EB$19:$IY$19)</f>
        <v>2200</v>
      </c>
      <c r="DJ159" s="422">
        <v>2200.9</v>
      </c>
      <c r="DK159" s="526">
        <f t="shared" si="1040"/>
        <v>-0.90000000000009095</v>
      </c>
      <c r="DL159" s="526">
        <f t="shared" si="1041"/>
        <v>38237.099999999984</v>
      </c>
      <c r="DM159" s="56"/>
      <c r="DP159" s="55">
        <f t="shared" si="1042"/>
        <v>46155</v>
      </c>
      <c r="DQ159" s="422"/>
      <c r="DR159" s="423">
        <f>SUMPRODUCT(PRODUCE!$B166:$DY166,PRODUCE!$EB$20:$IY$20)</f>
        <v>0</v>
      </c>
      <c r="DS159" s="422"/>
      <c r="DT159" s="423">
        <f t="shared" si="1043"/>
        <v>0</v>
      </c>
      <c r="DU159" s="423">
        <f t="shared" si="1044"/>
        <v>5800</v>
      </c>
      <c r="DV159" s="56"/>
      <c r="DY159" s="55">
        <f t="shared" si="1045"/>
        <v>46155</v>
      </c>
      <c r="DZ159" s="56"/>
      <c r="EA159" s="157">
        <f>SUMPRODUCT(PRODUCE!$B166:$DY166,PRODUCE!$EB$21:$IY$21)</f>
        <v>0</v>
      </c>
      <c r="EB159" s="56"/>
      <c r="EC159" s="157">
        <f t="shared" si="1046"/>
        <v>0</v>
      </c>
      <c r="ED159" s="157">
        <f t="shared" si="1047"/>
        <v>0</v>
      </c>
      <c r="EE159" s="56"/>
      <c r="EH159" s="55">
        <f t="shared" si="1048"/>
        <v>46155</v>
      </c>
      <c r="EI159" s="56"/>
      <c r="EJ159" s="162">
        <f>SUMPRODUCT(PRODUCE!$B166:$DY166,PRODUCE!$EB$22:$IY$22)</f>
        <v>0</v>
      </c>
      <c r="EK159" s="56"/>
      <c r="EL159" s="162">
        <f t="shared" si="1049"/>
        <v>0</v>
      </c>
      <c r="EM159" s="162">
        <f t="shared" si="1050"/>
        <v>0</v>
      </c>
      <c r="EN159" s="56"/>
      <c r="EQ159" s="55">
        <f t="shared" si="1051"/>
        <v>46155</v>
      </c>
      <c r="ER159" s="56"/>
      <c r="ES159" s="135">
        <f>SUMPRODUCT(PRODUCE!$B166:$DY166,PRODUCE!$EB$23:$IY$23)</f>
        <v>0</v>
      </c>
      <c r="ET159" s="56"/>
      <c r="EU159" s="135">
        <f t="shared" si="1052"/>
        <v>0</v>
      </c>
      <c r="EV159" s="135">
        <f t="shared" si="1053"/>
        <v>0</v>
      </c>
      <c r="EW159" s="56"/>
      <c r="EZ159" s="55">
        <f t="shared" si="1054"/>
        <v>46155</v>
      </c>
      <c r="FA159" s="56"/>
      <c r="FB159" s="175">
        <f>SUMPRODUCT(PRODUCE!$B166:$DY166,PRODUCE!$EB$24:$IY$24)</f>
        <v>0</v>
      </c>
      <c r="FC159" s="56"/>
      <c r="FD159" s="175">
        <f t="shared" si="1055"/>
        <v>0</v>
      </c>
      <c r="FE159" s="175">
        <f t="shared" si="1056"/>
        <v>0</v>
      </c>
      <c r="FF159" s="56"/>
      <c r="FI159" s="55">
        <f t="shared" si="1057"/>
        <v>46155</v>
      </c>
      <c r="FJ159" s="56"/>
      <c r="FK159" s="183">
        <f>SUMPRODUCT(PRODUCE!$B166:$DY166,PRODUCE!$EB$25:$IY$25)</f>
        <v>0</v>
      </c>
      <c r="FL159" s="56"/>
      <c r="FM159" s="183">
        <f t="shared" si="1058"/>
        <v>0</v>
      </c>
      <c r="FN159" s="183">
        <f t="shared" si="1059"/>
        <v>0</v>
      </c>
      <c r="FO159" s="56"/>
      <c r="FR159" s="55">
        <f t="shared" si="1060"/>
        <v>46155</v>
      </c>
      <c r="FS159" s="56"/>
      <c r="FT159" s="186">
        <f>SUMPRODUCT(PRODUCE!$B166:$DY166,PRODUCE!$EB$26:$IY$26)</f>
        <v>0</v>
      </c>
      <c r="FU159" s="56"/>
      <c r="FV159" s="186">
        <f t="shared" si="1061"/>
        <v>0</v>
      </c>
      <c r="FW159" s="186">
        <f t="shared" si="1062"/>
        <v>2120</v>
      </c>
      <c r="FX159" s="56"/>
      <c r="GA159" s="55">
        <f t="shared" si="1063"/>
        <v>46155</v>
      </c>
      <c r="GB159" s="56"/>
      <c r="GC159" s="137">
        <f>SUMPRODUCT(PRODUCE!$B166:$DY166,PRODUCE!$EB$27:$IY$27)</f>
        <v>920</v>
      </c>
      <c r="GD159" s="56"/>
      <c r="GE159" s="137">
        <f t="shared" si="1064"/>
        <v>920</v>
      </c>
      <c r="GF159" s="137">
        <f t="shared" si="1065"/>
        <v>3640</v>
      </c>
      <c r="GG159" s="56"/>
      <c r="GI159" s="23"/>
      <c r="GJ159" s="55">
        <f t="shared" si="1066"/>
        <v>46155</v>
      </c>
      <c r="GK159" s="56"/>
      <c r="GL159" s="199">
        <f>SUMPRODUCT(PRODUCE!$B166:$DY166,PRODUCE!$EB$28:$IY$28)</f>
        <v>0</v>
      </c>
      <c r="GM159" s="56"/>
      <c r="GN159" s="199">
        <f t="shared" si="1067"/>
        <v>0</v>
      </c>
      <c r="GO159" s="199">
        <f t="shared" si="1068"/>
        <v>0</v>
      </c>
      <c r="GP159" s="56"/>
      <c r="GS159" s="55">
        <f t="shared" si="1069"/>
        <v>46155</v>
      </c>
      <c r="GT159" s="56"/>
      <c r="GU159" s="195">
        <f>SUMPRODUCT(PRODUCE!$B166:$DY166,PRODUCE!$EB$29:$IY$29)</f>
        <v>0</v>
      </c>
      <c r="GV159" s="56"/>
      <c r="GW159" s="195">
        <f t="shared" si="1070"/>
        <v>0</v>
      </c>
      <c r="GX159" s="195">
        <f t="shared" si="1071"/>
        <v>0</v>
      </c>
      <c r="GY159" s="56"/>
      <c r="HB159" s="55">
        <f t="shared" si="1072"/>
        <v>46155</v>
      </c>
      <c r="HC159" s="56"/>
      <c r="HD159" s="191">
        <f>SUMPRODUCT(PRODUCE!$B166:$DY166,PRODUCE!$EB$30:$IY$30)</f>
        <v>0</v>
      </c>
      <c r="HE159" s="56"/>
      <c r="HF159" s="191">
        <f t="shared" si="1073"/>
        <v>0</v>
      </c>
      <c r="HG159" s="191">
        <f t="shared" si="1074"/>
        <v>0</v>
      </c>
      <c r="HH159" s="56"/>
      <c r="HK159" s="55">
        <f t="shared" si="1075"/>
        <v>46155</v>
      </c>
      <c r="HL159" s="56"/>
      <c r="HM159" s="63">
        <f>SUMPRODUCT(PRODUCE!$B166:$DY166,PRODUCE!$EB$31:$IY$31)</f>
        <v>0</v>
      </c>
      <c r="HN159" s="56"/>
      <c r="HO159" s="63">
        <f t="shared" si="1076"/>
        <v>0</v>
      </c>
      <c r="HP159" s="63">
        <f t="shared" si="1077"/>
        <v>0</v>
      </c>
      <c r="HQ159" s="56"/>
      <c r="HU159" s="55">
        <f t="shared" si="1078"/>
        <v>46155</v>
      </c>
      <c r="HV159" s="56"/>
      <c r="HW159" s="242">
        <f>SUMPRODUCT(PRODUCE!$B166:$DY166,PRODUCE!$EB$32:$IY$32)</f>
        <v>880</v>
      </c>
      <c r="HX159" s="56"/>
      <c r="HY159" s="242">
        <f t="shared" si="1079"/>
        <v>880</v>
      </c>
      <c r="HZ159" s="242">
        <f t="shared" si="1080"/>
        <v>5280</v>
      </c>
      <c r="IA159" s="56"/>
      <c r="ID159" s="55">
        <f t="shared" si="1081"/>
        <v>46155</v>
      </c>
      <c r="IE159" s="56"/>
      <c r="IF159" s="242">
        <f>SUMPRODUCT(PRODUCE!$B166:$DY166,PRODUCE!$EB$33:$IY$33)</f>
        <v>0</v>
      </c>
      <c r="IG159" s="56"/>
      <c r="IH159" s="242">
        <f t="shared" si="1082"/>
        <v>0</v>
      </c>
      <c r="II159" s="242">
        <f t="shared" si="1083"/>
        <v>720</v>
      </c>
      <c r="IJ159" s="56"/>
      <c r="IM159" s="55">
        <f t="shared" si="1084"/>
        <v>46155</v>
      </c>
      <c r="IN159" s="56"/>
      <c r="IO159" s="242">
        <f>SUMPRODUCT(PRODUCE!$B166:$DY166,PRODUCE!$EB$34:$IY$34)</f>
        <v>0</v>
      </c>
      <c r="IP159" s="56"/>
      <c r="IQ159" s="242">
        <f t="shared" si="1085"/>
        <v>0</v>
      </c>
      <c r="IR159" s="242">
        <f t="shared" si="1086"/>
        <v>11540</v>
      </c>
      <c r="IS159" s="56"/>
      <c r="IV159" s="55">
        <f t="shared" si="1087"/>
        <v>46155</v>
      </c>
      <c r="IW159" s="56"/>
      <c r="IX159" s="242">
        <f>SUMPRODUCT(PRODUCE!$B166:$DY166,PRODUCE!$EB$35:$IY$35)</f>
        <v>0</v>
      </c>
      <c r="IY159" s="56"/>
      <c r="IZ159" s="242">
        <f t="shared" si="1088"/>
        <v>0</v>
      </c>
      <c r="JA159" s="242">
        <f t="shared" si="1089"/>
        <v>12860</v>
      </c>
      <c r="JB159" s="56"/>
      <c r="JE159" s="55">
        <f t="shared" si="1090"/>
        <v>46155</v>
      </c>
      <c r="JF159" s="56"/>
      <c r="JG159" s="242">
        <f>SUMPRODUCT(PRODUCE!$B166:$DY166,PRODUCE!$EB$36:$IY$36)</f>
        <v>0</v>
      </c>
      <c r="JH159" s="56"/>
      <c r="JI159" s="242">
        <f t="shared" si="1091"/>
        <v>0</v>
      </c>
      <c r="JJ159" s="242">
        <f t="shared" si="1092"/>
        <v>0</v>
      </c>
      <c r="JK159" s="56"/>
      <c r="JN159" s="55">
        <f t="shared" si="1093"/>
        <v>46155</v>
      </c>
      <c r="JO159" s="56"/>
      <c r="JP159" s="242">
        <f>SUMPRODUCT(PRODUCE!$B166:$DY166,PRODUCE!$EB$37:$IY$37)</f>
        <v>0</v>
      </c>
      <c r="JQ159" s="56"/>
      <c r="JR159" s="242">
        <f t="shared" si="1094"/>
        <v>0</v>
      </c>
      <c r="JS159" s="242">
        <f t="shared" si="1095"/>
        <v>6700</v>
      </c>
      <c r="JT159" s="56"/>
      <c r="JW159" s="55">
        <f t="shared" si="1096"/>
        <v>46155</v>
      </c>
      <c r="JX159" s="56"/>
      <c r="JY159" s="242">
        <f>SUMPRODUCT(PRODUCE!$B166:$DY166,PRODUCE!$EB$38:$IY$38)</f>
        <v>0</v>
      </c>
      <c r="JZ159" s="56"/>
      <c r="KA159" s="242">
        <f t="shared" si="1097"/>
        <v>0</v>
      </c>
      <c r="KB159" s="242">
        <f t="shared" si="1098"/>
        <v>2540</v>
      </c>
      <c r="KC159" s="56"/>
      <c r="KF159" s="55">
        <f t="shared" si="1099"/>
        <v>46155</v>
      </c>
      <c r="KG159" s="56"/>
      <c r="KH159" s="242">
        <f>SUMPRODUCT(PRODUCE!$B166:$DY166,PRODUCE!$EB$39:$IY$39)</f>
        <v>0</v>
      </c>
      <c r="KI159" s="56"/>
      <c r="KJ159" s="242">
        <f t="shared" si="1100"/>
        <v>0</v>
      </c>
      <c r="KK159" s="242">
        <f t="shared" si="1101"/>
        <v>2359.5</v>
      </c>
      <c r="KL159" s="56"/>
      <c r="KO159" s="55">
        <f t="shared" si="1102"/>
        <v>46155</v>
      </c>
      <c r="KP159" s="56"/>
      <c r="KQ159" s="242">
        <f>SUMPRODUCT(PRODUCE!$B166:$DY166,PRODUCE!$EB$40:$IY$40)</f>
        <v>0</v>
      </c>
      <c r="KR159" s="56"/>
      <c r="KS159" s="242">
        <f t="shared" si="1103"/>
        <v>0</v>
      </c>
      <c r="KT159" s="242">
        <f t="shared" si="1104"/>
        <v>1890</v>
      </c>
      <c r="KU159" s="56"/>
      <c r="KW159" s="23"/>
      <c r="KX159" s="55">
        <f t="shared" si="1105"/>
        <v>46155</v>
      </c>
      <c r="KY159" s="56"/>
      <c r="KZ159" s="242">
        <f>SUMPRODUCT(PRODUCE!$B166:$DY166,PRODUCE!$EB$41:$IY$41)</f>
        <v>0</v>
      </c>
      <c r="LA159" s="56"/>
      <c r="LB159" s="242">
        <f t="shared" si="1106"/>
        <v>0</v>
      </c>
      <c r="LC159" s="242">
        <f t="shared" si="1107"/>
        <v>3690</v>
      </c>
      <c r="LD159" s="56"/>
      <c r="LG159" s="55">
        <f t="shared" si="1108"/>
        <v>46155</v>
      </c>
      <c r="LH159" s="56"/>
      <c r="LI159" s="242">
        <f>SUMPRODUCT(PRODUCE!$B166:$DY166,PRODUCE!$EB$42:$IY$42)</f>
        <v>0</v>
      </c>
      <c r="LJ159" s="56"/>
      <c r="LK159" s="242">
        <f t="shared" si="1109"/>
        <v>0</v>
      </c>
      <c r="LL159" s="242">
        <f t="shared" si="1110"/>
        <v>4000</v>
      </c>
      <c r="LM159" s="56"/>
      <c r="LP159" s="55">
        <f t="shared" si="1111"/>
        <v>46155</v>
      </c>
      <c r="LQ159" s="56"/>
      <c r="LR159" s="242">
        <f>SUMPRODUCT(PRODUCE!$B174:$DY174,PRODUCE!$EB$43:$IY$43)</f>
        <v>0</v>
      </c>
      <c r="LS159" s="56"/>
      <c r="LT159" s="242">
        <f t="shared" si="1112"/>
        <v>0</v>
      </c>
      <c r="LU159" s="242">
        <f t="shared" si="1113"/>
        <v>0</v>
      </c>
      <c r="LV159" s="56"/>
      <c r="LY159" s="55">
        <f t="shared" si="1114"/>
        <v>46155</v>
      </c>
      <c r="LZ159" s="56"/>
      <c r="MA159" s="242">
        <f>SUMPRODUCT(PRODUCE!$B166:$DY166,PRODUCE!$EB$44:$IY$44)</f>
        <v>0</v>
      </c>
      <c r="MB159" s="56"/>
      <c r="MC159" s="242">
        <f t="shared" si="1115"/>
        <v>0</v>
      </c>
      <c r="MD159" s="242">
        <f t="shared" si="1116"/>
        <v>0</v>
      </c>
      <c r="ME159" s="56"/>
      <c r="MH159" s="55">
        <f t="shared" si="1117"/>
        <v>46155</v>
      </c>
      <c r="MI159" s="56"/>
      <c r="MJ159" s="242">
        <f>SUMPRODUCT(PRODUCE!$B166:$DY166,PRODUCE!$EB$45:$IY$45)</f>
        <v>0</v>
      </c>
      <c r="MK159" s="56"/>
      <c r="ML159" s="242">
        <f t="shared" si="1118"/>
        <v>0</v>
      </c>
      <c r="MM159" s="242">
        <f t="shared" si="1119"/>
        <v>0</v>
      </c>
      <c r="MN159" s="56"/>
      <c r="MQ159" s="55">
        <f t="shared" si="1120"/>
        <v>46155</v>
      </c>
      <c r="MR159" s="56"/>
      <c r="MS159" s="242">
        <f>SUMPRODUCT(PRODUCE!$B166:$DY166,PRODUCE!$EB$46:$IY$46)</f>
        <v>45</v>
      </c>
      <c r="MT159" s="56"/>
      <c r="MU159" s="242">
        <f t="shared" si="1121"/>
        <v>45</v>
      </c>
      <c r="MV159" s="242">
        <f t="shared" si="1122"/>
        <v>3837</v>
      </c>
      <c r="MW159" s="56"/>
      <c r="MZ159" s="55">
        <f t="shared" si="1123"/>
        <v>46155</v>
      </c>
      <c r="NA159" s="56"/>
      <c r="NB159" s="242">
        <f>SUMPRODUCT(PRODUCE!$B166:$DY166,PRODUCE!$EB$47:$IY$47)</f>
        <v>132</v>
      </c>
      <c r="NC159" s="56"/>
      <c r="ND159" s="242">
        <f t="shared" si="1124"/>
        <v>132</v>
      </c>
      <c r="NE159" s="242">
        <f t="shared" si="1125"/>
        <v>0</v>
      </c>
      <c r="NF159" s="56"/>
      <c r="NI159" s="55">
        <f t="shared" si="1126"/>
        <v>46155</v>
      </c>
      <c r="NJ159" s="56"/>
      <c r="NK159" s="242">
        <f>SUMPRODUCT(PRODUCE!$B166:$DY166,PRODUCE!$EB$48:$IY$48)</f>
        <v>0</v>
      </c>
      <c r="NL159" s="56"/>
      <c r="NM159" s="242">
        <f t="shared" si="1127"/>
        <v>0</v>
      </c>
      <c r="NN159" s="242">
        <f t="shared" si="1128"/>
        <v>1127</v>
      </c>
      <c r="NO159" s="56"/>
      <c r="NR159" s="55">
        <f t="shared" si="1129"/>
        <v>46155</v>
      </c>
      <c r="NS159" s="56">
        <v>1.1000000000000001</v>
      </c>
      <c r="NT159" s="242">
        <f>SUMPRODUCT(PRODUCE!$B166:$DY166,PRODUCE!$EB$49:$IY$49)</f>
        <v>0</v>
      </c>
      <c r="NU159" s="56"/>
      <c r="NV159" s="242">
        <f t="shared" si="1130"/>
        <v>0</v>
      </c>
      <c r="NW159" s="242">
        <f t="shared" si="1131"/>
        <v>3111.9999999999995</v>
      </c>
      <c r="NX159" s="56"/>
      <c r="OA159" s="55">
        <f t="shared" si="1132"/>
        <v>46155</v>
      </c>
      <c r="OB159" s="56"/>
      <c r="OC159" s="242">
        <f>SUMPRODUCT(PRODUCE!$B166:$DY166,PRODUCE!$EB$50:$IY$50)</f>
        <v>0</v>
      </c>
      <c r="OD159" s="56"/>
      <c r="OE159" s="242">
        <f t="shared" si="1133"/>
        <v>0</v>
      </c>
      <c r="OF159" s="242">
        <f t="shared" si="1134"/>
        <v>1680.5</v>
      </c>
      <c r="OG159" s="56"/>
      <c r="OJ159" s="55">
        <f t="shared" si="1135"/>
        <v>46155</v>
      </c>
      <c r="OK159" s="56"/>
      <c r="OL159" s="242">
        <f>SUMPRODUCT(PRODUCE!$B166:$DY166,PRODUCE!$EB$51:$IY$51)</f>
        <v>0</v>
      </c>
      <c r="OM159" s="56"/>
      <c r="ON159" s="242">
        <f t="shared" si="1136"/>
        <v>0</v>
      </c>
      <c r="OO159" s="242">
        <f t="shared" si="1137"/>
        <v>0</v>
      </c>
      <c r="OP159" s="56"/>
      <c r="OS159" s="55">
        <f t="shared" si="1138"/>
        <v>46155</v>
      </c>
      <c r="OT159" s="56"/>
      <c r="OU159" s="242">
        <f>SUMPRODUCT(PRODUCE!$B166:$DY166,PRODUCE!$EB$52:$IY$52)</f>
        <v>0</v>
      </c>
      <c r="OV159" s="56"/>
      <c r="OW159" s="242">
        <f t="shared" si="1139"/>
        <v>0</v>
      </c>
      <c r="OX159" s="242">
        <f t="shared" si="1140"/>
        <v>982</v>
      </c>
      <c r="OY159" s="56"/>
      <c r="PB159" s="55">
        <f t="shared" si="1141"/>
        <v>46155</v>
      </c>
      <c r="PC159" s="56"/>
      <c r="PD159" s="242">
        <f>SUMPRODUCT(PRODUCE!$B166:$DY166,PRODUCE!$EB$53:$IY$53)</f>
        <v>0</v>
      </c>
      <c r="PE159" s="56"/>
      <c r="PF159" s="242">
        <f t="shared" si="1142"/>
        <v>0</v>
      </c>
      <c r="PG159" s="242">
        <f t="shared" si="1143"/>
        <v>0</v>
      </c>
      <c r="PH159" s="56"/>
      <c r="PK159" s="55">
        <f t="shared" si="1144"/>
        <v>46155</v>
      </c>
      <c r="PL159" s="56"/>
      <c r="PM159" s="242">
        <f>SUMPRODUCT(PRODUCE!$B166:$DY166,PRODUCE!$EB$54:$IY$54)</f>
        <v>0</v>
      </c>
      <c r="PN159" s="56"/>
      <c r="PO159" s="242">
        <f t="shared" si="1145"/>
        <v>0</v>
      </c>
      <c r="PP159" s="242">
        <f t="shared" si="1146"/>
        <v>100</v>
      </c>
      <c r="PQ159" s="56"/>
      <c r="PT159" s="55">
        <f t="shared" si="1147"/>
        <v>46155</v>
      </c>
      <c r="PU159" s="56"/>
      <c r="PV159" s="242">
        <f>SUMPRODUCT(PRODUCE!$B166:$DY166,PRODUCE!$EB$55:$IY$55)</f>
        <v>0</v>
      </c>
      <c r="PW159" s="56"/>
      <c r="PX159" s="242">
        <f t="shared" si="1148"/>
        <v>0</v>
      </c>
      <c r="PY159" s="242">
        <f t="shared" si="1149"/>
        <v>13.960000000000036</v>
      </c>
      <c r="PZ159" s="56"/>
      <c r="QC159" s="55">
        <f t="shared" si="1150"/>
        <v>46155</v>
      </c>
      <c r="QD159" s="56"/>
      <c r="QE159" s="242">
        <f>SUMPRODUCT(PRODUCE!$B166:$DY166,PRODUCE!$EB$56:$IY$56)</f>
        <v>0</v>
      </c>
      <c r="QF159" s="56"/>
      <c r="QG159" s="242">
        <f t="shared" si="1151"/>
        <v>0</v>
      </c>
      <c r="QH159" s="242">
        <f t="shared" si="1152"/>
        <v>876</v>
      </c>
      <c r="QI159" s="56"/>
      <c r="QL159" s="55">
        <f t="shared" si="1153"/>
        <v>46155</v>
      </c>
      <c r="QM159" s="56"/>
      <c r="QN159" s="242">
        <f>SUMPRODUCT(PRODUCE!$B166:$DY166,PRODUCE!$EB$57:$IY$57)</f>
        <v>0</v>
      </c>
      <c r="QO159" s="56"/>
      <c r="QP159" s="242">
        <f t="shared" si="1154"/>
        <v>0</v>
      </c>
      <c r="QQ159" s="242">
        <f t="shared" si="1155"/>
        <v>665</v>
      </c>
      <c r="QR159" s="56"/>
      <c r="QU159" s="55">
        <f t="shared" si="1156"/>
        <v>46155</v>
      </c>
      <c r="QV159" s="56"/>
      <c r="QW159" s="242">
        <f>SUMPRODUCT(PRODUCE!$B166:$DY166,PRODUCE!$EB$58:$IY$58)</f>
        <v>0</v>
      </c>
      <c r="QX159" s="56"/>
      <c r="QY159" s="242">
        <f t="shared" si="1157"/>
        <v>0</v>
      </c>
      <c r="QZ159" s="242">
        <f t="shared" si="1158"/>
        <v>207.6</v>
      </c>
      <c r="RA159" s="56"/>
      <c r="RD159" s="55">
        <f t="shared" si="1159"/>
        <v>46155</v>
      </c>
      <c r="RE159" s="56"/>
      <c r="RF159" s="242">
        <f>SUMPRODUCT(PRODUCE!$B166:$DY166,PRODUCE!$EB$59:$IY$59)</f>
        <v>0</v>
      </c>
      <c r="RG159" s="56"/>
      <c r="RH159" s="242">
        <f t="shared" si="1160"/>
        <v>0</v>
      </c>
      <c r="RI159" s="242">
        <f t="shared" si="1161"/>
        <v>147.04000000000002</v>
      </c>
      <c r="RJ159" s="56"/>
      <c r="RM159" s="55">
        <f t="shared" si="1162"/>
        <v>46155</v>
      </c>
      <c r="RN159" s="56"/>
      <c r="RO159" s="242">
        <f>SUMPRODUCT(PRODUCE!$B166:$DY166,PRODUCE!$EB$60:$IY$60)</f>
        <v>0</v>
      </c>
      <c r="RP159" s="56"/>
      <c r="RQ159" s="242">
        <f t="shared" si="1163"/>
        <v>0</v>
      </c>
      <c r="RR159" s="242">
        <f t="shared" si="1164"/>
        <v>46.8</v>
      </c>
      <c r="RS159" s="56"/>
      <c r="RV159" s="55">
        <f t="shared" si="1165"/>
        <v>46155</v>
      </c>
      <c r="RW159" s="56"/>
      <c r="RX159" s="242">
        <f>SUMPRODUCT(PRODUCE!$B166:$DY166,PRODUCE!$EB$61:$IY$61)</f>
        <v>0</v>
      </c>
      <c r="RY159" s="56"/>
      <c r="RZ159" s="242">
        <f t="shared" si="1166"/>
        <v>0</v>
      </c>
      <c r="SA159" s="242">
        <f t="shared" si="1167"/>
        <v>0</v>
      </c>
      <c r="SB159" s="56"/>
      <c r="SE159" s="55">
        <f t="shared" si="1168"/>
        <v>46155</v>
      </c>
      <c r="SF159" s="56"/>
      <c r="SG159" s="242">
        <f>SUMPRODUCT(PRODUCE!$B166:$DY166,PRODUCE!$EB$62:$IY$62)</f>
        <v>0</v>
      </c>
      <c r="SH159" s="56"/>
      <c r="SI159" s="242">
        <f t="shared" si="1169"/>
        <v>0</v>
      </c>
      <c r="SJ159" s="242">
        <f t="shared" si="1170"/>
        <v>24.200000000000003</v>
      </c>
      <c r="SK159" s="56"/>
      <c r="SN159" s="55">
        <f t="shared" si="1171"/>
        <v>46155</v>
      </c>
      <c r="SO159" s="56"/>
      <c r="SP159" s="242">
        <f>SUMPRODUCT(PRODUCE!$B166:$DY166,PRODUCE!$EB$63:$IY$63)</f>
        <v>0</v>
      </c>
      <c r="SQ159" s="56"/>
      <c r="SR159" s="242">
        <f t="shared" si="1172"/>
        <v>0</v>
      </c>
      <c r="SS159" s="242">
        <f t="shared" si="1173"/>
        <v>32</v>
      </c>
      <c r="ST159" s="56"/>
      <c r="SW159" s="55">
        <f t="shared" si="1174"/>
        <v>46155</v>
      </c>
      <c r="SX159" s="56"/>
      <c r="SY159" s="242">
        <f>SUMPRODUCT(PRODUCE!$B166:$DY166,PRODUCE!$EB$64:$IY$64)</f>
        <v>0</v>
      </c>
      <c r="SZ159" s="56"/>
      <c r="TA159" s="242">
        <f t="shared" si="1175"/>
        <v>0</v>
      </c>
      <c r="TB159" s="242">
        <f t="shared" si="1176"/>
        <v>0</v>
      </c>
      <c r="TC159" s="56"/>
      <c r="TF159" s="55">
        <f t="shared" si="1177"/>
        <v>46155</v>
      </c>
      <c r="TG159" s="56"/>
      <c r="TH159" s="242">
        <f>SUMPRODUCT(PRODUCE!$B166:$DY166,PRODUCE!$EB$65:$IY$65)</f>
        <v>0</v>
      </c>
      <c r="TI159" s="56"/>
      <c r="TJ159" s="242">
        <f t="shared" si="1178"/>
        <v>0</v>
      </c>
      <c r="TK159" s="242">
        <f t="shared" si="1179"/>
        <v>0</v>
      </c>
      <c r="TL159" s="56"/>
      <c r="TO159" s="55">
        <f t="shared" si="1180"/>
        <v>46155</v>
      </c>
      <c r="TP159" s="56"/>
      <c r="TQ159" s="242">
        <f>SUMPRODUCT(PRODUCE!$B166:$DY166,PRODUCE!$EB$66:$IY$66)</f>
        <v>0</v>
      </c>
      <c r="TR159" s="56"/>
      <c r="TS159" s="242">
        <f t="shared" si="1181"/>
        <v>0</v>
      </c>
      <c r="TT159" s="242">
        <f t="shared" si="1182"/>
        <v>0</v>
      </c>
      <c r="TU159" s="56"/>
      <c r="TX159" s="55">
        <f t="shared" si="1183"/>
        <v>46155</v>
      </c>
      <c r="TY159" s="56"/>
      <c r="TZ159" s="242">
        <f>SUMPRODUCT(PRODUCE!$B166:$DY166,PRODUCE!$EB$67:$IY$67)</f>
        <v>0</v>
      </c>
      <c r="UA159" s="56"/>
      <c r="UB159" s="242">
        <f t="shared" si="1184"/>
        <v>0</v>
      </c>
      <c r="UC159" s="242">
        <f t="shared" si="1185"/>
        <v>0</v>
      </c>
      <c r="UD159" s="56"/>
      <c r="UG159" s="55">
        <f t="shared" si="1186"/>
        <v>46155</v>
      </c>
      <c r="UH159" s="56"/>
      <c r="UI159" s="242">
        <f>SUMPRODUCT(PRODUCE!$B166:$DY166,PRODUCE!$EB$68:$IY$68)</f>
        <v>0</v>
      </c>
      <c r="UJ159" s="56"/>
      <c r="UK159" s="242">
        <f t="shared" si="1187"/>
        <v>0</v>
      </c>
      <c r="UL159" s="242">
        <f t="shared" si="1188"/>
        <v>0</v>
      </c>
      <c r="UM159" s="56"/>
      <c r="UP159" s="55">
        <f t="shared" si="1189"/>
        <v>46155</v>
      </c>
      <c r="UQ159" s="56"/>
      <c r="UR159" s="242">
        <f>SUMPRODUCT(PRODUCE!$B166:$DY166,PRODUCE!$EB$69:$IY$69)</f>
        <v>0</v>
      </c>
      <c r="US159" s="56"/>
      <c r="UT159" s="242">
        <f t="shared" si="1190"/>
        <v>0</v>
      </c>
      <c r="UU159" s="242">
        <f t="shared" si="1191"/>
        <v>0</v>
      </c>
      <c r="UV159" s="56"/>
      <c r="UY159" s="55">
        <f t="shared" si="1192"/>
        <v>46155</v>
      </c>
      <c r="UZ159" s="56"/>
      <c r="VA159" s="242">
        <f>SUMPRODUCT(PRODUCE!$B166:$DY166,PRODUCE!$EB$70:$IY$70)</f>
        <v>0</v>
      </c>
      <c r="VB159" s="56"/>
      <c r="VC159" s="242">
        <f t="shared" si="1193"/>
        <v>0</v>
      </c>
      <c r="VD159" s="242">
        <f t="shared" si="1194"/>
        <v>41.600000000000023</v>
      </c>
      <c r="VE159" s="56"/>
      <c r="VH159" s="55">
        <f t="shared" si="1195"/>
        <v>46155</v>
      </c>
      <c r="VI159" s="56"/>
      <c r="VJ159" s="242">
        <f>SUMPRODUCT(PRODUCE!$B166:$DY166,PRODUCE!$EB$71:$IY$71)</f>
        <v>0</v>
      </c>
      <c r="VK159" s="56"/>
      <c r="VL159" s="242">
        <f t="shared" si="1196"/>
        <v>0</v>
      </c>
      <c r="VM159" s="242">
        <f t="shared" si="1197"/>
        <v>0</v>
      </c>
      <c r="VN159" s="56"/>
      <c r="VQ159" s="55">
        <f t="shared" si="1198"/>
        <v>46155</v>
      </c>
      <c r="VR159" s="56"/>
      <c r="VS159" s="242">
        <f>SUMPRODUCT(PRODUCE!$B166:$DY166,PRODUCE!$EB$57:$IY$57)</f>
        <v>0</v>
      </c>
      <c r="VT159" s="56"/>
      <c r="VU159" s="242">
        <f t="shared" si="1199"/>
        <v>0</v>
      </c>
      <c r="VV159" s="242">
        <f t="shared" si="1200"/>
        <v>0</v>
      </c>
      <c r="VW159" s="56"/>
      <c r="VZ159" s="55">
        <f t="shared" si="1201"/>
        <v>46155</v>
      </c>
      <c r="WA159" s="56"/>
      <c r="WB159" s="242">
        <f>SUMPRODUCT(PRODUCE!$B166:$DY166,PRODUCE!$EB$57:$IY$57)</f>
        <v>0</v>
      </c>
      <c r="WC159" s="56"/>
      <c r="WD159" s="242">
        <f t="shared" si="1202"/>
        <v>0</v>
      </c>
      <c r="WE159" s="242">
        <f t="shared" si="1203"/>
        <v>0</v>
      </c>
      <c r="WF159" s="56"/>
      <c r="WI159" s="55">
        <f t="shared" si="1204"/>
        <v>46155</v>
      </c>
      <c r="WJ159" s="422"/>
      <c r="WK159" s="540">
        <f>SUMPRODUCT(PRODUCE!$B166:$DY166,PRODUCE!$EB$74:$IY$74)</f>
        <v>0</v>
      </c>
      <c r="WL159" s="422"/>
      <c r="WM159" s="540">
        <f t="shared" si="1205"/>
        <v>0</v>
      </c>
      <c r="WN159" s="540">
        <f t="shared" si="1206"/>
        <v>2317</v>
      </c>
      <c r="WO159" s="56"/>
      <c r="WR159" s="55">
        <f t="shared" si="1207"/>
        <v>46155</v>
      </c>
      <c r="WS159" s="422"/>
      <c r="WT159" s="540">
        <f>SUMPRODUCT(PRODUCE!$B166:$DY166,PRODUCE!$EB$75:$IY$75)</f>
        <v>0</v>
      </c>
      <c r="WU159" s="422">
        <v>776</v>
      </c>
      <c r="WV159" s="540">
        <f t="shared" si="1208"/>
        <v>-776</v>
      </c>
      <c r="WW159" s="540">
        <f t="shared" si="1209"/>
        <v>0</v>
      </c>
      <c r="WX159" s="56"/>
      <c r="XA159" s="55">
        <f t="shared" si="1210"/>
        <v>46155</v>
      </c>
      <c r="XB159" s="422"/>
      <c r="XC159" s="540">
        <f>SUMPRODUCT(PRODUCE!$B166:$DY166,PRODUCE!$EB$76:$IY$76)</f>
        <v>0</v>
      </c>
      <c r="XD159" s="422"/>
      <c r="XE159" s="540">
        <f t="shared" si="1211"/>
        <v>0</v>
      </c>
      <c r="XF159" s="540">
        <f t="shared" si="1212"/>
        <v>10627</v>
      </c>
      <c r="XG159" s="56"/>
      <c r="XJ159" s="55">
        <f t="shared" si="1213"/>
        <v>46155</v>
      </c>
      <c r="XK159" s="422"/>
      <c r="XL159" s="540">
        <f>SUMPRODUCT(PRODUCE!$B166:$DY166,PRODUCE!$EB$77:$IY$77)</f>
        <v>0</v>
      </c>
      <c r="XM159" s="422">
        <f>260+168</f>
        <v>428</v>
      </c>
      <c r="XN159" s="540">
        <f t="shared" si="1214"/>
        <v>-428</v>
      </c>
      <c r="XO159" s="540">
        <f t="shared" si="1215"/>
        <v>861</v>
      </c>
      <c r="XP159" s="56"/>
      <c r="XS159" s="55">
        <f t="shared" si="1216"/>
        <v>46155</v>
      </c>
      <c r="XT159" s="56"/>
      <c r="XU159" s="242">
        <f>SUMPRODUCT(PRODUCE!$B166:$DY166,PRODUCE!$EB$78:$IY$78)</f>
        <v>0</v>
      </c>
      <c r="XV159" s="56"/>
      <c r="XW159" s="242">
        <f t="shared" si="1217"/>
        <v>0</v>
      </c>
      <c r="XX159" s="242">
        <f t="shared" si="1218"/>
        <v>1901</v>
      </c>
      <c r="XY159" s="56"/>
      <c r="YB159" s="55">
        <f t="shared" si="1219"/>
        <v>46155</v>
      </c>
      <c r="YC159" s="56"/>
      <c r="YD159" s="242">
        <f>SUMPRODUCT(PRODUCE!$B166:$DY166,PRODUCE!$EB$79:$IY$79)</f>
        <v>0</v>
      </c>
      <c r="YE159" s="56"/>
      <c r="YF159" s="242">
        <f t="shared" si="1220"/>
        <v>0</v>
      </c>
      <c r="YG159" s="242">
        <f t="shared" si="1221"/>
        <v>6459</v>
      </c>
      <c r="YH159" s="56"/>
      <c r="YK159" s="55">
        <f t="shared" si="1222"/>
        <v>46155</v>
      </c>
      <c r="YL159" s="56"/>
      <c r="YM159" s="242">
        <f>SUMPRODUCT(PRODUCE!$B166:$DY166,PRODUCE!$EB$80:$IY$80)</f>
        <v>0</v>
      </c>
      <c r="YN159" s="56"/>
      <c r="YO159" s="242">
        <f t="shared" si="1223"/>
        <v>0</v>
      </c>
      <c r="YP159" s="242">
        <f t="shared" si="1224"/>
        <v>0</v>
      </c>
      <c r="YQ159" s="56"/>
      <c r="YT159" s="55">
        <f t="shared" si="1225"/>
        <v>46155</v>
      </c>
      <c r="YU159" s="56"/>
      <c r="YV159" s="242">
        <f>SUMPRODUCT(PRODUCE!$B166:$DY166,PRODUCE!$EB$57:$IY$57)</f>
        <v>0</v>
      </c>
      <c r="YW159" s="56"/>
      <c r="YX159" s="242">
        <f t="shared" si="1226"/>
        <v>0</v>
      </c>
      <c r="YY159" s="242">
        <f t="shared" si="1227"/>
        <v>0</v>
      </c>
      <c r="YZ159" s="56"/>
      <c r="ZC159" s="55">
        <f t="shared" si="1228"/>
        <v>46155</v>
      </c>
      <c r="ZD159" s="56"/>
      <c r="ZE159" s="242">
        <f>SUMPRODUCT(PRODUCE!$B166:$DY166,PRODUCE!$EB$57:$IY$57)</f>
        <v>0</v>
      </c>
      <c r="ZF159" s="56"/>
      <c r="ZG159" s="242">
        <f t="shared" si="1229"/>
        <v>0</v>
      </c>
      <c r="ZH159" s="242">
        <f t="shared" si="1230"/>
        <v>0</v>
      </c>
      <c r="ZI159" s="56"/>
      <c r="ZL159" s="55">
        <f t="shared" si="1231"/>
        <v>46155</v>
      </c>
      <c r="ZM159" s="56"/>
      <c r="ZN159" s="242">
        <f>SUMPRODUCT(PRODUCE!$B166:$DY166,PRODUCE!$EB$57:$IY$57)</f>
        <v>0</v>
      </c>
      <c r="ZO159" s="56"/>
      <c r="ZP159" s="242">
        <f t="shared" si="1232"/>
        <v>0</v>
      </c>
      <c r="ZQ159" s="242">
        <f t="shared" si="1233"/>
        <v>0</v>
      </c>
      <c r="ZR159" s="56"/>
      <c r="ZU159" s="55">
        <f t="shared" si="1234"/>
        <v>46155</v>
      </c>
      <c r="ZV159" s="56"/>
      <c r="ZW159" s="242">
        <f>SUMPRODUCT(PRODUCE!$B166:$DY166,PRODUCE!$EB$57:$IY$57)</f>
        <v>0</v>
      </c>
      <c r="ZX159" s="56"/>
      <c r="ZY159" s="242">
        <f t="shared" si="1235"/>
        <v>0</v>
      </c>
      <c r="ZZ159" s="242">
        <f t="shared" si="1236"/>
        <v>0</v>
      </c>
      <c r="AAA159" s="56"/>
      <c r="AAD159" s="55">
        <f t="shared" si="1237"/>
        <v>46155</v>
      </c>
      <c r="AAE159" s="56"/>
      <c r="AAF159" s="242">
        <f>SUMPRODUCT(PRODUCE!$B166:$DY166,PRODUCE!$EB$57:$IY$57)</f>
        <v>0</v>
      </c>
      <c r="AAG159" s="56"/>
      <c r="AAH159" s="242">
        <f t="shared" si="1238"/>
        <v>0</v>
      </c>
      <c r="AAI159" s="242">
        <f t="shared" si="1239"/>
        <v>0</v>
      </c>
      <c r="AAJ159" s="56"/>
      <c r="AAM159" s="55">
        <f t="shared" si="1240"/>
        <v>46155</v>
      </c>
      <c r="AAN159" s="56"/>
      <c r="AAO159" s="242">
        <f>SUMPRODUCT(PRODUCE!$B166:$DY166,PRODUCE!$EB$57:$IY$57)</f>
        <v>0</v>
      </c>
      <c r="AAP159" s="56"/>
      <c r="AAQ159" s="242">
        <f t="shared" si="1241"/>
        <v>0</v>
      </c>
      <c r="AAR159" s="242">
        <f t="shared" si="1242"/>
        <v>0</v>
      </c>
      <c r="AAS159" s="56"/>
      <c r="AAV159" s="55">
        <f t="shared" si="1243"/>
        <v>46155</v>
      </c>
      <c r="AAW159" s="56"/>
      <c r="AAX159" s="242">
        <f>SUMPRODUCT(PRODUCE!$B166:$DY166,PRODUCE!$EB$57:$IY$57)</f>
        <v>0</v>
      </c>
      <c r="AAY159" s="56"/>
      <c r="AAZ159" s="242">
        <f t="shared" si="1244"/>
        <v>0</v>
      </c>
      <c r="ABA159" s="242">
        <f t="shared" si="1245"/>
        <v>0</v>
      </c>
      <c r="ABB159" s="56"/>
      <c r="ABE159" s="55">
        <f t="shared" si="1246"/>
        <v>46155</v>
      </c>
      <c r="ABF159" s="56"/>
      <c r="ABG159" s="242">
        <f>SUMPRODUCT(PRODUCE!$B166:$DY166,PRODUCE!$EB$57:$IY$57)</f>
        <v>0</v>
      </c>
      <c r="ABH159" s="56"/>
      <c r="ABI159" s="242">
        <f t="shared" si="1247"/>
        <v>0</v>
      </c>
      <c r="ABJ159" s="242">
        <f t="shared" si="1248"/>
        <v>0</v>
      </c>
      <c r="ABK159" s="56"/>
    </row>
    <row r="160" spans="2:739" s="54" customFormat="1" ht="15" customHeight="1" outlineLevel="1">
      <c r="B160" s="478">
        <v>14</v>
      </c>
      <c r="C160" s="55">
        <v>46156</v>
      </c>
      <c r="D160" s="422">
        <v>73340</v>
      </c>
      <c r="E160" s="423">
        <f>SUMPRODUCT(PRODUCE!$B167:$DY167,PRODUCE!$EB$7:$IY$7)</f>
        <v>8078.0000000000018</v>
      </c>
      <c r="F160" s="422">
        <v>8076</v>
      </c>
      <c r="G160" s="423">
        <f t="shared" si="1004"/>
        <v>2.000000000001819</v>
      </c>
      <c r="H160" s="423">
        <f t="shared" si="1005"/>
        <v>201662.20000000007</v>
      </c>
      <c r="I160" s="289" t="s">
        <v>267</v>
      </c>
      <c r="L160" s="55">
        <f t="shared" si="1006"/>
        <v>46156</v>
      </c>
      <c r="M160" s="422">
        <v>61220</v>
      </c>
      <c r="N160" s="438">
        <f>SUMPRODUCT(PRODUCE!$B167:$DY167,PRODUCE!$EB$8:$IY$8)</f>
        <v>3598</v>
      </c>
      <c r="O160" s="422">
        <v>3599.2</v>
      </c>
      <c r="P160" s="438">
        <f t="shared" si="1007"/>
        <v>-1.1999999999998181</v>
      </c>
      <c r="Q160" s="438">
        <f t="shared" si="1008"/>
        <v>72873.600000000093</v>
      </c>
      <c r="R160" s="56"/>
      <c r="U160" s="55">
        <f t="shared" si="1009"/>
        <v>46156</v>
      </c>
      <c r="V160" s="422"/>
      <c r="W160" s="440">
        <f>SUMPRODUCT(PRODUCE!$B167:$DY167,PRODUCE!$EB$9:$IY$9)</f>
        <v>420</v>
      </c>
      <c r="X160" s="422">
        <v>420.7</v>
      </c>
      <c r="Y160" s="440">
        <f t="shared" si="1010"/>
        <v>-0.69999999999998863</v>
      </c>
      <c r="Z160" s="440">
        <f t="shared" si="1011"/>
        <v>24341.399999999969</v>
      </c>
      <c r="AA160" s="56"/>
      <c r="AD160" s="55">
        <f t="shared" si="1012"/>
        <v>46156</v>
      </c>
      <c r="AE160" s="422"/>
      <c r="AF160" s="442">
        <f>SUMPRODUCT(PRODUCE!$B167:$DY167,PRODUCE!$EB$10:$IY$10)</f>
        <v>280</v>
      </c>
      <c r="AG160" s="422">
        <v>280.5</v>
      </c>
      <c r="AH160" s="442">
        <f t="shared" si="1013"/>
        <v>-0.5</v>
      </c>
      <c r="AI160" s="442">
        <f t="shared" si="1014"/>
        <v>24547.000000000018</v>
      </c>
      <c r="AJ160" s="56"/>
      <c r="AM160" s="55">
        <f t="shared" si="1015"/>
        <v>46156</v>
      </c>
      <c r="AN160" s="422"/>
      <c r="AO160" s="444">
        <f>SUMPRODUCT(PRODUCE!$B167:$DY167,PRODUCE!$EB$11:$IY$11)</f>
        <v>0</v>
      </c>
      <c r="AP160" s="422"/>
      <c r="AQ160" s="444">
        <f t="shared" si="1016"/>
        <v>0</v>
      </c>
      <c r="AR160" s="444">
        <f t="shared" si="1017"/>
        <v>0</v>
      </c>
      <c r="AS160" s="56"/>
      <c r="AV160" s="55">
        <f t="shared" si="1018"/>
        <v>46156</v>
      </c>
      <c r="AW160" s="422"/>
      <c r="AX160" s="446">
        <f>SUMPRODUCT(PRODUCE!$B167:$DY167,PRODUCE!$EB$12:$IY$12)</f>
        <v>1050</v>
      </c>
      <c r="AY160" s="422">
        <f>1050.8</f>
        <v>1050.8</v>
      </c>
      <c r="AZ160" s="446">
        <f t="shared" si="1019"/>
        <v>-0.79999999999995453</v>
      </c>
      <c r="BA160" s="446">
        <f t="shared" si="1020"/>
        <v>32623.999999999996</v>
      </c>
      <c r="BB160" s="56"/>
      <c r="BE160" s="55">
        <f t="shared" si="1021"/>
        <v>46156</v>
      </c>
      <c r="BF160" s="422"/>
      <c r="BG160" s="448">
        <f>SUMPRODUCT(PRODUCE!$B167:$DY167,PRODUCE!$EB$13:$IY$13)</f>
        <v>0</v>
      </c>
      <c r="BH160" s="422"/>
      <c r="BI160" s="448">
        <f t="shared" si="1022"/>
        <v>0</v>
      </c>
      <c r="BJ160" s="448">
        <f t="shared" si="1023"/>
        <v>15151.799999999994</v>
      </c>
      <c r="BK160" s="56"/>
      <c r="BN160" s="55">
        <f t="shared" si="1024"/>
        <v>46156</v>
      </c>
      <c r="BO160" s="422">
        <v>182.1</v>
      </c>
      <c r="BP160" s="450">
        <f>SUMPRODUCT(PRODUCE!$B167:$DY167,PRODUCE!$EB$14:$IY$14)</f>
        <v>182.00000000000003</v>
      </c>
      <c r="BQ160" s="422">
        <v>182.1</v>
      </c>
      <c r="BR160" s="450">
        <f t="shared" si="1025"/>
        <v>-9.9999999999965894E-2</v>
      </c>
      <c r="BS160" s="450">
        <f t="shared" si="1026"/>
        <v>0</v>
      </c>
      <c r="BT160" s="56"/>
      <c r="BW160" s="55">
        <f t="shared" si="1027"/>
        <v>46156</v>
      </c>
      <c r="BX160" s="422"/>
      <c r="BY160" s="523">
        <f>SUMPRODUCT(PRODUCE!$B167:$DY167,PRODUCE!$EB$15:$IY$15)</f>
        <v>0</v>
      </c>
      <c r="BZ160" s="422"/>
      <c r="CA160" s="523">
        <f t="shared" si="1028"/>
        <v>0</v>
      </c>
      <c r="CB160" s="523">
        <f t="shared" si="1029"/>
        <v>5751.7999999999993</v>
      </c>
      <c r="CC160" s="56"/>
      <c r="CF160" s="55">
        <f t="shared" si="1030"/>
        <v>46156</v>
      </c>
      <c r="CG160" s="422"/>
      <c r="CH160" s="524">
        <f>SUMPRODUCT(PRODUCE!$B167:$DY167,PRODUCE!$EB$16:$IY$16)</f>
        <v>0</v>
      </c>
      <c r="CI160" s="422"/>
      <c r="CJ160" s="524">
        <f t="shared" si="1031"/>
        <v>0</v>
      </c>
      <c r="CK160" s="524">
        <f t="shared" si="1032"/>
        <v>0</v>
      </c>
      <c r="CL160" s="56"/>
      <c r="CO160" s="55">
        <f t="shared" si="1033"/>
        <v>46156</v>
      </c>
      <c r="CP160" s="422"/>
      <c r="CQ160" s="470">
        <f>SUMPRODUCT(PRODUCE!$B167:$DY167,PRODUCE!$EB$17:$IY$17)</f>
        <v>0</v>
      </c>
      <c r="CR160" s="422"/>
      <c r="CS160" s="470">
        <f t="shared" si="1034"/>
        <v>0</v>
      </c>
      <c r="CT160" s="470">
        <f t="shared" si="1035"/>
        <v>0</v>
      </c>
      <c r="CU160" s="56"/>
      <c r="CX160" s="55">
        <f t="shared" si="1036"/>
        <v>46156</v>
      </c>
      <c r="CY160" s="422"/>
      <c r="CZ160" s="525">
        <f>SUMPRODUCT(PRODUCE!$B167:$DY167,PRODUCE!$EB$18:$IY$18)</f>
        <v>0</v>
      </c>
      <c r="DA160" s="422"/>
      <c r="DB160" s="525">
        <f t="shared" si="1037"/>
        <v>0</v>
      </c>
      <c r="DC160" s="525">
        <f t="shared" si="1038"/>
        <v>21657.000000000004</v>
      </c>
      <c r="DD160" s="56"/>
      <c r="DG160" s="55">
        <f t="shared" si="1039"/>
        <v>46156</v>
      </c>
      <c r="DH160" s="422"/>
      <c r="DI160" s="526">
        <f>SUMPRODUCT(PRODUCE!$B167:$DY167,PRODUCE!$EB$19:$IY$19)</f>
        <v>0</v>
      </c>
      <c r="DJ160" s="422"/>
      <c r="DK160" s="526">
        <f t="shared" si="1040"/>
        <v>0</v>
      </c>
      <c r="DL160" s="526">
        <f t="shared" si="1041"/>
        <v>38237.099999999984</v>
      </c>
      <c r="DM160" s="56"/>
      <c r="DP160" s="55">
        <f t="shared" si="1042"/>
        <v>46156</v>
      </c>
      <c r="DQ160" s="422"/>
      <c r="DR160" s="423">
        <f>SUMPRODUCT(PRODUCE!$B167:$DY167,PRODUCE!$EB$20:$IY$20)</f>
        <v>0</v>
      </c>
      <c r="DS160" s="422"/>
      <c r="DT160" s="423">
        <f t="shared" si="1043"/>
        <v>0</v>
      </c>
      <c r="DU160" s="423">
        <f t="shared" si="1044"/>
        <v>5800</v>
      </c>
      <c r="DV160" s="56"/>
      <c r="DY160" s="55">
        <f t="shared" si="1045"/>
        <v>46156</v>
      </c>
      <c r="DZ160" s="56"/>
      <c r="EA160" s="157">
        <f>SUMPRODUCT(PRODUCE!$B167:$DY167,PRODUCE!$EB$21:$IY$21)</f>
        <v>0</v>
      </c>
      <c r="EB160" s="56"/>
      <c r="EC160" s="157">
        <f t="shared" si="1046"/>
        <v>0</v>
      </c>
      <c r="ED160" s="157">
        <f t="shared" si="1047"/>
        <v>0</v>
      </c>
      <c r="EE160" s="56"/>
      <c r="EH160" s="55">
        <f t="shared" si="1048"/>
        <v>46156</v>
      </c>
      <c r="EI160" s="56"/>
      <c r="EJ160" s="162">
        <f>SUMPRODUCT(PRODUCE!$B167:$DY167,PRODUCE!$EB$22:$IY$22)</f>
        <v>0</v>
      </c>
      <c r="EK160" s="56"/>
      <c r="EL160" s="162">
        <f t="shared" si="1049"/>
        <v>0</v>
      </c>
      <c r="EM160" s="162">
        <f t="shared" si="1050"/>
        <v>0</v>
      </c>
      <c r="EN160" s="56"/>
      <c r="EQ160" s="55">
        <f t="shared" si="1051"/>
        <v>46156</v>
      </c>
      <c r="ER160" s="56"/>
      <c r="ES160" s="135">
        <f>SUMPRODUCT(PRODUCE!$B167:$DY167,PRODUCE!$EB$23:$IY$23)</f>
        <v>0</v>
      </c>
      <c r="ET160" s="56"/>
      <c r="EU160" s="135">
        <f t="shared" si="1052"/>
        <v>0</v>
      </c>
      <c r="EV160" s="135">
        <f t="shared" si="1053"/>
        <v>0</v>
      </c>
      <c r="EW160" s="56"/>
      <c r="EZ160" s="55">
        <f t="shared" si="1054"/>
        <v>46156</v>
      </c>
      <c r="FA160" s="56"/>
      <c r="FB160" s="175">
        <f>SUMPRODUCT(PRODUCE!$B167:$DY167,PRODUCE!$EB$24:$IY$24)</f>
        <v>0</v>
      </c>
      <c r="FC160" s="56"/>
      <c r="FD160" s="175">
        <f t="shared" si="1055"/>
        <v>0</v>
      </c>
      <c r="FE160" s="175">
        <f t="shared" si="1056"/>
        <v>0</v>
      </c>
      <c r="FF160" s="56"/>
      <c r="FI160" s="55">
        <f t="shared" si="1057"/>
        <v>46156</v>
      </c>
      <c r="FJ160" s="56"/>
      <c r="FK160" s="183">
        <f>SUMPRODUCT(PRODUCE!$B167:$DY167,PRODUCE!$EB$25:$IY$25)</f>
        <v>0</v>
      </c>
      <c r="FL160" s="56"/>
      <c r="FM160" s="183">
        <f t="shared" si="1058"/>
        <v>0</v>
      </c>
      <c r="FN160" s="183">
        <f t="shared" si="1059"/>
        <v>0</v>
      </c>
      <c r="FO160" s="56"/>
      <c r="FR160" s="55">
        <f t="shared" si="1060"/>
        <v>46156</v>
      </c>
      <c r="FS160" s="56">
        <v>2020</v>
      </c>
      <c r="FT160" s="186">
        <f>SUMPRODUCT(PRODUCE!$B167:$DY167,PRODUCE!$EB$26:$IY$26)</f>
        <v>0</v>
      </c>
      <c r="FU160" s="56"/>
      <c r="FV160" s="186">
        <f t="shared" si="1061"/>
        <v>0</v>
      </c>
      <c r="FW160" s="186">
        <f t="shared" si="1062"/>
        <v>4140</v>
      </c>
      <c r="FX160" s="56"/>
      <c r="GA160" s="55">
        <f t="shared" si="1063"/>
        <v>46156</v>
      </c>
      <c r="GB160" s="56">
        <v>2000</v>
      </c>
      <c r="GC160" s="137">
        <f>SUMPRODUCT(PRODUCE!$B167:$DY167,PRODUCE!$EB$27:$IY$27)</f>
        <v>0</v>
      </c>
      <c r="GD160" s="56"/>
      <c r="GE160" s="137">
        <f t="shared" si="1064"/>
        <v>0</v>
      </c>
      <c r="GF160" s="137">
        <f t="shared" si="1065"/>
        <v>5640</v>
      </c>
      <c r="GG160" s="56"/>
      <c r="GI160" s="23"/>
      <c r="GJ160" s="55">
        <f t="shared" si="1066"/>
        <v>46156</v>
      </c>
      <c r="GK160" s="56">
        <v>4000</v>
      </c>
      <c r="GL160" s="199">
        <f>SUMPRODUCT(PRODUCE!$B167:$DY167,PRODUCE!$EB$28:$IY$28)</f>
        <v>0</v>
      </c>
      <c r="GM160" s="56"/>
      <c r="GN160" s="199">
        <f t="shared" si="1067"/>
        <v>0</v>
      </c>
      <c r="GO160" s="199">
        <f t="shared" si="1068"/>
        <v>4000</v>
      </c>
      <c r="GP160" s="56"/>
      <c r="GS160" s="55">
        <f t="shared" si="1069"/>
        <v>46156</v>
      </c>
      <c r="GT160" s="56">
        <v>1600</v>
      </c>
      <c r="GU160" s="195">
        <f>SUMPRODUCT(PRODUCE!$B167:$DY167,PRODUCE!$EB$29:$IY$29)</f>
        <v>280</v>
      </c>
      <c r="GV160" s="56"/>
      <c r="GW160" s="195">
        <f t="shared" si="1070"/>
        <v>280</v>
      </c>
      <c r="GX160" s="195">
        <f t="shared" si="1071"/>
        <v>1600</v>
      </c>
      <c r="GY160" s="56"/>
      <c r="HB160" s="55">
        <f t="shared" si="1072"/>
        <v>46156</v>
      </c>
      <c r="HC160" s="56">
        <v>3600</v>
      </c>
      <c r="HD160" s="191">
        <f>SUMPRODUCT(PRODUCE!$B167:$DY167,PRODUCE!$EB$30:$IY$30)</f>
        <v>0</v>
      </c>
      <c r="HE160" s="56"/>
      <c r="HF160" s="191">
        <f t="shared" si="1073"/>
        <v>0</v>
      </c>
      <c r="HG160" s="191">
        <f t="shared" si="1074"/>
        <v>3600</v>
      </c>
      <c r="HH160" s="56"/>
      <c r="HK160" s="55">
        <f t="shared" si="1075"/>
        <v>46156</v>
      </c>
      <c r="HL160" s="56"/>
      <c r="HM160" s="63">
        <f>SUMPRODUCT(PRODUCE!$B167:$DY167,PRODUCE!$EB$31:$IY$31)</f>
        <v>0</v>
      </c>
      <c r="HN160" s="56"/>
      <c r="HO160" s="63">
        <f t="shared" si="1076"/>
        <v>0</v>
      </c>
      <c r="HP160" s="63">
        <f t="shared" si="1077"/>
        <v>0</v>
      </c>
      <c r="HQ160" s="56"/>
      <c r="HU160" s="55">
        <f t="shared" si="1078"/>
        <v>46156</v>
      </c>
      <c r="HV160" s="56"/>
      <c r="HW160" s="242">
        <f>SUMPRODUCT(PRODUCE!$B167:$DY167,PRODUCE!$EB$32:$IY$32)</f>
        <v>0</v>
      </c>
      <c r="HX160" s="56"/>
      <c r="HY160" s="242">
        <f t="shared" si="1079"/>
        <v>0</v>
      </c>
      <c r="HZ160" s="242">
        <f t="shared" si="1080"/>
        <v>5280</v>
      </c>
      <c r="IA160" s="56"/>
      <c r="ID160" s="55">
        <f t="shared" si="1081"/>
        <v>46156</v>
      </c>
      <c r="IE160" s="56"/>
      <c r="IF160" s="242">
        <f>SUMPRODUCT(PRODUCE!$B167:$DY167,PRODUCE!$EB$33:$IY$33)</f>
        <v>0</v>
      </c>
      <c r="IG160" s="56"/>
      <c r="IH160" s="242">
        <f t="shared" si="1082"/>
        <v>0</v>
      </c>
      <c r="II160" s="242">
        <f t="shared" si="1083"/>
        <v>720</v>
      </c>
      <c r="IJ160" s="56"/>
      <c r="IM160" s="55">
        <f t="shared" si="1084"/>
        <v>46156</v>
      </c>
      <c r="IN160" s="56"/>
      <c r="IO160" s="242">
        <f>SUMPRODUCT(PRODUCE!$B167:$DY167,PRODUCE!$EB$34:$IY$34)</f>
        <v>0</v>
      </c>
      <c r="IP160" s="56"/>
      <c r="IQ160" s="242">
        <f t="shared" si="1085"/>
        <v>0</v>
      </c>
      <c r="IR160" s="242">
        <f t="shared" si="1086"/>
        <v>11540</v>
      </c>
      <c r="IS160" s="56"/>
      <c r="IV160" s="55">
        <f t="shared" si="1087"/>
        <v>46156</v>
      </c>
      <c r="IW160" s="56"/>
      <c r="IX160" s="242">
        <f>SUMPRODUCT(PRODUCE!$B167:$DY167,PRODUCE!$EB$35:$IY$35)</f>
        <v>0</v>
      </c>
      <c r="IY160" s="56"/>
      <c r="IZ160" s="242">
        <f t="shared" si="1088"/>
        <v>0</v>
      </c>
      <c r="JA160" s="242">
        <f t="shared" si="1089"/>
        <v>12860</v>
      </c>
      <c r="JB160" s="56"/>
      <c r="JE160" s="55">
        <f t="shared" si="1090"/>
        <v>46156</v>
      </c>
      <c r="JF160" s="56"/>
      <c r="JG160" s="242">
        <f>SUMPRODUCT(PRODUCE!$B167:$DY167,PRODUCE!$EB$36:$IY$36)</f>
        <v>0</v>
      </c>
      <c r="JH160" s="56"/>
      <c r="JI160" s="242">
        <f t="shared" si="1091"/>
        <v>0</v>
      </c>
      <c r="JJ160" s="242">
        <f t="shared" si="1092"/>
        <v>0</v>
      </c>
      <c r="JK160" s="56"/>
      <c r="JN160" s="55">
        <f t="shared" si="1093"/>
        <v>46156</v>
      </c>
      <c r="JO160" s="56"/>
      <c r="JP160" s="242">
        <f>SUMPRODUCT(PRODUCE!$B167:$DY167,PRODUCE!$EB$37:$IY$37)</f>
        <v>0</v>
      </c>
      <c r="JQ160" s="56"/>
      <c r="JR160" s="242">
        <f t="shared" si="1094"/>
        <v>0</v>
      </c>
      <c r="JS160" s="242">
        <f t="shared" si="1095"/>
        <v>6700</v>
      </c>
      <c r="JT160" s="56"/>
      <c r="JW160" s="55">
        <f t="shared" si="1096"/>
        <v>46156</v>
      </c>
      <c r="JX160" s="56"/>
      <c r="JY160" s="242">
        <f>SUMPRODUCT(PRODUCE!$B167:$DY167,PRODUCE!$EB$38:$IY$38)</f>
        <v>0</v>
      </c>
      <c r="JZ160" s="56"/>
      <c r="KA160" s="242">
        <f t="shared" si="1097"/>
        <v>0</v>
      </c>
      <c r="KB160" s="242">
        <f t="shared" si="1098"/>
        <v>2540</v>
      </c>
      <c r="KC160" s="56"/>
      <c r="KF160" s="55">
        <f t="shared" si="1099"/>
        <v>46156</v>
      </c>
      <c r="KG160" s="56"/>
      <c r="KH160" s="242">
        <f>SUMPRODUCT(PRODUCE!$B167:$DY167,PRODUCE!$EB$39:$IY$39)</f>
        <v>0</v>
      </c>
      <c r="KI160" s="56"/>
      <c r="KJ160" s="242">
        <f t="shared" si="1100"/>
        <v>0</v>
      </c>
      <c r="KK160" s="242">
        <f t="shared" si="1101"/>
        <v>2359.5</v>
      </c>
      <c r="KL160" s="56"/>
      <c r="KO160" s="55">
        <f t="shared" si="1102"/>
        <v>46156</v>
      </c>
      <c r="KP160" s="56"/>
      <c r="KQ160" s="242">
        <f>SUMPRODUCT(PRODUCE!$B167:$DY167,PRODUCE!$EB$40:$IY$40)</f>
        <v>0</v>
      </c>
      <c r="KR160" s="56"/>
      <c r="KS160" s="242">
        <f t="shared" si="1103"/>
        <v>0</v>
      </c>
      <c r="KT160" s="242">
        <f t="shared" si="1104"/>
        <v>1890</v>
      </c>
      <c r="KU160" s="56"/>
      <c r="KW160" s="23"/>
      <c r="KX160" s="55">
        <f t="shared" si="1105"/>
        <v>46156</v>
      </c>
      <c r="KY160" s="56"/>
      <c r="KZ160" s="242">
        <f>SUMPRODUCT(PRODUCE!$B167:$DY167,PRODUCE!$EB$41:$IY$41)</f>
        <v>0</v>
      </c>
      <c r="LA160" s="56"/>
      <c r="LB160" s="242">
        <f t="shared" si="1106"/>
        <v>0</v>
      </c>
      <c r="LC160" s="242">
        <f t="shared" si="1107"/>
        <v>3690</v>
      </c>
      <c r="LD160" s="56"/>
      <c r="LG160" s="55">
        <f t="shared" si="1108"/>
        <v>46156</v>
      </c>
      <c r="LH160" s="56"/>
      <c r="LI160" s="242">
        <f>SUMPRODUCT(PRODUCE!$B167:$DY167,PRODUCE!$EB$42:$IY$42)</f>
        <v>0</v>
      </c>
      <c r="LJ160" s="56"/>
      <c r="LK160" s="242">
        <f t="shared" si="1109"/>
        <v>0</v>
      </c>
      <c r="LL160" s="242">
        <f t="shared" si="1110"/>
        <v>4000</v>
      </c>
      <c r="LM160" s="56"/>
      <c r="LP160" s="55">
        <f t="shared" si="1111"/>
        <v>46156</v>
      </c>
      <c r="LQ160" s="56"/>
      <c r="LR160" s="242">
        <f>SUMPRODUCT(PRODUCE!$B175:$DY175,PRODUCE!$EB$43:$IY$43)</f>
        <v>0</v>
      </c>
      <c r="LS160" s="56"/>
      <c r="LT160" s="242">
        <f t="shared" si="1112"/>
        <v>0</v>
      </c>
      <c r="LU160" s="242">
        <f t="shared" si="1113"/>
        <v>0</v>
      </c>
      <c r="LV160" s="56"/>
      <c r="LY160" s="55">
        <f t="shared" si="1114"/>
        <v>46156</v>
      </c>
      <c r="LZ160" s="56"/>
      <c r="MA160" s="242">
        <f>SUMPRODUCT(PRODUCE!$B167:$DY167,PRODUCE!$EB$44:$IY$44)</f>
        <v>0</v>
      </c>
      <c r="MB160" s="56"/>
      <c r="MC160" s="242">
        <f t="shared" si="1115"/>
        <v>0</v>
      </c>
      <c r="MD160" s="242">
        <f t="shared" si="1116"/>
        <v>0</v>
      </c>
      <c r="ME160" s="56"/>
      <c r="MH160" s="55">
        <f t="shared" si="1117"/>
        <v>46156</v>
      </c>
      <c r="MI160" s="56"/>
      <c r="MJ160" s="242">
        <f>SUMPRODUCT(PRODUCE!$B167:$DY167,PRODUCE!$EB$45:$IY$45)</f>
        <v>0</v>
      </c>
      <c r="MK160" s="56"/>
      <c r="ML160" s="242">
        <f t="shared" si="1118"/>
        <v>0</v>
      </c>
      <c r="MM160" s="242">
        <f t="shared" si="1119"/>
        <v>0</v>
      </c>
      <c r="MN160" s="56"/>
      <c r="MQ160" s="55">
        <f t="shared" si="1120"/>
        <v>46156</v>
      </c>
      <c r="MR160" s="56"/>
      <c r="MS160" s="242">
        <f>SUMPRODUCT(PRODUCE!$B167:$DY167,PRODUCE!$EB$46:$IY$46)</f>
        <v>0</v>
      </c>
      <c r="MT160" s="56"/>
      <c r="MU160" s="242">
        <f t="shared" si="1121"/>
        <v>0</v>
      </c>
      <c r="MV160" s="242">
        <f t="shared" si="1122"/>
        <v>3837</v>
      </c>
      <c r="MW160" s="56"/>
      <c r="MZ160" s="55">
        <f t="shared" si="1123"/>
        <v>46156</v>
      </c>
      <c r="NA160" s="56"/>
      <c r="NB160" s="242">
        <f>SUMPRODUCT(PRODUCE!$B167:$DY167,PRODUCE!$EB$47:$IY$47)</f>
        <v>70</v>
      </c>
      <c r="NC160" s="56"/>
      <c r="ND160" s="242">
        <f t="shared" si="1124"/>
        <v>70</v>
      </c>
      <c r="NE160" s="242">
        <f t="shared" si="1125"/>
        <v>0</v>
      </c>
      <c r="NF160" s="56"/>
      <c r="NI160" s="55">
        <f t="shared" si="1126"/>
        <v>46156</v>
      </c>
      <c r="NJ160" s="56"/>
      <c r="NK160" s="242">
        <f>SUMPRODUCT(PRODUCE!$B167:$DY167,PRODUCE!$EB$48:$IY$48)</f>
        <v>0</v>
      </c>
      <c r="NL160" s="56"/>
      <c r="NM160" s="242">
        <f t="shared" si="1127"/>
        <v>0</v>
      </c>
      <c r="NN160" s="242">
        <f t="shared" si="1128"/>
        <v>1127</v>
      </c>
      <c r="NO160" s="56"/>
      <c r="NR160" s="55">
        <f t="shared" si="1129"/>
        <v>46156</v>
      </c>
      <c r="NS160" s="56"/>
      <c r="NT160" s="242">
        <f>SUMPRODUCT(PRODUCE!$B167:$DY167,PRODUCE!$EB$49:$IY$49)</f>
        <v>0</v>
      </c>
      <c r="NU160" s="56"/>
      <c r="NV160" s="242">
        <f t="shared" si="1130"/>
        <v>0</v>
      </c>
      <c r="NW160" s="242">
        <f t="shared" si="1131"/>
        <v>3111.9999999999995</v>
      </c>
      <c r="NX160" s="56"/>
      <c r="OA160" s="55">
        <f t="shared" si="1132"/>
        <v>46156</v>
      </c>
      <c r="OB160" s="56"/>
      <c r="OC160" s="242">
        <f>SUMPRODUCT(PRODUCE!$B167:$DY167,PRODUCE!$EB$50:$IY$50)</f>
        <v>0</v>
      </c>
      <c r="OD160" s="56"/>
      <c r="OE160" s="242">
        <f t="shared" si="1133"/>
        <v>0</v>
      </c>
      <c r="OF160" s="242">
        <f t="shared" si="1134"/>
        <v>1680.5</v>
      </c>
      <c r="OG160" s="56"/>
      <c r="OJ160" s="55">
        <f t="shared" si="1135"/>
        <v>46156</v>
      </c>
      <c r="OK160" s="56"/>
      <c r="OL160" s="242">
        <f>SUMPRODUCT(PRODUCE!$B167:$DY167,PRODUCE!$EB$51:$IY$51)</f>
        <v>28</v>
      </c>
      <c r="OM160" s="56"/>
      <c r="ON160" s="242">
        <f t="shared" si="1136"/>
        <v>28</v>
      </c>
      <c r="OO160" s="242">
        <f t="shared" si="1137"/>
        <v>0</v>
      </c>
      <c r="OP160" s="56"/>
      <c r="OS160" s="55">
        <f t="shared" si="1138"/>
        <v>46156</v>
      </c>
      <c r="OT160" s="56">
        <v>500</v>
      </c>
      <c r="OU160" s="242">
        <f>SUMPRODUCT(PRODUCE!$B167:$DY167,PRODUCE!$EB$52:$IY$52)</f>
        <v>0</v>
      </c>
      <c r="OV160" s="56"/>
      <c r="OW160" s="242">
        <f t="shared" si="1139"/>
        <v>0</v>
      </c>
      <c r="OX160" s="242">
        <f t="shared" si="1140"/>
        <v>1482</v>
      </c>
      <c r="OY160" s="56"/>
      <c r="PB160" s="55">
        <f t="shared" si="1141"/>
        <v>46156</v>
      </c>
      <c r="PC160" s="56"/>
      <c r="PD160" s="242">
        <f>SUMPRODUCT(PRODUCE!$B167:$DY167,PRODUCE!$EB$53:$IY$53)</f>
        <v>0</v>
      </c>
      <c r="PE160" s="56"/>
      <c r="PF160" s="242">
        <f t="shared" si="1142"/>
        <v>0</v>
      </c>
      <c r="PG160" s="242">
        <f t="shared" si="1143"/>
        <v>0</v>
      </c>
      <c r="PH160" s="56"/>
      <c r="PK160" s="55">
        <f t="shared" si="1144"/>
        <v>46156</v>
      </c>
      <c r="PL160" s="56"/>
      <c r="PM160" s="242">
        <f>SUMPRODUCT(PRODUCE!$B167:$DY167,PRODUCE!$EB$54:$IY$54)</f>
        <v>0</v>
      </c>
      <c r="PN160" s="56"/>
      <c r="PO160" s="242">
        <f t="shared" si="1145"/>
        <v>0</v>
      </c>
      <c r="PP160" s="242">
        <f t="shared" si="1146"/>
        <v>100</v>
      </c>
      <c r="PQ160" s="56"/>
      <c r="PT160" s="55">
        <f t="shared" si="1147"/>
        <v>46156</v>
      </c>
      <c r="PU160" s="56"/>
      <c r="PV160" s="242">
        <f>SUMPRODUCT(PRODUCE!$B167:$DY167,PRODUCE!$EB$55:$IY$55)</f>
        <v>0</v>
      </c>
      <c r="PW160" s="56"/>
      <c r="PX160" s="242">
        <f t="shared" si="1148"/>
        <v>0</v>
      </c>
      <c r="PY160" s="242">
        <f t="shared" si="1149"/>
        <v>13.960000000000036</v>
      </c>
      <c r="PZ160" s="56"/>
      <c r="QC160" s="55">
        <f t="shared" si="1150"/>
        <v>46156</v>
      </c>
      <c r="QD160" s="56"/>
      <c r="QE160" s="242">
        <f>SUMPRODUCT(PRODUCE!$B167:$DY167,PRODUCE!$EB$56:$IY$56)</f>
        <v>0</v>
      </c>
      <c r="QF160" s="56"/>
      <c r="QG160" s="242">
        <f t="shared" si="1151"/>
        <v>0</v>
      </c>
      <c r="QH160" s="242">
        <f t="shared" si="1152"/>
        <v>876</v>
      </c>
      <c r="QI160" s="56"/>
      <c r="QL160" s="55">
        <f t="shared" si="1153"/>
        <v>46156</v>
      </c>
      <c r="QM160" s="56"/>
      <c r="QN160" s="242">
        <f>SUMPRODUCT(PRODUCE!$B167:$DY167,PRODUCE!$EB$57:$IY$57)</f>
        <v>0</v>
      </c>
      <c r="QO160" s="56"/>
      <c r="QP160" s="242">
        <f t="shared" si="1154"/>
        <v>0</v>
      </c>
      <c r="QQ160" s="242">
        <f t="shared" si="1155"/>
        <v>665</v>
      </c>
      <c r="QR160" s="56"/>
      <c r="QU160" s="55">
        <f t="shared" si="1156"/>
        <v>46156</v>
      </c>
      <c r="QV160" s="56"/>
      <c r="QW160" s="242">
        <f>SUMPRODUCT(PRODUCE!$B167:$DY167,PRODUCE!$EB$58:$IY$58)</f>
        <v>0</v>
      </c>
      <c r="QX160" s="56"/>
      <c r="QY160" s="242">
        <f t="shared" si="1157"/>
        <v>0</v>
      </c>
      <c r="QZ160" s="242">
        <f t="shared" si="1158"/>
        <v>207.6</v>
      </c>
      <c r="RA160" s="56"/>
      <c r="RD160" s="55">
        <f t="shared" si="1159"/>
        <v>46156</v>
      </c>
      <c r="RE160" s="56"/>
      <c r="RF160" s="242">
        <f>SUMPRODUCT(PRODUCE!$B167:$DY167,PRODUCE!$EB$59:$IY$59)</f>
        <v>0</v>
      </c>
      <c r="RG160" s="56"/>
      <c r="RH160" s="242">
        <f t="shared" si="1160"/>
        <v>0</v>
      </c>
      <c r="RI160" s="242">
        <f t="shared" si="1161"/>
        <v>147.04000000000002</v>
      </c>
      <c r="RJ160" s="56"/>
      <c r="RM160" s="55">
        <f t="shared" si="1162"/>
        <v>46156</v>
      </c>
      <c r="RN160" s="56"/>
      <c r="RO160" s="242">
        <f>SUMPRODUCT(PRODUCE!$B167:$DY167,PRODUCE!$EB$60:$IY$60)</f>
        <v>0</v>
      </c>
      <c r="RP160" s="56"/>
      <c r="RQ160" s="242">
        <f t="shared" si="1163"/>
        <v>0</v>
      </c>
      <c r="RR160" s="242">
        <f t="shared" si="1164"/>
        <v>46.8</v>
      </c>
      <c r="RS160" s="56"/>
      <c r="RV160" s="55">
        <f t="shared" si="1165"/>
        <v>46156</v>
      </c>
      <c r="RW160" s="56"/>
      <c r="RX160" s="242">
        <f>SUMPRODUCT(PRODUCE!$B167:$DY167,PRODUCE!$EB$61:$IY$61)</f>
        <v>0</v>
      </c>
      <c r="RY160" s="56"/>
      <c r="RZ160" s="242">
        <f t="shared" si="1166"/>
        <v>0</v>
      </c>
      <c r="SA160" s="242">
        <f t="shared" si="1167"/>
        <v>0</v>
      </c>
      <c r="SB160" s="56"/>
      <c r="SE160" s="55">
        <f t="shared" si="1168"/>
        <v>46156</v>
      </c>
      <c r="SF160" s="56"/>
      <c r="SG160" s="242">
        <f>SUMPRODUCT(PRODUCE!$B167:$DY167,PRODUCE!$EB$62:$IY$62)</f>
        <v>0</v>
      </c>
      <c r="SH160" s="56"/>
      <c r="SI160" s="242">
        <f t="shared" si="1169"/>
        <v>0</v>
      </c>
      <c r="SJ160" s="242">
        <f t="shared" si="1170"/>
        <v>24.200000000000003</v>
      </c>
      <c r="SK160" s="56"/>
      <c r="SN160" s="55">
        <f t="shared" si="1171"/>
        <v>46156</v>
      </c>
      <c r="SO160" s="56"/>
      <c r="SP160" s="242">
        <f>SUMPRODUCT(PRODUCE!$B167:$DY167,PRODUCE!$EB$63:$IY$63)</f>
        <v>0</v>
      </c>
      <c r="SQ160" s="56"/>
      <c r="SR160" s="242">
        <f t="shared" si="1172"/>
        <v>0</v>
      </c>
      <c r="SS160" s="242">
        <f t="shared" si="1173"/>
        <v>32</v>
      </c>
      <c r="ST160" s="56"/>
      <c r="SW160" s="55">
        <f t="shared" si="1174"/>
        <v>46156</v>
      </c>
      <c r="SX160" s="56"/>
      <c r="SY160" s="242">
        <f>SUMPRODUCT(PRODUCE!$B167:$DY167,PRODUCE!$EB$64:$IY$64)</f>
        <v>0</v>
      </c>
      <c r="SZ160" s="56"/>
      <c r="TA160" s="242">
        <f t="shared" si="1175"/>
        <v>0</v>
      </c>
      <c r="TB160" s="242">
        <f t="shared" si="1176"/>
        <v>0</v>
      </c>
      <c r="TC160" s="56"/>
      <c r="TF160" s="55">
        <f t="shared" si="1177"/>
        <v>46156</v>
      </c>
      <c r="TG160" s="56"/>
      <c r="TH160" s="242">
        <f>SUMPRODUCT(PRODUCE!$B167:$DY167,PRODUCE!$EB$65:$IY$65)</f>
        <v>14</v>
      </c>
      <c r="TI160" s="56"/>
      <c r="TJ160" s="242">
        <f t="shared" si="1178"/>
        <v>14</v>
      </c>
      <c r="TK160" s="242">
        <f t="shared" si="1179"/>
        <v>0</v>
      </c>
      <c r="TL160" s="56"/>
      <c r="TO160" s="55">
        <f t="shared" si="1180"/>
        <v>46156</v>
      </c>
      <c r="TP160" s="56"/>
      <c r="TQ160" s="242">
        <f>SUMPRODUCT(PRODUCE!$B167:$DY167,PRODUCE!$EB$66:$IY$66)</f>
        <v>0</v>
      </c>
      <c r="TR160" s="56"/>
      <c r="TS160" s="242">
        <f t="shared" si="1181"/>
        <v>0</v>
      </c>
      <c r="TT160" s="242">
        <f t="shared" si="1182"/>
        <v>0</v>
      </c>
      <c r="TU160" s="56"/>
      <c r="TX160" s="55">
        <f t="shared" si="1183"/>
        <v>46156</v>
      </c>
      <c r="TY160" s="56"/>
      <c r="TZ160" s="242">
        <f>SUMPRODUCT(PRODUCE!$B167:$DY167,PRODUCE!$EB$67:$IY$67)</f>
        <v>0</v>
      </c>
      <c r="UA160" s="56"/>
      <c r="UB160" s="242">
        <f t="shared" si="1184"/>
        <v>0</v>
      </c>
      <c r="UC160" s="242">
        <f t="shared" si="1185"/>
        <v>0</v>
      </c>
      <c r="UD160" s="56"/>
      <c r="UG160" s="55">
        <f t="shared" si="1186"/>
        <v>46156</v>
      </c>
      <c r="UH160" s="56"/>
      <c r="UI160" s="242">
        <f>SUMPRODUCT(PRODUCE!$B167:$DY167,PRODUCE!$EB$68:$IY$68)</f>
        <v>0</v>
      </c>
      <c r="UJ160" s="56"/>
      <c r="UK160" s="242">
        <f t="shared" si="1187"/>
        <v>0</v>
      </c>
      <c r="UL160" s="242">
        <f t="shared" si="1188"/>
        <v>0</v>
      </c>
      <c r="UM160" s="56"/>
      <c r="UP160" s="55">
        <f t="shared" si="1189"/>
        <v>46156</v>
      </c>
      <c r="UQ160" s="56"/>
      <c r="UR160" s="242">
        <f>SUMPRODUCT(PRODUCE!$B167:$DY167,PRODUCE!$EB$69:$IY$69)</f>
        <v>0</v>
      </c>
      <c r="US160" s="56"/>
      <c r="UT160" s="242">
        <f t="shared" si="1190"/>
        <v>0</v>
      </c>
      <c r="UU160" s="242">
        <f t="shared" si="1191"/>
        <v>0</v>
      </c>
      <c r="UV160" s="56"/>
      <c r="UY160" s="55">
        <f t="shared" si="1192"/>
        <v>46156</v>
      </c>
      <c r="UZ160" s="56"/>
      <c r="VA160" s="242">
        <f>SUMPRODUCT(PRODUCE!$B167:$DY167,PRODUCE!$EB$70:$IY$70)</f>
        <v>0</v>
      </c>
      <c r="VB160" s="56"/>
      <c r="VC160" s="242">
        <f t="shared" si="1193"/>
        <v>0</v>
      </c>
      <c r="VD160" s="242">
        <f t="shared" si="1194"/>
        <v>41.600000000000023</v>
      </c>
      <c r="VE160" s="56"/>
      <c r="VH160" s="55">
        <f t="shared" si="1195"/>
        <v>46156</v>
      </c>
      <c r="VI160" s="56"/>
      <c r="VJ160" s="242">
        <f>SUMPRODUCT(PRODUCE!$B167:$DY167,PRODUCE!$EB$71:$IY$71)</f>
        <v>0</v>
      </c>
      <c r="VK160" s="56"/>
      <c r="VL160" s="242">
        <f t="shared" si="1196"/>
        <v>0</v>
      </c>
      <c r="VM160" s="242">
        <f t="shared" si="1197"/>
        <v>0</v>
      </c>
      <c r="VN160" s="56"/>
      <c r="VQ160" s="55">
        <f t="shared" si="1198"/>
        <v>46156</v>
      </c>
      <c r="VR160" s="56"/>
      <c r="VS160" s="242">
        <f>SUMPRODUCT(PRODUCE!$B167:$DY167,PRODUCE!$EB$57:$IY$57)</f>
        <v>0</v>
      </c>
      <c r="VT160" s="56"/>
      <c r="VU160" s="242">
        <f t="shared" si="1199"/>
        <v>0</v>
      </c>
      <c r="VV160" s="242">
        <f t="shared" si="1200"/>
        <v>0</v>
      </c>
      <c r="VW160" s="56"/>
      <c r="VZ160" s="55">
        <f t="shared" si="1201"/>
        <v>46156</v>
      </c>
      <c r="WA160" s="56"/>
      <c r="WB160" s="242">
        <f>SUMPRODUCT(PRODUCE!$B167:$DY167,PRODUCE!$EB$57:$IY$57)</f>
        <v>0</v>
      </c>
      <c r="WC160" s="56"/>
      <c r="WD160" s="242">
        <f t="shared" si="1202"/>
        <v>0</v>
      </c>
      <c r="WE160" s="242">
        <f t="shared" si="1203"/>
        <v>0</v>
      </c>
      <c r="WF160" s="56"/>
      <c r="WI160" s="55">
        <f t="shared" si="1204"/>
        <v>46156</v>
      </c>
      <c r="WJ160" s="422"/>
      <c r="WK160" s="540">
        <f>SUMPRODUCT(PRODUCE!$B167:$DY167,PRODUCE!$EB$74:$IY$74)</f>
        <v>0</v>
      </c>
      <c r="WL160" s="422"/>
      <c r="WM160" s="540">
        <f t="shared" si="1205"/>
        <v>0</v>
      </c>
      <c r="WN160" s="540">
        <f t="shared" si="1206"/>
        <v>2317</v>
      </c>
      <c r="WO160" s="56"/>
      <c r="WR160" s="55">
        <f t="shared" si="1207"/>
        <v>46156</v>
      </c>
      <c r="WS160" s="422"/>
      <c r="WT160" s="540">
        <f>SUMPRODUCT(PRODUCE!$B167:$DY167,PRODUCE!$EB$75:$IY$75)</f>
        <v>0</v>
      </c>
      <c r="WU160" s="422"/>
      <c r="WV160" s="540">
        <f t="shared" si="1208"/>
        <v>0</v>
      </c>
      <c r="WW160" s="540">
        <f t="shared" si="1209"/>
        <v>0</v>
      </c>
      <c r="WX160" s="56"/>
      <c r="XA160" s="55">
        <f t="shared" si="1210"/>
        <v>46156</v>
      </c>
      <c r="XB160" s="422"/>
      <c r="XC160" s="540">
        <f>SUMPRODUCT(PRODUCE!$B167:$DY167,PRODUCE!$EB$76:$IY$76)</f>
        <v>0</v>
      </c>
      <c r="XD160" s="422"/>
      <c r="XE160" s="540">
        <f t="shared" si="1211"/>
        <v>0</v>
      </c>
      <c r="XF160" s="540">
        <f t="shared" si="1212"/>
        <v>10627</v>
      </c>
      <c r="XG160" s="56"/>
      <c r="XJ160" s="55">
        <f t="shared" si="1213"/>
        <v>46156</v>
      </c>
      <c r="XK160" s="422"/>
      <c r="XL160" s="540">
        <f>SUMPRODUCT(PRODUCE!$B167:$DY167,PRODUCE!$EB$77:$IY$77)</f>
        <v>0</v>
      </c>
      <c r="XM160" s="422">
        <v>280</v>
      </c>
      <c r="XN160" s="540">
        <f t="shared" si="1214"/>
        <v>-280</v>
      </c>
      <c r="XO160" s="540">
        <f t="shared" si="1215"/>
        <v>581</v>
      </c>
      <c r="XP160" s="56"/>
      <c r="XS160" s="55">
        <f t="shared" si="1216"/>
        <v>46156</v>
      </c>
      <c r="XT160" s="56"/>
      <c r="XU160" s="242">
        <f>SUMPRODUCT(PRODUCE!$B167:$DY167,PRODUCE!$EB$78:$IY$78)</f>
        <v>0</v>
      </c>
      <c r="XV160" s="56"/>
      <c r="XW160" s="242">
        <f t="shared" si="1217"/>
        <v>0</v>
      </c>
      <c r="XX160" s="242">
        <f t="shared" si="1218"/>
        <v>1901</v>
      </c>
      <c r="XY160" s="56"/>
      <c r="YB160" s="55">
        <f t="shared" si="1219"/>
        <v>46156</v>
      </c>
      <c r="YC160" s="56"/>
      <c r="YD160" s="242">
        <f>SUMPRODUCT(PRODUCE!$B167:$DY167,PRODUCE!$EB$79:$IY$79)</f>
        <v>0</v>
      </c>
      <c r="YE160" s="56"/>
      <c r="YF160" s="242">
        <f t="shared" si="1220"/>
        <v>0</v>
      </c>
      <c r="YG160" s="242">
        <f t="shared" si="1221"/>
        <v>6459</v>
      </c>
      <c r="YH160" s="56"/>
      <c r="YK160" s="55">
        <f t="shared" si="1222"/>
        <v>46156</v>
      </c>
      <c r="YL160" s="56"/>
      <c r="YM160" s="242">
        <f>SUMPRODUCT(PRODUCE!$B167:$DY167,PRODUCE!$EB$80:$IY$80)</f>
        <v>0</v>
      </c>
      <c r="YN160" s="56"/>
      <c r="YO160" s="242">
        <f t="shared" si="1223"/>
        <v>0</v>
      </c>
      <c r="YP160" s="242">
        <f t="shared" si="1224"/>
        <v>0</v>
      </c>
      <c r="YQ160" s="56"/>
      <c r="YT160" s="55">
        <f t="shared" si="1225"/>
        <v>46156</v>
      </c>
      <c r="YU160" s="56"/>
      <c r="YV160" s="242">
        <f>SUMPRODUCT(PRODUCE!$B167:$DY167,PRODUCE!$EB$57:$IY$57)</f>
        <v>0</v>
      </c>
      <c r="YW160" s="56"/>
      <c r="YX160" s="242">
        <f t="shared" si="1226"/>
        <v>0</v>
      </c>
      <c r="YY160" s="242">
        <f t="shared" si="1227"/>
        <v>0</v>
      </c>
      <c r="YZ160" s="56"/>
      <c r="ZC160" s="55">
        <f t="shared" si="1228"/>
        <v>46156</v>
      </c>
      <c r="ZD160" s="56"/>
      <c r="ZE160" s="242">
        <f>SUMPRODUCT(PRODUCE!$B167:$DY167,PRODUCE!$EB$57:$IY$57)</f>
        <v>0</v>
      </c>
      <c r="ZF160" s="56"/>
      <c r="ZG160" s="242">
        <f t="shared" si="1229"/>
        <v>0</v>
      </c>
      <c r="ZH160" s="242">
        <f t="shared" si="1230"/>
        <v>0</v>
      </c>
      <c r="ZI160" s="56"/>
      <c r="ZL160" s="55">
        <f t="shared" si="1231"/>
        <v>46156</v>
      </c>
      <c r="ZM160" s="56"/>
      <c r="ZN160" s="242">
        <f>SUMPRODUCT(PRODUCE!$B167:$DY167,PRODUCE!$EB$57:$IY$57)</f>
        <v>0</v>
      </c>
      <c r="ZO160" s="56"/>
      <c r="ZP160" s="242">
        <f t="shared" si="1232"/>
        <v>0</v>
      </c>
      <c r="ZQ160" s="242">
        <f t="shared" si="1233"/>
        <v>0</v>
      </c>
      <c r="ZR160" s="56"/>
      <c r="ZU160" s="55">
        <f t="shared" si="1234"/>
        <v>46156</v>
      </c>
      <c r="ZV160" s="56"/>
      <c r="ZW160" s="242">
        <f>SUMPRODUCT(PRODUCE!$B167:$DY167,PRODUCE!$EB$57:$IY$57)</f>
        <v>0</v>
      </c>
      <c r="ZX160" s="56"/>
      <c r="ZY160" s="242">
        <f t="shared" si="1235"/>
        <v>0</v>
      </c>
      <c r="ZZ160" s="242">
        <f t="shared" si="1236"/>
        <v>0</v>
      </c>
      <c r="AAA160" s="56"/>
      <c r="AAD160" s="55">
        <f t="shared" si="1237"/>
        <v>46156</v>
      </c>
      <c r="AAE160" s="56"/>
      <c r="AAF160" s="242">
        <f>SUMPRODUCT(PRODUCE!$B167:$DY167,PRODUCE!$EB$57:$IY$57)</f>
        <v>0</v>
      </c>
      <c r="AAG160" s="56"/>
      <c r="AAH160" s="242">
        <f t="shared" si="1238"/>
        <v>0</v>
      </c>
      <c r="AAI160" s="242">
        <f t="shared" si="1239"/>
        <v>0</v>
      </c>
      <c r="AAJ160" s="56"/>
      <c r="AAM160" s="55">
        <f t="shared" si="1240"/>
        <v>46156</v>
      </c>
      <c r="AAN160" s="56"/>
      <c r="AAO160" s="242">
        <f>SUMPRODUCT(PRODUCE!$B167:$DY167,PRODUCE!$EB$57:$IY$57)</f>
        <v>0</v>
      </c>
      <c r="AAP160" s="56"/>
      <c r="AAQ160" s="242">
        <f t="shared" si="1241"/>
        <v>0</v>
      </c>
      <c r="AAR160" s="242">
        <f t="shared" si="1242"/>
        <v>0</v>
      </c>
      <c r="AAS160" s="56"/>
      <c r="AAV160" s="55">
        <f t="shared" si="1243"/>
        <v>46156</v>
      </c>
      <c r="AAW160" s="56"/>
      <c r="AAX160" s="242">
        <f>SUMPRODUCT(PRODUCE!$B167:$DY167,PRODUCE!$EB$57:$IY$57)</f>
        <v>0</v>
      </c>
      <c r="AAY160" s="56"/>
      <c r="AAZ160" s="242">
        <f t="shared" si="1244"/>
        <v>0</v>
      </c>
      <c r="ABA160" s="242">
        <f t="shared" si="1245"/>
        <v>0</v>
      </c>
      <c r="ABB160" s="56"/>
      <c r="ABE160" s="55">
        <f t="shared" si="1246"/>
        <v>46156</v>
      </c>
      <c r="ABF160" s="56"/>
      <c r="ABG160" s="242">
        <f>SUMPRODUCT(PRODUCE!$B167:$DY167,PRODUCE!$EB$57:$IY$57)</f>
        <v>0</v>
      </c>
      <c r="ABH160" s="56"/>
      <c r="ABI160" s="242">
        <f t="shared" si="1247"/>
        <v>0</v>
      </c>
      <c r="ABJ160" s="242">
        <f t="shared" si="1248"/>
        <v>0</v>
      </c>
      <c r="ABK160" s="56"/>
    </row>
    <row r="161" spans="2:739" s="54" customFormat="1" ht="15" customHeight="1" outlineLevel="1">
      <c r="B161" s="478">
        <v>40</v>
      </c>
      <c r="C161" s="55">
        <v>46157</v>
      </c>
      <c r="D161" s="422">
        <v>11360</v>
      </c>
      <c r="E161" s="423">
        <f>SUMPRODUCT(PRODUCE!$B168:$DY168,PRODUCE!$EB$7:$IY$7)</f>
        <v>25100</v>
      </c>
      <c r="F161" s="422">
        <v>25106.400000000001</v>
      </c>
      <c r="G161" s="423">
        <f t="shared" si="1004"/>
        <v>-6.4000000000014552</v>
      </c>
      <c r="H161" s="423">
        <f t="shared" si="1005"/>
        <v>187915.80000000008</v>
      </c>
      <c r="I161" s="289" t="s">
        <v>268</v>
      </c>
      <c r="L161" s="55">
        <f t="shared" si="1006"/>
        <v>46157</v>
      </c>
      <c r="M161" s="422">
        <v>36130</v>
      </c>
      <c r="N161" s="438">
        <f>SUMPRODUCT(PRODUCE!$B168:$DY168,PRODUCE!$EB$8:$IY$8)</f>
        <v>5460</v>
      </c>
      <c r="O161" s="422">
        <v>5460.2</v>
      </c>
      <c r="P161" s="438">
        <f t="shared" si="1007"/>
        <v>-0.1999999999998181</v>
      </c>
      <c r="Q161" s="438">
        <f t="shared" si="1008"/>
        <v>103543.4000000001</v>
      </c>
      <c r="R161" s="56"/>
      <c r="U161" s="55">
        <f t="shared" si="1009"/>
        <v>46157</v>
      </c>
      <c r="V161" s="422">
        <v>29960</v>
      </c>
      <c r="W161" s="440">
        <f>SUMPRODUCT(PRODUCE!$B168:$DY168,PRODUCE!$EB$9:$IY$9)</f>
        <v>3200</v>
      </c>
      <c r="X161" s="422">
        <v>3199.3</v>
      </c>
      <c r="Y161" s="440">
        <f t="shared" si="1010"/>
        <v>0.6999999999998181</v>
      </c>
      <c r="Z161" s="440">
        <f t="shared" si="1011"/>
        <v>51102.099999999962</v>
      </c>
      <c r="AA161" s="56"/>
      <c r="AD161" s="55">
        <f t="shared" si="1012"/>
        <v>46157</v>
      </c>
      <c r="AE161" s="422"/>
      <c r="AF161" s="442">
        <f>SUMPRODUCT(PRODUCE!$B168:$DY168,PRODUCE!$EB$10:$IY$10)</f>
        <v>2800</v>
      </c>
      <c r="AG161" s="422">
        <v>2800.9</v>
      </c>
      <c r="AH161" s="442">
        <f t="shared" si="1013"/>
        <v>-0.90000000000009095</v>
      </c>
      <c r="AI161" s="442">
        <f t="shared" si="1014"/>
        <v>21746.100000000017</v>
      </c>
      <c r="AJ161" s="56"/>
      <c r="AM161" s="55">
        <f t="shared" si="1015"/>
        <v>46157</v>
      </c>
      <c r="AN161" s="422"/>
      <c r="AO161" s="444">
        <f>SUMPRODUCT(PRODUCE!$B168:$DY168,PRODUCE!$EB$11:$IY$11)</f>
        <v>0</v>
      </c>
      <c r="AP161" s="422"/>
      <c r="AQ161" s="444">
        <f t="shared" si="1016"/>
        <v>0</v>
      </c>
      <c r="AR161" s="444">
        <f t="shared" si="1017"/>
        <v>0</v>
      </c>
      <c r="AS161" s="56"/>
      <c r="AV161" s="55">
        <f t="shared" si="1018"/>
        <v>46157</v>
      </c>
      <c r="AW161" s="422"/>
      <c r="AX161" s="446">
        <f>SUMPRODUCT(PRODUCE!$B168:$DY168,PRODUCE!$EB$12:$IY$12)</f>
        <v>620</v>
      </c>
      <c r="AY161" s="422">
        <v>620.79999999999995</v>
      </c>
      <c r="AZ161" s="446">
        <f t="shared" si="1019"/>
        <v>-0.79999999999995453</v>
      </c>
      <c r="BA161" s="446">
        <f t="shared" si="1020"/>
        <v>32003.199999999997</v>
      </c>
      <c r="BB161" s="56"/>
      <c r="BE161" s="55">
        <f t="shared" si="1021"/>
        <v>46157</v>
      </c>
      <c r="BF161" s="422">
        <v>27970</v>
      </c>
      <c r="BG161" s="448">
        <f>SUMPRODUCT(PRODUCE!$B168:$DY168,PRODUCE!$EB$13:$IY$13)</f>
        <v>1000</v>
      </c>
      <c r="BH161" s="422">
        <v>999.8</v>
      </c>
      <c r="BI161" s="448">
        <f t="shared" si="1022"/>
        <v>0.20000000000004547</v>
      </c>
      <c r="BJ161" s="448">
        <f t="shared" si="1023"/>
        <v>42121.999999999993</v>
      </c>
      <c r="BK161" s="56"/>
      <c r="BN161" s="55">
        <f t="shared" si="1024"/>
        <v>46157</v>
      </c>
      <c r="BO161" s="422">
        <v>999.9</v>
      </c>
      <c r="BP161" s="450">
        <f>SUMPRODUCT(PRODUCE!$B168:$DY168,PRODUCE!$EB$14:$IY$14)</f>
        <v>1000</v>
      </c>
      <c r="BQ161" s="422">
        <v>999.9</v>
      </c>
      <c r="BR161" s="450">
        <f t="shared" si="1025"/>
        <v>0.10000000000002274</v>
      </c>
      <c r="BS161" s="450">
        <f t="shared" si="1026"/>
        <v>0</v>
      </c>
      <c r="BT161" s="56"/>
      <c r="BW161" s="55">
        <f t="shared" si="1027"/>
        <v>46157</v>
      </c>
      <c r="BX161" s="422"/>
      <c r="BY161" s="523">
        <f>SUMPRODUCT(PRODUCE!$B168:$DY168,PRODUCE!$EB$15:$IY$15)</f>
        <v>0</v>
      </c>
      <c r="BZ161" s="422">
        <v>15</v>
      </c>
      <c r="CA161" s="523">
        <f t="shared" si="1028"/>
        <v>-15</v>
      </c>
      <c r="CB161" s="523">
        <f t="shared" si="1029"/>
        <v>5736.7999999999993</v>
      </c>
      <c r="CC161" s="56"/>
      <c r="CF161" s="55">
        <f t="shared" si="1030"/>
        <v>46157</v>
      </c>
      <c r="CG161" s="422">
        <v>596</v>
      </c>
      <c r="CH161" s="524">
        <f>SUMPRODUCT(PRODUCE!$B168:$DY168,PRODUCE!$EB$16:$IY$16)</f>
        <v>0</v>
      </c>
      <c r="CI161" s="422">
        <f>60.8+385.2+150</f>
        <v>596</v>
      </c>
      <c r="CJ161" s="524">
        <f t="shared" si="1031"/>
        <v>-596</v>
      </c>
      <c r="CK161" s="524">
        <f t="shared" si="1032"/>
        <v>0</v>
      </c>
      <c r="CL161" s="56"/>
      <c r="CO161" s="55">
        <f t="shared" si="1033"/>
        <v>46157</v>
      </c>
      <c r="CP161" s="422"/>
      <c r="CQ161" s="470">
        <f>SUMPRODUCT(PRODUCE!$B168:$DY168,PRODUCE!$EB$17:$IY$17)</f>
        <v>0</v>
      </c>
      <c r="CR161" s="422"/>
      <c r="CS161" s="470">
        <f t="shared" si="1034"/>
        <v>0</v>
      </c>
      <c r="CT161" s="470">
        <f t="shared" si="1035"/>
        <v>0</v>
      </c>
      <c r="CU161" s="56"/>
      <c r="CX161" s="55">
        <f t="shared" si="1036"/>
        <v>46157</v>
      </c>
      <c r="CY161" s="422"/>
      <c r="CZ161" s="525">
        <f>SUMPRODUCT(PRODUCE!$B168:$DY168,PRODUCE!$EB$18:$IY$18)</f>
        <v>0</v>
      </c>
      <c r="DA161" s="422"/>
      <c r="DB161" s="525">
        <f t="shared" si="1037"/>
        <v>0</v>
      </c>
      <c r="DC161" s="525">
        <f t="shared" si="1038"/>
        <v>21657.000000000004</v>
      </c>
      <c r="DD161" s="56"/>
      <c r="DG161" s="55">
        <f t="shared" si="1039"/>
        <v>46157</v>
      </c>
      <c r="DH161" s="422"/>
      <c r="DI161" s="526">
        <f>SUMPRODUCT(PRODUCE!$B168:$DY168,PRODUCE!$EB$19:$IY$19)</f>
        <v>0</v>
      </c>
      <c r="DJ161" s="422"/>
      <c r="DK161" s="526">
        <f t="shared" si="1040"/>
        <v>0</v>
      </c>
      <c r="DL161" s="526">
        <f t="shared" si="1041"/>
        <v>38237.099999999984</v>
      </c>
      <c r="DM161" s="56"/>
      <c r="DP161" s="55">
        <f t="shared" si="1042"/>
        <v>46157</v>
      </c>
      <c r="DQ161" s="422"/>
      <c r="DR161" s="423">
        <f>SUMPRODUCT(PRODUCE!$B168:$DY168,PRODUCE!$EB$20:$IY$20)</f>
        <v>0</v>
      </c>
      <c r="DS161" s="422"/>
      <c r="DT161" s="423">
        <f t="shared" si="1043"/>
        <v>0</v>
      </c>
      <c r="DU161" s="423">
        <f t="shared" si="1044"/>
        <v>5800</v>
      </c>
      <c r="DV161" s="56"/>
      <c r="DY161" s="55">
        <f t="shared" si="1045"/>
        <v>46157</v>
      </c>
      <c r="DZ161" s="56"/>
      <c r="EA161" s="157">
        <f>SUMPRODUCT(PRODUCE!$B168:$DY168,PRODUCE!$EB$21:$IY$21)</f>
        <v>0</v>
      </c>
      <c r="EB161" s="56"/>
      <c r="EC161" s="157">
        <f t="shared" si="1046"/>
        <v>0</v>
      </c>
      <c r="ED161" s="157">
        <f t="shared" si="1047"/>
        <v>0</v>
      </c>
      <c r="EE161" s="56"/>
      <c r="EH161" s="55">
        <f t="shared" si="1048"/>
        <v>46157</v>
      </c>
      <c r="EI161" s="56"/>
      <c r="EJ161" s="162">
        <f>SUMPRODUCT(PRODUCE!$B168:$DY168,PRODUCE!$EB$22:$IY$22)</f>
        <v>0</v>
      </c>
      <c r="EK161" s="56"/>
      <c r="EL161" s="162">
        <f t="shared" si="1049"/>
        <v>0</v>
      </c>
      <c r="EM161" s="162">
        <f t="shared" si="1050"/>
        <v>0</v>
      </c>
      <c r="EN161" s="56"/>
      <c r="EQ161" s="55">
        <f t="shared" si="1051"/>
        <v>46157</v>
      </c>
      <c r="ER161" s="56"/>
      <c r="ES161" s="135">
        <f>SUMPRODUCT(PRODUCE!$B168:$DY168,PRODUCE!$EB$23:$IY$23)</f>
        <v>0</v>
      </c>
      <c r="ET161" s="56"/>
      <c r="EU161" s="135">
        <f t="shared" si="1052"/>
        <v>0</v>
      </c>
      <c r="EV161" s="135">
        <f t="shared" si="1053"/>
        <v>0</v>
      </c>
      <c r="EW161" s="56"/>
      <c r="EZ161" s="55">
        <f t="shared" si="1054"/>
        <v>46157</v>
      </c>
      <c r="FA161" s="56"/>
      <c r="FB161" s="175">
        <f>SUMPRODUCT(PRODUCE!$B168:$DY168,PRODUCE!$EB$24:$IY$24)</f>
        <v>0</v>
      </c>
      <c r="FC161" s="56"/>
      <c r="FD161" s="175">
        <f t="shared" si="1055"/>
        <v>0</v>
      </c>
      <c r="FE161" s="175">
        <f t="shared" si="1056"/>
        <v>0</v>
      </c>
      <c r="FF161" s="56"/>
      <c r="FI161" s="55">
        <f t="shared" si="1057"/>
        <v>46157</v>
      </c>
      <c r="FJ161" s="56"/>
      <c r="FK161" s="183">
        <f>SUMPRODUCT(PRODUCE!$B168:$DY168,PRODUCE!$EB$25:$IY$25)</f>
        <v>0</v>
      </c>
      <c r="FL161" s="56"/>
      <c r="FM161" s="183">
        <f t="shared" si="1058"/>
        <v>0</v>
      </c>
      <c r="FN161" s="183">
        <f t="shared" si="1059"/>
        <v>0</v>
      </c>
      <c r="FO161" s="56"/>
      <c r="FR161" s="55">
        <f t="shared" si="1060"/>
        <v>46157</v>
      </c>
      <c r="FS161" s="56"/>
      <c r="FT161" s="186">
        <f>SUMPRODUCT(PRODUCE!$B168:$DY168,PRODUCE!$EB$26:$IY$26)</f>
        <v>0</v>
      </c>
      <c r="FU161" s="56"/>
      <c r="FV161" s="186">
        <f t="shared" si="1061"/>
        <v>0</v>
      </c>
      <c r="FW161" s="186">
        <f t="shared" si="1062"/>
        <v>4140</v>
      </c>
      <c r="FX161" s="56"/>
      <c r="GA161" s="55">
        <f t="shared" si="1063"/>
        <v>46157</v>
      </c>
      <c r="GB161" s="56"/>
      <c r="GC161" s="137">
        <f>SUMPRODUCT(PRODUCE!$B168:$DY168,PRODUCE!$EB$27:$IY$27)</f>
        <v>0</v>
      </c>
      <c r="GD161" s="56">
        <v>600</v>
      </c>
      <c r="GE161" s="137">
        <f t="shared" si="1064"/>
        <v>-600</v>
      </c>
      <c r="GF161" s="137">
        <f t="shared" si="1065"/>
        <v>5040</v>
      </c>
      <c r="GG161" s="56">
        <f>GD161/20</f>
        <v>30</v>
      </c>
      <c r="GI161" s="23"/>
      <c r="GJ161" s="55">
        <f t="shared" si="1066"/>
        <v>46157</v>
      </c>
      <c r="GK161" s="56"/>
      <c r="GL161" s="199">
        <f>SUMPRODUCT(PRODUCE!$B168:$DY168,PRODUCE!$EB$28:$IY$28)</f>
        <v>800</v>
      </c>
      <c r="GM161" s="56">
        <v>2240</v>
      </c>
      <c r="GN161" s="199">
        <f t="shared" si="1067"/>
        <v>-1440</v>
      </c>
      <c r="GO161" s="199">
        <f t="shared" si="1068"/>
        <v>1760</v>
      </c>
      <c r="GP161" s="56">
        <f>GM161/20</f>
        <v>112</v>
      </c>
      <c r="GS161" s="55">
        <f t="shared" si="1069"/>
        <v>46157</v>
      </c>
      <c r="GT161" s="56"/>
      <c r="GU161" s="195">
        <f>SUMPRODUCT(PRODUCE!$B168:$DY168,PRODUCE!$EB$29:$IY$29)</f>
        <v>0</v>
      </c>
      <c r="GV161" s="56">
        <f>14*20</f>
        <v>280</v>
      </c>
      <c r="GW161" s="195">
        <f t="shared" si="1070"/>
        <v>-280</v>
      </c>
      <c r="GX161" s="195">
        <f t="shared" si="1071"/>
        <v>1320</v>
      </c>
      <c r="GY161" s="56">
        <f>GV161/20</f>
        <v>14</v>
      </c>
      <c r="HB161" s="55">
        <f t="shared" si="1072"/>
        <v>46157</v>
      </c>
      <c r="HC161" s="56"/>
      <c r="HD161" s="191">
        <f>SUMPRODUCT(PRODUCE!$B168:$DY168,PRODUCE!$EB$30:$IY$30)</f>
        <v>0</v>
      </c>
      <c r="HE161" s="56"/>
      <c r="HF161" s="191">
        <f t="shared" si="1073"/>
        <v>0</v>
      </c>
      <c r="HG161" s="191">
        <f t="shared" si="1074"/>
        <v>3600</v>
      </c>
      <c r="HH161" s="56"/>
      <c r="HK161" s="55">
        <f t="shared" si="1075"/>
        <v>46157</v>
      </c>
      <c r="HL161" s="56"/>
      <c r="HM161" s="63">
        <f>SUMPRODUCT(PRODUCE!$B168:$DY168,PRODUCE!$EB$31:$IY$31)</f>
        <v>0</v>
      </c>
      <c r="HN161" s="56"/>
      <c r="HO161" s="63">
        <f t="shared" si="1076"/>
        <v>0</v>
      </c>
      <c r="HP161" s="63">
        <f t="shared" si="1077"/>
        <v>0</v>
      </c>
      <c r="HQ161" s="56"/>
      <c r="HU161" s="55">
        <f t="shared" si="1078"/>
        <v>46157</v>
      </c>
      <c r="HV161" s="56"/>
      <c r="HW161" s="242">
        <f>SUMPRODUCT(PRODUCE!$B168:$DY168,PRODUCE!$EB$32:$IY$32)</f>
        <v>0</v>
      </c>
      <c r="HX161" s="56">
        <f>10*20</f>
        <v>200</v>
      </c>
      <c r="HY161" s="242">
        <f t="shared" si="1079"/>
        <v>-200</v>
      </c>
      <c r="HZ161" s="242">
        <f t="shared" si="1080"/>
        <v>5080</v>
      </c>
      <c r="IA161" s="56">
        <f>HX161/20</f>
        <v>10</v>
      </c>
      <c r="ID161" s="55">
        <f t="shared" si="1081"/>
        <v>46157</v>
      </c>
      <c r="IE161" s="56"/>
      <c r="IF161" s="242">
        <f>SUMPRODUCT(PRODUCE!$B168:$DY168,PRODUCE!$EB$33:$IY$33)</f>
        <v>0</v>
      </c>
      <c r="IG161" s="56"/>
      <c r="IH161" s="242">
        <f t="shared" si="1082"/>
        <v>0</v>
      </c>
      <c r="II161" s="242">
        <f t="shared" si="1083"/>
        <v>720</v>
      </c>
      <c r="IJ161" s="56"/>
      <c r="IM161" s="55">
        <f t="shared" si="1084"/>
        <v>46157</v>
      </c>
      <c r="IN161" s="56"/>
      <c r="IO161" s="242">
        <f>SUMPRODUCT(PRODUCE!$B168:$DY168,PRODUCE!$EB$34:$IY$34)</f>
        <v>0</v>
      </c>
      <c r="IP161" s="56"/>
      <c r="IQ161" s="242">
        <f t="shared" si="1085"/>
        <v>0</v>
      </c>
      <c r="IR161" s="242">
        <f t="shared" si="1086"/>
        <v>11540</v>
      </c>
      <c r="IS161" s="56"/>
      <c r="IV161" s="55">
        <f t="shared" si="1087"/>
        <v>46157</v>
      </c>
      <c r="IW161" s="56"/>
      <c r="IX161" s="242">
        <f>SUMPRODUCT(PRODUCE!$B168:$DY168,PRODUCE!$EB$35:$IY$35)</f>
        <v>0</v>
      </c>
      <c r="IY161" s="56"/>
      <c r="IZ161" s="242">
        <f t="shared" si="1088"/>
        <v>0</v>
      </c>
      <c r="JA161" s="242">
        <f t="shared" si="1089"/>
        <v>12860</v>
      </c>
      <c r="JB161" s="56"/>
      <c r="JE161" s="55">
        <f t="shared" si="1090"/>
        <v>46157</v>
      </c>
      <c r="JF161" s="56"/>
      <c r="JG161" s="242">
        <f>SUMPRODUCT(PRODUCE!$B168:$DY168,PRODUCE!$EB$36:$IY$36)</f>
        <v>0</v>
      </c>
      <c r="JH161" s="56"/>
      <c r="JI161" s="242">
        <f t="shared" si="1091"/>
        <v>0</v>
      </c>
      <c r="JJ161" s="242">
        <f t="shared" si="1092"/>
        <v>0</v>
      </c>
      <c r="JK161" s="56"/>
      <c r="JN161" s="55">
        <f t="shared" si="1093"/>
        <v>46157</v>
      </c>
      <c r="JO161" s="56"/>
      <c r="JP161" s="242">
        <f>SUMPRODUCT(PRODUCE!$B168:$DY168,PRODUCE!$EB$37:$IY$37)</f>
        <v>0</v>
      </c>
      <c r="JQ161" s="56">
        <f>60*20</f>
        <v>1200</v>
      </c>
      <c r="JR161" s="242">
        <f t="shared" si="1094"/>
        <v>-1200</v>
      </c>
      <c r="JS161" s="242">
        <f t="shared" si="1095"/>
        <v>5500</v>
      </c>
      <c r="JT161" s="56">
        <f>JQ161/20</f>
        <v>60</v>
      </c>
      <c r="JW161" s="55">
        <f t="shared" si="1096"/>
        <v>46157</v>
      </c>
      <c r="JX161" s="56"/>
      <c r="JY161" s="242">
        <f>SUMPRODUCT(PRODUCE!$B168:$DY168,PRODUCE!$EB$38:$IY$38)</f>
        <v>0</v>
      </c>
      <c r="JZ161" s="56"/>
      <c r="KA161" s="242">
        <f t="shared" si="1097"/>
        <v>0</v>
      </c>
      <c r="KB161" s="242">
        <f t="shared" si="1098"/>
        <v>2540</v>
      </c>
      <c r="KC161" s="56"/>
      <c r="KF161" s="55">
        <f t="shared" si="1099"/>
        <v>46157</v>
      </c>
      <c r="KG161" s="56"/>
      <c r="KH161" s="242">
        <f>SUMPRODUCT(PRODUCE!$B168:$DY168,PRODUCE!$EB$39:$IY$39)</f>
        <v>0</v>
      </c>
      <c r="KI161" s="56"/>
      <c r="KJ161" s="242">
        <f t="shared" si="1100"/>
        <v>0</v>
      </c>
      <c r="KK161" s="242">
        <f t="shared" si="1101"/>
        <v>2359.5</v>
      </c>
      <c r="KL161" s="56"/>
      <c r="KO161" s="55">
        <f t="shared" si="1102"/>
        <v>46157</v>
      </c>
      <c r="KP161" s="56"/>
      <c r="KQ161" s="242">
        <f>SUMPRODUCT(PRODUCE!$B168:$DY168,PRODUCE!$EB$40:$IY$40)</f>
        <v>0</v>
      </c>
      <c r="KR161" s="56"/>
      <c r="KS161" s="242">
        <f t="shared" si="1103"/>
        <v>0</v>
      </c>
      <c r="KT161" s="242">
        <f t="shared" si="1104"/>
        <v>1890</v>
      </c>
      <c r="KU161" s="56"/>
      <c r="KW161" s="23"/>
      <c r="KX161" s="55">
        <f t="shared" si="1105"/>
        <v>46157</v>
      </c>
      <c r="KY161" s="56"/>
      <c r="KZ161" s="242">
        <f>SUMPRODUCT(PRODUCE!$B168:$DY168,PRODUCE!$EB$41:$IY$41)</f>
        <v>0</v>
      </c>
      <c r="LA161" s="56"/>
      <c r="LB161" s="242">
        <f t="shared" si="1106"/>
        <v>0</v>
      </c>
      <c r="LC161" s="242">
        <f t="shared" si="1107"/>
        <v>3690</v>
      </c>
      <c r="LD161" s="56"/>
      <c r="LG161" s="55">
        <f t="shared" si="1108"/>
        <v>46157</v>
      </c>
      <c r="LH161" s="56"/>
      <c r="LI161" s="242">
        <f>SUMPRODUCT(PRODUCE!$B168:$DY168,PRODUCE!$EB$42:$IY$42)</f>
        <v>0</v>
      </c>
      <c r="LJ161" s="56"/>
      <c r="LK161" s="242">
        <f t="shared" si="1109"/>
        <v>0</v>
      </c>
      <c r="LL161" s="242">
        <f t="shared" si="1110"/>
        <v>4000</v>
      </c>
      <c r="LM161" s="56"/>
      <c r="LP161" s="55">
        <f t="shared" si="1111"/>
        <v>46157</v>
      </c>
      <c r="LQ161" s="56"/>
      <c r="LR161" s="242">
        <f>SUMPRODUCT(PRODUCE!$B176:$DY176,PRODUCE!$EB$43:$IY$43)</f>
        <v>0</v>
      </c>
      <c r="LS161" s="56"/>
      <c r="LT161" s="242">
        <f t="shared" si="1112"/>
        <v>0</v>
      </c>
      <c r="LU161" s="242">
        <f t="shared" si="1113"/>
        <v>0</v>
      </c>
      <c r="LV161" s="56"/>
      <c r="LY161" s="55">
        <f t="shared" si="1114"/>
        <v>46157</v>
      </c>
      <c r="LZ161" s="56"/>
      <c r="MA161" s="242">
        <f>SUMPRODUCT(PRODUCE!$B168:$DY168,PRODUCE!$EB$44:$IY$44)</f>
        <v>0</v>
      </c>
      <c r="MB161" s="56"/>
      <c r="MC161" s="242">
        <f t="shared" si="1115"/>
        <v>0</v>
      </c>
      <c r="MD161" s="242">
        <f t="shared" si="1116"/>
        <v>0</v>
      </c>
      <c r="ME161" s="56"/>
      <c r="MH161" s="55">
        <f t="shared" si="1117"/>
        <v>46157</v>
      </c>
      <c r="MI161" s="56"/>
      <c r="MJ161" s="242">
        <f>SUMPRODUCT(PRODUCE!$B168:$DY168,PRODUCE!$EB$45:$IY$45)</f>
        <v>0</v>
      </c>
      <c r="MK161" s="56"/>
      <c r="ML161" s="242">
        <f t="shared" si="1118"/>
        <v>0</v>
      </c>
      <c r="MM161" s="242">
        <f t="shared" si="1119"/>
        <v>0</v>
      </c>
      <c r="MN161" s="56"/>
      <c r="MQ161" s="55">
        <f t="shared" si="1120"/>
        <v>46157</v>
      </c>
      <c r="MR161" s="56"/>
      <c r="MS161" s="242">
        <f>SUMPRODUCT(PRODUCE!$B168:$DY168,PRODUCE!$EB$46:$IY$46)</f>
        <v>20</v>
      </c>
      <c r="MT161" s="56">
        <f>5+15+56</f>
        <v>76</v>
      </c>
      <c r="MU161" s="242">
        <f t="shared" si="1121"/>
        <v>-56</v>
      </c>
      <c r="MV161" s="242">
        <f t="shared" si="1122"/>
        <v>3761</v>
      </c>
      <c r="MW161" s="56"/>
      <c r="MZ161" s="55">
        <f t="shared" si="1123"/>
        <v>46157</v>
      </c>
      <c r="NA161" s="56">
        <f>30+180+70</f>
        <v>280</v>
      </c>
      <c r="NB161" s="242">
        <f>SUMPRODUCT(PRODUCE!$B168:$DY168,PRODUCE!$EB$47:$IY$47)</f>
        <v>0</v>
      </c>
      <c r="NC161" s="56">
        <f>30+180+70</f>
        <v>280</v>
      </c>
      <c r="ND161" s="242">
        <f t="shared" si="1124"/>
        <v>-280</v>
      </c>
      <c r="NE161" s="242">
        <f t="shared" si="1125"/>
        <v>0</v>
      </c>
      <c r="NF161" s="56"/>
      <c r="NI161" s="55">
        <f t="shared" si="1126"/>
        <v>46157</v>
      </c>
      <c r="NJ161" s="56"/>
      <c r="NK161" s="242">
        <f>SUMPRODUCT(PRODUCE!$B168:$DY168,PRODUCE!$EB$48:$IY$48)</f>
        <v>0</v>
      </c>
      <c r="NL161" s="56"/>
      <c r="NM161" s="242">
        <f t="shared" si="1127"/>
        <v>0</v>
      </c>
      <c r="NN161" s="242">
        <f t="shared" si="1128"/>
        <v>1127</v>
      </c>
      <c r="NO161" s="56"/>
      <c r="NR161" s="55">
        <f t="shared" si="1129"/>
        <v>46157</v>
      </c>
      <c r="NS161" s="56"/>
      <c r="NT161" s="242">
        <f>SUMPRODUCT(PRODUCE!$B168:$DY168,PRODUCE!$EB$49:$IY$49)</f>
        <v>0</v>
      </c>
      <c r="NU161" s="56"/>
      <c r="NV161" s="242">
        <f t="shared" si="1130"/>
        <v>0</v>
      </c>
      <c r="NW161" s="242">
        <f t="shared" si="1131"/>
        <v>3111.9999999999995</v>
      </c>
      <c r="NX161" s="56"/>
      <c r="OA161" s="55">
        <f t="shared" si="1132"/>
        <v>46157</v>
      </c>
      <c r="OB161" s="56"/>
      <c r="OC161" s="242">
        <f>SUMPRODUCT(PRODUCE!$B168:$DY168,PRODUCE!$EB$50:$IY$50)</f>
        <v>0</v>
      </c>
      <c r="OD161" s="56"/>
      <c r="OE161" s="242">
        <f t="shared" si="1133"/>
        <v>0</v>
      </c>
      <c r="OF161" s="242">
        <f t="shared" si="1134"/>
        <v>1680.5</v>
      </c>
      <c r="OG161" s="56"/>
      <c r="OJ161" s="55">
        <f t="shared" si="1135"/>
        <v>46157</v>
      </c>
      <c r="OK161" s="56">
        <v>28</v>
      </c>
      <c r="OL161" s="242">
        <f>SUMPRODUCT(PRODUCE!$B168:$DY168,PRODUCE!$EB$51:$IY$51)</f>
        <v>0</v>
      </c>
      <c r="OM161" s="56">
        <v>28</v>
      </c>
      <c r="ON161" s="242">
        <f t="shared" si="1136"/>
        <v>-28</v>
      </c>
      <c r="OO161" s="242">
        <f t="shared" si="1137"/>
        <v>0</v>
      </c>
      <c r="OP161" s="56"/>
      <c r="OS161" s="55">
        <f t="shared" si="1138"/>
        <v>46157</v>
      </c>
      <c r="OT161" s="56"/>
      <c r="OU161" s="242">
        <f>SUMPRODUCT(PRODUCE!$B168:$DY168,PRODUCE!$EB$52:$IY$52)</f>
        <v>0</v>
      </c>
      <c r="OV161" s="56"/>
      <c r="OW161" s="242">
        <f t="shared" si="1139"/>
        <v>0</v>
      </c>
      <c r="OX161" s="242">
        <f t="shared" si="1140"/>
        <v>1482</v>
      </c>
      <c r="OY161" s="56"/>
      <c r="PB161" s="55">
        <f t="shared" si="1141"/>
        <v>46157</v>
      </c>
      <c r="PC161" s="56"/>
      <c r="PD161" s="242">
        <f>SUMPRODUCT(PRODUCE!$B168:$DY168,PRODUCE!$EB$53:$IY$53)</f>
        <v>0</v>
      </c>
      <c r="PE161" s="56"/>
      <c r="PF161" s="242">
        <f t="shared" si="1142"/>
        <v>0</v>
      </c>
      <c r="PG161" s="242">
        <f t="shared" si="1143"/>
        <v>0</v>
      </c>
      <c r="PH161" s="56"/>
      <c r="PK161" s="55">
        <f t="shared" si="1144"/>
        <v>46157</v>
      </c>
      <c r="PL161" s="56"/>
      <c r="PM161" s="242">
        <f>SUMPRODUCT(PRODUCE!$B168:$DY168,PRODUCE!$EB$54:$IY$54)</f>
        <v>0</v>
      </c>
      <c r="PN161" s="56"/>
      <c r="PO161" s="242">
        <f t="shared" si="1145"/>
        <v>0</v>
      </c>
      <c r="PP161" s="242">
        <f t="shared" si="1146"/>
        <v>100</v>
      </c>
      <c r="PQ161" s="56"/>
      <c r="PT161" s="55">
        <f t="shared" si="1147"/>
        <v>46157</v>
      </c>
      <c r="PU161" s="56"/>
      <c r="PV161" s="242">
        <f>SUMPRODUCT(PRODUCE!$B168:$DY168,PRODUCE!$EB$55:$IY$55)</f>
        <v>0</v>
      </c>
      <c r="PW161" s="56"/>
      <c r="PX161" s="242">
        <f t="shared" si="1148"/>
        <v>0</v>
      </c>
      <c r="PY161" s="242">
        <f t="shared" si="1149"/>
        <v>13.960000000000036</v>
      </c>
      <c r="PZ161" s="56"/>
      <c r="QC161" s="55">
        <f t="shared" si="1150"/>
        <v>46157</v>
      </c>
      <c r="QD161" s="56"/>
      <c r="QE161" s="242">
        <f>SUMPRODUCT(PRODUCE!$B168:$DY168,PRODUCE!$EB$56:$IY$56)</f>
        <v>0</v>
      </c>
      <c r="QF161" s="56"/>
      <c r="QG161" s="242">
        <f t="shared" si="1151"/>
        <v>0</v>
      </c>
      <c r="QH161" s="242">
        <f t="shared" si="1152"/>
        <v>876</v>
      </c>
      <c r="QI161" s="56"/>
      <c r="QL161" s="55">
        <f t="shared" si="1153"/>
        <v>46157</v>
      </c>
      <c r="QM161" s="56"/>
      <c r="QN161" s="242">
        <f>SUMPRODUCT(PRODUCE!$B168:$DY168,PRODUCE!$EB$57:$IY$57)</f>
        <v>0</v>
      </c>
      <c r="QO161" s="56">
        <v>150</v>
      </c>
      <c r="QP161" s="242">
        <f t="shared" si="1154"/>
        <v>-150</v>
      </c>
      <c r="QQ161" s="242">
        <f t="shared" si="1155"/>
        <v>515</v>
      </c>
      <c r="QR161" s="56"/>
      <c r="QU161" s="55">
        <f t="shared" si="1156"/>
        <v>46157</v>
      </c>
      <c r="QV161" s="56"/>
      <c r="QW161" s="242">
        <f>SUMPRODUCT(PRODUCE!$B168:$DY168,PRODUCE!$EB$58:$IY$58)</f>
        <v>0</v>
      </c>
      <c r="QX161" s="56"/>
      <c r="QY161" s="242">
        <f t="shared" si="1157"/>
        <v>0</v>
      </c>
      <c r="QZ161" s="242">
        <f t="shared" si="1158"/>
        <v>207.6</v>
      </c>
      <c r="RA161" s="56"/>
      <c r="RD161" s="55">
        <f t="shared" si="1159"/>
        <v>46157</v>
      </c>
      <c r="RE161" s="56"/>
      <c r="RF161" s="242">
        <f>SUMPRODUCT(PRODUCE!$B168:$DY168,PRODUCE!$EB$59:$IY$59)</f>
        <v>0</v>
      </c>
      <c r="RG161" s="56"/>
      <c r="RH161" s="242">
        <f t="shared" si="1160"/>
        <v>0</v>
      </c>
      <c r="RI161" s="242">
        <f t="shared" si="1161"/>
        <v>147.04000000000002</v>
      </c>
      <c r="RJ161" s="56"/>
      <c r="RM161" s="55">
        <f t="shared" si="1162"/>
        <v>46157</v>
      </c>
      <c r="RN161" s="56"/>
      <c r="RO161" s="242">
        <f>SUMPRODUCT(PRODUCE!$B168:$DY168,PRODUCE!$EB$60:$IY$60)</f>
        <v>0</v>
      </c>
      <c r="RP161" s="56"/>
      <c r="RQ161" s="242">
        <f t="shared" si="1163"/>
        <v>0</v>
      </c>
      <c r="RR161" s="242">
        <f t="shared" si="1164"/>
        <v>46.8</v>
      </c>
      <c r="RS161" s="56"/>
      <c r="RV161" s="55">
        <f t="shared" si="1165"/>
        <v>46157</v>
      </c>
      <c r="RW161" s="56"/>
      <c r="RX161" s="242">
        <f>SUMPRODUCT(PRODUCE!$B168:$DY168,PRODUCE!$EB$61:$IY$61)</f>
        <v>0</v>
      </c>
      <c r="RY161" s="56"/>
      <c r="RZ161" s="242">
        <f t="shared" si="1166"/>
        <v>0</v>
      </c>
      <c r="SA161" s="242">
        <f t="shared" si="1167"/>
        <v>0</v>
      </c>
      <c r="SB161" s="56"/>
      <c r="SE161" s="55">
        <f t="shared" si="1168"/>
        <v>46157</v>
      </c>
      <c r="SF161" s="56"/>
      <c r="SG161" s="242">
        <f>SUMPRODUCT(PRODUCE!$B168:$DY168,PRODUCE!$EB$62:$IY$62)</f>
        <v>0</v>
      </c>
      <c r="SH161" s="56"/>
      <c r="SI161" s="242">
        <f t="shared" si="1169"/>
        <v>0</v>
      </c>
      <c r="SJ161" s="242">
        <f t="shared" si="1170"/>
        <v>24.200000000000003</v>
      </c>
      <c r="SK161" s="56"/>
      <c r="SN161" s="55">
        <f t="shared" si="1171"/>
        <v>46157</v>
      </c>
      <c r="SO161" s="56"/>
      <c r="SP161" s="242">
        <f>SUMPRODUCT(PRODUCE!$B168:$DY168,PRODUCE!$EB$63:$IY$63)</f>
        <v>0</v>
      </c>
      <c r="SQ161" s="56"/>
      <c r="SR161" s="242">
        <f t="shared" si="1172"/>
        <v>0</v>
      </c>
      <c r="SS161" s="242">
        <f t="shared" si="1173"/>
        <v>32</v>
      </c>
      <c r="ST161" s="56"/>
      <c r="SW161" s="55">
        <f t="shared" si="1174"/>
        <v>46157</v>
      </c>
      <c r="SX161" s="56"/>
      <c r="SY161" s="242">
        <f>SUMPRODUCT(PRODUCE!$B168:$DY168,PRODUCE!$EB$64:$IY$64)</f>
        <v>0</v>
      </c>
      <c r="SZ161" s="56"/>
      <c r="TA161" s="242">
        <f t="shared" si="1175"/>
        <v>0</v>
      </c>
      <c r="TB161" s="242">
        <f t="shared" si="1176"/>
        <v>0</v>
      </c>
      <c r="TC161" s="56"/>
      <c r="TF161" s="55">
        <f t="shared" si="1177"/>
        <v>46157</v>
      </c>
      <c r="TG161" s="56">
        <v>14</v>
      </c>
      <c r="TH161" s="242">
        <f>SUMPRODUCT(PRODUCE!$B168:$DY168,PRODUCE!$EB$65:$IY$65)</f>
        <v>0</v>
      </c>
      <c r="TI161" s="56">
        <v>14</v>
      </c>
      <c r="TJ161" s="242">
        <f t="shared" si="1178"/>
        <v>-14</v>
      </c>
      <c r="TK161" s="242">
        <f t="shared" si="1179"/>
        <v>0</v>
      </c>
      <c r="TL161" s="56"/>
      <c r="TO161" s="55">
        <f t="shared" si="1180"/>
        <v>46157</v>
      </c>
      <c r="TP161" s="56"/>
      <c r="TQ161" s="242">
        <f>SUMPRODUCT(PRODUCE!$B168:$DY168,PRODUCE!$EB$66:$IY$66)</f>
        <v>0</v>
      </c>
      <c r="TR161" s="56"/>
      <c r="TS161" s="242">
        <f t="shared" si="1181"/>
        <v>0</v>
      </c>
      <c r="TT161" s="242">
        <f t="shared" si="1182"/>
        <v>0</v>
      </c>
      <c r="TU161" s="56"/>
      <c r="TX161" s="55">
        <f t="shared" si="1183"/>
        <v>46157</v>
      </c>
      <c r="TY161" s="56"/>
      <c r="TZ161" s="242">
        <f>SUMPRODUCT(PRODUCE!$B168:$DY168,PRODUCE!$EB$67:$IY$67)</f>
        <v>0</v>
      </c>
      <c r="UA161" s="56"/>
      <c r="UB161" s="242">
        <f t="shared" si="1184"/>
        <v>0</v>
      </c>
      <c r="UC161" s="242">
        <f t="shared" si="1185"/>
        <v>0</v>
      </c>
      <c r="UD161" s="56"/>
      <c r="UG161" s="55">
        <f t="shared" si="1186"/>
        <v>46157</v>
      </c>
      <c r="UH161" s="56"/>
      <c r="UI161" s="242">
        <f>SUMPRODUCT(PRODUCE!$B168:$DY168,PRODUCE!$EB$68:$IY$68)</f>
        <v>0</v>
      </c>
      <c r="UJ161" s="56"/>
      <c r="UK161" s="242">
        <f t="shared" si="1187"/>
        <v>0</v>
      </c>
      <c r="UL161" s="242">
        <f t="shared" si="1188"/>
        <v>0</v>
      </c>
      <c r="UM161" s="56"/>
      <c r="UP161" s="55">
        <f t="shared" si="1189"/>
        <v>46157</v>
      </c>
      <c r="UQ161" s="56"/>
      <c r="UR161" s="242">
        <f>SUMPRODUCT(PRODUCE!$B168:$DY168,PRODUCE!$EB$69:$IY$69)</f>
        <v>0</v>
      </c>
      <c r="US161" s="56"/>
      <c r="UT161" s="242">
        <f t="shared" si="1190"/>
        <v>0</v>
      </c>
      <c r="UU161" s="242">
        <f t="shared" si="1191"/>
        <v>0</v>
      </c>
      <c r="UV161" s="56"/>
      <c r="UY161" s="55">
        <f t="shared" si="1192"/>
        <v>46157</v>
      </c>
      <c r="UZ161" s="56"/>
      <c r="VA161" s="242">
        <f>SUMPRODUCT(PRODUCE!$B168:$DY168,PRODUCE!$EB$70:$IY$70)</f>
        <v>0</v>
      </c>
      <c r="VB161" s="56"/>
      <c r="VC161" s="242">
        <f t="shared" si="1193"/>
        <v>0</v>
      </c>
      <c r="VD161" s="242">
        <f t="shared" si="1194"/>
        <v>41.600000000000023</v>
      </c>
      <c r="VE161" s="56"/>
      <c r="VH161" s="55">
        <f t="shared" si="1195"/>
        <v>46157</v>
      </c>
      <c r="VI161" s="56"/>
      <c r="VJ161" s="242">
        <f>SUMPRODUCT(PRODUCE!$B168:$DY168,PRODUCE!$EB$71:$IY$71)</f>
        <v>0</v>
      </c>
      <c r="VK161" s="56"/>
      <c r="VL161" s="242">
        <f t="shared" si="1196"/>
        <v>0</v>
      </c>
      <c r="VM161" s="242">
        <f t="shared" si="1197"/>
        <v>0</v>
      </c>
      <c r="VN161" s="56"/>
      <c r="VQ161" s="55">
        <f t="shared" si="1198"/>
        <v>46157</v>
      </c>
      <c r="VR161" s="56"/>
      <c r="VS161" s="242">
        <f>SUMPRODUCT(PRODUCE!$B168:$DY168,PRODUCE!$EB$57:$IY$57)</f>
        <v>0</v>
      </c>
      <c r="VT161" s="56"/>
      <c r="VU161" s="242">
        <f t="shared" si="1199"/>
        <v>0</v>
      </c>
      <c r="VV161" s="242">
        <f t="shared" si="1200"/>
        <v>0</v>
      </c>
      <c r="VW161" s="56"/>
      <c r="VZ161" s="55">
        <f t="shared" si="1201"/>
        <v>46157</v>
      </c>
      <c r="WA161" s="56"/>
      <c r="WB161" s="242">
        <f>SUMPRODUCT(PRODUCE!$B168:$DY168,PRODUCE!$EB$57:$IY$57)</f>
        <v>0</v>
      </c>
      <c r="WC161" s="56"/>
      <c r="WD161" s="242">
        <f t="shared" si="1202"/>
        <v>0</v>
      </c>
      <c r="WE161" s="242">
        <f t="shared" si="1203"/>
        <v>0</v>
      </c>
      <c r="WF161" s="56"/>
      <c r="WI161" s="55">
        <f t="shared" si="1204"/>
        <v>46157</v>
      </c>
      <c r="WJ161" s="422"/>
      <c r="WK161" s="540">
        <f>SUMPRODUCT(PRODUCE!$B168:$DY168,PRODUCE!$EB$74:$IY$74)</f>
        <v>0</v>
      </c>
      <c r="WL161" s="422"/>
      <c r="WM161" s="540">
        <f t="shared" si="1205"/>
        <v>0</v>
      </c>
      <c r="WN161" s="540">
        <f t="shared" si="1206"/>
        <v>2317</v>
      </c>
      <c r="WO161" s="56"/>
      <c r="WR161" s="55">
        <f t="shared" si="1207"/>
        <v>46157</v>
      </c>
      <c r="WS161" s="422"/>
      <c r="WT161" s="540">
        <f>SUMPRODUCT(PRODUCE!$B168:$DY168,PRODUCE!$EB$75:$IY$75)</f>
        <v>0</v>
      </c>
      <c r="WU161" s="422"/>
      <c r="WV161" s="540">
        <f t="shared" si="1208"/>
        <v>0</v>
      </c>
      <c r="WW161" s="540">
        <f t="shared" si="1209"/>
        <v>0</v>
      </c>
      <c r="WX161" s="56"/>
      <c r="XA161" s="55">
        <f t="shared" si="1210"/>
        <v>46157</v>
      </c>
      <c r="XB161" s="422"/>
      <c r="XC161" s="540">
        <f>SUMPRODUCT(PRODUCE!$B168:$DY168,PRODUCE!$EB$76:$IY$76)</f>
        <v>0</v>
      </c>
      <c r="XD161" s="422">
        <v>694</v>
      </c>
      <c r="XE161" s="540">
        <f t="shared" si="1211"/>
        <v>-694</v>
      </c>
      <c r="XF161" s="540">
        <f t="shared" si="1212"/>
        <v>9933</v>
      </c>
      <c r="XG161" s="56"/>
      <c r="XJ161" s="55">
        <f t="shared" si="1213"/>
        <v>46157</v>
      </c>
      <c r="XK161" s="422"/>
      <c r="XL161" s="540">
        <f>SUMPRODUCT(PRODUCE!$B168:$DY168,PRODUCE!$EB$77:$IY$77)</f>
        <v>0</v>
      </c>
      <c r="XM161" s="422"/>
      <c r="XN161" s="540">
        <f t="shared" si="1214"/>
        <v>0</v>
      </c>
      <c r="XO161" s="540">
        <f t="shared" si="1215"/>
        <v>581</v>
      </c>
      <c r="XP161" s="56"/>
      <c r="XS161" s="55">
        <f t="shared" si="1216"/>
        <v>46157</v>
      </c>
      <c r="XT161" s="56"/>
      <c r="XU161" s="242">
        <f>SUMPRODUCT(PRODUCE!$B168:$DY168,PRODUCE!$EB$78:$IY$78)</f>
        <v>0</v>
      </c>
      <c r="XV161" s="56"/>
      <c r="XW161" s="242">
        <f t="shared" si="1217"/>
        <v>0</v>
      </c>
      <c r="XX161" s="242">
        <f t="shared" si="1218"/>
        <v>1901</v>
      </c>
      <c r="XY161" s="56"/>
      <c r="YB161" s="55">
        <f t="shared" si="1219"/>
        <v>46157</v>
      </c>
      <c r="YC161" s="56"/>
      <c r="YD161" s="242">
        <f>SUMPRODUCT(PRODUCE!$B168:$DY168,PRODUCE!$EB$79:$IY$79)</f>
        <v>0</v>
      </c>
      <c r="YE161" s="56"/>
      <c r="YF161" s="242">
        <f t="shared" si="1220"/>
        <v>0</v>
      </c>
      <c r="YG161" s="242">
        <f t="shared" si="1221"/>
        <v>6459</v>
      </c>
      <c r="YH161" s="56"/>
      <c r="YK161" s="55">
        <f t="shared" si="1222"/>
        <v>46157</v>
      </c>
      <c r="YL161" s="56"/>
      <c r="YM161" s="242">
        <f>SUMPRODUCT(PRODUCE!$B168:$DY168,PRODUCE!$EB$80:$IY$80)</f>
        <v>0</v>
      </c>
      <c r="YN161" s="56"/>
      <c r="YO161" s="242">
        <f t="shared" si="1223"/>
        <v>0</v>
      </c>
      <c r="YP161" s="242">
        <f t="shared" si="1224"/>
        <v>0</v>
      </c>
      <c r="YQ161" s="56"/>
      <c r="YT161" s="55">
        <f t="shared" si="1225"/>
        <v>46157</v>
      </c>
      <c r="YU161" s="56"/>
      <c r="YV161" s="242">
        <f>SUMPRODUCT(PRODUCE!$B168:$DY168,PRODUCE!$EB$57:$IY$57)</f>
        <v>0</v>
      </c>
      <c r="YW161" s="56"/>
      <c r="YX161" s="242">
        <f t="shared" si="1226"/>
        <v>0</v>
      </c>
      <c r="YY161" s="242">
        <f t="shared" si="1227"/>
        <v>0</v>
      </c>
      <c r="YZ161" s="56"/>
      <c r="ZC161" s="55">
        <f t="shared" si="1228"/>
        <v>46157</v>
      </c>
      <c r="ZD161" s="56"/>
      <c r="ZE161" s="242">
        <f>SUMPRODUCT(PRODUCE!$B168:$DY168,PRODUCE!$EB$57:$IY$57)</f>
        <v>0</v>
      </c>
      <c r="ZF161" s="56"/>
      <c r="ZG161" s="242">
        <f t="shared" si="1229"/>
        <v>0</v>
      </c>
      <c r="ZH161" s="242">
        <f t="shared" si="1230"/>
        <v>0</v>
      </c>
      <c r="ZI161" s="56"/>
      <c r="ZL161" s="55">
        <f t="shared" si="1231"/>
        <v>46157</v>
      </c>
      <c r="ZM161" s="56"/>
      <c r="ZN161" s="242">
        <f>SUMPRODUCT(PRODUCE!$B168:$DY168,PRODUCE!$EB$57:$IY$57)</f>
        <v>0</v>
      </c>
      <c r="ZO161" s="56"/>
      <c r="ZP161" s="242">
        <f t="shared" si="1232"/>
        <v>0</v>
      </c>
      <c r="ZQ161" s="242">
        <f t="shared" si="1233"/>
        <v>0</v>
      </c>
      <c r="ZR161" s="56"/>
      <c r="ZU161" s="55">
        <f t="shared" si="1234"/>
        <v>46157</v>
      </c>
      <c r="ZV161" s="56"/>
      <c r="ZW161" s="242">
        <f>SUMPRODUCT(PRODUCE!$B168:$DY168,PRODUCE!$EB$57:$IY$57)</f>
        <v>0</v>
      </c>
      <c r="ZX161" s="56"/>
      <c r="ZY161" s="242">
        <f t="shared" si="1235"/>
        <v>0</v>
      </c>
      <c r="ZZ161" s="242">
        <f t="shared" si="1236"/>
        <v>0</v>
      </c>
      <c r="AAA161" s="56"/>
      <c r="AAD161" s="55">
        <f t="shared" si="1237"/>
        <v>46157</v>
      </c>
      <c r="AAE161" s="56"/>
      <c r="AAF161" s="242">
        <f>SUMPRODUCT(PRODUCE!$B168:$DY168,PRODUCE!$EB$57:$IY$57)</f>
        <v>0</v>
      </c>
      <c r="AAG161" s="56"/>
      <c r="AAH161" s="242">
        <f t="shared" si="1238"/>
        <v>0</v>
      </c>
      <c r="AAI161" s="242">
        <f t="shared" si="1239"/>
        <v>0</v>
      </c>
      <c r="AAJ161" s="56"/>
      <c r="AAM161" s="55">
        <f t="shared" si="1240"/>
        <v>46157</v>
      </c>
      <c r="AAN161" s="56"/>
      <c r="AAO161" s="242">
        <f>SUMPRODUCT(PRODUCE!$B168:$DY168,PRODUCE!$EB$57:$IY$57)</f>
        <v>0</v>
      </c>
      <c r="AAP161" s="56"/>
      <c r="AAQ161" s="242">
        <f t="shared" si="1241"/>
        <v>0</v>
      </c>
      <c r="AAR161" s="242">
        <f t="shared" si="1242"/>
        <v>0</v>
      </c>
      <c r="AAS161" s="56"/>
      <c r="AAV161" s="55">
        <f t="shared" si="1243"/>
        <v>46157</v>
      </c>
      <c r="AAW161" s="56"/>
      <c r="AAX161" s="242">
        <f>SUMPRODUCT(PRODUCE!$B168:$DY168,PRODUCE!$EB$57:$IY$57)</f>
        <v>0</v>
      </c>
      <c r="AAY161" s="56"/>
      <c r="AAZ161" s="242">
        <f t="shared" si="1244"/>
        <v>0</v>
      </c>
      <c r="ABA161" s="242">
        <f t="shared" si="1245"/>
        <v>0</v>
      </c>
      <c r="ABB161" s="56"/>
      <c r="ABE161" s="55">
        <f t="shared" si="1246"/>
        <v>46157</v>
      </c>
      <c r="ABF161" s="56"/>
      <c r="ABG161" s="242">
        <f>SUMPRODUCT(PRODUCE!$B168:$DY168,PRODUCE!$EB$57:$IY$57)</f>
        <v>0</v>
      </c>
      <c r="ABH161" s="56"/>
      <c r="ABI161" s="242">
        <f t="shared" si="1247"/>
        <v>0</v>
      </c>
      <c r="ABJ161" s="242">
        <f t="shared" si="1248"/>
        <v>0</v>
      </c>
      <c r="ABK161" s="56"/>
    </row>
    <row r="162" spans="2:739" s="54" customFormat="1" ht="15" customHeight="1" outlineLevel="1">
      <c r="B162" s="478">
        <v>60</v>
      </c>
      <c r="C162" s="55">
        <v>46158</v>
      </c>
      <c r="D162" s="422">
        <v>41920</v>
      </c>
      <c r="E162" s="423">
        <f>SUMPRODUCT(PRODUCE!$B169:$DY169,PRODUCE!$EB$7:$IY$7)</f>
        <v>33472.799999999996</v>
      </c>
      <c r="F162" s="422">
        <v>33465.800000000003</v>
      </c>
      <c r="G162" s="423">
        <f t="shared" si="1004"/>
        <v>6.999999999992724</v>
      </c>
      <c r="H162" s="423">
        <f t="shared" si="1005"/>
        <v>196370.00000000006</v>
      </c>
      <c r="I162" s="289" t="s">
        <v>269</v>
      </c>
      <c r="L162" s="55">
        <f t="shared" si="1006"/>
        <v>46158</v>
      </c>
      <c r="M162" s="422"/>
      <c r="N162" s="438">
        <f>SUMPRODUCT(PRODUCE!$B169:$DY169,PRODUCE!$EB$8:$IY$8)</f>
        <v>19032</v>
      </c>
      <c r="O162" s="422">
        <v>19028.400000000001</v>
      </c>
      <c r="P162" s="438">
        <f t="shared" si="1007"/>
        <v>3.5999999999985448</v>
      </c>
      <c r="Q162" s="438">
        <f t="shared" si="1008"/>
        <v>84515.000000000087</v>
      </c>
      <c r="R162" s="56"/>
      <c r="U162" s="55">
        <f t="shared" si="1009"/>
        <v>46158</v>
      </c>
      <c r="V162" s="422"/>
      <c r="W162" s="440">
        <f>SUMPRODUCT(PRODUCE!$B169:$DY169,PRODUCE!$EB$9:$IY$9)</f>
        <v>3000</v>
      </c>
      <c r="X162" s="422">
        <f>3001.8</f>
        <v>3001.8</v>
      </c>
      <c r="Y162" s="440">
        <f t="shared" si="1010"/>
        <v>-1.8000000000001819</v>
      </c>
      <c r="Z162" s="440">
        <f t="shared" si="1011"/>
        <v>48100.299999999959</v>
      </c>
      <c r="AA162" s="56"/>
      <c r="AD162" s="55">
        <f t="shared" si="1012"/>
        <v>46158</v>
      </c>
      <c r="AE162" s="422"/>
      <c r="AF162" s="442">
        <f>SUMPRODUCT(PRODUCE!$B169:$DY169,PRODUCE!$EB$10:$IY$10)</f>
        <v>0</v>
      </c>
      <c r="AG162" s="422"/>
      <c r="AH162" s="442">
        <f t="shared" si="1013"/>
        <v>0</v>
      </c>
      <c r="AI162" s="442">
        <f t="shared" si="1014"/>
        <v>21746.100000000017</v>
      </c>
      <c r="AJ162" s="56"/>
      <c r="AM162" s="55">
        <f t="shared" si="1015"/>
        <v>46158</v>
      </c>
      <c r="AN162" s="422"/>
      <c r="AO162" s="444">
        <f>SUMPRODUCT(PRODUCE!$B169:$DY169,PRODUCE!$EB$11:$IY$11)</f>
        <v>0</v>
      </c>
      <c r="AP162" s="422"/>
      <c r="AQ162" s="444">
        <f t="shared" si="1016"/>
        <v>0</v>
      </c>
      <c r="AR162" s="444">
        <f t="shared" si="1017"/>
        <v>0</v>
      </c>
      <c r="AS162" s="56"/>
      <c r="AV162" s="55">
        <f t="shared" si="1018"/>
        <v>46158</v>
      </c>
      <c r="AW162" s="422"/>
      <c r="AX162" s="446">
        <f>SUMPRODUCT(PRODUCE!$B169:$DY169,PRODUCE!$EB$12:$IY$12)</f>
        <v>0</v>
      </c>
      <c r="AY162" s="422">
        <v>19580</v>
      </c>
      <c r="AZ162" s="446">
        <f t="shared" si="1019"/>
        <v>-19580</v>
      </c>
      <c r="BA162" s="446">
        <f t="shared" si="1020"/>
        <v>12423.199999999997</v>
      </c>
      <c r="BB162" s="56"/>
      <c r="BE162" s="55">
        <f t="shared" si="1021"/>
        <v>46158</v>
      </c>
      <c r="BF162" s="422"/>
      <c r="BG162" s="448">
        <f>SUMPRODUCT(PRODUCE!$B169:$DY169,PRODUCE!$EB$13:$IY$13)</f>
        <v>1170</v>
      </c>
      <c r="BH162" s="422">
        <v>1168.7</v>
      </c>
      <c r="BI162" s="448">
        <f t="shared" si="1022"/>
        <v>1.2999999999999545</v>
      </c>
      <c r="BJ162" s="448">
        <f t="shared" si="1023"/>
        <v>40953.299999999996</v>
      </c>
      <c r="BK162" s="56"/>
      <c r="BN162" s="55">
        <f t="shared" si="1024"/>
        <v>46158</v>
      </c>
      <c r="BO162" s="422">
        <v>1409.9</v>
      </c>
      <c r="BP162" s="450">
        <f>SUMPRODUCT(PRODUCE!$B169:$DY169,PRODUCE!$EB$14:$IY$14)</f>
        <v>1410</v>
      </c>
      <c r="BQ162" s="422">
        <v>1409.9</v>
      </c>
      <c r="BR162" s="450">
        <f t="shared" si="1025"/>
        <v>9.9999999999909051E-2</v>
      </c>
      <c r="BS162" s="450">
        <f t="shared" si="1026"/>
        <v>0</v>
      </c>
      <c r="BT162" s="56"/>
      <c r="BW162" s="55">
        <f t="shared" si="1027"/>
        <v>46158</v>
      </c>
      <c r="BX162" s="422"/>
      <c r="BY162" s="523">
        <f>SUMPRODUCT(PRODUCE!$B169:$DY169,PRODUCE!$EB$15:$IY$15)</f>
        <v>0</v>
      </c>
      <c r="BZ162" s="422"/>
      <c r="CA162" s="523">
        <f t="shared" si="1028"/>
        <v>0</v>
      </c>
      <c r="CB162" s="523">
        <f t="shared" si="1029"/>
        <v>5736.7999999999993</v>
      </c>
      <c r="CC162" s="56"/>
      <c r="CF162" s="55">
        <f t="shared" si="1030"/>
        <v>46158</v>
      </c>
      <c r="CG162" s="422"/>
      <c r="CH162" s="524">
        <f>SUMPRODUCT(PRODUCE!$B169:$DY169,PRODUCE!$EB$16:$IY$16)</f>
        <v>385.2</v>
      </c>
      <c r="CI162" s="422"/>
      <c r="CJ162" s="524">
        <f t="shared" si="1031"/>
        <v>385.2</v>
      </c>
      <c r="CK162" s="524">
        <f t="shared" si="1032"/>
        <v>0</v>
      </c>
      <c r="CL162" s="56"/>
      <c r="CO162" s="55">
        <f t="shared" si="1033"/>
        <v>46158</v>
      </c>
      <c r="CP162" s="422"/>
      <c r="CQ162" s="470">
        <f>SUMPRODUCT(PRODUCE!$B169:$DY169,PRODUCE!$EB$17:$IY$17)</f>
        <v>0</v>
      </c>
      <c r="CR162" s="422"/>
      <c r="CS162" s="470">
        <f t="shared" si="1034"/>
        <v>0</v>
      </c>
      <c r="CT162" s="470">
        <f t="shared" si="1035"/>
        <v>0</v>
      </c>
      <c r="CU162" s="56"/>
      <c r="CX162" s="55">
        <f t="shared" si="1036"/>
        <v>46158</v>
      </c>
      <c r="CY162" s="422"/>
      <c r="CZ162" s="525">
        <f>SUMPRODUCT(PRODUCE!$B169:$DY169,PRODUCE!$EB$18:$IY$18)</f>
        <v>0</v>
      </c>
      <c r="DA162" s="422"/>
      <c r="DB162" s="525">
        <f t="shared" si="1037"/>
        <v>0</v>
      </c>
      <c r="DC162" s="525">
        <f t="shared" si="1038"/>
        <v>21657.000000000004</v>
      </c>
      <c r="DD162" s="56"/>
      <c r="DG162" s="55">
        <f t="shared" si="1039"/>
        <v>46158</v>
      </c>
      <c r="DH162" s="422"/>
      <c r="DI162" s="526">
        <f>SUMPRODUCT(PRODUCE!$B169:$DY169,PRODUCE!$EB$19:$IY$19)</f>
        <v>0</v>
      </c>
      <c r="DJ162" s="422"/>
      <c r="DK162" s="526">
        <f t="shared" si="1040"/>
        <v>0</v>
      </c>
      <c r="DL162" s="526">
        <f t="shared" si="1041"/>
        <v>38237.099999999984</v>
      </c>
      <c r="DM162" s="56"/>
      <c r="DP162" s="55">
        <f t="shared" si="1042"/>
        <v>46158</v>
      </c>
      <c r="DQ162" s="422"/>
      <c r="DR162" s="423">
        <f>SUMPRODUCT(PRODUCE!$B169:$DY169,PRODUCE!$EB$20:$IY$20)</f>
        <v>0</v>
      </c>
      <c r="DS162" s="422"/>
      <c r="DT162" s="423">
        <f t="shared" si="1043"/>
        <v>0</v>
      </c>
      <c r="DU162" s="423">
        <f t="shared" si="1044"/>
        <v>5800</v>
      </c>
      <c r="DV162" s="56"/>
      <c r="DY162" s="55">
        <f t="shared" si="1045"/>
        <v>46158</v>
      </c>
      <c r="DZ162" s="56"/>
      <c r="EA162" s="157">
        <f>SUMPRODUCT(PRODUCE!$B169:$DY169,PRODUCE!$EB$21:$IY$21)</f>
        <v>0</v>
      </c>
      <c r="EB162" s="56"/>
      <c r="EC162" s="157">
        <f t="shared" si="1046"/>
        <v>0</v>
      </c>
      <c r="ED162" s="157">
        <f t="shared" si="1047"/>
        <v>0</v>
      </c>
      <c r="EE162" s="56"/>
      <c r="EH162" s="55">
        <f t="shared" si="1048"/>
        <v>46158</v>
      </c>
      <c r="EI162" s="56"/>
      <c r="EJ162" s="162">
        <f>SUMPRODUCT(PRODUCE!$B169:$DY169,PRODUCE!$EB$22:$IY$22)</f>
        <v>0</v>
      </c>
      <c r="EK162" s="56"/>
      <c r="EL162" s="162">
        <f t="shared" si="1049"/>
        <v>0</v>
      </c>
      <c r="EM162" s="162">
        <f t="shared" si="1050"/>
        <v>0</v>
      </c>
      <c r="EN162" s="56"/>
      <c r="EQ162" s="55">
        <f t="shared" si="1051"/>
        <v>46158</v>
      </c>
      <c r="ER162" s="56"/>
      <c r="ES162" s="135">
        <f>SUMPRODUCT(PRODUCE!$B169:$DY169,PRODUCE!$EB$23:$IY$23)</f>
        <v>0</v>
      </c>
      <c r="ET162" s="56"/>
      <c r="EU162" s="135">
        <f t="shared" si="1052"/>
        <v>0</v>
      </c>
      <c r="EV162" s="135">
        <f t="shared" si="1053"/>
        <v>0</v>
      </c>
      <c r="EW162" s="56"/>
      <c r="EZ162" s="55">
        <f t="shared" si="1054"/>
        <v>46158</v>
      </c>
      <c r="FA162" s="56"/>
      <c r="FB162" s="175">
        <f>SUMPRODUCT(PRODUCE!$B169:$DY169,PRODUCE!$EB$24:$IY$24)</f>
        <v>0</v>
      </c>
      <c r="FC162" s="56"/>
      <c r="FD162" s="175">
        <f t="shared" si="1055"/>
        <v>0</v>
      </c>
      <c r="FE162" s="175">
        <f t="shared" si="1056"/>
        <v>0</v>
      </c>
      <c r="FF162" s="56"/>
      <c r="FI162" s="55">
        <f t="shared" si="1057"/>
        <v>46158</v>
      </c>
      <c r="FJ162" s="56"/>
      <c r="FK162" s="183">
        <f>SUMPRODUCT(PRODUCE!$B169:$DY169,PRODUCE!$EB$25:$IY$25)</f>
        <v>0</v>
      </c>
      <c r="FL162" s="56"/>
      <c r="FM162" s="183">
        <f t="shared" si="1058"/>
        <v>0</v>
      </c>
      <c r="FN162" s="183">
        <f t="shared" si="1059"/>
        <v>0</v>
      </c>
      <c r="FO162" s="56"/>
      <c r="FR162" s="55">
        <f t="shared" si="1060"/>
        <v>46158</v>
      </c>
      <c r="FS162" s="56"/>
      <c r="FT162" s="186">
        <f>SUMPRODUCT(PRODUCE!$B169:$DY169,PRODUCE!$EB$26:$IY$26)</f>
        <v>0</v>
      </c>
      <c r="FU162" s="56"/>
      <c r="FV162" s="186">
        <f t="shared" si="1061"/>
        <v>0</v>
      </c>
      <c r="FW162" s="186">
        <f t="shared" si="1062"/>
        <v>4140</v>
      </c>
      <c r="FX162" s="56"/>
      <c r="GA162" s="55">
        <f t="shared" si="1063"/>
        <v>46158</v>
      </c>
      <c r="GB162" s="56"/>
      <c r="GC162" s="137">
        <f>SUMPRODUCT(PRODUCE!$B169:$DY169,PRODUCE!$EB$27:$IY$27)</f>
        <v>0</v>
      </c>
      <c r="GD162" s="56"/>
      <c r="GE162" s="137">
        <f t="shared" si="1064"/>
        <v>0</v>
      </c>
      <c r="GF162" s="137">
        <f t="shared" si="1065"/>
        <v>5040</v>
      </c>
      <c r="GG162" s="56"/>
      <c r="GI162" s="23"/>
      <c r="GJ162" s="55">
        <f t="shared" si="1066"/>
        <v>46158</v>
      </c>
      <c r="GK162" s="56"/>
      <c r="GL162" s="199">
        <f>SUMPRODUCT(PRODUCE!$B169:$DY169,PRODUCE!$EB$28:$IY$28)</f>
        <v>0</v>
      </c>
      <c r="GM162" s="56"/>
      <c r="GN162" s="199">
        <f t="shared" si="1067"/>
        <v>0</v>
      </c>
      <c r="GO162" s="199">
        <f t="shared" si="1068"/>
        <v>1760</v>
      </c>
      <c r="GP162" s="56"/>
      <c r="GS162" s="55">
        <f t="shared" si="1069"/>
        <v>46158</v>
      </c>
      <c r="GT162" s="56"/>
      <c r="GU162" s="195">
        <f>SUMPRODUCT(PRODUCE!$B169:$DY169,PRODUCE!$EB$29:$IY$29)</f>
        <v>0</v>
      </c>
      <c r="GV162" s="56"/>
      <c r="GW162" s="195">
        <f t="shared" si="1070"/>
        <v>0</v>
      </c>
      <c r="GX162" s="195">
        <f t="shared" si="1071"/>
        <v>1320</v>
      </c>
      <c r="GY162" s="56"/>
      <c r="HB162" s="55">
        <f t="shared" si="1072"/>
        <v>46158</v>
      </c>
      <c r="HC162" s="56"/>
      <c r="HD162" s="191">
        <f>SUMPRODUCT(PRODUCE!$B169:$DY169,PRODUCE!$EB$30:$IY$30)</f>
        <v>0</v>
      </c>
      <c r="HE162" s="56"/>
      <c r="HF162" s="191">
        <f t="shared" si="1073"/>
        <v>0</v>
      </c>
      <c r="HG162" s="191">
        <f t="shared" si="1074"/>
        <v>3600</v>
      </c>
      <c r="HH162" s="56"/>
      <c r="HK162" s="55">
        <f t="shared" si="1075"/>
        <v>46158</v>
      </c>
      <c r="HL162" s="56"/>
      <c r="HM162" s="63">
        <f>SUMPRODUCT(PRODUCE!$B169:$DY169,PRODUCE!$EB$31:$IY$31)</f>
        <v>0</v>
      </c>
      <c r="HN162" s="56"/>
      <c r="HO162" s="63">
        <f t="shared" si="1076"/>
        <v>0</v>
      </c>
      <c r="HP162" s="63">
        <f t="shared" si="1077"/>
        <v>0</v>
      </c>
      <c r="HQ162" s="56"/>
      <c r="HU162" s="55">
        <f t="shared" si="1078"/>
        <v>46158</v>
      </c>
      <c r="HV162" s="56"/>
      <c r="HW162" s="242">
        <f>SUMPRODUCT(PRODUCE!$B169:$DY169,PRODUCE!$EB$32:$IY$32)</f>
        <v>0</v>
      </c>
      <c r="HX162" s="56"/>
      <c r="HY162" s="242">
        <f t="shared" si="1079"/>
        <v>0</v>
      </c>
      <c r="HZ162" s="242">
        <f t="shared" si="1080"/>
        <v>5080</v>
      </c>
      <c r="IA162" s="56"/>
      <c r="ID162" s="55">
        <f t="shared" si="1081"/>
        <v>46158</v>
      </c>
      <c r="IE162" s="56"/>
      <c r="IF162" s="242">
        <f>SUMPRODUCT(PRODUCE!$B169:$DY169,PRODUCE!$EB$33:$IY$33)</f>
        <v>0</v>
      </c>
      <c r="IG162" s="56"/>
      <c r="IH162" s="242">
        <f t="shared" si="1082"/>
        <v>0</v>
      </c>
      <c r="II162" s="242">
        <f t="shared" si="1083"/>
        <v>720</v>
      </c>
      <c r="IJ162" s="56"/>
      <c r="IM162" s="55">
        <f t="shared" si="1084"/>
        <v>46158</v>
      </c>
      <c r="IN162" s="56"/>
      <c r="IO162" s="242">
        <f>SUMPRODUCT(PRODUCE!$B169:$DY169,PRODUCE!$EB$34:$IY$34)</f>
        <v>0</v>
      </c>
      <c r="IP162" s="56"/>
      <c r="IQ162" s="242">
        <f t="shared" si="1085"/>
        <v>0</v>
      </c>
      <c r="IR162" s="242">
        <f t="shared" si="1086"/>
        <v>11540</v>
      </c>
      <c r="IS162" s="56"/>
      <c r="IV162" s="55">
        <f t="shared" si="1087"/>
        <v>46158</v>
      </c>
      <c r="IW162" s="56"/>
      <c r="IX162" s="242">
        <f>SUMPRODUCT(PRODUCE!$B169:$DY169,PRODUCE!$EB$35:$IY$35)</f>
        <v>0</v>
      </c>
      <c r="IY162" s="56"/>
      <c r="IZ162" s="242">
        <f t="shared" si="1088"/>
        <v>0</v>
      </c>
      <c r="JA162" s="242">
        <f t="shared" si="1089"/>
        <v>12860</v>
      </c>
      <c r="JB162" s="56"/>
      <c r="JE162" s="55">
        <f t="shared" si="1090"/>
        <v>46158</v>
      </c>
      <c r="JF162" s="56"/>
      <c r="JG162" s="242">
        <f>SUMPRODUCT(PRODUCE!$B169:$DY169,PRODUCE!$EB$36:$IY$36)</f>
        <v>0</v>
      </c>
      <c r="JH162" s="56"/>
      <c r="JI162" s="242">
        <f t="shared" si="1091"/>
        <v>0</v>
      </c>
      <c r="JJ162" s="242">
        <f t="shared" si="1092"/>
        <v>0</v>
      </c>
      <c r="JK162" s="56"/>
      <c r="JN162" s="55">
        <f t="shared" si="1093"/>
        <v>46158</v>
      </c>
      <c r="JO162" s="56"/>
      <c r="JP162" s="242">
        <f>SUMPRODUCT(PRODUCE!$B169:$DY169,PRODUCE!$EB$37:$IY$37)</f>
        <v>1200</v>
      </c>
      <c r="JQ162" s="56"/>
      <c r="JR162" s="242">
        <f t="shared" si="1094"/>
        <v>1200</v>
      </c>
      <c r="JS162" s="242">
        <f t="shared" si="1095"/>
        <v>5500</v>
      </c>
      <c r="JT162" s="56"/>
      <c r="JW162" s="55">
        <f t="shared" si="1096"/>
        <v>46158</v>
      </c>
      <c r="JX162" s="56"/>
      <c r="JY162" s="242">
        <f>SUMPRODUCT(PRODUCE!$B169:$DY169,PRODUCE!$EB$38:$IY$38)</f>
        <v>0</v>
      </c>
      <c r="JZ162" s="56"/>
      <c r="KA162" s="242">
        <f t="shared" si="1097"/>
        <v>0</v>
      </c>
      <c r="KB162" s="242">
        <f t="shared" si="1098"/>
        <v>2540</v>
      </c>
      <c r="KC162" s="56"/>
      <c r="KF162" s="55">
        <f t="shared" si="1099"/>
        <v>46158</v>
      </c>
      <c r="KG162" s="56"/>
      <c r="KH162" s="242">
        <f>SUMPRODUCT(PRODUCE!$B169:$DY169,PRODUCE!$EB$39:$IY$39)</f>
        <v>0</v>
      </c>
      <c r="KI162" s="56"/>
      <c r="KJ162" s="242">
        <f t="shared" si="1100"/>
        <v>0</v>
      </c>
      <c r="KK162" s="242">
        <f t="shared" si="1101"/>
        <v>2359.5</v>
      </c>
      <c r="KL162" s="56"/>
      <c r="KO162" s="55">
        <f t="shared" si="1102"/>
        <v>46158</v>
      </c>
      <c r="KP162" s="56"/>
      <c r="KQ162" s="242">
        <f>SUMPRODUCT(PRODUCE!$B169:$DY169,PRODUCE!$EB$40:$IY$40)</f>
        <v>0</v>
      </c>
      <c r="KR162" s="56"/>
      <c r="KS162" s="242">
        <f t="shared" si="1103"/>
        <v>0</v>
      </c>
      <c r="KT162" s="242">
        <f t="shared" si="1104"/>
        <v>1890</v>
      </c>
      <c r="KU162" s="56"/>
      <c r="KW162" s="23"/>
      <c r="KX162" s="55">
        <f t="shared" si="1105"/>
        <v>46158</v>
      </c>
      <c r="KY162" s="56"/>
      <c r="KZ162" s="242">
        <f>SUMPRODUCT(PRODUCE!$B169:$DY169,PRODUCE!$EB$41:$IY$41)</f>
        <v>0</v>
      </c>
      <c r="LA162" s="56"/>
      <c r="LB162" s="242">
        <f t="shared" si="1106"/>
        <v>0</v>
      </c>
      <c r="LC162" s="242">
        <f t="shared" si="1107"/>
        <v>3690</v>
      </c>
      <c r="LD162" s="56"/>
      <c r="LG162" s="55">
        <f t="shared" si="1108"/>
        <v>46158</v>
      </c>
      <c r="LH162" s="56"/>
      <c r="LI162" s="242">
        <f>SUMPRODUCT(PRODUCE!$B169:$DY169,PRODUCE!$EB$42:$IY$42)</f>
        <v>0</v>
      </c>
      <c r="LJ162" s="56"/>
      <c r="LK162" s="242">
        <f t="shared" si="1109"/>
        <v>0</v>
      </c>
      <c r="LL162" s="242">
        <f t="shared" si="1110"/>
        <v>4000</v>
      </c>
      <c r="LM162" s="56"/>
      <c r="LP162" s="55">
        <f t="shared" si="1111"/>
        <v>46158</v>
      </c>
      <c r="LQ162" s="56"/>
      <c r="LR162" s="242">
        <f>SUMPRODUCT(PRODUCE!$B177:$DY177,PRODUCE!$EB$43:$IY$43)</f>
        <v>0</v>
      </c>
      <c r="LS162" s="56"/>
      <c r="LT162" s="242">
        <f t="shared" si="1112"/>
        <v>0</v>
      </c>
      <c r="LU162" s="242">
        <f t="shared" si="1113"/>
        <v>0</v>
      </c>
      <c r="LV162" s="56"/>
      <c r="LY162" s="55">
        <f t="shared" si="1114"/>
        <v>46158</v>
      </c>
      <c r="LZ162" s="56"/>
      <c r="MA162" s="242">
        <f>SUMPRODUCT(PRODUCE!$B169:$DY169,PRODUCE!$EB$44:$IY$44)</f>
        <v>0</v>
      </c>
      <c r="MB162" s="56"/>
      <c r="MC162" s="242">
        <f t="shared" si="1115"/>
        <v>0</v>
      </c>
      <c r="MD162" s="242">
        <f t="shared" si="1116"/>
        <v>0</v>
      </c>
      <c r="ME162" s="56"/>
      <c r="MH162" s="55">
        <f t="shared" si="1117"/>
        <v>46158</v>
      </c>
      <c r="MI162" s="56"/>
      <c r="MJ162" s="242">
        <f>SUMPRODUCT(PRODUCE!$B169:$DY169,PRODUCE!$EB$45:$IY$45)</f>
        <v>0</v>
      </c>
      <c r="MK162" s="56"/>
      <c r="ML162" s="242">
        <f t="shared" si="1118"/>
        <v>0</v>
      </c>
      <c r="MM162" s="242">
        <f t="shared" si="1119"/>
        <v>0</v>
      </c>
      <c r="MN162" s="56"/>
      <c r="MQ162" s="55">
        <f t="shared" si="1120"/>
        <v>46158</v>
      </c>
      <c r="MR162" s="56"/>
      <c r="MS162" s="242">
        <f>SUMPRODUCT(PRODUCE!$B169:$DY169,PRODUCE!$EB$46:$IY$46)</f>
        <v>0</v>
      </c>
      <c r="MT162" s="56"/>
      <c r="MU162" s="242">
        <f t="shared" si="1121"/>
        <v>0</v>
      </c>
      <c r="MV162" s="242">
        <f t="shared" si="1122"/>
        <v>3761</v>
      </c>
      <c r="MW162" s="56"/>
      <c r="MZ162" s="55">
        <f t="shared" si="1123"/>
        <v>46158</v>
      </c>
      <c r="NA162" s="56"/>
      <c r="NB162" s="242">
        <f>SUMPRODUCT(PRODUCE!$B169:$DY169,PRODUCE!$EB$47:$IY$47)</f>
        <v>180</v>
      </c>
      <c r="NC162" s="56"/>
      <c r="ND162" s="242">
        <f t="shared" si="1124"/>
        <v>180</v>
      </c>
      <c r="NE162" s="242">
        <f t="shared" si="1125"/>
        <v>0</v>
      </c>
      <c r="NF162" s="56"/>
      <c r="NI162" s="55">
        <f t="shared" si="1126"/>
        <v>46158</v>
      </c>
      <c r="NJ162" s="56"/>
      <c r="NK162" s="242">
        <f>SUMPRODUCT(PRODUCE!$B169:$DY169,PRODUCE!$EB$48:$IY$48)</f>
        <v>0</v>
      </c>
      <c r="NL162" s="56"/>
      <c r="NM162" s="242">
        <f t="shared" si="1127"/>
        <v>0</v>
      </c>
      <c r="NN162" s="242">
        <f t="shared" si="1128"/>
        <v>1127</v>
      </c>
      <c r="NO162" s="56"/>
      <c r="NR162" s="55">
        <f t="shared" si="1129"/>
        <v>46158</v>
      </c>
      <c r="NS162" s="56"/>
      <c r="NT162" s="242">
        <f>SUMPRODUCT(PRODUCE!$B169:$DY169,PRODUCE!$EB$49:$IY$49)</f>
        <v>0</v>
      </c>
      <c r="NU162" s="56"/>
      <c r="NV162" s="242">
        <f t="shared" si="1130"/>
        <v>0</v>
      </c>
      <c r="NW162" s="242">
        <f t="shared" si="1131"/>
        <v>3111.9999999999995</v>
      </c>
      <c r="NX162" s="56"/>
      <c r="OA162" s="55">
        <f t="shared" si="1132"/>
        <v>46158</v>
      </c>
      <c r="OB162" s="56"/>
      <c r="OC162" s="242">
        <f>SUMPRODUCT(PRODUCE!$B169:$DY169,PRODUCE!$EB$50:$IY$50)</f>
        <v>0</v>
      </c>
      <c r="OD162" s="56"/>
      <c r="OE162" s="242">
        <f t="shared" si="1133"/>
        <v>0</v>
      </c>
      <c r="OF162" s="242">
        <f t="shared" si="1134"/>
        <v>1680.5</v>
      </c>
      <c r="OG162" s="56"/>
      <c r="OJ162" s="55">
        <f t="shared" si="1135"/>
        <v>46158</v>
      </c>
      <c r="OK162" s="56"/>
      <c r="OL162" s="242">
        <f>SUMPRODUCT(PRODUCE!$B169:$DY169,PRODUCE!$EB$51:$IY$51)</f>
        <v>0</v>
      </c>
      <c r="OM162" s="56"/>
      <c r="ON162" s="242">
        <f t="shared" si="1136"/>
        <v>0</v>
      </c>
      <c r="OO162" s="242">
        <f t="shared" si="1137"/>
        <v>0</v>
      </c>
      <c r="OP162" s="56"/>
      <c r="OS162" s="55">
        <f t="shared" si="1138"/>
        <v>46158</v>
      </c>
      <c r="OT162" s="56"/>
      <c r="OU162" s="242">
        <f>SUMPRODUCT(PRODUCE!$B169:$DY169,PRODUCE!$EB$52:$IY$52)</f>
        <v>0</v>
      </c>
      <c r="OV162" s="56"/>
      <c r="OW162" s="242">
        <f t="shared" si="1139"/>
        <v>0</v>
      </c>
      <c r="OX162" s="242">
        <f t="shared" si="1140"/>
        <v>1482</v>
      </c>
      <c r="OY162" s="56"/>
      <c r="PB162" s="55">
        <f t="shared" si="1141"/>
        <v>46158</v>
      </c>
      <c r="PC162" s="56"/>
      <c r="PD162" s="242">
        <f>SUMPRODUCT(PRODUCE!$B169:$DY169,PRODUCE!$EB$53:$IY$53)</f>
        <v>0</v>
      </c>
      <c r="PE162" s="56"/>
      <c r="PF162" s="242">
        <f t="shared" si="1142"/>
        <v>0</v>
      </c>
      <c r="PG162" s="242">
        <f t="shared" si="1143"/>
        <v>0</v>
      </c>
      <c r="PH162" s="56"/>
      <c r="PK162" s="55">
        <f t="shared" si="1144"/>
        <v>46158</v>
      </c>
      <c r="PL162" s="56"/>
      <c r="PM162" s="242">
        <f>SUMPRODUCT(PRODUCE!$B169:$DY169,PRODUCE!$EB$54:$IY$54)</f>
        <v>0</v>
      </c>
      <c r="PN162" s="56"/>
      <c r="PO162" s="242">
        <f t="shared" si="1145"/>
        <v>0</v>
      </c>
      <c r="PP162" s="242">
        <f t="shared" si="1146"/>
        <v>100</v>
      </c>
      <c r="PQ162" s="56"/>
      <c r="PT162" s="55">
        <f t="shared" si="1147"/>
        <v>46158</v>
      </c>
      <c r="PU162" s="56"/>
      <c r="PV162" s="242">
        <f>SUMPRODUCT(PRODUCE!$B169:$DY169,PRODUCE!$EB$55:$IY$55)</f>
        <v>0</v>
      </c>
      <c r="PW162" s="56"/>
      <c r="PX162" s="242">
        <f t="shared" si="1148"/>
        <v>0</v>
      </c>
      <c r="PY162" s="242">
        <f t="shared" si="1149"/>
        <v>13.960000000000036</v>
      </c>
      <c r="PZ162" s="56"/>
      <c r="QC162" s="55">
        <f t="shared" si="1150"/>
        <v>46158</v>
      </c>
      <c r="QD162" s="56"/>
      <c r="QE162" s="242">
        <f>SUMPRODUCT(PRODUCE!$B169:$DY169,PRODUCE!$EB$56:$IY$56)</f>
        <v>0</v>
      </c>
      <c r="QF162" s="56"/>
      <c r="QG162" s="242">
        <f t="shared" si="1151"/>
        <v>0</v>
      </c>
      <c r="QH162" s="242">
        <f t="shared" si="1152"/>
        <v>876</v>
      </c>
      <c r="QI162" s="56"/>
      <c r="QL162" s="55">
        <f t="shared" si="1153"/>
        <v>46158</v>
      </c>
      <c r="QM162" s="56"/>
      <c r="QN162" s="242">
        <f>SUMPRODUCT(PRODUCE!$B169:$DY169,PRODUCE!$EB$57:$IY$57)</f>
        <v>150</v>
      </c>
      <c r="QO162" s="56"/>
      <c r="QP162" s="242">
        <f t="shared" si="1154"/>
        <v>150</v>
      </c>
      <c r="QQ162" s="242">
        <f t="shared" si="1155"/>
        <v>515</v>
      </c>
      <c r="QR162" s="56"/>
      <c r="QU162" s="55">
        <f t="shared" si="1156"/>
        <v>46158</v>
      </c>
      <c r="QV162" s="56"/>
      <c r="QW162" s="242">
        <f>SUMPRODUCT(PRODUCE!$B169:$DY169,PRODUCE!$EB$58:$IY$58)</f>
        <v>0</v>
      </c>
      <c r="QX162" s="56"/>
      <c r="QY162" s="242">
        <f t="shared" si="1157"/>
        <v>0</v>
      </c>
      <c r="QZ162" s="242">
        <f t="shared" si="1158"/>
        <v>207.6</v>
      </c>
      <c r="RA162" s="56"/>
      <c r="RD162" s="55">
        <f t="shared" si="1159"/>
        <v>46158</v>
      </c>
      <c r="RE162" s="56"/>
      <c r="RF162" s="242">
        <f>SUMPRODUCT(PRODUCE!$B169:$DY169,PRODUCE!$EB$59:$IY$59)</f>
        <v>0</v>
      </c>
      <c r="RG162" s="56"/>
      <c r="RH162" s="242">
        <f t="shared" si="1160"/>
        <v>0</v>
      </c>
      <c r="RI162" s="242">
        <f t="shared" si="1161"/>
        <v>147.04000000000002</v>
      </c>
      <c r="RJ162" s="56"/>
      <c r="RM162" s="55">
        <f t="shared" si="1162"/>
        <v>46158</v>
      </c>
      <c r="RN162" s="56"/>
      <c r="RO162" s="242">
        <f>SUMPRODUCT(PRODUCE!$B169:$DY169,PRODUCE!$EB$60:$IY$60)</f>
        <v>0</v>
      </c>
      <c r="RP162" s="56"/>
      <c r="RQ162" s="242">
        <f t="shared" si="1163"/>
        <v>0</v>
      </c>
      <c r="RR162" s="242">
        <f t="shared" si="1164"/>
        <v>46.8</v>
      </c>
      <c r="RS162" s="56"/>
      <c r="RV162" s="55">
        <f t="shared" si="1165"/>
        <v>46158</v>
      </c>
      <c r="RW162" s="56"/>
      <c r="RX162" s="242">
        <f>SUMPRODUCT(PRODUCE!$B169:$DY169,PRODUCE!$EB$61:$IY$61)</f>
        <v>0</v>
      </c>
      <c r="RY162" s="56"/>
      <c r="RZ162" s="242">
        <f t="shared" si="1166"/>
        <v>0</v>
      </c>
      <c r="SA162" s="242">
        <f t="shared" si="1167"/>
        <v>0</v>
      </c>
      <c r="SB162" s="56"/>
      <c r="SE162" s="55">
        <f t="shared" si="1168"/>
        <v>46158</v>
      </c>
      <c r="SF162" s="56"/>
      <c r="SG162" s="242">
        <f>SUMPRODUCT(PRODUCE!$B169:$DY169,PRODUCE!$EB$62:$IY$62)</f>
        <v>0</v>
      </c>
      <c r="SH162" s="56"/>
      <c r="SI162" s="242">
        <f t="shared" si="1169"/>
        <v>0</v>
      </c>
      <c r="SJ162" s="242">
        <f t="shared" si="1170"/>
        <v>24.200000000000003</v>
      </c>
      <c r="SK162" s="56"/>
      <c r="SN162" s="55">
        <f t="shared" si="1171"/>
        <v>46158</v>
      </c>
      <c r="SO162" s="56"/>
      <c r="SP162" s="242">
        <f>SUMPRODUCT(PRODUCE!$B169:$DY169,PRODUCE!$EB$63:$IY$63)</f>
        <v>0</v>
      </c>
      <c r="SQ162" s="56"/>
      <c r="SR162" s="242">
        <f t="shared" si="1172"/>
        <v>0</v>
      </c>
      <c r="SS162" s="242">
        <f t="shared" si="1173"/>
        <v>32</v>
      </c>
      <c r="ST162" s="56"/>
      <c r="SW162" s="55">
        <f t="shared" si="1174"/>
        <v>46158</v>
      </c>
      <c r="SX162" s="56"/>
      <c r="SY162" s="242">
        <f>SUMPRODUCT(PRODUCE!$B169:$DY169,PRODUCE!$EB$64:$IY$64)</f>
        <v>0</v>
      </c>
      <c r="SZ162" s="56"/>
      <c r="TA162" s="242">
        <f t="shared" si="1175"/>
        <v>0</v>
      </c>
      <c r="TB162" s="242">
        <f t="shared" si="1176"/>
        <v>0</v>
      </c>
      <c r="TC162" s="56"/>
      <c r="TF162" s="55">
        <f t="shared" si="1177"/>
        <v>46158</v>
      </c>
      <c r="TG162" s="56"/>
      <c r="TH162" s="242">
        <f>SUMPRODUCT(PRODUCE!$B169:$DY169,PRODUCE!$EB$65:$IY$65)</f>
        <v>0</v>
      </c>
      <c r="TI162" s="56"/>
      <c r="TJ162" s="242">
        <f t="shared" si="1178"/>
        <v>0</v>
      </c>
      <c r="TK162" s="242">
        <f t="shared" si="1179"/>
        <v>0</v>
      </c>
      <c r="TL162" s="56"/>
      <c r="TO162" s="55">
        <f t="shared" si="1180"/>
        <v>46158</v>
      </c>
      <c r="TP162" s="56"/>
      <c r="TQ162" s="242">
        <f>SUMPRODUCT(PRODUCE!$B169:$DY169,PRODUCE!$EB$66:$IY$66)</f>
        <v>0</v>
      </c>
      <c r="TR162" s="56"/>
      <c r="TS162" s="242">
        <f t="shared" si="1181"/>
        <v>0</v>
      </c>
      <c r="TT162" s="242">
        <f t="shared" si="1182"/>
        <v>0</v>
      </c>
      <c r="TU162" s="56"/>
      <c r="TX162" s="55">
        <f t="shared" si="1183"/>
        <v>46158</v>
      </c>
      <c r="TY162" s="56"/>
      <c r="TZ162" s="242">
        <f>SUMPRODUCT(PRODUCE!$B169:$DY169,PRODUCE!$EB$67:$IY$67)</f>
        <v>0</v>
      </c>
      <c r="UA162" s="56"/>
      <c r="UB162" s="242">
        <f t="shared" si="1184"/>
        <v>0</v>
      </c>
      <c r="UC162" s="242">
        <f t="shared" si="1185"/>
        <v>0</v>
      </c>
      <c r="UD162" s="56"/>
      <c r="UG162" s="55">
        <f t="shared" si="1186"/>
        <v>46158</v>
      </c>
      <c r="UH162" s="56"/>
      <c r="UI162" s="242">
        <f>SUMPRODUCT(PRODUCE!$B169:$DY169,PRODUCE!$EB$68:$IY$68)</f>
        <v>0</v>
      </c>
      <c r="UJ162" s="56"/>
      <c r="UK162" s="242">
        <f t="shared" si="1187"/>
        <v>0</v>
      </c>
      <c r="UL162" s="242">
        <f t="shared" si="1188"/>
        <v>0</v>
      </c>
      <c r="UM162" s="56"/>
      <c r="UP162" s="55">
        <f t="shared" si="1189"/>
        <v>46158</v>
      </c>
      <c r="UQ162" s="56"/>
      <c r="UR162" s="242">
        <f>SUMPRODUCT(PRODUCE!$B169:$DY169,PRODUCE!$EB$69:$IY$69)</f>
        <v>0</v>
      </c>
      <c r="US162" s="56"/>
      <c r="UT162" s="242">
        <f t="shared" si="1190"/>
        <v>0</v>
      </c>
      <c r="UU162" s="242">
        <f t="shared" si="1191"/>
        <v>0</v>
      </c>
      <c r="UV162" s="56"/>
      <c r="UY162" s="55">
        <f t="shared" si="1192"/>
        <v>46158</v>
      </c>
      <c r="UZ162" s="56"/>
      <c r="VA162" s="242">
        <f>SUMPRODUCT(PRODUCE!$B169:$DY169,PRODUCE!$EB$70:$IY$70)</f>
        <v>0</v>
      </c>
      <c r="VB162" s="56"/>
      <c r="VC162" s="242">
        <f t="shared" si="1193"/>
        <v>0</v>
      </c>
      <c r="VD162" s="242">
        <f t="shared" si="1194"/>
        <v>41.600000000000023</v>
      </c>
      <c r="VE162" s="56"/>
      <c r="VH162" s="55">
        <f t="shared" si="1195"/>
        <v>46158</v>
      </c>
      <c r="VI162" s="56"/>
      <c r="VJ162" s="242">
        <f>SUMPRODUCT(PRODUCE!$B169:$DY169,PRODUCE!$EB$71:$IY$71)</f>
        <v>0</v>
      </c>
      <c r="VK162" s="56"/>
      <c r="VL162" s="242">
        <f t="shared" si="1196"/>
        <v>0</v>
      </c>
      <c r="VM162" s="242">
        <f t="shared" si="1197"/>
        <v>0</v>
      </c>
      <c r="VN162" s="56"/>
      <c r="VQ162" s="55">
        <f t="shared" si="1198"/>
        <v>46158</v>
      </c>
      <c r="VR162" s="56"/>
      <c r="VS162" s="242">
        <f>SUMPRODUCT(PRODUCE!$B169:$DY169,PRODUCE!$EB$57:$IY$57)</f>
        <v>150</v>
      </c>
      <c r="VT162" s="56"/>
      <c r="VU162" s="242">
        <f t="shared" si="1199"/>
        <v>150</v>
      </c>
      <c r="VV162" s="242">
        <f t="shared" si="1200"/>
        <v>0</v>
      </c>
      <c r="VW162" s="56"/>
      <c r="VZ162" s="55">
        <f t="shared" si="1201"/>
        <v>46158</v>
      </c>
      <c r="WA162" s="56"/>
      <c r="WB162" s="242">
        <f>SUMPRODUCT(PRODUCE!$B169:$DY169,PRODUCE!$EB$57:$IY$57)</f>
        <v>150</v>
      </c>
      <c r="WC162" s="56"/>
      <c r="WD162" s="242">
        <f t="shared" si="1202"/>
        <v>150</v>
      </c>
      <c r="WE162" s="242">
        <f t="shared" si="1203"/>
        <v>0</v>
      </c>
      <c r="WF162" s="56"/>
      <c r="WI162" s="55">
        <f t="shared" si="1204"/>
        <v>46158</v>
      </c>
      <c r="WJ162" s="422"/>
      <c r="WK162" s="540">
        <f>SUMPRODUCT(PRODUCE!$B169:$DY169,PRODUCE!$EB$74:$IY$74)</f>
        <v>0</v>
      </c>
      <c r="WL162" s="422"/>
      <c r="WM162" s="540">
        <f t="shared" si="1205"/>
        <v>0</v>
      </c>
      <c r="WN162" s="540">
        <f t="shared" si="1206"/>
        <v>2317</v>
      </c>
      <c r="WO162" s="56"/>
      <c r="WR162" s="55">
        <f t="shared" si="1207"/>
        <v>46158</v>
      </c>
      <c r="WS162" s="422"/>
      <c r="WT162" s="540">
        <f>SUMPRODUCT(PRODUCE!$B169:$DY169,PRODUCE!$EB$75:$IY$75)</f>
        <v>0</v>
      </c>
      <c r="WU162" s="422"/>
      <c r="WV162" s="540">
        <f t="shared" si="1208"/>
        <v>0</v>
      </c>
      <c r="WW162" s="540">
        <f t="shared" si="1209"/>
        <v>0</v>
      </c>
      <c r="WX162" s="56"/>
      <c r="XA162" s="55">
        <f t="shared" si="1210"/>
        <v>46158</v>
      </c>
      <c r="XB162" s="422"/>
      <c r="XC162" s="540">
        <f>SUMPRODUCT(PRODUCE!$B169:$DY169,PRODUCE!$EB$76:$IY$76)</f>
        <v>0</v>
      </c>
      <c r="XD162" s="422"/>
      <c r="XE162" s="540">
        <f t="shared" si="1211"/>
        <v>0</v>
      </c>
      <c r="XF162" s="540">
        <f t="shared" si="1212"/>
        <v>9933</v>
      </c>
      <c r="XG162" s="56"/>
      <c r="XJ162" s="55">
        <f t="shared" si="1213"/>
        <v>46158</v>
      </c>
      <c r="XK162" s="422"/>
      <c r="XL162" s="540">
        <f>SUMPRODUCT(PRODUCE!$B169:$DY169,PRODUCE!$EB$77:$IY$77)</f>
        <v>0</v>
      </c>
      <c r="XM162" s="422"/>
      <c r="XN162" s="540">
        <f t="shared" si="1214"/>
        <v>0</v>
      </c>
      <c r="XO162" s="540">
        <f t="shared" si="1215"/>
        <v>581</v>
      </c>
      <c r="XP162" s="56"/>
      <c r="XS162" s="55">
        <f t="shared" si="1216"/>
        <v>46158</v>
      </c>
      <c r="XT162" s="56"/>
      <c r="XU162" s="242">
        <f>SUMPRODUCT(PRODUCE!$B169:$DY169,PRODUCE!$EB$78:$IY$78)</f>
        <v>0</v>
      </c>
      <c r="XV162" s="56"/>
      <c r="XW162" s="242">
        <f t="shared" si="1217"/>
        <v>0</v>
      </c>
      <c r="XX162" s="242">
        <f t="shared" si="1218"/>
        <v>1901</v>
      </c>
      <c r="XY162" s="56"/>
      <c r="YB162" s="55">
        <f t="shared" si="1219"/>
        <v>46158</v>
      </c>
      <c r="YC162" s="56"/>
      <c r="YD162" s="242">
        <f>SUMPRODUCT(PRODUCE!$B169:$DY169,PRODUCE!$EB$79:$IY$79)</f>
        <v>0</v>
      </c>
      <c r="YE162" s="56"/>
      <c r="YF162" s="242">
        <f t="shared" si="1220"/>
        <v>0</v>
      </c>
      <c r="YG162" s="242">
        <f t="shared" si="1221"/>
        <v>6459</v>
      </c>
      <c r="YH162" s="56"/>
      <c r="YK162" s="55">
        <f t="shared" si="1222"/>
        <v>46158</v>
      </c>
      <c r="YL162" s="56"/>
      <c r="YM162" s="242">
        <f>SUMPRODUCT(PRODUCE!$B169:$DY169,PRODUCE!$EB$80:$IY$80)</f>
        <v>0</v>
      </c>
      <c r="YN162" s="56"/>
      <c r="YO162" s="242">
        <f t="shared" si="1223"/>
        <v>0</v>
      </c>
      <c r="YP162" s="242">
        <f t="shared" si="1224"/>
        <v>0</v>
      </c>
      <c r="YQ162" s="56"/>
      <c r="YT162" s="55">
        <f t="shared" si="1225"/>
        <v>46158</v>
      </c>
      <c r="YU162" s="56"/>
      <c r="YV162" s="242">
        <f>SUMPRODUCT(PRODUCE!$B169:$DY169,PRODUCE!$EB$57:$IY$57)</f>
        <v>150</v>
      </c>
      <c r="YW162" s="56"/>
      <c r="YX162" s="242">
        <f t="shared" si="1226"/>
        <v>150</v>
      </c>
      <c r="YY162" s="242">
        <f t="shared" si="1227"/>
        <v>0</v>
      </c>
      <c r="YZ162" s="56"/>
      <c r="ZC162" s="55">
        <f t="shared" si="1228"/>
        <v>46158</v>
      </c>
      <c r="ZD162" s="56"/>
      <c r="ZE162" s="242">
        <f>SUMPRODUCT(PRODUCE!$B169:$DY169,PRODUCE!$EB$57:$IY$57)</f>
        <v>150</v>
      </c>
      <c r="ZF162" s="56"/>
      <c r="ZG162" s="242">
        <f t="shared" si="1229"/>
        <v>150</v>
      </c>
      <c r="ZH162" s="242">
        <f t="shared" si="1230"/>
        <v>0</v>
      </c>
      <c r="ZI162" s="56"/>
      <c r="ZL162" s="55">
        <f t="shared" si="1231"/>
        <v>46158</v>
      </c>
      <c r="ZM162" s="56"/>
      <c r="ZN162" s="242">
        <f>SUMPRODUCT(PRODUCE!$B169:$DY169,PRODUCE!$EB$57:$IY$57)</f>
        <v>150</v>
      </c>
      <c r="ZO162" s="56"/>
      <c r="ZP162" s="242">
        <f t="shared" si="1232"/>
        <v>150</v>
      </c>
      <c r="ZQ162" s="242">
        <f t="shared" si="1233"/>
        <v>0</v>
      </c>
      <c r="ZR162" s="56"/>
      <c r="ZU162" s="55">
        <f t="shared" si="1234"/>
        <v>46158</v>
      </c>
      <c r="ZV162" s="56"/>
      <c r="ZW162" s="242">
        <f>SUMPRODUCT(PRODUCE!$B169:$DY169,PRODUCE!$EB$57:$IY$57)</f>
        <v>150</v>
      </c>
      <c r="ZX162" s="56"/>
      <c r="ZY162" s="242">
        <f t="shared" si="1235"/>
        <v>150</v>
      </c>
      <c r="ZZ162" s="242">
        <f t="shared" si="1236"/>
        <v>0</v>
      </c>
      <c r="AAA162" s="56"/>
      <c r="AAD162" s="55">
        <f t="shared" si="1237"/>
        <v>46158</v>
      </c>
      <c r="AAE162" s="56"/>
      <c r="AAF162" s="242">
        <f>SUMPRODUCT(PRODUCE!$B169:$DY169,PRODUCE!$EB$57:$IY$57)</f>
        <v>150</v>
      </c>
      <c r="AAG162" s="56"/>
      <c r="AAH162" s="242">
        <f t="shared" si="1238"/>
        <v>150</v>
      </c>
      <c r="AAI162" s="242">
        <f t="shared" si="1239"/>
        <v>0</v>
      </c>
      <c r="AAJ162" s="56"/>
      <c r="AAM162" s="55">
        <f t="shared" si="1240"/>
        <v>46158</v>
      </c>
      <c r="AAN162" s="56"/>
      <c r="AAO162" s="242">
        <f>SUMPRODUCT(PRODUCE!$B169:$DY169,PRODUCE!$EB$57:$IY$57)</f>
        <v>150</v>
      </c>
      <c r="AAP162" s="56"/>
      <c r="AAQ162" s="242">
        <f t="shared" si="1241"/>
        <v>150</v>
      </c>
      <c r="AAR162" s="242">
        <f t="shared" si="1242"/>
        <v>0</v>
      </c>
      <c r="AAS162" s="56"/>
      <c r="AAV162" s="55">
        <f t="shared" si="1243"/>
        <v>46158</v>
      </c>
      <c r="AAW162" s="56"/>
      <c r="AAX162" s="242">
        <f>SUMPRODUCT(PRODUCE!$B169:$DY169,PRODUCE!$EB$57:$IY$57)</f>
        <v>150</v>
      </c>
      <c r="AAY162" s="56"/>
      <c r="AAZ162" s="242">
        <f t="shared" si="1244"/>
        <v>150</v>
      </c>
      <c r="ABA162" s="242">
        <f t="shared" si="1245"/>
        <v>0</v>
      </c>
      <c r="ABB162" s="56"/>
      <c r="ABE162" s="55">
        <f t="shared" si="1246"/>
        <v>46158</v>
      </c>
      <c r="ABF162" s="56"/>
      <c r="ABG162" s="242">
        <f>SUMPRODUCT(PRODUCE!$B169:$DY169,PRODUCE!$EB$57:$IY$57)</f>
        <v>150</v>
      </c>
      <c r="ABH162" s="56"/>
      <c r="ABI162" s="242">
        <f t="shared" si="1247"/>
        <v>150</v>
      </c>
      <c r="ABJ162" s="242">
        <f t="shared" si="1248"/>
        <v>0</v>
      </c>
      <c r="ABK162" s="56"/>
    </row>
    <row r="163" spans="2:739" s="54" customFormat="1" ht="15" customHeight="1" outlineLevel="1">
      <c r="B163" s="478"/>
      <c r="C163" s="55">
        <v>46159</v>
      </c>
      <c r="D163" s="422"/>
      <c r="E163" s="423">
        <f>SUMPRODUCT(PRODUCE!$B170:$DY170,PRODUCE!$EB$7:$IY$7)</f>
        <v>0</v>
      </c>
      <c r="F163" s="422"/>
      <c r="G163" s="423">
        <f t="shared" si="1004"/>
        <v>0</v>
      </c>
      <c r="H163" s="423">
        <f t="shared" si="1005"/>
        <v>196370.00000000006</v>
      </c>
      <c r="I163" s="289"/>
      <c r="L163" s="55">
        <f t="shared" si="1006"/>
        <v>46159</v>
      </c>
      <c r="M163" s="422"/>
      <c r="N163" s="438">
        <f>SUMPRODUCT(PRODUCE!$B170:$DY170,PRODUCE!$EB$8:$IY$8)</f>
        <v>0</v>
      </c>
      <c r="O163" s="422"/>
      <c r="P163" s="438">
        <f t="shared" si="1007"/>
        <v>0</v>
      </c>
      <c r="Q163" s="438">
        <f t="shared" si="1008"/>
        <v>84515.000000000087</v>
      </c>
      <c r="R163" s="56"/>
      <c r="U163" s="55">
        <f t="shared" si="1009"/>
        <v>46159</v>
      </c>
      <c r="V163" s="422"/>
      <c r="W163" s="440">
        <f>SUMPRODUCT(PRODUCE!$B170:$DY170,PRODUCE!$EB$9:$IY$9)</f>
        <v>0</v>
      </c>
      <c r="X163" s="422"/>
      <c r="Y163" s="440">
        <f t="shared" si="1010"/>
        <v>0</v>
      </c>
      <c r="Z163" s="440">
        <f t="shared" si="1011"/>
        <v>48100.299999999959</v>
      </c>
      <c r="AA163" s="56"/>
      <c r="AD163" s="55">
        <f t="shared" si="1012"/>
        <v>46159</v>
      </c>
      <c r="AE163" s="422"/>
      <c r="AF163" s="442">
        <f>SUMPRODUCT(PRODUCE!$B170:$DY170,PRODUCE!$EB$10:$IY$10)</f>
        <v>0</v>
      </c>
      <c r="AG163" s="422"/>
      <c r="AH163" s="442">
        <f t="shared" si="1013"/>
        <v>0</v>
      </c>
      <c r="AI163" s="442">
        <f t="shared" si="1014"/>
        <v>21746.100000000017</v>
      </c>
      <c r="AJ163" s="56"/>
      <c r="AM163" s="55">
        <f t="shared" si="1015"/>
        <v>46159</v>
      </c>
      <c r="AN163" s="422"/>
      <c r="AO163" s="444">
        <f>SUMPRODUCT(PRODUCE!$B170:$DY170,PRODUCE!$EB$11:$IY$11)</f>
        <v>0</v>
      </c>
      <c r="AP163" s="422"/>
      <c r="AQ163" s="444">
        <f t="shared" si="1016"/>
        <v>0</v>
      </c>
      <c r="AR163" s="444">
        <f t="shared" si="1017"/>
        <v>0</v>
      </c>
      <c r="AS163" s="56"/>
      <c r="AV163" s="55">
        <f t="shared" si="1018"/>
        <v>46159</v>
      </c>
      <c r="AW163" s="422"/>
      <c r="AX163" s="446">
        <f>SUMPRODUCT(PRODUCE!$B170:$DY170,PRODUCE!$EB$12:$IY$12)</f>
        <v>0</v>
      </c>
      <c r="AY163" s="422"/>
      <c r="AZ163" s="446">
        <f t="shared" si="1019"/>
        <v>0</v>
      </c>
      <c r="BA163" s="446">
        <f t="shared" si="1020"/>
        <v>12423.199999999997</v>
      </c>
      <c r="BB163" s="56"/>
      <c r="BE163" s="55">
        <f t="shared" si="1021"/>
        <v>46159</v>
      </c>
      <c r="BF163" s="422"/>
      <c r="BG163" s="448">
        <f>SUMPRODUCT(PRODUCE!$B170:$DY170,PRODUCE!$EB$13:$IY$13)</f>
        <v>0</v>
      </c>
      <c r="BH163" s="422"/>
      <c r="BI163" s="448">
        <f t="shared" si="1022"/>
        <v>0</v>
      </c>
      <c r="BJ163" s="448">
        <f t="shared" si="1023"/>
        <v>40953.299999999996</v>
      </c>
      <c r="BK163" s="56"/>
      <c r="BN163" s="55">
        <f t="shared" si="1024"/>
        <v>46159</v>
      </c>
      <c r="BO163" s="422"/>
      <c r="BP163" s="450">
        <f>SUMPRODUCT(PRODUCE!$B170:$DY170,PRODUCE!$EB$14:$IY$14)</f>
        <v>0</v>
      </c>
      <c r="BQ163" s="422"/>
      <c r="BR163" s="450">
        <f t="shared" si="1025"/>
        <v>0</v>
      </c>
      <c r="BS163" s="450">
        <f t="shared" si="1026"/>
        <v>0</v>
      </c>
      <c r="BT163" s="56"/>
      <c r="BW163" s="55">
        <f t="shared" si="1027"/>
        <v>46159</v>
      </c>
      <c r="BX163" s="422"/>
      <c r="BY163" s="523">
        <f>SUMPRODUCT(PRODUCE!$B170:$DY170,PRODUCE!$EB$15:$IY$15)</f>
        <v>0</v>
      </c>
      <c r="BZ163" s="422"/>
      <c r="CA163" s="523">
        <f t="shared" si="1028"/>
        <v>0</v>
      </c>
      <c r="CB163" s="523">
        <f t="shared" si="1029"/>
        <v>5736.7999999999993</v>
      </c>
      <c r="CC163" s="56"/>
      <c r="CF163" s="55">
        <f t="shared" si="1030"/>
        <v>46159</v>
      </c>
      <c r="CG163" s="422"/>
      <c r="CH163" s="524">
        <f>SUMPRODUCT(PRODUCE!$B170:$DY170,PRODUCE!$EB$16:$IY$16)</f>
        <v>0</v>
      </c>
      <c r="CI163" s="422"/>
      <c r="CJ163" s="524">
        <f t="shared" si="1031"/>
        <v>0</v>
      </c>
      <c r="CK163" s="524">
        <f t="shared" si="1032"/>
        <v>0</v>
      </c>
      <c r="CL163" s="56"/>
      <c r="CO163" s="55">
        <f t="shared" si="1033"/>
        <v>46159</v>
      </c>
      <c r="CP163" s="422"/>
      <c r="CQ163" s="470">
        <f>SUMPRODUCT(PRODUCE!$B170:$DY170,PRODUCE!$EB$17:$IY$17)</f>
        <v>0</v>
      </c>
      <c r="CR163" s="422"/>
      <c r="CS163" s="470">
        <f t="shared" si="1034"/>
        <v>0</v>
      </c>
      <c r="CT163" s="470">
        <f t="shared" si="1035"/>
        <v>0</v>
      </c>
      <c r="CU163" s="56"/>
      <c r="CX163" s="55">
        <f t="shared" si="1036"/>
        <v>46159</v>
      </c>
      <c r="CY163" s="422"/>
      <c r="CZ163" s="525">
        <f>SUMPRODUCT(PRODUCE!$B170:$DY170,PRODUCE!$EB$18:$IY$18)</f>
        <v>0</v>
      </c>
      <c r="DA163" s="422"/>
      <c r="DB163" s="525">
        <f t="shared" si="1037"/>
        <v>0</v>
      </c>
      <c r="DC163" s="525">
        <f t="shared" si="1038"/>
        <v>21657.000000000004</v>
      </c>
      <c r="DD163" s="56"/>
      <c r="DG163" s="55">
        <f t="shared" si="1039"/>
        <v>46159</v>
      </c>
      <c r="DH163" s="422"/>
      <c r="DI163" s="526">
        <f>SUMPRODUCT(PRODUCE!$B170:$DY170,PRODUCE!$EB$19:$IY$19)</f>
        <v>0</v>
      </c>
      <c r="DJ163" s="422"/>
      <c r="DK163" s="526">
        <f t="shared" si="1040"/>
        <v>0</v>
      </c>
      <c r="DL163" s="526">
        <f t="shared" si="1041"/>
        <v>38237.099999999984</v>
      </c>
      <c r="DM163" s="56"/>
      <c r="DP163" s="55">
        <f t="shared" si="1042"/>
        <v>46159</v>
      </c>
      <c r="DQ163" s="422"/>
      <c r="DR163" s="423">
        <f>SUMPRODUCT(PRODUCE!$B170:$DY170,PRODUCE!$EB$20:$IY$20)</f>
        <v>0</v>
      </c>
      <c r="DS163" s="422"/>
      <c r="DT163" s="423">
        <f t="shared" si="1043"/>
        <v>0</v>
      </c>
      <c r="DU163" s="423">
        <f t="shared" si="1044"/>
        <v>5800</v>
      </c>
      <c r="DV163" s="56"/>
      <c r="DY163" s="55">
        <f t="shared" si="1045"/>
        <v>46159</v>
      </c>
      <c r="DZ163" s="56"/>
      <c r="EA163" s="157">
        <f>SUMPRODUCT(PRODUCE!$B170:$DY170,PRODUCE!$EB$21:$IY$21)</f>
        <v>0</v>
      </c>
      <c r="EB163" s="56"/>
      <c r="EC163" s="157">
        <f t="shared" si="1046"/>
        <v>0</v>
      </c>
      <c r="ED163" s="157">
        <f t="shared" si="1047"/>
        <v>0</v>
      </c>
      <c r="EE163" s="56"/>
      <c r="EH163" s="55">
        <f t="shared" si="1048"/>
        <v>46159</v>
      </c>
      <c r="EI163" s="56"/>
      <c r="EJ163" s="162">
        <f>SUMPRODUCT(PRODUCE!$B170:$DY170,PRODUCE!$EB$22:$IY$22)</f>
        <v>0</v>
      </c>
      <c r="EK163" s="56"/>
      <c r="EL163" s="162">
        <f t="shared" si="1049"/>
        <v>0</v>
      </c>
      <c r="EM163" s="162">
        <f t="shared" si="1050"/>
        <v>0</v>
      </c>
      <c r="EN163" s="56"/>
      <c r="EQ163" s="55">
        <f t="shared" si="1051"/>
        <v>46159</v>
      </c>
      <c r="ER163" s="56"/>
      <c r="ES163" s="135">
        <f>SUMPRODUCT(PRODUCE!$B170:$DY170,PRODUCE!$EB$23:$IY$23)</f>
        <v>0</v>
      </c>
      <c r="ET163" s="56"/>
      <c r="EU163" s="135">
        <f t="shared" si="1052"/>
        <v>0</v>
      </c>
      <c r="EV163" s="135">
        <f t="shared" si="1053"/>
        <v>0</v>
      </c>
      <c r="EW163" s="56"/>
      <c r="EZ163" s="55">
        <f t="shared" si="1054"/>
        <v>46159</v>
      </c>
      <c r="FA163" s="56"/>
      <c r="FB163" s="175">
        <f>SUMPRODUCT(PRODUCE!$B170:$DY170,PRODUCE!$EB$24:$IY$24)</f>
        <v>0</v>
      </c>
      <c r="FC163" s="56"/>
      <c r="FD163" s="175">
        <f t="shared" si="1055"/>
        <v>0</v>
      </c>
      <c r="FE163" s="175">
        <f t="shared" si="1056"/>
        <v>0</v>
      </c>
      <c r="FF163" s="56"/>
      <c r="FI163" s="55">
        <f t="shared" si="1057"/>
        <v>46159</v>
      </c>
      <c r="FJ163" s="56"/>
      <c r="FK163" s="183">
        <f>SUMPRODUCT(PRODUCE!$B170:$DY170,PRODUCE!$EB$25:$IY$25)</f>
        <v>0</v>
      </c>
      <c r="FL163" s="56"/>
      <c r="FM163" s="183">
        <f t="shared" si="1058"/>
        <v>0</v>
      </c>
      <c r="FN163" s="183">
        <f t="shared" si="1059"/>
        <v>0</v>
      </c>
      <c r="FO163" s="56"/>
      <c r="FR163" s="55">
        <f t="shared" si="1060"/>
        <v>46159</v>
      </c>
      <c r="FS163" s="56"/>
      <c r="FT163" s="186">
        <f>SUMPRODUCT(PRODUCE!$B170:$DY170,PRODUCE!$EB$26:$IY$26)</f>
        <v>0</v>
      </c>
      <c r="FU163" s="56"/>
      <c r="FV163" s="186">
        <f t="shared" si="1061"/>
        <v>0</v>
      </c>
      <c r="FW163" s="186">
        <f t="shared" si="1062"/>
        <v>4140</v>
      </c>
      <c r="FX163" s="56"/>
      <c r="GA163" s="55">
        <f t="shared" si="1063"/>
        <v>46159</v>
      </c>
      <c r="GB163" s="56"/>
      <c r="GC163" s="137">
        <f>SUMPRODUCT(PRODUCE!$B170:$DY170,PRODUCE!$EB$27:$IY$27)</f>
        <v>0</v>
      </c>
      <c r="GD163" s="56"/>
      <c r="GE163" s="137">
        <f t="shared" si="1064"/>
        <v>0</v>
      </c>
      <c r="GF163" s="137">
        <f t="shared" si="1065"/>
        <v>5040</v>
      </c>
      <c r="GG163" s="56"/>
      <c r="GI163" s="23"/>
      <c r="GJ163" s="55">
        <f t="shared" si="1066"/>
        <v>46159</v>
      </c>
      <c r="GK163" s="56"/>
      <c r="GL163" s="199">
        <f>SUMPRODUCT(PRODUCE!$B170:$DY170,PRODUCE!$EB$28:$IY$28)</f>
        <v>0</v>
      </c>
      <c r="GM163" s="56"/>
      <c r="GN163" s="199">
        <f t="shared" si="1067"/>
        <v>0</v>
      </c>
      <c r="GO163" s="199">
        <f t="shared" si="1068"/>
        <v>1760</v>
      </c>
      <c r="GP163" s="56"/>
      <c r="GS163" s="55">
        <f t="shared" si="1069"/>
        <v>46159</v>
      </c>
      <c r="GT163" s="56"/>
      <c r="GU163" s="195">
        <f>SUMPRODUCT(PRODUCE!$B170:$DY170,PRODUCE!$EB$29:$IY$29)</f>
        <v>0</v>
      </c>
      <c r="GV163" s="56"/>
      <c r="GW163" s="195">
        <f t="shared" si="1070"/>
        <v>0</v>
      </c>
      <c r="GX163" s="195">
        <f t="shared" si="1071"/>
        <v>1320</v>
      </c>
      <c r="GY163" s="56"/>
      <c r="HB163" s="55">
        <f t="shared" si="1072"/>
        <v>46159</v>
      </c>
      <c r="HC163" s="56"/>
      <c r="HD163" s="191">
        <f>SUMPRODUCT(PRODUCE!$B170:$DY170,PRODUCE!$EB$30:$IY$30)</f>
        <v>0</v>
      </c>
      <c r="HE163" s="56"/>
      <c r="HF163" s="191">
        <f t="shared" si="1073"/>
        <v>0</v>
      </c>
      <c r="HG163" s="191">
        <f t="shared" si="1074"/>
        <v>3600</v>
      </c>
      <c r="HH163" s="56"/>
      <c r="HK163" s="55">
        <f t="shared" si="1075"/>
        <v>46159</v>
      </c>
      <c r="HL163" s="56"/>
      <c r="HM163" s="63">
        <f>SUMPRODUCT(PRODUCE!$B170:$DY170,PRODUCE!$EB$31:$IY$31)</f>
        <v>0</v>
      </c>
      <c r="HN163" s="56"/>
      <c r="HO163" s="63">
        <f t="shared" si="1076"/>
        <v>0</v>
      </c>
      <c r="HP163" s="63">
        <f t="shared" si="1077"/>
        <v>0</v>
      </c>
      <c r="HQ163" s="56"/>
      <c r="HU163" s="55">
        <f t="shared" si="1078"/>
        <v>46159</v>
      </c>
      <c r="HV163" s="56"/>
      <c r="HW163" s="242">
        <f>SUMPRODUCT(PRODUCE!$B170:$DY170,PRODUCE!$EB$32:$IY$32)</f>
        <v>0</v>
      </c>
      <c r="HX163" s="56"/>
      <c r="HY163" s="242">
        <f t="shared" si="1079"/>
        <v>0</v>
      </c>
      <c r="HZ163" s="242">
        <f t="shared" si="1080"/>
        <v>5080</v>
      </c>
      <c r="IA163" s="56"/>
      <c r="ID163" s="55">
        <f t="shared" si="1081"/>
        <v>46159</v>
      </c>
      <c r="IE163" s="56"/>
      <c r="IF163" s="242">
        <f>SUMPRODUCT(PRODUCE!$B170:$DY170,PRODUCE!$EB$33:$IY$33)</f>
        <v>0</v>
      </c>
      <c r="IG163" s="56"/>
      <c r="IH163" s="242">
        <f t="shared" si="1082"/>
        <v>0</v>
      </c>
      <c r="II163" s="242">
        <f t="shared" si="1083"/>
        <v>720</v>
      </c>
      <c r="IJ163" s="56"/>
      <c r="IM163" s="55">
        <f t="shared" si="1084"/>
        <v>46159</v>
      </c>
      <c r="IN163" s="56"/>
      <c r="IO163" s="242">
        <f>SUMPRODUCT(PRODUCE!$B170:$DY170,PRODUCE!$EB$34:$IY$34)</f>
        <v>0</v>
      </c>
      <c r="IP163" s="56"/>
      <c r="IQ163" s="242">
        <f t="shared" si="1085"/>
        <v>0</v>
      </c>
      <c r="IR163" s="242">
        <f t="shared" si="1086"/>
        <v>11540</v>
      </c>
      <c r="IS163" s="56"/>
      <c r="IV163" s="55">
        <f t="shared" si="1087"/>
        <v>46159</v>
      </c>
      <c r="IW163" s="56"/>
      <c r="IX163" s="242">
        <f>SUMPRODUCT(PRODUCE!$B170:$DY170,PRODUCE!$EB$35:$IY$35)</f>
        <v>0</v>
      </c>
      <c r="IY163" s="56"/>
      <c r="IZ163" s="242">
        <f t="shared" si="1088"/>
        <v>0</v>
      </c>
      <c r="JA163" s="242">
        <f t="shared" si="1089"/>
        <v>12860</v>
      </c>
      <c r="JB163" s="56"/>
      <c r="JE163" s="55">
        <f t="shared" si="1090"/>
        <v>46159</v>
      </c>
      <c r="JF163" s="56"/>
      <c r="JG163" s="242">
        <f>SUMPRODUCT(PRODUCE!$B170:$DY170,PRODUCE!$EB$36:$IY$36)</f>
        <v>0</v>
      </c>
      <c r="JH163" s="56"/>
      <c r="JI163" s="242">
        <f t="shared" si="1091"/>
        <v>0</v>
      </c>
      <c r="JJ163" s="242">
        <f t="shared" si="1092"/>
        <v>0</v>
      </c>
      <c r="JK163" s="56"/>
      <c r="JN163" s="55">
        <f t="shared" si="1093"/>
        <v>46159</v>
      </c>
      <c r="JO163" s="56"/>
      <c r="JP163" s="242">
        <f>SUMPRODUCT(PRODUCE!$B170:$DY170,PRODUCE!$EB$37:$IY$37)</f>
        <v>0</v>
      </c>
      <c r="JQ163" s="56"/>
      <c r="JR163" s="242">
        <f t="shared" si="1094"/>
        <v>0</v>
      </c>
      <c r="JS163" s="242">
        <f t="shared" si="1095"/>
        <v>5500</v>
      </c>
      <c r="JT163" s="56"/>
      <c r="JW163" s="55">
        <f t="shared" si="1096"/>
        <v>46159</v>
      </c>
      <c r="JX163" s="56"/>
      <c r="JY163" s="242">
        <f>SUMPRODUCT(PRODUCE!$B170:$DY170,PRODUCE!$EB$38:$IY$38)</f>
        <v>0</v>
      </c>
      <c r="JZ163" s="56"/>
      <c r="KA163" s="242">
        <f t="shared" si="1097"/>
        <v>0</v>
      </c>
      <c r="KB163" s="242">
        <f t="shared" si="1098"/>
        <v>2540</v>
      </c>
      <c r="KC163" s="56"/>
      <c r="KF163" s="55">
        <f t="shared" si="1099"/>
        <v>46159</v>
      </c>
      <c r="KG163" s="56"/>
      <c r="KH163" s="242">
        <f>SUMPRODUCT(PRODUCE!$B170:$DY170,PRODUCE!$EB$39:$IY$39)</f>
        <v>0</v>
      </c>
      <c r="KI163" s="56"/>
      <c r="KJ163" s="242">
        <f t="shared" si="1100"/>
        <v>0</v>
      </c>
      <c r="KK163" s="242">
        <f t="shared" si="1101"/>
        <v>2359.5</v>
      </c>
      <c r="KL163" s="56"/>
      <c r="KO163" s="55">
        <f t="shared" si="1102"/>
        <v>46159</v>
      </c>
      <c r="KP163" s="56"/>
      <c r="KQ163" s="242">
        <f>SUMPRODUCT(PRODUCE!$B170:$DY170,PRODUCE!$EB$40:$IY$40)</f>
        <v>0</v>
      </c>
      <c r="KR163" s="56"/>
      <c r="KS163" s="242">
        <f t="shared" si="1103"/>
        <v>0</v>
      </c>
      <c r="KT163" s="242">
        <f t="shared" si="1104"/>
        <v>1890</v>
      </c>
      <c r="KU163" s="56"/>
      <c r="KW163" s="23"/>
      <c r="KX163" s="55">
        <f t="shared" si="1105"/>
        <v>46159</v>
      </c>
      <c r="KY163" s="56"/>
      <c r="KZ163" s="242">
        <f>SUMPRODUCT(PRODUCE!$B170:$DY170,PRODUCE!$EB$41:$IY$41)</f>
        <v>0</v>
      </c>
      <c r="LA163" s="56"/>
      <c r="LB163" s="242">
        <f t="shared" si="1106"/>
        <v>0</v>
      </c>
      <c r="LC163" s="242">
        <f t="shared" si="1107"/>
        <v>3690</v>
      </c>
      <c r="LD163" s="56"/>
      <c r="LG163" s="55">
        <f t="shared" si="1108"/>
        <v>46159</v>
      </c>
      <c r="LH163" s="56"/>
      <c r="LI163" s="242">
        <f>SUMPRODUCT(PRODUCE!$B170:$DY170,PRODUCE!$EB$42:$IY$42)</f>
        <v>0</v>
      </c>
      <c r="LJ163" s="56"/>
      <c r="LK163" s="242">
        <f t="shared" si="1109"/>
        <v>0</v>
      </c>
      <c r="LL163" s="242">
        <f t="shared" si="1110"/>
        <v>4000</v>
      </c>
      <c r="LM163" s="56"/>
      <c r="LP163" s="55">
        <f t="shared" si="1111"/>
        <v>46159</v>
      </c>
      <c r="LQ163" s="56"/>
      <c r="LR163" s="242">
        <f>SUMPRODUCT(PRODUCE!$B178:$DY178,PRODUCE!$EB$43:$IY$43)</f>
        <v>0</v>
      </c>
      <c r="LS163" s="56"/>
      <c r="LT163" s="242">
        <f t="shared" si="1112"/>
        <v>0</v>
      </c>
      <c r="LU163" s="242">
        <f t="shared" si="1113"/>
        <v>0</v>
      </c>
      <c r="LV163" s="56"/>
      <c r="LY163" s="55">
        <f t="shared" si="1114"/>
        <v>46159</v>
      </c>
      <c r="LZ163" s="56"/>
      <c r="MA163" s="242">
        <f>SUMPRODUCT(PRODUCE!$B170:$DY170,PRODUCE!$EB$44:$IY$44)</f>
        <v>0</v>
      </c>
      <c r="MB163" s="56"/>
      <c r="MC163" s="242">
        <f t="shared" si="1115"/>
        <v>0</v>
      </c>
      <c r="MD163" s="242">
        <f t="shared" si="1116"/>
        <v>0</v>
      </c>
      <c r="ME163" s="56"/>
      <c r="MH163" s="55">
        <f t="shared" si="1117"/>
        <v>46159</v>
      </c>
      <c r="MI163" s="56"/>
      <c r="MJ163" s="242">
        <f>SUMPRODUCT(PRODUCE!$B170:$DY170,PRODUCE!$EB$45:$IY$45)</f>
        <v>0</v>
      </c>
      <c r="MK163" s="56"/>
      <c r="ML163" s="242">
        <f t="shared" si="1118"/>
        <v>0</v>
      </c>
      <c r="MM163" s="242">
        <f t="shared" si="1119"/>
        <v>0</v>
      </c>
      <c r="MN163" s="56"/>
      <c r="MQ163" s="55">
        <f t="shared" si="1120"/>
        <v>46159</v>
      </c>
      <c r="MR163" s="56"/>
      <c r="MS163" s="242">
        <f>SUMPRODUCT(PRODUCE!$B170:$DY170,PRODUCE!$EB$46:$IY$46)</f>
        <v>0</v>
      </c>
      <c r="MT163" s="56"/>
      <c r="MU163" s="242">
        <f t="shared" si="1121"/>
        <v>0</v>
      </c>
      <c r="MV163" s="242">
        <f t="shared" si="1122"/>
        <v>3761</v>
      </c>
      <c r="MW163" s="56"/>
      <c r="MZ163" s="55">
        <f t="shared" si="1123"/>
        <v>46159</v>
      </c>
      <c r="NA163" s="56"/>
      <c r="NB163" s="242">
        <f>SUMPRODUCT(PRODUCE!$B170:$DY170,PRODUCE!$EB$47:$IY$47)</f>
        <v>0</v>
      </c>
      <c r="NC163" s="56"/>
      <c r="ND163" s="242">
        <f t="shared" si="1124"/>
        <v>0</v>
      </c>
      <c r="NE163" s="242">
        <f t="shared" si="1125"/>
        <v>0</v>
      </c>
      <c r="NF163" s="56"/>
      <c r="NI163" s="55">
        <f t="shared" si="1126"/>
        <v>46159</v>
      </c>
      <c r="NJ163" s="56"/>
      <c r="NK163" s="242">
        <f>SUMPRODUCT(PRODUCE!$B170:$DY170,PRODUCE!$EB$48:$IY$48)</f>
        <v>0</v>
      </c>
      <c r="NL163" s="56"/>
      <c r="NM163" s="242">
        <f t="shared" si="1127"/>
        <v>0</v>
      </c>
      <c r="NN163" s="242">
        <f t="shared" si="1128"/>
        <v>1127</v>
      </c>
      <c r="NO163" s="56"/>
      <c r="NR163" s="55">
        <f t="shared" si="1129"/>
        <v>46159</v>
      </c>
      <c r="NS163" s="56"/>
      <c r="NT163" s="242">
        <f>SUMPRODUCT(PRODUCE!$B170:$DY170,PRODUCE!$EB$49:$IY$49)</f>
        <v>0</v>
      </c>
      <c r="NU163" s="56"/>
      <c r="NV163" s="242">
        <f t="shared" si="1130"/>
        <v>0</v>
      </c>
      <c r="NW163" s="242">
        <f t="shared" si="1131"/>
        <v>3111.9999999999995</v>
      </c>
      <c r="NX163" s="56"/>
      <c r="OA163" s="55">
        <f t="shared" si="1132"/>
        <v>46159</v>
      </c>
      <c r="OB163" s="56"/>
      <c r="OC163" s="242">
        <f>SUMPRODUCT(PRODUCE!$B170:$DY170,PRODUCE!$EB$50:$IY$50)</f>
        <v>0</v>
      </c>
      <c r="OD163" s="56"/>
      <c r="OE163" s="242">
        <f t="shared" si="1133"/>
        <v>0</v>
      </c>
      <c r="OF163" s="242">
        <f t="shared" si="1134"/>
        <v>1680.5</v>
      </c>
      <c r="OG163" s="56"/>
      <c r="OJ163" s="55">
        <f t="shared" si="1135"/>
        <v>46159</v>
      </c>
      <c r="OK163" s="56"/>
      <c r="OL163" s="242">
        <f>SUMPRODUCT(PRODUCE!$B170:$DY170,PRODUCE!$EB$51:$IY$51)</f>
        <v>0</v>
      </c>
      <c r="OM163" s="56"/>
      <c r="ON163" s="242">
        <f t="shared" si="1136"/>
        <v>0</v>
      </c>
      <c r="OO163" s="242">
        <f t="shared" si="1137"/>
        <v>0</v>
      </c>
      <c r="OP163" s="56"/>
      <c r="OS163" s="55">
        <f t="shared" si="1138"/>
        <v>46159</v>
      </c>
      <c r="OT163" s="56"/>
      <c r="OU163" s="242">
        <f>SUMPRODUCT(PRODUCE!$B170:$DY170,PRODUCE!$EB$52:$IY$52)</f>
        <v>0</v>
      </c>
      <c r="OV163" s="56"/>
      <c r="OW163" s="242">
        <f t="shared" si="1139"/>
        <v>0</v>
      </c>
      <c r="OX163" s="242">
        <f t="shared" si="1140"/>
        <v>1482</v>
      </c>
      <c r="OY163" s="56"/>
      <c r="PB163" s="55">
        <f t="shared" si="1141"/>
        <v>46159</v>
      </c>
      <c r="PC163" s="56"/>
      <c r="PD163" s="242">
        <f>SUMPRODUCT(PRODUCE!$B170:$DY170,PRODUCE!$EB$53:$IY$53)</f>
        <v>0</v>
      </c>
      <c r="PE163" s="56"/>
      <c r="PF163" s="242">
        <f t="shared" si="1142"/>
        <v>0</v>
      </c>
      <c r="PG163" s="242">
        <f t="shared" si="1143"/>
        <v>0</v>
      </c>
      <c r="PH163" s="56"/>
      <c r="PK163" s="55">
        <f t="shared" si="1144"/>
        <v>46159</v>
      </c>
      <c r="PL163" s="56"/>
      <c r="PM163" s="242">
        <f>SUMPRODUCT(PRODUCE!$B170:$DY170,PRODUCE!$EB$54:$IY$54)</f>
        <v>0</v>
      </c>
      <c r="PN163" s="56"/>
      <c r="PO163" s="242">
        <f t="shared" si="1145"/>
        <v>0</v>
      </c>
      <c r="PP163" s="242">
        <f t="shared" si="1146"/>
        <v>100</v>
      </c>
      <c r="PQ163" s="56"/>
      <c r="PT163" s="55">
        <f t="shared" si="1147"/>
        <v>46159</v>
      </c>
      <c r="PU163" s="56"/>
      <c r="PV163" s="242">
        <f>SUMPRODUCT(PRODUCE!$B170:$DY170,PRODUCE!$EB$55:$IY$55)</f>
        <v>0</v>
      </c>
      <c r="PW163" s="56"/>
      <c r="PX163" s="242">
        <f t="shared" si="1148"/>
        <v>0</v>
      </c>
      <c r="PY163" s="242">
        <f t="shared" si="1149"/>
        <v>13.960000000000036</v>
      </c>
      <c r="PZ163" s="56"/>
      <c r="QC163" s="55">
        <f t="shared" si="1150"/>
        <v>46159</v>
      </c>
      <c r="QD163" s="56"/>
      <c r="QE163" s="242">
        <f>SUMPRODUCT(PRODUCE!$B170:$DY170,PRODUCE!$EB$56:$IY$56)</f>
        <v>0</v>
      </c>
      <c r="QF163" s="56"/>
      <c r="QG163" s="242">
        <f t="shared" si="1151"/>
        <v>0</v>
      </c>
      <c r="QH163" s="242">
        <f t="shared" si="1152"/>
        <v>876</v>
      </c>
      <c r="QI163" s="56"/>
      <c r="QL163" s="55">
        <f t="shared" si="1153"/>
        <v>46159</v>
      </c>
      <c r="QM163" s="56"/>
      <c r="QN163" s="242">
        <f>SUMPRODUCT(PRODUCE!$B170:$DY170,PRODUCE!$EB$57:$IY$57)</f>
        <v>0</v>
      </c>
      <c r="QO163" s="56"/>
      <c r="QP163" s="242">
        <f t="shared" si="1154"/>
        <v>0</v>
      </c>
      <c r="QQ163" s="242">
        <f t="shared" si="1155"/>
        <v>515</v>
      </c>
      <c r="QR163" s="56"/>
      <c r="QU163" s="55">
        <f t="shared" si="1156"/>
        <v>46159</v>
      </c>
      <c r="QV163" s="56"/>
      <c r="QW163" s="242">
        <f>SUMPRODUCT(PRODUCE!$B170:$DY170,PRODUCE!$EB$58:$IY$58)</f>
        <v>0</v>
      </c>
      <c r="QX163" s="56"/>
      <c r="QY163" s="242">
        <f t="shared" si="1157"/>
        <v>0</v>
      </c>
      <c r="QZ163" s="242">
        <f t="shared" si="1158"/>
        <v>207.6</v>
      </c>
      <c r="RA163" s="56"/>
      <c r="RD163" s="55">
        <f t="shared" si="1159"/>
        <v>46159</v>
      </c>
      <c r="RE163" s="56"/>
      <c r="RF163" s="242">
        <f>SUMPRODUCT(PRODUCE!$B170:$DY170,PRODUCE!$EB$59:$IY$59)</f>
        <v>0</v>
      </c>
      <c r="RG163" s="56"/>
      <c r="RH163" s="242">
        <f t="shared" si="1160"/>
        <v>0</v>
      </c>
      <c r="RI163" s="242">
        <f t="shared" si="1161"/>
        <v>147.04000000000002</v>
      </c>
      <c r="RJ163" s="56"/>
      <c r="RM163" s="55">
        <f t="shared" si="1162"/>
        <v>46159</v>
      </c>
      <c r="RN163" s="56"/>
      <c r="RO163" s="242">
        <f>SUMPRODUCT(PRODUCE!$B170:$DY170,PRODUCE!$EB$60:$IY$60)</f>
        <v>0</v>
      </c>
      <c r="RP163" s="56"/>
      <c r="RQ163" s="242">
        <f t="shared" si="1163"/>
        <v>0</v>
      </c>
      <c r="RR163" s="242">
        <f t="shared" si="1164"/>
        <v>46.8</v>
      </c>
      <c r="RS163" s="56"/>
      <c r="RV163" s="55">
        <f t="shared" si="1165"/>
        <v>46159</v>
      </c>
      <c r="RW163" s="56"/>
      <c r="RX163" s="242">
        <f>SUMPRODUCT(PRODUCE!$B170:$DY170,PRODUCE!$EB$61:$IY$61)</f>
        <v>0</v>
      </c>
      <c r="RY163" s="56"/>
      <c r="RZ163" s="242">
        <f t="shared" si="1166"/>
        <v>0</v>
      </c>
      <c r="SA163" s="242">
        <f t="shared" si="1167"/>
        <v>0</v>
      </c>
      <c r="SB163" s="56"/>
      <c r="SE163" s="55">
        <f t="shared" si="1168"/>
        <v>46159</v>
      </c>
      <c r="SF163" s="56"/>
      <c r="SG163" s="242">
        <f>SUMPRODUCT(PRODUCE!$B170:$DY170,PRODUCE!$EB$62:$IY$62)</f>
        <v>0</v>
      </c>
      <c r="SH163" s="56"/>
      <c r="SI163" s="242">
        <f t="shared" si="1169"/>
        <v>0</v>
      </c>
      <c r="SJ163" s="242">
        <f t="shared" si="1170"/>
        <v>24.200000000000003</v>
      </c>
      <c r="SK163" s="56"/>
      <c r="SN163" s="55">
        <f t="shared" si="1171"/>
        <v>46159</v>
      </c>
      <c r="SO163" s="56"/>
      <c r="SP163" s="242">
        <f>SUMPRODUCT(PRODUCE!$B170:$DY170,PRODUCE!$EB$63:$IY$63)</f>
        <v>0</v>
      </c>
      <c r="SQ163" s="56"/>
      <c r="SR163" s="242">
        <f t="shared" si="1172"/>
        <v>0</v>
      </c>
      <c r="SS163" s="242">
        <f t="shared" si="1173"/>
        <v>32</v>
      </c>
      <c r="ST163" s="56"/>
      <c r="SW163" s="55">
        <f t="shared" si="1174"/>
        <v>46159</v>
      </c>
      <c r="SX163" s="56"/>
      <c r="SY163" s="242">
        <f>SUMPRODUCT(PRODUCE!$B170:$DY170,PRODUCE!$EB$64:$IY$64)</f>
        <v>0</v>
      </c>
      <c r="SZ163" s="56"/>
      <c r="TA163" s="242">
        <f t="shared" si="1175"/>
        <v>0</v>
      </c>
      <c r="TB163" s="242">
        <f t="shared" si="1176"/>
        <v>0</v>
      </c>
      <c r="TC163" s="56"/>
      <c r="TF163" s="55">
        <f t="shared" si="1177"/>
        <v>46159</v>
      </c>
      <c r="TG163" s="56"/>
      <c r="TH163" s="242">
        <f>SUMPRODUCT(PRODUCE!$B170:$DY170,PRODUCE!$EB$65:$IY$65)</f>
        <v>0</v>
      </c>
      <c r="TI163" s="56"/>
      <c r="TJ163" s="242">
        <f t="shared" si="1178"/>
        <v>0</v>
      </c>
      <c r="TK163" s="242">
        <f t="shared" si="1179"/>
        <v>0</v>
      </c>
      <c r="TL163" s="56"/>
      <c r="TO163" s="55">
        <f t="shared" si="1180"/>
        <v>46159</v>
      </c>
      <c r="TP163" s="56"/>
      <c r="TQ163" s="242">
        <f>SUMPRODUCT(PRODUCE!$B170:$DY170,PRODUCE!$EB$66:$IY$66)</f>
        <v>0</v>
      </c>
      <c r="TR163" s="56"/>
      <c r="TS163" s="242">
        <f t="shared" si="1181"/>
        <v>0</v>
      </c>
      <c r="TT163" s="242">
        <f t="shared" si="1182"/>
        <v>0</v>
      </c>
      <c r="TU163" s="56"/>
      <c r="TX163" s="55">
        <f t="shared" si="1183"/>
        <v>46159</v>
      </c>
      <c r="TY163" s="56"/>
      <c r="TZ163" s="242">
        <f>SUMPRODUCT(PRODUCE!$B170:$DY170,PRODUCE!$EB$67:$IY$67)</f>
        <v>0</v>
      </c>
      <c r="UA163" s="56"/>
      <c r="UB163" s="242">
        <f t="shared" si="1184"/>
        <v>0</v>
      </c>
      <c r="UC163" s="242">
        <f t="shared" si="1185"/>
        <v>0</v>
      </c>
      <c r="UD163" s="56"/>
      <c r="UG163" s="55">
        <f t="shared" si="1186"/>
        <v>46159</v>
      </c>
      <c r="UH163" s="56"/>
      <c r="UI163" s="242">
        <f>SUMPRODUCT(PRODUCE!$B170:$DY170,PRODUCE!$EB$68:$IY$68)</f>
        <v>0</v>
      </c>
      <c r="UJ163" s="56"/>
      <c r="UK163" s="242">
        <f t="shared" si="1187"/>
        <v>0</v>
      </c>
      <c r="UL163" s="242">
        <f t="shared" si="1188"/>
        <v>0</v>
      </c>
      <c r="UM163" s="56"/>
      <c r="UP163" s="55">
        <f t="shared" si="1189"/>
        <v>46159</v>
      </c>
      <c r="UQ163" s="56"/>
      <c r="UR163" s="242">
        <f>SUMPRODUCT(PRODUCE!$B170:$DY170,PRODUCE!$EB$69:$IY$69)</f>
        <v>0</v>
      </c>
      <c r="US163" s="56"/>
      <c r="UT163" s="242">
        <f t="shared" si="1190"/>
        <v>0</v>
      </c>
      <c r="UU163" s="242">
        <f t="shared" si="1191"/>
        <v>0</v>
      </c>
      <c r="UV163" s="56"/>
      <c r="UY163" s="55">
        <f t="shared" si="1192"/>
        <v>46159</v>
      </c>
      <c r="UZ163" s="56"/>
      <c r="VA163" s="242">
        <f>SUMPRODUCT(PRODUCE!$B170:$DY170,PRODUCE!$EB$70:$IY$70)</f>
        <v>0</v>
      </c>
      <c r="VB163" s="56"/>
      <c r="VC163" s="242">
        <f t="shared" si="1193"/>
        <v>0</v>
      </c>
      <c r="VD163" s="242">
        <f t="shared" si="1194"/>
        <v>41.600000000000023</v>
      </c>
      <c r="VE163" s="56"/>
      <c r="VH163" s="55">
        <f t="shared" si="1195"/>
        <v>46159</v>
      </c>
      <c r="VI163" s="56"/>
      <c r="VJ163" s="242">
        <f>SUMPRODUCT(PRODUCE!$B170:$DY170,PRODUCE!$EB$71:$IY$71)</f>
        <v>0</v>
      </c>
      <c r="VK163" s="56"/>
      <c r="VL163" s="242">
        <f t="shared" si="1196"/>
        <v>0</v>
      </c>
      <c r="VM163" s="242">
        <f t="shared" si="1197"/>
        <v>0</v>
      </c>
      <c r="VN163" s="56"/>
      <c r="VQ163" s="55">
        <f t="shared" si="1198"/>
        <v>46159</v>
      </c>
      <c r="VR163" s="56"/>
      <c r="VS163" s="242">
        <f>SUMPRODUCT(PRODUCE!$B170:$DY170,PRODUCE!$EB$57:$IY$57)</f>
        <v>0</v>
      </c>
      <c r="VT163" s="56"/>
      <c r="VU163" s="242">
        <f t="shared" si="1199"/>
        <v>0</v>
      </c>
      <c r="VV163" s="242">
        <f t="shared" si="1200"/>
        <v>0</v>
      </c>
      <c r="VW163" s="56"/>
      <c r="VZ163" s="55">
        <f t="shared" si="1201"/>
        <v>46159</v>
      </c>
      <c r="WA163" s="56"/>
      <c r="WB163" s="242">
        <f>SUMPRODUCT(PRODUCE!$B170:$DY170,PRODUCE!$EB$57:$IY$57)</f>
        <v>0</v>
      </c>
      <c r="WC163" s="56"/>
      <c r="WD163" s="242">
        <f t="shared" si="1202"/>
        <v>0</v>
      </c>
      <c r="WE163" s="242">
        <f t="shared" si="1203"/>
        <v>0</v>
      </c>
      <c r="WF163" s="56"/>
      <c r="WI163" s="55">
        <f t="shared" si="1204"/>
        <v>46159</v>
      </c>
      <c r="WJ163" s="422"/>
      <c r="WK163" s="540">
        <f>SUMPRODUCT(PRODUCE!$B170:$DY170,PRODUCE!$EB$74:$IY$74)</f>
        <v>0</v>
      </c>
      <c r="WL163" s="422"/>
      <c r="WM163" s="540">
        <f t="shared" si="1205"/>
        <v>0</v>
      </c>
      <c r="WN163" s="540">
        <f t="shared" si="1206"/>
        <v>2317</v>
      </c>
      <c r="WO163" s="56"/>
      <c r="WR163" s="55">
        <f t="shared" si="1207"/>
        <v>46159</v>
      </c>
      <c r="WS163" s="422"/>
      <c r="WT163" s="540">
        <f>SUMPRODUCT(PRODUCE!$B170:$DY170,PRODUCE!$EB$75:$IY$75)</f>
        <v>0</v>
      </c>
      <c r="WU163" s="422"/>
      <c r="WV163" s="540">
        <f t="shared" si="1208"/>
        <v>0</v>
      </c>
      <c r="WW163" s="540">
        <f t="shared" si="1209"/>
        <v>0</v>
      </c>
      <c r="WX163" s="56"/>
      <c r="XA163" s="55">
        <f t="shared" si="1210"/>
        <v>46159</v>
      </c>
      <c r="XB163" s="422"/>
      <c r="XC163" s="540">
        <f>SUMPRODUCT(PRODUCE!$B170:$DY170,PRODUCE!$EB$76:$IY$76)</f>
        <v>0</v>
      </c>
      <c r="XD163" s="422"/>
      <c r="XE163" s="540">
        <f t="shared" si="1211"/>
        <v>0</v>
      </c>
      <c r="XF163" s="540">
        <f t="shared" si="1212"/>
        <v>9933</v>
      </c>
      <c r="XG163" s="56"/>
      <c r="XJ163" s="55">
        <f t="shared" si="1213"/>
        <v>46159</v>
      </c>
      <c r="XK163" s="422"/>
      <c r="XL163" s="540">
        <f>SUMPRODUCT(PRODUCE!$B170:$DY170,PRODUCE!$EB$77:$IY$77)</f>
        <v>0</v>
      </c>
      <c r="XM163" s="422"/>
      <c r="XN163" s="540">
        <f t="shared" si="1214"/>
        <v>0</v>
      </c>
      <c r="XO163" s="540">
        <f t="shared" si="1215"/>
        <v>581</v>
      </c>
      <c r="XP163" s="56"/>
      <c r="XS163" s="55">
        <f t="shared" si="1216"/>
        <v>46159</v>
      </c>
      <c r="XT163" s="56"/>
      <c r="XU163" s="242">
        <f>SUMPRODUCT(PRODUCE!$B170:$DY170,PRODUCE!$EB$78:$IY$78)</f>
        <v>0</v>
      </c>
      <c r="XV163" s="56"/>
      <c r="XW163" s="242">
        <f t="shared" si="1217"/>
        <v>0</v>
      </c>
      <c r="XX163" s="242">
        <f t="shared" si="1218"/>
        <v>1901</v>
      </c>
      <c r="XY163" s="56"/>
      <c r="YB163" s="55">
        <f t="shared" si="1219"/>
        <v>46159</v>
      </c>
      <c r="YC163" s="56"/>
      <c r="YD163" s="242">
        <f>SUMPRODUCT(PRODUCE!$B170:$DY170,PRODUCE!$EB$79:$IY$79)</f>
        <v>0</v>
      </c>
      <c r="YE163" s="56"/>
      <c r="YF163" s="242">
        <f t="shared" si="1220"/>
        <v>0</v>
      </c>
      <c r="YG163" s="242">
        <f t="shared" si="1221"/>
        <v>6459</v>
      </c>
      <c r="YH163" s="56"/>
      <c r="YK163" s="55">
        <f t="shared" si="1222"/>
        <v>46159</v>
      </c>
      <c r="YL163" s="56"/>
      <c r="YM163" s="242">
        <f>SUMPRODUCT(PRODUCE!$B170:$DY170,PRODUCE!$EB$80:$IY$80)</f>
        <v>0</v>
      </c>
      <c r="YN163" s="56"/>
      <c r="YO163" s="242">
        <f t="shared" si="1223"/>
        <v>0</v>
      </c>
      <c r="YP163" s="242">
        <f t="shared" si="1224"/>
        <v>0</v>
      </c>
      <c r="YQ163" s="56"/>
      <c r="YT163" s="55">
        <f t="shared" si="1225"/>
        <v>46159</v>
      </c>
      <c r="YU163" s="56"/>
      <c r="YV163" s="242">
        <f>SUMPRODUCT(PRODUCE!$B170:$DY170,PRODUCE!$EB$57:$IY$57)</f>
        <v>0</v>
      </c>
      <c r="YW163" s="56"/>
      <c r="YX163" s="242">
        <f t="shared" si="1226"/>
        <v>0</v>
      </c>
      <c r="YY163" s="242">
        <f t="shared" si="1227"/>
        <v>0</v>
      </c>
      <c r="YZ163" s="56"/>
      <c r="ZC163" s="55">
        <f t="shared" si="1228"/>
        <v>46159</v>
      </c>
      <c r="ZD163" s="56"/>
      <c r="ZE163" s="242">
        <f>SUMPRODUCT(PRODUCE!$B170:$DY170,PRODUCE!$EB$57:$IY$57)</f>
        <v>0</v>
      </c>
      <c r="ZF163" s="56"/>
      <c r="ZG163" s="242">
        <f t="shared" si="1229"/>
        <v>0</v>
      </c>
      <c r="ZH163" s="242">
        <f t="shared" si="1230"/>
        <v>0</v>
      </c>
      <c r="ZI163" s="56"/>
      <c r="ZL163" s="55">
        <f t="shared" si="1231"/>
        <v>46159</v>
      </c>
      <c r="ZM163" s="56"/>
      <c r="ZN163" s="242">
        <f>SUMPRODUCT(PRODUCE!$B170:$DY170,PRODUCE!$EB$57:$IY$57)</f>
        <v>0</v>
      </c>
      <c r="ZO163" s="56"/>
      <c r="ZP163" s="242">
        <f t="shared" si="1232"/>
        <v>0</v>
      </c>
      <c r="ZQ163" s="242">
        <f t="shared" si="1233"/>
        <v>0</v>
      </c>
      <c r="ZR163" s="56"/>
      <c r="ZU163" s="55">
        <f t="shared" si="1234"/>
        <v>46159</v>
      </c>
      <c r="ZV163" s="56"/>
      <c r="ZW163" s="242">
        <f>SUMPRODUCT(PRODUCE!$B170:$DY170,PRODUCE!$EB$57:$IY$57)</f>
        <v>0</v>
      </c>
      <c r="ZX163" s="56"/>
      <c r="ZY163" s="242">
        <f t="shared" si="1235"/>
        <v>0</v>
      </c>
      <c r="ZZ163" s="242">
        <f t="shared" si="1236"/>
        <v>0</v>
      </c>
      <c r="AAA163" s="56"/>
      <c r="AAD163" s="55">
        <f t="shared" si="1237"/>
        <v>46159</v>
      </c>
      <c r="AAE163" s="56"/>
      <c r="AAF163" s="242">
        <f>SUMPRODUCT(PRODUCE!$B170:$DY170,PRODUCE!$EB$57:$IY$57)</f>
        <v>0</v>
      </c>
      <c r="AAG163" s="56"/>
      <c r="AAH163" s="242">
        <f t="shared" si="1238"/>
        <v>0</v>
      </c>
      <c r="AAI163" s="242">
        <f t="shared" si="1239"/>
        <v>0</v>
      </c>
      <c r="AAJ163" s="56"/>
      <c r="AAM163" s="55">
        <f t="shared" si="1240"/>
        <v>46159</v>
      </c>
      <c r="AAN163" s="56"/>
      <c r="AAO163" s="242">
        <f>SUMPRODUCT(PRODUCE!$B170:$DY170,PRODUCE!$EB$57:$IY$57)</f>
        <v>0</v>
      </c>
      <c r="AAP163" s="56"/>
      <c r="AAQ163" s="242">
        <f t="shared" si="1241"/>
        <v>0</v>
      </c>
      <c r="AAR163" s="242">
        <f t="shared" si="1242"/>
        <v>0</v>
      </c>
      <c r="AAS163" s="56"/>
      <c r="AAV163" s="55">
        <f t="shared" si="1243"/>
        <v>46159</v>
      </c>
      <c r="AAW163" s="56"/>
      <c r="AAX163" s="242">
        <f>SUMPRODUCT(PRODUCE!$B170:$DY170,PRODUCE!$EB$57:$IY$57)</f>
        <v>0</v>
      </c>
      <c r="AAY163" s="56"/>
      <c r="AAZ163" s="242">
        <f t="shared" si="1244"/>
        <v>0</v>
      </c>
      <c r="ABA163" s="242">
        <f t="shared" si="1245"/>
        <v>0</v>
      </c>
      <c r="ABB163" s="56"/>
      <c r="ABE163" s="55">
        <f t="shared" si="1246"/>
        <v>46159</v>
      </c>
      <c r="ABF163" s="56"/>
      <c r="ABG163" s="242">
        <f>SUMPRODUCT(PRODUCE!$B170:$DY170,PRODUCE!$EB$57:$IY$57)</f>
        <v>0</v>
      </c>
      <c r="ABH163" s="56"/>
      <c r="ABI163" s="242">
        <f t="shared" si="1247"/>
        <v>0</v>
      </c>
      <c r="ABJ163" s="242">
        <f t="shared" si="1248"/>
        <v>0</v>
      </c>
      <c r="ABK163" s="56"/>
    </row>
    <row r="164" spans="2:739" s="54" customFormat="1" ht="15" customHeight="1" outlineLevel="1">
      <c r="B164" s="478">
        <f>30+50</f>
        <v>80</v>
      </c>
      <c r="C164" s="55">
        <v>46160</v>
      </c>
      <c r="D164" s="422"/>
      <c r="E164" s="423">
        <f>SUMPRODUCT(PRODUCE!$B171:$DY171,PRODUCE!$EB$7:$IY$7)</f>
        <v>45458.999999999993</v>
      </c>
      <c r="F164" s="422">
        <v>45461.2</v>
      </c>
      <c r="G164" s="423">
        <f t="shared" si="1004"/>
        <v>-2.2000000000043656</v>
      </c>
      <c r="H164" s="423">
        <f t="shared" si="1005"/>
        <v>150908.80000000005</v>
      </c>
      <c r="I164" s="289" t="s">
        <v>270</v>
      </c>
      <c r="L164" s="55">
        <f t="shared" si="1006"/>
        <v>46160</v>
      </c>
      <c r="M164" s="422"/>
      <c r="N164" s="438">
        <f>SUMPRODUCT(PRODUCE!$B171:$DY171,PRODUCE!$EB$8:$IY$8)</f>
        <v>23480</v>
      </c>
      <c r="O164" s="422">
        <v>23481</v>
      </c>
      <c r="P164" s="438">
        <f t="shared" si="1007"/>
        <v>-1</v>
      </c>
      <c r="Q164" s="438">
        <f t="shared" si="1008"/>
        <v>61034.000000000087</v>
      </c>
      <c r="R164" s="56"/>
      <c r="U164" s="55">
        <f t="shared" si="1009"/>
        <v>46160</v>
      </c>
      <c r="V164" s="422"/>
      <c r="W164" s="440">
        <f>SUMPRODUCT(PRODUCE!$B171:$DY171,PRODUCE!$EB$9:$IY$9)</f>
        <v>3250</v>
      </c>
      <c r="X164" s="422">
        <f>751.5+2500.5</f>
        <v>3252</v>
      </c>
      <c r="Y164" s="440">
        <f t="shared" si="1010"/>
        <v>-2</v>
      </c>
      <c r="Z164" s="440">
        <f t="shared" si="1011"/>
        <v>44848.299999999959</v>
      </c>
      <c r="AA164" s="56"/>
      <c r="AD164" s="55">
        <f t="shared" si="1012"/>
        <v>46160</v>
      </c>
      <c r="AE164" s="422"/>
      <c r="AF164" s="442">
        <f>SUMPRODUCT(PRODUCE!$B171:$DY171,PRODUCE!$EB$10:$IY$10)</f>
        <v>1500</v>
      </c>
      <c r="AG164" s="422">
        <v>1500.8</v>
      </c>
      <c r="AH164" s="442">
        <f t="shared" si="1013"/>
        <v>-0.79999999999995453</v>
      </c>
      <c r="AI164" s="442">
        <f t="shared" si="1014"/>
        <v>20245.300000000017</v>
      </c>
      <c r="AJ164" s="56"/>
      <c r="AM164" s="55">
        <f t="shared" si="1015"/>
        <v>46160</v>
      </c>
      <c r="AN164" s="422"/>
      <c r="AO164" s="444">
        <f>SUMPRODUCT(PRODUCE!$B171:$DY171,PRODUCE!$EB$11:$IY$11)</f>
        <v>0</v>
      </c>
      <c r="AP164" s="422"/>
      <c r="AQ164" s="444">
        <f t="shared" si="1016"/>
        <v>0</v>
      </c>
      <c r="AR164" s="444">
        <f t="shared" si="1017"/>
        <v>0</v>
      </c>
      <c r="AS164" s="56"/>
      <c r="AV164" s="55">
        <f t="shared" si="1018"/>
        <v>46160</v>
      </c>
      <c r="AW164" s="422"/>
      <c r="AX164" s="446">
        <f>SUMPRODUCT(PRODUCE!$B171:$DY171,PRODUCE!$EB$12:$IY$12)</f>
        <v>300</v>
      </c>
      <c r="AY164" s="422">
        <v>299.89999999999998</v>
      </c>
      <c r="AZ164" s="446">
        <f t="shared" si="1019"/>
        <v>0.10000000000002274</v>
      </c>
      <c r="BA164" s="446">
        <f t="shared" si="1020"/>
        <v>12123.299999999997</v>
      </c>
      <c r="BB164" s="56"/>
      <c r="BE164" s="55">
        <f t="shared" si="1021"/>
        <v>46160</v>
      </c>
      <c r="BF164" s="422"/>
      <c r="BG164" s="448">
        <f>SUMPRODUCT(PRODUCE!$B171:$DY171,PRODUCE!$EB$13:$IY$13)</f>
        <v>1725</v>
      </c>
      <c r="BH164" s="422">
        <v>1726.3</v>
      </c>
      <c r="BI164" s="448">
        <f t="shared" si="1022"/>
        <v>-1.2999999999999545</v>
      </c>
      <c r="BJ164" s="448">
        <f t="shared" si="1023"/>
        <v>39226.999999999993</v>
      </c>
      <c r="BK164" s="56"/>
      <c r="BN164" s="55">
        <f t="shared" si="1024"/>
        <v>46160</v>
      </c>
      <c r="BO164" s="422">
        <v>1925</v>
      </c>
      <c r="BP164" s="450">
        <f>SUMPRODUCT(PRODUCE!$B171:$DY171,PRODUCE!$EB$14:$IY$14)</f>
        <v>1925</v>
      </c>
      <c r="BQ164" s="422">
        <v>1925</v>
      </c>
      <c r="BR164" s="450">
        <f t="shared" si="1025"/>
        <v>0</v>
      </c>
      <c r="BS164" s="450">
        <f t="shared" si="1026"/>
        <v>0</v>
      </c>
      <c r="BT164" s="56"/>
      <c r="BW164" s="55">
        <f t="shared" si="1027"/>
        <v>46160</v>
      </c>
      <c r="BX164" s="422"/>
      <c r="BY164" s="523">
        <f>SUMPRODUCT(PRODUCE!$B171:$DY171,PRODUCE!$EB$15:$IY$15)</f>
        <v>0</v>
      </c>
      <c r="BZ164" s="422"/>
      <c r="CA164" s="523">
        <f t="shared" si="1028"/>
        <v>0</v>
      </c>
      <c r="CB164" s="523">
        <f t="shared" si="1029"/>
        <v>5736.7999999999993</v>
      </c>
      <c r="CC164" s="56"/>
      <c r="CF164" s="55">
        <f t="shared" si="1030"/>
        <v>46160</v>
      </c>
      <c r="CG164" s="422"/>
      <c r="CH164" s="524">
        <f>SUMPRODUCT(PRODUCE!$B171:$DY171,PRODUCE!$EB$16:$IY$16)</f>
        <v>471</v>
      </c>
      <c r="CI164" s="422"/>
      <c r="CJ164" s="524">
        <f t="shared" si="1031"/>
        <v>471</v>
      </c>
      <c r="CK164" s="524">
        <f t="shared" si="1032"/>
        <v>0</v>
      </c>
      <c r="CL164" s="56"/>
      <c r="CO164" s="55">
        <f t="shared" si="1033"/>
        <v>46160</v>
      </c>
      <c r="CP164" s="422"/>
      <c r="CQ164" s="470">
        <f>SUMPRODUCT(PRODUCE!$B171:$DY171,PRODUCE!$EB$17:$IY$17)</f>
        <v>0</v>
      </c>
      <c r="CR164" s="422"/>
      <c r="CS164" s="470">
        <f t="shared" si="1034"/>
        <v>0</v>
      </c>
      <c r="CT164" s="470">
        <f t="shared" si="1035"/>
        <v>0</v>
      </c>
      <c r="CU164" s="56"/>
      <c r="CX164" s="55">
        <f t="shared" si="1036"/>
        <v>46160</v>
      </c>
      <c r="CY164" s="422"/>
      <c r="CZ164" s="525">
        <f>SUMPRODUCT(PRODUCE!$B171:$DY171,PRODUCE!$EB$18:$IY$18)</f>
        <v>0</v>
      </c>
      <c r="DA164" s="422"/>
      <c r="DB164" s="525">
        <f t="shared" si="1037"/>
        <v>0</v>
      </c>
      <c r="DC164" s="525">
        <f t="shared" si="1038"/>
        <v>21657.000000000004</v>
      </c>
      <c r="DD164" s="56"/>
      <c r="DG164" s="55">
        <f t="shared" si="1039"/>
        <v>46160</v>
      </c>
      <c r="DH164" s="422"/>
      <c r="DI164" s="526">
        <f>SUMPRODUCT(PRODUCE!$B171:$DY171,PRODUCE!$EB$19:$IY$19)</f>
        <v>0</v>
      </c>
      <c r="DJ164" s="422"/>
      <c r="DK164" s="526">
        <f t="shared" si="1040"/>
        <v>0</v>
      </c>
      <c r="DL164" s="526">
        <f t="shared" si="1041"/>
        <v>38237.099999999984</v>
      </c>
      <c r="DM164" s="56"/>
      <c r="DP164" s="55">
        <f t="shared" si="1042"/>
        <v>46160</v>
      </c>
      <c r="DQ164" s="422"/>
      <c r="DR164" s="423">
        <f>SUMPRODUCT(PRODUCE!$B171:$DY171,PRODUCE!$EB$20:$IY$20)</f>
        <v>0</v>
      </c>
      <c r="DS164" s="422"/>
      <c r="DT164" s="423">
        <f t="shared" si="1043"/>
        <v>0</v>
      </c>
      <c r="DU164" s="423">
        <f t="shared" si="1044"/>
        <v>5800</v>
      </c>
      <c r="DV164" s="56"/>
      <c r="DY164" s="55">
        <f t="shared" si="1045"/>
        <v>46160</v>
      </c>
      <c r="DZ164" s="56"/>
      <c r="EA164" s="157">
        <f>SUMPRODUCT(PRODUCE!$B171:$DY171,PRODUCE!$EB$21:$IY$21)</f>
        <v>0</v>
      </c>
      <c r="EB164" s="56"/>
      <c r="EC164" s="157">
        <f t="shared" si="1046"/>
        <v>0</v>
      </c>
      <c r="ED164" s="157">
        <f t="shared" si="1047"/>
        <v>0</v>
      </c>
      <c r="EE164" s="56"/>
      <c r="EH164" s="55">
        <f t="shared" si="1048"/>
        <v>46160</v>
      </c>
      <c r="EI164" s="56"/>
      <c r="EJ164" s="162">
        <f>SUMPRODUCT(PRODUCE!$B171:$DY171,PRODUCE!$EB$22:$IY$22)</f>
        <v>0</v>
      </c>
      <c r="EK164" s="56"/>
      <c r="EL164" s="162">
        <f t="shared" si="1049"/>
        <v>0</v>
      </c>
      <c r="EM164" s="162">
        <f t="shared" si="1050"/>
        <v>0</v>
      </c>
      <c r="EN164" s="56"/>
      <c r="EQ164" s="55">
        <f t="shared" si="1051"/>
        <v>46160</v>
      </c>
      <c r="ER164" s="56"/>
      <c r="ES164" s="135">
        <f>SUMPRODUCT(PRODUCE!$B171:$DY171,PRODUCE!$EB$23:$IY$23)</f>
        <v>0</v>
      </c>
      <c r="ET164" s="56"/>
      <c r="EU164" s="135">
        <f t="shared" si="1052"/>
        <v>0</v>
      </c>
      <c r="EV164" s="135">
        <f t="shared" si="1053"/>
        <v>0</v>
      </c>
      <c r="EW164" s="56"/>
      <c r="EZ164" s="55">
        <f t="shared" si="1054"/>
        <v>46160</v>
      </c>
      <c r="FA164" s="56"/>
      <c r="FB164" s="175">
        <f>SUMPRODUCT(PRODUCE!$B171:$DY171,PRODUCE!$EB$24:$IY$24)</f>
        <v>0</v>
      </c>
      <c r="FC164" s="56"/>
      <c r="FD164" s="175">
        <f t="shared" si="1055"/>
        <v>0</v>
      </c>
      <c r="FE164" s="175">
        <f t="shared" si="1056"/>
        <v>0</v>
      </c>
      <c r="FF164" s="56"/>
      <c r="FI164" s="55">
        <f t="shared" si="1057"/>
        <v>46160</v>
      </c>
      <c r="FJ164" s="56"/>
      <c r="FK164" s="183">
        <f>SUMPRODUCT(PRODUCE!$B171:$DY171,PRODUCE!$EB$25:$IY$25)</f>
        <v>0</v>
      </c>
      <c r="FL164" s="56"/>
      <c r="FM164" s="183">
        <f t="shared" si="1058"/>
        <v>0</v>
      </c>
      <c r="FN164" s="183">
        <f t="shared" si="1059"/>
        <v>0</v>
      </c>
      <c r="FO164" s="56"/>
      <c r="FR164" s="55">
        <f t="shared" si="1060"/>
        <v>46160</v>
      </c>
      <c r="FS164" s="56"/>
      <c r="FT164" s="186">
        <f>SUMPRODUCT(PRODUCE!$B171:$DY171,PRODUCE!$EB$26:$IY$26)</f>
        <v>0</v>
      </c>
      <c r="FU164" s="56"/>
      <c r="FV164" s="186">
        <f t="shared" si="1061"/>
        <v>0</v>
      </c>
      <c r="FW164" s="186">
        <f t="shared" si="1062"/>
        <v>4140</v>
      </c>
      <c r="FX164" s="56"/>
      <c r="GA164" s="55">
        <f t="shared" si="1063"/>
        <v>46160</v>
      </c>
      <c r="GB164" s="56"/>
      <c r="GC164" s="137">
        <f>SUMPRODUCT(PRODUCE!$B171:$DY171,PRODUCE!$EB$27:$IY$27)</f>
        <v>600</v>
      </c>
      <c r="GD164" s="56"/>
      <c r="GE164" s="137">
        <f t="shared" si="1064"/>
        <v>600</v>
      </c>
      <c r="GF164" s="137">
        <f t="shared" si="1065"/>
        <v>5040</v>
      </c>
      <c r="GG164" s="56"/>
      <c r="GI164" s="23"/>
      <c r="GJ164" s="55">
        <f t="shared" si="1066"/>
        <v>46160</v>
      </c>
      <c r="GK164" s="56">
        <v>2000</v>
      </c>
      <c r="GL164" s="199">
        <f>SUMPRODUCT(PRODUCE!$B171:$DY171,PRODUCE!$EB$28:$IY$28)</f>
        <v>0</v>
      </c>
      <c r="GM164" s="56"/>
      <c r="GN164" s="199">
        <f t="shared" si="1067"/>
        <v>0</v>
      </c>
      <c r="GO164" s="199">
        <f t="shared" si="1068"/>
        <v>3760</v>
      </c>
      <c r="GP164" s="56"/>
      <c r="GS164" s="55">
        <f t="shared" si="1069"/>
        <v>46160</v>
      </c>
      <c r="GT164" s="56"/>
      <c r="GU164" s="195">
        <f>SUMPRODUCT(PRODUCE!$B171:$DY171,PRODUCE!$EB$29:$IY$29)</f>
        <v>0</v>
      </c>
      <c r="GV164" s="56"/>
      <c r="GW164" s="195">
        <f t="shared" si="1070"/>
        <v>0</v>
      </c>
      <c r="GX164" s="195">
        <f t="shared" si="1071"/>
        <v>1320</v>
      </c>
      <c r="GY164" s="56"/>
      <c r="HB164" s="55">
        <f t="shared" si="1072"/>
        <v>46160</v>
      </c>
      <c r="HC164" s="56"/>
      <c r="HD164" s="191">
        <f>SUMPRODUCT(PRODUCE!$B171:$DY171,PRODUCE!$EB$30:$IY$30)</f>
        <v>0</v>
      </c>
      <c r="HE164" s="56"/>
      <c r="HF164" s="191">
        <f t="shared" si="1073"/>
        <v>0</v>
      </c>
      <c r="HG164" s="191">
        <f t="shared" si="1074"/>
        <v>3600</v>
      </c>
      <c r="HH164" s="56"/>
      <c r="HK164" s="55">
        <f t="shared" si="1075"/>
        <v>46160</v>
      </c>
      <c r="HL164" s="56"/>
      <c r="HM164" s="63">
        <f>SUMPRODUCT(PRODUCE!$B171:$DY171,PRODUCE!$EB$31:$IY$31)</f>
        <v>0</v>
      </c>
      <c r="HN164" s="56"/>
      <c r="HO164" s="63">
        <f t="shared" si="1076"/>
        <v>0</v>
      </c>
      <c r="HP164" s="63">
        <f t="shared" si="1077"/>
        <v>0</v>
      </c>
      <c r="HQ164" s="56"/>
      <c r="HU164" s="55">
        <f t="shared" si="1078"/>
        <v>46160</v>
      </c>
      <c r="HV164" s="56">
        <v>2000</v>
      </c>
      <c r="HW164" s="242">
        <f>SUMPRODUCT(PRODUCE!$B171:$DY171,PRODUCE!$EB$32:$IY$32)</f>
        <v>0</v>
      </c>
      <c r="HX164" s="56"/>
      <c r="HY164" s="242">
        <f t="shared" si="1079"/>
        <v>0</v>
      </c>
      <c r="HZ164" s="242">
        <f t="shared" si="1080"/>
        <v>7080</v>
      </c>
      <c r="IA164" s="56"/>
      <c r="ID164" s="55">
        <f t="shared" si="1081"/>
        <v>46160</v>
      </c>
      <c r="IE164" s="56"/>
      <c r="IF164" s="242">
        <f>SUMPRODUCT(PRODUCE!$B171:$DY171,PRODUCE!$EB$33:$IY$33)</f>
        <v>0</v>
      </c>
      <c r="IG164" s="56"/>
      <c r="IH164" s="242">
        <f t="shared" si="1082"/>
        <v>0</v>
      </c>
      <c r="II164" s="242">
        <f t="shared" si="1083"/>
        <v>720</v>
      </c>
      <c r="IJ164" s="56"/>
      <c r="IM164" s="55">
        <f t="shared" si="1084"/>
        <v>46160</v>
      </c>
      <c r="IN164" s="56"/>
      <c r="IO164" s="242">
        <f>SUMPRODUCT(PRODUCE!$B171:$DY171,PRODUCE!$EB$34:$IY$34)</f>
        <v>0</v>
      </c>
      <c r="IP164" s="56"/>
      <c r="IQ164" s="242">
        <f t="shared" si="1085"/>
        <v>0</v>
      </c>
      <c r="IR164" s="242">
        <f t="shared" si="1086"/>
        <v>11540</v>
      </c>
      <c r="IS164" s="56"/>
      <c r="IV164" s="55">
        <f t="shared" si="1087"/>
        <v>46160</v>
      </c>
      <c r="IW164" s="56"/>
      <c r="IX164" s="242">
        <f>SUMPRODUCT(PRODUCE!$B171:$DY171,PRODUCE!$EB$35:$IY$35)</f>
        <v>0</v>
      </c>
      <c r="IY164" s="56"/>
      <c r="IZ164" s="242">
        <f t="shared" si="1088"/>
        <v>0</v>
      </c>
      <c r="JA164" s="242">
        <f t="shared" si="1089"/>
        <v>12860</v>
      </c>
      <c r="JB164" s="56"/>
      <c r="JE164" s="55">
        <f t="shared" si="1090"/>
        <v>46160</v>
      </c>
      <c r="JF164" s="56"/>
      <c r="JG164" s="242">
        <f>SUMPRODUCT(PRODUCE!$B171:$DY171,PRODUCE!$EB$36:$IY$36)</f>
        <v>0</v>
      </c>
      <c r="JH164" s="56"/>
      <c r="JI164" s="242">
        <f t="shared" si="1091"/>
        <v>0</v>
      </c>
      <c r="JJ164" s="242">
        <f t="shared" si="1092"/>
        <v>0</v>
      </c>
      <c r="JK164" s="56"/>
      <c r="JN164" s="55">
        <f t="shared" si="1093"/>
        <v>46160</v>
      </c>
      <c r="JO164" s="56"/>
      <c r="JP164" s="242">
        <f>SUMPRODUCT(PRODUCE!$B171:$DY171,PRODUCE!$EB$37:$IY$37)</f>
        <v>1000</v>
      </c>
      <c r="JQ164" s="56"/>
      <c r="JR164" s="242">
        <f t="shared" si="1094"/>
        <v>1000</v>
      </c>
      <c r="JS164" s="242">
        <f t="shared" si="1095"/>
        <v>5500</v>
      </c>
      <c r="JT164" s="56"/>
      <c r="JW164" s="55">
        <f t="shared" si="1096"/>
        <v>46160</v>
      </c>
      <c r="JX164" s="56"/>
      <c r="JY164" s="242">
        <f>SUMPRODUCT(PRODUCE!$B171:$DY171,PRODUCE!$EB$38:$IY$38)</f>
        <v>0</v>
      </c>
      <c r="JZ164" s="56"/>
      <c r="KA164" s="242">
        <f t="shared" si="1097"/>
        <v>0</v>
      </c>
      <c r="KB164" s="242">
        <f t="shared" si="1098"/>
        <v>2540</v>
      </c>
      <c r="KC164" s="56"/>
      <c r="KF164" s="55">
        <f t="shared" si="1099"/>
        <v>46160</v>
      </c>
      <c r="KG164" s="56"/>
      <c r="KH164" s="242">
        <f>SUMPRODUCT(PRODUCE!$B171:$DY171,PRODUCE!$EB$39:$IY$39)</f>
        <v>0</v>
      </c>
      <c r="KI164" s="56"/>
      <c r="KJ164" s="242">
        <f t="shared" si="1100"/>
        <v>0</v>
      </c>
      <c r="KK164" s="242">
        <f t="shared" si="1101"/>
        <v>2359.5</v>
      </c>
      <c r="KL164" s="56"/>
      <c r="KO164" s="55">
        <f t="shared" si="1102"/>
        <v>46160</v>
      </c>
      <c r="KP164" s="56"/>
      <c r="KQ164" s="242">
        <f>SUMPRODUCT(PRODUCE!$B171:$DY171,PRODUCE!$EB$40:$IY$40)</f>
        <v>0</v>
      </c>
      <c r="KR164" s="56"/>
      <c r="KS164" s="242">
        <f t="shared" si="1103"/>
        <v>0</v>
      </c>
      <c r="KT164" s="242">
        <f t="shared" si="1104"/>
        <v>1890</v>
      </c>
      <c r="KU164" s="56"/>
      <c r="KW164" s="23"/>
      <c r="KX164" s="55">
        <f t="shared" si="1105"/>
        <v>46160</v>
      </c>
      <c r="KY164" s="56"/>
      <c r="KZ164" s="242">
        <f>SUMPRODUCT(PRODUCE!$B171:$DY171,PRODUCE!$EB$41:$IY$41)</f>
        <v>0</v>
      </c>
      <c r="LA164" s="56"/>
      <c r="LB164" s="242">
        <f t="shared" si="1106"/>
        <v>0</v>
      </c>
      <c r="LC164" s="242">
        <f t="shared" si="1107"/>
        <v>3690</v>
      </c>
      <c r="LD164" s="56"/>
      <c r="LG164" s="55">
        <f t="shared" si="1108"/>
        <v>46160</v>
      </c>
      <c r="LH164" s="56"/>
      <c r="LI164" s="242">
        <f>SUMPRODUCT(PRODUCE!$B171:$DY171,PRODUCE!$EB$42:$IY$42)</f>
        <v>0</v>
      </c>
      <c r="LJ164" s="56"/>
      <c r="LK164" s="242">
        <f t="shared" si="1109"/>
        <v>0</v>
      </c>
      <c r="LL164" s="242">
        <f t="shared" si="1110"/>
        <v>4000</v>
      </c>
      <c r="LM164" s="56"/>
      <c r="LP164" s="55">
        <f t="shared" si="1111"/>
        <v>46160</v>
      </c>
      <c r="LQ164" s="56"/>
      <c r="LR164" s="242">
        <f>SUMPRODUCT(PRODUCE!$B179:$DY179,PRODUCE!$EB$43:$IY$43)</f>
        <v>0</v>
      </c>
      <c r="LS164" s="56"/>
      <c r="LT164" s="242">
        <f t="shared" si="1112"/>
        <v>0</v>
      </c>
      <c r="LU164" s="242">
        <f t="shared" si="1113"/>
        <v>0</v>
      </c>
      <c r="LV164" s="56"/>
      <c r="LY164" s="55">
        <f t="shared" si="1114"/>
        <v>46160</v>
      </c>
      <c r="LZ164" s="56"/>
      <c r="MA164" s="242">
        <f>SUMPRODUCT(PRODUCE!$B171:$DY171,PRODUCE!$EB$44:$IY$44)</f>
        <v>0</v>
      </c>
      <c r="MB164" s="56"/>
      <c r="MC164" s="242">
        <f t="shared" si="1115"/>
        <v>0</v>
      </c>
      <c r="MD164" s="242">
        <f t="shared" si="1116"/>
        <v>0</v>
      </c>
      <c r="ME164" s="56"/>
      <c r="MH164" s="55">
        <f t="shared" si="1117"/>
        <v>46160</v>
      </c>
      <c r="MI164" s="56"/>
      <c r="MJ164" s="242">
        <f>SUMPRODUCT(PRODUCE!$B171:$DY171,PRODUCE!$EB$45:$IY$45)</f>
        <v>0</v>
      </c>
      <c r="MK164" s="56"/>
      <c r="ML164" s="242">
        <f t="shared" si="1118"/>
        <v>0</v>
      </c>
      <c r="MM164" s="242">
        <f t="shared" si="1119"/>
        <v>0</v>
      </c>
      <c r="MN164" s="56"/>
      <c r="MQ164" s="55">
        <f t="shared" si="1120"/>
        <v>46160</v>
      </c>
      <c r="MR164" s="56"/>
      <c r="MS164" s="242">
        <f>SUMPRODUCT(PRODUCE!$B171:$DY171,PRODUCE!$EB$46:$IY$46)</f>
        <v>15</v>
      </c>
      <c r="MT164" s="56"/>
      <c r="MU164" s="242">
        <f t="shared" si="1121"/>
        <v>15</v>
      </c>
      <c r="MV164" s="242">
        <f t="shared" si="1122"/>
        <v>3761</v>
      </c>
      <c r="MW164" s="56"/>
      <c r="MZ164" s="55">
        <f t="shared" si="1123"/>
        <v>46160</v>
      </c>
      <c r="NA164" s="56"/>
      <c r="NB164" s="242">
        <f>SUMPRODUCT(PRODUCE!$B171:$DY171,PRODUCE!$EB$47:$IY$47)</f>
        <v>150</v>
      </c>
      <c r="NC164" s="56"/>
      <c r="ND164" s="242">
        <f t="shared" si="1124"/>
        <v>150</v>
      </c>
      <c r="NE164" s="242">
        <f t="shared" si="1125"/>
        <v>0</v>
      </c>
      <c r="NF164" s="56"/>
      <c r="NI164" s="55">
        <f t="shared" si="1126"/>
        <v>46160</v>
      </c>
      <c r="NJ164" s="56"/>
      <c r="NK164" s="242">
        <f>SUMPRODUCT(PRODUCE!$B171:$DY171,PRODUCE!$EB$48:$IY$48)</f>
        <v>0</v>
      </c>
      <c r="NL164" s="56"/>
      <c r="NM164" s="242">
        <f t="shared" si="1127"/>
        <v>0</v>
      </c>
      <c r="NN164" s="242">
        <f t="shared" si="1128"/>
        <v>1127</v>
      </c>
      <c r="NO164" s="56"/>
      <c r="NR164" s="55">
        <f t="shared" si="1129"/>
        <v>46160</v>
      </c>
      <c r="NS164" s="56"/>
      <c r="NT164" s="242">
        <f>SUMPRODUCT(PRODUCE!$B171:$DY171,PRODUCE!$EB$49:$IY$49)</f>
        <v>0</v>
      </c>
      <c r="NU164" s="56"/>
      <c r="NV164" s="242">
        <f t="shared" si="1130"/>
        <v>0</v>
      </c>
      <c r="NW164" s="242">
        <f t="shared" si="1131"/>
        <v>3111.9999999999995</v>
      </c>
      <c r="NX164" s="56"/>
      <c r="OA164" s="55">
        <f t="shared" si="1132"/>
        <v>46160</v>
      </c>
      <c r="OB164" s="56"/>
      <c r="OC164" s="242">
        <f>SUMPRODUCT(PRODUCE!$B171:$DY171,PRODUCE!$EB$50:$IY$50)</f>
        <v>0</v>
      </c>
      <c r="OD164" s="56"/>
      <c r="OE164" s="242">
        <f t="shared" si="1133"/>
        <v>0</v>
      </c>
      <c r="OF164" s="242">
        <f t="shared" si="1134"/>
        <v>1680.5</v>
      </c>
      <c r="OG164" s="56"/>
      <c r="OJ164" s="55">
        <f t="shared" si="1135"/>
        <v>46160</v>
      </c>
      <c r="OK164" s="56"/>
      <c r="OL164" s="242">
        <f>SUMPRODUCT(PRODUCE!$B171:$DY171,PRODUCE!$EB$51:$IY$51)</f>
        <v>0</v>
      </c>
      <c r="OM164" s="56"/>
      <c r="ON164" s="242">
        <f t="shared" si="1136"/>
        <v>0</v>
      </c>
      <c r="OO164" s="242">
        <f t="shared" si="1137"/>
        <v>0</v>
      </c>
      <c r="OP164" s="56"/>
      <c r="OS164" s="55">
        <f t="shared" si="1138"/>
        <v>46160</v>
      </c>
      <c r="OT164" s="56"/>
      <c r="OU164" s="242">
        <f>SUMPRODUCT(PRODUCE!$B171:$DY171,PRODUCE!$EB$52:$IY$52)</f>
        <v>0</v>
      </c>
      <c r="OV164" s="56"/>
      <c r="OW164" s="242">
        <f t="shared" si="1139"/>
        <v>0</v>
      </c>
      <c r="OX164" s="242">
        <f t="shared" si="1140"/>
        <v>1482</v>
      </c>
      <c r="OY164" s="56"/>
      <c r="PB164" s="55">
        <f t="shared" si="1141"/>
        <v>46160</v>
      </c>
      <c r="PC164" s="56"/>
      <c r="PD164" s="242">
        <f>SUMPRODUCT(PRODUCE!$B171:$DY171,PRODUCE!$EB$53:$IY$53)</f>
        <v>0</v>
      </c>
      <c r="PE164" s="56"/>
      <c r="PF164" s="242">
        <f t="shared" si="1142"/>
        <v>0</v>
      </c>
      <c r="PG164" s="242">
        <f t="shared" si="1143"/>
        <v>0</v>
      </c>
      <c r="PH164" s="56"/>
      <c r="PK164" s="55">
        <f t="shared" si="1144"/>
        <v>46160</v>
      </c>
      <c r="PL164" s="56"/>
      <c r="PM164" s="242">
        <f>SUMPRODUCT(PRODUCE!$B171:$DY171,PRODUCE!$EB$54:$IY$54)</f>
        <v>0</v>
      </c>
      <c r="PN164" s="56"/>
      <c r="PO164" s="242">
        <f t="shared" si="1145"/>
        <v>0</v>
      </c>
      <c r="PP164" s="242">
        <f t="shared" si="1146"/>
        <v>100</v>
      </c>
      <c r="PQ164" s="56"/>
      <c r="PT164" s="55">
        <f t="shared" si="1147"/>
        <v>46160</v>
      </c>
      <c r="PU164" s="56"/>
      <c r="PV164" s="242">
        <f>SUMPRODUCT(PRODUCE!$B171:$DY171,PRODUCE!$EB$55:$IY$55)</f>
        <v>0</v>
      </c>
      <c r="PW164" s="56"/>
      <c r="PX164" s="242">
        <f t="shared" si="1148"/>
        <v>0</v>
      </c>
      <c r="PY164" s="242">
        <f t="shared" si="1149"/>
        <v>13.960000000000036</v>
      </c>
      <c r="PZ164" s="56"/>
      <c r="QC164" s="55">
        <f t="shared" si="1150"/>
        <v>46160</v>
      </c>
      <c r="QD164" s="56"/>
      <c r="QE164" s="242">
        <f>SUMPRODUCT(PRODUCE!$B171:$DY171,PRODUCE!$EB$56:$IY$56)</f>
        <v>0</v>
      </c>
      <c r="QF164" s="56"/>
      <c r="QG164" s="242">
        <f t="shared" si="1151"/>
        <v>0</v>
      </c>
      <c r="QH164" s="242">
        <f t="shared" si="1152"/>
        <v>876</v>
      </c>
      <c r="QI164" s="56"/>
      <c r="QL164" s="55">
        <f t="shared" si="1153"/>
        <v>46160</v>
      </c>
      <c r="QM164" s="56"/>
      <c r="QN164" s="242">
        <f>SUMPRODUCT(PRODUCE!$B171:$DY171,PRODUCE!$EB$57:$IY$57)</f>
        <v>125</v>
      </c>
      <c r="QO164" s="56"/>
      <c r="QP164" s="242">
        <f t="shared" si="1154"/>
        <v>125</v>
      </c>
      <c r="QQ164" s="242">
        <f t="shared" si="1155"/>
        <v>515</v>
      </c>
      <c r="QR164" s="56"/>
      <c r="QU164" s="55">
        <f t="shared" si="1156"/>
        <v>46160</v>
      </c>
      <c r="QV164" s="56"/>
      <c r="QW164" s="242">
        <f>SUMPRODUCT(PRODUCE!$B171:$DY171,PRODUCE!$EB$58:$IY$58)</f>
        <v>0</v>
      </c>
      <c r="QX164" s="56"/>
      <c r="QY164" s="242">
        <f t="shared" si="1157"/>
        <v>0</v>
      </c>
      <c r="QZ164" s="242">
        <f t="shared" si="1158"/>
        <v>207.6</v>
      </c>
      <c r="RA164" s="56"/>
      <c r="RD164" s="55">
        <f t="shared" si="1159"/>
        <v>46160</v>
      </c>
      <c r="RE164" s="56"/>
      <c r="RF164" s="242">
        <f>SUMPRODUCT(PRODUCE!$B171:$DY171,PRODUCE!$EB$59:$IY$59)</f>
        <v>0</v>
      </c>
      <c r="RG164" s="56"/>
      <c r="RH164" s="242">
        <f t="shared" si="1160"/>
        <v>0</v>
      </c>
      <c r="RI164" s="242">
        <f t="shared" si="1161"/>
        <v>147.04000000000002</v>
      </c>
      <c r="RJ164" s="56"/>
      <c r="RM164" s="55">
        <f t="shared" si="1162"/>
        <v>46160</v>
      </c>
      <c r="RN164" s="56"/>
      <c r="RO164" s="242">
        <f>SUMPRODUCT(PRODUCE!$B171:$DY171,PRODUCE!$EB$60:$IY$60)</f>
        <v>0</v>
      </c>
      <c r="RP164" s="56"/>
      <c r="RQ164" s="242">
        <f t="shared" si="1163"/>
        <v>0</v>
      </c>
      <c r="RR164" s="242">
        <f t="shared" si="1164"/>
        <v>46.8</v>
      </c>
      <c r="RS164" s="56"/>
      <c r="RV164" s="55">
        <f t="shared" si="1165"/>
        <v>46160</v>
      </c>
      <c r="RW164" s="56"/>
      <c r="RX164" s="242">
        <f>SUMPRODUCT(PRODUCE!$B171:$DY171,PRODUCE!$EB$61:$IY$61)</f>
        <v>0</v>
      </c>
      <c r="RY164" s="56"/>
      <c r="RZ164" s="242">
        <f t="shared" si="1166"/>
        <v>0</v>
      </c>
      <c r="SA164" s="242">
        <f t="shared" si="1167"/>
        <v>0</v>
      </c>
      <c r="SB164" s="56"/>
      <c r="SE164" s="55">
        <f t="shared" si="1168"/>
        <v>46160</v>
      </c>
      <c r="SF164" s="56"/>
      <c r="SG164" s="242">
        <f>SUMPRODUCT(PRODUCE!$B171:$DY171,PRODUCE!$EB$62:$IY$62)</f>
        <v>0</v>
      </c>
      <c r="SH164" s="56"/>
      <c r="SI164" s="242">
        <f t="shared" si="1169"/>
        <v>0</v>
      </c>
      <c r="SJ164" s="242">
        <f t="shared" si="1170"/>
        <v>24.200000000000003</v>
      </c>
      <c r="SK164" s="56"/>
      <c r="SN164" s="55">
        <f t="shared" si="1171"/>
        <v>46160</v>
      </c>
      <c r="SO164" s="56"/>
      <c r="SP164" s="242">
        <f>SUMPRODUCT(PRODUCE!$B171:$DY171,PRODUCE!$EB$63:$IY$63)</f>
        <v>0</v>
      </c>
      <c r="SQ164" s="56"/>
      <c r="SR164" s="242">
        <f t="shared" si="1172"/>
        <v>0</v>
      </c>
      <c r="SS164" s="242">
        <f t="shared" si="1173"/>
        <v>32</v>
      </c>
      <c r="ST164" s="56"/>
      <c r="SW164" s="55">
        <f t="shared" si="1174"/>
        <v>46160</v>
      </c>
      <c r="SX164" s="56"/>
      <c r="SY164" s="242">
        <f>SUMPRODUCT(PRODUCE!$B171:$DY171,PRODUCE!$EB$64:$IY$64)</f>
        <v>0</v>
      </c>
      <c r="SZ164" s="56"/>
      <c r="TA164" s="242">
        <f t="shared" si="1175"/>
        <v>0</v>
      </c>
      <c r="TB164" s="242">
        <f t="shared" si="1176"/>
        <v>0</v>
      </c>
      <c r="TC164" s="56"/>
      <c r="TF164" s="55">
        <f t="shared" si="1177"/>
        <v>46160</v>
      </c>
      <c r="TG164" s="56"/>
      <c r="TH164" s="242">
        <f>SUMPRODUCT(PRODUCE!$B171:$DY171,PRODUCE!$EB$65:$IY$65)</f>
        <v>0</v>
      </c>
      <c r="TI164" s="56"/>
      <c r="TJ164" s="242">
        <f t="shared" si="1178"/>
        <v>0</v>
      </c>
      <c r="TK164" s="242">
        <f t="shared" si="1179"/>
        <v>0</v>
      </c>
      <c r="TL164" s="56"/>
      <c r="TO164" s="55">
        <f t="shared" si="1180"/>
        <v>46160</v>
      </c>
      <c r="TP164" s="56"/>
      <c r="TQ164" s="242">
        <f>SUMPRODUCT(PRODUCE!$B171:$DY171,PRODUCE!$EB$66:$IY$66)</f>
        <v>0</v>
      </c>
      <c r="TR164" s="56"/>
      <c r="TS164" s="242">
        <f t="shared" si="1181"/>
        <v>0</v>
      </c>
      <c r="TT164" s="242">
        <f t="shared" si="1182"/>
        <v>0</v>
      </c>
      <c r="TU164" s="56"/>
      <c r="TX164" s="55">
        <f t="shared" si="1183"/>
        <v>46160</v>
      </c>
      <c r="TY164" s="56"/>
      <c r="TZ164" s="242">
        <f>SUMPRODUCT(PRODUCE!$B171:$DY171,PRODUCE!$EB$67:$IY$67)</f>
        <v>0</v>
      </c>
      <c r="UA164" s="56"/>
      <c r="UB164" s="242">
        <f t="shared" si="1184"/>
        <v>0</v>
      </c>
      <c r="UC164" s="242">
        <f t="shared" si="1185"/>
        <v>0</v>
      </c>
      <c r="UD164" s="56"/>
      <c r="UG164" s="55">
        <f t="shared" si="1186"/>
        <v>46160</v>
      </c>
      <c r="UH164" s="56"/>
      <c r="UI164" s="242">
        <f>SUMPRODUCT(PRODUCE!$B171:$DY171,PRODUCE!$EB$68:$IY$68)</f>
        <v>0</v>
      </c>
      <c r="UJ164" s="56"/>
      <c r="UK164" s="242">
        <f t="shared" si="1187"/>
        <v>0</v>
      </c>
      <c r="UL164" s="242">
        <f t="shared" si="1188"/>
        <v>0</v>
      </c>
      <c r="UM164" s="56"/>
      <c r="UP164" s="55">
        <f t="shared" si="1189"/>
        <v>46160</v>
      </c>
      <c r="UQ164" s="56"/>
      <c r="UR164" s="242">
        <f>SUMPRODUCT(PRODUCE!$B171:$DY171,PRODUCE!$EB$69:$IY$69)</f>
        <v>0</v>
      </c>
      <c r="US164" s="56"/>
      <c r="UT164" s="242">
        <f t="shared" si="1190"/>
        <v>0</v>
      </c>
      <c r="UU164" s="242">
        <f t="shared" si="1191"/>
        <v>0</v>
      </c>
      <c r="UV164" s="56"/>
      <c r="UY164" s="55">
        <f t="shared" si="1192"/>
        <v>46160</v>
      </c>
      <c r="UZ164" s="56"/>
      <c r="VA164" s="242">
        <f>SUMPRODUCT(PRODUCE!$B171:$DY171,PRODUCE!$EB$70:$IY$70)</f>
        <v>0</v>
      </c>
      <c r="VB164" s="56"/>
      <c r="VC164" s="242">
        <f t="shared" si="1193"/>
        <v>0</v>
      </c>
      <c r="VD164" s="242">
        <f t="shared" si="1194"/>
        <v>41.600000000000023</v>
      </c>
      <c r="VE164" s="56"/>
      <c r="VH164" s="55">
        <f t="shared" si="1195"/>
        <v>46160</v>
      </c>
      <c r="VI164" s="56"/>
      <c r="VJ164" s="242">
        <f>SUMPRODUCT(PRODUCE!$B171:$DY171,PRODUCE!$EB$71:$IY$71)</f>
        <v>0</v>
      </c>
      <c r="VK164" s="56"/>
      <c r="VL164" s="242">
        <f t="shared" si="1196"/>
        <v>0</v>
      </c>
      <c r="VM164" s="242">
        <f t="shared" si="1197"/>
        <v>0</v>
      </c>
      <c r="VN164" s="56"/>
      <c r="VQ164" s="55">
        <f t="shared" si="1198"/>
        <v>46160</v>
      </c>
      <c r="VR164" s="56"/>
      <c r="VS164" s="242">
        <f>SUMPRODUCT(PRODUCE!$B171:$DY171,PRODUCE!$EB$57:$IY$57)</f>
        <v>125</v>
      </c>
      <c r="VT164" s="56"/>
      <c r="VU164" s="242">
        <f t="shared" si="1199"/>
        <v>125</v>
      </c>
      <c r="VV164" s="242">
        <f t="shared" si="1200"/>
        <v>0</v>
      </c>
      <c r="VW164" s="56"/>
      <c r="VZ164" s="55">
        <f t="shared" si="1201"/>
        <v>46160</v>
      </c>
      <c r="WA164" s="56"/>
      <c r="WB164" s="242">
        <f>SUMPRODUCT(PRODUCE!$B171:$DY171,PRODUCE!$EB$57:$IY$57)</f>
        <v>125</v>
      </c>
      <c r="WC164" s="56"/>
      <c r="WD164" s="242">
        <f t="shared" si="1202"/>
        <v>125</v>
      </c>
      <c r="WE164" s="242">
        <f t="shared" si="1203"/>
        <v>0</v>
      </c>
      <c r="WF164" s="56"/>
      <c r="WI164" s="55">
        <f t="shared" si="1204"/>
        <v>46160</v>
      </c>
      <c r="WJ164" s="422"/>
      <c r="WK164" s="540">
        <f>SUMPRODUCT(PRODUCE!$B171:$DY171,PRODUCE!$EB$74:$IY$74)</f>
        <v>0</v>
      </c>
      <c r="WL164" s="422"/>
      <c r="WM164" s="540">
        <f t="shared" si="1205"/>
        <v>0</v>
      </c>
      <c r="WN164" s="540">
        <f t="shared" si="1206"/>
        <v>2317</v>
      </c>
      <c r="WO164" s="56"/>
      <c r="WR164" s="55">
        <f t="shared" si="1207"/>
        <v>46160</v>
      </c>
      <c r="WS164" s="422"/>
      <c r="WT164" s="540">
        <f>SUMPRODUCT(PRODUCE!$B171:$DY171,PRODUCE!$EB$75:$IY$75)</f>
        <v>0</v>
      </c>
      <c r="WU164" s="422"/>
      <c r="WV164" s="540">
        <f t="shared" si="1208"/>
        <v>0</v>
      </c>
      <c r="WW164" s="540">
        <f t="shared" si="1209"/>
        <v>0</v>
      </c>
      <c r="WX164" s="56"/>
      <c r="XA164" s="55">
        <f t="shared" si="1210"/>
        <v>46160</v>
      </c>
      <c r="XB164" s="422"/>
      <c r="XC164" s="540">
        <f>SUMPRODUCT(PRODUCE!$B171:$DY171,PRODUCE!$EB$76:$IY$76)</f>
        <v>0</v>
      </c>
      <c r="XD164" s="422"/>
      <c r="XE164" s="540">
        <f t="shared" si="1211"/>
        <v>0</v>
      </c>
      <c r="XF164" s="540">
        <f t="shared" si="1212"/>
        <v>9933</v>
      </c>
      <c r="XG164" s="56"/>
      <c r="XJ164" s="55">
        <f t="shared" si="1213"/>
        <v>46160</v>
      </c>
      <c r="XK164" s="422"/>
      <c r="XL164" s="540">
        <f>SUMPRODUCT(PRODUCE!$B171:$DY171,PRODUCE!$EB$77:$IY$77)</f>
        <v>0</v>
      </c>
      <c r="XM164" s="422">
        <v>619</v>
      </c>
      <c r="XN164" s="540">
        <f t="shared" si="1214"/>
        <v>-619</v>
      </c>
      <c r="XO164" s="540">
        <f t="shared" si="1215"/>
        <v>-38</v>
      </c>
      <c r="XP164" s="56"/>
      <c r="XS164" s="55">
        <f t="shared" si="1216"/>
        <v>46160</v>
      </c>
      <c r="XT164" s="56"/>
      <c r="XU164" s="242">
        <f>SUMPRODUCT(PRODUCE!$B171:$DY171,PRODUCE!$EB$78:$IY$78)</f>
        <v>0</v>
      </c>
      <c r="XV164" s="56"/>
      <c r="XW164" s="242">
        <f t="shared" si="1217"/>
        <v>0</v>
      </c>
      <c r="XX164" s="242">
        <f t="shared" si="1218"/>
        <v>1901</v>
      </c>
      <c r="XY164" s="56"/>
      <c r="YB164" s="55">
        <f t="shared" si="1219"/>
        <v>46160</v>
      </c>
      <c r="YC164" s="56"/>
      <c r="YD164" s="242">
        <f>SUMPRODUCT(PRODUCE!$B171:$DY171,PRODUCE!$EB$79:$IY$79)</f>
        <v>0</v>
      </c>
      <c r="YE164" s="56"/>
      <c r="YF164" s="242">
        <f t="shared" si="1220"/>
        <v>0</v>
      </c>
      <c r="YG164" s="242">
        <f t="shared" si="1221"/>
        <v>6459</v>
      </c>
      <c r="YH164" s="56"/>
      <c r="YK164" s="55">
        <f t="shared" si="1222"/>
        <v>46160</v>
      </c>
      <c r="YL164" s="56"/>
      <c r="YM164" s="242">
        <f>SUMPRODUCT(PRODUCE!$B171:$DY171,PRODUCE!$EB$80:$IY$80)</f>
        <v>0</v>
      </c>
      <c r="YN164" s="56"/>
      <c r="YO164" s="242">
        <f t="shared" si="1223"/>
        <v>0</v>
      </c>
      <c r="YP164" s="242">
        <f t="shared" si="1224"/>
        <v>0</v>
      </c>
      <c r="YQ164" s="56"/>
      <c r="YT164" s="55">
        <f t="shared" si="1225"/>
        <v>46160</v>
      </c>
      <c r="YU164" s="56"/>
      <c r="YV164" s="242">
        <f>SUMPRODUCT(PRODUCE!$B171:$DY171,PRODUCE!$EB$57:$IY$57)</f>
        <v>125</v>
      </c>
      <c r="YW164" s="56"/>
      <c r="YX164" s="242">
        <f t="shared" si="1226"/>
        <v>125</v>
      </c>
      <c r="YY164" s="242">
        <f t="shared" si="1227"/>
        <v>0</v>
      </c>
      <c r="YZ164" s="56"/>
      <c r="ZC164" s="55">
        <f t="shared" si="1228"/>
        <v>46160</v>
      </c>
      <c r="ZD164" s="56"/>
      <c r="ZE164" s="242">
        <f>SUMPRODUCT(PRODUCE!$B171:$DY171,PRODUCE!$EB$57:$IY$57)</f>
        <v>125</v>
      </c>
      <c r="ZF164" s="56"/>
      <c r="ZG164" s="242">
        <f t="shared" si="1229"/>
        <v>125</v>
      </c>
      <c r="ZH164" s="242">
        <f t="shared" si="1230"/>
        <v>0</v>
      </c>
      <c r="ZI164" s="56"/>
      <c r="ZL164" s="55">
        <f t="shared" si="1231"/>
        <v>46160</v>
      </c>
      <c r="ZM164" s="56"/>
      <c r="ZN164" s="242">
        <f>SUMPRODUCT(PRODUCE!$B171:$DY171,PRODUCE!$EB$57:$IY$57)</f>
        <v>125</v>
      </c>
      <c r="ZO164" s="56"/>
      <c r="ZP164" s="242">
        <f t="shared" si="1232"/>
        <v>125</v>
      </c>
      <c r="ZQ164" s="242">
        <f t="shared" si="1233"/>
        <v>0</v>
      </c>
      <c r="ZR164" s="56"/>
      <c r="ZU164" s="55">
        <f t="shared" si="1234"/>
        <v>46160</v>
      </c>
      <c r="ZV164" s="56"/>
      <c r="ZW164" s="242">
        <f>SUMPRODUCT(PRODUCE!$B171:$DY171,PRODUCE!$EB$57:$IY$57)</f>
        <v>125</v>
      </c>
      <c r="ZX164" s="56"/>
      <c r="ZY164" s="242">
        <f t="shared" si="1235"/>
        <v>125</v>
      </c>
      <c r="ZZ164" s="242">
        <f t="shared" si="1236"/>
        <v>0</v>
      </c>
      <c r="AAA164" s="56"/>
      <c r="AAD164" s="55">
        <f t="shared" si="1237"/>
        <v>46160</v>
      </c>
      <c r="AAE164" s="56"/>
      <c r="AAF164" s="242">
        <f>SUMPRODUCT(PRODUCE!$B171:$DY171,PRODUCE!$EB$57:$IY$57)</f>
        <v>125</v>
      </c>
      <c r="AAG164" s="56"/>
      <c r="AAH164" s="242">
        <f t="shared" si="1238"/>
        <v>125</v>
      </c>
      <c r="AAI164" s="242">
        <f t="shared" si="1239"/>
        <v>0</v>
      </c>
      <c r="AAJ164" s="56"/>
      <c r="AAM164" s="55">
        <f t="shared" si="1240"/>
        <v>46160</v>
      </c>
      <c r="AAN164" s="56"/>
      <c r="AAO164" s="242">
        <f>SUMPRODUCT(PRODUCE!$B171:$DY171,PRODUCE!$EB$57:$IY$57)</f>
        <v>125</v>
      </c>
      <c r="AAP164" s="56"/>
      <c r="AAQ164" s="242">
        <f t="shared" si="1241"/>
        <v>125</v>
      </c>
      <c r="AAR164" s="242">
        <f t="shared" si="1242"/>
        <v>0</v>
      </c>
      <c r="AAS164" s="56"/>
      <c r="AAV164" s="55">
        <f t="shared" si="1243"/>
        <v>46160</v>
      </c>
      <c r="AAW164" s="56"/>
      <c r="AAX164" s="242">
        <f>SUMPRODUCT(PRODUCE!$B171:$DY171,PRODUCE!$EB$57:$IY$57)</f>
        <v>125</v>
      </c>
      <c r="AAY164" s="56"/>
      <c r="AAZ164" s="242">
        <f t="shared" si="1244"/>
        <v>125</v>
      </c>
      <c r="ABA164" s="242">
        <f t="shared" si="1245"/>
        <v>0</v>
      </c>
      <c r="ABB164" s="56"/>
      <c r="ABE164" s="55">
        <f t="shared" si="1246"/>
        <v>46160</v>
      </c>
      <c r="ABF164" s="56"/>
      <c r="ABG164" s="242">
        <f>SUMPRODUCT(PRODUCE!$B171:$DY171,PRODUCE!$EB$57:$IY$57)</f>
        <v>125</v>
      </c>
      <c r="ABH164" s="56"/>
      <c r="ABI164" s="242">
        <f t="shared" si="1247"/>
        <v>125</v>
      </c>
      <c r="ABJ164" s="242">
        <f t="shared" si="1248"/>
        <v>0</v>
      </c>
      <c r="ABK164" s="56"/>
    </row>
    <row r="165" spans="2:739" s="54" customFormat="1" ht="15" customHeight="1" outlineLevel="1">
      <c r="B165" s="478">
        <v>90</v>
      </c>
      <c r="C165" s="55">
        <v>46161</v>
      </c>
      <c r="D165" s="422"/>
      <c r="E165" s="423">
        <f>SUMPRODUCT(PRODUCE!$B172:$DY172,PRODUCE!$EB$7:$IY$7)</f>
        <v>56475</v>
      </c>
      <c r="F165" s="422">
        <v>56469.8</v>
      </c>
      <c r="G165" s="423">
        <f t="shared" si="1004"/>
        <v>5.1999999999970896</v>
      </c>
      <c r="H165" s="423">
        <f t="shared" si="1005"/>
        <v>94439.000000000044</v>
      </c>
      <c r="I165" s="289" t="s">
        <v>265</v>
      </c>
      <c r="L165" s="55">
        <f t="shared" si="1006"/>
        <v>46161</v>
      </c>
      <c r="M165" s="422"/>
      <c r="N165" s="438">
        <f>SUMPRODUCT(PRODUCE!$B172:$DY172,PRODUCE!$EB$8:$IY$8)</f>
        <v>12285</v>
      </c>
      <c r="O165" s="422">
        <v>12283.6</v>
      </c>
      <c r="P165" s="438">
        <f t="shared" si="1007"/>
        <v>1.3999999999996362</v>
      </c>
      <c r="Q165" s="438">
        <f t="shared" si="1008"/>
        <v>48750.400000000089</v>
      </c>
      <c r="R165" s="56"/>
      <c r="U165" s="55">
        <f t="shared" si="1009"/>
        <v>46161</v>
      </c>
      <c r="V165" s="422"/>
      <c r="W165" s="440">
        <f>SUMPRODUCT(PRODUCE!$B172:$DY172,PRODUCE!$EB$9:$IY$9)</f>
        <v>7200</v>
      </c>
      <c r="X165" s="422">
        <v>7199.2</v>
      </c>
      <c r="Y165" s="440">
        <f t="shared" si="1010"/>
        <v>0.8000000000001819</v>
      </c>
      <c r="Z165" s="440">
        <f t="shared" si="1011"/>
        <v>37649.099999999962</v>
      </c>
      <c r="AA165" s="56"/>
      <c r="AD165" s="55">
        <f t="shared" si="1012"/>
        <v>46161</v>
      </c>
      <c r="AE165" s="422"/>
      <c r="AF165" s="442">
        <f>SUMPRODUCT(PRODUCE!$B172:$DY172,PRODUCE!$EB$10:$IY$10)</f>
        <v>6300</v>
      </c>
      <c r="AG165" s="422">
        <v>6301.8</v>
      </c>
      <c r="AH165" s="442">
        <f t="shared" si="1013"/>
        <v>-1.8000000000001819</v>
      </c>
      <c r="AI165" s="442">
        <f t="shared" si="1014"/>
        <v>13943.500000000018</v>
      </c>
      <c r="AJ165" s="56"/>
      <c r="AM165" s="55">
        <f t="shared" si="1015"/>
        <v>46161</v>
      </c>
      <c r="AN165" s="422"/>
      <c r="AO165" s="444">
        <f>SUMPRODUCT(PRODUCE!$B172:$DY172,PRODUCE!$EB$11:$IY$11)</f>
        <v>0</v>
      </c>
      <c r="AP165" s="422"/>
      <c r="AQ165" s="444">
        <f t="shared" si="1016"/>
        <v>0</v>
      </c>
      <c r="AR165" s="444">
        <f t="shared" si="1017"/>
        <v>0</v>
      </c>
      <c r="AS165" s="56"/>
      <c r="AV165" s="55">
        <f t="shared" si="1018"/>
        <v>46161</v>
      </c>
      <c r="AW165" s="422"/>
      <c r="AX165" s="446">
        <f>SUMPRODUCT(PRODUCE!$B172:$DY172,PRODUCE!$EB$12:$IY$12)</f>
        <v>1395</v>
      </c>
      <c r="AY165" s="422">
        <v>1396.2</v>
      </c>
      <c r="AZ165" s="446">
        <f t="shared" si="1019"/>
        <v>-1.2000000000000455</v>
      </c>
      <c r="BA165" s="446">
        <f t="shared" si="1020"/>
        <v>10727.099999999997</v>
      </c>
      <c r="BB165" s="56"/>
      <c r="BE165" s="55">
        <f t="shared" si="1021"/>
        <v>46161</v>
      </c>
      <c r="BF165" s="422"/>
      <c r="BG165" s="448">
        <f>SUMPRODUCT(PRODUCE!$B172:$DY172,PRODUCE!$EB$13:$IY$13)</f>
        <v>2250</v>
      </c>
      <c r="BH165" s="422">
        <v>2252.5</v>
      </c>
      <c r="BI165" s="448">
        <f t="shared" si="1022"/>
        <v>-2.5</v>
      </c>
      <c r="BJ165" s="448">
        <f t="shared" si="1023"/>
        <v>36974.499999999993</v>
      </c>
      <c r="BK165" s="56"/>
      <c r="BN165" s="55">
        <f t="shared" si="1024"/>
        <v>46161</v>
      </c>
      <c r="BO165" s="422">
        <v>2250</v>
      </c>
      <c r="BP165" s="450">
        <f>SUMPRODUCT(PRODUCE!$B172:$DY172,PRODUCE!$EB$14:$IY$14)</f>
        <v>2250</v>
      </c>
      <c r="BQ165" s="422">
        <v>2250</v>
      </c>
      <c r="BR165" s="450">
        <f t="shared" si="1025"/>
        <v>0</v>
      </c>
      <c r="BS165" s="450">
        <f t="shared" si="1026"/>
        <v>0</v>
      </c>
      <c r="BT165" s="56"/>
      <c r="BW165" s="55">
        <f t="shared" si="1027"/>
        <v>46161</v>
      </c>
      <c r="BX165" s="422"/>
      <c r="BY165" s="523">
        <f>SUMPRODUCT(PRODUCE!$B172:$DY172,PRODUCE!$EB$15:$IY$15)</f>
        <v>0</v>
      </c>
      <c r="BZ165" s="422"/>
      <c r="CA165" s="523">
        <f t="shared" si="1028"/>
        <v>0</v>
      </c>
      <c r="CB165" s="523">
        <f t="shared" si="1029"/>
        <v>5736.7999999999993</v>
      </c>
      <c r="CC165" s="56"/>
      <c r="CF165" s="55">
        <f t="shared" si="1030"/>
        <v>46161</v>
      </c>
      <c r="CG165" s="422"/>
      <c r="CH165" s="524">
        <f>SUMPRODUCT(PRODUCE!$B172:$DY172,PRODUCE!$EB$16:$IY$16)</f>
        <v>0</v>
      </c>
      <c r="CI165" s="422"/>
      <c r="CJ165" s="524">
        <f t="shared" si="1031"/>
        <v>0</v>
      </c>
      <c r="CK165" s="524">
        <f t="shared" si="1032"/>
        <v>0</v>
      </c>
      <c r="CL165" s="56"/>
      <c r="CO165" s="55">
        <f t="shared" si="1033"/>
        <v>46161</v>
      </c>
      <c r="CP165" s="422"/>
      <c r="CQ165" s="470">
        <f>SUMPRODUCT(PRODUCE!$B172:$DY172,PRODUCE!$EB$17:$IY$17)</f>
        <v>0</v>
      </c>
      <c r="CR165" s="422"/>
      <c r="CS165" s="470">
        <f t="shared" si="1034"/>
        <v>0</v>
      </c>
      <c r="CT165" s="470">
        <f t="shared" si="1035"/>
        <v>0</v>
      </c>
      <c r="CU165" s="56"/>
      <c r="CX165" s="55">
        <f t="shared" si="1036"/>
        <v>46161</v>
      </c>
      <c r="CY165" s="422"/>
      <c r="CZ165" s="525">
        <f>SUMPRODUCT(PRODUCE!$B172:$DY172,PRODUCE!$EB$18:$IY$18)</f>
        <v>0</v>
      </c>
      <c r="DA165" s="422"/>
      <c r="DB165" s="525">
        <f t="shared" si="1037"/>
        <v>0</v>
      </c>
      <c r="DC165" s="525">
        <f t="shared" si="1038"/>
        <v>21657.000000000004</v>
      </c>
      <c r="DD165" s="56"/>
      <c r="DG165" s="55">
        <f t="shared" si="1039"/>
        <v>46161</v>
      </c>
      <c r="DH165" s="422"/>
      <c r="DI165" s="526">
        <f>SUMPRODUCT(PRODUCE!$B172:$DY172,PRODUCE!$EB$19:$IY$19)</f>
        <v>0</v>
      </c>
      <c r="DJ165" s="422"/>
      <c r="DK165" s="526">
        <f t="shared" si="1040"/>
        <v>0</v>
      </c>
      <c r="DL165" s="526">
        <f t="shared" si="1041"/>
        <v>38237.099999999984</v>
      </c>
      <c r="DM165" s="56"/>
      <c r="DP165" s="55">
        <f t="shared" si="1042"/>
        <v>46161</v>
      </c>
      <c r="DQ165" s="422"/>
      <c r="DR165" s="423">
        <f>SUMPRODUCT(PRODUCE!$B172:$DY172,PRODUCE!$EB$20:$IY$20)</f>
        <v>0</v>
      </c>
      <c r="DS165" s="422"/>
      <c r="DT165" s="423">
        <f t="shared" si="1043"/>
        <v>0</v>
      </c>
      <c r="DU165" s="423">
        <f t="shared" si="1044"/>
        <v>5800</v>
      </c>
      <c r="DV165" s="56"/>
      <c r="DY165" s="55">
        <f t="shared" si="1045"/>
        <v>46161</v>
      </c>
      <c r="DZ165" s="56"/>
      <c r="EA165" s="157">
        <f>SUMPRODUCT(PRODUCE!$B172:$DY172,PRODUCE!$EB$21:$IY$21)</f>
        <v>0</v>
      </c>
      <c r="EB165" s="56"/>
      <c r="EC165" s="157">
        <f t="shared" si="1046"/>
        <v>0</v>
      </c>
      <c r="ED165" s="157">
        <f t="shared" si="1047"/>
        <v>0</v>
      </c>
      <c r="EE165" s="56"/>
      <c r="EH165" s="55">
        <f t="shared" si="1048"/>
        <v>46161</v>
      </c>
      <c r="EI165" s="56"/>
      <c r="EJ165" s="162">
        <f>SUMPRODUCT(PRODUCE!$B172:$DY172,PRODUCE!$EB$22:$IY$22)</f>
        <v>0</v>
      </c>
      <c r="EK165" s="56"/>
      <c r="EL165" s="162">
        <f t="shared" si="1049"/>
        <v>0</v>
      </c>
      <c r="EM165" s="162">
        <f t="shared" si="1050"/>
        <v>0</v>
      </c>
      <c r="EN165" s="56"/>
      <c r="EQ165" s="55">
        <f t="shared" si="1051"/>
        <v>46161</v>
      </c>
      <c r="ER165" s="56"/>
      <c r="ES165" s="135">
        <f>SUMPRODUCT(PRODUCE!$B172:$DY172,PRODUCE!$EB$23:$IY$23)</f>
        <v>0</v>
      </c>
      <c r="ET165" s="56"/>
      <c r="EU165" s="135">
        <f t="shared" si="1052"/>
        <v>0</v>
      </c>
      <c r="EV165" s="135">
        <f t="shared" si="1053"/>
        <v>0</v>
      </c>
      <c r="EW165" s="56"/>
      <c r="EZ165" s="55">
        <f t="shared" si="1054"/>
        <v>46161</v>
      </c>
      <c r="FA165" s="56"/>
      <c r="FB165" s="175">
        <f>SUMPRODUCT(PRODUCE!$B172:$DY172,PRODUCE!$EB$24:$IY$24)</f>
        <v>0</v>
      </c>
      <c r="FC165" s="56"/>
      <c r="FD165" s="175">
        <f t="shared" si="1055"/>
        <v>0</v>
      </c>
      <c r="FE165" s="175">
        <f t="shared" si="1056"/>
        <v>0</v>
      </c>
      <c r="FF165" s="56"/>
      <c r="FI165" s="55">
        <f t="shared" si="1057"/>
        <v>46161</v>
      </c>
      <c r="FJ165" s="56"/>
      <c r="FK165" s="183">
        <f>SUMPRODUCT(PRODUCE!$B172:$DY172,PRODUCE!$EB$25:$IY$25)</f>
        <v>0</v>
      </c>
      <c r="FL165" s="56"/>
      <c r="FM165" s="183">
        <f t="shared" si="1058"/>
        <v>0</v>
      </c>
      <c r="FN165" s="183">
        <f t="shared" si="1059"/>
        <v>0</v>
      </c>
      <c r="FO165" s="56"/>
      <c r="FR165" s="55">
        <f t="shared" si="1060"/>
        <v>46161</v>
      </c>
      <c r="FS165" s="56"/>
      <c r="FT165" s="186">
        <f>SUMPRODUCT(PRODUCE!$B172:$DY172,PRODUCE!$EB$26:$IY$26)</f>
        <v>0</v>
      </c>
      <c r="FU165" s="56"/>
      <c r="FV165" s="186">
        <f t="shared" si="1061"/>
        <v>0</v>
      </c>
      <c r="FW165" s="186">
        <f t="shared" si="1062"/>
        <v>4140</v>
      </c>
      <c r="FX165" s="56"/>
      <c r="GA165" s="55">
        <f t="shared" si="1063"/>
        <v>46161</v>
      </c>
      <c r="GB165" s="56"/>
      <c r="GC165" s="137">
        <f>SUMPRODUCT(PRODUCE!$B172:$DY172,PRODUCE!$EB$27:$IY$27)</f>
        <v>0</v>
      </c>
      <c r="GD165" s="56"/>
      <c r="GE165" s="137">
        <f t="shared" si="1064"/>
        <v>0</v>
      </c>
      <c r="GF165" s="137">
        <f t="shared" si="1065"/>
        <v>5040</v>
      </c>
      <c r="GG165" s="56"/>
      <c r="GI165" s="23"/>
      <c r="GJ165" s="55">
        <f t="shared" si="1066"/>
        <v>46161</v>
      </c>
      <c r="GK165" s="56"/>
      <c r="GL165" s="199">
        <f>SUMPRODUCT(PRODUCE!$B172:$DY172,PRODUCE!$EB$28:$IY$28)</f>
        <v>1800</v>
      </c>
      <c r="GM165" s="56"/>
      <c r="GN165" s="199">
        <f t="shared" si="1067"/>
        <v>1800</v>
      </c>
      <c r="GO165" s="199">
        <f t="shared" si="1068"/>
        <v>3760</v>
      </c>
      <c r="GP165" s="56"/>
      <c r="GS165" s="55">
        <f t="shared" si="1069"/>
        <v>46161</v>
      </c>
      <c r="GT165" s="56"/>
      <c r="GU165" s="195">
        <f>SUMPRODUCT(PRODUCE!$B172:$DY172,PRODUCE!$EB$29:$IY$29)</f>
        <v>0</v>
      </c>
      <c r="GV165" s="56"/>
      <c r="GW165" s="195">
        <f t="shared" si="1070"/>
        <v>0</v>
      </c>
      <c r="GX165" s="195">
        <f t="shared" si="1071"/>
        <v>1320</v>
      </c>
      <c r="GY165" s="56"/>
      <c r="HB165" s="55">
        <f t="shared" si="1072"/>
        <v>46161</v>
      </c>
      <c r="HC165" s="56"/>
      <c r="HD165" s="191">
        <f>SUMPRODUCT(PRODUCE!$B172:$DY172,PRODUCE!$EB$30:$IY$30)</f>
        <v>0</v>
      </c>
      <c r="HE165" s="56"/>
      <c r="HF165" s="191">
        <f t="shared" si="1073"/>
        <v>0</v>
      </c>
      <c r="HG165" s="191">
        <f t="shared" si="1074"/>
        <v>3600</v>
      </c>
      <c r="HH165" s="56"/>
      <c r="HK165" s="55">
        <f t="shared" si="1075"/>
        <v>46161</v>
      </c>
      <c r="HL165" s="56"/>
      <c r="HM165" s="63">
        <f>SUMPRODUCT(PRODUCE!$B172:$DY172,PRODUCE!$EB$31:$IY$31)</f>
        <v>0</v>
      </c>
      <c r="HN165" s="56"/>
      <c r="HO165" s="63">
        <f t="shared" si="1076"/>
        <v>0</v>
      </c>
      <c r="HP165" s="63">
        <f t="shared" si="1077"/>
        <v>0</v>
      </c>
      <c r="HQ165" s="56"/>
      <c r="HU165" s="55">
        <f t="shared" si="1078"/>
        <v>46161</v>
      </c>
      <c r="HV165" s="56"/>
      <c r="HW165" s="242">
        <f>SUMPRODUCT(PRODUCE!$B172:$DY172,PRODUCE!$EB$32:$IY$32)</f>
        <v>0</v>
      </c>
      <c r="HX165" s="56"/>
      <c r="HY165" s="242">
        <f t="shared" si="1079"/>
        <v>0</v>
      </c>
      <c r="HZ165" s="242">
        <f t="shared" si="1080"/>
        <v>7080</v>
      </c>
      <c r="IA165" s="56"/>
      <c r="ID165" s="55">
        <f t="shared" si="1081"/>
        <v>46161</v>
      </c>
      <c r="IE165" s="56"/>
      <c r="IF165" s="242">
        <f>SUMPRODUCT(PRODUCE!$B172:$DY172,PRODUCE!$EB$33:$IY$33)</f>
        <v>0</v>
      </c>
      <c r="IG165" s="56"/>
      <c r="IH165" s="242">
        <f t="shared" si="1082"/>
        <v>0</v>
      </c>
      <c r="II165" s="242">
        <f t="shared" si="1083"/>
        <v>720</v>
      </c>
      <c r="IJ165" s="56"/>
      <c r="IM165" s="55">
        <f t="shared" si="1084"/>
        <v>46161</v>
      </c>
      <c r="IN165" s="56"/>
      <c r="IO165" s="242">
        <f>SUMPRODUCT(PRODUCE!$B172:$DY172,PRODUCE!$EB$34:$IY$34)</f>
        <v>0</v>
      </c>
      <c r="IP165" s="56"/>
      <c r="IQ165" s="242">
        <f t="shared" si="1085"/>
        <v>0</v>
      </c>
      <c r="IR165" s="242">
        <f t="shared" si="1086"/>
        <v>11540</v>
      </c>
      <c r="IS165" s="56"/>
      <c r="IV165" s="55">
        <f t="shared" si="1087"/>
        <v>46161</v>
      </c>
      <c r="IW165" s="56"/>
      <c r="IX165" s="242">
        <f>SUMPRODUCT(PRODUCE!$B172:$DY172,PRODUCE!$EB$35:$IY$35)</f>
        <v>0</v>
      </c>
      <c r="IY165" s="56"/>
      <c r="IZ165" s="242">
        <f t="shared" si="1088"/>
        <v>0</v>
      </c>
      <c r="JA165" s="242">
        <f t="shared" si="1089"/>
        <v>12860</v>
      </c>
      <c r="JB165" s="56"/>
      <c r="JE165" s="55">
        <f t="shared" si="1090"/>
        <v>46161</v>
      </c>
      <c r="JF165" s="56"/>
      <c r="JG165" s="242">
        <f>SUMPRODUCT(PRODUCE!$B172:$DY172,PRODUCE!$EB$36:$IY$36)</f>
        <v>0</v>
      </c>
      <c r="JH165" s="56"/>
      <c r="JI165" s="242">
        <f t="shared" si="1091"/>
        <v>0</v>
      </c>
      <c r="JJ165" s="242">
        <f t="shared" si="1092"/>
        <v>0</v>
      </c>
      <c r="JK165" s="56"/>
      <c r="JN165" s="55">
        <f t="shared" si="1093"/>
        <v>46161</v>
      </c>
      <c r="JO165" s="56"/>
      <c r="JP165" s="242">
        <f>SUMPRODUCT(PRODUCE!$B172:$DY172,PRODUCE!$EB$37:$IY$37)</f>
        <v>0</v>
      </c>
      <c r="JQ165" s="56"/>
      <c r="JR165" s="242">
        <f t="shared" si="1094"/>
        <v>0</v>
      </c>
      <c r="JS165" s="242">
        <f t="shared" si="1095"/>
        <v>5500</v>
      </c>
      <c r="JT165" s="56"/>
      <c r="JW165" s="55">
        <f t="shared" si="1096"/>
        <v>46161</v>
      </c>
      <c r="JX165" s="56"/>
      <c r="JY165" s="242">
        <f>SUMPRODUCT(PRODUCE!$B172:$DY172,PRODUCE!$EB$38:$IY$38)</f>
        <v>0</v>
      </c>
      <c r="JZ165" s="56"/>
      <c r="KA165" s="242">
        <f t="shared" si="1097"/>
        <v>0</v>
      </c>
      <c r="KB165" s="242">
        <f t="shared" si="1098"/>
        <v>2540</v>
      </c>
      <c r="KC165" s="56"/>
      <c r="KF165" s="55">
        <f t="shared" si="1099"/>
        <v>46161</v>
      </c>
      <c r="KG165" s="56"/>
      <c r="KH165" s="242">
        <f>SUMPRODUCT(PRODUCE!$B172:$DY172,PRODUCE!$EB$39:$IY$39)</f>
        <v>0</v>
      </c>
      <c r="KI165" s="56"/>
      <c r="KJ165" s="242">
        <f t="shared" si="1100"/>
        <v>0</v>
      </c>
      <c r="KK165" s="242">
        <f t="shared" si="1101"/>
        <v>2359.5</v>
      </c>
      <c r="KL165" s="56"/>
      <c r="KO165" s="55">
        <f t="shared" si="1102"/>
        <v>46161</v>
      </c>
      <c r="KP165" s="56"/>
      <c r="KQ165" s="242">
        <f>SUMPRODUCT(PRODUCE!$B172:$DY172,PRODUCE!$EB$40:$IY$40)</f>
        <v>0</v>
      </c>
      <c r="KR165" s="56"/>
      <c r="KS165" s="242">
        <f t="shared" si="1103"/>
        <v>0</v>
      </c>
      <c r="KT165" s="242">
        <f t="shared" si="1104"/>
        <v>1890</v>
      </c>
      <c r="KU165" s="56"/>
      <c r="KW165" s="23"/>
      <c r="KX165" s="55">
        <f t="shared" si="1105"/>
        <v>46161</v>
      </c>
      <c r="KY165" s="56"/>
      <c r="KZ165" s="242">
        <f>SUMPRODUCT(PRODUCE!$B172:$DY172,PRODUCE!$EB$41:$IY$41)</f>
        <v>0</v>
      </c>
      <c r="LA165" s="56"/>
      <c r="LB165" s="242">
        <f t="shared" si="1106"/>
        <v>0</v>
      </c>
      <c r="LC165" s="242">
        <f t="shared" si="1107"/>
        <v>3690</v>
      </c>
      <c r="LD165" s="56"/>
      <c r="LG165" s="55">
        <f t="shared" si="1108"/>
        <v>46161</v>
      </c>
      <c r="LH165" s="56"/>
      <c r="LI165" s="242">
        <f>SUMPRODUCT(PRODUCE!$B172:$DY172,PRODUCE!$EB$42:$IY$42)</f>
        <v>0</v>
      </c>
      <c r="LJ165" s="56"/>
      <c r="LK165" s="242">
        <f t="shared" si="1109"/>
        <v>0</v>
      </c>
      <c r="LL165" s="242">
        <f t="shared" si="1110"/>
        <v>4000</v>
      </c>
      <c r="LM165" s="56"/>
      <c r="LP165" s="55">
        <f t="shared" si="1111"/>
        <v>46161</v>
      </c>
      <c r="LQ165" s="56"/>
      <c r="LR165" s="242">
        <f>SUMPRODUCT(PRODUCE!$B180:$DY180,PRODUCE!$EB$43:$IY$43)</f>
        <v>0</v>
      </c>
      <c r="LS165" s="56"/>
      <c r="LT165" s="242">
        <f t="shared" si="1112"/>
        <v>0</v>
      </c>
      <c r="LU165" s="242">
        <f t="shared" si="1113"/>
        <v>0</v>
      </c>
      <c r="LV165" s="56"/>
      <c r="LY165" s="55">
        <f t="shared" si="1114"/>
        <v>46161</v>
      </c>
      <c r="LZ165" s="56"/>
      <c r="MA165" s="242">
        <f>SUMPRODUCT(PRODUCE!$B172:$DY172,PRODUCE!$EB$44:$IY$44)</f>
        <v>0</v>
      </c>
      <c r="MB165" s="56"/>
      <c r="MC165" s="242">
        <f t="shared" si="1115"/>
        <v>0</v>
      </c>
      <c r="MD165" s="242">
        <f t="shared" si="1116"/>
        <v>0</v>
      </c>
      <c r="ME165" s="56"/>
      <c r="MH165" s="55">
        <f t="shared" si="1117"/>
        <v>46161</v>
      </c>
      <c r="MI165" s="56"/>
      <c r="MJ165" s="242">
        <f>SUMPRODUCT(PRODUCE!$B172:$DY172,PRODUCE!$EB$45:$IY$45)</f>
        <v>0</v>
      </c>
      <c r="MK165" s="56"/>
      <c r="ML165" s="242">
        <f t="shared" si="1118"/>
        <v>0</v>
      </c>
      <c r="MM165" s="242">
        <f t="shared" si="1119"/>
        <v>0</v>
      </c>
      <c r="MN165" s="56"/>
      <c r="MQ165" s="55">
        <f t="shared" si="1120"/>
        <v>46161</v>
      </c>
      <c r="MR165" s="56"/>
      <c r="MS165" s="242">
        <f>SUMPRODUCT(PRODUCE!$B172:$DY172,PRODUCE!$EB$46:$IY$46)</f>
        <v>45</v>
      </c>
      <c r="MT165" s="56"/>
      <c r="MU165" s="242">
        <f t="shared" si="1121"/>
        <v>45</v>
      </c>
      <c r="MV165" s="242">
        <f t="shared" si="1122"/>
        <v>3761</v>
      </c>
      <c r="MW165" s="56"/>
      <c r="MZ165" s="55">
        <f t="shared" si="1123"/>
        <v>46161</v>
      </c>
      <c r="NA165" s="56"/>
      <c r="NB165" s="242">
        <f>SUMPRODUCT(PRODUCE!$B172:$DY172,PRODUCE!$EB$47:$IY$47)</f>
        <v>0</v>
      </c>
      <c r="NC165" s="56"/>
      <c r="ND165" s="242">
        <f t="shared" si="1124"/>
        <v>0</v>
      </c>
      <c r="NE165" s="242">
        <f t="shared" si="1125"/>
        <v>0</v>
      </c>
      <c r="NF165" s="56"/>
      <c r="NI165" s="55">
        <f t="shared" si="1126"/>
        <v>46161</v>
      </c>
      <c r="NJ165" s="56"/>
      <c r="NK165" s="242">
        <f>SUMPRODUCT(PRODUCE!$B172:$DY172,PRODUCE!$EB$48:$IY$48)</f>
        <v>0</v>
      </c>
      <c r="NL165" s="56"/>
      <c r="NM165" s="242">
        <f t="shared" si="1127"/>
        <v>0</v>
      </c>
      <c r="NN165" s="242">
        <f t="shared" si="1128"/>
        <v>1127</v>
      </c>
      <c r="NO165" s="56"/>
      <c r="NR165" s="55">
        <f t="shared" si="1129"/>
        <v>46161</v>
      </c>
      <c r="NS165" s="56"/>
      <c r="NT165" s="242">
        <f>SUMPRODUCT(PRODUCE!$B172:$DY172,PRODUCE!$EB$49:$IY$49)</f>
        <v>0</v>
      </c>
      <c r="NU165" s="56"/>
      <c r="NV165" s="242">
        <f t="shared" si="1130"/>
        <v>0</v>
      </c>
      <c r="NW165" s="242">
        <f t="shared" si="1131"/>
        <v>3111.9999999999995</v>
      </c>
      <c r="NX165" s="56"/>
      <c r="OA165" s="55">
        <f t="shared" si="1132"/>
        <v>46161</v>
      </c>
      <c r="OB165" s="56"/>
      <c r="OC165" s="242">
        <f>SUMPRODUCT(PRODUCE!$B172:$DY172,PRODUCE!$EB$50:$IY$50)</f>
        <v>0</v>
      </c>
      <c r="OD165" s="56"/>
      <c r="OE165" s="242">
        <f t="shared" si="1133"/>
        <v>0</v>
      </c>
      <c r="OF165" s="242">
        <f t="shared" si="1134"/>
        <v>1680.5</v>
      </c>
      <c r="OG165" s="56"/>
      <c r="OJ165" s="55">
        <f t="shared" si="1135"/>
        <v>46161</v>
      </c>
      <c r="OK165" s="56"/>
      <c r="OL165" s="242">
        <f>SUMPRODUCT(PRODUCE!$B172:$DY172,PRODUCE!$EB$51:$IY$51)</f>
        <v>0</v>
      </c>
      <c r="OM165" s="56"/>
      <c r="ON165" s="242">
        <f t="shared" si="1136"/>
        <v>0</v>
      </c>
      <c r="OO165" s="242">
        <f t="shared" si="1137"/>
        <v>0</v>
      </c>
      <c r="OP165" s="56"/>
      <c r="OS165" s="55">
        <f t="shared" si="1138"/>
        <v>46161</v>
      </c>
      <c r="OT165" s="56"/>
      <c r="OU165" s="242">
        <f>SUMPRODUCT(PRODUCE!$B172:$DY172,PRODUCE!$EB$52:$IY$52)</f>
        <v>0</v>
      </c>
      <c r="OV165" s="56"/>
      <c r="OW165" s="242">
        <f t="shared" si="1139"/>
        <v>0</v>
      </c>
      <c r="OX165" s="242">
        <f t="shared" si="1140"/>
        <v>1482</v>
      </c>
      <c r="OY165" s="56"/>
      <c r="PB165" s="55">
        <f t="shared" si="1141"/>
        <v>46161</v>
      </c>
      <c r="PC165" s="56"/>
      <c r="PD165" s="242">
        <f>SUMPRODUCT(PRODUCE!$B172:$DY172,PRODUCE!$EB$53:$IY$53)</f>
        <v>0</v>
      </c>
      <c r="PE165" s="56"/>
      <c r="PF165" s="242">
        <f t="shared" si="1142"/>
        <v>0</v>
      </c>
      <c r="PG165" s="242">
        <f t="shared" si="1143"/>
        <v>0</v>
      </c>
      <c r="PH165" s="56"/>
      <c r="PK165" s="55">
        <f t="shared" si="1144"/>
        <v>46161</v>
      </c>
      <c r="PL165" s="56"/>
      <c r="PM165" s="242">
        <f>SUMPRODUCT(PRODUCE!$B172:$DY172,PRODUCE!$EB$54:$IY$54)</f>
        <v>0</v>
      </c>
      <c r="PN165" s="56"/>
      <c r="PO165" s="242">
        <f t="shared" si="1145"/>
        <v>0</v>
      </c>
      <c r="PP165" s="242">
        <f t="shared" si="1146"/>
        <v>100</v>
      </c>
      <c r="PQ165" s="56"/>
      <c r="PT165" s="55">
        <f t="shared" si="1147"/>
        <v>46161</v>
      </c>
      <c r="PU165" s="56"/>
      <c r="PV165" s="242">
        <f>SUMPRODUCT(PRODUCE!$B172:$DY172,PRODUCE!$EB$55:$IY$55)</f>
        <v>0</v>
      </c>
      <c r="PW165" s="56"/>
      <c r="PX165" s="242">
        <f t="shared" si="1148"/>
        <v>0</v>
      </c>
      <c r="PY165" s="242">
        <f t="shared" si="1149"/>
        <v>13.960000000000036</v>
      </c>
      <c r="PZ165" s="56"/>
      <c r="QC165" s="55">
        <f t="shared" si="1150"/>
        <v>46161</v>
      </c>
      <c r="QD165" s="56"/>
      <c r="QE165" s="242">
        <f>SUMPRODUCT(PRODUCE!$B172:$DY172,PRODUCE!$EB$56:$IY$56)</f>
        <v>0</v>
      </c>
      <c r="QF165" s="56"/>
      <c r="QG165" s="242">
        <f t="shared" si="1151"/>
        <v>0</v>
      </c>
      <c r="QH165" s="242">
        <f t="shared" si="1152"/>
        <v>876</v>
      </c>
      <c r="QI165" s="56"/>
      <c r="QL165" s="55">
        <f t="shared" si="1153"/>
        <v>46161</v>
      </c>
      <c r="QM165" s="56"/>
      <c r="QN165" s="242">
        <f>SUMPRODUCT(PRODUCE!$B172:$DY172,PRODUCE!$EB$57:$IY$57)</f>
        <v>0</v>
      </c>
      <c r="QO165" s="56"/>
      <c r="QP165" s="242">
        <f t="shared" si="1154"/>
        <v>0</v>
      </c>
      <c r="QQ165" s="242">
        <f t="shared" si="1155"/>
        <v>515</v>
      </c>
      <c r="QR165" s="56"/>
      <c r="QU165" s="55">
        <f t="shared" si="1156"/>
        <v>46161</v>
      </c>
      <c r="QV165" s="56"/>
      <c r="QW165" s="242">
        <f>SUMPRODUCT(PRODUCE!$B172:$DY172,PRODUCE!$EB$58:$IY$58)</f>
        <v>0</v>
      </c>
      <c r="QX165" s="56"/>
      <c r="QY165" s="242">
        <f t="shared" si="1157"/>
        <v>0</v>
      </c>
      <c r="QZ165" s="242">
        <f t="shared" si="1158"/>
        <v>207.6</v>
      </c>
      <c r="RA165" s="56"/>
      <c r="RD165" s="55">
        <f t="shared" si="1159"/>
        <v>46161</v>
      </c>
      <c r="RE165" s="56"/>
      <c r="RF165" s="242">
        <f>SUMPRODUCT(PRODUCE!$B172:$DY172,PRODUCE!$EB$59:$IY$59)</f>
        <v>0</v>
      </c>
      <c r="RG165" s="56"/>
      <c r="RH165" s="242">
        <f t="shared" si="1160"/>
        <v>0</v>
      </c>
      <c r="RI165" s="242">
        <f t="shared" si="1161"/>
        <v>147.04000000000002</v>
      </c>
      <c r="RJ165" s="56"/>
      <c r="RM165" s="55">
        <f t="shared" si="1162"/>
        <v>46161</v>
      </c>
      <c r="RN165" s="56"/>
      <c r="RO165" s="242">
        <f>SUMPRODUCT(PRODUCE!$B172:$DY172,PRODUCE!$EB$60:$IY$60)</f>
        <v>0</v>
      </c>
      <c r="RP165" s="56"/>
      <c r="RQ165" s="242">
        <f t="shared" si="1163"/>
        <v>0</v>
      </c>
      <c r="RR165" s="242">
        <f t="shared" si="1164"/>
        <v>46.8</v>
      </c>
      <c r="RS165" s="56"/>
      <c r="RV165" s="55">
        <f t="shared" si="1165"/>
        <v>46161</v>
      </c>
      <c r="RW165" s="56"/>
      <c r="RX165" s="242">
        <f>SUMPRODUCT(PRODUCE!$B172:$DY172,PRODUCE!$EB$61:$IY$61)</f>
        <v>0</v>
      </c>
      <c r="RY165" s="56"/>
      <c r="RZ165" s="242">
        <f t="shared" si="1166"/>
        <v>0</v>
      </c>
      <c r="SA165" s="242">
        <f t="shared" si="1167"/>
        <v>0</v>
      </c>
      <c r="SB165" s="56"/>
      <c r="SE165" s="55">
        <f t="shared" si="1168"/>
        <v>46161</v>
      </c>
      <c r="SF165" s="56"/>
      <c r="SG165" s="242">
        <f>SUMPRODUCT(PRODUCE!$B172:$DY172,PRODUCE!$EB$62:$IY$62)</f>
        <v>0</v>
      </c>
      <c r="SH165" s="56"/>
      <c r="SI165" s="242">
        <f t="shared" si="1169"/>
        <v>0</v>
      </c>
      <c r="SJ165" s="242">
        <f t="shared" si="1170"/>
        <v>24.200000000000003</v>
      </c>
      <c r="SK165" s="56"/>
      <c r="SN165" s="55">
        <f t="shared" si="1171"/>
        <v>46161</v>
      </c>
      <c r="SO165" s="56"/>
      <c r="SP165" s="242">
        <f>SUMPRODUCT(PRODUCE!$B172:$DY172,PRODUCE!$EB$63:$IY$63)</f>
        <v>0</v>
      </c>
      <c r="SQ165" s="56"/>
      <c r="SR165" s="242">
        <f t="shared" si="1172"/>
        <v>0</v>
      </c>
      <c r="SS165" s="242">
        <f t="shared" si="1173"/>
        <v>32</v>
      </c>
      <c r="ST165" s="56"/>
      <c r="SW165" s="55">
        <f t="shared" si="1174"/>
        <v>46161</v>
      </c>
      <c r="SX165" s="56"/>
      <c r="SY165" s="242">
        <f>SUMPRODUCT(PRODUCE!$B172:$DY172,PRODUCE!$EB$64:$IY$64)</f>
        <v>0</v>
      </c>
      <c r="SZ165" s="56"/>
      <c r="TA165" s="242">
        <f t="shared" si="1175"/>
        <v>0</v>
      </c>
      <c r="TB165" s="242">
        <f t="shared" si="1176"/>
        <v>0</v>
      </c>
      <c r="TC165" s="56"/>
      <c r="TF165" s="55">
        <f t="shared" si="1177"/>
        <v>46161</v>
      </c>
      <c r="TG165" s="56"/>
      <c r="TH165" s="242">
        <f>SUMPRODUCT(PRODUCE!$B172:$DY172,PRODUCE!$EB$65:$IY$65)</f>
        <v>0</v>
      </c>
      <c r="TI165" s="56"/>
      <c r="TJ165" s="242">
        <f t="shared" si="1178"/>
        <v>0</v>
      </c>
      <c r="TK165" s="242">
        <f t="shared" si="1179"/>
        <v>0</v>
      </c>
      <c r="TL165" s="56"/>
      <c r="TO165" s="55">
        <f t="shared" si="1180"/>
        <v>46161</v>
      </c>
      <c r="TP165" s="56"/>
      <c r="TQ165" s="242">
        <f>SUMPRODUCT(PRODUCE!$B172:$DY172,PRODUCE!$EB$66:$IY$66)</f>
        <v>0</v>
      </c>
      <c r="TR165" s="56"/>
      <c r="TS165" s="242">
        <f t="shared" si="1181"/>
        <v>0</v>
      </c>
      <c r="TT165" s="242">
        <f t="shared" si="1182"/>
        <v>0</v>
      </c>
      <c r="TU165" s="56"/>
      <c r="TX165" s="55">
        <f t="shared" si="1183"/>
        <v>46161</v>
      </c>
      <c r="TY165" s="56"/>
      <c r="TZ165" s="242">
        <f>SUMPRODUCT(PRODUCE!$B172:$DY172,PRODUCE!$EB$67:$IY$67)</f>
        <v>0</v>
      </c>
      <c r="UA165" s="56"/>
      <c r="UB165" s="242">
        <f t="shared" si="1184"/>
        <v>0</v>
      </c>
      <c r="UC165" s="242">
        <f t="shared" si="1185"/>
        <v>0</v>
      </c>
      <c r="UD165" s="56"/>
      <c r="UG165" s="55">
        <f t="shared" si="1186"/>
        <v>46161</v>
      </c>
      <c r="UH165" s="56"/>
      <c r="UI165" s="242">
        <f>SUMPRODUCT(PRODUCE!$B172:$DY172,PRODUCE!$EB$68:$IY$68)</f>
        <v>0</v>
      </c>
      <c r="UJ165" s="56"/>
      <c r="UK165" s="242">
        <f t="shared" si="1187"/>
        <v>0</v>
      </c>
      <c r="UL165" s="242">
        <f t="shared" si="1188"/>
        <v>0</v>
      </c>
      <c r="UM165" s="56"/>
      <c r="UP165" s="55">
        <f t="shared" si="1189"/>
        <v>46161</v>
      </c>
      <c r="UQ165" s="56"/>
      <c r="UR165" s="242">
        <f>SUMPRODUCT(PRODUCE!$B172:$DY172,PRODUCE!$EB$69:$IY$69)</f>
        <v>0</v>
      </c>
      <c r="US165" s="56"/>
      <c r="UT165" s="242">
        <f t="shared" si="1190"/>
        <v>0</v>
      </c>
      <c r="UU165" s="242">
        <f t="shared" si="1191"/>
        <v>0</v>
      </c>
      <c r="UV165" s="56"/>
      <c r="UY165" s="55">
        <f t="shared" si="1192"/>
        <v>46161</v>
      </c>
      <c r="UZ165" s="56"/>
      <c r="VA165" s="242">
        <f>SUMPRODUCT(PRODUCE!$B172:$DY172,PRODUCE!$EB$70:$IY$70)</f>
        <v>0</v>
      </c>
      <c r="VB165" s="56"/>
      <c r="VC165" s="242">
        <f t="shared" si="1193"/>
        <v>0</v>
      </c>
      <c r="VD165" s="242">
        <f t="shared" si="1194"/>
        <v>41.600000000000023</v>
      </c>
      <c r="VE165" s="56"/>
      <c r="VH165" s="55">
        <f t="shared" si="1195"/>
        <v>46161</v>
      </c>
      <c r="VI165" s="56"/>
      <c r="VJ165" s="242">
        <f>SUMPRODUCT(PRODUCE!$B172:$DY172,PRODUCE!$EB$71:$IY$71)</f>
        <v>0</v>
      </c>
      <c r="VK165" s="56"/>
      <c r="VL165" s="242">
        <f t="shared" si="1196"/>
        <v>0</v>
      </c>
      <c r="VM165" s="242">
        <f t="shared" si="1197"/>
        <v>0</v>
      </c>
      <c r="VN165" s="56"/>
      <c r="VQ165" s="55">
        <f t="shared" si="1198"/>
        <v>46161</v>
      </c>
      <c r="VR165" s="56"/>
      <c r="VS165" s="242">
        <f>SUMPRODUCT(PRODUCE!$B172:$DY172,PRODUCE!$EB$57:$IY$57)</f>
        <v>0</v>
      </c>
      <c r="VT165" s="56"/>
      <c r="VU165" s="242">
        <f t="shared" si="1199"/>
        <v>0</v>
      </c>
      <c r="VV165" s="242">
        <f t="shared" si="1200"/>
        <v>0</v>
      </c>
      <c r="VW165" s="56"/>
      <c r="VZ165" s="55">
        <f t="shared" si="1201"/>
        <v>46161</v>
      </c>
      <c r="WA165" s="56"/>
      <c r="WB165" s="242">
        <f>SUMPRODUCT(PRODUCE!$B172:$DY172,PRODUCE!$EB$57:$IY$57)</f>
        <v>0</v>
      </c>
      <c r="WC165" s="56"/>
      <c r="WD165" s="242">
        <f t="shared" si="1202"/>
        <v>0</v>
      </c>
      <c r="WE165" s="242">
        <f t="shared" si="1203"/>
        <v>0</v>
      </c>
      <c r="WF165" s="56"/>
      <c r="WI165" s="55">
        <f t="shared" si="1204"/>
        <v>46161</v>
      </c>
      <c r="WJ165" s="422"/>
      <c r="WK165" s="540">
        <f>SUMPRODUCT(PRODUCE!$B172:$DY172,PRODUCE!$EB$74:$IY$74)</f>
        <v>0</v>
      </c>
      <c r="WL165" s="422"/>
      <c r="WM165" s="540">
        <f t="shared" si="1205"/>
        <v>0</v>
      </c>
      <c r="WN165" s="540">
        <f t="shared" si="1206"/>
        <v>2317</v>
      </c>
      <c r="WO165" s="56"/>
      <c r="WR165" s="55">
        <f t="shared" si="1207"/>
        <v>46161</v>
      </c>
      <c r="WS165" s="422"/>
      <c r="WT165" s="540">
        <f>SUMPRODUCT(PRODUCE!$B172:$DY172,PRODUCE!$EB$75:$IY$75)</f>
        <v>0</v>
      </c>
      <c r="WU165" s="422"/>
      <c r="WV165" s="540">
        <f t="shared" si="1208"/>
        <v>0</v>
      </c>
      <c r="WW165" s="540">
        <f t="shared" si="1209"/>
        <v>0</v>
      </c>
      <c r="WX165" s="56"/>
      <c r="XA165" s="55">
        <f t="shared" si="1210"/>
        <v>46161</v>
      </c>
      <c r="XB165" s="422"/>
      <c r="XC165" s="540">
        <f>SUMPRODUCT(PRODUCE!$B172:$DY172,PRODUCE!$EB$76:$IY$76)</f>
        <v>0</v>
      </c>
      <c r="XD165" s="422">
        <v>1910</v>
      </c>
      <c r="XE165" s="540">
        <f t="shared" si="1211"/>
        <v>-1910</v>
      </c>
      <c r="XF165" s="540">
        <f t="shared" si="1212"/>
        <v>8023</v>
      </c>
      <c r="XG165" s="56"/>
      <c r="XJ165" s="55">
        <f t="shared" si="1213"/>
        <v>46161</v>
      </c>
      <c r="XK165" s="422"/>
      <c r="XL165" s="540">
        <f>SUMPRODUCT(PRODUCE!$B172:$DY172,PRODUCE!$EB$77:$IY$77)</f>
        <v>0</v>
      </c>
      <c r="XM165" s="422"/>
      <c r="XN165" s="540">
        <f t="shared" si="1214"/>
        <v>0</v>
      </c>
      <c r="XO165" s="540">
        <f t="shared" si="1215"/>
        <v>-38</v>
      </c>
      <c r="XP165" s="56"/>
      <c r="XS165" s="55">
        <f t="shared" si="1216"/>
        <v>46161</v>
      </c>
      <c r="XT165" s="56"/>
      <c r="XU165" s="242">
        <f>SUMPRODUCT(PRODUCE!$B172:$DY172,PRODUCE!$EB$78:$IY$78)</f>
        <v>0</v>
      </c>
      <c r="XV165" s="56"/>
      <c r="XW165" s="242">
        <f t="shared" si="1217"/>
        <v>0</v>
      </c>
      <c r="XX165" s="242">
        <f t="shared" si="1218"/>
        <v>1901</v>
      </c>
      <c r="XY165" s="56"/>
      <c r="YB165" s="55">
        <f t="shared" si="1219"/>
        <v>46161</v>
      </c>
      <c r="YC165" s="56"/>
      <c r="YD165" s="242">
        <f>SUMPRODUCT(PRODUCE!$B172:$DY172,PRODUCE!$EB$79:$IY$79)</f>
        <v>0</v>
      </c>
      <c r="YE165" s="56"/>
      <c r="YF165" s="242">
        <f t="shared" si="1220"/>
        <v>0</v>
      </c>
      <c r="YG165" s="242">
        <f t="shared" si="1221"/>
        <v>6459</v>
      </c>
      <c r="YH165" s="56"/>
      <c r="YK165" s="55">
        <f t="shared" si="1222"/>
        <v>46161</v>
      </c>
      <c r="YL165" s="56"/>
      <c r="YM165" s="242">
        <f>SUMPRODUCT(PRODUCE!$B172:$DY172,PRODUCE!$EB$80:$IY$80)</f>
        <v>0</v>
      </c>
      <c r="YN165" s="56"/>
      <c r="YO165" s="242">
        <f t="shared" si="1223"/>
        <v>0</v>
      </c>
      <c r="YP165" s="242">
        <f t="shared" si="1224"/>
        <v>0</v>
      </c>
      <c r="YQ165" s="56"/>
      <c r="YT165" s="55">
        <f t="shared" si="1225"/>
        <v>46161</v>
      </c>
      <c r="YU165" s="56"/>
      <c r="YV165" s="242">
        <f>SUMPRODUCT(PRODUCE!$B172:$DY172,PRODUCE!$EB$57:$IY$57)</f>
        <v>0</v>
      </c>
      <c r="YW165" s="56"/>
      <c r="YX165" s="242">
        <f t="shared" si="1226"/>
        <v>0</v>
      </c>
      <c r="YY165" s="242">
        <f t="shared" si="1227"/>
        <v>0</v>
      </c>
      <c r="YZ165" s="56"/>
      <c r="ZC165" s="55">
        <f t="shared" si="1228"/>
        <v>46161</v>
      </c>
      <c r="ZD165" s="56"/>
      <c r="ZE165" s="242">
        <f>SUMPRODUCT(PRODUCE!$B172:$DY172,PRODUCE!$EB$57:$IY$57)</f>
        <v>0</v>
      </c>
      <c r="ZF165" s="56"/>
      <c r="ZG165" s="242">
        <f t="shared" si="1229"/>
        <v>0</v>
      </c>
      <c r="ZH165" s="242">
        <f t="shared" si="1230"/>
        <v>0</v>
      </c>
      <c r="ZI165" s="56"/>
      <c r="ZL165" s="55">
        <f t="shared" si="1231"/>
        <v>46161</v>
      </c>
      <c r="ZM165" s="56"/>
      <c r="ZN165" s="242">
        <f>SUMPRODUCT(PRODUCE!$B172:$DY172,PRODUCE!$EB$57:$IY$57)</f>
        <v>0</v>
      </c>
      <c r="ZO165" s="56"/>
      <c r="ZP165" s="242">
        <f t="shared" si="1232"/>
        <v>0</v>
      </c>
      <c r="ZQ165" s="242">
        <f t="shared" si="1233"/>
        <v>0</v>
      </c>
      <c r="ZR165" s="56"/>
      <c r="ZU165" s="55">
        <f t="shared" si="1234"/>
        <v>46161</v>
      </c>
      <c r="ZV165" s="56"/>
      <c r="ZW165" s="242">
        <f>SUMPRODUCT(PRODUCE!$B172:$DY172,PRODUCE!$EB$57:$IY$57)</f>
        <v>0</v>
      </c>
      <c r="ZX165" s="56"/>
      <c r="ZY165" s="242">
        <f t="shared" si="1235"/>
        <v>0</v>
      </c>
      <c r="ZZ165" s="242">
        <f t="shared" si="1236"/>
        <v>0</v>
      </c>
      <c r="AAA165" s="56"/>
      <c r="AAD165" s="55">
        <f t="shared" si="1237"/>
        <v>46161</v>
      </c>
      <c r="AAE165" s="56"/>
      <c r="AAF165" s="242">
        <f>SUMPRODUCT(PRODUCE!$B172:$DY172,PRODUCE!$EB$57:$IY$57)</f>
        <v>0</v>
      </c>
      <c r="AAG165" s="56"/>
      <c r="AAH165" s="242">
        <f t="shared" si="1238"/>
        <v>0</v>
      </c>
      <c r="AAI165" s="242">
        <f t="shared" si="1239"/>
        <v>0</v>
      </c>
      <c r="AAJ165" s="56"/>
      <c r="AAM165" s="55">
        <f t="shared" si="1240"/>
        <v>46161</v>
      </c>
      <c r="AAN165" s="56"/>
      <c r="AAO165" s="242">
        <f>SUMPRODUCT(PRODUCE!$B172:$DY172,PRODUCE!$EB$57:$IY$57)</f>
        <v>0</v>
      </c>
      <c r="AAP165" s="56"/>
      <c r="AAQ165" s="242">
        <f t="shared" si="1241"/>
        <v>0</v>
      </c>
      <c r="AAR165" s="242">
        <f t="shared" si="1242"/>
        <v>0</v>
      </c>
      <c r="AAS165" s="56"/>
      <c r="AAV165" s="55">
        <f t="shared" si="1243"/>
        <v>46161</v>
      </c>
      <c r="AAW165" s="56"/>
      <c r="AAX165" s="242">
        <f>SUMPRODUCT(PRODUCE!$B172:$DY172,PRODUCE!$EB$57:$IY$57)</f>
        <v>0</v>
      </c>
      <c r="AAY165" s="56"/>
      <c r="AAZ165" s="242">
        <f t="shared" si="1244"/>
        <v>0</v>
      </c>
      <c r="ABA165" s="242">
        <f t="shared" si="1245"/>
        <v>0</v>
      </c>
      <c r="ABB165" s="56"/>
      <c r="ABE165" s="55">
        <f t="shared" si="1246"/>
        <v>46161</v>
      </c>
      <c r="ABF165" s="56"/>
      <c r="ABG165" s="242">
        <f>SUMPRODUCT(PRODUCE!$B172:$DY172,PRODUCE!$EB$57:$IY$57)</f>
        <v>0</v>
      </c>
      <c r="ABH165" s="56"/>
      <c r="ABI165" s="242">
        <f t="shared" si="1247"/>
        <v>0</v>
      </c>
      <c r="ABJ165" s="242">
        <f t="shared" si="1248"/>
        <v>0</v>
      </c>
      <c r="ABK165" s="56"/>
    </row>
    <row r="166" spans="2:739" s="54" customFormat="1" ht="15" customHeight="1" outlineLevel="1">
      <c r="B166" s="478">
        <v>10</v>
      </c>
      <c r="C166" s="55">
        <v>46162</v>
      </c>
      <c r="D166" s="422">
        <v>33450</v>
      </c>
      <c r="E166" s="423">
        <f>SUMPRODUCT(PRODUCE!$B173:$DY173,PRODUCE!$EB$7:$IY$7)</f>
        <v>5383.2000000000016</v>
      </c>
      <c r="F166" s="422">
        <v>5383.2</v>
      </c>
      <c r="G166" s="423">
        <f t="shared" si="1004"/>
        <v>0</v>
      </c>
      <c r="H166" s="423">
        <f t="shared" si="1005"/>
        <v>122505.80000000005</v>
      </c>
      <c r="I166" s="289" t="s">
        <v>263</v>
      </c>
      <c r="L166" s="55">
        <f t="shared" si="1006"/>
        <v>46162</v>
      </c>
      <c r="M166" s="422"/>
      <c r="N166" s="438">
        <f>SUMPRODUCT(PRODUCE!$B173:$DY173,PRODUCE!$EB$8:$IY$8)</f>
        <v>2856</v>
      </c>
      <c r="O166" s="422">
        <v>2856.8</v>
      </c>
      <c r="P166" s="438">
        <f t="shared" si="1007"/>
        <v>-0.8000000000001819</v>
      </c>
      <c r="Q166" s="438">
        <f t="shared" si="1008"/>
        <v>45893.600000000086</v>
      </c>
      <c r="R166" s="56"/>
      <c r="U166" s="55">
        <f t="shared" si="1009"/>
        <v>46162</v>
      </c>
      <c r="V166" s="422"/>
      <c r="W166" s="440">
        <f>SUMPRODUCT(PRODUCE!$B173:$DY173,PRODUCE!$EB$9:$IY$9)</f>
        <v>500</v>
      </c>
      <c r="X166" s="422">
        <v>500.6</v>
      </c>
      <c r="Y166" s="440">
        <f t="shared" si="1010"/>
        <v>-0.60000000000002274</v>
      </c>
      <c r="Z166" s="440">
        <f t="shared" si="1011"/>
        <v>37148.499999999964</v>
      </c>
      <c r="AA166" s="56"/>
      <c r="AD166" s="55">
        <f t="shared" si="1012"/>
        <v>46162</v>
      </c>
      <c r="AE166" s="422"/>
      <c r="AF166" s="442">
        <f>SUMPRODUCT(PRODUCE!$B173:$DY173,PRODUCE!$EB$10:$IY$10)</f>
        <v>0</v>
      </c>
      <c r="AG166" s="422"/>
      <c r="AH166" s="442">
        <f t="shared" si="1013"/>
        <v>0</v>
      </c>
      <c r="AI166" s="442">
        <f t="shared" si="1014"/>
        <v>13943.500000000018</v>
      </c>
      <c r="AJ166" s="56"/>
      <c r="AM166" s="55">
        <f t="shared" si="1015"/>
        <v>46162</v>
      </c>
      <c r="AN166" s="422"/>
      <c r="AO166" s="444">
        <f>SUMPRODUCT(PRODUCE!$B173:$DY173,PRODUCE!$EB$11:$IY$11)</f>
        <v>0</v>
      </c>
      <c r="AP166" s="422"/>
      <c r="AQ166" s="444">
        <f t="shared" si="1016"/>
        <v>0</v>
      </c>
      <c r="AR166" s="444">
        <f t="shared" si="1017"/>
        <v>0</v>
      </c>
      <c r="AS166" s="56"/>
      <c r="AV166" s="55">
        <f t="shared" si="1018"/>
        <v>46162</v>
      </c>
      <c r="AW166" s="422"/>
      <c r="AX166" s="446">
        <f>SUMPRODUCT(PRODUCE!$B173:$DY173,PRODUCE!$EB$12:$IY$12)</f>
        <v>200</v>
      </c>
      <c r="AY166" s="422">
        <v>200.9</v>
      </c>
      <c r="AZ166" s="446">
        <f t="shared" si="1019"/>
        <v>-0.90000000000000568</v>
      </c>
      <c r="BA166" s="446">
        <f t="shared" si="1020"/>
        <v>10526.199999999997</v>
      </c>
      <c r="BB166" s="345"/>
      <c r="BE166" s="55">
        <f t="shared" si="1021"/>
        <v>46162</v>
      </c>
      <c r="BF166" s="422"/>
      <c r="BG166" s="448">
        <f>SUMPRODUCT(PRODUCE!$B173:$DY173,PRODUCE!$EB$13:$IY$13)</f>
        <v>150</v>
      </c>
      <c r="BH166" s="422">
        <v>149.9</v>
      </c>
      <c r="BI166" s="448">
        <f t="shared" si="1022"/>
        <v>9.9999999999994316E-2</v>
      </c>
      <c r="BJ166" s="448">
        <f t="shared" si="1023"/>
        <v>36824.599999999991</v>
      </c>
      <c r="BK166" s="56"/>
      <c r="BN166" s="55">
        <f t="shared" si="1024"/>
        <v>46162</v>
      </c>
      <c r="BO166" s="422">
        <v>100</v>
      </c>
      <c r="BP166" s="450">
        <f>SUMPRODUCT(PRODUCE!$B173:$DY173,PRODUCE!$EB$14:$IY$14)</f>
        <v>100</v>
      </c>
      <c r="BQ166" s="422">
        <v>100</v>
      </c>
      <c r="BR166" s="450">
        <f t="shared" si="1025"/>
        <v>0</v>
      </c>
      <c r="BS166" s="450">
        <f t="shared" si="1026"/>
        <v>0</v>
      </c>
      <c r="BT166" s="56"/>
      <c r="BW166" s="55">
        <f t="shared" si="1027"/>
        <v>46162</v>
      </c>
      <c r="BX166" s="422"/>
      <c r="BY166" s="523">
        <f>SUMPRODUCT(PRODUCE!$B173:$DY173,PRODUCE!$EB$15:$IY$15)</f>
        <v>15</v>
      </c>
      <c r="BZ166" s="422"/>
      <c r="CA166" s="523">
        <f t="shared" si="1028"/>
        <v>15</v>
      </c>
      <c r="CB166" s="523">
        <f t="shared" si="1029"/>
        <v>5736.7999999999993</v>
      </c>
      <c r="CC166" s="56"/>
      <c r="CF166" s="55">
        <f t="shared" si="1030"/>
        <v>46162</v>
      </c>
      <c r="CG166" s="422"/>
      <c r="CH166" s="524">
        <f>SUMPRODUCT(PRODUCE!$B173:$DY173,PRODUCE!$EB$16:$IY$16)</f>
        <v>60.79999999999999</v>
      </c>
      <c r="CI166" s="422"/>
      <c r="CJ166" s="524">
        <f t="shared" si="1031"/>
        <v>60.79999999999999</v>
      </c>
      <c r="CK166" s="524">
        <f t="shared" si="1032"/>
        <v>0</v>
      </c>
      <c r="CL166" s="56"/>
      <c r="CO166" s="55">
        <f t="shared" si="1033"/>
        <v>46162</v>
      </c>
      <c r="CP166" s="422"/>
      <c r="CQ166" s="470">
        <f>SUMPRODUCT(PRODUCE!$B173:$DY173,PRODUCE!$EB$17:$IY$17)</f>
        <v>0</v>
      </c>
      <c r="CR166" s="422"/>
      <c r="CS166" s="470">
        <f t="shared" si="1034"/>
        <v>0</v>
      </c>
      <c r="CT166" s="470">
        <f t="shared" si="1035"/>
        <v>0</v>
      </c>
      <c r="CU166" s="56"/>
      <c r="CX166" s="55">
        <f t="shared" si="1036"/>
        <v>46162</v>
      </c>
      <c r="CY166" s="422"/>
      <c r="CZ166" s="525">
        <f>SUMPRODUCT(PRODUCE!$B173:$DY173,PRODUCE!$EB$18:$IY$18)</f>
        <v>0</v>
      </c>
      <c r="DA166" s="422"/>
      <c r="DB166" s="525">
        <f t="shared" si="1037"/>
        <v>0</v>
      </c>
      <c r="DC166" s="525">
        <f t="shared" si="1038"/>
        <v>21657.000000000004</v>
      </c>
      <c r="DD166" s="56"/>
      <c r="DG166" s="55">
        <f t="shared" si="1039"/>
        <v>46162</v>
      </c>
      <c r="DH166" s="422"/>
      <c r="DI166" s="526">
        <f>SUMPRODUCT(PRODUCE!$B173:$DY173,PRODUCE!$EB$19:$IY$19)</f>
        <v>500</v>
      </c>
      <c r="DJ166" s="422">
        <v>499.8</v>
      </c>
      <c r="DK166" s="526">
        <f t="shared" si="1040"/>
        <v>0.19999999999998863</v>
      </c>
      <c r="DL166" s="526">
        <f t="shared" si="1041"/>
        <v>37737.299999999981</v>
      </c>
      <c r="DM166" s="56"/>
      <c r="DP166" s="55">
        <f t="shared" si="1042"/>
        <v>46162</v>
      </c>
      <c r="DQ166" s="422"/>
      <c r="DR166" s="423">
        <f>SUMPRODUCT(PRODUCE!$B173:$DY173,PRODUCE!$EB$20:$IY$20)</f>
        <v>0</v>
      </c>
      <c r="DS166" s="422"/>
      <c r="DT166" s="423">
        <f t="shared" si="1043"/>
        <v>0</v>
      </c>
      <c r="DU166" s="423">
        <f t="shared" si="1044"/>
        <v>5800</v>
      </c>
      <c r="DV166" s="56"/>
      <c r="DY166" s="55">
        <f t="shared" si="1045"/>
        <v>46162</v>
      </c>
      <c r="DZ166" s="56"/>
      <c r="EA166" s="157">
        <f>SUMPRODUCT(PRODUCE!$B173:$DY173,PRODUCE!$EB$21:$IY$21)</f>
        <v>0</v>
      </c>
      <c r="EB166" s="56"/>
      <c r="EC166" s="157">
        <f t="shared" si="1046"/>
        <v>0</v>
      </c>
      <c r="ED166" s="157">
        <f t="shared" si="1047"/>
        <v>0</v>
      </c>
      <c r="EE166" s="56"/>
      <c r="EH166" s="55">
        <f t="shared" si="1048"/>
        <v>46162</v>
      </c>
      <c r="EI166" s="56"/>
      <c r="EJ166" s="162">
        <f>SUMPRODUCT(PRODUCE!$B173:$DY173,PRODUCE!$EB$22:$IY$22)</f>
        <v>0</v>
      </c>
      <c r="EK166" s="56"/>
      <c r="EL166" s="162">
        <f t="shared" si="1049"/>
        <v>0</v>
      </c>
      <c r="EM166" s="162">
        <f t="shared" si="1050"/>
        <v>0</v>
      </c>
      <c r="EN166" s="56"/>
      <c r="EQ166" s="55">
        <f t="shared" si="1051"/>
        <v>46162</v>
      </c>
      <c r="ER166" s="56"/>
      <c r="ES166" s="135">
        <f>SUMPRODUCT(PRODUCE!$B173:$DY173,PRODUCE!$EB$23:$IY$23)</f>
        <v>0</v>
      </c>
      <c r="ET166" s="56"/>
      <c r="EU166" s="135">
        <f t="shared" si="1052"/>
        <v>0</v>
      </c>
      <c r="EV166" s="135">
        <f t="shared" si="1053"/>
        <v>0</v>
      </c>
      <c r="EW166" s="56"/>
      <c r="EZ166" s="55">
        <f t="shared" si="1054"/>
        <v>46162</v>
      </c>
      <c r="FA166" s="56"/>
      <c r="FB166" s="175">
        <f>SUMPRODUCT(PRODUCE!$B173:$DY173,PRODUCE!$EB$24:$IY$24)</f>
        <v>0</v>
      </c>
      <c r="FC166" s="56"/>
      <c r="FD166" s="175">
        <f t="shared" si="1055"/>
        <v>0</v>
      </c>
      <c r="FE166" s="175">
        <f t="shared" si="1056"/>
        <v>0</v>
      </c>
      <c r="FF166" s="56"/>
      <c r="FI166" s="55">
        <f t="shared" si="1057"/>
        <v>46162</v>
      </c>
      <c r="FJ166" s="56"/>
      <c r="FK166" s="183">
        <f>SUMPRODUCT(PRODUCE!$B173:$DY173,PRODUCE!$EB$25:$IY$25)</f>
        <v>0</v>
      </c>
      <c r="FL166" s="56"/>
      <c r="FM166" s="183">
        <f t="shared" si="1058"/>
        <v>0</v>
      </c>
      <c r="FN166" s="183">
        <f t="shared" si="1059"/>
        <v>0</v>
      </c>
      <c r="FO166" s="56"/>
      <c r="FR166" s="55">
        <f t="shared" si="1060"/>
        <v>46162</v>
      </c>
      <c r="FS166" s="56"/>
      <c r="FT166" s="186">
        <f>SUMPRODUCT(PRODUCE!$B173:$DY173,PRODUCE!$EB$26:$IY$26)</f>
        <v>0</v>
      </c>
      <c r="FU166" s="56"/>
      <c r="FV166" s="186">
        <f t="shared" si="1061"/>
        <v>0</v>
      </c>
      <c r="FW166" s="186">
        <f t="shared" si="1062"/>
        <v>4140</v>
      </c>
      <c r="FX166" s="56"/>
      <c r="GA166" s="55">
        <f t="shared" si="1063"/>
        <v>46162</v>
      </c>
      <c r="GB166" s="56"/>
      <c r="GC166" s="137">
        <f>SUMPRODUCT(PRODUCE!$B173:$DY173,PRODUCE!$EB$27:$IY$27)</f>
        <v>0</v>
      </c>
      <c r="GD166" s="56"/>
      <c r="GE166" s="137">
        <f t="shared" si="1064"/>
        <v>0</v>
      </c>
      <c r="GF166" s="137">
        <f t="shared" si="1065"/>
        <v>5040</v>
      </c>
      <c r="GG166" s="56"/>
      <c r="GI166" s="23"/>
      <c r="GJ166" s="55">
        <f t="shared" si="1066"/>
        <v>46162</v>
      </c>
      <c r="GK166" s="56"/>
      <c r="GL166" s="199">
        <f>SUMPRODUCT(PRODUCE!$B173:$DY173,PRODUCE!$EB$28:$IY$28)</f>
        <v>0</v>
      </c>
      <c r="GM166" s="56"/>
      <c r="GN166" s="199">
        <f t="shared" si="1067"/>
        <v>0</v>
      </c>
      <c r="GO166" s="199">
        <f t="shared" si="1068"/>
        <v>3760</v>
      </c>
      <c r="GP166" s="56"/>
      <c r="GS166" s="55">
        <f t="shared" si="1069"/>
        <v>46162</v>
      </c>
      <c r="GT166" s="56"/>
      <c r="GU166" s="195">
        <f>SUMPRODUCT(PRODUCE!$B173:$DY173,PRODUCE!$EB$29:$IY$29)</f>
        <v>0</v>
      </c>
      <c r="GV166" s="56"/>
      <c r="GW166" s="195">
        <f t="shared" si="1070"/>
        <v>0</v>
      </c>
      <c r="GX166" s="195">
        <f t="shared" si="1071"/>
        <v>1320</v>
      </c>
      <c r="GY166" s="56"/>
      <c r="HB166" s="55">
        <f t="shared" si="1072"/>
        <v>46162</v>
      </c>
      <c r="HC166" s="56"/>
      <c r="HD166" s="191">
        <f>SUMPRODUCT(PRODUCE!$B173:$DY173,PRODUCE!$EB$30:$IY$30)</f>
        <v>0</v>
      </c>
      <c r="HE166" s="56"/>
      <c r="HF166" s="191">
        <f t="shared" si="1073"/>
        <v>0</v>
      </c>
      <c r="HG166" s="191">
        <f t="shared" si="1074"/>
        <v>3600</v>
      </c>
      <c r="HH166" s="56"/>
      <c r="HK166" s="55">
        <f t="shared" si="1075"/>
        <v>46162</v>
      </c>
      <c r="HL166" s="56"/>
      <c r="HM166" s="63">
        <f>SUMPRODUCT(PRODUCE!$B173:$DY173,PRODUCE!$EB$31:$IY$31)</f>
        <v>0</v>
      </c>
      <c r="HN166" s="56"/>
      <c r="HO166" s="63">
        <f t="shared" si="1076"/>
        <v>0</v>
      </c>
      <c r="HP166" s="63">
        <f t="shared" si="1077"/>
        <v>0</v>
      </c>
      <c r="HQ166" s="56"/>
      <c r="HU166" s="55">
        <f t="shared" si="1078"/>
        <v>46162</v>
      </c>
      <c r="HV166" s="56"/>
      <c r="HW166" s="242">
        <f>SUMPRODUCT(PRODUCE!$B173:$DY173,PRODUCE!$EB$32:$IY$32)</f>
        <v>200</v>
      </c>
      <c r="HX166" s="56"/>
      <c r="HY166" s="242">
        <f t="shared" si="1079"/>
        <v>200</v>
      </c>
      <c r="HZ166" s="242">
        <f t="shared" si="1080"/>
        <v>7080</v>
      </c>
      <c r="IA166" s="56"/>
      <c r="ID166" s="55">
        <f t="shared" si="1081"/>
        <v>46162</v>
      </c>
      <c r="IE166" s="56"/>
      <c r="IF166" s="242">
        <f>SUMPRODUCT(PRODUCE!$B173:$DY173,PRODUCE!$EB$33:$IY$33)</f>
        <v>0</v>
      </c>
      <c r="IG166" s="56"/>
      <c r="IH166" s="242">
        <f t="shared" si="1082"/>
        <v>0</v>
      </c>
      <c r="II166" s="242">
        <f t="shared" si="1083"/>
        <v>720</v>
      </c>
      <c r="IJ166" s="56"/>
      <c r="IM166" s="55">
        <f t="shared" si="1084"/>
        <v>46162</v>
      </c>
      <c r="IN166" s="56"/>
      <c r="IO166" s="242">
        <f>SUMPRODUCT(PRODUCE!$B173:$DY173,PRODUCE!$EB$34:$IY$34)</f>
        <v>0</v>
      </c>
      <c r="IP166" s="56"/>
      <c r="IQ166" s="242">
        <f t="shared" si="1085"/>
        <v>0</v>
      </c>
      <c r="IR166" s="242">
        <f t="shared" si="1086"/>
        <v>11540</v>
      </c>
      <c r="IS166" s="56"/>
      <c r="IV166" s="55">
        <f t="shared" si="1087"/>
        <v>46162</v>
      </c>
      <c r="IW166" s="56"/>
      <c r="IX166" s="242">
        <f>SUMPRODUCT(PRODUCE!$B173:$DY173,PRODUCE!$EB$35:$IY$35)</f>
        <v>0</v>
      </c>
      <c r="IY166" s="56"/>
      <c r="IZ166" s="242">
        <f t="shared" si="1088"/>
        <v>0</v>
      </c>
      <c r="JA166" s="242">
        <f t="shared" si="1089"/>
        <v>12860</v>
      </c>
      <c r="JB166" s="56"/>
      <c r="JE166" s="55">
        <f t="shared" si="1090"/>
        <v>46162</v>
      </c>
      <c r="JF166" s="56"/>
      <c r="JG166" s="242">
        <f>SUMPRODUCT(PRODUCE!$B173:$DY173,PRODUCE!$EB$36:$IY$36)</f>
        <v>0</v>
      </c>
      <c r="JH166" s="56"/>
      <c r="JI166" s="242">
        <f t="shared" si="1091"/>
        <v>0</v>
      </c>
      <c r="JJ166" s="242">
        <f t="shared" si="1092"/>
        <v>0</v>
      </c>
      <c r="JK166" s="56"/>
      <c r="JN166" s="55">
        <f t="shared" si="1093"/>
        <v>46162</v>
      </c>
      <c r="JO166" s="56"/>
      <c r="JP166" s="242">
        <f>SUMPRODUCT(PRODUCE!$B173:$DY173,PRODUCE!$EB$37:$IY$37)</f>
        <v>0</v>
      </c>
      <c r="JQ166" s="56"/>
      <c r="JR166" s="242">
        <f t="shared" si="1094"/>
        <v>0</v>
      </c>
      <c r="JS166" s="242">
        <f t="shared" si="1095"/>
        <v>5500</v>
      </c>
      <c r="JT166" s="56"/>
      <c r="JW166" s="55">
        <f t="shared" si="1096"/>
        <v>46162</v>
      </c>
      <c r="JX166" s="56"/>
      <c r="JY166" s="242">
        <f>SUMPRODUCT(PRODUCE!$B173:$DY173,PRODUCE!$EB$38:$IY$38)</f>
        <v>0</v>
      </c>
      <c r="JZ166" s="56"/>
      <c r="KA166" s="242">
        <f t="shared" si="1097"/>
        <v>0</v>
      </c>
      <c r="KB166" s="242">
        <f t="shared" si="1098"/>
        <v>2540</v>
      </c>
      <c r="KC166" s="56"/>
      <c r="KF166" s="55">
        <f t="shared" si="1099"/>
        <v>46162</v>
      </c>
      <c r="KG166" s="56"/>
      <c r="KH166" s="242">
        <f>SUMPRODUCT(PRODUCE!$B173:$DY173,PRODUCE!$EB$39:$IY$39)</f>
        <v>0</v>
      </c>
      <c r="KI166" s="56"/>
      <c r="KJ166" s="242">
        <f t="shared" si="1100"/>
        <v>0</v>
      </c>
      <c r="KK166" s="242">
        <f t="shared" si="1101"/>
        <v>2359.5</v>
      </c>
      <c r="KL166" s="56"/>
      <c r="KO166" s="55">
        <f t="shared" si="1102"/>
        <v>46162</v>
      </c>
      <c r="KP166" s="56"/>
      <c r="KQ166" s="242">
        <f>SUMPRODUCT(PRODUCE!$B173:$DY173,PRODUCE!$EB$40:$IY$40)</f>
        <v>0</v>
      </c>
      <c r="KR166" s="56"/>
      <c r="KS166" s="242">
        <f t="shared" si="1103"/>
        <v>0</v>
      </c>
      <c r="KT166" s="242">
        <f t="shared" si="1104"/>
        <v>1890</v>
      </c>
      <c r="KU166" s="56"/>
      <c r="KW166" s="23"/>
      <c r="KX166" s="55">
        <f t="shared" si="1105"/>
        <v>46162</v>
      </c>
      <c r="KY166" s="56"/>
      <c r="KZ166" s="242">
        <f>SUMPRODUCT(PRODUCE!$B173:$DY173,PRODUCE!$EB$41:$IY$41)</f>
        <v>0</v>
      </c>
      <c r="LA166" s="56"/>
      <c r="LB166" s="242">
        <f t="shared" si="1106"/>
        <v>0</v>
      </c>
      <c r="LC166" s="242">
        <f t="shared" si="1107"/>
        <v>3690</v>
      </c>
      <c r="LD166" s="56"/>
      <c r="LG166" s="55">
        <f t="shared" si="1108"/>
        <v>46162</v>
      </c>
      <c r="LH166" s="56"/>
      <c r="LI166" s="242">
        <f>SUMPRODUCT(PRODUCE!$B173:$DY173,PRODUCE!$EB$42:$IY$42)</f>
        <v>0</v>
      </c>
      <c r="LJ166" s="56"/>
      <c r="LK166" s="242">
        <f t="shared" si="1109"/>
        <v>0</v>
      </c>
      <c r="LL166" s="242">
        <f t="shared" si="1110"/>
        <v>4000</v>
      </c>
      <c r="LM166" s="56"/>
      <c r="LP166" s="55">
        <f t="shared" si="1111"/>
        <v>46162</v>
      </c>
      <c r="LQ166" s="56"/>
      <c r="LR166" s="242">
        <f>SUMPRODUCT(PRODUCE!$B181:$DY181,PRODUCE!$EB$43:$IY$43)</f>
        <v>0</v>
      </c>
      <c r="LS166" s="56"/>
      <c r="LT166" s="242">
        <f t="shared" si="1112"/>
        <v>0</v>
      </c>
      <c r="LU166" s="242">
        <f t="shared" si="1113"/>
        <v>0</v>
      </c>
      <c r="LV166" s="56"/>
      <c r="LY166" s="55">
        <f t="shared" si="1114"/>
        <v>46162</v>
      </c>
      <c r="LZ166" s="56"/>
      <c r="MA166" s="242">
        <f>SUMPRODUCT(PRODUCE!$B173:$DY173,PRODUCE!$EB$44:$IY$44)</f>
        <v>0</v>
      </c>
      <c r="MB166" s="56"/>
      <c r="MC166" s="242">
        <f t="shared" si="1115"/>
        <v>0</v>
      </c>
      <c r="MD166" s="242">
        <f t="shared" si="1116"/>
        <v>0</v>
      </c>
      <c r="ME166" s="56"/>
      <c r="MH166" s="55">
        <f t="shared" si="1117"/>
        <v>46162</v>
      </c>
      <c r="MI166" s="56"/>
      <c r="MJ166" s="242">
        <f>SUMPRODUCT(PRODUCE!$B173:$DY173,PRODUCE!$EB$45:$IY$45)</f>
        <v>0</v>
      </c>
      <c r="MK166" s="56"/>
      <c r="ML166" s="242">
        <f t="shared" si="1118"/>
        <v>0</v>
      </c>
      <c r="MM166" s="242">
        <f t="shared" si="1119"/>
        <v>0</v>
      </c>
      <c r="MN166" s="56"/>
      <c r="MQ166" s="55">
        <f t="shared" si="1120"/>
        <v>46162</v>
      </c>
      <c r="MR166" s="56"/>
      <c r="MS166" s="242">
        <f>SUMPRODUCT(PRODUCE!$B173:$DY173,PRODUCE!$EB$46:$IY$46)</f>
        <v>5</v>
      </c>
      <c r="MT166" s="56"/>
      <c r="MU166" s="242">
        <f t="shared" si="1121"/>
        <v>5</v>
      </c>
      <c r="MV166" s="242">
        <f t="shared" si="1122"/>
        <v>3761</v>
      </c>
      <c r="MW166" s="56"/>
      <c r="MZ166" s="55">
        <f t="shared" si="1123"/>
        <v>46162</v>
      </c>
      <c r="NA166" s="56"/>
      <c r="NB166" s="242">
        <f>SUMPRODUCT(PRODUCE!$B173:$DY173,PRODUCE!$EB$47:$IY$47)</f>
        <v>30</v>
      </c>
      <c r="NC166" s="56"/>
      <c r="ND166" s="242">
        <f t="shared" si="1124"/>
        <v>30</v>
      </c>
      <c r="NE166" s="242">
        <f t="shared" si="1125"/>
        <v>0</v>
      </c>
      <c r="NF166" s="56"/>
      <c r="NI166" s="55">
        <f t="shared" si="1126"/>
        <v>46162</v>
      </c>
      <c r="NJ166" s="56"/>
      <c r="NK166" s="242">
        <f>SUMPRODUCT(PRODUCE!$B173:$DY173,PRODUCE!$EB$48:$IY$48)</f>
        <v>0</v>
      </c>
      <c r="NL166" s="56"/>
      <c r="NM166" s="242">
        <f t="shared" si="1127"/>
        <v>0</v>
      </c>
      <c r="NN166" s="242">
        <f t="shared" si="1128"/>
        <v>1127</v>
      </c>
      <c r="NO166" s="56"/>
      <c r="NR166" s="55">
        <f t="shared" si="1129"/>
        <v>46162</v>
      </c>
      <c r="NS166" s="56"/>
      <c r="NT166" s="242">
        <f>SUMPRODUCT(PRODUCE!$B173:$DY173,PRODUCE!$EB$49:$IY$49)</f>
        <v>0</v>
      </c>
      <c r="NU166" s="56"/>
      <c r="NV166" s="242">
        <f t="shared" si="1130"/>
        <v>0</v>
      </c>
      <c r="NW166" s="242">
        <f t="shared" si="1131"/>
        <v>3111.9999999999995</v>
      </c>
      <c r="NX166" s="56"/>
      <c r="OA166" s="55">
        <f t="shared" si="1132"/>
        <v>46162</v>
      </c>
      <c r="OB166" s="56"/>
      <c r="OC166" s="242">
        <f>SUMPRODUCT(PRODUCE!$B173:$DY173,PRODUCE!$EB$50:$IY$50)</f>
        <v>0</v>
      </c>
      <c r="OD166" s="56"/>
      <c r="OE166" s="242">
        <f t="shared" si="1133"/>
        <v>0</v>
      </c>
      <c r="OF166" s="242">
        <f t="shared" si="1134"/>
        <v>1680.5</v>
      </c>
      <c r="OG166" s="56"/>
      <c r="OJ166" s="55">
        <f t="shared" si="1135"/>
        <v>46162</v>
      </c>
      <c r="OK166" s="56"/>
      <c r="OL166" s="242">
        <f>SUMPRODUCT(PRODUCE!$B173:$DY173,PRODUCE!$EB$51:$IY$51)</f>
        <v>0</v>
      </c>
      <c r="OM166" s="56"/>
      <c r="ON166" s="242">
        <f t="shared" si="1136"/>
        <v>0</v>
      </c>
      <c r="OO166" s="242">
        <f t="shared" si="1137"/>
        <v>0</v>
      </c>
      <c r="OP166" s="56"/>
      <c r="OS166" s="55">
        <f t="shared" si="1138"/>
        <v>46162</v>
      </c>
      <c r="OT166" s="56"/>
      <c r="OU166" s="242">
        <f>SUMPRODUCT(PRODUCE!$B173:$DY173,PRODUCE!$EB$52:$IY$52)</f>
        <v>0</v>
      </c>
      <c r="OV166" s="56"/>
      <c r="OW166" s="242">
        <f t="shared" si="1139"/>
        <v>0</v>
      </c>
      <c r="OX166" s="242">
        <f t="shared" si="1140"/>
        <v>1482</v>
      </c>
      <c r="OY166" s="56"/>
      <c r="PB166" s="55">
        <f t="shared" si="1141"/>
        <v>46162</v>
      </c>
      <c r="PC166" s="56"/>
      <c r="PD166" s="242">
        <f>SUMPRODUCT(PRODUCE!$B173:$DY173,PRODUCE!$EB$53:$IY$53)</f>
        <v>0</v>
      </c>
      <c r="PE166" s="56"/>
      <c r="PF166" s="242">
        <f t="shared" si="1142"/>
        <v>0</v>
      </c>
      <c r="PG166" s="242">
        <f t="shared" si="1143"/>
        <v>0</v>
      </c>
      <c r="PH166" s="56"/>
      <c r="PK166" s="55">
        <f t="shared" si="1144"/>
        <v>46162</v>
      </c>
      <c r="PL166" s="56"/>
      <c r="PM166" s="242">
        <f>SUMPRODUCT(PRODUCE!$B173:$DY173,PRODUCE!$EB$54:$IY$54)</f>
        <v>0</v>
      </c>
      <c r="PN166" s="56"/>
      <c r="PO166" s="242">
        <f t="shared" si="1145"/>
        <v>0</v>
      </c>
      <c r="PP166" s="242">
        <f t="shared" si="1146"/>
        <v>100</v>
      </c>
      <c r="PQ166" s="56"/>
      <c r="PT166" s="55">
        <f t="shared" si="1147"/>
        <v>46162</v>
      </c>
      <c r="PU166" s="56"/>
      <c r="PV166" s="242">
        <f>SUMPRODUCT(PRODUCE!$B173:$DY173,PRODUCE!$EB$55:$IY$55)</f>
        <v>0</v>
      </c>
      <c r="PW166" s="56"/>
      <c r="PX166" s="242">
        <f t="shared" si="1148"/>
        <v>0</v>
      </c>
      <c r="PY166" s="242">
        <f t="shared" si="1149"/>
        <v>13.960000000000036</v>
      </c>
      <c r="PZ166" s="56"/>
      <c r="QC166" s="55">
        <f t="shared" si="1150"/>
        <v>46162</v>
      </c>
      <c r="QD166" s="56"/>
      <c r="QE166" s="242">
        <f>SUMPRODUCT(PRODUCE!$B173:$DY173,PRODUCE!$EB$56:$IY$56)</f>
        <v>0</v>
      </c>
      <c r="QF166" s="56"/>
      <c r="QG166" s="242">
        <f t="shared" si="1151"/>
        <v>0</v>
      </c>
      <c r="QH166" s="242">
        <f t="shared" si="1152"/>
        <v>876</v>
      </c>
      <c r="QI166" s="56"/>
      <c r="QL166" s="55">
        <f t="shared" si="1153"/>
        <v>46162</v>
      </c>
      <c r="QM166" s="56"/>
      <c r="QN166" s="242">
        <f>SUMPRODUCT(PRODUCE!$B173:$DY173,PRODUCE!$EB$57:$IY$57)</f>
        <v>0</v>
      </c>
      <c r="QO166" s="56"/>
      <c r="QP166" s="242">
        <f t="shared" si="1154"/>
        <v>0</v>
      </c>
      <c r="QQ166" s="242">
        <f t="shared" si="1155"/>
        <v>515</v>
      </c>
      <c r="QR166" s="56"/>
      <c r="QU166" s="55">
        <f t="shared" si="1156"/>
        <v>46162</v>
      </c>
      <c r="QV166" s="56"/>
      <c r="QW166" s="242">
        <f>SUMPRODUCT(PRODUCE!$B173:$DY173,PRODUCE!$EB$58:$IY$58)</f>
        <v>0</v>
      </c>
      <c r="QX166" s="56"/>
      <c r="QY166" s="242">
        <f t="shared" si="1157"/>
        <v>0</v>
      </c>
      <c r="QZ166" s="242">
        <f t="shared" si="1158"/>
        <v>207.6</v>
      </c>
      <c r="RA166" s="56"/>
      <c r="RD166" s="55">
        <f t="shared" si="1159"/>
        <v>46162</v>
      </c>
      <c r="RE166" s="56"/>
      <c r="RF166" s="242">
        <f>SUMPRODUCT(PRODUCE!$B173:$DY173,PRODUCE!$EB$59:$IY$59)</f>
        <v>0</v>
      </c>
      <c r="RG166" s="56"/>
      <c r="RH166" s="242">
        <f t="shared" si="1160"/>
        <v>0</v>
      </c>
      <c r="RI166" s="242">
        <f t="shared" si="1161"/>
        <v>147.04000000000002</v>
      </c>
      <c r="RJ166" s="56"/>
      <c r="RM166" s="55">
        <f t="shared" si="1162"/>
        <v>46162</v>
      </c>
      <c r="RN166" s="56"/>
      <c r="RO166" s="242">
        <f>SUMPRODUCT(PRODUCE!$B173:$DY173,PRODUCE!$EB$60:$IY$60)</f>
        <v>0</v>
      </c>
      <c r="RP166" s="56"/>
      <c r="RQ166" s="242">
        <f t="shared" si="1163"/>
        <v>0</v>
      </c>
      <c r="RR166" s="242">
        <f t="shared" si="1164"/>
        <v>46.8</v>
      </c>
      <c r="RS166" s="56"/>
      <c r="RV166" s="55">
        <f t="shared" si="1165"/>
        <v>46162</v>
      </c>
      <c r="RW166" s="56"/>
      <c r="RX166" s="242">
        <f>SUMPRODUCT(PRODUCE!$B173:$DY173,PRODUCE!$EB$61:$IY$61)</f>
        <v>0</v>
      </c>
      <c r="RY166" s="56"/>
      <c r="RZ166" s="242">
        <f t="shared" si="1166"/>
        <v>0</v>
      </c>
      <c r="SA166" s="242">
        <f t="shared" si="1167"/>
        <v>0</v>
      </c>
      <c r="SB166" s="56"/>
      <c r="SE166" s="55">
        <f t="shared" si="1168"/>
        <v>46162</v>
      </c>
      <c r="SF166" s="56"/>
      <c r="SG166" s="242">
        <f>SUMPRODUCT(PRODUCE!$B173:$DY173,PRODUCE!$EB$62:$IY$62)</f>
        <v>0</v>
      </c>
      <c r="SH166" s="56"/>
      <c r="SI166" s="242">
        <f t="shared" si="1169"/>
        <v>0</v>
      </c>
      <c r="SJ166" s="242">
        <f t="shared" si="1170"/>
        <v>24.200000000000003</v>
      </c>
      <c r="SK166" s="56"/>
      <c r="SN166" s="55">
        <f t="shared" si="1171"/>
        <v>46162</v>
      </c>
      <c r="SO166" s="56"/>
      <c r="SP166" s="242">
        <f>SUMPRODUCT(PRODUCE!$B173:$DY173,PRODUCE!$EB$63:$IY$63)</f>
        <v>0</v>
      </c>
      <c r="SQ166" s="56"/>
      <c r="SR166" s="242">
        <f t="shared" si="1172"/>
        <v>0</v>
      </c>
      <c r="SS166" s="242">
        <f t="shared" si="1173"/>
        <v>32</v>
      </c>
      <c r="ST166" s="56"/>
      <c r="SW166" s="55">
        <f t="shared" si="1174"/>
        <v>46162</v>
      </c>
      <c r="SX166" s="56"/>
      <c r="SY166" s="242">
        <f>SUMPRODUCT(PRODUCE!$B173:$DY173,PRODUCE!$EB$64:$IY$64)</f>
        <v>0</v>
      </c>
      <c r="SZ166" s="56"/>
      <c r="TA166" s="242">
        <f t="shared" si="1175"/>
        <v>0</v>
      </c>
      <c r="TB166" s="242">
        <f t="shared" si="1176"/>
        <v>0</v>
      </c>
      <c r="TC166" s="56"/>
      <c r="TF166" s="55">
        <f t="shared" si="1177"/>
        <v>46162</v>
      </c>
      <c r="TG166" s="56"/>
      <c r="TH166" s="242">
        <f>SUMPRODUCT(PRODUCE!$B173:$DY173,PRODUCE!$EB$65:$IY$65)</f>
        <v>0</v>
      </c>
      <c r="TI166" s="56"/>
      <c r="TJ166" s="242">
        <f t="shared" si="1178"/>
        <v>0</v>
      </c>
      <c r="TK166" s="242">
        <f t="shared" si="1179"/>
        <v>0</v>
      </c>
      <c r="TL166" s="56"/>
      <c r="TO166" s="55">
        <f t="shared" si="1180"/>
        <v>46162</v>
      </c>
      <c r="TP166" s="56"/>
      <c r="TQ166" s="242">
        <f>SUMPRODUCT(PRODUCE!$B173:$DY173,PRODUCE!$EB$66:$IY$66)</f>
        <v>0</v>
      </c>
      <c r="TR166" s="56"/>
      <c r="TS166" s="242">
        <f t="shared" si="1181"/>
        <v>0</v>
      </c>
      <c r="TT166" s="242">
        <f t="shared" si="1182"/>
        <v>0</v>
      </c>
      <c r="TU166" s="56"/>
      <c r="TX166" s="55">
        <f t="shared" si="1183"/>
        <v>46162</v>
      </c>
      <c r="TY166" s="56"/>
      <c r="TZ166" s="242">
        <f>SUMPRODUCT(PRODUCE!$B173:$DY173,PRODUCE!$EB$67:$IY$67)</f>
        <v>0</v>
      </c>
      <c r="UA166" s="56"/>
      <c r="UB166" s="242">
        <f t="shared" si="1184"/>
        <v>0</v>
      </c>
      <c r="UC166" s="242">
        <f t="shared" si="1185"/>
        <v>0</v>
      </c>
      <c r="UD166" s="56"/>
      <c r="UG166" s="55">
        <f t="shared" si="1186"/>
        <v>46162</v>
      </c>
      <c r="UH166" s="56"/>
      <c r="UI166" s="242">
        <f>SUMPRODUCT(PRODUCE!$B173:$DY173,PRODUCE!$EB$68:$IY$68)</f>
        <v>0</v>
      </c>
      <c r="UJ166" s="56"/>
      <c r="UK166" s="242">
        <f t="shared" si="1187"/>
        <v>0</v>
      </c>
      <c r="UL166" s="242">
        <f t="shared" si="1188"/>
        <v>0</v>
      </c>
      <c r="UM166" s="56"/>
      <c r="UP166" s="55">
        <f t="shared" si="1189"/>
        <v>46162</v>
      </c>
      <c r="UQ166" s="56"/>
      <c r="UR166" s="242">
        <f>SUMPRODUCT(PRODUCE!$B173:$DY173,PRODUCE!$EB$69:$IY$69)</f>
        <v>0</v>
      </c>
      <c r="US166" s="56"/>
      <c r="UT166" s="242">
        <f t="shared" si="1190"/>
        <v>0</v>
      </c>
      <c r="UU166" s="242">
        <f t="shared" si="1191"/>
        <v>0</v>
      </c>
      <c r="UV166" s="56"/>
      <c r="UY166" s="55">
        <f t="shared" si="1192"/>
        <v>46162</v>
      </c>
      <c r="UZ166" s="56"/>
      <c r="VA166" s="242">
        <f>SUMPRODUCT(PRODUCE!$B173:$DY173,PRODUCE!$EB$70:$IY$70)</f>
        <v>0</v>
      </c>
      <c r="VB166" s="56"/>
      <c r="VC166" s="242">
        <f t="shared" si="1193"/>
        <v>0</v>
      </c>
      <c r="VD166" s="242">
        <f t="shared" si="1194"/>
        <v>41.600000000000023</v>
      </c>
      <c r="VE166" s="56"/>
      <c r="VH166" s="55">
        <f t="shared" si="1195"/>
        <v>46162</v>
      </c>
      <c r="VI166" s="56"/>
      <c r="VJ166" s="242">
        <f>SUMPRODUCT(PRODUCE!$B173:$DY173,PRODUCE!$EB$71:$IY$71)</f>
        <v>0</v>
      </c>
      <c r="VK166" s="56"/>
      <c r="VL166" s="242">
        <f t="shared" si="1196"/>
        <v>0</v>
      </c>
      <c r="VM166" s="242">
        <f t="shared" si="1197"/>
        <v>0</v>
      </c>
      <c r="VN166" s="56"/>
      <c r="VQ166" s="55">
        <f t="shared" si="1198"/>
        <v>46162</v>
      </c>
      <c r="VR166" s="56"/>
      <c r="VS166" s="242">
        <f>SUMPRODUCT(PRODUCE!$B173:$DY173,PRODUCE!$EB$57:$IY$57)</f>
        <v>0</v>
      </c>
      <c r="VT166" s="56"/>
      <c r="VU166" s="242">
        <f t="shared" si="1199"/>
        <v>0</v>
      </c>
      <c r="VV166" s="242">
        <f t="shared" si="1200"/>
        <v>0</v>
      </c>
      <c r="VW166" s="56"/>
      <c r="VZ166" s="55">
        <f t="shared" si="1201"/>
        <v>46162</v>
      </c>
      <c r="WA166" s="56"/>
      <c r="WB166" s="242">
        <f>SUMPRODUCT(PRODUCE!$B173:$DY173,PRODUCE!$EB$57:$IY$57)</f>
        <v>0</v>
      </c>
      <c r="WC166" s="56"/>
      <c r="WD166" s="242">
        <f t="shared" si="1202"/>
        <v>0</v>
      </c>
      <c r="WE166" s="242">
        <f t="shared" si="1203"/>
        <v>0</v>
      </c>
      <c r="WF166" s="56"/>
      <c r="WI166" s="55">
        <f t="shared" si="1204"/>
        <v>46162</v>
      </c>
      <c r="WJ166" s="422"/>
      <c r="WK166" s="540">
        <f>SUMPRODUCT(PRODUCE!$B173:$DY173,PRODUCE!$EB$74:$IY$74)</f>
        <v>0</v>
      </c>
      <c r="WL166" s="422"/>
      <c r="WM166" s="540">
        <f t="shared" si="1205"/>
        <v>0</v>
      </c>
      <c r="WN166" s="540">
        <f t="shared" si="1206"/>
        <v>2317</v>
      </c>
      <c r="WO166" s="56"/>
      <c r="WR166" s="55">
        <f t="shared" si="1207"/>
        <v>46162</v>
      </c>
      <c r="WS166" s="422"/>
      <c r="WT166" s="540">
        <f>SUMPRODUCT(PRODUCE!$B173:$DY173,PRODUCE!$EB$75:$IY$75)</f>
        <v>0</v>
      </c>
      <c r="WU166" s="422"/>
      <c r="WV166" s="540">
        <f t="shared" si="1208"/>
        <v>0</v>
      </c>
      <c r="WW166" s="540">
        <f t="shared" si="1209"/>
        <v>0</v>
      </c>
      <c r="WX166" s="56"/>
      <c r="XA166" s="55">
        <f t="shared" si="1210"/>
        <v>46162</v>
      </c>
      <c r="XB166" s="422"/>
      <c r="XC166" s="540">
        <f>SUMPRODUCT(PRODUCE!$B173:$DY173,PRODUCE!$EB$76:$IY$76)</f>
        <v>0</v>
      </c>
      <c r="XD166" s="422"/>
      <c r="XE166" s="540">
        <f t="shared" si="1211"/>
        <v>0</v>
      </c>
      <c r="XF166" s="540">
        <f t="shared" si="1212"/>
        <v>8023</v>
      </c>
      <c r="XG166" s="56"/>
      <c r="XJ166" s="55">
        <f t="shared" si="1213"/>
        <v>46162</v>
      </c>
      <c r="XK166" s="422"/>
      <c r="XL166" s="540">
        <f>SUMPRODUCT(PRODUCE!$B173:$DY173,PRODUCE!$EB$77:$IY$77)</f>
        <v>0</v>
      </c>
      <c r="XM166" s="422"/>
      <c r="XN166" s="540">
        <f t="shared" si="1214"/>
        <v>0</v>
      </c>
      <c r="XO166" s="540">
        <f t="shared" si="1215"/>
        <v>-38</v>
      </c>
      <c r="XP166" s="56"/>
      <c r="XS166" s="55">
        <f t="shared" si="1216"/>
        <v>46162</v>
      </c>
      <c r="XT166" s="56"/>
      <c r="XU166" s="242">
        <f>SUMPRODUCT(PRODUCE!$B173:$DY173,PRODUCE!$EB$78:$IY$78)</f>
        <v>0</v>
      </c>
      <c r="XV166" s="56"/>
      <c r="XW166" s="242">
        <f t="shared" si="1217"/>
        <v>0</v>
      </c>
      <c r="XX166" s="242">
        <f t="shared" si="1218"/>
        <v>1901</v>
      </c>
      <c r="XY166" s="56"/>
      <c r="YB166" s="55">
        <f t="shared" si="1219"/>
        <v>46162</v>
      </c>
      <c r="YC166" s="56"/>
      <c r="YD166" s="242">
        <f>SUMPRODUCT(PRODUCE!$B173:$DY173,PRODUCE!$EB$79:$IY$79)</f>
        <v>0</v>
      </c>
      <c r="YE166" s="56"/>
      <c r="YF166" s="242">
        <f t="shared" si="1220"/>
        <v>0</v>
      </c>
      <c r="YG166" s="242">
        <f t="shared" si="1221"/>
        <v>6459</v>
      </c>
      <c r="YH166" s="56"/>
      <c r="YK166" s="55">
        <f t="shared" si="1222"/>
        <v>46162</v>
      </c>
      <c r="YL166" s="56"/>
      <c r="YM166" s="242">
        <f>SUMPRODUCT(PRODUCE!$B173:$DY173,PRODUCE!$EB$80:$IY$80)</f>
        <v>0</v>
      </c>
      <c r="YN166" s="56"/>
      <c r="YO166" s="242">
        <f t="shared" si="1223"/>
        <v>0</v>
      </c>
      <c r="YP166" s="242">
        <f t="shared" si="1224"/>
        <v>0</v>
      </c>
      <c r="YQ166" s="56"/>
      <c r="YT166" s="55">
        <f t="shared" si="1225"/>
        <v>46162</v>
      </c>
      <c r="YU166" s="56"/>
      <c r="YV166" s="242">
        <f>SUMPRODUCT(PRODUCE!$B173:$DY173,PRODUCE!$EB$57:$IY$57)</f>
        <v>0</v>
      </c>
      <c r="YW166" s="56"/>
      <c r="YX166" s="242">
        <f t="shared" si="1226"/>
        <v>0</v>
      </c>
      <c r="YY166" s="242">
        <f t="shared" si="1227"/>
        <v>0</v>
      </c>
      <c r="YZ166" s="56"/>
      <c r="ZC166" s="55">
        <f t="shared" si="1228"/>
        <v>46162</v>
      </c>
      <c r="ZD166" s="56"/>
      <c r="ZE166" s="242">
        <f>SUMPRODUCT(PRODUCE!$B173:$DY173,PRODUCE!$EB$57:$IY$57)</f>
        <v>0</v>
      </c>
      <c r="ZF166" s="56"/>
      <c r="ZG166" s="242">
        <f t="shared" si="1229"/>
        <v>0</v>
      </c>
      <c r="ZH166" s="242">
        <f t="shared" si="1230"/>
        <v>0</v>
      </c>
      <c r="ZI166" s="56"/>
      <c r="ZL166" s="55">
        <f t="shared" si="1231"/>
        <v>46162</v>
      </c>
      <c r="ZM166" s="56"/>
      <c r="ZN166" s="242">
        <f>SUMPRODUCT(PRODUCE!$B173:$DY173,PRODUCE!$EB$57:$IY$57)</f>
        <v>0</v>
      </c>
      <c r="ZO166" s="56"/>
      <c r="ZP166" s="242">
        <f t="shared" si="1232"/>
        <v>0</v>
      </c>
      <c r="ZQ166" s="242">
        <f t="shared" si="1233"/>
        <v>0</v>
      </c>
      <c r="ZR166" s="56"/>
      <c r="ZU166" s="55">
        <f t="shared" si="1234"/>
        <v>46162</v>
      </c>
      <c r="ZV166" s="56"/>
      <c r="ZW166" s="242">
        <f>SUMPRODUCT(PRODUCE!$B173:$DY173,PRODUCE!$EB$57:$IY$57)</f>
        <v>0</v>
      </c>
      <c r="ZX166" s="56"/>
      <c r="ZY166" s="242">
        <f t="shared" si="1235"/>
        <v>0</v>
      </c>
      <c r="ZZ166" s="242">
        <f t="shared" si="1236"/>
        <v>0</v>
      </c>
      <c r="AAA166" s="56"/>
      <c r="AAD166" s="55">
        <f t="shared" si="1237"/>
        <v>46162</v>
      </c>
      <c r="AAE166" s="56"/>
      <c r="AAF166" s="242">
        <f>SUMPRODUCT(PRODUCE!$B173:$DY173,PRODUCE!$EB$57:$IY$57)</f>
        <v>0</v>
      </c>
      <c r="AAG166" s="56"/>
      <c r="AAH166" s="242">
        <f t="shared" si="1238"/>
        <v>0</v>
      </c>
      <c r="AAI166" s="242">
        <f t="shared" si="1239"/>
        <v>0</v>
      </c>
      <c r="AAJ166" s="56"/>
      <c r="AAM166" s="55">
        <f t="shared" si="1240"/>
        <v>46162</v>
      </c>
      <c r="AAN166" s="56"/>
      <c r="AAO166" s="242">
        <f>SUMPRODUCT(PRODUCE!$B173:$DY173,PRODUCE!$EB$57:$IY$57)</f>
        <v>0</v>
      </c>
      <c r="AAP166" s="56"/>
      <c r="AAQ166" s="242">
        <f t="shared" si="1241"/>
        <v>0</v>
      </c>
      <c r="AAR166" s="242">
        <f t="shared" si="1242"/>
        <v>0</v>
      </c>
      <c r="AAS166" s="56"/>
      <c r="AAV166" s="55">
        <f t="shared" si="1243"/>
        <v>46162</v>
      </c>
      <c r="AAW166" s="56"/>
      <c r="AAX166" s="242">
        <f>SUMPRODUCT(PRODUCE!$B173:$DY173,PRODUCE!$EB$57:$IY$57)</f>
        <v>0</v>
      </c>
      <c r="AAY166" s="56"/>
      <c r="AAZ166" s="242">
        <f t="shared" si="1244"/>
        <v>0</v>
      </c>
      <c r="ABA166" s="242">
        <f t="shared" si="1245"/>
        <v>0</v>
      </c>
      <c r="ABB166" s="56"/>
      <c r="ABE166" s="55">
        <f t="shared" si="1246"/>
        <v>46162</v>
      </c>
      <c r="ABF166" s="56"/>
      <c r="ABG166" s="242">
        <f>SUMPRODUCT(PRODUCE!$B173:$DY173,PRODUCE!$EB$57:$IY$57)</f>
        <v>0</v>
      </c>
      <c r="ABH166" s="56"/>
      <c r="ABI166" s="242">
        <f t="shared" si="1247"/>
        <v>0</v>
      </c>
      <c r="ABJ166" s="242">
        <f t="shared" si="1248"/>
        <v>0</v>
      </c>
      <c r="ABK166" s="56"/>
    </row>
    <row r="167" spans="2:739" s="54" customFormat="1" ht="15" customHeight="1" outlineLevel="1">
      <c r="B167" s="478">
        <v>10</v>
      </c>
      <c r="C167" s="55">
        <v>46163</v>
      </c>
      <c r="D167" s="422">
        <v>33170</v>
      </c>
      <c r="E167" s="423">
        <f>SUMPRODUCT(PRODUCE!$B174:$DY174,PRODUCE!$EB$7:$IY$7)</f>
        <v>5248.5</v>
      </c>
      <c r="F167" s="422">
        <v>5245.4</v>
      </c>
      <c r="G167" s="423">
        <f t="shared" si="1004"/>
        <v>3.1000000000003638</v>
      </c>
      <c r="H167" s="423">
        <f t="shared" si="1005"/>
        <v>150430.40000000005</v>
      </c>
      <c r="I167" s="289" t="s">
        <v>271</v>
      </c>
      <c r="L167" s="55">
        <f t="shared" si="1006"/>
        <v>46163</v>
      </c>
      <c r="M167" s="422"/>
      <c r="N167" s="438">
        <f>SUMPRODUCT(PRODUCE!$B174:$DY174,PRODUCE!$EB$8:$IY$8)</f>
        <v>3360.7</v>
      </c>
      <c r="O167" s="422">
        <v>3363.4</v>
      </c>
      <c r="P167" s="438">
        <f t="shared" si="1007"/>
        <v>-2.7000000000002728</v>
      </c>
      <c r="Q167" s="438">
        <f t="shared" si="1008"/>
        <v>42530.200000000084</v>
      </c>
      <c r="R167" s="56"/>
      <c r="U167" s="55">
        <f t="shared" si="1009"/>
        <v>46163</v>
      </c>
      <c r="V167" s="422"/>
      <c r="W167" s="440">
        <f>SUMPRODUCT(PRODUCE!$B174:$DY174,PRODUCE!$EB$9:$IY$9)</f>
        <v>500</v>
      </c>
      <c r="X167" s="422">
        <v>500.2</v>
      </c>
      <c r="Y167" s="440">
        <f t="shared" si="1010"/>
        <v>-0.19999999999998863</v>
      </c>
      <c r="Z167" s="440">
        <f t="shared" si="1011"/>
        <v>36648.299999999967</v>
      </c>
      <c r="AA167" s="56"/>
      <c r="AD167" s="55">
        <f t="shared" si="1012"/>
        <v>46163</v>
      </c>
      <c r="AE167" s="422"/>
      <c r="AF167" s="442">
        <f>SUMPRODUCT(PRODUCE!$B174:$DY174,PRODUCE!$EB$10:$IY$10)</f>
        <v>0</v>
      </c>
      <c r="AG167" s="422"/>
      <c r="AH167" s="442">
        <f t="shared" si="1013"/>
        <v>0</v>
      </c>
      <c r="AI167" s="442">
        <f t="shared" si="1014"/>
        <v>13943.500000000018</v>
      </c>
      <c r="AJ167" s="56"/>
      <c r="AM167" s="55">
        <f t="shared" si="1015"/>
        <v>46163</v>
      </c>
      <c r="AN167" s="422"/>
      <c r="AO167" s="444">
        <f>SUMPRODUCT(PRODUCE!$B174:$DY174,PRODUCE!$EB$11:$IY$11)</f>
        <v>0</v>
      </c>
      <c r="AP167" s="422"/>
      <c r="AQ167" s="444">
        <f t="shared" si="1016"/>
        <v>0</v>
      </c>
      <c r="AR167" s="444">
        <f t="shared" si="1017"/>
        <v>0</v>
      </c>
      <c r="AS167" s="56"/>
      <c r="AV167" s="55">
        <f t="shared" si="1018"/>
        <v>46163</v>
      </c>
      <c r="AW167" s="422"/>
      <c r="AX167" s="446">
        <f>SUMPRODUCT(PRODUCE!$B174:$DY174,PRODUCE!$EB$12:$IY$12)</f>
        <v>0</v>
      </c>
      <c r="AY167" s="422"/>
      <c r="AZ167" s="446">
        <f t="shared" si="1019"/>
        <v>0</v>
      </c>
      <c r="BA167" s="446">
        <f t="shared" si="1020"/>
        <v>10526.199999999997</v>
      </c>
      <c r="BB167" s="56"/>
      <c r="BE167" s="55">
        <f t="shared" si="1021"/>
        <v>46163</v>
      </c>
      <c r="BF167" s="422"/>
      <c r="BG167" s="448">
        <f>SUMPRODUCT(PRODUCE!$B174:$DY174,PRODUCE!$EB$13:$IY$13)</f>
        <v>0</v>
      </c>
      <c r="BH167" s="422"/>
      <c r="BI167" s="448">
        <f t="shared" si="1022"/>
        <v>0</v>
      </c>
      <c r="BJ167" s="448">
        <f t="shared" si="1023"/>
        <v>36824.599999999991</v>
      </c>
      <c r="BK167" s="56"/>
      <c r="BN167" s="55">
        <f t="shared" si="1024"/>
        <v>46163</v>
      </c>
      <c r="BO167" s="422"/>
      <c r="BP167" s="450">
        <f>SUMPRODUCT(PRODUCE!$B174:$DY174,PRODUCE!$EB$14:$IY$14)</f>
        <v>0</v>
      </c>
      <c r="BQ167" s="422"/>
      <c r="BR167" s="450">
        <f t="shared" si="1025"/>
        <v>0</v>
      </c>
      <c r="BS167" s="450">
        <f t="shared" si="1026"/>
        <v>0</v>
      </c>
      <c r="BT167" s="56"/>
      <c r="BW167" s="55">
        <f t="shared" si="1027"/>
        <v>46163</v>
      </c>
      <c r="BX167" s="422"/>
      <c r="BY167" s="523">
        <f>SUMPRODUCT(PRODUCE!$B174:$DY174,PRODUCE!$EB$15:$IY$15)</f>
        <v>117.75</v>
      </c>
      <c r="BZ167" s="422"/>
      <c r="CA167" s="523">
        <f t="shared" si="1028"/>
        <v>117.75</v>
      </c>
      <c r="CB167" s="523">
        <f t="shared" si="1029"/>
        <v>5736.7999999999993</v>
      </c>
      <c r="CC167" s="56"/>
      <c r="CF167" s="55">
        <f t="shared" si="1030"/>
        <v>46163</v>
      </c>
      <c r="CG167" s="422"/>
      <c r="CH167" s="524">
        <f>SUMPRODUCT(PRODUCE!$B174:$DY174,PRODUCE!$EB$16:$IY$16)</f>
        <v>0</v>
      </c>
      <c r="CI167" s="422"/>
      <c r="CJ167" s="524">
        <f t="shared" si="1031"/>
        <v>0</v>
      </c>
      <c r="CK167" s="524">
        <f t="shared" si="1032"/>
        <v>0</v>
      </c>
      <c r="CL167" s="56"/>
      <c r="CO167" s="55">
        <f t="shared" si="1033"/>
        <v>46163</v>
      </c>
      <c r="CP167" s="422"/>
      <c r="CQ167" s="470">
        <f>SUMPRODUCT(PRODUCE!$B174:$DY174,PRODUCE!$EB$17:$IY$17)</f>
        <v>0</v>
      </c>
      <c r="CR167" s="422"/>
      <c r="CS167" s="470">
        <f t="shared" si="1034"/>
        <v>0</v>
      </c>
      <c r="CT167" s="470">
        <f t="shared" si="1035"/>
        <v>0</v>
      </c>
      <c r="CU167" s="56"/>
      <c r="CX167" s="55">
        <f t="shared" si="1036"/>
        <v>46163</v>
      </c>
      <c r="CY167" s="422"/>
      <c r="CZ167" s="525">
        <f>SUMPRODUCT(PRODUCE!$B174:$DY174,PRODUCE!$EB$18:$IY$18)</f>
        <v>200</v>
      </c>
      <c r="DA167" s="422">
        <v>200</v>
      </c>
      <c r="DB167" s="525">
        <f t="shared" si="1037"/>
        <v>0</v>
      </c>
      <c r="DC167" s="525">
        <f t="shared" si="1038"/>
        <v>21457.000000000004</v>
      </c>
      <c r="DD167" s="56"/>
      <c r="DG167" s="55">
        <f t="shared" si="1039"/>
        <v>46163</v>
      </c>
      <c r="DH167" s="422"/>
      <c r="DI167" s="526">
        <f>SUMPRODUCT(PRODUCE!$B174:$DY174,PRODUCE!$EB$19:$IY$19)</f>
        <v>0</v>
      </c>
      <c r="DJ167" s="422"/>
      <c r="DK167" s="526">
        <f t="shared" si="1040"/>
        <v>0</v>
      </c>
      <c r="DL167" s="526">
        <f t="shared" si="1041"/>
        <v>37737.299999999981</v>
      </c>
      <c r="DM167" s="56"/>
      <c r="DP167" s="55">
        <f t="shared" si="1042"/>
        <v>46163</v>
      </c>
      <c r="DQ167" s="422"/>
      <c r="DR167" s="423">
        <f>SUMPRODUCT(PRODUCE!$B174:$DY174,PRODUCE!$EB$20:$IY$20)</f>
        <v>0</v>
      </c>
      <c r="DS167" s="422"/>
      <c r="DT167" s="423">
        <f t="shared" si="1043"/>
        <v>0</v>
      </c>
      <c r="DU167" s="423">
        <f t="shared" si="1044"/>
        <v>5800</v>
      </c>
      <c r="DV167" s="56"/>
      <c r="DY167" s="55">
        <f t="shared" si="1045"/>
        <v>46163</v>
      </c>
      <c r="DZ167" s="56"/>
      <c r="EA167" s="157">
        <f>SUMPRODUCT(PRODUCE!$B174:$DY174,PRODUCE!$EB$21:$IY$21)</f>
        <v>0</v>
      </c>
      <c r="EB167" s="56"/>
      <c r="EC167" s="157">
        <f t="shared" si="1046"/>
        <v>0</v>
      </c>
      <c r="ED167" s="157">
        <f t="shared" si="1047"/>
        <v>0</v>
      </c>
      <c r="EE167" s="56"/>
      <c r="EH167" s="55">
        <f t="shared" si="1048"/>
        <v>46163</v>
      </c>
      <c r="EI167" s="56"/>
      <c r="EJ167" s="162">
        <f>SUMPRODUCT(PRODUCE!$B174:$DY174,PRODUCE!$EB$22:$IY$22)</f>
        <v>0</v>
      </c>
      <c r="EK167" s="56"/>
      <c r="EL167" s="162">
        <f t="shared" si="1049"/>
        <v>0</v>
      </c>
      <c r="EM167" s="162">
        <f t="shared" si="1050"/>
        <v>0</v>
      </c>
      <c r="EN167" s="56"/>
      <c r="EQ167" s="55">
        <f t="shared" si="1051"/>
        <v>46163</v>
      </c>
      <c r="ER167" s="56"/>
      <c r="ES167" s="135">
        <f>SUMPRODUCT(PRODUCE!$B174:$DY174,PRODUCE!$EB$23:$IY$23)</f>
        <v>0</v>
      </c>
      <c r="ET167" s="56"/>
      <c r="EU167" s="135">
        <f t="shared" si="1052"/>
        <v>0</v>
      </c>
      <c r="EV167" s="135">
        <f t="shared" si="1053"/>
        <v>0</v>
      </c>
      <c r="EW167" s="56"/>
      <c r="EZ167" s="55">
        <f t="shared" si="1054"/>
        <v>46163</v>
      </c>
      <c r="FA167" s="56"/>
      <c r="FB167" s="175">
        <f>SUMPRODUCT(PRODUCE!$B174:$DY174,PRODUCE!$EB$24:$IY$24)</f>
        <v>0</v>
      </c>
      <c r="FC167" s="56"/>
      <c r="FD167" s="175">
        <f t="shared" si="1055"/>
        <v>0</v>
      </c>
      <c r="FE167" s="175">
        <f t="shared" si="1056"/>
        <v>0</v>
      </c>
      <c r="FF167" s="56"/>
      <c r="FI167" s="55">
        <f t="shared" si="1057"/>
        <v>46163</v>
      </c>
      <c r="FJ167" s="56"/>
      <c r="FK167" s="183">
        <f>SUMPRODUCT(PRODUCE!$B174:$DY174,PRODUCE!$EB$25:$IY$25)</f>
        <v>0</v>
      </c>
      <c r="FL167" s="56"/>
      <c r="FM167" s="183">
        <f t="shared" si="1058"/>
        <v>0</v>
      </c>
      <c r="FN167" s="183">
        <f t="shared" si="1059"/>
        <v>0</v>
      </c>
      <c r="FO167" s="56"/>
      <c r="FR167" s="55">
        <f t="shared" si="1060"/>
        <v>46163</v>
      </c>
      <c r="FS167" s="56"/>
      <c r="FT167" s="186">
        <f>SUMPRODUCT(PRODUCE!$B174:$DY174,PRODUCE!$EB$26:$IY$26)</f>
        <v>0</v>
      </c>
      <c r="FU167" s="56"/>
      <c r="FV167" s="186">
        <f t="shared" si="1061"/>
        <v>0</v>
      </c>
      <c r="FW167" s="186">
        <f t="shared" si="1062"/>
        <v>4140</v>
      </c>
      <c r="FX167" s="56"/>
      <c r="GA167" s="55">
        <f t="shared" si="1063"/>
        <v>46163</v>
      </c>
      <c r="GB167" s="56"/>
      <c r="GC167" s="137">
        <f>SUMPRODUCT(PRODUCE!$B174:$DY174,PRODUCE!$EB$27:$IY$27)</f>
        <v>0</v>
      </c>
      <c r="GD167" s="56"/>
      <c r="GE167" s="137">
        <f t="shared" si="1064"/>
        <v>0</v>
      </c>
      <c r="GF167" s="137">
        <f t="shared" si="1065"/>
        <v>5040</v>
      </c>
      <c r="GG167" s="56"/>
      <c r="GI167" s="23"/>
      <c r="GJ167" s="55">
        <f t="shared" si="1066"/>
        <v>46163</v>
      </c>
      <c r="GK167" s="56"/>
      <c r="GL167" s="199">
        <f>SUMPRODUCT(PRODUCE!$B174:$DY174,PRODUCE!$EB$28:$IY$28)</f>
        <v>0</v>
      </c>
      <c r="GM167" s="56"/>
      <c r="GN167" s="199">
        <f t="shared" si="1067"/>
        <v>0</v>
      </c>
      <c r="GO167" s="199">
        <f t="shared" si="1068"/>
        <v>3760</v>
      </c>
      <c r="GP167" s="56"/>
      <c r="GS167" s="55">
        <f t="shared" si="1069"/>
        <v>46163</v>
      </c>
      <c r="GT167" s="56"/>
      <c r="GU167" s="195">
        <f>SUMPRODUCT(PRODUCE!$B174:$DY174,PRODUCE!$EB$29:$IY$29)</f>
        <v>0</v>
      </c>
      <c r="GV167" s="56"/>
      <c r="GW167" s="195">
        <f t="shared" si="1070"/>
        <v>0</v>
      </c>
      <c r="GX167" s="195">
        <f t="shared" si="1071"/>
        <v>1320</v>
      </c>
      <c r="GY167" s="56"/>
      <c r="HB167" s="55">
        <f t="shared" si="1072"/>
        <v>46163</v>
      </c>
      <c r="HC167" s="56"/>
      <c r="HD167" s="191">
        <f>SUMPRODUCT(PRODUCE!$B174:$DY174,PRODUCE!$EB$30:$IY$30)</f>
        <v>0</v>
      </c>
      <c r="HE167" s="56"/>
      <c r="HF167" s="191">
        <f t="shared" si="1073"/>
        <v>0</v>
      </c>
      <c r="HG167" s="191">
        <f t="shared" si="1074"/>
        <v>3600</v>
      </c>
      <c r="HH167" s="56"/>
      <c r="HK167" s="55">
        <f t="shared" si="1075"/>
        <v>46163</v>
      </c>
      <c r="HL167" s="56"/>
      <c r="HM167" s="63">
        <f>SUMPRODUCT(PRODUCE!$B174:$DY174,PRODUCE!$EB$31:$IY$31)</f>
        <v>0</v>
      </c>
      <c r="HN167" s="56"/>
      <c r="HO167" s="63">
        <f t="shared" si="1076"/>
        <v>0</v>
      </c>
      <c r="HP167" s="63">
        <f t="shared" si="1077"/>
        <v>0</v>
      </c>
      <c r="HQ167" s="56"/>
      <c r="HU167" s="55">
        <f t="shared" si="1078"/>
        <v>46163</v>
      </c>
      <c r="HV167" s="56"/>
      <c r="HW167" s="242">
        <f>SUMPRODUCT(PRODUCE!$B174:$DY174,PRODUCE!$EB$32:$IY$32)</f>
        <v>0</v>
      </c>
      <c r="HX167" s="56"/>
      <c r="HY167" s="242">
        <f t="shared" si="1079"/>
        <v>0</v>
      </c>
      <c r="HZ167" s="242">
        <f t="shared" si="1080"/>
        <v>7080</v>
      </c>
      <c r="IA167" s="56"/>
      <c r="ID167" s="55">
        <f t="shared" si="1081"/>
        <v>46163</v>
      </c>
      <c r="IE167" s="56"/>
      <c r="IF167" s="242">
        <f>SUMPRODUCT(PRODUCE!$B174:$DY174,PRODUCE!$EB$33:$IY$33)</f>
        <v>0</v>
      </c>
      <c r="IG167" s="56"/>
      <c r="IH167" s="242">
        <f t="shared" si="1082"/>
        <v>0</v>
      </c>
      <c r="II167" s="242">
        <f t="shared" si="1083"/>
        <v>720</v>
      </c>
      <c r="IJ167" s="56"/>
      <c r="IM167" s="55">
        <f t="shared" si="1084"/>
        <v>46163</v>
      </c>
      <c r="IN167" s="56"/>
      <c r="IO167" s="242">
        <f>SUMPRODUCT(PRODUCE!$B174:$DY174,PRODUCE!$EB$34:$IY$34)</f>
        <v>0</v>
      </c>
      <c r="IP167" s="56"/>
      <c r="IQ167" s="242">
        <f t="shared" si="1085"/>
        <v>0</v>
      </c>
      <c r="IR167" s="242">
        <f t="shared" si="1086"/>
        <v>11540</v>
      </c>
      <c r="IS167" s="56"/>
      <c r="IV167" s="55">
        <f t="shared" si="1087"/>
        <v>46163</v>
      </c>
      <c r="IW167" s="56"/>
      <c r="IX167" s="242">
        <f>SUMPRODUCT(PRODUCE!$B174:$DY174,PRODUCE!$EB$35:$IY$35)</f>
        <v>0</v>
      </c>
      <c r="IY167" s="56"/>
      <c r="IZ167" s="242">
        <f t="shared" si="1088"/>
        <v>0</v>
      </c>
      <c r="JA167" s="242">
        <f t="shared" si="1089"/>
        <v>12860</v>
      </c>
      <c r="JB167" s="56"/>
      <c r="JE167" s="55">
        <f t="shared" si="1090"/>
        <v>46163</v>
      </c>
      <c r="JF167" s="56"/>
      <c r="JG167" s="242">
        <f>SUMPRODUCT(PRODUCE!$B174:$DY174,PRODUCE!$EB$36:$IY$36)</f>
        <v>0</v>
      </c>
      <c r="JH167" s="56"/>
      <c r="JI167" s="242">
        <f t="shared" si="1091"/>
        <v>0</v>
      </c>
      <c r="JJ167" s="242">
        <f t="shared" si="1092"/>
        <v>0</v>
      </c>
      <c r="JK167" s="56"/>
      <c r="JN167" s="55">
        <f t="shared" si="1093"/>
        <v>46163</v>
      </c>
      <c r="JO167" s="56"/>
      <c r="JP167" s="242">
        <f>SUMPRODUCT(PRODUCE!$B174:$DY174,PRODUCE!$EB$37:$IY$37)</f>
        <v>0</v>
      </c>
      <c r="JQ167" s="56"/>
      <c r="JR167" s="242">
        <f t="shared" si="1094"/>
        <v>0</v>
      </c>
      <c r="JS167" s="242">
        <f t="shared" si="1095"/>
        <v>5500</v>
      </c>
      <c r="JT167" s="56"/>
      <c r="JW167" s="55">
        <f t="shared" si="1096"/>
        <v>46163</v>
      </c>
      <c r="JX167" s="56"/>
      <c r="JY167" s="242">
        <f>SUMPRODUCT(PRODUCE!$B174:$DY174,PRODUCE!$EB$38:$IY$38)</f>
        <v>0</v>
      </c>
      <c r="JZ167" s="56"/>
      <c r="KA167" s="242">
        <f t="shared" si="1097"/>
        <v>0</v>
      </c>
      <c r="KB167" s="242">
        <f t="shared" si="1098"/>
        <v>2540</v>
      </c>
      <c r="KC167" s="56"/>
      <c r="KF167" s="55">
        <f t="shared" si="1099"/>
        <v>46163</v>
      </c>
      <c r="KG167" s="56"/>
      <c r="KH167" s="242">
        <f>SUMPRODUCT(PRODUCE!$B174:$DY174,PRODUCE!$EB$39:$IY$39)</f>
        <v>0</v>
      </c>
      <c r="KI167" s="56"/>
      <c r="KJ167" s="242">
        <f t="shared" si="1100"/>
        <v>0</v>
      </c>
      <c r="KK167" s="242">
        <f t="shared" si="1101"/>
        <v>2359.5</v>
      </c>
      <c r="KL167" s="56"/>
      <c r="KO167" s="55">
        <f t="shared" si="1102"/>
        <v>46163</v>
      </c>
      <c r="KP167" s="56"/>
      <c r="KQ167" s="242">
        <f>SUMPRODUCT(PRODUCE!$B174:$DY174,PRODUCE!$EB$40:$IY$40)</f>
        <v>0</v>
      </c>
      <c r="KR167" s="56"/>
      <c r="KS167" s="242">
        <f t="shared" si="1103"/>
        <v>0</v>
      </c>
      <c r="KT167" s="242">
        <f t="shared" si="1104"/>
        <v>1890</v>
      </c>
      <c r="KU167" s="56"/>
      <c r="KW167" s="23"/>
      <c r="KX167" s="55">
        <f t="shared" si="1105"/>
        <v>46163</v>
      </c>
      <c r="KY167" s="56"/>
      <c r="KZ167" s="242">
        <f>SUMPRODUCT(PRODUCE!$B174:$DY174,PRODUCE!$EB$41:$IY$41)</f>
        <v>0</v>
      </c>
      <c r="LA167" s="56"/>
      <c r="LB167" s="242">
        <f t="shared" si="1106"/>
        <v>0</v>
      </c>
      <c r="LC167" s="242">
        <f t="shared" si="1107"/>
        <v>3690</v>
      </c>
      <c r="LD167" s="56"/>
      <c r="LG167" s="55">
        <f t="shared" si="1108"/>
        <v>46163</v>
      </c>
      <c r="LH167" s="56"/>
      <c r="LI167" s="242">
        <f>SUMPRODUCT(PRODUCE!$B174:$DY174,PRODUCE!$EB$42:$IY$42)</f>
        <v>0</v>
      </c>
      <c r="LJ167" s="56"/>
      <c r="LK167" s="242">
        <f t="shared" si="1109"/>
        <v>0</v>
      </c>
      <c r="LL167" s="242">
        <f t="shared" si="1110"/>
        <v>4000</v>
      </c>
      <c r="LM167" s="56"/>
      <c r="LP167" s="55">
        <f t="shared" si="1111"/>
        <v>46163</v>
      </c>
      <c r="LQ167" s="56"/>
      <c r="LR167" s="242">
        <f>SUMPRODUCT(PRODUCE!$B182:$DY182,PRODUCE!$EB$43:$IY$43)</f>
        <v>0</v>
      </c>
      <c r="LS167" s="56"/>
      <c r="LT167" s="242">
        <f t="shared" si="1112"/>
        <v>0</v>
      </c>
      <c r="LU167" s="242">
        <f t="shared" si="1113"/>
        <v>0</v>
      </c>
      <c r="LV167" s="56"/>
      <c r="LY167" s="55">
        <f t="shared" si="1114"/>
        <v>46163</v>
      </c>
      <c r="LZ167" s="56"/>
      <c r="MA167" s="242">
        <f>SUMPRODUCT(PRODUCE!$B174:$DY174,PRODUCE!$EB$44:$IY$44)</f>
        <v>0</v>
      </c>
      <c r="MB167" s="56"/>
      <c r="MC167" s="242">
        <f t="shared" si="1115"/>
        <v>0</v>
      </c>
      <c r="MD167" s="242">
        <f t="shared" si="1116"/>
        <v>0</v>
      </c>
      <c r="ME167" s="56"/>
      <c r="MH167" s="55">
        <f t="shared" si="1117"/>
        <v>46163</v>
      </c>
      <c r="MI167" s="56"/>
      <c r="MJ167" s="242">
        <f>SUMPRODUCT(PRODUCE!$B174:$DY174,PRODUCE!$EB$45:$IY$45)</f>
        <v>0</v>
      </c>
      <c r="MK167" s="56"/>
      <c r="ML167" s="242">
        <f t="shared" si="1118"/>
        <v>0</v>
      </c>
      <c r="MM167" s="242">
        <f t="shared" si="1119"/>
        <v>0</v>
      </c>
      <c r="MN167" s="56"/>
      <c r="MQ167" s="55">
        <f t="shared" si="1120"/>
        <v>46163</v>
      </c>
      <c r="MR167" s="56"/>
      <c r="MS167" s="242">
        <f>SUMPRODUCT(PRODUCE!$B174:$DY174,PRODUCE!$EB$46:$IY$46)</f>
        <v>0</v>
      </c>
      <c r="MT167" s="56"/>
      <c r="MU167" s="242">
        <f t="shared" si="1121"/>
        <v>0</v>
      </c>
      <c r="MV167" s="242">
        <f t="shared" si="1122"/>
        <v>3761</v>
      </c>
      <c r="MW167" s="56"/>
      <c r="MZ167" s="55">
        <f t="shared" si="1123"/>
        <v>46163</v>
      </c>
      <c r="NA167" s="56"/>
      <c r="NB167" s="242">
        <f>SUMPRODUCT(PRODUCE!$B174:$DY174,PRODUCE!$EB$47:$IY$47)</f>
        <v>0</v>
      </c>
      <c r="NC167" s="56"/>
      <c r="ND167" s="242">
        <f t="shared" si="1124"/>
        <v>0</v>
      </c>
      <c r="NE167" s="242">
        <f t="shared" si="1125"/>
        <v>0</v>
      </c>
      <c r="NF167" s="56"/>
      <c r="NI167" s="55">
        <f t="shared" si="1126"/>
        <v>46163</v>
      </c>
      <c r="NJ167" s="56"/>
      <c r="NK167" s="242">
        <f>SUMPRODUCT(PRODUCE!$B174:$DY174,PRODUCE!$EB$48:$IY$48)</f>
        <v>0</v>
      </c>
      <c r="NL167" s="56"/>
      <c r="NM167" s="242">
        <f t="shared" si="1127"/>
        <v>0</v>
      </c>
      <c r="NN167" s="242">
        <f t="shared" si="1128"/>
        <v>1127</v>
      </c>
      <c r="NO167" s="56"/>
      <c r="NR167" s="55">
        <f t="shared" si="1129"/>
        <v>46163</v>
      </c>
      <c r="NS167" s="56"/>
      <c r="NT167" s="242">
        <f>SUMPRODUCT(PRODUCE!$B174:$DY174,PRODUCE!$EB$49:$IY$49)</f>
        <v>0</v>
      </c>
      <c r="NU167" s="56"/>
      <c r="NV167" s="242">
        <f t="shared" si="1130"/>
        <v>0</v>
      </c>
      <c r="NW167" s="242">
        <f t="shared" si="1131"/>
        <v>3111.9999999999995</v>
      </c>
      <c r="NX167" s="56"/>
      <c r="OA167" s="55">
        <f t="shared" si="1132"/>
        <v>46163</v>
      </c>
      <c r="OB167" s="56"/>
      <c r="OC167" s="242">
        <f>SUMPRODUCT(PRODUCE!$B174:$DY174,PRODUCE!$EB$50:$IY$50)</f>
        <v>0</v>
      </c>
      <c r="OD167" s="56"/>
      <c r="OE167" s="242">
        <f t="shared" si="1133"/>
        <v>0</v>
      </c>
      <c r="OF167" s="242">
        <f t="shared" si="1134"/>
        <v>1680.5</v>
      </c>
      <c r="OG167" s="56"/>
      <c r="OJ167" s="55">
        <f t="shared" si="1135"/>
        <v>46163</v>
      </c>
      <c r="OK167" s="56"/>
      <c r="OL167" s="242">
        <f>SUMPRODUCT(PRODUCE!$B174:$DY174,PRODUCE!$EB$51:$IY$51)</f>
        <v>0</v>
      </c>
      <c r="OM167" s="56"/>
      <c r="ON167" s="242">
        <f t="shared" si="1136"/>
        <v>0</v>
      </c>
      <c r="OO167" s="242">
        <f t="shared" si="1137"/>
        <v>0</v>
      </c>
      <c r="OP167" s="56"/>
      <c r="OS167" s="55">
        <f t="shared" si="1138"/>
        <v>46163</v>
      </c>
      <c r="OT167" s="56"/>
      <c r="OU167" s="242">
        <f>SUMPRODUCT(PRODUCE!$B174:$DY174,PRODUCE!$EB$52:$IY$52)</f>
        <v>0</v>
      </c>
      <c r="OV167" s="56"/>
      <c r="OW167" s="242">
        <f t="shared" si="1139"/>
        <v>0</v>
      </c>
      <c r="OX167" s="242">
        <f t="shared" si="1140"/>
        <v>1482</v>
      </c>
      <c r="OY167" s="56"/>
      <c r="PB167" s="55">
        <f t="shared" si="1141"/>
        <v>46163</v>
      </c>
      <c r="PC167" s="56"/>
      <c r="PD167" s="242">
        <f>SUMPRODUCT(PRODUCE!$B174:$DY174,PRODUCE!$EB$53:$IY$53)</f>
        <v>0</v>
      </c>
      <c r="PE167" s="56"/>
      <c r="PF167" s="242">
        <f t="shared" si="1142"/>
        <v>0</v>
      </c>
      <c r="PG167" s="242">
        <f t="shared" si="1143"/>
        <v>0</v>
      </c>
      <c r="PH167" s="56"/>
      <c r="PK167" s="55">
        <f t="shared" si="1144"/>
        <v>46163</v>
      </c>
      <c r="PL167" s="56"/>
      <c r="PM167" s="242">
        <f>SUMPRODUCT(PRODUCE!$B174:$DY174,PRODUCE!$EB$54:$IY$54)</f>
        <v>0</v>
      </c>
      <c r="PN167" s="56"/>
      <c r="PO167" s="242">
        <f t="shared" si="1145"/>
        <v>0</v>
      </c>
      <c r="PP167" s="242">
        <f t="shared" si="1146"/>
        <v>100</v>
      </c>
      <c r="PQ167" s="56"/>
      <c r="PT167" s="55">
        <f t="shared" si="1147"/>
        <v>46163</v>
      </c>
      <c r="PU167" s="56"/>
      <c r="PV167" s="242">
        <f>SUMPRODUCT(PRODUCE!$B174:$DY174,PRODUCE!$EB$55:$IY$55)</f>
        <v>0</v>
      </c>
      <c r="PW167" s="56"/>
      <c r="PX167" s="242">
        <f t="shared" si="1148"/>
        <v>0</v>
      </c>
      <c r="PY167" s="242">
        <f t="shared" si="1149"/>
        <v>13.960000000000036</v>
      </c>
      <c r="PZ167" s="56"/>
      <c r="QC167" s="55">
        <f t="shared" si="1150"/>
        <v>46163</v>
      </c>
      <c r="QD167" s="56"/>
      <c r="QE167" s="242">
        <f>SUMPRODUCT(PRODUCE!$B174:$DY174,PRODUCE!$EB$56:$IY$56)</f>
        <v>0</v>
      </c>
      <c r="QF167" s="56"/>
      <c r="QG167" s="242">
        <f t="shared" si="1151"/>
        <v>0</v>
      </c>
      <c r="QH167" s="242">
        <f t="shared" si="1152"/>
        <v>876</v>
      </c>
      <c r="QI167" s="56"/>
      <c r="QL167" s="55">
        <f t="shared" si="1153"/>
        <v>46163</v>
      </c>
      <c r="QM167" s="56"/>
      <c r="QN167" s="242">
        <f>SUMPRODUCT(PRODUCE!$B174:$DY174,PRODUCE!$EB$57:$IY$57)</f>
        <v>0</v>
      </c>
      <c r="QO167" s="56"/>
      <c r="QP167" s="242">
        <f t="shared" si="1154"/>
        <v>0</v>
      </c>
      <c r="QQ167" s="242">
        <f t="shared" si="1155"/>
        <v>515</v>
      </c>
      <c r="QR167" s="56"/>
      <c r="QU167" s="55">
        <f t="shared" si="1156"/>
        <v>46163</v>
      </c>
      <c r="QV167" s="56"/>
      <c r="QW167" s="242">
        <f>SUMPRODUCT(PRODUCE!$B174:$DY174,PRODUCE!$EB$58:$IY$58)</f>
        <v>0</v>
      </c>
      <c r="QX167" s="56"/>
      <c r="QY167" s="242">
        <f t="shared" si="1157"/>
        <v>0</v>
      </c>
      <c r="QZ167" s="242">
        <f t="shared" si="1158"/>
        <v>207.6</v>
      </c>
      <c r="RA167" s="56"/>
      <c r="RD167" s="55">
        <f t="shared" si="1159"/>
        <v>46163</v>
      </c>
      <c r="RE167" s="56"/>
      <c r="RF167" s="242">
        <f>SUMPRODUCT(PRODUCE!$B174:$DY174,PRODUCE!$EB$59:$IY$59)</f>
        <v>0</v>
      </c>
      <c r="RG167" s="56"/>
      <c r="RH167" s="242">
        <f t="shared" si="1160"/>
        <v>0</v>
      </c>
      <c r="RI167" s="242">
        <f t="shared" si="1161"/>
        <v>147.04000000000002</v>
      </c>
      <c r="RJ167" s="56"/>
      <c r="RM167" s="55">
        <f t="shared" si="1162"/>
        <v>46163</v>
      </c>
      <c r="RN167" s="56"/>
      <c r="RO167" s="242">
        <f>SUMPRODUCT(PRODUCE!$B174:$DY174,PRODUCE!$EB$60:$IY$60)</f>
        <v>0</v>
      </c>
      <c r="RP167" s="56"/>
      <c r="RQ167" s="242">
        <f t="shared" si="1163"/>
        <v>0</v>
      </c>
      <c r="RR167" s="242">
        <f t="shared" si="1164"/>
        <v>46.8</v>
      </c>
      <c r="RS167" s="56"/>
      <c r="RV167" s="55">
        <f t="shared" si="1165"/>
        <v>46163</v>
      </c>
      <c r="RW167" s="56"/>
      <c r="RX167" s="242">
        <f>SUMPRODUCT(PRODUCE!$B174:$DY174,PRODUCE!$EB$61:$IY$61)</f>
        <v>0</v>
      </c>
      <c r="RY167" s="56"/>
      <c r="RZ167" s="242">
        <f t="shared" si="1166"/>
        <v>0</v>
      </c>
      <c r="SA167" s="242">
        <f t="shared" si="1167"/>
        <v>0</v>
      </c>
      <c r="SB167" s="56"/>
      <c r="SE167" s="55">
        <f t="shared" si="1168"/>
        <v>46163</v>
      </c>
      <c r="SF167" s="56"/>
      <c r="SG167" s="242">
        <f>SUMPRODUCT(PRODUCE!$B174:$DY174,PRODUCE!$EB$62:$IY$62)</f>
        <v>0</v>
      </c>
      <c r="SH167" s="56"/>
      <c r="SI167" s="242">
        <f t="shared" si="1169"/>
        <v>0</v>
      </c>
      <c r="SJ167" s="242">
        <f t="shared" si="1170"/>
        <v>24.200000000000003</v>
      </c>
      <c r="SK167" s="56"/>
      <c r="SN167" s="55">
        <f t="shared" si="1171"/>
        <v>46163</v>
      </c>
      <c r="SO167" s="56"/>
      <c r="SP167" s="242">
        <f>SUMPRODUCT(PRODUCE!$B174:$DY174,PRODUCE!$EB$63:$IY$63)</f>
        <v>0</v>
      </c>
      <c r="SQ167" s="56"/>
      <c r="SR167" s="242">
        <f t="shared" si="1172"/>
        <v>0</v>
      </c>
      <c r="SS167" s="242">
        <f t="shared" si="1173"/>
        <v>32</v>
      </c>
      <c r="ST167" s="56"/>
      <c r="SW167" s="55">
        <f t="shared" si="1174"/>
        <v>46163</v>
      </c>
      <c r="SX167" s="56"/>
      <c r="SY167" s="242">
        <f>SUMPRODUCT(PRODUCE!$B174:$DY174,PRODUCE!$EB$64:$IY$64)</f>
        <v>0</v>
      </c>
      <c r="SZ167" s="56"/>
      <c r="TA167" s="242">
        <f t="shared" si="1175"/>
        <v>0</v>
      </c>
      <c r="TB167" s="242">
        <f t="shared" si="1176"/>
        <v>0</v>
      </c>
      <c r="TC167" s="56"/>
      <c r="TF167" s="55">
        <f t="shared" si="1177"/>
        <v>46163</v>
      </c>
      <c r="TG167" s="56"/>
      <c r="TH167" s="242">
        <f>SUMPRODUCT(PRODUCE!$B174:$DY174,PRODUCE!$EB$65:$IY$65)</f>
        <v>0</v>
      </c>
      <c r="TI167" s="56"/>
      <c r="TJ167" s="242">
        <f t="shared" si="1178"/>
        <v>0</v>
      </c>
      <c r="TK167" s="242">
        <f t="shared" si="1179"/>
        <v>0</v>
      </c>
      <c r="TL167" s="56"/>
      <c r="TO167" s="55">
        <f t="shared" si="1180"/>
        <v>46163</v>
      </c>
      <c r="TP167" s="56"/>
      <c r="TQ167" s="242">
        <f>SUMPRODUCT(PRODUCE!$B174:$DY174,PRODUCE!$EB$66:$IY$66)</f>
        <v>0</v>
      </c>
      <c r="TR167" s="56"/>
      <c r="TS167" s="242">
        <f t="shared" si="1181"/>
        <v>0</v>
      </c>
      <c r="TT167" s="242">
        <f t="shared" si="1182"/>
        <v>0</v>
      </c>
      <c r="TU167" s="56"/>
      <c r="TX167" s="55">
        <f t="shared" si="1183"/>
        <v>46163</v>
      </c>
      <c r="TY167" s="56"/>
      <c r="TZ167" s="242">
        <f>SUMPRODUCT(PRODUCE!$B174:$DY174,PRODUCE!$EB$67:$IY$67)</f>
        <v>0</v>
      </c>
      <c r="UA167" s="56"/>
      <c r="UB167" s="242">
        <f t="shared" si="1184"/>
        <v>0</v>
      </c>
      <c r="UC167" s="242">
        <f t="shared" si="1185"/>
        <v>0</v>
      </c>
      <c r="UD167" s="56"/>
      <c r="UG167" s="55">
        <f t="shared" si="1186"/>
        <v>46163</v>
      </c>
      <c r="UH167" s="56"/>
      <c r="UI167" s="242">
        <f>SUMPRODUCT(PRODUCE!$B174:$DY174,PRODUCE!$EB$68:$IY$68)</f>
        <v>0</v>
      </c>
      <c r="UJ167" s="56"/>
      <c r="UK167" s="242">
        <f t="shared" si="1187"/>
        <v>0</v>
      </c>
      <c r="UL167" s="242">
        <f t="shared" si="1188"/>
        <v>0</v>
      </c>
      <c r="UM167" s="56"/>
      <c r="UP167" s="55">
        <f t="shared" si="1189"/>
        <v>46163</v>
      </c>
      <c r="UQ167" s="56"/>
      <c r="UR167" s="242">
        <f>SUMPRODUCT(PRODUCE!$B174:$DY174,PRODUCE!$EB$69:$IY$69)</f>
        <v>0</v>
      </c>
      <c r="US167" s="56"/>
      <c r="UT167" s="242">
        <f t="shared" si="1190"/>
        <v>0</v>
      </c>
      <c r="UU167" s="242">
        <f t="shared" si="1191"/>
        <v>0</v>
      </c>
      <c r="UV167" s="56"/>
      <c r="UY167" s="55">
        <f t="shared" si="1192"/>
        <v>46163</v>
      </c>
      <c r="UZ167" s="56"/>
      <c r="VA167" s="242">
        <f>SUMPRODUCT(PRODUCE!$B174:$DY174,PRODUCE!$EB$70:$IY$70)</f>
        <v>0</v>
      </c>
      <c r="VB167" s="56"/>
      <c r="VC167" s="242">
        <f t="shared" si="1193"/>
        <v>0</v>
      </c>
      <c r="VD167" s="242">
        <f t="shared" si="1194"/>
        <v>41.600000000000023</v>
      </c>
      <c r="VE167" s="56"/>
      <c r="VH167" s="55">
        <f t="shared" si="1195"/>
        <v>46163</v>
      </c>
      <c r="VI167" s="56"/>
      <c r="VJ167" s="242">
        <f>SUMPRODUCT(PRODUCE!$B174:$DY174,PRODUCE!$EB$71:$IY$71)</f>
        <v>0</v>
      </c>
      <c r="VK167" s="56"/>
      <c r="VL167" s="242">
        <f t="shared" si="1196"/>
        <v>0</v>
      </c>
      <c r="VM167" s="242">
        <f t="shared" si="1197"/>
        <v>0</v>
      </c>
      <c r="VN167" s="56"/>
      <c r="VQ167" s="55">
        <f t="shared" si="1198"/>
        <v>46163</v>
      </c>
      <c r="VR167" s="56"/>
      <c r="VS167" s="242">
        <f>SUMPRODUCT(PRODUCE!$B174:$DY174,PRODUCE!$EB$57:$IY$57)</f>
        <v>0</v>
      </c>
      <c r="VT167" s="56"/>
      <c r="VU167" s="242">
        <f t="shared" si="1199"/>
        <v>0</v>
      </c>
      <c r="VV167" s="242">
        <f t="shared" si="1200"/>
        <v>0</v>
      </c>
      <c r="VW167" s="56"/>
      <c r="VZ167" s="55">
        <f t="shared" si="1201"/>
        <v>46163</v>
      </c>
      <c r="WA167" s="56"/>
      <c r="WB167" s="242">
        <f>SUMPRODUCT(PRODUCE!$B174:$DY174,PRODUCE!$EB$57:$IY$57)</f>
        <v>0</v>
      </c>
      <c r="WC167" s="56"/>
      <c r="WD167" s="242">
        <f t="shared" si="1202"/>
        <v>0</v>
      </c>
      <c r="WE167" s="242">
        <f t="shared" si="1203"/>
        <v>0</v>
      </c>
      <c r="WF167" s="56"/>
      <c r="WI167" s="55">
        <f t="shared" si="1204"/>
        <v>46163</v>
      </c>
      <c r="WJ167" s="422"/>
      <c r="WK167" s="540">
        <f>SUMPRODUCT(PRODUCE!$B174:$DY174,PRODUCE!$EB$74:$IY$74)</f>
        <v>0</v>
      </c>
      <c r="WL167" s="422"/>
      <c r="WM167" s="540">
        <f t="shared" si="1205"/>
        <v>0</v>
      </c>
      <c r="WN167" s="540">
        <f t="shared" si="1206"/>
        <v>2317</v>
      </c>
      <c r="WO167" s="56"/>
      <c r="WR167" s="55">
        <f t="shared" si="1207"/>
        <v>46163</v>
      </c>
      <c r="WS167" s="422"/>
      <c r="WT167" s="540">
        <f>SUMPRODUCT(PRODUCE!$B174:$DY174,PRODUCE!$EB$75:$IY$75)</f>
        <v>0</v>
      </c>
      <c r="WU167" s="422"/>
      <c r="WV167" s="540">
        <f t="shared" si="1208"/>
        <v>0</v>
      </c>
      <c r="WW167" s="540">
        <f t="shared" si="1209"/>
        <v>0</v>
      </c>
      <c r="WX167" s="56"/>
      <c r="XA167" s="55">
        <f t="shared" si="1210"/>
        <v>46163</v>
      </c>
      <c r="XB167" s="422"/>
      <c r="XC167" s="540">
        <f>SUMPRODUCT(PRODUCE!$B174:$DY174,PRODUCE!$EB$76:$IY$76)</f>
        <v>0</v>
      </c>
      <c r="XD167" s="422"/>
      <c r="XE167" s="540">
        <f t="shared" si="1211"/>
        <v>0</v>
      </c>
      <c r="XF167" s="540">
        <f t="shared" si="1212"/>
        <v>8023</v>
      </c>
      <c r="XG167" s="56"/>
      <c r="XJ167" s="55">
        <f t="shared" si="1213"/>
        <v>46163</v>
      </c>
      <c r="XK167" s="422"/>
      <c r="XL167" s="540">
        <f>SUMPRODUCT(PRODUCE!$B174:$DY174,PRODUCE!$EB$77:$IY$77)</f>
        <v>0</v>
      </c>
      <c r="XM167" s="422">
        <v>196</v>
      </c>
      <c r="XN167" s="540">
        <f t="shared" si="1214"/>
        <v>-196</v>
      </c>
      <c r="XO167" s="540">
        <f t="shared" si="1215"/>
        <v>-234</v>
      </c>
      <c r="XP167" s="56"/>
      <c r="XS167" s="55">
        <f t="shared" si="1216"/>
        <v>46163</v>
      </c>
      <c r="XT167" s="56"/>
      <c r="XU167" s="242">
        <f>SUMPRODUCT(PRODUCE!$B174:$DY174,PRODUCE!$EB$78:$IY$78)</f>
        <v>0</v>
      </c>
      <c r="XV167" s="56"/>
      <c r="XW167" s="242">
        <f t="shared" si="1217"/>
        <v>0</v>
      </c>
      <c r="XX167" s="242">
        <f t="shared" si="1218"/>
        <v>1901</v>
      </c>
      <c r="XY167" s="56"/>
      <c r="YB167" s="55">
        <f t="shared" si="1219"/>
        <v>46163</v>
      </c>
      <c r="YC167" s="56"/>
      <c r="YD167" s="242">
        <f>SUMPRODUCT(PRODUCE!$B174:$DY174,PRODUCE!$EB$79:$IY$79)</f>
        <v>0</v>
      </c>
      <c r="YE167" s="56"/>
      <c r="YF167" s="242">
        <f t="shared" si="1220"/>
        <v>0</v>
      </c>
      <c r="YG167" s="242">
        <f t="shared" si="1221"/>
        <v>6459</v>
      </c>
      <c r="YH167" s="56"/>
      <c r="YK167" s="55">
        <f t="shared" si="1222"/>
        <v>46163</v>
      </c>
      <c r="YL167" s="56"/>
      <c r="YM167" s="242">
        <f>SUMPRODUCT(PRODUCE!$B174:$DY174,PRODUCE!$EB$80:$IY$80)</f>
        <v>0</v>
      </c>
      <c r="YN167" s="56"/>
      <c r="YO167" s="242">
        <f t="shared" si="1223"/>
        <v>0</v>
      </c>
      <c r="YP167" s="242">
        <f t="shared" si="1224"/>
        <v>0</v>
      </c>
      <c r="YQ167" s="56"/>
      <c r="YT167" s="55">
        <f t="shared" si="1225"/>
        <v>46163</v>
      </c>
      <c r="YU167" s="56"/>
      <c r="YV167" s="242">
        <f>SUMPRODUCT(PRODUCE!$B174:$DY174,PRODUCE!$EB$57:$IY$57)</f>
        <v>0</v>
      </c>
      <c r="YW167" s="56"/>
      <c r="YX167" s="242">
        <f t="shared" si="1226"/>
        <v>0</v>
      </c>
      <c r="YY167" s="242">
        <f t="shared" si="1227"/>
        <v>0</v>
      </c>
      <c r="YZ167" s="56"/>
      <c r="ZC167" s="55">
        <f t="shared" si="1228"/>
        <v>46163</v>
      </c>
      <c r="ZD167" s="56"/>
      <c r="ZE167" s="242">
        <f>SUMPRODUCT(PRODUCE!$B174:$DY174,PRODUCE!$EB$57:$IY$57)</f>
        <v>0</v>
      </c>
      <c r="ZF167" s="56"/>
      <c r="ZG167" s="242">
        <f t="shared" si="1229"/>
        <v>0</v>
      </c>
      <c r="ZH167" s="242">
        <f t="shared" si="1230"/>
        <v>0</v>
      </c>
      <c r="ZI167" s="56"/>
      <c r="ZL167" s="55">
        <f t="shared" si="1231"/>
        <v>46163</v>
      </c>
      <c r="ZM167" s="56"/>
      <c r="ZN167" s="242">
        <f>SUMPRODUCT(PRODUCE!$B174:$DY174,PRODUCE!$EB$57:$IY$57)</f>
        <v>0</v>
      </c>
      <c r="ZO167" s="56"/>
      <c r="ZP167" s="242">
        <f t="shared" si="1232"/>
        <v>0</v>
      </c>
      <c r="ZQ167" s="242">
        <f t="shared" si="1233"/>
        <v>0</v>
      </c>
      <c r="ZR167" s="56"/>
      <c r="ZU167" s="55">
        <f t="shared" si="1234"/>
        <v>46163</v>
      </c>
      <c r="ZV167" s="56"/>
      <c r="ZW167" s="242">
        <f>SUMPRODUCT(PRODUCE!$B174:$DY174,PRODUCE!$EB$57:$IY$57)</f>
        <v>0</v>
      </c>
      <c r="ZX167" s="56"/>
      <c r="ZY167" s="242">
        <f t="shared" si="1235"/>
        <v>0</v>
      </c>
      <c r="ZZ167" s="242">
        <f t="shared" si="1236"/>
        <v>0</v>
      </c>
      <c r="AAA167" s="56"/>
      <c r="AAD167" s="55">
        <f t="shared" si="1237"/>
        <v>46163</v>
      </c>
      <c r="AAE167" s="56"/>
      <c r="AAF167" s="242">
        <f>SUMPRODUCT(PRODUCE!$B174:$DY174,PRODUCE!$EB$57:$IY$57)</f>
        <v>0</v>
      </c>
      <c r="AAG167" s="56"/>
      <c r="AAH167" s="242">
        <f t="shared" si="1238"/>
        <v>0</v>
      </c>
      <c r="AAI167" s="242">
        <f t="shared" si="1239"/>
        <v>0</v>
      </c>
      <c r="AAJ167" s="56"/>
      <c r="AAM167" s="55">
        <f t="shared" si="1240"/>
        <v>46163</v>
      </c>
      <c r="AAN167" s="56"/>
      <c r="AAO167" s="242">
        <f>SUMPRODUCT(PRODUCE!$B174:$DY174,PRODUCE!$EB$57:$IY$57)</f>
        <v>0</v>
      </c>
      <c r="AAP167" s="56"/>
      <c r="AAQ167" s="242">
        <f t="shared" si="1241"/>
        <v>0</v>
      </c>
      <c r="AAR167" s="242">
        <f t="shared" si="1242"/>
        <v>0</v>
      </c>
      <c r="AAS167" s="56"/>
      <c r="AAV167" s="55">
        <f t="shared" si="1243"/>
        <v>46163</v>
      </c>
      <c r="AAW167" s="56"/>
      <c r="AAX167" s="242">
        <f>SUMPRODUCT(PRODUCE!$B174:$DY174,PRODUCE!$EB$57:$IY$57)</f>
        <v>0</v>
      </c>
      <c r="AAY167" s="56"/>
      <c r="AAZ167" s="242">
        <f t="shared" si="1244"/>
        <v>0</v>
      </c>
      <c r="ABA167" s="242">
        <f t="shared" si="1245"/>
        <v>0</v>
      </c>
      <c r="ABB167" s="56"/>
      <c r="ABE167" s="55">
        <f t="shared" si="1246"/>
        <v>46163</v>
      </c>
      <c r="ABF167" s="56"/>
      <c r="ABG167" s="242">
        <f>SUMPRODUCT(PRODUCE!$B174:$DY174,PRODUCE!$EB$57:$IY$57)</f>
        <v>0</v>
      </c>
      <c r="ABH167" s="56"/>
      <c r="ABI167" s="242">
        <f t="shared" si="1247"/>
        <v>0</v>
      </c>
      <c r="ABJ167" s="242">
        <f t="shared" si="1248"/>
        <v>0</v>
      </c>
      <c r="ABK167" s="56"/>
    </row>
    <row r="168" spans="2:739" s="54" customFormat="1" ht="15" customHeight="1" outlineLevel="1">
      <c r="B168" s="478">
        <v>36</v>
      </c>
      <c r="C168" s="55">
        <v>46164</v>
      </c>
      <c r="D168" s="422">
        <v>31590</v>
      </c>
      <c r="E168" s="423">
        <f>SUMPRODUCT(PRODUCE!$B175:$DY175,PRODUCE!$EB$7:$IY$7)</f>
        <v>20772.000000000004</v>
      </c>
      <c r="F168" s="422">
        <v>20775.400000000001</v>
      </c>
      <c r="G168" s="423">
        <f t="shared" si="1004"/>
        <v>-3.3999999999978172</v>
      </c>
      <c r="H168" s="423">
        <f t="shared" si="1005"/>
        <v>161245.00000000006</v>
      </c>
      <c r="I168" s="289" t="s">
        <v>272</v>
      </c>
      <c r="L168" s="55">
        <f t="shared" si="1006"/>
        <v>46164</v>
      </c>
      <c r="M168" s="422">
        <v>27380</v>
      </c>
      <c r="N168" s="438">
        <f>SUMPRODUCT(PRODUCE!$B175:$DY175,PRODUCE!$EB$8:$IY$8)</f>
        <v>9252</v>
      </c>
      <c r="O168" s="422">
        <v>9253.4</v>
      </c>
      <c r="P168" s="438">
        <f t="shared" si="1007"/>
        <v>-1.3999999999996362</v>
      </c>
      <c r="Q168" s="438">
        <f t="shared" si="1008"/>
        <v>60656.800000000083</v>
      </c>
      <c r="R168" s="56"/>
      <c r="U168" s="55">
        <f t="shared" si="1009"/>
        <v>46164</v>
      </c>
      <c r="V168" s="422"/>
      <c r="W168" s="440">
        <f>SUMPRODUCT(PRODUCE!$B175:$DY175,PRODUCE!$EB$9:$IY$9)</f>
        <v>1080</v>
      </c>
      <c r="X168" s="422">
        <v>1081.5</v>
      </c>
      <c r="Y168" s="440">
        <f t="shared" si="1010"/>
        <v>-1.5</v>
      </c>
      <c r="Z168" s="440">
        <f t="shared" si="1011"/>
        <v>35566.799999999967</v>
      </c>
      <c r="AA168" s="56"/>
      <c r="AD168" s="55">
        <f t="shared" si="1012"/>
        <v>46164</v>
      </c>
      <c r="AE168" s="422"/>
      <c r="AF168" s="442">
        <f>SUMPRODUCT(PRODUCE!$B175:$DY175,PRODUCE!$EB$10:$IY$10)</f>
        <v>720</v>
      </c>
      <c r="AG168" s="422">
        <v>720.5</v>
      </c>
      <c r="AH168" s="442">
        <f t="shared" si="1013"/>
        <v>-0.5</v>
      </c>
      <c r="AI168" s="442">
        <f t="shared" si="1014"/>
        <v>13223.000000000018</v>
      </c>
      <c r="AJ168" s="56"/>
      <c r="AM168" s="55">
        <f t="shared" si="1015"/>
        <v>46164</v>
      </c>
      <c r="AN168" s="422"/>
      <c r="AO168" s="444">
        <f>SUMPRODUCT(PRODUCE!$B175:$DY175,PRODUCE!$EB$11:$IY$11)</f>
        <v>0</v>
      </c>
      <c r="AP168" s="422"/>
      <c r="AQ168" s="444">
        <f t="shared" si="1016"/>
        <v>0</v>
      </c>
      <c r="AR168" s="444">
        <f t="shared" si="1017"/>
        <v>0</v>
      </c>
      <c r="AS168" s="56"/>
      <c r="AV168" s="55">
        <f t="shared" si="1018"/>
        <v>46164</v>
      </c>
      <c r="AW168" s="422"/>
      <c r="AX168" s="446">
        <f>SUMPRODUCT(PRODUCE!$B175:$DY175,PRODUCE!$EB$12:$IY$12)</f>
        <v>2700</v>
      </c>
      <c r="AY168" s="422">
        <v>2699.3</v>
      </c>
      <c r="AZ168" s="446">
        <f t="shared" si="1019"/>
        <v>0.6999999999998181</v>
      </c>
      <c r="BA168" s="446">
        <f t="shared" si="1020"/>
        <v>7826.8999999999969</v>
      </c>
      <c r="BB168" s="56"/>
      <c r="BE168" s="55">
        <f t="shared" si="1021"/>
        <v>46164</v>
      </c>
      <c r="BF168" s="422"/>
      <c r="BG168" s="448">
        <f>SUMPRODUCT(PRODUCE!$B175:$DY175,PRODUCE!$EB$13:$IY$13)</f>
        <v>0</v>
      </c>
      <c r="BH168" s="422"/>
      <c r="BI168" s="448">
        <f t="shared" si="1022"/>
        <v>0</v>
      </c>
      <c r="BJ168" s="448">
        <f t="shared" si="1023"/>
        <v>36824.599999999991</v>
      </c>
      <c r="BK168" s="56"/>
      <c r="BN168" s="55">
        <f t="shared" si="1024"/>
        <v>46164</v>
      </c>
      <c r="BO168" s="422">
        <v>468</v>
      </c>
      <c r="BP168" s="450">
        <f>SUMPRODUCT(PRODUCE!$B175:$DY175,PRODUCE!$EB$14:$IY$14)</f>
        <v>468.00000000000006</v>
      </c>
      <c r="BQ168" s="422">
        <v>468</v>
      </c>
      <c r="BR168" s="450">
        <f t="shared" si="1025"/>
        <v>0</v>
      </c>
      <c r="BS168" s="450">
        <f t="shared" si="1026"/>
        <v>0</v>
      </c>
      <c r="BT168" s="56"/>
      <c r="BW168" s="55">
        <f t="shared" si="1027"/>
        <v>46164</v>
      </c>
      <c r="BX168" s="422"/>
      <c r="BY168" s="523">
        <f>SUMPRODUCT(PRODUCE!$B175:$DY175,PRODUCE!$EB$15:$IY$15)</f>
        <v>0</v>
      </c>
      <c r="BZ168" s="422"/>
      <c r="CA168" s="523">
        <f t="shared" si="1028"/>
        <v>0</v>
      </c>
      <c r="CB168" s="523">
        <f t="shared" si="1029"/>
        <v>5736.7999999999993</v>
      </c>
      <c r="CC168" s="56"/>
      <c r="CF168" s="55">
        <f t="shared" si="1030"/>
        <v>46164</v>
      </c>
      <c r="CG168" s="422"/>
      <c r="CH168" s="524">
        <f>SUMPRODUCT(PRODUCE!$B175:$DY175,PRODUCE!$EB$16:$IY$16)</f>
        <v>0</v>
      </c>
      <c r="CI168" s="422"/>
      <c r="CJ168" s="524">
        <f t="shared" si="1031"/>
        <v>0</v>
      </c>
      <c r="CK168" s="524">
        <f t="shared" si="1032"/>
        <v>0</v>
      </c>
      <c r="CL168" s="56"/>
      <c r="CO168" s="55">
        <f t="shared" si="1033"/>
        <v>46164</v>
      </c>
      <c r="CP168" s="422"/>
      <c r="CQ168" s="470">
        <f>SUMPRODUCT(PRODUCE!$B175:$DY175,PRODUCE!$EB$17:$IY$17)</f>
        <v>0</v>
      </c>
      <c r="CR168" s="422"/>
      <c r="CS168" s="470">
        <f t="shared" si="1034"/>
        <v>0</v>
      </c>
      <c r="CT168" s="470">
        <f t="shared" si="1035"/>
        <v>0</v>
      </c>
      <c r="CU168" s="56"/>
      <c r="CX168" s="55">
        <f t="shared" si="1036"/>
        <v>46164</v>
      </c>
      <c r="CY168" s="422"/>
      <c r="CZ168" s="525">
        <f>SUMPRODUCT(PRODUCE!$B175:$DY175,PRODUCE!$EB$18:$IY$18)</f>
        <v>0</v>
      </c>
      <c r="DA168" s="422"/>
      <c r="DB168" s="525">
        <f t="shared" si="1037"/>
        <v>0</v>
      </c>
      <c r="DC168" s="525">
        <f t="shared" si="1038"/>
        <v>21457.000000000004</v>
      </c>
      <c r="DD168" s="56"/>
      <c r="DG168" s="55">
        <f t="shared" si="1039"/>
        <v>46164</v>
      </c>
      <c r="DH168" s="422"/>
      <c r="DI168" s="526">
        <f>SUMPRODUCT(PRODUCE!$B175:$DY175,PRODUCE!$EB$19:$IY$19)</f>
        <v>0</v>
      </c>
      <c r="DJ168" s="422"/>
      <c r="DK168" s="526">
        <f t="shared" si="1040"/>
        <v>0</v>
      </c>
      <c r="DL168" s="526">
        <f t="shared" si="1041"/>
        <v>37737.299999999981</v>
      </c>
      <c r="DM168" s="56"/>
      <c r="DP168" s="55">
        <f t="shared" si="1042"/>
        <v>46164</v>
      </c>
      <c r="DQ168" s="422"/>
      <c r="DR168" s="423">
        <f>SUMPRODUCT(PRODUCE!$B175:$DY175,PRODUCE!$EB$20:$IY$20)</f>
        <v>0</v>
      </c>
      <c r="DS168" s="422"/>
      <c r="DT168" s="423">
        <f t="shared" si="1043"/>
        <v>0</v>
      </c>
      <c r="DU168" s="423">
        <f t="shared" si="1044"/>
        <v>5800</v>
      </c>
      <c r="DV168" s="56"/>
      <c r="DY168" s="55">
        <f t="shared" si="1045"/>
        <v>46164</v>
      </c>
      <c r="DZ168" s="56"/>
      <c r="EA168" s="157">
        <f>SUMPRODUCT(PRODUCE!$B175:$DY175,PRODUCE!$EB$21:$IY$21)</f>
        <v>0</v>
      </c>
      <c r="EB168" s="56"/>
      <c r="EC168" s="157">
        <f t="shared" si="1046"/>
        <v>0</v>
      </c>
      <c r="ED168" s="157">
        <f t="shared" si="1047"/>
        <v>0</v>
      </c>
      <c r="EE168" s="56"/>
      <c r="EH168" s="55">
        <f t="shared" si="1048"/>
        <v>46164</v>
      </c>
      <c r="EI168" s="56"/>
      <c r="EJ168" s="162">
        <f>SUMPRODUCT(PRODUCE!$B175:$DY175,PRODUCE!$EB$22:$IY$22)</f>
        <v>0</v>
      </c>
      <c r="EK168" s="56"/>
      <c r="EL168" s="162">
        <f t="shared" si="1049"/>
        <v>0</v>
      </c>
      <c r="EM168" s="162">
        <f t="shared" si="1050"/>
        <v>0</v>
      </c>
      <c r="EN168" s="56"/>
      <c r="EQ168" s="55">
        <f t="shared" si="1051"/>
        <v>46164</v>
      </c>
      <c r="ER168" s="56"/>
      <c r="ES168" s="135">
        <f>SUMPRODUCT(PRODUCE!$B175:$DY175,PRODUCE!$EB$23:$IY$23)</f>
        <v>0</v>
      </c>
      <c r="ET168" s="56"/>
      <c r="EU168" s="135">
        <f t="shared" si="1052"/>
        <v>0</v>
      </c>
      <c r="EV168" s="135">
        <f t="shared" si="1053"/>
        <v>0</v>
      </c>
      <c r="EW168" s="56"/>
      <c r="EZ168" s="55">
        <f t="shared" si="1054"/>
        <v>46164</v>
      </c>
      <c r="FA168" s="56"/>
      <c r="FB168" s="175">
        <f>SUMPRODUCT(PRODUCE!$B175:$DY175,PRODUCE!$EB$24:$IY$24)</f>
        <v>0</v>
      </c>
      <c r="FC168" s="56"/>
      <c r="FD168" s="175">
        <f t="shared" si="1055"/>
        <v>0</v>
      </c>
      <c r="FE168" s="175">
        <f t="shared" si="1056"/>
        <v>0</v>
      </c>
      <c r="FF168" s="56"/>
      <c r="FI168" s="55">
        <f t="shared" si="1057"/>
        <v>46164</v>
      </c>
      <c r="FJ168" s="56"/>
      <c r="FK168" s="183">
        <f>SUMPRODUCT(PRODUCE!$B175:$DY175,PRODUCE!$EB$25:$IY$25)</f>
        <v>0</v>
      </c>
      <c r="FL168" s="56"/>
      <c r="FM168" s="183">
        <f t="shared" si="1058"/>
        <v>0</v>
      </c>
      <c r="FN168" s="183">
        <f t="shared" si="1059"/>
        <v>0</v>
      </c>
      <c r="FO168" s="56"/>
      <c r="FR168" s="55">
        <f t="shared" si="1060"/>
        <v>46164</v>
      </c>
      <c r="FS168" s="56"/>
      <c r="FT168" s="186">
        <f>SUMPRODUCT(PRODUCE!$B175:$DY175,PRODUCE!$EB$26:$IY$26)</f>
        <v>0</v>
      </c>
      <c r="FU168" s="56"/>
      <c r="FV168" s="186">
        <f t="shared" si="1061"/>
        <v>0</v>
      </c>
      <c r="FW168" s="186">
        <f t="shared" si="1062"/>
        <v>4140</v>
      </c>
      <c r="FX168" s="56"/>
      <c r="GA168" s="55">
        <f t="shared" si="1063"/>
        <v>46164</v>
      </c>
      <c r="GB168" s="56"/>
      <c r="GC168" s="137">
        <f>SUMPRODUCT(PRODUCE!$B175:$DY175,PRODUCE!$EB$27:$IY$27)</f>
        <v>0</v>
      </c>
      <c r="GD168" s="56"/>
      <c r="GE168" s="137">
        <f t="shared" si="1064"/>
        <v>0</v>
      </c>
      <c r="GF168" s="137">
        <f t="shared" si="1065"/>
        <v>5040</v>
      </c>
      <c r="GG168" s="56"/>
      <c r="GI168" s="23"/>
      <c r="GJ168" s="55">
        <f t="shared" si="1066"/>
        <v>46164</v>
      </c>
      <c r="GK168" s="56"/>
      <c r="GL168" s="199">
        <f>SUMPRODUCT(PRODUCE!$B175:$DY175,PRODUCE!$EB$28:$IY$28)</f>
        <v>0</v>
      </c>
      <c r="GM168" s="56"/>
      <c r="GN168" s="199">
        <f t="shared" si="1067"/>
        <v>0</v>
      </c>
      <c r="GO168" s="199">
        <f t="shared" si="1068"/>
        <v>3760</v>
      </c>
      <c r="GP168" s="56"/>
      <c r="GS168" s="55">
        <f t="shared" si="1069"/>
        <v>46164</v>
      </c>
      <c r="GT168" s="56"/>
      <c r="GU168" s="195">
        <f>SUMPRODUCT(PRODUCE!$B175:$DY175,PRODUCE!$EB$29:$IY$29)</f>
        <v>720</v>
      </c>
      <c r="GV168" s="56"/>
      <c r="GW168" s="195">
        <f t="shared" si="1070"/>
        <v>720</v>
      </c>
      <c r="GX168" s="195">
        <f t="shared" si="1071"/>
        <v>1320</v>
      </c>
      <c r="GY168" s="56"/>
      <c r="HB168" s="55">
        <f t="shared" si="1072"/>
        <v>46164</v>
      </c>
      <c r="HC168" s="56"/>
      <c r="HD168" s="191">
        <f>SUMPRODUCT(PRODUCE!$B175:$DY175,PRODUCE!$EB$30:$IY$30)</f>
        <v>0</v>
      </c>
      <c r="HE168" s="56"/>
      <c r="HF168" s="191">
        <f t="shared" si="1073"/>
        <v>0</v>
      </c>
      <c r="HG168" s="191">
        <f t="shared" si="1074"/>
        <v>3600</v>
      </c>
      <c r="HH168" s="56"/>
      <c r="HK168" s="55">
        <f t="shared" si="1075"/>
        <v>46164</v>
      </c>
      <c r="HL168" s="56"/>
      <c r="HM168" s="63">
        <f>SUMPRODUCT(PRODUCE!$B175:$DY175,PRODUCE!$EB$31:$IY$31)</f>
        <v>0</v>
      </c>
      <c r="HN168" s="56"/>
      <c r="HO168" s="63">
        <f t="shared" si="1076"/>
        <v>0</v>
      </c>
      <c r="HP168" s="63">
        <f t="shared" si="1077"/>
        <v>0</v>
      </c>
      <c r="HQ168" s="56"/>
      <c r="HU168" s="55">
        <f t="shared" si="1078"/>
        <v>46164</v>
      </c>
      <c r="HV168" s="56"/>
      <c r="HW168" s="242">
        <f>SUMPRODUCT(PRODUCE!$B175:$DY175,PRODUCE!$EB$32:$IY$32)</f>
        <v>0</v>
      </c>
      <c r="HX168" s="56"/>
      <c r="HY168" s="242">
        <f t="shared" si="1079"/>
        <v>0</v>
      </c>
      <c r="HZ168" s="242">
        <f t="shared" si="1080"/>
        <v>7080</v>
      </c>
      <c r="IA168" s="56"/>
      <c r="ID168" s="55">
        <f t="shared" si="1081"/>
        <v>46164</v>
      </c>
      <c r="IE168" s="56"/>
      <c r="IF168" s="242">
        <f>SUMPRODUCT(PRODUCE!$B175:$DY175,PRODUCE!$EB$33:$IY$33)</f>
        <v>0</v>
      </c>
      <c r="IG168" s="56"/>
      <c r="IH168" s="242">
        <f t="shared" si="1082"/>
        <v>0</v>
      </c>
      <c r="II168" s="242">
        <f t="shared" si="1083"/>
        <v>720</v>
      </c>
      <c r="IJ168" s="56"/>
      <c r="IM168" s="55">
        <f t="shared" si="1084"/>
        <v>46164</v>
      </c>
      <c r="IN168" s="56"/>
      <c r="IO168" s="242">
        <f>SUMPRODUCT(PRODUCE!$B175:$DY175,PRODUCE!$EB$34:$IY$34)</f>
        <v>0</v>
      </c>
      <c r="IP168" s="56"/>
      <c r="IQ168" s="242">
        <f t="shared" si="1085"/>
        <v>0</v>
      </c>
      <c r="IR168" s="242">
        <f t="shared" si="1086"/>
        <v>11540</v>
      </c>
      <c r="IS168" s="56"/>
      <c r="IV168" s="55">
        <f t="shared" si="1087"/>
        <v>46164</v>
      </c>
      <c r="IW168" s="56"/>
      <c r="IX168" s="242">
        <f>SUMPRODUCT(PRODUCE!$B175:$DY175,PRODUCE!$EB$35:$IY$35)</f>
        <v>0</v>
      </c>
      <c r="IY168" s="56"/>
      <c r="IZ168" s="242">
        <f t="shared" si="1088"/>
        <v>0</v>
      </c>
      <c r="JA168" s="242">
        <f t="shared" si="1089"/>
        <v>12860</v>
      </c>
      <c r="JB168" s="56"/>
      <c r="JE168" s="55">
        <f t="shared" si="1090"/>
        <v>46164</v>
      </c>
      <c r="JF168" s="56"/>
      <c r="JG168" s="242">
        <f>SUMPRODUCT(PRODUCE!$B175:$DY175,PRODUCE!$EB$36:$IY$36)</f>
        <v>0</v>
      </c>
      <c r="JH168" s="56"/>
      <c r="JI168" s="242">
        <f t="shared" si="1091"/>
        <v>0</v>
      </c>
      <c r="JJ168" s="242">
        <f t="shared" si="1092"/>
        <v>0</v>
      </c>
      <c r="JK168" s="56"/>
      <c r="JN168" s="55">
        <f t="shared" si="1093"/>
        <v>46164</v>
      </c>
      <c r="JO168" s="56"/>
      <c r="JP168" s="242">
        <f>SUMPRODUCT(PRODUCE!$B175:$DY175,PRODUCE!$EB$37:$IY$37)</f>
        <v>0</v>
      </c>
      <c r="JQ168" s="56"/>
      <c r="JR168" s="242">
        <f t="shared" si="1094"/>
        <v>0</v>
      </c>
      <c r="JS168" s="242">
        <f t="shared" si="1095"/>
        <v>5500</v>
      </c>
      <c r="JT168" s="56"/>
      <c r="JW168" s="55">
        <f t="shared" si="1096"/>
        <v>46164</v>
      </c>
      <c r="JX168" s="56"/>
      <c r="JY168" s="242">
        <f>SUMPRODUCT(PRODUCE!$B175:$DY175,PRODUCE!$EB$38:$IY$38)</f>
        <v>0</v>
      </c>
      <c r="JZ168" s="56"/>
      <c r="KA168" s="242">
        <f t="shared" si="1097"/>
        <v>0</v>
      </c>
      <c r="KB168" s="242">
        <f t="shared" si="1098"/>
        <v>2540</v>
      </c>
      <c r="KC168" s="56"/>
      <c r="KF168" s="55">
        <f t="shared" si="1099"/>
        <v>46164</v>
      </c>
      <c r="KG168" s="56"/>
      <c r="KH168" s="242">
        <f>SUMPRODUCT(PRODUCE!$B175:$DY175,PRODUCE!$EB$39:$IY$39)</f>
        <v>0</v>
      </c>
      <c r="KI168" s="56"/>
      <c r="KJ168" s="242">
        <f t="shared" si="1100"/>
        <v>0</v>
      </c>
      <c r="KK168" s="242">
        <f t="shared" si="1101"/>
        <v>2359.5</v>
      </c>
      <c r="KL168" s="56"/>
      <c r="KO168" s="55">
        <f t="shared" si="1102"/>
        <v>46164</v>
      </c>
      <c r="KP168" s="56"/>
      <c r="KQ168" s="242">
        <f>SUMPRODUCT(PRODUCE!$B175:$DY175,PRODUCE!$EB$40:$IY$40)</f>
        <v>0</v>
      </c>
      <c r="KR168" s="56"/>
      <c r="KS168" s="242">
        <f t="shared" si="1103"/>
        <v>0</v>
      </c>
      <c r="KT168" s="242">
        <f t="shared" si="1104"/>
        <v>1890</v>
      </c>
      <c r="KU168" s="56"/>
      <c r="KW168" s="23"/>
      <c r="KX168" s="55">
        <f t="shared" si="1105"/>
        <v>46164</v>
      </c>
      <c r="KY168" s="56"/>
      <c r="KZ168" s="242">
        <f>SUMPRODUCT(PRODUCE!$B175:$DY175,PRODUCE!$EB$41:$IY$41)</f>
        <v>0</v>
      </c>
      <c r="LA168" s="56"/>
      <c r="LB168" s="242">
        <f t="shared" si="1106"/>
        <v>0</v>
      </c>
      <c r="LC168" s="242">
        <f t="shared" si="1107"/>
        <v>3690</v>
      </c>
      <c r="LD168" s="56"/>
      <c r="LG168" s="55">
        <f t="shared" si="1108"/>
        <v>46164</v>
      </c>
      <c r="LH168" s="56"/>
      <c r="LI168" s="242">
        <f>SUMPRODUCT(PRODUCE!$B175:$DY175,PRODUCE!$EB$42:$IY$42)</f>
        <v>0</v>
      </c>
      <c r="LJ168" s="56"/>
      <c r="LK168" s="242">
        <f t="shared" si="1109"/>
        <v>0</v>
      </c>
      <c r="LL168" s="242">
        <f t="shared" si="1110"/>
        <v>4000</v>
      </c>
      <c r="LM168" s="56"/>
      <c r="LP168" s="55">
        <f t="shared" si="1111"/>
        <v>46164</v>
      </c>
      <c r="LQ168" s="56"/>
      <c r="LR168" s="242">
        <f>SUMPRODUCT(PRODUCE!$B183:$DY183,PRODUCE!$EB$43:$IY$43)</f>
        <v>0</v>
      </c>
      <c r="LS168" s="56"/>
      <c r="LT168" s="242">
        <f t="shared" si="1112"/>
        <v>0</v>
      </c>
      <c r="LU168" s="242">
        <f t="shared" si="1113"/>
        <v>0</v>
      </c>
      <c r="LV168" s="56"/>
      <c r="LY168" s="55">
        <f t="shared" si="1114"/>
        <v>46164</v>
      </c>
      <c r="LZ168" s="56"/>
      <c r="MA168" s="242">
        <f>SUMPRODUCT(PRODUCE!$B175:$DY175,PRODUCE!$EB$44:$IY$44)</f>
        <v>0</v>
      </c>
      <c r="MB168" s="56"/>
      <c r="MC168" s="242">
        <f t="shared" si="1115"/>
        <v>0</v>
      </c>
      <c r="MD168" s="242">
        <f t="shared" si="1116"/>
        <v>0</v>
      </c>
      <c r="ME168" s="56"/>
      <c r="MH168" s="55">
        <f t="shared" si="1117"/>
        <v>46164</v>
      </c>
      <c r="MI168" s="56"/>
      <c r="MJ168" s="242">
        <f>SUMPRODUCT(PRODUCE!$B175:$DY175,PRODUCE!$EB$45:$IY$45)</f>
        <v>0</v>
      </c>
      <c r="MK168" s="56"/>
      <c r="ML168" s="242">
        <f t="shared" si="1118"/>
        <v>0</v>
      </c>
      <c r="MM168" s="242">
        <f t="shared" si="1119"/>
        <v>0</v>
      </c>
      <c r="MN168" s="56"/>
      <c r="MQ168" s="55">
        <f t="shared" si="1120"/>
        <v>46164</v>
      </c>
      <c r="MR168" s="56"/>
      <c r="MS168" s="242">
        <f>SUMPRODUCT(PRODUCE!$B175:$DY175,PRODUCE!$EB$46:$IY$46)</f>
        <v>0</v>
      </c>
      <c r="MT168" s="56"/>
      <c r="MU168" s="242">
        <f t="shared" si="1121"/>
        <v>0</v>
      </c>
      <c r="MV168" s="242">
        <f t="shared" si="1122"/>
        <v>3761</v>
      </c>
      <c r="MW168" s="56"/>
      <c r="MZ168" s="55">
        <f t="shared" si="1123"/>
        <v>46164</v>
      </c>
      <c r="NA168" s="56"/>
      <c r="NB168" s="242">
        <f>SUMPRODUCT(PRODUCE!$B175:$DY175,PRODUCE!$EB$47:$IY$47)</f>
        <v>180</v>
      </c>
      <c r="NC168" s="56"/>
      <c r="ND168" s="242">
        <f t="shared" si="1124"/>
        <v>180</v>
      </c>
      <c r="NE168" s="242">
        <f t="shared" si="1125"/>
        <v>0</v>
      </c>
      <c r="NF168" s="56"/>
      <c r="NI168" s="55">
        <f t="shared" si="1126"/>
        <v>46164</v>
      </c>
      <c r="NJ168" s="56"/>
      <c r="NK168" s="242">
        <f>SUMPRODUCT(PRODUCE!$B175:$DY175,PRODUCE!$EB$48:$IY$48)</f>
        <v>0</v>
      </c>
      <c r="NL168" s="56"/>
      <c r="NM168" s="242">
        <f t="shared" si="1127"/>
        <v>0</v>
      </c>
      <c r="NN168" s="242">
        <f t="shared" si="1128"/>
        <v>1127</v>
      </c>
      <c r="NO168" s="56"/>
      <c r="NR168" s="55">
        <f t="shared" si="1129"/>
        <v>46164</v>
      </c>
      <c r="NS168" s="56"/>
      <c r="NT168" s="242">
        <f>SUMPRODUCT(PRODUCE!$B175:$DY175,PRODUCE!$EB$49:$IY$49)</f>
        <v>0</v>
      </c>
      <c r="NU168" s="56"/>
      <c r="NV168" s="242">
        <f t="shared" si="1130"/>
        <v>0</v>
      </c>
      <c r="NW168" s="242">
        <f t="shared" si="1131"/>
        <v>3111.9999999999995</v>
      </c>
      <c r="NX168" s="56"/>
      <c r="OA168" s="55">
        <f t="shared" si="1132"/>
        <v>46164</v>
      </c>
      <c r="OB168" s="56"/>
      <c r="OC168" s="242">
        <f>SUMPRODUCT(PRODUCE!$B175:$DY175,PRODUCE!$EB$50:$IY$50)</f>
        <v>0</v>
      </c>
      <c r="OD168" s="56"/>
      <c r="OE168" s="242">
        <f t="shared" si="1133"/>
        <v>0</v>
      </c>
      <c r="OF168" s="242">
        <f t="shared" si="1134"/>
        <v>1680.5</v>
      </c>
      <c r="OG168" s="56"/>
      <c r="OJ168" s="55">
        <f t="shared" si="1135"/>
        <v>46164</v>
      </c>
      <c r="OK168" s="56"/>
      <c r="OL168" s="242">
        <f>SUMPRODUCT(PRODUCE!$B175:$DY175,PRODUCE!$EB$51:$IY$51)</f>
        <v>72</v>
      </c>
      <c r="OM168" s="56"/>
      <c r="ON168" s="242">
        <f t="shared" si="1136"/>
        <v>72</v>
      </c>
      <c r="OO168" s="242">
        <f t="shared" si="1137"/>
        <v>0</v>
      </c>
      <c r="OP168" s="56"/>
      <c r="OS168" s="55">
        <f t="shared" si="1138"/>
        <v>46164</v>
      </c>
      <c r="OT168" s="56"/>
      <c r="OU168" s="242">
        <f>SUMPRODUCT(PRODUCE!$B175:$DY175,PRODUCE!$EB$52:$IY$52)</f>
        <v>0</v>
      </c>
      <c r="OV168" s="56"/>
      <c r="OW168" s="242">
        <f t="shared" si="1139"/>
        <v>0</v>
      </c>
      <c r="OX168" s="242">
        <f t="shared" si="1140"/>
        <v>1482</v>
      </c>
      <c r="OY168" s="56"/>
      <c r="PB168" s="55">
        <f t="shared" si="1141"/>
        <v>46164</v>
      </c>
      <c r="PC168" s="56"/>
      <c r="PD168" s="242">
        <f>SUMPRODUCT(PRODUCE!$B175:$DY175,PRODUCE!$EB$53:$IY$53)</f>
        <v>0</v>
      </c>
      <c r="PE168" s="56"/>
      <c r="PF168" s="242">
        <f t="shared" si="1142"/>
        <v>0</v>
      </c>
      <c r="PG168" s="242">
        <f t="shared" si="1143"/>
        <v>0</v>
      </c>
      <c r="PH168" s="56"/>
      <c r="PK168" s="55">
        <f t="shared" si="1144"/>
        <v>46164</v>
      </c>
      <c r="PL168" s="56"/>
      <c r="PM168" s="242">
        <f>SUMPRODUCT(PRODUCE!$B175:$DY175,PRODUCE!$EB$54:$IY$54)</f>
        <v>0</v>
      </c>
      <c r="PN168" s="56"/>
      <c r="PO168" s="242">
        <f t="shared" si="1145"/>
        <v>0</v>
      </c>
      <c r="PP168" s="242">
        <f t="shared" si="1146"/>
        <v>100</v>
      </c>
      <c r="PQ168" s="56"/>
      <c r="PT168" s="55">
        <f t="shared" si="1147"/>
        <v>46164</v>
      </c>
      <c r="PU168" s="56"/>
      <c r="PV168" s="242">
        <f>SUMPRODUCT(PRODUCE!$B175:$DY175,PRODUCE!$EB$55:$IY$55)</f>
        <v>0</v>
      </c>
      <c r="PW168" s="56"/>
      <c r="PX168" s="242">
        <f t="shared" si="1148"/>
        <v>0</v>
      </c>
      <c r="PY168" s="242">
        <f t="shared" si="1149"/>
        <v>13.960000000000036</v>
      </c>
      <c r="PZ168" s="56"/>
      <c r="QC168" s="55">
        <f t="shared" si="1150"/>
        <v>46164</v>
      </c>
      <c r="QD168" s="56"/>
      <c r="QE168" s="242">
        <f>SUMPRODUCT(PRODUCE!$B175:$DY175,PRODUCE!$EB$56:$IY$56)</f>
        <v>0</v>
      </c>
      <c r="QF168" s="56"/>
      <c r="QG168" s="242">
        <f t="shared" si="1151"/>
        <v>0</v>
      </c>
      <c r="QH168" s="242">
        <f t="shared" si="1152"/>
        <v>876</v>
      </c>
      <c r="QI168" s="56"/>
      <c r="QL168" s="55">
        <f t="shared" si="1153"/>
        <v>46164</v>
      </c>
      <c r="QM168" s="56"/>
      <c r="QN168" s="242">
        <f>SUMPRODUCT(PRODUCE!$B175:$DY175,PRODUCE!$EB$57:$IY$57)</f>
        <v>0</v>
      </c>
      <c r="QO168" s="56"/>
      <c r="QP168" s="242">
        <f t="shared" si="1154"/>
        <v>0</v>
      </c>
      <c r="QQ168" s="242">
        <f t="shared" si="1155"/>
        <v>515</v>
      </c>
      <c r="QR168" s="56"/>
      <c r="QU168" s="55">
        <f t="shared" si="1156"/>
        <v>46164</v>
      </c>
      <c r="QV168" s="56"/>
      <c r="QW168" s="242">
        <f>SUMPRODUCT(PRODUCE!$B175:$DY175,PRODUCE!$EB$58:$IY$58)</f>
        <v>0</v>
      </c>
      <c r="QX168" s="56"/>
      <c r="QY168" s="242">
        <f t="shared" si="1157"/>
        <v>0</v>
      </c>
      <c r="QZ168" s="242">
        <f t="shared" si="1158"/>
        <v>207.6</v>
      </c>
      <c r="RA168" s="56"/>
      <c r="RD168" s="55">
        <f t="shared" si="1159"/>
        <v>46164</v>
      </c>
      <c r="RE168" s="56"/>
      <c r="RF168" s="242">
        <f>SUMPRODUCT(PRODUCE!$B175:$DY175,PRODUCE!$EB$59:$IY$59)</f>
        <v>0</v>
      </c>
      <c r="RG168" s="56"/>
      <c r="RH168" s="242">
        <f t="shared" si="1160"/>
        <v>0</v>
      </c>
      <c r="RI168" s="242">
        <f t="shared" si="1161"/>
        <v>147.04000000000002</v>
      </c>
      <c r="RJ168" s="56"/>
      <c r="RM168" s="55">
        <f t="shared" si="1162"/>
        <v>46164</v>
      </c>
      <c r="RN168" s="56"/>
      <c r="RO168" s="242">
        <f>SUMPRODUCT(PRODUCE!$B175:$DY175,PRODUCE!$EB$60:$IY$60)</f>
        <v>0</v>
      </c>
      <c r="RP168" s="56"/>
      <c r="RQ168" s="242">
        <f t="shared" si="1163"/>
        <v>0</v>
      </c>
      <c r="RR168" s="242">
        <f t="shared" si="1164"/>
        <v>46.8</v>
      </c>
      <c r="RS168" s="56"/>
      <c r="RV168" s="55">
        <f t="shared" si="1165"/>
        <v>46164</v>
      </c>
      <c r="RW168" s="56"/>
      <c r="RX168" s="242">
        <f>SUMPRODUCT(PRODUCE!$B175:$DY175,PRODUCE!$EB$61:$IY$61)</f>
        <v>0</v>
      </c>
      <c r="RY168" s="56"/>
      <c r="RZ168" s="242">
        <f t="shared" si="1166"/>
        <v>0</v>
      </c>
      <c r="SA168" s="242">
        <f t="shared" si="1167"/>
        <v>0</v>
      </c>
      <c r="SB168" s="56"/>
      <c r="SE168" s="55">
        <f t="shared" si="1168"/>
        <v>46164</v>
      </c>
      <c r="SF168" s="56"/>
      <c r="SG168" s="242">
        <f>SUMPRODUCT(PRODUCE!$B175:$DY175,PRODUCE!$EB$62:$IY$62)</f>
        <v>0</v>
      </c>
      <c r="SH168" s="56"/>
      <c r="SI168" s="242">
        <f t="shared" si="1169"/>
        <v>0</v>
      </c>
      <c r="SJ168" s="242">
        <f t="shared" si="1170"/>
        <v>24.200000000000003</v>
      </c>
      <c r="SK168" s="56"/>
      <c r="SN168" s="55">
        <f t="shared" si="1171"/>
        <v>46164</v>
      </c>
      <c r="SO168" s="56"/>
      <c r="SP168" s="242">
        <f>SUMPRODUCT(PRODUCE!$B175:$DY175,PRODUCE!$EB$63:$IY$63)</f>
        <v>0</v>
      </c>
      <c r="SQ168" s="56"/>
      <c r="SR168" s="242">
        <f t="shared" si="1172"/>
        <v>0</v>
      </c>
      <c r="SS168" s="242">
        <f t="shared" si="1173"/>
        <v>32</v>
      </c>
      <c r="ST168" s="56"/>
      <c r="SW168" s="55">
        <f t="shared" si="1174"/>
        <v>46164</v>
      </c>
      <c r="SX168" s="56"/>
      <c r="SY168" s="242">
        <f>SUMPRODUCT(PRODUCE!$B175:$DY175,PRODUCE!$EB$64:$IY$64)</f>
        <v>0</v>
      </c>
      <c r="SZ168" s="56"/>
      <c r="TA168" s="242">
        <f t="shared" si="1175"/>
        <v>0</v>
      </c>
      <c r="TB168" s="242">
        <f t="shared" si="1176"/>
        <v>0</v>
      </c>
      <c r="TC168" s="56"/>
      <c r="TF168" s="55">
        <f t="shared" si="1177"/>
        <v>46164</v>
      </c>
      <c r="TG168" s="56"/>
      <c r="TH168" s="242">
        <f>SUMPRODUCT(PRODUCE!$B175:$DY175,PRODUCE!$EB$65:$IY$65)</f>
        <v>36</v>
      </c>
      <c r="TI168" s="56"/>
      <c r="TJ168" s="242">
        <f t="shared" si="1178"/>
        <v>36</v>
      </c>
      <c r="TK168" s="242">
        <f t="shared" si="1179"/>
        <v>0</v>
      </c>
      <c r="TL168" s="56"/>
      <c r="TO168" s="55">
        <f t="shared" si="1180"/>
        <v>46164</v>
      </c>
      <c r="TP168" s="56"/>
      <c r="TQ168" s="242">
        <f>SUMPRODUCT(PRODUCE!$B175:$DY175,PRODUCE!$EB$66:$IY$66)</f>
        <v>0</v>
      </c>
      <c r="TR168" s="56"/>
      <c r="TS168" s="242">
        <f t="shared" si="1181"/>
        <v>0</v>
      </c>
      <c r="TT168" s="242">
        <f t="shared" si="1182"/>
        <v>0</v>
      </c>
      <c r="TU168" s="56"/>
      <c r="TX168" s="55">
        <f t="shared" si="1183"/>
        <v>46164</v>
      </c>
      <c r="TY168" s="56"/>
      <c r="TZ168" s="242">
        <f>SUMPRODUCT(PRODUCE!$B175:$DY175,PRODUCE!$EB$67:$IY$67)</f>
        <v>0</v>
      </c>
      <c r="UA168" s="56"/>
      <c r="UB168" s="242">
        <f t="shared" si="1184"/>
        <v>0</v>
      </c>
      <c r="UC168" s="242">
        <f t="shared" si="1185"/>
        <v>0</v>
      </c>
      <c r="UD168" s="56"/>
      <c r="UG168" s="55">
        <f t="shared" si="1186"/>
        <v>46164</v>
      </c>
      <c r="UH168" s="56"/>
      <c r="UI168" s="242">
        <f>SUMPRODUCT(PRODUCE!$B175:$DY175,PRODUCE!$EB$68:$IY$68)</f>
        <v>0</v>
      </c>
      <c r="UJ168" s="56"/>
      <c r="UK168" s="242">
        <f t="shared" si="1187"/>
        <v>0</v>
      </c>
      <c r="UL168" s="242">
        <f t="shared" si="1188"/>
        <v>0</v>
      </c>
      <c r="UM168" s="56"/>
      <c r="UP168" s="55">
        <f t="shared" si="1189"/>
        <v>46164</v>
      </c>
      <c r="UQ168" s="56"/>
      <c r="UR168" s="242">
        <f>SUMPRODUCT(PRODUCE!$B175:$DY175,PRODUCE!$EB$69:$IY$69)</f>
        <v>0</v>
      </c>
      <c r="US168" s="56"/>
      <c r="UT168" s="242">
        <f t="shared" si="1190"/>
        <v>0</v>
      </c>
      <c r="UU168" s="242">
        <f t="shared" si="1191"/>
        <v>0</v>
      </c>
      <c r="UV168" s="56"/>
      <c r="UY168" s="55">
        <f t="shared" si="1192"/>
        <v>46164</v>
      </c>
      <c r="UZ168" s="56"/>
      <c r="VA168" s="242">
        <f>SUMPRODUCT(PRODUCE!$B175:$DY175,PRODUCE!$EB$70:$IY$70)</f>
        <v>0</v>
      </c>
      <c r="VB168" s="56"/>
      <c r="VC168" s="242">
        <f t="shared" si="1193"/>
        <v>0</v>
      </c>
      <c r="VD168" s="242">
        <f t="shared" si="1194"/>
        <v>41.600000000000023</v>
      </c>
      <c r="VE168" s="56"/>
      <c r="VH168" s="55">
        <f t="shared" si="1195"/>
        <v>46164</v>
      </c>
      <c r="VI168" s="56"/>
      <c r="VJ168" s="242">
        <f>SUMPRODUCT(PRODUCE!$B175:$DY175,PRODUCE!$EB$71:$IY$71)</f>
        <v>0</v>
      </c>
      <c r="VK168" s="56"/>
      <c r="VL168" s="242">
        <f t="shared" si="1196"/>
        <v>0</v>
      </c>
      <c r="VM168" s="242">
        <f t="shared" si="1197"/>
        <v>0</v>
      </c>
      <c r="VN168" s="56"/>
      <c r="VQ168" s="55">
        <f t="shared" si="1198"/>
        <v>46164</v>
      </c>
      <c r="VR168" s="56"/>
      <c r="VS168" s="242">
        <f>SUMPRODUCT(PRODUCE!$B175:$DY175,PRODUCE!$EB$57:$IY$57)</f>
        <v>0</v>
      </c>
      <c r="VT168" s="56"/>
      <c r="VU168" s="242">
        <f t="shared" si="1199"/>
        <v>0</v>
      </c>
      <c r="VV168" s="242">
        <f t="shared" si="1200"/>
        <v>0</v>
      </c>
      <c r="VW168" s="56"/>
      <c r="VZ168" s="55">
        <f t="shared" si="1201"/>
        <v>46164</v>
      </c>
      <c r="WA168" s="56"/>
      <c r="WB168" s="242">
        <f>SUMPRODUCT(PRODUCE!$B175:$DY175,PRODUCE!$EB$57:$IY$57)</f>
        <v>0</v>
      </c>
      <c r="WC168" s="56"/>
      <c r="WD168" s="242">
        <f t="shared" si="1202"/>
        <v>0</v>
      </c>
      <c r="WE168" s="242">
        <f t="shared" si="1203"/>
        <v>0</v>
      </c>
      <c r="WF168" s="56"/>
      <c r="WI168" s="55">
        <f t="shared" si="1204"/>
        <v>46164</v>
      </c>
      <c r="WJ168" s="422"/>
      <c r="WK168" s="540">
        <f>SUMPRODUCT(PRODUCE!$B175:$DY175,PRODUCE!$EB$74:$IY$74)</f>
        <v>0</v>
      </c>
      <c r="WL168" s="422">
        <v>718</v>
      </c>
      <c r="WM168" s="540">
        <f t="shared" si="1205"/>
        <v>-718</v>
      </c>
      <c r="WN168" s="540">
        <f t="shared" si="1206"/>
        <v>1599</v>
      </c>
      <c r="WO168" s="56"/>
      <c r="WR168" s="55">
        <f t="shared" si="1207"/>
        <v>46164</v>
      </c>
      <c r="WS168" s="422"/>
      <c r="WT168" s="540">
        <f>SUMPRODUCT(PRODUCE!$B175:$DY175,PRODUCE!$EB$75:$IY$75)</f>
        <v>0</v>
      </c>
      <c r="WU168" s="422"/>
      <c r="WV168" s="540">
        <f t="shared" si="1208"/>
        <v>0</v>
      </c>
      <c r="WW168" s="540">
        <f t="shared" si="1209"/>
        <v>0</v>
      </c>
      <c r="WX168" s="56"/>
      <c r="XA168" s="55">
        <f t="shared" si="1210"/>
        <v>46164</v>
      </c>
      <c r="XB168" s="422"/>
      <c r="XC168" s="540">
        <f>SUMPRODUCT(PRODUCE!$B175:$DY175,PRODUCE!$EB$76:$IY$76)</f>
        <v>0</v>
      </c>
      <c r="XD168" s="422"/>
      <c r="XE168" s="540">
        <f t="shared" si="1211"/>
        <v>0</v>
      </c>
      <c r="XF168" s="540">
        <f t="shared" si="1212"/>
        <v>8023</v>
      </c>
      <c r="XG168" s="56"/>
      <c r="XJ168" s="55">
        <f t="shared" si="1213"/>
        <v>46164</v>
      </c>
      <c r="XK168" s="422"/>
      <c r="XL168" s="540">
        <f>SUMPRODUCT(PRODUCE!$B175:$DY175,PRODUCE!$EB$77:$IY$77)</f>
        <v>0</v>
      </c>
      <c r="XM168" s="422"/>
      <c r="XN168" s="540">
        <f t="shared" si="1214"/>
        <v>0</v>
      </c>
      <c r="XO168" s="540">
        <f t="shared" si="1215"/>
        <v>-234</v>
      </c>
      <c r="XP168" s="56"/>
      <c r="XS168" s="55">
        <f t="shared" si="1216"/>
        <v>46164</v>
      </c>
      <c r="XT168" s="56"/>
      <c r="XU168" s="242">
        <f>SUMPRODUCT(PRODUCE!$B175:$DY175,PRODUCE!$EB$78:$IY$78)</f>
        <v>0</v>
      </c>
      <c r="XV168" s="56"/>
      <c r="XW168" s="242">
        <f t="shared" si="1217"/>
        <v>0</v>
      </c>
      <c r="XX168" s="242">
        <f t="shared" si="1218"/>
        <v>1901</v>
      </c>
      <c r="XY168" s="56"/>
      <c r="YB168" s="55">
        <f t="shared" si="1219"/>
        <v>46164</v>
      </c>
      <c r="YC168" s="56"/>
      <c r="YD168" s="242">
        <f>SUMPRODUCT(PRODUCE!$B175:$DY175,PRODUCE!$EB$79:$IY$79)</f>
        <v>0</v>
      </c>
      <c r="YE168" s="56"/>
      <c r="YF168" s="242">
        <f t="shared" si="1220"/>
        <v>0</v>
      </c>
      <c r="YG168" s="242">
        <f t="shared" si="1221"/>
        <v>6459</v>
      </c>
      <c r="YH168" s="56"/>
      <c r="YK168" s="55">
        <f t="shared" si="1222"/>
        <v>46164</v>
      </c>
      <c r="YL168" s="56"/>
      <c r="YM168" s="242">
        <f>SUMPRODUCT(PRODUCE!$B175:$DY175,PRODUCE!$EB$80:$IY$80)</f>
        <v>0</v>
      </c>
      <c r="YN168" s="56"/>
      <c r="YO168" s="242">
        <f t="shared" si="1223"/>
        <v>0</v>
      </c>
      <c r="YP168" s="242">
        <f t="shared" si="1224"/>
        <v>0</v>
      </c>
      <c r="YQ168" s="56"/>
      <c r="YT168" s="55">
        <f t="shared" si="1225"/>
        <v>46164</v>
      </c>
      <c r="YU168" s="56"/>
      <c r="YV168" s="242">
        <f>SUMPRODUCT(PRODUCE!$B175:$DY175,PRODUCE!$EB$57:$IY$57)</f>
        <v>0</v>
      </c>
      <c r="YW168" s="56"/>
      <c r="YX168" s="242">
        <f t="shared" si="1226"/>
        <v>0</v>
      </c>
      <c r="YY168" s="242">
        <f t="shared" si="1227"/>
        <v>0</v>
      </c>
      <c r="YZ168" s="56"/>
      <c r="ZC168" s="55">
        <f t="shared" si="1228"/>
        <v>46164</v>
      </c>
      <c r="ZD168" s="56"/>
      <c r="ZE168" s="242">
        <f>SUMPRODUCT(PRODUCE!$B175:$DY175,PRODUCE!$EB$57:$IY$57)</f>
        <v>0</v>
      </c>
      <c r="ZF168" s="56"/>
      <c r="ZG168" s="242">
        <f t="shared" si="1229"/>
        <v>0</v>
      </c>
      <c r="ZH168" s="242">
        <f t="shared" si="1230"/>
        <v>0</v>
      </c>
      <c r="ZI168" s="56"/>
      <c r="ZL168" s="55">
        <f t="shared" si="1231"/>
        <v>46164</v>
      </c>
      <c r="ZM168" s="56"/>
      <c r="ZN168" s="242">
        <f>SUMPRODUCT(PRODUCE!$B175:$DY175,PRODUCE!$EB$57:$IY$57)</f>
        <v>0</v>
      </c>
      <c r="ZO168" s="56"/>
      <c r="ZP168" s="242">
        <f t="shared" si="1232"/>
        <v>0</v>
      </c>
      <c r="ZQ168" s="242">
        <f t="shared" si="1233"/>
        <v>0</v>
      </c>
      <c r="ZR168" s="56"/>
      <c r="ZU168" s="55">
        <f t="shared" si="1234"/>
        <v>46164</v>
      </c>
      <c r="ZV168" s="56"/>
      <c r="ZW168" s="242">
        <f>SUMPRODUCT(PRODUCE!$B175:$DY175,PRODUCE!$EB$57:$IY$57)</f>
        <v>0</v>
      </c>
      <c r="ZX168" s="56"/>
      <c r="ZY168" s="242">
        <f t="shared" si="1235"/>
        <v>0</v>
      </c>
      <c r="ZZ168" s="242">
        <f t="shared" si="1236"/>
        <v>0</v>
      </c>
      <c r="AAA168" s="56"/>
      <c r="AAD168" s="55">
        <f t="shared" si="1237"/>
        <v>46164</v>
      </c>
      <c r="AAE168" s="56"/>
      <c r="AAF168" s="242">
        <f>SUMPRODUCT(PRODUCE!$B175:$DY175,PRODUCE!$EB$57:$IY$57)</f>
        <v>0</v>
      </c>
      <c r="AAG168" s="56"/>
      <c r="AAH168" s="242">
        <f t="shared" si="1238"/>
        <v>0</v>
      </c>
      <c r="AAI168" s="242">
        <f t="shared" si="1239"/>
        <v>0</v>
      </c>
      <c r="AAJ168" s="56"/>
      <c r="AAM168" s="55">
        <f t="shared" si="1240"/>
        <v>46164</v>
      </c>
      <c r="AAN168" s="56"/>
      <c r="AAO168" s="242">
        <f>SUMPRODUCT(PRODUCE!$B175:$DY175,PRODUCE!$EB$57:$IY$57)</f>
        <v>0</v>
      </c>
      <c r="AAP168" s="56"/>
      <c r="AAQ168" s="242">
        <f t="shared" si="1241"/>
        <v>0</v>
      </c>
      <c r="AAR168" s="242">
        <f t="shared" si="1242"/>
        <v>0</v>
      </c>
      <c r="AAS168" s="56"/>
      <c r="AAV168" s="55">
        <f t="shared" si="1243"/>
        <v>46164</v>
      </c>
      <c r="AAW168" s="56"/>
      <c r="AAX168" s="242">
        <f>SUMPRODUCT(PRODUCE!$B175:$DY175,PRODUCE!$EB$57:$IY$57)</f>
        <v>0</v>
      </c>
      <c r="AAY168" s="56"/>
      <c r="AAZ168" s="242">
        <f t="shared" si="1244"/>
        <v>0</v>
      </c>
      <c r="ABA168" s="242">
        <f t="shared" si="1245"/>
        <v>0</v>
      </c>
      <c r="ABB168" s="56"/>
      <c r="ABE168" s="55">
        <f t="shared" si="1246"/>
        <v>46164</v>
      </c>
      <c r="ABF168" s="56"/>
      <c r="ABG168" s="242">
        <f>SUMPRODUCT(PRODUCE!$B175:$DY175,PRODUCE!$EB$57:$IY$57)</f>
        <v>0</v>
      </c>
      <c r="ABH168" s="56"/>
      <c r="ABI168" s="242">
        <f t="shared" si="1247"/>
        <v>0</v>
      </c>
      <c r="ABJ168" s="242">
        <f t="shared" si="1248"/>
        <v>0</v>
      </c>
      <c r="ABK168" s="56"/>
    </row>
    <row r="169" spans="2:739" s="54" customFormat="1" ht="15" customHeight="1" outlineLevel="1">
      <c r="B169" s="478">
        <v>50</v>
      </c>
      <c r="C169" s="55">
        <v>46165</v>
      </c>
      <c r="D169" s="422"/>
      <c r="E169" s="423">
        <f>SUMPRODUCT(PRODUCE!$B176:$DY176,PRODUCE!$EB$7:$IY$7)</f>
        <v>27893.999999999993</v>
      </c>
      <c r="F169" s="422">
        <v>27886.400000000001</v>
      </c>
      <c r="G169" s="423">
        <f t="shared" si="1004"/>
        <v>7.5999999999912689</v>
      </c>
      <c r="H169" s="423">
        <f t="shared" si="1005"/>
        <v>133358.60000000006</v>
      </c>
      <c r="I169" s="289" t="s">
        <v>202</v>
      </c>
      <c r="L169" s="55">
        <f t="shared" si="1006"/>
        <v>46165</v>
      </c>
      <c r="M169" s="422"/>
      <c r="N169" s="438">
        <f>SUMPRODUCT(PRODUCE!$B176:$DY176,PRODUCE!$EB$8:$IY$8)</f>
        <v>15860</v>
      </c>
      <c r="O169" s="422">
        <v>15859.2</v>
      </c>
      <c r="P169" s="438">
        <f t="shared" si="1007"/>
        <v>0.7999999999992724</v>
      </c>
      <c r="Q169" s="438">
        <f t="shared" si="1008"/>
        <v>44797.600000000079</v>
      </c>
      <c r="R169" s="56"/>
      <c r="U169" s="55">
        <f t="shared" si="1009"/>
        <v>46165</v>
      </c>
      <c r="V169" s="422"/>
      <c r="W169" s="440">
        <f>SUMPRODUCT(PRODUCE!$B176:$DY176,PRODUCE!$EB$9:$IY$9)</f>
        <v>2500</v>
      </c>
      <c r="X169" s="422">
        <v>2499.6999999999998</v>
      </c>
      <c r="Y169" s="440">
        <f t="shared" si="1010"/>
        <v>0.3000000000001819</v>
      </c>
      <c r="Z169" s="440">
        <f t="shared" si="1011"/>
        <v>33067.099999999969</v>
      </c>
      <c r="AA169" s="56"/>
      <c r="AD169" s="55">
        <f t="shared" si="1012"/>
        <v>46165</v>
      </c>
      <c r="AE169" s="422"/>
      <c r="AF169" s="442">
        <f>SUMPRODUCT(PRODUCE!$B176:$DY176,PRODUCE!$EB$10:$IY$10)</f>
        <v>0</v>
      </c>
      <c r="AG169" s="422"/>
      <c r="AH169" s="442">
        <f t="shared" si="1013"/>
        <v>0</v>
      </c>
      <c r="AI169" s="442">
        <f t="shared" si="1014"/>
        <v>13223.000000000018</v>
      </c>
      <c r="AJ169" s="56"/>
      <c r="AM169" s="55">
        <f t="shared" si="1015"/>
        <v>46165</v>
      </c>
      <c r="AN169" s="422"/>
      <c r="AO169" s="444">
        <f>SUMPRODUCT(PRODUCE!$B176:$DY176,PRODUCE!$EB$11:$IY$11)</f>
        <v>0</v>
      </c>
      <c r="AP169" s="422"/>
      <c r="AQ169" s="444">
        <f t="shared" si="1016"/>
        <v>0</v>
      </c>
      <c r="AR169" s="444">
        <f t="shared" si="1017"/>
        <v>0</v>
      </c>
      <c r="AS169" s="56"/>
      <c r="AV169" s="55">
        <f t="shared" si="1018"/>
        <v>46165</v>
      </c>
      <c r="AW169" s="422"/>
      <c r="AX169" s="446">
        <f>SUMPRODUCT(PRODUCE!$B176:$DY176,PRODUCE!$EB$12:$IY$12)</f>
        <v>0</v>
      </c>
      <c r="AY169" s="422"/>
      <c r="AZ169" s="446">
        <f t="shared" si="1019"/>
        <v>0</v>
      </c>
      <c r="BA169" s="446">
        <f t="shared" si="1020"/>
        <v>7826.8999999999969</v>
      </c>
      <c r="BB169" s="56"/>
      <c r="BE169" s="55">
        <f t="shared" si="1021"/>
        <v>46165</v>
      </c>
      <c r="BF169" s="422"/>
      <c r="BG169" s="448">
        <f>SUMPRODUCT(PRODUCE!$B176:$DY176,PRODUCE!$EB$13:$IY$13)</f>
        <v>975</v>
      </c>
      <c r="BH169" s="422">
        <v>976.3</v>
      </c>
      <c r="BI169" s="448">
        <f t="shared" si="1022"/>
        <v>-1.2999999999999545</v>
      </c>
      <c r="BJ169" s="448">
        <f t="shared" si="1023"/>
        <v>35848.299999999988</v>
      </c>
      <c r="BK169" s="56"/>
      <c r="BN169" s="55">
        <f t="shared" si="1024"/>
        <v>46165</v>
      </c>
      <c r="BO169" s="422">
        <v>1175.0999999999999</v>
      </c>
      <c r="BP169" s="450">
        <f>SUMPRODUCT(PRODUCE!$B176:$DY176,PRODUCE!$EB$14:$IY$14)</f>
        <v>1175</v>
      </c>
      <c r="BQ169" s="422">
        <v>1175.0999999999999</v>
      </c>
      <c r="BR169" s="450">
        <f t="shared" si="1025"/>
        <v>-9.9999999999909051E-2</v>
      </c>
      <c r="BS169" s="450">
        <f t="shared" si="1026"/>
        <v>0</v>
      </c>
      <c r="BT169" s="56"/>
      <c r="BW169" s="55">
        <f t="shared" si="1027"/>
        <v>46165</v>
      </c>
      <c r="BX169" s="422"/>
      <c r="BY169" s="523">
        <f>SUMPRODUCT(PRODUCE!$B176:$DY176,PRODUCE!$EB$15:$IY$15)</f>
        <v>0</v>
      </c>
      <c r="BZ169" s="422">
        <v>235.5</v>
      </c>
      <c r="CA169" s="523">
        <f t="shared" si="1028"/>
        <v>-235.5</v>
      </c>
      <c r="CB169" s="523">
        <f t="shared" si="1029"/>
        <v>5501.2999999999993</v>
      </c>
      <c r="CC169" s="56"/>
      <c r="CF169" s="55">
        <f t="shared" si="1030"/>
        <v>46165</v>
      </c>
      <c r="CG169" s="422">
        <v>313.60000000000002</v>
      </c>
      <c r="CH169" s="524">
        <f>SUMPRODUCT(PRODUCE!$B176:$DY176,PRODUCE!$EB$16:$IY$16)</f>
        <v>321</v>
      </c>
      <c r="CI169" s="422">
        <f>64.2+249.4</f>
        <v>313.60000000000002</v>
      </c>
      <c r="CJ169" s="524">
        <f t="shared" si="1031"/>
        <v>7.3999999999999773</v>
      </c>
      <c r="CK169" s="524">
        <f t="shared" si="1032"/>
        <v>0</v>
      </c>
      <c r="CL169" s="56"/>
      <c r="CO169" s="55">
        <f t="shared" si="1033"/>
        <v>46165</v>
      </c>
      <c r="CP169" s="422"/>
      <c r="CQ169" s="470">
        <f>SUMPRODUCT(PRODUCE!$B176:$DY176,PRODUCE!$EB$17:$IY$17)</f>
        <v>0</v>
      </c>
      <c r="CR169" s="422"/>
      <c r="CS169" s="470">
        <f t="shared" si="1034"/>
        <v>0</v>
      </c>
      <c r="CT169" s="470">
        <f t="shared" si="1035"/>
        <v>0</v>
      </c>
      <c r="CU169" s="56"/>
      <c r="CX169" s="55">
        <f t="shared" si="1036"/>
        <v>46165</v>
      </c>
      <c r="CY169" s="422"/>
      <c r="CZ169" s="525">
        <f>SUMPRODUCT(PRODUCE!$B176:$DY176,PRODUCE!$EB$18:$IY$18)</f>
        <v>0</v>
      </c>
      <c r="DA169" s="422"/>
      <c r="DB169" s="525">
        <f t="shared" si="1037"/>
        <v>0</v>
      </c>
      <c r="DC169" s="525">
        <f t="shared" si="1038"/>
        <v>21457.000000000004</v>
      </c>
      <c r="DD169" s="56"/>
      <c r="DG169" s="55">
        <f t="shared" si="1039"/>
        <v>46165</v>
      </c>
      <c r="DH169" s="422"/>
      <c r="DI169" s="526">
        <f>SUMPRODUCT(PRODUCE!$B176:$DY176,PRODUCE!$EB$19:$IY$19)</f>
        <v>0</v>
      </c>
      <c r="DJ169" s="422"/>
      <c r="DK169" s="526">
        <f t="shared" si="1040"/>
        <v>0</v>
      </c>
      <c r="DL169" s="526">
        <f t="shared" si="1041"/>
        <v>37737.299999999981</v>
      </c>
      <c r="DM169" s="56"/>
      <c r="DP169" s="55">
        <f t="shared" si="1042"/>
        <v>46165</v>
      </c>
      <c r="DQ169" s="422"/>
      <c r="DR169" s="423">
        <f>SUMPRODUCT(PRODUCE!$B176:$DY176,PRODUCE!$EB$20:$IY$20)</f>
        <v>0</v>
      </c>
      <c r="DS169" s="422"/>
      <c r="DT169" s="423">
        <f t="shared" si="1043"/>
        <v>0</v>
      </c>
      <c r="DU169" s="423">
        <f t="shared" si="1044"/>
        <v>5800</v>
      </c>
      <c r="DV169" s="56"/>
      <c r="DY169" s="55">
        <f t="shared" si="1045"/>
        <v>46165</v>
      </c>
      <c r="DZ169" s="56"/>
      <c r="EA169" s="157">
        <f>SUMPRODUCT(PRODUCE!$B176:$DY176,PRODUCE!$EB$21:$IY$21)</f>
        <v>0</v>
      </c>
      <c r="EB169" s="56"/>
      <c r="EC169" s="157">
        <f t="shared" si="1046"/>
        <v>0</v>
      </c>
      <c r="ED169" s="157">
        <f t="shared" si="1047"/>
        <v>0</v>
      </c>
      <c r="EE169" s="56"/>
      <c r="EH169" s="55">
        <f t="shared" si="1048"/>
        <v>46165</v>
      </c>
      <c r="EI169" s="56"/>
      <c r="EJ169" s="162">
        <f>SUMPRODUCT(PRODUCE!$B176:$DY176,PRODUCE!$EB$22:$IY$22)</f>
        <v>0</v>
      </c>
      <c r="EK169" s="56"/>
      <c r="EL169" s="162">
        <f t="shared" si="1049"/>
        <v>0</v>
      </c>
      <c r="EM169" s="162">
        <f t="shared" si="1050"/>
        <v>0</v>
      </c>
      <c r="EN169" s="56"/>
      <c r="EQ169" s="55">
        <f t="shared" si="1051"/>
        <v>46165</v>
      </c>
      <c r="ER169" s="56"/>
      <c r="ES169" s="135">
        <f>SUMPRODUCT(PRODUCE!$B176:$DY176,PRODUCE!$EB$23:$IY$23)</f>
        <v>0</v>
      </c>
      <c r="ET169" s="56"/>
      <c r="EU169" s="135">
        <f t="shared" si="1052"/>
        <v>0</v>
      </c>
      <c r="EV169" s="135">
        <f t="shared" si="1053"/>
        <v>0</v>
      </c>
      <c r="EW169" s="56"/>
      <c r="EZ169" s="55">
        <f t="shared" si="1054"/>
        <v>46165</v>
      </c>
      <c r="FA169" s="56"/>
      <c r="FB169" s="175">
        <f>SUMPRODUCT(PRODUCE!$B176:$DY176,PRODUCE!$EB$24:$IY$24)</f>
        <v>0</v>
      </c>
      <c r="FC169" s="56"/>
      <c r="FD169" s="175">
        <f t="shared" si="1055"/>
        <v>0</v>
      </c>
      <c r="FE169" s="175">
        <f t="shared" si="1056"/>
        <v>0</v>
      </c>
      <c r="FF169" s="56"/>
      <c r="FI169" s="55">
        <f t="shared" si="1057"/>
        <v>46165</v>
      </c>
      <c r="FJ169" s="56"/>
      <c r="FK169" s="183">
        <f>SUMPRODUCT(PRODUCE!$B176:$DY176,PRODUCE!$EB$25:$IY$25)</f>
        <v>0</v>
      </c>
      <c r="FL169" s="56"/>
      <c r="FM169" s="183">
        <f t="shared" si="1058"/>
        <v>0</v>
      </c>
      <c r="FN169" s="183">
        <f t="shared" si="1059"/>
        <v>0</v>
      </c>
      <c r="FO169" s="56"/>
      <c r="FR169" s="55">
        <f t="shared" si="1060"/>
        <v>46165</v>
      </c>
      <c r="FS169" s="56"/>
      <c r="FT169" s="186">
        <f>SUMPRODUCT(PRODUCE!$B176:$DY176,PRODUCE!$EB$26:$IY$26)</f>
        <v>0</v>
      </c>
      <c r="FU169" s="56"/>
      <c r="FV169" s="186">
        <f t="shared" si="1061"/>
        <v>0</v>
      </c>
      <c r="FW169" s="186">
        <f t="shared" si="1062"/>
        <v>4140</v>
      </c>
      <c r="FX169" s="56"/>
      <c r="GA169" s="55">
        <f t="shared" si="1063"/>
        <v>46165</v>
      </c>
      <c r="GB169" s="56"/>
      <c r="GC169" s="137">
        <f>SUMPRODUCT(PRODUCE!$B176:$DY176,PRODUCE!$EB$27:$IY$27)</f>
        <v>0</v>
      </c>
      <c r="GD169" s="56"/>
      <c r="GE169" s="137">
        <f t="shared" si="1064"/>
        <v>0</v>
      </c>
      <c r="GF169" s="137">
        <f t="shared" si="1065"/>
        <v>5040</v>
      </c>
      <c r="GG169" s="56"/>
      <c r="GI169" s="23"/>
      <c r="GJ169" s="55">
        <f t="shared" si="1066"/>
        <v>46165</v>
      </c>
      <c r="GK169" s="56"/>
      <c r="GL169" s="199">
        <f>SUMPRODUCT(PRODUCE!$B176:$DY176,PRODUCE!$EB$28:$IY$28)</f>
        <v>0</v>
      </c>
      <c r="GM169" s="56">
        <v>1200</v>
      </c>
      <c r="GN169" s="199">
        <f t="shared" si="1067"/>
        <v>-1200</v>
      </c>
      <c r="GO169" s="199">
        <f t="shared" si="1068"/>
        <v>2560</v>
      </c>
      <c r="GP169" s="56">
        <f>GM169/20</f>
        <v>60</v>
      </c>
      <c r="GS169" s="55">
        <f t="shared" si="1069"/>
        <v>46165</v>
      </c>
      <c r="GT169" s="56"/>
      <c r="GU169" s="195">
        <f>SUMPRODUCT(PRODUCE!$B176:$DY176,PRODUCE!$EB$29:$IY$29)</f>
        <v>0</v>
      </c>
      <c r="GV169" s="56">
        <v>720</v>
      </c>
      <c r="GW169" s="195">
        <f t="shared" si="1070"/>
        <v>-720</v>
      </c>
      <c r="GX169" s="195">
        <f t="shared" si="1071"/>
        <v>600</v>
      </c>
      <c r="GY169" s="56">
        <f>GV169/20</f>
        <v>36</v>
      </c>
      <c r="HB169" s="55">
        <f t="shared" si="1072"/>
        <v>46165</v>
      </c>
      <c r="HC169" s="56"/>
      <c r="HD169" s="191">
        <f>SUMPRODUCT(PRODUCE!$B176:$DY176,PRODUCE!$EB$30:$IY$30)</f>
        <v>0</v>
      </c>
      <c r="HE169" s="56"/>
      <c r="HF169" s="191">
        <f t="shared" si="1073"/>
        <v>0</v>
      </c>
      <c r="HG169" s="191">
        <f t="shared" si="1074"/>
        <v>3600</v>
      </c>
      <c r="HH169" s="56"/>
      <c r="HK169" s="55">
        <f t="shared" si="1075"/>
        <v>46165</v>
      </c>
      <c r="HL169" s="56"/>
      <c r="HM169" s="63">
        <f>SUMPRODUCT(PRODUCE!$B176:$DY176,PRODUCE!$EB$31:$IY$31)</f>
        <v>0</v>
      </c>
      <c r="HN169" s="56"/>
      <c r="HO169" s="63">
        <f t="shared" si="1076"/>
        <v>0</v>
      </c>
      <c r="HP169" s="63">
        <f t="shared" si="1077"/>
        <v>0</v>
      </c>
      <c r="HQ169" s="56"/>
      <c r="HU169" s="55">
        <f t="shared" si="1078"/>
        <v>46165</v>
      </c>
      <c r="HV169" s="56"/>
      <c r="HW169" s="242">
        <f>SUMPRODUCT(PRODUCE!$B176:$DY176,PRODUCE!$EB$32:$IY$32)</f>
        <v>0</v>
      </c>
      <c r="HX169" s="56"/>
      <c r="HY169" s="242">
        <f t="shared" si="1079"/>
        <v>0</v>
      </c>
      <c r="HZ169" s="242">
        <f t="shared" si="1080"/>
        <v>7080</v>
      </c>
      <c r="IA169" s="56"/>
      <c r="ID169" s="55">
        <f t="shared" si="1081"/>
        <v>46165</v>
      </c>
      <c r="IE169" s="56"/>
      <c r="IF169" s="242">
        <f>SUMPRODUCT(PRODUCE!$B176:$DY176,PRODUCE!$EB$33:$IY$33)</f>
        <v>0</v>
      </c>
      <c r="IG169" s="56"/>
      <c r="IH169" s="242">
        <f t="shared" si="1082"/>
        <v>0</v>
      </c>
      <c r="II169" s="242">
        <f t="shared" si="1083"/>
        <v>720</v>
      </c>
      <c r="IJ169" s="56"/>
      <c r="IM169" s="55">
        <f t="shared" si="1084"/>
        <v>46165</v>
      </c>
      <c r="IN169" s="56"/>
      <c r="IO169" s="242">
        <f>SUMPRODUCT(PRODUCE!$B176:$DY176,PRODUCE!$EB$34:$IY$34)</f>
        <v>0</v>
      </c>
      <c r="IP169" s="56">
        <v>3400</v>
      </c>
      <c r="IQ169" s="242">
        <f t="shared" si="1085"/>
        <v>-3400</v>
      </c>
      <c r="IR169" s="242">
        <f t="shared" si="1086"/>
        <v>8140</v>
      </c>
      <c r="IS169" s="56">
        <f>IP169/20</f>
        <v>170</v>
      </c>
      <c r="IV169" s="55">
        <f t="shared" si="1087"/>
        <v>46165</v>
      </c>
      <c r="IW169" s="56"/>
      <c r="IX169" s="242">
        <f>SUMPRODUCT(PRODUCE!$B176:$DY176,PRODUCE!$EB$35:$IY$35)</f>
        <v>0</v>
      </c>
      <c r="IY169" s="56">
        <v>3900</v>
      </c>
      <c r="IZ169" s="242">
        <f t="shared" si="1088"/>
        <v>-3900</v>
      </c>
      <c r="JA169" s="242">
        <f t="shared" si="1089"/>
        <v>8960</v>
      </c>
      <c r="JB169" s="56">
        <f>IY169/20</f>
        <v>195</v>
      </c>
      <c r="JE169" s="55">
        <f t="shared" si="1090"/>
        <v>46165</v>
      </c>
      <c r="JF169" s="56"/>
      <c r="JG169" s="242">
        <f>SUMPRODUCT(PRODUCE!$B176:$DY176,PRODUCE!$EB$36:$IY$36)</f>
        <v>0</v>
      </c>
      <c r="JH169" s="56"/>
      <c r="JI169" s="242">
        <f t="shared" si="1091"/>
        <v>0</v>
      </c>
      <c r="JJ169" s="242">
        <f t="shared" si="1092"/>
        <v>0</v>
      </c>
      <c r="JK169" s="56"/>
      <c r="JN169" s="55">
        <f t="shared" si="1093"/>
        <v>46165</v>
      </c>
      <c r="JO169" s="56"/>
      <c r="JP169" s="242">
        <f>SUMPRODUCT(PRODUCE!$B176:$DY176,PRODUCE!$EB$37:$IY$37)</f>
        <v>1000</v>
      </c>
      <c r="JQ169" s="56">
        <v>200</v>
      </c>
      <c r="JR169" s="242">
        <f t="shared" si="1094"/>
        <v>800</v>
      </c>
      <c r="JS169" s="242">
        <f t="shared" si="1095"/>
        <v>5300</v>
      </c>
      <c r="JT169" s="56">
        <f>JQ169/20</f>
        <v>10</v>
      </c>
      <c r="JW169" s="55">
        <f t="shared" si="1096"/>
        <v>46165</v>
      </c>
      <c r="JX169" s="56"/>
      <c r="JY169" s="242">
        <f>SUMPRODUCT(PRODUCE!$B176:$DY176,PRODUCE!$EB$38:$IY$38)</f>
        <v>0</v>
      </c>
      <c r="JZ169" s="56"/>
      <c r="KA169" s="242">
        <f t="shared" si="1097"/>
        <v>0</v>
      </c>
      <c r="KB169" s="242">
        <f t="shared" si="1098"/>
        <v>2540</v>
      </c>
      <c r="KC169" s="56"/>
      <c r="KF169" s="55">
        <f t="shared" si="1099"/>
        <v>46165</v>
      </c>
      <c r="KG169" s="56"/>
      <c r="KH169" s="242">
        <f>SUMPRODUCT(PRODUCE!$B176:$DY176,PRODUCE!$EB$39:$IY$39)</f>
        <v>0</v>
      </c>
      <c r="KI169" s="56"/>
      <c r="KJ169" s="242">
        <f t="shared" si="1100"/>
        <v>0</v>
      </c>
      <c r="KK169" s="242">
        <f t="shared" si="1101"/>
        <v>2359.5</v>
      </c>
      <c r="KL169" s="56"/>
      <c r="KO169" s="55">
        <f t="shared" si="1102"/>
        <v>46165</v>
      </c>
      <c r="KP169" s="56"/>
      <c r="KQ169" s="242">
        <f>SUMPRODUCT(PRODUCE!$B176:$DY176,PRODUCE!$EB$40:$IY$40)</f>
        <v>0</v>
      </c>
      <c r="KR169" s="56"/>
      <c r="KS169" s="242">
        <f t="shared" si="1103"/>
        <v>0</v>
      </c>
      <c r="KT169" s="242">
        <f t="shared" si="1104"/>
        <v>1890</v>
      </c>
      <c r="KU169" s="56"/>
      <c r="KW169" s="23"/>
      <c r="KX169" s="55">
        <f t="shared" si="1105"/>
        <v>46165</v>
      </c>
      <c r="KY169" s="56"/>
      <c r="KZ169" s="242">
        <f>SUMPRODUCT(PRODUCE!$B176:$DY176,PRODUCE!$EB$41:$IY$41)</f>
        <v>0</v>
      </c>
      <c r="LA169" s="56"/>
      <c r="LB169" s="242">
        <f t="shared" si="1106"/>
        <v>0</v>
      </c>
      <c r="LC169" s="242">
        <f t="shared" si="1107"/>
        <v>3690</v>
      </c>
      <c r="LD169" s="56"/>
      <c r="LG169" s="55">
        <f t="shared" si="1108"/>
        <v>46165</v>
      </c>
      <c r="LH169" s="56"/>
      <c r="LI169" s="242">
        <f>SUMPRODUCT(PRODUCE!$B176:$DY176,PRODUCE!$EB$42:$IY$42)</f>
        <v>0</v>
      </c>
      <c r="LJ169" s="56"/>
      <c r="LK169" s="242">
        <f t="shared" si="1109"/>
        <v>0</v>
      </c>
      <c r="LL169" s="242">
        <f t="shared" si="1110"/>
        <v>4000</v>
      </c>
      <c r="LM169" s="56"/>
      <c r="LP169" s="55">
        <f t="shared" si="1111"/>
        <v>46165</v>
      </c>
      <c r="LQ169" s="56"/>
      <c r="LR169" s="242">
        <f>SUMPRODUCT(PRODUCE!$B184:$DY184,PRODUCE!$EB$43:$IY$43)</f>
        <v>0</v>
      </c>
      <c r="LS169" s="56"/>
      <c r="LT169" s="242">
        <f t="shared" si="1112"/>
        <v>0</v>
      </c>
      <c r="LU169" s="242">
        <f t="shared" si="1113"/>
        <v>0</v>
      </c>
      <c r="LV169" s="56"/>
      <c r="LY169" s="55">
        <f t="shared" si="1114"/>
        <v>46165</v>
      </c>
      <c r="LZ169" s="56"/>
      <c r="MA169" s="242">
        <f>SUMPRODUCT(PRODUCE!$B176:$DY176,PRODUCE!$EB$44:$IY$44)</f>
        <v>0</v>
      </c>
      <c r="MB169" s="56"/>
      <c r="MC169" s="242">
        <f t="shared" si="1115"/>
        <v>0</v>
      </c>
      <c r="MD169" s="242">
        <f t="shared" si="1116"/>
        <v>0</v>
      </c>
      <c r="ME169" s="56"/>
      <c r="MH169" s="55">
        <f t="shared" si="1117"/>
        <v>46165</v>
      </c>
      <c r="MI169" s="56"/>
      <c r="MJ169" s="242">
        <f>SUMPRODUCT(PRODUCE!$B176:$DY176,PRODUCE!$EB$45:$IY$45)</f>
        <v>0</v>
      </c>
      <c r="MK169" s="56"/>
      <c r="ML169" s="242">
        <f t="shared" si="1118"/>
        <v>0</v>
      </c>
      <c r="MM169" s="242">
        <f t="shared" si="1119"/>
        <v>0</v>
      </c>
      <c r="MN169" s="56"/>
      <c r="MQ169" s="55">
        <f t="shared" si="1120"/>
        <v>46165</v>
      </c>
      <c r="MR169" s="56"/>
      <c r="MS169" s="242">
        <f>SUMPRODUCT(PRODUCE!$B176:$DY176,PRODUCE!$EB$46:$IY$46)</f>
        <v>0</v>
      </c>
      <c r="MT169" s="56">
        <v>30</v>
      </c>
      <c r="MU169" s="242">
        <f t="shared" si="1121"/>
        <v>-30</v>
      </c>
      <c r="MV169" s="242">
        <f t="shared" si="1122"/>
        <v>3731</v>
      </c>
      <c r="MW169" s="56"/>
      <c r="MZ169" s="55">
        <f t="shared" si="1123"/>
        <v>46165</v>
      </c>
      <c r="NA169" s="56">
        <v>180</v>
      </c>
      <c r="NB169" s="242">
        <f>SUMPRODUCT(PRODUCE!$B176:$DY176,PRODUCE!$EB$47:$IY$47)</f>
        <v>150</v>
      </c>
      <c r="NC169" s="56">
        <v>180</v>
      </c>
      <c r="ND169" s="242">
        <f t="shared" si="1124"/>
        <v>-30</v>
      </c>
      <c r="NE169" s="242">
        <f t="shared" si="1125"/>
        <v>0</v>
      </c>
      <c r="NF169" s="56"/>
      <c r="NI169" s="55">
        <f t="shared" si="1126"/>
        <v>46165</v>
      </c>
      <c r="NJ169" s="56"/>
      <c r="NK169" s="242">
        <f>SUMPRODUCT(PRODUCE!$B176:$DY176,PRODUCE!$EB$48:$IY$48)</f>
        <v>0</v>
      </c>
      <c r="NL169" s="56"/>
      <c r="NM169" s="242">
        <f t="shared" si="1127"/>
        <v>0</v>
      </c>
      <c r="NN169" s="242">
        <f t="shared" si="1128"/>
        <v>1127</v>
      </c>
      <c r="NO169" s="56"/>
      <c r="NR169" s="55">
        <f t="shared" si="1129"/>
        <v>46165</v>
      </c>
      <c r="NS169" s="56"/>
      <c r="NT169" s="242">
        <f>SUMPRODUCT(PRODUCE!$B176:$DY176,PRODUCE!$EB$49:$IY$49)</f>
        <v>0</v>
      </c>
      <c r="NU169" s="56"/>
      <c r="NV169" s="242">
        <f t="shared" si="1130"/>
        <v>0</v>
      </c>
      <c r="NW169" s="242">
        <f t="shared" si="1131"/>
        <v>3111.9999999999995</v>
      </c>
      <c r="NX169" s="56"/>
      <c r="OA169" s="55">
        <f t="shared" si="1132"/>
        <v>46165</v>
      </c>
      <c r="OB169" s="56"/>
      <c r="OC169" s="242">
        <f>SUMPRODUCT(PRODUCE!$B176:$DY176,PRODUCE!$EB$50:$IY$50)</f>
        <v>0</v>
      </c>
      <c r="OD169" s="56"/>
      <c r="OE169" s="242">
        <f t="shared" si="1133"/>
        <v>0</v>
      </c>
      <c r="OF169" s="242">
        <f t="shared" si="1134"/>
        <v>1680.5</v>
      </c>
      <c r="OG169" s="56"/>
      <c r="OJ169" s="55">
        <f t="shared" si="1135"/>
        <v>46165</v>
      </c>
      <c r="OK169" s="56">
        <v>128</v>
      </c>
      <c r="OL169" s="242">
        <f>SUMPRODUCT(PRODUCE!$B176:$DY176,PRODUCE!$EB$51:$IY$51)</f>
        <v>0</v>
      </c>
      <c r="OM169" s="56">
        <f>72+56</f>
        <v>128</v>
      </c>
      <c r="ON169" s="242">
        <f t="shared" si="1136"/>
        <v>-128</v>
      </c>
      <c r="OO169" s="242">
        <f t="shared" si="1137"/>
        <v>0</v>
      </c>
      <c r="OP169" s="56"/>
      <c r="OS169" s="55">
        <f t="shared" si="1138"/>
        <v>46165</v>
      </c>
      <c r="OT169" s="56"/>
      <c r="OU169" s="242">
        <f>SUMPRODUCT(PRODUCE!$B176:$DY176,PRODUCE!$EB$52:$IY$52)</f>
        <v>0</v>
      </c>
      <c r="OV169" s="56"/>
      <c r="OW169" s="242">
        <f t="shared" si="1139"/>
        <v>0</v>
      </c>
      <c r="OX169" s="242">
        <f t="shared" si="1140"/>
        <v>1482</v>
      </c>
      <c r="OY169" s="56"/>
      <c r="PB169" s="55">
        <f t="shared" si="1141"/>
        <v>46165</v>
      </c>
      <c r="PC169" s="56"/>
      <c r="PD169" s="242">
        <f>SUMPRODUCT(PRODUCE!$B176:$DY176,PRODUCE!$EB$53:$IY$53)</f>
        <v>0</v>
      </c>
      <c r="PE169" s="56"/>
      <c r="PF169" s="242">
        <f t="shared" si="1142"/>
        <v>0</v>
      </c>
      <c r="PG169" s="242">
        <f t="shared" si="1143"/>
        <v>0</v>
      </c>
      <c r="PH169" s="56"/>
      <c r="PK169" s="55">
        <f t="shared" si="1144"/>
        <v>46165</v>
      </c>
      <c r="PL169" s="56"/>
      <c r="PM169" s="242">
        <f>SUMPRODUCT(PRODUCE!$B176:$DY176,PRODUCE!$EB$54:$IY$54)</f>
        <v>0</v>
      </c>
      <c r="PN169" s="56"/>
      <c r="PO169" s="242">
        <f t="shared" si="1145"/>
        <v>0</v>
      </c>
      <c r="PP169" s="242">
        <f t="shared" si="1146"/>
        <v>100</v>
      </c>
      <c r="PQ169" s="56"/>
      <c r="PT169" s="55">
        <f t="shared" si="1147"/>
        <v>46165</v>
      </c>
      <c r="PU169" s="56"/>
      <c r="PV169" s="242">
        <f>SUMPRODUCT(PRODUCE!$B176:$DY176,PRODUCE!$EB$55:$IY$55)</f>
        <v>0</v>
      </c>
      <c r="PW169" s="56"/>
      <c r="PX169" s="242">
        <f t="shared" si="1148"/>
        <v>0</v>
      </c>
      <c r="PY169" s="242">
        <f t="shared" si="1149"/>
        <v>13.960000000000036</v>
      </c>
      <c r="PZ169" s="56"/>
      <c r="QC169" s="55">
        <f t="shared" si="1150"/>
        <v>46165</v>
      </c>
      <c r="QD169" s="56"/>
      <c r="QE169" s="242">
        <f>SUMPRODUCT(PRODUCE!$B176:$DY176,PRODUCE!$EB$56:$IY$56)</f>
        <v>0</v>
      </c>
      <c r="QF169" s="56">
        <v>700</v>
      </c>
      <c r="QG169" s="242">
        <f t="shared" si="1151"/>
        <v>-700</v>
      </c>
      <c r="QH169" s="242">
        <f t="shared" si="1152"/>
        <v>176</v>
      </c>
      <c r="QI169" s="56"/>
      <c r="QL169" s="55">
        <f t="shared" si="1153"/>
        <v>46165</v>
      </c>
      <c r="QM169" s="56"/>
      <c r="QN169" s="242">
        <f>SUMPRODUCT(PRODUCE!$B176:$DY176,PRODUCE!$EB$57:$IY$57)</f>
        <v>125</v>
      </c>
      <c r="QO169" s="56">
        <f>25</f>
        <v>25</v>
      </c>
      <c r="QP169" s="242">
        <f t="shared" si="1154"/>
        <v>100</v>
      </c>
      <c r="QQ169" s="242">
        <f t="shared" si="1155"/>
        <v>490</v>
      </c>
      <c r="QR169" s="56"/>
      <c r="QU169" s="55">
        <f t="shared" si="1156"/>
        <v>46165</v>
      </c>
      <c r="QV169" s="56"/>
      <c r="QW169" s="242">
        <f>SUMPRODUCT(PRODUCE!$B176:$DY176,PRODUCE!$EB$58:$IY$58)</f>
        <v>0</v>
      </c>
      <c r="QX169" s="56"/>
      <c r="QY169" s="242">
        <f t="shared" si="1157"/>
        <v>0</v>
      </c>
      <c r="QZ169" s="242">
        <f t="shared" si="1158"/>
        <v>207.6</v>
      </c>
      <c r="RA169" s="56"/>
      <c r="RD169" s="55">
        <f t="shared" si="1159"/>
        <v>46165</v>
      </c>
      <c r="RE169" s="56"/>
      <c r="RF169" s="242">
        <f>SUMPRODUCT(PRODUCE!$B176:$DY176,PRODUCE!$EB$59:$IY$59)</f>
        <v>0</v>
      </c>
      <c r="RG169" s="56"/>
      <c r="RH169" s="242">
        <f t="shared" si="1160"/>
        <v>0</v>
      </c>
      <c r="RI169" s="242">
        <f t="shared" si="1161"/>
        <v>147.04000000000002</v>
      </c>
      <c r="RJ169" s="56"/>
      <c r="RM169" s="55">
        <f t="shared" si="1162"/>
        <v>46165</v>
      </c>
      <c r="RN169" s="56"/>
      <c r="RO169" s="242">
        <f>SUMPRODUCT(PRODUCE!$B176:$DY176,PRODUCE!$EB$60:$IY$60)</f>
        <v>0</v>
      </c>
      <c r="RP169" s="56"/>
      <c r="RQ169" s="242">
        <f t="shared" si="1163"/>
        <v>0</v>
      </c>
      <c r="RR169" s="242">
        <f t="shared" si="1164"/>
        <v>46.8</v>
      </c>
      <c r="RS169" s="56"/>
      <c r="RV169" s="55">
        <f t="shared" si="1165"/>
        <v>46165</v>
      </c>
      <c r="RW169" s="56"/>
      <c r="RX169" s="242">
        <f>SUMPRODUCT(PRODUCE!$B176:$DY176,PRODUCE!$EB$61:$IY$61)</f>
        <v>0</v>
      </c>
      <c r="RY169" s="56"/>
      <c r="RZ169" s="242">
        <f t="shared" si="1166"/>
        <v>0</v>
      </c>
      <c r="SA169" s="242">
        <f t="shared" si="1167"/>
        <v>0</v>
      </c>
      <c r="SB169" s="56"/>
      <c r="SE169" s="55">
        <f t="shared" si="1168"/>
        <v>46165</v>
      </c>
      <c r="SF169" s="56"/>
      <c r="SG169" s="242">
        <f>SUMPRODUCT(PRODUCE!$B176:$DY176,PRODUCE!$EB$62:$IY$62)</f>
        <v>0</v>
      </c>
      <c r="SH169" s="56"/>
      <c r="SI169" s="242">
        <f t="shared" si="1169"/>
        <v>0</v>
      </c>
      <c r="SJ169" s="242">
        <f t="shared" si="1170"/>
        <v>24.200000000000003</v>
      </c>
      <c r="SK169" s="56"/>
      <c r="SN169" s="55">
        <f t="shared" si="1171"/>
        <v>46165</v>
      </c>
      <c r="SO169" s="56"/>
      <c r="SP169" s="242">
        <f>SUMPRODUCT(PRODUCE!$B176:$DY176,PRODUCE!$EB$63:$IY$63)</f>
        <v>0</v>
      </c>
      <c r="SQ169" s="56"/>
      <c r="SR169" s="242">
        <f t="shared" si="1172"/>
        <v>0</v>
      </c>
      <c r="SS169" s="242">
        <f t="shared" si="1173"/>
        <v>32</v>
      </c>
      <c r="ST169" s="56"/>
      <c r="SW169" s="55">
        <f t="shared" si="1174"/>
        <v>46165</v>
      </c>
      <c r="SX169" s="56"/>
      <c r="SY169" s="242">
        <f>SUMPRODUCT(PRODUCE!$B176:$DY176,PRODUCE!$EB$64:$IY$64)</f>
        <v>0</v>
      </c>
      <c r="SZ169" s="56"/>
      <c r="TA169" s="242">
        <f t="shared" si="1175"/>
        <v>0</v>
      </c>
      <c r="TB169" s="242">
        <f t="shared" si="1176"/>
        <v>0</v>
      </c>
      <c r="TC169" s="56"/>
      <c r="TF169" s="55">
        <f t="shared" si="1177"/>
        <v>46165</v>
      </c>
      <c r="TG169" s="56">
        <v>36</v>
      </c>
      <c r="TH169" s="242">
        <f>SUMPRODUCT(PRODUCE!$B176:$DY176,PRODUCE!$EB$65:$IY$65)</f>
        <v>0</v>
      </c>
      <c r="TI169" s="56">
        <v>36</v>
      </c>
      <c r="TJ169" s="242">
        <f t="shared" si="1178"/>
        <v>-36</v>
      </c>
      <c r="TK169" s="242">
        <f t="shared" si="1179"/>
        <v>0</v>
      </c>
      <c r="TL169" s="56"/>
      <c r="TO169" s="55">
        <f t="shared" si="1180"/>
        <v>46165</v>
      </c>
      <c r="TP169" s="56"/>
      <c r="TQ169" s="242">
        <f>SUMPRODUCT(PRODUCE!$B176:$DY176,PRODUCE!$EB$66:$IY$66)</f>
        <v>0</v>
      </c>
      <c r="TR169" s="56"/>
      <c r="TS169" s="242">
        <f t="shared" si="1181"/>
        <v>0</v>
      </c>
      <c r="TT169" s="242">
        <f t="shared" si="1182"/>
        <v>0</v>
      </c>
      <c r="TU169" s="56"/>
      <c r="TX169" s="55">
        <f t="shared" si="1183"/>
        <v>46165</v>
      </c>
      <c r="TY169" s="56"/>
      <c r="TZ169" s="242">
        <f>SUMPRODUCT(PRODUCE!$B176:$DY176,PRODUCE!$EB$67:$IY$67)</f>
        <v>0</v>
      </c>
      <c r="UA169" s="56"/>
      <c r="UB169" s="242">
        <f t="shared" si="1184"/>
        <v>0</v>
      </c>
      <c r="UC169" s="242">
        <f t="shared" si="1185"/>
        <v>0</v>
      </c>
      <c r="UD169" s="56"/>
      <c r="UG169" s="55">
        <f t="shared" si="1186"/>
        <v>46165</v>
      </c>
      <c r="UH169" s="56"/>
      <c r="UI169" s="242">
        <f>SUMPRODUCT(PRODUCE!$B176:$DY176,PRODUCE!$EB$68:$IY$68)</f>
        <v>0</v>
      </c>
      <c r="UJ169" s="56"/>
      <c r="UK169" s="242">
        <f t="shared" si="1187"/>
        <v>0</v>
      </c>
      <c r="UL169" s="242">
        <f t="shared" si="1188"/>
        <v>0</v>
      </c>
      <c r="UM169" s="56"/>
      <c r="UP169" s="55">
        <f t="shared" si="1189"/>
        <v>46165</v>
      </c>
      <c r="UQ169" s="56"/>
      <c r="UR169" s="242">
        <f>SUMPRODUCT(PRODUCE!$B176:$DY176,PRODUCE!$EB$69:$IY$69)</f>
        <v>0</v>
      </c>
      <c r="US169" s="56"/>
      <c r="UT169" s="242">
        <f t="shared" si="1190"/>
        <v>0</v>
      </c>
      <c r="UU169" s="242">
        <f t="shared" si="1191"/>
        <v>0</v>
      </c>
      <c r="UV169" s="56"/>
      <c r="UY169" s="55">
        <f t="shared" si="1192"/>
        <v>46165</v>
      </c>
      <c r="UZ169" s="56"/>
      <c r="VA169" s="242">
        <f>SUMPRODUCT(PRODUCE!$B176:$DY176,PRODUCE!$EB$70:$IY$70)</f>
        <v>0</v>
      </c>
      <c r="VB169" s="56"/>
      <c r="VC169" s="242">
        <f t="shared" si="1193"/>
        <v>0</v>
      </c>
      <c r="VD169" s="242">
        <f t="shared" si="1194"/>
        <v>41.600000000000023</v>
      </c>
      <c r="VE169" s="56"/>
      <c r="VH169" s="55">
        <f t="shared" si="1195"/>
        <v>46165</v>
      </c>
      <c r="VI169" s="56"/>
      <c r="VJ169" s="242">
        <f>SUMPRODUCT(PRODUCE!$B176:$DY176,PRODUCE!$EB$71:$IY$71)</f>
        <v>0</v>
      </c>
      <c r="VK169" s="56"/>
      <c r="VL169" s="242">
        <f t="shared" si="1196"/>
        <v>0</v>
      </c>
      <c r="VM169" s="242">
        <f t="shared" si="1197"/>
        <v>0</v>
      </c>
      <c r="VN169" s="56"/>
      <c r="VQ169" s="55">
        <f t="shared" si="1198"/>
        <v>46165</v>
      </c>
      <c r="VR169" s="56"/>
      <c r="VS169" s="242">
        <f>SUMPRODUCT(PRODUCE!$B176:$DY176,PRODUCE!$EB$57:$IY$57)</f>
        <v>125</v>
      </c>
      <c r="VT169" s="56"/>
      <c r="VU169" s="242">
        <f t="shared" si="1199"/>
        <v>125</v>
      </c>
      <c r="VV169" s="242">
        <f t="shared" si="1200"/>
        <v>0</v>
      </c>
      <c r="VW169" s="56"/>
      <c r="VZ169" s="55">
        <f t="shared" si="1201"/>
        <v>46165</v>
      </c>
      <c r="WA169" s="56"/>
      <c r="WB169" s="242">
        <f>SUMPRODUCT(PRODUCE!$B176:$DY176,PRODUCE!$EB$57:$IY$57)</f>
        <v>125</v>
      </c>
      <c r="WC169" s="56"/>
      <c r="WD169" s="242">
        <f t="shared" si="1202"/>
        <v>125</v>
      </c>
      <c r="WE169" s="242">
        <f t="shared" si="1203"/>
        <v>0</v>
      </c>
      <c r="WF169" s="56"/>
      <c r="WI169" s="55">
        <f t="shared" si="1204"/>
        <v>46165</v>
      </c>
      <c r="WJ169" s="422"/>
      <c r="WK169" s="540">
        <f>SUMPRODUCT(PRODUCE!$B176:$DY176,PRODUCE!$EB$74:$IY$74)</f>
        <v>0</v>
      </c>
      <c r="WL169" s="422"/>
      <c r="WM169" s="540">
        <f t="shared" si="1205"/>
        <v>0</v>
      </c>
      <c r="WN169" s="540">
        <f t="shared" si="1206"/>
        <v>1599</v>
      </c>
      <c r="WO169" s="56"/>
      <c r="WR169" s="55">
        <f t="shared" si="1207"/>
        <v>46165</v>
      </c>
      <c r="WS169" s="422"/>
      <c r="WT169" s="540">
        <f>SUMPRODUCT(PRODUCE!$B176:$DY176,PRODUCE!$EB$75:$IY$75)</f>
        <v>0</v>
      </c>
      <c r="WU169" s="422"/>
      <c r="WV169" s="540">
        <f t="shared" si="1208"/>
        <v>0</v>
      </c>
      <c r="WW169" s="540">
        <f t="shared" si="1209"/>
        <v>0</v>
      </c>
      <c r="WX169" s="56"/>
      <c r="XA169" s="55">
        <f t="shared" si="1210"/>
        <v>46165</v>
      </c>
      <c r="XB169" s="422"/>
      <c r="XC169" s="540">
        <f>SUMPRODUCT(PRODUCE!$B176:$DY176,PRODUCE!$EB$76:$IY$76)</f>
        <v>0</v>
      </c>
      <c r="XD169" s="422"/>
      <c r="XE169" s="540">
        <f t="shared" si="1211"/>
        <v>0</v>
      </c>
      <c r="XF169" s="540">
        <f t="shared" si="1212"/>
        <v>8023</v>
      </c>
      <c r="XG169" s="56"/>
      <c r="XJ169" s="55">
        <f t="shared" si="1213"/>
        <v>46165</v>
      </c>
      <c r="XK169" s="422"/>
      <c r="XL169" s="540">
        <f>SUMPRODUCT(PRODUCE!$B176:$DY176,PRODUCE!$EB$77:$IY$77)</f>
        <v>0</v>
      </c>
      <c r="XM169" s="422"/>
      <c r="XN169" s="540">
        <f t="shared" si="1214"/>
        <v>0</v>
      </c>
      <c r="XO169" s="540">
        <f t="shared" si="1215"/>
        <v>-234</v>
      </c>
      <c r="XP169" s="56"/>
      <c r="XS169" s="55">
        <f t="shared" si="1216"/>
        <v>46165</v>
      </c>
      <c r="XT169" s="56"/>
      <c r="XU169" s="242">
        <f>SUMPRODUCT(PRODUCE!$B176:$DY176,PRODUCE!$EB$78:$IY$78)</f>
        <v>0</v>
      </c>
      <c r="XV169" s="56"/>
      <c r="XW169" s="242">
        <f t="shared" si="1217"/>
        <v>0</v>
      </c>
      <c r="XX169" s="242">
        <f t="shared" si="1218"/>
        <v>1901</v>
      </c>
      <c r="XY169" s="56"/>
      <c r="YB169" s="55">
        <f t="shared" si="1219"/>
        <v>46165</v>
      </c>
      <c r="YC169" s="56"/>
      <c r="YD169" s="242">
        <f>SUMPRODUCT(PRODUCE!$B176:$DY176,PRODUCE!$EB$79:$IY$79)</f>
        <v>0</v>
      </c>
      <c r="YE169" s="56"/>
      <c r="YF169" s="242">
        <f t="shared" si="1220"/>
        <v>0</v>
      </c>
      <c r="YG169" s="242">
        <f t="shared" si="1221"/>
        <v>6459</v>
      </c>
      <c r="YH169" s="56"/>
      <c r="YK169" s="55">
        <f t="shared" si="1222"/>
        <v>46165</v>
      </c>
      <c r="YL169" s="56"/>
      <c r="YM169" s="242">
        <f>SUMPRODUCT(PRODUCE!$B176:$DY176,PRODUCE!$EB$80:$IY$80)</f>
        <v>0</v>
      </c>
      <c r="YN169" s="56"/>
      <c r="YO169" s="242">
        <f t="shared" si="1223"/>
        <v>0</v>
      </c>
      <c r="YP169" s="242">
        <f t="shared" si="1224"/>
        <v>0</v>
      </c>
      <c r="YQ169" s="56"/>
      <c r="YT169" s="55">
        <f t="shared" si="1225"/>
        <v>46165</v>
      </c>
      <c r="YU169" s="56"/>
      <c r="YV169" s="242">
        <f>SUMPRODUCT(PRODUCE!$B176:$DY176,PRODUCE!$EB$57:$IY$57)</f>
        <v>125</v>
      </c>
      <c r="YW169" s="56"/>
      <c r="YX169" s="242">
        <f t="shared" si="1226"/>
        <v>125</v>
      </c>
      <c r="YY169" s="242">
        <f t="shared" si="1227"/>
        <v>0</v>
      </c>
      <c r="YZ169" s="56"/>
      <c r="ZC169" s="55">
        <f t="shared" si="1228"/>
        <v>46165</v>
      </c>
      <c r="ZD169" s="56"/>
      <c r="ZE169" s="242">
        <f>SUMPRODUCT(PRODUCE!$B176:$DY176,PRODUCE!$EB$57:$IY$57)</f>
        <v>125</v>
      </c>
      <c r="ZF169" s="56"/>
      <c r="ZG169" s="242">
        <f t="shared" si="1229"/>
        <v>125</v>
      </c>
      <c r="ZH169" s="242">
        <f t="shared" si="1230"/>
        <v>0</v>
      </c>
      <c r="ZI169" s="56"/>
      <c r="ZL169" s="55">
        <f t="shared" si="1231"/>
        <v>46165</v>
      </c>
      <c r="ZM169" s="56"/>
      <c r="ZN169" s="242">
        <f>SUMPRODUCT(PRODUCE!$B176:$DY176,PRODUCE!$EB$57:$IY$57)</f>
        <v>125</v>
      </c>
      <c r="ZO169" s="56"/>
      <c r="ZP169" s="242">
        <f t="shared" si="1232"/>
        <v>125</v>
      </c>
      <c r="ZQ169" s="242">
        <f t="shared" si="1233"/>
        <v>0</v>
      </c>
      <c r="ZR169" s="56"/>
      <c r="ZU169" s="55">
        <f t="shared" si="1234"/>
        <v>46165</v>
      </c>
      <c r="ZV169" s="56"/>
      <c r="ZW169" s="242">
        <f>SUMPRODUCT(PRODUCE!$B176:$DY176,PRODUCE!$EB$57:$IY$57)</f>
        <v>125</v>
      </c>
      <c r="ZX169" s="56"/>
      <c r="ZY169" s="242">
        <f t="shared" si="1235"/>
        <v>125</v>
      </c>
      <c r="ZZ169" s="242">
        <f t="shared" si="1236"/>
        <v>0</v>
      </c>
      <c r="AAA169" s="56"/>
      <c r="AAD169" s="55">
        <f t="shared" si="1237"/>
        <v>46165</v>
      </c>
      <c r="AAE169" s="56"/>
      <c r="AAF169" s="242">
        <f>SUMPRODUCT(PRODUCE!$B176:$DY176,PRODUCE!$EB$57:$IY$57)</f>
        <v>125</v>
      </c>
      <c r="AAG169" s="56"/>
      <c r="AAH169" s="242">
        <f t="shared" si="1238"/>
        <v>125</v>
      </c>
      <c r="AAI169" s="242">
        <f t="shared" si="1239"/>
        <v>0</v>
      </c>
      <c r="AAJ169" s="56"/>
      <c r="AAM169" s="55">
        <f t="shared" si="1240"/>
        <v>46165</v>
      </c>
      <c r="AAN169" s="56"/>
      <c r="AAO169" s="242">
        <f>SUMPRODUCT(PRODUCE!$B176:$DY176,PRODUCE!$EB$57:$IY$57)</f>
        <v>125</v>
      </c>
      <c r="AAP169" s="56"/>
      <c r="AAQ169" s="242">
        <f t="shared" si="1241"/>
        <v>125</v>
      </c>
      <c r="AAR169" s="242">
        <f t="shared" si="1242"/>
        <v>0</v>
      </c>
      <c r="AAS169" s="56"/>
      <c r="AAV169" s="55">
        <f t="shared" si="1243"/>
        <v>46165</v>
      </c>
      <c r="AAW169" s="56"/>
      <c r="AAX169" s="242">
        <f>SUMPRODUCT(PRODUCE!$B176:$DY176,PRODUCE!$EB$57:$IY$57)</f>
        <v>125</v>
      </c>
      <c r="AAY169" s="56"/>
      <c r="AAZ169" s="242">
        <f t="shared" si="1244"/>
        <v>125</v>
      </c>
      <c r="ABA169" s="242">
        <f t="shared" si="1245"/>
        <v>0</v>
      </c>
      <c r="ABB169" s="56"/>
      <c r="ABE169" s="55">
        <f t="shared" si="1246"/>
        <v>46165</v>
      </c>
      <c r="ABF169" s="56"/>
      <c r="ABG169" s="242">
        <f>SUMPRODUCT(PRODUCE!$B176:$DY176,PRODUCE!$EB$57:$IY$57)</f>
        <v>125</v>
      </c>
      <c r="ABH169" s="56"/>
      <c r="ABI169" s="242">
        <f t="shared" si="1247"/>
        <v>125</v>
      </c>
      <c r="ABJ169" s="242">
        <f t="shared" si="1248"/>
        <v>0</v>
      </c>
      <c r="ABK169" s="56"/>
    </row>
    <row r="170" spans="2:739" s="54" customFormat="1" ht="15" customHeight="1" outlineLevel="1">
      <c r="B170" s="478"/>
      <c r="C170" s="55">
        <v>46166</v>
      </c>
      <c r="D170" s="422"/>
      <c r="E170" s="423">
        <f>SUMPRODUCT(PRODUCE!$B177:$DY177,PRODUCE!$EB$7:$IY$7)</f>
        <v>0</v>
      </c>
      <c r="F170" s="422"/>
      <c r="G170" s="423">
        <f t="shared" si="1004"/>
        <v>0</v>
      </c>
      <c r="H170" s="423">
        <f t="shared" si="1005"/>
        <v>133358.60000000006</v>
      </c>
      <c r="I170" s="289"/>
      <c r="L170" s="55">
        <f t="shared" si="1006"/>
        <v>46166</v>
      </c>
      <c r="M170" s="422"/>
      <c r="N170" s="438">
        <f>SUMPRODUCT(PRODUCE!$B177:$DY177,PRODUCE!$EB$8:$IY$8)</f>
        <v>0</v>
      </c>
      <c r="O170" s="422"/>
      <c r="P170" s="438">
        <f t="shared" si="1007"/>
        <v>0</v>
      </c>
      <c r="Q170" s="438">
        <f t="shared" si="1008"/>
        <v>44797.600000000079</v>
      </c>
      <c r="R170" s="56"/>
      <c r="U170" s="55">
        <f t="shared" si="1009"/>
        <v>46166</v>
      </c>
      <c r="V170" s="422"/>
      <c r="W170" s="440">
        <f>SUMPRODUCT(PRODUCE!$B177:$DY177,PRODUCE!$EB$9:$IY$9)</f>
        <v>0</v>
      </c>
      <c r="X170" s="422"/>
      <c r="Y170" s="440">
        <f t="shared" si="1010"/>
        <v>0</v>
      </c>
      <c r="Z170" s="440">
        <f t="shared" si="1011"/>
        <v>33067.099999999969</v>
      </c>
      <c r="AA170" s="56"/>
      <c r="AD170" s="55">
        <f t="shared" si="1012"/>
        <v>46166</v>
      </c>
      <c r="AE170" s="422"/>
      <c r="AF170" s="442">
        <f>SUMPRODUCT(PRODUCE!$B177:$DY177,PRODUCE!$EB$10:$IY$10)</f>
        <v>0</v>
      </c>
      <c r="AG170" s="422"/>
      <c r="AH170" s="442">
        <f t="shared" si="1013"/>
        <v>0</v>
      </c>
      <c r="AI170" s="442">
        <f t="shared" si="1014"/>
        <v>13223.000000000018</v>
      </c>
      <c r="AJ170" s="56"/>
      <c r="AM170" s="55">
        <f t="shared" si="1015"/>
        <v>46166</v>
      </c>
      <c r="AN170" s="422"/>
      <c r="AO170" s="444">
        <f>SUMPRODUCT(PRODUCE!$B177:$DY177,PRODUCE!$EB$11:$IY$11)</f>
        <v>0</v>
      </c>
      <c r="AP170" s="422"/>
      <c r="AQ170" s="444">
        <f t="shared" si="1016"/>
        <v>0</v>
      </c>
      <c r="AR170" s="444">
        <f t="shared" si="1017"/>
        <v>0</v>
      </c>
      <c r="AS170" s="56"/>
      <c r="AV170" s="55">
        <f t="shared" si="1018"/>
        <v>46166</v>
      </c>
      <c r="AW170" s="422"/>
      <c r="AX170" s="446">
        <f>SUMPRODUCT(PRODUCE!$B177:$DY177,PRODUCE!$EB$12:$IY$12)</f>
        <v>0</v>
      </c>
      <c r="AY170" s="422"/>
      <c r="AZ170" s="446">
        <f t="shared" si="1019"/>
        <v>0</v>
      </c>
      <c r="BA170" s="446">
        <f t="shared" si="1020"/>
        <v>7826.8999999999969</v>
      </c>
      <c r="BB170" s="56"/>
      <c r="BE170" s="55">
        <f t="shared" si="1021"/>
        <v>46166</v>
      </c>
      <c r="BF170" s="422"/>
      <c r="BG170" s="448">
        <f>SUMPRODUCT(PRODUCE!$B177:$DY177,PRODUCE!$EB$13:$IY$13)</f>
        <v>0</v>
      </c>
      <c r="BH170" s="422"/>
      <c r="BI170" s="448">
        <f t="shared" si="1022"/>
        <v>0</v>
      </c>
      <c r="BJ170" s="448">
        <f t="shared" si="1023"/>
        <v>35848.299999999988</v>
      </c>
      <c r="BK170" s="56"/>
      <c r="BN170" s="55">
        <f t="shared" si="1024"/>
        <v>46166</v>
      </c>
      <c r="BO170" s="422"/>
      <c r="BP170" s="450">
        <f>SUMPRODUCT(PRODUCE!$B177:$DY177,PRODUCE!$EB$14:$IY$14)</f>
        <v>0</v>
      </c>
      <c r="BQ170" s="422"/>
      <c r="BR170" s="450">
        <f t="shared" si="1025"/>
        <v>0</v>
      </c>
      <c r="BS170" s="450">
        <f t="shared" si="1026"/>
        <v>0</v>
      </c>
      <c r="BT170" s="56"/>
      <c r="BW170" s="55">
        <f t="shared" si="1027"/>
        <v>46166</v>
      </c>
      <c r="BX170" s="422"/>
      <c r="BY170" s="523">
        <f>SUMPRODUCT(PRODUCE!$B177:$DY177,PRODUCE!$EB$15:$IY$15)</f>
        <v>0</v>
      </c>
      <c r="BZ170" s="422"/>
      <c r="CA170" s="523">
        <f t="shared" si="1028"/>
        <v>0</v>
      </c>
      <c r="CB170" s="523">
        <f t="shared" si="1029"/>
        <v>5501.2999999999993</v>
      </c>
      <c r="CC170" s="56"/>
      <c r="CF170" s="55">
        <f t="shared" si="1030"/>
        <v>46166</v>
      </c>
      <c r="CG170" s="422"/>
      <c r="CH170" s="524">
        <f>SUMPRODUCT(PRODUCE!$B177:$DY177,PRODUCE!$EB$16:$IY$16)</f>
        <v>0</v>
      </c>
      <c r="CI170" s="422"/>
      <c r="CJ170" s="524">
        <f t="shared" si="1031"/>
        <v>0</v>
      </c>
      <c r="CK170" s="524">
        <f t="shared" si="1032"/>
        <v>0</v>
      </c>
      <c r="CL170" s="56"/>
      <c r="CO170" s="55">
        <f t="shared" si="1033"/>
        <v>46166</v>
      </c>
      <c r="CP170" s="422"/>
      <c r="CQ170" s="470">
        <f>SUMPRODUCT(PRODUCE!$B177:$DY177,PRODUCE!$EB$17:$IY$17)</f>
        <v>0</v>
      </c>
      <c r="CR170" s="422"/>
      <c r="CS170" s="470">
        <f t="shared" si="1034"/>
        <v>0</v>
      </c>
      <c r="CT170" s="470">
        <f t="shared" si="1035"/>
        <v>0</v>
      </c>
      <c r="CU170" s="56"/>
      <c r="CX170" s="55">
        <f t="shared" si="1036"/>
        <v>46166</v>
      </c>
      <c r="CY170" s="422"/>
      <c r="CZ170" s="525">
        <f>SUMPRODUCT(PRODUCE!$B177:$DY177,PRODUCE!$EB$18:$IY$18)</f>
        <v>0</v>
      </c>
      <c r="DA170" s="422"/>
      <c r="DB170" s="525">
        <f t="shared" si="1037"/>
        <v>0</v>
      </c>
      <c r="DC170" s="525">
        <f t="shared" si="1038"/>
        <v>21457.000000000004</v>
      </c>
      <c r="DD170" s="56"/>
      <c r="DG170" s="55">
        <f t="shared" si="1039"/>
        <v>46166</v>
      </c>
      <c r="DH170" s="422"/>
      <c r="DI170" s="526">
        <f>SUMPRODUCT(PRODUCE!$B177:$DY177,PRODUCE!$EB$19:$IY$19)</f>
        <v>0</v>
      </c>
      <c r="DJ170" s="422"/>
      <c r="DK170" s="526">
        <f t="shared" si="1040"/>
        <v>0</v>
      </c>
      <c r="DL170" s="526">
        <f t="shared" si="1041"/>
        <v>37737.299999999981</v>
      </c>
      <c r="DM170" s="56"/>
      <c r="DP170" s="55">
        <f t="shared" si="1042"/>
        <v>46166</v>
      </c>
      <c r="DQ170" s="422"/>
      <c r="DR170" s="423">
        <f>SUMPRODUCT(PRODUCE!$B177:$DY177,PRODUCE!$EB$20:$IY$20)</f>
        <v>0</v>
      </c>
      <c r="DS170" s="422"/>
      <c r="DT170" s="423">
        <f t="shared" si="1043"/>
        <v>0</v>
      </c>
      <c r="DU170" s="423">
        <f t="shared" si="1044"/>
        <v>5800</v>
      </c>
      <c r="DV170" s="56"/>
      <c r="DY170" s="55">
        <f t="shared" si="1045"/>
        <v>46166</v>
      </c>
      <c r="DZ170" s="56"/>
      <c r="EA170" s="157">
        <f>SUMPRODUCT(PRODUCE!$B177:$DY177,PRODUCE!$EB$21:$IY$21)</f>
        <v>0</v>
      </c>
      <c r="EB170" s="56"/>
      <c r="EC170" s="157">
        <f t="shared" si="1046"/>
        <v>0</v>
      </c>
      <c r="ED170" s="157">
        <f t="shared" si="1047"/>
        <v>0</v>
      </c>
      <c r="EE170" s="56"/>
      <c r="EH170" s="55">
        <f t="shared" si="1048"/>
        <v>46166</v>
      </c>
      <c r="EI170" s="56"/>
      <c r="EJ170" s="162">
        <f>SUMPRODUCT(PRODUCE!$B177:$DY177,PRODUCE!$EB$22:$IY$22)</f>
        <v>0</v>
      </c>
      <c r="EK170" s="56"/>
      <c r="EL170" s="162">
        <f t="shared" si="1049"/>
        <v>0</v>
      </c>
      <c r="EM170" s="162">
        <f t="shared" si="1050"/>
        <v>0</v>
      </c>
      <c r="EN170" s="56"/>
      <c r="EQ170" s="55">
        <f t="shared" si="1051"/>
        <v>46166</v>
      </c>
      <c r="ER170" s="56"/>
      <c r="ES170" s="135">
        <f>SUMPRODUCT(PRODUCE!$B177:$DY177,PRODUCE!$EB$23:$IY$23)</f>
        <v>0</v>
      </c>
      <c r="ET170" s="56"/>
      <c r="EU170" s="135">
        <f t="shared" si="1052"/>
        <v>0</v>
      </c>
      <c r="EV170" s="135">
        <f t="shared" si="1053"/>
        <v>0</v>
      </c>
      <c r="EW170" s="56"/>
      <c r="EZ170" s="55">
        <f t="shared" si="1054"/>
        <v>46166</v>
      </c>
      <c r="FA170" s="56"/>
      <c r="FB170" s="175">
        <f>SUMPRODUCT(PRODUCE!$B177:$DY177,PRODUCE!$EB$24:$IY$24)</f>
        <v>0</v>
      </c>
      <c r="FC170" s="56"/>
      <c r="FD170" s="175">
        <f t="shared" si="1055"/>
        <v>0</v>
      </c>
      <c r="FE170" s="175">
        <f t="shared" si="1056"/>
        <v>0</v>
      </c>
      <c r="FF170" s="56"/>
      <c r="FI170" s="55">
        <f t="shared" si="1057"/>
        <v>46166</v>
      </c>
      <c r="FJ170" s="56"/>
      <c r="FK170" s="183">
        <f>SUMPRODUCT(PRODUCE!$B177:$DY177,PRODUCE!$EB$25:$IY$25)</f>
        <v>0</v>
      </c>
      <c r="FL170" s="56"/>
      <c r="FM170" s="183">
        <f t="shared" si="1058"/>
        <v>0</v>
      </c>
      <c r="FN170" s="183">
        <f t="shared" si="1059"/>
        <v>0</v>
      </c>
      <c r="FO170" s="56"/>
      <c r="FR170" s="55">
        <f t="shared" si="1060"/>
        <v>46166</v>
      </c>
      <c r="FS170" s="56"/>
      <c r="FT170" s="186">
        <f>SUMPRODUCT(PRODUCE!$B177:$DY177,PRODUCE!$EB$26:$IY$26)</f>
        <v>0</v>
      </c>
      <c r="FU170" s="56"/>
      <c r="FV170" s="186">
        <f t="shared" si="1061"/>
        <v>0</v>
      </c>
      <c r="FW170" s="186">
        <f t="shared" si="1062"/>
        <v>4140</v>
      </c>
      <c r="FX170" s="56"/>
      <c r="GA170" s="55">
        <f t="shared" si="1063"/>
        <v>46166</v>
      </c>
      <c r="GB170" s="56"/>
      <c r="GC170" s="137">
        <f>SUMPRODUCT(PRODUCE!$B177:$DY177,PRODUCE!$EB$27:$IY$27)</f>
        <v>0</v>
      </c>
      <c r="GD170" s="56"/>
      <c r="GE170" s="137">
        <f t="shared" si="1064"/>
        <v>0</v>
      </c>
      <c r="GF170" s="137">
        <f t="shared" si="1065"/>
        <v>5040</v>
      </c>
      <c r="GG170" s="56"/>
      <c r="GI170" s="23"/>
      <c r="GJ170" s="55">
        <f t="shared" si="1066"/>
        <v>46166</v>
      </c>
      <c r="GK170" s="56"/>
      <c r="GL170" s="199">
        <f>SUMPRODUCT(PRODUCE!$B177:$DY177,PRODUCE!$EB$28:$IY$28)</f>
        <v>0</v>
      </c>
      <c r="GM170" s="56"/>
      <c r="GN170" s="199">
        <f t="shared" si="1067"/>
        <v>0</v>
      </c>
      <c r="GO170" s="199">
        <f t="shared" si="1068"/>
        <v>2560</v>
      </c>
      <c r="GP170" s="56"/>
      <c r="GS170" s="55">
        <f t="shared" si="1069"/>
        <v>46166</v>
      </c>
      <c r="GT170" s="56"/>
      <c r="GU170" s="195">
        <f>SUMPRODUCT(PRODUCE!$B177:$DY177,PRODUCE!$EB$29:$IY$29)</f>
        <v>0</v>
      </c>
      <c r="GV170" s="56"/>
      <c r="GW170" s="195">
        <f t="shared" si="1070"/>
        <v>0</v>
      </c>
      <c r="GX170" s="195">
        <f t="shared" si="1071"/>
        <v>600</v>
      </c>
      <c r="GY170" s="56"/>
      <c r="HB170" s="55">
        <f t="shared" si="1072"/>
        <v>46166</v>
      </c>
      <c r="HC170" s="56"/>
      <c r="HD170" s="191">
        <f>SUMPRODUCT(PRODUCE!$B177:$DY177,PRODUCE!$EB$30:$IY$30)</f>
        <v>0</v>
      </c>
      <c r="HE170" s="56"/>
      <c r="HF170" s="191">
        <f t="shared" si="1073"/>
        <v>0</v>
      </c>
      <c r="HG170" s="191">
        <f t="shared" si="1074"/>
        <v>3600</v>
      </c>
      <c r="HH170" s="56"/>
      <c r="HK170" s="55">
        <f t="shared" si="1075"/>
        <v>46166</v>
      </c>
      <c r="HL170" s="56"/>
      <c r="HM170" s="63">
        <f>SUMPRODUCT(PRODUCE!$B177:$DY177,PRODUCE!$EB$31:$IY$31)</f>
        <v>0</v>
      </c>
      <c r="HN170" s="56"/>
      <c r="HO170" s="63">
        <f t="shared" si="1076"/>
        <v>0</v>
      </c>
      <c r="HP170" s="63">
        <f t="shared" si="1077"/>
        <v>0</v>
      </c>
      <c r="HQ170" s="56"/>
      <c r="HU170" s="55">
        <f t="shared" si="1078"/>
        <v>46166</v>
      </c>
      <c r="HV170" s="56"/>
      <c r="HW170" s="242">
        <f>SUMPRODUCT(PRODUCE!$B177:$DY177,PRODUCE!$EB$32:$IY$32)</f>
        <v>0</v>
      </c>
      <c r="HX170" s="56"/>
      <c r="HY170" s="242">
        <f t="shared" si="1079"/>
        <v>0</v>
      </c>
      <c r="HZ170" s="242">
        <f t="shared" si="1080"/>
        <v>7080</v>
      </c>
      <c r="IA170" s="56"/>
      <c r="ID170" s="55">
        <f t="shared" si="1081"/>
        <v>46166</v>
      </c>
      <c r="IE170" s="56"/>
      <c r="IF170" s="242">
        <f>SUMPRODUCT(PRODUCE!$B177:$DY177,PRODUCE!$EB$33:$IY$33)</f>
        <v>0</v>
      </c>
      <c r="IG170" s="56"/>
      <c r="IH170" s="242">
        <f t="shared" si="1082"/>
        <v>0</v>
      </c>
      <c r="II170" s="242">
        <f t="shared" si="1083"/>
        <v>720</v>
      </c>
      <c r="IJ170" s="56"/>
      <c r="IM170" s="55">
        <f t="shared" si="1084"/>
        <v>46166</v>
      </c>
      <c r="IN170" s="56"/>
      <c r="IO170" s="242">
        <f>SUMPRODUCT(PRODUCE!$B177:$DY177,PRODUCE!$EB$34:$IY$34)</f>
        <v>0</v>
      </c>
      <c r="IP170" s="56"/>
      <c r="IQ170" s="242">
        <f t="shared" si="1085"/>
        <v>0</v>
      </c>
      <c r="IR170" s="242">
        <f t="shared" si="1086"/>
        <v>8140</v>
      </c>
      <c r="IS170" s="56"/>
      <c r="IV170" s="55">
        <f t="shared" si="1087"/>
        <v>46166</v>
      </c>
      <c r="IW170" s="56"/>
      <c r="IX170" s="242">
        <f>SUMPRODUCT(PRODUCE!$B177:$DY177,PRODUCE!$EB$35:$IY$35)</f>
        <v>0</v>
      </c>
      <c r="IY170" s="56"/>
      <c r="IZ170" s="242">
        <f t="shared" si="1088"/>
        <v>0</v>
      </c>
      <c r="JA170" s="242">
        <f t="shared" si="1089"/>
        <v>8960</v>
      </c>
      <c r="JB170" s="56"/>
      <c r="JE170" s="55">
        <f t="shared" si="1090"/>
        <v>46166</v>
      </c>
      <c r="JF170" s="56"/>
      <c r="JG170" s="242">
        <f>SUMPRODUCT(PRODUCE!$B177:$DY177,PRODUCE!$EB$36:$IY$36)</f>
        <v>0</v>
      </c>
      <c r="JH170" s="56"/>
      <c r="JI170" s="242">
        <f t="shared" si="1091"/>
        <v>0</v>
      </c>
      <c r="JJ170" s="242">
        <f t="shared" si="1092"/>
        <v>0</v>
      </c>
      <c r="JK170" s="56"/>
      <c r="JN170" s="55">
        <f t="shared" si="1093"/>
        <v>46166</v>
      </c>
      <c r="JO170" s="56"/>
      <c r="JP170" s="242">
        <f>SUMPRODUCT(PRODUCE!$B177:$DY177,PRODUCE!$EB$37:$IY$37)</f>
        <v>0</v>
      </c>
      <c r="JQ170" s="56"/>
      <c r="JR170" s="242">
        <f t="shared" si="1094"/>
        <v>0</v>
      </c>
      <c r="JS170" s="242">
        <f t="shared" si="1095"/>
        <v>5300</v>
      </c>
      <c r="JT170" s="56"/>
      <c r="JW170" s="55">
        <f t="shared" si="1096"/>
        <v>46166</v>
      </c>
      <c r="JX170" s="56"/>
      <c r="JY170" s="242">
        <f>SUMPRODUCT(PRODUCE!$B177:$DY177,PRODUCE!$EB$38:$IY$38)</f>
        <v>0</v>
      </c>
      <c r="JZ170" s="56"/>
      <c r="KA170" s="242">
        <f t="shared" si="1097"/>
        <v>0</v>
      </c>
      <c r="KB170" s="242">
        <f t="shared" si="1098"/>
        <v>2540</v>
      </c>
      <c r="KC170" s="56"/>
      <c r="KF170" s="55">
        <f t="shared" si="1099"/>
        <v>46166</v>
      </c>
      <c r="KG170" s="56"/>
      <c r="KH170" s="242">
        <f>SUMPRODUCT(PRODUCE!$B177:$DY177,PRODUCE!$EB$39:$IY$39)</f>
        <v>0</v>
      </c>
      <c r="KI170" s="56"/>
      <c r="KJ170" s="242">
        <f t="shared" si="1100"/>
        <v>0</v>
      </c>
      <c r="KK170" s="242">
        <f t="shared" si="1101"/>
        <v>2359.5</v>
      </c>
      <c r="KL170" s="56"/>
      <c r="KO170" s="55">
        <f t="shared" si="1102"/>
        <v>46166</v>
      </c>
      <c r="KP170" s="56"/>
      <c r="KQ170" s="242">
        <f>SUMPRODUCT(PRODUCE!$B177:$DY177,PRODUCE!$EB$40:$IY$40)</f>
        <v>0</v>
      </c>
      <c r="KR170" s="56"/>
      <c r="KS170" s="242">
        <f t="shared" si="1103"/>
        <v>0</v>
      </c>
      <c r="KT170" s="242">
        <f t="shared" si="1104"/>
        <v>1890</v>
      </c>
      <c r="KU170" s="56"/>
      <c r="KW170" s="23"/>
      <c r="KX170" s="55">
        <f t="shared" si="1105"/>
        <v>46166</v>
      </c>
      <c r="KY170" s="56"/>
      <c r="KZ170" s="242">
        <f>SUMPRODUCT(PRODUCE!$B177:$DY177,PRODUCE!$EB$41:$IY$41)</f>
        <v>0</v>
      </c>
      <c r="LA170" s="56"/>
      <c r="LB170" s="242">
        <f t="shared" si="1106"/>
        <v>0</v>
      </c>
      <c r="LC170" s="242">
        <f t="shared" si="1107"/>
        <v>3690</v>
      </c>
      <c r="LD170" s="56"/>
      <c r="LG170" s="55">
        <f t="shared" si="1108"/>
        <v>46166</v>
      </c>
      <c r="LH170" s="56"/>
      <c r="LI170" s="242">
        <f>SUMPRODUCT(PRODUCE!$B177:$DY177,PRODUCE!$EB$42:$IY$42)</f>
        <v>0</v>
      </c>
      <c r="LJ170" s="56"/>
      <c r="LK170" s="242">
        <f t="shared" si="1109"/>
        <v>0</v>
      </c>
      <c r="LL170" s="242">
        <f t="shared" si="1110"/>
        <v>4000</v>
      </c>
      <c r="LM170" s="56"/>
      <c r="LP170" s="55">
        <f t="shared" si="1111"/>
        <v>46166</v>
      </c>
      <c r="LQ170" s="56"/>
      <c r="LR170" s="242">
        <f>SUMPRODUCT(PRODUCE!$B185:$DY185,PRODUCE!$EB$43:$IY$43)</f>
        <v>0</v>
      </c>
      <c r="LS170" s="56"/>
      <c r="LT170" s="242">
        <f t="shared" si="1112"/>
        <v>0</v>
      </c>
      <c r="LU170" s="242">
        <f t="shared" si="1113"/>
        <v>0</v>
      </c>
      <c r="LV170" s="56"/>
      <c r="LY170" s="55">
        <f t="shared" si="1114"/>
        <v>46166</v>
      </c>
      <c r="LZ170" s="56"/>
      <c r="MA170" s="242">
        <f>SUMPRODUCT(PRODUCE!$B177:$DY177,PRODUCE!$EB$44:$IY$44)</f>
        <v>0</v>
      </c>
      <c r="MB170" s="56"/>
      <c r="MC170" s="242">
        <f t="shared" si="1115"/>
        <v>0</v>
      </c>
      <c r="MD170" s="242">
        <f t="shared" si="1116"/>
        <v>0</v>
      </c>
      <c r="ME170" s="56"/>
      <c r="MH170" s="55">
        <f t="shared" si="1117"/>
        <v>46166</v>
      </c>
      <c r="MI170" s="56"/>
      <c r="MJ170" s="242">
        <f>SUMPRODUCT(PRODUCE!$B177:$DY177,PRODUCE!$EB$45:$IY$45)</f>
        <v>0</v>
      </c>
      <c r="MK170" s="56"/>
      <c r="ML170" s="242">
        <f t="shared" si="1118"/>
        <v>0</v>
      </c>
      <c r="MM170" s="242">
        <f t="shared" si="1119"/>
        <v>0</v>
      </c>
      <c r="MN170" s="56"/>
      <c r="MQ170" s="55">
        <f t="shared" si="1120"/>
        <v>46166</v>
      </c>
      <c r="MR170" s="56"/>
      <c r="MS170" s="242">
        <f>SUMPRODUCT(PRODUCE!$B177:$DY177,PRODUCE!$EB$46:$IY$46)</f>
        <v>0</v>
      </c>
      <c r="MT170" s="56"/>
      <c r="MU170" s="242">
        <f t="shared" si="1121"/>
        <v>0</v>
      </c>
      <c r="MV170" s="242">
        <f t="shared" si="1122"/>
        <v>3731</v>
      </c>
      <c r="MW170" s="56"/>
      <c r="MZ170" s="55">
        <f t="shared" si="1123"/>
        <v>46166</v>
      </c>
      <c r="NA170" s="56"/>
      <c r="NB170" s="242">
        <f>SUMPRODUCT(PRODUCE!$B177:$DY177,PRODUCE!$EB$47:$IY$47)</f>
        <v>0</v>
      </c>
      <c r="NC170" s="56"/>
      <c r="ND170" s="242">
        <f t="shared" si="1124"/>
        <v>0</v>
      </c>
      <c r="NE170" s="242">
        <f t="shared" si="1125"/>
        <v>0</v>
      </c>
      <c r="NF170" s="56"/>
      <c r="NI170" s="55">
        <f t="shared" si="1126"/>
        <v>46166</v>
      </c>
      <c r="NJ170" s="56"/>
      <c r="NK170" s="242">
        <f>SUMPRODUCT(PRODUCE!$B177:$DY177,PRODUCE!$EB$48:$IY$48)</f>
        <v>0</v>
      </c>
      <c r="NL170" s="56"/>
      <c r="NM170" s="242">
        <f t="shared" si="1127"/>
        <v>0</v>
      </c>
      <c r="NN170" s="242">
        <f t="shared" si="1128"/>
        <v>1127</v>
      </c>
      <c r="NO170" s="56"/>
      <c r="NR170" s="55">
        <f t="shared" si="1129"/>
        <v>46166</v>
      </c>
      <c r="NS170" s="56"/>
      <c r="NT170" s="242">
        <f>SUMPRODUCT(PRODUCE!$B177:$DY177,PRODUCE!$EB$49:$IY$49)</f>
        <v>0</v>
      </c>
      <c r="NU170" s="56"/>
      <c r="NV170" s="242">
        <f t="shared" si="1130"/>
        <v>0</v>
      </c>
      <c r="NW170" s="242">
        <f t="shared" si="1131"/>
        <v>3111.9999999999995</v>
      </c>
      <c r="NX170" s="56"/>
      <c r="OA170" s="55">
        <f t="shared" si="1132"/>
        <v>46166</v>
      </c>
      <c r="OB170" s="56"/>
      <c r="OC170" s="242">
        <f>SUMPRODUCT(PRODUCE!$B177:$DY177,PRODUCE!$EB$50:$IY$50)</f>
        <v>0</v>
      </c>
      <c r="OD170" s="56"/>
      <c r="OE170" s="242">
        <f t="shared" si="1133"/>
        <v>0</v>
      </c>
      <c r="OF170" s="242">
        <f t="shared" si="1134"/>
        <v>1680.5</v>
      </c>
      <c r="OG170" s="56"/>
      <c r="OJ170" s="55">
        <f t="shared" si="1135"/>
        <v>46166</v>
      </c>
      <c r="OK170" s="56"/>
      <c r="OL170" s="242">
        <f>SUMPRODUCT(PRODUCE!$B177:$DY177,PRODUCE!$EB$51:$IY$51)</f>
        <v>0</v>
      </c>
      <c r="OM170" s="56"/>
      <c r="ON170" s="242">
        <f t="shared" si="1136"/>
        <v>0</v>
      </c>
      <c r="OO170" s="242">
        <f t="shared" si="1137"/>
        <v>0</v>
      </c>
      <c r="OP170" s="56"/>
      <c r="OS170" s="55">
        <f t="shared" si="1138"/>
        <v>46166</v>
      </c>
      <c r="OT170" s="56"/>
      <c r="OU170" s="242">
        <f>SUMPRODUCT(PRODUCE!$B177:$DY177,PRODUCE!$EB$52:$IY$52)</f>
        <v>0</v>
      </c>
      <c r="OV170" s="56"/>
      <c r="OW170" s="242">
        <f t="shared" si="1139"/>
        <v>0</v>
      </c>
      <c r="OX170" s="242">
        <f t="shared" si="1140"/>
        <v>1482</v>
      </c>
      <c r="OY170" s="56"/>
      <c r="PB170" s="55">
        <f t="shared" si="1141"/>
        <v>46166</v>
      </c>
      <c r="PC170" s="56"/>
      <c r="PD170" s="242">
        <f>SUMPRODUCT(PRODUCE!$B177:$DY177,PRODUCE!$EB$53:$IY$53)</f>
        <v>0</v>
      </c>
      <c r="PE170" s="56"/>
      <c r="PF170" s="242">
        <f t="shared" si="1142"/>
        <v>0</v>
      </c>
      <c r="PG170" s="242">
        <f t="shared" si="1143"/>
        <v>0</v>
      </c>
      <c r="PH170" s="56"/>
      <c r="PK170" s="55">
        <f t="shared" si="1144"/>
        <v>46166</v>
      </c>
      <c r="PL170" s="56"/>
      <c r="PM170" s="242">
        <f>SUMPRODUCT(PRODUCE!$B177:$DY177,PRODUCE!$EB$54:$IY$54)</f>
        <v>0</v>
      </c>
      <c r="PN170" s="56"/>
      <c r="PO170" s="242">
        <f t="shared" si="1145"/>
        <v>0</v>
      </c>
      <c r="PP170" s="242">
        <f t="shared" si="1146"/>
        <v>100</v>
      </c>
      <c r="PQ170" s="56"/>
      <c r="PT170" s="55">
        <f t="shared" si="1147"/>
        <v>46166</v>
      </c>
      <c r="PU170" s="56"/>
      <c r="PV170" s="242">
        <f>SUMPRODUCT(PRODUCE!$B177:$DY177,PRODUCE!$EB$55:$IY$55)</f>
        <v>0</v>
      </c>
      <c r="PW170" s="56"/>
      <c r="PX170" s="242">
        <f t="shared" si="1148"/>
        <v>0</v>
      </c>
      <c r="PY170" s="242">
        <f t="shared" si="1149"/>
        <v>13.960000000000036</v>
      </c>
      <c r="PZ170" s="56"/>
      <c r="QC170" s="55">
        <f t="shared" si="1150"/>
        <v>46166</v>
      </c>
      <c r="QD170" s="56"/>
      <c r="QE170" s="242">
        <f>SUMPRODUCT(PRODUCE!$B177:$DY177,PRODUCE!$EB$56:$IY$56)</f>
        <v>0</v>
      </c>
      <c r="QF170" s="56"/>
      <c r="QG170" s="242">
        <f t="shared" si="1151"/>
        <v>0</v>
      </c>
      <c r="QH170" s="242">
        <f t="shared" si="1152"/>
        <v>176</v>
      </c>
      <c r="QI170" s="56"/>
      <c r="QL170" s="55">
        <f t="shared" si="1153"/>
        <v>46166</v>
      </c>
      <c r="QM170" s="56"/>
      <c r="QN170" s="242">
        <f>SUMPRODUCT(PRODUCE!$B177:$DY177,PRODUCE!$EB$57:$IY$57)</f>
        <v>0</v>
      </c>
      <c r="QO170" s="56"/>
      <c r="QP170" s="242">
        <f t="shared" si="1154"/>
        <v>0</v>
      </c>
      <c r="QQ170" s="242">
        <f t="shared" si="1155"/>
        <v>490</v>
      </c>
      <c r="QR170" s="56"/>
      <c r="QU170" s="55">
        <f t="shared" si="1156"/>
        <v>46166</v>
      </c>
      <c r="QV170" s="56"/>
      <c r="QW170" s="242">
        <f>SUMPRODUCT(PRODUCE!$B177:$DY177,PRODUCE!$EB$58:$IY$58)</f>
        <v>0</v>
      </c>
      <c r="QX170" s="56"/>
      <c r="QY170" s="242">
        <f t="shared" si="1157"/>
        <v>0</v>
      </c>
      <c r="QZ170" s="242">
        <f t="shared" si="1158"/>
        <v>207.6</v>
      </c>
      <c r="RA170" s="56"/>
      <c r="RD170" s="55">
        <f t="shared" si="1159"/>
        <v>46166</v>
      </c>
      <c r="RE170" s="56"/>
      <c r="RF170" s="242">
        <f>SUMPRODUCT(PRODUCE!$B177:$DY177,PRODUCE!$EB$59:$IY$59)</f>
        <v>0</v>
      </c>
      <c r="RG170" s="56"/>
      <c r="RH170" s="242">
        <f t="shared" si="1160"/>
        <v>0</v>
      </c>
      <c r="RI170" s="242">
        <f t="shared" si="1161"/>
        <v>147.04000000000002</v>
      </c>
      <c r="RJ170" s="56"/>
      <c r="RM170" s="55">
        <f t="shared" si="1162"/>
        <v>46166</v>
      </c>
      <c r="RN170" s="56"/>
      <c r="RO170" s="242">
        <f>SUMPRODUCT(PRODUCE!$B177:$DY177,PRODUCE!$EB$60:$IY$60)</f>
        <v>0</v>
      </c>
      <c r="RP170" s="56"/>
      <c r="RQ170" s="242">
        <f t="shared" si="1163"/>
        <v>0</v>
      </c>
      <c r="RR170" s="242">
        <f t="shared" si="1164"/>
        <v>46.8</v>
      </c>
      <c r="RS170" s="56"/>
      <c r="RV170" s="55">
        <f t="shared" si="1165"/>
        <v>46166</v>
      </c>
      <c r="RW170" s="56"/>
      <c r="RX170" s="242">
        <f>SUMPRODUCT(PRODUCE!$B177:$DY177,PRODUCE!$EB$61:$IY$61)</f>
        <v>0</v>
      </c>
      <c r="RY170" s="56"/>
      <c r="RZ170" s="242">
        <f t="shared" si="1166"/>
        <v>0</v>
      </c>
      <c r="SA170" s="242">
        <f t="shared" si="1167"/>
        <v>0</v>
      </c>
      <c r="SB170" s="56"/>
      <c r="SE170" s="55">
        <f t="shared" si="1168"/>
        <v>46166</v>
      </c>
      <c r="SF170" s="56"/>
      <c r="SG170" s="242">
        <f>SUMPRODUCT(PRODUCE!$B177:$DY177,PRODUCE!$EB$62:$IY$62)</f>
        <v>0</v>
      </c>
      <c r="SH170" s="56"/>
      <c r="SI170" s="242">
        <f t="shared" si="1169"/>
        <v>0</v>
      </c>
      <c r="SJ170" s="242">
        <f t="shared" si="1170"/>
        <v>24.200000000000003</v>
      </c>
      <c r="SK170" s="56"/>
      <c r="SN170" s="55">
        <f t="shared" si="1171"/>
        <v>46166</v>
      </c>
      <c r="SO170" s="56"/>
      <c r="SP170" s="242">
        <f>SUMPRODUCT(PRODUCE!$B177:$DY177,PRODUCE!$EB$63:$IY$63)</f>
        <v>0</v>
      </c>
      <c r="SQ170" s="56"/>
      <c r="SR170" s="242">
        <f t="shared" si="1172"/>
        <v>0</v>
      </c>
      <c r="SS170" s="242">
        <f t="shared" si="1173"/>
        <v>32</v>
      </c>
      <c r="ST170" s="56"/>
      <c r="SW170" s="55">
        <f t="shared" si="1174"/>
        <v>46166</v>
      </c>
      <c r="SX170" s="56"/>
      <c r="SY170" s="242">
        <f>SUMPRODUCT(PRODUCE!$B177:$DY177,PRODUCE!$EB$64:$IY$64)</f>
        <v>0</v>
      </c>
      <c r="SZ170" s="56"/>
      <c r="TA170" s="242">
        <f t="shared" si="1175"/>
        <v>0</v>
      </c>
      <c r="TB170" s="242">
        <f t="shared" si="1176"/>
        <v>0</v>
      </c>
      <c r="TC170" s="56"/>
      <c r="TF170" s="55">
        <f t="shared" si="1177"/>
        <v>46166</v>
      </c>
      <c r="TG170" s="56"/>
      <c r="TH170" s="242">
        <f>SUMPRODUCT(PRODUCE!$B177:$DY177,PRODUCE!$EB$65:$IY$65)</f>
        <v>0</v>
      </c>
      <c r="TI170" s="56"/>
      <c r="TJ170" s="242">
        <f t="shared" si="1178"/>
        <v>0</v>
      </c>
      <c r="TK170" s="242">
        <f t="shared" si="1179"/>
        <v>0</v>
      </c>
      <c r="TL170" s="56"/>
      <c r="TO170" s="55">
        <f t="shared" si="1180"/>
        <v>46166</v>
      </c>
      <c r="TP170" s="56"/>
      <c r="TQ170" s="242">
        <f>SUMPRODUCT(PRODUCE!$B177:$DY177,PRODUCE!$EB$66:$IY$66)</f>
        <v>0</v>
      </c>
      <c r="TR170" s="56"/>
      <c r="TS170" s="242">
        <f t="shared" si="1181"/>
        <v>0</v>
      </c>
      <c r="TT170" s="242">
        <f t="shared" si="1182"/>
        <v>0</v>
      </c>
      <c r="TU170" s="56"/>
      <c r="TX170" s="55">
        <f t="shared" si="1183"/>
        <v>46166</v>
      </c>
      <c r="TY170" s="56"/>
      <c r="TZ170" s="242">
        <f>SUMPRODUCT(PRODUCE!$B177:$DY177,PRODUCE!$EB$67:$IY$67)</f>
        <v>0</v>
      </c>
      <c r="UA170" s="56"/>
      <c r="UB170" s="242">
        <f t="shared" si="1184"/>
        <v>0</v>
      </c>
      <c r="UC170" s="242">
        <f t="shared" si="1185"/>
        <v>0</v>
      </c>
      <c r="UD170" s="56"/>
      <c r="UG170" s="55">
        <f t="shared" si="1186"/>
        <v>46166</v>
      </c>
      <c r="UH170" s="56"/>
      <c r="UI170" s="242">
        <f>SUMPRODUCT(PRODUCE!$B177:$DY177,PRODUCE!$EB$68:$IY$68)</f>
        <v>0</v>
      </c>
      <c r="UJ170" s="56"/>
      <c r="UK170" s="242">
        <f t="shared" si="1187"/>
        <v>0</v>
      </c>
      <c r="UL170" s="242">
        <f t="shared" si="1188"/>
        <v>0</v>
      </c>
      <c r="UM170" s="56"/>
      <c r="UP170" s="55">
        <f t="shared" si="1189"/>
        <v>46166</v>
      </c>
      <c r="UQ170" s="56"/>
      <c r="UR170" s="242">
        <f>SUMPRODUCT(PRODUCE!$B177:$DY177,PRODUCE!$EB$69:$IY$69)</f>
        <v>0</v>
      </c>
      <c r="US170" s="56"/>
      <c r="UT170" s="242">
        <f t="shared" si="1190"/>
        <v>0</v>
      </c>
      <c r="UU170" s="242">
        <f t="shared" si="1191"/>
        <v>0</v>
      </c>
      <c r="UV170" s="56"/>
      <c r="UY170" s="55">
        <f t="shared" si="1192"/>
        <v>46166</v>
      </c>
      <c r="UZ170" s="56"/>
      <c r="VA170" s="242">
        <f>SUMPRODUCT(PRODUCE!$B177:$DY177,PRODUCE!$EB$70:$IY$70)</f>
        <v>0</v>
      </c>
      <c r="VB170" s="56"/>
      <c r="VC170" s="242">
        <f t="shared" si="1193"/>
        <v>0</v>
      </c>
      <c r="VD170" s="242">
        <f t="shared" si="1194"/>
        <v>41.600000000000023</v>
      </c>
      <c r="VE170" s="56"/>
      <c r="VH170" s="55">
        <f t="shared" si="1195"/>
        <v>46166</v>
      </c>
      <c r="VI170" s="56"/>
      <c r="VJ170" s="242">
        <f>SUMPRODUCT(PRODUCE!$B177:$DY177,PRODUCE!$EB$71:$IY$71)</f>
        <v>0</v>
      </c>
      <c r="VK170" s="56"/>
      <c r="VL170" s="242">
        <f t="shared" si="1196"/>
        <v>0</v>
      </c>
      <c r="VM170" s="242">
        <f t="shared" si="1197"/>
        <v>0</v>
      </c>
      <c r="VN170" s="56"/>
      <c r="VQ170" s="55">
        <f t="shared" si="1198"/>
        <v>46166</v>
      </c>
      <c r="VR170" s="56"/>
      <c r="VS170" s="242">
        <f>SUMPRODUCT(PRODUCE!$B177:$DY177,PRODUCE!$EB$57:$IY$57)</f>
        <v>0</v>
      </c>
      <c r="VT170" s="56"/>
      <c r="VU170" s="242">
        <f t="shared" si="1199"/>
        <v>0</v>
      </c>
      <c r="VV170" s="242">
        <f t="shared" si="1200"/>
        <v>0</v>
      </c>
      <c r="VW170" s="56"/>
      <c r="VZ170" s="55">
        <f t="shared" si="1201"/>
        <v>46166</v>
      </c>
      <c r="WA170" s="56"/>
      <c r="WB170" s="242">
        <f>SUMPRODUCT(PRODUCE!$B177:$DY177,PRODUCE!$EB$57:$IY$57)</f>
        <v>0</v>
      </c>
      <c r="WC170" s="56"/>
      <c r="WD170" s="242">
        <f t="shared" si="1202"/>
        <v>0</v>
      </c>
      <c r="WE170" s="242">
        <f t="shared" si="1203"/>
        <v>0</v>
      </c>
      <c r="WF170" s="56"/>
      <c r="WI170" s="55">
        <f t="shared" si="1204"/>
        <v>46166</v>
      </c>
      <c r="WJ170" s="422"/>
      <c r="WK170" s="540">
        <f>SUMPRODUCT(PRODUCE!$B177:$DY177,PRODUCE!$EB$74:$IY$74)</f>
        <v>0</v>
      </c>
      <c r="WL170" s="422"/>
      <c r="WM170" s="540">
        <f t="shared" si="1205"/>
        <v>0</v>
      </c>
      <c r="WN170" s="540">
        <f t="shared" si="1206"/>
        <v>1599</v>
      </c>
      <c r="WO170" s="56"/>
      <c r="WR170" s="55">
        <f t="shared" si="1207"/>
        <v>46166</v>
      </c>
      <c r="WS170" s="422"/>
      <c r="WT170" s="540">
        <f>SUMPRODUCT(PRODUCE!$B177:$DY177,PRODUCE!$EB$75:$IY$75)</f>
        <v>0</v>
      </c>
      <c r="WU170" s="422"/>
      <c r="WV170" s="540">
        <f t="shared" si="1208"/>
        <v>0</v>
      </c>
      <c r="WW170" s="540">
        <f t="shared" si="1209"/>
        <v>0</v>
      </c>
      <c r="WX170" s="56"/>
      <c r="XA170" s="55">
        <f t="shared" si="1210"/>
        <v>46166</v>
      </c>
      <c r="XB170" s="422"/>
      <c r="XC170" s="540">
        <f>SUMPRODUCT(PRODUCE!$B177:$DY177,PRODUCE!$EB$76:$IY$76)</f>
        <v>0</v>
      </c>
      <c r="XD170" s="422"/>
      <c r="XE170" s="540">
        <f t="shared" si="1211"/>
        <v>0</v>
      </c>
      <c r="XF170" s="540">
        <f t="shared" si="1212"/>
        <v>8023</v>
      </c>
      <c r="XG170" s="56"/>
      <c r="XJ170" s="55">
        <f t="shared" si="1213"/>
        <v>46166</v>
      </c>
      <c r="XK170" s="422"/>
      <c r="XL170" s="540">
        <f>SUMPRODUCT(PRODUCE!$B177:$DY177,PRODUCE!$EB$77:$IY$77)</f>
        <v>0</v>
      </c>
      <c r="XM170" s="422"/>
      <c r="XN170" s="540">
        <f t="shared" si="1214"/>
        <v>0</v>
      </c>
      <c r="XO170" s="540">
        <f t="shared" si="1215"/>
        <v>-234</v>
      </c>
      <c r="XP170" s="56"/>
      <c r="XS170" s="55">
        <f t="shared" si="1216"/>
        <v>46166</v>
      </c>
      <c r="XT170" s="56"/>
      <c r="XU170" s="242">
        <f>SUMPRODUCT(PRODUCE!$B177:$DY177,PRODUCE!$EB$78:$IY$78)</f>
        <v>0</v>
      </c>
      <c r="XV170" s="56"/>
      <c r="XW170" s="242">
        <f t="shared" si="1217"/>
        <v>0</v>
      </c>
      <c r="XX170" s="242">
        <f t="shared" si="1218"/>
        <v>1901</v>
      </c>
      <c r="XY170" s="56"/>
      <c r="YB170" s="55">
        <f t="shared" si="1219"/>
        <v>46166</v>
      </c>
      <c r="YC170" s="56"/>
      <c r="YD170" s="242">
        <f>SUMPRODUCT(PRODUCE!$B177:$DY177,PRODUCE!$EB$79:$IY$79)</f>
        <v>0</v>
      </c>
      <c r="YE170" s="56"/>
      <c r="YF170" s="242">
        <f t="shared" si="1220"/>
        <v>0</v>
      </c>
      <c r="YG170" s="242">
        <f t="shared" si="1221"/>
        <v>6459</v>
      </c>
      <c r="YH170" s="56"/>
      <c r="YK170" s="55">
        <f t="shared" si="1222"/>
        <v>46166</v>
      </c>
      <c r="YL170" s="56"/>
      <c r="YM170" s="242">
        <f>SUMPRODUCT(PRODUCE!$B177:$DY177,PRODUCE!$EB$80:$IY$80)</f>
        <v>0</v>
      </c>
      <c r="YN170" s="56"/>
      <c r="YO170" s="242">
        <f t="shared" si="1223"/>
        <v>0</v>
      </c>
      <c r="YP170" s="242">
        <f t="shared" si="1224"/>
        <v>0</v>
      </c>
      <c r="YQ170" s="56"/>
      <c r="YT170" s="55">
        <f t="shared" si="1225"/>
        <v>46166</v>
      </c>
      <c r="YU170" s="56"/>
      <c r="YV170" s="242">
        <f>SUMPRODUCT(PRODUCE!$B177:$DY177,PRODUCE!$EB$57:$IY$57)</f>
        <v>0</v>
      </c>
      <c r="YW170" s="56"/>
      <c r="YX170" s="242">
        <f t="shared" si="1226"/>
        <v>0</v>
      </c>
      <c r="YY170" s="242">
        <f t="shared" si="1227"/>
        <v>0</v>
      </c>
      <c r="YZ170" s="56"/>
      <c r="ZC170" s="55">
        <f t="shared" si="1228"/>
        <v>46166</v>
      </c>
      <c r="ZD170" s="56"/>
      <c r="ZE170" s="242">
        <f>SUMPRODUCT(PRODUCE!$B177:$DY177,PRODUCE!$EB$57:$IY$57)</f>
        <v>0</v>
      </c>
      <c r="ZF170" s="56"/>
      <c r="ZG170" s="242">
        <f t="shared" si="1229"/>
        <v>0</v>
      </c>
      <c r="ZH170" s="242">
        <f t="shared" si="1230"/>
        <v>0</v>
      </c>
      <c r="ZI170" s="56"/>
      <c r="ZL170" s="55">
        <f t="shared" si="1231"/>
        <v>46166</v>
      </c>
      <c r="ZM170" s="56"/>
      <c r="ZN170" s="242">
        <f>SUMPRODUCT(PRODUCE!$B177:$DY177,PRODUCE!$EB$57:$IY$57)</f>
        <v>0</v>
      </c>
      <c r="ZO170" s="56"/>
      <c r="ZP170" s="242">
        <f t="shared" si="1232"/>
        <v>0</v>
      </c>
      <c r="ZQ170" s="242">
        <f t="shared" si="1233"/>
        <v>0</v>
      </c>
      <c r="ZR170" s="56"/>
      <c r="ZU170" s="55">
        <f t="shared" si="1234"/>
        <v>46166</v>
      </c>
      <c r="ZV170" s="56"/>
      <c r="ZW170" s="242">
        <f>SUMPRODUCT(PRODUCE!$B177:$DY177,PRODUCE!$EB$57:$IY$57)</f>
        <v>0</v>
      </c>
      <c r="ZX170" s="56"/>
      <c r="ZY170" s="242">
        <f t="shared" si="1235"/>
        <v>0</v>
      </c>
      <c r="ZZ170" s="242">
        <f t="shared" si="1236"/>
        <v>0</v>
      </c>
      <c r="AAA170" s="56"/>
      <c r="AAD170" s="55">
        <f t="shared" si="1237"/>
        <v>46166</v>
      </c>
      <c r="AAE170" s="56"/>
      <c r="AAF170" s="242">
        <f>SUMPRODUCT(PRODUCE!$B177:$DY177,PRODUCE!$EB$57:$IY$57)</f>
        <v>0</v>
      </c>
      <c r="AAG170" s="56"/>
      <c r="AAH170" s="242">
        <f t="shared" si="1238"/>
        <v>0</v>
      </c>
      <c r="AAI170" s="242">
        <f t="shared" si="1239"/>
        <v>0</v>
      </c>
      <c r="AAJ170" s="56"/>
      <c r="AAM170" s="55">
        <f t="shared" si="1240"/>
        <v>46166</v>
      </c>
      <c r="AAN170" s="56"/>
      <c r="AAO170" s="242">
        <f>SUMPRODUCT(PRODUCE!$B177:$DY177,PRODUCE!$EB$57:$IY$57)</f>
        <v>0</v>
      </c>
      <c r="AAP170" s="56"/>
      <c r="AAQ170" s="242">
        <f t="shared" si="1241"/>
        <v>0</v>
      </c>
      <c r="AAR170" s="242">
        <f t="shared" si="1242"/>
        <v>0</v>
      </c>
      <c r="AAS170" s="56"/>
      <c r="AAV170" s="55">
        <f t="shared" si="1243"/>
        <v>46166</v>
      </c>
      <c r="AAW170" s="56"/>
      <c r="AAX170" s="242">
        <f>SUMPRODUCT(PRODUCE!$B177:$DY177,PRODUCE!$EB$57:$IY$57)</f>
        <v>0</v>
      </c>
      <c r="AAY170" s="56"/>
      <c r="AAZ170" s="242">
        <f t="shared" si="1244"/>
        <v>0</v>
      </c>
      <c r="ABA170" s="242">
        <f t="shared" si="1245"/>
        <v>0</v>
      </c>
      <c r="ABB170" s="56"/>
      <c r="ABE170" s="55">
        <f t="shared" si="1246"/>
        <v>46166</v>
      </c>
      <c r="ABF170" s="56"/>
      <c r="ABG170" s="242">
        <f>SUMPRODUCT(PRODUCE!$B177:$DY177,PRODUCE!$EB$57:$IY$57)</f>
        <v>0</v>
      </c>
      <c r="ABH170" s="56"/>
      <c r="ABI170" s="242">
        <f t="shared" si="1247"/>
        <v>0</v>
      </c>
      <c r="ABJ170" s="242">
        <f t="shared" si="1248"/>
        <v>0</v>
      </c>
      <c r="ABK170" s="56"/>
    </row>
    <row r="171" spans="2:739" s="54" customFormat="1" ht="15" customHeight="1" outlineLevel="1">
      <c r="B171" s="478">
        <f>14+20</f>
        <v>34</v>
      </c>
      <c r="C171" s="55">
        <v>46167</v>
      </c>
      <c r="D171" s="422">
        <v>67690</v>
      </c>
      <c r="E171" s="423">
        <f>SUMPRODUCT(PRODUCE!$B178:$DY178,PRODUCE!$EB$7:$IY$7)</f>
        <v>18033.480000000003</v>
      </c>
      <c r="F171" s="422">
        <v>18045</v>
      </c>
      <c r="G171" s="423">
        <f t="shared" si="1004"/>
        <v>-11.519999999996799</v>
      </c>
      <c r="H171" s="423">
        <f t="shared" si="1005"/>
        <v>183003.60000000006</v>
      </c>
      <c r="I171" s="289" t="s">
        <v>273</v>
      </c>
      <c r="L171" s="55">
        <f t="shared" si="1006"/>
        <v>46167</v>
      </c>
      <c r="M171" s="422">
        <v>30900</v>
      </c>
      <c r="N171" s="438">
        <f>SUMPRODUCT(PRODUCE!$B178:$DY178,PRODUCE!$EB$8:$IY$8)</f>
        <v>10719.8</v>
      </c>
      <c r="O171" s="422">
        <v>10715.8</v>
      </c>
      <c r="P171" s="438">
        <f t="shared" si="1007"/>
        <v>4</v>
      </c>
      <c r="Q171" s="438">
        <f t="shared" si="1008"/>
        <v>64981.800000000076</v>
      </c>
      <c r="R171" s="56"/>
      <c r="U171" s="55">
        <f t="shared" si="1009"/>
        <v>46167</v>
      </c>
      <c r="V171" s="422"/>
      <c r="W171" s="440">
        <f>SUMPRODUCT(PRODUCE!$B178:$DY178,PRODUCE!$EB$9:$IY$9)</f>
        <v>1700</v>
      </c>
      <c r="X171" s="422">
        <v>1700.1</v>
      </c>
      <c r="Y171" s="440">
        <f t="shared" si="1010"/>
        <v>-9.9999999999909051E-2</v>
      </c>
      <c r="Z171" s="440">
        <f t="shared" si="1011"/>
        <v>31366.999999999971</v>
      </c>
      <c r="AA171" s="56"/>
      <c r="AD171" s="55">
        <f t="shared" si="1012"/>
        <v>46167</v>
      </c>
      <c r="AE171" s="422"/>
      <c r="AF171" s="442">
        <f>SUMPRODUCT(PRODUCE!$B178:$DY178,PRODUCE!$EB$10:$IY$10)</f>
        <v>0</v>
      </c>
      <c r="AG171" s="422"/>
      <c r="AH171" s="442">
        <f t="shared" si="1013"/>
        <v>0</v>
      </c>
      <c r="AI171" s="442">
        <f t="shared" si="1014"/>
        <v>13223.000000000018</v>
      </c>
      <c r="AJ171" s="56"/>
      <c r="AM171" s="55">
        <f t="shared" si="1015"/>
        <v>46167</v>
      </c>
      <c r="AN171" s="422"/>
      <c r="AO171" s="444">
        <f>SUMPRODUCT(PRODUCE!$B178:$DY178,PRODUCE!$EB$11:$IY$11)</f>
        <v>0</v>
      </c>
      <c r="AP171" s="422"/>
      <c r="AQ171" s="444">
        <f t="shared" si="1016"/>
        <v>0</v>
      </c>
      <c r="AR171" s="444">
        <f t="shared" si="1017"/>
        <v>0</v>
      </c>
      <c r="AS171" s="56"/>
      <c r="AV171" s="55">
        <f t="shared" si="1018"/>
        <v>46167</v>
      </c>
      <c r="AW171" s="422"/>
      <c r="AX171" s="446">
        <f>SUMPRODUCT(PRODUCE!$B178:$DY178,PRODUCE!$EB$12:$IY$12)</f>
        <v>280</v>
      </c>
      <c r="AY171" s="422">
        <v>280.39999999999998</v>
      </c>
      <c r="AZ171" s="446">
        <f t="shared" si="1019"/>
        <v>-0.39999999999997726</v>
      </c>
      <c r="BA171" s="446">
        <f t="shared" si="1020"/>
        <v>7546.4999999999973</v>
      </c>
      <c r="BB171" s="56"/>
      <c r="BE171" s="55">
        <f t="shared" si="1021"/>
        <v>46167</v>
      </c>
      <c r="BF171" s="422"/>
      <c r="BG171" s="448">
        <f>SUMPRODUCT(PRODUCE!$B178:$DY178,PRODUCE!$EB$13:$IY$13)</f>
        <v>210</v>
      </c>
      <c r="BH171" s="422">
        <v>210.1</v>
      </c>
      <c r="BI171" s="448">
        <f t="shared" si="1022"/>
        <v>-9.9999999999994316E-2</v>
      </c>
      <c r="BJ171" s="448">
        <f t="shared" si="1023"/>
        <v>35638.19999999999</v>
      </c>
      <c r="BK171" s="56"/>
      <c r="BN171" s="55">
        <f t="shared" si="1024"/>
        <v>46167</v>
      </c>
      <c r="BO171" s="422">
        <v>140</v>
      </c>
      <c r="BP171" s="450">
        <f>SUMPRODUCT(PRODUCE!$B178:$DY178,PRODUCE!$EB$14:$IY$14)</f>
        <v>140</v>
      </c>
      <c r="BQ171" s="422">
        <v>140</v>
      </c>
      <c r="BR171" s="450">
        <f t="shared" si="1025"/>
        <v>0</v>
      </c>
      <c r="BS171" s="450">
        <f t="shared" si="1026"/>
        <v>0</v>
      </c>
      <c r="BT171" s="56"/>
      <c r="BW171" s="55">
        <f t="shared" si="1027"/>
        <v>46167</v>
      </c>
      <c r="BX171" s="422"/>
      <c r="BY171" s="523">
        <f>SUMPRODUCT(PRODUCE!$B178:$DY178,PRODUCE!$EB$15:$IY$15)</f>
        <v>256.5</v>
      </c>
      <c r="BZ171" s="422"/>
      <c r="CA171" s="523">
        <f t="shared" si="1028"/>
        <v>256.5</v>
      </c>
      <c r="CB171" s="523">
        <f t="shared" si="1029"/>
        <v>5501.2999999999993</v>
      </c>
      <c r="CC171" s="56"/>
      <c r="CF171" s="55">
        <f t="shared" si="1030"/>
        <v>46167</v>
      </c>
      <c r="CG171" s="422"/>
      <c r="CH171" s="524">
        <f>SUMPRODUCT(PRODUCE!$B178:$DY178,PRODUCE!$EB$16:$IY$16)</f>
        <v>85.11999999999999</v>
      </c>
      <c r="CI171" s="422"/>
      <c r="CJ171" s="524">
        <f t="shared" si="1031"/>
        <v>85.11999999999999</v>
      </c>
      <c r="CK171" s="524">
        <f t="shared" si="1032"/>
        <v>0</v>
      </c>
      <c r="CL171" s="56"/>
      <c r="CO171" s="55">
        <f t="shared" si="1033"/>
        <v>46167</v>
      </c>
      <c r="CP171" s="422"/>
      <c r="CQ171" s="470">
        <f>SUMPRODUCT(PRODUCE!$B178:$DY178,PRODUCE!$EB$17:$IY$17)</f>
        <v>0</v>
      </c>
      <c r="CR171" s="422"/>
      <c r="CS171" s="470">
        <f t="shared" si="1034"/>
        <v>0</v>
      </c>
      <c r="CT171" s="470">
        <f t="shared" si="1035"/>
        <v>0</v>
      </c>
      <c r="CU171" s="56"/>
      <c r="CX171" s="55">
        <f t="shared" si="1036"/>
        <v>46167</v>
      </c>
      <c r="CY171" s="422"/>
      <c r="CZ171" s="525">
        <f>SUMPRODUCT(PRODUCE!$B178:$DY178,PRODUCE!$EB$18:$IY$18)</f>
        <v>400</v>
      </c>
      <c r="DA171" s="422">
        <v>399.1</v>
      </c>
      <c r="DB171" s="525">
        <f t="shared" si="1037"/>
        <v>0.89999999999997726</v>
      </c>
      <c r="DC171" s="525">
        <f t="shared" si="1038"/>
        <v>21057.900000000005</v>
      </c>
      <c r="DD171" s="56"/>
      <c r="DG171" s="55">
        <f t="shared" si="1039"/>
        <v>46167</v>
      </c>
      <c r="DH171" s="422"/>
      <c r="DI171" s="526">
        <f>SUMPRODUCT(PRODUCE!$B178:$DY178,PRODUCE!$EB$19:$IY$19)</f>
        <v>700</v>
      </c>
      <c r="DJ171" s="422">
        <v>701.2</v>
      </c>
      <c r="DK171" s="526">
        <f t="shared" si="1040"/>
        <v>-1.2000000000000455</v>
      </c>
      <c r="DL171" s="526">
        <f t="shared" si="1041"/>
        <v>37036.099999999984</v>
      </c>
      <c r="DM171" s="56"/>
      <c r="DP171" s="55">
        <f t="shared" si="1042"/>
        <v>46167</v>
      </c>
      <c r="DQ171" s="422"/>
      <c r="DR171" s="423">
        <f>SUMPRODUCT(PRODUCE!$B178:$DY178,PRODUCE!$EB$20:$IY$20)</f>
        <v>0</v>
      </c>
      <c r="DS171" s="422"/>
      <c r="DT171" s="423">
        <f t="shared" si="1043"/>
        <v>0</v>
      </c>
      <c r="DU171" s="423">
        <f t="shared" si="1044"/>
        <v>5800</v>
      </c>
      <c r="DV171" s="56"/>
      <c r="DY171" s="55">
        <f t="shared" si="1045"/>
        <v>46167</v>
      </c>
      <c r="DZ171" s="56"/>
      <c r="EA171" s="157">
        <f>SUMPRODUCT(PRODUCE!$B178:$DY178,PRODUCE!$EB$21:$IY$21)</f>
        <v>0</v>
      </c>
      <c r="EB171" s="56"/>
      <c r="EC171" s="157">
        <f t="shared" si="1046"/>
        <v>0</v>
      </c>
      <c r="ED171" s="157">
        <f t="shared" si="1047"/>
        <v>0</v>
      </c>
      <c r="EE171" s="56"/>
      <c r="EH171" s="55">
        <f t="shared" si="1048"/>
        <v>46167</v>
      </c>
      <c r="EI171" s="56"/>
      <c r="EJ171" s="162">
        <f>SUMPRODUCT(PRODUCE!$B178:$DY178,PRODUCE!$EB$22:$IY$22)</f>
        <v>0</v>
      </c>
      <c r="EK171" s="56"/>
      <c r="EL171" s="162">
        <f t="shared" si="1049"/>
        <v>0</v>
      </c>
      <c r="EM171" s="162">
        <f t="shared" si="1050"/>
        <v>0</v>
      </c>
      <c r="EN171" s="56"/>
      <c r="EQ171" s="55">
        <f t="shared" si="1051"/>
        <v>46167</v>
      </c>
      <c r="ER171" s="56"/>
      <c r="ES171" s="135">
        <f>SUMPRODUCT(PRODUCE!$B178:$DY178,PRODUCE!$EB$23:$IY$23)</f>
        <v>0</v>
      </c>
      <c r="ET171" s="56"/>
      <c r="EU171" s="135">
        <f t="shared" si="1052"/>
        <v>0</v>
      </c>
      <c r="EV171" s="135">
        <f t="shared" si="1053"/>
        <v>0</v>
      </c>
      <c r="EW171" s="56"/>
      <c r="EZ171" s="55">
        <f t="shared" si="1054"/>
        <v>46167</v>
      </c>
      <c r="FA171" s="56"/>
      <c r="FB171" s="175">
        <f>SUMPRODUCT(PRODUCE!$B178:$DY178,PRODUCE!$EB$24:$IY$24)</f>
        <v>0</v>
      </c>
      <c r="FC171" s="56"/>
      <c r="FD171" s="175">
        <f t="shared" si="1055"/>
        <v>0</v>
      </c>
      <c r="FE171" s="175">
        <f t="shared" si="1056"/>
        <v>0</v>
      </c>
      <c r="FF171" s="56"/>
      <c r="FI171" s="55">
        <f t="shared" si="1057"/>
        <v>46167</v>
      </c>
      <c r="FJ171" s="56"/>
      <c r="FK171" s="183">
        <f>SUMPRODUCT(PRODUCE!$B178:$DY178,PRODUCE!$EB$25:$IY$25)</f>
        <v>0</v>
      </c>
      <c r="FL171" s="56"/>
      <c r="FM171" s="183">
        <f t="shared" si="1058"/>
        <v>0</v>
      </c>
      <c r="FN171" s="183">
        <f t="shared" si="1059"/>
        <v>0</v>
      </c>
      <c r="FO171" s="56"/>
      <c r="FR171" s="55">
        <f t="shared" si="1060"/>
        <v>46167</v>
      </c>
      <c r="FS171" s="56"/>
      <c r="FT171" s="186">
        <f>SUMPRODUCT(PRODUCE!$B178:$DY178,PRODUCE!$EB$26:$IY$26)</f>
        <v>0</v>
      </c>
      <c r="FU171" s="56"/>
      <c r="FV171" s="186">
        <f t="shared" si="1061"/>
        <v>0</v>
      </c>
      <c r="FW171" s="186">
        <f t="shared" si="1062"/>
        <v>4140</v>
      </c>
      <c r="FX171" s="56"/>
      <c r="GA171" s="55">
        <f t="shared" si="1063"/>
        <v>46167</v>
      </c>
      <c r="GB171" s="56"/>
      <c r="GC171" s="137">
        <f>SUMPRODUCT(PRODUCE!$B178:$DY178,PRODUCE!$EB$27:$IY$27)</f>
        <v>0</v>
      </c>
      <c r="GD171" s="56"/>
      <c r="GE171" s="137">
        <f t="shared" si="1064"/>
        <v>0</v>
      </c>
      <c r="GF171" s="137">
        <f t="shared" si="1065"/>
        <v>5040</v>
      </c>
      <c r="GG171" s="56"/>
      <c r="GI171" s="23"/>
      <c r="GJ171" s="55">
        <f t="shared" si="1066"/>
        <v>46167</v>
      </c>
      <c r="GK171" s="56"/>
      <c r="GL171" s="199">
        <f>SUMPRODUCT(PRODUCE!$B178:$DY178,PRODUCE!$EB$28:$IY$28)</f>
        <v>0</v>
      </c>
      <c r="GM171" s="56"/>
      <c r="GN171" s="199">
        <f t="shared" si="1067"/>
        <v>0</v>
      </c>
      <c r="GO171" s="199">
        <f t="shared" si="1068"/>
        <v>2560</v>
      </c>
      <c r="GP171" s="56"/>
      <c r="GS171" s="55">
        <f t="shared" si="1069"/>
        <v>46167</v>
      </c>
      <c r="GT171" s="56"/>
      <c r="GU171" s="195">
        <f>SUMPRODUCT(PRODUCE!$B178:$DY178,PRODUCE!$EB$29:$IY$29)</f>
        <v>0</v>
      </c>
      <c r="GV171" s="56"/>
      <c r="GW171" s="195">
        <f t="shared" si="1070"/>
        <v>0</v>
      </c>
      <c r="GX171" s="195">
        <f t="shared" si="1071"/>
        <v>600</v>
      </c>
      <c r="GY171" s="56"/>
      <c r="HB171" s="55">
        <f t="shared" si="1072"/>
        <v>46167</v>
      </c>
      <c r="HC171" s="56"/>
      <c r="HD171" s="191">
        <f>SUMPRODUCT(PRODUCE!$B178:$DY178,PRODUCE!$EB$30:$IY$30)</f>
        <v>0</v>
      </c>
      <c r="HE171" s="56"/>
      <c r="HF171" s="191">
        <f t="shared" si="1073"/>
        <v>0</v>
      </c>
      <c r="HG171" s="191">
        <f t="shared" si="1074"/>
        <v>3600</v>
      </c>
      <c r="HH171" s="56"/>
      <c r="HK171" s="55">
        <f t="shared" si="1075"/>
        <v>46167</v>
      </c>
      <c r="HL171" s="56"/>
      <c r="HM171" s="63">
        <f>SUMPRODUCT(PRODUCE!$B178:$DY178,PRODUCE!$EB$31:$IY$31)</f>
        <v>0</v>
      </c>
      <c r="HN171" s="56"/>
      <c r="HO171" s="63">
        <f t="shared" si="1076"/>
        <v>0</v>
      </c>
      <c r="HP171" s="63">
        <f t="shared" si="1077"/>
        <v>0</v>
      </c>
      <c r="HQ171" s="56"/>
      <c r="HU171" s="55">
        <f t="shared" si="1078"/>
        <v>46167</v>
      </c>
      <c r="HV171" s="56"/>
      <c r="HW171" s="242">
        <f>SUMPRODUCT(PRODUCE!$B178:$DY178,PRODUCE!$EB$32:$IY$32)</f>
        <v>280</v>
      </c>
      <c r="HX171" s="56"/>
      <c r="HY171" s="242">
        <f t="shared" si="1079"/>
        <v>280</v>
      </c>
      <c r="HZ171" s="242">
        <f t="shared" si="1080"/>
        <v>7080</v>
      </c>
      <c r="IA171" s="56"/>
      <c r="ID171" s="55">
        <f t="shared" si="1081"/>
        <v>46167</v>
      </c>
      <c r="IE171" s="56"/>
      <c r="IF171" s="242">
        <f>SUMPRODUCT(PRODUCE!$B178:$DY178,PRODUCE!$EB$33:$IY$33)</f>
        <v>0</v>
      </c>
      <c r="IG171" s="56"/>
      <c r="IH171" s="242">
        <f t="shared" si="1082"/>
        <v>0</v>
      </c>
      <c r="II171" s="242">
        <f t="shared" si="1083"/>
        <v>720</v>
      </c>
      <c r="IJ171" s="56"/>
      <c r="IM171" s="55">
        <f t="shared" si="1084"/>
        <v>46167</v>
      </c>
      <c r="IN171" s="56"/>
      <c r="IO171" s="242">
        <f>SUMPRODUCT(PRODUCE!$B178:$DY178,PRODUCE!$EB$34:$IY$34)</f>
        <v>0</v>
      </c>
      <c r="IP171" s="56"/>
      <c r="IQ171" s="242">
        <f t="shared" si="1085"/>
        <v>0</v>
      </c>
      <c r="IR171" s="242">
        <f t="shared" si="1086"/>
        <v>8140</v>
      </c>
      <c r="IS171" s="56"/>
      <c r="IV171" s="55">
        <f t="shared" si="1087"/>
        <v>46167</v>
      </c>
      <c r="IW171" s="56"/>
      <c r="IX171" s="242">
        <f>SUMPRODUCT(PRODUCE!$B178:$DY178,PRODUCE!$EB$35:$IY$35)</f>
        <v>0</v>
      </c>
      <c r="IY171" s="56"/>
      <c r="IZ171" s="242">
        <f t="shared" si="1088"/>
        <v>0</v>
      </c>
      <c r="JA171" s="242">
        <f t="shared" si="1089"/>
        <v>8960</v>
      </c>
      <c r="JB171" s="56"/>
      <c r="JE171" s="55">
        <f t="shared" si="1090"/>
        <v>46167</v>
      </c>
      <c r="JF171" s="56"/>
      <c r="JG171" s="242">
        <f>SUMPRODUCT(PRODUCE!$B178:$DY178,PRODUCE!$EB$36:$IY$36)</f>
        <v>0</v>
      </c>
      <c r="JH171" s="56"/>
      <c r="JI171" s="242">
        <f t="shared" si="1091"/>
        <v>0</v>
      </c>
      <c r="JJ171" s="242">
        <f t="shared" si="1092"/>
        <v>0</v>
      </c>
      <c r="JK171" s="56"/>
      <c r="JN171" s="55">
        <f t="shared" si="1093"/>
        <v>46167</v>
      </c>
      <c r="JO171" s="56"/>
      <c r="JP171" s="242">
        <f>SUMPRODUCT(PRODUCE!$B178:$DY178,PRODUCE!$EB$37:$IY$37)</f>
        <v>0</v>
      </c>
      <c r="JQ171" s="56"/>
      <c r="JR171" s="242">
        <f t="shared" si="1094"/>
        <v>0</v>
      </c>
      <c r="JS171" s="242">
        <f t="shared" si="1095"/>
        <v>5300</v>
      </c>
      <c r="JT171" s="56"/>
      <c r="JW171" s="55">
        <f t="shared" si="1096"/>
        <v>46167</v>
      </c>
      <c r="JX171" s="56"/>
      <c r="JY171" s="242">
        <f>SUMPRODUCT(PRODUCE!$B178:$DY178,PRODUCE!$EB$38:$IY$38)</f>
        <v>0</v>
      </c>
      <c r="JZ171" s="56"/>
      <c r="KA171" s="242">
        <f t="shared" si="1097"/>
        <v>0</v>
      </c>
      <c r="KB171" s="242">
        <f t="shared" si="1098"/>
        <v>2540</v>
      </c>
      <c r="KC171" s="56"/>
      <c r="KF171" s="55">
        <f t="shared" si="1099"/>
        <v>46167</v>
      </c>
      <c r="KG171" s="56"/>
      <c r="KH171" s="242">
        <f>SUMPRODUCT(PRODUCE!$B178:$DY178,PRODUCE!$EB$39:$IY$39)</f>
        <v>0</v>
      </c>
      <c r="KI171" s="56"/>
      <c r="KJ171" s="242">
        <f t="shared" si="1100"/>
        <v>0</v>
      </c>
      <c r="KK171" s="242">
        <f t="shared" si="1101"/>
        <v>2359.5</v>
      </c>
      <c r="KL171" s="56"/>
      <c r="KO171" s="55">
        <f t="shared" si="1102"/>
        <v>46167</v>
      </c>
      <c r="KP171" s="56"/>
      <c r="KQ171" s="242">
        <f>SUMPRODUCT(PRODUCE!$B178:$DY178,PRODUCE!$EB$40:$IY$40)</f>
        <v>0</v>
      </c>
      <c r="KR171" s="56"/>
      <c r="KS171" s="242">
        <f t="shared" si="1103"/>
        <v>0</v>
      </c>
      <c r="KT171" s="242">
        <f t="shared" si="1104"/>
        <v>1890</v>
      </c>
      <c r="KU171" s="56"/>
      <c r="KW171" s="23"/>
      <c r="KX171" s="55">
        <f t="shared" si="1105"/>
        <v>46167</v>
      </c>
      <c r="KY171" s="56"/>
      <c r="KZ171" s="242">
        <f>SUMPRODUCT(PRODUCE!$B178:$DY178,PRODUCE!$EB$41:$IY$41)</f>
        <v>0</v>
      </c>
      <c r="LA171" s="56"/>
      <c r="LB171" s="242">
        <f t="shared" si="1106"/>
        <v>0</v>
      </c>
      <c r="LC171" s="242">
        <f t="shared" si="1107"/>
        <v>3690</v>
      </c>
      <c r="LD171" s="56"/>
      <c r="LG171" s="55">
        <f t="shared" si="1108"/>
        <v>46167</v>
      </c>
      <c r="LH171" s="56"/>
      <c r="LI171" s="242">
        <f>SUMPRODUCT(PRODUCE!$B178:$DY178,PRODUCE!$EB$42:$IY$42)</f>
        <v>0</v>
      </c>
      <c r="LJ171" s="56"/>
      <c r="LK171" s="242">
        <f t="shared" si="1109"/>
        <v>0</v>
      </c>
      <c r="LL171" s="242">
        <f t="shared" si="1110"/>
        <v>4000</v>
      </c>
      <c r="LM171" s="56"/>
      <c r="LP171" s="55">
        <f t="shared" si="1111"/>
        <v>46167</v>
      </c>
      <c r="LQ171" s="56"/>
      <c r="LR171" s="242">
        <f>SUMPRODUCT(PRODUCE!$B186:$DY186,PRODUCE!$EB$43:$IY$43)</f>
        <v>0</v>
      </c>
      <c r="LS171" s="56"/>
      <c r="LT171" s="242">
        <f t="shared" si="1112"/>
        <v>0</v>
      </c>
      <c r="LU171" s="242">
        <f t="shared" si="1113"/>
        <v>0</v>
      </c>
      <c r="LV171" s="56"/>
      <c r="LY171" s="55">
        <f t="shared" si="1114"/>
        <v>46167</v>
      </c>
      <c r="LZ171" s="56"/>
      <c r="MA171" s="242">
        <f>SUMPRODUCT(PRODUCE!$B178:$DY178,PRODUCE!$EB$44:$IY$44)</f>
        <v>0</v>
      </c>
      <c r="MB171" s="56"/>
      <c r="MC171" s="242">
        <f t="shared" si="1115"/>
        <v>0</v>
      </c>
      <c r="MD171" s="242">
        <f t="shared" si="1116"/>
        <v>0</v>
      </c>
      <c r="ME171" s="56"/>
      <c r="MH171" s="55">
        <f t="shared" si="1117"/>
        <v>46167</v>
      </c>
      <c r="MI171" s="56"/>
      <c r="MJ171" s="242">
        <f>SUMPRODUCT(PRODUCE!$B178:$DY178,PRODUCE!$EB$45:$IY$45)</f>
        <v>0</v>
      </c>
      <c r="MK171" s="56"/>
      <c r="ML171" s="242">
        <f t="shared" si="1118"/>
        <v>0</v>
      </c>
      <c r="MM171" s="242">
        <f t="shared" si="1119"/>
        <v>0</v>
      </c>
      <c r="MN171" s="56"/>
      <c r="MQ171" s="55">
        <f t="shared" si="1120"/>
        <v>46167</v>
      </c>
      <c r="MR171" s="56"/>
      <c r="MS171" s="242">
        <f>SUMPRODUCT(PRODUCE!$B178:$DY178,PRODUCE!$EB$46:$IY$46)</f>
        <v>7</v>
      </c>
      <c r="MT171" s="56"/>
      <c r="MU171" s="242">
        <f t="shared" si="1121"/>
        <v>7</v>
      </c>
      <c r="MV171" s="242">
        <f t="shared" si="1122"/>
        <v>3731</v>
      </c>
      <c r="MW171" s="56"/>
      <c r="MZ171" s="55">
        <f t="shared" si="1123"/>
        <v>46167</v>
      </c>
      <c r="NA171" s="56"/>
      <c r="NB171" s="242">
        <f>SUMPRODUCT(PRODUCE!$B178:$DY178,PRODUCE!$EB$47:$IY$47)</f>
        <v>42</v>
      </c>
      <c r="NC171" s="56"/>
      <c r="ND171" s="242">
        <f t="shared" si="1124"/>
        <v>42</v>
      </c>
      <c r="NE171" s="242">
        <f t="shared" si="1125"/>
        <v>0</v>
      </c>
      <c r="NF171" s="56"/>
      <c r="NI171" s="55">
        <f t="shared" si="1126"/>
        <v>46167</v>
      </c>
      <c r="NJ171" s="56"/>
      <c r="NK171" s="242">
        <f>SUMPRODUCT(PRODUCE!$B178:$DY178,PRODUCE!$EB$48:$IY$48)</f>
        <v>0</v>
      </c>
      <c r="NL171" s="56"/>
      <c r="NM171" s="242">
        <f t="shared" si="1127"/>
        <v>0</v>
      </c>
      <c r="NN171" s="242">
        <f t="shared" si="1128"/>
        <v>1127</v>
      </c>
      <c r="NO171" s="56"/>
      <c r="NR171" s="55">
        <f t="shared" si="1129"/>
        <v>46167</v>
      </c>
      <c r="NS171" s="56"/>
      <c r="NT171" s="242">
        <f>SUMPRODUCT(PRODUCE!$B178:$DY178,PRODUCE!$EB$49:$IY$49)</f>
        <v>0</v>
      </c>
      <c r="NU171" s="56"/>
      <c r="NV171" s="242">
        <f t="shared" si="1130"/>
        <v>0</v>
      </c>
      <c r="NW171" s="242">
        <f t="shared" si="1131"/>
        <v>3111.9999999999995</v>
      </c>
      <c r="NX171" s="56"/>
      <c r="OA171" s="55">
        <f t="shared" si="1132"/>
        <v>46167</v>
      </c>
      <c r="OB171" s="56"/>
      <c r="OC171" s="242">
        <f>SUMPRODUCT(PRODUCE!$B178:$DY178,PRODUCE!$EB$50:$IY$50)</f>
        <v>0</v>
      </c>
      <c r="OD171" s="56"/>
      <c r="OE171" s="242">
        <f t="shared" si="1133"/>
        <v>0</v>
      </c>
      <c r="OF171" s="242">
        <f t="shared" si="1134"/>
        <v>1680.5</v>
      </c>
      <c r="OG171" s="56"/>
      <c r="OJ171" s="55">
        <f t="shared" si="1135"/>
        <v>46167</v>
      </c>
      <c r="OK171" s="56"/>
      <c r="OL171" s="242">
        <f>SUMPRODUCT(PRODUCE!$B178:$DY178,PRODUCE!$EB$51:$IY$51)</f>
        <v>0</v>
      </c>
      <c r="OM171" s="56"/>
      <c r="ON171" s="242">
        <f t="shared" si="1136"/>
        <v>0</v>
      </c>
      <c r="OO171" s="242">
        <f t="shared" si="1137"/>
        <v>0</v>
      </c>
      <c r="OP171" s="56"/>
      <c r="OS171" s="55">
        <f t="shared" si="1138"/>
        <v>46167</v>
      </c>
      <c r="OT171" s="56"/>
      <c r="OU171" s="242">
        <f>SUMPRODUCT(PRODUCE!$B178:$DY178,PRODUCE!$EB$52:$IY$52)</f>
        <v>0</v>
      </c>
      <c r="OV171" s="56"/>
      <c r="OW171" s="242">
        <f t="shared" si="1139"/>
        <v>0</v>
      </c>
      <c r="OX171" s="242">
        <f t="shared" si="1140"/>
        <v>1482</v>
      </c>
      <c r="OY171" s="56"/>
      <c r="PB171" s="55">
        <f t="shared" si="1141"/>
        <v>46167</v>
      </c>
      <c r="PC171" s="56"/>
      <c r="PD171" s="242">
        <f>SUMPRODUCT(PRODUCE!$B178:$DY178,PRODUCE!$EB$53:$IY$53)</f>
        <v>0</v>
      </c>
      <c r="PE171" s="56"/>
      <c r="PF171" s="242">
        <f t="shared" si="1142"/>
        <v>0</v>
      </c>
      <c r="PG171" s="242">
        <f t="shared" si="1143"/>
        <v>0</v>
      </c>
      <c r="PH171" s="56"/>
      <c r="PK171" s="55">
        <f t="shared" si="1144"/>
        <v>46167</v>
      </c>
      <c r="PL171" s="56"/>
      <c r="PM171" s="242">
        <f>SUMPRODUCT(PRODUCE!$B178:$DY178,PRODUCE!$EB$54:$IY$54)</f>
        <v>0</v>
      </c>
      <c r="PN171" s="56"/>
      <c r="PO171" s="242">
        <f t="shared" si="1145"/>
        <v>0</v>
      </c>
      <c r="PP171" s="242">
        <f t="shared" si="1146"/>
        <v>100</v>
      </c>
      <c r="PQ171" s="56"/>
      <c r="PT171" s="55">
        <f t="shared" si="1147"/>
        <v>46167</v>
      </c>
      <c r="PU171" s="56"/>
      <c r="PV171" s="242">
        <f>SUMPRODUCT(PRODUCE!$B178:$DY178,PRODUCE!$EB$55:$IY$55)</f>
        <v>0</v>
      </c>
      <c r="PW171" s="56"/>
      <c r="PX171" s="242">
        <f t="shared" si="1148"/>
        <v>0</v>
      </c>
      <c r="PY171" s="242">
        <f t="shared" si="1149"/>
        <v>13.960000000000036</v>
      </c>
      <c r="PZ171" s="56"/>
      <c r="QC171" s="55">
        <f t="shared" si="1150"/>
        <v>46167</v>
      </c>
      <c r="QD171" s="56"/>
      <c r="QE171" s="242">
        <f>SUMPRODUCT(PRODUCE!$B178:$DY178,PRODUCE!$EB$56:$IY$56)</f>
        <v>0</v>
      </c>
      <c r="QF171" s="56"/>
      <c r="QG171" s="242">
        <f t="shared" si="1151"/>
        <v>0</v>
      </c>
      <c r="QH171" s="242">
        <f t="shared" si="1152"/>
        <v>176</v>
      </c>
      <c r="QI171" s="56"/>
      <c r="QL171" s="55">
        <f t="shared" si="1153"/>
        <v>46167</v>
      </c>
      <c r="QM171" s="56">
        <f>450+450+300</f>
        <v>1200</v>
      </c>
      <c r="QN171" s="242">
        <f>SUMPRODUCT(PRODUCE!$B178:$DY178,PRODUCE!$EB$57:$IY$57)</f>
        <v>0</v>
      </c>
      <c r="QO171" s="56"/>
      <c r="QP171" s="242">
        <f t="shared" si="1154"/>
        <v>0</v>
      </c>
      <c r="QQ171" s="242">
        <f t="shared" si="1155"/>
        <v>1690</v>
      </c>
      <c r="QR171" s="56"/>
      <c r="QU171" s="55">
        <f t="shared" si="1156"/>
        <v>46167</v>
      </c>
      <c r="QV171" s="56"/>
      <c r="QW171" s="242">
        <f>SUMPRODUCT(PRODUCE!$B178:$DY178,PRODUCE!$EB$58:$IY$58)</f>
        <v>0</v>
      </c>
      <c r="QX171" s="56"/>
      <c r="QY171" s="242">
        <f t="shared" si="1157"/>
        <v>0</v>
      </c>
      <c r="QZ171" s="242">
        <f t="shared" si="1158"/>
        <v>207.6</v>
      </c>
      <c r="RA171" s="56"/>
      <c r="RD171" s="55">
        <f t="shared" si="1159"/>
        <v>46167</v>
      </c>
      <c r="RE171" s="56"/>
      <c r="RF171" s="242">
        <f>SUMPRODUCT(PRODUCE!$B178:$DY178,PRODUCE!$EB$59:$IY$59)</f>
        <v>0</v>
      </c>
      <c r="RG171" s="56"/>
      <c r="RH171" s="242">
        <f t="shared" si="1160"/>
        <v>0</v>
      </c>
      <c r="RI171" s="242">
        <f t="shared" si="1161"/>
        <v>147.04000000000002</v>
      </c>
      <c r="RJ171" s="56"/>
      <c r="RM171" s="55">
        <f t="shared" si="1162"/>
        <v>46167</v>
      </c>
      <c r="RN171" s="56"/>
      <c r="RO171" s="242">
        <f>SUMPRODUCT(PRODUCE!$B178:$DY178,PRODUCE!$EB$60:$IY$60)</f>
        <v>0</v>
      </c>
      <c r="RP171" s="56"/>
      <c r="RQ171" s="242">
        <f t="shared" si="1163"/>
        <v>0</v>
      </c>
      <c r="RR171" s="242">
        <f t="shared" si="1164"/>
        <v>46.8</v>
      </c>
      <c r="RS171" s="56"/>
      <c r="RV171" s="55">
        <f t="shared" si="1165"/>
        <v>46167</v>
      </c>
      <c r="RW171" s="56"/>
      <c r="RX171" s="242">
        <f>SUMPRODUCT(PRODUCE!$B178:$DY178,PRODUCE!$EB$61:$IY$61)</f>
        <v>0</v>
      </c>
      <c r="RY171" s="56"/>
      <c r="RZ171" s="242">
        <f t="shared" si="1166"/>
        <v>0</v>
      </c>
      <c r="SA171" s="242">
        <f t="shared" si="1167"/>
        <v>0</v>
      </c>
      <c r="SB171" s="56"/>
      <c r="SE171" s="55">
        <f t="shared" si="1168"/>
        <v>46167</v>
      </c>
      <c r="SF171" s="56"/>
      <c r="SG171" s="242">
        <f>SUMPRODUCT(PRODUCE!$B178:$DY178,PRODUCE!$EB$62:$IY$62)</f>
        <v>0</v>
      </c>
      <c r="SH171" s="56"/>
      <c r="SI171" s="242">
        <f t="shared" si="1169"/>
        <v>0</v>
      </c>
      <c r="SJ171" s="242">
        <f t="shared" si="1170"/>
        <v>24.200000000000003</v>
      </c>
      <c r="SK171" s="56"/>
      <c r="SN171" s="55">
        <f t="shared" si="1171"/>
        <v>46167</v>
      </c>
      <c r="SO171" s="56"/>
      <c r="SP171" s="242">
        <f>SUMPRODUCT(PRODUCE!$B178:$DY178,PRODUCE!$EB$63:$IY$63)</f>
        <v>0</v>
      </c>
      <c r="SQ171" s="56"/>
      <c r="SR171" s="242">
        <f t="shared" si="1172"/>
        <v>0</v>
      </c>
      <c r="SS171" s="242">
        <f t="shared" si="1173"/>
        <v>32</v>
      </c>
      <c r="ST171" s="56"/>
      <c r="SW171" s="55">
        <f t="shared" si="1174"/>
        <v>46167</v>
      </c>
      <c r="SX171" s="56"/>
      <c r="SY171" s="242">
        <f>SUMPRODUCT(PRODUCE!$B178:$DY178,PRODUCE!$EB$64:$IY$64)</f>
        <v>0</v>
      </c>
      <c r="SZ171" s="56"/>
      <c r="TA171" s="242">
        <f t="shared" si="1175"/>
        <v>0</v>
      </c>
      <c r="TB171" s="242">
        <f t="shared" si="1176"/>
        <v>0</v>
      </c>
      <c r="TC171" s="56"/>
      <c r="TF171" s="55">
        <f t="shared" si="1177"/>
        <v>46167</v>
      </c>
      <c r="TG171" s="56"/>
      <c r="TH171" s="242">
        <f>SUMPRODUCT(PRODUCE!$B178:$DY178,PRODUCE!$EB$65:$IY$65)</f>
        <v>0</v>
      </c>
      <c r="TI171" s="56"/>
      <c r="TJ171" s="242">
        <f t="shared" si="1178"/>
        <v>0</v>
      </c>
      <c r="TK171" s="242">
        <f t="shared" si="1179"/>
        <v>0</v>
      </c>
      <c r="TL171" s="56"/>
      <c r="TO171" s="55">
        <f t="shared" si="1180"/>
        <v>46167</v>
      </c>
      <c r="TP171" s="56"/>
      <c r="TQ171" s="242">
        <f>SUMPRODUCT(PRODUCE!$B178:$DY178,PRODUCE!$EB$66:$IY$66)</f>
        <v>0</v>
      </c>
      <c r="TR171" s="56"/>
      <c r="TS171" s="242">
        <f t="shared" si="1181"/>
        <v>0</v>
      </c>
      <c r="TT171" s="242">
        <f t="shared" si="1182"/>
        <v>0</v>
      </c>
      <c r="TU171" s="56"/>
      <c r="TX171" s="55">
        <f t="shared" si="1183"/>
        <v>46167</v>
      </c>
      <c r="TY171" s="56">
        <v>228</v>
      </c>
      <c r="TZ171" s="242">
        <f>SUMPRODUCT(PRODUCE!$B178:$DY178,PRODUCE!$EB$67:$IY$67)</f>
        <v>0</v>
      </c>
      <c r="UA171" s="56"/>
      <c r="UB171" s="242">
        <f t="shared" si="1184"/>
        <v>0</v>
      </c>
      <c r="UC171" s="242">
        <f t="shared" si="1185"/>
        <v>228</v>
      </c>
      <c r="UD171" s="56"/>
      <c r="UG171" s="55">
        <f t="shared" si="1186"/>
        <v>46167</v>
      </c>
      <c r="UH171" s="56">
        <v>1000</v>
      </c>
      <c r="UI171" s="242">
        <f>SUMPRODUCT(PRODUCE!$B178:$DY178,PRODUCE!$EB$68:$IY$68)</f>
        <v>0</v>
      </c>
      <c r="UJ171" s="56"/>
      <c r="UK171" s="242">
        <f t="shared" si="1187"/>
        <v>0</v>
      </c>
      <c r="UL171" s="242">
        <f t="shared" si="1188"/>
        <v>1000</v>
      </c>
      <c r="UM171" s="56"/>
      <c r="UP171" s="55">
        <f t="shared" si="1189"/>
        <v>46167</v>
      </c>
      <c r="UQ171" s="56"/>
      <c r="UR171" s="242">
        <f>SUMPRODUCT(PRODUCE!$B178:$DY178,PRODUCE!$EB$69:$IY$69)</f>
        <v>0</v>
      </c>
      <c r="US171" s="56"/>
      <c r="UT171" s="242">
        <f t="shared" si="1190"/>
        <v>0</v>
      </c>
      <c r="UU171" s="242">
        <f t="shared" si="1191"/>
        <v>0</v>
      </c>
      <c r="UV171" s="56"/>
      <c r="UY171" s="55">
        <f t="shared" si="1192"/>
        <v>46167</v>
      </c>
      <c r="UZ171" s="56"/>
      <c r="VA171" s="242">
        <f>SUMPRODUCT(PRODUCE!$B178:$DY178,PRODUCE!$EB$70:$IY$70)</f>
        <v>0</v>
      </c>
      <c r="VB171" s="56"/>
      <c r="VC171" s="242">
        <f t="shared" si="1193"/>
        <v>0</v>
      </c>
      <c r="VD171" s="242">
        <f t="shared" si="1194"/>
        <v>41.600000000000023</v>
      </c>
      <c r="VE171" s="56"/>
      <c r="VH171" s="55">
        <f t="shared" si="1195"/>
        <v>46167</v>
      </c>
      <c r="VI171" s="56"/>
      <c r="VJ171" s="242">
        <f>SUMPRODUCT(PRODUCE!$B178:$DY178,PRODUCE!$EB$71:$IY$71)</f>
        <v>0</v>
      </c>
      <c r="VK171" s="56"/>
      <c r="VL171" s="242">
        <f t="shared" si="1196"/>
        <v>0</v>
      </c>
      <c r="VM171" s="242">
        <f t="shared" si="1197"/>
        <v>0</v>
      </c>
      <c r="VN171" s="56"/>
      <c r="VQ171" s="55">
        <f t="shared" si="1198"/>
        <v>46167</v>
      </c>
      <c r="VR171" s="56"/>
      <c r="VS171" s="242">
        <f>SUMPRODUCT(PRODUCE!$B178:$DY178,PRODUCE!$EB$57:$IY$57)</f>
        <v>0</v>
      </c>
      <c r="VT171" s="56"/>
      <c r="VU171" s="242">
        <f t="shared" si="1199"/>
        <v>0</v>
      </c>
      <c r="VV171" s="242">
        <f t="shared" si="1200"/>
        <v>0</v>
      </c>
      <c r="VW171" s="56"/>
      <c r="VZ171" s="55">
        <f t="shared" si="1201"/>
        <v>46167</v>
      </c>
      <c r="WA171" s="56"/>
      <c r="WB171" s="242">
        <f>SUMPRODUCT(PRODUCE!$B178:$DY178,PRODUCE!$EB$57:$IY$57)</f>
        <v>0</v>
      </c>
      <c r="WC171" s="56"/>
      <c r="WD171" s="242">
        <f t="shared" si="1202"/>
        <v>0</v>
      </c>
      <c r="WE171" s="242">
        <f t="shared" si="1203"/>
        <v>0</v>
      </c>
      <c r="WF171" s="56"/>
      <c r="WI171" s="55">
        <f t="shared" si="1204"/>
        <v>46167</v>
      </c>
      <c r="WJ171" s="422"/>
      <c r="WK171" s="540">
        <f>SUMPRODUCT(PRODUCE!$B178:$DY178,PRODUCE!$EB$74:$IY$74)</f>
        <v>0</v>
      </c>
      <c r="WL171" s="422">
        <v>400</v>
      </c>
      <c r="WM171" s="540">
        <f t="shared" si="1205"/>
        <v>-400</v>
      </c>
      <c r="WN171" s="540">
        <f t="shared" si="1206"/>
        <v>1199</v>
      </c>
      <c r="WO171" s="56"/>
      <c r="WR171" s="55">
        <f t="shared" si="1207"/>
        <v>46167</v>
      </c>
      <c r="WS171" s="422"/>
      <c r="WT171" s="540">
        <f>SUMPRODUCT(PRODUCE!$B178:$DY178,PRODUCE!$EB$75:$IY$75)</f>
        <v>0</v>
      </c>
      <c r="WU171" s="422"/>
      <c r="WV171" s="540">
        <f t="shared" si="1208"/>
        <v>0</v>
      </c>
      <c r="WW171" s="540">
        <f t="shared" si="1209"/>
        <v>0</v>
      </c>
      <c r="WX171" s="56"/>
      <c r="XA171" s="55">
        <f t="shared" si="1210"/>
        <v>46167</v>
      </c>
      <c r="XB171" s="422"/>
      <c r="XC171" s="540">
        <f>SUMPRODUCT(PRODUCE!$B178:$DY178,PRODUCE!$EB$76:$IY$76)</f>
        <v>0</v>
      </c>
      <c r="XD171" s="422"/>
      <c r="XE171" s="540">
        <f t="shared" si="1211"/>
        <v>0</v>
      </c>
      <c r="XF171" s="540">
        <f t="shared" si="1212"/>
        <v>8023</v>
      </c>
      <c r="XG171" s="56"/>
      <c r="XJ171" s="55">
        <f t="shared" si="1213"/>
        <v>46167</v>
      </c>
      <c r="XK171" s="422"/>
      <c r="XL171" s="540">
        <f>SUMPRODUCT(PRODUCE!$B178:$DY178,PRODUCE!$EB$77:$IY$77)</f>
        <v>0</v>
      </c>
      <c r="XM171" s="422"/>
      <c r="XN171" s="540">
        <f t="shared" si="1214"/>
        <v>0</v>
      </c>
      <c r="XO171" s="540">
        <f t="shared" si="1215"/>
        <v>-234</v>
      </c>
      <c r="XP171" s="56"/>
      <c r="XS171" s="55">
        <f t="shared" si="1216"/>
        <v>46167</v>
      </c>
      <c r="XT171" s="56"/>
      <c r="XU171" s="242">
        <f>SUMPRODUCT(PRODUCE!$B178:$DY178,PRODUCE!$EB$78:$IY$78)</f>
        <v>0</v>
      </c>
      <c r="XV171" s="56">
        <v>280</v>
      </c>
      <c r="XW171" s="242">
        <f t="shared" si="1217"/>
        <v>-280</v>
      </c>
      <c r="XX171" s="242">
        <f t="shared" si="1218"/>
        <v>1621</v>
      </c>
      <c r="XY171" s="56"/>
      <c r="YB171" s="55">
        <f t="shared" si="1219"/>
        <v>46167</v>
      </c>
      <c r="YC171" s="56"/>
      <c r="YD171" s="242">
        <f>SUMPRODUCT(PRODUCE!$B178:$DY178,PRODUCE!$EB$79:$IY$79)</f>
        <v>0</v>
      </c>
      <c r="YE171" s="56"/>
      <c r="YF171" s="242">
        <f t="shared" si="1220"/>
        <v>0</v>
      </c>
      <c r="YG171" s="242">
        <f t="shared" si="1221"/>
        <v>6459</v>
      </c>
      <c r="YH171" s="56"/>
      <c r="YK171" s="55">
        <f t="shared" si="1222"/>
        <v>46167</v>
      </c>
      <c r="YL171" s="56"/>
      <c r="YM171" s="242">
        <f>SUMPRODUCT(PRODUCE!$B178:$DY178,PRODUCE!$EB$80:$IY$80)</f>
        <v>0</v>
      </c>
      <c r="YN171" s="56"/>
      <c r="YO171" s="242">
        <f t="shared" si="1223"/>
        <v>0</v>
      </c>
      <c r="YP171" s="242">
        <f t="shared" si="1224"/>
        <v>0</v>
      </c>
      <c r="YQ171" s="56"/>
      <c r="YT171" s="55">
        <f t="shared" si="1225"/>
        <v>46167</v>
      </c>
      <c r="YU171" s="56"/>
      <c r="YV171" s="242">
        <f>SUMPRODUCT(PRODUCE!$B178:$DY178,PRODUCE!$EB$57:$IY$57)</f>
        <v>0</v>
      </c>
      <c r="YW171" s="56"/>
      <c r="YX171" s="242">
        <f t="shared" si="1226"/>
        <v>0</v>
      </c>
      <c r="YY171" s="242">
        <f t="shared" si="1227"/>
        <v>0</v>
      </c>
      <c r="YZ171" s="56"/>
      <c r="ZC171" s="55">
        <f t="shared" si="1228"/>
        <v>46167</v>
      </c>
      <c r="ZD171" s="56"/>
      <c r="ZE171" s="242">
        <f>SUMPRODUCT(PRODUCE!$B178:$DY178,PRODUCE!$EB$57:$IY$57)</f>
        <v>0</v>
      </c>
      <c r="ZF171" s="56"/>
      <c r="ZG171" s="242">
        <f t="shared" si="1229"/>
        <v>0</v>
      </c>
      <c r="ZH171" s="242">
        <f t="shared" si="1230"/>
        <v>0</v>
      </c>
      <c r="ZI171" s="56"/>
      <c r="ZL171" s="55">
        <f t="shared" si="1231"/>
        <v>46167</v>
      </c>
      <c r="ZM171" s="56"/>
      <c r="ZN171" s="242">
        <f>SUMPRODUCT(PRODUCE!$B178:$DY178,PRODUCE!$EB$57:$IY$57)</f>
        <v>0</v>
      </c>
      <c r="ZO171" s="56"/>
      <c r="ZP171" s="242">
        <f t="shared" si="1232"/>
        <v>0</v>
      </c>
      <c r="ZQ171" s="242">
        <f t="shared" si="1233"/>
        <v>0</v>
      </c>
      <c r="ZR171" s="56"/>
      <c r="ZU171" s="55">
        <f t="shared" si="1234"/>
        <v>46167</v>
      </c>
      <c r="ZV171" s="56"/>
      <c r="ZW171" s="242">
        <f>SUMPRODUCT(PRODUCE!$B178:$DY178,PRODUCE!$EB$57:$IY$57)</f>
        <v>0</v>
      </c>
      <c r="ZX171" s="56"/>
      <c r="ZY171" s="242">
        <f t="shared" si="1235"/>
        <v>0</v>
      </c>
      <c r="ZZ171" s="242">
        <f t="shared" si="1236"/>
        <v>0</v>
      </c>
      <c r="AAA171" s="56"/>
      <c r="AAD171" s="55">
        <f t="shared" si="1237"/>
        <v>46167</v>
      </c>
      <c r="AAE171" s="56"/>
      <c r="AAF171" s="242">
        <f>SUMPRODUCT(PRODUCE!$B178:$DY178,PRODUCE!$EB$57:$IY$57)</f>
        <v>0</v>
      </c>
      <c r="AAG171" s="56"/>
      <c r="AAH171" s="242">
        <f t="shared" si="1238"/>
        <v>0</v>
      </c>
      <c r="AAI171" s="242">
        <f t="shared" si="1239"/>
        <v>0</v>
      </c>
      <c r="AAJ171" s="56"/>
      <c r="AAM171" s="55">
        <f t="shared" si="1240"/>
        <v>46167</v>
      </c>
      <c r="AAN171" s="56"/>
      <c r="AAO171" s="242">
        <f>SUMPRODUCT(PRODUCE!$B178:$DY178,PRODUCE!$EB$57:$IY$57)</f>
        <v>0</v>
      </c>
      <c r="AAP171" s="56"/>
      <c r="AAQ171" s="242">
        <f t="shared" si="1241"/>
        <v>0</v>
      </c>
      <c r="AAR171" s="242">
        <f t="shared" si="1242"/>
        <v>0</v>
      </c>
      <c r="AAS171" s="56"/>
      <c r="AAV171" s="55">
        <f t="shared" si="1243"/>
        <v>46167</v>
      </c>
      <c r="AAW171" s="56"/>
      <c r="AAX171" s="242">
        <f>SUMPRODUCT(PRODUCE!$B178:$DY178,PRODUCE!$EB$57:$IY$57)</f>
        <v>0</v>
      </c>
      <c r="AAY171" s="56"/>
      <c r="AAZ171" s="242">
        <f t="shared" si="1244"/>
        <v>0</v>
      </c>
      <c r="ABA171" s="242">
        <f t="shared" si="1245"/>
        <v>0</v>
      </c>
      <c r="ABB171" s="56"/>
      <c r="ABE171" s="55">
        <f t="shared" si="1246"/>
        <v>46167</v>
      </c>
      <c r="ABF171" s="56"/>
      <c r="ABG171" s="242">
        <f>SUMPRODUCT(PRODUCE!$B178:$DY178,PRODUCE!$EB$57:$IY$57)</f>
        <v>0</v>
      </c>
      <c r="ABH171" s="56"/>
      <c r="ABI171" s="242">
        <f t="shared" si="1247"/>
        <v>0</v>
      </c>
      <c r="ABJ171" s="242">
        <f t="shared" si="1248"/>
        <v>0</v>
      </c>
      <c r="ABK171" s="56"/>
    </row>
    <row r="172" spans="2:739" s="54" customFormat="1" ht="15" customHeight="1" outlineLevel="1">
      <c r="B172" s="478">
        <v>60</v>
      </c>
      <c r="C172" s="55">
        <v>46168</v>
      </c>
      <c r="D172" s="422">
        <v>11120</v>
      </c>
      <c r="E172" s="423">
        <f>SUMPRODUCT(PRODUCE!$B179:$DY179,PRODUCE!$EB$7:$IY$7)</f>
        <v>38952</v>
      </c>
      <c r="F172" s="422">
        <v>38942</v>
      </c>
      <c r="G172" s="423">
        <f t="shared" si="1004"/>
        <v>10</v>
      </c>
      <c r="H172" s="423">
        <f t="shared" si="1005"/>
        <v>155181.60000000006</v>
      </c>
      <c r="I172" s="289" t="s">
        <v>274</v>
      </c>
      <c r="L172" s="55">
        <f t="shared" si="1006"/>
        <v>46168</v>
      </c>
      <c r="M172" s="422"/>
      <c r="N172" s="438">
        <f>SUMPRODUCT(PRODUCE!$B179:$DY179,PRODUCE!$EB$8:$IY$8)</f>
        <v>9693</v>
      </c>
      <c r="O172" s="422">
        <v>9692.6</v>
      </c>
      <c r="P172" s="438">
        <f t="shared" si="1007"/>
        <v>0.3999999999996362</v>
      </c>
      <c r="Q172" s="438">
        <f t="shared" si="1008"/>
        <v>55289.200000000077</v>
      </c>
      <c r="R172" s="56"/>
      <c r="U172" s="55">
        <f t="shared" si="1009"/>
        <v>46168</v>
      </c>
      <c r="V172" s="422"/>
      <c r="W172" s="440">
        <f>SUMPRODUCT(PRODUCE!$B179:$DY179,PRODUCE!$EB$9:$IY$9)</f>
        <v>4500</v>
      </c>
      <c r="X172" s="422">
        <v>4499</v>
      </c>
      <c r="Y172" s="440">
        <f t="shared" si="1010"/>
        <v>1</v>
      </c>
      <c r="Z172" s="440">
        <f t="shared" si="1011"/>
        <v>26867.999999999971</v>
      </c>
      <c r="AA172" s="56"/>
      <c r="AD172" s="55">
        <f t="shared" si="1012"/>
        <v>46168</v>
      </c>
      <c r="AE172" s="422"/>
      <c r="AF172" s="442">
        <f>SUMPRODUCT(PRODUCE!$B179:$DY179,PRODUCE!$EB$10:$IY$10)</f>
        <v>0</v>
      </c>
      <c r="AG172" s="422"/>
      <c r="AH172" s="442">
        <f t="shared" si="1013"/>
        <v>0</v>
      </c>
      <c r="AI172" s="442">
        <f t="shared" si="1014"/>
        <v>13223.000000000018</v>
      </c>
      <c r="AJ172" s="56"/>
      <c r="AM172" s="55">
        <f t="shared" si="1015"/>
        <v>46168</v>
      </c>
      <c r="AN172" s="422"/>
      <c r="AO172" s="444">
        <f>SUMPRODUCT(PRODUCE!$B179:$DY179,PRODUCE!$EB$11:$IY$11)</f>
        <v>0</v>
      </c>
      <c r="AP172" s="422"/>
      <c r="AQ172" s="444">
        <f t="shared" si="1016"/>
        <v>0</v>
      </c>
      <c r="AR172" s="444">
        <f t="shared" si="1017"/>
        <v>0</v>
      </c>
      <c r="AS172" s="56"/>
      <c r="AV172" s="55">
        <f t="shared" si="1018"/>
        <v>46168</v>
      </c>
      <c r="AW172" s="422"/>
      <c r="AX172" s="446">
        <f>SUMPRODUCT(PRODUCE!$B179:$DY179,PRODUCE!$EB$12:$IY$12)</f>
        <v>900</v>
      </c>
      <c r="AY172" s="422">
        <v>899.8</v>
      </c>
      <c r="AZ172" s="446">
        <f t="shared" si="1019"/>
        <v>0.20000000000004547</v>
      </c>
      <c r="BA172" s="446">
        <f t="shared" si="1020"/>
        <v>6646.6999999999971</v>
      </c>
      <c r="BB172" s="56"/>
      <c r="BE172" s="55">
        <f t="shared" si="1021"/>
        <v>46168</v>
      </c>
      <c r="BF172" s="422"/>
      <c r="BG172" s="448">
        <f>SUMPRODUCT(PRODUCE!$B179:$DY179,PRODUCE!$EB$13:$IY$13)</f>
        <v>1200</v>
      </c>
      <c r="BH172" s="422">
        <v>1200</v>
      </c>
      <c r="BI172" s="448">
        <f t="shared" si="1022"/>
        <v>0</v>
      </c>
      <c r="BJ172" s="448">
        <f t="shared" si="1023"/>
        <v>34438.19999999999</v>
      </c>
      <c r="BK172" s="56"/>
      <c r="BN172" s="55">
        <f t="shared" si="1024"/>
        <v>46168</v>
      </c>
      <c r="BO172" s="422">
        <v>1620</v>
      </c>
      <c r="BP172" s="450">
        <f>SUMPRODUCT(PRODUCE!$B179:$DY179,PRODUCE!$EB$14:$IY$14)</f>
        <v>1620.0000000000002</v>
      </c>
      <c r="BQ172" s="422">
        <v>1620</v>
      </c>
      <c r="BR172" s="450">
        <f t="shared" si="1025"/>
        <v>0</v>
      </c>
      <c r="BS172" s="450">
        <f t="shared" si="1026"/>
        <v>0</v>
      </c>
      <c r="BT172" s="56"/>
      <c r="BW172" s="55">
        <f t="shared" si="1027"/>
        <v>46168</v>
      </c>
      <c r="BX172" s="422"/>
      <c r="BY172" s="523">
        <f>SUMPRODUCT(PRODUCE!$B179:$DY179,PRODUCE!$EB$15:$IY$15)</f>
        <v>0</v>
      </c>
      <c r="BZ172" s="422"/>
      <c r="CA172" s="523">
        <f t="shared" si="1028"/>
        <v>0</v>
      </c>
      <c r="CB172" s="523">
        <f t="shared" si="1029"/>
        <v>5501.2999999999993</v>
      </c>
      <c r="CC172" s="56"/>
      <c r="CF172" s="55">
        <f t="shared" si="1030"/>
        <v>46168</v>
      </c>
      <c r="CG172" s="422"/>
      <c r="CH172" s="524">
        <f>SUMPRODUCT(PRODUCE!$B179:$DY179,PRODUCE!$EB$16:$IY$16)</f>
        <v>15</v>
      </c>
      <c r="CI172" s="422"/>
      <c r="CJ172" s="524">
        <f t="shared" si="1031"/>
        <v>15</v>
      </c>
      <c r="CK172" s="524">
        <f t="shared" si="1032"/>
        <v>0</v>
      </c>
      <c r="CL172" s="56"/>
      <c r="CO172" s="55">
        <f t="shared" si="1033"/>
        <v>46168</v>
      </c>
      <c r="CP172" s="422"/>
      <c r="CQ172" s="470">
        <f>SUMPRODUCT(PRODUCE!$B179:$DY179,PRODUCE!$EB$17:$IY$17)</f>
        <v>0</v>
      </c>
      <c r="CR172" s="422"/>
      <c r="CS172" s="470">
        <f t="shared" si="1034"/>
        <v>0</v>
      </c>
      <c r="CT172" s="470">
        <f t="shared" si="1035"/>
        <v>0</v>
      </c>
      <c r="CU172" s="56"/>
      <c r="CX172" s="55">
        <f t="shared" si="1036"/>
        <v>46168</v>
      </c>
      <c r="CY172" s="422"/>
      <c r="CZ172" s="525">
        <f>SUMPRODUCT(PRODUCE!$B179:$DY179,PRODUCE!$EB$18:$IY$18)</f>
        <v>0</v>
      </c>
      <c r="DA172" s="422"/>
      <c r="DB172" s="525">
        <f t="shared" si="1037"/>
        <v>0</v>
      </c>
      <c r="DC172" s="525">
        <f t="shared" si="1038"/>
        <v>21057.900000000005</v>
      </c>
      <c r="DD172" s="56"/>
      <c r="DG172" s="55">
        <f t="shared" si="1039"/>
        <v>46168</v>
      </c>
      <c r="DH172" s="422"/>
      <c r="DI172" s="526">
        <f>SUMPRODUCT(PRODUCE!$B179:$DY179,PRODUCE!$EB$19:$IY$19)</f>
        <v>1800</v>
      </c>
      <c r="DJ172" s="422">
        <v>1801.1</v>
      </c>
      <c r="DK172" s="526">
        <f t="shared" si="1040"/>
        <v>-1.0999999999999091</v>
      </c>
      <c r="DL172" s="526">
        <f t="shared" si="1041"/>
        <v>35234.999999999985</v>
      </c>
      <c r="DM172" s="56"/>
      <c r="DP172" s="55">
        <f t="shared" si="1042"/>
        <v>46168</v>
      </c>
      <c r="DQ172" s="422"/>
      <c r="DR172" s="423">
        <f>SUMPRODUCT(PRODUCE!$B179:$DY179,PRODUCE!$EB$20:$IY$20)</f>
        <v>0</v>
      </c>
      <c r="DS172" s="422"/>
      <c r="DT172" s="423">
        <f t="shared" si="1043"/>
        <v>0</v>
      </c>
      <c r="DU172" s="423">
        <f t="shared" si="1044"/>
        <v>5800</v>
      </c>
      <c r="DV172" s="56"/>
      <c r="DY172" s="55">
        <f t="shared" si="1045"/>
        <v>46168</v>
      </c>
      <c r="DZ172" s="56"/>
      <c r="EA172" s="157">
        <f>SUMPRODUCT(PRODUCE!$B179:$DY179,PRODUCE!$EB$21:$IY$21)</f>
        <v>0</v>
      </c>
      <c r="EB172" s="56"/>
      <c r="EC172" s="157">
        <f t="shared" si="1046"/>
        <v>0</v>
      </c>
      <c r="ED172" s="157">
        <f t="shared" si="1047"/>
        <v>0</v>
      </c>
      <c r="EE172" s="56"/>
      <c r="EH172" s="55">
        <f t="shared" si="1048"/>
        <v>46168</v>
      </c>
      <c r="EI172" s="56"/>
      <c r="EJ172" s="162">
        <f>SUMPRODUCT(PRODUCE!$B179:$DY179,PRODUCE!$EB$22:$IY$22)</f>
        <v>0</v>
      </c>
      <c r="EK172" s="56"/>
      <c r="EL172" s="162">
        <f t="shared" si="1049"/>
        <v>0</v>
      </c>
      <c r="EM172" s="162">
        <f t="shared" si="1050"/>
        <v>0</v>
      </c>
      <c r="EN172" s="56"/>
      <c r="EQ172" s="55">
        <f t="shared" si="1051"/>
        <v>46168</v>
      </c>
      <c r="ER172" s="56"/>
      <c r="ES172" s="135">
        <f>SUMPRODUCT(PRODUCE!$B179:$DY179,PRODUCE!$EB$23:$IY$23)</f>
        <v>0</v>
      </c>
      <c r="ET172" s="56"/>
      <c r="EU172" s="135">
        <f t="shared" si="1052"/>
        <v>0</v>
      </c>
      <c r="EV172" s="135">
        <f t="shared" si="1053"/>
        <v>0</v>
      </c>
      <c r="EW172" s="56"/>
      <c r="EZ172" s="55">
        <f t="shared" si="1054"/>
        <v>46168</v>
      </c>
      <c r="FA172" s="56"/>
      <c r="FB172" s="175">
        <f>SUMPRODUCT(PRODUCE!$B179:$DY179,PRODUCE!$EB$24:$IY$24)</f>
        <v>0</v>
      </c>
      <c r="FC172" s="56"/>
      <c r="FD172" s="175">
        <f t="shared" si="1055"/>
        <v>0</v>
      </c>
      <c r="FE172" s="175">
        <f t="shared" si="1056"/>
        <v>0</v>
      </c>
      <c r="FF172" s="56"/>
      <c r="FI172" s="55">
        <f t="shared" si="1057"/>
        <v>46168</v>
      </c>
      <c r="FJ172" s="56"/>
      <c r="FK172" s="183">
        <f>SUMPRODUCT(PRODUCE!$B179:$DY179,PRODUCE!$EB$25:$IY$25)</f>
        <v>0</v>
      </c>
      <c r="FL172" s="56"/>
      <c r="FM172" s="183">
        <f t="shared" si="1058"/>
        <v>0</v>
      </c>
      <c r="FN172" s="183">
        <f t="shared" si="1059"/>
        <v>0</v>
      </c>
      <c r="FO172" s="56"/>
      <c r="FR172" s="55">
        <f t="shared" si="1060"/>
        <v>46168</v>
      </c>
      <c r="FS172" s="56"/>
      <c r="FT172" s="186">
        <f>SUMPRODUCT(PRODUCE!$B179:$DY179,PRODUCE!$EB$26:$IY$26)</f>
        <v>0</v>
      </c>
      <c r="FU172" s="56"/>
      <c r="FV172" s="186">
        <f t="shared" si="1061"/>
        <v>0</v>
      </c>
      <c r="FW172" s="186">
        <f t="shared" si="1062"/>
        <v>4140</v>
      </c>
      <c r="FX172" s="56"/>
      <c r="GA172" s="55">
        <f t="shared" si="1063"/>
        <v>46168</v>
      </c>
      <c r="GB172" s="56"/>
      <c r="GC172" s="137">
        <f>SUMPRODUCT(PRODUCE!$B179:$DY179,PRODUCE!$EB$27:$IY$27)</f>
        <v>0</v>
      </c>
      <c r="GD172" s="56"/>
      <c r="GE172" s="137">
        <f t="shared" si="1064"/>
        <v>0</v>
      </c>
      <c r="GF172" s="137">
        <f t="shared" si="1065"/>
        <v>5040</v>
      </c>
      <c r="GG172" s="56"/>
      <c r="GI172" s="23"/>
      <c r="GJ172" s="55">
        <f t="shared" si="1066"/>
        <v>46168</v>
      </c>
      <c r="GK172" s="56"/>
      <c r="GL172" s="199">
        <f>SUMPRODUCT(PRODUCE!$B179:$DY179,PRODUCE!$EB$28:$IY$28)</f>
        <v>1200</v>
      </c>
      <c r="GM172" s="56"/>
      <c r="GN172" s="199">
        <f t="shared" si="1067"/>
        <v>1200</v>
      </c>
      <c r="GO172" s="199">
        <f t="shared" si="1068"/>
        <v>2560</v>
      </c>
      <c r="GP172" s="56"/>
      <c r="GS172" s="55">
        <f t="shared" si="1069"/>
        <v>46168</v>
      </c>
      <c r="GT172" s="56"/>
      <c r="GU172" s="195">
        <f>SUMPRODUCT(PRODUCE!$B179:$DY179,PRODUCE!$EB$29:$IY$29)</f>
        <v>0</v>
      </c>
      <c r="GV172" s="56"/>
      <c r="GW172" s="195">
        <f t="shared" si="1070"/>
        <v>0</v>
      </c>
      <c r="GX172" s="195">
        <f t="shared" si="1071"/>
        <v>600</v>
      </c>
      <c r="GY172" s="56"/>
      <c r="HB172" s="55">
        <f t="shared" si="1072"/>
        <v>46168</v>
      </c>
      <c r="HC172" s="56"/>
      <c r="HD172" s="191">
        <f>SUMPRODUCT(PRODUCE!$B179:$DY179,PRODUCE!$EB$30:$IY$30)</f>
        <v>0</v>
      </c>
      <c r="HE172" s="56"/>
      <c r="HF172" s="191">
        <f t="shared" si="1073"/>
        <v>0</v>
      </c>
      <c r="HG172" s="191">
        <f t="shared" si="1074"/>
        <v>3600</v>
      </c>
      <c r="HH172" s="56"/>
      <c r="HK172" s="55">
        <f t="shared" si="1075"/>
        <v>46168</v>
      </c>
      <c r="HL172" s="56"/>
      <c r="HM172" s="63">
        <f>SUMPRODUCT(PRODUCE!$B179:$DY179,PRODUCE!$EB$31:$IY$31)</f>
        <v>0</v>
      </c>
      <c r="HN172" s="56"/>
      <c r="HO172" s="63">
        <f t="shared" si="1076"/>
        <v>0</v>
      </c>
      <c r="HP172" s="63">
        <f t="shared" si="1077"/>
        <v>0</v>
      </c>
      <c r="HQ172" s="56"/>
      <c r="HU172" s="55">
        <f t="shared" si="1078"/>
        <v>46168</v>
      </c>
      <c r="HV172" s="56"/>
      <c r="HW172" s="242">
        <f>SUMPRODUCT(PRODUCE!$B179:$DY179,PRODUCE!$EB$32:$IY$32)</f>
        <v>0</v>
      </c>
      <c r="HX172" s="56"/>
      <c r="HY172" s="242">
        <f t="shared" si="1079"/>
        <v>0</v>
      </c>
      <c r="HZ172" s="242">
        <f t="shared" si="1080"/>
        <v>7080</v>
      </c>
      <c r="IA172" s="56"/>
      <c r="ID172" s="55">
        <f t="shared" si="1081"/>
        <v>46168</v>
      </c>
      <c r="IE172" s="56"/>
      <c r="IF172" s="242">
        <f>SUMPRODUCT(PRODUCE!$B179:$DY179,PRODUCE!$EB$33:$IY$33)</f>
        <v>0</v>
      </c>
      <c r="IG172" s="56"/>
      <c r="IH172" s="242">
        <f t="shared" si="1082"/>
        <v>0</v>
      </c>
      <c r="II172" s="242">
        <f t="shared" si="1083"/>
        <v>720</v>
      </c>
      <c r="IJ172" s="56"/>
      <c r="IM172" s="55">
        <f t="shared" si="1084"/>
        <v>46168</v>
      </c>
      <c r="IN172" s="56"/>
      <c r="IO172" s="242">
        <f>SUMPRODUCT(PRODUCE!$B179:$DY179,PRODUCE!$EB$34:$IY$34)</f>
        <v>0</v>
      </c>
      <c r="IP172" s="56"/>
      <c r="IQ172" s="242">
        <f t="shared" si="1085"/>
        <v>0</v>
      </c>
      <c r="IR172" s="242">
        <f t="shared" si="1086"/>
        <v>8140</v>
      </c>
      <c r="IS172" s="56"/>
      <c r="IV172" s="55">
        <f t="shared" si="1087"/>
        <v>46168</v>
      </c>
      <c r="IW172" s="56"/>
      <c r="IX172" s="242">
        <f>SUMPRODUCT(PRODUCE!$B179:$DY179,PRODUCE!$EB$35:$IY$35)</f>
        <v>0</v>
      </c>
      <c r="IY172" s="56"/>
      <c r="IZ172" s="242">
        <f t="shared" si="1088"/>
        <v>0</v>
      </c>
      <c r="JA172" s="242">
        <f t="shared" si="1089"/>
        <v>8960</v>
      </c>
      <c r="JB172" s="56"/>
      <c r="JE172" s="55">
        <f t="shared" si="1090"/>
        <v>46168</v>
      </c>
      <c r="JF172" s="56"/>
      <c r="JG172" s="242">
        <f>SUMPRODUCT(PRODUCE!$B179:$DY179,PRODUCE!$EB$36:$IY$36)</f>
        <v>0</v>
      </c>
      <c r="JH172" s="56"/>
      <c r="JI172" s="242">
        <f t="shared" si="1091"/>
        <v>0</v>
      </c>
      <c r="JJ172" s="242">
        <f t="shared" si="1092"/>
        <v>0</v>
      </c>
      <c r="JK172" s="56"/>
      <c r="JN172" s="55">
        <f t="shared" si="1093"/>
        <v>46168</v>
      </c>
      <c r="JO172" s="56"/>
      <c r="JP172" s="242">
        <f>SUMPRODUCT(PRODUCE!$B179:$DY179,PRODUCE!$EB$37:$IY$37)</f>
        <v>0</v>
      </c>
      <c r="JQ172" s="56"/>
      <c r="JR172" s="242">
        <f t="shared" si="1094"/>
        <v>0</v>
      </c>
      <c r="JS172" s="242">
        <f t="shared" si="1095"/>
        <v>5300</v>
      </c>
      <c r="JT172" s="56"/>
      <c r="JW172" s="55">
        <f t="shared" si="1096"/>
        <v>46168</v>
      </c>
      <c r="JX172" s="56"/>
      <c r="JY172" s="242">
        <f>SUMPRODUCT(PRODUCE!$B179:$DY179,PRODUCE!$EB$38:$IY$38)</f>
        <v>0</v>
      </c>
      <c r="JZ172" s="56"/>
      <c r="KA172" s="242">
        <f t="shared" si="1097"/>
        <v>0</v>
      </c>
      <c r="KB172" s="242">
        <f t="shared" si="1098"/>
        <v>2540</v>
      </c>
      <c r="KC172" s="56"/>
      <c r="KF172" s="55">
        <f t="shared" si="1099"/>
        <v>46168</v>
      </c>
      <c r="KG172" s="56"/>
      <c r="KH172" s="242">
        <f>SUMPRODUCT(PRODUCE!$B179:$DY179,PRODUCE!$EB$39:$IY$39)</f>
        <v>0</v>
      </c>
      <c r="KI172" s="56"/>
      <c r="KJ172" s="242">
        <f t="shared" si="1100"/>
        <v>0</v>
      </c>
      <c r="KK172" s="242">
        <f t="shared" si="1101"/>
        <v>2359.5</v>
      </c>
      <c r="KL172" s="56"/>
      <c r="KO172" s="55">
        <f t="shared" si="1102"/>
        <v>46168</v>
      </c>
      <c r="KP172" s="56"/>
      <c r="KQ172" s="242">
        <f>SUMPRODUCT(PRODUCE!$B179:$DY179,PRODUCE!$EB$40:$IY$40)</f>
        <v>0</v>
      </c>
      <c r="KR172" s="56"/>
      <c r="KS172" s="242">
        <f t="shared" si="1103"/>
        <v>0</v>
      </c>
      <c r="KT172" s="242">
        <f t="shared" si="1104"/>
        <v>1890</v>
      </c>
      <c r="KU172" s="56"/>
      <c r="KW172" s="23"/>
      <c r="KX172" s="55">
        <f t="shared" si="1105"/>
        <v>46168</v>
      </c>
      <c r="KY172" s="56"/>
      <c r="KZ172" s="242">
        <f>SUMPRODUCT(PRODUCE!$B179:$DY179,PRODUCE!$EB$41:$IY$41)</f>
        <v>0</v>
      </c>
      <c r="LA172" s="56"/>
      <c r="LB172" s="242">
        <f t="shared" si="1106"/>
        <v>0</v>
      </c>
      <c r="LC172" s="242">
        <f t="shared" si="1107"/>
        <v>3690</v>
      </c>
      <c r="LD172" s="56"/>
      <c r="LG172" s="55">
        <f t="shared" si="1108"/>
        <v>46168</v>
      </c>
      <c r="LH172" s="56"/>
      <c r="LI172" s="242">
        <f>SUMPRODUCT(PRODUCE!$B179:$DY179,PRODUCE!$EB$42:$IY$42)</f>
        <v>0</v>
      </c>
      <c r="LJ172" s="56"/>
      <c r="LK172" s="242">
        <f t="shared" si="1109"/>
        <v>0</v>
      </c>
      <c r="LL172" s="242">
        <f t="shared" si="1110"/>
        <v>4000</v>
      </c>
      <c r="LM172" s="56"/>
      <c r="LP172" s="55">
        <f t="shared" si="1111"/>
        <v>46168</v>
      </c>
      <c r="LQ172" s="56"/>
      <c r="LR172" s="242">
        <f>SUMPRODUCT(PRODUCE!$B187:$DY187,PRODUCE!$EB$43:$IY$43)</f>
        <v>0</v>
      </c>
      <c r="LS172" s="56"/>
      <c r="LT172" s="242">
        <f t="shared" si="1112"/>
        <v>0</v>
      </c>
      <c r="LU172" s="242">
        <f t="shared" si="1113"/>
        <v>0</v>
      </c>
      <c r="LV172" s="56"/>
      <c r="LY172" s="55">
        <f t="shared" si="1114"/>
        <v>46168</v>
      </c>
      <c r="LZ172" s="56"/>
      <c r="MA172" s="242">
        <f>SUMPRODUCT(PRODUCE!$B179:$DY179,PRODUCE!$EB$44:$IY$44)</f>
        <v>0</v>
      </c>
      <c r="MB172" s="56"/>
      <c r="MC172" s="242">
        <f t="shared" si="1115"/>
        <v>0</v>
      </c>
      <c r="MD172" s="242">
        <f t="shared" si="1116"/>
        <v>0</v>
      </c>
      <c r="ME172" s="56"/>
      <c r="MH172" s="55">
        <f t="shared" si="1117"/>
        <v>46168</v>
      </c>
      <c r="MI172" s="56"/>
      <c r="MJ172" s="242">
        <f>SUMPRODUCT(PRODUCE!$B179:$DY179,PRODUCE!$EB$45:$IY$45)</f>
        <v>0</v>
      </c>
      <c r="MK172" s="56"/>
      <c r="ML172" s="242">
        <f t="shared" si="1118"/>
        <v>0</v>
      </c>
      <c r="MM172" s="242">
        <f t="shared" si="1119"/>
        <v>0</v>
      </c>
      <c r="MN172" s="56"/>
      <c r="MQ172" s="55">
        <f t="shared" si="1120"/>
        <v>46168</v>
      </c>
      <c r="MR172" s="56"/>
      <c r="MS172" s="242">
        <f>SUMPRODUCT(PRODUCE!$B179:$DY179,PRODUCE!$EB$46:$IY$46)</f>
        <v>0</v>
      </c>
      <c r="MT172" s="56"/>
      <c r="MU172" s="242">
        <f t="shared" si="1121"/>
        <v>0</v>
      </c>
      <c r="MV172" s="242">
        <f t="shared" si="1122"/>
        <v>3731</v>
      </c>
      <c r="MW172" s="56"/>
      <c r="MZ172" s="55">
        <f t="shared" si="1123"/>
        <v>46168</v>
      </c>
      <c r="NA172" s="56"/>
      <c r="NB172" s="242">
        <f>SUMPRODUCT(PRODUCE!$B179:$DY179,PRODUCE!$EB$47:$IY$47)</f>
        <v>0</v>
      </c>
      <c r="NC172" s="56"/>
      <c r="ND172" s="242">
        <f t="shared" si="1124"/>
        <v>0</v>
      </c>
      <c r="NE172" s="242">
        <f t="shared" si="1125"/>
        <v>0</v>
      </c>
      <c r="NF172" s="56"/>
      <c r="NI172" s="55">
        <f t="shared" si="1126"/>
        <v>46168</v>
      </c>
      <c r="NJ172" s="56"/>
      <c r="NK172" s="242">
        <f>SUMPRODUCT(PRODUCE!$B179:$DY179,PRODUCE!$EB$48:$IY$48)</f>
        <v>0</v>
      </c>
      <c r="NL172" s="56"/>
      <c r="NM172" s="242">
        <f t="shared" si="1127"/>
        <v>0</v>
      </c>
      <c r="NN172" s="242">
        <f t="shared" si="1128"/>
        <v>1127</v>
      </c>
      <c r="NO172" s="56"/>
      <c r="NR172" s="55">
        <f t="shared" si="1129"/>
        <v>46168</v>
      </c>
      <c r="NS172" s="56"/>
      <c r="NT172" s="242">
        <f>SUMPRODUCT(PRODUCE!$B179:$DY179,PRODUCE!$EB$49:$IY$49)</f>
        <v>0</v>
      </c>
      <c r="NU172" s="56"/>
      <c r="NV172" s="242">
        <f t="shared" si="1130"/>
        <v>0</v>
      </c>
      <c r="NW172" s="242">
        <f t="shared" si="1131"/>
        <v>3111.9999999999995</v>
      </c>
      <c r="NX172" s="56"/>
      <c r="OA172" s="55">
        <f t="shared" si="1132"/>
        <v>46168</v>
      </c>
      <c r="OB172" s="56"/>
      <c r="OC172" s="242">
        <f>SUMPRODUCT(PRODUCE!$B179:$DY179,PRODUCE!$EB$50:$IY$50)</f>
        <v>0</v>
      </c>
      <c r="OD172" s="56"/>
      <c r="OE172" s="242">
        <f t="shared" si="1133"/>
        <v>0</v>
      </c>
      <c r="OF172" s="242">
        <f t="shared" si="1134"/>
        <v>1680.5</v>
      </c>
      <c r="OG172" s="56"/>
      <c r="OJ172" s="55">
        <f t="shared" si="1135"/>
        <v>46168</v>
      </c>
      <c r="OK172" s="56"/>
      <c r="OL172" s="242">
        <f>SUMPRODUCT(PRODUCE!$B179:$DY179,PRODUCE!$EB$51:$IY$51)</f>
        <v>0</v>
      </c>
      <c r="OM172" s="56"/>
      <c r="ON172" s="242">
        <f t="shared" si="1136"/>
        <v>0</v>
      </c>
      <c r="OO172" s="242">
        <f t="shared" si="1137"/>
        <v>0</v>
      </c>
      <c r="OP172" s="56"/>
      <c r="OS172" s="55">
        <f t="shared" si="1138"/>
        <v>46168</v>
      </c>
      <c r="OT172" s="56"/>
      <c r="OU172" s="242">
        <f>SUMPRODUCT(PRODUCE!$B179:$DY179,PRODUCE!$EB$52:$IY$52)</f>
        <v>0</v>
      </c>
      <c r="OV172" s="56"/>
      <c r="OW172" s="242">
        <f t="shared" si="1139"/>
        <v>0</v>
      </c>
      <c r="OX172" s="242">
        <f t="shared" si="1140"/>
        <v>1482</v>
      </c>
      <c r="OY172" s="56"/>
      <c r="PB172" s="55">
        <f t="shared" si="1141"/>
        <v>46168</v>
      </c>
      <c r="PC172" s="56"/>
      <c r="PD172" s="242">
        <f>SUMPRODUCT(PRODUCE!$B179:$DY179,PRODUCE!$EB$53:$IY$53)</f>
        <v>0</v>
      </c>
      <c r="PE172" s="56"/>
      <c r="PF172" s="242">
        <f t="shared" si="1142"/>
        <v>0</v>
      </c>
      <c r="PG172" s="242">
        <f t="shared" si="1143"/>
        <v>0</v>
      </c>
      <c r="PH172" s="56"/>
      <c r="PK172" s="55">
        <f t="shared" si="1144"/>
        <v>46168</v>
      </c>
      <c r="PL172" s="56"/>
      <c r="PM172" s="242">
        <f>SUMPRODUCT(PRODUCE!$B179:$DY179,PRODUCE!$EB$54:$IY$54)</f>
        <v>0</v>
      </c>
      <c r="PN172" s="56"/>
      <c r="PO172" s="242">
        <f t="shared" si="1145"/>
        <v>0</v>
      </c>
      <c r="PP172" s="242">
        <f t="shared" si="1146"/>
        <v>100</v>
      </c>
      <c r="PQ172" s="56"/>
      <c r="PT172" s="55">
        <f t="shared" si="1147"/>
        <v>46168</v>
      </c>
      <c r="PU172" s="56"/>
      <c r="PV172" s="242">
        <f>SUMPRODUCT(PRODUCE!$B179:$DY179,PRODUCE!$EB$55:$IY$55)</f>
        <v>0</v>
      </c>
      <c r="PW172" s="56"/>
      <c r="PX172" s="242">
        <f t="shared" si="1148"/>
        <v>0</v>
      </c>
      <c r="PY172" s="242">
        <f t="shared" si="1149"/>
        <v>13.960000000000036</v>
      </c>
      <c r="PZ172" s="56"/>
      <c r="QC172" s="55">
        <f t="shared" si="1150"/>
        <v>46168</v>
      </c>
      <c r="QD172" s="56"/>
      <c r="QE172" s="242">
        <f>SUMPRODUCT(PRODUCE!$B179:$DY179,PRODUCE!$EB$56:$IY$56)</f>
        <v>0</v>
      </c>
      <c r="QF172" s="56"/>
      <c r="QG172" s="242">
        <f t="shared" si="1151"/>
        <v>0</v>
      </c>
      <c r="QH172" s="242">
        <f t="shared" si="1152"/>
        <v>176</v>
      </c>
      <c r="QI172" s="56"/>
      <c r="QL172" s="55">
        <f t="shared" si="1153"/>
        <v>46168</v>
      </c>
      <c r="QM172" s="56"/>
      <c r="QN172" s="242">
        <f>SUMPRODUCT(PRODUCE!$B179:$DY179,PRODUCE!$EB$57:$IY$57)</f>
        <v>0</v>
      </c>
      <c r="QO172" s="56"/>
      <c r="QP172" s="242">
        <f t="shared" si="1154"/>
        <v>0</v>
      </c>
      <c r="QQ172" s="242">
        <f t="shared" si="1155"/>
        <v>1690</v>
      </c>
      <c r="QR172" s="56"/>
      <c r="QU172" s="55">
        <f t="shared" si="1156"/>
        <v>46168</v>
      </c>
      <c r="QV172" s="56"/>
      <c r="QW172" s="242">
        <f>SUMPRODUCT(PRODUCE!$B179:$DY179,PRODUCE!$EB$58:$IY$58)</f>
        <v>0</v>
      </c>
      <c r="QX172" s="56"/>
      <c r="QY172" s="242">
        <f t="shared" si="1157"/>
        <v>0</v>
      </c>
      <c r="QZ172" s="242">
        <f t="shared" si="1158"/>
        <v>207.6</v>
      </c>
      <c r="RA172" s="56"/>
      <c r="RD172" s="55">
        <f t="shared" si="1159"/>
        <v>46168</v>
      </c>
      <c r="RE172" s="56"/>
      <c r="RF172" s="242">
        <f>SUMPRODUCT(PRODUCE!$B179:$DY179,PRODUCE!$EB$59:$IY$59)</f>
        <v>0</v>
      </c>
      <c r="RG172" s="56"/>
      <c r="RH172" s="242">
        <f t="shared" si="1160"/>
        <v>0</v>
      </c>
      <c r="RI172" s="242">
        <f t="shared" si="1161"/>
        <v>147.04000000000002</v>
      </c>
      <c r="RJ172" s="56"/>
      <c r="RM172" s="55">
        <f t="shared" si="1162"/>
        <v>46168</v>
      </c>
      <c r="RN172" s="56"/>
      <c r="RO172" s="242">
        <f>SUMPRODUCT(PRODUCE!$B179:$DY179,PRODUCE!$EB$60:$IY$60)</f>
        <v>0</v>
      </c>
      <c r="RP172" s="56"/>
      <c r="RQ172" s="242">
        <f t="shared" si="1163"/>
        <v>0</v>
      </c>
      <c r="RR172" s="242">
        <f t="shared" si="1164"/>
        <v>46.8</v>
      </c>
      <c r="RS172" s="56"/>
      <c r="RV172" s="55">
        <f t="shared" si="1165"/>
        <v>46168</v>
      </c>
      <c r="RW172" s="56"/>
      <c r="RX172" s="242">
        <f>SUMPRODUCT(PRODUCE!$B179:$DY179,PRODUCE!$EB$61:$IY$61)</f>
        <v>0</v>
      </c>
      <c r="RY172" s="56"/>
      <c r="RZ172" s="242">
        <f t="shared" si="1166"/>
        <v>0</v>
      </c>
      <c r="SA172" s="242">
        <f t="shared" si="1167"/>
        <v>0</v>
      </c>
      <c r="SB172" s="56"/>
      <c r="SE172" s="55">
        <f t="shared" si="1168"/>
        <v>46168</v>
      </c>
      <c r="SF172" s="56"/>
      <c r="SG172" s="242">
        <f>SUMPRODUCT(PRODUCE!$B179:$DY179,PRODUCE!$EB$62:$IY$62)</f>
        <v>0</v>
      </c>
      <c r="SH172" s="56"/>
      <c r="SI172" s="242">
        <f t="shared" si="1169"/>
        <v>0</v>
      </c>
      <c r="SJ172" s="242">
        <f t="shared" si="1170"/>
        <v>24.200000000000003</v>
      </c>
      <c r="SK172" s="56"/>
      <c r="SN172" s="55">
        <f t="shared" si="1171"/>
        <v>46168</v>
      </c>
      <c r="SO172" s="56"/>
      <c r="SP172" s="242">
        <f>SUMPRODUCT(PRODUCE!$B179:$DY179,PRODUCE!$EB$63:$IY$63)</f>
        <v>0</v>
      </c>
      <c r="SQ172" s="56"/>
      <c r="SR172" s="242">
        <f t="shared" si="1172"/>
        <v>0</v>
      </c>
      <c r="SS172" s="242">
        <f t="shared" si="1173"/>
        <v>32</v>
      </c>
      <c r="ST172" s="56"/>
      <c r="SW172" s="55">
        <f t="shared" si="1174"/>
        <v>46168</v>
      </c>
      <c r="SX172" s="56"/>
      <c r="SY172" s="242">
        <f>SUMPRODUCT(PRODUCE!$B179:$DY179,PRODUCE!$EB$64:$IY$64)</f>
        <v>0</v>
      </c>
      <c r="SZ172" s="56"/>
      <c r="TA172" s="242">
        <f t="shared" si="1175"/>
        <v>0</v>
      </c>
      <c r="TB172" s="242">
        <f t="shared" si="1176"/>
        <v>0</v>
      </c>
      <c r="TC172" s="56"/>
      <c r="TF172" s="55">
        <f t="shared" si="1177"/>
        <v>46168</v>
      </c>
      <c r="TG172" s="56"/>
      <c r="TH172" s="242">
        <f>SUMPRODUCT(PRODUCE!$B179:$DY179,PRODUCE!$EB$65:$IY$65)</f>
        <v>0</v>
      </c>
      <c r="TI172" s="56"/>
      <c r="TJ172" s="242">
        <f t="shared" si="1178"/>
        <v>0</v>
      </c>
      <c r="TK172" s="242">
        <f t="shared" si="1179"/>
        <v>0</v>
      </c>
      <c r="TL172" s="56"/>
      <c r="TO172" s="55">
        <f t="shared" si="1180"/>
        <v>46168</v>
      </c>
      <c r="TP172" s="56"/>
      <c r="TQ172" s="242">
        <f>SUMPRODUCT(PRODUCE!$B179:$DY179,PRODUCE!$EB$66:$IY$66)</f>
        <v>0</v>
      </c>
      <c r="TR172" s="56"/>
      <c r="TS172" s="242">
        <f t="shared" si="1181"/>
        <v>0</v>
      </c>
      <c r="TT172" s="242">
        <f t="shared" si="1182"/>
        <v>0</v>
      </c>
      <c r="TU172" s="56"/>
      <c r="TX172" s="55">
        <f t="shared" si="1183"/>
        <v>46168</v>
      </c>
      <c r="TY172" s="56"/>
      <c r="TZ172" s="242">
        <f>SUMPRODUCT(PRODUCE!$B179:$DY179,PRODUCE!$EB$67:$IY$67)</f>
        <v>0</v>
      </c>
      <c r="UA172" s="56"/>
      <c r="UB172" s="242">
        <f t="shared" si="1184"/>
        <v>0</v>
      </c>
      <c r="UC172" s="242">
        <f t="shared" si="1185"/>
        <v>228</v>
      </c>
      <c r="UD172" s="56"/>
      <c r="UG172" s="55">
        <f t="shared" si="1186"/>
        <v>46168</v>
      </c>
      <c r="UH172" s="56"/>
      <c r="UI172" s="242">
        <f>SUMPRODUCT(PRODUCE!$B179:$DY179,PRODUCE!$EB$68:$IY$68)</f>
        <v>120</v>
      </c>
      <c r="UJ172" s="56"/>
      <c r="UK172" s="242">
        <f t="shared" si="1187"/>
        <v>120</v>
      </c>
      <c r="UL172" s="242">
        <f t="shared" si="1188"/>
        <v>1000</v>
      </c>
      <c r="UM172" s="56"/>
      <c r="UP172" s="55">
        <f t="shared" si="1189"/>
        <v>46168</v>
      </c>
      <c r="UQ172" s="56"/>
      <c r="UR172" s="242">
        <f>SUMPRODUCT(PRODUCE!$B179:$DY179,PRODUCE!$EB$69:$IY$69)</f>
        <v>0</v>
      </c>
      <c r="US172" s="56"/>
      <c r="UT172" s="242">
        <f t="shared" si="1190"/>
        <v>0</v>
      </c>
      <c r="UU172" s="242">
        <f t="shared" si="1191"/>
        <v>0</v>
      </c>
      <c r="UV172" s="56"/>
      <c r="UY172" s="55">
        <f t="shared" si="1192"/>
        <v>46168</v>
      </c>
      <c r="UZ172" s="56"/>
      <c r="VA172" s="242">
        <f>SUMPRODUCT(PRODUCE!$B179:$DY179,PRODUCE!$EB$70:$IY$70)</f>
        <v>0</v>
      </c>
      <c r="VB172" s="56"/>
      <c r="VC172" s="242">
        <f t="shared" si="1193"/>
        <v>0</v>
      </c>
      <c r="VD172" s="242">
        <f t="shared" si="1194"/>
        <v>41.600000000000023</v>
      </c>
      <c r="VE172" s="56"/>
      <c r="VH172" s="55">
        <f t="shared" si="1195"/>
        <v>46168</v>
      </c>
      <c r="VI172" s="56"/>
      <c r="VJ172" s="242">
        <f>SUMPRODUCT(PRODUCE!$B179:$DY179,PRODUCE!$EB$71:$IY$71)</f>
        <v>0</v>
      </c>
      <c r="VK172" s="56"/>
      <c r="VL172" s="242">
        <f t="shared" si="1196"/>
        <v>0</v>
      </c>
      <c r="VM172" s="242">
        <f t="shared" si="1197"/>
        <v>0</v>
      </c>
      <c r="VN172" s="56"/>
      <c r="VQ172" s="55">
        <f t="shared" si="1198"/>
        <v>46168</v>
      </c>
      <c r="VR172" s="56"/>
      <c r="VS172" s="242">
        <f>SUMPRODUCT(PRODUCE!$B179:$DY179,PRODUCE!$EB$57:$IY$57)</f>
        <v>0</v>
      </c>
      <c r="VT172" s="56"/>
      <c r="VU172" s="242">
        <f t="shared" si="1199"/>
        <v>0</v>
      </c>
      <c r="VV172" s="242">
        <f t="shared" si="1200"/>
        <v>0</v>
      </c>
      <c r="VW172" s="56"/>
      <c r="VZ172" s="55">
        <f t="shared" si="1201"/>
        <v>46168</v>
      </c>
      <c r="WA172" s="56"/>
      <c r="WB172" s="242">
        <f>SUMPRODUCT(PRODUCE!$B179:$DY179,PRODUCE!$EB$57:$IY$57)</f>
        <v>0</v>
      </c>
      <c r="WC172" s="56"/>
      <c r="WD172" s="242">
        <f t="shared" si="1202"/>
        <v>0</v>
      </c>
      <c r="WE172" s="242">
        <f t="shared" si="1203"/>
        <v>0</v>
      </c>
      <c r="WF172" s="56"/>
      <c r="WI172" s="55">
        <f t="shared" si="1204"/>
        <v>46168</v>
      </c>
      <c r="WJ172" s="422"/>
      <c r="WK172" s="540">
        <f>SUMPRODUCT(PRODUCE!$B179:$DY179,PRODUCE!$EB$74:$IY$74)</f>
        <v>0</v>
      </c>
      <c r="WL172" s="422"/>
      <c r="WM172" s="540">
        <f t="shared" si="1205"/>
        <v>0</v>
      </c>
      <c r="WN172" s="540">
        <f t="shared" si="1206"/>
        <v>1199</v>
      </c>
      <c r="WO172" s="56"/>
      <c r="WR172" s="55">
        <f t="shared" si="1207"/>
        <v>46168</v>
      </c>
      <c r="WS172" s="422"/>
      <c r="WT172" s="540">
        <f>SUMPRODUCT(PRODUCE!$B179:$DY179,PRODUCE!$EB$75:$IY$75)</f>
        <v>0</v>
      </c>
      <c r="WU172" s="422"/>
      <c r="WV172" s="540">
        <f t="shared" si="1208"/>
        <v>0</v>
      </c>
      <c r="WW172" s="540">
        <f t="shared" si="1209"/>
        <v>0</v>
      </c>
      <c r="WX172" s="56"/>
      <c r="XA172" s="55">
        <f t="shared" si="1210"/>
        <v>46168</v>
      </c>
      <c r="XB172" s="422"/>
      <c r="XC172" s="540">
        <f>SUMPRODUCT(PRODUCE!$B179:$DY179,PRODUCE!$EB$76:$IY$76)</f>
        <v>0</v>
      </c>
      <c r="XD172" s="422">
        <v>1210</v>
      </c>
      <c r="XE172" s="540">
        <f t="shared" si="1211"/>
        <v>-1210</v>
      </c>
      <c r="XF172" s="540">
        <f t="shared" si="1212"/>
        <v>6813</v>
      </c>
      <c r="XG172" s="56"/>
      <c r="XJ172" s="55">
        <f t="shared" si="1213"/>
        <v>46168</v>
      </c>
      <c r="XK172" s="422"/>
      <c r="XL172" s="540">
        <f>SUMPRODUCT(PRODUCE!$B179:$DY179,PRODUCE!$EB$77:$IY$77)</f>
        <v>0</v>
      </c>
      <c r="XM172" s="422"/>
      <c r="XN172" s="540">
        <f t="shared" si="1214"/>
        <v>0</v>
      </c>
      <c r="XO172" s="540">
        <f t="shared" si="1215"/>
        <v>-234</v>
      </c>
      <c r="XP172" s="56"/>
      <c r="XS172" s="55">
        <f t="shared" si="1216"/>
        <v>46168</v>
      </c>
      <c r="XT172" s="56"/>
      <c r="XU172" s="242">
        <f>SUMPRODUCT(PRODUCE!$B179:$DY179,PRODUCE!$EB$78:$IY$78)</f>
        <v>0</v>
      </c>
      <c r="XV172" s="56"/>
      <c r="XW172" s="242">
        <f t="shared" si="1217"/>
        <v>0</v>
      </c>
      <c r="XX172" s="242">
        <f t="shared" si="1218"/>
        <v>1621</v>
      </c>
      <c r="XY172" s="56"/>
      <c r="YB172" s="55">
        <f t="shared" si="1219"/>
        <v>46168</v>
      </c>
      <c r="YC172" s="56"/>
      <c r="YD172" s="242">
        <f>SUMPRODUCT(PRODUCE!$B179:$DY179,PRODUCE!$EB$79:$IY$79)</f>
        <v>0</v>
      </c>
      <c r="YE172" s="56"/>
      <c r="YF172" s="242">
        <f t="shared" si="1220"/>
        <v>0</v>
      </c>
      <c r="YG172" s="242">
        <f t="shared" si="1221"/>
        <v>6459</v>
      </c>
      <c r="YH172" s="56"/>
      <c r="YK172" s="55">
        <f t="shared" si="1222"/>
        <v>46168</v>
      </c>
      <c r="YL172" s="56"/>
      <c r="YM172" s="242">
        <f>SUMPRODUCT(PRODUCE!$B179:$DY179,PRODUCE!$EB$80:$IY$80)</f>
        <v>0</v>
      </c>
      <c r="YN172" s="56"/>
      <c r="YO172" s="242">
        <f t="shared" si="1223"/>
        <v>0</v>
      </c>
      <c r="YP172" s="242">
        <f t="shared" si="1224"/>
        <v>0</v>
      </c>
      <c r="YQ172" s="56"/>
      <c r="YT172" s="55">
        <f t="shared" si="1225"/>
        <v>46168</v>
      </c>
      <c r="YU172" s="56"/>
      <c r="YV172" s="242">
        <f>SUMPRODUCT(PRODUCE!$B179:$DY179,PRODUCE!$EB$57:$IY$57)</f>
        <v>0</v>
      </c>
      <c r="YW172" s="56"/>
      <c r="YX172" s="242">
        <f t="shared" si="1226"/>
        <v>0</v>
      </c>
      <c r="YY172" s="242">
        <f t="shared" si="1227"/>
        <v>0</v>
      </c>
      <c r="YZ172" s="56"/>
      <c r="ZC172" s="55">
        <f t="shared" si="1228"/>
        <v>46168</v>
      </c>
      <c r="ZD172" s="56"/>
      <c r="ZE172" s="242">
        <f>SUMPRODUCT(PRODUCE!$B179:$DY179,PRODUCE!$EB$57:$IY$57)</f>
        <v>0</v>
      </c>
      <c r="ZF172" s="56"/>
      <c r="ZG172" s="242">
        <f t="shared" si="1229"/>
        <v>0</v>
      </c>
      <c r="ZH172" s="242">
        <f t="shared" si="1230"/>
        <v>0</v>
      </c>
      <c r="ZI172" s="56"/>
      <c r="ZL172" s="55">
        <f t="shared" si="1231"/>
        <v>46168</v>
      </c>
      <c r="ZM172" s="56"/>
      <c r="ZN172" s="242">
        <f>SUMPRODUCT(PRODUCE!$B179:$DY179,PRODUCE!$EB$57:$IY$57)</f>
        <v>0</v>
      </c>
      <c r="ZO172" s="56"/>
      <c r="ZP172" s="242">
        <f t="shared" si="1232"/>
        <v>0</v>
      </c>
      <c r="ZQ172" s="242">
        <f t="shared" si="1233"/>
        <v>0</v>
      </c>
      <c r="ZR172" s="56"/>
      <c r="ZU172" s="55">
        <f t="shared" si="1234"/>
        <v>46168</v>
      </c>
      <c r="ZV172" s="56"/>
      <c r="ZW172" s="242">
        <f>SUMPRODUCT(PRODUCE!$B179:$DY179,PRODUCE!$EB$57:$IY$57)</f>
        <v>0</v>
      </c>
      <c r="ZX172" s="56"/>
      <c r="ZY172" s="242">
        <f t="shared" si="1235"/>
        <v>0</v>
      </c>
      <c r="ZZ172" s="242">
        <f t="shared" si="1236"/>
        <v>0</v>
      </c>
      <c r="AAA172" s="56"/>
      <c r="AAD172" s="55">
        <f t="shared" si="1237"/>
        <v>46168</v>
      </c>
      <c r="AAE172" s="56"/>
      <c r="AAF172" s="242">
        <f>SUMPRODUCT(PRODUCE!$B179:$DY179,PRODUCE!$EB$57:$IY$57)</f>
        <v>0</v>
      </c>
      <c r="AAG172" s="56"/>
      <c r="AAH172" s="242">
        <f t="shared" si="1238"/>
        <v>0</v>
      </c>
      <c r="AAI172" s="242">
        <f t="shared" si="1239"/>
        <v>0</v>
      </c>
      <c r="AAJ172" s="56"/>
      <c r="AAM172" s="55">
        <f t="shared" si="1240"/>
        <v>46168</v>
      </c>
      <c r="AAN172" s="56"/>
      <c r="AAO172" s="242">
        <f>SUMPRODUCT(PRODUCE!$B179:$DY179,PRODUCE!$EB$57:$IY$57)</f>
        <v>0</v>
      </c>
      <c r="AAP172" s="56"/>
      <c r="AAQ172" s="242">
        <f t="shared" si="1241"/>
        <v>0</v>
      </c>
      <c r="AAR172" s="242">
        <f t="shared" si="1242"/>
        <v>0</v>
      </c>
      <c r="AAS172" s="56"/>
      <c r="AAV172" s="55">
        <f t="shared" si="1243"/>
        <v>46168</v>
      </c>
      <c r="AAW172" s="56"/>
      <c r="AAX172" s="242">
        <f>SUMPRODUCT(PRODUCE!$B179:$DY179,PRODUCE!$EB$57:$IY$57)</f>
        <v>0</v>
      </c>
      <c r="AAY172" s="56"/>
      <c r="AAZ172" s="242">
        <f t="shared" si="1244"/>
        <v>0</v>
      </c>
      <c r="ABA172" s="242">
        <f t="shared" si="1245"/>
        <v>0</v>
      </c>
      <c r="ABB172" s="56"/>
      <c r="ABE172" s="55">
        <f t="shared" si="1246"/>
        <v>46168</v>
      </c>
      <c r="ABF172" s="56"/>
      <c r="ABG172" s="242">
        <f>SUMPRODUCT(PRODUCE!$B179:$DY179,PRODUCE!$EB$57:$IY$57)</f>
        <v>0</v>
      </c>
      <c r="ABH172" s="56"/>
      <c r="ABI172" s="242">
        <f t="shared" si="1247"/>
        <v>0</v>
      </c>
      <c r="ABJ172" s="242">
        <f t="shared" si="1248"/>
        <v>0</v>
      </c>
      <c r="ABK172" s="56"/>
    </row>
    <row r="173" spans="2:739" s="54" customFormat="1" ht="15" customHeight="1" outlineLevel="1">
      <c r="B173" s="478"/>
      <c r="C173" s="55">
        <v>46169</v>
      </c>
      <c r="D173" s="422"/>
      <c r="E173" s="423">
        <f>SUMPRODUCT(PRODUCE!$B180:$DY180,PRODUCE!$EB$7:$IY$7)</f>
        <v>0</v>
      </c>
      <c r="F173" s="422"/>
      <c r="G173" s="423">
        <f t="shared" si="1004"/>
        <v>0</v>
      </c>
      <c r="H173" s="423">
        <f t="shared" si="1005"/>
        <v>155181.60000000006</v>
      </c>
      <c r="I173" s="289"/>
      <c r="L173" s="55">
        <f t="shared" si="1006"/>
        <v>46169</v>
      </c>
      <c r="M173" s="422"/>
      <c r="N173" s="438">
        <f>SUMPRODUCT(PRODUCE!$B180:$DY180,PRODUCE!$EB$8:$IY$8)</f>
        <v>0</v>
      </c>
      <c r="O173" s="422"/>
      <c r="P173" s="438">
        <f t="shared" si="1007"/>
        <v>0</v>
      </c>
      <c r="Q173" s="438">
        <f t="shared" si="1008"/>
        <v>55289.200000000077</v>
      </c>
      <c r="R173" s="56"/>
      <c r="U173" s="55">
        <f t="shared" si="1009"/>
        <v>46169</v>
      </c>
      <c r="V173" s="422"/>
      <c r="W173" s="440">
        <f>SUMPRODUCT(PRODUCE!$B180:$DY180,PRODUCE!$EB$9:$IY$9)</f>
        <v>0</v>
      </c>
      <c r="X173" s="422"/>
      <c r="Y173" s="440">
        <f t="shared" si="1010"/>
        <v>0</v>
      </c>
      <c r="Z173" s="440">
        <f t="shared" si="1011"/>
        <v>26867.999999999971</v>
      </c>
      <c r="AA173" s="56"/>
      <c r="AD173" s="55">
        <f t="shared" si="1012"/>
        <v>46169</v>
      </c>
      <c r="AE173" s="422"/>
      <c r="AF173" s="442">
        <f>SUMPRODUCT(PRODUCE!$B180:$DY180,PRODUCE!$EB$10:$IY$10)</f>
        <v>0</v>
      </c>
      <c r="AG173" s="422"/>
      <c r="AH173" s="442">
        <f t="shared" si="1013"/>
        <v>0</v>
      </c>
      <c r="AI173" s="442">
        <f t="shared" si="1014"/>
        <v>13223.000000000018</v>
      </c>
      <c r="AJ173" s="56"/>
      <c r="AM173" s="55">
        <f t="shared" si="1015"/>
        <v>46169</v>
      </c>
      <c r="AN173" s="422"/>
      <c r="AO173" s="444">
        <f>SUMPRODUCT(PRODUCE!$B180:$DY180,PRODUCE!$EB$11:$IY$11)</f>
        <v>0</v>
      </c>
      <c r="AP173" s="422"/>
      <c r="AQ173" s="444">
        <f t="shared" si="1016"/>
        <v>0</v>
      </c>
      <c r="AR173" s="444">
        <f t="shared" si="1017"/>
        <v>0</v>
      </c>
      <c r="AS173" s="56"/>
      <c r="AV173" s="55">
        <f t="shared" si="1018"/>
        <v>46169</v>
      </c>
      <c r="AW173" s="422"/>
      <c r="AX173" s="446">
        <f>SUMPRODUCT(PRODUCE!$B180:$DY180,PRODUCE!$EB$12:$IY$12)</f>
        <v>0</v>
      </c>
      <c r="AY173" s="422"/>
      <c r="AZ173" s="446">
        <f t="shared" si="1019"/>
        <v>0</v>
      </c>
      <c r="BA173" s="446">
        <f t="shared" si="1020"/>
        <v>6646.6999999999971</v>
      </c>
      <c r="BB173" s="56"/>
      <c r="BE173" s="55">
        <f t="shared" si="1021"/>
        <v>46169</v>
      </c>
      <c r="BF173" s="422"/>
      <c r="BG173" s="448">
        <f>SUMPRODUCT(PRODUCE!$B180:$DY180,PRODUCE!$EB$13:$IY$13)</f>
        <v>0</v>
      </c>
      <c r="BH173" s="422"/>
      <c r="BI173" s="448">
        <f t="shared" si="1022"/>
        <v>0</v>
      </c>
      <c r="BJ173" s="448">
        <f t="shared" si="1023"/>
        <v>34438.19999999999</v>
      </c>
      <c r="BK173" s="56"/>
      <c r="BN173" s="55">
        <f t="shared" si="1024"/>
        <v>46169</v>
      </c>
      <c r="BO173" s="422"/>
      <c r="BP173" s="450">
        <f>SUMPRODUCT(PRODUCE!$B180:$DY180,PRODUCE!$EB$14:$IY$14)</f>
        <v>0</v>
      </c>
      <c r="BQ173" s="422"/>
      <c r="BR173" s="450">
        <f t="shared" si="1025"/>
        <v>0</v>
      </c>
      <c r="BS173" s="450">
        <f t="shared" si="1026"/>
        <v>0</v>
      </c>
      <c r="BT173" s="56"/>
      <c r="BW173" s="55">
        <f t="shared" si="1027"/>
        <v>46169</v>
      </c>
      <c r="BX173" s="422"/>
      <c r="BY173" s="523">
        <f>SUMPRODUCT(PRODUCE!$B180:$DY180,PRODUCE!$EB$15:$IY$15)</f>
        <v>0</v>
      </c>
      <c r="BZ173" s="422"/>
      <c r="CA173" s="523">
        <f t="shared" si="1028"/>
        <v>0</v>
      </c>
      <c r="CB173" s="523">
        <f t="shared" si="1029"/>
        <v>5501.2999999999993</v>
      </c>
      <c r="CC173" s="56"/>
      <c r="CF173" s="55">
        <f t="shared" si="1030"/>
        <v>46169</v>
      </c>
      <c r="CG173" s="422"/>
      <c r="CH173" s="524">
        <f>SUMPRODUCT(PRODUCE!$B180:$DY180,PRODUCE!$EB$16:$IY$16)</f>
        <v>0</v>
      </c>
      <c r="CI173" s="422"/>
      <c r="CJ173" s="524">
        <f t="shared" si="1031"/>
        <v>0</v>
      </c>
      <c r="CK173" s="524">
        <f t="shared" si="1032"/>
        <v>0</v>
      </c>
      <c r="CL173" s="56"/>
      <c r="CO173" s="55">
        <f t="shared" si="1033"/>
        <v>46169</v>
      </c>
      <c r="CP173" s="422"/>
      <c r="CQ173" s="470">
        <f>SUMPRODUCT(PRODUCE!$B180:$DY180,PRODUCE!$EB$17:$IY$17)</f>
        <v>0</v>
      </c>
      <c r="CR173" s="422"/>
      <c r="CS173" s="470">
        <f t="shared" si="1034"/>
        <v>0</v>
      </c>
      <c r="CT173" s="470">
        <f t="shared" si="1035"/>
        <v>0</v>
      </c>
      <c r="CU173" s="56"/>
      <c r="CX173" s="55">
        <f t="shared" si="1036"/>
        <v>46169</v>
      </c>
      <c r="CY173" s="422"/>
      <c r="CZ173" s="525">
        <f>SUMPRODUCT(PRODUCE!$B180:$DY180,PRODUCE!$EB$18:$IY$18)</f>
        <v>0</v>
      </c>
      <c r="DA173" s="422"/>
      <c r="DB173" s="525">
        <f t="shared" si="1037"/>
        <v>0</v>
      </c>
      <c r="DC173" s="525">
        <f t="shared" si="1038"/>
        <v>21057.900000000005</v>
      </c>
      <c r="DD173" s="56"/>
      <c r="DG173" s="55">
        <f t="shared" si="1039"/>
        <v>46169</v>
      </c>
      <c r="DH173" s="422"/>
      <c r="DI173" s="526">
        <f>SUMPRODUCT(PRODUCE!$B180:$DY180,PRODUCE!$EB$19:$IY$19)</f>
        <v>0</v>
      </c>
      <c r="DJ173" s="422"/>
      <c r="DK173" s="526">
        <f t="shared" si="1040"/>
        <v>0</v>
      </c>
      <c r="DL173" s="526">
        <f t="shared" si="1041"/>
        <v>35234.999999999985</v>
      </c>
      <c r="DM173" s="56"/>
      <c r="DP173" s="55">
        <f t="shared" si="1042"/>
        <v>46169</v>
      </c>
      <c r="DQ173" s="422"/>
      <c r="DR173" s="423">
        <f>SUMPRODUCT(PRODUCE!$B180:$DY180,PRODUCE!$EB$20:$IY$20)</f>
        <v>0</v>
      </c>
      <c r="DS173" s="422"/>
      <c r="DT173" s="423">
        <f t="shared" si="1043"/>
        <v>0</v>
      </c>
      <c r="DU173" s="423">
        <f t="shared" si="1044"/>
        <v>5800</v>
      </c>
      <c r="DV173" s="56"/>
      <c r="DY173" s="55">
        <f t="shared" si="1045"/>
        <v>46169</v>
      </c>
      <c r="DZ173" s="56"/>
      <c r="EA173" s="157">
        <f>SUMPRODUCT(PRODUCE!$B180:$DY180,PRODUCE!$EB$21:$IY$21)</f>
        <v>0</v>
      </c>
      <c r="EB173" s="56"/>
      <c r="EC173" s="157">
        <f t="shared" si="1046"/>
        <v>0</v>
      </c>
      <c r="ED173" s="157">
        <f t="shared" si="1047"/>
        <v>0</v>
      </c>
      <c r="EE173" s="56"/>
      <c r="EH173" s="55">
        <f t="shared" si="1048"/>
        <v>46169</v>
      </c>
      <c r="EI173" s="56"/>
      <c r="EJ173" s="162">
        <f>SUMPRODUCT(PRODUCE!$B180:$DY180,PRODUCE!$EB$22:$IY$22)</f>
        <v>0</v>
      </c>
      <c r="EK173" s="56"/>
      <c r="EL173" s="162">
        <f t="shared" si="1049"/>
        <v>0</v>
      </c>
      <c r="EM173" s="162">
        <f t="shared" si="1050"/>
        <v>0</v>
      </c>
      <c r="EN173" s="56"/>
      <c r="EQ173" s="55">
        <f t="shared" si="1051"/>
        <v>46169</v>
      </c>
      <c r="ER173" s="56"/>
      <c r="ES173" s="135">
        <f>SUMPRODUCT(PRODUCE!$B180:$DY180,PRODUCE!$EB$23:$IY$23)</f>
        <v>0</v>
      </c>
      <c r="ET173" s="56"/>
      <c r="EU173" s="135">
        <f t="shared" si="1052"/>
        <v>0</v>
      </c>
      <c r="EV173" s="135">
        <f t="shared" si="1053"/>
        <v>0</v>
      </c>
      <c r="EW173" s="56"/>
      <c r="EZ173" s="55">
        <f t="shared" si="1054"/>
        <v>46169</v>
      </c>
      <c r="FA173" s="56"/>
      <c r="FB173" s="175">
        <f>SUMPRODUCT(PRODUCE!$B180:$DY180,PRODUCE!$EB$24:$IY$24)</f>
        <v>0</v>
      </c>
      <c r="FC173" s="56"/>
      <c r="FD173" s="175">
        <f t="shared" si="1055"/>
        <v>0</v>
      </c>
      <c r="FE173" s="175">
        <f t="shared" si="1056"/>
        <v>0</v>
      </c>
      <c r="FF173" s="56"/>
      <c r="FI173" s="55">
        <f t="shared" si="1057"/>
        <v>46169</v>
      </c>
      <c r="FJ173" s="56"/>
      <c r="FK173" s="183">
        <f>SUMPRODUCT(PRODUCE!$B180:$DY180,PRODUCE!$EB$25:$IY$25)</f>
        <v>0</v>
      </c>
      <c r="FL173" s="56"/>
      <c r="FM173" s="183">
        <f t="shared" si="1058"/>
        <v>0</v>
      </c>
      <c r="FN173" s="183">
        <f t="shared" si="1059"/>
        <v>0</v>
      </c>
      <c r="FO173" s="56"/>
      <c r="FR173" s="55">
        <f t="shared" si="1060"/>
        <v>46169</v>
      </c>
      <c r="FS173" s="56"/>
      <c r="FT173" s="186">
        <f>SUMPRODUCT(PRODUCE!$B180:$DY180,PRODUCE!$EB$26:$IY$26)</f>
        <v>0</v>
      </c>
      <c r="FU173" s="56"/>
      <c r="FV173" s="186">
        <f t="shared" si="1061"/>
        <v>0</v>
      </c>
      <c r="FW173" s="186">
        <f t="shared" si="1062"/>
        <v>4140</v>
      </c>
      <c r="FX173" s="56"/>
      <c r="GA173" s="55">
        <f t="shared" si="1063"/>
        <v>46169</v>
      </c>
      <c r="GB173" s="56"/>
      <c r="GC173" s="137">
        <f>SUMPRODUCT(PRODUCE!$B180:$DY180,PRODUCE!$EB$27:$IY$27)</f>
        <v>0</v>
      </c>
      <c r="GD173" s="56"/>
      <c r="GE173" s="137">
        <f t="shared" si="1064"/>
        <v>0</v>
      </c>
      <c r="GF173" s="137">
        <f t="shared" si="1065"/>
        <v>5040</v>
      </c>
      <c r="GG173" s="56"/>
      <c r="GI173" s="23"/>
      <c r="GJ173" s="55">
        <f t="shared" si="1066"/>
        <v>46169</v>
      </c>
      <c r="GK173" s="56"/>
      <c r="GL173" s="199">
        <f>SUMPRODUCT(PRODUCE!$B180:$DY180,PRODUCE!$EB$28:$IY$28)</f>
        <v>0</v>
      </c>
      <c r="GM173" s="56"/>
      <c r="GN173" s="199">
        <f t="shared" si="1067"/>
        <v>0</v>
      </c>
      <c r="GO173" s="199">
        <f t="shared" si="1068"/>
        <v>2560</v>
      </c>
      <c r="GP173" s="56"/>
      <c r="GS173" s="55">
        <f t="shared" si="1069"/>
        <v>46169</v>
      </c>
      <c r="GT173" s="56"/>
      <c r="GU173" s="195">
        <f>SUMPRODUCT(PRODUCE!$B180:$DY180,PRODUCE!$EB$29:$IY$29)</f>
        <v>0</v>
      </c>
      <c r="GV173" s="56"/>
      <c r="GW173" s="195">
        <f t="shared" si="1070"/>
        <v>0</v>
      </c>
      <c r="GX173" s="195">
        <f t="shared" si="1071"/>
        <v>600</v>
      </c>
      <c r="GY173" s="56"/>
      <c r="HB173" s="55">
        <f t="shared" si="1072"/>
        <v>46169</v>
      </c>
      <c r="HC173" s="56"/>
      <c r="HD173" s="191">
        <f>SUMPRODUCT(PRODUCE!$B180:$DY180,PRODUCE!$EB$30:$IY$30)</f>
        <v>0</v>
      </c>
      <c r="HE173" s="56"/>
      <c r="HF173" s="191">
        <f t="shared" si="1073"/>
        <v>0</v>
      </c>
      <c r="HG173" s="191">
        <f t="shared" si="1074"/>
        <v>3600</v>
      </c>
      <c r="HH173" s="56"/>
      <c r="HK173" s="55">
        <f t="shared" si="1075"/>
        <v>46169</v>
      </c>
      <c r="HL173" s="56"/>
      <c r="HM173" s="63">
        <f>SUMPRODUCT(PRODUCE!$B180:$DY180,PRODUCE!$EB$31:$IY$31)</f>
        <v>0</v>
      </c>
      <c r="HN173" s="56"/>
      <c r="HO173" s="63">
        <f t="shared" si="1076"/>
        <v>0</v>
      </c>
      <c r="HP173" s="63">
        <f t="shared" si="1077"/>
        <v>0</v>
      </c>
      <c r="HQ173" s="56"/>
      <c r="HU173" s="55">
        <f t="shared" si="1078"/>
        <v>46169</v>
      </c>
      <c r="HV173" s="56"/>
      <c r="HW173" s="242">
        <f>SUMPRODUCT(PRODUCE!$B180:$DY180,PRODUCE!$EB$32:$IY$32)</f>
        <v>0</v>
      </c>
      <c r="HX173" s="56"/>
      <c r="HY173" s="242">
        <f t="shared" si="1079"/>
        <v>0</v>
      </c>
      <c r="HZ173" s="242">
        <f t="shared" si="1080"/>
        <v>7080</v>
      </c>
      <c r="IA173" s="56"/>
      <c r="ID173" s="55">
        <f t="shared" si="1081"/>
        <v>46169</v>
      </c>
      <c r="IE173" s="56"/>
      <c r="IF173" s="242">
        <f>SUMPRODUCT(PRODUCE!$B180:$DY180,PRODUCE!$EB$33:$IY$33)</f>
        <v>0</v>
      </c>
      <c r="IG173" s="56"/>
      <c r="IH173" s="242">
        <f t="shared" si="1082"/>
        <v>0</v>
      </c>
      <c r="II173" s="242">
        <f t="shared" si="1083"/>
        <v>720</v>
      </c>
      <c r="IJ173" s="56"/>
      <c r="IM173" s="55">
        <f t="shared" si="1084"/>
        <v>46169</v>
      </c>
      <c r="IN173" s="56"/>
      <c r="IO173" s="242">
        <f>SUMPRODUCT(PRODUCE!$B180:$DY180,PRODUCE!$EB$34:$IY$34)</f>
        <v>0</v>
      </c>
      <c r="IP173" s="56"/>
      <c r="IQ173" s="242">
        <f t="shared" si="1085"/>
        <v>0</v>
      </c>
      <c r="IR173" s="242">
        <f t="shared" si="1086"/>
        <v>8140</v>
      </c>
      <c r="IS173" s="56"/>
      <c r="IV173" s="55">
        <f t="shared" si="1087"/>
        <v>46169</v>
      </c>
      <c r="IW173" s="56"/>
      <c r="IX173" s="242">
        <f>SUMPRODUCT(PRODUCE!$B180:$DY180,PRODUCE!$EB$35:$IY$35)</f>
        <v>0</v>
      </c>
      <c r="IY173" s="56"/>
      <c r="IZ173" s="242">
        <f t="shared" si="1088"/>
        <v>0</v>
      </c>
      <c r="JA173" s="242">
        <f t="shared" si="1089"/>
        <v>8960</v>
      </c>
      <c r="JB173" s="56"/>
      <c r="JE173" s="55">
        <f t="shared" si="1090"/>
        <v>46169</v>
      </c>
      <c r="JF173" s="56"/>
      <c r="JG173" s="242">
        <f>SUMPRODUCT(PRODUCE!$B180:$DY180,PRODUCE!$EB$36:$IY$36)</f>
        <v>0</v>
      </c>
      <c r="JH173" s="56"/>
      <c r="JI173" s="242">
        <f t="shared" si="1091"/>
        <v>0</v>
      </c>
      <c r="JJ173" s="242">
        <f t="shared" si="1092"/>
        <v>0</v>
      </c>
      <c r="JK173" s="56"/>
      <c r="JN173" s="55">
        <f t="shared" si="1093"/>
        <v>46169</v>
      </c>
      <c r="JO173" s="56"/>
      <c r="JP173" s="242">
        <f>SUMPRODUCT(PRODUCE!$B180:$DY180,PRODUCE!$EB$37:$IY$37)</f>
        <v>0</v>
      </c>
      <c r="JQ173" s="56"/>
      <c r="JR173" s="242">
        <f t="shared" si="1094"/>
        <v>0</v>
      </c>
      <c r="JS173" s="242">
        <f t="shared" si="1095"/>
        <v>5300</v>
      </c>
      <c r="JT173" s="56"/>
      <c r="JW173" s="55">
        <f t="shared" si="1096"/>
        <v>46169</v>
      </c>
      <c r="JX173" s="56"/>
      <c r="JY173" s="242">
        <f>SUMPRODUCT(PRODUCE!$B180:$DY180,PRODUCE!$EB$38:$IY$38)</f>
        <v>0</v>
      </c>
      <c r="JZ173" s="56"/>
      <c r="KA173" s="242">
        <f t="shared" si="1097"/>
        <v>0</v>
      </c>
      <c r="KB173" s="242">
        <f t="shared" si="1098"/>
        <v>2540</v>
      </c>
      <c r="KC173" s="56"/>
      <c r="KF173" s="55">
        <f t="shared" si="1099"/>
        <v>46169</v>
      </c>
      <c r="KG173" s="56"/>
      <c r="KH173" s="242">
        <f>SUMPRODUCT(PRODUCE!$B180:$DY180,PRODUCE!$EB$39:$IY$39)</f>
        <v>0</v>
      </c>
      <c r="KI173" s="56"/>
      <c r="KJ173" s="242">
        <f t="shared" si="1100"/>
        <v>0</v>
      </c>
      <c r="KK173" s="242">
        <f t="shared" si="1101"/>
        <v>2359.5</v>
      </c>
      <c r="KL173" s="56"/>
      <c r="KO173" s="55">
        <f t="shared" si="1102"/>
        <v>46169</v>
      </c>
      <c r="KP173" s="56"/>
      <c r="KQ173" s="242">
        <f>SUMPRODUCT(PRODUCE!$B180:$DY180,PRODUCE!$EB$40:$IY$40)</f>
        <v>0</v>
      </c>
      <c r="KR173" s="56"/>
      <c r="KS173" s="242">
        <f t="shared" si="1103"/>
        <v>0</v>
      </c>
      <c r="KT173" s="242">
        <f t="shared" si="1104"/>
        <v>1890</v>
      </c>
      <c r="KU173" s="56"/>
      <c r="KW173" s="23"/>
      <c r="KX173" s="55">
        <f t="shared" si="1105"/>
        <v>46169</v>
      </c>
      <c r="KY173" s="56"/>
      <c r="KZ173" s="242">
        <f>SUMPRODUCT(PRODUCE!$B180:$DY180,PRODUCE!$EB$41:$IY$41)</f>
        <v>0</v>
      </c>
      <c r="LA173" s="56"/>
      <c r="LB173" s="242">
        <f t="shared" si="1106"/>
        <v>0</v>
      </c>
      <c r="LC173" s="242">
        <f t="shared" si="1107"/>
        <v>3690</v>
      </c>
      <c r="LD173" s="56"/>
      <c r="LG173" s="55">
        <f t="shared" si="1108"/>
        <v>46169</v>
      </c>
      <c r="LH173" s="56"/>
      <c r="LI173" s="242">
        <f>SUMPRODUCT(PRODUCE!$B180:$DY180,PRODUCE!$EB$42:$IY$42)</f>
        <v>0</v>
      </c>
      <c r="LJ173" s="56"/>
      <c r="LK173" s="242">
        <f t="shared" si="1109"/>
        <v>0</v>
      </c>
      <c r="LL173" s="242">
        <f t="shared" si="1110"/>
        <v>4000</v>
      </c>
      <c r="LM173" s="56"/>
      <c r="LP173" s="55">
        <f t="shared" si="1111"/>
        <v>46169</v>
      </c>
      <c r="LQ173" s="56"/>
      <c r="LR173" s="242">
        <f>SUMPRODUCT(PRODUCE!$B188:$DY188,PRODUCE!$EB$43:$IY$43)</f>
        <v>0</v>
      </c>
      <c r="LS173" s="56"/>
      <c r="LT173" s="242">
        <f t="shared" si="1112"/>
        <v>0</v>
      </c>
      <c r="LU173" s="242">
        <f t="shared" si="1113"/>
        <v>0</v>
      </c>
      <c r="LV173" s="56"/>
      <c r="LY173" s="55">
        <f t="shared" si="1114"/>
        <v>46169</v>
      </c>
      <c r="LZ173" s="56"/>
      <c r="MA173" s="242">
        <f>SUMPRODUCT(PRODUCE!$B180:$DY180,PRODUCE!$EB$44:$IY$44)</f>
        <v>0</v>
      </c>
      <c r="MB173" s="56"/>
      <c r="MC173" s="242">
        <f t="shared" si="1115"/>
        <v>0</v>
      </c>
      <c r="MD173" s="242">
        <f t="shared" si="1116"/>
        <v>0</v>
      </c>
      <c r="ME173" s="56"/>
      <c r="MH173" s="55">
        <f t="shared" si="1117"/>
        <v>46169</v>
      </c>
      <c r="MI173" s="56"/>
      <c r="MJ173" s="242">
        <f>SUMPRODUCT(PRODUCE!$B180:$DY180,PRODUCE!$EB$45:$IY$45)</f>
        <v>0</v>
      </c>
      <c r="MK173" s="56"/>
      <c r="ML173" s="242">
        <f t="shared" si="1118"/>
        <v>0</v>
      </c>
      <c r="MM173" s="242">
        <f t="shared" si="1119"/>
        <v>0</v>
      </c>
      <c r="MN173" s="56"/>
      <c r="MQ173" s="55">
        <f t="shared" si="1120"/>
        <v>46169</v>
      </c>
      <c r="MR173" s="56"/>
      <c r="MS173" s="242">
        <f>SUMPRODUCT(PRODUCE!$B180:$DY180,PRODUCE!$EB$46:$IY$46)</f>
        <v>0</v>
      </c>
      <c r="MT173" s="56"/>
      <c r="MU173" s="242">
        <f t="shared" si="1121"/>
        <v>0</v>
      </c>
      <c r="MV173" s="242">
        <f t="shared" si="1122"/>
        <v>3731</v>
      </c>
      <c r="MW173" s="56"/>
      <c r="MZ173" s="55">
        <f t="shared" si="1123"/>
        <v>46169</v>
      </c>
      <c r="NA173" s="56"/>
      <c r="NB173" s="242">
        <f>SUMPRODUCT(PRODUCE!$B180:$DY180,PRODUCE!$EB$47:$IY$47)</f>
        <v>0</v>
      </c>
      <c r="NC173" s="56"/>
      <c r="ND173" s="242">
        <f t="shared" si="1124"/>
        <v>0</v>
      </c>
      <c r="NE173" s="242">
        <f t="shared" si="1125"/>
        <v>0</v>
      </c>
      <c r="NF173" s="56"/>
      <c r="NI173" s="55">
        <f t="shared" si="1126"/>
        <v>46169</v>
      </c>
      <c r="NJ173" s="56"/>
      <c r="NK173" s="242">
        <f>SUMPRODUCT(PRODUCE!$B180:$DY180,PRODUCE!$EB$48:$IY$48)</f>
        <v>0</v>
      </c>
      <c r="NL173" s="56"/>
      <c r="NM173" s="242">
        <f t="shared" si="1127"/>
        <v>0</v>
      </c>
      <c r="NN173" s="242">
        <f t="shared" si="1128"/>
        <v>1127</v>
      </c>
      <c r="NO173" s="56"/>
      <c r="NR173" s="55">
        <f t="shared" si="1129"/>
        <v>46169</v>
      </c>
      <c r="NS173" s="56"/>
      <c r="NT173" s="242">
        <f>SUMPRODUCT(PRODUCE!$B180:$DY180,PRODUCE!$EB$49:$IY$49)</f>
        <v>0</v>
      </c>
      <c r="NU173" s="56"/>
      <c r="NV173" s="242">
        <f t="shared" si="1130"/>
        <v>0</v>
      </c>
      <c r="NW173" s="242">
        <f t="shared" si="1131"/>
        <v>3111.9999999999995</v>
      </c>
      <c r="NX173" s="56"/>
      <c r="OA173" s="55">
        <f t="shared" si="1132"/>
        <v>46169</v>
      </c>
      <c r="OB173" s="56"/>
      <c r="OC173" s="242">
        <f>SUMPRODUCT(PRODUCE!$B180:$DY180,PRODUCE!$EB$50:$IY$50)</f>
        <v>0</v>
      </c>
      <c r="OD173" s="56"/>
      <c r="OE173" s="242">
        <f t="shared" si="1133"/>
        <v>0</v>
      </c>
      <c r="OF173" s="242">
        <f t="shared" si="1134"/>
        <v>1680.5</v>
      </c>
      <c r="OG173" s="56"/>
      <c r="OJ173" s="55">
        <f t="shared" si="1135"/>
        <v>46169</v>
      </c>
      <c r="OK173" s="56"/>
      <c r="OL173" s="242">
        <f>SUMPRODUCT(PRODUCE!$B180:$DY180,PRODUCE!$EB$51:$IY$51)</f>
        <v>0</v>
      </c>
      <c r="OM173" s="56"/>
      <c r="ON173" s="242">
        <f t="shared" si="1136"/>
        <v>0</v>
      </c>
      <c r="OO173" s="242">
        <f t="shared" si="1137"/>
        <v>0</v>
      </c>
      <c r="OP173" s="56"/>
      <c r="OS173" s="55">
        <f t="shared" si="1138"/>
        <v>46169</v>
      </c>
      <c r="OT173" s="56"/>
      <c r="OU173" s="242">
        <f>SUMPRODUCT(PRODUCE!$B180:$DY180,PRODUCE!$EB$52:$IY$52)</f>
        <v>0</v>
      </c>
      <c r="OV173" s="56"/>
      <c r="OW173" s="242">
        <f t="shared" si="1139"/>
        <v>0</v>
      </c>
      <c r="OX173" s="242">
        <f t="shared" si="1140"/>
        <v>1482</v>
      </c>
      <c r="OY173" s="56"/>
      <c r="PB173" s="55">
        <f t="shared" si="1141"/>
        <v>46169</v>
      </c>
      <c r="PC173" s="56"/>
      <c r="PD173" s="242">
        <f>SUMPRODUCT(PRODUCE!$B180:$DY180,PRODUCE!$EB$53:$IY$53)</f>
        <v>0</v>
      </c>
      <c r="PE173" s="56"/>
      <c r="PF173" s="242">
        <f t="shared" si="1142"/>
        <v>0</v>
      </c>
      <c r="PG173" s="242">
        <f t="shared" si="1143"/>
        <v>0</v>
      </c>
      <c r="PH173" s="56"/>
      <c r="PK173" s="55">
        <f t="shared" si="1144"/>
        <v>46169</v>
      </c>
      <c r="PL173" s="56"/>
      <c r="PM173" s="242">
        <f>SUMPRODUCT(PRODUCE!$B180:$DY180,PRODUCE!$EB$54:$IY$54)</f>
        <v>0</v>
      </c>
      <c r="PN173" s="56"/>
      <c r="PO173" s="242">
        <f t="shared" si="1145"/>
        <v>0</v>
      </c>
      <c r="PP173" s="242">
        <f t="shared" si="1146"/>
        <v>100</v>
      </c>
      <c r="PQ173" s="56"/>
      <c r="PT173" s="55">
        <f t="shared" si="1147"/>
        <v>46169</v>
      </c>
      <c r="PU173" s="56"/>
      <c r="PV173" s="242">
        <f>SUMPRODUCT(PRODUCE!$B180:$DY180,PRODUCE!$EB$55:$IY$55)</f>
        <v>0</v>
      </c>
      <c r="PW173" s="56"/>
      <c r="PX173" s="242">
        <f t="shared" si="1148"/>
        <v>0</v>
      </c>
      <c r="PY173" s="242">
        <f t="shared" si="1149"/>
        <v>13.960000000000036</v>
      </c>
      <c r="PZ173" s="56"/>
      <c r="QC173" s="55">
        <f t="shared" si="1150"/>
        <v>46169</v>
      </c>
      <c r="QD173" s="56"/>
      <c r="QE173" s="242">
        <f>SUMPRODUCT(PRODUCE!$B180:$DY180,PRODUCE!$EB$56:$IY$56)</f>
        <v>0</v>
      </c>
      <c r="QF173" s="56"/>
      <c r="QG173" s="242">
        <f t="shared" si="1151"/>
        <v>0</v>
      </c>
      <c r="QH173" s="242">
        <f t="shared" si="1152"/>
        <v>176</v>
      </c>
      <c r="QI173" s="56"/>
      <c r="QL173" s="55">
        <f t="shared" si="1153"/>
        <v>46169</v>
      </c>
      <c r="QM173" s="56"/>
      <c r="QN173" s="242">
        <f>SUMPRODUCT(PRODUCE!$B180:$DY180,PRODUCE!$EB$57:$IY$57)</f>
        <v>0</v>
      </c>
      <c r="QO173" s="56"/>
      <c r="QP173" s="242">
        <f t="shared" si="1154"/>
        <v>0</v>
      </c>
      <c r="QQ173" s="242">
        <f t="shared" si="1155"/>
        <v>1690</v>
      </c>
      <c r="QR173" s="56"/>
      <c r="QU173" s="55">
        <f t="shared" si="1156"/>
        <v>46169</v>
      </c>
      <c r="QV173" s="56"/>
      <c r="QW173" s="242">
        <f>SUMPRODUCT(PRODUCE!$B180:$DY180,PRODUCE!$EB$58:$IY$58)</f>
        <v>0</v>
      </c>
      <c r="QX173" s="56"/>
      <c r="QY173" s="242">
        <f t="shared" si="1157"/>
        <v>0</v>
      </c>
      <c r="QZ173" s="242">
        <f t="shared" si="1158"/>
        <v>207.6</v>
      </c>
      <c r="RA173" s="56"/>
      <c r="RD173" s="55">
        <f t="shared" si="1159"/>
        <v>46169</v>
      </c>
      <c r="RE173" s="56"/>
      <c r="RF173" s="242">
        <f>SUMPRODUCT(PRODUCE!$B180:$DY180,PRODUCE!$EB$59:$IY$59)</f>
        <v>0</v>
      </c>
      <c r="RG173" s="56"/>
      <c r="RH173" s="242">
        <f t="shared" si="1160"/>
        <v>0</v>
      </c>
      <c r="RI173" s="242">
        <f t="shared" si="1161"/>
        <v>147.04000000000002</v>
      </c>
      <c r="RJ173" s="56"/>
      <c r="RM173" s="55">
        <f t="shared" si="1162"/>
        <v>46169</v>
      </c>
      <c r="RN173" s="56"/>
      <c r="RO173" s="242">
        <f>SUMPRODUCT(PRODUCE!$B180:$DY180,PRODUCE!$EB$60:$IY$60)</f>
        <v>0</v>
      </c>
      <c r="RP173" s="56"/>
      <c r="RQ173" s="242">
        <f t="shared" si="1163"/>
        <v>0</v>
      </c>
      <c r="RR173" s="242">
        <f t="shared" si="1164"/>
        <v>46.8</v>
      </c>
      <c r="RS173" s="56"/>
      <c r="RV173" s="55">
        <f t="shared" si="1165"/>
        <v>46169</v>
      </c>
      <c r="RW173" s="56"/>
      <c r="RX173" s="242">
        <f>SUMPRODUCT(PRODUCE!$B180:$DY180,PRODUCE!$EB$61:$IY$61)</f>
        <v>0</v>
      </c>
      <c r="RY173" s="56"/>
      <c r="RZ173" s="242">
        <f t="shared" si="1166"/>
        <v>0</v>
      </c>
      <c r="SA173" s="242">
        <f t="shared" si="1167"/>
        <v>0</v>
      </c>
      <c r="SB173" s="56"/>
      <c r="SE173" s="55">
        <f t="shared" si="1168"/>
        <v>46169</v>
      </c>
      <c r="SF173" s="56"/>
      <c r="SG173" s="242">
        <f>SUMPRODUCT(PRODUCE!$B180:$DY180,PRODUCE!$EB$62:$IY$62)</f>
        <v>0</v>
      </c>
      <c r="SH173" s="56"/>
      <c r="SI173" s="242">
        <f t="shared" si="1169"/>
        <v>0</v>
      </c>
      <c r="SJ173" s="242">
        <f t="shared" si="1170"/>
        <v>24.200000000000003</v>
      </c>
      <c r="SK173" s="56"/>
      <c r="SN173" s="55">
        <f t="shared" si="1171"/>
        <v>46169</v>
      </c>
      <c r="SO173" s="56"/>
      <c r="SP173" s="242">
        <f>SUMPRODUCT(PRODUCE!$B180:$DY180,PRODUCE!$EB$63:$IY$63)</f>
        <v>0</v>
      </c>
      <c r="SQ173" s="56"/>
      <c r="SR173" s="242">
        <f t="shared" si="1172"/>
        <v>0</v>
      </c>
      <c r="SS173" s="242">
        <f t="shared" si="1173"/>
        <v>32</v>
      </c>
      <c r="ST173" s="56"/>
      <c r="SW173" s="55">
        <f t="shared" si="1174"/>
        <v>46169</v>
      </c>
      <c r="SX173" s="56"/>
      <c r="SY173" s="242">
        <f>SUMPRODUCT(PRODUCE!$B180:$DY180,PRODUCE!$EB$64:$IY$64)</f>
        <v>0</v>
      </c>
      <c r="SZ173" s="56"/>
      <c r="TA173" s="242">
        <f t="shared" si="1175"/>
        <v>0</v>
      </c>
      <c r="TB173" s="242">
        <f t="shared" si="1176"/>
        <v>0</v>
      </c>
      <c r="TC173" s="56"/>
      <c r="TF173" s="55">
        <f t="shared" si="1177"/>
        <v>46169</v>
      </c>
      <c r="TG173" s="56"/>
      <c r="TH173" s="242">
        <f>SUMPRODUCT(PRODUCE!$B180:$DY180,PRODUCE!$EB$65:$IY$65)</f>
        <v>0</v>
      </c>
      <c r="TI173" s="56"/>
      <c r="TJ173" s="242">
        <f t="shared" si="1178"/>
        <v>0</v>
      </c>
      <c r="TK173" s="242">
        <f t="shared" si="1179"/>
        <v>0</v>
      </c>
      <c r="TL173" s="56"/>
      <c r="TO173" s="55">
        <f t="shared" si="1180"/>
        <v>46169</v>
      </c>
      <c r="TP173" s="56"/>
      <c r="TQ173" s="242">
        <f>SUMPRODUCT(PRODUCE!$B180:$DY180,PRODUCE!$EB$66:$IY$66)</f>
        <v>0</v>
      </c>
      <c r="TR173" s="56"/>
      <c r="TS173" s="242">
        <f t="shared" si="1181"/>
        <v>0</v>
      </c>
      <c r="TT173" s="242">
        <f t="shared" si="1182"/>
        <v>0</v>
      </c>
      <c r="TU173" s="56"/>
      <c r="TX173" s="55">
        <f t="shared" si="1183"/>
        <v>46169</v>
      </c>
      <c r="TY173" s="56"/>
      <c r="TZ173" s="242">
        <f>SUMPRODUCT(PRODUCE!$B180:$DY180,PRODUCE!$EB$67:$IY$67)</f>
        <v>0</v>
      </c>
      <c r="UA173" s="56"/>
      <c r="UB173" s="242">
        <f t="shared" si="1184"/>
        <v>0</v>
      </c>
      <c r="UC173" s="242">
        <f t="shared" si="1185"/>
        <v>228</v>
      </c>
      <c r="UD173" s="56"/>
      <c r="UG173" s="55">
        <f t="shared" si="1186"/>
        <v>46169</v>
      </c>
      <c r="UH173" s="56"/>
      <c r="UI173" s="242">
        <f>SUMPRODUCT(PRODUCE!$B180:$DY180,PRODUCE!$EB$68:$IY$68)</f>
        <v>0</v>
      </c>
      <c r="UJ173" s="56">
        <v>80</v>
      </c>
      <c r="UK173" s="242">
        <f t="shared" si="1187"/>
        <v>-80</v>
      </c>
      <c r="UL173" s="242">
        <f t="shared" si="1188"/>
        <v>920</v>
      </c>
      <c r="UM173" s="56"/>
      <c r="UP173" s="55">
        <f t="shared" si="1189"/>
        <v>46169</v>
      </c>
      <c r="UQ173" s="56"/>
      <c r="UR173" s="242">
        <f>SUMPRODUCT(PRODUCE!$B180:$DY180,PRODUCE!$EB$69:$IY$69)</f>
        <v>0</v>
      </c>
      <c r="US173" s="56"/>
      <c r="UT173" s="242">
        <f t="shared" si="1190"/>
        <v>0</v>
      </c>
      <c r="UU173" s="242">
        <f t="shared" si="1191"/>
        <v>0</v>
      </c>
      <c r="UV173" s="56"/>
      <c r="UY173" s="55">
        <f t="shared" si="1192"/>
        <v>46169</v>
      </c>
      <c r="UZ173" s="56"/>
      <c r="VA173" s="242">
        <f>SUMPRODUCT(PRODUCE!$B180:$DY180,PRODUCE!$EB$70:$IY$70)</f>
        <v>0</v>
      </c>
      <c r="VB173" s="56"/>
      <c r="VC173" s="242">
        <f t="shared" si="1193"/>
        <v>0</v>
      </c>
      <c r="VD173" s="242">
        <f t="shared" si="1194"/>
        <v>41.600000000000023</v>
      </c>
      <c r="VE173" s="56"/>
      <c r="VH173" s="55">
        <f t="shared" si="1195"/>
        <v>46169</v>
      </c>
      <c r="VI173" s="56"/>
      <c r="VJ173" s="242">
        <f>SUMPRODUCT(PRODUCE!$B180:$DY180,PRODUCE!$EB$71:$IY$71)</f>
        <v>0</v>
      </c>
      <c r="VK173" s="56"/>
      <c r="VL173" s="242">
        <f t="shared" si="1196"/>
        <v>0</v>
      </c>
      <c r="VM173" s="242">
        <f t="shared" si="1197"/>
        <v>0</v>
      </c>
      <c r="VN173" s="56"/>
      <c r="VQ173" s="55">
        <f t="shared" si="1198"/>
        <v>46169</v>
      </c>
      <c r="VR173" s="56"/>
      <c r="VS173" s="242">
        <f>SUMPRODUCT(PRODUCE!$B180:$DY180,PRODUCE!$EB$57:$IY$57)</f>
        <v>0</v>
      </c>
      <c r="VT173" s="56"/>
      <c r="VU173" s="242">
        <f t="shared" si="1199"/>
        <v>0</v>
      </c>
      <c r="VV173" s="242">
        <f t="shared" si="1200"/>
        <v>0</v>
      </c>
      <c r="VW173" s="56"/>
      <c r="VZ173" s="55">
        <f t="shared" si="1201"/>
        <v>46169</v>
      </c>
      <c r="WA173" s="56"/>
      <c r="WB173" s="242">
        <f>SUMPRODUCT(PRODUCE!$B180:$DY180,PRODUCE!$EB$57:$IY$57)</f>
        <v>0</v>
      </c>
      <c r="WC173" s="56"/>
      <c r="WD173" s="242">
        <f t="shared" si="1202"/>
        <v>0</v>
      </c>
      <c r="WE173" s="242">
        <f t="shared" si="1203"/>
        <v>0</v>
      </c>
      <c r="WF173" s="56"/>
      <c r="WI173" s="55">
        <f t="shared" si="1204"/>
        <v>46169</v>
      </c>
      <c r="WJ173" s="422"/>
      <c r="WK173" s="540">
        <f>SUMPRODUCT(PRODUCE!$B180:$DY180,PRODUCE!$EB$74:$IY$74)</f>
        <v>0</v>
      </c>
      <c r="WL173" s="422"/>
      <c r="WM173" s="540">
        <f t="shared" si="1205"/>
        <v>0</v>
      </c>
      <c r="WN173" s="540">
        <f t="shared" si="1206"/>
        <v>1199</v>
      </c>
      <c r="WO173" s="56"/>
      <c r="WR173" s="55">
        <f t="shared" si="1207"/>
        <v>46169</v>
      </c>
      <c r="WS173" s="422"/>
      <c r="WT173" s="540">
        <f>SUMPRODUCT(PRODUCE!$B180:$DY180,PRODUCE!$EB$75:$IY$75)</f>
        <v>0</v>
      </c>
      <c r="WU173" s="422"/>
      <c r="WV173" s="540">
        <f t="shared" si="1208"/>
        <v>0</v>
      </c>
      <c r="WW173" s="540">
        <f t="shared" si="1209"/>
        <v>0</v>
      </c>
      <c r="WX173" s="56"/>
      <c r="XA173" s="55">
        <f t="shared" si="1210"/>
        <v>46169</v>
      </c>
      <c r="XB173" s="422"/>
      <c r="XC173" s="540">
        <f>SUMPRODUCT(PRODUCE!$B180:$DY180,PRODUCE!$EB$76:$IY$76)</f>
        <v>0</v>
      </c>
      <c r="XD173" s="422"/>
      <c r="XE173" s="540">
        <f t="shared" si="1211"/>
        <v>0</v>
      </c>
      <c r="XF173" s="540">
        <f t="shared" si="1212"/>
        <v>6813</v>
      </c>
      <c r="XG173" s="56"/>
      <c r="XJ173" s="55">
        <f t="shared" si="1213"/>
        <v>46169</v>
      </c>
      <c r="XK173" s="422"/>
      <c r="XL173" s="540">
        <f>SUMPRODUCT(PRODUCE!$B180:$DY180,PRODUCE!$EB$77:$IY$77)</f>
        <v>0</v>
      </c>
      <c r="XM173" s="422"/>
      <c r="XN173" s="540">
        <f t="shared" si="1214"/>
        <v>0</v>
      </c>
      <c r="XO173" s="540">
        <f t="shared" si="1215"/>
        <v>-234</v>
      </c>
      <c r="XP173" s="56"/>
      <c r="XS173" s="55">
        <f t="shared" si="1216"/>
        <v>46169</v>
      </c>
      <c r="XT173" s="56"/>
      <c r="XU173" s="242">
        <f>SUMPRODUCT(PRODUCE!$B180:$DY180,PRODUCE!$EB$78:$IY$78)</f>
        <v>0</v>
      </c>
      <c r="XV173" s="56"/>
      <c r="XW173" s="242">
        <f t="shared" si="1217"/>
        <v>0</v>
      </c>
      <c r="XX173" s="242">
        <f t="shared" si="1218"/>
        <v>1621</v>
      </c>
      <c r="XY173" s="56"/>
      <c r="YB173" s="55">
        <f t="shared" si="1219"/>
        <v>46169</v>
      </c>
      <c r="YC173" s="56"/>
      <c r="YD173" s="242">
        <f>SUMPRODUCT(PRODUCE!$B180:$DY180,PRODUCE!$EB$79:$IY$79)</f>
        <v>0</v>
      </c>
      <c r="YE173" s="56"/>
      <c r="YF173" s="242">
        <f t="shared" si="1220"/>
        <v>0</v>
      </c>
      <c r="YG173" s="242">
        <f t="shared" si="1221"/>
        <v>6459</v>
      </c>
      <c r="YH173" s="56"/>
      <c r="YK173" s="55">
        <f t="shared" si="1222"/>
        <v>46169</v>
      </c>
      <c r="YL173" s="56"/>
      <c r="YM173" s="242">
        <f>SUMPRODUCT(PRODUCE!$B180:$DY180,PRODUCE!$EB$80:$IY$80)</f>
        <v>0</v>
      </c>
      <c r="YN173" s="56"/>
      <c r="YO173" s="242">
        <f t="shared" si="1223"/>
        <v>0</v>
      </c>
      <c r="YP173" s="242">
        <f t="shared" si="1224"/>
        <v>0</v>
      </c>
      <c r="YQ173" s="56"/>
      <c r="YT173" s="55">
        <f t="shared" si="1225"/>
        <v>46169</v>
      </c>
      <c r="YU173" s="56"/>
      <c r="YV173" s="242">
        <f>SUMPRODUCT(PRODUCE!$B180:$DY180,PRODUCE!$EB$57:$IY$57)</f>
        <v>0</v>
      </c>
      <c r="YW173" s="56"/>
      <c r="YX173" s="242">
        <f t="shared" si="1226"/>
        <v>0</v>
      </c>
      <c r="YY173" s="242">
        <f t="shared" si="1227"/>
        <v>0</v>
      </c>
      <c r="YZ173" s="56"/>
      <c r="ZC173" s="55">
        <f t="shared" si="1228"/>
        <v>46169</v>
      </c>
      <c r="ZD173" s="56"/>
      <c r="ZE173" s="242">
        <f>SUMPRODUCT(PRODUCE!$B180:$DY180,PRODUCE!$EB$57:$IY$57)</f>
        <v>0</v>
      </c>
      <c r="ZF173" s="56"/>
      <c r="ZG173" s="242">
        <f t="shared" si="1229"/>
        <v>0</v>
      </c>
      <c r="ZH173" s="242">
        <f t="shared" si="1230"/>
        <v>0</v>
      </c>
      <c r="ZI173" s="56"/>
      <c r="ZL173" s="55">
        <f t="shared" si="1231"/>
        <v>46169</v>
      </c>
      <c r="ZM173" s="56"/>
      <c r="ZN173" s="242">
        <f>SUMPRODUCT(PRODUCE!$B180:$DY180,PRODUCE!$EB$57:$IY$57)</f>
        <v>0</v>
      </c>
      <c r="ZO173" s="56"/>
      <c r="ZP173" s="242">
        <f t="shared" si="1232"/>
        <v>0</v>
      </c>
      <c r="ZQ173" s="242">
        <f t="shared" si="1233"/>
        <v>0</v>
      </c>
      <c r="ZR173" s="56"/>
      <c r="ZU173" s="55">
        <f t="shared" si="1234"/>
        <v>46169</v>
      </c>
      <c r="ZV173" s="56"/>
      <c r="ZW173" s="242">
        <f>SUMPRODUCT(PRODUCE!$B180:$DY180,PRODUCE!$EB$57:$IY$57)</f>
        <v>0</v>
      </c>
      <c r="ZX173" s="56"/>
      <c r="ZY173" s="242">
        <f t="shared" si="1235"/>
        <v>0</v>
      </c>
      <c r="ZZ173" s="242">
        <f t="shared" si="1236"/>
        <v>0</v>
      </c>
      <c r="AAA173" s="56"/>
      <c r="AAD173" s="55">
        <f t="shared" si="1237"/>
        <v>46169</v>
      </c>
      <c r="AAE173" s="56"/>
      <c r="AAF173" s="242">
        <f>SUMPRODUCT(PRODUCE!$B180:$DY180,PRODUCE!$EB$57:$IY$57)</f>
        <v>0</v>
      </c>
      <c r="AAG173" s="56"/>
      <c r="AAH173" s="242">
        <f t="shared" si="1238"/>
        <v>0</v>
      </c>
      <c r="AAI173" s="242">
        <f t="shared" si="1239"/>
        <v>0</v>
      </c>
      <c r="AAJ173" s="56"/>
      <c r="AAM173" s="55">
        <f t="shared" si="1240"/>
        <v>46169</v>
      </c>
      <c r="AAN173" s="56"/>
      <c r="AAO173" s="242">
        <f>SUMPRODUCT(PRODUCE!$B180:$DY180,PRODUCE!$EB$57:$IY$57)</f>
        <v>0</v>
      </c>
      <c r="AAP173" s="56"/>
      <c r="AAQ173" s="242">
        <f t="shared" si="1241"/>
        <v>0</v>
      </c>
      <c r="AAR173" s="242">
        <f t="shared" si="1242"/>
        <v>0</v>
      </c>
      <c r="AAS173" s="56"/>
      <c r="AAV173" s="55">
        <f t="shared" si="1243"/>
        <v>46169</v>
      </c>
      <c r="AAW173" s="56"/>
      <c r="AAX173" s="242">
        <f>SUMPRODUCT(PRODUCE!$B180:$DY180,PRODUCE!$EB$57:$IY$57)</f>
        <v>0</v>
      </c>
      <c r="AAY173" s="56"/>
      <c r="AAZ173" s="242">
        <f t="shared" si="1244"/>
        <v>0</v>
      </c>
      <c r="ABA173" s="242">
        <f t="shared" si="1245"/>
        <v>0</v>
      </c>
      <c r="ABB173" s="56"/>
      <c r="ABE173" s="55">
        <f t="shared" si="1246"/>
        <v>46169</v>
      </c>
      <c r="ABF173" s="56"/>
      <c r="ABG173" s="242">
        <f>SUMPRODUCT(PRODUCE!$B180:$DY180,PRODUCE!$EB$57:$IY$57)</f>
        <v>0</v>
      </c>
      <c r="ABH173" s="56"/>
      <c r="ABI173" s="242">
        <f t="shared" si="1247"/>
        <v>0</v>
      </c>
      <c r="ABJ173" s="242">
        <f t="shared" si="1248"/>
        <v>0</v>
      </c>
      <c r="ABK173" s="56"/>
    </row>
    <row r="174" spans="2:739" s="54" customFormat="1" ht="15" customHeight="1" outlineLevel="1">
      <c r="B174" s="478">
        <v>14</v>
      </c>
      <c r="C174" s="55">
        <v>46170</v>
      </c>
      <c r="D174" s="422">
        <v>48940</v>
      </c>
      <c r="E174" s="423">
        <f>SUMPRODUCT(PRODUCE!$B181:$DY181,PRODUCE!$EB$7:$IY$7)</f>
        <v>7810.3199999999979</v>
      </c>
      <c r="F174" s="422">
        <v>7806</v>
      </c>
      <c r="G174" s="423">
        <f t="shared" si="1004"/>
        <v>4.31999999999789</v>
      </c>
      <c r="H174" s="423">
        <f t="shared" si="1005"/>
        <v>196315.60000000006</v>
      </c>
      <c r="I174" s="289" t="s">
        <v>275</v>
      </c>
      <c r="L174" s="55">
        <f t="shared" si="1006"/>
        <v>46170</v>
      </c>
      <c r="M174" s="422"/>
      <c r="N174" s="438">
        <f>SUMPRODUCT(PRODUCE!$B181:$DY181,PRODUCE!$EB$8:$IY$8)</f>
        <v>4440.8</v>
      </c>
      <c r="O174" s="422">
        <v>4439.3999999999996</v>
      </c>
      <c r="P174" s="438">
        <f t="shared" si="1007"/>
        <v>1.4000000000005457</v>
      </c>
      <c r="Q174" s="438">
        <f t="shared" si="1008"/>
        <v>50849.800000000076</v>
      </c>
      <c r="R174" s="56"/>
      <c r="U174" s="55">
        <f t="shared" si="1009"/>
        <v>46170</v>
      </c>
      <c r="V174" s="422"/>
      <c r="W174" s="440">
        <f>SUMPRODUCT(PRODUCE!$B181:$DY181,PRODUCE!$EB$9:$IY$9)</f>
        <v>700</v>
      </c>
      <c r="X174" s="422">
        <v>701.9</v>
      </c>
      <c r="Y174" s="440">
        <f t="shared" si="1010"/>
        <v>-1.8999999999999773</v>
      </c>
      <c r="Z174" s="440">
        <f t="shared" si="1011"/>
        <v>26166.099999999969</v>
      </c>
      <c r="AA174" s="56"/>
      <c r="AD174" s="55">
        <f t="shared" si="1012"/>
        <v>46170</v>
      </c>
      <c r="AE174" s="422"/>
      <c r="AF174" s="442">
        <f>SUMPRODUCT(PRODUCE!$B181:$DY181,PRODUCE!$EB$10:$IY$10)</f>
        <v>0</v>
      </c>
      <c r="AG174" s="422"/>
      <c r="AH174" s="442">
        <f t="shared" si="1013"/>
        <v>0</v>
      </c>
      <c r="AI174" s="442">
        <f t="shared" si="1014"/>
        <v>13223.000000000018</v>
      </c>
      <c r="AJ174" s="56"/>
      <c r="AM174" s="55">
        <f t="shared" si="1015"/>
        <v>46170</v>
      </c>
      <c r="AN174" s="422"/>
      <c r="AO174" s="444">
        <f>SUMPRODUCT(PRODUCE!$B181:$DY181,PRODUCE!$EB$11:$IY$11)</f>
        <v>0</v>
      </c>
      <c r="AP174" s="422"/>
      <c r="AQ174" s="444">
        <f t="shared" si="1016"/>
        <v>0</v>
      </c>
      <c r="AR174" s="444">
        <f t="shared" si="1017"/>
        <v>0</v>
      </c>
      <c r="AS174" s="56"/>
      <c r="AV174" s="55">
        <f t="shared" si="1018"/>
        <v>46170</v>
      </c>
      <c r="AW174" s="422"/>
      <c r="AX174" s="446">
        <f>SUMPRODUCT(PRODUCE!$B181:$DY181,PRODUCE!$EB$12:$IY$12)</f>
        <v>0</v>
      </c>
      <c r="AY174" s="422"/>
      <c r="AZ174" s="446">
        <f t="shared" si="1019"/>
        <v>0</v>
      </c>
      <c r="BA174" s="446">
        <f t="shared" si="1020"/>
        <v>6646.6999999999971</v>
      </c>
      <c r="BB174" s="56"/>
      <c r="BE174" s="55">
        <f t="shared" si="1021"/>
        <v>46170</v>
      </c>
      <c r="BF174" s="422"/>
      <c r="BG174" s="448">
        <f>SUMPRODUCT(PRODUCE!$B181:$DY181,PRODUCE!$EB$13:$IY$13)</f>
        <v>273</v>
      </c>
      <c r="BH174" s="422">
        <v>274.2</v>
      </c>
      <c r="BI174" s="448">
        <f t="shared" si="1022"/>
        <v>-1.1999999999999886</v>
      </c>
      <c r="BJ174" s="448">
        <f t="shared" si="1023"/>
        <v>34163.999999999993</v>
      </c>
      <c r="BK174" s="56"/>
      <c r="BN174" s="55">
        <f t="shared" si="1024"/>
        <v>46170</v>
      </c>
      <c r="BO174" s="422">
        <v>329</v>
      </c>
      <c r="BP174" s="450">
        <f>SUMPRODUCT(PRODUCE!$B181:$DY181,PRODUCE!$EB$14:$IY$14)</f>
        <v>329</v>
      </c>
      <c r="BQ174" s="422">
        <v>329</v>
      </c>
      <c r="BR174" s="450">
        <f t="shared" si="1025"/>
        <v>0</v>
      </c>
      <c r="BS174" s="450">
        <f t="shared" si="1026"/>
        <v>0</v>
      </c>
      <c r="BT174" s="56"/>
      <c r="BW174" s="55">
        <f t="shared" si="1027"/>
        <v>46170</v>
      </c>
      <c r="BX174" s="422"/>
      <c r="BY174" s="523">
        <f>SUMPRODUCT(PRODUCE!$B181:$DY181,PRODUCE!$EB$15:$IY$15)</f>
        <v>0</v>
      </c>
      <c r="BZ174" s="422"/>
      <c r="CA174" s="523">
        <f t="shared" si="1028"/>
        <v>0</v>
      </c>
      <c r="CB174" s="523">
        <f t="shared" si="1029"/>
        <v>5501.2999999999993</v>
      </c>
      <c r="CC174" s="56"/>
      <c r="CF174" s="55">
        <f t="shared" si="1030"/>
        <v>46170</v>
      </c>
      <c r="CG174" s="422"/>
      <c r="CH174" s="524">
        <f>SUMPRODUCT(PRODUCE!$B181:$DY181,PRODUCE!$EB$16:$IY$16)</f>
        <v>89.88</v>
      </c>
      <c r="CI174" s="422"/>
      <c r="CJ174" s="524">
        <f t="shared" si="1031"/>
        <v>89.88</v>
      </c>
      <c r="CK174" s="524">
        <f t="shared" si="1032"/>
        <v>0</v>
      </c>
      <c r="CL174" s="56"/>
      <c r="CO174" s="55">
        <f t="shared" si="1033"/>
        <v>46170</v>
      </c>
      <c r="CP174" s="422"/>
      <c r="CQ174" s="470">
        <f>SUMPRODUCT(PRODUCE!$B181:$DY181,PRODUCE!$EB$17:$IY$17)</f>
        <v>0</v>
      </c>
      <c r="CR174" s="422"/>
      <c r="CS174" s="470">
        <f t="shared" si="1034"/>
        <v>0</v>
      </c>
      <c r="CT174" s="470">
        <f t="shared" si="1035"/>
        <v>0</v>
      </c>
      <c r="CU174" s="56"/>
      <c r="CX174" s="55">
        <f t="shared" si="1036"/>
        <v>46170</v>
      </c>
      <c r="CY174" s="422"/>
      <c r="CZ174" s="525">
        <f>SUMPRODUCT(PRODUCE!$B181:$DY181,PRODUCE!$EB$18:$IY$18)</f>
        <v>0</v>
      </c>
      <c r="DA174" s="422"/>
      <c r="DB174" s="525">
        <f t="shared" si="1037"/>
        <v>0</v>
      </c>
      <c r="DC174" s="525">
        <f t="shared" si="1038"/>
        <v>21057.900000000005</v>
      </c>
      <c r="DD174" s="56"/>
      <c r="DG174" s="55">
        <f t="shared" si="1039"/>
        <v>46170</v>
      </c>
      <c r="DH174" s="422"/>
      <c r="DI174" s="526">
        <f>SUMPRODUCT(PRODUCE!$B181:$DY181,PRODUCE!$EB$19:$IY$19)</f>
        <v>0</v>
      </c>
      <c r="DJ174" s="422"/>
      <c r="DK174" s="526">
        <f t="shared" si="1040"/>
        <v>0</v>
      </c>
      <c r="DL174" s="526">
        <f t="shared" si="1041"/>
        <v>35234.999999999985</v>
      </c>
      <c r="DM174" s="56"/>
      <c r="DP174" s="55">
        <f t="shared" si="1042"/>
        <v>46170</v>
      </c>
      <c r="DQ174" s="422"/>
      <c r="DR174" s="423">
        <f>SUMPRODUCT(PRODUCE!$B181:$DY181,PRODUCE!$EB$20:$IY$20)</f>
        <v>0</v>
      </c>
      <c r="DS174" s="422"/>
      <c r="DT174" s="423">
        <f t="shared" si="1043"/>
        <v>0</v>
      </c>
      <c r="DU174" s="423">
        <f t="shared" si="1044"/>
        <v>5800</v>
      </c>
      <c r="DV174" s="56"/>
      <c r="DY174" s="55">
        <f t="shared" si="1045"/>
        <v>46170</v>
      </c>
      <c r="DZ174" s="56"/>
      <c r="EA174" s="157">
        <f>SUMPRODUCT(PRODUCE!$B181:$DY181,PRODUCE!$EB$21:$IY$21)</f>
        <v>0</v>
      </c>
      <c r="EB174" s="56"/>
      <c r="EC174" s="157">
        <f t="shared" si="1046"/>
        <v>0</v>
      </c>
      <c r="ED174" s="157">
        <f t="shared" si="1047"/>
        <v>0</v>
      </c>
      <c r="EE174" s="56"/>
      <c r="EH174" s="55">
        <f t="shared" si="1048"/>
        <v>46170</v>
      </c>
      <c r="EI174" s="56"/>
      <c r="EJ174" s="162">
        <f>SUMPRODUCT(PRODUCE!$B181:$DY181,PRODUCE!$EB$22:$IY$22)</f>
        <v>0</v>
      </c>
      <c r="EK174" s="56"/>
      <c r="EL174" s="162">
        <f t="shared" si="1049"/>
        <v>0</v>
      </c>
      <c r="EM174" s="162">
        <f t="shared" si="1050"/>
        <v>0</v>
      </c>
      <c r="EN174" s="56"/>
      <c r="EQ174" s="55">
        <f t="shared" si="1051"/>
        <v>46170</v>
      </c>
      <c r="ER174" s="56"/>
      <c r="ES174" s="135">
        <f>SUMPRODUCT(PRODUCE!$B181:$DY181,PRODUCE!$EB$23:$IY$23)</f>
        <v>0</v>
      </c>
      <c r="ET174" s="56"/>
      <c r="EU174" s="135">
        <f t="shared" si="1052"/>
        <v>0</v>
      </c>
      <c r="EV174" s="135">
        <f t="shared" si="1053"/>
        <v>0</v>
      </c>
      <c r="EW174" s="56"/>
      <c r="EZ174" s="55">
        <f t="shared" si="1054"/>
        <v>46170</v>
      </c>
      <c r="FA174" s="56"/>
      <c r="FB174" s="175">
        <f>SUMPRODUCT(PRODUCE!$B181:$DY181,PRODUCE!$EB$24:$IY$24)</f>
        <v>0</v>
      </c>
      <c r="FC174" s="56"/>
      <c r="FD174" s="175">
        <f t="shared" si="1055"/>
        <v>0</v>
      </c>
      <c r="FE174" s="175">
        <f t="shared" si="1056"/>
        <v>0</v>
      </c>
      <c r="FF174" s="56"/>
      <c r="FI174" s="55">
        <f t="shared" si="1057"/>
        <v>46170</v>
      </c>
      <c r="FJ174" s="56"/>
      <c r="FK174" s="183">
        <f>SUMPRODUCT(PRODUCE!$B181:$DY181,PRODUCE!$EB$25:$IY$25)</f>
        <v>0</v>
      </c>
      <c r="FL174" s="56"/>
      <c r="FM174" s="183">
        <f t="shared" si="1058"/>
        <v>0</v>
      </c>
      <c r="FN174" s="183">
        <f t="shared" si="1059"/>
        <v>0</v>
      </c>
      <c r="FO174" s="56"/>
      <c r="FR174" s="55">
        <f t="shared" si="1060"/>
        <v>46170</v>
      </c>
      <c r="FS174" s="56"/>
      <c r="FT174" s="186">
        <f>SUMPRODUCT(PRODUCE!$B181:$DY181,PRODUCE!$EB$26:$IY$26)</f>
        <v>0</v>
      </c>
      <c r="FU174" s="56"/>
      <c r="FV174" s="186">
        <f t="shared" si="1061"/>
        <v>0</v>
      </c>
      <c r="FW174" s="186">
        <f t="shared" si="1062"/>
        <v>4140</v>
      </c>
      <c r="FX174" s="56"/>
      <c r="GA174" s="55">
        <f t="shared" si="1063"/>
        <v>46170</v>
      </c>
      <c r="GB174" s="56"/>
      <c r="GC174" s="137">
        <f>SUMPRODUCT(PRODUCE!$B181:$DY181,PRODUCE!$EB$27:$IY$27)</f>
        <v>0</v>
      </c>
      <c r="GD174" s="56"/>
      <c r="GE174" s="137">
        <f t="shared" si="1064"/>
        <v>0</v>
      </c>
      <c r="GF174" s="137">
        <f t="shared" si="1065"/>
        <v>5040</v>
      </c>
      <c r="GG174" s="56"/>
      <c r="GI174" s="23"/>
      <c r="GJ174" s="55">
        <f t="shared" si="1066"/>
        <v>46170</v>
      </c>
      <c r="GK174" s="56"/>
      <c r="GL174" s="199">
        <f>SUMPRODUCT(PRODUCE!$B181:$DY181,PRODUCE!$EB$28:$IY$28)</f>
        <v>0</v>
      </c>
      <c r="GM174" s="56"/>
      <c r="GN174" s="199">
        <f t="shared" si="1067"/>
        <v>0</v>
      </c>
      <c r="GO174" s="199">
        <f t="shared" si="1068"/>
        <v>2560</v>
      </c>
      <c r="GP174" s="56"/>
      <c r="GS174" s="55">
        <f t="shared" si="1069"/>
        <v>46170</v>
      </c>
      <c r="GT174" s="56"/>
      <c r="GU174" s="195">
        <f>SUMPRODUCT(PRODUCE!$B181:$DY181,PRODUCE!$EB$29:$IY$29)</f>
        <v>0</v>
      </c>
      <c r="GV174" s="56"/>
      <c r="GW174" s="195">
        <f t="shared" si="1070"/>
        <v>0</v>
      </c>
      <c r="GX174" s="195">
        <f t="shared" si="1071"/>
        <v>600</v>
      </c>
      <c r="GY174" s="56"/>
      <c r="HB174" s="55">
        <f t="shared" si="1072"/>
        <v>46170</v>
      </c>
      <c r="HC174" s="56"/>
      <c r="HD174" s="191">
        <f>SUMPRODUCT(PRODUCE!$B181:$DY181,PRODUCE!$EB$30:$IY$30)</f>
        <v>0</v>
      </c>
      <c r="HE174" s="56"/>
      <c r="HF174" s="191">
        <f t="shared" si="1073"/>
        <v>0</v>
      </c>
      <c r="HG174" s="191">
        <f t="shared" si="1074"/>
        <v>3600</v>
      </c>
      <c r="HH174" s="56"/>
      <c r="HK174" s="55">
        <f t="shared" si="1075"/>
        <v>46170</v>
      </c>
      <c r="HL174" s="56"/>
      <c r="HM174" s="63">
        <f>SUMPRODUCT(PRODUCE!$B181:$DY181,PRODUCE!$EB$31:$IY$31)</f>
        <v>0</v>
      </c>
      <c r="HN174" s="56"/>
      <c r="HO174" s="63">
        <f t="shared" si="1076"/>
        <v>0</v>
      </c>
      <c r="HP174" s="63">
        <f t="shared" si="1077"/>
        <v>0</v>
      </c>
      <c r="HQ174" s="56"/>
      <c r="HU174" s="55">
        <f t="shared" si="1078"/>
        <v>46170</v>
      </c>
      <c r="HV174" s="56"/>
      <c r="HW174" s="242">
        <f>SUMPRODUCT(PRODUCE!$B181:$DY181,PRODUCE!$EB$32:$IY$32)</f>
        <v>0</v>
      </c>
      <c r="HX174" s="56"/>
      <c r="HY174" s="242">
        <f t="shared" si="1079"/>
        <v>0</v>
      </c>
      <c r="HZ174" s="242">
        <f t="shared" si="1080"/>
        <v>7080</v>
      </c>
      <c r="IA174" s="56"/>
      <c r="ID174" s="55">
        <f t="shared" si="1081"/>
        <v>46170</v>
      </c>
      <c r="IE174" s="56"/>
      <c r="IF174" s="242">
        <f>SUMPRODUCT(PRODUCE!$B181:$DY181,PRODUCE!$EB$33:$IY$33)</f>
        <v>0</v>
      </c>
      <c r="IG174" s="56"/>
      <c r="IH174" s="242">
        <f t="shared" si="1082"/>
        <v>0</v>
      </c>
      <c r="II174" s="242">
        <f t="shared" si="1083"/>
        <v>720</v>
      </c>
      <c r="IJ174" s="56"/>
      <c r="IM174" s="55">
        <f t="shared" si="1084"/>
        <v>46170</v>
      </c>
      <c r="IN174" s="56"/>
      <c r="IO174" s="242">
        <f>SUMPRODUCT(PRODUCE!$B181:$DY181,PRODUCE!$EB$34:$IY$34)</f>
        <v>0</v>
      </c>
      <c r="IP174" s="56"/>
      <c r="IQ174" s="242">
        <f t="shared" si="1085"/>
        <v>0</v>
      </c>
      <c r="IR174" s="242">
        <f t="shared" si="1086"/>
        <v>8140</v>
      </c>
      <c r="IS174" s="56"/>
      <c r="IV174" s="55">
        <f t="shared" si="1087"/>
        <v>46170</v>
      </c>
      <c r="IW174" s="56"/>
      <c r="IX174" s="242">
        <f>SUMPRODUCT(PRODUCE!$B181:$DY181,PRODUCE!$EB$35:$IY$35)</f>
        <v>0</v>
      </c>
      <c r="IY174" s="56"/>
      <c r="IZ174" s="242">
        <f t="shared" si="1088"/>
        <v>0</v>
      </c>
      <c r="JA174" s="242">
        <f t="shared" si="1089"/>
        <v>8960</v>
      </c>
      <c r="JB174" s="56"/>
      <c r="JE174" s="55">
        <f t="shared" si="1090"/>
        <v>46170</v>
      </c>
      <c r="JF174" s="56"/>
      <c r="JG174" s="242">
        <f>SUMPRODUCT(PRODUCE!$B181:$DY181,PRODUCE!$EB$36:$IY$36)</f>
        <v>0</v>
      </c>
      <c r="JH174" s="56"/>
      <c r="JI174" s="242">
        <f t="shared" si="1091"/>
        <v>0</v>
      </c>
      <c r="JJ174" s="242">
        <f t="shared" si="1092"/>
        <v>0</v>
      </c>
      <c r="JK174" s="56"/>
      <c r="JN174" s="55">
        <f t="shared" si="1093"/>
        <v>46170</v>
      </c>
      <c r="JO174" s="56"/>
      <c r="JP174" s="242">
        <f>SUMPRODUCT(PRODUCE!$B181:$DY181,PRODUCE!$EB$37:$IY$37)</f>
        <v>280</v>
      </c>
      <c r="JQ174" s="56"/>
      <c r="JR174" s="242">
        <f t="shared" si="1094"/>
        <v>280</v>
      </c>
      <c r="JS174" s="242">
        <f t="shared" si="1095"/>
        <v>5300</v>
      </c>
      <c r="JT174" s="56"/>
      <c r="JW174" s="55">
        <f t="shared" si="1096"/>
        <v>46170</v>
      </c>
      <c r="JX174" s="56"/>
      <c r="JY174" s="242">
        <f>SUMPRODUCT(PRODUCE!$B181:$DY181,PRODUCE!$EB$38:$IY$38)</f>
        <v>0</v>
      </c>
      <c r="JZ174" s="56"/>
      <c r="KA174" s="242">
        <f t="shared" si="1097"/>
        <v>0</v>
      </c>
      <c r="KB174" s="242">
        <f t="shared" si="1098"/>
        <v>2540</v>
      </c>
      <c r="KC174" s="56"/>
      <c r="KF174" s="55">
        <f t="shared" si="1099"/>
        <v>46170</v>
      </c>
      <c r="KG174" s="56"/>
      <c r="KH174" s="242">
        <f>SUMPRODUCT(PRODUCE!$B181:$DY181,PRODUCE!$EB$39:$IY$39)</f>
        <v>0</v>
      </c>
      <c r="KI174" s="56"/>
      <c r="KJ174" s="242">
        <f t="shared" si="1100"/>
        <v>0</v>
      </c>
      <c r="KK174" s="242">
        <f t="shared" si="1101"/>
        <v>2359.5</v>
      </c>
      <c r="KL174" s="56"/>
      <c r="KO174" s="55">
        <f t="shared" si="1102"/>
        <v>46170</v>
      </c>
      <c r="KP174" s="56"/>
      <c r="KQ174" s="242">
        <f>SUMPRODUCT(PRODUCE!$B181:$DY181,PRODUCE!$EB$40:$IY$40)</f>
        <v>0</v>
      </c>
      <c r="KR174" s="56"/>
      <c r="KS174" s="242">
        <f t="shared" si="1103"/>
        <v>0</v>
      </c>
      <c r="KT174" s="242">
        <f t="shared" si="1104"/>
        <v>1890</v>
      </c>
      <c r="KU174" s="56"/>
      <c r="KW174" s="23"/>
      <c r="KX174" s="55">
        <f t="shared" si="1105"/>
        <v>46170</v>
      </c>
      <c r="KY174" s="56"/>
      <c r="KZ174" s="242">
        <f>SUMPRODUCT(PRODUCE!$B181:$DY181,PRODUCE!$EB$41:$IY$41)</f>
        <v>0</v>
      </c>
      <c r="LA174" s="56"/>
      <c r="LB174" s="242">
        <f t="shared" si="1106"/>
        <v>0</v>
      </c>
      <c r="LC174" s="242">
        <f t="shared" si="1107"/>
        <v>3690</v>
      </c>
      <c r="LD174" s="56"/>
      <c r="LG174" s="55">
        <f t="shared" si="1108"/>
        <v>46170</v>
      </c>
      <c r="LH174" s="56"/>
      <c r="LI174" s="242">
        <f>SUMPRODUCT(PRODUCE!$B181:$DY181,PRODUCE!$EB$42:$IY$42)</f>
        <v>0</v>
      </c>
      <c r="LJ174" s="56"/>
      <c r="LK174" s="242">
        <f t="shared" si="1109"/>
        <v>0</v>
      </c>
      <c r="LL174" s="242">
        <f t="shared" si="1110"/>
        <v>4000</v>
      </c>
      <c r="LM174" s="56"/>
      <c r="LP174" s="55">
        <f t="shared" si="1111"/>
        <v>46170</v>
      </c>
      <c r="LQ174" s="56"/>
      <c r="LR174" s="242">
        <f>SUMPRODUCT(PRODUCE!$B189:$DY189,PRODUCE!$EB$43:$IY$43)</f>
        <v>0</v>
      </c>
      <c r="LS174" s="56"/>
      <c r="LT174" s="242">
        <f t="shared" si="1112"/>
        <v>0</v>
      </c>
      <c r="LU174" s="242">
        <f t="shared" si="1113"/>
        <v>0</v>
      </c>
      <c r="LV174" s="56"/>
      <c r="LY174" s="55">
        <f t="shared" si="1114"/>
        <v>46170</v>
      </c>
      <c r="LZ174" s="56"/>
      <c r="MA174" s="242">
        <f>SUMPRODUCT(PRODUCE!$B181:$DY181,PRODUCE!$EB$44:$IY$44)</f>
        <v>0</v>
      </c>
      <c r="MB174" s="56"/>
      <c r="MC174" s="242">
        <f t="shared" si="1115"/>
        <v>0</v>
      </c>
      <c r="MD174" s="242">
        <f t="shared" si="1116"/>
        <v>0</v>
      </c>
      <c r="ME174" s="56"/>
      <c r="MH174" s="55">
        <f t="shared" si="1117"/>
        <v>46170</v>
      </c>
      <c r="MI174" s="56"/>
      <c r="MJ174" s="242">
        <f>SUMPRODUCT(PRODUCE!$B181:$DY181,PRODUCE!$EB$45:$IY$45)</f>
        <v>0</v>
      </c>
      <c r="MK174" s="56"/>
      <c r="ML174" s="242">
        <f t="shared" si="1118"/>
        <v>0</v>
      </c>
      <c r="MM174" s="242">
        <f t="shared" si="1119"/>
        <v>0</v>
      </c>
      <c r="MN174" s="56"/>
      <c r="MQ174" s="55">
        <f t="shared" si="1120"/>
        <v>46170</v>
      </c>
      <c r="MR174" s="56"/>
      <c r="MS174" s="242">
        <f>SUMPRODUCT(PRODUCE!$B181:$DY181,PRODUCE!$EB$46:$IY$46)</f>
        <v>0</v>
      </c>
      <c r="MT174" s="56"/>
      <c r="MU174" s="242">
        <f t="shared" si="1121"/>
        <v>0</v>
      </c>
      <c r="MV174" s="242">
        <f t="shared" si="1122"/>
        <v>3731</v>
      </c>
      <c r="MW174" s="56"/>
      <c r="MZ174" s="55">
        <f t="shared" si="1123"/>
        <v>46170</v>
      </c>
      <c r="NA174" s="56"/>
      <c r="NB174" s="242">
        <f>SUMPRODUCT(PRODUCE!$B181:$DY181,PRODUCE!$EB$47:$IY$47)</f>
        <v>42</v>
      </c>
      <c r="NC174" s="56"/>
      <c r="ND174" s="242">
        <f t="shared" si="1124"/>
        <v>42</v>
      </c>
      <c r="NE174" s="242">
        <f t="shared" si="1125"/>
        <v>0</v>
      </c>
      <c r="NF174" s="56"/>
      <c r="NI174" s="55">
        <f t="shared" si="1126"/>
        <v>46170</v>
      </c>
      <c r="NJ174" s="56"/>
      <c r="NK174" s="242">
        <f>SUMPRODUCT(PRODUCE!$B181:$DY181,PRODUCE!$EB$48:$IY$48)</f>
        <v>0</v>
      </c>
      <c r="NL174" s="56"/>
      <c r="NM174" s="242">
        <f t="shared" si="1127"/>
        <v>0</v>
      </c>
      <c r="NN174" s="242">
        <f t="shared" si="1128"/>
        <v>1127</v>
      </c>
      <c r="NO174" s="56"/>
      <c r="NR174" s="55">
        <f t="shared" si="1129"/>
        <v>46170</v>
      </c>
      <c r="NS174" s="56"/>
      <c r="NT174" s="242">
        <f>SUMPRODUCT(PRODUCE!$B181:$DY181,PRODUCE!$EB$49:$IY$49)</f>
        <v>0</v>
      </c>
      <c r="NU174" s="56"/>
      <c r="NV174" s="242">
        <f t="shared" si="1130"/>
        <v>0</v>
      </c>
      <c r="NW174" s="242">
        <f t="shared" si="1131"/>
        <v>3111.9999999999995</v>
      </c>
      <c r="NX174" s="56"/>
      <c r="OA174" s="55">
        <f t="shared" si="1132"/>
        <v>46170</v>
      </c>
      <c r="OB174" s="56"/>
      <c r="OC174" s="242">
        <f>SUMPRODUCT(PRODUCE!$B181:$DY181,PRODUCE!$EB$50:$IY$50)</f>
        <v>0</v>
      </c>
      <c r="OD174" s="56"/>
      <c r="OE174" s="242">
        <f t="shared" si="1133"/>
        <v>0</v>
      </c>
      <c r="OF174" s="242">
        <f t="shared" si="1134"/>
        <v>1680.5</v>
      </c>
      <c r="OG174" s="56"/>
      <c r="OJ174" s="55">
        <f t="shared" si="1135"/>
        <v>46170</v>
      </c>
      <c r="OK174" s="56"/>
      <c r="OL174" s="242">
        <f>SUMPRODUCT(PRODUCE!$B181:$DY181,PRODUCE!$EB$51:$IY$51)</f>
        <v>0</v>
      </c>
      <c r="OM174" s="56"/>
      <c r="ON174" s="242">
        <f t="shared" si="1136"/>
        <v>0</v>
      </c>
      <c r="OO174" s="242">
        <f t="shared" si="1137"/>
        <v>0</v>
      </c>
      <c r="OP174" s="56"/>
      <c r="OS174" s="55">
        <f t="shared" si="1138"/>
        <v>46170</v>
      </c>
      <c r="OT174" s="56"/>
      <c r="OU174" s="242">
        <f>SUMPRODUCT(PRODUCE!$B181:$DY181,PRODUCE!$EB$52:$IY$52)</f>
        <v>0</v>
      </c>
      <c r="OV174" s="56"/>
      <c r="OW174" s="242">
        <f t="shared" si="1139"/>
        <v>0</v>
      </c>
      <c r="OX174" s="242">
        <f t="shared" si="1140"/>
        <v>1482</v>
      </c>
      <c r="OY174" s="56"/>
      <c r="PB174" s="55">
        <f t="shared" si="1141"/>
        <v>46170</v>
      </c>
      <c r="PC174" s="56"/>
      <c r="PD174" s="242">
        <f>SUMPRODUCT(PRODUCE!$B181:$DY181,PRODUCE!$EB$53:$IY$53)</f>
        <v>0</v>
      </c>
      <c r="PE174" s="56"/>
      <c r="PF174" s="242">
        <f t="shared" si="1142"/>
        <v>0</v>
      </c>
      <c r="PG174" s="242">
        <f t="shared" si="1143"/>
        <v>0</v>
      </c>
      <c r="PH174" s="56"/>
      <c r="PK174" s="55">
        <f t="shared" si="1144"/>
        <v>46170</v>
      </c>
      <c r="PL174" s="56"/>
      <c r="PM174" s="242">
        <f>SUMPRODUCT(PRODUCE!$B181:$DY181,PRODUCE!$EB$54:$IY$54)</f>
        <v>0</v>
      </c>
      <c r="PN174" s="56"/>
      <c r="PO174" s="242">
        <f t="shared" si="1145"/>
        <v>0</v>
      </c>
      <c r="PP174" s="242">
        <f t="shared" si="1146"/>
        <v>100</v>
      </c>
      <c r="PQ174" s="56"/>
      <c r="PT174" s="55">
        <f t="shared" si="1147"/>
        <v>46170</v>
      </c>
      <c r="PU174" s="56"/>
      <c r="PV174" s="242">
        <f>SUMPRODUCT(PRODUCE!$B181:$DY181,PRODUCE!$EB$55:$IY$55)</f>
        <v>0</v>
      </c>
      <c r="PW174" s="56"/>
      <c r="PX174" s="242">
        <f t="shared" si="1148"/>
        <v>0</v>
      </c>
      <c r="PY174" s="242">
        <f t="shared" si="1149"/>
        <v>13.960000000000036</v>
      </c>
      <c r="PZ174" s="56"/>
      <c r="QC174" s="55">
        <f t="shared" si="1150"/>
        <v>46170</v>
      </c>
      <c r="QD174" s="56"/>
      <c r="QE174" s="242">
        <f>SUMPRODUCT(PRODUCE!$B181:$DY181,PRODUCE!$EB$56:$IY$56)</f>
        <v>0</v>
      </c>
      <c r="QF174" s="56"/>
      <c r="QG174" s="242">
        <f t="shared" si="1151"/>
        <v>0</v>
      </c>
      <c r="QH174" s="242">
        <f t="shared" si="1152"/>
        <v>176</v>
      </c>
      <c r="QI174" s="56"/>
      <c r="QL174" s="55">
        <f t="shared" si="1153"/>
        <v>46170</v>
      </c>
      <c r="QM174" s="56"/>
      <c r="QN174" s="242">
        <f>SUMPRODUCT(PRODUCE!$B181:$DY181,PRODUCE!$EB$57:$IY$57)</f>
        <v>35</v>
      </c>
      <c r="QO174" s="56"/>
      <c r="QP174" s="242">
        <f t="shared" si="1154"/>
        <v>35</v>
      </c>
      <c r="QQ174" s="242">
        <f t="shared" si="1155"/>
        <v>1690</v>
      </c>
      <c r="QR174" s="56"/>
      <c r="QU174" s="55">
        <f t="shared" si="1156"/>
        <v>46170</v>
      </c>
      <c r="QV174" s="56"/>
      <c r="QW174" s="242">
        <f>SUMPRODUCT(PRODUCE!$B181:$DY181,PRODUCE!$EB$58:$IY$58)</f>
        <v>0</v>
      </c>
      <c r="QX174" s="56"/>
      <c r="QY174" s="242">
        <f t="shared" si="1157"/>
        <v>0</v>
      </c>
      <c r="QZ174" s="242">
        <f t="shared" si="1158"/>
        <v>207.6</v>
      </c>
      <c r="RA174" s="56"/>
      <c r="RD174" s="55">
        <f t="shared" si="1159"/>
        <v>46170</v>
      </c>
      <c r="RE174" s="56"/>
      <c r="RF174" s="242">
        <f>SUMPRODUCT(PRODUCE!$B181:$DY181,PRODUCE!$EB$59:$IY$59)</f>
        <v>0</v>
      </c>
      <c r="RG174" s="56"/>
      <c r="RH174" s="242">
        <f t="shared" si="1160"/>
        <v>0</v>
      </c>
      <c r="RI174" s="242">
        <f t="shared" si="1161"/>
        <v>147.04000000000002</v>
      </c>
      <c r="RJ174" s="56"/>
      <c r="RM174" s="55">
        <f t="shared" si="1162"/>
        <v>46170</v>
      </c>
      <c r="RN174" s="56"/>
      <c r="RO174" s="242">
        <f>SUMPRODUCT(PRODUCE!$B181:$DY181,PRODUCE!$EB$60:$IY$60)</f>
        <v>0</v>
      </c>
      <c r="RP174" s="56"/>
      <c r="RQ174" s="242">
        <f t="shared" si="1163"/>
        <v>0</v>
      </c>
      <c r="RR174" s="242">
        <f t="shared" si="1164"/>
        <v>46.8</v>
      </c>
      <c r="RS174" s="56"/>
      <c r="RV174" s="55">
        <f t="shared" si="1165"/>
        <v>46170</v>
      </c>
      <c r="RW174" s="56"/>
      <c r="RX174" s="242">
        <f>SUMPRODUCT(PRODUCE!$B181:$DY181,PRODUCE!$EB$61:$IY$61)</f>
        <v>0</v>
      </c>
      <c r="RY174" s="56"/>
      <c r="RZ174" s="242">
        <f t="shared" si="1166"/>
        <v>0</v>
      </c>
      <c r="SA174" s="242">
        <f t="shared" si="1167"/>
        <v>0</v>
      </c>
      <c r="SB174" s="56"/>
      <c r="SE174" s="55">
        <f t="shared" si="1168"/>
        <v>46170</v>
      </c>
      <c r="SF174" s="56"/>
      <c r="SG174" s="242">
        <f>SUMPRODUCT(PRODUCE!$B181:$DY181,PRODUCE!$EB$62:$IY$62)</f>
        <v>0</v>
      </c>
      <c r="SH174" s="56"/>
      <c r="SI174" s="242">
        <f t="shared" si="1169"/>
        <v>0</v>
      </c>
      <c r="SJ174" s="242">
        <f t="shared" si="1170"/>
        <v>24.200000000000003</v>
      </c>
      <c r="SK174" s="56"/>
      <c r="SN174" s="55">
        <f t="shared" si="1171"/>
        <v>46170</v>
      </c>
      <c r="SO174" s="56"/>
      <c r="SP174" s="242">
        <f>SUMPRODUCT(PRODUCE!$B181:$DY181,PRODUCE!$EB$63:$IY$63)</f>
        <v>0</v>
      </c>
      <c r="SQ174" s="56"/>
      <c r="SR174" s="242">
        <f t="shared" si="1172"/>
        <v>0</v>
      </c>
      <c r="SS174" s="242">
        <f t="shared" si="1173"/>
        <v>32</v>
      </c>
      <c r="ST174" s="56"/>
      <c r="SW174" s="55">
        <f t="shared" si="1174"/>
        <v>46170</v>
      </c>
      <c r="SX174" s="56"/>
      <c r="SY174" s="242">
        <f>SUMPRODUCT(PRODUCE!$B181:$DY181,PRODUCE!$EB$64:$IY$64)</f>
        <v>0</v>
      </c>
      <c r="SZ174" s="56"/>
      <c r="TA174" s="242">
        <f t="shared" si="1175"/>
        <v>0</v>
      </c>
      <c r="TB174" s="242">
        <f t="shared" si="1176"/>
        <v>0</v>
      </c>
      <c r="TC174" s="56"/>
      <c r="TF174" s="55">
        <f t="shared" si="1177"/>
        <v>46170</v>
      </c>
      <c r="TG174" s="56"/>
      <c r="TH174" s="242">
        <f>SUMPRODUCT(PRODUCE!$B181:$DY181,PRODUCE!$EB$65:$IY$65)</f>
        <v>0</v>
      </c>
      <c r="TI174" s="56"/>
      <c r="TJ174" s="242">
        <f t="shared" si="1178"/>
        <v>0</v>
      </c>
      <c r="TK174" s="242">
        <f t="shared" si="1179"/>
        <v>0</v>
      </c>
      <c r="TL174" s="56"/>
      <c r="TO174" s="55">
        <f t="shared" si="1180"/>
        <v>46170</v>
      </c>
      <c r="TP174" s="56"/>
      <c r="TQ174" s="242">
        <f>SUMPRODUCT(PRODUCE!$B181:$DY181,PRODUCE!$EB$66:$IY$66)</f>
        <v>0</v>
      </c>
      <c r="TR174" s="56"/>
      <c r="TS174" s="242">
        <f t="shared" si="1181"/>
        <v>0</v>
      </c>
      <c r="TT174" s="242">
        <f t="shared" si="1182"/>
        <v>0</v>
      </c>
      <c r="TU174" s="56"/>
      <c r="TX174" s="55">
        <f t="shared" si="1183"/>
        <v>46170</v>
      </c>
      <c r="TY174" s="56"/>
      <c r="TZ174" s="242">
        <f>SUMPRODUCT(PRODUCE!$B181:$DY181,PRODUCE!$EB$67:$IY$67)</f>
        <v>0</v>
      </c>
      <c r="UA174" s="56"/>
      <c r="UB174" s="242">
        <f t="shared" si="1184"/>
        <v>0</v>
      </c>
      <c r="UC174" s="242">
        <f t="shared" si="1185"/>
        <v>228</v>
      </c>
      <c r="UD174" s="56"/>
      <c r="UG174" s="55">
        <f t="shared" si="1186"/>
        <v>46170</v>
      </c>
      <c r="UH174" s="56"/>
      <c r="UI174" s="242">
        <f>SUMPRODUCT(PRODUCE!$B181:$DY181,PRODUCE!$EB$68:$IY$68)</f>
        <v>0</v>
      </c>
      <c r="UJ174" s="56">
        <v>354</v>
      </c>
      <c r="UK174" s="242">
        <f t="shared" si="1187"/>
        <v>-354</v>
      </c>
      <c r="UL174" s="242">
        <f t="shared" si="1188"/>
        <v>566</v>
      </c>
      <c r="UM174" s="56"/>
      <c r="UP174" s="55">
        <f t="shared" si="1189"/>
        <v>46170</v>
      </c>
      <c r="UQ174" s="56"/>
      <c r="UR174" s="242">
        <f>SUMPRODUCT(PRODUCE!$B181:$DY181,PRODUCE!$EB$69:$IY$69)</f>
        <v>0</v>
      </c>
      <c r="US174" s="56"/>
      <c r="UT174" s="242">
        <f t="shared" si="1190"/>
        <v>0</v>
      </c>
      <c r="UU174" s="242">
        <f t="shared" si="1191"/>
        <v>0</v>
      </c>
      <c r="UV174" s="56"/>
      <c r="UY174" s="55">
        <f t="shared" si="1192"/>
        <v>46170</v>
      </c>
      <c r="UZ174" s="56"/>
      <c r="VA174" s="242">
        <f>SUMPRODUCT(PRODUCE!$B181:$DY181,PRODUCE!$EB$70:$IY$70)</f>
        <v>0</v>
      </c>
      <c r="VB174" s="56"/>
      <c r="VC174" s="242">
        <f t="shared" si="1193"/>
        <v>0</v>
      </c>
      <c r="VD174" s="242">
        <f t="shared" si="1194"/>
        <v>41.600000000000023</v>
      </c>
      <c r="VE174" s="56"/>
      <c r="VH174" s="55">
        <f t="shared" si="1195"/>
        <v>46170</v>
      </c>
      <c r="VI174" s="56"/>
      <c r="VJ174" s="242">
        <f>SUMPRODUCT(PRODUCE!$B181:$DY181,PRODUCE!$EB$71:$IY$71)</f>
        <v>0</v>
      </c>
      <c r="VK174" s="56"/>
      <c r="VL174" s="242">
        <f t="shared" si="1196"/>
        <v>0</v>
      </c>
      <c r="VM174" s="242">
        <f t="shared" si="1197"/>
        <v>0</v>
      </c>
      <c r="VN174" s="56"/>
      <c r="VQ174" s="55">
        <f t="shared" si="1198"/>
        <v>46170</v>
      </c>
      <c r="VR174" s="56"/>
      <c r="VS174" s="242">
        <f>SUMPRODUCT(PRODUCE!$B181:$DY181,PRODUCE!$EB$57:$IY$57)</f>
        <v>35</v>
      </c>
      <c r="VT174" s="56"/>
      <c r="VU174" s="242">
        <f t="shared" si="1199"/>
        <v>35</v>
      </c>
      <c r="VV174" s="242">
        <f t="shared" si="1200"/>
        <v>0</v>
      </c>
      <c r="VW174" s="56"/>
      <c r="VZ174" s="55">
        <f t="shared" si="1201"/>
        <v>46170</v>
      </c>
      <c r="WA174" s="56"/>
      <c r="WB174" s="242">
        <f>SUMPRODUCT(PRODUCE!$B181:$DY181,PRODUCE!$EB$57:$IY$57)</f>
        <v>35</v>
      </c>
      <c r="WC174" s="56"/>
      <c r="WD174" s="242">
        <f t="shared" si="1202"/>
        <v>35</v>
      </c>
      <c r="WE174" s="242">
        <f t="shared" si="1203"/>
        <v>0</v>
      </c>
      <c r="WF174" s="56"/>
      <c r="WI174" s="55">
        <f t="shared" si="1204"/>
        <v>46170</v>
      </c>
      <c r="WJ174" s="422"/>
      <c r="WK174" s="540">
        <f>SUMPRODUCT(PRODUCE!$B181:$DY181,PRODUCE!$EB$74:$IY$74)</f>
        <v>0</v>
      </c>
      <c r="WL174" s="422"/>
      <c r="WM174" s="540">
        <f t="shared" si="1205"/>
        <v>0</v>
      </c>
      <c r="WN174" s="540">
        <f t="shared" si="1206"/>
        <v>1199</v>
      </c>
      <c r="WO174" s="56"/>
      <c r="WR174" s="55">
        <f t="shared" si="1207"/>
        <v>46170</v>
      </c>
      <c r="WS174" s="422"/>
      <c r="WT174" s="540">
        <f>SUMPRODUCT(PRODUCE!$B181:$DY181,PRODUCE!$EB$75:$IY$75)</f>
        <v>0</v>
      </c>
      <c r="WU174" s="422"/>
      <c r="WV174" s="540">
        <f t="shared" si="1208"/>
        <v>0</v>
      </c>
      <c r="WW174" s="540">
        <f t="shared" si="1209"/>
        <v>0</v>
      </c>
      <c r="WX174" s="56"/>
      <c r="XA174" s="55">
        <f t="shared" si="1210"/>
        <v>46170</v>
      </c>
      <c r="XB174" s="422"/>
      <c r="XC174" s="540">
        <f>SUMPRODUCT(PRODUCE!$B181:$DY181,PRODUCE!$EB$76:$IY$76)</f>
        <v>0</v>
      </c>
      <c r="XD174" s="422"/>
      <c r="XE174" s="540">
        <f t="shared" si="1211"/>
        <v>0</v>
      </c>
      <c r="XF174" s="540">
        <f t="shared" si="1212"/>
        <v>6813</v>
      </c>
      <c r="XG174" s="56"/>
      <c r="XJ174" s="55">
        <f t="shared" si="1213"/>
        <v>46170</v>
      </c>
      <c r="XK174" s="422"/>
      <c r="XL174" s="540">
        <f>SUMPRODUCT(PRODUCE!$B181:$DY181,PRODUCE!$EB$77:$IY$77)</f>
        <v>0</v>
      </c>
      <c r="XM174" s="422"/>
      <c r="XN174" s="540">
        <f t="shared" si="1214"/>
        <v>0</v>
      </c>
      <c r="XO174" s="540">
        <f t="shared" si="1215"/>
        <v>-234</v>
      </c>
      <c r="XP174" s="56"/>
      <c r="XS174" s="55">
        <f t="shared" si="1216"/>
        <v>46170</v>
      </c>
      <c r="XT174" s="56"/>
      <c r="XU174" s="242">
        <f>SUMPRODUCT(PRODUCE!$B181:$DY181,PRODUCE!$EB$78:$IY$78)</f>
        <v>0</v>
      </c>
      <c r="XV174" s="56"/>
      <c r="XW174" s="242">
        <f t="shared" si="1217"/>
        <v>0</v>
      </c>
      <c r="XX174" s="242">
        <f t="shared" si="1218"/>
        <v>1621</v>
      </c>
      <c r="XY174" s="56"/>
      <c r="YB174" s="55">
        <f t="shared" si="1219"/>
        <v>46170</v>
      </c>
      <c r="YC174" s="56"/>
      <c r="YD174" s="242">
        <f>SUMPRODUCT(PRODUCE!$B181:$DY181,PRODUCE!$EB$79:$IY$79)</f>
        <v>0</v>
      </c>
      <c r="YE174" s="56">
        <v>266</v>
      </c>
      <c r="YF174" s="242">
        <f t="shared" si="1220"/>
        <v>-266</v>
      </c>
      <c r="YG174" s="242">
        <f t="shared" si="1221"/>
        <v>6193</v>
      </c>
      <c r="YH174" s="56"/>
      <c r="YK174" s="55">
        <f t="shared" si="1222"/>
        <v>46170</v>
      </c>
      <c r="YL174" s="56"/>
      <c r="YM174" s="242">
        <f>SUMPRODUCT(PRODUCE!$B181:$DY181,PRODUCE!$EB$80:$IY$80)</f>
        <v>0</v>
      </c>
      <c r="YN174" s="56"/>
      <c r="YO174" s="242">
        <f t="shared" si="1223"/>
        <v>0</v>
      </c>
      <c r="YP174" s="242">
        <f t="shared" si="1224"/>
        <v>0</v>
      </c>
      <c r="YQ174" s="56"/>
      <c r="YT174" s="55">
        <f t="shared" si="1225"/>
        <v>46170</v>
      </c>
      <c r="YU174" s="56"/>
      <c r="YV174" s="242">
        <f>SUMPRODUCT(PRODUCE!$B181:$DY181,PRODUCE!$EB$57:$IY$57)</f>
        <v>35</v>
      </c>
      <c r="YW174" s="56"/>
      <c r="YX174" s="242">
        <f t="shared" si="1226"/>
        <v>35</v>
      </c>
      <c r="YY174" s="242">
        <f t="shared" si="1227"/>
        <v>0</v>
      </c>
      <c r="YZ174" s="56"/>
      <c r="ZC174" s="55">
        <f t="shared" si="1228"/>
        <v>46170</v>
      </c>
      <c r="ZD174" s="56"/>
      <c r="ZE174" s="242">
        <f>SUMPRODUCT(PRODUCE!$B181:$DY181,PRODUCE!$EB$57:$IY$57)</f>
        <v>35</v>
      </c>
      <c r="ZF174" s="56"/>
      <c r="ZG174" s="242">
        <f t="shared" si="1229"/>
        <v>35</v>
      </c>
      <c r="ZH174" s="242">
        <f t="shared" si="1230"/>
        <v>0</v>
      </c>
      <c r="ZI174" s="56"/>
      <c r="ZL174" s="55">
        <f t="shared" si="1231"/>
        <v>46170</v>
      </c>
      <c r="ZM174" s="56"/>
      <c r="ZN174" s="242">
        <f>SUMPRODUCT(PRODUCE!$B181:$DY181,PRODUCE!$EB$57:$IY$57)</f>
        <v>35</v>
      </c>
      <c r="ZO174" s="56"/>
      <c r="ZP174" s="242">
        <f t="shared" si="1232"/>
        <v>35</v>
      </c>
      <c r="ZQ174" s="242">
        <f t="shared" si="1233"/>
        <v>0</v>
      </c>
      <c r="ZR174" s="56"/>
      <c r="ZU174" s="55">
        <f t="shared" si="1234"/>
        <v>46170</v>
      </c>
      <c r="ZV174" s="56"/>
      <c r="ZW174" s="242">
        <f>SUMPRODUCT(PRODUCE!$B181:$DY181,PRODUCE!$EB$57:$IY$57)</f>
        <v>35</v>
      </c>
      <c r="ZX174" s="56"/>
      <c r="ZY174" s="242">
        <f t="shared" si="1235"/>
        <v>35</v>
      </c>
      <c r="ZZ174" s="242">
        <f t="shared" si="1236"/>
        <v>0</v>
      </c>
      <c r="AAA174" s="56"/>
      <c r="AAD174" s="55">
        <f t="shared" si="1237"/>
        <v>46170</v>
      </c>
      <c r="AAE174" s="56"/>
      <c r="AAF174" s="242">
        <f>SUMPRODUCT(PRODUCE!$B181:$DY181,PRODUCE!$EB$57:$IY$57)</f>
        <v>35</v>
      </c>
      <c r="AAG174" s="56"/>
      <c r="AAH174" s="242">
        <f t="shared" si="1238"/>
        <v>35</v>
      </c>
      <c r="AAI174" s="242">
        <f t="shared" si="1239"/>
        <v>0</v>
      </c>
      <c r="AAJ174" s="56"/>
      <c r="AAM174" s="55">
        <f t="shared" si="1240"/>
        <v>46170</v>
      </c>
      <c r="AAN174" s="56"/>
      <c r="AAO174" s="242">
        <f>SUMPRODUCT(PRODUCE!$B181:$DY181,PRODUCE!$EB$57:$IY$57)</f>
        <v>35</v>
      </c>
      <c r="AAP174" s="56"/>
      <c r="AAQ174" s="242">
        <f t="shared" si="1241"/>
        <v>35</v>
      </c>
      <c r="AAR174" s="242">
        <f t="shared" si="1242"/>
        <v>0</v>
      </c>
      <c r="AAS174" s="56"/>
      <c r="AAV174" s="55">
        <f t="shared" si="1243"/>
        <v>46170</v>
      </c>
      <c r="AAW174" s="56"/>
      <c r="AAX174" s="242">
        <f>SUMPRODUCT(PRODUCE!$B181:$DY181,PRODUCE!$EB$57:$IY$57)</f>
        <v>35</v>
      </c>
      <c r="AAY174" s="56"/>
      <c r="AAZ174" s="242">
        <f t="shared" si="1244"/>
        <v>35</v>
      </c>
      <c r="ABA174" s="242">
        <f t="shared" si="1245"/>
        <v>0</v>
      </c>
      <c r="ABB174" s="56"/>
      <c r="ABE174" s="55">
        <f t="shared" si="1246"/>
        <v>46170</v>
      </c>
      <c r="ABF174" s="56"/>
      <c r="ABG174" s="242">
        <f>SUMPRODUCT(PRODUCE!$B181:$DY181,PRODUCE!$EB$57:$IY$57)</f>
        <v>35</v>
      </c>
      <c r="ABH174" s="56"/>
      <c r="ABI174" s="242">
        <f t="shared" si="1247"/>
        <v>35</v>
      </c>
      <c r="ABJ174" s="242">
        <f t="shared" si="1248"/>
        <v>0</v>
      </c>
      <c r="ABK174" s="56"/>
    </row>
    <row r="175" spans="2:739" s="54" customFormat="1" ht="15" customHeight="1" outlineLevel="1">
      <c r="B175" s="478">
        <v>20</v>
      </c>
      <c r="C175" s="55">
        <v>46171</v>
      </c>
      <c r="D175" s="544">
        <v>25020</v>
      </c>
      <c r="E175" s="423">
        <f>SUMPRODUCT(PRODUCE!$B182:$DY182,PRODUCE!$EB$7:$IY$7)</f>
        <v>10902.9</v>
      </c>
      <c r="F175" s="422">
        <v>11104.4</v>
      </c>
      <c r="G175" s="423">
        <f t="shared" si="1004"/>
        <v>-201.5</v>
      </c>
      <c r="H175" s="423">
        <f t="shared" si="1005"/>
        <v>210231.20000000007</v>
      </c>
      <c r="I175" s="289" t="s">
        <v>276</v>
      </c>
      <c r="L175" s="55">
        <f t="shared" si="1006"/>
        <v>46171</v>
      </c>
      <c r="M175" s="422">
        <v>62250</v>
      </c>
      <c r="N175" s="438">
        <f>SUMPRODUCT(PRODUCE!$B182:$DY182,PRODUCE!$EB$8:$IY$8)</f>
        <v>5949.7000000000007</v>
      </c>
      <c r="O175" s="422">
        <v>5947.8</v>
      </c>
      <c r="P175" s="438">
        <f t="shared" si="1007"/>
        <v>1.9000000000005457</v>
      </c>
      <c r="Q175" s="438">
        <f t="shared" si="1008"/>
        <v>107152.00000000007</v>
      </c>
      <c r="R175" s="56"/>
      <c r="U175" s="55">
        <f t="shared" si="1009"/>
        <v>46171</v>
      </c>
      <c r="V175" s="422">
        <v>19960</v>
      </c>
      <c r="W175" s="440">
        <f>SUMPRODUCT(PRODUCE!$B182:$DY182,PRODUCE!$EB$9:$IY$9)</f>
        <v>1200</v>
      </c>
      <c r="X175" s="422">
        <v>1199.5999999999999</v>
      </c>
      <c r="Y175" s="440">
        <f t="shared" si="1010"/>
        <v>0.40000000000009095</v>
      </c>
      <c r="Z175" s="440">
        <f t="shared" si="1011"/>
        <v>44926.499999999971</v>
      </c>
      <c r="AA175" s="56"/>
      <c r="AD175" s="55">
        <f t="shared" si="1012"/>
        <v>46171</v>
      </c>
      <c r="AE175" s="422"/>
      <c r="AF175" s="442">
        <f>SUMPRODUCT(PRODUCE!$B182:$DY182,PRODUCE!$EB$10:$IY$10)</f>
        <v>0</v>
      </c>
      <c r="AG175" s="422"/>
      <c r="AH175" s="442">
        <f t="shared" si="1013"/>
        <v>0</v>
      </c>
      <c r="AI175" s="442">
        <f t="shared" si="1014"/>
        <v>13223.000000000018</v>
      </c>
      <c r="AJ175" s="56"/>
      <c r="AM175" s="55">
        <f t="shared" si="1015"/>
        <v>46171</v>
      </c>
      <c r="AN175" s="422"/>
      <c r="AO175" s="444">
        <f>SUMPRODUCT(PRODUCE!$B182:$DY182,PRODUCE!$EB$11:$IY$11)</f>
        <v>0</v>
      </c>
      <c r="AP175" s="422"/>
      <c r="AQ175" s="444">
        <f t="shared" si="1016"/>
        <v>0</v>
      </c>
      <c r="AR175" s="444">
        <f t="shared" si="1017"/>
        <v>0</v>
      </c>
      <c r="AS175" s="56"/>
      <c r="AV175" s="55">
        <f t="shared" si="1018"/>
        <v>46171</v>
      </c>
      <c r="AW175" s="422"/>
      <c r="AX175" s="446">
        <f>SUMPRODUCT(PRODUCE!$B182:$DY182,PRODUCE!$EB$12:$IY$12)</f>
        <v>0</v>
      </c>
      <c r="AY175" s="422"/>
      <c r="AZ175" s="446">
        <f t="shared" si="1019"/>
        <v>0</v>
      </c>
      <c r="BA175" s="446">
        <f t="shared" si="1020"/>
        <v>6646.6999999999971</v>
      </c>
      <c r="BB175" s="56"/>
      <c r="BE175" s="55">
        <f t="shared" si="1021"/>
        <v>46171</v>
      </c>
      <c r="BF175" s="422"/>
      <c r="BG175" s="448">
        <f>SUMPRODUCT(PRODUCE!$B182:$DY182,PRODUCE!$EB$13:$IY$13)</f>
        <v>0</v>
      </c>
      <c r="BH175" s="422"/>
      <c r="BI175" s="448">
        <f t="shared" si="1022"/>
        <v>0</v>
      </c>
      <c r="BJ175" s="448">
        <f t="shared" si="1023"/>
        <v>34163.999999999993</v>
      </c>
      <c r="BK175" s="56"/>
      <c r="BN175" s="55">
        <f t="shared" si="1024"/>
        <v>46171</v>
      </c>
      <c r="BO175" s="422">
        <v>100</v>
      </c>
      <c r="BP175" s="450">
        <f>SUMPRODUCT(PRODUCE!$B182:$DY182,PRODUCE!$EB$14:$IY$14)</f>
        <v>100</v>
      </c>
      <c r="BQ175" s="422">
        <v>100</v>
      </c>
      <c r="BR175" s="450">
        <f t="shared" si="1025"/>
        <v>0</v>
      </c>
      <c r="BS175" s="450">
        <f t="shared" si="1026"/>
        <v>0</v>
      </c>
      <c r="BT175" s="56"/>
      <c r="BW175" s="55">
        <f t="shared" si="1027"/>
        <v>46171</v>
      </c>
      <c r="BX175" s="422"/>
      <c r="BY175" s="523">
        <f>SUMPRODUCT(PRODUCE!$B182:$DY182,PRODUCE!$EB$15:$IY$15)</f>
        <v>147.10000000000002</v>
      </c>
      <c r="BZ175" s="422">
        <f>21+367.75</f>
        <v>388.75</v>
      </c>
      <c r="CA175" s="523">
        <f t="shared" si="1028"/>
        <v>-241.64999999999998</v>
      </c>
      <c r="CB175" s="523">
        <f t="shared" si="1029"/>
        <v>5112.5499999999993</v>
      </c>
      <c r="CC175" s="56"/>
      <c r="CF175" s="55">
        <f t="shared" si="1030"/>
        <v>46171</v>
      </c>
      <c r="CG175" s="422">
        <v>1209.6799999999998</v>
      </c>
      <c r="CH175" s="524">
        <f>SUMPRODUCT(PRODUCE!$B182:$DY182,PRODUCE!$EB$16:$IY$16)</f>
        <v>0</v>
      </c>
      <c r="CI175" s="422">
        <f>85.12+629.16+495.4</f>
        <v>1209.6799999999998</v>
      </c>
      <c r="CJ175" s="524">
        <f t="shared" si="1031"/>
        <v>-1209.6799999999998</v>
      </c>
      <c r="CK175" s="524">
        <f t="shared" si="1032"/>
        <v>0</v>
      </c>
      <c r="CL175" s="56"/>
      <c r="CO175" s="55">
        <f t="shared" si="1033"/>
        <v>46171</v>
      </c>
      <c r="CP175" s="422"/>
      <c r="CQ175" s="470">
        <f>SUMPRODUCT(PRODUCE!$B182:$DY182,PRODUCE!$EB$17:$IY$17)</f>
        <v>0</v>
      </c>
      <c r="CR175" s="422"/>
      <c r="CS175" s="470">
        <f t="shared" si="1034"/>
        <v>0</v>
      </c>
      <c r="CT175" s="470">
        <f t="shared" si="1035"/>
        <v>0</v>
      </c>
      <c r="CU175" s="56"/>
      <c r="CX175" s="55">
        <f t="shared" si="1036"/>
        <v>46171</v>
      </c>
      <c r="CY175" s="422"/>
      <c r="CZ175" s="525">
        <f>SUMPRODUCT(PRODUCE!$B182:$DY182,PRODUCE!$EB$18:$IY$18)</f>
        <v>400</v>
      </c>
      <c r="DA175" s="422">
        <v>1354.6</v>
      </c>
      <c r="DB175" s="525">
        <f t="shared" si="1037"/>
        <v>-954.59999999999991</v>
      </c>
      <c r="DC175" s="525">
        <f t="shared" si="1038"/>
        <v>19703.300000000007</v>
      </c>
      <c r="DD175" s="56"/>
      <c r="DG175" s="55">
        <f t="shared" si="1039"/>
        <v>46171</v>
      </c>
      <c r="DH175" s="422"/>
      <c r="DI175" s="526">
        <f>SUMPRODUCT(PRODUCE!$B182:$DY182,PRODUCE!$EB$19:$IY$19)</f>
        <v>0</v>
      </c>
      <c r="DJ175" s="422"/>
      <c r="DK175" s="526">
        <f t="shared" si="1040"/>
        <v>0</v>
      </c>
      <c r="DL175" s="526">
        <f t="shared" si="1041"/>
        <v>35234.999999999985</v>
      </c>
      <c r="DM175" s="56"/>
      <c r="DP175" s="55">
        <f t="shared" si="1042"/>
        <v>46171</v>
      </c>
      <c r="DQ175" s="422"/>
      <c r="DR175" s="423">
        <f>SUMPRODUCT(PRODUCE!$B182:$DY182,PRODUCE!$EB$20:$IY$20)</f>
        <v>0</v>
      </c>
      <c r="DS175" s="422"/>
      <c r="DT175" s="423">
        <f t="shared" si="1043"/>
        <v>0</v>
      </c>
      <c r="DU175" s="423">
        <f t="shared" si="1044"/>
        <v>5800</v>
      </c>
      <c r="DV175" s="56"/>
      <c r="DY175" s="55">
        <f t="shared" si="1045"/>
        <v>46171</v>
      </c>
      <c r="DZ175" s="56"/>
      <c r="EA175" s="157">
        <f>SUMPRODUCT(PRODUCE!$B182:$DY182,PRODUCE!$EB$21:$IY$21)</f>
        <v>0</v>
      </c>
      <c r="EB175" s="56"/>
      <c r="EC175" s="157">
        <f t="shared" si="1046"/>
        <v>0</v>
      </c>
      <c r="ED175" s="157">
        <f t="shared" si="1047"/>
        <v>0</v>
      </c>
      <c r="EE175" s="56"/>
      <c r="EH175" s="55">
        <f t="shared" si="1048"/>
        <v>46171</v>
      </c>
      <c r="EI175" s="56"/>
      <c r="EJ175" s="162">
        <f>SUMPRODUCT(PRODUCE!$B182:$DY182,PRODUCE!$EB$22:$IY$22)</f>
        <v>0</v>
      </c>
      <c r="EK175" s="56"/>
      <c r="EL175" s="162">
        <f t="shared" si="1049"/>
        <v>0</v>
      </c>
      <c r="EM175" s="162">
        <f t="shared" si="1050"/>
        <v>0</v>
      </c>
      <c r="EN175" s="56"/>
      <c r="EQ175" s="55">
        <f t="shared" si="1051"/>
        <v>46171</v>
      </c>
      <c r="ER175" s="56"/>
      <c r="ES175" s="135">
        <f>SUMPRODUCT(PRODUCE!$B182:$DY182,PRODUCE!$EB$23:$IY$23)</f>
        <v>0</v>
      </c>
      <c r="ET175" s="56"/>
      <c r="EU175" s="135">
        <f t="shared" si="1052"/>
        <v>0</v>
      </c>
      <c r="EV175" s="135">
        <f t="shared" si="1053"/>
        <v>0</v>
      </c>
      <c r="EW175" s="56"/>
      <c r="EZ175" s="55">
        <f t="shared" si="1054"/>
        <v>46171</v>
      </c>
      <c r="FA175" s="56"/>
      <c r="FB175" s="175">
        <f>SUMPRODUCT(PRODUCE!$B182:$DY182,PRODUCE!$EB$24:$IY$24)</f>
        <v>0</v>
      </c>
      <c r="FC175" s="56"/>
      <c r="FD175" s="175">
        <f t="shared" si="1055"/>
        <v>0</v>
      </c>
      <c r="FE175" s="175">
        <f t="shared" si="1056"/>
        <v>0</v>
      </c>
      <c r="FF175" s="56"/>
      <c r="FI175" s="55">
        <f t="shared" si="1057"/>
        <v>46171</v>
      </c>
      <c r="FJ175" s="56"/>
      <c r="FK175" s="183">
        <f>SUMPRODUCT(PRODUCE!$B182:$DY182,PRODUCE!$EB$25:$IY$25)</f>
        <v>0</v>
      </c>
      <c r="FL175" s="56"/>
      <c r="FM175" s="183">
        <f t="shared" si="1058"/>
        <v>0</v>
      </c>
      <c r="FN175" s="183">
        <f t="shared" si="1059"/>
        <v>0</v>
      </c>
      <c r="FO175" s="56"/>
      <c r="FR175" s="55">
        <f t="shared" si="1060"/>
        <v>46171</v>
      </c>
      <c r="FS175" s="56"/>
      <c r="FT175" s="186">
        <f>SUMPRODUCT(PRODUCE!$B182:$DY182,PRODUCE!$EB$26:$IY$26)</f>
        <v>0</v>
      </c>
      <c r="FU175" s="56"/>
      <c r="FV175" s="186">
        <f t="shared" si="1061"/>
        <v>0</v>
      </c>
      <c r="FW175" s="186">
        <f t="shared" si="1062"/>
        <v>4140</v>
      </c>
      <c r="FX175" s="56"/>
      <c r="GA175" s="55">
        <f t="shared" si="1063"/>
        <v>46171</v>
      </c>
      <c r="GB175" s="56"/>
      <c r="GC175" s="137">
        <f>SUMPRODUCT(PRODUCE!$B182:$DY182,PRODUCE!$EB$27:$IY$27)</f>
        <v>0</v>
      </c>
      <c r="GD175" s="56"/>
      <c r="GE175" s="137">
        <f t="shared" si="1064"/>
        <v>0</v>
      </c>
      <c r="GF175" s="137">
        <f t="shared" si="1065"/>
        <v>5040</v>
      </c>
      <c r="GG175" s="56"/>
      <c r="GI175" s="23"/>
      <c r="GJ175" s="55">
        <f t="shared" si="1066"/>
        <v>46171</v>
      </c>
      <c r="GK175" s="56"/>
      <c r="GL175" s="199">
        <f>SUMPRODUCT(PRODUCE!$B182:$DY182,PRODUCE!$EB$28:$IY$28)</f>
        <v>0</v>
      </c>
      <c r="GM175" s="56">
        <v>800</v>
      </c>
      <c r="GN175" s="199">
        <f t="shared" si="1067"/>
        <v>-800</v>
      </c>
      <c r="GO175" s="199">
        <f t="shared" si="1068"/>
        <v>1760</v>
      </c>
      <c r="GP175" s="56">
        <f>GM175/20</f>
        <v>40</v>
      </c>
      <c r="GS175" s="55">
        <f t="shared" si="1069"/>
        <v>46171</v>
      </c>
      <c r="GT175" s="56"/>
      <c r="GU175" s="195">
        <f>SUMPRODUCT(PRODUCE!$B182:$DY182,PRODUCE!$EB$29:$IY$29)</f>
        <v>0</v>
      </c>
      <c r="GV175" s="56"/>
      <c r="GW175" s="195">
        <f t="shared" si="1070"/>
        <v>0</v>
      </c>
      <c r="GX175" s="195">
        <f t="shared" si="1071"/>
        <v>600</v>
      </c>
      <c r="GY175" s="56"/>
      <c r="HB175" s="55">
        <f t="shared" si="1072"/>
        <v>46171</v>
      </c>
      <c r="HC175" s="56"/>
      <c r="HD175" s="191">
        <f>SUMPRODUCT(PRODUCE!$B182:$DY182,PRODUCE!$EB$30:$IY$30)</f>
        <v>0</v>
      </c>
      <c r="HE175" s="56"/>
      <c r="HF175" s="191">
        <f t="shared" si="1073"/>
        <v>0</v>
      </c>
      <c r="HG175" s="191">
        <f t="shared" si="1074"/>
        <v>3600</v>
      </c>
      <c r="HH175" s="56"/>
      <c r="HK175" s="55">
        <f t="shared" si="1075"/>
        <v>46171</v>
      </c>
      <c r="HL175" s="56"/>
      <c r="HM175" s="63">
        <f>SUMPRODUCT(PRODUCE!$B182:$DY182,PRODUCE!$EB$31:$IY$31)</f>
        <v>0</v>
      </c>
      <c r="HN175" s="56"/>
      <c r="HO175" s="63">
        <f t="shared" si="1076"/>
        <v>0</v>
      </c>
      <c r="HP175" s="63">
        <f t="shared" si="1077"/>
        <v>0</v>
      </c>
      <c r="HQ175" s="56"/>
      <c r="HU175" s="55">
        <f t="shared" si="1078"/>
        <v>46171</v>
      </c>
      <c r="HV175" s="56"/>
      <c r="HW175" s="242">
        <f>SUMPRODUCT(PRODUCE!$B182:$DY182,PRODUCE!$EB$32:$IY$32)</f>
        <v>0</v>
      </c>
      <c r="HX175" s="56">
        <v>280</v>
      </c>
      <c r="HY175" s="242">
        <f t="shared" si="1079"/>
        <v>-280</v>
      </c>
      <c r="HZ175" s="242">
        <f t="shared" si="1080"/>
        <v>6800</v>
      </c>
      <c r="IA175" s="56">
        <f>HX175/20</f>
        <v>14</v>
      </c>
      <c r="ID175" s="55">
        <f t="shared" si="1081"/>
        <v>46171</v>
      </c>
      <c r="IE175" s="56"/>
      <c r="IF175" s="242">
        <f>SUMPRODUCT(PRODUCE!$B182:$DY182,PRODUCE!$EB$33:$IY$33)</f>
        <v>0</v>
      </c>
      <c r="IG175" s="56"/>
      <c r="IH175" s="242">
        <f t="shared" si="1082"/>
        <v>0</v>
      </c>
      <c r="II175" s="242">
        <f t="shared" si="1083"/>
        <v>720</v>
      </c>
      <c r="IJ175" s="56"/>
      <c r="IM175" s="55">
        <f t="shared" si="1084"/>
        <v>46171</v>
      </c>
      <c r="IN175" s="56"/>
      <c r="IO175" s="242">
        <f>SUMPRODUCT(PRODUCE!$B182:$DY182,PRODUCE!$EB$34:$IY$34)</f>
        <v>0</v>
      </c>
      <c r="IP175" s="56"/>
      <c r="IQ175" s="242">
        <f t="shared" si="1085"/>
        <v>0</v>
      </c>
      <c r="IR175" s="242">
        <f t="shared" si="1086"/>
        <v>8140</v>
      </c>
      <c r="IS175" s="56"/>
      <c r="IV175" s="55">
        <f t="shared" si="1087"/>
        <v>46171</v>
      </c>
      <c r="IW175" s="56"/>
      <c r="IX175" s="242">
        <f>SUMPRODUCT(PRODUCE!$B182:$DY182,PRODUCE!$EB$35:$IY$35)</f>
        <v>0</v>
      </c>
      <c r="IY175" s="56">
        <v>4000</v>
      </c>
      <c r="IZ175" s="242">
        <f t="shared" si="1088"/>
        <v>-4000</v>
      </c>
      <c r="JA175" s="242">
        <f t="shared" si="1089"/>
        <v>4960</v>
      </c>
      <c r="JB175" s="56">
        <f>IY175/20</f>
        <v>200</v>
      </c>
      <c r="JE175" s="55">
        <f t="shared" si="1090"/>
        <v>46171</v>
      </c>
      <c r="JF175" s="56"/>
      <c r="JG175" s="242">
        <f>SUMPRODUCT(PRODUCE!$B182:$DY182,PRODUCE!$EB$36:$IY$36)</f>
        <v>0</v>
      </c>
      <c r="JH175" s="56"/>
      <c r="JI175" s="242">
        <f t="shared" si="1091"/>
        <v>0</v>
      </c>
      <c r="JJ175" s="242">
        <f t="shared" si="1092"/>
        <v>0</v>
      </c>
      <c r="JK175" s="56"/>
      <c r="JN175" s="55">
        <f t="shared" si="1093"/>
        <v>46171</v>
      </c>
      <c r="JO175" s="56"/>
      <c r="JP175" s="242">
        <f>SUMPRODUCT(PRODUCE!$B182:$DY182,PRODUCE!$EB$37:$IY$37)</f>
        <v>0</v>
      </c>
      <c r="JQ175" s="56">
        <v>1960</v>
      </c>
      <c r="JR175" s="242">
        <f t="shared" si="1094"/>
        <v>-1960</v>
      </c>
      <c r="JS175" s="242">
        <f t="shared" si="1095"/>
        <v>3340</v>
      </c>
      <c r="JT175" s="56">
        <f>JQ175/20</f>
        <v>98</v>
      </c>
      <c r="JW175" s="55">
        <f t="shared" si="1096"/>
        <v>46171</v>
      </c>
      <c r="JX175" s="56"/>
      <c r="JY175" s="242">
        <f>SUMPRODUCT(PRODUCE!$B182:$DY182,PRODUCE!$EB$38:$IY$38)</f>
        <v>0</v>
      </c>
      <c r="JZ175" s="56"/>
      <c r="KA175" s="242">
        <f t="shared" si="1097"/>
        <v>0</v>
      </c>
      <c r="KB175" s="242">
        <f t="shared" si="1098"/>
        <v>2540</v>
      </c>
      <c r="KC175" s="56"/>
      <c r="KF175" s="55">
        <f t="shared" si="1099"/>
        <v>46171</v>
      </c>
      <c r="KG175" s="56"/>
      <c r="KH175" s="242">
        <f>SUMPRODUCT(PRODUCE!$B182:$DY182,PRODUCE!$EB$39:$IY$39)</f>
        <v>0</v>
      </c>
      <c r="KI175" s="56"/>
      <c r="KJ175" s="242">
        <f t="shared" si="1100"/>
        <v>0</v>
      </c>
      <c r="KK175" s="242">
        <f t="shared" si="1101"/>
        <v>2359.5</v>
      </c>
      <c r="KL175" s="56"/>
      <c r="KO175" s="55">
        <f t="shared" si="1102"/>
        <v>46171</v>
      </c>
      <c r="KP175" s="56"/>
      <c r="KQ175" s="242">
        <f>SUMPRODUCT(PRODUCE!$B182:$DY182,PRODUCE!$EB$40:$IY$40)</f>
        <v>0</v>
      </c>
      <c r="KR175" s="56"/>
      <c r="KS175" s="242">
        <f t="shared" si="1103"/>
        <v>0</v>
      </c>
      <c r="KT175" s="242">
        <f t="shared" si="1104"/>
        <v>1890</v>
      </c>
      <c r="KU175" s="56"/>
      <c r="KW175" s="23"/>
      <c r="KX175" s="55">
        <f t="shared" si="1105"/>
        <v>46171</v>
      </c>
      <c r="KY175" s="56"/>
      <c r="KZ175" s="242">
        <f>SUMPRODUCT(PRODUCE!$B182:$DY182,PRODUCE!$EB$41:$IY$41)</f>
        <v>0</v>
      </c>
      <c r="LA175" s="56"/>
      <c r="LB175" s="242">
        <f t="shared" si="1106"/>
        <v>0</v>
      </c>
      <c r="LC175" s="242">
        <f t="shared" si="1107"/>
        <v>3690</v>
      </c>
      <c r="LD175" s="56"/>
      <c r="LG175" s="55">
        <f t="shared" si="1108"/>
        <v>46171</v>
      </c>
      <c r="LH175" s="56"/>
      <c r="LI175" s="242">
        <f>SUMPRODUCT(PRODUCE!$B182:$DY182,PRODUCE!$EB$42:$IY$42)</f>
        <v>0</v>
      </c>
      <c r="LJ175" s="56"/>
      <c r="LK175" s="242">
        <f t="shared" si="1109"/>
        <v>0</v>
      </c>
      <c r="LL175" s="242">
        <f t="shared" si="1110"/>
        <v>4000</v>
      </c>
      <c r="LM175" s="56"/>
      <c r="LP175" s="55">
        <f t="shared" si="1111"/>
        <v>46171</v>
      </c>
      <c r="LQ175" s="56"/>
      <c r="LR175" s="242">
        <f>SUMPRODUCT(PRODUCE!$B190:$DY190,PRODUCE!$EB$43:$IY$43)</f>
        <v>0</v>
      </c>
      <c r="LS175" s="56"/>
      <c r="LT175" s="242">
        <f t="shared" si="1112"/>
        <v>0</v>
      </c>
      <c r="LU175" s="242">
        <f t="shared" si="1113"/>
        <v>0</v>
      </c>
      <c r="LV175" s="56"/>
      <c r="LY175" s="55">
        <f t="shared" si="1114"/>
        <v>46171</v>
      </c>
      <c r="LZ175" s="56"/>
      <c r="MA175" s="242">
        <f>SUMPRODUCT(PRODUCE!$B182:$DY182,PRODUCE!$EB$44:$IY$44)</f>
        <v>0</v>
      </c>
      <c r="MB175" s="56"/>
      <c r="MC175" s="242">
        <f t="shared" si="1115"/>
        <v>0</v>
      </c>
      <c r="MD175" s="242">
        <f t="shared" si="1116"/>
        <v>0</v>
      </c>
      <c r="ME175" s="56"/>
      <c r="MH175" s="55">
        <f t="shared" si="1117"/>
        <v>46171</v>
      </c>
      <c r="MI175" s="56"/>
      <c r="MJ175" s="242">
        <f>SUMPRODUCT(PRODUCE!$B182:$DY182,PRODUCE!$EB$45:$IY$45)</f>
        <v>0</v>
      </c>
      <c r="MK175" s="56"/>
      <c r="ML175" s="242">
        <f t="shared" si="1118"/>
        <v>0</v>
      </c>
      <c r="MM175" s="242">
        <f t="shared" si="1119"/>
        <v>0</v>
      </c>
      <c r="MN175" s="56"/>
      <c r="MQ175" s="55">
        <f t="shared" si="1120"/>
        <v>46171</v>
      </c>
      <c r="MR175" s="56"/>
      <c r="MS175" s="242">
        <f>SUMPRODUCT(PRODUCE!$B182:$DY182,PRODUCE!$EB$46:$IY$46)</f>
        <v>0</v>
      </c>
      <c r="MT175" s="56">
        <v>7</v>
      </c>
      <c r="MU175" s="242">
        <f t="shared" si="1121"/>
        <v>-7</v>
      </c>
      <c r="MV175" s="242">
        <f t="shared" si="1122"/>
        <v>3724</v>
      </c>
      <c r="MW175" s="56"/>
      <c r="MZ175" s="55">
        <f t="shared" si="1123"/>
        <v>46171</v>
      </c>
      <c r="NA175" s="56">
        <f>42+294+600</f>
        <v>936</v>
      </c>
      <c r="NB175" s="242">
        <f>SUMPRODUCT(PRODUCE!$B182:$DY182,PRODUCE!$EB$47:$IY$47)</f>
        <v>0</v>
      </c>
      <c r="NC175" s="56">
        <f>42+294+600</f>
        <v>936</v>
      </c>
      <c r="ND175" s="242">
        <f t="shared" si="1124"/>
        <v>-936</v>
      </c>
      <c r="NE175" s="242">
        <f t="shared" si="1125"/>
        <v>0</v>
      </c>
      <c r="NF175" s="56"/>
      <c r="NI175" s="55">
        <f t="shared" si="1126"/>
        <v>46171</v>
      </c>
      <c r="NJ175" s="56"/>
      <c r="NK175" s="242">
        <f>SUMPRODUCT(PRODUCE!$B182:$DY182,PRODUCE!$EB$48:$IY$48)</f>
        <v>0</v>
      </c>
      <c r="NL175" s="56"/>
      <c r="NM175" s="242">
        <f t="shared" si="1127"/>
        <v>0</v>
      </c>
      <c r="NN175" s="242">
        <f t="shared" si="1128"/>
        <v>1127</v>
      </c>
      <c r="NO175" s="56"/>
      <c r="NR175" s="55">
        <f t="shared" si="1129"/>
        <v>46171</v>
      </c>
      <c r="NS175" s="56"/>
      <c r="NT175" s="242">
        <f>SUMPRODUCT(PRODUCE!$B182:$DY182,PRODUCE!$EB$49:$IY$49)</f>
        <v>0</v>
      </c>
      <c r="NU175" s="56"/>
      <c r="NV175" s="242">
        <f t="shared" si="1130"/>
        <v>0</v>
      </c>
      <c r="NW175" s="242">
        <f t="shared" si="1131"/>
        <v>3111.9999999999995</v>
      </c>
      <c r="NX175" s="56"/>
      <c r="OA175" s="55">
        <f t="shared" si="1132"/>
        <v>46171</v>
      </c>
      <c r="OB175" s="56"/>
      <c r="OC175" s="242">
        <f>SUMPRODUCT(PRODUCE!$B182:$DY182,PRODUCE!$EB$50:$IY$50)</f>
        <v>0</v>
      </c>
      <c r="OD175" s="56"/>
      <c r="OE175" s="242">
        <f t="shared" si="1133"/>
        <v>0</v>
      </c>
      <c r="OF175" s="242">
        <f t="shared" si="1134"/>
        <v>1680.5</v>
      </c>
      <c r="OG175" s="56"/>
      <c r="OJ175" s="55">
        <f t="shared" si="1135"/>
        <v>46171</v>
      </c>
      <c r="OK175" s="56">
        <v>130</v>
      </c>
      <c r="OL175" s="242">
        <f>SUMPRODUCT(PRODUCE!$B182:$DY182,PRODUCE!$EB$51:$IY$51)</f>
        <v>0</v>
      </c>
      <c r="OM175" s="56">
        <v>130</v>
      </c>
      <c r="ON175" s="242">
        <f t="shared" si="1136"/>
        <v>-130</v>
      </c>
      <c r="OO175" s="242">
        <f t="shared" si="1137"/>
        <v>0</v>
      </c>
      <c r="OP175" s="56"/>
      <c r="OS175" s="55">
        <f t="shared" si="1138"/>
        <v>46171</v>
      </c>
      <c r="OT175" s="56"/>
      <c r="OU175" s="242">
        <f>SUMPRODUCT(PRODUCE!$B182:$DY182,PRODUCE!$EB$52:$IY$52)</f>
        <v>0</v>
      </c>
      <c r="OV175" s="56"/>
      <c r="OW175" s="242">
        <f t="shared" si="1139"/>
        <v>0</v>
      </c>
      <c r="OX175" s="242">
        <f t="shared" si="1140"/>
        <v>1482</v>
      </c>
      <c r="OY175" s="56"/>
      <c r="PB175" s="55">
        <f t="shared" si="1141"/>
        <v>46171</v>
      </c>
      <c r="PC175" s="56"/>
      <c r="PD175" s="242">
        <f>SUMPRODUCT(PRODUCE!$B182:$DY182,PRODUCE!$EB$53:$IY$53)</f>
        <v>0</v>
      </c>
      <c r="PE175" s="56"/>
      <c r="PF175" s="242">
        <f t="shared" si="1142"/>
        <v>0</v>
      </c>
      <c r="PG175" s="242">
        <f t="shared" si="1143"/>
        <v>0</v>
      </c>
      <c r="PH175" s="56"/>
      <c r="PK175" s="55">
        <f t="shared" si="1144"/>
        <v>46171</v>
      </c>
      <c r="PL175" s="56"/>
      <c r="PM175" s="242">
        <f>SUMPRODUCT(PRODUCE!$B182:$DY182,PRODUCE!$EB$54:$IY$54)</f>
        <v>0</v>
      </c>
      <c r="PN175" s="56"/>
      <c r="PO175" s="242">
        <f t="shared" si="1145"/>
        <v>0</v>
      </c>
      <c r="PP175" s="242">
        <f t="shared" si="1146"/>
        <v>100</v>
      </c>
      <c r="PQ175" s="56"/>
      <c r="PT175" s="55">
        <f t="shared" si="1147"/>
        <v>46171</v>
      </c>
      <c r="PU175" s="56"/>
      <c r="PV175" s="242">
        <f>SUMPRODUCT(PRODUCE!$B182:$DY182,PRODUCE!$EB$55:$IY$55)</f>
        <v>0</v>
      </c>
      <c r="PW175" s="56"/>
      <c r="PX175" s="242">
        <f t="shared" si="1148"/>
        <v>0</v>
      </c>
      <c r="PY175" s="242">
        <f t="shared" si="1149"/>
        <v>13.960000000000036</v>
      </c>
      <c r="PZ175" s="56"/>
      <c r="QC175" s="55">
        <f t="shared" si="1150"/>
        <v>46171</v>
      </c>
      <c r="QD175" s="56"/>
      <c r="QE175" s="242">
        <f>SUMPRODUCT(PRODUCE!$B182:$DY182,PRODUCE!$EB$56:$IY$56)</f>
        <v>0</v>
      </c>
      <c r="QF175" s="56">
        <v>68</v>
      </c>
      <c r="QG175" s="242">
        <f t="shared" si="1151"/>
        <v>-68</v>
      </c>
      <c r="QH175" s="242">
        <f t="shared" si="1152"/>
        <v>108</v>
      </c>
      <c r="QI175" s="56"/>
      <c r="QL175" s="55">
        <f t="shared" si="1153"/>
        <v>46171</v>
      </c>
      <c r="QM175" s="56"/>
      <c r="QN175" s="242">
        <f>SUMPRODUCT(PRODUCE!$B182:$DY182,PRODUCE!$EB$57:$IY$57)</f>
        <v>0</v>
      </c>
      <c r="QO175" s="56">
        <v>245</v>
      </c>
      <c r="QP175" s="242">
        <f t="shared" si="1154"/>
        <v>-245</v>
      </c>
      <c r="QQ175" s="242">
        <f t="shared" si="1155"/>
        <v>1445</v>
      </c>
      <c r="QR175" s="56"/>
      <c r="QU175" s="55">
        <f t="shared" si="1156"/>
        <v>46171</v>
      </c>
      <c r="QV175" s="56"/>
      <c r="QW175" s="242">
        <f>SUMPRODUCT(PRODUCE!$B182:$DY182,PRODUCE!$EB$58:$IY$58)</f>
        <v>0</v>
      </c>
      <c r="QX175" s="56"/>
      <c r="QY175" s="242">
        <f t="shared" si="1157"/>
        <v>0</v>
      </c>
      <c r="QZ175" s="242">
        <f t="shared" si="1158"/>
        <v>207.6</v>
      </c>
      <c r="RA175" s="56"/>
      <c r="RD175" s="55">
        <f t="shared" si="1159"/>
        <v>46171</v>
      </c>
      <c r="RE175" s="56"/>
      <c r="RF175" s="242">
        <f>SUMPRODUCT(PRODUCE!$B182:$DY182,PRODUCE!$EB$59:$IY$59)</f>
        <v>0</v>
      </c>
      <c r="RG175" s="56"/>
      <c r="RH175" s="242">
        <f t="shared" si="1160"/>
        <v>0</v>
      </c>
      <c r="RI175" s="242">
        <f t="shared" si="1161"/>
        <v>147.04000000000002</v>
      </c>
      <c r="RJ175" s="56"/>
      <c r="RM175" s="55">
        <f t="shared" si="1162"/>
        <v>46171</v>
      </c>
      <c r="RN175" s="56"/>
      <c r="RO175" s="242">
        <f>SUMPRODUCT(PRODUCE!$B182:$DY182,PRODUCE!$EB$60:$IY$60)</f>
        <v>0</v>
      </c>
      <c r="RP175" s="56"/>
      <c r="RQ175" s="242">
        <f t="shared" si="1163"/>
        <v>0</v>
      </c>
      <c r="RR175" s="242">
        <f t="shared" si="1164"/>
        <v>46.8</v>
      </c>
      <c r="RS175" s="56"/>
      <c r="RV175" s="55">
        <f t="shared" si="1165"/>
        <v>46171</v>
      </c>
      <c r="RW175" s="56"/>
      <c r="RX175" s="242">
        <f>SUMPRODUCT(PRODUCE!$B182:$DY182,PRODUCE!$EB$61:$IY$61)</f>
        <v>0</v>
      </c>
      <c r="RY175" s="56"/>
      <c r="RZ175" s="242">
        <f t="shared" si="1166"/>
        <v>0</v>
      </c>
      <c r="SA175" s="242">
        <f t="shared" si="1167"/>
        <v>0</v>
      </c>
      <c r="SB175" s="56"/>
      <c r="SE175" s="55">
        <f t="shared" si="1168"/>
        <v>46171</v>
      </c>
      <c r="SF175" s="56"/>
      <c r="SG175" s="242">
        <f>SUMPRODUCT(PRODUCE!$B182:$DY182,PRODUCE!$EB$62:$IY$62)</f>
        <v>0</v>
      </c>
      <c r="SH175" s="56"/>
      <c r="SI175" s="242">
        <f t="shared" si="1169"/>
        <v>0</v>
      </c>
      <c r="SJ175" s="242">
        <f t="shared" si="1170"/>
        <v>24.200000000000003</v>
      </c>
      <c r="SK175" s="56"/>
      <c r="SN175" s="55">
        <f t="shared" si="1171"/>
        <v>46171</v>
      </c>
      <c r="SO175" s="56"/>
      <c r="SP175" s="242">
        <f>SUMPRODUCT(PRODUCE!$B182:$DY182,PRODUCE!$EB$63:$IY$63)</f>
        <v>0</v>
      </c>
      <c r="SQ175" s="56"/>
      <c r="SR175" s="242">
        <f t="shared" si="1172"/>
        <v>0</v>
      </c>
      <c r="SS175" s="242">
        <f t="shared" si="1173"/>
        <v>32</v>
      </c>
      <c r="ST175" s="56"/>
      <c r="SW175" s="55">
        <f t="shared" si="1174"/>
        <v>46171</v>
      </c>
      <c r="SX175" s="56"/>
      <c r="SY175" s="242">
        <f>SUMPRODUCT(PRODUCE!$B182:$DY182,PRODUCE!$EB$64:$IY$64)</f>
        <v>0</v>
      </c>
      <c r="SZ175" s="56"/>
      <c r="TA175" s="242">
        <f t="shared" si="1175"/>
        <v>0</v>
      </c>
      <c r="TB175" s="242">
        <f t="shared" si="1176"/>
        <v>0</v>
      </c>
      <c r="TC175" s="56"/>
      <c r="TF175" s="55">
        <f t="shared" si="1177"/>
        <v>46171</v>
      </c>
      <c r="TG175" s="56"/>
      <c r="TH175" s="242">
        <f>SUMPRODUCT(PRODUCE!$B182:$DY182,PRODUCE!$EB$65:$IY$65)</f>
        <v>0</v>
      </c>
      <c r="TI175" s="56"/>
      <c r="TJ175" s="242">
        <f t="shared" si="1178"/>
        <v>0</v>
      </c>
      <c r="TK175" s="242">
        <f t="shared" si="1179"/>
        <v>0</v>
      </c>
      <c r="TL175" s="56"/>
      <c r="TO175" s="55">
        <f t="shared" si="1180"/>
        <v>46171</v>
      </c>
      <c r="TP175" s="56"/>
      <c r="TQ175" s="242">
        <f>SUMPRODUCT(PRODUCE!$B182:$DY182,PRODUCE!$EB$66:$IY$66)</f>
        <v>0</v>
      </c>
      <c r="TR175" s="56"/>
      <c r="TS175" s="242">
        <f t="shared" si="1181"/>
        <v>0</v>
      </c>
      <c r="TT175" s="242">
        <f t="shared" si="1182"/>
        <v>0</v>
      </c>
      <c r="TU175" s="56"/>
      <c r="TX175" s="55">
        <f t="shared" si="1183"/>
        <v>46171</v>
      </c>
      <c r="TY175" s="56"/>
      <c r="TZ175" s="242">
        <f>SUMPRODUCT(PRODUCE!$B182:$DY182,PRODUCE!$EB$67:$IY$67)</f>
        <v>0</v>
      </c>
      <c r="UA175" s="56">
        <v>92.4</v>
      </c>
      <c r="UB175" s="242">
        <f t="shared" si="1184"/>
        <v>-92.4</v>
      </c>
      <c r="UC175" s="242">
        <f t="shared" si="1185"/>
        <v>135.6</v>
      </c>
      <c r="UD175" s="56"/>
      <c r="UG175" s="55">
        <f t="shared" si="1186"/>
        <v>46171</v>
      </c>
      <c r="UH175" s="56"/>
      <c r="UI175" s="242">
        <f>SUMPRODUCT(PRODUCE!$B182:$DY182,PRODUCE!$EB$68:$IY$68)</f>
        <v>0</v>
      </c>
      <c r="UJ175" s="56">
        <v>346</v>
      </c>
      <c r="UK175" s="242">
        <f t="shared" si="1187"/>
        <v>-346</v>
      </c>
      <c r="UL175" s="242">
        <f t="shared" si="1188"/>
        <v>220</v>
      </c>
      <c r="UM175" s="56"/>
      <c r="UP175" s="55">
        <f t="shared" si="1189"/>
        <v>46171</v>
      </c>
      <c r="UQ175" s="56">
        <v>40</v>
      </c>
      <c r="UR175" s="242">
        <f>SUMPRODUCT(PRODUCE!$B182:$DY182,PRODUCE!$EB$69:$IY$69)</f>
        <v>0</v>
      </c>
      <c r="US175" s="56"/>
      <c r="UT175" s="242">
        <f t="shared" si="1190"/>
        <v>0</v>
      </c>
      <c r="UU175" s="242">
        <f t="shared" si="1191"/>
        <v>40</v>
      </c>
      <c r="UV175" s="56"/>
      <c r="UY175" s="55">
        <f t="shared" si="1192"/>
        <v>46171</v>
      </c>
      <c r="UZ175" s="56"/>
      <c r="VA175" s="242">
        <f>SUMPRODUCT(PRODUCE!$B182:$DY182,PRODUCE!$EB$70:$IY$70)</f>
        <v>0</v>
      </c>
      <c r="VB175" s="56"/>
      <c r="VC175" s="242">
        <f t="shared" si="1193"/>
        <v>0</v>
      </c>
      <c r="VD175" s="242">
        <f t="shared" si="1194"/>
        <v>41.600000000000023</v>
      </c>
      <c r="VE175" s="56"/>
      <c r="VH175" s="55">
        <f t="shared" si="1195"/>
        <v>46171</v>
      </c>
      <c r="VI175" s="56"/>
      <c r="VJ175" s="242">
        <f>SUMPRODUCT(PRODUCE!$B182:$DY182,PRODUCE!$EB$71:$IY$71)</f>
        <v>0</v>
      </c>
      <c r="VK175" s="56"/>
      <c r="VL175" s="242">
        <f t="shared" si="1196"/>
        <v>0</v>
      </c>
      <c r="VM175" s="242">
        <f t="shared" si="1197"/>
        <v>0</v>
      </c>
      <c r="VN175" s="56"/>
      <c r="VQ175" s="55">
        <f t="shared" si="1198"/>
        <v>46171</v>
      </c>
      <c r="VR175" s="56"/>
      <c r="VS175" s="242">
        <f>SUMPRODUCT(PRODUCE!$B182:$DY182,PRODUCE!$EB$57:$IY$57)</f>
        <v>0</v>
      </c>
      <c r="VT175" s="56"/>
      <c r="VU175" s="242">
        <f t="shared" si="1199"/>
        <v>0</v>
      </c>
      <c r="VV175" s="242">
        <f t="shared" si="1200"/>
        <v>0</v>
      </c>
      <c r="VW175" s="56"/>
      <c r="VZ175" s="55">
        <f t="shared" si="1201"/>
        <v>46171</v>
      </c>
      <c r="WA175" s="56"/>
      <c r="WB175" s="242">
        <f>SUMPRODUCT(PRODUCE!$B182:$DY182,PRODUCE!$EB$57:$IY$57)</f>
        <v>0</v>
      </c>
      <c r="WC175" s="56"/>
      <c r="WD175" s="242">
        <f t="shared" si="1202"/>
        <v>0</v>
      </c>
      <c r="WE175" s="242">
        <f t="shared" si="1203"/>
        <v>0</v>
      </c>
      <c r="WF175" s="56"/>
      <c r="WI175" s="55">
        <f t="shared" si="1204"/>
        <v>46171</v>
      </c>
      <c r="WJ175" s="422"/>
      <c r="WK175" s="540">
        <f>SUMPRODUCT(PRODUCE!$B182:$DY182,PRODUCE!$EB$74:$IY$74)</f>
        <v>0</v>
      </c>
      <c r="WL175" s="422"/>
      <c r="WM175" s="540">
        <f t="shared" si="1205"/>
        <v>0</v>
      </c>
      <c r="WN175" s="540">
        <f t="shared" si="1206"/>
        <v>1199</v>
      </c>
      <c r="WO175" s="56"/>
      <c r="WR175" s="55">
        <f t="shared" si="1207"/>
        <v>46171</v>
      </c>
      <c r="WS175" s="422"/>
      <c r="WT175" s="540">
        <f>SUMPRODUCT(PRODUCE!$B182:$DY182,PRODUCE!$EB$75:$IY$75)</f>
        <v>0</v>
      </c>
      <c r="WU175" s="422"/>
      <c r="WV175" s="540">
        <f t="shared" si="1208"/>
        <v>0</v>
      </c>
      <c r="WW175" s="540">
        <f t="shared" si="1209"/>
        <v>0</v>
      </c>
      <c r="WX175" s="56"/>
      <c r="XA175" s="55">
        <f t="shared" si="1210"/>
        <v>46171</v>
      </c>
      <c r="XB175" s="422"/>
      <c r="XC175" s="540">
        <f>SUMPRODUCT(PRODUCE!$B182:$DY182,PRODUCE!$EB$76:$IY$76)</f>
        <v>0</v>
      </c>
      <c r="XD175" s="422"/>
      <c r="XE175" s="540">
        <f t="shared" si="1211"/>
        <v>0</v>
      </c>
      <c r="XF175" s="540">
        <f t="shared" si="1212"/>
        <v>6813</v>
      </c>
      <c r="XG175" s="56"/>
      <c r="XJ175" s="55">
        <f t="shared" si="1213"/>
        <v>46171</v>
      </c>
      <c r="XK175" s="422">
        <v>8000</v>
      </c>
      <c r="XL175" s="540">
        <f>SUMPRODUCT(PRODUCE!$B182:$DY182,PRODUCE!$EB$77:$IY$77)</f>
        <v>0</v>
      </c>
      <c r="XM175" s="422">
        <v>128</v>
      </c>
      <c r="XN175" s="540">
        <f t="shared" si="1214"/>
        <v>-128</v>
      </c>
      <c r="XO175" s="540">
        <f t="shared" si="1215"/>
        <v>7638</v>
      </c>
      <c r="XP175" s="56"/>
      <c r="XS175" s="55">
        <f t="shared" si="1216"/>
        <v>46171</v>
      </c>
      <c r="XT175" s="56"/>
      <c r="XU175" s="242">
        <f>SUMPRODUCT(PRODUCE!$B182:$DY182,PRODUCE!$EB$78:$IY$78)</f>
        <v>0</v>
      </c>
      <c r="XV175" s="56"/>
      <c r="XW175" s="242">
        <f t="shared" si="1217"/>
        <v>0</v>
      </c>
      <c r="XX175" s="242">
        <f t="shared" si="1218"/>
        <v>1621</v>
      </c>
      <c r="XY175" s="56"/>
      <c r="YB175" s="55">
        <f t="shared" si="1219"/>
        <v>46171</v>
      </c>
      <c r="YC175" s="56"/>
      <c r="YD175" s="242">
        <f>SUMPRODUCT(PRODUCE!$B182:$DY182,PRODUCE!$EB$79:$IY$79)</f>
        <v>0</v>
      </c>
      <c r="YE175" s="56"/>
      <c r="YF175" s="242">
        <f t="shared" si="1220"/>
        <v>0</v>
      </c>
      <c r="YG175" s="242">
        <f t="shared" si="1221"/>
        <v>6193</v>
      </c>
      <c r="YH175" s="56"/>
      <c r="YK175" s="55">
        <f t="shared" si="1222"/>
        <v>46171</v>
      </c>
      <c r="YL175" s="56"/>
      <c r="YM175" s="242">
        <f>SUMPRODUCT(PRODUCE!$B182:$DY182,PRODUCE!$EB$80:$IY$80)</f>
        <v>0</v>
      </c>
      <c r="YN175" s="56"/>
      <c r="YO175" s="242">
        <f t="shared" si="1223"/>
        <v>0</v>
      </c>
      <c r="YP175" s="242">
        <f t="shared" si="1224"/>
        <v>0</v>
      </c>
      <c r="YQ175" s="56"/>
      <c r="YT175" s="55">
        <f t="shared" si="1225"/>
        <v>46171</v>
      </c>
      <c r="YU175" s="56"/>
      <c r="YV175" s="242">
        <f>SUMPRODUCT(PRODUCE!$B182:$DY182,PRODUCE!$EB$57:$IY$57)</f>
        <v>0</v>
      </c>
      <c r="YW175" s="56"/>
      <c r="YX175" s="242">
        <f t="shared" si="1226"/>
        <v>0</v>
      </c>
      <c r="YY175" s="242">
        <f t="shared" si="1227"/>
        <v>0</v>
      </c>
      <c r="YZ175" s="56"/>
      <c r="ZC175" s="55">
        <f t="shared" si="1228"/>
        <v>46171</v>
      </c>
      <c r="ZD175" s="56"/>
      <c r="ZE175" s="242">
        <f>SUMPRODUCT(PRODUCE!$B182:$DY182,PRODUCE!$EB$57:$IY$57)</f>
        <v>0</v>
      </c>
      <c r="ZF175" s="56"/>
      <c r="ZG175" s="242">
        <f t="shared" si="1229"/>
        <v>0</v>
      </c>
      <c r="ZH175" s="242">
        <f t="shared" si="1230"/>
        <v>0</v>
      </c>
      <c r="ZI175" s="56"/>
      <c r="ZL175" s="55">
        <f t="shared" si="1231"/>
        <v>46171</v>
      </c>
      <c r="ZM175" s="56"/>
      <c r="ZN175" s="242">
        <f>SUMPRODUCT(PRODUCE!$B182:$DY182,PRODUCE!$EB$57:$IY$57)</f>
        <v>0</v>
      </c>
      <c r="ZO175" s="56"/>
      <c r="ZP175" s="242">
        <f t="shared" si="1232"/>
        <v>0</v>
      </c>
      <c r="ZQ175" s="242">
        <f t="shared" si="1233"/>
        <v>0</v>
      </c>
      <c r="ZR175" s="56"/>
      <c r="ZU175" s="55">
        <f t="shared" si="1234"/>
        <v>46171</v>
      </c>
      <c r="ZV175" s="56"/>
      <c r="ZW175" s="242">
        <f>SUMPRODUCT(PRODUCE!$B182:$DY182,PRODUCE!$EB$57:$IY$57)</f>
        <v>0</v>
      </c>
      <c r="ZX175" s="56"/>
      <c r="ZY175" s="242">
        <f t="shared" si="1235"/>
        <v>0</v>
      </c>
      <c r="ZZ175" s="242">
        <f t="shared" si="1236"/>
        <v>0</v>
      </c>
      <c r="AAA175" s="56"/>
      <c r="AAD175" s="55">
        <f t="shared" si="1237"/>
        <v>46171</v>
      </c>
      <c r="AAE175" s="56"/>
      <c r="AAF175" s="242">
        <f>SUMPRODUCT(PRODUCE!$B182:$DY182,PRODUCE!$EB$57:$IY$57)</f>
        <v>0</v>
      </c>
      <c r="AAG175" s="56"/>
      <c r="AAH175" s="242">
        <f t="shared" si="1238"/>
        <v>0</v>
      </c>
      <c r="AAI175" s="242">
        <f t="shared" si="1239"/>
        <v>0</v>
      </c>
      <c r="AAJ175" s="56"/>
      <c r="AAM175" s="55">
        <f t="shared" si="1240"/>
        <v>46171</v>
      </c>
      <c r="AAN175" s="56"/>
      <c r="AAO175" s="242">
        <f>SUMPRODUCT(PRODUCE!$B182:$DY182,PRODUCE!$EB$57:$IY$57)</f>
        <v>0</v>
      </c>
      <c r="AAP175" s="56"/>
      <c r="AAQ175" s="242">
        <f t="shared" si="1241"/>
        <v>0</v>
      </c>
      <c r="AAR175" s="242">
        <f t="shared" si="1242"/>
        <v>0</v>
      </c>
      <c r="AAS175" s="56"/>
      <c r="AAV175" s="55">
        <f t="shared" si="1243"/>
        <v>46171</v>
      </c>
      <c r="AAW175" s="56"/>
      <c r="AAX175" s="242">
        <f>SUMPRODUCT(PRODUCE!$B182:$DY182,PRODUCE!$EB$57:$IY$57)</f>
        <v>0</v>
      </c>
      <c r="AAY175" s="56"/>
      <c r="AAZ175" s="242">
        <f t="shared" si="1244"/>
        <v>0</v>
      </c>
      <c r="ABA175" s="242">
        <f t="shared" si="1245"/>
        <v>0</v>
      </c>
      <c r="ABB175" s="56"/>
      <c r="ABE175" s="55">
        <f t="shared" si="1246"/>
        <v>46171</v>
      </c>
      <c r="ABF175" s="56"/>
      <c r="ABG175" s="242">
        <f>SUMPRODUCT(PRODUCE!$B182:$DY182,PRODUCE!$EB$57:$IY$57)</f>
        <v>0</v>
      </c>
      <c r="ABH175" s="56"/>
      <c r="ABI175" s="242">
        <f t="shared" si="1247"/>
        <v>0</v>
      </c>
      <c r="ABJ175" s="242">
        <f t="shared" si="1248"/>
        <v>0</v>
      </c>
      <c r="ABK175" s="56"/>
    </row>
    <row r="176" spans="2:739" s="54" customFormat="1" ht="15" customHeight="1" outlineLevel="1">
      <c r="B176" s="478">
        <v>4</v>
      </c>
      <c r="C176" s="55">
        <v>46172</v>
      </c>
      <c r="D176" s="422">
        <v>36330</v>
      </c>
      <c r="E176" s="423">
        <f>SUMPRODUCT(PRODUCE!$B183:$DY183,PRODUCE!$EB$7:$IY$7)</f>
        <v>2180.58</v>
      </c>
      <c r="F176" s="422">
        <v>2217.8000000000002</v>
      </c>
      <c r="G176" s="423">
        <f t="shared" si="1004"/>
        <v>-37.220000000000255</v>
      </c>
      <c r="H176" s="423">
        <f t="shared" si="1005"/>
        <v>244343.40000000008</v>
      </c>
      <c r="I176" s="289" t="s">
        <v>277</v>
      </c>
      <c r="L176" s="55">
        <f t="shared" si="1006"/>
        <v>46172</v>
      </c>
      <c r="M176" s="422"/>
      <c r="N176" s="438">
        <f>SUMPRODUCT(PRODUCE!$B183:$DY183,PRODUCE!$EB$8:$IY$8)</f>
        <v>1189.94</v>
      </c>
      <c r="O176" s="422">
        <v>1194.8</v>
      </c>
      <c r="P176" s="438">
        <f t="shared" si="1007"/>
        <v>-4.8599999999999</v>
      </c>
      <c r="Q176" s="438">
        <f t="shared" si="1008"/>
        <v>105957.20000000007</v>
      </c>
      <c r="R176" s="56"/>
      <c r="U176" s="55">
        <f t="shared" si="1009"/>
        <v>46172</v>
      </c>
      <c r="V176" s="422"/>
      <c r="W176" s="440">
        <f>SUMPRODUCT(PRODUCE!$B183:$DY183,PRODUCE!$EB$9:$IY$9)</f>
        <v>240</v>
      </c>
      <c r="X176" s="422">
        <v>240.2</v>
      </c>
      <c r="Y176" s="440">
        <f t="shared" si="1010"/>
        <v>-0.19999999999998863</v>
      </c>
      <c r="Z176" s="440">
        <f t="shared" si="1011"/>
        <v>44686.299999999974</v>
      </c>
      <c r="AA176" s="56"/>
      <c r="AD176" s="55">
        <f t="shared" si="1012"/>
        <v>46172</v>
      </c>
      <c r="AE176" s="422"/>
      <c r="AF176" s="442">
        <f>SUMPRODUCT(PRODUCE!$B183:$DY183,PRODUCE!$EB$10:$IY$10)</f>
        <v>0</v>
      </c>
      <c r="AG176" s="422">
        <v>1029.5999999999999</v>
      </c>
      <c r="AH176" s="442">
        <f t="shared" si="1013"/>
        <v>-1029.5999999999999</v>
      </c>
      <c r="AI176" s="442">
        <f t="shared" si="1014"/>
        <v>12193.400000000018</v>
      </c>
      <c r="AJ176" s="56"/>
      <c r="AM176" s="55">
        <f t="shared" si="1015"/>
        <v>46172</v>
      </c>
      <c r="AN176" s="422"/>
      <c r="AO176" s="444">
        <f>SUMPRODUCT(PRODUCE!$B183:$DY183,PRODUCE!$EB$11:$IY$11)</f>
        <v>0</v>
      </c>
      <c r="AP176" s="422"/>
      <c r="AQ176" s="444">
        <f t="shared" si="1016"/>
        <v>0</v>
      </c>
      <c r="AR176" s="444">
        <f t="shared" si="1017"/>
        <v>0</v>
      </c>
      <c r="AS176" s="56"/>
      <c r="AV176" s="55">
        <f t="shared" si="1018"/>
        <v>46172</v>
      </c>
      <c r="AW176" s="422">
        <v>11920</v>
      </c>
      <c r="AX176" s="446">
        <f>SUMPRODUCT(PRODUCE!$B183:$DY183,PRODUCE!$EB$12:$IY$12)</f>
        <v>0</v>
      </c>
      <c r="AY176" s="422"/>
      <c r="AZ176" s="446">
        <f t="shared" si="1019"/>
        <v>0</v>
      </c>
      <c r="BA176" s="446">
        <f t="shared" si="1020"/>
        <v>18566.699999999997</v>
      </c>
      <c r="BB176" s="56"/>
      <c r="BE176" s="55">
        <f t="shared" si="1021"/>
        <v>46172</v>
      </c>
      <c r="BF176" s="422"/>
      <c r="BG176" s="448">
        <f>SUMPRODUCT(PRODUCE!$B183:$DY183,PRODUCE!$EB$13:$IY$13)</f>
        <v>0</v>
      </c>
      <c r="BH176" s="422"/>
      <c r="BI176" s="448">
        <f t="shared" si="1022"/>
        <v>0</v>
      </c>
      <c r="BJ176" s="448">
        <f t="shared" si="1023"/>
        <v>34163.999999999993</v>
      </c>
      <c r="BK176" s="56"/>
      <c r="BN176" s="55">
        <f t="shared" si="1024"/>
        <v>46172</v>
      </c>
      <c r="BO176" s="422">
        <v>20.100000000000001</v>
      </c>
      <c r="BP176" s="450">
        <f>SUMPRODUCT(PRODUCE!$B183:$DY183,PRODUCE!$EB$14:$IY$14)</f>
        <v>20</v>
      </c>
      <c r="BQ176" s="422">
        <v>20.100000000000001</v>
      </c>
      <c r="BR176" s="450">
        <f t="shared" si="1025"/>
        <v>-0.10000000000000142</v>
      </c>
      <c r="BS176" s="450">
        <f t="shared" si="1026"/>
        <v>0</v>
      </c>
      <c r="BT176" s="56"/>
      <c r="BW176" s="55">
        <f t="shared" si="1027"/>
        <v>46172</v>
      </c>
      <c r="BX176" s="422"/>
      <c r="BY176" s="523">
        <f>SUMPRODUCT(PRODUCE!$B183:$DY183,PRODUCE!$EB$15:$IY$15)</f>
        <v>29.42</v>
      </c>
      <c r="BZ176" s="422">
        <v>29.42</v>
      </c>
      <c r="CA176" s="523">
        <f t="shared" si="1028"/>
        <v>0</v>
      </c>
      <c r="CB176" s="523">
        <f t="shared" si="1029"/>
        <v>5083.1299999999992</v>
      </c>
      <c r="CC176" s="56"/>
      <c r="CF176" s="55">
        <f t="shared" si="1030"/>
        <v>46172</v>
      </c>
      <c r="CG176" s="422">
        <v>66.12</v>
      </c>
      <c r="CH176" s="524">
        <f>SUMPRODUCT(PRODUCE!$B183:$DY183,PRODUCE!$EB$16:$IY$16)</f>
        <v>0</v>
      </c>
      <c r="CI176" s="422">
        <f>10+16.5+39.62</f>
        <v>66.12</v>
      </c>
      <c r="CJ176" s="524">
        <f t="shared" si="1031"/>
        <v>-66.12</v>
      </c>
      <c r="CK176" s="524">
        <f t="shared" si="1032"/>
        <v>0</v>
      </c>
      <c r="CL176" s="56"/>
      <c r="CO176" s="55">
        <f t="shared" si="1033"/>
        <v>46172</v>
      </c>
      <c r="CP176" s="422"/>
      <c r="CQ176" s="470">
        <f>SUMPRODUCT(PRODUCE!$B183:$DY183,PRODUCE!$EB$17:$IY$17)</f>
        <v>0</v>
      </c>
      <c r="CR176" s="422"/>
      <c r="CS176" s="470">
        <f t="shared" si="1034"/>
        <v>0</v>
      </c>
      <c r="CT176" s="470">
        <f t="shared" si="1035"/>
        <v>0</v>
      </c>
      <c r="CU176" s="56"/>
      <c r="CX176" s="55">
        <f t="shared" si="1036"/>
        <v>46172</v>
      </c>
      <c r="CY176" s="422"/>
      <c r="CZ176" s="525">
        <f>SUMPRODUCT(PRODUCE!$B183:$DY183,PRODUCE!$EB$18:$IY$18)</f>
        <v>80</v>
      </c>
      <c r="DA176" s="422">
        <v>79.400000000000006</v>
      </c>
      <c r="DB176" s="525">
        <f t="shared" si="1037"/>
        <v>0.59999999999999432</v>
      </c>
      <c r="DC176" s="525">
        <f t="shared" si="1038"/>
        <v>19623.900000000005</v>
      </c>
      <c r="DD176" s="56"/>
      <c r="DG176" s="55">
        <f t="shared" si="1039"/>
        <v>46172</v>
      </c>
      <c r="DH176" s="422"/>
      <c r="DI176" s="526">
        <f>SUMPRODUCT(PRODUCE!$B183:$DY183,PRODUCE!$EB$19:$IY$19)</f>
        <v>0</v>
      </c>
      <c r="DJ176" s="422"/>
      <c r="DK176" s="526">
        <f t="shared" si="1040"/>
        <v>0</v>
      </c>
      <c r="DL176" s="526">
        <f t="shared" si="1041"/>
        <v>35234.999999999985</v>
      </c>
      <c r="DM176" s="56"/>
      <c r="DP176" s="55">
        <f t="shared" si="1042"/>
        <v>46172</v>
      </c>
      <c r="DQ176" s="422"/>
      <c r="DR176" s="423">
        <f>SUMPRODUCT(PRODUCE!$B183:$DY183,PRODUCE!$EB$20:$IY$20)</f>
        <v>0</v>
      </c>
      <c r="DS176" s="422"/>
      <c r="DT176" s="423">
        <f t="shared" si="1043"/>
        <v>0</v>
      </c>
      <c r="DU176" s="423">
        <f t="shared" si="1044"/>
        <v>5800</v>
      </c>
      <c r="DV176" s="56"/>
      <c r="DY176" s="55">
        <f t="shared" si="1045"/>
        <v>46172</v>
      </c>
      <c r="DZ176" s="56"/>
      <c r="EA176" s="157">
        <f>SUMPRODUCT(PRODUCE!$B183:$DY183,PRODUCE!$EB$21:$IY$21)</f>
        <v>0</v>
      </c>
      <c r="EB176" s="56"/>
      <c r="EC176" s="157">
        <f t="shared" si="1046"/>
        <v>0</v>
      </c>
      <c r="ED176" s="157">
        <f t="shared" si="1047"/>
        <v>0</v>
      </c>
      <c r="EE176" s="56"/>
      <c r="EH176" s="55">
        <f t="shared" si="1048"/>
        <v>46172</v>
      </c>
      <c r="EI176" s="56"/>
      <c r="EJ176" s="162">
        <f>SUMPRODUCT(PRODUCE!$B183:$DY183,PRODUCE!$EB$22:$IY$22)</f>
        <v>0</v>
      </c>
      <c r="EK176" s="56"/>
      <c r="EL176" s="162">
        <f t="shared" si="1049"/>
        <v>0</v>
      </c>
      <c r="EM176" s="162">
        <f t="shared" si="1050"/>
        <v>0</v>
      </c>
      <c r="EN176" s="56"/>
      <c r="EQ176" s="55">
        <f t="shared" si="1051"/>
        <v>46172</v>
      </c>
      <c r="ER176" s="56"/>
      <c r="ES176" s="135">
        <f>SUMPRODUCT(PRODUCE!$B183:$DY183,PRODUCE!$EB$23:$IY$23)</f>
        <v>0</v>
      </c>
      <c r="ET176" s="56"/>
      <c r="EU176" s="135">
        <f t="shared" si="1052"/>
        <v>0</v>
      </c>
      <c r="EV176" s="135">
        <f t="shared" si="1053"/>
        <v>0</v>
      </c>
      <c r="EW176" s="56"/>
      <c r="EZ176" s="55">
        <f t="shared" si="1054"/>
        <v>46172</v>
      </c>
      <c r="FA176" s="56"/>
      <c r="FB176" s="175">
        <f>SUMPRODUCT(PRODUCE!$B183:$DY183,PRODUCE!$EB$24:$IY$24)</f>
        <v>0</v>
      </c>
      <c r="FC176" s="56"/>
      <c r="FD176" s="175">
        <f t="shared" si="1055"/>
        <v>0</v>
      </c>
      <c r="FE176" s="175">
        <f t="shared" si="1056"/>
        <v>0</v>
      </c>
      <c r="FF176" s="56"/>
      <c r="FI176" s="55">
        <f t="shared" si="1057"/>
        <v>46172</v>
      </c>
      <c r="FJ176" s="56"/>
      <c r="FK176" s="183">
        <f>SUMPRODUCT(PRODUCE!$B183:$DY183,PRODUCE!$EB$25:$IY$25)</f>
        <v>0</v>
      </c>
      <c r="FL176" s="56"/>
      <c r="FM176" s="183">
        <f t="shared" si="1058"/>
        <v>0</v>
      </c>
      <c r="FN176" s="183">
        <f t="shared" si="1059"/>
        <v>0</v>
      </c>
      <c r="FO176" s="56"/>
      <c r="FR176" s="55">
        <f t="shared" si="1060"/>
        <v>46172</v>
      </c>
      <c r="FS176" s="56"/>
      <c r="FT176" s="186">
        <f>SUMPRODUCT(PRODUCE!$B183:$DY183,PRODUCE!$EB$26:$IY$26)</f>
        <v>0</v>
      </c>
      <c r="FU176" s="56"/>
      <c r="FV176" s="186">
        <f t="shared" si="1061"/>
        <v>0</v>
      </c>
      <c r="FW176" s="186">
        <f t="shared" si="1062"/>
        <v>4140</v>
      </c>
      <c r="FX176" s="56"/>
      <c r="GA176" s="55">
        <f t="shared" si="1063"/>
        <v>46172</v>
      </c>
      <c r="GB176" s="56"/>
      <c r="GC176" s="137">
        <f>SUMPRODUCT(PRODUCE!$B183:$DY183,PRODUCE!$EB$27:$IY$27)</f>
        <v>0</v>
      </c>
      <c r="GD176" s="56"/>
      <c r="GE176" s="137">
        <f t="shared" si="1064"/>
        <v>0</v>
      </c>
      <c r="GF176" s="137">
        <f t="shared" si="1065"/>
        <v>5040</v>
      </c>
      <c r="GG176" s="56"/>
      <c r="GI176" s="23"/>
      <c r="GJ176" s="55">
        <f t="shared" si="1066"/>
        <v>46172</v>
      </c>
      <c r="GK176" s="56"/>
      <c r="GL176" s="199">
        <f>SUMPRODUCT(PRODUCE!$B183:$DY183,PRODUCE!$EB$28:$IY$28)</f>
        <v>0</v>
      </c>
      <c r="GM176" s="56"/>
      <c r="GN176" s="199">
        <f t="shared" si="1067"/>
        <v>0</v>
      </c>
      <c r="GO176" s="199">
        <f t="shared" si="1068"/>
        <v>1760</v>
      </c>
      <c r="GP176" s="56"/>
      <c r="GS176" s="55">
        <f t="shared" si="1069"/>
        <v>46172</v>
      </c>
      <c r="GT176" s="56"/>
      <c r="GU176" s="195">
        <f>SUMPRODUCT(PRODUCE!$B183:$DY183,PRODUCE!$EB$29:$IY$29)</f>
        <v>0</v>
      </c>
      <c r="GV176" s="56"/>
      <c r="GW176" s="195">
        <f t="shared" si="1070"/>
        <v>0</v>
      </c>
      <c r="GX176" s="195">
        <f t="shared" si="1071"/>
        <v>600</v>
      </c>
      <c r="GY176" s="56"/>
      <c r="HB176" s="55">
        <f t="shared" si="1072"/>
        <v>46172</v>
      </c>
      <c r="HC176" s="56"/>
      <c r="HD176" s="191">
        <f>SUMPRODUCT(PRODUCE!$B183:$DY183,PRODUCE!$EB$30:$IY$30)</f>
        <v>0</v>
      </c>
      <c r="HE176" s="56"/>
      <c r="HF176" s="191">
        <f t="shared" si="1073"/>
        <v>0</v>
      </c>
      <c r="HG176" s="191">
        <f t="shared" si="1074"/>
        <v>3600</v>
      </c>
      <c r="HH176" s="56"/>
      <c r="HK176" s="55">
        <f t="shared" si="1075"/>
        <v>46172</v>
      </c>
      <c r="HL176" s="56"/>
      <c r="HM176" s="63">
        <f>SUMPRODUCT(PRODUCE!$B183:$DY183,PRODUCE!$EB$31:$IY$31)</f>
        <v>0</v>
      </c>
      <c r="HN176" s="56"/>
      <c r="HO176" s="63">
        <f t="shared" si="1076"/>
        <v>0</v>
      </c>
      <c r="HP176" s="63">
        <f t="shared" si="1077"/>
        <v>0</v>
      </c>
      <c r="HQ176" s="56"/>
      <c r="HU176" s="55">
        <f t="shared" si="1078"/>
        <v>46172</v>
      </c>
      <c r="HV176" s="56"/>
      <c r="HW176" s="242">
        <f>SUMPRODUCT(PRODUCE!$B183:$DY183,PRODUCE!$EB$32:$IY$32)</f>
        <v>0</v>
      </c>
      <c r="HX176" s="56"/>
      <c r="HY176" s="242">
        <f t="shared" si="1079"/>
        <v>0</v>
      </c>
      <c r="HZ176" s="242">
        <f t="shared" si="1080"/>
        <v>6800</v>
      </c>
      <c r="IA176" s="56"/>
      <c r="ID176" s="55">
        <f t="shared" si="1081"/>
        <v>46172</v>
      </c>
      <c r="IE176" s="56"/>
      <c r="IF176" s="242">
        <f>SUMPRODUCT(PRODUCE!$B183:$DY183,PRODUCE!$EB$33:$IY$33)</f>
        <v>0</v>
      </c>
      <c r="IG176" s="56"/>
      <c r="IH176" s="242">
        <f t="shared" si="1082"/>
        <v>0</v>
      </c>
      <c r="II176" s="242">
        <f t="shared" si="1083"/>
        <v>720</v>
      </c>
      <c r="IJ176" s="56"/>
      <c r="IM176" s="55">
        <f t="shared" si="1084"/>
        <v>46172</v>
      </c>
      <c r="IN176" s="56"/>
      <c r="IO176" s="242">
        <f>SUMPRODUCT(PRODUCE!$B183:$DY183,PRODUCE!$EB$34:$IY$34)</f>
        <v>0</v>
      </c>
      <c r="IP176" s="56"/>
      <c r="IQ176" s="242">
        <f t="shared" si="1085"/>
        <v>0</v>
      </c>
      <c r="IR176" s="242">
        <f t="shared" si="1086"/>
        <v>8140</v>
      </c>
      <c r="IS176" s="56"/>
      <c r="IV176" s="55">
        <f t="shared" si="1087"/>
        <v>46172</v>
      </c>
      <c r="IW176" s="56"/>
      <c r="IX176" s="242">
        <f>SUMPRODUCT(PRODUCE!$B183:$DY183,PRODUCE!$EB$35:$IY$35)</f>
        <v>0</v>
      </c>
      <c r="IY176" s="56"/>
      <c r="IZ176" s="242">
        <f t="shared" si="1088"/>
        <v>0</v>
      </c>
      <c r="JA176" s="242">
        <f t="shared" si="1089"/>
        <v>4960</v>
      </c>
      <c r="JB176" s="56"/>
      <c r="JE176" s="55">
        <f t="shared" si="1090"/>
        <v>46172</v>
      </c>
      <c r="JF176" s="56"/>
      <c r="JG176" s="242">
        <f>SUMPRODUCT(PRODUCE!$B183:$DY183,PRODUCE!$EB$36:$IY$36)</f>
        <v>0</v>
      </c>
      <c r="JH176" s="56"/>
      <c r="JI176" s="242">
        <f t="shared" si="1091"/>
        <v>0</v>
      </c>
      <c r="JJ176" s="242">
        <f t="shared" si="1092"/>
        <v>0</v>
      </c>
      <c r="JK176" s="56"/>
      <c r="JN176" s="55">
        <f t="shared" si="1093"/>
        <v>46172</v>
      </c>
      <c r="JO176" s="56"/>
      <c r="JP176" s="242">
        <f>SUMPRODUCT(PRODUCE!$B183:$DY183,PRODUCE!$EB$37:$IY$37)</f>
        <v>0</v>
      </c>
      <c r="JQ176" s="56"/>
      <c r="JR176" s="242">
        <f t="shared" si="1094"/>
        <v>0</v>
      </c>
      <c r="JS176" s="242">
        <f t="shared" si="1095"/>
        <v>3340</v>
      </c>
      <c r="JT176" s="56"/>
      <c r="JW176" s="55">
        <f t="shared" si="1096"/>
        <v>46172</v>
      </c>
      <c r="JX176" s="56"/>
      <c r="JY176" s="242">
        <f>SUMPRODUCT(PRODUCE!$B183:$DY183,PRODUCE!$EB$38:$IY$38)</f>
        <v>0</v>
      </c>
      <c r="JZ176" s="56"/>
      <c r="KA176" s="242">
        <f t="shared" si="1097"/>
        <v>0</v>
      </c>
      <c r="KB176" s="242">
        <f t="shared" si="1098"/>
        <v>2540</v>
      </c>
      <c r="KC176" s="56"/>
      <c r="KF176" s="55">
        <f t="shared" si="1099"/>
        <v>46172</v>
      </c>
      <c r="KG176" s="56"/>
      <c r="KH176" s="242">
        <f>SUMPRODUCT(PRODUCE!$B183:$DY183,PRODUCE!$EB$39:$IY$39)</f>
        <v>0</v>
      </c>
      <c r="KI176" s="56"/>
      <c r="KJ176" s="242">
        <f t="shared" si="1100"/>
        <v>0</v>
      </c>
      <c r="KK176" s="242">
        <f t="shared" si="1101"/>
        <v>2359.5</v>
      </c>
      <c r="KL176" s="56"/>
      <c r="KO176" s="55">
        <f t="shared" si="1102"/>
        <v>46172</v>
      </c>
      <c r="KP176" s="56"/>
      <c r="KQ176" s="242">
        <f>SUMPRODUCT(PRODUCE!$B183:$DY183,PRODUCE!$EB$40:$IY$40)</f>
        <v>0</v>
      </c>
      <c r="KR176" s="56"/>
      <c r="KS176" s="242">
        <f t="shared" si="1103"/>
        <v>0</v>
      </c>
      <c r="KT176" s="242">
        <f t="shared" si="1104"/>
        <v>1890</v>
      </c>
      <c r="KU176" s="56"/>
      <c r="KW176" s="23"/>
      <c r="KX176" s="55">
        <f t="shared" si="1105"/>
        <v>46172</v>
      </c>
      <c r="KY176" s="56"/>
      <c r="KZ176" s="242">
        <f>SUMPRODUCT(PRODUCE!$B183:$DY183,PRODUCE!$EB$41:$IY$41)</f>
        <v>0</v>
      </c>
      <c r="LA176" s="56"/>
      <c r="LB176" s="242">
        <f t="shared" si="1106"/>
        <v>0</v>
      </c>
      <c r="LC176" s="242">
        <f t="shared" si="1107"/>
        <v>3690</v>
      </c>
      <c r="LD176" s="56"/>
      <c r="LG176" s="55">
        <f t="shared" si="1108"/>
        <v>46172</v>
      </c>
      <c r="LH176" s="56"/>
      <c r="LI176" s="242">
        <f>SUMPRODUCT(PRODUCE!$B183:$DY183,PRODUCE!$EB$42:$IY$42)</f>
        <v>0</v>
      </c>
      <c r="LJ176" s="56"/>
      <c r="LK176" s="242">
        <f t="shared" si="1109"/>
        <v>0</v>
      </c>
      <c r="LL176" s="242">
        <f t="shared" si="1110"/>
        <v>4000</v>
      </c>
      <c r="LM176" s="56"/>
      <c r="LP176" s="55">
        <f t="shared" si="1111"/>
        <v>46172</v>
      </c>
      <c r="LQ176" s="56"/>
      <c r="LR176" s="242">
        <f>SUMPRODUCT(PRODUCE!$B191:$DY191,PRODUCE!$EB$43:$IY$43)</f>
        <v>0</v>
      </c>
      <c r="LS176" s="56"/>
      <c r="LT176" s="242">
        <f t="shared" si="1112"/>
        <v>0</v>
      </c>
      <c r="LU176" s="242">
        <f t="shared" si="1113"/>
        <v>0</v>
      </c>
      <c r="LV176" s="56"/>
      <c r="LY176" s="55">
        <f t="shared" si="1114"/>
        <v>46172</v>
      </c>
      <c r="LZ176" s="56"/>
      <c r="MA176" s="242">
        <f>SUMPRODUCT(PRODUCE!$B183:$DY183,PRODUCE!$EB$44:$IY$44)</f>
        <v>0</v>
      </c>
      <c r="MB176" s="56"/>
      <c r="MC176" s="242">
        <f t="shared" si="1115"/>
        <v>0</v>
      </c>
      <c r="MD176" s="242">
        <f t="shared" si="1116"/>
        <v>0</v>
      </c>
      <c r="ME176" s="56"/>
      <c r="MH176" s="55">
        <f t="shared" si="1117"/>
        <v>46172</v>
      </c>
      <c r="MI176" s="56"/>
      <c r="MJ176" s="242">
        <f>SUMPRODUCT(PRODUCE!$B183:$DY183,PRODUCE!$EB$45:$IY$45)</f>
        <v>0</v>
      </c>
      <c r="MK176" s="56"/>
      <c r="ML176" s="242">
        <f t="shared" si="1118"/>
        <v>0</v>
      </c>
      <c r="MM176" s="242">
        <f t="shared" si="1119"/>
        <v>0</v>
      </c>
      <c r="MN176" s="56"/>
      <c r="MQ176" s="55">
        <f t="shared" si="1120"/>
        <v>46172</v>
      </c>
      <c r="MR176" s="56"/>
      <c r="MS176" s="242">
        <f>SUMPRODUCT(PRODUCE!$B183:$DY183,PRODUCE!$EB$46:$IY$46)</f>
        <v>0</v>
      </c>
      <c r="MT176" s="56"/>
      <c r="MU176" s="242">
        <f t="shared" si="1121"/>
        <v>0</v>
      </c>
      <c r="MV176" s="242">
        <f t="shared" si="1122"/>
        <v>3724</v>
      </c>
      <c r="MW176" s="56"/>
      <c r="MZ176" s="55">
        <f t="shared" si="1123"/>
        <v>46172</v>
      </c>
      <c r="NA176" s="56"/>
      <c r="NB176" s="242">
        <f>SUMPRODUCT(PRODUCE!$B183:$DY183,PRODUCE!$EB$47:$IY$47)</f>
        <v>0</v>
      </c>
      <c r="NC176" s="56"/>
      <c r="ND176" s="242">
        <f t="shared" si="1124"/>
        <v>0</v>
      </c>
      <c r="NE176" s="242">
        <f t="shared" si="1125"/>
        <v>0</v>
      </c>
      <c r="NF176" s="56"/>
      <c r="NI176" s="55">
        <f t="shared" si="1126"/>
        <v>46172</v>
      </c>
      <c r="NJ176" s="56"/>
      <c r="NK176" s="242">
        <f>SUMPRODUCT(PRODUCE!$B183:$DY183,PRODUCE!$EB$48:$IY$48)</f>
        <v>0</v>
      </c>
      <c r="NL176" s="56"/>
      <c r="NM176" s="242">
        <f t="shared" si="1127"/>
        <v>0</v>
      </c>
      <c r="NN176" s="242">
        <f t="shared" si="1128"/>
        <v>1127</v>
      </c>
      <c r="NO176" s="56"/>
      <c r="NR176" s="55">
        <f t="shared" si="1129"/>
        <v>46172</v>
      </c>
      <c r="NS176" s="56"/>
      <c r="NT176" s="242">
        <f>SUMPRODUCT(PRODUCE!$B183:$DY183,PRODUCE!$EB$49:$IY$49)</f>
        <v>0</v>
      </c>
      <c r="NU176" s="56"/>
      <c r="NV176" s="242">
        <f t="shared" si="1130"/>
        <v>0</v>
      </c>
      <c r="NW176" s="242">
        <f t="shared" si="1131"/>
        <v>3111.9999999999995</v>
      </c>
      <c r="NX176" s="56"/>
      <c r="OA176" s="55">
        <f t="shared" si="1132"/>
        <v>46172</v>
      </c>
      <c r="OB176" s="56"/>
      <c r="OC176" s="242">
        <f>SUMPRODUCT(PRODUCE!$B183:$DY183,PRODUCE!$EB$50:$IY$50)</f>
        <v>0</v>
      </c>
      <c r="OD176" s="56"/>
      <c r="OE176" s="242">
        <f t="shared" si="1133"/>
        <v>0</v>
      </c>
      <c r="OF176" s="242">
        <f t="shared" si="1134"/>
        <v>1680.5</v>
      </c>
      <c r="OG176" s="56"/>
      <c r="OJ176" s="55">
        <f t="shared" si="1135"/>
        <v>46172</v>
      </c>
      <c r="OK176" s="56">
        <v>10.4</v>
      </c>
      <c r="OL176" s="242">
        <f>SUMPRODUCT(PRODUCE!$B183:$DY183,PRODUCE!$EB$51:$IY$51)</f>
        <v>0</v>
      </c>
      <c r="OM176" s="56">
        <v>10.4</v>
      </c>
      <c r="ON176" s="242">
        <f t="shared" si="1136"/>
        <v>-10.4</v>
      </c>
      <c r="OO176" s="242">
        <f t="shared" si="1137"/>
        <v>0</v>
      </c>
      <c r="OP176" s="56"/>
      <c r="OS176" s="55">
        <f t="shared" si="1138"/>
        <v>46172</v>
      </c>
      <c r="OT176" s="56"/>
      <c r="OU176" s="242">
        <f>SUMPRODUCT(PRODUCE!$B183:$DY183,PRODUCE!$EB$52:$IY$52)</f>
        <v>0</v>
      </c>
      <c r="OV176" s="56"/>
      <c r="OW176" s="242">
        <f t="shared" si="1139"/>
        <v>0</v>
      </c>
      <c r="OX176" s="242">
        <f t="shared" si="1140"/>
        <v>1482</v>
      </c>
      <c r="OY176" s="56"/>
      <c r="PB176" s="55">
        <f t="shared" si="1141"/>
        <v>46172</v>
      </c>
      <c r="PC176" s="56"/>
      <c r="PD176" s="242">
        <f>SUMPRODUCT(PRODUCE!$B183:$DY183,PRODUCE!$EB$53:$IY$53)</f>
        <v>0</v>
      </c>
      <c r="PE176" s="56"/>
      <c r="PF176" s="242">
        <f t="shared" si="1142"/>
        <v>0</v>
      </c>
      <c r="PG176" s="242">
        <f t="shared" si="1143"/>
        <v>0</v>
      </c>
      <c r="PH176" s="56"/>
      <c r="PK176" s="55">
        <f t="shared" si="1144"/>
        <v>46172</v>
      </c>
      <c r="PL176" s="56"/>
      <c r="PM176" s="242">
        <f>SUMPRODUCT(PRODUCE!$B183:$DY183,PRODUCE!$EB$54:$IY$54)</f>
        <v>0</v>
      </c>
      <c r="PN176" s="56"/>
      <c r="PO176" s="242">
        <f t="shared" si="1145"/>
        <v>0</v>
      </c>
      <c r="PP176" s="242">
        <f t="shared" si="1146"/>
        <v>100</v>
      </c>
      <c r="PQ176" s="56"/>
      <c r="PT176" s="55">
        <f t="shared" si="1147"/>
        <v>46172</v>
      </c>
      <c r="PU176" s="56"/>
      <c r="PV176" s="242">
        <f>SUMPRODUCT(PRODUCE!$B183:$DY183,PRODUCE!$EB$55:$IY$55)</f>
        <v>0</v>
      </c>
      <c r="PW176" s="56"/>
      <c r="PX176" s="242">
        <f t="shared" si="1148"/>
        <v>0</v>
      </c>
      <c r="PY176" s="242">
        <f t="shared" si="1149"/>
        <v>13.960000000000036</v>
      </c>
      <c r="PZ176" s="56"/>
      <c r="QC176" s="55">
        <f t="shared" si="1150"/>
        <v>46172</v>
      </c>
      <c r="QD176" s="56"/>
      <c r="QE176" s="242">
        <f>SUMPRODUCT(PRODUCE!$B183:$DY183,PRODUCE!$EB$56:$IY$56)</f>
        <v>0</v>
      </c>
      <c r="QF176" s="56"/>
      <c r="QG176" s="242">
        <f t="shared" si="1151"/>
        <v>0</v>
      </c>
      <c r="QH176" s="242">
        <f t="shared" si="1152"/>
        <v>108</v>
      </c>
      <c r="QI176" s="56"/>
      <c r="QL176" s="55">
        <f t="shared" si="1153"/>
        <v>46172</v>
      </c>
      <c r="QM176" s="56"/>
      <c r="QN176" s="242">
        <f>SUMPRODUCT(PRODUCE!$B183:$DY183,PRODUCE!$EB$57:$IY$57)</f>
        <v>0</v>
      </c>
      <c r="QO176" s="56">
        <v>1200</v>
      </c>
      <c r="QP176" s="242">
        <f t="shared" si="1154"/>
        <v>-1200</v>
      </c>
      <c r="QQ176" s="242">
        <f t="shared" si="1155"/>
        <v>245</v>
      </c>
      <c r="QR176" s="56"/>
      <c r="QU176" s="55">
        <f t="shared" si="1156"/>
        <v>46172</v>
      </c>
      <c r="QV176" s="56"/>
      <c r="QW176" s="242">
        <f>SUMPRODUCT(PRODUCE!$B183:$DY183,PRODUCE!$EB$58:$IY$58)</f>
        <v>0</v>
      </c>
      <c r="QX176" s="56"/>
      <c r="QY176" s="242">
        <f t="shared" si="1157"/>
        <v>0</v>
      </c>
      <c r="QZ176" s="242">
        <f t="shared" si="1158"/>
        <v>207.6</v>
      </c>
      <c r="RA176" s="56"/>
      <c r="RD176" s="55">
        <f t="shared" si="1159"/>
        <v>46172</v>
      </c>
      <c r="RE176" s="56"/>
      <c r="RF176" s="242">
        <f>SUMPRODUCT(PRODUCE!$B183:$DY183,PRODUCE!$EB$59:$IY$59)</f>
        <v>0</v>
      </c>
      <c r="RG176" s="56"/>
      <c r="RH176" s="242">
        <f t="shared" si="1160"/>
        <v>0</v>
      </c>
      <c r="RI176" s="242">
        <f t="shared" si="1161"/>
        <v>147.04000000000002</v>
      </c>
      <c r="RJ176" s="56"/>
      <c r="RM176" s="55">
        <f t="shared" si="1162"/>
        <v>46172</v>
      </c>
      <c r="RN176" s="56"/>
      <c r="RO176" s="242">
        <f>SUMPRODUCT(PRODUCE!$B183:$DY183,PRODUCE!$EB$60:$IY$60)</f>
        <v>0</v>
      </c>
      <c r="RP176" s="56"/>
      <c r="RQ176" s="242">
        <f t="shared" si="1163"/>
        <v>0</v>
      </c>
      <c r="RR176" s="242">
        <f t="shared" si="1164"/>
        <v>46.8</v>
      </c>
      <c r="RS176" s="56"/>
      <c r="RV176" s="55">
        <f t="shared" si="1165"/>
        <v>46172</v>
      </c>
      <c r="RW176" s="56"/>
      <c r="RX176" s="242">
        <f>SUMPRODUCT(PRODUCE!$B183:$DY183,PRODUCE!$EB$61:$IY$61)</f>
        <v>0</v>
      </c>
      <c r="RY176" s="56"/>
      <c r="RZ176" s="242">
        <f t="shared" si="1166"/>
        <v>0</v>
      </c>
      <c r="SA176" s="242">
        <f t="shared" si="1167"/>
        <v>0</v>
      </c>
      <c r="SB176" s="56"/>
      <c r="SE176" s="55">
        <f t="shared" si="1168"/>
        <v>46172</v>
      </c>
      <c r="SF176" s="56"/>
      <c r="SG176" s="242">
        <f>SUMPRODUCT(PRODUCE!$B183:$DY183,PRODUCE!$EB$62:$IY$62)</f>
        <v>0</v>
      </c>
      <c r="SH176" s="56"/>
      <c r="SI176" s="242">
        <f t="shared" si="1169"/>
        <v>0</v>
      </c>
      <c r="SJ176" s="242">
        <f t="shared" si="1170"/>
        <v>24.200000000000003</v>
      </c>
      <c r="SK176" s="56"/>
      <c r="SN176" s="55">
        <f t="shared" si="1171"/>
        <v>46172</v>
      </c>
      <c r="SO176" s="56"/>
      <c r="SP176" s="242">
        <f>SUMPRODUCT(PRODUCE!$B183:$DY183,PRODUCE!$EB$63:$IY$63)</f>
        <v>0</v>
      </c>
      <c r="SQ176" s="56"/>
      <c r="SR176" s="242">
        <f t="shared" si="1172"/>
        <v>0</v>
      </c>
      <c r="SS176" s="242">
        <f t="shared" si="1173"/>
        <v>32</v>
      </c>
      <c r="ST176" s="56"/>
      <c r="SW176" s="55">
        <f t="shared" si="1174"/>
        <v>46172</v>
      </c>
      <c r="SX176" s="56"/>
      <c r="SY176" s="242">
        <f>SUMPRODUCT(PRODUCE!$B183:$DY183,PRODUCE!$EB$64:$IY$64)</f>
        <v>0</v>
      </c>
      <c r="SZ176" s="56"/>
      <c r="TA176" s="242">
        <f t="shared" si="1175"/>
        <v>0</v>
      </c>
      <c r="TB176" s="242">
        <f t="shared" si="1176"/>
        <v>0</v>
      </c>
      <c r="TC176" s="56"/>
      <c r="TF176" s="55">
        <f t="shared" si="1177"/>
        <v>46172</v>
      </c>
      <c r="TG176" s="56"/>
      <c r="TH176" s="242">
        <f>SUMPRODUCT(PRODUCE!$B183:$DY183,PRODUCE!$EB$65:$IY$65)</f>
        <v>0</v>
      </c>
      <c r="TI176" s="56"/>
      <c r="TJ176" s="242">
        <f t="shared" si="1178"/>
        <v>0</v>
      </c>
      <c r="TK176" s="242">
        <f t="shared" si="1179"/>
        <v>0</v>
      </c>
      <c r="TL176" s="56"/>
      <c r="TO176" s="55">
        <f t="shared" si="1180"/>
        <v>46172</v>
      </c>
      <c r="TP176" s="56"/>
      <c r="TQ176" s="242">
        <f>SUMPRODUCT(PRODUCE!$B183:$DY183,PRODUCE!$EB$66:$IY$66)</f>
        <v>0</v>
      </c>
      <c r="TR176" s="56"/>
      <c r="TS176" s="242">
        <f t="shared" si="1181"/>
        <v>0</v>
      </c>
      <c r="TT176" s="242">
        <f t="shared" si="1182"/>
        <v>0</v>
      </c>
      <c r="TU176" s="56"/>
      <c r="TX176" s="55">
        <f t="shared" si="1183"/>
        <v>46172</v>
      </c>
      <c r="TY176" s="56"/>
      <c r="TZ176" s="242">
        <f>SUMPRODUCT(PRODUCE!$B183:$DY183,PRODUCE!$EB$67:$IY$67)</f>
        <v>0</v>
      </c>
      <c r="UA176" s="56"/>
      <c r="UB176" s="242">
        <f t="shared" si="1184"/>
        <v>0</v>
      </c>
      <c r="UC176" s="242">
        <f t="shared" si="1185"/>
        <v>135.6</v>
      </c>
      <c r="UD176" s="56"/>
      <c r="UG176" s="55">
        <f t="shared" si="1186"/>
        <v>46172</v>
      </c>
      <c r="UH176" s="56"/>
      <c r="UI176" s="242">
        <f>SUMPRODUCT(PRODUCE!$B183:$DY183,PRODUCE!$EB$68:$IY$68)</f>
        <v>0</v>
      </c>
      <c r="UJ176" s="56">
        <f>80+12</f>
        <v>92</v>
      </c>
      <c r="UK176" s="242">
        <f t="shared" si="1187"/>
        <v>-92</v>
      </c>
      <c r="UL176" s="242">
        <f t="shared" si="1188"/>
        <v>128</v>
      </c>
      <c r="UM176" s="56"/>
      <c r="UP176" s="55">
        <f t="shared" si="1189"/>
        <v>46172</v>
      </c>
      <c r="UQ176" s="56"/>
      <c r="UR176" s="242">
        <f>SUMPRODUCT(PRODUCE!$B183:$DY183,PRODUCE!$EB$69:$IY$69)</f>
        <v>0</v>
      </c>
      <c r="US176" s="56">
        <f>25+3.75</f>
        <v>28.75</v>
      </c>
      <c r="UT176" s="242">
        <f t="shared" si="1190"/>
        <v>-28.75</v>
      </c>
      <c r="UU176" s="242">
        <f t="shared" si="1191"/>
        <v>11.25</v>
      </c>
      <c r="UV176" s="56"/>
      <c r="UY176" s="55">
        <f t="shared" si="1192"/>
        <v>46172</v>
      </c>
      <c r="UZ176" s="56"/>
      <c r="VA176" s="242">
        <f>SUMPRODUCT(PRODUCE!$B183:$DY183,PRODUCE!$EB$70:$IY$70)</f>
        <v>0</v>
      </c>
      <c r="VB176" s="56"/>
      <c r="VC176" s="242">
        <f t="shared" si="1193"/>
        <v>0</v>
      </c>
      <c r="VD176" s="242">
        <f t="shared" si="1194"/>
        <v>41.600000000000023</v>
      </c>
      <c r="VE176" s="56"/>
      <c r="VH176" s="55">
        <f t="shared" si="1195"/>
        <v>46172</v>
      </c>
      <c r="VI176" s="56"/>
      <c r="VJ176" s="242">
        <f>SUMPRODUCT(PRODUCE!$B183:$DY183,PRODUCE!$EB$71:$IY$71)</f>
        <v>0</v>
      </c>
      <c r="VK176" s="56"/>
      <c r="VL176" s="242">
        <f t="shared" si="1196"/>
        <v>0</v>
      </c>
      <c r="VM176" s="242">
        <f t="shared" si="1197"/>
        <v>0</v>
      </c>
      <c r="VN176" s="56"/>
      <c r="VQ176" s="55">
        <f t="shared" si="1198"/>
        <v>46172</v>
      </c>
      <c r="VR176" s="56"/>
      <c r="VS176" s="242">
        <f>SUMPRODUCT(PRODUCE!$B183:$DY183,PRODUCE!$EB$57:$IY$57)</f>
        <v>0</v>
      </c>
      <c r="VT176" s="56"/>
      <c r="VU176" s="242">
        <f t="shared" si="1199"/>
        <v>0</v>
      </c>
      <c r="VV176" s="242">
        <f t="shared" si="1200"/>
        <v>0</v>
      </c>
      <c r="VW176" s="56"/>
      <c r="VZ176" s="55">
        <f t="shared" si="1201"/>
        <v>46172</v>
      </c>
      <c r="WA176" s="56"/>
      <c r="WB176" s="242">
        <f>SUMPRODUCT(PRODUCE!$B183:$DY183,PRODUCE!$EB$57:$IY$57)</f>
        <v>0</v>
      </c>
      <c r="WC176" s="56"/>
      <c r="WD176" s="242">
        <f t="shared" si="1202"/>
        <v>0</v>
      </c>
      <c r="WE176" s="242">
        <f t="shared" si="1203"/>
        <v>0</v>
      </c>
      <c r="WF176" s="56"/>
      <c r="WI176" s="55">
        <f t="shared" si="1204"/>
        <v>46172</v>
      </c>
      <c r="WJ176" s="422"/>
      <c r="WK176" s="540">
        <f>SUMPRODUCT(PRODUCE!$B183:$DY183,PRODUCE!$EB$74:$IY$74)</f>
        <v>0</v>
      </c>
      <c r="WL176" s="422"/>
      <c r="WM176" s="540">
        <f t="shared" si="1205"/>
        <v>0</v>
      </c>
      <c r="WN176" s="540">
        <f t="shared" si="1206"/>
        <v>1199</v>
      </c>
      <c r="WO176" s="56"/>
      <c r="WR176" s="55">
        <f t="shared" si="1207"/>
        <v>46172</v>
      </c>
      <c r="WS176" s="422"/>
      <c r="WT176" s="540">
        <f>SUMPRODUCT(PRODUCE!$B183:$DY183,PRODUCE!$EB$75:$IY$75)</f>
        <v>0</v>
      </c>
      <c r="WU176" s="422"/>
      <c r="WV176" s="540">
        <f t="shared" si="1208"/>
        <v>0</v>
      </c>
      <c r="WW176" s="540">
        <f t="shared" si="1209"/>
        <v>0</v>
      </c>
      <c r="WX176" s="56"/>
      <c r="XA176" s="55">
        <f t="shared" si="1210"/>
        <v>46172</v>
      </c>
      <c r="XB176" s="422"/>
      <c r="XC176" s="540">
        <f>SUMPRODUCT(PRODUCE!$B183:$DY183,PRODUCE!$EB$76:$IY$76)</f>
        <v>0</v>
      </c>
      <c r="XD176" s="422"/>
      <c r="XE176" s="540">
        <f t="shared" si="1211"/>
        <v>0</v>
      </c>
      <c r="XF176" s="540">
        <f t="shared" si="1212"/>
        <v>6813</v>
      </c>
      <c r="XG176" s="56"/>
      <c r="XJ176" s="55">
        <f t="shared" si="1213"/>
        <v>46172</v>
      </c>
      <c r="XK176" s="422"/>
      <c r="XL176" s="540">
        <f>SUMPRODUCT(PRODUCE!$B183:$DY183,PRODUCE!$EB$77:$IY$77)</f>
        <v>0</v>
      </c>
      <c r="XM176" s="422">
        <v>80</v>
      </c>
      <c r="XN176" s="540">
        <f t="shared" si="1214"/>
        <v>-80</v>
      </c>
      <c r="XO176" s="540">
        <f t="shared" si="1215"/>
        <v>7558</v>
      </c>
      <c r="XP176" s="56"/>
      <c r="XS176" s="55">
        <f t="shared" si="1216"/>
        <v>46172</v>
      </c>
      <c r="XT176" s="56"/>
      <c r="XU176" s="242">
        <f>SUMPRODUCT(PRODUCE!$B183:$DY183,PRODUCE!$EB$78:$IY$78)</f>
        <v>0</v>
      </c>
      <c r="XV176" s="56"/>
      <c r="XW176" s="242">
        <f t="shared" si="1217"/>
        <v>0</v>
      </c>
      <c r="XX176" s="242">
        <f t="shared" si="1218"/>
        <v>1621</v>
      </c>
      <c r="XY176" s="56"/>
      <c r="YB176" s="55">
        <f t="shared" si="1219"/>
        <v>46172</v>
      </c>
      <c r="YC176" s="56"/>
      <c r="YD176" s="242">
        <f>SUMPRODUCT(PRODUCE!$B183:$DY183,PRODUCE!$EB$79:$IY$79)</f>
        <v>0</v>
      </c>
      <c r="YE176" s="56"/>
      <c r="YF176" s="242">
        <f t="shared" si="1220"/>
        <v>0</v>
      </c>
      <c r="YG176" s="242">
        <f t="shared" si="1221"/>
        <v>6193</v>
      </c>
      <c r="YH176" s="56"/>
      <c r="YK176" s="55">
        <f t="shared" si="1222"/>
        <v>46172</v>
      </c>
      <c r="YL176" s="56"/>
      <c r="YM176" s="242">
        <f>SUMPRODUCT(PRODUCE!$B183:$DY183,PRODUCE!$EB$80:$IY$80)</f>
        <v>0</v>
      </c>
      <c r="YN176" s="56"/>
      <c r="YO176" s="242">
        <f t="shared" si="1223"/>
        <v>0</v>
      </c>
      <c r="YP176" s="242">
        <f t="shared" si="1224"/>
        <v>0</v>
      </c>
      <c r="YQ176" s="56"/>
      <c r="YT176" s="55">
        <f t="shared" si="1225"/>
        <v>46172</v>
      </c>
      <c r="YU176" s="56"/>
      <c r="YV176" s="242">
        <f>SUMPRODUCT(PRODUCE!$B183:$DY183,PRODUCE!$EB$57:$IY$57)</f>
        <v>0</v>
      </c>
      <c r="YW176" s="56"/>
      <c r="YX176" s="242">
        <f t="shared" si="1226"/>
        <v>0</v>
      </c>
      <c r="YY176" s="242">
        <f t="shared" si="1227"/>
        <v>0</v>
      </c>
      <c r="YZ176" s="56"/>
      <c r="ZC176" s="55">
        <f t="shared" si="1228"/>
        <v>46172</v>
      </c>
      <c r="ZD176" s="56"/>
      <c r="ZE176" s="242">
        <f>SUMPRODUCT(PRODUCE!$B183:$DY183,PRODUCE!$EB$57:$IY$57)</f>
        <v>0</v>
      </c>
      <c r="ZF176" s="56"/>
      <c r="ZG176" s="242">
        <f t="shared" si="1229"/>
        <v>0</v>
      </c>
      <c r="ZH176" s="242">
        <f t="shared" si="1230"/>
        <v>0</v>
      </c>
      <c r="ZI176" s="56"/>
      <c r="ZL176" s="55">
        <f t="shared" si="1231"/>
        <v>46172</v>
      </c>
      <c r="ZM176" s="56"/>
      <c r="ZN176" s="242">
        <f>SUMPRODUCT(PRODUCE!$B183:$DY183,PRODUCE!$EB$57:$IY$57)</f>
        <v>0</v>
      </c>
      <c r="ZO176" s="56"/>
      <c r="ZP176" s="242">
        <f t="shared" si="1232"/>
        <v>0</v>
      </c>
      <c r="ZQ176" s="242">
        <f t="shared" si="1233"/>
        <v>0</v>
      </c>
      <c r="ZR176" s="56"/>
      <c r="ZU176" s="55">
        <f t="shared" si="1234"/>
        <v>46172</v>
      </c>
      <c r="ZV176" s="56"/>
      <c r="ZW176" s="242">
        <f>SUMPRODUCT(PRODUCE!$B183:$DY183,PRODUCE!$EB$57:$IY$57)</f>
        <v>0</v>
      </c>
      <c r="ZX176" s="56"/>
      <c r="ZY176" s="242">
        <f t="shared" si="1235"/>
        <v>0</v>
      </c>
      <c r="ZZ176" s="242">
        <f t="shared" si="1236"/>
        <v>0</v>
      </c>
      <c r="AAA176" s="56"/>
      <c r="AAD176" s="55">
        <f t="shared" si="1237"/>
        <v>46172</v>
      </c>
      <c r="AAE176" s="56"/>
      <c r="AAF176" s="242">
        <f>SUMPRODUCT(PRODUCE!$B183:$DY183,PRODUCE!$EB$57:$IY$57)</f>
        <v>0</v>
      </c>
      <c r="AAG176" s="56"/>
      <c r="AAH176" s="242">
        <f t="shared" si="1238"/>
        <v>0</v>
      </c>
      <c r="AAI176" s="242">
        <f t="shared" si="1239"/>
        <v>0</v>
      </c>
      <c r="AAJ176" s="56"/>
      <c r="AAM176" s="55">
        <f t="shared" si="1240"/>
        <v>46172</v>
      </c>
      <c r="AAN176" s="56"/>
      <c r="AAO176" s="242">
        <f>SUMPRODUCT(PRODUCE!$B183:$DY183,PRODUCE!$EB$57:$IY$57)</f>
        <v>0</v>
      </c>
      <c r="AAP176" s="56"/>
      <c r="AAQ176" s="242">
        <f t="shared" si="1241"/>
        <v>0</v>
      </c>
      <c r="AAR176" s="242">
        <f t="shared" si="1242"/>
        <v>0</v>
      </c>
      <c r="AAS176" s="56"/>
      <c r="AAV176" s="55">
        <f t="shared" si="1243"/>
        <v>46172</v>
      </c>
      <c r="AAW176" s="56"/>
      <c r="AAX176" s="242">
        <f>SUMPRODUCT(PRODUCE!$B183:$DY183,PRODUCE!$EB$57:$IY$57)</f>
        <v>0</v>
      </c>
      <c r="AAY176" s="56"/>
      <c r="AAZ176" s="242">
        <f t="shared" si="1244"/>
        <v>0</v>
      </c>
      <c r="ABA176" s="242">
        <f t="shared" si="1245"/>
        <v>0</v>
      </c>
      <c r="ABB176" s="56"/>
      <c r="ABE176" s="55">
        <f t="shared" si="1246"/>
        <v>46172</v>
      </c>
      <c r="ABF176" s="56"/>
      <c r="ABG176" s="242">
        <f>SUMPRODUCT(PRODUCE!$B183:$DY183,PRODUCE!$EB$57:$IY$57)</f>
        <v>0</v>
      </c>
      <c r="ABH176" s="56"/>
      <c r="ABI176" s="242">
        <f t="shared" si="1247"/>
        <v>0</v>
      </c>
      <c r="ABJ176" s="242">
        <f t="shared" si="1248"/>
        <v>0</v>
      </c>
      <c r="ABK176" s="56"/>
    </row>
    <row r="177" spans="1:739" s="54" customFormat="1" ht="15" customHeight="1" outlineLevel="1" thickBot="1">
      <c r="B177" s="478"/>
      <c r="C177" s="55">
        <v>46173</v>
      </c>
      <c r="D177" s="425"/>
      <c r="E177" s="423">
        <f>SUMPRODUCT(PRODUCE!$B184:$DY184,PRODUCE!$EB$7:$IY$7)</f>
        <v>0</v>
      </c>
      <c r="F177" s="425"/>
      <c r="G177" s="423">
        <f t="shared" si="1004"/>
        <v>0</v>
      </c>
      <c r="H177" s="423">
        <f t="shared" si="1005"/>
        <v>244343.40000000008</v>
      </c>
      <c r="I177" s="289"/>
      <c r="L177" s="55">
        <f t="shared" si="1006"/>
        <v>46173</v>
      </c>
      <c r="M177" s="425"/>
      <c r="N177" s="438">
        <f>SUMPRODUCT(PRODUCE!$B184:$DY184,PRODUCE!$EB$8:$IY$8)</f>
        <v>0</v>
      </c>
      <c r="O177" s="425"/>
      <c r="P177" s="438">
        <f t="shared" si="1007"/>
        <v>0</v>
      </c>
      <c r="Q177" s="438">
        <f t="shared" si="1008"/>
        <v>105957.20000000007</v>
      </c>
      <c r="R177" s="56"/>
      <c r="U177" s="55">
        <f t="shared" si="1009"/>
        <v>46173</v>
      </c>
      <c r="V177" s="425"/>
      <c r="W177" s="440">
        <f>SUMPRODUCT(PRODUCE!$B184:$DY184,PRODUCE!$EB$9:$IY$9)</f>
        <v>0</v>
      </c>
      <c r="X177" s="425"/>
      <c r="Y177" s="440">
        <f t="shared" si="1010"/>
        <v>0</v>
      </c>
      <c r="Z177" s="440">
        <f t="shared" si="1011"/>
        <v>44686.299999999974</v>
      </c>
      <c r="AA177" s="56"/>
      <c r="AD177" s="55">
        <f t="shared" si="1012"/>
        <v>46173</v>
      </c>
      <c r="AE177" s="425"/>
      <c r="AF177" s="442">
        <f>SUMPRODUCT(PRODUCE!$B184:$DY184,PRODUCE!$EB$10:$IY$10)</f>
        <v>0</v>
      </c>
      <c r="AG177" s="425"/>
      <c r="AH177" s="442">
        <f t="shared" si="1013"/>
        <v>0</v>
      </c>
      <c r="AI177" s="442">
        <f t="shared" si="1014"/>
        <v>12193.400000000018</v>
      </c>
      <c r="AJ177" s="56"/>
      <c r="AM177" s="55">
        <f t="shared" si="1015"/>
        <v>46173</v>
      </c>
      <c r="AN177" s="425"/>
      <c r="AO177" s="444">
        <f>SUMPRODUCT(PRODUCE!$B184:$DY184,PRODUCE!$EB$11:$IY$11)</f>
        <v>0</v>
      </c>
      <c r="AP177" s="425"/>
      <c r="AQ177" s="444">
        <f t="shared" si="1016"/>
        <v>0</v>
      </c>
      <c r="AR177" s="444">
        <f t="shared" si="1017"/>
        <v>0</v>
      </c>
      <c r="AS177" s="56"/>
      <c r="AV177" s="55">
        <f t="shared" si="1018"/>
        <v>46173</v>
      </c>
      <c r="AW177" s="425"/>
      <c r="AX177" s="446">
        <f>SUMPRODUCT(PRODUCE!$B184:$DY184,PRODUCE!$EB$12:$IY$12)</f>
        <v>0</v>
      </c>
      <c r="AY177" s="425"/>
      <c r="AZ177" s="446">
        <f t="shared" si="1019"/>
        <v>0</v>
      </c>
      <c r="BA177" s="446">
        <f t="shared" si="1020"/>
        <v>18566.699999999997</v>
      </c>
      <c r="BB177" s="345"/>
      <c r="BE177" s="55">
        <f t="shared" si="1021"/>
        <v>46173</v>
      </c>
      <c r="BF177" s="425"/>
      <c r="BG177" s="448">
        <f>SUMPRODUCT(PRODUCE!$B184:$DY184,PRODUCE!$EB$13:$IY$13)</f>
        <v>0</v>
      </c>
      <c r="BH177" s="425"/>
      <c r="BI177" s="448">
        <f t="shared" si="1022"/>
        <v>0</v>
      </c>
      <c r="BJ177" s="448">
        <f t="shared" si="1023"/>
        <v>34163.999999999993</v>
      </c>
      <c r="BK177" s="56"/>
      <c r="BN177" s="55">
        <f t="shared" si="1024"/>
        <v>46173</v>
      </c>
      <c r="BO177" s="425"/>
      <c r="BP177" s="450">
        <f>SUMPRODUCT(PRODUCE!$B184:$DY184,PRODUCE!$EB$14:$IY$14)</f>
        <v>0</v>
      </c>
      <c r="BQ177" s="425"/>
      <c r="BR177" s="450">
        <f t="shared" si="1025"/>
        <v>0</v>
      </c>
      <c r="BS177" s="450">
        <f t="shared" si="1026"/>
        <v>0</v>
      </c>
      <c r="BT177" s="56"/>
      <c r="BW177" s="55">
        <f t="shared" si="1027"/>
        <v>46173</v>
      </c>
      <c r="BX177" s="425"/>
      <c r="BY177" s="523">
        <f>SUMPRODUCT(PRODUCE!$B184:$DY184,PRODUCE!$EB$15:$IY$15)</f>
        <v>0</v>
      </c>
      <c r="BZ177" s="425"/>
      <c r="CA177" s="523">
        <f t="shared" si="1028"/>
        <v>0</v>
      </c>
      <c r="CB177" s="523">
        <f t="shared" si="1029"/>
        <v>5083.1299999999992</v>
      </c>
      <c r="CC177" s="56"/>
      <c r="CF177" s="55">
        <f t="shared" si="1030"/>
        <v>46173</v>
      </c>
      <c r="CG177" s="425"/>
      <c r="CH177" s="524">
        <f>SUMPRODUCT(PRODUCE!$B184:$DY184,PRODUCE!$EB$16:$IY$16)</f>
        <v>0</v>
      </c>
      <c r="CI177" s="425"/>
      <c r="CJ177" s="524">
        <f t="shared" si="1031"/>
        <v>0</v>
      </c>
      <c r="CK177" s="524">
        <f t="shared" si="1032"/>
        <v>0</v>
      </c>
      <c r="CL177" s="56"/>
      <c r="CO177" s="55">
        <f t="shared" si="1033"/>
        <v>46173</v>
      </c>
      <c r="CP177" s="425"/>
      <c r="CQ177" s="470">
        <f>SUMPRODUCT(PRODUCE!$B184:$DY184,PRODUCE!$EB$17:$IY$17)</f>
        <v>0</v>
      </c>
      <c r="CR177" s="425"/>
      <c r="CS177" s="470">
        <f t="shared" si="1034"/>
        <v>0</v>
      </c>
      <c r="CT177" s="470">
        <f t="shared" si="1035"/>
        <v>0</v>
      </c>
      <c r="CU177" s="56"/>
      <c r="CX177" s="55">
        <f t="shared" si="1036"/>
        <v>46173</v>
      </c>
      <c r="CY177" s="425"/>
      <c r="CZ177" s="525">
        <f>SUMPRODUCT(PRODUCE!$B184:$DY184,PRODUCE!$EB$18:$IY$18)</f>
        <v>0</v>
      </c>
      <c r="DA177" s="425"/>
      <c r="DB177" s="525">
        <f t="shared" si="1037"/>
        <v>0</v>
      </c>
      <c r="DC177" s="525">
        <f t="shared" si="1038"/>
        <v>19623.900000000005</v>
      </c>
      <c r="DD177" s="56"/>
      <c r="DG177" s="55">
        <f t="shared" si="1039"/>
        <v>46173</v>
      </c>
      <c r="DH177" s="425"/>
      <c r="DI177" s="526">
        <f>SUMPRODUCT(PRODUCE!$B184:$DY184,PRODUCE!$EB$19:$IY$19)</f>
        <v>0</v>
      </c>
      <c r="DJ177" s="425"/>
      <c r="DK177" s="526">
        <f t="shared" si="1040"/>
        <v>0</v>
      </c>
      <c r="DL177" s="526">
        <f t="shared" si="1041"/>
        <v>35234.999999999985</v>
      </c>
      <c r="DM177" s="56"/>
      <c r="DP177" s="55">
        <f t="shared" si="1042"/>
        <v>46173</v>
      </c>
      <c r="DQ177" s="425"/>
      <c r="DR177" s="423">
        <f>SUMPRODUCT(PRODUCE!$B184:$DY184,PRODUCE!$EB$20:$IY$20)</f>
        <v>0</v>
      </c>
      <c r="DS177" s="425"/>
      <c r="DT177" s="423">
        <f t="shared" si="1043"/>
        <v>0</v>
      </c>
      <c r="DU177" s="423">
        <f t="shared" si="1044"/>
        <v>5800</v>
      </c>
      <c r="DV177" s="56"/>
      <c r="DY177" s="55">
        <f t="shared" si="1045"/>
        <v>46173</v>
      </c>
      <c r="DZ177" s="67"/>
      <c r="EA177" s="157">
        <f>SUMPRODUCT(PRODUCE!$B184:$DY184,PRODUCE!$EB$21:$IY$21)</f>
        <v>0</v>
      </c>
      <c r="EB177" s="67"/>
      <c r="EC177" s="157">
        <f t="shared" si="1046"/>
        <v>0</v>
      </c>
      <c r="ED177" s="157">
        <f t="shared" si="1047"/>
        <v>0</v>
      </c>
      <c r="EE177" s="56"/>
      <c r="EH177" s="55">
        <f t="shared" si="1048"/>
        <v>46173</v>
      </c>
      <c r="EI177" s="67"/>
      <c r="EJ177" s="162">
        <f>SUMPRODUCT(PRODUCE!$B184:$DY184,PRODUCE!$EB$22:$IY$22)</f>
        <v>0</v>
      </c>
      <c r="EK177" s="67"/>
      <c r="EL177" s="162">
        <f t="shared" si="1049"/>
        <v>0</v>
      </c>
      <c r="EM177" s="162">
        <f t="shared" si="1050"/>
        <v>0</v>
      </c>
      <c r="EN177" s="56"/>
      <c r="EQ177" s="55">
        <f t="shared" si="1051"/>
        <v>46173</v>
      </c>
      <c r="ER177" s="67"/>
      <c r="ES177" s="135">
        <f>SUMPRODUCT(PRODUCE!$B184:$DY184,PRODUCE!$EB$23:$IY$23)</f>
        <v>0</v>
      </c>
      <c r="ET177" s="67"/>
      <c r="EU177" s="135">
        <f t="shared" si="1052"/>
        <v>0</v>
      </c>
      <c r="EV177" s="135">
        <f t="shared" si="1053"/>
        <v>0</v>
      </c>
      <c r="EW177" s="56"/>
      <c r="EZ177" s="55">
        <f t="shared" si="1054"/>
        <v>46173</v>
      </c>
      <c r="FA177" s="67"/>
      <c r="FB177" s="175">
        <f>SUMPRODUCT(PRODUCE!$B184:$DY184,PRODUCE!$EB$24:$IY$24)</f>
        <v>0</v>
      </c>
      <c r="FC177" s="67"/>
      <c r="FD177" s="175">
        <f t="shared" si="1055"/>
        <v>0</v>
      </c>
      <c r="FE177" s="175">
        <f t="shared" si="1056"/>
        <v>0</v>
      </c>
      <c r="FF177" s="56"/>
      <c r="FI177" s="55">
        <f t="shared" si="1057"/>
        <v>46173</v>
      </c>
      <c r="FJ177" s="67"/>
      <c r="FK177" s="183">
        <f>SUMPRODUCT(PRODUCE!$B184:$DY184,PRODUCE!$EB$25:$IY$25)</f>
        <v>0</v>
      </c>
      <c r="FL177" s="67"/>
      <c r="FM177" s="183">
        <f t="shared" si="1058"/>
        <v>0</v>
      </c>
      <c r="FN177" s="183">
        <f t="shared" si="1059"/>
        <v>0</v>
      </c>
      <c r="FO177" s="56"/>
      <c r="FR177" s="55">
        <f t="shared" si="1060"/>
        <v>46173</v>
      </c>
      <c r="FS177" s="67"/>
      <c r="FT177" s="186">
        <f>SUMPRODUCT(PRODUCE!$B184:$DY184,PRODUCE!$EB$26:$IY$26)</f>
        <v>0</v>
      </c>
      <c r="FU177" s="67"/>
      <c r="FV177" s="186">
        <f t="shared" si="1061"/>
        <v>0</v>
      </c>
      <c r="FW177" s="186">
        <f t="shared" si="1062"/>
        <v>4140</v>
      </c>
      <c r="FX177" s="56"/>
      <c r="GA177" s="55">
        <f t="shared" si="1063"/>
        <v>46173</v>
      </c>
      <c r="GB177" s="67"/>
      <c r="GC177" s="137">
        <f>SUMPRODUCT(PRODUCE!$B184:$DY184,PRODUCE!$EB$27:$IY$27)</f>
        <v>0</v>
      </c>
      <c r="GD177" s="67"/>
      <c r="GE177" s="137">
        <f t="shared" si="1064"/>
        <v>0</v>
      </c>
      <c r="GF177" s="137">
        <f t="shared" si="1065"/>
        <v>5040</v>
      </c>
      <c r="GG177" s="56"/>
      <c r="GI177" s="23"/>
      <c r="GJ177" s="55">
        <f t="shared" si="1066"/>
        <v>46173</v>
      </c>
      <c r="GK177" s="67"/>
      <c r="GL177" s="199">
        <f>SUMPRODUCT(PRODUCE!$B184:$DY184,PRODUCE!$EB$28:$IY$28)</f>
        <v>0</v>
      </c>
      <c r="GM177" s="67"/>
      <c r="GN177" s="199">
        <f t="shared" si="1067"/>
        <v>0</v>
      </c>
      <c r="GO177" s="199">
        <f t="shared" si="1068"/>
        <v>1760</v>
      </c>
      <c r="GP177" s="56"/>
      <c r="GS177" s="55">
        <f t="shared" si="1069"/>
        <v>46173</v>
      </c>
      <c r="GT177" s="67"/>
      <c r="GU177" s="195">
        <f>SUMPRODUCT(PRODUCE!$B184:$DY184,PRODUCE!$EB$29:$IY$29)</f>
        <v>0</v>
      </c>
      <c r="GV177" s="67"/>
      <c r="GW177" s="195">
        <f t="shared" si="1070"/>
        <v>0</v>
      </c>
      <c r="GX177" s="195">
        <f t="shared" si="1071"/>
        <v>600</v>
      </c>
      <c r="GY177" s="56"/>
      <c r="HB177" s="55">
        <f t="shared" si="1072"/>
        <v>46173</v>
      </c>
      <c r="HC177" s="67"/>
      <c r="HD177" s="191">
        <f>SUMPRODUCT(PRODUCE!$B184:$DY184,PRODUCE!$EB$30:$IY$30)</f>
        <v>0</v>
      </c>
      <c r="HE177" s="67"/>
      <c r="HF177" s="191">
        <f t="shared" si="1073"/>
        <v>0</v>
      </c>
      <c r="HG177" s="191">
        <f t="shared" si="1074"/>
        <v>3600</v>
      </c>
      <c r="HH177" s="56"/>
      <c r="HK177" s="55">
        <f t="shared" si="1075"/>
        <v>46173</v>
      </c>
      <c r="HL177" s="67"/>
      <c r="HM177" s="63">
        <f>SUMPRODUCT(PRODUCE!$B184:$DY184,PRODUCE!$EB$31:$IY$31)</f>
        <v>0</v>
      </c>
      <c r="HN177" s="67"/>
      <c r="HO177" s="63">
        <f t="shared" si="1076"/>
        <v>0</v>
      </c>
      <c r="HP177" s="63">
        <f t="shared" si="1077"/>
        <v>0</v>
      </c>
      <c r="HQ177" s="56"/>
      <c r="HU177" s="55">
        <f t="shared" si="1078"/>
        <v>46173</v>
      </c>
      <c r="HV177" s="67"/>
      <c r="HW177" s="242">
        <f>SUMPRODUCT(PRODUCE!$B184:$DY184,PRODUCE!$EB$32:$IY$32)</f>
        <v>0</v>
      </c>
      <c r="HX177" s="67"/>
      <c r="HY177" s="242">
        <f t="shared" si="1079"/>
        <v>0</v>
      </c>
      <c r="HZ177" s="242">
        <f t="shared" si="1080"/>
        <v>6800</v>
      </c>
      <c r="IA177" s="56"/>
      <c r="ID177" s="55">
        <f t="shared" si="1081"/>
        <v>46173</v>
      </c>
      <c r="IE177" s="67"/>
      <c r="IF177" s="242">
        <f>SUMPRODUCT(PRODUCE!$B184:$DY184,PRODUCE!$EB$33:$IY$33)</f>
        <v>0</v>
      </c>
      <c r="IG177" s="67"/>
      <c r="IH177" s="242">
        <f t="shared" si="1082"/>
        <v>0</v>
      </c>
      <c r="II177" s="242">
        <f t="shared" si="1083"/>
        <v>720</v>
      </c>
      <c r="IJ177" s="56"/>
      <c r="IM177" s="55">
        <f t="shared" si="1084"/>
        <v>46173</v>
      </c>
      <c r="IN177" s="67"/>
      <c r="IO177" s="242">
        <f>SUMPRODUCT(PRODUCE!$B184:$DY184,PRODUCE!$EB$34:$IY$34)</f>
        <v>0</v>
      </c>
      <c r="IP177" s="67"/>
      <c r="IQ177" s="242">
        <f t="shared" si="1085"/>
        <v>0</v>
      </c>
      <c r="IR177" s="242">
        <f t="shared" si="1086"/>
        <v>8140</v>
      </c>
      <c r="IS177" s="56"/>
      <c r="IV177" s="55">
        <f t="shared" si="1087"/>
        <v>46173</v>
      </c>
      <c r="IW177" s="67"/>
      <c r="IX177" s="242">
        <f>SUMPRODUCT(PRODUCE!$B184:$DY184,PRODUCE!$EB$35:$IY$35)</f>
        <v>0</v>
      </c>
      <c r="IY177" s="67"/>
      <c r="IZ177" s="242">
        <f t="shared" si="1088"/>
        <v>0</v>
      </c>
      <c r="JA177" s="242">
        <f t="shared" si="1089"/>
        <v>4960</v>
      </c>
      <c r="JB177" s="56"/>
      <c r="JE177" s="55">
        <f t="shared" si="1090"/>
        <v>46173</v>
      </c>
      <c r="JF177" s="67"/>
      <c r="JG177" s="242">
        <f>SUMPRODUCT(PRODUCE!$B184:$DY184,PRODUCE!$EB$36:$IY$36)</f>
        <v>0</v>
      </c>
      <c r="JH177" s="67"/>
      <c r="JI177" s="242">
        <f t="shared" si="1091"/>
        <v>0</v>
      </c>
      <c r="JJ177" s="242">
        <f t="shared" si="1092"/>
        <v>0</v>
      </c>
      <c r="JK177" s="56"/>
      <c r="JN177" s="55">
        <f t="shared" si="1093"/>
        <v>46173</v>
      </c>
      <c r="JO177" s="67"/>
      <c r="JP177" s="242">
        <f>SUMPRODUCT(PRODUCE!$B184:$DY184,PRODUCE!$EB$37:$IY$37)</f>
        <v>0</v>
      </c>
      <c r="JQ177" s="67"/>
      <c r="JR177" s="242">
        <f t="shared" si="1094"/>
        <v>0</v>
      </c>
      <c r="JS177" s="242">
        <f t="shared" si="1095"/>
        <v>3340</v>
      </c>
      <c r="JT177" s="56"/>
      <c r="JW177" s="55">
        <f t="shared" si="1096"/>
        <v>46173</v>
      </c>
      <c r="JX177" s="67"/>
      <c r="JY177" s="242">
        <f>SUMPRODUCT(PRODUCE!$B184:$DY184,PRODUCE!$EB$38:$IY$38)</f>
        <v>0</v>
      </c>
      <c r="JZ177" s="67"/>
      <c r="KA177" s="242">
        <f t="shared" si="1097"/>
        <v>0</v>
      </c>
      <c r="KB177" s="242">
        <f t="shared" si="1098"/>
        <v>2540</v>
      </c>
      <c r="KC177" s="56"/>
      <c r="KF177" s="55">
        <f t="shared" si="1099"/>
        <v>46173</v>
      </c>
      <c r="KG177" s="67"/>
      <c r="KH177" s="242">
        <f>SUMPRODUCT(PRODUCE!$B184:$DY184,PRODUCE!$EB$39:$IY$39)</f>
        <v>0</v>
      </c>
      <c r="KI177" s="67"/>
      <c r="KJ177" s="242">
        <f t="shared" si="1100"/>
        <v>0</v>
      </c>
      <c r="KK177" s="242">
        <f t="shared" si="1101"/>
        <v>2359.5</v>
      </c>
      <c r="KL177" s="56"/>
      <c r="KO177" s="55">
        <f t="shared" si="1102"/>
        <v>46173</v>
      </c>
      <c r="KP177" s="67"/>
      <c r="KQ177" s="242">
        <f>SUMPRODUCT(PRODUCE!$B184:$DY184,PRODUCE!$EB$40:$IY$40)</f>
        <v>0</v>
      </c>
      <c r="KR177" s="67"/>
      <c r="KS177" s="242">
        <f t="shared" si="1103"/>
        <v>0</v>
      </c>
      <c r="KT177" s="242">
        <f t="shared" si="1104"/>
        <v>1890</v>
      </c>
      <c r="KU177" s="56"/>
      <c r="KW177" s="23"/>
      <c r="KX177" s="55">
        <f t="shared" si="1105"/>
        <v>46173</v>
      </c>
      <c r="KY177" s="67"/>
      <c r="KZ177" s="242">
        <f>SUMPRODUCT(PRODUCE!$B184:$DY184,PRODUCE!$EB$41:$IY$41)</f>
        <v>0</v>
      </c>
      <c r="LA177" s="67"/>
      <c r="LB177" s="242">
        <f t="shared" si="1106"/>
        <v>0</v>
      </c>
      <c r="LC177" s="242">
        <f t="shared" si="1107"/>
        <v>3690</v>
      </c>
      <c r="LD177" s="56"/>
      <c r="LG177" s="55">
        <f t="shared" si="1108"/>
        <v>46173</v>
      </c>
      <c r="LH177" s="67"/>
      <c r="LI177" s="242">
        <f>SUMPRODUCT(PRODUCE!$B184:$DY184,PRODUCE!$EB$42:$IY$42)</f>
        <v>0</v>
      </c>
      <c r="LJ177" s="67"/>
      <c r="LK177" s="242">
        <f t="shared" si="1109"/>
        <v>0</v>
      </c>
      <c r="LL177" s="242">
        <f t="shared" si="1110"/>
        <v>4000</v>
      </c>
      <c r="LM177" s="56"/>
      <c r="LP177" s="55">
        <f t="shared" si="1111"/>
        <v>46173</v>
      </c>
      <c r="LQ177" s="67"/>
      <c r="LR177" s="242">
        <f>SUMPRODUCT(PRODUCE!$B192:$DY192,PRODUCE!$EB$43:$IY$43)</f>
        <v>0</v>
      </c>
      <c r="LS177" s="67"/>
      <c r="LT177" s="242">
        <f t="shared" si="1112"/>
        <v>0</v>
      </c>
      <c r="LU177" s="242">
        <f t="shared" si="1113"/>
        <v>0</v>
      </c>
      <c r="LV177" s="56"/>
      <c r="LY177" s="55">
        <f t="shared" si="1114"/>
        <v>46173</v>
      </c>
      <c r="LZ177" s="67"/>
      <c r="MA177" s="242">
        <f>SUMPRODUCT(PRODUCE!$B184:$DY184,PRODUCE!$EB$44:$IY$44)</f>
        <v>0</v>
      </c>
      <c r="MB177" s="67"/>
      <c r="MC177" s="242">
        <f t="shared" si="1115"/>
        <v>0</v>
      </c>
      <c r="MD177" s="242">
        <f t="shared" si="1116"/>
        <v>0</v>
      </c>
      <c r="ME177" s="56"/>
      <c r="MH177" s="55">
        <f t="shared" si="1117"/>
        <v>46173</v>
      </c>
      <c r="MI177" s="67"/>
      <c r="MJ177" s="242">
        <f>SUMPRODUCT(PRODUCE!$B184:$DY184,PRODUCE!$EB$45:$IY$45)</f>
        <v>0</v>
      </c>
      <c r="MK177" s="67"/>
      <c r="ML177" s="242">
        <f t="shared" si="1118"/>
        <v>0</v>
      </c>
      <c r="MM177" s="242">
        <f t="shared" si="1119"/>
        <v>0</v>
      </c>
      <c r="MN177" s="56"/>
      <c r="MQ177" s="55">
        <f t="shared" si="1120"/>
        <v>46173</v>
      </c>
      <c r="MR177" s="67"/>
      <c r="MS177" s="242">
        <f>SUMPRODUCT(PRODUCE!$B184:$DY184,PRODUCE!$EB$46:$IY$46)</f>
        <v>0</v>
      </c>
      <c r="MT177" s="67"/>
      <c r="MU177" s="242">
        <f t="shared" si="1121"/>
        <v>0</v>
      </c>
      <c r="MV177" s="242">
        <f t="shared" si="1122"/>
        <v>3724</v>
      </c>
      <c r="MW177" s="56"/>
      <c r="MZ177" s="55">
        <f t="shared" si="1123"/>
        <v>46173</v>
      </c>
      <c r="NA177" s="67"/>
      <c r="NB177" s="242">
        <f>SUMPRODUCT(PRODUCE!$B184:$DY184,PRODUCE!$EB$47:$IY$47)</f>
        <v>0</v>
      </c>
      <c r="NC177" s="67"/>
      <c r="ND177" s="242">
        <f t="shared" si="1124"/>
        <v>0</v>
      </c>
      <c r="NE177" s="242">
        <f t="shared" si="1125"/>
        <v>0</v>
      </c>
      <c r="NF177" s="56"/>
      <c r="NI177" s="55">
        <f t="shared" si="1126"/>
        <v>46173</v>
      </c>
      <c r="NJ177" s="67"/>
      <c r="NK177" s="242">
        <f>SUMPRODUCT(PRODUCE!$B184:$DY184,PRODUCE!$EB$48:$IY$48)</f>
        <v>0</v>
      </c>
      <c r="NL177" s="67"/>
      <c r="NM177" s="242">
        <f t="shared" si="1127"/>
        <v>0</v>
      </c>
      <c r="NN177" s="242">
        <f t="shared" si="1128"/>
        <v>1127</v>
      </c>
      <c r="NO177" s="56"/>
      <c r="NR177" s="55">
        <f t="shared" si="1129"/>
        <v>46173</v>
      </c>
      <c r="NS177" s="67"/>
      <c r="NT177" s="242">
        <f>SUMPRODUCT(PRODUCE!$B184:$DY184,PRODUCE!$EB$49:$IY$49)</f>
        <v>0</v>
      </c>
      <c r="NU177" s="67"/>
      <c r="NV177" s="242">
        <f t="shared" si="1130"/>
        <v>0</v>
      </c>
      <c r="NW177" s="242">
        <f t="shared" si="1131"/>
        <v>3111.9999999999995</v>
      </c>
      <c r="NX177" s="345"/>
      <c r="OA177" s="55">
        <f t="shared" si="1132"/>
        <v>46173</v>
      </c>
      <c r="OB177" s="67"/>
      <c r="OC177" s="242">
        <f>SUMPRODUCT(PRODUCE!$B184:$DY184,PRODUCE!$EB$50:$IY$50)</f>
        <v>0</v>
      </c>
      <c r="OD177" s="67"/>
      <c r="OE177" s="242">
        <f t="shared" si="1133"/>
        <v>0</v>
      </c>
      <c r="OF177" s="242">
        <f t="shared" si="1134"/>
        <v>1680.5</v>
      </c>
      <c r="OG177" s="56"/>
      <c r="OJ177" s="55">
        <f t="shared" si="1135"/>
        <v>46173</v>
      </c>
      <c r="OK177" s="67"/>
      <c r="OL177" s="242">
        <f>SUMPRODUCT(PRODUCE!$B184:$DY184,PRODUCE!$EB$51:$IY$51)</f>
        <v>0</v>
      </c>
      <c r="OM177" s="67"/>
      <c r="ON177" s="242">
        <f t="shared" si="1136"/>
        <v>0</v>
      </c>
      <c r="OO177" s="242">
        <f t="shared" si="1137"/>
        <v>0</v>
      </c>
      <c r="OP177" s="56"/>
      <c r="OS177" s="55">
        <f t="shared" si="1138"/>
        <v>46173</v>
      </c>
      <c r="OT177" s="67"/>
      <c r="OU177" s="242">
        <f>SUMPRODUCT(PRODUCE!$B184:$DY184,PRODUCE!$EB$52:$IY$52)</f>
        <v>0</v>
      </c>
      <c r="OV177" s="67"/>
      <c r="OW177" s="242">
        <f t="shared" si="1139"/>
        <v>0</v>
      </c>
      <c r="OX177" s="242">
        <f t="shared" si="1140"/>
        <v>1482</v>
      </c>
      <c r="OY177" s="56"/>
      <c r="PB177" s="55">
        <f t="shared" si="1141"/>
        <v>46173</v>
      </c>
      <c r="PC177" s="67"/>
      <c r="PD177" s="242">
        <f>SUMPRODUCT(PRODUCE!$B184:$DY184,PRODUCE!$EB$53:$IY$53)</f>
        <v>0</v>
      </c>
      <c r="PE177" s="67"/>
      <c r="PF177" s="242">
        <f t="shared" si="1142"/>
        <v>0</v>
      </c>
      <c r="PG177" s="242">
        <f t="shared" si="1143"/>
        <v>0</v>
      </c>
      <c r="PH177" s="56"/>
      <c r="PK177" s="55">
        <f t="shared" si="1144"/>
        <v>46173</v>
      </c>
      <c r="PL177" s="67"/>
      <c r="PM177" s="242">
        <f>SUMPRODUCT(PRODUCE!$B184:$DY184,PRODUCE!$EB$54:$IY$54)</f>
        <v>0</v>
      </c>
      <c r="PN177" s="67"/>
      <c r="PO177" s="242">
        <f t="shared" si="1145"/>
        <v>0</v>
      </c>
      <c r="PP177" s="242">
        <f t="shared" si="1146"/>
        <v>100</v>
      </c>
      <c r="PQ177" s="56"/>
      <c r="PT177" s="55">
        <f t="shared" si="1147"/>
        <v>46173</v>
      </c>
      <c r="PU177" s="67"/>
      <c r="PV177" s="242">
        <f>SUMPRODUCT(PRODUCE!$B184:$DY184,PRODUCE!$EB$55:$IY$55)</f>
        <v>0</v>
      </c>
      <c r="PW177" s="67"/>
      <c r="PX177" s="242">
        <f t="shared" si="1148"/>
        <v>0</v>
      </c>
      <c r="PY177" s="242">
        <f t="shared" si="1149"/>
        <v>13.960000000000036</v>
      </c>
      <c r="PZ177" s="56"/>
      <c r="QC177" s="55">
        <f t="shared" si="1150"/>
        <v>46173</v>
      </c>
      <c r="QD177" s="67"/>
      <c r="QE177" s="242">
        <f>SUMPRODUCT(PRODUCE!$B184:$DY184,PRODUCE!$EB$56:$IY$56)</f>
        <v>0</v>
      </c>
      <c r="QF177" s="67"/>
      <c r="QG177" s="242">
        <f t="shared" si="1151"/>
        <v>0</v>
      </c>
      <c r="QH177" s="242">
        <f t="shared" si="1152"/>
        <v>108</v>
      </c>
      <c r="QI177" s="56"/>
      <c r="QL177" s="55">
        <f t="shared" si="1153"/>
        <v>46173</v>
      </c>
      <c r="QM177" s="67"/>
      <c r="QN177" s="242">
        <f>SUMPRODUCT(PRODUCE!$B184:$DY184,PRODUCE!$EB$57:$IY$57)</f>
        <v>0</v>
      </c>
      <c r="QO177" s="67"/>
      <c r="QP177" s="242">
        <f t="shared" si="1154"/>
        <v>0</v>
      </c>
      <c r="QQ177" s="242">
        <f t="shared" si="1155"/>
        <v>245</v>
      </c>
      <c r="QR177" s="56"/>
      <c r="QU177" s="55">
        <f t="shared" si="1156"/>
        <v>46173</v>
      </c>
      <c r="QV177" s="67"/>
      <c r="QW177" s="242">
        <f>SUMPRODUCT(PRODUCE!$B184:$DY184,PRODUCE!$EB$58:$IY$58)</f>
        <v>0</v>
      </c>
      <c r="QX177" s="67"/>
      <c r="QY177" s="242">
        <f t="shared" si="1157"/>
        <v>0</v>
      </c>
      <c r="QZ177" s="242">
        <f t="shared" si="1158"/>
        <v>207.6</v>
      </c>
      <c r="RA177" s="56"/>
      <c r="RD177" s="55">
        <f t="shared" si="1159"/>
        <v>46173</v>
      </c>
      <c r="RE177" s="67"/>
      <c r="RF177" s="242">
        <f>SUMPRODUCT(PRODUCE!$B184:$DY184,PRODUCE!$EB$59:$IY$59)</f>
        <v>0</v>
      </c>
      <c r="RG177" s="67"/>
      <c r="RH177" s="242">
        <f t="shared" si="1160"/>
        <v>0</v>
      </c>
      <c r="RI177" s="242">
        <f t="shared" si="1161"/>
        <v>147.04000000000002</v>
      </c>
      <c r="RJ177" s="56"/>
      <c r="RM177" s="55">
        <f t="shared" si="1162"/>
        <v>46173</v>
      </c>
      <c r="RN177" s="67"/>
      <c r="RO177" s="242">
        <f>SUMPRODUCT(PRODUCE!$B184:$DY184,PRODUCE!$EB$60:$IY$60)</f>
        <v>0</v>
      </c>
      <c r="RP177" s="67"/>
      <c r="RQ177" s="242">
        <f t="shared" si="1163"/>
        <v>0</v>
      </c>
      <c r="RR177" s="242">
        <f t="shared" si="1164"/>
        <v>46.8</v>
      </c>
      <c r="RS177" s="56"/>
      <c r="RV177" s="55">
        <f t="shared" si="1165"/>
        <v>46173</v>
      </c>
      <c r="RW177" s="67"/>
      <c r="RX177" s="242">
        <f>SUMPRODUCT(PRODUCE!$B184:$DY184,PRODUCE!$EB$61:$IY$61)</f>
        <v>0</v>
      </c>
      <c r="RY177" s="67"/>
      <c r="RZ177" s="242">
        <f t="shared" si="1166"/>
        <v>0</v>
      </c>
      <c r="SA177" s="242">
        <f t="shared" si="1167"/>
        <v>0</v>
      </c>
      <c r="SB177" s="56"/>
      <c r="SE177" s="55">
        <f t="shared" si="1168"/>
        <v>46173</v>
      </c>
      <c r="SF177" s="67"/>
      <c r="SG177" s="242">
        <f>SUMPRODUCT(PRODUCE!$B184:$DY184,PRODUCE!$EB$62:$IY$62)</f>
        <v>0</v>
      </c>
      <c r="SH177" s="67"/>
      <c r="SI177" s="242">
        <f t="shared" si="1169"/>
        <v>0</v>
      </c>
      <c r="SJ177" s="242">
        <f t="shared" si="1170"/>
        <v>24.200000000000003</v>
      </c>
      <c r="SK177" s="56"/>
      <c r="SN177" s="55">
        <f t="shared" si="1171"/>
        <v>46173</v>
      </c>
      <c r="SO177" s="67"/>
      <c r="SP177" s="242">
        <f>SUMPRODUCT(PRODUCE!$B184:$DY184,PRODUCE!$EB$63:$IY$63)</f>
        <v>0</v>
      </c>
      <c r="SQ177" s="67"/>
      <c r="SR177" s="242">
        <f t="shared" si="1172"/>
        <v>0</v>
      </c>
      <c r="SS177" s="242">
        <f t="shared" si="1173"/>
        <v>32</v>
      </c>
      <c r="ST177" s="56"/>
      <c r="SW177" s="55">
        <f t="shared" si="1174"/>
        <v>46173</v>
      </c>
      <c r="SX177" s="67"/>
      <c r="SY177" s="242">
        <f>SUMPRODUCT(PRODUCE!$B184:$DY184,PRODUCE!$EB$64:$IY$64)</f>
        <v>0</v>
      </c>
      <c r="SZ177" s="67"/>
      <c r="TA177" s="242">
        <f t="shared" si="1175"/>
        <v>0</v>
      </c>
      <c r="TB177" s="242">
        <f t="shared" si="1176"/>
        <v>0</v>
      </c>
      <c r="TC177" s="56"/>
      <c r="TF177" s="55">
        <f t="shared" si="1177"/>
        <v>46173</v>
      </c>
      <c r="TG177" s="67"/>
      <c r="TH177" s="242">
        <f>SUMPRODUCT(PRODUCE!$B184:$DY184,PRODUCE!$EB$65:$IY$65)</f>
        <v>0</v>
      </c>
      <c r="TI177" s="67"/>
      <c r="TJ177" s="242">
        <f t="shared" si="1178"/>
        <v>0</v>
      </c>
      <c r="TK177" s="242">
        <f t="shared" si="1179"/>
        <v>0</v>
      </c>
      <c r="TL177" s="56"/>
      <c r="TO177" s="55">
        <f t="shared" si="1180"/>
        <v>46173</v>
      </c>
      <c r="TP177" s="67"/>
      <c r="TQ177" s="242">
        <f>SUMPRODUCT(PRODUCE!$B184:$DY184,PRODUCE!$EB$66:$IY$66)</f>
        <v>0</v>
      </c>
      <c r="TR177" s="67"/>
      <c r="TS177" s="242">
        <f t="shared" si="1181"/>
        <v>0</v>
      </c>
      <c r="TT177" s="242">
        <f t="shared" si="1182"/>
        <v>0</v>
      </c>
      <c r="TU177" s="56"/>
      <c r="TX177" s="55">
        <f t="shared" si="1183"/>
        <v>46173</v>
      </c>
      <c r="TY177" s="67"/>
      <c r="TZ177" s="242">
        <f>SUMPRODUCT(PRODUCE!$B184:$DY184,PRODUCE!$EB$67:$IY$67)</f>
        <v>0</v>
      </c>
      <c r="UA177" s="67"/>
      <c r="UB177" s="242">
        <f t="shared" si="1184"/>
        <v>0</v>
      </c>
      <c r="UC177" s="242">
        <f t="shared" si="1185"/>
        <v>135.6</v>
      </c>
      <c r="UD177" s="56"/>
      <c r="UG177" s="55">
        <f t="shared" si="1186"/>
        <v>46173</v>
      </c>
      <c r="UH177" s="67"/>
      <c r="UI177" s="242">
        <f>SUMPRODUCT(PRODUCE!$B184:$DY184,PRODUCE!$EB$68:$IY$68)</f>
        <v>0</v>
      </c>
      <c r="UJ177" s="67"/>
      <c r="UK177" s="242">
        <f t="shared" si="1187"/>
        <v>0</v>
      </c>
      <c r="UL177" s="242">
        <f t="shared" si="1188"/>
        <v>128</v>
      </c>
      <c r="UM177" s="56"/>
      <c r="UP177" s="55">
        <f t="shared" si="1189"/>
        <v>46173</v>
      </c>
      <c r="UQ177" s="67"/>
      <c r="UR177" s="242">
        <f>SUMPRODUCT(PRODUCE!$B184:$DY184,PRODUCE!$EB$69:$IY$69)</f>
        <v>0</v>
      </c>
      <c r="US177" s="67"/>
      <c r="UT177" s="242">
        <f t="shared" si="1190"/>
        <v>0</v>
      </c>
      <c r="UU177" s="242">
        <f t="shared" si="1191"/>
        <v>11.25</v>
      </c>
      <c r="UV177" s="56"/>
      <c r="UY177" s="55">
        <f t="shared" si="1192"/>
        <v>46173</v>
      </c>
      <c r="UZ177" s="67"/>
      <c r="VA177" s="242">
        <f>SUMPRODUCT(PRODUCE!$B184:$DY184,PRODUCE!$EB$70:$IY$70)</f>
        <v>0</v>
      </c>
      <c r="VB177" s="67"/>
      <c r="VC177" s="242">
        <f t="shared" si="1193"/>
        <v>0</v>
      </c>
      <c r="VD177" s="242">
        <f t="shared" si="1194"/>
        <v>41.600000000000023</v>
      </c>
      <c r="VE177" s="56"/>
      <c r="VH177" s="55">
        <f t="shared" si="1195"/>
        <v>46173</v>
      </c>
      <c r="VI177" s="67"/>
      <c r="VJ177" s="242">
        <f>SUMPRODUCT(PRODUCE!$B184:$DY184,PRODUCE!$EB$71:$IY$71)</f>
        <v>0</v>
      </c>
      <c r="VK177" s="67"/>
      <c r="VL177" s="242">
        <f t="shared" si="1196"/>
        <v>0</v>
      </c>
      <c r="VM177" s="242">
        <f t="shared" si="1197"/>
        <v>0</v>
      </c>
      <c r="VN177" s="56"/>
      <c r="VQ177" s="55">
        <f t="shared" si="1198"/>
        <v>46173</v>
      </c>
      <c r="VR177" s="67"/>
      <c r="VS177" s="242">
        <f>SUMPRODUCT(PRODUCE!$B184:$DY184,PRODUCE!$EB$57:$IY$57)</f>
        <v>0</v>
      </c>
      <c r="VT177" s="67"/>
      <c r="VU177" s="242">
        <f t="shared" si="1199"/>
        <v>0</v>
      </c>
      <c r="VV177" s="242">
        <f t="shared" si="1200"/>
        <v>0</v>
      </c>
      <c r="VW177" s="56"/>
      <c r="VZ177" s="55">
        <f t="shared" si="1201"/>
        <v>46173</v>
      </c>
      <c r="WA177" s="67"/>
      <c r="WB177" s="242">
        <f>SUMPRODUCT(PRODUCE!$B184:$DY184,PRODUCE!$EB$57:$IY$57)</f>
        <v>0</v>
      </c>
      <c r="WC177" s="67"/>
      <c r="WD177" s="242">
        <f t="shared" si="1202"/>
        <v>0</v>
      </c>
      <c r="WE177" s="242">
        <f t="shared" si="1203"/>
        <v>0</v>
      </c>
      <c r="WF177" s="56"/>
      <c r="WI177" s="55">
        <f t="shared" si="1204"/>
        <v>46173</v>
      </c>
      <c r="WJ177" s="425"/>
      <c r="WK177" s="540">
        <f>SUMPRODUCT(PRODUCE!$B184:$DY184,PRODUCE!$EB$74:$IY$74)</f>
        <v>0</v>
      </c>
      <c r="WL177" s="425"/>
      <c r="WM177" s="540">
        <f t="shared" si="1205"/>
        <v>0</v>
      </c>
      <c r="WN177" s="540">
        <f t="shared" si="1206"/>
        <v>1199</v>
      </c>
      <c r="WO177" s="56"/>
      <c r="WR177" s="55">
        <f t="shared" si="1207"/>
        <v>46173</v>
      </c>
      <c r="WS177" s="425"/>
      <c r="WT177" s="540">
        <f>SUMPRODUCT(PRODUCE!$B184:$DY184,PRODUCE!$EB$75:$IY$75)</f>
        <v>0</v>
      </c>
      <c r="WU177" s="425"/>
      <c r="WV177" s="540">
        <f t="shared" si="1208"/>
        <v>0</v>
      </c>
      <c r="WW177" s="540">
        <f t="shared" si="1209"/>
        <v>0</v>
      </c>
      <c r="WX177" s="56"/>
      <c r="XA177" s="55">
        <f t="shared" si="1210"/>
        <v>46173</v>
      </c>
      <c r="XB177" s="425"/>
      <c r="XC177" s="540">
        <f>SUMPRODUCT(PRODUCE!$B184:$DY184,PRODUCE!$EB$76:$IY$76)</f>
        <v>0</v>
      </c>
      <c r="XD177" s="425"/>
      <c r="XE177" s="540">
        <f t="shared" si="1211"/>
        <v>0</v>
      </c>
      <c r="XF177" s="540">
        <f t="shared" si="1212"/>
        <v>6813</v>
      </c>
      <c r="XG177" s="56"/>
      <c r="XJ177" s="55">
        <f t="shared" si="1213"/>
        <v>46173</v>
      </c>
      <c r="XK177" s="425">
        <v>266</v>
      </c>
      <c r="XL177" s="540">
        <f>SUMPRODUCT(PRODUCE!$B184:$DY184,PRODUCE!$EB$77:$IY$77)</f>
        <v>0</v>
      </c>
      <c r="XM177" s="425"/>
      <c r="XN177" s="540">
        <f t="shared" si="1214"/>
        <v>0</v>
      </c>
      <c r="XO177" s="540">
        <f t="shared" si="1215"/>
        <v>7824</v>
      </c>
      <c r="XP177" s="56"/>
      <c r="XS177" s="55">
        <f t="shared" si="1216"/>
        <v>46173</v>
      </c>
      <c r="XT177" s="67"/>
      <c r="XU177" s="242">
        <f>SUMPRODUCT(PRODUCE!$B184:$DY184,PRODUCE!$EB$78:$IY$78)</f>
        <v>0</v>
      </c>
      <c r="XV177" s="67"/>
      <c r="XW177" s="242">
        <f t="shared" si="1217"/>
        <v>0</v>
      </c>
      <c r="XX177" s="242">
        <f t="shared" si="1218"/>
        <v>1621</v>
      </c>
      <c r="XY177" s="56"/>
      <c r="YB177" s="55">
        <f t="shared" si="1219"/>
        <v>46173</v>
      </c>
      <c r="YC177" s="67"/>
      <c r="YD177" s="242">
        <f>SUMPRODUCT(PRODUCE!$B184:$DY184,PRODUCE!$EB$79:$IY$79)</f>
        <v>0</v>
      </c>
      <c r="YE177" s="67"/>
      <c r="YF177" s="242">
        <f t="shared" si="1220"/>
        <v>0</v>
      </c>
      <c r="YG177" s="242">
        <f t="shared" si="1221"/>
        <v>6193</v>
      </c>
      <c r="YH177" s="56"/>
      <c r="YK177" s="55">
        <f t="shared" si="1222"/>
        <v>46173</v>
      </c>
      <c r="YL177" s="67"/>
      <c r="YM177" s="242">
        <f>SUMPRODUCT(PRODUCE!$B184:$DY184,PRODUCE!$EB$80:$IY$80)</f>
        <v>0</v>
      </c>
      <c r="YN177" s="67"/>
      <c r="YO177" s="242">
        <f t="shared" si="1223"/>
        <v>0</v>
      </c>
      <c r="YP177" s="242">
        <f t="shared" si="1224"/>
        <v>0</v>
      </c>
      <c r="YQ177" s="56"/>
      <c r="YT177" s="55">
        <f t="shared" si="1225"/>
        <v>46173</v>
      </c>
      <c r="YU177" s="67"/>
      <c r="YV177" s="242">
        <f>SUMPRODUCT(PRODUCE!$B184:$DY184,PRODUCE!$EB$57:$IY$57)</f>
        <v>0</v>
      </c>
      <c r="YW177" s="67"/>
      <c r="YX177" s="242">
        <f t="shared" si="1226"/>
        <v>0</v>
      </c>
      <c r="YY177" s="242">
        <f t="shared" si="1227"/>
        <v>0</v>
      </c>
      <c r="YZ177" s="56"/>
      <c r="ZC177" s="55">
        <f t="shared" si="1228"/>
        <v>46173</v>
      </c>
      <c r="ZD177" s="67"/>
      <c r="ZE177" s="242">
        <f>SUMPRODUCT(PRODUCE!$B184:$DY184,PRODUCE!$EB$57:$IY$57)</f>
        <v>0</v>
      </c>
      <c r="ZF177" s="67"/>
      <c r="ZG177" s="242">
        <f t="shared" si="1229"/>
        <v>0</v>
      </c>
      <c r="ZH177" s="242">
        <f t="shared" si="1230"/>
        <v>0</v>
      </c>
      <c r="ZI177" s="56"/>
      <c r="ZL177" s="55">
        <f t="shared" si="1231"/>
        <v>46173</v>
      </c>
      <c r="ZM177" s="67"/>
      <c r="ZN177" s="242">
        <f>SUMPRODUCT(PRODUCE!$B184:$DY184,PRODUCE!$EB$57:$IY$57)</f>
        <v>0</v>
      </c>
      <c r="ZO177" s="67"/>
      <c r="ZP177" s="242">
        <f t="shared" si="1232"/>
        <v>0</v>
      </c>
      <c r="ZQ177" s="242">
        <f t="shared" si="1233"/>
        <v>0</v>
      </c>
      <c r="ZR177" s="56"/>
      <c r="ZU177" s="55">
        <f t="shared" si="1234"/>
        <v>46173</v>
      </c>
      <c r="ZV177" s="67"/>
      <c r="ZW177" s="242">
        <f>SUMPRODUCT(PRODUCE!$B184:$DY184,PRODUCE!$EB$57:$IY$57)</f>
        <v>0</v>
      </c>
      <c r="ZX177" s="67"/>
      <c r="ZY177" s="242">
        <f t="shared" si="1235"/>
        <v>0</v>
      </c>
      <c r="ZZ177" s="242">
        <f t="shared" si="1236"/>
        <v>0</v>
      </c>
      <c r="AAA177" s="56"/>
      <c r="AAD177" s="55">
        <f t="shared" si="1237"/>
        <v>46173</v>
      </c>
      <c r="AAE177" s="67"/>
      <c r="AAF177" s="242">
        <f>SUMPRODUCT(PRODUCE!$B184:$DY184,PRODUCE!$EB$57:$IY$57)</f>
        <v>0</v>
      </c>
      <c r="AAG177" s="67"/>
      <c r="AAH177" s="242">
        <f t="shared" si="1238"/>
        <v>0</v>
      </c>
      <c r="AAI177" s="242">
        <f t="shared" si="1239"/>
        <v>0</v>
      </c>
      <c r="AAJ177" s="56"/>
      <c r="AAM177" s="55">
        <f t="shared" si="1240"/>
        <v>46173</v>
      </c>
      <c r="AAN177" s="67"/>
      <c r="AAO177" s="242">
        <f>SUMPRODUCT(PRODUCE!$B184:$DY184,PRODUCE!$EB$57:$IY$57)</f>
        <v>0</v>
      </c>
      <c r="AAP177" s="67"/>
      <c r="AAQ177" s="242">
        <f t="shared" si="1241"/>
        <v>0</v>
      </c>
      <c r="AAR177" s="242">
        <f t="shared" si="1242"/>
        <v>0</v>
      </c>
      <c r="AAS177" s="56"/>
      <c r="AAV177" s="55">
        <f t="shared" si="1243"/>
        <v>46173</v>
      </c>
      <c r="AAW177" s="67"/>
      <c r="AAX177" s="242">
        <f>SUMPRODUCT(PRODUCE!$B184:$DY184,PRODUCE!$EB$57:$IY$57)</f>
        <v>0</v>
      </c>
      <c r="AAY177" s="67"/>
      <c r="AAZ177" s="242">
        <f t="shared" si="1244"/>
        <v>0</v>
      </c>
      <c r="ABA177" s="242">
        <f t="shared" si="1245"/>
        <v>0</v>
      </c>
      <c r="ABB177" s="56"/>
      <c r="ABE177" s="55">
        <f t="shared" si="1246"/>
        <v>46173</v>
      </c>
      <c r="ABF177" s="67"/>
      <c r="ABG177" s="242">
        <f>SUMPRODUCT(PRODUCE!$B184:$DY184,PRODUCE!$EB$57:$IY$57)</f>
        <v>0</v>
      </c>
      <c r="ABH177" s="67"/>
      <c r="ABI177" s="242">
        <f t="shared" si="1247"/>
        <v>0</v>
      </c>
      <c r="ABJ177" s="242">
        <f t="shared" si="1248"/>
        <v>0</v>
      </c>
      <c r="ABK177" s="56"/>
    </row>
    <row r="178" spans="1:739" ht="14.45" thickBot="1">
      <c r="B178" s="480">
        <f>SUM(B147:B177)</f>
        <v>1154</v>
      </c>
      <c r="C178" s="68" t="s">
        <v>72</v>
      </c>
      <c r="D178" s="426">
        <f>SUM(D147:D177)</f>
        <v>736930</v>
      </c>
      <c r="E178" s="427">
        <f>SUM(E147:E177)</f>
        <v>660754.0199999999</v>
      </c>
      <c r="F178" s="427">
        <f>SUM(F147:F177)</f>
        <v>660955.00000000012</v>
      </c>
      <c r="G178" s="427">
        <f>SUM(G147:G177)</f>
        <v>-200.98000000002321</v>
      </c>
      <c r="H178" s="428">
        <f>H177</f>
        <v>244343.40000000008</v>
      </c>
      <c r="I178" s="289"/>
      <c r="L178" s="68" t="s">
        <v>72</v>
      </c>
      <c r="M178" s="426">
        <f>SUM(M147:M177)</f>
        <v>333130</v>
      </c>
      <c r="N178" s="427">
        <f>SUM(N147:N177)</f>
        <v>290450.74</v>
      </c>
      <c r="O178" s="427">
        <f>SUM(O147:O177)</f>
        <v>290448.59999999998</v>
      </c>
      <c r="P178" s="427">
        <f>SUM(P147:P177)</f>
        <v>2.1400000000014643</v>
      </c>
      <c r="Q178" s="428">
        <f>Q177</f>
        <v>105957.20000000007</v>
      </c>
      <c r="R178" s="71"/>
      <c r="U178" s="68" t="s">
        <v>72</v>
      </c>
      <c r="V178" s="426">
        <f>SUM(V147:V177)</f>
        <v>80070</v>
      </c>
      <c r="W178" s="427">
        <f>SUM(W147:W177)</f>
        <v>66390</v>
      </c>
      <c r="X178" s="427">
        <f>SUM(X147:X177)</f>
        <v>66400.899999999994</v>
      </c>
      <c r="Y178" s="427">
        <f>SUM(Y147:Y177)</f>
        <v>-10.899999999999238</v>
      </c>
      <c r="Z178" s="428">
        <f>Z177</f>
        <v>44686.299999999974</v>
      </c>
      <c r="AA178" s="71"/>
      <c r="AD178" s="68" t="s">
        <v>72</v>
      </c>
      <c r="AE178" s="426">
        <f>SUM(AE147:AE177)</f>
        <v>30400</v>
      </c>
      <c r="AF178" s="427">
        <f>SUM(AF147:AF177)</f>
        <v>30200</v>
      </c>
      <c r="AG178" s="427">
        <f>SUM(AG147:AG177)</f>
        <v>31239.1</v>
      </c>
      <c r="AH178" s="427">
        <f>SUM(AH147:AH177)</f>
        <v>-1039.0999999999995</v>
      </c>
      <c r="AI178" s="428">
        <f>AI177</f>
        <v>12193.400000000018</v>
      </c>
      <c r="AJ178" s="71"/>
      <c r="AM178" s="68" t="s">
        <v>72</v>
      </c>
      <c r="AN178" s="426">
        <f>SUM(AN147:AN177)</f>
        <v>0</v>
      </c>
      <c r="AO178" s="427">
        <f>SUM(AO147:AO177)</f>
        <v>0</v>
      </c>
      <c r="AP178" s="427">
        <f>SUM(AP147:AP177)</f>
        <v>0</v>
      </c>
      <c r="AQ178" s="427">
        <f>SUM(AQ147:AQ177)</f>
        <v>0</v>
      </c>
      <c r="AR178" s="428">
        <f>AR177</f>
        <v>0</v>
      </c>
      <c r="AS178" s="71"/>
      <c r="AV178" s="68" t="s">
        <v>72</v>
      </c>
      <c r="AW178" s="426">
        <f>SUM(AW147:AW177)</f>
        <v>11920</v>
      </c>
      <c r="AX178" s="427">
        <f>SUM(AX147:AX177)</f>
        <v>11155</v>
      </c>
      <c r="AY178" s="427">
        <f>SUM(AY147:AY177)</f>
        <v>30740.500000000004</v>
      </c>
      <c r="AZ178" s="427">
        <f>SUM(AZ147:AZ177)</f>
        <v>-19585.500000000004</v>
      </c>
      <c r="BA178" s="428">
        <f>BA177</f>
        <v>18566.699999999997</v>
      </c>
      <c r="BB178" s="347"/>
      <c r="BE178" s="68" t="s">
        <v>72</v>
      </c>
      <c r="BF178" s="426">
        <f>SUM(BF147:BF177)</f>
        <v>27970</v>
      </c>
      <c r="BG178" s="427">
        <f>SUM(BG147:BG177)</f>
        <v>23332</v>
      </c>
      <c r="BH178" s="427">
        <f>SUM(BH147:BH177)</f>
        <v>23343.199999999997</v>
      </c>
      <c r="BI178" s="427">
        <f>SUM(BI147:BI177)</f>
        <v>-11.199999999999875</v>
      </c>
      <c r="BJ178" s="428">
        <f>BJ177</f>
        <v>34163.999999999993</v>
      </c>
      <c r="BK178" s="71"/>
      <c r="BN178" s="68" t="s">
        <v>72</v>
      </c>
      <c r="BO178" s="426">
        <f>SUM(BO147:BO177)</f>
        <v>24921.199999999997</v>
      </c>
      <c r="BP178" s="427">
        <f>SUM(BP147:BP177)</f>
        <v>24921</v>
      </c>
      <c r="BQ178" s="427">
        <f>SUM(BQ147:BQ177)</f>
        <v>24921.199999999997</v>
      </c>
      <c r="BR178" s="427">
        <f>SUM(BR147:BR177)</f>
        <v>-0.19999999999985363</v>
      </c>
      <c r="BS178" s="428">
        <f>BS177</f>
        <v>0</v>
      </c>
      <c r="BT178" s="71"/>
      <c r="BW178" s="68" t="s">
        <v>72</v>
      </c>
      <c r="BX178" s="426">
        <f>SUM(BX147:BX177)</f>
        <v>0</v>
      </c>
      <c r="BY178" s="427">
        <f>SUM(BY147:BY177)</f>
        <v>921.77</v>
      </c>
      <c r="BZ178" s="427">
        <f>SUM(BZ147:BZ177)</f>
        <v>765.67</v>
      </c>
      <c r="CA178" s="427">
        <f>SUM(CA147:CA177)</f>
        <v>156.10000000000008</v>
      </c>
      <c r="CB178" s="428">
        <f>CB177</f>
        <v>5083.1299999999992</v>
      </c>
      <c r="CC178" s="71"/>
      <c r="CF178" s="68" t="s">
        <v>72</v>
      </c>
      <c r="CG178" s="426">
        <f>SUM(CG147:CG177)</f>
        <v>4445.7199999999993</v>
      </c>
      <c r="CH178" s="427">
        <f>SUM(CH147:CH177)</f>
        <v>4631.96</v>
      </c>
      <c r="CI178" s="427">
        <f>SUM(CI147:CI177)</f>
        <v>4445.7199999999993</v>
      </c>
      <c r="CJ178" s="427">
        <f>SUM(CJ147:CJ177)</f>
        <v>186.24000000000012</v>
      </c>
      <c r="CK178" s="428">
        <f>CK177</f>
        <v>0</v>
      </c>
      <c r="CL178" s="71"/>
      <c r="CO178" s="72" t="s">
        <v>72</v>
      </c>
      <c r="CP178" s="426">
        <f>SUM(CP147:CP177)</f>
        <v>0</v>
      </c>
      <c r="CQ178" s="427">
        <f>SUM(CQ147:CQ177)</f>
        <v>0</v>
      </c>
      <c r="CR178" s="427">
        <f>SUM(CR147:CR177)</f>
        <v>0</v>
      </c>
      <c r="CS178" s="427">
        <f>SUM(CS147:CS177)</f>
        <v>0</v>
      </c>
      <c r="CT178" s="428">
        <f>CT177</f>
        <v>0</v>
      </c>
      <c r="CU178" s="71"/>
      <c r="CX178" s="72" t="s">
        <v>72</v>
      </c>
      <c r="CY178" s="426">
        <f>SUM(CY147:CY177)</f>
        <v>0</v>
      </c>
      <c r="CZ178" s="427">
        <f>SUM(CZ147:CZ177)</f>
        <v>3580</v>
      </c>
      <c r="DA178" s="427">
        <f>SUM(DA147:DA177)</f>
        <v>4534.3999999999996</v>
      </c>
      <c r="DB178" s="427">
        <f>SUM(DB147:DB177)</f>
        <v>-954.40000000000009</v>
      </c>
      <c r="DC178" s="428">
        <f>DC177</f>
        <v>19623.900000000005</v>
      </c>
      <c r="DD178" s="71"/>
      <c r="DG178" s="72" t="s">
        <v>72</v>
      </c>
      <c r="DH178" s="426">
        <f>SUM(DH147:DH177)</f>
        <v>0</v>
      </c>
      <c r="DI178" s="527">
        <f>SUM(DI147:DI177)</f>
        <v>7700</v>
      </c>
      <c r="DJ178" s="427">
        <f>SUM(DJ147:DJ177)</f>
        <v>7704.6</v>
      </c>
      <c r="DK178" s="527">
        <f>SUM(DK147:DK177)</f>
        <v>-4.5999999999999659</v>
      </c>
      <c r="DL178" s="528">
        <f>DL177</f>
        <v>35234.999999999985</v>
      </c>
      <c r="DM178" s="71"/>
      <c r="DP178" s="72" t="s">
        <v>72</v>
      </c>
      <c r="DQ178" s="426">
        <f>SUM(DQ147:DQ177)</f>
        <v>0</v>
      </c>
      <c r="DR178" s="427">
        <f>SUM(DR147:DR177)</f>
        <v>0</v>
      </c>
      <c r="DS178" s="427">
        <f>SUM(DS147:DS177)</f>
        <v>0</v>
      </c>
      <c r="DT178" s="427">
        <f>SUM(DT147:DT177)</f>
        <v>0</v>
      </c>
      <c r="DU178" s="428">
        <f>DU177</f>
        <v>5800</v>
      </c>
      <c r="DV178" s="71"/>
      <c r="DY178" s="72" t="s">
        <v>72</v>
      </c>
      <c r="DZ178" s="73">
        <f>SUM(DZ147:DZ177)</f>
        <v>0</v>
      </c>
      <c r="EA178" s="69">
        <f>SUM(EA147:EA177)</f>
        <v>0</v>
      </c>
      <c r="EB178" s="69">
        <f>SUM(EB147:EB177)</f>
        <v>0</v>
      </c>
      <c r="EC178" s="69">
        <f>SUM(EC147:EC177)</f>
        <v>0</v>
      </c>
      <c r="ED178" s="70">
        <f>ED177</f>
        <v>0</v>
      </c>
      <c r="EE178" s="71"/>
      <c r="EH178" s="72" t="s">
        <v>72</v>
      </c>
      <c r="EI178" s="73">
        <f>SUM(EI147:EI177)</f>
        <v>0</v>
      </c>
      <c r="EJ178" s="69">
        <f>SUM(EJ147:EJ177)</f>
        <v>0</v>
      </c>
      <c r="EK178" s="69">
        <f>SUM(EK147:EK177)</f>
        <v>0</v>
      </c>
      <c r="EL178" s="69">
        <f>SUM(EL147:EL177)</f>
        <v>0</v>
      </c>
      <c r="EM178" s="70">
        <f>EM177</f>
        <v>0</v>
      </c>
      <c r="EN178" s="71"/>
      <c r="EQ178" s="72" t="s">
        <v>72</v>
      </c>
      <c r="ER178" s="73">
        <f>SUM(ER147:ER177)</f>
        <v>0</v>
      </c>
      <c r="ES178" s="69">
        <f>SUM(ES147:ES177)</f>
        <v>0</v>
      </c>
      <c r="ET178" s="69">
        <f>SUM(ET147:ET177)</f>
        <v>0</v>
      </c>
      <c r="EU178" s="69">
        <f>SUM(EU147:EU177)</f>
        <v>0</v>
      </c>
      <c r="EV178" s="70">
        <f>EV177</f>
        <v>0</v>
      </c>
      <c r="EW178" s="71"/>
      <c r="EZ178" s="72" t="s">
        <v>72</v>
      </c>
      <c r="FA178" s="73">
        <f>SUM(FA147:FA177)</f>
        <v>0</v>
      </c>
      <c r="FB178" s="69">
        <f>SUM(FB147:FB177)</f>
        <v>0</v>
      </c>
      <c r="FC178" s="69">
        <f>SUM(FC147:FC177)</f>
        <v>0</v>
      </c>
      <c r="FD178" s="69">
        <f>SUM(FD147:FD177)</f>
        <v>0</v>
      </c>
      <c r="FE178" s="70">
        <f>FE177</f>
        <v>0</v>
      </c>
      <c r="FF178" s="71"/>
      <c r="FI178" s="72" t="s">
        <v>72</v>
      </c>
      <c r="FJ178" s="73">
        <f>SUM(FJ147:FJ177)</f>
        <v>0</v>
      </c>
      <c r="FK178" s="69">
        <f>SUM(FK147:FK177)</f>
        <v>0</v>
      </c>
      <c r="FL178" s="69">
        <f>SUM(FL147:FL177)</f>
        <v>0</v>
      </c>
      <c r="FM178" s="69">
        <f>SUM(FM147:FM177)</f>
        <v>0</v>
      </c>
      <c r="FN178" s="70">
        <f>FN177</f>
        <v>0</v>
      </c>
      <c r="FO178" s="71"/>
      <c r="FR178" s="72" t="s">
        <v>72</v>
      </c>
      <c r="FS178" s="73">
        <f>SUM(FS147:FS177)</f>
        <v>2020</v>
      </c>
      <c r="FT178" s="69">
        <f>SUM(FT147:FT177)</f>
        <v>0</v>
      </c>
      <c r="FU178" s="69">
        <f>SUM(FU147:FU177)</f>
        <v>0</v>
      </c>
      <c r="FV178" s="69">
        <f>SUM(FV147:FV177)</f>
        <v>0</v>
      </c>
      <c r="FW178" s="70">
        <f>FW177</f>
        <v>4140</v>
      </c>
      <c r="FX178" s="459">
        <f>FW178/20</f>
        <v>207</v>
      </c>
      <c r="FY178" s="460" t="s">
        <v>173</v>
      </c>
      <c r="GA178" s="72" t="s">
        <v>72</v>
      </c>
      <c r="GB178" s="73">
        <f>SUM(GB147:GB177)</f>
        <v>2000</v>
      </c>
      <c r="GC178" s="69">
        <f>SUM(GC147:GC177)</f>
        <v>1520</v>
      </c>
      <c r="GD178" s="69">
        <f>SUM(GD147:GD177)</f>
        <v>600</v>
      </c>
      <c r="GE178" s="69">
        <f>SUM(GE147:GE177)</f>
        <v>920</v>
      </c>
      <c r="GF178" s="70">
        <f>GF177</f>
        <v>5040</v>
      </c>
      <c r="GG178" s="461">
        <f>GF178/20</f>
        <v>252</v>
      </c>
      <c r="GH178" s="460" t="s">
        <v>173</v>
      </c>
      <c r="GJ178" s="72" t="s">
        <v>72</v>
      </c>
      <c r="GK178" s="73">
        <f>SUM(GK147:GK177)</f>
        <v>6000</v>
      </c>
      <c r="GL178" s="69">
        <f>SUM(GL147:GL177)</f>
        <v>6600</v>
      </c>
      <c r="GM178" s="69">
        <f>SUM(GM147:GM177)</f>
        <v>6320</v>
      </c>
      <c r="GN178" s="69">
        <f>SUM(GN147:GN177)</f>
        <v>280</v>
      </c>
      <c r="GO178" s="70">
        <f>GO177</f>
        <v>1760</v>
      </c>
      <c r="GP178" s="459">
        <f>GO178/20</f>
        <v>88</v>
      </c>
      <c r="GQ178" s="460" t="s">
        <v>173</v>
      </c>
      <c r="GS178" s="72" t="s">
        <v>72</v>
      </c>
      <c r="GT178" s="73">
        <f>SUM(GT147:GT177)</f>
        <v>1600</v>
      </c>
      <c r="GU178" s="69">
        <f>SUM(GU147:GU177)</f>
        <v>1000</v>
      </c>
      <c r="GV178" s="69">
        <f>SUM(GV147:GV177)</f>
        <v>1000</v>
      </c>
      <c r="GW178" s="69">
        <f>SUM(GW147:GW177)</f>
        <v>0</v>
      </c>
      <c r="GX178" s="70">
        <f>GX177</f>
        <v>600</v>
      </c>
      <c r="GY178" s="459">
        <f>GX178/20</f>
        <v>30</v>
      </c>
      <c r="GZ178" s="460" t="s">
        <v>173</v>
      </c>
      <c r="HB178" s="72" t="s">
        <v>72</v>
      </c>
      <c r="HC178" s="73">
        <f>SUM(HC147:HC177)</f>
        <v>3600</v>
      </c>
      <c r="HD178" s="69">
        <f>SUM(HD147:HD177)</f>
        <v>0</v>
      </c>
      <c r="HE178" s="69">
        <f>SUM(HE147:HE177)</f>
        <v>0</v>
      </c>
      <c r="HF178" s="69">
        <f>SUM(HF147:HF177)</f>
        <v>0</v>
      </c>
      <c r="HG178" s="70">
        <f>HG177</f>
        <v>3600</v>
      </c>
      <c r="HH178" s="459">
        <f>HG178/20</f>
        <v>180</v>
      </c>
      <c r="HI178" s="460" t="s">
        <v>173</v>
      </c>
      <c r="HK178" s="72" t="s">
        <v>72</v>
      </c>
      <c r="HL178" s="73">
        <f>SUM(HL147:HL177)</f>
        <v>0</v>
      </c>
      <c r="HM178" s="69">
        <f>SUM(HM147:HM177)</f>
        <v>0</v>
      </c>
      <c r="HN178" s="69">
        <f>SUM(HN147:HN177)</f>
        <v>0</v>
      </c>
      <c r="HO178" s="69">
        <f>SUM(HO147:HO177)</f>
        <v>0</v>
      </c>
      <c r="HP178" s="70">
        <f>HP177</f>
        <v>0</v>
      </c>
      <c r="HQ178" s="71"/>
      <c r="HU178" s="72" t="s">
        <v>72</v>
      </c>
      <c r="HV178" s="73">
        <f>SUM(HV147:HV177)</f>
        <v>2000</v>
      </c>
      <c r="HW178" s="69">
        <f>SUM(HW147:HW177)</f>
        <v>1560</v>
      </c>
      <c r="HX178" s="69">
        <f>SUM(HX147:HX177)</f>
        <v>1560</v>
      </c>
      <c r="HY178" s="69">
        <f>SUM(HY147:HY177)</f>
        <v>0</v>
      </c>
      <c r="HZ178" s="70">
        <f>HZ177</f>
        <v>6800</v>
      </c>
      <c r="IA178" s="459">
        <f>HZ178/20</f>
        <v>340</v>
      </c>
      <c r="IB178" s="460" t="s">
        <v>173</v>
      </c>
      <c r="ID178" s="72" t="s">
        <v>72</v>
      </c>
      <c r="IE178" s="73">
        <f>SUM(IE147:IE177)</f>
        <v>180</v>
      </c>
      <c r="IF178" s="69">
        <f>SUM(IF147:IF177)</f>
        <v>0</v>
      </c>
      <c r="IG178" s="69">
        <f>SUM(IG147:IG177)</f>
        <v>6000</v>
      </c>
      <c r="IH178" s="69">
        <f>SUM(IH147:IH177)</f>
        <v>-6000</v>
      </c>
      <c r="II178" s="70">
        <f>II177</f>
        <v>720</v>
      </c>
      <c r="IJ178" s="459">
        <f>II178/20</f>
        <v>36</v>
      </c>
      <c r="IK178" s="460" t="s">
        <v>173</v>
      </c>
      <c r="IM178" s="72" t="s">
        <v>72</v>
      </c>
      <c r="IN178" s="73">
        <f>SUM(IN147:IN177)</f>
        <v>0</v>
      </c>
      <c r="IO178" s="69">
        <f>SUM(IO147:IO177)</f>
        <v>0</v>
      </c>
      <c r="IP178" s="69">
        <f>SUM(IP147:IP177)</f>
        <v>3400</v>
      </c>
      <c r="IQ178" s="69">
        <f>SUM(IQ147:IQ177)</f>
        <v>-3400</v>
      </c>
      <c r="IR178" s="70">
        <f>IR177</f>
        <v>8140</v>
      </c>
      <c r="IS178" s="459">
        <f>IR178/20</f>
        <v>407</v>
      </c>
      <c r="IT178" s="460" t="s">
        <v>173</v>
      </c>
      <c r="IV178" s="72" t="s">
        <v>72</v>
      </c>
      <c r="IW178" s="73">
        <f>SUM(IW147:IW177)</f>
        <v>0</v>
      </c>
      <c r="IX178" s="69">
        <f>SUM(IX147:IX177)</f>
        <v>0</v>
      </c>
      <c r="IY178" s="69">
        <f>SUM(IY147:IY177)</f>
        <v>10160</v>
      </c>
      <c r="IZ178" s="69">
        <f>SUM(IZ147:IZ177)</f>
        <v>-10160</v>
      </c>
      <c r="JA178" s="70">
        <f>JA177</f>
        <v>4960</v>
      </c>
      <c r="JB178" s="459">
        <f>JA178/20</f>
        <v>248</v>
      </c>
      <c r="JC178" s="460" t="s">
        <v>173</v>
      </c>
      <c r="JE178" s="72" t="s">
        <v>72</v>
      </c>
      <c r="JF178" s="73">
        <f>SUM(JF147:JF177)</f>
        <v>0</v>
      </c>
      <c r="JG178" s="69">
        <f>SUM(JG147:JG177)</f>
        <v>6440</v>
      </c>
      <c r="JH178" s="69">
        <f>SUM(JH147:JH177)</f>
        <v>1960</v>
      </c>
      <c r="JI178" s="69">
        <f>SUM(JI147:JI177)</f>
        <v>4480</v>
      </c>
      <c r="JJ178" s="70">
        <f>JJ177</f>
        <v>0</v>
      </c>
      <c r="JK178" s="459">
        <f>JJ178/20</f>
        <v>0</v>
      </c>
      <c r="JL178" s="460" t="s">
        <v>173</v>
      </c>
      <c r="JN178" s="72" t="s">
        <v>72</v>
      </c>
      <c r="JO178" s="73">
        <f>SUM(JO147:JO177)</f>
        <v>0</v>
      </c>
      <c r="JP178" s="69">
        <f>SUM(JP147:JP177)</f>
        <v>3880</v>
      </c>
      <c r="JQ178" s="69">
        <f>SUM(JQ147:JQ177)</f>
        <v>5760</v>
      </c>
      <c r="JR178" s="69">
        <f>SUM(JR147:JR177)</f>
        <v>-1880</v>
      </c>
      <c r="JS178" s="70">
        <f>JS177</f>
        <v>3340</v>
      </c>
      <c r="JT178" s="459">
        <f>JS178/20</f>
        <v>167</v>
      </c>
      <c r="JU178" s="460" t="s">
        <v>173</v>
      </c>
      <c r="JW178" s="72" t="s">
        <v>72</v>
      </c>
      <c r="JX178" s="73">
        <f>SUM(JX147:JX177)</f>
        <v>0</v>
      </c>
      <c r="JY178" s="69">
        <f>SUM(JY147:JY177)</f>
        <v>0</v>
      </c>
      <c r="JZ178" s="69">
        <f>SUM(JZ147:JZ177)</f>
        <v>0</v>
      </c>
      <c r="KA178" s="69">
        <f>SUM(KA147:KA177)</f>
        <v>0</v>
      </c>
      <c r="KB178" s="70">
        <f>KB177</f>
        <v>2540</v>
      </c>
      <c r="KC178" s="459">
        <f>KB178/20</f>
        <v>127</v>
      </c>
      <c r="KD178" s="460" t="s">
        <v>173</v>
      </c>
      <c r="KF178" s="72" t="s">
        <v>72</v>
      </c>
      <c r="KG178" s="73">
        <f>SUM(KG147:KG177)</f>
        <v>2340</v>
      </c>
      <c r="KH178" s="69">
        <f>SUM(KH147:KH177)</f>
        <v>0</v>
      </c>
      <c r="KI178" s="69">
        <f>SUM(KI147:KI177)</f>
        <v>0</v>
      </c>
      <c r="KJ178" s="69">
        <f>SUM(KJ147:KJ177)</f>
        <v>0</v>
      </c>
      <c r="KK178" s="70">
        <f>KK177</f>
        <v>2359.5</v>
      </c>
      <c r="KL178" s="459">
        <f>KK178/19.5</f>
        <v>121</v>
      </c>
      <c r="KM178" s="460" t="s">
        <v>173</v>
      </c>
      <c r="KO178" s="72" t="s">
        <v>72</v>
      </c>
      <c r="KP178" s="73">
        <f>SUM(KP147:KP177)</f>
        <v>0</v>
      </c>
      <c r="KQ178" s="69">
        <f>SUM(KQ147:KQ177)</f>
        <v>944.99999999999989</v>
      </c>
      <c r="KR178" s="69">
        <f>SUM(KR147:KR177)</f>
        <v>189</v>
      </c>
      <c r="KS178" s="69">
        <f>SUM(KS147:KS177)</f>
        <v>755.99999999999989</v>
      </c>
      <c r="KT178" s="70">
        <f>KT177</f>
        <v>1890</v>
      </c>
      <c r="KU178" s="459">
        <f>KT178/18.9</f>
        <v>100.00000000000001</v>
      </c>
      <c r="KV178" s="460" t="s">
        <v>173</v>
      </c>
      <c r="KX178" s="72" t="s">
        <v>72</v>
      </c>
      <c r="KY178" s="73">
        <f>SUM(KY147:KY177)</f>
        <v>0</v>
      </c>
      <c r="KZ178" s="69">
        <f>SUM(KZ147:KZ177)</f>
        <v>0</v>
      </c>
      <c r="LA178" s="69">
        <f>SUM(LA147:LA177)</f>
        <v>2460</v>
      </c>
      <c r="LB178" s="69">
        <f>SUM(LB147:LB177)</f>
        <v>-2460</v>
      </c>
      <c r="LC178" s="70">
        <f>LC177</f>
        <v>3690</v>
      </c>
      <c r="LD178" s="459">
        <f>LC178/20.5</f>
        <v>180</v>
      </c>
      <c r="LE178" s="460" t="s">
        <v>173</v>
      </c>
      <c r="LG178" s="72" t="s">
        <v>72</v>
      </c>
      <c r="LH178" s="73">
        <f>SUM(LH147:LH177)</f>
        <v>0</v>
      </c>
      <c r="LI178" s="69">
        <f>SUM(LI147:LI177)</f>
        <v>0</v>
      </c>
      <c r="LJ178" s="69">
        <f>SUM(LJ147:LJ177)</f>
        <v>0</v>
      </c>
      <c r="LK178" s="69">
        <f>SUM(LK147:LK177)</f>
        <v>0</v>
      </c>
      <c r="LL178" s="70">
        <f>LL177</f>
        <v>4000</v>
      </c>
      <c r="LM178" s="459">
        <f>LL178/20</f>
        <v>200</v>
      </c>
      <c r="LN178" s="460" t="s">
        <v>173</v>
      </c>
      <c r="LP178" s="72" t="s">
        <v>72</v>
      </c>
      <c r="LQ178" s="73">
        <f>SUM(LQ147:LQ177)</f>
        <v>0</v>
      </c>
      <c r="LR178" s="69">
        <f>SUM(LR147:LR177)</f>
        <v>0</v>
      </c>
      <c r="LS178" s="69">
        <f>SUM(LS147:LS177)</f>
        <v>0</v>
      </c>
      <c r="LT178" s="69">
        <f>SUM(LT147:LT177)</f>
        <v>0</v>
      </c>
      <c r="LU178" s="70">
        <f>LU177</f>
        <v>0</v>
      </c>
      <c r="LV178" s="71"/>
      <c r="LY178" s="72" t="s">
        <v>72</v>
      </c>
      <c r="LZ178" s="73">
        <f>SUM(LZ147:LZ177)</f>
        <v>0</v>
      </c>
      <c r="MA178" s="69">
        <f>SUM(MA147:MA177)</f>
        <v>0</v>
      </c>
      <c r="MB178" s="69">
        <f>SUM(MB147:MB177)</f>
        <v>0</v>
      </c>
      <c r="MC178" s="69">
        <f>SUM(MC147:MC177)</f>
        <v>0</v>
      </c>
      <c r="MD178" s="70">
        <f>MD177</f>
        <v>0</v>
      </c>
      <c r="ME178" s="71"/>
      <c r="MH178" s="72" t="s">
        <v>72</v>
      </c>
      <c r="MI178" s="73">
        <f>SUM(MI147:MI177)</f>
        <v>0</v>
      </c>
      <c r="MJ178" s="69">
        <f>SUM(MJ147:MJ177)</f>
        <v>0</v>
      </c>
      <c r="MK178" s="69">
        <f>SUM(MK147:MK177)</f>
        <v>0</v>
      </c>
      <c r="ML178" s="69">
        <f>SUM(ML147:ML177)</f>
        <v>0</v>
      </c>
      <c r="MM178" s="70">
        <f>MM177</f>
        <v>0</v>
      </c>
      <c r="MN178" s="71"/>
      <c r="MQ178" s="72" t="s">
        <v>72</v>
      </c>
      <c r="MR178" s="73">
        <f>SUM(MR147:MR177)</f>
        <v>0</v>
      </c>
      <c r="MS178" s="69">
        <f>SUM(MS147:MS177)</f>
        <v>212</v>
      </c>
      <c r="MT178" s="69">
        <f>SUM(MT147:MT177)</f>
        <v>179</v>
      </c>
      <c r="MU178" s="69">
        <f>SUM(MU147:MU177)</f>
        <v>33</v>
      </c>
      <c r="MV178" s="70">
        <f>MV177</f>
        <v>3724</v>
      </c>
      <c r="MW178" s="71"/>
      <c r="MZ178" s="72" t="s">
        <v>72</v>
      </c>
      <c r="NA178" s="73">
        <f>SUM(NA147:NA177)</f>
        <v>2134</v>
      </c>
      <c r="NB178" s="69">
        <f>SUM(NB147:NB177)</f>
        <v>2182</v>
      </c>
      <c r="NC178" s="69">
        <f>SUM(NC147:NC177)</f>
        <v>2134</v>
      </c>
      <c r="ND178" s="69">
        <f>SUM(ND147:ND177)</f>
        <v>48</v>
      </c>
      <c r="NE178" s="70">
        <f>NE177</f>
        <v>0</v>
      </c>
      <c r="NF178" s="71"/>
      <c r="NI178" s="72" t="s">
        <v>72</v>
      </c>
      <c r="NJ178" s="73">
        <f>SUM(NJ147:NJ177)</f>
        <v>0</v>
      </c>
      <c r="NK178" s="69">
        <f>SUM(NK147:NK177)</f>
        <v>50</v>
      </c>
      <c r="NL178" s="69">
        <f>SUM(NL147:NL177)</f>
        <v>10</v>
      </c>
      <c r="NM178" s="69">
        <f>SUM(NM147:NM177)</f>
        <v>40</v>
      </c>
      <c r="NN178" s="70">
        <f>NN177</f>
        <v>1127</v>
      </c>
      <c r="NO178" s="71"/>
      <c r="NR178" s="72" t="s">
        <v>72</v>
      </c>
      <c r="NS178" s="73">
        <f>SUM(NS147:NS177)</f>
        <v>1.1000000000000001</v>
      </c>
      <c r="NT178" s="69">
        <f>SUM(NT147:NT177)</f>
        <v>60</v>
      </c>
      <c r="NU178" s="69">
        <f>SUM(NU147:NU177)</f>
        <v>12</v>
      </c>
      <c r="NV178" s="69">
        <f>SUM(NV147:NV177)</f>
        <v>48</v>
      </c>
      <c r="NW178" s="70">
        <f>NW177</f>
        <v>3111.9999999999995</v>
      </c>
      <c r="NX178" s="347"/>
      <c r="OA178" s="72" t="s">
        <v>72</v>
      </c>
      <c r="OB178" s="73">
        <f>SUM(OB147:OB177)</f>
        <v>0</v>
      </c>
      <c r="OC178" s="69">
        <f>SUM(OC147:OC177)</f>
        <v>104</v>
      </c>
      <c r="OD178" s="69">
        <f>SUM(OD147:OD177)</f>
        <v>0</v>
      </c>
      <c r="OE178" s="69">
        <f>SUM(OE147:OE177)</f>
        <v>104</v>
      </c>
      <c r="OF178" s="70">
        <f>OF177</f>
        <v>1680.5</v>
      </c>
      <c r="OG178" s="71"/>
      <c r="OJ178" s="72" t="s">
        <v>72</v>
      </c>
      <c r="OK178" s="73">
        <f>SUM(OK147:OK177)</f>
        <v>324.39999999999998</v>
      </c>
      <c r="OL178" s="69">
        <f>SUM(OL147:OL177)</f>
        <v>239.99999999999997</v>
      </c>
      <c r="OM178" s="69">
        <f>SUM(OM147:OM177)</f>
        <v>324.39999999999998</v>
      </c>
      <c r="ON178" s="69">
        <f>SUM(ON147:ON177)</f>
        <v>-84.400000000000034</v>
      </c>
      <c r="OO178" s="70">
        <f>OO177</f>
        <v>0</v>
      </c>
      <c r="OP178" s="71"/>
      <c r="OS178" s="72" t="s">
        <v>72</v>
      </c>
      <c r="OT178" s="73">
        <f>SUM(OT147:OT177)</f>
        <v>500</v>
      </c>
      <c r="OU178" s="69">
        <f>SUM(OU147:OU177)</f>
        <v>104</v>
      </c>
      <c r="OV178" s="69">
        <f>SUM(OV147:OV177)</f>
        <v>0</v>
      </c>
      <c r="OW178" s="69">
        <f>SUM(OW147:OW177)</f>
        <v>104</v>
      </c>
      <c r="OX178" s="70">
        <f>OX177</f>
        <v>1482</v>
      </c>
      <c r="OY178" s="71"/>
      <c r="PB178" s="72" t="s">
        <v>72</v>
      </c>
      <c r="PC178" s="73">
        <f>SUM(PC147:PC177)</f>
        <v>0</v>
      </c>
      <c r="PD178" s="69">
        <f>SUM(PD147:PD177)</f>
        <v>0</v>
      </c>
      <c r="PE178" s="69">
        <f>SUM(PE147:PE177)</f>
        <v>0</v>
      </c>
      <c r="PF178" s="69">
        <f>SUM(PF147:PF177)</f>
        <v>0</v>
      </c>
      <c r="PG178" s="70">
        <f>PG177</f>
        <v>0</v>
      </c>
      <c r="PH178" s="71"/>
      <c r="PK178" s="72" t="s">
        <v>72</v>
      </c>
      <c r="PL178" s="73">
        <f>SUM(PL147:PL177)</f>
        <v>0</v>
      </c>
      <c r="PM178" s="69">
        <f>SUM(PM147:PM177)</f>
        <v>0</v>
      </c>
      <c r="PN178" s="69">
        <f>SUM(PN147:PN177)</f>
        <v>0</v>
      </c>
      <c r="PO178" s="69">
        <f>SUM(PO147:PO177)</f>
        <v>0</v>
      </c>
      <c r="PP178" s="70">
        <f>PP177</f>
        <v>100</v>
      </c>
      <c r="PQ178" s="71"/>
      <c r="PT178" s="72" t="s">
        <v>72</v>
      </c>
      <c r="PU178" s="73">
        <f>SUM(PU147:PU177)</f>
        <v>0</v>
      </c>
      <c r="PV178" s="69">
        <f>SUM(PV147:PV177)</f>
        <v>0</v>
      </c>
      <c r="PW178" s="69">
        <f>SUM(PW147:PW177)</f>
        <v>0</v>
      </c>
      <c r="PX178" s="69">
        <f>SUM(PX147:PX177)</f>
        <v>0</v>
      </c>
      <c r="PY178" s="70">
        <f>PY177</f>
        <v>13.960000000000036</v>
      </c>
      <c r="PZ178" s="71"/>
      <c r="QC178" s="72" t="s">
        <v>72</v>
      </c>
      <c r="QD178" s="73">
        <f>SUM(QD147:QD177)</f>
        <v>800</v>
      </c>
      <c r="QE178" s="69">
        <f>SUM(QE147:QE177)</f>
        <v>872</v>
      </c>
      <c r="QF178" s="69">
        <f>SUM(QF147:QF177)</f>
        <v>1288</v>
      </c>
      <c r="QG178" s="69">
        <f>SUM(QG147:QG177)</f>
        <v>-416</v>
      </c>
      <c r="QH178" s="70">
        <f>QH177</f>
        <v>108</v>
      </c>
      <c r="QI178" s="71"/>
      <c r="QL178" s="72" t="s">
        <v>72</v>
      </c>
      <c r="QM178" s="73">
        <f>SUM(QM147:QM177)</f>
        <v>1940</v>
      </c>
      <c r="QN178" s="69">
        <f>SUM(QN147:QN177)</f>
        <v>745</v>
      </c>
      <c r="QO178" s="69">
        <f>SUM(QO147:QO177)</f>
        <v>2095</v>
      </c>
      <c r="QP178" s="69">
        <f>SUM(QP147:QP177)</f>
        <v>-1350</v>
      </c>
      <c r="QQ178" s="70">
        <f>QQ177</f>
        <v>245</v>
      </c>
      <c r="QR178" s="71"/>
      <c r="QU178" s="72" t="s">
        <v>72</v>
      </c>
      <c r="QV178" s="73">
        <f>SUM(QV147:QV177)</f>
        <v>0</v>
      </c>
      <c r="QW178" s="69">
        <f>SUM(QW147:QW177)</f>
        <v>0</v>
      </c>
      <c r="QX178" s="69">
        <f>SUM(QX147:QX177)</f>
        <v>0</v>
      </c>
      <c r="QY178" s="69">
        <f>SUM(QY147:QY177)</f>
        <v>0</v>
      </c>
      <c r="QZ178" s="70">
        <f>QZ177</f>
        <v>207.6</v>
      </c>
      <c r="RA178" s="71"/>
      <c r="RD178" s="72" t="s">
        <v>72</v>
      </c>
      <c r="RE178" s="73">
        <f>SUM(RE147:RE177)</f>
        <v>0</v>
      </c>
      <c r="RF178" s="69">
        <f>SUM(RF147:RF177)</f>
        <v>0</v>
      </c>
      <c r="RG178" s="69">
        <f>SUM(RG147:RG177)</f>
        <v>0</v>
      </c>
      <c r="RH178" s="69">
        <f>SUM(RH147:RH177)</f>
        <v>0</v>
      </c>
      <c r="RI178" s="70">
        <f>RI177</f>
        <v>147.04000000000002</v>
      </c>
      <c r="RJ178" s="71"/>
      <c r="RM178" s="72" t="s">
        <v>72</v>
      </c>
      <c r="RN178" s="73">
        <f>SUM(RN147:RN177)</f>
        <v>0</v>
      </c>
      <c r="RO178" s="69">
        <f>SUM(RO147:RO177)</f>
        <v>0</v>
      </c>
      <c r="RP178" s="69">
        <f>SUM(RP147:RP177)</f>
        <v>0</v>
      </c>
      <c r="RQ178" s="69">
        <f>SUM(RQ147:RQ177)</f>
        <v>0</v>
      </c>
      <c r="RR178" s="70">
        <f>RR177</f>
        <v>46.8</v>
      </c>
      <c r="RS178" s="71"/>
      <c r="RV178" s="72" t="s">
        <v>72</v>
      </c>
      <c r="RW178" s="73">
        <f>SUM(RW147:RW177)</f>
        <v>0</v>
      </c>
      <c r="RX178" s="69">
        <f>SUM(RX147:RX177)</f>
        <v>0</v>
      </c>
      <c r="RY178" s="69">
        <f>SUM(RY147:RY177)</f>
        <v>0</v>
      </c>
      <c r="RZ178" s="69">
        <f>SUM(RZ147:RZ177)</f>
        <v>0</v>
      </c>
      <c r="SA178" s="70">
        <f>SA177</f>
        <v>0</v>
      </c>
      <c r="SB178" s="71"/>
      <c r="SE178" s="72" t="s">
        <v>72</v>
      </c>
      <c r="SF178" s="73">
        <f>SUM(SF147:SF177)</f>
        <v>0</v>
      </c>
      <c r="SG178" s="69">
        <f>SUM(SG147:SG177)</f>
        <v>0</v>
      </c>
      <c r="SH178" s="69">
        <f>SUM(SH147:SH177)</f>
        <v>0</v>
      </c>
      <c r="SI178" s="69">
        <f>SUM(SI147:SI177)</f>
        <v>0</v>
      </c>
      <c r="SJ178" s="70">
        <f>SJ177</f>
        <v>24.200000000000003</v>
      </c>
      <c r="SK178" s="71"/>
      <c r="SN178" s="72" t="s">
        <v>72</v>
      </c>
      <c r="SO178" s="73">
        <f>SUM(SO147:SO177)</f>
        <v>0</v>
      </c>
      <c r="SP178" s="69">
        <f>SUM(SP147:SP177)</f>
        <v>0</v>
      </c>
      <c r="SQ178" s="69">
        <f>SUM(SQ147:SQ177)</f>
        <v>0</v>
      </c>
      <c r="SR178" s="69">
        <f>SUM(SR147:SR177)</f>
        <v>0</v>
      </c>
      <c r="SS178" s="70">
        <f>SS177</f>
        <v>32</v>
      </c>
      <c r="ST178" s="71"/>
      <c r="SW178" s="72" t="s">
        <v>72</v>
      </c>
      <c r="SX178" s="73">
        <f>SUM(SX147:SX177)</f>
        <v>0</v>
      </c>
      <c r="SY178" s="69">
        <f>SUM(SY147:SY177)</f>
        <v>0</v>
      </c>
      <c r="SZ178" s="69">
        <f>SUM(SZ147:SZ177)</f>
        <v>0</v>
      </c>
      <c r="TA178" s="69">
        <f>SUM(TA147:TA177)</f>
        <v>0</v>
      </c>
      <c r="TB178" s="70">
        <f>TB177</f>
        <v>0</v>
      </c>
      <c r="TC178" s="71"/>
      <c r="TF178" s="72" t="s">
        <v>72</v>
      </c>
      <c r="TG178" s="73">
        <f>SUM(TG147:TG177)</f>
        <v>50</v>
      </c>
      <c r="TH178" s="69">
        <f>SUM(TH147:TH177)</f>
        <v>50</v>
      </c>
      <c r="TI178" s="69">
        <f>SUM(TI147:TI177)</f>
        <v>50</v>
      </c>
      <c r="TJ178" s="69">
        <f>SUM(TJ147:TJ177)</f>
        <v>0</v>
      </c>
      <c r="TK178" s="70">
        <f>TK177</f>
        <v>0</v>
      </c>
      <c r="TL178" s="71"/>
      <c r="TO178" s="72" t="s">
        <v>72</v>
      </c>
      <c r="TP178" s="73">
        <f>SUM(TP147:TP177)</f>
        <v>0</v>
      </c>
      <c r="TQ178" s="69">
        <f>SUM(TQ147:TQ177)</f>
        <v>0</v>
      </c>
      <c r="TR178" s="69">
        <f>SUM(TR147:TR177)</f>
        <v>0</v>
      </c>
      <c r="TS178" s="69">
        <f>SUM(TS147:TS177)</f>
        <v>0</v>
      </c>
      <c r="TT178" s="70">
        <f>TT177</f>
        <v>0</v>
      </c>
      <c r="TU178" s="71"/>
      <c r="TX178" s="72" t="s">
        <v>72</v>
      </c>
      <c r="TY178" s="73">
        <f>SUM(TY147:TY177)</f>
        <v>228</v>
      </c>
      <c r="TZ178" s="69">
        <f>SUM(TZ147:TZ177)</f>
        <v>0</v>
      </c>
      <c r="UA178" s="69">
        <f>SUM(UA147:UA177)</f>
        <v>92.4</v>
      </c>
      <c r="UB178" s="69">
        <f>SUM(UB147:UB177)</f>
        <v>-92.4</v>
      </c>
      <c r="UC178" s="70">
        <f>UC177</f>
        <v>135.6</v>
      </c>
      <c r="UD178" s="71"/>
      <c r="UG178" s="72" t="s">
        <v>72</v>
      </c>
      <c r="UH178" s="73">
        <f>SUM(UH147:UH177)</f>
        <v>1000</v>
      </c>
      <c r="UI178" s="69">
        <f>SUM(UI147:UI177)</f>
        <v>120</v>
      </c>
      <c r="UJ178" s="69">
        <f>SUM(UJ147:UJ177)</f>
        <v>872</v>
      </c>
      <c r="UK178" s="69">
        <f>SUM(UK147:UK177)</f>
        <v>-752</v>
      </c>
      <c r="UL178" s="70">
        <f>UL177</f>
        <v>128</v>
      </c>
      <c r="UM178" s="71"/>
      <c r="UP178" s="72" t="s">
        <v>72</v>
      </c>
      <c r="UQ178" s="73">
        <f>SUM(UQ147:UQ177)</f>
        <v>40</v>
      </c>
      <c r="UR178" s="69">
        <f>SUM(UR147:UR177)</f>
        <v>0</v>
      </c>
      <c r="US178" s="69">
        <f>SUM(US147:US177)</f>
        <v>28.75</v>
      </c>
      <c r="UT178" s="69">
        <f>SUM(UT147:UT177)</f>
        <v>-28.75</v>
      </c>
      <c r="UU178" s="70">
        <f>UU177</f>
        <v>11.25</v>
      </c>
      <c r="UV178" s="71"/>
      <c r="UY178" s="72" t="s">
        <v>72</v>
      </c>
      <c r="UZ178" s="73">
        <f>SUM(UZ147:UZ177)</f>
        <v>0</v>
      </c>
      <c r="VA178" s="69">
        <f>SUM(VA147:VA177)</f>
        <v>0</v>
      </c>
      <c r="VB178" s="69">
        <f>SUM(VB147:VB177)</f>
        <v>0</v>
      </c>
      <c r="VC178" s="69">
        <f>SUM(VC147:VC177)</f>
        <v>0</v>
      </c>
      <c r="VD178" s="70">
        <f>VD177</f>
        <v>41.600000000000023</v>
      </c>
      <c r="VE178" s="71"/>
      <c r="VH178" s="72" t="s">
        <v>72</v>
      </c>
      <c r="VI178" s="73">
        <f>SUM(VI147:VI177)</f>
        <v>0</v>
      </c>
      <c r="VJ178" s="69">
        <f>SUM(VJ147:VJ177)</f>
        <v>0</v>
      </c>
      <c r="VK178" s="69">
        <f>SUM(VK147:VK177)</f>
        <v>0</v>
      </c>
      <c r="VL178" s="69">
        <f>SUM(VL147:VL177)</f>
        <v>0</v>
      </c>
      <c r="VM178" s="70">
        <f>VM177</f>
        <v>0</v>
      </c>
      <c r="VN178" s="71"/>
      <c r="VQ178" s="72" t="s">
        <v>72</v>
      </c>
      <c r="VR178" s="73">
        <f>SUM(VR147:VR177)</f>
        <v>0</v>
      </c>
      <c r="VS178" s="69">
        <f>SUM(VS147:VS177)</f>
        <v>745</v>
      </c>
      <c r="VT178" s="69">
        <f>SUM(VT147:VT177)</f>
        <v>0</v>
      </c>
      <c r="VU178" s="69">
        <f>SUM(VU147:VU177)</f>
        <v>745</v>
      </c>
      <c r="VV178" s="70">
        <f>VV177</f>
        <v>0</v>
      </c>
      <c r="VW178" s="71"/>
      <c r="VZ178" s="72" t="s">
        <v>72</v>
      </c>
      <c r="WA178" s="73">
        <f>SUM(WA147:WA177)</f>
        <v>0</v>
      </c>
      <c r="WB178" s="69">
        <f>SUM(WB147:WB177)</f>
        <v>745</v>
      </c>
      <c r="WC178" s="69">
        <f>SUM(WC147:WC177)</f>
        <v>0</v>
      </c>
      <c r="WD178" s="69">
        <f>SUM(WD147:WD177)</f>
        <v>745</v>
      </c>
      <c r="WE178" s="70">
        <f>WE177</f>
        <v>0</v>
      </c>
      <c r="WF178" s="71"/>
      <c r="WI178" s="72" t="s">
        <v>72</v>
      </c>
      <c r="WJ178" s="426">
        <f>SUM(WJ147:WJ177)</f>
        <v>0</v>
      </c>
      <c r="WK178" s="427">
        <f>SUM(WK147:WK177)</f>
        <v>0</v>
      </c>
      <c r="WL178" s="427">
        <f>SUM(WL147:WL177)</f>
        <v>1118</v>
      </c>
      <c r="WM178" s="427">
        <f>SUM(WM147:WM177)</f>
        <v>-1118</v>
      </c>
      <c r="WN178" s="428">
        <f>WN177</f>
        <v>1199</v>
      </c>
      <c r="WO178" s="71"/>
      <c r="WR178" s="72" t="s">
        <v>72</v>
      </c>
      <c r="WS178" s="426">
        <f>SUM(WS147:WS177)</f>
        <v>0</v>
      </c>
      <c r="WT178" s="427">
        <f>SUM(WT147:WT177)</f>
        <v>0</v>
      </c>
      <c r="WU178" s="427">
        <f>SUM(WU147:WU177)</f>
        <v>776</v>
      </c>
      <c r="WV178" s="427">
        <f>SUM(WV147:WV177)</f>
        <v>-776</v>
      </c>
      <c r="WW178" s="428">
        <f>WW177</f>
        <v>0</v>
      </c>
      <c r="WX178" s="71"/>
      <c r="XA178" s="72" t="s">
        <v>72</v>
      </c>
      <c r="XB178" s="426">
        <f>SUM(XB147:XB177)</f>
        <v>0</v>
      </c>
      <c r="XC178" s="427">
        <f>SUM(XC147:XC177)</f>
        <v>0</v>
      </c>
      <c r="XD178" s="427">
        <f>SUM(XD147:XD177)</f>
        <v>6642</v>
      </c>
      <c r="XE178" s="427">
        <f>SUM(XE147:XE177)</f>
        <v>-6642</v>
      </c>
      <c r="XF178" s="428">
        <f>XF177</f>
        <v>6813</v>
      </c>
      <c r="XG178" s="71"/>
      <c r="XJ178" s="72" t="s">
        <v>72</v>
      </c>
      <c r="XK178" s="426">
        <f>SUM(XK147:XK177)</f>
        <v>8266</v>
      </c>
      <c r="XL178" s="427">
        <f>SUM(XL147:XL177)</f>
        <v>0</v>
      </c>
      <c r="XM178" s="427">
        <f>SUM(XM147:XM177)</f>
        <v>1923</v>
      </c>
      <c r="XN178" s="427">
        <f>SUM(XN147:XN177)</f>
        <v>-1923</v>
      </c>
      <c r="XO178" s="428">
        <f>XO177</f>
        <v>7824</v>
      </c>
      <c r="XP178" s="71"/>
      <c r="XS178" s="72" t="s">
        <v>72</v>
      </c>
      <c r="XT178" s="73">
        <f>SUM(XT147:XT177)</f>
        <v>0</v>
      </c>
      <c r="XU178" s="69">
        <f>SUM(XU147:XU177)</f>
        <v>0</v>
      </c>
      <c r="XV178" s="69">
        <f>SUM(XV147:XV177)</f>
        <v>280</v>
      </c>
      <c r="XW178" s="69">
        <f>SUM(XW147:XW177)</f>
        <v>-280</v>
      </c>
      <c r="XX178" s="70">
        <f>XX177</f>
        <v>1621</v>
      </c>
      <c r="XY178" s="71"/>
      <c r="YB178" s="72" t="s">
        <v>72</v>
      </c>
      <c r="YC178" s="73">
        <f>SUM(YC147:YC177)</f>
        <v>0</v>
      </c>
      <c r="YD178" s="69">
        <f>SUM(YD147:YD177)</f>
        <v>0</v>
      </c>
      <c r="YE178" s="69">
        <f>SUM(YE147:YE177)</f>
        <v>266</v>
      </c>
      <c r="YF178" s="69">
        <f>SUM(YF147:YF177)</f>
        <v>-266</v>
      </c>
      <c r="YG178" s="70">
        <f>YG177</f>
        <v>6193</v>
      </c>
      <c r="YH178" s="71"/>
      <c r="YK178" s="72" t="s">
        <v>72</v>
      </c>
      <c r="YL178" s="73">
        <f>SUM(YL147:YL177)</f>
        <v>0</v>
      </c>
      <c r="YM178" s="69">
        <f>SUM(YM147:YM177)</f>
        <v>0</v>
      </c>
      <c r="YN178" s="69">
        <f>SUM(YN147:YN177)</f>
        <v>0</v>
      </c>
      <c r="YO178" s="69">
        <f>SUM(YO147:YO177)</f>
        <v>0</v>
      </c>
      <c r="YP178" s="70">
        <f>YP177</f>
        <v>0</v>
      </c>
      <c r="YQ178" s="71"/>
      <c r="YT178" s="72" t="s">
        <v>72</v>
      </c>
      <c r="YU178" s="73">
        <f>SUM(YU147:YU177)</f>
        <v>0</v>
      </c>
      <c r="YV178" s="69">
        <f>SUM(YV147:YV177)</f>
        <v>745</v>
      </c>
      <c r="YW178" s="69">
        <f>SUM(YW147:YW177)</f>
        <v>0</v>
      </c>
      <c r="YX178" s="69">
        <f>SUM(YX147:YX177)</f>
        <v>745</v>
      </c>
      <c r="YY178" s="70">
        <f>YY177</f>
        <v>0</v>
      </c>
      <c r="YZ178" s="71"/>
      <c r="ZC178" s="72" t="s">
        <v>72</v>
      </c>
      <c r="ZD178" s="73">
        <f>SUM(ZD147:ZD177)</f>
        <v>0</v>
      </c>
      <c r="ZE178" s="69">
        <f>SUM(ZE147:ZE177)</f>
        <v>745</v>
      </c>
      <c r="ZF178" s="69">
        <f>SUM(ZF147:ZF177)</f>
        <v>0</v>
      </c>
      <c r="ZG178" s="69">
        <f>SUM(ZG147:ZG177)</f>
        <v>745</v>
      </c>
      <c r="ZH178" s="70">
        <f>ZH177</f>
        <v>0</v>
      </c>
      <c r="ZI178" s="71"/>
      <c r="ZL178" s="72" t="s">
        <v>72</v>
      </c>
      <c r="ZM178" s="73">
        <f>SUM(ZM147:ZM177)</f>
        <v>0</v>
      </c>
      <c r="ZN178" s="69">
        <f>SUM(ZN147:ZN177)</f>
        <v>745</v>
      </c>
      <c r="ZO178" s="69">
        <f>SUM(ZO147:ZO177)</f>
        <v>0</v>
      </c>
      <c r="ZP178" s="69">
        <f>SUM(ZP147:ZP177)</f>
        <v>745</v>
      </c>
      <c r="ZQ178" s="70">
        <f>ZQ177</f>
        <v>0</v>
      </c>
      <c r="ZR178" s="71"/>
      <c r="ZU178" s="72" t="s">
        <v>72</v>
      </c>
      <c r="ZV178" s="73">
        <f>SUM(ZV147:ZV177)</f>
        <v>0</v>
      </c>
      <c r="ZW178" s="69">
        <f>SUM(ZW147:ZW177)</f>
        <v>745</v>
      </c>
      <c r="ZX178" s="69">
        <f>SUM(ZX147:ZX177)</f>
        <v>0</v>
      </c>
      <c r="ZY178" s="69">
        <f>SUM(ZY147:ZY177)</f>
        <v>745</v>
      </c>
      <c r="ZZ178" s="70">
        <f>ZZ177</f>
        <v>0</v>
      </c>
      <c r="AAA178" s="71"/>
      <c r="AAD178" s="72" t="s">
        <v>72</v>
      </c>
      <c r="AAE178" s="73">
        <f>SUM(AAE147:AAE177)</f>
        <v>0</v>
      </c>
      <c r="AAF178" s="69">
        <f>SUM(AAF147:AAF177)</f>
        <v>745</v>
      </c>
      <c r="AAG178" s="69">
        <f>SUM(AAG147:AAG177)</f>
        <v>0</v>
      </c>
      <c r="AAH178" s="69">
        <f>SUM(AAH147:AAH177)</f>
        <v>745</v>
      </c>
      <c r="AAI178" s="70">
        <f>AAI177</f>
        <v>0</v>
      </c>
      <c r="AAJ178" s="71"/>
      <c r="AAM178" s="72" t="s">
        <v>72</v>
      </c>
      <c r="AAN178" s="73">
        <f>SUM(AAN147:AAN177)</f>
        <v>0</v>
      </c>
      <c r="AAO178" s="69">
        <f>SUM(AAO147:AAO177)</f>
        <v>745</v>
      </c>
      <c r="AAP178" s="69">
        <f>SUM(AAP147:AAP177)</f>
        <v>0</v>
      </c>
      <c r="AAQ178" s="69">
        <f>SUM(AAQ147:AAQ177)</f>
        <v>745</v>
      </c>
      <c r="AAR178" s="70">
        <f>AAR177</f>
        <v>0</v>
      </c>
      <c r="AAS178" s="71"/>
      <c r="AAV178" s="72" t="s">
        <v>72</v>
      </c>
      <c r="AAW178" s="73">
        <f>SUM(AAW147:AAW177)</f>
        <v>0</v>
      </c>
      <c r="AAX178" s="69">
        <f>SUM(AAX147:AAX177)</f>
        <v>745</v>
      </c>
      <c r="AAY178" s="69">
        <f>SUM(AAY147:AAY177)</f>
        <v>0</v>
      </c>
      <c r="AAZ178" s="69">
        <f>SUM(AAZ147:AAZ177)</f>
        <v>745</v>
      </c>
      <c r="ABA178" s="70">
        <f>ABA177</f>
        <v>0</v>
      </c>
      <c r="ABB178" s="71"/>
      <c r="ABE178" s="72" t="s">
        <v>72</v>
      </c>
      <c r="ABF178" s="73">
        <f>SUM(ABF147:ABF177)</f>
        <v>0</v>
      </c>
      <c r="ABG178" s="69">
        <f>SUM(ABG147:ABG177)</f>
        <v>745</v>
      </c>
      <c r="ABH178" s="69">
        <f>SUM(ABH147:ABH177)</f>
        <v>0</v>
      </c>
      <c r="ABI178" s="69">
        <f>SUM(ABI147:ABI177)</f>
        <v>745</v>
      </c>
      <c r="ABJ178" s="70">
        <f>ABJ177</f>
        <v>0</v>
      </c>
      <c r="ABK178" s="71"/>
    </row>
    <row r="179" spans="1:739" ht="14.45" thickBot="1">
      <c r="C179" s="75"/>
      <c r="L179" s="75"/>
      <c r="U179" s="75"/>
      <c r="AD179" s="75"/>
      <c r="AM179" s="75"/>
      <c r="AV179" s="75"/>
      <c r="BE179" s="75"/>
      <c r="BN179" s="75"/>
      <c r="BW179" s="75"/>
      <c r="CF179" s="75"/>
      <c r="CO179" s="75"/>
      <c r="CX179" s="75"/>
      <c r="DG179" s="75"/>
      <c r="DP179" s="75"/>
      <c r="DY179" s="75"/>
      <c r="EH179" s="75"/>
      <c r="EQ179" s="75"/>
      <c r="EZ179" s="75"/>
      <c r="FI179" s="75"/>
      <c r="FR179" s="75"/>
      <c r="GA179" s="75"/>
      <c r="GJ179" s="75"/>
      <c r="GS179" s="75"/>
      <c r="HB179" s="75"/>
      <c r="HK179" s="75"/>
      <c r="HU179" s="75"/>
      <c r="ID179" s="75"/>
      <c r="IM179" s="75"/>
      <c r="IV179" s="75"/>
      <c r="JE179" s="75"/>
      <c r="JN179" s="75"/>
      <c r="JW179" s="75"/>
      <c r="KF179" s="75"/>
      <c r="KO179" s="75"/>
      <c r="KX179" s="75"/>
      <c r="LG179" s="75"/>
      <c r="LP179" s="75"/>
      <c r="LY179" s="75"/>
      <c r="MH179" s="75"/>
      <c r="MQ179" s="75"/>
      <c r="MZ179" s="75"/>
      <c r="NI179" s="75"/>
      <c r="NR179" s="75"/>
      <c r="OA179" s="75"/>
      <c r="OJ179" s="75"/>
      <c r="OS179" s="75"/>
      <c r="PB179" s="75"/>
      <c r="PK179" s="75"/>
      <c r="PT179" s="75"/>
      <c r="QC179" s="75"/>
      <c r="QL179" s="75"/>
      <c r="QU179" s="75"/>
      <c r="RD179" s="75"/>
      <c r="RM179" s="75"/>
      <c r="RV179" s="75"/>
      <c r="SE179" s="75"/>
      <c r="SN179" s="75"/>
      <c r="SW179" s="75"/>
      <c r="TF179" s="75"/>
      <c r="TO179" s="75"/>
      <c r="TX179" s="75"/>
      <c r="UG179" s="75"/>
      <c r="UP179" s="75"/>
      <c r="UY179" s="75"/>
      <c r="VH179" s="75"/>
      <c r="VQ179" s="75"/>
      <c r="VZ179" s="75"/>
      <c r="WI179" s="75"/>
      <c r="WR179" s="75"/>
      <c r="XA179" s="75"/>
      <c r="XJ179" s="75"/>
      <c r="XS179" s="75"/>
      <c r="YB179" s="75"/>
      <c r="YK179" s="75"/>
      <c r="YT179" s="75"/>
      <c r="ZC179" s="75"/>
      <c r="ZL179" s="75"/>
      <c r="ZU179" s="75"/>
      <c r="AAD179" s="75"/>
      <c r="AAM179" s="75"/>
      <c r="AAV179" s="75"/>
      <c r="ABE179" s="75"/>
    </row>
    <row r="180" spans="1:739" ht="14.45" thickBot="1">
      <c r="A180" s="22" t="s">
        <v>278</v>
      </c>
      <c r="C180" s="569" t="s">
        <v>145</v>
      </c>
      <c r="D180" s="570"/>
      <c r="E180" s="570"/>
      <c r="F180" s="570"/>
      <c r="G180" s="570"/>
      <c r="H180" s="571"/>
      <c r="I180" s="321"/>
      <c r="J180" s="22" t="s">
        <v>278</v>
      </c>
      <c r="L180" s="569" t="s">
        <v>145</v>
      </c>
      <c r="M180" s="570"/>
      <c r="N180" s="570"/>
      <c r="O180" s="570"/>
      <c r="P180" s="570"/>
      <c r="Q180" s="571"/>
      <c r="R180" s="24"/>
      <c r="S180" s="22" t="s">
        <v>278</v>
      </c>
      <c r="U180" s="569" t="s">
        <v>145</v>
      </c>
      <c r="V180" s="570"/>
      <c r="W180" s="570"/>
      <c r="X180" s="570"/>
      <c r="Y180" s="570"/>
      <c r="Z180" s="571"/>
      <c r="AA180" s="24"/>
      <c r="AB180" s="22" t="s">
        <v>278</v>
      </c>
      <c r="AD180" s="569" t="s">
        <v>145</v>
      </c>
      <c r="AE180" s="570"/>
      <c r="AF180" s="570"/>
      <c r="AG180" s="570"/>
      <c r="AH180" s="570"/>
      <c r="AI180" s="571"/>
      <c r="AJ180" s="24"/>
      <c r="AK180" s="22" t="s">
        <v>278</v>
      </c>
      <c r="AM180" s="569" t="s">
        <v>145</v>
      </c>
      <c r="AN180" s="570"/>
      <c r="AO180" s="570"/>
      <c r="AP180" s="570"/>
      <c r="AQ180" s="570"/>
      <c r="AR180" s="571"/>
      <c r="AS180" s="24"/>
      <c r="AT180" s="22" t="s">
        <v>278</v>
      </c>
      <c r="AV180" s="569" t="s">
        <v>145</v>
      </c>
      <c r="AW180" s="570"/>
      <c r="AX180" s="570"/>
      <c r="AY180" s="570"/>
      <c r="AZ180" s="570"/>
      <c r="BA180" s="571"/>
      <c r="BB180" s="24"/>
      <c r="BC180" s="22" t="s">
        <v>278</v>
      </c>
      <c r="BE180" s="569" t="s">
        <v>145</v>
      </c>
      <c r="BF180" s="570"/>
      <c r="BG180" s="570"/>
      <c r="BH180" s="570"/>
      <c r="BI180" s="570"/>
      <c r="BJ180" s="571"/>
      <c r="BK180" s="24"/>
      <c r="BL180" s="22" t="s">
        <v>278</v>
      </c>
      <c r="BN180" s="569" t="s">
        <v>145</v>
      </c>
      <c r="BO180" s="570"/>
      <c r="BP180" s="570"/>
      <c r="BQ180" s="570"/>
      <c r="BR180" s="570"/>
      <c r="BS180" s="571"/>
      <c r="BT180" s="24"/>
      <c r="BU180" s="22" t="s">
        <v>278</v>
      </c>
      <c r="BW180" s="569" t="s">
        <v>145</v>
      </c>
      <c r="BX180" s="570"/>
      <c r="BY180" s="570"/>
      <c r="BZ180" s="570"/>
      <c r="CA180" s="570"/>
      <c r="CB180" s="571"/>
      <c r="CC180" s="24"/>
      <c r="CD180" s="22" t="s">
        <v>278</v>
      </c>
      <c r="CF180" s="569" t="s">
        <v>145</v>
      </c>
      <c r="CG180" s="570"/>
      <c r="CH180" s="570"/>
      <c r="CI180" s="570"/>
      <c r="CJ180" s="570"/>
      <c r="CK180" s="571"/>
      <c r="CL180" s="24"/>
      <c r="CM180" s="22" t="s">
        <v>278</v>
      </c>
      <c r="CO180" s="569" t="s">
        <v>145</v>
      </c>
      <c r="CP180" s="570"/>
      <c r="CQ180" s="570"/>
      <c r="CR180" s="570"/>
      <c r="CS180" s="570"/>
      <c r="CT180" s="571"/>
      <c r="CU180" s="24"/>
      <c r="CV180" s="22" t="s">
        <v>278</v>
      </c>
      <c r="CX180" s="569" t="s">
        <v>145</v>
      </c>
      <c r="CY180" s="570"/>
      <c r="CZ180" s="570"/>
      <c r="DA180" s="570"/>
      <c r="DB180" s="570"/>
      <c r="DC180" s="571"/>
      <c r="DD180" s="24"/>
      <c r="DE180" s="22" t="s">
        <v>278</v>
      </c>
      <c r="DG180" s="569" t="s">
        <v>145</v>
      </c>
      <c r="DH180" s="570"/>
      <c r="DI180" s="570"/>
      <c r="DJ180" s="570"/>
      <c r="DK180" s="570"/>
      <c r="DL180" s="571"/>
      <c r="DM180" s="24"/>
      <c r="DN180" s="22" t="s">
        <v>278</v>
      </c>
      <c r="DP180" s="569" t="s">
        <v>145</v>
      </c>
      <c r="DQ180" s="570"/>
      <c r="DR180" s="570"/>
      <c r="DS180" s="570"/>
      <c r="DT180" s="570"/>
      <c r="DU180" s="571"/>
      <c r="DV180" s="24"/>
      <c r="DW180" s="22" t="s">
        <v>278</v>
      </c>
      <c r="DY180" s="569" t="s">
        <v>145</v>
      </c>
      <c r="DZ180" s="570"/>
      <c r="EA180" s="570"/>
      <c r="EB180" s="570"/>
      <c r="EC180" s="570"/>
      <c r="ED180" s="571"/>
      <c r="EE180" s="24"/>
      <c r="EF180" s="22" t="s">
        <v>278</v>
      </c>
      <c r="EH180" s="569" t="s">
        <v>145</v>
      </c>
      <c r="EI180" s="570"/>
      <c r="EJ180" s="570"/>
      <c r="EK180" s="570"/>
      <c r="EL180" s="570"/>
      <c r="EM180" s="571"/>
      <c r="EN180" s="24"/>
      <c r="EO180" s="22" t="s">
        <v>278</v>
      </c>
      <c r="EQ180" s="569" t="s">
        <v>145</v>
      </c>
      <c r="ER180" s="570"/>
      <c r="ES180" s="570"/>
      <c r="ET180" s="570"/>
      <c r="EU180" s="570"/>
      <c r="EV180" s="571"/>
      <c r="EW180" s="24"/>
      <c r="EX180" s="22" t="s">
        <v>278</v>
      </c>
      <c r="EZ180" s="569" t="s">
        <v>145</v>
      </c>
      <c r="FA180" s="570"/>
      <c r="FB180" s="570"/>
      <c r="FC180" s="570"/>
      <c r="FD180" s="570"/>
      <c r="FE180" s="571"/>
      <c r="FF180" s="24"/>
      <c r="FG180" s="22" t="s">
        <v>278</v>
      </c>
      <c r="FI180" s="569" t="s">
        <v>145</v>
      </c>
      <c r="FJ180" s="570"/>
      <c r="FK180" s="570"/>
      <c r="FL180" s="570"/>
      <c r="FM180" s="570"/>
      <c r="FN180" s="571"/>
      <c r="FO180" s="24"/>
      <c r="FP180" s="22" t="s">
        <v>278</v>
      </c>
      <c r="FR180" s="569" t="s">
        <v>145</v>
      </c>
      <c r="FS180" s="570"/>
      <c r="FT180" s="570"/>
      <c r="FU180" s="570"/>
      <c r="FV180" s="570"/>
      <c r="FW180" s="571"/>
      <c r="FX180" s="24"/>
      <c r="FY180" s="22" t="s">
        <v>278</v>
      </c>
      <c r="GA180" s="569" t="s">
        <v>145</v>
      </c>
      <c r="GB180" s="570"/>
      <c r="GC180" s="570"/>
      <c r="GD180" s="570"/>
      <c r="GE180" s="570"/>
      <c r="GF180" s="571"/>
      <c r="GG180" s="24"/>
      <c r="GH180" s="22" t="s">
        <v>278</v>
      </c>
      <c r="GJ180" s="569" t="s">
        <v>145</v>
      </c>
      <c r="GK180" s="570"/>
      <c r="GL180" s="570"/>
      <c r="GM180" s="570"/>
      <c r="GN180" s="570"/>
      <c r="GO180" s="571"/>
      <c r="GP180" s="24"/>
      <c r="GQ180" s="22" t="s">
        <v>278</v>
      </c>
      <c r="GS180" s="569" t="s">
        <v>145</v>
      </c>
      <c r="GT180" s="570"/>
      <c r="GU180" s="570"/>
      <c r="GV180" s="570"/>
      <c r="GW180" s="570"/>
      <c r="GX180" s="571"/>
      <c r="GY180" s="24"/>
      <c r="GZ180" s="22" t="s">
        <v>278</v>
      </c>
      <c r="HB180" s="569" t="s">
        <v>145</v>
      </c>
      <c r="HC180" s="570"/>
      <c r="HD180" s="570"/>
      <c r="HE180" s="570"/>
      <c r="HF180" s="570"/>
      <c r="HG180" s="571"/>
      <c r="HH180" s="24"/>
      <c r="HI180" s="22" t="s">
        <v>278</v>
      </c>
      <c r="HK180" s="569" t="s">
        <v>145</v>
      </c>
      <c r="HL180" s="570"/>
      <c r="HM180" s="570"/>
      <c r="HN180" s="570"/>
      <c r="HO180" s="570"/>
      <c r="HP180" s="571"/>
      <c r="HQ180" s="24"/>
      <c r="HS180" s="22" t="s">
        <v>278</v>
      </c>
      <c r="HU180" s="569" t="s">
        <v>145</v>
      </c>
      <c r="HV180" s="570"/>
      <c r="HW180" s="570"/>
      <c r="HX180" s="570"/>
      <c r="HY180" s="570"/>
      <c r="HZ180" s="571"/>
      <c r="IA180" s="24"/>
      <c r="IB180" s="22" t="s">
        <v>278</v>
      </c>
      <c r="ID180" s="569" t="s">
        <v>145</v>
      </c>
      <c r="IE180" s="570"/>
      <c r="IF180" s="570"/>
      <c r="IG180" s="570"/>
      <c r="IH180" s="570"/>
      <c r="II180" s="571"/>
      <c r="IJ180" s="24"/>
      <c r="IK180" s="22" t="s">
        <v>278</v>
      </c>
      <c r="IM180" s="569" t="s">
        <v>145</v>
      </c>
      <c r="IN180" s="570"/>
      <c r="IO180" s="570"/>
      <c r="IP180" s="570"/>
      <c r="IQ180" s="570"/>
      <c r="IR180" s="571"/>
      <c r="IS180" s="24"/>
      <c r="IT180" s="22" t="s">
        <v>278</v>
      </c>
      <c r="IV180" s="569" t="s">
        <v>145</v>
      </c>
      <c r="IW180" s="570"/>
      <c r="IX180" s="570"/>
      <c r="IY180" s="570"/>
      <c r="IZ180" s="570"/>
      <c r="JA180" s="571"/>
      <c r="JB180" s="24"/>
      <c r="JC180" s="22" t="s">
        <v>278</v>
      </c>
      <c r="JE180" s="569" t="s">
        <v>145</v>
      </c>
      <c r="JF180" s="570"/>
      <c r="JG180" s="570"/>
      <c r="JH180" s="570"/>
      <c r="JI180" s="570"/>
      <c r="JJ180" s="571"/>
      <c r="JK180" s="24"/>
      <c r="JL180" s="22" t="s">
        <v>278</v>
      </c>
      <c r="JN180" s="569" t="s">
        <v>145</v>
      </c>
      <c r="JO180" s="570"/>
      <c r="JP180" s="570"/>
      <c r="JQ180" s="570"/>
      <c r="JR180" s="570"/>
      <c r="JS180" s="571"/>
      <c r="JT180" s="24"/>
      <c r="JU180" s="22" t="s">
        <v>278</v>
      </c>
      <c r="JW180" s="569" t="s">
        <v>145</v>
      </c>
      <c r="JX180" s="570"/>
      <c r="JY180" s="570"/>
      <c r="JZ180" s="570"/>
      <c r="KA180" s="570"/>
      <c r="KB180" s="571"/>
      <c r="KC180" s="24"/>
      <c r="KD180" s="22" t="s">
        <v>278</v>
      </c>
      <c r="KF180" s="569" t="s">
        <v>145</v>
      </c>
      <c r="KG180" s="570"/>
      <c r="KH180" s="570"/>
      <c r="KI180" s="570"/>
      <c r="KJ180" s="570"/>
      <c r="KK180" s="571"/>
      <c r="KL180" s="24"/>
      <c r="KM180" s="22" t="s">
        <v>278</v>
      </c>
      <c r="KO180" s="569" t="s">
        <v>145</v>
      </c>
      <c r="KP180" s="570"/>
      <c r="KQ180" s="570"/>
      <c r="KR180" s="570"/>
      <c r="KS180" s="570"/>
      <c r="KT180" s="571"/>
      <c r="KU180" s="24"/>
      <c r="KV180" s="22" t="s">
        <v>278</v>
      </c>
      <c r="KX180" s="569" t="s">
        <v>145</v>
      </c>
      <c r="KY180" s="570"/>
      <c r="KZ180" s="570"/>
      <c r="LA180" s="570"/>
      <c r="LB180" s="570"/>
      <c r="LC180" s="571"/>
      <c r="LD180" s="24"/>
      <c r="LE180" s="22" t="s">
        <v>278</v>
      </c>
      <c r="LG180" s="569" t="s">
        <v>145</v>
      </c>
      <c r="LH180" s="570"/>
      <c r="LI180" s="570"/>
      <c r="LJ180" s="570"/>
      <c r="LK180" s="570"/>
      <c r="LL180" s="571"/>
      <c r="LM180" s="24"/>
      <c r="LN180" s="22" t="s">
        <v>278</v>
      </c>
      <c r="LP180" s="569" t="s">
        <v>145</v>
      </c>
      <c r="LQ180" s="570"/>
      <c r="LR180" s="570"/>
      <c r="LS180" s="570"/>
      <c r="LT180" s="570"/>
      <c r="LU180" s="571"/>
      <c r="LV180" s="24"/>
      <c r="LW180" s="22" t="s">
        <v>278</v>
      </c>
      <c r="LY180" s="569" t="s">
        <v>145</v>
      </c>
      <c r="LZ180" s="570"/>
      <c r="MA180" s="570"/>
      <c r="MB180" s="570"/>
      <c r="MC180" s="570"/>
      <c r="MD180" s="571"/>
      <c r="ME180" s="24"/>
      <c r="MF180" s="22" t="s">
        <v>278</v>
      </c>
      <c r="MH180" s="569" t="s">
        <v>145</v>
      </c>
      <c r="MI180" s="570"/>
      <c r="MJ180" s="570"/>
      <c r="MK180" s="570"/>
      <c r="ML180" s="570"/>
      <c r="MM180" s="571"/>
      <c r="MN180" s="24"/>
      <c r="MO180" s="22" t="s">
        <v>278</v>
      </c>
      <c r="MQ180" s="569" t="s">
        <v>145</v>
      </c>
      <c r="MR180" s="570"/>
      <c r="MS180" s="570"/>
      <c r="MT180" s="570"/>
      <c r="MU180" s="570"/>
      <c r="MV180" s="571"/>
      <c r="MW180" s="24"/>
      <c r="MX180" s="22" t="s">
        <v>278</v>
      </c>
      <c r="MZ180" s="569" t="s">
        <v>145</v>
      </c>
      <c r="NA180" s="570"/>
      <c r="NB180" s="570"/>
      <c r="NC180" s="570"/>
      <c r="ND180" s="570"/>
      <c r="NE180" s="571"/>
      <c r="NF180" s="24"/>
      <c r="NG180" s="22" t="s">
        <v>278</v>
      </c>
      <c r="NI180" s="569" t="s">
        <v>145</v>
      </c>
      <c r="NJ180" s="570"/>
      <c r="NK180" s="570"/>
      <c r="NL180" s="570"/>
      <c r="NM180" s="570"/>
      <c r="NN180" s="571"/>
      <c r="NO180" s="24"/>
      <c r="NP180" s="22" t="s">
        <v>278</v>
      </c>
      <c r="NR180" s="569" t="s">
        <v>145</v>
      </c>
      <c r="NS180" s="570"/>
      <c r="NT180" s="570"/>
      <c r="NU180" s="570"/>
      <c r="NV180" s="570"/>
      <c r="NW180" s="571"/>
      <c r="NX180" s="24"/>
      <c r="NY180" s="22" t="s">
        <v>278</v>
      </c>
      <c r="OA180" s="589" t="s">
        <v>145</v>
      </c>
      <c r="OB180" s="590"/>
      <c r="OC180" s="590"/>
      <c r="OD180" s="590"/>
      <c r="OE180" s="590"/>
      <c r="OF180" s="591"/>
      <c r="OG180" s="24"/>
      <c r="OH180" s="22" t="s">
        <v>278</v>
      </c>
      <c r="OJ180" s="589" t="s">
        <v>145</v>
      </c>
      <c r="OK180" s="590"/>
      <c r="OL180" s="590"/>
      <c r="OM180" s="590"/>
      <c r="ON180" s="590"/>
      <c r="OO180" s="591"/>
      <c r="OP180" s="24"/>
      <c r="OQ180" s="22" t="s">
        <v>278</v>
      </c>
      <c r="OS180" s="589" t="s">
        <v>145</v>
      </c>
      <c r="OT180" s="590"/>
      <c r="OU180" s="590"/>
      <c r="OV180" s="590"/>
      <c r="OW180" s="590"/>
      <c r="OX180" s="591"/>
      <c r="OY180" s="24"/>
      <c r="OZ180" s="22" t="s">
        <v>278</v>
      </c>
      <c r="PB180" s="569" t="s">
        <v>145</v>
      </c>
      <c r="PC180" s="570"/>
      <c r="PD180" s="570"/>
      <c r="PE180" s="570"/>
      <c r="PF180" s="570"/>
      <c r="PG180" s="571"/>
      <c r="PH180" s="24"/>
      <c r="PI180" s="22" t="s">
        <v>278</v>
      </c>
      <c r="PK180" s="569" t="s">
        <v>145</v>
      </c>
      <c r="PL180" s="570"/>
      <c r="PM180" s="570"/>
      <c r="PN180" s="570"/>
      <c r="PO180" s="570"/>
      <c r="PP180" s="571"/>
      <c r="PQ180" s="24"/>
      <c r="PR180" s="22" t="s">
        <v>278</v>
      </c>
      <c r="PT180" s="569" t="s">
        <v>145</v>
      </c>
      <c r="PU180" s="570"/>
      <c r="PV180" s="570"/>
      <c r="PW180" s="570"/>
      <c r="PX180" s="570"/>
      <c r="PY180" s="571"/>
      <c r="PZ180" s="24"/>
      <c r="QA180" s="22" t="s">
        <v>278</v>
      </c>
      <c r="QC180" s="569" t="s">
        <v>145</v>
      </c>
      <c r="QD180" s="570"/>
      <c r="QE180" s="570"/>
      <c r="QF180" s="570"/>
      <c r="QG180" s="570"/>
      <c r="QH180" s="571"/>
      <c r="QI180" s="24"/>
      <c r="QJ180" s="22" t="s">
        <v>278</v>
      </c>
      <c r="QL180" s="569" t="s">
        <v>145</v>
      </c>
      <c r="QM180" s="570"/>
      <c r="QN180" s="570"/>
      <c r="QO180" s="570"/>
      <c r="QP180" s="570"/>
      <c r="QQ180" s="571"/>
      <c r="QR180" s="24"/>
      <c r="QS180" s="22" t="s">
        <v>278</v>
      </c>
      <c r="QU180" s="569" t="s">
        <v>145</v>
      </c>
      <c r="QV180" s="570"/>
      <c r="QW180" s="570"/>
      <c r="QX180" s="570"/>
      <c r="QY180" s="570"/>
      <c r="QZ180" s="571"/>
      <c r="RA180" s="24"/>
      <c r="RB180" s="22" t="s">
        <v>278</v>
      </c>
      <c r="RD180" s="569" t="s">
        <v>145</v>
      </c>
      <c r="RE180" s="570"/>
      <c r="RF180" s="570"/>
      <c r="RG180" s="570"/>
      <c r="RH180" s="570"/>
      <c r="RI180" s="571"/>
      <c r="RJ180" s="24"/>
      <c r="RK180" s="22" t="s">
        <v>278</v>
      </c>
      <c r="RM180" s="569" t="s">
        <v>145</v>
      </c>
      <c r="RN180" s="570"/>
      <c r="RO180" s="570"/>
      <c r="RP180" s="570"/>
      <c r="RQ180" s="570"/>
      <c r="RR180" s="571"/>
      <c r="RS180" s="24"/>
      <c r="RT180" s="22" t="s">
        <v>278</v>
      </c>
      <c r="RV180" s="569" t="s">
        <v>145</v>
      </c>
      <c r="RW180" s="570"/>
      <c r="RX180" s="570"/>
      <c r="RY180" s="570"/>
      <c r="RZ180" s="570"/>
      <c r="SA180" s="571"/>
      <c r="SB180" s="24"/>
      <c r="SC180" s="22" t="s">
        <v>278</v>
      </c>
      <c r="SE180" s="569" t="s">
        <v>145</v>
      </c>
      <c r="SF180" s="570"/>
      <c r="SG180" s="570"/>
      <c r="SH180" s="570"/>
      <c r="SI180" s="570"/>
      <c r="SJ180" s="571"/>
      <c r="SK180" s="24"/>
      <c r="SL180" s="22" t="s">
        <v>278</v>
      </c>
      <c r="SN180" s="569" t="s">
        <v>145</v>
      </c>
      <c r="SO180" s="570"/>
      <c r="SP180" s="570"/>
      <c r="SQ180" s="570"/>
      <c r="SR180" s="570"/>
      <c r="SS180" s="571"/>
      <c r="ST180" s="24"/>
      <c r="SU180" s="22" t="s">
        <v>278</v>
      </c>
      <c r="SW180" s="569" t="s">
        <v>145</v>
      </c>
      <c r="SX180" s="570"/>
      <c r="SY180" s="570"/>
      <c r="SZ180" s="570"/>
      <c r="TA180" s="570"/>
      <c r="TB180" s="571"/>
      <c r="TC180" s="24"/>
      <c r="TD180" s="22" t="s">
        <v>278</v>
      </c>
      <c r="TF180" s="569" t="s">
        <v>145</v>
      </c>
      <c r="TG180" s="570"/>
      <c r="TH180" s="570"/>
      <c r="TI180" s="570"/>
      <c r="TJ180" s="570"/>
      <c r="TK180" s="571"/>
      <c r="TL180" s="24"/>
      <c r="TM180" s="22" t="s">
        <v>278</v>
      </c>
      <c r="TO180" s="569" t="s">
        <v>145</v>
      </c>
      <c r="TP180" s="570"/>
      <c r="TQ180" s="570"/>
      <c r="TR180" s="570"/>
      <c r="TS180" s="570"/>
      <c r="TT180" s="571"/>
      <c r="TU180" s="24"/>
      <c r="TV180" s="22" t="s">
        <v>278</v>
      </c>
      <c r="TX180" s="569" t="s">
        <v>145</v>
      </c>
      <c r="TY180" s="570"/>
      <c r="TZ180" s="570"/>
      <c r="UA180" s="570"/>
      <c r="UB180" s="570"/>
      <c r="UC180" s="571"/>
      <c r="UD180" s="24"/>
      <c r="UE180" s="22" t="s">
        <v>278</v>
      </c>
      <c r="UG180" s="569" t="s">
        <v>145</v>
      </c>
      <c r="UH180" s="570"/>
      <c r="UI180" s="570"/>
      <c r="UJ180" s="570"/>
      <c r="UK180" s="570"/>
      <c r="UL180" s="571"/>
      <c r="UM180" s="24"/>
      <c r="UN180" s="22" t="s">
        <v>278</v>
      </c>
      <c r="UP180" s="569" t="s">
        <v>145</v>
      </c>
      <c r="UQ180" s="570"/>
      <c r="UR180" s="570"/>
      <c r="US180" s="570"/>
      <c r="UT180" s="570"/>
      <c r="UU180" s="571"/>
      <c r="UV180" s="24"/>
      <c r="UW180" s="22" t="s">
        <v>278</v>
      </c>
      <c r="UY180" s="569" t="s">
        <v>145</v>
      </c>
      <c r="UZ180" s="570"/>
      <c r="VA180" s="570"/>
      <c r="VB180" s="570"/>
      <c r="VC180" s="570"/>
      <c r="VD180" s="571"/>
      <c r="VE180" s="24"/>
      <c r="VF180" s="22" t="s">
        <v>278</v>
      </c>
      <c r="VH180" s="569" t="s">
        <v>145</v>
      </c>
      <c r="VI180" s="570"/>
      <c r="VJ180" s="570"/>
      <c r="VK180" s="570"/>
      <c r="VL180" s="570"/>
      <c r="VM180" s="571"/>
      <c r="VN180" s="24"/>
      <c r="VO180" s="22" t="s">
        <v>278</v>
      </c>
      <c r="VQ180" s="569" t="s">
        <v>145</v>
      </c>
      <c r="VR180" s="570"/>
      <c r="VS180" s="570"/>
      <c r="VT180" s="570"/>
      <c r="VU180" s="570"/>
      <c r="VV180" s="571"/>
      <c r="VW180" s="24"/>
      <c r="VX180" s="22" t="s">
        <v>278</v>
      </c>
      <c r="VZ180" s="569" t="s">
        <v>145</v>
      </c>
      <c r="WA180" s="570"/>
      <c r="WB180" s="570"/>
      <c r="WC180" s="570"/>
      <c r="WD180" s="570"/>
      <c r="WE180" s="571"/>
      <c r="WF180" s="24"/>
      <c r="WG180" s="22" t="s">
        <v>278</v>
      </c>
      <c r="WI180" s="569" t="s">
        <v>145</v>
      </c>
      <c r="WJ180" s="570"/>
      <c r="WK180" s="570"/>
      <c r="WL180" s="570"/>
      <c r="WM180" s="570"/>
      <c r="WN180" s="571"/>
      <c r="WO180" s="24"/>
      <c r="WP180" s="22" t="s">
        <v>278</v>
      </c>
      <c r="WR180" s="569" t="s">
        <v>145</v>
      </c>
      <c r="WS180" s="570"/>
      <c r="WT180" s="570"/>
      <c r="WU180" s="570"/>
      <c r="WV180" s="570"/>
      <c r="WW180" s="571"/>
      <c r="WX180" s="24"/>
      <c r="WY180" s="22" t="s">
        <v>278</v>
      </c>
      <c r="XA180" s="569" t="s">
        <v>145</v>
      </c>
      <c r="XB180" s="570"/>
      <c r="XC180" s="570"/>
      <c r="XD180" s="570"/>
      <c r="XE180" s="570"/>
      <c r="XF180" s="571"/>
      <c r="XG180" s="24"/>
      <c r="XH180" s="22" t="s">
        <v>278</v>
      </c>
      <c r="XJ180" s="569" t="s">
        <v>145</v>
      </c>
      <c r="XK180" s="570"/>
      <c r="XL180" s="570"/>
      <c r="XM180" s="570"/>
      <c r="XN180" s="570"/>
      <c r="XO180" s="571"/>
      <c r="XP180" s="24"/>
      <c r="XQ180" s="22" t="s">
        <v>278</v>
      </c>
      <c r="XS180" s="569" t="s">
        <v>145</v>
      </c>
      <c r="XT180" s="570"/>
      <c r="XU180" s="570"/>
      <c r="XV180" s="570"/>
      <c r="XW180" s="570"/>
      <c r="XX180" s="571"/>
      <c r="XY180" s="24"/>
      <c r="XZ180" s="22" t="s">
        <v>278</v>
      </c>
      <c r="YB180" s="569" t="s">
        <v>145</v>
      </c>
      <c r="YC180" s="570"/>
      <c r="YD180" s="570"/>
      <c r="YE180" s="570"/>
      <c r="YF180" s="570"/>
      <c r="YG180" s="571"/>
      <c r="YH180" s="24"/>
      <c r="YI180" s="22" t="s">
        <v>278</v>
      </c>
      <c r="YK180" s="569" t="s">
        <v>145</v>
      </c>
      <c r="YL180" s="570"/>
      <c r="YM180" s="570"/>
      <c r="YN180" s="570"/>
      <c r="YO180" s="570"/>
      <c r="YP180" s="571"/>
      <c r="YQ180" s="24"/>
      <c r="YR180" s="22" t="s">
        <v>278</v>
      </c>
      <c r="YT180" s="569" t="s">
        <v>145</v>
      </c>
      <c r="YU180" s="570"/>
      <c r="YV180" s="570"/>
      <c r="YW180" s="570"/>
      <c r="YX180" s="570"/>
      <c r="YY180" s="571"/>
      <c r="YZ180" s="24"/>
      <c r="ZA180" s="22" t="s">
        <v>278</v>
      </c>
      <c r="ZC180" s="569" t="s">
        <v>145</v>
      </c>
      <c r="ZD180" s="570"/>
      <c r="ZE180" s="570"/>
      <c r="ZF180" s="570"/>
      <c r="ZG180" s="570"/>
      <c r="ZH180" s="571"/>
      <c r="ZI180" s="24"/>
      <c r="ZJ180" s="22" t="s">
        <v>278</v>
      </c>
      <c r="ZL180" s="569" t="s">
        <v>145</v>
      </c>
      <c r="ZM180" s="570"/>
      <c r="ZN180" s="570"/>
      <c r="ZO180" s="570"/>
      <c r="ZP180" s="570"/>
      <c r="ZQ180" s="571"/>
      <c r="ZR180" s="24"/>
      <c r="ZS180" s="22" t="s">
        <v>278</v>
      </c>
      <c r="ZU180" s="569" t="s">
        <v>145</v>
      </c>
      <c r="ZV180" s="570"/>
      <c r="ZW180" s="570"/>
      <c r="ZX180" s="570"/>
      <c r="ZY180" s="570"/>
      <c r="ZZ180" s="571"/>
      <c r="AAA180" s="24"/>
      <c r="AAB180" s="22" t="s">
        <v>278</v>
      </c>
      <c r="AAD180" s="569" t="s">
        <v>145</v>
      </c>
      <c r="AAE180" s="570"/>
      <c r="AAF180" s="570"/>
      <c r="AAG180" s="570"/>
      <c r="AAH180" s="570"/>
      <c r="AAI180" s="571"/>
      <c r="AAJ180" s="24"/>
      <c r="AAK180" s="22" t="s">
        <v>278</v>
      </c>
      <c r="AAM180" s="569" t="s">
        <v>145</v>
      </c>
      <c r="AAN180" s="570"/>
      <c r="AAO180" s="570"/>
      <c r="AAP180" s="570"/>
      <c r="AAQ180" s="570"/>
      <c r="AAR180" s="571"/>
      <c r="AAS180" s="24"/>
      <c r="AAT180" s="22" t="s">
        <v>278</v>
      </c>
      <c r="AAV180" s="569" t="s">
        <v>145</v>
      </c>
      <c r="AAW180" s="570"/>
      <c r="AAX180" s="570"/>
      <c r="AAY180" s="570"/>
      <c r="AAZ180" s="570"/>
      <c r="ABA180" s="571"/>
      <c r="ABB180" s="24"/>
      <c r="ABC180" s="22" t="s">
        <v>278</v>
      </c>
      <c r="ABE180" s="569" t="s">
        <v>145</v>
      </c>
      <c r="ABF180" s="570"/>
      <c r="ABG180" s="570"/>
      <c r="ABH180" s="570"/>
      <c r="ABI180" s="570"/>
      <c r="ABJ180" s="571"/>
      <c r="ABK180" s="24"/>
    </row>
    <row r="181" spans="1:739" ht="14.45" thickBot="1">
      <c r="C181" s="30" t="s">
        <v>164</v>
      </c>
      <c r="D181" s="77" t="s">
        <v>165</v>
      </c>
      <c r="E181" s="27" t="s">
        <v>166</v>
      </c>
      <c r="F181" s="26" t="s">
        <v>167</v>
      </c>
      <c r="G181" s="27" t="s">
        <v>168</v>
      </c>
      <c r="H181" s="28" t="s">
        <v>169</v>
      </c>
      <c r="I181" s="327" t="s">
        <v>170</v>
      </c>
      <c r="L181" s="30" t="s">
        <v>164</v>
      </c>
      <c r="M181" s="77" t="s">
        <v>165</v>
      </c>
      <c r="N181" s="31" t="s">
        <v>166</v>
      </c>
      <c r="O181" s="26" t="s">
        <v>167</v>
      </c>
      <c r="P181" s="31" t="s">
        <v>168</v>
      </c>
      <c r="Q181" s="83" t="s">
        <v>169</v>
      </c>
      <c r="R181" s="79" t="s">
        <v>170</v>
      </c>
      <c r="U181" s="30" t="s">
        <v>164</v>
      </c>
      <c r="V181" s="77" t="s">
        <v>165</v>
      </c>
      <c r="W181" s="33" t="s">
        <v>166</v>
      </c>
      <c r="X181" s="26" t="s">
        <v>167</v>
      </c>
      <c r="Y181" s="33" t="s">
        <v>168</v>
      </c>
      <c r="Z181" s="84" t="s">
        <v>169</v>
      </c>
      <c r="AA181" s="79" t="s">
        <v>170</v>
      </c>
      <c r="AD181" s="30" t="s">
        <v>164</v>
      </c>
      <c r="AE181" s="77" t="s">
        <v>165</v>
      </c>
      <c r="AF181" s="35" t="s">
        <v>166</v>
      </c>
      <c r="AG181" s="26" t="s">
        <v>167</v>
      </c>
      <c r="AH181" s="35" t="s">
        <v>168</v>
      </c>
      <c r="AI181" s="36" t="s">
        <v>169</v>
      </c>
      <c r="AJ181" s="79" t="s">
        <v>170</v>
      </c>
      <c r="AM181" s="30" t="s">
        <v>164</v>
      </c>
      <c r="AN181" s="77" t="s">
        <v>165</v>
      </c>
      <c r="AO181" s="37" t="s">
        <v>166</v>
      </c>
      <c r="AP181" s="26" t="s">
        <v>167</v>
      </c>
      <c r="AQ181" s="37" t="s">
        <v>168</v>
      </c>
      <c r="AR181" s="38" t="s">
        <v>169</v>
      </c>
      <c r="AS181" s="79" t="s">
        <v>170</v>
      </c>
      <c r="AV181" s="30" t="s">
        <v>164</v>
      </c>
      <c r="AW181" s="77" t="s">
        <v>165</v>
      </c>
      <c r="AX181" s="39" t="s">
        <v>166</v>
      </c>
      <c r="AY181" s="26" t="s">
        <v>167</v>
      </c>
      <c r="AZ181" s="39" t="s">
        <v>168</v>
      </c>
      <c r="BA181" s="40" t="s">
        <v>169</v>
      </c>
      <c r="BB181" s="79" t="s">
        <v>170</v>
      </c>
      <c r="BE181" s="30" t="s">
        <v>164</v>
      </c>
      <c r="BF181" s="77" t="s">
        <v>165</v>
      </c>
      <c r="BG181" s="41" t="s">
        <v>166</v>
      </c>
      <c r="BH181" s="26" t="s">
        <v>167</v>
      </c>
      <c r="BI181" s="41" t="s">
        <v>168</v>
      </c>
      <c r="BJ181" s="42" t="s">
        <v>169</v>
      </c>
      <c r="BK181" s="79" t="s">
        <v>170</v>
      </c>
      <c r="BN181" s="30" t="s">
        <v>164</v>
      </c>
      <c r="BO181" s="77" t="s">
        <v>165</v>
      </c>
      <c r="BP181" s="43" t="s">
        <v>166</v>
      </c>
      <c r="BQ181" s="26" t="s">
        <v>167</v>
      </c>
      <c r="BR181" s="43" t="s">
        <v>168</v>
      </c>
      <c r="BS181" s="44" t="s">
        <v>169</v>
      </c>
      <c r="BT181" s="79" t="s">
        <v>170</v>
      </c>
      <c r="BW181" s="30" t="s">
        <v>164</v>
      </c>
      <c r="BX181" s="77" t="s">
        <v>165</v>
      </c>
      <c r="BY181" s="45" t="s">
        <v>166</v>
      </c>
      <c r="BZ181" s="26" t="s">
        <v>167</v>
      </c>
      <c r="CA181" s="45" t="s">
        <v>168</v>
      </c>
      <c r="CB181" s="46" t="s">
        <v>169</v>
      </c>
      <c r="CC181" s="79" t="s">
        <v>170</v>
      </c>
      <c r="CF181" s="30" t="s">
        <v>164</v>
      </c>
      <c r="CG181" s="77" t="s">
        <v>165</v>
      </c>
      <c r="CH181" s="47" t="s">
        <v>166</v>
      </c>
      <c r="CI181" s="26" t="s">
        <v>167</v>
      </c>
      <c r="CJ181" s="47" t="s">
        <v>168</v>
      </c>
      <c r="CK181" s="48" t="s">
        <v>169</v>
      </c>
      <c r="CL181" s="79" t="s">
        <v>170</v>
      </c>
      <c r="CO181" s="30" t="s">
        <v>164</v>
      </c>
      <c r="CP181" s="77" t="s">
        <v>165</v>
      </c>
      <c r="CQ181" s="129" t="s">
        <v>166</v>
      </c>
      <c r="CR181" s="26" t="s">
        <v>167</v>
      </c>
      <c r="CS181" s="129" t="s">
        <v>168</v>
      </c>
      <c r="CT181" s="130" t="s">
        <v>169</v>
      </c>
      <c r="CU181" s="79" t="s">
        <v>170</v>
      </c>
      <c r="CX181" s="30" t="s">
        <v>164</v>
      </c>
      <c r="CY181" s="77" t="s">
        <v>165</v>
      </c>
      <c r="CZ181" s="132" t="s">
        <v>166</v>
      </c>
      <c r="DA181" s="26" t="s">
        <v>167</v>
      </c>
      <c r="DB181" s="132" t="s">
        <v>168</v>
      </c>
      <c r="DC181" s="134" t="s">
        <v>169</v>
      </c>
      <c r="DD181" s="79" t="s">
        <v>170</v>
      </c>
      <c r="DG181" s="30" t="s">
        <v>164</v>
      </c>
      <c r="DH181" s="77" t="s">
        <v>165</v>
      </c>
      <c r="DI181" s="146" t="s">
        <v>166</v>
      </c>
      <c r="DJ181" s="26" t="s">
        <v>167</v>
      </c>
      <c r="DK181" s="146" t="s">
        <v>168</v>
      </c>
      <c r="DL181" s="153" t="s">
        <v>169</v>
      </c>
      <c r="DM181" s="79" t="s">
        <v>170</v>
      </c>
      <c r="DP181" s="30" t="s">
        <v>164</v>
      </c>
      <c r="DQ181" s="77" t="s">
        <v>165</v>
      </c>
      <c r="DR181" s="27" t="s">
        <v>166</v>
      </c>
      <c r="DS181" s="26" t="s">
        <v>167</v>
      </c>
      <c r="DT181" s="27" t="s">
        <v>168</v>
      </c>
      <c r="DU181" s="28" t="s">
        <v>169</v>
      </c>
      <c r="DV181" s="79" t="s">
        <v>170</v>
      </c>
      <c r="DY181" s="30" t="s">
        <v>164</v>
      </c>
      <c r="DZ181" s="77" t="s">
        <v>165</v>
      </c>
      <c r="EA181" s="156" t="s">
        <v>166</v>
      </c>
      <c r="EB181" s="26" t="s">
        <v>167</v>
      </c>
      <c r="EC181" s="156" t="s">
        <v>168</v>
      </c>
      <c r="ED181" s="158" t="s">
        <v>169</v>
      </c>
      <c r="EE181" s="79" t="s">
        <v>170</v>
      </c>
      <c r="EH181" s="30" t="s">
        <v>164</v>
      </c>
      <c r="EI181" s="77" t="s">
        <v>165</v>
      </c>
      <c r="EJ181" s="161" t="s">
        <v>166</v>
      </c>
      <c r="EK181" s="26" t="s">
        <v>167</v>
      </c>
      <c r="EL181" s="161" t="s">
        <v>168</v>
      </c>
      <c r="EM181" s="163" t="s">
        <v>169</v>
      </c>
      <c r="EN181" s="79" t="s">
        <v>170</v>
      </c>
      <c r="EQ181" s="30" t="s">
        <v>164</v>
      </c>
      <c r="ER181" s="77" t="s">
        <v>165</v>
      </c>
      <c r="ES181" s="167" t="s">
        <v>166</v>
      </c>
      <c r="ET181" s="26" t="s">
        <v>167</v>
      </c>
      <c r="EU181" s="167" t="s">
        <v>168</v>
      </c>
      <c r="EV181" s="169" t="s">
        <v>169</v>
      </c>
      <c r="EW181" s="79" t="s">
        <v>170</v>
      </c>
      <c r="EZ181" s="30" t="s">
        <v>164</v>
      </c>
      <c r="FA181" s="77" t="s">
        <v>165</v>
      </c>
      <c r="FB181" s="176" t="s">
        <v>166</v>
      </c>
      <c r="FC181" s="26" t="s">
        <v>167</v>
      </c>
      <c r="FD181" s="176" t="s">
        <v>168</v>
      </c>
      <c r="FE181" s="177" t="s">
        <v>169</v>
      </c>
      <c r="FF181" s="79" t="s">
        <v>170</v>
      </c>
      <c r="FI181" s="30" t="s">
        <v>164</v>
      </c>
      <c r="FJ181" s="77" t="s">
        <v>165</v>
      </c>
      <c r="FK181" s="181" t="s">
        <v>166</v>
      </c>
      <c r="FL181" s="26" t="s">
        <v>167</v>
      </c>
      <c r="FM181" s="181" t="s">
        <v>168</v>
      </c>
      <c r="FN181" s="182" t="s">
        <v>169</v>
      </c>
      <c r="FO181" s="79" t="s">
        <v>170</v>
      </c>
      <c r="FR181" s="30" t="s">
        <v>164</v>
      </c>
      <c r="FS181" s="77" t="s">
        <v>165</v>
      </c>
      <c r="FT181" s="185" t="s">
        <v>166</v>
      </c>
      <c r="FU181" s="26" t="s">
        <v>167</v>
      </c>
      <c r="FV181" s="185" t="s">
        <v>168</v>
      </c>
      <c r="FW181" s="187" t="s">
        <v>169</v>
      </c>
      <c r="FX181" s="79" t="s">
        <v>170</v>
      </c>
      <c r="GA181" s="30" t="s">
        <v>164</v>
      </c>
      <c r="GB181" s="77" t="s">
        <v>165</v>
      </c>
      <c r="GC181" s="128" t="s">
        <v>166</v>
      </c>
      <c r="GD181" s="26" t="s">
        <v>167</v>
      </c>
      <c r="GE181" s="128" t="s">
        <v>168</v>
      </c>
      <c r="GF181" s="200" t="s">
        <v>169</v>
      </c>
      <c r="GG181" s="79" t="s">
        <v>170</v>
      </c>
      <c r="GJ181" s="30" t="s">
        <v>164</v>
      </c>
      <c r="GK181" s="77" t="s">
        <v>165</v>
      </c>
      <c r="GL181" s="197" t="s">
        <v>166</v>
      </c>
      <c r="GM181" s="26" t="s">
        <v>167</v>
      </c>
      <c r="GN181" s="197" t="s">
        <v>168</v>
      </c>
      <c r="GO181" s="198" t="s">
        <v>169</v>
      </c>
      <c r="GP181" s="79" t="s">
        <v>170</v>
      </c>
      <c r="GS181" s="30" t="s">
        <v>164</v>
      </c>
      <c r="GT181" s="77" t="s">
        <v>165</v>
      </c>
      <c r="GU181" s="193" t="s">
        <v>166</v>
      </c>
      <c r="GV181" s="26" t="s">
        <v>167</v>
      </c>
      <c r="GW181" s="193" t="s">
        <v>168</v>
      </c>
      <c r="GX181" s="194" t="s">
        <v>169</v>
      </c>
      <c r="GY181" s="79" t="s">
        <v>170</v>
      </c>
      <c r="HB181" s="30" t="s">
        <v>164</v>
      </c>
      <c r="HC181" s="77" t="s">
        <v>165</v>
      </c>
      <c r="HD181" s="189" t="s">
        <v>166</v>
      </c>
      <c r="HE181" s="26" t="s">
        <v>167</v>
      </c>
      <c r="HF181" s="189" t="s">
        <v>168</v>
      </c>
      <c r="HG181" s="190" t="s">
        <v>169</v>
      </c>
      <c r="HH181" s="79" t="s">
        <v>170</v>
      </c>
      <c r="HK181" s="30" t="s">
        <v>164</v>
      </c>
      <c r="HL181" s="77" t="s">
        <v>165</v>
      </c>
      <c r="HM181" s="41" t="s">
        <v>166</v>
      </c>
      <c r="HN181" s="26" t="s">
        <v>167</v>
      </c>
      <c r="HO181" s="41" t="s">
        <v>168</v>
      </c>
      <c r="HP181" s="42" t="s">
        <v>169</v>
      </c>
      <c r="HQ181" s="79" t="s">
        <v>170</v>
      </c>
      <c r="HU181" s="30" t="s">
        <v>164</v>
      </c>
      <c r="HV181" s="77" t="s">
        <v>165</v>
      </c>
      <c r="HW181" s="241" t="s">
        <v>166</v>
      </c>
      <c r="HX181" s="26" t="s">
        <v>167</v>
      </c>
      <c r="HY181" s="241" t="s">
        <v>168</v>
      </c>
      <c r="HZ181" s="243" t="s">
        <v>169</v>
      </c>
      <c r="IA181" s="79" t="s">
        <v>170</v>
      </c>
      <c r="ID181" s="30" t="s">
        <v>164</v>
      </c>
      <c r="IE181" s="77" t="s">
        <v>165</v>
      </c>
      <c r="IF181" s="241" t="s">
        <v>166</v>
      </c>
      <c r="IG181" s="26" t="s">
        <v>167</v>
      </c>
      <c r="IH181" s="241" t="s">
        <v>168</v>
      </c>
      <c r="II181" s="243" t="s">
        <v>169</v>
      </c>
      <c r="IJ181" s="79" t="s">
        <v>170</v>
      </c>
      <c r="IM181" s="30" t="s">
        <v>164</v>
      </c>
      <c r="IN181" s="77" t="s">
        <v>165</v>
      </c>
      <c r="IO181" s="241" t="s">
        <v>166</v>
      </c>
      <c r="IP181" s="26" t="s">
        <v>167</v>
      </c>
      <c r="IQ181" s="241" t="s">
        <v>168</v>
      </c>
      <c r="IR181" s="243" t="s">
        <v>169</v>
      </c>
      <c r="IS181" s="79" t="s">
        <v>170</v>
      </c>
      <c r="IV181" s="30" t="s">
        <v>164</v>
      </c>
      <c r="IW181" s="77" t="s">
        <v>165</v>
      </c>
      <c r="IX181" s="241" t="s">
        <v>166</v>
      </c>
      <c r="IY181" s="26" t="s">
        <v>167</v>
      </c>
      <c r="IZ181" s="241" t="s">
        <v>168</v>
      </c>
      <c r="JA181" s="243" t="s">
        <v>169</v>
      </c>
      <c r="JB181" s="79" t="s">
        <v>170</v>
      </c>
      <c r="JE181" s="30" t="s">
        <v>164</v>
      </c>
      <c r="JF181" s="77" t="s">
        <v>165</v>
      </c>
      <c r="JG181" s="241" t="s">
        <v>166</v>
      </c>
      <c r="JH181" s="26" t="s">
        <v>167</v>
      </c>
      <c r="JI181" s="241" t="s">
        <v>168</v>
      </c>
      <c r="JJ181" s="243" t="s">
        <v>169</v>
      </c>
      <c r="JK181" s="79" t="s">
        <v>170</v>
      </c>
      <c r="JN181" s="30" t="s">
        <v>164</v>
      </c>
      <c r="JO181" s="77" t="s">
        <v>165</v>
      </c>
      <c r="JP181" s="241" t="s">
        <v>166</v>
      </c>
      <c r="JQ181" s="26" t="s">
        <v>167</v>
      </c>
      <c r="JR181" s="241" t="s">
        <v>168</v>
      </c>
      <c r="JS181" s="243" t="s">
        <v>169</v>
      </c>
      <c r="JT181" s="79" t="s">
        <v>170</v>
      </c>
      <c r="JW181" s="30" t="s">
        <v>164</v>
      </c>
      <c r="JX181" s="77" t="s">
        <v>165</v>
      </c>
      <c r="JY181" s="241" t="s">
        <v>166</v>
      </c>
      <c r="JZ181" s="26" t="s">
        <v>167</v>
      </c>
      <c r="KA181" s="241" t="s">
        <v>168</v>
      </c>
      <c r="KB181" s="243" t="s">
        <v>169</v>
      </c>
      <c r="KC181" s="79" t="s">
        <v>170</v>
      </c>
      <c r="KF181" s="30" t="s">
        <v>164</v>
      </c>
      <c r="KG181" s="77" t="s">
        <v>165</v>
      </c>
      <c r="KH181" s="241" t="s">
        <v>166</v>
      </c>
      <c r="KI181" s="26" t="s">
        <v>167</v>
      </c>
      <c r="KJ181" s="241" t="s">
        <v>168</v>
      </c>
      <c r="KK181" s="243" t="s">
        <v>169</v>
      </c>
      <c r="KL181" s="79" t="s">
        <v>170</v>
      </c>
      <c r="KO181" s="30" t="s">
        <v>164</v>
      </c>
      <c r="KP181" s="77" t="s">
        <v>165</v>
      </c>
      <c r="KQ181" s="241" t="s">
        <v>166</v>
      </c>
      <c r="KR181" s="26" t="s">
        <v>167</v>
      </c>
      <c r="KS181" s="241" t="s">
        <v>168</v>
      </c>
      <c r="KT181" s="243" t="s">
        <v>169</v>
      </c>
      <c r="KU181" s="79" t="s">
        <v>170</v>
      </c>
      <c r="KX181" s="30" t="s">
        <v>164</v>
      </c>
      <c r="KY181" s="77" t="s">
        <v>165</v>
      </c>
      <c r="KZ181" s="241" t="s">
        <v>166</v>
      </c>
      <c r="LA181" s="26" t="s">
        <v>167</v>
      </c>
      <c r="LB181" s="241" t="s">
        <v>168</v>
      </c>
      <c r="LC181" s="243" t="s">
        <v>169</v>
      </c>
      <c r="LD181" s="79" t="s">
        <v>170</v>
      </c>
      <c r="LG181" s="30" t="s">
        <v>164</v>
      </c>
      <c r="LH181" s="77" t="s">
        <v>165</v>
      </c>
      <c r="LI181" s="241" t="s">
        <v>166</v>
      </c>
      <c r="LJ181" s="26" t="s">
        <v>167</v>
      </c>
      <c r="LK181" s="241" t="s">
        <v>168</v>
      </c>
      <c r="LL181" s="243" t="s">
        <v>169</v>
      </c>
      <c r="LM181" s="79" t="s">
        <v>170</v>
      </c>
      <c r="LP181" s="30" t="s">
        <v>164</v>
      </c>
      <c r="LQ181" s="77" t="s">
        <v>165</v>
      </c>
      <c r="LR181" s="241" t="s">
        <v>166</v>
      </c>
      <c r="LS181" s="26" t="s">
        <v>167</v>
      </c>
      <c r="LT181" s="241" t="s">
        <v>168</v>
      </c>
      <c r="LU181" s="243" t="s">
        <v>169</v>
      </c>
      <c r="LV181" s="79" t="s">
        <v>170</v>
      </c>
      <c r="LY181" s="30" t="s">
        <v>164</v>
      </c>
      <c r="LZ181" s="77" t="s">
        <v>165</v>
      </c>
      <c r="MA181" s="241" t="s">
        <v>166</v>
      </c>
      <c r="MB181" s="26" t="s">
        <v>167</v>
      </c>
      <c r="MC181" s="241" t="s">
        <v>168</v>
      </c>
      <c r="MD181" s="243" t="s">
        <v>169</v>
      </c>
      <c r="ME181" s="79" t="s">
        <v>170</v>
      </c>
      <c r="MH181" s="30" t="s">
        <v>164</v>
      </c>
      <c r="MI181" s="77" t="s">
        <v>165</v>
      </c>
      <c r="MJ181" s="241" t="s">
        <v>166</v>
      </c>
      <c r="MK181" s="26" t="s">
        <v>167</v>
      </c>
      <c r="ML181" s="241" t="s">
        <v>168</v>
      </c>
      <c r="MM181" s="243" t="s">
        <v>169</v>
      </c>
      <c r="MN181" s="79" t="s">
        <v>170</v>
      </c>
      <c r="MQ181" s="30" t="s">
        <v>164</v>
      </c>
      <c r="MR181" s="77" t="s">
        <v>165</v>
      </c>
      <c r="MS181" s="241" t="s">
        <v>166</v>
      </c>
      <c r="MT181" s="26" t="s">
        <v>167</v>
      </c>
      <c r="MU181" s="241" t="s">
        <v>168</v>
      </c>
      <c r="MV181" s="243" t="s">
        <v>169</v>
      </c>
      <c r="MW181" s="79" t="s">
        <v>170</v>
      </c>
      <c r="MZ181" s="30" t="s">
        <v>164</v>
      </c>
      <c r="NA181" s="77" t="s">
        <v>165</v>
      </c>
      <c r="NB181" s="241" t="s">
        <v>166</v>
      </c>
      <c r="NC181" s="26" t="s">
        <v>167</v>
      </c>
      <c r="ND181" s="241" t="s">
        <v>168</v>
      </c>
      <c r="NE181" s="243" t="s">
        <v>169</v>
      </c>
      <c r="NF181" s="79" t="s">
        <v>170</v>
      </c>
      <c r="NI181" s="30" t="s">
        <v>164</v>
      </c>
      <c r="NJ181" s="77" t="s">
        <v>165</v>
      </c>
      <c r="NK181" s="241" t="s">
        <v>166</v>
      </c>
      <c r="NL181" s="26" t="s">
        <v>167</v>
      </c>
      <c r="NM181" s="241" t="s">
        <v>168</v>
      </c>
      <c r="NN181" s="243" t="s">
        <v>169</v>
      </c>
      <c r="NO181" s="79" t="s">
        <v>170</v>
      </c>
      <c r="NR181" s="30" t="s">
        <v>164</v>
      </c>
      <c r="NS181" s="77" t="s">
        <v>165</v>
      </c>
      <c r="NT181" s="241" t="s">
        <v>166</v>
      </c>
      <c r="NU181" s="26" t="s">
        <v>167</v>
      </c>
      <c r="NV181" s="241" t="s">
        <v>168</v>
      </c>
      <c r="NW181" s="243" t="s">
        <v>169</v>
      </c>
      <c r="NX181" s="79" t="s">
        <v>170</v>
      </c>
      <c r="OA181" s="30" t="s">
        <v>164</v>
      </c>
      <c r="OB181" s="77" t="s">
        <v>165</v>
      </c>
      <c r="OC181" s="241" t="s">
        <v>166</v>
      </c>
      <c r="OD181" s="26" t="s">
        <v>167</v>
      </c>
      <c r="OE181" s="241" t="s">
        <v>168</v>
      </c>
      <c r="OF181" s="243" t="s">
        <v>169</v>
      </c>
      <c r="OG181" s="79" t="s">
        <v>170</v>
      </c>
      <c r="OJ181" s="30" t="s">
        <v>164</v>
      </c>
      <c r="OK181" s="77" t="s">
        <v>165</v>
      </c>
      <c r="OL181" s="241" t="s">
        <v>166</v>
      </c>
      <c r="OM181" s="26" t="s">
        <v>167</v>
      </c>
      <c r="ON181" s="241" t="s">
        <v>168</v>
      </c>
      <c r="OO181" s="243" t="s">
        <v>169</v>
      </c>
      <c r="OP181" s="79" t="s">
        <v>170</v>
      </c>
      <c r="OS181" s="30" t="s">
        <v>164</v>
      </c>
      <c r="OT181" s="77" t="s">
        <v>165</v>
      </c>
      <c r="OU181" s="241" t="s">
        <v>166</v>
      </c>
      <c r="OV181" s="26" t="s">
        <v>167</v>
      </c>
      <c r="OW181" s="241" t="s">
        <v>168</v>
      </c>
      <c r="OX181" s="243" t="s">
        <v>169</v>
      </c>
      <c r="OY181" s="79" t="s">
        <v>170</v>
      </c>
      <c r="PB181" s="30" t="s">
        <v>164</v>
      </c>
      <c r="PC181" s="77" t="s">
        <v>165</v>
      </c>
      <c r="PD181" s="241" t="s">
        <v>166</v>
      </c>
      <c r="PE181" s="26" t="s">
        <v>167</v>
      </c>
      <c r="PF181" s="241" t="s">
        <v>168</v>
      </c>
      <c r="PG181" s="243" t="s">
        <v>169</v>
      </c>
      <c r="PH181" s="79" t="s">
        <v>170</v>
      </c>
      <c r="PK181" s="30" t="s">
        <v>164</v>
      </c>
      <c r="PL181" s="77" t="s">
        <v>165</v>
      </c>
      <c r="PM181" s="241" t="s">
        <v>166</v>
      </c>
      <c r="PN181" s="26" t="s">
        <v>167</v>
      </c>
      <c r="PO181" s="241" t="s">
        <v>168</v>
      </c>
      <c r="PP181" s="243" t="s">
        <v>169</v>
      </c>
      <c r="PQ181" s="79" t="s">
        <v>170</v>
      </c>
      <c r="PT181" s="30" t="s">
        <v>164</v>
      </c>
      <c r="PU181" s="77" t="s">
        <v>165</v>
      </c>
      <c r="PV181" s="241" t="s">
        <v>166</v>
      </c>
      <c r="PW181" s="26" t="s">
        <v>167</v>
      </c>
      <c r="PX181" s="241" t="s">
        <v>168</v>
      </c>
      <c r="PY181" s="243" t="s">
        <v>169</v>
      </c>
      <c r="PZ181" s="79" t="s">
        <v>170</v>
      </c>
      <c r="QC181" s="30" t="s">
        <v>164</v>
      </c>
      <c r="QD181" s="77" t="s">
        <v>165</v>
      </c>
      <c r="QE181" s="241" t="s">
        <v>166</v>
      </c>
      <c r="QF181" s="26" t="s">
        <v>167</v>
      </c>
      <c r="QG181" s="241" t="s">
        <v>168</v>
      </c>
      <c r="QH181" s="243" t="s">
        <v>169</v>
      </c>
      <c r="QI181" s="79" t="s">
        <v>170</v>
      </c>
      <c r="QL181" s="30" t="s">
        <v>164</v>
      </c>
      <c r="QM181" s="77" t="s">
        <v>165</v>
      </c>
      <c r="QN181" s="241" t="s">
        <v>166</v>
      </c>
      <c r="QO181" s="26" t="s">
        <v>167</v>
      </c>
      <c r="QP181" s="241" t="s">
        <v>168</v>
      </c>
      <c r="QQ181" s="243" t="s">
        <v>169</v>
      </c>
      <c r="QR181" s="79" t="s">
        <v>170</v>
      </c>
      <c r="QU181" s="30" t="s">
        <v>164</v>
      </c>
      <c r="QV181" s="77" t="s">
        <v>165</v>
      </c>
      <c r="QW181" s="241" t="s">
        <v>166</v>
      </c>
      <c r="QX181" s="26" t="s">
        <v>167</v>
      </c>
      <c r="QY181" s="241" t="s">
        <v>168</v>
      </c>
      <c r="QZ181" s="243" t="s">
        <v>169</v>
      </c>
      <c r="RA181" s="79" t="s">
        <v>170</v>
      </c>
      <c r="RD181" s="30" t="s">
        <v>164</v>
      </c>
      <c r="RE181" s="77" t="s">
        <v>165</v>
      </c>
      <c r="RF181" s="241" t="s">
        <v>166</v>
      </c>
      <c r="RG181" s="26" t="s">
        <v>167</v>
      </c>
      <c r="RH181" s="241" t="s">
        <v>168</v>
      </c>
      <c r="RI181" s="243" t="s">
        <v>169</v>
      </c>
      <c r="RJ181" s="79" t="s">
        <v>170</v>
      </c>
      <c r="RM181" s="30" t="s">
        <v>164</v>
      </c>
      <c r="RN181" s="77" t="s">
        <v>165</v>
      </c>
      <c r="RO181" s="241" t="s">
        <v>166</v>
      </c>
      <c r="RP181" s="26" t="s">
        <v>167</v>
      </c>
      <c r="RQ181" s="241" t="s">
        <v>168</v>
      </c>
      <c r="RR181" s="243" t="s">
        <v>169</v>
      </c>
      <c r="RS181" s="79" t="s">
        <v>170</v>
      </c>
      <c r="RV181" s="30" t="s">
        <v>164</v>
      </c>
      <c r="RW181" s="77" t="s">
        <v>165</v>
      </c>
      <c r="RX181" s="241" t="s">
        <v>166</v>
      </c>
      <c r="RY181" s="26" t="s">
        <v>167</v>
      </c>
      <c r="RZ181" s="241" t="s">
        <v>168</v>
      </c>
      <c r="SA181" s="243" t="s">
        <v>169</v>
      </c>
      <c r="SB181" s="79" t="s">
        <v>170</v>
      </c>
      <c r="SE181" s="30" t="s">
        <v>164</v>
      </c>
      <c r="SF181" s="77" t="s">
        <v>165</v>
      </c>
      <c r="SG181" s="241" t="s">
        <v>166</v>
      </c>
      <c r="SH181" s="26" t="s">
        <v>167</v>
      </c>
      <c r="SI181" s="241" t="s">
        <v>168</v>
      </c>
      <c r="SJ181" s="243" t="s">
        <v>169</v>
      </c>
      <c r="SK181" s="79" t="s">
        <v>170</v>
      </c>
      <c r="SN181" s="30" t="s">
        <v>164</v>
      </c>
      <c r="SO181" s="77" t="s">
        <v>165</v>
      </c>
      <c r="SP181" s="241" t="s">
        <v>166</v>
      </c>
      <c r="SQ181" s="26" t="s">
        <v>167</v>
      </c>
      <c r="SR181" s="241" t="s">
        <v>168</v>
      </c>
      <c r="SS181" s="243" t="s">
        <v>169</v>
      </c>
      <c r="ST181" s="79" t="s">
        <v>170</v>
      </c>
      <c r="SW181" s="30" t="s">
        <v>164</v>
      </c>
      <c r="SX181" s="77" t="s">
        <v>165</v>
      </c>
      <c r="SY181" s="241" t="s">
        <v>166</v>
      </c>
      <c r="SZ181" s="26" t="s">
        <v>167</v>
      </c>
      <c r="TA181" s="241" t="s">
        <v>168</v>
      </c>
      <c r="TB181" s="243" t="s">
        <v>169</v>
      </c>
      <c r="TC181" s="79" t="s">
        <v>170</v>
      </c>
      <c r="TF181" s="30" t="s">
        <v>164</v>
      </c>
      <c r="TG181" s="77" t="s">
        <v>165</v>
      </c>
      <c r="TH181" s="241" t="s">
        <v>166</v>
      </c>
      <c r="TI181" s="26" t="s">
        <v>167</v>
      </c>
      <c r="TJ181" s="241" t="s">
        <v>168</v>
      </c>
      <c r="TK181" s="243" t="s">
        <v>169</v>
      </c>
      <c r="TL181" s="79" t="s">
        <v>170</v>
      </c>
      <c r="TO181" s="30" t="s">
        <v>164</v>
      </c>
      <c r="TP181" s="77" t="s">
        <v>165</v>
      </c>
      <c r="TQ181" s="241" t="s">
        <v>166</v>
      </c>
      <c r="TR181" s="26" t="s">
        <v>167</v>
      </c>
      <c r="TS181" s="241" t="s">
        <v>168</v>
      </c>
      <c r="TT181" s="243" t="s">
        <v>169</v>
      </c>
      <c r="TU181" s="79" t="s">
        <v>170</v>
      </c>
      <c r="TX181" s="30" t="s">
        <v>164</v>
      </c>
      <c r="TY181" s="77" t="s">
        <v>165</v>
      </c>
      <c r="TZ181" s="241" t="s">
        <v>166</v>
      </c>
      <c r="UA181" s="26" t="s">
        <v>167</v>
      </c>
      <c r="UB181" s="241" t="s">
        <v>168</v>
      </c>
      <c r="UC181" s="243" t="s">
        <v>169</v>
      </c>
      <c r="UD181" s="79" t="s">
        <v>170</v>
      </c>
      <c r="UG181" s="30" t="s">
        <v>164</v>
      </c>
      <c r="UH181" s="77" t="s">
        <v>165</v>
      </c>
      <c r="UI181" s="241" t="s">
        <v>166</v>
      </c>
      <c r="UJ181" s="26" t="s">
        <v>167</v>
      </c>
      <c r="UK181" s="241" t="s">
        <v>168</v>
      </c>
      <c r="UL181" s="243" t="s">
        <v>169</v>
      </c>
      <c r="UM181" s="79" t="s">
        <v>170</v>
      </c>
      <c r="UP181" s="30" t="s">
        <v>164</v>
      </c>
      <c r="UQ181" s="77" t="s">
        <v>165</v>
      </c>
      <c r="UR181" s="241" t="s">
        <v>166</v>
      </c>
      <c r="US181" s="26" t="s">
        <v>167</v>
      </c>
      <c r="UT181" s="241" t="s">
        <v>168</v>
      </c>
      <c r="UU181" s="243" t="s">
        <v>169</v>
      </c>
      <c r="UV181" s="79" t="s">
        <v>170</v>
      </c>
      <c r="UY181" s="30" t="s">
        <v>164</v>
      </c>
      <c r="UZ181" s="77" t="s">
        <v>165</v>
      </c>
      <c r="VA181" s="241" t="s">
        <v>166</v>
      </c>
      <c r="VB181" s="26" t="s">
        <v>167</v>
      </c>
      <c r="VC181" s="241" t="s">
        <v>168</v>
      </c>
      <c r="VD181" s="243" t="s">
        <v>169</v>
      </c>
      <c r="VE181" s="79" t="s">
        <v>170</v>
      </c>
      <c r="VH181" s="30" t="s">
        <v>164</v>
      </c>
      <c r="VI181" s="77" t="s">
        <v>165</v>
      </c>
      <c r="VJ181" s="241" t="s">
        <v>166</v>
      </c>
      <c r="VK181" s="26" t="s">
        <v>167</v>
      </c>
      <c r="VL181" s="241" t="s">
        <v>168</v>
      </c>
      <c r="VM181" s="243" t="s">
        <v>169</v>
      </c>
      <c r="VN181" s="79" t="s">
        <v>170</v>
      </c>
      <c r="VQ181" s="30" t="s">
        <v>164</v>
      </c>
      <c r="VR181" s="77" t="s">
        <v>165</v>
      </c>
      <c r="VS181" s="241" t="s">
        <v>166</v>
      </c>
      <c r="VT181" s="26" t="s">
        <v>167</v>
      </c>
      <c r="VU181" s="241" t="s">
        <v>168</v>
      </c>
      <c r="VV181" s="243" t="s">
        <v>169</v>
      </c>
      <c r="VW181" s="79" t="s">
        <v>170</v>
      </c>
      <c r="VZ181" s="30" t="s">
        <v>164</v>
      </c>
      <c r="WA181" s="77" t="s">
        <v>165</v>
      </c>
      <c r="WB181" s="241" t="s">
        <v>166</v>
      </c>
      <c r="WC181" s="26" t="s">
        <v>167</v>
      </c>
      <c r="WD181" s="241" t="s">
        <v>168</v>
      </c>
      <c r="WE181" s="243" t="s">
        <v>169</v>
      </c>
      <c r="WF181" s="79" t="s">
        <v>170</v>
      </c>
      <c r="WI181" s="30" t="s">
        <v>164</v>
      </c>
      <c r="WJ181" s="77" t="s">
        <v>165</v>
      </c>
      <c r="WK181" s="241" t="s">
        <v>166</v>
      </c>
      <c r="WL181" s="26" t="s">
        <v>167</v>
      </c>
      <c r="WM181" s="241" t="s">
        <v>168</v>
      </c>
      <c r="WN181" s="243" t="s">
        <v>169</v>
      </c>
      <c r="WO181" s="79" t="s">
        <v>170</v>
      </c>
      <c r="WR181" s="30" t="s">
        <v>164</v>
      </c>
      <c r="WS181" s="77" t="s">
        <v>165</v>
      </c>
      <c r="WT181" s="241" t="s">
        <v>166</v>
      </c>
      <c r="WU181" s="26" t="s">
        <v>167</v>
      </c>
      <c r="WV181" s="241" t="s">
        <v>168</v>
      </c>
      <c r="WW181" s="243" t="s">
        <v>169</v>
      </c>
      <c r="WX181" s="79" t="s">
        <v>170</v>
      </c>
      <c r="XA181" s="30" t="s">
        <v>164</v>
      </c>
      <c r="XB181" s="77" t="s">
        <v>165</v>
      </c>
      <c r="XC181" s="241" t="s">
        <v>166</v>
      </c>
      <c r="XD181" s="26" t="s">
        <v>167</v>
      </c>
      <c r="XE181" s="241" t="s">
        <v>168</v>
      </c>
      <c r="XF181" s="243" t="s">
        <v>169</v>
      </c>
      <c r="XG181" s="79" t="s">
        <v>170</v>
      </c>
      <c r="XJ181" s="30" t="s">
        <v>164</v>
      </c>
      <c r="XK181" s="77" t="s">
        <v>165</v>
      </c>
      <c r="XL181" s="241" t="s">
        <v>166</v>
      </c>
      <c r="XM181" s="26" t="s">
        <v>167</v>
      </c>
      <c r="XN181" s="241" t="s">
        <v>168</v>
      </c>
      <c r="XO181" s="243" t="s">
        <v>169</v>
      </c>
      <c r="XP181" s="79" t="s">
        <v>170</v>
      </c>
      <c r="XS181" s="30" t="s">
        <v>164</v>
      </c>
      <c r="XT181" s="77" t="s">
        <v>165</v>
      </c>
      <c r="XU181" s="241" t="s">
        <v>166</v>
      </c>
      <c r="XV181" s="26" t="s">
        <v>167</v>
      </c>
      <c r="XW181" s="241" t="s">
        <v>168</v>
      </c>
      <c r="XX181" s="243" t="s">
        <v>169</v>
      </c>
      <c r="XY181" s="79" t="s">
        <v>170</v>
      </c>
      <c r="YB181" s="30" t="s">
        <v>164</v>
      </c>
      <c r="YC181" s="77" t="s">
        <v>165</v>
      </c>
      <c r="YD181" s="241" t="s">
        <v>166</v>
      </c>
      <c r="YE181" s="26" t="s">
        <v>167</v>
      </c>
      <c r="YF181" s="241" t="s">
        <v>168</v>
      </c>
      <c r="YG181" s="243" t="s">
        <v>169</v>
      </c>
      <c r="YH181" s="79" t="s">
        <v>170</v>
      </c>
      <c r="YK181" s="30" t="s">
        <v>164</v>
      </c>
      <c r="YL181" s="77" t="s">
        <v>165</v>
      </c>
      <c r="YM181" s="241" t="s">
        <v>166</v>
      </c>
      <c r="YN181" s="26" t="s">
        <v>167</v>
      </c>
      <c r="YO181" s="241" t="s">
        <v>168</v>
      </c>
      <c r="YP181" s="243" t="s">
        <v>169</v>
      </c>
      <c r="YQ181" s="79" t="s">
        <v>170</v>
      </c>
      <c r="YT181" s="30" t="s">
        <v>164</v>
      </c>
      <c r="YU181" s="77" t="s">
        <v>165</v>
      </c>
      <c r="YV181" s="241" t="s">
        <v>166</v>
      </c>
      <c r="YW181" s="26" t="s">
        <v>167</v>
      </c>
      <c r="YX181" s="241" t="s">
        <v>168</v>
      </c>
      <c r="YY181" s="243" t="s">
        <v>169</v>
      </c>
      <c r="YZ181" s="79" t="s">
        <v>170</v>
      </c>
      <c r="ZC181" s="30" t="s">
        <v>164</v>
      </c>
      <c r="ZD181" s="77" t="s">
        <v>165</v>
      </c>
      <c r="ZE181" s="241" t="s">
        <v>166</v>
      </c>
      <c r="ZF181" s="26" t="s">
        <v>167</v>
      </c>
      <c r="ZG181" s="241" t="s">
        <v>168</v>
      </c>
      <c r="ZH181" s="243" t="s">
        <v>169</v>
      </c>
      <c r="ZI181" s="79" t="s">
        <v>170</v>
      </c>
      <c r="ZL181" s="30" t="s">
        <v>164</v>
      </c>
      <c r="ZM181" s="77" t="s">
        <v>165</v>
      </c>
      <c r="ZN181" s="241" t="s">
        <v>166</v>
      </c>
      <c r="ZO181" s="26" t="s">
        <v>167</v>
      </c>
      <c r="ZP181" s="241" t="s">
        <v>168</v>
      </c>
      <c r="ZQ181" s="243" t="s">
        <v>169</v>
      </c>
      <c r="ZR181" s="79" t="s">
        <v>170</v>
      </c>
      <c r="ZU181" s="30" t="s">
        <v>164</v>
      </c>
      <c r="ZV181" s="77" t="s">
        <v>165</v>
      </c>
      <c r="ZW181" s="241" t="s">
        <v>166</v>
      </c>
      <c r="ZX181" s="26" t="s">
        <v>167</v>
      </c>
      <c r="ZY181" s="241" t="s">
        <v>168</v>
      </c>
      <c r="ZZ181" s="243" t="s">
        <v>169</v>
      </c>
      <c r="AAA181" s="79" t="s">
        <v>170</v>
      </c>
      <c r="AAD181" s="30" t="s">
        <v>164</v>
      </c>
      <c r="AAE181" s="77" t="s">
        <v>165</v>
      </c>
      <c r="AAF181" s="241" t="s">
        <v>166</v>
      </c>
      <c r="AAG181" s="26" t="s">
        <v>167</v>
      </c>
      <c r="AAH181" s="241" t="s">
        <v>168</v>
      </c>
      <c r="AAI181" s="243" t="s">
        <v>169</v>
      </c>
      <c r="AAJ181" s="79" t="s">
        <v>170</v>
      </c>
      <c r="AAM181" s="30" t="s">
        <v>164</v>
      </c>
      <c r="AAN181" s="77" t="s">
        <v>165</v>
      </c>
      <c r="AAO181" s="241" t="s">
        <v>166</v>
      </c>
      <c r="AAP181" s="26" t="s">
        <v>167</v>
      </c>
      <c r="AAQ181" s="241" t="s">
        <v>168</v>
      </c>
      <c r="AAR181" s="243" t="s">
        <v>169</v>
      </c>
      <c r="AAS181" s="79" t="s">
        <v>170</v>
      </c>
      <c r="AAV181" s="30" t="s">
        <v>164</v>
      </c>
      <c r="AAW181" s="77" t="s">
        <v>165</v>
      </c>
      <c r="AAX181" s="241" t="s">
        <v>166</v>
      </c>
      <c r="AAY181" s="26" t="s">
        <v>167</v>
      </c>
      <c r="AAZ181" s="241" t="s">
        <v>168</v>
      </c>
      <c r="ABA181" s="243" t="s">
        <v>169</v>
      </c>
      <c r="ABB181" s="79" t="s">
        <v>170</v>
      </c>
      <c r="ABE181" s="30" t="s">
        <v>164</v>
      </c>
      <c r="ABF181" s="77" t="s">
        <v>165</v>
      </c>
      <c r="ABG181" s="241" t="s">
        <v>166</v>
      </c>
      <c r="ABH181" s="26" t="s">
        <v>167</v>
      </c>
      <c r="ABI181" s="241" t="s">
        <v>168</v>
      </c>
      <c r="ABJ181" s="243" t="s">
        <v>169</v>
      </c>
      <c r="ABK181" s="79" t="s">
        <v>170</v>
      </c>
    </row>
    <row r="182" spans="1:739" s="6" customFormat="1" ht="15" customHeight="1" outlineLevel="1" thickBot="1">
      <c r="B182" s="480"/>
      <c r="C182" s="49" t="s">
        <v>171</v>
      </c>
      <c r="D182" s="429" t="s">
        <v>172</v>
      </c>
      <c r="E182" s="429" t="s">
        <v>172</v>
      </c>
      <c r="F182" s="429" t="s">
        <v>172</v>
      </c>
      <c r="G182" s="430" t="s">
        <v>172</v>
      </c>
      <c r="H182" s="431">
        <f>H178</f>
        <v>244343.40000000008</v>
      </c>
      <c r="I182" s="328"/>
      <c r="L182" s="49" t="s">
        <v>171</v>
      </c>
      <c r="M182" s="429" t="s">
        <v>172</v>
      </c>
      <c r="N182" s="429" t="s">
        <v>172</v>
      </c>
      <c r="O182" s="429" t="s">
        <v>172</v>
      </c>
      <c r="P182" s="430" t="s">
        <v>172</v>
      </c>
      <c r="Q182" s="431">
        <f>Q178</f>
        <v>105957.20000000007</v>
      </c>
      <c r="R182" s="53"/>
      <c r="U182" s="49" t="s">
        <v>171</v>
      </c>
      <c r="V182" s="429" t="s">
        <v>172</v>
      </c>
      <c r="W182" s="429" t="s">
        <v>172</v>
      </c>
      <c r="X182" s="429" t="s">
        <v>172</v>
      </c>
      <c r="Y182" s="430" t="s">
        <v>172</v>
      </c>
      <c r="Z182" s="431">
        <f>Z178</f>
        <v>44686.299999999974</v>
      </c>
      <c r="AA182" s="53"/>
      <c r="AD182" s="49" t="s">
        <v>171</v>
      </c>
      <c r="AE182" s="429" t="s">
        <v>172</v>
      </c>
      <c r="AF182" s="429" t="s">
        <v>172</v>
      </c>
      <c r="AG182" s="429" t="s">
        <v>172</v>
      </c>
      <c r="AH182" s="430" t="s">
        <v>172</v>
      </c>
      <c r="AI182" s="431">
        <f>AI178</f>
        <v>12193.400000000018</v>
      </c>
      <c r="AJ182" s="53"/>
      <c r="AM182" s="49" t="s">
        <v>171</v>
      </c>
      <c r="AN182" s="429" t="s">
        <v>172</v>
      </c>
      <c r="AO182" s="429" t="s">
        <v>172</v>
      </c>
      <c r="AP182" s="429" t="s">
        <v>172</v>
      </c>
      <c r="AQ182" s="430" t="s">
        <v>172</v>
      </c>
      <c r="AR182" s="431">
        <f>AR178</f>
        <v>0</v>
      </c>
      <c r="AS182" s="53"/>
      <c r="AV182" s="49" t="s">
        <v>171</v>
      </c>
      <c r="AW182" s="429" t="s">
        <v>172</v>
      </c>
      <c r="AX182" s="429" t="s">
        <v>172</v>
      </c>
      <c r="AY182" s="429" t="s">
        <v>172</v>
      </c>
      <c r="AZ182" s="430" t="s">
        <v>172</v>
      </c>
      <c r="BA182" s="431">
        <f>BA178</f>
        <v>18566.699999999997</v>
      </c>
      <c r="BB182" s="53"/>
      <c r="BE182" s="49" t="s">
        <v>171</v>
      </c>
      <c r="BF182" s="429" t="s">
        <v>172</v>
      </c>
      <c r="BG182" s="429" t="s">
        <v>172</v>
      </c>
      <c r="BH182" s="429" t="s">
        <v>172</v>
      </c>
      <c r="BI182" s="430" t="s">
        <v>172</v>
      </c>
      <c r="BJ182" s="431">
        <f>BJ178</f>
        <v>34163.999999999993</v>
      </c>
      <c r="BK182" s="53"/>
      <c r="BN182" s="49" t="s">
        <v>171</v>
      </c>
      <c r="BO182" s="429" t="s">
        <v>172</v>
      </c>
      <c r="BP182" s="429" t="s">
        <v>172</v>
      </c>
      <c r="BQ182" s="429" t="s">
        <v>172</v>
      </c>
      <c r="BR182" s="430" t="s">
        <v>172</v>
      </c>
      <c r="BS182" s="431">
        <f>BS178</f>
        <v>0</v>
      </c>
      <c r="BT182" s="53"/>
      <c r="BW182" s="49" t="s">
        <v>171</v>
      </c>
      <c r="BX182" s="429" t="s">
        <v>172</v>
      </c>
      <c r="BY182" s="429" t="s">
        <v>172</v>
      </c>
      <c r="BZ182" s="429" t="s">
        <v>172</v>
      </c>
      <c r="CA182" s="430" t="s">
        <v>172</v>
      </c>
      <c r="CB182" s="431">
        <f>CB178</f>
        <v>5083.1299999999992</v>
      </c>
      <c r="CC182" s="53"/>
      <c r="CF182" s="49" t="s">
        <v>171</v>
      </c>
      <c r="CG182" s="429" t="s">
        <v>172</v>
      </c>
      <c r="CH182" s="429" t="s">
        <v>172</v>
      </c>
      <c r="CI182" s="429" t="s">
        <v>172</v>
      </c>
      <c r="CJ182" s="430" t="s">
        <v>172</v>
      </c>
      <c r="CK182" s="431">
        <f>CK178</f>
        <v>0</v>
      </c>
      <c r="CL182" s="53"/>
      <c r="CO182" s="49" t="s">
        <v>171</v>
      </c>
      <c r="CP182" s="429" t="s">
        <v>172</v>
      </c>
      <c r="CQ182" s="429" t="s">
        <v>172</v>
      </c>
      <c r="CR182" s="429" t="s">
        <v>172</v>
      </c>
      <c r="CS182" s="430" t="s">
        <v>172</v>
      </c>
      <c r="CT182" s="431">
        <f>CT178</f>
        <v>0</v>
      </c>
      <c r="CU182" s="53"/>
      <c r="CX182" s="49" t="s">
        <v>171</v>
      </c>
      <c r="CY182" s="429" t="s">
        <v>172</v>
      </c>
      <c r="CZ182" s="429" t="s">
        <v>172</v>
      </c>
      <c r="DA182" s="429" t="s">
        <v>172</v>
      </c>
      <c r="DB182" s="430" t="s">
        <v>172</v>
      </c>
      <c r="DC182" s="431">
        <f>DC178</f>
        <v>19623.900000000005</v>
      </c>
      <c r="DD182" s="53"/>
      <c r="DG182" s="49" t="s">
        <v>171</v>
      </c>
      <c r="DH182" s="429" t="s">
        <v>172</v>
      </c>
      <c r="DI182" s="419" t="s">
        <v>172</v>
      </c>
      <c r="DJ182" s="429" t="s">
        <v>172</v>
      </c>
      <c r="DK182" s="420" t="s">
        <v>172</v>
      </c>
      <c r="DL182" s="421">
        <f>DL178</f>
        <v>35234.999999999985</v>
      </c>
      <c r="DM182" s="53"/>
      <c r="DP182" s="49" t="s">
        <v>171</v>
      </c>
      <c r="DQ182" s="50" t="s">
        <v>172</v>
      </c>
      <c r="DR182" s="50" t="s">
        <v>172</v>
      </c>
      <c r="DS182" s="50" t="s">
        <v>172</v>
      </c>
      <c r="DT182" s="51" t="s">
        <v>172</v>
      </c>
      <c r="DU182" s="52">
        <f>DU178</f>
        <v>5800</v>
      </c>
      <c r="DV182" s="53"/>
      <c r="DY182" s="49" t="s">
        <v>171</v>
      </c>
      <c r="DZ182" s="50" t="s">
        <v>172</v>
      </c>
      <c r="EA182" s="50" t="s">
        <v>172</v>
      </c>
      <c r="EB182" s="50" t="s">
        <v>172</v>
      </c>
      <c r="EC182" s="143" t="s">
        <v>172</v>
      </c>
      <c r="ED182" s="144">
        <f>ED178</f>
        <v>0</v>
      </c>
      <c r="EE182" s="53"/>
      <c r="EH182" s="49" t="s">
        <v>171</v>
      </c>
      <c r="EI182" s="50" t="s">
        <v>172</v>
      </c>
      <c r="EJ182" s="50" t="s">
        <v>172</v>
      </c>
      <c r="EK182" s="50" t="s">
        <v>172</v>
      </c>
      <c r="EL182" s="143" t="s">
        <v>172</v>
      </c>
      <c r="EM182" s="144">
        <f>EM178</f>
        <v>0</v>
      </c>
      <c r="EN182" s="53"/>
      <c r="EQ182" s="49" t="s">
        <v>171</v>
      </c>
      <c r="ER182" s="50" t="s">
        <v>172</v>
      </c>
      <c r="ES182" s="50" t="s">
        <v>172</v>
      </c>
      <c r="ET182" s="50" t="s">
        <v>172</v>
      </c>
      <c r="EU182" s="51" t="s">
        <v>172</v>
      </c>
      <c r="EV182" s="52">
        <f>EV178</f>
        <v>0</v>
      </c>
      <c r="EW182" s="53"/>
      <c r="EZ182" s="49" t="s">
        <v>171</v>
      </c>
      <c r="FA182" s="50" t="s">
        <v>172</v>
      </c>
      <c r="FB182" s="50" t="s">
        <v>172</v>
      </c>
      <c r="FC182" s="50" t="s">
        <v>172</v>
      </c>
      <c r="FD182" s="143" t="s">
        <v>172</v>
      </c>
      <c r="FE182" s="144">
        <f>FE178</f>
        <v>0</v>
      </c>
      <c r="FF182" s="53"/>
      <c r="FI182" s="49" t="s">
        <v>171</v>
      </c>
      <c r="FJ182" s="50" t="s">
        <v>172</v>
      </c>
      <c r="FK182" s="50" t="s">
        <v>172</v>
      </c>
      <c r="FL182" s="50" t="s">
        <v>172</v>
      </c>
      <c r="FM182" s="143" t="s">
        <v>172</v>
      </c>
      <c r="FN182" s="144">
        <f>FN178</f>
        <v>0</v>
      </c>
      <c r="FO182" s="53"/>
      <c r="FR182" s="49" t="s">
        <v>171</v>
      </c>
      <c r="FS182" s="50" t="s">
        <v>172</v>
      </c>
      <c r="FT182" s="50" t="s">
        <v>172</v>
      </c>
      <c r="FU182" s="50" t="s">
        <v>172</v>
      </c>
      <c r="FV182" s="143" t="s">
        <v>172</v>
      </c>
      <c r="FW182" s="144">
        <f>FW178</f>
        <v>4140</v>
      </c>
      <c r="FX182" s="459">
        <f>FW182/20</f>
        <v>207</v>
      </c>
      <c r="FY182" s="460" t="s">
        <v>173</v>
      </c>
      <c r="GA182" s="49" t="s">
        <v>171</v>
      </c>
      <c r="GB182" s="50" t="s">
        <v>172</v>
      </c>
      <c r="GC182" s="50" t="s">
        <v>172</v>
      </c>
      <c r="GD182" s="50" t="s">
        <v>172</v>
      </c>
      <c r="GE182" s="143" t="s">
        <v>172</v>
      </c>
      <c r="GF182" s="144">
        <f>GF178</f>
        <v>5040</v>
      </c>
      <c r="GG182" s="461">
        <f>GF182/20</f>
        <v>252</v>
      </c>
      <c r="GH182" s="460" t="s">
        <v>173</v>
      </c>
      <c r="GI182" s="22"/>
      <c r="GJ182" s="49" t="s">
        <v>171</v>
      </c>
      <c r="GK182" s="50" t="s">
        <v>172</v>
      </c>
      <c r="GL182" s="50" t="s">
        <v>172</v>
      </c>
      <c r="GM182" s="50" t="s">
        <v>172</v>
      </c>
      <c r="GN182" s="143" t="s">
        <v>172</v>
      </c>
      <c r="GO182" s="144">
        <f>GO178</f>
        <v>1760</v>
      </c>
      <c r="GP182" s="459">
        <f>GO182/20</f>
        <v>88</v>
      </c>
      <c r="GQ182" s="460" t="s">
        <v>173</v>
      </c>
      <c r="GS182" s="49" t="s">
        <v>171</v>
      </c>
      <c r="GT182" s="50" t="s">
        <v>172</v>
      </c>
      <c r="GU182" s="50" t="s">
        <v>172</v>
      </c>
      <c r="GV182" s="50" t="s">
        <v>172</v>
      </c>
      <c r="GW182" s="143" t="s">
        <v>172</v>
      </c>
      <c r="GX182" s="144">
        <f>GX178</f>
        <v>600</v>
      </c>
      <c r="GY182" s="459">
        <f>GX182/20</f>
        <v>30</v>
      </c>
      <c r="GZ182" s="460" t="s">
        <v>173</v>
      </c>
      <c r="HB182" s="49" t="s">
        <v>171</v>
      </c>
      <c r="HC182" s="50" t="s">
        <v>172</v>
      </c>
      <c r="HD182" s="50" t="s">
        <v>172</v>
      </c>
      <c r="HE182" s="50" t="s">
        <v>172</v>
      </c>
      <c r="HF182" s="143" t="s">
        <v>172</v>
      </c>
      <c r="HG182" s="144">
        <f>HG178</f>
        <v>3600</v>
      </c>
      <c r="HH182" s="459">
        <f>HG182/20</f>
        <v>180</v>
      </c>
      <c r="HI182" s="460" t="s">
        <v>173</v>
      </c>
      <c r="HK182" s="49" t="s">
        <v>171</v>
      </c>
      <c r="HL182" s="50" t="s">
        <v>172</v>
      </c>
      <c r="HM182" s="50" t="s">
        <v>172</v>
      </c>
      <c r="HN182" s="50" t="s">
        <v>172</v>
      </c>
      <c r="HO182" s="143" t="s">
        <v>172</v>
      </c>
      <c r="HP182" s="144">
        <f>HP178</f>
        <v>0</v>
      </c>
      <c r="HQ182" s="53"/>
      <c r="HU182" s="49" t="s">
        <v>171</v>
      </c>
      <c r="HV182" s="50" t="s">
        <v>172</v>
      </c>
      <c r="HW182" s="142" t="s">
        <v>172</v>
      </c>
      <c r="HX182" s="50" t="s">
        <v>172</v>
      </c>
      <c r="HY182" s="143" t="s">
        <v>172</v>
      </c>
      <c r="HZ182" s="144">
        <f>HZ178</f>
        <v>6800</v>
      </c>
      <c r="IA182" s="459">
        <f>HZ182/20</f>
        <v>340</v>
      </c>
      <c r="IB182" s="460" t="s">
        <v>173</v>
      </c>
      <c r="ID182" s="49" t="s">
        <v>171</v>
      </c>
      <c r="IE182" s="50" t="s">
        <v>172</v>
      </c>
      <c r="IF182" s="142" t="s">
        <v>172</v>
      </c>
      <c r="IG182" s="50" t="s">
        <v>172</v>
      </c>
      <c r="IH182" s="143" t="s">
        <v>172</v>
      </c>
      <c r="II182" s="144">
        <f>II178</f>
        <v>720</v>
      </c>
      <c r="IJ182" s="459">
        <f>II182/20</f>
        <v>36</v>
      </c>
      <c r="IK182" s="460" t="s">
        <v>173</v>
      </c>
      <c r="IM182" s="49" t="s">
        <v>171</v>
      </c>
      <c r="IN182" s="50" t="s">
        <v>172</v>
      </c>
      <c r="IO182" s="142" t="s">
        <v>172</v>
      </c>
      <c r="IP182" s="50" t="s">
        <v>172</v>
      </c>
      <c r="IQ182" s="143" t="s">
        <v>172</v>
      </c>
      <c r="IR182" s="144">
        <f>IR178</f>
        <v>8140</v>
      </c>
      <c r="IS182" s="459">
        <f>IR182/20</f>
        <v>407</v>
      </c>
      <c r="IT182" s="460" t="s">
        <v>173</v>
      </c>
      <c r="IV182" s="49" t="s">
        <v>171</v>
      </c>
      <c r="IW182" s="50" t="s">
        <v>172</v>
      </c>
      <c r="IX182" s="142" t="s">
        <v>172</v>
      </c>
      <c r="IY182" s="142" t="s">
        <v>172</v>
      </c>
      <c r="IZ182" s="143" t="s">
        <v>172</v>
      </c>
      <c r="JA182" s="144">
        <f>JA178</f>
        <v>4960</v>
      </c>
      <c r="JB182" s="459">
        <f>JA182/20</f>
        <v>248</v>
      </c>
      <c r="JC182" s="460" t="s">
        <v>173</v>
      </c>
      <c r="JE182" s="49" t="s">
        <v>171</v>
      </c>
      <c r="JF182" s="50" t="s">
        <v>172</v>
      </c>
      <c r="JG182" s="142" t="s">
        <v>172</v>
      </c>
      <c r="JH182" s="142" t="s">
        <v>172</v>
      </c>
      <c r="JI182" s="143" t="s">
        <v>172</v>
      </c>
      <c r="JJ182" s="144">
        <f>JJ178</f>
        <v>0</v>
      </c>
      <c r="JK182" s="53"/>
      <c r="JN182" s="49" t="s">
        <v>171</v>
      </c>
      <c r="JO182" s="50" t="s">
        <v>172</v>
      </c>
      <c r="JP182" s="142" t="s">
        <v>172</v>
      </c>
      <c r="JQ182" s="142" t="s">
        <v>172</v>
      </c>
      <c r="JR182" s="143" t="s">
        <v>172</v>
      </c>
      <c r="JS182" s="144">
        <f>JS178</f>
        <v>3340</v>
      </c>
      <c r="JT182" s="459">
        <f>JS182/20</f>
        <v>167</v>
      </c>
      <c r="JU182" s="460" t="s">
        <v>173</v>
      </c>
      <c r="JW182" s="49" t="s">
        <v>171</v>
      </c>
      <c r="JX182" s="50" t="s">
        <v>172</v>
      </c>
      <c r="JY182" s="142" t="s">
        <v>172</v>
      </c>
      <c r="JZ182" s="142" t="s">
        <v>172</v>
      </c>
      <c r="KA182" s="143" t="s">
        <v>172</v>
      </c>
      <c r="KB182" s="144">
        <f>KB178</f>
        <v>2540</v>
      </c>
      <c r="KC182" s="459">
        <f>KB182/20</f>
        <v>127</v>
      </c>
      <c r="KD182" s="460" t="s">
        <v>173</v>
      </c>
      <c r="KF182" s="49" t="s">
        <v>171</v>
      </c>
      <c r="KG182" s="50" t="s">
        <v>172</v>
      </c>
      <c r="KH182" s="142" t="s">
        <v>172</v>
      </c>
      <c r="KI182" s="50" t="s">
        <v>172</v>
      </c>
      <c r="KJ182" s="143" t="s">
        <v>172</v>
      </c>
      <c r="KK182" s="144">
        <f>KK178</f>
        <v>2359.5</v>
      </c>
      <c r="KL182" s="459">
        <f>KK182/19.5</f>
        <v>121</v>
      </c>
      <c r="KM182" s="460" t="s">
        <v>173</v>
      </c>
      <c r="KO182" s="49" t="s">
        <v>171</v>
      </c>
      <c r="KP182" s="50" t="s">
        <v>172</v>
      </c>
      <c r="KQ182" s="142" t="s">
        <v>172</v>
      </c>
      <c r="KR182" s="50" t="s">
        <v>172</v>
      </c>
      <c r="KS182" s="143" t="s">
        <v>172</v>
      </c>
      <c r="KT182" s="144">
        <f>KT178</f>
        <v>1890</v>
      </c>
      <c r="KU182" s="459">
        <f>KT182/18.9</f>
        <v>100.00000000000001</v>
      </c>
      <c r="KV182" s="460" t="s">
        <v>173</v>
      </c>
      <c r="KW182" s="22"/>
      <c r="KX182" s="49" t="s">
        <v>171</v>
      </c>
      <c r="KY182" s="50" t="s">
        <v>172</v>
      </c>
      <c r="KZ182" s="142" t="s">
        <v>172</v>
      </c>
      <c r="LA182" s="50" t="s">
        <v>172</v>
      </c>
      <c r="LB182" s="143" t="s">
        <v>172</v>
      </c>
      <c r="LC182" s="144">
        <f>LC178</f>
        <v>3690</v>
      </c>
      <c r="LD182" s="459">
        <f>LC182/20.5</f>
        <v>180</v>
      </c>
      <c r="LE182" s="460" t="s">
        <v>173</v>
      </c>
      <c r="LG182" s="49" t="s">
        <v>171</v>
      </c>
      <c r="LH182" s="50" t="s">
        <v>172</v>
      </c>
      <c r="LI182" s="142" t="s">
        <v>172</v>
      </c>
      <c r="LJ182" s="142" t="s">
        <v>172</v>
      </c>
      <c r="LK182" s="143" t="s">
        <v>172</v>
      </c>
      <c r="LL182" s="144">
        <f>LL178</f>
        <v>4000</v>
      </c>
      <c r="LM182" s="459">
        <f>LL182/20</f>
        <v>200</v>
      </c>
      <c r="LN182" s="460" t="s">
        <v>173</v>
      </c>
      <c r="LP182" s="49" t="s">
        <v>171</v>
      </c>
      <c r="LQ182" s="50" t="s">
        <v>172</v>
      </c>
      <c r="LR182" s="142" t="s">
        <v>172</v>
      </c>
      <c r="LS182" s="50" t="s">
        <v>172</v>
      </c>
      <c r="LT182" s="143" t="s">
        <v>172</v>
      </c>
      <c r="LU182" s="144">
        <f>LU178</f>
        <v>0</v>
      </c>
      <c r="LV182" s="53"/>
      <c r="LY182" s="49" t="s">
        <v>171</v>
      </c>
      <c r="LZ182" s="50" t="s">
        <v>172</v>
      </c>
      <c r="MA182" s="142" t="s">
        <v>172</v>
      </c>
      <c r="MB182" s="142" t="s">
        <v>172</v>
      </c>
      <c r="MC182" s="143" t="s">
        <v>172</v>
      </c>
      <c r="MD182" s="144">
        <f>MD178</f>
        <v>0</v>
      </c>
      <c r="ME182" s="53"/>
      <c r="MH182" s="49" t="s">
        <v>171</v>
      </c>
      <c r="MI182" s="50" t="s">
        <v>172</v>
      </c>
      <c r="MJ182" s="142" t="s">
        <v>172</v>
      </c>
      <c r="MK182" s="142" t="s">
        <v>172</v>
      </c>
      <c r="ML182" s="143" t="s">
        <v>172</v>
      </c>
      <c r="MM182" s="144">
        <f>MM178</f>
        <v>0</v>
      </c>
      <c r="MN182" s="53"/>
      <c r="MQ182" s="49" t="s">
        <v>171</v>
      </c>
      <c r="MR182" s="50" t="s">
        <v>172</v>
      </c>
      <c r="MS182" s="142" t="s">
        <v>172</v>
      </c>
      <c r="MT182" s="142" t="s">
        <v>172</v>
      </c>
      <c r="MU182" s="143" t="s">
        <v>172</v>
      </c>
      <c r="MV182" s="144">
        <f>MV178</f>
        <v>3724</v>
      </c>
      <c r="MW182" s="53"/>
      <c r="MZ182" s="49" t="s">
        <v>171</v>
      </c>
      <c r="NA182" s="50" t="s">
        <v>172</v>
      </c>
      <c r="NB182" s="142" t="s">
        <v>172</v>
      </c>
      <c r="NC182" s="142" t="s">
        <v>172</v>
      </c>
      <c r="ND182" s="143" t="s">
        <v>172</v>
      </c>
      <c r="NE182" s="144">
        <f>NE178</f>
        <v>0</v>
      </c>
      <c r="NF182" s="53"/>
      <c r="NI182" s="49" t="s">
        <v>171</v>
      </c>
      <c r="NJ182" s="50" t="s">
        <v>172</v>
      </c>
      <c r="NK182" s="142" t="s">
        <v>172</v>
      </c>
      <c r="NL182" s="50" t="s">
        <v>172</v>
      </c>
      <c r="NM182" s="143" t="s">
        <v>172</v>
      </c>
      <c r="NN182" s="144">
        <f>NN178</f>
        <v>1127</v>
      </c>
      <c r="NO182" s="53"/>
      <c r="NR182" s="49" t="s">
        <v>171</v>
      </c>
      <c r="NS182" s="50" t="s">
        <v>172</v>
      </c>
      <c r="NT182" s="142" t="s">
        <v>172</v>
      </c>
      <c r="NU182" s="50" t="s">
        <v>172</v>
      </c>
      <c r="NV182" s="143" t="s">
        <v>172</v>
      </c>
      <c r="NW182" s="144">
        <f>NW178</f>
        <v>3111.9999999999995</v>
      </c>
      <c r="NX182" s="53"/>
      <c r="OA182" s="49" t="s">
        <v>171</v>
      </c>
      <c r="OB182" s="50" t="s">
        <v>172</v>
      </c>
      <c r="OC182" s="142" t="s">
        <v>172</v>
      </c>
      <c r="OD182" s="142" t="s">
        <v>172</v>
      </c>
      <c r="OE182" s="143" t="s">
        <v>172</v>
      </c>
      <c r="OF182" s="144">
        <f>OF178</f>
        <v>1680.5</v>
      </c>
      <c r="OG182" s="53"/>
      <c r="OJ182" s="49" t="s">
        <v>171</v>
      </c>
      <c r="OK182" s="50" t="s">
        <v>172</v>
      </c>
      <c r="OL182" s="142" t="s">
        <v>172</v>
      </c>
      <c r="OM182" s="142" t="s">
        <v>172</v>
      </c>
      <c r="ON182" s="143" t="s">
        <v>172</v>
      </c>
      <c r="OO182" s="144">
        <f>OO178</f>
        <v>0</v>
      </c>
      <c r="OP182" s="53"/>
      <c r="OS182" s="49" t="s">
        <v>171</v>
      </c>
      <c r="OT182" s="50" t="s">
        <v>172</v>
      </c>
      <c r="OU182" s="142" t="s">
        <v>172</v>
      </c>
      <c r="OV182" s="142" t="s">
        <v>172</v>
      </c>
      <c r="OW182" s="143" t="s">
        <v>172</v>
      </c>
      <c r="OX182" s="144">
        <f>OX178</f>
        <v>1482</v>
      </c>
      <c r="OY182" s="53"/>
      <c r="PB182" s="49" t="s">
        <v>171</v>
      </c>
      <c r="PC182" s="50" t="s">
        <v>172</v>
      </c>
      <c r="PD182" s="142" t="s">
        <v>172</v>
      </c>
      <c r="PE182" s="142" t="s">
        <v>172</v>
      </c>
      <c r="PF182" s="143" t="s">
        <v>172</v>
      </c>
      <c r="PG182" s="144">
        <f>PG178</f>
        <v>0</v>
      </c>
      <c r="PH182" s="53"/>
      <c r="PK182" s="49" t="s">
        <v>171</v>
      </c>
      <c r="PL182" s="50" t="s">
        <v>172</v>
      </c>
      <c r="PM182" s="142" t="s">
        <v>172</v>
      </c>
      <c r="PN182" s="142" t="s">
        <v>172</v>
      </c>
      <c r="PO182" s="143" t="s">
        <v>172</v>
      </c>
      <c r="PP182" s="144">
        <f>PP178</f>
        <v>100</v>
      </c>
      <c r="PQ182" s="53"/>
      <c r="PT182" s="49" t="s">
        <v>171</v>
      </c>
      <c r="PU182" s="50" t="s">
        <v>172</v>
      </c>
      <c r="PV182" s="142" t="s">
        <v>172</v>
      </c>
      <c r="PW182" s="142" t="s">
        <v>172</v>
      </c>
      <c r="PX182" s="143" t="s">
        <v>172</v>
      </c>
      <c r="PY182" s="144">
        <f>PY178</f>
        <v>13.960000000000036</v>
      </c>
      <c r="PZ182" s="53"/>
      <c r="QC182" s="49" t="s">
        <v>171</v>
      </c>
      <c r="QD182" s="50" t="s">
        <v>172</v>
      </c>
      <c r="QE182" s="142" t="s">
        <v>172</v>
      </c>
      <c r="QF182" s="142" t="s">
        <v>172</v>
      </c>
      <c r="QG182" s="143" t="s">
        <v>172</v>
      </c>
      <c r="QH182" s="144">
        <f>QH178</f>
        <v>108</v>
      </c>
      <c r="QI182" s="53"/>
      <c r="QL182" s="49" t="s">
        <v>171</v>
      </c>
      <c r="QM182" s="50" t="s">
        <v>172</v>
      </c>
      <c r="QN182" s="142" t="s">
        <v>172</v>
      </c>
      <c r="QO182" s="142" t="s">
        <v>172</v>
      </c>
      <c r="QP182" s="143" t="s">
        <v>172</v>
      </c>
      <c r="QQ182" s="144">
        <f>QQ178</f>
        <v>245</v>
      </c>
      <c r="QR182" s="53"/>
      <c r="QU182" s="49" t="s">
        <v>171</v>
      </c>
      <c r="QV182" s="50" t="s">
        <v>172</v>
      </c>
      <c r="QW182" s="142" t="s">
        <v>172</v>
      </c>
      <c r="QX182" s="142" t="s">
        <v>172</v>
      </c>
      <c r="QY182" s="143" t="s">
        <v>172</v>
      </c>
      <c r="QZ182" s="144">
        <f>QZ178</f>
        <v>207.6</v>
      </c>
      <c r="RA182" s="53"/>
      <c r="RD182" s="49" t="s">
        <v>171</v>
      </c>
      <c r="RE182" s="50" t="s">
        <v>172</v>
      </c>
      <c r="RF182" s="142" t="s">
        <v>172</v>
      </c>
      <c r="RG182" s="142" t="s">
        <v>172</v>
      </c>
      <c r="RH182" s="143" t="s">
        <v>172</v>
      </c>
      <c r="RI182" s="144">
        <f>RI178</f>
        <v>147.04000000000002</v>
      </c>
      <c r="RJ182" s="53"/>
      <c r="RM182" s="49" t="s">
        <v>171</v>
      </c>
      <c r="RN182" s="50" t="s">
        <v>172</v>
      </c>
      <c r="RO182" s="142" t="s">
        <v>172</v>
      </c>
      <c r="RP182" s="142" t="s">
        <v>172</v>
      </c>
      <c r="RQ182" s="143" t="s">
        <v>172</v>
      </c>
      <c r="RR182" s="144">
        <f>RR178</f>
        <v>46.8</v>
      </c>
      <c r="RS182" s="53"/>
      <c r="RV182" s="49" t="s">
        <v>171</v>
      </c>
      <c r="RW182" s="50" t="s">
        <v>172</v>
      </c>
      <c r="RX182" s="142" t="s">
        <v>172</v>
      </c>
      <c r="RY182" s="142" t="s">
        <v>172</v>
      </c>
      <c r="RZ182" s="143" t="s">
        <v>172</v>
      </c>
      <c r="SA182" s="144">
        <f>SA178</f>
        <v>0</v>
      </c>
      <c r="SB182" s="53"/>
      <c r="SE182" s="49" t="s">
        <v>171</v>
      </c>
      <c r="SF182" s="50" t="s">
        <v>172</v>
      </c>
      <c r="SG182" s="142" t="s">
        <v>172</v>
      </c>
      <c r="SH182" s="142" t="s">
        <v>172</v>
      </c>
      <c r="SI182" s="143" t="s">
        <v>172</v>
      </c>
      <c r="SJ182" s="144">
        <f>SJ178</f>
        <v>24.200000000000003</v>
      </c>
      <c r="SK182" s="53"/>
      <c r="SN182" s="49" t="s">
        <v>171</v>
      </c>
      <c r="SO182" s="50" t="s">
        <v>172</v>
      </c>
      <c r="SP182" s="142" t="s">
        <v>172</v>
      </c>
      <c r="SQ182" s="142" t="s">
        <v>172</v>
      </c>
      <c r="SR182" s="143" t="s">
        <v>172</v>
      </c>
      <c r="SS182" s="144">
        <f>SS178</f>
        <v>32</v>
      </c>
      <c r="ST182" s="53"/>
      <c r="SW182" s="49" t="s">
        <v>171</v>
      </c>
      <c r="SX182" s="50" t="s">
        <v>172</v>
      </c>
      <c r="SY182" s="142" t="s">
        <v>172</v>
      </c>
      <c r="SZ182" s="142" t="s">
        <v>172</v>
      </c>
      <c r="TA182" s="143" t="s">
        <v>172</v>
      </c>
      <c r="TB182" s="144">
        <f>TB178</f>
        <v>0</v>
      </c>
      <c r="TC182" s="53"/>
      <c r="TF182" s="49" t="s">
        <v>171</v>
      </c>
      <c r="TG182" s="50" t="s">
        <v>172</v>
      </c>
      <c r="TH182" s="142" t="s">
        <v>172</v>
      </c>
      <c r="TI182" s="142" t="s">
        <v>172</v>
      </c>
      <c r="TJ182" s="143" t="s">
        <v>172</v>
      </c>
      <c r="TK182" s="144">
        <f>TK178</f>
        <v>0</v>
      </c>
      <c r="TL182" s="53"/>
      <c r="TO182" s="49" t="s">
        <v>171</v>
      </c>
      <c r="TP182" s="50" t="s">
        <v>172</v>
      </c>
      <c r="TQ182" s="142" t="s">
        <v>172</v>
      </c>
      <c r="TR182" s="142" t="s">
        <v>172</v>
      </c>
      <c r="TS182" s="143" t="s">
        <v>172</v>
      </c>
      <c r="TT182" s="144">
        <f>TT178</f>
        <v>0</v>
      </c>
      <c r="TU182" s="53"/>
      <c r="TX182" s="49" t="s">
        <v>171</v>
      </c>
      <c r="TY182" s="50" t="s">
        <v>172</v>
      </c>
      <c r="TZ182" s="142" t="s">
        <v>172</v>
      </c>
      <c r="UA182" s="142" t="s">
        <v>172</v>
      </c>
      <c r="UB182" s="143" t="s">
        <v>172</v>
      </c>
      <c r="UC182" s="144">
        <f>UC178</f>
        <v>135.6</v>
      </c>
      <c r="UD182" s="53"/>
      <c r="UG182" s="49" t="s">
        <v>171</v>
      </c>
      <c r="UH182" s="50" t="s">
        <v>172</v>
      </c>
      <c r="UI182" s="142" t="s">
        <v>172</v>
      </c>
      <c r="UJ182" s="142" t="s">
        <v>172</v>
      </c>
      <c r="UK182" s="143" t="s">
        <v>172</v>
      </c>
      <c r="UL182" s="144">
        <f>UL178</f>
        <v>128</v>
      </c>
      <c r="UM182" s="53"/>
      <c r="UP182" s="49" t="s">
        <v>171</v>
      </c>
      <c r="UQ182" s="50" t="s">
        <v>172</v>
      </c>
      <c r="UR182" s="142" t="s">
        <v>172</v>
      </c>
      <c r="US182" s="142" t="s">
        <v>172</v>
      </c>
      <c r="UT182" s="143" t="s">
        <v>172</v>
      </c>
      <c r="UU182" s="144">
        <f>UU178</f>
        <v>11.25</v>
      </c>
      <c r="UV182" s="53"/>
      <c r="UY182" s="49" t="s">
        <v>171</v>
      </c>
      <c r="UZ182" s="50" t="s">
        <v>172</v>
      </c>
      <c r="VA182" s="142" t="s">
        <v>172</v>
      </c>
      <c r="VB182" s="142" t="s">
        <v>172</v>
      </c>
      <c r="VC182" s="143" t="s">
        <v>172</v>
      </c>
      <c r="VD182" s="144">
        <f>VD178</f>
        <v>41.600000000000023</v>
      </c>
      <c r="VE182" s="53"/>
      <c r="VH182" s="49" t="s">
        <v>171</v>
      </c>
      <c r="VI182" s="50" t="s">
        <v>172</v>
      </c>
      <c r="VJ182" s="142" t="s">
        <v>172</v>
      </c>
      <c r="VK182" s="142" t="s">
        <v>172</v>
      </c>
      <c r="VL182" s="143" t="s">
        <v>172</v>
      </c>
      <c r="VM182" s="144">
        <f>VM178</f>
        <v>0</v>
      </c>
      <c r="VN182" s="53"/>
      <c r="VQ182" s="49" t="s">
        <v>171</v>
      </c>
      <c r="VR182" s="50" t="s">
        <v>172</v>
      </c>
      <c r="VS182" s="142" t="s">
        <v>172</v>
      </c>
      <c r="VT182" s="142" t="s">
        <v>172</v>
      </c>
      <c r="VU182" s="143" t="s">
        <v>172</v>
      </c>
      <c r="VV182" s="144">
        <f>VV178</f>
        <v>0</v>
      </c>
      <c r="VW182" s="53"/>
      <c r="VZ182" s="49" t="s">
        <v>171</v>
      </c>
      <c r="WA182" s="50" t="s">
        <v>172</v>
      </c>
      <c r="WB182" s="142" t="s">
        <v>172</v>
      </c>
      <c r="WC182" s="142" t="s">
        <v>172</v>
      </c>
      <c r="WD182" s="143" t="s">
        <v>172</v>
      </c>
      <c r="WE182" s="144">
        <f>WE178</f>
        <v>0</v>
      </c>
      <c r="WF182" s="53"/>
      <c r="WI182" s="49" t="s">
        <v>171</v>
      </c>
      <c r="WJ182" s="429" t="s">
        <v>172</v>
      </c>
      <c r="WK182" s="419" t="s">
        <v>172</v>
      </c>
      <c r="WL182" s="419" t="s">
        <v>172</v>
      </c>
      <c r="WM182" s="420" t="s">
        <v>172</v>
      </c>
      <c r="WN182" s="421">
        <f>WN178</f>
        <v>1199</v>
      </c>
      <c r="WO182" s="53"/>
      <c r="WR182" s="49" t="s">
        <v>171</v>
      </c>
      <c r="WS182" s="429" t="s">
        <v>172</v>
      </c>
      <c r="WT182" s="419" t="s">
        <v>172</v>
      </c>
      <c r="WU182" s="419" t="s">
        <v>172</v>
      </c>
      <c r="WV182" s="420" t="s">
        <v>172</v>
      </c>
      <c r="WW182" s="421">
        <f>WW178</f>
        <v>0</v>
      </c>
      <c r="WX182" s="53"/>
      <c r="XA182" s="49" t="s">
        <v>171</v>
      </c>
      <c r="XB182" s="429" t="s">
        <v>172</v>
      </c>
      <c r="XC182" s="419" t="s">
        <v>172</v>
      </c>
      <c r="XD182" s="419" t="s">
        <v>172</v>
      </c>
      <c r="XE182" s="420" t="s">
        <v>172</v>
      </c>
      <c r="XF182" s="421">
        <f>XF178</f>
        <v>6813</v>
      </c>
      <c r="XG182" s="53"/>
      <c r="XJ182" s="49" t="s">
        <v>171</v>
      </c>
      <c r="XK182" s="429" t="s">
        <v>172</v>
      </c>
      <c r="XL182" s="419" t="s">
        <v>172</v>
      </c>
      <c r="XM182" s="419" t="s">
        <v>172</v>
      </c>
      <c r="XN182" s="420" t="s">
        <v>172</v>
      </c>
      <c r="XO182" s="421">
        <f>XO178</f>
        <v>7824</v>
      </c>
      <c r="XP182" s="53"/>
      <c r="XS182" s="49" t="s">
        <v>171</v>
      </c>
      <c r="XT182" s="50" t="s">
        <v>172</v>
      </c>
      <c r="XU182" s="142" t="s">
        <v>172</v>
      </c>
      <c r="XV182" s="142" t="s">
        <v>172</v>
      </c>
      <c r="XW182" s="143" t="s">
        <v>172</v>
      </c>
      <c r="XX182" s="144">
        <f>XX178</f>
        <v>1621</v>
      </c>
      <c r="XY182" s="53"/>
      <c r="YB182" s="49" t="s">
        <v>171</v>
      </c>
      <c r="YC182" s="50" t="s">
        <v>172</v>
      </c>
      <c r="YD182" s="142" t="s">
        <v>172</v>
      </c>
      <c r="YE182" s="142" t="s">
        <v>172</v>
      </c>
      <c r="YF182" s="143" t="s">
        <v>172</v>
      </c>
      <c r="YG182" s="144">
        <f>YG178</f>
        <v>6193</v>
      </c>
      <c r="YH182" s="53"/>
      <c r="YK182" s="49" t="s">
        <v>171</v>
      </c>
      <c r="YL182" s="50" t="s">
        <v>172</v>
      </c>
      <c r="YM182" s="142" t="s">
        <v>172</v>
      </c>
      <c r="YN182" s="142" t="s">
        <v>172</v>
      </c>
      <c r="YO182" s="143" t="s">
        <v>172</v>
      </c>
      <c r="YP182" s="144">
        <f>YP178</f>
        <v>0</v>
      </c>
      <c r="YQ182" s="53"/>
      <c r="YT182" s="49" t="s">
        <v>171</v>
      </c>
      <c r="YU182" s="50" t="s">
        <v>172</v>
      </c>
      <c r="YV182" s="142" t="s">
        <v>172</v>
      </c>
      <c r="YW182" s="142" t="s">
        <v>172</v>
      </c>
      <c r="YX182" s="143" t="s">
        <v>172</v>
      </c>
      <c r="YY182" s="144">
        <f>YY178</f>
        <v>0</v>
      </c>
      <c r="YZ182" s="53"/>
      <c r="ZC182" s="49" t="s">
        <v>171</v>
      </c>
      <c r="ZD182" s="50" t="s">
        <v>172</v>
      </c>
      <c r="ZE182" s="142" t="s">
        <v>172</v>
      </c>
      <c r="ZF182" s="142" t="s">
        <v>172</v>
      </c>
      <c r="ZG182" s="143" t="s">
        <v>172</v>
      </c>
      <c r="ZH182" s="144">
        <f>ZH178</f>
        <v>0</v>
      </c>
      <c r="ZI182" s="53"/>
      <c r="ZL182" s="49" t="s">
        <v>171</v>
      </c>
      <c r="ZM182" s="50" t="s">
        <v>172</v>
      </c>
      <c r="ZN182" s="142" t="s">
        <v>172</v>
      </c>
      <c r="ZO182" s="142" t="s">
        <v>172</v>
      </c>
      <c r="ZP182" s="143" t="s">
        <v>172</v>
      </c>
      <c r="ZQ182" s="144">
        <f>ZQ178</f>
        <v>0</v>
      </c>
      <c r="ZR182" s="53"/>
      <c r="ZU182" s="49" t="s">
        <v>171</v>
      </c>
      <c r="ZV182" s="50" t="s">
        <v>172</v>
      </c>
      <c r="ZW182" s="142" t="s">
        <v>172</v>
      </c>
      <c r="ZX182" s="142" t="s">
        <v>172</v>
      </c>
      <c r="ZY182" s="143" t="s">
        <v>172</v>
      </c>
      <c r="ZZ182" s="144">
        <f>ZZ178</f>
        <v>0</v>
      </c>
      <c r="AAA182" s="53"/>
      <c r="AAD182" s="49" t="s">
        <v>171</v>
      </c>
      <c r="AAE182" s="50" t="s">
        <v>172</v>
      </c>
      <c r="AAF182" s="142" t="s">
        <v>172</v>
      </c>
      <c r="AAG182" s="142" t="s">
        <v>172</v>
      </c>
      <c r="AAH182" s="143" t="s">
        <v>172</v>
      </c>
      <c r="AAI182" s="144">
        <f>AAI178</f>
        <v>0</v>
      </c>
      <c r="AAJ182" s="53"/>
      <c r="AAM182" s="49" t="s">
        <v>171</v>
      </c>
      <c r="AAN182" s="50" t="s">
        <v>172</v>
      </c>
      <c r="AAO182" s="142" t="s">
        <v>172</v>
      </c>
      <c r="AAP182" s="142" t="s">
        <v>172</v>
      </c>
      <c r="AAQ182" s="143" t="s">
        <v>172</v>
      </c>
      <c r="AAR182" s="144">
        <f>AAR178</f>
        <v>0</v>
      </c>
      <c r="AAS182" s="53"/>
      <c r="AAV182" s="49" t="s">
        <v>171</v>
      </c>
      <c r="AAW182" s="50" t="s">
        <v>172</v>
      </c>
      <c r="AAX182" s="142" t="s">
        <v>172</v>
      </c>
      <c r="AAY182" s="142" t="s">
        <v>172</v>
      </c>
      <c r="AAZ182" s="143" t="s">
        <v>172</v>
      </c>
      <c r="ABA182" s="144">
        <f>ABA178</f>
        <v>0</v>
      </c>
      <c r="ABB182" s="53"/>
      <c r="ABE182" s="49" t="s">
        <v>171</v>
      </c>
      <c r="ABF182" s="50" t="s">
        <v>172</v>
      </c>
      <c r="ABG182" s="142" t="s">
        <v>172</v>
      </c>
      <c r="ABH182" s="142" t="s">
        <v>172</v>
      </c>
      <c r="ABI182" s="143" t="s">
        <v>172</v>
      </c>
      <c r="ABJ182" s="144">
        <f>ABJ178</f>
        <v>0</v>
      </c>
      <c r="ABK182" s="53"/>
    </row>
    <row r="183" spans="1:739" s="54" customFormat="1" ht="15" customHeight="1" outlineLevel="1">
      <c r="B183" s="478"/>
      <c r="C183" s="55">
        <v>46174</v>
      </c>
      <c r="D183" s="422"/>
      <c r="E183" s="423">
        <f>SUMPRODUCT(PRODUCE!$B188:$DY188,PRODUCE!$EB$7:$IY$7)</f>
        <v>0</v>
      </c>
      <c r="F183" s="422"/>
      <c r="G183" s="423">
        <f>E183-F183</f>
        <v>0</v>
      </c>
      <c r="H183" s="424">
        <f>H182+D183-F183</f>
        <v>244343.40000000008</v>
      </c>
      <c r="I183" s="289"/>
      <c r="L183" s="55">
        <f>C183</f>
        <v>46174</v>
      </c>
      <c r="M183" s="422"/>
      <c r="N183" s="438">
        <f>SUMPRODUCT(PRODUCE!$B188:$DY188,PRODUCE!$EB$8:$IY$8)</f>
        <v>0</v>
      </c>
      <c r="O183" s="422"/>
      <c r="P183" s="438">
        <f>N183-O183</f>
        <v>0</v>
      </c>
      <c r="Q183" s="439">
        <f>Q182+M183-O183</f>
        <v>105957.20000000007</v>
      </c>
      <c r="R183" s="56"/>
      <c r="U183" s="55">
        <f>L183</f>
        <v>46174</v>
      </c>
      <c r="V183" s="422"/>
      <c r="W183" s="440">
        <f>SUMPRODUCT(PRODUCE!$B188:$DY188,PRODUCE!$EB$9:$IY$9)</f>
        <v>0</v>
      </c>
      <c r="X183" s="422"/>
      <c r="Y183" s="440">
        <f>W183-X183</f>
        <v>0</v>
      </c>
      <c r="Z183" s="441">
        <f>Z182+V183-X183</f>
        <v>44686.299999999974</v>
      </c>
      <c r="AA183" s="56"/>
      <c r="AD183" s="55">
        <f>U183</f>
        <v>46174</v>
      </c>
      <c r="AE183" s="422"/>
      <c r="AF183" s="442">
        <f>SUMPRODUCT(PRODUCE!$B188:$DY188,PRODUCE!$EB$10:$IY$10)</f>
        <v>0</v>
      </c>
      <c r="AG183" s="422"/>
      <c r="AH183" s="442">
        <f>AF183-AG183</f>
        <v>0</v>
      </c>
      <c r="AI183" s="442">
        <f>AI182+AE183-AG183</f>
        <v>12193.400000000018</v>
      </c>
      <c r="AJ183" s="56"/>
      <c r="AM183" s="55">
        <f>AD183</f>
        <v>46174</v>
      </c>
      <c r="AN183" s="422"/>
      <c r="AO183" s="444">
        <f>SUMPRODUCT(PRODUCE!$B188:$DY188,PRODUCE!$EB$11:$IY$11)</f>
        <v>0</v>
      </c>
      <c r="AP183" s="422"/>
      <c r="AQ183" s="444">
        <f>AO183-AP183</f>
        <v>0</v>
      </c>
      <c r="AR183" s="444">
        <f>AR182+AN183-AP183</f>
        <v>0</v>
      </c>
      <c r="AS183" s="56"/>
      <c r="AV183" s="55">
        <f>AM183</f>
        <v>46174</v>
      </c>
      <c r="AW183" s="422"/>
      <c r="AX183" s="446">
        <f>SUMPRODUCT(PRODUCE!$B188:$DY188,PRODUCE!$EB$12:$IY$12)</f>
        <v>0</v>
      </c>
      <c r="AY183" s="422"/>
      <c r="AZ183" s="446">
        <f>AX183-AY183</f>
        <v>0</v>
      </c>
      <c r="BA183" s="446">
        <f>BA182+AW183-AY183</f>
        <v>18566.699999999997</v>
      </c>
      <c r="BB183" s="56"/>
      <c r="BE183" s="55">
        <f>AV183</f>
        <v>46174</v>
      </c>
      <c r="BF183" s="422"/>
      <c r="BG183" s="448">
        <f>SUMPRODUCT(PRODUCE!$B188:$DY188,PRODUCE!$EB$13:$IY$13)</f>
        <v>0</v>
      </c>
      <c r="BH183" s="422"/>
      <c r="BI183" s="448">
        <f>BG183-BH183</f>
        <v>0</v>
      </c>
      <c r="BJ183" s="448">
        <f>BJ182+BF183-BH183</f>
        <v>34163.999999999993</v>
      </c>
      <c r="BK183" s="56"/>
      <c r="BN183" s="55">
        <f>BE183</f>
        <v>46174</v>
      </c>
      <c r="BO183" s="422"/>
      <c r="BP183" s="450">
        <f>SUMPRODUCT(PRODUCE!$B188:$DY188,PRODUCE!$EB$14:$IY$14)</f>
        <v>0</v>
      </c>
      <c r="BQ183" s="422"/>
      <c r="BR183" s="450">
        <f>BP183-BQ183</f>
        <v>0</v>
      </c>
      <c r="BS183" s="450">
        <f>BS182+BO183-BQ183</f>
        <v>0</v>
      </c>
      <c r="BT183" s="56"/>
      <c r="BW183" s="55">
        <f>BN183</f>
        <v>46174</v>
      </c>
      <c r="BX183" s="422"/>
      <c r="BY183" s="523">
        <f>SUMPRODUCT(PRODUCE!$B188:$DY188,PRODUCE!$EB$15:$IY$15)</f>
        <v>0</v>
      </c>
      <c r="BZ183" s="422"/>
      <c r="CA183" s="523">
        <f>BY183-BZ183</f>
        <v>0</v>
      </c>
      <c r="CB183" s="523">
        <f>CB182+BX183-BZ183</f>
        <v>5083.1299999999992</v>
      </c>
      <c r="CC183" s="56"/>
      <c r="CF183" s="55">
        <f>BW183</f>
        <v>46174</v>
      </c>
      <c r="CG183" s="422"/>
      <c r="CH183" s="524">
        <f>SUMPRODUCT(PRODUCE!$B188:$DY188,PRODUCE!$EB$16:$IY$16)</f>
        <v>0</v>
      </c>
      <c r="CI183" s="422"/>
      <c r="CJ183" s="524">
        <f>CH183-CI183</f>
        <v>0</v>
      </c>
      <c r="CK183" s="524">
        <f>CK182+CG183-CI183</f>
        <v>0</v>
      </c>
      <c r="CL183" s="56"/>
      <c r="CO183" s="55">
        <f>CF183</f>
        <v>46174</v>
      </c>
      <c r="CP183" s="422"/>
      <c r="CQ183" s="470">
        <f>SUMPRODUCT(PRODUCE!$B188:$DY188,PRODUCE!$EB$17:$IY$17)</f>
        <v>0</v>
      </c>
      <c r="CR183" s="422"/>
      <c r="CS183" s="470">
        <f>CQ183-CR183</f>
        <v>0</v>
      </c>
      <c r="CT183" s="470">
        <f>CT182+CP183-CR183</f>
        <v>0</v>
      </c>
      <c r="CU183" s="56"/>
      <c r="CX183" s="55">
        <f>CO183</f>
        <v>46174</v>
      </c>
      <c r="CY183" s="422"/>
      <c r="CZ183" s="525">
        <f>SUMPRODUCT(PRODUCE!$B188:$DY188,PRODUCE!$EB$18:$IY$18)</f>
        <v>0</v>
      </c>
      <c r="DA183" s="422"/>
      <c r="DB183" s="525">
        <f>CZ183-DA183</f>
        <v>0</v>
      </c>
      <c r="DC183" s="525">
        <f>DC182+CY183-DA183</f>
        <v>19623.900000000005</v>
      </c>
      <c r="DD183" s="56"/>
      <c r="DG183" s="55">
        <f>CX183</f>
        <v>46174</v>
      </c>
      <c r="DH183" s="422"/>
      <c r="DI183" s="526">
        <f>SUMPRODUCT(PRODUCE!$B188:$DY188,PRODUCE!$EB$19:$IY$19)</f>
        <v>0</v>
      </c>
      <c r="DJ183" s="422"/>
      <c r="DK183" s="526">
        <f>DI183-DJ183</f>
        <v>0</v>
      </c>
      <c r="DL183" s="526">
        <f>DL182+DH183-DJ183</f>
        <v>35234.999999999985</v>
      </c>
      <c r="DM183" s="56"/>
      <c r="DP183" s="55">
        <f>DG183</f>
        <v>46174</v>
      </c>
      <c r="DQ183" s="56"/>
      <c r="DR183" s="57">
        <f>SUMPRODUCT(PRODUCE!$B188:$DY188,PRODUCE!$EB$20:$IY$20)</f>
        <v>0</v>
      </c>
      <c r="DS183" s="56"/>
      <c r="DT183" s="57">
        <f>DR183-DS183</f>
        <v>0</v>
      </c>
      <c r="DU183" s="57">
        <f>DU182+DQ183-DS183</f>
        <v>5800</v>
      </c>
      <c r="DV183" s="56"/>
      <c r="DY183" s="55">
        <f>DP183</f>
        <v>46174</v>
      </c>
      <c r="DZ183" s="56"/>
      <c r="EA183" s="157">
        <f>SUMPRODUCT(PRODUCE!$B188:$DY188,PRODUCE!$EB$21:$IY$21)</f>
        <v>0</v>
      </c>
      <c r="EB183" s="56"/>
      <c r="EC183" s="157">
        <f>EA183-EB183</f>
        <v>0</v>
      </c>
      <c r="ED183" s="157">
        <f>ED182+DZ183-EB183</f>
        <v>0</v>
      </c>
      <c r="EE183" s="56"/>
      <c r="EH183" s="55">
        <f>DY183</f>
        <v>46174</v>
      </c>
      <c r="EI183" s="56"/>
      <c r="EJ183" s="162">
        <f>SUMPRODUCT(PRODUCE!$B188:$DY188,PRODUCE!$EB$22:$IY$22)</f>
        <v>0</v>
      </c>
      <c r="EK183" s="56"/>
      <c r="EL183" s="162">
        <f>EJ183-EK183</f>
        <v>0</v>
      </c>
      <c r="EM183" s="162">
        <f>EM182+EI183-EK183</f>
        <v>0</v>
      </c>
      <c r="EN183" s="56"/>
      <c r="EQ183" s="55">
        <f>EH183</f>
        <v>46174</v>
      </c>
      <c r="ER183" s="56"/>
      <c r="ES183" s="135">
        <f>SUMPRODUCT(PRODUCE!$B188:$DY188,PRODUCE!$EB$23:$IY$23)</f>
        <v>0</v>
      </c>
      <c r="ET183" s="56"/>
      <c r="EU183" s="135">
        <f>ES183-ET183</f>
        <v>0</v>
      </c>
      <c r="EV183" s="135">
        <f>EV182+ER183-ET183</f>
        <v>0</v>
      </c>
      <c r="EW183" s="56"/>
      <c r="EZ183" s="55">
        <f>EQ183</f>
        <v>46174</v>
      </c>
      <c r="FA183" s="56"/>
      <c r="FB183" s="175">
        <f>SUMPRODUCT(PRODUCE!$B188:$DY188,PRODUCE!$EB$24:$IY$24)</f>
        <v>0</v>
      </c>
      <c r="FC183" s="56"/>
      <c r="FD183" s="175">
        <f>FB183-FC183</f>
        <v>0</v>
      </c>
      <c r="FE183" s="175">
        <f>FE182+FA183-FC183</f>
        <v>0</v>
      </c>
      <c r="FF183" s="56"/>
      <c r="FI183" s="55">
        <f>EZ183</f>
        <v>46174</v>
      </c>
      <c r="FJ183" s="56"/>
      <c r="FK183" s="183">
        <f>SUMPRODUCT(PRODUCE!$B188:$DY188,PRODUCE!$EB$25:$IY$25)</f>
        <v>0</v>
      </c>
      <c r="FL183" s="56"/>
      <c r="FM183" s="183">
        <f>FK183-FL183</f>
        <v>0</v>
      </c>
      <c r="FN183" s="183">
        <f>FN182+FJ183-FL183</f>
        <v>0</v>
      </c>
      <c r="FO183" s="56"/>
      <c r="FR183" s="55">
        <f>FI183</f>
        <v>46174</v>
      </c>
      <c r="FS183" s="56"/>
      <c r="FT183" s="186">
        <f>SUMPRODUCT(PRODUCE!$B188:$DY188,PRODUCE!$EB$26:$IY$26)</f>
        <v>0</v>
      </c>
      <c r="FU183" s="56"/>
      <c r="FV183" s="186">
        <f>FT183-FU183</f>
        <v>0</v>
      </c>
      <c r="FW183" s="186">
        <f>FW182+FS183-FU183</f>
        <v>4140</v>
      </c>
      <c r="FX183" s="56"/>
      <c r="GA183" s="55">
        <f>FR183</f>
        <v>46174</v>
      </c>
      <c r="GB183" s="56"/>
      <c r="GC183" s="137">
        <f>SUMPRODUCT(PRODUCE!$B188:$DY188,PRODUCE!$EB$27:$IY$27)</f>
        <v>0</v>
      </c>
      <c r="GD183" s="56"/>
      <c r="GE183" s="137">
        <f>GC183-GD183</f>
        <v>0</v>
      </c>
      <c r="GF183" s="137">
        <f>GF182+GB183-GD183</f>
        <v>5040</v>
      </c>
      <c r="GG183" s="56"/>
      <c r="GI183" s="23"/>
      <c r="GJ183" s="55">
        <f>GA183</f>
        <v>46174</v>
      </c>
      <c r="GK183" s="56"/>
      <c r="GL183" s="199">
        <f>SUMPRODUCT(PRODUCE!$B188:$DY188,PRODUCE!$EB$28:$IY$28)</f>
        <v>0</v>
      </c>
      <c r="GM183" s="56"/>
      <c r="GN183" s="199">
        <f>GL183-GM183</f>
        <v>0</v>
      </c>
      <c r="GO183" s="199">
        <f>GO182+GK183-GM183</f>
        <v>1760</v>
      </c>
      <c r="GP183" s="56"/>
      <c r="GS183" s="55">
        <f>GJ183</f>
        <v>46174</v>
      </c>
      <c r="GT183" s="56"/>
      <c r="GU183" s="195">
        <f>SUMPRODUCT(PRODUCE!$B188:$DY188,PRODUCE!$EB$29:$IY$29)</f>
        <v>0</v>
      </c>
      <c r="GV183" s="56"/>
      <c r="GW183" s="195">
        <f>GU183-GV183</f>
        <v>0</v>
      </c>
      <c r="GX183" s="195">
        <f>GX182+GT183-GV183</f>
        <v>600</v>
      </c>
      <c r="GY183" s="56"/>
      <c r="HB183" s="55">
        <f>GS183</f>
        <v>46174</v>
      </c>
      <c r="HC183" s="56"/>
      <c r="HD183" s="191">
        <f>SUMPRODUCT(PRODUCE!$B188:$DY188,PRODUCE!$EB$30:$IY$30)</f>
        <v>0</v>
      </c>
      <c r="HE183" s="56"/>
      <c r="HF183" s="191">
        <f>HD183-HE183</f>
        <v>0</v>
      </c>
      <c r="HG183" s="191">
        <f>HG182+HC183-HE183</f>
        <v>3600</v>
      </c>
      <c r="HH183" s="56"/>
      <c r="HJ183" s="381"/>
      <c r="HK183" s="55">
        <f>HB183</f>
        <v>46174</v>
      </c>
      <c r="HL183" s="56"/>
      <c r="HM183" s="63">
        <f>SUMPRODUCT(PRODUCE!$B188:$DY188,PRODUCE!$EB$31:$IY$31)</f>
        <v>0</v>
      </c>
      <c r="HN183" s="56"/>
      <c r="HO183" s="63">
        <f>HM183-HN183</f>
        <v>0</v>
      </c>
      <c r="HP183" s="63">
        <f>HP182+HL183-HN183</f>
        <v>0</v>
      </c>
      <c r="HQ183" s="56"/>
      <c r="HU183" s="55">
        <f>HK183</f>
        <v>46174</v>
      </c>
      <c r="HV183" s="56"/>
      <c r="HW183" s="242">
        <f>SUMPRODUCT(PRODUCE!$B188:$DY188,PRODUCE!$EB$32:$IY$32)</f>
        <v>0</v>
      </c>
      <c r="HX183" s="56"/>
      <c r="HY183" s="242">
        <f>HW183-HX183</f>
        <v>0</v>
      </c>
      <c r="HZ183" s="242">
        <f>HZ182+HV183-HX183</f>
        <v>6800</v>
      </c>
      <c r="IA183" s="56"/>
      <c r="ID183" s="55">
        <f>HU183</f>
        <v>46174</v>
      </c>
      <c r="IE183" s="56"/>
      <c r="IF183" s="242">
        <f>SUMPRODUCT(PRODUCE!$B188:$DY188,PRODUCE!$EB$33:$IY$33)</f>
        <v>0</v>
      </c>
      <c r="IG183" s="56"/>
      <c r="IH183" s="242">
        <f>IF183-IG183</f>
        <v>0</v>
      </c>
      <c r="II183" s="242">
        <f>II182+IE183-IG183</f>
        <v>720</v>
      </c>
      <c r="IJ183" s="56"/>
      <c r="IM183" s="55">
        <f>ID183</f>
        <v>46174</v>
      </c>
      <c r="IN183" s="56"/>
      <c r="IO183" s="242">
        <f>SUMPRODUCT(PRODUCE!$B188:$DY188,PRODUCE!$EB$34:$IY$34)</f>
        <v>0</v>
      </c>
      <c r="IP183" s="56"/>
      <c r="IQ183" s="242">
        <f>IO183-IP183</f>
        <v>0</v>
      </c>
      <c r="IR183" s="242">
        <f>IR182+IN183-IP183</f>
        <v>8140</v>
      </c>
      <c r="IS183" s="56"/>
      <c r="IV183" s="55">
        <f>IM183</f>
        <v>46174</v>
      </c>
      <c r="IW183" s="56"/>
      <c r="IX183" s="242">
        <f>SUMPRODUCT(PRODUCE!$B188:$DY188,PRODUCE!$EB$35:$IY$35)</f>
        <v>0</v>
      </c>
      <c r="IY183" s="56"/>
      <c r="IZ183" s="242">
        <f>IX183-IY183</f>
        <v>0</v>
      </c>
      <c r="JA183" s="242">
        <f>JA182+IW183-IY183</f>
        <v>4960</v>
      </c>
      <c r="JB183" s="56"/>
      <c r="JE183" s="55">
        <f>IV183</f>
        <v>46174</v>
      </c>
      <c r="JF183" s="56"/>
      <c r="JG183" s="242">
        <f>SUMPRODUCT(PRODUCE!$B188:$DY188,PRODUCE!$EB$36:$IY$36)</f>
        <v>0</v>
      </c>
      <c r="JH183" s="56"/>
      <c r="JI183" s="242">
        <f>JG183-JH183</f>
        <v>0</v>
      </c>
      <c r="JJ183" s="242">
        <f>JJ182+JF183-JH183</f>
        <v>0</v>
      </c>
      <c r="JK183" s="56"/>
      <c r="JN183" s="55">
        <f>JE183</f>
        <v>46174</v>
      </c>
      <c r="JO183" s="56"/>
      <c r="JP183" s="242">
        <f>SUMPRODUCT(PRODUCE!$B188:$DY188,PRODUCE!$EB$37:$IY$37)</f>
        <v>0</v>
      </c>
      <c r="JQ183" s="56"/>
      <c r="JR183" s="242">
        <f>JP183-JQ183</f>
        <v>0</v>
      </c>
      <c r="JS183" s="242">
        <f>JS182+JO183-JQ183</f>
        <v>3340</v>
      </c>
      <c r="JT183" s="56"/>
      <c r="JW183" s="55">
        <f>JN183</f>
        <v>46174</v>
      </c>
      <c r="JX183" s="56"/>
      <c r="JY183" s="242">
        <f>SUMPRODUCT(PRODUCE!$B188:$DY188,PRODUCE!$EB$38:$IY$38)</f>
        <v>0</v>
      </c>
      <c r="JZ183" s="56"/>
      <c r="KA183" s="242">
        <f>JY183-JZ183</f>
        <v>0</v>
      </c>
      <c r="KB183" s="242">
        <f>KB182+JX183-JZ183</f>
        <v>2540</v>
      </c>
      <c r="KC183" s="56"/>
      <c r="KF183" s="55">
        <f>JW183</f>
        <v>46174</v>
      </c>
      <c r="KG183" s="56"/>
      <c r="KH183" s="242">
        <f>SUMPRODUCT(PRODUCE!$B188:$DY188,PRODUCE!$EB$39:$IY$39)</f>
        <v>0</v>
      </c>
      <c r="KI183" s="56"/>
      <c r="KJ183" s="242">
        <f>KH183-KI183</f>
        <v>0</v>
      </c>
      <c r="KK183" s="242">
        <f>KK182+KG183-KI183</f>
        <v>2359.5</v>
      </c>
      <c r="KL183" s="56"/>
      <c r="KO183" s="55">
        <f>KF183</f>
        <v>46174</v>
      </c>
      <c r="KP183" s="56"/>
      <c r="KQ183" s="242">
        <f>SUMPRODUCT(PRODUCE!$B188:$DY188,PRODUCE!$EB$40:$IY$40)</f>
        <v>0</v>
      </c>
      <c r="KR183" s="56"/>
      <c r="KS183" s="242">
        <f>KQ183-KR183</f>
        <v>0</v>
      </c>
      <c r="KT183" s="242">
        <f>KT182+KP183-KR183</f>
        <v>1890</v>
      </c>
      <c r="KU183" s="56"/>
      <c r="KW183" s="23"/>
      <c r="KX183" s="55">
        <f>KO183</f>
        <v>46174</v>
      </c>
      <c r="KY183" s="56"/>
      <c r="KZ183" s="242">
        <f>SUMPRODUCT(PRODUCE!$B188:$DY188,PRODUCE!$EB$41:$IY$41)</f>
        <v>0</v>
      </c>
      <c r="LA183" s="56"/>
      <c r="LB183" s="242">
        <f>KZ183-LA183</f>
        <v>0</v>
      </c>
      <c r="LC183" s="242">
        <f>LC182+KY183-LA183</f>
        <v>3690</v>
      </c>
      <c r="LD183" s="56"/>
      <c r="LG183" s="55">
        <f>KX183</f>
        <v>46174</v>
      </c>
      <c r="LH183" s="56"/>
      <c r="LI183" s="242">
        <f>SUMPRODUCT(PRODUCE!$B188:$DY188,PRODUCE!$EB$42:$IY$42)</f>
        <v>0</v>
      </c>
      <c r="LJ183" s="56"/>
      <c r="LK183" s="242">
        <f>LI183-LJ183</f>
        <v>0</v>
      </c>
      <c r="LL183" s="242">
        <f>LL182+LH183-LJ183</f>
        <v>4000</v>
      </c>
      <c r="LM183" s="56"/>
      <c r="LP183" s="55">
        <f>LG183</f>
        <v>46174</v>
      </c>
      <c r="LQ183" s="56"/>
      <c r="LR183" s="242">
        <f>SUMPRODUCT(PRODUCE!$B188:$DY188,PRODUCE!$EB$43:$IY$43)</f>
        <v>0</v>
      </c>
      <c r="LS183" s="56"/>
      <c r="LT183" s="242">
        <f>LR183-LS183</f>
        <v>0</v>
      </c>
      <c r="LU183" s="242">
        <f>LU182+LQ183-LS183</f>
        <v>0</v>
      </c>
      <c r="LV183" s="56"/>
      <c r="LY183" s="55">
        <f>LP183</f>
        <v>46174</v>
      </c>
      <c r="LZ183" s="56"/>
      <c r="MA183" s="242">
        <f>SUMPRODUCT(PRODUCE!$B188:$DY188,PRODUCE!$EB$44:$IY$44)</f>
        <v>0</v>
      </c>
      <c r="MB183" s="56"/>
      <c r="MC183" s="242">
        <f>MA183-MB183</f>
        <v>0</v>
      </c>
      <c r="MD183" s="242">
        <f>MD182+LZ183-MB183</f>
        <v>0</v>
      </c>
      <c r="ME183" s="56"/>
      <c r="MH183" s="55">
        <f>LY183</f>
        <v>46174</v>
      </c>
      <c r="MI183" s="56"/>
      <c r="MJ183" s="242">
        <f>SUMPRODUCT(PRODUCE!$B188:$DY188,PRODUCE!$EB$45:$IY$45)</f>
        <v>0</v>
      </c>
      <c r="MK183" s="56"/>
      <c r="ML183" s="242">
        <f>MJ183-MK183</f>
        <v>0</v>
      </c>
      <c r="MM183" s="242">
        <f>MM182+MI183-MK183</f>
        <v>0</v>
      </c>
      <c r="MN183" s="56"/>
      <c r="MQ183" s="55">
        <f>MH183</f>
        <v>46174</v>
      </c>
      <c r="MR183" s="56"/>
      <c r="MS183" s="242">
        <f>SUMPRODUCT(PRODUCE!$B188:$DY188,PRODUCE!$EB$46:$IY$46)</f>
        <v>0</v>
      </c>
      <c r="MT183" s="56"/>
      <c r="MU183" s="242">
        <f>MS183-MT183</f>
        <v>0</v>
      </c>
      <c r="MV183" s="242">
        <f>MV182+MR183-MT183</f>
        <v>3724</v>
      </c>
      <c r="MW183" s="56"/>
      <c r="MZ183" s="55">
        <f>MQ183</f>
        <v>46174</v>
      </c>
      <c r="NA183" s="56"/>
      <c r="NB183" s="242">
        <f>SUMPRODUCT(PRODUCE!$B188:$DY188,PRODUCE!$EB$47:$IY$47)</f>
        <v>0</v>
      </c>
      <c r="NC183" s="56"/>
      <c r="ND183" s="242">
        <f>NB183-NC183</f>
        <v>0</v>
      </c>
      <c r="NE183" s="242">
        <f>NE182+NA183-NC183</f>
        <v>0</v>
      </c>
      <c r="NF183" s="56"/>
      <c r="NI183" s="55">
        <f>MZ183</f>
        <v>46174</v>
      </c>
      <c r="NJ183" s="56"/>
      <c r="NK183" s="242">
        <f>SUMPRODUCT(PRODUCE!$B188:$DY188,PRODUCE!$EB$48:$IY$48)</f>
        <v>0</v>
      </c>
      <c r="NL183" s="56"/>
      <c r="NM183" s="242">
        <f>NK183-NL183</f>
        <v>0</v>
      </c>
      <c r="NN183" s="242">
        <f>NN182+NJ183-NL183</f>
        <v>1127</v>
      </c>
      <c r="NO183" s="56"/>
      <c r="NR183" s="55">
        <f>MZ183</f>
        <v>46174</v>
      </c>
      <c r="NS183" s="56"/>
      <c r="NT183" s="242">
        <f>SUMPRODUCT(PRODUCE!$B188:$DY188,PRODUCE!$EB$49:$IY$49)</f>
        <v>0</v>
      </c>
      <c r="NU183" s="56"/>
      <c r="NV183" s="242">
        <f>NT183-NU183</f>
        <v>0</v>
      </c>
      <c r="NW183" s="242">
        <f>NW182+NS183-NU183</f>
        <v>3111.9999999999995</v>
      </c>
      <c r="NX183" s="56"/>
      <c r="OA183" s="55">
        <f>NR183</f>
        <v>46174</v>
      </c>
      <c r="OB183" s="56"/>
      <c r="OC183" s="242">
        <f>SUMPRODUCT(PRODUCE!$B188:$DY188,PRODUCE!$EB$50:$IY$50)</f>
        <v>0</v>
      </c>
      <c r="OD183" s="56"/>
      <c r="OE183" s="242">
        <f>OC183-OD183</f>
        <v>0</v>
      </c>
      <c r="OF183" s="242">
        <f>OF182+OB183-OD183</f>
        <v>1680.5</v>
      </c>
      <c r="OG183" s="56"/>
      <c r="OJ183" s="55">
        <f>OA183</f>
        <v>46174</v>
      </c>
      <c r="OK183" s="56"/>
      <c r="OL183" s="242">
        <f>SUMPRODUCT(PRODUCE!$B188:$DY188,PRODUCE!$EB$51:$IY$51)</f>
        <v>0</v>
      </c>
      <c r="OM183" s="56"/>
      <c r="ON183" s="242">
        <f>OL183-OM183</f>
        <v>0</v>
      </c>
      <c r="OO183" s="242">
        <f>OO182+OK183-OM183</f>
        <v>0</v>
      </c>
      <c r="OP183" s="56"/>
      <c r="OS183" s="55">
        <f>OJ183</f>
        <v>46174</v>
      </c>
      <c r="OT183" s="56"/>
      <c r="OU183" s="242">
        <f>SUMPRODUCT(PRODUCE!$B188:$DY188,PRODUCE!$EB$52:$IY$52)</f>
        <v>0</v>
      </c>
      <c r="OV183" s="56"/>
      <c r="OW183" s="242">
        <f>OU183-OV183</f>
        <v>0</v>
      </c>
      <c r="OX183" s="242">
        <f>OX182+OT183-OV183</f>
        <v>1482</v>
      </c>
      <c r="OY183" s="56"/>
      <c r="PB183" s="55">
        <f>OS183</f>
        <v>46174</v>
      </c>
      <c r="PC183" s="56"/>
      <c r="PD183" s="242">
        <f>SUMPRODUCT(PRODUCE!$B188:$DY188,PRODUCE!$EB$53:$IY$53)</f>
        <v>0</v>
      </c>
      <c r="PE183" s="56"/>
      <c r="PF183" s="242">
        <f>PD183-PE183</f>
        <v>0</v>
      </c>
      <c r="PG183" s="242">
        <f>PG182+PC183-PE183</f>
        <v>0</v>
      </c>
      <c r="PH183" s="56"/>
      <c r="PK183" s="55">
        <f>PB183</f>
        <v>46174</v>
      </c>
      <c r="PL183" s="56"/>
      <c r="PM183" s="242">
        <f>SUMPRODUCT(PRODUCE!$B188:$DY188,PRODUCE!$EB$54:$IY$54)</f>
        <v>0</v>
      </c>
      <c r="PN183" s="56"/>
      <c r="PO183" s="242">
        <f>PM183-PN183</f>
        <v>0</v>
      </c>
      <c r="PP183" s="242">
        <f>PP182+PL183-PN183</f>
        <v>100</v>
      </c>
      <c r="PQ183" s="56"/>
      <c r="PT183" s="55">
        <f>PK183</f>
        <v>46174</v>
      </c>
      <c r="PU183" s="56"/>
      <c r="PV183" s="242">
        <f>SUMPRODUCT(PRODUCE!$B188:$DY188,PRODUCE!$EB$55:$IY$55)</f>
        <v>0</v>
      </c>
      <c r="PW183" s="56"/>
      <c r="PX183" s="242">
        <f>PV183-PW183</f>
        <v>0</v>
      </c>
      <c r="PY183" s="242">
        <f>PY182+PU183-PW183</f>
        <v>13.960000000000036</v>
      </c>
      <c r="PZ183" s="56"/>
      <c r="QC183" s="55">
        <f>PT183</f>
        <v>46174</v>
      </c>
      <c r="QD183" s="56"/>
      <c r="QE183" s="242">
        <f>SUMPRODUCT(PRODUCE!$B188:$DY188,PRODUCE!$EB$56:$IY$56)</f>
        <v>0</v>
      </c>
      <c r="QF183" s="56"/>
      <c r="QG183" s="242">
        <f>QE183-QF183</f>
        <v>0</v>
      </c>
      <c r="QH183" s="242">
        <f>QH182+QD183-QF183</f>
        <v>108</v>
      </c>
      <c r="QI183" s="56"/>
      <c r="QL183" s="55">
        <f>QC183</f>
        <v>46174</v>
      </c>
      <c r="QM183" s="56"/>
      <c r="QN183" s="242">
        <f>SUMPRODUCT(PRODUCE!$B188:$DY188,PRODUCE!$EB$57:$IY$57)</f>
        <v>0</v>
      </c>
      <c r="QO183" s="56"/>
      <c r="QP183" s="242">
        <f>QN183-QO183</f>
        <v>0</v>
      </c>
      <c r="QQ183" s="242">
        <f>QQ182+QM183-QO183</f>
        <v>245</v>
      </c>
      <c r="QR183" s="56"/>
      <c r="QU183" s="55">
        <f>QL183</f>
        <v>46174</v>
      </c>
      <c r="QV183" s="56"/>
      <c r="QW183" s="242">
        <f>SUMPRODUCT(PRODUCE!$B188:$DY188,PRODUCE!$EB$58:$IY$58)</f>
        <v>0</v>
      </c>
      <c r="QX183" s="56"/>
      <c r="QY183" s="242">
        <f>QW183-QX183</f>
        <v>0</v>
      </c>
      <c r="QZ183" s="242">
        <f>QZ182+QV183-QX183</f>
        <v>207.6</v>
      </c>
      <c r="RA183" s="56"/>
      <c r="RD183" s="55">
        <f>QU183</f>
        <v>46174</v>
      </c>
      <c r="RE183" s="56"/>
      <c r="RF183" s="242">
        <f>SUMPRODUCT(PRODUCE!$B188:$DY188,PRODUCE!$EB$59:$IY$59)</f>
        <v>0</v>
      </c>
      <c r="RG183" s="56"/>
      <c r="RH183" s="242">
        <f>RF183-RG183</f>
        <v>0</v>
      </c>
      <c r="RI183" s="242">
        <f>RI182+RE183-RG183</f>
        <v>147.04000000000002</v>
      </c>
      <c r="RJ183" s="56"/>
      <c r="RM183" s="55">
        <f>RD183</f>
        <v>46174</v>
      </c>
      <c r="RN183" s="56"/>
      <c r="RO183" s="242">
        <f>SUMPRODUCT(PRODUCE!$B188:$DY188,PRODUCE!$EB$60:$IY$60)</f>
        <v>0</v>
      </c>
      <c r="RP183" s="56"/>
      <c r="RQ183" s="242">
        <f>RO183-RP183</f>
        <v>0</v>
      </c>
      <c r="RR183" s="242">
        <f>RR182+RN183-RP183</f>
        <v>46.8</v>
      </c>
      <c r="RS183" s="56"/>
      <c r="RV183" s="55">
        <f>RM183</f>
        <v>46174</v>
      </c>
      <c r="RW183" s="56"/>
      <c r="RX183" s="242">
        <f>SUMPRODUCT(PRODUCE!$B188:$DY188,PRODUCE!$EB$61:$IY$61)</f>
        <v>0</v>
      </c>
      <c r="RY183" s="56"/>
      <c r="RZ183" s="242">
        <f>RX183-RY183</f>
        <v>0</v>
      </c>
      <c r="SA183" s="242">
        <f>SA182+RW183-RY183</f>
        <v>0</v>
      </c>
      <c r="SB183" s="56"/>
      <c r="SE183" s="55">
        <f>RV183</f>
        <v>46174</v>
      </c>
      <c r="SF183" s="56"/>
      <c r="SG183" s="242">
        <f>SUMPRODUCT(PRODUCE!$B188:$DY188,PRODUCE!$EB$62:$IY$62)</f>
        <v>0</v>
      </c>
      <c r="SH183" s="56"/>
      <c r="SI183" s="242">
        <f>SG183-SH183</f>
        <v>0</v>
      </c>
      <c r="SJ183" s="242">
        <f>SJ182+SF183-SH183</f>
        <v>24.200000000000003</v>
      </c>
      <c r="SK183" s="56"/>
      <c r="SN183" s="55">
        <f>SE183</f>
        <v>46174</v>
      </c>
      <c r="SO183" s="56"/>
      <c r="SP183" s="242">
        <f>SUMPRODUCT(PRODUCE!$B188:$DY188,PRODUCE!$EB$63:$IY$63)</f>
        <v>0</v>
      </c>
      <c r="SQ183" s="56"/>
      <c r="SR183" s="242">
        <f>SP183-SQ183</f>
        <v>0</v>
      </c>
      <c r="SS183" s="242">
        <f>SS182+SO183-SQ183</f>
        <v>32</v>
      </c>
      <c r="ST183" s="56"/>
      <c r="SW183" s="55">
        <f>SN183</f>
        <v>46174</v>
      </c>
      <c r="SX183" s="56"/>
      <c r="SY183" s="242">
        <f>SUMPRODUCT(PRODUCE!$B188:$DY188,PRODUCE!$EB$64:$IY$64)</f>
        <v>0</v>
      </c>
      <c r="SZ183" s="56"/>
      <c r="TA183" s="242">
        <f>SY183-SZ183</f>
        <v>0</v>
      </c>
      <c r="TB183" s="242">
        <f>TB182+SX183-SZ183</f>
        <v>0</v>
      </c>
      <c r="TC183" s="56"/>
      <c r="TF183" s="55">
        <f>SW183</f>
        <v>46174</v>
      </c>
      <c r="TG183" s="56"/>
      <c r="TH183" s="242">
        <f>SUMPRODUCT(PRODUCE!$B188:$DY188,PRODUCE!$EB$65:$IY$65)</f>
        <v>0</v>
      </c>
      <c r="TI183" s="56"/>
      <c r="TJ183" s="242">
        <f>TH183-TI183</f>
        <v>0</v>
      </c>
      <c r="TK183" s="242">
        <f>TK182+TG183-TI183</f>
        <v>0</v>
      </c>
      <c r="TL183" s="56"/>
      <c r="TO183" s="55">
        <f>TF183</f>
        <v>46174</v>
      </c>
      <c r="TP183" s="56"/>
      <c r="TQ183" s="242">
        <f>SUMPRODUCT(PRODUCE!$B188:$DY188,PRODUCE!$EB$66:$IY$66)</f>
        <v>0</v>
      </c>
      <c r="TR183" s="56"/>
      <c r="TS183" s="242">
        <f>TQ183-TR183</f>
        <v>0</v>
      </c>
      <c r="TT183" s="242">
        <f>TT182+TP183-TR183</f>
        <v>0</v>
      </c>
      <c r="TU183" s="56"/>
      <c r="TX183" s="55">
        <f>TO183</f>
        <v>46174</v>
      </c>
      <c r="TY183" s="56"/>
      <c r="TZ183" s="242">
        <f>SUMPRODUCT(PRODUCE!$B188:$DY188,PRODUCE!$EB$67:$IY$67)</f>
        <v>0</v>
      </c>
      <c r="UA183" s="56"/>
      <c r="UB183" s="242">
        <f>TZ183-UA183</f>
        <v>0</v>
      </c>
      <c r="UC183" s="242">
        <f>UC182+TY183-UA183</f>
        <v>135.6</v>
      </c>
      <c r="UD183" s="56"/>
      <c r="UG183" s="55">
        <f>TX183</f>
        <v>46174</v>
      </c>
      <c r="UH183" s="56"/>
      <c r="UI183" s="242">
        <f>SUMPRODUCT(PRODUCE!$B188:$DY188,PRODUCE!$EB$68:$IY$68)</f>
        <v>0</v>
      </c>
      <c r="UJ183" s="56"/>
      <c r="UK183" s="242">
        <f>UI183-UJ183</f>
        <v>0</v>
      </c>
      <c r="UL183" s="242">
        <f>UL182+UH183-UJ183</f>
        <v>128</v>
      </c>
      <c r="UM183" s="56"/>
      <c r="UP183" s="55">
        <f>UG183</f>
        <v>46174</v>
      </c>
      <c r="UQ183" s="56"/>
      <c r="UR183" s="242">
        <f>SUMPRODUCT(PRODUCE!$B188:$DY188,PRODUCE!$EB$69:$IY$69)</f>
        <v>0</v>
      </c>
      <c r="US183" s="56"/>
      <c r="UT183" s="242">
        <f>UR183-US183</f>
        <v>0</v>
      </c>
      <c r="UU183" s="242">
        <f>UU182+UQ183-US183</f>
        <v>11.25</v>
      </c>
      <c r="UV183" s="56"/>
      <c r="UY183" s="55">
        <f>UP183</f>
        <v>46174</v>
      </c>
      <c r="UZ183" s="56"/>
      <c r="VA183" s="242">
        <f>SUMPRODUCT(PRODUCE!$B188:$DY188,PRODUCE!$EB$70:$IY$70)</f>
        <v>0</v>
      </c>
      <c r="VB183" s="56"/>
      <c r="VC183" s="242">
        <f>VA183-VB183</f>
        <v>0</v>
      </c>
      <c r="VD183" s="242">
        <f>VD182+UZ183-VB183</f>
        <v>41.600000000000023</v>
      </c>
      <c r="VE183" s="56"/>
      <c r="VH183" s="55">
        <f>UY183</f>
        <v>46174</v>
      </c>
      <c r="VI183" s="56"/>
      <c r="VJ183" s="242">
        <f>SUMPRODUCT(PRODUCE!$B188:$DY188,PRODUCE!$EB$71:$IY$71)</f>
        <v>0</v>
      </c>
      <c r="VK183" s="56"/>
      <c r="VL183" s="242">
        <f>VJ183-VK183</f>
        <v>0</v>
      </c>
      <c r="VM183" s="242">
        <f>VM182+VI183-VK183</f>
        <v>0</v>
      </c>
      <c r="VN183" s="56"/>
      <c r="VQ183" s="55">
        <f>VH183</f>
        <v>46174</v>
      </c>
      <c r="VR183" s="56"/>
      <c r="VS183" s="242">
        <f>SUMPRODUCT(PRODUCE!$B188:$DY188,PRODUCE!$EB$57:$IY$57)</f>
        <v>0</v>
      </c>
      <c r="VT183" s="56"/>
      <c r="VU183" s="242">
        <f>VS183-VT183</f>
        <v>0</v>
      </c>
      <c r="VV183" s="242">
        <f>VV182+VR183-VT183</f>
        <v>0</v>
      </c>
      <c r="VW183" s="56"/>
      <c r="VZ183" s="55">
        <f>VQ183</f>
        <v>46174</v>
      </c>
      <c r="WA183" s="56"/>
      <c r="WB183" s="242">
        <f>SUMPRODUCT(PRODUCE!$B188:$DY188,PRODUCE!$EB$57:$IY$57)</f>
        <v>0</v>
      </c>
      <c r="WC183" s="56"/>
      <c r="WD183" s="242">
        <f>WB183-WC183</f>
        <v>0</v>
      </c>
      <c r="WE183" s="242">
        <f>WE182+WA183-WC183</f>
        <v>0</v>
      </c>
      <c r="WF183" s="56"/>
      <c r="WI183" s="55">
        <f>VZ183</f>
        <v>46174</v>
      </c>
      <c r="WJ183" s="422"/>
      <c r="WK183" s="540">
        <f>SUMPRODUCT(PRODUCE!$B188:$DY188,PRODUCE!$EB$74:$IY$74)</f>
        <v>0</v>
      </c>
      <c r="WL183" s="422"/>
      <c r="WM183" s="540">
        <f>WK183-WL183</f>
        <v>0</v>
      </c>
      <c r="WN183" s="540">
        <f>WN182+WJ183-WL183</f>
        <v>1199</v>
      </c>
      <c r="WO183" s="56"/>
      <c r="WR183" s="55">
        <f>WI183</f>
        <v>46174</v>
      </c>
      <c r="WS183" s="422"/>
      <c r="WT183" s="540">
        <f>SUMPRODUCT(PRODUCE!$B188:$DY188,PRODUCE!$EB$75:$IY$75)</f>
        <v>0</v>
      </c>
      <c r="WU183" s="422"/>
      <c r="WV183" s="540">
        <f>WT183-WU183</f>
        <v>0</v>
      </c>
      <c r="WW183" s="540">
        <f>WW182+WS183-WU183</f>
        <v>0</v>
      </c>
      <c r="WX183" s="56"/>
      <c r="XA183" s="55">
        <f>WR183</f>
        <v>46174</v>
      </c>
      <c r="XB183" s="422"/>
      <c r="XC183" s="540">
        <f>SUMPRODUCT(PRODUCE!$B188:$DY188,PRODUCE!$EB$76:$IY$76)</f>
        <v>0</v>
      </c>
      <c r="XD183" s="422"/>
      <c r="XE183" s="540">
        <f>XC183-XD183</f>
        <v>0</v>
      </c>
      <c r="XF183" s="540">
        <f>XF182+XB183-XD183</f>
        <v>6813</v>
      </c>
      <c r="XG183" s="56"/>
      <c r="XJ183" s="55">
        <f>XA183</f>
        <v>46174</v>
      </c>
      <c r="XK183" s="422"/>
      <c r="XL183" s="540">
        <f>SUMPRODUCT(PRODUCE!$B188:$DY188,PRODUCE!$EB$77:$IY$77)</f>
        <v>0</v>
      </c>
      <c r="XM183" s="422"/>
      <c r="XN183" s="540">
        <f>XL183-XM183</f>
        <v>0</v>
      </c>
      <c r="XO183" s="540">
        <f>XO182+XK183-XM183</f>
        <v>7824</v>
      </c>
      <c r="XP183" s="56"/>
      <c r="XS183" s="55">
        <f>XJ183</f>
        <v>46174</v>
      </c>
      <c r="XT183" s="56"/>
      <c r="XU183" s="242">
        <f>SUMPRODUCT(PRODUCE!$B188:$DY188,PRODUCE!$EB$78:$IY$78)</f>
        <v>0</v>
      </c>
      <c r="XV183" s="56"/>
      <c r="XW183" s="242">
        <f>XU183-XV183</f>
        <v>0</v>
      </c>
      <c r="XX183" s="242">
        <f>XX182+XT183-XV183</f>
        <v>1621</v>
      </c>
      <c r="XY183" s="56"/>
      <c r="YB183" s="55">
        <f>XS183</f>
        <v>46174</v>
      </c>
      <c r="YC183" s="56"/>
      <c r="YD183" s="242">
        <f>SUMPRODUCT(PRODUCE!$B188:$DY188,PRODUCE!$EB$79:$IY$79)</f>
        <v>0</v>
      </c>
      <c r="YE183" s="56"/>
      <c r="YF183" s="242">
        <f>YD183-YE183</f>
        <v>0</v>
      </c>
      <c r="YG183" s="242">
        <f>YG182+YC183-YE183</f>
        <v>6193</v>
      </c>
      <c r="YH183" s="56"/>
      <c r="YK183" s="55">
        <f>YB183</f>
        <v>46174</v>
      </c>
      <c r="YL183" s="56"/>
      <c r="YM183" s="242">
        <f>SUMPRODUCT(PRODUCE!$B188:$DY188,PRODUCE!$EB$80:$IY$80)</f>
        <v>0</v>
      </c>
      <c r="YN183" s="56"/>
      <c r="YO183" s="242">
        <f>YM183-YN183</f>
        <v>0</v>
      </c>
      <c r="YP183" s="242">
        <f>YP182+YL183-YN183</f>
        <v>0</v>
      </c>
      <c r="YQ183" s="56"/>
      <c r="YT183" s="55">
        <f>YK183</f>
        <v>46174</v>
      </c>
      <c r="YU183" s="56"/>
      <c r="YV183" s="242">
        <f>SUMPRODUCT(PRODUCE!$B188:$DY188,PRODUCE!$EB$57:$IY$57)</f>
        <v>0</v>
      </c>
      <c r="YW183" s="56"/>
      <c r="YX183" s="242">
        <f>YV183-YW183</f>
        <v>0</v>
      </c>
      <c r="YY183" s="242">
        <f>YY182+YU183-YW183</f>
        <v>0</v>
      </c>
      <c r="YZ183" s="56"/>
      <c r="ZC183" s="55">
        <f>YT183</f>
        <v>46174</v>
      </c>
      <c r="ZD183" s="56"/>
      <c r="ZE183" s="242">
        <f>SUMPRODUCT(PRODUCE!$B188:$DY188,PRODUCE!$EB$57:$IY$57)</f>
        <v>0</v>
      </c>
      <c r="ZF183" s="56"/>
      <c r="ZG183" s="242">
        <f>ZE183-ZF183</f>
        <v>0</v>
      </c>
      <c r="ZH183" s="242">
        <f>ZH182+ZD183-ZF183</f>
        <v>0</v>
      </c>
      <c r="ZI183" s="56"/>
      <c r="ZL183" s="55">
        <f>ZC183</f>
        <v>46174</v>
      </c>
      <c r="ZM183" s="56"/>
      <c r="ZN183" s="242">
        <f>SUMPRODUCT(PRODUCE!$B188:$DY188,PRODUCE!$EB$57:$IY$57)</f>
        <v>0</v>
      </c>
      <c r="ZO183" s="56"/>
      <c r="ZP183" s="242">
        <f>ZN183-ZO183</f>
        <v>0</v>
      </c>
      <c r="ZQ183" s="242">
        <f>ZQ182+ZM183-ZO183</f>
        <v>0</v>
      </c>
      <c r="ZR183" s="56"/>
      <c r="ZU183" s="55">
        <f>ZL183</f>
        <v>46174</v>
      </c>
      <c r="ZV183" s="56"/>
      <c r="ZW183" s="242">
        <f>SUMPRODUCT(PRODUCE!$B188:$DY188,PRODUCE!$EB$57:$IY$57)</f>
        <v>0</v>
      </c>
      <c r="ZX183" s="56"/>
      <c r="ZY183" s="242">
        <f>ZW183-ZX183</f>
        <v>0</v>
      </c>
      <c r="ZZ183" s="242">
        <f>ZZ182+ZV183-ZX183</f>
        <v>0</v>
      </c>
      <c r="AAA183" s="56"/>
      <c r="AAD183" s="55">
        <f>ZU183</f>
        <v>46174</v>
      </c>
      <c r="AAE183" s="56"/>
      <c r="AAF183" s="242">
        <f>SUMPRODUCT(PRODUCE!$B188:$DY188,PRODUCE!$EB$57:$IY$57)</f>
        <v>0</v>
      </c>
      <c r="AAG183" s="56"/>
      <c r="AAH183" s="242">
        <f>AAF183-AAG183</f>
        <v>0</v>
      </c>
      <c r="AAI183" s="242">
        <f>AAI182+AAE183-AAG183</f>
        <v>0</v>
      </c>
      <c r="AAJ183" s="56"/>
      <c r="AAM183" s="55">
        <f>AAD183</f>
        <v>46174</v>
      </c>
      <c r="AAN183" s="56"/>
      <c r="AAO183" s="242">
        <f>SUMPRODUCT(PRODUCE!$B188:$DY188,PRODUCE!$EB$57:$IY$57)</f>
        <v>0</v>
      </c>
      <c r="AAP183" s="56"/>
      <c r="AAQ183" s="242">
        <f>AAO183-AAP183</f>
        <v>0</v>
      </c>
      <c r="AAR183" s="242">
        <f>AAR182+AAN183-AAP183</f>
        <v>0</v>
      </c>
      <c r="AAS183" s="56"/>
      <c r="AAV183" s="55">
        <f>AAM183</f>
        <v>46174</v>
      </c>
      <c r="AAW183" s="56"/>
      <c r="AAX183" s="242">
        <f>SUMPRODUCT(PRODUCE!$B188:$DY188,PRODUCE!$EB$57:$IY$57)</f>
        <v>0</v>
      </c>
      <c r="AAY183" s="56"/>
      <c r="AAZ183" s="242">
        <f>AAX183-AAY183</f>
        <v>0</v>
      </c>
      <c r="ABA183" s="242">
        <f>ABA182+AAW183-AAY183</f>
        <v>0</v>
      </c>
      <c r="ABB183" s="56"/>
      <c r="ABE183" s="55">
        <f>AAV183</f>
        <v>46174</v>
      </c>
      <c r="ABF183" s="56"/>
      <c r="ABG183" s="242">
        <f>SUMPRODUCT(PRODUCE!$B188:$DY188,PRODUCE!$EB$57:$IY$57)</f>
        <v>0</v>
      </c>
      <c r="ABH183" s="56"/>
      <c r="ABI183" s="242">
        <f>ABG183-ABH183</f>
        <v>0</v>
      </c>
      <c r="ABJ183" s="242">
        <f>ABJ182+ABF183-ABH183</f>
        <v>0</v>
      </c>
      <c r="ABK183" s="56"/>
    </row>
    <row r="184" spans="1:739" s="54" customFormat="1" ht="15" customHeight="1" outlineLevel="1">
      <c r="B184" s="478">
        <v>16</v>
      </c>
      <c r="C184" s="55">
        <v>46175</v>
      </c>
      <c r="D184" s="422"/>
      <c r="E184" s="423">
        <f>SUMPRODUCT(PRODUCE!$B189:$DY189,PRODUCE!$EB$7:$IY$7)</f>
        <v>8926.0799999999981</v>
      </c>
      <c r="F184" s="422">
        <v>8928.2000000000007</v>
      </c>
      <c r="G184" s="423">
        <f t="shared" ref="G184:G212" si="1249">E184-F184</f>
        <v>-2.1200000000026193</v>
      </c>
      <c r="H184" s="423">
        <f t="shared" ref="H184:H212" si="1250">H183+D184-F184</f>
        <v>235415.20000000007</v>
      </c>
      <c r="I184" s="289" t="s">
        <v>279</v>
      </c>
      <c r="L184" s="55">
        <f t="shared" ref="L184:L212" si="1251">C184</f>
        <v>46175</v>
      </c>
      <c r="M184" s="422"/>
      <c r="N184" s="438">
        <f>SUMPRODUCT(PRODUCE!$B189:$DY189,PRODUCE!$EB$8:$IY$8)</f>
        <v>5075.2</v>
      </c>
      <c r="O184" s="422">
        <v>5073.3999999999996</v>
      </c>
      <c r="P184" s="438">
        <f t="shared" ref="P184:P212" si="1252">N184-O184</f>
        <v>1.8000000000001819</v>
      </c>
      <c r="Q184" s="438">
        <f t="shared" ref="Q184:Q212" si="1253">Q183+M184-O184</f>
        <v>100883.80000000008</v>
      </c>
      <c r="R184" s="56"/>
      <c r="U184" s="55">
        <f t="shared" ref="U184:U212" si="1254">L184</f>
        <v>46175</v>
      </c>
      <c r="V184" s="422"/>
      <c r="W184" s="440">
        <f>SUMPRODUCT(PRODUCE!$B189:$DY189,PRODUCE!$EB$9:$IY$9)</f>
        <v>800</v>
      </c>
      <c r="X184" s="422">
        <v>799.9</v>
      </c>
      <c r="Y184" s="440">
        <f t="shared" ref="Y184:Y212" si="1255">W184-X184</f>
        <v>0.10000000000002274</v>
      </c>
      <c r="Z184" s="440">
        <f t="shared" ref="Z184:Z212" si="1256">Z183+V184-X184</f>
        <v>43886.399999999972</v>
      </c>
      <c r="AA184" s="56"/>
      <c r="AD184" s="55">
        <f t="shared" ref="AD184:AD212" si="1257">U184</f>
        <v>46175</v>
      </c>
      <c r="AE184" s="422"/>
      <c r="AF184" s="442">
        <f>SUMPRODUCT(PRODUCE!$B189:$DY189,PRODUCE!$EB$10:$IY$10)</f>
        <v>0</v>
      </c>
      <c r="AG184" s="422"/>
      <c r="AH184" s="442">
        <f t="shared" ref="AH184:AH212" si="1258">AF184-AG184</f>
        <v>0</v>
      </c>
      <c r="AI184" s="442">
        <f t="shared" ref="AI184:AI212" si="1259">AI183+AE184-AG184</f>
        <v>12193.400000000018</v>
      </c>
      <c r="AJ184" s="56"/>
      <c r="AM184" s="55">
        <f t="shared" ref="AM184:AM212" si="1260">AD184</f>
        <v>46175</v>
      </c>
      <c r="AN184" s="422"/>
      <c r="AO184" s="444">
        <f>SUMPRODUCT(PRODUCE!$B189:$DY189,PRODUCE!$EB$11:$IY$11)</f>
        <v>0</v>
      </c>
      <c r="AP184" s="422"/>
      <c r="AQ184" s="444">
        <f t="shared" ref="AQ184:AQ212" si="1261">AO184-AP184</f>
        <v>0</v>
      </c>
      <c r="AR184" s="444">
        <f t="shared" ref="AR184:AR212" si="1262">AR183+AN184-AP184</f>
        <v>0</v>
      </c>
      <c r="AS184" s="56"/>
      <c r="AV184" s="55">
        <f t="shared" ref="AV184:AV212" si="1263">AM184</f>
        <v>46175</v>
      </c>
      <c r="AW184" s="422"/>
      <c r="AX184" s="446">
        <f>SUMPRODUCT(PRODUCE!$B189:$DY189,PRODUCE!$EB$12:$IY$12)</f>
        <v>0</v>
      </c>
      <c r="AY184" s="422"/>
      <c r="AZ184" s="446">
        <f t="shared" ref="AZ184:AZ212" si="1264">AX184-AY184</f>
        <v>0</v>
      </c>
      <c r="BA184" s="446">
        <f t="shared" ref="BA184:BA212" si="1265">BA183+AW184-AY184</f>
        <v>18566.699999999997</v>
      </c>
      <c r="BB184" s="56"/>
      <c r="BE184" s="55">
        <f t="shared" ref="BE184:BE212" si="1266">AV184</f>
        <v>46175</v>
      </c>
      <c r="BF184" s="422"/>
      <c r="BG184" s="448">
        <f>SUMPRODUCT(PRODUCE!$B189:$DY189,PRODUCE!$EB$13:$IY$13)</f>
        <v>312</v>
      </c>
      <c r="BH184" s="422">
        <v>312.10000000000002</v>
      </c>
      <c r="BI184" s="448">
        <f t="shared" ref="BI184:BI212" si="1267">BG184-BH184</f>
        <v>-0.10000000000002274</v>
      </c>
      <c r="BJ184" s="448">
        <f t="shared" ref="BJ184:BJ212" si="1268">BJ183+BF184-BH184</f>
        <v>33851.899999999994</v>
      </c>
      <c r="BK184" s="56"/>
      <c r="BN184" s="55">
        <f t="shared" ref="BN184:BN212" si="1269">BE184</f>
        <v>46175</v>
      </c>
      <c r="BO184" s="422">
        <v>376</v>
      </c>
      <c r="BP184" s="450">
        <f>SUMPRODUCT(PRODUCE!$B189:$DY189,PRODUCE!$EB$14:$IY$14)</f>
        <v>376</v>
      </c>
      <c r="BQ184" s="422">
        <v>376</v>
      </c>
      <c r="BR184" s="450">
        <f t="shared" ref="BR184:BR212" si="1270">BP184-BQ184</f>
        <v>0</v>
      </c>
      <c r="BS184" s="450">
        <f t="shared" ref="BS184:BS212" si="1271">BS183+BO184-BQ184</f>
        <v>0</v>
      </c>
      <c r="BT184" s="56"/>
      <c r="BW184" s="55">
        <f t="shared" ref="BW184:BW212" si="1272">BN184</f>
        <v>46175</v>
      </c>
      <c r="BX184" s="422"/>
      <c r="BY184" s="523">
        <f>SUMPRODUCT(PRODUCE!$B189:$DY189,PRODUCE!$EB$15:$IY$15)</f>
        <v>0</v>
      </c>
      <c r="BZ184" s="422"/>
      <c r="CA184" s="523">
        <f t="shared" ref="CA184:CA212" si="1273">BY184-BZ184</f>
        <v>0</v>
      </c>
      <c r="CB184" s="523">
        <f t="shared" ref="CB184:CB212" si="1274">CB183+BX184-BZ184</f>
        <v>5083.1299999999992</v>
      </c>
      <c r="CC184" s="56"/>
      <c r="CF184" s="55">
        <f t="shared" ref="CF184:CF212" si="1275">BW184</f>
        <v>46175</v>
      </c>
      <c r="CG184" s="422"/>
      <c r="CH184" s="524">
        <f>SUMPRODUCT(PRODUCE!$B189:$DY189,PRODUCE!$EB$16:$IY$16)</f>
        <v>102.72</v>
      </c>
      <c r="CI184" s="422"/>
      <c r="CJ184" s="524">
        <f t="shared" ref="CJ184:CJ212" si="1276">CH184-CI184</f>
        <v>102.72</v>
      </c>
      <c r="CK184" s="524">
        <f t="shared" ref="CK184:CK212" si="1277">CK183+CG184-CI184</f>
        <v>0</v>
      </c>
      <c r="CL184" s="56"/>
      <c r="CO184" s="55">
        <f t="shared" ref="CO184:CO212" si="1278">CF184</f>
        <v>46175</v>
      </c>
      <c r="CP184" s="422"/>
      <c r="CQ184" s="470">
        <f>SUMPRODUCT(PRODUCE!$B189:$DY189,PRODUCE!$EB$17:$IY$17)</f>
        <v>0</v>
      </c>
      <c r="CR184" s="422"/>
      <c r="CS184" s="470">
        <f t="shared" ref="CS184:CS212" si="1279">CQ184-CR184</f>
        <v>0</v>
      </c>
      <c r="CT184" s="470">
        <f t="shared" ref="CT184:CT212" si="1280">CT183+CP184-CR184</f>
        <v>0</v>
      </c>
      <c r="CU184" s="56"/>
      <c r="CX184" s="55">
        <f t="shared" ref="CX184:CX212" si="1281">CO184</f>
        <v>46175</v>
      </c>
      <c r="CY184" s="422"/>
      <c r="CZ184" s="525">
        <f>SUMPRODUCT(PRODUCE!$B189:$DY189,PRODUCE!$EB$18:$IY$18)</f>
        <v>0</v>
      </c>
      <c r="DA184" s="422"/>
      <c r="DB184" s="525">
        <f t="shared" ref="DB184:DB212" si="1282">CZ184-DA184</f>
        <v>0</v>
      </c>
      <c r="DC184" s="525">
        <f t="shared" ref="DC184:DC212" si="1283">DC183+CY184-DA184</f>
        <v>19623.900000000005</v>
      </c>
      <c r="DD184" s="56"/>
      <c r="DG184" s="55">
        <f t="shared" ref="DG184:DG212" si="1284">CX184</f>
        <v>46175</v>
      </c>
      <c r="DH184" s="422"/>
      <c r="DI184" s="526">
        <f>SUMPRODUCT(PRODUCE!$B189:$DY189,PRODUCE!$EB$19:$IY$19)</f>
        <v>0</v>
      </c>
      <c r="DJ184" s="422"/>
      <c r="DK184" s="526">
        <f t="shared" ref="DK184:DK212" si="1285">DI184-DJ184</f>
        <v>0</v>
      </c>
      <c r="DL184" s="526">
        <f t="shared" ref="DL184:DL212" si="1286">DL183+DH184-DJ184</f>
        <v>35234.999999999985</v>
      </c>
      <c r="DM184" s="56"/>
      <c r="DP184" s="55">
        <f t="shared" ref="DP184:DP212" si="1287">DG184</f>
        <v>46175</v>
      </c>
      <c r="DQ184" s="56"/>
      <c r="DR184" s="57">
        <f>SUMPRODUCT(PRODUCE!$B189:$DY189,PRODUCE!$EB$20:$IY$20)</f>
        <v>0</v>
      </c>
      <c r="DS184" s="56"/>
      <c r="DT184" s="57">
        <f t="shared" ref="DT184:DT212" si="1288">DR184-DS184</f>
        <v>0</v>
      </c>
      <c r="DU184" s="57">
        <f t="shared" ref="DU184:DU212" si="1289">DU183+DQ184-DS184</f>
        <v>5800</v>
      </c>
      <c r="DV184" s="56"/>
      <c r="DY184" s="55">
        <f t="shared" ref="DY184:DY212" si="1290">DP184</f>
        <v>46175</v>
      </c>
      <c r="DZ184" s="56"/>
      <c r="EA184" s="157">
        <f>SUMPRODUCT(PRODUCE!$B189:$DY189,PRODUCE!$EB$21:$IY$21)</f>
        <v>0</v>
      </c>
      <c r="EB184" s="56"/>
      <c r="EC184" s="157">
        <f t="shared" ref="EC184:EC212" si="1291">EA184-EB184</f>
        <v>0</v>
      </c>
      <c r="ED184" s="157">
        <f t="shared" ref="ED184:ED212" si="1292">ED183+DZ184-EB184</f>
        <v>0</v>
      </c>
      <c r="EE184" s="56"/>
      <c r="EH184" s="55">
        <f t="shared" ref="EH184:EH212" si="1293">DY184</f>
        <v>46175</v>
      </c>
      <c r="EI184" s="56"/>
      <c r="EJ184" s="162">
        <f>SUMPRODUCT(PRODUCE!$B189:$DY189,PRODUCE!$EB$22:$IY$22)</f>
        <v>0</v>
      </c>
      <c r="EK184" s="56"/>
      <c r="EL184" s="162">
        <f t="shared" ref="EL184:EL212" si="1294">EJ184-EK184</f>
        <v>0</v>
      </c>
      <c r="EM184" s="162">
        <f t="shared" ref="EM184:EM212" si="1295">EM183+EI184-EK184</f>
        <v>0</v>
      </c>
      <c r="EN184" s="56"/>
      <c r="EQ184" s="55">
        <f t="shared" ref="EQ184:EQ212" si="1296">EH184</f>
        <v>46175</v>
      </c>
      <c r="ER184" s="56"/>
      <c r="ES184" s="135">
        <f>SUMPRODUCT(PRODUCE!$B189:$DY189,PRODUCE!$EB$23:$IY$23)</f>
        <v>0</v>
      </c>
      <c r="ET184" s="56"/>
      <c r="EU184" s="135">
        <f t="shared" ref="EU184:EU212" si="1297">ES184-ET184</f>
        <v>0</v>
      </c>
      <c r="EV184" s="135">
        <f t="shared" ref="EV184:EV212" si="1298">EV183+ER184-ET184</f>
        <v>0</v>
      </c>
      <c r="EW184" s="56"/>
      <c r="EZ184" s="55">
        <f t="shared" ref="EZ184:EZ212" si="1299">EQ184</f>
        <v>46175</v>
      </c>
      <c r="FA184" s="56"/>
      <c r="FB184" s="175">
        <f>SUMPRODUCT(PRODUCE!$B189:$DY189,PRODUCE!$EB$24:$IY$24)</f>
        <v>0</v>
      </c>
      <c r="FC184" s="56"/>
      <c r="FD184" s="175">
        <f t="shared" ref="FD184:FD212" si="1300">FB184-FC184</f>
        <v>0</v>
      </c>
      <c r="FE184" s="175">
        <f t="shared" ref="FE184:FE212" si="1301">FE183+FA184-FC184</f>
        <v>0</v>
      </c>
      <c r="FF184" s="56"/>
      <c r="FI184" s="55">
        <f t="shared" ref="FI184:FI212" si="1302">EZ184</f>
        <v>46175</v>
      </c>
      <c r="FJ184" s="56"/>
      <c r="FK184" s="183">
        <f>SUMPRODUCT(PRODUCE!$B189:$DY189,PRODUCE!$EB$25:$IY$25)</f>
        <v>0</v>
      </c>
      <c r="FL184" s="56"/>
      <c r="FM184" s="183">
        <f t="shared" ref="FM184:FM212" si="1303">FK184-FL184</f>
        <v>0</v>
      </c>
      <c r="FN184" s="183">
        <f t="shared" ref="FN184:FN212" si="1304">FN183+FJ184-FL184</f>
        <v>0</v>
      </c>
      <c r="FO184" s="56"/>
      <c r="FR184" s="55">
        <f t="shared" ref="FR184:FR212" si="1305">FI184</f>
        <v>46175</v>
      </c>
      <c r="FS184" s="56"/>
      <c r="FT184" s="186">
        <f>SUMPRODUCT(PRODUCE!$B189:$DY189,PRODUCE!$EB$26:$IY$26)</f>
        <v>0</v>
      </c>
      <c r="FU184" s="56"/>
      <c r="FV184" s="186">
        <f t="shared" ref="FV184:FV212" si="1306">FT184-FU184</f>
        <v>0</v>
      </c>
      <c r="FW184" s="186">
        <f t="shared" ref="FW184:FW212" si="1307">FW183+FS184-FU184</f>
        <v>4140</v>
      </c>
      <c r="FX184" s="56"/>
      <c r="GA184" s="55">
        <f t="shared" ref="GA184:GA212" si="1308">FR184</f>
        <v>46175</v>
      </c>
      <c r="GB184" s="56"/>
      <c r="GC184" s="137">
        <f>SUMPRODUCT(PRODUCE!$B189:$DY189,PRODUCE!$EB$27:$IY$27)</f>
        <v>0</v>
      </c>
      <c r="GD184" s="56"/>
      <c r="GE184" s="137">
        <f t="shared" ref="GE184:GE212" si="1309">GC184-GD184</f>
        <v>0</v>
      </c>
      <c r="GF184" s="137">
        <f t="shared" ref="GF184:GF212" si="1310">GF183+GB184-GD184</f>
        <v>5040</v>
      </c>
      <c r="GG184" s="56"/>
      <c r="GI184" s="23"/>
      <c r="GJ184" s="55">
        <f t="shared" ref="GJ184:GJ212" si="1311">GA184</f>
        <v>46175</v>
      </c>
      <c r="GK184" s="56"/>
      <c r="GL184" s="199">
        <f>SUMPRODUCT(PRODUCE!$B189:$DY189,PRODUCE!$EB$28:$IY$28)</f>
        <v>0</v>
      </c>
      <c r="GM184" s="56"/>
      <c r="GN184" s="199">
        <f t="shared" ref="GN184:GN212" si="1312">GL184-GM184</f>
        <v>0</v>
      </c>
      <c r="GO184" s="199">
        <f t="shared" ref="GO184:GO212" si="1313">GO183+GK184-GM184</f>
        <v>1760</v>
      </c>
      <c r="GP184" s="56"/>
      <c r="GS184" s="55">
        <f t="shared" ref="GS184:GS212" si="1314">GJ184</f>
        <v>46175</v>
      </c>
      <c r="GT184" s="56"/>
      <c r="GU184" s="195">
        <f>SUMPRODUCT(PRODUCE!$B189:$DY189,PRODUCE!$EB$29:$IY$29)</f>
        <v>0</v>
      </c>
      <c r="GV184" s="56"/>
      <c r="GW184" s="195">
        <f t="shared" ref="GW184:GW212" si="1315">GU184-GV184</f>
        <v>0</v>
      </c>
      <c r="GX184" s="195">
        <f t="shared" ref="GX184:GX212" si="1316">GX183+GT184-GV184</f>
        <v>600</v>
      </c>
      <c r="GY184" s="56"/>
      <c r="HB184" s="55">
        <f t="shared" ref="HB184:HB212" si="1317">GS184</f>
        <v>46175</v>
      </c>
      <c r="HC184" s="56"/>
      <c r="HD184" s="191">
        <f>SUMPRODUCT(PRODUCE!$B189:$DY189,PRODUCE!$EB$30:$IY$30)</f>
        <v>0</v>
      </c>
      <c r="HE184" s="56"/>
      <c r="HF184" s="191">
        <f t="shared" ref="HF184:HF212" si="1318">HD184-HE184</f>
        <v>0</v>
      </c>
      <c r="HG184" s="191">
        <f t="shared" ref="HG184:HG212" si="1319">HG183+HC184-HE184</f>
        <v>3600</v>
      </c>
      <c r="HH184" s="56"/>
      <c r="HK184" s="55">
        <f t="shared" ref="HK184:HK212" si="1320">HB184</f>
        <v>46175</v>
      </c>
      <c r="HL184" s="56"/>
      <c r="HM184" s="63">
        <f>SUMPRODUCT(PRODUCE!$B189:$DY189,PRODUCE!$EB$31:$IY$31)</f>
        <v>0</v>
      </c>
      <c r="HN184" s="56"/>
      <c r="HO184" s="63">
        <f t="shared" ref="HO184:HO212" si="1321">HM184-HN184</f>
        <v>0</v>
      </c>
      <c r="HP184" s="63">
        <f t="shared" ref="HP184:HP212" si="1322">HP183+HL184-HN184</f>
        <v>0</v>
      </c>
      <c r="HQ184" s="56"/>
      <c r="HU184" s="55">
        <f t="shared" ref="HU184:HU212" si="1323">HK184</f>
        <v>46175</v>
      </c>
      <c r="HV184" s="56"/>
      <c r="HW184" s="242">
        <f>SUMPRODUCT(PRODUCE!$B189:$DY189,PRODUCE!$EB$32:$IY$32)</f>
        <v>0</v>
      </c>
      <c r="HX184" s="56"/>
      <c r="HY184" s="242">
        <f t="shared" ref="HY184:HY212" si="1324">HW184-HX184</f>
        <v>0</v>
      </c>
      <c r="HZ184" s="242">
        <f t="shared" ref="HZ184:HZ212" si="1325">HZ183+HV184-HX184</f>
        <v>6800</v>
      </c>
      <c r="IA184" s="56"/>
      <c r="ID184" s="55">
        <f t="shared" ref="ID184:ID212" si="1326">HU184</f>
        <v>46175</v>
      </c>
      <c r="IE184" s="56"/>
      <c r="IF184" s="242">
        <f>SUMPRODUCT(PRODUCE!$B189:$DY189,PRODUCE!$EB$33:$IY$33)</f>
        <v>0</v>
      </c>
      <c r="IG184" s="56"/>
      <c r="IH184" s="242">
        <f t="shared" ref="IH184:IH212" si="1327">IF184-IG184</f>
        <v>0</v>
      </c>
      <c r="II184" s="242">
        <f t="shared" ref="II184:II212" si="1328">II183+IE184-IG184</f>
        <v>720</v>
      </c>
      <c r="IJ184" s="56"/>
      <c r="IM184" s="55">
        <f t="shared" ref="IM184:IM212" si="1329">ID184</f>
        <v>46175</v>
      </c>
      <c r="IN184" s="56"/>
      <c r="IO184" s="242">
        <f>SUMPRODUCT(PRODUCE!$B189:$DY189,PRODUCE!$EB$34:$IY$34)</f>
        <v>0</v>
      </c>
      <c r="IP184" s="56"/>
      <c r="IQ184" s="242">
        <f t="shared" ref="IQ184:IQ212" si="1330">IO184-IP184</f>
        <v>0</v>
      </c>
      <c r="IR184" s="242">
        <f t="shared" ref="IR184:IR212" si="1331">IR183+IN184-IP184</f>
        <v>8140</v>
      </c>
      <c r="IS184" s="56"/>
      <c r="IV184" s="55">
        <f t="shared" ref="IV184:IV212" si="1332">IM184</f>
        <v>46175</v>
      </c>
      <c r="IW184" s="56"/>
      <c r="IX184" s="242">
        <f>SUMPRODUCT(PRODUCE!$B189:$DY189,PRODUCE!$EB$35:$IY$35)</f>
        <v>0</v>
      </c>
      <c r="IY184" s="56"/>
      <c r="IZ184" s="242">
        <f t="shared" ref="IZ184:IZ212" si="1333">IX184-IY184</f>
        <v>0</v>
      </c>
      <c r="JA184" s="242">
        <f t="shared" ref="JA184:JA212" si="1334">JA183+IW184-IY184</f>
        <v>4960</v>
      </c>
      <c r="JB184" s="56"/>
      <c r="JE184" s="55">
        <f t="shared" ref="JE184:JE212" si="1335">IV184</f>
        <v>46175</v>
      </c>
      <c r="JF184" s="56"/>
      <c r="JG184" s="242">
        <f>SUMPRODUCT(PRODUCE!$B189:$DY189,PRODUCE!$EB$36:$IY$36)</f>
        <v>0</v>
      </c>
      <c r="JH184" s="56"/>
      <c r="JI184" s="242">
        <f t="shared" ref="JI184:JI212" si="1336">JG184-JH184</f>
        <v>0</v>
      </c>
      <c r="JJ184" s="242">
        <f t="shared" ref="JJ184:JJ212" si="1337">JJ183+JF184-JH184</f>
        <v>0</v>
      </c>
      <c r="JK184" s="56"/>
      <c r="JN184" s="55">
        <f t="shared" ref="JN184:JN212" si="1338">JE184</f>
        <v>46175</v>
      </c>
      <c r="JO184" s="56"/>
      <c r="JP184" s="242">
        <f>SUMPRODUCT(PRODUCE!$B189:$DY189,PRODUCE!$EB$37:$IY$37)</f>
        <v>320</v>
      </c>
      <c r="JQ184" s="56"/>
      <c r="JR184" s="242">
        <f t="shared" ref="JR184:JR212" si="1339">JP184-JQ184</f>
        <v>320</v>
      </c>
      <c r="JS184" s="242">
        <f t="shared" ref="JS184:JS212" si="1340">JS183+JO184-JQ184</f>
        <v>3340</v>
      </c>
      <c r="JT184" s="56"/>
      <c r="JW184" s="55">
        <f t="shared" ref="JW184:JW212" si="1341">JN184</f>
        <v>46175</v>
      </c>
      <c r="JX184" s="56"/>
      <c r="JY184" s="242">
        <f>SUMPRODUCT(PRODUCE!$B189:$DY189,PRODUCE!$EB$38:$IY$38)</f>
        <v>0</v>
      </c>
      <c r="JZ184" s="56"/>
      <c r="KA184" s="242">
        <f t="shared" ref="KA184:KA212" si="1342">JY184-JZ184</f>
        <v>0</v>
      </c>
      <c r="KB184" s="242">
        <f t="shared" ref="KB184:KB212" si="1343">KB183+JX184-JZ184</f>
        <v>2540</v>
      </c>
      <c r="KC184" s="56"/>
      <c r="KF184" s="55">
        <f t="shared" ref="KF184:KF212" si="1344">JW184</f>
        <v>46175</v>
      </c>
      <c r="KG184" s="56"/>
      <c r="KH184" s="242">
        <f>SUMPRODUCT(PRODUCE!$B189:$DY189,PRODUCE!$EB$39:$IY$39)</f>
        <v>0</v>
      </c>
      <c r="KI184" s="56"/>
      <c r="KJ184" s="242">
        <f t="shared" ref="KJ184:KJ212" si="1345">KH184-KI184</f>
        <v>0</v>
      </c>
      <c r="KK184" s="242">
        <f t="shared" ref="KK184:KK212" si="1346">KK183+KG184-KI184</f>
        <v>2359.5</v>
      </c>
      <c r="KL184" s="56"/>
      <c r="KO184" s="55">
        <f t="shared" ref="KO184:KO212" si="1347">KF184</f>
        <v>46175</v>
      </c>
      <c r="KP184" s="56"/>
      <c r="KQ184" s="242">
        <f>SUMPRODUCT(PRODUCE!$B189:$DY189,PRODUCE!$EB$40:$IY$40)</f>
        <v>0</v>
      </c>
      <c r="KR184" s="56"/>
      <c r="KS184" s="242">
        <f t="shared" ref="KS184:KS212" si="1348">KQ184-KR184</f>
        <v>0</v>
      </c>
      <c r="KT184" s="242">
        <f t="shared" ref="KT184:KT212" si="1349">KT183+KP184-KR184</f>
        <v>1890</v>
      </c>
      <c r="KU184" s="56"/>
      <c r="KW184" s="23"/>
      <c r="KX184" s="55">
        <f t="shared" ref="KX184:KX212" si="1350">KO184</f>
        <v>46175</v>
      </c>
      <c r="KY184" s="56"/>
      <c r="KZ184" s="242">
        <f>SUMPRODUCT(PRODUCE!$B189:$DY189,PRODUCE!$EB$41:$IY$41)</f>
        <v>0</v>
      </c>
      <c r="LA184" s="56"/>
      <c r="LB184" s="242">
        <f t="shared" ref="LB184:LB212" si="1351">KZ184-LA184</f>
        <v>0</v>
      </c>
      <c r="LC184" s="242">
        <f t="shared" ref="LC184:LC212" si="1352">LC183+KY184-LA184</f>
        <v>3690</v>
      </c>
      <c r="LD184" s="56"/>
      <c r="LG184" s="55">
        <f t="shared" ref="LG184:LG212" si="1353">KX184</f>
        <v>46175</v>
      </c>
      <c r="LH184" s="56"/>
      <c r="LI184" s="242">
        <f>SUMPRODUCT(PRODUCE!$B189:$DY189,PRODUCE!$EB$42:$IY$42)</f>
        <v>0</v>
      </c>
      <c r="LJ184" s="56"/>
      <c r="LK184" s="242">
        <f t="shared" ref="LK184:LK212" si="1354">LI184-LJ184</f>
        <v>0</v>
      </c>
      <c r="LL184" s="242">
        <f t="shared" ref="LL184:LL212" si="1355">LL183+LH184-LJ184</f>
        <v>4000</v>
      </c>
      <c r="LM184" s="56"/>
      <c r="LP184" s="55">
        <f t="shared" ref="LP184:LP212" si="1356">LG184</f>
        <v>46175</v>
      </c>
      <c r="LQ184" s="56"/>
      <c r="LR184" s="242">
        <f>SUMPRODUCT(PRODUCE!$B189:$DY189,PRODUCE!$EB$43:$IY$43)</f>
        <v>0</v>
      </c>
      <c r="LS184" s="56"/>
      <c r="LT184" s="242">
        <f t="shared" ref="LT184:LT212" si="1357">LR184-LS184</f>
        <v>0</v>
      </c>
      <c r="LU184" s="242">
        <f t="shared" ref="LU184:LU212" si="1358">LU183+LQ184-LS184</f>
        <v>0</v>
      </c>
      <c r="LV184" s="56"/>
      <c r="LY184" s="55">
        <f t="shared" ref="LY184:LY212" si="1359">LP184</f>
        <v>46175</v>
      </c>
      <c r="LZ184" s="56"/>
      <c r="MA184" s="242">
        <f>SUMPRODUCT(PRODUCE!$B189:$DY189,PRODUCE!$EB$44:$IY$44)</f>
        <v>0</v>
      </c>
      <c r="MB184" s="56"/>
      <c r="MC184" s="242">
        <f t="shared" ref="MC184:MC212" si="1360">MA184-MB184</f>
        <v>0</v>
      </c>
      <c r="MD184" s="242">
        <f t="shared" ref="MD184:MD212" si="1361">MD183+LZ184-MB184</f>
        <v>0</v>
      </c>
      <c r="ME184" s="56"/>
      <c r="MH184" s="55">
        <f t="shared" ref="MH184:MH212" si="1362">LY184</f>
        <v>46175</v>
      </c>
      <c r="MI184" s="56"/>
      <c r="MJ184" s="242">
        <f>SUMPRODUCT(PRODUCE!$B189:$DY189,PRODUCE!$EB$45:$IY$45)</f>
        <v>0</v>
      </c>
      <c r="MK184" s="56"/>
      <c r="ML184" s="242">
        <f t="shared" ref="ML184:ML212" si="1363">MJ184-MK184</f>
        <v>0</v>
      </c>
      <c r="MM184" s="242">
        <f t="shared" ref="MM184:MM212" si="1364">MM183+MI184-MK184</f>
        <v>0</v>
      </c>
      <c r="MN184" s="56"/>
      <c r="MQ184" s="55">
        <f t="shared" ref="MQ184:MQ212" si="1365">MH184</f>
        <v>46175</v>
      </c>
      <c r="MR184" s="56"/>
      <c r="MS184" s="242">
        <f>SUMPRODUCT(PRODUCE!$B189:$DY189,PRODUCE!$EB$46:$IY$46)</f>
        <v>0</v>
      </c>
      <c r="MT184" s="56"/>
      <c r="MU184" s="242">
        <f t="shared" ref="MU184:MU212" si="1366">MS184-MT184</f>
        <v>0</v>
      </c>
      <c r="MV184" s="242">
        <f t="shared" ref="MV184:MV212" si="1367">MV183+MR184-MT184</f>
        <v>3724</v>
      </c>
      <c r="MW184" s="56"/>
      <c r="MZ184" s="55">
        <f t="shared" ref="MZ184:MZ212" si="1368">MQ184</f>
        <v>46175</v>
      </c>
      <c r="NA184" s="56"/>
      <c r="NB184" s="242">
        <f>SUMPRODUCT(PRODUCE!$B189:$DY189,PRODUCE!$EB$47:$IY$47)</f>
        <v>48</v>
      </c>
      <c r="NC184" s="56"/>
      <c r="ND184" s="242">
        <f t="shared" ref="ND184:ND212" si="1369">NB184-NC184</f>
        <v>48</v>
      </c>
      <c r="NE184" s="242">
        <f t="shared" ref="NE184:NE212" si="1370">NE183+NA184-NC184</f>
        <v>0</v>
      </c>
      <c r="NF184" s="56"/>
      <c r="NI184" s="55">
        <f t="shared" ref="NI184:NI212" si="1371">MZ184</f>
        <v>46175</v>
      </c>
      <c r="NJ184" s="56"/>
      <c r="NK184" s="242">
        <f>SUMPRODUCT(PRODUCE!$B189:$DY189,PRODUCE!$EB$48:$IY$48)</f>
        <v>0</v>
      </c>
      <c r="NL184" s="56"/>
      <c r="NM184" s="242">
        <f t="shared" ref="NM184:NM212" si="1372">NK184-NL184</f>
        <v>0</v>
      </c>
      <c r="NN184" s="242">
        <f t="shared" ref="NN184:NN212" si="1373">NN183+NJ184-NL184</f>
        <v>1127</v>
      </c>
      <c r="NO184" s="56"/>
      <c r="NR184" s="55">
        <f t="shared" ref="NR184:NR212" si="1374">MZ184</f>
        <v>46175</v>
      </c>
      <c r="NS184" s="56"/>
      <c r="NT184" s="242">
        <f>SUMPRODUCT(PRODUCE!$B189:$DY189,PRODUCE!$EB$49:$IY$49)</f>
        <v>0</v>
      </c>
      <c r="NU184" s="56"/>
      <c r="NV184" s="242">
        <f t="shared" ref="NV184:NV212" si="1375">NT184-NU184</f>
        <v>0</v>
      </c>
      <c r="NW184" s="242">
        <f t="shared" ref="NW184:NW212" si="1376">NW183+NS184-NU184</f>
        <v>3111.9999999999995</v>
      </c>
      <c r="NX184" s="56"/>
      <c r="OA184" s="55">
        <f t="shared" ref="OA184:OA212" si="1377">NR184</f>
        <v>46175</v>
      </c>
      <c r="OB184" s="56"/>
      <c r="OC184" s="242">
        <f>SUMPRODUCT(PRODUCE!$B189:$DY189,PRODUCE!$EB$50:$IY$50)</f>
        <v>0</v>
      </c>
      <c r="OD184" s="56"/>
      <c r="OE184" s="242">
        <f t="shared" ref="OE184:OE212" si="1378">OC184-OD184</f>
        <v>0</v>
      </c>
      <c r="OF184" s="242">
        <f t="shared" ref="OF184:OF212" si="1379">OF183+OB184-OD184</f>
        <v>1680.5</v>
      </c>
      <c r="OG184" s="56"/>
      <c r="OJ184" s="55">
        <f t="shared" ref="OJ184:OJ212" si="1380">OA184</f>
        <v>46175</v>
      </c>
      <c r="OK184" s="56"/>
      <c r="OL184" s="242">
        <f>SUMPRODUCT(PRODUCE!$B189:$DY189,PRODUCE!$EB$51:$IY$51)</f>
        <v>0</v>
      </c>
      <c r="OM184" s="56"/>
      <c r="ON184" s="242">
        <f t="shared" ref="ON184:ON212" si="1381">OL184-OM184</f>
        <v>0</v>
      </c>
      <c r="OO184" s="242">
        <f t="shared" ref="OO184:OO212" si="1382">OO183+OK184-OM184</f>
        <v>0</v>
      </c>
      <c r="OP184" s="56"/>
      <c r="OS184" s="55">
        <f t="shared" ref="OS184:OS212" si="1383">OJ184</f>
        <v>46175</v>
      </c>
      <c r="OT184" s="56"/>
      <c r="OU184" s="242">
        <f>SUMPRODUCT(PRODUCE!$B189:$DY189,PRODUCE!$EB$52:$IY$52)</f>
        <v>0</v>
      </c>
      <c r="OV184" s="56"/>
      <c r="OW184" s="242">
        <f t="shared" ref="OW184:OW212" si="1384">OU184-OV184</f>
        <v>0</v>
      </c>
      <c r="OX184" s="242">
        <f t="shared" ref="OX184:OX212" si="1385">OX183+OT184-OV184</f>
        <v>1482</v>
      </c>
      <c r="OY184" s="56"/>
      <c r="PB184" s="55">
        <f t="shared" ref="PB184:PB212" si="1386">OS184</f>
        <v>46175</v>
      </c>
      <c r="PC184" s="56"/>
      <c r="PD184" s="242">
        <f>SUMPRODUCT(PRODUCE!$B189:$DY189,PRODUCE!$EB$53:$IY$53)</f>
        <v>0</v>
      </c>
      <c r="PE184" s="56"/>
      <c r="PF184" s="242">
        <f t="shared" ref="PF184:PF212" si="1387">PD184-PE184</f>
        <v>0</v>
      </c>
      <c r="PG184" s="242">
        <f t="shared" ref="PG184:PG212" si="1388">PG183+PC184-PE184</f>
        <v>0</v>
      </c>
      <c r="PH184" s="56"/>
      <c r="PK184" s="55">
        <f t="shared" ref="PK184:PK212" si="1389">PB184</f>
        <v>46175</v>
      </c>
      <c r="PL184" s="56"/>
      <c r="PM184" s="242">
        <f>SUMPRODUCT(PRODUCE!$B189:$DY189,PRODUCE!$EB$54:$IY$54)</f>
        <v>0</v>
      </c>
      <c r="PN184" s="56"/>
      <c r="PO184" s="242">
        <f t="shared" ref="PO184:PO188" si="1390">PM184-PN184</f>
        <v>0</v>
      </c>
      <c r="PP184" s="242">
        <f t="shared" ref="PP184:PP188" si="1391">PP183+PL184-PN184</f>
        <v>100</v>
      </c>
      <c r="PQ184" s="56"/>
      <c r="PT184" s="55">
        <f t="shared" ref="PT184:PT212" si="1392">PK184</f>
        <v>46175</v>
      </c>
      <c r="PU184" s="56"/>
      <c r="PV184" s="242">
        <f>SUMPRODUCT(PRODUCE!$B189:$DY189,PRODUCE!$EB$55:$IY$55)</f>
        <v>0</v>
      </c>
      <c r="PW184" s="56"/>
      <c r="PX184" s="242">
        <f t="shared" ref="PX184:PX212" si="1393">PV184-PW184</f>
        <v>0</v>
      </c>
      <c r="PY184" s="242">
        <f t="shared" ref="PY184:PY212" si="1394">PY183+PU184-PW184</f>
        <v>13.960000000000036</v>
      </c>
      <c r="PZ184" s="56"/>
      <c r="QC184" s="55">
        <f t="shared" ref="QC184:QC212" si="1395">PT184</f>
        <v>46175</v>
      </c>
      <c r="QD184" s="56"/>
      <c r="QE184" s="242">
        <f>SUMPRODUCT(PRODUCE!$B189:$DY189,PRODUCE!$EB$56:$IY$56)</f>
        <v>0</v>
      </c>
      <c r="QF184" s="56"/>
      <c r="QG184" s="242">
        <f t="shared" ref="QG184:QG212" si="1396">QE184-QF184</f>
        <v>0</v>
      </c>
      <c r="QH184" s="242">
        <f t="shared" ref="QH184:QH212" si="1397">QH183+QD184-QF184</f>
        <v>108</v>
      </c>
      <c r="QI184" s="56"/>
      <c r="QL184" s="55">
        <f t="shared" ref="QL184:QL212" si="1398">QC184</f>
        <v>46175</v>
      </c>
      <c r="QM184" s="56"/>
      <c r="QN184" s="242">
        <f>SUMPRODUCT(PRODUCE!$B189:$DY189,PRODUCE!$EB$57:$IY$57)</f>
        <v>40</v>
      </c>
      <c r="QO184" s="56"/>
      <c r="QP184" s="242">
        <f t="shared" ref="QP184:QP212" si="1399">QN184-QO184</f>
        <v>40</v>
      </c>
      <c r="QQ184" s="242">
        <f t="shared" ref="QQ184:QQ212" si="1400">QQ183+QM184-QO184</f>
        <v>245</v>
      </c>
      <c r="QR184" s="56"/>
      <c r="QU184" s="55">
        <f t="shared" ref="QU184:QU212" si="1401">QL184</f>
        <v>46175</v>
      </c>
      <c r="QV184" s="56"/>
      <c r="QW184" s="242">
        <f>SUMPRODUCT(PRODUCE!$B189:$DY189,PRODUCE!$EB$58:$IY$58)</f>
        <v>0</v>
      </c>
      <c r="QX184" s="56"/>
      <c r="QY184" s="242">
        <f t="shared" ref="QY184:QY212" si="1402">QW184-QX184</f>
        <v>0</v>
      </c>
      <c r="QZ184" s="242">
        <f t="shared" ref="QZ184:QZ212" si="1403">QZ183+QV184-QX184</f>
        <v>207.6</v>
      </c>
      <c r="RA184" s="56"/>
      <c r="RD184" s="55">
        <f t="shared" ref="RD184:RD212" si="1404">QU184</f>
        <v>46175</v>
      </c>
      <c r="RE184" s="56"/>
      <c r="RF184" s="242">
        <f>SUMPRODUCT(PRODUCE!$B189:$DY189,PRODUCE!$EB$59:$IY$59)</f>
        <v>0</v>
      </c>
      <c r="RG184" s="56"/>
      <c r="RH184" s="242">
        <f t="shared" ref="RH184:RH212" si="1405">RF184-RG184</f>
        <v>0</v>
      </c>
      <c r="RI184" s="242">
        <f t="shared" ref="RI184:RI212" si="1406">RI183+RE184-RG184</f>
        <v>147.04000000000002</v>
      </c>
      <c r="RJ184" s="56"/>
      <c r="RM184" s="55">
        <f t="shared" ref="RM184:RM212" si="1407">RD184</f>
        <v>46175</v>
      </c>
      <c r="RN184" s="56"/>
      <c r="RO184" s="242">
        <f>SUMPRODUCT(PRODUCE!$B189:$DY189,PRODUCE!$EB$60:$IY$60)</f>
        <v>0</v>
      </c>
      <c r="RP184" s="56"/>
      <c r="RQ184" s="242">
        <f t="shared" ref="RQ184:RQ212" si="1408">RO184-RP184</f>
        <v>0</v>
      </c>
      <c r="RR184" s="242">
        <f t="shared" ref="RR184:RR212" si="1409">RR183+RN184-RP184</f>
        <v>46.8</v>
      </c>
      <c r="RS184" s="56"/>
      <c r="RV184" s="55">
        <f t="shared" ref="RV184:RV212" si="1410">RM184</f>
        <v>46175</v>
      </c>
      <c r="RW184" s="56"/>
      <c r="RX184" s="242">
        <f>SUMPRODUCT(PRODUCE!$B189:$DY189,PRODUCE!$EB$61:$IY$61)</f>
        <v>0</v>
      </c>
      <c r="RY184" s="56"/>
      <c r="RZ184" s="242">
        <f t="shared" ref="RZ184:RZ212" si="1411">RX184-RY184</f>
        <v>0</v>
      </c>
      <c r="SA184" s="242">
        <f t="shared" ref="SA184:SA212" si="1412">SA183+RW184-RY184</f>
        <v>0</v>
      </c>
      <c r="SB184" s="56"/>
      <c r="SE184" s="55">
        <f t="shared" ref="SE184:SE212" si="1413">RV184</f>
        <v>46175</v>
      </c>
      <c r="SF184" s="56"/>
      <c r="SG184" s="242">
        <f>SUMPRODUCT(PRODUCE!$B189:$DY189,PRODUCE!$EB$62:$IY$62)</f>
        <v>0</v>
      </c>
      <c r="SH184" s="56"/>
      <c r="SI184" s="242">
        <f t="shared" ref="SI184:SI212" si="1414">SG184-SH184</f>
        <v>0</v>
      </c>
      <c r="SJ184" s="242">
        <f t="shared" ref="SJ184:SJ212" si="1415">SJ183+SF184-SH184</f>
        <v>24.200000000000003</v>
      </c>
      <c r="SK184" s="56"/>
      <c r="SN184" s="55">
        <f t="shared" ref="SN184:SN212" si="1416">SE184</f>
        <v>46175</v>
      </c>
      <c r="SO184" s="56"/>
      <c r="SP184" s="242">
        <f>SUMPRODUCT(PRODUCE!$B189:$DY189,PRODUCE!$EB$63:$IY$63)</f>
        <v>0</v>
      </c>
      <c r="SQ184" s="56"/>
      <c r="SR184" s="242">
        <f t="shared" ref="SR184:SR212" si="1417">SP184-SQ184</f>
        <v>0</v>
      </c>
      <c r="SS184" s="242">
        <f t="shared" ref="SS184:SS212" si="1418">SS183+SO184-SQ184</f>
        <v>32</v>
      </c>
      <c r="ST184" s="56"/>
      <c r="SW184" s="55">
        <f t="shared" ref="SW184:SW212" si="1419">SN184</f>
        <v>46175</v>
      </c>
      <c r="SX184" s="56"/>
      <c r="SY184" s="242">
        <f>SUMPRODUCT(PRODUCE!$B189:$DY189,PRODUCE!$EB$64:$IY$64)</f>
        <v>0</v>
      </c>
      <c r="SZ184" s="56"/>
      <c r="TA184" s="242">
        <f t="shared" ref="TA184:TA212" si="1420">SY184-SZ184</f>
        <v>0</v>
      </c>
      <c r="TB184" s="242">
        <f t="shared" ref="TB184:TB212" si="1421">TB183+SX184-SZ184</f>
        <v>0</v>
      </c>
      <c r="TC184" s="56"/>
      <c r="TF184" s="55">
        <f t="shared" ref="TF184:TF212" si="1422">SW184</f>
        <v>46175</v>
      </c>
      <c r="TG184" s="56"/>
      <c r="TH184" s="242">
        <f>SUMPRODUCT(PRODUCE!$B189:$DY189,PRODUCE!$EB$65:$IY$65)</f>
        <v>0</v>
      </c>
      <c r="TI184" s="56"/>
      <c r="TJ184" s="242">
        <f t="shared" ref="TJ184:TJ212" si="1423">TH184-TI184</f>
        <v>0</v>
      </c>
      <c r="TK184" s="242">
        <f t="shared" ref="TK184:TK212" si="1424">TK183+TG184-TI184</f>
        <v>0</v>
      </c>
      <c r="TL184" s="56"/>
      <c r="TO184" s="55">
        <f t="shared" ref="TO184:TO212" si="1425">TF184</f>
        <v>46175</v>
      </c>
      <c r="TP184" s="56"/>
      <c r="TQ184" s="242">
        <f>SUMPRODUCT(PRODUCE!$B189:$DY189,PRODUCE!$EB$66:$IY$66)</f>
        <v>0</v>
      </c>
      <c r="TR184" s="56"/>
      <c r="TS184" s="242">
        <f t="shared" ref="TS184:TS212" si="1426">TQ184-TR184</f>
        <v>0</v>
      </c>
      <c r="TT184" s="242">
        <f t="shared" ref="TT184:TT212" si="1427">TT183+TP184-TR184</f>
        <v>0</v>
      </c>
      <c r="TU184" s="56"/>
      <c r="TX184" s="55">
        <f t="shared" ref="TX184:TX212" si="1428">TO184</f>
        <v>46175</v>
      </c>
      <c r="TY184" s="56"/>
      <c r="TZ184" s="242">
        <f>SUMPRODUCT(PRODUCE!$B189:$DY189,PRODUCE!$EB$67:$IY$67)</f>
        <v>0</v>
      </c>
      <c r="UA184" s="56"/>
      <c r="UB184" s="242">
        <f t="shared" ref="UB184:UB212" si="1429">TZ184-UA184</f>
        <v>0</v>
      </c>
      <c r="UC184" s="242">
        <f t="shared" ref="UC184:UC212" si="1430">UC183+TY184-UA184</f>
        <v>135.6</v>
      </c>
      <c r="UD184" s="56"/>
      <c r="UG184" s="55">
        <f t="shared" ref="UG184:UG212" si="1431">TX184</f>
        <v>46175</v>
      </c>
      <c r="UH184" s="56"/>
      <c r="UI184" s="242">
        <f>SUMPRODUCT(PRODUCE!$B189:$DY189,PRODUCE!$EB$68:$IY$68)</f>
        <v>0</v>
      </c>
      <c r="UJ184" s="56"/>
      <c r="UK184" s="242">
        <f t="shared" ref="UK184:UK212" si="1432">UI184-UJ184</f>
        <v>0</v>
      </c>
      <c r="UL184" s="242">
        <f t="shared" ref="UL184:UL212" si="1433">UL183+UH184-UJ184</f>
        <v>128</v>
      </c>
      <c r="UM184" s="56"/>
      <c r="UP184" s="55">
        <f t="shared" ref="UP184:UP212" si="1434">UG184</f>
        <v>46175</v>
      </c>
      <c r="UQ184" s="56"/>
      <c r="UR184" s="242">
        <f>SUMPRODUCT(PRODUCE!$B189:$DY189,PRODUCE!$EB$69:$IY$69)</f>
        <v>0</v>
      </c>
      <c r="US184" s="56"/>
      <c r="UT184" s="242">
        <f t="shared" ref="UT184:UT212" si="1435">UR184-US184</f>
        <v>0</v>
      </c>
      <c r="UU184" s="242">
        <f t="shared" ref="UU184:UU212" si="1436">UU183+UQ184-US184</f>
        <v>11.25</v>
      </c>
      <c r="UV184" s="56"/>
      <c r="UY184" s="55">
        <f t="shared" ref="UY184:UY212" si="1437">UP184</f>
        <v>46175</v>
      </c>
      <c r="UZ184" s="56"/>
      <c r="VA184" s="242">
        <f>SUMPRODUCT(PRODUCE!$B189:$DY189,PRODUCE!$EB$70:$IY$70)</f>
        <v>0</v>
      </c>
      <c r="VB184" s="56"/>
      <c r="VC184" s="242">
        <f t="shared" ref="VC184:VC212" si="1438">VA184-VB184</f>
        <v>0</v>
      </c>
      <c r="VD184" s="242">
        <f t="shared" ref="VD184:VD212" si="1439">VD183+UZ184-VB184</f>
        <v>41.600000000000023</v>
      </c>
      <c r="VE184" s="56"/>
      <c r="VH184" s="55">
        <f t="shared" ref="VH184:VH212" si="1440">UY184</f>
        <v>46175</v>
      </c>
      <c r="VI184" s="56"/>
      <c r="VJ184" s="242">
        <f>SUMPRODUCT(PRODUCE!$B189:$DY189,PRODUCE!$EB$71:$IY$71)</f>
        <v>0</v>
      </c>
      <c r="VK184" s="56"/>
      <c r="VL184" s="242">
        <f t="shared" ref="VL184:VL212" si="1441">VJ184-VK184</f>
        <v>0</v>
      </c>
      <c r="VM184" s="242">
        <f t="shared" ref="VM184:VM212" si="1442">VM183+VI184-VK184</f>
        <v>0</v>
      </c>
      <c r="VN184" s="56"/>
      <c r="VQ184" s="55">
        <f t="shared" ref="VQ184:VQ212" si="1443">VH184</f>
        <v>46175</v>
      </c>
      <c r="VR184" s="56"/>
      <c r="VS184" s="242">
        <f>SUMPRODUCT(PRODUCE!$B189:$DY189,PRODUCE!$EB$57:$IY$57)</f>
        <v>40</v>
      </c>
      <c r="VT184" s="56"/>
      <c r="VU184" s="242">
        <f t="shared" ref="VU184:VU212" si="1444">VS184-VT184</f>
        <v>40</v>
      </c>
      <c r="VV184" s="242">
        <f t="shared" ref="VV184:VV212" si="1445">VV183+VR184-VT184</f>
        <v>0</v>
      </c>
      <c r="VW184" s="56"/>
      <c r="VZ184" s="55">
        <f t="shared" ref="VZ184:VZ212" si="1446">VQ184</f>
        <v>46175</v>
      </c>
      <c r="WA184" s="56"/>
      <c r="WB184" s="242">
        <f>SUMPRODUCT(PRODUCE!$B189:$DY189,PRODUCE!$EB$57:$IY$57)</f>
        <v>40</v>
      </c>
      <c r="WC184" s="56"/>
      <c r="WD184" s="242">
        <f t="shared" ref="WD184:WD212" si="1447">WB184-WC184</f>
        <v>40</v>
      </c>
      <c r="WE184" s="242">
        <f t="shared" ref="WE184:WE212" si="1448">WE183+WA184-WC184</f>
        <v>0</v>
      </c>
      <c r="WF184" s="56"/>
      <c r="WI184" s="55">
        <f t="shared" ref="WI184:WI212" si="1449">VZ184</f>
        <v>46175</v>
      </c>
      <c r="WJ184" s="422"/>
      <c r="WK184" s="540">
        <f>SUMPRODUCT(PRODUCE!$B189:$DY189,PRODUCE!$EB$74:$IY$74)</f>
        <v>0</v>
      </c>
      <c r="WL184" s="422"/>
      <c r="WM184" s="540">
        <f t="shared" ref="WM184:WM212" si="1450">WK184-WL184</f>
        <v>0</v>
      </c>
      <c r="WN184" s="540">
        <f t="shared" ref="WN184:WN212" si="1451">WN183+WJ184-WL184</f>
        <v>1199</v>
      </c>
      <c r="WO184" s="56"/>
      <c r="WR184" s="55">
        <f t="shared" ref="WR184:WR212" si="1452">WI184</f>
        <v>46175</v>
      </c>
      <c r="WS184" s="422"/>
      <c r="WT184" s="540">
        <f>SUMPRODUCT(PRODUCE!$B189:$DY189,PRODUCE!$EB$75:$IY$75)</f>
        <v>0</v>
      </c>
      <c r="WU184" s="422"/>
      <c r="WV184" s="540">
        <f t="shared" ref="WV184:WV212" si="1453">WT184-WU184</f>
        <v>0</v>
      </c>
      <c r="WW184" s="540">
        <f t="shared" ref="WW184:WW212" si="1454">WW183+WS184-WU184</f>
        <v>0</v>
      </c>
      <c r="WX184" s="56"/>
      <c r="XA184" s="55">
        <f t="shared" ref="XA184:XA212" si="1455">WR184</f>
        <v>46175</v>
      </c>
      <c r="XB184" s="422"/>
      <c r="XC184" s="540">
        <f>SUMPRODUCT(PRODUCE!$B189:$DY189,PRODUCE!$EB$76:$IY$76)</f>
        <v>0</v>
      </c>
      <c r="XD184" s="422"/>
      <c r="XE184" s="540">
        <f t="shared" ref="XE184:XE212" si="1456">XC184-XD184</f>
        <v>0</v>
      </c>
      <c r="XF184" s="540">
        <f t="shared" ref="XF184:XF212" si="1457">XF183+XB184-XD184</f>
        <v>6813</v>
      </c>
      <c r="XG184" s="56"/>
      <c r="XJ184" s="55">
        <f t="shared" ref="XJ184:XJ212" si="1458">XA184</f>
        <v>46175</v>
      </c>
      <c r="XK184" s="422"/>
      <c r="XL184" s="540">
        <f>SUMPRODUCT(PRODUCE!$B189:$DY189,PRODUCE!$EB$77:$IY$77)</f>
        <v>0</v>
      </c>
      <c r="XM184" s="422"/>
      <c r="XN184" s="540">
        <f t="shared" ref="XN184:XN212" si="1459">XL184-XM184</f>
        <v>0</v>
      </c>
      <c r="XO184" s="540">
        <f t="shared" ref="XO184:XO212" si="1460">XO183+XK184-XM184</f>
        <v>7824</v>
      </c>
      <c r="XP184" s="56"/>
      <c r="XS184" s="55">
        <f t="shared" ref="XS184:XS212" si="1461">XJ184</f>
        <v>46175</v>
      </c>
      <c r="XT184" s="56"/>
      <c r="XU184" s="242">
        <f>SUMPRODUCT(PRODUCE!$B189:$DY189,PRODUCE!$EB$78:$IY$78)</f>
        <v>0</v>
      </c>
      <c r="XV184" s="56"/>
      <c r="XW184" s="242">
        <f t="shared" ref="XW184:XW212" si="1462">XU184-XV184</f>
        <v>0</v>
      </c>
      <c r="XX184" s="242">
        <f t="shared" ref="XX184:XX212" si="1463">XX183+XT184-XV184</f>
        <v>1621</v>
      </c>
      <c r="XY184" s="56"/>
      <c r="YB184" s="55">
        <f t="shared" ref="YB184:YB212" si="1464">XS184</f>
        <v>46175</v>
      </c>
      <c r="YC184" s="56"/>
      <c r="YD184" s="242">
        <f>SUMPRODUCT(PRODUCE!$B189:$DY189,PRODUCE!$EB$79:$IY$79)</f>
        <v>0</v>
      </c>
      <c r="YE184" s="56"/>
      <c r="YF184" s="242">
        <f t="shared" ref="YF184:YF212" si="1465">YD184-YE184</f>
        <v>0</v>
      </c>
      <c r="YG184" s="242">
        <f t="shared" ref="YG184:YG212" si="1466">YG183+YC184-YE184</f>
        <v>6193</v>
      </c>
      <c r="YH184" s="56"/>
      <c r="YK184" s="55">
        <f t="shared" ref="YK184:YK212" si="1467">YB184</f>
        <v>46175</v>
      </c>
      <c r="YL184" s="56"/>
      <c r="YM184" s="242">
        <f>SUMPRODUCT(PRODUCE!$B189:$DY189,PRODUCE!$EB$80:$IY$80)</f>
        <v>0</v>
      </c>
      <c r="YN184" s="56"/>
      <c r="YO184" s="242">
        <f t="shared" ref="YO184:YO212" si="1468">YM184-YN184</f>
        <v>0</v>
      </c>
      <c r="YP184" s="242">
        <f t="shared" ref="YP184:YP212" si="1469">YP183+YL184-YN184</f>
        <v>0</v>
      </c>
      <c r="YQ184" s="56"/>
      <c r="YT184" s="55">
        <f t="shared" ref="YT184:YT212" si="1470">YK184</f>
        <v>46175</v>
      </c>
      <c r="YU184" s="56"/>
      <c r="YV184" s="242">
        <f>SUMPRODUCT(PRODUCE!$B189:$DY189,PRODUCE!$EB$57:$IY$57)</f>
        <v>40</v>
      </c>
      <c r="YW184" s="56"/>
      <c r="YX184" s="242">
        <f t="shared" ref="YX184:YX212" si="1471">YV184-YW184</f>
        <v>40</v>
      </c>
      <c r="YY184" s="242">
        <f t="shared" ref="YY184:YY212" si="1472">YY183+YU184-YW184</f>
        <v>0</v>
      </c>
      <c r="YZ184" s="56"/>
      <c r="ZC184" s="55">
        <f t="shared" ref="ZC184:ZC212" si="1473">YT184</f>
        <v>46175</v>
      </c>
      <c r="ZD184" s="56"/>
      <c r="ZE184" s="242">
        <f>SUMPRODUCT(PRODUCE!$B189:$DY189,PRODUCE!$EB$57:$IY$57)</f>
        <v>40</v>
      </c>
      <c r="ZF184" s="56"/>
      <c r="ZG184" s="242">
        <f t="shared" ref="ZG184:ZG212" si="1474">ZE184-ZF184</f>
        <v>40</v>
      </c>
      <c r="ZH184" s="242">
        <f t="shared" ref="ZH184:ZH212" si="1475">ZH183+ZD184-ZF184</f>
        <v>0</v>
      </c>
      <c r="ZI184" s="56"/>
      <c r="ZL184" s="55">
        <f t="shared" ref="ZL184:ZL212" si="1476">ZC184</f>
        <v>46175</v>
      </c>
      <c r="ZM184" s="56"/>
      <c r="ZN184" s="242">
        <f>SUMPRODUCT(PRODUCE!$B189:$DY189,PRODUCE!$EB$57:$IY$57)</f>
        <v>40</v>
      </c>
      <c r="ZO184" s="56"/>
      <c r="ZP184" s="242">
        <f t="shared" ref="ZP184:ZP212" si="1477">ZN184-ZO184</f>
        <v>40</v>
      </c>
      <c r="ZQ184" s="242">
        <f t="shared" ref="ZQ184:ZQ212" si="1478">ZQ183+ZM184-ZO184</f>
        <v>0</v>
      </c>
      <c r="ZR184" s="56"/>
      <c r="ZU184" s="55">
        <f t="shared" ref="ZU184:ZU212" si="1479">ZL184</f>
        <v>46175</v>
      </c>
      <c r="ZV184" s="56"/>
      <c r="ZW184" s="242">
        <f>SUMPRODUCT(PRODUCE!$B189:$DY189,PRODUCE!$EB$57:$IY$57)</f>
        <v>40</v>
      </c>
      <c r="ZX184" s="56"/>
      <c r="ZY184" s="242">
        <f t="shared" ref="ZY184:ZY212" si="1480">ZW184-ZX184</f>
        <v>40</v>
      </c>
      <c r="ZZ184" s="242">
        <f t="shared" ref="ZZ184:ZZ212" si="1481">ZZ183+ZV184-ZX184</f>
        <v>0</v>
      </c>
      <c r="AAA184" s="56"/>
      <c r="AAD184" s="55">
        <f t="shared" ref="AAD184:AAD212" si="1482">ZU184</f>
        <v>46175</v>
      </c>
      <c r="AAE184" s="56"/>
      <c r="AAF184" s="242">
        <f>SUMPRODUCT(PRODUCE!$B189:$DY189,PRODUCE!$EB$57:$IY$57)</f>
        <v>40</v>
      </c>
      <c r="AAG184" s="56"/>
      <c r="AAH184" s="242">
        <f t="shared" ref="AAH184:AAH212" si="1483">AAF184-AAG184</f>
        <v>40</v>
      </c>
      <c r="AAI184" s="242">
        <f t="shared" ref="AAI184:AAI212" si="1484">AAI183+AAE184-AAG184</f>
        <v>0</v>
      </c>
      <c r="AAJ184" s="56"/>
      <c r="AAM184" s="55">
        <f t="shared" ref="AAM184:AAM212" si="1485">AAD184</f>
        <v>46175</v>
      </c>
      <c r="AAN184" s="56"/>
      <c r="AAO184" s="242">
        <f>SUMPRODUCT(PRODUCE!$B189:$DY189,PRODUCE!$EB$57:$IY$57)</f>
        <v>40</v>
      </c>
      <c r="AAP184" s="56"/>
      <c r="AAQ184" s="242">
        <f t="shared" ref="AAQ184:AAQ212" si="1486">AAO184-AAP184</f>
        <v>40</v>
      </c>
      <c r="AAR184" s="242">
        <f t="shared" ref="AAR184:AAR212" si="1487">AAR183+AAN184-AAP184</f>
        <v>0</v>
      </c>
      <c r="AAS184" s="56"/>
      <c r="AAV184" s="55">
        <f t="shared" ref="AAV184:AAV212" si="1488">AAM184</f>
        <v>46175</v>
      </c>
      <c r="AAW184" s="56"/>
      <c r="AAX184" s="242">
        <f>SUMPRODUCT(PRODUCE!$B189:$DY189,PRODUCE!$EB$57:$IY$57)</f>
        <v>40</v>
      </c>
      <c r="AAY184" s="56"/>
      <c r="AAZ184" s="242">
        <f t="shared" ref="AAZ184:AAZ212" si="1489">AAX184-AAY184</f>
        <v>40</v>
      </c>
      <c r="ABA184" s="242">
        <f t="shared" ref="ABA184:ABA212" si="1490">ABA183+AAW184-AAY184</f>
        <v>0</v>
      </c>
      <c r="ABB184" s="56"/>
      <c r="ABE184" s="55">
        <f t="shared" ref="ABE184:ABE212" si="1491">AAV184</f>
        <v>46175</v>
      </c>
      <c r="ABF184" s="56"/>
      <c r="ABG184" s="242">
        <f>SUMPRODUCT(PRODUCE!$B189:$DY189,PRODUCE!$EB$57:$IY$57)</f>
        <v>40</v>
      </c>
      <c r="ABH184" s="56"/>
      <c r="ABI184" s="242">
        <f t="shared" ref="ABI184:ABI212" si="1492">ABG184-ABH184</f>
        <v>40</v>
      </c>
      <c r="ABJ184" s="242">
        <f t="shared" ref="ABJ184:ABJ212" si="1493">ABJ183+ABF184-ABH184</f>
        <v>0</v>
      </c>
      <c r="ABK184" s="56"/>
    </row>
    <row r="185" spans="1:739" s="54" customFormat="1" ht="15" customHeight="1" outlineLevel="1">
      <c r="B185" s="478">
        <v>20</v>
      </c>
      <c r="C185" s="55">
        <v>46176</v>
      </c>
      <c r="D185" s="422"/>
      <c r="E185" s="423">
        <f>SUMPRODUCT(PRODUCE!$B190:$DY190,PRODUCE!$EB$7:$IY$7)</f>
        <v>11157.599999999999</v>
      </c>
      <c r="F185" s="422">
        <v>11153.4</v>
      </c>
      <c r="G185" s="423">
        <f t="shared" si="1249"/>
        <v>4.1999999999989086</v>
      </c>
      <c r="H185" s="423">
        <f t="shared" si="1250"/>
        <v>224261.80000000008</v>
      </c>
      <c r="I185" s="289" t="s">
        <v>280</v>
      </c>
      <c r="L185" s="55">
        <f t="shared" si="1251"/>
        <v>46176</v>
      </c>
      <c r="M185" s="422"/>
      <c r="N185" s="438">
        <f>SUMPRODUCT(PRODUCE!$B190:$DY190,PRODUCE!$EB$8:$IY$8)</f>
        <v>6344</v>
      </c>
      <c r="O185" s="422">
        <v>6344.6</v>
      </c>
      <c r="P185" s="438">
        <f t="shared" si="1252"/>
        <v>-0.6000000000003638</v>
      </c>
      <c r="Q185" s="438">
        <f t="shared" si="1253"/>
        <v>94539.20000000007</v>
      </c>
      <c r="R185" s="56"/>
      <c r="U185" s="55">
        <f t="shared" si="1254"/>
        <v>46176</v>
      </c>
      <c r="V185" s="422"/>
      <c r="W185" s="440">
        <f>SUMPRODUCT(PRODUCE!$B190:$DY190,PRODUCE!$EB$9:$IY$9)</f>
        <v>1000</v>
      </c>
      <c r="X185" s="422">
        <v>1001.5</v>
      </c>
      <c r="Y185" s="440">
        <f t="shared" si="1255"/>
        <v>-1.5</v>
      </c>
      <c r="Z185" s="440">
        <f t="shared" si="1256"/>
        <v>42884.899999999972</v>
      </c>
      <c r="AA185" s="56"/>
      <c r="AD185" s="55">
        <f t="shared" si="1257"/>
        <v>46176</v>
      </c>
      <c r="AE185" s="422"/>
      <c r="AF185" s="442">
        <f>SUMPRODUCT(PRODUCE!$B190:$DY190,PRODUCE!$EB$10:$IY$10)</f>
        <v>0</v>
      </c>
      <c r="AG185" s="422"/>
      <c r="AH185" s="442">
        <f t="shared" si="1258"/>
        <v>0</v>
      </c>
      <c r="AI185" s="442">
        <f t="shared" si="1259"/>
        <v>12193.400000000018</v>
      </c>
      <c r="AJ185" s="56"/>
      <c r="AM185" s="55">
        <f t="shared" si="1260"/>
        <v>46176</v>
      </c>
      <c r="AN185" s="422"/>
      <c r="AO185" s="444">
        <f>SUMPRODUCT(PRODUCE!$B190:$DY190,PRODUCE!$EB$11:$IY$11)</f>
        <v>0</v>
      </c>
      <c r="AP185" s="422"/>
      <c r="AQ185" s="444">
        <f t="shared" si="1261"/>
        <v>0</v>
      </c>
      <c r="AR185" s="444">
        <f t="shared" si="1262"/>
        <v>0</v>
      </c>
      <c r="AS185" s="56"/>
      <c r="AV185" s="55">
        <f t="shared" si="1263"/>
        <v>46176</v>
      </c>
      <c r="AW185" s="422"/>
      <c r="AX185" s="446">
        <f>SUMPRODUCT(PRODUCE!$B190:$DY190,PRODUCE!$EB$12:$IY$12)</f>
        <v>0</v>
      </c>
      <c r="AY185" s="422"/>
      <c r="AZ185" s="446">
        <f t="shared" si="1264"/>
        <v>0</v>
      </c>
      <c r="BA185" s="446">
        <f t="shared" si="1265"/>
        <v>18566.699999999997</v>
      </c>
      <c r="BB185" s="56"/>
      <c r="BE185" s="55">
        <f t="shared" si="1266"/>
        <v>46176</v>
      </c>
      <c r="BF185" s="422"/>
      <c r="BG185" s="448">
        <f>SUMPRODUCT(PRODUCE!$B190:$DY190,PRODUCE!$EB$13:$IY$13)</f>
        <v>390</v>
      </c>
      <c r="BH185" s="422">
        <v>391.2</v>
      </c>
      <c r="BI185" s="448">
        <f t="shared" si="1267"/>
        <v>-1.1999999999999886</v>
      </c>
      <c r="BJ185" s="448">
        <f t="shared" si="1268"/>
        <v>33460.699999999997</v>
      </c>
      <c r="BK185" s="56"/>
      <c r="BN185" s="55">
        <f t="shared" si="1269"/>
        <v>46176</v>
      </c>
      <c r="BO185" s="422">
        <v>470.1</v>
      </c>
      <c r="BP185" s="450">
        <f>SUMPRODUCT(PRODUCE!$B190:$DY190,PRODUCE!$EB$14:$IY$14)</f>
        <v>470</v>
      </c>
      <c r="BQ185" s="422">
        <v>470.1</v>
      </c>
      <c r="BR185" s="450">
        <f t="shared" si="1270"/>
        <v>-0.10000000000002274</v>
      </c>
      <c r="BS185" s="450">
        <f t="shared" si="1271"/>
        <v>0</v>
      </c>
      <c r="BT185" s="56"/>
      <c r="BW185" s="55">
        <f t="shared" si="1272"/>
        <v>46176</v>
      </c>
      <c r="BX185" s="422"/>
      <c r="BY185" s="523">
        <f>SUMPRODUCT(PRODUCE!$B190:$DY190,PRODUCE!$EB$15:$IY$15)</f>
        <v>0</v>
      </c>
      <c r="BZ185" s="422"/>
      <c r="CA185" s="523">
        <f t="shared" si="1273"/>
        <v>0</v>
      </c>
      <c r="CB185" s="523">
        <f t="shared" si="1274"/>
        <v>5083.1299999999992</v>
      </c>
      <c r="CC185" s="56"/>
      <c r="CF185" s="55">
        <f t="shared" si="1275"/>
        <v>46176</v>
      </c>
      <c r="CG185" s="422"/>
      <c r="CH185" s="524">
        <f>SUMPRODUCT(PRODUCE!$B190:$DY190,PRODUCE!$EB$16:$IY$16)</f>
        <v>128.4</v>
      </c>
      <c r="CI185" s="422"/>
      <c r="CJ185" s="524">
        <f t="shared" si="1276"/>
        <v>128.4</v>
      </c>
      <c r="CK185" s="524">
        <f t="shared" si="1277"/>
        <v>0</v>
      </c>
      <c r="CL185" s="56"/>
      <c r="CO185" s="55">
        <f t="shared" si="1278"/>
        <v>46176</v>
      </c>
      <c r="CP185" s="422"/>
      <c r="CQ185" s="470">
        <f>SUMPRODUCT(PRODUCE!$B190:$DY190,PRODUCE!$EB$17:$IY$17)</f>
        <v>0</v>
      </c>
      <c r="CR185" s="422"/>
      <c r="CS185" s="470">
        <f t="shared" si="1279"/>
        <v>0</v>
      </c>
      <c r="CT185" s="470">
        <f t="shared" si="1280"/>
        <v>0</v>
      </c>
      <c r="CU185" s="56"/>
      <c r="CX185" s="55">
        <f t="shared" si="1281"/>
        <v>46176</v>
      </c>
      <c r="CY185" s="422"/>
      <c r="CZ185" s="525">
        <f>SUMPRODUCT(PRODUCE!$B190:$DY190,PRODUCE!$EB$18:$IY$18)</f>
        <v>0</v>
      </c>
      <c r="DA185" s="422"/>
      <c r="DB185" s="525">
        <f t="shared" si="1282"/>
        <v>0</v>
      </c>
      <c r="DC185" s="525">
        <f t="shared" si="1283"/>
        <v>19623.900000000005</v>
      </c>
      <c r="DD185" s="56"/>
      <c r="DG185" s="55">
        <f t="shared" si="1284"/>
        <v>46176</v>
      </c>
      <c r="DH185" s="422"/>
      <c r="DI185" s="526">
        <f>SUMPRODUCT(PRODUCE!$B190:$DY190,PRODUCE!$EB$19:$IY$19)</f>
        <v>0</v>
      </c>
      <c r="DJ185" s="422"/>
      <c r="DK185" s="526">
        <f t="shared" si="1285"/>
        <v>0</v>
      </c>
      <c r="DL185" s="526">
        <f t="shared" si="1286"/>
        <v>35234.999999999985</v>
      </c>
      <c r="DM185" s="56"/>
      <c r="DP185" s="55">
        <f t="shared" si="1287"/>
        <v>46176</v>
      </c>
      <c r="DQ185" s="56"/>
      <c r="DR185" s="57">
        <f>SUMPRODUCT(PRODUCE!$B190:$DY190,PRODUCE!$EB$20:$IY$20)</f>
        <v>0</v>
      </c>
      <c r="DS185" s="56"/>
      <c r="DT185" s="57">
        <f t="shared" si="1288"/>
        <v>0</v>
      </c>
      <c r="DU185" s="57">
        <f t="shared" si="1289"/>
        <v>5800</v>
      </c>
      <c r="DV185" s="56"/>
      <c r="DY185" s="55">
        <f t="shared" si="1290"/>
        <v>46176</v>
      </c>
      <c r="DZ185" s="56"/>
      <c r="EA185" s="157">
        <f>SUMPRODUCT(PRODUCE!$B190:$DY190,PRODUCE!$EB$21:$IY$21)</f>
        <v>0</v>
      </c>
      <c r="EB185" s="56"/>
      <c r="EC185" s="157">
        <f t="shared" si="1291"/>
        <v>0</v>
      </c>
      <c r="ED185" s="157">
        <f t="shared" si="1292"/>
        <v>0</v>
      </c>
      <c r="EE185" s="56"/>
      <c r="EH185" s="55">
        <f t="shared" si="1293"/>
        <v>46176</v>
      </c>
      <c r="EI185" s="56"/>
      <c r="EJ185" s="162">
        <f>SUMPRODUCT(PRODUCE!$B190:$DY190,PRODUCE!$EB$22:$IY$22)</f>
        <v>0</v>
      </c>
      <c r="EK185" s="56"/>
      <c r="EL185" s="162">
        <f t="shared" si="1294"/>
        <v>0</v>
      </c>
      <c r="EM185" s="162">
        <f t="shared" si="1295"/>
        <v>0</v>
      </c>
      <c r="EN185" s="56"/>
      <c r="EQ185" s="55">
        <f t="shared" si="1296"/>
        <v>46176</v>
      </c>
      <c r="ER185" s="56"/>
      <c r="ES185" s="135">
        <f>SUMPRODUCT(PRODUCE!$B190:$DY190,PRODUCE!$EB$23:$IY$23)</f>
        <v>0</v>
      </c>
      <c r="ET185" s="56"/>
      <c r="EU185" s="135">
        <f t="shared" si="1297"/>
        <v>0</v>
      </c>
      <c r="EV185" s="135">
        <f t="shared" si="1298"/>
        <v>0</v>
      </c>
      <c r="EW185" s="56"/>
      <c r="EZ185" s="55">
        <f t="shared" si="1299"/>
        <v>46176</v>
      </c>
      <c r="FA185" s="56"/>
      <c r="FB185" s="175">
        <f>SUMPRODUCT(PRODUCE!$B190:$DY190,PRODUCE!$EB$24:$IY$24)</f>
        <v>0</v>
      </c>
      <c r="FC185" s="56"/>
      <c r="FD185" s="175">
        <f t="shared" si="1300"/>
        <v>0</v>
      </c>
      <c r="FE185" s="175">
        <f t="shared" si="1301"/>
        <v>0</v>
      </c>
      <c r="FF185" s="56"/>
      <c r="FI185" s="55">
        <f t="shared" si="1302"/>
        <v>46176</v>
      </c>
      <c r="FJ185" s="56"/>
      <c r="FK185" s="183">
        <f>SUMPRODUCT(PRODUCE!$B190:$DY190,PRODUCE!$EB$25:$IY$25)</f>
        <v>0</v>
      </c>
      <c r="FL185" s="56"/>
      <c r="FM185" s="183">
        <f t="shared" si="1303"/>
        <v>0</v>
      </c>
      <c r="FN185" s="183">
        <f t="shared" si="1304"/>
        <v>0</v>
      </c>
      <c r="FO185" s="56"/>
      <c r="FR185" s="55">
        <f t="shared" si="1305"/>
        <v>46176</v>
      </c>
      <c r="FS185" s="56"/>
      <c r="FT185" s="186">
        <f>SUMPRODUCT(PRODUCE!$B190:$DY190,PRODUCE!$EB$26:$IY$26)</f>
        <v>0</v>
      </c>
      <c r="FU185" s="56"/>
      <c r="FV185" s="186">
        <f t="shared" si="1306"/>
        <v>0</v>
      </c>
      <c r="FW185" s="186">
        <f t="shared" si="1307"/>
        <v>4140</v>
      </c>
      <c r="FX185" s="56"/>
      <c r="GA185" s="55">
        <f t="shared" si="1308"/>
        <v>46176</v>
      </c>
      <c r="GB185" s="56"/>
      <c r="GC185" s="137">
        <f>SUMPRODUCT(PRODUCE!$B190:$DY190,PRODUCE!$EB$27:$IY$27)</f>
        <v>0</v>
      </c>
      <c r="GD185" s="56"/>
      <c r="GE185" s="137">
        <f t="shared" si="1309"/>
        <v>0</v>
      </c>
      <c r="GF185" s="137">
        <f t="shared" si="1310"/>
        <v>5040</v>
      </c>
      <c r="GG185" s="56"/>
      <c r="GI185" s="23"/>
      <c r="GJ185" s="55">
        <f t="shared" si="1311"/>
        <v>46176</v>
      </c>
      <c r="GK185" s="56"/>
      <c r="GL185" s="199">
        <f>SUMPRODUCT(PRODUCE!$B190:$DY190,PRODUCE!$EB$28:$IY$28)</f>
        <v>0</v>
      </c>
      <c r="GM185" s="56"/>
      <c r="GN185" s="199">
        <f t="shared" si="1312"/>
        <v>0</v>
      </c>
      <c r="GO185" s="199">
        <f t="shared" si="1313"/>
        <v>1760</v>
      </c>
      <c r="GP185" s="56"/>
      <c r="GS185" s="55">
        <f t="shared" si="1314"/>
        <v>46176</v>
      </c>
      <c r="GT185" s="56"/>
      <c r="GU185" s="195">
        <f>SUMPRODUCT(PRODUCE!$B190:$DY190,PRODUCE!$EB$29:$IY$29)</f>
        <v>0</v>
      </c>
      <c r="GV185" s="56"/>
      <c r="GW185" s="195">
        <f t="shared" si="1315"/>
        <v>0</v>
      </c>
      <c r="GX185" s="195">
        <f t="shared" si="1316"/>
        <v>600</v>
      </c>
      <c r="GY185" s="56"/>
      <c r="HB185" s="55">
        <f t="shared" si="1317"/>
        <v>46176</v>
      </c>
      <c r="HC185" s="56"/>
      <c r="HD185" s="191">
        <f>SUMPRODUCT(PRODUCE!$B190:$DY190,PRODUCE!$EB$30:$IY$30)</f>
        <v>0</v>
      </c>
      <c r="HE185" s="56"/>
      <c r="HF185" s="191">
        <f t="shared" si="1318"/>
        <v>0</v>
      </c>
      <c r="HG185" s="191">
        <f t="shared" si="1319"/>
        <v>3600</v>
      </c>
      <c r="HH185" s="56"/>
      <c r="HK185" s="55">
        <f t="shared" si="1320"/>
        <v>46176</v>
      </c>
      <c r="HL185" s="56"/>
      <c r="HM185" s="63">
        <f>SUMPRODUCT(PRODUCE!$B190:$DY190,PRODUCE!$EB$31:$IY$31)</f>
        <v>0</v>
      </c>
      <c r="HN185" s="56"/>
      <c r="HO185" s="63">
        <f t="shared" si="1321"/>
        <v>0</v>
      </c>
      <c r="HP185" s="63">
        <f t="shared" si="1322"/>
        <v>0</v>
      </c>
      <c r="HQ185" s="56"/>
      <c r="HU185" s="55">
        <f t="shared" si="1323"/>
        <v>46176</v>
      </c>
      <c r="HV185" s="56"/>
      <c r="HW185" s="242">
        <f>SUMPRODUCT(PRODUCE!$B190:$DY190,PRODUCE!$EB$32:$IY$32)</f>
        <v>0</v>
      </c>
      <c r="HX185" s="56"/>
      <c r="HY185" s="242">
        <f t="shared" si="1324"/>
        <v>0</v>
      </c>
      <c r="HZ185" s="242">
        <f t="shared" si="1325"/>
        <v>6800</v>
      </c>
      <c r="IA185" s="56"/>
      <c r="ID185" s="55">
        <f t="shared" si="1326"/>
        <v>46176</v>
      </c>
      <c r="IE185" s="56"/>
      <c r="IF185" s="242">
        <f>SUMPRODUCT(PRODUCE!$B190:$DY190,PRODUCE!$EB$33:$IY$33)</f>
        <v>0</v>
      </c>
      <c r="IG185" s="56"/>
      <c r="IH185" s="242">
        <f t="shared" si="1327"/>
        <v>0</v>
      </c>
      <c r="II185" s="242">
        <f t="shared" si="1328"/>
        <v>720</v>
      </c>
      <c r="IJ185" s="56"/>
      <c r="IM185" s="55">
        <f t="shared" si="1329"/>
        <v>46176</v>
      </c>
      <c r="IN185" s="56"/>
      <c r="IO185" s="242">
        <f>SUMPRODUCT(PRODUCE!$B190:$DY190,PRODUCE!$EB$34:$IY$34)</f>
        <v>0</v>
      </c>
      <c r="IP185" s="56"/>
      <c r="IQ185" s="242">
        <f t="shared" si="1330"/>
        <v>0</v>
      </c>
      <c r="IR185" s="242">
        <f t="shared" si="1331"/>
        <v>8140</v>
      </c>
      <c r="IS185" s="56"/>
      <c r="IV185" s="55">
        <f t="shared" si="1332"/>
        <v>46176</v>
      </c>
      <c r="IW185" s="56"/>
      <c r="IX185" s="242">
        <f>SUMPRODUCT(PRODUCE!$B190:$DY190,PRODUCE!$EB$35:$IY$35)</f>
        <v>0</v>
      </c>
      <c r="IY185" s="56"/>
      <c r="IZ185" s="242">
        <f t="shared" si="1333"/>
        <v>0</v>
      </c>
      <c r="JA185" s="242">
        <f t="shared" si="1334"/>
        <v>4960</v>
      </c>
      <c r="JB185" s="56"/>
      <c r="JE185" s="55">
        <f t="shared" si="1335"/>
        <v>46176</v>
      </c>
      <c r="JF185" s="56"/>
      <c r="JG185" s="242">
        <f>SUMPRODUCT(PRODUCE!$B190:$DY190,PRODUCE!$EB$36:$IY$36)</f>
        <v>0</v>
      </c>
      <c r="JH185" s="56"/>
      <c r="JI185" s="242">
        <f t="shared" si="1336"/>
        <v>0</v>
      </c>
      <c r="JJ185" s="242">
        <f t="shared" si="1337"/>
        <v>0</v>
      </c>
      <c r="JK185" s="56"/>
      <c r="JN185" s="55">
        <f t="shared" si="1338"/>
        <v>46176</v>
      </c>
      <c r="JO185" s="56"/>
      <c r="JP185" s="242">
        <f>SUMPRODUCT(PRODUCE!$B190:$DY190,PRODUCE!$EB$37:$IY$37)</f>
        <v>400</v>
      </c>
      <c r="JQ185" s="56"/>
      <c r="JR185" s="242">
        <f t="shared" si="1339"/>
        <v>400</v>
      </c>
      <c r="JS185" s="242">
        <f t="shared" si="1340"/>
        <v>3340</v>
      </c>
      <c r="JT185" s="56"/>
      <c r="JW185" s="55">
        <f t="shared" si="1341"/>
        <v>46176</v>
      </c>
      <c r="JX185" s="56"/>
      <c r="JY185" s="242">
        <f>SUMPRODUCT(PRODUCE!$B190:$DY190,PRODUCE!$EB$38:$IY$38)</f>
        <v>0</v>
      </c>
      <c r="JZ185" s="56"/>
      <c r="KA185" s="242">
        <f t="shared" si="1342"/>
        <v>0</v>
      </c>
      <c r="KB185" s="242">
        <f t="shared" si="1343"/>
        <v>2540</v>
      </c>
      <c r="KC185" s="56"/>
      <c r="KF185" s="55">
        <f t="shared" si="1344"/>
        <v>46176</v>
      </c>
      <c r="KG185" s="56"/>
      <c r="KH185" s="242">
        <f>SUMPRODUCT(PRODUCE!$B190:$DY190,PRODUCE!$EB$39:$IY$39)</f>
        <v>0</v>
      </c>
      <c r="KI185" s="56"/>
      <c r="KJ185" s="242">
        <f t="shared" si="1345"/>
        <v>0</v>
      </c>
      <c r="KK185" s="242">
        <f t="shared" si="1346"/>
        <v>2359.5</v>
      </c>
      <c r="KL185" s="56"/>
      <c r="KO185" s="55">
        <f t="shared" si="1347"/>
        <v>46176</v>
      </c>
      <c r="KP185" s="56"/>
      <c r="KQ185" s="242">
        <f>SUMPRODUCT(PRODUCE!$B190:$DY190,PRODUCE!$EB$40:$IY$40)</f>
        <v>0</v>
      </c>
      <c r="KR185" s="56"/>
      <c r="KS185" s="242">
        <f t="shared" si="1348"/>
        <v>0</v>
      </c>
      <c r="KT185" s="242">
        <f t="shared" si="1349"/>
        <v>1890</v>
      </c>
      <c r="KU185" s="56"/>
      <c r="KW185" s="23"/>
      <c r="KX185" s="55">
        <f t="shared" si="1350"/>
        <v>46176</v>
      </c>
      <c r="KY185" s="56"/>
      <c r="KZ185" s="242">
        <f>SUMPRODUCT(PRODUCE!$B190:$DY190,PRODUCE!$EB$41:$IY$41)</f>
        <v>0</v>
      </c>
      <c r="LA185" s="56"/>
      <c r="LB185" s="242">
        <f t="shared" si="1351"/>
        <v>0</v>
      </c>
      <c r="LC185" s="242">
        <f t="shared" si="1352"/>
        <v>3690</v>
      </c>
      <c r="LD185" s="56"/>
      <c r="LG185" s="55">
        <f t="shared" si="1353"/>
        <v>46176</v>
      </c>
      <c r="LH185" s="56"/>
      <c r="LI185" s="242">
        <f>SUMPRODUCT(PRODUCE!$B190:$DY190,PRODUCE!$EB$42:$IY$42)</f>
        <v>0</v>
      </c>
      <c r="LJ185" s="56"/>
      <c r="LK185" s="242">
        <f t="shared" si="1354"/>
        <v>0</v>
      </c>
      <c r="LL185" s="242">
        <f t="shared" si="1355"/>
        <v>4000</v>
      </c>
      <c r="LM185" s="56"/>
      <c r="LP185" s="55">
        <f t="shared" si="1356"/>
        <v>46176</v>
      </c>
      <c r="LQ185" s="56"/>
      <c r="LR185" s="242">
        <f>SUMPRODUCT(PRODUCE!$B190:$DY190,PRODUCE!$EB$43:$IY$43)</f>
        <v>0</v>
      </c>
      <c r="LS185" s="56"/>
      <c r="LT185" s="242">
        <f t="shared" si="1357"/>
        <v>0</v>
      </c>
      <c r="LU185" s="242">
        <f t="shared" si="1358"/>
        <v>0</v>
      </c>
      <c r="LV185" s="56"/>
      <c r="LY185" s="55">
        <f t="shared" si="1359"/>
        <v>46176</v>
      </c>
      <c r="LZ185" s="56"/>
      <c r="MA185" s="242">
        <f>SUMPRODUCT(PRODUCE!$B190:$DY190,PRODUCE!$EB$44:$IY$44)</f>
        <v>0</v>
      </c>
      <c r="MB185" s="56"/>
      <c r="MC185" s="242">
        <f t="shared" si="1360"/>
        <v>0</v>
      </c>
      <c r="MD185" s="242">
        <f t="shared" si="1361"/>
        <v>0</v>
      </c>
      <c r="ME185" s="56"/>
      <c r="MH185" s="55">
        <f t="shared" si="1362"/>
        <v>46176</v>
      </c>
      <c r="MI185" s="56"/>
      <c r="MJ185" s="242">
        <f>SUMPRODUCT(PRODUCE!$B190:$DY190,PRODUCE!$EB$45:$IY$45)</f>
        <v>0</v>
      </c>
      <c r="MK185" s="56"/>
      <c r="ML185" s="242">
        <f t="shared" si="1363"/>
        <v>0</v>
      </c>
      <c r="MM185" s="242">
        <f t="shared" si="1364"/>
        <v>0</v>
      </c>
      <c r="MN185" s="56"/>
      <c r="MQ185" s="55">
        <f t="shared" si="1365"/>
        <v>46176</v>
      </c>
      <c r="MR185" s="56"/>
      <c r="MS185" s="242">
        <f>SUMPRODUCT(PRODUCE!$B190:$DY190,PRODUCE!$EB$46:$IY$46)</f>
        <v>0</v>
      </c>
      <c r="MT185" s="56"/>
      <c r="MU185" s="242">
        <f t="shared" si="1366"/>
        <v>0</v>
      </c>
      <c r="MV185" s="242">
        <f t="shared" si="1367"/>
        <v>3724</v>
      </c>
      <c r="MW185" s="56"/>
      <c r="MZ185" s="55">
        <f t="shared" si="1368"/>
        <v>46176</v>
      </c>
      <c r="NA185" s="56"/>
      <c r="NB185" s="242">
        <f>SUMPRODUCT(PRODUCE!$B190:$DY190,PRODUCE!$EB$47:$IY$47)</f>
        <v>60</v>
      </c>
      <c r="NC185" s="56"/>
      <c r="ND185" s="242">
        <f t="shared" si="1369"/>
        <v>60</v>
      </c>
      <c r="NE185" s="242">
        <f t="shared" si="1370"/>
        <v>0</v>
      </c>
      <c r="NF185" s="56"/>
      <c r="NI185" s="55">
        <f t="shared" si="1371"/>
        <v>46176</v>
      </c>
      <c r="NJ185" s="56"/>
      <c r="NK185" s="242">
        <f>SUMPRODUCT(PRODUCE!$B190:$DY190,PRODUCE!$EB$48:$IY$48)</f>
        <v>0</v>
      </c>
      <c r="NL185" s="56"/>
      <c r="NM185" s="242">
        <f t="shared" si="1372"/>
        <v>0</v>
      </c>
      <c r="NN185" s="242">
        <f t="shared" si="1373"/>
        <v>1127</v>
      </c>
      <c r="NO185" s="56"/>
      <c r="NR185" s="55">
        <f t="shared" si="1374"/>
        <v>46176</v>
      </c>
      <c r="NS185" s="56"/>
      <c r="NT185" s="242">
        <f>SUMPRODUCT(PRODUCE!$B190:$DY190,PRODUCE!$EB$49:$IY$49)</f>
        <v>0</v>
      </c>
      <c r="NU185" s="56"/>
      <c r="NV185" s="242">
        <f t="shared" si="1375"/>
        <v>0</v>
      </c>
      <c r="NW185" s="242">
        <f t="shared" si="1376"/>
        <v>3111.9999999999995</v>
      </c>
      <c r="NX185" s="56"/>
      <c r="OA185" s="55">
        <f t="shared" si="1377"/>
        <v>46176</v>
      </c>
      <c r="OB185" s="56"/>
      <c r="OC185" s="242">
        <f>SUMPRODUCT(PRODUCE!$B190:$DY190,PRODUCE!$EB$50:$IY$50)</f>
        <v>0</v>
      </c>
      <c r="OD185" s="56"/>
      <c r="OE185" s="242">
        <f t="shared" si="1378"/>
        <v>0</v>
      </c>
      <c r="OF185" s="242">
        <f t="shared" si="1379"/>
        <v>1680.5</v>
      </c>
      <c r="OG185" s="56"/>
      <c r="OJ185" s="55">
        <f t="shared" si="1380"/>
        <v>46176</v>
      </c>
      <c r="OK185" s="56"/>
      <c r="OL185" s="242">
        <f>SUMPRODUCT(PRODUCE!$B190:$DY190,PRODUCE!$EB$51:$IY$51)</f>
        <v>0</v>
      </c>
      <c r="OM185" s="56"/>
      <c r="ON185" s="242">
        <f t="shared" si="1381"/>
        <v>0</v>
      </c>
      <c r="OO185" s="242">
        <f t="shared" si="1382"/>
        <v>0</v>
      </c>
      <c r="OP185" s="56"/>
      <c r="OS185" s="55">
        <f t="shared" si="1383"/>
        <v>46176</v>
      </c>
      <c r="OT185" s="56"/>
      <c r="OU185" s="242">
        <f>SUMPRODUCT(PRODUCE!$B190:$DY190,PRODUCE!$EB$52:$IY$52)</f>
        <v>0</v>
      </c>
      <c r="OV185" s="56"/>
      <c r="OW185" s="242">
        <f t="shared" si="1384"/>
        <v>0</v>
      </c>
      <c r="OX185" s="242">
        <f t="shared" si="1385"/>
        <v>1482</v>
      </c>
      <c r="OY185" s="56"/>
      <c r="PB185" s="55">
        <f t="shared" si="1386"/>
        <v>46176</v>
      </c>
      <c r="PC185" s="56"/>
      <c r="PD185" s="242">
        <f>SUMPRODUCT(PRODUCE!$B190:$DY190,PRODUCE!$EB$53:$IY$53)</f>
        <v>0</v>
      </c>
      <c r="PE185" s="56"/>
      <c r="PF185" s="242">
        <f t="shared" si="1387"/>
        <v>0</v>
      </c>
      <c r="PG185" s="242">
        <f t="shared" si="1388"/>
        <v>0</v>
      </c>
      <c r="PH185" s="56"/>
      <c r="PK185" s="55">
        <f t="shared" si="1389"/>
        <v>46176</v>
      </c>
      <c r="PL185" s="56"/>
      <c r="PM185" s="242">
        <f>SUMPRODUCT(PRODUCE!$B190:$DY190,PRODUCE!$EB$54:$IY$54)</f>
        <v>0</v>
      </c>
      <c r="PN185" s="56"/>
      <c r="PO185" s="242">
        <f t="shared" si="1390"/>
        <v>0</v>
      </c>
      <c r="PP185" s="242">
        <f t="shared" si="1391"/>
        <v>100</v>
      </c>
      <c r="PQ185" s="56"/>
      <c r="PT185" s="55">
        <f t="shared" si="1392"/>
        <v>46176</v>
      </c>
      <c r="PU185" s="56"/>
      <c r="PV185" s="242">
        <f>SUMPRODUCT(PRODUCE!$B190:$DY190,PRODUCE!$EB$55:$IY$55)</f>
        <v>0</v>
      </c>
      <c r="PW185" s="56"/>
      <c r="PX185" s="242">
        <f t="shared" si="1393"/>
        <v>0</v>
      </c>
      <c r="PY185" s="242">
        <f t="shared" si="1394"/>
        <v>13.960000000000036</v>
      </c>
      <c r="PZ185" s="56"/>
      <c r="QC185" s="55">
        <f t="shared" si="1395"/>
        <v>46176</v>
      </c>
      <c r="QD185" s="56"/>
      <c r="QE185" s="242">
        <f>SUMPRODUCT(PRODUCE!$B190:$DY190,PRODUCE!$EB$56:$IY$56)</f>
        <v>0</v>
      </c>
      <c r="QF185" s="56"/>
      <c r="QG185" s="242">
        <f t="shared" si="1396"/>
        <v>0</v>
      </c>
      <c r="QH185" s="242">
        <f t="shared" si="1397"/>
        <v>108</v>
      </c>
      <c r="QI185" s="56"/>
      <c r="QL185" s="55">
        <f t="shared" si="1398"/>
        <v>46176</v>
      </c>
      <c r="QM185" s="56"/>
      <c r="QN185" s="242">
        <f>SUMPRODUCT(PRODUCE!$B190:$DY190,PRODUCE!$EB$57:$IY$57)</f>
        <v>50</v>
      </c>
      <c r="QO185" s="56"/>
      <c r="QP185" s="242">
        <f t="shared" si="1399"/>
        <v>50</v>
      </c>
      <c r="QQ185" s="242">
        <f t="shared" si="1400"/>
        <v>245</v>
      </c>
      <c r="QR185" s="56"/>
      <c r="QU185" s="55">
        <f t="shared" si="1401"/>
        <v>46176</v>
      </c>
      <c r="QV185" s="56"/>
      <c r="QW185" s="242">
        <f>SUMPRODUCT(PRODUCE!$B190:$DY190,PRODUCE!$EB$58:$IY$58)</f>
        <v>0</v>
      </c>
      <c r="QX185" s="56"/>
      <c r="QY185" s="242">
        <f t="shared" si="1402"/>
        <v>0</v>
      </c>
      <c r="QZ185" s="242">
        <f t="shared" si="1403"/>
        <v>207.6</v>
      </c>
      <c r="RA185" s="56"/>
      <c r="RD185" s="55">
        <f t="shared" si="1404"/>
        <v>46176</v>
      </c>
      <c r="RE185" s="56"/>
      <c r="RF185" s="242">
        <f>SUMPRODUCT(PRODUCE!$B190:$DY190,PRODUCE!$EB$59:$IY$59)</f>
        <v>0</v>
      </c>
      <c r="RG185" s="56"/>
      <c r="RH185" s="242">
        <f t="shared" si="1405"/>
        <v>0</v>
      </c>
      <c r="RI185" s="242">
        <f t="shared" si="1406"/>
        <v>147.04000000000002</v>
      </c>
      <c r="RJ185" s="56"/>
      <c r="RM185" s="55">
        <f t="shared" si="1407"/>
        <v>46176</v>
      </c>
      <c r="RN185" s="56"/>
      <c r="RO185" s="242">
        <f>SUMPRODUCT(PRODUCE!$B190:$DY190,PRODUCE!$EB$60:$IY$60)</f>
        <v>0</v>
      </c>
      <c r="RP185" s="56"/>
      <c r="RQ185" s="242">
        <f t="shared" si="1408"/>
        <v>0</v>
      </c>
      <c r="RR185" s="242">
        <f t="shared" si="1409"/>
        <v>46.8</v>
      </c>
      <c r="RS185" s="56"/>
      <c r="RV185" s="55">
        <f t="shared" si="1410"/>
        <v>46176</v>
      </c>
      <c r="RW185" s="56"/>
      <c r="RX185" s="242">
        <f>SUMPRODUCT(PRODUCE!$B190:$DY190,PRODUCE!$EB$61:$IY$61)</f>
        <v>0</v>
      </c>
      <c r="RY185" s="56"/>
      <c r="RZ185" s="242">
        <f t="shared" si="1411"/>
        <v>0</v>
      </c>
      <c r="SA185" s="242">
        <f t="shared" si="1412"/>
        <v>0</v>
      </c>
      <c r="SB185" s="56"/>
      <c r="SE185" s="55">
        <f t="shared" si="1413"/>
        <v>46176</v>
      </c>
      <c r="SF185" s="56"/>
      <c r="SG185" s="242">
        <f>SUMPRODUCT(PRODUCE!$B190:$DY190,PRODUCE!$EB$62:$IY$62)</f>
        <v>0</v>
      </c>
      <c r="SH185" s="56"/>
      <c r="SI185" s="242">
        <f t="shared" si="1414"/>
        <v>0</v>
      </c>
      <c r="SJ185" s="242">
        <f t="shared" si="1415"/>
        <v>24.200000000000003</v>
      </c>
      <c r="SK185" s="56"/>
      <c r="SN185" s="55">
        <f t="shared" si="1416"/>
        <v>46176</v>
      </c>
      <c r="SO185" s="56"/>
      <c r="SP185" s="242">
        <f>SUMPRODUCT(PRODUCE!$B190:$DY190,PRODUCE!$EB$63:$IY$63)</f>
        <v>0</v>
      </c>
      <c r="SQ185" s="56"/>
      <c r="SR185" s="242">
        <f t="shared" si="1417"/>
        <v>0</v>
      </c>
      <c r="SS185" s="242">
        <f t="shared" si="1418"/>
        <v>32</v>
      </c>
      <c r="ST185" s="56"/>
      <c r="SW185" s="55">
        <f t="shared" si="1419"/>
        <v>46176</v>
      </c>
      <c r="SX185" s="56"/>
      <c r="SY185" s="242">
        <f>SUMPRODUCT(PRODUCE!$B190:$DY190,PRODUCE!$EB$64:$IY$64)</f>
        <v>0</v>
      </c>
      <c r="SZ185" s="56"/>
      <c r="TA185" s="242">
        <f t="shared" si="1420"/>
        <v>0</v>
      </c>
      <c r="TB185" s="242">
        <f t="shared" si="1421"/>
        <v>0</v>
      </c>
      <c r="TC185" s="56"/>
      <c r="TF185" s="55">
        <f t="shared" si="1422"/>
        <v>46176</v>
      </c>
      <c r="TG185" s="56"/>
      <c r="TH185" s="242">
        <f>SUMPRODUCT(PRODUCE!$B190:$DY190,PRODUCE!$EB$65:$IY$65)</f>
        <v>0</v>
      </c>
      <c r="TI185" s="56"/>
      <c r="TJ185" s="242">
        <f t="shared" si="1423"/>
        <v>0</v>
      </c>
      <c r="TK185" s="242">
        <f t="shared" si="1424"/>
        <v>0</v>
      </c>
      <c r="TL185" s="56"/>
      <c r="TO185" s="55">
        <f t="shared" si="1425"/>
        <v>46176</v>
      </c>
      <c r="TP185" s="56"/>
      <c r="TQ185" s="242">
        <f>SUMPRODUCT(PRODUCE!$B190:$DY190,PRODUCE!$EB$66:$IY$66)</f>
        <v>0</v>
      </c>
      <c r="TR185" s="56"/>
      <c r="TS185" s="242">
        <f t="shared" si="1426"/>
        <v>0</v>
      </c>
      <c r="TT185" s="242">
        <f t="shared" si="1427"/>
        <v>0</v>
      </c>
      <c r="TU185" s="56"/>
      <c r="TX185" s="55">
        <f t="shared" si="1428"/>
        <v>46176</v>
      </c>
      <c r="TY185" s="56"/>
      <c r="TZ185" s="242">
        <f>SUMPRODUCT(PRODUCE!$B190:$DY190,PRODUCE!$EB$67:$IY$67)</f>
        <v>0</v>
      </c>
      <c r="UA185" s="56"/>
      <c r="UB185" s="242">
        <f t="shared" si="1429"/>
        <v>0</v>
      </c>
      <c r="UC185" s="242">
        <f t="shared" si="1430"/>
        <v>135.6</v>
      </c>
      <c r="UD185" s="56"/>
      <c r="UG185" s="55">
        <f t="shared" si="1431"/>
        <v>46176</v>
      </c>
      <c r="UH185" s="56"/>
      <c r="UI185" s="242">
        <f>SUMPRODUCT(PRODUCE!$B190:$DY190,PRODUCE!$EB$68:$IY$68)</f>
        <v>0</v>
      </c>
      <c r="UJ185" s="56"/>
      <c r="UK185" s="242">
        <f t="shared" si="1432"/>
        <v>0</v>
      </c>
      <c r="UL185" s="242">
        <f t="shared" si="1433"/>
        <v>128</v>
      </c>
      <c r="UM185" s="56"/>
      <c r="UP185" s="55">
        <f t="shared" si="1434"/>
        <v>46176</v>
      </c>
      <c r="UQ185" s="56"/>
      <c r="UR185" s="242">
        <f>SUMPRODUCT(PRODUCE!$B190:$DY190,PRODUCE!$EB$69:$IY$69)</f>
        <v>0</v>
      </c>
      <c r="US185" s="56"/>
      <c r="UT185" s="242">
        <f t="shared" si="1435"/>
        <v>0</v>
      </c>
      <c r="UU185" s="242">
        <f t="shared" si="1436"/>
        <v>11.25</v>
      </c>
      <c r="UV185" s="56"/>
      <c r="UY185" s="55">
        <f t="shared" si="1437"/>
        <v>46176</v>
      </c>
      <c r="UZ185" s="56"/>
      <c r="VA185" s="242">
        <f>SUMPRODUCT(PRODUCE!$B190:$DY190,PRODUCE!$EB$70:$IY$70)</f>
        <v>0</v>
      </c>
      <c r="VB185" s="56"/>
      <c r="VC185" s="242">
        <f t="shared" si="1438"/>
        <v>0</v>
      </c>
      <c r="VD185" s="242">
        <f t="shared" si="1439"/>
        <v>41.600000000000023</v>
      </c>
      <c r="VE185" s="56"/>
      <c r="VH185" s="55">
        <f t="shared" si="1440"/>
        <v>46176</v>
      </c>
      <c r="VI185" s="56"/>
      <c r="VJ185" s="242">
        <f>SUMPRODUCT(PRODUCE!$B190:$DY190,PRODUCE!$EB$71:$IY$71)</f>
        <v>0</v>
      </c>
      <c r="VK185" s="56"/>
      <c r="VL185" s="242">
        <f t="shared" si="1441"/>
        <v>0</v>
      </c>
      <c r="VM185" s="242">
        <f t="shared" si="1442"/>
        <v>0</v>
      </c>
      <c r="VN185" s="56"/>
      <c r="VQ185" s="55">
        <f t="shared" si="1443"/>
        <v>46176</v>
      </c>
      <c r="VR185" s="56"/>
      <c r="VS185" s="242">
        <f>SUMPRODUCT(PRODUCE!$B190:$DY190,PRODUCE!$EB$57:$IY$57)</f>
        <v>50</v>
      </c>
      <c r="VT185" s="56"/>
      <c r="VU185" s="242">
        <f t="shared" si="1444"/>
        <v>50</v>
      </c>
      <c r="VV185" s="242">
        <f t="shared" si="1445"/>
        <v>0</v>
      </c>
      <c r="VW185" s="56"/>
      <c r="VZ185" s="55">
        <f t="shared" si="1446"/>
        <v>46176</v>
      </c>
      <c r="WA185" s="56"/>
      <c r="WB185" s="242">
        <f>SUMPRODUCT(PRODUCE!$B190:$DY190,PRODUCE!$EB$57:$IY$57)</f>
        <v>50</v>
      </c>
      <c r="WC185" s="56"/>
      <c r="WD185" s="242">
        <f t="shared" si="1447"/>
        <v>50</v>
      </c>
      <c r="WE185" s="242">
        <f t="shared" si="1448"/>
        <v>0</v>
      </c>
      <c r="WF185" s="56"/>
      <c r="WI185" s="55">
        <f t="shared" si="1449"/>
        <v>46176</v>
      </c>
      <c r="WJ185" s="422"/>
      <c r="WK185" s="540">
        <f>SUMPRODUCT(PRODUCE!$B190:$DY190,PRODUCE!$EB$74:$IY$74)</f>
        <v>0</v>
      </c>
      <c r="WL185" s="422"/>
      <c r="WM185" s="540">
        <f t="shared" si="1450"/>
        <v>0</v>
      </c>
      <c r="WN185" s="540">
        <f t="shared" si="1451"/>
        <v>1199</v>
      </c>
      <c r="WO185" s="56"/>
      <c r="WR185" s="55">
        <f t="shared" si="1452"/>
        <v>46176</v>
      </c>
      <c r="WS185" s="422"/>
      <c r="WT185" s="540">
        <f>SUMPRODUCT(PRODUCE!$B190:$DY190,PRODUCE!$EB$75:$IY$75)</f>
        <v>0</v>
      </c>
      <c r="WU185" s="422"/>
      <c r="WV185" s="540">
        <f t="shared" si="1453"/>
        <v>0</v>
      </c>
      <c r="WW185" s="540">
        <f t="shared" si="1454"/>
        <v>0</v>
      </c>
      <c r="WX185" s="56"/>
      <c r="XA185" s="55">
        <f t="shared" si="1455"/>
        <v>46176</v>
      </c>
      <c r="XB185" s="422"/>
      <c r="XC185" s="540">
        <f>SUMPRODUCT(PRODUCE!$B190:$DY190,PRODUCE!$EB$76:$IY$76)</f>
        <v>0</v>
      </c>
      <c r="XD185" s="422"/>
      <c r="XE185" s="540">
        <f t="shared" si="1456"/>
        <v>0</v>
      </c>
      <c r="XF185" s="540">
        <f t="shared" si="1457"/>
        <v>6813</v>
      </c>
      <c r="XG185" s="56"/>
      <c r="XJ185" s="55">
        <f t="shared" si="1458"/>
        <v>46176</v>
      </c>
      <c r="XK185" s="422"/>
      <c r="XL185" s="540">
        <f>SUMPRODUCT(PRODUCE!$B190:$DY190,PRODUCE!$EB$77:$IY$77)</f>
        <v>0</v>
      </c>
      <c r="XM185" s="422"/>
      <c r="XN185" s="540">
        <f t="shared" si="1459"/>
        <v>0</v>
      </c>
      <c r="XO185" s="540">
        <f t="shared" si="1460"/>
        <v>7824</v>
      </c>
      <c r="XP185" s="56"/>
      <c r="XS185" s="55">
        <f t="shared" si="1461"/>
        <v>46176</v>
      </c>
      <c r="XT185" s="56"/>
      <c r="XU185" s="242">
        <f>SUMPRODUCT(PRODUCE!$B190:$DY190,PRODUCE!$EB$78:$IY$78)</f>
        <v>0</v>
      </c>
      <c r="XV185" s="56"/>
      <c r="XW185" s="242">
        <f t="shared" si="1462"/>
        <v>0</v>
      </c>
      <c r="XX185" s="242">
        <f t="shared" si="1463"/>
        <v>1621</v>
      </c>
      <c r="XY185" s="56"/>
      <c r="YB185" s="55">
        <f t="shared" si="1464"/>
        <v>46176</v>
      </c>
      <c r="YC185" s="56"/>
      <c r="YD185" s="242">
        <f>SUMPRODUCT(PRODUCE!$B190:$DY190,PRODUCE!$EB$79:$IY$79)</f>
        <v>0</v>
      </c>
      <c r="YE185" s="56">
        <v>318</v>
      </c>
      <c r="YF185" s="242">
        <f t="shared" si="1465"/>
        <v>-318</v>
      </c>
      <c r="YG185" s="242">
        <f t="shared" si="1466"/>
        <v>5875</v>
      </c>
      <c r="YH185" s="56"/>
      <c r="YK185" s="55">
        <f t="shared" si="1467"/>
        <v>46176</v>
      </c>
      <c r="YL185" s="56"/>
      <c r="YM185" s="242">
        <f>SUMPRODUCT(PRODUCE!$B190:$DY190,PRODUCE!$EB$80:$IY$80)</f>
        <v>0</v>
      </c>
      <c r="YN185" s="56"/>
      <c r="YO185" s="242">
        <f t="shared" si="1468"/>
        <v>0</v>
      </c>
      <c r="YP185" s="242">
        <f t="shared" si="1469"/>
        <v>0</v>
      </c>
      <c r="YQ185" s="56"/>
      <c r="YT185" s="55">
        <f t="shared" si="1470"/>
        <v>46176</v>
      </c>
      <c r="YU185" s="56"/>
      <c r="YV185" s="242">
        <f>SUMPRODUCT(PRODUCE!$B190:$DY190,PRODUCE!$EB$57:$IY$57)</f>
        <v>50</v>
      </c>
      <c r="YW185" s="56"/>
      <c r="YX185" s="242">
        <f t="shared" si="1471"/>
        <v>50</v>
      </c>
      <c r="YY185" s="242">
        <f t="shared" si="1472"/>
        <v>0</v>
      </c>
      <c r="YZ185" s="56"/>
      <c r="ZC185" s="55">
        <f t="shared" si="1473"/>
        <v>46176</v>
      </c>
      <c r="ZD185" s="56"/>
      <c r="ZE185" s="242">
        <f>SUMPRODUCT(PRODUCE!$B190:$DY190,PRODUCE!$EB$57:$IY$57)</f>
        <v>50</v>
      </c>
      <c r="ZF185" s="56"/>
      <c r="ZG185" s="242">
        <f t="shared" si="1474"/>
        <v>50</v>
      </c>
      <c r="ZH185" s="242">
        <f t="shared" si="1475"/>
        <v>0</v>
      </c>
      <c r="ZI185" s="56"/>
      <c r="ZL185" s="55">
        <f t="shared" si="1476"/>
        <v>46176</v>
      </c>
      <c r="ZM185" s="56"/>
      <c r="ZN185" s="242">
        <f>SUMPRODUCT(PRODUCE!$B190:$DY190,PRODUCE!$EB$57:$IY$57)</f>
        <v>50</v>
      </c>
      <c r="ZO185" s="56"/>
      <c r="ZP185" s="242">
        <f t="shared" si="1477"/>
        <v>50</v>
      </c>
      <c r="ZQ185" s="242">
        <f t="shared" si="1478"/>
        <v>0</v>
      </c>
      <c r="ZR185" s="56"/>
      <c r="ZU185" s="55">
        <f t="shared" si="1479"/>
        <v>46176</v>
      </c>
      <c r="ZV185" s="56"/>
      <c r="ZW185" s="242">
        <f>SUMPRODUCT(PRODUCE!$B190:$DY190,PRODUCE!$EB$57:$IY$57)</f>
        <v>50</v>
      </c>
      <c r="ZX185" s="56"/>
      <c r="ZY185" s="242">
        <f t="shared" si="1480"/>
        <v>50</v>
      </c>
      <c r="ZZ185" s="242">
        <f t="shared" si="1481"/>
        <v>0</v>
      </c>
      <c r="AAA185" s="56"/>
      <c r="AAD185" s="55">
        <f t="shared" si="1482"/>
        <v>46176</v>
      </c>
      <c r="AAE185" s="56"/>
      <c r="AAF185" s="242">
        <f>SUMPRODUCT(PRODUCE!$B190:$DY190,PRODUCE!$EB$57:$IY$57)</f>
        <v>50</v>
      </c>
      <c r="AAG185" s="56"/>
      <c r="AAH185" s="242">
        <f t="shared" si="1483"/>
        <v>50</v>
      </c>
      <c r="AAI185" s="242">
        <f t="shared" si="1484"/>
        <v>0</v>
      </c>
      <c r="AAJ185" s="56"/>
      <c r="AAM185" s="55">
        <f t="shared" si="1485"/>
        <v>46176</v>
      </c>
      <c r="AAN185" s="56"/>
      <c r="AAO185" s="242">
        <f>SUMPRODUCT(PRODUCE!$B190:$DY190,PRODUCE!$EB$57:$IY$57)</f>
        <v>50</v>
      </c>
      <c r="AAP185" s="56"/>
      <c r="AAQ185" s="242">
        <f t="shared" si="1486"/>
        <v>50</v>
      </c>
      <c r="AAR185" s="242">
        <f t="shared" si="1487"/>
        <v>0</v>
      </c>
      <c r="AAS185" s="56"/>
      <c r="AAV185" s="55">
        <f t="shared" si="1488"/>
        <v>46176</v>
      </c>
      <c r="AAW185" s="56"/>
      <c r="AAX185" s="242">
        <f>SUMPRODUCT(PRODUCE!$B190:$DY190,PRODUCE!$EB$57:$IY$57)</f>
        <v>50</v>
      </c>
      <c r="AAY185" s="56"/>
      <c r="AAZ185" s="242">
        <f t="shared" si="1489"/>
        <v>50</v>
      </c>
      <c r="ABA185" s="242">
        <f t="shared" si="1490"/>
        <v>0</v>
      </c>
      <c r="ABB185" s="56"/>
      <c r="ABE185" s="55">
        <f t="shared" si="1491"/>
        <v>46176</v>
      </c>
      <c r="ABF185" s="56"/>
      <c r="ABG185" s="242">
        <f>SUMPRODUCT(PRODUCE!$B190:$DY190,PRODUCE!$EB$57:$IY$57)</f>
        <v>50</v>
      </c>
      <c r="ABH185" s="56"/>
      <c r="ABI185" s="242">
        <f t="shared" si="1492"/>
        <v>50</v>
      </c>
      <c r="ABJ185" s="242">
        <f t="shared" si="1493"/>
        <v>0</v>
      </c>
      <c r="ABK185" s="56"/>
    </row>
    <row r="186" spans="1:739" s="54" customFormat="1" ht="15" customHeight="1" outlineLevel="1">
      <c r="B186" s="478">
        <f>20+30+40</f>
        <v>90</v>
      </c>
      <c r="C186" s="55">
        <v>46177</v>
      </c>
      <c r="D186" s="422">
        <v>25370</v>
      </c>
      <c r="E186" s="423">
        <f>SUMPRODUCT(PRODUCE!$B191:$DY191,PRODUCE!$EB$7:$IY$7)</f>
        <v>48894.549999999996</v>
      </c>
      <c r="F186" s="422">
        <v>48895.4</v>
      </c>
      <c r="G186" s="423">
        <f t="shared" si="1249"/>
        <v>-0.85000000000582077</v>
      </c>
      <c r="H186" s="423">
        <f t="shared" si="1250"/>
        <v>200736.40000000008</v>
      </c>
      <c r="I186" s="289" t="s">
        <v>281</v>
      </c>
      <c r="L186" s="55">
        <f t="shared" si="1251"/>
        <v>46177</v>
      </c>
      <c r="M186" s="422"/>
      <c r="N186" s="438">
        <f>SUMPRODUCT(PRODUCE!$B191:$DY191,PRODUCE!$EB$8:$IY$8)</f>
        <v>28333.950000000004</v>
      </c>
      <c r="O186" s="422">
        <v>28335</v>
      </c>
      <c r="P186" s="438">
        <f t="shared" si="1252"/>
        <v>-1.0499999999956344</v>
      </c>
      <c r="Q186" s="438">
        <f t="shared" si="1253"/>
        <v>66204.20000000007</v>
      </c>
      <c r="R186" s="56"/>
      <c r="U186" s="55">
        <f t="shared" si="1254"/>
        <v>46177</v>
      </c>
      <c r="V186" s="422"/>
      <c r="W186" s="440">
        <f>SUMPRODUCT(PRODUCE!$B191:$DY191,PRODUCE!$EB$9:$IY$9)</f>
        <v>4800</v>
      </c>
      <c r="X186" s="422">
        <v>4801</v>
      </c>
      <c r="Y186" s="440">
        <f t="shared" si="1255"/>
        <v>-1</v>
      </c>
      <c r="Z186" s="440">
        <f t="shared" si="1256"/>
        <v>38083.899999999972</v>
      </c>
      <c r="AA186" s="56"/>
      <c r="AD186" s="55">
        <f t="shared" si="1257"/>
        <v>46177</v>
      </c>
      <c r="AE186" s="422"/>
      <c r="AF186" s="442">
        <f>SUMPRODUCT(PRODUCE!$B191:$DY191,PRODUCE!$EB$10:$IY$10)</f>
        <v>0</v>
      </c>
      <c r="AG186" s="422"/>
      <c r="AH186" s="442">
        <f t="shared" si="1258"/>
        <v>0</v>
      </c>
      <c r="AI186" s="442">
        <f t="shared" si="1259"/>
        <v>12193.400000000018</v>
      </c>
      <c r="AJ186" s="56"/>
      <c r="AM186" s="55">
        <f t="shared" si="1260"/>
        <v>46177</v>
      </c>
      <c r="AN186" s="422"/>
      <c r="AO186" s="444">
        <f>SUMPRODUCT(PRODUCE!$B191:$DY191,PRODUCE!$EB$11:$IY$11)</f>
        <v>0</v>
      </c>
      <c r="AP186" s="422"/>
      <c r="AQ186" s="444">
        <f t="shared" si="1261"/>
        <v>0</v>
      </c>
      <c r="AR186" s="444">
        <f t="shared" si="1262"/>
        <v>0</v>
      </c>
      <c r="AS186" s="56"/>
      <c r="AV186" s="55">
        <f t="shared" si="1263"/>
        <v>46177</v>
      </c>
      <c r="AW186" s="422"/>
      <c r="AX186" s="446">
        <f>SUMPRODUCT(PRODUCE!$B191:$DY191,PRODUCE!$EB$12:$IY$12)</f>
        <v>0</v>
      </c>
      <c r="AY186" s="422"/>
      <c r="AZ186" s="446">
        <f t="shared" si="1264"/>
        <v>0</v>
      </c>
      <c r="BA186" s="446">
        <f t="shared" si="1265"/>
        <v>18566.699999999997</v>
      </c>
      <c r="BB186" s="56"/>
      <c r="BE186" s="55">
        <f t="shared" si="1266"/>
        <v>46177</v>
      </c>
      <c r="BF186" s="422"/>
      <c r="BG186" s="448">
        <f>SUMPRODUCT(PRODUCE!$B191:$DY191,PRODUCE!$EB$13:$IY$13)</f>
        <v>780</v>
      </c>
      <c r="BH186" s="422">
        <v>779.2</v>
      </c>
      <c r="BI186" s="448">
        <f t="shared" si="1267"/>
        <v>0.79999999999995453</v>
      </c>
      <c r="BJ186" s="448">
        <f t="shared" si="1268"/>
        <v>32681.499999999996</v>
      </c>
      <c r="BK186" s="56"/>
      <c r="BN186" s="55">
        <f t="shared" si="1269"/>
        <v>46177</v>
      </c>
      <c r="BO186" s="422">
        <v>1090.3</v>
      </c>
      <c r="BP186" s="450">
        <f>SUMPRODUCT(PRODUCE!$B191:$DY191,PRODUCE!$EB$14:$IY$14)</f>
        <v>1090</v>
      </c>
      <c r="BQ186" s="422">
        <v>1090.3</v>
      </c>
      <c r="BR186" s="450">
        <f t="shared" si="1270"/>
        <v>-0.29999999999995453</v>
      </c>
      <c r="BS186" s="450">
        <f t="shared" si="1271"/>
        <v>0</v>
      </c>
      <c r="BT186" s="56"/>
      <c r="BW186" s="55">
        <f t="shared" si="1272"/>
        <v>46177</v>
      </c>
      <c r="BX186" s="422"/>
      <c r="BY186" s="523">
        <f>SUMPRODUCT(PRODUCE!$B191:$DY191,PRODUCE!$EB$15:$IY$15)</f>
        <v>456.15</v>
      </c>
      <c r="BZ186" s="422">
        <v>235.5</v>
      </c>
      <c r="CA186" s="523">
        <f t="shared" si="1273"/>
        <v>220.64999999999998</v>
      </c>
      <c r="CB186" s="523">
        <f t="shared" si="1274"/>
        <v>4847.6299999999992</v>
      </c>
      <c r="CC186" s="56"/>
      <c r="CF186" s="55">
        <f t="shared" si="1275"/>
        <v>46177</v>
      </c>
      <c r="CG186" s="422">
        <v>249.4</v>
      </c>
      <c r="CH186" s="524">
        <f>SUMPRODUCT(PRODUCE!$B191:$DY191,PRODUCE!$EB$16:$IY$16)</f>
        <v>256.8</v>
      </c>
      <c r="CI186" s="422">
        <v>249.4</v>
      </c>
      <c r="CJ186" s="524">
        <f t="shared" si="1276"/>
        <v>7.4000000000000057</v>
      </c>
      <c r="CK186" s="524">
        <f t="shared" si="1277"/>
        <v>0</v>
      </c>
      <c r="CL186" s="56"/>
      <c r="CO186" s="55">
        <f t="shared" si="1278"/>
        <v>46177</v>
      </c>
      <c r="CP186" s="422"/>
      <c r="CQ186" s="470">
        <f>SUMPRODUCT(PRODUCE!$B191:$DY191,PRODUCE!$EB$17:$IY$17)</f>
        <v>0</v>
      </c>
      <c r="CR186" s="422"/>
      <c r="CS186" s="470">
        <f t="shared" si="1279"/>
        <v>0</v>
      </c>
      <c r="CT186" s="470">
        <f t="shared" si="1280"/>
        <v>0</v>
      </c>
      <c r="CU186" s="56"/>
      <c r="CX186" s="55">
        <f t="shared" si="1281"/>
        <v>46177</v>
      </c>
      <c r="CY186" s="422"/>
      <c r="CZ186" s="525">
        <f>SUMPRODUCT(PRODUCE!$B191:$DY191,PRODUCE!$EB$18:$IY$18)</f>
        <v>1000</v>
      </c>
      <c r="DA186" s="422">
        <v>1002.4</v>
      </c>
      <c r="DB186" s="525">
        <f t="shared" si="1282"/>
        <v>-2.3999999999999773</v>
      </c>
      <c r="DC186" s="525">
        <f t="shared" si="1283"/>
        <v>18621.500000000004</v>
      </c>
      <c r="DD186" s="56"/>
      <c r="DG186" s="55">
        <f t="shared" si="1284"/>
        <v>46177</v>
      </c>
      <c r="DH186" s="422"/>
      <c r="DI186" s="526">
        <f>SUMPRODUCT(PRODUCE!$B191:$DY191,PRODUCE!$EB$19:$IY$19)</f>
        <v>0</v>
      </c>
      <c r="DJ186" s="422"/>
      <c r="DK186" s="526">
        <f t="shared" si="1285"/>
        <v>0</v>
      </c>
      <c r="DL186" s="526">
        <f t="shared" si="1286"/>
        <v>35234.999999999985</v>
      </c>
      <c r="DM186" s="56"/>
      <c r="DP186" s="55">
        <f t="shared" si="1287"/>
        <v>46177</v>
      </c>
      <c r="DQ186" s="56"/>
      <c r="DR186" s="57">
        <f>SUMPRODUCT(PRODUCE!$B191:$DY191,PRODUCE!$EB$20:$IY$20)</f>
        <v>0</v>
      </c>
      <c r="DS186" s="56"/>
      <c r="DT186" s="57">
        <f t="shared" si="1288"/>
        <v>0</v>
      </c>
      <c r="DU186" s="57">
        <f t="shared" si="1289"/>
        <v>5800</v>
      </c>
      <c r="DV186" s="56"/>
      <c r="DY186" s="55">
        <f t="shared" si="1290"/>
        <v>46177</v>
      </c>
      <c r="DZ186" s="56"/>
      <c r="EA186" s="157">
        <f>SUMPRODUCT(PRODUCE!$B191:$DY191,PRODUCE!$EB$21:$IY$21)</f>
        <v>0</v>
      </c>
      <c r="EB186" s="56"/>
      <c r="EC186" s="157">
        <f t="shared" si="1291"/>
        <v>0</v>
      </c>
      <c r="ED186" s="157">
        <f t="shared" si="1292"/>
        <v>0</v>
      </c>
      <c r="EE186" s="56"/>
      <c r="EH186" s="55">
        <f t="shared" si="1293"/>
        <v>46177</v>
      </c>
      <c r="EI186" s="56"/>
      <c r="EJ186" s="162">
        <f>SUMPRODUCT(PRODUCE!$B191:$DY191,PRODUCE!$EB$22:$IY$22)</f>
        <v>0</v>
      </c>
      <c r="EK186" s="56"/>
      <c r="EL186" s="162">
        <f t="shared" si="1294"/>
        <v>0</v>
      </c>
      <c r="EM186" s="162">
        <f t="shared" si="1295"/>
        <v>0</v>
      </c>
      <c r="EN186" s="56"/>
      <c r="EQ186" s="55">
        <f t="shared" si="1296"/>
        <v>46177</v>
      </c>
      <c r="ER186" s="56"/>
      <c r="ES186" s="135">
        <f>SUMPRODUCT(PRODUCE!$B191:$DY191,PRODUCE!$EB$23:$IY$23)</f>
        <v>0</v>
      </c>
      <c r="ET186" s="56"/>
      <c r="EU186" s="135">
        <f t="shared" si="1297"/>
        <v>0</v>
      </c>
      <c r="EV186" s="135">
        <f t="shared" si="1298"/>
        <v>0</v>
      </c>
      <c r="EW186" s="56"/>
      <c r="EZ186" s="55">
        <f t="shared" si="1299"/>
        <v>46177</v>
      </c>
      <c r="FA186" s="56"/>
      <c r="FB186" s="175">
        <f>SUMPRODUCT(PRODUCE!$B191:$DY191,PRODUCE!$EB$24:$IY$24)</f>
        <v>0</v>
      </c>
      <c r="FC186" s="56"/>
      <c r="FD186" s="175">
        <f t="shared" si="1300"/>
        <v>0</v>
      </c>
      <c r="FE186" s="175">
        <f t="shared" si="1301"/>
        <v>0</v>
      </c>
      <c r="FF186" s="56"/>
      <c r="FI186" s="55">
        <f t="shared" si="1302"/>
        <v>46177</v>
      </c>
      <c r="FJ186" s="56"/>
      <c r="FK186" s="183">
        <f>SUMPRODUCT(PRODUCE!$B191:$DY191,PRODUCE!$EB$25:$IY$25)</f>
        <v>0</v>
      </c>
      <c r="FL186" s="56"/>
      <c r="FM186" s="183">
        <f t="shared" si="1303"/>
        <v>0</v>
      </c>
      <c r="FN186" s="183">
        <f t="shared" si="1304"/>
        <v>0</v>
      </c>
      <c r="FO186" s="56"/>
      <c r="FR186" s="55">
        <f t="shared" si="1305"/>
        <v>46177</v>
      </c>
      <c r="FS186" s="56"/>
      <c r="FT186" s="186">
        <f>SUMPRODUCT(PRODUCE!$B191:$DY191,PRODUCE!$EB$26:$IY$26)</f>
        <v>0</v>
      </c>
      <c r="FU186" s="56"/>
      <c r="FV186" s="186">
        <f t="shared" si="1306"/>
        <v>0</v>
      </c>
      <c r="FW186" s="186">
        <f t="shared" si="1307"/>
        <v>4140</v>
      </c>
      <c r="FX186" s="56"/>
      <c r="GA186" s="55">
        <f t="shared" si="1308"/>
        <v>46177</v>
      </c>
      <c r="GB186" s="56"/>
      <c r="GC186" s="137">
        <f>SUMPRODUCT(PRODUCE!$B191:$DY191,PRODUCE!$EB$27:$IY$27)</f>
        <v>0</v>
      </c>
      <c r="GD186" s="56"/>
      <c r="GE186" s="137">
        <f t="shared" si="1309"/>
        <v>0</v>
      </c>
      <c r="GF186" s="137">
        <f t="shared" si="1310"/>
        <v>5040</v>
      </c>
      <c r="GG186" s="56"/>
      <c r="GI186" s="23"/>
      <c r="GJ186" s="55">
        <f t="shared" si="1311"/>
        <v>46177</v>
      </c>
      <c r="GK186" s="56"/>
      <c r="GL186" s="199">
        <f>SUMPRODUCT(PRODUCE!$B191:$DY191,PRODUCE!$EB$28:$IY$28)</f>
        <v>0</v>
      </c>
      <c r="GM186" s="56"/>
      <c r="GN186" s="199">
        <f t="shared" si="1312"/>
        <v>0</v>
      </c>
      <c r="GO186" s="199">
        <f t="shared" si="1313"/>
        <v>1760</v>
      </c>
      <c r="GP186" s="56"/>
      <c r="GS186" s="55">
        <f t="shared" si="1314"/>
        <v>46177</v>
      </c>
      <c r="GT186" s="56"/>
      <c r="GU186" s="195">
        <f>SUMPRODUCT(PRODUCE!$B191:$DY191,PRODUCE!$EB$29:$IY$29)</f>
        <v>0</v>
      </c>
      <c r="GV186" s="56"/>
      <c r="GW186" s="195">
        <f t="shared" si="1315"/>
        <v>0</v>
      </c>
      <c r="GX186" s="195">
        <f t="shared" si="1316"/>
        <v>600</v>
      </c>
      <c r="GY186" s="56"/>
      <c r="HB186" s="55">
        <f t="shared" si="1317"/>
        <v>46177</v>
      </c>
      <c r="HC186" s="56"/>
      <c r="HD186" s="191">
        <f>SUMPRODUCT(PRODUCE!$B191:$DY191,PRODUCE!$EB$30:$IY$30)</f>
        <v>0</v>
      </c>
      <c r="HE186" s="56"/>
      <c r="HF186" s="191">
        <f t="shared" si="1318"/>
        <v>0</v>
      </c>
      <c r="HG186" s="191">
        <f t="shared" si="1319"/>
        <v>3600</v>
      </c>
      <c r="HH186" s="56"/>
      <c r="HK186" s="55">
        <f t="shared" si="1320"/>
        <v>46177</v>
      </c>
      <c r="HL186" s="56"/>
      <c r="HM186" s="63">
        <f>SUMPRODUCT(PRODUCE!$B191:$DY191,PRODUCE!$EB$31:$IY$31)</f>
        <v>0</v>
      </c>
      <c r="HN186" s="56"/>
      <c r="HO186" s="63">
        <f t="shared" si="1321"/>
        <v>0</v>
      </c>
      <c r="HP186" s="63">
        <f t="shared" si="1322"/>
        <v>0</v>
      </c>
      <c r="HQ186" s="56"/>
      <c r="HU186" s="55">
        <f t="shared" si="1323"/>
        <v>46177</v>
      </c>
      <c r="HV186" s="56"/>
      <c r="HW186" s="242">
        <f>SUMPRODUCT(PRODUCE!$B191:$DY191,PRODUCE!$EB$32:$IY$32)</f>
        <v>0</v>
      </c>
      <c r="HX186" s="56"/>
      <c r="HY186" s="242">
        <f t="shared" si="1324"/>
        <v>0</v>
      </c>
      <c r="HZ186" s="242">
        <f t="shared" si="1325"/>
        <v>6800</v>
      </c>
      <c r="IA186" s="56"/>
      <c r="ID186" s="55">
        <f t="shared" si="1326"/>
        <v>46177</v>
      </c>
      <c r="IE186" s="56"/>
      <c r="IF186" s="242">
        <f>SUMPRODUCT(PRODUCE!$B191:$DY191,PRODUCE!$EB$33:$IY$33)</f>
        <v>0</v>
      </c>
      <c r="IG186" s="56"/>
      <c r="IH186" s="242">
        <f t="shared" si="1327"/>
        <v>0</v>
      </c>
      <c r="II186" s="242">
        <f t="shared" si="1328"/>
        <v>720</v>
      </c>
      <c r="IJ186" s="56"/>
      <c r="IM186" s="55">
        <f t="shared" si="1329"/>
        <v>46177</v>
      </c>
      <c r="IN186" s="56"/>
      <c r="IO186" s="242">
        <f>SUMPRODUCT(PRODUCE!$B191:$DY191,PRODUCE!$EB$34:$IY$34)</f>
        <v>0</v>
      </c>
      <c r="IP186" s="56"/>
      <c r="IQ186" s="242">
        <f t="shared" si="1330"/>
        <v>0</v>
      </c>
      <c r="IR186" s="242">
        <f t="shared" si="1331"/>
        <v>8140</v>
      </c>
      <c r="IS186" s="56"/>
      <c r="IV186" s="55">
        <f t="shared" si="1332"/>
        <v>46177</v>
      </c>
      <c r="IW186" s="56"/>
      <c r="IX186" s="242">
        <f>SUMPRODUCT(PRODUCE!$B191:$DY191,PRODUCE!$EB$35:$IY$35)</f>
        <v>0</v>
      </c>
      <c r="IY186" s="56"/>
      <c r="IZ186" s="242">
        <f t="shared" si="1333"/>
        <v>0</v>
      </c>
      <c r="JA186" s="242">
        <f t="shared" si="1334"/>
        <v>4960</v>
      </c>
      <c r="JB186" s="56"/>
      <c r="JE186" s="55">
        <f t="shared" si="1335"/>
        <v>46177</v>
      </c>
      <c r="JF186" s="56"/>
      <c r="JG186" s="242">
        <f>SUMPRODUCT(PRODUCE!$B191:$DY191,PRODUCE!$EB$36:$IY$36)</f>
        <v>0</v>
      </c>
      <c r="JH186" s="56"/>
      <c r="JI186" s="242">
        <f t="shared" si="1336"/>
        <v>0</v>
      </c>
      <c r="JJ186" s="242">
        <f t="shared" si="1337"/>
        <v>0</v>
      </c>
      <c r="JK186" s="56"/>
      <c r="JN186" s="55">
        <f t="shared" si="1338"/>
        <v>46177</v>
      </c>
      <c r="JO186" s="56"/>
      <c r="JP186" s="242">
        <f>SUMPRODUCT(PRODUCE!$B191:$DY191,PRODUCE!$EB$37:$IY$37)</f>
        <v>800</v>
      </c>
      <c r="JQ186" s="56"/>
      <c r="JR186" s="242">
        <f t="shared" si="1339"/>
        <v>800</v>
      </c>
      <c r="JS186" s="242">
        <f t="shared" si="1340"/>
        <v>3340</v>
      </c>
      <c r="JT186" s="56"/>
      <c r="JW186" s="55">
        <f t="shared" si="1341"/>
        <v>46177</v>
      </c>
      <c r="JX186" s="56"/>
      <c r="JY186" s="242">
        <f>SUMPRODUCT(PRODUCE!$B191:$DY191,PRODUCE!$EB$38:$IY$38)</f>
        <v>0</v>
      </c>
      <c r="JZ186" s="56"/>
      <c r="KA186" s="242">
        <f t="shared" si="1342"/>
        <v>0</v>
      </c>
      <c r="KB186" s="242">
        <f t="shared" si="1343"/>
        <v>2540</v>
      </c>
      <c r="KC186" s="56"/>
      <c r="KF186" s="55">
        <f t="shared" si="1344"/>
        <v>46177</v>
      </c>
      <c r="KG186" s="56"/>
      <c r="KH186" s="242">
        <f>SUMPRODUCT(PRODUCE!$B191:$DY191,PRODUCE!$EB$39:$IY$39)</f>
        <v>0</v>
      </c>
      <c r="KI186" s="56"/>
      <c r="KJ186" s="242">
        <f t="shared" si="1345"/>
        <v>0</v>
      </c>
      <c r="KK186" s="242">
        <f t="shared" si="1346"/>
        <v>2359.5</v>
      </c>
      <c r="KL186" s="56"/>
      <c r="KO186" s="55">
        <f t="shared" si="1347"/>
        <v>46177</v>
      </c>
      <c r="KP186" s="56"/>
      <c r="KQ186" s="242">
        <f>SUMPRODUCT(PRODUCE!$B191:$DY191,PRODUCE!$EB$40:$IY$40)</f>
        <v>0</v>
      </c>
      <c r="KR186" s="56"/>
      <c r="KS186" s="242">
        <f t="shared" si="1348"/>
        <v>0</v>
      </c>
      <c r="KT186" s="242">
        <f t="shared" si="1349"/>
        <v>1890</v>
      </c>
      <c r="KU186" s="56"/>
      <c r="KW186" s="23"/>
      <c r="KX186" s="55">
        <f t="shared" si="1350"/>
        <v>46177</v>
      </c>
      <c r="KY186" s="56"/>
      <c r="KZ186" s="242">
        <f>SUMPRODUCT(PRODUCE!$B191:$DY191,PRODUCE!$EB$41:$IY$41)</f>
        <v>0</v>
      </c>
      <c r="LA186" s="56"/>
      <c r="LB186" s="242">
        <f t="shared" si="1351"/>
        <v>0</v>
      </c>
      <c r="LC186" s="242">
        <f t="shared" si="1352"/>
        <v>3690</v>
      </c>
      <c r="LD186" s="56"/>
      <c r="LG186" s="55">
        <f t="shared" si="1353"/>
        <v>46177</v>
      </c>
      <c r="LH186" s="56"/>
      <c r="LI186" s="242">
        <f>SUMPRODUCT(PRODUCE!$B191:$DY191,PRODUCE!$EB$42:$IY$42)</f>
        <v>0</v>
      </c>
      <c r="LJ186" s="56"/>
      <c r="LK186" s="242">
        <f t="shared" si="1354"/>
        <v>0</v>
      </c>
      <c r="LL186" s="242">
        <f t="shared" si="1355"/>
        <v>4000</v>
      </c>
      <c r="LM186" s="56"/>
      <c r="LP186" s="55">
        <f t="shared" si="1356"/>
        <v>46177</v>
      </c>
      <c r="LQ186" s="56"/>
      <c r="LR186" s="242">
        <f>SUMPRODUCT(PRODUCE!$B191:$DY191,PRODUCE!$EB$43:$IY$43)</f>
        <v>0</v>
      </c>
      <c r="LS186" s="56"/>
      <c r="LT186" s="242">
        <f t="shared" si="1357"/>
        <v>0</v>
      </c>
      <c r="LU186" s="242">
        <f t="shared" si="1358"/>
        <v>0</v>
      </c>
      <c r="LV186" s="56"/>
      <c r="LY186" s="55">
        <f t="shared" si="1359"/>
        <v>46177</v>
      </c>
      <c r="LZ186" s="56"/>
      <c r="MA186" s="242">
        <f>SUMPRODUCT(PRODUCE!$B191:$DY191,PRODUCE!$EB$44:$IY$44)</f>
        <v>0</v>
      </c>
      <c r="MB186" s="56"/>
      <c r="MC186" s="242">
        <f t="shared" si="1360"/>
        <v>0</v>
      </c>
      <c r="MD186" s="242">
        <f t="shared" si="1361"/>
        <v>0</v>
      </c>
      <c r="ME186" s="56"/>
      <c r="MH186" s="55">
        <f t="shared" si="1362"/>
        <v>46177</v>
      </c>
      <c r="MI186" s="56"/>
      <c r="MJ186" s="242">
        <f>SUMPRODUCT(PRODUCE!$B191:$DY191,PRODUCE!$EB$45:$IY$45)</f>
        <v>0</v>
      </c>
      <c r="MK186" s="56"/>
      <c r="ML186" s="242">
        <f t="shared" si="1363"/>
        <v>0</v>
      </c>
      <c r="MM186" s="242">
        <f t="shared" si="1364"/>
        <v>0</v>
      </c>
      <c r="MN186" s="56"/>
      <c r="MQ186" s="55">
        <f t="shared" si="1365"/>
        <v>46177</v>
      </c>
      <c r="MR186" s="56"/>
      <c r="MS186" s="242">
        <f>SUMPRODUCT(PRODUCE!$B191:$DY191,PRODUCE!$EB$46:$IY$46)</f>
        <v>0</v>
      </c>
      <c r="MT186" s="56"/>
      <c r="MU186" s="242">
        <f t="shared" si="1366"/>
        <v>0</v>
      </c>
      <c r="MV186" s="242">
        <f t="shared" si="1367"/>
        <v>3724</v>
      </c>
      <c r="MW186" s="56"/>
      <c r="MZ186" s="55">
        <f t="shared" si="1368"/>
        <v>46177</v>
      </c>
      <c r="NA186" s="56">
        <v>240</v>
      </c>
      <c r="NB186" s="242">
        <f>SUMPRODUCT(PRODUCE!$B191:$DY191,PRODUCE!$EB$47:$IY$47)</f>
        <v>120</v>
      </c>
      <c r="NC186" s="56">
        <v>240</v>
      </c>
      <c r="ND186" s="242">
        <f t="shared" si="1369"/>
        <v>-120</v>
      </c>
      <c r="NE186" s="242">
        <f t="shared" si="1370"/>
        <v>0</v>
      </c>
      <c r="NF186" s="56"/>
      <c r="NI186" s="55">
        <f t="shared" si="1371"/>
        <v>46177</v>
      </c>
      <c r="NJ186" s="56"/>
      <c r="NK186" s="242">
        <f>SUMPRODUCT(PRODUCE!$B191:$DY191,PRODUCE!$EB$48:$IY$48)</f>
        <v>0</v>
      </c>
      <c r="NL186" s="56"/>
      <c r="NM186" s="242">
        <f t="shared" si="1372"/>
        <v>0</v>
      </c>
      <c r="NN186" s="242">
        <f t="shared" si="1373"/>
        <v>1127</v>
      </c>
      <c r="NO186" s="56"/>
      <c r="NR186" s="55">
        <f t="shared" si="1374"/>
        <v>46177</v>
      </c>
      <c r="NS186" s="56"/>
      <c r="NT186" s="242">
        <f>SUMPRODUCT(PRODUCE!$B191:$DY191,PRODUCE!$EB$49:$IY$49)</f>
        <v>0</v>
      </c>
      <c r="NU186" s="56"/>
      <c r="NV186" s="242">
        <f t="shared" si="1375"/>
        <v>0</v>
      </c>
      <c r="NW186" s="242">
        <f t="shared" si="1376"/>
        <v>3111.9999999999995</v>
      </c>
      <c r="NX186" s="56"/>
      <c r="OA186" s="55">
        <f t="shared" si="1377"/>
        <v>46177</v>
      </c>
      <c r="OB186" s="56"/>
      <c r="OC186" s="242">
        <f>SUMPRODUCT(PRODUCE!$B191:$DY191,PRODUCE!$EB$50:$IY$50)</f>
        <v>0</v>
      </c>
      <c r="OD186" s="56"/>
      <c r="OE186" s="242">
        <f t="shared" si="1378"/>
        <v>0</v>
      </c>
      <c r="OF186" s="242">
        <f t="shared" si="1379"/>
        <v>1680.5</v>
      </c>
      <c r="OG186" s="56"/>
      <c r="OJ186" s="55">
        <f t="shared" si="1380"/>
        <v>46177</v>
      </c>
      <c r="OK186" s="56">
        <v>56</v>
      </c>
      <c r="OL186" s="242">
        <f>SUMPRODUCT(PRODUCE!$B191:$DY191,PRODUCE!$EB$51:$IY$51)</f>
        <v>0</v>
      </c>
      <c r="OM186" s="56">
        <v>56</v>
      </c>
      <c r="ON186" s="242">
        <f t="shared" si="1381"/>
        <v>-56</v>
      </c>
      <c r="OO186" s="242">
        <f t="shared" si="1382"/>
        <v>0</v>
      </c>
      <c r="OP186" s="56"/>
      <c r="OS186" s="55">
        <f t="shared" si="1383"/>
        <v>46177</v>
      </c>
      <c r="OT186" s="56"/>
      <c r="OU186" s="242">
        <f>SUMPRODUCT(PRODUCE!$B191:$DY191,PRODUCE!$EB$52:$IY$52)</f>
        <v>0</v>
      </c>
      <c r="OV186" s="56"/>
      <c r="OW186" s="242">
        <f t="shared" si="1384"/>
        <v>0</v>
      </c>
      <c r="OX186" s="242">
        <f t="shared" si="1385"/>
        <v>1482</v>
      </c>
      <c r="OY186" s="56"/>
      <c r="PB186" s="55">
        <f t="shared" si="1386"/>
        <v>46177</v>
      </c>
      <c r="PC186" s="56"/>
      <c r="PD186" s="242">
        <f>SUMPRODUCT(PRODUCE!$B191:$DY191,PRODUCE!$EB$53:$IY$53)</f>
        <v>0</v>
      </c>
      <c r="PE186" s="56"/>
      <c r="PF186" s="242">
        <f t="shared" si="1387"/>
        <v>0</v>
      </c>
      <c r="PG186" s="242">
        <f t="shared" si="1388"/>
        <v>0</v>
      </c>
      <c r="PH186" s="56"/>
      <c r="PK186" s="55">
        <f t="shared" si="1389"/>
        <v>46177</v>
      </c>
      <c r="PL186" s="56"/>
      <c r="PM186" s="242">
        <f>SUMPRODUCT(PRODUCE!$B191:$DY191,PRODUCE!$EB$54:$IY$54)</f>
        <v>0</v>
      </c>
      <c r="PN186" s="56"/>
      <c r="PO186" s="242">
        <f t="shared" si="1390"/>
        <v>0</v>
      </c>
      <c r="PP186" s="242">
        <f t="shared" si="1391"/>
        <v>100</v>
      </c>
      <c r="PQ186" s="56"/>
      <c r="PT186" s="55">
        <f t="shared" si="1392"/>
        <v>46177</v>
      </c>
      <c r="PU186" s="56"/>
      <c r="PV186" s="242">
        <f>SUMPRODUCT(PRODUCE!$B191:$DY191,PRODUCE!$EB$55:$IY$55)</f>
        <v>0</v>
      </c>
      <c r="PW186" s="56"/>
      <c r="PX186" s="242">
        <f t="shared" si="1393"/>
        <v>0</v>
      </c>
      <c r="PY186" s="242">
        <f t="shared" si="1394"/>
        <v>13.960000000000036</v>
      </c>
      <c r="PZ186" s="56"/>
      <c r="QC186" s="55">
        <f t="shared" si="1395"/>
        <v>46177</v>
      </c>
      <c r="QD186" s="56"/>
      <c r="QE186" s="242">
        <f>SUMPRODUCT(PRODUCE!$B191:$DY191,PRODUCE!$EB$56:$IY$56)</f>
        <v>0</v>
      </c>
      <c r="QF186" s="56"/>
      <c r="QG186" s="242">
        <f t="shared" si="1396"/>
        <v>0</v>
      </c>
      <c r="QH186" s="242">
        <f t="shared" si="1397"/>
        <v>108</v>
      </c>
      <c r="QI186" s="56"/>
      <c r="QL186" s="55">
        <f t="shared" si="1398"/>
        <v>46177</v>
      </c>
      <c r="QM186" s="56">
        <f>325+300</f>
        <v>625</v>
      </c>
      <c r="QN186" s="242">
        <f>SUMPRODUCT(PRODUCE!$B191:$DY191,PRODUCE!$EB$57:$IY$57)</f>
        <v>100</v>
      </c>
      <c r="QO186" s="56"/>
      <c r="QP186" s="242">
        <f t="shared" si="1399"/>
        <v>100</v>
      </c>
      <c r="QQ186" s="242">
        <f t="shared" si="1400"/>
        <v>870</v>
      </c>
      <c r="QR186" s="56"/>
      <c r="QU186" s="55">
        <f t="shared" si="1401"/>
        <v>46177</v>
      </c>
      <c r="QV186" s="56"/>
      <c r="QW186" s="242">
        <f>SUMPRODUCT(PRODUCE!$B191:$DY191,PRODUCE!$EB$58:$IY$58)</f>
        <v>0</v>
      </c>
      <c r="QX186" s="56"/>
      <c r="QY186" s="242">
        <f t="shared" si="1402"/>
        <v>0</v>
      </c>
      <c r="QZ186" s="242">
        <f t="shared" si="1403"/>
        <v>207.6</v>
      </c>
      <c r="RA186" s="56"/>
      <c r="RD186" s="55">
        <f t="shared" si="1404"/>
        <v>46177</v>
      </c>
      <c r="RE186" s="56"/>
      <c r="RF186" s="242">
        <f>SUMPRODUCT(PRODUCE!$B191:$DY191,PRODUCE!$EB$59:$IY$59)</f>
        <v>0</v>
      </c>
      <c r="RG186" s="56"/>
      <c r="RH186" s="242">
        <f t="shared" si="1405"/>
        <v>0</v>
      </c>
      <c r="RI186" s="242">
        <f t="shared" si="1406"/>
        <v>147.04000000000002</v>
      </c>
      <c r="RJ186" s="56"/>
      <c r="RM186" s="55">
        <f t="shared" si="1407"/>
        <v>46177</v>
      </c>
      <c r="RN186" s="56"/>
      <c r="RO186" s="242">
        <f>SUMPRODUCT(PRODUCE!$B191:$DY191,PRODUCE!$EB$60:$IY$60)</f>
        <v>0</v>
      </c>
      <c r="RP186" s="56"/>
      <c r="RQ186" s="242">
        <f t="shared" si="1408"/>
        <v>0</v>
      </c>
      <c r="RR186" s="242">
        <f t="shared" si="1409"/>
        <v>46.8</v>
      </c>
      <c r="RS186" s="56"/>
      <c r="RV186" s="55">
        <f t="shared" si="1410"/>
        <v>46177</v>
      </c>
      <c r="RW186" s="56"/>
      <c r="RX186" s="242">
        <f>SUMPRODUCT(PRODUCE!$B191:$DY191,PRODUCE!$EB$61:$IY$61)</f>
        <v>0</v>
      </c>
      <c r="RY186" s="56"/>
      <c r="RZ186" s="242">
        <f t="shared" si="1411"/>
        <v>0</v>
      </c>
      <c r="SA186" s="242">
        <f t="shared" si="1412"/>
        <v>0</v>
      </c>
      <c r="SB186" s="56"/>
      <c r="SE186" s="55">
        <f t="shared" si="1413"/>
        <v>46177</v>
      </c>
      <c r="SF186" s="56"/>
      <c r="SG186" s="242">
        <f>SUMPRODUCT(PRODUCE!$B191:$DY191,PRODUCE!$EB$62:$IY$62)</f>
        <v>0</v>
      </c>
      <c r="SH186" s="56"/>
      <c r="SI186" s="242">
        <f t="shared" si="1414"/>
        <v>0</v>
      </c>
      <c r="SJ186" s="242">
        <f t="shared" si="1415"/>
        <v>24.200000000000003</v>
      </c>
      <c r="SK186" s="56"/>
      <c r="SN186" s="55">
        <f t="shared" si="1416"/>
        <v>46177</v>
      </c>
      <c r="SO186" s="56"/>
      <c r="SP186" s="242">
        <f>SUMPRODUCT(PRODUCE!$B191:$DY191,PRODUCE!$EB$63:$IY$63)</f>
        <v>0</v>
      </c>
      <c r="SQ186" s="56"/>
      <c r="SR186" s="242">
        <f t="shared" si="1417"/>
        <v>0</v>
      </c>
      <c r="SS186" s="242">
        <f t="shared" si="1418"/>
        <v>32</v>
      </c>
      <c r="ST186" s="56"/>
      <c r="SW186" s="55">
        <f t="shared" si="1419"/>
        <v>46177</v>
      </c>
      <c r="SX186" s="56"/>
      <c r="SY186" s="242">
        <f>SUMPRODUCT(PRODUCE!$B191:$DY191,PRODUCE!$EB$64:$IY$64)</f>
        <v>0</v>
      </c>
      <c r="SZ186" s="56"/>
      <c r="TA186" s="242">
        <f t="shared" si="1420"/>
        <v>0</v>
      </c>
      <c r="TB186" s="242">
        <f t="shared" si="1421"/>
        <v>0</v>
      </c>
      <c r="TC186" s="56"/>
      <c r="TF186" s="55">
        <f t="shared" si="1422"/>
        <v>46177</v>
      </c>
      <c r="TG186" s="56"/>
      <c r="TH186" s="242">
        <f>SUMPRODUCT(PRODUCE!$B191:$DY191,PRODUCE!$EB$65:$IY$65)</f>
        <v>0</v>
      </c>
      <c r="TI186" s="56"/>
      <c r="TJ186" s="242">
        <f t="shared" si="1423"/>
        <v>0</v>
      </c>
      <c r="TK186" s="242">
        <f t="shared" si="1424"/>
        <v>0</v>
      </c>
      <c r="TL186" s="56"/>
      <c r="TO186" s="55">
        <f t="shared" si="1425"/>
        <v>46177</v>
      </c>
      <c r="TP186" s="56">
        <v>82.4</v>
      </c>
      <c r="TQ186" s="242">
        <f>SUMPRODUCT(PRODUCE!$B191:$DY191,PRODUCE!$EB$66:$IY$66)</f>
        <v>0</v>
      </c>
      <c r="TR186" s="56"/>
      <c r="TS186" s="242">
        <f t="shared" si="1426"/>
        <v>0</v>
      </c>
      <c r="TT186" s="242">
        <f t="shared" si="1427"/>
        <v>82.4</v>
      </c>
      <c r="TU186" s="56"/>
      <c r="TX186" s="55">
        <f t="shared" si="1428"/>
        <v>46177</v>
      </c>
      <c r="TY186" s="56">
        <v>33.6</v>
      </c>
      <c r="TZ186" s="242">
        <f>SUMPRODUCT(PRODUCE!$B191:$DY191,PRODUCE!$EB$67:$IY$67)</f>
        <v>0</v>
      </c>
      <c r="UA186" s="56"/>
      <c r="UB186" s="242">
        <f t="shared" si="1429"/>
        <v>0</v>
      </c>
      <c r="UC186" s="242">
        <f t="shared" si="1430"/>
        <v>169.2</v>
      </c>
      <c r="UD186" s="56"/>
      <c r="UG186" s="55">
        <f t="shared" si="1431"/>
        <v>46177</v>
      </c>
      <c r="UH186" s="56">
        <v>76</v>
      </c>
      <c r="UI186" s="242">
        <f>SUMPRODUCT(PRODUCE!$B191:$DY191,PRODUCE!$EB$68:$IY$68)</f>
        <v>0</v>
      </c>
      <c r="UJ186" s="56"/>
      <c r="UK186" s="242">
        <f t="shared" si="1432"/>
        <v>0</v>
      </c>
      <c r="UL186" s="242">
        <f t="shared" si="1433"/>
        <v>204</v>
      </c>
      <c r="UM186" s="56"/>
      <c r="UP186" s="55">
        <f t="shared" si="1434"/>
        <v>46177</v>
      </c>
      <c r="UQ186" s="56">
        <v>240</v>
      </c>
      <c r="UR186" s="242">
        <f>SUMPRODUCT(PRODUCE!$B191:$DY191,PRODUCE!$EB$69:$IY$69)</f>
        <v>0</v>
      </c>
      <c r="US186" s="56"/>
      <c r="UT186" s="242">
        <f t="shared" si="1435"/>
        <v>0</v>
      </c>
      <c r="UU186" s="242">
        <f t="shared" si="1436"/>
        <v>251.25</v>
      </c>
      <c r="UV186" s="56"/>
      <c r="UY186" s="55">
        <f t="shared" si="1437"/>
        <v>46177</v>
      </c>
      <c r="UZ186" s="56"/>
      <c r="VA186" s="242">
        <f>SUMPRODUCT(PRODUCE!$B191:$DY191,PRODUCE!$EB$70:$IY$70)</f>
        <v>0</v>
      </c>
      <c r="VB186" s="56"/>
      <c r="VC186" s="242">
        <f t="shared" si="1438"/>
        <v>0</v>
      </c>
      <c r="VD186" s="242">
        <f t="shared" si="1439"/>
        <v>41.600000000000023</v>
      </c>
      <c r="VE186" s="56"/>
      <c r="VH186" s="55">
        <f t="shared" si="1440"/>
        <v>46177</v>
      </c>
      <c r="VI186" s="56">
        <v>250</v>
      </c>
      <c r="VJ186" s="242">
        <f>SUMPRODUCT(PRODUCE!$B191:$DY191,PRODUCE!$EB$71:$IY$71)</f>
        <v>0</v>
      </c>
      <c r="VK186" s="56"/>
      <c r="VL186" s="242">
        <f t="shared" si="1441"/>
        <v>0</v>
      </c>
      <c r="VM186" s="242">
        <f t="shared" si="1442"/>
        <v>250</v>
      </c>
      <c r="VN186" s="56"/>
      <c r="VQ186" s="55">
        <f t="shared" si="1443"/>
        <v>46177</v>
      </c>
      <c r="VR186" s="56"/>
      <c r="VS186" s="242">
        <f>SUMPRODUCT(PRODUCE!$B191:$DY191,PRODUCE!$EB$57:$IY$57)</f>
        <v>100</v>
      </c>
      <c r="VT186" s="56"/>
      <c r="VU186" s="242">
        <f t="shared" si="1444"/>
        <v>100</v>
      </c>
      <c r="VV186" s="242">
        <f t="shared" si="1445"/>
        <v>0</v>
      </c>
      <c r="VW186" s="56"/>
      <c r="VZ186" s="55">
        <f t="shared" si="1446"/>
        <v>46177</v>
      </c>
      <c r="WA186" s="56"/>
      <c r="WB186" s="242">
        <f>SUMPRODUCT(PRODUCE!$B191:$DY191,PRODUCE!$EB$57:$IY$57)</f>
        <v>100</v>
      </c>
      <c r="WC186" s="56"/>
      <c r="WD186" s="242">
        <f t="shared" si="1447"/>
        <v>100</v>
      </c>
      <c r="WE186" s="242">
        <f t="shared" si="1448"/>
        <v>0</v>
      </c>
      <c r="WF186" s="56"/>
      <c r="WI186" s="55">
        <f t="shared" si="1449"/>
        <v>46177</v>
      </c>
      <c r="WJ186" s="422"/>
      <c r="WK186" s="540">
        <f>SUMPRODUCT(PRODUCE!$B191:$DY191,PRODUCE!$EB$74:$IY$74)</f>
        <v>0</v>
      </c>
      <c r="WL186" s="422"/>
      <c r="WM186" s="540">
        <f t="shared" si="1450"/>
        <v>0</v>
      </c>
      <c r="WN186" s="540">
        <f t="shared" si="1451"/>
        <v>1199</v>
      </c>
      <c r="WO186" s="56"/>
      <c r="WR186" s="55">
        <f t="shared" si="1452"/>
        <v>46177</v>
      </c>
      <c r="WS186" s="422"/>
      <c r="WT186" s="540">
        <f>SUMPRODUCT(PRODUCE!$B191:$DY191,PRODUCE!$EB$75:$IY$75)</f>
        <v>0</v>
      </c>
      <c r="WU186" s="422"/>
      <c r="WV186" s="540">
        <f t="shared" si="1453"/>
        <v>0</v>
      </c>
      <c r="WW186" s="540">
        <f t="shared" si="1454"/>
        <v>0</v>
      </c>
      <c r="WX186" s="56"/>
      <c r="XA186" s="55">
        <f t="shared" si="1455"/>
        <v>46177</v>
      </c>
      <c r="XB186" s="422"/>
      <c r="XC186" s="540">
        <f>SUMPRODUCT(PRODUCE!$B191:$DY191,PRODUCE!$EB$76:$IY$76)</f>
        <v>0</v>
      </c>
      <c r="XD186" s="422"/>
      <c r="XE186" s="540">
        <f t="shared" si="1456"/>
        <v>0</v>
      </c>
      <c r="XF186" s="540">
        <f t="shared" si="1457"/>
        <v>6813</v>
      </c>
      <c r="XG186" s="56"/>
      <c r="XJ186" s="55">
        <f t="shared" si="1458"/>
        <v>46177</v>
      </c>
      <c r="XK186" s="422"/>
      <c r="XL186" s="540">
        <f>SUMPRODUCT(PRODUCE!$B191:$DY191,PRODUCE!$EB$77:$IY$77)</f>
        <v>0</v>
      </c>
      <c r="XM186" s="422">
        <v>255</v>
      </c>
      <c r="XN186" s="540">
        <f t="shared" si="1459"/>
        <v>-255</v>
      </c>
      <c r="XO186" s="540">
        <f t="shared" si="1460"/>
        <v>7569</v>
      </c>
      <c r="XP186" s="56"/>
      <c r="XS186" s="55">
        <f t="shared" si="1461"/>
        <v>46177</v>
      </c>
      <c r="XT186" s="56"/>
      <c r="XU186" s="242">
        <f>SUMPRODUCT(PRODUCE!$B191:$DY191,PRODUCE!$EB$78:$IY$78)</f>
        <v>0</v>
      </c>
      <c r="XV186" s="56"/>
      <c r="XW186" s="242">
        <f t="shared" si="1462"/>
        <v>0</v>
      </c>
      <c r="XX186" s="242">
        <f t="shared" si="1463"/>
        <v>1621</v>
      </c>
      <c r="XY186" s="56"/>
      <c r="YB186" s="55">
        <f t="shared" si="1464"/>
        <v>46177</v>
      </c>
      <c r="YC186" s="56"/>
      <c r="YD186" s="242">
        <f>SUMPRODUCT(PRODUCE!$B191:$DY191,PRODUCE!$EB$79:$IY$79)</f>
        <v>0</v>
      </c>
      <c r="YE186" s="56"/>
      <c r="YF186" s="242">
        <f t="shared" si="1465"/>
        <v>0</v>
      </c>
      <c r="YG186" s="242">
        <f t="shared" si="1466"/>
        <v>5875</v>
      </c>
      <c r="YH186" s="56"/>
      <c r="YK186" s="55">
        <f t="shared" si="1467"/>
        <v>46177</v>
      </c>
      <c r="YL186" s="56"/>
      <c r="YM186" s="242">
        <f>SUMPRODUCT(PRODUCE!$B191:$DY191,PRODUCE!$EB$80:$IY$80)</f>
        <v>0</v>
      </c>
      <c r="YN186" s="56"/>
      <c r="YO186" s="242">
        <f t="shared" si="1468"/>
        <v>0</v>
      </c>
      <c r="YP186" s="242">
        <f t="shared" si="1469"/>
        <v>0</v>
      </c>
      <c r="YQ186" s="56"/>
      <c r="YT186" s="55">
        <f t="shared" si="1470"/>
        <v>46177</v>
      </c>
      <c r="YU186" s="56"/>
      <c r="YV186" s="242">
        <f>SUMPRODUCT(PRODUCE!$B191:$DY191,PRODUCE!$EB$57:$IY$57)</f>
        <v>100</v>
      </c>
      <c r="YW186" s="56"/>
      <c r="YX186" s="242">
        <f t="shared" si="1471"/>
        <v>100</v>
      </c>
      <c r="YY186" s="242">
        <f t="shared" si="1472"/>
        <v>0</v>
      </c>
      <c r="YZ186" s="56"/>
      <c r="ZC186" s="55">
        <f t="shared" si="1473"/>
        <v>46177</v>
      </c>
      <c r="ZD186" s="56"/>
      <c r="ZE186" s="242">
        <f>SUMPRODUCT(PRODUCE!$B191:$DY191,PRODUCE!$EB$57:$IY$57)</f>
        <v>100</v>
      </c>
      <c r="ZF186" s="56"/>
      <c r="ZG186" s="242">
        <f t="shared" si="1474"/>
        <v>100</v>
      </c>
      <c r="ZH186" s="242">
        <f t="shared" si="1475"/>
        <v>0</v>
      </c>
      <c r="ZI186" s="56"/>
      <c r="ZL186" s="55">
        <f t="shared" si="1476"/>
        <v>46177</v>
      </c>
      <c r="ZM186" s="56"/>
      <c r="ZN186" s="242">
        <f>SUMPRODUCT(PRODUCE!$B191:$DY191,PRODUCE!$EB$57:$IY$57)</f>
        <v>100</v>
      </c>
      <c r="ZO186" s="56"/>
      <c r="ZP186" s="242">
        <f t="shared" si="1477"/>
        <v>100</v>
      </c>
      <c r="ZQ186" s="242">
        <f t="shared" si="1478"/>
        <v>0</v>
      </c>
      <c r="ZR186" s="56"/>
      <c r="ZU186" s="55">
        <f t="shared" si="1479"/>
        <v>46177</v>
      </c>
      <c r="ZV186" s="56"/>
      <c r="ZW186" s="242">
        <f>SUMPRODUCT(PRODUCE!$B191:$DY191,PRODUCE!$EB$57:$IY$57)</f>
        <v>100</v>
      </c>
      <c r="ZX186" s="56"/>
      <c r="ZY186" s="242">
        <f t="shared" si="1480"/>
        <v>100</v>
      </c>
      <c r="ZZ186" s="242">
        <f t="shared" si="1481"/>
        <v>0</v>
      </c>
      <c r="AAA186" s="56"/>
      <c r="AAD186" s="55">
        <f t="shared" si="1482"/>
        <v>46177</v>
      </c>
      <c r="AAE186" s="56"/>
      <c r="AAF186" s="242">
        <f>SUMPRODUCT(PRODUCE!$B191:$DY191,PRODUCE!$EB$57:$IY$57)</f>
        <v>100</v>
      </c>
      <c r="AAG186" s="56"/>
      <c r="AAH186" s="242">
        <f t="shared" si="1483"/>
        <v>100</v>
      </c>
      <c r="AAI186" s="242">
        <f t="shared" si="1484"/>
        <v>0</v>
      </c>
      <c r="AAJ186" s="56"/>
      <c r="AAM186" s="55">
        <f t="shared" si="1485"/>
        <v>46177</v>
      </c>
      <c r="AAN186" s="56"/>
      <c r="AAO186" s="242">
        <f>SUMPRODUCT(PRODUCE!$B191:$DY191,PRODUCE!$EB$57:$IY$57)</f>
        <v>100</v>
      </c>
      <c r="AAP186" s="56"/>
      <c r="AAQ186" s="242">
        <f t="shared" si="1486"/>
        <v>100</v>
      </c>
      <c r="AAR186" s="242">
        <f t="shared" si="1487"/>
        <v>0</v>
      </c>
      <c r="AAS186" s="56"/>
      <c r="AAV186" s="55">
        <f t="shared" si="1488"/>
        <v>46177</v>
      </c>
      <c r="AAW186" s="56"/>
      <c r="AAX186" s="242">
        <f>SUMPRODUCT(PRODUCE!$B191:$DY191,PRODUCE!$EB$57:$IY$57)</f>
        <v>100</v>
      </c>
      <c r="AAY186" s="56"/>
      <c r="AAZ186" s="242">
        <f t="shared" si="1489"/>
        <v>100</v>
      </c>
      <c r="ABA186" s="242">
        <f t="shared" si="1490"/>
        <v>0</v>
      </c>
      <c r="ABB186" s="56"/>
      <c r="ABE186" s="55">
        <f t="shared" si="1491"/>
        <v>46177</v>
      </c>
      <c r="ABF186" s="56"/>
      <c r="ABG186" s="242">
        <f>SUMPRODUCT(PRODUCE!$B191:$DY191,PRODUCE!$EB$57:$IY$57)</f>
        <v>100</v>
      </c>
      <c r="ABH186" s="56"/>
      <c r="ABI186" s="242">
        <f t="shared" si="1492"/>
        <v>100</v>
      </c>
      <c r="ABJ186" s="242">
        <f t="shared" si="1493"/>
        <v>0</v>
      </c>
      <c r="ABK186" s="56"/>
    </row>
    <row r="187" spans="1:739" s="54" customFormat="1" ht="15" customHeight="1" outlineLevel="1">
      <c r="B187" s="478">
        <v>30</v>
      </c>
      <c r="C187" s="55">
        <v>46178</v>
      </c>
      <c r="D187" s="422">
        <v>39780</v>
      </c>
      <c r="E187" s="423">
        <f>SUMPRODUCT(PRODUCE!$B192:$DY192,PRODUCE!$EB$7:$IY$7)</f>
        <v>15337.5</v>
      </c>
      <c r="F187" s="422">
        <v>15332</v>
      </c>
      <c r="G187" s="423">
        <f t="shared" si="1249"/>
        <v>5.5</v>
      </c>
      <c r="H187" s="423">
        <f t="shared" si="1250"/>
        <v>225184.40000000008</v>
      </c>
      <c r="I187" s="289" t="s">
        <v>282</v>
      </c>
      <c r="L187" s="55">
        <f t="shared" si="1251"/>
        <v>46178</v>
      </c>
      <c r="M187" s="422">
        <v>30460</v>
      </c>
      <c r="N187" s="438">
        <f>SUMPRODUCT(PRODUCE!$B192:$DY192,PRODUCE!$EB$8:$IY$8)</f>
        <v>10082.1</v>
      </c>
      <c r="O187" s="422">
        <v>10082</v>
      </c>
      <c r="P187" s="438">
        <f t="shared" si="1252"/>
        <v>0.1000000000003638</v>
      </c>
      <c r="Q187" s="438">
        <f t="shared" si="1253"/>
        <v>86582.20000000007</v>
      </c>
      <c r="R187" s="56"/>
      <c r="U187" s="55">
        <f t="shared" si="1254"/>
        <v>46178</v>
      </c>
      <c r="V187" s="422"/>
      <c r="W187" s="440">
        <f>SUMPRODUCT(PRODUCE!$B192:$DY192,PRODUCE!$EB$9:$IY$9)</f>
        <v>1500</v>
      </c>
      <c r="X187" s="422">
        <v>1500.5</v>
      </c>
      <c r="Y187" s="440">
        <f t="shared" si="1255"/>
        <v>-0.5</v>
      </c>
      <c r="Z187" s="440">
        <f t="shared" si="1256"/>
        <v>36583.399999999972</v>
      </c>
      <c r="AA187" s="56"/>
      <c r="AD187" s="55">
        <f t="shared" si="1257"/>
        <v>46178</v>
      </c>
      <c r="AE187" s="422"/>
      <c r="AF187" s="442">
        <f>SUMPRODUCT(PRODUCE!$B192:$DY192,PRODUCE!$EB$10:$IY$10)</f>
        <v>0</v>
      </c>
      <c r="AG187" s="422"/>
      <c r="AH187" s="442">
        <f t="shared" si="1258"/>
        <v>0</v>
      </c>
      <c r="AI187" s="442">
        <f t="shared" si="1259"/>
        <v>12193.400000000018</v>
      </c>
      <c r="AJ187" s="56"/>
      <c r="AM187" s="55">
        <f t="shared" si="1260"/>
        <v>46178</v>
      </c>
      <c r="AN187" s="422"/>
      <c r="AO187" s="444">
        <f>SUMPRODUCT(PRODUCE!$B192:$DY192,PRODUCE!$EB$11:$IY$11)</f>
        <v>0</v>
      </c>
      <c r="AP187" s="422"/>
      <c r="AQ187" s="444">
        <f t="shared" si="1261"/>
        <v>0</v>
      </c>
      <c r="AR187" s="444">
        <f t="shared" si="1262"/>
        <v>0</v>
      </c>
      <c r="AS187" s="56"/>
      <c r="AV187" s="55">
        <f t="shared" si="1263"/>
        <v>46178</v>
      </c>
      <c r="AW187" s="422"/>
      <c r="AX187" s="446">
        <f>SUMPRODUCT(PRODUCE!$B192:$DY192,PRODUCE!$EB$12:$IY$12)</f>
        <v>0</v>
      </c>
      <c r="AY187" s="422"/>
      <c r="AZ187" s="446">
        <f t="shared" si="1264"/>
        <v>0</v>
      </c>
      <c r="BA187" s="446">
        <f t="shared" si="1265"/>
        <v>18566.699999999997</v>
      </c>
      <c r="BB187" s="56"/>
      <c r="BE187" s="55">
        <f t="shared" si="1266"/>
        <v>46178</v>
      </c>
      <c r="BF187" s="422"/>
      <c r="BG187" s="448">
        <f>SUMPRODUCT(PRODUCE!$B192:$DY192,PRODUCE!$EB$13:$IY$13)</f>
        <v>0</v>
      </c>
      <c r="BH187" s="422"/>
      <c r="BI187" s="448">
        <f t="shared" si="1267"/>
        <v>0</v>
      </c>
      <c r="BJ187" s="448">
        <f t="shared" si="1268"/>
        <v>32681.499999999996</v>
      </c>
      <c r="BK187" s="56"/>
      <c r="BN187" s="55">
        <f t="shared" si="1269"/>
        <v>46178</v>
      </c>
      <c r="BO187" s="422"/>
      <c r="BP187" s="450">
        <f>SUMPRODUCT(PRODUCE!$B192:$DY192,PRODUCE!$EB$14:$IY$14)</f>
        <v>0</v>
      </c>
      <c r="BQ187" s="422"/>
      <c r="BR187" s="450">
        <f t="shared" si="1270"/>
        <v>0</v>
      </c>
      <c r="BS187" s="450">
        <f t="shared" si="1271"/>
        <v>0</v>
      </c>
      <c r="BT187" s="56"/>
      <c r="BW187" s="55">
        <f t="shared" si="1272"/>
        <v>46178</v>
      </c>
      <c r="BX187" s="422"/>
      <c r="BY187" s="523">
        <f>SUMPRODUCT(PRODUCE!$B192:$DY192,PRODUCE!$EB$15:$IY$15)</f>
        <v>353.25</v>
      </c>
      <c r="BZ187" s="422">
        <f>367.75+353.25</f>
        <v>721</v>
      </c>
      <c r="CA187" s="523">
        <f t="shared" si="1273"/>
        <v>-367.75</v>
      </c>
      <c r="CB187" s="523">
        <f t="shared" si="1274"/>
        <v>4126.6299999999992</v>
      </c>
      <c r="CC187" s="56"/>
      <c r="CF187" s="55">
        <f t="shared" si="1275"/>
        <v>46178</v>
      </c>
      <c r="CG187" s="422">
        <v>1883.7600000000002</v>
      </c>
      <c r="CH187" s="524">
        <f>SUMPRODUCT(PRODUCE!$B192:$DY192,PRODUCE!$EB$16:$IY$16)</f>
        <v>0</v>
      </c>
      <c r="CI187" s="422">
        <f>495.3+374.1+1014.36</f>
        <v>1883.7600000000002</v>
      </c>
      <c r="CJ187" s="524">
        <f t="shared" si="1276"/>
        <v>-1883.7600000000002</v>
      </c>
      <c r="CK187" s="524">
        <f t="shared" si="1277"/>
        <v>0</v>
      </c>
      <c r="CL187" s="56"/>
      <c r="CO187" s="55">
        <f t="shared" si="1278"/>
        <v>46178</v>
      </c>
      <c r="CP187" s="422"/>
      <c r="CQ187" s="470">
        <f>SUMPRODUCT(PRODUCE!$B192:$DY192,PRODUCE!$EB$17:$IY$17)</f>
        <v>0</v>
      </c>
      <c r="CR187" s="422"/>
      <c r="CS187" s="470">
        <f t="shared" si="1279"/>
        <v>0</v>
      </c>
      <c r="CT187" s="470">
        <f t="shared" si="1280"/>
        <v>0</v>
      </c>
      <c r="CU187" s="56"/>
      <c r="CX187" s="55">
        <f t="shared" si="1281"/>
        <v>46178</v>
      </c>
      <c r="CY187" s="422"/>
      <c r="CZ187" s="525">
        <f>SUMPRODUCT(PRODUCE!$B192:$DY192,PRODUCE!$EB$18:$IY$18)</f>
        <v>600</v>
      </c>
      <c r="DA187" s="422">
        <v>598.79999999999995</v>
      </c>
      <c r="DB187" s="525">
        <f t="shared" si="1282"/>
        <v>1.2000000000000455</v>
      </c>
      <c r="DC187" s="525">
        <f t="shared" si="1283"/>
        <v>18022.700000000004</v>
      </c>
      <c r="DD187" s="56"/>
      <c r="DG187" s="55">
        <f t="shared" si="1284"/>
        <v>46178</v>
      </c>
      <c r="DH187" s="422"/>
      <c r="DI187" s="526">
        <f>SUMPRODUCT(PRODUCE!$B192:$DY192,PRODUCE!$EB$19:$IY$19)</f>
        <v>0</v>
      </c>
      <c r="DJ187" s="422"/>
      <c r="DK187" s="526">
        <f t="shared" si="1285"/>
        <v>0</v>
      </c>
      <c r="DL187" s="526">
        <f t="shared" si="1286"/>
        <v>35234.999999999985</v>
      </c>
      <c r="DM187" s="56"/>
      <c r="DP187" s="55">
        <f t="shared" si="1287"/>
        <v>46178</v>
      </c>
      <c r="DQ187" s="56"/>
      <c r="DR187" s="57">
        <f>SUMPRODUCT(PRODUCE!$B192:$DY192,PRODUCE!$EB$20:$IY$20)</f>
        <v>0</v>
      </c>
      <c r="DS187" s="56"/>
      <c r="DT187" s="57">
        <f t="shared" si="1288"/>
        <v>0</v>
      </c>
      <c r="DU187" s="57">
        <f t="shared" si="1289"/>
        <v>5800</v>
      </c>
      <c r="DV187" s="56"/>
      <c r="DY187" s="55">
        <f t="shared" si="1290"/>
        <v>46178</v>
      </c>
      <c r="DZ187" s="56"/>
      <c r="EA187" s="157">
        <f>SUMPRODUCT(PRODUCE!$B192:$DY192,PRODUCE!$EB$21:$IY$21)</f>
        <v>0</v>
      </c>
      <c r="EB187" s="56"/>
      <c r="EC187" s="157">
        <f t="shared" si="1291"/>
        <v>0</v>
      </c>
      <c r="ED187" s="157">
        <f t="shared" si="1292"/>
        <v>0</v>
      </c>
      <c r="EE187" s="56"/>
      <c r="EH187" s="55">
        <f t="shared" si="1293"/>
        <v>46178</v>
      </c>
      <c r="EI187" s="56"/>
      <c r="EJ187" s="162">
        <f>SUMPRODUCT(PRODUCE!$B192:$DY192,PRODUCE!$EB$22:$IY$22)</f>
        <v>0</v>
      </c>
      <c r="EK187" s="56"/>
      <c r="EL187" s="162">
        <f t="shared" si="1294"/>
        <v>0</v>
      </c>
      <c r="EM187" s="162">
        <f t="shared" si="1295"/>
        <v>0</v>
      </c>
      <c r="EN187" s="56"/>
      <c r="EQ187" s="55">
        <f t="shared" si="1296"/>
        <v>46178</v>
      </c>
      <c r="ER187" s="56"/>
      <c r="ES187" s="135">
        <f>SUMPRODUCT(PRODUCE!$B192:$DY192,PRODUCE!$EB$23:$IY$23)</f>
        <v>0</v>
      </c>
      <c r="ET187" s="56"/>
      <c r="EU187" s="135">
        <f t="shared" si="1297"/>
        <v>0</v>
      </c>
      <c r="EV187" s="135">
        <f t="shared" si="1298"/>
        <v>0</v>
      </c>
      <c r="EW187" s="56"/>
      <c r="EZ187" s="55">
        <f t="shared" si="1299"/>
        <v>46178</v>
      </c>
      <c r="FA187" s="56"/>
      <c r="FB187" s="175">
        <f>SUMPRODUCT(PRODUCE!$B192:$DY192,PRODUCE!$EB$24:$IY$24)</f>
        <v>0</v>
      </c>
      <c r="FC187" s="56"/>
      <c r="FD187" s="175">
        <f t="shared" si="1300"/>
        <v>0</v>
      </c>
      <c r="FE187" s="175">
        <f t="shared" si="1301"/>
        <v>0</v>
      </c>
      <c r="FF187" s="56"/>
      <c r="FI187" s="55">
        <f t="shared" si="1302"/>
        <v>46178</v>
      </c>
      <c r="FJ187" s="56"/>
      <c r="FK187" s="183">
        <f>SUMPRODUCT(PRODUCE!$B192:$DY192,PRODUCE!$EB$25:$IY$25)</f>
        <v>0</v>
      </c>
      <c r="FL187" s="56"/>
      <c r="FM187" s="183">
        <f t="shared" si="1303"/>
        <v>0</v>
      </c>
      <c r="FN187" s="183">
        <f t="shared" si="1304"/>
        <v>0</v>
      </c>
      <c r="FO187" s="56"/>
      <c r="FR187" s="55">
        <f t="shared" si="1305"/>
        <v>46178</v>
      </c>
      <c r="FS187" s="56"/>
      <c r="FT187" s="186">
        <f>SUMPRODUCT(PRODUCE!$B192:$DY192,PRODUCE!$EB$26:$IY$26)</f>
        <v>0</v>
      </c>
      <c r="FU187" s="56"/>
      <c r="FV187" s="186">
        <f t="shared" si="1306"/>
        <v>0</v>
      </c>
      <c r="FW187" s="186">
        <f t="shared" si="1307"/>
        <v>4140</v>
      </c>
      <c r="FX187" s="56"/>
      <c r="GA187" s="55">
        <f t="shared" si="1308"/>
        <v>46178</v>
      </c>
      <c r="GB187" s="56"/>
      <c r="GC187" s="137">
        <f>SUMPRODUCT(PRODUCE!$B192:$DY192,PRODUCE!$EB$27:$IY$27)</f>
        <v>0</v>
      </c>
      <c r="GD187" s="56"/>
      <c r="GE187" s="137">
        <f t="shared" si="1309"/>
        <v>0</v>
      </c>
      <c r="GF187" s="137">
        <f t="shared" si="1310"/>
        <v>5040</v>
      </c>
      <c r="GG187" s="56"/>
      <c r="GI187" s="23"/>
      <c r="GJ187" s="55">
        <f t="shared" si="1311"/>
        <v>46178</v>
      </c>
      <c r="GK187" s="56"/>
      <c r="GL187" s="199">
        <f>SUMPRODUCT(PRODUCE!$B192:$DY192,PRODUCE!$EB$28:$IY$28)</f>
        <v>0</v>
      </c>
      <c r="GM187" s="56"/>
      <c r="GN187" s="199">
        <f t="shared" si="1312"/>
        <v>0</v>
      </c>
      <c r="GO187" s="199">
        <f t="shared" si="1313"/>
        <v>1760</v>
      </c>
      <c r="GP187" s="56"/>
      <c r="GS187" s="55">
        <f t="shared" si="1314"/>
        <v>46178</v>
      </c>
      <c r="GT187" s="56"/>
      <c r="GU187" s="195">
        <f>SUMPRODUCT(PRODUCE!$B192:$DY192,PRODUCE!$EB$29:$IY$29)</f>
        <v>0</v>
      </c>
      <c r="GV187" s="56">
        <f>30*20</f>
        <v>600</v>
      </c>
      <c r="GW187" s="195">
        <f t="shared" si="1315"/>
        <v>-600</v>
      </c>
      <c r="GX187" s="195">
        <f t="shared" si="1316"/>
        <v>0</v>
      </c>
      <c r="GY187" s="56">
        <f>GV187/20</f>
        <v>30</v>
      </c>
      <c r="HB187" s="55">
        <f t="shared" si="1317"/>
        <v>46178</v>
      </c>
      <c r="HC187" s="56"/>
      <c r="HD187" s="191">
        <f>SUMPRODUCT(PRODUCE!$B192:$DY192,PRODUCE!$EB$30:$IY$30)</f>
        <v>0</v>
      </c>
      <c r="HE187" s="56"/>
      <c r="HF187" s="191">
        <f t="shared" si="1318"/>
        <v>0</v>
      </c>
      <c r="HG187" s="191">
        <f t="shared" si="1319"/>
        <v>3600</v>
      </c>
      <c r="HH187" s="56"/>
      <c r="HK187" s="55">
        <f t="shared" si="1320"/>
        <v>46178</v>
      </c>
      <c r="HL187" s="56"/>
      <c r="HM187" s="63">
        <f>SUMPRODUCT(PRODUCE!$B192:$DY192,PRODUCE!$EB$31:$IY$31)</f>
        <v>0</v>
      </c>
      <c r="HN187" s="56"/>
      <c r="HO187" s="63">
        <f t="shared" si="1321"/>
        <v>0</v>
      </c>
      <c r="HP187" s="63">
        <f t="shared" si="1322"/>
        <v>0</v>
      </c>
      <c r="HQ187" s="56"/>
      <c r="HU187" s="55">
        <f t="shared" si="1323"/>
        <v>46178</v>
      </c>
      <c r="HV187" s="56"/>
      <c r="HW187" s="242">
        <f>SUMPRODUCT(PRODUCE!$B192:$DY192,PRODUCE!$EB$32:$IY$32)</f>
        <v>0</v>
      </c>
      <c r="HX187" s="56"/>
      <c r="HY187" s="242">
        <f t="shared" si="1324"/>
        <v>0</v>
      </c>
      <c r="HZ187" s="242">
        <f t="shared" si="1325"/>
        <v>6800</v>
      </c>
      <c r="IA187" s="56"/>
      <c r="ID187" s="55">
        <f t="shared" si="1326"/>
        <v>46178</v>
      </c>
      <c r="IE187" s="56"/>
      <c r="IF187" s="242">
        <f>SUMPRODUCT(PRODUCE!$B192:$DY192,PRODUCE!$EB$33:$IY$33)</f>
        <v>0</v>
      </c>
      <c r="IG187" s="56"/>
      <c r="IH187" s="242">
        <f t="shared" si="1327"/>
        <v>0</v>
      </c>
      <c r="II187" s="242">
        <f t="shared" si="1328"/>
        <v>720</v>
      </c>
      <c r="IJ187" s="56"/>
      <c r="IM187" s="55">
        <f t="shared" si="1329"/>
        <v>46178</v>
      </c>
      <c r="IN187" s="56"/>
      <c r="IO187" s="242">
        <f>SUMPRODUCT(PRODUCE!$B192:$DY192,PRODUCE!$EB$34:$IY$34)</f>
        <v>0</v>
      </c>
      <c r="IP187" s="56"/>
      <c r="IQ187" s="242">
        <f t="shared" si="1330"/>
        <v>0</v>
      </c>
      <c r="IR187" s="242">
        <f t="shared" si="1331"/>
        <v>8140</v>
      </c>
      <c r="IS187" s="56"/>
      <c r="IV187" s="55">
        <f t="shared" si="1332"/>
        <v>46178</v>
      </c>
      <c r="IW187" s="56"/>
      <c r="IX187" s="242">
        <f>SUMPRODUCT(PRODUCE!$B192:$DY192,PRODUCE!$EB$35:$IY$35)</f>
        <v>0</v>
      </c>
      <c r="IY187" s="56"/>
      <c r="IZ187" s="242">
        <f t="shared" si="1333"/>
        <v>0</v>
      </c>
      <c r="JA187" s="242">
        <f t="shared" si="1334"/>
        <v>4960</v>
      </c>
      <c r="JB187" s="56"/>
      <c r="JE187" s="55">
        <f t="shared" si="1335"/>
        <v>46178</v>
      </c>
      <c r="JF187" s="56"/>
      <c r="JG187" s="242">
        <f>SUMPRODUCT(PRODUCE!$B192:$DY192,PRODUCE!$EB$36:$IY$36)</f>
        <v>0</v>
      </c>
      <c r="JH187" s="56"/>
      <c r="JI187" s="242">
        <f t="shared" si="1336"/>
        <v>0</v>
      </c>
      <c r="JJ187" s="242">
        <f t="shared" si="1337"/>
        <v>0</v>
      </c>
      <c r="JK187" s="56"/>
      <c r="JN187" s="55">
        <f t="shared" si="1338"/>
        <v>46178</v>
      </c>
      <c r="JO187" s="56"/>
      <c r="JP187" s="242">
        <f>SUMPRODUCT(PRODUCE!$B192:$DY192,PRODUCE!$EB$37:$IY$37)</f>
        <v>0</v>
      </c>
      <c r="JQ187" s="56">
        <f>158*20</f>
        <v>3160</v>
      </c>
      <c r="JR187" s="242">
        <f t="shared" si="1339"/>
        <v>-3160</v>
      </c>
      <c r="JS187" s="242">
        <f t="shared" si="1340"/>
        <v>180</v>
      </c>
      <c r="JT187" s="56">
        <f>JQ187/20</f>
        <v>158</v>
      </c>
      <c r="JW187" s="55">
        <f t="shared" si="1341"/>
        <v>46178</v>
      </c>
      <c r="JX187" s="56"/>
      <c r="JY187" s="242">
        <f>SUMPRODUCT(PRODUCE!$B192:$DY192,PRODUCE!$EB$38:$IY$38)</f>
        <v>0</v>
      </c>
      <c r="JZ187" s="56"/>
      <c r="KA187" s="242">
        <f t="shared" si="1342"/>
        <v>0</v>
      </c>
      <c r="KB187" s="242">
        <f t="shared" si="1343"/>
        <v>2540</v>
      </c>
      <c r="KC187" s="56"/>
      <c r="KF187" s="55">
        <f t="shared" si="1344"/>
        <v>46178</v>
      </c>
      <c r="KG187" s="56"/>
      <c r="KH187" s="242">
        <f>SUMPRODUCT(PRODUCE!$B192:$DY192,PRODUCE!$EB$39:$IY$39)</f>
        <v>0</v>
      </c>
      <c r="KI187" s="56"/>
      <c r="KJ187" s="242">
        <f t="shared" si="1345"/>
        <v>0</v>
      </c>
      <c r="KK187" s="242">
        <f t="shared" si="1346"/>
        <v>2359.5</v>
      </c>
      <c r="KL187" s="56"/>
      <c r="KO187" s="55">
        <f t="shared" si="1347"/>
        <v>46178</v>
      </c>
      <c r="KP187" s="56"/>
      <c r="KQ187" s="242">
        <f>SUMPRODUCT(PRODUCE!$B192:$DY192,PRODUCE!$EB$40:$IY$40)</f>
        <v>0</v>
      </c>
      <c r="KR187" s="56"/>
      <c r="KS187" s="242">
        <f t="shared" si="1348"/>
        <v>0</v>
      </c>
      <c r="KT187" s="242">
        <f t="shared" si="1349"/>
        <v>1890</v>
      </c>
      <c r="KU187" s="56"/>
      <c r="KW187" s="23"/>
      <c r="KX187" s="55">
        <f t="shared" si="1350"/>
        <v>46178</v>
      </c>
      <c r="KY187" s="56"/>
      <c r="KZ187" s="242">
        <f>SUMPRODUCT(PRODUCE!$B192:$DY192,PRODUCE!$EB$41:$IY$41)</f>
        <v>0</v>
      </c>
      <c r="LA187" s="56"/>
      <c r="LB187" s="242">
        <f t="shared" si="1351"/>
        <v>0</v>
      </c>
      <c r="LC187" s="242">
        <f t="shared" si="1352"/>
        <v>3690</v>
      </c>
      <c r="LD187" s="56"/>
      <c r="LG187" s="55">
        <f t="shared" si="1353"/>
        <v>46178</v>
      </c>
      <c r="LH187" s="56"/>
      <c r="LI187" s="242">
        <f>SUMPRODUCT(PRODUCE!$B192:$DY192,PRODUCE!$EB$42:$IY$42)</f>
        <v>0</v>
      </c>
      <c r="LJ187" s="56"/>
      <c r="LK187" s="242">
        <f t="shared" si="1354"/>
        <v>0</v>
      </c>
      <c r="LL187" s="242">
        <f t="shared" si="1355"/>
        <v>4000</v>
      </c>
      <c r="LM187" s="56"/>
      <c r="LP187" s="55">
        <f t="shared" si="1356"/>
        <v>46178</v>
      </c>
      <c r="LQ187" s="56"/>
      <c r="LR187" s="242">
        <f>SUMPRODUCT(PRODUCE!$B192:$DY192,PRODUCE!$EB$43:$IY$43)</f>
        <v>0</v>
      </c>
      <c r="LS187" s="56"/>
      <c r="LT187" s="242">
        <f t="shared" si="1357"/>
        <v>0</v>
      </c>
      <c r="LU187" s="242">
        <f t="shared" si="1358"/>
        <v>0</v>
      </c>
      <c r="LV187" s="56"/>
      <c r="LY187" s="55">
        <f t="shared" si="1359"/>
        <v>46178</v>
      </c>
      <c r="LZ187" s="56"/>
      <c r="MA187" s="242">
        <f>SUMPRODUCT(PRODUCE!$B192:$DY192,PRODUCE!$EB$44:$IY$44)</f>
        <v>0</v>
      </c>
      <c r="MB187" s="56"/>
      <c r="MC187" s="242">
        <f t="shared" si="1360"/>
        <v>0</v>
      </c>
      <c r="MD187" s="242">
        <f t="shared" si="1361"/>
        <v>0</v>
      </c>
      <c r="ME187" s="56"/>
      <c r="MH187" s="55">
        <f t="shared" si="1362"/>
        <v>46178</v>
      </c>
      <c r="MI187" s="56"/>
      <c r="MJ187" s="242">
        <f>SUMPRODUCT(PRODUCE!$B192:$DY192,PRODUCE!$EB$45:$IY$45)</f>
        <v>0</v>
      </c>
      <c r="MK187" s="56"/>
      <c r="ML187" s="242">
        <f t="shared" si="1363"/>
        <v>0</v>
      </c>
      <c r="MM187" s="242">
        <f t="shared" si="1364"/>
        <v>0</v>
      </c>
      <c r="MN187" s="56"/>
      <c r="MQ187" s="55">
        <f t="shared" si="1365"/>
        <v>46178</v>
      </c>
      <c r="MR187" s="56"/>
      <c r="MS187" s="242">
        <f>SUMPRODUCT(PRODUCE!$B192:$DY192,PRODUCE!$EB$46:$IY$46)</f>
        <v>0</v>
      </c>
      <c r="MT187" s="56"/>
      <c r="MU187" s="242">
        <f t="shared" si="1366"/>
        <v>0</v>
      </c>
      <c r="MV187" s="242">
        <f t="shared" si="1367"/>
        <v>3724</v>
      </c>
      <c r="MW187" s="56"/>
      <c r="MZ187" s="55">
        <f t="shared" si="1368"/>
        <v>46178</v>
      </c>
      <c r="NA187" s="56">
        <v>1584</v>
      </c>
      <c r="NB187" s="242">
        <f>SUMPRODUCT(PRODUCE!$B192:$DY192,PRODUCE!$EB$47:$IY$47)</f>
        <v>0</v>
      </c>
      <c r="NC187" s="56">
        <f>600+360+474+150</f>
        <v>1584</v>
      </c>
      <c r="ND187" s="242">
        <f t="shared" si="1369"/>
        <v>-1584</v>
      </c>
      <c r="NE187" s="242">
        <f t="shared" si="1370"/>
        <v>0</v>
      </c>
      <c r="NF187" s="56"/>
      <c r="NI187" s="55">
        <f t="shared" si="1371"/>
        <v>46178</v>
      </c>
      <c r="NJ187" s="56"/>
      <c r="NK187" s="242">
        <f>SUMPRODUCT(PRODUCE!$B192:$DY192,PRODUCE!$EB$48:$IY$48)</f>
        <v>0</v>
      </c>
      <c r="NL187" s="56"/>
      <c r="NM187" s="242">
        <f t="shared" si="1372"/>
        <v>0</v>
      </c>
      <c r="NN187" s="242">
        <f t="shared" si="1373"/>
        <v>1127</v>
      </c>
      <c r="NO187" s="56"/>
      <c r="NR187" s="55">
        <f t="shared" si="1374"/>
        <v>46178</v>
      </c>
      <c r="NS187" s="56"/>
      <c r="NT187" s="242">
        <f>SUMPRODUCT(PRODUCE!$B192:$DY192,PRODUCE!$EB$49:$IY$49)</f>
        <v>0</v>
      </c>
      <c r="NU187" s="56"/>
      <c r="NV187" s="242">
        <f t="shared" si="1375"/>
        <v>0</v>
      </c>
      <c r="NW187" s="242">
        <f t="shared" si="1376"/>
        <v>3111.9999999999995</v>
      </c>
      <c r="NX187" s="56"/>
      <c r="OA187" s="55">
        <f t="shared" si="1377"/>
        <v>46178</v>
      </c>
      <c r="OB187" s="56"/>
      <c r="OC187" s="242">
        <f>SUMPRODUCT(PRODUCE!$B192:$DY192,PRODUCE!$EB$50:$IY$50)</f>
        <v>0</v>
      </c>
      <c r="OD187" s="56"/>
      <c r="OE187" s="242">
        <f t="shared" si="1378"/>
        <v>0</v>
      </c>
      <c r="OF187" s="242">
        <f t="shared" si="1379"/>
        <v>1680.5</v>
      </c>
      <c r="OG187" s="56"/>
      <c r="OJ187" s="55">
        <f t="shared" si="1380"/>
        <v>46178</v>
      </c>
      <c r="OK187" s="56">
        <v>274</v>
      </c>
      <c r="OL187" s="242">
        <f>SUMPRODUCT(PRODUCE!$B192:$DY192,PRODUCE!$EB$51:$IY$51)</f>
        <v>0</v>
      </c>
      <c r="OM187" s="56">
        <f>130+84+60</f>
        <v>274</v>
      </c>
      <c r="ON187" s="242">
        <f t="shared" si="1381"/>
        <v>-274</v>
      </c>
      <c r="OO187" s="242">
        <f t="shared" si="1382"/>
        <v>0</v>
      </c>
      <c r="OP187" s="56"/>
      <c r="OS187" s="55">
        <f t="shared" si="1383"/>
        <v>46178</v>
      </c>
      <c r="OT187" s="56"/>
      <c r="OU187" s="242">
        <f>SUMPRODUCT(PRODUCE!$B192:$DY192,PRODUCE!$EB$52:$IY$52)</f>
        <v>0</v>
      </c>
      <c r="OV187" s="56"/>
      <c r="OW187" s="242">
        <f t="shared" si="1384"/>
        <v>0</v>
      </c>
      <c r="OX187" s="242">
        <f t="shared" si="1385"/>
        <v>1482</v>
      </c>
      <c r="OY187" s="56"/>
      <c r="PB187" s="55">
        <f t="shared" si="1386"/>
        <v>46178</v>
      </c>
      <c r="PC187" s="56"/>
      <c r="PD187" s="242">
        <f>SUMPRODUCT(PRODUCE!$B192:$DY192,PRODUCE!$EB$53:$IY$53)</f>
        <v>0</v>
      </c>
      <c r="PE187" s="56"/>
      <c r="PF187" s="242">
        <f t="shared" si="1387"/>
        <v>0</v>
      </c>
      <c r="PG187" s="242">
        <f t="shared" si="1388"/>
        <v>0</v>
      </c>
      <c r="PH187" s="56"/>
      <c r="PK187" s="55">
        <f t="shared" si="1389"/>
        <v>46178</v>
      </c>
      <c r="PL187" s="56"/>
      <c r="PM187" s="242">
        <f>SUMPRODUCT(PRODUCE!$B192:$DY192,PRODUCE!$EB$54:$IY$54)</f>
        <v>0</v>
      </c>
      <c r="PN187" s="56"/>
      <c r="PO187" s="242">
        <f t="shared" si="1390"/>
        <v>0</v>
      </c>
      <c r="PP187" s="242">
        <f t="shared" si="1391"/>
        <v>100</v>
      </c>
      <c r="PQ187" s="56"/>
      <c r="PT187" s="55">
        <f t="shared" si="1392"/>
        <v>46178</v>
      </c>
      <c r="PU187" s="56"/>
      <c r="PV187" s="242">
        <f>SUMPRODUCT(PRODUCE!$B192:$DY192,PRODUCE!$EB$55:$IY$55)</f>
        <v>0</v>
      </c>
      <c r="PW187" s="56"/>
      <c r="PX187" s="242">
        <f t="shared" si="1393"/>
        <v>0</v>
      </c>
      <c r="PY187" s="242">
        <f t="shared" si="1394"/>
        <v>13.960000000000036</v>
      </c>
      <c r="PZ187" s="56"/>
      <c r="QC187" s="55">
        <f t="shared" si="1395"/>
        <v>46178</v>
      </c>
      <c r="QD187" s="56">
        <v>1628</v>
      </c>
      <c r="QE187" s="242">
        <f>SUMPRODUCT(PRODUCE!$B192:$DY192,PRODUCE!$EB$56:$IY$56)</f>
        <v>0</v>
      </c>
      <c r="QF187" s="56"/>
      <c r="QG187" s="242">
        <f t="shared" si="1396"/>
        <v>0</v>
      </c>
      <c r="QH187" s="242">
        <f t="shared" si="1397"/>
        <v>1736</v>
      </c>
      <c r="QI187" s="56"/>
      <c r="QL187" s="55">
        <f t="shared" si="1398"/>
        <v>46178</v>
      </c>
      <c r="QM187" s="56"/>
      <c r="QN187" s="242">
        <f>SUMPRODUCT(PRODUCE!$B192:$DY192,PRODUCE!$EB$57:$IY$57)</f>
        <v>0</v>
      </c>
      <c r="QO187" s="56">
        <v>395</v>
      </c>
      <c r="QP187" s="242">
        <f t="shared" si="1399"/>
        <v>-395</v>
      </c>
      <c r="QQ187" s="242">
        <f t="shared" si="1400"/>
        <v>475</v>
      </c>
      <c r="QR187" s="56"/>
      <c r="QU187" s="55">
        <f t="shared" si="1401"/>
        <v>46178</v>
      </c>
      <c r="QV187" s="56"/>
      <c r="QW187" s="242">
        <f>SUMPRODUCT(PRODUCE!$B192:$DY192,PRODUCE!$EB$58:$IY$58)</f>
        <v>0</v>
      </c>
      <c r="QX187" s="56"/>
      <c r="QY187" s="242">
        <f t="shared" si="1402"/>
        <v>0</v>
      </c>
      <c r="QZ187" s="242">
        <f t="shared" si="1403"/>
        <v>207.6</v>
      </c>
      <c r="RA187" s="56"/>
      <c r="RD187" s="55">
        <f t="shared" si="1404"/>
        <v>46178</v>
      </c>
      <c r="RE187" s="56"/>
      <c r="RF187" s="242">
        <f>SUMPRODUCT(PRODUCE!$B192:$DY192,PRODUCE!$EB$59:$IY$59)</f>
        <v>0</v>
      </c>
      <c r="RG187" s="56"/>
      <c r="RH187" s="242">
        <f t="shared" si="1405"/>
        <v>0</v>
      </c>
      <c r="RI187" s="242">
        <f t="shared" si="1406"/>
        <v>147.04000000000002</v>
      </c>
      <c r="RJ187" s="56"/>
      <c r="RM187" s="55">
        <f t="shared" si="1407"/>
        <v>46178</v>
      </c>
      <c r="RN187" s="56"/>
      <c r="RO187" s="242">
        <f>SUMPRODUCT(PRODUCE!$B192:$DY192,PRODUCE!$EB$60:$IY$60)</f>
        <v>0</v>
      </c>
      <c r="RP187" s="56"/>
      <c r="RQ187" s="242">
        <f t="shared" si="1408"/>
        <v>0</v>
      </c>
      <c r="RR187" s="242">
        <f t="shared" si="1409"/>
        <v>46.8</v>
      </c>
      <c r="RS187" s="56"/>
      <c r="RV187" s="55">
        <f t="shared" si="1410"/>
        <v>46178</v>
      </c>
      <c r="RW187" s="56"/>
      <c r="RX187" s="242">
        <f>SUMPRODUCT(PRODUCE!$B192:$DY192,PRODUCE!$EB$61:$IY$61)</f>
        <v>0</v>
      </c>
      <c r="RY187" s="56"/>
      <c r="RZ187" s="242">
        <f t="shared" si="1411"/>
        <v>0</v>
      </c>
      <c r="SA187" s="242">
        <f t="shared" si="1412"/>
        <v>0</v>
      </c>
      <c r="SB187" s="56"/>
      <c r="SE187" s="55">
        <f t="shared" si="1413"/>
        <v>46178</v>
      </c>
      <c r="SF187" s="56"/>
      <c r="SG187" s="242">
        <f>SUMPRODUCT(PRODUCE!$B192:$DY192,PRODUCE!$EB$62:$IY$62)</f>
        <v>0</v>
      </c>
      <c r="SH187" s="56"/>
      <c r="SI187" s="242">
        <f t="shared" si="1414"/>
        <v>0</v>
      </c>
      <c r="SJ187" s="242">
        <f t="shared" si="1415"/>
        <v>24.200000000000003</v>
      </c>
      <c r="SK187" s="56"/>
      <c r="SN187" s="55">
        <f t="shared" si="1416"/>
        <v>46178</v>
      </c>
      <c r="SO187" s="56"/>
      <c r="SP187" s="242">
        <f>SUMPRODUCT(PRODUCE!$B192:$DY192,PRODUCE!$EB$63:$IY$63)</f>
        <v>0</v>
      </c>
      <c r="SQ187" s="56"/>
      <c r="SR187" s="242">
        <f t="shared" si="1417"/>
        <v>0</v>
      </c>
      <c r="SS187" s="242">
        <f t="shared" si="1418"/>
        <v>32</v>
      </c>
      <c r="ST187" s="56"/>
      <c r="SW187" s="55">
        <f t="shared" si="1419"/>
        <v>46178</v>
      </c>
      <c r="SX187" s="56"/>
      <c r="SY187" s="242">
        <f>SUMPRODUCT(PRODUCE!$B192:$DY192,PRODUCE!$EB$64:$IY$64)</f>
        <v>0</v>
      </c>
      <c r="SZ187" s="56"/>
      <c r="TA187" s="242">
        <f t="shared" si="1420"/>
        <v>0</v>
      </c>
      <c r="TB187" s="242">
        <f t="shared" si="1421"/>
        <v>0</v>
      </c>
      <c r="TC187" s="56"/>
      <c r="TF187" s="55">
        <f t="shared" si="1422"/>
        <v>46178</v>
      </c>
      <c r="TG187" s="56">
        <v>30</v>
      </c>
      <c r="TH187" s="242">
        <f>SUMPRODUCT(PRODUCE!$B192:$DY192,PRODUCE!$EB$65:$IY$65)</f>
        <v>0</v>
      </c>
      <c r="TI187" s="56">
        <v>30</v>
      </c>
      <c r="TJ187" s="242">
        <f t="shared" si="1423"/>
        <v>-30</v>
      </c>
      <c r="TK187" s="242">
        <f t="shared" si="1424"/>
        <v>0</v>
      </c>
      <c r="TL187" s="56"/>
      <c r="TO187" s="55">
        <f t="shared" si="1425"/>
        <v>46178</v>
      </c>
      <c r="TP187" s="56"/>
      <c r="TQ187" s="242">
        <f>SUMPRODUCT(PRODUCE!$B192:$DY192,PRODUCE!$EB$66:$IY$66)</f>
        <v>0</v>
      </c>
      <c r="TR187" s="56"/>
      <c r="TS187" s="242">
        <f t="shared" si="1426"/>
        <v>0</v>
      </c>
      <c r="TT187" s="242">
        <f t="shared" si="1427"/>
        <v>82.4</v>
      </c>
      <c r="TU187" s="56"/>
      <c r="TX187" s="55">
        <f t="shared" si="1428"/>
        <v>46178</v>
      </c>
      <c r="TY187" s="56"/>
      <c r="TZ187" s="242">
        <f>SUMPRODUCT(PRODUCE!$B192:$DY192,PRODUCE!$EB$67:$IY$67)</f>
        <v>0</v>
      </c>
      <c r="UA187" s="56"/>
      <c r="UB187" s="242">
        <f t="shared" si="1429"/>
        <v>0</v>
      </c>
      <c r="UC187" s="242">
        <f t="shared" si="1430"/>
        <v>169.2</v>
      </c>
      <c r="UD187" s="56"/>
      <c r="UG187" s="55">
        <f t="shared" si="1431"/>
        <v>46178</v>
      </c>
      <c r="UH187" s="56"/>
      <c r="UI187" s="242">
        <f>SUMPRODUCT(PRODUCE!$B192:$DY192,PRODUCE!$EB$68:$IY$68)</f>
        <v>0</v>
      </c>
      <c r="UJ187" s="56"/>
      <c r="UK187" s="242">
        <f t="shared" si="1432"/>
        <v>0</v>
      </c>
      <c r="UL187" s="242">
        <f t="shared" si="1433"/>
        <v>204</v>
      </c>
      <c r="UM187" s="56"/>
      <c r="UP187" s="55">
        <f t="shared" si="1434"/>
        <v>46178</v>
      </c>
      <c r="UQ187" s="56"/>
      <c r="UR187" s="242">
        <f>SUMPRODUCT(PRODUCE!$B192:$DY192,PRODUCE!$EB$69:$IY$69)</f>
        <v>0</v>
      </c>
      <c r="US187" s="56"/>
      <c r="UT187" s="242">
        <f t="shared" si="1435"/>
        <v>0</v>
      </c>
      <c r="UU187" s="242">
        <f t="shared" si="1436"/>
        <v>251.25</v>
      </c>
      <c r="UV187" s="56"/>
      <c r="UY187" s="55">
        <f t="shared" si="1437"/>
        <v>46178</v>
      </c>
      <c r="UZ187" s="56"/>
      <c r="VA187" s="242">
        <f>SUMPRODUCT(PRODUCE!$B192:$DY192,PRODUCE!$EB$70:$IY$70)</f>
        <v>0</v>
      </c>
      <c r="VB187" s="56"/>
      <c r="VC187" s="242">
        <f t="shared" si="1438"/>
        <v>0</v>
      </c>
      <c r="VD187" s="242">
        <f t="shared" si="1439"/>
        <v>41.600000000000023</v>
      </c>
      <c r="VE187" s="56"/>
      <c r="VH187" s="55">
        <f t="shared" si="1440"/>
        <v>46178</v>
      </c>
      <c r="VI187" s="56"/>
      <c r="VJ187" s="242">
        <f>SUMPRODUCT(PRODUCE!$B192:$DY192,PRODUCE!$EB$71:$IY$71)</f>
        <v>0</v>
      </c>
      <c r="VK187" s="56">
        <v>40</v>
      </c>
      <c r="VL187" s="242">
        <f t="shared" si="1441"/>
        <v>-40</v>
      </c>
      <c r="VM187" s="242">
        <f t="shared" si="1442"/>
        <v>210</v>
      </c>
      <c r="VN187" s="56"/>
      <c r="VQ187" s="55">
        <f t="shared" si="1443"/>
        <v>46178</v>
      </c>
      <c r="VR187" s="56"/>
      <c r="VS187" s="242">
        <f>SUMPRODUCT(PRODUCE!$B192:$DY192,PRODUCE!$EB$57:$IY$57)</f>
        <v>0</v>
      </c>
      <c r="VT187" s="56"/>
      <c r="VU187" s="242">
        <f t="shared" si="1444"/>
        <v>0</v>
      </c>
      <c r="VV187" s="242">
        <f t="shared" si="1445"/>
        <v>0</v>
      </c>
      <c r="VW187" s="56"/>
      <c r="VZ187" s="55">
        <f t="shared" si="1446"/>
        <v>46178</v>
      </c>
      <c r="WA187" s="56"/>
      <c r="WB187" s="242">
        <f>SUMPRODUCT(PRODUCE!$B192:$DY192,PRODUCE!$EB$57:$IY$57)</f>
        <v>0</v>
      </c>
      <c r="WC187" s="56"/>
      <c r="WD187" s="242">
        <f t="shared" si="1447"/>
        <v>0</v>
      </c>
      <c r="WE187" s="242">
        <f t="shared" si="1448"/>
        <v>0</v>
      </c>
      <c r="WF187" s="56"/>
      <c r="WI187" s="55">
        <f t="shared" si="1449"/>
        <v>46178</v>
      </c>
      <c r="WJ187" s="422"/>
      <c r="WK187" s="540">
        <f>SUMPRODUCT(PRODUCE!$B192:$DY192,PRODUCE!$EB$74:$IY$74)</f>
        <v>0</v>
      </c>
      <c r="WL187" s="422"/>
      <c r="WM187" s="540">
        <f t="shared" si="1450"/>
        <v>0</v>
      </c>
      <c r="WN187" s="540">
        <f t="shared" si="1451"/>
        <v>1199</v>
      </c>
      <c r="WO187" s="56"/>
      <c r="WR187" s="55">
        <f t="shared" si="1452"/>
        <v>46178</v>
      </c>
      <c r="WS187" s="422"/>
      <c r="WT187" s="540">
        <f>SUMPRODUCT(PRODUCE!$B192:$DY192,PRODUCE!$EB$75:$IY$75)</f>
        <v>0</v>
      </c>
      <c r="WU187" s="422"/>
      <c r="WV187" s="540">
        <f t="shared" si="1453"/>
        <v>0</v>
      </c>
      <c r="WW187" s="540">
        <f t="shared" si="1454"/>
        <v>0</v>
      </c>
      <c r="WX187" s="56"/>
      <c r="XA187" s="55">
        <f t="shared" si="1455"/>
        <v>46178</v>
      </c>
      <c r="XB187" s="422"/>
      <c r="XC187" s="540">
        <f>SUMPRODUCT(PRODUCE!$B192:$DY192,PRODUCE!$EB$76:$IY$76)</f>
        <v>0</v>
      </c>
      <c r="XD187" s="422"/>
      <c r="XE187" s="540">
        <f t="shared" si="1456"/>
        <v>0</v>
      </c>
      <c r="XF187" s="540">
        <f t="shared" si="1457"/>
        <v>6813</v>
      </c>
      <c r="XG187" s="56"/>
      <c r="XJ187" s="55">
        <f t="shared" si="1458"/>
        <v>46178</v>
      </c>
      <c r="XK187" s="422"/>
      <c r="XL187" s="540">
        <f>SUMPRODUCT(PRODUCE!$B192:$DY192,PRODUCE!$EB$77:$IY$77)</f>
        <v>0</v>
      </c>
      <c r="XM187" s="422">
        <v>936</v>
      </c>
      <c r="XN187" s="540">
        <f t="shared" si="1459"/>
        <v>-936</v>
      </c>
      <c r="XO187" s="540">
        <f t="shared" si="1460"/>
        <v>6633</v>
      </c>
      <c r="XP187" s="56"/>
      <c r="XS187" s="55">
        <f t="shared" si="1461"/>
        <v>46178</v>
      </c>
      <c r="XT187" s="56"/>
      <c r="XU187" s="242">
        <f>SUMPRODUCT(PRODUCE!$B192:$DY192,PRODUCE!$EB$78:$IY$78)</f>
        <v>0</v>
      </c>
      <c r="XV187" s="56"/>
      <c r="XW187" s="242">
        <f t="shared" si="1462"/>
        <v>0</v>
      </c>
      <c r="XX187" s="242">
        <f t="shared" si="1463"/>
        <v>1621</v>
      </c>
      <c r="XY187" s="56"/>
      <c r="YB187" s="55">
        <f t="shared" si="1464"/>
        <v>46178</v>
      </c>
      <c r="YC187" s="56"/>
      <c r="YD187" s="242">
        <f>SUMPRODUCT(PRODUCE!$B192:$DY192,PRODUCE!$EB$79:$IY$79)</f>
        <v>0</v>
      </c>
      <c r="YE187" s="56"/>
      <c r="YF187" s="242">
        <f t="shared" si="1465"/>
        <v>0</v>
      </c>
      <c r="YG187" s="242">
        <f t="shared" si="1466"/>
        <v>5875</v>
      </c>
      <c r="YH187" s="56"/>
      <c r="YK187" s="55">
        <f t="shared" si="1467"/>
        <v>46178</v>
      </c>
      <c r="YL187" s="56"/>
      <c r="YM187" s="242">
        <f>SUMPRODUCT(PRODUCE!$B192:$DY192,PRODUCE!$EB$80:$IY$80)</f>
        <v>0</v>
      </c>
      <c r="YN187" s="56"/>
      <c r="YO187" s="242">
        <f t="shared" si="1468"/>
        <v>0</v>
      </c>
      <c r="YP187" s="242">
        <f t="shared" si="1469"/>
        <v>0</v>
      </c>
      <c r="YQ187" s="56"/>
      <c r="YT187" s="55">
        <f t="shared" si="1470"/>
        <v>46178</v>
      </c>
      <c r="YU187" s="56"/>
      <c r="YV187" s="242">
        <f>SUMPRODUCT(PRODUCE!$B192:$DY192,PRODUCE!$EB$57:$IY$57)</f>
        <v>0</v>
      </c>
      <c r="YW187" s="56"/>
      <c r="YX187" s="242">
        <f t="shared" si="1471"/>
        <v>0</v>
      </c>
      <c r="YY187" s="242">
        <f t="shared" si="1472"/>
        <v>0</v>
      </c>
      <c r="YZ187" s="56"/>
      <c r="ZC187" s="55">
        <f t="shared" si="1473"/>
        <v>46178</v>
      </c>
      <c r="ZD187" s="56"/>
      <c r="ZE187" s="242">
        <f>SUMPRODUCT(PRODUCE!$B192:$DY192,PRODUCE!$EB$57:$IY$57)</f>
        <v>0</v>
      </c>
      <c r="ZF187" s="56"/>
      <c r="ZG187" s="242">
        <f t="shared" si="1474"/>
        <v>0</v>
      </c>
      <c r="ZH187" s="242">
        <f t="shared" si="1475"/>
        <v>0</v>
      </c>
      <c r="ZI187" s="56"/>
      <c r="ZL187" s="55">
        <f t="shared" si="1476"/>
        <v>46178</v>
      </c>
      <c r="ZM187" s="56"/>
      <c r="ZN187" s="242">
        <f>SUMPRODUCT(PRODUCE!$B192:$DY192,PRODUCE!$EB$57:$IY$57)</f>
        <v>0</v>
      </c>
      <c r="ZO187" s="56"/>
      <c r="ZP187" s="242">
        <f t="shared" si="1477"/>
        <v>0</v>
      </c>
      <c r="ZQ187" s="242">
        <f t="shared" si="1478"/>
        <v>0</v>
      </c>
      <c r="ZR187" s="56"/>
      <c r="ZU187" s="55">
        <f t="shared" si="1479"/>
        <v>46178</v>
      </c>
      <c r="ZV187" s="56"/>
      <c r="ZW187" s="242">
        <f>SUMPRODUCT(PRODUCE!$B192:$DY192,PRODUCE!$EB$57:$IY$57)</f>
        <v>0</v>
      </c>
      <c r="ZX187" s="56"/>
      <c r="ZY187" s="242">
        <f t="shared" si="1480"/>
        <v>0</v>
      </c>
      <c r="ZZ187" s="242">
        <f t="shared" si="1481"/>
        <v>0</v>
      </c>
      <c r="AAA187" s="56"/>
      <c r="AAD187" s="55">
        <f t="shared" si="1482"/>
        <v>46178</v>
      </c>
      <c r="AAE187" s="56"/>
      <c r="AAF187" s="242">
        <f>SUMPRODUCT(PRODUCE!$B192:$DY192,PRODUCE!$EB$57:$IY$57)</f>
        <v>0</v>
      </c>
      <c r="AAG187" s="56"/>
      <c r="AAH187" s="242">
        <f t="shared" si="1483"/>
        <v>0</v>
      </c>
      <c r="AAI187" s="242">
        <f t="shared" si="1484"/>
        <v>0</v>
      </c>
      <c r="AAJ187" s="56"/>
      <c r="AAM187" s="55">
        <f t="shared" si="1485"/>
        <v>46178</v>
      </c>
      <c r="AAN187" s="56"/>
      <c r="AAO187" s="242">
        <f>SUMPRODUCT(PRODUCE!$B192:$DY192,PRODUCE!$EB$57:$IY$57)</f>
        <v>0</v>
      </c>
      <c r="AAP187" s="56"/>
      <c r="AAQ187" s="242">
        <f t="shared" si="1486"/>
        <v>0</v>
      </c>
      <c r="AAR187" s="242">
        <f t="shared" si="1487"/>
        <v>0</v>
      </c>
      <c r="AAS187" s="56"/>
      <c r="AAV187" s="55">
        <f t="shared" si="1488"/>
        <v>46178</v>
      </c>
      <c r="AAW187" s="56"/>
      <c r="AAX187" s="242">
        <f>SUMPRODUCT(PRODUCE!$B192:$DY192,PRODUCE!$EB$57:$IY$57)</f>
        <v>0</v>
      </c>
      <c r="AAY187" s="56"/>
      <c r="AAZ187" s="242">
        <f t="shared" si="1489"/>
        <v>0</v>
      </c>
      <c r="ABA187" s="242">
        <f t="shared" si="1490"/>
        <v>0</v>
      </c>
      <c r="ABB187" s="56"/>
      <c r="ABE187" s="55">
        <f t="shared" si="1491"/>
        <v>46178</v>
      </c>
      <c r="ABF187" s="56"/>
      <c r="ABG187" s="242">
        <f>SUMPRODUCT(PRODUCE!$B192:$DY192,PRODUCE!$EB$57:$IY$57)</f>
        <v>0</v>
      </c>
      <c r="ABH187" s="56"/>
      <c r="ABI187" s="242">
        <f t="shared" si="1492"/>
        <v>0</v>
      </c>
      <c r="ABJ187" s="242">
        <f t="shared" si="1493"/>
        <v>0</v>
      </c>
      <c r="ABK187" s="56"/>
    </row>
    <row r="188" spans="1:739" s="54" customFormat="1" ht="15" customHeight="1" outlineLevel="1">
      <c r="B188" s="478">
        <f>30+38</f>
        <v>68</v>
      </c>
      <c r="C188" s="55">
        <v>46179</v>
      </c>
      <c r="D188" s="422"/>
      <c r="E188" s="423">
        <f>SUMPRODUCT(PRODUCE!$B193:$DY193,PRODUCE!$EB$7:$IY$7)</f>
        <v>38509.440000000002</v>
      </c>
      <c r="F188" s="422">
        <f>17313.2+21195.8</f>
        <v>38509</v>
      </c>
      <c r="G188" s="423">
        <f t="shared" si="1249"/>
        <v>0.44000000000232831</v>
      </c>
      <c r="H188" s="423">
        <f t="shared" si="1250"/>
        <v>186675.40000000008</v>
      </c>
      <c r="I188" s="289" t="s">
        <v>283</v>
      </c>
      <c r="L188" s="55">
        <f t="shared" si="1251"/>
        <v>46179</v>
      </c>
      <c r="M188" s="422"/>
      <c r="N188" s="438">
        <f>SUMPRODUCT(PRODUCE!$B193:$DY193,PRODUCE!$EB$8:$IY$8)</f>
        <v>19763.599999999999</v>
      </c>
      <c r="O188" s="422">
        <f>7705.8+12053.8</f>
        <v>19759.599999999999</v>
      </c>
      <c r="P188" s="438">
        <f t="shared" si="1252"/>
        <v>4</v>
      </c>
      <c r="Q188" s="438">
        <f t="shared" si="1253"/>
        <v>66822.600000000064</v>
      </c>
      <c r="R188" s="56"/>
      <c r="U188" s="55">
        <f t="shared" si="1254"/>
        <v>46179</v>
      </c>
      <c r="V188" s="422"/>
      <c r="W188" s="440">
        <f>SUMPRODUCT(PRODUCE!$B193:$DY193,PRODUCE!$EB$9:$IY$9)</f>
        <v>2800</v>
      </c>
      <c r="X188" s="422">
        <f>899.3+1901.2</f>
        <v>2800.5</v>
      </c>
      <c r="Y188" s="440">
        <f t="shared" si="1255"/>
        <v>-0.5</v>
      </c>
      <c r="Z188" s="440">
        <f t="shared" si="1256"/>
        <v>33782.899999999972</v>
      </c>
      <c r="AA188" s="56"/>
      <c r="AD188" s="55">
        <f t="shared" si="1257"/>
        <v>46179</v>
      </c>
      <c r="AE188" s="422"/>
      <c r="AF188" s="442">
        <f>SUMPRODUCT(PRODUCE!$B193:$DY193,PRODUCE!$EB$10:$IY$10)</f>
        <v>600</v>
      </c>
      <c r="AG188" s="422">
        <v>600.29999999999995</v>
      </c>
      <c r="AH188" s="442">
        <f t="shared" si="1258"/>
        <v>-0.29999999999995453</v>
      </c>
      <c r="AI188" s="442">
        <f t="shared" si="1259"/>
        <v>11593.100000000019</v>
      </c>
      <c r="AJ188" s="56"/>
      <c r="AM188" s="55">
        <f t="shared" si="1260"/>
        <v>46179</v>
      </c>
      <c r="AN188" s="422"/>
      <c r="AO188" s="444">
        <f>SUMPRODUCT(PRODUCE!$B193:$DY193,PRODUCE!$EB$11:$IY$11)</f>
        <v>0</v>
      </c>
      <c r="AP188" s="422"/>
      <c r="AQ188" s="444">
        <f t="shared" si="1261"/>
        <v>0</v>
      </c>
      <c r="AR188" s="444">
        <f t="shared" si="1262"/>
        <v>0</v>
      </c>
      <c r="AS188" s="56"/>
      <c r="AV188" s="55">
        <f t="shared" si="1263"/>
        <v>46179</v>
      </c>
      <c r="AW188" s="422"/>
      <c r="AX188" s="446">
        <f>SUMPRODUCT(PRODUCE!$B193:$DY193,PRODUCE!$EB$12:$IY$12)</f>
        <v>2250</v>
      </c>
      <c r="AY188" s="422">
        <v>2250.6999999999998</v>
      </c>
      <c r="AZ188" s="446">
        <f t="shared" si="1264"/>
        <v>-0.6999999999998181</v>
      </c>
      <c r="BA188" s="446">
        <f t="shared" si="1265"/>
        <v>16315.999999999996</v>
      </c>
      <c r="BB188" s="56"/>
      <c r="BE188" s="55">
        <f t="shared" si="1266"/>
        <v>46179</v>
      </c>
      <c r="BF188" s="422"/>
      <c r="BG188" s="448">
        <f>SUMPRODUCT(PRODUCE!$B193:$DY193,PRODUCE!$EB$13:$IY$13)</f>
        <v>741</v>
      </c>
      <c r="BH188" s="422">
        <v>740.8</v>
      </c>
      <c r="BI188" s="448">
        <f t="shared" si="1267"/>
        <v>0.20000000000004547</v>
      </c>
      <c r="BJ188" s="448">
        <f t="shared" si="1268"/>
        <v>31940.699999999997</v>
      </c>
      <c r="BK188" s="56"/>
      <c r="BN188" s="55">
        <f t="shared" si="1269"/>
        <v>46179</v>
      </c>
      <c r="BO188" s="422">
        <v>1283</v>
      </c>
      <c r="BP188" s="450">
        <f>SUMPRODUCT(PRODUCE!$B193:$DY193,PRODUCE!$EB$14:$IY$14)</f>
        <v>1283</v>
      </c>
      <c r="BQ188" s="422">
        <f>390+893</f>
        <v>1283</v>
      </c>
      <c r="BR188" s="450">
        <f t="shared" si="1270"/>
        <v>0</v>
      </c>
      <c r="BS188" s="450">
        <f t="shared" si="1271"/>
        <v>0</v>
      </c>
      <c r="BT188" s="56"/>
      <c r="BW188" s="55">
        <f t="shared" si="1272"/>
        <v>46179</v>
      </c>
      <c r="BX188" s="422"/>
      <c r="BY188" s="523">
        <f>SUMPRODUCT(PRODUCE!$B193:$DY193,PRODUCE!$EB$15:$IY$15)</f>
        <v>0</v>
      </c>
      <c r="BZ188" s="422"/>
      <c r="CA188" s="523">
        <f t="shared" si="1273"/>
        <v>0</v>
      </c>
      <c r="CB188" s="523">
        <f t="shared" si="1274"/>
        <v>4126.6299999999992</v>
      </c>
      <c r="CC188" s="56"/>
      <c r="CF188" s="55">
        <f t="shared" si="1275"/>
        <v>46179</v>
      </c>
      <c r="CG188" s="422"/>
      <c r="CH188" s="524">
        <f>SUMPRODUCT(PRODUCE!$B193:$DY193,PRODUCE!$EB$16:$IY$16)</f>
        <v>243.96</v>
      </c>
      <c r="CI188" s="422"/>
      <c r="CJ188" s="524">
        <f t="shared" si="1276"/>
        <v>243.96</v>
      </c>
      <c r="CK188" s="524">
        <f t="shared" si="1277"/>
        <v>0</v>
      </c>
      <c r="CL188" s="56"/>
      <c r="CO188" s="55">
        <f t="shared" si="1278"/>
        <v>46179</v>
      </c>
      <c r="CP188" s="422"/>
      <c r="CQ188" s="470">
        <f>SUMPRODUCT(PRODUCE!$B193:$DY193,PRODUCE!$EB$17:$IY$17)</f>
        <v>0</v>
      </c>
      <c r="CR188" s="422"/>
      <c r="CS188" s="470">
        <f t="shared" si="1279"/>
        <v>0</v>
      </c>
      <c r="CT188" s="470">
        <f t="shared" si="1280"/>
        <v>0</v>
      </c>
      <c r="CU188" s="56"/>
      <c r="CX188" s="55">
        <f t="shared" si="1281"/>
        <v>46179</v>
      </c>
      <c r="CY188" s="422"/>
      <c r="CZ188" s="525">
        <f>SUMPRODUCT(PRODUCE!$B193:$DY193,PRODUCE!$EB$18:$IY$18)</f>
        <v>0</v>
      </c>
      <c r="DA188" s="422"/>
      <c r="DB188" s="525">
        <f t="shared" si="1282"/>
        <v>0</v>
      </c>
      <c r="DC188" s="525">
        <f t="shared" si="1283"/>
        <v>18022.700000000004</v>
      </c>
      <c r="DD188" s="56"/>
      <c r="DG188" s="55">
        <f t="shared" si="1284"/>
        <v>46179</v>
      </c>
      <c r="DH188" s="422"/>
      <c r="DI188" s="526">
        <f>SUMPRODUCT(PRODUCE!$B193:$DY193,PRODUCE!$EB$19:$IY$19)</f>
        <v>0</v>
      </c>
      <c r="DJ188" s="422"/>
      <c r="DK188" s="526">
        <f t="shared" si="1285"/>
        <v>0</v>
      </c>
      <c r="DL188" s="526">
        <f t="shared" si="1286"/>
        <v>35234.999999999985</v>
      </c>
      <c r="DM188" s="56"/>
      <c r="DP188" s="55">
        <f t="shared" si="1287"/>
        <v>46179</v>
      </c>
      <c r="DQ188" s="56"/>
      <c r="DR188" s="57">
        <f>SUMPRODUCT(PRODUCE!$B193:$DY193,PRODUCE!$EB$20:$IY$20)</f>
        <v>0</v>
      </c>
      <c r="DS188" s="56"/>
      <c r="DT188" s="57">
        <f t="shared" si="1288"/>
        <v>0</v>
      </c>
      <c r="DU188" s="57">
        <f t="shared" si="1289"/>
        <v>5800</v>
      </c>
      <c r="DV188" s="56"/>
      <c r="DY188" s="55">
        <f t="shared" si="1290"/>
        <v>46179</v>
      </c>
      <c r="DZ188" s="56"/>
      <c r="EA188" s="157">
        <f>SUMPRODUCT(PRODUCE!$B193:$DY193,PRODUCE!$EB$21:$IY$21)</f>
        <v>0</v>
      </c>
      <c r="EB188" s="56"/>
      <c r="EC188" s="157">
        <f t="shared" si="1291"/>
        <v>0</v>
      </c>
      <c r="ED188" s="157">
        <f t="shared" si="1292"/>
        <v>0</v>
      </c>
      <c r="EE188" s="56"/>
      <c r="EH188" s="55">
        <f t="shared" si="1293"/>
        <v>46179</v>
      </c>
      <c r="EI188" s="56"/>
      <c r="EJ188" s="162">
        <f>SUMPRODUCT(PRODUCE!$B193:$DY193,PRODUCE!$EB$22:$IY$22)</f>
        <v>0</v>
      </c>
      <c r="EK188" s="56"/>
      <c r="EL188" s="162">
        <f t="shared" si="1294"/>
        <v>0</v>
      </c>
      <c r="EM188" s="162">
        <f t="shared" si="1295"/>
        <v>0</v>
      </c>
      <c r="EN188" s="56"/>
      <c r="EQ188" s="55">
        <f t="shared" si="1296"/>
        <v>46179</v>
      </c>
      <c r="ER188" s="56"/>
      <c r="ES188" s="135">
        <f>SUMPRODUCT(PRODUCE!$B193:$DY193,PRODUCE!$EB$23:$IY$23)</f>
        <v>0</v>
      </c>
      <c r="ET188" s="56"/>
      <c r="EU188" s="135">
        <f t="shared" si="1297"/>
        <v>0</v>
      </c>
      <c r="EV188" s="135">
        <f t="shared" si="1298"/>
        <v>0</v>
      </c>
      <c r="EW188" s="56"/>
      <c r="EZ188" s="55">
        <f t="shared" si="1299"/>
        <v>46179</v>
      </c>
      <c r="FA188" s="56"/>
      <c r="FB188" s="175">
        <f>SUMPRODUCT(PRODUCE!$B193:$DY193,PRODUCE!$EB$24:$IY$24)</f>
        <v>0</v>
      </c>
      <c r="FC188" s="56"/>
      <c r="FD188" s="175">
        <f t="shared" si="1300"/>
        <v>0</v>
      </c>
      <c r="FE188" s="175">
        <f t="shared" si="1301"/>
        <v>0</v>
      </c>
      <c r="FF188" s="56"/>
      <c r="FI188" s="55">
        <f t="shared" si="1302"/>
        <v>46179</v>
      </c>
      <c r="FJ188" s="56"/>
      <c r="FK188" s="183">
        <f>SUMPRODUCT(PRODUCE!$B193:$DY193,PRODUCE!$EB$25:$IY$25)</f>
        <v>0</v>
      </c>
      <c r="FL188" s="56"/>
      <c r="FM188" s="183">
        <f t="shared" si="1303"/>
        <v>0</v>
      </c>
      <c r="FN188" s="183">
        <f t="shared" si="1304"/>
        <v>0</v>
      </c>
      <c r="FO188" s="56"/>
      <c r="FR188" s="55">
        <f t="shared" si="1305"/>
        <v>46179</v>
      </c>
      <c r="FS188" s="56"/>
      <c r="FT188" s="186">
        <f>SUMPRODUCT(PRODUCE!$B193:$DY193,PRODUCE!$EB$26:$IY$26)</f>
        <v>0</v>
      </c>
      <c r="FU188" s="56"/>
      <c r="FV188" s="186">
        <f t="shared" si="1306"/>
        <v>0</v>
      </c>
      <c r="FW188" s="186">
        <f t="shared" si="1307"/>
        <v>4140</v>
      </c>
      <c r="FX188" s="56"/>
      <c r="GA188" s="55">
        <f t="shared" si="1308"/>
        <v>46179</v>
      </c>
      <c r="GB188" s="56"/>
      <c r="GC188" s="137">
        <f>SUMPRODUCT(PRODUCE!$B193:$DY193,PRODUCE!$EB$27:$IY$27)</f>
        <v>0</v>
      </c>
      <c r="GD188" s="56"/>
      <c r="GE188" s="137">
        <f t="shared" si="1309"/>
        <v>0</v>
      </c>
      <c r="GF188" s="137">
        <f t="shared" si="1310"/>
        <v>5040</v>
      </c>
      <c r="GG188" s="56"/>
      <c r="GI188" s="23"/>
      <c r="GJ188" s="55">
        <f t="shared" si="1311"/>
        <v>46179</v>
      </c>
      <c r="GK188" s="56"/>
      <c r="GL188" s="199">
        <f>SUMPRODUCT(PRODUCE!$B193:$DY193,PRODUCE!$EB$28:$IY$28)</f>
        <v>0</v>
      </c>
      <c r="GM188" s="56"/>
      <c r="GN188" s="199">
        <f t="shared" si="1312"/>
        <v>0</v>
      </c>
      <c r="GO188" s="199">
        <f t="shared" si="1313"/>
        <v>1760</v>
      </c>
      <c r="GP188" s="56"/>
      <c r="GS188" s="55">
        <f t="shared" si="1314"/>
        <v>46179</v>
      </c>
      <c r="GT188" s="56"/>
      <c r="GU188" s="195">
        <f>SUMPRODUCT(PRODUCE!$B193:$DY193,PRODUCE!$EB$29:$IY$29)</f>
        <v>600</v>
      </c>
      <c r="GV188" s="56"/>
      <c r="GW188" s="195">
        <f t="shared" si="1315"/>
        <v>600</v>
      </c>
      <c r="GX188" s="195">
        <f t="shared" si="1316"/>
        <v>0</v>
      </c>
      <c r="GY188" s="56"/>
      <c r="HB188" s="55">
        <f t="shared" si="1317"/>
        <v>46179</v>
      </c>
      <c r="HC188" s="56"/>
      <c r="HD188" s="191">
        <f>SUMPRODUCT(PRODUCE!$B193:$DY193,PRODUCE!$EB$30:$IY$30)</f>
        <v>0</v>
      </c>
      <c r="HE188" s="56"/>
      <c r="HF188" s="191">
        <f t="shared" si="1318"/>
        <v>0</v>
      </c>
      <c r="HG188" s="191">
        <f t="shared" si="1319"/>
        <v>3600</v>
      </c>
      <c r="HH188" s="56"/>
      <c r="HK188" s="55">
        <f t="shared" si="1320"/>
        <v>46179</v>
      </c>
      <c r="HL188" s="56"/>
      <c r="HM188" s="63">
        <f>SUMPRODUCT(PRODUCE!$B193:$DY193,PRODUCE!$EB$31:$IY$31)</f>
        <v>0</v>
      </c>
      <c r="HN188" s="56"/>
      <c r="HO188" s="63">
        <f t="shared" si="1321"/>
        <v>0</v>
      </c>
      <c r="HP188" s="63">
        <f t="shared" si="1322"/>
        <v>0</v>
      </c>
      <c r="HQ188" s="56"/>
      <c r="HU188" s="55">
        <f t="shared" si="1323"/>
        <v>46179</v>
      </c>
      <c r="HV188" s="56"/>
      <c r="HW188" s="242">
        <f>SUMPRODUCT(PRODUCE!$B193:$DY193,PRODUCE!$EB$32:$IY$32)</f>
        <v>0</v>
      </c>
      <c r="HX188" s="56"/>
      <c r="HY188" s="242">
        <f t="shared" si="1324"/>
        <v>0</v>
      </c>
      <c r="HZ188" s="242">
        <f t="shared" si="1325"/>
        <v>6800</v>
      </c>
      <c r="IA188" s="56"/>
      <c r="ID188" s="55">
        <f t="shared" si="1326"/>
        <v>46179</v>
      </c>
      <c r="IE188" s="56"/>
      <c r="IF188" s="242">
        <f>SUMPRODUCT(PRODUCE!$B193:$DY193,PRODUCE!$EB$33:$IY$33)</f>
        <v>0</v>
      </c>
      <c r="IG188" s="56"/>
      <c r="IH188" s="242">
        <f t="shared" si="1327"/>
        <v>0</v>
      </c>
      <c r="II188" s="242">
        <f t="shared" si="1328"/>
        <v>720</v>
      </c>
      <c r="IJ188" s="56"/>
      <c r="IM188" s="55">
        <f t="shared" si="1329"/>
        <v>46179</v>
      </c>
      <c r="IN188" s="56"/>
      <c r="IO188" s="242">
        <f>SUMPRODUCT(PRODUCE!$B193:$DY193,PRODUCE!$EB$34:$IY$34)</f>
        <v>0</v>
      </c>
      <c r="IP188" s="56"/>
      <c r="IQ188" s="242">
        <f t="shared" si="1330"/>
        <v>0</v>
      </c>
      <c r="IR188" s="242">
        <f t="shared" si="1331"/>
        <v>8140</v>
      </c>
      <c r="IS188" s="56"/>
      <c r="IV188" s="55">
        <f t="shared" si="1332"/>
        <v>46179</v>
      </c>
      <c r="IW188" s="56"/>
      <c r="IX188" s="242">
        <f>SUMPRODUCT(PRODUCE!$B193:$DY193,PRODUCE!$EB$35:$IY$35)</f>
        <v>0</v>
      </c>
      <c r="IY188" s="56"/>
      <c r="IZ188" s="242">
        <f t="shared" si="1333"/>
        <v>0</v>
      </c>
      <c r="JA188" s="242">
        <f t="shared" si="1334"/>
        <v>4960</v>
      </c>
      <c r="JB188" s="56"/>
      <c r="JE188" s="55">
        <f t="shared" si="1335"/>
        <v>46179</v>
      </c>
      <c r="JF188" s="56"/>
      <c r="JG188" s="242">
        <f>SUMPRODUCT(PRODUCE!$B193:$DY193,PRODUCE!$EB$36:$IY$36)</f>
        <v>0</v>
      </c>
      <c r="JH188" s="56"/>
      <c r="JI188" s="242">
        <f t="shared" si="1336"/>
        <v>0</v>
      </c>
      <c r="JJ188" s="242">
        <f t="shared" si="1337"/>
        <v>0</v>
      </c>
      <c r="JK188" s="56"/>
      <c r="JN188" s="55">
        <f t="shared" si="1338"/>
        <v>46179</v>
      </c>
      <c r="JO188" s="56"/>
      <c r="JP188" s="242">
        <f>SUMPRODUCT(PRODUCE!$B193:$DY193,PRODUCE!$EB$37:$IY$37)</f>
        <v>760</v>
      </c>
      <c r="JQ188" s="56"/>
      <c r="JR188" s="242">
        <f t="shared" si="1339"/>
        <v>760</v>
      </c>
      <c r="JS188" s="242">
        <f t="shared" si="1340"/>
        <v>180</v>
      </c>
      <c r="JT188" s="56"/>
      <c r="JW188" s="55">
        <f t="shared" si="1341"/>
        <v>46179</v>
      </c>
      <c r="JX188" s="56"/>
      <c r="JY188" s="242">
        <f>SUMPRODUCT(PRODUCE!$B193:$DY193,PRODUCE!$EB$38:$IY$38)</f>
        <v>0</v>
      </c>
      <c r="JZ188" s="56"/>
      <c r="KA188" s="242">
        <f t="shared" si="1342"/>
        <v>0</v>
      </c>
      <c r="KB188" s="242">
        <f t="shared" si="1343"/>
        <v>2540</v>
      </c>
      <c r="KC188" s="56"/>
      <c r="KF188" s="55">
        <f t="shared" si="1344"/>
        <v>46179</v>
      </c>
      <c r="KG188" s="56"/>
      <c r="KH188" s="242">
        <f>SUMPRODUCT(PRODUCE!$B193:$DY193,PRODUCE!$EB$39:$IY$39)</f>
        <v>0</v>
      </c>
      <c r="KI188" s="56"/>
      <c r="KJ188" s="242">
        <f t="shared" si="1345"/>
        <v>0</v>
      </c>
      <c r="KK188" s="242">
        <f t="shared" si="1346"/>
        <v>2359.5</v>
      </c>
      <c r="KL188" s="56"/>
      <c r="KO188" s="55">
        <f t="shared" si="1347"/>
        <v>46179</v>
      </c>
      <c r="KP188" s="56"/>
      <c r="KQ188" s="242">
        <f>SUMPRODUCT(PRODUCE!$B193:$DY193,PRODUCE!$EB$40:$IY$40)</f>
        <v>0</v>
      </c>
      <c r="KR188" s="56"/>
      <c r="KS188" s="242">
        <f t="shared" si="1348"/>
        <v>0</v>
      </c>
      <c r="KT188" s="242">
        <f t="shared" si="1349"/>
        <v>1890</v>
      </c>
      <c r="KU188" s="56"/>
      <c r="KW188" s="23"/>
      <c r="KX188" s="55">
        <f t="shared" si="1350"/>
        <v>46179</v>
      </c>
      <c r="KY188" s="56"/>
      <c r="KZ188" s="242">
        <f>SUMPRODUCT(PRODUCE!$B193:$DY193,PRODUCE!$EB$41:$IY$41)</f>
        <v>0</v>
      </c>
      <c r="LA188" s="56"/>
      <c r="LB188" s="242">
        <f t="shared" si="1351"/>
        <v>0</v>
      </c>
      <c r="LC188" s="242">
        <f t="shared" si="1352"/>
        <v>3690</v>
      </c>
      <c r="LD188" s="56"/>
      <c r="LG188" s="55">
        <f t="shared" si="1353"/>
        <v>46179</v>
      </c>
      <c r="LH188" s="56"/>
      <c r="LI188" s="242">
        <f>SUMPRODUCT(PRODUCE!$B193:$DY193,PRODUCE!$EB$42:$IY$42)</f>
        <v>0</v>
      </c>
      <c r="LJ188" s="56"/>
      <c r="LK188" s="242">
        <f t="shared" si="1354"/>
        <v>0</v>
      </c>
      <c r="LL188" s="242">
        <f t="shared" si="1355"/>
        <v>4000</v>
      </c>
      <c r="LM188" s="56"/>
      <c r="LP188" s="55">
        <f t="shared" si="1356"/>
        <v>46179</v>
      </c>
      <c r="LQ188" s="56"/>
      <c r="LR188" s="242">
        <f>SUMPRODUCT(PRODUCE!$B193:$DY193,PRODUCE!$EB$43:$IY$43)</f>
        <v>0</v>
      </c>
      <c r="LS188" s="56"/>
      <c r="LT188" s="242">
        <f t="shared" si="1357"/>
        <v>0</v>
      </c>
      <c r="LU188" s="242">
        <f t="shared" si="1358"/>
        <v>0</v>
      </c>
      <c r="LV188" s="56"/>
      <c r="LY188" s="55">
        <f t="shared" si="1359"/>
        <v>46179</v>
      </c>
      <c r="LZ188" s="56"/>
      <c r="MA188" s="242">
        <f>SUMPRODUCT(PRODUCE!$B193:$DY193,PRODUCE!$EB$44:$IY$44)</f>
        <v>0</v>
      </c>
      <c r="MB188" s="56"/>
      <c r="MC188" s="242">
        <f t="shared" si="1360"/>
        <v>0</v>
      </c>
      <c r="MD188" s="242">
        <f t="shared" si="1361"/>
        <v>0</v>
      </c>
      <c r="ME188" s="56"/>
      <c r="MH188" s="55">
        <f t="shared" si="1362"/>
        <v>46179</v>
      </c>
      <c r="MI188" s="56"/>
      <c r="MJ188" s="242">
        <f>SUMPRODUCT(PRODUCE!$B193:$DY193,PRODUCE!$EB$45:$IY$45)</f>
        <v>0</v>
      </c>
      <c r="MK188" s="56"/>
      <c r="ML188" s="242">
        <f t="shared" si="1363"/>
        <v>0</v>
      </c>
      <c r="MM188" s="242">
        <f t="shared" si="1364"/>
        <v>0</v>
      </c>
      <c r="MN188" s="56"/>
      <c r="MQ188" s="55">
        <f t="shared" si="1365"/>
        <v>46179</v>
      </c>
      <c r="MR188" s="56"/>
      <c r="MS188" s="242">
        <f>SUMPRODUCT(PRODUCE!$B193:$DY193,PRODUCE!$EB$46:$IY$46)</f>
        <v>0</v>
      </c>
      <c r="MT188" s="56"/>
      <c r="MU188" s="242">
        <f t="shared" si="1366"/>
        <v>0</v>
      </c>
      <c r="MV188" s="242">
        <f t="shared" si="1367"/>
        <v>3724</v>
      </c>
      <c r="MW188" s="56"/>
      <c r="MZ188" s="55">
        <f t="shared" si="1368"/>
        <v>46179</v>
      </c>
      <c r="NA188" s="56"/>
      <c r="NB188" s="242">
        <f>SUMPRODUCT(PRODUCE!$B193:$DY193,PRODUCE!$EB$47:$IY$47)</f>
        <v>264</v>
      </c>
      <c r="NC188" s="56"/>
      <c r="ND188" s="242">
        <f t="shared" si="1369"/>
        <v>264</v>
      </c>
      <c r="NE188" s="242">
        <f t="shared" si="1370"/>
        <v>0</v>
      </c>
      <c r="NF188" s="56"/>
      <c r="NI188" s="55">
        <f t="shared" si="1371"/>
        <v>46179</v>
      </c>
      <c r="NJ188" s="56"/>
      <c r="NK188" s="242">
        <f>SUMPRODUCT(PRODUCE!$B193:$DY193,PRODUCE!$EB$48:$IY$48)</f>
        <v>0</v>
      </c>
      <c r="NL188" s="56"/>
      <c r="NM188" s="242">
        <f t="shared" si="1372"/>
        <v>0</v>
      </c>
      <c r="NN188" s="242">
        <f t="shared" si="1373"/>
        <v>1127</v>
      </c>
      <c r="NO188" s="56"/>
      <c r="NR188" s="55">
        <f t="shared" si="1374"/>
        <v>46179</v>
      </c>
      <c r="NS188" s="56"/>
      <c r="NT188" s="242">
        <f>SUMPRODUCT(PRODUCE!$B193:$DY193,PRODUCE!$EB$49:$IY$49)</f>
        <v>0</v>
      </c>
      <c r="NU188" s="56"/>
      <c r="NV188" s="242">
        <f t="shared" si="1375"/>
        <v>0</v>
      </c>
      <c r="NW188" s="242">
        <f t="shared" si="1376"/>
        <v>3111.9999999999995</v>
      </c>
      <c r="NX188" s="56"/>
      <c r="OA188" s="55">
        <f t="shared" si="1377"/>
        <v>46179</v>
      </c>
      <c r="OB188" s="56"/>
      <c r="OC188" s="242">
        <f>SUMPRODUCT(PRODUCE!$B193:$DY193,PRODUCE!$EB$50:$IY$50)</f>
        <v>0</v>
      </c>
      <c r="OD188" s="56"/>
      <c r="OE188" s="242">
        <f t="shared" si="1378"/>
        <v>0</v>
      </c>
      <c r="OF188" s="242">
        <f t="shared" si="1379"/>
        <v>1680.5</v>
      </c>
      <c r="OG188" s="56"/>
      <c r="OJ188" s="55">
        <f t="shared" si="1380"/>
        <v>46179</v>
      </c>
      <c r="OK188" s="56"/>
      <c r="OL188" s="242">
        <f>SUMPRODUCT(PRODUCE!$B193:$DY193,PRODUCE!$EB$51:$IY$51)</f>
        <v>60</v>
      </c>
      <c r="OM188" s="56"/>
      <c r="ON188" s="242">
        <f t="shared" si="1381"/>
        <v>60</v>
      </c>
      <c r="OO188" s="242">
        <f t="shared" si="1382"/>
        <v>0</v>
      </c>
      <c r="OP188" s="56"/>
      <c r="OS188" s="55">
        <f t="shared" si="1383"/>
        <v>46179</v>
      </c>
      <c r="OT188" s="56"/>
      <c r="OU188" s="242">
        <f>SUMPRODUCT(PRODUCE!$B193:$DY193,PRODUCE!$EB$52:$IY$52)</f>
        <v>0</v>
      </c>
      <c r="OV188" s="56"/>
      <c r="OW188" s="242">
        <f t="shared" si="1384"/>
        <v>0</v>
      </c>
      <c r="OX188" s="242">
        <f t="shared" si="1385"/>
        <v>1482</v>
      </c>
      <c r="OY188" s="56"/>
      <c r="PB188" s="55">
        <f t="shared" si="1386"/>
        <v>46179</v>
      </c>
      <c r="PC188" s="56"/>
      <c r="PD188" s="242">
        <f>SUMPRODUCT(PRODUCE!$B193:$DY193,PRODUCE!$EB$53:$IY$53)</f>
        <v>0</v>
      </c>
      <c r="PE188" s="56"/>
      <c r="PF188" s="242">
        <f t="shared" si="1387"/>
        <v>0</v>
      </c>
      <c r="PG188" s="242">
        <f t="shared" si="1388"/>
        <v>0</v>
      </c>
      <c r="PH188" s="56"/>
      <c r="PK188" s="55">
        <f t="shared" si="1389"/>
        <v>46179</v>
      </c>
      <c r="PL188" s="56"/>
      <c r="PM188" s="242">
        <f>SUMPRODUCT(PRODUCE!$B193:$DY193,PRODUCE!$EB$54:$IY$54)</f>
        <v>0</v>
      </c>
      <c r="PN188" s="56"/>
      <c r="PO188" s="242">
        <f t="shared" si="1390"/>
        <v>0</v>
      </c>
      <c r="PP188" s="242">
        <f t="shared" si="1391"/>
        <v>100</v>
      </c>
      <c r="PQ188" s="56"/>
      <c r="PT188" s="55">
        <f t="shared" si="1392"/>
        <v>46179</v>
      </c>
      <c r="PU188" s="56"/>
      <c r="PV188" s="242">
        <f>SUMPRODUCT(PRODUCE!$B193:$DY193,PRODUCE!$EB$55:$IY$55)</f>
        <v>0</v>
      </c>
      <c r="PW188" s="56"/>
      <c r="PX188" s="242">
        <f t="shared" si="1393"/>
        <v>0</v>
      </c>
      <c r="PY188" s="242">
        <f t="shared" si="1394"/>
        <v>13.960000000000036</v>
      </c>
      <c r="PZ188" s="56"/>
      <c r="QC188" s="55">
        <f t="shared" si="1395"/>
        <v>46179</v>
      </c>
      <c r="QD188" s="56"/>
      <c r="QE188" s="242">
        <f>SUMPRODUCT(PRODUCE!$B193:$DY193,PRODUCE!$EB$56:$IY$56)</f>
        <v>0</v>
      </c>
      <c r="QF188" s="56"/>
      <c r="QG188" s="242">
        <f t="shared" si="1396"/>
        <v>0</v>
      </c>
      <c r="QH188" s="242">
        <f t="shared" si="1397"/>
        <v>1736</v>
      </c>
      <c r="QI188" s="56"/>
      <c r="QL188" s="55">
        <f t="shared" si="1398"/>
        <v>46179</v>
      </c>
      <c r="QM188" s="56"/>
      <c r="QN188" s="242">
        <f>SUMPRODUCT(PRODUCE!$B193:$DY193,PRODUCE!$EB$57:$IY$57)</f>
        <v>95</v>
      </c>
      <c r="QO188" s="56"/>
      <c r="QP188" s="242">
        <f t="shared" si="1399"/>
        <v>95</v>
      </c>
      <c r="QQ188" s="242">
        <f t="shared" si="1400"/>
        <v>475</v>
      </c>
      <c r="QR188" s="56"/>
      <c r="QU188" s="55">
        <f t="shared" si="1401"/>
        <v>46179</v>
      </c>
      <c r="QV188" s="56"/>
      <c r="QW188" s="242">
        <f>SUMPRODUCT(PRODUCE!$B193:$DY193,PRODUCE!$EB$58:$IY$58)</f>
        <v>0</v>
      </c>
      <c r="QX188" s="56"/>
      <c r="QY188" s="242">
        <f t="shared" si="1402"/>
        <v>0</v>
      </c>
      <c r="QZ188" s="242">
        <f t="shared" si="1403"/>
        <v>207.6</v>
      </c>
      <c r="RA188" s="56"/>
      <c r="RD188" s="55">
        <f t="shared" si="1404"/>
        <v>46179</v>
      </c>
      <c r="RE188" s="56"/>
      <c r="RF188" s="242">
        <f>SUMPRODUCT(PRODUCE!$B193:$DY193,PRODUCE!$EB$59:$IY$59)</f>
        <v>0</v>
      </c>
      <c r="RG188" s="56"/>
      <c r="RH188" s="242">
        <f t="shared" si="1405"/>
        <v>0</v>
      </c>
      <c r="RI188" s="242">
        <f t="shared" si="1406"/>
        <v>147.04000000000002</v>
      </c>
      <c r="RJ188" s="56"/>
      <c r="RM188" s="55">
        <f t="shared" si="1407"/>
        <v>46179</v>
      </c>
      <c r="RN188" s="56"/>
      <c r="RO188" s="242">
        <f>SUMPRODUCT(PRODUCE!$B193:$DY193,PRODUCE!$EB$60:$IY$60)</f>
        <v>0</v>
      </c>
      <c r="RP188" s="56"/>
      <c r="RQ188" s="242">
        <f t="shared" si="1408"/>
        <v>0</v>
      </c>
      <c r="RR188" s="242">
        <f t="shared" si="1409"/>
        <v>46.8</v>
      </c>
      <c r="RS188" s="56"/>
      <c r="RV188" s="55">
        <f t="shared" si="1410"/>
        <v>46179</v>
      </c>
      <c r="RW188" s="56"/>
      <c r="RX188" s="242">
        <f>SUMPRODUCT(PRODUCE!$B193:$DY193,PRODUCE!$EB$61:$IY$61)</f>
        <v>0</v>
      </c>
      <c r="RY188" s="56"/>
      <c r="RZ188" s="242">
        <f t="shared" si="1411"/>
        <v>0</v>
      </c>
      <c r="SA188" s="242">
        <f t="shared" si="1412"/>
        <v>0</v>
      </c>
      <c r="SB188" s="56"/>
      <c r="SE188" s="55">
        <f t="shared" si="1413"/>
        <v>46179</v>
      </c>
      <c r="SF188" s="56"/>
      <c r="SG188" s="242">
        <f>SUMPRODUCT(PRODUCE!$B193:$DY193,PRODUCE!$EB$62:$IY$62)</f>
        <v>0</v>
      </c>
      <c r="SH188" s="56"/>
      <c r="SI188" s="242">
        <f t="shared" si="1414"/>
        <v>0</v>
      </c>
      <c r="SJ188" s="242">
        <f t="shared" si="1415"/>
        <v>24.200000000000003</v>
      </c>
      <c r="SK188" s="56"/>
      <c r="SN188" s="55">
        <f t="shared" si="1416"/>
        <v>46179</v>
      </c>
      <c r="SO188" s="56"/>
      <c r="SP188" s="242">
        <f>SUMPRODUCT(PRODUCE!$B193:$DY193,PRODUCE!$EB$63:$IY$63)</f>
        <v>0</v>
      </c>
      <c r="SQ188" s="56"/>
      <c r="SR188" s="242">
        <f t="shared" si="1417"/>
        <v>0</v>
      </c>
      <c r="SS188" s="242">
        <f t="shared" si="1418"/>
        <v>32</v>
      </c>
      <c r="ST188" s="56"/>
      <c r="SW188" s="55">
        <f t="shared" si="1419"/>
        <v>46179</v>
      </c>
      <c r="SX188" s="56"/>
      <c r="SY188" s="242">
        <f>SUMPRODUCT(PRODUCE!$B193:$DY193,PRODUCE!$EB$64:$IY$64)</f>
        <v>0</v>
      </c>
      <c r="SZ188" s="56"/>
      <c r="TA188" s="242">
        <f t="shared" si="1420"/>
        <v>0</v>
      </c>
      <c r="TB188" s="242">
        <f t="shared" si="1421"/>
        <v>0</v>
      </c>
      <c r="TC188" s="56"/>
      <c r="TF188" s="55">
        <f t="shared" si="1422"/>
        <v>46179</v>
      </c>
      <c r="TG188" s="56"/>
      <c r="TH188" s="242">
        <f>SUMPRODUCT(PRODUCE!$B193:$DY193,PRODUCE!$EB$65:$IY$65)</f>
        <v>30</v>
      </c>
      <c r="TI188" s="56"/>
      <c r="TJ188" s="242">
        <f t="shared" si="1423"/>
        <v>30</v>
      </c>
      <c r="TK188" s="242">
        <f t="shared" si="1424"/>
        <v>0</v>
      </c>
      <c r="TL188" s="56"/>
      <c r="TO188" s="55">
        <f t="shared" si="1425"/>
        <v>46179</v>
      </c>
      <c r="TP188" s="56"/>
      <c r="TQ188" s="242">
        <f>SUMPRODUCT(PRODUCE!$B193:$DY193,PRODUCE!$EB$66:$IY$66)</f>
        <v>0</v>
      </c>
      <c r="TR188" s="56"/>
      <c r="TS188" s="242">
        <f t="shared" si="1426"/>
        <v>0</v>
      </c>
      <c r="TT188" s="242">
        <f t="shared" si="1427"/>
        <v>82.4</v>
      </c>
      <c r="TU188" s="56"/>
      <c r="TX188" s="55">
        <f t="shared" si="1428"/>
        <v>46179</v>
      </c>
      <c r="TY188" s="56"/>
      <c r="TZ188" s="242">
        <f>SUMPRODUCT(PRODUCE!$B193:$DY193,PRODUCE!$EB$67:$IY$67)</f>
        <v>0</v>
      </c>
      <c r="UA188" s="56"/>
      <c r="UB188" s="242">
        <f t="shared" si="1429"/>
        <v>0</v>
      </c>
      <c r="UC188" s="242">
        <f t="shared" si="1430"/>
        <v>169.2</v>
      </c>
      <c r="UD188" s="56"/>
      <c r="UG188" s="55">
        <f t="shared" si="1431"/>
        <v>46179</v>
      </c>
      <c r="UH188" s="56"/>
      <c r="UI188" s="242">
        <f>SUMPRODUCT(PRODUCE!$B193:$DY193,PRODUCE!$EB$68:$IY$68)</f>
        <v>0</v>
      </c>
      <c r="UJ188" s="56"/>
      <c r="UK188" s="242">
        <f t="shared" si="1432"/>
        <v>0</v>
      </c>
      <c r="UL188" s="242">
        <f t="shared" si="1433"/>
        <v>204</v>
      </c>
      <c r="UM188" s="56"/>
      <c r="UP188" s="55">
        <f t="shared" si="1434"/>
        <v>46179</v>
      </c>
      <c r="UQ188" s="56"/>
      <c r="UR188" s="242">
        <f>SUMPRODUCT(PRODUCE!$B193:$DY193,PRODUCE!$EB$69:$IY$69)</f>
        <v>0</v>
      </c>
      <c r="US188" s="56"/>
      <c r="UT188" s="242">
        <f t="shared" si="1435"/>
        <v>0</v>
      </c>
      <c r="UU188" s="242">
        <f t="shared" si="1436"/>
        <v>251.25</v>
      </c>
      <c r="UV188" s="56"/>
      <c r="UY188" s="55">
        <f t="shared" si="1437"/>
        <v>46179</v>
      </c>
      <c r="UZ188" s="56"/>
      <c r="VA188" s="242">
        <f>SUMPRODUCT(PRODUCE!$B193:$DY193,PRODUCE!$EB$70:$IY$70)</f>
        <v>0</v>
      </c>
      <c r="VB188" s="56"/>
      <c r="VC188" s="242">
        <f t="shared" si="1438"/>
        <v>0</v>
      </c>
      <c r="VD188" s="242">
        <f t="shared" si="1439"/>
        <v>41.600000000000023</v>
      </c>
      <c r="VE188" s="56"/>
      <c r="VH188" s="55">
        <f t="shared" si="1440"/>
        <v>46179</v>
      </c>
      <c r="VI188" s="56"/>
      <c r="VJ188" s="242">
        <f>SUMPRODUCT(PRODUCE!$B193:$DY193,PRODUCE!$EB$71:$IY$71)</f>
        <v>0</v>
      </c>
      <c r="VK188" s="56"/>
      <c r="VL188" s="242">
        <f t="shared" si="1441"/>
        <v>0</v>
      </c>
      <c r="VM188" s="242">
        <f t="shared" si="1442"/>
        <v>210</v>
      </c>
      <c r="VN188" s="56"/>
      <c r="VQ188" s="55">
        <f t="shared" si="1443"/>
        <v>46179</v>
      </c>
      <c r="VR188" s="56"/>
      <c r="VS188" s="242">
        <f>SUMPRODUCT(PRODUCE!$B193:$DY193,PRODUCE!$EB$57:$IY$57)</f>
        <v>95</v>
      </c>
      <c r="VT188" s="56"/>
      <c r="VU188" s="242">
        <f t="shared" si="1444"/>
        <v>95</v>
      </c>
      <c r="VV188" s="242">
        <f t="shared" si="1445"/>
        <v>0</v>
      </c>
      <c r="VW188" s="56"/>
      <c r="VZ188" s="55">
        <f t="shared" si="1446"/>
        <v>46179</v>
      </c>
      <c r="WA188" s="56"/>
      <c r="WB188" s="242">
        <f>SUMPRODUCT(PRODUCE!$B193:$DY193,PRODUCE!$EB$57:$IY$57)</f>
        <v>95</v>
      </c>
      <c r="WC188" s="56"/>
      <c r="WD188" s="242">
        <f t="shared" si="1447"/>
        <v>95</v>
      </c>
      <c r="WE188" s="242">
        <f t="shared" si="1448"/>
        <v>0</v>
      </c>
      <c r="WF188" s="56"/>
      <c r="WI188" s="55">
        <f t="shared" si="1449"/>
        <v>46179</v>
      </c>
      <c r="WJ188" s="422"/>
      <c r="WK188" s="540">
        <f>SUMPRODUCT(PRODUCE!$B193:$DY193,PRODUCE!$EB$74:$IY$74)</f>
        <v>0</v>
      </c>
      <c r="WL188" s="422"/>
      <c r="WM188" s="540">
        <f t="shared" si="1450"/>
        <v>0</v>
      </c>
      <c r="WN188" s="540">
        <f t="shared" si="1451"/>
        <v>1199</v>
      </c>
      <c r="WO188" s="56"/>
      <c r="WR188" s="55">
        <f t="shared" si="1452"/>
        <v>46179</v>
      </c>
      <c r="WS188" s="422"/>
      <c r="WT188" s="540">
        <f>SUMPRODUCT(PRODUCE!$B193:$DY193,PRODUCE!$EB$75:$IY$75)</f>
        <v>0</v>
      </c>
      <c r="WU188" s="422"/>
      <c r="WV188" s="540">
        <f t="shared" si="1453"/>
        <v>0</v>
      </c>
      <c r="WW188" s="540">
        <f t="shared" si="1454"/>
        <v>0</v>
      </c>
      <c r="WX188" s="56"/>
      <c r="XA188" s="55">
        <f t="shared" si="1455"/>
        <v>46179</v>
      </c>
      <c r="XB188" s="422"/>
      <c r="XC188" s="540">
        <f>SUMPRODUCT(PRODUCE!$B193:$DY193,PRODUCE!$EB$76:$IY$76)</f>
        <v>0</v>
      </c>
      <c r="XD188" s="422"/>
      <c r="XE188" s="540">
        <f t="shared" si="1456"/>
        <v>0</v>
      </c>
      <c r="XF188" s="540">
        <f t="shared" si="1457"/>
        <v>6813</v>
      </c>
      <c r="XG188" s="56"/>
      <c r="XJ188" s="55">
        <f t="shared" si="1458"/>
        <v>46179</v>
      </c>
      <c r="XK188" s="422"/>
      <c r="XL188" s="540">
        <f>SUMPRODUCT(PRODUCE!$B193:$DY193,PRODUCE!$EB$77:$IY$77)</f>
        <v>0</v>
      </c>
      <c r="XM188" s="422">
        <v>436</v>
      </c>
      <c r="XN188" s="540">
        <f t="shared" si="1459"/>
        <v>-436</v>
      </c>
      <c r="XO188" s="540">
        <f t="shared" si="1460"/>
        <v>6197</v>
      </c>
      <c r="XP188" s="56"/>
      <c r="XS188" s="55">
        <f t="shared" si="1461"/>
        <v>46179</v>
      </c>
      <c r="XT188" s="56"/>
      <c r="XU188" s="242">
        <f>SUMPRODUCT(PRODUCE!$B193:$DY193,PRODUCE!$EB$78:$IY$78)</f>
        <v>0</v>
      </c>
      <c r="XV188" s="56"/>
      <c r="XW188" s="242">
        <f t="shared" si="1462"/>
        <v>0</v>
      </c>
      <c r="XX188" s="242">
        <f t="shared" si="1463"/>
        <v>1621</v>
      </c>
      <c r="XY188" s="56"/>
      <c r="YB188" s="55">
        <f t="shared" si="1464"/>
        <v>46179</v>
      </c>
      <c r="YC188" s="56"/>
      <c r="YD188" s="242">
        <f>SUMPRODUCT(PRODUCE!$B193:$DY193,PRODUCE!$EB$79:$IY$79)</f>
        <v>0</v>
      </c>
      <c r="YE188" s="56">
        <v>792</v>
      </c>
      <c r="YF188" s="242">
        <f t="shared" si="1465"/>
        <v>-792</v>
      </c>
      <c r="YG188" s="242">
        <f t="shared" si="1466"/>
        <v>5083</v>
      </c>
      <c r="YH188" s="56"/>
      <c r="YK188" s="55">
        <f t="shared" si="1467"/>
        <v>46179</v>
      </c>
      <c r="YL188" s="56"/>
      <c r="YM188" s="242">
        <f>SUMPRODUCT(PRODUCE!$B193:$DY193,PRODUCE!$EB$80:$IY$80)</f>
        <v>0</v>
      </c>
      <c r="YN188" s="56"/>
      <c r="YO188" s="242">
        <f t="shared" si="1468"/>
        <v>0</v>
      </c>
      <c r="YP188" s="242">
        <f t="shared" si="1469"/>
        <v>0</v>
      </c>
      <c r="YQ188" s="56"/>
      <c r="YT188" s="55">
        <f t="shared" si="1470"/>
        <v>46179</v>
      </c>
      <c r="YU188" s="56"/>
      <c r="YV188" s="242">
        <f>SUMPRODUCT(PRODUCE!$B193:$DY193,PRODUCE!$EB$57:$IY$57)</f>
        <v>95</v>
      </c>
      <c r="YW188" s="56"/>
      <c r="YX188" s="242">
        <f t="shared" si="1471"/>
        <v>95</v>
      </c>
      <c r="YY188" s="242">
        <f t="shared" si="1472"/>
        <v>0</v>
      </c>
      <c r="YZ188" s="56"/>
      <c r="ZC188" s="55">
        <f t="shared" si="1473"/>
        <v>46179</v>
      </c>
      <c r="ZD188" s="56"/>
      <c r="ZE188" s="242">
        <f>SUMPRODUCT(PRODUCE!$B193:$DY193,PRODUCE!$EB$57:$IY$57)</f>
        <v>95</v>
      </c>
      <c r="ZF188" s="56"/>
      <c r="ZG188" s="242">
        <f t="shared" si="1474"/>
        <v>95</v>
      </c>
      <c r="ZH188" s="242">
        <f t="shared" si="1475"/>
        <v>0</v>
      </c>
      <c r="ZI188" s="56"/>
      <c r="ZL188" s="55">
        <f t="shared" si="1476"/>
        <v>46179</v>
      </c>
      <c r="ZM188" s="56"/>
      <c r="ZN188" s="242">
        <f>SUMPRODUCT(PRODUCE!$B193:$DY193,PRODUCE!$EB$57:$IY$57)</f>
        <v>95</v>
      </c>
      <c r="ZO188" s="56"/>
      <c r="ZP188" s="242">
        <f t="shared" si="1477"/>
        <v>95</v>
      </c>
      <c r="ZQ188" s="242">
        <f t="shared" si="1478"/>
        <v>0</v>
      </c>
      <c r="ZR188" s="56"/>
      <c r="ZU188" s="55">
        <f t="shared" si="1479"/>
        <v>46179</v>
      </c>
      <c r="ZV188" s="56"/>
      <c r="ZW188" s="242">
        <f>SUMPRODUCT(PRODUCE!$B193:$DY193,PRODUCE!$EB$57:$IY$57)</f>
        <v>95</v>
      </c>
      <c r="ZX188" s="56"/>
      <c r="ZY188" s="242">
        <f t="shared" si="1480"/>
        <v>95</v>
      </c>
      <c r="ZZ188" s="242">
        <f t="shared" si="1481"/>
        <v>0</v>
      </c>
      <c r="AAA188" s="56"/>
      <c r="AAD188" s="55">
        <f t="shared" si="1482"/>
        <v>46179</v>
      </c>
      <c r="AAE188" s="56"/>
      <c r="AAF188" s="242">
        <f>SUMPRODUCT(PRODUCE!$B193:$DY193,PRODUCE!$EB$57:$IY$57)</f>
        <v>95</v>
      </c>
      <c r="AAG188" s="56"/>
      <c r="AAH188" s="242">
        <f t="shared" si="1483"/>
        <v>95</v>
      </c>
      <c r="AAI188" s="242">
        <f t="shared" si="1484"/>
        <v>0</v>
      </c>
      <c r="AAJ188" s="56"/>
      <c r="AAM188" s="55">
        <f t="shared" si="1485"/>
        <v>46179</v>
      </c>
      <c r="AAN188" s="56"/>
      <c r="AAO188" s="242">
        <f>SUMPRODUCT(PRODUCE!$B193:$DY193,PRODUCE!$EB$57:$IY$57)</f>
        <v>95</v>
      </c>
      <c r="AAP188" s="56"/>
      <c r="AAQ188" s="242">
        <f t="shared" si="1486"/>
        <v>95</v>
      </c>
      <c r="AAR188" s="242">
        <f t="shared" si="1487"/>
        <v>0</v>
      </c>
      <c r="AAS188" s="56"/>
      <c r="AAV188" s="55">
        <f t="shared" si="1488"/>
        <v>46179</v>
      </c>
      <c r="AAW188" s="56"/>
      <c r="AAX188" s="242">
        <f>SUMPRODUCT(PRODUCE!$B193:$DY193,PRODUCE!$EB$57:$IY$57)</f>
        <v>95</v>
      </c>
      <c r="AAY188" s="56"/>
      <c r="AAZ188" s="242">
        <f t="shared" si="1489"/>
        <v>95</v>
      </c>
      <c r="ABA188" s="242">
        <f t="shared" si="1490"/>
        <v>0</v>
      </c>
      <c r="ABB188" s="56"/>
      <c r="ABE188" s="55">
        <f t="shared" si="1491"/>
        <v>46179</v>
      </c>
      <c r="ABF188" s="56"/>
      <c r="ABG188" s="242">
        <f>SUMPRODUCT(PRODUCE!$B193:$DY193,PRODUCE!$EB$57:$IY$57)</f>
        <v>95</v>
      </c>
      <c r="ABH188" s="56"/>
      <c r="ABI188" s="242">
        <f t="shared" si="1492"/>
        <v>95</v>
      </c>
      <c r="ABJ188" s="242">
        <f t="shared" si="1493"/>
        <v>0</v>
      </c>
      <c r="ABK188" s="56"/>
    </row>
    <row r="189" spans="1:739" s="54" customFormat="1" ht="15" customHeight="1" outlineLevel="1">
      <c r="B189" s="478"/>
      <c r="C189" s="55">
        <v>46180</v>
      </c>
      <c r="D189" s="422"/>
      <c r="E189" s="423">
        <f>SUMPRODUCT(PRODUCE!$B194:$DY194,PRODUCE!$EB$7:$IY$7)</f>
        <v>0</v>
      </c>
      <c r="F189" s="422"/>
      <c r="G189" s="423">
        <f t="shared" si="1249"/>
        <v>0</v>
      </c>
      <c r="H189" s="423">
        <f t="shared" si="1250"/>
        <v>186675.40000000008</v>
      </c>
      <c r="I189" s="289"/>
      <c r="L189" s="55">
        <f t="shared" si="1251"/>
        <v>46180</v>
      </c>
      <c r="M189" s="422"/>
      <c r="N189" s="438">
        <f>SUMPRODUCT(PRODUCE!$B194:$DY194,PRODUCE!$EB$8:$IY$8)</f>
        <v>0</v>
      </c>
      <c r="O189" s="422"/>
      <c r="P189" s="438">
        <f t="shared" si="1252"/>
        <v>0</v>
      </c>
      <c r="Q189" s="438">
        <f t="shared" si="1253"/>
        <v>66822.600000000064</v>
      </c>
      <c r="R189" s="56"/>
      <c r="U189" s="55">
        <f t="shared" si="1254"/>
        <v>46180</v>
      </c>
      <c r="V189" s="422"/>
      <c r="W189" s="440">
        <f>SUMPRODUCT(PRODUCE!$B194:$DY194,PRODUCE!$EB$9:$IY$9)</f>
        <v>0</v>
      </c>
      <c r="X189" s="422"/>
      <c r="Y189" s="440">
        <f t="shared" si="1255"/>
        <v>0</v>
      </c>
      <c r="Z189" s="440">
        <f t="shared" si="1256"/>
        <v>33782.899999999972</v>
      </c>
      <c r="AA189" s="56"/>
      <c r="AD189" s="55">
        <f t="shared" si="1257"/>
        <v>46180</v>
      </c>
      <c r="AE189" s="422"/>
      <c r="AF189" s="442">
        <f>SUMPRODUCT(PRODUCE!$B194:$DY194,PRODUCE!$EB$10:$IY$10)</f>
        <v>0</v>
      </c>
      <c r="AG189" s="422"/>
      <c r="AH189" s="442">
        <f t="shared" si="1258"/>
        <v>0</v>
      </c>
      <c r="AI189" s="442">
        <f t="shared" si="1259"/>
        <v>11593.100000000019</v>
      </c>
      <c r="AJ189" s="56"/>
      <c r="AM189" s="55">
        <f t="shared" si="1260"/>
        <v>46180</v>
      </c>
      <c r="AN189" s="422"/>
      <c r="AO189" s="444">
        <f>SUMPRODUCT(PRODUCE!$B194:$DY194,PRODUCE!$EB$11:$IY$11)</f>
        <v>0</v>
      </c>
      <c r="AP189" s="422"/>
      <c r="AQ189" s="444">
        <f t="shared" si="1261"/>
        <v>0</v>
      </c>
      <c r="AR189" s="444">
        <f t="shared" si="1262"/>
        <v>0</v>
      </c>
      <c r="AS189" s="56"/>
      <c r="AV189" s="55">
        <f t="shared" si="1263"/>
        <v>46180</v>
      </c>
      <c r="AW189" s="422"/>
      <c r="AX189" s="446">
        <f>SUMPRODUCT(PRODUCE!$B194:$DY194,PRODUCE!$EB$12:$IY$12)</f>
        <v>0</v>
      </c>
      <c r="AY189" s="422"/>
      <c r="AZ189" s="446">
        <f t="shared" si="1264"/>
        <v>0</v>
      </c>
      <c r="BA189" s="446">
        <f t="shared" si="1265"/>
        <v>16315.999999999996</v>
      </c>
      <c r="BB189" s="56"/>
      <c r="BE189" s="55">
        <f t="shared" si="1266"/>
        <v>46180</v>
      </c>
      <c r="BF189" s="422"/>
      <c r="BG189" s="448">
        <f>SUMPRODUCT(PRODUCE!$B194:$DY194,PRODUCE!$EB$13:$IY$13)</f>
        <v>0</v>
      </c>
      <c r="BH189" s="422"/>
      <c r="BI189" s="448">
        <f t="shared" si="1267"/>
        <v>0</v>
      </c>
      <c r="BJ189" s="448">
        <f t="shared" si="1268"/>
        <v>31940.699999999997</v>
      </c>
      <c r="BK189" s="56"/>
      <c r="BN189" s="55">
        <f t="shared" si="1269"/>
        <v>46180</v>
      </c>
      <c r="BO189" s="422"/>
      <c r="BP189" s="450">
        <f>SUMPRODUCT(PRODUCE!$B194:$DY194,PRODUCE!$EB$14:$IY$14)</f>
        <v>0</v>
      </c>
      <c r="BQ189" s="422"/>
      <c r="BR189" s="450">
        <f t="shared" si="1270"/>
        <v>0</v>
      </c>
      <c r="BS189" s="450">
        <f t="shared" si="1271"/>
        <v>0</v>
      </c>
      <c r="BT189" s="56"/>
      <c r="BW189" s="55">
        <f t="shared" si="1272"/>
        <v>46180</v>
      </c>
      <c r="BX189" s="422"/>
      <c r="BY189" s="523">
        <f>SUMPRODUCT(PRODUCE!$B194:$DY194,PRODUCE!$EB$15:$IY$15)</f>
        <v>0</v>
      </c>
      <c r="BZ189" s="422"/>
      <c r="CA189" s="523">
        <f t="shared" si="1273"/>
        <v>0</v>
      </c>
      <c r="CB189" s="523">
        <f t="shared" si="1274"/>
        <v>4126.6299999999992</v>
      </c>
      <c r="CC189" s="56"/>
      <c r="CF189" s="55">
        <f t="shared" si="1275"/>
        <v>46180</v>
      </c>
      <c r="CG189" s="422"/>
      <c r="CH189" s="524">
        <f>SUMPRODUCT(PRODUCE!$B194:$DY194,PRODUCE!$EB$16:$IY$16)</f>
        <v>0</v>
      </c>
      <c r="CI189" s="422"/>
      <c r="CJ189" s="524">
        <f t="shared" si="1276"/>
        <v>0</v>
      </c>
      <c r="CK189" s="524">
        <f t="shared" si="1277"/>
        <v>0</v>
      </c>
      <c r="CL189" s="56"/>
      <c r="CO189" s="55">
        <f t="shared" si="1278"/>
        <v>46180</v>
      </c>
      <c r="CP189" s="422"/>
      <c r="CQ189" s="470">
        <f>SUMPRODUCT(PRODUCE!$B194:$DY194,PRODUCE!$EB$17:$IY$17)</f>
        <v>0</v>
      </c>
      <c r="CR189" s="422"/>
      <c r="CS189" s="470">
        <f t="shared" si="1279"/>
        <v>0</v>
      </c>
      <c r="CT189" s="470">
        <f t="shared" si="1280"/>
        <v>0</v>
      </c>
      <c r="CU189" s="56"/>
      <c r="CX189" s="55">
        <f t="shared" si="1281"/>
        <v>46180</v>
      </c>
      <c r="CY189" s="422"/>
      <c r="CZ189" s="525">
        <f>SUMPRODUCT(PRODUCE!$B194:$DY194,PRODUCE!$EB$18:$IY$18)</f>
        <v>0</v>
      </c>
      <c r="DA189" s="422"/>
      <c r="DB189" s="525">
        <f t="shared" si="1282"/>
        <v>0</v>
      </c>
      <c r="DC189" s="525">
        <f t="shared" si="1283"/>
        <v>18022.700000000004</v>
      </c>
      <c r="DD189" s="56"/>
      <c r="DG189" s="55">
        <f t="shared" si="1284"/>
        <v>46180</v>
      </c>
      <c r="DH189" s="422"/>
      <c r="DI189" s="526">
        <f>SUMPRODUCT(PRODUCE!$B194:$DY194,PRODUCE!$EB$19:$IY$19)</f>
        <v>0</v>
      </c>
      <c r="DJ189" s="422"/>
      <c r="DK189" s="526">
        <f t="shared" si="1285"/>
        <v>0</v>
      </c>
      <c r="DL189" s="526">
        <f t="shared" si="1286"/>
        <v>35234.999999999985</v>
      </c>
      <c r="DM189" s="56"/>
      <c r="DP189" s="55">
        <f t="shared" si="1287"/>
        <v>46180</v>
      </c>
      <c r="DQ189" s="56"/>
      <c r="DR189" s="57">
        <f>SUMPRODUCT(PRODUCE!$B194:$DY194,PRODUCE!$EB$20:$IY$20)</f>
        <v>0</v>
      </c>
      <c r="DS189" s="56"/>
      <c r="DT189" s="57">
        <f t="shared" si="1288"/>
        <v>0</v>
      </c>
      <c r="DU189" s="57">
        <f t="shared" si="1289"/>
        <v>5800</v>
      </c>
      <c r="DV189" s="56"/>
      <c r="DY189" s="55">
        <f t="shared" si="1290"/>
        <v>46180</v>
      </c>
      <c r="DZ189" s="56"/>
      <c r="EA189" s="157">
        <f>SUMPRODUCT(PRODUCE!$B194:$DY194,PRODUCE!$EB$21:$IY$21)</f>
        <v>0</v>
      </c>
      <c r="EB189" s="56"/>
      <c r="EC189" s="157">
        <f t="shared" si="1291"/>
        <v>0</v>
      </c>
      <c r="ED189" s="157">
        <f t="shared" si="1292"/>
        <v>0</v>
      </c>
      <c r="EE189" s="56"/>
      <c r="EH189" s="55">
        <f t="shared" si="1293"/>
        <v>46180</v>
      </c>
      <c r="EI189" s="56"/>
      <c r="EJ189" s="162">
        <f>SUMPRODUCT(PRODUCE!$B194:$DY194,PRODUCE!$EB$22:$IY$22)</f>
        <v>0</v>
      </c>
      <c r="EK189" s="56"/>
      <c r="EL189" s="162">
        <f t="shared" si="1294"/>
        <v>0</v>
      </c>
      <c r="EM189" s="162">
        <f t="shared" si="1295"/>
        <v>0</v>
      </c>
      <c r="EN189" s="56"/>
      <c r="EQ189" s="55">
        <f t="shared" si="1296"/>
        <v>46180</v>
      </c>
      <c r="ER189" s="56"/>
      <c r="ES189" s="135">
        <f>SUMPRODUCT(PRODUCE!$B194:$DY194,PRODUCE!$EB$23:$IY$23)</f>
        <v>0</v>
      </c>
      <c r="ET189" s="56"/>
      <c r="EU189" s="135">
        <f t="shared" si="1297"/>
        <v>0</v>
      </c>
      <c r="EV189" s="135">
        <f t="shared" si="1298"/>
        <v>0</v>
      </c>
      <c r="EW189" s="56"/>
      <c r="EZ189" s="55">
        <f t="shared" si="1299"/>
        <v>46180</v>
      </c>
      <c r="FA189" s="56"/>
      <c r="FB189" s="175">
        <f>SUMPRODUCT(PRODUCE!$B194:$DY194,PRODUCE!$EB$24:$IY$24)</f>
        <v>0</v>
      </c>
      <c r="FC189" s="56"/>
      <c r="FD189" s="175">
        <f t="shared" si="1300"/>
        <v>0</v>
      </c>
      <c r="FE189" s="175">
        <f t="shared" si="1301"/>
        <v>0</v>
      </c>
      <c r="FF189" s="56"/>
      <c r="FI189" s="55">
        <f t="shared" si="1302"/>
        <v>46180</v>
      </c>
      <c r="FJ189" s="56"/>
      <c r="FK189" s="183">
        <f>SUMPRODUCT(PRODUCE!$B194:$DY194,PRODUCE!$EB$25:$IY$25)</f>
        <v>0</v>
      </c>
      <c r="FL189" s="56"/>
      <c r="FM189" s="183">
        <f t="shared" si="1303"/>
        <v>0</v>
      </c>
      <c r="FN189" s="183">
        <f t="shared" si="1304"/>
        <v>0</v>
      </c>
      <c r="FO189" s="56"/>
      <c r="FR189" s="55">
        <f t="shared" si="1305"/>
        <v>46180</v>
      </c>
      <c r="FS189" s="56"/>
      <c r="FT189" s="186">
        <f>SUMPRODUCT(PRODUCE!$B194:$DY194,PRODUCE!$EB$26:$IY$26)</f>
        <v>0</v>
      </c>
      <c r="FU189" s="56"/>
      <c r="FV189" s="186">
        <f t="shared" si="1306"/>
        <v>0</v>
      </c>
      <c r="FW189" s="186">
        <f t="shared" si="1307"/>
        <v>4140</v>
      </c>
      <c r="FX189" s="56"/>
      <c r="GA189" s="55">
        <f t="shared" si="1308"/>
        <v>46180</v>
      </c>
      <c r="GB189" s="56"/>
      <c r="GC189" s="137">
        <f>SUMPRODUCT(PRODUCE!$B194:$DY194,PRODUCE!$EB$27:$IY$27)</f>
        <v>0</v>
      </c>
      <c r="GD189" s="56"/>
      <c r="GE189" s="137">
        <f t="shared" si="1309"/>
        <v>0</v>
      </c>
      <c r="GF189" s="137">
        <f t="shared" si="1310"/>
        <v>5040</v>
      </c>
      <c r="GG189" s="56"/>
      <c r="GI189" s="23"/>
      <c r="GJ189" s="55">
        <f t="shared" si="1311"/>
        <v>46180</v>
      </c>
      <c r="GK189" s="56"/>
      <c r="GL189" s="199">
        <f>SUMPRODUCT(PRODUCE!$B194:$DY194,PRODUCE!$EB$28:$IY$28)</f>
        <v>0</v>
      </c>
      <c r="GM189" s="56"/>
      <c r="GN189" s="199">
        <f t="shared" si="1312"/>
        <v>0</v>
      </c>
      <c r="GO189" s="199">
        <f t="shared" si="1313"/>
        <v>1760</v>
      </c>
      <c r="GP189" s="56"/>
      <c r="GS189" s="55">
        <f t="shared" si="1314"/>
        <v>46180</v>
      </c>
      <c r="GT189" s="56"/>
      <c r="GU189" s="195">
        <f>SUMPRODUCT(PRODUCE!$B194:$DY194,PRODUCE!$EB$29:$IY$29)</f>
        <v>0</v>
      </c>
      <c r="GV189" s="56"/>
      <c r="GW189" s="195">
        <f t="shared" si="1315"/>
        <v>0</v>
      </c>
      <c r="GX189" s="195">
        <f t="shared" si="1316"/>
        <v>0</v>
      </c>
      <c r="GY189" s="56"/>
      <c r="HB189" s="55">
        <f t="shared" si="1317"/>
        <v>46180</v>
      </c>
      <c r="HC189" s="56"/>
      <c r="HD189" s="191">
        <f>SUMPRODUCT(PRODUCE!$B194:$DY194,PRODUCE!$EB$30:$IY$30)</f>
        <v>0</v>
      </c>
      <c r="HE189" s="56"/>
      <c r="HF189" s="191">
        <f t="shared" si="1318"/>
        <v>0</v>
      </c>
      <c r="HG189" s="191">
        <f t="shared" si="1319"/>
        <v>3600</v>
      </c>
      <c r="HH189" s="56"/>
      <c r="HK189" s="55">
        <f t="shared" si="1320"/>
        <v>46180</v>
      </c>
      <c r="HL189" s="56"/>
      <c r="HM189" s="63">
        <f>SUMPRODUCT(PRODUCE!$B194:$DY194,PRODUCE!$EB$31:$IY$31)</f>
        <v>0</v>
      </c>
      <c r="HN189" s="56"/>
      <c r="HO189" s="63">
        <f t="shared" si="1321"/>
        <v>0</v>
      </c>
      <c r="HP189" s="63">
        <f t="shared" si="1322"/>
        <v>0</v>
      </c>
      <c r="HQ189" s="56"/>
      <c r="HU189" s="55">
        <f t="shared" si="1323"/>
        <v>46180</v>
      </c>
      <c r="HV189" s="56"/>
      <c r="HW189" s="242">
        <f>SUMPRODUCT(PRODUCE!$B194:$DY194,PRODUCE!$EB$32:$IY$32)</f>
        <v>0</v>
      </c>
      <c r="HX189" s="56"/>
      <c r="HY189" s="242">
        <f t="shared" si="1324"/>
        <v>0</v>
      </c>
      <c r="HZ189" s="242">
        <f t="shared" si="1325"/>
        <v>6800</v>
      </c>
      <c r="IA189" s="56"/>
      <c r="ID189" s="55">
        <f t="shared" si="1326"/>
        <v>46180</v>
      </c>
      <c r="IE189" s="56"/>
      <c r="IF189" s="242">
        <f>SUMPRODUCT(PRODUCE!$B194:$DY194,PRODUCE!$EB$33:$IY$33)</f>
        <v>0</v>
      </c>
      <c r="IG189" s="56"/>
      <c r="IH189" s="242">
        <f t="shared" si="1327"/>
        <v>0</v>
      </c>
      <c r="II189" s="242">
        <f t="shared" si="1328"/>
        <v>720</v>
      </c>
      <c r="IJ189" s="56"/>
      <c r="IM189" s="55">
        <f t="shared" si="1329"/>
        <v>46180</v>
      </c>
      <c r="IN189" s="56"/>
      <c r="IO189" s="242">
        <f>SUMPRODUCT(PRODUCE!$B194:$DY194,PRODUCE!$EB$34:$IY$34)</f>
        <v>0</v>
      </c>
      <c r="IP189" s="56"/>
      <c r="IQ189" s="242">
        <f t="shared" si="1330"/>
        <v>0</v>
      </c>
      <c r="IR189" s="242">
        <f t="shared" si="1331"/>
        <v>8140</v>
      </c>
      <c r="IS189" s="56"/>
      <c r="IV189" s="55">
        <f t="shared" si="1332"/>
        <v>46180</v>
      </c>
      <c r="IW189" s="56"/>
      <c r="IX189" s="242">
        <f>SUMPRODUCT(PRODUCE!$B194:$DY194,PRODUCE!$EB$35:$IY$35)</f>
        <v>0</v>
      </c>
      <c r="IY189" s="56"/>
      <c r="IZ189" s="242">
        <f t="shared" si="1333"/>
        <v>0</v>
      </c>
      <c r="JA189" s="242">
        <f t="shared" si="1334"/>
        <v>4960</v>
      </c>
      <c r="JB189" s="56"/>
      <c r="JE189" s="55">
        <f t="shared" si="1335"/>
        <v>46180</v>
      </c>
      <c r="JF189" s="56"/>
      <c r="JG189" s="242">
        <f>SUMPRODUCT(PRODUCE!$B194:$DY194,PRODUCE!$EB$36:$IY$36)</f>
        <v>0</v>
      </c>
      <c r="JH189" s="56"/>
      <c r="JI189" s="242">
        <f t="shared" si="1336"/>
        <v>0</v>
      </c>
      <c r="JJ189" s="242">
        <f t="shared" si="1337"/>
        <v>0</v>
      </c>
      <c r="JK189" s="56"/>
      <c r="JN189" s="55">
        <f t="shared" si="1338"/>
        <v>46180</v>
      </c>
      <c r="JO189" s="56"/>
      <c r="JP189" s="242">
        <f>SUMPRODUCT(PRODUCE!$B194:$DY194,PRODUCE!$EB$37:$IY$37)</f>
        <v>0</v>
      </c>
      <c r="JQ189" s="56"/>
      <c r="JR189" s="242">
        <f t="shared" si="1339"/>
        <v>0</v>
      </c>
      <c r="JS189" s="242">
        <f t="shared" si="1340"/>
        <v>180</v>
      </c>
      <c r="JT189" s="56"/>
      <c r="JW189" s="55">
        <f t="shared" si="1341"/>
        <v>46180</v>
      </c>
      <c r="JX189" s="56"/>
      <c r="JY189" s="242">
        <f>SUMPRODUCT(PRODUCE!$B194:$DY194,PRODUCE!$EB$38:$IY$38)</f>
        <v>0</v>
      </c>
      <c r="JZ189" s="56"/>
      <c r="KA189" s="242">
        <f t="shared" si="1342"/>
        <v>0</v>
      </c>
      <c r="KB189" s="242">
        <f t="shared" si="1343"/>
        <v>2540</v>
      </c>
      <c r="KC189" s="56"/>
      <c r="KF189" s="55">
        <f t="shared" si="1344"/>
        <v>46180</v>
      </c>
      <c r="KG189" s="56"/>
      <c r="KH189" s="242">
        <f>SUMPRODUCT(PRODUCE!$B194:$DY194,PRODUCE!$EB$39:$IY$39)</f>
        <v>0</v>
      </c>
      <c r="KI189" s="56"/>
      <c r="KJ189" s="242">
        <f t="shared" si="1345"/>
        <v>0</v>
      </c>
      <c r="KK189" s="242">
        <f t="shared" si="1346"/>
        <v>2359.5</v>
      </c>
      <c r="KL189" s="56"/>
      <c r="KO189" s="55">
        <f t="shared" si="1347"/>
        <v>46180</v>
      </c>
      <c r="KP189" s="56"/>
      <c r="KQ189" s="242">
        <f>SUMPRODUCT(PRODUCE!$B194:$DY194,PRODUCE!$EB$40:$IY$40)</f>
        <v>0</v>
      </c>
      <c r="KR189" s="56"/>
      <c r="KS189" s="242">
        <f t="shared" si="1348"/>
        <v>0</v>
      </c>
      <c r="KT189" s="242">
        <f t="shared" si="1349"/>
        <v>1890</v>
      </c>
      <c r="KU189" s="56"/>
      <c r="KW189" s="23"/>
      <c r="KX189" s="55">
        <f t="shared" si="1350"/>
        <v>46180</v>
      </c>
      <c r="KY189" s="56"/>
      <c r="KZ189" s="242">
        <f>SUMPRODUCT(PRODUCE!$B194:$DY194,PRODUCE!$EB$41:$IY$41)</f>
        <v>0</v>
      </c>
      <c r="LA189" s="56"/>
      <c r="LB189" s="242">
        <f t="shared" si="1351"/>
        <v>0</v>
      </c>
      <c r="LC189" s="242">
        <f t="shared" si="1352"/>
        <v>3690</v>
      </c>
      <c r="LD189" s="56"/>
      <c r="LG189" s="55">
        <f t="shared" si="1353"/>
        <v>46180</v>
      </c>
      <c r="LH189" s="56"/>
      <c r="LI189" s="242">
        <f>SUMPRODUCT(PRODUCE!$B194:$DY194,PRODUCE!$EB$42:$IY$42)</f>
        <v>0</v>
      </c>
      <c r="LJ189" s="56"/>
      <c r="LK189" s="242">
        <f t="shared" si="1354"/>
        <v>0</v>
      </c>
      <c r="LL189" s="242">
        <f t="shared" si="1355"/>
        <v>4000</v>
      </c>
      <c r="LM189" s="56"/>
      <c r="LP189" s="55">
        <f t="shared" si="1356"/>
        <v>46180</v>
      </c>
      <c r="LQ189" s="56"/>
      <c r="LR189" s="242">
        <f>SUMPRODUCT(PRODUCE!$B194:$DY194,PRODUCE!$EB$43:$IY$43)</f>
        <v>0</v>
      </c>
      <c r="LS189" s="56"/>
      <c r="LT189" s="242">
        <f t="shared" si="1357"/>
        <v>0</v>
      </c>
      <c r="LU189" s="242">
        <f t="shared" si="1358"/>
        <v>0</v>
      </c>
      <c r="LV189" s="56"/>
      <c r="LY189" s="55">
        <f t="shared" si="1359"/>
        <v>46180</v>
      </c>
      <c r="LZ189" s="56"/>
      <c r="MA189" s="242">
        <f>SUMPRODUCT(PRODUCE!$B194:$DY194,PRODUCE!$EB$44:$IY$44)</f>
        <v>0</v>
      </c>
      <c r="MB189" s="56"/>
      <c r="MC189" s="242">
        <f t="shared" si="1360"/>
        <v>0</v>
      </c>
      <c r="MD189" s="242">
        <f t="shared" si="1361"/>
        <v>0</v>
      </c>
      <c r="ME189" s="56"/>
      <c r="MH189" s="55">
        <f t="shared" si="1362"/>
        <v>46180</v>
      </c>
      <c r="MI189" s="56"/>
      <c r="MJ189" s="242">
        <f>SUMPRODUCT(PRODUCE!$B194:$DY194,PRODUCE!$EB$45:$IY$45)</f>
        <v>0</v>
      </c>
      <c r="MK189" s="56"/>
      <c r="ML189" s="242">
        <f t="shared" si="1363"/>
        <v>0</v>
      </c>
      <c r="MM189" s="242">
        <f t="shared" si="1364"/>
        <v>0</v>
      </c>
      <c r="MN189" s="56"/>
      <c r="MQ189" s="55">
        <f t="shared" si="1365"/>
        <v>46180</v>
      </c>
      <c r="MR189" s="56"/>
      <c r="MS189" s="242">
        <f>SUMPRODUCT(PRODUCE!$B194:$DY194,PRODUCE!$EB$46:$IY$46)</f>
        <v>0</v>
      </c>
      <c r="MT189" s="56"/>
      <c r="MU189" s="242">
        <f t="shared" si="1366"/>
        <v>0</v>
      </c>
      <c r="MV189" s="242">
        <f t="shared" si="1367"/>
        <v>3724</v>
      </c>
      <c r="MW189" s="56"/>
      <c r="MZ189" s="55">
        <f t="shared" si="1368"/>
        <v>46180</v>
      </c>
      <c r="NA189" s="56"/>
      <c r="NB189" s="242">
        <f>SUMPRODUCT(PRODUCE!$B194:$DY194,PRODUCE!$EB$47:$IY$47)</f>
        <v>0</v>
      </c>
      <c r="NC189" s="56"/>
      <c r="ND189" s="242">
        <f t="shared" si="1369"/>
        <v>0</v>
      </c>
      <c r="NE189" s="242">
        <f t="shared" si="1370"/>
        <v>0</v>
      </c>
      <c r="NF189" s="56"/>
      <c r="NI189" s="55">
        <f t="shared" si="1371"/>
        <v>46180</v>
      </c>
      <c r="NJ189" s="56"/>
      <c r="NK189" s="242">
        <f>SUMPRODUCT(PRODUCE!$B194:$DY194,PRODUCE!$EB$48:$IY$48)</f>
        <v>0</v>
      </c>
      <c r="NL189" s="56"/>
      <c r="NM189" s="242">
        <f t="shared" si="1372"/>
        <v>0</v>
      </c>
      <c r="NN189" s="242">
        <f t="shared" si="1373"/>
        <v>1127</v>
      </c>
      <c r="NO189" s="56"/>
      <c r="NR189" s="55">
        <f t="shared" si="1374"/>
        <v>46180</v>
      </c>
      <c r="NS189" s="56"/>
      <c r="NT189" s="242">
        <f>SUMPRODUCT(PRODUCE!$B194:$DY194,PRODUCE!$EB$49:$IY$49)</f>
        <v>0</v>
      </c>
      <c r="NU189" s="56"/>
      <c r="NV189" s="242">
        <f t="shared" si="1375"/>
        <v>0</v>
      </c>
      <c r="NW189" s="242">
        <f t="shared" si="1376"/>
        <v>3111.9999999999995</v>
      </c>
      <c r="NX189" s="56"/>
      <c r="OA189" s="55">
        <f t="shared" si="1377"/>
        <v>46180</v>
      </c>
      <c r="OB189" s="56"/>
      <c r="OC189" s="242">
        <f>SUMPRODUCT(PRODUCE!$B194:$DY194,PRODUCE!$EB$50:$IY$50)</f>
        <v>0</v>
      </c>
      <c r="OD189" s="56"/>
      <c r="OE189" s="242">
        <f t="shared" si="1378"/>
        <v>0</v>
      </c>
      <c r="OF189" s="242">
        <f t="shared" si="1379"/>
        <v>1680.5</v>
      </c>
      <c r="OG189" s="56"/>
      <c r="OJ189" s="55">
        <f t="shared" si="1380"/>
        <v>46180</v>
      </c>
      <c r="OK189" s="56"/>
      <c r="OL189" s="242">
        <f>SUMPRODUCT(PRODUCE!$B194:$DY194,PRODUCE!$EB$51:$IY$51)</f>
        <v>0</v>
      </c>
      <c r="OM189" s="56"/>
      <c r="ON189" s="242">
        <f t="shared" si="1381"/>
        <v>0</v>
      </c>
      <c r="OO189" s="242">
        <f t="shared" si="1382"/>
        <v>0</v>
      </c>
      <c r="OP189" s="56"/>
      <c r="OS189" s="55">
        <f t="shared" si="1383"/>
        <v>46180</v>
      </c>
      <c r="OT189" s="56"/>
      <c r="OU189" s="242">
        <f>SUMPRODUCT(PRODUCE!$B194:$DY194,PRODUCE!$EB$52:$IY$52)</f>
        <v>0</v>
      </c>
      <c r="OV189" s="56"/>
      <c r="OW189" s="242">
        <f t="shared" si="1384"/>
        <v>0</v>
      </c>
      <c r="OX189" s="242">
        <f t="shared" si="1385"/>
        <v>1482</v>
      </c>
      <c r="OY189" s="56"/>
      <c r="PB189" s="55">
        <f t="shared" si="1386"/>
        <v>46180</v>
      </c>
      <c r="PC189" s="56"/>
      <c r="PD189" s="242">
        <f>SUMPRODUCT(PRODUCE!$B194:$DY194,PRODUCE!$EB$53:$IY$53)</f>
        <v>0</v>
      </c>
      <c r="PE189" s="56"/>
      <c r="PF189" s="242">
        <f t="shared" si="1387"/>
        <v>0</v>
      </c>
      <c r="PG189" s="242">
        <f t="shared" si="1388"/>
        <v>0</v>
      </c>
      <c r="PH189" s="56"/>
      <c r="PK189" s="55">
        <f t="shared" si="1389"/>
        <v>46180</v>
      </c>
      <c r="PL189" s="56"/>
      <c r="PM189" s="242">
        <f>SUMPRODUCT(PRODUCE!$B194:$DY194,PRODUCE!$EB$54:$IY$54)</f>
        <v>0</v>
      </c>
      <c r="PN189" s="56"/>
      <c r="PO189" s="242">
        <f t="shared" ref="PO189:PO212" si="1494">PM189-PN189</f>
        <v>0</v>
      </c>
      <c r="PP189" s="242">
        <f t="shared" ref="PP189:PP212" si="1495">PP188+PL189-PN189</f>
        <v>100</v>
      </c>
      <c r="PQ189" s="56"/>
      <c r="PT189" s="55">
        <f t="shared" si="1392"/>
        <v>46180</v>
      </c>
      <c r="PU189" s="56"/>
      <c r="PV189" s="242">
        <f>SUMPRODUCT(PRODUCE!$B194:$DY194,PRODUCE!$EB$55:$IY$55)</f>
        <v>0</v>
      </c>
      <c r="PW189" s="56"/>
      <c r="PX189" s="242">
        <f t="shared" si="1393"/>
        <v>0</v>
      </c>
      <c r="PY189" s="242">
        <f t="shared" si="1394"/>
        <v>13.960000000000036</v>
      </c>
      <c r="PZ189" s="56"/>
      <c r="QC189" s="55">
        <f t="shared" si="1395"/>
        <v>46180</v>
      </c>
      <c r="QD189" s="56"/>
      <c r="QE189" s="242">
        <f>SUMPRODUCT(PRODUCE!$B194:$DY194,PRODUCE!$EB$56:$IY$56)</f>
        <v>0</v>
      </c>
      <c r="QF189" s="56"/>
      <c r="QG189" s="242">
        <f t="shared" si="1396"/>
        <v>0</v>
      </c>
      <c r="QH189" s="242">
        <f t="shared" si="1397"/>
        <v>1736</v>
      </c>
      <c r="QI189" s="56"/>
      <c r="QL189" s="55">
        <f t="shared" si="1398"/>
        <v>46180</v>
      </c>
      <c r="QM189" s="56"/>
      <c r="QN189" s="242">
        <f>SUMPRODUCT(PRODUCE!$B194:$DY194,PRODUCE!$EB$57:$IY$57)</f>
        <v>0</v>
      </c>
      <c r="QO189" s="56"/>
      <c r="QP189" s="242">
        <f t="shared" si="1399"/>
        <v>0</v>
      </c>
      <c r="QQ189" s="242">
        <f t="shared" si="1400"/>
        <v>475</v>
      </c>
      <c r="QR189" s="56"/>
      <c r="QU189" s="55">
        <f t="shared" si="1401"/>
        <v>46180</v>
      </c>
      <c r="QV189" s="56"/>
      <c r="QW189" s="242">
        <f>SUMPRODUCT(PRODUCE!$B194:$DY194,PRODUCE!$EB$58:$IY$58)</f>
        <v>0</v>
      </c>
      <c r="QX189" s="56"/>
      <c r="QY189" s="242">
        <f t="shared" si="1402"/>
        <v>0</v>
      </c>
      <c r="QZ189" s="242">
        <f t="shared" si="1403"/>
        <v>207.6</v>
      </c>
      <c r="RA189" s="56"/>
      <c r="RD189" s="55">
        <f t="shared" si="1404"/>
        <v>46180</v>
      </c>
      <c r="RE189" s="56"/>
      <c r="RF189" s="242">
        <f>SUMPRODUCT(PRODUCE!$B194:$DY194,PRODUCE!$EB$59:$IY$59)</f>
        <v>0</v>
      </c>
      <c r="RG189" s="56"/>
      <c r="RH189" s="242">
        <f t="shared" si="1405"/>
        <v>0</v>
      </c>
      <c r="RI189" s="242">
        <f t="shared" si="1406"/>
        <v>147.04000000000002</v>
      </c>
      <c r="RJ189" s="56"/>
      <c r="RM189" s="55">
        <f t="shared" si="1407"/>
        <v>46180</v>
      </c>
      <c r="RN189" s="56"/>
      <c r="RO189" s="242">
        <f>SUMPRODUCT(PRODUCE!$B194:$DY194,PRODUCE!$EB$60:$IY$60)</f>
        <v>0</v>
      </c>
      <c r="RP189" s="56"/>
      <c r="RQ189" s="242">
        <f t="shared" si="1408"/>
        <v>0</v>
      </c>
      <c r="RR189" s="242">
        <f t="shared" si="1409"/>
        <v>46.8</v>
      </c>
      <c r="RS189" s="56"/>
      <c r="RV189" s="55">
        <f t="shared" si="1410"/>
        <v>46180</v>
      </c>
      <c r="RW189" s="56"/>
      <c r="RX189" s="242">
        <f>SUMPRODUCT(PRODUCE!$B194:$DY194,PRODUCE!$EB$61:$IY$61)</f>
        <v>0</v>
      </c>
      <c r="RY189" s="56"/>
      <c r="RZ189" s="242">
        <f t="shared" si="1411"/>
        <v>0</v>
      </c>
      <c r="SA189" s="242">
        <f t="shared" si="1412"/>
        <v>0</v>
      </c>
      <c r="SB189" s="56"/>
      <c r="SE189" s="55">
        <f t="shared" si="1413"/>
        <v>46180</v>
      </c>
      <c r="SF189" s="56"/>
      <c r="SG189" s="242">
        <f>SUMPRODUCT(PRODUCE!$B194:$DY194,PRODUCE!$EB$62:$IY$62)</f>
        <v>0</v>
      </c>
      <c r="SH189" s="56"/>
      <c r="SI189" s="242">
        <f t="shared" si="1414"/>
        <v>0</v>
      </c>
      <c r="SJ189" s="242">
        <f t="shared" si="1415"/>
        <v>24.200000000000003</v>
      </c>
      <c r="SK189" s="56"/>
      <c r="SN189" s="55">
        <f t="shared" si="1416"/>
        <v>46180</v>
      </c>
      <c r="SO189" s="56"/>
      <c r="SP189" s="242">
        <f>SUMPRODUCT(PRODUCE!$B194:$DY194,PRODUCE!$EB$63:$IY$63)</f>
        <v>0</v>
      </c>
      <c r="SQ189" s="56"/>
      <c r="SR189" s="242">
        <f t="shared" si="1417"/>
        <v>0</v>
      </c>
      <c r="SS189" s="242">
        <f t="shared" si="1418"/>
        <v>32</v>
      </c>
      <c r="ST189" s="56"/>
      <c r="SW189" s="55">
        <f t="shared" si="1419"/>
        <v>46180</v>
      </c>
      <c r="SX189" s="56"/>
      <c r="SY189" s="242">
        <f>SUMPRODUCT(PRODUCE!$B194:$DY194,PRODUCE!$EB$64:$IY$64)</f>
        <v>0</v>
      </c>
      <c r="SZ189" s="56"/>
      <c r="TA189" s="242">
        <f t="shared" si="1420"/>
        <v>0</v>
      </c>
      <c r="TB189" s="242">
        <f t="shared" si="1421"/>
        <v>0</v>
      </c>
      <c r="TC189" s="56"/>
      <c r="TF189" s="55">
        <f t="shared" si="1422"/>
        <v>46180</v>
      </c>
      <c r="TG189" s="56"/>
      <c r="TH189" s="242">
        <f>SUMPRODUCT(PRODUCE!$B194:$DY194,PRODUCE!$EB$65:$IY$65)</f>
        <v>0</v>
      </c>
      <c r="TI189" s="56"/>
      <c r="TJ189" s="242">
        <f t="shared" si="1423"/>
        <v>0</v>
      </c>
      <c r="TK189" s="242">
        <f t="shared" si="1424"/>
        <v>0</v>
      </c>
      <c r="TL189" s="56"/>
      <c r="TO189" s="55">
        <f t="shared" si="1425"/>
        <v>46180</v>
      </c>
      <c r="TP189" s="56"/>
      <c r="TQ189" s="242">
        <f>SUMPRODUCT(PRODUCE!$B194:$DY194,PRODUCE!$EB$66:$IY$66)</f>
        <v>0</v>
      </c>
      <c r="TR189" s="56"/>
      <c r="TS189" s="242">
        <f t="shared" si="1426"/>
        <v>0</v>
      </c>
      <c r="TT189" s="242">
        <f t="shared" si="1427"/>
        <v>82.4</v>
      </c>
      <c r="TU189" s="56"/>
      <c r="TX189" s="55">
        <f t="shared" si="1428"/>
        <v>46180</v>
      </c>
      <c r="TY189" s="56"/>
      <c r="TZ189" s="242">
        <f>SUMPRODUCT(PRODUCE!$B194:$DY194,PRODUCE!$EB$67:$IY$67)</f>
        <v>0</v>
      </c>
      <c r="UA189" s="56"/>
      <c r="UB189" s="242">
        <f t="shared" si="1429"/>
        <v>0</v>
      </c>
      <c r="UC189" s="242">
        <f t="shared" si="1430"/>
        <v>169.2</v>
      </c>
      <c r="UD189" s="56"/>
      <c r="UG189" s="55">
        <f t="shared" si="1431"/>
        <v>46180</v>
      </c>
      <c r="UH189" s="56"/>
      <c r="UI189" s="242">
        <f>SUMPRODUCT(PRODUCE!$B194:$DY194,PRODUCE!$EB$68:$IY$68)</f>
        <v>0</v>
      </c>
      <c r="UJ189" s="56"/>
      <c r="UK189" s="242">
        <f t="shared" si="1432"/>
        <v>0</v>
      </c>
      <c r="UL189" s="242">
        <f t="shared" si="1433"/>
        <v>204</v>
      </c>
      <c r="UM189" s="56"/>
      <c r="UP189" s="55">
        <f t="shared" si="1434"/>
        <v>46180</v>
      </c>
      <c r="UQ189" s="56"/>
      <c r="UR189" s="242">
        <f>SUMPRODUCT(PRODUCE!$B194:$DY194,PRODUCE!$EB$69:$IY$69)</f>
        <v>0</v>
      </c>
      <c r="US189" s="56"/>
      <c r="UT189" s="242">
        <f t="shared" si="1435"/>
        <v>0</v>
      </c>
      <c r="UU189" s="242">
        <f t="shared" si="1436"/>
        <v>251.25</v>
      </c>
      <c r="UV189" s="56"/>
      <c r="UY189" s="55">
        <f t="shared" si="1437"/>
        <v>46180</v>
      </c>
      <c r="UZ189" s="56"/>
      <c r="VA189" s="242">
        <f>SUMPRODUCT(PRODUCE!$B194:$DY194,PRODUCE!$EB$70:$IY$70)</f>
        <v>0</v>
      </c>
      <c r="VB189" s="56"/>
      <c r="VC189" s="242">
        <f t="shared" si="1438"/>
        <v>0</v>
      </c>
      <c r="VD189" s="242">
        <f t="shared" si="1439"/>
        <v>41.600000000000023</v>
      </c>
      <c r="VE189" s="56"/>
      <c r="VH189" s="55">
        <f t="shared" si="1440"/>
        <v>46180</v>
      </c>
      <c r="VI189" s="56"/>
      <c r="VJ189" s="242">
        <f>SUMPRODUCT(PRODUCE!$B194:$DY194,PRODUCE!$EB$71:$IY$71)</f>
        <v>0</v>
      </c>
      <c r="VK189" s="56"/>
      <c r="VL189" s="242">
        <f t="shared" si="1441"/>
        <v>0</v>
      </c>
      <c r="VM189" s="242">
        <f t="shared" si="1442"/>
        <v>210</v>
      </c>
      <c r="VN189" s="56"/>
      <c r="VQ189" s="55">
        <f t="shared" si="1443"/>
        <v>46180</v>
      </c>
      <c r="VR189" s="56"/>
      <c r="VS189" s="242">
        <f>SUMPRODUCT(PRODUCE!$B194:$DY194,PRODUCE!$EB$57:$IY$57)</f>
        <v>0</v>
      </c>
      <c r="VT189" s="56"/>
      <c r="VU189" s="242">
        <f t="shared" si="1444"/>
        <v>0</v>
      </c>
      <c r="VV189" s="242">
        <f t="shared" si="1445"/>
        <v>0</v>
      </c>
      <c r="VW189" s="56"/>
      <c r="VZ189" s="55">
        <f t="shared" si="1446"/>
        <v>46180</v>
      </c>
      <c r="WA189" s="56"/>
      <c r="WB189" s="242">
        <f>SUMPRODUCT(PRODUCE!$B194:$DY194,PRODUCE!$EB$57:$IY$57)</f>
        <v>0</v>
      </c>
      <c r="WC189" s="56"/>
      <c r="WD189" s="242">
        <f t="shared" si="1447"/>
        <v>0</v>
      </c>
      <c r="WE189" s="242">
        <f t="shared" si="1448"/>
        <v>0</v>
      </c>
      <c r="WF189" s="56"/>
      <c r="WI189" s="55">
        <f t="shared" si="1449"/>
        <v>46180</v>
      </c>
      <c r="WJ189" s="422"/>
      <c r="WK189" s="540">
        <f>SUMPRODUCT(PRODUCE!$B194:$DY194,PRODUCE!$EB$74:$IY$74)</f>
        <v>0</v>
      </c>
      <c r="WL189" s="422"/>
      <c r="WM189" s="540">
        <f t="shared" si="1450"/>
        <v>0</v>
      </c>
      <c r="WN189" s="540">
        <f t="shared" si="1451"/>
        <v>1199</v>
      </c>
      <c r="WO189" s="56"/>
      <c r="WR189" s="55">
        <f t="shared" si="1452"/>
        <v>46180</v>
      </c>
      <c r="WS189" s="422"/>
      <c r="WT189" s="540">
        <f>SUMPRODUCT(PRODUCE!$B194:$DY194,PRODUCE!$EB$75:$IY$75)</f>
        <v>0</v>
      </c>
      <c r="WU189" s="422"/>
      <c r="WV189" s="540">
        <f t="shared" si="1453"/>
        <v>0</v>
      </c>
      <c r="WW189" s="540">
        <f t="shared" si="1454"/>
        <v>0</v>
      </c>
      <c r="WX189" s="56"/>
      <c r="XA189" s="55">
        <f t="shared" si="1455"/>
        <v>46180</v>
      </c>
      <c r="XB189" s="422"/>
      <c r="XC189" s="540">
        <f>SUMPRODUCT(PRODUCE!$B194:$DY194,PRODUCE!$EB$76:$IY$76)</f>
        <v>0</v>
      </c>
      <c r="XD189" s="422"/>
      <c r="XE189" s="540">
        <f t="shared" si="1456"/>
        <v>0</v>
      </c>
      <c r="XF189" s="540">
        <f t="shared" si="1457"/>
        <v>6813</v>
      </c>
      <c r="XG189" s="56"/>
      <c r="XJ189" s="55">
        <f t="shared" si="1458"/>
        <v>46180</v>
      </c>
      <c r="XK189" s="422"/>
      <c r="XL189" s="540">
        <f>SUMPRODUCT(PRODUCE!$B194:$DY194,PRODUCE!$EB$77:$IY$77)</f>
        <v>0</v>
      </c>
      <c r="XM189" s="422"/>
      <c r="XN189" s="540">
        <f t="shared" si="1459"/>
        <v>0</v>
      </c>
      <c r="XO189" s="540">
        <f t="shared" si="1460"/>
        <v>6197</v>
      </c>
      <c r="XP189" s="56"/>
      <c r="XS189" s="55">
        <f t="shared" si="1461"/>
        <v>46180</v>
      </c>
      <c r="XT189" s="56"/>
      <c r="XU189" s="242">
        <f>SUMPRODUCT(PRODUCE!$B194:$DY194,PRODUCE!$EB$78:$IY$78)</f>
        <v>0</v>
      </c>
      <c r="XV189" s="56"/>
      <c r="XW189" s="242">
        <f t="shared" si="1462"/>
        <v>0</v>
      </c>
      <c r="XX189" s="242">
        <f t="shared" si="1463"/>
        <v>1621</v>
      </c>
      <c r="XY189" s="56"/>
      <c r="YB189" s="55">
        <f t="shared" si="1464"/>
        <v>46180</v>
      </c>
      <c r="YC189" s="56"/>
      <c r="YD189" s="242">
        <f>SUMPRODUCT(PRODUCE!$B194:$DY194,PRODUCE!$EB$79:$IY$79)</f>
        <v>0</v>
      </c>
      <c r="YE189" s="56"/>
      <c r="YF189" s="242">
        <f t="shared" si="1465"/>
        <v>0</v>
      </c>
      <c r="YG189" s="242">
        <f t="shared" si="1466"/>
        <v>5083</v>
      </c>
      <c r="YH189" s="56"/>
      <c r="YK189" s="55">
        <f t="shared" si="1467"/>
        <v>46180</v>
      </c>
      <c r="YL189" s="56"/>
      <c r="YM189" s="242">
        <f>SUMPRODUCT(PRODUCE!$B194:$DY194,PRODUCE!$EB$80:$IY$80)</f>
        <v>0</v>
      </c>
      <c r="YN189" s="56"/>
      <c r="YO189" s="242">
        <f t="shared" si="1468"/>
        <v>0</v>
      </c>
      <c r="YP189" s="242">
        <f t="shared" si="1469"/>
        <v>0</v>
      </c>
      <c r="YQ189" s="56"/>
      <c r="YT189" s="55">
        <f t="shared" si="1470"/>
        <v>46180</v>
      </c>
      <c r="YU189" s="56"/>
      <c r="YV189" s="242">
        <f>SUMPRODUCT(PRODUCE!$B194:$DY194,PRODUCE!$EB$57:$IY$57)</f>
        <v>0</v>
      </c>
      <c r="YW189" s="56"/>
      <c r="YX189" s="242">
        <f t="shared" si="1471"/>
        <v>0</v>
      </c>
      <c r="YY189" s="242">
        <f t="shared" si="1472"/>
        <v>0</v>
      </c>
      <c r="YZ189" s="56"/>
      <c r="ZC189" s="55">
        <f t="shared" si="1473"/>
        <v>46180</v>
      </c>
      <c r="ZD189" s="56"/>
      <c r="ZE189" s="242">
        <f>SUMPRODUCT(PRODUCE!$B194:$DY194,PRODUCE!$EB$57:$IY$57)</f>
        <v>0</v>
      </c>
      <c r="ZF189" s="56"/>
      <c r="ZG189" s="242">
        <f t="shared" si="1474"/>
        <v>0</v>
      </c>
      <c r="ZH189" s="242">
        <f t="shared" si="1475"/>
        <v>0</v>
      </c>
      <c r="ZI189" s="56"/>
      <c r="ZL189" s="55">
        <f t="shared" si="1476"/>
        <v>46180</v>
      </c>
      <c r="ZM189" s="56"/>
      <c r="ZN189" s="242">
        <f>SUMPRODUCT(PRODUCE!$B194:$DY194,PRODUCE!$EB$57:$IY$57)</f>
        <v>0</v>
      </c>
      <c r="ZO189" s="56"/>
      <c r="ZP189" s="242">
        <f t="shared" si="1477"/>
        <v>0</v>
      </c>
      <c r="ZQ189" s="242">
        <f t="shared" si="1478"/>
        <v>0</v>
      </c>
      <c r="ZR189" s="56"/>
      <c r="ZU189" s="55">
        <f t="shared" si="1479"/>
        <v>46180</v>
      </c>
      <c r="ZV189" s="56"/>
      <c r="ZW189" s="242">
        <f>SUMPRODUCT(PRODUCE!$B194:$DY194,PRODUCE!$EB$57:$IY$57)</f>
        <v>0</v>
      </c>
      <c r="ZX189" s="56"/>
      <c r="ZY189" s="242">
        <f t="shared" si="1480"/>
        <v>0</v>
      </c>
      <c r="ZZ189" s="242">
        <f t="shared" si="1481"/>
        <v>0</v>
      </c>
      <c r="AAA189" s="56"/>
      <c r="AAD189" s="55">
        <f t="shared" si="1482"/>
        <v>46180</v>
      </c>
      <c r="AAE189" s="56"/>
      <c r="AAF189" s="242">
        <f>SUMPRODUCT(PRODUCE!$B194:$DY194,PRODUCE!$EB$57:$IY$57)</f>
        <v>0</v>
      </c>
      <c r="AAG189" s="56"/>
      <c r="AAH189" s="242">
        <f t="shared" si="1483"/>
        <v>0</v>
      </c>
      <c r="AAI189" s="242">
        <f t="shared" si="1484"/>
        <v>0</v>
      </c>
      <c r="AAJ189" s="56"/>
      <c r="AAM189" s="55">
        <f t="shared" si="1485"/>
        <v>46180</v>
      </c>
      <c r="AAN189" s="56"/>
      <c r="AAO189" s="242">
        <f>SUMPRODUCT(PRODUCE!$B194:$DY194,PRODUCE!$EB$57:$IY$57)</f>
        <v>0</v>
      </c>
      <c r="AAP189" s="56"/>
      <c r="AAQ189" s="242">
        <f t="shared" si="1486"/>
        <v>0</v>
      </c>
      <c r="AAR189" s="242">
        <f t="shared" si="1487"/>
        <v>0</v>
      </c>
      <c r="AAS189" s="56"/>
      <c r="AAV189" s="55">
        <f t="shared" si="1488"/>
        <v>46180</v>
      </c>
      <c r="AAW189" s="56"/>
      <c r="AAX189" s="242">
        <f>SUMPRODUCT(PRODUCE!$B194:$DY194,PRODUCE!$EB$57:$IY$57)</f>
        <v>0</v>
      </c>
      <c r="AAY189" s="56"/>
      <c r="AAZ189" s="242">
        <f t="shared" si="1489"/>
        <v>0</v>
      </c>
      <c r="ABA189" s="242">
        <f t="shared" si="1490"/>
        <v>0</v>
      </c>
      <c r="ABB189" s="56"/>
      <c r="ABE189" s="55">
        <f t="shared" si="1491"/>
        <v>46180</v>
      </c>
      <c r="ABF189" s="56"/>
      <c r="ABG189" s="242">
        <f>SUMPRODUCT(PRODUCE!$B194:$DY194,PRODUCE!$EB$57:$IY$57)</f>
        <v>0</v>
      </c>
      <c r="ABH189" s="56"/>
      <c r="ABI189" s="242">
        <f t="shared" si="1492"/>
        <v>0</v>
      </c>
      <c r="ABJ189" s="242">
        <f t="shared" si="1493"/>
        <v>0</v>
      </c>
      <c r="ABK189" s="56"/>
    </row>
    <row r="190" spans="1:739" s="54" customFormat="1" ht="15" customHeight="1" outlineLevel="1">
      <c r="B190" s="478">
        <f>20+40</f>
        <v>60</v>
      </c>
      <c r="C190" s="55">
        <v>46181</v>
      </c>
      <c r="D190" s="422"/>
      <c r="E190" s="423">
        <f>SUMPRODUCT(PRODUCE!$B195:$DY195,PRODUCE!$EB$7:$IY$7)</f>
        <v>33218.1</v>
      </c>
      <c r="F190" s="422">
        <v>33221.4</v>
      </c>
      <c r="G190" s="423">
        <f t="shared" si="1249"/>
        <v>-3.3000000000029104</v>
      </c>
      <c r="H190" s="423">
        <f t="shared" si="1250"/>
        <v>153454.00000000009</v>
      </c>
      <c r="I190" s="289" t="s">
        <v>284</v>
      </c>
      <c r="L190" s="55">
        <f t="shared" si="1251"/>
        <v>46181</v>
      </c>
      <c r="M190" s="422"/>
      <c r="N190" s="438">
        <f>SUMPRODUCT(PRODUCE!$B195:$DY195,PRODUCE!$EB$8:$IY$8)</f>
        <v>18637.7</v>
      </c>
      <c r="O190" s="422">
        <v>18636</v>
      </c>
      <c r="P190" s="438">
        <f t="shared" si="1252"/>
        <v>1.7000000000007276</v>
      </c>
      <c r="Q190" s="438">
        <f t="shared" si="1253"/>
        <v>48186.600000000064</v>
      </c>
      <c r="R190" s="56"/>
      <c r="U190" s="55">
        <f t="shared" si="1254"/>
        <v>46181</v>
      </c>
      <c r="V190" s="422"/>
      <c r="W190" s="440">
        <f>SUMPRODUCT(PRODUCE!$B195:$DY195,PRODUCE!$EB$9:$IY$9)</f>
        <v>3200</v>
      </c>
      <c r="X190" s="422">
        <v>3200.8</v>
      </c>
      <c r="Y190" s="440">
        <f t="shared" si="1255"/>
        <v>-0.8000000000001819</v>
      </c>
      <c r="Z190" s="440">
        <f t="shared" si="1256"/>
        <v>30582.099999999973</v>
      </c>
      <c r="AA190" s="56"/>
      <c r="AD190" s="55">
        <f t="shared" si="1257"/>
        <v>46181</v>
      </c>
      <c r="AE190" s="422"/>
      <c r="AF190" s="442">
        <f>SUMPRODUCT(PRODUCE!$B195:$DY195,PRODUCE!$EB$10:$IY$10)</f>
        <v>0</v>
      </c>
      <c r="AG190" s="422"/>
      <c r="AH190" s="442">
        <f t="shared" si="1258"/>
        <v>0</v>
      </c>
      <c r="AI190" s="442">
        <f t="shared" si="1259"/>
        <v>11593.100000000019</v>
      </c>
      <c r="AJ190" s="56"/>
      <c r="AM190" s="55">
        <f t="shared" si="1260"/>
        <v>46181</v>
      </c>
      <c r="AN190" s="422"/>
      <c r="AO190" s="444">
        <f>SUMPRODUCT(PRODUCE!$B195:$DY195,PRODUCE!$EB$11:$IY$11)</f>
        <v>0</v>
      </c>
      <c r="AP190" s="422"/>
      <c r="AQ190" s="444">
        <f t="shared" si="1261"/>
        <v>0</v>
      </c>
      <c r="AR190" s="444">
        <f t="shared" si="1262"/>
        <v>0</v>
      </c>
      <c r="AS190" s="56"/>
      <c r="AV190" s="55">
        <f t="shared" si="1263"/>
        <v>46181</v>
      </c>
      <c r="AW190" s="422"/>
      <c r="AX190" s="446">
        <f>SUMPRODUCT(PRODUCE!$B195:$DY195,PRODUCE!$EB$12:$IY$12)</f>
        <v>0</v>
      </c>
      <c r="AY190" s="422"/>
      <c r="AZ190" s="446">
        <f t="shared" si="1264"/>
        <v>0</v>
      </c>
      <c r="BA190" s="446">
        <f t="shared" si="1265"/>
        <v>16315.999999999996</v>
      </c>
      <c r="BB190" s="56"/>
      <c r="BE190" s="55">
        <f t="shared" si="1266"/>
        <v>46181</v>
      </c>
      <c r="BF190" s="422"/>
      <c r="BG190" s="448">
        <f>SUMPRODUCT(PRODUCE!$B195:$DY195,PRODUCE!$EB$13:$IY$13)</f>
        <v>780</v>
      </c>
      <c r="BH190" s="422">
        <v>780.7</v>
      </c>
      <c r="BI190" s="448">
        <f t="shared" si="1267"/>
        <v>-0.70000000000004547</v>
      </c>
      <c r="BJ190" s="448">
        <f t="shared" si="1268"/>
        <v>31159.999999999996</v>
      </c>
      <c r="BK190" s="56"/>
      <c r="BN190" s="55">
        <f t="shared" si="1269"/>
        <v>46181</v>
      </c>
      <c r="BO190" s="422">
        <v>1040.0999999999999</v>
      </c>
      <c r="BP190" s="450">
        <f>SUMPRODUCT(PRODUCE!$B195:$DY195,PRODUCE!$EB$14:$IY$14)</f>
        <v>1040</v>
      </c>
      <c r="BQ190" s="422">
        <v>1040.0999999999999</v>
      </c>
      <c r="BR190" s="450">
        <f t="shared" si="1270"/>
        <v>-9.9999999999909051E-2</v>
      </c>
      <c r="BS190" s="450">
        <f t="shared" si="1271"/>
        <v>0</v>
      </c>
      <c r="BT190" s="56"/>
      <c r="BW190" s="55">
        <f t="shared" si="1272"/>
        <v>46181</v>
      </c>
      <c r="BX190" s="422"/>
      <c r="BY190" s="523">
        <f>SUMPRODUCT(PRODUCE!$B195:$DY195,PRODUCE!$EB$15:$IY$15)</f>
        <v>147.10000000000002</v>
      </c>
      <c r="BZ190" s="422"/>
      <c r="CA190" s="523">
        <f t="shared" si="1273"/>
        <v>147.10000000000002</v>
      </c>
      <c r="CB190" s="523">
        <f t="shared" si="1274"/>
        <v>4126.6299999999992</v>
      </c>
      <c r="CC190" s="56"/>
      <c r="CF190" s="55">
        <f t="shared" si="1275"/>
        <v>46181</v>
      </c>
      <c r="CG190" s="422"/>
      <c r="CH190" s="524">
        <f>SUMPRODUCT(PRODUCE!$B195:$DY195,PRODUCE!$EB$16:$IY$16)</f>
        <v>256.8</v>
      </c>
      <c r="CI190" s="422"/>
      <c r="CJ190" s="524">
        <f t="shared" si="1276"/>
        <v>256.8</v>
      </c>
      <c r="CK190" s="524">
        <f t="shared" si="1277"/>
        <v>0</v>
      </c>
      <c r="CL190" s="56"/>
      <c r="CO190" s="55">
        <f t="shared" si="1278"/>
        <v>46181</v>
      </c>
      <c r="CP190" s="422"/>
      <c r="CQ190" s="470">
        <f>SUMPRODUCT(PRODUCE!$B195:$DY195,PRODUCE!$EB$17:$IY$17)</f>
        <v>0</v>
      </c>
      <c r="CR190" s="422"/>
      <c r="CS190" s="470">
        <f t="shared" si="1279"/>
        <v>0</v>
      </c>
      <c r="CT190" s="470">
        <f t="shared" si="1280"/>
        <v>0</v>
      </c>
      <c r="CU190" s="56"/>
      <c r="CX190" s="55">
        <f t="shared" si="1281"/>
        <v>46181</v>
      </c>
      <c r="CY190" s="422"/>
      <c r="CZ190" s="525">
        <f>SUMPRODUCT(PRODUCE!$B195:$DY195,PRODUCE!$EB$18:$IY$18)</f>
        <v>400</v>
      </c>
      <c r="DA190" s="422">
        <v>399.1</v>
      </c>
      <c r="DB190" s="525">
        <f t="shared" si="1282"/>
        <v>0.89999999999997726</v>
      </c>
      <c r="DC190" s="525">
        <f t="shared" si="1283"/>
        <v>17623.600000000006</v>
      </c>
      <c r="DD190" s="56"/>
      <c r="DG190" s="55">
        <f t="shared" si="1284"/>
        <v>46181</v>
      </c>
      <c r="DH190" s="422"/>
      <c r="DI190" s="526">
        <f>SUMPRODUCT(PRODUCE!$B195:$DY195,PRODUCE!$EB$19:$IY$19)</f>
        <v>0</v>
      </c>
      <c r="DJ190" s="422"/>
      <c r="DK190" s="526">
        <f t="shared" si="1285"/>
        <v>0</v>
      </c>
      <c r="DL190" s="526">
        <f t="shared" si="1286"/>
        <v>35234.999999999985</v>
      </c>
      <c r="DM190" s="56"/>
      <c r="DP190" s="55">
        <f t="shared" si="1287"/>
        <v>46181</v>
      </c>
      <c r="DQ190" s="56"/>
      <c r="DR190" s="57">
        <f>SUMPRODUCT(PRODUCE!$B195:$DY195,PRODUCE!$EB$20:$IY$20)</f>
        <v>0</v>
      </c>
      <c r="DS190" s="56"/>
      <c r="DT190" s="57">
        <f t="shared" si="1288"/>
        <v>0</v>
      </c>
      <c r="DU190" s="57">
        <f t="shared" si="1289"/>
        <v>5800</v>
      </c>
      <c r="DV190" s="56"/>
      <c r="DY190" s="55">
        <f t="shared" si="1290"/>
        <v>46181</v>
      </c>
      <c r="DZ190" s="56"/>
      <c r="EA190" s="157">
        <f>SUMPRODUCT(PRODUCE!$B195:$DY195,PRODUCE!$EB$21:$IY$21)</f>
        <v>0</v>
      </c>
      <c r="EB190" s="56"/>
      <c r="EC190" s="157">
        <f t="shared" si="1291"/>
        <v>0</v>
      </c>
      <c r="ED190" s="157">
        <f t="shared" si="1292"/>
        <v>0</v>
      </c>
      <c r="EE190" s="56"/>
      <c r="EH190" s="55">
        <f t="shared" si="1293"/>
        <v>46181</v>
      </c>
      <c r="EI190" s="56"/>
      <c r="EJ190" s="162">
        <f>SUMPRODUCT(PRODUCE!$B195:$DY195,PRODUCE!$EB$22:$IY$22)</f>
        <v>0</v>
      </c>
      <c r="EK190" s="56"/>
      <c r="EL190" s="162">
        <f t="shared" si="1294"/>
        <v>0</v>
      </c>
      <c r="EM190" s="162">
        <f t="shared" si="1295"/>
        <v>0</v>
      </c>
      <c r="EN190" s="56"/>
      <c r="EQ190" s="55">
        <f t="shared" si="1296"/>
        <v>46181</v>
      </c>
      <c r="ER190" s="56"/>
      <c r="ES190" s="135">
        <f>SUMPRODUCT(PRODUCE!$B195:$DY195,PRODUCE!$EB$23:$IY$23)</f>
        <v>0</v>
      </c>
      <c r="ET190" s="56"/>
      <c r="EU190" s="135">
        <f t="shared" si="1297"/>
        <v>0</v>
      </c>
      <c r="EV190" s="135">
        <f t="shared" si="1298"/>
        <v>0</v>
      </c>
      <c r="EW190" s="56"/>
      <c r="EZ190" s="55">
        <f t="shared" si="1299"/>
        <v>46181</v>
      </c>
      <c r="FA190" s="56"/>
      <c r="FB190" s="175">
        <f>SUMPRODUCT(PRODUCE!$B195:$DY195,PRODUCE!$EB$24:$IY$24)</f>
        <v>0</v>
      </c>
      <c r="FC190" s="56"/>
      <c r="FD190" s="175">
        <f t="shared" si="1300"/>
        <v>0</v>
      </c>
      <c r="FE190" s="175">
        <f t="shared" si="1301"/>
        <v>0</v>
      </c>
      <c r="FF190" s="56"/>
      <c r="FI190" s="55">
        <f t="shared" si="1302"/>
        <v>46181</v>
      </c>
      <c r="FJ190" s="56"/>
      <c r="FK190" s="183">
        <f>SUMPRODUCT(PRODUCE!$B195:$DY195,PRODUCE!$EB$25:$IY$25)</f>
        <v>0</v>
      </c>
      <c r="FL190" s="56"/>
      <c r="FM190" s="183">
        <f t="shared" si="1303"/>
        <v>0</v>
      </c>
      <c r="FN190" s="183">
        <f t="shared" si="1304"/>
        <v>0</v>
      </c>
      <c r="FO190" s="56"/>
      <c r="FR190" s="55">
        <f t="shared" si="1305"/>
        <v>46181</v>
      </c>
      <c r="FS190" s="56"/>
      <c r="FT190" s="186">
        <f>SUMPRODUCT(PRODUCE!$B195:$DY195,PRODUCE!$EB$26:$IY$26)</f>
        <v>0</v>
      </c>
      <c r="FU190" s="56"/>
      <c r="FV190" s="186">
        <f t="shared" si="1306"/>
        <v>0</v>
      </c>
      <c r="FW190" s="186">
        <f t="shared" si="1307"/>
        <v>4140</v>
      </c>
      <c r="FX190" s="56"/>
      <c r="GA190" s="55">
        <f t="shared" si="1308"/>
        <v>46181</v>
      </c>
      <c r="GB190" s="56"/>
      <c r="GC190" s="137">
        <f>SUMPRODUCT(PRODUCE!$B195:$DY195,PRODUCE!$EB$27:$IY$27)</f>
        <v>0</v>
      </c>
      <c r="GD190" s="56"/>
      <c r="GE190" s="137">
        <f t="shared" si="1309"/>
        <v>0</v>
      </c>
      <c r="GF190" s="137">
        <f t="shared" si="1310"/>
        <v>5040</v>
      </c>
      <c r="GG190" s="56"/>
      <c r="GI190" s="23"/>
      <c r="GJ190" s="55">
        <f t="shared" si="1311"/>
        <v>46181</v>
      </c>
      <c r="GK190" s="56"/>
      <c r="GL190" s="199">
        <f>SUMPRODUCT(PRODUCE!$B195:$DY195,PRODUCE!$EB$28:$IY$28)</f>
        <v>0</v>
      </c>
      <c r="GM190" s="56"/>
      <c r="GN190" s="199">
        <f t="shared" si="1312"/>
        <v>0</v>
      </c>
      <c r="GO190" s="199">
        <f t="shared" si="1313"/>
        <v>1760</v>
      </c>
      <c r="GP190" s="56"/>
      <c r="GS190" s="55">
        <f t="shared" si="1314"/>
        <v>46181</v>
      </c>
      <c r="GT190" s="56"/>
      <c r="GU190" s="195">
        <f>SUMPRODUCT(PRODUCE!$B195:$DY195,PRODUCE!$EB$29:$IY$29)</f>
        <v>0</v>
      </c>
      <c r="GV190" s="56"/>
      <c r="GW190" s="195">
        <f t="shared" si="1315"/>
        <v>0</v>
      </c>
      <c r="GX190" s="195">
        <f t="shared" si="1316"/>
        <v>0</v>
      </c>
      <c r="GY190" s="56"/>
      <c r="HB190" s="55">
        <f t="shared" si="1317"/>
        <v>46181</v>
      </c>
      <c r="HC190" s="56"/>
      <c r="HD190" s="191">
        <f>SUMPRODUCT(PRODUCE!$B195:$DY195,PRODUCE!$EB$30:$IY$30)</f>
        <v>0</v>
      </c>
      <c r="HE190" s="56"/>
      <c r="HF190" s="191">
        <f t="shared" si="1318"/>
        <v>0</v>
      </c>
      <c r="HG190" s="191">
        <f t="shared" si="1319"/>
        <v>3600</v>
      </c>
      <c r="HH190" s="56"/>
      <c r="HK190" s="55">
        <f t="shared" si="1320"/>
        <v>46181</v>
      </c>
      <c r="HL190" s="56"/>
      <c r="HM190" s="63">
        <f>SUMPRODUCT(PRODUCE!$B195:$DY195,PRODUCE!$EB$31:$IY$31)</f>
        <v>0</v>
      </c>
      <c r="HN190" s="56"/>
      <c r="HO190" s="63">
        <f t="shared" si="1321"/>
        <v>0</v>
      </c>
      <c r="HP190" s="63">
        <f t="shared" si="1322"/>
        <v>0</v>
      </c>
      <c r="HQ190" s="56"/>
      <c r="HU190" s="55">
        <f t="shared" si="1323"/>
        <v>46181</v>
      </c>
      <c r="HV190" s="56"/>
      <c r="HW190" s="242">
        <f>SUMPRODUCT(PRODUCE!$B195:$DY195,PRODUCE!$EB$32:$IY$32)</f>
        <v>0</v>
      </c>
      <c r="HX190" s="56"/>
      <c r="HY190" s="242">
        <f t="shared" si="1324"/>
        <v>0</v>
      </c>
      <c r="HZ190" s="242">
        <f t="shared" si="1325"/>
        <v>6800</v>
      </c>
      <c r="IA190" s="56"/>
      <c r="ID190" s="55">
        <f t="shared" si="1326"/>
        <v>46181</v>
      </c>
      <c r="IE190" s="56"/>
      <c r="IF190" s="242">
        <f>SUMPRODUCT(PRODUCE!$B195:$DY195,PRODUCE!$EB$33:$IY$33)</f>
        <v>0</v>
      </c>
      <c r="IG190" s="56"/>
      <c r="IH190" s="242">
        <f t="shared" si="1327"/>
        <v>0</v>
      </c>
      <c r="II190" s="242">
        <f t="shared" si="1328"/>
        <v>720</v>
      </c>
      <c r="IJ190" s="56"/>
      <c r="IM190" s="55">
        <f t="shared" si="1329"/>
        <v>46181</v>
      </c>
      <c r="IN190" s="56"/>
      <c r="IO190" s="242">
        <f>SUMPRODUCT(PRODUCE!$B195:$DY195,PRODUCE!$EB$34:$IY$34)</f>
        <v>0</v>
      </c>
      <c r="IP190" s="56"/>
      <c r="IQ190" s="242">
        <f t="shared" si="1330"/>
        <v>0</v>
      </c>
      <c r="IR190" s="242">
        <f t="shared" si="1331"/>
        <v>8140</v>
      </c>
      <c r="IS190" s="56"/>
      <c r="IV190" s="55">
        <f t="shared" si="1332"/>
        <v>46181</v>
      </c>
      <c r="IW190" s="56"/>
      <c r="IX190" s="242">
        <f>SUMPRODUCT(PRODUCE!$B195:$DY195,PRODUCE!$EB$35:$IY$35)</f>
        <v>0</v>
      </c>
      <c r="IY190" s="56"/>
      <c r="IZ190" s="242">
        <f t="shared" si="1333"/>
        <v>0</v>
      </c>
      <c r="JA190" s="242">
        <f t="shared" si="1334"/>
        <v>4960</v>
      </c>
      <c r="JB190" s="56"/>
      <c r="JE190" s="55">
        <f t="shared" si="1335"/>
        <v>46181</v>
      </c>
      <c r="JF190" s="56"/>
      <c r="JG190" s="242">
        <f>SUMPRODUCT(PRODUCE!$B195:$DY195,PRODUCE!$EB$36:$IY$36)</f>
        <v>0</v>
      </c>
      <c r="JH190" s="56"/>
      <c r="JI190" s="242">
        <f t="shared" si="1336"/>
        <v>0</v>
      </c>
      <c r="JJ190" s="242">
        <f t="shared" si="1337"/>
        <v>0</v>
      </c>
      <c r="JK190" s="56"/>
      <c r="JN190" s="55">
        <f t="shared" si="1338"/>
        <v>46181</v>
      </c>
      <c r="JO190" s="56"/>
      <c r="JP190" s="242">
        <f>SUMPRODUCT(PRODUCE!$B195:$DY195,PRODUCE!$EB$37:$IY$37)</f>
        <v>800</v>
      </c>
      <c r="JQ190" s="56"/>
      <c r="JR190" s="242">
        <f t="shared" si="1339"/>
        <v>800</v>
      </c>
      <c r="JS190" s="242">
        <f t="shared" si="1340"/>
        <v>180</v>
      </c>
      <c r="JT190" s="56"/>
      <c r="JW190" s="55">
        <f t="shared" si="1341"/>
        <v>46181</v>
      </c>
      <c r="JX190" s="56"/>
      <c r="JY190" s="242">
        <f>SUMPRODUCT(PRODUCE!$B195:$DY195,PRODUCE!$EB$38:$IY$38)</f>
        <v>0</v>
      </c>
      <c r="JZ190" s="56"/>
      <c r="KA190" s="242">
        <f t="shared" si="1342"/>
        <v>0</v>
      </c>
      <c r="KB190" s="242">
        <f t="shared" si="1343"/>
        <v>2540</v>
      </c>
      <c r="KC190" s="56"/>
      <c r="KF190" s="55">
        <f t="shared" si="1344"/>
        <v>46181</v>
      </c>
      <c r="KG190" s="56"/>
      <c r="KH190" s="242">
        <f>SUMPRODUCT(PRODUCE!$B195:$DY195,PRODUCE!$EB$39:$IY$39)</f>
        <v>0</v>
      </c>
      <c r="KI190" s="56"/>
      <c r="KJ190" s="242">
        <f t="shared" si="1345"/>
        <v>0</v>
      </c>
      <c r="KK190" s="242">
        <f t="shared" si="1346"/>
        <v>2359.5</v>
      </c>
      <c r="KL190" s="56"/>
      <c r="KO190" s="55">
        <f t="shared" si="1347"/>
        <v>46181</v>
      </c>
      <c r="KP190" s="56"/>
      <c r="KQ190" s="242">
        <f>SUMPRODUCT(PRODUCE!$B195:$DY195,PRODUCE!$EB$40:$IY$40)</f>
        <v>0</v>
      </c>
      <c r="KR190" s="346"/>
      <c r="KS190" s="242">
        <f t="shared" si="1348"/>
        <v>0</v>
      </c>
      <c r="KT190" s="242">
        <f t="shared" si="1349"/>
        <v>1890</v>
      </c>
      <c r="KU190" s="56"/>
      <c r="KW190" s="23"/>
      <c r="KX190" s="55">
        <f t="shared" si="1350"/>
        <v>46181</v>
      </c>
      <c r="KY190" s="56"/>
      <c r="KZ190" s="242">
        <f>SUMPRODUCT(PRODUCE!$B195:$DY195,PRODUCE!$EB$41:$IY$41)</f>
        <v>0</v>
      </c>
      <c r="LA190" s="56"/>
      <c r="LB190" s="242">
        <f t="shared" si="1351"/>
        <v>0</v>
      </c>
      <c r="LC190" s="242">
        <f t="shared" si="1352"/>
        <v>3690</v>
      </c>
      <c r="LD190" s="56"/>
      <c r="LG190" s="55">
        <f t="shared" si="1353"/>
        <v>46181</v>
      </c>
      <c r="LH190" s="56"/>
      <c r="LI190" s="242">
        <f>SUMPRODUCT(PRODUCE!$B195:$DY195,PRODUCE!$EB$42:$IY$42)</f>
        <v>0</v>
      </c>
      <c r="LJ190" s="56"/>
      <c r="LK190" s="242">
        <f t="shared" si="1354"/>
        <v>0</v>
      </c>
      <c r="LL190" s="242">
        <f t="shared" si="1355"/>
        <v>4000</v>
      </c>
      <c r="LM190" s="56"/>
      <c r="LP190" s="55">
        <f t="shared" si="1356"/>
        <v>46181</v>
      </c>
      <c r="LQ190" s="56"/>
      <c r="LR190" s="242">
        <f>SUMPRODUCT(PRODUCE!$B195:$DY195,PRODUCE!$EB$43:$IY$43)</f>
        <v>0</v>
      </c>
      <c r="LS190" s="56"/>
      <c r="LT190" s="242">
        <f t="shared" si="1357"/>
        <v>0</v>
      </c>
      <c r="LU190" s="242">
        <f t="shared" si="1358"/>
        <v>0</v>
      </c>
      <c r="LV190" s="56"/>
      <c r="LY190" s="55">
        <f t="shared" si="1359"/>
        <v>46181</v>
      </c>
      <c r="LZ190" s="56"/>
      <c r="MA190" s="242">
        <f>SUMPRODUCT(PRODUCE!$B195:$DY195,PRODUCE!$EB$44:$IY$44)</f>
        <v>0</v>
      </c>
      <c r="MB190" s="56"/>
      <c r="MC190" s="242">
        <f t="shared" si="1360"/>
        <v>0</v>
      </c>
      <c r="MD190" s="242">
        <f t="shared" si="1361"/>
        <v>0</v>
      </c>
      <c r="ME190" s="56"/>
      <c r="MH190" s="55">
        <f t="shared" si="1362"/>
        <v>46181</v>
      </c>
      <c r="MI190" s="56"/>
      <c r="MJ190" s="242">
        <f>SUMPRODUCT(PRODUCE!$B195:$DY195,PRODUCE!$EB$45:$IY$45)</f>
        <v>0</v>
      </c>
      <c r="MK190" s="56"/>
      <c r="ML190" s="242">
        <f t="shared" si="1363"/>
        <v>0</v>
      </c>
      <c r="MM190" s="242">
        <f t="shared" si="1364"/>
        <v>0</v>
      </c>
      <c r="MN190" s="56"/>
      <c r="MQ190" s="55">
        <f t="shared" si="1365"/>
        <v>46181</v>
      </c>
      <c r="MR190" s="56"/>
      <c r="MS190" s="242">
        <f>SUMPRODUCT(PRODUCE!$B195:$DY195,PRODUCE!$EB$46:$IY$46)</f>
        <v>0</v>
      </c>
      <c r="MT190" s="56"/>
      <c r="MU190" s="242">
        <f t="shared" si="1366"/>
        <v>0</v>
      </c>
      <c r="MV190" s="242">
        <f t="shared" si="1367"/>
        <v>3724</v>
      </c>
      <c r="MW190" s="56"/>
      <c r="MZ190" s="55">
        <f t="shared" si="1368"/>
        <v>46181</v>
      </c>
      <c r="NA190" s="56"/>
      <c r="NB190" s="242">
        <f>SUMPRODUCT(PRODUCE!$B195:$DY195,PRODUCE!$EB$47:$IY$47)</f>
        <v>120</v>
      </c>
      <c r="NC190" s="56"/>
      <c r="ND190" s="242">
        <f t="shared" si="1369"/>
        <v>120</v>
      </c>
      <c r="NE190" s="242">
        <f t="shared" si="1370"/>
        <v>0</v>
      </c>
      <c r="NF190" s="56"/>
      <c r="NI190" s="55">
        <f t="shared" si="1371"/>
        <v>46181</v>
      </c>
      <c r="NJ190" s="56"/>
      <c r="NK190" s="242">
        <f>SUMPRODUCT(PRODUCE!$B195:$DY195,PRODUCE!$EB$48:$IY$48)</f>
        <v>0</v>
      </c>
      <c r="NL190" s="56"/>
      <c r="NM190" s="242">
        <f t="shared" si="1372"/>
        <v>0</v>
      </c>
      <c r="NN190" s="242">
        <f t="shared" si="1373"/>
        <v>1127</v>
      </c>
      <c r="NO190" s="56"/>
      <c r="NR190" s="55">
        <f t="shared" si="1374"/>
        <v>46181</v>
      </c>
      <c r="NS190" s="56"/>
      <c r="NT190" s="242">
        <f>SUMPRODUCT(PRODUCE!$B195:$DY195,PRODUCE!$EB$49:$IY$49)</f>
        <v>0</v>
      </c>
      <c r="NU190" s="56"/>
      <c r="NV190" s="242">
        <f t="shared" si="1375"/>
        <v>0</v>
      </c>
      <c r="NW190" s="242">
        <f t="shared" si="1376"/>
        <v>3111.9999999999995</v>
      </c>
      <c r="NX190" s="56"/>
      <c r="OA190" s="55">
        <f t="shared" si="1377"/>
        <v>46181</v>
      </c>
      <c r="OB190" s="56"/>
      <c r="OC190" s="242">
        <f>SUMPRODUCT(PRODUCE!$B195:$DY195,PRODUCE!$EB$50:$IY$50)</f>
        <v>0</v>
      </c>
      <c r="OD190" s="56"/>
      <c r="OE190" s="242">
        <f t="shared" si="1378"/>
        <v>0</v>
      </c>
      <c r="OF190" s="242">
        <f t="shared" si="1379"/>
        <v>1680.5</v>
      </c>
      <c r="OG190" s="56"/>
      <c r="OJ190" s="55">
        <f t="shared" si="1380"/>
        <v>46181</v>
      </c>
      <c r="OK190" s="56"/>
      <c r="OL190" s="242">
        <f>SUMPRODUCT(PRODUCE!$B195:$DY195,PRODUCE!$EB$51:$IY$51)</f>
        <v>0</v>
      </c>
      <c r="OM190" s="56"/>
      <c r="ON190" s="242">
        <f t="shared" si="1381"/>
        <v>0</v>
      </c>
      <c r="OO190" s="242">
        <f t="shared" si="1382"/>
        <v>0</v>
      </c>
      <c r="OP190" s="56"/>
      <c r="OS190" s="55">
        <f t="shared" si="1383"/>
        <v>46181</v>
      </c>
      <c r="OT190" s="56"/>
      <c r="OU190" s="242">
        <f>SUMPRODUCT(PRODUCE!$B195:$DY195,PRODUCE!$EB$52:$IY$52)</f>
        <v>0</v>
      </c>
      <c r="OV190" s="56"/>
      <c r="OW190" s="242">
        <f t="shared" si="1384"/>
        <v>0</v>
      </c>
      <c r="OX190" s="242">
        <f t="shared" si="1385"/>
        <v>1482</v>
      </c>
      <c r="OY190" s="56"/>
      <c r="PB190" s="55">
        <f t="shared" si="1386"/>
        <v>46181</v>
      </c>
      <c r="PC190" s="56"/>
      <c r="PD190" s="242">
        <f>SUMPRODUCT(PRODUCE!$B195:$DY195,PRODUCE!$EB$53:$IY$53)</f>
        <v>0</v>
      </c>
      <c r="PE190" s="56"/>
      <c r="PF190" s="242">
        <f t="shared" si="1387"/>
        <v>0</v>
      </c>
      <c r="PG190" s="242">
        <f t="shared" si="1388"/>
        <v>0</v>
      </c>
      <c r="PH190" s="56"/>
      <c r="PK190" s="55">
        <f t="shared" si="1389"/>
        <v>46181</v>
      </c>
      <c r="PL190" s="56"/>
      <c r="PM190" s="242">
        <f>SUMPRODUCT(PRODUCE!$B195:$DY195,PRODUCE!$EB$54:$IY$54)</f>
        <v>0</v>
      </c>
      <c r="PN190" s="56"/>
      <c r="PO190" s="242">
        <f t="shared" si="1494"/>
        <v>0</v>
      </c>
      <c r="PP190" s="242">
        <f t="shared" si="1495"/>
        <v>100</v>
      </c>
      <c r="PQ190" s="56"/>
      <c r="PT190" s="55">
        <f t="shared" si="1392"/>
        <v>46181</v>
      </c>
      <c r="PU190" s="56"/>
      <c r="PV190" s="242">
        <f>SUMPRODUCT(PRODUCE!$B195:$DY195,PRODUCE!$EB$55:$IY$55)</f>
        <v>0</v>
      </c>
      <c r="PW190" s="56"/>
      <c r="PX190" s="242">
        <f t="shared" si="1393"/>
        <v>0</v>
      </c>
      <c r="PY190" s="242">
        <f t="shared" si="1394"/>
        <v>13.960000000000036</v>
      </c>
      <c r="PZ190" s="56"/>
      <c r="QC190" s="55">
        <f t="shared" si="1395"/>
        <v>46181</v>
      </c>
      <c r="QD190" s="56"/>
      <c r="QE190" s="242">
        <f>SUMPRODUCT(PRODUCE!$B195:$DY195,PRODUCE!$EB$56:$IY$56)</f>
        <v>0</v>
      </c>
      <c r="QF190" s="56"/>
      <c r="QG190" s="242">
        <f t="shared" si="1396"/>
        <v>0</v>
      </c>
      <c r="QH190" s="242">
        <f t="shared" si="1397"/>
        <v>1736</v>
      </c>
      <c r="QI190" s="56"/>
      <c r="QL190" s="55">
        <f t="shared" si="1398"/>
        <v>46181</v>
      </c>
      <c r="QM190" s="56"/>
      <c r="QN190" s="242">
        <f>SUMPRODUCT(PRODUCE!$B195:$DY195,PRODUCE!$EB$57:$IY$57)</f>
        <v>100</v>
      </c>
      <c r="QO190" s="56"/>
      <c r="QP190" s="242">
        <f t="shared" si="1399"/>
        <v>100</v>
      </c>
      <c r="QQ190" s="242">
        <f t="shared" si="1400"/>
        <v>475</v>
      </c>
      <c r="QR190" s="56"/>
      <c r="QU190" s="55">
        <f t="shared" si="1401"/>
        <v>46181</v>
      </c>
      <c r="QV190" s="56"/>
      <c r="QW190" s="242">
        <f>SUMPRODUCT(PRODUCE!$B195:$DY195,PRODUCE!$EB$58:$IY$58)</f>
        <v>0</v>
      </c>
      <c r="QX190" s="56"/>
      <c r="QY190" s="242">
        <f t="shared" si="1402"/>
        <v>0</v>
      </c>
      <c r="QZ190" s="242">
        <f t="shared" si="1403"/>
        <v>207.6</v>
      </c>
      <c r="RA190" s="56"/>
      <c r="RD190" s="55">
        <f t="shared" si="1404"/>
        <v>46181</v>
      </c>
      <c r="RE190" s="56"/>
      <c r="RF190" s="242">
        <f>SUMPRODUCT(PRODUCE!$B195:$DY195,PRODUCE!$EB$59:$IY$59)</f>
        <v>0</v>
      </c>
      <c r="RG190" s="56"/>
      <c r="RH190" s="242">
        <f t="shared" si="1405"/>
        <v>0</v>
      </c>
      <c r="RI190" s="242">
        <f t="shared" si="1406"/>
        <v>147.04000000000002</v>
      </c>
      <c r="RJ190" s="56"/>
      <c r="RM190" s="55">
        <f t="shared" si="1407"/>
        <v>46181</v>
      </c>
      <c r="RN190" s="56"/>
      <c r="RO190" s="242">
        <f>SUMPRODUCT(PRODUCE!$B195:$DY195,PRODUCE!$EB$60:$IY$60)</f>
        <v>0</v>
      </c>
      <c r="RP190" s="56"/>
      <c r="RQ190" s="242">
        <f t="shared" si="1408"/>
        <v>0</v>
      </c>
      <c r="RR190" s="242">
        <f t="shared" si="1409"/>
        <v>46.8</v>
      </c>
      <c r="RS190" s="56"/>
      <c r="RV190" s="55">
        <f t="shared" si="1410"/>
        <v>46181</v>
      </c>
      <c r="RW190" s="56"/>
      <c r="RX190" s="242">
        <f>SUMPRODUCT(PRODUCE!$B195:$DY195,PRODUCE!$EB$61:$IY$61)</f>
        <v>0</v>
      </c>
      <c r="RY190" s="56"/>
      <c r="RZ190" s="242">
        <f t="shared" si="1411"/>
        <v>0</v>
      </c>
      <c r="SA190" s="242">
        <f t="shared" si="1412"/>
        <v>0</v>
      </c>
      <c r="SB190" s="56"/>
      <c r="SE190" s="55">
        <f t="shared" si="1413"/>
        <v>46181</v>
      </c>
      <c r="SF190" s="56"/>
      <c r="SG190" s="242">
        <f>SUMPRODUCT(PRODUCE!$B195:$DY195,PRODUCE!$EB$62:$IY$62)</f>
        <v>0</v>
      </c>
      <c r="SH190" s="56"/>
      <c r="SI190" s="242">
        <f t="shared" si="1414"/>
        <v>0</v>
      </c>
      <c r="SJ190" s="242">
        <f t="shared" si="1415"/>
        <v>24.200000000000003</v>
      </c>
      <c r="SK190" s="56"/>
      <c r="SN190" s="55">
        <f t="shared" si="1416"/>
        <v>46181</v>
      </c>
      <c r="SO190" s="56"/>
      <c r="SP190" s="242">
        <f>SUMPRODUCT(PRODUCE!$B195:$DY195,PRODUCE!$EB$63:$IY$63)</f>
        <v>0</v>
      </c>
      <c r="SQ190" s="56"/>
      <c r="SR190" s="242">
        <f t="shared" si="1417"/>
        <v>0</v>
      </c>
      <c r="SS190" s="242">
        <f t="shared" si="1418"/>
        <v>32</v>
      </c>
      <c r="ST190" s="56"/>
      <c r="SW190" s="55">
        <f t="shared" si="1419"/>
        <v>46181</v>
      </c>
      <c r="SX190" s="56"/>
      <c r="SY190" s="242">
        <f>SUMPRODUCT(PRODUCE!$B195:$DY195,PRODUCE!$EB$64:$IY$64)</f>
        <v>0</v>
      </c>
      <c r="SZ190" s="56"/>
      <c r="TA190" s="242">
        <f t="shared" si="1420"/>
        <v>0</v>
      </c>
      <c r="TB190" s="242">
        <f t="shared" si="1421"/>
        <v>0</v>
      </c>
      <c r="TC190" s="56"/>
      <c r="TF190" s="55">
        <f t="shared" si="1422"/>
        <v>46181</v>
      </c>
      <c r="TG190" s="56"/>
      <c r="TH190" s="242">
        <f>SUMPRODUCT(PRODUCE!$B195:$DY195,PRODUCE!$EB$65:$IY$65)</f>
        <v>0</v>
      </c>
      <c r="TI190" s="56"/>
      <c r="TJ190" s="242">
        <f t="shared" si="1423"/>
        <v>0</v>
      </c>
      <c r="TK190" s="242">
        <f t="shared" si="1424"/>
        <v>0</v>
      </c>
      <c r="TL190" s="56"/>
      <c r="TO190" s="55">
        <f t="shared" si="1425"/>
        <v>46181</v>
      </c>
      <c r="TP190" s="56"/>
      <c r="TQ190" s="242">
        <f>SUMPRODUCT(PRODUCE!$B195:$DY195,PRODUCE!$EB$66:$IY$66)</f>
        <v>0</v>
      </c>
      <c r="TR190" s="56"/>
      <c r="TS190" s="242">
        <f t="shared" si="1426"/>
        <v>0</v>
      </c>
      <c r="TT190" s="242">
        <f t="shared" si="1427"/>
        <v>82.4</v>
      </c>
      <c r="TU190" s="56"/>
      <c r="TX190" s="55">
        <f t="shared" si="1428"/>
        <v>46181</v>
      </c>
      <c r="TY190" s="56"/>
      <c r="TZ190" s="242">
        <f>SUMPRODUCT(PRODUCE!$B195:$DY195,PRODUCE!$EB$67:$IY$67)</f>
        <v>0</v>
      </c>
      <c r="UA190" s="56"/>
      <c r="UB190" s="242">
        <f t="shared" si="1429"/>
        <v>0</v>
      </c>
      <c r="UC190" s="242">
        <f t="shared" si="1430"/>
        <v>169.2</v>
      </c>
      <c r="UD190" s="56"/>
      <c r="UG190" s="55">
        <f t="shared" si="1431"/>
        <v>46181</v>
      </c>
      <c r="UH190" s="56"/>
      <c r="UI190" s="242">
        <f>SUMPRODUCT(PRODUCE!$B195:$DY195,PRODUCE!$EB$68:$IY$68)</f>
        <v>0</v>
      </c>
      <c r="UJ190" s="56"/>
      <c r="UK190" s="242">
        <f t="shared" si="1432"/>
        <v>0</v>
      </c>
      <c r="UL190" s="242">
        <f t="shared" si="1433"/>
        <v>204</v>
      </c>
      <c r="UM190" s="56"/>
      <c r="UP190" s="55">
        <f t="shared" si="1434"/>
        <v>46181</v>
      </c>
      <c r="UQ190" s="56"/>
      <c r="UR190" s="242">
        <f>SUMPRODUCT(PRODUCE!$B195:$DY195,PRODUCE!$EB$69:$IY$69)</f>
        <v>0</v>
      </c>
      <c r="US190" s="56"/>
      <c r="UT190" s="242">
        <f t="shared" si="1435"/>
        <v>0</v>
      </c>
      <c r="UU190" s="242">
        <f t="shared" si="1436"/>
        <v>251.25</v>
      </c>
      <c r="UV190" s="56"/>
      <c r="UY190" s="55">
        <f t="shared" si="1437"/>
        <v>46181</v>
      </c>
      <c r="UZ190" s="56"/>
      <c r="VA190" s="242">
        <f>SUMPRODUCT(PRODUCE!$B195:$DY195,PRODUCE!$EB$70:$IY$70)</f>
        <v>0</v>
      </c>
      <c r="VB190" s="56"/>
      <c r="VC190" s="242">
        <f t="shared" si="1438"/>
        <v>0</v>
      </c>
      <c r="VD190" s="242">
        <f t="shared" si="1439"/>
        <v>41.600000000000023</v>
      </c>
      <c r="VE190" s="56"/>
      <c r="VH190" s="55">
        <f t="shared" si="1440"/>
        <v>46181</v>
      </c>
      <c r="VI190" s="56"/>
      <c r="VJ190" s="242">
        <f>SUMPRODUCT(PRODUCE!$B195:$DY195,PRODUCE!$EB$71:$IY$71)</f>
        <v>0</v>
      </c>
      <c r="VK190" s="56"/>
      <c r="VL190" s="242">
        <f t="shared" si="1441"/>
        <v>0</v>
      </c>
      <c r="VM190" s="242">
        <f t="shared" si="1442"/>
        <v>210</v>
      </c>
      <c r="VN190" s="56"/>
      <c r="VQ190" s="55">
        <f t="shared" si="1443"/>
        <v>46181</v>
      </c>
      <c r="VR190" s="56"/>
      <c r="VS190" s="242">
        <f>SUMPRODUCT(PRODUCE!$B195:$DY195,PRODUCE!$EB$57:$IY$57)</f>
        <v>100</v>
      </c>
      <c r="VT190" s="56"/>
      <c r="VU190" s="242">
        <f t="shared" si="1444"/>
        <v>100</v>
      </c>
      <c r="VV190" s="242">
        <f t="shared" si="1445"/>
        <v>0</v>
      </c>
      <c r="VW190" s="56"/>
      <c r="VZ190" s="55">
        <f t="shared" si="1446"/>
        <v>46181</v>
      </c>
      <c r="WA190" s="56"/>
      <c r="WB190" s="242">
        <f>SUMPRODUCT(PRODUCE!$B195:$DY195,PRODUCE!$EB$57:$IY$57)</f>
        <v>100</v>
      </c>
      <c r="WC190" s="56"/>
      <c r="WD190" s="242">
        <f t="shared" si="1447"/>
        <v>100</v>
      </c>
      <c r="WE190" s="242">
        <f t="shared" si="1448"/>
        <v>0</v>
      </c>
      <c r="WF190" s="56"/>
      <c r="WI190" s="55">
        <f t="shared" si="1449"/>
        <v>46181</v>
      </c>
      <c r="WJ190" s="422"/>
      <c r="WK190" s="540">
        <f>SUMPRODUCT(PRODUCE!$B195:$DY195,PRODUCE!$EB$74:$IY$74)</f>
        <v>0</v>
      </c>
      <c r="WL190" s="422"/>
      <c r="WM190" s="540">
        <f t="shared" si="1450"/>
        <v>0</v>
      </c>
      <c r="WN190" s="540">
        <f t="shared" si="1451"/>
        <v>1199</v>
      </c>
      <c r="WO190" s="56"/>
      <c r="WR190" s="55">
        <f t="shared" si="1452"/>
        <v>46181</v>
      </c>
      <c r="WS190" s="422"/>
      <c r="WT190" s="540">
        <f>SUMPRODUCT(PRODUCE!$B195:$DY195,PRODUCE!$EB$75:$IY$75)</f>
        <v>0</v>
      </c>
      <c r="WU190" s="422"/>
      <c r="WV190" s="540">
        <f t="shared" si="1453"/>
        <v>0</v>
      </c>
      <c r="WW190" s="540">
        <f t="shared" si="1454"/>
        <v>0</v>
      </c>
      <c r="WX190" s="56"/>
      <c r="XA190" s="55">
        <f t="shared" si="1455"/>
        <v>46181</v>
      </c>
      <c r="XB190" s="422"/>
      <c r="XC190" s="540">
        <f>SUMPRODUCT(PRODUCE!$B195:$DY195,PRODUCE!$EB$76:$IY$76)</f>
        <v>0</v>
      </c>
      <c r="XD190" s="422"/>
      <c r="XE190" s="540">
        <f t="shared" si="1456"/>
        <v>0</v>
      </c>
      <c r="XF190" s="540">
        <f t="shared" si="1457"/>
        <v>6813</v>
      </c>
      <c r="XG190" s="56"/>
      <c r="XJ190" s="55">
        <f t="shared" si="1458"/>
        <v>46181</v>
      </c>
      <c r="XK190" s="422"/>
      <c r="XL190" s="540">
        <f>SUMPRODUCT(PRODUCE!$B195:$DY195,PRODUCE!$EB$77:$IY$77)</f>
        <v>0</v>
      </c>
      <c r="XM190" s="422"/>
      <c r="XN190" s="540">
        <f t="shared" si="1459"/>
        <v>0</v>
      </c>
      <c r="XO190" s="540">
        <f t="shared" si="1460"/>
        <v>6197</v>
      </c>
      <c r="XP190" s="56"/>
      <c r="XS190" s="55">
        <f t="shared" si="1461"/>
        <v>46181</v>
      </c>
      <c r="XT190" s="56"/>
      <c r="XU190" s="242">
        <f>SUMPRODUCT(PRODUCE!$B195:$DY195,PRODUCE!$EB$78:$IY$78)</f>
        <v>0</v>
      </c>
      <c r="XV190" s="56"/>
      <c r="XW190" s="242">
        <f t="shared" si="1462"/>
        <v>0</v>
      </c>
      <c r="XX190" s="242">
        <f t="shared" si="1463"/>
        <v>1621</v>
      </c>
      <c r="XY190" s="56"/>
      <c r="YB190" s="55">
        <f t="shared" si="1464"/>
        <v>46181</v>
      </c>
      <c r="YC190" s="56"/>
      <c r="YD190" s="242">
        <f>SUMPRODUCT(PRODUCE!$B195:$DY195,PRODUCE!$EB$79:$IY$79)</f>
        <v>0</v>
      </c>
      <c r="YE190" s="56"/>
      <c r="YF190" s="242">
        <f t="shared" si="1465"/>
        <v>0</v>
      </c>
      <c r="YG190" s="242">
        <f t="shared" si="1466"/>
        <v>5083</v>
      </c>
      <c r="YH190" s="56"/>
      <c r="YK190" s="55">
        <f t="shared" si="1467"/>
        <v>46181</v>
      </c>
      <c r="YL190" s="56"/>
      <c r="YM190" s="242">
        <f>SUMPRODUCT(PRODUCE!$B195:$DY195,PRODUCE!$EB$80:$IY$80)</f>
        <v>0</v>
      </c>
      <c r="YN190" s="56"/>
      <c r="YO190" s="242">
        <f t="shared" si="1468"/>
        <v>0</v>
      </c>
      <c r="YP190" s="242">
        <f t="shared" si="1469"/>
        <v>0</v>
      </c>
      <c r="YQ190" s="56"/>
      <c r="YT190" s="55">
        <f t="shared" si="1470"/>
        <v>46181</v>
      </c>
      <c r="YU190" s="56"/>
      <c r="YV190" s="242">
        <f>SUMPRODUCT(PRODUCE!$B195:$DY195,PRODUCE!$EB$57:$IY$57)</f>
        <v>100</v>
      </c>
      <c r="YW190" s="56"/>
      <c r="YX190" s="242">
        <f t="shared" si="1471"/>
        <v>100</v>
      </c>
      <c r="YY190" s="242">
        <f t="shared" si="1472"/>
        <v>0</v>
      </c>
      <c r="YZ190" s="56"/>
      <c r="ZC190" s="55">
        <f t="shared" si="1473"/>
        <v>46181</v>
      </c>
      <c r="ZD190" s="56"/>
      <c r="ZE190" s="242">
        <f>SUMPRODUCT(PRODUCE!$B195:$DY195,PRODUCE!$EB$57:$IY$57)</f>
        <v>100</v>
      </c>
      <c r="ZF190" s="56"/>
      <c r="ZG190" s="242">
        <f t="shared" si="1474"/>
        <v>100</v>
      </c>
      <c r="ZH190" s="242">
        <f t="shared" si="1475"/>
        <v>0</v>
      </c>
      <c r="ZI190" s="56"/>
      <c r="ZL190" s="55">
        <f t="shared" si="1476"/>
        <v>46181</v>
      </c>
      <c r="ZM190" s="56"/>
      <c r="ZN190" s="242">
        <f>SUMPRODUCT(PRODUCE!$B195:$DY195,PRODUCE!$EB$57:$IY$57)</f>
        <v>100</v>
      </c>
      <c r="ZO190" s="56"/>
      <c r="ZP190" s="242">
        <f t="shared" si="1477"/>
        <v>100</v>
      </c>
      <c r="ZQ190" s="242">
        <f t="shared" si="1478"/>
        <v>0</v>
      </c>
      <c r="ZR190" s="56"/>
      <c r="ZU190" s="55">
        <f t="shared" si="1479"/>
        <v>46181</v>
      </c>
      <c r="ZV190" s="56"/>
      <c r="ZW190" s="242">
        <f>SUMPRODUCT(PRODUCE!$B195:$DY195,PRODUCE!$EB$57:$IY$57)</f>
        <v>100</v>
      </c>
      <c r="ZX190" s="56"/>
      <c r="ZY190" s="242">
        <f t="shared" si="1480"/>
        <v>100</v>
      </c>
      <c r="ZZ190" s="242">
        <f t="shared" si="1481"/>
        <v>0</v>
      </c>
      <c r="AAA190" s="56"/>
      <c r="AAD190" s="55">
        <f t="shared" si="1482"/>
        <v>46181</v>
      </c>
      <c r="AAE190" s="56"/>
      <c r="AAF190" s="242">
        <f>SUMPRODUCT(PRODUCE!$B195:$DY195,PRODUCE!$EB$57:$IY$57)</f>
        <v>100</v>
      </c>
      <c r="AAG190" s="56"/>
      <c r="AAH190" s="242">
        <f t="shared" si="1483"/>
        <v>100</v>
      </c>
      <c r="AAI190" s="242">
        <f t="shared" si="1484"/>
        <v>0</v>
      </c>
      <c r="AAJ190" s="56"/>
      <c r="AAM190" s="55">
        <f t="shared" si="1485"/>
        <v>46181</v>
      </c>
      <c r="AAN190" s="56"/>
      <c r="AAO190" s="242">
        <f>SUMPRODUCT(PRODUCE!$B195:$DY195,PRODUCE!$EB$57:$IY$57)</f>
        <v>100</v>
      </c>
      <c r="AAP190" s="56"/>
      <c r="AAQ190" s="242">
        <f t="shared" si="1486"/>
        <v>100</v>
      </c>
      <c r="AAR190" s="242">
        <f t="shared" si="1487"/>
        <v>0</v>
      </c>
      <c r="AAS190" s="56"/>
      <c r="AAV190" s="55">
        <f t="shared" si="1488"/>
        <v>46181</v>
      </c>
      <c r="AAW190" s="56"/>
      <c r="AAX190" s="242">
        <f>SUMPRODUCT(PRODUCE!$B195:$DY195,PRODUCE!$EB$57:$IY$57)</f>
        <v>100</v>
      </c>
      <c r="AAY190" s="56"/>
      <c r="AAZ190" s="242">
        <f t="shared" si="1489"/>
        <v>100</v>
      </c>
      <c r="ABA190" s="242">
        <f t="shared" si="1490"/>
        <v>0</v>
      </c>
      <c r="ABB190" s="56"/>
      <c r="ABE190" s="55">
        <f t="shared" si="1491"/>
        <v>46181</v>
      </c>
      <c r="ABF190" s="56"/>
      <c r="ABG190" s="242">
        <f>SUMPRODUCT(PRODUCE!$B195:$DY195,PRODUCE!$EB$57:$IY$57)</f>
        <v>100</v>
      </c>
      <c r="ABH190" s="56"/>
      <c r="ABI190" s="242">
        <f t="shared" si="1492"/>
        <v>100</v>
      </c>
      <c r="ABJ190" s="242">
        <f t="shared" si="1493"/>
        <v>0</v>
      </c>
      <c r="ABK190" s="56"/>
    </row>
    <row r="191" spans="1:739" s="54" customFormat="1" ht="15" customHeight="1" outlineLevel="1">
      <c r="B191" s="478">
        <v>60</v>
      </c>
      <c r="C191" s="55">
        <v>46182</v>
      </c>
      <c r="D191" s="422">
        <v>25680</v>
      </c>
      <c r="E191" s="423">
        <f>SUMPRODUCT(PRODUCE!$B196:$DY196,PRODUCE!$EB$7:$IY$7)</f>
        <v>33472.799999999996</v>
      </c>
      <c r="F191" s="422">
        <v>33476.800000000003</v>
      </c>
      <c r="G191" s="423">
        <f t="shared" si="1249"/>
        <v>-4.000000000007276</v>
      </c>
      <c r="H191" s="423">
        <f t="shared" si="1250"/>
        <v>145657.20000000007</v>
      </c>
      <c r="I191" s="289" t="s">
        <v>269</v>
      </c>
      <c r="L191" s="55">
        <f t="shared" si="1251"/>
        <v>46182</v>
      </c>
      <c r="M191" s="422"/>
      <c r="N191" s="438">
        <f>SUMPRODUCT(PRODUCE!$B196:$DY196,PRODUCE!$EB$8:$IY$8)</f>
        <v>19032</v>
      </c>
      <c r="O191" s="422">
        <v>19037</v>
      </c>
      <c r="P191" s="438">
        <f t="shared" si="1252"/>
        <v>-5</v>
      </c>
      <c r="Q191" s="438">
        <f t="shared" si="1253"/>
        <v>29149.600000000064</v>
      </c>
      <c r="R191" s="56"/>
      <c r="U191" s="55">
        <f t="shared" si="1254"/>
        <v>46182</v>
      </c>
      <c r="V191" s="422"/>
      <c r="W191" s="440">
        <f>SUMPRODUCT(PRODUCE!$B196:$DY196,PRODUCE!$EB$9:$IY$9)</f>
        <v>3000</v>
      </c>
      <c r="X191" s="422">
        <v>3001.1</v>
      </c>
      <c r="Y191" s="440">
        <f t="shared" si="1255"/>
        <v>-1.0999999999999091</v>
      </c>
      <c r="Z191" s="440">
        <f t="shared" si="1256"/>
        <v>27580.999999999975</v>
      </c>
      <c r="AA191" s="56"/>
      <c r="AD191" s="55">
        <f t="shared" si="1257"/>
        <v>46182</v>
      </c>
      <c r="AE191" s="422"/>
      <c r="AF191" s="442">
        <f>SUMPRODUCT(PRODUCE!$B196:$DY196,PRODUCE!$EB$10:$IY$10)</f>
        <v>0</v>
      </c>
      <c r="AG191" s="422"/>
      <c r="AH191" s="442">
        <f t="shared" si="1258"/>
        <v>0</v>
      </c>
      <c r="AI191" s="442">
        <f t="shared" si="1259"/>
        <v>11593.100000000019</v>
      </c>
      <c r="AJ191" s="56"/>
      <c r="AM191" s="55">
        <f t="shared" si="1260"/>
        <v>46182</v>
      </c>
      <c r="AN191" s="422"/>
      <c r="AO191" s="444">
        <f>SUMPRODUCT(PRODUCE!$B196:$DY196,PRODUCE!$EB$11:$IY$11)</f>
        <v>0</v>
      </c>
      <c r="AP191" s="422"/>
      <c r="AQ191" s="444">
        <f t="shared" si="1261"/>
        <v>0</v>
      </c>
      <c r="AR191" s="444">
        <f t="shared" si="1262"/>
        <v>0</v>
      </c>
      <c r="AS191" s="56"/>
      <c r="AV191" s="55">
        <f t="shared" si="1263"/>
        <v>46182</v>
      </c>
      <c r="AW191" s="422"/>
      <c r="AX191" s="446">
        <f>SUMPRODUCT(PRODUCE!$B196:$DY196,PRODUCE!$EB$12:$IY$12)</f>
        <v>0</v>
      </c>
      <c r="AY191" s="422"/>
      <c r="AZ191" s="446">
        <f t="shared" si="1264"/>
        <v>0</v>
      </c>
      <c r="BA191" s="446">
        <f t="shared" si="1265"/>
        <v>16315.999999999996</v>
      </c>
      <c r="BB191" s="56"/>
      <c r="BE191" s="55">
        <f t="shared" si="1266"/>
        <v>46182</v>
      </c>
      <c r="BF191" s="422"/>
      <c r="BG191" s="448">
        <f>SUMPRODUCT(PRODUCE!$B196:$DY196,PRODUCE!$EB$13:$IY$13)</f>
        <v>1170</v>
      </c>
      <c r="BH191" s="422">
        <v>1168.7</v>
      </c>
      <c r="BI191" s="448">
        <f t="shared" si="1267"/>
        <v>1.2999999999999545</v>
      </c>
      <c r="BJ191" s="448">
        <f t="shared" si="1268"/>
        <v>29991.299999999996</v>
      </c>
      <c r="BK191" s="56"/>
      <c r="BN191" s="55">
        <f t="shared" si="1269"/>
        <v>46182</v>
      </c>
      <c r="BO191" s="422">
        <v>1410</v>
      </c>
      <c r="BP191" s="450">
        <f>SUMPRODUCT(PRODUCE!$B196:$DY196,PRODUCE!$EB$14:$IY$14)</f>
        <v>1410</v>
      </c>
      <c r="BQ191" s="422">
        <v>1410</v>
      </c>
      <c r="BR191" s="450">
        <f t="shared" si="1270"/>
        <v>0</v>
      </c>
      <c r="BS191" s="450">
        <f t="shared" si="1271"/>
        <v>0</v>
      </c>
      <c r="BT191" s="56"/>
      <c r="BW191" s="55">
        <f t="shared" si="1272"/>
        <v>46182</v>
      </c>
      <c r="BX191" s="422"/>
      <c r="BY191" s="523">
        <f>SUMPRODUCT(PRODUCE!$B196:$DY196,PRODUCE!$EB$15:$IY$15)</f>
        <v>0</v>
      </c>
      <c r="BZ191" s="422"/>
      <c r="CA191" s="523">
        <f t="shared" si="1273"/>
        <v>0</v>
      </c>
      <c r="CB191" s="523">
        <f t="shared" si="1274"/>
        <v>4126.6299999999992</v>
      </c>
      <c r="CC191" s="56"/>
      <c r="CF191" s="55">
        <f t="shared" si="1275"/>
        <v>46182</v>
      </c>
      <c r="CG191" s="422"/>
      <c r="CH191" s="524">
        <f>SUMPRODUCT(PRODUCE!$B196:$DY196,PRODUCE!$EB$16:$IY$16)</f>
        <v>385.2</v>
      </c>
      <c r="CI191" s="422"/>
      <c r="CJ191" s="524">
        <f t="shared" si="1276"/>
        <v>385.2</v>
      </c>
      <c r="CK191" s="524">
        <f t="shared" si="1277"/>
        <v>0</v>
      </c>
      <c r="CL191" s="56"/>
      <c r="CO191" s="55">
        <f t="shared" si="1278"/>
        <v>46182</v>
      </c>
      <c r="CP191" s="422"/>
      <c r="CQ191" s="470">
        <f>SUMPRODUCT(PRODUCE!$B196:$DY196,PRODUCE!$EB$17:$IY$17)</f>
        <v>0</v>
      </c>
      <c r="CR191" s="422"/>
      <c r="CS191" s="470">
        <f t="shared" si="1279"/>
        <v>0</v>
      </c>
      <c r="CT191" s="470">
        <f t="shared" si="1280"/>
        <v>0</v>
      </c>
      <c r="CU191" s="56"/>
      <c r="CX191" s="55">
        <f t="shared" si="1281"/>
        <v>46182</v>
      </c>
      <c r="CY191" s="422"/>
      <c r="CZ191" s="525">
        <f>SUMPRODUCT(PRODUCE!$B196:$DY196,PRODUCE!$EB$18:$IY$18)</f>
        <v>0</v>
      </c>
      <c r="DA191" s="422"/>
      <c r="DB191" s="525">
        <f t="shared" si="1282"/>
        <v>0</v>
      </c>
      <c r="DC191" s="525">
        <f t="shared" si="1283"/>
        <v>17623.600000000006</v>
      </c>
      <c r="DD191" s="56"/>
      <c r="DG191" s="55">
        <f t="shared" si="1284"/>
        <v>46182</v>
      </c>
      <c r="DH191" s="422"/>
      <c r="DI191" s="526">
        <f>SUMPRODUCT(PRODUCE!$B196:$DY196,PRODUCE!$EB$19:$IY$19)</f>
        <v>0</v>
      </c>
      <c r="DJ191" s="422"/>
      <c r="DK191" s="526">
        <f t="shared" si="1285"/>
        <v>0</v>
      </c>
      <c r="DL191" s="526">
        <f t="shared" si="1286"/>
        <v>35234.999999999985</v>
      </c>
      <c r="DM191" s="56"/>
      <c r="DP191" s="55">
        <f t="shared" si="1287"/>
        <v>46182</v>
      </c>
      <c r="DQ191" s="56"/>
      <c r="DR191" s="57">
        <f>SUMPRODUCT(PRODUCE!$B196:$DY196,PRODUCE!$EB$20:$IY$20)</f>
        <v>0</v>
      </c>
      <c r="DS191" s="56"/>
      <c r="DT191" s="57">
        <f t="shared" si="1288"/>
        <v>0</v>
      </c>
      <c r="DU191" s="57">
        <f t="shared" si="1289"/>
        <v>5800</v>
      </c>
      <c r="DV191" s="56"/>
      <c r="DY191" s="55">
        <f t="shared" si="1290"/>
        <v>46182</v>
      </c>
      <c r="DZ191" s="56"/>
      <c r="EA191" s="157">
        <f>SUMPRODUCT(PRODUCE!$B196:$DY196,PRODUCE!$EB$21:$IY$21)</f>
        <v>0</v>
      </c>
      <c r="EB191" s="56"/>
      <c r="EC191" s="157">
        <f t="shared" si="1291"/>
        <v>0</v>
      </c>
      <c r="ED191" s="157">
        <f t="shared" si="1292"/>
        <v>0</v>
      </c>
      <c r="EE191" s="56"/>
      <c r="EH191" s="55">
        <f t="shared" si="1293"/>
        <v>46182</v>
      </c>
      <c r="EI191" s="56"/>
      <c r="EJ191" s="162">
        <f>SUMPRODUCT(PRODUCE!$B196:$DY196,PRODUCE!$EB$22:$IY$22)</f>
        <v>0</v>
      </c>
      <c r="EK191" s="56"/>
      <c r="EL191" s="162">
        <f t="shared" si="1294"/>
        <v>0</v>
      </c>
      <c r="EM191" s="162">
        <f t="shared" si="1295"/>
        <v>0</v>
      </c>
      <c r="EN191" s="56"/>
      <c r="EQ191" s="55">
        <f t="shared" si="1296"/>
        <v>46182</v>
      </c>
      <c r="ER191" s="56"/>
      <c r="ES191" s="135">
        <f>SUMPRODUCT(PRODUCE!$B196:$DY196,PRODUCE!$EB$23:$IY$23)</f>
        <v>0</v>
      </c>
      <c r="ET191" s="56"/>
      <c r="EU191" s="135">
        <f t="shared" si="1297"/>
        <v>0</v>
      </c>
      <c r="EV191" s="135">
        <f t="shared" si="1298"/>
        <v>0</v>
      </c>
      <c r="EW191" s="56"/>
      <c r="EZ191" s="55">
        <f t="shared" si="1299"/>
        <v>46182</v>
      </c>
      <c r="FA191" s="56"/>
      <c r="FB191" s="175">
        <f>SUMPRODUCT(PRODUCE!$B196:$DY196,PRODUCE!$EB$24:$IY$24)</f>
        <v>0</v>
      </c>
      <c r="FC191" s="56"/>
      <c r="FD191" s="175">
        <f t="shared" si="1300"/>
        <v>0</v>
      </c>
      <c r="FE191" s="175">
        <f t="shared" si="1301"/>
        <v>0</v>
      </c>
      <c r="FF191" s="56"/>
      <c r="FI191" s="55">
        <f t="shared" si="1302"/>
        <v>46182</v>
      </c>
      <c r="FJ191" s="56"/>
      <c r="FK191" s="183">
        <f>SUMPRODUCT(PRODUCE!$B196:$DY196,PRODUCE!$EB$25:$IY$25)</f>
        <v>0</v>
      </c>
      <c r="FL191" s="56"/>
      <c r="FM191" s="183">
        <f t="shared" si="1303"/>
        <v>0</v>
      </c>
      <c r="FN191" s="183">
        <f t="shared" si="1304"/>
        <v>0</v>
      </c>
      <c r="FO191" s="56"/>
      <c r="FR191" s="55">
        <f t="shared" si="1305"/>
        <v>46182</v>
      </c>
      <c r="FS191" s="56"/>
      <c r="FT191" s="186">
        <f>SUMPRODUCT(PRODUCE!$B196:$DY196,PRODUCE!$EB$26:$IY$26)</f>
        <v>0</v>
      </c>
      <c r="FU191" s="56"/>
      <c r="FV191" s="186">
        <f t="shared" si="1306"/>
        <v>0</v>
      </c>
      <c r="FW191" s="186">
        <f t="shared" si="1307"/>
        <v>4140</v>
      </c>
      <c r="FX191" s="56"/>
      <c r="GA191" s="55">
        <f t="shared" si="1308"/>
        <v>46182</v>
      </c>
      <c r="GB191" s="56"/>
      <c r="GC191" s="137">
        <f>SUMPRODUCT(PRODUCE!$B196:$DY196,PRODUCE!$EB$27:$IY$27)</f>
        <v>0</v>
      </c>
      <c r="GD191" s="56"/>
      <c r="GE191" s="137">
        <f t="shared" si="1309"/>
        <v>0</v>
      </c>
      <c r="GF191" s="137">
        <f t="shared" si="1310"/>
        <v>5040</v>
      </c>
      <c r="GG191" s="56"/>
      <c r="GI191" s="23"/>
      <c r="GJ191" s="55">
        <f t="shared" si="1311"/>
        <v>46182</v>
      </c>
      <c r="GK191" s="56"/>
      <c r="GL191" s="199">
        <f>SUMPRODUCT(PRODUCE!$B196:$DY196,PRODUCE!$EB$28:$IY$28)</f>
        <v>0</v>
      </c>
      <c r="GM191" s="56"/>
      <c r="GN191" s="199">
        <f t="shared" si="1312"/>
        <v>0</v>
      </c>
      <c r="GO191" s="199">
        <f t="shared" si="1313"/>
        <v>1760</v>
      </c>
      <c r="GP191" s="56"/>
      <c r="GS191" s="55">
        <f t="shared" si="1314"/>
        <v>46182</v>
      </c>
      <c r="GT191" s="56"/>
      <c r="GU191" s="195">
        <f>SUMPRODUCT(PRODUCE!$B196:$DY196,PRODUCE!$EB$29:$IY$29)</f>
        <v>0</v>
      </c>
      <c r="GV191" s="56"/>
      <c r="GW191" s="195">
        <f t="shared" si="1315"/>
        <v>0</v>
      </c>
      <c r="GX191" s="195">
        <f t="shared" si="1316"/>
        <v>0</v>
      </c>
      <c r="GY191" s="56"/>
      <c r="HB191" s="55">
        <f t="shared" si="1317"/>
        <v>46182</v>
      </c>
      <c r="HC191" s="56"/>
      <c r="HD191" s="191">
        <f>SUMPRODUCT(PRODUCE!$B196:$DY196,PRODUCE!$EB$30:$IY$30)</f>
        <v>0</v>
      </c>
      <c r="HE191" s="56"/>
      <c r="HF191" s="191">
        <f t="shared" si="1318"/>
        <v>0</v>
      </c>
      <c r="HG191" s="191">
        <f t="shared" si="1319"/>
        <v>3600</v>
      </c>
      <c r="HH191" s="56"/>
      <c r="HK191" s="55">
        <f t="shared" si="1320"/>
        <v>46182</v>
      </c>
      <c r="HL191" s="56"/>
      <c r="HM191" s="63">
        <f>SUMPRODUCT(PRODUCE!$B196:$DY196,PRODUCE!$EB$31:$IY$31)</f>
        <v>0</v>
      </c>
      <c r="HN191" s="56"/>
      <c r="HO191" s="63">
        <f t="shared" si="1321"/>
        <v>0</v>
      </c>
      <c r="HP191" s="63">
        <f t="shared" si="1322"/>
        <v>0</v>
      </c>
      <c r="HQ191" s="56"/>
      <c r="HU191" s="55">
        <f t="shared" si="1323"/>
        <v>46182</v>
      </c>
      <c r="HV191" s="56"/>
      <c r="HW191" s="242">
        <f>SUMPRODUCT(PRODUCE!$B196:$DY196,PRODUCE!$EB$32:$IY$32)</f>
        <v>0</v>
      </c>
      <c r="HX191" s="56"/>
      <c r="HY191" s="242">
        <f t="shared" si="1324"/>
        <v>0</v>
      </c>
      <c r="HZ191" s="242">
        <f t="shared" si="1325"/>
        <v>6800</v>
      </c>
      <c r="IA191" s="56"/>
      <c r="ID191" s="55">
        <f t="shared" si="1326"/>
        <v>46182</v>
      </c>
      <c r="IE191" s="56"/>
      <c r="IF191" s="242">
        <f>SUMPRODUCT(PRODUCE!$B196:$DY196,PRODUCE!$EB$33:$IY$33)</f>
        <v>0</v>
      </c>
      <c r="IG191" s="56"/>
      <c r="IH191" s="242">
        <f t="shared" si="1327"/>
        <v>0</v>
      </c>
      <c r="II191" s="242">
        <f t="shared" si="1328"/>
        <v>720</v>
      </c>
      <c r="IJ191" s="56"/>
      <c r="IM191" s="55">
        <f t="shared" si="1329"/>
        <v>46182</v>
      </c>
      <c r="IN191" s="56"/>
      <c r="IO191" s="242">
        <f>SUMPRODUCT(PRODUCE!$B196:$DY196,PRODUCE!$EB$34:$IY$34)</f>
        <v>0</v>
      </c>
      <c r="IP191" s="56"/>
      <c r="IQ191" s="242">
        <f t="shared" si="1330"/>
        <v>0</v>
      </c>
      <c r="IR191" s="242">
        <f t="shared" si="1331"/>
        <v>8140</v>
      </c>
      <c r="IS191" s="56"/>
      <c r="IV191" s="55">
        <f t="shared" si="1332"/>
        <v>46182</v>
      </c>
      <c r="IW191" s="56"/>
      <c r="IX191" s="242">
        <f>SUMPRODUCT(PRODUCE!$B196:$DY196,PRODUCE!$EB$35:$IY$35)</f>
        <v>0</v>
      </c>
      <c r="IY191" s="56"/>
      <c r="IZ191" s="242">
        <f t="shared" si="1333"/>
        <v>0</v>
      </c>
      <c r="JA191" s="242">
        <f t="shared" si="1334"/>
        <v>4960</v>
      </c>
      <c r="JB191" s="56"/>
      <c r="JE191" s="55">
        <f t="shared" si="1335"/>
        <v>46182</v>
      </c>
      <c r="JF191" s="56"/>
      <c r="JG191" s="242">
        <f>SUMPRODUCT(PRODUCE!$B196:$DY196,PRODUCE!$EB$36:$IY$36)</f>
        <v>0</v>
      </c>
      <c r="JH191" s="56"/>
      <c r="JI191" s="242">
        <f t="shared" si="1336"/>
        <v>0</v>
      </c>
      <c r="JJ191" s="242">
        <f t="shared" si="1337"/>
        <v>0</v>
      </c>
      <c r="JK191" s="56"/>
      <c r="JN191" s="55">
        <f t="shared" si="1338"/>
        <v>46182</v>
      </c>
      <c r="JO191" s="56"/>
      <c r="JP191" s="242">
        <f>SUMPRODUCT(PRODUCE!$B196:$DY196,PRODUCE!$EB$37:$IY$37)</f>
        <v>1200</v>
      </c>
      <c r="JQ191" s="56"/>
      <c r="JR191" s="242">
        <f t="shared" si="1339"/>
        <v>1200</v>
      </c>
      <c r="JS191" s="242">
        <f t="shared" si="1340"/>
        <v>180</v>
      </c>
      <c r="JT191" s="56"/>
      <c r="JW191" s="55">
        <f t="shared" si="1341"/>
        <v>46182</v>
      </c>
      <c r="JX191" s="56"/>
      <c r="JY191" s="242">
        <f>SUMPRODUCT(PRODUCE!$B196:$DY196,PRODUCE!$EB$38:$IY$38)</f>
        <v>0</v>
      </c>
      <c r="JZ191" s="56"/>
      <c r="KA191" s="242">
        <f t="shared" si="1342"/>
        <v>0</v>
      </c>
      <c r="KB191" s="242">
        <f t="shared" si="1343"/>
        <v>2540</v>
      </c>
      <c r="KC191" s="56"/>
      <c r="KF191" s="55">
        <f t="shared" si="1344"/>
        <v>46182</v>
      </c>
      <c r="KG191" s="56"/>
      <c r="KH191" s="242">
        <f>SUMPRODUCT(PRODUCE!$B196:$DY196,PRODUCE!$EB$39:$IY$39)</f>
        <v>0</v>
      </c>
      <c r="KI191" s="56"/>
      <c r="KJ191" s="242">
        <f t="shared" si="1345"/>
        <v>0</v>
      </c>
      <c r="KK191" s="242">
        <f t="shared" si="1346"/>
        <v>2359.5</v>
      </c>
      <c r="KL191" s="56"/>
      <c r="KO191" s="55">
        <f t="shared" si="1347"/>
        <v>46182</v>
      </c>
      <c r="KP191" s="56"/>
      <c r="KQ191" s="242">
        <f>SUMPRODUCT(PRODUCE!$B196:$DY196,PRODUCE!$EB$40:$IY$40)</f>
        <v>0</v>
      </c>
      <c r="KR191" s="56"/>
      <c r="KS191" s="242">
        <f t="shared" si="1348"/>
        <v>0</v>
      </c>
      <c r="KT191" s="242">
        <f t="shared" si="1349"/>
        <v>1890</v>
      </c>
      <c r="KU191" s="56"/>
      <c r="KW191" s="23"/>
      <c r="KX191" s="55">
        <f t="shared" si="1350"/>
        <v>46182</v>
      </c>
      <c r="KY191" s="56"/>
      <c r="KZ191" s="242">
        <f>SUMPRODUCT(PRODUCE!$B196:$DY196,PRODUCE!$EB$41:$IY$41)</f>
        <v>0</v>
      </c>
      <c r="LA191" s="56"/>
      <c r="LB191" s="242">
        <f t="shared" si="1351"/>
        <v>0</v>
      </c>
      <c r="LC191" s="242">
        <f t="shared" si="1352"/>
        <v>3690</v>
      </c>
      <c r="LD191" s="56"/>
      <c r="LG191" s="55">
        <f t="shared" si="1353"/>
        <v>46182</v>
      </c>
      <c r="LH191" s="56"/>
      <c r="LI191" s="242">
        <f>SUMPRODUCT(PRODUCE!$B196:$DY196,PRODUCE!$EB$42:$IY$42)</f>
        <v>0</v>
      </c>
      <c r="LJ191" s="56"/>
      <c r="LK191" s="242">
        <f t="shared" si="1354"/>
        <v>0</v>
      </c>
      <c r="LL191" s="242">
        <f t="shared" si="1355"/>
        <v>4000</v>
      </c>
      <c r="LM191" s="56"/>
      <c r="LP191" s="55">
        <f t="shared" si="1356"/>
        <v>46182</v>
      </c>
      <c r="LQ191" s="56"/>
      <c r="LR191" s="242">
        <f>SUMPRODUCT(PRODUCE!$B196:$DY196,PRODUCE!$EB$43:$IY$43)</f>
        <v>0</v>
      </c>
      <c r="LS191" s="56"/>
      <c r="LT191" s="242">
        <f t="shared" si="1357"/>
        <v>0</v>
      </c>
      <c r="LU191" s="242">
        <f t="shared" si="1358"/>
        <v>0</v>
      </c>
      <c r="LV191" s="56"/>
      <c r="LY191" s="55">
        <f t="shared" si="1359"/>
        <v>46182</v>
      </c>
      <c r="LZ191" s="56"/>
      <c r="MA191" s="242">
        <f>SUMPRODUCT(PRODUCE!$B196:$DY196,PRODUCE!$EB$44:$IY$44)</f>
        <v>0</v>
      </c>
      <c r="MB191" s="56"/>
      <c r="MC191" s="242">
        <f t="shared" si="1360"/>
        <v>0</v>
      </c>
      <c r="MD191" s="242">
        <f t="shared" si="1361"/>
        <v>0</v>
      </c>
      <c r="ME191" s="56"/>
      <c r="MH191" s="55">
        <f t="shared" si="1362"/>
        <v>46182</v>
      </c>
      <c r="MI191" s="56"/>
      <c r="MJ191" s="242">
        <f>SUMPRODUCT(PRODUCE!$B196:$DY196,PRODUCE!$EB$45:$IY$45)</f>
        <v>0</v>
      </c>
      <c r="MK191" s="56"/>
      <c r="ML191" s="242">
        <f t="shared" si="1363"/>
        <v>0</v>
      </c>
      <c r="MM191" s="242">
        <f t="shared" si="1364"/>
        <v>0</v>
      </c>
      <c r="MN191" s="56"/>
      <c r="MQ191" s="55">
        <f t="shared" si="1365"/>
        <v>46182</v>
      </c>
      <c r="MR191" s="56"/>
      <c r="MS191" s="242">
        <f>SUMPRODUCT(PRODUCE!$B196:$DY196,PRODUCE!$EB$46:$IY$46)</f>
        <v>0</v>
      </c>
      <c r="MT191" s="56"/>
      <c r="MU191" s="242">
        <f t="shared" si="1366"/>
        <v>0</v>
      </c>
      <c r="MV191" s="242">
        <f t="shared" si="1367"/>
        <v>3724</v>
      </c>
      <c r="MW191" s="56"/>
      <c r="MZ191" s="55">
        <f t="shared" si="1368"/>
        <v>46182</v>
      </c>
      <c r="NA191" s="56"/>
      <c r="NB191" s="242">
        <f>SUMPRODUCT(PRODUCE!$B196:$DY196,PRODUCE!$EB$47:$IY$47)</f>
        <v>180</v>
      </c>
      <c r="NC191" s="56"/>
      <c r="ND191" s="242">
        <f t="shared" si="1369"/>
        <v>180</v>
      </c>
      <c r="NE191" s="242">
        <f t="shared" si="1370"/>
        <v>0</v>
      </c>
      <c r="NF191" s="56"/>
      <c r="NI191" s="55">
        <f t="shared" si="1371"/>
        <v>46182</v>
      </c>
      <c r="NJ191" s="56"/>
      <c r="NK191" s="242">
        <f>SUMPRODUCT(PRODUCE!$B196:$DY196,PRODUCE!$EB$48:$IY$48)</f>
        <v>0</v>
      </c>
      <c r="NL191" s="56"/>
      <c r="NM191" s="242">
        <f t="shared" si="1372"/>
        <v>0</v>
      </c>
      <c r="NN191" s="242">
        <f t="shared" si="1373"/>
        <v>1127</v>
      </c>
      <c r="NO191" s="56"/>
      <c r="NR191" s="55">
        <f t="shared" si="1374"/>
        <v>46182</v>
      </c>
      <c r="NS191" s="56"/>
      <c r="NT191" s="242">
        <f>SUMPRODUCT(PRODUCE!$B196:$DY196,PRODUCE!$EB$49:$IY$49)</f>
        <v>0</v>
      </c>
      <c r="NU191" s="56"/>
      <c r="NV191" s="242">
        <f t="shared" si="1375"/>
        <v>0</v>
      </c>
      <c r="NW191" s="242">
        <f t="shared" si="1376"/>
        <v>3111.9999999999995</v>
      </c>
      <c r="NX191" s="56"/>
      <c r="OA191" s="55">
        <f t="shared" si="1377"/>
        <v>46182</v>
      </c>
      <c r="OB191" s="56"/>
      <c r="OC191" s="242">
        <f>SUMPRODUCT(PRODUCE!$B196:$DY196,PRODUCE!$EB$50:$IY$50)</f>
        <v>0</v>
      </c>
      <c r="OD191" s="56"/>
      <c r="OE191" s="242">
        <f t="shared" si="1378"/>
        <v>0</v>
      </c>
      <c r="OF191" s="242">
        <f t="shared" si="1379"/>
        <v>1680.5</v>
      </c>
      <c r="OG191" s="56"/>
      <c r="OJ191" s="55">
        <f t="shared" si="1380"/>
        <v>46182</v>
      </c>
      <c r="OK191" s="56"/>
      <c r="OL191" s="242">
        <f>SUMPRODUCT(PRODUCE!$B196:$DY196,PRODUCE!$EB$51:$IY$51)</f>
        <v>0</v>
      </c>
      <c r="OM191" s="56"/>
      <c r="ON191" s="242">
        <f t="shared" si="1381"/>
        <v>0</v>
      </c>
      <c r="OO191" s="242">
        <f t="shared" si="1382"/>
        <v>0</v>
      </c>
      <c r="OP191" s="56"/>
      <c r="OS191" s="55">
        <f t="shared" si="1383"/>
        <v>46182</v>
      </c>
      <c r="OT191" s="56"/>
      <c r="OU191" s="242">
        <f>SUMPRODUCT(PRODUCE!$B196:$DY196,PRODUCE!$EB$52:$IY$52)</f>
        <v>0</v>
      </c>
      <c r="OV191" s="56"/>
      <c r="OW191" s="242">
        <f t="shared" si="1384"/>
        <v>0</v>
      </c>
      <c r="OX191" s="242">
        <f t="shared" si="1385"/>
        <v>1482</v>
      </c>
      <c r="OY191" s="56"/>
      <c r="PB191" s="55">
        <f t="shared" si="1386"/>
        <v>46182</v>
      </c>
      <c r="PC191" s="56"/>
      <c r="PD191" s="242">
        <f>SUMPRODUCT(PRODUCE!$B196:$DY196,PRODUCE!$EB$53:$IY$53)</f>
        <v>0</v>
      </c>
      <c r="PE191" s="56"/>
      <c r="PF191" s="242">
        <f t="shared" si="1387"/>
        <v>0</v>
      </c>
      <c r="PG191" s="242">
        <f t="shared" si="1388"/>
        <v>0</v>
      </c>
      <c r="PH191" s="56"/>
      <c r="PK191" s="55">
        <f t="shared" si="1389"/>
        <v>46182</v>
      </c>
      <c r="PL191" s="56"/>
      <c r="PM191" s="242">
        <f>SUMPRODUCT(PRODUCE!$B196:$DY196,PRODUCE!$EB$54:$IY$54)</f>
        <v>0</v>
      </c>
      <c r="PN191" s="56"/>
      <c r="PO191" s="242">
        <f t="shared" si="1494"/>
        <v>0</v>
      </c>
      <c r="PP191" s="242">
        <f t="shared" si="1495"/>
        <v>100</v>
      </c>
      <c r="PQ191" s="56"/>
      <c r="PT191" s="55">
        <f t="shared" si="1392"/>
        <v>46182</v>
      </c>
      <c r="PU191" s="56"/>
      <c r="PV191" s="242">
        <f>SUMPRODUCT(PRODUCE!$B196:$DY196,PRODUCE!$EB$55:$IY$55)</f>
        <v>0</v>
      </c>
      <c r="PW191" s="56"/>
      <c r="PX191" s="242">
        <f t="shared" si="1393"/>
        <v>0</v>
      </c>
      <c r="PY191" s="242">
        <f t="shared" si="1394"/>
        <v>13.960000000000036</v>
      </c>
      <c r="PZ191" s="56"/>
      <c r="QC191" s="55">
        <f t="shared" si="1395"/>
        <v>46182</v>
      </c>
      <c r="QD191" s="56"/>
      <c r="QE191" s="242">
        <f>SUMPRODUCT(PRODUCE!$B196:$DY196,PRODUCE!$EB$56:$IY$56)</f>
        <v>0</v>
      </c>
      <c r="QF191" s="56"/>
      <c r="QG191" s="242">
        <f t="shared" si="1396"/>
        <v>0</v>
      </c>
      <c r="QH191" s="242">
        <f t="shared" si="1397"/>
        <v>1736</v>
      </c>
      <c r="QI191" s="56"/>
      <c r="QL191" s="55">
        <f t="shared" si="1398"/>
        <v>46182</v>
      </c>
      <c r="QM191" s="56"/>
      <c r="QN191" s="242">
        <f>SUMPRODUCT(PRODUCE!$B196:$DY196,PRODUCE!$EB$57:$IY$57)</f>
        <v>150</v>
      </c>
      <c r="QO191" s="56"/>
      <c r="QP191" s="242">
        <f t="shared" si="1399"/>
        <v>150</v>
      </c>
      <c r="QQ191" s="242">
        <f t="shared" si="1400"/>
        <v>475</v>
      </c>
      <c r="QR191" s="56"/>
      <c r="QU191" s="55">
        <f t="shared" si="1401"/>
        <v>46182</v>
      </c>
      <c r="QV191" s="56"/>
      <c r="QW191" s="242">
        <f>SUMPRODUCT(PRODUCE!$B196:$DY196,PRODUCE!$EB$58:$IY$58)</f>
        <v>0</v>
      </c>
      <c r="QX191" s="56"/>
      <c r="QY191" s="242">
        <f t="shared" si="1402"/>
        <v>0</v>
      </c>
      <c r="QZ191" s="242">
        <f t="shared" si="1403"/>
        <v>207.6</v>
      </c>
      <c r="RA191" s="56"/>
      <c r="RD191" s="55">
        <f t="shared" si="1404"/>
        <v>46182</v>
      </c>
      <c r="RE191" s="56"/>
      <c r="RF191" s="242">
        <f>SUMPRODUCT(PRODUCE!$B196:$DY196,PRODUCE!$EB$59:$IY$59)</f>
        <v>0</v>
      </c>
      <c r="RG191" s="56"/>
      <c r="RH191" s="242">
        <f t="shared" si="1405"/>
        <v>0</v>
      </c>
      <c r="RI191" s="242">
        <f t="shared" si="1406"/>
        <v>147.04000000000002</v>
      </c>
      <c r="RJ191" s="56"/>
      <c r="RM191" s="55">
        <f t="shared" si="1407"/>
        <v>46182</v>
      </c>
      <c r="RN191" s="56"/>
      <c r="RO191" s="242">
        <f>SUMPRODUCT(PRODUCE!$B196:$DY196,PRODUCE!$EB$60:$IY$60)</f>
        <v>0</v>
      </c>
      <c r="RP191" s="56"/>
      <c r="RQ191" s="242">
        <f t="shared" si="1408"/>
        <v>0</v>
      </c>
      <c r="RR191" s="242">
        <f t="shared" si="1409"/>
        <v>46.8</v>
      </c>
      <c r="RS191" s="56"/>
      <c r="RV191" s="55">
        <f t="shared" si="1410"/>
        <v>46182</v>
      </c>
      <c r="RW191" s="56"/>
      <c r="RX191" s="242">
        <f>SUMPRODUCT(PRODUCE!$B196:$DY196,PRODUCE!$EB$61:$IY$61)</f>
        <v>0</v>
      </c>
      <c r="RY191" s="56"/>
      <c r="RZ191" s="242">
        <f t="shared" si="1411"/>
        <v>0</v>
      </c>
      <c r="SA191" s="242">
        <f t="shared" si="1412"/>
        <v>0</v>
      </c>
      <c r="SB191" s="56"/>
      <c r="SE191" s="55">
        <f t="shared" si="1413"/>
        <v>46182</v>
      </c>
      <c r="SF191" s="56"/>
      <c r="SG191" s="242">
        <f>SUMPRODUCT(PRODUCE!$B196:$DY196,PRODUCE!$EB$62:$IY$62)</f>
        <v>0</v>
      </c>
      <c r="SH191" s="56"/>
      <c r="SI191" s="242">
        <f t="shared" si="1414"/>
        <v>0</v>
      </c>
      <c r="SJ191" s="242">
        <f t="shared" si="1415"/>
        <v>24.200000000000003</v>
      </c>
      <c r="SK191" s="56"/>
      <c r="SN191" s="55">
        <f t="shared" si="1416"/>
        <v>46182</v>
      </c>
      <c r="SO191" s="56"/>
      <c r="SP191" s="242">
        <f>SUMPRODUCT(PRODUCE!$B196:$DY196,PRODUCE!$EB$63:$IY$63)</f>
        <v>0</v>
      </c>
      <c r="SQ191" s="56"/>
      <c r="SR191" s="242">
        <f t="shared" si="1417"/>
        <v>0</v>
      </c>
      <c r="SS191" s="242">
        <f t="shared" si="1418"/>
        <v>32</v>
      </c>
      <c r="ST191" s="56"/>
      <c r="SW191" s="55">
        <f t="shared" si="1419"/>
        <v>46182</v>
      </c>
      <c r="SX191" s="56"/>
      <c r="SY191" s="242">
        <f>SUMPRODUCT(PRODUCE!$B196:$DY196,PRODUCE!$EB$64:$IY$64)</f>
        <v>0</v>
      </c>
      <c r="SZ191" s="56"/>
      <c r="TA191" s="242">
        <f t="shared" si="1420"/>
        <v>0</v>
      </c>
      <c r="TB191" s="242">
        <f t="shared" si="1421"/>
        <v>0</v>
      </c>
      <c r="TC191" s="56"/>
      <c r="TF191" s="55">
        <f t="shared" si="1422"/>
        <v>46182</v>
      </c>
      <c r="TG191" s="56"/>
      <c r="TH191" s="242">
        <f>SUMPRODUCT(PRODUCE!$B196:$DY196,PRODUCE!$EB$65:$IY$65)</f>
        <v>0</v>
      </c>
      <c r="TI191" s="56"/>
      <c r="TJ191" s="242">
        <f t="shared" si="1423"/>
        <v>0</v>
      </c>
      <c r="TK191" s="242">
        <f t="shared" si="1424"/>
        <v>0</v>
      </c>
      <c r="TL191" s="56"/>
      <c r="TO191" s="55">
        <f t="shared" si="1425"/>
        <v>46182</v>
      </c>
      <c r="TP191" s="56"/>
      <c r="TQ191" s="242">
        <f>SUMPRODUCT(PRODUCE!$B196:$DY196,PRODUCE!$EB$66:$IY$66)</f>
        <v>0</v>
      </c>
      <c r="TR191" s="56"/>
      <c r="TS191" s="242">
        <f t="shared" si="1426"/>
        <v>0</v>
      </c>
      <c r="TT191" s="242">
        <f t="shared" si="1427"/>
        <v>82.4</v>
      </c>
      <c r="TU191" s="56"/>
      <c r="TX191" s="55">
        <f t="shared" si="1428"/>
        <v>46182</v>
      </c>
      <c r="TY191" s="56"/>
      <c r="TZ191" s="242">
        <f>SUMPRODUCT(PRODUCE!$B196:$DY196,PRODUCE!$EB$67:$IY$67)</f>
        <v>0</v>
      </c>
      <c r="UA191" s="56"/>
      <c r="UB191" s="242">
        <f t="shared" si="1429"/>
        <v>0</v>
      </c>
      <c r="UC191" s="242">
        <f t="shared" si="1430"/>
        <v>169.2</v>
      </c>
      <c r="UD191" s="56"/>
      <c r="UG191" s="55">
        <f t="shared" si="1431"/>
        <v>46182</v>
      </c>
      <c r="UH191" s="56"/>
      <c r="UI191" s="242">
        <f>SUMPRODUCT(PRODUCE!$B196:$DY196,PRODUCE!$EB$68:$IY$68)</f>
        <v>0</v>
      </c>
      <c r="UJ191" s="56"/>
      <c r="UK191" s="242">
        <f t="shared" si="1432"/>
        <v>0</v>
      </c>
      <c r="UL191" s="242">
        <f t="shared" si="1433"/>
        <v>204</v>
      </c>
      <c r="UM191" s="56"/>
      <c r="UP191" s="55">
        <f t="shared" si="1434"/>
        <v>46182</v>
      </c>
      <c r="UQ191" s="56"/>
      <c r="UR191" s="242">
        <f>SUMPRODUCT(PRODUCE!$B196:$DY196,PRODUCE!$EB$69:$IY$69)</f>
        <v>0</v>
      </c>
      <c r="US191" s="56"/>
      <c r="UT191" s="242">
        <f t="shared" si="1435"/>
        <v>0</v>
      </c>
      <c r="UU191" s="242">
        <f t="shared" si="1436"/>
        <v>251.25</v>
      </c>
      <c r="UV191" s="56"/>
      <c r="UY191" s="55">
        <f t="shared" si="1437"/>
        <v>46182</v>
      </c>
      <c r="UZ191" s="56"/>
      <c r="VA191" s="242">
        <f>SUMPRODUCT(PRODUCE!$B196:$DY196,PRODUCE!$EB$70:$IY$70)</f>
        <v>0</v>
      </c>
      <c r="VB191" s="56"/>
      <c r="VC191" s="242">
        <f t="shared" si="1438"/>
        <v>0</v>
      </c>
      <c r="VD191" s="242">
        <f t="shared" si="1439"/>
        <v>41.600000000000023</v>
      </c>
      <c r="VE191" s="56"/>
      <c r="VH191" s="55">
        <f t="shared" si="1440"/>
        <v>46182</v>
      </c>
      <c r="VI191" s="56"/>
      <c r="VJ191" s="242">
        <f>SUMPRODUCT(PRODUCE!$B196:$DY196,PRODUCE!$EB$71:$IY$71)</f>
        <v>0</v>
      </c>
      <c r="VK191" s="56"/>
      <c r="VL191" s="242">
        <f t="shared" si="1441"/>
        <v>0</v>
      </c>
      <c r="VM191" s="242">
        <f t="shared" si="1442"/>
        <v>210</v>
      </c>
      <c r="VN191" s="56"/>
      <c r="VQ191" s="55">
        <f t="shared" si="1443"/>
        <v>46182</v>
      </c>
      <c r="VR191" s="56"/>
      <c r="VS191" s="242">
        <f>SUMPRODUCT(PRODUCE!$B196:$DY196,PRODUCE!$EB$57:$IY$57)</f>
        <v>150</v>
      </c>
      <c r="VT191" s="56"/>
      <c r="VU191" s="242">
        <f t="shared" si="1444"/>
        <v>150</v>
      </c>
      <c r="VV191" s="242">
        <f t="shared" si="1445"/>
        <v>0</v>
      </c>
      <c r="VW191" s="56"/>
      <c r="VZ191" s="55">
        <f t="shared" si="1446"/>
        <v>46182</v>
      </c>
      <c r="WA191" s="56"/>
      <c r="WB191" s="242">
        <f>SUMPRODUCT(PRODUCE!$B196:$DY196,PRODUCE!$EB$57:$IY$57)</f>
        <v>150</v>
      </c>
      <c r="WC191" s="56"/>
      <c r="WD191" s="242">
        <f t="shared" si="1447"/>
        <v>150</v>
      </c>
      <c r="WE191" s="242">
        <f t="shared" si="1448"/>
        <v>0</v>
      </c>
      <c r="WF191" s="56"/>
      <c r="WI191" s="55">
        <f t="shared" si="1449"/>
        <v>46182</v>
      </c>
      <c r="WJ191" s="422"/>
      <c r="WK191" s="540">
        <f>SUMPRODUCT(PRODUCE!$B196:$DY196,PRODUCE!$EB$74:$IY$74)</f>
        <v>0</v>
      </c>
      <c r="WL191" s="422"/>
      <c r="WM191" s="540">
        <f t="shared" si="1450"/>
        <v>0</v>
      </c>
      <c r="WN191" s="540">
        <f t="shared" si="1451"/>
        <v>1199</v>
      </c>
      <c r="WO191" s="56"/>
      <c r="WR191" s="55">
        <f t="shared" si="1452"/>
        <v>46182</v>
      </c>
      <c r="WS191" s="422"/>
      <c r="WT191" s="540">
        <f>SUMPRODUCT(PRODUCE!$B196:$DY196,PRODUCE!$EB$75:$IY$75)</f>
        <v>0</v>
      </c>
      <c r="WU191" s="422"/>
      <c r="WV191" s="540">
        <f t="shared" si="1453"/>
        <v>0</v>
      </c>
      <c r="WW191" s="540">
        <f t="shared" si="1454"/>
        <v>0</v>
      </c>
      <c r="WX191" s="56"/>
      <c r="XA191" s="55">
        <f t="shared" si="1455"/>
        <v>46182</v>
      </c>
      <c r="XB191" s="422"/>
      <c r="XC191" s="540">
        <f>SUMPRODUCT(PRODUCE!$B196:$DY196,PRODUCE!$EB$76:$IY$76)</f>
        <v>0</v>
      </c>
      <c r="XD191" s="422"/>
      <c r="XE191" s="540">
        <f t="shared" si="1456"/>
        <v>0</v>
      </c>
      <c r="XF191" s="540">
        <f t="shared" si="1457"/>
        <v>6813</v>
      </c>
      <c r="XG191" s="56"/>
      <c r="XJ191" s="55">
        <f t="shared" si="1458"/>
        <v>46182</v>
      </c>
      <c r="XK191" s="422"/>
      <c r="XL191" s="540">
        <f>SUMPRODUCT(PRODUCE!$B196:$DY196,PRODUCE!$EB$77:$IY$77)</f>
        <v>0</v>
      </c>
      <c r="XM191" s="422"/>
      <c r="XN191" s="540">
        <f t="shared" si="1459"/>
        <v>0</v>
      </c>
      <c r="XO191" s="540">
        <f t="shared" si="1460"/>
        <v>6197</v>
      </c>
      <c r="XP191" s="56"/>
      <c r="XS191" s="55">
        <f t="shared" si="1461"/>
        <v>46182</v>
      </c>
      <c r="XT191" s="56"/>
      <c r="XU191" s="242">
        <f>SUMPRODUCT(PRODUCE!$B196:$DY196,PRODUCE!$EB$78:$IY$78)</f>
        <v>0</v>
      </c>
      <c r="XV191" s="56"/>
      <c r="XW191" s="242">
        <f t="shared" si="1462"/>
        <v>0</v>
      </c>
      <c r="XX191" s="242">
        <f t="shared" si="1463"/>
        <v>1621</v>
      </c>
      <c r="XY191" s="56"/>
      <c r="YB191" s="55">
        <f t="shared" si="1464"/>
        <v>46182</v>
      </c>
      <c r="YC191" s="56"/>
      <c r="YD191" s="242">
        <f>SUMPRODUCT(PRODUCE!$B196:$DY196,PRODUCE!$EB$79:$IY$79)</f>
        <v>0</v>
      </c>
      <c r="YE191" s="56"/>
      <c r="YF191" s="242">
        <f t="shared" si="1465"/>
        <v>0</v>
      </c>
      <c r="YG191" s="242">
        <f t="shared" si="1466"/>
        <v>5083</v>
      </c>
      <c r="YH191" s="56"/>
      <c r="YK191" s="55">
        <f t="shared" si="1467"/>
        <v>46182</v>
      </c>
      <c r="YL191" s="56"/>
      <c r="YM191" s="242">
        <f>SUMPRODUCT(PRODUCE!$B196:$DY196,PRODUCE!$EB$80:$IY$80)</f>
        <v>0</v>
      </c>
      <c r="YN191" s="56"/>
      <c r="YO191" s="242">
        <f t="shared" si="1468"/>
        <v>0</v>
      </c>
      <c r="YP191" s="242">
        <f t="shared" si="1469"/>
        <v>0</v>
      </c>
      <c r="YQ191" s="56"/>
      <c r="YT191" s="55">
        <f t="shared" si="1470"/>
        <v>46182</v>
      </c>
      <c r="YU191" s="56"/>
      <c r="YV191" s="242">
        <f>SUMPRODUCT(PRODUCE!$B196:$DY196,PRODUCE!$EB$57:$IY$57)</f>
        <v>150</v>
      </c>
      <c r="YW191" s="56"/>
      <c r="YX191" s="242">
        <f t="shared" si="1471"/>
        <v>150</v>
      </c>
      <c r="YY191" s="242">
        <f t="shared" si="1472"/>
        <v>0</v>
      </c>
      <c r="YZ191" s="56"/>
      <c r="ZC191" s="55">
        <f t="shared" si="1473"/>
        <v>46182</v>
      </c>
      <c r="ZD191" s="56"/>
      <c r="ZE191" s="242">
        <f>SUMPRODUCT(PRODUCE!$B196:$DY196,PRODUCE!$EB$57:$IY$57)</f>
        <v>150</v>
      </c>
      <c r="ZF191" s="56"/>
      <c r="ZG191" s="242">
        <f t="shared" si="1474"/>
        <v>150</v>
      </c>
      <c r="ZH191" s="242">
        <f t="shared" si="1475"/>
        <v>0</v>
      </c>
      <c r="ZI191" s="56"/>
      <c r="ZL191" s="55">
        <f t="shared" si="1476"/>
        <v>46182</v>
      </c>
      <c r="ZM191" s="56"/>
      <c r="ZN191" s="242">
        <f>SUMPRODUCT(PRODUCE!$B196:$DY196,PRODUCE!$EB$57:$IY$57)</f>
        <v>150</v>
      </c>
      <c r="ZO191" s="56"/>
      <c r="ZP191" s="242">
        <f t="shared" si="1477"/>
        <v>150</v>
      </c>
      <c r="ZQ191" s="242">
        <f t="shared" si="1478"/>
        <v>0</v>
      </c>
      <c r="ZR191" s="56"/>
      <c r="ZU191" s="55">
        <f t="shared" si="1479"/>
        <v>46182</v>
      </c>
      <c r="ZV191" s="56"/>
      <c r="ZW191" s="242">
        <f>SUMPRODUCT(PRODUCE!$B196:$DY196,PRODUCE!$EB$57:$IY$57)</f>
        <v>150</v>
      </c>
      <c r="ZX191" s="56"/>
      <c r="ZY191" s="242">
        <f t="shared" si="1480"/>
        <v>150</v>
      </c>
      <c r="ZZ191" s="242">
        <f t="shared" si="1481"/>
        <v>0</v>
      </c>
      <c r="AAA191" s="56"/>
      <c r="AAD191" s="55">
        <f t="shared" si="1482"/>
        <v>46182</v>
      </c>
      <c r="AAE191" s="56"/>
      <c r="AAF191" s="242">
        <f>SUMPRODUCT(PRODUCE!$B196:$DY196,PRODUCE!$EB$57:$IY$57)</f>
        <v>150</v>
      </c>
      <c r="AAG191" s="56"/>
      <c r="AAH191" s="242">
        <f t="shared" si="1483"/>
        <v>150</v>
      </c>
      <c r="AAI191" s="242">
        <f t="shared" si="1484"/>
        <v>0</v>
      </c>
      <c r="AAJ191" s="56"/>
      <c r="AAM191" s="55">
        <f t="shared" si="1485"/>
        <v>46182</v>
      </c>
      <c r="AAN191" s="56"/>
      <c r="AAO191" s="242">
        <f>SUMPRODUCT(PRODUCE!$B196:$DY196,PRODUCE!$EB$57:$IY$57)</f>
        <v>150</v>
      </c>
      <c r="AAP191" s="56"/>
      <c r="AAQ191" s="242">
        <f t="shared" si="1486"/>
        <v>150</v>
      </c>
      <c r="AAR191" s="242">
        <f t="shared" si="1487"/>
        <v>0</v>
      </c>
      <c r="AAS191" s="56"/>
      <c r="AAV191" s="55">
        <f t="shared" si="1488"/>
        <v>46182</v>
      </c>
      <c r="AAW191" s="56"/>
      <c r="AAX191" s="242">
        <f>SUMPRODUCT(PRODUCE!$B196:$DY196,PRODUCE!$EB$57:$IY$57)</f>
        <v>150</v>
      </c>
      <c r="AAY191" s="56"/>
      <c r="AAZ191" s="242">
        <f t="shared" si="1489"/>
        <v>150</v>
      </c>
      <c r="ABA191" s="242">
        <f t="shared" si="1490"/>
        <v>0</v>
      </c>
      <c r="ABB191" s="56"/>
      <c r="ABE191" s="55">
        <f t="shared" si="1491"/>
        <v>46182</v>
      </c>
      <c r="ABF191" s="56"/>
      <c r="ABG191" s="242">
        <f>SUMPRODUCT(PRODUCE!$B196:$DY196,PRODUCE!$EB$57:$IY$57)</f>
        <v>150</v>
      </c>
      <c r="ABH191" s="56"/>
      <c r="ABI191" s="242">
        <f t="shared" si="1492"/>
        <v>150</v>
      </c>
      <c r="ABJ191" s="242">
        <f t="shared" si="1493"/>
        <v>0</v>
      </c>
      <c r="ABK191" s="56"/>
    </row>
    <row r="192" spans="1:739" s="54" customFormat="1" ht="15" customHeight="1" outlineLevel="1">
      <c r="B192" s="478"/>
      <c r="C192" s="55">
        <v>46183</v>
      </c>
      <c r="D192" s="422">
        <v>25240</v>
      </c>
      <c r="E192" s="423">
        <f>SUMPRODUCT(PRODUCE!$B197:$DY197,PRODUCE!$EB$7:$IY$7)</f>
        <v>0</v>
      </c>
      <c r="F192" s="422"/>
      <c r="G192" s="423">
        <f t="shared" si="1249"/>
        <v>0</v>
      </c>
      <c r="H192" s="423">
        <f t="shared" si="1250"/>
        <v>170897.20000000007</v>
      </c>
      <c r="I192" s="289"/>
      <c r="L192" s="55">
        <f t="shared" si="1251"/>
        <v>46183</v>
      </c>
      <c r="M192" s="422">
        <v>56040</v>
      </c>
      <c r="N192" s="438">
        <f>SUMPRODUCT(PRODUCE!$B197:$DY197,PRODUCE!$EB$8:$IY$8)</f>
        <v>0</v>
      </c>
      <c r="O192" s="422"/>
      <c r="P192" s="438">
        <f t="shared" si="1252"/>
        <v>0</v>
      </c>
      <c r="Q192" s="438">
        <f t="shared" si="1253"/>
        <v>85189.600000000064</v>
      </c>
      <c r="R192" s="56"/>
      <c r="U192" s="55">
        <f t="shared" si="1254"/>
        <v>46183</v>
      </c>
      <c r="V192" s="422"/>
      <c r="W192" s="440">
        <f>SUMPRODUCT(PRODUCE!$B197:$DY197,PRODUCE!$EB$9:$IY$9)</f>
        <v>0</v>
      </c>
      <c r="X192" s="422"/>
      <c r="Y192" s="440">
        <f t="shared" si="1255"/>
        <v>0</v>
      </c>
      <c r="Z192" s="440">
        <f t="shared" si="1256"/>
        <v>27580.999999999975</v>
      </c>
      <c r="AA192" s="56"/>
      <c r="AD192" s="55">
        <f t="shared" si="1257"/>
        <v>46183</v>
      </c>
      <c r="AE192" s="422">
        <v>22380</v>
      </c>
      <c r="AF192" s="442">
        <f>SUMPRODUCT(PRODUCE!$B197:$DY197,PRODUCE!$EB$10:$IY$10)</f>
        <v>0</v>
      </c>
      <c r="AG192" s="422"/>
      <c r="AH192" s="442">
        <f t="shared" si="1258"/>
        <v>0</v>
      </c>
      <c r="AI192" s="442">
        <f t="shared" si="1259"/>
        <v>33973.10000000002</v>
      </c>
      <c r="AJ192" s="56"/>
      <c r="AM192" s="55">
        <f t="shared" si="1260"/>
        <v>46183</v>
      </c>
      <c r="AN192" s="422"/>
      <c r="AO192" s="444">
        <f>SUMPRODUCT(PRODUCE!$B197:$DY197,PRODUCE!$EB$11:$IY$11)</f>
        <v>0</v>
      </c>
      <c r="AP192" s="422"/>
      <c r="AQ192" s="444">
        <f t="shared" si="1261"/>
        <v>0</v>
      </c>
      <c r="AR192" s="444">
        <f t="shared" si="1262"/>
        <v>0</v>
      </c>
      <c r="AS192" s="56"/>
      <c r="AV192" s="55">
        <f t="shared" si="1263"/>
        <v>46183</v>
      </c>
      <c r="AW192" s="422"/>
      <c r="AX192" s="446">
        <f>SUMPRODUCT(PRODUCE!$B197:$DY197,PRODUCE!$EB$12:$IY$12)</f>
        <v>0</v>
      </c>
      <c r="AY192" s="422"/>
      <c r="AZ192" s="446">
        <f t="shared" si="1264"/>
        <v>0</v>
      </c>
      <c r="BA192" s="446">
        <f t="shared" si="1265"/>
        <v>16315.999999999996</v>
      </c>
      <c r="BB192" s="56"/>
      <c r="BE192" s="55">
        <f t="shared" si="1266"/>
        <v>46183</v>
      </c>
      <c r="BF192" s="422"/>
      <c r="BG192" s="448">
        <f>SUMPRODUCT(PRODUCE!$B197:$DY197,PRODUCE!$EB$13:$IY$13)</f>
        <v>0</v>
      </c>
      <c r="BH192" s="422"/>
      <c r="BI192" s="448">
        <f t="shared" si="1267"/>
        <v>0</v>
      </c>
      <c r="BJ192" s="448">
        <f t="shared" si="1268"/>
        <v>29991.299999999996</v>
      </c>
      <c r="BK192" s="56"/>
      <c r="BN192" s="55">
        <f t="shared" si="1269"/>
        <v>46183</v>
      </c>
      <c r="BO192" s="422"/>
      <c r="BP192" s="450">
        <f>SUMPRODUCT(PRODUCE!$B197:$DY197,PRODUCE!$EB$14:$IY$14)</f>
        <v>0</v>
      </c>
      <c r="BQ192" s="422"/>
      <c r="BR192" s="450">
        <f t="shared" si="1270"/>
        <v>0</v>
      </c>
      <c r="BS192" s="450">
        <f t="shared" si="1271"/>
        <v>0</v>
      </c>
      <c r="BT192" s="56"/>
      <c r="BW192" s="55">
        <f t="shared" si="1272"/>
        <v>46183</v>
      </c>
      <c r="BX192" s="422"/>
      <c r="BY192" s="523">
        <f>SUMPRODUCT(PRODUCE!$B197:$DY197,PRODUCE!$EB$15:$IY$15)</f>
        <v>0</v>
      </c>
      <c r="BZ192" s="422"/>
      <c r="CA192" s="523">
        <f t="shared" si="1273"/>
        <v>0</v>
      </c>
      <c r="CB192" s="523">
        <f t="shared" si="1274"/>
        <v>4126.6299999999992</v>
      </c>
      <c r="CC192" s="56"/>
      <c r="CF192" s="55">
        <f t="shared" si="1275"/>
        <v>46183</v>
      </c>
      <c r="CG192" s="422"/>
      <c r="CH192" s="524">
        <f>SUMPRODUCT(PRODUCE!$B197:$DY197,PRODUCE!$EB$16:$IY$16)</f>
        <v>0</v>
      </c>
      <c r="CI192" s="422"/>
      <c r="CJ192" s="524">
        <f t="shared" si="1276"/>
        <v>0</v>
      </c>
      <c r="CK192" s="524">
        <f t="shared" si="1277"/>
        <v>0</v>
      </c>
      <c r="CL192" s="56"/>
      <c r="CO192" s="55">
        <f t="shared" si="1278"/>
        <v>46183</v>
      </c>
      <c r="CP192" s="422"/>
      <c r="CQ192" s="470">
        <f>SUMPRODUCT(PRODUCE!$B197:$DY197,PRODUCE!$EB$17:$IY$17)</f>
        <v>0</v>
      </c>
      <c r="CR192" s="422"/>
      <c r="CS192" s="470">
        <f t="shared" si="1279"/>
        <v>0</v>
      </c>
      <c r="CT192" s="470">
        <f t="shared" si="1280"/>
        <v>0</v>
      </c>
      <c r="CU192" s="56"/>
      <c r="CX192" s="55">
        <f t="shared" si="1281"/>
        <v>46183</v>
      </c>
      <c r="CY192" s="422"/>
      <c r="CZ192" s="525">
        <f>SUMPRODUCT(PRODUCE!$B197:$DY197,PRODUCE!$EB$18:$IY$18)</f>
        <v>0</v>
      </c>
      <c r="DA192" s="422"/>
      <c r="DB192" s="525">
        <f t="shared" si="1282"/>
        <v>0</v>
      </c>
      <c r="DC192" s="525">
        <f t="shared" si="1283"/>
        <v>17623.600000000006</v>
      </c>
      <c r="DD192" s="56"/>
      <c r="DG192" s="55">
        <f t="shared" si="1284"/>
        <v>46183</v>
      </c>
      <c r="DH192" s="422"/>
      <c r="DI192" s="526">
        <f>SUMPRODUCT(PRODUCE!$B197:$DY197,PRODUCE!$EB$19:$IY$19)</f>
        <v>0</v>
      </c>
      <c r="DJ192" s="422"/>
      <c r="DK192" s="526">
        <f t="shared" si="1285"/>
        <v>0</v>
      </c>
      <c r="DL192" s="526">
        <f t="shared" si="1286"/>
        <v>35234.999999999985</v>
      </c>
      <c r="DM192" s="56"/>
      <c r="DP192" s="55">
        <f t="shared" si="1287"/>
        <v>46183</v>
      </c>
      <c r="DQ192" s="56"/>
      <c r="DR192" s="57">
        <f>SUMPRODUCT(PRODUCE!$B197:$DY197,PRODUCE!$EB$20:$IY$20)</f>
        <v>0</v>
      </c>
      <c r="DS192" s="56"/>
      <c r="DT192" s="57">
        <f t="shared" si="1288"/>
        <v>0</v>
      </c>
      <c r="DU192" s="57">
        <f t="shared" si="1289"/>
        <v>5800</v>
      </c>
      <c r="DV192" s="56"/>
      <c r="DY192" s="55">
        <f t="shared" si="1290"/>
        <v>46183</v>
      </c>
      <c r="DZ192" s="56"/>
      <c r="EA192" s="157">
        <f>SUMPRODUCT(PRODUCE!$B197:$DY197,PRODUCE!$EB$21:$IY$21)</f>
        <v>0</v>
      </c>
      <c r="EB192" s="56"/>
      <c r="EC192" s="157">
        <f t="shared" si="1291"/>
        <v>0</v>
      </c>
      <c r="ED192" s="157">
        <f t="shared" si="1292"/>
        <v>0</v>
      </c>
      <c r="EE192" s="56"/>
      <c r="EH192" s="55">
        <f t="shared" si="1293"/>
        <v>46183</v>
      </c>
      <c r="EI192" s="56"/>
      <c r="EJ192" s="162">
        <f>SUMPRODUCT(PRODUCE!$B197:$DY197,PRODUCE!$EB$22:$IY$22)</f>
        <v>0</v>
      </c>
      <c r="EK192" s="56"/>
      <c r="EL192" s="162">
        <f t="shared" si="1294"/>
        <v>0</v>
      </c>
      <c r="EM192" s="162">
        <f t="shared" si="1295"/>
        <v>0</v>
      </c>
      <c r="EN192" s="56"/>
      <c r="EQ192" s="55">
        <f t="shared" si="1296"/>
        <v>46183</v>
      </c>
      <c r="ER192" s="56"/>
      <c r="ES192" s="135">
        <f>SUMPRODUCT(PRODUCE!$B197:$DY197,PRODUCE!$EB$23:$IY$23)</f>
        <v>0</v>
      </c>
      <c r="ET192" s="56"/>
      <c r="EU192" s="135">
        <f t="shared" si="1297"/>
        <v>0</v>
      </c>
      <c r="EV192" s="135">
        <f t="shared" si="1298"/>
        <v>0</v>
      </c>
      <c r="EW192" s="56"/>
      <c r="EZ192" s="55">
        <f t="shared" si="1299"/>
        <v>46183</v>
      </c>
      <c r="FA192" s="56"/>
      <c r="FB192" s="175">
        <f>SUMPRODUCT(PRODUCE!$B197:$DY197,PRODUCE!$EB$24:$IY$24)</f>
        <v>0</v>
      </c>
      <c r="FC192" s="56"/>
      <c r="FD192" s="175">
        <f t="shared" si="1300"/>
        <v>0</v>
      </c>
      <c r="FE192" s="175">
        <f t="shared" si="1301"/>
        <v>0</v>
      </c>
      <c r="FF192" s="56"/>
      <c r="FI192" s="55">
        <f t="shared" si="1302"/>
        <v>46183</v>
      </c>
      <c r="FJ192" s="56"/>
      <c r="FK192" s="183">
        <f>SUMPRODUCT(PRODUCE!$B197:$DY197,PRODUCE!$EB$25:$IY$25)</f>
        <v>0</v>
      </c>
      <c r="FL192" s="56"/>
      <c r="FM192" s="183">
        <f t="shared" si="1303"/>
        <v>0</v>
      </c>
      <c r="FN192" s="183">
        <f t="shared" si="1304"/>
        <v>0</v>
      </c>
      <c r="FO192" s="56"/>
      <c r="FR192" s="55">
        <f t="shared" si="1305"/>
        <v>46183</v>
      </c>
      <c r="FS192" s="56"/>
      <c r="FT192" s="186">
        <f>SUMPRODUCT(PRODUCE!$B197:$DY197,PRODUCE!$EB$26:$IY$26)</f>
        <v>0</v>
      </c>
      <c r="FU192" s="56">
        <f>960+2020</f>
        <v>2980</v>
      </c>
      <c r="FV192" s="186">
        <f t="shared" si="1306"/>
        <v>-2980</v>
      </c>
      <c r="FW192" s="186">
        <f t="shared" si="1307"/>
        <v>1160</v>
      </c>
      <c r="FX192" s="56">
        <f>FU192/20</f>
        <v>149</v>
      </c>
      <c r="GA192" s="55">
        <f t="shared" si="1308"/>
        <v>46183</v>
      </c>
      <c r="GB192" s="56"/>
      <c r="GC192" s="137">
        <f>SUMPRODUCT(PRODUCE!$B197:$DY197,PRODUCE!$EB$27:$IY$27)</f>
        <v>0</v>
      </c>
      <c r="GD192" s="56">
        <f>3000+1080</f>
        <v>4080</v>
      </c>
      <c r="GE192" s="137">
        <f t="shared" si="1309"/>
        <v>-4080</v>
      </c>
      <c r="GF192" s="137">
        <f t="shared" si="1310"/>
        <v>960</v>
      </c>
      <c r="GG192" s="56"/>
      <c r="GI192" s="23"/>
      <c r="GJ192" s="55">
        <f t="shared" si="1311"/>
        <v>46183</v>
      </c>
      <c r="GK192" s="56"/>
      <c r="GL192" s="199">
        <f>SUMPRODUCT(PRODUCE!$B197:$DY197,PRODUCE!$EB$28:$IY$28)</f>
        <v>0</v>
      </c>
      <c r="GM192" s="56"/>
      <c r="GN192" s="199">
        <f t="shared" si="1312"/>
        <v>0</v>
      </c>
      <c r="GO192" s="199">
        <f t="shared" si="1313"/>
        <v>1760</v>
      </c>
      <c r="GP192" s="56"/>
      <c r="GS192" s="55">
        <f t="shared" si="1314"/>
        <v>46183</v>
      </c>
      <c r="GT192" s="56"/>
      <c r="GU192" s="195">
        <f>SUMPRODUCT(PRODUCE!$B197:$DY197,PRODUCE!$EB$29:$IY$29)</f>
        <v>0</v>
      </c>
      <c r="GV192" s="56"/>
      <c r="GW192" s="195">
        <f t="shared" si="1315"/>
        <v>0</v>
      </c>
      <c r="GX192" s="195">
        <f t="shared" si="1316"/>
        <v>0</v>
      </c>
      <c r="GY192" s="56"/>
      <c r="HB192" s="55">
        <f t="shared" si="1317"/>
        <v>46183</v>
      </c>
      <c r="HC192" s="56"/>
      <c r="HD192" s="191">
        <f>SUMPRODUCT(PRODUCE!$B197:$DY197,PRODUCE!$EB$30:$IY$30)</f>
        <v>0</v>
      </c>
      <c r="HE192" s="56"/>
      <c r="HF192" s="191">
        <f t="shared" si="1318"/>
        <v>0</v>
      </c>
      <c r="HG192" s="191">
        <f t="shared" si="1319"/>
        <v>3600</v>
      </c>
      <c r="HH192" s="56"/>
      <c r="HK192" s="55">
        <f t="shared" si="1320"/>
        <v>46183</v>
      </c>
      <c r="HL192" s="56"/>
      <c r="HM192" s="63">
        <f>SUMPRODUCT(PRODUCE!$B197:$DY197,PRODUCE!$EB$31:$IY$31)</f>
        <v>0</v>
      </c>
      <c r="HN192" s="56"/>
      <c r="HO192" s="63">
        <f t="shared" si="1321"/>
        <v>0</v>
      </c>
      <c r="HP192" s="63">
        <f t="shared" si="1322"/>
        <v>0</v>
      </c>
      <c r="HQ192" s="56"/>
      <c r="HU192" s="55">
        <f t="shared" si="1323"/>
        <v>46183</v>
      </c>
      <c r="HV192" s="56"/>
      <c r="HW192" s="242">
        <f>SUMPRODUCT(PRODUCE!$B197:$DY197,PRODUCE!$EB$32:$IY$32)</f>
        <v>0</v>
      </c>
      <c r="HX192" s="56"/>
      <c r="HY192" s="242">
        <f t="shared" si="1324"/>
        <v>0</v>
      </c>
      <c r="HZ192" s="242">
        <f t="shared" si="1325"/>
        <v>6800</v>
      </c>
      <c r="IA192" s="56"/>
      <c r="ID192" s="55">
        <f t="shared" si="1326"/>
        <v>46183</v>
      </c>
      <c r="IE192" s="56"/>
      <c r="IF192" s="242">
        <f>SUMPRODUCT(PRODUCE!$B197:$DY197,PRODUCE!$EB$33:$IY$33)</f>
        <v>0</v>
      </c>
      <c r="IG192" s="56"/>
      <c r="IH192" s="242">
        <f t="shared" si="1327"/>
        <v>0</v>
      </c>
      <c r="II192" s="242">
        <f t="shared" si="1328"/>
        <v>720</v>
      </c>
      <c r="IJ192" s="56"/>
      <c r="IM192" s="55">
        <f t="shared" si="1329"/>
        <v>46183</v>
      </c>
      <c r="IN192" s="56"/>
      <c r="IO192" s="242">
        <f>SUMPRODUCT(PRODUCE!$B197:$DY197,PRODUCE!$EB$34:$IY$34)</f>
        <v>0</v>
      </c>
      <c r="IP192" s="56"/>
      <c r="IQ192" s="242">
        <f t="shared" si="1330"/>
        <v>0</v>
      </c>
      <c r="IR192" s="242">
        <f t="shared" si="1331"/>
        <v>8140</v>
      </c>
      <c r="IS192" s="56"/>
      <c r="IV192" s="55">
        <f t="shared" si="1332"/>
        <v>46183</v>
      </c>
      <c r="IW192" s="56"/>
      <c r="IX192" s="242">
        <f>SUMPRODUCT(PRODUCE!$B197:$DY197,PRODUCE!$EB$35:$IY$35)</f>
        <v>0</v>
      </c>
      <c r="IY192" s="56"/>
      <c r="IZ192" s="242">
        <f t="shared" si="1333"/>
        <v>0</v>
      </c>
      <c r="JA192" s="242">
        <f t="shared" si="1334"/>
        <v>4960</v>
      </c>
      <c r="JB192" s="56"/>
      <c r="JE192" s="55">
        <f t="shared" si="1335"/>
        <v>46183</v>
      </c>
      <c r="JF192" s="56"/>
      <c r="JG192" s="242">
        <f>SUMPRODUCT(PRODUCE!$B197:$DY197,PRODUCE!$EB$36:$IY$36)</f>
        <v>0</v>
      </c>
      <c r="JH192" s="56"/>
      <c r="JI192" s="242">
        <f t="shared" si="1336"/>
        <v>0</v>
      </c>
      <c r="JJ192" s="242">
        <f t="shared" si="1337"/>
        <v>0</v>
      </c>
      <c r="JK192" s="56"/>
      <c r="JN192" s="55">
        <f t="shared" si="1338"/>
        <v>46183</v>
      </c>
      <c r="JO192" s="56"/>
      <c r="JP192" s="242">
        <f>SUMPRODUCT(PRODUCE!$B197:$DY197,PRODUCE!$EB$37:$IY$37)</f>
        <v>0</v>
      </c>
      <c r="JQ192" s="56"/>
      <c r="JR192" s="242">
        <f t="shared" si="1339"/>
        <v>0</v>
      </c>
      <c r="JS192" s="242">
        <f t="shared" si="1340"/>
        <v>180</v>
      </c>
      <c r="JT192" s="56"/>
      <c r="JW192" s="55">
        <f t="shared" si="1341"/>
        <v>46183</v>
      </c>
      <c r="JX192" s="56"/>
      <c r="JY192" s="242">
        <f>SUMPRODUCT(PRODUCE!$B197:$DY197,PRODUCE!$EB$38:$IY$38)</f>
        <v>0</v>
      </c>
      <c r="JZ192" s="56"/>
      <c r="KA192" s="242">
        <f t="shared" si="1342"/>
        <v>0</v>
      </c>
      <c r="KB192" s="242">
        <f t="shared" si="1343"/>
        <v>2540</v>
      </c>
      <c r="KC192" s="56"/>
      <c r="KF192" s="55">
        <f t="shared" si="1344"/>
        <v>46183</v>
      </c>
      <c r="KG192" s="56"/>
      <c r="KH192" s="242">
        <f>SUMPRODUCT(PRODUCE!$B197:$DY197,PRODUCE!$EB$39:$IY$39)</f>
        <v>0</v>
      </c>
      <c r="KI192" s="56"/>
      <c r="KJ192" s="242">
        <f t="shared" si="1345"/>
        <v>0</v>
      </c>
      <c r="KK192" s="242">
        <f t="shared" si="1346"/>
        <v>2359.5</v>
      </c>
      <c r="KL192" s="56"/>
      <c r="KO192" s="55">
        <f t="shared" si="1347"/>
        <v>46183</v>
      </c>
      <c r="KP192" s="56"/>
      <c r="KQ192" s="242">
        <f>SUMPRODUCT(PRODUCE!$B197:$DY197,PRODUCE!$EB$40:$IY$40)</f>
        <v>0</v>
      </c>
      <c r="KR192" s="56"/>
      <c r="KS192" s="242">
        <f t="shared" si="1348"/>
        <v>0</v>
      </c>
      <c r="KT192" s="242">
        <f t="shared" si="1349"/>
        <v>1890</v>
      </c>
      <c r="KU192" s="56"/>
      <c r="KW192" s="23"/>
      <c r="KX192" s="55">
        <f t="shared" si="1350"/>
        <v>46183</v>
      </c>
      <c r="KY192" s="56"/>
      <c r="KZ192" s="242">
        <f>SUMPRODUCT(PRODUCE!$B197:$DY197,PRODUCE!$EB$41:$IY$41)</f>
        <v>0</v>
      </c>
      <c r="LA192" s="56"/>
      <c r="LB192" s="242">
        <f t="shared" si="1351"/>
        <v>0</v>
      </c>
      <c r="LC192" s="242">
        <f t="shared" si="1352"/>
        <v>3690</v>
      </c>
      <c r="LD192" s="56"/>
      <c r="LG192" s="55">
        <f t="shared" si="1353"/>
        <v>46183</v>
      </c>
      <c r="LH192" s="56"/>
      <c r="LI192" s="242">
        <f>SUMPRODUCT(PRODUCE!$B197:$DY197,PRODUCE!$EB$42:$IY$42)</f>
        <v>0</v>
      </c>
      <c r="LJ192" s="56"/>
      <c r="LK192" s="242">
        <f t="shared" si="1354"/>
        <v>0</v>
      </c>
      <c r="LL192" s="242">
        <f t="shared" si="1355"/>
        <v>4000</v>
      </c>
      <c r="LM192" s="56"/>
      <c r="LP192" s="55">
        <f t="shared" si="1356"/>
        <v>46183</v>
      </c>
      <c r="LQ192" s="56"/>
      <c r="LR192" s="242">
        <f>SUMPRODUCT(PRODUCE!$B197:$DY197,PRODUCE!$EB$43:$IY$43)</f>
        <v>0</v>
      </c>
      <c r="LS192" s="56"/>
      <c r="LT192" s="242">
        <f t="shared" si="1357"/>
        <v>0</v>
      </c>
      <c r="LU192" s="242">
        <f t="shared" si="1358"/>
        <v>0</v>
      </c>
      <c r="LV192" s="56"/>
      <c r="LY192" s="55">
        <f t="shared" si="1359"/>
        <v>46183</v>
      </c>
      <c r="LZ192" s="56"/>
      <c r="MA192" s="242">
        <f>SUMPRODUCT(PRODUCE!$B197:$DY197,PRODUCE!$EB$44:$IY$44)</f>
        <v>0</v>
      </c>
      <c r="MB192" s="56"/>
      <c r="MC192" s="242">
        <f t="shared" si="1360"/>
        <v>0</v>
      </c>
      <c r="MD192" s="242">
        <f t="shared" si="1361"/>
        <v>0</v>
      </c>
      <c r="ME192" s="56"/>
      <c r="MH192" s="55">
        <f t="shared" si="1362"/>
        <v>46183</v>
      </c>
      <c r="MI192" s="56"/>
      <c r="MJ192" s="242">
        <f>SUMPRODUCT(PRODUCE!$B197:$DY197,PRODUCE!$EB$45:$IY$45)</f>
        <v>0</v>
      </c>
      <c r="MK192" s="56"/>
      <c r="ML192" s="242">
        <f t="shared" si="1363"/>
        <v>0</v>
      </c>
      <c r="MM192" s="242">
        <f t="shared" si="1364"/>
        <v>0</v>
      </c>
      <c r="MN192" s="56"/>
      <c r="MQ192" s="55">
        <f t="shared" si="1365"/>
        <v>46183</v>
      </c>
      <c r="MR192" s="56"/>
      <c r="MS192" s="242">
        <f>SUMPRODUCT(PRODUCE!$B197:$DY197,PRODUCE!$EB$46:$IY$46)</f>
        <v>0</v>
      </c>
      <c r="MT192" s="56"/>
      <c r="MU192" s="242">
        <f t="shared" si="1366"/>
        <v>0</v>
      </c>
      <c r="MV192" s="242">
        <f t="shared" si="1367"/>
        <v>3724</v>
      </c>
      <c r="MW192" s="56"/>
      <c r="MZ192" s="55">
        <f t="shared" si="1368"/>
        <v>46183</v>
      </c>
      <c r="NA192" s="56"/>
      <c r="NB192" s="242">
        <f>SUMPRODUCT(PRODUCE!$B197:$DY197,PRODUCE!$EB$47:$IY$47)</f>
        <v>0</v>
      </c>
      <c r="NC192" s="56"/>
      <c r="ND192" s="242">
        <f t="shared" si="1369"/>
        <v>0</v>
      </c>
      <c r="NE192" s="242">
        <f t="shared" si="1370"/>
        <v>0</v>
      </c>
      <c r="NF192" s="56"/>
      <c r="NI192" s="55">
        <f t="shared" si="1371"/>
        <v>46183</v>
      </c>
      <c r="NJ192" s="56"/>
      <c r="NK192" s="242">
        <f>SUMPRODUCT(PRODUCE!$B197:$DY197,PRODUCE!$EB$48:$IY$48)</f>
        <v>0</v>
      </c>
      <c r="NL192" s="56"/>
      <c r="NM192" s="242">
        <f t="shared" si="1372"/>
        <v>0</v>
      </c>
      <c r="NN192" s="242">
        <f t="shared" si="1373"/>
        <v>1127</v>
      </c>
      <c r="NO192" s="56"/>
      <c r="NR192" s="55">
        <f t="shared" si="1374"/>
        <v>46183</v>
      </c>
      <c r="NS192" s="56"/>
      <c r="NT192" s="242">
        <f>SUMPRODUCT(PRODUCE!$B197:$DY197,PRODUCE!$EB$49:$IY$49)</f>
        <v>0</v>
      </c>
      <c r="NU192" s="56"/>
      <c r="NV192" s="242">
        <f t="shared" si="1375"/>
        <v>0</v>
      </c>
      <c r="NW192" s="242">
        <f t="shared" si="1376"/>
        <v>3111.9999999999995</v>
      </c>
      <c r="NX192" s="56"/>
      <c r="OA192" s="55">
        <f t="shared" si="1377"/>
        <v>46183</v>
      </c>
      <c r="OB192" s="56"/>
      <c r="OC192" s="242">
        <f>SUMPRODUCT(PRODUCE!$B197:$DY197,PRODUCE!$EB$50:$IY$50)</f>
        <v>0</v>
      </c>
      <c r="OD192" s="56"/>
      <c r="OE192" s="242">
        <f t="shared" si="1378"/>
        <v>0</v>
      </c>
      <c r="OF192" s="242">
        <f t="shared" si="1379"/>
        <v>1680.5</v>
      </c>
      <c r="OG192" s="56"/>
      <c r="OJ192" s="55">
        <f t="shared" si="1380"/>
        <v>46183</v>
      </c>
      <c r="OK192" s="56"/>
      <c r="OL192" s="242">
        <f>SUMPRODUCT(PRODUCE!$B197:$DY197,PRODUCE!$EB$51:$IY$51)</f>
        <v>0</v>
      </c>
      <c r="OM192" s="56"/>
      <c r="ON192" s="242">
        <f t="shared" si="1381"/>
        <v>0</v>
      </c>
      <c r="OO192" s="242">
        <f t="shared" si="1382"/>
        <v>0</v>
      </c>
      <c r="OP192" s="56"/>
      <c r="OS192" s="55">
        <f t="shared" si="1383"/>
        <v>46183</v>
      </c>
      <c r="OT192" s="56"/>
      <c r="OU192" s="242">
        <f>SUMPRODUCT(PRODUCE!$B197:$DY197,PRODUCE!$EB$52:$IY$52)</f>
        <v>0</v>
      </c>
      <c r="OV192" s="56"/>
      <c r="OW192" s="242">
        <f t="shared" si="1384"/>
        <v>0</v>
      </c>
      <c r="OX192" s="242">
        <f t="shared" si="1385"/>
        <v>1482</v>
      </c>
      <c r="OY192" s="56"/>
      <c r="PB192" s="55">
        <f t="shared" si="1386"/>
        <v>46183</v>
      </c>
      <c r="PC192" s="56"/>
      <c r="PD192" s="242">
        <f>SUMPRODUCT(PRODUCE!$B197:$DY197,PRODUCE!$EB$53:$IY$53)</f>
        <v>0</v>
      </c>
      <c r="PE192" s="56"/>
      <c r="PF192" s="242">
        <f t="shared" si="1387"/>
        <v>0</v>
      </c>
      <c r="PG192" s="242">
        <f t="shared" si="1388"/>
        <v>0</v>
      </c>
      <c r="PH192" s="56"/>
      <c r="PK192" s="55">
        <f t="shared" si="1389"/>
        <v>46183</v>
      </c>
      <c r="PL192" s="56"/>
      <c r="PM192" s="242">
        <f>SUMPRODUCT(PRODUCE!$B197:$DY197,PRODUCE!$EB$54:$IY$54)</f>
        <v>0</v>
      </c>
      <c r="PN192" s="56"/>
      <c r="PO192" s="242">
        <f t="shared" si="1494"/>
        <v>0</v>
      </c>
      <c r="PP192" s="242">
        <f t="shared" si="1495"/>
        <v>100</v>
      </c>
      <c r="PQ192" s="56"/>
      <c r="PT192" s="55">
        <f t="shared" si="1392"/>
        <v>46183</v>
      </c>
      <c r="PU192" s="56"/>
      <c r="PV192" s="242">
        <f>SUMPRODUCT(PRODUCE!$B197:$DY197,PRODUCE!$EB$55:$IY$55)</f>
        <v>0</v>
      </c>
      <c r="PW192" s="56"/>
      <c r="PX192" s="242">
        <f t="shared" si="1393"/>
        <v>0</v>
      </c>
      <c r="PY192" s="242">
        <f t="shared" si="1394"/>
        <v>13.960000000000036</v>
      </c>
      <c r="PZ192" s="56"/>
      <c r="QC192" s="55">
        <f t="shared" si="1395"/>
        <v>46183</v>
      </c>
      <c r="QD192" s="56"/>
      <c r="QE192" s="242">
        <f>SUMPRODUCT(PRODUCE!$B197:$DY197,PRODUCE!$EB$56:$IY$56)</f>
        <v>0</v>
      </c>
      <c r="QF192" s="56"/>
      <c r="QG192" s="242">
        <f t="shared" si="1396"/>
        <v>0</v>
      </c>
      <c r="QH192" s="242">
        <f t="shared" si="1397"/>
        <v>1736</v>
      </c>
      <c r="QI192" s="56"/>
      <c r="QL192" s="55">
        <f t="shared" si="1398"/>
        <v>46183</v>
      </c>
      <c r="QM192" s="56"/>
      <c r="QN192" s="242">
        <f>SUMPRODUCT(PRODUCE!$B197:$DY197,PRODUCE!$EB$57:$IY$57)</f>
        <v>0</v>
      </c>
      <c r="QO192" s="56"/>
      <c r="QP192" s="242">
        <f t="shared" si="1399"/>
        <v>0</v>
      </c>
      <c r="QQ192" s="242">
        <f t="shared" si="1400"/>
        <v>475</v>
      </c>
      <c r="QR192" s="56"/>
      <c r="QU192" s="55">
        <f t="shared" si="1401"/>
        <v>46183</v>
      </c>
      <c r="QV192" s="56"/>
      <c r="QW192" s="242">
        <f>SUMPRODUCT(PRODUCE!$B197:$DY197,PRODUCE!$EB$58:$IY$58)</f>
        <v>0</v>
      </c>
      <c r="QX192" s="56"/>
      <c r="QY192" s="242">
        <f t="shared" si="1402"/>
        <v>0</v>
      </c>
      <c r="QZ192" s="242">
        <f t="shared" si="1403"/>
        <v>207.6</v>
      </c>
      <c r="RA192" s="56"/>
      <c r="RD192" s="55">
        <f t="shared" si="1404"/>
        <v>46183</v>
      </c>
      <c r="RE192" s="56"/>
      <c r="RF192" s="242">
        <f>SUMPRODUCT(PRODUCE!$B197:$DY197,PRODUCE!$EB$59:$IY$59)</f>
        <v>0</v>
      </c>
      <c r="RG192" s="56"/>
      <c r="RH192" s="242">
        <f t="shared" si="1405"/>
        <v>0</v>
      </c>
      <c r="RI192" s="242">
        <f t="shared" si="1406"/>
        <v>147.04000000000002</v>
      </c>
      <c r="RJ192" s="56"/>
      <c r="RM192" s="55">
        <f t="shared" si="1407"/>
        <v>46183</v>
      </c>
      <c r="RN192" s="56"/>
      <c r="RO192" s="242">
        <f>SUMPRODUCT(PRODUCE!$B197:$DY197,PRODUCE!$EB$60:$IY$60)</f>
        <v>0</v>
      </c>
      <c r="RP192" s="56"/>
      <c r="RQ192" s="242">
        <f t="shared" si="1408"/>
        <v>0</v>
      </c>
      <c r="RR192" s="242">
        <f t="shared" si="1409"/>
        <v>46.8</v>
      </c>
      <c r="RS192" s="56"/>
      <c r="RV192" s="55">
        <f t="shared" si="1410"/>
        <v>46183</v>
      </c>
      <c r="RW192" s="56"/>
      <c r="RX192" s="242">
        <f>SUMPRODUCT(PRODUCE!$B197:$DY197,PRODUCE!$EB$61:$IY$61)</f>
        <v>0</v>
      </c>
      <c r="RY192" s="56"/>
      <c r="RZ192" s="242">
        <f t="shared" si="1411"/>
        <v>0</v>
      </c>
      <c r="SA192" s="242">
        <f t="shared" si="1412"/>
        <v>0</v>
      </c>
      <c r="SB192" s="56"/>
      <c r="SE192" s="55">
        <f t="shared" si="1413"/>
        <v>46183</v>
      </c>
      <c r="SF192" s="56"/>
      <c r="SG192" s="242">
        <f>SUMPRODUCT(PRODUCE!$B197:$DY197,PRODUCE!$EB$62:$IY$62)</f>
        <v>0</v>
      </c>
      <c r="SH192" s="56"/>
      <c r="SI192" s="242">
        <f t="shared" si="1414"/>
        <v>0</v>
      </c>
      <c r="SJ192" s="242">
        <f t="shared" si="1415"/>
        <v>24.200000000000003</v>
      </c>
      <c r="SK192" s="56"/>
      <c r="SN192" s="55">
        <f t="shared" si="1416"/>
        <v>46183</v>
      </c>
      <c r="SO192" s="56"/>
      <c r="SP192" s="242">
        <f>SUMPRODUCT(PRODUCE!$B197:$DY197,PRODUCE!$EB$63:$IY$63)</f>
        <v>0</v>
      </c>
      <c r="SQ192" s="56"/>
      <c r="SR192" s="242">
        <f t="shared" si="1417"/>
        <v>0</v>
      </c>
      <c r="SS192" s="242">
        <f t="shared" si="1418"/>
        <v>32</v>
      </c>
      <c r="ST192" s="56"/>
      <c r="SW192" s="55">
        <f t="shared" si="1419"/>
        <v>46183</v>
      </c>
      <c r="SX192" s="56"/>
      <c r="SY192" s="242">
        <f>SUMPRODUCT(PRODUCE!$B197:$DY197,PRODUCE!$EB$64:$IY$64)</f>
        <v>0</v>
      </c>
      <c r="SZ192" s="56"/>
      <c r="TA192" s="242">
        <f t="shared" si="1420"/>
        <v>0</v>
      </c>
      <c r="TB192" s="242">
        <f t="shared" si="1421"/>
        <v>0</v>
      </c>
      <c r="TC192" s="56"/>
      <c r="TF192" s="55">
        <f t="shared" si="1422"/>
        <v>46183</v>
      </c>
      <c r="TG192" s="56"/>
      <c r="TH192" s="242">
        <f>SUMPRODUCT(PRODUCE!$B197:$DY197,PRODUCE!$EB$65:$IY$65)</f>
        <v>0</v>
      </c>
      <c r="TI192" s="56"/>
      <c r="TJ192" s="242">
        <f t="shared" si="1423"/>
        <v>0</v>
      </c>
      <c r="TK192" s="242">
        <f t="shared" si="1424"/>
        <v>0</v>
      </c>
      <c r="TL192" s="56"/>
      <c r="TO192" s="55">
        <f t="shared" si="1425"/>
        <v>46183</v>
      </c>
      <c r="TP192" s="56"/>
      <c r="TQ192" s="242">
        <f>SUMPRODUCT(PRODUCE!$B197:$DY197,PRODUCE!$EB$66:$IY$66)</f>
        <v>0</v>
      </c>
      <c r="TR192" s="56">
        <f>19.2+40.8</f>
        <v>60</v>
      </c>
      <c r="TS192" s="242">
        <f t="shared" si="1426"/>
        <v>-60</v>
      </c>
      <c r="TT192" s="242">
        <f t="shared" si="1427"/>
        <v>22.400000000000006</v>
      </c>
      <c r="TU192" s="56"/>
      <c r="TX192" s="55">
        <f t="shared" si="1428"/>
        <v>46183</v>
      </c>
      <c r="TY192" s="56"/>
      <c r="TZ192" s="242">
        <f>SUMPRODUCT(PRODUCE!$B197:$DY197,PRODUCE!$EB$67:$IY$67)</f>
        <v>0</v>
      </c>
      <c r="UA192" s="56">
        <f>90+32.4</f>
        <v>122.4</v>
      </c>
      <c r="UB192" s="242">
        <f t="shared" si="1429"/>
        <v>-122.4</v>
      </c>
      <c r="UC192" s="242">
        <f t="shared" si="1430"/>
        <v>46.799999999999983</v>
      </c>
      <c r="UD192" s="56"/>
      <c r="UG192" s="55">
        <f t="shared" si="1431"/>
        <v>46183</v>
      </c>
      <c r="UH192" s="56"/>
      <c r="UI192" s="242">
        <f>SUMPRODUCT(PRODUCE!$B197:$DY197,PRODUCE!$EB$68:$IY$68)</f>
        <v>0</v>
      </c>
      <c r="UJ192" s="56"/>
      <c r="UK192" s="242">
        <f t="shared" si="1432"/>
        <v>0</v>
      </c>
      <c r="UL192" s="242">
        <f t="shared" si="1433"/>
        <v>204</v>
      </c>
      <c r="UM192" s="56"/>
      <c r="UP192" s="55">
        <f t="shared" si="1434"/>
        <v>46183</v>
      </c>
      <c r="UQ192" s="56"/>
      <c r="UR192" s="242">
        <f>SUMPRODUCT(PRODUCE!$B197:$DY197,PRODUCE!$EB$69:$IY$69)</f>
        <v>0</v>
      </c>
      <c r="US192" s="56"/>
      <c r="UT192" s="242">
        <f t="shared" si="1435"/>
        <v>0</v>
      </c>
      <c r="UU192" s="242">
        <f t="shared" si="1436"/>
        <v>251.25</v>
      </c>
      <c r="UV192" s="56"/>
      <c r="UY192" s="55">
        <f t="shared" si="1437"/>
        <v>46183</v>
      </c>
      <c r="UZ192" s="56"/>
      <c r="VA192" s="242">
        <f>SUMPRODUCT(PRODUCE!$B197:$DY197,PRODUCE!$EB$70:$IY$70)</f>
        <v>0</v>
      </c>
      <c r="VB192" s="56"/>
      <c r="VC192" s="242">
        <f t="shared" si="1438"/>
        <v>0</v>
      </c>
      <c r="VD192" s="242">
        <f t="shared" si="1439"/>
        <v>41.600000000000023</v>
      </c>
      <c r="VE192" s="56"/>
      <c r="VH192" s="55">
        <f t="shared" si="1440"/>
        <v>46183</v>
      </c>
      <c r="VI192" s="56"/>
      <c r="VJ192" s="242">
        <f>SUMPRODUCT(PRODUCE!$B197:$DY197,PRODUCE!$EB$71:$IY$71)</f>
        <v>0</v>
      </c>
      <c r="VK192" s="56"/>
      <c r="VL192" s="242">
        <f t="shared" si="1441"/>
        <v>0</v>
      </c>
      <c r="VM192" s="242">
        <f t="shared" si="1442"/>
        <v>210</v>
      </c>
      <c r="VN192" s="56"/>
      <c r="VQ192" s="55">
        <f t="shared" si="1443"/>
        <v>46183</v>
      </c>
      <c r="VR192" s="56"/>
      <c r="VS192" s="242">
        <f>SUMPRODUCT(PRODUCE!$B197:$DY197,PRODUCE!$EB$57:$IY$57)</f>
        <v>0</v>
      </c>
      <c r="VT192" s="56"/>
      <c r="VU192" s="242">
        <f t="shared" si="1444"/>
        <v>0</v>
      </c>
      <c r="VV192" s="242">
        <f t="shared" si="1445"/>
        <v>0</v>
      </c>
      <c r="VW192" s="56"/>
      <c r="VZ192" s="55">
        <f t="shared" si="1446"/>
        <v>46183</v>
      </c>
      <c r="WA192" s="56"/>
      <c r="WB192" s="242">
        <f>SUMPRODUCT(PRODUCE!$B197:$DY197,PRODUCE!$EB$57:$IY$57)</f>
        <v>0</v>
      </c>
      <c r="WC192" s="56"/>
      <c r="WD192" s="242">
        <f t="shared" si="1447"/>
        <v>0</v>
      </c>
      <c r="WE192" s="242">
        <f t="shared" si="1448"/>
        <v>0</v>
      </c>
      <c r="WF192" s="56"/>
      <c r="WI192" s="55">
        <f t="shared" si="1449"/>
        <v>46183</v>
      </c>
      <c r="WJ192" s="422"/>
      <c r="WK192" s="540">
        <f>SUMPRODUCT(PRODUCE!$B197:$DY197,PRODUCE!$EB$74:$IY$74)</f>
        <v>0</v>
      </c>
      <c r="WL192" s="422"/>
      <c r="WM192" s="540">
        <f t="shared" si="1450"/>
        <v>0</v>
      </c>
      <c r="WN192" s="540">
        <f t="shared" si="1451"/>
        <v>1199</v>
      </c>
      <c r="WO192" s="56"/>
      <c r="WR192" s="55">
        <f t="shared" si="1452"/>
        <v>46183</v>
      </c>
      <c r="WS192" s="422"/>
      <c r="WT192" s="540">
        <f>SUMPRODUCT(PRODUCE!$B197:$DY197,PRODUCE!$EB$75:$IY$75)</f>
        <v>0</v>
      </c>
      <c r="WU192" s="422"/>
      <c r="WV192" s="540">
        <f t="shared" si="1453"/>
        <v>0</v>
      </c>
      <c r="WW192" s="540">
        <f t="shared" si="1454"/>
        <v>0</v>
      </c>
      <c r="WX192" s="56"/>
      <c r="XA192" s="55">
        <f t="shared" si="1455"/>
        <v>46183</v>
      </c>
      <c r="XB192" s="422"/>
      <c r="XC192" s="540">
        <f>SUMPRODUCT(PRODUCE!$B197:$DY197,PRODUCE!$EB$76:$IY$76)</f>
        <v>0</v>
      </c>
      <c r="XD192" s="422"/>
      <c r="XE192" s="540">
        <f t="shared" si="1456"/>
        <v>0</v>
      </c>
      <c r="XF192" s="540">
        <f t="shared" si="1457"/>
        <v>6813</v>
      </c>
      <c r="XG192" s="56"/>
      <c r="XJ192" s="55">
        <f t="shared" si="1458"/>
        <v>46183</v>
      </c>
      <c r="XK192" s="422"/>
      <c r="XL192" s="540">
        <f>SUMPRODUCT(PRODUCE!$B197:$DY197,PRODUCE!$EB$77:$IY$77)</f>
        <v>0</v>
      </c>
      <c r="XM192" s="422"/>
      <c r="XN192" s="540">
        <f t="shared" si="1459"/>
        <v>0</v>
      </c>
      <c r="XO192" s="540">
        <f t="shared" si="1460"/>
        <v>6197</v>
      </c>
      <c r="XP192" s="56"/>
      <c r="XS192" s="55">
        <f t="shared" si="1461"/>
        <v>46183</v>
      </c>
      <c r="XT192" s="56"/>
      <c r="XU192" s="242">
        <f>SUMPRODUCT(PRODUCE!$B197:$DY197,PRODUCE!$EB$78:$IY$78)</f>
        <v>0</v>
      </c>
      <c r="XV192" s="56"/>
      <c r="XW192" s="242">
        <f t="shared" si="1462"/>
        <v>0</v>
      </c>
      <c r="XX192" s="242">
        <f t="shared" si="1463"/>
        <v>1621</v>
      </c>
      <c r="XY192" s="56"/>
      <c r="YB192" s="55">
        <f t="shared" si="1464"/>
        <v>46183</v>
      </c>
      <c r="YC192" s="56"/>
      <c r="YD192" s="242">
        <f>SUMPRODUCT(PRODUCE!$B197:$DY197,PRODUCE!$EB$79:$IY$79)</f>
        <v>0</v>
      </c>
      <c r="YE192" s="56"/>
      <c r="YF192" s="242">
        <f t="shared" si="1465"/>
        <v>0</v>
      </c>
      <c r="YG192" s="242">
        <f t="shared" si="1466"/>
        <v>5083</v>
      </c>
      <c r="YH192" s="56"/>
      <c r="YK192" s="55">
        <f t="shared" si="1467"/>
        <v>46183</v>
      </c>
      <c r="YL192" s="56"/>
      <c r="YM192" s="242">
        <f>SUMPRODUCT(PRODUCE!$B197:$DY197,PRODUCE!$EB$80:$IY$80)</f>
        <v>0</v>
      </c>
      <c r="YN192" s="56"/>
      <c r="YO192" s="242">
        <f t="shared" si="1468"/>
        <v>0</v>
      </c>
      <c r="YP192" s="242">
        <f t="shared" si="1469"/>
        <v>0</v>
      </c>
      <c r="YQ192" s="56"/>
      <c r="YT192" s="55">
        <f t="shared" si="1470"/>
        <v>46183</v>
      </c>
      <c r="YU192" s="56"/>
      <c r="YV192" s="242">
        <f>SUMPRODUCT(PRODUCE!$B197:$DY197,PRODUCE!$EB$57:$IY$57)</f>
        <v>0</v>
      </c>
      <c r="YW192" s="56"/>
      <c r="YX192" s="242">
        <f t="shared" si="1471"/>
        <v>0</v>
      </c>
      <c r="YY192" s="242">
        <f t="shared" si="1472"/>
        <v>0</v>
      </c>
      <c r="YZ192" s="56"/>
      <c r="ZC192" s="55">
        <f t="shared" si="1473"/>
        <v>46183</v>
      </c>
      <c r="ZD192" s="56"/>
      <c r="ZE192" s="242">
        <f>SUMPRODUCT(PRODUCE!$B197:$DY197,PRODUCE!$EB$57:$IY$57)</f>
        <v>0</v>
      </c>
      <c r="ZF192" s="56"/>
      <c r="ZG192" s="242">
        <f t="shared" si="1474"/>
        <v>0</v>
      </c>
      <c r="ZH192" s="242">
        <f t="shared" si="1475"/>
        <v>0</v>
      </c>
      <c r="ZI192" s="56"/>
      <c r="ZL192" s="55">
        <f t="shared" si="1476"/>
        <v>46183</v>
      </c>
      <c r="ZM192" s="56"/>
      <c r="ZN192" s="242">
        <f>SUMPRODUCT(PRODUCE!$B197:$DY197,PRODUCE!$EB$57:$IY$57)</f>
        <v>0</v>
      </c>
      <c r="ZO192" s="56"/>
      <c r="ZP192" s="242">
        <f t="shared" si="1477"/>
        <v>0</v>
      </c>
      <c r="ZQ192" s="242">
        <f t="shared" si="1478"/>
        <v>0</v>
      </c>
      <c r="ZR192" s="56"/>
      <c r="ZU192" s="55">
        <f t="shared" si="1479"/>
        <v>46183</v>
      </c>
      <c r="ZV192" s="56"/>
      <c r="ZW192" s="242">
        <f>SUMPRODUCT(PRODUCE!$B197:$DY197,PRODUCE!$EB$57:$IY$57)</f>
        <v>0</v>
      </c>
      <c r="ZX192" s="56"/>
      <c r="ZY192" s="242">
        <f t="shared" si="1480"/>
        <v>0</v>
      </c>
      <c r="ZZ192" s="242">
        <f t="shared" si="1481"/>
        <v>0</v>
      </c>
      <c r="AAA192" s="56"/>
      <c r="AAD192" s="55">
        <f t="shared" si="1482"/>
        <v>46183</v>
      </c>
      <c r="AAE192" s="56"/>
      <c r="AAF192" s="242">
        <f>SUMPRODUCT(PRODUCE!$B197:$DY197,PRODUCE!$EB$57:$IY$57)</f>
        <v>0</v>
      </c>
      <c r="AAG192" s="56"/>
      <c r="AAH192" s="242">
        <f t="shared" si="1483"/>
        <v>0</v>
      </c>
      <c r="AAI192" s="242">
        <f t="shared" si="1484"/>
        <v>0</v>
      </c>
      <c r="AAJ192" s="56"/>
      <c r="AAM192" s="55">
        <f t="shared" si="1485"/>
        <v>46183</v>
      </c>
      <c r="AAN192" s="56"/>
      <c r="AAO192" s="242">
        <f>SUMPRODUCT(PRODUCE!$B197:$DY197,PRODUCE!$EB$57:$IY$57)</f>
        <v>0</v>
      </c>
      <c r="AAP192" s="56"/>
      <c r="AAQ192" s="242">
        <f t="shared" si="1486"/>
        <v>0</v>
      </c>
      <c r="AAR192" s="242">
        <f t="shared" si="1487"/>
        <v>0</v>
      </c>
      <c r="AAS192" s="56"/>
      <c r="AAV192" s="55">
        <f t="shared" si="1488"/>
        <v>46183</v>
      </c>
      <c r="AAW192" s="56"/>
      <c r="AAX192" s="242">
        <f>SUMPRODUCT(PRODUCE!$B197:$DY197,PRODUCE!$EB$57:$IY$57)</f>
        <v>0</v>
      </c>
      <c r="AAY192" s="56"/>
      <c r="AAZ192" s="242">
        <f t="shared" si="1489"/>
        <v>0</v>
      </c>
      <c r="ABA192" s="242">
        <f t="shared" si="1490"/>
        <v>0</v>
      </c>
      <c r="ABB192" s="56"/>
      <c r="ABE192" s="55">
        <f t="shared" si="1491"/>
        <v>46183</v>
      </c>
      <c r="ABF192" s="56"/>
      <c r="ABG192" s="242">
        <f>SUMPRODUCT(PRODUCE!$B197:$DY197,PRODUCE!$EB$57:$IY$57)</f>
        <v>0</v>
      </c>
      <c r="ABH192" s="56"/>
      <c r="ABI192" s="242">
        <f t="shared" si="1492"/>
        <v>0</v>
      </c>
      <c r="ABJ192" s="242">
        <f t="shared" si="1493"/>
        <v>0</v>
      </c>
      <c r="ABK192" s="56"/>
    </row>
    <row r="193" spans="2:739" s="54" customFormat="1" ht="15" customHeight="1" outlineLevel="1">
      <c r="B193" s="478">
        <f>4+10</f>
        <v>14</v>
      </c>
      <c r="C193" s="55">
        <v>46184</v>
      </c>
      <c r="D193" s="422"/>
      <c r="E193" s="423">
        <f>SUMPRODUCT(PRODUCE!$B198:$DY198,PRODUCE!$EB$7:$IY$7)</f>
        <v>7496.45</v>
      </c>
      <c r="F193" s="422">
        <v>7495.6</v>
      </c>
      <c r="G193" s="423">
        <f t="shared" si="1249"/>
        <v>0.8499999999994543</v>
      </c>
      <c r="H193" s="423">
        <f t="shared" si="1250"/>
        <v>163401.60000000006</v>
      </c>
      <c r="I193" s="289" t="s">
        <v>285</v>
      </c>
      <c r="L193" s="55">
        <f t="shared" si="1251"/>
        <v>46184</v>
      </c>
      <c r="M193" s="422"/>
      <c r="N193" s="438">
        <f>SUMPRODUCT(PRODUCE!$B198:$DY198,PRODUCE!$EB$8:$IY$8)</f>
        <v>4319.13</v>
      </c>
      <c r="O193" s="422">
        <v>4316.2</v>
      </c>
      <c r="P193" s="438">
        <f t="shared" si="1252"/>
        <v>2.930000000000291</v>
      </c>
      <c r="Q193" s="438">
        <f t="shared" si="1253"/>
        <v>80873.400000000067</v>
      </c>
      <c r="R193" s="56"/>
      <c r="U193" s="55">
        <f t="shared" si="1254"/>
        <v>46184</v>
      </c>
      <c r="V193" s="422"/>
      <c r="W193" s="440">
        <f>SUMPRODUCT(PRODUCE!$B198:$DY198,PRODUCE!$EB$9:$IY$9)</f>
        <v>800</v>
      </c>
      <c r="X193" s="422">
        <v>799.9</v>
      </c>
      <c r="Y193" s="440">
        <f t="shared" si="1255"/>
        <v>0.10000000000002274</v>
      </c>
      <c r="Z193" s="440">
        <f t="shared" si="1256"/>
        <v>26781.099999999973</v>
      </c>
      <c r="AA193" s="56"/>
      <c r="AD193" s="55">
        <f t="shared" si="1257"/>
        <v>46184</v>
      </c>
      <c r="AE193" s="422"/>
      <c r="AF193" s="442">
        <f>SUMPRODUCT(PRODUCE!$B198:$DY198,PRODUCE!$EB$10:$IY$10)</f>
        <v>0</v>
      </c>
      <c r="AG193" s="422"/>
      <c r="AH193" s="442">
        <f t="shared" si="1258"/>
        <v>0</v>
      </c>
      <c r="AI193" s="442">
        <f t="shared" si="1259"/>
        <v>33973.10000000002</v>
      </c>
      <c r="AJ193" s="56"/>
      <c r="AM193" s="55">
        <f t="shared" si="1260"/>
        <v>46184</v>
      </c>
      <c r="AN193" s="422"/>
      <c r="AO193" s="444">
        <f>SUMPRODUCT(PRODUCE!$B198:$DY198,PRODUCE!$EB$11:$IY$11)</f>
        <v>0</v>
      </c>
      <c r="AP193" s="422"/>
      <c r="AQ193" s="444">
        <f t="shared" si="1261"/>
        <v>0</v>
      </c>
      <c r="AR193" s="444">
        <f t="shared" si="1262"/>
        <v>0</v>
      </c>
      <c r="AS193" s="56"/>
      <c r="AV193" s="55">
        <f t="shared" si="1263"/>
        <v>46184</v>
      </c>
      <c r="AW193" s="422"/>
      <c r="AX193" s="446">
        <f>SUMPRODUCT(PRODUCE!$B198:$DY198,PRODUCE!$EB$12:$IY$12)</f>
        <v>0</v>
      </c>
      <c r="AY193" s="422"/>
      <c r="AZ193" s="446">
        <f t="shared" si="1264"/>
        <v>0</v>
      </c>
      <c r="BA193" s="446">
        <f t="shared" si="1265"/>
        <v>16315.999999999996</v>
      </c>
      <c r="BB193" s="56"/>
      <c r="BE193" s="55">
        <f t="shared" si="1266"/>
        <v>46184</v>
      </c>
      <c r="BF193" s="422">
        <v>11000</v>
      </c>
      <c r="BG193" s="448">
        <f>SUMPRODUCT(PRODUCE!$B198:$DY198,PRODUCE!$EB$13:$IY$13)</f>
        <v>0</v>
      </c>
      <c r="BH193" s="422"/>
      <c r="BI193" s="448">
        <f t="shared" si="1267"/>
        <v>0</v>
      </c>
      <c r="BJ193" s="448">
        <f t="shared" si="1268"/>
        <v>40991.299999999996</v>
      </c>
      <c r="BK193" s="56"/>
      <c r="BN193" s="55">
        <f t="shared" si="1269"/>
        <v>46184</v>
      </c>
      <c r="BO193" s="422">
        <v>50</v>
      </c>
      <c r="BP193" s="450">
        <f>SUMPRODUCT(PRODUCE!$B198:$DY198,PRODUCE!$EB$14:$IY$14)</f>
        <v>50</v>
      </c>
      <c r="BQ193" s="422">
        <v>50</v>
      </c>
      <c r="BR193" s="450">
        <f t="shared" si="1270"/>
        <v>0</v>
      </c>
      <c r="BS193" s="450">
        <f t="shared" si="1271"/>
        <v>0</v>
      </c>
      <c r="BT193" s="56"/>
      <c r="BW193" s="55">
        <f t="shared" si="1272"/>
        <v>46184</v>
      </c>
      <c r="BX193" s="422"/>
      <c r="BY193" s="523">
        <f>SUMPRODUCT(PRODUCE!$B198:$DY198,PRODUCE!$EB$15:$IY$15)</f>
        <v>120.65</v>
      </c>
      <c r="BZ193" s="422"/>
      <c r="CA193" s="523">
        <f t="shared" si="1273"/>
        <v>120.65</v>
      </c>
      <c r="CB193" s="523">
        <f t="shared" si="1274"/>
        <v>4126.6299999999992</v>
      </c>
      <c r="CC193" s="56"/>
      <c r="CF193" s="55">
        <f t="shared" si="1275"/>
        <v>46184</v>
      </c>
      <c r="CG193" s="422"/>
      <c r="CH193" s="524">
        <f>SUMPRODUCT(PRODUCE!$B198:$DY198,PRODUCE!$EB$16:$IY$16)</f>
        <v>0</v>
      </c>
      <c r="CI193" s="422"/>
      <c r="CJ193" s="524">
        <f t="shared" si="1276"/>
        <v>0</v>
      </c>
      <c r="CK193" s="524">
        <f t="shared" si="1277"/>
        <v>0</v>
      </c>
      <c r="CL193" s="56"/>
      <c r="CO193" s="55">
        <f t="shared" si="1278"/>
        <v>46184</v>
      </c>
      <c r="CP193" s="422"/>
      <c r="CQ193" s="470">
        <f>SUMPRODUCT(PRODUCE!$B198:$DY198,PRODUCE!$EB$17:$IY$17)</f>
        <v>0</v>
      </c>
      <c r="CR193" s="422"/>
      <c r="CS193" s="470">
        <f t="shared" si="1279"/>
        <v>0</v>
      </c>
      <c r="CT193" s="470">
        <f t="shared" si="1280"/>
        <v>0</v>
      </c>
      <c r="CU193" s="56"/>
      <c r="CX193" s="55">
        <f t="shared" si="1281"/>
        <v>46184</v>
      </c>
      <c r="CY193" s="422"/>
      <c r="CZ193" s="525">
        <f>SUMPRODUCT(PRODUCE!$B198:$DY198,PRODUCE!$EB$18:$IY$18)</f>
        <v>280</v>
      </c>
      <c r="DA193" s="422">
        <v>279.8</v>
      </c>
      <c r="DB193" s="525">
        <f t="shared" si="1282"/>
        <v>0.19999999999998863</v>
      </c>
      <c r="DC193" s="525">
        <f t="shared" si="1283"/>
        <v>17343.800000000007</v>
      </c>
      <c r="DD193" s="56"/>
      <c r="DG193" s="55">
        <f t="shared" si="1284"/>
        <v>46184</v>
      </c>
      <c r="DH193" s="422"/>
      <c r="DI193" s="526">
        <f>SUMPRODUCT(PRODUCE!$B198:$DY198,PRODUCE!$EB$19:$IY$19)</f>
        <v>0</v>
      </c>
      <c r="DJ193" s="422"/>
      <c r="DK193" s="526">
        <f t="shared" si="1285"/>
        <v>0</v>
      </c>
      <c r="DL193" s="526">
        <f t="shared" si="1286"/>
        <v>35234.999999999985</v>
      </c>
      <c r="DM193" s="56"/>
      <c r="DP193" s="55">
        <f t="shared" si="1287"/>
        <v>46184</v>
      </c>
      <c r="DQ193" s="56"/>
      <c r="DR193" s="57">
        <f>SUMPRODUCT(PRODUCE!$B198:$DY198,PRODUCE!$EB$20:$IY$20)</f>
        <v>0</v>
      </c>
      <c r="DS193" s="56"/>
      <c r="DT193" s="57">
        <f t="shared" si="1288"/>
        <v>0</v>
      </c>
      <c r="DU193" s="57">
        <f t="shared" si="1289"/>
        <v>5800</v>
      </c>
      <c r="DV193" s="56"/>
      <c r="DY193" s="55">
        <f t="shared" si="1290"/>
        <v>46184</v>
      </c>
      <c r="DZ193" s="56"/>
      <c r="EA193" s="157">
        <f>SUMPRODUCT(PRODUCE!$B198:$DY198,PRODUCE!$EB$21:$IY$21)</f>
        <v>0</v>
      </c>
      <c r="EB193" s="56"/>
      <c r="EC193" s="157">
        <f t="shared" si="1291"/>
        <v>0</v>
      </c>
      <c r="ED193" s="157">
        <f t="shared" si="1292"/>
        <v>0</v>
      </c>
      <c r="EE193" s="56"/>
      <c r="EH193" s="55">
        <f t="shared" si="1293"/>
        <v>46184</v>
      </c>
      <c r="EI193" s="56"/>
      <c r="EJ193" s="162">
        <f>SUMPRODUCT(PRODUCE!$B198:$DY198,PRODUCE!$EB$22:$IY$22)</f>
        <v>0</v>
      </c>
      <c r="EK193" s="56"/>
      <c r="EL193" s="162">
        <f t="shared" si="1294"/>
        <v>0</v>
      </c>
      <c r="EM193" s="162">
        <f t="shared" si="1295"/>
        <v>0</v>
      </c>
      <c r="EN193" s="56"/>
      <c r="EQ193" s="55">
        <f t="shared" si="1296"/>
        <v>46184</v>
      </c>
      <c r="ER193" s="56"/>
      <c r="ES193" s="135">
        <f>SUMPRODUCT(PRODUCE!$B198:$DY198,PRODUCE!$EB$23:$IY$23)</f>
        <v>0</v>
      </c>
      <c r="ET193" s="56"/>
      <c r="EU193" s="135">
        <f t="shared" si="1297"/>
        <v>0</v>
      </c>
      <c r="EV193" s="135">
        <f t="shared" si="1298"/>
        <v>0</v>
      </c>
      <c r="EW193" s="56"/>
      <c r="EZ193" s="55">
        <f t="shared" si="1299"/>
        <v>46184</v>
      </c>
      <c r="FA193" s="56"/>
      <c r="FB193" s="175">
        <f>SUMPRODUCT(PRODUCE!$B198:$DY198,PRODUCE!$EB$24:$IY$24)</f>
        <v>0</v>
      </c>
      <c r="FC193" s="56"/>
      <c r="FD193" s="175">
        <f t="shared" si="1300"/>
        <v>0</v>
      </c>
      <c r="FE193" s="175">
        <f t="shared" si="1301"/>
        <v>0</v>
      </c>
      <c r="FF193" s="56"/>
      <c r="FI193" s="55">
        <f t="shared" si="1302"/>
        <v>46184</v>
      </c>
      <c r="FJ193" s="56"/>
      <c r="FK193" s="183">
        <f>SUMPRODUCT(PRODUCE!$B198:$DY198,PRODUCE!$EB$25:$IY$25)</f>
        <v>0</v>
      </c>
      <c r="FL193" s="56"/>
      <c r="FM193" s="183">
        <f t="shared" si="1303"/>
        <v>0</v>
      </c>
      <c r="FN193" s="183">
        <f t="shared" si="1304"/>
        <v>0</v>
      </c>
      <c r="FO193" s="56"/>
      <c r="FR193" s="55">
        <f t="shared" si="1305"/>
        <v>46184</v>
      </c>
      <c r="FS193" s="56"/>
      <c r="FT193" s="186">
        <f>SUMPRODUCT(PRODUCE!$B198:$DY198,PRODUCE!$EB$26:$IY$26)</f>
        <v>0</v>
      </c>
      <c r="FU193" s="56"/>
      <c r="FV193" s="186">
        <f t="shared" si="1306"/>
        <v>0</v>
      </c>
      <c r="FW193" s="186">
        <f t="shared" si="1307"/>
        <v>1160</v>
      </c>
      <c r="FX193" s="56"/>
      <c r="GA193" s="55">
        <f t="shared" si="1308"/>
        <v>46184</v>
      </c>
      <c r="GB193" s="56"/>
      <c r="GC193" s="137">
        <f>SUMPRODUCT(PRODUCE!$B198:$DY198,PRODUCE!$EB$27:$IY$27)</f>
        <v>0</v>
      </c>
      <c r="GD193" s="56"/>
      <c r="GE193" s="137">
        <f t="shared" si="1309"/>
        <v>0</v>
      </c>
      <c r="GF193" s="137">
        <f t="shared" si="1310"/>
        <v>960</v>
      </c>
      <c r="GG193" s="56"/>
      <c r="GI193" s="23"/>
      <c r="GJ193" s="55">
        <f t="shared" si="1311"/>
        <v>46184</v>
      </c>
      <c r="GK193" s="56"/>
      <c r="GL193" s="199">
        <f>SUMPRODUCT(PRODUCE!$B198:$DY198,PRODUCE!$EB$28:$IY$28)</f>
        <v>0</v>
      </c>
      <c r="GM193" s="56"/>
      <c r="GN193" s="199">
        <f t="shared" si="1312"/>
        <v>0</v>
      </c>
      <c r="GO193" s="199">
        <f t="shared" si="1313"/>
        <v>1760</v>
      </c>
      <c r="GP193" s="56"/>
      <c r="GS193" s="55">
        <f t="shared" si="1314"/>
        <v>46184</v>
      </c>
      <c r="GT193" s="56"/>
      <c r="GU193" s="195">
        <f>SUMPRODUCT(PRODUCE!$B198:$DY198,PRODUCE!$EB$29:$IY$29)</f>
        <v>0</v>
      </c>
      <c r="GV193" s="56"/>
      <c r="GW193" s="195">
        <f t="shared" si="1315"/>
        <v>0</v>
      </c>
      <c r="GX193" s="195">
        <f t="shared" si="1316"/>
        <v>0</v>
      </c>
      <c r="GY193" s="56"/>
      <c r="HB193" s="55">
        <f t="shared" si="1317"/>
        <v>46184</v>
      </c>
      <c r="HC193" s="56"/>
      <c r="HD193" s="191">
        <f>SUMPRODUCT(PRODUCE!$B198:$DY198,PRODUCE!$EB$30:$IY$30)</f>
        <v>0</v>
      </c>
      <c r="HE193" s="56"/>
      <c r="HF193" s="191">
        <f t="shared" si="1318"/>
        <v>0</v>
      </c>
      <c r="HG193" s="191">
        <f t="shared" si="1319"/>
        <v>3600</v>
      </c>
      <c r="HH193" s="56"/>
      <c r="HK193" s="55">
        <f t="shared" si="1320"/>
        <v>46184</v>
      </c>
      <c r="HL193" s="56"/>
      <c r="HM193" s="63">
        <f>SUMPRODUCT(PRODUCE!$B198:$DY198,PRODUCE!$EB$31:$IY$31)</f>
        <v>0</v>
      </c>
      <c r="HN193" s="56"/>
      <c r="HO193" s="63">
        <f t="shared" si="1321"/>
        <v>0</v>
      </c>
      <c r="HP193" s="63">
        <f t="shared" si="1322"/>
        <v>0</v>
      </c>
      <c r="HQ193" s="56"/>
      <c r="HU193" s="55">
        <f t="shared" si="1323"/>
        <v>46184</v>
      </c>
      <c r="HV193" s="56"/>
      <c r="HW193" s="242">
        <f>SUMPRODUCT(PRODUCE!$B198:$DY198,PRODUCE!$EB$32:$IY$32)</f>
        <v>0</v>
      </c>
      <c r="HX193" s="56"/>
      <c r="HY193" s="242">
        <f t="shared" si="1324"/>
        <v>0</v>
      </c>
      <c r="HZ193" s="242">
        <f t="shared" si="1325"/>
        <v>6800</v>
      </c>
      <c r="IA193" s="56"/>
      <c r="ID193" s="55">
        <f t="shared" si="1326"/>
        <v>46184</v>
      </c>
      <c r="IE193" s="56"/>
      <c r="IF193" s="242">
        <f>SUMPRODUCT(PRODUCE!$B198:$DY198,PRODUCE!$EB$33:$IY$33)</f>
        <v>0</v>
      </c>
      <c r="IG193" s="56"/>
      <c r="IH193" s="242">
        <f t="shared" si="1327"/>
        <v>0</v>
      </c>
      <c r="II193" s="242">
        <f t="shared" si="1328"/>
        <v>720</v>
      </c>
      <c r="IJ193" s="56"/>
      <c r="IM193" s="55">
        <f t="shared" si="1329"/>
        <v>46184</v>
      </c>
      <c r="IN193" s="56"/>
      <c r="IO193" s="242">
        <f>SUMPRODUCT(PRODUCE!$B198:$DY198,PRODUCE!$EB$34:$IY$34)</f>
        <v>0</v>
      </c>
      <c r="IP193" s="56"/>
      <c r="IQ193" s="242">
        <f t="shared" si="1330"/>
        <v>0</v>
      </c>
      <c r="IR193" s="242">
        <f t="shared" si="1331"/>
        <v>8140</v>
      </c>
      <c r="IS193" s="56"/>
      <c r="IV193" s="55">
        <f t="shared" si="1332"/>
        <v>46184</v>
      </c>
      <c r="IW193" s="56"/>
      <c r="IX193" s="242">
        <f>SUMPRODUCT(PRODUCE!$B198:$DY198,PRODUCE!$EB$35:$IY$35)</f>
        <v>0</v>
      </c>
      <c r="IY193" s="56"/>
      <c r="IZ193" s="242">
        <f t="shared" si="1333"/>
        <v>0</v>
      </c>
      <c r="JA193" s="242">
        <f t="shared" si="1334"/>
        <v>4960</v>
      </c>
      <c r="JB193" s="56"/>
      <c r="JE193" s="55">
        <f t="shared" si="1335"/>
        <v>46184</v>
      </c>
      <c r="JF193" s="56"/>
      <c r="JG193" s="242">
        <f>SUMPRODUCT(PRODUCE!$B198:$DY198,PRODUCE!$EB$36:$IY$36)</f>
        <v>0</v>
      </c>
      <c r="JH193" s="56"/>
      <c r="JI193" s="242">
        <f t="shared" si="1336"/>
        <v>0</v>
      </c>
      <c r="JJ193" s="242">
        <f t="shared" si="1337"/>
        <v>0</v>
      </c>
      <c r="JK193" s="56"/>
      <c r="JN193" s="55">
        <f t="shared" si="1338"/>
        <v>46184</v>
      </c>
      <c r="JO193" s="56"/>
      <c r="JP193" s="242">
        <f>SUMPRODUCT(PRODUCE!$B198:$DY198,PRODUCE!$EB$37:$IY$37)</f>
        <v>0</v>
      </c>
      <c r="JQ193" s="56"/>
      <c r="JR193" s="242">
        <f t="shared" si="1339"/>
        <v>0</v>
      </c>
      <c r="JS193" s="242">
        <f t="shared" si="1340"/>
        <v>180</v>
      </c>
      <c r="JT193" s="56"/>
      <c r="JW193" s="55">
        <f t="shared" si="1341"/>
        <v>46184</v>
      </c>
      <c r="JX193" s="56"/>
      <c r="JY193" s="242">
        <f>SUMPRODUCT(PRODUCE!$B198:$DY198,PRODUCE!$EB$38:$IY$38)</f>
        <v>0</v>
      </c>
      <c r="JZ193" s="56"/>
      <c r="KA193" s="242">
        <f t="shared" si="1342"/>
        <v>0</v>
      </c>
      <c r="KB193" s="242">
        <f t="shared" si="1343"/>
        <v>2540</v>
      </c>
      <c r="KC193" s="56"/>
      <c r="KF193" s="55">
        <f t="shared" si="1344"/>
        <v>46184</v>
      </c>
      <c r="KG193" s="56"/>
      <c r="KH193" s="242">
        <f>SUMPRODUCT(PRODUCE!$B198:$DY198,PRODUCE!$EB$39:$IY$39)</f>
        <v>0</v>
      </c>
      <c r="KI193" s="56"/>
      <c r="KJ193" s="242">
        <f t="shared" si="1345"/>
        <v>0</v>
      </c>
      <c r="KK193" s="242">
        <f t="shared" si="1346"/>
        <v>2359.5</v>
      </c>
      <c r="KL193" s="56"/>
      <c r="KO193" s="55">
        <f t="shared" si="1347"/>
        <v>46184</v>
      </c>
      <c r="KP193" s="56"/>
      <c r="KQ193" s="242">
        <f>SUMPRODUCT(PRODUCE!$B198:$DY198,PRODUCE!$EB$40:$IY$40)</f>
        <v>0</v>
      </c>
      <c r="KR193" s="56"/>
      <c r="KS193" s="242">
        <f t="shared" si="1348"/>
        <v>0</v>
      </c>
      <c r="KT193" s="242">
        <f t="shared" si="1349"/>
        <v>1890</v>
      </c>
      <c r="KU193" s="56"/>
      <c r="KW193" s="23"/>
      <c r="KX193" s="55">
        <f t="shared" si="1350"/>
        <v>46184</v>
      </c>
      <c r="KY193" s="56"/>
      <c r="KZ193" s="242">
        <f>SUMPRODUCT(PRODUCE!$B198:$DY198,PRODUCE!$EB$41:$IY$41)</f>
        <v>0</v>
      </c>
      <c r="LA193" s="56"/>
      <c r="LB193" s="242">
        <f t="shared" si="1351"/>
        <v>0</v>
      </c>
      <c r="LC193" s="242">
        <f t="shared" si="1352"/>
        <v>3690</v>
      </c>
      <c r="LD193" s="56"/>
      <c r="LG193" s="55">
        <f t="shared" si="1353"/>
        <v>46184</v>
      </c>
      <c r="LH193" s="56"/>
      <c r="LI193" s="242">
        <f>SUMPRODUCT(PRODUCE!$B198:$DY198,PRODUCE!$EB$42:$IY$42)</f>
        <v>0</v>
      </c>
      <c r="LJ193" s="56"/>
      <c r="LK193" s="242">
        <f t="shared" si="1354"/>
        <v>0</v>
      </c>
      <c r="LL193" s="242">
        <f t="shared" si="1355"/>
        <v>4000</v>
      </c>
      <c r="LM193" s="56"/>
      <c r="LP193" s="55">
        <f t="shared" si="1356"/>
        <v>46184</v>
      </c>
      <c r="LQ193" s="56"/>
      <c r="LR193" s="242">
        <f>SUMPRODUCT(PRODUCE!$B198:$DY198,PRODUCE!$EB$43:$IY$43)</f>
        <v>0</v>
      </c>
      <c r="LS193" s="56"/>
      <c r="LT193" s="242">
        <f t="shared" si="1357"/>
        <v>0</v>
      </c>
      <c r="LU193" s="242">
        <f t="shared" si="1358"/>
        <v>0</v>
      </c>
      <c r="LV193" s="56"/>
      <c r="LY193" s="55">
        <f t="shared" si="1359"/>
        <v>46184</v>
      </c>
      <c r="LZ193" s="56"/>
      <c r="MA193" s="242">
        <f>SUMPRODUCT(PRODUCE!$B198:$DY198,PRODUCE!$EB$44:$IY$44)</f>
        <v>0</v>
      </c>
      <c r="MB193" s="56"/>
      <c r="MC193" s="242">
        <f t="shared" si="1360"/>
        <v>0</v>
      </c>
      <c r="MD193" s="242">
        <f t="shared" si="1361"/>
        <v>0</v>
      </c>
      <c r="ME193" s="56"/>
      <c r="MH193" s="55">
        <f t="shared" si="1362"/>
        <v>46184</v>
      </c>
      <c r="MI193" s="56"/>
      <c r="MJ193" s="242">
        <f>SUMPRODUCT(PRODUCE!$B198:$DY198,PRODUCE!$EB$45:$IY$45)</f>
        <v>0</v>
      </c>
      <c r="MK193" s="56"/>
      <c r="ML193" s="242">
        <f t="shared" si="1363"/>
        <v>0</v>
      </c>
      <c r="MM193" s="242">
        <f t="shared" si="1364"/>
        <v>0</v>
      </c>
      <c r="MN193" s="56"/>
      <c r="MQ193" s="55">
        <f t="shared" si="1365"/>
        <v>46184</v>
      </c>
      <c r="MR193" s="56"/>
      <c r="MS193" s="242">
        <f>SUMPRODUCT(PRODUCE!$B198:$DY198,PRODUCE!$EB$46:$IY$46)</f>
        <v>0</v>
      </c>
      <c r="MT193" s="56"/>
      <c r="MU193" s="242">
        <f t="shared" si="1366"/>
        <v>0</v>
      </c>
      <c r="MV193" s="242">
        <f t="shared" si="1367"/>
        <v>3724</v>
      </c>
      <c r="MW193" s="56"/>
      <c r="MZ193" s="55">
        <f t="shared" si="1368"/>
        <v>46184</v>
      </c>
      <c r="NA193" s="56"/>
      <c r="NB193" s="242">
        <f>SUMPRODUCT(PRODUCE!$B198:$DY198,PRODUCE!$EB$47:$IY$47)</f>
        <v>0</v>
      </c>
      <c r="NC193" s="56"/>
      <c r="ND193" s="242">
        <f t="shared" si="1369"/>
        <v>0</v>
      </c>
      <c r="NE193" s="242">
        <f t="shared" si="1370"/>
        <v>0</v>
      </c>
      <c r="NF193" s="56"/>
      <c r="NI193" s="55">
        <f t="shared" si="1371"/>
        <v>46184</v>
      </c>
      <c r="NJ193" s="56"/>
      <c r="NK193" s="242">
        <f>SUMPRODUCT(PRODUCE!$B198:$DY198,PRODUCE!$EB$48:$IY$48)</f>
        <v>0</v>
      </c>
      <c r="NL193" s="56"/>
      <c r="NM193" s="242">
        <f t="shared" si="1372"/>
        <v>0</v>
      </c>
      <c r="NN193" s="242">
        <f t="shared" si="1373"/>
        <v>1127</v>
      </c>
      <c r="NO193" s="56"/>
      <c r="NR193" s="55">
        <f t="shared" si="1374"/>
        <v>46184</v>
      </c>
      <c r="NS193" s="56"/>
      <c r="NT193" s="242">
        <f>SUMPRODUCT(PRODUCE!$B198:$DY198,PRODUCE!$EB$49:$IY$49)</f>
        <v>0</v>
      </c>
      <c r="NU193" s="56"/>
      <c r="NV193" s="242">
        <f t="shared" si="1375"/>
        <v>0</v>
      </c>
      <c r="NW193" s="242">
        <f t="shared" si="1376"/>
        <v>3111.9999999999995</v>
      </c>
      <c r="NX193" s="56"/>
      <c r="OA193" s="55">
        <f t="shared" si="1377"/>
        <v>46184</v>
      </c>
      <c r="OB193" s="56"/>
      <c r="OC193" s="242">
        <f>SUMPRODUCT(PRODUCE!$B198:$DY198,PRODUCE!$EB$50:$IY$50)</f>
        <v>0</v>
      </c>
      <c r="OD193" s="56"/>
      <c r="OE193" s="242">
        <f t="shared" si="1378"/>
        <v>0</v>
      </c>
      <c r="OF193" s="242">
        <f t="shared" si="1379"/>
        <v>1680.5</v>
      </c>
      <c r="OG193" s="56"/>
      <c r="OJ193" s="55">
        <f t="shared" si="1380"/>
        <v>46184</v>
      </c>
      <c r="OK193" s="56"/>
      <c r="OL193" s="242">
        <f>SUMPRODUCT(PRODUCE!$B198:$DY198,PRODUCE!$EB$51:$IY$51)</f>
        <v>0</v>
      </c>
      <c r="OM193" s="56"/>
      <c r="ON193" s="242">
        <f t="shared" si="1381"/>
        <v>0</v>
      </c>
      <c r="OO193" s="242">
        <f t="shared" si="1382"/>
        <v>0</v>
      </c>
      <c r="OP193" s="56"/>
      <c r="OS193" s="55">
        <f t="shared" si="1383"/>
        <v>46184</v>
      </c>
      <c r="OT193" s="56"/>
      <c r="OU193" s="242">
        <f>SUMPRODUCT(PRODUCE!$B198:$DY198,PRODUCE!$EB$52:$IY$52)</f>
        <v>0</v>
      </c>
      <c r="OV193" s="56"/>
      <c r="OW193" s="242">
        <f t="shared" si="1384"/>
        <v>0</v>
      </c>
      <c r="OX193" s="242">
        <f t="shared" si="1385"/>
        <v>1482</v>
      </c>
      <c r="OY193" s="56"/>
      <c r="PB193" s="55">
        <f t="shared" si="1386"/>
        <v>46184</v>
      </c>
      <c r="PC193" s="56"/>
      <c r="PD193" s="242">
        <f>SUMPRODUCT(PRODUCE!$B198:$DY198,PRODUCE!$EB$53:$IY$53)</f>
        <v>0</v>
      </c>
      <c r="PE193" s="56"/>
      <c r="PF193" s="242">
        <f t="shared" si="1387"/>
        <v>0</v>
      </c>
      <c r="PG193" s="242">
        <f t="shared" si="1388"/>
        <v>0</v>
      </c>
      <c r="PH193" s="56"/>
      <c r="PK193" s="55">
        <f t="shared" si="1389"/>
        <v>46184</v>
      </c>
      <c r="PL193" s="56"/>
      <c r="PM193" s="242">
        <f>SUMPRODUCT(PRODUCE!$B198:$DY198,PRODUCE!$EB$54:$IY$54)</f>
        <v>0</v>
      </c>
      <c r="PN193" s="56"/>
      <c r="PO193" s="242">
        <f t="shared" si="1494"/>
        <v>0</v>
      </c>
      <c r="PP193" s="242">
        <f t="shared" si="1495"/>
        <v>100</v>
      </c>
      <c r="PQ193" s="56"/>
      <c r="PT193" s="55">
        <f t="shared" si="1392"/>
        <v>46184</v>
      </c>
      <c r="PU193" s="56"/>
      <c r="PV193" s="242">
        <f>SUMPRODUCT(PRODUCE!$B198:$DY198,PRODUCE!$EB$55:$IY$55)</f>
        <v>0</v>
      </c>
      <c r="PW193" s="56"/>
      <c r="PX193" s="242">
        <f t="shared" si="1393"/>
        <v>0</v>
      </c>
      <c r="PY193" s="242">
        <f t="shared" si="1394"/>
        <v>13.960000000000036</v>
      </c>
      <c r="PZ193" s="56"/>
      <c r="QC193" s="55">
        <f t="shared" si="1395"/>
        <v>46184</v>
      </c>
      <c r="QD193" s="56"/>
      <c r="QE193" s="242">
        <f>SUMPRODUCT(PRODUCE!$B198:$DY198,PRODUCE!$EB$56:$IY$56)</f>
        <v>0</v>
      </c>
      <c r="QF193" s="56"/>
      <c r="QG193" s="242">
        <f t="shared" si="1396"/>
        <v>0</v>
      </c>
      <c r="QH193" s="242">
        <f t="shared" si="1397"/>
        <v>1736</v>
      </c>
      <c r="QI193" s="56"/>
      <c r="QL193" s="55">
        <f t="shared" si="1398"/>
        <v>46184</v>
      </c>
      <c r="QM193" s="56"/>
      <c r="QN193" s="242">
        <f>SUMPRODUCT(PRODUCE!$B198:$DY198,PRODUCE!$EB$57:$IY$57)</f>
        <v>0</v>
      </c>
      <c r="QO193" s="56"/>
      <c r="QP193" s="242">
        <f t="shared" si="1399"/>
        <v>0</v>
      </c>
      <c r="QQ193" s="242">
        <f t="shared" si="1400"/>
        <v>475</v>
      </c>
      <c r="QR193" s="56"/>
      <c r="QU193" s="55">
        <f t="shared" si="1401"/>
        <v>46184</v>
      </c>
      <c r="QV193" s="56"/>
      <c r="QW193" s="242">
        <f>SUMPRODUCT(PRODUCE!$B198:$DY198,PRODUCE!$EB$58:$IY$58)</f>
        <v>0</v>
      </c>
      <c r="QX193" s="56"/>
      <c r="QY193" s="242">
        <f t="shared" si="1402"/>
        <v>0</v>
      </c>
      <c r="QZ193" s="242">
        <f t="shared" si="1403"/>
        <v>207.6</v>
      </c>
      <c r="RA193" s="56"/>
      <c r="RD193" s="55">
        <f t="shared" si="1404"/>
        <v>46184</v>
      </c>
      <c r="RE193" s="56"/>
      <c r="RF193" s="242">
        <f>SUMPRODUCT(PRODUCE!$B198:$DY198,PRODUCE!$EB$59:$IY$59)</f>
        <v>0</v>
      </c>
      <c r="RG193" s="56"/>
      <c r="RH193" s="242">
        <f t="shared" si="1405"/>
        <v>0</v>
      </c>
      <c r="RI193" s="242">
        <f t="shared" si="1406"/>
        <v>147.04000000000002</v>
      </c>
      <c r="RJ193" s="56"/>
      <c r="RM193" s="55">
        <f t="shared" si="1407"/>
        <v>46184</v>
      </c>
      <c r="RN193" s="56"/>
      <c r="RO193" s="242">
        <f>SUMPRODUCT(PRODUCE!$B198:$DY198,PRODUCE!$EB$60:$IY$60)</f>
        <v>0</v>
      </c>
      <c r="RP193" s="56"/>
      <c r="RQ193" s="242">
        <f t="shared" si="1408"/>
        <v>0</v>
      </c>
      <c r="RR193" s="242">
        <f t="shared" si="1409"/>
        <v>46.8</v>
      </c>
      <c r="RS193" s="56"/>
      <c r="RV193" s="55">
        <f t="shared" si="1410"/>
        <v>46184</v>
      </c>
      <c r="RW193" s="56"/>
      <c r="RX193" s="242">
        <f>SUMPRODUCT(PRODUCE!$B198:$DY198,PRODUCE!$EB$61:$IY$61)</f>
        <v>0</v>
      </c>
      <c r="RY193" s="56"/>
      <c r="RZ193" s="242">
        <f t="shared" si="1411"/>
        <v>0</v>
      </c>
      <c r="SA193" s="242">
        <f t="shared" si="1412"/>
        <v>0</v>
      </c>
      <c r="SB193" s="56"/>
      <c r="SE193" s="55">
        <f t="shared" si="1413"/>
        <v>46184</v>
      </c>
      <c r="SF193" s="56"/>
      <c r="SG193" s="242">
        <f>SUMPRODUCT(PRODUCE!$B198:$DY198,PRODUCE!$EB$62:$IY$62)</f>
        <v>0</v>
      </c>
      <c r="SH193" s="56"/>
      <c r="SI193" s="242">
        <f t="shared" si="1414"/>
        <v>0</v>
      </c>
      <c r="SJ193" s="242">
        <f t="shared" si="1415"/>
        <v>24.200000000000003</v>
      </c>
      <c r="SK193" s="56"/>
      <c r="SN193" s="55">
        <f t="shared" si="1416"/>
        <v>46184</v>
      </c>
      <c r="SO193" s="56"/>
      <c r="SP193" s="242">
        <f>SUMPRODUCT(PRODUCE!$B198:$DY198,PRODUCE!$EB$63:$IY$63)</f>
        <v>0</v>
      </c>
      <c r="SQ193" s="56"/>
      <c r="SR193" s="242">
        <f t="shared" si="1417"/>
        <v>0</v>
      </c>
      <c r="SS193" s="242">
        <f t="shared" si="1418"/>
        <v>32</v>
      </c>
      <c r="ST193" s="56"/>
      <c r="SW193" s="55">
        <f t="shared" si="1419"/>
        <v>46184</v>
      </c>
      <c r="SX193" s="56"/>
      <c r="SY193" s="242">
        <f>SUMPRODUCT(PRODUCE!$B198:$DY198,PRODUCE!$EB$64:$IY$64)</f>
        <v>0</v>
      </c>
      <c r="SZ193" s="56"/>
      <c r="TA193" s="242">
        <f t="shared" si="1420"/>
        <v>0</v>
      </c>
      <c r="TB193" s="242">
        <f t="shared" si="1421"/>
        <v>0</v>
      </c>
      <c r="TC193" s="56"/>
      <c r="TF193" s="55">
        <f t="shared" si="1422"/>
        <v>46184</v>
      </c>
      <c r="TG193" s="56"/>
      <c r="TH193" s="242">
        <f>SUMPRODUCT(PRODUCE!$B198:$DY198,PRODUCE!$EB$65:$IY$65)</f>
        <v>0</v>
      </c>
      <c r="TI193" s="56"/>
      <c r="TJ193" s="242">
        <f t="shared" si="1423"/>
        <v>0</v>
      </c>
      <c r="TK193" s="242">
        <f t="shared" si="1424"/>
        <v>0</v>
      </c>
      <c r="TL193" s="56"/>
      <c r="TO193" s="55">
        <f t="shared" si="1425"/>
        <v>46184</v>
      </c>
      <c r="TP193" s="56"/>
      <c r="TQ193" s="242">
        <f>SUMPRODUCT(PRODUCE!$B198:$DY198,PRODUCE!$EB$66:$IY$66)</f>
        <v>0</v>
      </c>
      <c r="TR193" s="56"/>
      <c r="TS193" s="242">
        <f t="shared" si="1426"/>
        <v>0</v>
      </c>
      <c r="TT193" s="242">
        <f t="shared" si="1427"/>
        <v>22.400000000000006</v>
      </c>
      <c r="TU193" s="56"/>
      <c r="TX193" s="55">
        <f t="shared" si="1428"/>
        <v>46184</v>
      </c>
      <c r="TY193" s="56"/>
      <c r="TZ193" s="242">
        <f>SUMPRODUCT(PRODUCE!$B198:$DY198,PRODUCE!$EB$67:$IY$67)</f>
        <v>0</v>
      </c>
      <c r="UA193" s="56"/>
      <c r="UB193" s="242">
        <f t="shared" si="1429"/>
        <v>0</v>
      </c>
      <c r="UC193" s="242">
        <f t="shared" si="1430"/>
        <v>46.799999999999983</v>
      </c>
      <c r="UD193" s="56"/>
      <c r="UG193" s="55">
        <f t="shared" si="1431"/>
        <v>46184</v>
      </c>
      <c r="UH193" s="56"/>
      <c r="UI193" s="242">
        <f>SUMPRODUCT(PRODUCE!$B198:$DY198,PRODUCE!$EB$68:$IY$68)</f>
        <v>0</v>
      </c>
      <c r="UJ193" s="56"/>
      <c r="UK193" s="242">
        <f t="shared" si="1432"/>
        <v>0</v>
      </c>
      <c r="UL193" s="242">
        <f t="shared" si="1433"/>
        <v>204</v>
      </c>
      <c r="UM193" s="56"/>
      <c r="UP193" s="55">
        <f t="shared" si="1434"/>
        <v>46184</v>
      </c>
      <c r="UQ193" s="56"/>
      <c r="UR193" s="242">
        <f>SUMPRODUCT(PRODUCE!$B198:$DY198,PRODUCE!$EB$69:$IY$69)</f>
        <v>0</v>
      </c>
      <c r="US193" s="56"/>
      <c r="UT193" s="242">
        <f t="shared" si="1435"/>
        <v>0</v>
      </c>
      <c r="UU193" s="242">
        <f t="shared" si="1436"/>
        <v>251.25</v>
      </c>
      <c r="UV193" s="56"/>
      <c r="UY193" s="55">
        <f t="shared" si="1437"/>
        <v>46184</v>
      </c>
      <c r="UZ193" s="56"/>
      <c r="VA193" s="242">
        <f>SUMPRODUCT(PRODUCE!$B198:$DY198,PRODUCE!$EB$70:$IY$70)</f>
        <v>0</v>
      </c>
      <c r="VB193" s="56"/>
      <c r="VC193" s="242">
        <f t="shared" si="1438"/>
        <v>0</v>
      </c>
      <c r="VD193" s="242">
        <f t="shared" si="1439"/>
        <v>41.600000000000023</v>
      </c>
      <c r="VE193" s="56"/>
      <c r="VH193" s="55">
        <f t="shared" si="1440"/>
        <v>46184</v>
      </c>
      <c r="VI193" s="56"/>
      <c r="VJ193" s="242">
        <f>SUMPRODUCT(PRODUCE!$B198:$DY198,PRODUCE!$EB$71:$IY$71)</f>
        <v>0</v>
      </c>
      <c r="VK193" s="56"/>
      <c r="VL193" s="242">
        <f t="shared" si="1441"/>
        <v>0</v>
      </c>
      <c r="VM193" s="242">
        <f t="shared" si="1442"/>
        <v>210</v>
      </c>
      <c r="VN193" s="56"/>
      <c r="VQ193" s="55">
        <f t="shared" si="1443"/>
        <v>46184</v>
      </c>
      <c r="VR193" s="56"/>
      <c r="VS193" s="242">
        <f>SUMPRODUCT(PRODUCE!$B198:$DY198,PRODUCE!$EB$57:$IY$57)</f>
        <v>0</v>
      </c>
      <c r="VT193" s="56"/>
      <c r="VU193" s="242">
        <f t="shared" si="1444"/>
        <v>0</v>
      </c>
      <c r="VV193" s="242">
        <f t="shared" si="1445"/>
        <v>0</v>
      </c>
      <c r="VW193" s="56"/>
      <c r="VZ193" s="55">
        <f t="shared" si="1446"/>
        <v>46184</v>
      </c>
      <c r="WA193" s="56"/>
      <c r="WB193" s="242">
        <f>SUMPRODUCT(PRODUCE!$B198:$DY198,PRODUCE!$EB$57:$IY$57)</f>
        <v>0</v>
      </c>
      <c r="WC193" s="56"/>
      <c r="WD193" s="242">
        <f t="shared" si="1447"/>
        <v>0</v>
      </c>
      <c r="WE193" s="242">
        <f t="shared" si="1448"/>
        <v>0</v>
      </c>
      <c r="WF193" s="56"/>
      <c r="WI193" s="55">
        <f t="shared" si="1449"/>
        <v>46184</v>
      </c>
      <c r="WJ193" s="422"/>
      <c r="WK193" s="540">
        <f>SUMPRODUCT(PRODUCE!$B198:$DY198,PRODUCE!$EB$74:$IY$74)</f>
        <v>0</v>
      </c>
      <c r="WL193" s="422"/>
      <c r="WM193" s="540">
        <f t="shared" si="1450"/>
        <v>0</v>
      </c>
      <c r="WN193" s="540">
        <f t="shared" si="1451"/>
        <v>1199</v>
      </c>
      <c r="WO193" s="56"/>
      <c r="WR193" s="55">
        <f t="shared" si="1452"/>
        <v>46184</v>
      </c>
      <c r="WS193" s="422"/>
      <c r="WT193" s="540">
        <f>SUMPRODUCT(PRODUCE!$B198:$DY198,PRODUCE!$EB$75:$IY$75)</f>
        <v>0</v>
      </c>
      <c r="WU193" s="422"/>
      <c r="WV193" s="540">
        <f t="shared" si="1453"/>
        <v>0</v>
      </c>
      <c r="WW193" s="540">
        <f t="shared" si="1454"/>
        <v>0</v>
      </c>
      <c r="WX193" s="56"/>
      <c r="XA193" s="55">
        <f t="shared" si="1455"/>
        <v>46184</v>
      </c>
      <c r="XB193" s="422"/>
      <c r="XC193" s="540">
        <f>SUMPRODUCT(PRODUCE!$B198:$DY198,PRODUCE!$EB$76:$IY$76)</f>
        <v>0</v>
      </c>
      <c r="XD193" s="422"/>
      <c r="XE193" s="540">
        <f t="shared" si="1456"/>
        <v>0</v>
      </c>
      <c r="XF193" s="540">
        <f t="shared" si="1457"/>
        <v>6813</v>
      </c>
      <c r="XG193" s="56"/>
      <c r="XJ193" s="55">
        <f t="shared" si="1458"/>
        <v>46184</v>
      </c>
      <c r="XK193" s="422"/>
      <c r="XL193" s="540">
        <f>SUMPRODUCT(PRODUCE!$B198:$DY198,PRODUCE!$EB$77:$IY$77)</f>
        <v>0</v>
      </c>
      <c r="XM193" s="422">
        <v>80</v>
      </c>
      <c r="XN193" s="540">
        <f t="shared" si="1459"/>
        <v>-80</v>
      </c>
      <c r="XO193" s="540">
        <f t="shared" si="1460"/>
        <v>6117</v>
      </c>
      <c r="XP193" s="56"/>
      <c r="XS193" s="55">
        <f t="shared" si="1461"/>
        <v>46184</v>
      </c>
      <c r="XT193" s="56"/>
      <c r="XU193" s="242">
        <f>SUMPRODUCT(PRODUCE!$B198:$DY198,PRODUCE!$EB$78:$IY$78)</f>
        <v>0</v>
      </c>
      <c r="XV193" s="56"/>
      <c r="XW193" s="242">
        <f t="shared" si="1462"/>
        <v>0</v>
      </c>
      <c r="XX193" s="242">
        <f t="shared" si="1463"/>
        <v>1621</v>
      </c>
      <c r="XY193" s="56"/>
      <c r="YB193" s="55">
        <f t="shared" si="1464"/>
        <v>46184</v>
      </c>
      <c r="YC193" s="56"/>
      <c r="YD193" s="242">
        <f>SUMPRODUCT(PRODUCE!$B198:$DY198,PRODUCE!$EB$79:$IY$79)</f>
        <v>0</v>
      </c>
      <c r="YE193" s="56"/>
      <c r="YF193" s="242">
        <f t="shared" si="1465"/>
        <v>0</v>
      </c>
      <c r="YG193" s="242">
        <f t="shared" si="1466"/>
        <v>5083</v>
      </c>
      <c r="YH193" s="56"/>
      <c r="YK193" s="55">
        <f t="shared" si="1467"/>
        <v>46184</v>
      </c>
      <c r="YL193" s="56"/>
      <c r="YM193" s="242">
        <f>SUMPRODUCT(PRODUCE!$B198:$DY198,PRODUCE!$EB$80:$IY$80)</f>
        <v>0</v>
      </c>
      <c r="YN193" s="56"/>
      <c r="YO193" s="242">
        <f t="shared" si="1468"/>
        <v>0</v>
      </c>
      <c r="YP193" s="242">
        <f t="shared" si="1469"/>
        <v>0</v>
      </c>
      <c r="YQ193" s="56"/>
      <c r="YT193" s="55">
        <f t="shared" si="1470"/>
        <v>46184</v>
      </c>
      <c r="YU193" s="56"/>
      <c r="YV193" s="242">
        <f>SUMPRODUCT(PRODUCE!$B198:$DY198,PRODUCE!$EB$57:$IY$57)</f>
        <v>0</v>
      </c>
      <c r="YW193" s="56"/>
      <c r="YX193" s="242">
        <f t="shared" si="1471"/>
        <v>0</v>
      </c>
      <c r="YY193" s="242">
        <f t="shared" si="1472"/>
        <v>0</v>
      </c>
      <c r="YZ193" s="56"/>
      <c r="ZC193" s="55">
        <f t="shared" si="1473"/>
        <v>46184</v>
      </c>
      <c r="ZD193" s="56"/>
      <c r="ZE193" s="242">
        <f>SUMPRODUCT(PRODUCE!$B198:$DY198,PRODUCE!$EB$57:$IY$57)</f>
        <v>0</v>
      </c>
      <c r="ZF193" s="56"/>
      <c r="ZG193" s="242">
        <f t="shared" si="1474"/>
        <v>0</v>
      </c>
      <c r="ZH193" s="242">
        <f t="shared" si="1475"/>
        <v>0</v>
      </c>
      <c r="ZI193" s="56"/>
      <c r="ZL193" s="55">
        <f t="shared" si="1476"/>
        <v>46184</v>
      </c>
      <c r="ZM193" s="56"/>
      <c r="ZN193" s="242">
        <f>SUMPRODUCT(PRODUCE!$B198:$DY198,PRODUCE!$EB$57:$IY$57)</f>
        <v>0</v>
      </c>
      <c r="ZO193" s="56"/>
      <c r="ZP193" s="242">
        <f t="shared" si="1477"/>
        <v>0</v>
      </c>
      <c r="ZQ193" s="242">
        <f t="shared" si="1478"/>
        <v>0</v>
      </c>
      <c r="ZR193" s="56"/>
      <c r="ZU193" s="55">
        <f t="shared" si="1479"/>
        <v>46184</v>
      </c>
      <c r="ZV193" s="56"/>
      <c r="ZW193" s="242">
        <f>SUMPRODUCT(PRODUCE!$B198:$DY198,PRODUCE!$EB$57:$IY$57)</f>
        <v>0</v>
      </c>
      <c r="ZX193" s="56"/>
      <c r="ZY193" s="242">
        <f t="shared" si="1480"/>
        <v>0</v>
      </c>
      <c r="ZZ193" s="242">
        <f t="shared" si="1481"/>
        <v>0</v>
      </c>
      <c r="AAA193" s="56"/>
      <c r="AAD193" s="55">
        <f t="shared" si="1482"/>
        <v>46184</v>
      </c>
      <c r="AAE193" s="56"/>
      <c r="AAF193" s="242">
        <f>SUMPRODUCT(PRODUCE!$B198:$DY198,PRODUCE!$EB$57:$IY$57)</f>
        <v>0</v>
      </c>
      <c r="AAG193" s="56"/>
      <c r="AAH193" s="242">
        <f t="shared" si="1483"/>
        <v>0</v>
      </c>
      <c r="AAI193" s="242">
        <f t="shared" si="1484"/>
        <v>0</v>
      </c>
      <c r="AAJ193" s="56"/>
      <c r="AAM193" s="55">
        <f t="shared" si="1485"/>
        <v>46184</v>
      </c>
      <c r="AAN193" s="56"/>
      <c r="AAO193" s="242">
        <f>SUMPRODUCT(PRODUCE!$B198:$DY198,PRODUCE!$EB$57:$IY$57)</f>
        <v>0</v>
      </c>
      <c r="AAP193" s="56"/>
      <c r="AAQ193" s="242">
        <f t="shared" si="1486"/>
        <v>0</v>
      </c>
      <c r="AAR193" s="242">
        <f t="shared" si="1487"/>
        <v>0</v>
      </c>
      <c r="AAS193" s="56"/>
      <c r="AAV193" s="55">
        <f t="shared" si="1488"/>
        <v>46184</v>
      </c>
      <c r="AAW193" s="56"/>
      <c r="AAX193" s="242">
        <f>SUMPRODUCT(PRODUCE!$B198:$DY198,PRODUCE!$EB$57:$IY$57)</f>
        <v>0</v>
      </c>
      <c r="AAY193" s="56"/>
      <c r="AAZ193" s="242">
        <f t="shared" si="1489"/>
        <v>0</v>
      </c>
      <c r="ABA193" s="242">
        <f t="shared" si="1490"/>
        <v>0</v>
      </c>
      <c r="ABB193" s="56"/>
      <c r="ABE193" s="55">
        <f t="shared" si="1491"/>
        <v>46184</v>
      </c>
      <c r="ABF193" s="56"/>
      <c r="ABG193" s="242">
        <f>SUMPRODUCT(PRODUCE!$B198:$DY198,PRODUCE!$EB$57:$IY$57)</f>
        <v>0</v>
      </c>
      <c r="ABH193" s="56"/>
      <c r="ABI193" s="242">
        <f t="shared" si="1492"/>
        <v>0</v>
      </c>
      <c r="ABJ193" s="242">
        <f t="shared" si="1493"/>
        <v>0</v>
      </c>
      <c r="ABK193" s="56"/>
    </row>
    <row r="194" spans="2:739" s="54" customFormat="1" ht="15" customHeight="1" outlineLevel="1">
      <c r="B194" s="478">
        <f>30+90</f>
        <v>120</v>
      </c>
      <c r="C194" s="55">
        <v>46185</v>
      </c>
      <c r="D194" s="422"/>
      <c r="E194" s="423">
        <f>SUMPRODUCT(PRODUCE!$B199:$DY199,PRODUCE!$EB$7:$IY$7)</f>
        <v>67519.199999999997</v>
      </c>
      <c r="F194" s="422">
        <v>67513.2</v>
      </c>
      <c r="G194" s="423">
        <f t="shared" si="1249"/>
        <v>6</v>
      </c>
      <c r="H194" s="423">
        <f t="shared" si="1250"/>
        <v>95888.400000000067</v>
      </c>
      <c r="I194" s="289" t="s">
        <v>286</v>
      </c>
      <c r="L194" s="55">
        <f t="shared" si="1251"/>
        <v>46185</v>
      </c>
      <c r="M194" s="422">
        <v>26950</v>
      </c>
      <c r="N194" s="438">
        <f>SUMPRODUCT(PRODUCE!$B199:$DY199,PRODUCE!$EB$8:$IY$8)</f>
        <v>36258</v>
      </c>
      <c r="O194" s="422">
        <v>36262.199999999997</v>
      </c>
      <c r="P194" s="438">
        <f t="shared" si="1252"/>
        <v>-4.1999999999970896</v>
      </c>
      <c r="Q194" s="438">
        <f t="shared" si="1253"/>
        <v>71561.20000000007</v>
      </c>
      <c r="R194" s="56"/>
      <c r="U194" s="55">
        <f t="shared" si="1254"/>
        <v>46185</v>
      </c>
      <c r="V194" s="422">
        <v>25050</v>
      </c>
      <c r="W194" s="440">
        <f>SUMPRODUCT(PRODUCE!$B199:$DY199,PRODUCE!$EB$9:$IY$9)</f>
        <v>5400</v>
      </c>
      <c r="X194" s="422">
        <v>5399.7</v>
      </c>
      <c r="Y194" s="440">
        <f t="shared" si="1255"/>
        <v>0.3000000000001819</v>
      </c>
      <c r="Z194" s="440">
        <f t="shared" si="1256"/>
        <v>46431.39999999998</v>
      </c>
      <c r="AA194" s="56"/>
      <c r="AD194" s="55">
        <f t="shared" si="1257"/>
        <v>46185</v>
      </c>
      <c r="AE194" s="422"/>
      <c r="AF194" s="442">
        <f>SUMPRODUCT(PRODUCE!$B199:$DY199,PRODUCE!$EB$10:$IY$10)</f>
        <v>600</v>
      </c>
      <c r="AG194" s="422">
        <v>600.4</v>
      </c>
      <c r="AH194" s="442">
        <f t="shared" si="1258"/>
        <v>-0.39999999999997726</v>
      </c>
      <c r="AI194" s="442">
        <f t="shared" si="1259"/>
        <v>33372.700000000019</v>
      </c>
      <c r="AJ194" s="56"/>
      <c r="AM194" s="55">
        <f t="shared" si="1260"/>
        <v>46185</v>
      </c>
      <c r="AN194" s="422"/>
      <c r="AO194" s="444">
        <f>SUMPRODUCT(PRODUCE!$B199:$DY199,PRODUCE!$EB$11:$IY$11)</f>
        <v>0</v>
      </c>
      <c r="AP194" s="422"/>
      <c r="AQ194" s="444">
        <f t="shared" si="1261"/>
        <v>0</v>
      </c>
      <c r="AR194" s="444">
        <f t="shared" si="1262"/>
        <v>0</v>
      </c>
      <c r="AS194" s="56"/>
      <c r="AV194" s="55">
        <f t="shared" si="1263"/>
        <v>46185</v>
      </c>
      <c r="AW194" s="422"/>
      <c r="AX194" s="446">
        <f>SUMPRODUCT(PRODUCE!$B199:$DY199,PRODUCE!$EB$12:$IY$12)</f>
        <v>2250</v>
      </c>
      <c r="AY194" s="422">
        <v>2249.5</v>
      </c>
      <c r="AZ194" s="446">
        <f t="shared" si="1264"/>
        <v>0.5</v>
      </c>
      <c r="BA194" s="446">
        <f t="shared" si="1265"/>
        <v>14066.499999999996</v>
      </c>
      <c r="BB194" s="56"/>
      <c r="BE194" s="55">
        <f t="shared" si="1266"/>
        <v>46185</v>
      </c>
      <c r="BF194" s="422"/>
      <c r="BG194" s="448">
        <f>SUMPRODUCT(PRODUCE!$B199:$DY199,PRODUCE!$EB$13:$IY$13)</f>
        <v>1755</v>
      </c>
      <c r="BH194" s="422">
        <v>1755.9</v>
      </c>
      <c r="BI194" s="448">
        <f t="shared" si="1267"/>
        <v>-0.90000000000009095</v>
      </c>
      <c r="BJ194" s="448">
        <f t="shared" si="1268"/>
        <v>39235.399999999994</v>
      </c>
      <c r="BK194" s="56"/>
      <c r="BN194" s="55">
        <f t="shared" si="1269"/>
        <v>46185</v>
      </c>
      <c r="BO194" s="422">
        <v>2504.9</v>
      </c>
      <c r="BP194" s="450">
        <f>SUMPRODUCT(PRODUCE!$B199:$DY199,PRODUCE!$EB$14:$IY$14)</f>
        <v>2505</v>
      </c>
      <c r="BQ194" s="422">
        <v>2504.9</v>
      </c>
      <c r="BR194" s="450">
        <f t="shared" si="1270"/>
        <v>9.9999999999909051E-2</v>
      </c>
      <c r="BS194" s="450">
        <f t="shared" si="1271"/>
        <v>0</v>
      </c>
      <c r="BT194" s="56"/>
      <c r="BW194" s="55">
        <f t="shared" si="1272"/>
        <v>46185</v>
      </c>
      <c r="BX194" s="422"/>
      <c r="BY194" s="523">
        <f>SUMPRODUCT(PRODUCE!$B199:$DY199,PRODUCE!$EB$15:$IY$15)</f>
        <v>0</v>
      </c>
      <c r="BZ194" s="422">
        <f>117.75+294.2+129.18</f>
        <v>541.13</v>
      </c>
      <c r="CA194" s="523">
        <f t="shared" si="1273"/>
        <v>-541.13</v>
      </c>
      <c r="CB194" s="523">
        <f t="shared" si="1274"/>
        <v>3585.4999999999991</v>
      </c>
      <c r="CC194" s="56"/>
      <c r="CF194" s="55">
        <f t="shared" si="1275"/>
        <v>46185</v>
      </c>
      <c r="CG194" s="422">
        <v>1342.99</v>
      </c>
      <c r="CH194" s="524">
        <f>SUMPRODUCT(PRODUCE!$B199:$DY199,PRODUCE!$EB$16:$IY$16)</f>
        <v>577.79999999999995</v>
      </c>
      <c r="CI194" s="422">
        <f>124.7+396.24+244.25+577.8</f>
        <v>1342.99</v>
      </c>
      <c r="CJ194" s="524">
        <f t="shared" si="1276"/>
        <v>-765.19</v>
      </c>
      <c r="CK194" s="524">
        <f t="shared" si="1277"/>
        <v>0</v>
      </c>
      <c r="CL194" s="56"/>
      <c r="CO194" s="55">
        <f t="shared" si="1278"/>
        <v>46185</v>
      </c>
      <c r="CP194" s="422"/>
      <c r="CQ194" s="470">
        <f>SUMPRODUCT(PRODUCE!$B199:$DY199,PRODUCE!$EB$17:$IY$17)</f>
        <v>0</v>
      </c>
      <c r="CR194" s="422"/>
      <c r="CS194" s="470">
        <f t="shared" si="1279"/>
        <v>0</v>
      </c>
      <c r="CT194" s="470">
        <f t="shared" si="1280"/>
        <v>0</v>
      </c>
      <c r="CU194" s="56"/>
      <c r="CX194" s="55">
        <f t="shared" si="1281"/>
        <v>46185</v>
      </c>
      <c r="CY194" s="422"/>
      <c r="CZ194" s="525">
        <f>SUMPRODUCT(PRODUCE!$B199:$DY199,PRODUCE!$EB$18:$IY$18)</f>
        <v>0</v>
      </c>
      <c r="DA194" s="422"/>
      <c r="DB194" s="525">
        <f t="shared" si="1282"/>
        <v>0</v>
      </c>
      <c r="DC194" s="525">
        <f t="shared" si="1283"/>
        <v>17343.800000000007</v>
      </c>
      <c r="DD194" s="56"/>
      <c r="DG194" s="55">
        <f t="shared" si="1284"/>
        <v>46185</v>
      </c>
      <c r="DH194" s="422"/>
      <c r="DI194" s="526">
        <f>SUMPRODUCT(PRODUCE!$B199:$DY199,PRODUCE!$EB$19:$IY$19)</f>
        <v>0</v>
      </c>
      <c r="DJ194" s="422"/>
      <c r="DK194" s="526">
        <f t="shared" si="1285"/>
        <v>0</v>
      </c>
      <c r="DL194" s="526">
        <f t="shared" si="1286"/>
        <v>35234.999999999985</v>
      </c>
      <c r="DM194" s="56"/>
      <c r="DP194" s="55">
        <f t="shared" si="1287"/>
        <v>46185</v>
      </c>
      <c r="DQ194" s="56"/>
      <c r="DR194" s="57">
        <f>SUMPRODUCT(PRODUCE!$B199:$DY199,PRODUCE!$EB$20:$IY$20)</f>
        <v>0</v>
      </c>
      <c r="DS194" s="56"/>
      <c r="DT194" s="57">
        <f t="shared" si="1288"/>
        <v>0</v>
      </c>
      <c r="DU194" s="57">
        <f t="shared" si="1289"/>
        <v>5800</v>
      </c>
      <c r="DV194" s="56"/>
      <c r="DY194" s="55">
        <f t="shared" si="1290"/>
        <v>46185</v>
      </c>
      <c r="DZ194" s="56"/>
      <c r="EA194" s="157">
        <f>SUMPRODUCT(PRODUCE!$B199:$DY199,PRODUCE!$EB$21:$IY$21)</f>
        <v>0</v>
      </c>
      <c r="EB194" s="56"/>
      <c r="EC194" s="157">
        <f t="shared" si="1291"/>
        <v>0</v>
      </c>
      <c r="ED194" s="157">
        <f t="shared" si="1292"/>
        <v>0</v>
      </c>
      <c r="EE194" s="56"/>
      <c r="EH194" s="55">
        <f t="shared" si="1293"/>
        <v>46185</v>
      </c>
      <c r="EI194" s="56"/>
      <c r="EJ194" s="162">
        <f>SUMPRODUCT(PRODUCE!$B199:$DY199,PRODUCE!$EB$22:$IY$22)</f>
        <v>0</v>
      </c>
      <c r="EK194" s="56"/>
      <c r="EL194" s="162">
        <f t="shared" si="1294"/>
        <v>0</v>
      </c>
      <c r="EM194" s="162">
        <f t="shared" si="1295"/>
        <v>0</v>
      </c>
      <c r="EN194" s="56"/>
      <c r="EQ194" s="55">
        <f t="shared" si="1296"/>
        <v>46185</v>
      </c>
      <c r="ER194" s="56"/>
      <c r="ES194" s="135">
        <f>SUMPRODUCT(PRODUCE!$B199:$DY199,PRODUCE!$EB$23:$IY$23)</f>
        <v>0</v>
      </c>
      <c r="ET194" s="56"/>
      <c r="EU194" s="135">
        <f t="shared" si="1297"/>
        <v>0</v>
      </c>
      <c r="EV194" s="135">
        <f t="shared" si="1298"/>
        <v>0</v>
      </c>
      <c r="EW194" s="56"/>
      <c r="EZ194" s="55">
        <f t="shared" si="1299"/>
        <v>46185</v>
      </c>
      <c r="FA194" s="56"/>
      <c r="FB194" s="175">
        <f>SUMPRODUCT(PRODUCE!$B199:$DY199,PRODUCE!$EB$24:$IY$24)</f>
        <v>0</v>
      </c>
      <c r="FC194" s="56"/>
      <c r="FD194" s="175">
        <f t="shared" si="1300"/>
        <v>0</v>
      </c>
      <c r="FE194" s="175">
        <f t="shared" si="1301"/>
        <v>0</v>
      </c>
      <c r="FF194" s="56"/>
      <c r="FI194" s="55">
        <f t="shared" si="1302"/>
        <v>46185</v>
      </c>
      <c r="FJ194" s="56"/>
      <c r="FK194" s="183">
        <f>SUMPRODUCT(PRODUCE!$B199:$DY199,PRODUCE!$EB$25:$IY$25)</f>
        <v>0</v>
      </c>
      <c r="FL194" s="56"/>
      <c r="FM194" s="183">
        <f t="shared" si="1303"/>
        <v>0</v>
      </c>
      <c r="FN194" s="183">
        <f t="shared" si="1304"/>
        <v>0</v>
      </c>
      <c r="FO194" s="56"/>
      <c r="FR194" s="55">
        <f t="shared" si="1305"/>
        <v>46185</v>
      </c>
      <c r="FS194" s="56"/>
      <c r="FT194" s="186">
        <f>SUMPRODUCT(PRODUCE!$B199:$DY199,PRODUCE!$EB$26:$IY$26)</f>
        <v>0</v>
      </c>
      <c r="FU194" s="56"/>
      <c r="FV194" s="186">
        <f t="shared" si="1306"/>
        <v>0</v>
      </c>
      <c r="FW194" s="186">
        <f t="shared" si="1307"/>
        <v>1160</v>
      </c>
      <c r="FX194" s="56"/>
      <c r="GA194" s="55">
        <f t="shared" si="1308"/>
        <v>46185</v>
      </c>
      <c r="GB194" s="56"/>
      <c r="GC194" s="137">
        <f>SUMPRODUCT(PRODUCE!$B199:$DY199,PRODUCE!$EB$27:$IY$27)</f>
        <v>0</v>
      </c>
      <c r="GD194" s="56"/>
      <c r="GE194" s="137">
        <f t="shared" si="1309"/>
        <v>0</v>
      </c>
      <c r="GF194" s="137">
        <f t="shared" si="1310"/>
        <v>960</v>
      </c>
      <c r="GG194" s="56"/>
      <c r="GI194" s="23"/>
      <c r="GJ194" s="55">
        <f t="shared" si="1311"/>
        <v>46185</v>
      </c>
      <c r="GK194" s="56"/>
      <c r="GL194" s="199">
        <f>SUMPRODUCT(PRODUCE!$B199:$DY199,PRODUCE!$EB$28:$IY$28)</f>
        <v>0</v>
      </c>
      <c r="GM194" s="56"/>
      <c r="GN194" s="199">
        <f t="shared" si="1312"/>
        <v>0</v>
      </c>
      <c r="GO194" s="199">
        <f t="shared" si="1313"/>
        <v>1760</v>
      </c>
      <c r="GP194" s="56"/>
      <c r="GS194" s="55">
        <f t="shared" si="1314"/>
        <v>46185</v>
      </c>
      <c r="GT194" s="56">
        <v>1000</v>
      </c>
      <c r="GU194" s="195">
        <f>SUMPRODUCT(PRODUCE!$B199:$DY199,PRODUCE!$EB$29:$IY$29)</f>
        <v>600</v>
      </c>
      <c r="GV194" s="56">
        <v>600</v>
      </c>
      <c r="GW194" s="195">
        <f t="shared" si="1315"/>
        <v>0</v>
      </c>
      <c r="GX194" s="195">
        <f t="shared" si="1316"/>
        <v>400</v>
      </c>
      <c r="GY194" s="56">
        <f>GV194/20</f>
        <v>30</v>
      </c>
      <c r="HB194" s="55">
        <f t="shared" si="1317"/>
        <v>46185</v>
      </c>
      <c r="HC194" s="56"/>
      <c r="HD194" s="191">
        <f>SUMPRODUCT(PRODUCE!$B199:$DY199,PRODUCE!$EB$30:$IY$30)</f>
        <v>0</v>
      </c>
      <c r="HE194" s="56"/>
      <c r="HF194" s="191">
        <f t="shared" si="1318"/>
        <v>0</v>
      </c>
      <c r="HG194" s="191">
        <f t="shared" si="1319"/>
        <v>3600</v>
      </c>
      <c r="HH194" s="56"/>
      <c r="HK194" s="55">
        <f t="shared" si="1320"/>
        <v>46185</v>
      </c>
      <c r="HL194" s="56"/>
      <c r="HM194" s="63">
        <f>SUMPRODUCT(PRODUCE!$B199:$DY199,PRODUCE!$EB$31:$IY$31)</f>
        <v>0</v>
      </c>
      <c r="HN194" s="56"/>
      <c r="HO194" s="63">
        <f t="shared" si="1321"/>
        <v>0</v>
      </c>
      <c r="HP194" s="63">
        <f t="shared" si="1322"/>
        <v>0</v>
      </c>
      <c r="HQ194" s="56"/>
      <c r="HU194" s="55">
        <f t="shared" si="1323"/>
        <v>46185</v>
      </c>
      <c r="HV194" s="56"/>
      <c r="HW194" s="242">
        <f>SUMPRODUCT(PRODUCE!$B199:$DY199,PRODUCE!$EB$32:$IY$32)</f>
        <v>0</v>
      </c>
      <c r="HX194" s="56"/>
      <c r="HY194" s="242">
        <f t="shared" si="1324"/>
        <v>0</v>
      </c>
      <c r="HZ194" s="242">
        <f t="shared" si="1325"/>
        <v>6800</v>
      </c>
      <c r="IA194" s="56"/>
      <c r="ID194" s="55">
        <f t="shared" si="1326"/>
        <v>46185</v>
      </c>
      <c r="IE194" s="56"/>
      <c r="IF194" s="242">
        <f>SUMPRODUCT(PRODUCE!$B199:$DY199,PRODUCE!$EB$33:$IY$33)</f>
        <v>0</v>
      </c>
      <c r="IG194" s="56"/>
      <c r="IH194" s="242">
        <f t="shared" si="1327"/>
        <v>0</v>
      </c>
      <c r="II194" s="242">
        <f t="shared" si="1328"/>
        <v>720</v>
      </c>
      <c r="IJ194" s="56"/>
      <c r="IM194" s="55">
        <f t="shared" si="1329"/>
        <v>46185</v>
      </c>
      <c r="IN194" s="56"/>
      <c r="IO194" s="242">
        <f>SUMPRODUCT(PRODUCE!$B199:$DY199,PRODUCE!$EB$34:$IY$34)</f>
        <v>0</v>
      </c>
      <c r="IP194" s="56">
        <v>1620</v>
      </c>
      <c r="IQ194" s="242">
        <f t="shared" si="1330"/>
        <v>-1620</v>
      </c>
      <c r="IR194" s="242">
        <f t="shared" si="1331"/>
        <v>6520</v>
      </c>
      <c r="IS194" s="56">
        <f>IP194/20</f>
        <v>81</v>
      </c>
      <c r="IV194" s="55">
        <f t="shared" si="1332"/>
        <v>46185</v>
      </c>
      <c r="IW194" s="56"/>
      <c r="IX194" s="242">
        <f>SUMPRODUCT(PRODUCE!$B199:$DY199,PRODUCE!$EB$35:$IY$35)</f>
        <v>0</v>
      </c>
      <c r="IY194" s="56"/>
      <c r="IZ194" s="242">
        <f t="shared" si="1333"/>
        <v>0</v>
      </c>
      <c r="JA194" s="242">
        <f t="shared" si="1334"/>
        <v>4960</v>
      </c>
      <c r="JB194" s="56"/>
      <c r="JE194" s="55">
        <f t="shared" si="1335"/>
        <v>46185</v>
      </c>
      <c r="JF194" s="56"/>
      <c r="JG194" s="242">
        <f>SUMPRODUCT(PRODUCE!$B199:$DY199,PRODUCE!$EB$36:$IY$36)</f>
        <v>0</v>
      </c>
      <c r="JH194" s="56"/>
      <c r="JI194" s="242">
        <f t="shared" si="1336"/>
        <v>0</v>
      </c>
      <c r="JJ194" s="242">
        <f t="shared" si="1337"/>
        <v>0</v>
      </c>
      <c r="JK194" s="56"/>
      <c r="JN194" s="55">
        <f t="shared" si="1338"/>
        <v>46185</v>
      </c>
      <c r="JO194" s="56"/>
      <c r="JP194" s="242">
        <f>SUMPRODUCT(PRODUCE!$B199:$DY199,PRODUCE!$EB$37:$IY$37)</f>
        <v>1800</v>
      </c>
      <c r="JQ194" s="56">
        <v>180</v>
      </c>
      <c r="JR194" s="242">
        <f t="shared" si="1339"/>
        <v>1620</v>
      </c>
      <c r="JS194" s="242">
        <f t="shared" si="1340"/>
        <v>0</v>
      </c>
      <c r="JT194" s="56">
        <f>JQ194/20</f>
        <v>9</v>
      </c>
      <c r="JW194" s="55">
        <f t="shared" si="1341"/>
        <v>46185</v>
      </c>
      <c r="JX194" s="56"/>
      <c r="JY194" s="242">
        <f>SUMPRODUCT(PRODUCE!$B199:$DY199,PRODUCE!$EB$38:$IY$38)</f>
        <v>0</v>
      </c>
      <c r="JZ194" s="56"/>
      <c r="KA194" s="242">
        <f t="shared" si="1342"/>
        <v>0</v>
      </c>
      <c r="KB194" s="242">
        <f t="shared" si="1343"/>
        <v>2540</v>
      </c>
      <c r="KC194" s="56"/>
      <c r="KF194" s="55">
        <f t="shared" si="1344"/>
        <v>46185</v>
      </c>
      <c r="KG194" s="56"/>
      <c r="KH194" s="242">
        <f>SUMPRODUCT(PRODUCE!$B199:$DY199,PRODUCE!$EB$39:$IY$39)</f>
        <v>0</v>
      </c>
      <c r="KI194" s="56"/>
      <c r="KJ194" s="242">
        <f t="shared" si="1345"/>
        <v>0</v>
      </c>
      <c r="KK194" s="242">
        <f t="shared" si="1346"/>
        <v>2359.5</v>
      </c>
      <c r="KL194" s="56"/>
      <c r="KO194" s="55">
        <f t="shared" si="1347"/>
        <v>46185</v>
      </c>
      <c r="KP194" s="56"/>
      <c r="KQ194" s="242">
        <f>SUMPRODUCT(PRODUCE!$B199:$DY199,PRODUCE!$EB$40:$IY$40)</f>
        <v>0</v>
      </c>
      <c r="KR194" s="56"/>
      <c r="KS194" s="242">
        <f t="shared" si="1348"/>
        <v>0</v>
      </c>
      <c r="KT194" s="242">
        <f t="shared" si="1349"/>
        <v>1890</v>
      </c>
      <c r="KU194" s="56"/>
      <c r="KW194" s="23"/>
      <c r="KX194" s="55">
        <f t="shared" si="1350"/>
        <v>46185</v>
      </c>
      <c r="KY194" s="56"/>
      <c r="KZ194" s="242">
        <f>SUMPRODUCT(PRODUCE!$B199:$DY199,PRODUCE!$EB$41:$IY$41)</f>
        <v>0</v>
      </c>
      <c r="LA194" s="56"/>
      <c r="LB194" s="242">
        <f t="shared" si="1351"/>
        <v>0</v>
      </c>
      <c r="LC194" s="242">
        <f t="shared" si="1352"/>
        <v>3690</v>
      </c>
      <c r="LD194" s="56"/>
      <c r="LG194" s="55">
        <f t="shared" si="1353"/>
        <v>46185</v>
      </c>
      <c r="LH194" s="56"/>
      <c r="LI194" s="242">
        <f>SUMPRODUCT(PRODUCE!$B199:$DY199,PRODUCE!$EB$42:$IY$42)</f>
        <v>0</v>
      </c>
      <c r="LJ194" s="56"/>
      <c r="LK194" s="242">
        <f t="shared" si="1354"/>
        <v>0</v>
      </c>
      <c r="LL194" s="242">
        <f t="shared" si="1355"/>
        <v>4000</v>
      </c>
      <c r="LM194" s="56"/>
      <c r="LP194" s="55">
        <f t="shared" si="1356"/>
        <v>46185</v>
      </c>
      <c r="LQ194" s="56"/>
      <c r="LR194" s="242">
        <f>SUMPRODUCT(PRODUCE!$B199:$DY199,PRODUCE!$EB$43:$IY$43)</f>
        <v>0</v>
      </c>
      <c r="LS194" s="56"/>
      <c r="LT194" s="242">
        <f t="shared" si="1357"/>
        <v>0</v>
      </c>
      <c r="LU194" s="242">
        <f t="shared" si="1358"/>
        <v>0</v>
      </c>
      <c r="LV194" s="56"/>
      <c r="LY194" s="55">
        <f t="shared" si="1359"/>
        <v>46185</v>
      </c>
      <c r="LZ194" s="56"/>
      <c r="MA194" s="242">
        <f>SUMPRODUCT(PRODUCE!$B199:$DY199,PRODUCE!$EB$44:$IY$44)</f>
        <v>0</v>
      </c>
      <c r="MB194" s="56"/>
      <c r="MC194" s="242">
        <f t="shared" si="1360"/>
        <v>0</v>
      </c>
      <c r="MD194" s="242">
        <f t="shared" si="1361"/>
        <v>0</v>
      </c>
      <c r="ME194" s="56"/>
      <c r="MH194" s="55">
        <f t="shared" si="1362"/>
        <v>46185</v>
      </c>
      <c r="MI194" s="56"/>
      <c r="MJ194" s="242">
        <f>SUMPRODUCT(PRODUCE!$B199:$DY199,PRODUCE!$EB$45:$IY$45)</f>
        <v>0</v>
      </c>
      <c r="MK194" s="56"/>
      <c r="ML194" s="242">
        <f t="shared" si="1363"/>
        <v>0</v>
      </c>
      <c r="MM194" s="242">
        <f t="shared" si="1364"/>
        <v>0</v>
      </c>
      <c r="MN194" s="56"/>
      <c r="MQ194" s="55">
        <f t="shared" si="1365"/>
        <v>46185</v>
      </c>
      <c r="MR194" s="56"/>
      <c r="MS194" s="242">
        <f>SUMPRODUCT(PRODUCE!$B199:$DY199,PRODUCE!$EB$46:$IY$46)</f>
        <v>0</v>
      </c>
      <c r="MT194" s="56"/>
      <c r="MU194" s="242">
        <f t="shared" si="1366"/>
        <v>0</v>
      </c>
      <c r="MV194" s="242">
        <f t="shared" si="1367"/>
        <v>3724</v>
      </c>
      <c r="MW194" s="56"/>
      <c r="MZ194" s="55">
        <f t="shared" si="1368"/>
        <v>46185</v>
      </c>
      <c r="NA194" s="56">
        <v>1380</v>
      </c>
      <c r="NB194" s="242">
        <f>SUMPRODUCT(PRODUCE!$B199:$DY199,PRODUCE!$EB$47:$IY$47)</f>
        <v>420</v>
      </c>
      <c r="NC194" s="56">
        <f>120+480+360+270+150</f>
        <v>1380</v>
      </c>
      <c r="ND194" s="242">
        <f t="shared" si="1369"/>
        <v>-960</v>
      </c>
      <c r="NE194" s="242">
        <f t="shared" si="1370"/>
        <v>0</v>
      </c>
      <c r="NF194" s="56"/>
      <c r="NI194" s="55">
        <f t="shared" si="1371"/>
        <v>46185</v>
      </c>
      <c r="NJ194" s="56"/>
      <c r="NK194" s="242">
        <f>SUMPRODUCT(PRODUCE!$B199:$DY199,PRODUCE!$EB$48:$IY$48)</f>
        <v>0</v>
      </c>
      <c r="NL194" s="56"/>
      <c r="NM194" s="242">
        <f t="shared" si="1372"/>
        <v>0</v>
      </c>
      <c r="NN194" s="242">
        <f t="shared" si="1373"/>
        <v>1127</v>
      </c>
      <c r="NO194" s="56"/>
      <c r="NR194" s="55">
        <f t="shared" si="1374"/>
        <v>46185</v>
      </c>
      <c r="NS194" s="56"/>
      <c r="NT194" s="242">
        <f>SUMPRODUCT(PRODUCE!$B199:$DY199,PRODUCE!$EB$49:$IY$49)</f>
        <v>0</v>
      </c>
      <c r="NU194" s="56"/>
      <c r="NV194" s="242">
        <f t="shared" si="1375"/>
        <v>0</v>
      </c>
      <c r="NW194" s="242">
        <f t="shared" si="1376"/>
        <v>3111.9999999999995</v>
      </c>
      <c r="NX194" s="56"/>
      <c r="OA194" s="55">
        <f t="shared" si="1377"/>
        <v>46185</v>
      </c>
      <c r="OB194" s="56"/>
      <c r="OC194" s="242">
        <f>SUMPRODUCT(PRODUCE!$B199:$DY199,PRODUCE!$EB$50:$IY$50)</f>
        <v>0</v>
      </c>
      <c r="OD194" s="56"/>
      <c r="OE194" s="242">
        <f t="shared" si="1378"/>
        <v>0</v>
      </c>
      <c r="OF194" s="242">
        <f t="shared" si="1379"/>
        <v>1680.5</v>
      </c>
      <c r="OG194" s="56"/>
      <c r="OJ194" s="55">
        <f t="shared" si="1380"/>
        <v>46185</v>
      </c>
      <c r="OK194" s="56">
        <v>246</v>
      </c>
      <c r="OL194" s="242">
        <f>SUMPRODUCT(PRODUCE!$B199:$DY199,PRODUCE!$EB$51:$IY$51)</f>
        <v>60</v>
      </c>
      <c r="OM194" s="56">
        <f>28+104+54+60</f>
        <v>246</v>
      </c>
      <c r="ON194" s="242">
        <f t="shared" si="1381"/>
        <v>-186</v>
      </c>
      <c r="OO194" s="242">
        <f t="shared" si="1382"/>
        <v>0</v>
      </c>
      <c r="OP194" s="56"/>
      <c r="OS194" s="55">
        <f t="shared" si="1383"/>
        <v>46185</v>
      </c>
      <c r="OT194" s="56"/>
      <c r="OU194" s="242">
        <f>SUMPRODUCT(PRODUCE!$B199:$DY199,PRODUCE!$EB$52:$IY$52)</f>
        <v>0</v>
      </c>
      <c r="OV194" s="56"/>
      <c r="OW194" s="242">
        <f t="shared" si="1384"/>
        <v>0</v>
      </c>
      <c r="OX194" s="242">
        <f t="shared" si="1385"/>
        <v>1482</v>
      </c>
      <c r="OY194" s="56"/>
      <c r="PB194" s="55">
        <f t="shared" si="1386"/>
        <v>46185</v>
      </c>
      <c r="PC194" s="56"/>
      <c r="PD194" s="242">
        <f>SUMPRODUCT(PRODUCE!$B199:$DY199,PRODUCE!$EB$53:$IY$53)</f>
        <v>0</v>
      </c>
      <c r="PE194" s="56"/>
      <c r="PF194" s="242">
        <f t="shared" si="1387"/>
        <v>0</v>
      </c>
      <c r="PG194" s="242">
        <f t="shared" si="1388"/>
        <v>0</v>
      </c>
      <c r="PH194" s="56"/>
      <c r="PK194" s="55">
        <f t="shared" si="1389"/>
        <v>46185</v>
      </c>
      <c r="PL194" s="56"/>
      <c r="PM194" s="242">
        <f>SUMPRODUCT(PRODUCE!$B199:$DY199,PRODUCE!$EB$54:$IY$54)</f>
        <v>0</v>
      </c>
      <c r="PN194" s="56"/>
      <c r="PO194" s="242">
        <f t="shared" si="1494"/>
        <v>0</v>
      </c>
      <c r="PP194" s="242">
        <f t="shared" si="1495"/>
        <v>100</v>
      </c>
      <c r="PQ194" s="56"/>
      <c r="PT194" s="55">
        <f t="shared" si="1392"/>
        <v>46185</v>
      </c>
      <c r="PU194" s="56"/>
      <c r="PV194" s="242">
        <f>SUMPRODUCT(PRODUCE!$B199:$DY199,PRODUCE!$EB$55:$IY$55)</f>
        <v>0</v>
      </c>
      <c r="PW194" s="56"/>
      <c r="PX194" s="242">
        <f t="shared" si="1393"/>
        <v>0</v>
      </c>
      <c r="PY194" s="242">
        <f t="shared" si="1394"/>
        <v>13.960000000000036</v>
      </c>
      <c r="PZ194" s="56"/>
      <c r="QC194" s="55">
        <f t="shared" si="1395"/>
        <v>46185</v>
      </c>
      <c r="QD194" s="56"/>
      <c r="QE194" s="242">
        <f>SUMPRODUCT(PRODUCE!$B199:$DY199,PRODUCE!$EB$56:$IY$56)</f>
        <v>0</v>
      </c>
      <c r="QF194" s="56"/>
      <c r="QG194" s="242">
        <f t="shared" si="1396"/>
        <v>0</v>
      </c>
      <c r="QH194" s="242">
        <f t="shared" si="1397"/>
        <v>1736</v>
      </c>
      <c r="QI194" s="56"/>
      <c r="QL194" s="55">
        <f t="shared" si="1398"/>
        <v>46185</v>
      </c>
      <c r="QM194" s="56"/>
      <c r="QN194" s="242">
        <f>SUMPRODUCT(PRODUCE!$B199:$DY199,PRODUCE!$EB$57:$IY$57)</f>
        <v>225</v>
      </c>
      <c r="QO194" s="56">
        <v>225</v>
      </c>
      <c r="QP194" s="242">
        <f t="shared" si="1399"/>
        <v>0</v>
      </c>
      <c r="QQ194" s="242">
        <f t="shared" si="1400"/>
        <v>250</v>
      </c>
      <c r="QR194" s="56"/>
      <c r="QU194" s="55">
        <f t="shared" si="1401"/>
        <v>46185</v>
      </c>
      <c r="QV194" s="56"/>
      <c r="QW194" s="242">
        <f>SUMPRODUCT(PRODUCE!$B199:$DY199,PRODUCE!$EB$58:$IY$58)</f>
        <v>0</v>
      </c>
      <c r="QX194" s="56"/>
      <c r="QY194" s="242">
        <f t="shared" si="1402"/>
        <v>0</v>
      </c>
      <c r="QZ194" s="242">
        <f t="shared" si="1403"/>
        <v>207.6</v>
      </c>
      <c r="RA194" s="56"/>
      <c r="RD194" s="55">
        <f t="shared" si="1404"/>
        <v>46185</v>
      </c>
      <c r="RE194" s="56"/>
      <c r="RF194" s="242">
        <f>SUMPRODUCT(PRODUCE!$B199:$DY199,PRODUCE!$EB$59:$IY$59)</f>
        <v>0</v>
      </c>
      <c r="RG194" s="56"/>
      <c r="RH194" s="242">
        <f t="shared" si="1405"/>
        <v>0</v>
      </c>
      <c r="RI194" s="242">
        <f t="shared" si="1406"/>
        <v>147.04000000000002</v>
      </c>
      <c r="RJ194" s="56"/>
      <c r="RM194" s="55">
        <f t="shared" si="1407"/>
        <v>46185</v>
      </c>
      <c r="RN194" s="56"/>
      <c r="RO194" s="242">
        <f>SUMPRODUCT(PRODUCE!$B199:$DY199,PRODUCE!$EB$60:$IY$60)</f>
        <v>0</v>
      </c>
      <c r="RP194" s="56"/>
      <c r="RQ194" s="242">
        <f t="shared" si="1408"/>
        <v>0</v>
      </c>
      <c r="RR194" s="242">
        <f t="shared" si="1409"/>
        <v>46.8</v>
      </c>
      <c r="RS194" s="56"/>
      <c r="RV194" s="55">
        <f t="shared" si="1410"/>
        <v>46185</v>
      </c>
      <c r="RW194" s="56"/>
      <c r="RX194" s="242">
        <f>SUMPRODUCT(PRODUCE!$B199:$DY199,PRODUCE!$EB$61:$IY$61)</f>
        <v>0</v>
      </c>
      <c r="RY194" s="56"/>
      <c r="RZ194" s="242">
        <f t="shared" si="1411"/>
        <v>0</v>
      </c>
      <c r="SA194" s="242">
        <f t="shared" si="1412"/>
        <v>0</v>
      </c>
      <c r="SB194" s="56"/>
      <c r="SE194" s="55">
        <f t="shared" si="1413"/>
        <v>46185</v>
      </c>
      <c r="SF194" s="56"/>
      <c r="SG194" s="242">
        <f>SUMPRODUCT(PRODUCE!$B199:$DY199,PRODUCE!$EB$62:$IY$62)</f>
        <v>0</v>
      </c>
      <c r="SH194" s="56"/>
      <c r="SI194" s="242">
        <f t="shared" si="1414"/>
        <v>0</v>
      </c>
      <c r="SJ194" s="242">
        <f t="shared" si="1415"/>
        <v>24.200000000000003</v>
      </c>
      <c r="SK194" s="56"/>
      <c r="SN194" s="55">
        <f t="shared" si="1416"/>
        <v>46185</v>
      </c>
      <c r="SO194" s="56"/>
      <c r="SP194" s="242">
        <f>SUMPRODUCT(PRODUCE!$B199:$DY199,PRODUCE!$EB$63:$IY$63)</f>
        <v>0</v>
      </c>
      <c r="SQ194" s="56"/>
      <c r="SR194" s="242">
        <f t="shared" si="1417"/>
        <v>0</v>
      </c>
      <c r="SS194" s="242">
        <f t="shared" si="1418"/>
        <v>32</v>
      </c>
      <c r="ST194" s="56"/>
      <c r="SW194" s="55">
        <f t="shared" si="1419"/>
        <v>46185</v>
      </c>
      <c r="SX194" s="56"/>
      <c r="SY194" s="242">
        <f>SUMPRODUCT(PRODUCE!$B199:$DY199,PRODUCE!$EB$64:$IY$64)</f>
        <v>0</v>
      </c>
      <c r="SZ194" s="56"/>
      <c r="TA194" s="242">
        <f t="shared" si="1420"/>
        <v>0</v>
      </c>
      <c r="TB194" s="242">
        <f t="shared" si="1421"/>
        <v>0</v>
      </c>
      <c r="TC194" s="56"/>
      <c r="TF194" s="55">
        <f t="shared" si="1422"/>
        <v>46185</v>
      </c>
      <c r="TG194" s="56">
        <v>30</v>
      </c>
      <c r="TH194" s="242">
        <f>SUMPRODUCT(PRODUCE!$B199:$DY199,PRODUCE!$EB$65:$IY$65)</f>
        <v>30</v>
      </c>
      <c r="TI194" s="56">
        <v>30</v>
      </c>
      <c r="TJ194" s="242">
        <f t="shared" si="1423"/>
        <v>0</v>
      </c>
      <c r="TK194" s="242">
        <f t="shared" si="1424"/>
        <v>0</v>
      </c>
      <c r="TL194" s="56"/>
      <c r="TO194" s="55">
        <f t="shared" si="1425"/>
        <v>46185</v>
      </c>
      <c r="TP194" s="56"/>
      <c r="TQ194" s="242">
        <f>SUMPRODUCT(PRODUCE!$B199:$DY199,PRODUCE!$EB$66:$IY$66)</f>
        <v>0</v>
      </c>
      <c r="TR194" s="56"/>
      <c r="TS194" s="242">
        <f t="shared" si="1426"/>
        <v>0</v>
      </c>
      <c r="TT194" s="242">
        <f t="shared" si="1427"/>
        <v>22.400000000000006</v>
      </c>
      <c r="TU194" s="56"/>
      <c r="TX194" s="55">
        <f t="shared" si="1428"/>
        <v>46185</v>
      </c>
      <c r="TY194" s="56"/>
      <c r="TZ194" s="242">
        <f>SUMPRODUCT(PRODUCE!$B199:$DY199,PRODUCE!$EB$67:$IY$67)</f>
        <v>0</v>
      </c>
      <c r="UA194" s="56"/>
      <c r="UB194" s="242">
        <f t="shared" si="1429"/>
        <v>0</v>
      </c>
      <c r="UC194" s="242">
        <f t="shared" si="1430"/>
        <v>46.799999999999983</v>
      </c>
      <c r="UD194" s="56"/>
      <c r="UG194" s="55">
        <f t="shared" si="1431"/>
        <v>46185</v>
      </c>
      <c r="UH194" s="56"/>
      <c r="UI194" s="242">
        <f>SUMPRODUCT(PRODUCE!$B199:$DY199,PRODUCE!$EB$68:$IY$68)</f>
        <v>0</v>
      </c>
      <c r="UJ194" s="56"/>
      <c r="UK194" s="242">
        <f t="shared" si="1432"/>
        <v>0</v>
      </c>
      <c r="UL194" s="242">
        <f t="shared" si="1433"/>
        <v>204</v>
      </c>
      <c r="UM194" s="56"/>
      <c r="UP194" s="55">
        <f t="shared" si="1434"/>
        <v>46185</v>
      </c>
      <c r="UQ194" s="56"/>
      <c r="UR194" s="242">
        <f>SUMPRODUCT(PRODUCE!$B199:$DY199,PRODUCE!$EB$69:$IY$69)</f>
        <v>0</v>
      </c>
      <c r="US194" s="56"/>
      <c r="UT194" s="242">
        <f t="shared" si="1435"/>
        <v>0</v>
      </c>
      <c r="UU194" s="242">
        <f t="shared" si="1436"/>
        <v>251.25</v>
      </c>
      <c r="UV194" s="56"/>
      <c r="UY194" s="55">
        <f t="shared" si="1437"/>
        <v>46185</v>
      </c>
      <c r="UZ194" s="56"/>
      <c r="VA194" s="242">
        <f>SUMPRODUCT(PRODUCE!$B199:$DY199,PRODUCE!$EB$70:$IY$70)</f>
        <v>0</v>
      </c>
      <c r="VB194" s="56"/>
      <c r="VC194" s="242">
        <f t="shared" si="1438"/>
        <v>0</v>
      </c>
      <c r="VD194" s="242">
        <f t="shared" si="1439"/>
        <v>41.600000000000023</v>
      </c>
      <c r="VE194" s="56"/>
      <c r="VH194" s="55">
        <f t="shared" si="1440"/>
        <v>46185</v>
      </c>
      <c r="VI194" s="56"/>
      <c r="VJ194" s="242">
        <f>SUMPRODUCT(PRODUCE!$B199:$DY199,PRODUCE!$EB$71:$IY$71)</f>
        <v>0</v>
      </c>
      <c r="VK194" s="56"/>
      <c r="VL194" s="242">
        <f t="shared" si="1441"/>
        <v>0</v>
      </c>
      <c r="VM194" s="242">
        <f t="shared" si="1442"/>
        <v>210</v>
      </c>
      <c r="VN194" s="56"/>
      <c r="VQ194" s="55">
        <f t="shared" si="1443"/>
        <v>46185</v>
      </c>
      <c r="VR194" s="56"/>
      <c r="VS194" s="242">
        <f>SUMPRODUCT(PRODUCE!$B199:$DY199,PRODUCE!$EB$57:$IY$57)</f>
        <v>225</v>
      </c>
      <c r="VT194" s="56"/>
      <c r="VU194" s="242">
        <f t="shared" si="1444"/>
        <v>225</v>
      </c>
      <c r="VV194" s="242">
        <f t="shared" si="1445"/>
        <v>0</v>
      </c>
      <c r="VW194" s="56"/>
      <c r="VZ194" s="55">
        <f t="shared" si="1446"/>
        <v>46185</v>
      </c>
      <c r="WA194" s="56"/>
      <c r="WB194" s="242">
        <f>SUMPRODUCT(PRODUCE!$B199:$DY199,PRODUCE!$EB$57:$IY$57)</f>
        <v>225</v>
      </c>
      <c r="WC194" s="56"/>
      <c r="WD194" s="242">
        <f t="shared" si="1447"/>
        <v>225</v>
      </c>
      <c r="WE194" s="242">
        <f t="shared" si="1448"/>
        <v>0</v>
      </c>
      <c r="WF194" s="56"/>
      <c r="WI194" s="55">
        <f t="shared" si="1449"/>
        <v>46185</v>
      </c>
      <c r="WJ194" s="422"/>
      <c r="WK194" s="540">
        <f>SUMPRODUCT(PRODUCE!$B199:$DY199,PRODUCE!$EB$74:$IY$74)</f>
        <v>0</v>
      </c>
      <c r="WL194" s="422"/>
      <c r="WM194" s="540">
        <f t="shared" si="1450"/>
        <v>0</v>
      </c>
      <c r="WN194" s="540">
        <f t="shared" si="1451"/>
        <v>1199</v>
      </c>
      <c r="WO194" s="56"/>
      <c r="WR194" s="55">
        <f t="shared" si="1452"/>
        <v>46185</v>
      </c>
      <c r="WS194" s="422"/>
      <c r="WT194" s="540">
        <f>SUMPRODUCT(PRODUCE!$B199:$DY199,PRODUCE!$EB$75:$IY$75)</f>
        <v>0</v>
      </c>
      <c r="WU194" s="422"/>
      <c r="WV194" s="540">
        <f t="shared" si="1453"/>
        <v>0</v>
      </c>
      <c r="WW194" s="540">
        <f t="shared" si="1454"/>
        <v>0</v>
      </c>
      <c r="WX194" s="56"/>
      <c r="XA194" s="55">
        <f t="shared" si="1455"/>
        <v>46185</v>
      </c>
      <c r="XB194" s="422"/>
      <c r="XC194" s="540">
        <f>SUMPRODUCT(PRODUCE!$B199:$DY199,PRODUCE!$EB$76:$IY$76)</f>
        <v>0</v>
      </c>
      <c r="XD194" s="422"/>
      <c r="XE194" s="540">
        <f t="shared" si="1456"/>
        <v>0</v>
      </c>
      <c r="XF194" s="540">
        <f t="shared" si="1457"/>
        <v>6813</v>
      </c>
      <c r="XG194" s="56"/>
      <c r="XJ194" s="55">
        <f t="shared" si="1458"/>
        <v>46185</v>
      </c>
      <c r="XK194" s="422"/>
      <c r="XL194" s="540">
        <f>SUMPRODUCT(PRODUCE!$B199:$DY199,PRODUCE!$EB$77:$IY$77)</f>
        <v>0</v>
      </c>
      <c r="XM194" s="422"/>
      <c r="XN194" s="540">
        <f t="shared" si="1459"/>
        <v>0</v>
      </c>
      <c r="XO194" s="540">
        <f t="shared" si="1460"/>
        <v>6117</v>
      </c>
      <c r="XP194" s="56"/>
      <c r="XS194" s="55">
        <f t="shared" si="1461"/>
        <v>46185</v>
      </c>
      <c r="XT194" s="56"/>
      <c r="XU194" s="242">
        <f>SUMPRODUCT(PRODUCE!$B199:$DY199,PRODUCE!$EB$78:$IY$78)</f>
        <v>0</v>
      </c>
      <c r="XV194" s="56"/>
      <c r="XW194" s="242">
        <f t="shared" si="1462"/>
        <v>0</v>
      </c>
      <c r="XX194" s="242">
        <f t="shared" si="1463"/>
        <v>1621</v>
      </c>
      <c r="XY194" s="56"/>
      <c r="YB194" s="55">
        <f t="shared" si="1464"/>
        <v>46185</v>
      </c>
      <c r="YC194" s="56"/>
      <c r="YD194" s="242">
        <f>SUMPRODUCT(PRODUCE!$B199:$DY199,PRODUCE!$EB$79:$IY$79)</f>
        <v>0</v>
      </c>
      <c r="YE194" s="56">
        <v>1011</v>
      </c>
      <c r="YF194" s="242">
        <f t="shared" si="1465"/>
        <v>-1011</v>
      </c>
      <c r="YG194" s="242">
        <f t="shared" si="1466"/>
        <v>4072</v>
      </c>
      <c r="YH194" s="56"/>
      <c r="YK194" s="55">
        <f t="shared" si="1467"/>
        <v>46185</v>
      </c>
      <c r="YL194" s="56"/>
      <c r="YM194" s="242">
        <f>SUMPRODUCT(PRODUCE!$B199:$DY199,PRODUCE!$EB$80:$IY$80)</f>
        <v>0</v>
      </c>
      <c r="YN194" s="56"/>
      <c r="YO194" s="242">
        <f t="shared" si="1468"/>
        <v>0</v>
      </c>
      <c r="YP194" s="242">
        <f t="shared" si="1469"/>
        <v>0</v>
      </c>
      <c r="YQ194" s="56"/>
      <c r="YT194" s="55">
        <f t="shared" si="1470"/>
        <v>46185</v>
      </c>
      <c r="YU194" s="56"/>
      <c r="YV194" s="242">
        <f>SUMPRODUCT(PRODUCE!$B199:$DY199,PRODUCE!$EB$57:$IY$57)</f>
        <v>225</v>
      </c>
      <c r="YW194" s="56"/>
      <c r="YX194" s="242">
        <f t="shared" si="1471"/>
        <v>225</v>
      </c>
      <c r="YY194" s="242">
        <f t="shared" si="1472"/>
        <v>0</v>
      </c>
      <c r="YZ194" s="56"/>
      <c r="ZC194" s="55">
        <f t="shared" si="1473"/>
        <v>46185</v>
      </c>
      <c r="ZD194" s="56"/>
      <c r="ZE194" s="242">
        <f>SUMPRODUCT(PRODUCE!$B199:$DY199,PRODUCE!$EB$57:$IY$57)</f>
        <v>225</v>
      </c>
      <c r="ZF194" s="56"/>
      <c r="ZG194" s="242">
        <f t="shared" si="1474"/>
        <v>225</v>
      </c>
      <c r="ZH194" s="242">
        <f t="shared" si="1475"/>
        <v>0</v>
      </c>
      <c r="ZI194" s="56"/>
      <c r="ZL194" s="55">
        <f t="shared" si="1476"/>
        <v>46185</v>
      </c>
      <c r="ZM194" s="56"/>
      <c r="ZN194" s="242">
        <f>SUMPRODUCT(PRODUCE!$B199:$DY199,PRODUCE!$EB$57:$IY$57)</f>
        <v>225</v>
      </c>
      <c r="ZO194" s="56"/>
      <c r="ZP194" s="242">
        <f t="shared" si="1477"/>
        <v>225</v>
      </c>
      <c r="ZQ194" s="242">
        <f t="shared" si="1478"/>
        <v>0</v>
      </c>
      <c r="ZR194" s="56"/>
      <c r="ZU194" s="55">
        <f t="shared" si="1479"/>
        <v>46185</v>
      </c>
      <c r="ZV194" s="56"/>
      <c r="ZW194" s="242">
        <f>SUMPRODUCT(PRODUCE!$B199:$DY199,PRODUCE!$EB$57:$IY$57)</f>
        <v>225</v>
      </c>
      <c r="ZX194" s="56"/>
      <c r="ZY194" s="242">
        <f t="shared" si="1480"/>
        <v>225</v>
      </c>
      <c r="ZZ194" s="242">
        <f t="shared" si="1481"/>
        <v>0</v>
      </c>
      <c r="AAA194" s="56"/>
      <c r="AAD194" s="55">
        <f t="shared" si="1482"/>
        <v>46185</v>
      </c>
      <c r="AAE194" s="56"/>
      <c r="AAF194" s="242">
        <f>SUMPRODUCT(PRODUCE!$B199:$DY199,PRODUCE!$EB$57:$IY$57)</f>
        <v>225</v>
      </c>
      <c r="AAG194" s="56"/>
      <c r="AAH194" s="242">
        <f t="shared" si="1483"/>
        <v>225</v>
      </c>
      <c r="AAI194" s="242">
        <f t="shared" si="1484"/>
        <v>0</v>
      </c>
      <c r="AAJ194" s="56"/>
      <c r="AAM194" s="55">
        <f t="shared" si="1485"/>
        <v>46185</v>
      </c>
      <c r="AAN194" s="56"/>
      <c r="AAO194" s="242">
        <f>SUMPRODUCT(PRODUCE!$B199:$DY199,PRODUCE!$EB$57:$IY$57)</f>
        <v>225</v>
      </c>
      <c r="AAP194" s="56"/>
      <c r="AAQ194" s="242">
        <f t="shared" si="1486"/>
        <v>225</v>
      </c>
      <c r="AAR194" s="242">
        <f t="shared" si="1487"/>
        <v>0</v>
      </c>
      <c r="AAS194" s="56"/>
      <c r="AAV194" s="55">
        <f t="shared" si="1488"/>
        <v>46185</v>
      </c>
      <c r="AAW194" s="56"/>
      <c r="AAX194" s="242">
        <f>SUMPRODUCT(PRODUCE!$B199:$DY199,PRODUCE!$EB$57:$IY$57)</f>
        <v>225</v>
      </c>
      <c r="AAY194" s="56"/>
      <c r="AAZ194" s="242">
        <f t="shared" si="1489"/>
        <v>225</v>
      </c>
      <c r="ABA194" s="242">
        <f t="shared" si="1490"/>
        <v>0</v>
      </c>
      <c r="ABB194" s="56"/>
      <c r="ABE194" s="55">
        <f t="shared" si="1491"/>
        <v>46185</v>
      </c>
      <c r="ABF194" s="56"/>
      <c r="ABG194" s="242">
        <f>SUMPRODUCT(PRODUCE!$B199:$DY199,PRODUCE!$EB$57:$IY$57)</f>
        <v>225</v>
      </c>
      <c r="ABH194" s="56"/>
      <c r="ABI194" s="242">
        <f t="shared" si="1492"/>
        <v>225</v>
      </c>
      <c r="ABJ194" s="242">
        <f t="shared" si="1493"/>
        <v>0</v>
      </c>
      <c r="ABK194" s="56"/>
    </row>
    <row r="195" spans="2:739" s="54" customFormat="1" ht="15" customHeight="1" outlineLevel="1">
      <c r="B195" s="478">
        <f>6+30</f>
        <v>36</v>
      </c>
      <c r="C195" s="55">
        <v>46186</v>
      </c>
      <c r="D195" s="422">
        <v>26250</v>
      </c>
      <c r="E195" s="423">
        <f>SUMPRODUCT(PRODUCE!$B200:$DY200,PRODUCE!$EB$7:$IY$7)</f>
        <v>19421.849999999999</v>
      </c>
      <c r="F195" s="422">
        <v>19422.8</v>
      </c>
      <c r="G195" s="423">
        <f t="shared" si="1249"/>
        <v>-0.9500000000007276</v>
      </c>
      <c r="H195" s="423">
        <f t="shared" si="1250"/>
        <v>102715.60000000006</v>
      </c>
      <c r="I195" s="289" t="s">
        <v>287</v>
      </c>
      <c r="L195" s="55">
        <f t="shared" si="1251"/>
        <v>46186</v>
      </c>
      <c r="M195" s="422"/>
      <c r="N195" s="438">
        <f>SUMPRODUCT(PRODUCE!$B200:$DY200,PRODUCE!$EB$8:$IY$8)</f>
        <v>10940.970000000001</v>
      </c>
      <c r="O195" s="422">
        <v>10939.2</v>
      </c>
      <c r="P195" s="438">
        <f t="shared" si="1252"/>
        <v>1.7700000000004366</v>
      </c>
      <c r="Q195" s="438">
        <f t="shared" si="1253"/>
        <v>60622.000000000073</v>
      </c>
      <c r="R195" s="56"/>
      <c r="U195" s="55">
        <f t="shared" si="1254"/>
        <v>46186</v>
      </c>
      <c r="V195" s="422"/>
      <c r="W195" s="440">
        <f>SUMPRODUCT(PRODUCE!$B200:$DY200,PRODUCE!$EB$9:$IY$9)</f>
        <v>2100</v>
      </c>
      <c r="X195" s="422">
        <v>2101.6999999999998</v>
      </c>
      <c r="Y195" s="440">
        <f t="shared" si="1255"/>
        <v>-1.6999999999998181</v>
      </c>
      <c r="Z195" s="440">
        <f t="shared" si="1256"/>
        <v>44329.699999999983</v>
      </c>
      <c r="AA195" s="56"/>
      <c r="AD195" s="55">
        <f t="shared" si="1257"/>
        <v>46186</v>
      </c>
      <c r="AE195" s="422"/>
      <c r="AF195" s="442">
        <f>SUMPRODUCT(PRODUCE!$B200:$DY200,PRODUCE!$EB$10:$IY$10)</f>
        <v>0</v>
      </c>
      <c r="AG195" s="422"/>
      <c r="AH195" s="442">
        <f t="shared" si="1258"/>
        <v>0</v>
      </c>
      <c r="AI195" s="442">
        <f t="shared" si="1259"/>
        <v>33372.700000000019</v>
      </c>
      <c r="AJ195" s="56"/>
      <c r="AM195" s="55">
        <f t="shared" si="1260"/>
        <v>46186</v>
      </c>
      <c r="AN195" s="422"/>
      <c r="AO195" s="444">
        <f>SUMPRODUCT(PRODUCE!$B200:$DY200,PRODUCE!$EB$11:$IY$11)</f>
        <v>0</v>
      </c>
      <c r="AP195" s="422"/>
      <c r="AQ195" s="444">
        <f t="shared" si="1261"/>
        <v>0</v>
      </c>
      <c r="AR195" s="444">
        <f t="shared" si="1262"/>
        <v>0</v>
      </c>
      <c r="AS195" s="56"/>
      <c r="AV195" s="55">
        <f t="shared" si="1263"/>
        <v>46186</v>
      </c>
      <c r="AW195" s="422"/>
      <c r="AX195" s="446">
        <f>SUMPRODUCT(PRODUCE!$B200:$DY200,PRODUCE!$EB$12:$IY$12)</f>
        <v>0</v>
      </c>
      <c r="AY195" s="422"/>
      <c r="AZ195" s="446">
        <f t="shared" si="1264"/>
        <v>0</v>
      </c>
      <c r="BA195" s="446">
        <f t="shared" si="1265"/>
        <v>14066.499999999996</v>
      </c>
      <c r="BB195" s="56"/>
      <c r="BE195" s="55">
        <f t="shared" si="1266"/>
        <v>46186</v>
      </c>
      <c r="BF195" s="422"/>
      <c r="BG195" s="448">
        <f>SUMPRODUCT(PRODUCE!$B200:$DY200,PRODUCE!$EB$13:$IY$13)</f>
        <v>0</v>
      </c>
      <c r="BH195" s="422"/>
      <c r="BI195" s="448">
        <f t="shared" si="1267"/>
        <v>0</v>
      </c>
      <c r="BJ195" s="448">
        <f t="shared" si="1268"/>
        <v>39235.399999999994</v>
      </c>
      <c r="BK195" s="56"/>
      <c r="BN195" s="55">
        <f t="shared" si="1269"/>
        <v>46186</v>
      </c>
      <c r="BO195" s="422">
        <v>150.1</v>
      </c>
      <c r="BP195" s="450">
        <f>SUMPRODUCT(PRODUCE!$B200:$DY200,PRODUCE!$EB$14:$IY$14)</f>
        <v>150</v>
      </c>
      <c r="BQ195" s="422">
        <v>150.1</v>
      </c>
      <c r="BR195" s="450">
        <f t="shared" si="1270"/>
        <v>-9.9999999999994316E-2</v>
      </c>
      <c r="BS195" s="450">
        <f t="shared" si="1271"/>
        <v>0</v>
      </c>
      <c r="BT195" s="56"/>
      <c r="BW195" s="55">
        <f t="shared" si="1272"/>
        <v>46186</v>
      </c>
      <c r="BX195" s="422"/>
      <c r="BY195" s="523">
        <f>SUMPRODUCT(PRODUCE!$B200:$DY200,PRODUCE!$EB$15:$IY$15)</f>
        <v>291.3</v>
      </c>
      <c r="BZ195" s="422"/>
      <c r="CA195" s="523">
        <f t="shared" si="1273"/>
        <v>291.3</v>
      </c>
      <c r="CB195" s="523">
        <f t="shared" si="1274"/>
        <v>3585.4999999999991</v>
      </c>
      <c r="CC195" s="56"/>
      <c r="CF195" s="55">
        <f t="shared" si="1275"/>
        <v>46186</v>
      </c>
      <c r="CG195" s="422"/>
      <c r="CH195" s="524">
        <f>SUMPRODUCT(PRODUCE!$B200:$DY200,PRODUCE!$EB$16:$IY$16)</f>
        <v>0</v>
      </c>
      <c r="CI195" s="422"/>
      <c r="CJ195" s="524">
        <f t="shared" si="1276"/>
        <v>0</v>
      </c>
      <c r="CK195" s="524">
        <f t="shared" si="1277"/>
        <v>0</v>
      </c>
      <c r="CL195" s="56"/>
      <c r="CO195" s="55">
        <f t="shared" si="1278"/>
        <v>46186</v>
      </c>
      <c r="CP195" s="422"/>
      <c r="CQ195" s="470">
        <f>SUMPRODUCT(PRODUCE!$B200:$DY200,PRODUCE!$EB$17:$IY$17)</f>
        <v>0</v>
      </c>
      <c r="CR195" s="422"/>
      <c r="CS195" s="470">
        <f t="shared" si="1279"/>
        <v>0</v>
      </c>
      <c r="CT195" s="470">
        <f t="shared" si="1280"/>
        <v>0</v>
      </c>
      <c r="CU195" s="56"/>
      <c r="CX195" s="55">
        <f t="shared" si="1281"/>
        <v>46186</v>
      </c>
      <c r="CY195" s="422"/>
      <c r="CZ195" s="525">
        <f>SUMPRODUCT(PRODUCE!$B200:$DY200,PRODUCE!$EB$18:$IY$18)</f>
        <v>720</v>
      </c>
      <c r="DA195" s="422">
        <v>720.3</v>
      </c>
      <c r="DB195" s="525">
        <f t="shared" si="1282"/>
        <v>-0.29999999999995453</v>
      </c>
      <c r="DC195" s="525">
        <f t="shared" si="1283"/>
        <v>16623.500000000007</v>
      </c>
      <c r="DD195" s="56"/>
      <c r="DG195" s="55">
        <f t="shared" si="1284"/>
        <v>46186</v>
      </c>
      <c r="DH195" s="422"/>
      <c r="DI195" s="526">
        <f>SUMPRODUCT(PRODUCE!$B200:$DY200,PRODUCE!$EB$19:$IY$19)</f>
        <v>0</v>
      </c>
      <c r="DJ195" s="422"/>
      <c r="DK195" s="526">
        <f t="shared" si="1285"/>
        <v>0</v>
      </c>
      <c r="DL195" s="526">
        <f t="shared" si="1286"/>
        <v>35234.999999999985</v>
      </c>
      <c r="DM195" s="56"/>
      <c r="DP195" s="55">
        <f t="shared" si="1287"/>
        <v>46186</v>
      </c>
      <c r="DQ195" s="56"/>
      <c r="DR195" s="57">
        <f>SUMPRODUCT(PRODUCE!$B200:$DY200,PRODUCE!$EB$20:$IY$20)</f>
        <v>0</v>
      </c>
      <c r="DS195" s="56"/>
      <c r="DT195" s="57">
        <f t="shared" si="1288"/>
        <v>0</v>
      </c>
      <c r="DU195" s="57">
        <f t="shared" si="1289"/>
        <v>5800</v>
      </c>
      <c r="DV195" s="56"/>
      <c r="DY195" s="55">
        <f t="shared" si="1290"/>
        <v>46186</v>
      </c>
      <c r="DZ195" s="56"/>
      <c r="EA195" s="157">
        <f>SUMPRODUCT(PRODUCE!$B200:$DY200,PRODUCE!$EB$21:$IY$21)</f>
        <v>0</v>
      </c>
      <c r="EB195" s="56"/>
      <c r="EC195" s="157">
        <f t="shared" si="1291"/>
        <v>0</v>
      </c>
      <c r="ED195" s="157">
        <f t="shared" si="1292"/>
        <v>0</v>
      </c>
      <c r="EE195" s="56"/>
      <c r="EH195" s="55">
        <f t="shared" si="1293"/>
        <v>46186</v>
      </c>
      <c r="EI195" s="56"/>
      <c r="EJ195" s="162">
        <f>SUMPRODUCT(PRODUCE!$B200:$DY200,PRODUCE!$EB$22:$IY$22)</f>
        <v>0</v>
      </c>
      <c r="EK195" s="56"/>
      <c r="EL195" s="162">
        <f t="shared" si="1294"/>
        <v>0</v>
      </c>
      <c r="EM195" s="162">
        <f t="shared" si="1295"/>
        <v>0</v>
      </c>
      <c r="EN195" s="56"/>
      <c r="EQ195" s="55">
        <f t="shared" si="1296"/>
        <v>46186</v>
      </c>
      <c r="ER195" s="56"/>
      <c r="ES195" s="135">
        <f>SUMPRODUCT(PRODUCE!$B200:$DY200,PRODUCE!$EB$23:$IY$23)</f>
        <v>0</v>
      </c>
      <c r="ET195" s="56"/>
      <c r="EU195" s="135">
        <f t="shared" si="1297"/>
        <v>0</v>
      </c>
      <c r="EV195" s="135">
        <f t="shared" si="1298"/>
        <v>0</v>
      </c>
      <c r="EW195" s="56"/>
      <c r="EZ195" s="55">
        <f t="shared" si="1299"/>
        <v>46186</v>
      </c>
      <c r="FA195" s="56"/>
      <c r="FB195" s="175">
        <f>SUMPRODUCT(PRODUCE!$B200:$DY200,PRODUCE!$EB$24:$IY$24)</f>
        <v>0</v>
      </c>
      <c r="FC195" s="56"/>
      <c r="FD195" s="175">
        <f t="shared" si="1300"/>
        <v>0</v>
      </c>
      <c r="FE195" s="175">
        <f t="shared" si="1301"/>
        <v>0</v>
      </c>
      <c r="FF195" s="56"/>
      <c r="FI195" s="55">
        <f t="shared" si="1302"/>
        <v>46186</v>
      </c>
      <c r="FJ195" s="56"/>
      <c r="FK195" s="183">
        <f>SUMPRODUCT(PRODUCE!$B200:$DY200,PRODUCE!$EB$25:$IY$25)</f>
        <v>0</v>
      </c>
      <c r="FL195" s="56"/>
      <c r="FM195" s="183">
        <f t="shared" si="1303"/>
        <v>0</v>
      </c>
      <c r="FN195" s="183">
        <f t="shared" si="1304"/>
        <v>0</v>
      </c>
      <c r="FO195" s="56"/>
      <c r="FR195" s="55">
        <f t="shared" si="1305"/>
        <v>46186</v>
      </c>
      <c r="FS195" s="56"/>
      <c r="FT195" s="186">
        <f>SUMPRODUCT(PRODUCE!$B200:$DY200,PRODUCE!$EB$26:$IY$26)</f>
        <v>0</v>
      </c>
      <c r="FU195" s="56"/>
      <c r="FV195" s="186">
        <f t="shared" si="1306"/>
        <v>0</v>
      </c>
      <c r="FW195" s="186">
        <f t="shared" si="1307"/>
        <v>1160</v>
      </c>
      <c r="FX195" s="56"/>
      <c r="GA195" s="55">
        <f t="shared" si="1308"/>
        <v>46186</v>
      </c>
      <c r="GB195" s="56"/>
      <c r="GC195" s="137">
        <f>SUMPRODUCT(PRODUCE!$B200:$DY200,PRODUCE!$EB$27:$IY$27)</f>
        <v>0</v>
      </c>
      <c r="GD195" s="56"/>
      <c r="GE195" s="137">
        <f t="shared" si="1309"/>
        <v>0</v>
      </c>
      <c r="GF195" s="137">
        <f t="shared" si="1310"/>
        <v>960</v>
      </c>
      <c r="GG195" s="56"/>
      <c r="GI195" s="23"/>
      <c r="GJ195" s="55">
        <f t="shared" si="1311"/>
        <v>46186</v>
      </c>
      <c r="GK195" s="56"/>
      <c r="GL195" s="199">
        <f>SUMPRODUCT(PRODUCE!$B200:$DY200,PRODUCE!$EB$28:$IY$28)</f>
        <v>0</v>
      </c>
      <c r="GM195" s="56"/>
      <c r="GN195" s="199">
        <f t="shared" si="1312"/>
        <v>0</v>
      </c>
      <c r="GO195" s="199">
        <f t="shared" si="1313"/>
        <v>1760</v>
      </c>
      <c r="GP195" s="56"/>
      <c r="GS195" s="55">
        <f t="shared" si="1314"/>
        <v>46186</v>
      </c>
      <c r="GT195" s="56"/>
      <c r="GU195" s="195">
        <f>SUMPRODUCT(PRODUCE!$B200:$DY200,PRODUCE!$EB$29:$IY$29)</f>
        <v>0</v>
      </c>
      <c r="GV195" s="56"/>
      <c r="GW195" s="195">
        <f t="shared" si="1315"/>
        <v>0</v>
      </c>
      <c r="GX195" s="195">
        <f t="shared" si="1316"/>
        <v>400</v>
      </c>
      <c r="GY195" s="56"/>
      <c r="HB195" s="55">
        <f t="shared" si="1317"/>
        <v>46186</v>
      </c>
      <c r="HC195" s="56"/>
      <c r="HD195" s="191">
        <f>SUMPRODUCT(PRODUCE!$B200:$DY200,PRODUCE!$EB$30:$IY$30)</f>
        <v>0</v>
      </c>
      <c r="HE195" s="56"/>
      <c r="HF195" s="191">
        <f t="shared" si="1318"/>
        <v>0</v>
      </c>
      <c r="HG195" s="191">
        <f t="shared" si="1319"/>
        <v>3600</v>
      </c>
      <c r="HH195" s="56"/>
      <c r="HK195" s="55">
        <f t="shared" si="1320"/>
        <v>46186</v>
      </c>
      <c r="HL195" s="56"/>
      <c r="HM195" s="63">
        <f>SUMPRODUCT(PRODUCE!$B200:$DY200,PRODUCE!$EB$31:$IY$31)</f>
        <v>0</v>
      </c>
      <c r="HN195" s="56"/>
      <c r="HO195" s="63">
        <f t="shared" si="1321"/>
        <v>0</v>
      </c>
      <c r="HP195" s="63">
        <f t="shared" si="1322"/>
        <v>0</v>
      </c>
      <c r="HQ195" s="56"/>
      <c r="HU195" s="55">
        <f t="shared" si="1323"/>
        <v>46186</v>
      </c>
      <c r="HV195" s="56"/>
      <c r="HW195" s="242">
        <f>SUMPRODUCT(PRODUCE!$B200:$DY200,PRODUCE!$EB$32:$IY$32)</f>
        <v>0</v>
      </c>
      <c r="HX195" s="56"/>
      <c r="HY195" s="242">
        <f t="shared" si="1324"/>
        <v>0</v>
      </c>
      <c r="HZ195" s="242">
        <f t="shared" si="1325"/>
        <v>6800</v>
      </c>
      <c r="IA195" s="56"/>
      <c r="ID195" s="55">
        <f t="shared" si="1326"/>
        <v>46186</v>
      </c>
      <c r="IE195" s="56"/>
      <c r="IF195" s="242">
        <f>SUMPRODUCT(PRODUCE!$B200:$DY200,PRODUCE!$EB$33:$IY$33)</f>
        <v>0</v>
      </c>
      <c r="IG195" s="56"/>
      <c r="IH195" s="242">
        <f t="shared" si="1327"/>
        <v>0</v>
      </c>
      <c r="II195" s="242">
        <f t="shared" si="1328"/>
        <v>720</v>
      </c>
      <c r="IJ195" s="56"/>
      <c r="IM195" s="55">
        <f t="shared" si="1329"/>
        <v>46186</v>
      </c>
      <c r="IN195" s="56"/>
      <c r="IO195" s="242">
        <f>SUMPRODUCT(PRODUCE!$B200:$DY200,PRODUCE!$EB$34:$IY$34)</f>
        <v>0</v>
      </c>
      <c r="IP195" s="56"/>
      <c r="IQ195" s="242">
        <f t="shared" si="1330"/>
        <v>0</v>
      </c>
      <c r="IR195" s="242">
        <f t="shared" si="1331"/>
        <v>6520</v>
      </c>
      <c r="IS195" s="56"/>
      <c r="IV195" s="55">
        <f t="shared" si="1332"/>
        <v>46186</v>
      </c>
      <c r="IW195" s="56"/>
      <c r="IX195" s="242">
        <f>SUMPRODUCT(PRODUCE!$B200:$DY200,PRODUCE!$EB$35:$IY$35)</f>
        <v>0</v>
      </c>
      <c r="IY195" s="56"/>
      <c r="IZ195" s="242">
        <f t="shared" si="1333"/>
        <v>0</v>
      </c>
      <c r="JA195" s="242">
        <f t="shared" si="1334"/>
        <v>4960</v>
      </c>
      <c r="JB195" s="56"/>
      <c r="JE195" s="55">
        <f t="shared" si="1335"/>
        <v>46186</v>
      </c>
      <c r="JF195" s="56"/>
      <c r="JG195" s="242">
        <f>SUMPRODUCT(PRODUCE!$B200:$DY200,PRODUCE!$EB$36:$IY$36)</f>
        <v>0</v>
      </c>
      <c r="JH195" s="56"/>
      <c r="JI195" s="242">
        <f t="shared" si="1336"/>
        <v>0</v>
      </c>
      <c r="JJ195" s="242">
        <f t="shared" si="1337"/>
        <v>0</v>
      </c>
      <c r="JK195" s="56"/>
      <c r="JN195" s="55">
        <f t="shared" si="1338"/>
        <v>46186</v>
      </c>
      <c r="JO195" s="56"/>
      <c r="JP195" s="242">
        <f>SUMPRODUCT(PRODUCE!$B200:$DY200,PRODUCE!$EB$37:$IY$37)</f>
        <v>0</v>
      </c>
      <c r="JQ195" s="56"/>
      <c r="JR195" s="242">
        <f t="shared" si="1339"/>
        <v>0</v>
      </c>
      <c r="JS195" s="242">
        <f t="shared" si="1340"/>
        <v>0</v>
      </c>
      <c r="JT195" s="56"/>
      <c r="JW195" s="55">
        <f t="shared" si="1341"/>
        <v>46186</v>
      </c>
      <c r="JX195" s="56"/>
      <c r="JY195" s="242">
        <f>SUMPRODUCT(PRODUCE!$B200:$DY200,PRODUCE!$EB$38:$IY$38)</f>
        <v>0</v>
      </c>
      <c r="JZ195" s="56"/>
      <c r="KA195" s="242">
        <f t="shared" si="1342"/>
        <v>0</v>
      </c>
      <c r="KB195" s="242">
        <f t="shared" si="1343"/>
        <v>2540</v>
      </c>
      <c r="KC195" s="56"/>
      <c r="KF195" s="55">
        <f t="shared" si="1344"/>
        <v>46186</v>
      </c>
      <c r="KG195" s="56"/>
      <c r="KH195" s="242">
        <f>SUMPRODUCT(PRODUCE!$B200:$DY200,PRODUCE!$EB$39:$IY$39)</f>
        <v>0</v>
      </c>
      <c r="KI195" s="56"/>
      <c r="KJ195" s="242">
        <f t="shared" si="1345"/>
        <v>0</v>
      </c>
      <c r="KK195" s="242">
        <f t="shared" si="1346"/>
        <v>2359.5</v>
      </c>
      <c r="KL195" s="56"/>
      <c r="KO195" s="55">
        <f t="shared" si="1347"/>
        <v>46186</v>
      </c>
      <c r="KP195" s="56"/>
      <c r="KQ195" s="242">
        <f>SUMPRODUCT(PRODUCE!$B200:$DY200,PRODUCE!$EB$40:$IY$40)</f>
        <v>0</v>
      </c>
      <c r="KR195" s="56"/>
      <c r="KS195" s="242">
        <f t="shared" si="1348"/>
        <v>0</v>
      </c>
      <c r="KT195" s="242">
        <f t="shared" si="1349"/>
        <v>1890</v>
      </c>
      <c r="KU195" s="56"/>
      <c r="KW195" s="23"/>
      <c r="KX195" s="55">
        <f t="shared" si="1350"/>
        <v>46186</v>
      </c>
      <c r="KY195" s="56"/>
      <c r="KZ195" s="242">
        <f>SUMPRODUCT(PRODUCE!$B200:$DY200,PRODUCE!$EB$41:$IY$41)</f>
        <v>0</v>
      </c>
      <c r="LA195" s="56"/>
      <c r="LB195" s="242">
        <f t="shared" si="1351"/>
        <v>0</v>
      </c>
      <c r="LC195" s="242">
        <f t="shared" si="1352"/>
        <v>3690</v>
      </c>
      <c r="LD195" s="56"/>
      <c r="LG195" s="55">
        <f t="shared" si="1353"/>
        <v>46186</v>
      </c>
      <c r="LH195" s="56"/>
      <c r="LI195" s="242">
        <f>SUMPRODUCT(PRODUCE!$B200:$DY200,PRODUCE!$EB$42:$IY$42)</f>
        <v>0</v>
      </c>
      <c r="LJ195" s="56"/>
      <c r="LK195" s="242">
        <f t="shared" si="1354"/>
        <v>0</v>
      </c>
      <c r="LL195" s="242">
        <f t="shared" si="1355"/>
        <v>4000</v>
      </c>
      <c r="LM195" s="56"/>
      <c r="LP195" s="55">
        <f t="shared" si="1356"/>
        <v>46186</v>
      </c>
      <c r="LQ195" s="56"/>
      <c r="LR195" s="242">
        <f>SUMPRODUCT(PRODUCE!$B200:$DY200,PRODUCE!$EB$43:$IY$43)</f>
        <v>0</v>
      </c>
      <c r="LS195" s="56"/>
      <c r="LT195" s="242">
        <f t="shared" si="1357"/>
        <v>0</v>
      </c>
      <c r="LU195" s="242">
        <f t="shared" si="1358"/>
        <v>0</v>
      </c>
      <c r="LV195" s="56"/>
      <c r="LY195" s="55">
        <f t="shared" si="1359"/>
        <v>46186</v>
      </c>
      <c r="LZ195" s="56"/>
      <c r="MA195" s="242">
        <f>SUMPRODUCT(PRODUCE!$B200:$DY200,PRODUCE!$EB$44:$IY$44)</f>
        <v>0</v>
      </c>
      <c r="MB195" s="56"/>
      <c r="MC195" s="242">
        <f t="shared" si="1360"/>
        <v>0</v>
      </c>
      <c r="MD195" s="242">
        <f t="shared" si="1361"/>
        <v>0</v>
      </c>
      <c r="ME195" s="56"/>
      <c r="MH195" s="55">
        <f t="shared" si="1362"/>
        <v>46186</v>
      </c>
      <c r="MI195" s="56"/>
      <c r="MJ195" s="242">
        <f>SUMPRODUCT(PRODUCE!$B200:$DY200,PRODUCE!$EB$45:$IY$45)</f>
        <v>0</v>
      </c>
      <c r="MK195" s="56"/>
      <c r="ML195" s="242">
        <f t="shared" si="1363"/>
        <v>0</v>
      </c>
      <c r="MM195" s="242">
        <f t="shared" si="1364"/>
        <v>0</v>
      </c>
      <c r="MN195" s="56"/>
      <c r="MQ195" s="55">
        <f t="shared" si="1365"/>
        <v>46186</v>
      </c>
      <c r="MR195" s="56"/>
      <c r="MS195" s="242">
        <f>SUMPRODUCT(PRODUCE!$B200:$DY200,PRODUCE!$EB$46:$IY$46)</f>
        <v>0</v>
      </c>
      <c r="MT195" s="56"/>
      <c r="MU195" s="242">
        <f t="shared" si="1366"/>
        <v>0</v>
      </c>
      <c r="MV195" s="242">
        <f t="shared" si="1367"/>
        <v>3724</v>
      </c>
      <c r="MW195" s="56"/>
      <c r="MZ195" s="55">
        <f t="shared" si="1368"/>
        <v>46186</v>
      </c>
      <c r="NA195" s="56"/>
      <c r="NB195" s="242">
        <f>SUMPRODUCT(PRODUCE!$B200:$DY200,PRODUCE!$EB$47:$IY$47)</f>
        <v>0</v>
      </c>
      <c r="NC195" s="56"/>
      <c r="ND195" s="242">
        <f t="shared" si="1369"/>
        <v>0</v>
      </c>
      <c r="NE195" s="242">
        <f t="shared" si="1370"/>
        <v>0</v>
      </c>
      <c r="NF195" s="56"/>
      <c r="NI195" s="55">
        <f t="shared" si="1371"/>
        <v>46186</v>
      </c>
      <c r="NJ195" s="56"/>
      <c r="NK195" s="242">
        <f>SUMPRODUCT(PRODUCE!$B200:$DY200,PRODUCE!$EB$48:$IY$48)</f>
        <v>0</v>
      </c>
      <c r="NL195" s="56"/>
      <c r="NM195" s="242">
        <f t="shared" si="1372"/>
        <v>0</v>
      </c>
      <c r="NN195" s="242">
        <f t="shared" si="1373"/>
        <v>1127</v>
      </c>
      <c r="NO195" s="56"/>
      <c r="NR195" s="55">
        <f t="shared" si="1374"/>
        <v>46186</v>
      </c>
      <c r="NS195" s="56"/>
      <c r="NT195" s="242">
        <f>SUMPRODUCT(PRODUCE!$B200:$DY200,PRODUCE!$EB$49:$IY$49)</f>
        <v>0</v>
      </c>
      <c r="NU195" s="56"/>
      <c r="NV195" s="242">
        <f t="shared" si="1375"/>
        <v>0</v>
      </c>
      <c r="NW195" s="242">
        <f t="shared" si="1376"/>
        <v>3111.9999999999995</v>
      </c>
      <c r="NX195" s="56"/>
      <c r="OA195" s="55">
        <f t="shared" si="1377"/>
        <v>46186</v>
      </c>
      <c r="OB195" s="56"/>
      <c r="OC195" s="242">
        <f>SUMPRODUCT(PRODUCE!$B200:$DY200,PRODUCE!$EB$50:$IY$50)</f>
        <v>0</v>
      </c>
      <c r="OD195" s="56"/>
      <c r="OE195" s="242">
        <f t="shared" si="1378"/>
        <v>0</v>
      </c>
      <c r="OF195" s="242">
        <f t="shared" si="1379"/>
        <v>1680.5</v>
      </c>
      <c r="OG195" s="56"/>
      <c r="OJ195" s="55">
        <f t="shared" si="1380"/>
        <v>46186</v>
      </c>
      <c r="OK195" s="56"/>
      <c r="OL195" s="242">
        <f>SUMPRODUCT(PRODUCE!$B200:$DY200,PRODUCE!$EB$51:$IY$51)</f>
        <v>0</v>
      </c>
      <c r="OM195" s="56"/>
      <c r="ON195" s="242">
        <f t="shared" si="1381"/>
        <v>0</v>
      </c>
      <c r="OO195" s="242">
        <f t="shared" si="1382"/>
        <v>0</v>
      </c>
      <c r="OP195" s="56"/>
      <c r="OS195" s="55">
        <f t="shared" si="1383"/>
        <v>46186</v>
      </c>
      <c r="OT195" s="56"/>
      <c r="OU195" s="242">
        <f>SUMPRODUCT(PRODUCE!$B200:$DY200,PRODUCE!$EB$52:$IY$52)</f>
        <v>0</v>
      </c>
      <c r="OV195" s="56"/>
      <c r="OW195" s="242">
        <f t="shared" si="1384"/>
        <v>0</v>
      </c>
      <c r="OX195" s="242">
        <f t="shared" si="1385"/>
        <v>1482</v>
      </c>
      <c r="OY195" s="56"/>
      <c r="PB195" s="55">
        <f t="shared" si="1386"/>
        <v>46186</v>
      </c>
      <c r="PC195" s="56"/>
      <c r="PD195" s="242">
        <f>SUMPRODUCT(PRODUCE!$B200:$DY200,PRODUCE!$EB$53:$IY$53)</f>
        <v>0</v>
      </c>
      <c r="PE195" s="56"/>
      <c r="PF195" s="242">
        <f t="shared" si="1387"/>
        <v>0</v>
      </c>
      <c r="PG195" s="242">
        <f t="shared" si="1388"/>
        <v>0</v>
      </c>
      <c r="PH195" s="56"/>
      <c r="PK195" s="55">
        <f t="shared" si="1389"/>
        <v>46186</v>
      </c>
      <c r="PL195" s="56"/>
      <c r="PM195" s="242">
        <f>SUMPRODUCT(PRODUCE!$B200:$DY200,PRODUCE!$EB$54:$IY$54)</f>
        <v>0</v>
      </c>
      <c r="PN195" s="56"/>
      <c r="PO195" s="242">
        <f t="shared" si="1494"/>
        <v>0</v>
      </c>
      <c r="PP195" s="242">
        <f t="shared" si="1495"/>
        <v>100</v>
      </c>
      <c r="PQ195" s="56"/>
      <c r="PT195" s="55">
        <f t="shared" si="1392"/>
        <v>46186</v>
      </c>
      <c r="PU195" s="56"/>
      <c r="PV195" s="242">
        <f>SUMPRODUCT(PRODUCE!$B200:$DY200,PRODUCE!$EB$55:$IY$55)</f>
        <v>0</v>
      </c>
      <c r="PW195" s="56"/>
      <c r="PX195" s="242">
        <f t="shared" si="1393"/>
        <v>0</v>
      </c>
      <c r="PY195" s="242">
        <f t="shared" si="1394"/>
        <v>13.960000000000036</v>
      </c>
      <c r="PZ195" s="56"/>
      <c r="QC195" s="55">
        <f t="shared" si="1395"/>
        <v>46186</v>
      </c>
      <c r="QD195" s="56"/>
      <c r="QE195" s="242">
        <f>SUMPRODUCT(PRODUCE!$B200:$DY200,PRODUCE!$EB$56:$IY$56)</f>
        <v>0</v>
      </c>
      <c r="QF195" s="56"/>
      <c r="QG195" s="242">
        <f t="shared" si="1396"/>
        <v>0</v>
      </c>
      <c r="QH195" s="242">
        <f t="shared" si="1397"/>
        <v>1736</v>
      </c>
      <c r="QI195" s="56"/>
      <c r="QL195" s="55">
        <f t="shared" si="1398"/>
        <v>46186</v>
      </c>
      <c r="QM195" s="56"/>
      <c r="QN195" s="242">
        <f>SUMPRODUCT(PRODUCE!$B200:$DY200,PRODUCE!$EB$57:$IY$57)</f>
        <v>0</v>
      </c>
      <c r="QO195" s="56"/>
      <c r="QP195" s="242">
        <f t="shared" si="1399"/>
        <v>0</v>
      </c>
      <c r="QQ195" s="242">
        <f t="shared" si="1400"/>
        <v>250</v>
      </c>
      <c r="QR195" s="56"/>
      <c r="QU195" s="55">
        <f t="shared" si="1401"/>
        <v>46186</v>
      </c>
      <c r="QV195" s="56"/>
      <c r="QW195" s="242">
        <f>SUMPRODUCT(PRODUCE!$B200:$DY200,PRODUCE!$EB$58:$IY$58)</f>
        <v>0</v>
      </c>
      <c r="QX195" s="56"/>
      <c r="QY195" s="242">
        <f t="shared" si="1402"/>
        <v>0</v>
      </c>
      <c r="QZ195" s="242">
        <f t="shared" si="1403"/>
        <v>207.6</v>
      </c>
      <c r="RA195" s="56"/>
      <c r="RD195" s="55">
        <f t="shared" si="1404"/>
        <v>46186</v>
      </c>
      <c r="RE195" s="56"/>
      <c r="RF195" s="242">
        <f>SUMPRODUCT(PRODUCE!$B200:$DY200,PRODUCE!$EB$59:$IY$59)</f>
        <v>0</v>
      </c>
      <c r="RG195" s="56"/>
      <c r="RH195" s="242">
        <f t="shared" si="1405"/>
        <v>0</v>
      </c>
      <c r="RI195" s="242">
        <f t="shared" si="1406"/>
        <v>147.04000000000002</v>
      </c>
      <c r="RJ195" s="56"/>
      <c r="RM195" s="55">
        <f t="shared" si="1407"/>
        <v>46186</v>
      </c>
      <c r="RN195" s="56"/>
      <c r="RO195" s="242">
        <f>SUMPRODUCT(PRODUCE!$B200:$DY200,PRODUCE!$EB$60:$IY$60)</f>
        <v>0</v>
      </c>
      <c r="RP195" s="56"/>
      <c r="RQ195" s="242">
        <f t="shared" si="1408"/>
        <v>0</v>
      </c>
      <c r="RR195" s="242">
        <f t="shared" si="1409"/>
        <v>46.8</v>
      </c>
      <c r="RS195" s="56"/>
      <c r="RV195" s="55">
        <f t="shared" si="1410"/>
        <v>46186</v>
      </c>
      <c r="RW195" s="56"/>
      <c r="RX195" s="242">
        <f>SUMPRODUCT(PRODUCE!$B200:$DY200,PRODUCE!$EB$61:$IY$61)</f>
        <v>0</v>
      </c>
      <c r="RY195" s="56"/>
      <c r="RZ195" s="242">
        <f t="shared" si="1411"/>
        <v>0</v>
      </c>
      <c r="SA195" s="242">
        <f t="shared" si="1412"/>
        <v>0</v>
      </c>
      <c r="SB195" s="56"/>
      <c r="SE195" s="55">
        <f t="shared" si="1413"/>
        <v>46186</v>
      </c>
      <c r="SF195" s="56"/>
      <c r="SG195" s="242">
        <f>SUMPRODUCT(PRODUCE!$B200:$DY200,PRODUCE!$EB$62:$IY$62)</f>
        <v>0</v>
      </c>
      <c r="SH195" s="56"/>
      <c r="SI195" s="242">
        <f t="shared" si="1414"/>
        <v>0</v>
      </c>
      <c r="SJ195" s="242">
        <f t="shared" si="1415"/>
        <v>24.200000000000003</v>
      </c>
      <c r="SK195" s="56"/>
      <c r="SN195" s="55">
        <f t="shared" si="1416"/>
        <v>46186</v>
      </c>
      <c r="SO195" s="56"/>
      <c r="SP195" s="242">
        <f>SUMPRODUCT(PRODUCE!$B200:$DY200,PRODUCE!$EB$63:$IY$63)</f>
        <v>0</v>
      </c>
      <c r="SQ195" s="56"/>
      <c r="SR195" s="242">
        <f t="shared" si="1417"/>
        <v>0</v>
      </c>
      <c r="SS195" s="242">
        <f t="shared" si="1418"/>
        <v>32</v>
      </c>
      <c r="ST195" s="56"/>
      <c r="SW195" s="55">
        <f t="shared" si="1419"/>
        <v>46186</v>
      </c>
      <c r="SX195" s="56"/>
      <c r="SY195" s="242">
        <f>SUMPRODUCT(PRODUCE!$B200:$DY200,PRODUCE!$EB$64:$IY$64)</f>
        <v>0</v>
      </c>
      <c r="SZ195" s="56"/>
      <c r="TA195" s="242">
        <f t="shared" si="1420"/>
        <v>0</v>
      </c>
      <c r="TB195" s="242">
        <f t="shared" si="1421"/>
        <v>0</v>
      </c>
      <c r="TC195" s="56"/>
      <c r="TF195" s="55">
        <f t="shared" si="1422"/>
        <v>46186</v>
      </c>
      <c r="TG195" s="56"/>
      <c r="TH195" s="242">
        <f>SUMPRODUCT(PRODUCE!$B200:$DY200,PRODUCE!$EB$65:$IY$65)</f>
        <v>0</v>
      </c>
      <c r="TI195" s="56"/>
      <c r="TJ195" s="242">
        <f t="shared" si="1423"/>
        <v>0</v>
      </c>
      <c r="TK195" s="242">
        <f t="shared" si="1424"/>
        <v>0</v>
      </c>
      <c r="TL195" s="56"/>
      <c r="TO195" s="55">
        <f t="shared" si="1425"/>
        <v>46186</v>
      </c>
      <c r="TP195" s="56"/>
      <c r="TQ195" s="242">
        <f>SUMPRODUCT(PRODUCE!$B200:$DY200,PRODUCE!$EB$66:$IY$66)</f>
        <v>0</v>
      </c>
      <c r="TR195" s="56"/>
      <c r="TS195" s="242">
        <f t="shared" si="1426"/>
        <v>0</v>
      </c>
      <c r="TT195" s="242">
        <f t="shared" si="1427"/>
        <v>22.400000000000006</v>
      </c>
      <c r="TU195" s="56"/>
      <c r="TX195" s="55">
        <f t="shared" si="1428"/>
        <v>46186</v>
      </c>
      <c r="TY195" s="56"/>
      <c r="TZ195" s="242">
        <f>SUMPRODUCT(PRODUCE!$B200:$DY200,PRODUCE!$EB$67:$IY$67)</f>
        <v>0</v>
      </c>
      <c r="UA195" s="56"/>
      <c r="UB195" s="242">
        <f t="shared" si="1429"/>
        <v>0</v>
      </c>
      <c r="UC195" s="242">
        <f t="shared" si="1430"/>
        <v>46.799999999999983</v>
      </c>
      <c r="UD195" s="56"/>
      <c r="UG195" s="55">
        <f t="shared" si="1431"/>
        <v>46186</v>
      </c>
      <c r="UH195" s="56"/>
      <c r="UI195" s="242">
        <f>SUMPRODUCT(PRODUCE!$B200:$DY200,PRODUCE!$EB$68:$IY$68)</f>
        <v>0</v>
      </c>
      <c r="UJ195" s="56"/>
      <c r="UK195" s="242">
        <f t="shared" si="1432"/>
        <v>0</v>
      </c>
      <c r="UL195" s="242">
        <f t="shared" si="1433"/>
        <v>204</v>
      </c>
      <c r="UM195" s="56"/>
      <c r="UP195" s="55">
        <f t="shared" si="1434"/>
        <v>46186</v>
      </c>
      <c r="UQ195" s="56"/>
      <c r="UR195" s="242">
        <f>SUMPRODUCT(PRODUCE!$B200:$DY200,PRODUCE!$EB$69:$IY$69)</f>
        <v>0</v>
      </c>
      <c r="US195" s="56"/>
      <c r="UT195" s="242">
        <f t="shared" si="1435"/>
        <v>0</v>
      </c>
      <c r="UU195" s="242">
        <f t="shared" si="1436"/>
        <v>251.25</v>
      </c>
      <c r="UV195" s="56"/>
      <c r="UY195" s="55">
        <f t="shared" si="1437"/>
        <v>46186</v>
      </c>
      <c r="UZ195" s="56"/>
      <c r="VA195" s="242">
        <f>SUMPRODUCT(PRODUCE!$B200:$DY200,PRODUCE!$EB$70:$IY$70)</f>
        <v>0</v>
      </c>
      <c r="VB195" s="56"/>
      <c r="VC195" s="242">
        <f t="shared" si="1438"/>
        <v>0</v>
      </c>
      <c r="VD195" s="242">
        <f t="shared" si="1439"/>
        <v>41.600000000000023</v>
      </c>
      <c r="VE195" s="56"/>
      <c r="VH195" s="55">
        <f t="shared" si="1440"/>
        <v>46186</v>
      </c>
      <c r="VI195" s="56"/>
      <c r="VJ195" s="242">
        <f>SUMPRODUCT(PRODUCE!$B200:$DY200,PRODUCE!$EB$71:$IY$71)</f>
        <v>0</v>
      </c>
      <c r="VK195" s="56"/>
      <c r="VL195" s="242">
        <f t="shared" si="1441"/>
        <v>0</v>
      </c>
      <c r="VM195" s="242">
        <f t="shared" si="1442"/>
        <v>210</v>
      </c>
      <c r="VN195" s="56"/>
      <c r="VQ195" s="55">
        <f t="shared" si="1443"/>
        <v>46186</v>
      </c>
      <c r="VR195" s="56"/>
      <c r="VS195" s="242">
        <f>SUMPRODUCT(PRODUCE!$B200:$DY200,PRODUCE!$EB$57:$IY$57)</f>
        <v>0</v>
      </c>
      <c r="VT195" s="56"/>
      <c r="VU195" s="242">
        <f t="shared" si="1444"/>
        <v>0</v>
      </c>
      <c r="VV195" s="242">
        <f t="shared" si="1445"/>
        <v>0</v>
      </c>
      <c r="VW195" s="56"/>
      <c r="VZ195" s="55">
        <f t="shared" si="1446"/>
        <v>46186</v>
      </c>
      <c r="WA195" s="56"/>
      <c r="WB195" s="242">
        <f>SUMPRODUCT(PRODUCE!$B200:$DY200,PRODUCE!$EB$57:$IY$57)</f>
        <v>0</v>
      </c>
      <c r="WC195" s="56"/>
      <c r="WD195" s="242">
        <f t="shared" si="1447"/>
        <v>0</v>
      </c>
      <c r="WE195" s="242">
        <f t="shared" si="1448"/>
        <v>0</v>
      </c>
      <c r="WF195" s="56"/>
      <c r="WI195" s="55">
        <f t="shared" si="1449"/>
        <v>46186</v>
      </c>
      <c r="WJ195" s="422"/>
      <c r="WK195" s="540">
        <f>SUMPRODUCT(PRODUCE!$B200:$DY200,PRODUCE!$EB$74:$IY$74)</f>
        <v>0</v>
      </c>
      <c r="WL195" s="422"/>
      <c r="WM195" s="540">
        <f t="shared" si="1450"/>
        <v>0</v>
      </c>
      <c r="WN195" s="540">
        <f t="shared" si="1451"/>
        <v>1199</v>
      </c>
      <c r="WO195" s="56"/>
      <c r="WR195" s="55">
        <f t="shared" si="1452"/>
        <v>46186</v>
      </c>
      <c r="WS195" s="422"/>
      <c r="WT195" s="540">
        <f>SUMPRODUCT(PRODUCE!$B200:$DY200,PRODUCE!$EB$75:$IY$75)</f>
        <v>0</v>
      </c>
      <c r="WU195" s="422"/>
      <c r="WV195" s="540">
        <f t="shared" si="1453"/>
        <v>0</v>
      </c>
      <c r="WW195" s="540">
        <f t="shared" si="1454"/>
        <v>0</v>
      </c>
      <c r="WX195" s="56"/>
      <c r="XA195" s="55">
        <f t="shared" si="1455"/>
        <v>46186</v>
      </c>
      <c r="XB195" s="422"/>
      <c r="XC195" s="540">
        <f>SUMPRODUCT(PRODUCE!$B200:$DY200,PRODUCE!$EB$76:$IY$76)</f>
        <v>0</v>
      </c>
      <c r="XD195" s="422"/>
      <c r="XE195" s="540">
        <f t="shared" si="1456"/>
        <v>0</v>
      </c>
      <c r="XF195" s="540">
        <f t="shared" si="1457"/>
        <v>6813</v>
      </c>
      <c r="XG195" s="56"/>
      <c r="XJ195" s="55">
        <f t="shared" si="1458"/>
        <v>46186</v>
      </c>
      <c r="XK195" s="422"/>
      <c r="XL195" s="540">
        <f>SUMPRODUCT(PRODUCE!$B200:$DY200,PRODUCE!$EB$77:$IY$77)</f>
        <v>0</v>
      </c>
      <c r="XM195" s="422">
        <f>123+277</f>
        <v>400</v>
      </c>
      <c r="XN195" s="540">
        <f t="shared" si="1459"/>
        <v>-400</v>
      </c>
      <c r="XO195" s="540">
        <f t="shared" si="1460"/>
        <v>5717</v>
      </c>
      <c r="XP195" s="56"/>
      <c r="XS195" s="55">
        <f t="shared" si="1461"/>
        <v>46186</v>
      </c>
      <c r="XT195" s="56"/>
      <c r="XU195" s="242">
        <f>SUMPRODUCT(PRODUCE!$B200:$DY200,PRODUCE!$EB$78:$IY$78)</f>
        <v>0</v>
      </c>
      <c r="XV195" s="56"/>
      <c r="XW195" s="242">
        <f t="shared" si="1462"/>
        <v>0</v>
      </c>
      <c r="XX195" s="242">
        <f t="shared" si="1463"/>
        <v>1621</v>
      </c>
      <c r="XY195" s="56"/>
      <c r="YB195" s="55">
        <f t="shared" si="1464"/>
        <v>46186</v>
      </c>
      <c r="YC195" s="56"/>
      <c r="YD195" s="242">
        <f>SUMPRODUCT(PRODUCE!$B200:$DY200,PRODUCE!$EB$79:$IY$79)</f>
        <v>0</v>
      </c>
      <c r="YE195" s="56"/>
      <c r="YF195" s="242">
        <f t="shared" si="1465"/>
        <v>0</v>
      </c>
      <c r="YG195" s="242">
        <f t="shared" si="1466"/>
        <v>4072</v>
      </c>
      <c r="YH195" s="56"/>
      <c r="YK195" s="55">
        <f t="shared" si="1467"/>
        <v>46186</v>
      </c>
      <c r="YL195" s="56"/>
      <c r="YM195" s="242">
        <f>SUMPRODUCT(PRODUCE!$B200:$DY200,PRODUCE!$EB$80:$IY$80)</f>
        <v>0</v>
      </c>
      <c r="YN195" s="56"/>
      <c r="YO195" s="242">
        <f t="shared" si="1468"/>
        <v>0</v>
      </c>
      <c r="YP195" s="242">
        <f t="shared" si="1469"/>
        <v>0</v>
      </c>
      <c r="YQ195" s="56"/>
      <c r="YT195" s="55">
        <f t="shared" si="1470"/>
        <v>46186</v>
      </c>
      <c r="YU195" s="56"/>
      <c r="YV195" s="242">
        <f>SUMPRODUCT(PRODUCE!$B200:$DY200,PRODUCE!$EB$57:$IY$57)</f>
        <v>0</v>
      </c>
      <c r="YW195" s="56"/>
      <c r="YX195" s="242">
        <f t="shared" si="1471"/>
        <v>0</v>
      </c>
      <c r="YY195" s="242">
        <f t="shared" si="1472"/>
        <v>0</v>
      </c>
      <c r="YZ195" s="56"/>
      <c r="ZC195" s="55">
        <f t="shared" si="1473"/>
        <v>46186</v>
      </c>
      <c r="ZD195" s="56"/>
      <c r="ZE195" s="242">
        <f>SUMPRODUCT(PRODUCE!$B200:$DY200,PRODUCE!$EB$57:$IY$57)</f>
        <v>0</v>
      </c>
      <c r="ZF195" s="56"/>
      <c r="ZG195" s="242">
        <f t="shared" si="1474"/>
        <v>0</v>
      </c>
      <c r="ZH195" s="242">
        <f t="shared" si="1475"/>
        <v>0</v>
      </c>
      <c r="ZI195" s="56"/>
      <c r="ZL195" s="55">
        <f t="shared" si="1476"/>
        <v>46186</v>
      </c>
      <c r="ZM195" s="56"/>
      <c r="ZN195" s="242">
        <f>SUMPRODUCT(PRODUCE!$B200:$DY200,PRODUCE!$EB$57:$IY$57)</f>
        <v>0</v>
      </c>
      <c r="ZO195" s="56"/>
      <c r="ZP195" s="242">
        <f t="shared" si="1477"/>
        <v>0</v>
      </c>
      <c r="ZQ195" s="242">
        <f t="shared" si="1478"/>
        <v>0</v>
      </c>
      <c r="ZR195" s="56"/>
      <c r="ZU195" s="55">
        <f t="shared" si="1479"/>
        <v>46186</v>
      </c>
      <c r="ZV195" s="56"/>
      <c r="ZW195" s="242">
        <f>SUMPRODUCT(PRODUCE!$B200:$DY200,PRODUCE!$EB$57:$IY$57)</f>
        <v>0</v>
      </c>
      <c r="ZX195" s="56"/>
      <c r="ZY195" s="242">
        <f t="shared" si="1480"/>
        <v>0</v>
      </c>
      <c r="ZZ195" s="242">
        <f t="shared" si="1481"/>
        <v>0</v>
      </c>
      <c r="AAA195" s="56"/>
      <c r="AAD195" s="55">
        <f t="shared" si="1482"/>
        <v>46186</v>
      </c>
      <c r="AAE195" s="56"/>
      <c r="AAF195" s="242">
        <f>SUMPRODUCT(PRODUCE!$B200:$DY200,PRODUCE!$EB$57:$IY$57)</f>
        <v>0</v>
      </c>
      <c r="AAG195" s="56"/>
      <c r="AAH195" s="242">
        <f t="shared" si="1483"/>
        <v>0</v>
      </c>
      <c r="AAI195" s="242">
        <f t="shared" si="1484"/>
        <v>0</v>
      </c>
      <c r="AAJ195" s="56"/>
      <c r="AAM195" s="55">
        <f t="shared" si="1485"/>
        <v>46186</v>
      </c>
      <c r="AAN195" s="56"/>
      <c r="AAO195" s="242">
        <f>SUMPRODUCT(PRODUCE!$B200:$DY200,PRODUCE!$EB$57:$IY$57)</f>
        <v>0</v>
      </c>
      <c r="AAP195" s="56"/>
      <c r="AAQ195" s="242">
        <f t="shared" si="1486"/>
        <v>0</v>
      </c>
      <c r="AAR195" s="242">
        <f t="shared" si="1487"/>
        <v>0</v>
      </c>
      <c r="AAS195" s="56"/>
      <c r="AAV195" s="55">
        <f t="shared" si="1488"/>
        <v>46186</v>
      </c>
      <c r="AAW195" s="56"/>
      <c r="AAX195" s="242">
        <f>SUMPRODUCT(PRODUCE!$B200:$DY200,PRODUCE!$EB$57:$IY$57)</f>
        <v>0</v>
      </c>
      <c r="AAY195" s="56"/>
      <c r="AAZ195" s="242">
        <f t="shared" si="1489"/>
        <v>0</v>
      </c>
      <c r="ABA195" s="242">
        <f t="shared" si="1490"/>
        <v>0</v>
      </c>
      <c r="ABB195" s="56"/>
      <c r="ABE195" s="55">
        <f t="shared" si="1491"/>
        <v>46186</v>
      </c>
      <c r="ABF195" s="56"/>
      <c r="ABG195" s="242">
        <f>SUMPRODUCT(PRODUCE!$B200:$DY200,PRODUCE!$EB$57:$IY$57)</f>
        <v>0</v>
      </c>
      <c r="ABH195" s="56"/>
      <c r="ABI195" s="242">
        <f t="shared" si="1492"/>
        <v>0</v>
      </c>
      <c r="ABJ195" s="242">
        <f t="shared" si="1493"/>
        <v>0</v>
      </c>
      <c r="ABK195" s="56"/>
    </row>
    <row r="196" spans="2:739" s="54" customFormat="1" ht="15" customHeight="1" outlineLevel="1">
      <c r="B196" s="478"/>
      <c r="C196" s="55">
        <v>46187</v>
      </c>
      <c r="D196" s="422"/>
      <c r="E196" s="423">
        <f>SUMPRODUCT(PRODUCE!$B201:$DY201,PRODUCE!$EB$7:$IY$7)</f>
        <v>0</v>
      </c>
      <c r="F196" s="422"/>
      <c r="G196" s="423">
        <f t="shared" si="1249"/>
        <v>0</v>
      </c>
      <c r="H196" s="423">
        <f t="shared" si="1250"/>
        <v>102715.60000000006</v>
      </c>
      <c r="I196" s="289"/>
      <c r="L196" s="55">
        <f t="shared" si="1251"/>
        <v>46187</v>
      </c>
      <c r="M196" s="422"/>
      <c r="N196" s="438">
        <f>SUMPRODUCT(PRODUCE!$B201:$DY201,PRODUCE!$EB$8:$IY$8)</f>
        <v>0</v>
      </c>
      <c r="O196" s="422"/>
      <c r="P196" s="438">
        <f t="shared" si="1252"/>
        <v>0</v>
      </c>
      <c r="Q196" s="438">
        <f t="shared" si="1253"/>
        <v>60622.000000000073</v>
      </c>
      <c r="R196" s="56"/>
      <c r="U196" s="55">
        <f t="shared" si="1254"/>
        <v>46187</v>
      </c>
      <c r="V196" s="422"/>
      <c r="W196" s="440">
        <f>SUMPRODUCT(PRODUCE!$B201:$DY201,PRODUCE!$EB$9:$IY$9)</f>
        <v>0</v>
      </c>
      <c r="X196" s="422"/>
      <c r="Y196" s="440">
        <f t="shared" si="1255"/>
        <v>0</v>
      </c>
      <c r="Z196" s="440">
        <f t="shared" si="1256"/>
        <v>44329.699999999983</v>
      </c>
      <c r="AA196" s="56"/>
      <c r="AD196" s="55">
        <f t="shared" si="1257"/>
        <v>46187</v>
      </c>
      <c r="AE196" s="422"/>
      <c r="AF196" s="442">
        <f>SUMPRODUCT(PRODUCE!$B201:$DY201,PRODUCE!$EB$10:$IY$10)</f>
        <v>0</v>
      </c>
      <c r="AG196" s="422"/>
      <c r="AH196" s="442">
        <f t="shared" si="1258"/>
        <v>0</v>
      </c>
      <c r="AI196" s="442">
        <f t="shared" si="1259"/>
        <v>33372.700000000019</v>
      </c>
      <c r="AJ196" s="56"/>
      <c r="AM196" s="55">
        <f t="shared" si="1260"/>
        <v>46187</v>
      </c>
      <c r="AN196" s="422"/>
      <c r="AO196" s="444">
        <f>SUMPRODUCT(PRODUCE!$B201:$DY201,PRODUCE!$EB$11:$IY$11)</f>
        <v>0</v>
      </c>
      <c r="AP196" s="422"/>
      <c r="AQ196" s="444">
        <f t="shared" si="1261"/>
        <v>0</v>
      </c>
      <c r="AR196" s="444">
        <f t="shared" si="1262"/>
        <v>0</v>
      </c>
      <c r="AS196" s="56"/>
      <c r="AV196" s="55">
        <f t="shared" si="1263"/>
        <v>46187</v>
      </c>
      <c r="AW196" s="422"/>
      <c r="AX196" s="446">
        <f>SUMPRODUCT(PRODUCE!$B201:$DY201,PRODUCE!$EB$12:$IY$12)</f>
        <v>0</v>
      </c>
      <c r="AY196" s="422"/>
      <c r="AZ196" s="446">
        <f t="shared" si="1264"/>
        <v>0</v>
      </c>
      <c r="BA196" s="446">
        <f t="shared" si="1265"/>
        <v>14066.499999999996</v>
      </c>
      <c r="BB196" s="56"/>
      <c r="BE196" s="55">
        <f t="shared" si="1266"/>
        <v>46187</v>
      </c>
      <c r="BF196" s="422"/>
      <c r="BG196" s="448">
        <f>SUMPRODUCT(PRODUCE!$B201:$DY201,PRODUCE!$EB$13:$IY$13)</f>
        <v>0</v>
      </c>
      <c r="BH196" s="422"/>
      <c r="BI196" s="448">
        <f t="shared" si="1267"/>
        <v>0</v>
      </c>
      <c r="BJ196" s="448">
        <f t="shared" si="1268"/>
        <v>39235.399999999994</v>
      </c>
      <c r="BK196" s="56"/>
      <c r="BN196" s="55">
        <f t="shared" si="1269"/>
        <v>46187</v>
      </c>
      <c r="BO196" s="422"/>
      <c r="BP196" s="450">
        <f>SUMPRODUCT(PRODUCE!$B201:$DY201,PRODUCE!$EB$14:$IY$14)</f>
        <v>0</v>
      </c>
      <c r="BQ196" s="422"/>
      <c r="BR196" s="450">
        <f t="shared" si="1270"/>
        <v>0</v>
      </c>
      <c r="BS196" s="450">
        <f t="shared" si="1271"/>
        <v>0</v>
      </c>
      <c r="BT196" s="56"/>
      <c r="BW196" s="55">
        <f t="shared" si="1272"/>
        <v>46187</v>
      </c>
      <c r="BX196" s="422"/>
      <c r="BY196" s="523">
        <f>SUMPRODUCT(PRODUCE!$B201:$DY201,PRODUCE!$EB$15:$IY$15)</f>
        <v>0</v>
      </c>
      <c r="BZ196" s="422"/>
      <c r="CA196" s="523">
        <f t="shared" si="1273"/>
        <v>0</v>
      </c>
      <c r="CB196" s="523">
        <f t="shared" si="1274"/>
        <v>3585.4999999999991</v>
      </c>
      <c r="CC196" s="56"/>
      <c r="CF196" s="55">
        <f t="shared" si="1275"/>
        <v>46187</v>
      </c>
      <c r="CG196" s="422"/>
      <c r="CH196" s="524">
        <f>SUMPRODUCT(PRODUCE!$B201:$DY201,PRODUCE!$EB$16:$IY$16)</f>
        <v>0</v>
      </c>
      <c r="CI196" s="422"/>
      <c r="CJ196" s="524">
        <f t="shared" si="1276"/>
        <v>0</v>
      </c>
      <c r="CK196" s="524">
        <f t="shared" si="1277"/>
        <v>0</v>
      </c>
      <c r="CL196" s="56"/>
      <c r="CO196" s="55">
        <f t="shared" si="1278"/>
        <v>46187</v>
      </c>
      <c r="CP196" s="422"/>
      <c r="CQ196" s="470">
        <f>SUMPRODUCT(PRODUCE!$B201:$DY201,PRODUCE!$EB$17:$IY$17)</f>
        <v>0</v>
      </c>
      <c r="CR196" s="422"/>
      <c r="CS196" s="470">
        <f t="shared" si="1279"/>
        <v>0</v>
      </c>
      <c r="CT196" s="470">
        <f t="shared" si="1280"/>
        <v>0</v>
      </c>
      <c r="CU196" s="56"/>
      <c r="CX196" s="55">
        <f t="shared" si="1281"/>
        <v>46187</v>
      </c>
      <c r="CY196" s="422"/>
      <c r="CZ196" s="525">
        <f>SUMPRODUCT(PRODUCE!$B201:$DY201,PRODUCE!$EB$18:$IY$18)</f>
        <v>0</v>
      </c>
      <c r="DA196" s="422"/>
      <c r="DB196" s="525">
        <f t="shared" si="1282"/>
        <v>0</v>
      </c>
      <c r="DC196" s="525">
        <f t="shared" si="1283"/>
        <v>16623.500000000007</v>
      </c>
      <c r="DD196" s="56"/>
      <c r="DG196" s="55">
        <f t="shared" si="1284"/>
        <v>46187</v>
      </c>
      <c r="DH196" s="422"/>
      <c r="DI196" s="526">
        <f>SUMPRODUCT(PRODUCE!$B201:$DY201,PRODUCE!$EB$19:$IY$19)</f>
        <v>0</v>
      </c>
      <c r="DJ196" s="422"/>
      <c r="DK196" s="526">
        <f t="shared" si="1285"/>
        <v>0</v>
      </c>
      <c r="DL196" s="526">
        <f t="shared" si="1286"/>
        <v>35234.999999999985</v>
      </c>
      <c r="DM196" s="56"/>
      <c r="DP196" s="55">
        <f t="shared" si="1287"/>
        <v>46187</v>
      </c>
      <c r="DQ196" s="56"/>
      <c r="DR196" s="57">
        <f>SUMPRODUCT(PRODUCE!$B201:$DY201,PRODUCE!$EB$20:$IY$20)</f>
        <v>0</v>
      </c>
      <c r="DS196" s="56"/>
      <c r="DT196" s="57">
        <f t="shared" si="1288"/>
        <v>0</v>
      </c>
      <c r="DU196" s="57">
        <f t="shared" si="1289"/>
        <v>5800</v>
      </c>
      <c r="DV196" s="56"/>
      <c r="DY196" s="55">
        <f t="shared" si="1290"/>
        <v>46187</v>
      </c>
      <c r="DZ196" s="56"/>
      <c r="EA196" s="157">
        <f>SUMPRODUCT(PRODUCE!$B201:$DY201,PRODUCE!$EB$21:$IY$21)</f>
        <v>0</v>
      </c>
      <c r="EB196" s="56"/>
      <c r="EC196" s="157">
        <f t="shared" si="1291"/>
        <v>0</v>
      </c>
      <c r="ED196" s="157">
        <f t="shared" si="1292"/>
        <v>0</v>
      </c>
      <c r="EE196" s="56"/>
      <c r="EH196" s="55">
        <f t="shared" si="1293"/>
        <v>46187</v>
      </c>
      <c r="EI196" s="56"/>
      <c r="EJ196" s="162">
        <f>SUMPRODUCT(PRODUCE!$B201:$DY201,PRODUCE!$EB$22:$IY$22)</f>
        <v>0</v>
      </c>
      <c r="EK196" s="56"/>
      <c r="EL196" s="162">
        <f t="shared" si="1294"/>
        <v>0</v>
      </c>
      <c r="EM196" s="162">
        <f t="shared" si="1295"/>
        <v>0</v>
      </c>
      <c r="EN196" s="56"/>
      <c r="EQ196" s="55">
        <f t="shared" si="1296"/>
        <v>46187</v>
      </c>
      <c r="ER196" s="56"/>
      <c r="ES196" s="135">
        <f>SUMPRODUCT(PRODUCE!$B201:$DY201,PRODUCE!$EB$23:$IY$23)</f>
        <v>0</v>
      </c>
      <c r="ET196" s="56"/>
      <c r="EU196" s="135">
        <f t="shared" si="1297"/>
        <v>0</v>
      </c>
      <c r="EV196" s="135">
        <f t="shared" si="1298"/>
        <v>0</v>
      </c>
      <c r="EW196" s="56"/>
      <c r="EZ196" s="55">
        <f t="shared" si="1299"/>
        <v>46187</v>
      </c>
      <c r="FA196" s="56"/>
      <c r="FB196" s="175">
        <f>SUMPRODUCT(PRODUCE!$B201:$DY201,PRODUCE!$EB$24:$IY$24)</f>
        <v>0</v>
      </c>
      <c r="FC196" s="56"/>
      <c r="FD196" s="175">
        <f t="shared" si="1300"/>
        <v>0</v>
      </c>
      <c r="FE196" s="175">
        <f t="shared" si="1301"/>
        <v>0</v>
      </c>
      <c r="FF196" s="56"/>
      <c r="FI196" s="55">
        <f t="shared" si="1302"/>
        <v>46187</v>
      </c>
      <c r="FJ196" s="56"/>
      <c r="FK196" s="183">
        <f>SUMPRODUCT(PRODUCE!$B201:$DY201,PRODUCE!$EB$25:$IY$25)</f>
        <v>0</v>
      </c>
      <c r="FL196" s="56"/>
      <c r="FM196" s="183">
        <f t="shared" si="1303"/>
        <v>0</v>
      </c>
      <c r="FN196" s="183">
        <f t="shared" si="1304"/>
        <v>0</v>
      </c>
      <c r="FO196" s="56"/>
      <c r="FR196" s="55">
        <f t="shared" si="1305"/>
        <v>46187</v>
      </c>
      <c r="FS196" s="56"/>
      <c r="FT196" s="186">
        <f>SUMPRODUCT(PRODUCE!$B201:$DY201,PRODUCE!$EB$26:$IY$26)</f>
        <v>0</v>
      </c>
      <c r="FU196" s="56"/>
      <c r="FV196" s="186">
        <f t="shared" si="1306"/>
        <v>0</v>
      </c>
      <c r="FW196" s="186">
        <f t="shared" si="1307"/>
        <v>1160</v>
      </c>
      <c r="FX196" s="56"/>
      <c r="GA196" s="55">
        <f t="shared" si="1308"/>
        <v>46187</v>
      </c>
      <c r="GB196" s="56"/>
      <c r="GC196" s="137">
        <f>SUMPRODUCT(PRODUCE!$B201:$DY201,PRODUCE!$EB$27:$IY$27)</f>
        <v>0</v>
      </c>
      <c r="GD196" s="56"/>
      <c r="GE196" s="137">
        <f t="shared" si="1309"/>
        <v>0</v>
      </c>
      <c r="GF196" s="137">
        <f t="shared" si="1310"/>
        <v>960</v>
      </c>
      <c r="GG196" s="56"/>
      <c r="GI196" s="23"/>
      <c r="GJ196" s="55">
        <f t="shared" si="1311"/>
        <v>46187</v>
      </c>
      <c r="GK196" s="56"/>
      <c r="GL196" s="199">
        <f>SUMPRODUCT(PRODUCE!$B201:$DY201,PRODUCE!$EB$28:$IY$28)</f>
        <v>0</v>
      </c>
      <c r="GM196" s="56"/>
      <c r="GN196" s="199">
        <f t="shared" si="1312"/>
        <v>0</v>
      </c>
      <c r="GO196" s="199">
        <f t="shared" si="1313"/>
        <v>1760</v>
      </c>
      <c r="GP196" s="56"/>
      <c r="GS196" s="55">
        <f t="shared" si="1314"/>
        <v>46187</v>
      </c>
      <c r="GT196" s="56"/>
      <c r="GU196" s="195">
        <f>SUMPRODUCT(PRODUCE!$B201:$DY201,PRODUCE!$EB$29:$IY$29)</f>
        <v>0</v>
      </c>
      <c r="GV196" s="56"/>
      <c r="GW196" s="195">
        <f t="shared" si="1315"/>
        <v>0</v>
      </c>
      <c r="GX196" s="195">
        <f t="shared" si="1316"/>
        <v>400</v>
      </c>
      <c r="GY196" s="56"/>
      <c r="HB196" s="55">
        <f t="shared" si="1317"/>
        <v>46187</v>
      </c>
      <c r="HC196" s="56"/>
      <c r="HD196" s="191">
        <f>SUMPRODUCT(PRODUCE!$B201:$DY201,PRODUCE!$EB$30:$IY$30)</f>
        <v>0</v>
      </c>
      <c r="HE196" s="56"/>
      <c r="HF196" s="191">
        <f t="shared" si="1318"/>
        <v>0</v>
      </c>
      <c r="HG196" s="191">
        <f t="shared" si="1319"/>
        <v>3600</v>
      </c>
      <c r="HH196" s="56"/>
      <c r="HK196" s="55">
        <f t="shared" si="1320"/>
        <v>46187</v>
      </c>
      <c r="HL196" s="56"/>
      <c r="HM196" s="63">
        <f>SUMPRODUCT(PRODUCE!$B201:$DY201,PRODUCE!$EB$31:$IY$31)</f>
        <v>0</v>
      </c>
      <c r="HN196" s="56"/>
      <c r="HO196" s="63">
        <f t="shared" si="1321"/>
        <v>0</v>
      </c>
      <c r="HP196" s="63">
        <f t="shared" si="1322"/>
        <v>0</v>
      </c>
      <c r="HQ196" s="56"/>
      <c r="HU196" s="55">
        <f t="shared" si="1323"/>
        <v>46187</v>
      </c>
      <c r="HV196" s="56"/>
      <c r="HW196" s="242">
        <f>SUMPRODUCT(PRODUCE!$B201:$DY201,PRODUCE!$EB$32:$IY$32)</f>
        <v>0</v>
      </c>
      <c r="HX196" s="56"/>
      <c r="HY196" s="242">
        <f t="shared" si="1324"/>
        <v>0</v>
      </c>
      <c r="HZ196" s="242">
        <f t="shared" si="1325"/>
        <v>6800</v>
      </c>
      <c r="IA196" s="56"/>
      <c r="ID196" s="55">
        <f t="shared" si="1326"/>
        <v>46187</v>
      </c>
      <c r="IE196" s="56"/>
      <c r="IF196" s="242">
        <f>SUMPRODUCT(PRODUCE!$B201:$DY201,PRODUCE!$EB$33:$IY$33)</f>
        <v>0</v>
      </c>
      <c r="IG196" s="56"/>
      <c r="IH196" s="242">
        <f t="shared" si="1327"/>
        <v>0</v>
      </c>
      <c r="II196" s="242">
        <f t="shared" si="1328"/>
        <v>720</v>
      </c>
      <c r="IJ196" s="56"/>
      <c r="IM196" s="55">
        <f t="shared" si="1329"/>
        <v>46187</v>
      </c>
      <c r="IN196" s="56"/>
      <c r="IO196" s="242">
        <f>SUMPRODUCT(PRODUCE!$B201:$DY201,PRODUCE!$EB$34:$IY$34)</f>
        <v>0</v>
      </c>
      <c r="IP196" s="56"/>
      <c r="IQ196" s="242">
        <f t="shared" si="1330"/>
        <v>0</v>
      </c>
      <c r="IR196" s="242">
        <f t="shared" si="1331"/>
        <v>6520</v>
      </c>
      <c r="IS196" s="56"/>
      <c r="IV196" s="55">
        <f t="shared" si="1332"/>
        <v>46187</v>
      </c>
      <c r="IW196" s="56"/>
      <c r="IX196" s="242">
        <f>SUMPRODUCT(PRODUCE!$B201:$DY201,PRODUCE!$EB$35:$IY$35)</f>
        <v>0</v>
      </c>
      <c r="IY196" s="56"/>
      <c r="IZ196" s="242">
        <f t="shared" si="1333"/>
        <v>0</v>
      </c>
      <c r="JA196" s="242">
        <f t="shared" si="1334"/>
        <v>4960</v>
      </c>
      <c r="JB196" s="56"/>
      <c r="JE196" s="55">
        <f t="shared" si="1335"/>
        <v>46187</v>
      </c>
      <c r="JF196" s="56"/>
      <c r="JG196" s="242">
        <f>SUMPRODUCT(PRODUCE!$B201:$DY201,PRODUCE!$EB$36:$IY$36)</f>
        <v>0</v>
      </c>
      <c r="JH196" s="56"/>
      <c r="JI196" s="242">
        <f t="shared" si="1336"/>
        <v>0</v>
      </c>
      <c r="JJ196" s="242">
        <f t="shared" si="1337"/>
        <v>0</v>
      </c>
      <c r="JK196" s="56"/>
      <c r="JN196" s="55">
        <f t="shared" si="1338"/>
        <v>46187</v>
      </c>
      <c r="JO196" s="56"/>
      <c r="JP196" s="242">
        <f>SUMPRODUCT(PRODUCE!$B201:$DY201,PRODUCE!$EB$37:$IY$37)</f>
        <v>0</v>
      </c>
      <c r="JQ196" s="56"/>
      <c r="JR196" s="242">
        <f t="shared" si="1339"/>
        <v>0</v>
      </c>
      <c r="JS196" s="242">
        <f t="shared" si="1340"/>
        <v>0</v>
      </c>
      <c r="JT196" s="56"/>
      <c r="JW196" s="55">
        <f t="shared" si="1341"/>
        <v>46187</v>
      </c>
      <c r="JX196" s="56"/>
      <c r="JY196" s="242">
        <f>SUMPRODUCT(PRODUCE!$B201:$DY201,PRODUCE!$EB$38:$IY$38)</f>
        <v>0</v>
      </c>
      <c r="JZ196" s="56"/>
      <c r="KA196" s="242">
        <f t="shared" si="1342"/>
        <v>0</v>
      </c>
      <c r="KB196" s="242">
        <f t="shared" si="1343"/>
        <v>2540</v>
      </c>
      <c r="KC196" s="56"/>
      <c r="KF196" s="55">
        <f t="shared" si="1344"/>
        <v>46187</v>
      </c>
      <c r="KG196" s="56"/>
      <c r="KH196" s="242">
        <f>SUMPRODUCT(PRODUCE!$B201:$DY201,PRODUCE!$EB$39:$IY$39)</f>
        <v>0</v>
      </c>
      <c r="KI196" s="56"/>
      <c r="KJ196" s="242">
        <f t="shared" si="1345"/>
        <v>0</v>
      </c>
      <c r="KK196" s="242">
        <f t="shared" si="1346"/>
        <v>2359.5</v>
      </c>
      <c r="KL196" s="56"/>
      <c r="KO196" s="55">
        <f t="shared" si="1347"/>
        <v>46187</v>
      </c>
      <c r="KP196" s="56"/>
      <c r="KQ196" s="242">
        <f>SUMPRODUCT(PRODUCE!$B201:$DY201,PRODUCE!$EB$40:$IY$40)</f>
        <v>0</v>
      </c>
      <c r="KR196" s="56"/>
      <c r="KS196" s="242">
        <f t="shared" si="1348"/>
        <v>0</v>
      </c>
      <c r="KT196" s="242">
        <f t="shared" si="1349"/>
        <v>1890</v>
      </c>
      <c r="KU196" s="56"/>
      <c r="KW196" s="23"/>
      <c r="KX196" s="55">
        <f t="shared" si="1350"/>
        <v>46187</v>
      </c>
      <c r="KY196" s="56"/>
      <c r="KZ196" s="242">
        <f>SUMPRODUCT(PRODUCE!$B201:$DY201,PRODUCE!$EB$41:$IY$41)</f>
        <v>0</v>
      </c>
      <c r="LA196" s="56"/>
      <c r="LB196" s="242">
        <f t="shared" si="1351"/>
        <v>0</v>
      </c>
      <c r="LC196" s="242">
        <f t="shared" si="1352"/>
        <v>3690</v>
      </c>
      <c r="LD196" s="56"/>
      <c r="LG196" s="55">
        <f t="shared" si="1353"/>
        <v>46187</v>
      </c>
      <c r="LH196" s="56"/>
      <c r="LI196" s="242">
        <f>SUMPRODUCT(PRODUCE!$B201:$DY201,PRODUCE!$EB$42:$IY$42)</f>
        <v>0</v>
      </c>
      <c r="LJ196" s="56"/>
      <c r="LK196" s="242">
        <f t="shared" si="1354"/>
        <v>0</v>
      </c>
      <c r="LL196" s="242">
        <f t="shared" si="1355"/>
        <v>4000</v>
      </c>
      <c r="LM196" s="56"/>
      <c r="LP196" s="55">
        <f t="shared" si="1356"/>
        <v>46187</v>
      </c>
      <c r="LQ196" s="56"/>
      <c r="LR196" s="242">
        <f>SUMPRODUCT(PRODUCE!$B201:$DY201,PRODUCE!$EB$43:$IY$43)</f>
        <v>0</v>
      </c>
      <c r="LS196" s="56"/>
      <c r="LT196" s="242">
        <f t="shared" si="1357"/>
        <v>0</v>
      </c>
      <c r="LU196" s="242">
        <f t="shared" si="1358"/>
        <v>0</v>
      </c>
      <c r="LV196" s="56"/>
      <c r="LY196" s="55">
        <f t="shared" si="1359"/>
        <v>46187</v>
      </c>
      <c r="LZ196" s="56"/>
      <c r="MA196" s="242">
        <f>SUMPRODUCT(PRODUCE!$B201:$DY201,PRODUCE!$EB$44:$IY$44)</f>
        <v>0</v>
      </c>
      <c r="MB196" s="56"/>
      <c r="MC196" s="242">
        <f t="shared" si="1360"/>
        <v>0</v>
      </c>
      <c r="MD196" s="242">
        <f t="shared" si="1361"/>
        <v>0</v>
      </c>
      <c r="ME196" s="56"/>
      <c r="MH196" s="55">
        <f t="shared" si="1362"/>
        <v>46187</v>
      </c>
      <c r="MI196" s="56"/>
      <c r="MJ196" s="242">
        <f>SUMPRODUCT(PRODUCE!$B201:$DY201,PRODUCE!$EB$45:$IY$45)</f>
        <v>0</v>
      </c>
      <c r="MK196" s="56"/>
      <c r="ML196" s="242">
        <f t="shared" si="1363"/>
        <v>0</v>
      </c>
      <c r="MM196" s="242">
        <f t="shared" si="1364"/>
        <v>0</v>
      </c>
      <c r="MN196" s="56"/>
      <c r="MQ196" s="55">
        <f t="shared" si="1365"/>
        <v>46187</v>
      </c>
      <c r="MR196" s="56"/>
      <c r="MS196" s="242">
        <f>SUMPRODUCT(PRODUCE!$B201:$DY201,PRODUCE!$EB$46:$IY$46)</f>
        <v>0</v>
      </c>
      <c r="MT196" s="56"/>
      <c r="MU196" s="242">
        <f t="shared" si="1366"/>
        <v>0</v>
      </c>
      <c r="MV196" s="242">
        <f t="shared" si="1367"/>
        <v>3724</v>
      </c>
      <c r="MW196" s="56"/>
      <c r="MZ196" s="55">
        <f t="shared" si="1368"/>
        <v>46187</v>
      </c>
      <c r="NA196" s="56"/>
      <c r="NB196" s="242">
        <f>SUMPRODUCT(PRODUCE!$B201:$DY201,PRODUCE!$EB$47:$IY$47)</f>
        <v>0</v>
      </c>
      <c r="NC196" s="56"/>
      <c r="ND196" s="242">
        <f t="shared" si="1369"/>
        <v>0</v>
      </c>
      <c r="NE196" s="242">
        <f t="shared" si="1370"/>
        <v>0</v>
      </c>
      <c r="NF196" s="56"/>
      <c r="NI196" s="55">
        <f t="shared" si="1371"/>
        <v>46187</v>
      </c>
      <c r="NJ196" s="56"/>
      <c r="NK196" s="242">
        <f>SUMPRODUCT(PRODUCE!$B201:$DY201,PRODUCE!$EB$48:$IY$48)</f>
        <v>0</v>
      </c>
      <c r="NL196" s="56"/>
      <c r="NM196" s="242">
        <f t="shared" si="1372"/>
        <v>0</v>
      </c>
      <c r="NN196" s="242">
        <f t="shared" si="1373"/>
        <v>1127</v>
      </c>
      <c r="NO196" s="56"/>
      <c r="NR196" s="55">
        <f t="shared" si="1374"/>
        <v>46187</v>
      </c>
      <c r="NS196" s="56"/>
      <c r="NT196" s="242">
        <f>SUMPRODUCT(PRODUCE!$B201:$DY201,PRODUCE!$EB$49:$IY$49)</f>
        <v>0</v>
      </c>
      <c r="NU196" s="56"/>
      <c r="NV196" s="242">
        <f t="shared" si="1375"/>
        <v>0</v>
      </c>
      <c r="NW196" s="242">
        <f t="shared" si="1376"/>
        <v>3111.9999999999995</v>
      </c>
      <c r="NX196" s="56"/>
      <c r="OA196" s="55">
        <f t="shared" si="1377"/>
        <v>46187</v>
      </c>
      <c r="OB196" s="56"/>
      <c r="OC196" s="242">
        <f>SUMPRODUCT(PRODUCE!$B201:$DY201,PRODUCE!$EB$50:$IY$50)</f>
        <v>0</v>
      </c>
      <c r="OD196" s="56"/>
      <c r="OE196" s="242">
        <f t="shared" si="1378"/>
        <v>0</v>
      </c>
      <c r="OF196" s="242">
        <f t="shared" si="1379"/>
        <v>1680.5</v>
      </c>
      <c r="OG196" s="56"/>
      <c r="OJ196" s="55">
        <f t="shared" si="1380"/>
        <v>46187</v>
      </c>
      <c r="OK196" s="56"/>
      <c r="OL196" s="242">
        <f>SUMPRODUCT(PRODUCE!$B201:$DY201,PRODUCE!$EB$51:$IY$51)</f>
        <v>0</v>
      </c>
      <c r="OM196" s="56"/>
      <c r="ON196" s="242">
        <f t="shared" si="1381"/>
        <v>0</v>
      </c>
      <c r="OO196" s="242">
        <f t="shared" si="1382"/>
        <v>0</v>
      </c>
      <c r="OP196" s="56"/>
      <c r="OS196" s="55">
        <f t="shared" si="1383"/>
        <v>46187</v>
      </c>
      <c r="OT196" s="56"/>
      <c r="OU196" s="242">
        <f>SUMPRODUCT(PRODUCE!$B201:$DY201,PRODUCE!$EB$52:$IY$52)</f>
        <v>0</v>
      </c>
      <c r="OV196" s="56"/>
      <c r="OW196" s="242">
        <f t="shared" si="1384"/>
        <v>0</v>
      </c>
      <c r="OX196" s="242">
        <f t="shared" si="1385"/>
        <v>1482</v>
      </c>
      <c r="OY196" s="56"/>
      <c r="PB196" s="55">
        <f t="shared" si="1386"/>
        <v>46187</v>
      </c>
      <c r="PC196" s="56"/>
      <c r="PD196" s="242">
        <f>SUMPRODUCT(PRODUCE!$B201:$DY201,PRODUCE!$EB$53:$IY$53)</f>
        <v>0</v>
      </c>
      <c r="PE196" s="56"/>
      <c r="PF196" s="242">
        <f t="shared" si="1387"/>
        <v>0</v>
      </c>
      <c r="PG196" s="242">
        <f t="shared" si="1388"/>
        <v>0</v>
      </c>
      <c r="PH196" s="56"/>
      <c r="PK196" s="55">
        <f t="shared" si="1389"/>
        <v>46187</v>
      </c>
      <c r="PL196" s="56"/>
      <c r="PM196" s="242">
        <f>SUMPRODUCT(PRODUCE!$B201:$DY201,PRODUCE!$EB$54:$IY$54)</f>
        <v>0</v>
      </c>
      <c r="PN196" s="56"/>
      <c r="PO196" s="242">
        <f t="shared" si="1494"/>
        <v>0</v>
      </c>
      <c r="PP196" s="242">
        <f t="shared" si="1495"/>
        <v>100</v>
      </c>
      <c r="PQ196" s="56"/>
      <c r="PT196" s="55">
        <f t="shared" si="1392"/>
        <v>46187</v>
      </c>
      <c r="PU196" s="56"/>
      <c r="PV196" s="242">
        <f>SUMPRODUCT(PRODUCE!$B201:$DY201,PRODUCE!$EB$55:$IY$55)</f>
        <v>0</v>
      </c>
      <c r="PW196" s="56"/>
      <c r="PX196" s="242">
        <f t="shared" si="1393"/>
        <v>0</v>
      </c>
      <c r="PY196" s="242">
        <f t="shared" si="1394"/>
        <v>13.960000000000036</v>
      </c>
      <c r="PZ196" s="56"/>
      <c r="QC196" s="55">
        <f t="shared" si="1395"/>
        <v>46187</v>
      </c>
      <c r="QD196" s="56"/>
      <c r="QE196" s="242">
        <f>SUMPRODUCT(PRODUCE!$B201:$DY201,PRODUCE!$EB$56:$IY$56)</f>
        <v>0</v>
      </c>
      <c r="QF196" s="56"/>
      <c r="QG196" s="242">
        <f t="shared" si="1396"/>
        <v>0</v>
      </c>
      <c r="QH196" s="242">
        <f t="shared" si="1397"/>
        <v>1736</v>
      </c>
      <c r="QI196" s="56"/>
      <c r="QL196" s="55">
        <f t="shared" si="1398"/>
        <v>46187</v>
      </c>
      <c r="QM196" s="56"/>
      <c r="QN196" s="242">
        <f>SUMPRODUCT(PRODUCE!$B201:$DY201,PRODUCE!$EB$57:$IY$57)</f>
        <v>0</v>
      </c>
      <c r="QO196" s="56"/>
      <c r="QP196" s="242">
        <f t="shared" si="1399"/>
        <v>0</v>
      </c>
      <c r="QQ196" s="242">
        <f t="shared" si="1400"/>
        <v>250</v>
      </c>
      <c r="QR196" s="56"/>
      <c r="QU196" s="55">
        <f t="shared" si="1401"/>
        <v>46187</v>
      </c>
      <c r="QV196" s="56"/>
      <c r="QW196" s="242">
        <f>SUMPRODUCT(PRODUCE!$B201:$DY201,PRODUCE!$EB$58:$IY$58)</f>
        <v>0</v>
      </c>
      <c r="QX196" s="56"/>
      <c r="QY196" s="242">
        <f t="shared" si="1402"/>
        <v>0</v>
      </c>
      <c r="QZ196" s="242">
        <f t="shared" si="1403"/>
        <v>207.6</v>
      </c>
      <c r="RA196" s="56"/>
      <c r="RD196" s="55">
        <f t="shared" si="1404"/>
        <v>46187</v>
      </c>
      <c r="RE196" s="56"/>
      <c r="RF196" s="242">
        <f>SUMPRODUCT(PRODUCE!$B201:$DY201,PRODUCE!$EB$59:$IY$59)</f>
        <v>0</v>
      </c>
      <c r="RG196" s="56"/>
      <c r="RH196" s="242">
        <f t="shared" si="1405"/>
        <v>0</v>
      </c>
      <c r="RI196" s="242">
        <f t="shared" si="1406"/>
        <v>147.04000000000002</v>
      </c>
      <c r="RJ196" s="56"/>
      <c r="RM196" s="55">
        <f t="shared" si="1407"/>
        <v>46187</v>
      </c>
      <c r="RN196" s="56"/>
      <c r="RO196" s="242">
        <f>SUMPRODUCT(PRODUCE!$B201:$DY201,PRODUCE!$EB$60:$IY$60)</f>
        <v>0</v>
      </c>
      <c r="RP196" s="56"/>
      <c r="RQ196" s="242">
        <f t="shared" si="1408"/>
        <v>0</v>
      </c>
      <c r="RR196" s="242">
        <f t="shared" si="1409"/>
        <v>46.8</v>
      </c>
      <c r="RS196" s="56"/>
      <c r="RV196" s="55">
        <f t="shared" si="1410"/>
        <v>46187</v>
      </c>
      <c r="RW196" s="56"/>
      <c r="RX196" s="242">
        <f>SUMPRODUCT(PRODUCE!$B201:$DY201,PRODUCE!$EB$61:$IY$61)</f>
        <v>0</v>
      </c>
      <c r="RY196" s="56"/>
      <c r="RZ196" s="242">
        <f t="shared" si="1411"/>
        <v>0</v>
      </c>
      <c r="SA196" s="242">
        <f t="shared" si="1412"/>
        <v>0</v>
      </c>
      <c r="SB196" s="56"/>
      <c r="SE196" s="55">
        <f t="shared" si="1413"/>
        <v>46187</v>
      </c>
      <c r="SF196" s="56"/>
      <c r="SG196" s="242">
        <f>SUMPRODUCT(PRODUCE!$B201:$DY201,PRODUCE!$EB$62:$IY$62)</f>
        <v>0</v>
      </c>
      <c r="SH196" s="56"/>
      <c r="SI196" s="242">
        <f t="shared" si="1414"/>
        <v>0</v>
      </c>
      <c r="SJ196" s="242">
        <f t="shared" si="1415"/>
        <v>24.200000000000003</v>
      </c>
      <c r="SK196" s="56"/>
      <c r="SN196" s="55">
        <f t="shared" si="1416"/>
        <v>46187</v>
      </c>
      <c r="SO196" s="56"/>
      <c r="SP196" s="242">
        <f>SUMPRODUCT(PRODUCE!$B201:$DY201,PRODUCE!$EB$63:$IY$63)</f>
        <v>0</v>
      </c>
      <c r="SQ196" s="56"/>
      <c r="SR196" s="242">
        <f t="shared" si="1417"/>
        <v>0</v>
      </c>
      <c r="SS196" s="242">
        <f t="shared" si="1418"/>
        <v>32</v>
      </c>
      <c r="ST196" s="56"/>
      <c r="SW196" s="55">
        <f t="shared" si="1419"/>
        <v>46187</v>
      </c>
      <c r="SX196" s="56"/>
      <c r="SY196" s="242">
        <f>SUMPRODUCT(PRODUCE!$B201:$DY201,PRODUCE!$EB$64:$IY$64)</f>
        <v>0</v>
      </c>
      <c r="SZ196" s="56"/>
      <c r="TA196" s="242">
        <f t="shared" si="1420"/>
        <v>0</v>
      </c>
      <c r="TB196" s="242">
        <f t="shared" si="1421"/>
        <v>0</v>
      </c>
      <c r="TC196" s="56"/>
      <c r="TF196" s="55">
        <f t="shared" si="1422"/>
        <v>46187</v>
      </c>
      <c r="TG196" s="56"/>
      <c r="TH196" s="242">
        <f>SUMPRODUCT(PRODUCE!$B201:$DY201,PRODUCE!$EB$65:$IY$65)</f>
        <v>0</v>
      </c>
      <c r="TI196" s="56"/>
      <c r="TJ196" s="242">
        <f t="shared" si="1423"/>
        <v>0</v>
      </c>
      <c r="TK196" s="242">
        <f t="shared" si="1424"/>
        <v>0</v>
      </c>
      <c r="TL196" s="56"/>
      <c r="TO196" s="55">
        <f t="shared" si="1425"/>
        <v>46187</v>
      </c>
      <c r="TP196" s="56"/>
      <c r="TQ196" s="242">
        <f>SUMPRODUCT(PRODUCE!$B201:$DY201,PRODUCE!$EB$66:$IY$66)</f>
        <v>0</v>
      </c>
      <c r="TR196" s="56"/>
      <c r="TS196" s="242">
        <f t="shared" si="1426"/>
        <v>0</v>
      </c>
      <c r="TT196" s="242">
        <f t="shared" si="1427"/>
        <v>22.400000000000006</v>
      </c>
      <c r="TU196" s="56"/>
      <c r="TX196" s="55">
        <f t="shared" si="1428"/>
        <v>46187</v>
      </c>
      <c r="TY196" s="56"/>
      <c r="TZ196" s="242">
        <f>SUMPRODUCT(PRODUCE!$B201:$DY201,PRODUCE!$EB$67:$IY$67)</f>
        <v>0</v>
      </c>
      <c r="UA196" s="56"/>
      <c r="UB196" s="242">
        <f t="shared" si="1429"/>
        <v>0</v>
      </c>
      <c r="UC196" s="242">
        <f t="shared" si="1430"/>
        <v>46.799999999999983</v>
      </c>
      <c r="UD196" s="56"/>
      <c r="UG196" s="55">
        <f t="shared" si="1431"/>
        <v>46187</v>
      </c>
      <c r="UH196" s="56"/>
      <c r="UI196" s="242">
        <f>SUMPRODUCT(PRODUCE!$B201:$DY201,PRODUCE!$EB$68:$IY$68)</f>
        <v>0</v>
      </c>
      <c r="UJ196" s="56"/>
      <c r="UK196" s="242">
        <f t="shared" si="1432"/>
        <v>0</v>
      </c>
      <c r="UL196" s="242">
        <f t="shared" si="1433"/>
        <v>204</v>
      </c>
      <c r="UM196" s="56"/>
      <c r="UP196" s="55">
        <f t="shared" si="1434"/>
        <v>46187</v>
      </c>
      <c r="UQ196" s="56"/>
      <c r="UR196" s="242">
        <f>SUMPRODUCT(PRODUCE!$B201:$DY201,PRODUCE!$EB$69:$IY$69)</f>
        <v>0</v>
      </c>
      <c r="US196" s="56"/>
      <c r="UT196" s="242">
        <f t="shared" si="1435"/>
        <v>0</v>
      </c>
      <c r="UU196" s="242">
        <f t="shared" si="1436"/>
        <v>251.25</v>
      </c>
      <c r="UV196" s="56"/>
      <c r="UY196" s="55">
        <f t="shared" si="1437"/>
        <v>46187</v>
      </c>
      <c r="UZ196" s="56"/>
      <c r="VA196" s="242">
        <f>SUMPRODUCT(PRODUCE!$B201:$DY201,PRODUCE!$EB$70:$IY$70)</f>
        <v>0</v>
      </c>
      <c r="VB196" s="56"/>
      <c r="VC196" s="242">
        <f t="shared" si="1438"/>
        <v>0</v>
      </c>
      <c r="VD196" s="242">
        <f t="shared" si="1439"/>
        <v>41.600000000000023</v>
      </c>
      <c r="VE196" s="56"/>
      <c r="VH196" s="55">
        <f t="shared" si="1440"/>
        <v>46187</v>
      </c>
      <c r="VI196" s="56"/>
      <c r="VJ196" s="242">
        <f>SUMPRODUCT(PRODUCE!$B201:$DY201,PRODUCE!$EB$71:$IY$71)</f>
        <v>0</v>
      </c>
      <c r="VK196" s="56"/>
      <c r="VL196" s="242">
        <f t="shared" si="1441"/>
        <v>0</v>
      </c>
      <c r="VM196" s="242">
        <f t="shared" si="1442"/>
        <v>210</v>
      </c>
      <c r="VN196" s="56"/>
      <c r="VQ196" s="55">
        <f t="shared" si="1443"/>
        <v>46187</v>
      </c>
      <c r="VR196" s="56"/>
      <c r="VS196" s="242">
        <f>SUMPRODUCT(PRODUCE!$B201:$DY201,PRODUCE!$EB$57:$IY$57)</f>
        <v>0</v>
      </c>
      <c r="VT196" s="56"/>
      <c r="VU196" s="242">
        <f t="shared" si="1444"/>
        <v>0</v>
      </c>
      <c r="VV196" s="242">
        <f t="shared" si="1445"/>
        <v>0</v>
      </c>
      <c r="VW196" s="56"/>
      <c r="VZ196" s="55">
        <f t="shared" si="1446"/>
        <v>46187</v>
      </c>
      <c r="WA196" s="56"/>
      <c r="WB196" s="242">
        <f>SUMPRODUCT(PRODUCE!$B201:$DY201,PRODUCE!$EB$57:$IY$57)</f>
        <v>0</v>
      </c>
      <c r="WC196" s="56"/>
      <c r="WD196" s="242">
        <f t="shared" si="1447"/>
        <v>0</v>
      </c>
      <c r="WE196" s="242">
        <f t="shared" si="1448"/>
        <v>0</v>
      </c>
      <c r="WF196" s="56"/>
      <c r="WI196" s="55">
        <f t="shared" si="1449"/>
        <v>46187</v>
      </c>
      <c r="WJ196" s="422"/>
      <c r="WK196" s="540">
        <f>SUMPRODUCT(PRODUCE!$B201:$DY201,PRODUCE!$EB$74:$IY$74)</f>
        <v>0</v>
      </c>
      <c r="WL196" s="422"/>
      <c r="WM196" s="540">
        <f t="shared" si="1450"/>
        <v>0</v>
      </c>
      <c r="WN196" s="540">
        <f t="shared" si="1451"/>
        <v>1199</v>
      </c>
      <c r="WO196" s="56"/>
      <c r="WR196" s="55">
        <f t="shared" si="1452"/>
        <v>46187</v>
      </c>
      <c r="WS196" s="422"/>
      <c r="WT196" s="540">
        <f>SUMPRODUCT(PRODUCE!$B201:$DY201,PRODUCE!$EB$75:$IY$75)</f>
        <v>0</v>
      </c>
      <c r="WU196" s="422"/>
      <c r="WV196" s="540">
        <f t="shared" si="1453"/>
        <v>0</v>
      </c>
      <c r="WW196" s="540">
        <f t="shared" si="1454"/>
        <v>0</v>
      </c>
      <c r="WX196" s="56"/>
      <c r="XA196" s="55">
        <f t="shared" si="1455"/>
        <v>46187</v>
      </c>
      <c r="XB196" s="422"/>
      <c r="XC196" s="540">
        <f>SUMPRODUCT(PRODUCE!$B201:$DY201,PRODUCE!$EB$76:$IY$76)</f>
        <v>0</v>
      </c>
      <c r="XD196" s="422"/>
      <c r="XE196" s="540">
        <f t="shared" si="1456"/>
        <v>0</v>
      </c>
      <c r="XF196" s="540">
        <f t="shared" si="1457"/>
        <v>6813</v>
      </c>
      <c r="XG196" s="56"/>
      <c r="XJ196" s="55">
        <f t="shared" si="1458"/>
        <v>46187</v>
      </c>
      <c r="XK196" s="422"/>
      <c r="XL196" s="540">
        <f>SUMPRODUCT(PRODUCE!$B201:$DY201,PRODUCE!$EB$77:$IY$77)</f>
        <v>0</v>
      </c>
      <c r="XM196" s="422"/>
      <c r="XN196" s="540">
        <f t="shared" si="1459"/>
        <v>0</v>
      </c>
      <c r="XO196" s="540">
        <f t="shared" si="1460"/>
        <v>5717</v>
      </c>
      <c r="XP196" s="56"/>
      <c r="XS196" s="55">
        <f t="shared" si="1461"/>
        <v>46187</v>
      </c>
      <c r="XT196" s="56"/>
      <c r="XU196" s="242">
        <f>SUMPRODUCT(PRODUCE!$B201:$DY201,PRODUCE!$EB$78:$IY$78)</f>
        <v>0</v>
      </c>
      <c r="XV196" s="56"/>
      <c r="XW196" s="242">
        <f t="shared" si="1462"/>
        <v>0</v>
      </c>
      <c r="XX196" s="242">
        <f t="shared" si="1463"/>
        <v>1621</v>
      </c>
      <c r="XY196" s="56"/>
      <c r="YB196" s="55">
        <f t="shared" si="1464"/>
        <v>46187</v>
      </c>
      <c r="YC196" s="56"/>
      <c r="YD196" s="242">
        <f>SUMPRODUCT(PRODUCE!$B201:$DY201,PRODUCE!$EB$79:$IY$79)</f>
        <v>0</v>
      </c>
      <c r="YE196" s="56"/>
      <c r="YF196" s="242">
        <f t="shared" si="1465"/>
        <v>0</v>
      </c>
      <c r="YG196" s="242">
        <f t="shared" si="1466"/>
        <v>4072</v>
      </c>
      <c r="YH196" s="56"/>
      <c r="YK196" s="55">
        <f t="shared" si="1467"/>
        <v>46187</v>
      </c>
      <c r="YL196" s="56"/>
      <c r="YM196" s="242">
        <f>SUMPRODUCT(PRODUCE!$B201:$DY201,PRODUCE!$EB$80:$IY$80)</f>
        <v>0</v>
      </c>
      <c r="YN196" s="56"/>
      <c r="YO196" s="242">
        <f t="shared" si="1468"/>
        <v>0</v>
      </c>
      <c r="YP196" s="242">
        <f t="shared" si="1469"/>
        <v>0</v>
      </c>
      <c r="YQ196" s="56"/>
      <c r="YT196" s="55">
        <f t="shared" si="1470"/>
        <v>46187</v>
      </c>
      <c r="YU196" s="56"/>
      <c r="YV196" s="242">
        <f>SUMPRODUCT(PRODUCE!$B201:$DY201,PRODUCE!$EB$57:$IY$57)</f>
        <v>0</v>
      </c>
      <c r="YW196" s="56"/>
      <c r="YX196" s="242">
        <f t="shared" si="1471"/>
        <v>0</v>
      </c>
      <c r="YY196" s="242">
        <f t="shared" si="1472"/>
        <v>0</v>
      </c>
      <c r="YZ196" s="56"/>
      <c r="ZC196" s="55">
        <f t="shared" si="1473"/>
        <v>46187</v>
      </c>
      <c r="ZD196" s="56"/>
      <c r="ZE196" s="242">
        <f>SUMPRODUCT(PRODUCE!$B201:$DY201,PRODUCE!$EB$57:$IY$57)</f>
        <v>0</v>
      </c>
      <c r="ZF196" s="56"/>
      <c r="ZG196" s="242">
        <f t="shared" si="1474"/>
        <v>0</v>
      </c>
      <c r="ZH196" s="242">
        <f t="shared" si="1475"/>
        <v>0</v>
      </c>
      <c r="ZI196" s="56"/>
      <c r="ZL196" s="55">
        <f t="shared" si="1476"/>
        <v>46187</v>
      </c>
      <c r="ZM196" s="56"/>
      <c r="ZN196" s="242">
        <f>SUMPRODUCT(PRODUCE!$B201:$DY201,PRODUCE!$EB$57:$IY$57)</f>
        <v>0</v>
      </c>
      <c r="ZO196" s="56"/>
      <c r="ZP196" s="242">
        <f t="shared" si="1477"/>
        <v>0</v>
      </c>
      <c r="ZQ196" s="242">
        <f t="shared" si="1478"/>
        <v>0</v>
      </c>
      <c r="ZR196" s="56"/>
      <c r="ZU196" s="55">
        <f t="shared" si="1479"/>
        <v>46187</v>
      </c>
      <c r="ZV196" s="56"/>
      <c r="ZW196" s="242">
        <f>SUMPRODUCT(PRODUCE!$B201:$DY201,PRODUCE!$EB$57:$IY$57)</f>
        <v>0</v>
      </c>
      <c r="ZX196" s="56"/>
      <c r="ZY196" s="242">
        <f t="shared" si="1480"/>
        <v>0</v>
      </c>
      <c r="ZZ196" s="242">
        <f t="shared" si="1481"/>
        <v>0</v>
      </c>
      <c r="AAA196" s="56"/>
      <c r="AAD196" s="55">
        <f t="shared" si="1482"/>
        <v>46187</v>
      </c>
      <c r="AAE196" s="56"/>
      <c r="AAF196" s="242">
        <f>SUMPRODUCT(PRODUCE!$B201:$DY201,PRODUCE!$EB$57:$IY$57)</f>
        <v>0</v>
      </c>
      <c r="AAG196" s="56"/>
      <c r="AAH196" s="242">
        <f t="shared" si="1483"/>
        <v>0</v>
      </c>
      <c r="AAI196" s="242">
        <f t="shared" si="1484"/>
        <v>0</v>
      </c>
      <c r="AAJ196" s="56"/>
      <c r="AAM196" s="55">
        <f t="shared" si="1485"/>
        <v>46187</v>
      </c>
      <c r="AAN196" s="56"/>
      <c r="AAO196" s="242">
        <f>SUMPRODUCT(PRODUCE!$B201:$DY201,PRODUCE!$EB$57:$IY$57)</f>
        <v>0</v>
      </c>
      <c r="AAP196" s="56"/>
      <c r="AAQ196" s="242">
        <f t="shared" si="1486"/>
        <v>0</v>
      </c>
      <c r="AAR196" s="242">
        <f t="shared" si="1487"/>
        <v>0</v>
      </c>
      <c r="AAS196" s="56"/>
      <c r="AAV196" s="55">
        <f t="shared" si="1488"/>
        <v>46187</v>
      </c>
      <c r="AAW196" s="56"/>
      <c r="AAX196" s="242">
        <f>SUMPRODUCT(PRODUCE!$B201:$DY201,PRODUCE!$EB$57:$IY$57)</f>
        <v>0</v>
      </c>
      <c r="AAY196" s="56"/>
      <c r="AAZ196" s="242">
        <f t="shared" si="1489"/>
        <v>0</v>
      </c>
      <c r="ABA196" s="242">
        <f t="shared" si="1490"/>
        <v>0</v>
      </c>
      <c r="ABB196" s="56"/>
      <c r="ABE196" s="55">
        <f t="shared" si="1491"/>
        <v>46187</v>
      </c>
      <c r="ABF196" s="56"/>
      <c r="ABG196" s="242">
        <f>SUMPRODUCT(PRODUCE!$B201:$DY201,PRODUCE!$EB$57:$IY$57)</f>
        <v>0</v>
      </c>
      <c r="ABH196" s="56"/>
      <c r="ABI196" s="242">
        <f t="shared" si="1492"/>
        <v>0</v>
      </c>
      <c r="ABJ196" s="242">
        <f t="shared" si="1493"/>
        <v>0</v>
      </c>
      <c r="ABK196" s="56"/>
    </row>
    <row r="197" spans="2:739" s="54" customFormat="1" ht="15" customHeight="1" outlineLevel="1">
      <c r="B197" s="478">
        <v>44</v>
      </c>
      <c r="C197" s="55">
        <v>46188</v>
      </c>
      <c r="D197" s="422">
        <v>11150</v>
      </c>
      <c r="E197" s="423">
        <f>SUMPRODUCT(PRODUCE!$B202:$DY202,PRODUCE!$EB$7:$IY$7)</f>
        <v>23986.379999999997</v>
      </c>
      <c r="F197" s="422">
        <v>23989.599999999999</v>
      </c>
      <c r="G197" s="423">
        <f t="shared" si="1249"/>
        <v>-3.2200000000011642</v>
      </c>
      <c r="H197" s="423">
        <f t="shared" si="1250"/>
        <v>89876.000000000058</v>
      </c>
      <c r="I197" s="289" t="s">
        <v>288</v>
      </c>
      <c r="L197" s="55">
        <f t="shared" si="1251"/>
        <v>46188</v>
      </c>
      <c r="M197" s="422"/>
      <c r="N197" s="438">
        <f>SUMPRODUCT(PRODUCE!$B202:$DY202,PRODUCE!$EB$8:$IY$8)</f>
        <v>13089.34</v>
      </c>
      <c r="O197" s="422">
        <v>13085.6</v>
      </c>
      <c r="P197" s="438">
        <f t="shared" si="1252"/>
        <v>3.7399999999997817</v>
      </c>
      <c r="Q197" s="438">
        <f t="shared" si="1253"/>
        <v>47536.400000000074</v>
      </c>
      <c r="R197" s="56"/>
      <c r="U197" s="55">
        <f t="shared" si="1254"/>
        <v>46188</v>
      </c>
      <c r="V197" s="422"/>
      <c r="W197" s="440">
        <f>SUMPRODUCT(PRODUCE!$B202:$DY202,PRODUCE!$EB$9:$IY$9)</f>
        <v>2640</v>
      </c>
      <c r="X197" s="422">
        <v>2641.2</v>
      </c>
      <c r="Y197" s="440">
        <f t="shared" si="1255"/>
        <v>-1.1999999999998181</v>
      </c>
      <c r="Z197" s="440">
        <f t="shared" si="1256"/>
        <v>41688.499999999985</v>
      </c>
      <c r="AA197" s="56"/>
      <c r="AD197" s="55">
        <f t="shared" si="1257"/>
        <v>46188</v>
      </c>
      <c r="AE197" s="422"/>
      <c r="AF197" s="442">
        <f>SUMPRODUCT(PRODUCE!$B202:$DY202,PRODUCE!$EB$10:$IY$10)</f>
        <v>0</v>
      </c>
      <c r="AG197" s="422"/>
      <c r="AH197" s="442">
        <f t="shared" si="1258"/>
        <v>0</v>
      </c>
      <c r="AI197" s="442">
        <f t="shared" si="1259"/>
        <v>33372.700000000019</v>
      </c>
      <c r="AJ197" s="56"/>
      <c r="AM197" s="55">
        <f t="shared" si="1260"/>
        <v>46188</v>
      </c>
      <c r="AN197" s="422"/>
      <c r="AO197" s="444">
        <f>SUMPRODUCT(PRODUCE!$B202:$DY202,PRODUCE!$EB$11:$IY$11)</f>
        <v>0</v>
      </c>
      <c r="AP197" s="422"/>
      <c r="AQ197" s="444">
        <f t="shared" si="1261"/>
        <v>0</v>
      </c>
      <c r="AR197" s="444">
        <f t="shared" si="1262"/>
        <v>0</v>
      </c>
      <c r="AS197" s="56"/>
      <c r="AV197" s="55">
        <f t="shared" si="1263"/>
        <v>46188</v>
      </c>
      <c r="AW197" s="422"/>
      <c r="AX197" s="446">
        <f>SUMPRODUCT(PRODUCE!$B202:$DY202,PRODUCE!$EB$12:$IY$12)</f>
        <v>0</v>
      </c>
      <c r="AY197" s="422"/>
      <c r="AZ197" s="446">
        <f t="shared" si="1264"/>
        <v>0</v>
      </c>
      <c r="BA197" s="446">
        <f t="shared" si="1265"/>
        <v>14066.499999999996</v>
      </c>
      <c r="BB197" s="56"/>
      <c r="BE197" s="55">
        <f t="shared" si="1266"/>
        <v>46188</v>
      </c>
      <c r="BF197" s="422"/>
      <c r="BG197" s="448">
        <f>SUMPRODUCT(PRODUCE!$B202:$DY202,PRODUCE!$EB$13:$IY$13)</f>
        <v>0</v>
      </c>
      <c r="BH197" s="422"/>
      <c r="BI197" s="448">
        <f t="shared" si="1267"/>
        <v>0</v>
      </c>
      <c r="BJ197" s="448">
        <f t="shared" si="1268"/>
        <v>39235.399999999994</v>
      </c>
      <c r="BK197" s="56"/>
      <c r="BN197" s="55">
        <f t="shared" si="1269"/>
        <v>46188</v>
      </c>
      <c r="BO197" s="422">
        <v>220</v>
      </c>
      <c r="BP197" s="450">
        <f>SUMPRODUCT(PRODUCE!$B202:$DY202,PRODUCE!$EB$14:$IY$14)</f>
        <v>220</v>
      </c>
      <c r="BQ197" s="422">
        <v>220</v>
      </c>
      <c r="BR197" s="450">
        <f t="shared" si="1270"/>
        <v>0</v>
      </c>
      <c r="BS197" s="450">
        <f t="shared" si="1271"/>
        <v>0</v>
      </c>
      <c r="BT197" s="56"/>
      <c r="BW197" s="55">
        <f t="shared" si="1272"/>
        <v>46188</v>
      </c>
      <c r="BX197" s="422"/>
      <c r="BY197" s="523">
        <f>SUMPRODUCT(PRODUCE!$B202:$DY202,PRODUCE!$EB$15:$IY$15)</f>
        <v>323.62</v>
      </c>
      <c r="BZ197" s="422">
        <v>367.75</v>
      </c>
      <c r="CA197" s="523">
        <f t="shared" si="1273"/>
        <v>-44.129999999999995</v>
      </c>
      <c r="CB197" s="523">
        <f t="shared" si="1274"/>
        <v>3217.7499999999991</v>
      </c>
      <c r="CC197" s="56"/>
      <c r="CF197" s="55">
        <f t="shared" si="1275"/>
        <v>46188</v>
      </c>
      <c r="CG197" s="422">
        <v>495.3</v>
      </c>
      <c r="CH197" s="524">
        <f>SUMPRODUCT(PRODUCE!$B202:$DY202,PRODUCE!$EB$16:$IY$16)</f>
        <v>0</v>
      </c>
      <c r="CI197" s="422">
        <v>495.3</v>
      </c>
      <c r="CJ197" s="524">
        <f t="shared" si="1276"/>
        <v>-495.3</v>
      </c>
      <c r="CK197" s="524">
        <f t="shared" si="1277"/>
        <v>0</v>
      </c>
      <c r="CL197" s="56"/>
      <c r="CO197" s="55">
        <f t="shared" si="1278"/>
        <v>46188</v>
      </c>
      <c r="CP197" s="422"/>
      <c r="CQ197" s="470">
        <f>SUMPRODUCT(PRODUCE!$B202:$DY202,PRODUCE!$EB$17:$IY$17)</f>
        <v>0</v>
      </c>
      <c r="CR197" s="422"/>
      <c r="CS197" s="470">
        <f t="shared" si="1279"/>
        <v>0</v>
      </c>
      <c r="CT197" s="470">
        <f t="shared" si="1280"/>
        <v>0</v>
      </c>
      <c r="CU197" s="56"/>
      <c r="CX197" s="55">
        <f t="shared" si="1281"/>
        <v>46188</v>
      </c>
      <c r="CY197" s="422"/>
      <c r="CZ197" s="525">
        <f>SUMPRODUCT(PRODUCE!$B202:$DY202,PRODUCE!$EB$18:$IY$18)</f>
        <v>880</v>
      </c>
      <c r="DA197" s="422">
        <v>882</v>
      </c>
      <c r="DB197" s="525">
        <f t="shared" si="1282"/>
        <v>-2</v>
      </c>
      <c r="DC197" s="525">
        <f t="shared" si="1283"/>
        <v>15741.500000000007</v>
      </c>
      <c r="DD197" s="56"/>
      <c r="DG197" s="55">
        <f t="shared" si="1284"/>
        <v>46188</v>
      </c>
      <c r="DH197" s="422"/>
      <c r="DI197" s="526">
        <f>SUMPRODUCT(PRODUCE!$B202:$DY202,PRODUCE!$EB$19:$IY$19)</f>
        <v>0</v>
      </c>
      <c r="DJ197" s="422"/>
      <c r="DK197" s="526">
        <f t="shared" si="1285"/>
        <v>0</v>
      </c>
      <c r="DL197" s="526">
        <f t="shared" si="1286"/>
        <v>35234.999999999985</v>
      </c>
      <c r="DM197" s="56"/>
      <c r="DP197" s="55">
        <f t="shared" si="1287"/>
        <v>46188</v>
      </c>
      <c r="DQ197" s="56"/>
      <c r="DR197" s="57">
        <f>SUMPRODUCT(PRODUCE!$B202:$DY202,PRODUCE!$EB$20:$IY$20)</f>
        <v>0</v>
      </c>
      <c r="DS197" s="56"/>
      <c r="DT197" s="57">
        <f t="shared" si="1288"/>
        <v>0</v>
      </c>
      <c r="DU197" s="57">
        <f t="shared" si="1289"/>
        <v>5800</v>
      </c>
      <c r="DV197" s="56"/>
      <c r="DY197" s="55">
        <f t="shared" si="1290"/>
        <v>46188</v>
      </c>
      <c r="DZ197" s="56"/>
      <c r="EA197" s="157">
        <f>SUMPRODUCT(PRODUCE!$B202:$DY202,PRODUCE!$EB$21:$IY$21)</f>
        <v>0</v>
      </c>
      <c r="EB197" s="56"/>
      <c r="EC197" s="157">
        <f t="shared" si="1291"/>
        <v>0</v>
      </c>
      <c r="ED197" s="157">
        <f t="shared" si="1292"/>
        <v>0</v>
      </c>
      <c r="EE197" s="56"/>
      <c r="EH197" s="55">
        <f t="shared" si="1293"/>
        <v>46188</v>
      </c>
      <c r="EI197" s="56"/>
      <c r="EJ197" s="162">
        <f>SUMPRODUCT(PRODUCE!$B202:$DY202,PRODUCE!$EB$22:$IY$22)</f>
        <v>0</v>
      </c>
      <c r="EK197" s="56"/>
      <c r="EL197" s="162">
        <f t="shared" si="1294"/>
        <v>0</v>
      </c>
      <c r="EM197" s="162">
        <f t="shared" si="1295"/>
        <v>0</v>
      </c>
      <c r="EN197" s="56"/>
      <c r="EQ197" s="55">
        <f t="shared" si="1296"/>
        <v>46188</v>
      </c>
      <c r="ER197" s="56"/>
      <c r="ES197" s="135">
        <f>SUMPRODUCT(PRODUCE!$B202:$DY202,PRODUCE!$EB$23:$IY$23)</f>
        <v>0</v>
      </c>
      <c r="ET197" s="56"/>
      <c r="EU197" s="135">
        <f t="shared" si="1297"/>
        <v>0</v>
      </c>
      <c r="EV197" s="135">
        <f t="shared" si="1298"/>
        <v>0</v>
      </c>
      <c r="EW197" s="56"/>
      <c r="EZ197" s="55">
        <f t="shared" si="1299"/>
        <v>46188</v>
      </c>
      <c r="FA197" s="56"/>
      <c r="FB197" s="175">
        <f>SUMPRODUCT(PRODUCE!$B202:$DY202,PRODUCE!$EB$24:$IY$24)</f>
        <v>0</v>
      </c>
      <c r="FC197" s="56"/>
      <c r="FD197" s="175">
        <f t="shared" si="1300"/>
        <v>0</v>
      </c>
      <c r="FE197" s="175">
        <f t="shared" si="1301"/>
        <v>0</v>
      </c>
      <c r="FF197" s="56"/>
      <c r="FI197" s="55">
        <f t="shared" si="1302"/>
        <v>46188</v>
      </c>
      <c r="FJ197" s="56"/>
      <c r="FK197" s="183">
        <f>SUMPRODUCT(PRODUCE!$B202:$DY202,PRODUCE!$EB$25:$IY$25)</f>
        <v>0</v>
      </c>
      <c r="FL197" s="56"/>
      <c r="FM197" s="183">
        <f t="shared" si="1303"/>
        <v>0</v>
      </c>
      <c r="FN197" s="183">
        <f t="shared" si="1304"/>
        <v>0</v>
      </c>
      <c r="FO197" s="56"/>
      <c r="FR197" s="55">
        <f t="shared" si="1305"/>
        <v>46188</v>
      </c>
      <c r="FS197" s="56"/>
      <c r="FT197" s="186">
        <f>SUMPRODUCT(PRODUCE!$B202:$DY202,PRODUCE!$EB$26:$IY$26)</f>
        <v>0</v>
      </c>
      <c r="FU197" s="56"/>
      <c r="FV197" s="186">
        <f t="shared" si="1306"/>
        <v>0</v>
      </c>
      <c r="FW197" s="186">
        <f t="shared" si="1307"/>
        <v>1160</v>
      </c>
      <c r="FX197" s="56"/>
      <c r="GA197" s="55">
        <f t="shared" si="1308"/>
        <v>46188</v>
      </c>
      <c r="GB197" s="56"/>
      <c r="GC197" s="137">
        <f>SUMPRODUCT(PRODUCE!$B202:$DY202,PRODUCE!$EB$27:$IY$27)</f>
        <v>0</v>
      </c>
      <c r="GD197" s="56"/>
      <c r="GE197" s="137">
        <f t="shared" si="1309"/>
        <v>0</v>
      </c>
      <c r="GF197" s="137">
        <f t="shared" si="1310"/>
        <v>960</v>
      </c>
      <c r="GG197" s="56"/>
      <c r="GI197" s="23"/>
      <c r="GJ197" s="55">
        <f t="shared" si="1311"/>
        <v>46188</v>
      </c>
      <c r="GK197" s="56"/>
      <c r="GL197" s="199">
        <f>SUMPRODUCT(PRODUCE!$B202:$DY202,PRODUCE!$EB$28:$IY$28)</f>
        <v>0</v>
      </c>
      <c r="GM197" s="56"/>
      <c r="GN197" s="199">
        <f t="shared" si="1312"/>
        <v>0</v>
      </c>
      <c r="GO197" s="199">
        <f t="shared" si="1313"/>
        <v>1760</v>
      </c>
      <c r="GP197" s="56"/>
      <c r="GS197" s="55">
        <f t="shared" si="1314"/>
        <v>46188</v>
      </c>
      <c r="GT197" s="56"/>
      <c r="GU197" s="195">
        <f>SUMPRODUCT(PRODUCE!$B202:$DY202,PRODUCE!$EB$29:$IY$29)</f>
        <v>0</v>
      </c>
      <c r="GV197" s="56"/>
      <c r="GW197" s="195">
        <f t="shared" si="1315"/>
        <v>0</v>
      </c>
      <c r="GX197" s="195">
        <f t="shared" si="1316"/>
        <v>400</v>
      </c>
      <c r="GY197" s="56"/>
      <c r="HB197" s="55">
        <f t="shared" si="1317"/>
        <v>46188</v>
      </c>
      <c r="HC197" s="56"/>
      <c r="HD197" s="191">
        <f>SUMPRODUCT(PRODUCE!$B202:$DY202,PRODUCE!$EB$30:$IY$30)</f>
        <v>0</v>
      </c>
      <c r="HE197" s="56"/>
      <c r="HF197" s="191">
        <f t="shared" si="1318"/>
        <v>0</v>
      </c>
      <c r="HG197" s="191">
        <f t="shared" si="1319"/>
        <v>3600</v>
      </c>
      <c r="HH197" s="56"/>
      <c r="HK197" s="55">
        <f t="shared" si="1320"/>
        <v>46188</v>
      </c>
      <c r="HL197" s="56"/>
      <c r="HM197" s="63">
        <f>SUMPRODUCT(PRODUCE!$B202:$DY202,PRODUCE!$EB$31:$IY$31)</f>
        <v>0</v>
      </c>
      <c r="HN197" s="56"/>
      <c r="HO197" s="63">
        <f t="shared" si="1321"/>
        <v>0</v>
      </c>
      <c r="HP197" s="63">
        <f t="shared" si="1322"/>
        <v>0</v>
      </c>
      <c r="HQ197" s="56"/>
      <c r="HU197" s="55">
        <f t="shared" si="1323"/>
        <v>46188</v>
      </c>
      <c r="HV197" s="56"/>
      <c r="HW197" s="242">
        <f>SUMPRODUCT(PRODUCE!$B202:$DY202,PRODUCE!$EB$32:$IY$32)</f>
        <v>0</v>
      </c>
      <c r="HX197" s="56"/>
      <c r="HY197" s="242">
        <f t="shared" si="1324"/>
        <v>0</v>
      </c>
      <c r="HZ197" s="242">
        <f t="shared" si="1325"/>
        <v>6800</v>
      </c>
      <c r="IA197" s="56"/>
      <c r="ID197" s="55">
        <f t="shared" si="1326"/>
        <v>46188</v>
      </c>
      <c r="IE197" s="56"/>
      <c r="IF197" s="242">
        <f>SUMPRODUCT(PRODUCE!$B202:$DY202,PRODUCE!$EB$33:$IY$33)</f>
        <v>0</v>
      </c>
      <c r="IG197" s="56"/>
      <c r="IH197" s="242">
        <f t="shared" si="1327"/>
        <v>0</v>
      </c>
      <c r="II197" s="242">
        <f t="shared" si="1328"/>
        <v>720</v>
      </c>
      <c r="IJ197" s="56"/>
      <c r="IM197" s="55">
        <f t="shared" si="1329"/>
        <v>46188</v>
      </c>
      <c r="IN197" s="56"/>
      <c r="IO197" s="242">
        <f>SUMPRODUCT(PRODUCE!$B202:$DY202,PRODUCE!$EB$34:$IY$34)</f>
        <v>0</v>
      </c>
      <c r="IP197" s="56"/>
      <c r="IQ197" s="242">
        <f t="shared" si="1330"/>
        <v>0</v>
      </c>
      <c r="IR197" s="242">
        <f t="shared" si="1331"/>
        <v>6520</v>
      </c>
      <c r="IS197" s="56"/>
      <c r="IV197" s="55">
        <f t="shared" si="1332"/>
        <v>46188</v>
      </c>
      <c r="IW197" s="56"/>
      <c r="IX197" s="242">
        <f>SUMPRODUCT(PRODUCE!$B202:$DY202,PRODUCE!$EB$35:$IY$35)</f>
        <v>0</v>
      </c>
      <c r="IY197" s="56"/>
      <c r="IZ197" s="242">
        <f t="shared" si="1333"/>
        <v>0</v>
      </c>
      <c r="JA197" s="242">
        <f t="shared" si="1334"/>
        <v>4960</v>
      </c>
      <c r="JB197" s="56"/>
      <c r="JE197" s="55">
        <f t="shared" si="1335"/>
        <v>46188</v>
      </c>
      <c r="JF197" s="56"/>
      <c r="JG197" s="242">
        <f>SUMPRODUCT(PRODUCE!$B202:$DY202,PRODUCE!$EB$36:$IY$36)</f>
        <v>0</v>
      </c>
      <c r="JH197" s="56"/>
      <c r="JI197" s="242">
        <f t="shared" si="1336"/>
        <v>0</v>
      </c>
      <c r="JJ197" s="242">
        <f t="shared" si="1337"/>
        <v>0</v>
      </c>
      <c r="JK197" s="56"/>
      <c r="JN197" s="55">
        <f t="shared" si="1338"/>
        <v>46188</v>
      </c>
      <c r="JO197" s="56"/>
      <c r="JP197" s="242">
        <f>SUMPRODUCT(PRODUCE!$B202:$DY202,PRODUCE!$EB$37:$IY$37)</f>
        <v>0</v>
      </c>
      <c r="JQ197" s="56"/>
      <c r="JR197" s="242">
        <f t="shared" si="1339"/>
        <v>0</v>
      </c>
      <c r="JS197" s="242">
        <f t="shared" si="1340"/>
        <v>0</v>
      </c>
      <c r="JT197" s="56"/>
      <c r="JW197" s="55">
        <f t="shared" si="1341"/>
        <v>46188</v>
      </c>
      <c r="JX197" s="56"/>
      <c r="JY197" s="242">
        <f>SUMPRODUCT(PRODUCE!$B202:$DY202,PRODUCE!$EB$38:$IY$38)</f>
        <v>0</v>
      </c>
      <c r="JZ197" s="56"/>
      <c r="KA197" s="242">
        <f t="shared" si="1342"/>
        <v>0</v>
      </c>
      <c r="KB197" s="242">
        <f t="shared" si="1343"/>
        <v>2540</v>
      </c>
      <c r="KC197" s="56"/>
      <c r="KF197" s="55">
        <f t="shared" si="1344"/>
        <v>46188</v>
      </c>
      <c r="KG197" s="56"/>
      <c r="KH197" s="242">
        <f>SUMPRODUCT(PRODUCE!$B202:$DY202,PRODUCE!$EB$39:$IY$39)</f>
        <v>0</v>
      </c>
      <c r="KI197" s="56"/>
      <c r="KJ197" s="242">
        <f t="shared" si="1345"/>
        <v>0</v>
      </c>
      <c r="KK197" s="242">
        <f t="shared" si="1346"/>
        <v>2359.5</v>
      </c>
      <c r="KL197" s="56"/>
      <c r="KO197" s="55">
        <f t="shared" si="1347"/>
        <v>46188</v>
      </c>
      <c r="KP197" s="56"/>
      <c r="KQ197" s="242">
        <f>SUMPRODUCT(PRODUCE!$B202:$DY202,PRODUCE!$EB$40:$IY$40)</f>
        <v>0</v>
      </c>
      <c r="KR197" s="56"/>
      <c r="KS197" s="242">
        <f t="shared" si="1348"/>
        <v>0</v>
      </c>
      <c r="KT197" s="242">
        <f t="shared" si="1349"/>
        <v>1890</v>
      </c>
      <c r="KU197" s="56"/>
      <c r="KW197" s="23"/>
      <c r="KX197" s="55">
        <f t="shared" si="1350"/>
        <v>46188</v>
      </c>
      <c r="KY197" s="56"/>
      <c r="KZ197" s="242">
        <f>SUMPRODUCT(PRODUCE!$B202:$DY202,PRODUCE!$EB$41:$IY$41)</f>
        <v>0</v>
      </c>
      <c r="LA197" s="56"/>
      <c r="LB197" s="242">
        <f t="shared" si="1351"/>
        <v>0</v>
      </c>
      <c r="LC197" s="242">
        <f t="shared" si="1352"/>
        <v>3690</v>
      </c>
      <c r="LD197" s="56"/>
      <c r="LG197" s="55">
        <f t="shared" si="1353"/>
        <v>46188</v>
      </c>
      <c r="LH197" s="56"/>
      <c r="LI197" s="242">
        <f>SUMPRODUCT(PRODUCE!$B202:$DY202,PRODUCE!$EB$42:$IY$42)</f>
        <v>0</v>
      </c>
      <c r="LJ197" s="56"/>
      <c r="LK197" s="242">
        <f t="shared" si="1354"/>
        <v>0</v>
      </c>
      <c r="LL197" s="242">
        <f t="shared" si="1355"/>
        <v>4000</v>
      </c>
      <c r="LM197" s="56"/>
      <c r="LP197" s="55">
        <f t="shared" si="1356"/>
        <v>46188</v>
      </c>
      <c r="LQ197" s="56"/>
      <c r="LR197" s="242">
        <f>SUMPRODUCT(PRODUCE!$B202:$DY202,PRODUCE!$EB$43:$IY$43)</f>
        <v>0</v>
      </c>
      <c r="LS197" s="56"/>
      <c r="LT197" s="242">
        <f t="shared" si="1357"/>
        <v>0</v>
      </c>
      <c r="LU197" s="242">
        <f t="shared" si="1358"/>
        <v>0</v>
      </c>
      <c r="LV197" s="56"/>
      <c r="LY197" s="55">
        <f t="shared" si="1359"/>
        <v>46188</v>
      </c>
      <c r="LZ197" s="56"/>
      <c r="MA197" s="242">
        <f>SUMPRODUCT(PRODUCE!$B202:$DY202,PRODUCE!$EB$44:$IY$44)</f>
        <v>0</v>
      </c>
      <c r="MB197" s="56"/>
      <c r="MC197" s="242">
        <f t="shared" si="1360"/>
        <v>0</v>
      </c>
      <c r="MD197" s="242">
        <f t="shared" si="1361"/>
        <v>0</v>
      </c>
      <c r="ME197" s="56"/>
      <c r="MH197" s="55">
        <f t="shared" si="1362"/>
        <v>46188</v>
      </c>
      <c r="MI197" s="56"/>
      <c r="MJ197" s="242">
        <f>SUMPRODUCT(PRODUCE!$B202:$DY202,PRODUCE!$EB$45:$IY$45)</f>
        <v>0</v>
      </c>
      <c r="MK197" s="56"/>
      <c r="ML197" s="242">
        <f t="shared" si="1363"/>
        <v>0</v>
      </c>
      <c r="MM197" s="242">
        <f t="shared" si="1364"/>
        <v>0</v>
      </c>
      <c r="MN197" s="56"/>
      <c r="MQ197" s="55">
        <f t="shared" si="1365"/>
        <v>46188</v>
      </c>
      <c r="MR197" s="56"/>
      <c r="MS197" s="242">
        <f>SUMPRODUCT(PRODUCE!$B202:$DY202,PRODUCE!$EB$46:$IY$46)</f>
        <v>0</v>
      </c>
      <c r="MT197" s="56"/>
      <c r="MU197" s="242">
        <f t="shared" si="1366"/>
        <v>0</v>
      </c>
      <c r="MV197" s="242">
        <f t="shared" si="1367"/>
        <v>3724</v>
      </c>
      <c r="MW197" s="56"/>
      <c r="MZ197" s="55">
        <f t="shared" si="1368"/>
        <v>46188</v>
      </c>
      <c r="NA197" s="56">
        <v>600</v>
      </c>
      <c r="NB197" s="242">
        <f>SUMPRODUCT(PRODUCE!$B202:$DY202,PRODUCE!$EB$47:$IY$47)</f>
        <v>0</v>
      </c>
      <c r="NC197" s="56">
        <v>600</v>
      </c>
      <c r="ND197" s="242">
        <f t="shared" si="1369"/>
        <v>-600</v>
      </c>
      <c r="NE197" s="242">
        <f t="shared" si="1370"/>
        <v>0</v>
      </c>
      <c r="NF197" s="56"/>
      <c r="NI197" s="55">
        <f t="shared" si="1371"/>
        <v>46188</v>
      </c>
      <c r="NJ197" s="56"/>
      <c r="NK197" s="242">
        <f>SUMPRODUCT(PRODUCE!$B202:$DY202,PRODUCE!$EB$48:$IY$48)</f>
        <v>0</v>
      </c>
      <c r="NL197" s="56"/>
      <c r="NM197" s="242">
        <f t="shared" si="1372"/>
        <v>0</v>
      </c>
      <c r="NN197" s="242">
        <f t="shared" si="1373"/>
        <v>1127</v>
      </c>
      <c r="NO197" s="56"/>
      <c r="NR197" s="55">
        <f t="shared" si="1374"/>
        <v>46188</v>
      </c>
      <c r="NS197" s="56"/>
      <c r="NT197" s="242">
        <f>SUMPRODUCT(PRODUCE!$B202:$DY202,PRODUCE!$EB$49:$IY$49)</f>
        <v>0</v>
      </c>
      <c r="NU197" s="56"/>
      <c r="NV197" s="242">
        <f t="shared" si="1375"/>
        <v>0</v>
      </c>
      <c r="NW197" s="242">
        <f t="shared" si="1376"/>
        <v>3111.9999999999995</v>
      </c>
      <c r="NX197" s="56"/>
      <c r="OA197" s="55">
        <f t="shared" si="1377"/>
        <v>46188</v>
      </c>
      <c r="OB197" s="56"/>
      <c r="OC197" s="242">
        <f>SUMPRODUCT(PRODUCE!$B202:$DY202,PRODUCE!$EB$50:$IY$50)</f>
        <v>0</v>
      </c>
      <c r="OD197" s="56"/>
      <c r="OE197" s="242">
        <f t="shared" si="1378"/>
        <v>0</v>
      </c>
      <c r="OF197" s="242">
        <f t="shared" si="1379"/>
        <v>1680.5</v>
      </c>
      <c r="OG197" s="56"/>
      <c r="OJ197" s="55">
        <f t="shared" si="1380"/>
        <v>46188</v>
      </c>
      <c r="OK197" s="56">
        <v>130</v>
      </c>
      <c r="OL197" s="242">
        <f>SUMPRODUCT(PRODUCE!$B202:$DY202,PRODUCE!$EB$51:$IY$51)</f>
        <v>0</v>
      </c>
      <c r="OM197" s="56">
        <v>130</v>
      </c>
      <c r="ON197" s="242">
        <f t="shared" si="1381"/>
        <v>-130</v>
      </c>
      <c r="OO197" s="242">
        <f t="shared" si="1382"/>
        <v>0</v>
      </c>
      <c r="OP197" s="56"/>
      <c r="OS197" s="55">
        <f t="shared" si="1383"/>
        <v>46188</v>
      </c>
      <c r="OT197" s="56"/>
      <c r="OU197" s="242">
        <f>SUMPRODUCT(PRODUCE!$B202:$DY202,PRODUCE!$EB$52:$IY$52)</f>
        <v>0</v>
      </c>
      <c r="OV197" s="56"/>
      <c r="OW197" s="242">
        <f t="shared" si="1384"/>
        <v>0</v>
      </c>
      <c r="OX197" s="242">
        <f t="shared" si="1385"/>
        <v>1482</v>
      </c>
      <c r="OY197" s="56"/>
      <c r="PB197" s="55">
        <f t="shared" si="1386"/>
        <v>46188</v>
      </c>
      <c r="PC197" s="56"/>
      <c r="PD197" s="242">
        <f>SUMPRODUCT(PRODUCE!$B202:$DY202,PRODUCE!$EB$53:$IY$53)</f>
        <v>0</v>
      </c>
      <c r="PE197" s="56"/>
      <c r="PF197" s="242">
        <f t="shared" si="1387"/>
        <v>0</v>
      </c>
      <c r="PG197" s="242">
        <f t="shared" si="1388"/>
        <v>0</v>
      </c>
      <c r="PH197" s="56"/>
      <c r="PK197" s="55">
        <f t="shared" si="1389"/>
        <v>46188</v>
      </c>
      <c r="PL197" s="56"/>
      <c r="PM197" s="242">
        <f>SUMPRODUCT(PRODUCE!$B202:$DY202,PRODUCE!$EB$54:$IY$54)</f>
        <v>0</v>
      </c>
      <c r="PN197" s="56"/>
      <c r="PO197" s="242">
        <f t="shared" si="1494"/>
        <v>0</v>
      </c>
      <c r="PP197" s="242">
        <f t="shared" si="1495"/>
        <v>100</v>
      </c>
      <c r="PQ197" s="56"/>
      <c r="PT197" s="55">
        <f t="shared" si="1392"/>
        <v>46188</v>
      </c>
      <c r="PU197" s="56"/>
      <c r="PV197" s="242">
        <f>SUMPRODUCT(PRODUCE!$B202:$DY202,PRODUCE!$EB$55:$IY$55)</f>
        <v>0</v>
      </c>
      <c r="PW197" s="56"/>
      <c r="PX197" s="242">
        <f t="shared" si="1393"/>
        <v>0</v>
      </c>
      <c r="PY197" s="242">
        <f t="shared" si="1394"/>
        <v>13.960000000000036</v>
      </c>
      <c r="PZ197" s="56"/>
      <c r="QC197" s="55">
        <f t="shared" si="1395"/>
        <v>46188</v>
      </c>
      <c r="QD197" s="56"/>
      <c r="QE197" s="242">
        <f>SUMPRODUCT(PRODUCE!$B202:$DY202,PRODUCE!$EB$56:$IY$56)</f>
        <v>0</v>
      </c>
      <c r="QF197" s="56"/>
      <c r="QG197" s="242">
        <f t="shared" si="1396"/>
        <v>0</v>
      </c>
      <c r="QH197" s="242">
        <f t="shared" si="1397"/>
        <v>1736</v>
      </c>
      <c r="QI197" s="56"/>
      <c r="QL197" s="55">
        <f t="shared" si="1398"/>
        <v>46188</v>
      </c>
      <c r="QM197" s="56"/>
      <c r="QN197" s="242">
        <f>SUMPRODUCT(PRODUCE!$B202:$DY202,PRODUCE!$EB$57:$IY$57)</f>
        <v>0</v>
      </c>
      <c r="QO197" s="56"/>
      <c r="QP197" s="242">
        <f t="shared" si="1399"/>
        <v>0</v>
      </c>
      <c r="QQ197" s="242">
        <f t="shared" si="1400"/>
        <v>250</v>
      </c>
      <c r="QR197" s="56"/>
      <c r="QU197" s="55">
        <f t="shared" si="1401"/>
        <v>46188</v>
      </c>
      <c r="QV197" s="56"/>
      <c r="QW197" s="242">
        <f>SUMPRODUCT(PRODUCE!$B202:$DY202,PRODUCE!$EB$58:$IY$58)</f>
        <v>0</v>
      </c>
      <c r="QX197" s="56"/>
      <c r="QY197" s="242">
        <f t="shared" si="1402"/>
        <v>0</v>
      </c>
      <c r="QZ197" s="242">
        <f t="shared" si="1403"/>
        <v>207.6</v>
      </c>
      <c r="RA197" s="56"/>
      <c r="RD197" s="55">
        <f t="shared" si="1404"/>
        <v>46188</v>
      </c>
      <c r="RE197" s="56"/>
      <c r="RF197" s="242">
        <f>SUMPRODUCT(PRODUCE!$B202:$DY202,PRODUCE!$EB$59:$IY$59)</f>
        <v>0</v>
      </c>
      <c r="RG197" s="56"/>
      <c r="RH197" s="242">
        <f t="shared" si="1405"/>
        <v>0</v>
      </c>
      <c r="RI197" s="242">
        <f t="shared" si="1406"/>
        <v>147.04000000000002</v>
      </c>
      <c r="RJ197" s="56"/>
      <c r="RM197" s="55">
        <f t="shared" si="1407"/>
        <v>46188</v>
      </c>
      <c r="RN197" s="56"/>
      <c r="RO197" s="242">
        <f>SUMPRODUCT(PRODUCE!$B202:$DY202,PRODUCE!$EB$60:$IY$60)</f>
        <v>0</v>
      </c>
      <c r="RP197" s="56"/>
      <c r="RQ197" s="242">
        <f t="shared" si="1408"/>
        <v>0</v>
      </c>
      <c r="RR197" s="242">
        <f t="shared" si="1409"/>
        <v>46.8</v>
      </c>
      <c r="RS197" s="56"/>
      <c r="RV197" s="55">
        <f t="shared" si="1410"/>
        <v>46188</v>
      </c>
      <c r="RW197" s="56"/>
      <c r="RX197" s="242">
        <f>SUMPRODUCT(PRODUCE!$B202:$DY202,PRODUCE!$EB$61:$IY$61)</f>
        <v>0</v>
      </c>
      <c r="RY197" s="56"/>
      <c r="RZ197" s="242">
        <f t="shared" si="1411"/>
        <v>0</v>
      </c>
      <c r="SA197" s="242">
        <f t="shared" si="1412"/>
        <v>0</v>
      </c>
      <c r="SB197" s="56"/>
      <c r="SE197" s="55">
        <f t="shared" si="1413"/>
        <v>46188</v>
      </c>
      <c r="SF197" s="56"/>
      <c r="SG197" s="242">
        <f>SUMPRODUCT(PRODUCE!$B202:$DY202,PRODUCE!$EB$62:$IY$62)</f>
        <v>0</v>
      </c>
      <c r="SH197" s="56"/>
      <c r="SI197" s="242">
        <f t="shared" si="1414"/>
        <v>0</v>
      </c>
      <c r="SJ197" s="242">
        <f t="shared" si="1415"/>
        <v>24.200000000000003</v>
      </c>
      <c r="SK197" s="56"/>
      <c r="SN197" s="55">
        <f t="shared" si="1416"/>
        <v>46188</v>
      </c>
      <c r="SO197" s="56"/>
      <c r="SP197" s="242">
        <f>SUMPRODUCT(PRODUCE!$B202:$DY202,PRODUCE!$EB$63:$IY$63)</f>
        <v>0</v>
      </c>
      <c r="SQ197" s="56"/>
      <c r="SR197" s="242">
        <f t="shared" si="1417"/>
        <v>0</v>
      </c>
      <c r="SS197" s="242">
        <f t="shared" si="1418"/>
        <v>32</v>
      </c>
      <c r="ST197" s="56"/>
      <c r="SW197" s="55">
        <f t="shared" si="1419"/>
        <v>46188</v>
      </c>
      <c r="SX197" s="56"/>
      <c r="SY197" s="242">
        <f>SUMPRODUCT(PRODUCE!$B202:$DY202,PRODUCE!$EB$64:$IY$64)</f>
        <v>0</v>
      </c>
      <c r="SZ197" s="56"/>
      <c r="TA197" s="242">
        <f t="shared" si="1420"/>
        <v>0</v>
      </c>
      <c r="TB197" s="242">
        <f t="shared" si="1421"/>
        <v>0</v>
      </c>
      <c r="TC197" s="56"/>
      <c r="TF197" s="55">
        <f t="shared" si="1422"/>
        <v>46188</v>
      </c>
      <c r="TG197" s="56"/>
      <c r="TH197" s="242">
        <f>SUMPRODUCT(PRODUCE!$B202:$DY202,PRODUCE!$EB$65:$IY$65)</f>
        <v>0</v>
      </c>
      <c r="TI197" s="56"/>
      <c r="TJ197" s="242">
        <f t="shared" si="1423"/>
        <v>0</v>
      </c>
      <c r="TK197" s="242">
        <f t="shared" si="1424"/>
        <v>0</v>
      </c>
      <c r="TL197" s="56"/>
      <c r="TO197" s="55">
        <f t="shared" si="1425"/>
        <v>46188</v>
      </c>
      <c r="TP197" s="56"/>
      <c r="TQ197" s="242">
        <f>SUMPRODUCT(PRODUCE!$B202:$DY202,PRODUCE!$EB$66:$IY$66)</f>
        <v>0</v>
      </c>
      <c r="TR197" s="56"/>
      <c r="TS197" s="242">
        <f t="shared" si="1426"/>
        <v>0</v>
      </c>
      <c r="TT197" s="242">
        <f t="shared" si="1427"/>
        <v>22.400000000000006</v>
      </c>
      <c r="TU197" s="56"/>
      <c r="TX197" s="55">
        <f t="shared" si="1428"/>
        <v>46188</v>
      </c>
      <c r="TY197" s="56"/>
      <c r="TZ197" s="242">
        <f>SUMPRODUCT(PRODUCE!$B202:$DY202,PRODUCE!$EB$67:$IY$67)</f>
        <v>0</v>
      </c>
      <c r="UA197" s="56"/>
      <c r="UB197" s="242">
        <f t="shared" si="1429"/>
        <v>0</v>
      </c>
      <c r="UC197" s="242">
        <f t="shared" si="1430"/>
        <v>46.799999999999983</v>
      </c>
      <c r="UD197" s="56"/>
      <c r="UG197" s="55">
        <f t="shared" si="1431"/>
        <v>46188</v>
      </c>
      <c r="UH197" s="56"/>
      <c r="UI197" s="242">
        <f>SUMPRODUCT(PRODUCE!$B202:$DY202,PRODUCE!$EB$68:$IY$68)</f>
        <v>0</v>
      </c>
      <c r="UJ197" s="56"/>
      <c r="UK197" s="242">
        <f t="shared" si="1432"/>
        <v>0</v>
      </c>
      <c r="UL197" s="242">
        <f t="shared" si="1433"/>
        <v>204</v>
      </c>
      <c r="UM197" s="56"/>
      <c r="UP197" s="55">
        <f t="shared" si="1434"/>
        <v>46188</v>
      </c>
      <c r="UQ197" s="56"/>
      <c r="UR197" s="242">
        <f>SUMPRODUCT(PRODUCE!$B202:$DY202,PRODUCE!$EB$69:$IY$69)</f>
        <v>0</v>
      </c>
      <c r="US197" s="56"/>
      <c r="UT197" s="242">
        <f t="shared" si="1435"/>
        <v>0</v>
      </c>
      <c r="UU197" s="242">
        <f t="shared" si="1436"/>
        <v>251.25</v>
      </c>
      <c r="UV197" s="56"/>
      <c r="UY197" s="55">
        <f t="shared" si="1437"/>
        <v>46188</v>
      </c>
      <c r="UZ197" s="56"/>
      <c r="VA197" s="242">
        <f>SUMPRODUCT(PRODUCE!$B202:$DY202,PRODUCE!$EB$70:$IY$70)</f>
        <v>0</v>
      </c>
      <c r="VB197" s="56"/>
      <c r="VC197" s="242">
        <f t="shared" si="1438"/>
        <v>0</v>
      </c>
      <c r="VD197" s="242">
        <f t="shared" si="1439"/>
        <v>41.600000000000023</v>
      </c>
      <c r="VE197" s="56"/>
      <c r="VH197" s="55">
        <f t="shared" si="1440"/>
        <v>46188</v>
      </c>
      <c r="VI197" s="56"/>
      <c r="VJ197" s="242">
        <f>SUMPRODUCT(PRODUCE!$B202:$DY202,PRODUCE!$EB$71:$IY$71)</f>
        <v>0</v>
      </c>
      <c r="VK197" s="56"/>
      <c r="VL197" s="242">
        <f t="shared" si="1441"/>
        <v>0</v>
      </c>
      <c r="VM197" s="242">
        <f t="shared" si="1442"/>
        <v>210</v>
      </c>
      <c r="VN197" s="56"/>
      <c r="VQ197" s="55">
        <f t="shared" si="1443"/>
        <v>46188</v>
      </c>
      <c r="VR197" s="56"/>
      <c r="VS197" s="242">
        <f>SUMPRODUCT(PRODUCE!$B202:$DY202,PRODUCE!$EB$57:$IY$57)</f>
        <v>0</v>
      </c>
      <c r="VT197" s="56"/>
      <c r="VU197" s="242">
        <f t="shared" si="1444"/>
        <v>0</v>
      </c>
      <c r="VV197" s="242">
        <f t="shared" si="1445"/>
        <v>0</v>
      </c>
      <c r="VW197" s="56"/>
      <c r="VZ197" s="55">
        <f t="shared" si="1446"/>
        <v>46188</v>
      </c>
      <c r="WA197" s="56"/>
      <c r="WB197" s="242">
        <f>SUMPRODUCT(PRODUCE!$B202:$DY202,PRODUCE!$EB$57:$IY$57)</f>
        <v>0</v>
      </c>
      <c r="WC197" s="56"/>
      <c r="WD197" s="242">
        <f t="shared" si="1447"/>
        <v>0</v>
      </c>
      <c r="WE197" s="242">
        <f t="shared" si="1448"/>
        <v>0</v>
      </c>
      <c r="WF197" s="56"/>
      <c r="WI197" s="55">
        <f t="shared" si="1449"/>
        <v>46188</v>
      </c>
      <c r="WJ197" s="422"/>
      <c r="WK197" s="540">
        <f>SUMPRODUCT(PRODUCE!$B202:$DY202,PRODUCE!$EB$74:$IY$74)</f>
        <v>0</v>
      </c>
      <c r="WL197" s="422"/>
      <c r="WM197" s="540">
        <f t="shared" si="1450"/>
        <v>0</v>
      </c>
      <c r="WN197" s="540">
        <f t="shared" si="1451"/>
        <v>1199</v>
      </c>
      <c r="WO197" s="56"/>
      <c r="WR197" s="55">
        <f t="shared" si="1452"/>
        <v>46188</v>
      </c>
      <c r="WS197" s="422"/>
      <c r="WT197" s="540">
        <f>SUMPRODUCT(PRODUCE!$B202:$DY202,PRODUCE!$EB$75:$IY$75)</f>
        <v>0</v>
      </c>
      <c r="WU197" s="422"/>
      <c r="WV197" s="540">
        <f t="shared" si="1453"/>
        <v>0</v>
      </c>
      <c r="WW197" s="540">
        <f t="shared" si="1454"/>
        <v>0</v>
      </c>
      <c r="WX197" s="56"/>
      <c r="XA197" s="55">
        <f t="shared" si="1455"/>
        <v>46188</v>
      </c>
      <c r="XB197" s="422"/>
      <c r="XC197" s="540">
        <f>SUMPRODUCT(PRODUCE!$B202:$DY202,PRODUCE!$EB$76:$IY$76)</f>
        <v>0</v>
      </c>
      <c r="XD197" s="422"/>
      <c r="XE197" s="540">
        <f t="shared" si="1456"/>
        <v>0</v>
      </c>
      <c r="XF197" s="540">
        <f t="shared" si="1457"/>
        <v>6813</v>
      </c>
      <c r="XG197" s="56"/>
      <c r="XJ197" s="55">
        <f t="shared" si="1458"/>
        <v>46188</v>
      </c>
      <c r="XK197" s="422"/>
      <c r="XL197" s="540">
        <f>SUMPRODUCT(PRODUCE!$B202:$DY202,PRODUCE!$EB$77:$IY$77)</f>
        <v>0</v>
      </c>
      <c r="XM197" s="422"/>
      <c r="XN197" s="540">
        <f t="shared" si="1459"/>
        <v>0</v>
      </c>
      <c r="XO197" s="540">
        <f t="shared" si="1460"/>
        <v>5717</v>
      </c>
      <c r="XP197" s="56"/>
      <c r="XS197" s="55">
        <f t="shared" si="1461"/>
        <v>46188</v>
      </c>
      <c r="XT197" s="56"/>
      <c r="XU197" s="242">
        <f>SUMPRODUCT(PRODUCE!$B202:$DY202,PRODUCE!$EB$78:$IY$78)</f>
        <v>0</v>
      </c>
      <c r="XV197" s="56"/>
      <c r="XW197" s="242">
        <f t="shared" si="1462"/>
        <v>0</v>
      </c>
      <c r="XX197" s="242">
        <f t="shared" si="1463"/>
        <v>1621</v>
      </c>
      <c r="XY197" s="56"/>
      <c r="YB197" s="55">
        <f t="shared" si="1464"/>
        <v>46188</v>
      </c>
      <c r="YC197" s="56"/>
      <c r="YD197" s="242">
        <f>SUMPRODUCT(PRODUCE!$B202:$DY202,PRODUCE!$EB$79:$IY$79)</f>
        <v>0</v>
      </c>
      <c r="YE197" s="56"/>
      <c r="YF197" s="242">
        <f t="shared" si="1465"/>
        <v>0</v>
      </c>
      <c r="YG197" s="242">
        <f t="shared" si="1466"/>
        <v>4072</v>
      </c>
      <c r="YH197" s="56"/>
      <c r="YK197" s="55">
        <f t="shared" si="1467"/>
        <v>46188</v>
      </c>
      <c r="YL197" s="56"/>
      <c r="YM197" s="242">
        <f>SUMPRODUCT(PRODUCE!$B202:$DY202,PRODUCE!$EB$80:$IY$80)</f>
        <v>0</v>
      </c>
      <c r="YN197" s="56"/>
      <c r="YO197" s="242">
        <f t="shared" si="1468"/>
        <v>0</v>
      </c>
      <c r="YP197" s="242">
        <f t="shared" si="1469"/>
        <v>0</v>
      </c>
      <c r="YQ197" s="56"/>
      <c r="YT197" s="55">
        <f t="shared" si="1470"/>
        <v>46188</v>
      </c>
      <c r="YU197" s="56"/>
      <c r="YV197" s="242">
        <f>SUMPRODUCT(PRODUCE!$B202:$DY202,PRODUCE!$EB$57:$IY$57)</f>
        <v>0</v>
      </c>
      <c r="YW197" s="56"/>
      <c r="YX197" s="242">
        <f t="shared" si="1471"/>
        <v>0</v>
      </c>
      <c r="YY197" s="242">
        <f t="shared" si="1472"/>
        <v>0</v>
      </c>
      <c r="YZ197" s="56"/>
      <c r="ZC197" s="55">
        <f t="shared" si="1473"/>
        <v>46188</v>
      </c>
      <c r="ZD197" s="56"/>
      <c r="ZE197" s="242">
        <f>SUMPRODUCT(PRODUCE!$B202:$DY202,PRODUCE!$EB$57:$IY$57)</f>
        <v>0</v>
      </c>
      <c r="ZF197" s="56"/>
      <c r="ZG197" s="242">
        <f t="shared" si="1474"/>
        <v>0</v>
      </c>
      <c r="ZH197" s="242">
        <f t="shared" si="1475"/>
        <v>0</v>
      </c>
      <c r="ZI197" s="56"/>
      <c r="ZL197" s="55">
        <f t="shared" si="1476"/>
        <v>46188</v>
      </c>
      <c r="ZM197" s="56"/>
      <c r="ZN197" s="242">
        <f>SUMPRODUCT(PRODUCE!$B202:$DY202,PRODUCE!$EB$57:$IY$57)</f>
        <v>0</v>
      </c>
      <c r="ZO197" s="56"/>
      <c r="ZP197" s="242">
        <f t="shared" si="1477"/>
        <v>0</v>
      </c>
      <c r="ZQ197" s="242">
        <f t="shared" si="1478"/>
        <v>0</v>
      </c>
      <c r="ZR197" s="56"/>
      <c r="ZU197" s="55">
        <f t="shared" si="1479"/>
        <v>46188</v>
      </c>
      <c r="ZV197" s="56"/>
      <c r="ZW197" s="242">
        <f>SUMPRODUCT(PRODUCE!$B202:$DY202,PRODUCE!$EB$57:$IY$57)</f>
        <v>0</v>
      </c>
      <c r="ZX197" s="56"/>
      <c r="ZY197" s="242">
        <f t="shared" si="1480"/>
        <v>0</v>
      </c>
      <c r="ZZ197" s="242">
        <f t="shared" si="1481"/>
        <v>0</v>
      </c>
      <c r="AAA197" s="56"/>
      <c r="AAD197" s="55">
        <f t="shared" si="1482"/>
        <v>46188</v>
      </c>
      <c r="AAE197" s="56"/>
      <c r="AAF197" s="242">
        <f>SUMPRODUCT(PRODUCE!$B202:$DY202,PRODUCE!$EB$57:$IY$57)</f>
        <v>0</v>
      </c>
      <c r="AAG197" s="56"/>
      <c r="AAH197" s="242">
        <f t="shared" si="1483"/>
        <v>0</v>
      </c>
      <c r="AAI197" s="242">
        <f t="shared" si="1484"/>
        <v>0</v>
      </c>
      <c r="AAJ197" s="56"/>
      <c r="AAM197" s="55">
        <f t="shared" si="1485"/>
        <v>46188</v>
      </c>
      <c r="AAN197" s="56"/>
      <c r="AAO197" s="242">
        <f>SUMPRODUCT(PRODUCE!$B202:$DY202,PRODUCE!$EB$57:$IY$57)</f>
        <v>0</v>
      </c>
      <c r="AAP197" s="56"/>
      <c r="AAQ197" s="242">
        <f t="shared" si="1486"/>
        <v>0</v>
      </c>
      <c r="AAR197" s="242">
        <f t="shared" si="1487"/>
        <v>0</v>
      </c>
      <c r="AAS197" s="56"/>
      <c r="AAV197" s="55">
        <f t="shared" si="1488"/>
        <v>46188</v>
      </c>
      <c r="AAW197" s="56"/>
      <c r="AAX197" s="242">
        <f>SUMPRODUCT(PRODUCE!$B202:$DY202,PRODUCE!$EB$57:$IY$57)</f>
        <v>0</v>
      </c>
      <c r="AAY197" s="56"/>
      <c r="AAZ197" s="242">
        <f t="shared" si="1489"/>
        <v>0</v>
      </c>
      <c r="ABA197" s="242">
        <f t="shared" si="1490"/>
        <v>0</v>
      </c>
      <c r="ABB197" s="56"/>
      <c r="ABE197" s="55">
        <f t="shared" si="1491"/>
        <v>46188</v>
      </c>
      <c r="ABF197" s="56"/>
      <c r="ABG197" s="242">
        <f>SUMPRODUCT(PRODUCE!$B202:$DY202,PRODUCE!$EB$57:$IY$57)</f>
        <v>0</v>
      </c>
      <c r="ABH197" s="56"/>
      <c r="ABI197" s="242">
        <f t="shared" si="1492"/>
        <v>0</v>
      </c>
      <c r="ABJ197" s="242">
        <f t="shared" si="1493"/>
        <v>0</v>
      </c>
      <c r="ABK197" s="56"/>
    </row>
    <row r="198" spans="2:739" s="54" customFormat="1" ht="15" customHeight="1" outlineLevel="1">
      <c r="B198" s="478">
        <v>20</v>
      </c>
      <c r="C198" s="55">
        <v>46189</v>
      </c>
      <c r="D198" s="422">
        <v>26150</v>
      </c>
      <c r="E198" s="423">
        <f>SUMPRODUCT(PRODUCE!$B203:$DY203,PRODUCE!$EB$7:$IY$7)</f>
        <v>10902.9</v>
      </c>
      <c r="F198" s="422">
        <v>10890</v>
      </c>
      <c r="G198" s="423">
        <f t="shared" si="1249"/>
        <v>12.899999999999636</v>
      </c>
      <c r="H198" s="423">
        <f t="shared" si="1250"/>
        <v>105136.00000000006</v>
      </c>
      <c r="I198" s="289" t="s">
        <v>276</v>
      </c>
      <c r="L198" s="55">
        <f t="shared" si="1251"/>
        <v>46189</v>
      </c>
      <c r="M198" s="422">
        <v>27850</v>
      </c>
      <c r="N198" s="438">
        <f>SUMPRODUCT(PRODUCE!$B203:$DY203,PRODUCE!$EB$8:$IY$8)</f>
        <v>5949.7000000000007</v>
      </c>
      <c r="O198" s="422">
        <v>5954</v>
      </c>
      <c r="P198" s="438">
        <f t="shared" si="1252"/>
        <v>-4.2999999999992724</v>
      </c>
      <c r="Q198" s="438">
        <f t="shared" si="1253"/>
        <v>69432.400000000081</v>
      </c>
      <c r="R198" s="56"/>
      <c r="U198" s="55">
        <f t="shared" si="1254"/>
        <v>46189</v>
      </c>
      <c r="V198" s="422"/>
      <c r="W198" s="440">
        <f>SUMPRODUCT(PRODUCE!$B203:$DY203,PRODUCE!$EB$9:$IY$9)</f>
        <v>1200</v>
      </c>
      <c r="X198" s="422">
        <v>1199.3</v>
      </c>
      <c r="Y198" s="440">
        <f t="shared" si="1255"/>
        <v>0.70000000000004547</v>
      </c>
      <c r="Z198" s="440">
        <f t="shared" si="1256"/>
        <v>40489.199999999983</v>
      </c>
      <c r="AA198" s="56"/>
      <c r="AD198" s="55">
        <f t="shared" si="1257"/>
        <v>46189</v>
      </c>
      <c r="AE198" s="422"/>
      <c r="AF198" s="442">
        <f>SUMPRODUCT(PRODUCE!$B203:$DY203,PRODUCE!$EB$10:$IY$10)</f>
        <v>0</v>
      </c>
      <c r="AG198" s="422"/>
      <c r="AH198" s="442">
        <f t="shared" si="1258"/>
        <v>0</v>
      </c>
      <c r="AI198" s="442">
        <f t="shared" si="1259"/>
        <v>33372.700000000019</v>
      </c>
      <c r="AJ198" s="56"/>
      <c r="AM198" s="55">
        <f t="shared" si="1260"/>
        <v>46189</v>
      </c>
      <c r="AN198" s="422"/>
      <c r="AO198" s="444">
        <f>SUMPRODUCT(PRODUCE!$B203:$DY203,PRODUCE!$EB$11:$IY$11)</f>
        <v>0</v>
      </c>
      <c r="AP198" s="422"/>
      <c r="AQ198" s="444">
        <f t="shared" si="1261"/>
        <v>0</v>
      </c>
      <c r="AR198" s="444">
        <f t="shared" si="1262"/>
        <v>0</v>
      </c>
      <c r="AS198" s="56"/>
      <c r="AV198" s="55">
        <f t="shared" si="1263"/>
        <v>46189</v>
      </c>
      <c r="AW198" s="422"/>
      <c r="AX198" s="446">
        <f>SUMPRODUCT(PRODUCE!$B203:$DY203,PRODUCE!$EB$12:$IY$12)</f>
        <v>0</v>
      </c>
      <c r="AY198" s="422"/>
      <c r="AZ198" s="446">
        <f t="shared" si="1264"/>
        <v>0</v>
      </c>
      <c r="BA198" s="446">
        <f t="shared" si="1265"/>
        <v>14066.499999999996</v>
      </c>
      <c r="BB198" s="56"/>
      <c r="BE198" s="55">
        <f t="shared" si="1266"/>
        <v>46189</v>
      </c>
      <c r="BF198" s="422"/>
      <c r="BG198" s="448">
        <f>SUMPRODUCT(PRODUCE!$B203:$DY203,PRODUCE!$EB$13:$IY$13)</f>
        <v>0</v>
      </c>
      <c r="BH198" s="422"/>
      <c r="BI198" s="448">
        <f t="shared" si="1267"/>
        <v>0</v>
      </c>
      <c r="BJ198" s="448">
        <f t="shared" si="1268"/>
        <v>39235.399999999994</v>
      </c>
      <c r="BK198" s="56"/>
      <c r="BN198" s="55">
        <f t="shared" si="1269"/>
        <v>46189</v>
      </c>
      <c r="BO198" s="422">
        <v>100</v>
      </c>
      <c r="BP198" s="450">
        <f>SUMPRODUCT(PRODUCE!$B203:$DY203,PRODUCE!$EB$14:$IY$14)</f>
        <v>100</v>
      </c>
      <c r="BQ198" s="422">
        <v>100</v>
      </c>
      <c r="BR198" s="450">
        <f t="shared" si="1270"/>
        <v>0</v>
      </c>
      <c r="BS198" s="450">
        <f t="shared" si="1271"/>
        <v>0</v>
      </c>
      <c r="BT198" s="56"/>
      <c r="BW198" s="55">
        <f t="shared" si="1272"/>
        <v>46189</v>
      </c>
      <c r="BX198" s="422"/>
      <c r="BY198" s="523">
        <f>SUMPRODUCT(PRODUCE!$B203:$DY203,PRODUCE!$EB$15:$IY$15)</f>
        <v>147.10000000000002</v>
      </c>
      <c r="BZ198" s="422"/>
      <c r="CA198" s="523">
        <f t="shared" si="1273"/>
        <v>147.10000000000002</v>
      </c>
      <c r="CB198" s="523">
        <f t="shared" si="1274"/>
        <v>3217.7499999999991</v>
      </c>
      <c r="CC198" s="56"/>
      <c r="CF198" s="55">
        <f t="shared" si="1275"/>
        <v>46189</v>
      </c>
      <c r="CG198" s="422"/>
      <c r="CH198" s="524">
        <f>SUMPRODUCT(PRODUCE!$B203:$DY203,PRODUCE!$EB$16:$IY$16)</f>
        <v>0</v>
      </c>
      <c r="CI198" s="422"/>
      <c r="CJ198" s="524">
        <f t="shared" si="1276"/>
        <v>0</v>
      </c>
      <c r="CK198" s="524">
        <f t="shared" si="1277"/>
        <v>0</v>
      </c>
      <c r="CL198" s="56"/>
      <c r="CO198" s="55">
        <f t="shared" si="1278"/>
        <v>46189</v>
      </c>
      <c r="CP198" s="422"/>
      <c r="CQ198" s="470">
        <f>SUMPRODUCT(PRODUCE!$B203:$DY203,PRODUCE!$EB$17:$IY$17)</f>
        <v>0</v>
      </c>
      <c r="CR198" s="422"/>
      <c r="CS198" s="470">
        <f t="shared" si="1279"/>
        <v>0</v>
      </c>
      <c r="CT198" s="470">
        <f t="shared" si="1280"/>
        <v>0</v>
      </c>
      <c r="CU198" s="56"/>
      <c r="CX198" s="55">
        <f t="shared" si="1281"/>
        <v>46189</v>
      </c>
      <c r="CY198" s="422"/>
      <c r="CZ198" s="525">
        <f>SUMPRODUCT(PRODUCE!$B203:$DY203,PRODUCE!$EB$18:$IY$18)</f>
        <v>400</v>
      </c>
      <c r="DA198" s="422">
        <v>399.7</v>
      </c>
      <c r="DB198" s="525">
        <f t="shared" si="1282"/>
        <v>0.30000000000001137</v>
      </c>
      <c r="DC198" s="525">
        <f t="shared" si="1283"/>
        <v>15341.800000000007</v>
      </c>
      <c r="DD198" s="56"/>
      <c r="DG198" s="55">
        <f t="shared" si="1284"/>
        <v>46189</v>
      </c>
      <c r="DH198" s="422"/>
      <c r="DI198" s="526">
        <f>SUMPRODUCT(PRODUCE!$B203:$DY203,PRODUCE!$EB$19:$IY$19)</f>
        <v>0</v>
      </c>
      <c r="DJ198" s="422"/>
      <c r="DK198" s="526">
        <f t="shared" si="1285"/>
        <v>0</v>
      </c>
      <c r="DL198" s="526">
        <f t="shared" si="1286"/>
        <v>35234.999999999985</v>
      </c>
      <c r="DM198" s="56"/>
      <c r="DP198" s="55">
        <f t="shared" si="1287"/>
        <v>46189</v>
      </c>
      <c r="DQ198" s="56"/>
      <c r="DR198" s="57">
        <f>SUMPRODUCT(PRODUCE!$B203:$DY203,PRODUCE!$EB$20:$IY$20)</f>
        <v>0</v>
      </c>
      <c r="DS198" s="56"/>
      <c r="DT198" s="57">
        <f t="shared" si="1288"/>
        <v>0</v>
      </c>
      <c r="DU198" s="57">
        <f t="shared" si="1289"/>
        <v>5800</v>
      </c>
      <c r="DV198" s="56"/>
      <c r="DY198" s="55">
        <f t="shared" si="1290"/>
        <v>46189</v>
      </c>
      <c r="DZ198" s="56"/>
      <c r="EA198" s="157">
        <f>SUMPRODUCT(PRODUCE!$B203:$DY203,PRODUCE!$EB$21:$IY$21)</f>
        <v>0</v>
      </c>
      <c r="EB198" s="56"/>
      <c r="EC198" s="157">
        <f t="shared" si="1291"/>
        <v>0</v>
      </c>
      <c r="ED198" s="157">
        <f t="shared" si="1292"/>
        <v>0</v>
      </c>
      <c r="EE198" s="56"/>
      <c r="EH198" s="55">
        <f t="shared" si="1293"/>
        <v>46189</v>
      </c>
      <c r="EI198" s="56"/>
      <c r="EJ198" s="162">
        <f>SUMPRODUCT(PRODUCE!$B203:$DY203,PRODUCE!$EB$22:$IY$22)</f>
        <v>0</v>
      </c>
      <c r="EK198" s="56"/>
      <c r="EL198" s="162">
        <f t="shared" si="1294"/>
        <v>0</v>
      </c>
      <c r="EM198" s="162">
        <f t="shared" si="1295"/>
        <v>0</v>
      </c>
      <c r="EN198" s="56"/>
      <c r="EQ198" s="55">
        <f t="shared" si="1296"/>
        <v>46189</v>
      </c>
      <c r="ER198" s="56"/>
      <c r="ES198" s="135">
        <f>SUMPRODUCT(PRODUCE!$B203:$DY203,PRODUCE!$EB$23:$IY$23)</f>
        <v>0</v>
      </c>
      <c r="ET198" s="56"/>
      <c r="EU198" s="135">
        <f t="shared" si="1297"/>
        <v>0</v>
      </c>
      <c r="EV198" s="135">
        <f t="shared" si="1298"/>
        <v>0</v>
      </c>
      <c r="EW198" s="56"/>
      <c r="EZ198" s="55">
        <f t="shared" si="1299"/>
        <v>46189</v>
      </c>
      <c r="FA198" s="56"/>
      <c r="FB198" s="175">
        <f>SUMPRODUCT(PRODUCE!$B203:$DY203,PRODUCE!$EB$24:$IY$24)</f>
        <v>0</v>
      </c>
      <c r="FC198" s="56"/>
      <c r="FD198" s="175">
        <f t="shared" si="1300"/>
        <v>0</v>
      </c>
      <c r="FE198" s="175">
        <f t="shared" si="1301"/>
        <v>0</v>
      </c>
      <c r="FF198" s="56"/>
      <c r="FI198" s="55">
        <f t="shared" si="1302"/>
        <v>46189</v>
      </c>
      <c r="FJ198" s="56"/>
      <c r="FK198" s="183">
        <f>SUMPRODUCT(PRODUCE!$B203:$DY203,PRODUCE!$EB$25:$IY$25)</f>
        <v>0</v>
      </c>
      <c r="FL198" s="56"/>
      <c r="FM198" s="183">
        <f t="shared" si="1303"/>
        <v>0</v>
      </c>
      <c r="FN198" s="183">
        <f t="shared" si="1304"/>
        <v>0</v>
      </c>
      <c r="FO198" s="56"/>
      <c r="FR198" s="55">
        <f t="shared" si="1305"/>
        <v>46189</v>
      </c>
      <c r="FS198" s="56"/>
      <c r="FT198" s="186">
        <f>SUMPRODUCT(PRODUCE!$B203:$DY203,PRODUCE!$EB$26:$IY$26)</f>
        <v>0</v>
      </c>
      <c r="FU198" s="56"/>
      <c r="FV198" s="186">
        <f t="shared" si="1306"/>
        <v>0</v>
      </c>
      <c r="FW198" s="186">
        <f t="shared" si="1307"/>
        <v>1160</v>
      </c>
      <c r="FX198" s="56"/>
      <c r="GA198" s="55">
        <f t="shared" si="1308"/>
        <v>46189</v>
      </c>
      <c r="GB198" s="56"/>
      <c r="GC198" s="137">
        <f>SUMPRODUCT(PRODUCE!$B203:$DY203,PRODUCE!$EB$27:$IY$27)</f>
        <v>0</v>
      </c>
      <c r="GD198" s="56"/>
      <c r="GE198" s="137">
        <f t="shared" si="1309"/>
        <v>0</v>
      </c>
      <c r="GF198" s="137">
        <f t="shared" si="1310"/>
        <v>960</v>
      </c>
      <c r="GG198" s="56"/>
      <c r="GI198" s="23"/>
      <c r="GJ198" s="55">
        <f t="shared" si="1311"/>
        <v>46189</v>
      </c>
      <c r="GK198" s="56"/>
      <c r="GL198" s="199">
        <f>SUMPRODUCT(PRODUCE!$B203:$DY203,PRODUCE!$EB$28:$IY$28)</f>
        <v>0</v>
      </c>
      <c r="GM198" s="56"/>
      <c r="GN198" s="199">
        <f t="shared" si="1312"/>
        <v>0</v>
      </c>
      <c r="GO198" s="199">
        <f t="shared" si="1313"/>
        <v>1760</v>
      </c>
      <c r="GP198" s="56"/>
      <c r="GS198" s="55">
        <f t="shared" si="1314"/>
        <v>46189</v>
      </c>
      <c r="GT198" s="56"/>
      <c r="GU198" s="195">
        <f>SUMPRODUCT(PRODUCE!$B203:$DY203,PRODUCE!$EB$29:$IY$29)</f>
        <v>0</v>
      </c>
      <c r="GV198" s="56"/>
      <c r="GW198" s="195">
        <f t="shared" si="1315"/>
        <v>0</v>
      </c>
      <c r="GX198" s="195">
        <f t="shared" si="1316"/>
        <v>400</v>
      </c>
      <c r="GY198" s="56"/>
      <c r="HB198" s="55">
        <f t="shared" si="1317"/>
        <v>46189</v>
      </c>
      <c r="HC198" s="56"/>
      <c r="HD198" s="191">
        <f>SUMPRODUCT(PRODUCE!$B203:$DY203,PRODUCE!$EB$30:$IY$30)</f>
        <v>0</v>
      </c>
      <c r="HE198" s="56"/>
      <c r="HF198" s="191">
        <f t="shared" si="1318"/>
        <v>0</v>
      </c>
      <c r="HG198" s="191">
        <f t="shared" si="1319"/>
        <v>3600</v>
      </c>
      <c r="HH198" s="56"/>
      <c r="HK198" s="55">
        <f t="shared" si="1320"/>
        <v>46189</v>
      </c>
      <c r="HL198" s="56"/>
      <c r="HM198" s="63">
        <f>SUMPRODUCT(PRODUCE!$B203:$DY203,PRODUCE!$EB$31:$IY$31)</f>
        <v>0</v>
      </c>
      <c r="HN198" s="56"/>
      <c r="HO198" s="63">
        <f t="shared" si="1321"/>
        <v>0</v>
      </c>
      <c r="HP198" s="63">
        <f t="shared" si="1322"/>
        <v>0</v>
      </c>
      <c r="HQ198" s="56"/>
      <c r="HU198" s="55">
        <f t="shared" si="1323"/>
        <v>46189</v>
      </c>
      <c r="HV198" s="56"/>
      <c r="HW198" s="242">
        <f>SUMPRODUCT(PRODUCE!$B203:$DY203,PRODUCE!$EB$32:$IY$32)</f>
        <v>0</v>
      </c>
      <c r="HX198" s="56"/>
      <c r="HY198" s="242">
        <f t="shared" si="1324"/>
        <v>0</v>
      </c>
      <c r="HZ198" s="242">
        <f t="shared" si="1325"/>
        <v>6800</v>
      </c>
      <c r="IA198" s="56"/>
      <c r="ID198" s="55">
        <f t="shared" si="1326"/>
        <v>46189</v>
      </c>
      <c r="IE198" s="56"/>
      <c r="IF198" s="242">
        <f>SUMPRODUCT(PRODUCE!$B203:$DY203,PRODUCE!$EB$33:$IY$33)</f>
        <v>0</v>
      </c>
      <c r="IG198" s="56"/>
      <c r="IH198" s="242">
        <f t="shared" si="1327"/>
        <v>0</v>
      </c>
      <c r="II198" s="242">
        <f t="shared" si="1328"/>
        <v>720</v>
      </c>
      <c r="IJ198" s="56"/>
      <c r="IM198" s="55">
        <f t="shared" si="1329"/>
        <v>46189</v>
      </c>
      <c r="IN198" s="56"/>
      <c r="IO198" s="242">
        <f>SUMPRODUCT(PRODUCE!$B203:$DY203,PRODUCE!$EB$34:$IY$34)</f>
        <v>0</v>
      </c>
      <c r="IP198" s="56"/>
      <c r="IQ198" s="242">
        <f t="shared" si="1330"/>
        <v>0</v>
      </c>
      <c r="IR198" s="242">
        <f t="shared" si="1331"/>
        <v>6520</v>
      </c>
      <c r="IS198" s="56"/>
      <c r="IV198" s="55">
        <f t="shared" si="1332"/>
        <v>46189</v>
      </c>
      <c r="IW198" s="56"/>
      <c r="IX198" s="242">
        <f>SUMPRODUCT(PRODUCE!$B203:$DY203,PRODUCE!$EB$35:$IY$35)</f>
        <v>0</v>
      </c>
      <c r="IY198" s="56"/>
      <c r="IZ198" s="242">
        <f t="shared" si="1333"/>
        <v>0</v>
      </c>
      <c r="JA198" s="242">
        <f t="shared" si="1334"/>
        <v>4960</v>
      </c>
      <c r="JB198" s="56"/>
      <c r="JE198" s="55">
        <f t="shared" si="1335"/>
        <v>46189</v>
      </c>
      <c r="JF198" s="56"/>
      <c r="JG198" s="242">
        <f>SUMPRODUCT(PRODUCE!$B203:$DY203,PRODUCE!$EB$36:$IY$36)</f>
        <v>0</v>
      </c>
      <c r="JH198" s="56"/>
      <c r="JI198" s="242">
        <f t="shared" si="1336"/>
        <v>0</v>
      </c>
      <c r="JJ198" s="242">
        <f t="shared" si="1337"/>
        <v>0</v>
      </c>
      <c r="JK198" s="56"/>
      <c r="JN198" s="55">
        <f t="shared" si="1338"/>
        <v>46189</v>
      </c>
      <c r="JO198" s="56"/>
      <c r="JP198" s="242">
        <f>SUMPRODUCT(PRODUCE!$B203:$DY203,PRODUCE!$EB$37:$IY$37)</f>
        <v>0</v>
      </c>
      <c r="JQ198" s="56"/>
      <c r="JR198" s="242">
        <f t="shared" si="1339"/>
        <v>0</v>
      </c>
      <c r="JS198" s="242">
        <f t="shared" si="1340"/>
        <v>0</v>
      </c>
      <c r="JT198" s="56"/>
      <c r="JW198" s="55">
        <f t="shared" si="1341"/>
        <v>46189</v>
      </c>
      <c r="JX198" s="56"/>
      <c r="JY198" s="242">
        <f>SUMPRODUCT(PRODUCE!$B203:$DY203,PRODUCE!$EB$38:$IY$38)</f>
        <v>0</v>
      </c>
      <c r="JZ198" s="56"/>
      <c r="KA198" s="242">
        <f t="shared" si="1342"/>
        <v>0</v>
      </c>
      <c r="KB198" s="242">
        <f t="shared" si="1343"/>
        <v>2540</v>
      </c>
      <c r="KC198" s="56"/>
      <c r="KF198" s="55">
        <f t="shared" si="1344"/>
        <v>46189</v>
      </c>
      <c r="KG198" s="56"/>
      <c r="KH198" s="242">
        <f>SUMPRODUCT(PRODUCE!$B203:$DY203,PRODUCE!$EB$39:$IY$39)</f>
        <v>0</v>
      </c>
      <c r="KI198" s="56"/>
      <c r="KJ198" s="242">
        <f t="shared" si="1345"/>
        <v>0</v>
      </c>
      <c r="KK198" s="242">
        <f t="shared" si="1346"/>
        <v>2359.5</v>
      </c>
      <c r="KL198" s="56"/>
      <c r="KO198" s="55">
        <f t="shared" si="1347"/>
        <v>46189</v>
      </c>
      <c r="KP198" s="56"/>
      <c r="KQ198" s="242">
        <f>SUMPRODUCT(PRODUCE!$B203:$DY203,PRODUCE!$EB$40:$IY$40)</f>
        <v>0</v>
      </c>
      <c r="KR198" s="56"/>
      <c r="KS198" s="242">
        <f t="shared" si="1348"/>
        <v>0</v>
      </c>
      <c r="KT198" s="242">
        <f t="shared" si="1349"/>
        <v>1890</v>
      </c>
      <c r="KU198" s="56"/>
      <c r="KW198" s="23"/>
      <c r="KX198" s="55">
        <f t="shared" si="1350"/>
        <v>46189</v>
      </c>
      <c r="KY198" s="56"/>
      <c r="KZ198" s="242">
        <f>SUMPRODUCT(PRODUCE!$B203:$DY203,PRODUCE!$EB$41:$IY$41)</f>
        <v>0</v>
      </c>
      <c r="LA198" s="56"/>
      <c r="LB198" s="242">
        <f t="shared" si="1351"/>
        <v>0</v>
      </c>
      <c r="LC198" s="242">
        <f t="shared" si="1352"/>
        <v>3690</v>
      </c>
      <c r="LD198" s="56"/>
      <c r="LG198" s="55">
        <f t="shared" si="1353"/>
        <v>46189</v>
      </c>
      <c r="LH198" s="56"/>
      <c r="LI198" s="242">
        <f>SUMPRODUCT(PRODUCE!$B203:$DY203,PRODUCE!$EB$42:$IY$42)</f>
        <v>0</v>
      </c>
      <c r="LJ198" s="56"/>
      <c r="LK198" s="242">
        <f t="shared" si="1354"/>
        <v>0</v>
      </c>
      <c r="LL198" s="242">
        <f t="shared" si="1355"/>
        <v>4000</v>
      </c>
      <c r="LM198" s="56"/>
      <c r="LP198" s="55">
        <f t="shared" si="1356"/>
        <v>46189</v>
      </c>
      <c r="LQ198" s="56"/>
      <c r="LR198" s="242">
        <f>SUMPRODUCT(PRODUCE!$B203:$DY203,PRODUCE!$EB$43:$IY$43)</f>
        <v>0</v>
      </c>
      <c r="LS198" s="56"/>
      <c r="LT198" s="242">
        <f t="shared" si="1357"/>
        <v>0</v>
      </c>
      <c r="LU198" s="242">
        <f t="shared" si="1358"/>
        <v>0</v>
      </c>
      <c r="LV198" s="56"/>
      <c r="LY198" s="55">
        <f t="shared" si="1359"/>
        <v>46189</v>
      </c>
      <c r="LZ198" s="56"/>
      <c r="MA198" s="242">
        <f>SUMPRODUCT(PRODUCE!$B203:$DY203,PRODUCE!$EB$44:$IY$44)</f>
        <v>0</v>
      </c>
      <c r="MB198" s="56"/>
      <c r="MC198" s="242">
        <f t="shared" si="1360"/>
        <v>0</v>
      </c>
      <c r="MD198" s="242">
        <f t="shared" si="1361"/>
        <v>0</v>
      </c>
      <c r="ME198" s="56"/>
      <c r="MH198" s="55">
        <f t="shared" si="1362"/>
        <v>46189</v>
      </c>
      <c r="MI198" s="56"/>
      <c r="MJ198" s="242">
        <f>SUMPRODUCT(PRODUCE!$B203:$DY203,PRODUCE!$EB$45:$IY$45)</f>
        <v>0</v>
      </c>
      <c r="MK198" s="56"/>
      <c r="ML198" s="242">
        <f t="shared" si="1363"/>
        <v>0</v>
      </c>
      <c r="MM198" s="242">
        <f t="shared" si="1364"/>
        <v>0</v>
      </c>
      <c r="MN198" s="56"/>
      <c r="MQ198" s="55">
        <f t="shared" si="1365"/>
        <v>46189</v>
      </c>
      <c r="MR198" s="56"/>
      <c r="MS198" s="242">
        <f>SUMPRODUCT(PRODUCE!$B203:$DY203,PRODUCE!$EB$46:$IY$46)</f>
        <v>0</v>
      </c>
      <c r="MT198" s="56"/>
      <c r="MU198" s="242">
        <f t="shared" si="1366"/>
        <v>0</v>
      </c>
      <c r="MV198" s="242">
        <f t="shared" si="1367"/>
        <v>3724</v>
      </c>
      <c r="MW198" s="56"/>
      <c r="MZ198" s="55">
        <f t="shared" si="1368"/>
        <v>46189</v>
      </c>
      <c r="NA198" s="56"/>
      <c r="NB198" s="242">
        <f>SUMPRODUCT(PRODUCE!$B203:$DY203,PRODUCE!$EB$47:$IY$47)</f>
        <v>0</v>
      </c>
      <c r="NC198" s="56"/>
      <c r="ND198" s="242">
        <f t="shared" si="1369"/>
        <v>0</v>
      </c>
      <c r="NE198" s="242">
        <f t="shared" si="1370"/>
        <v>0</v>
      </c>
      <c r="NF198" s="56"/>
      <c r="NI198" s="55">
        <f t="shared" si="1371"/>
        <v>46189</v>
      </c>
      <c r="NJ198" s="56"/>
      <c r="NK198" s="242">
        <f>SUMPRODUCT(PRODUCE!$B203:$DY203,PRODUCE!$EB$48:$IY$48)</f>
        <v>0</v>
      </c>
      <c r="NL198" s="56"/>
      <c r="NM198" s="242">
        <f t="shared" si="1372"/>
        <v>0</v>
      </c>
      <c r="NN198" s="242">
        <f t="shared" si="1373"/>
        <v>1127</v>
      </c>
      <c r="NO198" s="56"/>
      <c r="NR198" s="55">
        <f t="shared" si="1374"/>
        <v>46189</v>
      </c>
      <c r="NS198" s="56"/>
      <c r="NT198" s="242">
        <f>SUMPRODUCT(PRODUCE!$B203:$DY203,PRODUCE!$EB$49:$IY$49)</f>
        <v>0</v>
      </c>
      <c r="NU198" s="56"/>
      <c r="NV198" s="242">
        <f t="shared" si="1375"/>
        <v>0</v>
      </c>
      <c r="NW198" s="242">
        <f t="shared" si="1376"/>
        <v>3111.9999999999995</v>
      </c>
      <c r="NX198" s="56"/>
      <c r="OA198" s="55">
        <f t="shared" si="1377"/>
        <v>46189</v>
      </c>
      <c r="OB198" s="56"/>
      <c r="OC198" s="242">
        <f>SUMPRODUCT(PRODUCE!$B203:$DY203,PRODUCE!$EB$50:$IY$50)</f>
        <v>0</v>
      </c>
      <c r="OD198" s="56"/>
      <c r="OE198" s="242">
        <f t="shared" si="1378"/>
        <v>0</v>
      </c>
      <c r="OF198" s="242">
        <f t="shared" si="1379"/>
        <v>1680.5</v>
      </c>
      <c r="OG198" s="56"/>
      <c r="OJ198" s="55">
        <f t="shared" si="1380"/>
        <v>46189</v>
      </c>
      <c r="OK198" s="56"/>
      <c r="OL198" s="242">
        <f>SUMPRODUCT(PRODUCE!$B203:$DY203,PRODUCE!$EB$51:$IY$51)</f>
        <v>0</v>
      </c>
      <c r="OM198" s="56"/>
      <c r="ON198" s="242">
        <f t="shared" si="1381"/>
        <v>0</v>
      </c>
      <c r="OO198" s="242">
        <f t="shared" si="1382"/>
        <v>0</v>
      </c>
      <c r="OP198" s="56"/>
      <c r="OS198" s="55">
        <f t="shared" si="1383"/>
        <v>46189</v>
      </c>
      <c r="OT198" s="56"/>
      <c r="OU198" s="242">
        <f>SUMPRODUCT(PRODUCE!$B203:$DY203,PRODUCE!$EB$52:$IY$52)</f>
        <v>0</v>
      </c>
      <c r="OV198" s="56"/>
      <c r="OW198" s="242">
        <f t="shared" si="1384"/>
        <v>0</v>
      </c>
      <c r="OX198" s="242">
        <f t="shared" si="1385"/>
        <v>1482</v>
      </c>
      <c r="OY198" s="56"/>
      <c r="PB198" s="55">
        <f t="shared" si="1386"/>
        <v>46189</v>
      </c>
      <c r="PC198" s="56"/>
      <c r="PD198" s="242">
        <f>SUMPRODUCT(PRODUCE!$B203:$DY203,PRODUCE!$EB$53:$IY$53)</f>
        <v>0</v>
      </c>
      <c r="PE198" s="56"/>
      <c r="PF198" s="242">
        <f t="shared" si="1387"/>
        <v>0</v>
      </c>
      <c r="PG198" s="242">
        <f t="shared" si="1388"/>
        <v>0</v>
      </c>
      <c r="PH198" s="56"/>
      <c r="PK198" s="55">
        <f t="shared" si="1389"/>
        <v>46189</v>
      </c>
      <c r="PL198" s="56"/>
      <c r="PM198" s="242">
        <f>SUMPRODUCT(PRODUCE!$B203:$DY203,PRODUCE!$EB$54:$IY$54)</f>
        <v>0</v>
      </c>
      <c r="PN198" s="56"/>
      <c r="PO198" s="242">
        <f t="shared" si="1494"/>
        <v>0</v>
      </c>
      <c r="PP198" s="242">
        <f t="shared" si="1495"/>
        <v>100</v>
      </c>
      <c r="PQ198" s="56"/>
      <c r="PT198" s="55">
        <f t="shared" si="1392"/>
        <v>46189</v>
      </c>
      <c r="PU198" s="56"/>
      <c r="PV198" s="242">
        <f>SUMPRODUCT(PRODUCE!$B203:$DY203,PRODUCE!$EB$55:$IY$55)</f>
        <v>0</v>
      </c>
      <c r="PW198" s="56"/>
      <c r="PX198" s="242">
        <f t="shared" si="1393"/>
        <v>0</v>
      </c>
      <c r="PY198" s="242">
        <f t="shared" si="1394"/>
        <v>13.960000000000036</v>
      </c>
      <c r="PZ198" s="56"/>
      <c r="QC198" s="55">
        <f t="shared" si="1395"/>
        <v>46189</v>
      </c>
      <c r="QD198" s="56"/>
      <c r="QE198" s="242">
        <f>SUMPRODUCT(PRODUCE!$B203:$DY203,PRODUCE!$EB$56:$IY$56)</f>
        <v>0</v>
      </c>
      <c r="QF198" s="56"/>
      <c r="QG198" s="242">
        <f t="shared" si="1396"/>
        <v>0</v>
      </c>
      <c r="QH198" s="242">
        <f t="shared" si="1397"/>
        <v>1736</v>
      </c>
      <c r="QI198" s="56"/>
      <c r="QL198" s="55">
        <f t="shared" si="1398"/>
        <v>46189</v>
      </c>
      <c r="QM198" s="56"/>
      <c r="QN198" s="242">
        <f>SUMPRODUCT(PRODUCE!$B203:$DY203,PRODUCE!$EB$57:$IY$57)</f>
        <v>0</v>
      </c>
      <c r="QO198" s="56"/>
      <c r="QP198" s="242">
        <f t="shared" si="1399"/>
        <v>0</v>
      </c>
      <c r="QQ198" s="242">
        <f t="shared" si="1400"/>
        <v>250</v>
      </c>
      <c r="QR198" s="56"/>
      <c r="QU198" s="55">
        <f t="shared" si="1401"/>
        <v>46189</v>
      </c>
      <c r="QV198" s="56"/>
      <c r="QW198" s="242">
        <f>SUMPRODUCT(PRODUCE!$B203:$DY203,PRODUCE!$EB$58:$IY$58)</f>
        <v>0</v>
      </c>
      <c r="QX198" s="56"/>
      <c r="QY198" s="242">
        <f t="shared" si="1402"/>
        <v>0</v>
      </c>
      <c r="QZ198" s="242">
        <f t="shared" si="1403"/>
        <v>207.6</v>
      </c>
      <c r="RA198" s="56"/>
      <c r="RD198" s="55">
        <f t="shared" si="1404"/>
        <v>46189</v>
      </c>
      <c r="RE198" s="56"/>
      <c r="RF198" s="242">
        <f>SUMPRODUCT(PRODUCE!$B203:$DY203,PRODUCE!$EB$59:$IY$59)</f>
        <v>0</v>
      </c>
      <c r="RG198" s="56"/>
      <c r="RH198" s="242">
        <f t="shared" si="1405"/>
        <v>0</v>
      </c>
      <c r="RI198" s="242">
        <f t="shared" si="1406"/>
        <v>147.04000000000002</v>
      </c>
      <c r="RJ198" s="56"/>
      <c r="RM198" s="55">
        <f t="shared" si="1407"/>
        <v>46189</v>
      </c>
      <c r="RN198" s="56"/>
      <c r="RO198" s="242">
        <f>SUMPRODUCT(PRODUCE!$B203:$DY203,PRODUCE!$EB$60:$IY$60)</f>
        <v>0</v>
      </c>
      <c r="RP198" s="56"/>
      <c r="RQ198" s="242">
        <f t="shared" si="1408"/>
        <v>0</v>
      </c>
      <c r="RR198" s="242">
        <f t="shared" si="1409"/>
        <v>46.8</v>
      </c>
      <c r="RS198" s="56"/>
      <c r="RV198" s="55">
        <f t="shared" si="1410"/>
        <v>46189</v>
      </c>
      <c r="RW198" s="56"/>
      <c r="RX198" s="242">
        <f>SUMPRODUCT(PRODUCE!$B203:$DY203,PRODUCE!$EB$61:$IY$61)</f>
        <v>0</v>
      </c>
      <c r="RY198" s="56"/>
      <c r="RZ198" s="242">
        <f t="shared" si="1411"/>
        <v>0</v>
      </c>
      <c r="SA198" s="242">
        <f t="shared" si="1412"/>
        <v>0</v>
      </c>
      <c r="SB198" s="56"/>
      <c r="SE198" s="55">
        <f t="shared" si="1413"/>
        <v>46189</v>
      </c>
      <c r="SF198" s="56"/>
      <c r="SG198" s="242">
        <f>SUMPRODUCT(PRODUCE!$B203:$DY203,PRODUCE!$EB$62:$IY$62)</f>
        <v>0</v>
      </c>
      <c r="SH198" s="56"/>
      <c r="SI198" s="242">
        <f t="shared" si="1414"/>
        <v>0</v>
      </c>
      <c r="SJ198" s="242">
        <f t="shared" si="1415"/>
        <v>24.200000000000003</v>
      </c>
      <c r="SK198" s="56"/>
      <c r="SN198" s="55">
        <f t="shared" si="1416"/>
        <v>46189</v>
      </c>
      <c r="SO198" s="56"/>
      <c r="SP198" s="242">
        <f>SUMPRODUCT(PRODUCE!$B203:$DY203,PRODUCE!$EB$63:$IY$63)</f>
        <v>0</v>
      </c>
      <c r="SQ198" s="56"/>
      <c r="SR198" s="242">
        <f t="shared" si="1417"/>
        <v>0</v>
      </c>
      <c r="SS198" s="242">
        <f t="shared" si="1418"/>
        <v>32</v>
      </c>
      <c r="ST198" s="56"/>
      <c r="SW198" s="55">
        <f t="shared" si="1419"/>
        <v>46189</v>
      </c>
      <c r="SX198" s="56"/>
      <c r="SY198" s="242">
        <f>SUMPRODUCT(PRODUCE!$B203:$DY203,PRODUCE!$EB$64:$IY$64)</f>
        <v>0</v>
      </c>
      <c r="SZ198" s="56"/>
      <c r="TA198" s="242">
        <f t="shared" si="1420"/>
        <v>0</v>
      </c>
      <c r="TB198" s="242">
        <f t="shared" si="1421"/>
        <v>0</v>
      </c>
      <c r="TC198" s="56"/>
      <c r="TF198" s="55">
        <f t="shared" si="1422"/>
        <v>46189</v>
      </c>
      <c r="TG198" s="56"/>
      <c r="TH198" s="242">
        <f>SUMPRODUCT(PRODUCE!$B203:$DY203,PRODUCE!$EB$65:$IY$65)</f>
        <v>0</v>
      </c>
      <c r="TI198" s="56"/>
      <c r="TJ198" s="242">
        <f t="shared" si="1423"/>
        <v>0</v>
      </c>
      <c r="TK198" s="242">
        <f t="shared" si="1424"/>
        <v>0</v>
      </c>
      <c r="TL198" s="56"/>
      <c r="TO198" s="55">
        <f t="shared" si="1425"/>
        <v>46189</v>
      </c>
      <c r="TP198" s="56"/>
      <c r="TQ198" s="242">
        <f>SUMPRODUCT(PRODUCE!$B203:$DY203,PRODUCE!$EB$66:$IY$66)</f>
        <v>0</v>
      </c>
      <c r="TR198" s="56"/>
      <c r="TS198" s="242">
        <f t="shared" si="1426"/>
        <v>0</v>
      </c>
      <c r="TT198" s="242">
        <f t="shared" si="1427"/>
        <v>22.400000000000006</v>
      </c>
      <c r="TU198" s="56"/>
      <c r="TX198" s="55">
        <f t="shared" si="1428"/>
        <v>46189</v>
      </c>
      <c r="TY198" s="56"/>
      <c r="TZ198" s="242">
        <f>SUMPRODUCT(PRODUCE!$B203:$DY203,PRODUCE!$EB$67:$IY$67)</f>
        <v>0</v>
      </c>
      <c r="UA198" s="56"/>
      <c r="UB198" s="242">
        <f t="shared" si="1429"/>
        <v>0</v>
      </c>
      <c r="UC198" s="242">
        <f t="shared" si="1430"/>
        <v>46.799999999999983</v>
      </c>
      <c r="UD198" s="56"/>
      <c r="UG198" s="55">
        <f t="shared" si="1431"/>
        <v>46189</v>
      </c>
      <c r="UH198" s="56"/>
      <c r="UI198" s="242">
        <f>SUMPRODUCT(PRODUCE!$B203:$DY203,PRODUCE!$EB$68:$IY$68)</f>
        <v>0</v>
      </c>
      <c r="UJ198" s="56"/>
      <c r="UK198" s="242">
        <f t="shared" si="1432"/>
        <v>0</v>
      </c>
      <c r="UL198" s="242">
        <f t="shared" si="1433"/>
        <v>204</v>
      </c>
      <c r="UM198" s="56"/>
      <c r="UP198" s="55">
        <f t="shared" si="1434"/>
        <v>46189</v>
      </c>
      <c r="UQ198" s="56"/>
      <c r="UR198" s="242">
        <f>SUMPRODUCT(PRODUCE!$B203:$DY203,PRODUCE!$EB$69:$IY$69)</f>
        <v>0</v>
      </c>
      <c r="US198" s="56"/>
      <c r="UT198" s="242">
        <f t="shared" si="1435"/>
        <v>0</v>
      </c>
      <c r="UU198" s="242">
        <f t="shared" si="1436"/>
        <v>251.25</v>
      </c>
      <c r="UV198" s="56"/>
      <c r="UY198" s="55">
        <f t="shared" si="1437"/>
        <v>46189</v>
      </c>
      <c r="UZ198" s="56"/>
      <c r="VA198" s="242">
        <f>SUMPRODUCT(PRODUCE!$B203:$DY203,PRODUCE!$EB$70:$IY$70)</f>
        <v>0</v>
      </c>
      <c r="VB198" s="56"/>
      <c r="VC198" s="242">
        <f t="shared" si="1438"/>
        <v>0</v>
      </c>
      <c r="VD198" s="242">
        <f t="shared" si="1439"/>
        <v>41.600000000000023</v>
      </c>
      <c r="VE198" s="56"/>
      <c r="VH198" s="55">
        <f t="shared" si="1440"/>
        <v>46189</v>
      </c>
      <c r="VI198" s="56"/>
      <c r="VJ198" s="242">
        <f>SUMPRODUCT(PRODUCE!$B203:$DY203,PRODUCE!$EB$71:$IY$71)</f>
        <v>0</v>
      </c>
      <c r="VK198" s="56"/>
      <c r="VL198" s="242">
        <f t="shared" si="1441"/>
        <v>0</v>
      </c>
      <c r="VM198" s="242">
        <f t="shared" si="1442"/>
        <v>210</v>
      </c>
      <c r="VN198" s="56"/>
      <c r="VQ198" s="55">
        <f t="shared" si="1443"/>
        <v>46189</v>
      </c>
      <c r="VR198" s="56"/>
      <c r="VS198" s="242">
        <f>SUMPRODUCT(PRODUCE!$B203:$DY203,PRODUCE!$EB$57:$IY$57)</f>
        <v>0</v>
      </c>
      <c r="VT198" s="56"/>
      <c r="VU198" s="242">
        <f t="shared" si="1444"/>
        <v>0</v>
      </c>
      <c r="VV198" s="242">
        <f t="shared" si="1445"/>
        <v>0</v>
      </c>
      <c r="VW198" s="56"/>
      <c r="VZ198" s="55">
        <f t="shared" si="1446"/>
        <v>46189</v>
      </c>
      <c r="WA198" s="56"/>
      <c r="WB198" s="242">
        <f>SUMPRODUCT(PRODUCE!$B203:$DY203,PRODUCE!$EB$57:$IY$57)</f>
        <v>0</v>
      </c>
      <c r="WC198" s="56"/>
      <c r="WD198" s="242">
        <f t="shared" si="1447"/>
        <v>0</v>
      </c>
      <c r="WE198" s="242">
        <f t="shared" si="1448"/>
        <v>0</v>
      </c>
      <c r="WF198" s="56"/>
      <c r="WI198" s="55">
        <f t="shared" si="1449"/>
        <v>46189</v>
      </c>
      <c r="WJ198" s="422"/>
      <c r="WK198" s="540">
        <f>SUMPRODUCT(PRODUCE!$B203:$DY203,PRODUCE!$EB$74:$IY$74)</f>
        <v>0</v>
      </c>
      <c r="WL198" s="422"/>
      <c r="WM198" s="540">
        <f t="shared" si="1450"/>
        <v>0</v>
      </c>
      <c r="WN198" s="540">
        <f t="shared" si="1451"/>
        <v>1199</v>
      </c>
      <c r="WO198" s="56"/>
      <c r="WR198" s="55">
        <f t="shared" si="1452"/>
        <v>46189</v>
      </c>
      <c r="WS198" s="422"/>
      <c r="WT198" s="540">
        <f>SUMPRODUCT(PRODUCE!$B203:$DY203,PRODUCE!$EB$75:$IY$75)</f>
        <v>0</v>
      </c>
      <c r="WU198" s="422"/>
      <c r="WV198" s="540">
        <f t="shared" si="1453"/>
        <v>0</v>
      </c>
      <c r="WW198" s="540">
        <f t="shared" si="1454"/>
        <v>0</v>
      </c>
      <c r="WX198" s="56"/>
      <c r="XA198" s="55">
        <f t="shared" si="1455"/>
        <v>46189</v>
      </c>
      <c r="XB198" s="422"/>
      <c r="XC198" s="540">
        <f>SUMPRODUCT(PRODUCE!$B203:$DY203,PRODUCE!$EB$76:$IY$76)</f>
        <v>0</v>
      </c>
      <c r="XD198" s="422"/>
      <c r="XE198" s="540">
        <f t="shared" si="1456"/>
        <v>0</v>
      </c>
      <c r="XF198" s="540">
        <f t="shared" si="1457"/>
        <v>6813</v>
      </c>
      <c r="XG198" s="56"/>
      <c r="XJ198" s="55">
        <f t="shared" si="1458"/>
        <v>46189</v>
      </c>
      <c r="XK198" s="422"/>
      <c r="XL198" s="540">
        <f>SUMPRODUCT(PRODUCE!$B203:$DY203,PRODUCE!$EB$77:$IY$77)</f>
        <v>0</v>
      </c>
      <c r="XM198" s="422">
        <v>419</v>
      </c>
      <c r="XN198" s="540">
        <f t="shared" si="1459"/>
        <v>-419</v>
      </c>
      <c r="XO198" s="540">
        <f t="shared" si="1460"/>
        <v>5298</v>
      </c>
      <c r="XP198" s="56"/>
      <c r="XS198" s="55">
        <f t="shared" si="1461"/>
        <v>46189</v>
      </c>
      <c r="XT198" s="56"/>
      <c r="XU198" s="242">
        <f>SUMPRODUCT(PRODUCE!$B203:$DY203,PRODUCE!$EB$78:$IY$78)</f>
        <v>0</v>
      </c>
      <c r="XV198" s="56"/>
      <c r="XW198" s="242">
        <f t="shared" si="1462"/>
        <v>0</v>
      </c>
      <c r="XX198" s="242">
        <f t="shared" si="1463"/>
        <v>1621</v>
      </c>
      <c r="XY198" s="56"/>
      <c r="YB198" s="55">
        <f t="shared" si="1464"/>
        <v>46189</v>
      </c>
      <c r="YC198" s="56"/>
      <c r="YD198" s="242">
        <f>SUMPRODUCT(PRODUCE!$B203:$DY203,PRODUCE!$EB$79:$IY$79)</f>
        <v>0</v>
      </c>
      <c r="YE198" s="56"/>
      <c r="YF198" s="242">
        <f t="shared" si="1465"/>
        <v>0</v>
      </c>
      <c r="YG198" s="242">
        <f t="shared" si="1466"/>
        <v>4072</v>
      </c>
      <c r="YH198" s="56"/>
      <c r="YK198" s="55">
        <f t="shared" si="1467"/>
        <v>46189</v>
      </c>
      <c r="YL198" s="56"/>
      <c r="YM198" s="242">
        <f>SUMPRODUCT(PRODUCE!$B203:$DY203,PRODUCE!$EB$80:$IY$80)</f>
        <v>0</v>
      </c>
      <c r="YN198" s="56"/>
      <c r="YO198" s="242">
        <f t="shared" si="1468"/>
        <v>0</v>
      </c>
      <c r="YP198" s="242">
        <f t="shared" si="1469"/>
        <v>0</v>
      </c>
      <c r="YQ198" s="56"/>
      <c r="YT198" s="55">
        <f t="shared" si="1470"/>
        <v>46189</v>
      </c>
      <c r="YU198" s="56"/>
      <c r="YV198" s="242">
        <f>SUMPRODUCT(PRODUCE!$B203:$DY203,PRODUCE!$EB$57:$IY$57)</f>
        <v>0</v>
      </c>
      <c r="YW198" s="56"/>
      <c r="YX198" s="242">
        <f t="shared" si="1471"/>
        <v>0</v>
      </c>
      <c r="YY198" s="242">
        <f t="shared" si="1472"/>
        <v>0</v>
      </c>
      <c r="YZ198" s="56"/>
      <c r="ZC198" s="55">
        <f t="shared" si="1473"/>
        <v>46189</v>
      </c>
      <c r="ZD198" s="56"/>
      <c r="ZE198" s="242">
        <f>SUMPRODUCT(PRODUCE!$B203:$DY203,PRODUCE!$EB$57:$IY$57)</f>
        <v>0</v>
      </c>
      <c r="ZF198" s="56"/>
      <c r="ZG198" s="242">
        <f t="shared" si="1474"/>
        <v>0</v>
      </c>
      <c r="ZH198" s="242">
        <f t="shared" si="1475"/>
        <v>0</v>
      </c>
      <c r="ZI198" s="56"/>
      <c r="ZL198" s="55">
        <f t="shared" si="1476"/>
        <v>46189</v>
      </c>
      <c r="ZM198" s="56"/>
      <c r="ZN198" s="242">
        <f>SUMPRODUCT(PRODUCE!$B203:$DY203,PRODUCE!$EB$57:$IY$57)</f>
        <v>0</v>
      </c>
      <c r="ZO198" s="56"/>
      <c r="ZP198" s="242">
        <f t="shared" si="1477"/>
        <v>0</v>
      </c>
      <c r="ZQ198" s="242">
        <f t="shared" si="1478"/>
        <v>0</v>
      </c>
      <c r="ZR198" s="56"/>
      <c r="ZU198" s="55">
        <f t="shared" si="1479"/>
        <v>46189</v>
      </c>
      <c r="ZV198" s="56"/>
      <c r="ZW198" s="242">
        <f>SUMPRODUCT(PRODUCE!$B203:$DY203,PRODUCE!$EB$57:$IY$57)</f>
        <v>0</v>
      </c>
      <c r="ZX198" s="56"/>
      <c r="ZY198" s="242">
        <f t="shared" si="1480"/>
        <v>0</v>
      </c>
      <c r="ZZ198" s="242">
        <f t="shared" si="1481"/>
        <v>0</v>
      </c>
      <c r="AAA198" s="56"/>
      <c r="AAD198" s="55">
        <f t="shared" si="1482"/>
        <v>46189</v>
      </c>
      <c r="AAE198" s="56"/>
      <c r="AAF198" s="242">
        <f>SUMPRODUCT(PRODUCE!$B203:$DY203,PRODUCE!$EB$57:$IY$57)</f>
        <v>0</v>
      </c>
      <c r="AAG198" s="56"/>
      <c r="AAH198" s="242">
        <f t="shared" si="1483"/>
        <v>0</v>
      </c>
      <c r="AAI198" s="242">
        <f t="shared" si="1484"/>
        <v>0</v>
      </c>
      <c r="AAJ198" s="56"/>
      <c r="AAM198" s="55">
        <f t="shared" si="1485"/>
        <v>46189</v>
      </c>
      <c r="AAN198" s="56"/>
      <c r="AAO198" s="242">
        <f>SUMPRODUCT(PRODUCE!$B203:$DY203,PRODUCE!$EB$57:$IY$57)</f>
        <v>0</v>
      </c>
      <c r="AAP198" s="56"/>
      <c r="AAQ198" s="242">
        <f t="shared" si="1486"/>
        <v>0</v>
      </c>
      <c r="AAR198" s="242">
        <f t="shared" si="1487"/>
        <v>0</v>
      </c>
      <c r="AAS198" s="56"/>
      <c r="AAV198" s="55">
        <f t="shared" si="1488"/>
        <v>46189</v>
      </c>
      <c r="AAW198" s="56"/>
      <c r="AAX198" s="242">
        <f>SUMPRODUCT(PRODUCE!$B203:$DY203,PRODUCE!$EB$57:$IY$57)</f>
        <v>0</v>
      </c>
      <c r="AAY198" s="56"/>
      <c r="AAZ198" s="242">
        <f t="shared" si="1489"/>
        <v>0</v>
      </c>
      <c r="ABA198" s="242">
        <f t="shared" si="1490"/>
        <v>0</v>
      </c>
      <c r="ABB198" s="56"/>
      <c r="ABE198" s="55">
        <f t="shared" si="1491"/>
        <v>46189</v>
      </c>
      <c r="ABF198" s="56"/>
      <c r="ABG198" s="242">
        <f>SUMPRODUCT(PRODUCE!$B203:$DY203,PRODUCE!$EB$57:$IY$57)</f>
        <v>0</v>
      </c>
      <c r="ABH198" s="56"/>
      <c r="ABI198" s="242">
        <f t="shared" si="1492"/>
        <v>0</v>
      </c>
      <c r="ABJ198" s="242">
        <f t="shared" si="1493"/>
        <v>0</v>
      </c>
      <c r="ABK198" s="56"/>
    </row>
    <row r="199" spans="2:739" s="54" customFormat="1" ht="15" customHeight="1" outlineLevel="1">
      <c r="B199" s="478">
        <v>10</v>
      </c>
      <c r="C199" s="55">
        <v>46190</v>
      </c>
      <c r="D199" s="422"/>
      <c r="E199" s="423">
        <f>SUMPRODUCT(PRODUCE!$B204:$DY204,PRODUCE!$EB$7:$IY$7)</f>
        <v>5451.45</v>
      </c>
      <c r="F199" s="422">
        <v>5454</v>
      </c>
      <c r="G199" s="423">
        <f t="shared" si="1249"/>
        <v>-2.5500000000001819</v>
      </c>
      <c r="H199" s="423">
        <f t="shared" si="1250"/>
        <v>99682.000000000058</v>
      </c>
      <c r="I199" s="289" t="s">
        <v>289</v>
      </c>
      <c r="L199" s="55">
        <f t="shared" si="1251"/>
        <v>46190</v>
      </c>
      <c r="M199" s="422"/>
      <c r="N199" s="438">
        <f>SUMPRODUCT(PRODUCE!$B204:$DY204,PRODUCE!$EB$8:$IY$8)</f>
        <v>2974.8500000000004</v>
      </c>
      <c r="O199" s="422">
        <v>2976.4</v>
      </c>
      <c r="P199" s="438">
        <f t="shared" si="1252"/>
        <v>-1.5499999999997272</v>
      </c>
      <c r="Q199" s="438">
        <f t="shared" si="1253"/>
        <v>66456.000000000087</v>
      </c>
      <c r="R199" s="56"/>
      <c r="U199" s="55">
        <f t="shared" si="1254"/>
        <v>46190</v>
      </c>
      <c r="V199" s="422"/>
      <c r="W199" s="440">
        <f>SUMPRODUCT(PRODUCE!$B204:$DY204,PRODUCE!$EB$9:$IY$9)</f>
        <v>600</v>
      </c>
      <c r="X199" s="422">
        <v>600.9</v>
      </c>
      <c r="Y199" s="440">
        <f t="shared" si="1255"/>
        <v>-0.89999999999997726</v>
      </c>
      <c r="Z199" s="440">
        <f t="shared" si="1256"/>
        <v>39888.299999999981</v>
      </c>
      <c r="AA199" s="56"/>
      <c r="AD199" s="55">
        <f t="shared" si="1257"/>
        <v>46190</v>
      </c>
      <c r="AE199" s="422"/>
      <c r="AF199" s="442">
        <f>SUMPRODUCT(PRODUCE!$B204:$DY204,PRODUCE!$EB$10:$IY$10)</f>
        <v>0</v>
      </c>
      <c r="AG199" s="422"/>
      <c r="AH199" s="442">
        <f t="shared" si="1258"/>
        <v>0</v>
      </c>
      <c r="AI199" s="442">
        <f t="shared" si="1259"/>
        <v>33372.700000000019</v>
      </c>
      <c r="AJ199" s="56"/>
      <c r="AM199" s="55">
        <f t="shared" si="1260"/>
        <v>46190</v>
      </c>
      <c r="AN199" s="422"/>
      <c r="AO199" s="444">
        <f>SUMPRODUCT(PRODUCE!$B204:$DY204,PRODUCE!$EB$11:$IY$11)</f>
        <v>0</v>
      </c>
      <c r="AP199" s="422"/>
      <c r="AQ199" s="444">
        <f t="shared" si="1261"/>
        <v>0</v>
      </c>
      <c r="AR199" s="444">
        <f t="shared" si="1262"/>
        <v>0</v>
      </c>
      <c r="AS199" s="56"/>
      <c r="AV199" s="55">
        <f t="shared" si="1263"/>
        <v>46190</v>
      </c>
      <c r="AW199" s="422"/>
      <c r="AX199" s="446">
        <f>SUMPRODUCT(PRODUCE!$B204:$DY204,PRODUCE!$EB$12:$IY$12)</f>
        <v>0</v>
      </c>
      <c r="AY199" s="422"/>
      <c r="AZ199" s="446">
        <f t="shared" si="1264"/>
        <v>0</v>
      </c>
      <c r="BA199" s="446">
        <f t="shared" si="1265"/>
        <v>14066.499999999996</v>
      </c>
      <c r="BB199" s="56"/>
      <c r="BE199" s="55">
        <f t="shared" si="1266"/>
        <v>46190</v>
      </c>
      <c r="BF199" s="422"/>
      <c r="BG199" s="448">
        <f>SUMPRODUCT(PRODUCE!$B204:$DY204,PRODUCE!$EB$13:$IY$13)</f>
        <v>0</v>
      </c>
      <c r="BH199" s="422"/>
      <c r="BI199" s="448">
        <f t="shared" si="1267"/>
        <v>0</v>
      </c>
      <c r="BJ199" s="448">
        <f t="shared" si="1268"/>
        <v>39235.399999999994</v>
      </c>
      <c r="BK199" s="56"/>
      <c r="BN199" s="55">
        <f t="shared" si="1269"/>
        <v>46190</v>
      </c>
      <c r="BO199" s="422">
        <v>49.9</v>
      </c>
      <c r="BP199" s="450">
        <f>SUMPRODUCT(PRODUCE!$B204:$DY204,PRODUCE!$EB$14:$IY$14)</f>
        <v>50</v>
      </c>
      <c r="BQ199" s="422">
        <v>49.9</v>
      </c>
      <c r="BR199" s="450">
        <f t="shared" si="1270"/>
        <v>0.10000000000000142</v>
      </c>
      <c r="BS199" s="450">
        <f t="shared" si="1271"/>
        <v>0</v>
      </c>
      <c r="BT199" s="56"/>
      <c r="BW199" s="55">
        <f t="shared" si="1272"/>
        <v>46190</v>
      </c>
      <c r="BX199" s="422"/>
      <c r="BY199" s="523">
        <f>SUMPRODUCT(PRODUCE!$B204:$DY204,PRODUCE!$EB$15:$IY$15)</f>
        <v>73.550000000000011</v>
      </c>
      <c r="BZ199" s="422">
        <v>29.42</v>
      </c>
      <c r="CA199" s="523">
        <f t="shared" si="1273"/>
        <v>44.13000000000001</v>
      </c>
      <c r="CB199" s="523">
        <f t="shared" si="1274"/>
        <v>3188.329999999999</v>
      </c>
      <c r="CC199" s="56"/>
      <c r="CF199" s="55">
        <f t="shared" si="1275"/>
        <v>46190</v>
      </c>
      <c r="CG199" s="422">
        <v>39.619999999999997</v>
      </c>
      <c r="CH199" s="524">
        <f>SUMPRODUCT(PRODUCE!$B204:$DY204,PRODUCE!$EB$16:$IY$16)</f>
        <v>0</v>
      </c>
      <c r="CI199" s="422">
        <v>39.619999999999997</v>
      </c>
      <c r="CJ199" s="524">
        <f t="shared" si="1276"/>
        <v>-39.619999999999997</v>
      </c>
      <c r="CK199" s="524">
        <f t="shared" si="1277"/>
        <v>0</v>
      </c>
      <c r="CL199" s="56"/>
      <c r="CO199" s="55">
        <f t="shared" si="1278"/>
        <v>46190</v>
      </c>
      <c r="CP199" s="422"/>
      <c r="CQ199" s="470">
        <f>SUMPRODUCT(PRODUCE!$B204:$DY204,PRODUCE!$EB$17:$IY$17)</f>
        <v>0</v>
      </c>
      <c r="CR199" s="422"/>
      <c r="CS199" s="470">
        <f t="shared" si="1279"/>
        <v>0</v>
      </c>
      <c r="CT199" s="470">
        <f t="shared" si="1280"/>
        <v>0</v>
      </c>
      <c r="CU199" s="56"/>
      <c r="CX199" s="55">
        <f t="shared" si="1281"/>
        <v>46190</v>
      </c>
      <c r="CY199" s="422"/>
      <c r="CZ199" s="525">
        <f>SUMPRODUCT(PRODUCE!$B204:$DY204,PRODUCE!$EB$18:$IY$18)</f>
        <v>200</v>
      </c>
      <c r="DA199" s="422">
        <v>199.6</v>
      </c>
      <c r="DB199" s="525">
        <f t="shared" si="1282"/>
        <v>0.40000000000000568</v>
      </c>
      <c r="DC199" s="525">
        <f t="shared" si="1283"/>
        <v>15142.200000000006</v>
      </c>
      <c r="DD199" s="56"/>
      <c r="DG199" s="55">
        <f t="shared" si="1284"/>
        <v>46190</v>
      </c>
      <c r="DH199" s="422"/>
      <c r="DI199" s="526">
        <f>SUMPRODUCT(PRODUCE!$B204:$DY204,PRODUCE!$EB$19:$IY$19)</f>
        <v>0</v>
      </c>
      <c r="DJ199" s="422"/>
      <c r="DK199" s="526">
        <f t="shared" si="1285"/>
        <v>0</v>
      </c>
      <c r="DL199" s="526">
        <f t="shared" si="1286"/>
        <v>35234.999999999985</v>
      </c>
      <c r="DM199" s="56"/>
      <c r="DP199" s="55">
        <f t="shared" si="1287"/>
        <v>46190</v>
      </c>
      <c r="DQ199" s="56"/>
      <c r="DR199" s="57">
        <f>SUMPRODUCT(PRODUCE!$B204:$DY204,PRODUCE!$EB$20:$IY$20)</f>
        <v>0</v>
      </c>
      <c r="DS199" s="56"/>
      <c r="DT199" s="57">
        <f t="shared" si="1288"/>
        <v>0</v>
      </c>
      <c r="DU199" s="57">
        <f t="shared" si="1289"/>
        <v>5800</v>
      </c>
      <c r="DV199" s="56"/>
      <c r="DY199" s="55">
        <f t="shared" si="1290"/>
        <v>46190</v>
      </c>
      <c r="DZ199" s="56"/>
      <c r="EA199" s="157">
        <f>SUMPRODUCT(PRODUCE!$B204:$DY204,PRODUCE!$EB$21:$IY$21)</f>
        <v>0</v>
      </c>
      <c r="EB199" s="56"/>
      <c r="EC199" s="157">
        <f t="shared" si="1291"/>
        <v>0</v>
      </c>
      <c r="ED199" s="157">
        <f t="shared" si="1292"/>
        <v>0</v>
      </c>
      <c r="EE199" s="56"/>
      <c r="EH199" s="55">
        <f t="shared" si="1293"/>
        <v>46190</v>
      </c>
      <c r="EI199" s="56"/>
      <c r="EJ199" s="162">
        <f>SUMPRODUCT(PRODUCE!$B204:$DY204,PRODUCE!$EB$22:$IY$22)</f>
        <v>0</v>
      </c>
      <c r="EK199" s="56"/>
      <c r="EL199" s="162">
        <f t="shared" si="1294"/>
        <v>0</v>
      </c>
      <c r="EM199" s="162">
        <f t="shared" si="1295"/>
        <v>0</v>
      </c>
      <c r="EN199" s="56"/>
      <c r="EQ199" s="55">
        <f t="shared" si="1296"/>
        <v>46190</v>
      </c>
      <c r="ER199" s="56"/>
      <c r="ES199" s="135">
        <f>SUMPRODUCT(PRODUCE!$B204:$DY204,PRODUCE!$EB$23:$IY$23)</f>
        <v>0</v>
      </c>
      <c r="ET199" s="56"/>
      <c r="EU199" s="135">
        <f t="shared" si="1297"/>
        <v>0</v>
      </c>
      <c r="EV199" s="135">
        <f t="shared" si="1298"/>
        <v>0</v>
      </c>
      <c r="EW199" s="56"/>
      <c r="EZ199" s="55">
        <f t="shared" si="1299"/>
        <v>46190</v>
      </c>
      <c r="FA199" s="56"/>
      <c r="FB199" s="175">
        <f>SUMPRODUCT(PRODUCE!$B204:$DY204,PRODUCE!$EB$24:$IY$24)</f>
        <v>0</v>
      </c>
      <c r="FC199" s="56"/>
      <c r="FD199" s="175">
        <f t="shared" si="1300"/>
        <v>0</v>
      </c>
      <c r="FE199" s="175">
        <f t="shared" si="1301"/>
        <v>0</v>
      </c>
      <c r="FF199" s="56"/>
      <c r="FI199" s="55">
        <f t="shared" si="1302"/>
        <v>46190</v>
      </c>
      <c r="FJ199" s="56"/>
      <c r="FK199" s="183">
        <f>SUMPRODUCT(PRODUCE!$B204:$DY204,PRODUCE!$EB$25:$IY$25)</f>
        <v>0</v>
      </c>
      <c r="FL199" s="56"/>
      <c r="FM199" s="183">
        <f t="shared" si="1303"/>
        <v>0</v>
      </c>
      <c r="FN199" s="183">
        <f t="shared" si="1304"/>
        <v>0</v>
      </c>
      <c r="FO199" s="56"/>
      <c r="FR199" s="55">
        <f t="shared" si="1305"/>
        <v>46190</v>
      </c>
      <c r="FS199" s="56"/>
      <c r="FT199" s="186">
        <f>SUMPRODUCT(PRODUCE!$B204:$DY204,PRODUCE!$EB$26:$IY$26)</f>
        <v>0</v>
      </c>
      <c r="FU199" s="56"/>
      <c r="FV199" s="186">
        <f t="shared" si="1306"/>
        <v>0</v>
      </c>
      <c r="FW199" s="186">
        <f t="shared" si="1307"/>
        <v>1160</v>
      </c>
      <c r="FX199" s="56"/>
      <c r="GA199" s="55">
        <f t="shared" si="1308"/>
        <v>46190</v>
      </c>
      <c r="GB199" s="56"/>
      <c r="GC199" s="137">
        <f>SUMPRODUCT(PRODUCE!$B204:$DY204,PRODUCE!$EB$27:$IY$27)</f>
        <v>0</v>
      </c>
      <c r="GD199" s="56"/>
      <c r="GE199" s="137">
        <f t="shared" si="1309"/>
        <v>0</v>
      </c>
      <c r="GF199" s="137">
        <f t="shared" si="1310"/>
        <v>960</v>
      </c>
      <c r="GG199" s="56"/>
      <c r="GI199" s="23"/>
      <c r="GJ199" s="55">
        <f t="shared" si="1311"/>
        <v>46190</v>
      </c>
      <c r="GK199" s="56"/>
      <c r="GL199" s="199">
        <f>SUMPRODUCT(PRODUCE!$B204:$DY204,PRODUCE!$EB$28:$IY$28)</f>
        <v>0</v>
      </c>
      <c r="GM199" s="56"/>
      <c r="GN199" s="199">
        <f t="shared" si="1312"/>
        <v>0</v>
      </c>
      <c r="GO199" s="199">
        <f t="shared" si="1313"/>
        <v>1760</v>
      </c>
      <c r="GP199" s="56"/>
      <c r="GS199" s="55">
        <f t="shared" si="1314"/>
        <v>46190</v>
      </c>
      <c r="GT199" s="56"/>
      <c r="GU199" s="195">
        <f>SUMPRODUCT(PRODUCE!$B204:$DY204,PRODUCE!$EB$29:$IY$29)</f>
        <v>0</v>
      </c>
      <c r="GV199" s="56"/>
      <c r="GW199" s="195">
        <f t="shared" si="1315"/>
        <v>0</v>
      </c>
      <c r="GX199" s="195">
        <f t="shared" si="1316"/>
        <v>400</v>
      </c>
      <c r="GY199" s="56"/>
      <c r="HB199" s="55">
        <f t="shared" si="1317"/>
        <v>46190</v>
      </c>
      <c r="HC199" s="56"/>
      <c r="HD199" s="191">
        <f>SUMPRODUCT(PRODUCE!$B204:$DY204,PRODUCE!$EB$30:$IY$30)</f>
        <v>0</v>
      </c>
      <c r="HE199" s="56"/>
      <c r="HF199" s="191">
        <f t="shared" si="1318"/>
        <v>0</v>
      </c>
      <c r="HG199" s="191">
        <f t="shared" si="1319"/>
        <v>3600</v>
      </c>
      <c r="HH199" s="56"/>
      <c r="HK199" s="55">
        <f t="shared" si="1320"/>
        <v>46190</v>
      </c>
      <c r="HL199" s="56"/>
      <c r="HM199" s="63">
        <f>SUMPRODUCT(PRODUCE!$B204:$DY204,PRODUCE!$EB$31:$IY$31)</f>
        <v>0</v>
      </c>
      <c r="HN199" s="56"/>
      <c r="HO199" s="63">
        <f t="shared" si="1321"/>
        <v>0</v>
      </c>
      <c r="HP199" s="63">
        <f t="shared" si="1322"/>
        <v>0</v>
      </c>
      <c r="HQ199" s="56"/>
      <c r="HU199" s="55">
        <f t="shared" si="1323"/>
        <v>46190</v>
      </c>
      <c r="HV199" s="56"/>
      <c r="HW199" s="242">
        <f>SUMPRODUCT(PRODUCE!$B204:$DY204,PRODUCE!$EB$32:$IY$32)</f>
        <v>0</v>
      </c>
      <c r="HX199" s="56"/>
      <c r="HY199" s="242">
        <f t="shared" si="1324"/>
        <v>0</v>
      </c>
      <c r="HZ199" s="242">
        <f t="shared" si="1325"/>
        <v>6800</v>
      </c>
      <c r="IA199" s="56"/>
      <c r="ID199" s="55">
        <f t="shared" si="1326"/>
        <v>46190</v>
      </c>
      <c r="IE199" s="56"/>
      <c r="IF199" s="242">
        <f>SUMPRODUCT(PRODUCE!$B204:$DY204,PRODUCE!$EB$33:$IY$33)</f>
        <v>0</v>
      </c>
      <c r="IG199" s="56"/>
      <c r="IH199" s="242">
        <f t="shared" si="1327"/>
        <v>0</v>
      </c>
      <c r="II199" s="242">
        <f t="shared" si="1328"/>
        <v>720</v>
      </c>
      <c r="IJ199" s="56"/>
      <c r="IM199" s="55">
        <f t="shared" si="1329"/>
        <v>46190</v>
      </c>
      <c r="IN199" s="56"/>
      <c r="IO199" s="242">
        <f>SUMPRODUCT(PRODUCE!$B204:$DY204,PRODUCE!$EB$34:$IY$34)</f>
        <v>0</v>
      </c>
      <c r="IP199" s="56"/>
      <c r="IQ199" s="242">
        <f t="shared" si="1330"/>
        <v>0</v>
      </c>
      <c r="IR199" s="242">
        <f t="shared" si="1331"/>
        <v>6520</v>
      </c>
      <c r="IS199" s="56"/>
      <c r="IV199" s="55">
        <f t="shared" si="1332"/>
        <v>46190</v>
      </c>
      <c r="IW199" s="56"/>
      <c r="IX199" s="242">
        <f>SUMPRODUCT(PRODUCE!$B204:$DY204,PRODUCE!$EB$35:$IY$35)</f>
        <v>0</v>
      </c>
      <c r="IY199" s="56"/>
      <c r="IZ199" s="242">
        <f t="shared" si="1333"/>
        <v>0</v>
      </c>
      <c r="JA199" s="242">
        <f t="shared" si="1334"/>
        <v>4960</v>
      </c>
      <c r="JB199" s="56"/>
      <c r="JE199" s="55">
        <f t="shared" si="1335"/>
        <v>46190</v>
      </c>
      <c r="JF199" s="56"/>
      <c r="JG199" s="242">
        <f>SUMPRODUCT(PRODUCE!$B204:$DY204,PRODUCE!$EB$36:$IY$36)</f>
        <v>0</v>
      </c>
      <c r="JH199" s="56"/>
      <c r="JI199" s="242">
        <f t="shared" si="1336"/>
        <v>0</v>
      </c>
      <c r="JJ199" s="242">
        <f t="shared" si="1337"/>
        <v>0</v>
      </c>
      <c r="JK199" s="56"/>
      <c r="JN199" s="55">
        <f t="shared" si="1338"/>
        <v>46190</v>
      </c>
      <c r="JO199" s="56"/>
      <c r="JP199" s="242">
        <f>SUMPRODUCT(PRODUCE!$B204:$DY204,PRODUCE!$EB$37:$IY$37)</f>
        <v>0</v>
      </c>
      <c r="JQ199" s="56"/>
      <c r="JR199" s="242">
        <f t="shared" si="1339"/>
        <v>0</v>
      </c>
      <c r="JS199" s="242">
        <f t="shared" si="1340"/>
        <v>0</v>
      </c>
      <c r="JT199" s="56"/>
      <c r="JW199" s="55">
        <f t="shared" si="1341"/>
        <v>46190</v>
      </c>
      <c r="JX199" s="56"/>
      <c r="JY199" s="242">
        <f>SUMPRODUCT(PRODUCE!$B204:$DY204,PRODUCE!$EB$38:$IY$38)</f>
        <v>0</v>
      </c>
      <c r="JZ199" s="56"/>
      <c r="KA199" s="242">
        <f t="shared" si="1342"/>
        <v>0</v>
      </c>
      <c r="KB199" s="242">
        <f t="shared" si="1343"/>
        <v>2540</v>
      </c>
      <c r="KC199" s="56"/>
      <c r="KF199" s="55">
        <f t="shared" si="1344"/>
        <v>46190</v>
      </c>
      <c r="KG199" s="56"/>
      <c r="KH199" s="242">
        <f>SUMPRODUCT(PRODUCE!$B204:$DY204,PRODUCE!$EB$39:$IY$39)</f>
        <v>0</v>
      </c>
      <c r="KI199" s="56"/>
      <c r="KJ199" s="242">
        <f t="shared" si="1345"/>
        <v>0</v>
      </c>
      <c r="KK199" s="242">
        <f t="shared" si="1346"/>
        <v>2359.5</v>
      </c>
      <c r="KL199" s="56"/>
      <c r="KO199" s="55">
        <f t="shared" si="1347"/>
        <v>46190</v>
      </c>
      <c r="KP199" s="56"/>
      <c r="KQ199" s="242">
        <f>SUMPRODUCT(PRODUCE!$B204:$DY204,PRODUCE!$EB$40:$IY$40)</f>
        <v>0</v>
      </c>
      <c r="KR199" s="56"/>
      <c r="KS199" s="242">
        <f t="shared" si="1348"/>
        <v>0</v>
      </c>
      <c r="KT199" s="242">
        <f t="shared" si="1349"/>
        <v>1890</v>
      </c>
      <c r="KU199" s="56"/>
      <c r="KW199" s="23"/>
      <c r="KX199" s="55">
        <f t="shared" si="1350"/>
        <v>46190</v>
      </c>
      <c r="KY199" s="56"/>
      <c r="KZ199" s="242">
        <f>SUMPRODUCT(PRODUCE!$B204:$DY204,PRODUCE!$EB$41:$IY$41)</f>
        <v>0</v>
      </c>
      <c r="LA199" s="56"/>
      <c r="LB199" s="242">
        <f t="shared" si="1351"/>
        <v>0</v>
      </c>
      <c r="LC199" s="242">
        <f t="shared" si="1352"/>
        <v>3690</v>
      </c>
      <c r="LD199" s="56"/>
      <c r="LG199" s="55">
        <f t="shared" si="1353"/>
        <v>46190</v>
      </c>
      <c r="LH199" s="56"/>
      <c r="LI199" s="242">
        <f>SUMPRODUCT(PRODUCE!$B204:$DY204,PRODUCE!$EB$42:$IY$42)</f>
        <v>0</v>
      </c>
      <c r="LJ199" s="56"/>
      <c r="LK199" s="242">
        <f t="shared" si="1354"/>
        <v>0</v>
      </c>
      <c r="LL199" s="242">
        <f t="shared" si="1355"/>
        <v>4000</v>
      </c>
      <c r="LM199" s="56"/>
      <c r="LP199" s="55">
        <f t="shared" si="1356"/>
        <v>46190</v>
      </c>
      <c r="LQ199" s="56"/>
      <c r="LR199" s="242">
        <f>SUMPRODUCT(PRODUCE!$B204:$DY204,PRODUCE!$EB$43:$IY$43)</f>
        <v>0</v>
      </c>
      <c r="LS199" s="56"/>
      <c r="LT199" s="242">
        <f t="shared" si="1357"/>
        <v>0</v>
      </c>
      <c r="LU199" s="242">
        <f t="shared" si="1358"/>
        <v>0</v>
      </c>
      <c r="LV199" s="56"/>
      <c r="LY199" s="55">
        <f t="shared" si="1359"/>
        <v>46190</v>
      </c>
      <c r="LZ199" s="56"/>
      <c r="MA199" s="242">
        <f>SUMPRODUCT(PRODUCE!$B204:$DY204,PRODUCE!$EB$44:$IY$44)</f>
        <v>0</v>
      </c>
      <c r="MB199" s="56"/>
      <c r="MC199" s="242">
        <f t="shared" si="1360"/>
        <v>0</v>
      </c>
      <c r="MD199" s="242">
        <f t="shared" si="1361"/>
        <v>0</v>
      </c>
      <c r="ME199" s="56"/>
      <c r="MH199" s="55">
        <f t="shared" si="1362"/>
        <v>46190</v>
      </c>
      <c r="MI199" s="56"/>
      <c r="MJ199" s="242">
        <f>SUMPRODUCT(PRODUCE!$B204:$DY204,PRODUCE!$EB$45:$IY$45)</f>
        <v>0</v>
      </c>
      <c r="MK199" s="56"/>
      <c r="ML199" s="242">
        <f t="shared" si="1363"/>
        <v>0</v>
      </c>
      <c r="MM199" s="242">
        <f t="shared" si="1364"/>
        <v>0</v>
      </c>
      <c r="MN199" s="56"/>
      <c r="MQ199" s="55">
        <f t="shared" si="1365"/>
        <v>46190</v>
      </c>
      <c r="MR199" s="56"/>
      <c r="MS199" s="242">
        <f>SUMPRODUCT(PRODUCE!$B204:$DY204,PRODUCE!$EB$46:$IY$46)</f>
        <v>0</v>
      </c>
      <c r="MT199" s="56"/>
      <c r="MU199" s="242">
        <f t="shared" si="1366"/>
        <v>0</v>
      </c>
      <c r="MV199" s="242">
        <f t="shared" si="1367"/>
        <v>3724</v>
      </c>
      <c r="MW199" s="56"/>
      <c r="MZ199" s="55">
        <f t="shared" si="1368"/>
        <v>46190</v>
      </c>
      <c r="NA199" s="56">
        <v>48</v>
      </c>
      <c r="NB199" s="242">
        <f>SUMPRODUCT(PRODUCE!$B204:$DY204,PRODUCE!$EB$47:$IY$47)</f>
        <v>0</v>
      </c>
      <c r="NC199" s="56">
        <v>48</v>
      </c>
      <c r="ND199" s="242">
        <f t="shared" si="1369"/>
        <v>-48</v>
      </c>
      <c r="NE199" s="242">
        <f t="shared" si="1370"/>
        <v>0</v>
      </c>
      <c r="NF199" s="56"/>
      <c r="NI199" s="55">
        <f t="shared" si="1371"/>
        <v>46190</v>
      </c>
      <c r="NJ199" s="56"/>
      <c r="NK199" s="242">
        <f>SUMPRODUCT(PRODUCE!$B204:$DY204,PRODUCE!$EB$48:$IY$48)</f>
        <v>0</v>
      </c>
      <c r="NL199" s="56"/>
      <c r="NM199" s="242">
        <f t="shared" si="1372"/>
        <v>0</v>
      </c>
      <c r="NN199" s="242">
        <f t="shared" si="1373"/>
        <v>1127</v>
      </c>
      <c r="NO199" s="56"/>
      <c r="NR199" s="55">
        <f t="shared" si="1374"/>
        <v>46190</v>
      </c>
      <c r="NS199" s="56"/>
      <c r="NT199" s="242">
        <f>SUMPRODUCT(PRODUCE!$B204:$DY204,PRODUCE!$EB$49:$IY$49)</f>
        <v>0</v>
      </c>
      <c r="NU199" s="56"/>
      <c r="NV199" s="242">
        <f t="shared" si="1375"/>
        <v>0</v>
      </c>
      <c r="NW199" s="242">
        <f t="shared" si="1376"/>
        <v>3111.9999999999995</v>
      </c>
      <c r="NX199" s="56"/>
      <c r="OA199" s="55">
        <f t="shared" si="1377"/>
        <v>46190</v>
      </c>
      <c r="OB199" s="56"/>
      <c r="OC199" s="242">
        <f>SUMPRODUCT(PRODUCE!$B204:$DY204,PRODUCE!$EB$50:$IY$50)</f>
        <v>0</v>
      </c>
      <c r="OD199" s="56"/>
      <c r="OE199" s="242">
        <f t="shared" si="1378"/>
        <v>0</v>
      </c>
      <c r="OF199" s="242">
        <f t="shared" si="1379"/>
        <v>1680.5</v>
      </c>
      <c r="OG199" s="56"/>
      <c r="OJ199" s="55">
        <f t="shared" si="1380"/>
        <v>46190</v>
      </c>
      <c r="OK199" s="56">
        <v>10.4</v>
      </c>
      <c r="OL199" s="242">
        <f>SUMPRODUCT(PRODUCE!$B204:$DY204,PRODUCE!$EB$51:$IY$51)</f>
        <v>0</v>
      </c>
      <c r="OM199" s="56">
        <v>10.4</v>
      </c>
      <c r="ON199" s="242">
        <f t="shared" si="1381"/>
        <v>-10.4</v>
      </c>
      <c r="OO199" s="242">
        <f t="shared" si="1382"/>
        <v>0</v>
      </c>
      <c r="OP199" s="56"/>
      <c r="OS199" s="55">
        <f t="shared" si="1383"/>
        <v>46190</v>
      </c>
      <c r="OT199" s="56"/>
      <c r="OU199" s="242">
        <f>SUMPRODUCT(PRODUCE!$B204:$DY204,PRODUCE!$EB$52:$IY$52)</f>
        <v>0</v>
      </c>
      <c r="OV199" s="56"/>
      <c r="OW199" s="242">
        <f t="shared" si="1384"/>
        <v>0</v>
      </c>
      <c r="OX199" s="242">
        <f t="shared" si="1385"/>
        <v>1482</v>
      </c>
      <c r="OY199" s="56"/>
      <c r="PB199" s="55">
        <f t="shared" si="1386"/>
        <v>46190</v>
      </c>
      <c r="PC199" s="56"/>
      <c r="PD199" s="242">
        <f>SUMPRODUCT(PRODUCE!$B204:$DY204,PRODUCE!$EB$53:$IY$53)</f>
        <v>0</v>
      </c>
      <c r="PE199" s="56"/>
      <c r="PF199" s="242">
        <f t="shared" si="1387"/>
        <v>0</v>
      </c>
      <c r="PG199" s="242">
        <f t="shared" si="1388"/>
        <v>0</v>
      </c>
      <c r="PH199" s="56"/>
      <c r="PK199" s="55">
        <f t="shared" si="1389"/>
        <v>46190</v>
      </c>
      <c r="PL199" s="56"/>
      <c r="PM199" s="242">
        <f>SUMPRODUCT(PRODUCE!$B204:$DY204,PRODUCE!$EB$54:$IY$54)</f>
        <v>0</v>
      </c>
      <c r="PN199" s="56"/>
      <c r="PO199" s="242">
        <f t="shared" si="1494"/>
        <v>0</v>
      </c>
      <c r="PP199" s="242">
        <f t="shared" si="1495"/>
        <v>100</v>
      </c>
      <c r="PQ199" s="56"/>
      <c r="PT199" s="55">
        <f t="shared" si="1392"/>
        <v>46190</v>
      </c>
      <c r="PU199" s="56"/>
      <c r="PV199" s="242">
        <f>SUMPRODUCT(PRODUCE!$B204:$DY204,PRODUCE!$EB$55:$IY$55)</f>
        <v>0</v>
      </c>
      <c r="PW199" s="56"/>
      <c r="PX199" s="242">
        <f t="shared" si="1393"/>
        <v>0</v>
      </c>
      <c r="PY199" s="242">
        <f t="shared" si="1394"/>
        <v>13.960000000000036</v>
      </c>
      <c r="PZ199" s="56"/>
      <c r="QC199" s="55">
        <f t="shared" si="1395"/>
        <v>46190</v>
      </c>
      <c r="QD199" s="56"/>
      <c r="QE199" s="242">
        <f>SUMPRODUCT(PRODUCE!$B204:$DY204,PRODUCE!$EB$56:$IY$56)</f>
        <v>0</v>
      </c>
      <c r="QF199" s="56"/>
      <c r="QG199" s="242">
        <f t="shared" si="1396"/>
        <v>0</v>
      </c>
      <c r="QH199" s="242">
        <f t="shared" si="1397"/>
        <v>1736</v>
      </c>
      <c r="QI199" s="56"/>
      <c r="QL199" s="55">
        <f t="shared" si="1398"/>
        <v>46190</v>
      </c>
      <c r="QM199" s="56"/>
      <c r="QN199" s="242">
        <f>SUMPRODUCT(PRODUCE!$B204:$DY204,PRODUCE!$EB$57:$IY$57)</f>
        <v>0</v>
      </c>
      <c r="QO199" s="56"/>
      <c r="QP199" s="242">
        <f t="shared" si="1399"/>
        <v>0</v>
      </c>
      <c r="QQ199" s="242">
        <f t="shared" si="1400"/>
        <v>250</v>
      </c>
      <c r="QR199" s="56"/>
      <c r="QU199" s="55">
        <f t="shared" si="1401"/>
        <v>46190</v>
      </c>
      <c r="QV199" s="56"/>
      <c r="QW199" s="242">
        <f>SUMPRODUCT(PRODUCE!$B204:$DY204,PRODUCE!$EB$58:$IY$58)</f>
        <v>0</v>
      </c>
      <c r="QX199" s="56"/>
      <c r="QY199" s="242">
        <f t="shared" si="1402"/>
        <v>0</v>
      </c>
      <c r="QZ199" s="242">
        <f t="shared" si="1403"/>
        <v>207.6</v>
      </c>
      <c r="RA199" s="56"/>
      <c r="RD199" s="55">
        <f t="shared" si="1404"/>
        <v>46190</v>
      </c>
      <c r="RE199" s="56"/>
      <c r="RF199" s="242">
        <f>SUMPRODUCT(PRODUCE!$B204:$DY204,PRODUCE!$EB$59:$IY$59)</f>
        <v>0</v>
      </c>
      <c r="RG199" s="56"/>
      <c r="RH199" s="242">
        <f t="shared" si="1405"/>
        <v>0</v>
      </c>
      <c r="RI199" s="242">
        <f t="shared" si="1406"/>
        <v>147.04000000000002</v>
      </c>
      <c r="RJ199" s="56"/>
      <c r="RM199" s="55">
        <f t="shared" si="1407"/>
        <v>46190</v>
      </c>
      <c r="RN199" s="56"/>
      <c r="RO199" s="242">
        <f>SUMPRODUCT(PRODUCE!$B204:$DY204,PRODUCE!$EB$60:$IY$60)</f>
        <v>0</v>
      </c>
      <c r="RP199" s="56"/>
      <c r="RQ199" s="242">
        <f t="shared" si="1408"/>
        <v>0</v>
      </c>
      <c r="RR199" s="242">
        <f t="shared" si="1409"/>
        <v>46.8</v>
      </c>
      <c r="RS199" s="56"/>
      <c r="RV199" s="55">
        <f t="shared" si="1410"/>
        <v>46190</v>
      </c>
      <c r="RW199" s="56"/>
      <c r="RX199" s="242">
        <f>SUMPRODUCT(PRODUCE!$B204:$DY204,PRODUCE!$EB$61:$IY$61)</f>
        <v>0</v>
      </c>
      <c r="RY199" s="56"/>
      <c r="RZ199" s="242">
        <f t="shared" si="1411"/>
        <v>0</v>
      </c>
      <c r="SA199" s="242">
        <f t="shared" si="1412"/>
        <v>0</v>
      </c>
      <c r="SB199" s="56"/>
      <c r="SE199" s="55">
        <f t="shared" si="1413"/>
        <v>46190</v>
      </c>
      <c r="SF199" s="56"/>
      <c r="SG199" s="242">
        <f>SUMPRODUCT(PRODUCE!$B204:$DY204,PRODUCE!$EB$62:$IY$62)</f>
        <v>0</v>
      </c>
      <c r="SH199" s="56"/>
      <c r="SI199" s="242">
        <f t="shared" si="1414"/>
        <v>0</v>
      </c>
      <c r="SJ199" s="242">
        <f t="shared" si="1415"/>
        <v>24.200000000000003</v>
      </c>
      <c r="SK199" s="56"/>
      <c r="SN199" s="55">
        <f t="shared" si="1416"/>
        <v>46190</v>
      </c>
      <c r="SO199" s="56"/>
      <c r="SP199" s="242">
        <f>SUMPRODUCT(PRODUCE!$B204:$DY204,PRODUCE!$EB$63:$IY$63)</f>
        <v>0</v>
      </c>
      <c r="SQ199" s="56"/>
      <c r="SR199" s="242">
        <f t="shared" si="1417"/>
        <v>0</v>
      </c>
      <c r="SS199" s="242">
        <f t="shared" si="1418"/>
        <v>32</v>
      </c>
      <c r="ST199" s="56"/>
      <c r="SW199" s="55">
        <f t="shared" si="1419"/>
        <v>46190</v>
      </c>
      <c r="SX199" s="56"/>
      <c r="SY199" s="242">
        <f>SUMPRODUCT(PRODUCE!$B204:$DY204,PRODUCE!$EB$64:$IY$64)</f>
        <v>0</v>
      </c>
      <c r="SZ199" s="56"/>
      <c r="TA199" s="242">
        <f t="shared" si="1420"/>
        <v>0</v>
      </c>
      <c r="TB199" s="242">
        <f t="shared" si="1421"/>
        <v>0</v>
      </c>
      <c r="TC199" s="56"/>
      <c r="TF199" s="55">
        <f t="shared" si="1422"/>
        <v>46190</v>
      </c>
      <c r="TG199" s="56"/>
      <c r="TH199" s="242">
        <f>SUMPRODUCT(PRODUCE!$B204:$DY204,PRODUCE!$EB$65:$IY$65)</f>
        <v>0</v>
      </c>
      <c r="TI199" s="56"/>
      <c r="TJ199" s="242">
        <f t="shared" si="1423"/>
        <v>0</v>
      </c>
      <c r="TK199" s="242">
        <f t="shared" si="1424"/>
        <v>0</v>
      </c>
      <c r="TL199" s="56"/>
      <c r="TO199" s="55">
        <f t="shared" si="1425"/>
        <v>46190</v>
      </c>
      <c r="TP199" s="56"/>
      <c r="TQ199" s="242">
        <f>SUMPRODUCT(PRODUCE!$B204:$DY204,PRODUCE!$EB$66:$IY$66)</f>
        <v>0</v>
      </c>
      <c r="TR199" s="56"/>
      <c r="TS199" s="242">
        <f t="shared" si="1426"/>
        <v>0</v>
      </c>
      <c r="TT199" s="242">
        <f t="shared" si="1427"/>
        <v>22.400000000000006</v>
      </c>
      <c r="TU199" s="56"/>
      <c r="TX199" s="55">
        <f t="shared" si="1428"/>
        <v>46190</v>
      </c>
      <c r="TY199" s="56"/>
      <c r="TZ199" s="242">
        <f>SUMPRODUCT(PRODUCE!$B204:$DY204,PRODUCE!$EB$67:$IY$67)</f>
        <v>0</v>
      </c>
      <c r="UA199" s="56"/>
      <c r="UB199" s="242">
        <f t="shared" si="1429"/>
        <v>0</v>
      </c>
      <c r="UC199" s="242">
        <f t="shared" si="1430"/>
        <v>46.799999999999983</v>
      </c>
      <c r="UD199" s="56"/>
      <c r="UG199" s="55">
        <f t="shared" si="1431"/>
        <v>46190</v>
      </c>
      <c r="UH199" s="56"/>
      <c r="UI199" s="242">
        <f>SUMPRODUCT(PRODUCE!$B204:$DY204,PRODUCE!$EB$68:$IY$68)</f>
        <v>0</v>
      </c>
      <c r="UJ199" s="56"/>
      <c r="UK199" s="242">
        <f t="shared" si="1432"/>
        <v>0</v>
      </c>
      <c r="UL199" s="242">
        <f t="shared" si="1433"/>
        <v>204</v>
      </c>
      <c r="UM199" s="56"/>
      <c r="UP199" s="55">
        <f t="shared" si="1434"/>
        <v>46190</v>
      </c>
      <c r="UQ199" s="56"/>
      <c r="UR199" s="242">
        <f>SUMPRODUCT(PRODUCE!$B204:$DY204,PRODUCE!$EB$69:$IY$69)</f>
        <v>0</v>
      </c>
      <c r="US199" s="56"/>
      <c r="UT199" s="242">
        <f t="shared" si="1435"/>
        <v>0</v>
      </c>
      <c r="UU199" s="242">
        <f t="shared" si="1436"/>
        <v>251.25</v>
      </c>
      <c r="UV199" s="56"/>
      <c r="UY199" s="55">
        <f t="shared" si="1437"/>
        <v>46190</v>
      </c>
      <c r="UZ199" s="56"/>
      <c r="VA199" s="242">
        <f>SUMPRODUCT(PRODUCE!$B204:$DY204,PRODUCE!$EB$70:$IY$70)</f>
        <v>0</v>
      </c>
      <c r="VB199" s="56"/>
      <c r="VC199" s="242">
        <f t="shared" si="1438"/>
        <v>0</v>
      </c>
      <c r="VD199" s="242">
        <f t="shared" si="1439"/>
        <v>41.600000000000023</v>
      </c>
      <c r="VE199" s="56"/>
      <c r="VH199" s="55">
        <f t="shared" si="1440"/>
        <v>46190</v>
      </c>
      <c r="VI199" s="56"/>
      <c r="VJ199" s="242">
        <f>SUMPRODUCT(PRODUCE!$B204:$DY204,PRODUCE!$EB$71:$IY$71)</f>
        <v>0</v>
      </c>
      <c r="VK199" s="56"/>
      <c r="VL199" s="242">
        <f t="shared" si="1441"/>
        <v>0</v>
      </c>
      <c r="VM199" s="242">
        <f t="shared" si="1442"/>
        <v>210</v>
      </c>
      <c r="VN199" s="56"/>
      <c r="VQ199" s="55">
        <f t="shared" si="1443"/>
        <v>46190</v>
      </c>
      <c r="VR199" s="56"/>
      <c r="VS199" s="242">
        <f>SUMPRODUCT(PRODUCE!$B204:$DY204,PRODUCE!$EB$57:$IY$57)</f>
        <v>0</v>
      </c>
      <c r="VT199" s="56"/>
      <c r="VU199" s="242">
        <f t="shared" si="1444"/>
        <v>0</v>
      </c>
      <c r="VV199" s="242">
        <f t="shared" si="1445"/>
        <v>0</v>
      </c>
      <c r="VW199" s="56"/>
      <c r="VZ199" s="55">
        <f t="shared" si="1446"/>
        <v>46190</v>
      </c>
      <c r="WA199" s="56"/>
      <c r="WB199" s="242">
        <f>SUMPRODUCT(PRODUCE!$B204:$DY204,PRODUCE!$EB$57:$IY$57)</f>
        <v>0</v>
      </c>
      <c r="WC199" s="56"/>
      <c r="WD199" s="242">
        <f t="shared" si="1447"/>
        <v>0</v>
      </c>
      <c r="WE199" s="242">
        <f t="shared" si="1448"/>
        <v>0</v>
      </c>
      <c r="WF199" s="56"/>
      <c r="WI199" s="55">
        <f t="shared" si="1449"/>
        <v>46190</v>
      </c>
      <c r="WJ199" s="422"/>
      <c r="WK199" s="540">
        <f>SUMPRODUCT(PRODUCE!$B204:$DY204,PRODUCE!$EB$74:$IY$74)</f>
        <v>0</v>
      </c>
      <c r="WL199" s="422"/>
      <c r="WM199" s="540">
        <f t="shared" si="1450"/>
        <v>0</v>
      </c>
      <c r="WN199" s="540">
        <f t="shared" si="1451"/>
        <v>1199</v>
      </c>
      <c r="WO199" s="56"/>
      <c r="WR199" s="55">
        <f t="shared" si="1452"/>
        <v>46190</v>
      </c>
      <c r="WS199" s="422"/>
      <c r="WT199" s="540">
        <f>SUMPRODUCT(PRODUCE!$B204:$DY204,PRODUCE!$EB$75:$IY$75)</f>
        <v>0</v>
      </c>
      <c r="WU199" s="422"/>
      <c r="WV199" s="540">
        <f t="shared" si="1453"/>
        <v>0</v>
      </c>
      <c r="WW199" s="540">
        <f t="shared" si="1454"/>
        <v>0</v>
      </c>
      <c r="WX199" s="56"/>
      <c r="XA199" s="55">
        <f t="shared" si="1455"/>
        <v>46190</v>
      </c>
      <c r="XB199" s="422"/>
      <c r="XC199" s="540">
        <f>SUMPRODUCT(PRODUCE!$B204:$DY204,PRODUCE!$EB$76:$IY$76)</f>
        <v>0</v>
      </c>
      <c r="XD199" s="422"/>
      <c r="XE199" s="540">
        <f t="shared" si="1456"/>
        <v>0</v>
      </c>
      <c r="XF199" s="540">
        <f t="shared" si="1457"/>
        <v>6813</v>
      </c>
      <c r="XG199" s="56"/>
      <c r="XJ199" s="55">
        <f t="shared" si="1458"/>
        <v>46190</v>
      </c>
      <c r="XK199" s="422"/>
      <c r="XL199" s="540">
        <f>SUMPRODUCT(PRODUCE!$B204:$DY204,PRODUCE!$EB$77:$IY$77)</f>
        <v>0</v>
      </c>
      <c r="XM199" s="422"/>
      <c r="XN199" s="540">
        <f t="shared" si="1459"/>
        <v>0</v>
      </c>
      <c r="XO199" s="540">
        <f t="shared" si="1460"/>
        <v>5298</v>
      </c>
      <c r="XP199" s="56"/>
      <c r="XS199" s="55">
        <f t="shared" si="1461"/>
        <v>46190</v>
      </c>
      <c r="XT199" s="56"/>
      <c r="XU199" s="242">
        <f>SUMPRODUCT(PRODUCE!$B204:$DY204,PRODUCE!$EB$78:$IY$78)</f>
        <v>0</v>
      </c>
      <c r="XV199" s="56"/>
      <c r="XW199" s="242">
        <f t="shared" si="1462"/>
        <v>0</v>
      </c>
      <c r="XX199" s="242">
        <f t="shared" si="1463"/>
        <v>1621</v>
      </c>
      <c r="XY199" s="56"/>
      <c r="YB199" s="55">
        <f t="shared" si="1464"/>
        <v>46190</v>
      </c>
      <c r="YC199" s="56"/>
      <c r="YD199" s="242">
        <f>SUMPRODUCT(PRODUCE!$B204:$DY204,PRODUCE!$EB$79:$IY$79)</f>
        <v>0</v>
      </c>
      <c r="YE199" s="56"/>
      <c r="YF199" s="242">
        <f t="shared" si="1465"/>
        <v>0</v>
      </c>
      <c r="YG199" s="242">
        <f t="shared" si="1466"/>
        <v>4072</v>
      </c>
      <c r="YH199" s="56"/>
      <c r="YK199" s="55">
        <f t="shared" si="1467"/>
        <v>46190</v>
      </c>
      <c r="YL199" s="56"/>
      <c r="YM199" s="242">
        <f>SUMPRODUCT(PRODUCE!$B204:$DY204,PRODUCE!$EB$80:$IY$80)</f>
        <v>0</v>
      </c>
      <c r="YN199" s="56"/>
      <c r="YO199" s="242">
        <f t="shared" si="1468"/>
        <v>0</v>
      </c>
      <c r="YP199" s="242">
        <f t="shared" si="1469"/>
        <v>0</v>
      </c>
      <c r="YQ199" s="56"/>
      <c r="YT199" s="55">
        <f t="shared" si="1470"/>
        <v>46190</v>
      </c>
      <c r="YU199" s="56"/>
      <c r="YV199" s="242">
        <f>SUMPRODUCT(PRODUCE!$B204:$DY204,PRODUCE!$EB$57:$IY$57)</f>
        <v>0</v>
      </c>
      <c r="YW199" s="56"/>
      <c r="YX199" s="242">
        <f t="shared" si="1471"/>
        <v>0</v>
      </c>
      <c r="YY199" s="242">
        <f t="shared" si="1472"/>
        <v>0</v>
      </c>
      <c r="YZ199" s="56"/>
      <c r="ZC199" s="55">
        <f t="shared" si="1473"/>
        <v>46190</v>
      </c>
      <c r="ZD199" s="56"/>
      <c r="ZE199" s="242">
        <f>SUMPRODUCT(PRODUCE!$B204:$DY204,PRODUCE!$EB$57:$IY$57)</f>
        <v>0</v>
      </c>
      <c r="ZF199" s="56"/>
      <c r="ZG199" s="242">
        <f t="shared" si="1474"/>
        <v>0</v>
      </c>
      <c r="ZH199" s="242">
        <f t="shared" si="1475"/>
        <v>0</v>
      </c>
      <c r="ZI199" s="56"/>
      <c r="ZL199" s="55">
        <f t="shared" si="1476"/>
        <v>46190</v>
      </c>
      <c r="ZM199" s="56"/>
      <c r="ZN199" s="242">
        <f>SUMPRODUCT(PRODUCE!$B204:$DY204,PRODUCE!$EB$57:$IY$57)</f>
        <v>0</v>
      </c>
      <c r="ZO199" s="56"/>
      <c r="ZP199" s="242">
        <f t="shared" si="1477"/>
        <v>0</v>
      </c>
      <c r="ZQ199" s="242">
        <f t="shared" si="1478"/>
        <v>0</v>
      </c>
      <c r="ZR199" s="56"/>
      <c r="ZU199" s="55">
        <f t="shared" si="1479"/>
        <v>46190</v>
      </c>
      <c r="ZV199" s="56"/>
      <c r="ZW199" s="242">
        <f>SUMPRODUCT(PRODUCE!$B204:$DY204,PRODUCE!$EB$57:$IY$57)</f>
        <v>0</v>
      </c>
      <c r="ZX199" s="56"/>
      <c r="ZY199" s="242">
        <f t="shared" si="1480"/>
        <v>0</v>
      </c>
      <c r="ZZ199" s="242">
        <f t="shared" si="1481"/>
        <v>0</v>
      </c>
      <c r="AAA199" s="56"/>
      <c r="AAD199" s="55">
        <f t="shared" si="1482"/>
        <v>46190</v>
      </c>
      <c r="AAE199" s="56"/>
      <c r="AAF199" s="242">
        <f>SUMPRODUCT(PRODUCE!$B204:$DY204,PRODUCE!$EB$57:$IY$57)</f>
        <v>0</v>
      </c>
      <c r="AAG199" s="56"/>
      <c r="AAH199" s="242">
        <f t="shared" si="1483"/>
        <v>0</v>
      </c>
      <c r="AAI199" s="242">
        <f t="shared" si="1484"/>
        <v>0</v>
      </c>
      <c r="AAJ199" s="56"/>
      <c r="AAM199" s="55">
        <f t="shared" si="1485"/>
        <v>46190</v>
      </c>
      <c r="AAN199" s="56"/>
      <c r="AAO199" s="242">
        <f>SUMPRODUCT(PRODUCE!$B204:$DY204,PRODUCE!$EB$57:$IY$57)</f>
        <v>0</v>
      </c>
      <c r="AAP199" s="56"/>
      <c r="AAQ199" s="242">
        <f t="shared" si="1486"/>
        <v>0</v>
      </c>
      <c r="AAR199" s="242">
        <f t="shared" si="1487"/>
        <v>0</v>
      </c>
      <c r="AAS199" s="56"/>
      <c r="AAV199" s="55">
        <f t="shared" si="1488"/>
        <v>46190</v>
      </c>
      <c r="AAW199" s="56"/>
      <c r="AAX199" s="242">
        <f>SUMPRODUCT(PRODUCE!$B204:$DY204,PRODUCE!$EB$57:$IY$57)</f>
        <v>0</v>
      </c>
      <c r="AAY199" s="56"/>
      <c r="AAZ199" s="242">
        <f t="shared" si="1489"/>
        <v>0</v>
      </c>
      <c r="ABA199" s="242">
        <f t="shared" si="1490"/>
        <v>0</v>
      </c>
      <c r="ABB199" s="56"/>
      <c r="ABE199" s="55">
        <f t="shared" si="1491"/>
        <v>46190</v>
      </c>
      <c r="ABF199" s="56"/>
      <c r="ABG199" s="242">
        <f>SUMPRODUCT(PRODUCE!$B204:$DY204,PRODUCE!$EB$57:$IY$57)</f>
        <v>0</v>
      </c>
      <c r="ABH199" s="56"/>
      <c r="ABI199" s="242">
        <f t="shared" si="1492"/>
        <v>0</v>
      </c>
      <c r="ABJ199" s="242">
        <f t="shared" si="1493"/>
        <v>0</v>
      </c>
      <c r="ABK199" s="56"/>
    </row>
    <row r="200" spans="2:739" s="54" customFormat="1" ht="15" customHeight="1" outlineLevel="1">
      <c r="B200" s="478"/>
      <c r="C200" s="55">
        <v>46191</v>
      </c>
      <c r="D200" s="422">
        <v>35850</v>
      </c>
      <c r="E200" s="423">
        <f>SUMPRODUCT(PRODUCE!$B205:$DY205,PRODUCE!$EB$7:$IY$7)</f>
        <v>0</v>
      </c>
      <c r="F200" s="422">
        <v>37505.800000000003</v>
      </c>
      <c r="G200" s="423">
        <f t="shared" si="1249"/>
        <v>-37505.800000000003</v>
      </c>
      <c r="H200" s="423">
        <f t="shared" si="1250"/>
        <v>98026.200000000055</v>
      </c>
      <c r="I200" s="289"/>
      <c r="L200" s="55">
        <f t="shared" si="1251"/>
        <v>46191</v>
      </c>
      <c r="M200" s="422">
        <v>10000</v>
      </c>
      <c r="N200" s="438">
        <f>SUMPRODUCT(PRODUCE!$B205:$DY205,PRODUCE!$EB$8:$IY$8)</f>
        <v>0</v>
      </c>
      <c r="O200" s="422"/>
      <c r="P200" s="438">
        <f t="shared" si="1252"/>
        <v>0</v>
      </c>
      <c r="Q200" s="438">
        <f t="shared" si="1253"/>
        <v>76456.000000000087</v>
      </c>
      <c r="R200" s="56"/>
      <c r="U200" s="55">
        <f t="shared" si="1254"/>
        <v>46191</v>
      </c>
      <c r="V200" s="422"/>
      <c r="W200" s="440">
        <f>SUMPRODUCT(PRODUCE!$B205:$DY205,PRODUCE!$EB$9:$IY$9)</f>
        <v>0</v>
      </c>
      <c r="X200" s="422"/>
      <c r="Y200" s="440">
        <f t="shared" si="1255"/>
        <v>0</v>
      </c>
      <c r="Z200" s="440">
        <f t="shared" si="1256"/>
        <v>39888.299999999981</v>
      </c>
      <c r="AA200" s="56"/>
      <c r="AD200" s="55">
        <f t="shared" si="1257"/>
        <v>46191</v>
      </c>
      <c r="AE200" s="422"/>
      <c r="AF200" s="442">
        <f>SUMPRODUCT(PRODUCE!$B205:$DY205,PRODUCE!$EB$10:$IY$10)</f>
        <v>0</v>
      </c>
      <c r="AG200" s="422"/>
      <c r="AH200" s="442">
        <f t="shared" si="1258"/>
        <v>0</v>
      </c>
      <c r="AI200" s="442">
        <f t="shared" si="1259"/>
        <v>33372.700000000019</v>
      </c>
      <c r="AJ200" s="56"/>
      <c r="AM200" s="55">
        <f t="shared" si="1260"/>
        <v>46191</v>
      </c>
      <c r="AN200" s="422"/>
      <c r="AO200" s="444">
        <f>SUMPRODUCT(PRODUCE!$B205:$DY205,PRODUCE!$EB$11:$IY$11)</f>
        <v>0</v>
      </c>
      <c r="AP200" s="422"/>
      <c r="AQ200" s="444">
        <f t="shared" si="1261"/>
        <v>0</v>
      </c>
      <c r="AR200" s="444">
        <f t="shared" si="1262"/>
        <v>0</v>
      </c>
      <c r="AS200" s="56"/>
      <c r="AV200" s="55">
        <f t="shared" si="1263"/>
        <v>46191</v>
      </c>
      <c r="AW200" s="422"/>
      <c r="AX200" s="446">
        <f>SUMPRODUCT(PRODUCE!$B205:$DY205,PRODUCE!$EB$12:$IY$12)</f>
        <v>0</v>
      </c>
      <c r="AY200" s="422"/>
      <c r="AZ200" s="446">
        <f t="shared" si="1264"/>
        <v>0</v>
      </c>
      <c r="BA200" s="446">
        <f t="shared" si="1265"/>
        <v>14066.499999999996</v>
      </c>
      <c r="BB200" s="56"/>
      <c r="BE200" s="55">
        <f t="shared" si="1266"/>
        <v>46191</v>
      </c>
      <c r="BF200" s="422"/>
      <c r="BG200" s="448">
        <f>SUMPRODUCT(PRODUCE!$B205:$DY205,PRODUCE!$EB$13:$IY$13)</f>
        <v>0</v>
      </c>
      <c r="BH200" s="422"/>
      <c r="BI200" s="448">
        <f t="shared" si="1267"/>
        <v>0</v>
      </c>
      <c r="BJ200" s="448">
        <f t="shared" si="1268"/>
        <v>39235.399999999994</v>
      </c>
      <c r="BK200" s="56"/>
      <c r="BN200" s="55">
        <f t="shared" si="1269"/>
        <v>46191</v>
      </c>
      <c r="BO200" s="422"/>
      <c r="BP200" s="450">
        <f>SUMPRODUCT(PRODUCE!$B205:$DY205,PRODUCE!$EB$14:$IY$14)</f>
        <v>0</v>
      </c>
      <c r="BQ200" s="422"/>
      <c r="BR200" s="450">
        <f t="shared" si="1270"/>
        <v>0</v>
      </c>
      <c r="BS200" s="450">
        <f t="shared" si="1271"/>
        <v>0</v>
      </c>
      <c r="BT200" s="56"/>
      <c r="BW200" s="55">
        <f t="shared" si="1272"/>
        <v>46191</v>
      </c>
      <c r="BX200" s="422"/>
      <c r="BY200" s="523">
        <f>SUMPRODUCT(PRODUCE!$B205:$DY205,PRODUCE!$EB$15:$IY$15)</f>
        <v>0</v>
      </c>
      <c r="BZ200" s="422"/>
      <c r="CA200" s="523">
        <f t="shared" si="1273"/>
        <v>0</v>
      </c>
      <c r="CB200" s="523">
        <f t="shared" si="1274"/>
        <v>3188.329999999999</v>
      </c>
      <c r="CC200" s="56"/>
      <c r="CF200" s="55">
        <f t="shared" si="1275"/>
        <v>46191</v>
      </c>
      <c r="CG200" s="422"/>
      <c r="CH200" s="524">
        <f>SUMPRODUCT(PRODUCE!$B205:$DY205,PRODUCE!$EB$16:$IY$16)</f>
        <v>0</v>
      </c>
      <c r="CI200" s="422"/>
      <c r="CJ200" s="524">
        <f t="shared" si="1276"/>
        <v>0</v>
      </c>
      <c r="CK200" s="524">
        <f t="shared" si="1277"/>
        <v>0</v>
      </c>
      <c r="CL200" s="56"/>
      <c r="CO200" s="55">
        <f t="shared" si="1278"/>
        <v>46191</v>
      </c>
      <c r="CP200" s="422"/>
      <c r="CQ200" s="470">
        <f>SUMPRODUCT(PRODUCE!$B205:$DY205,PRODUCE!$EB$17:$IY$17)</f>
        <v>0</v>
      </c>
      <c r="CR200" s="422"/>
      <c r="CS200" s="470">
        <f t="shared" si="1279"/>
        <v>0</v>
      </c>
      <c r="CT200" s="470">
        <f t="shared" si="1280"/>
        <v>0</v>
      </c>
      <c r="CU200" s="56"/>
      <c r="CX200" s="55">
        <f t="shared" si="1281"/>
        <v>46191</v>
      </c>
      <c r="CY200" s="422"/>
      <c r="CZ200" s="525">
        <f>SUMPRODUCT(PRODUCE!$B205:$DY205,PRODUCE!$EB$18:$IY$18)</f>
        <v>0</v>
      </c>
      <c r="DA200" s="422"/>
      <c r="DB200" s="525">
        <f t="shared" si="1282"/>
        <v>0</v>
      </c>
      <c r="DC200" s="525">
        <f t="shared" si="1283"/>
        <v>15142.200000000006</v>
      </c>
      <c r="DD200" s="56"/>
      <c r="DG200" s="55">
        <f t="shared" si="1284"/>
        <v>46191</v>
      </c>
      <c r="DH200" s="422"/>
      <c r="DI200" s="526">
        <f>SUMPRODUCT(PRODUCE!$B205:$DY205,PRODUCE!$EB$19:$IY$19)</f>
        <v>0</v>
      </c>
      <c r="DJ200" s="422"/>
      <c r="DK200" s="526">
        <f t="shared" si="1285"/>
        <v>0</v>
      </c>
      <c r="DL200" s="526">
        <f t="shared" si="1286"/>
        <v>35234.999999999985</v>
      </c>
      <c r="DM200" s="56"/>
      <c r="DP200" s="55">
        <f t="shared" si="1287"/>
        <v>46191</v>
      </c>
      <c r="DQ200" s="56"/>
      <c r="DR200" s="57">
        <f>SUMPRODUCT(PRODUCE!$B205:$DY205,PRODUCE!$EB$20:$IY$20)</f>
        <v>0</v>
      </c>
      <c r="DS200" s="56"/>
      <c r="DT200" s="57">
        <f t="shared" si="1288"/>
        <v>0</v>
      </c>
      <c r="DU200" s="57">
        <f t="shared" si="1289"/>
        <v>5800</v>
      </c>
      <c r="DV200" s="56"/>
      <c r="DY200" s="55">
        <f t="shared" si="1290"/>
        <v>46191</v>
      </c>
      <c r="DZ200" s="56"/>
      <c r="EA200" s="157">
        <f>SUMPRODUCT(PRODUCE!$B205:$DY205,PRODUCE!$EB$21:$IY$21)</f>
        <v>0</v>
      </c>
      <c r="EB200" s="56"/>
      <c r="EC200" s="157">
        <f t="shared" si="1291"/>
        <v>0</v>
      </c>
      <c r="ED200" s="157">
        <f t="shared" si="1292"/>
        <v>0</v>
      </c>
      <c r="EE200" s="56"/>
      <c r="EH200" s="55">
        <f t="shared" si="1293"/>
        <v>46191</v>
      </c>
      <c r="EI200" s="56"/>
      <c r="EJ200" s="162">
        <f>SUMPRODUCT(PRODUCE!$B205:$DY205,PRODUCE!$EB$22:$IY$22)</f>
        <v>0</v>
      </c>
      <c r="EK200" s="56"/>
      <c r="EL200" s="162">
        <f t="shared" si="1294"/>
        <v>0</v>
      </c>
      <c r="EM200" s="162">
        <f t="shared" si="1295"/>
        <v>0</v>
      </c>
      <c r="EN200" s="56"/>
      <c r="EQ200" s="55">
        <f t="shared" si="1296"/>
        <v>46191</v>
      </c>
      <c r="ER200" s="56"/>
      <c r="ES200" s="135">
        <f>SUMPRODUCT(PRODUCE!$B205:$DY205,PRODUCE!$EB$23:$IY$23)</f>
        <v>0</v>
      </c>
      <c r="ET200" s="56"/>
      <c r="EU200" s="135">
        <f t="shared" si="1297"/>
        <v>0</v>
      </c>
      <c r="EV200" s="135">
        <f t="shared" si="1298"/>
        <v>0</v>
      </c>
      <c r="EW200" s="56"/>
      <c r="EZ200" s="55">
        <f t="shared" si="1299"/>
        <v>46191</v>
      </c>
      <c r="FA200" s="56"/>
      <c r="FB200" s="175">
        <f>SUMPRODUCT(PRODUCE!$B205:$DY205,PRODUCE!$EB$24:$IY$24)</f>
        <v>0</v>
      </c>
      <c r="FC200" s="56"/>
      <c r="FD200" s="175">
        <f t="shared" si="1300"/>
        <v>0</v>
      </c>
      <c r="FE200" s="175">
        <f t="shared" si="1301"/>
        <v>0</v>
      </c>
      <c r="FF200" s="56"/>
      <c r="FI200" s="55">
        <f t="shared" si="1302"/>
        <v>46191</v>
      </c>
      <c r="FJ200" s="56"/>
      <c r="FK200" s="183">
        <f>SUMPRODUCT(PRODUCE!$B205:$DY205,PRODUCE!$EB$25:$IY$25)</f>
        <v>0</v>
      </c>
      <c r="FL200" s="56"/>
      <c r="FM200" s="183">
        <f t="shared" si="1303"/>
        <v>0</v>
      </c>
      <c r="FN200" s="183">
        <f t="shared" si="1304"/>
        <v>0</v>
      </c>
      <c r="FO200" s="56"/>
      <c r="FR200" s="55">
        <f t="shared" si="1305"/>
        <v>46191</v>
      </c>
      <c r="FS200" s="56"/>
      <c r="FT200" s="186">
        <f>SUMPRODUCT(PRODUCE!$B205:$DY205,PRODUCE!$EB$26:$IY$26)</f>
        <v>0</v>
      </c>
      <c r="FU200" s="56"/>
      <c r="FV200" s="186">
        <f t="shared" si="1306"/>
        <v>0</v>
      </c>
      <c r="FW200" s="186">
        <f t="shared" si="1307"/>
        <v>1160</v>
      </c>
      <c r="FX200" s="56"/>
      <c r="GA200" s="55">
        <f t="shared" si="1308"/>
        <v>46191</v>
      </c>
      <c r="GB200" s="56"/>
      <c r="GC200" s="137">
        <f>SUMPRODUCT(PRODUCE!$B205:$DY205,PRODUCE!$EB$27:$IY$27)</f>
        <v>0</v>
      </c>
      <c r="GD200" s="56"/>
      <c r="GE200" s="137">
        <f t="shared" si="1309"/>
        <v>0</v>
      </c>
      <c r="GF200" s="137">
        <f t="shared" si="1310"/>
        <v>960</v>
      </c>
      <c r="GG200" s="56"/>
      <c r="GI200" s="23"/>
      <c r="GJ200" s="55">
        <f t="shared" si="1311"/>
        <v>46191</v>
      </c>
      <c r="GK200" s="56"/>
      <c r="GL200" s="199">
        <f>SUMPRODUCT(PRODUCE!$B205:$DY205,PRODUCE!$EB$28:$IY$28)</f>
        <v>0</v>
      </c>
      <c r="GM200" s="56"/>
      <c r="GN200" s="199">
        <f t="shared" si="1312"/>
        <v>0</v>
      </c>
      <c r="GO200" s="199">
        <f t="shared" si="1313"/>
        <v>1760</v>
      </c>
      <c r="GP200" s="56"/>
      <c r="GS200" s="55">
        <f t="shared" si="1314"/>
        <v>46191</v>
      </c>
      <c r="GT200" s="56"/>
      <c r="GU200" s="195">
        <f>SUMPRODUCT(PRODUCE!$B205:$DY205,PRODUCE!$EB$29:$IY$29)</f>
        <v>0</v>
      </c>
      <c r="GV200" s="56"/>
      <c r="GW200" s="195">
        <f t="shared" si="1315"/>
        <v>0</v>
      </c>
      <c r="GX200" s="195">
        <f t="shared" si="1316"/>
        <v>400</v>
      </c>
      <c r="GY200" s="56"/>
      <c r="HB200" s="55">
        <f t="shared" si="1317"/>
        <v>46191</v>
      </c>
      <c r="HC200" s="56"/>
      <c r="HD200" s="191">
        <f>SUMPRODUCT(PRODUCE!$B205:$DY205,PRODUCE!$EB$30:$IY$30)</f>
        <v>0</v>
      </c>
      <c r="HE200" s="56"/>
      <c r="HF200" s="191">
        <f t="shared" si="1318"/>
        <v>0</v>
      </c>
      <c r="HG200" s="191">
        <f t="shared" si="1319"/>
        <v>3600</v>
      </c>
      <c r="HH200" s="56"/>
      <c r="HK200" s="55">
        <f t="shared" si="1320"/>
        <v>46191</v>
      </c>
      <c r="HL200" s="56"/>
      <c r="HM200" s="63">
        <f>SUMPRODUCT(PRODUCE!$B205:$DY205,PRODUCE!$EB$31:$IY$31)</f>
        <v>0</v>
      </c>
      <c r="HN200" s="56"/>
      <c r="HO200" s="63">
        <f t="shared" si="1321"/>
        <v>0</v>
      </c>
      <c r="HP200" s="63">
        <f t="shared" si="1322"/>
        <v>0</v>
      </c>
      <c r="HQ200" s="56"/>
      <c r="HU200" s="55">
        <f t="shared" si="1323"/>
        <v>46191</v>
      </c>
      <c r="HV200" s="56"/>
      <c r="HW200" s="242">
        <f>SUMPRODUCT(PRODUCE!$B205:$DY205,PRODUCE!$EB$32:$IY$32)</f>
        <v>0</v>
      </c>
      <c r="HX200" s="56"/>
      <c r="HY200" s="242">
        <f t="shared" si="1324"/>
        <v>0</v>
      </c>
      <c r="HZ200" s="242">
        <f t="shared" si="1325"/>
        <v>6800</v>
      </c>
      <c r="IA200" s="56"/>
      <c r="ID200" s="55">
        <f t="shared" si="1326"/>
        <v>46191</v>
      </c>
      <c r="IE200" s="56"/>
      <c r="IF200" s="242">
        <f>SUMPRODUCT(PRODUCE!$B205:$DY205,PRODUCE!$EB$33:$IY$33)</f>
        <v>0</v>
      </c>
      <c r="IG200" s="56"/>
      <c r="IH200" s="242">
        <f t="shared" si="1327"/>
        <v>0</v>
      </c>
      <c r="II200" s="242">
        <f t="shared" si="1328"/>
        <v>720</v>
      </c>
      <c r="IJ200" s="56"/>
      <c r="IM200" s="55">
        <f t="shared" si="1329"/>
        <v>46191</v>
      </c>
      <c r="IN200" s="56"/>
      <c r="IO200" s="242">
        <f>SUMPRODUCT(PRODUCE!$B205:$DY205,PRODUCE!$EB$34:$IY$34)</f>
        <v>0</v>
      </c>
      <c r="IP200" s="56"/>
      <c r="IQ200" s="242">
        <f t="shared" si="1330"/>
        <v>0</v>
      </c>
      <c r="IR200" s="242">
        <f t="shared" si="1331"/>
        <v>6520</v>
      </c>
      <c r="IS200" s="56"/>
      <c r="IV200" s="55">
        <f t="shared" si="1332"/>
        <v>46191</v>
      </c>
      <c r="IW200" s="56"/>
      <c r="IX200" s="242">
        <f>SUMPRODUCT(PRODUCE!$B205:$DY205,PRODUCE!$EB$35:$IY$35)</f>
        <v>0</v>
      </c>
      <c r="IY200" s="56"/>
      <c r="IZ200" s="242">
        <f t="shared" si="1333"/>
        <v>0</v>
      </c>
      <c r="JA200" s="242">
        <f t="shared" si="1334"/>
        <v>4960</v>
      </c>
      <c r="JB200" s="56"/>
      <c r="JE200" s="55">
        <f t="shared" si="1335"/>
        <v>46191</v>
      </c>
      <c r="JF200" s="56"/>
      <c r="JG200" s="242">
        <f>SUMPRODUCT(PRODUCE!$B205:$DY205,PRODUCE!$EB$36:$IY$36)</f>
        <v>0</v>
      </c>
      <c r="JH200" s="56"/>
      <c r="JI200" s="242">
        <f t="shared" si="1336"/>
        <v>0</v>
      </c>
      <c r="JJ200" s="242">
        <f t="shared" si="1337"/>
        <v>0</v>
      </c>
      <c r="JK200" s="56"/>
      <c r="JN200" s="55">
        <f t="shared" si="1338"/>
        <v>46191</v>
      </c>
      <c r="JO200" s="56"/>
      <c r="JP200" s="242">
        <f>SUMPRODUCT(PRODUCE!$B205:$DY205,PRODUCE!$EB$37:$IY$37)</f>
        <v>0</v>
      </c>
      <c r="JQ200" s="56"/>
      <c r="JR200" s="242">
        <f t="shared" si="1339"/>
        <v>0</v>
      </c>
      <c r="JS200" s="242">
        <f t="shared" si="1340"/>
        <v>0</v>
      </c>
      <c r="JT200" s="56"/>
      <c r="JW200" s="55">
        <f t="shared" si="1341"/>
        <v>46191</v>
      </c>
      <c r="JX200" s="56"/>
      <c r="JY200" s="242">
        <v>0</v>
      </c>
      <c r="JZ200" s="56"/>
      <c r="KA200" s="242">
        <f t="shared" si="1342"/>
        <v>0</v>
      </c>
      <c r="KB200" s="242">
        <f t="shared" si="1343"/>
        <v>2540</v>
      </c>
      <c r="KC200" s="56"/>
      <c r="KF200" s="55">
        <f t="shared" si="1344"/>
        <v>46191</v>
      </c>
      <c r="KG200" s="56"/>
      <c r="KH200" s="242">
        <f>SUMPRODUCT(PRODUCE!$B205:$DY205,PRODUCE!$EB$39:$IY$39)</f>
        <v>0</v>
      </c>
      <c r="KI200" s="56"/>
      <c r="KJ200" s="242">
        <f t="shared" si="1345"/>
        <v>0</v>
      </c>
      <c r="KK200" s="242">
        <f t="shared" si="1346"/>
        <v>2359.5</v>
      </c>
      <c r="KL200" s="56"/>
      <c r="KO200" s="55">
        <f t="shared" si="1347"/>
        <v>46191</v>
      </c>
      <c r="KP200" s="56"/>
      <c r="KQ200" s="242">
        <f>SUMPRODUCT(PRODUCE!$B205:$DY205,PRODUCE!$EB$40:$IY$40)</f>
        <v>0</v>
      </c>
      <c r="KR200" s="56"/>
      <c r="KS200" s="242">
        <f t="shared" si="1348"/>
        <v>0</v>
      </c>
      <c r="KT200" s="242">
        <f t="shared" si="1349"/>
        <v>1890</v>
      </c>
      <c r="KU200" s="56"/>
      <c r="KW200" s="23"/>
      <c r="KX200" s="55">
        <f t="shared" si="1350"/>
        <v>46191</v>
      </c>
      <c r="KY200" s="56"/>
      <c r="KZ200" s="242">
        <f>SUMPRODUCT(PRODUCE!$B205:$DY205,PRODUCE!$EB$41:$IY$41)</f>
        <v>0</v>
      </c>
      <c r="LA200" s="56"/>
      <c r="LB200" s="242">
        <f t="shared" si="1351"/>
        <v>0</v>
      </c>
      <c r="LC200" s="242">
        <f t="shared" si="1352"/>
        <v>3690</v>
      </c>
      <c r="LD200" s="56"/>
      <c r="LG200" s="55">
        <f t="shared" si="1353"/>
        <v>46191</v>
      </c>
      <c r="LH200" s="56"/>
      <c r="LI200" s="242">
        <f>SUMPRODUCT(PRODUCE!$B205:$DY205,PRODUCE!$EB$42:$IY$42)</f>
        <v>0</v>
      </c>
      <c r="LJ200" s="56"/>
      <c r="LK200" s="242">
        <f t="shared" si="1354"/>
        <v>0</v>
      </c>
      <c r="LL200" s="242">
        <f t="shared" si="1355"/>
        <v>4000</v>
      </c>
      <c r="LM200" s="56"/>
      <c r="LP200" s="55">
        <f t="shared" si="1356"/>
        <v>46191</v>
      </c>
      <c r="LQ200" s="56"/>
      <c r="LR200" s="242">
        <f>SUMPRODUCT(PRODUCE!$B205:$DY205,PRODUCE!$EB$43:$IY$43)</f>
        <v>0</v>
      </c>
      <c r="LS200" s="56"/>
      <c r="LT200" s="242">
        <f t="shared" si="1357"/>
        <v>0</v>
      </c>
      <c r="LU200" s="242">
        <f t="shared" si="1358"/>
        <v>0</v>
      </c>
      <c r="LV200" s="56"/>
      <c r="LY200" s="55">
        <f t="shared" si="1359"/>
        <v>46191</v>
      </c>
      <c r="LZ200" s="56"/>
      <c r="MA200" s="242">
        <f>SUMPRODUCT(PRODUCE!$B205:$DY205,PRODUCE!$EB$44:$IY$44)</f>
        <v>0</v>
      </c>
      <c r="MB200" s="56"/>
      <c r="MC200" s="242">
        <f t="shared" si="1360"/>
        <v>0</v>
      </c>
      <c r="MD200" s="242">
        <f t="shared" si="1361"/>
        <v>0</v>
      </c>
      <c r="ME200" s="56"/>
      <c r="MH200" s="55">
        <f t="shared" si="1362"/>
        <v>46191</v>
      </c>
      <c r="MI200" s="56"/>
      <c r="MJ200" s="242">
        <f>SUMPRODUCT(PRODUCE!$B205:$DY205,PRODUCE!$EB$45:$IY$45)</f>
        <v>0</v>
      </c>
      <c r="MK200" s="56"/>
      <c r="ML200" s="242">
        <f t="shared" si="1363"/>
        <v>0</v>
      </c>
      <c r="MM200" s="242">
        <f t="shared" si="1364"/>
        <v>0</v>
      </c>
      <c r="MN200" s="56"/>
      <c r="MQ200" s="55">
        <f t="shared" si="1365"/>
        <v>46191</v>
      </c>
      <c r="MR200" s="56"/>
      <c r="MS200" s="242">
        <f>SUMPRODUCT(PRODUCE!$B205:$DY205,PRODUCE!$EB$46:$IY$46)</f>
        <v>0</v>
      </c>
      <c r="MT200" s="56"/>
      <c r="MU200" s="242">
        <f t="shared" si="1366"/>
        <v>0</v>
      </c>
      <c r="MV200" s="242">
        <f t="shared" si="1367"/>
        <v>3724</v>
      </c>
      <c r="MW200" s="56"/>
      <c r="MZ200" s="55">
        <f t="shared" si="1368"/>
        <v>46191</v>
      </c>
      <c r="NA200" s="56"/>
      <c r="NB200" s="242">
        <f>SUMPRODUCT(PRODUCE!$B205:$DY205,PRODUCE!$EB$47:$IY$47)</f>
        <v>0</v>
      </c>
      <c r="NC200" s="56"/>
      <c r="ND200" s="242">
        <f t="shared" si="1369"/>
        <v>0</v>
      </c>
      <c r="NE200" s="242">
        <f t="shared" si="1370"/>
        <v>0</v>
      </c>
      <c r="NF200" s="56"/>
      <c r="NI200" s="55">
        <f t="shared" si="1371"/>
        <v>46191</v>
      </c>
      <c r="NJ200" s="56"/>
      <c r="NK200" s="242">
        <f>SUMPRODUCT(PRODUCE!$B205:$DY205,PRODUCE!$EB$48:$IY$48)</f>
        <v>0</v>
      </c>
      <c r="NL200" s="56"/>
      <c r="NM200" s="242">
        <f t="shared" si="1372"/>
        <v>0</v>
      </c>
      <c r="NN200" s="242">
        <f t="shared" si="1373"/>
        <v>1127</v>
      </c>
      <c r="NO200" s="56"/>
      <c r="NR200" s="55">
        <f t="shared" si="1374"/>
        <v>46191</v>
      </c>
      <c r="NS200" s="56"/>
      <c r="NT200" s="242">
        <f>SUMPRODUCT(PRODUCE!$B205:$DY205,PRODUCE!$EB$49:$IY$49)</f>
        <v>0</v>
      </c>
      <c r="NU200" s="56"/>
      <c r="NV200" s="242">
        <f t="shared" si="1375"/>
        <v>0</v>
      </c>
      <c r="NW200" s="242">
        <f t="shared" si="1376"/>
        <v>3111.9999999999995</v>
      </c>
      <c r="NX200" s="56"/>
      <c r="OA200" s="55">
        <f t="shared" si="1377"/>
        <v>46191</v>
      </c>
      <c r="OB200" s="56"/>
      <c r="OC200" s="242">
        <f>SUMPRODUCT(PRODUCE!$B205:$DY205,PRODUCE!$EB$50:$IY$50)</f>
        <v>0</v>
      </c>
      <c r="OD200" s="56"/>
      <c r="OE200" s="242">
        <f t="shared" si="1378"/>
        <v>0</v>
      </c>
      <c r="OF200" s="242">
        <f t="shared" si="1379"/>
        <v>1680.5</v>
      </c>
      <c r="OG200" s="56"/>
      <c r="OJ200" s="55">
        <f t="shared" si="1380"/>
        <v>46191</v>
      </c>
      <c r="OK200" s="56"/>
      <c r="OL200" s="242">
        <f>SUMPRODUCT(PRODUCE!$B205:$DY205,PRODUCE!$EB$51:$IY$51)</f>
        <v>0</v>
      </c>
      <c r="OM200" s="56"/>
      <c r="ON200" s="242">
        <f t="shared" si="1381"/>
        <v>0</v>
      </c>
      <c r="OO200" s="242">
        <f t="shared" si="1382"/>
        <v>0</v>
      </c>
      <c r="OP200" s="56"/>
      <c r="OS200" s="55">
        <f t="shared" si="1383"/>
        <v>46191</v>
      </c>
      <c r="OT200" s="56"/>
      <c r="OU200" s="242">
        <f>SUMPRODUCT(PRODUCE!$B205:$DY205,PRODUCE!$EB$52:$IY$52)</f>
        <v>0</v>
      </c>
      <c r="OV200" s="56"/>
      <c r="OW200" s="242">
        <f t="shared" si="1384"/>
        <v>0</v>
      </c>
      <c r="OX200" s="242">
        <f t="shared" si="1385"/>
        <v>1482</v>
      </c>
      <c r="OY200" s="56"/>
      <c r="PB200" s="55">
        <f t="shared" si="1386"/>
        <v>46191</v>
      </c>
      <c r="PC200" s="56"/>
      <c r="PD200" s="242">
        <f>SUMPRODUCT(PRODUCE!$B205:$DY205,PRODUCE!$EB$53:$IY$53)</f>
        <v>0</v>
      </c>
      <c r="PE200" s="56"/>
      <c r="PF200" s="242">
        <f t="shared" si="1387"/>
        <v>0</v>
      </c>
      <c r="PG200" s="242">
        <f t="shared" si="1388"/>
        <v>0</v>
      </c>
      <c r="PH200" s="56"/>
      <c r="PK200" s="55">
        <f t="shared" si="1389"/>
        <v>46191</v>
      </c>
      <c r="PL200" s="56"/>
      <c r="PM200" s="242">
        <f>SUMPRODUCT(PRODUCE!$B205:$DY205,PRODUCE!$EB$54:$IY$54)</f>
        <v>0</v>
      </c>
      <c r="PN200" s="56"/>
      <c r="PO200" s="242">
        <f t="shared" si="1494"/>
        <v>0</v>
      </c>
      <c r="PP200" s="242">
        <f t="shared" si="1495"/>
        <v>100</v>
      </c>
      <c r="PQ200" s="56"/>
      <c r="PT200" s="55">
        <f t="shared" si="1392"/>
        <v>46191</v>
      </c>
      <c r="PU200" s="56"/>
      <c r="PV200" s="242">
        <f>SUMPRODUCT(PRODUCE!$B205:$DY205,PRODUCE!$EB$55:$IY$55)</f>
        <v>0</v>
      </c>
      <c r="PW200" s="56"/>
      <c r="PX200" s="242">
        <f t="shared" si="1393"/>
        <v>0</v>
      </c>
      <c r="PY200" s="242">
        <f t="shared" si="1394"/>
        <v>13.960000000000036</v>
      </c>
      <c r="PZ200" s="56"/>
      <c r="QC200" s="55">
        <f t="shared" si="1395"/>
        <v>46191</v>
      </c>
      <c r="QD200" s="56"/>
      <c r="QE200" s="242">
        <f>SUMPRODUCT(PRODUCE!$B205:$DY205,PRODUCE!$EB$56:$IY$56)</f>
        <v>0</v>
      </c>
      <c r="QF200" s="56"/>
      <c r="QG200" s="242">
        <f t="shared" si="1396"/>
        <v>0</v>
      </c>
      <c r="QH200" s="242">
        <f t="shared" si="1397"/>
        <v>1736</v>
      </c>
      <c r="QI200" s="56"/>
      <c r="QL200" s="55">
        <f t="shared" si="1398"/>
        <v>46191</v>
      </c>
      <c r="QM200" s="56"/>
      <c r="QN200" s="242">
        <f>SUMPRODUCT(PRODUCE!$B205:$DY205,PRODUCE!$EB$57:$IY$57)</f>
        <v>0</v>
      </c>
      <c r="QO200" s="56"/>
      <c r="QP200" s="242">
        <f t="shared" si="1399"/>
        <v>0</v>
      </c>
      <c r="QQ200" s="242">
        <f t="shared" si="1400"/>
        <v>250</v>
      </c>
      <c r="QR200" s="56"/>
      <c r="QU200" s="55">
        <f t="shared" si="1401"/>
        <v>46191</v>
      </c>
      <c r="QV200" s="56"/>
      <c r="QW200" s="242">
        <f>SUMPRODUCT(PRODUCE!$B205:$DY205,PRODUCE!$EB$58:$IY$58)</f>
        <v>0</v>
      </c>
      <c r="QX200" s="56"/>
      <c r="QY200" s="242">
        <f t="shared" si="1402"/>
        <v>0</v>
      </c>
      <c r="QZ200" s="242">
        <f t="shared" si="1403"/>
        <v>207.6</v>
      </c>
      <c r="RA200" s="56"/>
      <c r="RD200" s="55">
        <f t="shared" si="1404"/>
        <v>46191</v>
      </c>
      <c r="RE200" s="56"/>
      <c r="RF200" s="242">
        <f>SUMPRODUCT(PRODUCE!$B205:$DY205,PRODUCE!$EB$59:$IY$59)</f>
        <v>0</v>
      </c>
      <c r="RG200" s="56"/>
      <c r="RH200" s="242">
        <f t="shared" si="1405"/>
        <v>0</v>
      </c>
      <c r="RI200" s="242">
        <f t="shared" si="1406"/>
        <v>147.04000000000002</v>
      </c>
      <c r="RJ200" s="56"/>
      <c r="RM200" s="55">
        <f t="shared" si="1407"/>
        <v>46191</v>
      </c>
      <c r="RN200" s="56"/>
      <c r="RO200" s="242">
        <f>SUMPRODUCT(PRODUCE!$B205:$DY205,PRODUCE!$EB$60:$IY$60)</f>
        <v>0</v>
      </c>
      <c r="RP200" s="56"/>
      <c r="RQ200" s="242">
        <f t="shared" si="1408"/>
        <v>0</v>
      </c>
      <c r="RR200" s="242">
        <f t="shared" si="1409"/>
        <v>46.8</v>
      </c>
      <c r="RS200" s="56"/>
      <c r="RV200" s="55">
        <f t="shared" si="1410"/>
        <v>46191</v>
      </c>
      <c r="RW200" s="56"/>
      <c r="RX200" s="242">
        <f>SUMPRODUCT(PRODUCE!$B205:$DY205,PRODUCE!$EB$61:$IY$61)</f>
        <v>0</v>
      </c>
      <c r="RY200" s="56"/>
      <c r="RZ200" s="242">
        <f t="shared" si="1411"/>
        <v>0</v>
      </c>
      <c r="SA200" s="242">
        <f t="shared" si="1412"/>
        <v>0</v>
      </c>
      <c r="SB200" s="56"/>
      <c r="SE200" s="55">
        <f t="shared" si="1413"/>
        <v>46191</v>
      </c>
      <c r="SF200" s="56"/>
      <c r="SG200" s="242">
        <f>SUMPRODUCT(PRODUCE!$B205:$DY205,PRODUCE!$EB$62:$IY$62)</f>
        <v>0</v>
      </c>
      <c r="SH200" s="56"/>
      <c r="SI200" s="242">
        <f t="shared" si="1414"/>
        <v>0</v>
      </c>
      <c r="SJ200" s="242">
        <f t="shared" si="1415"/>
        <v>24.200000000000003</v>
      </c>
      <c r="SK200" s="56"/>
      <c r="SN200" s="55">
        <f t="shared" si="1416"/>
        <v>46191</v>
      </c>
      <c r="SO200" s="56"/>
      <c r="SP200" s="242">
        <f>SUMPRODUCT(PRODUCE!$B205:$DY205,PRODUCE!$EB$63:$IY$63)</f>
        <v>0</v>
      </c>
      <c r="SQ200" s="56"/>
      <c r="SR200" s="242">
        <f t="shared" si="1417"/>
        <v>0</v>
      </c>
      <c r="SS200" s="242">
        <f t="shared" si="1418"/>
        <v>32</v>
      </c>
      <c r="ST200" s="56"/>
      <c r="SW200" s="55">
        <f t="shared" si="1419"/>
        <v>46191</v>
      </c>
      <c r="SX200" s="56"/>
      <c r="SY200" s="242">
        <f>SUMPRODUCT(PRODUCE!$B205:$DY205,PRODUCE!$EB$64:$IY$64)</f>
        <v>0</v>
      </c>
      <c r="SZ200" s="56"/>
      <c r="TA200" s="242">
        <f t="shared" si="1420"/>
        <v>0</v>
      </c>
      <c r="TB200" s="242">
        <f t="shared" si="1421"/>
        <v>0</v>
      </c>
      <c r="TC200" s="56"/>
      <c r="TF200" s="55">
        <f t="shared" si="1422"/>
        <v>46191</v>
      </c>
      <c r="TG200" s="56"/>
      <c r="TH200" s="242">
        <f>SUMPRODUCT(PRODUCE!$B205:$DY205,PRODUCE!$EB$65:$IY$65)</f>
        <v>0</v>
      </c>
      <c r="TI200" s="56"/>
      <c r="TJ200" s="242">
        <f t="shared" si="1423"/>
        <v>0</v>
      </c>
      <c r="TK200" s="242">
        <f t="shared" si="1424"/>
        <v>0</v>
      </c>
      <c r="TL200" s="56"/>
      <c r="TO200" s="55">
        <f t="shared" si="1425"/>
        <v>46191</v>
      </c>
      <c r="TP200" s="56"/>
      <c r="TQ200" s="242">
        <f>SUMPRODUCT(PRODUCE!$B205:$DY205,PRODUCE!$EB$66:$IY$66)</f>
        <v>0</v>
      </c>
      <c r="TR200" s="56"/>
      <c r="TS200" s="242">
        <f t="shared" si="1426"/>
        <v>0</v>
      </c>
      <c r="TT200" s="242">
        <f t="shared" si="1427"/>
        <v>22.400000000000006</v>
      </c>
      <c r="TU200" s="56"/>
      <c r="TX200" s="55">
        <f t="shared" si="1428"/>
        <v>46191</v>
      </c>
      <c r="TY200" s="56"/>
      <c r="TZ200" s="242">
        <f>SUMPRODUCT(PRODUCE!$B205:$DY205,PRODUCE!$EB$67:$IY$67)</f>
        <v>0</v>
      </c>
      <c r="UA200" s="56"/>
      <c r="UB200" s="242">
        <f t="shared" si="1429"/>
        <v>0</v>
      </c>
      <c r="UC200" s="242">
        <f t="shared" si="1430"/>
        <v>46.799999999999983</v>
      </c>
      <c r="UD200" s="56"/>
      <c r="UG200" s="55">
        <f t="shared" si="1431"/>
        <v>46191</v>
      </c>
      <c r="UH200" s="56"/>
      <c r="UI200" s="242">
        <f>SUMPRODUCT(PRODUCE!$B205:$DY205,PRODUCE!$EB$68:$IY$68)</f>
        <v>0</v>
      </c>
      <c r="UJ200" s="56"/>
      <c r="UK200" s="242">
        <f t="shared" si="1432"/>
        <v>0</v>
      </c>
      <c r="UL200" s="242">
        <f t="shared" si="1433"/>
        <v>204</v>
      </c>
      <c r="UM200" s="56"/>
      <c r="UP200" s="55">
        <f t="shared" si="1434"/>
        <v>46191</v>
      </c>
      <c r="UQ200" s="56"/>
      <c r="UR200" s="242">
        <f>SUMPRODUCT(PRODUCE!$B205:$DY205,PRODUCE!$EB$69:$IY$69)</f>
        <v>0</v>
      </c>
      <c r="US200" s="56"/>
      <c r="UT200" s="242">
        <f t="shared" si="1435"/>
        <v>0</v>
      </c>
      <c r="UU200" s="242">
        <f t="shared" si="1436"/>
        <v>251.25</v>
      </c>
      <c r="UV200" s="56"/>
      <c r="UY200" s="55">
        <f t="shared" si="1437"/>
        <v>46191</v>
      </c>
      <c r="UZ200" s="56"/>
      <c r="VA200" s="242">
        <f>SUMPRODUCT(PRODUCE!$B205:$DY205,PRODUCE!$EB$70:$IY$70)</f>
        <v>0</v>
      </c>
      <c r="VB200" s="56"/>
      <c r="VC200" s="242">
        <f t="shared" si="1438"/>
        <v>0</v>
      </c>
      <c r="VD200" s="242">
        <f t="shared" si="1439"/>
        <v>41.600000000000023</v>
      </c>
      <c r="VE200" s="56"/>
      <c r="VH200" s="55">
        <f t="shared" si="1440"/>
        <v>46191</v>
      </c>
      <c r="VI200" s="56"/>
      <c r="VJ200" s="242">
        <f>SUMPRODUCT(PRODUCE!$B205:$DY205,PRODUCE!$EB$71:$IY$71)</f>
        <v>0</v>
      </c>
      <c r="VK200" s="56"/>
      <c r="VL200" s="242">
        <f t="shared" si="1441"/>
        <v>0</v>
      </c>
      <c r="VM200" s="242">
        <f t="shared" si="1442"/>
        <v>210</v>
      </c>
      <c r="VN200" s="56"/>
      <c r="VQ200" s="55">
        <f t="shared" si="1443"/>
        <v>46191</v>
      </c>
      <c r="VR200" s="56"/>
      <c r="VS200" s="242">
        <f>SUMPRODUCT(PRODUCE!$B205:$DY205,PRODUCE!$EB$57:$IY$57)</f>
        <v>0</v>
      </c>
      <c r="VT200" s="56"/>
      <c r="VU200" s="242">
        <f t="shared" si="1444"/>
        <v>0</v>
      </c>
      <c r="VV200" s="242">
        <f t="shared" si="1445"/>
        <v>0</v>
      </c>
      <c r="VW200" s="56"/>
      <c r="VZ200" s="55">
        <f t="shared" si="1446"/>
        <v>46191</v>
      </c>
      <c r="WA200" s="56"/>
      <c r="WB200" s="242">
        <f>SUMPRODUCT(PRODUCE!$B205:$DY205,PRODUCE!$EB$57:$IY$57)</f>
        <v>0</v>
      </c>
      <c r="WC200" s="56"/>
      <c r="WD200" s="242">
        <f t="shared" si="1447"/>
        <v>0</v>
      </c>
      <c r="WE200" s="242">
        <f t="shared" si="1448"/>
        <v>0</v>
      </c>
      <c r="WF200" s="56"/>
      <c r="WI200" s="55">
        <f t="shared" si="1449"/>
        <v>46191</v>
      </c>
      <c r="WJ200" s="422"/>
      <c r="WK200" s="540">
        <f>SUMPRODUCT(PRODUCE!$B205:$DY205,PRODUCE!$EB$74:$IY$74)</f>
        <v>0</v>
      </c>
      <c r="WL200" s="422"/>
      <c r="WM200" s="540">
        <f t="shared" si="1450"/>
        <v>0</v>
      </c>
      <c r="WN200" s="540">
        <f t="shared" si="1451"/>
        <v>1199</v>
      </c>
      <c r="WO200" s="56"/>
      <c r="WR200" s="55">
        <f t="shared" si="1452"/>
        <v>46191</v>
      </c>
      <c r="WS200" s="422"/>
      <c r="WT200" s="540">
        <f>SUMPRODUCT(PRODUCE!$B205:$DY205,PRODUCE!$EB$75:$IY$75)</f>
        <v>0</v>
      </c>
      <c r="WU200" s="422"/>
      <c r="WV200" s="540">
        <f t="shared" si="1453"/>
        <v>0</v>
      </c>
      <c r="WW200" s="540">
        <f t="shared" si="1454"/>
        <v>0</v>
      </c>
      <c r="WX200" s="56"/>
      <c r="XA200" s="55">
        <f t="shared" si="1455"/>
        <v>46191</v>
      </c>
      <c r="XB200" s="422"/>
      <c r="XC200" s="540">
        <f>SUMPRODUCT(PRODUCE!$B205:$DY205,PRODUCE!$EB$76:$IY$76)</f>
        <v>0</v>
      </c>
      <c r="XD200" s="422"/>
      <c r="XE200" s="540">
        <f t="shared" si="1456"/>
        <v>0</v>
      </c>
      <c r="XF200" s="540">
        <f t="shared" si="1457"/>
        <v>6813</v>
      </c>
      <c r="XG200" s="56"/>
      <c r="XJ200" s="55">
        <f t="shared" si="1458"/>
        <v>46191</v>
      </c>
      <c r="XK200" s="422"/>
      <c r="XL200" s="540">
        <f>SUMPRODUCT(PRODUCE!$B205:$DY205,PRODUCE!$EB$77:$IY$77)</f>
        <v>0</v>
      </c>
      <c r="XM200" s="422"/>
      <c r="XN200" s="540">
        <f t="shared" si="1459"/>
        <v>0</v>
      </c>
      <c r="XO200" s="540">
        <f t="shared" si="1460"/>
        <v>5298</v>
      </c>
      <c r="XP200" s="56"/>
      <c r="XS200" s="55">
        <f t="shared" si="1461"/>
        <v>46191</v>
      </c>
      <c r="XT200" s="56"/>
      <c r="XU200" s="242">
        <f>SUMPRODUCT(PRODUCE!$B205:$DY205,PRODUCE!$EB$78:$IY$78)</f>
        <v>0</v>
      </c>
      <c r="XV200" s="56"/>
      <c r="XW200" s="242">
        <f t="shared" si="1462"/>
        <v>0</v>
      </c>
      <c r="XX200" s="242">
        <f t="shared" si="1463"/>
        <v>1621</v>
      </c>
      <c r="XY200" s="56"/>
      <c r="YB200" s="55">
        <f t="shared" si="1464"/>
        <v>46191</v>
      </c>
      <c r="YC200" s="56"/>
      <c r="YD200" s="242">
        <f>SUMPRODUCT(PRODUCE!$B205:$DY205,PRODUCE!$EB$79:$IY$79)</f>
        <v>0</v>
      </c>
      <c r="YE200" s="56"/>
      <c r="YF200" s="242">
        <f t="shared" si="1465"/>
        <v>0</v>
      </c>
      <c r="YG200" s="242">
        <f t="shared" si="1466"/>
        <v>4072</v>
      </c>
      <c r="YH200" s="56"/>
      <c r="YK200" s="55">
        <f t="shared" si="1467"/>
        <v>46191</v>
      </c>
      <c r="YL200" s="56"/>
      <c r="YM200" s="242">
        <f>SUMPRODUCT(PRODUCE!$B205:$DY205,PRODUCE!$EB$80:$IY$80)</f>
        <v>0</v>
      </c>
      <c r="YN200" s="56"/>
      <c r="YO200" s="242">
        <f t="shared" si="1468"/>
        <v>0</v>
      </c>
      <c r="YP200" s="242">
        <f t="shared" si="1469"/>
        <v>0</v>
      </c>
      <c r="YQ200" s="56"/>
      <c r="YT200" s="55">
        <f t="shared" si="1470"/>
        <v>46191</v>
      </c>
      <c r="YU200" s="56"/>
      <c r="YV200" s="242">
        <f>SUMPRODUCT(PRODUCE!$B205:$DY205,PRODUCE!$EB$57:$IY$57)</f>
        <v>0</v>
      </c>
      <c r="YW200" s="56"/>
      <c r="YX200" s="242">
        <f t="shared" si="1471"/>
        <v>0</v>
      </c>
      <c r="YY200" s="242">
        <f t="shared" si="1472"/>
        <v>0</v>
      </c>
      <c r="YZ200" s="56"/>
      <c r="ZC200" s="55">
        <f t="shared" si="1473"/>
        <v>46191</v>
      </c>
      <c r="ZD200" s="56"/>
      <c r="ZE200" s="242">
        <f>SUMPRODUCT(PRODUCE!$B205:$DY205,PRODUCE!$EB$57:$IY$57)</f>
        <v>0</v>
      </c>
      <c r="ZF200" s="56"/>
      <c r="ZG200" s="242">
        <f t="shared" si="1474"/>
        <v>0</v>
      </c>
      <c r="ZH200" s="242">
        <f t="shared" si="1475"/>
        <v>0</v>
      </c>
      <c r="ZI200" s="56"/>
      <c r="ZL200" s="55">
        <f t="shared" si="1476"/>
        <v>46191</v>
      </c>
      <c r="ZM200" s="56"/>
      <c r="ZN200" s="242">
        <f>SUMPRODUCT(PRODUCE!$B205:$DY205,PRODUCE!$EB$57:$IY$57)</f>
        <v>0</v>
      </c>
      <c r="ZO200" s="56"/>
      <c r="ZP200" s="242">
        <f t="shared" si="1477"/>
        <v>0</v>
      </c>
      <c r="ZQ200" s="242">
        <f t="shared" si="1478"/>
        <v>0</v>
      </c>
      <c r="ZR200" s="56"/>
      <c r="ZU200" s="55">
        <f t="shared" si="1479"/>
        <v>46191</v>
      </c>
      <c r="ZV200" s="56"/>
      <c r="ZW200" s="242">
        <f>SUMPRODUCT(PRODUCE!$B205:$DY205,PRODUCE!$EB$57:$IY$57)</f>
        <v>0</v>
      </c>
      <c r="ZX200" s="56"/>
      <c r="ZY200" s="242">
        <f t="shared" si="1480"/>
        <v>0</v>
      </c>
      <c r="ZZ200" s="242">
        <f t="shared" si="1481"/>
        <v>0</v>
      </c>
      <c r="AAA200" s="56"/>
      <c r="AAD200" s="55">
        <f t="shared" si="1482"/>
        <v>46191</v>
      </c>
      <c r="AAE200" s="56"/>
      <c r="AAF200" s="242">
        <f>SUMPRODUCT(PRODUCE!$B205:$DY205,PRODUCE!$EB$57:$IY$57)</f>
        <v>0</v>
      </c>
      <c r="AAG200" s="56"/>
      <c r="AAH200" s="242">
        <f t="shared" si="1483"/>
        <v>0</v>
      </c>
      <c r="AAI200" s="242">
        <f t="shared" si="1484"/>
        <v>0</v>
      </c>
      <c r="AAJ200" s="56"/>
      <c r="AAM200" s="55">
        <f t="shared" si="1485"/>
        <v>46191</v>
      </c>
      <c r="AAN200" s="56"/>
      <c r="AAO200" s="242">
        <f>SUMPRODUCT(PRODUCE!$B205:$DY205,PRODUCE!$EB$57:$IY$57)</f>
        <v>0</v>
      </c>
      <c r="AAP200" s="56"/>
      <c r="AAQ200" s="242">
        <f t="shared" si="1486"/>
        <v>0</v>
      </c>
      <c r="AAR200" s="242">
        <f t="shared" si="1487"/>
        <v>0</v>
      </c>
      <c r="AAS200" s="56"/>
      <c r="AAV200" s="55">
        <f t="shared" si="1488"/>
        <v>46191</v>
      </c>
      <c r="AAW200" s="56"/>
      <c r="AAX200" s="242">
        <f>SUMPRODUCT(PRODUCE!$B205:$DY205,PRODUCE!$EB$57:$IY$57)</f>
        <v>0</v>
      </c>
      <c r="AAY200" s="56"/>
      <c r="AAZ200" s="242">
        <f t="shared" si="1489"/>
        <v>0</v>
      </c>
      <c r="ABA200" s="242">
        <f t="shared" si="1490"/>
        <v>0</v>
      </c>
      <c r="ABB200" s="56"/>
      <c r="ABE200" s="55">
        <f t="shared" si="1491"/>
        <v>46191</v>
      </c>
      <c r="ABF200" s="56"/>
      <c r="ABG200" s="242">
        <f>SUMPRODUCT(PRODUCE!$B205:$DY205,PRODUCE!$EB$57:$IY$57)</f>
        <v>0</v>
      </c>
      <c r="ABH200" s="56"/>
      <c r="ABI200" s="242">
        <f t="shared" si="1492"/>
        <v>0</v>
      </c>
      <c r="ABJ200" s="242">
        <f t="shared" si="1493"/>
        <v>0</v>
      </c>
      <c r="ABK200" s="56"/>
    </row>
    <row r="201" spans="2:739" s="54" customFormat="1" ht="15" customHeight="1" outlineLevel="1">
      <c r="B201" s="478">
        <v>90</v>
      </c>
      <c r="C201" s="55">
        <v>46192</v>
      </c>
      <c r="D201" s="422"/>
      <c r="E201" s="423">
        <f>SUMPRODUCT(PRODUCE!$B206:$DY206,PRODUCE!$EB$7:$IY$7)</f>
        <v>49063.049999999996</v>
      </c>
      <c r="F201" s="422">
        <v>49059.199999999997</v>
      </c>
      <c r="G201" s="423">
        <f t="shared" si="1249"/>
        <v>3.8499999999985448</v>
      </c>
      <c r="H201" s="423">
        <f t="shared" si="1250"/>
        <v>48967.000000000058</v>
      </c>
      <c r="I201" s="289" t="s">
        <v>290</v>
      </c>
      <c r="L201" s="55">
        <f t="shared" si="1251"/>
        <v>46192</v>
      </c>
      <c r="M201" s="422">
        <v>23600</v>
      </c>
      <c r="N201" s="438">
        <f>SUMPRODUCT(PRODUCE!$B206:$DY206,PRODUCE!$EB$8:$IY$8)</f>
        <v>26773.65</v>
      </c>
      <c r="O201" s="422">
        <v>26772.799999999999</v>
      </c>
      <c r="P201" s="438">
        <f t="shared" si="1252"/>
        <v>0.85000000000218279</v>
      </c>
      <c r="Q201" s="438">
        <f t="shared" si="1253"/>
        <v>73283.200000000084</v>
      </c>
      <c r="R201" s="56"/>
      <c r="U201" s="55">
        <f t="shared" si="1254"/>
        <v>46192</v>
      </c>
      <c r="V201" s="422"/>
      <c r="W201" s="440">
        <f>SUMPRODUCT(PRODUCE!$B206:$DY206,PRODUCE!$EB$9:$IY$9)</f>
        <v>5400</v>
      </c>
      <c r="X201" s="422">
        <v>5400.3</v>
      </c>
      <c r="Y201" s="440">
        <f t="shared" si="1255"/>
        <v>-0.3000000000001819</v>
      </c>
      <c r="Z201" s="440">
        <f t="shared" si="1256"/>
        <v>34487.999999999978</v>
      </c>
      <c r="AA201" s="56"/>
      <c r="AD201" s="55">
        <f t="shared" si="1257"/>
        <v>46192</v>
      </c>
      <c r="AE201" s="422"/>
      <c r="AF201" s="442">
        <f>SUMPRODUCT(PRODUCE!$B206:$DY206,PRODUCE!$EB$10:$IY$10)</f>
        <v>0</v>
      </c>
      <c r="AG201" s="422"/>
      <c r="AH201" s="442">
        <f t="shared" si="1258"/>
        <v>0</v>
      </c>
      <c r="AI201" s="442">
        <f t="shared" si="1259"/>
        <v>33372.700000000019</v>
      </c>
      <c r="AJ201" s="56"/>
      <c r="AM201" s="55">
        <f t="shared" si="1260"/>
        <v>46192</v>
      </c>
      <c r="AN201" s="422"/>
      <c r="AO201" s="444">
        <f>SUMPRODUCT(PRODUCE!$B206:$DY206,PRODUCE!$EB$11:$IY$11)</f>
        <v>0</v>
      </c>
      <c r="AP201" s="422"/>
      <c r="AQ201" s="444">
        <f t="shared" si="1261"/>
        <v>0</v>
      </c>
      <c r="AR201" s="444">
        <f t="shared" si="1262"/>
        <v>0</v>
      </c>
      <c r="AS201" s="56"/>
      <c r="AV201" s="55">
        <f t="shared" si="1263"/>
        <v>46192</v>
      </c>
      <c r="AW201" s="422"/>
      <c r="AX201" s="446">
        <f>SUMPRODUCT(PRODUCE!$B206:$DY206,PRODUCE!$EB$12:$IY$12)</f>
        <v>0</v>
      </c>
      <c r="AY201" s="422"/>
      <c r="AZ201" s="446">
        <f t="shared" si="1264"/>
        <v>0</v>
      </c>
      <c r="BA201" s="446">
        <f t="shared" si="1265"/>
        <v>14066.499999999996</v>
      </c>
      <c r="BB201" s="56"/>
      <c r="BE201" s="55">
        <f t="shared" si="1266"/>
        <v>46192</v>
      </c>
      <c r="BF201" s="422"/>
      <c r="BG201" s="448">
        <f>SUMPRODUCT(PRODUCE!$B206:$DY206,PRODUCE!$EB$13:$IY$13)</f>
        <v>0</v>
      </c>
      <c r="BH201" s="422"/>
      <c r="BI201" s="448">
        <f t="shared" si="1267"/>
        <v>0</v>
      </c>
      <c r="BJ201" s="448">
        <f t="shared" si="1268"/>
        <v>39235.399999999994</v>
      </c>
      <c r="BK201" s="56"/>
      <c r="BN201" s="55">
        <f t="shared" si="1269"/>
        <v>46192</v>
      </c>
      <c r="BO201" s="422">
        <v>450</v>
      </c>
      <c r="BP201" s="450">
        <f>SUMPRODUCT(PRODUCE!$B206:$DY206,PRODUCE!$EB$14:$IY$14)</f>
        <v>450</v>
      </c>
      <c r="BQ201" s="422">
        <v>450</v>
      </c>
      <c r="BR201" s="450">
        <f t="shared" si="1270"/>
        <v>0</v>
      </c>
      <c r="BS201" s="450">
        <f t="shared" si="1271"/>
        <v>0</v>
      </c>
      <c r="BT201" s="56"/>
      <c r="BW201" s="55">
        <f t="shared" si="1272"/>
        <v>46192</v>
      </c>
      <c r="BX201" s="422"/>
      <c r="BY201" s="523">
        <f>SUMPRODUCT(PRODUCE!$B206:$DY206,PRODUCE!$EB$15:$IY$15)</f>
        <v>661.95</v>
      </c>
      <c r="BZ201" s="422"/>
      <c r="CA201" s="523">
        <f t="shared" si="1273"/>
        <v>661.95</v>
      </c>
      <c r="CB201" s="523">
        <f t="shared" si="1274"/>
        <v>3188.329999999999</v>
      </c>
      <c r="CC201" s="56"/>
      <c r="CF201" s="55">
        <f t="shared" si="1275"/>
        <v>46192</v>
      </c>
      <c r="CG201" s="422"/>
      <c r="CH201" s="524">
        <f>SUMPRODUCT(PRODUCE!$B206:$DY206,PRODUCE!$EB$16:$IY$16)</f>
        <v>0</v>
      </c>
      <c r="CI201" s="422"/>
      <c r="CJ201" s="524">
        <f t="shared" si="1276"/>
        <v>0</v>
      </c>
      <c r="CK201" s="524">
        <f t="shared" si="1277"/>
        <v>0</v>
      </c>
      <c r="CL201" s="56"/>
      <c r="CO201" s="55">
        <f t="shared" si="1278"/>
        <v>46192</v>
      </c>
      <c r="CP201" s="422"/>
      <c r="CQ201" s="470">
        <f>SUMPRODUCT(PRODUCE!$B206:$DY206,PRODUCE!$EB$17:$IY$17)</f>
        <v>0</v>
      </c>
      <c r="CR201" s="422"/>
      <c r="CS201" s="470">
        <f t="shared" si="1279"/>
        <v>0</v>
      </c>
      <c r="CT201" s="470">
        <f t="shared" si="1280"/>
        <v>0</v>
      </c>
      <c r="CU201" s="56"/>
      <c r="CX201" s="55">
        <f t="shared" si="1281"/>
        <v>46192</v>
      </c>
      <c r="CY201" s="422">
        <v>1880.8</v>
      </c>
      <c r="CZ201" s="525">
        <f>SUMPRODUCT(PRODUCE!$B206:$DY206,PRODUCE!$EB$18:$IY$18)</f>
        <v>1800</v>
      </c>
      <c r="DA201" s="422">
        <v>1800.8</v>
      </c>
      <c r="DB201" s="525">
        <f t="shared" si="1282"/>
        <v>-0.79999999999995453</v>
      </c>
      <c r="DC201" s="525">
        <f t="shared" si="1283"/>
        <v>15222.200000000008</v>
      </c>
      <c r="DD201" s="56"/>
      <c r="DG201" s="55">
        <f t="shared" si="1284"/>
        <v>46192</v>
      </c>
      <c r="DH201" s="422"/>
      <c r="DI201" s="526">
        <f>SUMPRODUCT(PRODUCE!$B206:$DY206,PRODUCE!$EB$19:$IY$19)</f>
        <v>0</v>
      </c>
      <c r="DJ201" s="422"/>
      <c r="DK201" s="526">
        <f t="shared" si="1285"/>
        <v>0</v>
      </c>
      <c r="DL201" s="526">
        <f t="shared" si="1286"/>
        <v>35234.999999999985</v>
      </c>
      <c r="DM201" s="56"/>
      <c r="DP201" s="55">
        <f t="shared" si="1287"/>
        <v>46192</v>
      </c>
      <c r="DQ201" s="56"/>
      <c r="DR201" s="57">
        <f>SUMPRODUCT(PRODUCE!$B206:$DY206,PRODUCE!$EB$20:$IY$20)</f>
        <v>0</v>
      </c>
      <c r="DS201" s="56"/>
      <c r="DT201" s="57">
        <f t="shared" si="1288"/>
        <v>0</v>
      </c>
      <c r="DU201" s="57">
        <f t="shared" si="1289"/>
        <v>5800</v>
      </c>
      <c r="DV201" s="56"/>
      <c r="DY201" s="55">
        <f t="shared" si="1290"/>
        <v>46192</v>
      </c>
      <c r="DZ201" s="56"/>
      <c r="EA201" s="157">
        <f>SUMPRODUCT(PRODUCE!$B206:$DY206,PRODUCE!$EB$21:$IY$21)</f>
        <v>0</v>
      </c>
      <c r="EB201" s="56"/>
      <c r="EC201" s="157">
        <f t="shared" si="1291"/>
        <v>0</v>
      </c>
      <c r="ED201" s="157">
        <f t="shared" si="1292"/>
        <v>0</v>
      </c>
      <c r="EE201" s="56"/>
      <c r="EH201" s="55">
        <f t="shared" si="1293"/>
        <v>46192</v>
      </c>
      <c r="EI201" s="56"/>
      <c r="EJ201" s="162">
        <f>SUMPRODUCT(PRODUCE!$B206:$DY206,PRODUCE!$EB$22:$IY$22)</f>
        <v>0</v>
      </c>
      <c r="EK201" s="56"/>
      <c r="EL201" s="162">
        <f t="shared" si="1294"/>
        <v>0</v>
      </c>
      <c r="EM201" s="162">
        <f t="shared" si="1295"/>
        <v>0</v>
      </c>
      <c r="EN201" s="56"/>
      <c r="EQ201" s="55">
        <f t="shared" si="1296"/>
        <v>46192</v>
      </c>
      <c r="ER201" s="56"/>
      <c r="ES201" s="135">
        <f>SUMPRODUCT(PRODUCE!$B206:$DY206,PRODUCE!$EB$23:$IY$23)</f>
        <v>0</v>
      </c>
      <c r="ET201" s="56"/>
      <c r="EU201" s="135">
        <f t="shared" si="1297"/>
        <v>0</v>
      </c>
      <c r="EV201" s="135">
        <f t="shared" si="1298"/>
        <v>0</v>
      </c>
      <c r="EW201" s="56"/>
      <c r="EZ201" s="55">
        <f t="shared" si="1299"/>
        <v>46192</v>
      </c>
      <c r="FA201" s="56"/>
      <c r="FB201" s="175">
        <f>SUMPRODUCT(PRODUCE!$B206:$DY206,PRODUCE!$EB$24:$IY$24)</f>
        <v>0</v>
      </c>
      <c r="FC201" s="56"/>
      <c r="FD201" s="175">
        <f t="shared" si="1300"/>
        <v>0</v>
      </c>
      <c r="FE201" s="175">
        <f t="shared" si="1301"/>
        <v>0</v>
      </c>
      <c r="FF201" s="56"/>
      <c r="FI201" s="55">
        <f t="shared" si="1302"/>
        <v>46192</v>
      </c>
      <c r="FJ201" s="56"/>
      <c r="FK201" s="183">
        <f>SUMPRODUCT(PRODUCE!$B206:$DY206,PRODUCE!$EB$25:$IY$25)</f>
        <v>0</v>
      </c>
      <c r="FL201" s="56"/>
      <c r="FM201" s="183">
        <f t="shared" si="1303"/>
        <v>0</v>
      </c>
      <c r="FN201" s="183">
        <f t="shared" si="1304"/>
        <v>0</v>
      </c>
      <c r="FO201" s="56"/>
      <c r="FR201" s="55">
        <f t="shared" si="1305"/>
        <v>46192</v>
      </c>
      <c r="FS201" s="56"/>
      <c r="FT201" s="186">
        <f>SUMPRODUCT(PRODUCE!$B206:$DY206,PRODUCE!$EB$26:$IY$26)</f>
        <v>0</v>
      </c>
      <c r="FU201" s="56"/>
      <c r="FV201" s="186">
        <f t="shared" si="1306"/>
        <v>0</v>
      </c>
      <c r="FW201" s="186">
        <f t="shared" si="1307"/>
        <v>1160</v>
      </c>
      <c r="FX201" s="56"/>
      <c r="GA201" s="55">
        <f t="shared" si="1308"/>
        <v>46192</v>
      </c>
      <c r="GB201" s="56"/>
      <c r="GC201" s="137">
        <f>SUMPRODUCT(PRODUCE!$B206:$DY206,PRODUCE!$EB$27:$IY$27)</f>
        <v>0</v>
      </c>
      <c r="GD201" s="56"/>
      <c r="GE201" s="137">
        <f t="shared" si="1309"/>
        <v>0</v>
      </c>
      <c r="GF201" s="137">
        <f t="shared" si="1310"/>
        <v>960</v>
      </c>
      <c r="GG201" s="56"/>
      <c r="GI201" s="23"/>
      <c r="GJ201" s="55">
        <f t="shared" si="1311"/>
        <v>46192</v>
      </c>
      <c r="GK201" s="56"/>
      <c r="GL201" s="199">
        <f>SUMPRODUCT(PRODUCE!$B206:$DY206,PRODUCE!$EB$28:$IY$28)</f>
        <v>0</v>
      </c>
      <c r="GM201" s="56"/>
      <c r="GN201" s="199">
        <f t="shared" si="1312"/>
        <v>0</v>
      </c>
      <c r="GO201" s="199">
        <f t="shared" si="1313"/>
        <v>1760</v>
      </c>
      <c r="GP201" s="56"/>
      <c r="GS201" s="55">
        <f t="shared" si="1314"/>
        <v>46192</v>
      </c>
      <c r="GT201" s="56"/>
      <c r="GU201" s="195">
        <f>SUMPRODUCT(PRODUCE!$B206:$DY206,PRODUCE!$EB$29:$IY$29)</f>
        <v>0</v>
      </c>
      <c r="GV201" s="56"/>
      <c r="GW201" s="195">
        <f t="shared" si="1315"/>
        <v>0</v>
      </c>
      <c r="GX201" s="195">
        <f t="shared" si="1316"/>
        <v>400</v>
      </c>
      <c r="GY201" s="56"/>
      <c r="HB201" s="55">
        <f t="shared" si="1317"/>
        <v>46192</v>
      </c>
      <c r="HC201" s="56"/>
      <c r="HD201" s="191">
        <f>SUMPRODUCT(PRODUCE!$B206:$DY206,PRODUCE!$EB$30:$IY$30)</f>
        <v>0</v>
      </c>
      <c r="HE201" s="56"/>
      <c r="HF201" s="191">
        <f t="shared" si="1318"/>
        <v>0</v>
      </c>
      <c r="HG201" s="191">
        <f t="shared" si="1319"/>
        <v>3600</v>
      </c>
      <c r="HH201" s="56"/>
      <c r="HK201" s="55">
        <f t="shared" si="1320"/>
        <v>46192</v>
      </c>
      <c r="HL201" s="56"/>
      <c r="HM201" s="63">
        <f>SUMPRODUCT(PRODUCE!$B206:$DY206,PRODUCE!$EB$31:$IY$31)</f>
        <v>0</v>
      </c>
      <c r="HN201" s="56"/>
      <c r="HO201" s="63">
        <f t="shared" si="1321"/>
        <v>0</v>
      </c>
      <c r="HP201" s="63">
        <f t="shared" si="1322"/>
        <v>0</v>
      </c>
      <c r="HQ201" s="56"/>
      <c r="HU201" s="55">
        <f t="shared" si="1323"/>
        <v>46192</v>
      </c>
      <c r="HV201" s="56"/>
      <c r="HW201" s="242">
        <f>SUMPRODUCT(PRODUCE!$B206:$DY206,PRODUCE!$EB$32:$IY$32)</f>
        <v>0</v>
      </c>
      <c r="HX201" s="56"/>
      <c r="HY201" s="242">
        <f t="shared" si="1324"/>
        <v>0</v>
      </c>
      <c r="HZ201" s="242">
        <f t="shared" si="1325"/>
        <v>6800</v>
      </c>
      <c r="IA201" s="56"/>
      <c r="ID201" s="55">
        <f t="shared" si="1326"/>
        <v>46192</v>
      </c>
      <c r="IE201" s="56"/>
      <c r="IF201" s="242">
        <f>SUMPRODUCT(PRODUCE!$B206:$DY206,PRODUCE!$EB$33:$IY$33)</f>
        <v>0</v>
      </c>
      <c r="IG201" s="56"/>
      <c r="IH201" s="242">
        <f t="shared" si="1327"/>
        <v>0</v>
      </c>
      <c r="II201" s="242">
        <f t="shared" si="1328"/>
        <v>720</v>
      </c>
      <c r="IJ201" s="56"/>
      <c r="IM201" s="55">
        <f t="shared" si="1329"/>
        <v>46192</v>
      </c>
      <c r="IN201" s="56"/>
      <c r="IO201" s="242">
        <f>SUMPRODUCT(PRODUCE!$B206:$DY206,PRODUCE!$EB$34:$IY$34)</f>
        <v>0</v>
      </c>
      <c r="IP201" s="56"/>
      <c r="IQ201" s="242">
        <f t="shared" si="1330"/>
        <v>0</v>
      </c>
      <c r="IR201" s="242">
        <f t="shared" si="1331"/>
        <v>6520</v>
      </c>
      <c r="IS201" s="56"/>
      <c r="IV201" s="55">
        <f t="shared" si="1332"/>
        <v>46192</v>
      </c>
      <c r="IW201" s="56"/>
      <c r="IX201" s="242">
        <f>SUMPRODUCT(PRODUCE!$B206:$DY206,PRODUCE!$EB$35:$IY$35)</f>
        <v>0</v>
      </c>
      <c r="IY201" s="56"/>
      <c r="IZ201" s="242">
        <f t="shared" si="1333"/>
        <v>0</v>
      </c>
      <c r="JA201" s="242">
        <f t="shared" si="1334"/>
        <v>4960</v>
      </c>
      <c r="JB201" s="56"/>
      <c r="JE201" s="55">
        <f t="shared" si="1335"/>
        <v>46192</v>
      </c>
      <c r="JF201" s="56"/>
      <c r="JG201" s="242">
        <f>SUMPRODUCT(PRODUCE!$B206:$DY206,PRODUCE!$EB$36:$IY$36)</f>
        <v>0</v>
      </c>
      <c r="JH201" s="56"/>
      <c r="JI201" s="242">
        <f t="shared" si="1336"/>
        <v>0</v>
      </c>
      <c r="JJ201" s="242">
        <f t="shared" si="1337"/>
        <v>0</v>
      </c>
      <c r="JK201" s="56"/>
      <c r="JN201" s="55">
        <f t="shared" si="1338"/>
        <v>46192</v>
      </c>
      <c r="JO201" s="56"/>
      <c r="JP201" s="242">
        <f>SUMPRODUCT(PRODUCE!$B206:$DY206,PRODUCE!$EB$37:$IY$37)</f>
        <v>0</v>
      </c>
      <c r="JQ201" s="56"/>
      <c r="JR201" s="242">
        <f t="shared" si="1339"/>
        <v>0</v>
      </c>
      <c r="JS201" s="242">
        <f t="shared" si="1340"/>
        <v>0</v>
      </c>
      <c r="JT201" s="56"/>
      <c r="JW201" s="55">
        <f t="shared" si="1341"/>
        <v>46192</v>
      </c>
      <c r="JX201" s="56"/>
      <c r="JY201" s="242">
        <f>SUMPRODUCT(PRODUCE!$B206:$DY206,PRODUCE!$EB$38:$IY$38)</f>
        <v>0</v>
      </c>
      <c r="JZ201" s="56"/>
      <c r="KA201" s="242">
        <f t="shared" si="1342"/>
        <v>0</v>
      </c>
      <c r="KB201" s="242">
        <f t="shared" si="1343"/>
        <v>2540</v>
      </c>
      <c r="KC201" s="56"/>
      <c r="KF201" s="55">
        <f t="shared" si="1344"/>
        <v>46192</v>
      </c>
      <c r="KG201" s="56"/>
      <c r="KH201" s="242">
        <f>SUMPRODUCT(PRODUCE!$B206:$DY206,PRODUCE!$EB$39:$IY$39)</f>
        <v>0</v>
      </c>
      <c r="KI201" s="56"/>
      <c r="KJ201" s="242">
        <f t="shared" si="1345"/>
        <v>0</v>
      </c>
      <c r="KK201" s="242">
        <f t="shared" si="1346"/>
        <v>2359.5</v>
      </c>
      <c r="KL201" s="56"/>
      <c r="KO201" s="55">
        <f t="shared" si="1347"/>
        <v>46192</v>
      </c>
      <c r="KP201" s="56"/>
      <c r="KQ201" s="242">
        <f>SUMPRODUCT(PRODUCE!$B206:$DY206,PRODUCE!$EB$40:$IY$40)</f>
        <v>0</v>
      </c>
      <c r="KR201" s="56"/>
      <c r="KS201" s="242">
        <f t="shared" si="1348"/>
        <v>0</v>
      </c>
      <c r="KT201" s="242">
        <f t="shared" si="1349"/>
        <v>1890</v>
      </c>
      <c r="KU201" s="56"/>
      <c r="KW201" s="23"/>
      <c r="KX201" s="55">
        <f t="shared" si="1350"/>
        <v>46192</v>
      </c>
      <c r="KY201" s="56"/>
      <c r="KZ201" s="242">
        <f>SUMPRODUCT(PRODUCE!$B206:$DY206,PRODUCE!$EB$41:$IY$41)</f>
        <v>0</v>
      </c>
      <c r="LA201" s="56"/>
      <c r="LB201" s="242">
        <f t="shared" si="1351"/>
        <v>0</v>
      </c>
      <c r="LC201" s="242">
        <f t="shared" si="1352"/>
        <v>3690</v>
      </c>
      <c r="LD201" s="56"/>
      <c r="LG201" s="55">
        <f t="shared" si="1353"/>
        <v>46192</v>
      </c>
      <c r="LH201" s="56"/>
      <c r="LI201" s="242">
        <f>SUMPRODUCT(PRODUCE!$B206:$DY206,PRODUCE!$EB$42:$IY$42)</f>
        <v>0</v>
      </c>
      <c r="LJ201" s="56"/>
      <c r="LK201" s="242">
        <f t="shared" si="1354"/>
        <v>0</v>
      </c>
      <c r="LL201" s="242">
        <f t="shared" si="1355"/>
        <v>4000</v>
      </c>
      <c r="LM201" s="56"/>
      <c r="LP201" s="55">
        <f t="shared" si="1356"/>
        <v>46192</v>
      </c>
      <c r="LQ201" s="56"/>
      <c r="LR201" s="242">
        <f>SUMPRODUCT(PRODUCE!$B206:$DY206,PRODUCE!$EB$43:$IY$43)</f>
        <v>0</v>
      </c>
      <c r="LS201" s="56"/>
      <c r="LT201" s="242">
        <f t="shared" si="1357"/>
        <v>0</v>
      </c>
      <c r="LU201" s="242">
        <f t="shared" si="1358"/>
        <v>0</v>
      </c>
      <c r="LV201" s="56"/>
      <c r="LY201" s="55">
        <f t="shared" si="1359"/>
        <v>46192</v>
      </c>
      <c r="LZ201" s="56"/>
      <c r="MA201" s="242">
        <f>SUMPRODUCT(PRODUCE!$B206:$DY206,PRODUCE!$EB$44:$IY$44)</f>
        <v>0</v>
      </c>
      <c r="MB201" s="56"/>
      <c r="MC201" s="242">
        <f t="shared" si="1360"/>
        <v>0</v>
      </c>
      <c r="MD201" s="242">
        <f t="shared" si="1361"/>
        <v>0</v>
      </c>
      <c r="ME201" s="56"/>
      <c r="MH201" s="55">
        <f t="shared" si="1362"/>
        <v>46192</v>
      </c>
      <c r="MI201" s="56"/>
      <c r="MJ201" s="242">
        <f>SUMPRODUCT(PRODUCE!$B206:$DY206,PRODUCE!$EB$45:$IY$45)</f>
        <v>0</v>
      </c>
      <c r="MK201" s="56"/>
      <c r="ML201" s="242">
        <f t="shared" si="1363"/>
        <v>0</v>
      </c>
      <c r="MM201" s="242">
        <f t="shared" si="1364"/>
        <v>0</v>
      </c>
      <c r="MN201" s="56"/>
      <c r="MQ201" s="55">
        <f t="shared" si="1365"/>
        <v>46192</v>
      </c>
      <c r="MR201" s="56"/>
      <c r="MS201" s="242">
        <f>SUMPRODUCT(PRODUCE!$B206:$DY206,PRODUCE!$EB$46:$IY$46)</f>
        <v>0</v>
      </c>
      <c r="MT201" s="56"/>
      <c r="MU201" s="242">
        <f t="shared" si="1366"/>
        <v>0</v>
      </c>
      <c r="MV201" s="242">
        <f t="shared" si="1367"/>
        <v>3724</v>
      </c>
      <c r="MW201" s="56"/>
      <c r="MZ201" s="55">
        <f t="shared" si="1368"/>
        <v>46192</v>
      </c>
      <c r="NA201" s="56"/>
      <c r="NB201" s="242">
        <f>SUMPRODUCT(PRODUCE!$B206:$DY206,PRODUCE!$EB$47:$IY$47)</f>
        <v>0</v>
      </c>
      <c r="NC201" s="56"/>
      <c r="ND201" s="242">
        <f t="shared" si="1369"/>
        <v>0</v>
      </c>
      <c r="NE201" s="242">
        <f t="shared" si="1370"/>
        <v>0</v>
      </c>
      <c r="NF201" s="56"/>
      <c r="NI201" s="55">
        <f t="shared" si="1371"/>
        <v>46192</v>
      </c>
      <c r="NJ201" s="56"/>
      <c r="NK201" s="242">
        <f>SUMPRODUCT(PRODUCE!$B206:$DY206,PRODUCE!$EB$48:$IY$48)</f>
        <v>0</v>
      </c>
      <c r="NL201" s="56"/>
      <c r="NM201" s="242">
        <f t="shared" si="1372"/>
        <v>0</v>
      </c>
      <c r="NN201" s="242">
        <f t="shared" si="1373"/>
        <v>1127</v>
      </c>
      <c r="NO201" s="56"/>
      <c r="NR201" s="55">
        <f t="shared" si="1374"/>
        <v>46192</v>
      </c>
      <c r="NS201" s="56"/>
      <c r="NT201" s="242">
        <f>SUMPRODUCT(PRODUCE!$B206:$DY206,PRODUCE!$EB$49:$IY$49)</f>
        <v>0</v>
      </c>
      <c r="NU201" s="56"/>
      <c r="NV201" s="242">
        <f t="shared" si="1375"/>
        <v>0</v>
      </c>
      <c r="NW201" s="242">
        <f t="shared" si="1376"/>
        <v>3111.9999999999995</v>
      </c>
      <c r="NX201" s="56"/>
      <c r="OA201" s="55">
        <f t="shared" si="1377"/>
        <v>46192</v>
      </c>
      <c r="OB201" s="56"/>
      <c r="OC201" s="242">
        <f>SUMPRODUCT(PRODUCE!$B206:$DY206,PRODUCE!$EB$50:$IY$50)</f>
        <v>0</v>
      </c>
      <c r="OD201" s="56"/>
      <c r="OE201" s="242">
        <f t="shared" si="1378"/>
        <v>0</v>
      </c>
      <c r="OF201" s="242">
        <f t="shared" si="1379"/>
        <v>1680.5</v>
      </c>
      <c r="OG201" s="56"/>
      <c r="OJ201" s="55">
        <f t="shared" si="1380"/>
        <v>46192</v>
      </c>
      <c r="OK201" s="56"/>
      <c r="OL201" s="242">
        <f>SUMPRODUCT(PRODUCE!$B206:$DY206,PRODUCE!$EB$51:$IY$51)</f>
        <v>0</v>
      </c>
      <c r="OM201" s="56"/>
      <c r="ON201" s="242">
        <f t="shared" si="1381"/>
        <v>0</v>
      </c>
      <c r="OO201" s="242">
        <f t="shared" si="1382"/>
        <v>0</v>
      </c>
      <c r="OP201" s="56"/>
      <c r="OS201" s="55">
        <f t="shared" si="1383"/>
        <v>46192</v>
      </c>
      <c r="OT201" s="56"/>
      <c r="OU201" s="242">
        <f>SUMPRODUCT(PRODUCE!$B206:$DY206,PRODUCE!$EB$52:$IY$52)</f>
        <v>0</v>
      </c>
      <c r="OV201" s="56"/>
      <c r="OW201" s="242">
        <f t="shared" si="1384"/>
        <v>0</v>
      </c>
      <c r="OX201" s="242">
        <f t="shared" si="1385"/>
        <v>1482</v>
      </c>
      <c r="OY201" s="56"/>
      <c r="PB201" s="55">
        <f t="shared" si="1386"/>
        <v>46192</v>
      </c>
      <c r="PC201" s="56"/>
      <c r="PD201" s="242">
        <f>SUMPRODUCT(PRODUCE!$B206:$DY206,PRODUCE!$EB$53:$IY$53)</f>
        <v>0</v>
      </c>
      <c r="PE201" s="56"/>
      <c r="PF201" s="242">
        <f t="shared" si="1387"/>
        <v>0</v>
      </c>
      <c r="PG201" s="242">
        <f t="shared" si="1388"/>
        <v>0</v>
      </c>
      <c r="PH201" s="56"/>
      <c r="PK201" s="55">
        <f t="shared" si="1389"/>
        <v>46192</v>
      </c>
      <c r="PL201" s="56"/>
      <c r="PM201" s="242">
        <f>SUMPRODUCT(PRODUCE!$B206:$DY206,PRODUCE!$EB$54:$IY$54)</f>
        <v>0</v>
      </c>
      <c r="PN201" s="56"/>
      <c r="PO201" s="242">
        <f t="shared" si="1494"/>
        <v>0</v>
      </c>
      <c r="PP201" s="242">
        <f t="shared" si="1495"/>
        <v>100</v>
      </c>
      <c r="PQ201" s="56"/>
      <c r="PT201" s="55">
        <f t="shared" si="1392"/>
        <v>46192</v>
      </c>
      <c r="PU201" s="56"/>
      <c r="PV201" s="242">
        <f>SUMPRODUCT(PRODUCE!$B206:$DY206,PRODUCE!$EB$55:$IY$55)</f>
        <v>0</v>
      </c>
      <c r="PW201" s="56"/>
      <c r="PX201" s="242">
        <f t="shared" si="1393"/>
        <v>0</v>
      </c>
      <c r="PY201" s="242">
        <f t="shared" si="1394"/>
        <v>13.960000000000036</v>
      </c>
      <c r="PZ201" s="56"/>
      <c r="QC201" s="55">
        <f t="shared" si="1395"/>
        <v>46192</v>
      </c>
      <c r="QD201" s="56"/>
      <c r="QE201" s="242">
        <f>SUMPRODUCT(PRODUCE!$B206:$DY206,PRODUCE!$EB$56:$IY$56)</f>
        <v>0</v>
      </c>
      <c r="QF201" s="56"/>
      <c r="QG201" s="242">
        <f t="shared" si="1396"/>
        <v>0</v>
      </c>
      <c r="QH201" s="242">
        <f t="shared" si="1397"/>
        <v>1736</v>
      </c>
      <c r="QI201" s="56"/>
      <c r="QL201" s="55">
        <f t="shared" si="1398"/>
        <v>46192</v>
      </c>
      <c r="QM201" s="56"/>
      <c r="QN201" s="242">
        <f>SUMPRODUCT(PRODUCE!$B206:$DY206,PRODUCE!$EB$57:$IY$57)</f>
        <v>0</v>
      </c>
      <c r="QO201" s="56"/>
      <c r="QP201" s="242">
        <f t="shared" si="1399"/>
        <v>0</v>
      </c>
      <c r="QQ201" s="242">
        <f t="shared" si="1400"/>
        <v>250</v>
      </c>
      <c r="QR201" s="56"/>
      <c r="QU201" s="55">
        <f t="shared" si="1401"/>
        <v>46192</v>
      </c>
      <c r="QV201" s="56"/>
      <c r="QW201" s="242">
        <f>SUMPRODUCT(PRODUCE!$B206:$DY206,PRODUCE!$EB$58:$IY$58)</f>
        <v>0</v>
      </c>
      <c r="QX201" s="56"/>
      <c r="QY201" s="242">
        <f t="shared" si="1402"/>
        <v>0</v>
      </c>
      <c r="QZ201" s="242">
        <f t="shared" si="1403"/>
        <v>207.6</v>
      </c>
      <c r="RA201" s="56"/>
      <c r="RD201" s="55">
        <f t="shared" si="1404"/>
        <v>46192</v>
      </c>
      <c r="RE201" s="56"/>
      <c r="RF201" s="242">
        <f>SUMPRODUCT(PRODUCE!$B206:$DY206,PRODUCE!$EB$59:$IY$59)</f>
        <v>0</v>
      </c>
      <c r="RG201" s="56"/>
      <c r="RH201" s="242">
        <f t="shared" si="1405"/>
        <v>0</v>
      </c>
      <c r="RI201" s="242">
        <f t="shared" si="1406"/>
        <v>147.04000000000002</v>
      </c>
      <c r="RJ201" s="56"/>
      <c r="RM201" s="55">
        <f t="shared" si="1407"/>
        <v>46192</v>
      </c>
      <c r="RN201" s="56"/>
      <c r="RO201" s="242">
        <f>SUMPRODUCT(PRODUCE!$B206:$DY206,PRODUCE!$EB$60:$IY$60)</f>
        <v>0</v>
      </c>
      <c r="RP201" s="56"/>
      <c r="RQ201" s="242">
        <f t="shared" si="1408"/>
        <v>0</v>
      </c>
      <c r="RR201" s="242">
        <f t="shared" si="1409"/>
        <v>46.8</v>
      </c>
      <c r="RS201" s="56"/>
      <c r="RV201" s="55">
        <f t="shared" si="1410"/>
        <v>46192</v>
      </c>
      <c r="RW201" s="56"/>
      <c r="RX201" s="242">
        <f>SUMPRODUCT(PRODUCE!$B206:$DY206,PRODUCE!$EB$61:$IY$61)</f>
        <v>0</v>
      </c>
      <c r="RY201" s="56"/>
      <c r="RZ201" s="242">
        <f t="shared" si="1411"/>
        <v>0</v>
      </c>
      <c r="SA201" s="242">
        <f t="shared" si="1412"/>
        <v>0</v>
      </c>
      <c r="SB201" s="56"/>
      <c r="SE201" s="55">
        <f t="shared" si="1413"/>
        <v>46192</v>
      </c>
      <c r="SF201" s="56"/>
      <c r="SG201" s="242">
        <f>SUMPRODUCT(PRODUCE!$B206:$DY206,PRODUCE!$EB$62:$IY$62)</f>
        <v>0</v>
      </c>
      <c r="SH201" s="56"/>
      <c r="SI201" s="242">
        <f t="shared" si="1414"/>
        <v>0</v>
      </c>
      <c r="SJ201" s="242">
        <f t="shared" si="1415"/>
        <v>24.200000000000003</v>
      </c>
      <c r="SK201" s="56"/>
      <c r="SN201" s="55">
        <f t="shared" si="1416"/>
        <v>46192</v>
      </c>
      <c r="SO201" s="56"/>
      <c r="SP201" s="242">
        <f>SUMPRODUCT(PRODUCE!$B206:$DY206,PRODUCE!$EB$63:$IY$63)</f>
        <v>0</v>
      </c>
      <c r="SQ201" s="56"/>
      <c r="SR201" s="242">
        <f t="shared" si="1417"/>
        <v>0</v>
      </c>
      <c r="SS201" s="242">
        <f t="shared" si="1418"/>
        <v>32</v>
      </c>
      <c r="ST201" s="56"/>
      <c r="SW201" s="55">
        <f t="shared" si="1419"/>
        <v>46192</v>
      </c>
      <c r="SX201" s="56"/>
      <c r="SY201" s="242">
        <f>SUMPRODUCT(PRODUCE!$B206:$DY206,PRODUCE!$EB$64:$IY$64)</f>
        <v>0</v>
      </c>
      <c r="SZ201" s="56"/>
      <c r="TA201" s="242">
        <f t="shared" si="1420"/>
        <v>0</v>
      </c>
      <c r="TB201" s="242">
        <f t="shared" si="1421"/>
        <v>0</v>
      </c>
      <c r="TC201" s="56"/>
      <c r="TF201" s="55">
        <f t="shared" si="1422"/>
        <v>46192</v>
      </c>
      <c r="TG201" s="56"/>
      <c r="TH201" s="242">
        <f>SUMPRODUCT(PRODUCE!$B206:$DY206,PRODUCE!$EB$65:$IY$65)</f>
        <v>0</v>
      </c>
      <c r="TI201" s="56"/>
      <c r="TJ201" s="242">
        <f t="shared" si="1423"/>
        <v>0</v>
      </c>
      <c r="TK201" s="242">
        <f t="shared" si="1424"/>
        <v>0</v>
      </c>
      <c r="TL201" s="56"/>
      <c r="TO201" s="55">
        <f t="shared" si="1425"/>
        <v>46192</v>
      </c>
      <c r="TP201" s="56"/>
      <c r="TQ201" s="242">
        <f>SUMPRODUCT(PRODUCE!$B206:$DY206,PRODUCE!$EB$66:$IY$66)</f>
        <v>0</v>
      </c>
      <c r="TR201" s="56"/>
      <c r="TS201" s="242">
        <f t="shared" si="1426"/>
        <v>0</v>
      </c>
      <c r="TT201" s="242">
        <f t="shared" si="1427"/>
        <v>22.400000000000006</v>
      </c>
      <c r="TU201" s="56"/>
      <c r="TX201" s="55">
        <f t="shared" si="1428"/>
        <v>46192</v>
      </c>
      <c r="TY201" s="56"/>
      <c r="TZ201" s="242">
        <f>SUMPRODUCT(PRODUCE!$B206:$DY206,PRODUCE!$EB$67:$IY$67)</f>
        <v>0</v>
      </c>
      <c r="UA201" s="56"/>
      <c r="UB201" s="242">
        <f t="shared" si="1429"/>
        <v>0</v>
      </c>
      <c r="UC201" s="242">
        <f t="shared" si="1430"/>
        <v>46.799999999999983</v>
      </c>
      <c r="UD201" s="56"/>
      <c r="UG201" s="55">
        <f t="shared" si="1431"/>
        <v>46192</v>
      </c>
      <c r="UH201" s="56"/>
      <c r="UI201" s="242">
        <f>SUMPRODUCT(PRODUCE!$B206:$DY206,PRODUCE!$EB$68:$IY$68)</f>
        <v>0</v>
      </c>
      <c r="UJ201" s="56"/>
      <c r="UK201" s="242">
        <f t="shared" si="1432"/>
        <v>0</v>
      </c>
      <c r="UL201" s="242">
        <f t="shared" si="1433"/>
        <v>204</v>
      </c>
      <c r="UM201" s="56"/>
      <c r="UP201" s="55">
        <f t="shared" si="1434"/>
        <v>46192</v>
      </c>
      <c r="UQ201" s="56"/>
      <c r="UR201" s="242">
        <f>SUMPRODUCT(PRODUCE!$B206:$DY206,PRODUCE!$EB$69:$IY$69)</f>
        <v>0</v>
      </c>
      <c r="US201" s="56"/>
      <c r="UT201" s="242">
        <f t="shared" si="1435"/>
        <v>0</v>
      </c>
      <c r="UU201" s="242">
        <f t="shared" si="1436"/>
        <v>251.25</v>
      </c>
      <c r="UV201" s="56"/>
      <c r="UY201" s="55">
        <f t="shared" si="1437"/>
        <v>46192</v>
      </c>
      <c r="UZ201" s="56"/>
      <c r="VA201" s="242">
        <f>SUMPRODUCT(PRODUCE!$B206:$DY206,PRODUCE!$EB$70:$IY$70)</f>
        <v>0</v>
      </c>
      <c r="VB201" s="56"/>
      <c r="VC201" s="242">
        <f t="shared" si="1438"/>
        <v>0</v>
      </c>
      <c r="VD201" s="242">
        <f t="shared" si="1439"/>
        <v>41.600000000000023</v>
      </c>
      <c r="VE201" s="56"/>
      <c r="VH201" s="55">
        <f t="shared" si="1440"/>
        <v>46192</v>
      </c>
      <c r="VI201" s="56"/>
      <c r="VJ201" s="242">
        <f>SUMPRODUCT(PRODUCE!$B206:$DY206,PRODUCE!$EB$71:$IY$71)</f>
        <v>0</v>
      </c>
      <c r="VK201" s="56"/>
      <c r="VL201" s="242">
        <f t="shared" si="1441"/>
        <v>0</v>
      </c>
      <c r="VM201" s="242">
        <f t="shared" si="1442"/>
        <v>210</v>
      </c>
      <c r="VN201" s="56"/>
      <c r="VQ201" s="55">
        <f t="shared" si="1443"/>
        <v>46192</v>
      </c>
      <c r="VR201" s="56"/>
      <c r="VS201" s="242">
        <f>SUMPRODUCT(PRODUCE!$B206:$DY206,PRODUCE!$EB$57:$IY$57)</f>
        <v>0</v>
      </c>
      <c r="VT201" s="56"/>
      <c r="VU201" s="242">
        <f t="shared" si="1444"/>
        <v>0</v>
      </c>
      <c r="VV201" s="242">
        <f t="shared" si="1445"/>
        <v>0</v>
      </c>
      <c r="VW201" s="56"/>
      <c r="VZ201" s="55">
        <f t="shared" si="1446"/>
        <v>46192</v>
      </c>
      <c r="WA201" s="56"/>
      <c r="WB201" s="242">
        <f>SUMPRODUCT(PRODUCE!$B206:$DY206,PRODUCE!$EB$57:$IY$57)</f>
        <v>0</v>
      </c>
      <c r="WC201" s="56"/>
      <c r="WD201" s="242">
        <f t="shared" si="1447"/>
        <v>0</v>
      </c>
      <c r="WE201" s="242">
        <f t="shared" si="1448"/>
        <v>0</v>
      </c>
      <c r="WF201" s="56"/>
      <c r="WI201" s="55">
        <f t="shared" si="1449"/>
        <v>46192</v>
      </c>
      <c r="WJ201" s="422"/>
      <c r="WK201" s="540">
        <f>SUMPRODUCT(PRODUCE!$B206:$DY206,PRODUCE!$EB$74:$IY$74)</f>
        <v>0</v>
      </c>
      <c r="WL201" s="422"/>
      <c r="WM201" s="540">
        <f t="shared" si="1450"/>
        <v>0</v>
      </c>
      <c r="WN201" s="540">
        <f t="shared" si="1451"/>
        <v>1199</v>
      </c>
      <c r="WO201" s="56"/>
      <c r="WR201" s="55">
        <f t="shared" si="1452"/>
        <v>46192</v>
      </c>
      <c r="WS201" s="422"/>
      <c r="WT201" s="540">
        <f>SUMPRODUCT(PRODUCE!$B206:$DY206,PRODUCE!$EB$75:$IY$75)</f>
        <v>0</v>
      </c>
      <c r="WU201" s="422"/>
      <c r="WV201" s="540">
        <f t="shared" si="1453"/>
        <v>0</v>
      </c>
      <c r="WW201" s="540">
        <f t="shared" si="1454"/>
        <v>0</v>
      </c>
      <c r="WX201" s="56"/>
      <c r="XA201" s="55">
        <f t="shared" si="1455"/>
        <v>46192</v>
      </c>
      <c r="XB201" s="422"/>
      <c r="XC201" s="540">
        <f>SUMPRODUCT(PRODUCE!$B206:$DY206,PRODUCE!$EB$76:$IY$76)</f>
        <v>0</v>
      </c>
      <c r="XD201" s="422"/>
      <c r="XE201" s="540">
        <f t="shared" si="1456"/>
        <v>0</v>
      </c>
      <c r="XF201" s="540">
        <f t="shared" si="1457"/>
        <v>6813</v>
      </c>
      <c r="XG201" s="56"/>
      <c r="XJ201" s="55">
        <f t="shared" si="1458"/>
        <v>46192</v>
      </c>
      <c r="XK201" s="422"/>
      <c r="XL201" s="540">
        <f>SUMPRODUCT(PRODUCE!$B206:$DY206,PRODUCE!$EB$77:$IY$77)</f>
        <v>0</v>
      </c>
      <c r="XM201" s="422">
        <v>609</v>
      </c>
      <c r="XN201" s="540">
        <f t="shared" si="1459"/>
        <v>-609</v>
      </c>
      <c r="XO201" s="540">
        <f t="shared" si="1460"/>
        <v>4689</v>
      </c>
      <c r="XP201" s="56"/>
      <c r="XS201" s="55">
        <f t="shared" si="1461"/>
        <v>46192</v>
      </c>
      <c r="XT201" s="56"/>
      <c r="XU201" s="242">
        <f>SUMPRODUCT(PRODUCE!$B206:$DY206,PRODUCE!$EB$78:$IY$78)</f>
        <v>0</v>
      </c>
      <c r="XV201" s="56"/>
      <c r="XW201" s="242">
        <f t="shared" si="1462"/>
        <v>0</v>
      </c>
      <c r="XX201" s="242">
        <f t="shared" si="1463"/>
        <v>1621</v>
      </c>
      <c r="XY201" s="56"/>
      <c r="YB201" s="55">
        <f t="shared" si="1464"/>
        <v>46192</v>
      </c>
      <c r="YC201" s="56"/>
      <c r="YD201" s="242">
        <f>SUMPRODUCT(PRODUCE!$B206:$DY206,PRODUCE!$EB$79:$IY$79)</f>
        <v>0</v>
      </c>
      <c r="YE201" s="56"/>
      <c r="YF201" s="242">
        <f t="shared" si="1465"/>
        <v>0</v>
      </c>
      <c r="YG201" s="242">
        <f t="shared" si="1466"/>
        <v>4072</v>
      </c>
      <c r="YH201" s="56"/>
      <c r="YK201" s="55">
        <f t="shared" si="1467"/>
        <v>46192</v>
      </c>
      <c r="YL201" s="56"/>
      <c r="YM201" s="242">
        <f>SUMPRODUCT(PRODUCE!$B206:$DY206,PRODUCE!$EB$80:$IY$80)</f>
        <v>0</v>
      </c>
      <c r="YN201" s="56"/>
      <c r="YO201" s="242">
        <f t="shared" si="1468"/>
        <v>0</v>
      </c>
      <c r="YP201" s="242">
        <f t="shared" si="1469"/>
        <v>0</v>
      </c>
      <c r="YQ201" s="56"/>
      <c r="YT201" s="55">
        <f t="shared" si="1470"/>
        <v>46192</v>
      </c>
      <c r="YU201" s="56"/>
      <c r="YV201" s="242">
        <f>SUMPRODUCT(PRODUCE!$B206:$DY206,PRODUCE!$EB$57:$IY$57)</f>
        <v>0</v>
      </c>
      <c r="YW201" s="56"/>
      <c r="YX201" s="242">
        <f t="shared" si="1471"/>
        <v>0</v>
      </c>
      <c r="YY201" s="242">
        <f t="shared" si="1472"/>
        <v>0</v>
      </c>
      <c r="YZ201" s="56"/>
      <c r="ZC201" s="55">
        <f t="shared" si="1473"/>
        <v>46192</v>
      </c>
      <c r="ZD201" s="56"/>
      <c r="ZE201" s="242">
        <f>SUMPRODUCT(PRODUCE!$B206:$DY206,PRODUCE!$EB$57:$IY$57)</f>
        <v>0</v>
      </c>
      <c r="ZF201" s="56"/>
      <c r="ZG201" s="242">
        <f t="shared" si="1474"/>
        <v>0</v>
      </c>
      <c r="ZH201" s="242">
        <f t="shared" si="1475"/>
        <v>0</v>
      </c>
      <c r="ZI201" s="56"/>
      <c r="ZL201" s="55">
        <f t="shared" si="1476"/>
        <v>46192</v>
      </c>
      <c r="ZM201" s="56"/>
      <c r="ZN201" s="242">
        <f>SUMPRODUCT(PRODUCE!$B206:$DY206,PRODUCE!$EB$57:$IY$57)</f>
        <v>0</v>
      </c>
      <c r="ZO201" s="56"/>
      <c r="ZP201" s="242">
        <f t="shared" si="1477"/>
        <v>0</v>
      </c>
      <c r="ZQ201" s="242">
        <f t="shared" si="1478"/>
        <v>0</v>
      </c>
      <c r="ZR201" s="56"/>
      <c r="ZU201" s="55">
        <f t="shared" si="1479"/>
        <v>46192</v>
      </c>
      <c r="ZV201" s="56"/>
      <c r="ZW201" s="242">
        <f>SUMPRODUCT(PRODUCE!$B206:$DY206,PRODUCE!$EB$57:$IY$57)</f>
        <v>0</v>
      </c>
      <c r="ZX201" s="56"/>
      <c r="ZY201" s="242">
        <f t="shared" si="1480"/>
        <v>0</v>
      </c>
      <c r="ZZ201" s="242">
        <f t="shared" si="1481"/>
        <v>0</v>
      </c>
      <c r="AAA201" s="56"/>
      <c r="AAD201" s="55">
        <f t="shared" si="1482"/>
        <v>46192</v>
      </c>
      <c r="AAE201" s="56"/>
      <c r="AAF201" s="242">
        <f>SUMPRODUCT(PRODUCE!$B206:$DY206,PRODUCE!$EB$57:$IY$57)</f>
        <v>0</v>
      </c>
      <c r="AAG201" s="56"/>
      <c r="AAH201" s="242">
        <f t="shared" si="1483"/>
        <v>0</v>
      </c>
      <c r="AAI201" s="242">
        <f t="shared" si="1484"/>
        <v>0</v>
      </c>
      <c r="AAJ201" s="56"/>
      <c r="AAM201" s="55">
        <f t="shared" si="1485"/>
        <v>46192</v>
      </c>
      <c r="AAN201" s="56"/>
      <c r="AAO201" s="242">
        <f>SUMPRODUCT(PRODUCE!$B206:$DY206,PRODUCE!$EB$57:$IY$57)</f>
        <v>0</v>
      </c>
      <c r="AAP201" s="56"/>
      <c r="AAQ201" s="242">
        <f t="shared" si="1486"/>
        <v>0</v>
      </c>
      <c r="AAR201" s="242">
        <f t="shared" si="1487"/>
        <v>0</v>
      </c>
      <c r="AAS201" s="56"/>
      <c r="AAV201" s="55">
        <f t="shared" si="1488"/>
        <v>46192</v>
      </c>
      <c r="AAW201" s="56"/>
      <c r="AAX201" s="242">
        <f>SUMPRODUCT(PRODUCE!$B206:$DY206,PRODUCE!$EB$57:$IY$57)</f>
        <v>0</v>
      </c>
      <c r="AAY201" s="56"/>
      <c r="AAZ201" s="242">
        <f t="shared" si="1489"/>
        <v>0</v>
      </c>
      <c r="ABA201" s="242">
        <f t="shared" si="1490"/>
        <v>0</v>
      </c>
      <c r="ABB201" s="56"/>
      <c r="ABE201" s="55">
        <f t="shared" si="1491"/>
        <v>46192</v>
      </c>
      <c r="ABF201" s="56"/>
      <c r="ABG201" s="242">
        <f>SUMPRODUCT(PRODUCE!$B206:$DY206,PRODUCE!$EB$57:$IY$57)</f>
        <v>0</v>
      </c>
      <c r="ABH201" s="56"/>
      <c r="ABI201" s="242">
        <f t="shared" si="1492"/>
        <v>0</v>
      </c>
      <c r="ABJ201" s="242">
        <f t="shared" si="1493"/>
        <v>0</v>
      </c>
      <c r="ABK201" s="56"/>
    </row>
    <row r="202" spans="2:739" s="54" customFormat="1" ht="15" customHeight="1" outlineLevel="1">
      <c r="B202" s="478">
        <v>20</v>
      </c>
      <c r="C202" s="55">
        <v>46193</v>
      </c>
      <c r="D202" s="422"/>
      <c r="E202" s="423">
        <f>SUMPRODUCT(PRODUCE!$B207:$DY207,PRODUCE!$EB$7:$IY$7)</f>
        <v>12288</v>
      </c>
      <c r="F202" s="422">
        <v>12286</v>
      </c>
      <c r="G202" s="423">
        <f t="shared" si="1249"/>
        <v>2</v>
      </c>
      <c r="H202" s="423">
        <f t="shared" si="1250"/>
        <v>36681.000000000058</v>
      </c>
      <c r="I202" s="289" t="s">
        <v>291</v>
      </c>
      <c r="L202" s="55">
        <f t="shared" si="1251"/>
        <v>46193</v>
      </c>
      <c r="M202" s="422"/>
      <c r="N202" s="438">
        <f>SUMPRODUCT(PRODUCE!$B207:$DY207,PRODUCE!$EB$8:$IY$8)</f>
        <v>4476.0000000000009</v>
      </c>
      <c r="O202" s="422">
        <v>4479.6000000000004</v>
      </c>
      <c r="P202" s="438">
        <f t="shared" si="1252"/>
        <v>-3.5999999999994543</v>
      </c>
      <c r="Q202" s="438">
        <f t="shared" si="1253"/>
        <v>68803.600000000079</v>
      </c>
      <c r="R202" s="56"/>
      <c r="U202" s="55">
        <f t="shared" si="1254"/>
        <v>46193</v>
      </c>
      <c r="V202" s="422"/>
      <c r="W202" s="440">
        <f>SUMPRODUCT(PRODUCE!$B207:$DY207,PRODUCE!$EB$9:$IY$9)</f>
        <v>1400</v>
      </c>
      <c r="X202" s="422">
        <v>1400.3</v>
      </c>
      <c r="Y202" s="440">
        <f t="shared" si="1255"/>
        <v>-0.29999999999995453</v>
      </c>
      <c r="Z202" s="440">
        <f t="shared" si="1256"/>
        <v>33087.699999999975</v>
      </c>
      <c r="AA202" s="56"/>
      <c r="AD202" s="55">
        <f t="shared" si="1257"/>
        <v>46193</v>
      </c>
      <c r="AE202" s="422"/>
      <c r="AF202" s="442">
        <f>SUMPRODUCT(PRODUCE!$B207:$DY207,PRODUCE!$EB$10:$IY$10)</f>
        <v>0</v>
      </c>
      <c r="AG202" s="422"/>
      <c r="AH202" s="442">
        <f t="shared" si="1258"/>
        <v>0</v>
      </c>
      <c r="AI202" s="442">
        <f t="shared" si="1259"/>
        <v>33372.700000000019</v>
      </c>
      <c r="AJ202" s="56"/>
      <c r="AM202" s="55">
        <f t="shared" si="1260"/>
        <v>46193</v>
      </c>
      <c r="AN202" s="422"/>
      <c r="AO202" s="444">
        <f>SUMPRODUCT(PRODUCE!$B207:$DY207,PRODUCE!$EB$11:$IY$11)</f>
        <v>0</v>
      </c>
      <c r="AP202" s="422"/>
      <c r="AQ202" s="444">
        <f t="shared" si="1261"/>
        <v>0</v>
      </c>
      <c r="AR202" s="444">
        <f t="shared" si="1262"/>
        <v>0</v>
      </c>
      <c r="AS202" s="56"/>
      <c r="AV202" s="55">
        <f t="shared" si="1263"/>
        <v>46193</v>
      </c>
      <c r="AW202" s="422"/>
      <c r="AX202" s="446">
        <f>SUMPRODUCT(PRODUCE!$B207:$DY207,PRODUCE!$EB$12:$IY$12)</f>
        <v>0</v>
      </c>
      <c r="AY202" s="422"/>
      <c r="AZ202" s="446">
        <f t="shared" si="1264"/>
        <v>0</v>
      </c>
      <c r="BA202" s="446">
        <f t="shared" si="1265"/>
        <v>14066.499999999996</v>
      </c>
      <c r="BB202" s="56"/>
      <c r="BE202" s="55">
        <f t="shared" si="1266"/>
        <v>46193</v>
      </c>
      <c r="BF202" s="422"/>
      <c r="BG202" s="448">
        <f>SUMPRODUCT(PRODUCE!$B207:$DY207,PRODUCE!$EB$13:$IY$13)</f>
        <v>200</v>
      </c>
      <c r="BH202" s="422"/>
      <c r="BI202" s="448">
        <f t="shared" si="1267"/>
        <v>200</v>
      </c>
      <c r="BJ202" s="448">
        <f t="shared" si="1268"/>
        <v>39235.399999999994</v>
      </c>
      <c r="BK202" s="56"/>
      <c r="BN202" s="55">
        <f t="shared" si="1269"/>
        <v>46193</v>
      </c>
      <c r="BO202" s="422">
        <v>100</v>
      </c>
      <c r="BP202" s="450">
        <f>SUMPRODUCT(PRODUCE!$B207:$DY207,PRODUCE!$EB$14:$IY$14)</f>
        <v>100</v>
      </c>
      <c r="BQ202" s="422">
        <v>100</v>
      </c>
      <c r="BR202" s="450">
        <f t="shared" si="1270"/>
        <v>0</v>
      </c>
      <c r="BS202" s="450">
        <f t="shared" si="1271"/>
        <v>0</v>
      </c>
      <c r="BT202" s="56"/>
      <c r="BW202" s="55">
        <f t="shared" si="1272"/>
        <v>46193</v>
      </c>
      <c r="BX202" s="422"/>
      <c r="BY202" s="523">
        <f>SUMPRODUCT(PRODUCE!$B207:$DY207,PRODUCE!$EB$15:$IY$15)</f>
        <v>86.1</v>
      </c>
      <c r="BZ202" s="422"/>
      <c r="CA202" s="523">
        <f t="shared" si="1273"/>
        <v>86.1</v>
      </c>
      <c r="CB202" s="523">
        <f t="shared" si="1274"/>
        <v>3188.329999999999</v>
      </c>
      <c r="CC202" s="56"/>
      <c r="CF202" s="55">
        <f t="shared" si="1275"/>
        <v>46193</v>
      </c>
      <c r="CG202" s="422"/>
      <c r="CH202" s="524">
        <f>SUMPRODUCT(PRODUCE!$B207:$DY207,PRODUCE!$EB$16:$IY$16)</f>
        <v>0</v>
      </c>
      <c r="CI202" s="422"/>
      <c r="CJ202" s="524">
        <f t="shared" si="1276"/>
        <v>0</v>
      </c>
      <c r="CK202" s="524">
        <f t="shared" si="1277"/>
        <v>0</v>
      </c>
      <c r="CL202" s="56"/>
      <c r="CO202" s="55">
        <f t="shared" si="1278"/>
        <v>46193</v>
      </c>
      <c r="CP202" s="422"/>
      <c r="CQ202" s="470">
        <f>SUMPRODUCT(PRODUCE!$B207:$DY207,PRODUCE!$EB$17:$IY$17)</f>
        <v>0</v>
      </c>
      <c r="CR202" s="422"/>
      <c r="CS202" s="470">
        <f t="shared" si="1279"/>
        <v>0</v>
      </c>
      <c r="CT202" s="470">
        <f t="shared" si="1280"/>
        <v>0</v>
      </c>
      <c r="CU202" s="56"/>
      <c r="CX202" s="55">
        <f t="shared" si="1281"/>
        <v>46193</v>
      </c>
      <c r="CY202" s="422"/>
      <c r="CZ202" s="525">
        <f>SUMPRODUCT(PRODUCE!$B207:$DY207,PRODUCE!$EB$18:$IY$18)</f>
        <v>400</v>
      </c>
      <c r="DA202" s="422">
        <v>399.2</v>
      </c>
      <c r="DB202" s="525">
        <f t="shared" si="1282"/>
        <v>0.80000000000001137</v>
      </c>
      <c r="DC202" s="525">
        <f t="shared" si="1283"/>
        <v>14823.000000000007</v>
      </c>
      <c r="DD202" s="56"/>
      <c r="DG202" s="55">
        <f t="shared" si="1284"/>
        <v>46193</v>
      </c>
      <c r="DH202" s="422"/>
      <c r="DI202" s="526">
        <f>SUMPRODUCT(PRODUCE!$B207:$DY207,PRODUCE!$EB$19:$IY$19)</f>
        <v>0</v>
      </c>
      <c r="DJ202" s="422"/>
      <c r="DK202" s="526">
        <f t="shared" si="1285"/>
        <v>0</v>
      </c>
      <c r="DL202" s="526">
        <f t="shared" si="1286"/>
        <v>35234.999999999985</v>
      </c>
      <c r="DM202" s="56"/>
      <c r="DP202" s="55">
        <f t="shared" si="1287"/>
        <v>46193</v>
      </c>
      <c r="DQ202" s="56"/>
      <c r="DR202" s="57">
        <f>SUMPRODUCT(PRODUCE!$B207:$DY207,PRODUCE!$EB$20:$IY$20)</f>
        <v>0</v>
      </c>
      <c r="DS202" s="56"/>
      <c r="DT202" s="57">
        <f t="shared" si="1288"/>
        <v>0</v>
      </c>
      <c r="DU202" s="57">
        <f t="shared" si="1289"/>
        <v>5800</v>
      </c>
      <c r="DV202" s="56"/>
      <c r="DY202" s="55">
        <f t="shared" si="1290"/>
        <v>46193</v>
      </c>
      <c r="DZ202" s="56"/>
      <c r="EA202" s="157">
        <f>SUMPRODUCT(PRODUCE!$B207:$DY207,PRODUCE!$EB$21:$IY$21)</f>
        <v>0</v>
      </c>
      <c r="EB202" s="56"/>
      <c r="EC202" s="157">
        <f t="shared" si="1291"/>
        <v>0</v>
      </c>
      <c r="ED202" s="157">
        <f t="shared" si="1292"/>
        <v>0</v>
      </c>
      <c r="EE202" s="56"/>
      <c r="EH202" s="55">
        <f t="shared" si="1293"/>
        <v>46193</v>
      </c>
      <c r="EI202" s="56"/>
      <c r="EJ202" s="162">
        <f>SUMPRODUCT(PRODUCE!$B207:$DY207,PRODUCE!$EB$22:$IY$22)</f>
        <v>0</v>
      </c>
      <c r="EK202" s="56"/>
      <c r="EL202" s="162">
        <f t="shared" si="1294"/>
        <v>0</v>
      </c>
      <c r="EM202" s="162">
        <f t="shared" si="1295"/>
        <v>0</v>
      </c>
      <c r="EN202" s="56"/>
      <c r="EQ202" s="55">
        <f t="shared" si="1296"/>
        <v>46193</v>
      </c>
      <c r="ER202" s="56"/>
      <c r="ES202" s="135">
        <f>SUMPRODUCT(PRODUCE!$B207:$DY207,PRODUCE!$EB$23:$IY$23)</f>
        <v>0</v>
      </c>
      <c r="ET202" s="56"/>
      <c r="EU202" s="135">
        <f t="shared" si="1297"/>
        <v>0</v>
      </c>
      <c r="EV202" s="135">
        <f t="shared" si="1298"/>
        <v>0</v>
      </c>
      <c r="EW202" s="56"/>
      <c r="EZ202" s="55">
        <f t="shared" si="1299"/>
        <v>46193</v>
      </c>
      <c r="FA202" s="56"/>
      <c r="FB202" s="175">
        <f>SUMPRODUCT(PRODUCE!$B207:$DY207,PRODUCE!$EB$24:$IY$24)</f>
        <v>0</v>
      </c>
      <c r="FC202" s="56"/>
      <c r="FD202" s="175">
        <f t="shared" si="1300"/>
        <v>0</v>
      </c>
      <c r="FE202" s="175">
        <f t="shared" si="1301"/>
        <v>0</v>
      </c>
      <c r="FF202" s="56"/>
      <c r="FI202" s="55">
        <f t="shared" si="1302"/>
        <v>46193</v>
      </c>
      <c r="FJ202" s="56"/>
      <c r="FK202" s="183">
        <f>SUMPRODUCT(PRODUCE!$B207:$DY207,PRODUCE!$EB$25:$IY$25)</f>
        <v>0</v>
      </c>
      <c r="FL202" s="56"/>
      <c r="FM202" s="183">
        <f t="shared" si="1303"/>
        <v>0</v>
      </c>
      <c r="FN202" s="183">
        <f t="shared" si="1304"/>
        <v>0</v>
      </c>
      <c r="FO202" s="56"/>
      <c r="FR202" s="55">
        <f t="shared" si="1305"/>
        <v>46193</v>
      </c>
      <c r="FS202" s="56"/>
      <c r="FT202" s="186">
        <f>SUMPRODUCT(PRODUCE!$B207:$DY207,PRODUCE!$EB$26:$IY$26)</f>
        <v>0</v>
      </c>
      <c r="FU202" s="56"/>
      <c r="FV202" s="186">
        <f t="shared" si="1306"/>
        <v>0</v>
      </c>
      <c r="FW202" s="186">
        <f t="shared" si="1307"/>
        <v>1160</v>
      </c>
      <c r="FX202" s="56"/>
      <c r="GA202" s="55">
        <f t="shared" si="1308"/>
        <v>46193</v>
      </c>
      <c r="GB202" s="56"/>
      <c r="GC202" s="137">
        <f>SUMPRODUCT(PRODUCE!$B207:$DY207,PRODUCE!$EB$27:$IY$27)</f>
        <v>0</v>
      </c>
      <c r="GD202" s="56"/>
      <c r="GE202" s="137">
        <f t="shared" si="1309"/>
        <v>0</v>
      </c>
      <c r="GF202" s="137">
        <f t="shared" si="1310"/>
        <v>960</v>
      </c>
      <c r="GG202" s="56"/>
      <c r="GI202" s="23"/>
      <c r="GJ202" s="55">
        <f t="shared" si="1311"/>
        <v>46193</v>
      </c>
      <c r="GK202" s="56"/>
      <c r="GL202" s="199">
        <f>SUMPRODUCT(PRODUCE!$B207:$DY207,PRODUCE!$EB$28:$IY$28)</f>
        <v>0</v>
      </c>
      <c r="GM202" s="56"/>
      <c r="GN202" s="199">
        <f t="shared" si="1312"/>
        <v>0</v>
      </c>
      <c r="GO202" s="199">
        <f t="shared" si="1313"/>
        <v>1760</v>
      </c>
      <c r="GP202" s="56"/>
      <c r="GS202" s="55">
        <f t="shared" si="1314"/>
        <v>46193</v>
      </c>
      <c r="GT202" s="56"/>
      <c r="GU202" s="195">
        <f>SUMPRODUCT(PRODUCE!$B207:$DY207,PRODUCE!$EB$29:$IY$29)</f>
        <v>0</v>
      </c>
      <c r="GV202" s="56"/>
      <c r="GW202" s="195">
        <f t="shared" si="1315"/>
        <v>0</v>
      </c>
      <c r="GX202" s="195">
        <f t="shared" si="1316"/>
        <v>400</v>
      </c>
      <c r="GY202" s="56"/>
      <c r="HB202" s="55">
        <f t="shared" si="1317"/>
        <v>46193</v>
      </c>
      <c r="HC202" s="56"/>
      <c r="HD202" s="191">
        <f>SUMPRODUCT(PRODUCE!$B207:$DY207,PRODUCE!$EB$30:$IY$30)</f>
        <v>0</v>
      </c>
      <c r="HE202" s="56"/>
      <c r="HF202" s="191">
        <f t="shared" si="1318"/>
        <v>0</v>
      </c>
      <c r="HG202" s="191">
        <f t="shared" si="1319"/>
        <v>3600</v>
      </c>
      <c r="HH202" s="56"/>
      <c r="HK202" s="55">
        <f t="shared" si="1320"/>
        <v>46193</v>
      </c>
      <c r="HL202" s="56"/>
      <c r="HM202" s="63">
        <f>SUMPRODUCT(PRODUCE!$B207:$DY207,PRODUCE!$EB$31:$IY$31)</f>
        <v>0</v>
      </c>
      <c r="HN202" s="56"/>
      <c r="HO202" s="63">
        <f t="shared" si="1321"/>
        <v>0</v>
      </c>
      <c r="HP202" s="63">
        <f t="shared" si="1322"/>
        <v>0</v>
      </c>
      <c r="HQ202" s="56"/>
      <c r="HU202" s="55">
        <f t="shared" si="1323"/>
        <v>46193</v>
      </c>
      <c r="HV202" s="56"/>
      <c r="HW202" s="242">
        <f>SUMPRODUCT(PRODUCE!$B207:$DY207,PRODUCE!$EB$32:$IY$32)</f>
        <v>0</v>
      </c>
      <c r="HX202" s="56"/>
      <c r="HY202" s="242">
        <f t="shared" si="1324"/>
        <v>0</v>
      </c>
      <c r="HZ202" s="242">
        <f t="shared" si="1325"/>
        <v>6800</v>
      </c>
      <c r="IA202" s="56"/>
      <c r="ID202" s="55">
        <f t="shared" si="1326"/>
        <v>46193</v>
      </c>
      <c r="IE202" s="56"/>
      <c r="IF202" s="242">
        <f>SUMPRODUCT(PRODUCE!$B207:$DY207,PRODUCE!$EB$33:$IY$33)</f>
        <v>0</v>
      </c>
      <c r="IG202" s="56"/>
      <c r="IH202" s="242">
        <f t="shared" si="1327"/>
        <v>0</v>
      </c>
      <c r="II202" s="242">
        <f t="shared" si="1328"/>
        <v>720</v>
      </c>
      <c r="IJ202" s="56"/>
      <c r="IM202" s="55">
        <f t="shared" si="1329"/>
        <v>46193</v>
      </c>
      <c r="IN202" s="56"/>
      <c r="IO202" s="242">
        <f>SUMPRODUCT(PRODUCE!$B207:$DY207,PRODUCE!$EB$34:$IY$34)</f>
        <v>0</v>
      </c>
      <c r="IP202" s="56"/>
      <c r="IQ202" s="242">
        <f t="shared" si="1330"/>
        <v>0</v>
      </c>
      <c r="IR202" s="242">
        <f t="shared" si="1331"/>
        <v>6520</v>
      </c>
      <c r="IS202" s="56"/>
      <c r="IV202" s="55">
        <f t="shared" si="1332"/>
        <v>46193</v>
      </c>
      <c r="IW202" s="56"/>
      <c r="IX202" s="242">
        <f>SUMPRODUCT(PRODUCE!$B207:$DY207,PRODUCE!$EB$35:$IY$35)</f>
        <v>0</v>
      </c>
      <c r="IY202" s="56"/>
      <c r="IZ202" s="242">
        <f t="shared" si="1333"/>
        <v>0</v>
      </c>
      <c r="JA202" s="242">
        <f t="shared" si="1334"/>
        <v>4960</v>
      </c>
      <c r="JB202" s="56"/>
      <c r="JE202" s="55">
        <f t="shared" si="1335"/>
        <v>46193</v>
      </c>
      <c r="JF202" s="56"/>
      <c r="JG202" s="242">
        <f>SUMPRODUCT(PRODUCE!$B207:$DY207,PRODUCE!$EB$36:$IY$36)</f>
        <v>0</v>
      </c>
      <c r="JH202" s="56"/>
      <c r="JI202" s="242">
        <f t="shared" si="1336"/>
        <v>0</v>
      </c>
      <c r="JJ202" s="242">
        <f t="shared" si="1337"/>
        <v>0</v>
      </c>
      <c r="JK202" s="56"/>
      <c r="JN202" s="55">
        <f t="shared" si="1338"/>
        <v>46193</v>
      </c>
      <c r="JO202" s="56"/>
      <c r="JP202" s="242">
        <f>SUMPRODUCT(PRODUCE!$B207:$DY207,PRODUCE!$EB$37:$IY$37)</f>
        <v>0</v>
      </c>
      <c r="JQ202" s="56"/>
      <c r="JR202" s="242">
        <f t="shared" si="1339"/>
        <v>0</v>
      </c>
      <c r="JS202" s="242">
        <f t="shared" si="1340"/>
        <v>0</v>
      </c>
      <c r="JT202" s="56"/>
      <c r="JW202" s="55">
        <f t="shared" si="1341"/>
        <v>46193</v>
      </c>
      <c r="JX202" s="56"/>
      <c r="JY202" s="242">
        <f>SUMPRODUCT(PRODUCE!$B207:$DY207,PRODUCE!$EB$38:$IY$38)</f>
        <v>0</v>
      </c>
      <c r="JZ202" s="56"/>
      <c r="KA202" s="242">
        <f t="shared" si="1342"/>
        <v>0</v>
      </c>
      <c r="KB202" s="242">
        <f t="shared" si="1343"/>
        <v>2540</v>
      </c>
      <c r="KC202" s="56"/>
      <c r="KF202" s="55">
        <f t="shared" si="1344"/>
        <v>46193</v>
      </c>
      <c r="KG202" s="56"/>
      <c r="KH202" s="242">
        <f>SUMPRODUCT(PRODUCE!$B207:$DY207,PRODUCE!$EB$39:$IY$39)</f>
        <v>0</v>
      </c>
      <c r="KI202" s="56"/>
      <c r="KJ202" s="242">
        <f t="shared" si="1345"/>
        <v>0</v>
      </c>
      <c r="KK202" s="242">
        <f t="shared" si="1346"/>
        <v>2359.5</v>
      </c>
      <c r="KL202" s="56"/>
      <c r="KO202" s="55">
        <f t="shared" si="1347"/>
        <v>46193</v>
      </c>
      <c r="KP202" s="56"/>
      <c r="KQ202" s="242">
        <f>SUMPRODUCT(PRODUCE!$B207:$DY207,PRODUCE!$EB$40:$IY$40)</f>
        <v>0</v>
      </c>
      <c r="KR202" s="56"/>
      <c r="KS202" s="242">
        <f t="shared" si="1348"/>
        <v>0</v>
      </c>
      <c r="KT202" s="242">
        <f t="shared" si="1349"/>
        <v>1890</v>
      </c>
      <c r="KU202" s="56"/>
      <c r="KW202" s="23"/>
      <c r="KX202" s="55">
        <f t="shared" si="1350"/>
        <v>46193</v>
      </c>
      <c r="KY202" s="56"/>
      <c r="KZ202" s="242">
        <f>SUMPRODUCT(PRODUCE!$B207:$DY207,PRODUCE!$EB$41:$IY$41)</f>
        <v>0</v>
      </c>
      <c r="LA202" s="56"/>
      <c r="LB202" s="242">
        <f t="shared" si="1351"/>
        <v>0</v>
      </c>
      <c r="LC202" s="242">
        <f t="shared" si="1352"/>
        <v>3690</v>
      </c>
      <c r="LD202" s="56"/>
      <c r="LG202" s="55">
        <f t="shared" si="1353"/>
        <v>46193</v>
      </c>
      <c r="LH202" s="56"/>
      <c r="LI202" s="242">
        <f>SUMPRODUCT(PRODUCE!$B207:$DY207,PRODUCE!$EB$42:$IY$42)</f>
        <v>0</v>
      </c>
      <c r="LJ202" s="56"/>
      <c r="LK202" s="242">
        <f t="shared" si="1354"/>
        <v>0</v>
      </c>
      <c r="LL202" s="242">
        <f t="shared" si="1355"/>
        <v>4000</v>
      </c>
      <c r="LM202" s="56"/>
      <c r="LP202" s="55">
        <f t="shared" si="1356"/>
        <v>46193</v>
      </c>
      <c r="LQ202" s="56"/>
      <c r="LR202" s="242">
        <f>SUMPRODUCT(PRODUCE!$B207:$DY207,PRODUCE!$EB$43:$IY$43)</f>
        <v>0</v>
      </c>
      <c r="LS202" s="56"/>
      <c r="LT202" s="242">
        <f t="shared" si="1357"/>
        <v>0</v>
      </c>
      <c r="LU202" s="242">
        <f t="shared" si="1358"/>
        <v>0</v>
      </c>
      <c r="LV202" s="56"/>
      <c r="LY202" s="55">
        <f t="shared" si="1359"/>
        <v>46193</v>
      </c>
      <c r="LZ202" s="56"/>
      <c r="MA202" s="242">
        <f>SUMPRODUCT(PRODUCE!$B207:$DY207,PRODUCE!$EB$44:$IY$44)</f>
        <v>0</v>
      </c>
      <c r="MB202" s="56"/>
      <c r="MC202" s="242">
        <f t="shared" si="1360"/>
        <v>0</v>
      </c>
      <c r="MD202" s="242">
        <f t="shared" si="1361"/>
        <v>0</v>
      </c>
      <c r="ME202" s="56"/>
      <c r="MH202" s="55">
        <f t="shared" si="1362"/>
        <v>46193</v>
      </c>
      <c r="MI202" s="56"/>
      <c r="MJ202" s="242">
        <f>SUMPRODUCT(PRODUCE!$B207:$DY207,PRODUCE!$EB$45:$IY$45)</f>
        <v>0</v>
      </c>
      <c r="MK202" s="56"/>
      <c r="ML202" s="242">
        <f t="shared" si="1363"/>
        <v>0</v>
      </c>
      <c r="MM202" s="242">
        <f t="shared" si="1364"/>
        <v>0</v>
      </c>
      <c r="MN202" s="56"/>
      <c r="MQ202" s="55">
        <f t="shared" si="1365"/>
        <v>46193</v>
      </c>
      <c r="MR202" s="56"/>
      <c r="MS202" s="242">
        <f>SUMPRODUCT(PRODUCE!$B207:$DY207,PRODUCE!$EB$46:$IY$46)</f>
        <v>0</v>
      </c>
      <c r="MT202" s="56"/>
      <c r="MU202" s="242">
        <f t="shared" si="1366"/>
        <v>0</v>
      </c>
      <c r="MV202" s="242">
        <f t="shared" si="1367"/>
        <v>3724</v>
      </c>
      <c r="MW202" s="56"/>
      <c r="MZ202" s="55">
        <f t="shared" si="1368"/>
        <v>46193</v>
      </c>
      <c r="NA202" s="56"/>
      <c r="NB202" s="242">
        <f>SUMPRODUCT(PRODUCE!$B207:$DY207,PRODUCE!$EB$47:$IY$47)</f>
        <v>0</v>
      </c>
      <c r="NC202" s="56"/>
      <c r="ND202" s="242">
        <f t="shared" si="1369"/>
        <v>0</v>
      </c>
      <c r="NE202" s="242">
        <f t="shared" si="1370"/>
        <v>0</v>
      </c>
      <c r="NF202" s="56"/>
      <c r="NI202" s="55">
        <f t="shared" si="1371"/>
        <v>46193</v>
      </c>
      <c r="NJ202" s="56"/>
      <c r="NK202" s="242">
        <f>SUMPRODUCT(PRODUCE!$B207:$DY207,PRODUCE!$EB$48:$IY$48)</f>
        <v>0</v>
      </c>
      <c r="NL202" s="56"/>
      <c r="NM202" s="242">
        <f t="shared" si="1372"/>
        <v>0</v>
      </c>
      <c r="NN202" s="242">
        <f t="shared" si="1373"/>
        <v>1127</v>
      </c>
      <c r="NO202" s="56"/>
      <c r="NR202" s="55">
        <f t="shared" si="1374"/>
        <v>46193</v>
      </c>
      <c r="NS202" s="56"/>
      <c r="NT202" s="242">
        <f>SUMPRODUCT(PRODUCE!$B207:$DY207,PRODUCE!$EB$49:$IY$49)</f>
        <v>0</v>
      </c>
      <c r="NU202" s="56"/>
      <c r="NV202" s="242">
        <f t="shared" si="1375"/>
        <v>0</v>
      </c>
      <c r="NW202" s="242">
        <f t="shared" si="1376"/>
        <v>3111.9999999999995</v>
      </c>
      <c r="NX202" s="56"/>
      <c r="OA202" s="55">
        <f t="shared" si="1377"/>
        <v>46193</v>
      </c>
      <c r="OB202" s="56"/>
      <c r="OC202" s="242">
        <f>SUMPRODUCT(PRODUCE!$B207:$DY207,PRODUCE!$EB$50:$IY$50)</f>
        <v>0</v>
      </c>
      <c r="OD202" s="56"/>
      <c r="OE202" s="242">
        <f t="shared" si="1378"/>
        <v>0</v>
      </c>
      <c r="OF202" s="242">
        <f t="shared" si="1379"/>
        <v>1680.5</v>
      </c>
      <c r="OG202" s="56"/>
      <c r="OJ202" s="55">
        <f t="shared" si="1380"/>
        <v>46193</v>
      </c>
      <c r="OK202" s="56"/>
      <c r="OL202" s="242">
        <f>SUMPRODUCT(PRODUCE!$B207:$DY207,PRODUCE!$EB$51:$IY$51)</f>
        <v>0</v>
      </c>
      <c r="OM202" s="56"/>
      <c r="ON202" s="242">
        <f t="shared" si="1381"/>
        <v>0</v>
      </c>
      <c r="OO202" s="242">
        <f t="shared" si="1382"/>
        <v>0</v>
      </c>
      <c r="OP202" s="56"/>
      <c r="OS202" s="55">
        <f t="shared" si="1383"/>
        <v>46193</v>
      </c>
      <c r="OT202" s="56"/>
      <c r="OU202" s="242">
        <f>SUMPRODUCT(PRODUCE!$B207:$DY207,PRODUCE!$EB$52:$IY$52)</f>
        <v>0</v>
      </c>
      <c r="OV202" s="56"/>
      <c r="OW202" s="242">
        <f t="shared" si="1384"/>
        <v>0</v>
      </c>
      <c r="OX202" s="242">
        <f t="shared" si="1385"/>
        <v>1482</v>
      </c>
      <c r="OY202" s="56"/>
      <c r="PB202" s="55">
        <f t="shared" si="1386"/>
        <v>46193</v>
      </c>
      <c r="PC202" s="56"/>
      <c r="PD202" s="242">
        <f>SUMPRODUCT(PRODUCE!$B207:$DY207,PRODUCE!$EB$53:$IY$53)</f>
        <v>0</v>
      </c>
      <c r="PE202" s="56"/>
      <c r="PF202" s="242">
        <f t="shared" si="1387"/>
        <v>0</v>
      </c>
      <c r="PG202" s="242">
        <f t="shared" si="1388"/>
        <v>0</v>
      </c>
      <c r="PH202" s="56"/>
      <c r="PK202" s="55">
        <f t="shared" si="1389"/>
        <v>46193</v>
      </c>
      <c r="PL202" s="56"/>
      <c r="PM202" s="242">
        <f>SUMPRODUCT(PRODUCE!$B207:$DY207,PRODUCE!$EB$54:$IY$54)</f>
        <v>0</v>
      </c>
      <c r="PN202" s="56"/>
      <c r="PO202" s="242">
        <f t="shared" si="1494"/>
        <v>0</v>
      </c>
      <c r="PP202" s="242">
        <f t="shared" si="1495"/>
        <v>100</v>
      </c>
      <c r="PQ202" s="56"/>
      <c r="PT202" s="55">
        <f t="shared" si="1392"/>
        <v>46193</v>
      </c>
      <c r="PU202" s="56"/>
      <c r="PV202" s="242">
        <f>SUMPRODUCT(PRODUCE!$B207:$DY207,PRODUCE!$EB$55:$IY$55)</f>
        <v>0</v>
      </c>
      <c r="PW202" s="56"/>
      <c r="PX202" s="242">
        <f t="shared" si="1393"/>
        <v>0</v>
      </c>
      <c r="PY202" s="242">
        <f t="shared" si="1394"/>
        <v>13.960000000000036</v>
      </c>
      <c r="PZ202" s="56"/>
      <c r="QC202" s="55">
        <f t="shared" si="1395"/>
        <v>46193</v>
      </c>
      <c r="QD202" s="56"/>
      <c r="QE202" s="242">
        <f>SUMPRODUCT(PRODUCE!$B207:$DY207,PRODUCE!$EB$56:$IY$56)</f>
        <v>0</v>
      </c>
      <c r="QF202" s="56"/>
      <c r="QG202" s="242">
        <f t="shared" si="1396"/>
        <v>0</v>
      </c>
      <c r="QH202" s="242">
        <f t="shared" si="1397"/>
        <v>1736</v>
      </c>
      <c r="QI202" s="56"/>
      <c r="QL202" s="55">
        <f t="shared" si="1398"/>
        <v>46193</v>
      </c>
      <c r="QM202" s="56"/>
      <c r="QN202" s="242">
        <f>SUMPRODUCT(PRODUCE!$B207:$DY207,PRODUCE!$EB$57:$IY$57)</f>
        <v>0</v>
      </c>
      <c r="QO202" s="56"/>
      <c r="QP202" s="242">
        <f t="shared" si="1399"/>
        <v>0</v>
      </c>
      <c r="QQ202" s="242">
        <f t="shared" si="1400"/>
        <v>250</v>
      </c>
      <c r="QR202" s="56"/>
      <c r="QU202" s="55">
        <f t="shared" si="1401"/>
        <v>46193</v>
      </c>
      <c r="QV202" s="56"/>
      <c r="QW202" s="242">
        <f>SUMPRODUCT(PRODUCE!$B207:$DY207,PRODUCE!$EB$58:$IY$58)</f>
        <v>0</v>
      </c>
      <c r="QX202" s="56"/>
      <c r="QY202" s="242">
        <f t="shared" si="1402"/>
        <v>0</v>
      </c>
      <c r="QZ202" s="242">
        <f t="shared" si="1403"/>
        <v>207.6</v>
      </c>
      <c r="RA202" s="56"/>
      <c r="RD202" s="55">
        <f t="shared" si="1404"/>
        <v>46193</v>
      </c>
      <c r="RE202" s="56"/>
      <c r="RF202" s="242">
        <f>SUMPRODUCT(PRODUCE!$B207:$DY207,PRODUCE!$EB$59:$IY$59)</f>
        <v>0</v>
      </c>
      <c r="RG202" s="56"/>
      <c r="RH202" s="242">
        <f t="shared" si="1405"/>
        <v>0</v>
      </c>
      <c r="RI202" s="242">
        <f t="shared" si="1406"/>
        <v>147.04000000000002</v>
      </c>
      <c r="RJ202" s="56"/>
      <c r="RM202" s="55">
        <f t="shared" si="1407"/>
        <v>46193</v>
      </c>
      <c r="RN202" s="56"/>
      <c r="RO202" s="242">
        <f>SUMPRODUCT(PRODUCE!$B207:$DY207,PRODUCE!$EB$60:$IY$60)</f>
        <v>0</v>
      </c>
      <c r="RP202" s="56"/>
      <c r="RQ202" s="242">
        <f t="shared" si="1408"/>
        <v>0</v>
      </c>
      <c r="RR202" s="242">
        <f t="shared" si="1409"/>
        <v>46.8</v>
      </c>
      <c r="RS202" s="56"/>
      <c r="RV202" s="55">
        <f t="shared" si="1410"/>
        <v>46193</v>
      </c>
      <c r="RW202" s="56"/>
      <c r="RX202" s="242">
        <f>SUMPRODUCT(PRODUCE!$B207:$DY207,PRODUCE!$EB$61:$IY$61)</f>
        <v>0</v>
      </c>
      <c r="RY202" s="56"/>
      <c r="RZ202" s="242">
        <f t="shared" si="1411"/>
        <v>0</v>
      </c>
      <c r="SA202" s="242">
        <f t="shared" si="1412"/>
        <v>0</v>
      </c>
      <c r="SB202" s="56"/>
      <c r="SE202" s="55">
        <f t="shared" si="1413"/>
        <v>46193</v>
      </c>
      <c r="SF202" s="56"/>
      <c r="SG202" s="242">
        <f>SUMPRODUCT(PRODUCE!$B207:$DY207,PRODUCE!$EB$62:$IY$62)</f>
        <v>0</v>
      </c>
      <c r="SH202" s="56"/>
      <c r="SI202" s="242">
        <f t="shared" si="1414"/>
        <v>0</v>
      </c>
      <c r="SJ202" s="242">
        <f t="shared" si="1415"/>
        <v>24.200000000000003</v>
      </c>
      <c r="SK202" s="56"/>
      <c r="SN202" s="55">
        <f t="shared" si="1416"/>
        <v>46193</v>
      </c>
      <c r="SO202" s="56"/>
      <c r="SP202" s="242">
        <f>SUMPRODUCT(PRODUCE!$B207:$DY207,PRODUCE!$EB$63:$IY$63)</f>
        <v>0</v>
      </c>
      <c r="SQ202" s="56"/>
      <c r="SR202" s="242">
        <f t="shared" si="1417"/>
        <v>0</v>
      </c>
      <c r="SS202" s="242">
        <f t="shared" si="1418"/>
        <v>32</v>
      </c>
      <c r="ST202" s="56"/>
      <c r="SW202" s="55">
        <f t="shared" si="1419"/>
        <v>46193</v>
      </c>
      <c r="SX202" s="56"/>
      <c r="SY202" s="242">
        <f>SUMPRODUCT(PRODUCE!$B207:$DY207,PRODUCE!$EB$64:$IY$64)</f>
        <v>0</v>
      </c>
      <c r="SZ202" s="56"/>
      <c r="TA202" s="242">
        <f t="shared" si="1420"/>
        <v>0</v>
      </c>
      <c r="TB202" s="242">
        <f t="shared" si="1421"/>
        <v>0</v>
      </c>
      <c r="TC202" s="56"/>
      <c r="TF202" s="55">
        <f t="shared" si="1422"/>
        <v>46193</v>
      </c>
      <c r="TG202" s="56"/>
      <c r="TH202" s="242">
        <f>SUMPRODUCT(PRODUCE!$B207:$DY207,PRODUCE!$EB$65:$IY$65)</f>
        <v>0</v>
      </c>
      <c r="TI202" s="56"/>
      <c r="TJ202" s="242">
        <f t="shared" si="1423"/>
        <v>0</v>
      </c>
      <c r="TK202" s="242">
        <f t="shared" si="1424"/>
        <v>0</v>
      </c>
      <c r="TL202" s="56"/>
      <c r="TO202" s="55">
        <f t="shared" si="1425"/>
        <v>46193</v>
      </c>
      <c r="TP202" s="56"/>
      <c r="TQ202" s="242">
        <f>SUMPRODUCT(PRODUCE!$B207:$DY207,PRODUCE!$EB$66:$IY$66)</f>
        <v>0</v>
      </c>
      <c r="TR202" s="56"/>
      <c r="TS202" s="242">
        <f t="shared" si="1426"/>
        <v>0</v>
      </c>
      <c r="TT202" s="242">
        <f t="shared" si="1427"/>
        <v>22.400000000000006</v>
      </c>
      <c r="TU202" s="56"/>
      <c r="TX202" s="55">
        <f t="shared" si="1428"/>
        <v>46193</v>
      </c>
      <c r="TY202" s="56"/>
      <c r="TZ202" s="242">
        <f>SUMPRODUCT(PRODUCE!$B207:$DY207,PRODUCE!$EB$67:$IY$67)</f>
        <v>0</v>
      </c>
      <c r="UA202" s="56"/>
      <c r="UB202" s="242">
        <f t="shared" si="1429"/>
        <v>0</v>
      </c>
      <c r="UC202" s="242">
        <f t="shared" si="1430"/>
        <v>46.799999999999983</v>
      </c>
      <c r="UD202" s="56"/>
      <c r="UG202" s="55">
        <f t="shared" si="1431"/>
        <v>46193</v>
      </c>
      <c r="UH202" s="56"/>
      <c r="UI202" s="242">
        <f>SUMPRODUCT(PRODUCE!$B207:$DY207,PRODUCE!$EB$68:$IY$68)</f>
        <v>0</v>
      </c>
      <c r="UJ202" s="56"/>
      <c r="UK202" s="242">
        <f t="shared" si="1432"/>
        <v>0</v>
      </c>
      <c r="UL202" s="242">
        <f t="shared" si="1433"/>
        <v>204</v>
      </c>
      <c r="UM202" s="56"/>
      <c r="UP202" s="55">
        <f t="shared" si="1434"/>
        <v>46193</v>
      </c>
      <c r="UQ202" s="56"/>
      <c r="UR202" s="242">
        <f>SUMPRODUCT(PRODUCE!$B207:$DY207,PRODUCE!$EB$69:$IY$69)</f>
        <v>0</v>
      </c>
      <c r="US202" s="56"/>
      <c r="UT202" s="242">
        <f t="shared" si="1435"/>
        <v>0</v>
      </c>
      <c r="UU202" s="242">
        <f t="shared" si="1436"/>
        <v>251.25</v>
      </c>
      <c r="UV202" s="56"/>
      <c r="UY202" s="55">
        <f t="shared" si="1437"/>
        <v>46193</v>
      </c>
      <c r="UZ202" s="56"/>
      <c r="VA202" s="242">
        <f>SUMPRODUCT(PRODUCE!$B207:$DY207,PRODUCE!$EB$70:$IY$70)</f>
        <v>0</v>
      </c>
      <c r="VB202" s="56"/>
      <c r="VC202" s="242">
        <f t="shared" si="1438"/>
        <v>0</v>
      </c>
      <c r="VD202" s="242">
        <f t="shared" si="1439"/>
        <v>41.600000000000023</v>
      </c>
      <c r="VE202" s="56"/>
      <c r="VH202" s="55">
        <f t="shared" si="1440"/>
        <v>46193</v>
      </c>
      <c r="VI202" s="56"/>
      <c r="VJ202" s="242">
        <f>SUMPRODUCT(PRODUCE!$B207:$DY207,PRODUCE!$EB$71:$IY$71)</f>
        <v>0</v>
      </c>
      <c r="VK202" s="56"/>
      <c r="VL202" s="242">
        <f t="shared" si="1441"/>
        <v>0</v>
      </c>
      <c r="VM202" s="242">
        <f t="shared" si="1442"/>
        <v>210</v>
      </c>
      <c r="VN202" s="56"/>
      <c r="VQ202" s="55">
        <f t="shared" si="1443"/>
        <v>46193</v>
      </c>
      <c r="VR202" s="56"/>
      <c r="VS202" s="242">
        <f>SUMPRODUCT(PRODUCE!$B207:$DY207,PRODUCE!$EB$57:$IY$57)</f>
        <v>0</v>
      </c>
      <c r="VT202" s="56"/>
      <c r="VU202" s="242">
        <f t="shared" si="1444"/>
        <v>0</v>
      </c>
      <c r="VV202" s="242">
        <f t="shared" si="1445"/>
        <v>0</v>
      </c>
      <c r="VW202" s="56"/>
      <c r="VZ202" s="55">
        <f t="shared" si="1446"/>
        <v>46193</v>
      </c>
      <c r="WA202" s="56"/>
      <c r="WB202" s="242">
        <f>SUMPRODUCT(PRODUCE!$B207:$DY207,PRODUCE!$EB$57:$IY$57)</f>
        <v>0</v>
      </c>
      <c r="WC202" s="56"/>
      <c r="WD202" s="242">
        <f t="shared" si="1447"/>
        <v>0</v>
      </c>
      <c r="WE202" s="242">
        <f t="shared" si="1448"/>
        <v>0</v>
      </c>
      <c r="WF202" s="56"/>
      <c r="WI202" s="55">
        <f t="shared" si="1449"/>
        <v>46193</v>
      </c>
      <c r="WJ202" s="422"/>
      <c r="WK202" s="540">
        <f>SUMPRODUCT(PRODUCE!$B207:$DY207,PRODUCE!$EB$74:$IY$74)</f>
        <v>0</v>
      </c>
      <c r="WL202" s="422"/>
      <c r="WM202" s="540">
        <f t="shared" si="1450"/>
        <v>0</v>
      </c>
      <c r="WN202" s="540">
        <f t="shared" si="1451"/>
        <v>1199</v>
      </c>
      <c r="WO202" s="56"/>
      <c r="WR202" s="55">
        <f t="shared" si="1452"/>
        <v>46193</v>
      </c>
      <c r="WS202" s="422"/>
      <c r="WT202" s="540">
        <f>SUMPRODUCT(PRODUCE!$B207:$DY207,PRODUCE!$EB$75:$IY$75)</f>
        <v>0</v>
      </c>
      <c r="WU202" s="422"/>
      <c r="WV202" s="540">
        <f t="shared" si="1453"/>
        <v>0</v>
      </c>
      <c r="WW202" s="540">
        <f t="shared" si="1454"/>
        <v>0</v>
      </c>
      <c r="WX202" s="56"/>
      <c r="XA202" s="55">
        <f t="shared" si="1455"/>
        <v>46193</v>
      </c>
      <c r="XB202" s="422"/>
      <c r="XC202" s="540">
        <f>SUMPRODUCT(PRODUCE!$B207:$DY207,PRODUCE!$EB$76:$IY$76)</f>
        <v>0</v>
      </c>
      <c r="XD202" s="422"/>
      <c r="XE202" s="540">
        <f t="shared" si="1456"/>
        <v>0</v>
      </c>
      <c r="XF202" s="540">
        <f t="shared" si="1457"/>
        <v>6813</v>
      </c>
      <c r="XG202" s="56"/>
      <c r="XJ202" s="55">
        <f t="shared" si="1458"/>
        <v>46193</v>
      </c>
      <c r="XK202" s="422"/>
      <c r="XL202" s="540">
        <f>SUMPRODUCT(PRODUCE!$B207:$DY207,PRODUCE!$EB$77:$IY$77)</f>
        <v>0</v>
      </c>
      <c r="XM202" s="422"/>
      <c r="XN202" s="540">
        <f t="shared" si="1459"/>
        <v>0</v>
      </c>
      <c r="XO202" s="540">
        <f t="shared" si="1460"/>
        <v>4689</v>
      </c>
      <c r="XP202" s="56"/>
      <c r="XS202" s="55">
        <f t="shared" si="1461"/>
        <v>46193</v>
      </c>
      <c r="XT202" s="56"/>
      <c r="XU202" s="242">
        <f>SUMPRODUCT(PRODUCE!$B207:$DY207,PRODUCE!$EB$78:$IY$78)</f>
        <v>0</v>
      </c>
      <c r="XV202" s="56"/>
      <c r="XW202" s="242">
        <f t="shared" si="1462"/>
        <v>0</v>
      </c>
      <c r="XX202" s="242">
        <f t="shared" si="1463"/>
        <v>1621</v>
      </c>
      <c r="XY202" s="56"/>
      <c r="YB202" s="55">
        <f t="shared" si="1464"/>
        <v>46193</v>
      </c>
      <c r="YC202" s="56"/>
      <c r="YD202" s="242">
        <f>SUMPRODUCT(PRODUCE!$B207:$DY207,PRODUCE!$EB$79:$IY$79)</f>
        <v>0</v>
      </c>
      <c r="YE202" s="56"/>
      <c r="YF202" s="242">
        <f t="shared" si="1465"/>
        <v>0</v>
      </c>
      <c r="YG202" s="242">
        <f t="shared" si="1466"/>
        <v>4072</v>
      </c>
      <c r="YH202" s="56"/>
      <c r="YK202" s="55">
        <f t="shared" si="1467"/>
        <v>46193</v>
      </c>
      <c r="YL202" s="56"/>
      <c r="YM202" s="242">
        <f>SUMPRODUCT(PRODUCE!$B207:$DY207,PRODUCE!$EB$80:$IY$80)</f>
        <v>0</v>
      </c>
      <c r="YN202" s="56"/>
      <c r="YO202" s="242">
        <f t="shared" si="1468"/>
        <v>0</v>
      </c>
      <c r="YP202" s="242">
        <f t="shared" si="1469"/>
        <v>0</v>
      </c>
      <c r="YQ202" s="56"/>
      <c r="YT202" s="55">
        <f t="shared" si="1470"/>
        <v>46193</v>
      </c>
      <c r="YU202" s="56"/>
      <c r="YV202" s="242">
        <f>SUMPRODUCT(PRODUCE!$B207:$DY207,PRODUCE!$EB$57:$IY$57)</f>
        <v>0</v>
      </c>
      <c r="YW202" s="56"/>
      <c r="YX202" s="242">
        <f t="shared" si="1471"/>
        <v>0</v>
      </c>
      <c r="YY202" s="242">
        <f t="shared" si="1472"/>
        <v>0</v>
      </c>
      <c r="YZ202" s="56"/>
      <c r="ZC202" s="55">
        <f t="shared" si="1473"/>
        <v>46193</v>
      </c>
      <c r="ZD202" s="56"/>
      <c r="ZE202" s="242">
        <f>SUMPRODUCT(PRODUCE!$B207:$DY207,PRODUCE!$EB$57:$IY$57)</f>
        <v>0</v>
      </c>
      <c r="ZF202" s="56"/>
      <c r="ZG202" s="242">
        <f t="shared" si="1474"/>
        <v>0</v>
      </c>
      <c r="ZH202" s="242">
        <f t="shared" si="1475"/>
        <v>0</v>
      </c>
      <c r="ZI202" s="56"/>
      <c r="ZL202" s="55">
        <f t="shared" si="1476"/>
        <v>46193</v>
      </c>
      <c r="ZM202" s="56"/>
      <c r="ZN202" s="242">
        <f>SUMPRODUCT(PRODUCE!$B207:$DY207,PRODUCE!$EB$57:$IY$57)</f>
        <v>0</v>
      </c>
      <c r="ZO202" s="56"/>
      <c r="ZP202" s="242">
        <f t="shared" si="1477"/>
        <v>0</v>
      </c>
      <c r="ZQ202" s="242">
        <f t="shared" si="1478"/>
        <v>0</v>
      </c>
      <c r="ZR202" s="56"/>
      <c r="ZU202" s="55">
        <f t="shared" si="1479"/>
        <v>46193</v>
      </c>
      <c r="ZV202" s="56"/>
      <c r="ZW202" s="242">
        <f>SUMPRODUCT(PRODUCE!$B207:$DY207,PRODUCE!$EB$57:$IY$57)</f>
        <v>0</v>
      </c>
      <c r="ZX202" s="56"/>
      <c r="ZY202" s="242">
        <f t="shared" si="1480"/>
        <v>0</v>
      </c>
      <c r="ZZ202" s="242">
        <f t="shared" si="1481"/>
        <v>0</v>
      </c>
      <c r="AAA202" s="56"/>
      <c r="AAD202" s="55">
        <f t="shared" si="1482"/>
        <v>46193</v>
      </c>
      <c r="AAE202" s="56"/>
      <c r="AAF202" s="242">
        <f>SUMPRODUCT(PRODUCE!$B207:$DY207,PRODUCE!$EB$57:$IY$57)</f>
        <v>0</v>
      </c>
      <c r="AAG202" s="56"/>
      <c r="AAH202" s="242">
        <f t="shared" si="1483"/>
        <v>0</v>
      </c>
      <c r="AAI202" s="242">
        <f t="shared" si="1484"/>
        <v>0</v>
      </c>
      <c r="AAJ202" s="56"/>
      <c r="AAM202" s="55">
        <f t="shared" si="1485"/>
        <v>46193</v>
      </c>
      <c r="AAN202" s="56"/>
      <c r="AAO202" s="242">
        <f>SUMPRODUCT(PRODUCE!$B207:$DY207,PRODUCE!$EB$57:$IY$57)</f>
        <v>0</v>
      </c>
      <c r="AAP202" s="56"/>
      <c r="AAQ202" s="242">
        <f t="shared" si="1486"/>
        <v>0</v>
      </c>
      <c r="AAR202" s="242">
        <f t="shared" si="1487"/>
        <v>0</v>
      </c>
      <c r="AAS202" s="56"/>
      <c r="AAV202" s="55">
        <f t="shared" si="1488"/>
        <v>46193</v>
      </c>
      <c r="AAW202" s="56"/>
      <c r="AAX202" s="242">
        <f>SUMPRODUCT(PRODUCE!$B207:$DY207,PRODUCE!$EB$57:$IY$57)</f>
        <v>0</v>
      </c>
      <c r="AAY202" s="56"/>
      <c r="AAZ202" s="242">
        <f t="shared" si="1489"/>
        <v>0</v>
      </c>
      <c r="ABA202" s="242">
        <f t="shared" si="1490"/>
        <v>0</v>
      </c>
      <c r="ABB202" s="56"/>
      <c r="ABE202" s="55">
        <f t="shared" si="1491"/>
        <v>46193</v>
      </c>
      <c r="ABF202" s="56"/>
      <c r="ABG202" s="242">
        <f>SUMPRODUCT(PRODUCE!$B207:$DY207,PRODUCE!$EB$57:$IY$57)</f>
        <v>0</v>
      </c>
      <c r="ABH202" s="56"/>
      <c r="ABI202" s="242">
        <f t="shared" si="1492"/>
        <v>0</v>
      </c>
      <c r="ABJ202" s="242">
        <f t="shared" si="1493"/>
        <v>0</v>
      </c>
      <c r="ABK202" s="56"/>
    </row>
    <row r="203" spans="2:739" s="54" customFormat="1" ht="15" customHeight="1" outlineLevel="1">
      <c r="B203" s="478"/>
      <c r="C203" s="55">
        <v>46194</v>
      </c>
      <c r="D203" s="422"/>
      <c r="E203" s="423">
        <f>SUMPRODUCT(PRODUCE!$B208:$DY208,PRODUCE!$EB$7:$IY$7)</f>
        <v>0</v>
      </c>
      <c r="F203" s="422"/>
      <c r="G203" s="423">
        <f t="shared" si="1249"/>
        <v>0</v>
      </c>
      <c r="H203" s="423">
        <f t="shared" si="1250"/>
        <v>36681.000000000058</v>
      </c>
      <c r="I203" s="289"/>
      <c r="L203" s="55">
        <f t="shared" si="1251"/>
        <v>46194</v>
      </c>
      <c r="M203" s="422"/>
      <c r="N203" s="438">
        <f>SUMPRODUCT(PRODUCE!$B208:$DY208,PRODUCE!$EB$8:$IY$8)</f>
        <v>0</v>
      </c>
      <c r="O203" s="422"/>
      <c r="P203" s="438">
        <f t="shared" si="1252"/>
        <v>0</v>
      </c>
      <c r="Q203" s="438">
        <f t="shared" si="1253"/>
        <v>68803.600000000079</v>
      </c>
      <c r="R203" s="56"/>
      <c r="U203" s="55">
        <f t="shared" si="1254"/>
        <v>46194</v>
      </c>
      <c r="V203" s="422"/>
      <c r="W203" s="440">
        <f>SUMPRODUCT(PRODUCE!$B208:$DY208,PRODUCE!$EB$9:$IY$9)</f>
        <v>0</v>
      </c>
      <c r="X203" s="422"/>
      <c r="Y203" s="440">
        <f t="shared" si="1255"/>
        <v>0</v>
      </c>
      <c r="Z203" s="440">
        <f t="shared" si="1256"/>
        <v>33087.699999999975</v>
      </c>
      <c r="AA203" s="56"/>
      <c r="AD203" s="55">
        <f t="shared" si="1257"/>
        <v>46194</v>
      </c>
      <c r="AE203" s="422"/>
      <c r="AF203" s="442">
        <f>SUMPRODUCT(PRODUCE!$B208:$DY208,PRODUCE!$EB$10:$IY$10)</f>
        <v>0</v>
      </c>
      <c r="AG203" s="422"/>
      <c r="AH203" s="442">
        <f t="shared" si="1258"/>
        <v>0</v>
      </c>
      <c r="AI203" s="442">
        <f t="shared" si="1259"/>
        <v>33372.700000000019</v>
      </c>
      <c r="AJ203" s="56"/>
      <c r="AM203" s="55">
        <f t="shared" si="1260"/>
        <v>46194</v>
      </c>
      <c r="AN203" s="422"/>
      <c r="AO203" s="444">
        <f>SUMPRODUCT(PRODUCE!$B208:$DY208,PRODUCE!$EB$11:$IY$11)</f>
        <v>0</v>
      </c>
      <c r="AP203" s="422"/>
      <c r="AQ203" s="444">
        <f t="shared" si="1261"/>
        <v>0</v>
      </c>
      <c r="AR203" s="444">
        <f t="shared" si="1262"/>
        <v>0</v>
      </c>
      <c r="AS203" s="56"/>
      <c r="AV203" s="55">
        <f t="shared" si="1263"/>
        <v>46194</v>
      </c>
      <c r="AW203" s="422"/>
      <c r="AX203" s="446">
        <f>SUMPRODUCT(PRODUCE!$B208:$DY208,PRODUCE!$EB$12:$IY$12)</f>
        <v>0</v>
      </c>
      <c r="AY203" s="422"/>
      <c r="AZ203" s="446">
        <f t="shared" si="1264"/>
        <v>0</v>
      </c>
      <c r="BA203" s="446">
        <f t="shared" si="1265"/>
        <v>14066.499999999996</v>
      </c>
      <c r="BB203" s="56"/>
      <c r="BE203" s="55">
        <f t="shared" si="1266"/>
        <v>46194</v>
      </c>
      <c r="BF203" s="422"/>
      <c r="BG203" s="448">
        <f>SUMPRODUCT(PRODUCE!$B208:$DY208,PRODUCE!$EB$13:$IY$13)</f>
        <v>0</v>
      </c>
      <c r="BH203" s="422"/>
      <c r="BI203" s="448">
        <f t="shared" si="1267"/>
        <v>0</v>
      </c>
      <c r="BJ203" s="448">
        <f t="shared" si="1268"/>
        <v>39235.399999999994</v>
      </c>
      <c r="BK203" s="56"/>
      <c r="BN203" s="55">
        <f t="shared" si="1269"/>
        <v>46194</v>
      </c>
      <c r="BO203" s="422"/>
      <c r="BP203" s="450">
        <f>SUMPRODUCT(PRODUCE!$B208:$DY208,PRODUCE!$EB$14:$IY$14)</f>
        <v>0</v>
      </c>
      <c r="BQ203" s="422"/>
      <c r="BR203" s="450">
        <f t="shared" si="1270"/>
        <v>0</v>
      </c>
      <c r="BS203" s="450">
        <f t="shared" si="1271"/>
        <v>0</v>
      </c>
      <c r="BT203" s="56"/>
      <c r="BW203" s="55">
        <f t="shared" si="1272"/>
        <v>46194</v>
      </c>
      <c r="BX203" s="422"/>
      <c r="BY203" s="523">
        <f>SUMPRODUCT(PRODUCE!$B208:$DY208,PRODUCE!$EB$15:$IY$15)</f>
        <v>0</v>
      </c>
      <c r="BZ203" s="422"/>
      <c r="CA203" s="523">
        <f t="shared" si="1273"/>
        <v>0</v>
      </c>
      <c r="CB203" s="523">
        <f t="shared" si="1274"/>
        <v>3188.329999999999</v>
      </c>
      <c r="CC203" s="56"/>
      <c r="CF203" s="55">
        <f t="shared" si="1275"/>
        <v>46194</v>
      </c>
      <c r="CG203" s="422"/>
      <c r="CH203" s="524">
        <f>SUMPRODUCT(PRODUCE!$B208:$DY208,PRODUCE!$EB$16:$IY$16)</f>
        <v>0</v>
      </c>
      <c r="CI203" s="422"/>
      <c r="CJ203" s="524">
        <f t="shared" si="1276"/>
        <v>0</v>
      </c>
      <c r="CK203" s="524">
        <f t="shared" si="1277"/>
        <v>0</v>
      </c>
      <c r="CL203" s="56"/>
      <c r="CO203" s="55">
        <f t="shared" si="1278"/>
        <v>46194</v>
      </c>
      <c r="CP203" s="422"/>
      <c r="CQ203" s="470">
        <f>SUMPRODUCT(PRODUCE!$B208:$DY208,PRODUCE!$EB$17:$IY$17)</f>
        <v>0</v>
      </c>
      <c r="CR203" s="422"/>
      <c r="CS203" s="470">
        <f t="shared" si="1279"/>
        <v>0</v>
      </c>
      <c r="CT203" s="470">
        <f t="shared" si="1280"/>
        <v>0</v>
      </c>
      <c r="CU203" s="56"/>
      <c r="CX203" s="55">
        <f t="shared" si="1281"/>
        <v>46194</v>
      </c>
      <c r="CY203" s="422"/>
      <c r="CZ203" s="525">
        <f>SUMPRODUCT(PRODUCE!$B208:$DY208,PRODUCE!$EB$18:$IY$18)</f>
        <v>0</v>
      </c>
      <c r="DA203" s="422"/>
      <c r="DB203" s="525">
        <f t="shared" si="1282"/>
        <v>0</v>
      </c>
      <c r="DC203" s="525">
        <f t="shared" si="1283"/>
        <v>14823.000000000007</v>
      </c>
      <c r="DD203" s="56"/>
      <c r="DG203" s="55">
        <f t="shared" si="1284"/>
        <v>46194</v>
      </c>
      <c r="DH203" s="422"/>
      <c r="DI203" s="526">
        <f>SUMPRODUCT(PRODUCE!$B208:$DY208,PRODUCE!$EB$19:$IY$19)</f>
        <v>0</v>
      </c>
      <c r="DJ203" s="422"/>
      <c r="DK203" s="526">
        <f t="shared" si="1285"/>
        <v>0</v>
      </c>
      <c r="DL203" s="526">
        <f t="shared" si="1286"/>
        <v>35234.999999999985</v>
      </c>
      <c r="DM203" s="56"/>
      <c r="DP203" s="55">
        <f t="shared" si="1287"/>
        <v>46194</v>
      </c>
      <c r="DQ203" s="56"/>
      <c r="DR203" s="57">
        <f>SUMPRODUCT(PRODUCE!$B208:$DY208,PRODUCE!$EB$20:$IY$20)</f>
        <v>0</v>
      </c>
      <c r="DS203" s="56"/>
      <c r="DT203" s="57">
        <f t="shared" si="1288"/>
        <v>0</v>
      </c>
      <c r="DU203" s="57">
        <f t="shared" si="1289"/>
        <v>5800</v>
      </c>
      <c r="DV203" s="56"/>
      <c r="DY203" s="55">
        <f t="shared" si="1290"/>
        <v>46194</v>
      </c>
      <c r="DZ203" s="56"/>
      <c r="EA203" s="157">
        <f>SUMPRODUCT(PRODUCE!$B208:$DY208,PRODUCE!$EB$21:$IY$21)</f>
        <v>0</v>
      </c>
      <c r="EB203" s="56"/>
      <c r="EC203" s="157">
        <f t="shared" si="1291"/>
        <v>0</v>
      </c>
      <c r="ED203" s="157">
        <f t="shared" si="1292"/>
        <v>0</v>
      </c>
      <c r="EE203" s="56"/>
      <c r="EH203" s="55">
        <f t="shared" si="1293"/>
        <v>46194</v>
      </c>
      <c r="EI203" s="56"/>
      <c r="EJ203" s="162">
        <f>SUMPRODUCT(PRODUCE!$B208:$DY208,PRODUCE!$EB$22:$IY$22)</f>
        <v>0</v>
      </c>
      <c r="EK203" s="56"/>
      <c r="EL203" s="162">
        <f t="shared" si="1294"/>
        <v>0</v>
      </c>
      <c r="EM203" s="162">
        <f t="shared" si="1295"/>
        <v>0</v>
      </c>
      <c r="EN203" s="56"/>
      <c r="EQ203" s="55">
        <f t="shared" si="1296"/>
        <v>46194</v>
      </c>
      <c r="ER203" s="56"/>
      <c r="ES203" s="135">
        <f>SUMPRODUCT(PRODUCE!$B208:$DY208,PRODUCE!$EB$23:$IY$23)</f>
        <v>0</v>
      </c>
      <c r="ET203" s="56"/>
      <c r="EU203" s="135">
        <f t="shared" si="1297"/>
        <v>0</v>
      </c>
      <c r="EV203" s="135">
        <f t="shared" si="1298"/>
        <v>0</v>
      </c>
      <c r="EW203" s="56"/>
      <c r="EZ203" s="55">
        <f t="shared" si="1299"/>
        <v>46194</v>
      </c>
      <c r="FA203" s="56"/>
      <c r="FB203" s="175">
        <f>SUMPRODUCT(PRODUCE!$B208:$DY208,PRODUCE!$EB$24:$IY$24)</f>
        <v>0</v>
      </c>
      <c r="FC203" s="56"/>
      <c r="FD203" s="175">
        <f t="shared" si="1300"/>
        <v>0</v>
      </c>
      <c r="FE203" s="175">
        <f t="shared" si="1301"/>
        <v>0</v>
      </c>
      <c r="FF203" s="56"/>
      <c r="FI203" s="55">
        <f t="shared" si="1302"/>
        <v>46194</v>
      </c>
      <c r="FJ203" s="56"/>
      <c r="FK203" s="183">
        <f>SUMPRODUCT(PRODUCE!$B208:$DY208,PRODUCE!$EB$25:$IY$25)</f>
        <v>0</v>
      </c>
      <c r="FL203" s="56"/>
      <c r="FM203" s="183">
        <f t="shared" si="1303"/>
        <v>0</v>
      </c>
      <c r="FN203" s="183">
        <f t="shared" si="1304"/>
        <v>0</v>
      </c>
      <c r="FO203" s="56"/>
      <c r="FR203" s="55">
        <f t="shared" si="1305"/>
        <v>46194</v>
      </c>
      <c r="FS203" s="56"/>
      <c r="FT203" s="186">
        <f>SUMPRODUCT(PRODUCE!$B208:$DY208,PRODUCE!$EB$26:$IY$26)</f>
        <v>0</v>
      </c>
      <c r="FU203" s="56"/>
      <c r="FV203" s="186">
        <f t="shared" si="1306"/>
        <v>0</v>
      </c>
      <c r="FW203" s="186">
        <f t="shared" si="1307"/>
        <v>1160</v>
      </c>
      <c r="FX203" s="56"/>
      <c r="GA203" s="55">
        <f t="shared" si="1308"/>
        <v>46194</v>
      </c>
      <c r="GB203" s="56"/>
      <c r="GC203" s="137">
        <f>SUMPRODUCT(PRODUCE!$B208:$DY208,PRODUCE!$EB$27:$IY$27)</f>
        <v>0</v>
      </c>
      <c r="GD203" s="56"/>
      <c r="GE203" s="137">
        <f t="shared" si="1309"/>
        <v>0</v>
      </c>
      <c r="GF203" s="137">
        <f t="shared" si="1310"/>
        <v>960</v>
      </c>
      <c r="GG203" s="56"/>
      <c r="GI203" s="23"/>
      <c r="GJ203" s="55">
        <f t="shared" si="1311"/>
        <v>46194</v>
      </c>
      <c r="GK203" s="56"/>
      <c r="GL203" s="199">
        <f>SUMPRODUCT(PRODUCE!$B208:$DY208,PRODUCE!$EB$28:$IY$28)</f>
        <v>0</v>
      </c>
      <c r="GM203" s="56"/>
      <c r="GN203" s="199">
        <f t="shared" si="1312"/>
        <v>0</v>
      </c>
      <c r="GO203" s="199">
        <f t="shared" si="1313"/>
        <v>1760</v>
      </c>
      <c r="GP203" s="56"/>
      <c r="GS203" s="55">
        <f t="shared" si="1314"/>
        <v>46194</v>
      </c>
      <c r="GT203" s="56"/>
      <c r="GU203" s="195">
        <f>SUMPRODUCT(PRODUCE!$B208:$DY208,PRODUCE!$EB$29:$IY$29)</f>
        <v>0</v>
      </c>
      <c r="GV203" s="56"/>
      <c r="GW203" s="195">
        <f t="shared" si="1315"/>
        <v>0</v>
      </c>
      <c r="GX203" s="195">
        <f t="shared" si="1316"/>
        <v>400</v>
      </c>
      <c r="GY203" s="56"/>
      <c r="HB203" s="55">
        <f t="shared" si="1317"/>
        <v>46194</v>
      </c>
      <c r="HC203" s="56"/>
      <c r="HD203" s="191">
        <f>SUMPRODUCT(PRODUCE!$B208:$DY208,PRODUCE!$EB$30:$IY$30)</f>
        <v>0</v>
      </c>
      <c r="HE203" s="56"/>
      <c r="HF203" s="191">
        <f t="shared" si="1318"/>
        <v>0</v>
      </c>
      <c r="HG203" s="191">
        <f t="shared" si="1319"/>
        <v>3600</v>
      </c>
      <c r="HH203" s="56"/>
      <c r="HK203" s="55">
        <f t="shared" si="1320"/>
        <v>46194</v>
      </c>
      <c r="HL203" s="56"/>
      <c r="HM203" s="63">
        <f>SUMPRODUCT(PRODUCE!$B208:$DY208,PRODUCE!$EB$31:$IY$31)</f>
        <v>0</v>
      </c>
      <c r="HN203" s="56"/>
      <c r="HO203" s="63">
        <f t="shared" si="1321"/>
        <v>0</v>
      </c>
      <c r="HP203" s="63">
        <f t="shared" si="1322"/>
        <v>0</v>
      </c>
      <c r="HQ203" s="56"/>
      <c r="HU203" s="55">
        <f t="shared" si="1323"/>
        <v>46194</v>
      </c>
      <c r="HV203" s="56"/>
      <c r="HW203" s="242">
        <f>SUMPRODUCT(PRODUCE!$B208:$DY208,PRODUCE!$EB$32:$IY$32)</f>
        <v>0</v>
      </c>
      <c r="HX203" s="56"/>
      <c r="HY203" s="242">
        <f t="shared" si="1324"/>
        <v>0</v>
      </c>
      <c r="HZ203" s="242">
        <f t="shared" si="1325"/>
        <v>6800</v>
      </c>
      <c r="IA203" s="56"/>
      <c r="ID203" s="55">
        <f t="shared" si="1326"/>
        <v>46194</v>
      </c>
      <c r="IE203" s="56"/>
      <c r="IF203" s="242">
        <f>SUMPRODUCT(PRODUCE!$B208:$DY208,PRODUCE!$EB$33:$IY$33)</f>
        <v>0</v>
      </c>
      <c r="IG203" s="56"/>
      <c r="IH203" s="242">
        <f t="shared" si="1327"/>
        <v>0</v>
      </c>
      <c r="II203" s="242">
        <f t="shared" si="1328"/>
        <v>720</v>
      </c>
      <c r="IJ203" s="56"/>
      <c r="IM203" s="55">
        <f t="shared" si="1329"/>
        <v>46194</v>
      </c>
      <c r="IN203" s="56"/>
      <c r="IO203" s="242">
        <f>SUMPRODUCT(PRODUCE!$B208:$DY208,PRODUCE!$EB$34:$IY$34)</f>
        <v>0</v>
      </c>
      <c r="IP203" s="56"/>
      <c r="IQ203" s="242">
        <f t="shared" si="1330"/>
        <v>0</v>
      </c>
      <c r="IR203" s="242">
        <f t="shared" si="1331"/>
        <v>6520</v>
      </c>
      <c r="IS203" s="56"/>
      <c r="IV203" s="55">
        <f t="shared" si="1332"/>
        <v>46194</v>
      </c>
      <c r="IW203" s="56"/>
      <c r="IX203" s="242">
        <f>SUMPRODUCT(PRODUCE!$B208:$DY208,PRODUCE!$EB$35:$IY$35)</f>
        <v>0</v>
      </c>
      <c r="IY203" s="56"/>
      <c r="IZ203" s="242">
        <f t="shared" si="1333"/>
        <v>0</v>
      </c>
      <c r="JA203" s="242">
        <f t="shared" si="1334"/>
        <v>4960</v>
      </c>
      <c r="JB203" s="56"/>
      <c r="JE203" s="55">
        <f t="shared" si="1335"/>
        <v>46194</v>
      </c>
      <c r="JF203" s="56"/>
      <c r="JG203" s="242">
        <f>SUMPRODUCT(PRODUCE!$B208:$DY208,PRODUCE!$EB$36:$IY$36)</f>
        <v>0</v>
      </c>
      <c r="JH203" s="56"/>
      <c r="JI203" s="242">
        <f t="shared" si="1336"/>
        <v>0</v>
      </c>
      <c r="JJ203" s="242">
        <f t="shared" si="1337"/>
        <v>0</v>
      </c>
      <c r="JK203" s="56"/>
      <c r="JN203" s="55">
        <f t="shared" si="1338"/>
        <v>46194</v>
      </c>
      <c r="JO203" s="56"/>
      <c r="JP203" s="242">
        <f>SUMPRODUCT(PRODUCE!$B208:$DY208,PRODUCE!$EB$37:$IY$37)</f>
        <v>0</v>
      </c>
      <c r="JQ203" s="56"/>
      <c r="JR203" s="242">
        <f t="shared" si="1339"/>
        <v>0</v>
      </c>
      <c r="JS203" s="242">
        <f t="shared" si="1340"/>
        <v>0</v>
      </c>
      <c r="JT203" s="56"/>
      <c r="JW203" s="55">
        <f t="shared" si="1341"/>
        <v>46194</v>
      </c>
      <c r="JX203" s="56"/>
      <c r="JY203" s="242">
        <f>SUMPRODUCT(PRODUCE!$B208:$DY208,PRODUCE!$EB$38:$IY$38)</f>
        <v>0</v>
      </c>
      <c r="JZ203" s="56"/>
      <c r="KA203" s="242">
        <f t="shared" si="1342"/>
        <v>0</v>
      </c>
      <c r="KB203" s="242">
        <f t="shared" si="1343"/>
        <v>2540</v>
      </c>
      <c r="KC203" s="56"/>
      <c r="KF203" s="55">
        <f t="shared" si="1344"/>
        <v>46194</v>
      </c>
      <c r="KG203" s="56"/>
      <c r="KH203" s="242">
        <f>SUMPRODUCT(PRODUCE!$B208:$DY208,PRODUCE!$EB$39:$IY$39)</f>
        <v>0</v>
      </c>
      <c r="KI203" s="56"/>
      <c r="KJ203" s="242">
        <f t="shared" si="1345"/>
        <v>0</v>
      </c>
      <c r="KK203" s="242">
        <f t="shared" si="1346"/>
        <v>2359.5</v>
      </c>
      <c r="KL203" s="56"/>
      <c r="KO203" s="55">
        <f t="shared" si="1347"/>
        <v>46194</v>
      </c>
      <c r="KP203" s="56"/>
      <c r="KQ203" s="242">
        <f>SUMPRODUCT(PRODUCE!$B208:$DY208,PRODUCE!$EB$40:$IY$40)</f>
        <v>0</v>
      </c>
      <c r="KR203" s="56"/>
      <c r="KS203" s="242">
        <f t="shared" si="1348"/>
        <v>0</v>
      </c>
      <c r="KT203" s="242">
        <f t="shared" si="1349"/>
        <v>1890</v>
      </c>
      <c r="KU203" s="56"/>
      <c r="KW203" s="23"/>
      <c r="KX203" s="55">
        <f t="shared" si="1350"/>
        <v>46194</v>
      </c>
      <c r="KY203" s="56"/>
      <c r="KZ203" s="242">
        <f>SUMPRODUCT(PRODUCE!$B208:$DY208,PRODUCE!$EB$41:$IY$41)</f>
        <v>0</v>
      </c>
      <c r="LA203" s="56"/>
      <c r="LB203" s="242">
        <f t="shared" si="1351"/>
        <v>0</v>
      </c>
      <c r="LC203" s="242">
        <f t="shared" si="1352"/>
        <v>3690</v>
      </c>
      <c r="LD203" s="56"/>
      <c r="LG203" s="55">
        <f t="shared" si="1353"/>
        <v>46194</v>
      </c>
      <c r="LH203" s="56"/>
      <c r="LI203" s="242">
        <f>SUMPRODUCT(PRODUCE!$B208:$DY208,PRODUCE!$EB$42:$IY$42)</f>
        <v>0</v>
      </c>
      <c r="LJ203" s="56"/>
      <c r="LK203" s="242">
        <f t="shared" si="1354"/>
        <v>0</v>
      </c>
      <c r="LL203" s="242">
        <f t="shared" si="1355"/>
        <v>4000</v>
      </c>
      <c r="LM203"/>
      <c r="LP203" s="55">
        <f t="shared" si="1356"/>
        <v>46194</v>
      </c>
      <c r="LQ203" s="56"/>
      <c r="LR203" s="242">
        <f>SUMPRODUCT(PRODUCE!$B208:$DY208,PRODUCE!$EB$43:$IY$43)</f>
        <v>0</v>
      </c>
      <c r="LS203" s="56"/>
      <c r="LT203" s="242">
        <f t="shared" si="1357"/>
        <v>0</v>
      </c>
      <c r="LU203" s="242">
        <f t="shared" si="1358"/>
        <v>0</v>
      </c>
      <c r="LV203" s="56"/>
      <c r="LY203" s="55">
        <f t="shared" si="1359"/>
        <v>46194</v>
      </c>
      <c r="LZ203" s="56"/>
      <c r="MA203" s="242">
        <f>SUMPRODUCT(PRODUCE!$B208:$DY208,PRODUCE!$EB$44:$IY$44)</f>
        <v>0</v>
      </c>
      <c r="MB203" s="56"/>
      <c r="MC203" s="242">
        <f t="shared" si="1360"/>
        <v>0</v>
      </c>
      <c r="MD203" s="242">
        <f t="shared" si="1361"/>
        <v>0</v>
      </c>
      <c r="ME203" s="56"/>
      <c r="MH203" s="55">
        <f t="shared" si="1362"/>
        <v>46194</v>
      </c>
      <c r="MI203" s="56"/>
      <c r="MJ203" s="242">
        <f>SUMPRODUCT(PRODUCE!$B208:$DY208,PRODUCE!$EB$45:$IY$45)</f>
        <v>0</v>
      </c>
      <c r="MK203" s="56"/>
      <c r="ML203" s="242">
        <f t="shared" si="1363"/>
        <v>0</v>
      </c>
      <c r="MM203" s="242">
        <f t="shared" si="1364"/>
        <v>0</v>
      </c>
      <c r="MN203" s="56"/>
      <c r="MQ203" s="55">
        <f t="shared" si="1365"/>
        <v>46194</v>
      </c>
      <c r="MR203" s="56"/>
      <c r="MS203" s="242">
        <f>SUMPRODUCT(PRODUCE!$B208:$DY208,PRODUCE!$EB$46:$IY$46)</f>
        <v>0</v>
      </c>
      <c r="MT203" s="56"/>
      <c r="MU203" s="242">
        <f t="shared" si="1366"/>
        <v>0</v>
      </c>
      <c r="MV203" s="242">
        <f t="shared" si="1367"/>
        <v>3724</v>
      </c>
      <c r="MW203" s="56"/>
      <c r="MZ203" s="55">
        <f t="shared" si="1368"/>
        <v>46194</v>
      </c>
      <c r="NA203" s="56"/>
      <c r="NB203" s="242">
        <f>SUMPRODUCT(PRODUCE!$B208:$DY208,PRODUCE!$EB$47:$IY$47)</f>
        <v>0</v>
      </c>
      <c r="NC203" s="56"/>
      <c r="ND203" s="242">
        <f t="shared" si="1369"/>
        <v>0</v>
      </c>
      <c r="NE203" s="242">
        <f t="shared" si="1370"/>
        <v>0</v>
      </c>
      <c r="NF203" s="56"/>
      <c r="NI203" s="55">
        <f t="shared" si="1371"/>
        <v>46194</v>
      </c>
      <c r="NJ203" s="56"/>
      <c r="NK203" s="242">
        <f>SUMPRODUCT(PRODUCE!$B208:$DY208,PRODUCE!$EB$48:$IY$48)</f>
        <v>0</v>
      </c>
      <c r="NL203" s="56"/>
      <c r="NM203" s="242">
        <f t="shared" si="1372"/>
        <v>0</v>
      </c>
      <c r="NN203" s="242">
        <f t="shared" si="1373"/>
        <v>1127</v>
      </c>
      <c r="NO203" s="56"/>
      <c r="NR203" s="55">
        <f t="shared" si="1374"/>
        <v>46194</v>
      </c>
      <c r="NS203" s="56"/>
      <c r="NT203" s="242">
        <f>SUMPRODUCT(PRODUCE!$B208:$DY208,PRODUCE!$EB$49:$IY$49)</f>
        <v>0</v>
      </c>
      <c r="NU203" s="56"/>
      <c r="NV203" s="242">
        <f t="shared" si="1375"/>
        <v>0</v>
      </c>
      <c r="NW203" s="242">
        <f t="shared" si="1376"/>
        <v>3111.9999999999995</v>
      </c>
      <c r="NX203" s="56"/>
      <c r="OA203" s="55">
        <f t="shared" si="1377"/>
        <v>46194</v>
      </c>
      <c r="OB203" s="56"/>
      <c r="OC203" s="242">
        <f>SUMPRODUCT(PRODUCE!$B208:$DY208,PRODUCE!$EB$50:$IY$50)</f>
        <v>0</v>
      </c>
      <c r="OD203" s="56"/>
      <c r="OE203" s="242">
        <f t="shared" si="1378"/>
        <v>0</v>
      </c>
      <c r="OF203" s="242">
        <f t="shared" si="1379"/>
        <v>1680.5</v>
      </c>
      <c r="OG203" s="56"/>
      <c r="OJ203" s="55">
        <f t="shared" si="1380"/>
        <v>46194</v>
      </c>
      <c r="OK203" s="56"/>
      <c r="OL203" s="242">
        <f>SUMPRODUCT(PRODUCE!$B208:$DY208,PRODUCE!$EB$51:$IY$51)</f>
        <v>0</v>
      </c>
      <c r="OM203" s="56"/>
      <c r="ON203" s="242">
        <f t="shared" si="1381"/>
        <v>0</v>
      </c>
      <c r="OO203" s="242">
        <f t="shared" si="1382"/>
        <v>0</v>
      </c>
      <c r="OP203" s="56"/>
      <c r="OS203" s="55">
        <f t="shared" si="1383"/>
        <v>46194</v>
      </c>
      <c r="OT203" s="56"/>
      <c r="OU203" s="242">
        <f>SUMPRODUCT(PRODUCE!$B208:$DY208,PRODUCE!$EB$52:$IY$52)</f>
        <v>0</v>
      </c>
      <c r="OV203" s="56"/>
      <c r="OW203" s="242">
        <f t="shared" si="1384"/>
        <v>0</v>
      </c>
      <c r="OX203" s="242">
        <f t="shared" si="1385"/>
        <v>1482</v>
      </c>
      <c r="OY203" s="56"/>
      <c r="PB203" s="55">
        <f t="shared" si="1386"/>
        <v>46194</v>
      </c>
      <c r="PC203" s="56"/>
      <c r="PD203" s="242">
        <f>SUMPRODUCT(PRODUCE!$B208:$DY208,PRODUCE!$EB$53:$IY$53)</f>
        <v>0</v>
      </c>
      <c r="PE203" s="56"/>
      <c r="PF203" s="242">
        <f t="shared" si="1387"/>
        <v>0</v>
      </c>
      <c r="PG203" s="242">
        <f t="shared" si="1388"/>
        <v>0</v>
      </c>
      <c r="PH203" s="56"/>
      <c r="PK203" s="55">
        <f t="shared" si="1389"/>
        <v>46194</v>
      </c>
      <c r="PL203" s="56"/>
      <c r="PM203" s="242">
        <f>SUMPRODUCT(PRODUCE!$B208:$DY208,PRODUCE!$EB$54:$IY$54)</f>
        <v>0</v>
      </c>
      <c r="PN203" s="56"/>
      <c r="PO203" s="242">
        <f t="shared" si="1494"/>
        <v>0</v>
      </c>
      <c r="PP203" s="242">
        <f t="shared" si="1495"/>
        <v>100</v>
      </c>
      <c r="PQ203" s="56"/>
      <c r="PT203" s="55">
        <f t="shared" si="1392"/>
        <v>46194</v>
      </c>
      <c r="PU203" s="56"/>
      <c r="PV203" s="242">
        <f>SUMPRODUCT(PRODUCE!$B208:$DY208,PRODUCE!$EB$55:$IY$55)</f>
        <v>0</v>
      </c>
      <c r="PW203" s="56"/>
      <c r="PX203" s="242">
        <f t="shared" si="1393"/>
        <v>0</v>
      </c>
      <c r="PY203" s="242">
        <f t="shared" si="1394"/>
        <v>13.960000000000036</v>
      </c>
      <c r="PZ203" s="56"/>
      <c r="QC203" s="55">
        <f t="shared" si="1395"/>
        <v>46194</v>
      </c>
      <c r="QD203" s="56"/>
      <c r="QE203" s="242">
        <f>SUMPRODUCT(PRODUCE!$B208:$DY208,PRODUCE!$EB$56:$IY$56)</f>
        <v>0</v>
      </c>
      <c r="QF203" s="56"/>
      <c r="QG203" s="242">
        <f t="shared" si="1396"/>
        <v>0</v>
      </c>
      <c r="QH203" s="242">
        <f t="shared" si="1397"/>
        <v>1736</v>
      </c>
      <c r="QI203" s="56"/>
      <c r="QL203" s="55">
        <f t="shared" si="1398"/>
        <v>46194</v>
      </c>
      <c r="QM203" s="56"/>
      <c r="QN203" s="242">
        <f>SUMPRODUCT(PRODUCE!$B208:$DY208,PRODUCE!$EB$57:$IY$57)</f>
        <v>0</v>
      </c>
      <c r="QO203" s="56"/>
      <c r="QP203" s="242">
        <f t="shared" si="1399"/>
        <v>0</v>
      </c>
      <c r="QQ203" s="242">
        <f t="shared" si="1400"/>
        <v>250</v>
      </c>
      <c r="QR203" s="56"/>
      <c r="QU203" s="55">
        <f t="shared" si="1401"/>
        <v>46194</v>
      </c>
      <c r="QV203" s="56"/>
      <c r="QW203" s="242">
        <f>SUMPRODUCT(PRODUCE!$B208:$DY208,PRODUCE!$EB$58:$IY$58)</f>
        <v>0</v>
      </c>
      <c r="QX203" s="56"/>
      <c r="QY203" s="242">
        <f t="shared" si="1402"/>
        <v>0</v>
      </c>
      <c r="QZ203" s="242">
        <f t="shared" si="1403"/>
        <v>207.6</v>
      </c>
      <c r="RA203" s="56"/>
      <c r="RD203" s="55">
        <f t="shared" si="1404"/>
        <v>46194</v>
      </c>
      <c r="RE203" s="56"/>
      <c r="RF203" s="242">
        <f>SUMPRODUCT(PRODUCE!$B208:$DY208,PRODUCE!$EB$59:$IY$59)</f>
        <v>0</v>
      </c>
      <c r="RG203" s="56"/>
      <c r="RH203" s="242">
        <f t="shared" si="1405"/>
        <v>0</v>
      </c>
      <c r="RI203" s="242">
        <f t="shared" si="1406"/>
        <v>147.04000000000002</v>
      </c>
      <c r="RJ203" s="56"/>
      <c r="RM203" s="55">
        <f t="shared" si="1407"/>
        <v>46194</v>
      </c>
      <c r="RN203" s="56"/>
      <c r="RO203" s="242">
        <f>SUMPRODUCT(PRODUCE!$B208:$DY208,PRODUCE!$EB$60:$IY$60)</f>
        <v>0</v>
      </c>
      <c r="RP203" s="56"/>
      <c r="RQ203" s="242">
        <f t="shared" si="1408"/>
        <v>0</v>
      </c>
      <c r="RR203" s="242">
        <f t="shared" si="1409"/>
        <v>46.8</v>
      </c>
      <c r="RS203" s="56"/>
      <c r="RV203" s="55">
        <f t="shared" si="1410"/>
        <v>46194</v>
      </c>
      <c r="RW203" s="56"/>
      <c r="RX203" s="242">
        <f>SUMPRODUCT(PRODUCE!$B208:$DY208,PRODUCE!$EB$61:$IY$61)</f>
        <v>0</v>
      </c>
      <c r="RY203" s="56"/>
      <c r="RZ203" s="242">
        <f t="shared" si="1411"/>
        <v>0</v>
      </c>
      <c r="SA203" s="242">
        <f t="shared" si="1412"/>
        <v>0</v>
      </c>
      <c r="SB203" s="56"/>
      <c r="SE203" s="55">
        <f t="shared" si="1413"/>
        <v>46194</v>
      </c>
      <c r="SF203" s="56"/>
      <c r="SG203" s="242">
        <f>SUMPRODUCT(PRODUCE!$B208:$DY208,PRODUCE!$EB$62:$IY$62)</f>
        <v>0</v>
      </c>
      <c r="SH203" s="56"/>
      <c r="SI203" s="242">
        <f t="shared" si="1414"/>
        <v>0</v>
      </c>
      <c r="SJ203" s="242">
        <f t="shared" si="1415"/>
        <v>24.200000000000003</v>
      </c>
      <c r="SK203" s="56"/>
      <c r="SN203" s="55">
        <f t="shared" si="1416"/>
        <v>46194</v>
      </c>
      <c r="SO203" s="56"/>
      <c r="SP203" s="242">
        <f>SUMPRODUCT(PRODUCE!$B208:$DY208,PRODUCE!$EB$63:$IY$63)</f>
        <v>0</v>
      </c>
      <c r="SQ203" s="56"/>
      <c r="SR203" s="242">
        <f t="shared" si="1417"/>
        <v>0</v>
      </c>
      <c r="SS203" s="242">
        <f t="shared" si="1418"/>
        <v>32</v>
      </c>
      <c r="ST203" s="56"/>
      <c r="SW203" s="55">
        <f t="shared" si="1419"/>
        <v>46194</v>
      </c>
      <c r="SX203" s="56"/>
      <c r="SY203" s="242">
        <f>SUMPRODUCT(PRODUCE!$B208:$DY208,PRODUCE!$EB$64:$IY$64)</f>
        <v>0</v>
      </c>
      <c r="SZ203" s="56"/>
      <c r="TA203" s="242">
        <f t="shared" si="1420"/>
        <v>0</v>
      </c>
      <c r="TB203" s="242">
        <f t="shared" si="1421"/>
        <v>0</v>
      </c>
      <c r="TC203" s="56"/>
      <c r="TF203" s="55">
        <f t="shared" si="1422"/>
        <v>46194</v>
      </c>
      <c r="TG203" s="56"/>
      <c r="TH203" s="242">
        <f>SUMPRODUCT(PRODUCE!$B208:$DY208,PRODUCE!$EB$65:$IY$65)</f>
        <v>0</v>
      </c>
      <c r="TI203" s="56"/>
      <c r="TJ203" s="242">
        <f t="shared" si="1423"/>
        <v>0</v>
      </c>
      <c r="TK203" s="242">
        <f t="shared" si="1424"/>
        <v>0</v>
      </c>
      <c r="TL203" s="56"/>
      <c r="TO203" s="55">
        <f t="shared" si="1425"/>
        <v>46194</v>
      </c>
      <c r="TP203" s="56"/>
      <c r="TQ203" s="242">
        <f>SUMPRODUCT(PRODUCE!$B208:$DY208,PRODUCE!$EB$66:$IY$66)</f>
        <v>0</v>
      </c>
      <c r="TR203" s="56"/>
      <c r="TS203" s="242">
        <f t="shared" si="1426"/>
        <v>0</v>
      </c>
      <c r="TT203" s="242">
        <f t="shared" si="1427"/>
        <v>22.400000000000006</v>
      </c>
      <c r="TU203" s="56"/>
      <c r="TX203" s="55">
        <f t="shared" si="1428"/>
        <v>46194</v>
      </c>
      <c r="TY203" s="56"/>
      <c r="TZ203" s="242">
        <f>SUMPRODUCT(PRODUCE!$B208:$DY208,PRODUCE!$EB$67:$IY$67)</f>
        <v>0</v>
      </c>
      <c r="UA203" s="56"/>
      <c r="UB203" s="242">
        <f t="shared" si="1429"/>
        <v>0</v>
      </c>
      <c r="UC203" s="242">
        <f t="shared" si="1430"/>
        <v>46.799999999999983</v>
      </c>
      <c r="UD203" s="56"/>
      <c r="UG203" s="55">
        <f t="shared" si="1431"/>
        <v>46194</v>
      </c>
      <c r="UH203" s="56"/>
      <c r="UI203" s="242">
        <f>SUMPRODUCT(PRODUCE!$B208:$DY208,PRODUCE!$EB$68:$IY$68)</f>
        <v>0</v>
      </c>
      <c r="UJ203" s="56"/>
      <c r="UK203" s="242">
        <f t="shared" si="1432"/>
        <v>0</v>
      </c>
      <c r="UL203" s="242">
        <f t="shared" si="1433"/>
        <v>204</v>
      </c>
      <c r="UM203" s="56"/>
      <c r="UP203" s="55">
        <f t="shared" si="1434"/>
        <v>46194</v>
      </c>
      <c r="UQ203" s="56"/>
      <c r="UR203" s="242">
        <f>SUMPRODUCT(PRODUCE!$B208:$DY208,PRODUCE!$EB$69:$IY$69)</f>
        <v>0</v>
      </c>
      <c r="US203" s="56"/>
      <c r="UT203" s="242">
        <f t="shared" si="1435"/>
        <v>0</v>
      </c>
      <c r="UU203" s="242">
        <f t="shared" si="1436"/>
        <v>251.25</v>
      </c>
      <c r="UV203" s="56"/>
      <c r="UY203" s="55">
        <f t="shared" si="1437"/>
        <v>46194</v>
      </c>
      <c r="UZ203" s="56"/>
      <c r="VA203" s="242">
        <f>SUMPRODUCT(PRODUCE!$B208:$DY208,PRODUCE!$EB$70:$IY$70)</f>
        <v>0</v>
      </c>
      <c r="VB203" s="56"/>
      <c r="VC203" s="242">
        <f t="shared" si="1438"/>
        <v>0</v>
      </c>
      <c r="VD203" s="242">
        <f t="shared" si="1439"/>
        <v>41.600000000000023</v>
      </c>
      <c r="VE203" s="56"/>
      <c r="VH203" s="55">
        <f t="shared" si="1440"/>
        <v>46194</v>
      </c>
      <c r="VI203" s="56"/>
      <c r="VJ203" s="242">
        <f>SUMPRODUCT(PRODUCE!$B208:$DY208,PRODUCE!$EB$71:$IY$71)</f>
        <v>0</v>
      </c>
      <c r="VK203" s="56"/>
      <c r="VL203" s="242">
        <f t="shared" si="1441"/>
        <v>0</v>
      </c>
      <c r="VM203" s="242">
        <f t="shared" si="1442"/>
        <v>210</v>
      </c>
      <c r="VN203" s="56"/>
      <c r="VQ203" s="55">
        <f t="shared" si="1443"/>
        <v>46194</v>
      </c>
      <c r="VR203" s="56"/>
      <c r="VS203" s="242">
        <f>SUMPRODUCT(PRODUCE!$B208:$DY208,PRODUCE!$EB$57:$IY$57)</f>
        <v>0</v>
      </c>
      <c r="VT203" s="56"/>
      <c r="VU203" s="242">
        <f t="shared" si="1444"/>
        <v>0</v>
      </c>
      <c r="VV203" s="242">
        <f t="shared" si="1445"/>
        <v>0</v>
      </c>
      <c r="VW203" s="56"/>
      <c r="VZ203" s="55">
        <f t="shared" si="1446"/>
        <v>46194</v>
      </c>
      <c r="WA203" s="56"/>
      <c r="WB203" s="242">
        <f>SUMPRODUCT(PRODUCE!$B208:$DY208,PRODUCE!$EB$57:$IY$57)</f>
        <v>0</v>
      </c>
      <c r="WC203" s="56"/>
      <c r="WD203" s="242">
        <f t="shared" si="1447"/>
        <v>0</v>
      </c>
      <c r="WE203" s="242">
        <f t="shared" si="1448"/>
        <v>0</v>
      </c>
      <c r="WF203" s="56"/>
      <c r="WI203" s="55">
        <f t="shared" si="1449"/>
        <v>46194</v>
      </c>
      <c r="WJ203" s="422"/>
      <c r="WK203" s="540">
        <f>SUMPRODUCT(PRODUCE!$B208:$DY208,PRODUCE!$EB$74:$IY$74)</f>
        <v>0</v>
      </c>
      <c r="WL203" s="422"/>
      <c r="WM203" s="540">
        <f t="shared" si="1450"/>
        <v>0</v>
      </c>
      <c r="WN203" s="540">
        <f t="shared" si="1451"/>
        <v>1199</v>
      </c>
      <c r="WO203" s="56"/>
      <c r="WR203" s="55">
        <f t="shared" si="1452"/>
        <v>46194</v>
      </c>
      <c r="WS203" s="422"/>
      <c r="WT203" s="540">
        <f>SUMPRODUCT(PRODUCE!$B208:$DY208,PRODUCE!$EB$75:$IY$75)</f>
        <v>0</v>
      </c>
      <c r="WU203" s="422"/>
      <c r="WV203" s="540">
        <f t="shared" si="1453"/>
        <v>0</v>
      </c>
      <c r="WW203" s="540">
        <f t="shared" si="1454"/>
        <v>0</v>
      </c>
      <c r="WX203" s="56"/>
      <c r="XA203" s="55">
        <f t="shared" si="1455"/>
        <v>46194</v>
      </c>
      <c r="XB203" s="422"/>
      <c r="XC203" s="540">
        <f>SUMPRODUCT(PRODUCE!$B208:$DY208,PRODUCE!$EB$76:$IY$76)</f>
        <v>0</v>
      </c>
      <c r="XD203" s="422"/>
      <c r="XE203" s="540">
        <f t="shared" si="1456"/>
        <v>0</v>
      </c>
      <c r="XF203" s="540">
        <f t="shared" si="1457"/>
        <v>6813</v>
      </c>
      <c r="XG203" s="56"/>
      <c r="XJ203" s="55">
        <f t="shared" si="1458"/>
        <v>46194</v>
      </c>
      <c r="XK203" s="422"/>
      <c r="XL203" s="540">
        <f>SUMPRODUCT(PRODUCE!$B208:$DY208,PRODUCE!$EB$77:$IY$77)</f>
        <v>0</v>
      </c>
      <c r="XM203" s="422"/>
      <c r="XN203" s="540">
        <f t="shared" si="1459"/>
        <v>0</v>
      </c>
      <c r="XO203" s="540">
        <f t="shared" si="1460"/>
        <v>4689</v>
      </c>
      <c r="XP203" s="56"/>
      <c r="XS203" s="55">
        <f t="shared" si="1461"/>
        <v>46194</v>
      </c>
      <c r="XT203" s="56"/>
      <c r="XU203" s="242">
        <f>SUMPRODUCT(PRODUCE!$B208:$DY208,PRODUCE!$EB$78:$IY$78)</f>
        <v>0</v>
      </c>
      <c r="XV203" s="56"/>
      <c r="XW203" s="242">
        <f t="shared" si="1462"/>
        <v>0</v>
      </c>
      <c r="XX203" s="242">
        <f t="shared" si="1463"/>
        <v>1621</v>
      </c>
      <c r="XY203" s="56"/>
      <c r="YB203" s="55">
        <f t="shared" si="1464"/>
        <v>46194</v>
      </c>
      <c r="YC203" s="56"/>
      <c r="YD203" s="242">
        <f>SUMPRODUCT(PRODUCE!$B208:$DY208,PRODUCE!$EB$79:$IY$79)</f>
        <v>0</v>
      </c>
      <c r="YE203" s="56"/>
      <c r="YF203" s="242">
        <f t="shared" si="1465"/>
        <v>0</v>
      </c>
      <c r="YG203" s="242">
        <f t="shared" si="1466"/>
        <v>4072</v>
      </c>
      <c r="YH203" s="56"/>
      <c r="YK203" s="55">
        <f t="shared" si="1467"/>
        <v>46194</v>
      </c>
      <c r="YL203" s="56"/>
      <c r="YM203" s="242">
        <f>SUMPRODUCT(PRODUCE!$B208:$DY208,PRODUCE!$EB$80:$IY$80)</f>
        <v>0</v>
      </c>
      <c r="YN203" s="56"/>
      <c r="YO203" s="242">
        <f t="shared" si="1468"/>
        <v>0</v>
      </c>
      <c r="YP203" s="242">
        <f t="shared" si="1469"/>
        <v>0</v>
      </c>
      <c r="YQ203" s="56"/>
      <c r="YT203" s="55">
        <f t="shared" si="1470"/>
        <v>46194</v>
      </c>
      <c r="YU203" s="56"/>
      <c r="YV203" s="242">
        <f>SUMPRODUCT(PRODUCE!$B208:$DY208,PRODUCE!$EB$57:$IY$57)</f>
        <v>0</v>
      </c>
      <c r="YW203" s="56"/>
      <c r="YX203" s="242">
        <f t="shared" si="1471"/>
        <v>0</v>
      </c>
      <c r="YY203" s="242">
        <f t="shared" si="1472"/>
        <v>0</v>
      </c>
      <c r="YZ203" s="56"/>
      <c r="ZC203" s="55">
        <f t="shared" si="1473"/>
        <v>46194</v>
      </c>
      <c r="ZD203" s="56"/>
      <c r="ZE203" s="242">
        <f>SUMPRODUCT(PRODUCE!$B208:$DY208,PRODUCE!$EB$57:$IY$57)</f>
        <v>0</v>
      </c>
      <c r="ZF203" s="56"/>
      <c r="ZG203" s="242">
        <f t="shared" si="1474"/>
        <v>0</v>
      </c>
      <c r="ZH203" s="242">
        <f t="shared" si="1475"/>
        <v>0</v>
      </c>
      <c r="ZI203" s="56"/>
      <c r="ZL203" s="55">
        <f t="shared" si="1476"/>
        <v>46194</v>
      </c>
      <c r="ZM203" s="56"/>
      <c r="ZN203" s="242">
        <f>SUMPRODUCT(PRODUCE!$B208:$DY208,PRODUCE!$EB$57:$IY$57)</f>
        <v>0</v>
      </c>
      <c r="ZO203" s="56"/>
      <c r="ZP203" s="242">
        <f t="shared" si="1477"/>
        <v>0</v>
      </c>
      <c r="ZQ203" s="242">
        <f t="shared" si="1478"/>
        <v>0</v>
      </c>
      <c r="ZR203" s="56"/>
      <c r="ZU203" s="55">
        <f t="shared" si="1479"/>
        <v>46194</v>
      </c>
      <c r="ZV203" s="56"/>
      <c r="ZW203" s="242">
        <f>SUMPRODUCT(PRODUCE!$B208:$DY208,PRODUCE!$EB$57:$IY$57)</f>
        <v>0</v>
      </c>
      <c r="ZX203" s="56"/>
      <c r="ZY203" s="242">
        <f t="shared" si="1480"/>
        <v>0</v>
      </c>
      <c r="ZZ203" s="242">
        <f t="shared" si="1481"/>
        <v>0</v>
      </c>
      <c r="AAA203" s="56"/>
      <c r="AAD203" s="55">
        <f t="shared" si="1482"/>
        <v>46194</v>
      </c>
      <c r="AAE203" s="56"/>
      <c r="AAF203" s="242">
        <f>SUMPRODUCT(PRODUCE!$B208:$DY208,PRODUCE!$EB$57:$IY$57)</f>
        <v>0</v>
      </c>
      <c r="AAG203" s="56"/>
      <c r="AAH203" s="242">
        <f t="shared" si="1483"/>
        <v>0</v>
      </c>
      <c r="AAI203" s="242">
        <f t="shared" si="1484"/>
        <v>0</v>
      </c>
      <c r="AAJ203" s="56"/>
      <c r="AAM203" s="55">
        <f t="shared" si="1485"/>
        <v>46194</v>
      </c>
      <c r="AAN203" s="56"/>
      <c r="AAO203" s="242">
        <f>SUMPRODUCT(PRODUCE!$B208:$DY208,PRODUCE!$EB$57:$IY$57)</f>
        <v>0</v>
      </c>
      <c r="AAP203" s="56"/>
      <c r="AAQ203" s="242">
        <f t="shared" si="1486"/>
        <v>0</v>
      </c>
      <c r="AAR203" s="242">
        <f t="shared" si="1487"/>
        <v>0</v>
      </c>
      <c r="AAS203" s="56"/>
      <c r="AAV203" s="55">
        <f t="shared" si="1488"/>
        <v>46194</v>
      </c>
      <c r="AAW203" s="56"/>
      <c r="AAX203" s="242">
        <f>SUMPRODUCT(PRODUCE!$B208:$DY208,PRODUCE!$EB$57:$IY$57)</f>
        <v>0</v>
      </c>
      <c r="AAY203" s="56"/>
      <c r="AAZ203" s="242">
        <f t="shared" si="1489"/>
        <v>0</v>
      </c>
      <c r="ABA203" s="242">
        <f t="shared" si="1490"/>
        <v>0</v>
      </c>
      <c r="ABB203" s="56"/>
      <c r="ABE203" s="55">
        <f t="shared" si="1491"/>
        <v>46194</v>
      </c>
      <c r="ABF203" s="56"/>
      <c r="ABG203" s="242">
        <f>SUMPRODUCT(PRODUCE!$B208:$DY208,PRODUCE!$EB$57:$IY$57)</f>
        <v>0</v>
      </c>
      <c r="ABH203" s="56"/>
      <c r="ABI203" s="242">
        <f t="shared" si="1492"/>
        <v>0</v>
      </c>
      <c r="ABJ203" s="242">
        <f t="shared" si="1493"/>
        <v>0</v>
      </c>
      <c r="ABK203" s="56"/>
    </row>
    <row r="204" spans="2:739" s="54" customFormat="1" ht="15" customHeight="1" outlineLevel="1">
      <c r="B204" s="478"/>
      <c r="C204" s="55">
        <v>46195</v>
      </c>
      <c r="D204" s="422">
        <v>70350</v>
      </c>
      <c r="E204" s="423">
        <f>SUMPRODUCT(PRODUCE!$B209:$DY209,PRODUCE!$EB$7:$IY$7)</f>
        <v>0</v>
      </c>
      <c r="F204" s="422"/>
      <c r="G204" s="423">
        <f t="shared" si="1249"/>
        <v>0</v>
      </c>
      <c r="H204" s="423">
        <f t="shared" si="1250"/>
        <v>107031.00000000006</v>
      </c>
      <c r="I204" s="289"/>
      <c r="L204" s="55">
        <f t="shared" si="1251"/>
        <v>46195</v>
      </c>
      <c r="M204" s="422"/>
      <c r="N204" s="438">
        <f>SUMPRODUCT(PRODUCE!$B209:$DY209,PRODUCE!$EB$8:$IY$8)</f>
        <v>0</v>
      </c>
      <c r="O204" s="422"/>
      <c r="P204" s="438">
        <f t="shared" si="1252"/>
        <v>0</v>
      </c>
      <c r="Q204" s="438">
        <f t="shared" si="1253"/>
        <v>68803.600000000079</v>
      </c>
      <c r="R204" s="56"/>
      <c r="U204" s="55">
        <f t="shared" si="1254"/>
        <v>46195</v>
      </c>
      <c r="V204" s="422"/>
      <c r="W204" s="440">
        <f>SUMPRODUCT(PRODUCE!$B209:$DY209,PRODUCE!$EB$9:$IY$9)</f>
        <v>0</v>
      </c>
      <c r="X204" s="422"/>
      <c r="Y204" s="440">
        <f t="shared" si="1255"/>
        <v>0</v>
      </c>
      <c r="Z204" s="440">
        <f t="shared" si="1256"/>
        <v>33087.699999999975</v>
      </c>
      <c r="AA204" s="56"/>
      <c r="AD204" s="55">
        <f t="shared" si="1257"/>
        <v>46195</v>
      </c>
      <c r="AE204" s="422"/>
      <c r="AF204" s="442">
        <f>SUMPRODUCT(PRODUCE!$B209:$DY209,PRODUCE!$EB$10:$IY$10)</f>
        <v>0</v>
      </c>
      <c r="AG204" s="422"/>
      <c r="AH204" s="442">
        <f t="shared" si="1258"/>
        <v>0</v>
      </c>
      <c r="AI204" s="442">
        <f t="shared" si="1259"/>
        <v>33372.700000000019</v>
      </c>
      <c r="AJ204" s="56"/>
      <c r="AM204" s="55">
        <f t="shared" si="1260"/>
        <v>46195</v>
      </c>
      <c r="AN204" s="422"/>
      <c r="AO204" s="444">
        <f>SUMPRODUCT(PRODUCE!$B209:$DY209,PRODUCE!$EB$11:$IY$11)</f>
        <v>0</v>
      </c>
      <c r="AP204" s="422"/>
      <c r="AQ204" s="444">
        <f t="shared" si="1261"/>
        <v>0</v>
      </c>
      <c r="AR204" s="444">
        <f t="shared" si="1262"/>
        <v>0</v>
      </c>
      <c r="AS204" s="56"/>
      <c r="AV204" s="55">
        <f t="shared" si="1263"/>
        <v>46195</v>
      </c>
      <c r="AW204" s="422"/>
      <c r="AX204" s="446">
        <f>SUMPRODUCT(PRODUCE!$B209:$DY209,PRODUCE!$EB$12:$IY$12)</f>
        <v>0</v>
      </c>
      <c r="AY204" s="422"/>
      <c r="AZ204" s="446">
        <f t="shared" si="1264"/>
        <v>0</v>
      </c>
      <c r="BA204" s="446">
        <f t="shared" si="1265"/>
        <v>14066.499999999996</v>
      </c>
      <c r="BB204" s="56"/>
      <c r="BE204" s="55">
        <f t="shared" si="1266"/>
        <v>46195</v>
      </c>
      <c r="BF204" s="422"/>
      <c r="BG204" s="448">
        <f>SUMPRODUCT(PRODUCE!$B209:$DY209,PRODUCE!$EB$13:$IY$13)</f>
        <v>0</v>
      </c>
      <c r="BH204" s="422"/>
      <c r="BI204" s="448">
        <f t="shared" si="1267"/>
        <v>0</v>
      </c>
      <c r="BJ204" s="448">
        <f t="shared" si="1268"/>
        <v>39235.399999999994</v>
      </c>
      <c r="BK204" s="56"/>
      <c r="BN204" s="55">
        <f t="shared" si="1269"/>
        <v>46195</v>
      </c>
      <c r="BO204" s="422"/>
      <c r="BP204" s="450">
        <f>SUMPRODUCT(PRODUCE!$B209:$DY209,PRODUCE!$EB$14:$IY$14)</f>
        <v>0</v>
      </c>
      <c r="BQ204" s="422"/>
      <c r="BR204" s="450">
        <f t="shared" si="1270"/>
        <v>0</v>
      </c>
      <c r="BS204" s="450">
        <f t="shared" si="1271"/>
        <v>0</v>
      </c>
      <c r="BT204" s="56"/>
      <c r="BW204" s="55">
        <f t="shared" si="1272"/>
        <v>46195</v>
      </c>
      <c r="BX204" s="422"/>
      <c r="BY204" s="523">
        <f>SUMPRODUCT(PRODUCE!$B209:$DY209,PRODUCE!$EB$15:$IY$15)</f>
        <v>0</v>
      </c>
      <c r="BZ204" s="422">
        <v>43.06</v>
      </c>
      <c r="CA204" s="523">
        <f t="shared" si="1273"/>
        <v>-43.06</v>
      </c>
      <c r="CB204" s="523">
        <f t="shared" si="1274"/>
        <v>3145.2699999999991</v>
      </c>
      <c r="CC204" s="56"/>
      <c r="CF204" s="55">
        <f t="shared" si="1275"/>
        <v>46195</v>
      </c>
      <c r="CG204" s="422">
        <v>81.42</v>
      </c>
      <c r="CH204" s="524">
        <f>SUMPRODUCT(PRODUCE!$B209:$DY209,PRODUCE!$EB$16:$IY$16)</f>
        <v>0</v>
      </c>
      <c r="CI204" s="422">
        <v>81.42</v>
      </c>
      <c r="CJ204" s="524">
        <f t="shared" si="1276"/>
        <v>-81.42</v>
      </c>
      <c r="CK204" s="524">
        <f t="shared" si="1277"/>
        <v>0</v>
      </c>
      <c r="CL204" s="56"/>
      <c r="CO204" s="55">
        <f t="shared" si="1278"/>
        <v>46195</v>
      </c>
      <c r="CP204" s="422"/>
      <c r="CQ204" s="470">
        <f>SUMPRODUCT(PRODUCE!$B209:$DY209,PRODUCE!$EB$17:$IY$17)</f>
        <v>0</v>
      </c>
      <c r="CR204" s="422"/>
      <c r="CS204" s="470">
        <f t="shared" si="1279"/>
        <v>0</v>
      </c>
      <c r="CT204" s="470">
        <f t="shared" si="1280"/>
        <v>0</v>
      </c>
      <c r="CU204" s="56"/>
      <c r="CX204" s="55">
        <f t="shared" si="1281"/>
        <v>46195</v>
      </c>
      <c r="CY204" s="422"/>
      <c r="CZ204" s="525">
        <f>SUMPRODUCT(PRODUCE!$B209:$DY209,PRODUCE!$EB$18:$IY$18)</f>
        <v>0</v>
      </c>
      <c r="DA204" s="422"/>
      <c r="DB204" s="525">
        <f t="shared" si="1282"/>
        <v>0</v>
      </c>
      <c r="DC204" s="525">
        <f t="shared" si="1283"/>
        <v>14823.000000000007</v>
      </c>
      <c r="DD204" s="56"/>
      <c r="DG204" s="55">
        <f t="shared" si="1284"/>
        <v>46195</v>
      </c>
      <c r="DH204" s="422"/>
      <c r="DI204" s="526">
        <f>SUMPRODUCT(PRODUCE!$B209:$DY209,PRODUCE!$EB$19:$IY$19)</f>
        <v>0</v>
      </c>
      <c r="DJ204" s="422"/>
      <c r="DK204" s="526">
        <f t="shared" si="1285"/>
        <v>0</v>
      </c>
      <c r="DL204" s="526">
        <f t="shared" si="1286"/>
        <v>35234.999999999985</v>
      </c>
      <c r="DM204" s="56"/>
      <c r="DP204" s="55">
        <f t="shared" si="1287"/>
        <v>46195</v>
      </c>
      <c r="DQ204" s="56"/>
      <c r="DR204" s="57">
        <f>SUMPRODUCT(PRODUCE!$B209:$DY209,PRODUCE!$EB$20:$IY$20)</f>
        <v>0</v>
      </c>
      <c r="DS204" s="56"/>
      <c r="DT204" s="57">
        <f t="shared" si="1288"/>
        <v>0</v>
      </c>
      <c r="DU204" s="57">
        <f t="shared" si="1289"/>
        <v>5800</v>
      </c>
      <c r="DV204" s="56"/>
      <c r="DY204" s="55">
        <f t="shared" si="1290"/>
        <v>46195</v>
      </c>
      <c r="DZ204" s="56"/>
      <c r="EA204" s="157">
        <f>SUMPRODUCT(PRODUCE!$B209:$DY209,PRODUCE!$EB$21:$IY$21)</f>
        <v>0</v>
      </c>
      <c r="EB204" s="56"/>
      <c r="EC204" s="157">
        <f t="shared" si="1291"/>
        <v>0</v>
      </c>
      <c r="ED204" s="157">
        <f t="shared" si="1292"/>
        <v>0</v>
      </c>
      <c r="EE204" s="56"/>
      <c r="EH204" s="55">
        <f t="shared" si="1293"/>
        <v>46195</v>
      </c>
      <c r="EI204" s="56"/>
      <c r="EJ204" s="162">
        <f>SUMPRODUCT(PRODUCE!$B209:$DY209,PRODUCE!$EB$22:$IY$22)</f>
        <v>0</v>
      </c>
      <c r="EK204" s="56"/>
      <c r="EL204" s="162">
        <f t="shared" si="1294"/>
        <v>0</v>
      </c>
      <c r="EM204" s="162">
        <f t="shared" si="1295"/>
        <v>0</v>
      </c>
      <c r="EN204" s="56"/>
      <c r="EQ204" s="55">
        <f t="shared" si="1296"/>
        <v>46195</v>
      </c>
      <c r="ER204" s="56"/>
      <c r="ES204" s="135">
        <f>SUMPRODUCT(PRODUCE!$B209:$DY209,PRODUCE!$EB$23:$IY$23)</f>
        <v>0</v>
      </c>
      <c r="ET204" s="56"/>
      <c r="EU204" s="135">
        <f t="shared" si="1297"/>
        <v>0</v>
      </c>
      <c r="EV204" s="135">
        <f t="shared" si="1298"/>
        <v>0</v>
      </c>
      <c r="EW204" s="56"/>
      <c r="EZ204" s="55">
        <f t="shared" si="1299"/>
        <v>46195</v>
      </c>
      <c r="FA204" s="56"/>
      <c r="FB204" s="175">
        <f>SUMPRODUCT(PRODUCE!$B209:$DY209,PRODUCE!$EB$24:$IY$24)</f>
        <v>0</v>
      </c>
      <c r="FC204" s="56"/>
      <c r="FD204" s="175">
        <f t="shared" si="1300"/>
        <v>0</v>
      </c>
      <c r="FE204" s="175">
        <f t="shared" si="1301"/>
        <v>0</v>
      </c>
      <c r="FF204" s="56"/>
      <c r="FI204" s="55">
        <f t="shared" si="1302"/>
        <v>46195</v>
      </c>
      <c r="FJ204" s="56"/>
      <c r="FK204" s="183">
        <f>SUMPRODUCT(PRODUCE!$B209:$DY209,PRODUCE!$EB$25:$IY$25)</f>
        <v>0</v>
      </c>
      <c r="FL204" s="56"/>
      <c r="FM204" s="183">
        <f t="shared" si="1303"/>
        <v>0</v>
      </c>
      <c r="FN204" s="183">
        <f t="shared" si="1304"/>
        <v>0</v>
      </c>
      <c r="FO204" s="56"/>
      <c r="FR204" s="55">
        <f t="shared" si="1305"/>
        <v>46195</v>
      </c>
      <c r="FS204" s="56"/>
      <c r="FT204" s="186">
        <f>SUMPRODUCT(PRODUCE!$B209:$DY209,PRODUCE!$EB$26:$IY$26)</f>
        <v>0</v>
      </c>
      <c r="FU204" s="56"/>
      <c r="FV204" s="186">
        <f t="shared" si="1306"/>
        <v>0</v>
      </c>
      <c r="FW204" s="186">
        <f t="shared" si="1307"/>
        <v>1160</v>
      </c>
      <c r="FX204" s="56"/>
      <c r="GA204" s="55">
        <f t="shared" si="1308"/>
        <v>46195</v>
      </c>
      <c r="GB204" s="56"/>
      <c r="GC204" s="137">
        <f>SUMPRODUCT(PRODUCE!$B209:$DY209,PRODUCE!$EB$27:$IY$27)</f>
        <v>0</v>
      </c>
      <c r="GD204" s="56"/>
      <c r="GE204" s="137">
        <f t="shared" si="1309"/>
        <v>0</v>
      </c>
      <c r="GF204" s="137">
        <f t="shared" si="1310"/>
        <v>960</v>
      </c>
      <c r="GG204" s="56"/>
      <c r="GI204" s="23"/>
      <c r="GJ204" s="55">
        <f t="shared" si="1311"/>
        <v>46195</v>
      </c>
      <c r="GK204" s="56"/>
      <c r="GL204" s="199">
        <f>SUMPRODUCT(PRODUCE!$B209:$DY209,PRODUCE!$EB$28:$IY$28)</f>
        <v>0</v>
      </c>
      <c r="GM204" s="56"/>
      <c r="GN204" s="199">
        <f t="shared" si="1312"/>
        <v>0</v>
      </c>
      <c r="GO204" s="199">
        <f t="shared" si="1313"/>
        <v>1760</v>
      </c>
      <c r="GP204" s="56"/>
      <c r="GS204" s="55">
        <f t="shared" si="1314"/>
        <v>46195</v>
      </c>
      <c r="GT204" s="56"/>
      <c r="GU204" s="195">
        <f>SUMPRODUCT(PRODUCE!$B209:$DY209,PRODUCE!$EB$29:$IY$29)</f>
        <v>0</v>
      </c>
      <c r="GV204" s="56"/>
      <c r="GW204" s="195">
        <f t="shared" si="1315"/>
        <v>0</v>
      </c>
      <c r="GX204" s="195">
        <f t="shared" si="1316"/>
        <v>400</v>
      </c>
      <c r="GY204" s="56"/>
      <c r="HB204" s="55">
        <f t="shared" si="1317"/>
        <v>46195</v>
      </c>
      <c r="HC204" s="56"/>
      <c r="HD204" s="191">
        <f>SUMPRODUCT(PRODUCE!$B209:$DY209,PRODUCE!$EB$30:$IY$30)</f>
        <v>0</v>
      </c>
      <c r="HE204" s="56"/>
      <c r="HF204" s="191">
        <f t="shared" si="1318"/>
        <v>0</v>
      </c>
      <c r="HG204" s="191">
        <f t="shared" si="1319"/>
        <v>3600</v>
      </c>
      <c r="HH204" s="56"/>
      <c r="HK204" s="55">
        <f t="shared" si="1320"/>
        <v>46195</v>
      </c>
      <c r="HL204" s="56"/>
      <c r="HM204" s="63">
        <f>SUMPRODUCT(PRODUCE!$B209:$DY209,PRODUCE!$EB$31:$IY$31)</f>
        <v>0</v>
      </c>
      <c r="HN204" s="56"/>
      <c r="HO204" s="63">
        <f t="shared" si="1321"/>
        <v>0</v>
      </c>
      <c r="HP204" s="63">
        <f t="shared" si="1322"/>
        <v>0</v>
      </c>
      <c r="HQ204" s="56"/>
      <c r="HU204" s="55">
        <f t="shared" si="1323"/>
        <v>46195</v>
      </c>
      <c r="HV204" s="56"/>
      <c r="HW204" s="242">
        <f>SUMPRODUCT(PRODUCE!$B209:$DY209,PRODUCE!$EB$32:$IY$32)</f>
        <v>0</v>
      </c>
      <c r="HX204" s="56"/>
      <c r="HY204" s="242">
        <f t="shared" si="1324"/>
        <v>0</v>
      </c>
      <c r="HZ204" s="242">
        <f t="shared" si="1325"/>
        <v>6800</v>
      </c>
      <c r="IA204" s="56"/>
      <c r="ID204" s="55">
        <f t="shared" si="1326"/>
        <v>46195</v>
      </c>
      <c r="IE204" s="56"/>
      <c r="IF204" s="242">
        <f>SUMPRODUCT(PRODUCE!$B209:$DY209,PRODUCE!$EB$33:$IY$33)</f>
        <v>0</v>
      </c>
      <c r="IG204" s="56"/>
      <c r="IH204" s="242">
        <f t="shared" si="1327"/>
        <v>0</v>
      </c>
      <c r="II204" s="242">
        <f t="shared" si="1328"/>
        <v>720</v>
      </c>
      <c r="IJ204" s="56"/>
      <c r="IM204" s="55">
        <f t="shared" si="1329"/>
        <v>46195</v>
      </c>
      <c r="IN204" s="56"/>
      <c r="IO204" s="242">
        <f>SUMPRODUCT(PRODUCE!$B209:$DY209,PRODUCE!$EB$34:$IY$34)</f>
        <v>0</v>
      </c>
      <c r="IP204" s="56"/>
      <c r="IQ204" s="242">
        <f t="shared" si="1330"/>
        <v>0</v>
      </c>
      <c r="IR204" s="242">
        <f t="shared" si="1331"/>
        <v>6520</v>
      </c>
      <c r="IS204" s="56"/>
      <c r="IV204" s="55">
        <f t="shared" si="1332"/>
        <v>46195</v>
      </c>
      <c r="IW204" s="56"/>
      <c r="IX204" s="242">
        <f>SUMPRODUCT(PRODUCE!$B209:$DY209,PRODUCE!$EB$35:$IY$35)</f>
        <v>0</v>
      </c>
      <c r="IY204" s="56"/>
      <c r="IZ204" s="242">
        <f t="shared" si="1333"/>
        <v>0</v>
      </c>
      <c r="JA204" s="242">
        <f t="shared" si="1334"/>
        <v>4960</v>
      </c>
      <c r="JB204" s="56"/>
      <c r="JE204" s="55">
        <f t="shared" si="1335"/>
        <v>46195</v>
      </c>
      <c r="JF204" s="56"/>
      <c r="JG204" s="242">
        <f>SUMPRODUCT(PRODUCE!$B209:$DY209,PRODUCE!$EB$36:$IY$36)</f>
        <v>0</v>
      </c>
      <c r="JH204" s="56"/>
      <c r="JI204" s="242">
        <f t="shared" si="1336"/>
        <v>0</v>
      </c>
      <c r="JJ204" s="242">
        <f t="shared" si="1337"/>
        <v>0</v>
      </c>
      <c r="JK204" s="56"/>
      <c r="JN204" s="55">
        <f t="shared" si="1338"/>
        <v>46195</v>
      </c>
      <c r="JO204" s="56"/>
      <c r="JP204" s="242">
        <f>SUMPRODUCT(PRODUCE!$B209:$DY209,PRODUCE!$EB$37:$IY$37)</f>
        <v>0</v>
      </c>
      <c r="JQ204" s="56"/>
      <c r="JR204" s="242">
        <f t="shared" si="1339"/>
        <v>0</v>
      </c>
      <c r="JS204" s="242">
        <f t="shared" si="1340"/>
        <v>0</v>
      </c>
      <c r="JT204" s="56"/>
      <c r="JW204" s="55">
        <f t="shared" si="1341"/>
        <v>46195</v>
      </c>
      <c r="JX204" s="56"/>
      <c r="JY204" s="242">
        <f>SUMPRODUCT(PRODUCE!$B209:$DY209,PRODUCE!$EB$38:$IY$38)</f>
        <v>0</v>
      </c>
      <c r="JZ204" s="56"/>
      <c r="KA204" s="242">
        <f t="shared" si="1342"/>
        <v>0</v>
      </c>
      <c r="KB204" s="242">
        <f t="shared" si="1343"/>
        <v>2540</v>
      </c>
      <c r="KC204" s="56"/>
      <c r="KF204" s="55">
        <f t="shared" si="1344"/>
        <v>46195</v>
      </c>
      <c r="KG204" s="56"/>
      <c r="KH204" s="242">
        <f>SUMPRODUCT(PRODUCE!$B209:$DY209,PRODUCE!$EB$39:$IY$39)</f>
        <v>0</v>
      </c>
      <c r="KI204" s="56"/>
      <c r="KJ204" s="242">
        <f t="shared" si="1345"/>
        <v>0</v>
      </c>
      <c r="KK204" s="242">
        <f t="shared" si="1346"/>
        <v>2359.5</v>
      </c>
      <c r="KL204" s="56"/>
      <c r="KO204" s="55">
        <f t="shared" si="1347"/>
        <v>46195</v>
      </c>
      <c r="KP204" s="56"/>
      <c r="KQ204" s="242">
        <f>SUMPRODUCT(PRODUCE!$B209:$DY209,PRODUCE!$EB$40:$IY$40)</f>
        <v>0</v>
      </c>
      <c r="KR204" s="56"/>
      <c r="KS204" s="242">
        <f t="shared" si="1348"/>
        <v>0</v>
      </c>
      <c r="KT204" s="242">
        <f t="shared" si="1349"/>
        <v>1890</v>
      </c>
      <c r="KU204" s="56"/>
      <c r="KW204" s="23"/>
      <c r="KX204" s="55">
        <f t="shared" si="1350"/>
        <v>46195</v>
      </c>
      <c r="KY204" s="56"/>
      <c r="KZ204" s="242">
        <f>SUMPRODUCT(PRODUCE!$B209:$DY209,PRODUCE!$EB$41:$IY$41)</f>
        <v>0</v>
      </c>
      <c r="LA204" s="56"/>
      <c r="LB204" s="242">
        <f t="shared" si="1351"/>
        <v>0</v>
      </c>
      <c r="LC204" s="242">
        <f t="shared" si="1352"/>
        <v>3690</v>
      </c>
      <c r="LD204" s="56"/>
      <c r="LG204" s="55">
        <f t="shared" si="1353"/>
        <v>46195</v>
      </c>
      <c r="LH204" s="56"/>
      <c r="LI204" s="242">
        <f>SUMPRODUCT(PRODUCE!$B209:$DY209,PRODUCE!$EB$42:$IY$42)</f>
        <v>0</v>
      </c>
      <c r="LJ204" s="56"/>
      <c r="LK204" s="242">
        <f t="shared" si="1354"/>
        <v>0</v>
      </c>
      <c r="LL204" s="242">
        <f t="shared" si="1355"/>
        <v>4000</v>
      </c>
      <c r="LM204" s="56"/>
      <c r="LP204" s="55">
        <f t="shared" si="1356"/>
        <v>46195</v>
      </c>
      <c r="LQ204" s="56"/>
      <c r="LR204" s="242">
        <f>SUMPRODUCT(PRODUCE!$B209:$DY209,PRODUCE!$EB$43:$IY$43)</f>
        <v>0</v>
      </c>
      <c r="LS204" s="56"/>
      <c r="LT204" s="242">
        <f t="shared" si="1357"/>
        <v>0</v>
      </c>
      <c r="LU204" s="242">
        <f t="shared" si="1358"/>
        <v>0</v>
      </c>
      <c r="LV204" s="56"/>
      <c r="LY204" s="55">
        <f t="shared" si="1359"/>
        <v>46195</v>
      </c>
      <c r="LZ204" s="56"/>
      <c r="MA204" s="242">
        <f>SUMPRODUCT(PRODUCE!$B209:$DY209,PRODUCE!$EB$44:$IY$44)</f>
        <v>0</v>
      </c>
      <c r="MB204" s="56"/>
      <c r="MC204" s="242">
        <f t="shared" si="1360"/>
        <v>0</v>
      </c>
      <c r="MD204" s="242">
        <f t="shared" si="1361"/>
        <v>0</v>
      </c>
      <c r="ME204" s="56"/>
      <c r="MH204" s="55">
        <f t="shared" si="1362"/>
        <v>46195</v>
      </c>
      <c r="MI204" s="56"/>
      <c r="MJ204" s="242">
        <f>SUMPRODUCT(PRODUCE!$B209:$DY209,PRODUCE!$EB$45:$IY$45)</f>
        <v>0</v>
      </c>
      <c r="MK204" s="56"/>
      <c r="ML204" s="242">
        <f t="shared" si="1363"/>
        <v>0</v>
      </c>
      <c r="MM204" s="242">
        <f t="shared" si="1364"/>
        <v>0</v>
      </c>
      <c r="MN204" s="56"/>
      <c r="MQ204" s="55">
        <f t="shared" si="1365"/>
        <v>46195</v>
      </c>
      <c r="MR204" s="56"/>
      <c r="MS204" s="242">
        <f>SUMPRODUCT(PRODUCE!$B209:$DY209,PRODUCE!$EB$46:$IY$46)</f>
        <v>0</v>
      </c>
      <c r="MT204" s="56">
        <v>20</v>
      </c>
      <c r="MU204" s="242">
        <f t="shared" si="1366"/>
        <v>-20</v>
      </c>
      <c r="MV204" s="242">
        <f t="shared" si="1367"/>
        <v>3704</v>
      </c>
      <c r="MW204" s="56"/>
      <c r="MZ204" s="55">
        <f t="shared" si="1368"/>
        <v>46195</v>
      </c>
      <c r="NA204" s="56">
        <v>120</v>
      </c>
      <c r="NB204" s="242">
        <f>SUMPRODUCT(PRODUCE!$B209:$DY209,PRODUCE!$EB$47:$IY$47)</f>
        <v>0</v>
      </c>
      <c r="NC204" s="56">
        <v>120</v>
      </c>
      <c r="ND204" s="242">
        <f t="shared" si="1369"/>
        <v>-120</v>
      </c>
      <c r="NE204" s="242">
        <f t="shared" si="1370"/>
        <v>0</v>
      </c>
      <c r="NF204" s="56"/>
      <c r="NI204" s="55">
        <f t="shared" si="1371"/>
        <v>46195</v>
      </c>
      <c r="NJ204" s="56"/>
      <c r="NK204" s="242">
        <f>SUMPRODUCT(PRODUCE!$B209:$DY209,PRODUCE!$EB$48:$IY$48)</f>
        <v>0</v>
      </c>
      <c r="NL204" s="56"/>
      <c r="NM204" s="242">
        <f t="shared" si="1372"/>
        <v>0</v>
      </c>
      <c r="NN204" s="242">
        <f t="shared" si="1373"/>
        <v>1127</v>
      </c>
      <c r="NO204" s="56"/>
      <c r="NR204" s="55">
        <f t="shared" si="1374"/>
        <v>46195</v>
      </c>
      <c r="NS204" s="56"/>
      <c r="NT204" s="242">
        <f>SUMPRODUCT(PRODUCE!$B209:$DY209,PRODUCE!$EB$49:$IY$49)</f>
        <v>0</v>
      </c>
      <c r="NU204" s="56"/>
      <c r="NV204" s="242">
        <f t="shared" si="1375"/>
        <v>0</v>
      </c>
      <c r="NW204" s="242">
        <f t="shared" si="1376"/>
        <v>3111.9999999999995</v>
      </c>
      <c r="NX204" s="56"/>
      <c r="OA204" s="55">
        <f t="shared" si="1377"/>
        <v>46195</v>
      </c>
      <c r="OB204" s="56"/>
      <c r="OC204" s="242">
        <f>SUMPRODUCT(PRODUCE!$B209:$DY209,PRODUCE!$EB$50:$IY$50)</f>
        <v>0</v>
      </c>
      <c r="OD204" s="56"/>
      <c r="OE204" s="242">
        <f t="shared" si="1378"/>
        <v>0</v>
      </c>
      <c r="OF204" s="242">
        <f t="shared" si="1379"/>
        <v>1680.5</v>
      </c>
      <c r="OG204" s="56"/>
      <c r="OJ204" s="55">
        <f t="shared" si="1380"/>
        <v>46195</v>
      </c>
      <c r="OK204" s="56">
        <v>18</v>
      </c>
      <c r="OL204" s="242">
        <f>SUMPRODUCT(PRODUCE!$B209:$DY209,PRODUCE!$EB$51:$IY$51)</f>
        <v>0</v>
      </c>
      <c r="OM204" s="56">
        <v>18</v>
      </c>
      <c r="ON204" s="242">
        <f t="shared" si="1381"/>
        <v>-18</v>
      </c>
      <c r="OO204" s="242">
        <f t="shared" si="1382"/>
        <v>0</v>
      </c>
      <c r="OP204" s="56"/>
      <c r="OS204" s="55">
        <f t="shared" si="1383"/>
        <v>46195</v>
      </c>
      <c r="OT204" s="56"/>
      <c r="OU204" s="242">
        <f>SUMPRODUCT(PRODUCE!$B209:$DY209,PRODUCE!$EB$52:$IY$52)</f>
        <v>0</v>
      </c>
      <c r="OV204" s="56"/>
      <c r="OW204" s="242">
        <f t="shared" si="1384"/>
        <v>0</v>
      </c>
      <c r="OX204" s="242">
        <f t="shared" si="1385"/>
        <v>1482</v>
      </c>
      <c r="OY204" s="56"/>
      <c r="PB204" s="55">
        <f t="shared" si="1386"/>
        <v>46195</v>
      </c>
      <c r="PC204" s="56"/>
      <c r="PD204" s="242">
        <f>SUMPRODUCT(PRODUCE!$B209:$DY209,PRODUCE!$EB$53:$IY$53)</f>
        <v>0</v>
      </c>
      <c r="PE204" s="56"/>
      <c r="PF204" s="242">
        <f t="shared" si="1387"/>
        <v>0</v>
      </c>
      <c r="PG204" s="242">
        <f t="shared" si="1388"/>
        <v>0</v>
      </c>
      <c r="PH204" s="56"/>
      <c r="PK204" s="55">
        <f t="shared" si="1389"/>
        <v>46195</v>
      </c>
      <c r="PL204" s="56"/>
      <c r="PM204" s="242">
        <f>SUMPRODUCT(PRODUCE!$B209:$DY209,PRODUCE!$EB$54:$IY$54)</f>
        <v>0</v>
      </c>
      <c r="PN204" s="56"/>
      <c r="PO204" s="242">
        <f t="shared" si="1494"/>
        <v>0</v>
      </c>
      <c r="PP204" s="242">
        <f t="shared" si="1495"/>
        <v>100</v>
      </c>
      <c r="PQ204" s="56"/>
      <c r="PT204" s="55">
        <f t="shared" si="1392"/>
        <v>46195</v>
      </c>
      <c r="PU204" s="56"/>
      <c r="PV204" s="242">
        <f>SUMPRODUCT(PRODUCE!$B209:$DY209,PRODUCE!$EB$55:$IY$55)</f>
        <v>0</v>
      </c>
      <c r="PW204" s="56"/>
      <c r="PX204" s="242">
        <f t="shared" si="1393"/>
        <v>0</v>
      </c>
      <c r="PY204" s="242">
        <f t="shared" si="1394"/>
        <v>13.960000000000036</v>
      </c>
      <c r="PZ204" s="56"/>
      <c r="QC204" s="55">
        <f t="shared" si="1395"/>
        <v>46195</v>
      </c>
      <c r="QD204" s="56"/>
      <c r="QE204" s="242">
        <f>SUMPRODUCT(PRODUCE!$B209:$DY209,PRODUCE!$EB$56:$IY$56)</f>
        <v>0</v>
      </c>
      <c r="QF204" s="56"/>
      <c r="QG204" s="242">
        <f t="shared" si="1396"/>
        <v>0</v>
      </c>
      <c r="QH204" s="242">
        <f t="shared" si="1397"/>
        <v>1736</v>
      </c>
      <c r="QI204" s="56"/>
      <c r="QL204" s="55">
        <f t="shared" si="1398"/>
        <v>46195</v>
      </c>
      <c r="QM204" s="56"/>
      <c r="QN204" s="242">
        <f>SUMPRODUCT(PRODUCE!$B209:$DY209,PRODUCE!$EB$57:$IY$57)</f>
        <v>0</v>
      </c>
      <c r="QO204" s="56"/>
      <c r="QP204" s="242">
        <f t="shared" si="1399"/>
        <v>0</v>
      </c>
      <c r="QQ204" s="242">
        <f t="shared" si="1400"/>
        <v>250</v>
      </c>
      <c r="QR204" s="56"/>
      <c r="QU204" s="55">
        <f t="shared" si="1401"/>
        <v>46195</v>
      </c>
      <c r="QV204" s="56"/>
      <c r="QW204" s="242">
        <f>SUMPRODUCT(PRODUCE!$B209:$DY209,PRODUCE!$EB$58:$IY$58)</f>
        <v>0</v>
      </c>
      <c r="QX204" s="56"/>
      <c r="QY204" s="242">
        <f t="shared" si="1402"/>
        <v>0</v>
      </c>
      <c r="QZ204" s="242">
        <f t="shared" si="1403"/>
        <v>207.6</v>
      </c>
      <c r="RA204" s="56"/>
      <c r="RD204" s="55">
        <f t="shared" si="1404"/>
        <v>46195</v>
      </c>
      <c r="RE204" s="56"/>
      <c r="RF204" s="242">
        <f>SUMPRODUCT(PRODUCE!$B209:$DY209,PRODUCE!$EB$59:$IY$59)</f>
        <v>0</v>
      </c>
      <c r="RG204" s="56"/>
      <c r="RH204" s="242">
        <f t="shared" si="1405"/>
        <v>0</v>
      </c>
      <c r="RI204" s="242">
        <f t="shared" si="1406"/>
        <v>147.04000000000002</v>
      </c>
      <c r="RJ204" s="56"/>
      <c r="RM204" s="55">
        <f t="shared" si="1407"/>
        <v>46195</v>
      </c>
      <c r="RN204" s="56"/>
      <c r="RO204" s="242">
        <f>SUMPRODUCT(PRODUCE!$B209:$DY209,PRODUCE!$EB$60:$IY$60)</f>
        <v>0</v>
      </c>
      <c r="RP204" s="56"/>
      <c r="RQ204" s="242">
        <f t="shared" si="1408"/>
        <v>0</v>
      </c>
      <c r="RR204" s="242">
        <f t="shared" si="1409"/>
        <v>46.8</v>
      </c>
      <c r="RS204" s="56"/>
      <c r="RV204" s="55">
        <f t="shared" si="1410"/>
        <v>46195</v>
      </c>
      <c r="RW204" s="56"/>
      <c r="RX204" s="242">
        <f>SUMPRODUCT(PRODUCE!$B209:$DY209,PRODUCE!$EB$61:$IY$61)</f>
        <v>0</v>
      </c>
      <c r="RY204" s="56"/>
      <c r="RZ204" s="242">
        <f t="shared" si="1411"/>
        <v>0</v>
      </c>
      <c r="SA204" s="242">
        <f t="shared" si="1412"/>
        <v>0</v>
      </c>
      <c r="SB204" s="56"/>
      <c r="SE204" s="55">
        <f t="shared" si="1413"/>
        <v>46195</v>
      </c>
      <c r="SF204" s="56"/>
      <c r="SG204" s="242">
        <f>SUMPRODUCT(PRODUCE!$B209:$DY209,PRODUCE!$EB$62:$IY$62)</f>
        <v>0</v>
      </c>
      <c r="SH204" s="56"/>
      <c r="SI204" s="242">
        <f t="shared" si="1414"/>
        <v>0</v>
      </c>
      <c r="SJ204" s="242">
        <f t="shared" si="1415"/>
        <v>24.200000000000003</v>
      </c>
      <c r="SK204" s="56"/>
      <c r="SN204" s="55">
        <f t="shared" si="1416"/>
        <v>46195</v>
      </c>
      <c r="SO204" s="56"/>
      <c r="SP204" s="242">
        <f>SUMPRODUCT(PRODUCE!$B209:$DY209,PRODUCE!$EB$63:$IY$63)</f>
        <v>0</v>
      </c>
      <c r="SQ204" s="56"/>
      <c r="SR204" s="242">
        <f t="shared" si="1417"/>
        <v>0</v>
      </c>
      <c r="SS204" s="242">
        <f t="shared" si="1418"/>
        <v>32</v>
      </c>
      <c r="ST204" s="56"/>
      <c r="SW204" s="55">
        <f t="shared" si="1419"/>
        <v>46195</v>
      </c>
      <c r="SX204" s="56"/>
      <c r="SY204" s="242">
        <f>SUMPRODUCT(PRODUCE!$B209:$DY209,PRODUCE!$EB$64:$IY$64)</f>
        <v>0</v>
      </c>
      <c r="SZ204" s="56"/>
      <c r="TA204" s="242">
        <f t="shared" si="1420"/>
        <v>0</v>
      </c>
      <c r="TB204" s="242">
        <f t="shared" si="1421"/>
        <v>0</v>
      </c>
      <c r="TC204" s="56"/>
      <c r="TF204" s="55">
        <f t="shared" si="1422"/>
        <v>46195</v>
      </c>
      <c r="TG204" s="56"/>
      <c r="TH204" s="242">
        <f>SUMPRODUCT(PRODUCE!$B209:$DY209,PRODUCE!$EB$65:$IY$65)</f>
        <v>0</v>
      </c>
      <c r="TI204" s="56"/>
      <c r="TJ204" s="242">
        <f t="shared" si="1423"/>
        <v>0</v>
      </c>
      <c r="TK204" s="242">
        <f t="shared" si="1424"/>
        <v>0</v>
      </c>
      <c r="TL204" s="56"/>
      <c r="TO204" s="55">
        <f t="shared" si="1425"/>
        <v>46195</v>
      </c>
      <c r="TP204" s="56"/>
      <c r="TQ204" s="242">
        <f>SUMPRODUCT(PRODUCE!$B209:$DY209,PRODUCE!$EB$66:$IY$66)</f>
        <v>0</v>
      </c>
      <c r="TR204" s="56"/>
      <c r="TS204" s="242">
        <f t="shared" si="1426"/>
        <v>0</v>
      </c>
      <c r="TT204" s="242">
        <f t="shared" si="1427"/>
        <v>22.400000000000006</v>
      </c>
      <c r="TU204" s="56"/>
      <c r="TX204" s="55">
        <f t="shared" si="1428"/>
        <v>46195</v>
      </c>
      <c r="TY204" s="56"/>
      <c r="TZ204" s="242">
        <f>SUMPRODUCT(PRODUCE!$B209:$DY209,PRODUCE!$EB$67:$IY$67)</f>
        <v>0</v>
      </c>
      <c r="UA204" s="56"/>
      <c r="UB204" s="242">
        <f t="shared" si="1429"/>
        <v>0</v>
      </c>
      <c r="UC204" s="242">
        <f t="shared" si="1430"/>
        <v>46.799999999999983</v>
      </c>
      <c r="UD204" s="56"/>
      <c r="UG204" s="55">
        <f t="shared" si="1431"/>
        <v>46195</v>
      </c>
      <c r="UH204" s="56"/>
      <c r="UI204" s="242">
        <f>SUMPRODUCT(PRODUCE!$B209:$DY209,PRODUCE!$EB$68:$IY$68)</f>
        <v>0</v>
      </c>
      <c r="UJ204" s="56"/>
      <c r="UK204" s="242">
        <f t="shared" si="1432"/>
        <v>0</v>
      </c>
      <c r="UL204" s="242">
        <f t="shared" si="1433"/>
        <v>204</v>
      </c>
      <c r="UM204" s="56"/>
      <c r="UP204" s="55">
        <f t="shared" si="1434"/>
        <v>46195</v>
      </c>
      <c r="UQ204" s="56"/>
      <c r="UR204" s="242">
        <f>SUMPRODUCT(PRODUCE!$B209:$DY209,PRODUCE!$EB$69:$IY$69)</f>
        <v>0</v>
      </c>
      <c r="US204" s="56"/>
      <c r="UT204" s="242">
        <f t="shared" si="1435"/>
        <v>0</v>
      </c>
      <c r="UU204" s="242">
        <f t="shared" si="1436"/>
        <v>251.25</v>
      </c>
      <c r="UV204" s="56"/>
      <c r="UY204" s="55">
        <f t="shared" si="1437"/>
        <v>46195</v>
      </c>
      <c r="UZ204" s="56"/>
      <c r="VA204" s="242">
        <f>SUMPRODUCT(PRODUCE!$B209:$DY209,PRODUCE!$EB$70:$IY$70)</f>
        <v>0</v>
      </c>
      <c r="VB204" s="56"/>
      <c r="VC204" s="242">
        <f t="shared" si="1438"/>
        <v>0</v>
      </c>
      <c r="VD204" s="242">
        <f t="shared" si="1439"/>
        <v>41.600000000000023</v>
      </c>
      <c r="VE204" s="56"/>
      <c r="VH204" s="55">
        <f t="shared" si="1440"/>
        <v>46195</v>
      </c>
      <c r="VI204" s="56"/>
      <c r="VJ204" s="242">
        <f>SUMPRODUCT(PRODUCE!$B209:$DY209,PRODUCE!$EB$71:$IY$71)</f>
        <v>0</v>
      </c>
      <c r="VK204" s="56"/>
      <c r="VL204" s="242">
        <f t="shared" si="1441"/>
        <v>0</v>
      </c>
      <c r="VM204" s="242">
        <f t="shared" si="1442"/>
        <v>210</v>
      </c>
      <c r="VN204" s="56"/>
      <c r="VQ204" s="55">
        <f t="shared" si="1443"/>
        <v>46195</v>
      </c>
      <c r="VR204" s="56"/>
      <c r="VS204" s="242">
        <f>SUMPRODUCT(PRODUCE!$B209:$DY209,PRODUCE!$EB$57:$IY$57)</f>
        <v>0</v>
      </c>
      <c r="VT204" s="56"/>
      <c r="VU204" s="242">
        <f t="shared" si="1444"/>
        <v>0</v>
      </c>
      <c r="VV204" s="242">
        <f t="shared" si="1445"/>
        <v>0</v>
      </c>
      <c r="VW204" s="56"/>
      <c r="VZ204" s="55">
        <f t="shared" si="1446"/>
        <v>46195</v>
      </c>
      <c r="WA204" s="56"/>
      <c r="WB204" s="242">
        <f>SUMPRODUCT(PRODUCE!$B209:$DY209,PRODUCE!$EB$57:$IY$57)</f>
        <v>0</v>
      </c>
      <c r="WC204" s="56"/>
      <c r="WD204" s="242">
        <f t="shared" si="1447"/>
        <v>0</v>
      </c>
      <c r="WE204" s="242">
        <f t="shared" si="1448"/>
        <v>0</v>
      </c>
      <c r="WF204" s="56"/>
      <c r="WI204" s="55">
        <f t="shared" si="1449"/>
        <v>46195</v>
      </c>
      <c r="WJ204" s="422"/>
      <c r="WK204" s="540">
        <f>SUMPRODUCT(PRODUCE!$B209:$DY209,PRODUCE!$EB$74:$IY$74)</f>
        <v>0</v>
      </c>
      <c r="WL204" s="422"/>
      <c r="WM204" s="540">
        <f t="shared" si="1450"/>
        <v>0</v>
      </c>
      <c r="WN204" s="540">
        <f t="shared" si="1451"/>
        <v>1199</v>
      </c>
      <c r="WO204" s="56"/>
      <c r="WR204" s="55">
        <f t="shared" si="1452"/>
        <v>46195</v>
      </c>
      <c r="WS204" s="422"/>
      <c r="WT204" s="540">
        <f>SUMPRODUCT(PRODUCE!$B209:$DY209,PRODUCE!$EB$75:$IY$75)</f>
        <v>0</v>
      </c>
      <c r="WU204" s="422"/>
      <c r="WV204" s="540">
        <f t="shared" si="1453"/>
        <v>0</v>
      </c>
      <c r="WW204" s="540">
        <f t="shared" si="1454"/>
        <v>0</v>
      </c>
      <c r="WX204" s="56"/>
      <c r="XA204" s="55">
        <f t="shared" si="1455"/>
        <v>46195</v>
      </c>
      <c r="XB204" s="422"/>
      <c r="XC204" s="540">
        <f>SUMPRODUCT(PRODUCE!$B209:$DY209,PRODUCE!$EB$76:$IY$76)</f>
        <v>0</v>
      </c>
      <c r="XD204" s="422"/>
      <c r="XE204" s="540">
        <f t="shared" si="1456"/>
        <v>0</v>
      </c>
      <c r="XF204" s="540">
        <f t="shared" si="1457"/>
        <v>6813</v>
      </c>
      <c r="XG204" s="56"/>
      <c r="XJ204" s="55">
        <f t="shared" si="1458"/>
        <v>46195</v>
      </c>
      <c r="XK204" s="422"/>
      <c r="XL204" s="540">
        <f>SUMPRODUCT(PRODUCE!$B209:$DY209,PRODUCE!$EB$77:$IY$77)</f>
        <v>0</v>
      </c>
      <c r="XM204" s="422"/>
      <c r="XN204" s="540">
        <f t="shared" si="1459"/>
        <v>0</v>
      </c>
      <c r="XO204" s="540">
        <f t="shared" si="1460"/>
        <v>4689</v>
      </c>
      <c r="XP204" s="56"/>
      <c r="XS204" s="55">
        <f t="shared" si="1461"/>
        <v>46195</v>
      </c>
      <c r="XT204" s="56"/>
      <c r="XU204" s="242">
        <f>SUMPRODUCT(PRODUCE!$B209:$DY209,PRODUCE!$EB$78:$IY$78)</f>
        <v>0</v>
      </c>
      <c r="XV204" s="56"/>
      <c r="XW204" s="242">
        <f t="shared" si="1462"/>
        <v>0</v>
      </c>
      <c r="XX204" s="242">
        <f t="shared" si="1463"/>
        <v>1621</v>
      </c>
      <c r="XY204" s="56"/>
      <c r="YB204" s="55">
        <f t="shared" si="1464"/>
        <v>46195</v>
      </c>
      <c r="YC204" s="56"/>
      <c r="YD204" s="242">
        <f>SUMPRODUCT(PRODUCE!$B209:$DY209,PRODUCE!$EB$79:$IY$79)</f>
        <v>0</v>
      </c>
      <c r="YE204" s="56"/>
      <c r="YF204" s="242">
        <f t="shared" si="1465"/>
        <v>0</v>
      </c>
      <c r="YG204" s="242">
        <f t="shared" si="1466"/>
        <v>4072</v>
      </c>
      <c r="YH204" s="56"/>
      <c r="YK204" s="55">
        <f t="shared" si="1467"/>
        <v>46195</v>
      </c>
      <c r="YL204" s="56"/>
      <c r="YM204" s="242">
        <f>SUMPRODUCT(PRODUCE!$B209:$DY209,PRODUCE!$EB$80:$IY$80)</f>
        <v>0</v>
      </c>
      <c r="YN204" s="56"/>
      <c r="YO204" s="242">
        <f t="shared" si="1468"/>
        <v>0</v>
      </c>
      <c r="YP204" s="242">
        <f t="shared" si="1469"/>
        <v>0</v>
      </c>
      <c r="YQ204" s="56"/>
      <c r="YT204" s="55">
        <f t="shared" si="1470"/>
        <v>46195</v>
      </c>
      <c r="YU204" s="56"/>
      <c r="YV204" s="242">
        <f>SUMPRODUCT(PRODUCE!$B209:$DY209,PRODUCE!$EB$57:$IY$57)</f>
        <v>0</v>
      </c>
      <c r="YW204" s="56"/>
      <c r="YX204" s="242">
        <f t="shared" si="1471"/>
        <v>0</v>
      </c>
      <c r="YY204" s="242">
        <f t="shared" si="1472"/>
        <v>0</v>
      </c>
      <c r="YZ204" s="56"/>
      <c r="ZC204" s="55">
        <f t="shared" si="1473"/>
        <v>46195</v>
      </c>
      <c r="ZD204" s="56"/>
      <c r="ZE204" s="242">
        <f>SUMPRODUCT(PRODUCE!$B209:$DY209,PRODUCE!$EB$57:$IY$57)</f>
        <v>0</v>
      </c>
      <c r="ZF204" s="56"/>
      <c r="ZG204" s="242">
        <f t="shared" si="1474"/>
        <v>0</v>
      </c>
      <c r="ZH204" s="242">
        <f t="shared" si="1475"/>
        <v>0</v>
      </c>
      <c r="ZI204" s="56"/>
      <c r="ZL204" s="55">
        <f t="shared" si="1476"/>
        <v>46195</v>
      </c>
      <c r="ZM204" s="56"/>
      <c r="ZN204" s="242">
        <f>SUMPRODUCT(PRODUCE!$B209:$DY209,PRODUCE!$EB$57:$IY$57)</f>
        <v>0</v>
      </c>
      <c r="ZO204" s="56"/>
      <c r="ZP204" s="242">
        <f t="shared" si="1477"/>
        <v>0</v>
      </c>
      <c r="ZQ204" s="242">
        <f t="shared" si="1478"/>
        <v>0</v>
      </c>
      <c r="ZR204" s="56"/>
      <c r="ZU204" s="55">
        <f t="shared" si="1479"/>
        <v>46195</v>
      </c>
      <c r="ZV204" s="56"/>
      <c r="ZW204" s="242">
        <f>SUMPRODUCT(PRODUCE!$B209:$DY209,PRODUCE!$EB$57:$IY$57)</f>
        <v>0</v>
      </c>
      <c r="ZX204" s="56"/>
      <c r="ZY204" s="242">
        <f t="shared" si="1480"/>
        <v>0</v>
      </c>
      <c r="ZZ204" s="242">
        <f t="shared" si="1481"/>
        <v>0</v>
      </c>
      <c r="AAA204" s="56"/>
      <c r="AAD204" s="55">
        <f t="shared" si="1482"/>
        <v>46195</v>
      </c>
      <c r="AAE204" s="56"/>
      <c r="AAF204" s="242">
        <f>SUMPRODUCT(PRODUCE!$B209:$DY209,PRODUCE!$EB$57:$IY$57)</f>
        <v>0</v>
      </c>
      <c r="AAG204" s="56"/>
      <c r="AAH204" s="242">
        <f t="shared" si="1483"/>
        <v>0</v>
      </c>
      <c r="AAI204" s="242">
        <f t="shared" si="1484"/>
        <v>0</v>
      </c>
      <c r="AAJ204" s="56"/>
      <c r="AAM204" s="55">
        <f t="shared" si="1485"/>
        <v>46195</v>
      </c>
      <c r="AAN204" s="56"/>
      <c r="AAO204" s="242">
        <f>SUMPRODUCT(PRODUCE!$B209:$DY209,PRODUCE!$EB$57:$IY$57)</f>
        <v>0</v>
      </c>
      <c r="AAP204" s="56"/>
      <c r="AAQ204" s="242">
        <f t="shared" si="1486"/>
        <v>0</v>
      </c>
      <c r="AAR204" s="242">
        <f t="shared" si="1487"/>
        <v>0</v>
      </c>
      <c r="AAS204" s="56"/>
      <c r="AAV204" s="55">
        <f t="shared" si="1488"/>
        <v>46195</v>
      </c>
      <c r="AAW204" s="56"/>
      <c r="AAX204" s="242">
        <f>SUMPRODUCT(PRODUCE!$B209:$DY209,PRODUCE!$EB$57:$IY$57)</f>
        <v>0</v>
      </c>
      <c r="AAY204" s="56"/>
      <c r="AAZ204" s="242">
        <f t="shared" si="1489"/>
        <v>0</v>
      </c>
      <c r="ABA204" s="242">
        <f t="shared" si="1490"/>
        <v>0</v>
      </c>
      <c r="ABB204" s="56"/>
      <c r="ABE204" s="55">
        <f t="shared" si="1491"/>
        <v>46195</v>
      </c>
      <c r="ABF204" s="56"/>
      <c r="ABG204" s="242">
        <f>SUMPRODUCT(PRODUCE!$B209:$DY209,PRODUCE!$EB$57:$IY$57)</f>
        <v>0</v>
      </c>
      <c r="ABH204" s="56"/>
      <c r="ABI204" s="242">
        <f t="shared" si="1492"/>
        <v>0</v>
      </c>
      <c r="ABJ204" s="242">
        <f t="shared" si="1493"/>
        <v>0</v>
      </c>
      <c r="ABK204" s="56"/>
    </row>
    <row r="205" spans="2:739" s="54" customFormat="1" ht="15" customHeight="1" outlineLevel="1">
      <c r="B205" s="478">
        <v>20</v>
      </c>
      <c r="C205" s="55">
        <v>46196</v>
      </c>
      <c r="D205" s="422">
        <v>26600</v>
      </c>
      <c r="E205" s="423">
        <f>SUMPRODUCT(PRODUCE!$B210:$DY210,PRODUCE!$EB$7:$IY$7)</f>
        <v>12288</v>
      </c>
      <c r="F205" s="422">
        <v>12273.8</v>
      </c>
      <c r="G205" s="423">
        <f t="shared" si="1249"/>
        <v>14.200000000000728</v>
      </c>
      <c r="H205" s="423">
        <f t="shared" si="1250"/>
        <v>121357.20000000006</v>
      </c>
      <c r="I205" s="289" t="s">
        <v>291</v>
      </c>
      <c r="L205" s="55">
        <f t="shared" si="1251"/>
        <v>46196</v>
      </c>
      <c r="M205" s="422">
        <v>27650</v>
      </c>
      <c r="N205" s="438">
        <f>SUMPRODUCT(PRODUCE!$B210:$DY210,PRODUCE!$EB$8:$IY$8)</f>
        <v>4476.0000000000009</v>
      </c>
      <c r="O205" s="422">
        <v>4474.2</v>
      </c>
      <c r="P205" s="438">
        <f t="shared" si="1252"/>
        <v>1.8000000000010914</v>
      </c>
      <c r="Q205" s="438">
        <f t="shared" si="1253"/>
        <v>91979.400000000081</v>
      </c>
      <c r="R205" s="56"/>
      <c r="U205" s="55">
        <f t="shared" si="1254"/>
        <v>46196</v>
      </c>
      <c r="V205" s="422"/>
      <c r="W205" s="440">
        <f>SUMPRODUCT(PRODUCE!$B210:$DY210,PRODUCE!$EB$9:$IY$9)</f>
        <v>1400</v>
      </c>
      <c r="X205" s="422">
        <v>1401</v>
      </c>
      <c r="Y205" s="440">
        <f t="shared" si="1255"/>
        <v>-1</v>
      </c>
      <c r="Z205" s="440">
        <f t="shared" si="1256"/>
        <v>31686.699999999975</v>
      </c>
      <c r="AA205" s="56"/>
      <c r="AD205" s="55">
        <f t="shared" si="1257"/>
        <v>46196</v>
      </c>
      <c r="AE205" s="422"/>
      <c r="AF205" s="442">
        <f>SUMPRODUCT(PRODUCE!$B210:$DY210,PRODUCE!$EB$10:$IY$10)</f>
        <v>0</v>
      </c>
      <c r="AG205" s="422"/>
      <c r="AH205" s="442">
        <f t="shared" si="1258"/>
        <v>0</v>
      </c>
      <c r="AI205" s="442">
        <f t="shared" si="1259"/>
        <v>33372.700000000019</v>
      </c>
      <c r="AJ205" s="56"/>
      <c r="AM205" s="55">
        <f t="shared" si="1260"/>
        <v>46196</v>
      </c>
      <c r="AN205" s="422"/>
      <c r="AO205" s="444">
        <f>SUMPRODUCT(PRODUCE!$B210:$DY210,PRODUCE!$EB$11:$IY$11)</f>
        <v>0</v>
      </c>
      <c r="AP205" s="422"/>
      <c r="AQ205" s="444">
        <f t="shared" si="1261"/>
        <v>0</v>
      </c>
      <c r="AR205" s="444">
        <f t="shared" si="1262"/>
        <v>0</v>
      </c>
      <c r="AS205" s="56"/>
      <c r="AV205" s="55">
        <f t="shared" si="1263"/>
        <v>46196</v>
      </c>
      <c r="AW205" s="422"/>
      <c r="AX205" s="446">
        <f>SUMPRODUCT(PRODUCE!$B210:$DY210,PRODUCE!$EB$12:$IY$12)</f>
        <v>0</v>
      </c>
      <c r="AY205" s="422"/>
      <c r="AZ205" s="446">
        <f t="shared" si="1264"/>
        <v>0</v>
      </c>
      <c r="BA205" s="446">
        <f t="shared" si="1265"/>
        <v>14066.499999999996</v>
      </c>
      <c r="BB205" s="56"/>
      <c r="BE205" s="55">
        <f t="shared" si="1266"/>
        <v>46196</v>
      </c>
      <c r="BF205" s="422"/>
      <c r="BG205" s="448">
        <f>SUMPRODUCT(PRODUCE!$B210:$DY210,PRODUCE!$EB$13:$IY$13)</f>
        <v>200</v>
      </c>
      <c r="BH205" s="422"/>
      <c r="BI205" s="448">
        <f t="shared" si="1267"/>
        <v>200</v>
      </c>
      <c r="BJ205" s="448">
        <f t="shared" si="1268"/>
        <v>39235.399999999994</v>
      </c>
      <c r="BK205" s="56"/>
      <c r="BN205" s="55">
        <f t="shared" si="1269"/>
        <v>46196</v>
      </c>
      <c r="BO205" s="422">
        <v>100</v>
      </c>
      <c r="BP205" s="450">
        <f>SUMPRODUCT(PRODUCE!$B210:$DY210,PRODUCE!$EB$14:$IY$14)</f>
        <v>100</v>
      </c>
      <c r="BQ205" s="422">
        <v>100</v>
      </c>
      <c r="BR205" s="450">
        <f t="shared" si="1270"/>
        <v>0</v>
      </c>
      <c r="BS205" s="450">
        <f t="shared" si="1271"/>
        <v>0</v>
      </c>
      <c r="BT205" s="56"/>
      <c r="BW205" s="55">
        <f t="shared" si="1272"/>
        <v>46196</v>
      </c>
      <c r="BX205" s="422"/>
      <c r="BY205" s="523">
        <f>SUMPRODUCT(PRODUCE!$B210:$DY210,PRODUCE!$EB$15:$IY$15)</f>
        <v>86.1</v>
      </c>
      <c r="BZ205" s="422"/>
      <c r="CA205" s="523">
        <f t="shared" si="1273"/>
        <v>86.1</v>
      </c>
      <c r="CB205" s="523">
        <f t="shared" si="1274"/>
        <v>3145.2699999999991</v>
      </c>
      <c r="CC205" s="56"/>
      <c r="CF205" s="55">
        <f t="shared" si="1275"/>
        <v>46196</v>
      </c>
      <c r="CG205" s="422"/>
      <c r="CH205" s="524">
        <f>SUMPRODUCT(PRODUCE!$B210:$DY210,PRODUCE!$EB$16:$IY$16)</f>
        <v>0</v>
      </c>
      <c r="CI205" s="422"/>
      <c r="CJ205" s="524">
        <f t="shared" si="1276"/>
        <v>0</v>
      </c>
      <c r="CK205" s="524">
        <f t="shared" si="1277"/>
        <v>0</v>
      </c>
      <c r="CL205" s="56"/>
      <c r="CO205" s="55">
        <f t="shared" si="1278"/>
        <v>46196</v>
      </c>
      <c r="CP205" s="422"/>
      <c r="CQ205" s="470">
        <f>SUMPRODUCT(PRODUCE!$B210:$DY210,PRODUCE!$EB$17:$IY$17)</f>
        <v>0</v>
      </c>
      <c r="CR205" s="422"/>
      <c r="CS205" s="470">
        <f t="shared" si="1279"/>
        <v>0</v>
      </c>
      <c r="CT205" s="470">
        <f t="shared" si="1280"/>
        <v>0</v>
      </c>
      <c r="CU205" s="56"/>
      <c r="CX205" s="55">
        <f t="shared" si="1281"/>
        <v>46196</v>
      </c>
      <c r="CY205" s="422"/>
      <c r="CZ205" s="525">
        <f>SUMPRODUCT(PRODUCE!$B210:$DY210,PRODUCE!$EB$18:$IY$18)</f>
        <v>400</v>
      </c>
      <c r="DA205" s="422">
        <v>401</v>
      </c>
      <c r="DB205" s="525">
        <f t="shared" si="1282"/>
        <v>-1</v>
      </c>
      <c r="DC205" s="525">
        <f t="shared" si="1283"/>
        <v>14422.000000000007</v>
      </c>
      <c r="DD205" s="56"/>
      <c r="DG205" s="55">
        <f t="shared" si="1284"/>
        <v>46196</v>
      </c>
      <c r="DH205" s="422"/>
      <c r="DI205" s="526">
        <f>SUMPRODUCT(PRODUCE!$B210:$DY210,PRODUCE!$EB$19:$IY$19)</f>
        <v>0</v>
      </c>
      <c r="DJ205" s="422"/>
      <c r="DK205" s="526">
        <f t="shared" si="1285"/>
        <v>0</v>
      </c>
      <c r="DL205" s="526">
        <f t="shared" si="1286"/>
        <v>35234.999999999985</v>
      </c>
      <c r="DM205" s="56"/>
      <c r="DP205" s="55">
        <f t="shared" si="1287"/>
        <v>46196</v>
      </c>
      <c r="DQ205" s="56"/>
      <c r="DR205" s="57">
        <f>SUMPRODUCT(PRODUCE!$B210:$DY210,PRODUCE!$EB$20:$IY$20)</f>
        <v>0</v>
      </c>
      <c r="DS205" s="56"/>
      <c r="DT205" s="57">
        <f t="shared" si="1288"/>
        <v>0</v>
      </c>
      <c r="DU205" s="57">
        <f t="shared" si="1289"/>
        <v>5800</v>
      </c>
      <c r="DV205" s="56"/>
      <c r="DY205" s="55">
        <f t="shared" si="1290"/>
        <v>46196</v>
      </c>
      <c r="DZ205" s="56"/>
      <c r="EA205" s="157">
        <f>SUMPRODUCT(PRODUCE!$B210:$DY210,PRODUCE!$EB$21:$IY$21)</f>
        <v>0</v>
      </c>
      <c r="EB205" s="56"/>
      <c r="EC205" s="157">
        <f t="shared" si="1291"/>
        <v>0</v>
      </c>
      <c r="ED205" s="157">
        <f t="shared" si="1292"/>
        <v>0</v>
      </c>
      <c r="EE205" s="56"/>
      <c r="EH205" s="55">
        <f t="shared" si="1293"/>
        <v>46196</v>
      </c>
      <c r="EI205" s="56"/>
      <c r="EJ205" s="162">
        <f>SUMPRODUCT(PRODUCE!$B210:$DY210,PRODUCE!$EB$22:$IY$22)</f>
        <v>0</v>
      </c>
      <c r="EK205" s="56"/>
      <c r="EL205" s="162">
        <f t="shared" si="1294"/>
        <v>0</v>
      </c>
      <c r="EM205" s="162">
        <f t="shared" si="1295"/>
        <v>0</v>
      </c>
      <c r="EN205" s="56"/>
      <c r="EQ205" s="55">
        <f t="shared" si="1296"/>
        <v>46196</v>
      </c>
      <c r="ER205" s="56"/>
      <c r="ES205" s="135">
        <f>SUMPRODUCT(PRODUCE!$B210:$DY210,PRODUCE!$EB$23:$IY$23)</f>
        <v>0</v>
      </c>
      <c r="ET205" s="56"/>
      <c r="EU205" s="135">
        <f t="shared" si="1297"/>
        <v>0</v>
      </c>
      <c r="EV205" s="135">
        <f t="shared" si="1298"/>
        <v>0</v>
      </c>
      <c r="EW205" s="56"/>
      <c r="EZ205" s="55">
        <f t="shared" si="1299"/>
        <v>46196</v>
      </c>
      <c r="FA205" s="56"/>
      <c r="FB205" s="175">
        <f>SUMPRODUCT(PRODUCE!$B210:$DY210,PRODUCE!$EB$24:$IY$24)</f>
        <v>0</v>
      </c>
      <c r="FC205" s="56"/>
      <c r="FD205" s="175">
        <f t="shared" si="1300"/>
        <v>0</v>
      </c>
      <c r="FE205" s="175">
        <f t="shared" si="1301"/>
        <v>0</v>
      </c>
      <c r="FF205" s="56"/>
      <c r="FI205" s="55">
        <f t="shared" si="1302"/>
        <v>46196</v>
      </c>
      <c r="FJ205" s="56"/>
      <c r="FK205" s="183">
        <f>SUMPRODUCT(PRODUCE!$B210:$DY210,PRODUCE!$EB$25:$IY$25)</f>
        <v>0</v>
      </c>
      <c r="FL205" s="56"/>
      <c r="FM205" s="183">
        <f t="shared" si="1303"/>
        <v>0</v>
      </c>
      <c r="FN205" s="183">
        <f t="shared" si="1304"/>
        <v>0</v>
      </c>
      <c r="FO205" s="56"/>
      <c r="FR205" s="55">
        <f t="shared" si="1305"/>
        <v>46196</v>
      </c>
      <c r="FS205" s="56"/>
      <c r="FT205" s="186">
        <f>SUMPRODUCT(PRODUCE!$B210:$DY210,PRODUCE!$EB$26:$IY$26)</f>
        <v>0</v>
      </c>
      <c r="FU205" s="56"/>
      <c r="FV205" s="186">
        <f t="shared" si="1306"/>
        <v>0</v>
      </c>
      <c r="FW205" s="186">
        <f t="shared" si="1307"/>
        <v>1160</v>
      </c>
      <c r="FX205" s="56"/>
      <c r="GA205" s="55">
        <f t="shared" si="1308"/>
        <v>46196</v>
      </c>
      <c r="GB205" s="56"/>
      <c r="GC205" s="137">
        <f>SUMPRODUCT(PRODUCE!$B210:$DY210,PRODUCE!$EB$27:$IY$27)</f>
        <v>0</v>
      </c>
      <c r="GD205" s="56"/>
      <c r="GE205" s="137">
        <f t="shared" si="1309"/>
        <v>0</v>
      </c>
      <c r="GF205" s="137">
        <f t="shared" si="1310"/>
        <v>960</v>
      </c>
      <c r="GG205" s="56"/>
      <c r="GI205" s="23"/>
      <c r="GJ205" s="55">
        <f t="shared" si="1311"/>
        <v>46196</v>
      </c>
      <c r="GK205" s="56"/>
      <c r="GL205" s="199">
        <f>SUMPRODUCT(PRODUCE!$B210:$DY210,PRODUCE!$EB$28:$IY$28)</f>
        <v>0</v>
      </c>
      <c r="GM205" s="56"/>
      <c r="GN205" s="199">
        <f t="shared" si="1312"/>
        <v>0</v>
      </c>
      <c r="GO205" s="199">
        <f t="shared" si="1313"/>
        <v>1760</v>
      </c>
      <c r="GP205" s="56"/>
      <c r="GS205" s="55">
        <f t="shared" si="1314"/>
        <v>46196</v>
      </c>
      <c r="GT205" s="56"/>
      <c r="GU205" s="195">
        <f>SUMPRODUCT(PRODUCE!$B210:$DY210,PRODUCE!$EB$29:$IY$29)</f>
        <v>0</v>
      </c>
      <c r="GV205" s="56"/>
      <c r="GW205" s="195">
        <f t="shared" si="1315"/>
        <v>0</v>
      </c>
      <c r="GX205" s="195">
        <f t="shared" si="1316"/>
        <v>400</v>
      </c>
      <c r="GY205" s="56"/>
      <c r="HB205" s="55">
        <f t="shared" si="1317"/>
        <v>46196</v>
      </c>
      <c r="HC205" s="56"/>
      <c r="HD205" s="191">
        <f>SUMPRODUCT(PRODUCE!$B210:$DY210,PRODUCE!$EB$30:$IY$30)</f>
        <v>0</v>
      </c>
      <c r="HE205" s="56"/>
      <c r="HF205" s="191">
        <f t="shared" si="1318"/>
        <v>0</v>
      </c>
      <c r="HG205" s="191">
        <f t="shared" si="1319"/>
        <v>3600</v>
      </c>
      <c r="HH205" s="56"/>
      <c r="HK205" s="55">
        <f t="shared" si="1320"/>
        <v>46196</v>
      </c>
      <c r="HL205" s="56"/>
      <c r="HM205" s="63">
        <f>SUMPRODUCT(PRODUCE!$B210:$DY210,PRODUCE!$EB$31:$IY$31)</f>
        <v>0</v>
      </c>
      <c r="HN205" s="56"/>
      <c r="HO205" s="63">
        <f t="shared" si="1321"/>
        <v>0</v>
      </c>
      <c r="HP205" s="63">
        <f t="shared" si="1322"/>
        <v>0</v>
      </c>
      <c r="HQ205" s="56"/>
      <c r="HU205" s="55">
        <f t="shared" si="1323"/>
        <v>46196</v>
      </c>
      <c r="HV205" s="56"/>
      <c r="HW205" s="242">
        <f>SUMPRODUCT(PRODUCE!$B210:$DY210,PRODUCE!$EB$32:$IY$32)</f>
        <v>0</v>
      </c>
      <c r="HX205" s="56"/>
      <c r="HY205" s="242">
        <f t="shared" si="1324"/>
        <v>0</v>
      </c>
      <c r="HZ205" s="242">
        <f t="shared" si="1325"/>
        <v>6800</v>
      </c>
      <c r="IA205" s="56"/>
      <c r="ID205" s="55">
        <f t="shared" si="1326"/>
        <v>46196</v>
      </c>
      <c r="IE205" s="56"/>
      <c r="IF205" s="242">
        <f>SUMPRODUCT(PRODUCE!$B210:$DY210,PRODUCE!$EB$33:$IY$33)</f>
        <v>0</v>
      </c>
      <c r="IG205" s="56"/>
      <c r="IH205" s="242">
        <f t="shared" si="1327"/>
        <v>0</v>
      </c>
      <c r="II205" s="242">
        <f t="shared" si="1328"/>
        <v>720</v>
      </c>
      <c r="IJ205" s="56"/>
      <c r="IM205" s="55">
        <f t="shared" si="1329"/>
        <v>46196</v>
      </c>
      <c r="IN205" s="56"/>
      <c r="IO205" s="242">
        <f>SUMPRODUCT(PRODUCE!$B210:$DY210,PRODUCE!$EB$34:$IY$34)</f>
        <v>0</v>
      </c>
      <c r="IP205" s="56"/>
      <c r="IQ205" s="242">
        <f t="shared" si="1330"/>
        <v>0</v>
      </c>
      <c r="IR205" s="242">
        <f t="shared" si="1331"/>
        <v>6520</v>
      </c>
      <c r="IS205" s="56"/>
      <c r="IV205" s="55">
        <f t="shared" si="1332"/>
        <v>46196</v>
      </c>
      <c r="IW205" s="56"/>
      <c r="IX205" s="242">
        <f>SUMPRODUCT(PRODUCE!$B210:$DY210,PRODUCE!$EB$35:$IY$35)</f>
        <v>0</v>
      </c>
      <c r="IY205" s="56"/>
      <c r="IZ205" s="242">
        <f t="shared" si="1333"/>
        <v>0</v>
      </c>
      <c r="JA205" s="242">
        <f t="shared" si="1334"/>
        <v>4960</v>
      </c>
      <c r="JB205" s="56"/>
      <c r="JE205" s="55">
        <f t="shared" si="1335"/>
        <v>46196</v>
      </c>
      <c r="JF205" s="56"/>
      <c r="JG205" s="242">
        <f>SUMPRODUCT(PRODUCE!$B210:$DY210,PRODUCE!$EB$36:$IY$36)</f>
        <v>0</v>
      </c>
      <c r="JH205" s="56"/>
      <c r="JI205" s="242">
        <f t="shared" si="1336"/>
        <v>0</v>
      </c>
      <c r="JJ205" s="242">
        <f t="shared" si="1337"/>
        <v>0</v>
      </c>
      <c r="JK205" s="56"/>
      <c r="JN205" s="55">
        <f t="shared" si="1338"/>
        <v>46196</v>
      </c>
      <c r="JO205" s="56"/>
      <c r="JP205" s="242">
        <f>SUMPRODUCT(PRODUCE!$B210:$DY210,PRODUCE!$EB$37:$IY$37)</f>
        <v>0</v>
      </c>
      <c r="JQ205" s="56"/>
      <c r="JR205" s="242">
        <f t="shared" si="1339"/>
        <v>0</v>
      </c>
      <c r="JS205" s="242">
        <f t="shared" si="1340"/>
        <v>0</v>
      </c>
      <c r="JT205" s="56"/>
      <c r="JW205" s="55">
        <f t="shared" si="1341"/>
        <v>46196</v>
      </c>
      <c r="JX205" s="56"/>
      <c r="JY205" s="242">
        <f>SUMPRODUCT(PRODUCE!$B210:$DY210,PRODUCE!$EB$38:$IY$38)</f>
        <v>0</v>
      </c>
      <c r="JZ205" s="56"/>
      <c r="KA205" s="242">
        <f t="shared" si="1342"/>
        <v>0</v>
      </c>
      <c r="KB205" s="242">
        <f t="shared" si="1343"/>
        <v>2540</v>
      </c>
      <c r="KC205" s="56"/>
      <c r="KF205" s="55">
        <f t="shared" si="1344"/>
        <v>46196</v>
      </c>
      <c r="KG205" s="56"/>
      <c r="KH205" s="242">
        <f>SUMPRODUCT(PRODUCE!$B210:$DY210,PRODUCE!$EB$39:$IY$39)</f>
        <v>0</v>
      </c>
      <c r="KI205" s="56"/>
      <c r="KJ205" s="242">
        <f t="shared" si="1345"/>
        <v>0</v>
      </c>
      <c r="KK205" s="242">
        <f t="shared" si="1346"/>
        <v>2359.5</v>
      </c>
      <c r="KL205" s="56"/>
      <c r="KO205" s="55">
        <f t="shared" si="1347"/>
        <v>46196</v>
      </c>
      <c r="KP205" s="56"/>
      <c r="KQ205" s="242">
        <f>SUMPRODUCT(PRODUCE!$B210:$DY210,PRODUCE!$EB$40:$IY$40)</f>
        <v>0</v>
      </c>
      <c r="KR205" s="56"/>
      <c r="KS205" s="242">
        <f t="shared" si="1348"/>
        <v>0</v>
      </c>
      <c r="KT205" s="242">
        <f t="shared" si="1349"/>
        <v>1890</v>
      </c>
      <c r="KU205" s="56"/>
      <c r="KW205" s="23"/>
      <c r="KX205" s="55">
        <f t="shared" si="1350"/>
        <v>46196</v>
      </c>
      <c r="KY205" s="56"/>
      <c r="KZ205" s="242">
        <f>SUMPRODUCT(PRODUCE!$B210:$DY210,PRODUCE!$EB$41:$IY$41)</f>
        <v>0</v>
      </c>
      <c r="LA205" s="56"/>
      <c r="LB205" s="242">
        <f t="shared" si="1351"/>
        <v>0</v>
      </c>
      <c r="LC205" s="242">
        <f t="shared" si="1352"/>
        <v>3690</v>
      </c>
      <c r="LD205" s="56"/>
      <c r="LG205" s="55">
        <f t="shared" si="1353"/>
        <v>46196</v>
      </c>
      <c r="LH205" s="56"/>
      <c r="LI205" s="242">
        <f>SUMPRODUCT(PRODUCE!$B210:$DY210,PRODUCE!$EB$42:$IY$42)</f>
        <v>0</v>
      </c>
      <c r="LJ205" s="56"/>
      <c r="LK205" s="242">
        <f t="shared" si="1354"/>
        <v>0</v>
      </c>
      <c r="LL205" s="242">
        <f t="shared" si="1355"/>
        <v>4000</v>
      </c>
      <c r="LM205" s="56"/>
      <c r="LP205" s="55">
        <f t="shared" si="1356"/>
        <v>46196</v>
      </c>
      <c r="LQ205" s="56"/>
      <c r="LR205" s="242">
        <f>SUMPRODUCT(PRODUCE!$B210:$DY210,PRODUCE!$EB$43:$IY$43)</f>
        <v>0</v>
      </c>
      <c r="LS205" s="56"/>
      <c r="LT205" s="242">
        <f t="shared" si="1357"/>
        <v>0</v>
      </c>
      <c r="LU205" s="242">
        <f t="shared" si="1358"/>
        <v>0</v>
      </c>
      <c r="LV205" s="56"/>
      <c r="LY205" s="55">
        <f t="shared" si="1359"/>
        <v>46196</v>
      </c>
      <c r="LZ205" s="56"/>
      <c r="MA205" s="242">
        <f>SUMPRODUCT(PRODUCE!$B210:$DY210,PRODUCE!$EB$44:$IY$44)</f>
        <v>0</v>
      </c>
      <c r="MB205" s="56"/>
      <c r="MC205" s="242">
        <f t="shared" si="1360"/>
        <v>0</v>
      </c>
      <c r="MD205" s="242">
        <f t="shared" si="1361"/>
        <v>0</v>
      </c>
      <c r="ME205" s="56"/>
      <c r="MH205" s="55">
        <f t="shared" si="1362"/>
        <v>46196</v>
      </c>
      <c r="MI205" s="56"/>
      <c r="MJ205" s="242">
        <f>SUMPRODUCT(PRODUCE!$B210:$DY210,PRODUCE!$EB$45:$IY$45)</f>
        <v>0</v>
      </c>
      <c r="MK205" s="56"/>
      <c r="ML205" s="242">
        <f t="shared" si="1363"/>
        <v>0</v>
      </c>
      <c r="MM205" s="242">
        <f t="shared" si="1364"/>
        <v>0</v>
      </c>
      <c r="MN205" s="56"/>
      <c r="MQ205" s="55">
        <f t="shared" si="1365"/>
        <v>46196</v>
      </c>
      <c r="MR205" s="56"/>
      <c r="MS205" s="242">
        <f>SUMPRODUCT(PRODUCE!$B210:$DY210,PRODUCE!$EB$46:$IY$46)</f>
        <v>0</v>
      </c>
      <c r="MT205" s="56"/>
      <c r="MU205" s="242">
        <f t="shared" si="1366"/>
        <v>0</v>
      </c>
      <c r="MV205" s="242">
        <f t="shared" si="1367"/>
        <v>3704</v>
      </c>
      <c r="MW205" s="56"/>
      <c r="MZ205" s="55">
        <f t="shared" si="1368"/>
        <v>46196</v>
      </c>
      <c r="NA205" s="56"/>
      <c r="NB205" s="242">
        <f>SUMPRODUCT(PRODUCE!$B210:$DY210,PRODUCE!$EB$47:$IY$47)</f>
        <v>0</v>
      </c>
      <c r="NC205" s="56"/>
      <c r="ND205" s="242">
        <f t="shared" si="1369"/>
        <v>0</v>
      </c>
      <c r="NE205" s="242">
        <f t="shared" si="1370"/>
        <v>0</v>
      </c>
      <c r="NF205" s="56"/>
      <c r="NI205" s="55">
        <f t="shared" si="1371"/>
        <v>46196</v>
      </c>
      <c r="NJ205" s="56"/>
      <c r="NK205" s="242">
        <f>SUMPRODUCT(PRODUCE!$B210:$DY210,PRODUCE!$EB$48:$IY$48)</f>
        <v>0</v>
      </c>
      <c r="NL205" s="56"/>
      <c r="NM205" s="242">
        <f t="shared" si="1372"/>
        <v>0</v>
      </c>
      <c r="NN205" s="242">
        <f t="shared" si="1373"/>
        <v>1127</v>
      </c>
      <c r="NO205" s="56"/>
      <c r="NR205" s="55">
        <f t="shared" si="1374"/>
        <v>46196</v>
      </c>
      <c r="NS205" s="56"/>
      <c r="NT205" s="242">
        <f>SUMPRODUCT(PRODUCE!$B210:$DY210,PRODUCE!$EB$49:$IY$49)</f>
        <v>0</v>
      </c>
      <c r="NU205" s="56"/>
      <c r="NV205" s="242">
        <f t="shared" si="1375"/>
        <v>0</v>
      </c>
      <c r="NW205" s="242">
        <f t="shared" si="1376"/>
        <v>3111.9999999999995</v>
      </c>
      <c r="NX205" s="56"/>
      <c r="OA205" s="55">
        <f t="shared" si="1377"/>
        <v>46196</v>
      </c>
      <c r="OB205" s="56"/>
      <c r="OC205" s="242">
        <f>SUMPRODUCT(PRODUCE!$B210:$DY210,PRODUCE!$EB$50:$IY$50)</f>
        <v>0</v>
      </c>
      <c r="OD205" s="56"/>
      <c r="OE205" s="242">
        <f t="shared" si="1378"/>
        <v>0</v>
      </c>
      <c r="OF205" s="242">
        <f t="shared" si="1379"/>
        <v>1680.5</v>
      </c>
      <c r="OG205" s="56"/>
      <c r="OJ205" s="55">
        <f t="shared" si="1380"/>
        <v>46196</v>
      </c>
      <c r="OK205" s="56"/>
      <c r="OL205" s="242">
        <f>SUMPRODUCT(PRODUCE!$B210:$DY210,PRODUCE!$EB$51:$IY$51)</f>
        <v>0</v>
      </c>
      <c r="OM205" s="56"/>
      <c r="ON205" s="242">
        <f t="shared" si="1381"/>
        <v>0</v>
      </c>
      <c r="OO205" s="242">
        <f t="shared" si="1382"/>
        <v>0</v>
      </c>
      <c r="OP205" s="56"/>
      <c r="OS205" s="55">
        <f t="shared" si="1383"/>
        <v>46196</v>
      </c>
      <c r="OT205" s="56"/>
      <c r="OU205" s="242">
        <f>SUMPRODUCT(PRODUCE!$B210:$DY210,PRODUCE!$EB$52:$IY$52)</f>
        <v>0</v>
      </c>
      <c r="OV205" s="56"/>
      <c r="OW205" s="242">
        <f t="shared" si="1384"/>
        <v>0</v>
      </c>
      <c r="OX205" s="242">
        <f t="shared" si="1385"/>
        <v>1482</v>
      </c>
      <c r="OY205" s="56"/>
      <c r="PB205" s="55">
        <f t="shared" si="1386"/>
        <v>46196</v>
      </c>
      <c r="PC205" s="56"/>
      <c r="PD205" s="242">
        <f>SUMPRODUCT(PRODUCE!$B210:$DY210,PRODUCE!$EB$53:$IY$53)</f>
        <v>0</v>
      </c>
      <c r="PE205" s="56"/>
      <c r="PF205" s="242">
        <f t="shared" si="1387"/>
        <v>0</v>
      </c>
      <c r="PG205" s="242">
        <f t="shared" si="1388"/>
        <v>0</v>
      </c>
      <c r="PH205" s="56"/>
      <c r="PK205" s="55">
        <f t="shared" si="1389"/>
        <v>46196</v>
      </c>
      <c r="PL205" s="56"/>
      <c r="PM205" s="242">
        <f>SUMPRODUCT(PRODUCE!$B210:$DY210,PRODUCE!$EB$54:$IY$54)</f>
        <v>0</v>
      </c>
      <c r="PN205" s="56"/>
      <c r="PO205" s="242">
        <f t="shared" si="1494"/>
        <v>0</v>
      </c>
      <c r="PP205" s="242">
        <f t="shared" si="1495"/>
        <v>100</v>
      </c>
      <c r="PQ205" s="56"/>
      <c r="PT205" s="55">
        <f t="shared" si="1392"/>
        <v>46196</v>
      </c>
      <c r="PU205" s="56"/>
      <c r="PV205" s="242">
        <f>SUMPRODUCT(PRODUCE!$B210:$DY210,PRODUCE!$EB$55:$IY$55)</f>
        <v>0</v>
      </c>
      <c r="PW205" s="56"/>
      <c r="PX205" s="242">
        <f t="shared" si="1393"/>
        <v>0</v>
      </c>
      <c r="PY205" s="242">
        <f t="shared" si="1394"/>
        <v>13.960000000000036</v>
      </c>
      <c r="PZ205" s="56"/>
      <c r="QC205" s="55">
        <f t="shared" si="1395"/>
        <v>46196</v>
      </c>
      <c r="QD205" s="56"/>
      <c r="QE205" s="242">
        <f>SUMPRODUCT(PRODUCE!$B210:$DY210,PRODUCE!$EB$56:$IY$56)</f>
        <v>0</v>
      </c>
      <c r="QF205" s="56"/>
      <c r="QG205" s="242">
        <f t="shared" si="1396"/>
        <v>0</v>
      </c>
      <c r="QH205" s="242">
        <f t="shared" si="1397"/>
        <v>1736</v>
      </c>
      <c r="QI205" s="56"/>
      <c r="QL205" s="55">
        <f t="shared" si="1398"/>
        <v>46196</v>
      </c>
      <c r="QM205" s="56"/>
      <c r="QN205" s="242">
        <f>SUMPRODUCT(PRODUCE!$B210:$DY210,PRODUCE!$EB$57:$IY$57)</f>
        <v>0</v>
      </c>
      <c r="QO205" s="56"/>
      <c r="QP205" s="242">
        <f t="shared" si="1399"/>
        <v>0</v>
      </c>
      <c r="QQ205" s="242">
        <f t="shared" si="1400"/>
        <v>250</v>
      </c>
      <c r="QR205" s="56"/>
      <c r="QU205" s="55">
        <f t="shared" si="1401"/>
        <v>46196</v>
      </c>
      <c r="QV205" s="56"/>
      <c r="QW205" s="242">
        <f>SUMPRODUCT(PRODUCE!$B210:$DY210,PRODUCE!$EB$58:$IY$58)</f>
        <v>0</v>
      </c>
      <c r="QX205" s="56"/>
      <c r="QY205" s="242">
        <f t="shared" si="1402"/>
        <v>0</v>
      </c>
      <c r="QZ205" s="242">
        <f t="shared" si="1403"/>
        <v>207.6</v>
      </c>
      <c r="RA205" s="56"/>
      <c r="RD205" s="55">
        <f t="shared" si="1404"/>
        <v>46196</v>
      </c>
      <c r="RE205" s="56"/>
      <c r="RF205" s="242">
        <f>SUMPRODUCT(PRODUCE!$B210:$DY210,PRODUCE!$EB$59:$IY$59)</f>
        <v>0</v>
      </c>
      <c r="RG205" s="56"/>
      <c r="RH205" s="242">
        <f t="shared" si="1405"/>
        <v>0</v>
      </c>
      <c r="RI205" s="242">
        <f t="shared" si="1406"/>
        <v>147.04000000000002</v>
      </c>
      <c r="RJ205" s="56"/>
      <c r="RM205" s="55">
        <f t="shared" si="1407"/>
        <v>46196</v>
      </c>
      <c r="RN205" s="56"/>
      <c r="RO205" s="242">
        <f>SUMPRODUCT(PRODUCE!$B210:$DY210,PRODUCE!$EB$60:$IY$60)</f>
        <v>0</v>
      </c>
      <c r="RP205" s="56"/>
      <c r="RQ205" s="242">
        <f t="shared" si="1408"/>
        <v>0</v>
      </c>
      <c r="RR205" s="242">
        <f t="shared" si="1409"/>
        <v>46.8</v>
      </c>
      <c r="RS205" s="56"/>
      <c r="RV205" s="55">
        <f t="shared" si="1410"/>
        <v>46196</v>
      </c>
      <c r="RW205" s="56"/>
      <c r="RX205" s="242">
        <f>SUMPRODUCT(PRODUCE!$B210:$DY210,PRODUCE!$EB$61:$IY$61)</f>
        <v>0</v>
      </c>
      <c r="RY205" s="56"/>
      <c r="RZ205" s="242">
        <f t="shared" si="1411"/>
        <v>0</v>
      </c>
      <c r="SA205" s="242">
        <f t="shared" si="1412"/>
        <v>0</v>
      </c>
      <c r="SB205" s="56"/>
      <c r="SE205" s="55">
        <f t="shared" si="1413"/>
        <v>46196</v>
      </c>
      <c r="SF205" s="56"/>
      <c r="SG205" s="242">
        <f>SUMPRODUCT(PRODUCE!$B210:$DY210,PRODUCE!$EB$62:$IY$62)</f>
        <v>0</v>
      </c>
      <c r="SH205" s="56"/>
      <c r="SI205" s="242">
        <f t="shared" si="1414"/>
        <v>0</v>
      </c>
      <c r="SJ205" s="242">
        <f t="shared" si="1415"/>
        <v>24.200000000000003</v>
      </c>
      <c r="SK205" s="56"/>
      <c r="SN205" s="55">
        <f t="shared" si="1416"/>
        <v>46196</v>
      </c>
      <c r="SO205" s="56"/>
      <c r="SP205" s="242">
        <f>SUMPRODUCT(PRODUCE!$B210:$DY210,PRODUCE!$EB$63:$IY$63)</f>
        <v>0</v>
      </c>
      <c r="SQ205" s="56"/>
      <c r="SR205" s="242">
        <f t="shared" si="1417"/>
        <v>0</v>
      </c>
      <c r="SS205" s="242">
        <f t="shared" si="1418"/>
        <v>32</v>
      </c>
      <c r="ST205" s="56"/>
      <c r="SW205" s="55">
        <f t="shared" si="1419"/>
        <v>46196</v>
      </c>
      <c r="SX205" s="56"/>
      <c r="SY205" s="242">
        <f>SUMPRODUCT(PRODUCE!$B210:$DY210,PRODUCE!$EB$64:$IY$64)</f>
        <v>0</v>
      </c>
      <c r="SZ205" s="56"/>
      <c r="TA205" s="242">
        <f t="shared" si="1420"/>
        <v>0</v>
      </c>
      <c r="TB205" s="242">
        <f t="shared" si="1421"/>
        <v>0</v>
      </c>
      <c r="TC205" s="56"/>
      <c r="TF205" s="55">
        <f t="shared" si="1422"/>
        <v>46196</v>
      </c>
      <c r="TG205" s="56"/>
      <c r="TH205" s="242">
        <f>SUMPRODUCT(PRODUCE!$B210:$DY210,PRODUCE!$EB$65:$IY$65)</f>
        <v>0</v>
      </c>
      <c r="TI205" s="56"/>
      <c r="TJ205" s="242">
        <f t="shared" si="1423"/>
        <v>0</v>
      </c>
      <c r="TK205" s="242">
        <f t="shared" si="1424"/>
        <v>0</v>
      </c>
      <c r="TL205" s="56"/>
      <c r="TO205" s="55">
        <f t="shared" si="1425"/>
        <v>46196</v>
      </c>
      <c r="TP205" s="56"/>
      <c r="TQ205" s="242">
        <f>SUMPRODUCT(PRODUCE!$B210:$DY210,PRODUCE!$EB$66:$IY$66)</f>
        <v>0</v>
      </c>
      <c r="TR205" s="56"/>
      <c r="TS205" s="242">
        <f t="shared" si="1426"/>
        <v>0</v>
      </c>
      <c r="TT205" s="242">
        <f t="shared" si="1427"/>
        <v>22.400000000000006</v>
      </c>
      <c r="TU205" s="56"/>
      <c r="TX205" s="55">
        <f t="shared" si="1428"/>
        <v>46196</v>
      </c>
      <c r="TY205" s="56"/>
      <c r="TZ205" s="242">
        <f>SUMPRODUCT(PRODUCE!$B210:$DY210,PRODUCE!$EB$67:$IY$67)</f>
        <v>0</v>
      </c>
      <c r="UA205" s="56"/>
      <c r="UB205" s="242">
        <f t="shared" si="1429"/>
        <v>0</v>
      </c>
      <c r="UC205" s="242">
        <f t="shared" si="1430"/>
        <v>46.799999999999983</v>
      </c>
      <c r="UD205" s="56"/>
      <c r="UG205" s="55">
        <f t="shared" si="1431"/>
        <v>46196</v>
      </c>
      <c r="UH205" s="56"/>
      <c r="UI205" s="242">
        <f>SUMPRODUCT(PRODUCE!$B210:$DY210,PRODUCE!$EB$68:$IY$68)</f>
        <v>0</v>
      </c>
      <c r="UJ205" s="56"/>
      <c r="UK205" s="242">
        <f t="shared" si="1432"/>
        <v>0</v>
      </c>
      <c r="UL205" s="242">
        <f t="shared" si="1433"/>
        <v>204</v>
      </c>
      <c r="UM205" s="56"/>
      <c r="UP205" s="55">
        <f t="shared" si="1434"/>
        <v>46196</v>
      </c>
      <c r="UQ205" s="56"/>
      <c r="UR205" s="242">
        <f>SUMPRODUCT(PRODUCE!$B210:$DY210,PRODUCE!$EB$69:$IY$69)</f>
        <v>0</v>
      </c>
      <c r="US205" s="56"/>
      <c r="UT205" s="242">
        <f t="shared" si="1435"/>
        <v>0</v>
      </c>
      <c r="UU205" s="242">
        <f t="shared" si="1436"/>
        <v>251.25</v>
      </c>
      <c r="UV205" s="56"/>
      <c r="UY205" s="55">
        <f t="shared" si="1437"/>
        <v>46196</v>
      </c>
      <c r="UZ205" s="56"/>
      <c r="VA205" s="242">
        <f>SUMPRODUCT(PRODUCE!$B210:$DY210,PRODUCE!$EB$70:$IY$70)</f>
        <v>0</v>
      </c>
      <c r="VB205" s="56"/>
      <c r="VC205" s="242">
        <f t="shared" si="1438"/>
        <v>0</v>
      </c>
      <c r="VD205" s="242">
        <f t="shared" si="1439"/>
        <v>41.600000000000023</v>
      </c>
      <c r="VE205" s="56"/>
      <c r="VH205" s="55">
        <f t="shared" si="1440"/>
        <v>46196</v>
      </c>
      <c r="VI205" s="56"/>
      <c r="VJ205" s="242">
        <f>SUMPRODUCT(PRODUCE!$B210:$DY210,PRODUCE!$EB$71:$IY$71)</f>
        <v>0</v>
      </c>
      <c r="VK205" s="56"/>
      <c r="VL205" s="242">
        <f t="shared" si="1441"/>
        <v>0</v>
      </c>
      <c r="VM205" s="242">
        <f t="shared" si="1442"/>
        <v>210</v>
      </c>
      <c r="VN205" s="56"/>
      <c r="VQ205" s="55">
        <f t="shared" si="1443"/>
        <v>46196</v>
      </c>
      <c r="VR205" s="56"/>
      <c r="VS205" s="242">
        <f>SUMPRODUCT(PRODUCE!$B210:$DY210,PRODUCE!$EB$57:$IY$57)</f>
        <v>0</v>
      </c>
      <c r="VT205" s="56"/>
      <c r="VU205" s="242">
        <f t="shared" si="1444"/>
        <v>0</v>
      </c>
      <c r="VV205" s="242">
        <f t="shared" si="1445"/>
        <v>0</v>
      </c>
      <c r="VW205" s="56"/>
      <c r="VZ205" s="55">
        <f t="shared" si="1446"/>
        <v>46196</v>
      </c>
      <c r="WA205" s="56"/>
      <c r="WB205" s="242">
        <f>SUMPRODUCT(PRODUCE!$B210:$DY210,PRODUCE!$EB$57:$IY$57)</f>
        <v>0</v>
      </c>
      <c r="WC205" s="56"/>
      <c r="WD205" s="242">
        <f t="shared" si="1447"/>
        <v>0</v>
      </c>
      <c r="WE205" s="242">
        <f t="shared" si="1448"/>
        <v>0</v>
      </c>
      <c r="WF205" s="56"/>
      <c r="WI205" s="55">
        <f t="shared" si="1449"/>
        <v>46196</v>
      </c>
      <c r="WJ205" s="422"/>
      <c r="WK205" s="540">
        <f>SUMPRODUCT(PRODUCE!$B210:$DY210,PRODUCE!$EB$74:$IY$74)</f>
        <v>0</v>
      </c>
      <c r="WL205" s="422"/>
      <c r="WM205" s="540">
        <f t="shared" si="1450"/>
        <v>0</v>
      </c>
      <c r="WN205" s="540">
        <f t="shared" si="1451"/>
        <v>1199</v>
      </c>
      <c r="WO205" s="56"/>
      <c r="WR205" s="55">
        <f t="shared" si="1452"/>
        <v>46196</v>
      </c>
      <c r="WS205" s="422"/>
      <c r="WT205" s="540">
        <f>SUMPRODUCT(PRODUCE!$B210:$DY210,PRODUCE!$EB$75:$IY$75)</f>
        <v>0</v>
      </c>
      <c r="WU205" s="422"/>
      <c r="WV205" s="540">
        <f t="shared" si="1453"/>
        <v>0</v>
      </c>
      <c r="WW205" s="540">
        <f t="shared" si="1454"/>
        <v>0</v>
      </c>
      <c r="WX205" s="56"/>
      <c r="XA205" s="55">
        <f t="shared" si="1455"/>
        <v>46196</v>
      </c>
      <c r="XB205" s="422"/>
      <c r="XC205" s="540">
        <f>SUMPRODUCT(PRODUCE!$B210:$DY210,PRODUCE!$EB$76:$IY$76)</f>
        <v>0</v>
      </c>
      <c r="XD205" s="422"/>
      <c r="XE205" s="540">
        <f t="shared" si="1456"/>
        <v>0</v>
      </c>
      <c r="XF205" s="540">
        <f t="shared" si="1457"/>
        <v>6813</v>
      </c>
      <c r="XG205" s="56"/>
      <c r="XJ205" s="55">
        <f t="shared" si="1458"/>
        <v>46196</v>
      </c>
      <c r="XK205" s="422"/>
      <c r="XL205" s="540">
        <f>SUMPRODUCT(PRODUCE!$B210:$DY210,PRODUCE!$EB$77:$IY$77)</f>
        <v>0</v>
      </c>
      <c r="XM205" s="422"/>
      <c r="XN205" s="540">
        <f t="shared" si="1459"/>
        <v>0</v>
      </c>
      <c r="XO205" s="540">
        <f t="shared" si="1460"/>
        <v>4689</v>
      </c>
      <c r="XP205" s="56"/>
      <c r="XS205" s="55">
        <f t="shared" si="1461"/>
        <v>46196</v>
      </c>
      <c r="XT205" s="56"/>
      <c r="XU205" s="242">
        <f>SUMPRODUCT(PRODUCE!$B210:$DY210,PRODUCE!$EB$78:$IY$78)</f>
        <v>0</v>
      </c>
      <c r="XV205" s="56"/>
      <c r="XW205" s="242">
        <f t="shared" si="1462"/>
        <v>0</v>
      </c>
      <c r="XX205" s="242">
        <f t="shared" si="1463"/>
        <v>1621</v>
      </c>
      <c r="XY205" s="56"/>
      <c r="YB205" s="55">
        <f t="shared" si="1464"/>
        <v>46196</v>
      </c>
      <c r="YC205" s="56"/>
      <c r="YD205" s="242">
        <f>SUMPRODUCT(PRODUCE!$B210:$DY210,PRODUCE!$EB$79:$IY$79)</f>
        <v>0</v>
      </c>
      <c r="YE205" s="56"/>
      <c r="YF205" s="242">
        <f t="shared" si="1465"/>
        <v>0</v>
      </c>
      <c r="YG205" s="242">
        <f t="shared" si="1466"/>
        <v>4072</v>
      </c>
      <c r="YH205" s="56"/>
      <c r="YK205" s="55">
        <f t="shared" si="1467"/>
        <v>46196</v>
      </c>
      <c r="YL205" s="56"/>
      <c r="YM205" s="242">
        <f>SUMPRODUCT(PRODUCE!$B210:$DY210,PRODUCE!$EB$80:$IY$80)</f>
        <v>0</v>
      </c>
      <c r="YN205" s="56"/>
      <c r="YO205" s="242">
        <f t="shared" si="1468"/>
        <v>0</v>
      </c>
      <c r="YP205" s="242">
        <f t="shared" si="1469"/>
        <v>0</v>
      </c>
      <c r="YQ205" s="56"/>
      <c r="YT205" s="55">
        <f t="shared" si="1470"/>
        <v>46196</v>
      </c>
      <c r="YU205" s="56"/>
      <c r="YV205" s="242">
        <f>SUMPRODUCT(PRODUCE!$B210:$DY210,PRODUCE!$EB$57:$IY$57)</f>
        <v>0</v>
      </c>
      <c r="YW205" s="56"/>
      <c r="YX205" s="242">
        <f t="shared" si="1471"/>
        <v>0</v>
      </c>
      <c r="YY205" s="242">
        <f t="shared" si="1472"/>
        <v>0</v>
      </c>
      <c r="YZ205" s="56"/>
      <c r="ZC205" s="55">
        <f t="shared" si="1473"/>
        <v>46196</v>
      </c>
      <c r="ZD205" s="56"/>
      <c r="ZE205" s="242">
        <f>SUMPRODUCT(PRODUCE!$B210:$DY210,PRODUCE!$EB$57:$IY$57)</f>
        <v>0</v>
      </c>
      <c r="ZF205" s="56"/>
      <c r="ZG205" s="242">
        <f t="shared" si="1474"/>
        <v>0</v>
      </c>
      <c r="ZH205" s="242">
        <f t="shared" si="1475"/>
        <v>0</v>
      </c>
      <c r="ZI205" s="56"/>
      <c r="ZL205" s="55">
        <f t="shared" si="1476"/>
        <v>46196</v>
      </c>
      <c r="ZM205" s="56"/>
      <c r="ZN205" s="242">
        <f>SUMPRODUCT(PRODUCE!$B210:$DY210,PRODUCE!$EB$57:$IY$57)</f>
        <v>0</v>
      </c>
      <c r="ZO205" s="56"/>
      <c r="ZP205" s="242">
        <f t="shared" si="1477"/>
        <v>0</v>
      </c>
      <c r="ZQ205" s="242">
        <f t="shared" si="1478"/>
        <v>0</v>
      </c>
      <c r="ZR205" s="56"/>
      <c r="ZU205" s="55">
        <f t="shared" si="1479"/>
        <v>46196</v>
      </c>
      <c r="ZV205" s="56"/>
      <c r="ZW205" s="242">
        <f>SUMPRODUCT(PRODUCE!$B210:$DY210,PRODUCE!$EB$57:$IY$57)</f>
        <v>0</v>
      </c>
      <c r="ZX205" s="56"/>
      <c r="ZY205" s="242">
        <f t="shared" si="1480"/>
        <v>0</v>
      </c>
      <c r="ZZ205" s="242">
        <f t="shared" si="1481"/>
        <v>0</v>
      </c>
      <c r="AAA205" s="56"/>
      <c r="AAD205" s="55">
        <f t="shared" si="1482"/>
        <v>46196</v>
      </c>
      <c r="AAE205" s="56"/>
      <c r="AAF205" s="242">
        <f>SUMPRODUCT(PRODUCE!$B210:$DY210,PRODUCE!$EB$57:$IY$57)</f>
        <v>0</v>
      </c>
      <c r="AAG205" s="56"/>
      <c r="AAH205" s="242">
        <f t="shared" si="1483"/>
        <v>0</v>
      </c>
      <c r="AAI205" s="242">
        <f t="shared" si="1484"/>
        <v>0</v>
      </c>
      <c r="AAJ205" s="56"/>
      <c r="AAM205" s="55">
        <f t="shared" si="1485"/>
        <v>46196</v>
      </c>
      <c r="AAN205" s="56"/>
      <c r="AAO205" s="242">
        <f>SUMPRODUCT(PRODUCE!$B210:$DY210,PRODUCE!$EB$57:$IY$57)</f>
        <v>0</v>
      </c>
      <c r="AAP205" s="56"/>
      <c r="AAQ205" s="242">
        <f t="shared" si="1486"/>
        <v>0</v>
      </c>
      <c r="AAR205" s="242">
        <f t="shared" si="1487"/>
        <v>0</v>
      </c>
      <c r="AAS205" s="56"/>
      <c r="AAV205" s="55">
        <f t="shared" si="1488"/>
        <v>46196</v>
      </c>
      <c r="AAW205" s="56"/>
      <c r="AAX205" s="242">
        <f>SUMPRODUCT(PRODUCE!$B210:$DY210,PRODUCE!$EB$57:$IY$57)</f>
        <v>0</v>
      </c>
      <c r="AAY205" s="56"/>
      <c r="AAZ205" s="242">
        <f t="shared" si="1489"/>
        <v>0</v>
      </c>
      <c r="ABA205" s="242">
        <f t="shared" si="1490"/>
        <v>0</v>
      </c>
      <c r="ABB205" s="56"/>
      <c r="ABE205" s="55">
        <f t="shared" si="1491"/>
        <v>46196</v>
      </c>
      <c r="ABF205" s="56"/>
      <c r="ABG205" s="242">
        <f>SUMPRODUCT(PRODUCE!$B210:$DY210,PRODUCE!$EB$57:$IY$57)</f>
        <v>0</v>
      </c>
      <c r="ABH205" s="56"/>
      <c r="ABI205" s="242">
        <f t="shared" si="1492"/>
        <v>0</v>
      </c>
      <c r="ABJ205" s="242">
        <f t="shared" si="1493"/>
        <v>0</v>
      </c>
      <c r="ABK205" s="56"/>
    </row>
    <row r="206" spans="2:739" s="54" customFormat="1" ht="15" customHeight="1" outlineLevel="1">
      <c r="B206" s="478">
        <v>24</v>
      </c>
      <c r="C206" s="55">
        <v>46197</v>
      </c>
      <c r="D206" s="422"/>
      <c r="E206" s="423">
        <f>SUMPRODUCT(PRODUCE!$B211:$DY211,PRODUCE!$EB$7:$IY$7)</f>
        <v>13054.800000000001</v>
      </c>
      <c r="F206" s="422">
        <v>13049.6</v>
      </c>
      <c r="G206" s="423">
        <f t="shared" si="1249"/>
        <v>5.2000000000007276</v>
      </c>
      <c r="H206" s="423">
        <f t="shared" si="1250"/>
        <v>108307.60000000005</v>
      </c>
      <c r="I206" s="289" t="s">
        <v>292</v>
      </c>
      <c r="L206" s="55">
        <f t="shared" si="1251"/>
        <v>46197</v>
      </c>
      <c r="M206" s="422"/>
      <c r="N206" s="438">
        <f>SUMPRODUCT(PRODUCE!$B211:$DY211,PRODUCE!$EB$8:$IY$8)</f>
        <v>7140</v>
      </c>
      <c r="O206" s="422">
        <v>7132.8</v>
      </c>
      <c r="P206" s="438">
        <f t="shared" si="1252"/>
        <v>7.1999999999998181</v>
      </c>
      <c r="Q206" s="438">
        <f t="shared" si="1253"/>
        <v>84846.600000000079</v>
      </c>
      <c r="R206" s="56"/>
      <c r="U206" s="55">
        <f t="shared" si="1254"/>
        <v>46197</v>
      </c>
      <c r="V206" s="422"/>
      <c r="W206" s="440">
        <f>SUMPRODUCT(PRODUCE!$B211:$DY211,PRODUCE!$EB$9:$IY$9)</f>
        <v>1440</v>
      </c>
      <c r="X206" s="422">
        <v>1439.5</v>
      </c>
      <c r="Y206" s="440">
        <f t="shared" si="1255"/>
        <v>0.5</v>
      </c>
      <c r="Z206" s="440">
        <f t="shared" si="1256"/>
        <v>30247.199999999975</v>
      </c>
      <c r="AA206" s="56"/>
      <c r="AD206" s="55">
        <f t="shared" si="1257"/>
        <v>46197</v>
      </c>
      <c r="AE206" s="422"/>
      <c r="AF206" s="442">
        <f>SUMPRODUCT(PRODUCE!$B211:$DY211,PRODUCE!$EB$10:$IY$10)</f>
        <v>0</v>
      </c>
      <c r="AG206" s="422"/>
      <c r="AH206" s="442">
        <f t="shared" si="1258"/>
        <v>0</v>
      </c>
      <c r="AI206" s="442">
        <f t="shared" si="1259"/>
        <v>33372.700000000019</v>
      </c>
      <c r="AJ206" s="56"/>
      <c r="AM206" s="55">
        <f t="shared" si="1260"/>
        <v>46197</v>
      </c>
      <c r="AN206" s="422"/>
      <c r="AO206" s="444">
        <f>SUMPRODUCT(PRODUCE!$B211:$DY211,PRODUCE!$EB$11:$IY$11)</f>
        <v>0</v>
      </c>
      <c r="AP206" s="422"/>
      <c r="AQ206" s="444">
        <f t="shared" si="1261"/>
        <v>0</v>
      </c>
      <c r="AR206" s="444">
        <f t="shared" si="1262"/>
        <v>0</v>
      </c>
      <c r="AS206" s="56"/>
      <c r="AV206" s="55">
        <f t="shared" si="1263"/>
        <v>46197</v>
      </c>
      <c r="AW206" s="422"/>
      <c r="AX206" s="446">
        <f>SUMPRODUCT(PRODUCE!$B211:$DY211,PRODUCE!$EB$12:$IY$12)</f>
        <v>0</v>
      </c>
      <c r="AY206" s="422"/>
      <c r="AZ206" s="446">
        <f t="shared" si="1264"/>
        <v>0</v>
      </c>
      <c r="BA206" s="446">
        <f t="shared" si="1265"/>
        <v>14066.499999999996</v>
      </c>
      <c r="BB206" s="56"/>
      <c r="BE206" s="55">
        <f t="shared" si="1266"/>
        <v>46197</v>
      </c>
      <c r="BF206" s="422"/>
      <c r="BG206" s="448">
        <f>SUMPRODUCT(PRODUCE!$B211:$DY211,PRODUCE!$EB$13:$IY$13)</f>
        <v>0</v>
      </c>
      <c r="BH206" s="422"/>
      <c r="BI206" s="448">
        <f t="shared" si="1267"/>
        <v>0</v>
      </c>
      <c r="BJ206" s="448">
        <f t="shared" si="1268"/>
        <v>39235.399999999994</v>
      </c>
      <c r="BK206" s="56"/>
      <c r="BN206" s="55">
        <f t="shared" si="1269"/>
        <v>46197</v>
      </c>
      <c r="BO206" s="422">
        <v>119.9</v>
      </c>
      <c r="BP206" s="450">
        <f>SUMPRODUCT(PRODUCE!$B211:$DY211,PRODUCE!$EB$14:$IY$14)</f>
        <v>120</v>
      </c>
      <c r="BQ206" s="422">
        <v>119.9</v>
      </c>
      <c r="BR206" s="450">
        <f t="shared" si="1270"/>
        <v>9.9999999999994316E-2</v>
      </c>
      <c r="BS206" s="450">
        <f t="shared" si="1271"/>
        <v>0</v>
      </c>
      <c r="BT206" s="56"/>
      <c r="BW206" s="55">
        <f t="shared" si="1272"/>
        <v>46197</v>
      </c>
      <c r="BX206" s="422"/>
      <c r="BY206" s="523">
        <f>SUMPRODUCT(PRODUCE!$B211:$DY211,PRODUCE!$EB$15:$IY$15)</f>
        <v>176.52</v>
      </c>
      <c r="BZ206" s="422"/>
      <c r="CA206" s="523">
        <f t="shared" si="1273"/>
        <v>176.52</v>
      </c>
      <c r="CB206" s="523">
        <f t="shared" si="1274"/>
        <v>3145.2699999999991</v>
      </c>
      <c r="CC206" s="56"/>
      <c r="CF206" s="55">
        <f t="shared" si="1275"/>
        <v>46197</v>
      </c>
      <c r="CG206" s="422"/>
      <c r="CH206" s="524">
        <f>SUMPRODUCT(PRODUCE!$B211:$DY211,PRODUCE!$EB$16:$IY$16)</f>
        <v>0</v>
      </c>
      <c r="CI206" s="422"/>
      <c r="CJ206" s="524">
        <f t="shared" si="1276"/>
        <v>0</v>
      </c>
      <c r="CK206" s="524">
        <f t="shared" si="1277"/>
        <v>0</v>
      </c>
      <c r="CL206" s="56"/>
      <c r="CO206" s="55">
        <f t="shared" si="1278"/>
        <v>46197</v>
      </c>
      <c r="CP206" s="422"/>
      <c r="CQ206" s="470">
        <f>SUMPRODUCT(PRODUCE!$B211:$DY211,PRODUCE!$EB$17:$IY$17)</f>
        <v>0</v>
      </c>
      <c r="CR206" s="422"/>
      <c r="CS206" s="470">
        <f t="shared" si="1279"/>
        <v>0</v>
      </c>
      <c r="CT206" s="470">
        <f t="shared" si="1280"/>
        <v>0</v>
      </c>
      <c r="CU206" s="56"/>
      <c r="CX206" s="55">
        <f t="shared" si="1281"/>
        <v>46197</v>
      </c>
      <c r="CY206" s="422"/>
      <c r="CZ206" s="525">
        <f>SUMPRODUCT(PRODUCE!$B211:$DY211,PRODUCE!$EB$18:$IY$18)</f>
        <v>480</v>
      </c>
      <c r="DA206" s="422">
        <v>480.6</v>
      </c>
      <c r="DB206" s="525">
        <f t="shared" si="1282"/>
        <v>-0.60000000000002274</v>
      </c>
      <c r="DC206" s="525">
        <f t="shared" si="1283"/>
        <v>13941.400000000007</v>
      </c>
      <c r="DD206" s="56"/>
      <c r="DG206" s="55">
        <f t="shared" si="1284"/>
        <v>46197</v>
      </c>
      <c r="DH206" s="422"/>
      <c r="DI206" s="526">
        <f>SUMPRODUCT(PRODUCE!$B211:$DY211,PRODUCE!$EB$19:$IY$19)</f>
        <v>0</v>
      </c>
      <c r="DJ206" s="422"/>
      <c r="DK206" s="526">
        <f t="shared" si="1285"/>
        <v>0</v>
      </c>
      <c r="DL206" s="526">
        <f t="shared" si="1286"/>
        <v>35234.999999999985</v>
      </c>
      <c r="DM206" s="56"/>
      <c r="DP206" s="55">
        <f t="shared" si="1287"/>
        <v>46197</v>
      </c>
      <c r="DQ206" s="56"/>
      <c r="DR206" s="57">
        <f>SUMPRODUCT(PRODUCE!$B211:$DY211,PRODUCE!$EB$20:$IY$20)</f>
        <v>0</v>
      </c>
      <c r="DS206" s="56"/>
      <c r="DT206" s="57">
        <f t="shared" si="1288"/>
        <v>0</v>
      </c>
      <c r="DU206" s="57">
        <f t="shared" si="1289"/>
        <v>5800</v>
      </c>
      <c r="DV206" s="56"/>
      <c r="DY206" s="55">
        <f t="shared" si="1290"/>
        <v>46197</v>
      </c>
      <c r="DZ206" s="56"/>
      <c r="EA206" s="157">
        <f>SUMPRODUCT(PRODUCE!$B211:$DY211,PRODUCE!$EB$21:$IY$21)</f>
        <v>0</v>
      </c>
      <c r="EB206" s="56"/>
      <c r="EC206" s="157">
        <f t="shared" si="1291"/>
        <v>0</v>
      </c>
      <c r="ED206" s="157">
        <f t="shared" si="1292"/>
        <v>0</v>
      </c>
      <c r="EE206" s="56"/>
      <c r="EH206" s="55">
        <f t="shared" si="1293"/>
        <v>46197</v>
      </c>
      <c r="EI206" s="56"/>
      <c r="EJ206" s="162">
        <f>SUMPRODUCT(PRODUCE!$B211:$DY211,PRODUCE!$EB$22:$IY$22)</f>
        <v>0</v>
      </c>
      <c r="EK206" s="56"/>
      <c r="EL206" s="162">
        <f t="shared" si="1294"/>
        <v>0</v>
      </c>
      <c r="EM206" s="162">
        <f t="shared" si="1295"/>
        <v>0</v>
      </c>
      <c r="EN206" s="56"/>
      <c r="EQ206" s="55">
        <f t="shared" si="1296"/>
        <v>46197</v>
      </c>
      <c r="ER206" s="56"/>
      <c r="ES206" s="135">
        <f>SUMPRODUCT(PRODUCE!$B211:$DY211,PRODUCE!$EB$23:$IY$23)</f>
        <v>0</v>
      </c>
      <c r="ET206" s="56"/>
      <c r="EU206" s="135">
        <f t="shared" si="1297"/>
        <v>0</v>
      </c>
      <c r="EV206" s="135">
        <f t="shared" si="1298"/>
        <v>0</v>
      </c>
      <c r="EW206" s="56"/>
      <c r="EZ206" s="55">
        <f t="shared" si="1299"/>
        <v>46197</v>
      </c>
      <c r="FA206" s="56"/>
      <c r="FB206" s="175">
        <f>SUMPRODUCT(PRODUCE!$B211:$DY211,PRODUCE!$EB$24:$IY$24)</f>
        <v>0</v>
      </c>
      <c r="FC206" s="56"/>
      <c r="FD206" s="175">
        <f t="shared" si="1300"/>
        <v>0</v>
      </c>
      <c r="FE206" s="175">
        <f t="shared" si="1301"/>
        <v>0</v>
      </c>
      <c r="FF206" s="56"/>
      <c r="FI206" s="55">
        <f t="shared" si="1302"/>
        <v>46197</v>
      </c>
      <c r="FJ206" s="56"/>
      <c r="FK206" s="183">
        <f>SUMPRODUCT(PRODUCE!$B211:$DY211,PRODUCE!$EB$25:$IY$25)</f>
        <v>0</v>
      </c>
      <c r="FL206" s="56"/>
      <c r="FM206" s="183">
        <f t="shared" si="1303"/>
        <v>0</v>
      </c>
      <c r="FN206" s="183">
        <f t="shared" si="1304"/>
        <v>0</v>
      </c>
      <c r="FO206" s="56"/>
      <c r="FR206" s="55">
        <f t="shared" si="1305"/>
        <v>46197</v>
      </c>
      <c r="FS206" s="56"/>
      <c r="FT206" s="186">
        <f>SUMPRODUCT(PRODUCE!$B211:$DY211,PRODUCE!$EB$26:$IY$26)</f>
        <v>0</v>
      </c>
      <c r="FU206" s="56"/>
      <c r="FV206" s="186">
        <f t="shared" si="1306"/>
        <v>0</v>
      </c>
      <c r="FW206" s="186">
        <f t="shared" si="1307"/>
        <v>1160</v>
      </c>
      <c r="FX206" s="56"/>
      <c r="GA206" s="55">
        <f t="shared" si="1308"/>
        <v>46197</v>
      </c>
      <c r="GB206" s="56"/>
      <c r="GC206" s="137">
        <f>SUMPRODUCT(PRODUCE!$B211:$DY211,PRODUCE!$EB$27:$IY$27)</f>
        <v>0</v>
      </c>
      <c r="GD206" s="56"/>
      <c r="GE206" s="137">
        <f t="shared" si="1309"/>
        <v>0</v>
      </c>
      <c r="GF206" s="137">
        <f t="shared" si="1310"/>
        <v>960</v>
      </c>
      <c r="GG206" s="56"/>
      <c r="GI206" s="23"/>
      <c r="GJ206" s="55">
        <f t="shared" si="1311"/>
        <v>46197</v>
      </c>
      <c r="GK206" s="56"/>
      <c r="GL206" s="199">
        <f>SUMPRODUCT(PRODUCE!$B211:$DY211,PRODUCE!$EB$28:$IY$28)</f>
        <v>0</v>
      </c>
      <c r="GM206" s="56"/>
      <c r="GN206" s="199">
        <f t="shared" si="1312"/>
        <v>0</v>
      </c>
      <c r="GO206" s="199">
        <f t="shared" si="1313"/>
        <v>1760</v>
      </c>
      <c r="GP206" s="56"/>
      <c r="GS206" s="55">
        <f t="shared" si="1314"/>
        <v>46197</v>
      </c>
      <c r="GT206" s="56"/>
      <c r="GU206" s="195">
        <f>SUMPRODUCT(PRODUCE!$B211:$DY211,PRODUCE!$EB$29:$IY$29)</f>
        <v>0</v>
      </c>
      <c r="GV206" s="56"/>
      <c r="GW206" s="195">
        <f t="shared" si="1315"/>
        <v>0</v>
      </c>
      <c r="GX206" s="195">
        <f t="shared" si="1316"/>
        <v>400</v>
      </c>
      <c r="GY206" s="56"/>
      <c r="HB206" s="55">
        <f t="shared" si="1317"/>
        <v>46197</v>
      </c>
      <c r="HC206" s="56"/>
      <c r="HD206" s="191">
        <f>SUMPRODUCT(PRODUCE!$B211:$DY211,PRODUCE!$EB$30:$IY$30)</f>
        <v>0</v>
      </c>
      <c r="HE206" s="56"/>
      <c r="HF206" s="191">
        <f t="shared" si="1318"/>
        <v>0</v>
      </c>
      <c r="HG206" s="191">
        <f t="shared" si="1319"/>
        <v>3600</v>
      </c>
      <c r="HH206" s="56"/>
      <c r="HK206" s="55">
        <f t="shared" si="1320"/>
        <v>46197</v>
      </c>
      <c r="HL206" s="56"/>
      <c r="HM206" s="63">
        <f>SUMPRODUCT(PRODUCE!$B211:$DY211,PRODUCE!$EB$31:$IY$31)</f>
        <v>0</v>
      </c>
      <c r="HN206" s="56"/>
      <c r="HO206" s="63">
        <f t="shared" si="1321"/>
        <v>0</v>
      </c>
      <c r="HP206" s="63">
        <f t="shared" si="1322"/>
        <v>0</v>
      </c>
      <c r="HQ206" s="56"/>
      <c r="HU206" s="55">
        <f t="shared" si="1323"/>
        <v>46197</v>
      </c>
      <c r="HV206" s="56"/>
      <c r="HW206" s="242">
        <f>SUMPRODUCT(PRODUCE!$B211:$DY211,PRODUCE!$EB$32:$IY$32)</f>
        <v>0</v>
      </c>
      <c r="HX206" s="56"/>
      <c r="HY206" s="242">
        <f t="shared" si="1324"/>
        <v>0</v>
      </c>
      <c r="HZ206" s="242">
        <f t="shared" si="1325"/>
        <v>6800</v>
      </c>
      <c r="IA206" s="56"/>
      <c r="ID206" s="55">
        <f t="shared" si="1326"/>
        <v>46197</v>
      </c>
      <c r="IE206" s="56"/>
      <c r="IF206" s="242">
        <f>SUMPRODUCT(PRODUCE!$B211:$DY211,PRODUCE!$EB$33:$IY$33)</f>
        <v>0</v>
      </c>
      <c r="IG206" s="56"/>
      <c r="IH206" s="242">
        <f t="shared" si="1327"/>
        <v>0</v>
      </c>
      <c r="II206" s="242">
        <f t="shared" si="1328"/>
        <v>720</v>
      </c>
      <c r="IJ206" s="56"/>
      <c r="IM206" s="55">
        <f t="shared" si="1329"/>
        <v>46197</v>
      </c>
      <c r="IN206" s="56"/>
      <c r="IO206" s="242">
        <f>SUMPRODUCT(PRODUCE!$B211:$DY211,PRODUCE!$EB$34:$IY$34)</f>
        <v>0</v>
      </c>
      <c r="IP206" s="56"/>
      <c r="IQ206" s="242">
        <f t="shared" si="1330"/>
        <v>0</v>
      </c>
      <c r="IR206" s="242">
        <f t="shared" si="1331"/>
        <v>6520</v>
      </c>
      <c r="IS206" s="56"/>
      <c r="IV206" s="55">
        <f t="shared" si="1332"/>
        <v>46197</v>
      </c>
      <c r="IW206" s="56"/>
      <c r="IX206" s="242">
        <f>SUMPRODUCT(PRODUCE!$B211:$DY211,PRODUCE!$EB$35:$IY$35)</f>
        <v>0</v>
      </c>
      <c r="IY206" s="56"/>
      <c r="IZ206" s="242">
        <f t="shared" si="1333"/>
        <v>0</v>
      </c>
      <c r="JA206" s="242">
        <f t="shared" si="1334"/>
        <v>4960</v>
      </c>
      <c r="JB206" s="56"/>
      <c r="JE206" s="55">
        <f t="shared" si="1335"/>
        <v>46197</v>
      </c>
      <c r="JF206" s="56"/>
      <c r="JG206" s="242">
        <f>SUMPRODUCT(PRODUCE!$B211:$DY211,PRODUCE!$EB$36:$IY$36)</f>
        <v>0</v>
      </c>
      <c r="JH206" s="56"/>
      <c r="JI206" s="242">
        <f t="shared" si="1336"/>
        <v>0</v>
      </c>
      <c r="JJ206" s="242">
        <f t="shared" si="1337"/>
        <v>0</v>
      </c>
      <c r="JK206" s="56"/>
      <c r="JN206" s="55">
        <f t="shared" si="1338"/>
        <v>46197</v>
      </c>
      <c r="JO206" s="56"/>
      <c r="JP206" s="242">
        <f>SUMPRODUCT(PRODUCE!$B211:$DY211,PRODUCE!$EB$37:$IY$37)</f>
        <v>0</v>
      </c>
      <c r="JQ206" s="56"/>
      <c r="JR206" s="242">
        <f t="shared" si="1339"/>
        <v>0</v>
      </c>
      <c r="JS206" s="242">
        <f t="shared" si="1340"/>
        <v>0</v>
      </c>
      <c r="JT206" s="56"/>
      <c r="JW206" s="55">
        <f t="shared" si="1341"/>
        <v>46197</v>
      </c>
      <c r="JX206" s="56"/>
      <c r="JY206" s="242">
        <f>SUMPRODUCT(PRODUCE!$B211:$DY211,PRODUCE!$EB$38:$IY$38)</f>
        <v>0</v>
      </c>
      <c r="JZ206" s="56"/>
      <c r="KA206" s="242">
        <f t="shared" si="1342"/>
        <v>0</v>
      </c>
      <c r="KB206" s="242">
        <f t="shared" si="1343"/>
        <v>2540</v>
      </c>
      <c r="KC206" s="56"/>
      <c r="KF206" s="55">
        <f t="shared" si="1344"/>
        <v>46197</v>
      </c>
      <c r="KG206" s="56"/>
      <c r="KH206" s="242">
        <f>SUMPRODUCT(PRODUCE!$B211:$DY211,PRODUCE!$EB$39:$IY$39)</f>
        <v>0</v>
      </c>
      <c r="KI206" s="56"/>
      <c r="KJ206" s="242">
        <f t="shared" si="1345"/>
        <v>0</v>
      </c>
      <c r="KK206" s="242">
        <f t="shared" si="1346"/>
        <v>2359.5</v>
      </c>
      <c r="KL206" s="56"/>
      <c r="KO206" s="55">
        <f t="shared" si="1347"/>
        <v>46197</v>
      </c>
      <c r="KP206" s="56"/>
      <c r="KQ206" s="242">
        <f>SUMPRODUCT(PRODUCE!$B211:$DY211,PRODUCE!$EB$40:$IY$40)</f>
        <v>0</v>
      </c>
      <c r="KR206" s="56"/>
      <c r="KS206" s="242">
        <f t="shared" si="1348"/>
        <v>0</v>
      </c>
      <c r="KT206" s="242">
        <f t="shared" si="1349"/>
        <v>1890</v>
      </c>
      <c r="KU206" s="56"/>
      <c r="KW206" s="23"/>
      <c r="KX206" s="55">
        <f t="shared" si="1350"/>
        <v>46197</v>
      </c>
      <c r="KY206" s="56"/>
      <c r="KZ206" s="242">
        <f>SUMPRODUCT(PRODUCE!$B211:$DY211,PRODUCE!$EB$41:$IY$41)</f>
        <v>0</v>
      </c>
      <c r="LA206" s="56"/>
      <c r="LB206" s="242">
        <f t="shared" si="1351"/>
        <v>0</v>
      </c>
      <c r="LC206" s="242">
        <f t="shared" si="1352"/>
        <v>3690</v>
      </c>
      <c r="LD206" s="56"/>
      <c r="LG206" s="55">
        <f t="shared" si="1353"/>
        <v>46197</v>
      </c>
      <c r="LH206" s="56"/>
      <c r="LI206" s="242">
        <f>SUMPRODUCT(PRODUCE!$B211:$DY211,PRODUCE!$EB$42:$IY$42)</f>
        <v>0</v>
      </c>
      <c r="LJ206" s="56"/>
      <c r="LK206" s="242">
        <f t="shared" si="1354"/>
        <v>0</v>
      </c>
      <c r="LL206" s="242">
        <f t="shared" si="1355"/>
        <v>4000</v>
      </c>
      <c r="LM206" s="56"/>
      <c r="LP206" s="55">
        <f t="shared" si="1356"/>
        <v>46197</v>
      </c>
      <c r="LQ206" s="56"/>
      <c r="LR206" s="242">
        <f>SUMPRODUCT(PRODUCE!$B211:$DY211,PRODUCE!$EB$43:$IY$43)</f>
        <v>0</v>
      </c>
      <c r="LS206" s="56"/>
      <c r="LT206" s="242">
        <f t="shared" si="1357"/>
        <v>0</v>
      </c>
      <c r="LU206" s="242">
        <f t="shared" si="1358"/>
        <v>0</v>
      </c>
      <c r="LV206" s="56"/>
      <c r="LY206" s="55">
        <f t="shared" si="1359"/>
        <v>46197</v>
      </c>
      <c r="LZ206" s="56"/>
      <c r="MA206" s="242">
        <f>SUMPRODUCT(PRODUCE!$B211:$DY211,PRODUCE!$EB$44:$IY$44)</f>
        <v>0</v>
      </c>
      <c r="MB206" s="56"/>
      <c r="MC206" s="242">
        <f t="shared" si="1360"/>
        <v>0</v>
      </c>
      <c r="MD206" s="242">
        <f t="shared" si="1361"/>
        <v>0</v>
      </c>
      <c r="ME206" s="56"/>
      <c r="MH206" s="55">
        <f t="shared" si="1362"/>
        <v>46197</v>
      </c>
      <c r="MI206" s="56"/>
      <c r="MJ206" s="242">
        <f>SUMPRODUCT(PRODUCE!$B211:$DY211,PRODUCE!$EB$45:$IY$45)</f>
        <v>0</v>
      </c>
      <c r="MK206" s="56"/>
      <c r="ML206" s="242">
        <f t="shared" si="1363"/>
        <v>0</v>
      </c>
      <c r="MM206" s="242">
        <f t="shared" si="1364"/>
        <v>0</v>
      </c>
      <c r="MN206" s="56"/>
      <c r="MQ206" s="55">
        <f t="shared" si="1365"/>
        <v>46197</v>
      </c>
      <c r="MR206" s="56"/>
      <c r="MS206" s="242">
        <f>SUMPRODUCT(PRODUCE!$B211:$DY211,PRODUCE!$EB$46:$IY$46)</f>
        <v>0</v>
      </c>
      <c r="MT206" s="56"/>
      <c r="MU206" s="242">
        <f t="shared" si="1366"/>
        <v>0</v>
      </c>
      <c r="MV206" s="242">
        <f t="shared" si="1367"/>
        <v>3704</v>
      </c>
      <c r="MW206" s="56"/>
      <c r="MZ206" s="55">
        <f t="shared" si="1368"/>
        <v>46197</v>
      </c>
      <c r="NA206" s="56"/>
      <c r="NB206" s="242">
        <f>SUMPRODUCT(PRODUCE!$B211:$DY211,PRODUCE!$EB$47:$IY$47)</f>
        <v>0</v>
      </c>
      <c r="NC206" s="56"/>
      <c r="ND206" s="242">
        <f t="shared" si="1369"/>
        <v>0</v>
      </c>
      <c r="NE206" s="242">
        <f t="shared" si="1370"/>
        <v>0</v>
      </c>
      <c r="NF206" s="56"/>
      <c r="NI206" s="55">
        <f t="shared" si="1371"/>
        <v>46197</v>
      </c>
      <c r="NJ206" s="56"/>
      <c r="NK206" s="242">
        <f>SUMPRODUCT(PRODUCE!$B211:$DY211,PRODUCE!$EB$48:$IY$48)</f>
        <v>0</v>
      </c>
      <c r="NL206" s="56"/>
      <c r="NM206" s="242">
        <f t="shared" si="1372"/>
        <v>0</v>
      </c>
      <c r="NN206" s="242">
        <f t="shared" si="1373"/>
        <v>1127</v>
      </c>
      <c r="NO206" s="56"/>
      <c r="NR206" s="55">
        <f t="shared" si="1374"/>
        <v>46197</v>
      </c>
      <c r="NS206" s="56"/>
      <c r="NT206" s="242">
        <f>SUMPRODUCT(PRODUCE!$B211:$DY211,PRODUCE!$EB$49:$IY$49)</f>
        <v>0</v>
      </c>
      <c r="NU206" s="56"/>
      <c r="NV206" s="242">
        <f t="shared" si="1375"/>
        <v>0</v>
      </c>
      <c r="NW206" s="242">
        <f t="shared" si="1376"/>
        <v>3111.9999999999995</v>
      </c>
      <c r="NX206" s="56"/>
      <c r="OA206" s="55">
        <f t="shared" si="1377"/>
        <v>46197</v>
      </c>
      <c r="OB206" s="56"/>
      <c r="OC206" s="242">
        <f>SUMPRODUCT(PRODUCE!$B211:$DY211,PRODUCE!$EB$50:$IY$50)</f>
        <v>0</v>
      </c>
      <c r="OD206" s="56"/>
      <c r="OE206" s="242">
        <f t="shared" si="1378"/>
        <v>0</v>
      </c>
      <c r="OF206" s="242">
        <f t="shared" si="1379"/>
        <v>1680.5</v>
      </c>
      <c r="OG206" s="56"/>
      <c r="OJ206" s="55">
        <f t="shared" si="1380"/>
        <v>46197</v>
      </c>
      <c r="OK206" s="56"/>
      <c r="OL206" s="242">
        <f>SUMPRODUCT(PRODUCE!$B211:$DY211,PRODUCE!$EB$51:$IY$51)</f>
        <v>0</v>
      </c>
      <c r="OM206" s="56"/>
      <c r="ON206" s="242">
        <f t="shared" si="1381"/>
        <v>0</v>
      </c>
      <c r="OO206" s="242">
        <f t="shared" si="1382"/>
        <v>0</v>
      </c>
      <c r="OP206" s="56"/>
      <c r="OS206" s="55">
        <f t="shared" si="1383"/>
        <v>46197</v>
      </c>
      <c r="OT206" s="56"/>
      <c r="OU206" s="242">
        <f>SUMPRODUCT(PRODUCE!$B211:$DY211,PRODUCE!$EB$52:$IY$52)</f>
        <v>0</v>
      </c>
      <c r="OV206" s="56"/>
      <c r="OW206" s="242">
        <f t="shared" si="1384"/>
        <v>0</v>
      </c>
      <c r="OX206" s="242">
        <f t="shared" si="1385"/>
        <v>1482</v>
      </c>
      <c r="OY206" s="56"/>
      <c r="PB206" s="55">
        <f t="shared" si="1386"/>
        <v>46197</v>
      </c>
      <c r="PC206" s="56"/>
      <c r="PD206" s="242">
        <f>SUMPRODUCT(PRODUCE!$B211:$DY211,PRODUCE!$EB$53:$IY$53)</f>
        <v>0</v>
      </c>
      <c r="PE206" s="56"/>
      <c r="PF206" s="242">
        <f t="shared" si="1387"/>
        <v>0</v>
      </c>
      <c r="PG206" s="242">
        <f t="shared" si="1388"/>
        <v>0</v>
      </c>
      <c r="PH206" s="56"/>
      <c r="PK206" s="55">
        <f t="shared" si="1389"/>
        <v>46197</v>
      </c>
      <c r="PL206" s="56"/>
      <c r="PM206" s="242">
        <f>SUMPRODUCT(PRODUCE!$B211:$DY211,PRODUCE!$EB$54:$IY$54)</f>
        <v>0</v>
      </c>
      <c r="PN206" s="56"/>
      <c r="PO206" s="242">
        <f t="shared" si="1494"/>
        <v>0</v>
      </c>
      <c r="PP206" s="242">
        <f t="shared" si="1495"/>
        <v>100</v>
      </c>
      <c r="PQ206" s="56"/>
      <c r="PT206" s="55">
        <f t="shared" si="1392"/>
        <v>46197</v>
      </c>
      <c r="PU206" s="56"/>
      <c r="PV206" s="242">
        <f>SUMPRODUCT(PRODUCE!$B211:$DY211,PRODUCE!$EB$55:$IY$55)</f>
        <v>0</v>
      </c>
      <c r="PW206" s="56"/>
      <c r="PX206" s="242">
        <f t="shared" si="1393"/>
        <v>0</v>
      </c>
      <c r="PY206" s="242">
        <f t="shared" si="1394"/>
        <v>13.960000000000036</v>
      </c>
      <c r="PZ206" s="56"/>
      <c r="QC206" s="55">
        <f t="shared" si="1395"/>
        <v>46197</v>
      </c>
      <c r="QD206" s="56"/>
      <c r="QE206" s="242">
        <f>SUMPRODUCT(PRODUCE!$B211:$DY211,PRODUCE!$EB$56:$IY$56)</f>
        <v>0</v>
      </c>
      <c r="QF206" s="56"/>
      <c r="QG206" s="242">
        <f t="shared" si="1396"/>
        <v>0</v>
      </c>
      <c r="QH206" s="242">
        <f t="shared" si="1397"/>
        <v>1736</v>
      </c>
      <c r="QI206" s="56"/>
      <c r="QL206" s="55">
        <f t="shared" si="1398"/>
        <v>46197</v>
      </c>
      <c r="QM206" s="56"/>
      <c r="QN206" s="242">
        <f>SUMPRODUCT(PRODUCE!$B211:$DY211,PRODUCE!$EB$57:$IY$57)</f>
        <v>0</v>
      </c>
      <c r="QO206" s="56"/>
      <c r="QP206" s="242">
        <f t="shared" si="1399"/>
        <v>0</v>
      </c>
      <c r="QQ206" s="242">
        <f t="shared" si="1400"/>
        <v>250</v>
      </c>
      <c r="QR206" s="56"/>
      <c r="QU206" s="55">
        <f t="shared" si="1401"/>
        <v>46197</v>
      </c>
      <c r="QV206" s="56"/>
      <c r="QW206" s="242">
        <f>SUMPRODUCT(PRODUCE!$B211:$DY211,PRODUCE!$EB$58:$IY$58)</f>
        <v>0</v>
      </c>
      <c r="QX206" s="56"/>
      <c r="QY206" s="242">
        <f t="shared" si="1402"/>
        <v>0</v>
      </c>
      <c r="QZ206" s="242">
        <f t="shared" si="1403"/>
        <v>207.6</v>
      </c>
      <c r="RA206" s="56"/>
      <c r="RD206" s="55">
        <f t="shared" si="1404"/>
        <v>46197</v>
      </c>
      <c r="RE206" s="56"/>
      <c r="RF206" s="242">
        <f>SUMPRODUCT(PRODUCE!$B211:$DY211,PRODUCE!$EB$59:$IY$59)</f>
        <v>0</v>
      </c>
      <c r="RG206" s="56"/>
      <c r="RH206" s="242">
        <f t="shared" si="1405"/>
        <v>0</v>
      </c>
      <c r="RI206" s="242">
        <f t="shared" si="1406"/>
        <v>147.04000000000002</v>
      </c>
      <c r="RJ206" s="56"/>
      <c r="RM206" s="55">
        <f t="shared" si="1407"/>
        <v>46197</v>
      </c>
      <c r="RN206" s="56"/>
      <c r="RO206" s="242">
        <f>SUMPRODUCT(PRODUCE!$B211:$DY211,PRODUCE!$EB$60:$IY$60)</f>
        <v>0</v>
      </c>
      <c r="RP206" s="56"/>
      <c r="RQ206" s="242">
        <f t="shared" si="1408"/>
        <v>0</v>
      </c>
      <c r="RR206" s="242">
        <f t="shared" si="1409"/>
        <v>46.8</v>
      </c>
      <c r="RS206" s="56"/>
      <c r="RV206" s="55">
        <f t="shared" si="1410"/>
        <v>46197</v>
      </c>
      <c r="RW206" s="56"/>
      <c r="RX206" s="242">
        <f>SUMPRODUCT(PRODUCE!$B211:$DY211,PRODUCE!$EB$61:$IY$61)</f>
        <v>0</v>
      </c>
      <c r="RY206" s="56"/>
      <c r="RZ206" s="242">
        <f t="shared" si="1411"/>
        <v>0</v>
      </c>
      <c r="SA206" s="242">
        <f t="shared" si="1412"/>
        <v>0</v>
      </c>
      <c r="SB206" s="56"/>
      <c r="SE206" s="55">
        <f t="shared" si="1413"/>
        <v>46197</v>
      </c>
      <c r="SF206" s="56"/>
      <c r="SG206" s="242">
        <f>SUMPRODUCT(PRODUCE!$B211:$DY211,PRODUCE!$EB$62:$IY$62)</f>
        <v>0</v>
      </c>
      <c r="SH206" s="56"/>
      <c r="SI206" s="242">
        <f t="shared" si="1414"/>
        <v>0</v>
      </c>
      <c r="SJ206" s="242">
        <f t="shared" si="1415"/>
        <v>24.200000000000003</v>
      </c>
      <c r="SK206" s="56"/>
      <c r="SN206" s="55">
        <f t="shared" si="1416"/>
        <v>46197</v>
      </c>
      <c r="SO206" s="56"/>
      <c r="SP206" s="242">
        <f>SUMPRODUCT(PRODUCE!$B211:$DY211,PRODUCE!$EB$63:$IY$63)</f>
        <v>0</v>
      </c>
      <c r="SQ206" s="56"/>
      <c r="SR206" s="242">
        <f t="shared" si="1417"/>
        <v>0</v>
      </c>
      <c r="SS206" s="242">
        <f t="shared" si="1418"/>
        <v>32</v>
      </c>
      <c r="ST206" s="56"/>
      <c r="SW206" s="55">
        <f t="shared" si="1419"/>
        <v>46197</v>
      </c>
      <c r="SX206" s="56"/>
      <c r="SY206" s="242">
        <f>SUMPRODUCT(PRODUCE!$B211:$DY211,PRODUCE!$EB$64:$IY$64)</f>
        <v>0</v>
      </c>
      <c r="SZ206" s="56"/>
      <c r="TA206" s="242">
        <f t="shared" si="1420"/>
        <v>0</v>
      </c>
      <c r="TB206" s="242">
        <f t="shared" si="1421"/>
        <v>0</v>
      </c>
      <c r="TC206" s="56"/>
      <c r="TF206" s="55">
        <f t="shared" si="1422"/>
        <v>46197</v>
      </c>
      <c r="TG206" s="56"/>
      <c r="TH206" s="242">
        <f>SUMPRODUCT(PRODUCE!$B211:$DY211,PRODUCE!$EB$65:$IY$65)</f>
        <v>0</v>
      </c>
      <c r="TI206" s="56"/>
      <c r="TJ206" s="242">
        <f t="shared" si="1423"/>
        <v>0</v>
      </c>
      <c r="TK206" s="242">
        <f t="shared" si="1424"/>
        <v>0</v>
      </c>
      <c r="TL206" s="56"/>
      <c r="TO206" s="55">
        <f t="shared" si="1425"/>
        <v>46197</v>
      </c>
      <c r="TP206" s="56"/>
      <c r="TQ206" s="242">
        <f>SUMPRODUCT(PRODUCE!$B211:$DY211,PRODUCE!$EB$66:$IY$66)</f>
        <v>0</v>
      </c>
      <c r="TR206" s="56"/>
      <c r="TS206" s="242">
        <f t="shared" si="1426"/>
        <v>0</v>
      </c>
      <c r="TT206" s="242">
        <f t="shared" si="1427"/>
        <v>22.400000000000006</v>
      </c>
      <c r="TU206" s="56"/>
      <c r="TX206" s="55">
        <f t="shared" si="1428"/>
        <v>46197</v>
      </c>
      <c r="TY206" s="56"/>
      <c r="TZ206" s="242">
        <f>SUMPRODUCT(PRODUCE!$B211:$DY211,PRODUCE!$EB$67:$IY$67)</f>
        <v>0</v>
      </c>
      <c r="UA206" s="56"/>
      <c r="UB206" s="242">
        <f t="shared" si="1429"/>
        <v>0</v>
      </c>
      <c r="UC206" s="242">
        <f t="shared" si="1430"/>
        <v>46.799999999999983</v>
      </c>
      <c r="UD206" s="56"/>
      <c r="UG206" s="55">
        <f t="shared" si="1431"/>
        <v>46197</v>
      </c>
      <c r="UH206" s="56"/>
      <c r="UI206" s="242">
        <f>SUMPRODUCT(PRODUCE!$B211:$DY211,PRODUCE!$EB$68:$IY$68)</f>
        <v>0</v>
      </c>
      <c r="UJ206" s="56"/>
      <c r="UK206" s="242">
        <f t="shared" si="1432"/>
        <v>0</v>
      </c>
      <c r="UL206" s="242">
        <f t="shared" si="1433"/>
        <v>204</v>
      </c>
      <c r="UM206" s="56"/>
      <c r="UP206" s="55">
        <f t="shared" si="1434"/>
        <v>46197</v>
      </c>
      <c r="UQ206" s="56"/>
      <c r="UR206" s="242">
        <f>SUMPRODUCT(PRODUCE!$B211:$DY211,PRODUCE!$EB$69:$IY$69)</f>
        <v>0</v>
      </c>
      <c r="US206" s="56"/>
      <c r="UT206" s="242">
        <f t="shared" si="1435"/>
        <v>0</v>
      </c>
      <c r="UU206" s="242">
        <f t="shared" si="1436"/>
        <v>251.25</v>
      </c>
      <c r="UV206" s="56"/>
      <c r="UY206" s="55">
        <f t="shared" si="1437"/>
        <v>46197</v>
      </c>
      <c r="UZ206" s="56"/>
      <c r="VA206" s="242">
        <f>SUMPRODUCT(PRODUCE!$B211:$DY211,PRODUCE!$EB$70:$IY$70)</f>
        <v>0</v>
      </c>
      <c r="VB206" s="56"/>
      <c r="VC206" s="242">
        <f t="shared" si="1438"/>
        <v>0</v>
      </c>
      <c r="VD206" s="242">
        <f t="shared" si="1439"/>
        <v>41.600000000000023</v>
      </c>
      <c r="VE206" s="56"/>
      <c r="VH206" s="55">
        <f t="shared" si="1440"/>
        <v>46197</v>
      </c>
      <c r="VI206" s="56"/>
      <c r="VJ206" s="242">
        <f>SUMPRODUCT(PRODUCE!$B211:$DY211,PRODUCE!$EB$71:$IY$71)</f>
        <v>0</v>
      </c>
      <c r="VK206" s="56"/>
      <c r="VL206" s="242">
        <f t="shared" si="1441"/>
        <v>0</v>
      </c>
      <c r="VM206" s="242">
        <f t="shared" si="1442"/>
        <v>210</v>
      </c>
      <c r="VN206" s="56"/>
      <c r="VQ206" s="55">
        <f t="shared" si="1443"/>
        <v>46197</v>
      </c>
      <c r="VR206" s="56"/>
      <c r="VS206" s="242">
        <f>SUMPRODUCT(PRODUCE!$B211:$DY211,PRODUCE!$EB$57:$IY$57)</f>
        <v>0</v>
      </c>
      <c r="VT206" s="56"/>
      <c r="VU206" s="242">
        <f t="shared" si="1444"/>
        <v>0</v>
      </c>
      <c r="VV206" s="242">
        <f t="shared" si="1445"/>
        <v>0</v>
      </c>
      <c r="VW206" s="56"/>
      <c r="VZ206" s="55">
        <f t="shared" si="1446"/>
        <v>46197</v>
      </c>
      <c r="WA206" s="56"/>
      <c r="WB206" s="242">
        <f>SUMPRODUCT(PRODUCE!$B211:$DY211,PRODUCE!$EB$57:$IY$57)</f>
        <v>0</v>
      </c>
      <c r="WC206" s="56"/>
      <c r="WD206" s="242">
        <f t="shared" si="1447"/>
        <v>0</v>
      </c>
      <c r="WE206" s="242">
        <f t="shared" si="1448"/>
        <v>0</v>
      </c>
      <c r="WF206" s="56"/>
      <c r="WI206" s="55">
        <f t="shared" si="1449"/>
        <v>46197</v>
      </c>
      <c r="WJ206" s="422"/>
      <c r="WK206" s="540">
        <f>SUMPRODUCT(PRODUCE!$B211:$DY211,PRODUCE!$EB$74:$IY$74)</f>
        <v>0</v>
      </c>
      <c r="WL206" s="422"/>
      <c r="WM206" s="540">
        <f t="shared" si="1450"/>
        <v>0</v>
      </c>
      <c r="WN206" s="540">
        <f t="shared" si="1451"/>
        <v>1199</v>
      </c>
      <c r="WO206" s="56"/>
      <c r="WR206" s="55">
        <f t="shared" si="1452"/>
        <v>46197</v>
      </c>
      <c r="WS206" s="422"/>
      <c r="WT206" s="540">
        <f>SUMPRODUCT(PRODUCE!$B211:$DY211,PRODUCE!$EB$75:$IY$75)</f>
        <v>0</v>
      </c>
      <c r="WU206" s="422"/>
      <c r="WV206" s="540">
        <f t="shared" si="1453"/>
        <v>0</v>
      </c>
      <c r="WW206" s="540">
        <f t="shared" si="1454"/>
        <v>0</v>
      </c>
      <c r="WX206" s="56"/>
      <c r="XA206" s="55">
        <f t="shared" si="1455"/>
        <v>46197</v>
      </c>
      <c r="XB206" s="422"/>
      <c r="XC206" s="540">
        <f>SUMPRODUCT(PRODUCE!$B211:$DY211,PRODUCE!$EB$76:$IY$76)</f>
        <v>0</v>
      </c>
      <c r="XD206" s="422"/>
      <c r="XE206" s="540">
        <f t="shared" si="1456"/>
        <v>0</v>
      </c>
      <c r="XF206" s="540">
        <f t="shared" si="1457"/>
        <v>6813</v>
      </c>
      <c r="XG206" s="56"/>
      <c r="XJ206" s="55">
        <f t="shared" si="1458"/>
        <v>46197</v>
      </c>
      <c r="XK206" s="422"/>
      <c r="XL206" s="540">
        <f>SUMPRODUCT(PRODUCE!$B211:$DY211,PRODUCE!$EB$77:$IY$77)</f>
        <v>0</v>
      </c>
      <c r="XM206" s="422"/>
      <c r="XN206" s="540">
        <f t="shared" si="1459"/>
        <v>0</v>
      </c>
      <c r="XO206" s="540">
        <f t="shared" si="1460"/>
        <v>4689</v>
      </c>
      <c r="XP206" s="56"/>
      <c r="XS206" s="55">
        <f t="shared" si="1461"/>
        <v>46197</v>
      </c>
      <c r="XT206" s="56"/>
      <c r="XU206" s="242">
        <f>SUMPRODUCT(PRODUCE!$B211:$DY211,PRODUCE!$EB$78:$IY$78)</f>
        <v>0</v>
      </c>
      <c r="XV206" s="56"/>
      <c r="XW206" s="242">
        <f t="shared" si="1462"/>
        <v>0</v>
      </c>
      <c r="XX206" s="242">
        <f t="shared" si="1463"/>
        <v>1621</v>
      </c>
      <c r="XY206" s="56"/>
      <c r="YB206" s="55">
        <f t="shared" si="1464"/>
        <v>46197</v>
      </c>
      <c r="YC206" s="56"/>
      <c r="YD206" s="242">
        <f>SUMPRODUCT(PRODUCE!$B211:$DY211,PRODUCE!$EB$79:$IY$79)</f>
        <v>0</v>
      </c>
      <c r="YE206" s="56"/>
      <c r="YF206" s="242">
        <f t="shared" si="1465"/>
        <v>0</v>
      </c>
      <c r="YG206" s="242">
        <f t="shared" si="1466"/>
        <v>4072</v>
      </c>
      <c r="YH206" s="56"/>
      <c r="YK206" s="55">
        <f t="shared" si="1467"/>
        <v>46197</v>
      </c>
      <c r="YL206" s="56"/>
      <c r="YM206" s="242">
        <f>SUMPRODUCT(PRODUCE!$B211:$DY211,PRODUCE!$EB$80:$IY$80)</f>
        <v>0</v>
      </c>
      <c r="YN206" s="56"/>
      <c r="YO206" s="242">
        <f t="shared" si="1468"/>
        <v>0</v>
      </c>
      <c r="YP206" s="242">
        <f t="shared" si="1469"/>
        <v>0</v>
      </c>
      <c r="YQ206" s="56"/>
      <c r="YT206" s="55">
        <f t="shared" si="1470"/>
        <v>46197</v>
      </c>
      <c r="YU206" s="56"/>
      <c r="YV206" s="242">
        <f>SUMPRODUCT(PRODUCE!$B211:$DY211,PRODUCE!$EB$57:$IY$57)</f>
        <v>0</v>
      </c>
      <c r="YW206" s="56"/>
      <c r="YX206" s="242">
        <f t="shared" si="1471"/>
        <v>0</v>
      </c>
      <c r="YY206" s="242">
        <f t="shared" si="1472"/>
        <v>0</v>
      </c>
      <c r="YZ206" s="56"/>
      <c r="ZC206" s="55">
        <f t="shared" si="1473"/>
        <v>46197</v>
      </c>
      <c r="ZD206" s="56"/>
      <c r="ZE206" s="242">
        <f>SUMPRODUCT(PRODUCE!$B211:$DY211,PRODUCE!$EB$57:$IY$57)</f>
        <v>0</v>
      </c>
      <c r="ZF206" s="56"/>
      <c r="ZG206" s="242">
        <f t="shared" si="1474"/>
        <v>0</v>
      </c>
      <c r="ZH206" s="242">
        <f t="shared" si="1475"/>
        <v>0</v>
      </c>
      <c r="ZI206" s="56"/>
      <c r="ZL206" s="55">
        <f t="shared" si="1476"/>
        <v>46197</v>
      </c>
      <c r="ZM206" s="56"/>
      <c r="ZN206" s="242">
        <f>SUMPRODUCT(PRODUCE!$B211:$DY211,PRODUCE!$EB$57:$IY$57)</f>
        <v>0</v>
      </c>
      <c r="ZO206" s="56"/>
      <c r="ZP206" s="242">
        <f t="shared" si="1477"/>
        <v>0</v>
      </c>
      <c r="ZQ206" s="242">
        <f t="shared" si="1478"/>
        <v>0</v>
      </c>
      <c r="ZR206" s="56"/>
      <c r="ZU206" s="55">
        <f t="shared" si="1479"/>
        <v>46197</v>
      </c>
      <c r="ZV206" s="56"/>
      <c r="ZW206" s="242">
        <f>SUMPRODUCT(PRODUCE!$B211:$DY211,PRODUCE!$EB$57:$IY$57)</f>
        <v>0</v>
      </c>
      <c r="ZX206" s="56"/>
      <c r="ZY206" s="242">
        <f t="shared" si="1480"/>
        <v>0</v>
      </c>
      <c r="ZZ206" s="242">
        <f t="shared" si="1481"/>
        <v>0</v>
      </c>
      <c r="AAA206" s="56"/>
      <c r="AAD206" s="55">
        <f t="shared" si="1482"/>
        <v>46197</v>
      </c>
      <c r="AAE206" s="56"/>
      <c r="AAF206" s="242">
        <f>SUMPRODUCT(PRODUCE!$B211:$DY211,PRODUCE!$EB$57:$IY$57)</f>
        <v>0</v>
      </c>
      <c r="AAG206" s="56"/>
      <c r="AAH206" s="242">
        <f t="shared" si="1483"/>
        <v>0</v>
      </c>
      <c r="AAI206" s="242">
        <f t="shared" si="1484"/>
        <v>0</v>
      </c>
      <c r="AAJ206" s="56"/>
      <c r="AAM206" s="55">
        <f t="shared" si="1485"/>
        <v>46197</v>
      </c>
      <c r="AAN206" s="56"/>
      <c r="AAO206" s="242">
        <f>SUMPRODUCT(PRODUCE!$B211:$DY211,PRODUCE!$EB$57:$IY$57)</f>
        <v>0</v>
      </c>
      <c r="AAP206" s="56"/>
      <c r="AAQ206" s="242">
        <f t="shared" si="1486"/>
        <v>0</v>
      </c>
      <c r="AAR206" s="242">
        <f t="shared" si="1487"/>
        <v>0</v>
      </c>
      <c r="AAS206" s="56"/>
      <c r="AAV206" s="55">
        <f t="shared" si="1488"/>
        <v>46197</v>
      </c>
      <c r="AAW206" s="56"/>
      <c r="AAX206" s="242">
        <f>SUMPRODUCT(PRODUCE!$B211:$DY211,PRODUCE!$EB$57:$IY$57)</f>
        <v>0</v>
      </c>
      <c r="AAY206" s="56"/>
      <c r="AAZ206" s="242">
        <f t="shared" si="1489"/>
        <v>0</v>
      </c>
      <c r="ABA206" s="242">
        <f t="shared" si="1490"/>
        <v>0</v>
      </c>
      <c r="ABB206" s="56"/>
      <c r="ABE206" s="55">
        <f t="shared" si="1491"/>
        <v>46197</v>
      </c>
      <c r="ABF206" s="56"/>
      <c r="ABG206" s="242">
        <f>SUMPRODUCT(PRODUCE!$B211:$DY211,PRODUCE!$EB$57:$IY$57)</f>
        <v>0</v>
      </c>
      <c r="ABH206" s="56"/>
      <c r="ABI206" s="242">
        <f t="shared" si="1492"/>
        <v>0</v>
      </c>
      <c r="ABJ206" s="242">
        <f t="shared" si="1493"/>
        <v>0</v>
      </c>
      <c r="ABK206" s="56"/>
    </row>
    <row r="207" spans="2:739" s="54" customFormat="1" ht="15" customHeight="1" outlineLevel="1">
      <c r="B207" s="478">
        <v>20</v>
      </c>
      <c r="C207" s="55">
        <v>46198</v>
      </c>
      <c r="D207" s="422">
        <v>13950</v>
      </c>
      <c r="E207" s="423">
        <f>SUMPRODUCT(PRODUCE!$B212:$DY212,PRODUCE!$EB$7:$IY$7)</f>
        <v>12134</v>
      </c>
      <c r="F207" s="422">
        <v>12108.8</v>
      </c>
      <c r="G207" s="423">
        <f t="shared" si="1249"/>
        <v>25.200000000000728</v>
      </c>
      <c r="H207" s="423">
        <f t="shared" si="1250"/>
        <v>110148.80000000005</v>
      </c>
      <c r="I207" s="289" t="s">
        <v>291</v>
      </c>
      <c r="L207" s="55">
        <f t="shared" si="1251"/>
        <v>46198</v>
      </c>
      <c r="M207" s="422"/>
      <c r="N207" s="438">
        <f>SUMPRODUCT(PRODUCE!$B212:$DY212,PRODUCE!$EB$8:$IY$8)</f>
        <v>4312</v>
      </c>
      <c r="O207" s="422">
        <v>4318.8</v>
      </c>
      <c r="P207" s="438">
        <f t="shared" si="1252"/>
        <v>-6.8000000000001819</v>
      </c>
      <c r="Q207" s="438">
        <f t="shared" si="1253"/>
        <v>80527.800000000076</v>
      </c>
      <c r="R207" s="56"/>
      <c r="U207" s="55">
        <f t="shared" si="1254"/>
        <v>46198</v>
      </c>
      <c r="V207" s="422"/>
      <c r="W207" s="440">
        <f>SUMPRODUCT(PRODUCE!$B212:$DY212,PRODUCE!$EB$9:$IY$9)</f>
        <v>1400</v>
      </c>
      <c r="X207" s="422">
        <v>1399.8</v>
      </c>
      <c r="Y207" s="440">
        <f t="shared" si="1255"/>
        <v>0.20000000000004547</v>
      </c>
      <c r="Z207" s="440">
        <f t="shared" si="1256"/>
        <v>28847.399999999976</v>
      </c>
      <c r="AA207" s="56"/>
      <c r="AD207" s="55">
        <f t="shared" si="1257"/>
        <v>46198</v>
      </c>
      <c r="AE207" s="422"/>
      <c r="AF207" s="442">
        <f>SUMPRODUCT(PRODUCE!$B212:$DY212,PRODUCE!$EB$10:$IY$10)</f>
        <v>0</v>
      </c>
      <c r="AG207" s="422"/>
      <c r="AH207" s="442">
        <f t="shared" si="1258"/>
        <v>0</v>
      </c>
      <c r="AI207" s="442">
        <f t="shared" si="1259"/>
        <v>33372.700000000019</v>
      </c>
      <c r="AJ207" s="56"/>
      <c r="AM207" s="55">
        <f t="shared" si="1260"/>
        <v>46198</v>
      </c>
      <c r="AN207" s="422"/>
      <c r="AO207" s="444">
        <f>SUMPRODUCT(PRODUCE!$B212:$DY212,PRODUCE!$EB$11:$IY$11)</f>
        <v>0</v>
      </c>
      <c r="AP207" s="422"/>
      <c r="AQ207" s="444">
        <f t="shared" si="1261"/>
        <v>0</v>
      </c>
      <c r="AR207" s="444">
        <f t="shared" si="1262"/>
        <v>0</v>
      </c>
      <c r="AS207" s="56"/>
      <c r="AV207" s="55">
        <f t="shared" si="1263"/>
        <v>46198</v>
      </c>
      <c r="AW207" s="422"/>
      <c r="AX207" s="446">
        <f>SUMPRODUCT(PRODUCE!$B212:$DY212,PRODUCE!$EB$12:$IY$12)</f>
        <v>0</v>
      </c>
      <c r="AY207" s="422"/>
      <c r="AZ207" s="446">
        <f t="shared" si="1264"/>
        <v>0</v>
      </c>
      <c r="BA207" s="446">
        <f t="shared" si="1265"/>
        <v>14066.499999999996</v>
      </c>
      <c r="BB207" s="56"/>
      <c r="BE207" s="55">
        <f t="shared" si="1266"/>
        <v>46198</v>
      </c>
      <c r="BF207" s="422"/>
      <c r="BG207" s="448">
        <f>SUMPRODUCT(PRODUCE!$B212:$DY212,PRODUCE!$EB$13:$IY$13)</f>
        <v>200</v>
      </c>
      <c r="BH207" s="422">
        <v>200.6</v>
      </c>
      <c r="BI207" s="448">
        <f t="shared" si="1267"/>
        <v>-0.59999999999999432</v>
      </c>
      <c r="BJ207" s="448">
        <f t="shared" si="1268"/>
        <v>39034.799999999996</v>
      </c>
      <c r="BK207" s="56"/>
      <c r="BN207" s="55">
        <f t="shared" si="1269"/>
        <v>46198</v>
      </c>
      <c r="BO207" s="422">
        <v>200.1</v>
      </c>
      <c r="BP207" s="450">
        <f>SUMPRODUCT(PRODUCE!$B212:$DY212,PRODUCE!$EB$14:$IY$14)</f>
        <v>100</v>
      </c>
      <c r="BQ207" s="422">
        <v>200.1</v>
      </c>
      <c r="BR207" s="450">
        <f t="shared" si="1270"/>
        <v>-100.1</v>
      </c>
      <c r="BS207" s="450">
        <f t="shared" si="1271"/>
        <v>0</v>
      </c>
      <c r="BT207" s="56"/>
      <c r="BW207" s="55">
        <f t="shared" si="1272"/>
        <v>46198</v>
      </c>
      <c r="BX207" s="422"/>
      <c r="BY207" s="523">
        <f>SUMPRODUCT(PRODUCE!$B212:$DY212,PRODUCE!$EB$15:$IY$15)</f>
        <v>86.1</v>
      </c>
      <c r="BZ207" s="422">
        <v>43.97</v>
      </c>
      <c r="CA207" s="523">
        <f t="shared" si="1273"/>
        <v>42.129999999999995</v>
      </c>
      <c r="CB207" s="523">
        <f t="shared" si="1274"/>
        <v>3101.2999999999993</v>
      </c>
      <c r="CC207" s="56"/>
      <c r="CF207" s="55">
        <f t="shared" si="1275"/>
        <v>46198</v>
      </c>
      <c r="CG207" s="422">
        <v>81.52</v>
      </c>
      <c r="CH207" s="524">
        <f>SUMPRODUCT(PRODUCE!$B212:$DY212,PRODUCE!$EB$16:$IY$16)</f>
        <v>0</v>
      </c>
      <c r="CI207" s="422">
        <v>81.52</v>
      </c>
      <c r="CJ207" s="524">
        <f t="shared" si="1276"/>
        <v>-81.52</v>
      </c>
      <c r="CK207" s="524">
        <f t="shared" si="1277"/>
        <v>0</v>
      </c>
      <c r="CL207" s="56"/>
      <c r="CO207" s="55">
        <f t="shared" si="1278"/>
        <v>46198</v>
      </c>
      <c r="CP207" s="422"/>
      <c r="CQ207" s="470">
        <f>SUMPRODUCT(PRODUCE!$B212:$DY212,PRODUCE!$EB$17:$IY$17)</f>
        <v>0</v>
      </c>
      <c r="CR207" s="422"/>
      <c r="CS207" s="470">
        <f t="shared" si="1279"/>
        <v>0</v>
      </c>
      <c r="CT207" s="470">
        <f t="shared" si="1280"/>
        <v>0</v>
      </c>
      <c r="CU207" s="56"/>
      <c r="CX207" s="55">
        <f t="shared" si="1281"/>
        <v>46198</v>
      </c>
      <c r="CY207" s="422"/>
      <c r="CZ207" s="525">
        <f>SUMPRODUCT(PRODUCE!$B212:$DY212,PRODUCE!$EB$18:$IY$18)</f>
        <v>400</v>
      </c>
      <c r="DA207" s="422">
        <v>399.4</v>
      </c>
      <c r="DB207" s="525">
        <f t="shared" si="1282"/>
        <v>0.60000000000002274</v>
      </c>
      <c r="DC207" s="525">
        <f t="shared" si="1283"/>
        <v>13542.000000000007</v>
      </c>
      <c r="DD207" s="56"/>
      <c r="DG207" s="55">
        <f t="shared" si="1284"/>
        <v>46198</v>
      </c>
      <c r="DH207" s="422"/>
      <c r="DI207" s="526">
        <f>SUMPRODUCT(PRODUCE!$B212:$DY212,PRODUCE!$EB$19:$IY$19)</f>
        <v>0</v>
      </c>
      <c r="DJ207" s="422"/>
      <c r="DK207" s="526">
        <f t="shared" si="1285"/>
        <v>0</v>
      </c>
      <c r="DL207" s="526">
        <f t="shared" si="1286"/>
        <v>35234.999999999985</v>
      </c>
      <c r="DM207" s="56"/>
      <c r="DP207" s="55">
        <f t="shared" si="1287"/>
        <v>46198</v>
      </c>
      <c r="DQ207" s="56"/>
      <c r="DR207" s="57">
        <f>SUMPRODUCT(PRODUCE!$B212:$DY212,PRODUCE!$EB$20:$IY$20)</f>
        <v>0</v>
      </c>
      <c r="DS207" s="56"/>
      <c r="DT207" s="57">
        <f t="shared" si="1288"/>
        <v>0</v>
      </c>
      <c r="DU207" s="57">
        <f t="shared" si="1289"/>
        <v>5800</v>
      </c>
      <c r="DV207" s="56"/>
      <c r="DY207" s="55">
        <f t="shared" si="1290"/>
        <v>46198</v>
      </c>
      <c r="DZ207" s="56"/>
      <c r="EA207" s="157">
        <f>SUMPRODUCT(PRODUCE!$B212:$DY212,PRODUCE!$EB$21:$IY$21)</f>
        <v>0</v>
      </c>
      <c r="EB207" s="56"/>
      <c r="EC207" s="157">
        <f t="shared" si="1291"/>
        <v>0</v>
      </c>
      <c r="ED207" s="157">
        <f t="shared" si="1292"/>
        <v>0</v>
      </c>
      <c r="EE207" s="56"/>
      <c r="EH207" s="55">
        <f t="shared" si="1293"/>
        <v>46198</v>
      </c>
      <c r="EI207" s="56"/>
      <c r="EJ207" s="162">
        <f>SUMPRODUCT(PRODUCE!$B212:$DY212,PRODUCE!$EB$22:$IY$22)</f>
        <v>0</v>
      </c>
      <c r="EK207" s="56"/>
      <c r="EL207" s="162">
        <f t="shared" si="1294"/>
        <v>0</v>
      </c>
      <c r="EM207" s="162">
        <f t="shared" si="1295"/>
        <v>0</v>
      </c>
      <c r="EN207" s="56"/>
      <c r="EQ207" s="55">
        <f t="shared" si="1296"/>
        <v>46198</v>
      </c>
      <c r="ER207" s="56"/>
      <c r="ES207" s="135">
        <f>SUMPRODUCT(PRODUCE!$B212:$DY212,PRODUCE!$EB$23:$IY$23)</f>
        <v>0</v>
      </c>
      <c r="ET207" s="56"/>
      <c r="EU207" s="135">
        <f t="shared" si="1297"/>
        <v>0</v>
      </c>
      <c r="EV207" s="135">
        <f t="shared" si="1298"/>
        <v>0</v>
      </c>
      <c r="EW207" s="56"/>
      <c r="EZ207" s="55">
        <f t="shared" si="1299"/>
        <v>46198</v>
      </c>
      <c r="FA207" s="56"/>
      <c r="FB207" s="175">
        <f>SUMPRODUCT(PRODUCE!$B212:$DY212,PRODUCE!$EB$24:$IY$24)</f>
        <v>0</v>
      </c>
      <c r="FC207" s="56"/>
      <c r="FD207" s="175">
        <f t="shared" si="1300"/>
        <v>0</v>
      </c>
      <c r="FE207" s="175">
        <f t="shared" si="1301"/>
        <v>0</v>
      </c>
      <c r="FF207" s="56"/>
      <c r="FI207" s="55">
        <f t="shared" si="1302"/>
        <v>46198</v>
      </c>
      <c r="FJ207" s="56"/>
      <c r="FK207" s="183">
        <f>SUMPRODUCT(PRODUCE!$B212:$DY212,PRODUCE!$EB$25:$IY$25)</f>
        <v>0</v>
      </c>
      <c r="FL207" s="56"/>
      <c r="FM207" s="183">
        <f t="shared" si="1303"/>
        <v>0</v>
      </c>
      <c r="FN207" s="183">
        <f t="shared" si="1304"/>
        <v>0</v>
      </c>
      <c r="FO207" s="56"/>
      <c r="FR207" s="55">
        <f t="shared" si="1305"/>
        <v>46198</v>
      </c>
      <c r="FS207" s="56"/>
      <c r="FT207" s="186">
        <f>SUMPRODUCT(PRODUCE!$B212:$DY212,PRODUCE!$EB$26:$IY$26)</f>
        <v>0</v>
      </c>
      <c r="FU207" s="56"/>
      <c r="FV207" s="186">
        <f t="shared" si="1306"/>
        <v>0</v>
      </c>
      <c r="FW207" s="186">
        <f t="shared" si="1307"/>
        <v>1160</v>
      </c>
      <c r="FX207" s="56"/>
      <c r="GA207" s="55">
        <f t="shared" si="1308"/>
        <v>46198</v>
      </c>
      <c r="GB207" s="56"/>
      <c r="GC207" s="137">
        <f>SUMPRODUCT(PRODUCE!$B212:$DY212,PRODUCE!$EB$27:$IY$27)</f>
        <v>0</v>
      </c>
      <c r="GD207" s="56"/>
      <c r="GE207" s="137">
        <f t="shared" si="1309"/>
        <v>0</v>
      </c>
      <c r="GF207" s="137">
        <f t="shared" si="1310"/>
        <v>960</v>
      </c>
      <c r="GG207" s="56"/>
      <c r="GI207" s="23"/>
      <c r="GJ207" s="55">
        <f t="shared" si="1311"/>
        <v>46198</v>
      </c>
      <c r="GK207" s="56"/>
      <c r="GL207" s="199">
        <f>SUMPRODUCT(PRODUCE!$B212:$DY212,PRODUCE!$EB$28:$IY$28)</f>
        <v>0</v>
      </c>
      <c r="GM207" s="56"/>
      <c r="GN207" s="199">
        <f t="shared" si="1312"/>
        <v>0</v>
      </c>
      <c r="GO207" s="199">
        <f t="shared" si="1313"/>
        <v>1760</v>
      </c>
      <c r="GP207" s="56"/>
      <c r="GS207" s="55">
        <f t="shared" si="1314"/>
        <v>46198</v>
      </c>
      <c r="GT207" s="56"/>
      <c r="GU207" s="195">
        <f>SUMPRODUCT(PRODUCE!$B212:$DY212,PRODUCE!$EB$29:$IY$29)</f>
        <v>0</v>
      </c>
      <c r="GV207" s="56"/>
      <c r="GW207" s="195">
        <f t="shared" si="1315"/>
        <v>0</v>
      </c>
      <c r="GX207" s="195">
        <f t="shared" si="1316"/>
        <v>400</v>
      </c>
      <c r="GY207" s="56"/>
      <c r="HB207" s="55">
        <f t="shared" si="1317"/>
        <v>46198</v>
      </c>
      <c r="HC207" s="56"/>
      <c r="HD207" s="191">
        <f>SUMPRODUCT(PRODUCE!$B212:$DY212,PRODUCE!$EB$30:$IY$30)</f>
        <v>0</v>
      </c>
      <c r="HE207" s="56"/>
      <c r="HF207" s="191">
        <f t="shared" si="1318"/>
        <v>0</v>
      </c>
      <c r="HG207" s="191">
        <f t="shared" si="1319"/>
        <v>3600</v>
      </c>
      <c r="HH207" s="56"/>
      <c r="HK207" s="55">
        <f t="shared" si="1320"/>
        <v>46198</v>
      </c>
      <c r="HL207" s="56"/>
      <c r="HM207" s="63">
        <f>SUMPRODUCT(PRODUCE!$B212:$DY212,PRODUCE!$EB$31:$IY$31)</f>
        <v>0</v>
      </c>
      <c r="HN207" s="56"/>
      <c r="HO207" s="63">
        <f t="shared" si="1321"/>
        <v>0</v>
      </c>
      <c r="HP207" s="63">
        <f t="shared" si="1322"/>
        <v>0</v>
      </c>
      <c r="HQ207" s="56"/>
      <c r="HU207" s="55">
        <f t="shared" si="1323"/>
        <v>46198</v>
      </c>
      <c r="HV207" s="56"/>
      <c r="HW207" s="242">
        <f>SUMPRODUCT(PRODUCE!$B212:$DY212,PRODUCE!$EB$32:$IY$32)</f>
        <v>0</v>
      </c>
      <c r="HX207" s="56"/>
      <c r="HY207" s="242">
        <f t="shared" si="1324"/>
        <v>0</v>
      </c>
      <c r="HZ207" s="242">
        <f t="shared" si="1325"/>
        <v>6800</v>
      </c>
      <c r="IA207" s="56"/>
      <c r="ID207" s="55">
        <f t="shared" si="1326"/>
        <v>46198</v>
      </c>
      <c r="IE207" s="56"/>
      <c r="IF207" s="242">
        <f>SUMPRODUCT(PRODUCE!$B212:$DY212,PRODUCE!$EB$33:$IY$33)</f>
        <v>0</v>
      </c>
      <c r="IG207" s="56"/>
      <c r="IH207" s="242">
        <f t="shared" si="1327"/>
        <v>0</v>
      </c>
      <c r="II207" s="242">
        <f t="shared" si="1328"/>
        <v>720</v>
      </c>
      <c r="IJ207" s="56"/>
      <c r="IM207" s="55">
        <f t="shared" si="1329"/>
        <v>46198</v>
      </c>
      <c r="IN207" s="56"/>
      <c r="IO207" s="242">
        <f>SUMPRODUCT(PRODUCE!$B212:$DY212,PRODUCE!$EB$34:$IY$34)</f>
        <v>0</v>
      </c>
      <c r="IP207" s="56"/>
      <c r="IQ207" s="242">
        <f t="shared" si="1330"/>
        <v>0</v>
      </c>
      <c r="IR207" s="242">
        <f t="shared" si="1331"/>
        <v>6520</v>
      </c>
      <c r="IS207" s="56"/>
      <c r="IV207" s="55">
        <f t="shared" si="1332"/>
        <v>46198</v>
      </c>
      <c r="IW207" s="56"/>
      <c r="IX207" s="242">
        <f>SUMPRODUCT(PRODUCE!$B212:$DY212,PRODUCE!$EB$35:$IY$35)</f>
        <v>0</v>
      </c>
      <c r="IY207" s="56"/>
      <c r="IZ207" s="242">
        <f t="shared" si="1333"/>
        <v>0</v>
      </c>
      <c r="JA207" s="242">
        <f t="shared" si="1334"/>
        <v>4960</v>
      </c>
      <c r="JB207" s="56"/>
      <c r="JE207" s="55">
        <f t="shared" si="1335"/>
        <v>46198</v>
      </c>
      <c r="JF207" s="56"/>
      <c r="JG207" s="242">
        <f>SUMPRODUCT(PRODUCE!$B212:$DY212,PRODUCE!$EB$36:$IY$36)</f>
        <v>0</v>
      </c>
      <c r="JH207" s="56"/>
      <c r="JI207" s="242">
        <f t="shared" si="1336"/>
        <v>0</v>
      </c>
      <c r="JJ207" s="242">
        <f t="shared" si="1337"/>
        <v>0</v>
      </c>
      <c r="JK207" s="56"/>
      <c r="JN207" s="55">
        <f t="shared" si="1338"/>
        <v>46198</v>
      </c>
      <c r="JO207" s="56"/>
      <c r="JP207" s="242">
        <f>SUMPRODUCT(PRODUCE!$B212:$DY212,PRODUCE!$EB$37:$IY$37)</f>
        <v>0</v>
      </c>
      <c r="JQ207" s="56"/>
      <c r="JR207" s="242">
        <f t="shared" si="1339"/>
        <v>0</v>
      </c>
      <c r="JS207" s="242">
        <f t="shared" si="1340"/>
        <v>0</v>
      </c>
      <c r="JT207" s="56"/>
      <c r="JW207" s="55">
        <f t="shared" si="1341"/>
        <v>46198</v>
      </c>
      <c r="JX207" s="56"/>
      <c r="JY207" s="242">
        <f>SUMPRODUCT(PRODUCE!$B212:$DY212,PRODUCE!$EB$38:$IY$38)</f>
        <v>0</v>
      </c>
      <c r="JZ207" s="56"/>
      <c r="KA207" s="242">
        <f t="shared" si="1342"/>
        <v>0</v>
      </c>
      <c r="KB207" s="242">
        <f t="shared" si="1343"/>
        <v>2540</v>
      </c>
      <c r="KC207" s="56"/>
      <c r="KF207" s="55">
        <f t="shared" si="1344"/>
        <v>46198</v>
      </c>
      <c r="KG207" s="56"/>
      <c r="KH207" s="242">
        <f>SUMPRODUCT(PRODUCE!$B212:$DY212,PRODUCE!$EB$39:$IY$39)</f>
        <v>0</v>
      </c>
      <c r="KI207" s="56"/>
      <c r="KJ207" s="242">
        <f t="shared" si="1345"/>
        <v>0</v>
      </c>
      <c r="KK207" s="242">
        <f t="shared" si="1346"/>
        <v>2359.5</v>
      </c>
      <c r="KL207" s="56"/>
      <c r="KO207" s="55">
        <f t="shared" si="1347"/>
        <v>46198</v>
      </c>
      <c r="KP207" s="56"/>
      <c r="KQ207" s="242">
        <f>SUMPRODUCT(PRODUCE!$B212:$DY212,PRODUCE!$EB$40:$IY$40)</f>
        <v>0</v>
      </c>
      <c r="KR207" s="56"/>
      <c r="KS207" s="242">
        <f t="shared" si="1348"/>
        <v>0</v>
      </c>
      <c r="KT207" s="242">
        <f t="shared" si="1349"/>
        <v>1890</v>
      </c>
      <c r="KU207" s="56"/>
      <c r="KW207" s="23"/>
      <c r="KX207" s="55">
        <f t="shared" si="1350"/>
        <v>46198</v>
      </c>
      <c r="KY207" s="56"/>
      <c r="KZ207" s="242">
        <f>SUMPRODUCT(PRODUCE!$B212:$DY212,PRODUCE!$EB$41:$IY$41)</f>
        <v>0</v>
      </c>
      <c r="LA207" s="56"/>
      <c r="LB207" s="242">
        <f t="shared" si="1351"/>
        <v>0</v>
      </c>
      <c r="LC207" s="242">
        <f t="shared" si="1352"/>
        <v>3690</v>
      </c>
      <c r="LD207" s="56"/>
      <c r="LG207" s="55">
        <f t="shared" si="1353"/>
        <v>46198</v>
      </c>
      <c r="LH207" s="56"/>
      <c r="LI207" s="242">
        <f>SUMPRODUCT(PRODUCE!$B212:$DY212,PRODUCE!$EB$42:$IY$42)</f>
        <v>0</v>
      </c>
      <c r="LJ207" s="56"/>
      <c r="LK207" s="242">
        <f t="shared" si="1354"/>
        <v>0</v>
      </c>
      <c r="LL207" s="242">
        <f t="shared" si="1355"/>
        <v>4000</v>
      </c>
      <c r="LM207" s="56"/>
      <c r="LP207" s="55">
        <f t="shared" si="1356"/>
        <v>46198</v>
      </c>
      <c r="LQ207" s="56"/>
      <c r="LR207" s="242">
        <f>SUMPRODUCT(PRODUCE!$B212:$DY212,PRODUCE!$EB$43:$IY$43)</f>
        <v>0</v>
      </c>
      <c r="LS207" s="56"/>
      <c r="LT207" s="242">
        <f t="shared" si="1357"/>
        <v>0</v>
      </c>
      <c r="LU207" s="242">
        <f t="shared" si="1358"/>
        <v>0</v>
      </c>
      <c r="LV207" s="56"/>
      <c r="LY207" s="55">
        <f t="shared" si="1359"/>
        <v>46198</v>
      </c>
      <c r="LZ207" s="56"/>
      <c r="MA207" s="242">
        <f>SUMPRODUCT(PRODUCE!$B212:$DY212,PRODUCE!$EB$44:$IY$44)</f>
        <v>0</v>
      </c>
      <c r="MB207" s="56"/>
      <c r="MC207" s="242">
        <f t="shared" si="1360"/>
        <v>0</v>
      </c>
      <c r="MD207" s="242">
        <f t="shared" si="1361"/>
        <v>0</v>
      </c>
      <c r="ME207" s="56"/>
      <c r="MH207" s="55">
        <f t="shared" si="1362"/>
        <v>46198</v>
      </c>
      <c r="MI207" s="56"/>
      <c r="MJ207" s="242">
        <f>SUMPRODUCT(PRODUCE!$B212:$DY212,PRODUCE!$EB$45:$IY$45)</f>
        <v>0</v>
      </c>
      <c r="MK207" s="56"/>
      <c r="ML207" s="242">
        <f t="shared" si="1363"/>
        <v>0</v>
      </c>
      <c r="MM207" s="242">
        <f t="shared" si="1364"/>
        <v>0</v>
      </c>
      <c r="MN207" s="56"/>
      <c r="MQ207" s="55">
        <f t="shared" si="1365"/>
        <v>46198</v>
      </c>
      <c r="MR207" s="56"/>
      <c r="MS207" s="242">
        <f>SUMPRODUCT(PRODUCE!$B212:$DY212,PRODUCE!$EB$46:$IY$46)</f>
        <v>0</v>
      </c>
      <c r="MT207" s="56">
        <v>10</v>
      </c>
      <c r="MU207" s="242">
        <f t="shared" si="1366"/>
        <v>-10</v>
      </c>
      <c r="MV207" s="242">
        <f t="shared" si="1367"/>
        <v>3694</v>
      </c>
      <c r="MW207" s="56"/>
      <c r="MZ207" s="55">
        <f t="shared" si="1368"/>
        <v>46198</v>
      </c>
      <c r="NA207" s="56">
        <v>120</v>
      </c>
      <c r="NB207" s="242">
        <f>SUMPRODUCT(PRODUCE!$B212:$DY212,PRODUCE!$EB$47:$IY$47)</f>
        <v>0</v>
      </c>
      <c r="NC207" s="56">
        <v>120</v>
      </c>
      <c r="ND207" s="242">
        <f t="shared" si="1369"/>
        <v>-120</v>
      </c>
      <c r="NE207" s="242">
        <f t="shared" si="1370"/>
        <v>0</v>
      </c>
      <c r="NF207" s="56"/>
      <c r="NI207" s="55">
        <f t="shared" si="1371"/>
        <v>46198</v>
      </c>
      <c r="NJ207" s="56"/>
      <c r="NK207" s="242">
        <f>SUMPRODUCT(PRODUCE!$B212:$DY212,PRODUCE!$EB$48:$IY$48)</f>
        <v>0</v>
      </c>
      <c r="NL207" s="56"/>
      <c r="NM207" s="242">
        <f t="shared" si="1372"/>
        <v>0</v>
      </c>
      <c r="NN207" s="242">
        <f t="shared" si="1373"/>
        <v>1127</v>
      </c>
      <c r="NO207" s="56"/>
      <c r="NR207" s="55">
        <f t="shared" si="1374"/>
        <v>46198</v>
      </c>
      <c r="NS207" s="56"/>
      <c r="NT207" s="242">
        <f>SUMPRODUCT(PRODUCE!$B212:$DY212,PRODUCE!$EB$49:$IY$49)</f>
        <v>0</v>
      </c>
      <c r="NU207" s="56"/>
      <c r="NV207" s="242">
        <f t="shared" si="1375"/>
        <v>0</v>
      </c>
      <c r="NW207" s="242">
        <f t="shared" si="1376"/>
        <v>3111.9999999999995</v>
      </c>
      <c r="NX207" s="56"/>
      <c r="OA207" s="55">
        <f t="shared" si="1377"/>
        <v>46198</v>
      </c>
      <c r="OB207" s="56"/>
      <c r="OC207" s="242">
        <f>SUMPRODUCT(PRODUCE!$B212:$DY212,PRODUCE!$EB$50:$IY$50)</f>
        <v>0</v>
      </c>
      <c r="OD207" s="56"/>
      <c r="OE207" s="242">
        <f t="shared" si="1378"/>
        <v>0</v>
      </c>
      <c r="OF207" s="242">
        <f t="shared" si="1379"/>
        <v>1680.5</v>
      </c>
      <c r="OG207" s="56"/>
      <c r="OJ207" s="55">
        <f t="shared" si="1380"/>
        <v>46198</v>
      </c>
      <c r="OK207" s="56">
        <v>19</v>
      </c>
      <c r="OL207" s="242">
        <f>SUMPRODUCT(PRODUCE!$B212:$DY212,PRODUCE!$EB$51:$IY$51)</f>
        <v>0</v>
      </c>
      <c r="OM207" s="56">
        <v>19</v>
      </c>
      <c r="ON207" s="242">
        <f t="shared" si="1381"/>
        <v>-19</v>
      </c>
      <c r="OO207" s="242">
        <f t="shared" si="1382"/>
        <v>0</v>
      </c>
      <c r="OP207" s="56"/>
      <c r="OS207" s="55">
        <f t="shared" si="1383"/>
        <v>46198</v>
      </c>
      <c r="OT207" s="56"/>
      <c r="OU207" s="242">
        <f>SUMPRODUCT(PRODUCE!$B212:$DY212,PRODUCE!$EB$52:$IY$52)</f>
        <v>0</v>
      </c>
      <c r="OV207" s="56"/>
      <c r="OW207" s="242">
        <f t="shared" si="1384"/>
        <v>0</v>
      </c>
      <c r="OX207" s="242">
        <f t="shared" si="1385"/>
        <v>1482</v>
      </c>
      <c r="OY207" s="56"/>
      <c r="PB207" s="55">
        <f t="shared" si="1386"/>
        <v>46198</v>
      </c>
      <c r="PC207" s="56"/>
      <c r="PD207" s="242">
        <f>SUMPRODUCT(PRODUCE!$B212:$DY212,PRODUCE!$EB$53:$IY$53)</f>
        <v>0</v>
      </c>
      <c r="PE207" s="56"/>
      <c r="PF207" s="242">
        <f t="shared" si="1387"/>
        <v>0</v>
      </c>
      <c r="PG207" s="242">
        <f t="shared" si="1388"/>
        <v>0</v>
      </c>
      <c r="PH207" s="56"/>
      <c r="PK207" s="55">
        <f t="shared" si="1389"/>
        <v>46198</v>
      </c>
      <c r="PL207" s="56"/>
      <c r="PM207" s="242">
        <f>SUMPRODUCT(PRODUCE!$B212:$DY212,PRODUCE!$EB$54:$IY$54)</f>
        <v>0</v>
      </c>
      <c r="PN207" s="56"/>
      <c r="PO207" s="242">
        <f t="shared" si="1494"/>
        <v>0</v>
      </c>
      <c r="PP207" s="242">
        <f t="shared" si="1495"/>
        <v>100</v>
      </c>
      <c r="PQ207" s="56"/>
      <c r="PT207" s="55">
        <f t="shared" si="1392"/>
        <v>46198</v>
      </c>
      <c r="PU207" s="56"/>
      <c r="PV207" s="242">
        <f>SUMPRODUCT(PRODUCE!$B212:$DY212,PRODUCE!$EB$55:$IY$55)</f>
        <v>0</v>
      </c>
      <c r="PW207" s="56"/>
      <c r="PX207" s="242">
        <f t="shared" si="1393"/>
        <v>0</v>
      </c>
      <c r="PY207" s="242">
        <f t="shared" si="1394"/>
        <v>13.960000000000036</v>
      </c>
      <c r="PZ207" s="56"/>
      <c r="QC207" s="55">
        <f t="shared" si="1395"/>
        <v>46198</v>
      </c>
      <c r="QD207" s="56"/>
      <c r="QE207" s="242">
        <f>SUMPRODUCT(PRODUCE!$B212:$DY212,PRODUCE!$EB$56:$IY$56)</f>
        <v>0</v>
      </c>
      <c r="QF207" s="56"/>
      <c r="QG207" s="242">
        <f t="shared" si="1396"/>
        <v>0</v>
      </c>
      <c r="QH207" s="242">
        <f t="shared" si="1397"/>
        <v>1736</v>
      </c>
      <c r="QI207" s="56"/>
      <c r="QL207" s="55">
        <f t="shared" si="1398"/>
        <v>46198</v>
      </c>
      <c r="QM207" s="56"/>
      <c r="QN207" s="242">
        <f>SUMPRODUCT(PRODUCE!$B212:$DY212,PRODUCE!$EB$57:$IY$57)</f>
        <v>0</v>
      </c>
      <c r="QO207" s="56"/>
      <c r="QP207" s="242">
        <f t="shared" si="1399"/>
        <v>0</v>
      </c>
      <c r="QQ207" s="242">
        <f t="shared" si="1400"/>
        <v>250</v>
      </c>
      <c r="QR207" s="56"/>
      <c r="QU207" s="55">
        <f t="shared" si="1401"/>
        <v>46198</v>
      </c>
      <c r="QV207" s="56"/>
      <c r="QW207" s="242">
        <f>SUMPRODUCT(PRODUCE!$B212:$DY212,PRODUCE!$EB$58:$IY$58)</f>
        <v>0</v>
      </c>
      <c r="QX207" s="56"/>
      <c r="QY207" s="242">
        <f t="shared" si="1402"/>
        <v>0</v>
      </c>
      <c r="QZ207" s="242">
        <f t="shared" si="1403"/>
        <v>207.6</v>
      </c>
      <c r="RA207" s="56"/>
      <c r="RD207" s="55">
        <f t="shared" si="1404"/>
        <v>46198</v>
      </c>
      <c r="RE207" s="56"/>
      <c r="RF207" s="242">
        <f>SUMPRODUCT(PRODUCE!$B212:$DY212,PRODUCE!$EB$59:$IY$59)</f>
        <v>0</v>
      </c>
      <c r="RG207" s="56"/>
      <c r="RH207" s="242">
        <f t="shared" si="1405"/>
        <v>0</v>
      </c>
      <c r="RI207" s="242">
        <f t="shared" si="1406"/>
        <v>147.04000000000002</v>
      </c>
      <c r="RJ207" s="56"/>
      <c r="RM207" s="55">
        <f t="shared" si="1407"/>
        <v>46198</v>
      </c>
      <c r="RN207" s="56"/>
      <c r="RO207" s="242">
        <f>SUMPRODUCT(PRODUCE!$B212:$DY212,PRODUCE!$EB$60:$IY$60)</f>
        <v>0</v>
      </c>
      <c r="RP207" s="56"/>
      <c r="RQ207" s="242">
        <f t="shared" si="1408"/>
        <v>0</v>
      </c>
      <c r="RR207" s="242">
        <f t="shared" si="1409"/>
        <v>46.8</v>
      </c>
      <c r="RS207" s="56"/>
      <c r="RV207" s="55">
        <f t="shared" si="1410"/>
        <v>46198</v>
      </c>
      <c r="RW207" s="56"/>
      <c r="RX207" s="242">
        <f>SUMPRODUCT(PRODUCE!$B212:$DY212,PRODUCE!$EB$61:$IY$61)</f>
        <v>0</v>
      </c>
      <c r="RY207" s="56"/>
      <c r="RZ207" s="242">
        <f t="shared" si="1411"/>
        <v>0</v>
      </c>
      <c r="SA207" s="242">
        <f t="shared" si="1412"/>
        <v>0</v>
      </c>
      <c r="SB207" s="56"/>
      <c r="SE207" s="55">
        <f t="shared" si="1413"/>
        <v>46198</v>
      </c>
      <c r="SF207" s="56"/>
      <c r="SG207" s="242">
        <f>SUMPRODUCT(PRODUCE!$B212:$DY212,PRODUCE!$EB$62:$IY$62)</f>
        <v>0</v>
      </c>
      <c r="SH207" s="56"/>
      <c r="SI207" s="242">
        <f t="shared" si="1414"/>
        <v>0</v>
      </c>
      <c r="SJ207" s="242">
        <f t="shared" si="1415"/>
        <v>24.200000000000003</v>
      </c>
      <c r="SK207" s="56"/>
      <c r="SN207" s="55">
        <f t="shared" si="1416"/>
        <v>46198</v>
      </c>
      <c r="SO207" s="56"/>
      <c r="SP207" s="242">
        <f>SUMPRODUCT(PRODUCE!$B212:$DY212,PRODUCE!$EB$63:$IY$63)</f>
        <v>0</v>
      </c>
      <c r="SQ207" s="56"/>
      <c r="SR207" s="242">
        <f t="shared" si="1417"/>
        <v>0</v>
      </c>
      <c r="SS207" s="242">
        <f t="shared" si="1418"/>
        <v>32</v>
      </c>
      <c r="ST207" s="56"/>
      <c r="SW207" s="55">
        <f t="shared" si="1419"/>
        <v>46198</v>
      </c>
      <c r="SX207" s="56"/>
      <c r="SY207" s="242">
        <f>SUMPRODUCT(PRODUCE!$B212:$DY212,PRODUCE!$EB$64:$IY$64)</f>
        <v>0</v>
      </c>
      <c r="SZ207" s="56"/>
      <c r="TA207" s="242">
        <f t="shared" si="1420"/>
        <v>0</v>
      </c>
      <c r="TB207" s="242">
        <f t="shared" si="1421"/>
        <v>0</v>
      </c>
      <c r="TC207" s="56"/>
      <c r="TF207" s="55">
        <f t="shared" si="1422"/>
        <v>46198</v>
      </c>
      <c r="TG207" s="56"/>
      <c r="TH207" s="242">
        <f>SUMPRODUCT(PRODUCE!$B212:$DY212,PRODUCE!$EB$65:$IY$65)</f>
        <v>0</v>
      </c>
      <c r="TI207" s="56"/>
      <c r="TJ207" s="242">
        <f t="shared" si="1423"/>
        <v>0</v>
      </c>
      <c r="TK207" s="242">
        <f t="shared" si="1424"/>
        <v>0</v>
      </c>
      <c r="TL207" s="56"/>
      <c r="TO207" s="55">
        <f t="shared" si="1425"/>
        <v>46198</v>
      </c>
      <c r="TP207" s="56"/>
      <c r="TQ207" s="242">
        <f>SUMPRODUCT(PRODUCE!$B212:$DY212,PRODUCE!$EB$66:$IY$66)</f>
        <v>0</v>
      </c>
      <c r="TR207" s="56"/>
      <c r="TS207" s="242">
        <f t="shared" si="1426"/>
        <v>0</v>
      </c>
      <c r="TT207" s="242">
        <f t="shared" si="1427"/>
        <v>22.400000000000006</v>
      </c>
      <c r="TU207" s="56"/>
      <c r="TX207" s="55">
        <f t="shared" si="1428"/>
        <v>46198</v>
      </c>
      <c r="TY207" s="56"/>
      <c r="TZ207" s="242">
        <f>SUMPRODUCT(PRODUCE!$B212:$DY212,PRODUCE!$EB$67:$IY$67)</f>
        <v>0</v>
      </c>
      <c r="UA207" s="56"/>
      <c r="UB207" s="242">
        <f t="shared" si="1429"/>
        <v>0</v>
      </c>
      <c r="UC207" s="242">
        <f t="shared" si="1430"/>
        <v>46.799999999999983</v>
      </c>
      <c r="UD207" s="56"/>
      <c r="UG207" s="55">
        <f t="shared" si="1431"/>
        <v>46198</v>
      </c>
      <c r="UH207" s="56"/>
      <c r="UI207" s="242">
        <f>SUMPRODUCT(PRODUCE!$B212:$DY212,PRODUCE!$EB$68:$IY$68)</f>
        <v>0</v>
      </c>
      <c r="UJ207" s="56"/>
      <c r="UK207" s="242">
        <f t="shared" si="1432"/>
        <v>0</v>
      </c>
      <c r="UL207" s="242">
        <f t="shared" si="1433"/>
        <v>204</v>
      </c>
      <c r="UM207" s="56"/>
      <c r="UP207" s="55">
        <f t="shared" si="1434"/>
        <v>46198</v>
      </c>
      <c r="UQ207" s="56"/>
      <c r="UR207" s="242">
        <f>SUMPRODUCT(PRODUCE!$B212:$DY212,PRODUCE!$EB$69:$IY$69)</f>
        <v>0</v>
      </c>
      <c r="US207" s="56"/>
      <c r="UT207" s="242">
        <f t="shared" si="1435"/>
        <v>0</v>
      </c>
      <c r="UU207" s="242">
        <f t="shared" si="1436"/>
        <v>251.25</v>
      </c>
      <c r="UV207" s="56"/>
      <c r="UY207" s="55">
        <f t="shared" si="1437"/>
        <v>46198</v>
      </c>
      <c r="UZ207" s="56"/>
      <c r="VA207" s="242">
        <f>SUMPRODUCT(PRODUCE!$B212:$DY212,PRODUCE!$EB$70:$IY$70)</f>
        <v>0</v>
      </c>
      <c r="VB207" s="56"/>
      <c r="VC207" s="242">
        <f t="shared" si="1438"/>
        <v>0</v>
      </c>
      <c r="VD207" s="242">
        <f t="shared" si="1439"/>
        <v>41.600000000000023</v>
      </c>
      <c r="VE207" s="56"/>
      <c r="VH207" s="55">
        <f t="shared" si="1440"/>
        <v>46198</v>
      </c>
      <c r="VI207" s="56"/>
      <c r="VJ207" s="242">
        <f>SUMPRODUCT(PRODUCE!$B212:$DY212,PRODUCE!$EB$71:$IY$71)</f>
        <v>0</v>
      </c>
      <c r="VK207" s="56"/>
      <c r="VL207" s="242">
        <f t="shared" si="1441"/>
        <v>0</v>
      </c>
      <c r="VM207" s="242">
        <f t="shared" si="1442"/>
        <v>210</v>
      </c>
      <c r="VN207" s="56"/>
      <c r="VQ207" s="55">
        <f t="shared" si="1443"/>
        <v>46198</v>
      </c>
      <c r="VR207" s="56"/>
      <c r="VS207" s="242">
        <f>SUMPRODUCT(PRODUCE!$B212:$DY212,PRODUCE!$EB$57:$IY$57)</f>
        <v>0</v>
      </c>
      <c r="VT207" s="56"/>
      <c r="VU207" s="242">
        <f t="shared" si="1444"/>
        <v>0</v>
      </c>
      <c r="VV207" s="242">
        <f t="shared" si="1445"/>
        <v>0</v>
      </c>
      <c r="VW207" s="56"/>
      <c r="VZ207" s="55">
        <f t="shared" si="1446"/>
        <v>46198</v>
      </c>
      <c r="WA207" s="56"/>
      <c r="WB207" s="242">
        <f>SUMPRODUCT(PRODUCE!$B212:$DY212,PRODUCE!$EB$57:$IY$57)</f>
        <v>0</v>
      </c>
      <c r="WC207" s="56"/>
      <c r="WD207" s="242">
        <f t="shared" si="1447"/>
        <v>0</v>
      </c>
      <c r="WE207" s="242">
        <f t="shared" si="1448"/>
        <v>0</v>
      </c>
      <c r="WF207" s="56"/>
      <c r="WI207" s="55">
        <f t="shared" si="1449"/>
        <v>46198</v>
      </c>
      <c r="WJ207" s="422"/>
      <c r="WK207" s="540">
        <f>SUMPRODUCT(PRODUCE!$B212:$DY212,PRODUCE!$EB$74:$IY$74)</f>
        <v>0</v>
      </c>
      <c r="WL207" s="422"/>
      <c r="WM207" s="540">
        <f t="shared" si="1450"/>
        <v>0</v>
      </c>
      <c r="WN207" s="540">
        <f t="shared" si="1451"/>
        <v>1199</v>
      </c>
      <c r="WO207" s="56"/>
      <c r="WR207" s="55">
        <f t="shared" si="1452"/>
        <v>46198</v>
      </c>
      <c r="WS207" s="422"/>
      <c r="WT207" s="540">
        <f>SUMPRODUCT(PRODUCE!$B212:$DY212,PRODUCE!$EB$75:$IY$75)</f>
        <v>0</v>
      </c>
      <c r="WU207" s="422"/>
      <c r="WV207" s="540">
        <f t="shared" si="1453"/>
        <v>0</v>
      </c>
      <c r="WW207" s="540">
        <f t="shared" si="1454"/>
        <v>0</v>
      </c>
      <c r="WX207" s="56"/>
      <c r="XA207" s="55">
        <f t="shared" si="1455"/>
        <v>46198</v>
      </c>
      <c r="XB207" s="422"/>
      <c r="XC207" s="540">
        <f>SUMPRODUCT(PRODUCE!$B212:$DY212,PRODUCE!$EB$76:$IY$76)</f>
        <v>0</v>
      </c>
      <c r="XD207" s="422"/>
      <c r="XE207" s="540">
        <f t="shared" si="1456"/>
        <v>0</v>
      </c>
      <c r="XF207" s="540">
        <f t="shared" si="1457"/>
        <v>6813</v>
      </c>
      <c r="XG207" s="56"/>
      <c r="XJ207" s="55">
        <f t="shared" si="1458"/>
        <v>46198</v>
      </c>
      <c r="XK207" s="422"/>
      <c r="XL207" s="540">
        <f>SUMPRODUCT(PRODUCE!$B212:$DY212,PRODUCE!$EB$77:$IY$77)</f>
        <v>0</v>
      </c>
      <c r="XM207" s="422"/>
      <c r="XN207" s="540">
        <f t="shared" si="1459"/>
        <v>0</v>
      </c>
      <c r="XO207" s="540">
        <f t="shared" si="1460"/>
        <v>4689</v>
      </c>
      <c r="XP207" s="56"/>
      <c r="XS207" s="55">
        <f t="shared" si="1461"/>
        <v>46198</v>
      </c>
      <c r="XT207" s="56"/>
      <c r="XU207" s="242">
        <f>SUMPRODUCT(PRODUCE!$B212:$DY212,PRODUCE!$EB$78:$IY$78)</f>
        <v>0</v>
      </c>
      <c r="XV207" s="56"/>
      <c r="XW207" s="242">
        <f t="shared" si="1462"/>
        <v>0</v>
      </c>
      <c r="XX207" s="242">
        <f t="shared" si="1463"/>
        <v>1621</v>
      </c>
      <c r="XY207" s="56"/>
      <c r="YB207" s="55">
        <f t="shared" si="1464"/>
        <v>46198</v>
      </c>
      <c r="YC207" s="56"/>
      <c r="YD207" s="242">
        <f>SUMPRODUCT(PRODUCE!$B212:$DY212,PRODUCE!$EB$79:$IY$79)</f>
        <v>0</v>
      </c>
      <c r="YE207" s="56"/>
      <c r="YF207" s="242">
        <f t="shared" si="1465"/>
        <v>0</v>
      </c>
      <c r="YG207" s="242">
        <f t="shared" si="1466"/>
        <v>4072</v>
      </c>
      <c r="YH207" s="56"/>
      <c r="YK207" s="55">
        <f t="shared" si="1467"/>
        <v>46198</v>
      </c>
      <c r="YL207" s="56"/>
      <c r="YM207" s="242">
        <f>SUMPRODUCT(PRODUCE!$B212:$DY212,PRODUCE!$EB$80:$IY$80)</f>
        <v>0</v>
      </c>
      <c r="YN207" s="56"/>
      <c r="YO207" s="242">
        <f t="shared" si="1468"/>
        <v>0</v>
      </c>
      <c r="YP207" s="242">
        <f t="shared" si="1469"/>
        <v>0</v>
      </c>
      <c r="YQ207" s="56"/>
      <c r="YT207" s="55">
        <f t="shared" si="1470"/>
        <v>46198</v>
      </c>
      <c r="YU207" s="56"/>
      <c r="YV207" s="242">
        <f>SUMPRODUCT(PRODUCE!$B212:$DY212,PRODUCE!$EB$57:$IY$57)</f>
        <v>0</v>
      </c>
      <c r="YW207" s="56"/>
      <c r="YX207" s="242">
        <f t="shared" si="1471"/>
        <v>0</v>
      </c>
      <c r="YY207" s="242">
        <f t="shared" si="1472"/>
        <v>0</v>
      </c>
      <c r="YZ207" s="56"/>
      <c r="ZC207" s="55">
        <f t="shared" si="1473"/>
        <v>46198</v>
      </c>
      <c r="ZD207" s="56"/>
      <c r="ZE207" s="242">
        <f>SUMPRODUCT(PRODUCE!$B212:$DY212,PRODUCE!$EB$57:$IY$57)</f>
        <v>0</v>
      </c>
      <c r="ZF207" s="56"/>
      <c r="ZG207" s="242">
        <f t="shared" si="1474"/>
        <v>0</v>
      </c>
      <c r="ZH207" s="242">
        <f t="shared" si="1475"/>
        <v>0</v>
      </c>
      <c r="ZI207" s="56"/>
      <c r="ZL207" s="55">
        <f t="shared" si="1476"/>
        <v>46198</v>
      </c>
      <c r="ZM207" s="56"/>
      <c r="ZN207" s="242">
        <f>SUMPRODUCT(PRODUCE!$B212:$DY212,PRODUCE!$EB$57:$IY$57)</f>
        <v>0</v>
      </c>
      <c r="ZO207" s="56"/>
      <c r="ZP207" s="242">
        <f t="shared" si="1477"/>
        <v>0</v>
      </c>
      <c r="ZQ207" s="242">
        <f t="shared" si="1478"/>
        <v>0</v>
      </c>
      <c r="ZR207" s="56"/>
      <c r="ZU207" s="55">
        <f t="shared" si="1479"/>
        <v>46198</v>
      </c>
      <c r="ZV207" s="56"/>
      <c r="ZW207" s="242">
        <f>SUMPRODUCT(PRODUCE!$B212:$DY212,PRODUCE!$EB$57:$IY$57)</f>
        <v>0</v>
      </c>
      <c r="ZX207" s="56"/>
      <c r="ZY207" s="242">
        <f t="shared" si="1480"/>
        <v>0</v>
      </c>
      <c r="ZZ207" s="242">
        <f t="shared" si="1481"/>
        <v>0</v>
      </c>
      <c r="AAA207" s="56"/>
      <c r="AAD207" s="55">
        <f t="shared" si="1482"/>
        <v>46198</v>
      </c>
      <c r="AAE207" s="56"/>
      <c r="AAF207" s="242">
        <f>SUMPRODUCT(PRODUCE!$B212:$DY212,PRODUCE!$EB$57:$IY$57)</f>
        <v>0</v>
      </c>
      <c r="AAG207" s="56"/>
      <c r="AAH207" s="242">
        <f t="shared" si="1483"/>
        <v>0</v>
      </c>
      <c r="AAI207" s="242">
        <f t="shared" si="1484"/>
        <v>0</v>
      </c>
      <c r="AAJ207" s="56"/>
      <c r="AAM207" s="55">
        <f t="shared" si="1485"/>
        <v>46198</v>
      </c>
      <c r="AAN207" s="56"/>
      <c r="AAO207" s="242">
        <f>SUMPRODUCT(PRODUCE!$B212:$DY212,PRODUCE!$EB$57:$IY$57)</f>
        <v>0</v>
      </c>
      <c r="AAP207" s="56"/>
      <c r="AAQ207" s="242">
        <f t="shared" si="1486"/>
        <v>0</v>
      </c>
      <c r="AAR207" s="242">
        <f t="shared" si="1487"/>
        <v>0</v>
      </c>
      <c r="AAS207" s="56"/>
      <c r="AAV207" s="55">
        <f t="shared" si="1488"/>
        <v>46198</v>
      </c>
      <c r="AAW207" s="56"/>
      <c r="AAX207" s="242">
        <f>SUMPRODUCT(PRODUCE!$B212:$DY212,PRODUCE!$EB$57:$IY$57)</f>
        <v>0</v>
      </c>
      <c r="AAY207" s="56"/>
      <c r="AAZ207" s="242">
        <f t="shared" si="1489"/>
        <v>0</v>
      </c>
      <c r="ABA207" s="242">
        <f t="shared" si="1490"/>
        <v>0</v>
      </c>
      <c r="ABB207" s="56"/>
      <c r="ABE207" s="55">
        <f t="shared" si="1491"/>
        <v>46198</v>
      </c>
      <c r="ABF207" s="56"/>
      <c r="ABG207" s="242">
        <f>SUMPRODUCT(PRODUCE!$B212:$DY212,PRODUCE!$EB$57:$IY$57)</f>
        <v>0</v>
      </c>
      <c r="ABH207" s="56"/>
      <c r="ABI207" s="242">
        <f t="shared" si="1492"/>
        <v>0</v>
      </c>
      <c r="ABJ207" s="242">
        <f t="shared" si="1493"/>
        <v>0</v>
      </c>
      <c r="ABK207" s="56"/>
    </row>
    <row r="208" spans="2:739" s="54" customFormat="1" ht="15" customHeight="1" outlineLevel="1">
      <c r="B208" s="478">
        <f>10+46+60</f>
        <v>116</v>
      </c>
      <c r="C208" s="55">
        <v>46199</v>
      </c>
      <c r="D208" s="422"/>
      <c r="E208" s="423">
        <f>SUMPRODUCT(PRODUCE!$B213:$DY213,PRODUCE!$EB$7:$IY$7)</f>
        <v>67002.5</v>
      </c>
      <c r="F208" s="422">
        <v>67008.600000000006</v>
      </c>
      <c r="G208" s="423">
        <f t="shared" si="1249"/>
        <v>-6.1000000000058208</v>
      </c>
      <c r="H208" s="423">
        <f t="shared" si="1250"/>
        <v>43140.200000000041</v>
      </c>
      <c r="I208" s="289" t="s">
        <v>293</v>
      </c>
      <c r="L208" s="55">
        <f t="shared" si="1251"/>
        <v>46199</v>
      </c>
      <c r="M208" s="422"/>
      <c r="N208" s="438">
        <f>SUMPRODUCT(PRODUCE!$B213:$DY213,PRODUCE!$EB$8:$IY$8)</f>
        <v>29793</v>
      </c>
      <c r="O208" s="422">
        <v>29796</v>
      </c>
      <c r="P208" s="438">
        <f t="shared" si="1252"/>
        <v>-3</v>
      </c>
      <c r="Q208" s="438">
        <f t="shared" si="1253"/>
        <v>50731.800000000076</v>
      </c>
      <c r="R208" s="56"/>
      <c r="U208" s="55">
        <f t="shared" si="1254"/>
        <v>46199</v>
      </c>
      <c r="V208" s="422"/>
      <c r="W208" s="440">
        <f>SUMPRODUCT(PRODUCE!$B213:$DY213,PRODUCE!$EB$9:$IY$9)</f>
        <v>7460</v>
      </c>
      <c r="X208" s="422">
        <v>7462.6</v>
      </c>
      <c r="Y208" s="440">
        <f t="shared" si="1255"/>
        <v>-2.6000000000003638</v>
      </c>
      <c r="Z208" s="440">
        <f t="shared" si="1256"/>
        <v>21384.799999999974</v>
      </c>
      <c r="AA208" s="56"/>
      <c r="AD208" s="55">
        <f t="shared" si="1257"/>
        <v>46199</v>
      </c>
      <c r="AE208" s="422"/>
      <c r="AF208" s="442">
        <f>SUMPRODUCT(PRODUCE!$B213:$DY213,PRODUCE!$EB$10:$IY$10)</f>
        <v>0</v>
      </c>
      <c r="AG208" s="422"/>
      <c r="AH208" s="442">
        <f t="shared" si="1258"/>
        <v>0</v>
      </c>
      <c r="AI208" s="442">
        <f t="shared" si="1259"/>
        <v>33372.700000000019</v>
      </c>
      <c r="AJ208" s="56"/>
      <c r="AM208" s="55">
        <f t="shared" si="1260"/>
        <v>46199</v>
      </c>
      <c r="AN208" s="422"/>
      <c r="AO208" s="444">
        <f>SUMPRODUCT(PRODUCE!$B213:$DY213,PRODUCE!$EB$11:$IY$11)</f>
        <v>0</v>
      </c>
      <c r="AP208" s="422"/>
      <c r="AQ208" s="444">
        <f t="shared" si="1261"/>
        <v>0</v>
      </c>
      <c r="AR208" s="444">
        <f t="shared" si="1262"/>
        <v>0</v>
      </c>
      <c r="AS208" s="56"/>
      <c r="AV208" s="55">
        <f t="shared" si="1263"/>
        <v>46199</v>
      </c>
      <c r="AW208" s="422"/>
      <c r="AX208" s="446">
        <f>SUMPRODUCT(PRODUCE!$B213:$DY213,PRODUCE!$EB$12:$IY$12)</f>
        <v>0</v>
      </c>
      <c r="AY208" s="422"/>
      <c r="AZ208" s="446">
        <f t="shared" si="1264"/>
        <v>0</v>
      </c>
      <c r="BA208" s="446">
        <f t="shared" si="1265"/>
        <v>14066.499999999996</v>
      </c>
      <c r="BB208" s="56"/>
      <c r="BE208" s="55">
        <f t="shared" si="1266"/>
        <v>46199</v>
      </c>
      <c r="BF208" s="422"/>
      <c r="BG208" s="448">
        <f>SUMPRODUCT(PRODUCE!$B213:$DY213,PRODUCE!$EB$13:$IY$13)</f>
        <v>795</v>
      </c>
      <c r="BH208" s="422">
        <v>793.8</v>
      </c>
      <c r="BI208" s="448">
        <f t="shared" si="1267"/>
        <v>1.2000000000000455</v>
      </c>
      <c r="BJ208" s="448">
        <f t="shared" si="1268"/>
        <v>38240.999999999993</v>
      </c>
      <c r="BK208" s="56"/>
      <c r="BN208" s="55">
        <f t="shared" si="1269"/>
        <v>46199</v>
      </c>
      <c r="BO208" s="422">
        <v>1064.9000000000001</v>
      </c>
      <c r="BP208" s="450">
        <f>SUMPRODUCT(PRODUCE!$B213:$DY213,PRODUCE!$EB$14:$IY$14)</f>
        <v>765</v>
      </c>
      <c r="BQ208" s="422">
        <v>1064.9000000000001</v>
      </c>
      <c r="BR208" s="450">
        <f t="shared" si="1270"/>
        <v>-299.90000000000009</v>
      </c>
      <c r="BS208" s="450">
        <f t="shared" si="1271"/>
        <v>0</v>
      </c>
      <c r="BT208" s="56"/>
      <c r="BW208" s="55">
        <f t="shared" si="1272"/>
        <v>46199</v>
      </c>
      <c r="BX208" s="422"/>
      <c r="BY208" s="523">
        <f>SUMPRODUCT(PRODUCE!$B213:$DY213,PRODUCE!$EB$15:$IY$15)</f>
        <v>596.63</v>
      </c>
      <c r="BZ208" s="422">
        <f>9+351.76</f>
        <v>360.76</v>
      </c>
      <c r="CA208" s="523">
        <f t="shared" si="1273"/>
        <v>235.87</v>
      </c>
      <c r="CB208" s="523">
        <f t="shared" si="1274"/>
        <v>2740.5399999999991</v>
      </c>
      <c r="CC208" s="56"/>
      <c r="CF208" s="55">
        <f t="shared" si="1275"/>
        <v>46199</v>
      </c>
      <c r="CG208" s="422">
        <v>688.64</v>
      </c>
      <c r="CH208" s="524">
        <f>SUMPRODUCT(PRODUCE!$B213:$DY213,PRODUCE!$EB$16:$IY$16)</f>
        <v>64.2</v>
      </c>
      <c r="CI208" s="422">
        <f>36.48+652.16</f>
        <v>688.64</v>
      </c>
      <c r="CJ208" s="524">
        <f t="shared" si="1276"/>
        <v>-624.43999999999994</v>
      </c>
      <c r="CK208" s="524">
        <f t="shared" si="1277"/>
        <v>0</v>
      </c>
      <c r="CL208" s="56"/>
      <c r="CO208" s="55">
        <f t="shared" si="1278"/>
        <v>46199</v>
      </c>
      <c r="CP208" s="422"/>
      <c r="CQ208" s="470">
        <f>SUMPRODUCT(PRODUCE!$B213:$DY213,PRODUCE!$EB$17:$IY$17)</f>
        <v>0</v>
      </c>
      <c r="CR208" s="422"/>
      <c r="CS208" s="470">
        <f t="shared" si="1279"/>
        <v>0</v>
      </c>
      <c r="CT208" s="470">
        <f t="shared" si="1280"/>
        <v>0</v>
      </c>
      <c r="CU208" s="56"/>
      <c r="CX208" s="55">
        <f t="shared" si="1281"/>
        <v>46199</v>
      </c>
      <c r="CY208" s="422"/>
      <c r="CZ208" s="525">
        <f>SUMPRODUCT(PRODUCE!$B213:$DY213,PRODUCE!$EB$18:$IY$18)</f>
        <v>2120</v>
      </c>
      <c r="DA208" s="422">
        <v>2121.5</v>
      </c>
      <c r="DB208" s="525">
        <f t="shared" si="1282"/>
        <v>-1.5</v>
      </c>
      <c r="DC208" s="525">
        <f t="shared" si="1283"/>
        <v>11420.500000000007</v>
      </c>
      <c r="DD208" s="56"/>
      <c r="DG208" s="55">
        <f t="shared" si="1284"/>
        <v>46199</v>
      </c>
      <c r="DH208" s="422"/>
      <c r="DI208" s="526">
        <f>SUMPRODUCT(PRODUCE!$B213:$DY213,PRODUCE!$EB$19:$IY$19)</f>
        <v>0</v>
      </c>
      <c r="DJ208" s="422"/>
      <c r="DK208" s="526">
        <f t="shared" si="1285"/>
        <v>0</v>
      </c>
      <c r="DL208" s="526">
        <f t="shared" si="1286"/>
        <v>35234.999999999985</v>
      </c>
      <c r="DM208" s="56"/>
      <c r="DP208" s="55">
        <f t="shared" si="1287"/>
        <v>46199</v>
      </c>
      <c r="DQ208" s="56"/>
      <c r="DR208" s="57">
        <f>SUMPRODUCT(PRODUCE!$B213:$DY213,PRODUCE!$EB$20:$IY$20)</f>
        <v>0</v>
      </c>
      <c r="DS208" s="56"/>
      <c r="DT208" s="57">
        <f t="shared" si="1288"/>
        <v>0</v>
      </c>
      <c r="DU208" s="57">
        <f t="shared" si="1289"/>
        <v>5800</v>
      </c>
      <c r="DV208" s="56"/>
      <c r="DY208" s="55">
        <f t="shared" si="1290"/>
        <v>46199</v>
      </c>
      <c r="DZ208" s="56"/>
      <c r="EA208" s="157">
        <f>SUMPRODUCT(PRODUCE!$B213:$DY213,PRODUCE!$EB$21:$IY$21)</f>
        <v>0</v>
      </c>
      <c r="EB208" s="56"/>
      <c r="EC208" s="157">
        <f t="shared" si="1291"/>
        <v>0</v>
      </c>
      <c r="ED208" s="157">
        <f t="shared" si="1292"/>
        <v>0</v>
      </c>
      <c r="EE208" s="56"/>
      <c r="EH208" s="55">
        <f t="shared" si="1293"/>
        <v>46199</v>
      </c>
      <c r="EI208" s="56"/>
      <c r="EJ208" s="162">
        <f>SUMPRODUCT(PRODUCE!$B213:$DY213,PRODUCE!$EB$22:$IY$22)</f>
        <v>0</v>
      </c>
      <c r="EK208" s="56"/>
      <c r="EL208" s="162">
        <f t="shared" si="1294"/>
        <v>0</v>
      </c>
      <c r="EM208" s="162">
        <f t="shared" si="1295"/>
        <v>0</v>
      </c>
      <c r="EN208" s="56"/>
      <c r="EQ208" s="55">
        <f t="shared" si="1296"/>
        <v>46199</v>
      </c>
      <c r="ER208" s="56"/>
      <c r="ES208" s="135">
        <f>SUMPRODUCT(PRODUCE!$B213:$DY213,PRODUCE!$EB$23:$IY$23)</f>
        <v>0</v>
      </c>
      <c r="ET208" s="56"/>
      <c r="EU208" s="135">
        <f t="shared" si="1297"/>
        <v>0</v>
      </c>
      <c r="EV208" s="135">
        <f t="shared" si="1298"/>
        <v>0</v>
      </c>
      <c r="EW208" s="56"/>
      <c r="EZ208" s="55">
        <f t="shared" si="1299"/>
        <v>46199</v>
      </c>
      <c r="FA208" s="56"/>
      <c r="FB208" s="175">
        <f>SUMPRODUCT(PRODUCE!$B213:$DY213,PRODUCE!$EB$24:$IY$24)</f>
        <v>0</v>
      </c>
      <c r="FC208" s="56"/>
      <c r="FD208" s="175">
        <f t="shared" si="1300"/>
        <v>0</v>
      </c>
      <c r="FE208" s="175">
        <f t="shared" si="1301"/>
        <v>0</v>
      </c>
      <c r="FF208" s="56"/>
      <c r="FI208" s="55">
        <f t="shared" si="1302"/>
        <v>46199</v>
      </c>
      <c r="FJ208" s="56"/>
      <c r="FK208" s="183">
        <f>SUMPRODUCT(PRODUCE!$B213:$DY213,PRODUCE!$EB$25:$IY$25)</f>
        <v>0</v>
      </c>
      <c r="FL208" s="56"/>
      <c r="FM208" s="183">
        <f t="shared" si="1303"/>
        <v>0</v>
      </c>
      <c r="FN208" s="183">
        <f t="shared" si="1304"/>
        <v>0</v>
      </c>
      <c r="FO208" s="56"/>
      <c r="FR208" s="55">
        <f t="shared" si="1305"/>
        <v>46199</v>
      </c>
      <c r="FS208" s="56"/>
      <c r="FT208" s="186">
        <f>SUMPRODUCT(PRODUCE!$B213:$DY213,PRODUCE!$EB$26:$IY$26)</f>
        <v>0</v>
      </c>
      <c r="FU208" s="56"/>
      <c r="FV208" s="186">
        <f t="shared" si="1306"/>
        <v>0</v>
      </c>
      <c r="FW208" s="186">
        <f t="shared" si="1307"/>
        <v>1160</v>
      </c>
      <c r="FX208" s="56"/>
      <c r="GA208" s="55">
        <f t="shared" si="1308"/>
        <v>46199</v>
      </c>
      <c r="GB208" s="56"/>
      <c r="GC208" s="137">
        <f>SUMPRODUCT(PRODUCE!$B213:$DY213,PRODUCE!$EB$27:$IY$27)</f>
        <v>0</v>
      </c>
      <c r="GD208" s="56"/>
      <c r="GE208" s="137">
        <f t="shared" si="1309"/>
        <v>0</v>
      </c>
      <c r="GF208" s="137">
        <f t="shared" si="1310"/>
        <v>960</v>
      </c>
      <c r="GG208" s="56"/>
      <c r="GI208" s="23"/>
      <c r="GJ208" s="55">
        <f t="shared" si="1311"/>
        <v>46199</v>
      </c>
      <c r="GK208" s="56"/>
      <c r="GL208" s="199">
        <f>SUMPRODUCT(PRODUCE!$B213:$DY213,PRODUCE!$EB$28:$IY$28)</f>
        <v>0</v>
      </c>
      <c r="GM208" s="56"/>
      <c r="GN208" s="199">
        <f t="shared" si="1312"/>
        <v>0</v>
      </c>
      <c r="GO208" s="199">
        <f t="shared" si="1313"/>
        <v>1760</v>
      </c>
      <c r="GP208" s="56"/>
      <c r="GS208" s="55">
        <f t="shared" si="1314"/>
        <v>46199</v>
      </c>
      <c r="GT208" s="56"/>
      <c r="GU208" s="195">
        <f>SUMPRODUCT(PRODUCE!$B213:$DY213,PRODUCE!$EB$29:$IY$29)</f>
        <v>0</v>
      </c>
      <c r="GV208" s="56"/>
      <c r="GW208" s="195">
        <f t="shared" si="1315"/>
        <v>0</v>
      </c>
      <c r="GX208" s="195">
        <f t="shared" si="1316"/>
        <v>400</v>
      </c>
      <c r="GY208" s="56"/>
      <c r="HB208" s="55">
        <f t="shared" si="1317"/>
        <v>46199</v>
      </c>
      <c r="HC208" s="56"/>
      <c r="HD208" s="191">
        <f>SUMPRODUCT(PRODUCE!$B213:$DY213,PRODUCE!$EB$30:$IY$30)</f>
        <v>0</v>
      </c>
      <c r="HE208" s="56"/>
      <c r="HF208" s="191">
        <f t="shared" si="1318"/>
        <v>0</v>
      </c>
      <c r="HG208" s="191">
        <f t="shared" si="1319"/>
        <v>3600</v>
      </c>
      <c r="HH208" s="56"/>
      <c r="HK208" s="55">
        <f t="shared" si="1320"/>
        <v>46199</v>
      </c>
      <c r="HL208" s="56"/>
      <c r="HM208" s="63">
        <f>SUMPRODUCT(PRODUCE!$B213:$DY213,PRODUCE!$EB$31:$IY$31)</f>
        <v>0</v>
      </c>
      <c r="HN208" s="56"/>
      <c r="HO208" s="63">
        <f t="shared" si="1321"/>
        <v>0</v>
      </c>
      <c r="HP208" s="63">
        <f t="shared" si="1322"/>
        <v>0</v>
      </c>
      <c r="HQ208" s="56"/>
      <c r="HU208" s="55">
        <f t="shared" si="1323"/>
        <v>46199</v>
      </c>
      <c r="HV208" s="56"/>
      <c r="HW208" s="242">
        <f>SUMPRODUCT(PRODUCE!$B213:$DY213,PRODUCE!$EB$32:$IY$32)</f>
        <v>0</v>
      </c>
      <c r="HX208" s="56">
        <v>120</v>
      </c>
      <c r="HY208" s="242">
        <f t="shared" si="1324"/>
        <v>-120</v>
      </c>
      <c r="HZ208" s="242">
        <f t="shared" si="1325"/>
        <v>6680</v>
      </c>
      <c r="IA208" s="56">
        <f>HX208/20</f>
        <v>6</v>
      </c>
      <c r="ID208" s="55">
        <f t="shared" si="1326"/>
        <v>46199</v>
      </c>
      <c r="IE208" s="56"/>
      <c r="IF208" s="242">
        <f>SUMPRODUCT(PRODUCE!$B213:$DY213,PRODUCE!$EB$33:$IY$33)</f>
        <v>0</v>
      </c>
      <c r="IG208" s="56"/>
      <c r="IH208" s="242">
        <f t="shared" si="1327"/>
        <v>0</v>
      </c>
      <c r="II208" s="242">
        <f t="shared" si="1328"/>
        <v>720</v>
      </c>
      <c r="IJ208" s="56"/>
      <c r="IM208" s="55">
        <f t="shared" si="1329"/>
        <v>46199</v>
      </c>
      <c r="IN208" s="56"/>
      <c r="IO208" s="242">
        <f>SUMPRODUCT(PRODUCE!$B213:$DY213,PRODUCE!$EB$34:$IY$34)</f>
        <v>0</v>
      </c>
      <c r="IP208" s="56"/>
      <c r="IQ208" s="242">
        <f t="shared" si="1330"/>
        <v>0</v>
      </c>
      <c r="IR208" s="242">
        <f t="shared" si="1331"/>
        <v>6520</v>
      </c>
      <c r="IS208" s="56"/>
      <c r="IV208" s="55">
        <f t="shared" si="1332"/>
        <v>46199</v>
      </c>
      <c r="IW208" s="56"/>
      <c r="IX208" s="242">
        <f>SUMPRODUCT(PRODUCE!$B213:$DY213,PRODUCE!$EB$35:$IY$35)</f>
        <v>0</v>
      </c>
      <c r="IY208" s="56"/>
      <c r="IZ208" s="242">
        <f t="shared" si="1333"/>
        <v>0</v>
      </c>
      <c r="JA208" s="242">
        <f t="shared" si="1334"/>
        <v>4960</v>
      </c>
      <c r="JB208" s="56"/>
      <c r="JE208" s="55">
        <f t="shared" si="1335"/>
        <v>46199</v>
      </c>
      <c r="JF208" s="56"/>
      <c r="JG208" s="242">
        <f>SUMPRODUCT(PRODUCE!$B213:$DY213,PRODUCE!$EB$36:$IY$36)</f>
        <v>0</v>
      </c>
      <c r="JH208" s="56"/>
      <c r="JI208" s="242">
        <f t="shared" si="1336"/>
        <v>0</v>
      </c>
      <c r="JJ208" s="242">
        <f t="shared" si="1337"/>
        <v>0</v>
      </c>
      <c r="JK208" s="56"/>
      <c r="JN208" s="55">
        <f t="shared" si="1338"/>
        <v>46199</v>
      </c>
      <c r="JO208" s="56"/>
      <c r="JP208" s="242">
        <f>SUMPRODUCT(PRODUCE!$B213:$DY213,PRODUCE!$EB$37:$IY$37)</f>
        <v>200</v>
      </c>
      <c r="JQ208" s="56"/>
      <c r="JR208" s="242">
        <f t="shared" si="1339"/>
        <v>200</v>
      </c>
      <c r="JS208" s="242">
        <f t="shared" si="1340"/>
        <v>0</v>
      </c>
      <c r="JT208" s="56"/>
      <c r="JW208" s="55">
        <f t="shared" si="1341"/>
        <v>46199</v>
      </c>
      <c r="JX208" s="56"/>
      <c r="JY208" s="242">
        <f>SUMPRODUCT(PRODUCE!$B213:$DY213,PRODUCE!$EB$38:$IY$38)</f>
        <v>0</v>
      </c>
      <c r="JZ208" s="56"/>
      <c r="KA208" s="242">
        <f t="shared" si="1342"/>
        <v>0</v>
      </c>
      <c r="KB208" s="242">
        <f t="shared" si="1343"/>
        <v>2540</v>
      </c>
      <c r="KC208" s="56"/>
      <c r="KF208" s="55">
        <f t="shared" si="1344"/>
        <v>46199</v>
      </c>
      <c r="KG208" s="56"/>
      <c r="KH208" s="242">
        <f>SUMPRODUCT(PRODUCE!$B213:$DY213,PRODUCE!$EB$39:$IY$39)</f>
        <v>0</v>
      </c>
      <c r="KI208" s="56"/>
      <c r="KJ208" s="242">
        <f t="shared" si="1345"/>
        <v>0</v>
      </c>
      <c r="KK208" s="242">
        <f t="shared" si="1346"/>
        <v>2359.5</v>
      </c>
      <c r="KL208" s="56"/>
      <c r="KO208" s="55">
        <f t="shared" si="1347"/>
        <v>46199</v>
      </c>
      <c r="KP208" s="56"/>
      <c r="KQ208" s="242">
        <f>SUMPRODUCT(PRODUCE!$B213:$DY213,PRODUCE!$EB$40:$IY$40)</f>
        <v>0</v>
      </c>
      <c r="KR208" s="56"/>
      <c r="KS208" s="242">
        <f t="shared" si="1348"/>
        <v>0</v>
      </c>
      <c r="KT208" s="242">
        <f t="shared" si="1349"/>
        <v>1890</v>
      </c>
      <c r="KU208" s="56"/>
      <c r="KW208" s="23"/>
      <c r="KX208" s="55">
        <f t="shared" si="1350"/>
        <v>46199</v>
      </c>
      <c r="KY208" s="56"/>
      <c r="KZ208" s="242">
        <f>SUMPRODUCT(PRODUCE!$B213:$DY213,PRODUCE!$EB$41:$IY$41)</f>
        <v>0</v>
      </c>
      <c r="LA208" s="56"/>
      <c r="LB208" s="242">
        <f t="shared" si="1351"/>
        <v>0</v>
      </c>
      <c r="LC208" s="242">
        <f t="shared" si="1352"/>
        <v>3690</v>
      </c>
      <c r="LD208" s="56"/>
      <c r="LG208" s="55">
        <f t="shared" si="1353"/>
        <v>46199</v>
      </c>
      <c r="LH208" s="56"/>
      <c r="LI208" s="242">
        <f>SUMPRODUCT(PRODUCE!$B213:$DY213,PRODUCE!$EB$42:$IY$42)</f>
        <v>0</v>
      </c>
      <c r="LJ208" s="56"/>
      <c r="LK208" s="242">
        <f t="shared" si="1354"/>
        <v>0</v>
      </c>
      <c r="LL208" s="242">
        <f t="shared" si="1355"/>
        <v>4000</v>
      </c>
      <c r="LM208" s="56"/>
      <c r="LP208" s="55">
        <f t="shared" si="1356"/>
        <v>46199</v>
      </c>
      <c r="LQ208" s="56"/>
      <c r="LR208" s="242">
        <f>SUMPRODUCT(PRODUCE!$B213:$DY213,PRODUCE!$EB$43:$IY$43)</f>
        <v>0</v>
      </c>
      <c r="LS208" s="56"/>
      <c r="LT208" s="242">
        <f t="shared" si="1357"/>
        <v>0</v>
      </c>
      <c r="LU208" s="242">
        <f t="shared" si="1358"/>
        <v>0</v>
      </c>
      <c r="LV208" s="56"/>
      <c r="LY208" s="55">
        <f t="shared" si="1359"/>
        <v>46199</v>
      </c>
      <c r="LZ208" s="56"/>
      <c r="MA208" s="242">
        <f>SUMPRODUCT(PRODUCE!$B213:$DY213,PRODUCE!$EB$44:$IY$44)</f>
        <v>0</v>
      </c>
      <c r="MB208" s="56"/>
      <c r="MC208" s="242">
        <f t="shared" si="1360"/>
        <v>0</v>
      </c>
      <c r="MD208" s="242">
        <f t="shared" si="1361"/>
        <v>0</v>
      </c>
      <c r="ME208" s="56"/>
      <c r="MH208" s="55">
        <f t="shared" si="1362"/>
        <v>46199</v>
      </c>
      <c r="MI208" s="56"/>
      <c r="MJ208" s="242">
        <f>SUMPRODUCT(PRODUCE!$B213:$DY213,PRODUCE!$EB$45:$IY$45)</f>
        <v>0</v>
      </c>
      <c r="MK208" s="56"/>
      <c r="ML208" s="242">
        <f t="shared" si="1363"/>
        <v>0</v>
      </c>
      <c r="MM208" s="242">
        <f t="shared" si="1364"/>
        <v>0</v>
      </c>
      <c r="MN208" s="56"/>
      <c r="MQ208" s="55">
        <f t="shared" si="1365"/>
        <v>46199</v>
      </c>
      <c r="MR208" s="56"/>
      <c r="MS208" s="242">
        <f>SUMPRODUCT(PRODUCE!$B213:$DY213,PRODUCE!$EB$46:$IY$46)</f>
        <v>0</v>
      </c>
      <c r="MT208" s="56">
        <f>3+80</f>
        <v>83</v>
      </c>
      <c r="MU208" s="242">
        <f t="shared" si="1366"/>
        <v>-83</v>
      </c>
      <c r="MV208" s="242">
        <f t="shared" si="1367"/>
        <v>3611</v>
      </c>
      <c r="MW208" s="56"/>
      <c r="MZ208" s="55">
        <f t="shared" si="1368"/>
        <v>46199</v>
      </c>
      <c r="NA208" s="56">
        <v>978</v>
      </c>
      <c r="NB208" s="242">
        <f>SUMPRODUCT(PRODUCE!$B213:$DY213,PRODUCE!$EB$47:$IY$47)</f>
        <v>30</v>
      </c>
      <c r="NC208" s="56">
        <f>18+960</f>
        <v>978</v>
      </c>
      <c r="ND208" s="242">
        <f t="shared" si="1369"/>
        <v>-948</v>
      </c>
      <c r="NE208" s="242">
        <f t="shared" si="1370"/>
        <v>0</v>
      </c>
      <c r="NF208" s="56"/>
      <c r="NI208" s="55">
        <f t="shared" si="1371"/>
        <v>46199</v>
      </c>
      <c r="NJ208" s="56"/>
      <c r="NK208" s="242">
        <f>SUMPRODUCT(PRODUCE!$B213:$DY213,PRODUCE!$EB$48:$IY$48)</f>
        <v>0</v>
      </c>
      <c r="NL208" s="56"/>
      <c r="NM208" s="242">
        <f t="shared" si="1372"/>
        <v>0</v>
      </c>
      <c r="NN208" s="242">
        <f t="shared" si="1373"/>
        <v>1127</v>
      </c>
      <c r="NO208" s="56"/>
      <c r="NR208" s="55">
        <f t="shared" si="1374"/>
        <v>46199</v>
      </c>
      <c r="NS208" s="56"/>
      <c r="NT208" s="242">
        <f>SUMPRODUCT(PRODUCE!$B213:$DY213,PRODUCE!$EB$49:$IY$49)</f>
        <v>0</v>
      </c>
      <c r="NU208" s="56"/>
      <c r="NV208" s="242">
        <f t="shared" si="1375"/>
        <v>0</v>
      </c>
      <c r="NW208" s="242">
        <f t="shared" si="1376"/>
        <v>3111.9999999999995</v>
      </c>
      <c r="NX208" s="56"/>
      <c r="OA208" s="55">
        <f t="shared" si="1377"/>
        <v>46199</v>
      </c>
      <c r="OB208" s="56"/>
      <c r="OC208" s="242">
        <f>SUMPRODUCT(PRODUCE!$B213:$DY213,PRODUCE!$EB$50:$IY$50)</f>
        <v>0</v>
      </c>
      <c r="OD208" s="56"/>
      <c r="OE208" s="242">
        <f t="shared" si="1378"/>
        <v>0</v>
      </c>
      <c r="OF208" s="242">
        <f t="shared" si="1379"/>
        <v>1680.5</v>
      </c>
      <c r="OG208" s="56"/>
      <c r="OJ208" s="55">
        <f t="shared" si="1380"/>
        <v>46199</v>
      </c>
      <c r="OK208" s="56">
        <v>152</v>
      </c>
      <c r="OL208" s="242">
        <f>SUMPRODUCT(PRODUCE!$B213:$DY213,PRODUCE!$EB$51:$IY$51)</f>
        <v>0</v>
      </c>
      <c r="OM208" s="56">
        <v>152</v>
      </c>
      <c r="ON208" s="242">
        <f t="shared" si="1381"/>
        <v>-152</v>
      </c>
      <c r="OO208" s="242">
        <f t="shared" si="1382"/>
        <v>0</v>
      </c>
      <c r="OP208" s="56"/>
      <c r="OS208" s="55">
        <f t="shared" si="1383"/>
        <v>46199</v>
      </c>
      <c r="OT208" s="56"/>
      <c r="OU208" s="242">
        <f>SUMPRODUCT(PRODUCE!$B213:$DY213,PRODUCE!$EB$52:$IY$52)</f>
        <v>0</v>
      </c>
      <c r="OV208" s="56"/>
      <c r="OW208" s="242">
        <f t="shared" si="1384"/>
        <v>0</v>
      </c>
      <c r="OX208" s="242">
        <f t="shared" si="1385"/>
        <v>1482</v>
      </c>
      <c r="OY208" s="56"/>
      <c r="PB208" s="55">
        <f t="shared" si="1386"/>
        <v>46199</v>
      </c>
      <c r="PC208" s="56"/>
      <c r="PD208" s="242">
        <f>SUMPRODUCT(PRODUCE!$B213:$DY213,PRODUCE!$EB$53:$IY$53)</f>
        <v>0</v>
      </c>
      <c r="PE208" s="56"/>
      <c r="PF208" s="242">
        <f t="shared" si="1387"/>
        <v>0</v>
      </c>
      <c r="PG208" s="242">
        <f t="shared" si="1388"/>
        <v>0</v>
      </c>
      <c r="PH208" s="56"/>
      <c r="PK208" s="55">
        <f t="shared" si="1389"/>
        <v>46199</v>
      </c>
      <c r="PL208" s="56"/>
      <c r="PM208" s="242">
        <f>SUMPRODUCT(PRODUCE!$B213:$DY213,PRODUCE!$EB$54:$IY$54)</f>
        <v>0</v>
      </c>
      <c r="PN208" s="56"/>
      <c r="PO208" s="242">
        <f t="shared" si="1494"/>
        <v>0</v>
      </c>
      <c r="PP208" s="242">
        <f t="shared" si="1495"/>
        <v>100</v>
      </c>
      <c r="PQ208" s="56"/>
      <c r="PT208" s="55">
        <f t="shared" si="1392"/>
        <v>46199</v>
      </c>
      <c r="PU208" s="56"/>
      <c r="PV208" s="242">
        <f>SUMPRODUCT(PRODUCE!$B213:$DY213,PRODUCE!$EB$55:$IY$55)</f>
        <v>0</v>
      </c>
      <c r="PW208" s="56"/>
      <c r="PX208" s="242">
        <f t="shared" si="1393"/>
        <v>0</v>
      </c>
      <c r="PY208" s="242">
        <f t="shared" si="1394"/>
        <v>13.960000000000036</v>
      </c>
      <c r="PZ208" s="56"/>
      <c r="QC208" s="55">
        <f t="shared" si="1395"/>
        <v>46199</v>
      </c>
      <c r="QD208" s="56"/>
      <c r="QE208" s="242">
        <f>SUMPRODUCT(PRODUCE!$B213:$DY213,PRODUCE!$EB$56:$IY$56)</f>
        <v>0</v>
      </c>
      <c r="QF208" s="56"/>
      <c r="QG208" s="242">
        <f t="shared" si="1396"/>
        <v>0</v>
      </c>
      <c r="QH208" s="242">
        <f t="shared" si="1397"/>
        <v>1736</v>
      </c>
      <c r="QI208" s="56"/>
      <c r="QL208" s="55">
        <f t="shared" si="1398"/>
        <v>46199</v>
      </c>
      <c r="QM208" s="56"/>
      <c r="QN208" s="242">
        <f>SUMPRODUCT(PRODUCE!$B213:$DY213,PRODUCE!$EB$57:$IY$57)</f>
        <v>25</v>
      </c>
      <c r="QO208" s="56"/>
      <c r="QP208" s="242">
        <f t="shared" si="1399"/>
        <v>25</v>
      </c>
      <c r="QQ208" s="242">
        <f t="shared" si="1400"/>
        <v>250</v>
      </c>
      <c r="QR208" s="56"/>
      <c r="QU208" s="55">
        <f t="shared" si="1401"/>
        <v>46199</v>
      </c>
      <c r="QV208" s="56"/>
      <c r="QW208" s="242">
        <f>SUMPRODUCT(PRODUCE!$B213:$DY213,PRODUCE!$EB$58:$IY$58)</f>
        <v>0</v>
      </c>
      <c r="QX208" s="56"/>
      <c r="QY208" s="242">
        <f t="shared" si="1402"/>
        <v>0</v>
      </c>
      <c r="QZ208" s="242">
        <f t="shared" si="1403"/>
        <v>207.6</v>
      </c>
      <c r="RA208" s="56"/>
      <c r="RD208" s="55">
        <f t="shared" si="1404"/>
        <v>46199</v>
      </c>
      <c r="RE208" s="56"/>
      <c r="RF208" s="242">
        <f>SUMPRODUCT(PRODUCE!$B213:$DY213,PRODUCE!$EB$59:$IY$59)</f>
        <v>0</v>
      </c>
      <c r="RG208" s="56"/>
      <c r="RH208" s="242">
        <f t="shared" si="1405"/>
        <v>0</v>
      </c>
      <c r="RI208" s="242">
        <f t="shared" si="1406"/>
        <v>147.04000000000002</v>
      </c>
      <c r="RJ208" s="56"/>
      <c r="RM208" s="55">
        <f t="shared" si="1407"/>
        <v>46199</v>
      </c>
      <c r="RN208" s="56"/>
      <c r="RO208" s="242">
        <f>SUMPRODUCT(PRODUCE!$B213:$DY213,PRODUCE!$EB$60:$IY$60)</f>
        <v>0</v>
      </c>
      <c r="RP208" s="56"/>
      <c r="RQ208" s="242">
        <f t="shared" si="1408"/>
        <v>0</v>
      </c>
      <c r="RR208" s="242">
        <f t="shared" si="1409"/>
        <v>46.8</v>
      </c>
      <c r="RS208" s="56"/>
      <c r="RV208" s="55">
        <f t="shared" si="1410"/>
        <v>46199</v>
      </c>
      <c r="RW208" s="56"/>
      <c r="RX208" s="242">
        <f>SUMPRODUCT(PRODUCE!$B213:$DY213,PRODUCE!$EB$61:$IY$61)</f>
        <v>0</v>
      </c>
      <c r="RY208" s="56"/>
      <c r="RZ208" s="242">
        <f t="shared" si="1411"/>
        <v>0</v>
      </c>
      <c r="SA208" s="242">
        <f t="shared" si="1412"/>
        <v>0</v>
      </c>
      <c r="SB208" s="56"/>
      <c r="SE208" s="55">
        <f t="shared" si="1413"/>
        <v>46199</v>
      </c>
      <c r="SF208" s="56"/>
      <c r="SG208" s="242">
        <f>SUMPRODUCT(PRODUCE!$B213:$DY213,PRODUCE!$EB$62:$IY$62)</f>
        <v>0</v>
      </c>
      <c r="SH208" s="56"/>
      <c r="SI208" s="242">
        <f t="shared" si="1414"/>
        <v>0</v>
      </c>
      <c r="SJ208" s="242">
        <f t="shared" si="1415"/>
        <v>24.200000000000003</v>
      </c>
      <c r="SK208" s="56"/>
      <c r="SN208" s="55">
        <f t="shared" si="1416"/>
        <v>46199</v>
      </c>
      <c r="SO208" s="56"/>
      <c r="SP208" s="242">
        <f>SUMPRODUCT(PRODUCE!$B213:$DY213,PRODUCE!$EB$63:$IY$63)</f>
        <v>0</v>
      </c>
      <c r="SQ208" s="56"/>
      <c r="SR208" s="242">
        <f t="shared" si="1417"/>
        <v>0</v>
      </c>
      <c r="SS208" s="242">
        <f t="shared" si="1418"/>
        <v>32</v>
      </c>
      <c r="ST208" s="56"/>
      <c r="SW208" s="55">
        <f t="shared" si="1419"/>
        <v>46199</v>
      </c>
      <c r="SX208" s="56"/>
      <c r="SY208" s="242">
        <f>SUMPRODUCT(PRODUCE!$B213:$DY213,PRODUCE!$EB$64:$IY$64)</f>
        <v>0</v>
      </c>
      <c r="SZ208" s="56"/>
      <c r="TA208" s="242">
        <f t="shared" si="1420"/>
        <v>0</v>
      </c>
      <c r="TB208" s="242">
        <f t="shared" si="1421"/>
        <v>0</v>
      </c>
      <c r="TC208" s="56"/>
      <c r="TF208" s="55">
        <f t="shared" si="1422"/>
        <v>46199</v>
      </c>
      <c r="TG208" s="56"/>
      <c r="TH208" s="242">
        <f>SUMPRODUCT(PRODUCE!$B213:$DY213,PRODUCE!$EB$65:$IY$65)</f>
        <v>0</v>
      </c>
      <c r="TI208" s="56"/>
      <c r="TJ208" s="242">
        <f t="shared" si="1423"/>
        <v>0</v>
      </c>
      <c r="TK208" s="242">
        <f t="shared" si="1424"/>
        <v>0</v>
      </c>
      <c r="TL208" s="56"/>
      <c r="TO208" s="55">
        <f t="shared" si="1425"/>
        <v>46199</v>
      </c>
      <c r="TP208" s="56"/>
      <c r="TQ208" s="242">
        <f>SUMPRODUCT(PRODUCE!$B213:$DY213,PRODUCE!$EB$66:$IY$66)</f>
        <v>0</v>
      </c>
      <c r="TR208" s="56"/>
      <c r="TS208" s="242">
        <f t="shared" si="1426"/>
        <v>0</v>
      </c>
      <c r="TT208" s="242">
        <f t="shared" si="1427"/>
        <v>22.400000000000006</v>
      </c>
      <c r="TU208" s="56"/>
      <c r="TX208" s="55">
        <f t="shared" si="1428"/>
        <v>46199</v>
      </c>
      <c r="TY208" s="56"/>
      <c r="TZ208" s="242">
        <f>SUMPRODUCT(PRODUCE!$B213:$DY213,PRODUCE!$EB$67:$IY$67)</f>
        <v>0</v>
      </c>
      <c r="UA208" s="56"/>
      <c r="UB208" s="242">
        <f t="shared" si="1429"/>
        <v>0</v>
      </c>
      <c r="UC208" s="242">
        <f t="shared" si="1430"/>
        <v>46.799999999999983</v>
      </c>
      <c r="UD208" s="56"/>
      <c r="UG208" s="55">
        <f t="shared" si="1431"/>
        <v>46199</v>
      </c>
      <c r="UH208" s="56"/>
      <c r="UI208" s="242">
        <f>SUMPRODUCT(PRODUCE!$B213:$DY213,PRODUCE!$EB$68:$IY$68)</f>
        <v>0</v>
      </c>
      <c r="UJ208" s="56"/>
      <c r="UK208" s="242">
        <f t="shared" si="1432"/>
        <v>0</v>
      </c>
      <c r="UL208" s="242">
        <f t="shared" si="1433"/>
        <v>204</v>
      </c>
      <c r="UM208" s="56"/>
      <c r="UP208" s="55">
        <f t="shared" si="1434"/>
        <v>46199</v>
      </c>
      <c r="UQ208" s="56"/>
      <c r="UR208" s="242">
        <f>SUMPRODUCT(PRODUCE!$B213:$DY213,PRODUCE!$EB$69:$IY$69)</f>
        <v>0</v>
      </c>
      <c r="US208" s="56"/>
      <c r="UT208" s="242">
        <f t="shared" si="1435"/>
        <v>0</v>
      </c>
      <c r="UU208" s="242">
        <f t="shared" si="1436"/>
        <v>251.25</v>
      </c>
      <c r="UV208" s="56"/>
      <c r="UY208" s="55">
        <f t="shared" si="1437"/>
        <v>46199</v>
      </c>
      <c r="UZ208" s="56"/>
      <c r="VA208" s="242">
        <f>SUMPRODUCT(PRODUCE!$B213:$DY213,PRODUCE!$EB$70:$IY$70)</f>
        <v>0</v>
      </c>
      <c r="VB208" s="56"/>
      <c r="VC208" s="242">
        <f t="shared" si="1438"/>
        <v>0</v>
      </c>
      <c r="VD208" s="242">
        <f t="shared" si="1439"/>
        <v>41.600000000000023</v>
      </c>
      <c r="VE208" s="56"/>
      <c r="VH208" s="55">
        <f t="shared" si="1440"/>
        <v>46199</v>
      </c>
      <c r="VI208" s="56"/>
      <c r="VJ208" s="242">
        <f>SUMPRODUCT(PRODUCE!$B213:$DY213,PRODUCE!$EB$71:$IY$71)</f>
        <v>0</v>
      </c>
      <c r="VK208" s="56"/>
      <c r="VL208" s="242">
        <f t="shared" si="1441"/>
        <v>0</v>
      </c>
      <c r="VM208" s="242">
        <f t="shared" si="1442"/>
        <v>210</v>
      </c>
      <c r="VN208" s="56"/>
      <c r="VQ208" s="55">
        <f t="shared" si="1443"/>
        <v>46199</v>
      </c>
      <c r="VR208" s="56"/>
      <c r="VS208" s="242">
        <f>SUMPRODUCT(PRODUCE!$B213:$DY213,PRODUCE!$EB$57:$IY$57)</f>
        <v>25</v>
      </c>
      <c r="VT208" s="56"/>
      <c r="VU208" s="242">
        <f t="shared" si="1444"/>
        <v>25</v>
      </c>
      <c r="VV208" s="242">
        <f t="shared" si="1445"/>
        <v>0</v>
      </c>
      <c r="VW208" s="56"/>
      <c r="VZ208" s="55">
        <f t="shared" si="1446"/>
        <v>46199</v>
      </c>
      <c r="WA208" s="56"/>
      <c r="WB208" s="242">
        <f>SUMPRODUCT(PRODUCE!$B213:$DY213,PRODUCE!$EB$57:$IY$57)</f>
        <v>25</v>
      </c>
      <c r="WC208" s="56"/>
      <c r="WD208" s="242">
        <f t="shared" si="1447"/>
        <v>25</v>
      </c>
      <c r="WE208" s="242">
        <f t="shared" si="1448"/>
        <v>0</v>
      </c>
      <c r="WF208" s="56"/>
      <c r="WI208" s="55">
        <f t="shared" si="1449"/>
        <v>46199</v>
      </c>
      <c r="WJ208" s="422"/>
      <c r="WK208" s="540">
        <f>SUMPRODUCT(PRODUCE!$B213:$DY213,PRODUCE!$EB$74:$IY$74)</f>
        <v>0</v>
      </c>
      <c r="WL208" s="422"/>
      <c r="WM208" s="540">
        <f t="shared" si="1450"/>
        <v>0</v>
      </c>
      <c r="WN208" s="540">
        <f t="shared" si="1451"/>
        <v>1199</v>
      </c>
      <c r="WO208" s="56"/>
      <c r="WR208" s="55">
        <f t="shared" si="1452"/>
        <v>46199</v>
      </c>
      <c r="WS208" s="422"/>
      <c r="WT208" s="540">
        <f>SUMPRODUCT(PRODUCE!$B213:$DY213,PRODUCE!$EB$75:$IY$75)</f>
        <v>0</v>
      </c>
      <c r="WU208" s="422"/>
      <c r="WV208" s="540">
        <f t="shared" si="1453"/>
        <v>0</v>
      </c>
      <c r="WW208" s="540">
        <f t="shared" si="1454"/>
        <v>0</v>
      </c>
      <c r="WX208" s="56"/>
      <c r="XA208" s="55">
        <f t="shared" si="1455"/>
        <v>46199</v>
      </c>
      <c r="XB208" s="422"/>
      <c r="XC208" s="540">
        <f>SUMPRODUCT(PRODUCE!$B213:$DY213,PRODUCE!$EB$76:$IY$76)</f>
        <v>0</v>
      </c>
      <c r="XD208" s="422"/>
      <c r="XE208" s="540">
        <f t="shared" si="1456"/>
        <v>0</v>
      </c>
      <c r="XF208" s="540">
        <f t="shared" si="1457"/>
        <v>6813</v>
      </c>
      <c r="XG208" s="56"/>
      <c r="XJ208" s="55">
        <f t="shared" si="1458"/>
        <v>46199</v>
      </c>
      <c r="XK208" s="422"/>
      <c r="XL208" s="540">
        <f>SUMPRODUCT(PRODUCE!$B213:$DY213,PRODUCE!$EB$77:$IY$77)</f>
        <v>0</v>
      </c>
      <c r="XM208" s="422">
        <v>734</v>
      </c>
      <c r="XN208" s="540">
        <f t="shared" si="1459"/>
        <v>-734</v>
      </c>
      <c r="XO208" s="540">
        <f t="shared" si="1460"/>
        <v>3955</v>
      </c>
      <c r="XP208" s="56"/>
      <c r="XS208" s="55">
        <f t="shared" si="1461"/>
        <v>46199</v>
      </c>
      <c r="XT208" s="56"/>
      <c r="XU208" s="242">
        <f>SUMPRODUCT(PRODUCE!$B213:$DY213,PRODUCE!$EB$78:$IY$78)</f>
        <v>0</v>
      </c>
      <c r="XV208" s="56"/>
      <c r="XW208" s="242">
        <f t="shared" si="1462"/>
        <v>0</v>
      </c>
      <c r="XX208" s="242">
        <f t="shared" si="1463"/>
        <v>1621</v>
      </c>
      <c r="XY208" s="56"/>
      <c r="YB208" s="55">
        <f t="shared" si="1464"/>
        <v>46199</v>
      </c>
      <c r="YC208" s="56"/>
      <c r="YD208" s="242">
        <f>SUMPRODUCT(PRODUCE!$B213:$DY213,PRODUCE!$EB$79:$IY$79)</f>
        <v>0</v>
      </c>
      <c r="YE208" s="56">
        <v>174</v>
      </c>
      <c r="YF208" s="242">
        <f t="shared" si="1465"/>
        <v>-174</v>
      </c>
      <c r="YG208" s="242">
        <f t="shared" si="1466"/>
        <v>3898</v>
      </c>
      <c r="YH208" s="56"/>
      <c r="YK208" s="55">
        <f t="shared" si="1467"/>
        <v>46199</v>
      </c>
      <c r="YL208" s="56"/>
      <c r="YM208" s="242">
        <f>SUMPRODUCT(PRODUCE!$B213:$DY213,PRODUCE!$EB$80:$IY$80)</f>
        <v>0</v>
      </c>
      <c r="YN208" s="56"/>
      <c r="YO208" s="242">
        <f t="shared" si="1468"/>
        <v>0</v>
      </c>
      <c r="YP208" s="242">
        <f t="shared" si="1469"/>
        <v>0</v>
      </c>
      <c r="YQ208" s="56"/>
      <c r="YT208" s="55">
        <f t="shared" si="1470"/>
        <v>46199</v>
      </c>
      <c r="YU208" s="56"/>
      <c r="YV208" s="242">
        <f>SUMPRODUCT(PRODUCE!$B213:$DY213,PRODUCE!$EB$57:$IY$57)</f>
        <v>25</v>
      </c>
      <c r="YW208" s="56"/>
      <c r="YX208" s="242">
        <f t="shared" si="1471"/>
        <v>25</v>
      </c>
      <c r="YY208" s="242">
        <f t="shared" si="1472"/>
        <v>0</v>
      </c>
      <c r="YZ208" s="56"/>
      <c r="ZC208" s="55">
        <f t="shared" si="1473"/>
        <v>46199</v>
      </c>
      <c r="ZD208" s="56"/>
      <c r="ZE208" s="242">
        <f>SUMPRODUCT(PRODUCE!$B213:$DY213,PRODUCE!$EB$57:$IY$57)</f>
        <v>25</v>
      </c>
      <c r="ZF208" s="56"/>
      <c r="ZG208" s="242">
        <f t="shared" si="1474"/>
        <v>25</v>
      </c>
      <c r="ZH208" s="242">
        <f t="shared" si="1475"/>
        <v>0</v>
      </c>
      <c r="ZI208" s="56"/>
      <c r="ZL208" s="55">
        <f t="shared" si="1476"/>
        <v>46199</v>
      </c>
      <c r="ZM208" s="56"/>
      <c r="ZN208" s="242">
        <f>SUMPRODUCT(PRODUCE!$B213:$DY213,PRODUCE!$EB$57:$IY$57)</f>
        <v>25</v>
      </c>
      <c r="ZO208" s="56"/>
      <c r="ZP208" s="242">
        <f t="shared" si="1477"/>
        <v>25</v>
      </c>
      <c r="ZQ208" s="242">
        <f t="shared" si="1478"/>
        <v>0</v>
      </c>
      <c r="ZR208" s="56"/>
      <c r="ZU208" s="55">
        <f t="shared" si="1479"/>
        <v>46199</v>
      </c>
      <c r="ZV208" s="56"/>
      <c r="ZW208" s="242">
        <f>SUMPRODUCT(PRODUCE!$B213:$DY213,PRODUCE!$EB$57:$IY$57)</f>
        <v>25</v>
      </c>
      <c r="ZX208" s="56"/>
      <c r="ZY208" s="242">
        <f t="shared" si="1480"/>
        <v>25</v>
      </c>
      <c r="ZZ208" s="242">
        <f t="shared" si="1481"/>
        <v>0</v>
      </c>
      <c r="AAA208" s="56"/>
      <c r="AAD208" s="55">
        <f t="shared" si="1482"/>
        <v>46199</v>
      </c>
      <c r="AAE208" s="56"/>
      <c r="AAF208" s="242">
        <f>SUMPRODUCT(PRODUCE!$B213:$DY213,PRODUCE!$EB$57:$IY$57)</f>
        <v>25</v>
      </c>
      <c r="AAG208" s="56"/>
      <c r="AAH208" s="242">
        <f t="shared" si="1483"/>
        <v>25</v>
      </c>
      <c r="AAI208" s="242">
        <f t="shared" si="1484"/>
        <v>0</v>
      </c>
      <c r="AAJ208" s="56"/>
      <c r="AAM208" s="55">
        <f t="shared" si="1485"/>
        <v>46199</v>
      </c>
      <c r="AAN208" s="56"/>
      <c r="AAO208" s="242">
        <f>SUMPRODUCT(PRODUCE!$B213:$DY213,PRODUCE!$EB$57:$IY$57)</f>
        <v>25</v>
      </c>
      <c r="AAP208" s="56"/>
      <c r="AAQ208" s="242">
        <f t="shared" si="1486"/>
        <v>25</v>
      </c>
      <c r="AAR208" s="242">
        <f t="shared" si="1487"/>
        <v>0</v>
      </c>
      <c r="AAS208" s="56"/>
      <c r="AAV208" s="55">
        <f t="shared" si="1488"/>
        <v>46199</v>
      </c>
      <c r="AAW208" s="56"/>
      <c r="AAX208" s="242">
        <f>SUMPRODUCT(PRODUCE!$B213:$DY213,PRODUCE!$EB$57:$IY$57)</f>
        <v>25</v>
      </c>
      <c r="AAY208" s="56"/>
      <c r="AAZ208" s="242">
        <f t="shared" si="1489"/>
        <v>25</v>
      </c>
      <c r="ABA208" s="242">
        <f t="shared" si="1490"/>
        <v>0</v>
      </c>
      <c r="ABB208" s="56"/>
      <c r="ABE208" s="55">
        <f t="shared" si="1491"/>
        <v>46199</v>
      </c>
      <c r="ABF208" s="56"/>
      <c r="ABG208" s="242">
        <f>SUMPRODUCT(PRODUCE!$B213:$DY213,PRODUCE!$EB$57:$IY$57)</f>
        <v>25</v>
      </c>
      <c r="ABH208" s="56"/>
      <c r="ABI208" s="242">
        <f t="shared" si="1492"/>
        <v>25</v>
      </c>
      <c r="ABJ208" s="242">
        <f t="shared" si="1493"/>
        <v>0</v>
      </c>
      <c r="ABK208" s="56"/>
    </row>
    <row r="209" spans="1:739" s="54" customFormat="1" ht="15" customHeight="1" outlineLevel="1">
      <c r="B209" s="478">
        <v>6</v>
      </c>
      <c r="C209" s="55">
        <v>46200</v>
      </c>
      <c r="D209" s="545">
        <v>112150</v>
      </c>
      <c r="E209" s="423">
        <f>SUMPRODUCT(PRODUCE!$B214:$DY214,PRODUCE!$EB$7:$IY$7)</f>
        <v>3229.920000000001</v>
      </c>
      <c r="F209" s="422">
        <v>3227</v>
      </c>
      <c r="G209" s="423">
        <f t="shared" si="1249"/>
        <v>2.9200000000009823</v>
      </c>
      <c r="H209" s="423">
        <f t="shared" si="1250"/>
        <v>152063.20000000004</v>
      </c>
      <c r="I209" s="289" t="s">
        <v>294</v>
      </c>
      <c r="L209" s="55">
        <f t="shared" si="1251"/>
        <v>46200</v>
      </c>
      <c r="M209" s="422">
        <v>28350</v>
      </c>
      <c r="N209" s="438">
        <f>SUMPRODUCT(PRODUCE!$B214:$DY214,PRODUCE!$EB$8:$IY$8)</f>
        <v>1713.6000000000001</v>
      </c>
      <c r="O209" s="422">
        <v>1714</v>
      </c>
      <c r="P209" s="438">
        <f t="shared" si="1252"/>
        <v>-0.39999999999986358</v>
      </c>
      <c r="Q209" s="438">
        <f t="shared" si="1253"/>
        <v>77367.800000000076</v>
      </c>
      <c r="R209" s="56"/>
      <c r="U209" s="55">
        <f t="shared" si="1254"/>
        <v>46200</v>
      </c>
      <c r="V209" s="422">
        <v>20050</v>
      </c>
      <c r="W209" s="440">
        <f>SUMPRODUCT(PRODUCE!$B214:$DY214,PRODUCE!$EB$9:$IY$9)</f>
        <v>300</v>
      </c>
      <c r="X209" s="422">
        <v>300.39999999999998</v>
      </c>
      <c r="Y209" s="440">
        <f t="shared" si="1255"/>
        <v>-0.39999999999997726</v>
      </c>
      <c r="Z209" s="440">
        <f t="shared" si="1256"/>
        <v>41134.399999999972</v>
      </c>
      <c r="AA209" s="56"/>
      <c r="AD209" s="55">
        <f t="shared" si="1257"/>
        <v>46200</v>
      </c>
      <c r="AE209" s="422"/>
      <c r="AF209" s="442">
        <f>SUMPRODUCT(PRODUCE!$B214:$DY214,PRODUCE!$EB$10:$IY$10)</f>
        <v>0</v>
      </c>
      <c r="AG209" s="422"/>
      <c r="AH209" s="442">
        <f t="shared" si="1258"/>
        <v>0</v>
      </c>
      <c r="AI209" s="442">
        <f t="shared" si="1259"/>
        <v>33372.700000000019</v>
      </c>
      <c r="AJ209" s="56"/>
      <c r="AM209" s="55">
        <f t="shared" si="1260"/>
        <v>46200</v>
      </c>
      <c r="AN209" s="422"/>
      <c r="AO209" s="444">
        <f>SUMPRODUCT(PRODUCE!$B214:$DY214,PRODUCE!$EB$11:$IY$11)</f>
        <v>0</v>
      </c>
      <c r="AP209" s="422"/>
      <c r="AQ209" s="444">
        <f t="shared" si="1261"/>
        <v>0</v>
      </c>
      <c r="AR209" s="444">
        <f t="shared" si="1262"/>
        <v>0</v>
      </c>
      <c r="AS209" s="56"/>
      <c r="AV209" s="55">
        <f t="shared" si="1263"/>
        <v>46200</v>
      </c>
      <c r="AW209" s="422"/>
      <c r="AX209" s="446">
        <f>SUMPRODUCT(PRODUCE!$B214:$DY214,PRODUCE!$EB$12:$IY$12)</f>
        <v>120</v>
      </c>
      <c r="AY209" s="422">
        <v>120.3</v>
      </c>
      <c r="AZ209" s="446">
        <f t="shared" si="1264"/>
        <v>-0.29999999999999716</v>
      </c>
      <c r="BA209" s="446">
        <f t="shared" si="1265"/>
        <v>13946.199999999997</v>
      </c>
      <c r="BB209" s="56"/>
      <c r="BE209" s="55">
        <f t="shared" si="1266"/>
        <v>46200</v>
      </c>
      <c r="BF209" s="422"/>
      <c r="BG209" s="448">
        <f>SUMPRODUCT(PRODUCE!$B214:$DY214,PRODUCE!$EB$13:$IY$13)</f>
        <v>90</v>
      </c>
      <c r="BH209" s="422">
        <v>90.6</v>
      </c>
      <c r="BI209" s="448">
        <f t="shared" si="1267"/>
        <v>-0.59999999999999432</v>
      </c>
      <c r="BJ209" s="448">
        <f t="shared" si="1268"/>
        <v>38150.399999999994</v>
      </c>
      <c r="BK209" s="56"/>
      <c r="BN209" s="55">
        <f t="shared" si="1269"/>
        <v>46200</v>
      </c>
      <c r="BO209" s="422">
        <v>60</v>
      </c>
      <c r="BP209" s="450">
        <f>SUMPRODUCT(PRODUCE!$B214:$DY214,PRODUCE!$EB$14:$IY$14)</f>
        <v>60</v>
      </c>
      <c r="BQ209" s="422">
        <v>60</v>
      </c>
      <c r="BR209" s="450">
        <f t="shared" si="1270"/>
        <v>0</v>
      </c>
      <c r="BS209" s="450">
        <f t="shared" si="1271"/>
        <v>0</v>
      </c>
      <c r="BT209" s="56"/>
      <c r="BW209" s="55">
        <f t="shared" si="1272"/>
        <v>46200</v>
      </c>
      <c r="BX209" s="422"/>
      <c r="BY209" s="523">
        <f>SUMPRODUCT(PRODUCE!$B214:$DY214,PRODUCE!$EB$15:$IY$15)</f>
        <v>9</v>
      </c>
      <c r="BZ209" s="422">
        <v>351.76</v>
      </c>
      <c r="CA209" s="523">
        <f t="shared" si="1273"/>
        <v>-342.76</v>
      </c>
      <c r="CB209" s="523">
        <f t="shared" si="1274"/>
        <v>2388.7799999999988</v>
      </c>
      <c r="CC209" s="56"/>
      <c r="CF209" s="55">
        <f t="shared" si="1275"/>
        <v>46200</v>
      </c>
      <c r="CG209" s="422">
        <v>1304.32</v>
      </c>
      <c r="CH209" s="524">
        <f>SUMPRODUCT(PRODUCE!$B214:$DY214,PRODUCE!$EB$16:$IY$16)</f>
        <v>36.479999999999997</v>
      </c>
      <c r="CI209" s="422">
        <f>652.16+652.16</f>
        <v>1304.32</v>
      </c>
      <c r="CJ209" s="524">
        <f t="shared" si="1276"/>
        <v>-1267.8399999999999</v>
      </c>
      <c r="CK209" s="524">
        <f t="shared" si="1277"/>
        <v>0</v>
      </c>
      <c r="CL209" s="56"/>
      <c r="CO209" s="55">
        <f t="shared" si="1278"/>
        <v>46200</v>
      </c>
      <c r="CP209" s="422"/>
      <c r="CQ209" s="470">
        <f>SUMPRODUCT(PRODUCE!$B214:$DY214,PRODUCE!$EB$17:$IY$17)</f>
        <v>0</v>
      </c>
      <c r="CR209" s="422"/>
      <c r="CS209" s="470">
        <f t="shared" si="1279"/>
        <v>0</v>
      </c>
      <c r="CT209" s="470">
        <f t="shared" si="1280"/>
        <v>0</v>
      </c>
      <c r="CU209" s="56"/>
      <c r="CX209" s="55">
        <f t="shared" si="1281"/>
        <v>46200</v>
      </c>
      <c r="CY209" s="422"/>
      <c r="CZ209" s="525">
        <f>SUMPRODUCT(PRODUCE!$B214:$DY214,PRODUCE!$EB$18:$IY$18)</f>
        <v>0</v>
      </c>
      <c r="DA209" s="422"/>
      <c r="DB209" s="525">
        <f t="shared" si="1282"/>
        <v>0</v>
      </c>
      <c r="DC209" s="525">
        <f t="shared" si="1283"/>
        <v>11420.500000000007</v>
      </c>
      <c r="DD209" s="56"/>
      <c r="DG209" s="55">
        <f t="shared" si="1284"/>
        <v>46200</v>
      </c>
      <c r="DH209" s="422"/>
      <c r="DI209" s="526">
        <f>SUMPRODUCT(PRODUCE!$B214:$DY214,PRODUCE!$EB$19:$IY$19)</f>
        <v>300</v>
      </c>
      <c r="DJ209" s="422">
        <v>300.5</v>
      </c>
      <c r="DK209" s="526">
        <f t="shared" si="1285"/>
        <v>-0.5</v>
      </c>
      <c r="DL209" s="526">
        <f t="shared" si="1286"/>
        <v>34934.499999999985</v>
      </c>
      <c r="DM209" s="56"/>
      <c r="DP209" s="55">
        <f t="shared" si="1287"/>
        <v>46200</v>
      </c>
      <c r="DQ209" s="56"/>
      <c r="DR209" s="57">
        <f>SUMPRODUCT(PRODUCE!$B214:$DY214,PRODUCE!$EB$20:$IY$20)</f>
        <v>0</v>
      </c>
      <c r="DS209" s="56"/>
      <c r="DT209" s="57">
        <f t="shared" si="1288"/>
        <v>0</v>
      </c>
      <c r="DU209" s="57">
        <f t="shared" si="1289"/>
        <v>5800</v>
      </c>
      <c r="DV209" s="56"/>
      <c r="DY209" s="55">
        <f t="shared" si="1290"/>
        <v>46200</v>
      </c>
      <c r="DZ209" s="56"/>
      <c r="EA209" s="157">
        <f>SUMPRODUCT(PRODUCE!$B214:$DY214,PRODUCE!$EB$21:$IY$21)</f>
        <v>0</v>
      </c>
      <c r="EB209" s="56"/>
      <c r="EC209" s="157">
        <f t="shared" si="1291"/>
        <v>0</v>
      </c>
      <c r="ED209" s="157">
        <f t="shared" si="1292"/>
        <v>0</v>
      </c>
      <c r="EE209" s="56"/>
      <c r="EH209" s="55">
        <f t="shared" si="1293"/>
        <v>46200</v>
      </c>
      <c r="EI209" s="56">
        <v>351.76</v>
      </c>
      <c r="EJ209" s="162">
        <f>SUMPRODUCT(PRODUCE!$B214:$DY214,PRODUCE!$EB$22:$IY$22)</f>
        <v>0</v>
      </c>
      <c r="EK209" s="56">
        <v>351.76</v>
      </c>
      <c r="EL209" s="162">
        <f t="shared" si="1294"/>
        <v>-351.76</v>
      </c>
      <c r="EM209" s="162">
        <f t="shared" si="1295"/>
        <v>0</v>
      </c>
      <c r="EN209" s="56"/>
      <c r="EQ209" s="55">
        <f t="shared" si="1296"/>
        <v>46200</v>
      </c>
      <c r="ER209" s="56"/>
      <c r="ES209" s="135">
        <f>SUMPRODUCT(PRODUCE!$B214:$DY214,PRODUCE!$EB$23:$IY$23)</f>
        <v>0</v>
      </c>
      <c r="ET209" s="56"/>
      <c r="EU209" s="135">
        <f t="shared" si="1297"/>
        <v>0</v>
      </c>
      <c r="EV209" s="135">
        <f t="shared" si="1298"/>
        <v>0</v>
      </c>
      <c r="EW209" s="56"/>
      <c r="EZ209" s="55">
        <f t="shared" si="1299"/>
        <v>46200</v>
      </c>
      <c r="FA209" s="56"/>
      <c r="FB209" s="175">
        <f>SUMPRODUCT(PRODUCE!$B214:$DY214,PRODUCE!$EB$24:$IY$24)</f>
        <v>0</v>
      </c>
      <c r="FC209" s="56"/>
      <c r="FD209" s="175">
        <f t="shared" si="1300"/>
        <v>0</v>
      </c>
      <c r="FE209" s="175">
        <f t="shared" si="1301"/>
        <v>0</v>
      </c>
      <c r="FF209" s="56"/>
      <c r="FI209" s="55">
        <f t="shared" si="1302"/>
        <v>46200</v>
      </c>
      <c r="FJ209" s="56"/>
      <c r="FK209" s="183">
        <f>SUMPRODUCT(PRODUCE!$B214:$DY214,PRODUCE!$EB$25:$IY$25)</f>
        <v>0</v>
      </c>
      <c r="FL209" s="56"/>
      <c r="FM209" s="183">
        <f t="shared" si="1303"/>
        <v>0</v>
      </c>
      <c r="FN209" s="183">
        <f t="shared" si="1304"/>
        <v>0</v>
      </c>
      <c r="FO209" s="56"/>
      <c r="FR209" s="55">
        <f t="shared" si="1305"/>
        <v>46200</v>
      </c>
      <c r="FS209" s="56"/>
      <c r="FT209" s="186">
        <f>SUMPRODUCT(PRODUCE!$B214:$DY214,PRODUCE!$EB$26:$IY$26)</f>
        <v>0</v>
      </c>
      <c r="FU209" s="56"/>
      <c r="FV209" s="186">
        <f t="shared" si="1306"/>
        <v>0</v>
      </c>
      <c r="FW209" s="186">
        <f t="shared" si="1307"/>
        <v>1160</v>
      </c>
      <c r="FX209" s="56"/>
      <c r="GA209" s="55">
        <f t="shared" si="1308"/>
        <v>46200</v>
      </c>
      <c r="GB209" s="56"/>
      <c r="GC209" s="137">
        <f>SUMPRODUCT(PRODUCE!$B214:$DY214,PRODUCE!$EB$27:$IY$27)</f>
        <v>0</v>
      </c>
      <c r="GD209" s="56"/>
      <c r="GE209" s="137">
        <f t="shared" si="1309"/>
        <v>0</v>
      </c>
      <c r="GF209" s="137">
        <f t="shared" si="1310"/>
        <v>960</v>
      </c>
      <c r="GG209" s="56"/>
      <c r="GI209" s="23"/>
      <c r="GJ209" s="55">
        <f t="shared" si="1311"/>
        <v>46200</v>
      </c>
      <c r="GK209" s="56"/>
      <c r="GL209" s="199">
        <f>SUMPRODUCT(PRODUCE!$B214:$DY214,PRODUCE!$EB$28:$IY$28)</f>
        <v>0</v>
      </c>
      <c r="GM209" s="56"/>
      <c r="GN209" s="199">
        <f t="shared" si="1312"/>
        <v>0</v>
      </c>
      <c r="GO209" s="199">
        <f t="shared" si="1313"/>
        <v>1760</v>
      </c>
      <c r="GP209" s="56"/>
      <c r="GS209" s="55">
        <f t="shared" si="1314"/>
        <v>46200</v>
      </c>
      <c r="GT209" s="56"/>
      <c r="GU209" s="195">
        <f>SUMPRODUCT(PRODUCE!$B214:$DY214,PRODUCE!$EB$29:$IY$29)</f>
        <v>0</v>
      </c>
      <c r="GV209" s="56"/>
      <c r="GW209" s="195">
        <f t="shared" si="1315"/>
        <v>0</v>
      </c>
      <c r="GX209" s="195">
        <f t="shared" si="1316"/>
        <v>400</v>
      </c>
      <c r="GY209" s="56"/>
      <c r="HB209" s="55">
        <f t="shared" si="1317"/>
        <v>46200</v>
      </c>
      <c r="HC209" s="56"/>
      <c r="HD209" s="191">
        <f>SUMPRODUCT(PRODUCE!$B214:$DY214,PRODUCE!$EB$30:$IY$30)</f>
        <v>0</v>
      </c>
      <c r="HE209" s="56"/>
      <c r="HF209" s="191">
        <f t="shared" si="1318"/>
        <v>0</v>
      </c>
      <c r="HG209" s="191">
        <f t="shared" si="1319"/>
        <v>3600</v>
      </c>
      <c r="HH209" s="56"/>
      <c r="HK209" s="55">
        <f t="shared" si="1320"/>
        <v>46200</v>
      </c>
      <c r="HL209" s="56"/>
      <c r="HM209" s="63">
        <f>SUMPRODUCT(PRODUCE!$B214:$DY214,PRODUCE!$EB$31:$IY$31)</f>
        <v>0</v>
      </c>
      <c r="HN209" s="56"/>
      <c r="HO209" s="63">
        <f t="shared" si="1321"/>
        <v>0</v>
      </c>
      <c r="HP209" s="63">
        <f t="shared" si="1322"/>
        <v>0</v>
      </c>
      <c r="HQ209" s="56"/>
      <c r="HU209" s="55">
        <f t="shared" si="1323"/>
        <v>46200</v>
      </c>
      <c r="HV209" s="56"/>
      <c r="HW209" s="242">
        <f>SUMPRODUCT(PRODUCE!$B214:$DY214,PRODUCE!$EB$32:$IY$32)</f>
        <v>120</v>
      </c>
      <c r="HX209" s="56"/>
      <c r="HY209" s="242">
        <f t="shared" si="1324"/>
        <v>120</v>
      </c>
      <c r="HZ209" s="242">
        <f t="shared" si="1325"/>
        <v>6680</v>
      </c>
      <c r="IA209" s="56"/>
      <c r="ID209" s="55">
        <f t="shared" si="1326"/>
        <v>46200</v>
      </c>
      <c r="IE209" s="56"/>
      <c r="IF209" s="242">
        <f>SUMPRODUCT(PRODUCE!$B214:$DY214,PRODUCE!$EB$33:$IY$33)</f>
        <v>0</v>
      </c>
      <c r="IG209" s="56"/>
      <c r="IH209" s="242">
        <f t="shared" si="1327"/>
        <v>0</v>
      </c>
      <c r="II209" s="242">
        <f t="shared" si="1328"/>
        <v>720</v>
      </c>
      <c r="IJ209" s="56"/>
      <c r="IM209" s="55">
        <f t="shared" si="1329"/>
        <v>46200</v>
      </c>
      <c r="IN209" s="56"/>
      <c r="IO209" s="242">
        <f>SUMPRODUCT(PRODUCE!$B214:$DY214,PRODUCE!$EB$34:$IY$34)</f>
        <v>0</v>
      </c>
      <c r="IP209" s="56"/>
      <c r="IQ209" s="242">
        <f t="shared" si="1330"/>
        <v>0</v>
      </c>
      <c r="IR209" s="242">
        <f t="shared" si="1331"/>
        <v>6520</v>
      </c>
      <c r="IS209" s="56"/>
      <c r="IV209" s="55">
        <f t="shared" si="1332"/>
        <v>46200</v>
      </c>
      <c r="IW209" s="56"/>
      <c r="IX209" s="242">
        <f>SUMPRODUCT(PRODUCE!$B214:$DY214,PRODUCE!$EB$35:$IY$35)</f>
        <v>0</v>
      </c>
      <c r="IY209" s="56"/>
      <c r="IZ209" s="242">
        <f t="shared" si="1333"/>
        <v>0</v>
      </c>
      <c r="JA209" s="242">
        <f t="shared" si="1334"/>
        <v>4960</v>
      </c>
      <c r="JB209" s="56"/>
      <c r="JE209" s="55">
        <f t="shared" si="1335"/>
        <v>46200</v>
      </c>
      <c r="JF209" s="56"/>
      <c r="JG209" s="242">
        <f>SUMPRODUCT(PRODUCE!$B214:$DY214,PRODUCE!$EB$36:$IY$36)</f>
        <v>0</v>
      </c>
      <c r="JH209" s="56"/>
      <c r="JI209" s="242">
        <f t="shared" si="1336"/>
        <v>0</v>
      </c>
      <c r="JJ209" s="242">
        <f t="shared" si="1337"/>
        <v>0</v>
      </c>
      <c r="JK209" s="56"/>
      <c r="JN209" s="55">
        <f t="shared" si="1338"/>
        <v>46200</v>
      </c>
      <c r="JO209" s="56"/>
      <c r="JP209" s="242">
        <f>SUMPRODUCT(PRODUCE!$B214:$DY214,PRODUCE!$EB$37:$IY$37)</f>
        <v>0</v>
      </c>
      <c r="JQ209" s="56"/>
      <c r="JR209" s="242">
        <f t="shared" si="1339"/>
        <v>0</v>
      </c>
      <c r="JS209" s="242">
        <f t="shared" si="1340"/>
        <v>0</v>
      </c>
      <c r="JT209" s="56"/>
      <c r="JW209" s="55">
        <f t="shared" si="1341"/>
        <v>46200</v>
      </c>
      <c r="JX209" s="56"/>
      <c r="JY209" s="242">
        <f>SUMPRODUCT(PRODUCE!$B214:$DY214,PRODUCE!$EB$38:$IY$38)</f>
        <v>0</v>
      </c>
      <c r="JZ209" s="56"/>
      <c r="KA209" s="242">
        <f t="shared" si="1342"/>
        <v>0</v>
      </c>
      <c r="KB209" s="242">
        <f t="shared" si="1343"/>
        <v>2540</v>
      </c>
      <c r="KC209" s="56"/>
      <c r="KF209" s="55">
        <f t="shared" si="1344"/>
        <v>46200</v>
      </c>
      <c r="KG209" s="56"/>
      <c r="KH209" s="242">
        <f>SUMPRODUCT(PRODUCE!$B214:$DY214,PRODUCE!$EB$39:$IY$39)</f>
        <v>0</v>
      </c>
      <c r="KI209" s="56"/>
      <c r="KJ209" s="242">
        <f t="shared" si="1345"/>
        <v>0</v>
      </c>
      <c r="KK209" s="242">
        <f t="shared" si="1346"/>
        <v>2359.5</v>
      </c>
      <c r="KL209" s="56"/>
      <c r="KO209" s="55">
        <f t="shared" si="1347"/>
        <v>46200</v>
      </c>
      <c r="KP209" s="56"/>
      <c r="KQ209" s="242">
        <f>SUMPRODUCT(PRODUCE!$B214:$DY214,PRODUCE!$EB$40:$IY$40)</f>
        <v>0</v>
      </c>
      <c r="KR209" s="56"/>
      <c r="KS209" s="242">
        <f t="shared" si="1348"/>
        <v>0</v>
      </c>
      <c r="KT209" s="242">
        <f t="shared" si="1349"/>
        <v>1890</v>
      </c>
      <c r="KU209" s="56"/>
      <c r="KW209" s="23"/>
      <c r="KX209" s="55">
        <f t="shared" si="1350"/>
        <v>46200</v>
      </c>
      <c r="KY209" s="56"/>
      <c r="KZ209" s="242">
        <f>SUMPRODUCT(PRODUCE!$B214:$DY214,PRODUCE!$EB$41:$IY$41)</f>
        <v>0</v>
      </c>
      <c r="LA209" s="56"/>
      <c r="LB209" s="242">
        <f t="shared" si="1351"/>
        <v>0</v>
      </c>
      <c r="LC209" s="242">
        <f t="shared" si="1352"/>
        <v>3690</v>
      </c>
      <c r="LD209" s="56"/>
      <c r="LG209" s="55">
        <f t="shared" si="1353"/>
        <v>46200</v>
      </c>
      <c r="LH209" s="56"/>
      <c r="LI209" s="242">
        <f>SUMPRODUCT(PRODUCE!$B214:$DY214,PRODUCE!$EB$42:$IY$42)</f>
        <v>0</v>
      </c>
      <c r="LJ209" s="56"/>
      <c r="LK209" s="242">
        <f t="shared" si="1354"/>
        <v>0</v>
      </c>
      <c r="LL209" s="242">
        <f t="shared" si="1355"/>
        <v>4000</v>
      </c>
      <c r="LM209" s="56"/>
      <c r="LP209" s="55">
        <f t="shared" si="1356"/>
        <v>46200</v>
      </c>
      <c r="LQ209" s="56"/>
      <c r="LR209" s="242">
        <f>SUMPRODUCT(PRODUCE!$B214:$DY214,PRODUCE!$EB$43:$IY$43)</f>
        <v>0</v>
      </c>
      <c r="LS209" s="56"/>
      <c r="LT209" s="242">
        <f t="shared" si="1357"/>
        <v>0</v>
      </c>
      <c r="LU209" s="242">
        <f t="shared" si="1358"/>
        <v>0</v>
      </c>
      <c r="LV209" s="56"/>
      <c r="LY209" s="55">
        <f t="shared" si="1359"/>
        <v>46200</v>
      </c>
      <c r="LZ209" s="56"/>
      <c r="MA209" s="242">
        <f>SUMPRODUCT(PRODUCE!$B214:$DY214,PRODUCE!$EB$44:$IY$44)</f>
        <v>0</v>
      </c>
      <c r="MB209" s="56"/>
      <c r="MC209" s="242">
        <f t="shared" si="1360"/>
        <v>0</v>
      </c>
      <c r="MD209" s="242">
        <f t="shared" si="1361"/>
        <v>0</v>
      </c>
      <c r="ME209" s="56"/>
      <c r="MH209" s="55">
        <f t="shared" si="1362"/>
        <v>46200</v>
      </c>
      <c r="MI209" s="56"/>
      <c r="MJ209" s="242">
        <f>SUMPRODUCT(PRODUCE!$B214:$DY214,PRODUCE!$EB$45:$IY$45)</f>
        <v>0</v>
      </c>
      <c r="MK209" s="56"/>
      <c r="ML209" s="242">
        <f t="shared" si="1363"/>
        <v>0</v>
      </c>
      <c r="MM209" s="242">
        <f t="shared" si="1364"/>
        <v>0</v>
      </c>
      <c r="MN209" s="56"/>
      <c r="MQ209" s="55">
        <f t="shared" si="1365"/>
        <v>46200</v>
      </c>
      <c r="MR209" s="56"/>
      <c r="MS209" s="242">
        <f>SUMPRODUCT(PRODUCE!$B214:$DY214,PRODUCE!$EB$46:$IY$46)</f>
        <v>3</v>
      </c>
      <c r="MT209" s="56">
        <f>80+80</f>
        <v>160</v>
      </c>
      <c r="MU209" s="242">
        <f t="shared" si="1366"/>
        <v>-157</v>
      </c>
      <c r="MV209" s="242">
        <f t="shared" si="1367"/>
        <v>3451</v>
      </c>
      <c r="MW209" s="56"/>
      <c r="MZ209" s="55">
        <f t="shared" si="1368"/>
        <v>46200</v>
      </c>
      <c r="NA209" s="56">
        <v>1920</v>
      </c>
      <c r="NB209" s="242">
        <f>SUMPRODUCT(PRODUCE!$B214:$DY214,PRODUCE!$EB$47:$IY$47)</f>
        <v>18</v>
      </c>
      <c r="NC209" s="56">
        <f>960+960</f>
        <v>1920</v>
      </c>
      <c r="ND209" s="242">
        <f t="shared" si="1369"/>
        <v>-1902</v>
      </c>
      <c r="NE209" s="242">
        <f t="shared" si="1370"/>
        <v>0</v>
      </c>
      <c r="NF209" s="56"/>
      <c r="NI209" s="55">
        <f t="shared" si="1371"/>
        <v>46200</v>
      </c>
      <c r="NJ209" s="56"/>
      <c r="NK209" s="242">
        <f>SUMPRODUCT(PRODUCE!$B214:$DY214,PRODUCE!$EB$48:$IY$48)</f>
        <v>0</v>
      </c>
      <c r="NL209" s="56"/>
      <c r="NM209" s="242">
        <f t="shared" si="1372"/>
        <v>0</v>
      </c>
      <c r="NN209" s="242">
        <f t="shared" si="1373"/>
        <v>1127</v>
      </c>
      <c r="NO209" s="56"/>
      <c r="NR209" s="55">
        <f t="shared" si="1374"/>
        <v>46200</v>
      </c>
      <c r="NS209" s="56"/>
      <c r="NT209" s="242">
        <f>SUMPRODUCT(PRODUCE!$B214:$DY214,PRODUCE!$EB$49:$IY$49)</f>
        <v>0</v>
      </c>
      <c r="NU209" s="56"/>
      <c r="NV209" s="242">
        <f t="shared" si="1375"/>
        <v>0</v>
      </c>
      <c r="NW209" s="242">
        <f t="shared" si="1376"/>
        <v>3111.9999999999995</v>
      </c>
      <c r="NX209" s="56"/>
      <c r="OA209" s="55">
        <f t="shared" si="1377"/>
        <v>46200</v>
      </c>
      <c r="OB209" s="56"/>
      <c r="OC209" s="242">
        <f>SUMPRODUCT(PRODUCE!$B214:$DY214,PRODUCE!$EB$50:$IY$50)</f>
        <v>0</v>
      </c>
      <c r="OD209" s="56"/>
      <c r="OE209" s="242">
        <f t="shared" si="1378"/>
        <v>0</v>
      </c>
      <c r="OF209" s="242">
        <f t="shared" si="1379"/>
        <v>1680.5</v>
      </c>
      <c r="OG209" s="56"/>
      <c r="OJ209" s="55">
        <f t="shared" si="1380"/>
        <v>46200</v>
      </c>
      <c r="OK209" s="56">
        <v>304</v>
      </c>
      <c r="OL209" s="242">
        <f>SUMPRODUCT(PRODUCE!$B214:$DY214,PRODUCE!$EB$51:$IY$51)</f>
        <v>0</v>
      </c>
      <c r="OM209" s="56">
        <f>152+152</f>
        <v>304</v>
      </c>
      <c r="ON209" s="242">
        <f t="shared" si="1381"/>
        <v>-304</v>
      </c>
      <c r="OO209" s="242">
        <f t="shared" si="1382"/>
        <v>0</v>
      </c>
      <c r="OP209" s="56"/>
      <c r="OS209" s="55">
        <f t="shared" si="1383"/>
        <v>46200</v>
      </c>
      <c r="OT209" s="56"/>
      <c r="OU209" s="242">
        <f>SUMPRODUCT(PRODUCE!$B214:$DY214,PRODUCE!$EB$52:$IY$52)</f>
        <v>0</v>
      </c>
      <c r="OV209" s="56"/>
      <c r="OW209" s="242">
        <f t="shared" si="1384"/>
        <v>0</v>
      </c>
      <c r="OX209" s="242">
        <f t="shared" si="1385"/>
        <v>1482</v>
      </c>
      <c r="OY209" s="56"/>
      <c r="PB209" s="55">
        <f t="shared" si="1386"/>
        <v>46200</v>
      </c>
      <c r="PC209" s="56"/>
      <c r="PD209" s="242">
        <f>SUMPRODUCT(PRODUCE!$B214:$DY214,PRODUCE!$EB$53:$IY$53)</f>
        <v>0</v>
      </c>
      <c r="PE209" s="56"/>
      <c r="PF209" s="242">
        <f t="shared" si="1387"/>
        <v>0</v>
      </c>
      <c r="PG209" s="242">
        <f t="shared" si="1388"/>
        <v>0</v>
      </c>
      <c r="PH209" s="56"/>
      <c r="PK209" s="55">
        <f t="shared" si="1389"/>
        <v>46200</v>
      </c>
      <c r="PL209" s="56"/>
      <c r="PM209" s="242">
        <f>SUMPRODUCT(PRODUCE!$B214:$DY214,PRODUCE!$EB$54:$IY$54)</f>
        <v>0</v>
      </c>
      <c r="PN209" s="56"/>
      <c r="PO209" s="242">
        <f t="shared" si="1494"/>
        <v>0</v>
      </c>
      <c r="PP209" s="242">
        <f t="shared" si="1495"/>
        <v>100</v>
      </c>
      <c r="PQ209" s="56"/>
      <c r="PT209" s="55">
        <f t="shared" si="1392"/>
        <v>46200</v>
      </c>
      <c r="PU209" s="56"/>
      <c r="PV209" s="242">
        <f>SUMPRODUCT(PRODUCE!$B214:$DY214,PRODUCE!$EB$55:$IY$55)</f>
        <v>0</v>
      </c>
      <c r="PW209" s="56"/>
      <c r="PX209" s="242">
        <f t="shared" si="1393"/>
        <v>0</v>
      </c>
      <c r="PY209" s="242">
        <f t="shared" si="1394"/>
        <v>13.960000000000036</v>
      </c>
      <c r="PZ209" s="56"/>
      <c r="QC209" s="55">
        <f t="shared" si="1395"/>
        <v>46200</v>
      </c>
      <c r="QD209" s="56"/>
      <c r="QE209" s="242">
        <f>SUMPRODUCT(PRODUCE!$B214:$DY214,PRODUCE!$EB$56:$IY$56)</f>
        <v>0</v>
      </c>
      <c r="QF209" s="56"/>
      <c r="QG209" s="242">
        <f t="shared" si="1396"/>
        <v>0</v>
      </c>
      <c r="QH209" s="242">
        <f t="shared" si="1397"/>
        <v>1736</v>
      </c>
      <c r="QI209" s="56"/>
      <c r="QL209" s="55">
        <f t="shared" si="1398"/>
        <v>46200</v>
      </c>
      <c r="QM209" s="56"/>
      <c r="QN209" s="242">
        <f>SUMPRODUCT(PRODUCE!$B214:$DY214,PRODUCE!$EB$57:$IY$57)</f>
        <v>0</v>
      </c>
      <c r="QO209" s="56"/>
      <c r="QP209" s="242">
        <f t="shared" si="1399"/>
        <v>0</v>
      </c>
      <c r="QQ209" s="242">
        <f t="shared" si="1400"/>
        <v>250</v>
      </c>
      <c r="QR209" s="56"/>
      <c r="QU209" s="55">
        <f t="shared" si="1401"/>
        <v>46200</v>
      </c>
      <c r="QV209" s="56"/>
      <c r="QW209" s="242">
        <f>SUMPRODUCT(PRODUCE!$B214:$DY214,PRODUCE!$EB$58:$IY$58)</f>
        <v>0</v>
      </c>
      <c r="QX209" s="56"/>
      <c r="QY209" s="242">
        <f t="shared" si="1402"/>
        <v>0</v>
      </c>
      <c r="QZ209" s="242">
        <f t="shared" si="1403"/>
        <v>207.6</v>
      </c>
      <c r="RA209" s="56"/>
      <c r="RD209" s="55">
        <f t="shared" si="1404"/>
        <v>46200</v>
      </c>
      <c r="RE209" s="56"/>
      <c r="RF209" s="242">
        <f>SUMPRODUCT(PRODUCE!$B214:$DY214,PRODUCE!$EB$59:$IY$59)</f>
        <v>0</v>
      </c>
      <c r="RG209" s="56"/>
      <c r="RH209" s="242">
        <f t="shared" si="1405"/>
        <v>0</v>
      </c>
      <c r="RI209" s="242">
        <f t="shared" si="1406"/>
        <v>147.04000000000002</v>
      </c>
      <c r="RJ209" s="56"/>
      <c r="RM209" s="55">
        <f t="shared" si="1407"/>
        <v>46200</v>
      </c>
      <c r="RN209" s="56"/>
      <c r="RO209" s="242">
        <f>SUMPRODUCT(PRODUCE!$B214:$DY214,PRODUCE!$EB$60:$IY$60)</f>
        <v>0</v>
      </c>
      <c r="RP209" s="56"/>
      <c r="RQ209" s="242">
        <f t="shared" si="1408"/>
        <v>0</v>
      </c>
      <c r="RR209" s="242">
        <f t="shared" si="1409"/>
        <v>46.8</v>
      </c>
      <c r="RS209" s="56"/>
      <c r="RV209" s="55">
        <f t="shared" si="1410"/>
        <v>46200</v>
      </c>
      <c r="RW209" s="56"/>
      <c r="RX209" s="242">
        <f>SUMPRODUCT(PRODUCE!$B214:$DY214,PRODUCE!$EB$61:$IY$61)</f>
        <v>0</v>
      </c>
      <c r="RY209" s="56"/>
      <c r="RZ209" s="242">
        <f t="shared" si="1411"/>
        <v>0</v>
      </c>
      <c r="SA209" s="242">
        <f t="shared" si="1412"/>
        <v>0</v>
      </c>
      <c r="SB209" s="56"/>
      <c r="SE209" s="55">
        <f t="shared" si="1413"/>
        <v>46200</v>
      </c>
      <c r="SF209" s="56"/>
      <c r="SG209" s="242">
        <f>SUMPRODUCT(PRODUCE!$B214:$DY214,PRODUCE!$EB$62:$IY$62)</f>
        <v>0</v>
      </c>
      <c r="SH209" s="56"/>
      <c r="SI209" s="242">
        <f t="shared" si="1414"/>
        <v>0</v>
      </c>
      <c r="SJ209" s="242">
        <f t="shared" si="1415"/>
        <v>24.200000000000003</v>
      </c>
      <c r="SK209" s="56"/>
      <c r="SN209" s="55">
        <f t="shared" si="1416"/>
        <v>46200</v>
      </c>
      <c r="SO209" s="56"/>
      <c r="SP209" s="242">
        <f>SUMPRODUCT(PRODUCE!$B214:$DY214,PRODUCE!$EB$63:$IY$63)</f>
        <v>0</v>
      </c>
      <c r="SQ209" s="56"/>
      <c r="SR209" s="242">
        <f t="shared" si="1417"/>
        <v>0</v>
      </c>
      <c r="SS209" s="242">
        <f t="shared" si="1418"/>
        <v>32</v>
      </c>
      <c r="ST209" s="56"/>
      <c r="SW209" s="55">
        <f t="shared" si="1419"/>
        <v>46200</v>
      </c>
      <c r="SX209" s="56"/>
      <c r="SY209" s="242">
        <f>SUMPRODUCT(PRODUCE!$B214:$DY214,PRODUCE!$EB$64:$IY$64)</f>
        <v>0</v>
      </c>
      <c r="SZ209" s="56"/>
      <c r="TA209" s="242">
        <f t="shared" si="1420"/>
        <v>0</v>
      </c>
      <c r="TB209" s="242">
        <f t="shared" si="1421"/>
        <v>0</v>
      </c>
      <c r="TC209" s="56"/>
      <c r="TF209" s="55">
        <f t="shared" si="1422"/>
        <v>46200</v>
      </c>
      <c r="TG209" s="56"/>
      <c r="TH209" s="242">
        <f>SUMPRODUCT(PRODUCE!$B214:$DY214,PRODUCE!$EB$65:$IY$65)</f>
        <v>0</v>
      </c>
      <c r="TI209" s="56"/>
      <c r="TJ209" s="242">
        <f t="shared" si="1423"/>
        <v>0</v>
      </c>
      <c r="TK209" s="242">
        <f t="shared" si="1424"/>
        <v>0</v>
      </c>
      <c r="TL209" s="56"/>
      <c r="TO209" s="55">
        <f t="shared" si="1425"/>
        <v>46200</v>
      </c>
      <c r="TP209" s="56"/>
      <c r="TQ209" s="242">
        <f>SUMPRODUCT(PRODUCE!$B214:$DY214,PRODUCE!$EB$66:$IY$66)</f>
        <v>0</v>
      </c>
      <c r="TR209" s="56"/>
      <c r="TS209" s="242">
        <f t="shared" si="1426"/>
        <v>0</v>
      </c>
      <c r="TT209" s="242">
        <f t="shared" si="1427"/>
        <v>22.400000000000006</v>
      </c>
      <c r="TU209" s="56"/>
      <c r="TX209" s="55">
        <f t="shared" si="1428"/>
        <v>46200</v>
      </c>
      <c r="TY209" s="56"/>
      <c r="TZ209" s="242">
        <f>SUMPRODUCT(PRODUCE!$B214:$DY214,PRODUCE!$EB$67:$IY$67)</f>
        <v>0</v>
      </c>
      <c r="UA209" s="56"/>
      <c r="UB209" s="242">
        <f t="shared" si="1429"/>
        <v>0</v>
      </c>
      <c r="UC209" s="242">
        <f t="shared" si="1430"/>
        <v>46.799999999999983</v>
      </c>
      <c r="UD209" s="56"/>
      <c r="UG209" s="55">
        <f t="shared" si="1431"/>
        <v>46200</v>
      </c>
      <c r="UH209" s="56"/>
      <c r="UI209" s="242">
        <f>SUMPRODUCT(PRODUCE!$B214:$DY214,PRODUCE!$EB$68:$IY$68)</f>
        <v>0</v>
      </c>
      <c r="UJ209" s="56"/>
      <c r="UK209" s="242">
        <f t="shared" si="1432"/>
        <v>0</v>
      </c>
      <c r="UL209" s="242">
        <f t="shared" si="1433"/>
        <v>204</v>
      </c>
      <c r="UM209" s="56"/>
      <c r="UP209" s="55">
        <f t="shared" si="1434"/>
        <v>46200</v>
      </c>
      <c r="UQ209" s="56"/>
      <c r="UR209" s="242">
        <f>SUMPRODUCT(PRODUCE!$B214:$DY214,PRODUCE!$EB$69:$IY$69)</f>
        <v>0</v>
      </c>
      <c r="US209" s="56"/>
      <c r="UT209" s="242">
        <f t="shared" si="1435"/>
        <v>0</v>
      </c>
      <c r="UU209" s="242">
        <f t="shared" si="1436"/>
        <v>251.25</v>
      </c>
      <c r="UV209" s="56"/>
      <c r="UY209" s="55">
        <f t="shared" si="1437"/>
        <v>46200</v>
      </c>
      <c r="UZ209" s="56"/>
      <c r="VA209" s="242">
        <f>SUMPRODUCT(PRODUCE!$B214:$DY214,PRODUCE!$EB$70:$IY$70)</f>
        <v>0</v>
      </c>
      <c r="VB209" s="56"/>
      <c r="VC209" s="242">
        <f t="shared" si="1438"/>
        <v>0</v>
      </c>
      <c r="VD209" s="242">
        <f t="shared" si="1439"/>
        <v>41.600000000000023</v>
      </c>
      <c r="VE209" s="56"/>
      <c r="VH209" s="55">
        <f t="shared" si="1440"/>
        <v>46200</v>
      </c>
      <c r="VI209" s="56"/>
      <c r="VJ209" s="242">
        <f>SUMPRODUCT(PRODUCE!$B214:$DY214,PRODUCE!$EB$71:$IY$71)</f>
        <v>0</v>
      </c>
      <c r="VK209" s="56"/>
      <c r="VL209" s="242">
        <f t="shared" si="1441"/>
        <v>0</v>
      </c>
      <c r="VM209" s="242">
        <f t="shared" si="1442"/>
        <v>210</v>
      </c>
      <c r="VN209" s="56"/>
      <c r="VQ209" s="55">
        <f t="shared" si="1443"/>
        <v>46200</v>
      </c>
      <c r="VR209" s="56"/>
      <c r="VS209" s="242">
        <f>SUMPRODUCT(PRODUCE!$B214:$DY214,PRODUCE!$EB$57:$IY$57)</f>
        <v>0</v>
      </c>
      <c r="VT209" s="56"/>
      <c r="VU209" s="242">
        <f t="shared" si="1444"/>
        <v>0</v>
      </c>
      <c r="VV209" s="242">
        <f t="shared" si="1445"/>
        <v>0</v>
      </c>
      <c r="VW209" s="56"/>
      <c r="VZ209" s="55">
        <f t="shared" si="1446"/>
        <v>46200</v>
      </c>
      <c r="WA209" s="56"/>
      <c r="WB209" s="242">
        <f>SUMPRODUCT(PRODUCE!$B214:$DY214,PRODUCE!$EB$57:$IY$57)</f>
        <v>0</v>
      </c>
      <c r="WC209" s="56"/>
      <c r="WD209" s="242">
        <f t="shared" si="1447"/>
        <v>0</v>
      </c>
      <c r="WE209" s="242">
        <f t="shared" si="1448"/>
        <v>0</v>
      </c>
      <c r="WF209" s="56"/>
      <c r="WI209" s="55">
        <f t="shared" si="1449"/>
        <v>46200</v>
      </c>
      <c r="WJ209" s="422"/>
      <c r="WK209" s="540">
        <f>SUMPRODUCT(PRODUCE!$B214:$DY214,PRODUCE!$EB$74:$IY$74)</f>
        <v>0</v>
      </c>
      <c r="WL209" s="422"/>
      <c r="WM209" s="540">
        <f t="shared" si="1450"/>
        <v>0</v>
      </c>
      <c r="WN209" s="540">
        <f t="shared" si="1451"/>
        <v>1199</v>
      </c>
      <c r="WO209" s="56"/>
      <c r="WR209" s="55">
        <f t="shared" si="1452"/>
        <v>46200</v>
      </c>
      <c r="WS209" s="422"/>
      <c r="WT209" s="540">
        <f>SUMPRODUCT(PRODUCE!$B214:$DY214,PRODUCE!$EB$75:$IY$75)</f>
        <v>0</v>
      </c>
      <c r="WU209" s="422"/>
      <c r="WV209" s="540">
        <f t="shared" si="1453"/>
        <v>0</v>
      </c>
      <c r="WW209" s="540">
        <f t="shared" si="1454"/>
        <v>0</v>
      </c>
      <c r="WX209" s="56"/>
      <c r="XA209" s="55">
        <f t="shared" si="1455"/>
        <v>46200</v>
      </c>
      <c r="XB209" s="422"/>
      <c r="XC209" s="540">
        <f>SUMPRODUCT(PRODUCE!$B214:$DY214,PRODUCE!$EB$76:$IY$76)</f>
        <v>0</v>
      </c>
      <c r="XD209" s="422"/>
      <c r="XE209" s="540">
        <f t="shared" si="1456"/>
        <v>0</v>
      </c>
      <c r="XF209" s="540">
        <f t="shared" si="1457"/>
        <v>6813</v>
      </c>
      <c r="XG209" s="56"/>
      <c r="XJ209" s="55">
        <f t="shared" si="1458"/>
        <v>46200</v>
      </c>
      <c r="XK209" s="422"/>
      <c r="XL209" s="540">
        <f>SUMPRODUCT(PRODUCE!$B214:$DY214,PRODUCE!$EB$77:$IY$77)</f>
        <v>0</v>
      </c>
      <c r="XM209" s="422">
        <v>120</v>
      </c>
      <c r="XN209" s="540">
        <f t="shared" si="1459"/>
        <v>-120</v>
      </c>
      <c r="XO209" s="540">
        <f t="shared" si="1460"/>
        <v>3835</v>
      </c>
      <c r="XP209" s="56"/>
      <c r="XS209" s="55">
        <f t="shared" si="1461"/>
        <v>46200</v>
      </c>
      <c r="XT209" s="56"/>
      <c r="XU209" s="242">
        <f>SUMPRODUCT(PRODUCE!$B214:$DY214,PRODUCE!$EB$78:$IY$78)</f>
        <v>0</v>
      </c>
      <c r="XV209" s="56"/>
      <c r="XW209" s="242">
        <f t="shared" si="1462"/>
        <v>0</v>
      </c>
      <c r="XX209" s="242">
        <f t="shared" si="1463"/>
        <v>1621</v>
      </c>
      <c r="XY209" s="56"/>
      <c r="YB209" s="55">
        <f t="shared" si="1464"/>
        <v>46200</v>
      </c>
      <c r="YC209" s="56"/>
      <c r="YD209" s="242">
        <f>SUMPRODUCT(PRODUCE!$B214:$DY214,PRODUCE!$EB$79:$IY$79)</f>
        <v>0</v>
      </c>
      <c r="YE209" s="56"/>
      <c r="YF209" s="242">
        <f t="shared" si="1465"/>
        <v>0</v>
      </c>
      <c r="YG209" s="242">
        <f t="shared" si="1466"/>
        <v>3898</v>
      </c>
      <c r="YH209" s="56"/>
      <c r="YK209" s="55">
        <f t="shared" si="1467"/>
        <v>46200</v>
      </c>
      <c r="YL209" s="56"/>
      <c r="YM209" s="242">
        <f>SUMPRODUCT(PRODUCE!$B214:$DY214,PRODUCE!$EB$80:$IY$80)</f>
        <v>0</v>
      </c>
      <c r="YN209" s="56"/>
      <c r="YO209" s="242">
        <f t="shared" si="1468"/>
        <v>0</v>
      </c>
      <c r="YP209" s="242">
        <f t="shared" si="1469"/>
        <v>0</v>
      </c>
      <c r="YQ209" s="56"/>
      <c r="YT209" s="55">
        <f t="shared" si="1470"/>
        <v>46200</v>
      </c>
      <c r="YU209" s="56"/>
      <c r="YV209" s="242">
        <f>SUMPRODUCT(PRODUCE!$B214:$DY214,PRODUCE!$EB$57:$IY$57)</f>
        <v>0</v>
      </c>
      <c r="YW209" s="56"/>
      <c r="YX209" s="242">
        <f t="shared" si="1471"/>
        <v>0</v>
      </c>
      <c r="YY209" s="242">
        <f t="shared" si="1472"/>
        <v>0</v>
      </c>
      <c r="YZ209" s="56"/>
      <c r="ZC209" s="55">
        <f t="shared" si="1473"/>
        <v>46200</v>
      </c>
      <c r="ZD209" s="56"/>
      <c r="ZE209" s="242">
        <f>SUMPRODUCT(PRODUCE!$B214:$DY214,PRODUCE!$EB$57:$IY$57)</f>
        <v>0</v>
      </c>
      <c r="ZF209" s="56"/>
      <c r="ZG209" s="242">
        <f t="shared" si="1474"/>
        <v>0</v>
      </c>
      <c r="ZH209" s="242">
        <f t="shared" si="1475"/>
        <v>0</v>
      </c>
      <c r="ZI209" s="56"/>
      <c r="ZL209" s="55">
        <f t="shared" si="1476"/>
        <v>46200</v>
      </c>
      <c r="ZM209" s="56"/>
      <c r="ZN209" s="242">
        <f>SUMPRODUCT(PRODUCE!$B214:$DY214,PRODUCE!$EB$57:$IY$57)</f>
        <v>0</v>
      </c>
      <c r="ZO209" s="56"/>
      <c r="ZP209" s="242">
        <f t="shared" si="1477"/>
        <v>0</v>
      </c>
      <c r="ZQ209" s="242">
        <f t="shared" si="1478"/>
        <v>0</v>
      </c>
      <c r="ZR209" s="56"/>
      <c r="ZU209" s="55">
        <f t="shared" si="1479"/>
        <v>46200</v>
      </c>
      <c r="ZV209" s="56"/>
      <c r="ZW209" s="242">
        <f>SUMPRODUCT(PRODUCE!$B214:$DY214,PRODUCE!$EB$57:$IY$57)</f>
        <v>0</v>
      </c>
      <c r="ZX209" s="56"/>
      <c r="ZY209" s="242">
        <f t="shared" si="1480"/>
        <v>0</v>
      </c>
      <c r="ZZ209" s="242">
        <f t="shared" si="1481"/>
        <v>0</v>
      </c>
      <c r="AAA209" s="56"/>
      <c r="AAD209" s="55">
        <f t="shared" si="1482"/>
        <v>46200</v>
      </c>
      <c r="AAE209" s="56"/>
      <c r="AAF209" s="242">
        <f>SUMPRODUCT(PRODUCE!$B214:$DY214,PRODUCE!$EB$57:$IY$57)</f>
        <v>0</v>
      </c>
      <c r="AAG209" s="56"/>
      <c r="AAH209" s="242">
        <f t="shared" si="1483"/>
        <v>0</v>
      </c>
      <c r="AAI209" s="242">
        <f t="shared" si="1484"/>
        <v>0</v>
      </c>
      <c r="AAJ209" s="56"/>
      <c r="AAM209" s="55">
        <f t="shared" si="1485"/>
        <v>46200</v>
      </c>
      <c r="AAN209" s="56"/>
      <c r="AAO209" s="242">
        <f>SUMPRODUCT(PRODUCE!$B214:$DY214,PRODUCE!$EB$57:$IY$57)</f>
        <v>0</v>
      </c>
      <c r="AAP209" s="56"/>
      <c r="AAQ209" s="242">
        <f t="shared" si="1486"/>
        <v>0</v>
      </c>
      <c r="AAR209" s="242">
        <f t="shared" si="1487"/>
        <v>0</v>
      </c>
      <c r="AAS209" s="56"/>
      <c r="AAV209" s="55">
        <f t="shared" si="1488"/>
        <v>46200</v>
      </c>
      <c r="AAW209" s="56"/>
      <c r="AAX209" s="242">
        <f>SUMPRODUCT(PRODUCE!$B214:$DY214,PRODUCE!$EB$57:$IY$57)</f>
        <v>0</v>
      </c>
      <c r="AAY209" s="56"/>
      <c r="AAZ209" s="242">
        <f t="shared" si="1489"/>
        <v>0</v>
      </c>
      <c r="ABA209" s="242">
        <f t="shared" si="1490"/>
        <v>0</v>
      </c>
      <c r="ABB209" s="56"/>
      <c r="ABE209" s="55">
        <f t="shared" si="1491"/>
        <v>46200</v>
      </c>
      <c r="ABF209" s="56"/>
      <c r="ABG209" s="242">
        <f>SUMPRODUCT(PRODUCE!$B214:$DY214,PRODUCE!$EB$57:$IY$57)</f>
        <v>0</v>
      </c>
      <c r="ABH209" s="56"/>
      <c r="ABI209" s="242">
        <f t="shared" si="1492"/>
        <v>0</v>
      </c>
      <c r="ABJ209" s="242">
        <f t="shared" si="1493"/>
        <v>0</v>
      </c>
      <c r="ABK209" s="56"/>
    </row>
    <row r="210" spans="1:739" s="54" customFormat="1" ht="15" customHeight="1" outlineLevel="1">
      <c r="B210" s="478"/>
      <c r="C210" s="55">
        <v>46201</v>
      </c>
      <c r="D210" s="422"/>
      <c r="E210" s="423">
        <f>SUMPRODUCT(PRODUCE!$B215:$DY215,PRODUCE!$EB$7:$IY$7)</f>
        <v>0</v>
      </c>
      <c r="F210" s="422"/>
      <c r="G210" s="423">
        <f t="shared" si="1249"/>
        <v>0</v>
      </c>
      <c r="H210" s="423">
        <f t="shared" si="1250"/>
        <v>152063.20000000004</v>
      </c>
      <c r="I210" s="289"/>
      <c r="L210" s="55">
        <f t="shared" si="1251"/>
        <v>46201</v>
      </c>
      <c r="M210" s="422"/>
      <c r="N210" s="438">
        <f>SUMPRODUCT(PRODUCE!$B215:$DY215,PRODUCE!$EB$8:$IY$8)</f>
        <v>0</v>
      </c>
      <c r="O210" s="422"/>
      <c r="P210" s="438">
        <f t="shared" si="1252"/>
        <v>0</v>
      </c>
      <c r="Q210" s="438">
        <f t="shared" si="1253"/>
        <v>77367.800000000076</v>
      </c>
      <c r="R210" s="56"/>
      <c r="U210" s="55">
        <f t="shared" si="1254"/>
        <v>46201</v>
      </c>
      <c r="V210" s="422"/>
      <c r="W210" s="440">
        <f>SUMPRODUCT(PRODUCE!$B215:$DY215,PRODUCE!$EB$9:$IY$9)</f>
        <v>0</v>
      </c>
      <c r="X210" s="422"/>
      <c r="Y210" s="440">
        <f t="shared" si="1255"/>
        <v>0</v>
      </c>
      <c r="Z210" s="440">
        <f t="shared" si="1256"/>
        <v>41134.399999999972</v>
      </c>
      <c r="AA210" s="56"/>
      <c r="AD210" s="55">
        <f t="shared" si="1257"/>
        <v>46201</v>
      </c>
      <c r="AE210" s="422"/>
      <c r="AF210" s="442">
        <f>SUMPRODUCT(PRODUCE!$B215:$DY215,PRODUCE!$EB$10:$IY$10)</f>
        <v>0</v>
      </c>
      <c r="AG210" s="422"/>
      <c r="AH210" s="442">
        <f t="shared" si="1258"/>
        <v>0</v>
      </c>
      <c r="AI210" s="442">
        <f t="shared" si="1259"/>
        <v>33372.700000000019</v>
      </c>
      <c r="AJ210" s="56"/>
      <c r="AM210" s="55">
        <f t="shared" si="1260"/>
        <v>46201</v>
      </c>
      <c r="AN210" s="422"/>
      <c r="AO210" s="444">
        <f>SUMPRODUCT(PRODUCE!$B215:$DY215,PRODUCE!$EB$11:$IY$11)</f>
        <v>0</v>
      </c>
      <c r="AP210" s="422"/>
      <c r="AQ210" s="444">
        <f t="shared" si="1261"/>
        <v>0</v>
      </c>
      <c r="AR210" s="444">
        <f t="shared" si="1262"/>
        <v>0</v>
      </c>
      <c r="AS210" s="56"/>
      <c r="AV210" s="55">
        <f t="shared" si="1263"/>
        <v>46201</v>
      </c>
      <c r="AW210" s="422"/>
      <c r="AX210" s="446">
        <f>SUMPRODUCT(PRODUCE!$B215:$DY215,PRODUCE!$EB$12:$IY$12)</f>
        <v>0</v>
      </c>
      <c r="AY210" s="422"/>
      <c r="AZ210" s="446">
        <f t="shared" si="1264"/>
        <v>0</v>
      </c>
      <c r="BA210" s="446">
        <f t="shared" si="1265"/>
        <v>13946.199999999997</v>
      </c>
      <c r="BB210" s="56"/>
      <c r="BE210" s="55">
        <f t="shared" si="1266"/>
        <v>46201</v>
      </c>
      <c r="BF210" s="422"/>
      <c r="BG210" s="448">
        <f>SUMPRODUCT(PRODUCE!$B215:$DY215,PRODUCE!$EB$13:$IY$13)</f>
        <v>0</v>
      </c>
      <c r="BH210" s="422"/>
      <c r="BI210" s="448">
        <f t="shared" si="1267"/>
        <v>0</v>
      </c>
      <c r="BJ210" s="448">
        <f t="shared" si="1268"/>
        <v>38150.399999999994</v>
      </c>
      <c r="BK210" s="56"/>
      <c r="BN210" s="55">
        <f t="shared" si="1269"/>
        <v>46201</v>
      </c>
      <c r="BO210" s="422"/>
      <c r="BP210" s="450">
        <f>SUMPRODUCT(PRODUCE!$B215:$DY215,PRODUCE!$EB$14:$IY$14)</f>
        <v>0</v>
      </c>
      <c r="BQ210" s="422"/>
      <c r="BR210" s="450">
        <f t="shared" si="1270"/>
        <v>0</v>
      </c>
      <c r="BS210" s="450">
        <f t="shared" si="1271"/>
        <v>0</v>
      </c>
      <c r="BT210" s="56"/>
      <c r="BW210" s="55">
        <f t="shared" si="1272"/>
        <v>46201</v>
      </c>
      <c r="BX210" s="422"/>
      <c r="BY210" s="523">
        <f>SUMPRODUCT(PRODUCE!$B215:$DY215,PRODUCE!$EB$15:$IY$15)</f>
        <v>0</v>
      </c>
      <c r="BZ210" s="422"/>
      <c r="CA210" s="523">
        <f t="shared" si="1273"/>
        <v>0</v>
      </c>
      <c r="CB210" s="523">
        <f t="shared" si="1274"/>
        <v>2388.7799999999988</v>
      </c>
      <c r="CC210" s="56"/>
      <c r="CF210" s="55">
        <f t="shared" si="1275"/>
        <v>46201</v>
      </c>
      <c r="CG210" s="422"/>
      <c r="CH210" s="524">
        <f>SUMPRODUCT(PRODUCE!$B215:$DY215,PRODUCE!$EB$16:$IY$16)</f>
        <v>0</v>
      </c>
      <c r="CI210" s="422"/>
      <c r="CJ210" s="524">
        <f t="shared" si="1276"/>
        <v>0</v>
      </c>
      <c r="CK210" s="524">
        <f t="shared" si="1277"/>
        <v>0</v>
      </c>
      <c r="CL210" s="56"/>
      <c r="CO210" s="55">
        <f t="shared" si="1278"/>
        <v>46201</v>
      </c>
      <c r="CP210" s="422"/>
      <c r="CQ210" s="470">
        <f>SUMPRODUCT(PRODUCE!$B215:$DY215,PRODUCE!$EB$17:$IY$17)</f>
        <v>0</v>
      </c>
      <c r="CR210" s="422"/>
      <c r="CS210" s="470">
        <f t="shared" si="1279"/>
        <v>0</v>
      </c>
      <c r="CT210" s="470">
        <f t="shared" si="1280"/>
        <v>0</v>
      </c>
      <c r="CU210" s="56"/>
      <c r="CX210" s="55">
        <f t="shared" si="1281"/>
        <v>46201</v>
      </c>
      <c r="CY210" s="422"/>
      <c r="CZ210" s="525">
        <f>SUMPRODUCT(PRODUCE!$B215:$DY215,PRODUCE!$EB$18:$IY$18)</f>
        <v>0</v>
      </c>
      <c r="DA210" s="422">
        <v>530.5</v>
      </c>
      <c r="DB210" s="525">
        <f t="shared" si="1282"/>
        <v>-530.5</v>
      </c>
      <c r="DC210" s="525">
        <f t="shared" si="1283"/>
        <v>10890.000000000007</v>
      </c>
      <c r="DD210" s="56"/>
      <c r="DG210" s="55">
        <f t="shared" si="1284"/>
        <v>46201</v>
      </c>
      <c r="DH210" s="422"/>
      <c r="DI210" s="526">
        <f>SUMPRODUCT(PRODUCE!$B215:$DY215,PRODUCE!$EB$19:$IY$19)</f>
        <v>0</v>
      </c>
      <c r="DJ210" s="422"/>
      <c r="DK210" s="526">
        <f t="shared" si="1285"/>
        <v>0</v>
      </c>
      <c r="DL210" s="526">
        <f t="shared" si="1286"/>
        <v>34934.499999999985</v>
      </c>
      <c r="DM210" s="56"/>
      <c r="DP210" s="55">
        <f t="shared" si="1287"/>
        <v>46201</v>
      </c>
      <c r="DQ210" s="56"/>
      <c r="DR210" s="57">
        <f>SUMPRODUCT(PRODUCE!$B215:$DY215,PRODUCE!$EB$20:$IY$20)</f>
        <v>0</v>
      </c>
      <c r="DS210" s="56"/>
      <c r="DT210" s="57">
        <f t="shared" si="1288"/>
        <v>0</v>
      </c>
      <c r="DU210" s="57">
        <f t="shared" si="1289"/>
        <v>5800</v>
      </c>
      <c r="DV210" s="56"/>
      <c r="DY210" s="55">
        <f t="shared" si="1290"/>
        <v>46201</v>
      </c>
      <c r="DZ210" s="56"/>
      <c r="EA210" s="157">
        <f>SUMPRODUCT(PRODUCE!$B215:$DY215,PRODUCE!$EB$21:$IY$21)</f>
        <v>0</v>
      </c>
      <c r="EB210" s="56"/>
      <c r="EC210" s="157">
        <f t="shared" si="1291"/>
        <v>0</v>
      </c>
      <c r="ED210" s="157">
        <f t="shared" si="1292"/>
        <v>0</v>
      </c>
      <c r="EE210" s="56"/>
      <c r="EH210" s="55">
        <f t="shared" si="1293"/>
        <v>46201</v>
      </c>
      <c r="EI210" s="56"/>
      <c r="EJ210" s="162">
        <f>SUMPRODUCT(PRODUCE!$B215:$DY215,PRODUCE!$EB$22:$IY$22)</f>
        <v>0</v>
      </c>
      <c r="EK210" s="56"/>
      <c r="EL210" s="162">
        <f t="shared" si="1294"/>
        <v>0</v>
      </c>
      <c r="EM210" s="162">
        <f t="shared" si="1295"/>
        <v>0</v>
      </c>
      <c r="EN210" s="56"/>
      <c r="EQ210" s="55">
        <f t="shared" si="1296"/>
        <v>46201</v>
      </c>
      <c r="ER210" s="56"/>
      <c r="ES210" s="135">
        <f>SUMPRODUCT(PRODUCE!$B215:$DY215,PRODUCE!$EB$23:$IY$23)</f>
        <v>0</v>
      </c>
      <c r="ET210" s="56"/>
      <c r="EU210" s="135">
        <f t="shared" si="1297"/>
        <v>0</v>
      </c>
      <c r="EV210" s="135">
        <f t="shared" si="1298"/>
        <v>0</v>
      </c>
      <c r="EW210" s="56"/>
      <c r="EZ210" s="55">
        <f t="shared" si="1299"/>
        <v>46201</v>
      </c>
      <c r="FA210" s="56"/>
      <c r="FB210" s="175">
        <f>SUMPRODUCT(PRODUCE!$B215:$DY215,PRODUCE!$EB$24:$IY$24)</f>
        <v>0</v>
      </c>
      <c r="FC210" s="56"/>
      <c r="FD210" s="175">
        <f t="shared" si="1300"/>
        <v>0</v>
      </c>
      <c r="FE210" s="175">
        <f t="shared" si="1301"/>
        <v>0</v>
      </c>
      <c r="FF210" s="56"/>
      <c r="FI210" s="55">
        <f t="shared" si="1302"/>
        <v>46201</v>
      </c>
      <c r="FJ210" s="56"/>
      <c r="FK210" s="183">
        <f>SUMPRODUCT(PRODUCE!$B215:$DY215,PRODUCE!$EB$25:$IY$25)</f>
        <v>0</v>
      </c>
      <c r="FL210" s="56"/>
      <c r="FM210" s="183">
        <f t="shared" si="1303"/>
        <v>0</v>
      </c>
      <c r="FN210" s="183">
        <f t="shared" si="1304"/>
        <v>0</v>
      </c>
      <c r="FO210" s="56"/>
      <c r="FR210" s="55">
        <f t="shared" si="1305"/>
        <v>46201</v>
      </c>
      <c r="FS210" s="56"/>
      <c r="FT210" s="186">
        <f>SUMPRODUCT(PRODUCE!$B215:$DY215,PRODUCE!$EB$26:$IY$26)</f>
        <v>0</v>
      </c>
      <c r="FU210" s="56"/>
      <c r="FV210" s="186">
        <f t="shared" si="1306"/>
        <v>0</v>
      </c>
      <c r="FW210" s="186">
        <f t="shared" si="1307"/>
        <v>1160</v>
      </c>
      <c r="FX210" s="56"/>
      <c r="GA210" s="55">
        <f t="shared" si="1308"/>
        <v>46201</v>
      </c>
      <c r="GB210" s="56"/>
      <c r="GC210" s="137">
        <f>SUMPRODUCT(PRODUCE!$B215:$DY215,PRODUCE!$EB$27:$IY$27)</f>
        <v>0</v>
      </c>
      <c r="GD210" s="56"/>
      <c r="GE210" s="137">
        <f t="shared" si="1309"/>
        <v>0</v>
      </c>
      <c r="GF210" s="137">
        <f t="shared" si="1310"/>
        <v>960</v>
      </c>
      <c r="GG210" s="56"/>
      <c r="GI210" s="23"/>
      <c r="GJ210" s="55">
        <f t="shared" si="1311"/>
        <v>46201</v>
      </c>
      <c r="GK210" s="56"/>
      <c r="GL210" s="199">
        <f>SUMPRODUCT(PRODUCE!$B215:$DY215,PRODUCE!$EB$28:$IY$28)</f>
        <v>0</v>
      </c>
      <c r="GM210" s="56"/>
      <c r="GN210" s="199">
        <f t="shared" si="1312"/>
        <v>0</v>
      </c>
      <c r="GO210" s="199">
        <f t="shared" si="1313"/>
        <v>1760</v>
      </c>
      <c r="GP210" s="56"/>
      <c r="GS210" s="55">
        <f t="shared" si="1314"/>
        <v>46201</v>
      </c>
      <c r="GT210" s="56"/>
      <c r="GU210" s="195">
        <f>SUMPRODUCT(PRODUCE!$B215:$DY215,PRODUCE!$EB$29:$IY$29)</f>
        <v>0</v>
      </c>
      <c r="GV210" s="56"/>
      <c r="GW210" s="195">
        <f t="shared" si="1315"/>
        <v>0</v>
      </c>
      <c r="GX210" s="195">
        <f t="shared" si="1316"/>
        <v>400</v>
      </c>
      <c r="GY210" s="56"/>
      <c r="HB210" s="55">
        <f t="shared" si="1317"/>
        <v>46201</v>
      </c>
      <c r="HC210" s="56"/>
      <c r="HD210" s="191">
        <f>SUMPRODUCT(PRODUCE!$B215:$DY215,PRODUCE!$EB$30:$IY$30)</f>
        <v>0</v>
      </c>
      <c r="HE210" s="56"/>
      <c r="HF210" s="191">
        <f t="shared" si="1318"/>
        <v>0</v>
      </c>
      <c r="HG210" s="191">
        <f t="shared" si="1319"/>
        <v>3600</v>
      </c>
      <c r="HH210" s="56"/>
      <c r="HK210" s="55">
        <f t="shared" si="1320"/>
        <v>46201</v>
      </c>
      <c r="HL210" s="56"/>
      <c r="HM210" s="63">
        <f>SUMPRODUCT(PRODUCE!$B215:$DY215,PRODUCE!$EB$31:$IY$31)</f>
        <v>0</v>
      </c>
      <c r="HN210" s="56"/>
      <c r="HO210" s="63">
        <f t="shared" si="1321"/>
        <v>0</v>
      </c>
      <c r="HP210" s="63">
        <f t="shared" si="1322"/>
        <v>0</v>
      </c>
      <c r="HQ210" s="56"/>
      <c r="HU210" s="55">
        <f t="shared" si="1323"/>
        <v>46201</v>
      </c>
      <c r="HV210" s="56"/>
      <c r="HW210" s="242">
        <f>SUMPRODUCT(PRODUCE!$B215:$DY215,PRODUCE!$EB$32:$IY$32)</f>
        <v>0</v>
      </c>
      <c r="HX210" s="56"/>
      <c r="HY210" s="242">
        <f t="shared" si="1324"/>
        <v>0</v>
      </c>
      <c r="HZ210" s="242">
        <f t="shared" si="1325"/>
        <v>6680</v>
      </c>
      <c r="IA210" s="56"/>
      <c r="ID210" s="55">
        <f t="shared" si="1326"/>
        <v>46201</v>
      </c>
      <c r="IE210" s="56"/>
      <c r="IF210" s="242">
        <f>SUMPRODUCT(PRODUCE!$B215:$DY215,PRODUCE!$EB$33:$IY$33)</f>
        <v>0</v>
      </c>
      <c r="IG210" s="56"/>
      <c r="IH210" s="242">
        <f t="shared" si="1327"/>
        <v>0</v>
      </c>
      <c r="II210" s="242">
        <f t="shared" si="1328"/>
        <v>720</v>
      </c>
      <c r="IJ210" s="56"/>
      <c r="IM210" s="55">
        <f t="shared" si="1329"/>
        <v>46201</v>
      </c>
      <c r="IN210" s="56"/>
      <c r="IO210" s="242">
        <f>SUMPRODUCT(PRODUCE!$B215:$DY215,PRODUCE!$EB$34:$IY$34)</f>
        <v>0</v>
      </c>
      <c r="IP210" s="56"/>
      <c r="IQ210" s="242">
        <f t="shared" si="1330"/>
        <v>0</v>
      </c>
      <c r="IR210" s="242">
        <f t="shared" si="1331"/>
        <v>6520</v>
      </c>
      <c r="IS210" s="56"/>
      <c r="IV210" s="55">
        <f t="shared" si="1332"/>
        <v>46201</v>
      </c>
      <c r="IW210" s="56"/>
      <c r="IX210" s="242">
        <f>SUMPRODUCT(PRODUCE!$B215:$DY215,PRODUCE!$EB$35:$IY$35)</f>
        <v>0</v>
      </c>
      <c r="IY210" s="56"/>
      <c r="IZ210" s="242">
        <f t="shared" si="1333"/>
        <v>0</v>
      </c>
      <c r="JA210" s="242">
        <f t="shared" si="1334"/>
        <v>4960</v>
      </c>
      <c r="JB210" s="56"/>
      <c r="JE210" s="55">
        <f t="shared" si="1335"/>
        <v>46201</v>
      </c>
      <c r="JF210" s="56"/>
      <c r="JG210" s="242">
        <f>SUMPRODUCT(PRODUCE!$B215:$DY215,PRODUCE!$EB$36:$IY$36)</f>
        <v>0</v>
      </c>
      <c r="JH210" s="56"/>
      <c r="JI210" s="242">
        <f t="shared" si="1336"/>
        <v>0</v>
      </c>
      <c r="JJ210" s="242">
        <f t="shared" si="1337"/>
        <v>0</v>
      </c>
      <c r="JK210" s="56"/>
      <c r="JN210" s="55">
        <f t="shared" si="1338"/>
        <v>46201</v>
      </c>
      <c r="JO210" s="56"/>
      <c r="JP210" s="242">
        <f>SUMPRODUCT(PRODUCE!$B215:$DY215,PRODUCE!$EB$37:$IY$37)</f>
        <v>0</v>
      </c>
      <c r="JQ210" s="56"/>
      <c r="JR210" s="242">
        <f t="shared" si="1339"/>
        <v>0</v>
      </c>
      <c r="JS210" s="242">
        <f t="shared" si="1340"/>
        <v>0</v>
      </c>
      <c r="JT210" s="56"/>
      <c r="JW210" s="55">
        <f t="shared" si="1341"/>
        <v>46201</v>
      </c>
      <c r="JX210" s="56"/>
      <c r="JY210" s="242">
        <f>SUMPRODUCT(PRODUCE!$B215:$DY215,PRODUCE!$EB$38:$IY$38)</f>
        <v>0</v>
      </c>
      <c r="JZ210" s="56"/>
      <c r="KA210" s="242">
        <f t="shared" si="1342"/>
        <v>0</v>
      </c>
      <c r="KB210" s="242">
        <f t="shared" si="1343"/>
        <v>2540</v>
      </c>
      <c r="KC210" s="56"/>
      <c r="KF210" s="55">
        <f t="shared" si="1344"/>
        <v>46201</v>
      </c>
      <c r="KG210" s="56"/>
      <c r="KH210" s="242">
        <f>SUMPRODUCT(PRODUCE!$B215:$DY215,PRODUCE!$EB$39:$IY$39)</f>
        <v>0</v>
      </c>
      <c r="KI210" s="56"/>
      <c r="KJ210" s="242">
        <f t="shared" si="1345"/>
        <v>0</v>
      </c>
      <c r="KK210" s="242">
        <f t="shared" si="1346"/>
        <v>2359.5</v>
      </c>
      <c r="KL210" s="56"/>
      <c r="KO210" s="55">
        <f t="shared" si="1347"/>
        <v>46201</v>
      </c>
      <c r="KP210" s="56"/>
      <c r="KQ210" s="242">
        <f>SUMPRODUCT(PRODUCE!$B215:$DY215,PRODUCE!$EB$40:$IY$40)</f>
        <v>0</v>
      </c>
      <c r="KR210" s="56"/>
      <c r="KS210" s="242">
        <f t="shared" si="1348"/>
        <v>0</v>
      </c>
      <c r="KT210" s="242">
        <f t="shared" si="1349"/>
        <v>1890</v>
      </c>
      <c r="KU210" s="56"/>
      <c r="KW210" s="23"/>
      <c r="KX210" s="55">
        <f t="shared" si="1350"/>
        <v>46201</v>
      </c>
      <c r="KY210" s="56"/>
      <c r="KZ210" s="242">
        <f>SUMPRODUCT(PRODUCE!$B215:$DY215,PRODUCE!$EB$41:$IY$41)</f>
        <v>0</v>
      </c>
      <c r="LA210" s="56"/>
      <c r="LB210" s="242">
        <f t="shared" si="1351"/>
        <v>0</v>
      </c>
      <c r="LC210" s="242">
        <f t="shared" si="1352"/>
        <v>3690</v>
      </c>
      <c r="LD210" s="56"/>
      <c r="LG210" s="55">
        <f t="shared" si="1353"/>
        <v>46201</v>
      </c>
      <c r="LH210" s="56"/>
      <c r="LI210" s="242">
        <f>SUMPRODUCT(PRODUCE!$B215:$DY215,PRODUCE!$EB$42:$IY$42)</f>
        <v>0</v>
      </c>
      <c r="LJ210" s="56"/>
      <c r="LK210" s="242">
        <f t="shared" si="1354"/>
        <v>0</v>
      </c>
      <c r="LL210" s="242">
        <f t="shared" si="1355"/>
        <v>4000</v>
      </c>
      <c r="LM210" s="56"/>
      <c r="LP210" s="55">
        <f t="shared" si="1356"/>
        <v>46201</v>
      </c>
      <c r="LQ210" s="56"/>
      <c r="LR210" s="242">
        <f>SUMPRODUCT(PRODUCE!$B215:$DY215,PRODUCE!$EB$43:$IY$43)</f>
        <v>0</v>
      </c>
      <c r="LS210" s="56"/>
      <c r="LT210" s="242">
        <f t="shared" si="1357"/>
        <v>0</v>
      </c>
      <c r="LU210" s="242">
        <f t="shared" si="1358"/>
        <v>0</v>
      </c>
      <c r="LV210" s="56"/>
      <c r="LY210" s="55">
        <f t="shared" si="1359"/>
        <v>46201</v>
      </c>
      <c r="LZ210" s="56"/>
      <c r="MA210" s="242">
        <f>SUMPRODUCT(PRODUCE!$B215:$DY215,PRODUCE!$EB$44:$IY$44)</f>
        <v>0</v>
      </c>
      <c r="MB210" s="56"/>
      <c r="MC210" s="242">
        <f t="shared" si="1360"/>
        <v>0</v>
      </c>
      <c r="MD210" s="242">
        <f t="shared" si="1361"/>
        <v>0</v>
      </c>
      <c r="ME210" s="56"/>
      <c r="MH210" s="55">
        <f t="shared" si="1362"/>
        <v>46201</v>
      </c>
      <c r="MI210" s="56"/>
      <c r="MJ210" s="242">
        <f>SUMPRODUCT(PRODUCE!$B215:$DY215,PRODUCE!$EB$45:$IY$45)</f>
        <v>0</v>
      </c>
      <c r="MK210" s="56"/>
      <c r="ML210" s="242">
        <f t="shared" si="1363"/>
        <v>0</v>
      </c>
      <c r="MM210" s="242">
        <f t="shared" si="1364"/>
        <v>0</v>
      </c>
      <c r="MN210" s="56"/>
      <c r="MQ210" s="55">
        <f t="shared" si="1365"/>
        <v>46201</v>
      </c>
      <c r="MR210" s="56"/>
      <c r="MS210" s="242">
        <f>SUMPRODUCT(PRODUCE!$B215:$DY215,PRODUCE!$EB$46:$IY$46)</f>
        <v>0</v>
      </c>
      <c r="MT210" s="56"/>
      <c r="MU210" s="242">
        <f t="shared" si="1366"/>
        <v>0</v>
      </c>
      <c r="MV210" s="242">
        <f t="shared" si="1367"/>
        <v>3451</v>
      </c>
      <c r="MW210" s="56"/>
      <c r="MZ210" s="55">
        <f t="shared" si="1368"/>
        <v>46201</v>
      </c>
      <c r="NA210" s="56"/>
      <c r="NB210" s="242">
        <f>SUMPRODUCT(PRODUCE!$B215:$DY215,PRODUCE!$EB$47:$IY$47)</f>
        <v>0</v>
      </c>
      <c r="NC210" s="56"/>
      <c r="ND210" s="242">
        <f t="shared" si="1369"/>
        <v>0</v>
      </c>
      <c r="NE210" s="242">
        <f t="shared" si="1370"/>
        <v>0</v>
      </c>
      <c r="NF210" s="56"/>
      <c r="NI210" s="55">
        <f t="shared" si="1371"/>
        <v>46201</v>
      </c>
      <c r="NJ210" s="56"/>
      <c r="NK210" s="242">
        <f>SUMPRODUCT(PRODUCE!$B215:$DY215,PRODUCE!$EB$48:$IY$48)</f>
        <v>0</v>
      </c>
      <c r="NL210" s="56"/>
      <c r="NM210" s="242">
        <f t="shared" si="1372"/>
        <v>0</v>
      </c>
      <c r="NN210" s="242">
        <f t="shared" si="1373"/>
        <v>1127</v>
      </c>
      <c r="NO210" s="56"/>
      <c r="NR210" s="55">
        <f t="shared" si="1374"/>
        <v>46201</v>
      </c>
      <c r="NS210" s="56"/>
      <c r="NT210" s="242">
        <f>SUMPRODUCT(PRODUCE!$B215:$DY215,PRODUCE!$EB$49:$IY$49)</f>
        <v>0</v>
      </c>
      <c r="NU210" s="56"/>
      <c r="NV210" s="242">
        <f t="shared" si="1375"/>
        <v>0</v>
      </c>
      <c r="NW210" s="242">
        <f t="shared" si="1376"/>
        <v>3111.9999999999995</v>
      </c>
      <c r="NX210" s="56"/>
      <c r="OA210" s="55">
        <f t="shared" si="1377"/>
        <v>46201</v>
      </c>
      <c r="OB210" s="56"/>
      <c r="OC210" s="242">
        <f>SUMPRODUCT(PRODUCE!$B215:$DY215,PRODUCE!$EB$50:$IY$50)</f>
        <v>0</v>
      </c>
      <c r="OD210" s="56"/>
      <c r="OE210" s="242">
        <f t="shared" si="1378"/>
        <v>0</v>
      </c>
      <c r="OF210" s="242">
        <f t="shared" si="1379"/>
        <v>1680.5</v>
      </c>
      <c r="OG210" s="56"/>
      <c r="OJ210" s="55">
        <f t="shared" si="1380"/>
        <v>46201</v>
      </c>
      <c r="OK210" s="56"/>
      <c r="OL210" s="242">
        <f>SUMPRODUCT(PRODUCE!$B215:$DY215,PRODUCE!$EB$51:$IY$51)</f>
        <v>0</v>
      </c>
      <c r="OM210" s="56"/>
      <c r="ON210" s="242">
        <f t="shared" si="1381"/>
        <v>0</v>
      </c>
      <c r="OO210" s="242">
        <f t="shared" si="1382"/>
        <v>0</v>
      </c>
      <c r="OP210" s="56"/>
      <c r="OS210" s="55">
        <f t="shared" si="1383"/>
        <v>46201</v>
      </c>
      <c r="OT210" s="56"/>
      <c r="OU210" s="242">
        <f>SUMPRODUCT(PRODUCE!$B215:$DY215,PRODUCE!$EB$52:$IY$52)</f>
        <v>0</v>
      </c>
      <c r="OV210" s="56"/>
      <c r="OW210" s="242">
        <f t="shared" si="1384"/>
        <v>0</v>
      </c>
      <c r="OX210" s="242">
        <f t="shared" si="1385"/>
        <v>1482</v>
      </c>
      <c r="OY210" s="56"/>
      <c r="PB210" s="55">
        <f t="shared" si="1386"/>
        <v>46201</v>
      </c>
      <c r="PC210" s="56"/>
      <c r="PD210" s="242">
        <f>SUMPRODUCT(PRODUCE!$B215:$DY215,PRODUCE!$EB$53:$IY$53)</f>
        <v>0</v>
      </c>
      <c r="PE210" s="56"/>
      <c r="PF210" s="242">
        <f t="shared" si="1387"/>
        <v>0</v>
      </c>
      <c r="PG210" s="242">
        <f t="shared" si="1388"/>
        <v>0</v>
      </c>
      <c r="PH210" s="56"/>
      <c r="PK210" s="55">
        <f t="shared" si="1389"/>
        <v>46201</v>
      </c>
      <c r="PL210" s="56"/>
      <c r="PM210" s="242">
        <f>SUMPRODUCT(PRODUCE!$B215:$DY215,PRODUCE!$EB$54:$IY$54)</f>
        <v>0</v>
      </c>
      <c r="PN210" s="56"/>
      <c r="PO210" s="242">
        <f t="shared" si="1494"/>
        <v>0</v>
      </c>
      <c r="PP210" s="242">
        <f t="shared" si="1495"/>
        <v>100</v>
      </c>
      <c r="PQ210" s="56"/>
      <c r="PT210" s="55">
        <f t="shared" si="1392"/>
        <v>46201</v>
      </c>
      <c r="PU210" s="56"/>
      <c r="PV210" s="242">
        <f>SUMPRODUCT(PRODUCE!$B215:$DY215,PRODUCE!$EB$55:$IY$55)</f>
        <v>0</v>
      </c>
      <c r="PW210" s="56"/>
      <c r="PX210" s="242">
        <f t="shared" si="1393"/>
        <v>0</v>
      </c>
      <c r="PY210" s="242">
        <f t="shared" si="1394"/>
        <v>13.960000000000036</v>
      </c>
      <c r="PZ210" s="56"/>
      <c r="QC210" s="55">
        <f t="shared" si="1395"/>
        <v>46201</v>
      </c>
      <c r="QD210" s="56"/>
      <c r="QE210" s="242">
        <f>SUMPRODUCT(PRODUCE!$B215:$DY215,PRODUCE!$EB$56:$IY$56)</f>
        <v>0</v>
      </c>
      <c r="QF210" s="56"/>
      <c r="QG210" s="242">
        <f t="shared" si="1396"/>
        <v>0</v>
      </c>
      <c r="QH210" s="242">
        <f t="shared" si="1397"/>
        <v>1736</v>
      </c>
      <c r="QI210" s="56"/>
      <c r="QL210" s="55">
        <f t="shared" si="1398"/>
        <v>46201</v>
      </c>
      <c r="QM210" s="56"/>
      <c r="QN210" s="242">
        <f>SUMPRODUCT(PRODUCE!$B215:$DY215,PRODUCE!$EB$57:$IY$57)</f>
        <v>0</v>
      </c>
      <c r="QO210" s="56"/>
      <c r="QP210" s="242">
        <f t="shared" si="1399"/>
        <v>0</v>
      </c>
      <c r="QQ210" s="242">
        <f t="shared" si="1400"/>
        <v>250</v>
      </c>
      <c r="QR210" s="56"/>
      <c r="QU210" s="55">
        <f t="shared" si="1401"/>
        <v>46201</v>
      </c>
      <c r="QV210" s="56"/>
      <c r="QW210" s="242">
        <f>SUMPRODUCT(PRODUCE!$B215:$DY215,PRODUCE!$EB$58:$IY$58)</f>
        <v>0</v>
      </c>
      <c r="QX210" s="56"/>
      <c r="QY210" s="242">
        <f t="shared" si="1402"/>
        <v>0</v>
      </c>
      <c r="QZ210" s="242">
        <f t="shared" si="1403"/>
        <v>207.6</v>
      </c>
      <c r="RA210" s="56"/>
      <c r="RD210" s="55">
        <f t="shared" si="1404"/>
        <v>46201</v>
      </c>
      <c r="RE210" s="56"/>
      <c r="RF210" s="242">
        <f>SUMPRODUCT(PRODUCE!$B215:$DY215,PRODUCE!$EB$59:$IY$59)</f>
        <v>0</v>
      </c>
      <c r="RG210" s="56"/>
      <c r="RH210" s="242">
        <f t="shared" si="1405"/>
        <v>0</v>
      </c>
      <c r="RI210" s="242">
        <f t="shared" si="1406"/>
        <v>147.04000000000002</v>
      </c>
      <c r="RJ210" s="56"/>
      <c r="RM210" s="55">
        <f t="shared" si="1407"/>
        <v>46201</v>
      </c>
      <c r="RN210" s="56"/>
      <c r="RO210" s="242">
        <f>SUMPRODUCT(PRODUCE!$B215:$DY215,PRODUCE!$EB$60:$IY$60)</f>
        <v>0</v>
      </c>
      <c r="RP210" s="56"/>
      <c r="RQ210" s="242">
        <f t="shared" si="1408"/>
        <v>0</v>
      </c>
      <c r="RR210" s="242">
        <f t="shared" si="1409"/>
        <v>46.8</v>
      </c>
      <c r="RS210" s="56"/>
      <c r="RV210" s="55">
        <f t="shared" si="1410"/>
        <v>46201</v>
      </c>
      <c r="RW210" s="56"/>
      <c r="RX210" s="242">
        <f>SUMPRODUCT(PRODUCE!$B215:$DY215,PRODUCE!$EB$61:$IY$61)</f>
        <v>0</v>
      </c>
      <c r="RY210" s="56"/>
      <c r="RZ210" s="242">
        <f t="shared" si="1411"/>
        <v>0</v>
      </c>
      <c r="SA210" s="242">
        <f t="shared" si="1412"/>
        <v>0</v>
      </c>
      <c r="SB210" s="56"/>
      <c r="SE210" s="55">
        <f t="shared" si="1413"/>
        <v>46201</v>
      </c>
      <c r="SF210" s="56"/>
      <c r="SG210" s="242">
        <f>SUMPRODUCT(PRODUCE!$B215:$DY215,PRODUCE!$EB$62:$IY$62)</f>
        <v>0</v>
      </c>
      <c r="SH210" s="56"/>
      <c r="SI210" s="242">
        <f t="shared" si="1414"/>
        <v>0</v>
      </c>
      <c r="SJ210" s="242">
        <f t="shared" si="1415"/>
        <v>24.200000000000003</v>
      </c>
      <c r="SK210" s="56"/>
      <c r="SN210" s="55">
        <f t="shared" si="1416"/>
        <v>46201</v>
      </c>
      <c r="SO210" s="56"/>
      <c r="SP210" s="242">
        <f>SUMPRODUCT(PRODUCE!$B215:$DY215,PRODUCE!$EB$63:$IY$63)</f>
        <v>0</v>
      </c>
      <c r="SQ210" s="56"/>
      <c r="SR210" s="242">
        <f t="shared" si="1417"/>
        <v>0</v>
      </c>
      <c r="SS210" s="242">
        <f t="shared" si="1418"/>
        <v>32</v>
      </c>
      <c r="ST210" s="56"/>
      <c r="SW210" s="55">
        <f t="shared" si="1419"/>
        <v>46201</v>
      </c>
      <c r="SX210" s="56"/>
      <c r="SY210" s="242">
        <f>SUMPRODUCT(PRODUCE!$B215:$DY215,PRODUCE!$EB$64:$IY$64)</f>
        <v>0</v>
      </c>
      <c r="SZ210" s="56"/>
      <c r="TA210" s="242">
        <f t="shared" si="1420"/>
        <v>0</v>
      </c>
      <c r="TB210" s="242">
        <f t="shared" si="1421"/>
        <v>0</v>
      </c>
      <c r="TC210" s="56"/>
      <c r="TF210" s="55">
        <f t="shared" si="1422"/>
        <v>46201</v>
      </c>
      <c r="TG210" s="56"/>
      <c r="TH210" s="242">
        <f>SUMPRODUCT(PRODUCE!$B215:$DY215,PRODUCE!$EB$65:$IY$65)</f>
        <v>0</v>
      </c>
      <c r="TI210" s="56"/>
      <c r="TJ210" s="242">
        <f t="shared" si="1423"/>
        <v>0</v>
      </c>
      <c r="TK210" s="242">
        <f t="shared" si="1424"/>
        <v>0</v>
      </c>
      <c r="TL210" s="56"/>
      <c r="TO210" s="55">
        <f t="shared" si="1425"/>
        <v>46201</v>
      </c>
      <c r="TP210" s="56"/>
      <c r="TQ210" s="242">
        <f>SUMPRODUCT(PRODUCE!$B215:$DY215,PRODUCE!$EB$66:$IY$66)</f>
        <v>0</v>
      </c>
      <c r="TR210" s="56"/>
      <c r="TS210" s="242">
        <f t="shared" si="1426"/>
        <v>0</v>
      </c>
      <c r="TT210" s="242">
        <f t="shared" si="1427"/>
        <v>22.400000000000006</v>
      </c>
      <c r="TU210" s="56"/>
      <c r="TX210" s="55">
        <f t="shared" si="1428"/>
        <v>46201</v>
      </c>
      <c r="TY210" s="56"/>
      <c r="TZ210" s="242">
        <f>SUMPRODUCT(PRODUCE!$B215:$DY215,PRODUCE!$EB$67:$IY$67)</f>
        <v>0</v>
      </c>
      <c r="UA210" s="56"/>
      <c r="UB210" s="242">
        <f t="shared" si="1429"/>
        <v>0</v>
      </c>
      <c r="UC210" s="242">
        <f t="shared" si="1430"/>
        <v>46.799999999999983</v>
      </c>
      <c r="UD210" s="56"/>
      <c r="UG210" s="55">
        <f t="shared" si="1431"/>
        <v>46201</v>
      </c>
      <c r="UH210" s="56"/>
      <c r="UI210" s="242">
        <f>SUMPRODUCT(PRODUCE!$B215:$DY215,PRODUCE!$EB$68:$IY$68)</f>
        <v>0</v>
      </c>
      <c r="UJ210" s="56"/>
      <c r="UK210" s="242">
        <f t="shared" si="1432"/>
        <v>0</v>
      </c>
      <c r="UL210" s="242">
        <f t="shared" si="1433"/>
        <v>204</v>
      </c>
      <c r="UM210" s="56"/>
      <c r="UP210" s="55">
        <f t="shared" si="1434"/>
        <v>46201</v>
      </c>
      <c r="UQ210" s="56"/>
      <c r="UR210" s="242">
        <f>SUMPRODUCT(PRODUCE!$B215:$DY215,PRODUCE!$EB$69:$IY$69)</f>
        <v>0</v>
      </c>
      <c r="US210" s="56"/>
      <c r="UT210" s="242">
        <f t="shared" si="1435"/>
        <v>0</v>
      </c>
      <c r="UU210" s="242">
        <f t="shared" si="1436"/>
        <v>251.25</v>
      </c>
      <c r="UV210" s="56"/>
      <c r="UY210" s="55">
        <f t="shared" si="1437"/>
        <v>46201</v>
      </c>
      <c r="UZ210" s="56"/>
      <c r="VA210" s="242">
        <f>SUMPRODUCT(PRODUCE!$B215:$DY215,PRODUCE!$EB$70:$IY$70)</f>
        <v>0</v>
      </c>
      <c r="VB210" s="56"/>
      <c r="VC210" s="242">
        <f t="shared" si="1438"/>
        <v>0</v>
      </c>
      <c r="VD210" s="242">
        <f t="shared" si="1439"/>
        <v>41.600000000000023</v>
      </c>
      <c r="VE210" s="56"/>
      <c r="VH210" s="55">
        <f t="shared" si="1440"/>
        <v>46201</v>
      </c>
      <c r="VI210" s="56"/>
      <c r="VJ210" s="242">
        <f>SUMPRODUCT(PRODUCE!$B215:$DY215,PRODUCE!$EB$71:$IY$71)</f>
        <v>0</v>
      </c>
      <c r="VK210" s="56"/>
      <c r="VL210" s="242">
        <f t="shared" si="1441"/>
        <v>0</v>
      </c>
      <c r="VM210" s="242">
        <f t="shared" si="1442"/>
        <v>210</v>
      </c>
      <c r="VN210" s="56"/>
      <c r="VQ210" s="55">
        <f t="shared" si="1443"/>
        <v>46201</v>
      </c>
      <c r="VR210" s="56"/>
      <c r="VS210" s="242">
        <f>SUMPRODUCT(PRODUCE!$B215:$DY215,PRODUCE!$EB$57:$IY$57)</f>
        <v>0</v>
      </c>
      <c r="VT210" s="56"/>
      <c r="VU210" s="242">
        <f t="shared" si="1444"/>
        <v>0</v>
      </c>
      <c r="VV210" s="242">
        <f t="shared" si="1445"/>
        <v>0</v>
      </c>
      <c r="VW210" s="56"/>
      <c r="VZ210" s="55">
        <f t="shared" si="1446"/>
        <v>46201</v>
      </c>
      <c r="WA210" s="56"/>
      <c r="WB210" s="242">
        <f>SUMPRODUCT(PRODUCE!$B215:$DY215,PRODUCE!$EB$57:$IY$57)</f>
        <v>0</v>
      </c>
      <c r="WC210" s="56"/>
      <c r="WD210" s="242">
        <f t="shared" si="1447"/>
        <v>0</v>
      </c>
      <c r="WE210" s="242">
        <f t="shared" si="1448"/>
        <v>0</v>
      </c>
      <c r="WF210" s="56"/>
      <c r="WI210" s="55">
        <f t="shared" si="1449"/>
        <v>46201</v>
      </c>
      <c r="WJ210" s="422"/>
      <c r="WK210" s="540">
        <f>SUMPRODUCT(PRODUCE!$B215:$DY215,PRODUCE!$EB$74:$IY$74)</f>
        <v>0</v>
      </c>
      <c r="WL210" s="422"/>
      <c r="WM210" s="540">
        <f t="shared" si="1450"/>
        <v>0</v>
      </c>
      <c r="WN210" s="540">
        <f t="shared" si="1451"/>
        <v>1199</v>
      </c>
      <c r="WO210" s="56"/>
      <c r="WR210" s="55">
        <f t="shared" si="1452"/>
        <v>46201</v>
      </c>
      <c r="WS210" s="422"/>
      <c r="WT210" s="540">
        <f>SUMPRODUCT(PRODUCE!$B215:$DY215,PRODUCE!$EB$75:$IY$75)</f>
        <v>0</v>
      </c>
      <c r="WU210" s="422"/>
      <c r="WV210" s="540">
        <f t="shared" si="1453"/>
        <v>0</v>
      </c>
      <c r="WW210" s="540">
        <f t="shared" si="1454"/>
        <v>0</v>
      </c>
      <c r="WX210" s="56"/>
      <c r="XA210" s="55">
        <f t="shared" si="1455"/>
        <v>46201</v>
      </c>
      <c r="XB210" s="422"/>
      <c r="XC210" s="540">
        <f>SUMPRODUCT(PRODUCE!$B215:$DY215,PRODUCE!$EB$76:$IY$76)</f>
        <v>0</v>
      </c>
      <c r="XD210" s="422"/>
      <c r="XE210" s="540">
        <f t="shared" si="1456"/>
        <v>0</v>
      </c>
      <c r="XF210" s="540">
        <f t="shared" si="1457"/>
        <v>6813</v>
      </c>
      <c r="XG210" s="56"/>
      <c r="XJ210" s="55">
        <f t="shared" si="1458"/>
        <v>46201</v>
      </c>
      <c r="XK210" s="422"/>
      <c r="XL210" s="540">
        <f>SUMPRODUCT(PRODUCE!$B215:$DY215,PRODUCE!$EB$77:$IY$77)</f>
        <v>0</v>
      </c>
      <c r="XM210" s="422"/>
      <c r="XN210" s="540">
        <f t="shared" si="1459"/>
        <v>0</v>
      </c>
      <c r="XO210" s="540">
        <f t="shared" si="1460"/>
        <v>3835</v>
      </c>
      <c r="XP210" s="56"/>
      <c r="XS210" s="55">
        <f t="shared" si="1461"/>
        <v>46201</v>
      </c>
      <c r="XT210" s="56"/>
      <c r="XU210" s="242">
        <f>SUMPRODUCT(PRODUCE!$B215:$DY215,PRODUCE!$EB$78:$IY$78)</f>
        <v>0</v>
      </c>
      <c r="XV210" s="56"/>
      <c r="XW210" s="242">
        <f t="shared" si="1462"/>
        <v>0</v>
      </c>
      <c r="XX210" s="242">
        <f t="shared" si="1463"/>
        <v>1621</v>
      </c>
      <c r="XY210" s="56"/>
      <c r="YB210" s="55">
        <f t="shared" si="1464"/>
        <v>46201</v>
      </c>
      <c r="YC210" s="56"/>
      <c r="YD210" s="242">
        <f>SUMPRODUCT(PRODUCE!$B215:$DY215,PRODUCE!$EB$79:$IY$79)</f>
        <v>0</v>
      </c>
      <c r="YE210" s="56"/>
      <c r="YF210" s="242">
        <f t="shared" si="1465"/>
        <v>0</v>
      </c>
      <c r="YG210" s="242">
        <f t="shared" si="1466"/>
        <v>3898</v>
      </c>
      <c r="YH210" s="56"/>
      <c r="YK210" s="55">
        <f t="shared" si="1467"/>
        <v>46201</v>
      </c>
      <c r="YL210" s="56"/>
      <c r="YM210" s="242">
        <f>SUMPRODUCT(PRODUCE!$B215:$DY215,PRODUCE!$EB$80:$IY$80)</f>
        <v>0</v>
      </c>
      <c r="YN210" s="56"/>
      <c r="YO210" s="242">
        <f t="shared" si="1468"/>
        <v>0</v>
      </c>
      <c r="YP210" s="242">
        <f t="shared" si="1469"/>
        <v>0</v>
      </c>
      <c r="YQ210" s="56"/>
      <c r="YT210" s="55">
        <f t="shared" si="1470"/>
        <v>46201</v>
      </c>
      <c r="YU210" s="56"/>
      <c r="YV210" s="242">
        <f>SUMPRODUCT(PRODUCE!$B215:$DY215,PRODUCE!$EB$57:$IY$57)</f>
        <v>0</v>
      </c>
      <c r="YW210" s="56"/>
      <c r="YX210" s="242">
        <f t="shared" si="1471"/>
        <v>0</v>
      </c>
      <c r="YY210" s="242">
        <f t="shared" si="1472"/>
        <v>0</v>
      </c>
      <c r="YZ210" s="56"/>
      <c r="ZC210" s="55">
        <f t="shared" si="1473"/>
        <v>46201</v>
      </c>
      <c r="ZD210" s="56"/>
      <c r="ZE210" s="242">
        <f>SUMPRODUCT(PRODUCE!$B215:$DY215,PRODUCE!$EB$57:$IY$57)</f>
        <v>0</v>
      </c>
      <c r="ZF210" s="56"/>
      <c r="ZG210" s="242">
        <f t="shared" si="1474"/>
        <v>0</v>
      </c>
      <c r="ZH210" s="242">
        <f t="shared" si="1475"/>
        <v>0</v>
      </c>
      <c r="ZI210" s="56"/>
      <c r="ZL210" s="55">
        <f t="shared" si="1476"/>
        <v>46201</v>
      </c>
      <c r="ZM210" s="56"/>
      <c r="ZN210" s="242">
        <f>SUMPRODUCT(PRODUCE!$B215:$DY215,PRODUCE!$EB$57:$IY$57)</f>
        <v>0</v>
      </c>
      <c r="ZO210" s="56"/>
      <c r="ZP210" s="242">
        <f t="shared" si="1477"/>
        <v>0</v>
      </c>
      <c r="ZQ210" s="242">
        <f t="shared" si="1478"/>
        <v>0</v>
      </c>
      <c r="ZR210" s="56"/>
      <c r="ZU210" s="55">
        <f t="shared" si="1479"/>
        <v>46201</v>
      </c>
      <c r="ZV210" s="56"/>
      <c r="ZW210" s="242">
        <f>SUMPRODUCT(PRODUCE!$B215:$DY215,PRODUCE!$EB$57:$IY$57)</f>
        <v>0</v>
      </c>
      <c r="ZX210" s="56"/>
      <c r="ZY210" s="242">
        <f t="shared" si="1480"/>
        <v>0</v>
      </c>
      <c r="ZZ210" s="242">
        <f t="shared" si="1481"/>
        <v>0</v>
      </c>
      <c r="AAA210" s="56"/>
      <c r="AAD210" s="55">
        <f t="shared" si="1482"/>
        <v>46201</v>
      </c>
      <c r="AAE210" s="56"/>
      <c r="AAF210" s="242">
        <f>SUMPRODUCT(PRODUCE!$B215:$DY215,PRODUCE!$EB$57:$IY$57)</f>
        <v>0</v>
      </c>
      <c r="AAG210" s="56"/>
      <c r="AAH210" s="242">
        <f t="shared" si="1483"/>
        <v>0</v>
      </c>
      <c r="AAI210" s="242">
        <f t="shared" si="1484"/>
        <v>0</v>
      </c>
      <c r="AAJ210" s="56"/>
      <c r="AAM210" s="55">
        <f t="shared" si="1485"/>
        <v>46201</v>
      </c>
      <c r="AAN210" s="56"/>
      <c r="AAO210" s="242">
        <f>SUMPRODUCT(PRODUCE!$B215:$DY215,PRODUCE!$EB$57:$IY$57)</f>
        <v>0</v>
      </c>
      <c r="AAP210" s="56"/>
      <c r="AAQ210" s="242">
        <f t="shared" si="1486"/>
        <v>0</v>
      </c>
      <c r="AAR210" s="242">
        <f t="shared" si="1487"/>
        <v>0</v>
      </c>
      <c r="AAS210" s="56"/>
      <c r="AAV210" s="55">
        <f t="shared" si="1488"/>
        <v>46201</v>
      </c>
      <c r="AAW210" s="56"/>
      <c r="AAX210" s="242">
        <f>SUMPRODUCT(PRODUCE!$B215:$DY215,PRODUCE!$EB$57:$IY$57)</f>
        <v>0</v>
      </c>
      <c r="AAY210" s="56"/>
      <c r="AAZ210" s="242">
        <f t="shared" si="1489"/>
        <v>0</v>
      </c>
      <c r="ABA210" s="242">
        <f t="shared" si="1490"/>
        <v>0</v>
      </c>
      <c r="ABB210" s="56"/>
      <c r="ABE210" s="55">
        <f t="shared" si="1491"/>
        <v>46201</v>
      </c>
      <c r="ABF210" s="56"/>
      <c r="ABG210" s="242">
        <f>SUMPRODUCT(PRODUCE!$B215:$DY215,PRODUCE!$EB$57:$IY$57)</f>
        <v>0</v>
      </c>
      <c r="ABH210" s="56"/>
      <c r="ABI210" s="242">
        <f t="shared" si="1492"/>
        <v>0</v>
      </c>
      <c r="ABJ210" s="242">
        <f t="shared" si="1493"/>
        <v>0</v>
      </c>
      <c r="ABK210" s="56"/>
    </row>
    <row r="211" spans="1:739" s="54" customFormat="1" ht="15" customHeight="1" outlineLevel="1">
      <c r="B211" s="478">
        <v>60</v>
      </c>
      <c r="C211" s="55">
        <v>46202</v>
      </c>
      <c r="D211" s="422">
        <v>24350</v>
      </c>
      <c r="E211" s="423">
        <f>SUMPRODUCT(PRODUCE!$B216:$DY216,PRODUCE!$EB$7:$IY$7)</f>
        <v>36402</v>
      </c>
      <c r="F211" s="422">
        <v>36409.199999999997</v>
      </c>
      <c r="G211" s="423">
        <f t="shared" si="1249"/>
        <v>-7.1999999999970896</v>
      </c>
      <c r="H211" s="423">
        <f t="shared" si="1250"/>
        <v>140004.00000000006</v>
      </c>
      <c r="I211" s="289" t="s">
        <v>295</v>
      </c>
      <c r="L211" s="55">
        <f t="shared" si="1251"/>
        <v>46202</v>
      </c>
      <c r="M211" s="422"/>
      <c r="N211" s="438">
        <f>SUMPRODUCT(PRODUCE!$B216:$DY216,PRODUCE!$EB$8:$IY$8)</f>
        <v>12936</v>
      </c>
      <c r="O211" s="422">
        <v>12929.4</v>
      </c>
      <c r="P211" s="438">
        <f t="shared" si="1252"/>
        <v>6.6000000000003638</v>
      </c>
      <c r="Q211" s="438">
        <f t="shared" si="1253"/>
        <v>64438.400000000074</v>
      </c>
      <c r="R211" s="56"/>
      <c r="U211" s="55">
        <f t="shared" si="1254"/>
        <v>46202</v>
      </c>
      <c r="V211" s="422"/>
      <c r="W211" s="440">
        <f>SUMPRODUCT(PRODUCE!$B216:$DY216,PRODUCE!$EB$9:$IY$9)</f>
        <v>4200</v>
      </c>
      <c r="X211" s="422">
        <v>4200.8999999999996</v>
      </c>
      <c r="Y211" s="440">
        <f t="shared" si="1255"/>
        <v>-0.8999999999996362</v>
      </c>
      <c r="Z211" s="440">
        <f t="shared" si="1256"/>
        <v>36933.499999999971</v>
      </c>
      <c r="AA211" s="56"/>
      <c r="AD211" s="55">
        <f t="shared" si="1257"/>
        <v>46202</v>
      </c>
      <c r="AE211" s="422"/>
      <c r="AF211" s="442">
        <f>SUMPRODUCT(PRODUCE!$B216:$DY216,PRODUCE!$EB$10:$IY$10)</f>
        <v>0</v>
      </c>
      <c r="AG211" s="422"/>
      <c r="AH211" s="442">
        <f t="shared" si="1258"/>
        <v>0</v>
      </c>
      <c r="AI211" s="442">
        <f t="shared" si="1259"/>
        <v>33372.700000000019</v>
      </c>
      <c r="AJ211" s="56"/>
      <c r="AM211" s="55">
        <f t="shared" si="1260"/>
        <v>46202</v>
      </c>
      <c r="AN211" s="422"/>
      <c r="AO211" s="444">
        <f>SUMPRODUCT(PRODUCE!$B216:$DY216,PRODUCE!$EB$11:$IY$11)</f>
        <v>0</v>
      </c>
      <c r="AP211" s="422"/>
      <c r="AQ211" s="444">
        <f t="shared" si="1261"/>
        <v>0</v>
      </c>
      <c r="AR211" s="444">
        <f t="shared" si="1262"/>
        <v>0</v>
      </c>
      <c r="AS211" s="56"/>
      <c r="AV211" s="55">
        <f t="shared" si="1263"/>
        <v>46202</v>
      </c>
      <c r="AW211" s="422"/>
      <c r="AX211" s="446">
        <f>SUMPRODUCT(PRODUCE!$B216:$DY216,PRODUCE!$EB$12:$IY$12)</f>
        <v>0</v>
      </c>
      <c r="AY211" s="422"/>
      <c r="AZ211" s="446">
        <f t="shared" si="1264"/>
        <v>0</v>
      </c>
      <c r="BA211" s="446">
        <f t="shared" si="1265"/>
        <v>13946.199999999997</v>
      </c>
      <c r="BB211" s="56"/>
      <c r="BE211" s="55">
        <f t="shared" si="1266"/>
        <v>46202</v>
      </c>
      <c r="BF211" s="422"/>
      <c r="BG211" s="448">
        <f>SUMPRODUCT(PRODUCE!$B216:$DY216,PRODUCE!$EB$13:$IY$13)</f>
        <v>600</v>
      </c>
      <c r="BH211" s="422">
        <v>603.20000000000005</v>
      </c>
      <c r="BI211" s="448">
        <f t="shared" si="1267"/>
        <v>-3.2000000000000455</v>
      </c>
      <c r="BJ211" s="448">
        <f t="shared" si="1268"/>
        <v>37547.199999999997</v>
      </c>
      <c r="BK211" s="56"/>
      <c r="BN211" s="55">
        <f t="shared" si="1269"/>
        <v>46202</v>
      </c>
      <c r="BO211" s="422">
        <v>600</v>
      </c>
      <c r="BP211" s="450">
        <f>SUMPRODUCT(PRODUCE!$B216:$DY216,PRODUCE!$EB$14:$IY$14)</f>
        <v>300</v>
      </c>
      <c r="BQ211" s="422">
        <v>600</v>
      </c>
      <c r="BR211" s="450">
        <f t="shared" si="1270"/>
        <v>-300</v>
      </c>
      <c r="BS211" s="450">
        <f t="shared" si="1271"/>
        <v>0</v>
      </c>
      <c r="BT211" s="56"/>
      <c r="BW211" s="55">
        <f t="shared" si="1272"/>
        <v>46202</v>
      </c>
      <c r="BX211" s="422"/>
      <c r="BY211" s="523">
        <f>SUMPRODUCT(PRODUCE!$B216:$DY216,PRODUCE!$EB$15:$IY$15)</f>
        <v>258.29999999999995</v>
      </c>
      <c r="BZ211" s="422"/>
      <c r="CA211" s="523">
        <f t="shared" si="1273"/>
        <v>258.29999999999995</v>
      </c>
      <c r="CB211" s="523">
        <f t="shared" si="1274"/>
        <v>2388.7799999999988</v>
      </c>
      <c r="CC211" s="56"/>
      <c r="CF211" s="55">
        <f t="shared" si="1275"/>
        <v>46202</v>
      </c>
      <c r="CG211" s="422"/>
      <c r="CH211" s="524">
        <f>SUMPRODUCT(PRODUCE!$B216:$DY216,PRODUCE!$EB$16:$IY$16)</f>
        <v>0</v>
      </c>
      <c r="CI211" s="422"/>
      <c r="CJ211" s="524">
        <f t="shared" si="1276"/>
        <v>0</v>
      </c>
      <c r="CK211" s="524">
        <f t="shared" si="1277"/>
        <v>0</v>
      </c>
      <c r="CL211" s="56"/>
      <c r="CO211" s="55">
        <f t="shared" si="1278"/>
        <v>46202</v>
      </c>
      <c r="CP211" s="422"/>
      <c r="CQ211" s="470">
        <f>SUMPRODUCT(PRODUCE!$B216:$DY216,PRODUCE!$EB$17:$IY$17)</f>
        <v>0</v>
      </c>
      <c r="CR211" s="422"/>
      <c r="CS211" s="470">
        <f t="shared" si="1279"/>
        <v>0</v>
      </c>
      <c r="CT211" s="470">
        <f t="shared" si="1280"/>
        <v>0</v>
      </c>
      <c r="CU211" s="56"/>
      <c r="CX211" s="55">
        <f t="shared" si="1281"/>
        <v>46202</v>
      </c>
      <c r="CY211" s="422"/>
      <c r="CZ211" s="525">
        <f>SUMPRODUCT(PRODUCE!$B216:$DY216,PRODUCE!$EB$18:$IY$18)</f>
        <v>1200</v>
      </c>
      <c r="DA211" s="422">
        <v>1198.7</v>
      </c>
      <c r="DB211" s="525">
        <f t="shared" si="1282"/>
        <v>1.2999999999999545</v>
      </c>
      <c r="DC211" s="525">
        <f t="shared" si="1283"/>
        <v>9691.3000000000065</v>
      </c>
      <c r="DD211" s="56"/>
      <c r="DG211" s="55">
        <f t="shared" si="1284"/>
        <v>46202</v>
      </c>
      <c r="DH211" s="422"/>
      <c r="DI211" s="526">
        <f>SUMPRODUCT(PRODUCE!$B216:$DY216,PRODUCE!$EB$19:$IY$19)</f>
        <v>0</v>
      </c>
      <c r="DJ211" s="422"/>
      <c r="DK211" s="526">
        <f t="shared" si="1285"/>
        <v>0</v>
      </c>
      <c r="DL211" s="526">
        <f t="shared" si="1286"/>
        <v>34934.499999999985</v>
      </c>
      <c r="DM211" s="56"/>
      <c r="DP211" s="55">
        <f t="shared" si="1287"/>
        <v>46202</v>
      </c>
      <c r="DQ211" s="56"/>
      <c r="DR211" s="57">
        <f>SUMPRODUCT(PRODUCE!$B216:$DY216,PRODUCE!$EB$20:$IY$20)</f>
        <v>0</v>
      </c>
      <c r="DS211" s="56"/>
      <c r="DT211" s="57">
        <f t="shared" si="1288"/>
        <v>0</v>
      </c>
      <c r="DU211" s="57">
        <f t="shared" si="1289"/>
        <v>5800</v>
      </c>
      <c r="DV211" s="56"/>
      <c r="DY211" s="55">
        <f t="shared" si="1290"/>
        <v>46202</v>
      </c>
      <c r="DZ211" s="56"/>
      <c r="EA211" s="157">
        <f>SUMPRODUCT(PRODUCE!$B216:$DY216,PRODUCE!$EB$21:$IY$21)</f>
        <v>0</v>
      </c>
      <c r="EB211" s="56"/>
      <c r="EC211" s="157">
        <f t="shared" si="1291"/>
        <v>0</v>
      </c>
      <c r="ED211" s="157">
        <f t="shared" si="1292"/>
        <v>0</v>
      </c>
      <c r="EE211" s="56"/>
      <c r="EH211" s="55">
        <f t="shared" si="1293"/>
        <v>46202</v>
      </c>
      <c r="EI211" s="56"/>
      <c r="EJ211" s="162">
        <f>SUMPRODUCT(PRODUCE!$B216:$DY216,PRODUCE!$EB$22:$IY$22)</f>
        <v>0</v>
      </c>
      <c r="EK211" s="56"/>
      <c r="EL211" s="162">
        <f t="shared" si="1294"/>
        <v>0</v>
      </c>
      <c r="EM211" s="162">
        <f t="shared" si="1295"/>
        <v>0</v>
      </c>
      <c r="EN211" s="56"/>
      <c r="EQ211" s="55">
        <f t="shared" si="1296"/>
        <v>46202</v>
      </c>
      <c r="ER211" s="56"/>
      <c r="ES211" s="135">
        <f>SUMPRODUCT(PRODUCE!$B216:$DY216,PRODUCE!$EB$23:$IY$23)</f>
        <v>0</v>
      </c>
      <c r="ET211" s="56"/>
      <c r="EU211" s="135">
        <f t="shared" si="1297"/>
        <v>0</v>
      </c>
      <c r="EV211" s="135">
        <f t="shared" si="1298"/>
        <v>0</v>
      </c>
      <c r="EW211" s="56"/>
      <c r="EZ211" s="55">
        <f t="shared" si="1299"/>
        <v>46202</v>
      </c>
      <c r="FA211" s="56"/>
      <c r="FB211" s="175">
        <f>SUMPRODUCT(PRODUCE!$B216:$DY216,PRODUCE!$EB$24:$IY$24)</f>
        <v>0</v>
      </c>
      <c r="FC211" s="56"/>
      <c r="FD211" s="175">
        <f t="shared" si="1300"/>
        <v>0</v>
      </c>
      <c r="FE211" s="175">
        <f t="shared" si="1301"/>
        <v>0</v>
      </c>
      <c r="FF211" s="56"/>
      <c r="FI211" s="55">
        <f t="shared" si="1302"/>
        <v>46202</v>
      </c>
      <c r="FJ211" s="56"/>
      <c r="FK211" s="183">
        <f>SUMPRODUCT(PRODUCE!$B216:$DY216,PRODUCE!$EB$25:$IY$25)</f>
        <v>0</v>
      </c>
      <c r="FL211" s="56"/>
      <c r="FM211" s="183">
        <f t="shared" si="1303"/>
        <v>0</v>
      </c>
      <c r="FN211" s="183">
        <f t="shared" si="1304"/>
        <v>0</v>
      </c>
      <c r="FO211" s="56"/>
      <c r="FR211" s="55">
        <f t="shared" si="1305"/>
        <v>46202</v>
      </c>
      <c r="FS211" s="56"/>
      <c r="FT211" s="186">
        <f>SUMPRODUCT(PRODUCE!$B216:$DY216,PRODUCE!$EB$26:$IY$26)</f>
        <v>0</v>
      </c>
      <c r="FU211" s="56"/>
      <c r="FV211" s="186">
        <f t="shared" si="1306"/>
        <v>0</v>
      </c>
      <c r="FW211" s="186">
        <f t="shared" si="1307"/>
        <v>1160</v>
      </c>
      <c r="FX211" s="56"/>
      <c r="GA211" s="55">
        <f t="shared" si="1308"/>
        <v>46202</v>
      </c>
      <c r="GB211" s="56"/>
      <c r="GC211" s="137">
        <f>SUMPRODUCT(PRODUCE!$B216:$DY216,PRODUCE!$EB$27:$IY$27)</f>
        <v>0</v>
      </c>
      <c r="GD211" s="56"/>
      <c r="GE211" s="137">
        <f t="shared" si="1309"/>
        <v>0</v>
      </c>
      <c r="GF211" s="137">
        <f t="shared" si="1310"/>
        <v>960</v>
      </c>
      <c r="GG211" s="56"/>
      <c r="GI211" s="23"/>
      <c r="GJ211" s="55">
        <f t="shared" si="1311"/>
        <v>46202</v>
      </c>
      <c r="GK211" s="56"/>
      <c r="GL211" s="199">
        <f>SUMPRODUCT(PRODUCE!$B216:$DY216,PRODUCE!$EB$28:$IY$28)</f>
        <v>0</v>
      </c>
      <c r="GM211" s="56"/>
      <c r="GN211" s="199">
        <f t="shared" si="1312"/>
        <v>0</v>
      </c>
      <c r="GO211" s="199">
        <f t="shared" si="1313"/>
        <v>1760</v>
      </c>
      <c r="GP211" s="56"/>
      <c r="GS211" s="55">
        <f t="shared" si="1314"/>
        <v>46202</v>
      </c>
      <c r="GT211" s="56"/>
      <c r="GU211" s="195">
        <f>SUMPRODUCT(PRODUCE!$B216:$DY216,PRODUCE!$EB$29:$IY$29)</f>
        <v>0</v>
      </c>
      <c r="GV211" s="56"/>
      <c r="GW211" s="195">
        <f t="shared" si="1315"/>
        <v>0</v>
      </c>
      <c r="GX211" s="195">
        <f t="shared" si="1316"/>
        <v>400</v>
      </c>
      <c r="GY211" s="56"/>
      <c r="HB211" s="55">
        <f t="shared" si="1317"/>
        <v>46202</v>
      </c>
      <c r="HC211" s="56"/>
      <c r="HD211" s="191">
        <f>SUMPRODUCT(PRODUCE!$B216:$DY216,PRODUCE!$EB$30:$IY$30)</f>
        <v>0</v>
      </c>
      <c r="HE211" s="56"/>
      <c r="HF211" s="191">
        <f t="shared" si="1318"/>
        <v>0</v>
      </c>
      <c r="HG211" s="191">
        <f t="shared" si="1319"/>
        <v>3600</v>
      </c>
      <c r="HH211" s="56"/>
      <c r="HK211" s="55">
        <f t="shared" si="1320"/>
        <v>46202</v>
      </c>
      <c r="HL211" s="56"/>
      <c r="HM211" s="63">
        <f>SUMPRODUCT(PRODUCE!$B216:$DY216,PRODUCE!$EB$31:$IY$31)</f>
        <v>0</v>
      </c>
      <c r="HN211" s="56"/>
      <c r="HO211" s="63">
        <f t="shared" si="1321"/>
        <v>0</v>
      </c>
      <c r="HP211" s="63">
        <f t="shared" si="1322"/>
        <v>0</v>
      </c>
      <c r="HQ211" s="56"/>
      <c r="HU211" s="55">
        <f t="shared" si="1323"/>
        <v>46202</v>
      </c>
      <c r="HV211" s="56"/>
      <c r="HW211" s="242">
        <f>SUMPRODUCT(PRODUCE!$B216:$DY216,PRODUCE!$EB$32:$IY$32)</f>
        <v>0</v>
      </c>
      <c r="HX211" s="56"/>
      <c r="HY211" s="242">
        <f t="shared" si="1324"/>
        <v>0</v>
      </c>
      <c r="HZ211" s="242">
        <f t="shared" si="1325"/>
        <v>6680</v>
      </c>
      <c r="IA211" s="56"/>
      <c r="ID211" s="55">
        <f t="shared" si="1326"/>
        <v>46202</v>
      </c>
      <c r="IE211" s="56"/>
      <c r="IF211" s="242">
        <f>SUMPRODUCT(PRODUCE!$B216:$DY216,PRODUCE!$EB$33:$IY$33)</f>
        <v>0</v>
      </c>
      <c r="IG211" s="56"/>
      <c r="IH211" s="242">
        <f t="shared" si="1327"/>
        <v>0</v>
      </c>
      <c r="II211" s="242">
        <f t="shared" si="1328"/>
        <v>720</v>
      </c>
      <c r="IJ211" s="56"/>
      <c r="IM211" s="55">
        <f t="shared" si="1329"/>
        <v>46202</v>
      </c>
      <c r="IN211" s="56"/>
      <c r="IO211" s="242">
        <f>SUMPRODUCT(PRODUCE!$B216:$DY216,PRODUCE!$EB$34:$IY$34)</f>
        <v>0</v>
      </c>
      <c r="IP211" s="56"/>
      <c r="IQ211" s="242">
        <f t="shared" si="1330"/>
        <v>0</v>
      </c>
      <c r="IR211" s="242">
        <f t="shared" si="1331"/>
        <v>6520</v>
      </c>
      <c r="IS211" s="56"/>
      <c r="IV211" s="55">
        <f t="shared" si="1332"/>
        <v>46202</v>
      </c>
      <c r="IW211" s="56"/>
      <c r="IX211" s="242">
        <f>SUMPRODUCT(PRODUCE!$B216:$DY216,PRODUCE!$EB$35:$IY$35)</f>
        <v>0</v>
      </c>
      <c r="IY211" s="56"/>
      <c r="IZ211" s="242">
        <f t="shared" si="1333"/>
        <v>0</v>
      </c>
      <c r="JA211" s="242">
        <f t="shared" si="1334"/>
        <v>4960</v>
      </c>
      <c r="JB211" s="56"/>
      <c r="JE211" s="55">
        <f t="shared" si="1335"/>
        <v>46202</v>
      </c>
      <c r="JF211" s="56"/>
      <c r="JG211" s="242">
        <f>SUMPRODUCT(PRODUCE!$B216:$DY216,PRODUCE!$EB$36:$IY$36)</f>
        <v>0</v>
      </c>
      <c r="JH211" s="56"/>
      <c r="JI211" s="242">
        <f t="shared" si="1336"/>
        <v>0</v>
      </c>
      <c r="JJ211" s="242">
        <f t="shared" si="1337"/>
        <v>0</v>
      </c>
      <c r="JK211" s="56"/>
      <c r="JN211" s="55">
        <f t="shared" si="1338"/>
        <v>46202</v>
      </c>
      <c r="JO211" s="56"/>
      <c r="JP211" s="242">
        <f>SUMPRODUCT(PRODUCE!$B216:$DY216,PRODUCE!$EB$37:$IY$37)</f>
        <v>0</v>
      </c>
      <c r="JQ211" s="56"/>
      <c r="JR211" s="242">
        <f t="shared" si="1339"/>
        <v>0</v>
      </c>
      <c r="JS211" s="242">
        <f t="shared" si="1340"/>
        <v>0</v>
      </c>
      <c r="JT211" s="56"/>
      <c r="JW211" s="55">
        <f t="shared" si="1341"/>
        <v>46202</v>
      </c>
      <c r="JX211" s="56"/>
      <c r="JY211" s="242">
        <f>SUMPRODUCT(PRODUCE!$B216:$DY216,PRODUCE!$EB$38:$IY$38)</f>
        <v>0</v>
      </c>
      <c r="JZ211" s="56"/>
      <c r="KA211" s="242">
        <f t="shared" si="1342"/>
        <v>0</v>
      </c>
      <c r="KB211" s="242">
        <f t="shared" si="1343"/>
        <v>2540</v>
      </c>
      <c r="KC211" s="56"/>
      <c r="KF211" s="55">
        <f t="shared" si="1344"/>
        <v>46202</v>
      </c>
      <c r="KG211" s="56"/>
      <c r="KH211" s="242">
        <f>SUMPRODUCT(PRODUCE!$B216:$DY216,PRODUCE!$EB$39:$IY$39)</f>
        <v>0</v>
      </c>
      <c r="KI211" s="56"/>
      <c r="KJ211" s="242">
        <f t="shared" si="1345"/>
        <v>0</v>
      </c>
      <c r="KK211" s="242">
        <f t="shared" si="1346"/>
        <v>2359.5</v>
      </c>
      <c r="KL211" s="56"/>
      <c r="KO211" s="55">
        <f t="shared" si="1347"/>
        <v>46202</v>
      </c>
      <c r="KP211" s="56"/>
      <c r="KQ211" s="242">
        <f>SUMPRODUCT(PRODUCE!$B216:$DY216,PRODUCE!$EB$40:$IY$40)</f>
        <v>0</v>
      </c>
      <c r="KR211" s="56"/>
      <c r="KS211" s="242">
        <f t="shared" si="1348"/>
        <v>0</v>
      </c>
      <c r="KT211" s="242">
        <f t="shared" si="1349"/>
        <v>1890</v>
      </c>
      <c r="KU211" s="56"/>
      <c r="KW211" s="23"/>
      <c r="KX211" s="55">
        <f t="shared" si="1350"/>
        <v>46202</v>
      </c>
      <c r="KY211" s="56"/>
      <c r="KZ211" s="242">
        <f>SUMPRODUCT(PRODUCE!$B216:$DY216,PRODUCE!$EB$41:$IY$41)</f>
        <v>0</v>
      </c>
      <c r="LA211" s="56"/>
      <c r="LB211" s="242">
        <f t="shared" si="1351"/>
        <v>0</v>
      </c>
      <c r="LC211" s="242">
        <f t="shared" si="1352"/>
        <v>3690</v>
      </c>
      <c r="LD211" s="56"/>
      <c r="LG211" s="55">
        <f t="shared" si="1353"/>
        <v>46202</v>
      </c>
      <c r="LH211" s="56"/>
      <c r="LI211" s="242">
        <f>SUMPRODUCT(PRODUCE!$B216:$DY216,PRODUCE!$EB$42:$IY$42)</f>
        <v>0</v>
      </c>
      <c r="LJ211" s="56"/>
      <c r="LK211" s="242">
        <f t="shared" si="1354"/>
        <v>0</v>
      </c>
      <c r="LL211" s="242">
        <f t="shared" si="1355"/>
        <v>4000</v>
      </c>
      <c r="LM211" s="56"/>
      <c r="LP211" s="55">
        <f t="shared" si="1356"/>
        <v>46202</v>
      </c>
      <c r="LQ211" s="56"/>
      <c r="LR211" s="242">
        <f>SUMPRODUCT(PRODUCE!$B216:$DY216,PRODUCE!$EB$43:$IY$43)</f>
        <v>0</v>
      </c>
      <c r="LS211" s="56"/>
      <c r="LT211" s="242">
        <f t="shared" si="1357"/>
        <v>0</v>
      </c>
      <c r="LU211" s="242">
        <f t="shared" si="1358"/>
        <v>0</v>
      </c>
      <c r="LV211" s="56"/>
      <c r="LY211" s="55">
        <f t="shared" si="1359"/>
        <v>46202</v>
      </c>
      <c r="LZ211" s="56"/>
      <c r="MA211" s="242">
        <f>SUMPRODUCT(PRODUCE!$B216:$DY216,PRODUCE!$EB$44:$IY$44)</f>
        <v>0</v>
      </c>
      <c r="MB211" s="56"/>
      <c r="MC211" s="242">
        <f t="shared" si="1360"/>
        <v>0</v>
      </c>
      <c r="MD211" s="242">
        <f t="shared" si="1361"/>
        <v>0</v>
      </c>
      <c r="ME211" s="56"/>
      <c r="MH211" s="55">
        <f t="shared" si="1362"/>
        <v>46202</v>
      </c>
      <c r="MI211" s="56"/>
      <c r="MJ211" s="242">
        <f>SUMPRODUCT(PRODUCE!$B216:$DY216,PRODUCE!$EB$45:$IY$45)</f>
        <v>0</v>
      </c>
      <c r="MK211" s="56"/>
      <c r="ML211" s="242">
        <f t="shared" si="1363"/>
        <v>0</v>
      </c>
      <c r="MM211" s="242">
        <f t="shared" si="1364"/>
        <v>0</v>
      </c>
      <c r="MN211" s="56"/>
      <c r="MQ211" s="55">
        <f t="shared" si="1365"/>
        <v>46202</v>
      </c>
      <c r="MR211" s="56">
        <v>144</v>
      </c>
      <c r="MS211" s="242">
        <f>SUMPRODUCT(PRODUCE!$B216:$DY216,PRODUCE!$EB$46:$IY$46)</f>
        <v>0</v>
      </c>
      <c r="MT211" s="56"/>
      <c r="MU211" s="242">
        <f t="shared" si="1366"/>
        <v>0</v>
      </c>
      <c r="MV211" s="242">
        <f t="shared" si="1367"/>
        <v>3595</v>
      </c>
      <c r="MW211" s="56"/>
      <c r="MZ211" s="55">
        <f t="shared" si="1368"/>
        <v>46202</v>
      </c>
      <c r="NA211" s="56"/>
      <c r="NB211" s="242">
        <f>SUMPRODUCT(PRODUCE!$B216:$DY216,PRODUCE!$EB$47:$IY$47)</f>
        <v>0</v>
      </c>
      <c r="NC211" s="56"/>
      <c r="ND211" s="242">
        <f t="shared" si="1369"/>
        <v>0</v>
      </c>
      <c r="NE211" s="242">
        <f t="shared" si="1370"/>
        <v>0</v>
      </c>
      <c r="NF211" s="56"/>
      <c r="NI211" s="55">
        <f t="shared" si="1371"/>
        <v>46202</v>
      </c>
      <c r="NJ211" s="56"/>
      <c r="NK211" s="242">
        <f>SUMPRODUCT(PRODUCE!$B216:$DY216,PRODUCE!$EB$48:$IY$48)</f>
        <v>0</v>
      </c>
      <c r="NL211" s="56"/>
      <c r="NM211" s="242">
        <f t="shared" si="1372"/>
        <v>0</v>
      </c>
      <c r="NN211" s="242">
        <f t="shared" si="1373"/>
        <v>1127</v>
      </c>
      <c r="NO211" s="56"/>
      <c r="NR211" s="55">
        <f t="shared" si="1374"/>
        <v>46202</v>
      </c>
      <c r="NS211" s="56"/>
      <c r="NT211" s="242">
        <f>SUMPRODUCT(PRODUCE!$B216:$DY216,PRODUCE!$EB$49:$IY$49)</f>
        <v>0</v>
      </c>
      <c r="NU211" s="56"/>
      <c r="NV211" s="242">
        <f t="shared" si="1375"/>
        <v>0</v>
      </c>
      <c r="NW211" s="242">
        <f t="shared" si="1376"/>
        <v>3111.9999999999995</v>
      </c>
      <c r="NX211" s="56"/>
      <c r="OA211" s="55">
        <f t="shared" si="1377"/>
        <v>46202</v>
      </c>
      <c r="OB211" s="56"/>
      <c r="OC211" s="242">
        <f>SUMPRODUCT(PRODUCE!$B216:$DY216,PRODUCE!$EB$50:$IY$50)</f>
        <v>0</v>
      </c>
      <c r="OD211" s="56"/>
      <c r="OE211" s="242">
        <f t="shared" si="1378"/>
        <v>0</v>
      </c>
      <c r="OF211" s="242">
        <f t="shared" si="1379"/>
        <v>1680.5</v>
      </c>
      <c r="OG211" s="56"/>
      <c r="OJ211" s="55">
        <f t="shared" si="1380"/>
        <v>46202</v>
      </c>
      <c r="OK211" s="56"/>
      <c r="OL211" s="242">
        <f>SUMPRODUCT(PRODUCE!$B216:$DY216,PRODUCE!$EB$51:$IY$51)</f>
        <v>0</v>
      </c>
      <c r="OM211" s="56"/>
      <c r="ON211" s="242">
        <f t="shared" si="1381"/>
        <v>0</v>
      </c>
      <c r="OO211" s="242">
        <f t="shared" si="1382"/>
        <v>0</v>
      </c>
      <c r="OP211" s="56"/>
      <c r="OS211" s="55">
        <f t="shared" si="1383"/>
        <v>46202</v>
      </c>
      <c r="OT211" s="56"/>
      <c r="OU211" s="242">
        <f>SUMPRODUCT(PRODUCE!$B216:$DY216,PRODUCE!$EB$52:$IY$52)</f>
        <v>0</v>
      </c>
      <c r="OV211" s="56"/>
      <c r="OW211" s="242">
        <f t="shared" si="1384"/>
        <v>0</v>
      </c>
      <c r="OX211" s="242">
        <f t="shared" si="1385"/>
        <v>1482</v>
      </c>
      <c r="OY211" s="56"/>
      <c r="PB211" s="55">
        <f t="shared" si="1386"/>
        <v>46202</v>
      </c>
      <c r="PC211" s="56"/>
      <c r="PD211" s="242">
        <f>SUMPRODUCT(PRODUCE!$B216:$DY216,PRODUCE!$EB$53:$IY$53)</f>
        <v>0</v>
      </c>
      <c r="PE211" s="56"/>
      <c r="PF211" s="242">
        <f t="shared" si="1387"/>
        <v>0</v>
      </c>
      <c r="PG211" s="242">
        <f t="shared" si="1388"/>
        <v>0</v>
      </c>
      <c r="PH211" s="56"/>
      <c r="PK211" s="55">
        <f t="shared" si="1389"/>
        <v>46202</v>
      </c>
      <c r="PL211" s="56"/>
      <c r="PM211" s="242">
        <f>SUMPRODUCT(PRODUCE!$B216:$DY216,PRODUCE!$EB$54:$IY$54)</f>
        <v>0</v>
      </c>
      <c r="PN211" s="56"/>
      <c r="PO211" s="242">
        <f t="shared" si="1494"/>
        <v>0</v>
      </c>
      <c r="PP211" s="242">
        <f t="shared" si="1495"/>
        <v>100</v>
      </c>
      <c r="PQ211" s="56"/>
      <c r="PT211" s="55">
        <f t="shared" si="1392"/>
        <v>46202</v>
      </c>
      <c r="PU211" s="56"/>
      <c r="PV211" s="242">
        <f>SUMPRODUCT(PRODUCE!$B216:$DY216,PRODUCE!$EB$55:$IY$55)</f>
        <v>0</v>
      </c>
      <c r="PW211" s="56"/>
      <c r="PX211" s="242">
        <f t="shared" si="1393"/>
        <v>0</v>
      </c>
      <c r="PY211" s="242">
        <f t="shared" si="1394"/>
        <v>13.960000000000036</v>
      </c>
      <c r="PZ211" s="56"/>
      <c r="QC211" s="55">
        <f t="shared" si="1395"/>
        <v>46202</v>
      </c>
      <c r="QD211" s="56"/>
      <c r="QE211" s="242">
        <f>SUMPRODUCT(PRODUCE!$B216:$DY216,PRODUCE!$EB$56:$IY$56)</f>
        <v>0</v>
      </c>
      <c r="QF211" s="56"/>
      <c r="QG211" s="242">
        <f t="shared" si="1396"/>
        <v>0</v>
      </c>
      <c r="QH211" s="242">
        <f t="shared" si="1397"/>
        <v>1736</v>
      </c>
      <c r="QI211" s="56"/>
      <c r="QL211" s="55">
        <f t="shared" si="1398"/>
        <v>46202</v>
      </c>
      <c r="QM211" s="56"/>
      <c r="QN211" s="242">
        <f>SUMPRODUCT(PRODUCE!$B216:$DY216,PRODUCE!$EB$57:$IY$57)</f>
        <v>0</v>
      </c>
      <c r="QO211" s="56"/>
      <c r="QP211" s="242">
        <f t="shared" si="1399"/>
        <v>0</v>
      </c>
      <c r="QQ211" s="242">
        <f t="shared" si="1400"/>
        <v>250</v>
      </c>
      <c r="QR211" s="56"/>
      <c r="QU211" s="55">
        <f t="shared" si="1401"/>
        <v>46202</v>
      </c>
      <c r="QV211" s="56"/>
      <c r="QW211" s="242">
        <f>SUMPRODUCT(PRODUCE!$B216:$DY216,PRODUCE!$EB$58:$IY$58)</f>
        <v>0</v>
      </c>
      <c r="QX211" s="56"/>
      <c r="QY211" s="242">
        <f t="shared" si="1402"/>
        <v>0</v>
      </c>
      <c r="QZ211" s="242">
        <f t="shared" si="1403"/>
        <v>207.6</v>
      </c>
      <c r="RA211" s="56"/>
      <c r="RD211" s="55">
        <f t="shared" si="1404"/>
        <v>46202</v>
      </c>
      <c r="RE211" s="56"/>
      <c r="RF211" s="242">
        <f>SUMPRODUCT(PRODUCE!$B216:$DY216,PRODUCE!$EB$59:$IY$59)</f>
        <v>0</v>
      </c>
      <c r="RG211" s="56"/>
      <c r="RH211" s="242">
        <f t="shared" si="1405"/>
        <v>0</v>
      </c>
      <c r="RI211" s="242">
        <f t="shared" si="1406"/>
        <v>147.04000000000002</v>
      </c>
      <c r="RJ211" s="56"/>
      <c r="RM211" s="55">
        <f t="shared" si="1407"/>
        <v>46202</v>
      </c>
      <c r="RN211" s="56"/>
      <c r="RO211" s="242">
        <f>SUMPRODUCT(PRODUCE!$B216:$DY216,PRODUCE!$EB$60:$IY$60)</f>
        <v>0</v>
      </c>
      <c r="RP211" s="56"/>
      <c r="RQ211" s="242">
        <f t="shared" si="1408"/>
        <v>0</v>
      </c>
      <c r="RR211" s="242">
        <f t="shared" si="1409"/>
        <v>46.8</v>
      </c>
      <c r="RS211" s="56"/>
      <c r="RV211" s="55">
        <f t="shared" si="1410"/>
        <v>46202</v>
      </c>
      <c r="RW211" s="56"/>
      <c r="RX211" s="242">
        <f>SUMPRODUCT(PRODUCE!$B216:$DY216,PRODUCE!$EB$61:$IY$61)</f>
        <v>0</v>
      </c>
      <c r="RY211" s="56"/>
      <c r="RZ211" s="242">
        <f t="shared" si="1411"/>
        <v>0</v>
      </c>
      <c r="SA211" s="242">
        <f t="shared" si="1412"/>
        <v>0</v>
      </c>
      <c r="SB211" s="56"/>
      <c r="SE211" s="55">
        <f t="shared" si="1413"/>
        <v>46202</v>
      </c>
      <c r="SF211" s="56"/>
      <c r="SG211" s="242">
        <f>SUMPRODUCT(PRODUCE!$B216:$DY216,PRODUCE!$EB$62:$IY$62)</f>
        <v>0</v>
      </c>
      <c r="SH211" s="56"/>
      <c r="SI211" s="242">
        <f t="shared" si="1414"/>
        <v>0</v>
      </c>
      <c r="SJ211" s="242">
        <f t="shared" si="1415"/>
        <v>24.200000000000003</v>
      </c>
      <c r="SK211" s="56"/>
      <c r="SN211" s="55">
        <f t="shared" si="1416"/>
        <v>46202</v>
      </c>
      <c r="SO211" s="56"/>
      <c r="SP211" s="242">
        <f>SUMPRODUCT(PRODUCE!$B216:$DY216,PRODUCE!$EB$63:$IY$63)</f>
        <v>0</v>
      </c>
      <c r="SQ211" s="56"/>
      <c r="SR211" s="242">
        <f t="shared" si="1417"/>
        <v>0</v>
      </c>
      <c r="SS211" s="242">
        <f t="shared" si="1418"/>
        <v>32</v>
      </c>
      <c r="ST211" s="56"/>
      <c r="SW211" s="55">
        <f t="shared" si="1419"/>
        <v>46202</v>
      </c>
      <c r="SX211" s="56"/>
      <c r="SY211" s="242">
        <f>SUMPRODUCT(PRODUCE!$B216:$DY216,PRODUCE!$EB$64:$IY$64)</f>
        <v>0</v>
      </c>
      <c r="SZ211" s="56"/>
      <c r="TA211" s="242">
        <f t="shared" si="1420"/>
        <v>0</v>
      </c>
      <c r="TB211" s="242">
        <f t="shared" si="1421"/>
        <v>0</v>
      </c>
      <c r="TC211" s="56"/>
      <c r="TF211" s="55">
        <f t="shared" si="1422"/>
        <v>46202</v>
      </c>
      <c r="TG211" s="56"/>
      <c r="TH211" s="242">
        <f>SUMPRODUCT(PRODUCE!$B216:$DY216,PRODUCE!$EB$65:$IY$65)</f>
        <v>0</v>
      </c>
      <c r="TI211" s="56"/>
      <c r="TJ211" s="242">
        <f t="shared" si="1423"/>
        <v>0</v>
      </c>
      <c r="TK211" s="242">
        <f t="shared" si="1424"/>
        <v>0</v>
      </c>
      <c r="TL211" s="56"/>
      <c r="TO211" s="55">
        <f t="shared" si="1425"/>
        <v>46202</v>
      </c>
      <c r="TP211" s="56"/>
      <c r="TQ211" s="242">
        <f>SUMPRODUCT(PRODUCE!$B216:$DY216,PRODUCE!$EB$66:$IY$66)</f>
        <v>0</v>
      </c>
      <c r="TR211" s="56"/>
      <c r="TS211" s="242">
        <f t="shared" si="1426"/>
        <v>0</v>
      </c>
      <c r="TT211" s="242">
        <f t="shared" si="1427"/>
        <v>22.400000000000006</v>
      </c>
      <c r="TU211" s="56"/>
      <c r="TX211" s="55">
        <f t="shared" si="1428"/>
        <v>46202</v>
      </c>
      <c r="TY211" s="56"/>
      <c r="TZ211" s="242">
        <f>SUMPRODUCT(PRODUCE!$B216:$DY216,PRODUCE!$EB$67:$IY$67)</f>
        <v>0</v>
      </c>
      <c r="UA211" s="56"/>
      <c r="UB211" s="242">
        <f t="shared" si="1429"/>
        <v>0</v>
      </c>
      <c r="UC211" s="242">
        <f t="shared" si="1430"/>
        <v>46.799999999999983</v>
      </c>
      <c r="UD211" s="56"/>
      <c r="UG211" s="55">
        <f t="shared" si="1431"/>
        <v>46202</v>
      </c>
      <c r="UH211" s="56"/>
      <c r="UI211" s="242">
        <f>SUMPRODUCT(PRODUCE!$B216:$DY216,PRODUCE!$EB$68:$IY$68)</f>
        <v>0</v>
      </c>
      <c r="UJ211" s="56"/>
      <c r="UK211" s="242">
        <f t="shared" si="1432"/>
        <v>0</v>
      </c>
      <c r="UL211" s="242">
        <f t="shared" si="1433"/>
        <v>204</v>
      </c>
      <c r="UM211" s="56"/>
      <c r="UP211" s="55">
        <f t="shared" si="1434"/>
        <v>46202</v>
      </c>
      <c r="UQ211" s="56"/>
      <c r="UR211" s="242">
        <f>SUMPRODUCT(PRODUCE!$B216:$DY216,PRODUCE!$EB$69:$IY$69)</f>
        <v>0</v>
      </c>
      <c r="US211" s="56"/>
      <c r="UT211" s="242">
        <f t="shared" si="1435"/>
        <v>0</v>
      </c>
      <c r="UU211" s="242">
        <f t="shared" si="1436"/>
        <v>251.25</v>
      </c>
      <c r="UV211" s="56"/>
      <c r="UY211" s="55">
        <f t="shared" si="1437"/>
        <v>46202</v>
      </c>
      <c r="UZ211" s="56"/>
      <c r="VA211" s="242">
        <f>SUMPRODUCT(PRODUCE!$B216:$DY216,PRODUCE!$EB$70:$IY$70)</f>
        <v>0</v>
      </c>
      <c r="VB211" s="56"/>
      <c r="VC211" s="242">
        <f t="shared" si="1438"/>
        <v>0</v>
      </c>
      <c r="VD211" s="242">
        <f t="shared" si="1439"/>
        <v>41.600000000000023</v>
      </c>
      <c r="VE211" s="56"/>
      <c r="VH211" s="55">
        <f t="shared" si="1440"/>
        <v>46202</v>
      </c>
      <c r="VI211" s="56"/>
      <c r="VJ211" s="242">
        <f>SUMPRODUCT(PRODUCE!$B216:$DY216,PRODUCE!$EB$71:$IY$71)</f>
        <v>0</v>
      </c>
      <c r="VK211" s="56"/>
      <c r="VL211" s="242">
        <f t="shared" si="1441"/>
        <v>0</v>
      </c>
      <c r="VM211" s="242">
        <f t="shared" si="1442"/>
        <v>210</v>
      </c>
      <c r="VN211" s="56"/>
      <c r="VQ211" s="55">
        <f t="shared" si="1443"/>
        <v>46202</v>
      </c>
      <c r="VR211" s="56"/>
      <c r="VS211" s="242">
        <f>SUMPRODUCT(PRODUCE!$B216:$DY216,PRODUCE!$EB$57:$IY$57)</f>
        <v>0</v>
      </c>
      <c r="VT211" s="56"/>
      <c r="VU211" s="242">
        <f t="shared" si="1444"/>
        <v>0</v>
      </c>
      <c r="VV211" s="242">
        <f t="shared" si="1445"/>
        <v>0</v>
      </c>
      <c r="VW211" s="56"/>
      <c r="VZ211" s="55">
        <f t="shared" si="1446"/>
        <v>46202</v>
      </c>
      <c r="WA211" s="56"/>
      <c r="WB211" s="242">
        <f>SUMPRODUCT(PRODUCE!$B216:$DY216,PRODUCE!$EB$57:$IY$57)</f>
        <v>0</v>
      </c>
      <c r="WC211" s="56"/>
      <c r="WD211" s="242">
        <f t="shared" si="1447"/>
        <v>0</v>
      </c>
      <c r="WE211" s="242">
        <f t="shared" si="1448"/>
        <v>0</v>
      </c>
      <c r="WF211" s="56"/>
      <c r="WI211" s="55">
        <f t="shared" si="1449"/>
        <v>46202</v>
      </c>
      <c r="WJ211" s="422"/>
      <c r="WK211" s="540">
        <f>SUMPRODUCT(PRODUCE!$B216:$DY216,PRODUCE!$EB$74:$IY$74)</f>
        <v>0</v>
      </c>
      <c r="WL211" s="422">
        <v>142</v>
      </c>
      <c r="WM211" s="540">
        <f t="shared" si="1450"/>
        <v>-142</v>
      </c>
      <c r="WN211" s="540">
        <f t="shared" si="1451"/>
        <v>1057</v>
      </c>
      <c r="WO211" s="56"/>
      <c r="WR211" s="55">
        <f t="shared" si="1452"/>
        <v>46202</v>
      </c>
      <c r="WS211" s="422"/>
      <c r="WT211" s="540">
        <f>SUMPRODUCT(PRODUCE!$B216:$DY216,PRODUCE!$EB$75:$IY$75)</f>
        <v>0</v>
      </c>
      <c r="WU211" s="422"/>
      <c r="WV211" s="540">
        <f t="shared" si="1453"/>
        <v>0</v>
      </c>
      <c r="WW211" s="540">
        <f t="shared" si="1454"/>
        <v>0</v>
      </c>
      <c r="WX211" s="56"/>
      <c r="XA211" s="55">
        <f t="shared" si="1455"/>
        <v>46202</v>
      </c>
      <c r="XB211" s="422">
        <v>694</v>
      </c>
      <c r="XC211" s="540">
        <f>SUMPRODUCT(PRODUCE!$B216:$DY216,PRODUCE!$EB$76:$IY$76)</f>
        <v>0</v>
      </c>
      <c r="XD211" s="422"/>
      <c r="XE211" s="540">
        <f t="shared" si="1456"/>
        <v>0</v>
      </c>
      <c r="XF211" s="540">
        <f t="shared" si="1457"/>
        <v>7507</v>
      </c>
      <c r="XG211" s="56"/>
      <c r="XJ211" s="55">
        <f t="shared" si="1458"/>
        <v>46202</v>
      </c>
      <c r="XK211" s="422">
        <v>417</v>
      </c>
      <c r="XL211" s="540">
        <f>SUMPRODUCT(PRODUCE!$B216:$DY216,PRODUCE!$EB$77:$IY$77)</f>
        <v>0</v>
      </c>
      <c r="XM211" s="422"/>
      <c r="XN211" s="540">
        <f t="shared" si="1459"/>
        <v>0</v>
      </c>
      <c r="XO211" s="540">
        <f t="shared" si="1460"/>
        <v>4252</v>
      </c>
      <c r="XP211" s="56"/>
      <c r="XS211" s="55">
        <f t="shared" si="1461"/>
        <v>46202</v>
      </c>
      <c r="XT211" s="56">
        <v>558</v>
      </c>
      <c r="XU211" s="242">
        <f>SUMPRODUCT(PRODUCE!$B216:$DY216,PRODUCE!$EB$78:$IY$78)</f>
        <v>0</v>
      </c>
      <c r="XV211" s="56"/>
      <c r="XW211" s="242">
        <f t="shared" si="1462"/>
        <v>0</v>
      </c>
      <c r="XX211" s="242">
        <f t="shared" si="1463"/>
        <v>2179</v>
      </c>
      <c r="XY211" s="56"/>
      <c r="YB211" s="55">
        <f t="shared" si="1464"/>
        <v>46202</v>
      </c>
      <c r="YC211" s="56">
        <v>121</v>
      </c>
      <c r="YD211" s="242">
        <f>SUMPRODUCT(PRODUCE!$B216:$DY216,PRODUCE!$EB$79:$IY$79)</f>
        <v>0</v>
      </c>
      <c r="YE211" s="56"/>
      <c r="YF211" s="242">
        <f t="shared" si="1465"/>
        <v>0</v>
      </c>
      <c r="YG211" s="242">
        <f t="shared" si="1466"/>
        <v>4019</v>
      </c>
      <c r="YH211" s="56"/>
      <c r="YK211" s="55">
        <f t="shared" si="1467"/>
        <v>46202</v>
      </c>
      <c r="YL211" s="56"/>
      <c r="YM211" s="242">
        <f>SUMPRODUCT(PRODUCE!$B216:$DY216,PRODUCE!$EB$80:$IY$80)</f>
        <v>0</v>
      </c>
      <c r="YN211" s="56"/>
      <c r="YO211" s="242">
        <f t="shared" si="1468"/>
        <v>0</v>
      </c>
      <c r="YP211" s="242">
        <f t="shared" si="1469"/>
        <v>0</v>
      </c>
      <c r="YQ211" s="56"/>
      <c r="YT211" s="55">
        <f t="shared" si="1470"/>
        <v>46202</v>
      </c>
      <c r="YU211" s="56"/>
      <c r="YV211" s="242">
        <f>SUMPRODUCT(PRODUCE!$B216:$DY216,PRODUCE!$EB$57:$IY$57)</f>
        <v>0</v>
      </c>
      <c r="YW211" s="56"/>
      <c r="YX211" s="242">
        <f t="shared" si="1471"/>
        <v>0</v>
      </c>
      <c r="YY211" s="242">
        <f t="shared" si="1472"/>
        <v>0</v>
      </c>
      <c r="YZ211" s="56"/>
      <c r="ZC211" s="55">
        <f t="shared" si="1473"/>
        <v>46202</v>
      </c>
      <c r="ZD211" s="56"/>
      <c r="ZE211" s="242">
        <f>SUMPRODUCT(PRODUCE!$B216:$DY216,PRODUCE!$EB$57:$IY$57)</f>
        <v>0</v>
      </c>
      <c r="ZF211" s="56"/>
      <c r="ZG211" s="242">
        <f t="shared" si="1474"/>
        <v>0</v>
      </c>
      <c r="ZH211" s="242">
        <f t="shared" si="1475"/>
        <v>0</v>
      </c>
      <c r="ZI211" s="56"/>
      <c r="ZL211" s="55">
        <f t="shared" si="1476"/>
        <v>46202</v>
      </c>
      <c r="ZM211" s="56"/>
      <c r="ZN211" s="242">
        <f>SUMPRODUCT(PRODUCE!$B216:$DY216,PRODUCE!$EB$57:$IY$57)</f>
        <v>0</v>
      </c>
      <c r="ZO211" s="56"/>
      <c r="ZP211" s="242">
        <f t="shared" si="1477"/>
        <v>0</v>
      </c>
      <c r="ZQ211" s="242">
        <f t="shared" si="1478"/>
        <v>0</v>
      </c>
      <c r="ZR211" s="56"/>
      <c r="ZU211" s="55">
        <f t="shared" si="1479"/>
        <v>46202</v>
      </c>
      <c r="ZV211" s="56"/>
      <c r="ZW211" s="242">
        <f>SUMPRODUCT(PRODUCE!$B216:$DY216,PRODUCE!$EB$57:$IY$57)</f>
        <v>0</v>
      </c>
      <c r="ZX211" s="56"/>
      <c r="ZY211" s="242">
        <f t="shared" si="1480"/>
        <v>0</v>
      </c>
      <c r="ZZ211" s="242">
        <f t="shared" si="1481"/>
        <v>0</v>
      </c>
      <c r="AAA211" s="56"/>
      <c r="AAD211" s="55">
        <f t="shared" si="1482"/>
        <v>46202</v>
      </c>
      <c r="AAE211" s="56"/>
      <c r="AAF211" s="242">
        <f>SUMPRODUCT(PRODUCE!$B216:$DY216,PRODUCE!$EB$57:$IY$57)</f>
        <v>0</v>
      </c>
      <c r="AAG211" s="56"/>
      <c r="AAH211" s="242">
        <f t="shared" si="1483"/>
        <v>0</v>
      </c>
      <c r="AAI211" s="242">
        <f t="shared" si="1484"/>
        <v>0</v>
      </c>
      <c r="AAJ211" s="56"/>
      <c r="AAM211" s="55">
        <f t="shared" si="1485"/>
        <v>46202</v>
      </c>
      <c r="AAN211" s="56"/>
      <c r="AAO211" s="242">
        <f>SUMPRODUCT(PRODUCE!$B216:$DY216,PRODUCE!$EB$57:$IY$57)</f>
        <v>0</v>
      </c>
      <c r="AAP211" s="56"/>
      <c r="AAQ211" s="242">
        <f t="shared" si="1486"/>
        <v>0</v>
      </c>
      <c r="AAR211" s="242">
        <f t="shared" si="1487"/>
        <v>0</v>
      </c>
      <c r="AAS211" s="56"/>
      <c r="AAV211" s="55">
        <f t="shared" si="1488"/>
        <v>46202</v>
      </c>
      <c r="AAW211" s="56"/>
      <c r="AAX211" s="242">
        <f>SUMPRODUCT(PRODUCE!$B216:$DY216,PRODUCE!$EB$57:$IY$57)</f>
        <v>0</v>
      </c>
      <c r="AAY211" s="56"/>
      <c r="AAZ211" s="242">
        <f t="shared" si="1489"/>
        <v>0</v>
      </c>
      <c r="ABA211" s="242">
        <f t="shared" si="1490"/>
        <v>0</v>
      </c>
      <c r="ABB211" s="56"/>
      <c r="ABE211" s="55">
        <f t="shared" si="1491"/>
        <v>46202</v>
      </c>
      <c r="ABF211" s="56"/>
      <c r="ABG211" s="242">
        <f>SUMPRODUCT(PRODUCE!$B216:$DY216,PRODUCE!$EB$57:$IY$57)</f>
        <v>0</v>
      </c>
      <c r="ABH211" s="56"/>
      <c r="ABI211" s="242">
        <f t="shared" si="1492"/>
        <v>0</v>
      </c>
      <c r="ABJ211" s="242">
        <f t="shared" si="1493"/>
        <v>0</v>
      </c>
      <c r="ABK211" s="56"/>
    </row>
    <row r="212" spans="1:739" s="54" customFormat="1" ht="15" customHeight="1" outlineLevel="1" thickBot="1">
      <c r="B212" s="478">
        <v>60</v>
      </c>
      <c r="C212" s="55">
        <v>46203</v>
      </c>
      <c r="D212" s="422"/>
      <c r="E212" s="423">
        <f>SUMPRODUCT(PRODUCE!$B217:$DY217,PRODUCE!$EB$7:$IY$7)</f>
        <v>36402</v>
      </c>
      <c r="F212" s="422">
        <v>36396.199999999997</v>
      </c>
      <c r="G212" s="423">
        <f t="shared" si="1249"/>
        <v>5.8000000000029104</v>
      </c>
      <c r="H212" s="423">
        <f t="shared" si="1250"/>
        <v>103607.80000000006</v>
      </c>
      <c r="I212" s="289" t="s">
        <v>295</v>
      </c>
      <c r="L212" s="55">
        <f t="shared" si="1251"/>
        <v>46203</v>
      </c>
      <c r="M212" s="422"/>
      <c r="N212" s="438">
        <f>SUMPRODUCT(PRODUCE!$B217:$DY217,PRODUCE!$EB$8:$IY$8)</f>
        <v>12936</v>
      </c>
      <c r="O212" s="422">
        <v>12939.2</v>
      </c>
      <c r="P212" s="438">
        <f t="shared" si="1252"/>
        <v>-3.2000000000007276</v>
      </c>
      <c r="Q212" s="438">
        <f t="shared" si="1253"/>
        <v>51499.20000000007</v>
      </c>
      <c r="R212" s="56"/>
      <c r="U212" s="55">
        <f t="shared" si="1254"/>
        <v>46203</v>
      </c>
      <c r="V212" s="422"/>
      <c r="W212" s="440">
        <f>SUMPRODUCT(PRODUCE!$B217:$DY217,PRODUCE!$EB$9:$IY$9)</f>
        <v>4200</v>
      </c>
      <c r="X212" s="422">
        <v>4201.5</v>
      </c>
      <c r="Y212" s="440">
        <f t="shared" si="1255"/>
        <v>-1.5</v>
      </c>
      <c r="Z212" s="440">
        <f t="shared" si="1256"/>
        <v>32731.999999999971</v>
      </c>
      <c r="AA212" s="56"/>
      <c r="AD212" s="55">
        <f t="shared" si="1257"/>
        <v>46203</v>
      </c>
      <c r="AE212" s="422"/>
      <c r="AF212" s="442">
        <f>SUMPRODUCT(PRODUCE!$B217:$DY217,PRODUCE!$EB$10:$IY$10)</f>
        <v>0</v>
      </c>
      <c r="AG212" s="422"/>
      <c r="AH212" s="442">
        <f t="shared" si="1258"/>
        <v>0</v>
      </c>
      <c r="AI212" s="442">
        <f t="shared" si="1259"/>
        <v>33372.700000000019</v>
      </c>
      <c r="AJ212" s="56"/>
      <c r="AM212" s="55">
        <f t="shared" si="1260"/>
        <v>46203</v>
      </c>
      <c r="AN212" s="422"/>
      <c r="AO212" s="444">
        <f>SUMPRODUCT(PRODUCE!$B217:$DY217,PRODUCE!$EB$11:$IY$11)</f>
        <v>0</v>
      </c>
      <c r="AP212" s="422"/>
      <c r="AQ212" s="444">
        <f t="shared" si="1261"/>
        <v>0</v>
      </c>
      <c r="AR212" s="444">
        <f t="shared" si="1262"/>
        <v>0</v>
      </c>
      <c r="AS212" s="56"/>
      <c r="AV212" s="55">
        <f t="shared" si="1263"/>
        <v>46203</v>
      </c>
      <c r="AW212" s="422"/>
      <c r="AX212" s="446">
        <f>SUMPRODUCT(PRODUCE!$B217:$DY217,PRODUCE!$EB$12:$IY$12)</f>
        <v>0</v>
      </c>
      <c r="AY212" s="422"/>
      <c r="AZ212" s="446">
        <f t="shared" si="1264"/>
        <v>0</v>
      </c>
      <c r="BA212" s="446">
        <f t="shared" si="1265"/>
        <v>13946.199999999997</v>
      </c>
      <c r="BB212" s="56"/>
      <c r="BE212" s="55">
        <f t="shared" si="1266"/>
        <v>46203</v>
      </c>
      <c r="BF212" s="422"/>
      <c r="BG212" s="448">
        <f>SUMPRODUCT(PRODUCE!$B217:$DY217,PRODUCE!$EB$13:$IY$13)</f>
        <v>600</v>
      </c>
      <c r="BH212" s="422">
        <v>599.5</v>
      </c>
      <c r="BI212" s="448">
        <f t="shared" si="1267"/>
        <v>0.5</v>
      </c>
      <c r="BJ212" s="448">
        <f t="shared" si="1268"/>
        <v>36947.699999999997</v>
      </c>
      <c r="BK212" s="56"/>
      <c r="BN212" s="55">
        <f t="shared" si="1269"/>
        <v>46203</v>
      </c>
      <c r="BO212" s="422">
        <v>600</v>
      </c>
      <c r="BP212" s="450">
        <f>SUMPRODUCT(PRODUCE!$B217:$DY217,PRODUCE!$EB$14:$IY$14)</f>
        <v>300</v>
      </c>
      <c r="BQ212" s="422">
        <v>600</v>
      </c>
      <c r="BR212" s="450">
        <f t="shared" si="1270"/>
        <v>-300</v>
      </c>
      <c r="BS212" s="450">
        <f t="shared" si="1271"/>
        <v>0</v>
      </c>
      <c r="BT212" s="56"/>
      <c r="BW212" s="55">
        <f t="shared" si="1272"/>
        <v>46203</v>
      </c>
      <c r="BX212" s="422"/>
      <c r="BY212" s="523">
        <f>SUMPRODUCT(PRODUCE!$B217:$DY217,PRODUCE!$EB$15:$IY$15)</f>
        <v>258.29999999999995</v>
      </c>
      <c r="BZ212" s="422"/>
      <c r="CA212" s="523">
        <f t="shared" si="1273"/>
        <v>258.29999999999995</v>
      </c>
      <c r="CB212" s="523">
        <f t="shared" si="1274"/>
        <v>2388.7799999999988</v>
      </c>
      <c r="CC212" s="56"/>
      <c r="CF212" s="55">
        <f t="shared" si="1275"/>
        <v>46203</v>
      </c>
      <c r="CG212" s="422"/>
      <c r="CH212" s="524">
        <f>SUMPRODUCT(PRODUCE!$B217:$DY217,PRODUCE!$EB$16:$IY$16)</f>
        <v>0</v>
      </c>
      <c r="CI212" s="422"/>
      <c r="CJ212" s="524">
        <f t="shared" si="1276"/>
        <v>0</v>
      </c>
      <c r="CK212" s="524">
        <f t="shared" si="1277"/>
        <v>0</v>
      </c>
      <c r="CL212" s="56"/>
      <c r="CO212" s="55">
        <f t="shared" si="1278"/>
        <v>46203</v>
      </c>
      <c r="CP212" s="422"/>
      <c r="CQ212" s="470">
        <f>SUMPRODUCT(PRODUCE!$B217:$DY217,PRODUCE!$EB$17:$IY$17)</f>
        <v>0</v>
      </c>
      <c r="CR212" s="422"/>
      <c r="CS212" s="470">
        <f t="shared" si="1279"/>
        <v>0</v>
      </c>
      <c r="CT212" s="470">
        <f t="shared" si="1280"/>
        <v>0</v>
      </c>
      <c r="CU212" s="56"/>
      <c r="CX212" s="55">
        <f t="shared" si="1281"/>
        <v>46203</v>
      </c>
      <c r="CY212" s="422"/>
      <c r="CZ212" s="525">
        <f>SUMPRODUCT(PRODUCE!$B217:$DY217,PRODUCE!$EB$18:$IY$18)</f>
        <v>1200</v>
      </c>
      <c r="DA212" s="422">
        <v>1201.4000000000001</v>
      </c>
      <c r="DB212" s="525">
        <f t="shared" si="1282"/>
        <v>-1.4000000000000909</v>
      </c>
      <c r="DC212" s="525">
        <f t="shared" si="1283"/>
        <v>8489.9000000000069</v>
      </c>
      <c r="DD212" s="56"/>
      <c r="DG212" s="55">
        <f t="shared" si="1284"/>
        <v>46203</v>
      </c>
      <c r="DH212" s="422"/>
      <c r="DI212" s="526">
        <f>SUMPRODUCT(PRODUCE!$B217:$DY217,PRODUCE!$EB$19:$IY$19)</f>
        <v>0</v>
      </c>
      <c r="DJ212" s="422"/>
      <c r="DK212" s="526">
        <f t="shared" si="1285"/>
        <v>0</v>
      </c>
      <c r="DL212" s="526">
        <f t="shared" si="1286"/>
        <v>34934.499999999985</v>
      </c>
      <c r="DM212" s="56"/>
      <c r="DP212" s="55">
        <f t="shared" si="1287"/>
        <v>46203</v>
      </c>
      <c r="DQ212" s="56"/>
      <c r="DR212" s="57">
        <f>SUMPRODUCT(PRODUCE!$B217:$DY217,PRODUCE!$EB$20:$IY$20)</f>
        <v>0</v>
      </c>
      <c r="DS212" s="56"/>
      <c r="DT212" s="57">
        <f t="shared" si="1288"/>
        <v>0</v>
      </c>
      <c r="DU212" s="57">
        <f t="shared" si="1289"/>
        <v>5800</v>
      </c>
      <c r="DV212" s="56"/>
      <c r="DY212" s="55">
        <f t="shared" si="1290"/>
        <v>46203</v>
      </c>
      <c r="DZ212" s="56"/>
      <c r="EA212" s="157">
        <f>SUMPRODUCT(PRODUCE!$B217:$DY217,PRODUCE!$EB$21:$IY$21)</f>
        <v>0</v>
      </c>
      <c r="EB212" s="56"/>
      <c r="EC212" s="157">
        <f t="shared" si="1291"/>
        <v>0</v>
      </c>
      <c r="ED212" s="157">
        <f t="shared" si="1292"/>
        <v>0</v>
      </c>
      <c r="EE212" s="56"/>
      <c r="EH212" s="55">
        <f t="shared" si="1293"/>
        <v>46203</v>
      </c>
      <c r="EI212" s="56"/>
      <c r="EJ212" s="162">
        <f>SUMPRODUCT(PRODUCE!$B217:$DY217,PRODUCE!$EB$22:$IY$22)</f>
        <v>0</v>
      </c>
      <c r="EK212" s="56"/>
      <c r="EL212" s="162">
        <f t="shared" si="1294"/>
        <v>0</v>
      </c>
      <c r="EM212" s="162">
        <f t="shared" si="1295"/>
        <v>0</v>
      </c>
      <c r="EN212" s="56"/>
      <c r="EQ212" s="55">
        <f t="shared" si="1296"/>
        <v>46203</v>
      </c>
      <c r="ER212" s="56"/>
      <c r="ES212" s="135">
        <f>SUMPRODUCT(PRODUCE!$B217:$DY217,PRODUCE!$EB$23:$IY$23)</f>
        <v>0</v>
      </c>
      <c r="ET212" s="56"/>
      <c r="EU212" s="135">
        <f t="shared" si="1297"/>
        <v>0</v>
      </c>
      <c r="EV212" s="135">
        <f t="shared" si="1298"/>
        <v>0</v>
      </c>
      <c r="EW212" s="56"/>
      <c r="EZ212" s="55">
        <f t="shared" si="1299"/>
        <v>46203</v>
      </c>
      <c r="FA212" s="56"/>
      <c r="FB212" s="175">
        <f>SUMPRODUCT(PRODUCE!$B217:$DY217,PRODUCE!$EB$24:$IY$24)</f>
        <v>0</v>
      </c>
      <c r="FC212" s="56"/>
      <c r="FD212" s="175">
        <f t="shared" si="1300"/>
        <v>0</v>
      </c>
      <c r="FE212" s="175">
        <f t="shared" si="1301"/>
        <v>0</v>
      </c>
      <c r="FF212" s="56"/>
      <c r="FI212" s="55">
        <f t="shared" si="1302"/>
        <v>46203</v>
      </c>
      <c r="FJ212" s="56"/>
      <c r="FK212" s="183">
        <f>SUMPRODUCT(PRODUCE!$B217:$DY217,PRODUCE!$EB$25:$IY$25)</f>
        <v>0</v>
      </c>
      <c r="FL212" s="56"/>
      <c r="FM212" s="183">
        <f t="shared" si="1303"/>
        <v>0</v>
      </c>
      <c r="FN212" s="183">
        <f t="shared" si="1304"/>
        <v>0</v>
      </c>
      <c r="FO212" s="56"/>
      <c r="FR212" s="55">
        <f t="shared" si="1305"/>
        <v>46203</v>
      </c>
      <c r="FS212" s="56"/>
      <c r="FT212" s="186">
        <f>SUMPRODUCT(PRODUCE!$B217:$DY217,PRODUCE!$EB$26:$IY$26)</f>
        <v>0</v>
      </c>
      <c r="FU212" s="56"/>
      <c r="FV212" s="186">
        <f t="shared" si="1306"/>
        <v>0</v>
      </c>
      <c r="FW212" s="186">
        <f t="shared" si="1307"/>
        <v>1160</v>
      </c>
      <c r="FX212" s="56"/>
      <c r="GA212" s="55">
        <f t="shared" si="1308"/>
        <v>46203</v>
      </c>
      <c r="GB212" s="56"/>
      <c r="GC212" s="137">
        <f>SUMPRODUCT(PRODUCE!$B217:$DY217,PRODUCE!$EB$27:$IY$27)</f>
        <v>0</v>
      </c>
      <c r="GD212" s="56"/>
      <c r="GE212" s="137">
        <f t="shared" si="1309"/>
        <v>0</v>
      </c>
      <c r="GF212" s="137">
        <f t="shared" si="1310"/>
        <v>960</v>
      </c>
      <c r="GG212" s="56"/>
      <c r="GI212" s="23"/>
      <c r="GJ212" s="55">
        <f t="shared" si="1311"/>
        <v>46203</v>
      </c>
      <c r="GK212" s="56"/>
      <c r="GL212" s="199">
        <f>SUMPRODUCT(PRODUCE!$B217:$DY217,PRODUCE!$EB$28:$IY$28)</f>
        <v>0</v>
      </c>
      <c r="GM212" s="56"/>
      <c r="GN212" s="199">
        <f t="shared" si="1312"/>
        <v>0</v>
      </c>
      <c r="GO212" s="199">
        <f t="shared" si="1313"/>
        <v>1760</v>
      </c>
      <c r="GP212" s="56"/>
      <c r="GS212" s="55">
        <f t="shared" si="1314"/>
        <v>46203</v>
      </c>
      <c r="GT212" s="56"/>
      <c r="GU212" s="195">
        <f>SUMPRODUCT(PRODUCE!$B217:$DY217,PRODUCE!$EB$29:$IY$29)</f>
        <v>0</v>
      </c>
      <c r="GV212" s="56"/>
      <c r="GW212" s="195">
        <f t="shared" si="1315"/>
        <v>0</v>
      </c>
      <c r="GX212" s="195">
        <f t="shared" si="1316"/>
        <v>400</v>
      </c>
      <c r="GY212" s="56"/>
      <c r="HB212" s="55">
        <f t="shared" si="1317"/>
        <v>46203</v>
      </c>
      <c r="HC212" s="56"/>
      <c r="HD212" s="191">
        <f>SUMPRODUCT(PRODUCE!$B217:$DY217,PRODUCE!$EB$30:$IY$30)</f>
        <v>0</v>
      </c>
      <c r="HE212" s="56"/>
      <c r="HF212" s="191">
        <f t="shared" si="1318"/>
        <v>0</v>
      </c>
      <c r="HG212" s="191">
        <f t="shared" si="1319"/>
        <v>3600</v>
      </c>
      <c r="HH212" s="56"/>
      <c r="HK212" s="55">
        <f t="shared" si="1320"/>
        <v>46203</v>
      </c>
      <c r="HL212" s="56"/>
      <c r="HM212" s="63">
        <f>SUMPRODUCT(PRODUCE!$B217:$DY217,PRODUCE!$EB$31:$IY$31)</f>
        <v>0</v>
      </c>
      <c r="HN212" s="56"/>
      <c r="HO212" s="63">
        <f t="shared" si="1321"/>
        <v>0</v>
      </c>
      <c r="HP212" s="63">
        <f t="shared" si="1322"/>
        <v>0</v>
      </c>
      <c r="HQ212" s="56"/>
      <c r="HU212" s="55">
        <f t="shared" si="1323"/>
        <v>46203</v>
      </c>
      <c r="HV212" s="56"/>
      <c r="HW212" s="242">
        <f>SUMPRODUCT(PRODUCE!$B217:$DY217,PRODUCE!$EB$32:$IY$32)</f>
        <v>0</v>
      </c>
      <c r="HX212" s="56"/>
      <c r="HY212" s="242">
        <f t="shared" si="1324"/>
        <v>0</v>
      </c>
      <c r="HZ212" s="242">
        <f t="shared" si="1325"/>
        <v>6680</v>
      </c>
      <c r="IA212" s="56"/>
      <c r="ID212" s="55">
        <f t="shared" si="1326"/>
        <v>46203</v>
      </c>
      <c r="IE212" s="56"/>
      <c r="IF212" s="242">
        <f>SUMPRODUCT(PRODUCE!$B217:$DY217,PRODUCE!$EB$33:$IY$33)</f>
        <v>0</v>
      </c>
      <c r="IG212" s="56"/>
      <c r="IH212" s="242">
        <f t="shared" si="1327"/>
        <v>0</v>
      </c>
      <c r="II212" s="242">
        <f t="shared" si="1328"/>
        <v>720</v>
      </c>
      <c r="IJ212" s="56"/>
      <c r="IM212" s="55">
        <f t="shared" si="1329"/>
        <v>46203</v>
      </c>
      <c r="IN212" s="56"/>
      <c r="IO212" s="242">
        <f>SUMPRODUCT(PRODUCE!$B217:$DY217,PRODUCE!$EB$34:$IY$34)</f>
        <v>0</v>
      </c>
      <c r="IP212" s="56"/>
      <c r="IQ212" s="242">
        <f t="shared" si="1330"/>
        <v>0</v>
      </c>
      <c r="IR212" s="242">
        <f t="shared" si="1331"/>
        <v>6520</v>
      </c>
      <c r="IS212" s="56"/>
      <c r="IV212" s="55">
        <f t="shared" si="1332"/>
        <v>46203</v>
      </c>
      <c r="IW212" s="56"/>
      <c r="IX212" s="242">
        <f>SUMPRODUCT(PRODUCE!$B217:$DY217,PRODUCE!$EB$35:$IY$35)</f>
        <v>0</v>
      </c>
      <c r="IY212" s="56"/>
      <c r="IZ212" s="242">
        <f t="shared" si="1333"/>
        <v>0</v>
      </c>
      <c r="JA212" s="242">
        <f t="shared" si="1334"/>
        <v>4960</v>
      </c>
      <c r="JB212" s="56"/>
      <c r="JE212" s="55">
        <f t="shared" si="1335"/>
        <v>46203</v>
      </c>
      <c r="JF212" s="56"/>
      <c r="JG212" s="242">
        <f>SUMPRODUCT(PRODUCE!$B217:$DY217,PRODUCE!$EB$36:$IY$36)</f>
        <v>0</v>
      </c>
      <c r="JH212" s="56"/>
      <c r="JI212" s="242">
        <f t="shared" si="1336"/>
        <v>0</v>
      </c>
      <c r="JJ212" s="242">
        <f t="shared" si="1337"/>
        <v>0</v>
      </c>
      <c r="JK212" s="56"/>
      <c r="JN212" s="55">
        <f t="shared" si="1338"/>
        <v>46203</v>
      </c>
      <c r="JO212" s="56"/>
      <c r="JP212" s="242">
        <f>SUMPRODUCT(PRODUCE!$B217:$DY217,PRODUCE!$EB$37:$IY$37)</f>
        <v>0</v>
      </c>
      <c r="JQ212" s="56"/>
      <c r="JR212" s="242">
        <f t="shared" si="1339"/>
        <v>0</v>
      </c>
      <c r="JS212" s="242">
        <f t="shared" si="1340"/>
        <v>0</v>
      </c>
      <c r="JT212" s="56"/>
      <c r="JW212" s="55">
        <f t="shared" si="1341"/>
        <v>46203</v>
      </c>
      <c r="JX212" s="56"/>
      <c r="JY212" s="242">
        <f>SUMPRODUCT(PRODUCE!$B217:$DY217,PRODUCE!$EB$38:$IY$38)</f>
        <v>0</v>
      </c>
      <c r="JZ212" s="56"/>
      <c r="KA212" s="242">
        <f t="shared" si="1342"/>
        <v>0</v>
      </c>
      <c r="KB212" s="242">
        <f t="shared" si="1343"/>
        <v>2540</v>
      </c>
      <c r="KC212" s="56"/>
      <c r="KF212" s="55">
        <f t="shared" si="1344"/>
        <v>46203</v>
      </c>
      <c r="KG212" s="56"/>
      <c r="KH212" s="242">
        <f>SUMPRODUCT(PRODUCE!$B217:$DY217,PRODUCE!$EB$39:$IY$39)</f>
        <v>0</v>
      </c>
      <c r="KI212" s="56"/>
      <c r="KJ212" s="242">
        <f t="shared" si="1345"/>
        <v>0</v>
      </c>
      <c r="KK212" s="242">
        <f t="shared" si="1346"/>
        <v>2359.5</v>
      </c>
      <c r="KL212" s="56"/>
      <c r="KO212" s="55">
        <f t="shared" si="1347"/>
        <v>46203</v>
      </c>
      <c r="KP212" s="56"/>
      <c r="KQ212" s="242">
        <f>SUMPRODUCT(PRODUCE!$B217:$DY217,PRODUCE!$EB$40:$IY$40)</f>
        <v>0</v>
      </c>
      <c r="KR212" s="56"/>
      <c r="KS212" s="242">
        <f t="shared" si="1348"/>
        <v>0</v>
      </c>
      <c r="KT212" s="242">
        <f t="shared" si="1349"/>
        <v>1890</v>
      </c>
      <c r="KU212" s="56"/>
      <c r="KW212" s="23"/>
      <c r="KX212" s="55">
        <f t="shared" si="1350"/>
        <v>46203</v>
      </c>
      <c r="KY212" s="56"/>
      <c r="KZ212" s="242">
        <f>SUMPRODUCT(PRODUCE!$B217:$DY217,PRODUCE!$EB$41:$IY$41)</f>
        <v>0</v>
      </c>
      <c r="LA212" s="56"/>
      <c r="LB212" s="242">
        <f t="shared" si="1351"/>
        <v>0</v>
      </c>
      <c r="LC212" s="242">
        <f t="shared" si="1352"/>
        <v>3690</v>
      </c>
      <c r="LD212" s="56"/>
      <c r="LG212" s="55">
        <f t="shared" si="1353"/>
        <v>46203</v>
      </c>
      <c r="LH212" s="56"/>
      <c r="LI212" s="242">
        <f>SUMPRODUCT(PRODUCE!$B217:$DY217,PRODUCE!$EB$42:$IY$42)</f>
        <v>0</v>
      </c>
      <c r="LJ212" s="56"/>
      <c r="LK212" s="242">
        <f t="shared" si="1354"/>
        <v>0</v>
      </c>
      <c r="LL212" s="242">
        <f t="shared" si="1355"/>
        <v>4000</v>
      </c>
      <c r="LM212" s="56"/>
      <c r="LP212" s="55">
        <f t="shared" si="1356"/>
        <v>46203</v>
      </c>
      <c r="LQ212" s="56"/>
      <c r="LR212" s="242">
        <f>SUMPRODUCT(PRODUCE!$B217:$DY217,PRODUCE!$EB$43:$IY$43)</f>
        <v>0</v>
      </c>
      <c r="LS212" s="56"/>
      <c r="LT212" s="242">
        <f t="shared" si="1357"/>
        <v>0</v>
      </c>
      <c r="LU212" s="242">
        <f t="shared" si="1358"/>
        <v>0</v>
      </c>
      <c r="LV212" s="56"/>
      <c r="LY212" s="55">
        <f t="shared" si="1359"/>
        <v>46203</v>
      </c>
      <c r="LZ212" s="56"/>
      <c r="MA212" s="242">
        <f>SUMPRODUCT(PRODUCE!$B217:$DY217,PRODUCE!$EB$44:$IY$44)</f>
        <v>0</v>
      </c>
      <c r="MB212" s="56"/>
      <c r="MC212" s="242">
        <f t="shared" si="1360"/>
        <v>0</v>
      </c>
      <c r="MD212" s="242">
        <f t="shared" si="1361"/>
        <v>0</v>
      </c>
      <c r="ME212" s="56"/>
      <c r="MH212" s="55">
        <f t="shared" si="1362"/>
        <v>46203</v>
      </c>
      <c r="MI212" s="56"/>
      <c r="MJ212" s="242">
        <f>SUMPRODUCT(PRODUCE!$B217:$DY217,PRODUCE!$EB$45:$IY$45)</f>
        <v>0</v>
      </c>
      <c r="MK212" s="56"/>
      <c r="ML212" s="242">
        <f t="shared" si="1363"/>
        <v>0</v>
      </c>
      <c r="MM212" s="242">
        <f t="shared" si="1364"/>
        <v>0</v>
      </c>
      <c r="MN212" s="56"/>
      <c r="MQ212" s="55">
        <f t="shared" si="1365"/>
        <v>46203</v>
      </c>
      <c r="MR212" s="56"/>
      <c r="MS212" s="242">
        <f>SUMPRODUCT(PRODUCE!$B217:$DY217,PRODUCE!$EB$46:$IY$46)</f>
        <v>0</v>
      </c>
      <c r="MT212" s="56"/>
      <c r="MU212" s="242">
        <f t="shared" si="1366"/>
        <v>0</v>
      </c>
      <c r="MV212" s="242">
        <f t="shared" si="1367"/>
        <v>3595</v>
      </c>
      <c r="MW212" s="56"/>
      <c r="MZ212" s="55">
        <f t="shared" si="1368"/>
        <v>46203</v>
      </c>
      <c r="NA212" s="56"/>
      <c r="NB212" s="242">
        <f>SUMPRODUCT(PRODUCE!$B217:$DY217,PRODUCE!$EB$47:$IY$47)</f>
        <v>0</v>
      </c>
      <c r="NC212" s="56"/>
      <c r="ND212" s="242">
        <f t="shared" si="1369"/>
        <v>0</v>
      </c>
      <c r="NE212" s="242">
        <f t="shared" si="1370"/>
        <v>0</v>
      </c>
      <c r="NF212" s="56"/>
      <c r="NI212" s="55">
        <f t="shared" si="1371"/>
        <v>46203</v>
      </c>
      <c r="NJ212" s="56"/>
      <c r="NK212" s="242">
        <f>SUMPRODUCT(PRODUCE!$B217:$DY217,PRODUCE!$EB$48:$IY$48)</f>
        <v>0</v>
      </c>
      <c r="NL212" s="56"/>
      <c r="NM212" s="242">
        <f t="shared" si="1372"/>
        <v>0</v>
      </c>
      <c r="NN212" s="242">
        <f t="shared" si="1373"/>
        <v>1127</v>
      </c>
      <c r="NO212" s="56"/>
      <c r="NR212" s="55">
        <f t="shared" si="1374"/>
        <v>46203</v>
      </c>
      <c r="NS212" s="56"/>
      <c r="NT212" s="242">
        <f>SUMPRODUCT(PRODUCE!$B217:$DY217,PRODUCE!$EB$49:$IY$49)</f>
        <v>0</v>
      </c>
      <c r="NU212" s="56"/>
      <c r="NV212" s="242">
        <f t="shared" si="1375"/>
        <v>0</v>
      </c>
      <c r="NW212" s="242">
        <f t="shared" si="1376"/>
        <v>3111.9999999999995</v>
      </c>
      <c r="NX212" s="56"/>
      <c r="OA212" s="55">
        <f t="shared" si="1377"/>
        <v>46203</v>
      </c>
      <c r="OB212" s="56"/>
      <c r="OC212" s="242">
        <f>SUMPRODUCT(PRODUCE!$B217:$DY217,PRODUCE!$EB$50:$IY$50)</f>
        <v>0</v>
      </c>
      <c r="OD212" s="56"/>
      <c r="OE212" s="242">
        <f t="shared" si="1378"/>
        <v>0</v>
      </c>
      <c r="OF212" s="242">
        <f t="shared" si="1379"/>
        <v>1680.5</v>
      </c>
      <c r="OG212" s="56"/>
      <c r="OJ212" s="55">
        <f t="shared" si="1380"/>
        <v>46203</v>
      </c>
      <c r="OK212" s="56"/>
      <c r="OL212" s="242">
        <f>SUMPRODUCT(PRODUCE!$B217:$DY217,PRODUCE!$EB$51:$IY$51)</f>
        <v>0</v>
      </c>
      <c r="OM212" s="56"/>
      <c r="ON212" s="242">
        <f t="shared" si="1381"/>
        <v>0</v>
      </c>
      <c r="OO212" s="242">
        <f t="shared" si="1382"/>
        <v>0</v>
      </c>
      <c r="OP212" s="56"/>
      <c r="OS212" s="55">
        <f t="shared" si="1383"/>
        <v>46203</v>
      </c>
      <c r="OT212" s="56"/>
      <c r="OU212" s="242">
        <f>SUMPRODUCT(PRODUCE!$B217:$DY217,PRODUCE!$EB$52:$IY$52)</f>
        <v>0</v>
      </c>
      <c r="OV212" s="56"/>
      <c r="OW212" s="242">
        <f t="shared" si="1384"/>
        <v>0</v>
      </c>
      <c r="OX212" s="242">
        <f t="shared" si="1385"/>
        <v>1482</v>
      </c>
      <c r="OY212" s="56"/>
      <c r="PB212" s="55">
        <f t="shared" si="1386"/>
        <v>46203</v>
      </c>
      <c r="PC212" s="56"/>
      <c r="PD212" s="242">
        <f>SUMPRODUCT(PRODUCE!$B217:$DY217,PRODUCE!$EB$53:$IY$53)</f>
        <v>0</v>
      </c>
      <c r="PE212" s="56"/>
      <c r="PF212" s="242">
        <f t="shared" si="1387"/>
        <v>0</v>
      </c>
      <c r="PG212" s="242">
        <f t="shared" si="1388"/>
        <v>0</v>
      </c>
      <c r="PH212" s="56"/>
      <c r="PK212" s="55">
        <f t="shared" si="1389"/>
        <v>46203</v>
      </c>
      <c r="PL212" s="56"/>
      <c r="PM212" s="242">
        <f>SUMPRODUCT(PRODUCE!$B217:$DY217,PRODUCE!$EB$54:$IY$54)</f>
        <v>0</v>
      </c>
      <c r="PN212" s="56"/>
      <c r="PO212" s="242">
        <f t="shared" si="1494"/>
        <v>0</v>
      </c>
      <c r="PP212" s="242">
        <f t="shared" si="1495"/>
        <v>100</v>
      </c>
      <c r="PQ212" s="56"/>
      <c r="PT212" s="55">
        <f t="shared" si="1392"/>
        <v>46203</v>
      </c>
      <c r="PU212" s="56"/>
      <c r="PV212" s="242">
        <f>SUMPRODUCT(PRODUCE!$B217:$DY217,PRODUCE!$EB$55:$IY$55)</f>
        <v>0</v>
      </c>
      <c r="PW212" s="56"/>
      <c r="PX212" s="242">
        <f t="shared" si="1393"/>
        <v>0</v>
      </c>
      <c r="PY212" s="242">
        <f t="shared" si="1394"/>
        <v>13.960000000000036</v>
      </c>
      <c r="PZ212" s="56"/>
      <c r="QC212" s="55">
        <f t="shared" si="1395"/>
        <v>46203</v>
      </c>
      <c r="QD212" s="56"/>
      <c r="QE212" s="242">
        <f>SUMPRODUCT(PRODUCE!$B217:$DY217,PRODUCE!$EB$56:$IY$56)</f>
        <v>0</v>
      </c>
      <c r="QF212" s="56"/>
      <c r="QG212" s="242">
        <f t="shared" si="1396"/>
        <v>0</v>
      </c>
      <c r="QH212" s="242">
        <f t="shared" si="1397"/>
        <v>1736</v>
      </c>
      <c r="QI212" s="56"/>
      <c r="QL212" s="55">
        <f t="shared" si="1398"/>
        <v>46203</v>
      </c>
      <c r="QM212" s="56"/>
      <c r="QN212" s="242">
        <f>SUMPRODUCT(PRODUCE!$B217:$DY217,PRODUCE!$EB$57:$IY$57)</f>
        <v>0</v>
      </c>
      <c r="QO212" s="56"/>
      <c r="QP212" s="242">
        <f t="shared" si="1399"/>
        <v>0</v>
      </c>
      <c r="QQ212" s="242">
        <f t="shared" si="1400"/>
        <v>250</v>
      </c>
      <c r="QR212" s="56"/>
      <c r="QU212" s="55">
        <f t="shared" si="1401"/>
        <v>46203</v>
      </c>
      <c r="QV212" s="56"/>
      <c r="QW212" s="242">
        <f>SUMPRODUCT(PRODUCE!$B217:$DY217,PRODUCE!$EB$58:$IY$58)</f>
        <v>0</v>
      </c>
      <c r="QX212" s="56"/>
      <c r="QY212" s="242">
        <f t="shared" si="1402"/>
        <v>0</v>
      </c>
      <c r="QZ212" s="242">
        <f t="shared" si="1403"/>
        <v>207.6</v>
      </c>
      <c r="RA212" s="56"/>
      <c r="RD212" s="55">
        <f t="shared" si="1404"/>
        <v>46203</v>
      </c>
      <c r="RE212" s="56"/>
      <c r="RF212" s="242">
        <f>SUMPRODUCT(PRODUCE!$B217:$DY217,PRODUCE!$EB$59:$IY$59)</f>
        <v>0</v>
      </c>
      <c r="RG212" s="56"/>
      <c r="RH212" s="242">
        <f t="shared" si="1405"/>
        <v>0</v>
      </c>
      <c r="RI212" s="242">
        <f t="shared" si="1406"/>
        <v>147.04000000000002</v>
      </c>
      <c r="RJ212" s="56"/>
      <c r="RM212" s="55">
        <f t="shared" si="1407"/>
        <v>46203</v>
      </c>
      <c r="RN212" s="56"/>
      <c r="RO212" s="242">
        <f>SUMPRODUCT(PRODUCE!$B217:$DY217,PRODUCE!$EB$60:$IY$60)</f>
        <v>0</v>
      </c>
      <c r="RP212" s="56"/>
      <c r="RQ212" s="242">
        <f t="shared" si="1408"/>
        <v>0</v>
      </c>
      <c r="RR212" s="242">
        <f t="shared" si="1409"/>
        <v>46.8</v>
      </c>
      <c r="RS212" s="56"/>
      <c r="RV212" s="55">
        <f t="shared" si="1410"/>
        <v>46203</v>
      </c>
      <c r="RW212" s="56"/>
      <c r="RX212" s="242">
        <f>SUMPRODUCT(PRODUCE!$B217:$DY217,PRODUCE!$EB$61:$IY$61)</f>
        <v>0</v>
      </c>
      <c r="RY212" s="56"/>
      <c r="RZ212" s="242">
        <f t="shared" si="1411"/>
        <v>0</v>
      </c>
      <c r="SA212" s="242">
        <f t="shared" si="1412"/>
        <v>0</v>
      </c>
      <c r="SB212" s="56"/>
      <c r="SE212" s="55">
        <f t="shared" si="1413"/>
        <v>46203</v>
      </c>
      <c r="SF212" s="56"/>
      <c r="SG212" s="242">
        <f>SUMPRODUCT(PRODUCE!$B217:$DY217,PRODUCE!$EB$62:$IY$62)</f>
        <v>0</v>
      </c>
      <c r="SH212" s="56"/>
      <c r="SI212" s="242">
        <f t="shared" si="1414"/>
        <v>0</v>
      </c>
      <c r="SJ212" s="242">
        <f t="shared" si="1415"/>
        <v>24.200000000000003</v>
      </c>
      <c r="SK212" s="56"/>
      <c r="SN212" s="55">
        <f t="shared" si="1416"/>
        <v>46203</v>
      </c>
      <c r="SO212" s="56"/>
      <c r="SP212" s="242">
        <f>SUMPRODUCT(PRODUCE!$B217:$DY217,PRODUCE!$EB$63:$IY$63)</f>
        <v>0</v>
      </c>
      <c r="SQ212" s="56"/>
      <c r="SR212" s="242">
        <f t="shared" si="1417"/>
        <v>0</v>
      </c>
      <c r="SS212" s="242">
        <f t="shared" si="1418"/>
        <v>32</v>
      </c>
      <c r="ST212" s="56"/>
      <c r="SW212" s="55">
        <f t="shared" si="1419"/>
        <v>46203</v>
      </c>
      <c r="SX212" s="56"/>
      <c r="SY212" s="242">
        <f>SUMPRODUCT(PRODUCE!$B217:$DY217,PRODUCE!$EB$64:$IY$64)</f>
        <v>0</v>
      </c>
      <c r="SZ212" s="56"/>
      <c r="TA212" s="242">
        <f t="shared" si="1420"/>
        <v>0</v>
      </c>
      <c r="TB212" s="242">
        <f t="shared" si="1421"/>
        <v>0</v>
      </c>
      <c r="TC212" s="56"/>
      <c r="TF212" s="55">
        <f t="shared" si="1422"/>
        <v>46203</v>
      </c>
      <c r="TG212" s="56"/>
      <c r="TH212" s="242">
        <f>SUMPRODUCT(PRODUCE!$B217:$DY217,PRODUCE!$EB$65:$IY$65)</f>
        <v>0</v>
      </c>
      <c r="TI212" s="56"/>
      <c r="TJ212" s="242">
        <f t="shared" si="1423"/>
        <v>0</v>
      </c>
      <c r="TK212" s="242">
        <f t="shared" si="1424"/>
        <v>0</v>
      </c>
      <c r="TL212" s="56"/>
      <c r="TO212" s="55">
        <f t="shared" si="1425"/>
        <v>46203</v>
      </c>
      <c r="TP212" s="56"/>
      <c r="TQ212" s="242">
        <f>SUMPRODUCT(PRODUCE!$B217:$DY217,PRODUCE!$EB$66:$IY$66)</f>
        <v>0</v>
      </c>
      <c r="TR212" s="56"/>
      <c r="TS212" s="242">
        <f t="shared" si="1426"/>
        <v>0</v>
      </c>
      <c r="TT212" s="242">
        <f t="shared" si="1427"/>
        <v>22.400000000000006</v>
      </c>
      <c r="TU212" s="56"/>
      <c r="TX212" s="55">
        <f t="shared" si="1428"/>
        <v>46203</v>
      </c>
      <c r="TY212" s="56"/>
      <c r="TZ212" s="242">
        <f>SUMPRODUCT(PRODUCE!$B217:$DY217,PRODUCE!$EB$67:$IY$67)</f>
        <v>0</v>
      </c>
      <c r="UA212" s="56"/>
      <c r="UB212" s="242">
        <f t="shared" si="1429"/>
        <v>0</v>
      </c>
      <c r="UC212" s="242">
        <f t="shared" si="1430"/>
        <v>46.799999999999983</v>
      </c>
      <c r="UD212" s="56"/>
      <c r="UG212" s="55">
        <f t="shared" si="1431"/>
        <v>46203</v>
      </c>
      <c r="UH212" s="56"/>
      <c r="UI212" s="242">
        <f>SUMPRODUCT(PRODUCE!$B217:$DY217,PRODUCE!$EB$68:$IY$68)</f>
        <v>0</v>
      </c>
      <c r="UJ212" s="56"/>
      <c r="UK212" s="242">
        <f t="shared" si="1432"/>
        <v>0</v>
      </c>
      <c r="UL212" s="242">
        <f t="shared" si="1433"/>
        <v>204</v>
      </c>
      <c r="UM212" s="56"/>
      <c r="UP212" s="55">
        <f t="shared" si="1434"/>
        <v>46203</v>
      </c>
      <c r="UQ212" s="56"/>
      <c r="UR212" s="242">
        <f>SUMPRODUCT(PRODUCE!$B217:$DY217,PRODUCE!$EB$69:$IY$69)</f>
        <v>0</v>
      </c>
      <c r="US212" s="56"/>
      <c r="UT212" s="242">
        <f t="shared" si="1435"/>
        <v>0</v>
      </c>
      <c r="UU212" s="242">
        <f t="shared" si="1436"/>
        <v>251.25</v>
      </c>
      <c r="UV212" s="56"/>
      <c r="UY212" s="55">
        <f t="shared" si="1437"/>
        <v>46203</v>
      </c>
      <c r="UZ212" s="56"/>
      <c r="VA212" s="242">
        <f>SUMPRODUCT(PRODUCE!$B217:$DY217,PRODUCE!$EB$70:$IY$70)</f>
        <v>0</v>
      </c>
      <c r="VB212" s="56"/>
      <c r="VC212" s="242">
        <f t="shared" si="1438"/>
        <v>0</v>
      </c>
      <c r="VD212" s="242">
        <f t="shared" si="1439"/>
        <v>41.600000000000023</v>
      </c>
      <c r="VE212" s="56"/>
      <c r="VH212" s="55">
        <f t="shared" si="1440"/>
        <v>46203</v>
      </c>
      <c r="VI212" s="56"/>
      <c r="VJ212" s="242">
        <f>SUMPRODUCT(PRODUCE!$B217:$DY217,PRODUCE!$EB$71:$IY$71)</f>
        <v>0</v>
      </c>
      <c r="VK212" s="56"/>
      <c r="VL212" s="242">
        <f t="shared" si="1441"/>
        <v>0</v>
      </c>
      <c r="VM212" s="242">
        <f t="shared" si="1442"/>
        <v>210</v>
      </c>
      <c r="VN212" s="56"/>
      <c r="VQ212" s="55">
        <f t="shared" si="1443"/>
        <v>46203</v>
      </c>
      <c r="VR212" s="56"/>
      <c r="VS212" s="242">
        <f>SUMPRODUCT(PRODUCE!$B217:$DY217,PRODUCE!$EB$57:$IY$57)</f>
        <v>0</v>
      </c>
      <c r="VT212" s="56"/>
      <c r="VU212" s="242">
        <f t="shared" si="1444"/>
        <v>0</v>
      </c>
      <c r="VV212" s="242">
        <f t="shared" si="1445"/>
        <v>0</v>
      </c>
      <c r="VW212" s="56"/>
      <c r="VZ212" s="55">
        <f t="shared" si="1446"/>
        <v>46203</v>
      </c>
      <c r="WA212" s="56"/>
      <c r="WB212" s="242">
        <f>SUMPRODUCT(PRODUCE!$B217:$DY217,PRODUCE!$EB$57:$IY$57)</f>
        <v>0</v>
      </c>
      <c r="WC212" s="56"/>
      <c r="WD212" s="242">
        <f t="shared" si="1447"/>
        <v>0</v>
      </c>
      <c r="WE212" s="242">
        <f t="shared" si="1448"/>
        <v>0</v>
      </c>
      <c r="WF212" s="56"/>
      <c r="WI212" s="55">
        <f t="shared" si="1449"/>
        <v>46203</v>
      </c>
      <c r="WJ212" s="422"/>
      <c r="WK212" s="540">
        <f>SUMPRODUCT(PRODUCE!$B217:$DY217,PRODUCE!$EB$74:$IY$74)</f>
        <v>0</v>
      </c>
      <c r="WL212" s="422"/>
      <c r="WM212" s="540">
        <f t="shared" si="1450"/>
        <v>0</v>
      </c>
      <c r="WN212" s="540">
        <f t="shared" si="1451"/>
        <v>1057</v>
      </c>
      <c r="WO212" s="56"/>
      <c r="WR212" s="55">
        <f t="shared" si="1452"/>
        <v>46203</v>
      </c>
      <c r="WS212" s="422"/>
      <c r="WT212" s="540">
        <f>SUMPRODUCT(PRODUCE!$B217:$DY217,PRODUCE!$EB$75:$IY$75)</f>
        <v>0</v>
      </c>
      <c r="WU212" s="422"/>
      <c r="WV212" s="540">
        <f t="shared" si="1453"/>
        <v>0</v>
      </c>
      <c r="WW212" s="540">
        <f t="shared" si="1454"/>
        <v>0</v>
      </c>
      <c r="WX212" s="56"/>
      <c r="XA212" s="55">
        <f t="shared" si="1455"/>
        <v>46203</v>
      </c>
      <c r="XB212" s="422"/>
      <c r="XC212" s="540">
        <f>SUMPRODUCT(PRODUCE!$B217:$DY217,PRODUCE!$EB$76:$IY$76)</f>
        <v>0</v>
      </c>
      <c r="XD212" s="422"/>
      <c r="XE212" s="540">
        <f t="shared" si="1456"/>
        <v>0</v>
      </c>
      <c r="XF212" s="540">
        <f t="shared" si="1457"/>
        <v>7507</v>
      </c>
      <c r="XG212" s="56"/>
      <c r="XJ212" s="55">
        <f t="shared" si="1458"/>
        <v>46203</v>
      </c>
      <c r="XK212" s="422"/>
      <c r="XL212" s="540">
        <f>SUMPRODUCT(PRODUCE!$B217:$DY217,PRODUCE!$EB$77:$IY$77)</f>
        <v>0</v>
      </c>
      <c r="XM212" s="422"/>
      <c r="XN212" s="540">
        <f t="shared" si="1459"/>
        <v>0</v>
      </c>
      <c r="XO212" s="540">
        <f t="shared" si="1460"/>
        <v>4252</v>
      </c>
      <c r="XP212" s="56"/>
      <c r="XS212" s="55">
        <f t="shared" si="1461"/>
        <v>46203</v>
      </c>
      <c r="XT212" s="56"/>
      <c r="XU212" s="242">
        <f>SUMPRODUCT(PRODUCE!$B217:$DY217,PRODUCE!$EB$78:$IY$78)</f>
        <v>0</v>
      </c>
      <c r="XV212" s="56"/>
      <c r="XW212" s="242">
        <f t="shared" si="1462"/>
        <v>0</v>
      </c>
      <c r="XX212" s="242">
        <f t="shared" si="1463"/>
        <v>2179</v>
      </c>
      <c r="XY212" s="56"/>
      <c r="YB212" s="55">
        <f t="shared" si="1464"/>
        <v>46203</v>
      </c>
      <c r="YC212" s="56"/>
      <c r="YD212" s="242">
        <f>SUMPRODUCT(PRODUCE!$B217:$DY217,PRODUCE!$EB$79:$IY$79)</f>
        <v>0</v>
      </c>
      <c r="YE212" s="56"/>
      <c r="YF212" s="242">
        <f t="shared" si="1465"/>
        <v>0</v>
      </c>
      <c r="YG212" s="242">
        <f t="shared" si="1466"/>
        <v>4019</v>
      </c>
      <c r="YH212" s="56"/>
      <c r="YK212" s="55">
        <f t="shared" si="1467"/>
        <v>46203</v>
      </c>
      <c r="YL212" s="56"/>
      <c r="YM212" s="242">
        <f>SUMPRODUCT(PRODUCE!$B217:$DY217,PRODUCE!$EB$80:$IY$80)</f>
        <v>0</v>
      </c>
      <c r="YN212" s="56"/>
      <c r="YO212" s="242">
        <f t="shared" si="1468"/>
        <v>0</v>
      </c>
      <c r="YP212" s="242">
        <f t="shared" si="1469"/>
        <v>0</v>
      </c>
      <c r="YQ212" s="56"/>
      <c r="YT212" s="55">
        <f t="shared" si="1470"/>
        <v>46203</v>
      </c>
      <c r="YU212" s="56"/>
      <c r="YV212" s="242">
        <f>SUMPRODUCT(PRODUCE!$B217:$DY217,PRODUCE!$EB$57:$IY$57)</f>
        <v>0</v>
      </c>
      <c r="YW212" s="56"/>
      <c r="YX212" s="242">
        <f t="shared" si="1471"/>
        <v>0</v>
      </c>
      <c r="YY212" s="242">
        <f t="shared" si="1472"/>
        <v>0</v>
      </c>
      <c r="YZ212" s="56"/>
      <c r="ZC212" s="55">
        <f t="shared" si="1473"/>
        <v>46203</v>
      </c>
      <c r="ZD212" s="56"/>
      <c r="ZE212" s="242">
        <f>SUMPRODUCT(PRODUCE!$B217:$DY217,PRODUCE!$EB$57:$IY$57)</f>
        <v>0</v>
      </c>
      <c r="ZF212" s="56"/>
      <c r="ZG212" s="242">
        <f t="shared" si="1474"/>
        <v>0</v>
      </c>
      <c r="ZH212" s="242">
        <f t="shared" si="1475"/>
        <v>0</v>
      </c>
      <c r="ZI212" s="56"/>
      <c r="ZL212" s="55">
        <f t="shared" si="1476"/>
        <v>46203</v>
      </c>
      <c r="ZM212" s="56"/>
      <c r="ZN212" s="242">
        <f>SUMPRODUCT(PRODUCE!$B217:$DY217,PRODUCE!$EB$57:$IY$57)</f>
        <v>0</v>
      </c>
      <c r="ZO212" s="56"/>
      <c r="ZP212" s="242">
        <f t="shared" si="1477"/>
        <v>0</v>
      </c>
      <c r="ZQ212" s="242">
        <f t="shared" si="1478"/>
        <v>0</v>
      </c>
      <c r="ZR212" s="56"/>
      <c r="ZU212" s="55">
        <f t="shared" si="1479"/>
        <v>46203</v>
      </c>
      <c r="ZV212" s="56"/>
      <c r="ZW212" s="242">
        <f>SUMPRODUCT(PRODUCE!$B217:$DY217,PRODUCE!$EB$57:$IY$57)</f>
        <v>0</v>
      </c>
      <c r="ZX212" s="56"/>
      <c r="ZY212" s="242">
        <f t="shared" si="1480"/>
        <v>0</v>
      </c>
      <c r="ZZ212" s="242">
        <f t="shared" si="1481"/>
        <v>0</v>
      </c>
      <c r="AAA212" s="56"/>
      <c r="AAD212" s="55">
        <f t="shared" si="1482"/>
        <v>46203</v>
      </c>
      <c r="AAE212" s="56"/>
      <c r="AAF212" s="242">
        <f>SUMPRODUCT(PRODUCE!$B217:$DY217,PRODUCE!$EB$57:$IY$57)</f>
        <v>0</v>
      </c>
      <c r="AAG212" s="56"/>
      <c r="AAH212" s="242">
        <f t="shared" si="1483"/>
        <v>0</v>
      </c>
      <c r="AAI212" s="242">
        <f t="shared" si="1484"/>
        <v>0</v>
      </c>
      <c r="AAJ212" s="56"/>
      <c r="AAM212" s="55">
        <f t="shared" si="1485"/>
        <v>46203</v>
      </c>
      <c r="AAN212" s="56"/>
      <c r="AAO212" s="242">
        <f>SUMPRODUCT(PRODUCE!$B217:$DY217,PRODUCE!$EB$57:$IY$57)</f>
        <v>0</v>
      </c>
      <c r="AAP212" s="56"/>
      <c r="AAQ212" s="242">
        <f t="shared" si="1486"/>
        <v>0</v>
      </c>
      <c r="AAR212" s="242">
        <f t="shared" si="1487"/>
        <v>0</v>
      </c>
      <c r="AAS212" s="56"/>
      <c r="AAV212" s="55">
        <f t="shared" si="1488"/>
        <v>46203</v>
      </c>
      <c r="AAW212" s="56"/>
      <c r="AAX212" s="242">
        <f>SUMPRODUCT(PRODUCE!$B217:$DY217,PRODUCE!$EB$57:$IY$57)</f>
        <v>0</v>
      </c>
      <c r="AAY212" s="56"/>
      <c r="AAZ212" s="242">
        <f t="shared" si="1489"/>
        <v>0</v>
      </c>
      <c r="ABA212" s="242">
        <f t="shared" si="1490"/>
        <v>0</v>
      </c>
      <c r="ABB212" s="56"/>
      <c r="ABE212" s="55">
        <f t="shared" si="1491"/>
        <v>46203</v>
      </c>
      <c r="ABF212" s="56"/>
      <c r="ABG212" s="242">
        <f>SUMPRODUCT(PRODUCE!$B217:$DY217,PRODUCE!$EB$57:$IY$57)</f>
        <v>0</v>
      </c>
      <c r="ABH212" s="56"/>
      <c r="ABI212" s="242">
        <f t="shared" si="1492"/>
        <v>0</v>
      </c>
      <c r="ABJ212" s="242">
        <f t="shared" si="1493"/>
        <v>0</v>
      </c>
      <c r="ABK212" s="56"/>
    </row>
    <row r="213" spans="1:739" ht="14.45" thickBot="1">
      <c r="B213" s="480">
        <f>SUM(B182:B212)</f>
        <v>1004</v>
      </c>
      <c r="C213" s="68" t="s">
        <v>72</v>
      </c>
      <c r="D213" s="426">
        <f>SUM(D183:D212)</f>
        <v>462870</v>
      </c>
      <c r="E213" s="427">
        <f>SUM(E183:E212)</f>
        <v>566158.56999999995</v>
      </c>
      <c r="F213" s="427">
        <f>SUM(F183:F212)</f>
        <v>603605.59999999986</v>
      </c>
      <c r="G213" s="427">
        <f>SUM(G183:G212)</f>
        <v>-37447.030000000028</v>
      </c>
      <c r="H213" s="428">
        <f>H212</f>
        <v>103607.80000000006</v>
      </c>
      <c r="I213" s="289"/>
      <c r="L213" s="68" t="s">
        <v>72</v>
      </c>
      <c r="M213" s="426">
        <f>SUM(M183:M212)</f>
        <v>230900</v>
      </c>
      <c r="N213" s="427">
        <f>SUM(N183:N212)</f>
        <v>285356.79000000004</v>
      </c>
      <c r="O213" s="427">
        <f>SUM(O183:O212)</f>
        <v>285358</v>
      </c>
      <c r="P213" s="427">
        <f>SUM(P183:P212)</f>
        <v>-1.2099999999870761</v>
      </c>
      <c r="Q213" s="428">
        <f>Q212</f>
        <v>51499.20000000007</v>
      </c>
      <c r="R213" s="71"/>
      <c r="U213" s="68" t="s">
        <v>72</v>
      </c>
      <c r="V213" s="426">
        <f>SUM(V183:V212)</f>
        <v>45100</v>
      </c>
      <c r="W213" s="427">
        <f>SUM(W183:W212)</f>
        <v>57040</v>
      </c>
      <c r="X213" s="427">
        <f>SUM(X183:X212)</f>
        <v>57054.30000000001</v>
      </c>
      <c r="Y213" s="427">
        <f>SUM(Y183:Y212)</f>
        <v>-14.2999999999995</v>
      </c>
      <c r="Z213" s="428">
        <f>Z212</f>
        <v>32731.999999999971</v>
      </c>
      <c r="AA213" s="71"/>
      <c r="AD213" s="68" t="s">
        <v>72</v>
      </c>
      <c r="AE213" s="426">
        <f>SUM(AE183:AE212)</f>
        <v>22380</v>
      </c>
      <c r="AF213" s="427">
        <f>SUM(AF183:AF212)</f>
        <v>1200</v>
      </c>
      <c r="AG213" s="427">
        <f>SUM(AG183:AG212)</f>
        <v>1200.6999999999998</v>
      </c>
      <c r="AH213" s="427">
        <f>SUM(AH183:AH212)</f>
        <v>-0.69999999999993179</v>
      </c>
      <c r="AI213" s="428">
        <f>AI212</f>
        <v>33372.700000000019</v>
      </c>
      <c r="AJ213" s="71"/>
      <c r="AM213" s="68" t="s">
        <v>72</v>
      </c>
      <c r="AN213" s="426">
        <f>SUM(AN183:AN212)</f>
        <v>0</v>
      </c>
      <c r="AO213" s="427">
        <f>SUM(AO183:AO212)</f>
        <v>0</v>
      </c>
      <c r="AP213" s="427">
        <f>SUM(AP183:AP212)</f>
        <v>0</v>
      </c>
      <c r="AQ213" s="427">
        <f>SUM(AQ183:AQ212)</f>
        <v>0</v>
      </c>
      <c r="AR213" s="428">
        <f>AR212</f>
        <v>0</v>
      </c>
      <c r="AS213" s="71"/>
      <c r="AV213" s="68" t="s">
        <v>72</v>
      </c>
      <c r="AW213" s="426">
        <f>SUM(AW183:AW212)</f>
        <v>0</v>
      </c>
      <c r="AX213" s="427">
        <f>SUM(AX183:AX212)</f>
        <v>4620</v>
      </c>
      <c r="AY213" s="427">
        <f>SUM(AY183:AY212)</f>
        <v>4620.5</v>
      </c>
      <c r="AZ213" s="427">
        <f>SUM(AZ183:AZ212)</f>
        <v>-0.49999999999981526</v>
      </c>
      <c r="BA213" s="428">
        <f>BA212</f>
        <v>13946.199999999997</v>
      </c>
      <c r="BB213" s="71"/>
      <c r="BE213" s="68" t="s">
        <v>72</v>
      </c>
      <c r="BF213" s="426">
        <f>SUM(BF183:BF212)</f>
        <v>11000</v>
      </c>
      <c r="BG213" s="427">
        <f>SUM(BG183:BG212)</f>
        <v>8613</v>
      </c>
      <c r="BH213" s="427">
        <f>SUM(BH183:BH212)</f>
        <v>8216.3000000000011</v>
      </c>
      <c r="BI213" s="427">
        <f>SUM(BI183:BI212)</f>
        <v>396.69999999999982</v>
      </c>
      <c r="BJ213" s="428">
        <f>BJ212</f>
        <v>36947.699999999997</v>
      </c>
      <c r="BK213" s="71"/>
      <c r="BN213" s="68" t="s">
        <v>72</v>
      </c>
      <c r="BO213" s="426">
        <f>SUM(BO183:BO212)</f>
        <v>12039.3</v>
      </c>
      <c r="BP213" s="427">
        <f>SUM(BP183:BP212)</f>
        <v>11039</v>
      </c>
      <c r="BQ213" s="427">
        <f>SUM(BQ183:BQ212)</f>
        <v>12039.3</v>
      </c>
      <c r="BR213" s="427">
        <f>SUM(BR183:BR212)</f>
        <v>-1000.3000000000001</v>
      </c>
      <c r="BS213" s="428">
        <f>BS212</f>
        <v>0</v>
      </c>
      <c r="BT213" s="71"/>
      <c r="BW213" s="68" t="s">
        <v>72</v>
      </c>
      <c r="BX213" s="426">
        <f>SUM(BX183:BX212)</f>
        <v>0</v>
      </c>
      <c r="BY213" s="427">
        <f>SUM(BY183:BY212)</f>
        <v>4131.72</v>
      </c>
      <c r="BZ213" s="427">
        <f>SUM(BZ183:BZ212)</f>
        <v>2694.3500000000004</v>
      </c>
      <c r="CA213" s="427">
        <f>SUM(CA183:CA212)</f>
        <v>1437.3700000000001</v>
      </c>
      <c r="CB213" s="428">
        <f>CB212</f>
        <v>2388.7799999999988</v>
      </c>
      <c r="CC213" s="71"/>
      <c r="CF213" s="68" t="s">
        <v>72</v>
      </c>
      <c r="CG213" s="426">
        <f>SUM(CG183:CG212)</f>
        <v>6166.9700000000012</v>
      </c>
      <c r="CH213" s="427">
        <f>SUM(CH183:CH212)</f>
        <v>2052.36</v>
      </c>
      <c r="CI213" s="427">
        <f>SUM(CI183:CI212)</f>
        <v>6166.9700000000012</v>
      </c>
      <c r="CJ213" s="427">
        <f>SUM(CJ183:CJ212)</f>
        <v>-4114.6100000000006</v>
      </c>
      <c r="CK213" s="428">
        <f>CK212</f>
        <v>0</v>
      </c>
      <c r="CL213" s="71"/>
      <c r="CO213" s="72" t="s">
        <v>72</v>
      </c>
      <c r="CP213" s="426">
        <f>SUM(CP183:CP212)</f>
        <v>0</v>
      </c>
      <c r="CQ213" s="427">
        <f>SUM(CQ183:CQ212)</f>
        <v>0</v>
      </c>
      <c r="CR213" s="427">
        <f>SUM(CR183:CR212)</f>
        <v>0</v>
      </c>
      <c r="CS213" s="427">
        <f>SUM(CS183:CS212)</f>
        <v>0</v>
      </c>
      <c r="CT213" s="428">
        <f>CT212</f>
        <v>0</v>
      </c>
      <c r="CU213" s="71"/>
      <c r="CX213" s="72" t="s">
        <v>72</v>
      </c>
      <c r="CY213" s="426">
        <f>SUM(CY183:CY212)</f>
        <v>1880.8</v>
      </c>
      <c r="CZ213" s="427">
        <f>SUM(CZ183:CZ212)</f>
        <v>12480</v>
      </c>
      <c r="DA213" s="427">
        <f>SUM(DA183:DA212)</f>
        <v>13014.800000000001</v>
      </c>
      <c r="DB213" s="427">
        <f>SUM(DB183:DB212)</f>
        <v>-534.79999999999995</v>
      </c>
      <c r="DC213" s="428">
        <f>DC212</f>
        <v>8489.9000000000069</v>
      </c>
      <c r="DD213" s="71"/>
      <c r="DG213" s="72" t="s">
        <v>72</v>
      </c>
      <c r="DH213" s="426">
        <f>SUM(DH183:DH212)</f>
        <v>0</v>
      </c>
      <c r="DI213" s="527">
        <f>SUM(DI183:DI212)</f>
        <v>300</v>
      </c>
      <c r="DJ213" s="427">
        <f>SUM(DJ183:DJ212)</f>
        <v>300.5</v>
      </c>
      <c r="DK213" s="527">
        <f>SUM(DK183:DK212)</f>
        <v>-0.5</v>
      </c>
      <c r="DL213" s="528">
        <f>DL212</f>
        <v>34934.499999999985</v>
      </c>
      <c r="DM213" s="71"/>
      <c r="DP213" s="72" t="s">
        <v>72</v>
      </c>
      <c r="DQ213" s="73">
        <f>SUM(DQ183:DQ212)</f>
        <v>0</v>
      </c>
      <c r="DR213" s="69">
        <f>SUM(DR183:DR212)</f>
        <v>0</v>
      </c>
      <c r="DS213" s="69">
        <f>SUM(DS183:DS212)</f>
        <v>0</v>
      </c>
      <c r="DT213" s="69">
        <f>SUM(DT183:DT212)</f>
        <v>0</v>
      </c>
      <c r="DU213" s="70">
        <f>DU212</f>
        <v>5800</v>
      </c>
      <c r="DV213" s="71"/>
      <c r="DY213" s="72" t="s">
        <v>72</v>
      </c>
      <c r="DZ213" s="73">
        <f>SUM(DZ183:DZ212)</f>
        <v>0</v>
      </c>
      <c r="EA213" s="69">
        <f>SUM(EA183:EA212)</f>
        <v>0</v>
      </c>
      <c r="EB213" s="69">
        <f>SUM(EB183:EB212)</f>
        <v>0</v>
      </c>
      <c r="EC213" s="69">
        <f>SUM(EC183:EC212)</f>
        <v>0</v>
      </c>
      <c r="ED213" s="70">
        <f>ED212</f>
        <v>0</v>
      </c>
      <c r="EE213" s="71"/>
      <c r="EH213" s="72" t="s">
        <v>72</v>
      </c>
      <c r="EI213" s="73">
        <f>SUM(EI183:EI212)</f>
        <v>351.76</v>
      </c>
      <c r="EJ213" s="69">
        <f>SUM(EJ183:EJ212)</f>
        <v>0</v>
      </c>
      <c r="EK213" s="69">
        <f>SUM(EK183:EK212)</f>
        <v>351.76</v>
      </c>
      <c r="EL213" s="69">
        <f>SUM(EL183:EL212)</f>
        <v>-351.76</v>
      </c>
      <c r="EM213" s="70">
        <f>EM212</f>
        <v>0</v>
      </c>
      <c r="EN213" s="71"/>
      <c r="EQ213" s="72" t="s">
        <v>72</v>
      </c>
      <c r="ER213" s="73">
        <f>SUM(ER183:ER212)</f>
        <v>0</v>
      </c>
      <c r="ES213" s="69">
        <f>SUM(ES183:ES212)</f>
        <v>0</v>
      </c>
      <c r="ET213" s="69">
        <f>SUM(ET183:ET212)</f>
        <v>0</v>
      </c>
      <c r="EU213" s="69">
        <f>SUM(EU183:EU212)</f>
        <v>0</v>
      </c>
      <c r="EV213" s="70">
        <f>EV212</f>
        <v>0</v>
      </c>
      <c r="EW213" s="71"/>
      <c r="EZ213" s="72" t="s">
        <v>72</v>
      </c>
      <c r="FA213" s="73">
        <f>SUM(FA183:FA212)</f>
        <v>0</v>
      </c>
      <c r="FB213" s="69">
        <f>SUM(FB183:FB212)</f>
        <v>0</v>
      </c>
      <c r="FC213" s="69">
        <f>SUM(FC183:FC212)</f>
        <v>0</v>
      </c>
      <c r="FD213" s="69">
        <f>SUM(FD183:FD212)</f>
        <v>0</v>
      </c>
      <c r="FE213" s="70">
        <f>FE212</f>
        <v>0</v>
      </c>
      <c r="FF213" s="71"/>
      <c r="FI213" s="72" t="s">
        <v>72</v>
      </c>
      <c r="FJ213" s="73">
        <f>SUM(FJ183:FJ212)</f>
        <v>0</v>
      </c>
      <c r="FK213" s="69">
        <f>SUM(FK183:FK212)</f>
        <v>0</v>
      </c>
      <c r="FL213" s="69">
        <f>SUM(FL183:FL212)</f>
        <v>0</v>
      </c>
      <c r="FM213" s="69">
        <f>SUM(FM183:FM212)</f>
        <v>0</v>
      </c>
      <c r="FN213" s="70">
        <f>FN212</f>
        <v>0</v>
      </c>
      <c r="FO213" s="71"/>
      <c r="FR213" s="72" t="s">
        <v>72</v>
      </c>
      <c r="FS213" s="73">
        <f>SUM(FS183:FS212)</f>
        <v>0</v>
      </c>
      <c r="FT213" s="69">
        <f>SUM(FT183:FT212)</f>
        <v>0</v>
      </c>
      <c r="FU213" s="69">
        <f>SUM(FU183:FU212)</f>
        <v>2980</v>
      </c>
      <c r="FV213" s="69">
        <f>SUM(FV183:FV212)</f>
        <v>-2980</v>
      </c>
      <c r="FW213" s="70">
        <f>FW212</f>
        <v>1160</v>
      </c>
      <c r="FX213" s="459">
        <f>FW213/20</f>
        <v>58</v>
      </c>
      <c r="FY213" s="460" t="s">
        <v>173</v>
      </c>
      <c r="GA213" s="72" t="s">
        <v>72</v>
      </c>
      <c r="GB213" s="73">
        <f>SUM(GB183:GB212)</f>
        <v>0</v>
      </c>
      <c r="GC213" s="69">
        <f>SUM(GC183:GC212)</f>
        <v>0</v>
      </c>
      <c r="GD213" s="69">
        <f>SUM(GD183:GD212)</f>
        <v>4080</v>
      </c>
      <c r="GE213" s="69">
        <f>SUM(GE183:GE212)</f>
        <v>-4080</v>
      </c>
      <c r="GF213" s="70">
        <f>GF212</f>
        <v>960</v>
      </c>
      <c r="GG213" s="461">
        <f>GF213/20</f>
        <v>48</v>
      </c>
      <c r="GH213" s="460" t="s">
        <v>173</v>
      </c>
      <c r="GJ213" s="72" t="s">
        <v>72</v>
      </c>
      <c r="GK213" s="73">
        <f>SUM(GK183:GK212)</f>
        <v>0</v>
      </c>
      <c r="GL213" s="69">
        <f>SUM(GL183:GL212)</f>
        <v>0</v>
      </c>
      <c r="GM213" s="69">
        <f>SUM(GM183:GM212)</f>
        <v>0</v>
      </c>
      <c r="GN213" s="69">
        <f>SUM(GN183:GN212)</f>
        <v>0</v>
      </c>
      <c r="GO213" s="70">
        <f>GO212</f>
        <v>1760</v>
      </c>
      <c r="GP213" s="459">
        <f>GO213/20</f>
        <v>88</v>
      </c>
      <c r="GQ213" s="460" t="s">
        <v>173</v>
      </c>
      <c r="GS213" s="72" t="s">
        <v>72</v>
      </c>
      <c r="GT213" s="73">
        <f>SUM(GT183:GT212)</f>
        <v>1000</v>
      </c>
      <c r="GU213" s="69">
        <f>SUM(GU183:GU212)</f>
        <v>1200</v>
      </c>
      <c r="GV213" s="69">
        <f>SUM(GV183:GV212)</f>
        <v>1200</v>
      </c>
      <c r="GW213" s="69">
        <f>SUM(GW183:GW212)</f>
        <v>0</v>
      </c>
      <c r="GX213" s="70">
        <f>GX212</f>
        <v>400</v>
      </c>
      <c r="GY213" s="459">
        <f>GX213/20</f>
        <v>20</v>
      </c>
      <c r="GZ213" s="460" t="s">
        <v>173</v>
      </c>
      <c r="HB213" s="72" t="s">
        <v>72</v>
      </c>
      <c r="HC213" s="73">
        <f>SUM(HC183:HC212)</f>
        <v>0</v>
      </c>
      <c r="HD213" s="69">
        <f>SUM(HD183:HD212)</f>
        <v>0</v>
      </c>
      <c r="HE213" s="69">
        <f>SUM(HE183:HE212)</f>
        <v>0</v>
      </c>
      <c r="HF213" s="69">
        <f>SUM(HF183:HF212)</f>
        <v>0</v>
      </c>
      <c r="HG213" s="70">
        <f>HG212</f>
        <v>3600</v>
      </c>
      <c r="HH213" s="459">
        <f>HG213/20</f>
        <v>180</v>
      </c>
      <c r="HI213" s="460" t="s">
        <v>173</v>
      </c>
      <c r="HK213" s="72" t="s">
        <v>72</v>
      </c>
      <c r="HL213" s="73">
        <f>SUM(HL183:HL212)</f>
        <v>0</v>
      </c>
      <c r="HM213" s="69">
        <f>SUM(HM183:HM212)</f>
        <v>0</v>
      </c>
      <c r="HN213" s="69">
        <f>SUM(HN183:HN212)</f>
        <v>0</v>
      </c>
      <c r="HO213" s="69">
        <f>SUM(HO183:HO212)</f>
        <v>0</v>
      </c>
      <c r="HP213" s="70">
        <f>HP212</f>
        <v>0</v>
      </c>
      <c r="HQ213" s="71"/>
      <c r="HU213" s="72" t="s">
        <v>72</v>
      </c>
      <c r="HV213" s="73">
        <f>SUM(HV183:HV212)</f>
        <v>0</v>
      </c>
      <c r="HW213" s="69">
        <f>SUM(HW183:HW212)</f>
        <v>120</v>
      </c>
      <c r="HX213" s="69">
        <f>SUM(HX183:HX212)</f>
        <v>120</v>
      </c>
      <c r="HY213" s="69">
        <f>SUM(HY183:HY212)</f>
        <v>0</v>
      </c>
      <c r="HZ213" s="70">
        <f>HZ212</f>
        <v>6680</v>
      </c>
      <c r="IA213" s="459">
        <f>HZ213/20</f>
        <v>334</v>
      </c>
      <c r="IB213" s="460" t="s">
        <v>173</v>
      </c>
      <c r="ID213" s="72" t="s">
        <v>72</v>
      </c>
      <c r="IE213" s="73">
        <f>SUM(IE183:IE212)</f>
        <v>0</v>
      </c>
      <c r="IF213" s="69">
        <f>SUM(IF183:IF212)</f>
        <v>0</v>
      </c>
      <c r="IG213" s="69">
        <f>SUM(IG183:IG212)</f>
        <v>0</v>
      </c>
      <c r="IH213" s="69">
        <f>SUM(IH183:IH212)</f>
        <v>0</v>
      </c>
      <c r="II213" s="70">
        <f>II212</f>
        <v>720</v>
      </c>
      <c r="IJ213" s="459">
        <f>II213/20</f>
        <v>36</v>
      </c>
      <c r="IK213" s="460" t="s">
        <v>173</v>
      </c>
      <c r="IM213" s="72" t="s">
        <v>72</v>
      </c>
      <c r="IN213" s="73">
        <f>SUM(IN183:IN212)</f>
        <v>0</v>
      </c>
      <c r="IO213" s="69">
        <f>SUM(IO183:IO212)</f>
        <v>0</v>
      </c>
      <c r="IP213" s="69">
        <f>SUM(IP183:IP212)</f>
        <v>1620</v>
      </c>
      <c r="IQ213" s="69">
        <f>SUM(IQ183:IQ212)</f>
        <v>-1620</v>
      </c>
      <c r="IR213" s="70">
        <f>IR212</f>
        <v>6520</v>
      </c>
      <c r="IS213" s="459">
        <f>IR213/20</f>
        <v>326</v>
      </c>
      <c r="IT213" s="460" t="s">
        <v>173</v>
      </c>
      <c r="IV213" s="72" t="s">
        <v>72</v>
      </c>
      <c r="IW213" s="73">
        <f>SUM(IW183:IW212)</f>
        <v>0</v>
      </c>
      <c r="IX213" s="69">
        <f>SUM(IX183:IX212)</f>
        <v>0</v>
      </c>
      <c r="IY213" s="69">
        <f>SUM(IY183:IY212)</f>
        <v>0</v>
      </c>
      <c r="IZ213" s="69">
        <f>SUM(IZ183:IZ212)</f>
        <v>0</v>
      </c>
      <c r="JA213" s="70">
        <f>JA212</f>
        <v>4960</v>
      </c>
      <c r="JB213" s="459">
        <f>JA213/20</f>
        <v>248</v>
      </c>
      <c r="JC213" s="460" t="s">
        <v>173</v>
      </c>
      <c r="JE213" s="72" t="s">
        <v>72</v>
      </c>
      <c r="JF213" s="73">
        <f>SUM(JF183:JF212)</f>
        <v>0</v>
      </c>
      <c r="JG213" s="69">
        <f>SUM(JG183:JG212)</f>
        <v>0</v>
      </c>
      <c r="JH213" s="69">
        <f>SUM(JH183:JH212)</f>
        <v>0</v>
      </c>
      <c r="JI213" s="69">
        <f>SUM(JI183:JI212)</f>
        <v>0</v>
      </c>
      <c r="JJ213" s="70">
        <f>JJ212</f>
        <v>0</v>
      </c>
      <c r="JK213" s="71"/>
      <c r="JN213" s="72" t="s">
        <v>72</v>
      </c>
      <c r="JO213" s="73">
        <f>SUM(JO183:JO212)</f>
        <v>0</v>
      </c>
      <c r="JP213" s="69">
        <f>SUM(JP183:JP212)</f>
        <v>6280</v>
      </c>
      <c r="JQ213" s="69">
        <f>SUM(JQ183:JQ212)</f>
        <v>3340</v>
      </c>
      <c r="JR213" s="69">
        <f>SUM(JR183:JR212)</f>
        <v>2940</v>
      </c>
      <c r="JS213" s="70">
        <f>JS212</f>
        <v>0</v>
      </c>
      <c r="JT213" s="459">
        <f>JS213/20</f>
        <v>0</v>
      </c>
      <c r="JU213" s="460" t="s">
        <v>173</v>
      </c>
      <c r="JW213" s="72" t="s">
        <v>72</v>
      </c>
      <c r="JX213" s="73">
        <f>SUM(JX183:JX212)</f>
        <v>0</v>
      </c>
      <c r="JY213" s="69">
        <f>SUM(JY183:JY212)</f>
        <v>0</v>
      </c>
      <c r="JZ213" s="69">
        <f>SUM(JZ183:JZ212)</f>
        <v>0</v>
      </c>
      <c r="KA213" s="69">
        <f>SUM(KA183:KA212)</f>
        <v>0</v>
      </c>
      <c r="KB213" s="70">
        <f>KB212</f>
        <v>2540</v>
      </c>
      <c r="KC213" s="459">
        <f>KB213/20</f>
        <v>127</v>
      </c>
      <c r="KD213" s="460" t="s">
        <v>173</v>
      </c>
      <c r="KF213" s="72" t="s">
        <v>72</v>
      </c>
      <c r="KG213" s="73">
        <f>SUM(KG183:KG212)</f>
        <v>0</v>
      </c>
      <c r="KH213" s="69">
        <f>SUM(KH183:KH212)</f>
        <v>0</v>
      </c>
      <c r="KI213" s="69">
        <f>SUM(KI183:KI212)</f>
        <v>0</v>
      </c>
      <c r="KJ213" s="69">
        <f>SUM(KJ183:KJ212)</f>
        <v>0</v>
      </c>
      <c r="KK213" s="70">
        <f>KK212</f>
        <v>2359.5</v>
      </c>
      <c r="KL213" s="459">
        <f>KK213/19.5</f>
        <v>121</v>
      </c>
      <c r="KM213" s="460" t="s">
        <v>173</v>
      </c>
      <c r="KO213" s="72" t="s">
        <v>72</v>
      </c>
      <c r="KP213" s="73">
        <f>SUM(KP183:KP212)</f>
        <v>0</v>
      </c>
      <c r="KQ213" s="69">
        <f>SUM(KQ183:KQ212)</f>
        <v>0</v>
      </c>
      <c r="KR213" s="69">
        <f>SUM(KR183:KR212)</f>
        <v>0</v>
      </c>
      <c r="KS213" s="69">
        <f>SUM(KS183:KS212)</f>
        <v>0</v>
      </c>
      <c r="KT213" s="70">
        <f>KT212</f>
        <v>1890</v>
      </c>
      <c r="KU213" s="459">
        <f>KT213/18.9</f>
        <v>100.00000000000001</v>
      </c>
      <c r="KV213" s="460" t="s">
        <v>173</v>
      </c>
      <c r="KX213" s="72" t="s">
        <v>72</v>
      </c>
      <c r="KY213" s="73">
        <f>SUM(KY183:KY212)</f>
        <v>0</v>
      </c>
      <c r="KZ213" s="69">
        <f>SUM(KZ183:KZ212)</f>
        <v>0</v>
      </c>
      <c r="LA213" s="69">
        <f>SUM(LA183:LA212)</f>
        <v>0</v>
      </c>
      <c r="LB213" s="69">
        <f>SUM(LB183:LB212)</f>
        <v>0</v>
      </c>
      <c r="LC213" s="70">
        <f>LC212</f>
        <v>3690</v>
      </c>
      <c r="LD213" s="459">
        <f>LC213/20.5</f>
        <v>180</v>
      </c>
      <c r="LE213" s="460" t="s">
        <v>173</v>
      </c>
      <c r="LG213" s="72" t="s">
        <v>72</v>
      </c>
      <c r="LH213" s="73">
        <f>SUM(LH183:LH212)</f>
        <v>0</v>
      </c>
      <c r="LI213" s="69">
        <f>SUM(LI183:LI212)</f>
        <v>0</v>
      </c>
      <c r="LJ213" s="69">
        <f>SUM(LJ183:LJ212)</f>
        <v>0</v>
      </c>
      <c r="LK213" s="69">
        <f>SUM(LK183:LK212)</f>
        <v>0</v>
      </c>
      <c r="LL213" s="70">
        <f>LL212</f>
        <v>4000</v>
      </c>
      <c r="LM213" s="459">
        <f>LL213/20</f>
        <v>200</v>
      </c>
      <c r="LN213" s="460" t="s">
        <v>173</v>
      </c>
      <c r="LP213" s="72" t="s">
        <v>72</v>
      </c>
      <c r="LQ213" s="73">
        <f>SUM(LQ183:LQ212)</f>
        <v>0</v>
      </c>
      <c r="LR213" s="69">
        <f>SUM(LR183:LR212)</f>
        <v>0</v>
      </c>
      <c r="LS213" s="69">
        <f>SUM(LS183:LS212)</f>
        <v>0</v>
      </c>
      <c r="LT213" s="69">
        <f>SUM(LT183:LT212)</f>
        <v>0</v>
      </c>
      <c r="LU213" s="70">
        <f>LU212</f>
        <v>0</v>
      </c>
      <c r="LV213" s="71"/>
      <c r="LY213" s="72" t="s">
        <v>72</v>
      </c>
      <c r="LZ213" s="73">
        <f>SUM(LZ183:LZ212)</f>
        <v>0</v>
      </c>
      <c r="MA213" s="69">
        <f>SUM(MA183:MA212)</f>
        <v>0</v>
      </c>
      <c r="MB213" s="69">
        <f>SUM(MB183:MB212)</f>
        <v>0</v>
      </c>
      <c r="MC213" s="69">
        <f>SUM(MC183:MC212)</f>
        <v>0</v>
      </c>
      <c r="MD213" s="70">
        <f>MD212</f>
        <v>0</v>
      </c>
      <c r="ME213" s="71"/>
      <c r="MH213" s="72" t="s">
        <v>72</v>
      </c>
      <c r="MI213" s="73">
        <f>SUM(MI183:MI212)</f>
        <v>0</v>
      </c>
      <c r="MJ213" s="69">
        <f>SUM(MJ183:MJ212)</f>
        <v>0</v>
      </c>
      <c r="MK213" s="69">
        <f>SUM(MK183:MK212)</f>
        <v>0</v>
      </c>
      <c r="ML213" s="69">
        <f>SUM(ML183:ML212)</f>
        <v>0</v>
      </c>
      <c r="MM213" s="70">
        <f>MM212</f>
        <v>0</v>
      </c>
      <c r="MN213" s="71"/>
      <c r="MQ213" s="72" t="s">
        <v>72</v>
      </c>
      <c r="MR213" s="73">
        <f>SUM(MR183:MR212)</f>
        <v>144</v>
      </c>
      <c r="MS213" s="69">
        <f>SUM(MS183:MS212)</f>
        <v>3</v>
      </c>
      <c r="MT213" s="69">
        <f>SUM(MT183:MT212)</f>
        <v>273</v>
      </c>
      <c r="MU213" s="69">
        <f>SUM(MU183:MU212)</f>
        <v>-270</v>
      </c>
      <c r="MV213" s="70">
        <f>MV212</f>
        <v>3595</v>
      </c>
      <c r="MW213" s="71"/>
      <c r="MZ213" s="72" t="s">
        <v>72</v>
      </c>
      <c r="NA213" s="73">
        <f>SUM(NA183:NA212)</f>
        <v>6990</v>
      </c>
      <c r="NB213" s="69">
        <f>SUM(NB183:NB212)</f>
        <v>1260</v>
      </c>
      <c r="NC213" s="69">
        <f>SUM(NC183:NC212)</f>
        <v>6990</v>
      </c>
      <c r="ND213" s="69">
        <f>SUM(ND183:ND212)</f>
        <v>-5730</v>
      </c>
      <c r="NE213" s="70">
        <f>NE212</f>
        <v>0</v>
      </c>
      <c r="NF213" s="71"/>
      <c r="NI213" s="72" t="s">
        <v>72</v>
      </c>
      <c r="NJ213" s="73">
        <f>SUM(NJ183:NJ212)</f>
        <v>0</v>
      </c>
      <c r="NK213" s="69">
        <f>SUM(NK183:NK212)</f>
        <v>0</v>
      </c>
      <c r="NL213" s="69">
        <f>SUM(NL183:NL212)</f>
        <v>0</v>
      </c>
      <c r="NM213" s="69">
        <f>SUM(NM183:NM212)</f>
        <v>0</v>
      </c>
      <c r="NN213" s="70">
        <f>NN212</f>
        <v>1127</v>
      </c>
      <c r="NO213" s="71"/>
      <c r="NR213" s="72" t="s">
        <v>72</v>
      </c>
      <c r="NS213" s="73">
        <f>SUM(NS183:NS212)</f>
        <v>0</v>
      </c>
      <c r="NT213" s="69">
        <f>SUM(NT183:NT212)</f>
        <v>0</v>
      </c>
      <c r="NU213" s="69">
        <f>SUM(NU183:NU212)</f>
        <v>0</v>
      </c>
      <c r="NV213" s="69">
        <f>SUM(NV183:NV212)</f>
        <v>0</v>
      </c>
      <c r="NW213" s="70">
        <f>NW212</f>
        <v>3111.9999999999995</v>
      </c>
      <c r="NX213" s="71"/>
      <c r="OA213" s="72" t="s">
        <v>72</v>
      </c>
      <c r="OB213" s="73">
        <f>SUM(OB183:OB212)</f>
        <v>0</v>
      </c>
      <c r="OC213" s="69">
        <f>SUM(OC183:OC212)</f>
        <v>0</v>
      </c>
      <c r="OD213" s="69">
        <f>SUM(OD183:OD212)</f>
        <v>0</v>
      </c>
      <c r="OE213" s="69">
        <f>SUM(OE183:OE212)</f>
        <v>0</v>
      </c>
      <c r="OF213" s="70">
        <f>OF212</f>
        <v>1680.5</v>
      </c>
      <c r="OG213" s="71"/>
      <c r="OJ213" s="72" t="s">
        <v>72</v>
      </c>
      <c r="OK213" s="73">
        <f>SUM(OK183:OK212)</f>
        <v>1209.4000000000001</v>
      </c>
      <c r="OL213" s="69">
        <f>SUM(OL183:OL212)</f>
        <v>120</v>
      </c>
      <c r="OM213" s="69">
        <f>SUM(OM183:OM212)</f>
        <v>1209.4000000000001</v>
      </c>
      <c r="ON213" s="69">
        <f>SUM(ON183:ON212)</f>
        <v>-1089.4000000000001</v>
      </c>
      <c r="OO213" s="70">
        <f>OO212</f>
        <v>0</v>
      </c>
      <c r="OP213" s="71"/>
      <c r="OS213" s="72" t="s">
        <v>72</v>
      </c>
      <c r="OT213" s="73">
        <f>SUM(OT183:OT212)</f>
        <v>0</v>
      </c>
      <c r="OU213" s="69">
        <f>SUM(OU183:OU212)</f>
        <v>0</v>
      </c>
      <c r="OV213" s="69">
        <f>SUM(OV183:OV212)</f>
        <v>0</v>
      </c>
      <c r="OW213" s="69">
        <f>SUM(OW183:OW212)</f>
        <v>0</v>
      </c>
      <c r="OX213" s="70">
        <f>OX212</f>
        <v>1482</v>
      </c>
      <c r="OY213" s="71"/>
      <c r="PB213" s="72" t="s">
        <v>72</v>
      </c>
      <c r="PC213" s="73">
        <f>SUM(PC183:PC212)</f>
        <v>0</v>
      </c>
      <c r="PD213" s="69">
        <f>SUM(PD183:PD212)</f>
        <v>0</v>
      </c>
      <c r="PE213" s="69">
        <f>SUM(PE183:PE212)</f>
        <v>0</v>
      </c>
      <c r="PF213" s="69">
        <f>SUM(PF183:PF212)</f>
        <v>0</v>
      </c>
      <c r="PG213" s="70">
        <f>PG212</f>
        <v>0</v>
      </c>
      <c r="PH213" s="71"/>
      <c r="PK213" s="72" t="s">
        <v>72</v>
      </c>
      <c r="PL213" s="73">
        <f>SUM(PL183:PL212)</f>
        <v>0</v>
      </c>
      <c r="PM213" s="69">
        <f>SUM(PM183:PM212)</f>
        <v>0</v>
      </c>
      <c r="PN213" s="69">
        <f>SUM(PN183:PN212)</f>
        <v>0</v>
      </c>
      <c r="PO213" s="69">
        <f>SUM(PO183:PO212)</f>
        <v>0</v>
      </c>
      <c r="PP213" s="70">
        <f>PP212</f>
        <v>100</v>
      </c>
      <c r="PQ213" s="71"/>
      <c r="PT213" s="72" t="s">
        <v>72</v>
      </c>
      <c r="PU213" s="73">
        <f>SUM(PU183:PU212)</f>
        <v>0</v>
      </c>
      <c r="PV213" s="69">
        <f>SUM(PV183:PV212)</f>
        <v>0</v>
      </c>
      <c r="PW213" s="69">
        <f>SUM(PW183:PW212)</f>
        <v>0</v>
      </c>
      <c r="PX213" s="69">
        <f>SUM(PX183:PX212)</f>
        <v>0</v>
      </c>
      <c r="PY213" s="70">
        <f>PY212</f>
        <v>13.960000000000036</v>
      </c>
      <c r="PZ213" s="71"/>
      <c r="QC213" s="72" t="s">
        <v>72</v>
      </c>
      <c r="QD213" s="73">
        <f>SUM(QD183:QD212)</f>
        <v>1628</v>
      </c>
      <c r="QE213" s="69">
        <f>SUM(QE183:QE212)</f>
        <v>0</v>
      </c>
      <c r="QF213" s="69">
        <f>SUM(QF183:QF212)</f>
        <v>0</v>
      </c>
      <c r="QG213" s="69">
        <f>SUM(QG183:QG212)</f>
        <v>0</v>
      </c>
      <c r="QH213" s="70">
        <f>QH212</f>
        <v>1736</v>
      </c>
      <c r="QI213" s="71"/>
      <c r="QL213" s="72" t="s">
        <v>72</v>
      </c>
      <c r="QM213" s="73">
        <f>SUM(QM183:QM212)</f>
        <v>625</v>
      </c>
      <c r="QN213" s="69">
        <f>SUM(QN183:QN212)</f>
        <v>785</v>
      </c>
      <c r="QO213" s="69">
        <f>SUM(QO183:QO212)</f>
        <v>620</v>
      </c>
      <c r="QP213" s="69">
        <f>SUM(QP183:QP212)</f>
        <v>165</v>
      </c>
      <c r="QQ213" s="70">
        <f>QQ212</f>
        <v>250</v>
      </c>
      <c r="QR213" s="71"/>
      <c r="QU213" s="72" t="s">
        <v>72</v>
      </c>
      <c r="QV213" s="73">
        <f>SUM(QV183:QV212)</f>
        <v>0</v>
      </c>
      <c r="QW213" s="69">
        <f>SUM(QW183:QW212)</f>
        <v>0</v>
      </c>
      <c r="QX213" s="73">
        <f>SUM(QX183:QX212)</f>
        <v>0</v>
      </c>
      <c r="QY213" s="69">
        <f>SUM(QY183:QY212)</f>
        <v>0</v>
      </c>
      <c r="QZ213" s="70">
        <f>QZ212</f>
        <v>207.6</v>
      </c>
      <c r="RA213" s="71"/>
      <c r="RD213" s="72" t="s">
        <v>72</v>
      </c>
      <c r="RE213" s="73">
        <f>SUM(RE183:RE212)</f>
        <v>0</v>
      </c>
      <c r="RF213" s="69">
        <f>SUM(RF183:RF212)</f>
        <v>0</v>
      </c>
      <c r="RG213" s="73">
        <f>SUM(RG183:RG212)</f>
        <v>0</v>
      </c>
      <c r="RH213" s="69">
        <f>SUM(RH183:RH212)</f>
        <v>0</v>
      </c>
      <c r="RI213" s="70">
        <f>RI212</f>
        <v>147.04000000000002</v>
      </c>
      <c r="RJ213" s="71"/>
      <c r="RM213" s="72" t="s">
        <v>72</v>
      </c>
      <c r="RN213" s="73">
        <f>SUM(RN183:RN212)</f>
        <v>0</v>
      </c>
      <c r="RO213" s="69">
        <f>SUM(RO183:RO212)</f>
        <v>0</v>
      </c>
      <c r="RP213" s="73">
        <f>SUM(RP183:RP212)</f>
        <v>0</v>
      </c>
      <c r="RQ213" s="69">
        <f>SUM(RQ183:RQ212)</f>
        <v>0</v>
      </c>
      <c r="RR213" s="70">
        <f>RR212</f>
        <v>46.8</v>
      </c>
      <c r="RS213" s="71"/>
      <c r="RV213" s="72" t="s">
        <v>72</v>
      </c>
      <c r="RW213" s="73">
        <f>SUM(RW183:RW212)</f>
        <v>0</v>
      </c>
      <c r="RX213" s="69">
        <f>SUM(RX183:RX212)</f>
        <v>0</v>
      </c>
      <c r="RY213" s="73">
        <f>SUM(RY183:RY212)</f>
        <v>0</v>
      </c>
      <c r="RZ213" s="69">
        <f>SUM(RZ183:RZ212)</f>
        <v>0</v>
      </c>
      <c r="SA213" s="70">
        <f>SA212</f>
        <v>0</v>
      </c>
      <c r="SB213" s="71"/>
      <c r="SE213" s="72" t="s">
        <v>72</v>
      </c>
      <c r="SF213" s="73">
        <f>SUM(SF183:SF212)</f>
        <v>0</v>
      </c>
      <c r="SG213" s="69">
        <f>SUM(SG183:SG212)</f>
        <v>0</v>
      </c>
      <c r="SH213" s="73">
        <f>SUM(SH183:SH212)</f>
        <v>0</v>
      </c>
      <c r="SI213" s="69">
        <f>SUM(SI183:SI212)</f>
        <v>0</v>
      </c>
      <c r="SJ213" s="70">
        <f>SJ212</f>
        <v>24.200000000000003</v>
      </c>
      <c r="SK213" s="71"/>
      <c r="SN213" s="72" t="s">
        <v>72</v>
      </c>
      <c r="SO213" s="73">
        <f>SUM(SO183:SO212)</f>
        <v>0</v>
      </c>
      <c r="SP213" s="69">
        <f>SUM(SP183:SP212)</f>
        <v>0</v>
      </c>
      <c r="SQ213" s="73">
        <f>SUM(SQ183:SQ212)</f>
        <v>0</v>
      </c>
      <c r="SR213" s="69">
        <f>SUM(SR183:SR212)</f>
        <v>0</v>
      </c>
      <c r="SS213" s="70">
        <f>SS212</f>
        <v>32</v>
      </c>
      <c r="ST213" s="71"/>
      <c r="SW213" s="72" t="s">
        <v>72</v>
      </c>
      <c r="SX213" s="73">
        <f>SUM(SX183:SX212)</f>
        <v>0</v>
      </c>
      <c r="SY213" s="69">
        <f>SUM(SY183:SY212)</f>
        <v>0</v>
      </c>
      <c r="SZ213" s="73">
        <f>SUM(SZ183:SZ212)</f>
        <v>0</v>
      </c>
      <c r="TA213" s="69">
        <f>SUM(TA183:TA212)</f>
        <v>0</v>
      </c>
      <c r="TB213" s="70">
        <f>TB212</f>
        <v>0</v>
      </c>
      <c r="TC213" s="71"/>
      <c r="TF213" s="72" t="s">
        <v>72</v>
      </c>
      <c r="TG213" s="73">
        <f>SUM(TG183:TG212)</f>
        <v>60</v>
      </c>
      <c r="TH213" s="69">
        <f>SUM(TH183:TH212)</f>
        <v>60</v>
      </c>
      <c r="TI213" s="73">
        <f>SUM(TI183:TI212)</f>
        <v>60</v>
      </c>
      <c r="TJ213" s="69">
        <f>SUM(TJ183:TJ212)</f>
        <v>0</v>
      </c>
      <c r="TK213" s="70">
        <f>TK212</f>
        <v>0</v>
      </c>
      <c r="TL213" s="71"/>
      <c r="TO213" s="72" t="s">
        <v>72</v>
      </c>
      <c r="TP213" s="73">
        <f>SUM(TP183:TP212)</f>
        <v>82.4</v>
      </c>
      <c r="TQ213" s="69">
        <f>SUM(TQ183:TQ212)</f>
        <v>0</v>
      </c>
      <c r="TR213" s="73">
        <f>SUM(TR183:TR212)</f>
        <v>60</v>
      </c>
      <c r="TS213" s="69">
        <f>SUM(TS183:TS212)</f>
        <v>-60</v>
      </c>
      <c r="TT213" s="70">
        <f>TT212</f>
        <v>22.400000000000006</v>
      </c>
      <c r="TU213" s="71"/>
      <c r="TX213" s="72" t="s">
        <v>72</v>
      </c>
      <c r="TY213" s="73">
        <f>SUM(TY183:TY212)</f>
        <v>33.6</v>
      </c>
      <c r="TZ213" s="69">
        <f>SUM(TZ183:TZ212)</f>
        <v>0</v>
      </c>
      <c r="UA213" s="73">
        <f>SUM(UA183:UA212)</f>
        <v>122.4</v>
      </c>
      <c r="UB213" s="69">
        <f>SUM(UB183:UB212)</f>
        <v>-122.4</v>
      </c>
      <c r="UC213" s="70">
        <f>UC212</f>
        <v>46.799999999999983</v>
      </c>
      <c r="UD213" s="71"/>
      <c r="UG213" s="72" t="s">
        <v>72</v>
      </c>
      <c r="UH213" s="73">
        <f>SUM(UH183:UH212)</f>
        <v>76</v>
      </c>
      <c r="UI213" s="69">
        <f>SUM(UI183:UI212)</f>
        <v>0</v>
      </c>
      <c r="UJ213" s="73">
        <f>SUM(UJ183:UJ212)</f>
        <v>0</v>
      </c>
      <c r="UK213" s="69">
        <f>SUM(UK183:UK212)</f>
        <v>0</v>
      </c>
      <c r="UL213" s="70">
        <f>UL212</f>
        <v>204</v>
      </c>
      <c r="UM213" s="71"/>
      <c r="UP213" s="72" t="s">
        <v>72</v>
      </c>
      <c r="UQ213" s="73">
        <f>SUM(UQ183:UQ212)</f>
        <v>240</v>
      </c>
      <c r="UR213" s="69">
        <f>SUM(UR183:UR212)</f>
        <v>0</v>
      </c>
      <c r="US213" s="73">
        <f>SUM(US183:US212)</f>
        <v>0</v>
      </c>
      <c r="UT213" s="69">
        <f>SUM(UT183:UT212)</f>
        <v>0</v>
      </c>
      <c r="UU213" s="70">
        <f>UU212</f>
        <v>251.25</v>
      </c>
      <c r="UV213" s="71"/>
      <c r="UY213" s="72" t="s">
        <v>72</v>
      </c>
      <c r="UZ213" s="73">
        <f>SUM(UZ183:UZ212)</f>
        <v>0</v>
      </c>
      <c r="VA213" s="69">
        <f>SUM(VA183:VA212)</f>
        <v>0</v>
      </c>
      <c r="VB213" s="73">
        <f>SUM(VB183:VB212)</f>
        <v>0</v>
      </c>
      <c r="VC213" s="69">
        <f>SUM(VC183:VC212)</f>
        <v>0</v>
      </c>
      <c r="VD213" s="70">
        <f>VD212</f>
        <v>41.600000000000023</v>
      </c>
      <c r="VE213" s="71"/>
      <c r="VH213" s="72" t="s">
        <v>72</v>
      </c>
      <c r="VI213" s="73">
        <f>SUM(VI183:VI212)</f>
        <v>250</v>
      </c>
      <c r="VJ213" s="69">
        <f>SUM(VJ183:VJ212)</f>
        <v>0</v>
      </c>
      <c r="VK213" s="73">
        <f>SUM(VK183:VK212)</f>
        <v>40</v>
      </c>
      <c r="VL213" s="69">
        <f>SUM(VL183:VL212)</f>
        <v>-40</v>
      </c>
      <c r="VM213" s="70">
        <f>VM212</f>
        <v>210</v>
      </c>
      <c r="VN213" s="71"/>
      <c r="VQ213" s="72" t="s">
        <v>72</v>
      </c>
      <c r="VR213" s="73">
        <f>SUM(VR183:VR212)</f>
        <v>0</v>
      </c>
      <c r="VS213" s="69">
        <f>SUM(VS183:VS212)</f>
        <v>785</v>
      </c>
      <c r="VT213" s="73">
        <f>SUM(VT183:VT212)</f>
        <v>0</v>
      </c>
      <c r="VU213" s="69">
        <f>SUM(VU183:VU212)</f>
        <v>785</v>
      </c>
      <c r="VV213" s="70">
        <f>VV212</f>
        <v>0</v>
      </c>
      <c r="VW213" s="71"/>
      <c r="VZ213" s="72" t="s">
        <v>72</v>
      </c>
      <c r="WA213" s="73">
        <f>SUM(WA183:WA212)</f>
        <v>0</v>
      </c>
      <c r="WB213" s="69">
        <f>SUM(WB183:WB212)</f>
        <v>785</v>
      </c>
      <c r="WC213" s="73">
        <f>SUM(WC183:WC212)</f>
        <v>0</v>
      </c>
      <c r="WD213" s="69">
        <f>SUM(WD183:WD212)</f>
        <v>785</v>
      </c>
      <c r="WE213" s="70">
        <f>WE212</f>
        <v>0</v>
      </c>
      <c r="WF213" s="71"/>
      <c r="WI213" s="72" t="s">
        <v>72</v>
      </c>
      <c r="WJ213" s="426">
        <f>SUM(WJ183:WJ212)</f>
        <v>0</v>
      </c>
      <c r="WK213" s="427">
        <f>SUM(WK183:WK212)</f>
        <v>0</v>
      </c>
      <c r="WL213" s="426">
        <f>SUM(WL183:WL212)</f>
        <v>142</v>
      </c>
      <c r="WM213" s="427">
        <f>SUM(WM183:WM212)</f>
        <v>-142</v>
      </c>
      <c r="WN213" s="428">
        <f>WN212</f>
        <v>1057</v>
      </c>
      <c r="WO213" s="71"/>
      <c r="WR213" s="72" t="s">
        <v>72</v>
      </c>
      <c r="WS213" s="426">
        <f>SUM(WS183:WS212)</f>
        <v>0</v>
      </c>
      <c r="WT213" s="427">
        <f>SUM(WT183:WT212)</f>
        <v>0</v>
      </c>
      <c r="WU213" s="426">
        <f>SUM(WU183:WU212)</f>
        <v>0</v>
      </c>
      <c r="WV213" s="427">
        <f>SUM(WV183:WV212)</f>
        <v>0</v>
      </c>
      <c r="WW213" s="428">
        <f>WW212</f>
        <v>0</v>
      </c>
      <c r="WX213" s="71"/>
      <c r="XA213" s="72" t="s">
        <v>72</v>
      </c>
      <c r="XB213" s="426">
        <f>SUM(XB183:XB212)</f>
        <v>694</v>
      </c>
      <c r="XC213" s="427">
        <f>SUM(XC183:XC212)</f>
        <v>0</v>
      </c>
      <c r="XD213" s="426">
        <f>SUM(XD183:XD212)</f>
        <v>0</v>
      </c>
      <c r="XE213" s="427">
        <f>SUM(XE183:XE212)</f>
        <v>0</v>
      </c>
      <c r="XF213" s="428">
        <f>XF212</f>
        <v>7507</v>
      </c>
      <c r="XG213" s="71"/>
      <c r="XJ213" s="72" t="s">
        <v>72</v>
      </c>
      <c r="XK213" s="426">
        <f>SUM(XK183:XK212)</f>
        <v>417</v>
      </c>
      <c r="XL213" s="427">
        <f>SUM(XL183:XL212)</f>
        <v>0</v>
      </c>
      <c r="XM213" s="426">
        <f>SUM(XM183:XM212)</f>
        <v>3989</v>
      </c>
      <c r="XN213" s="427">
        <f>SUM(XN183:XN212)</f>
        <v>-3989</v>
      </c>
      <c r="XO213" s="428">
        <f>XO212</f>
        <v>4252</v>
      </c>
      <c r="XP213" s="71"/>
      <c r="XS213" s="72" t="s">
        <v>72</v>
      </c>
      <c r="XT213" s="73">
        <f>SUM(XT183:XT212)</f>
        <v>558</v>
      </c>
      <c r="XU213" s="69">
        <f>SUM(XU183:XU212)</f>
        <v>0</v>
      </c>
      <c r="XV213" s="73">
        <f>SUM(XV183:XV212)</f>
        <v>0</v>
      </c>
      <c r="XW213" s="69">
        <f>SUM(XW183:XW212)</f>
        <v>0</v>
      </c>
      <c r="XX213" s="70">
        <f>XX212</f>
        <v>2179</v>
      </c>
      <c r="XY213" s="71"/>
      <c r="YB213" s="72" t="s">
        <v>72</v>
      </c>
      <c r="YC213" s="73">
        <f>SUM(YC183:YC212)</f>
        <v>121</v>
      </c>
      <c r="YD213" s="69">
        <f>SUM(YD183:YD212)</f>
        <v>0</v>
      </c>
      <c r="YE213" s="73">
        <f>SUM(YE183:YE212)</f>
        <v>2295</v>
      </c>
      <c r="YF213" s="69">
        <f>SUM(YF183:YF212)</f>
        <v>-2295</v>
      </c>
      <c r="YG213" s="70">
        <f>YG212</f>
        <v>4019</v>
      </c>
      <c r="YH213" s="71"/>
      <c r="YK213" s="72" t="s">
        <v>72</v>
      </c>
      <c r="YL213" s="73">
        <f>SUM(YL183:YL212)</f>
        <v>0</v>
      </c>
      <c r="YM213" s="69">
        <f>SUM(YM183:YM212)</f>
        <v>0</v>
      </c>
      <c r="YN213" s="73">
        <f>SUM(YN183:YN212)</f>
        <v>0</v>
      </c>
      <c r="YO213" s="69">
        <f>SUM(YO183:YO212)</f>
        <v>0</v>
      </c>
      <c r="YP213" s="70">
        <f>YP212</f>
        <v>0</v>
      </c>
      <c r="YQ213" s="71"/>
      <c r="YT213" s="72" t="s">
        <v>72</v>
      </c>
      <c r="YU213" s="73">
        <f>SUM(YU183:YU212)</f>
        <v>0</v>
      </c>
      <c r="YV213" s="69">
        <f>SUM(YV183:YV212)</f>
        <v>785</v>
      </c>
      <c r="YW213" s="73">
        <f>SUM(YW183:YW212)</f>
        <v>0</v>
      </c>
      <c r="YX213" s="69">
        <f>SUM(YX183:YX212)</f>
        <v>785</v>
      </c>
      <c r="YY213" s="70">
        <f>YY212</f>
        <v>0</v>
      </c>
      <c r="YZ213" s="71"/>
      <c r="ZC213" s="72" t="s">
        <v>72</v>
      </c>
      <c r="ZD213" s="73">
        <f>SUM(ZD183:ZD212)</f>
        <v>0</v>
      </c>
      <c r="ZE213" s="69">
        <f>SUM(ZE183:ZE212)</f>
        <v>785</v>
      </c>
      <c r="ZF213" s="73">
        <f>SUM(ZF183:ZF212)</f>
        <v>0</v>
      </c>
      <c r="ZG213" s="69">
        <f>SUM(ZG183:ZG212)</f>
        <v>785</v>
      </c>
      <c r="ZH213" s="70">
        <f>ZH212</f>
        <v>0</v>
      </c>
      <c r="ZI213" s="71"/>
      <c r="ZL213" s="72" t="s">
        <v>72</v>
      </c>
      <c r="ZM213" s="73">
        <f>SUM(ZM183:ZM212)</f>
        <v>0</v>
      </c>
      <c r="ZN213" s="69">
        <f>SUM(ZN183:ZN212)</f>
        <v>785</v>
      </c>
      <c r="ZO213" s="73">
        <f>SUM(ZO183:ZO212)</f>
        <v>0</v>
      </c>
      <c r="ZP213" s="69">
        <f>SUM(ZP183:ZP212)</f>
        <v>785</v>
      </c>
      <c r="ZQ213" s="70">
        <f>ZQ212</f>
        <v>0</v>
      </c>
      <c r="ZR213" s="71"/>
      <c r="ZU213" s="72" t="s">
        <v>72</v>
      </c>
      <c r="ZV213" s="73">
        <f>SUM(ZV183:ZV212)</f>
        <v>0</v>
      </c>
      <c r="ZW213" s="69">
        <f>SUM(ZW183:ZW212)</f>
        <v>785</v>
      </c>
      <c r="ZX213" s="73">
        <f>SUM(ZX183:ZX212)</f>
        <v>0</v>
      </c>
      <c r="ZY213" s="69">
        <f>SUM(ZY183:ZY212)</f>
        <v>785</v>
      </c>
      <c r="ZZ213" s="70">
        <f>ZZ212</f>
        <v>0</v>
      </c>
      <c r="AAA213" s="71"/>
      <c r="AAD213" s="72" t="s">
        <v>72</v>
      </c>
      <c r="AAE213" s="73">
        <f>SUM(AAE183:AAE212)</f>
        <v>0</v>
      </c>
      <c r="AAF213" s="69">
        <f>SUM(AAF183:AAF212)</f>
        <v>785</v>
      </c>
      <c r="AAG213" s="73">
        <f>SUM(AAG183:AAG212)</f>
        <v>0</v>
      </c>
      <c r="AAH213" s="69">
        <f>SUM(AAH183:AAH212)</f>
        <v>785</v>
      </c>
      <c r="AAI213" s="70">
        <f>AAI212</f>
        <v>0</v>
      </c>
      <c r="AAJ213" s="71"/>
      <c r="AAM213" s="72" t="s">
        <v>72</v>
      </c>
      <c r="AAN213" s="73">
        <f>SUM(AAN183:AAN212)</f>
        <v>0</v>
      </c>
      <c r="AAO213" s="69">
        <f>SUM(AAO183:AAO212)</f>
        <v>785</v>
      </c>
      <c r="AAP213" s="73">
        <f>SUM(AAP183:AAP212)</f>
        <v>0</v>
      </c>
      <c r="AAQ213" s="69">
        <f>SUM(AAQ183:AAQ212)</f>
        <v>785</v>
      </c>
      <c r="AAR213" s="70">
        <f>AAR212</f>
        <v>0</v>
      </c>
      <c r="AAS213" s="71"/>
      <c r="AAV213" s="72" t="s">
        <v>72</v>
      </c>
      <c r="AAW213" s="73">
        <f>SUM(AAW183:AAW212)</f>
        <v>0</v>
      </c>
      <c r="AAX213" s="69">
        <f>SUM(AAX183:AAX212)</f>
        <v>785</v>
      </c>
      <c r="AAY213" s="73">
        <f>SUM(AAY183:AAY212)</f>
        <v>0</v>
      </c>
      <c r="AAZ213" s="69">
        <f>SUM(AAZ183:AAZ212)</f>
        <v>785</v>
      </c>
      <c r="ABA213" s="70">
        <f>ABA212</f>
        <v>0</v>
      </c>
      <c r="ABB213" s="71"/>
      <c r="ABE213" s="72" t="s">
        <v>72</v>
      </c>
      <c r="ABF213" s="73">
        <f>SUM(ABF183:ABF212)</f>
        <v>0</v>
      </c>
      <c r="ABG213" s="69">
        <f>SUM(ABG183:ABG212)</f>
        <v>785</v>
      </c>
      <c r="ABH213" s="73">
        <f>SUM(ABH183:ABH212)</f>
        <v>0</v>
      </c>
      <c r="ABI213" s="69">
        <f>SUM(ABI183:ABI212)</f>
        <v>785</v>
      </c>
      <c r="ABJ213" s="70">
        <f>ABJ212</f>
        <v>0</v>
      </c>
      <c r="ABK213" s="71"/>
    </row>
    <row r="214" spans="1:739" ht="14.45" thickBot="1">
      <c r="C214" s="75"/>
      <c r="L214" s="75"/>
      <c r="U214" s="75"/>
      <c r="AD214" s="75"/>
      <c r="AM214" s="75"/>
      <c r="AV214" s="75"/>
      <c r="BE214" s="75"/>
      <c r="BN214" s="75"/>
      <c r="BW214" s="75"/>
      <c r="CF214" s="75"/>
      <c r="CO214" s="75"/>
      <c r="CX214" s="75"/>
      <c r="DG214" s="75"/>
      <c r="DP214" s="75"/>
      <c r="DY214" s="75"/>
      <c r="EH214" s="75"/>
      <c r="EQ214" s="75"/>
      <c r="EZ214" s="75"/>
      <c r="FI214" s="75"/>
      <c r="FR214" s="75"/>
      <c r="GA214" s="75"/>
      <c r="GJ214" s="75"/>
      <c r="GS214" s="75"/>
      <c r="HB214" s="75"/>
      <c r="HK214" s="75"/>
      <c r="HU214" s="75"/>
      <c r="ID214" s="75"/>
      <c r="IM214" s="75"/>
      <c r="IV214" s="75"/>
      <c r="JE214" s="75"/>
      <c r="JN214" s="75"/>
      <c r="JW214" s="75"/>
      <c r="KF214" s="75"/>
      <c r="KO214" s="75"/>
      <c r="KX214" s="75"/>
      <c r="LG214" s="75"/>
      <c r="LP214" s="75"/>
      <c r="LY214" s="75"/>
      <c r="MH214" s="75"/>
      <c r="MQ214" s="75"/>
      <c r="MZ214" s="75"/>
      <c r="NI214" s="75"/>
      <c r="NR214" s="75"/>
      <c r="OA214" s="75"/>
      <c r="OJ214" s="75"/>
      <c r="OS214" s="75"/>
      <c r="PB214" s="75"/>
      <c r="PK214" s="75"/>
      <c r="PT214" s="75"/>
      <c r="QC214" s="75"/>
      <c r="QL214" s="75"/>
      <c r="QU214" s="75"/>
      <c r="RD214" s="75"/>
      <c r="RM214" s="75"/>
      <c r="RV214" s="75"/>
      <c r="SE214" s="75"/>
      <c r="SN214" s="75"/>
      <c r="SW214" s="75"/>
      <c r="TF214" s="75"/>
      <c r="TO214" s="75"/>
      <c r="TX214" s="75"/>
      <c r="UG214" s="75"/>
      <c r="UP214" s="75"/>
      <c r="UY214" s="75"/>
      <c r="VH214" s="75"/>
      <c r="VQ214" s="75"/>
      <c r="VZ214" s="75"/>
      <c r="WI214" s="75"/>
      <c r="WR214" s="75"/>
      <c r="XA214" s="75"/>
      <c r="XJ214" s="75"/>
      <c r="XS214" s="75"/>
      <c r="YB214" s="75"/>
      <c r="YK214" s="75"/>
      <c r="YT214" s="75"/>
      <c r="ZC214" s="75"/>
      <c r="ZL214" s="75"/>
      <c r="ZU214" s="75"/>
      <c r="AAD214" s="75"/>
      <c r="AAM214" s="75"/>
      <c r="AAV214" s="75"/>
      <c r="ABE214" s="75"/>
    </row>
    <row r="215" spans="1:739" ht="14.45" thickBot="1">
      <c r="A215" s="22" t="s">
        <v>296</v>
      </c>
      <c r="C215" s="569" t="s">
        <v>149</v>
      </c>
      <c r="D215" s="570"/>
      <c r="E215" s="570"/>
      <c r="F215" s="570"/>
      <c r="G215" s="570"/>
      <c r="H215" s="571"/>
      <c r="I215" s="321"/>
      <c r="J215" s="22" t="s">
        <v>296</v>
      </c>
      <c r="L215" s="569" t="s">
        <v>149</v>
      </c>
      <c r="M215" s="570"/>
      <c r="N215" s="570"/>
      <c r="O215" s="570"/>
      <c r="P215" s="570"/>
      <c r="Q215" s="571"/>
      <c r="R215" s="24"/>
      <c r="S215" s="22" t="s">
        <v>296</v>
      </c>
      <c r="U215" s="569" t="s">
        <v>149</v>
      </c>
      <c r="V215" s="570"/>
      <c r="W215" s="570"/>
      <c r="X215" s="570"/>
      <c r="Y215" s="570"/>
      <c r="Z215" s="571"/>
      <c r="AA215" s="24"/>
      <c r="AB215" s="22" t="s">
        <v>296</v>
      </c>
      <c r="AD215" s="569" t="s">
        <v>149</v>
      </c>
      <c r="AE215" s="570"/>
      <c r="AF215" s="570"/>
      <c r="AG215" s="570"/>
      <c r="AH215" s="570"/>
      <c r="AI215" s="571"/>
      <c r="AJ215" s="24"/>
      <c r="AK215" s="22" t="s">
        <v>296</v>
      </c>
      <c r="AM215" s="569" t="s">
        <v>149</v>
      </c>
      <c r="AN215" s="570"/>
      <c r="AO215" s="570"/>
      <c r="AP215" s="570"/>
      <c r="AQ215" s="570"/>
      <c r="AR215" s="571"/>
      <c r="AS215" s="24"/>
      <c r="AT215" s="22" t="s">
        <v>296</v>
      </c>
      <c r="AV215" s="569" t="s">
        <v>149</v>
      </c>
      <c r="AW215" s="570"/>
      <c r="AX215" s="570"/>
      <c r="AY215" s="570"/>
      <c r="AZ215" s="570"/>
      <c r="BA215" s="571"/>
      <c r="BB215" s="24"/>
      <c r="BC215" s="22" t="s">
        <v>296</v>
      </c>
      <c r="BE215" s="569" t="s">
        <v>149</v>
      </c>
      <c r="BF215" s="570"/>
      <c r="BG215" s="570"/>
      <c r="BH215" s="570"/>
      <c r="BI215" s="570"/>
      <c r="BJ215" s="571"/>
      <c r="BK215" s="24"/>
      <c r="BL215" s="22" t="s">
        <v>296</v>
      </c>
      <c r="BN215" s="569" t="s">
        <v>149</v>
      </c>
      <c r="BO215" s="570"/>
      <c r="BP215" s="570"/>
      <c r="BQ215" s="570"/>
      <c r="BR215" s="570"/>
      <c r="BS215" s="571"/>
      <c r="BT215" s="24"/>
      <c r="BU215" s="22" t="s">
        <v>296</v>
      </c>
      <c r="BW215" s="569" t="s">
        <v>149</v>
      </c>
      <c r="BX215" s="570"/>
      <c r="BY215" s="570"/>
      <c r="BZ215" s="570"/>
      <c r="CA215" s="570"/>
      <c r="CB215" s="571"/>
      <c r="CC215" s="24"/>
      <c r="CD215" s="22" t="s">
        <v>296</v>
      </c>
      <c r="CF215" s="569" t="s">
        <v>149</v>
      </c>
      <c r="CG215" s="570"/>
      <c r="CH215" s="570"/>
      <c r="CI215" s="570"/>
      <c r="CJ215" s="570"/>
      <c r="CK215" s="571"/>
      <c r="CL215" s="24"/>
      <c r="CM215" s="22" t="s">
        <v>296</v>
      </c>
      <c r="CO215" s="569" t="s">
        <v>149</v>
      </c>
      <c r="CP215" s="570"/>
      <c r="CQ215" s="570"/>
      <c r="CR215" s="570"/>
      <c r="CS215" s="570"/>
      <c r="CT215" s="571"/>
      <c r="CU215" s="24"/>
      <c r="CV215" s="22" t="s">
        <v>296</v>
      </c>
      <c r="CX215" s="569" t="s">
        <v>149</v>
      </c>
      <c r="CY215" s="570"/>
      <c r="CZ215" s="570"/>
      <c r="DA215" s="570"/>
      <c r="DB215" s="570"/>
      <c r="DC215" s="571"/>
      <c r="DD215" s="24"/>
      <c r="DE215" s="22" t="s">
        <v>296</v>
      </c>
      <c r="DG215" s="569" t="s">
        <v>149</v>
      </c>
      <c r="DH215" s="570"/>
      <c r="DI215" s="570"/>
      <c r="DJ215" s="570"/>
      <c r="DK215" s="570"/>
      <c r="DL215" s="571"/>
      <c r="DM215" s="24"/>
      <c r="DN215" s="22" t="s">
        <v>296</v>
      </c>
      <c r="DP215" s="569" t="s">
        <v>149</v>
      </c>
      <c r="DQ215" s="570"/>
      <c r="DR215" s="570"/>
      <c r="DS215" s="570"/>
      <c r="DT215" s="570"/>
      <c r="DU215" s="571"/>
      <c r="DV215" s="24"/>
      <c r="DW215" s="22" t="s">
        <v>296</v>
      </c>
      <c r="DY215" s="569" t="s">
        <v>149</v>
      </c>
      <c r="DZ215" s="570"/>
      <c r="EA215" s="570"/>
      <c r="EB215" s="570"/>
      <c r="EC215" s="570"/>
      <c r="ED215" s="571"/>
      <c r="EE215" s="24"/>
      <c r="EF215" s="22" t="s">
        <v>296</v>
      </c>
      <c r="EH215" s="569" t="s">
        <v>149</v>
      </c>
      <c r="EI215" s="570"/>
      <c r="EJ215" s="570"/>
      <c r="EK215" s="570"/>
      <c r="EL215" s="570"/>
      <c r="EM215" s="571"/>
      <c r="EN215" s="24"/>
      <c r="EO215" s="22" t="s">
        <v>296</v>
      </c>
      <c r="EQ215" s="569" t="s">
        <v>149</v>
      </c>
      <c r="ER215" s="570"/>
      <c r="ES215" s="570"/>
      <c r="ET215" s="570"/>
      <c r="EU215" s="570"/>
      <c r="EV215" s="571"/>
      <c r="EW215" s="24"/>
      <c r="EX215" s="22" t="s">
        <v>296</v>
      </c>
      <c r="EZ215" s="569" t="s">
        <v>149</v>
      </c>
      <c r="FA215" s="570"/>
      <c r="FB215" s="570"/>
      <c r="FC215" s="570"/>
      <c r="FD215" s="570"/>
      <c r="FE215" s="571"/>
      <c r="FF215" s="24"/>
      <c r="FG215" s="22" t="s">
        <v>296</v>
      </c>
      <c r="FI215" s="569" t="s">
        <v>149</v>
      </c>
      <c r="FJ215" s="570"/>
      <c r="FK215" s="570"/>
      <c r="FL215" s="570"/>
      <c r="FM215" s="570"/>
      <c r="FN215" s="571"/>
      <c r="FO215" s="24"/>
      <c r="FP215" s="22" t="s">
        <v>296</v>
      </c>
      <c r="FR215" s="569" t="s">
        <v>149</v>
      </c>
      <c r="FS215" s="570"/>
      <c r="FT215" s="570"/>
      <c r="FU215" s="570"/>
      <c r="FV215" s="570"/>
      <c r="FW215" s="571"/>
      <c r="FX215" s="24"/>
      <c r="FY215" s="22" t="s">
        <v>296</v>
      </c>
      <c r="GA215" s="569" t="s">
        <v>149</v>
      </c>
      <c r="GB215" s="570"/>
      <c r="GC215" s="570"/>
      <c r="GD215" s="570"/>
      <c r="GE215" s="570"/>
      <c r="GF215" s="571"/>
      <c r="GG215" s="24"/>
      <c r="GH215" s="22" t="s">
        <v>296</v>
      </c>
      <c r="GJ215" s="569" t="s">
        <v>149</v>
      </c>
      <c r="GK215" s="570"/>
      <c r="GL215" s="570"/>
      <c r="GM215" s="570"/>
      <c r="GN215" s="570"/>
      <c r="GO215" s="571"/>
      <c r="GP215" s="24"/>
      <c r="GQ215" s="22" t="s">
        <v>296</v>
      </c>
      <c r="GS215" s="569" t="s">
        <v>149</v>
      </c>
      <c r="GT215" s="570"/>
      <c r="GU215" s="570"/>
      <c r="GV215" s="570"/>
      <c r="GW215" s="570"/>
      <c r="GX215" s="571"/>
      <c r="GY215" s="24"/>
      <c r="GZ215" s="22" t="s">
        <v>296</v>
      </c>
      <c r="HB215" s="569" t="s">
        <v>149</v>
      </c>
      <c r="HC215" s="570"/>
      <c r="HD215" s="570"/>
      <c r="HE215" s="570"/>
      <c r="HF215" s="570"/>
      <c r="HG215" s="571"/>
      <c r="HH215" s="24"/>
      <c r="HI215" s="22" t="s">
        <v>296</v>
      </c>
      <c r="HK215" s="569" t="s">
        <v>149</v>
      </c>
      <c r="HL215" s="570"/>
      <c r="HM215" s="570"/>
      <c r="HN215" s="570"/>
      <c r="HO215" s="570"/>
      <c r="HP215" s="571"/>
      <c r="HQ215" s="24"/>
      <c r="HS215" s="22" t="s">
        <v>296</v>
      </c>
      <c r="HU215" s="569" t="s">
        <v>149</v>
      </c>
      <c r="HV215" s="570"/>
      <c r="HW215" s="570"/>
      <c r="HX215" s="570"/>
      <c r="HY215" s="570"/>
      <c r="HZ215" s="571"/>
      <c r="IA215" s="24"/>
      <c r="IB215" s="22" t="s">
        <v>296</v>
      </c>
      <c r="ID215" s="569" t="s">
        <v>149</v>
      </c>
      <c r="IE215" s="570"/>
      <c r="IF215" s="570"/>
      <c r="IG215" s="570"/>
      <c r="IH215" s="570"/>
      <c r="II215" s="571"/>
      <c r="IJ215" s="24"/>
      <c r="IK215" s="22" t="s">
        <v>296</v>
      </c>
      <c r="IM215" s="569" t="s">
        <v>149</v>
      </c>
      <c r="IN215" s="570"/>
      <c r="IO215" s="570"/>
      <c r="IP215" s="570"/>
      <c r="IQ215" s="570"/>
      <c r="IR215" s="571"/>
      <c r="IS215" s="24"/>
      <c r="IT215" s="22" t="s">
        <v>296</v>
      </c>
      <c r="IV215" s="569" t="s">
        <v>149</v>
      </c>
      <c r="IW215" s="570"/>
      <c r="IX215" s="570"/>
      <c r="IY215" s="570"/>
      <c r="IZ215" s="570"/>
      <c r="JA215" s="571"/>
      <c r="JB215" s="24"/>
      <c r="JC215" s="22" t="s">
        <v>296</v>
      </c>
      <c r="JE215" s="569" t="s">
        <v>149</v>
      </c>
      <c r="JF215" s="570"/>
      <c r="JG215" s="570"/>
      <c r="JH215" s="570"/>
      <c r="JI215" s="570"/>
      <c r="JJ215" s="571"/>
      <c r="JK215" s="24"/>
      <c r="JL215" s="22" t="s">
        <v>296</v>
      </c>
      <c r="JN215" s="569" t="s">
        <v>149</v>
      </c>
      <c r="JO215" s="570"/>
      <c r="JP215" s="570"/>
      <c r="JQ215" s="570"/>
      <c r="JR215" s="570"/>
      <c r="JS215" s="571"/>
      <c r="JT215" s="24"/>
      <c r="JU215" s="22" t="s">
        <v>296</v>
      </c>
      <c r="JW215" s="569" t="s">
        <v>149</v>
      </c>
      <c r="JX215" s="570"/>
      <c r="JY215" s="570"/>
      <c r="JZ215" s="570"/>
      <c r="KA215" s="570"/>
      <c r="KB215" s="571"/>
      <c r="KC215" s="24"/>
      <c r="KD215" s="22" t="s">
        <v>296</v>
      </c>
      <c r="KF215" s="569" t="s">
        <v>149</v>
      </c>
      <c r="KG215" s="570"/>
      <c r="KH215" s="570"/>
      <c r="KI215" s="570"/>
      <c r="KJ215" s="570"/>
      <c r="KK215" s="571"/>
      <c r="KL215" s="24"/>
      <c r="KM215" s="22" t="s">
        <v>296</v>
      </c>
      <c r="KO215" s="569" t="s">
        <v>149</v>
      </c>
      <c r="KP215" s="570"/>
      <c r="KQ215" s="570"/>
      <c r="KR215" s="570"/>
      <c r="KS215" s="570"/>
      <c r="KT215" s="571"/>
      <c r="KU215" s="24"/>
      <c r="KV215" s="22" t="s">
        <v>296</v>
      </c>
      <c r="KX215" s="569" t="s">
        <v>149</v>
      </c>
      <c r="KY215" s="570"/>
      <c r="KZ215" s="570"/>
      <c r="LA215" s="570"/>
      <c r="LB215" s="570"/>
      <c r="LC215" s="571"/>
      <c r="LD215" s="24"/>
      <c r="LE215" s="22" t="s">
        <v>296</v>
      </c>
      <c r="LG215" s="569" t="s">
        <v>149</v>
      </c>
      <c r="LH215" s="570"/>
      <c r="LI215" s="570"/>
      <c r="LJ215" s="570"/>
      <c r="LK215" s="570"/>
      <c r="LL215" s="571"/>
      <c r="LM215" s="24"/>
      <c r="LN215" s="22" t="s">
        <v>296</v>
      </c>
      <c r="LP215" s="569" t="s">
        <v>149</v>
      </c>
      <c r="LQ215" s="570"/>
      <c r="LR215" s="570"/>
      <c r="LS215" s="570"/>
      <c r="LT215" s="570"/>
      <c r="LU215" s="571"/>
      <c r="LV215" s="24"/>
      <c r="LW215" s="22" t="s">
        <v>296</v>
      </c>
      <c r="LY215" s="569" t="s">
        <v>149</v>
      </c>
      <c r="LZ215" s="570"/>
      <c r="MA215" s="570"/>
      <c r="MB215" s="570"/>
      <c r="MC215" s="570"/>
      <c r="MD215" s="571"/>
      <c r="ME215" s="24"/>
      <c r="MF215" s="22" t="s">
        <v>296</v>
      </c>
      <c r="MH215" s="569" t="s">
        <v>149</v>
      </c>
      <c r="MI215" s="570"/>
      <c r="MJ215" s="570"/>
      <c r="MK215" s="570"/>
      <c r="ML215" s="570"/>
      <c r="MM215" s="571"/>
      <c r="MN215" s="24"/>
      <c r="MO215" s="22" t="s">
        <v>296</v>
      </c>
      <c r="MQ215" s="569" t="s">
        <v>149</v>
      </c>
      <c r="MR215" s="570"/>
      <c r="MS215" s="570"/>
      <c r="MT215" s="570"/>
      <c r="MU215" s="570"/>
      <c r="MV215" s="571"/>
      <c r="MW215" s="24"/>
      <c r="MX215" s="22" t="s">
        <v>296</v>
      </c>
      <c r="MZ215" s="569" t="s">
        <v>149</v>
      </c>
      <c r="NA215" s="570"/>
      <c r="NB215" s="570"/>
      <c r="NC215" s="570"/>
      <c r="ND215" s="570"/>
      <c r="NE215" s="571"/>
      <c r="NF215" s="24"/>
      <c r="NG215" s="22" t="s">
        <v>296</v>
      </c>
      <c r="NI215" s="569" t="s">
        <v>149</v>
      </c>
      <c r="NJ215" s="570"/>
      <c r="NK215" s="570"/>
      <c r="NL215" s="570"/>
      <c r="NM215" s="570"/>
      <c r="NN215" s="571"/>
      <c r="NO215" s="24"/>
      <c r="NP215" s="22" t="s">
        <v>296</v>
      </c>
      <c r="NR215" s="569" t="s">
        <v>149</v>
      </c>
      <c r="NS215" s="570"/>
      <c r="NT215" s="570"/>
      <c r="NU215" s="570"/>
      <c r="NV215" s="570"/>
      <c r="NW215" s="571"/>
      <c r="NX215" s="24"/>
      <c r="NY215" s="22" t="s">
        <v>296</v>
      </c>
      <c r="OA215" s="589" t="s">
        <v>149</v>
      </c>
      <c r="OB215" s="590"/>
      <c r="OC215" s="590"/>
      <c r="OD215" s="590"/>
      <c r="OE215" s="590"/>
      <c r="OF215" s="591"/>
      <c r="OG215" s="24"/>
      <c r="OH215" s="22" t="s">
        <v>296</v>
      </c>
      <c r="OJ215" s="589" t="s">
        <v>149</v>
      </c>
      <c r="OK215" s="590"/>
      <c r="OL215" s="590"/>
      <c r="OM215" s="590"/>
      <c r="ON215" s="590"/>
      <c r="OO215" s="591"/>
      <c r="OP215" s="24"/>
      <c r="OQ215" s="22" t="s">
        <v>296</v>
      </c>
      <c r="OS215" s="589" t="s">
        <v>149</v>
      </c>
      <c r="OT215" s="590"/>
      <c r="OU215" s="590"/>
      <c r="OV215" s="590"/>
      <c r="OW215" s="590"/>
      <c r="OX215" s="591"/>
      <c r="OY215" s="24"/>
      <c r="OZ215" s="22" t="s">
        <v>296</v>
      </c>
      <c r="PB215" s="569" t="s">
        <v>149</v>
      </c>
      <c r="PC215" s="570"/>
      <c r="PD215" s="570"/>
      <c r="PE215" s="570"/>
      <c r="PF215" s="570"/>
      <c r="PG215" s="571"/>
      <c r="PH215" s="24"/>
      <c r="PI215" s="22" t="s">
        <v>296</v>
      </c>
      <c r="PK215" s="569" t="s">
        <v>149</v>
      </c>
      <c r="PL215" s="570"/>
      <c r="PM215" s="570"/>
      <c r="PN215" s="570"/>
      <c r="PO215" s="570"/>
      <c r="PP215" s="571"/>
      <c r="PQ215" s="24"/>
      <c r="PR215" s="22" t="s">
        <v>296</v>
      </c>
      <c r="PT215" s="569" t="s">
        <v>149</v>
      </c>
      <c r="PU215" s="570"/>
      <c r="PV215" s="570"/>
      <c r="PW215" s="570"/>
      <c r="PX215" s="570"/>
      <c r="PY215" s="571"/>
      <c r="PZ215" s="24"/>
      <c r="QA215" s="22" t="s">
        <v>296</v>
      </c>
      <c r="QC215" s="569" t="s">
        <v>149</v>
      </c>
      <c r="QD215" s="570"/>
      <c r="QE215" s="570"/>
      <c r="QF215" s="570"/>
      <c r="QG215" s="570"/>
      <c r="QH215" s="571"/>
      <c r="QI215" s="24"/>
      <c r="QJ215" s="22" t="s">
        <v>296</v>
      </c>
      <c r="QL215" s="569" t="s">
        <v>149</v>
      </c>
      <c r="QM215" s="570"/>
      <c r="QN215" s="570"/>
      <c r="QO215" s="570"/>
      <c r="QP215" s="570"/>
      <c r="QQ215" s="571"/>
      <c r="QR215" s="24"/>
      <c r="QS215" s="22" t="s">
        <v>296</v>
      </c>
      <c r="QU215" s="569" t="s">
        <v>149</v>
      </c>
      <c r="QV215" s="570"/>
      <c r="QW215" s="570"/>
      <c r="QX215" s="570"/>
      <c r="QY215" s="570"/>
      <c r="QZ215" s="571"/>
      <c r="RA215" s="24"/>
      <c r="RB215" s="22" t="s">
        <v>296</v>
      </c>
      <c r="RD215" s="569" t="s">
        <v>149</v>
      </c>
      <c r="RE215" s="570"/>
      <c r="RF215" s="570"/>
      <c r="RG215" s="570"/>
      <c r="RH215" s="570"/>
      <c r="RI215" s="571"/>
      <c r="RJ215" s="24"/>
      <c r="RK215" s="22" t="s">
        <v>296</v>
      </c>
      <c r="RM215" s="569" t="s">
        <v>149</v>
      </c>
      <c r="RN215" s="570"/>
      <c r="RO215" s="570"/>
      <c r="RP215" s="570"/>
      <c r="RQ215" s="570"/>
      <c r="RR215" s="571"/>
      <c r="RS215" s="24"/>
      <c r="RT215" s="22" t="s">
        <v>296</v>
      </c>
      <c r="RV215" s="569" t="s">
        <v>149</v>
      </c>
      <c r="RW215" s="570"/>
      <c r="RX215" s="570"/>
      <c r="RY215" s="570"/>
      <c r="RZ215" s="570"/>
      <c r="SA215" s="571"/>
      <c r="SB215" s="24"/>
      <c r="SC215" s="22" t="s">
        <v>296</v>
      </c>
      <c r="SE215" s="569" t="s">
        <v>149</v>
      </c>
      <c r="SF215" s="570"/>
      <c r="SG215" s="570"/>
      <c r="SH215" s="570"/>
      <c r="SI215" s="570"/>
      <c r="SJ215" s="571"/>
      <c r="SK215" s="24"/>
      <c r="SL215" s="22" t="s">
        <v>296</v>
      </c>
      <c r="SN215" s="569" t="s">
        <v>149</v>
      </c>
      <c r="SO215" s="570"/>
      <c r="SP215" s="570"/>
      <c r="SQ215" s="570"/>
      <c r="SR215" s="570"/>
      <c r="SS215" s="571"/>
      <c r="ST215" s="24"/>
      <c r="SU215" s="22" t="s">
        <v>296</v>
      </c>
      <c r="SW215" s="569" t="s">
        <v>149</v>
      </c>
      <c r="SX215" s="570"/>
      <c r="SY215" s="570"/>
      <c r="SZ215" s="570"/>
      <c r="TA215" s="570"/>
      <c r="TB215" s="571"/>
      <c r="TC215" s="24"/>
      <c r="TD215" s="22" t="s">
        <v>296</v>
      </c>
      <c r="TF215" s="569" t="s">
        <v>149</v>
      </c>
      <c r="TG215" s="570"/>
      <c r="TH215" s="570"/>
      <c r="TI215" s="570"/>
      <c r="TJ215" s="570"/>
      <c r="TK215" s="571"/>
      <c r="TL215" s="24"/>
      <c r="TM215" s="22" t="s">
        <v>296</v>
      </c>
      <c r="TO215" s="569" t="s">
        <v>149</v>
      </c>
      <c r="TP215" s="570"/>
      <c r="TQ215" s="570"/>
      <c r="TR215" s="570"/>
      <c r="TS215" s="570"/>
      <c r="TT215" s="571"/>
      <c r="TU215" s="24"/>
      <c r="TV215" s="22" t="s">
        <v>296</v>
      </c>
      <c r="TX215" s="569" t="s">
        <v>149</v>
      </c>
      <c r="TY215" s="570"/>
      <c r="TZ215" s="570"/>
      <c r="UA215" s="570"/>
      <c r="UB215" s="570"/>
      <c r="UC215" s="571"/>
      <c r="UD215" s="24"/>
      <c r="UE215" s="22" t="s">
        <v>296</v>
      </c>
      <c r="UG215" s="569" t="s">
        <v>149</v>
      </c>
      <c r="UH215" s="570"/>
      <c r="UI215" s="570"/>
      <c r="UJ215" s="570"/>
      <c r="UK215" s="570"/>
      <c r="UL215" s="571"/>
      <c r="UM215" s="24"/>
      <c r="UN215" s="22" t="s">
        <v>296</v>
      </c>
      <c r="UP215" s="569" t="s">
        <v>149</v>
      </c>
      <c r="UQ215" s="570"/>
      <c r="UR215" s="570"/>
      <c r="US215" s="570"/>
      <c r="UT215" s="570"/>
      <c r="UU215" s="571"/>
      <c r="UV215" s="24"/>
      <c r="UW215" s="22" t="s">
        <v>296</v>
      </c>
      <c r="UY215" s="569" t="s">
        <v>149</v>
      </c>
      <c r="UZ215" s="570"/>
      <c r="VA215" s="570"/>
      <c r="VB215" s="570"/>
      <c r="VC215" s="570"/>
      <c r="VD215" s="571"/>
      <c r="VE215" s="24"/>
      <c r="VF215" s="22" t="s">
        <v>296</v>
      </c>
      <c r="VH215" s="569" t="s">
        <v>149</v>
      </c>
      <c r="VI215" s="570"/>
      <c r="VJ215" s="570"/>
      <c r="VK215" s="570"/>
      <c r="VL215" s="570"/>
      <c r="VM215" s="571"/>
      <c r="VN215" s="24"/>
      <c r="VO215" s="22" t="s">
        <v>296</v>
      </c>
      <c r="VQ215" s="569" t="s">
        <v>149</v>
      </c>
      <c r="VR215" s="570"/>
      <c r="VS215" s="570"/>
      <c r="VT215" s="570"/>
      <c r="VU215" s="570"/>
      <c r="VV215" s="571"/>
      <c r="VW215" s="24"/>
      <c r="VX215" s="22" t="s">
        <v>296</v>
      </c>
      <c r="VZ215" s="569" t="s">
        <v>149</v>
      </c>
      <c r="WA215" s="570"/>
      <c r="WB215" s="570"/>
      <c r="WC215" s="570"/>
      <c r="WD215" s="570"/>
      <c r="WE215" s="571"/>
      <c r="WF215" s="24"/>
      <c r="WG215" s="22" t="s">
        <v>296</v>
      </c>
      <c r="WI215" s="569" t="s">
        <v>149</v>
      </c>
      <c r="WJ215" s="570"/>
      <c r="WK215" s="570"/>
      <c r="WL215" s="570"/>
      <c r="WM215" s="570"/>
      <c r="WN215" s="571"/>
      <c r="WO215" s="24"/>
      <c r="WP215" s="22" t="s">
        <v>296</v>
      </c>
      <c r="WR215" s="569" t="s">
        <v>149</v>
      </c>
      <c r="WS215" s="570"/>
      <c r="WT215" s="570"/>
      <c r="WU215" s="570"/>
      <c r="WV215" s="570"/>
      <c r="WW215" s="571"/>
      <c r="WX215" s="24"/>
      <c r="WY215" s="22" t="s">
        <v>296</v>
      </c>
      <c r="XA215" s="569" t="s">
        <v>149</v>
      </c>
      <c r="XB215" s="570"/>
      <c r="XC215" s="570"/>
      <c r="XD215" s="570"/>
      <c r="XE215" s="570"/>
      <c r="XF215" s="571"/>
      <c r="XG215" s="24"/>
      <c r="XH215" s="22" t="s">
        <v>296</v>
      </c>
      <c r="XJ215" s="569" t="s">
        <v>149</v>
      </c>
      <c r="XK215" s="570"/>
      <c r="XL215" s="570"/>
      <c r="XM215" s="570"/>
      <c r="XN215" s="570"/>
      <c r="XO215" s="571"/>
      <c r="XP215" s="24"/>
      <c r="XQ215" s="22" t="s">
        <v>296</v>
      </c>
      <c r="XS215" s="569" t="s">
        <v>149</v>
      </c>
      <c r="XT215" s="570"/>
      <c r="XU215" s="570"/>
      <c r="XV215" s="570"/>
      <c r="XW215" s="570"/>
      <c r="XX215" s="571"/>
      <c r="XY215" s="24"/>
      <c r="XZ215" s="22" t="s">
        <v>296</v>
      </c>
      <c r="YB215" s="569" t="s">
        <v>149</v>
      </c>
      <c r="YC215" s="570"/>
      <c r="YD215" s="570"/>
      <c r="YE215" s="570"/>
      <c r="YF215" s="570"/>
      <c r="YG215" s="571"/>
      <c r="YH215" s="24"/>
      <c r="YI215" s="22" t="s">
        <v>296</v>
      </c>
      <c r="YK215" s="569" t="s">
        <v>149</v>
      </c>
      <c r="YL215" s="570"/>
      <c r="YM215" s="570"/>
      <c r="YN215" s="570"/>
      <c r="YO215" s="570"/>
      <c r="YP215" s="571"/>
      <c r="YQ215" s="24"/>
      <c r="YR215" s="22" t="s">
        <v>296</v>
      </c>
      <c r="YT215" s="569" t="s">
        <v>149</v>
      </c>
      <c r="YU215" s="570"/>
      <c r="YV215" s="570"/>
      <c r="YW215" s="570"/>
      <c r="YX215" s="570"/>
      <c r="YY215" s="571"/>
      <c r="YZ215" s="24"/>
      <c r="ZA215" s="22" t="s">
        <v>296</v>
      </c>
      <c r="ZC215" s="569" t="s">
        <v>149</v>
      </c>
      <c r="ZD215" s="570"/>
      <c r="ZE215" s="570"/>
      <c r="ZF215" s="570"/>
      <c r="ZG215" s="570"/>
      <c r="ZH215" s="571"/>
      <c r="ZI215" s="24"/>
      <c r="ZJ215" s="22" t="s">
        <v>296</v>
      </c>
      <c r="ZL215" s="569" t="s">
        <v>149</v>
      </c>
      <c r="ZM215" s="570"/>
      <c r="ZN215" s="570"/>
      <c r="ZO215" s="570"/>
      <c r="ZP215" s="570"/>
      <c r="ZQ215" s="571"/>
      <c r="ZR215" s="24"/>
      <c r="ZS215" s="22" t="s">
        <v>296</v>
      </c>
      <c r="ZU215" s="569" t="s">
        <v>149</v>
      </c>
      <c r="ZV215" s="570"/>
      <c r="ZW215" s="570"/>
      <c r="ZX215" s="570"/>
      <c r="ZY215" s="570"/>
      <c r="ZZ215" s="571"/>
      <c r="AAA215" s="24"/>
      <c r="AAB215" s="22" t="s">
        <v>296</v>
      </c>
      <c r="AAD215" s="569" t="s">
        <v>149</v>
      </c>
      <c r="AAE215" s="570"/>
      <c r="AAF215" s="570"/>
      <c r="AAG215" s="570"/>
      <c r="AAH215" s="570"/>
      <c r="AAI215" s="571"/>
      <c r="AAJ215" s="24"/>
      <c r="AAK215" s="22" t="s">
        <v>296</v>
      </c>
      <c r="AAM215" s="569" t="s">
        <v>149</v>
      </c>
      <c r="AAN215" s="570"/>
      <c r="AAO215" s="570"/>
      <c r="AAP215" s="570"/>
      <c r="AAQ215" s="570"/>
      <c r="AAR215" s="571"/>
      <c r="AAS215" s="24"/>
      <c r="AAT215" s="22" t="s">
        <v>296</v>
      </c>
      <c r="AAV215" s="569" t="s">
        <v>149</v>
      </c>
      <c r="AAW215" s="570"/>
      <c r="AAX215" s="570"/>
      <c r="AAY215" s="570"/>
      <c r="AAZ215" s="570"/>
      <c r="ABA215" s="571"/>
      <c r="ABB215" s="24"/>
      <c r="ABC215" s="22" t="s">
        <v>296</v>
      </c>
      <c r="ABE215" s="569" t="s">
        <v>149</v>
      </c>
      <c r="ABF215" s="570"/>
      <c r="ABG215" s="570"/>
      <c r="ABH215" s="570"/>
      <c r="ABI215" s="570"/>
      <c r="ABJ215" s="571"/>
      <c r="ABK215" s="24"/>
    </row>
    <row r="216" spans="1:739" ht="14.45" thickBot="1">
      <c r="C216" s="30" t="s">
        <v>164</v>
      </c>
      <c r="D216" s="77" t="s">
        <v>165</v>
      </c>
      <c r="E216" s="27" t="s">
        <v>166</v>
      </c>
      <c r="F216" s="26" t="s">
        <v>167</v>
      </c>
      <c r="G216" s="27" t="s">
        <v>168</v>
      </c>
      <c r="H216" s="28" t="s">
        <v>169</v>
      </c>
      <c r="I216" s="327" t="s">
        <v>170</v>
      </c>
      <c r="L216" s="30" t="s">
        <v>164</v>
      </c>
      <c r="M216" s="77" t="s">
        <v>165</v>
      </c>
      <c r="N216" s="31" t="s">
        <v>166</v>
      </c>
      <c r="O216" s="26" t="s">
        <v>167</v>
      </c>
      <c r="P216" s="31" t="s">
        <v>168</v>
      </c>
      <c r="Q216" s="83" t="s">
        <v>169</v>
      </c>
      <c r="R216" s="79" t="s">
        <v>170</v>
      </c>
      <c r="U216" s="30" t="s">
        <v>164</v>
      </c>
      <c r="V216" s="77" t="s">
        <v>165</v>
      </c>
      <c r="W216" s="33" t="s">
        <v>166</v>
      </c>
      <c r="X216" s="26" t="s">
        <v>167</v>
      </c>
      <c r="Y216" s="33" t="s">
        <v>168</v>
      </c>
      <c r="Z216" s="84" t="s">
        <v>169</v>
      </c>
      <c r="AA216" s="79" t="s">
        <v>170</v>
      </c>
      <c r="AD216" s="30" t="s">
        <v>164</v>
      </c>
      <c r="AE216" s="77" t="s">
        <v>165</v>
      </c>
      <c r="AF216" s="35" t="s">
        <v>166</v>
      </c>
      <c r="AG216" s="26" t="s">
        <v>167</v>
      </c>
      <c r="AH216" s="35" t="s">
        <v>168</v>
      </c>
      <c r="AI216" s="36" t="s">
        <v>169</v>
      </c>
      <c r="AJ216" s="79" t="s">
        <v>170</v>
      </c>
      <c r="AM216" s="30" t="s">
        <v>164</v>
      </c>
      <c r="AN216" s="77" t="s">
        <v>165</v>
      </c>
      <c r="AO216" s="37" t="s">
        <v>166</v>
      </c>
      <c r="AP216" s="26" t="s">
        <v>167</v>
      </c>
      <c r="AQ216" s="37" t="s">
        <v>168</v>
      </c>
      <c r="AR216" s="38" t="s">
        <v>169</v>
      </c>
      <c r="AS216" s="79" t="s">
        <v>170</v>
      </c>
      <c r="AV216" s="30" t="s">
        <v>164</v>
      </c>
      <c r="AW216" s="77" t="s">
        <v>165</v>
      </c>
      <c r="AX216" s="39" t="s">
        <v>166</v>
      </c>
      <c r="AY216" s="26" t="s">
        <v>167</v>
      </c>
      <c r="AZ216" s="39" t="s">
        <v>168</v>
      </c>
      <c r="BA216" s="40" t="s">
        <v>169</v>
      </c>
      <c r="BB216" s="79" t="s">
        <v>170</v>
      </c>
      <c r="BE216" s="30" t="s">
        <v>164</v>
      </c>
      <c r="BF216" s="77" t="s">
        <v>165</v>
      </c>
      <c r="BG216" s="41" t="s">
        <v>166</v>
      </c>
      <c r="BH216" s="26" t="s">
        <v>167</v>
      </c>
      <c r="BI216" s="41" t="s">
        <v>168</v>
      </c>
      <c r="BJ216" s="42" t="s">
        <v>169</v>
      </c>
      <c r="BK216" s="79" t="s">
        <v>170</v>
      </c>
      <c r="BN216" s="30" t="s">
        <v>164</v>
      </c>
      <c r="BO216" s="77" t="s">
        <v>165</v>
      </c>
      <c r="BP216" s="43" t="s">
        <v>166</v>
      </c>
      <c r="BQ216" s="26" t="s">
        <v>167</v>
      </c>
      <c r="BR216" s="43" t="s">
        <v>168</v>
      </c>
      <c r="BS216" s="44" t="s">
        <v>169</v>
      </c>
      <c r="BT216" s="79" t="s">
        <v>170</v>
      </c>
      <c r="BW216" s="30" t="s">
        <v>164</v>
      </c>
      <c r="BX216" s="77" t="s">
        <v>165</v>
      </c>
      <c r="BY216" s="45" t="s">
        <v>166</v>
      </c>
      <c r="BZ216" s="26" t="s">
        <v>167</v>
      </c>
      <c r="CA216" s="45" t="s">
        <v>168</v>
      </c>
      <c r="CB216" s="46" t="s">
        <v>169</v>
      </c>
      <c r="CC216" s="79" t="s">
        <v>170</v>
      </c>
      <c r="CF216" s="30" t="s">
        <v>164</v>
      </c>
      <c r="CG216" s="77" t="s">
        <v>165</v>
      </c>
      <c r="CH216" s="47" t="s">
        <v>166</v>
      </c>
      <c r="CI216" s="26" t="s">
        <v>167</v>
      </c>
      <c r="CJ216" s="47" t="s">
        <v>168</v>
      </c>
      <c r="CK216" s="48" t="s">
        <v>169</v>
      </c>
      <c r="CL216" s="79" t="s">
        <v>170</v>
      </c>
      <c r="CO216" s="30" t="s">
        <v>164</v>
      </c>
      <c r="CP216" s="77" t="s">
        <v>165</v>
      </c>
      <c r="CQ216" s="129" t="s">
        <v>166</v>
      </c>
      <c r="CR216" s="26" t="s">
        <v>167</v>
      </c>
      <c r="CS216" s="129" t="s">
        <v>168</v>
      </c>
      <c r="CT216" s="130" t="s">
        <v>169</v>
      </c>
      <c r="CU216" s="79" t="s">
        <v>170</v>
      </c>
      <c r="CX216" s="30" t="s">
        <v>164</v>
      </c>
      <c r="CY216" s="77" t="s">
        <v>165</v>
      </c>
      <c r="CZ216" s="132" t="s">
        <v>166</v>
      </c>
      <c r="DA216" s="26" t="s">
        <v>167</v>
      </c>
      <c r="DB216" s="132" t="s">
        <v>168</v>
      </c>
      <c r="DC216" s="134" t="s">
        <v>169</v>
      </c>
      <c r="DD216" s="79" t="s">
        <v>170</v>
      </c>
      <c r="DG216" s="30" t="s">
        <v>164</v>
      </c>
      <c r="DH216" s="77" t="s">
        <v>165</v>
      </c>
      <c r="DI216" s="146" t="s">
        <v>166</v>
      </c>
      <c r="DJ216" s="26" t="s">
        <v>167</v>
      </c>
      <c r="DK216" s="146" t="s">
        <v>168</v>
      </c>
      <c r="DL216" s="153" t="s">
        <v>169</v>
      </c>
      <c r="DM216" s="79" t="s">
        <v>170</v>
      </c>
      <c r="DP216" s="30" t="s">
        <v>164</v>
      </c>
      <c r="DQ216" s="77" t="s">
        <v>165</v>
      </c>
      <c r="DR216" s="27" t="s">
        <v>166</v>
      </c>
      <c r="DS216" s="26" t="s">
        <v>167</v>
      </c>
      <c r="DT216" s="27" t="s">
        <v>168</v>
      </c>
      <c r="DU216" s="28" t="s">
        <v>169</v>
      </c>
      <c r="DV216" s="79" t="s">
        <v>170</v>
      </c>
      <c r="DY216" s="30" t="s">
        <v>164</v>
      </c>
      <c r="DZ216" s="77" t="s">
        <v>165</v>
      </c>
      <c r="EA216" s="156" t="s">
        <v>166</v>
      </c>
      <c r="EB216" s="26" t="s">
        <v>167</v>
      </c>
      <c r="EC216" s="156" t="s">
        <v>168</v>
      </c>
      <c r="ED216" s="158" t="s">
        <v>169</v>
      </c>
      <c r="EE216" s="79" t="s">
        <v>170</v>
      </c>
      <c r="EH216" s="30" t="s">
        <v>164</v>
      </c>
      <c r="EI216" s="77" t="s">
        <v>165</v>
      </c>
      <c r="EJ216" s="161" t="s">
        <v>166</v>
      </c>
      <c r="EK216" s="26" t="s">
        <v>167</v>
      </c>
      <c r="EL216" s="161" t="s">
        <v>168</v>
      </c>
      <c r="EM216" s="163" t="s">
        <v>169</v>
      </c>
      <c r="EN216" s="79" t="s">
        <v>170</v>
      </c>
      <c r="EQ216" s="30" t="s">
        <v>164</v>
      </c>
      <c r="ER216" s="77" t="s">
        <v>165</v>
      </c>
      <c r="ES216" s="167" t="s">
        <v>166</v>
      </c>
      <c r="ET216" s="26" t="s">
        <v>167</v>
      </c>
      <c r="EU216" s="167" t="s">
        <v>168</v>
      </c>
      <c r="EV216" s="169" t="s">
        <v>169</v>
      </c>
      <c r="EW216" s="79" t="s">
        <v>170</v>
      </c>
      <c r="EZ216" s="30" t="s">
        <v>164</v>
      </c>
      <c r="FA216" s="77" t="s">
        <v>165</v>
      </c>
      <c r="FB216" s="176" t="s">
        <v>166</v>
      </c>
      <c r="FC216" s="26" t="s">
        <v>167</v>
      </c>
      <c r="FD216" s="176" t="s">
        <v>168</v>
      </c>
      <c r="FE216" s="177" t="s">
        <v>169</v>
      </c>
      <c r="FF216" s="79" t="s">
        <v>170</v>
      </c>
      <c r="FI216" s="30" t="s">
        <v>164</v>
      </c>
      <c r="FJ216" s="77" t="s">
        <v>165</v>
      </c>
      <c r="FK216" s="181" t="s">
        <v>166</v>
      </c>
      <c r="FL216" s="26" t="s">
        <v>167</v>
      </c>
      <c r="FM216" s="181" t="s">
        <v>168</v>
      </c>
      <c r="FN216" s="182" t="s">
        <v>169</v>
      </c>
      <c r="FO216" s="79" t="s">
        <v>170</v>
      </c>
      <c r="FR216" s="30" t="s">
        <v>164</v>
      </c>
      <c r="FS216" s="77" t="s">
        <v>165</v>
      </c>
      <c r="FT216" s="185" t="s">
        <v>166</v>
      </c>
      <c r="FU216" s="26" t="s">
        <v>167</v>
      </c>
      <c r="FV216" s="185" t="s">
        <v>168</v>
      </c>
      <c r="FW216" s="187" t="s">
        <v>169</v>
      </c>
      <c r="FX216" s="79" t="s">
        <v>170</v>
      </c>
      <c r="GA216" s="30" t="s">
        <v>164</v>
      </c>
      <c r="GB216" s="77" t="s">
        <v>165</v>
      </c>
      <c r="GC216" s="128" t="s">
        <v>166</v>
      </c>
      <c r="GD216" s="26" t="s">
        <v>167</v>
      </c>
      <c r="GE216" s="128" t="s">
        <v>168</v>
      </c>
      <c r="GF216" s="200" t="s">
        <v>169</v>
      </c>
      <c r="GG216" s="79" t="s">
        <v>170</v>
      </c>
      <c r="GJ216" s="30" t="s">
        <v>164</v>
      </c>
      <c r="GK216" s="77" t="s">
        <v>165</v>
      </c>
      <c r="GL216" s="197" t="s">
        <v>166</v>
      </c>
      <c r="GM216" s="26" t="s">
        <v>167</v>
      </c>
      <c r="GN216" s="197" t="s">
        <v>168</v>
      </c>
      <c r="GO216" s="198" t="s">
        <v>169</v>
      </c>
      <c r="GP216" s="79" t="s">
        <v>170</v>
      </c>
      <c r="GS216" s="30" t="s">
        <v>164</v>
      </c>
      <c r="GT216" s="77" t="s">
        <v>165</v>
      </c>
      <c r="GU216" s="193" t="s">
        <v>166</v>
      </c>
      <c r="GV216" s="26" t="s">
        <v>167</v>
      </c>
      <c r="GW216" s="193" t="s">
        <v>168</v>
      </c>
      <c r="GX216" s="194" t="s">
        <v>169</v>
      </c>
      <c r="GY216" s="79" t="s">
        <v>170</v>
      </c>
      <c r="HB216" s="30" t="s">
        <v>164</v>
      </c>
      <c r="HC216" s="77" t="s">
        <v>165</v>
      </c>
      <c r="HD216" s="189" t="s">
        <v>166</v>
      </c>
      <c r="HE216" s="26" t="s">
        <v>167</v>
      </c>
      <c r="HF216" s="189" t="s">
        <v>168</v>
      </c>
      <c r="HG216" s="190" t="s">
        <v>169</v>
      </c>
      <c r="HH216" s="79" t="s">
        <v>170</v>
      </c>
      <c r="HK216" s="30" t="s">
        <v>164</v>
      </c>
      <c r="HL216" s="77" t="s">
        <v>165</v>
      </c>
      <c r="HM216" s="41" t="s">
        <v>166</v>
      </c>
      <c r="HN216" s="26" t="s">
        <v>167</v>
      </c>
      <c r="HO216" s="41" t="s">
        <v>168</v>
      </c>
      <c r="HP216" s="42" t="s">
        <v>169</v>
      </c>
      <c r="HQ216" s="79" t="s">
        <v>170</v>
      </c>
      <c r="HU216" s="30" t="s">
        <v>164</v>
      </c>
      <c r="HV216" s="77" t="s">
        <v>165</v>
      </c>
      <c r="HW216" s="241" t="s">
        <v>166</v>
      </c>
      <c r="HX216" s="26" t="s">
        <v>167</v>
      </c>
      <c r="HY216" s="241" t="s">
        <v>168</v>
      </c>
      <c r="HZ216" s="243" t="s">
        <v>169</v>
      </c>
      <c r="IA216" s="79" t="s">
        <v>170</v>
      </c>
      <c r="ID216" s="30" t="s">
        <v>164</v>
      </c>
      <c r="IE216" s="77" t="s">
        <v>165</v>
      </c>
      <c r="IF216" s="241" t="s">
        <v>166</v>
      </c>
      <c r="IG216" s="26" t="s">
        <v>167</v>
      </c>
      <c r="IH216" s="241" t="s">
        <v>168</v>
      </c>
      <c r="II216" s="243" t="s">
        <v>169</v>
      </c>
      <c r="IJ216" s="79" t="s">
        <v>170</v>
      </c>
      <c r="IM216" s="30" t="s">
        <v>164</v>
      </c>
      <c r="IN216" s="77" t="s">
        <v>165</v>
      </c>
      <c r="IO216" s="241" t="s">
        <v>166</v>
      </c>
      <c r="IP216" s="26" t="s">
        <v>167</v>
      </c>
      <c r="IQ216" s="241" t="s">
        <v>168</v>
      </c>
      <c r="IR216" s="243" t="s">
        <v>169</v>
      </c>
      <c r="IS216" s="79" t="s">
        <v>170</v>
      </c>
      <c r="IV216" s="30" t="s">
        <v>164</v>
      </c>
      <c r="IW216" s="77" t="s">
        <v>165</v>
      </c>
      <c r="IX216" s="241" t="s">
        <v>166</v>
      </c>
      <c r="IY216" s="26" t="s">
        <v>167</v>
      </c>
      <c r="IZ216" s="241" t="s">
        <v>168</v>
      </c>
      <c r="JA216" s="243" t="s">
        <v>169</v>
      </c>
      <c r="JB216" s="79" t="s">
        <v>170</v>
      </c>
      <c r="JE216" s="30" t="s">
        <v>164</v>
      </c>
      <c r="JF216" s="77" t="s">
        <v>165</v>
      </c>
      <c r="JG216" s="241" t="s">
        <v>166</v>
      </c>
      <c r="JH216" s="26" t="s">
        <v>167</v>
      </c>
      <c r="JI216" s="241" t="s">
        <v>168</v>
      </c>
      <c r="JJ216" s="243" t="s">
        <v>169</v>
      </c>
      <c r="JK216" s="79" t="s">
        <v>170</v>
      </c>
      <c r="JN216" s="30" t="s">
        <v>164</v>
      </c>
      <c r="JO216" s="77" t="s">
        <v>165</v>
      </c>
      <c r="JP216" s="241" t="s">
        <v>166</v>
      </c>
      <c r="JQ216" s="26" t="s">
        <v>167</v>
      </c>
      <c r="JR216" s="241" t="s">
        <v>168</v>
      </c>
      <c r="JS216" s="243" t="s">
        <v>169</v>
      </c>
      <c r="JT216" s="79" t="s">
        <v>170</v>
      </c>
      <c r="JW216" s="30" t="s">
        <v>164</v>
      </c>
      <c r="JX216" s="77" t="s">
        <v>165</v>
      </c>
      <c r="JY216" s="241" t="s">
        <v>166</v>
      </c>
      <c r="JZ216" s="26" t="s">
        <v>167</v>
      </c>
      <c r="KA216" s="241" t="s">
        <v>168</v>
      </c>
      <c r="KB216" s="243" t="s">
        <v>169</v>
      </c>
      <c r="KC216" s="79" t="s">
        <v>170</v>
      </c>
      <c r="KF216" s="30" t="s">
        <v>164</v>
      </c>
      <c r="KG216" s="77" t="s">
        <v>165</v>
      </c>
      <c r="KH216" s="241" t="s">
        <v>166</v>
      </c>
      <c r="KI216" s="26" t="s">
        <v>167</v>
      </c>
      <c r="KJ216" s="241" t="s">
        <v>168</v>
      </c>
      <c r="KK216" s="243" t="s">
        <v>169</v>
      </c>
      <c r="KL216" s="79" t="s">
        <v>170</v>
      </c>
      <c r="KO216" s="30" t="s">
        <v>164</v>
      </c>
      <c r="KP216" s="77" t="s">
        <v>165</v>
      </c>
      <c r="KQ216" s="241" t="s">
        <v>166</v>
      </c>
      <c r="KR216" s="26" t="s">
        <v>167</v>
      </c>
      <c r="KS216" s="241" t="s">
        <v>168</v>
      </c>
      <c r="KT216" s="243" t="s">
        <v>169</v>
      </c>
      <c r="KU216" s="79" t="s">
        <v>170</v>
      </c>
      <c r="KX216" s="30" t="s">
        <v>164</v>
      </c>
      <c r="KY216" s="77" t="s">
        <v>165</v>
      </c>
      <c r="KZ216" s="241" t="s">
        <v>166</v>
      </c>
      <c r="LA216" s="26" t="s">
        <v>167</v>
      </c>
      <c r="LB216" s="241" t="s">
        <v>168</v>
      </c>
      <c r="LC216" s="243" t="s">
        <v>169</v>
      </c>
      <c r="LD216" s="79" t="s">
        <v>170</v>
      </c>
      <c r="LG216" s="30" t="s">
        <v>164</v>
      </c>
      <c r="LH216" s="77" t="s">
        <v>165</v>
      </c>
      <c r="LI216" s="241" t="s">
        <v>166</v>
      </c>
      <c r="LJ216" s="26" t="s">
        <v>167</v>
      </c>
      <c r="LK216" s="241" t="s">
        <v>168</v>
      </c>
      <c r="LL216" s="243" t="s">
        <v>169</v>
      </c>
      <c r="LM216" s="79" t="s">
        <v>170</v>
      </c>
      <c r="LP216" s="30" t="s">
        <v>164</v>
      </c>
      <c r="LQ216" s="77" t="s">
        <v>165</v>
      </c>
      <c r="LR216" s="241" t="s">
        <v>166</v>
      </c>
      <c r="LS216" s="26" t="s">
        <v>167</v>
      </c>
      <c r="LT216" s="241" t="s">
        <v>168</v>
      </c>
      <c r="LU216" s="243" t="s">
        <v>169</v>
      </c>
      <c r="LV216" s="79" t="s">
        <v>170</v>
      </c>
      <c r="LY216" s="30" t="s">
        <v>164</v>
      </c>
      <c r="LZ216" s="77" t="s">
        <v>165</v>
      </c>
      <c r="MA216" s="241" t="s">
        <v>166</v>
      </c>
      <c r="MB216" s="26" t="s">
        <v>167</v>
      </c>
      <c r="MC216" s="241" t="s">
        <v>168</v>
      </c>
      <c r="MD216" s="243" t="s">
        <v>169</v>
      </c>
      <c r="ME216" s="79" t="s">
        <v>170</v>
      </c>
      <c r="MH216" s="30" t="s">
        <v>164</v>
      </c>
      <c r="MI216" s="77" t="s">
        <v>165</v>
      </c>
      <c r="MJ216" s="241" t="s">
        <v>166</v>
      </c>
      <c r="MK216" s="26" t="s">
        <v>167</v>
      </c>
      <c r="ML216" s="241" t="s">
        <v>168</v>
      </c>
      <c r="MM216" s="243" t="s">
        <v>169</v>
      </c>
      <c r="MN216" s="79" t="s">
        <v>170</v>
      </c>
      <c r="MQ216" s="30" t="s">
        <v>164</v>
      </c>
      <c r="MR216" s="77" t="s">
        <v>165</v>
      </c>
      <c r="MS216" s="241" t="s">
        <v>166</v>
      </c>
      <c r="MT216" s="26" t="s">
        <v>167</v>
      </c>
      <c r="MU216" s="241" t="s">
        <v>168</v>
      </c>
      <c r="MV216" s="243" t="s">
        <v>169</v>
      </c>
      <c r="MW216" s="79" t="s">
        <v>170</v>
      </c>
      <c r="MZ216" s="30" t="s">
        <v>164</v>
      </c>
      <c r="NA216" s="77" t="s">
        <v>165</v>
      </c>
      <c r="NB216" s="241" t="s">
        <v>166</v>
      </c>
      <c r="NC216" s="26" t="s">
        <v>167</v>
      </c>
      <c r="ND216" s="241" t="s">
        <v>168</v>
      </c>
      <c r="NE216" s="243" t="s">
        <v>169</v>
      </c>
      <c r="NF216" s="79" t="s">
        <v>170</v>
      </c>
      <c r="NI216" s="30" t="s">
        <v>164</v>
      </c>
      <c r="NJ216" s="77" t="s">
        <v>165</v>
      </c>
      <c r="NK216" s="241" t="s">
        <v>166</v>
      </c>
      <c r="NL216" s="26" t="s">
        <v>167</v>
      </c>
      <c r="NM216" s="241" t="s">
        <v>168</v>
      </c>
      <c r="NN216" s="243" t="s">
        <v>169</v>
      </c>
      <c r="NO216" s="79" t="s">
        <v>170</v>
      </c>
      <c r="NR216" s="30" t="s">
        <v>164</v>
      </c>
      <c r="NS216" s="77" t="s">
        <v>165</v>
      </c>
      <c r="NT216" s="241" t="s">
        <v>166</v>
      </c>
      <c r="NU216" s="26" t="s">
        <v>167</v>
      </c>
      <c r="NV216" s="241" t="s">
        <v>168</v>
      </c>
      <c r="NW216" s="243" t="s">
        <v>169</v>
      </c>
      <c r="NX216" s="79" t="s">
        <v>170</v>
      </c>
      <c r="OA216" s="30" t="s">
        <v>164</v>
      </c>
      <c r="OB216" s="77" t="s">
        <v>165</v>
      </c>
      <c r="OC216" s="241" t="s">
        <v>166</v>
      </c>
      <c r="OD216" s="26" t="s">
        <v>167</v>
      </c>
      <c r="OE216" s="241" t="s">
        <v>168</v>
      </c>
      <c r="OF216" s="243" t="s">
        <v>169</v>
      </c>
      <c r="OG216" s="79" t="s">
        <v>170</v>
      </c>
      <c r="OJ216" s="30" t="s">
        <v>164</v>
      </c>
      <c r="OK216" s="77" t="s">
        <v>165</v>
      </c>
      <c r="OL216" s="241" t="s">
        <v>166</v>
      </c>
      <c r="OM216" s="26" t="s">
        <v>167</v>
      </c>
      <c r="ON216" s="241" t="s">
        <v>168</v>
      </c>
      <c r="OO216" s="243" t="s">
        <v>169</v>
      </c>
      <c r="OP216" s="79" t="s">
        <v>170</v>
      </c>
      <c r="OS216" s="30" t="s">
        <v>164</v>
      </c>
      <c r="OT216" s="77" t="s">
        <v>165</v>
      </c>
      <c r="OU216" s="241" t="s">
        <v>166</v>
      </c>
      <c r="OV216" s="26" t="s">
        <v>167</v>
      </c>
      <c r="OW216" s="241" t="s">
        <v>168</v>
      </c>
      <c r="OX216" s="243" t="s">
        <v>169</v>
      </c>
      <c r="OY216" s="79" t="s">
        <v>170</v>
      </c>
      <c r="PB216" s="30" t="s">
        <v>164</v>
      </c>
      <c r="PC216" s="77" t="s">
        <v>165</v>
      </c>
      <c r="PD216" s="241" t="s">
        <v>166</v>
      </c>
      <c r="PE216" s="26" t="s">
        <v>167</v>
      </c>
      <c r="PF216" s="241" t="s">
        <v>168</v>
      </c>
      <c r="PG216" s="243" t="s">
        <v>169</v>
      </c>
      <c r="PH216" s="79" t="s">
        <v>170</v>
      </c>
      <c r="PK216" s="30" t="s">
        <v>164</v>
      </c>
      <c r="PL216" s="77" t="s">
        <v>165</v>
      </c>
      <c r="PM216" s="241" t="s">
        <v>166</v>
      </c>
      <c r="PN216" s="26" t="s">
        <v>167</v>
      </c>
      <c r="PO216" s="241" t="s">
        <v>168</v>
      </c>
      <c r="PP216" s="243" t="s">
        <v>169</v>
      </c>
      <c r="PQ216" s="79" t="s">
        <v>170</v>
      </c>
      <c r="PT216" s="30" t="s">
        <v>164</v>
      </c>
      <c r="PU216" s="77" t="s">
        <v>165</v>
      </c>
      <c r="PV216" s="241" t="s">
        <v>166</v>
      </c>
      <c r="PW216" s="26" t="s">
        <v>167</v>
      </c>
      <c r="PX216" s="241" t="s">
        <v>168</v>
      </c>
      <c r="PY216" s="243" t="s">
        <v>169</v>
      </c>
      <c r="PZ216" s="79" t="s">
        <v>170</v>
      </c>
      <c r="QC216" s="30" t="s">
        <v>164</v>
      </c>
      <c r="QD216" s="77" t="s">
        <v>165</v>
      </c>
      <c r="QE216" s="241" t="s">
        <v>166</v>
      </c>
      <c r="QF216" s="26" t="s">
        <v>167</v>
      </c>
      <c r="QG216" s="241" t="s">
        <v>168</v>
      </c>
      <c r="QH216" s="243" t="s">
        <v>169</v>
      </c>
      <c r="QI216" s="79" t="s">
        <v>170</v>
      </c>
      <c r="QL216" s="30" t="s">
        <v>164</v>
      </c>
      <c r="QM216" s="77" t="s">
        <v>165</v>
      </c>
      <c r="QN216" s="241" t="s">
        <v>166</v>
      </c>
      <c r="QO216" s="26" t="s">
        <v>167</v>
      </c>
      <c r="QP216" s="241" t="s">
        <v>168</v>
      </c>
      <c r="QQ216" s="243" t="s">
        <v>169</v>
      </c>
      <c r="QR216" s="79" t="s">
        <v>170</v>
      </c>
      <c r="QU216" s="30" t="s">
        <v>164</v>
      </c>
      <c r="QV216" s="77" t="s">
        <v>165</v>
      </c>
      <c r="QW216" s="241" t="s">
        <v>166</v>
      </c>
      <c r="QX216" s="26" t="s">
        <v>167</v>
      </c>
      <c r="QY216" s="241" t="s">
        <v>168</v>
      </c>
      <c r="QZ216" s="243" t="s">
        <v>169</v>
      </c>
      <c r="RA216" s="79" t="s">
        <v>170</v>
      </c>
      <c r="RD216" s="30" t="s">
        <v>164</v>
      </c>
      <c r="RE216" s="77" t="s">
        <v>165</v>
      </c>
      <c r="RF216" s="241" t="s">
        <v>166</v>
      </c>
      <c r="RG216" s="26" t="s">
        <v>167</v>
      </c>
      <c r="RH216" s="241" t="s">
        <v>168</v>
      </c>
      <c r="RI216" s="243" t="s">
        <v>169</v>
      </c>
      <c r="RJ216" s="79" t="s">
        <v>170</v>
      </c>
      <c r="RM216" s="30" t="s">
        <v>164</v>
      </c>
      <c r="RN216" s="77" t="s">
        <v>165</v>
      </c>
      <c r="RO216" s="241" t="s">
        <v>166</v>
      </c>
      <c r="RP216" s="26" t="s">
        <v>167</v>
      </c>
      <c r="RQ216" s="241" t="s">
        <v>168</v>
      </c>
      <c r="RR216" s="243" t="s">
        <v>169</v>
      </c>
      <c r="RS216" s="79" t="s">
        <v>170</v>
      </c>
      <c r="RV216" s="30" t="s">
        <v>164</v>
      </c>
      <c r="RW216" s="77" t="s">
        <v>165</v>
      </c>
      <c r="RX216" s="241" t="s">
        <v>166</v>
      </c>
      <c r="RY216" s="26" t="s">
        <v>167</v>
      </c>
      <c r="RZ216" s="241" t="s">
        <v>168</v>
      </c>
      <c r="SA216" s="243" t="s">
        <v>169</v>
      </c>
      <c r="SB216" s="79" t="s">
        <v>170</v>
      </c>
      <c r="SE216" s="30" t="s">
        <v>164</v>
      </c>
      <c r="SF216" s="77" t="s">
        <v>165</v>
      </c>
      <c r="SG216" s="241" t="s">
        <v>166</v>
      </c>
      <c r="SH216" s="26" t="s">
        <v>167</v>
      </c>
      <c r="SI216" s="241" t="s">
        <v>168</v>
      </c>
      <c r="SJ216" s="243" t="s">
        <v>169</v>
      </c>
      <c r="SK216" s="79" t="s">
        <v>170</v>
      </c>
      <c r="SN216" s="30" t="s">
        <v>164</v>
      </c>
      <c r="SO216" s="77" t="s">
        <v>165</v>
      </c>
      <c r="SP216" s="241" t="s">
        <v>166</v>
      </c>
      <c r="SQ216" s="26" t="s">
        <v>167</v>
      </c>
      <c r="SR216" s="241" t="s">
        <v>168</v>
      </c>
      <c r="SS216" s="243" t="s">
        <v>169</v>
      </c>
      <c r="ST216" s="79" t="s">
        <v>170</v>
      </c>
      <c r="SW216" s="30" t="s">
        <v>164</v>
      </c>
      <c r="SX216" s="77" t="s">
        <v>165</v>
      </c>
      <c r="SY216" s="241" t="s">
        <v>166</v>
      </c>
      <c r="SZ216" s="26" t="s">
        <v>167</v>
      </c>
      <c r="TA216" s="241" t="s">
        <v>168</v>
      </c>
      <c r="TB216" s="243" t="s">
        <v>169</v>
      </c>
      <c r="TC216" s="79" t="s">
        <v>170</v>
      </c>
      <c r="TF216" s="30" t="s">
        <v>164</v>
      </c>
      <c r="TG216" s="77" t="s">
        <v>165</v>
      </c>
      <c r="TH216" s="241" t="s">
        <v>166</v>
      </c>
      <c r="TI216" s="26" t="s">
        <v>167</v>
      </c>
      <c r="TJ216" s="241" t="s">
        <v>168</v>
      </c>
      <c r="TK216" s="243" t="s">
        <v>169</v>
      </c>
      <c r="TL216" s="79" t="s">
        <v>170</v>
      </c>
      <c r="TO216" s="30" t="s">
        <v>164</v>
      </c>
      <c r="TP216" s="77" t="s">
        <v>165</v>
      </c>
      <c r="TQ216" s="241" t="s">
        <v>166</v>
      </c>
      <c r="TR216" s="26" t="s">
        <v>167</v>
      </c>
      <c r="TS216" s="241" t="s">
        <v>168</v>
      </c>
      <c r="TT216" s="243" t="s">
        <v>169</v>
      </c>
      <c r="TU216" s="79" t="s">
        <v>170</v>
      </c>
      <c r="TX216" s="30" t="s">
        <v>164</v>
      </c>
      <c r="TY216" s="77" t="s">
        <v>165</v>
      </c>
      <c r="TZ216" s="241" t="s">
        <v>166</v>
      </c>
      <c r="UA216" s="26" t="s">
        <v>167</v>
      </c>
      <c r="UB216" s="241" t="s">
        <v>168</v>
      </c>
      <c r="UC216" s="243" t="s">
        <v>169</v>
      </c>
      <c r="UD216" s="79" t="s">
        <v>170</v>
      </c>
      <c r="UG216" s="30" t="s">
        <v>164</v>
      </c>
      <c r="UH216" s="77" t="s">
        <v>165</v>
      </c>
      <c r="UI216" s="241" t="s">
        <v>166</v>
      </c>
      <c r="UJ216" s="26" t="s">
        <v>167</v>
      </c>
      <c r="UK216" s="241" t="s">
        <v>168</v>
      </c>
      <c r="UL216" s="243" t="s">
        <v>169</v>
      </c>
      <c r="UM216" s="79" t="s">
        <v>170</v>
      </c>
      <c r="UP216" s="30" t="s">
        <v>164</v>
      </c>
      <c r="UQ216" s="77" t="s">
        <v>165</v>
      </c>
      <c r="UR216" s="241" t="s">
        <v>166</v>
      </c>
      <c r="US216" s="26" t="s">
        <v>167</v>
      </c>
      <c r="UT216" s="241" t="s">
        <v>168</v>
      </c>
      <c r="UU216" s="243" t="s">
        <v>169</v>
      </c>
      <c r="UV216" s="79" t="s">
        <v>170</v>
      </c>
      <c r="UY216" s="30" t="s">
        <v>164</v>
      </c>
      <c r="UZ216" s="77" t="s">
        <v>165</v>
      </c>
      <c r="VA216" s="241" t="s">
        <v>166</v>
      </c>
      <c r="VB216" s="26" t="s">
        <v>167</v>
      </c>
      <c r="VC216" s="241" t="s">
        <v>168</v>
      </c>
      <c r="VD216" s="243" t="s">
        <v>169</v>
      </c>
      <c r="VE216" s="79" t="s">
        <v>170</v>
      </c>
      <c r="VH216" s="30" t="s">
        <v>164</v>
      </c>
      <c r="VI216" s="77" t="s">
        <v>165</v>
      </c>
      <c r="VJ216" s="241" t="s">
        <v>166</v>
      </c>
      <c r="VK216" s="26" t="s">
        <v>167</v>
      </c>
      <c r="VL216" s="241" t="s">
        <v>168</v>
      </c>
      <c r="VM216" s="243" t="s">
        <v>169</v>
      </c>
      <c r="VN216" s="79" t="s">
        <v>170</v>
      </c>
      <c r="VQ216" s="30" t="s">
        <v>164</v>
      </c>
      <c r="VR216" s="77" t="s">
        <v>165</v>
      </c>
      <c r="VS216" s="241" t="s">
        <v>166</v>
      </c>
      <c r="VT216" s="26" t="s">
        <v>167</v>
      </c>
      <c r="VU216" s="241" t="s">
        <v>168</v>
      </c>
      <c r="VV216" s="243" t="s">
        <v>169</v>
      </c>
      <c r="VW216" s="79" t="s">
        <v>170</v>
      </c>
      <c r="VZ216" s="30" t="s">
        <v>164</v>
      </c>
      <c r="WA216" s="77" t="s">
        <v>165</v>
      </c>
      <c r="WB216" s="241" t="s">
        <v>166</v>
      </c>
      <c r="WC216" s="26" t="s">
        <v>167</v>
      </c>
      <c r="WD216" s="241" t="s">
        <v>168</v>
      </c>
      <c r="WE216" s="243" t="s">
        <v>169</v>
      </c>
      <c r="WF216" s="79" t="s">
        <v>170</v>
      </c>
      <c r="WI216" s="30" t="s">
        <v>164</v>
      </c>
      <c r="WJ216" s="77" t="s">
        <v>165</v>
      </c>
      <c r="WK216" s="241" t="s">
        <v>166</v>
      </c>
      <c r="WL216" s="26" t="s">
        <v>167</v>
      </c>
      <c r="WM216" s="241" t="s">
        <v>168</v>
      </c>
      <c r="WN216" s="243" t="s">
        <v>169</v>
      </c>
      <c r="WO216" s="79" t="s">
        <v>170</v>
      </c>
      <c r="WR216" s="30" t="s">
        <v>164</v>
      </c>
      <c r="WS216" s="77" t="s">
        <v>165</v>
      </c>
      <c r="WT216" s="241" t="s">
        <v>166</v>
      </c>
      <c r="WU216" s="26" t="s">
        <v>167</v>
      </c>
      <c r="WV216" s="241" t="s">
        <v>168</v>
      </c>
      <c r="WW216" s="243" t="s">
        <v>169</v>
      </c>
      <c r="WX216" s="79" t="s">
        <v>170</v>
      </c>
      <c r="XA216" s="30" t="s">
        <v>164</v>
      </c>
      <c r="XB216" s="77" t="s">
        <v>165</v>
      </c>
      <c r="XC216" s="241" t="s">
        <v>166</v>
      </c>
      <c r="XD216" s="26" t="s">
        <v>167</v>
      </c>
      <c r="XE216" s="241" t="s">
        <v>168</v>
      </c>
      <c r="XF216" s="243" t="s">
        <v>169</v>
      </c>
      <c r="XG216" s="79" t="s">
        <v>170</v>
      </c>
      <c r="XJ216" s="30" t="s">
        <v>164</v>
      </c>
      <c r="XK216" s="77" t="s">
        <v>165</v>
      </c>
      <c r="XL216" s="241" t="s">
        <v>166</v>
      </c>
      <c r="XM216" s="26" t="s">
        <v>167</v>
      </c>
      <c r="XN216" s="241" t="s">
        <v>168</v>
      </c>
      <c r="XO216" s="243" t="s">
        <v>169</v>
      </c>
      <c r="XP216" s="79" t="s">
        <v>170</v>
      </c>
      <c r="XS216" s="30" t="s">
        <v>164</v>
      </c>
      <c r="XT216" s="77" t="s">
        <v>165</v>
      </c>
      <c r="XU216" s="241" t="s">
        <v>166</v>
      </c>
      <c r="XV216" s="26" t="s">
        <v>167</v>
      </c>
      <c r="XW216" s="241" t="s">
        <v>168</v>
      </c>
      <c r="XX216" s="243" t="s">
        <v>169</v>
      </c>
      <c r="XY216" s="79" t="s">
        <v>170</v>
      </c>
      <c r="YB216" s="30" t="s">
        <v>164</v>
      </c>
      <c r="YC216" s="77" t="s">
        <v>165</v>
      </c>
      <c r="YD216" s="241" t="s">
        <v>166</v>
      </c>
      <c r="YE216" s="26" t="s">
        <v>167</v>
      </c>
      <c r="YF216" s="241" t="s">
        <v>168</v>
      </c>
      <c r="YG216" s="243" t="s">
        <v>169</v>
      </c>
      <c r="YH216" s="79" t="s">
        <v>170</v>
      </c>
      <c r="YK216" s="30" t="s">
        <v>164</v>
      </c>
      <c r="YL216" s="77" t="s">
        <v>165</v>
      </c>
      <c r="YM216" s="241" t="s">
        <v>166</v>
      </c>
      <c r="YN216" s="26" t="s">
        <v>167</v>
      </c>
      <c r="YO216" s="241" t="s">
        <v>168</v>
      </c>
      <c r="YP216" s="243" t="s">
        <v>169</v>
      </c>
      <c r="YQ216" s="79" t="s">
        <v>170</v>
      </c>
      <c r="YT216" s="30" t="s">
        <v>164</v>
      </c>
      <c r="YU216" s="77" t="s">
        <v>165</v>
      </c>
      <c r="YV216" s="241" t="s">
        <v>166</v>
      </c>
      <c r="YW216" s="26" t="s">
        <v>167</v>
      </c>
      <c r="YX216" s="241" t="s">
        <v>168</v>
      </c>
      <c r="YY216" s="243" t="s">
        <v>169</v>
      </c>
      <c r="YZ216" s="79" t="s">
        <v>170</v>
      </c>
      <c r="ZC216" s="30" t="s">
        <v>164</v>
      </c>
      <c r="ZD216" s="77" t="s">
        <v>165</v>
      </c>
      <c r="ZE216" s="241" t="s">
        <v>166</v>
      </c>
      <c r="ZF216" s="26" t="s">
        <v>167</v>
      </c>
      <c r="ZG216" s="241" t="s">
        <v>168</v>
      </c>
      <c r="ZH216" s="243" t="s">
        <v>169</v>
      </c>
      <c r="ZI216" s="79" t="s">
        <v>170</v>
      </c>
      <c r="ZL216" s="30" t="s">
        <v>164</v>
      </c>
      <c r="ZM216" s="77" t="s">
        <v>165</v>
      </c>
      <c r="ZN216" s="241" t="s">
        <v>166</v>
      </c>
      <c r="ZO216" s="26" t="s">
        <v>167</v>
      </c>
      <c r="ZP216" s="241" t="s">
        <v>168</v>
      </c>
      <c r="ZQ216" s="243" t="s">
        <v>169</v>
      </c>
      <c r="ZR216" s="79" t="s">
        <v>170</v>
      </c>
      <c r="ZU216" s="30" t="s">
        <v>164</v>
      </c>
      <c r="ZV216" s="77" t="s">
        <v>165</v>
      </c>
      <c r="ZW216" s="241" t="s">
        <v>166</v>
      </c>
      <c r="ZX216" s="26" t="s">
        <v>167</v>
      </c>
      <c r="ZY216" s="241" t="s">
        <v>168</v>
      </c>
      <c r="ZZ216" s="243" t="s">
        <v>169</v>
      </c>
      <c r="AAA216" s="79" t="s">
        <v>170</v>
      </c>
      <c r="AAD216" s="30" t="s">
        <v>164</v>
      </c>
      <c r="AAE216" s="77" t="s">
        <v>165</v>
      </c>
      <c r="AAF216" s="241" t="s">
        <v>166</v>
      </c>
      <c r="AAG216" s="26" t="s">
        <v>167</v>
      </c>
      <c r="AAH216" s="241" t="s">
        <v>168</v>
      </c>
      <c r="AAI216" s="243" t="s">
        <v>169</v>
      </c>
      <c r="AAJ216" s="79" t="s">
        <v>170</v>
      </c>
      <c r="AAM216" s="30" t="s">
        <v>164</v>
      </c>
      <c r="AAN216" s="77" t="s">
        <v>165</v>
      </c>
      <c r="AAO216" s="241" t="s">
        <v>166</v>
      </c>
      <c r="AAP216" s="26" t="s">
        <v>167</v>
      </c>
      <c r="AAQ216" s="241" t="s">
        <v>168</v>
      </c>
      <c r="AAR216" s="243" t="s">
        <v>169</v>
      </c>
      <c r="AAS216" s="79" t="s">
        <v>170</v>
      </c>
      <c r="AAV216" s="30" t="s">
        <v>164</v>
      </c>
      <c r="AAW216" s="77" t="s">
        <v>165</v>
      </c>
      <c r="AAX216" s="241" t="s">
        <v>166</v>
      </c>
      <c r="AAY216" s="26" t="s">
        <v>167</v>
      </c>
      <c r="AAZ216" s="241" t="s">
        <v>168</v>
      </c>
      <c r="ABA216" s="243" t="s">
        <v>169</v>
      </c>
      <c r="ABB216" s="79" t="s">
        <v>170</v>
      </c>
      <c r="ABE216" s="30" t="s">
        <v>164</v>
      </c>
      <c r="ABF216" s="77" t="s">
        <v>165</v>
      </c>
      <c r="ABG216" s="241" t="s">
        <v>166</v>
      </c>
      <c r="ABH216" s="26" t="s">
        <v>167</v>
      </c>
      <c r="ABI216" s="241" t="s">
        <v>168</v>
      </c>
      <c r="ABJ216" s="243" t="s">
        <v>169</v>
      </c>
      <c r="ABK216" s="79" t="s">
        <v>170</v>
      </c>
    </row>
    <row r="217" spans="1:739" s="6" customFormat="1" ht="15" customHeight="1" outlineLevel="1" thickBot="1">
      <c r="B217" s="480"/>
      <c r="C217" s="49" t="s">
        <v>171</v>
      </c>
      <c r="D217" s="429" t="s">
        <v>172</v>
      </c>
      <c r="E217" s="429" t="s">
        <v>172</v>
      </c>
      <c r="F217" s="429" t="s">
        <v>172</v>
      </c>
      <c r="G217" s="430" t="s">
        <v>172</v>
      </c>
      <c r="H217" s="431">
        <f>H213</f>
        <v>103607.80000000006</v>
      </c>
      <c r="I217" s="328"/>
      <c r="L217" s="49" t="s">
        <v>171</v>
      </c>
      <c r="M217" s="429" t="s">
        <v>172</v>
      </c>
      <c r="N217" s="429" t="s">
        <v>172</v>
      </c>
      <c r="O217" s="429" t="s">
        <v>172</v>
      </c>
      <c r="P217" s="430" t="s">
        <v>172</v>
      </c>
      <c r="Q217" s="431">
        <f>Q213</f>
        <v>51499.20000000007</v>
      </c>
      <c r="R217" s="53"/>
      <c r="U217" s="49" t="s">
        <v>171</v>
      </c>
      <c r="V217" s="429" t="s">
        <v>172</v>
      </c>
      <c r="W217" s="429" t="s">
        <v>172</v>
      </c>
      <c r="X217" s="429" t="s">
        <v>172</v>
      </c>
      <c r="Y217" s="430" t="s">
        <v>172</v>
      </c>
      <c r="Z217" s="431">
        <f>Z213</f>
        <v>32731.999999999971</v>
      </c>
      <c r="AA217" s="53"/>
      <c r="AD217" s="49" t="s">
        <v>171</v>
      </c>
      <c r="AE217" s="429" t="s">
        <v>172</v>
      </c>
      <c r="AF217" s="429" t="s">
        <v>172</v>
      </c>
      <c r="AG217" s="429" t="s">
        <v>172</v>
      </c>
      <c r="AH217" s="430" t="s">
        <v>172</v>
      </c>
      <c r="AI217" s="431">
        <f>AI213</f>
        <v>33372.700000000019</v>
      </c>
      <c r="AJ217" s="53"/>
      <c r="AM217" s="49" t="s">
        <v>171</v>
      </c>
      <c r="AN217" s="429" t="s">
        <v>172</v>
      </c>
      <c r="AO217" s="429" t="s">
        <v>172</v>
      </c>
      <c r="AP217" s="429" t="s">
        <v>172</v>
      </c>
      <c r="AQ217" s="430" t="s">
        <v>172</v>
      </c>
      <c r="AR217" s="431">
        <f>AR213</f>
        <v>0</v>
      </c>
      <c r="AS217" s="53"/>
      <c r="AV217" s="49" t="s">
        <v>171</v>
      </c>
      <c r="AW217" s="429" t="s">
        <v>172</v>
      </c>
      <c r="AX217" s="429" t="s">
        <v>172</v>
      </c>
      <c r="AY217" s="429" t="s">
        <v>172</v>
      </c>
      <c r="AZ217" s="430" t="s">
        <v>172</v>
      </c>
      <c r="BA217" s="431">
        <f>BA213</f>
        <v>13946.199999999997</v>
      </c>
      <c r="BB217" s="53"/>
      <c r="BE217" s="49" t="s">
        <v>171</v>
      </c>
      <c r="BF217" s="429" t="s">
        <v>172</v>
      </c>
      <c r="BG217" s="429" t="s">
        <v>172</v>
      </c>
      <c r="BH217" s="429" t="s">
        <v>172</v>
      </c>
      <c r="BI217" s="430" t="s">
        <v>172</v>
      </c>
      <c r="BJ217" s="431">
        <f>BJ213</f>
        <v>36947.699999999997</v>
      </c>
      <c r="BK217" s="53"/>
      <c r="BN217" s="49" t="s">
        <v>171</v>
      </c>
      <c r="BO217" s="429" t="s">
        <v>172</v>
      </c>
      <c r="BP217" s="429" t="s">
        <v>172</v>
      </c>
      <c r="BQ217" s="429" t="s">
        <v>172</v>
      </c>
      <c r="BR217" s="430" t="s">
        <v>172</v>
      </c>
      <c r="BS217" s="431">
        <f>BS213</f>
        <v>0</v>
      </c>
      <c r="BT217" s="53"/>
      <c r="BW217" s="49" t="s">
        <v>171</v>
      </c>
      <c r="BX217" s="429" t="s">
        <v>172</v>
      </c>
      <c r="BY217" s="429" t="s">
        <v>172</v>
      </c>
      <c r="BZ217" s="429" t="s">
        <v>172</v>
      </c>
      <c r="CA217" s="430" t="s">
        <v>172</v>
      </c>
      <c r="CB217" s="431">
        <f>CB213</f>
        <v>2388.7799999999988</v>
      </c>
      <c r="CC217" s="53"/>
      <c r="CF217" s="49" t="s">
        <v>171</v>
      </c>
      <c r="CG217" s="429" t="s">
        <v>172</v>
      </c>
      <c r="CH217" s="429" t="s">
        <v>172</v>
      </c>
      <c r="CI217" s="429" t="s">
        <v>172</v>
      </c>
      <c r="CJ217" s="430" t="s">
        <v>172</v>
      </c>
      <c r="CK217" s="431">
        <f>CK213</f>
        <v>0</v>
      </c>
      <c r="CL217" s="53"/>
      <c r="CO217" s="49" t="s">
        <v>171</v>
      </c>
      <c r="CP217" s="429" t="s">
        <v>172</v>
      </c>
      <c r="CQ217" s="429" t="s">
        <v>172</v>
      </c>
      <c r="CR217" s="429" t="s">
        <v>172</v>
      </c>
      <c r="CS217" s="430" t="s">
        <v>172</v>
      </c>
      <c r="CT217" s="431">
        <f>CT213</f>
        <v>0</v>
      </c>
      <c r="CU217" s="53"/>
      <c r="CX217" s="49" t="s">
        <v>171</v>
      </c>
      <c r="CY217" s="429" t="s">
        <v>172</v>
      </c>
      <c r="CZ217" s="429" t="s">
        <v>172</v>
      </c>
      <c r="DA217" s="429" t="s">
        <v>172</v>
      </c>
      <c r="DB217" s="430" t="s">
        <v>172</v>
      </c>
      <c r="DC217" s="431">
        <f>DC213</f>
        <v>8489.9000000000069</v>
      </c>
      <c r="DD217" s="53"/>
      <c r="DG217" s="49" t="s">
        <v>171</v>
      </c>
      <c r="DH217" s="429" t="s">
        <v>172</v>
      </c>
      <c r="DI217" s="419" t="s">
        <v>172</v>
      </c>
      <c r="DJ217" s="429" t="s">
        <v>172</v>
      </c>
      <c r="DK217" s="420" t="s">
        <v>172</v>
      </c>
      <c r="DL217" s="421">
        <f>DL213</f>
        <v>34934.499999999985</v>
      </c>
      <c r="DM217" s="53"/>
      <c r="DP217" s="49" t="s">
        <v>171</v>
      </c>
      <c r="DQ217" s="50" t="s">
        <v>172</v>
      </c>
      <c r="DR217" s="50" t="s">
        <v>172</v>
      </c>
      <c r="DS217" s="50" t="s">
        <v>172</v>
      </c>
      <c r="DT217" s="51" t="s">
        <v>172</v>
      </c>
      <c r="DU217" s="52">
        <f>DU213</f>
        <v>5800</v>
      </c>
      <c r="DV217" s="53"/>
      <c r="DY217" s="49" t="s">
        <v>171</v>
      </c>
      <c r="DZ217" s="50" t="s">
        <v>172</v>
      </c>
      <c r="EA217" s="50" t="s">
        <v>172</v>
      </c>
      <c r="EB217" s="50" t="s">
        <v>172</v>
      </c>
      <c r="EC217" s="143" t="s">
        <v>172</v>
      </c>
      <c r="ED217" s="144">
        <f>ED213</f>
        <v>0</v>
      </c>
      <c r="EE217" s="53"/>
      <c r="EH217" s="49" t="s">
        <v>171</v>
      </c>
      <c r="EI217" s="50" t="s">
        <v>172</v>
      </c>
      <c r="EJ217" s="50" t="s">
        <v>172</v>
      </c>
      <c r="EK217" s="50" t="s">
        <v>172</v>
      </c>
      <c r="EL217" s="143" t="s">
        <v>172</v>
      </c>
      <c r="EM217" s="144">
        <f>EM213</f>
        <v>0</v>
      </c>
      <c r="EN217" s="53"/>
      <c r="EQ217" s="49" t="s">
        <v>171</v>
      </c>
      <c r="ER217" s="50" t="s">
        <v>172</v>
      </c>
      <c r="ES217" s="50" t="s">
        <v>172</v>
      </c>
      <c r="ET217" s="50" t="s">
        <v>172</v>
      </c>
      <c r="EU217" s="51" t="s">
        <v>172</v>
      </c>
      <c r="EV217" s="52">
        <f>EV213</f>
        <v>0</v>
      </c>
      <c r="EW217" s="53"/>
      <c r="EZ217" s="49" t="s">
        <v>171</v>
      </c>
      <c r="FA217" s="50" t="s">
        <v>172</v>
      </c>
      <c r="FB217" s="50" t="s">
        <v>172</v>
      </c>
      <c r="FC217" s="50" t="s">
        <v>172</v>
      </c>
      <c r="FD217" s="143" t="s">
        <v>172</v>
      </c>
      <c r="FE217" s="144">
        <f>FE213</f>
        <v>0</v>
      </c>
      <c r="FF217" s="53"/>
      <c r="FI217" s="49" t="s">
        <v>171</v>
      </c>
      <c r="FJ217" s="50" t="s">
        <v>172</v>
      </c>
      <c r="FK217" s="50" t="s">
        <v>172</v>
      </c>
      <c r="FL217" s="50" t="s">
        <v>172</v>
      </c>
      <c r="FM217" s="143" t="s">
        <v>172</v>
      </c>
      <c r="FN217" s="144">
        <f>FN213</f>
        <v>0</v>
      </c>
      <c r="FO217" s="53"/>
      <c r="FR217" s="49" t="s">
        <v>171</v>
      </c>
      <c r="FS217" s="50" t="s">
        <v>172</v>
      </c>
      <c r="FT217" s="50" t="s">
        <v>172</v>
      </c>
      <c r="FU217" s="50" t="s">
        <v>172</v>
      </c>
      <c r="FV217" s="143" t="s">
        <v>172</v>
      </c>
      <c r="FW217" s="144">
        <f>FW213</f>
        <v>1160</v>
      </c>
      <c r="FX217" s="459">
        <f>FW217/20</f>
        <v>58</v>
      </c>
      <c r="FY217" s="460" t="s">
        <v>173</v>
      </c>
      <c r="GA217" s="49" t="s">
        <v>171</v>
      </c>
      <c r="GB217" s="50" t="s">
        <v>172</v>
      </c>
      <c r="GC217" s="50" t="s">
        <v>172</v>
      </c>
      <c r="GD217" s="50" t="s">
        <v>172</v>
      </c>
      <c r="GE217" s="143" t="s">
        <v>172</v>
      </c>
      <c r="GF217" s="144">
        <f>GF213</f>
        <v>960</v>
      </c>
      <c r="GG217" s="461">
        <f>GF217/20</f>
        <v>48</v>
      </c>
      <c r="GH217" s="460" t="s">
        <v>173</v>
      </c>
      <c r="GI217" s="22"/>
      <c r="GJ217" s="49" t="s">
        <v>171</v>
      </c>
      <c r="GK217" s="50" t="s">
        <v>172</v>
      </c>
      <c r="GL217" s="50" t="s">
        <v>172</v>
      </c>
      <c r="GM217" s="50" t="s">
        <v>172</v>
      </c>
      <c r="GN217" s="143" t="s">
        <v>172</v>
      </c>
      <c r="GO217" s="144">
        <f>GO213</f>
        <v>1760</v>
      </c>
      <c r="GP217" s="459">
        <f>GO217/20</f>
        <v>88</v>
      </c>
      <c r="GQ217" s="460" t="s">
        <v>173</v>
      </c>
      <c r="GS217" s="49" t="s">
        <v>171</v>
      </c>
      <c r="GT217" s="50" t="s">
        <v>172</v>
      </c>
      <c r="GU217" s="50" t="s">
        <v>172</v>
      </c>
      <c r="GV217" s="50" t="s">
        <v>172</v>
      </c>
      <c r="GW217" s="143" t="s">
        <v>172</v>
      </c>
      <c r="GX217" s="144">
        <f>GX213</f>
        <v>400</v>
      </c>
      <c r="GY217" s="459">
        <f>GX217/20</f>
        <v>20</v>
      </c>
      <c r="GZ217" s="460" t="s">
        <v>173</v>
      </c>
      <c r="HB217" s="49" t="s">
        <v>171</v>
      </c>
      <c r="HC217" s="50" t="s">
        <v>172</v>
      </c>
      <c r="HD217" s="50" t="s">
        <v>172</v>
      </c>
      <c r="HE217" s="50" t="s">
        <v>172</v>
      </c>
      <c r="HF217" s="143" t="s">
        <v>172</v>
      </c>
      <c r="HG217" s="144">
        <f>HG213</f>
        <v>3600</v>
      </c>
      <c r="HH217" s="459">
        <f>HG217/20</f>
        <v>180</v>
      </c>
      <c r="HI217" s="460" t="s">
        <v>173</v>
      </c>
      <c r="HK217" s="49" t="s">
        <v>171</v>
      </c>
      <c r="HL217" s="50" t="s">
        <v>172</v>
      </c>
      <c r="HM217" s="50" t="s">
        <v>172</v>
      </c>
      <c r="HN217" s="50" t="s">
        <v>172</v>
      </c>
      <c r="HO217" s="143" t="s">
        <v>172</v>
      </c>
      <c r="HP217" s="144">
        <f>HP213</f>
        <v>0</v>
      </c>
      <c r="HQ217" s="53"/>
      <c r="HU217" s="49" t="s">
        <v>171</v>
      </c>
      <c r="HV217" s="50" t="s">
        <v>172</v>
      </c>
      <c r="HW217" s="142" t="s">
        <v>172</v>
      </c>
      <c r="HX217" s="50" t="s">
        <v>172</v>
      </c>
      <c r="HY217" s="143" t="s">
        <v>172</v>
      </c>
      <c r="HZ217" s="144">
        <f>HZ213</f>
        <v>6680</v>
      </c>
      <c r="IA217" s="459">
        <f>HZ217/20</f>
        <v>334</v>
      </c>
      <c r="IB217" s="460" t="s">
        <v>173</v>
      </c>
      <c r="ID217" s="49" t="s">
        <v>171</v>
      </c>
      <c r="IE217" s="50" t="s">
        <v>172</v>
      </c>
      <c r="IF217" s="142" t="s">
        <v>172</v>
      </c>
      <c r="IG217" s="50" t="s">
        <v>172</v>
      </c>
      <c r="IH217" s="143" t="s">
        <v>172</v>
      </c>
      <c r="II217" s="144">
        <f>II213</f>
        <v>720</v>
      </c>
      <c r="IJ217" s="459">
        <f>II217/20</f>
        <v>36</v>
      </c>
      <c r="IK217" s="460" t="s">
        <v>173</v>
      </c>
      <c r="IM217" s="49" t="s">
        <v>171</v>
      </c>
      <c r="IN217" s="50" t="s">
        <v>172</v>
      </c>
      <c r="IO217" s="142" t="s">
        <v>172</v>
      </c>
      <c r="IP217" s="50" t="s">
        <v>172</v>
      </c>
      <c r="IQ217" s="143" t="s">
        <v>172</v>
      </c>
      <c r="IR217" s="144">
        <f>IR213</f>
        <v>6520</v>
      </c>
      <c r="IS217" s="459">
        <f>IR217/20</f>
        <v>326</v>
      </c>
      <c r="IT217" s="460" t="s">
        <v>173</v>
      </c>
      <c r="IV217" s="49" t="s">
        <v>171</v>
      </c>
      <c r="IW217" s="50" t="s">
        <v>172</v>
      </c>
      <c r="IX217" s="142" t="s">
        <v>172</v>
      </c>
      <c r="IY217" s="142" t="s">
        <v>172</v>
      </c>
      <c r="IZ217" s="143" t="s">
        <v>172</v>
      </c>
      <c r="JA217" s="144">
        <f>JA213</f>
        <v>4960</v>
      </c>
      <c r="JB217" s="459">
        <f>JA217/20</f>
        <v>248</v>
      </c>
      <c r="JC217" s="460" t="s">
        <v>173</v>
      </c>
      <c r="JE217" s="49" t="s">
        <v>171</v>
      </c>
      <c r="JF217" s="50" t="s">
        <v>172</v>
      </c>
      <c r="JG217" s="142" t="s">
        <v>172</v>
      </c>
      <c r="JH217" s="142" t="s">
        <v>172</v>
      </c>
      <c r="JI217" s="143" t="s">
        <v>172</v>
      </c>
      <c r="JJ217" s="144">
        <f>JJ213</f>
        <v>0</v>
      </c>
      <c r="JK217" s="53"/>
      <c r="JN217" s="49" t="s">
        <v>171</v>
      </c>
      <c r="JO217" s="50" t="s">
        <v>172</v>
      </c>
      <c r="JP217" s="142" t="s">
        <v>172</v>
      </c>
      <c r="JQ217" s="142" t="s">
        <v>172</v>
      </c>
      <c r="JR217" s="143" t="s">
        <v>172</v>
      </c>
      <c r="JS217" s="144">
        <f>JS213</f>
        <v>0</v>
      </c>
      <c r="JT217" s="459">
        <f>JS217/20</f>
        <v>0</v>
      </c>
      <c r="JU217" s="460" t="s">
        <v>173</v>
      </c>
      <c r="JW217" s="49" t="s">
        <v>171</v>
      </c>
      <c r="JX217" s="50" t="s">
        <v>172</v>
      </c>
      <c r="JY217" s="142" t="s">
        <v>172</v>
      </c>
      <c r="JZ217" s="142" t="s">
        <v>172</v>
      </c>
      <c r="KA217" s="143" t="s">
        <v>172</v>
      </c>
      <c r="KB217" s="144">
        <f>KB213</f>
        <v>2540</v>
      </c>
      <c r="KC217" s="459">
        <f>KB217/20</f>
        <v>127</v>
      </c>
      <c r="KD217" s="460" t="s">
        <v>173</v>
      </c>
      <c r="KF217" s="49" t="s">
        <v>171</v>
      </c>
      <c r="KG217" s="50" t="s">
        <v>172</v>
      </c>
      <c r="KH217" s="142" t="s">
        <v>172</v>
      </c>
      <c r="KI217" s="50" t="s">
        <v>172</v>
      </c>
      <c r="KJ217" s="143" t="s">
        <v>172</v>
      </c>
      <c r="KK217" s="144">
        <f>KK213</f>
        <v>2359.5</v>
      </c>
      <c r="KL217" s="459">
        <f>KK217/19.5</f>
        <v>121</v>
      </c>
      <c r="KM217" s="460" t="s">
        <v>173</v>
      </c>
      <c r="KO217" s="49" t="s">
        <v>171</v>
      </c>
      <c r="KP217" s="50" t="s">
        <v>172</v>
      </c>
      <c r="KQ217" s="142" t="s">
        <v>172</v>
      </c>
      <c r="KR217" s="50" t="s">
        <v>172</v>
      </c>
      <c r="KS217" s="143" t="s">
        <v>172</v>
      </c>
      <c r="KT217" s="144">
        <f>KT213</f>
        <v>1890</v>
      </c>
      <c r="KU217" s="459">
        <f>KT217/18.9</f>
        <v>100.00000000000001</v>
      </c>
      <c r="KV217" s="460" t="s">
        <v>173</v>
      </c>
      <c r="KW217" s="22"/>
      <c r="KX217" s="49" t="s">
        <v>171</v>
      </c>
      <c r="KY217" s="50" t="s">
        <v>172</v>
      </c>
      <c r="KZ217" s="142" t="s">
        <v>172</v>
      </c>
      <c r="LA217" s="50" t="s">
        <v>172</v>
      </c>
      <c r="LB217" s="143" t="s">
        <v>172</v>
      </c>
      <c r="LC217" s="144">
        <f>LC213</f>
        <v>3690</v>
      </c>
      <c r="LD217" s="459">
        <f>LC217/20.5</f>
        <v>180</v>
      </c>
      <c r="LE217" s="460" t="s">
        <v>173</v>
      </c>
      <c r="LG217" s="49" t="s">
        <v>171</v>
      </c>
      <c r="LH217" s="50" t="s">
        <v>172</v>
      </c>
      <c r="LI217" s="142" t="s">
        <v>172</v>
      </c>
      <c r="LJ217" s="142" t="s">
        <v>172</v>
      </c>
      <c r="LK217" s="143" t="s">
        <v>172</v>
      </c>
      <c r="LL217" s="144">
        <f>LL213</f>
        <v>4000</v>
      </c>
      <c r="LM217" s="459">
        <f>LL217/20</f>
        <v>200</v>
      </c>
      <c r="LN217" s="460" t="s">
        <v>173</v>
      </c>
      <c r="LP217" s="49" t="s">
        <v>171</v>
      </c>
      <c r="LQ217" s="50" t="s">
        <v>172</v>
      </c>
      <c r="LR217" s="142" t="s">
        <v>172</v>
      </c>
      <c r="LS217" s="50" t="s">
        <v>172</v>
      </c>
      <c r="LT217" s="143" t="s">
        <v>172</v>
      </c>
      <c r="LU217" s="144">
        <f>LU213</f>
        <v>0</v>
      </c>
      <c r="LV217" s="53"/>
      <c r="LY217" s="49" t="s">
        <v>171</v>
      </c>
      <c r="LZ217" s="50" t="s">
        <v>172</v>
      </c>
      <c r="MA217" s="142" t="s">
        <v>172</v>
      </c>
      <c r="MB217" s="142" t="s">
        <v>172</v>
      </c>
      <c r="MC217" s="143" t="s">
        <v>172</v>
      </c>
      <c r="MD217" s="144">
        <f>MD213</f>
        <v>0</v>
      </c>
      <c r="ME217" s="53"/>
      <c r="MH217" s="49" t="s">
        <v>171</v>
      </c>
      <c r="MI217" s="50" t="s">
        <v>172</v>
      </c>
      <c r="MJ217" s="142" t="s">
        <v>172</v>
      </c>
      <c r="MK217" s="142" t="s">
        <v>172</v>
      </c>
      <c r="ML217" s="143" t="s">
        <v>172</v>
      </c>
      <c r="MM217" s="144">
        <f>MM213</f>
        <v>0</v>
      </c>
      <c r="MN217" s="53"/>
      <c r="MQ217" s="49" t="s">
        <v>171</v>
      </c>
      <c r="MR217" s="50" t="s">
        <v>172</v>
      </c>
      <c r="MS217" s="142" t="s">
        <v>172</v>
      </c>
      <c r="MT217" s="142" t="s">
        <v>172</v>
      </c>
      <c r="MU217" s="143" t="s">
        <v>172</v>
      </c>
      <c r="MV217" s="144">
        <f>MV213</f>
        <v>3595</v>
      </c>
      <c r="MW217" s="53"/>
      <c r="MZ217" s="49" t="s">
        <v>171</v>
      </c>
      <c r="NA217" s="50" t="s">
        <v>172</v>
      </c>
      <c r="NB217" s="142" t="s">
        <v>172</v>
      </c>
      <c r="NC217" s="142" t="s">
        <v>172</v>
      </c>
      <c r="ND217" s="143" t="s">
        <v>172</v>
      </c>
      <c r="NE217" s="144">
        <f>NE213</f>
        <v>0</v>
      </c>
      <c r="NF217" s="53"/>
      <c r="NI217" s="49" t="s">
        <v>171</v>
      </c>
      <c r="NJ217" s="50" t="s">
        <v>172</v>
      </c>
      <c r="NK217" s="142" t="s">
        <v>172</v>
      </c>
      <c r="NL217" s="50" t="s">
        <v>172</v>
      </c>
      <c r="NM217" s="143" t="s">
        <v>172</v>
      </c>
      <c r="NN217" s="144">
        <f>NN213</f>
        <v>1127</v>
      </c>
      <c r="NO217" s="53"/>
      <c r="NR217" s="49" t="s">
        <v>171</v>
      </c>
      <c r="NS217" s="50" t="s">
        <v>172</v>
      </c>
      <c r="NT217" s="142" t="s">
        <v>172</v>
      </c>
      <c r="NU217" s="50" t="s">
        <v>172</v>
      </c>
      <c r="NV217" s="143" t="s">
        <v>172</v>
      </c>
      <c r="NW217" s="144">
        <f>NW213</f>
        <v>3111.9999999999995</v>
      </c>
      <c r="NX217" s="53"/>
      <c r="OA217" s="49" t="s">
        <v>171</v>
      </c>
      <c r="OB217" s="50" t="s">
        <v>172</v>
      </c>
      <c r="OC217" s="142" t="s">
        <v>172</v>
      </c>
      <c r="OD217" s="142" t="s">
        <v>172</v>
      </c>
      <c r="OE217" s="143" t="s">
        <v>172</v>
      </c>
      <c r="OF217" s="144">
        <f>OF213</f>
        <v>1680.5</v>
      </c>
      <c r="OG217" s="53"/>
      <c r="OJ217" s="49" t="s">
        <v>171</v>
      </c>
      <c r="OK217" s="50" t="s">
        <v>172</v>
      </c>
      <c r="OL217" s="142" t="s">
        <v>172</v>
      </c>
      <c r="OM217" s="142" t="s">
        <v>172</v>
      </c>
      <c r="ON217" s="143" t="s">
        <v>172</v>
      </c>
      <c r="OO217" s="144">
        <f>OO213</f>
        <v>0</v>
      </c>
      <c r="OP217" s="53"/>
      <c r="OS217" s="49" t="s">
        <v>171</v>
      </c>
      <c r="OT217" s="50" t="s">
        <v>172</v>
      </c>
      <c r="OU217" s="142" t="s">
        <v>172</v>
      </c>
      <c r="OV217" s="142" t="s">
        <v>172</v>
      </c>
      <c r="OW217" s="143" t="s">
        <v>172</v>
      </c>
      <c r="OX217" s="144">
        <f>OX213</f>
        <v>1482</v>
      </c>
      <c r="OY217" s="53"/>
      <c r="PB217" s="49" t="s">
        <v>171</v>
      </c>
      <c r="PC217" s="50" t="s">
        <v>172</v>
      </c>
      <c r="PD217" s="142" t="s">
        <v>172</v>
      </c>
      <c r="PE217" s="142" t="s">
        <v>172</v>
      </c>
      <c r="PF217" s="143" t="s">
        <v>172</v>
      </c>
      <c r="PG217" s="144">
        <f>PG213</f>
        <v>0</v>
      </c>
      <c r="PH217" s="53"/>
      <c r="PK217" s="49" t="s">
        <v>171</v>
      </c>
      <c r="PL217" s="50" t="s">
        <v>172</v>
      </c>
      <c r="PM217" s="142" t="s">
        <v>172</v>
      </c>
      <c r="PN217" s="142" t="s">
        <v>172</v>
      </c>
      <c r="PO217" s="143" t="s">
        <v>172</v>
      </c>
      <c r="PP217" s="144">
        <f>PP213</f>
        <v>100</v>
      </c>
      <c r="PQ217" s="53"/>
      <c r="PT217" s="49" t="s">
        <v>171</v>
      </c>
      <c r="PU217" s="50" t="s">
        <v>172</v>
      </c>
      <c r="PV217" s="142" t="s">
        <v>172</v>
      </c>
      <c r="PW217" s="142" t="s">
        <v>172</v>
      </c>
      <c r="PX217" s="143" t="s">
        <v>172</v>
      </c>
      <c r="PY217" s="144">
        <f>PY213</f>
        <v>13.960000000000036</v>
      </c>
      <c r="PZ217" s="53"/>
      <c r="QC217" s="49" t="s">
        <v>171</v>
      </c>
      <c r="QD217" s="50" t="s">
        <v>172</v>
      </c>
      <c r="QE217" s="142" t="s">
        <v>172</v>
      </c>
      <c r="QF217" s="142" t="s">
        <v>172</v>
      </c>
      <c r="QG217" s="143" t="s">
        <v>172</v>
      </c>
      <c r="QH217" s="144">
        <f>QH213</f>
        <v>1736</v>
      </c>
      <c r="QI217" s="53"/>
      <c r="QL217" s="49" t="s">
        <v>171</v>
      </c>
      <c r="QM217" s="50" t="s">
        <v>172</v>
      </c>
      <c r="QN217" s="142" t="s">
        <v>172</v>
      </c>
      <c r="QO217" s="142" t="s">
        <v>172</v>
      </c>
      <c r="QP217" s="143" t="s">
        <v>172</v>
      </c>
      <c r="QQ217" s="144">
        <f>QQ213</f>
        <v>250</v>
      </c>
      <c r="QR217" s="53"/>
      <c r="QU217" s="49" t="s">
        <v>171</v>
      </c>
      <c r="QV217" s="50" t="s">
        <v>172</v>
      </c>
      <c r="QW217" s="142" t="s">
        <v>172</v>
      </c>
      <c r="QX217" s="142" t="s">
        <v>172</v>
      </c>
      <c r="QY217" s="143" t="s">
        <v>172</v>
      </c>
      <c r="QZ217" s="144">
        <f>QZ213</f>
        <v>207.6</v>
      </c>
      <c r="RA217" s="53"/>
      <c r="RD217" s="49" t="s">
        <v>171</v>
      </c>
      <c r="RE217" s="50" t="s">
        <v>172</v>
      </c>
      <c r="RF217" s="142" t="s">
        <v>172</v>
      </c>
      <c r="RG217" s="142" t="s">
        <v>172</v>
      </c>
      <c r="RH217" s="143" t="s">
        <v>172</v>
      </c>
      <c r="RI217" s="144">
        <f>RI213</f>
        <v>147.04000000000002</v>
      </c>
      <c r="RJ217" s="53"/>
      <c r="RM217" s="49" t="s">
        <v>171</v>
      </c>
      <c r="RN217" s="50" t="s">
        <v>172</v>
      </c>
      <c r="RO217" s="142" t="s">
        <v>172</v>
      </c>
      <c r="RP217" s="142" t="s">
        <v>172</v>
      </c>
      <c r="RQ217" s="143" t="s">
        <v>172</v>
      </c>
      <c r="RR217" s="144">
        <f>RR213</f>
        <v>46.8</v>
      </c>
      <c r="RS217" s="53"/>
      <c r="RV217" s="49" t="s">
        <v>171</v>
      </c>
      <c r="RW217" s="50" t="s">
        <v>172</v>
      </c>
      <c r="RX217" s="142" t="s">
        <v>172</v>
      </c>
      <c r="RY217" s="142" t="s">
        <v>172</v>
      </c>
      <c r="RZ217" s="143" t="s">
        <v>172</v>
      </c>
      <c r="SA217" s="144">
        <f>SA213</f>
        <v>0</v>
      </c>
      <c r="SB217" s="53"/>
      <c r="SE217" s="49" t="s">
        <v>171</v>
      </c>
      <c r="SF217" s="50" t="s">
        <v>172</v>
      </c>
      <c r="SG217" s="142" t="s">
        <v>172</v>
      </c>
      <c r="SH217" s="142" t="s">
        <v>172</v>
      </c>
      <c r="SI217" s="143" t="s">
        <v>172</v>
      </c>
      <c r="SJ217" s="144">
        <f>SJ213</f>
        <v>24.200000000000003</v>
      </c>
      <c r="SK217" s="53"/>
      <c r="SN217" s="49" t="s">
        <v>171</v>
      </c>
      <c r="SO217" s="50" t="s">
        <v>172</v>
      </c>
      <c r="SP217" s="142" t="s">
        <v>172</v>
      </c>
      <c r="SQ217" s="142" t="s">
        <v>172</v>
      </c>
      <c r="SR217" s="143" t="s">
        <v>172</v>
      </c>
      <c r="SS217" s="144">
        <f>SS213</f>
        <v>32</v>
      </c>
      <c r="ST217" s="53"/>
      <c r="SW217" s="49" t="s">
        <v>171</v>
      </c>
      <c r="SX217" s="50" t="s">
        <v>172</v>
      </c>
      <c r="SY217" s="142" t="s">
        <v>172</v>
      </c>
      <c r="SZ217" s="142" t="s">
        <v>172</v>
      </c>
      <c r="TA217" s="143" t="s">
        <v>172</v>
      </c>
      <c r="TB217" s="144">
        <f>TB213</f>
        <v>0</v>
      </c>
      <c r="TC217" s="53"/>
      <c r="TF217" s="49" t="s">
        <v>171</v>
      </c>
      <c r="TG217" s="50" t="s">
        <v>172</v>
      </c>
      <c r="TH217" s="142" t="s">
        <v>172</v>
      </c>
      <c r="TI217" s="142" t="s">
        <v>172</v>
      </c>
      <c r="TJ217" s="143" t="s">
        <v>172</v>
      </c>
      <c r="TK217" s="144">
        <f>TK213</f>
        <v>0</v>
      </c>
      <c r="TL217" s="53"/>
      <c r="TO217" s="49" t="s">
        <v>171</v>
      </c>
      <c r="TP217" s="50" t="s">
        <v>172</v>
      </c>
      <c r="TQ217" s="142" t="s">
        <v>172</v>
      </c>
      <c r="TR217" s="142" t="s">
        <v>172</v>
      </c>
      <c r="TS217" s="143" t="s">
        <v>172</v>
      </c>
      <c r="TT217" s="144">
        <f>TT213</f>
        <v>22.400000000000006</v>
      </c>
      <c r="TU217" s="53"/>
      <c r="TX217" s="49" t="s">
        <v>171</v>
      </c>
      <c r="TY217" s="50" t="s">
        <v>172</v>
      </c>
      <c r="TZ217" s="142" t="s">
        <v>172</v>
      </c>
      <c r="UA217" s="142" t="s">
        <v>172</v>
      </c>
      <c r="UB217" s="143" t="s">
        <v>172</v>
      </c>
      <c r="UC217" s="144">
        <f>UC213</f>
        <v>46.799999999999983</v>
      </c>
      <c r="UD217" s="53"/>
      <c r="UG217" s="49" t="s">
        <v>171</v>
      </c>
      <c r="UH217" s="50" t="s">
        <v>172</v>
      </c>
      <c r="UI217" s="142" t="s">
        <v>172</v>
      </c>
      <c r="UJ217" s="142" t="s">
        <v>172</v>
      </c>
      <c r="UK217" s="143" t="s">
        <v>172</v>
      </c>
      <c r="UL217" s="144">
        <f>UL213</f>
        <v>204</v>
      </c>
      <c r="UM217" s="53"/>
      <c r="UP217" s="49" t="s">
        <v>171</v>
      </c>
      <c r="UQ217" s="50" t="s">
        <v>172</v>
      </c>
      <c r="UR217" s="142" t="s">
        <v>172</v>
      </c>
      <c r="US217" s="142" t="s">
        <v>172</v>
      </c>
      <c r="UT217" s="143" t="s">
        <v>172</v>
      </c>
      <c r="UU217" s="144">
        <f>UU213</f>
        <v>251.25</v>
      </c>
      <c r="UV217" s="53"/>
      <c r="UY217" s="49" t="s">
        <v>171</v>
      </c>
      <c r="UZ217" s="50" t="s">
        <v>172</v>
      </c>
      <c r="VA217" s="142" t="s">
        <v>172</v>
      </c>
      <c r="VB217" s="142" t="s">
        <v>172</v>
      </c>
      <c r="VC217" s="143" t="s">
        <v>172</v>
      </c>
      <c r="VD217" s="144">
        <f>VD213</f>
        <v>41.600000000000023</v>
      </c>
      <c r="VE217" s="53"/>
      <c r="VH217" s="49" t="s">
        <v>171</v>
      </c>
      <c r="VI217" s="50" t="s">
        <v>172</v>
      </c>
      <c r="VJ217" s="142" t="s">
        <v>172</v>
      </c>
      <c r="VK217" s="142" t="s">
        <v>172</v>
      </c>
      <c r="VL217" s="143" t="s">
        <v>172</v>
      </c>
      <c r="VM217" s="144">
        <f>VM213</f>
        <v>210</v>
      </c>
      <c r="VN217" s="53"/>
      <c r="VQ217" s="49" t="s">
        <v>171</v>
      </c>
      <c r="VR217" s="50" t="s">
        <v>172</v>
      </c>
      <c r="VS217" s="142" t="s">
        <v>172</v>
      </c>
      <c r="VT217" s="142" t="s">
        <v>172</v>
      </c>
      <c r="VU217" s="143" t="s">
        <v>172</v>
      </c>
      <c r="VV217" s="144">
        <f>VV213</f>
        <v>0</v>
      </c>
      <c r="VW217" s="53"/>
      <c r="VZ217" s="49" t="s">
        <v>171</v>
      </c>
      <c r="WA217" s="50" t="s">
        <v>172</v>
      </c>
      <c r="WB217" s="142" t="s">
        <v>172</v>
      </c>
      <c r="WC217" s="142" t="s">
        <v>172</v>
      </c>
      <c r="WD217" s="143" t="s">
        <v>172</v>
      </c>
      <c r="WE217" s="144">
        <f>WE213</f>
        <v>0</v>
      </c>
      <c r="WF217" s="53"/>
      <c r="WI217" s="49" t="s">
        <v>171</v>
      </c>
      <c r="WJ217" s="50" t="s">
        <v>172</v>
      </c>
      <c r="WK217" s="142" t="s">
        <v>172</v>
      </c>
      <c r="WL217" s="142" t="s">
        <v>172</v>
      </c>
      <c r="WM217" s="143" t="s">
        <v>172</v>
      </c>
      <c r="WN217" s="144">
        <f>WN213</f>
        <v>1057</v>
      </c>
      <c r="WO217" s="53"/>
      <c r="WR217" s="49" t="s">
        <v>171</v>
      </c>
      <c r="WS217" s="50" t="s">
        <v>172</v>
      </c>
      <c r="WT217" s="142" t="s">
        <v>172</v>
      </c>
      <c r="WU217" s="142" t="s">
        <v>172</v>
      </c>
      <c r="WV217" s="143" t="s">
        <v>172</v>
      </c>
      <c r="WW217" s="144">
        <f>WW213</f>
        <v>0</v>
      </c>
      <c r="WX217" s="53"/>
      <c r="XA217" s="49" t="s">
        <v>171</v>
      </c>
      <c r="XB217" s="50" t="s">
        <v>172</v>
      </c>
      <c r="XC217" s="142" t="s">
        <v>172</v>
      </c>
      <c r="XD217" s="142" t="s">
        <v>172</v>
      </c>
      <c r="XE217" s="143" t="s">
        <v>172</v>
      </c>
      <c r="XF217" s="144">
        <f>XF213</f>
        <v>7507</v>
      </c>
      <c r="XG217" s="53"/>
      <c r="XJ217" s="49" t="s">
        <v>171</v>
      </c>
      <c r="XK217" s="50" t="s">
        <v>172</v>
      </c>
      <c r="XL217" s="142" t="s">
        <v>172</v>
      </c>
      <c r="XM217" s="142" t="s">
        <v>172</v>
      </c>
      <c r="XN217" s="143" t="s">
        <v>172</v>
      </c>
      <c r="XO217" s="144">
        <f>XO213</f>
        <v>4252</v>
      </c>
      <c r="XP217" s="53"/>
      <c r="XS217" s="49" t="s">
        <v>171</v>
      </c>
      <c r="XT217" s="50" t="s">
        <v>172</v>
      </c>
      <c r="XU217" s="142" t="s">
        <v>172</v>
      </c>
      <c r="XV217" s="142" t="s">
        <v>172</v>
      </c>
      <c r="XW217" s="143" t="s">
        <v>172</v>
      </c>
      <c r="XX217" s="144">
        <f>XX213</f>
        <v>2179</v>
      </c>
      <c r="XY217" s="53"/>
      <c r="YB217" s="49" t="s">
        <v>171</v>
      </c>
      <c r="YC217" s="50" t="s">
        <v>172</v>
      </c>
      <c r="YD217" s="142" t="s">
        <v>172</v>
      </c>
      <c r="YE217" s="142" t="s">
        <v>172</v>
      </c>
      <c r="YF217" s="143" t="s">
        <v>172</v>
      </c>
      <c r="YG217" s="144">
        <f>YG213</f>
        <v>4019</v>
      </c>
      <c r="YH217" s="53"/>
      <c r="YK217" s="49" t="s">
        <v>171</v>
      </c>
      <c r="YL217" s="50" t="s">
        <v>172</v>
      </c>
      <c r="YM217" s="142" t="s">
        <v>172</v>
      </c>
      <c r="YN217" s="142" t="s">
        <v>172</v>
      </c>
      <c r="YO217" s="143" t="s">
        <v>172</v>
      </c>
      <c r="YP217" s="144">
        <f>YP213</f>
        <v>0</v>
      </c>
      <c r="YQ217" s="53"/>
      <c r="YT217" s="49" t="s">
        <v>171</v>
      </c>
      <c r="YU217" s="50" t="s">
        <v>172</v>
      </c>
      <c r="YV217" s="142" t="s">
        <v>172</v>
      </c>
      <c r="YW217" s="142" t="s">
        <v>172</v>
      </c>
      <c r="YX217" s="143" t="s">
        <v>172</v>
      </c>
      <c r="YY217" s="144">
        <f>YY213</f>
        <v>0</v>
      </c>
      <c r="YZ217" s="53"/>
      <c r="ZC217" s="49" t="s">
        <v>171</v>
      </c>
      <c r="ZD217" s="50" t="s">
        <v>172</v>
      </c>
      <c r="ZE217" s="142" t="s">
        <v>172</v>
      </c>
      <c r="ZF217" s="142" t="s">
        <v>172</v>
      </c>
      <c r="ZG217" s="143" t="s">
        <v>172</v>
      </c>
      <c r="ZH217" s="144">
        <f>ZH213</f>
        <v>0</v>
      </c>
      <c r="ZI217" s="53"/>
      <c r="ZL217" s="49" t="s">
        <v>171</v>
      </c>
      <c r="ZM217" s="50" t="s">
        <v>172</v>
      </c>
      <c r="ZN217" s="142" t="s">
        <v>172</v>
      </c>
      <c r="ZO217" s="142" t="s">
        <v>172</v>
      </c>
      <c r="ZP217" s="143" t="s">
        <v>172</v>
      </c>
      <c r="ZQ217" s="144">
        <f>ZQ213</f>
        <v>0</v>
      </c>
      <c r="ZR217" s="53"/>
      <c r="ZU217" s="49" t="s">
        <v>171</v>
      </c>
      <c r="ZV217" s="50" t="s">
        <v>172</v>
      </c>
      <c r="ZW217" s="142" t="s">
        <v>172</v>
      </c>
      <c r="ZX217" s="142" t="s">
        <v>172</v>
      </c>
      <c r="ZY217" s="143" t="s">
        <v>172</v>
      </c>
      <c r="ZZ217" s="144">
        <f>ZZ213</f>
        <v>0</v>
      </c>
      <c r="AAA217" s="53"/>
      <c r="AAD217" s="49" t="s">
        <v>171</v>
      </c>
      <c r="AAE217" s="50" t="s">
        <v>172</v>
      </c>
      <c r="AAF217" s="142" t="s">
        <v>172</v>
      </c>
      <c r="AAG217" s="142" t="s">
        <v>172</v>
      </c>
      <c r="AAH217" s="143" t="s">
        <v>172</v>
      </c>
      <c r="AAI217" s="144">
        <f>AAI213</f>
        <v>0</v>
      </c>
      <c r="AAJ217" s="53"/>
      <c r="AAM217" s="49" t="s">
        <v>171</v>
      </c>
      <c r="AAN217" s="50" t="s">
        <v>172</v>
      </c>
      <c r="AAO217" s="142" t="s">
        <v>172</v>
      </c>
      <c r="AAP217" s="142" t="s">
        <v>172</v>
      </c>
      <c r="AAQ217" s="143" t="s">
        <v>172</v>
      </c>
      <c r="AAR217" s="144">
        <f>AAR213</f>
        <v>0</v>
      </c>
      <c r="AAS217" s="53"/>
      <c r="AAV217" s="49" t="s">
        <v>171</v>
      </c>
      <c r="AAW217" s="50" t="s">
        <v>172</v>
      </c>
      <c r="AAX217" s="142" t="s">
        <v>172</v>
      </c>
      <c r="AAY217" s="142" t="s">
        <v>172</v>
      </c>
      <c r="AAZ217" s="143" t="s">
        <v>172</v>
      </c>
      <c r="ABA217" s="144">
        <f>ABA213</f>
        <v>0</v>
      </c>
      <c r="ABB217" s="53"/>
      <c r="ABE217" s="49" t="s">
        <v>171</v>
      </c>
      <c r="ABF217" s="50" t="s">
        <v>172</v>
      </c>
      <c r="ABG217" s="142" t="s">
        <v>172</v>
      </c>
      <c r="ABH217" s="142" t="s">
        <v>172</v>
      </c>
      <c r="ABI217" s="143" t="s">
        <v>172</v>
      </c>
      <c r="ABJ217" s="144">
        <f>ABJ213</f>
        <v>0</v>
      </c>
      <c r="ABK217" s="53"/>
    </row>
    <row r="218" spans="1:739" s="54" customFormat="1" ht="15" customHeight="1" outlineLevel="1">
      <c r="B218" s="478"/>
      <c r="C218" s="55">
        <v>46204</v>
      </c>
      <c r="D218" s="422">
        <v>28000</v>
      </c>
      <c r="E218" s="423">
        <f>SUMPRODUCT(PRODUCE!$B221:$DY221,PRODUCE!$EB$7:$IY$7)</f>
        <v>3263.7000000000003</v>
      </c>
      <c r="F218" s="422">
        <v>3074</v>
      </c>
      <c r="G218" s="423">
        <f>E218-F218</f>
        <v>189.70000000000027</v>
      </c>
      <c r="H218" s="423">
        <f>H217+D218-F218</f>
        <v>128533.80000000005</v>
      </c>
      <c r="I218" s="289"/>
      <c r="L218" s="55">
        <f>C218</f>
        <v>46204</v>
      </c>
      <c r="M218" s="422"/>
      <c r="N218" s="438">
        <f>SUMPRODUCT(PRODUCE!$B221:$DY221,PRODUCE!$EB$8:$IY$8)</f>
        <v>1785</v>
      </c>
      <c r="O218" s="422">
        <v>2016.4</v>
      </c>
      <c r="P218" s="438">
        <f>N218-O218</f>
        <v>-231.40000000000009</v>
      </c>
      <c r="Q218" s="438">
        <f>Q217+M218-O218</f>
        <v>49482.800000000068</v>
      </c>
      <c r="R218" s="56"/>
      <c r="U218" s="55">
        <f>L218</f>
        <v>46204</v>
      </c>
      <c r="V218" s="422"/>
      <c r="W218" s="440">
        <f>SUMPRODUCT(PRODUCE!$B221:$DY221,PRODUCE!$EB$9:$IY$9)</f>
        <v>360</v>
      </c>
      <c r="X218" s="422">
        <v>297.60000000000002</v>
      </c>
      <c r="Y218" s="440">
        <f>W218-X218</f>
        <v>62.399999999999977</v>
      </c>
      <c r="Z218" s="440">
        <f>Z217+V218-X218</f>
        <v>32434.399999999972</v>
      </c>
      <c r="AA218" s="56"/>
      <c r="AD218" s="55">
        <f>U218</f>
        <v>46204</v>
      </c>
      <c r="AE218" s="422"/>
      <c r="AF218" s="442">
        <f>SUMPRODUCT(PRODUCE!$B221:$DY221,PRODUCE!$EB$10:$IY$10)</f>
        <v>0</v>
      </c>
      <c r="AG218" s="422"/>
      <c r="AH218" s="442">
        <f>AF218-AG218</f>
        <v>0</v>
      </c>
      <c r="AI218" s="442">
        <f>AI217+AE218-AG218</f>
        <v>33372.700000000019</v>
      </c>
      <c r="AJ218" s="56"/>
      <c r="AM218" s="55">
        <f>AD218</f>
        <v>46204</v>
      </c>
      <c r="AN218" s="422"/>
      <c r="AO218" s="444">
        <f>SUMPRODUCT(PRODUCE!$B221:$DY221,PRODUCE!$EB$11:$IY$11)</f>
        <v>0</v>
      </c>
      <c r="AP218" s="422"/>
      <c r="AQ218" s="444">
        <f>AO218-AP218</f>
        <v>0</v>
      </c>
      <c r="AR218" s="444">
        <f>AR217+AN218-AP218</f>
        <v>0</v>
      </c>
      <c r="AS218" s="56"/>
      <c r="AV218" s="55">
        <f>AM218</f>
        <v>46204</v>
      </c>
      <c r="AW218" s="422"/>
      <c r="AX218" s="446">
        <f>SUMPRODUCT(PRODUCE!$B221:$DY221,PRODUCE!$EB$12:$IY$12)</f>
        <v>0</v>
      </c>
      <c r="AY218" s="422"/>
      <c r="AZ218" s="446">
        <f>AX218-AY218</f>
        <v>0</v>
      </c>
      <c r="BA218" s="446">
        <f>BA217+AW218-AY218</f>
        <v>13946.199999999997</v>
      </c>
      <c r="BB218" s="56"/>
      <c r="BE218" s="55">
        <f>AV218</f>
        <v>46204</v>
      </c>
      <c r="BF218" s="422"/>
      <c r="BG218" s="448">
        <f>SUMPRODUCT(PRODUCE!$B221:$DY221,PRODUCE!$EB$13:$IY$13)</f>
        <v>0</v>
      </c>
      <c r="BH218" s="422"/>
      <c r="BI218" s="448">
        <f>BG218-BH218</f>
        <v>0</v>
      </c>
      <c r="BJ218" s="448">
        <f>BJ217+BF218-BH218</f>
        <v>36947.699999999997</v>
      </c>
      <c r="BK218" s="56"/>
      <c r="BN218" s="55">
        <f>BE218</f>
        <v>46204</v>
      </c>
      <c r="BO218" s="422"/>
      <c r="BP218" s="450">
        <f>SUMPRODUCT(PRODUCE!$B221:$DY221,PRODUCE!$EB$14:$IY$14)</f>
        <v>30</v>
      </c>
      <c r="BQ218" s="422"/>
      <c r="BR218" s="450">
        <f>BP218-BQ218</f>
        <v>30</v>
      </c>
      <c r="BS218" s="450">
        <f>BS217+BO218-BQ218</f>
        <v>0</v>
      </c>
      <c r="BT218" s="56"/>
      <c r="BW218" s="55">
        <f>BN218</f>
        <v>46204</v>
      </c>
      <c r="BX218" s="422"/>
      <c r="BY218" s="523">
        <f>SUMPRODUCT(PRODUCE!$B221:$DY221,PRODUCE!$EB$15:$IY$15)</f>
        <v>44.13</v>
      </c>
      <c r="BZ218" s="422"/>
      <c r="CA218" s="523">
        <f>BY218-BZ218</f>
        <v>44.13</v>
      </c>
      <c r="CB218" s="523">
        <f>CB217+BX218-BZ218</f>
        <v>2388.7799999999988</v>
      </c>
      <c r="CC218" s="56"/>
      <c r="CF218" s="55">
        <f>BW218</f>
        <v>46204</v>
      </c>
      <c r="CG218" s="422"/>
      <c r="CH218" s="524">
        <f>SUMPRODUCT(PRODUCE!$B221:$DY221,PRODUCE!$EB$16:$IY$16)</f>
        <v>0</v>
      </c>
      <c r="CI218" s="422"/>
      <c r="CJ218" s="524">
        <f>CH218-CI218</f>
        <v>0</v>
      </c>
      <c r="CK218" s="524">
        <f>CK217+CG218-CI218</f>
        <v>0</v>
      </c>
      <c r="CL218" s="56"/>
      <c r="CO218" s="55">
        <f>CF218</f>
        <v>46204</v>
      </c>
      <c r="CP218" s="422"/>
      <c r="CQ218" s="470">
        <f>SUMPRODUCT(PRODUCE!$B221:$DY221,PRODUCE!$EB$17:$IY$17)</f>
        <v>0</v>
      </c>
      <c r="CR218" s="422"/>
      <c r="CS218" s="470">
        <f>CQ218-CR218</f>
        <v>0</v>
      </c>
      <c r="CT218" s="470">
        <f>CT217+CP218-CR218</f>
        <v>0</v>
      </c>
      <c r="CU218" s="56"/>
      <c r="CX218" s="55">
        <f>CO218</f>
        <v>46204</v>
      </c>
      <c r="CY218" s="422"/>
      <c r="CZ218" s="525">
        <f>SUMPRODUCT(PRODUCE!$B221:$DY221,PRODUCE!$EB$18:$IY$18)</f>
        <v>120</v>
      </c>
      <c r="DA218" s="422">
        <v>120</v>
      </c>
      <c r="DB218" s="525">
        <f>CZ218-DA218</f>
        <v>0</v>
      </c>
      <c r="DC218" s="525">
        <f>DC217+CY218-DA218</f>
        <v>8369.9000000000069</v>
      </c>
      <c r="DD218" s="56"/>
      <c r="DG218" s="55">
        <f>CX218</f>
        <v>46204</v>
      </c>
      <c r="DH218" s="422"/>
      <c r="DI218" s="526">
        <f>SUMPRODUCT(PRODUCE!$B221:$DY221,PRODUCE!$EB$19:$IY$19)</f>
        <v>0</v>
      </c>
      <c r="DJ218" s="422"/>
      <c r="DK218" s="526">
        <f>DI218-DJ218</f>
        <v>0</v>
      </c>
      <c r="DL218" s="526">
        <f>DL217+DH218-DJ218</f>
        <v>34934.499999999985</v>
      </c>
      <c r="DM218" s="56"/>
      <c r="DP218" s="55">
        <f>DG218</f>
        <v>46204</v>
      </c>
      <c r="DQ218" s="56"/>
      <c r="DR218" s="57">
        <f>SUMPRODUCT(PRODUCE!$B221:$DY221,PRODUCE!$EB$20:$IY$20)</f>
        <v>0</v>
      </c>
      <c r="DS218" s="56"/>
      <c r="DT218" s="57">
        <f>DR218-DS218</f>
        <v>0</v>
      </c>
      <c r="DU218" s="57">
        <f>DU217+DQ218-DS218</f>
        <v>5800</v>
      </c>
      <c r="DV218" s="56"/>
      <c r="DY218" s="55">
        <f>DP218</f>
        <v>46204</v>
      </c>
      <c r="DZ218" s="56"/>
      <c r="EA218" s="157">
        <f>SUMPRODUCT(PRODUCE!$B221:$DY221,PRODUCE!$EB$21:$IY$21)</f>
        <v>0</v>
      </c>
      <c r="EB218" s="56"/>
      <c r="EC218" s="157">
        <f>EA218-EB218</f>
        <v>0</v>
      </c>
      <c r="ED218" s="157">
        <f>ED217+DZ218-EB218</f>
        <v>0</v>
      </c>
      <c r="EE218" s="56"/>
      <c r="EH218" s="55">
        <f>DY218</f>
        <v>46204</v>
      </c>
      <c r="EI218" s="56"/>
      <c r="EJ218" s="162">
        <f>SUMPRODUCT(PRODUCE!$B221:$DY221,PRODUCE!$EB$22:$IY$22)</f>
        <v>0</v>
      </c>
      <c r="EK218" s="56"/>
      <c r="EL218" s="162">
        <f>EJ218-EK218</f>
        <v>0</v>
      </c>
      <c r="EM218" s="162">
        <f>EM217+EI218-EK218</f>
        <v>0</v>
      </c>
      <c r="EN218" s="56"/>
      <c r="EQ218" s="55">
        <f>EH218</f>
        <v>46204</v>
      </c>
      <c r="ER218" s="56"/>
      <c r="ES218" s="172">
        <f>SUMPRODUCT(PRODUCE!$B221:$DY221,PRODUCE!$EB$23:$IY$23)</f>
        <v>0</v>
      </c>
      <c r="ET218" s="56"/>
      <c r="EU218" s="135">
        <f>ES218-ET218</f>
        <v>0</v>
      </c>
      <c r="EV218" s="135">
        <f>EV217+ER218-ET218</f>
        <v>0</v>
      </c>
      <c r="EW218" s="56"/>
      <c r="EZ218" s="55">
        <f>EQ218</f>
        <v>46204</v>
      </c>
      <c r="FA218" s="56"/>
      <c r="FB218" s="175">
        <f>SUMPRODUCT(PRODUCE!$B221:$DY221,PRODUCE!$EB$24:$IY$24)</f>
        <v>0</v>
      </c>
      <c r="FC218" s="56"/>
      <c r="FD218" s="175">
        <f>FB218-FC218</f>
        <v>0</v>
      </c>
      <c r="FE218" s="175">
        <f>FE217+FA218-FC218</f>
        <v>0</v>
      </c>
      <c r="FF218" s="56"/>
      <c r="FI218" s="55">
        <f>EZ218</f>
        <v>46204</v>
      </c>
      <c r="FJ218" s="56"/>
      <c r="FK218" s="183">
        <f>SUMPRODUCT(PRODUCE!$B221:$DY221,PRODUCE!$EB$25:$IY$25)</f>
        <v>0</v>
      </c>
      <c r="FL218" s="56"/>
      <c r="FM218" s="183">
        <f>FK218-FL218</f>
        <v>0</v>
      </c>
      <c r="FN218" s="183">
        <f>FN217+FJ218-FL218</f>
        <v>0</v>
      </c>
      <c r="FO218" s="56"/>
      <c r="FR218" s="55">
        <f>FI218</f>
        <v>46204</v>
      </c>
      <c r="FS218" s="56"/>
      <c r="FT218" s="186">
        <f>SUMPRODUCT(PRODUCE!$B221:$DY221,PRODUCE!$EB$26:$IY$26)</f>
        <v>0</v>
      </c>
      <c r="FU218" s="56"/>
      <c r="FV218" s="186">
        <f>FT218-FU218</f>
        <v>0</v>
      </c>
      <c r="FW218" s="186">
        <f>FW217+FS218-FU218</f>
        <v>1160</v>
      </c>
      <c r="FX218" s="56"/>
      <c r="GA218" s="55">
        <f>FR218</f>
        <v>46204</v>
      </c>
      <c r="GB218" s="56"/>
      <c r="GC218" s="137">
        <f>SUMPRODUCT(PRODUCE!$B221:$DY221,PRODUCE!$EB$27:$IY$27)</f>
        <v>0</v>
      </c>
      <c r="GD218" s="56"/>
      <c r="GE218" s="137">
        <f>GC218-GD218</f>
        <v>0</v>
      </c>
      <c r="GF218" s="137">
        <f>GF217+GB218-GD218</f>
        <v>960</v>
      </c>
      <c r="GG218" s="56"/>
      <c r="GI218" s="23"/>
      <c r="GJ218" s="55">
        <f>GA218</f>
        <v>46204</v>
      </c>
      <c r="GK218" s="56"/>
      <c r="GL218" s="199">
        <f>SUMPRODUCT(PRODUCE!$B221:$DY221,PRODUCE!$EB$28:$IY$28)</f>
        <v>0</v>
      </c>
      <c r="GM218" s="56"/>
      <c r="GN218" s="199">
        <f>GL218-GM218</f>
        <v>0</v>
      </c>
      <c r="GO218" s="199">
        <f>GO217+GK218-GM218</f>
        <v>1760</v>
      </c>
      <c r="GP218" s="56"/>
      <c r="GS218" s="55">
        <f>GJ218</f>
        <v>46204</v>
      </c>
      <c r="GT218" s="56"/>
      <c r="GU218" s="195">
        <f>SUMPRODUCT(PRODUCE!$B221:$DY221,PRODUCE!$EB$29:$IY$29)</f>
        <v>0</v>
      </c>
      <c r="GV218" s="56"/>
      <c r="GW218" s="195">
        <f>GU218-GV218</f>
        <v>0</v>
      </c>
      <c r="GX218" s="195">
        <f>GX217+GT218-GV218</f>
        <v>400</v>
      </c>
      <c r="GY218" s="56"/>
      <c r="HB218" s="55">
        <f>GS218</f>
        <v>46204</v>
      </c>
      <c r="HC218" s="56"/>
      <c r="HD218" s="191">
        <f>SUMPRODUCT(PRODUCE!$B221:$DY221,PRODUCE!$EB$30:$IY$30)</f>
        <v>0</v>
      </c>
      <c r="HE218" s="56"/>
      <c r="HF218" s="191">
        <f>HD218-HE218</f>
        <v>0</v>
      </c>
      <c r="HG218" s="191">
        <f>HG217+HC218-HE218</f>
        <v>3600</v>
      </c>
      <c r="HH218" s="56"/>
      <c r="HK218" s="55">
        <f>HB218</f>
        <v>46204</v>
      </c>
      <c r="HL218" s="56"/>
      <c r="HM218" s="63">
        <f>SUMPRODUCT(PRODUCE!$B221:$DY221,PRODUCE!$EB$31:$IY$31)</f>
        <v>0</v>
      </c>
      <c r="HN218" s="56"/>
      <c r="HO218" s="63">
        <f>HM218-HN218</f>
        <v>0</v>
      </c>
      <c r="HP218" s="63">
        <f>HP217+HL218-HN218</f>
        <v>0</v>
      </c>
      <c r="HQ218" s="56"/>
      <c r="HU218" s="55">
        <f>HK218</f>
        <v>46204</v>
      </c>
      <c r="HV218" s="56"/>
      <c r="HW218" s="242">
        <f>SUMPRODUCT(PRODUCE!$B221:$DY221,PRODUCE!$EB$32:$IY$32)</f>
        <v>0</v>
      </c>
      <c r="HX218" s="56"/>
      <c r="HY218" s="242">
        <f>HW218-HX218</f>
        <v>0</v>
      </c>
      <c r="HZ218" s="242">
        <f>HZ217+HV218-HX218</f>
        <v>6680</v>
      </c>
      <c r="IA218" s="56"/>
      <c r="ID218" s="55">
        <f>HU218</f>
        <v>46204</v>
      </c>
      <c r="IE218" s="56"/>
      <c r="IF218" s="242">
        <f>SUMPRODUCT(PRODUCE!$B221:$DY221,PRODUCE!$EB$33:$IY$33)</f>
        <v>0</v>
      </c>
      <c r="IG218" s="56"/>
      <c r="IH218" s="242">
        <f>IF218-IG218</f>
        <v>0</v>
      </c>
      <c r="II218" s="242">
        <f>II217+IE218-IG218</f>
        <v>720</v>
      </c>
      <c r="IJ218" s="56"/>
      <c r="IM218" s="55">
        <f>ID218</f>
        <v>46204</v>
      </c>
      <c r="IN218" s="56"/>
      <c r="IO218" s="242">
        <f>SUMPRODUCT(PRODUCE!$B221:$DY221,PRODUCE!$EB$34:$IY$34)</f>
        <v>0</v>
      </c>
      <c r="IP218" s="56"/>
      <c r="IQ218" s="242">
        <f>IO218-IP218</f>
        <v>0</v>
      </c>
      <c r="IR218" s="242">
        <f>IR217+IN218-IP218</f>
        <v>6520</v>
      </c>
      <c r="IS218" s="56"/>
      <c r="IV218" s="55">
        <f>IM218</f>
        <v>46204</v>
      </c>
      <c r="IW218" s="56"/>
      <c r="IX218" s="242">
        <f>SUMPRODUCT(PRODUCE!$B221:$DY221,PRODUCE!$EB$35:$IY$35)</f>
        <v>0</v>
      </c>
      <c r="IY218" s="56"/>
      <c r="IZ218" s="242">
        <f>IX218-IY218</f>
        <v>0</v>
      </c>
      <c r="JA218" s="242">
        <f>JA217+IW218-IY218</f>
        <v>4960</v>
      </c>
      <c r="JB218" s="56"/>
      <c r="JE218" s="55">
        <f>IV218</f>
        <v>46204</v>
      </c>
      <c r="JF218" s="56"/>
      <c r="JG218" s="242">
        <f>SUMPRODUCT(PRODUCE!$B221:$DY221,PRODUCE!$EB$36:$IY$36)</f>
        <v>0</v>
      </c>
      <c r="JH218" s="56"/>
      <c r="JI218" s="242">
        <f>JG218-JH218</f>
        <v>0</v>
      </c>
      <c r="JJ218" s="242">
        <f>JJ217+JF218-JH218</f>
        <v>0</v>
      </c>
      <c r="JK218" s="56"/>
      <c r="JN218" s="55">
        <f>JE218</f>
        <v>46204</v>
      </c>
      <c r="JO218" s="56"/>
      <c r="JP218" s="242">
        <f>SUMPRODUCT(PRODUCE!$B221:$DY221,PRODUCE!$EB$37:$IY$37)</f>
        <v>0</v>
      </c>
      <c r="JQ218" s="56"/>
      <c r="JR218" s="242">
        <f>JP218-JQ218</f>
        <v>0</v>
      </c>
      <c r="JS218" s="242">
        <f>JS217+JO218-JQ218</f>
        <v>0</v>
      </c>
      <c r="JT218" s="56"/>
      <c r="JW218" s="55">
        <f>JN218</f>
        <v>46204</v>
      </c>
      <c r="JX218" s="56"/>
      <c r="JY218" s="242">
        <f>SUMPRODUCT(PRODUCE!$B221:$DY221,PRODUCE!$EB$38:$IY$38)</f>
        <v>0</v>
      </c>
      <c r="JZ218" s="56"/>
      <c r="KA218" s="242">
        <f>JY218-JZ218</f>
        <v>0</v>
      </c>
      <c r="KB218" s="242">
        <f>KB217+JX218-JZ218</f>
        <v>2540</v>
      </c>
      <c r="KC218" s="56"/>
      <c r="KF218" s="55">
        <f>JW218</f>
        <v>46204</v>
      </c>
      <c r="KG218" s="56"/>
      <c r="KH218" s="242">
        <f>SUMPRODUCT(PRODUCE!$B221:$DY221,PRODUCE!$EB$39:$IY$39)</f>
        <v>0</v>
      </c>
      <c r="KI218" s="56"/>
      <c r="KJ218" s="242">
        <f>KH218-KI218</f>
        <v>0</v>
      </c>
      <c r="KK218" s="242">
        <f>KK217+KG218-KI218</f>
        <v>2359.5</v>
      </c>
      <c r="KL218" s="56"/>
      <c r="KO218" s="55">
        <f>KF218</f>
        <v>46204</v>
      </c>
      <c r="KP218" s="56"/>
      <c r="KQ218" s="242">
        <f>SUMPRODUCT(PRODUCE!$B221:$DY221,PRODUCE!$EB$40:$IY$40)</f>
        <v>0</v>
      </c>
      <c r="KR218" s="56"/>
      <c r="KS218" s="242">
        <f>KQ218-KR218</f>
        <v>0</v>
      </c>
      <c r="KT218" s="242">
        <f>KT217+KP218-KR218</f>
        <v>1890</v>
      </c>
      <c r="KU218" s="56"/>
      <c r="KW218" s="23"/>
      <c r="KX218" s="55">
        <f>KO218</f>
        <v>46204</v>
      </c>
      <c r="KY218" s="56"/>
      <c r="KZ218" s="242">
        <f>SUMPRODUCT(PRODUCE!$B221:$DY221,PRODUCE!$EB$41:$IY$41)</f>
        <v>0</v>
      </c>
      <c r="LA218" s="56"/>
      <c r="LB218" s="242">
        <f>KZ218-LA218</f>
        <v>0</v>
      </c>
      <c r="LC218" s="242">
        <f>LC217+KY218-LA218</f>
        <v>3690</v>
      </c>
      <c r="LD218" s="56"/>
      <c r="LG218" s="55">
        <f>KX218</f>
        <v>46204</v>
      </c>
      <c r="LH218" s="56"/>
      <c r="LI218" s="242">
        <f>SUMPRODUCT(PRODUCE!$B221:$DY221,PRODUCE!$EB$42:$IY$42)</f>
        <v>0</v>
      </c>
      <c r="LJ218" s="56"/>
      <c r="LK218" s="242">
        <f>LI218-LJ218</f>
        <v>0</v>
      </c>
      <c r="LL218" s="242">
        <f>LL217+LH218-LJ218</f>
        <v>4000</v>
      </c>
      <c r="LM218" s="56"/>
      <c r="LP218" s="55">
        <f>LG218</f>
        <v>46204</v>
      </c>
      <c r="LQ218" s="56"/>
      <c r="LR218" s="242">
        <f>SUMPRODUCT(PRODUCE!$B221:$DY221,PRODUCE!$EB$43:$IY$43)</f>
        <v>0</v>
      </c>
      <c r="LS218" s="56"/>
      <c r="LT218" s="242">
        <f>LR218-LS218</f>
        <v>0</v>
      </c>
      <c r="LU218" s="242">
        <f>LU217+LQ218-LS218</f>
        <v>0</v>
      </c>
      <c r="LV218" s="56"/>
      <c r="LY218" s="55">
        <f>LP218</f>
        <v>46204</v>
      </c>
      <c r="LZ218" s="56"/>
      <c r="MA218" s="242">
        <f>SUMPRODUCT(PRODUCE!$B221:$DY221,PRODUCE!$EB$44:$IY$44)</f>
        <v>0</v>
      </c>
      <c r="MB218" s="56"/>
      <c r="MC218" s="242">
        <f>MA218-MB218</f>
        <v>0</v>
      </c>
      <c r="MD218" s="242">
        <f>MD217+LZ218-MB218</f>
        <v>0</v>
      </c>
      <c r="ME218" s="56"/>
      <c r="MH218" s="55">
        <f>LY218</f>
        <v>46204</v>
      </c>
      <c r="MI218" s="56"/>
      <c r="MJ218" s="242">
        <f>SUMPRODUCT(PRODUCE!$B221:$DY221,PRODUCE!$EB$45:$IY$45)</f>
        <v>0</v>
      </c>
      <c r="MK218" s="56"/>
      <c r="ML218" s="242">
        <f>MJ218-MK218</f>
        <v>0</v>
      </c>
      <c r="MM218" s="242">
        <f>MM217+MI218-MK218</f>
        <v>0</v>
      </c>
      <c r="MN218" s="56"/>
      <c r="MQ218" s="55">
        <f>MH218</f>
        <v>46204</v>
      </c>
      <c r="MR218" s="56"/>
      <c r="MS218" s="242">
        <f>SUMPRODUCT(PRODUCE!$B221:$DY221,PRODUCE!$EB$46:$IY$46)</f>
        <v>0</v>
      </c>
      <c r="MT218" s="56"/>
      <c r="MU218" s="242">
        <f>MS218-MT218</f>
        <v>0</v>
      </c>
      <c r="MV218" s="242">
        <f>MV217+MR218-MT218</f>
        <v>3595</v>
      </c>
      <c r="MW218" s="56"/>
      <c r="MZ218" s="55">
        <f>MQ218</f>
        <v>46204</v>
      </c>
      <c r="NA218" s="56"/>
      <c r="NB218" s="242">
        <f>SUMPRODUCT(PRODUCE!$B221:$DY221,PRODUCE!$EB$47:$IY$47)</f>
        <v>0</v>
      </c>
      <c r="NC218" s="56"/>
      <c r="ND218" s="242">
        <f>NB218-NC218</f>
        <v>0</v>
      </c>
      <c r="NE218" s="242">
        <f>NE217+NA218-NC218</f>
        <v>0</v>
      </c>
      <c r="NF218" s="56"/>
      <c r="NI218" s="55">
        <f>MZ218</f>
        <v>46204</v>
      </c>
      <c r="NJ218" s="56"/>
      <c r="NK218" s="242">
        <f>SUMPRODUCT(PRODUCE!$B221:$DY221,PRODUCE!$EB$48:$IY$48)</f>
        <v>0</v>
      </c>
      <c r="NL218" s="56"/>
      <c r="NM218" s="242">
        <f>NK218-NL218</f>
        <v>0</v>
      </c>
      <c r="NN218" s="242">
        <f>NN217+NJ218-NL218</f>
        <v>1127</v>
      </c>
      <c r="NO218" s="56"/>
      <c r="NR218" s="55">
        <f>MZ218</f>
        <v>46204</v>
      </c>
      <c r="NS218" s="56"/>
      <c r="NT218" s="242">
        <f>SUMPRODUCT(PRODUCE!$B221:$DY221,PRODUCE!$EB$49:$IY$49)</f>
        <v>0</v>
      </c>
      <c r="NU218" s="56"/>
      <c r="NV218" s="242">
        <f>NT218-NU218</f>
        <v>0</v>
      </c>
      <c r="NW218" s="242">
        <f>NW217+NS218-NU218</f>
        <v>3111.9999999999995</v>
      </c>
      <c r="NX218" s="56"/>
      <c r="OA218" s="55">
        <f>NR218</f>
        <v>46204</v>
      </c>
      <c r="OB218" s="56"/>
      <c r="OC218" s="242">
        <f>SUMPRODUCT(PRODUCE!$B221:$DY221,PRODUCE!$EB$50:$IY$50)</f>
        <v>0</v>
      </c>
      <c r="OD218" s="56"/>
      <c r="OE218" s="242">
        <f>OC218-OD218</f>
        <v>0</v>
      </c>
      <c r="OF218" s="242">
        <f>OF217+OB218-OD218</f>
        <v>1680.5</v>
      </c>
      <c r="OG218" s="56"/>
      <c r="OJ218" s="55">
        <f>OA218</f>
        <v>46204</v>
      </c>
      <c r="OK218" s="56"/>
      <c r="OL218" s="242">
        <f>SUMPRODUCT(PRODUCE!$B221:$DY221,PRODUCE!$EB$51:$IY$51)</f>
        <v>0</v>
      </c>
      <c r="OM218" s="56"/>
      <c r="ON218" s="242">
        <f>OL218-OM218</f>
        <v>0</v>
      </c>
      <c r="OO218" s="242">
        <f>OO217+OK218-OM218</f>
        <v>0</v>
      </c>
      <c r="OP218" s="56"/>
      <c r="OS218" s="55">
        <f>OJ218</f>
        <v>46204</v>
      </c>
      <c r="OT218" s="56"/>
      <c r="OU218" s="242">
        <f>SUMPRODUCT(PRODUCE!$B221:$DY221,PRODUCE!$EB$52:$IY$52)</f>
        <v>0</v>
      </c>
      <c r="OV218" s="56"/>
      <c r="OW218" s="242">
        <f>OU218-OV218</f>
        <v>0</v>
      </c>
      <c r="OX218" s="242">
        <f>OX217+OT218-OV218</f>
        <v>1482</v>
      </c>
      <c r="OY218" s="56"/>
      <c r="PB218" s="55">
        <f>OS218</f>
        <v>46204</v>
      </c>
      <c r="PC218" s="56"/>
      <c r="PD218" s="242">
        <f>SUMPRODUCT(PRODUCE!$B221:$DY221,PRODUCE!$EB$53:$IY$53)</f>
        <v>0</v>
      </c>
      <c r="PE218" s="56"/>
      <c r="PF218" s="242">
        <f>PD218-PE218</f>
        <v>0</v>
      </c>
      <c r="PG218" s="242">
        <f>PG217+PC218-PE218</f>
        <v>0</v>
      </c>
      <c r="PH218" s="56"/>
      <c r="PK218" s="55">
        <f>PB218</f>
        <v>46204</v>
      </c>
      <c r="PL218" s="56"/>
      <c r="PM218" s="242">
        <f>SUMPRODUCT(PRODUCE!$B221:$DY221,PRODUCE!$EB$54:$IY$54)</f>
        <v>0</v>
      </c>
      <c r="PN218" s="56"/>
      <c r="PO218" s="242">
        <f>PM218-PN218</f>
        <v>0</v>
      </c>
      <c r="PP218" s="242">
        <f>PP217+PL218-PN218</f>
        <v>100</v>
      </c>
      <c r="PQ218" s="56"/>
      <c r="PT218" s="55">
        <f>PK218</f>
        <v>46204</v>
      </c>
      <c r="PU218" s="56"/>
      <c r="PV218" s="242">
        <f>SUMPRODUCT(PRODUCE!$B221:$DY221,PRODUCE!$EB$55:$IY$55)</f>
        <v>0</v>
      </c>
      <c r="PW218" s="56"/>
      <c r="PX218" s="242">
        <f>PV218-PW218</f>
        <v>0</v>
      </c>
      <c r="PY218" s="242">
        <f>PY217+PU218-PW218</f>
        <v>13.960000000000036</v>
      </c>
      <c r="PZ218" s="56"/>
      <c r="QC218" s="55">
        <f>PT218</f>
        <v>46204</v>
      </c>
      <c r="QD218" s="56"/>
      <c r="QE218" s="242">
        <f>SUMPRODUCT(PRODUCE!$B221:$DY221,PRODUCE!$EB$56:$IY$56)</f>
        <v>0</v>
      </c>
      <c r="QF218" s="56"/>
      <c r="QG218" s="242">
        <f>QE218-QF218</f>
        <v>0</v>
      </c>
      <c r="QH218" s="242">
        <f>QH217+QD218-QF218</f>
        <v>1736</v>
      </c>
      <c r="QI218" s="56"/>
      <c r="QL218" s="55">
        <f>QC218</f>
        <v>46204</v>
      </c>
      <c r="QM218" s="56"/>
      <c r="QN218" s="242">
        <f>SUMPRODUCT(PRODUCE!$B221:$DY221,PRODUCE!$EB$57:$IY$57)</f>
        <v>0</v>
      </c>
      <c r="QO218" s="56"/>
      <c r="QP218" s="242">
        <f>QN218-QO218</f>
        <v>0</v>
      </c>
      <c r="QQ218" s="242">
        <f>QQ217+QM218-QO218</f>
        <v>250</v>
      </c>
      <c r="QR218" s="56"/>
      <c r="QU218" s="55">
        <f>QL218</f>
        <v>46204</v>
      </c>
      <c r="QV218" s="56"/>
      <c r="QW218" s="242">
        <f>SUMPRODUCT(PRODUCE!$B221:$DY221,PRODUCE!$EB$58:$IY$58)</f>
        <v>0</v>
      </c>
      <c r="QX218" s="56"/>
      <c r="QY218" s="242">
        <f>QW218-QX218</f>
        <v>0</v>
      </c>
      <c r="QZ218" s="242">
        <f>QZ217+QV218-QX218</f>
        <v>207.6</v>
      </c>
      <c r="RA218" s="56"/>
      <c r="RD218" s="55">
        <f>QU218</f>
        <v>46204</v>
      </c>
      <c r="RE218" s="56"/>
      <c r="RF218" s="242">
        <f>SUMPRODUCT(PRODUCE!$B221:$DY221,PRODUCE!$EB$59:$IY$59)</f>
        <v>0</v>
      </c>
      <c r="RG218" s="56"/>
      <c r="RH218" s="242">
        <f>RF218-RG218</f>
        <v>0</v>
      </c>
      <c r="RI218" s="242">
        <f>RI217+RE218-RG218</f>
        <v>147.04000000000002</v>
      </c>
      <c r="RJ218" s="56"/>
      <c r="RM218" s="55">
        <f>RD218</f>
        <v>46204</v>
      </c>
      <c r="RN218" s="56"/>
      <c r="RO218" s="242">
        <f>SUMPRODUCT(PRODUCE!$B221:$DY221,PRODUCE!$EB$60:$IY$60)</f>
        <v>0</v>
      </c>
      <c r="RP218" s="56"/>
      <c r="RQ218" s="242">
        <f>RO218-RP218</f>
        <v>0</v>
      </c>
      <c r="RR218" s="242">
        <f>RR217+RN218-RP218</f>
        <v>46.8</v>
      </c>
      <c r="RS218" s="56"/>
      <c r="RV218" s="55">
        <f>RM218</f>
        <v>46204</v>
      </c>
      <c r="RW218" s="56"/>
      <c r="RX218" s="242">
        <f>SUMPRODUCT(PRODUCE!$B221:$DY221,PRODUCE!$EB$61:$IY$61)</f>
        <v>0</v>
      </c>
      <c r="RY218" s="56"/>
      <c r="RZ218" s="242">
        <f>RX218-RY218</f>
        <v>0</v>
      </c>
      <c r="SA218" s="242">
        <f>SA217+RW218-RY218</f>
        <v>0</v>
      </c>
      <c r="SB218" s="56"/>
      <c r="SE218" s="55">
        <f>RV218</f>
        <v>46204</v>
      </c>
      <c r="SF218" s="56"/>
      <c r="SG218" s="242">
        <f>SUMPRODUCT(PRODUCE!$B221:$DY221,PRODUCE!$EB$62:$IY$62)</f>
        <v>0</v>
      </c>
      <c r="SH218" s="56"/>
      <c r="SI218" s="242">
        <f>SG218-SH218</f>
        <v>0</v>
      </c>
      <c r="SJ218" s="242">
        <f>SJ217+SF218-SH218</f>
        <v>24.200000000000003</v>
      </c>
      <c r="SK218" s="56"/>
      <c r="SN218" s="55">
        <f>SE218</f>
        <v>46204</v>
      </c>
      <c r="SO218" s="56"/>
      <c r="SP218" s="242">
        <f>SUMPRODUCT(PRODUCE!$B221:$DY221,PRODUCE!$EB$63:$IY$63)</f>
        <v>0</v>
      </c>
      <c r="SQ218" s="56"/>
      <c r="SR218" s="242">
        <f>SP218-SQ218</f>
        <v>0</v>
      </c>
      <c r="SS218" s="242">
        <f>SS217+SO218-SQ218</f>
        <v>32</v>
      </c>
      <c r="ST218" s="56"/>
      <c r="SW218" s="55">
        <f>SN218</f>
        <v>46204</v>
      </c>
      <c r="SX218" s="56"/>
      <c r="SY218" s="242">
        <f>SUMPRODUCT(PRODUCE!$B221:$DY221,PRODUCE!$EB$64:$IY$64)</f>
        <v>0</v>
      </c>
      <c r="SZ218" s="56"/>
      <c r="TA218" s="242">
        <f>SY218-SZ218</f>
        <v>0</v>
      </c>
      <c r="TB218" s="242">
        <f>TB217+SX218-SZ218</f>
        <v>0</v>
      </c>
      <c r="TC218" s="56"/>
      <c r="TF218" s="55">
        <f>SW218</f>
        <v>46204</v>
      </c>
      <c r="TG218" s="56"/>
      <c r="TH218" s="242">
        <f>SUMPRODUCT(PRODUCE!$B221:$DY221,PRODUCE!$EB$57:$IY$57)</f>
        <v>0</v>
      </c>
      <c r="TI218" s="56"/>
      <c r="TJ218" s="242">
        <f>TH218-TI218</f>
        <v>0</v>
      </c>
      <c r="TK218" s="242">
        <f>TK217+TG218-TI218</f>
        <v>0</v>
      </c>
      <c r="TL218" s="56"/>
      <c r="TO218" s="55">
        <f>TF218</f>
        <v>46204</v>
      </c>
      <c r="TP218" s="56"/>
      <c r="TQ218" s="242">
        <f>SUMPRODUCT(PRODUCE!$B221:$DY221,PRODUCE!$EB$57:$IY$57)</f>
        <v>0</v>
      </c>
      <c r="TR218" s="56"/>
      <c r="TS218" s="242">
        <f>TQ218-TR218</f>
        <v>0</v>
      </c>
      <c r="TT218" s="242">
        <f>TT217+TP218-TR218</f>
        <v>22.400000000000006</v>
      </c>
      <c r="TU218" s="56"/>
      <c r="TX218" s="55">
        <f>TO218</f>
        <v>46204</v>
      </c>
      <c r="TY218" s="56"/>
      <c r="TZ218" s="242">
        <f>SUMPRODUCT(PRODUCE!$B221:$DY221,PRODUCE!$EB$57:$IY$57)</f>
        <v>0</v>
      </c>
      <c r="UA218" s="56"/>
      <c r="UB218" s="242">
        <f>TZ218-UA218</f>
        <v>0</v>
      </c>
      <c r="UC218" s="242">
        <f>UC217+TY218-UA218</f>
        <v>46.799999999999983</v>
      </c>
      <c r="UD218" s="56"/>
      <c r="UG218" s="55">
        <f>TX218</f>
        <v>46204</v>
      </c>
      <c r="UH218" s="56"/>
      <c r="UI218" s="242">
        <f>SUMPRODUCT(PRODUCE!$B221:$DY221,PRODUCE!$EB$57:$IY$57)</f>
        <v>0</v>
      </c>
      <c r="UJ218" s="56"/>
      <c r="UK218" s="242">
        <f>UI218-UJ218</f>
        <v>0</v>
      </c>
      <c r="UL218" s="242">
        <f>UL217+UH218-UJ218</f>
        <v>204</v>
      </c>
      <c r="UM218" s="56"/>
      <c r="UP218" s="55">
        <f>UG218</f>
        <v>46204</v>
      </c>
      <c r="UQ218" s="56"/>
      <c r="UR218" s="242">
        <f>SUMPRODUCT(PRODUCE!$B221:$DY221,PRODUCE!$EB$69:$IY$69)</f>
        <v>0</v>
      </c>
      <c r="US218" s="56"/>
      <c r="UT218" s="242">
        <f>UR218-US218</f>
        <v>0</v>
      </c>
      <c r="UU218" s="242">
        <f>UU217+UQ218-US218</f>
        <v>251.25</v>
      </c>
      <c r="UV218" s="56"/>
      <c r="UY218" s="55">
        <f>UP218</f>
        <v>46204</v>
      </c>
      <c r="UZ218" s="56"/>
      <c r="VA218" s="242">
        <f>SUMPRODUCT(PRODUCE!$B221:$DY221,PRODUCE!$EB$70:$IY$70)</f>
        <v>0</v>
      </c>
      <c r="VB218" s="56"/>
      <c r="VC218" s="242">
        <f>VA218-VB218</f>
        <v>0</v>
      </c>
      <c r="VD218" s="242">
        <f>VD217+UZ218-VB218</f>
        <v>41.600000000000023</v>
      </c>
      <c r="VE218" s="56"/>
      <c r="VH218" s="55">
        <f>UY218</f>
        <v>46204</v>
      </c>
      <c r="VI218" s="56"/>
      <c r="VJ218" s="242">
        <f>SUMPRODUCT(PRODUCE!$B221:$DY221,PRODUCE!$EB$71:$IY$71)</f>
        <v>0</v>
      </c>
      <c r="VK218" s="56"/>
      <c r="VL218" s="242">
        <f>VJ218-VK218</f>
        <v>0</v>
      </c>
      <c r="VM218" s="242">
        <f>VM217+VI218-VK218</f>
        <v>210</v>
      </c>
      <c r="VN218" s="56"/>
      <c r="VQ218" s="55">
        <f>VH218</f>
        <v>46204</v>
      </c>
      <c r="VR218" s="56"/>
      <c r="VS218" s="242">
        <f>SUMPRODUCT(PRODUCE!$B221:$DY221,PRODUCE!$EB$57:$IY$57)</f>
        <v>0</v>
      </c>
      <c r="VT218" s="56"/>
      <c r="VU218" s="242">
        <f>VS218-VT218</f>
        <v>0</v>
      </c>
      <c r="VV218" s="242">
        <f>VV217+VR218-VT218</f>
        <v>0</v>
      </c>
      <c r="VW218" s="56"/>
      <c r="VZ218" s="55">
        <f>VQ218</f>
        <v>46204</v>
      </c>
      <c r="WA218" s="56"/>
      <c r="WB218" s="242">
        <f>SUMPRODUCT(PRODUCE!$B221:$DY221,PRODUCE!$EB$57:$IY$57)</f>
        <v>0</v>
      </c>
      <c r="WC218" s="56"/>
      <c r="WD218" s="242">
        <f>WB218-WC218</f>
        <v>0</v>
      </c>
      <c r="WE218" s="242">
        <f>WE217+WA218-WC218</f>
        <v>0</v>
      </c>
      <c r="WF218" s="56"/>
      <c r="WI218" s="55">
        <f>VZ218</f>
        <v>46204</v>
      </c>
      <c r="WJ218" s="56"/>
      <c r="WK218" s="242">
        <f>SUMPRODUCT(PRODUCE!$B221:$DY221,PRODUCE!$EB$57:$IY$57)</f>
        <v>0</v>
      </c>
      <c r="WL218" s="56"/>
      <c r="WM218" s="242">
        <f>WK218-WL218</f>
        <v>0</v>
      </c>
      <c r="WN218" s="242">
        <f>WN217+WJ218-WL218</f>
        <v>1057</v>
      </c>
      <c r="WO218" s="56"/>
      <c r="WR218" s="55">
        <f>WI218</f>
        <v>46204</v>
      </c>
      <c r="WS218" s="56"/>
      <c r="WT218" s="242">
        <f>SUMPRODUCT(PRODUCE!$B221:$DY221,PRODUCE!$EB$57:$IY$57)</f>
        <v>0</v>
      </c>
      <c r="WU218" s="56"/>
      <c r="WV218" s="242">
        <f>WT218-WU218</f>
        <v>0</v>
      </c>
      <c r="WW218" s="242">
        <f>WW217+WS218-WU218</f>
        <v>0</v>
      </c>
      <c r="WX218" s="56"/>
      <c r="XA218" s="55">
        <f>WR218</f>
        <v>46204</v>
      </c>
      <c r="XB218" s="56"/>
      <c r="XC218" s="242">
        <f>SUMPRODUCT(PRODUCE!$B221:$DY221,PRODUCE!$EB$57:$IY$57)</f>
        <v>0</v>
      </c>
      <c r="XD218" s="56"/>
      <c r="XE218" s="242">
        <f>XC218-XD218</f>
        <v>0</v>
      </c>
      <c r="XF218" s="242">
        <f>XF217+XB218-XD218</f>
        <v>7507</v>
      </c>
      <c r="XG218" s="56"/>
      <c r="XJ218" s="55">
        <f>XA218</f>
        <v>46204</v>
      </c>
      <c r="XK218" s="56"/>
      <c r="XL218" s="242">
        <f>SUMPRODUCT(PRODUCE!$B221:$DY221,PRODUCE!$EB$57:$IY$57)</f>
        <v>0</v>
      </c>
      <c r="XM218" s="56"/>
      <c r="XN218" s="242">
        <f>XL218-XM218</f>
        <v>0</v>
      </c>
      <c r="XO218" s="242">
        <f>XO217+XK218-XM218</f>
        <v>4252</v>
      </c>
      <c r="XP218" s="56"/>
      <c r="XS218" s="55">
        <f>XJ218</f>
        <v>46204</v>
      </c>
      <c r="XT218" s="56"/>
      <c r="XU218" s="242">
        <f>SUMPRODUCT(PRODUCE!$B221:$DY221,PRODUCE!$EB$57:$IY$57)</f>
        <v>0</v>
      </c>
      <c r="XV218" s="56"/>
      <c r="XW218" s="242">
        <f>XU218-XV218</f>
        <v>0</v>
      </c>
      <c r="XX218" s="242">
        <f>XX217+XT218-XV218</f>
        <v>2179</v>
      </c>
      <c r="XY218" s="56"/>
      <c r="YB218" s="55">
        <f>XS218</f>
        <v>46204</v>
      </c>
      <c r="YC218" s="56"/>
      <c r="YD218" s="242">
        <f>SUMPRODUCT(PRODUCE!$B221:$DY221,PRODUCE!$EB$57:$IY$57)</f>
        <v>0</v>
      </c>
      <c r="YE218" s="56"/>
      <c r="YF218" s="242">
        <f>YD218-YE218</f>
        <v>0</v>
      </c>
      <c r="YG218" s="242">
        <f>YG217+YC218-YE218</f>
        <v>4019</v>
      </c>
      <c r="YH218" s="56"/>
      <c r="YK218" s="55">
        <f>YB218</f>
        <v>46204</v>
      </c>
      <c r="YL218" s="56"/>
      <c r="YM218" s="242">
        <f>SUMPRODUCT(PRODUCE!$B221:$DY221,PRODUCE!$EB$57:$IY$57)</f>
        <v>0</v>
      </c>
      <c r="YN218" s="56"/>
      <c r="YO218" s="242">
        <f>YM218-YN218</f>
        <v>0</v>
      </c>
      <c r="YP218" s="242">
        <f>YP217+YL218-YN218</f>
        <v>0</v>
      </c>
      <c r="YQ218" s="56"/>
      <c r="YT218" s="55">
        <f>YK218</f>
        <v>46204</v>
      </c>
      <c r="YU218" s="56"/>
      <c r="YV218" s="242">
        <f>SUMPRODUCT(PRODUCE!$B221:$DY221,PRODUCE!$EB$57:$IY$57)</f>
        <v>0</v>
      </c>
      <c r="YW218" s="56"/>
      <c r="YX218" s="242">
        <f>YV218-YW218</f>
        <v>0</v>
      </c>
      <c r="YY218" s="242">
        <f>YY217+YU218-YW218</f>
        <v>0</v>
      </c>
      <c r="YZ218" s="56"/>
      <c r="ZC218" s="55">
        <f>YT218</f>
        <v>46204</v>
      </c>
      <c r="ZD218" s="56"/>
      <c r="ZE218" s="242">
        <f>SUMPRODUCT(PRODUCE!$B221:$DY221,PRODUCE!$EB$57:$IY$57)</f>
        <v>0</v>
      </c>
      <c r="ZF218" s="56"/>
      <c r="ZG218" s="242">
        <f>ZE218-ZF218</f>
        <v>0</v>
      </c>
      <c r="ZH218" s="242">
        <f>ZH217+ZD218-ZF218</f>
        <v>0</v>
      </c>
      <c r="ZI218" s="56"/>
      <c r="ZL218" s="55">
        <f>ZC218</f>
        <v>46204</v>
      </c>
      <c r="ZM218" s="56"/>
      <c r="ZN218" s="242">
        <f>SUMPRODUCT(PRODUCE!$B221:$DY221,PRODUCE!$EB$57:$IY$57)</f>
        <v>0</v>
      </c>
      <c r="ZO218" s="56"/>
      <c r="ZP218" s="242">
        <f>ZN218-ZO218</f>
        <v>0</v>
      </c>
      <c r="ZQ218" s="242">
        <f>ZQ217+ZM218-ZO218</f>
        <v>0</v>
      </c>
      <c r="ZR218" s="56"/>
      <c r="ZU218" s="55">
        <f>ZL218</f>
        <v>46204</v>
      </c>
      <c r="ZV218" s="56"/>
      <c r="ZW218" s="242">
        <f>SUMPRODUCT(PRODUCE!$B221:$DY221,PRODUCE!$EB$57:$IY$57)</f>
        <v>0</v>
      </c>
      <c r="ZX218" s="56"/>
      <c r="ZY218" s="242">
        <f>ZW218-ZX218</f>
        <v>0</v>
      </c>
      <c r="ZZ218" s="242">
        <f>ZZ217+ZV218-ZX218</f>
        <v>0</v>
      </c>
      <c r="AAA218" s="56"/>
      <c r="AAD218" s="55">
        <f>ZU218</f>
        <v>46204</v>
      </c>
      <c r="AAE218" s="56"/>
      <c r="AAF218" s="242">
        <f>SUMPRODUCT(PRODUCE!$B221:$DY221,PRODUCE!$EB$57:$IY$57)</f>
        <v>0</v>
      </c>
      <c r="AAG218" s="56"/>
      <c r="AAH218" s="242">
        <f>AAF218-AAG218</f>
        <v>0</v>
      </c>
      <c r="AAI218" s="242">
        <f>AAI217+AAE218-AAG218</f>
        <v>0</v>
      </c>
      <c r="AAJ218" s="56"/>
      <c r="AAM218" s="55">
        <f>AAD218</f>
        <v>46204</v>
      </c>
      <c r="AAN218" s="56"/>
      <c r="AAO218" s="242">
        <f>SUMPRODUCT(PRODUCE!$B221:$DY221,PRODUCE!$EB$57:$IY$57)</f>
        <v>0</v>
      </c>
      <c r="AAP218" s="56"/>
      <c r="AAQ218" s="242">
        <f>AAO218-AAP218</f>
        <v>0</v>
      </c>
      <c r="AAR218" s="242">
        <f>AAR217+AAN218-AAP218</f>
        <v>0</v>
      </c>
      <c r="AAS218" s="56"/>
      <c r="AAV218" s="55">
        <f>AAM218</f>
        <v>46204</v>
      </c>
      <c r="AAW218" s="56"/>
      <c r="AAX218" s="242">
        <f>SUMPRODUCT(PRODUCE!$B221:$DY221,PRODUCE!$EB$57:$IY$57)</f>
        <v>0</v>
      </c>
      <c r="AAY218" s="56"/>
      <c r="AAZ218" s="242">
        <f>AAX218-AAY218</f>
        <v>0</v>
      </c>
      <c r="ABA218" s="242">
        <f>ABA217+AAW218-AAY218</f>
        <v>0</v>
      </c>
      <c r="ABB218" s="56"/>
      <c r="ABE218" s="55">
        <f>AAV218</f>
        <v>46204</v>
      </c>
      <c r="ABF218" s="56"/>
      <c r="ABG218" s="242">
        <f>SUMPRODUCT(PRODUCE!$B221:$DY221,PRODUCE!$EB$57:$IY$57)</f>
        <v>0</v>
      </c>
      <c r="ABH218" s="56"/>
      <c r="ABI218" s="242">
        <f>ABG218-ABH218</f>
        <v>0</v>
      </c>
      <c r="ABJ218" s="242">
        <f>ABJ217+ABF218-ABH218</f>
        <v>0</v>
      </c>
      <c r="ABK218" s="56"/>
    </row>
    <row r="219" spans="1:739" s="54" customFormat="1" ht="15" customHeight="1" outlineLevel="1">
      <c r="B219" s="478"/>
      <c r="C219" s="55">
        <v>46205</v>
      </c>
      <c r="D219" s="422">
        <v>45100</v>
      </c>
      <c r="E219" s="423">
        <f>SUMPRODUCT(PRODUCE!$B222:$DY222,PRODUCE!$EB$7:$IY$7)</f>
        <v>0</v>
      </c>
      <c r="F219" s="422">
        <v>30335.599999999999</v>
      </c>
      <c r="G219" s="423">
        <f t="shared" ref="G219:G248" si="1496">E219-F219</f>
        <v>-30335.599999999999</v>
      </c>
      <c r="H219" s="423">
        <f t="shared" ref="H219:H248" si="1497">H218+D219-F219</f>
        <v>143298.20000000004</v>
      </c>
      <c r="I219" s="289"/>
      <c r="L219" s="55">
        <f t="shared" ref="L219:L248" si="1498">C219</f>
        <v>46205</v>
      </c>
      <c r="M219" s="422"/>
      <c r="N219" s="438">
        <f>SUMPRODUCT(PRODUCE!$B222:$DY222,PRODUCE!$EB$8:$IY$8)</f>
        <v>0</v>
      </c>
      <c r="O219" s="422">
        <v>10783.8</v>
      </c>
      <c r="P219" s="438">
        <f t="shared" ref="P219:P248" si="1499">N219-O219</f>
        <v>-10783.8</v>
      </c>
      <c r="Q219" s="438">
        <f t="shared" ref="Q219:Q248" si="1500">Q218+M219-O219</f>
        <v>38699.000000000073</v>
      </c>
      <c r="R219" s="56"/>
      <c r="U219" s="55">
        <f t="shared" ref="U219:U248" si="1501">L219</f>
        <v>46205</v>
      </c>
      <c r="V219" s="422"/>
      <c r="W219" s="440">
        <f>SUMPRODUCT(PRODUCE!$B222:$DY222,PRODUCE!$EB$9:$IY$9)</f>
        <v>0</v>
      </c>
      <c r="X219" s="422">
        <v>3500.9</v>
      </c>
      <c r="Y219" s="440">
        <f t="shared" ref="Y219:Y248" si="1502">W219-X219</f>
        <v>-3500.9</v>
      </c>
      <c r="Z219" s="440">
        <f t="shared" ref="Z219:Z248" si="1503">Z218+V219-X219</f>
        <v>28933.499999999971</v>
      </c>
      <c r="AA219" s="56"/>
      <c r="AD219" s="55">
        <f t="shared" ref="AD219:AD248" si="1504">U219</f>
        <v>46205</v>
      </c>
      <c r="AE219" s="422"/>
      <c r="AF219" s="442">
        <f>SUMPRODUCT(PRODUCE!$B222:$DY222,PRODUCE!$EB$10:$IY$10)</f>
        <v>0</v>
      </c>
      <c r="AG219" s="422"/>
      <c r="AH219" s="442">
        <f t="shared" ref="AH219:AH248" si="1505">AF219-AG219</f>
        <v>0</v>
      </c>
      <c r="AI219" s="442">
        <f t="shared" ref="AI219:AI248" si="1506">AI218+AE219-AG219</f>
        <v>33372.700000000019</v>
      </c>
      <c r="AJ219" s="56"/>
      <c r="AM219" s="55">
        <f t="shared" ref="AM219:AM248" si="1507">AD219</f>
        <v>46205</v>
      </c>
      <c r="AN219" s="422"/>
      <c r="AO219" s="444">
        <f>SUMPRODUCT(PRODUCE!$B222:$DY222,PRODUCE!$EB$11:$IY$11)</f>
        <v>0</v>
      </c>
      <c r="AP219" s="422"/>
      <c r="AQ219" s="444">
        <f t="shared" ref="AQ219:AQ248" si="1508">AO219-AP219</f>
        <v>0</v>
      </c>
      <c r="AR219" s="444">
        <f t="shared" ref="AR219:AR248" si="1509">AR218+AN219-AP219</f>
        <v>0</v>
      </c>
      <c r="AS219" s="56"/>
      <c r="AV219" s="55">
        <f t="shared" ref="AV219:AV248" si="1510">AM219</f>
        <v>46205</v>
      </c>
      <c r="AW219" s="422"/>
      <c r="AX219" s="446">
        <f>SUMPRODUCT(PRODUCE!$B222:$DY222,PRODUCE!$EB$12:$IY$12)</f>
        <v>0</v>
      </c>
      <c r="AY219" s="422"/>
      <c r="AZ219" s="446">
        <f t="shared" ref="AZ219:AZ248" si="1511">AX219-AY219</f>
        <v>0</v>
      </c>
      <c r="BA219" s="446">
        <f t="shared" ref="BA219:BA247" si="1512">BA218+AW219-AY219</f>
        <v>13946.199999999997</v>
      </c>
      <c r="BB219" s="56"/>
      <c r="BE219" s="55">
        <f t="shared" ref="BE219:BE248" si="1513">AV219</f>
        <v>46205</v>
      </c>
      <c r="BF219" s="422"/>
      <c r="BG219" s="448">
        <f>SUMPRODUCT(PRODUCE!$B222:$DY222,PRODUCE!$EB$13:$IY$13)</f>
        <v>0</v>
      </c>
      <c r="BH219" s="422">
        <v>500.8</v>
      </c>
      <c r="BI219" s="448">
        <f t="shared" ref="BI219:BI248" si="1514">BG219-BH219</f>
        <v>-500.8</v>
      </c>
      <c r="BJ219" s="448">
        <f t="shared" ref="BJ219:BJ248" si="1515">BJ218+BF219-BH219</f>
        <v>36446.899999999994</v>
      </c>
      <c r="BK219" s="56"/>
      <c r="BN219" s="55">
        <f t="shared" ref="BN219:BN248" si="1516">BE219</f>
        <v>46205</v>
      </c>
      <c r="BO219" s="422">
        <v>500</v>
      </c>
      <c r="BP219" s="450">
        <f>SUMPRODUCT(PRODUCE!$B222:$DY222,PRODUCE!$EB$14:$IY$14)</f>
        <v>0</v>
      </c>
      <c r="BQ219" s="422">
        <v>500</v>
      </c>
      <c r="BR219" s="450">
        <f t="shared" ref="BR219:BR248" si="1517">BP219-BQ219</f>
        <v>-500</v>
      </c>
      <c r="BS219" s="450">
        <f t="shared" ref="BS219:BS248" si="1518">BS218+BO219-BQ219</f>
        <v>0</v>
      </c>
      <c r="BT219" s="56"/>
      <c r="BW219" s="55">
        <f t="shared" ref="BW219:BW248" si="1519">BN219</f>
        <v>46205</v>
      </c>
      <c r="BX219" s="422"/>
      <c r="BY219" s="523">
        <f>SUMPRODUCT(PRODUCE!$B222:$DY222,PRODUCE!$EB$15:$IY$15)</f>
        <v>0</v>
      </c>
      <c r="BZ219" s="422"/>
      <c r="CA219" s="523">
        <f t="shared" ref="CA219:CA248" si="1520">BY219-BZ219</f>
        <v>0</v>
      </c>
      <c r="CB219" s="523">
        <f t="shared" ref="CB219:CB248" si="1521">CB218+BX219-BZ219</f>
        <v>2388.7799999999988</v>
      </c>
      <c r="CC219" s="56"/>
      <c r="CF219" s="55">
        <f t="shared" ref="CF219:CF248" si="1522">BW219</f>
        <v>46205</v>
      </c>
      <c r="CG219" s="422"/>
      <c r="CH219" s="524">
        <f>SUMPRODUCT(PRODUCE!$B222:$DY222,PRODUCE!$EB$16:$IY$16)</f>
        <v>0</v>
      </c>
      <c r="CI219" s="422"/>
      <c r="CJ219" s="524">
        <f t="shared" ref="CJ219:CJ248" si="1523">CH219-CI219</f>
        <v>0</v>
      </c>
      <c r="CK219" s="524">
        <f t="shared" ref="CK219:CK248" si="1524">CK218+CG219-CI219</f>
        <v>0</v>
      </c>
      <c r="CL219" s="56"/>
      <c r="CO219" s="55">
        <f t="shared" ref="CO219:CO248" si="1525">CF219</f>
        <v>46205</v>
      </c>
      <c r="CP219" s="422"/>
      <c r="CQ219" s="470">
        <f>SUMPRODUCT(PRODUCE!$B222:$DY222,PRODUCE!$EB$17:$IY$17)</f>
        <v>0</v>
      </c>
      <c r="CR219" s="422"/>
      <c r="CS219" s="470">
        <f t="shared" ref="CS219:CS248" si="1526">CQ219-CR219</f>
        <v>0</v>
      </c>
      <c r="CT219" s="470">
        <f t="shared" ref="CT219:CT248" si="1527">CT218+CP219-CR219</f>
        <v>0</v>
      </c>
      <c r="CU219" s="56"/>
      <c r="CX219" s="55">
        <f t="shared" ref="CX219:CX248" si="1528">CO219</f>
        <v>46205</v>
      </c>
      <c r="CY219" s="422"/>
      <c r="CZ219" s="525">
        <f>SUMPRODUCT(PRODUCE!$B222:$DY222,PRODUCE!$EB$18:$IY$18)</f>
        <v>0</v>
      </c>
      <c r="DA219" s="422">
        <v>1000.2</v>
      </c>
      <c r="DB219" s="525">
        <f t="shared" ref="DB219:DB248" si="1529">CZ219-DA219</f>
        <v>-1000.2</v>
      </c>
      <c r="DC219" s="525">
        <f t="shared" ref="DC219:DC248" si="1530">DC218+CY219-DA219</f>
        <v>7369.7000000000071</v>
      </c>
      <c r="DD219" s="56"/>
      <c r="DG219" s="55">
        <f t="shared" ref="DG219:DG248" si="1531">CX219</f>
        <v>46205</v>
      </c>
      <c r="DH219" s="422"/>
      <c r="DI219" s="526">
        <f>SUMPRODUCT(PRODUCE!$B222:$DY222,PRODUCE!$EB$19:$IY$19)</f>
        <v>0</v>
      </c>
      <c r="DJ219" s="422"/>
      <c r="DK219" s="526">
        <f t="shared" ref="DK219:DK248" si="1532">DI219-DJ219</f>
        <v>0</v>
      </c>
      <c r="DL219" s="526">
        <f t="shared" ref="DL219:DL248" si="1533">DL218+DH219-DJ219</f>
        <v>34934.499999999985</v>
      </c>
      <c r="DM219" s="56"/>
      <c r="DP219" s="55">
        <f t="shared" ref="DP219:DP248" si="1534">DG219</f>
        <v>46205</v>
      </c>
      <c r="DQ219" s="56"/>
      <c r="DR219" s="57">
        <f>SUMPRODUCT(PRODUCE!$B222:$DY222,PRODUCE!$EB$20:$IY$20)</f>
        <v>0</v>
      </c>
      <c r="DS219" s="56"/>
      <c r="DT219" s="57">
        <f t="shared" ref="DT219:DT248" si="1535">DR219-DS219</f>
        <v>0</v>
      </c>
      <c r="DU219" s="57">
        <f t="shared" ref="DU219:DU248" si="1536">DU218+DQ219-DS219</f>
        <v>5800</v>
      </c>
      <c r="DV219" s="56"/>
      <c r="DY219" s="55">
        <f t="shared" ref="DY219:DY248" si="1537">DP219</f>
        <v>46205</v>
      </c>
      <c r="DZ219" s="56"/>
      <c r="EA219" s="157">
        <f>SUMPRODUCT(PRODUCE!$B222:$DY222,PRODUCE!$EB$21:$IY$21)</f>
        <v>0</v>
      </c>
      <c r="EB219" s="56"/>
      <c r="EC219" s="157">
        <f t="shared" ref="EC219:EC248" si="1538">EA219-EB219</f>
        <v>0</v>
      </c>
      <c r="ED219" s="157">
        <f t="shared" ref="ED219:ED248" si="1539">ED218+DZ219-EB219</f>
        <v>0</v>
      </c>
      <c r="EE219" s="56"/>
      <c r="EH219" s="55">
        <f t="shared" ref="EH219:EH248" si="1540">DY219</f>
        <v>46205</v>
      </c>
      <c r="EI219" s="56"/>
      <c r="EJ219" s="162">
        <f>SUMPRODUCT(PRODUCE!$B222:$DY222,PRODUCE!$EB$22:$IY$22)</f>
        <v>0</v>
      </c>
      <c r="EK219" s="56"/>
      <c r="EL219" s="162">
        <f t="shared" ref="EL219:EL248" si="1541">EJ219-EK219</f>
        <v>0</v>
      </c>
      <c r="EM219" s="162">
        <f t="shared" ref="EM219:EM248" si="1542">EM218+EI219-EK219</f>
        <v>0</v>
      </c>
      <c r="EN219" s="56"/>
      <c r="EQ219" s="55">
        <f t="shared" ref="EQ219:EQ248" si="1543">EH219</f>
        <v>46205</v>
      </c>
      <c r="ER219" s="56"/>
      <c r="ES219" s="172">
        <f>SUMPRODUCT(PRODUCE!$B222:$DY222,PRODUCE!$EB$23:$IY$23)</f>
        <v>0</v>
      </c>
      <c r="ET219" s="56"/>
      <c r="EU219" s="135">
        <f t="shared" ref="EU219:EU248" si="1544">ES219-ET219</f>
        <v>0</v>
      </c>
      <c r="EV219" s="135">
        <f t="shared" ref="EV219:EV248" si="1545">EV218+ER219-ET219</f>
        <v>0</v>
      </c>
      <c r="EW219" s="56"/>
      <c r="EZ219" s="55">
        <f t="shared" ref="EZ219:EZ248" si="1546">EQ219</f>
        <v>46205</v>
      </c>
      <c r="FA219" s="56"/>
      <c r="FB219" s="175">
        <f>SUMPRODUCT(PRODUCE!$B222:$DY222,PRODUCE!$EB$24:$IY$24)</f>
        <v>0</v>
      </c>
      <c r="FC219" s="56"/>
      <c r="FD219" s="175">
        <f t="shared" ref="FD219:FD248" si="1547">FB219-FC219</f>
        <v>0</v>
      </c>
      <c r="FE219" s="175">
        <f t="shared" ref="FE219:FE248" si="1548">FE218+FA219-FC219</f>
        <v>0</v>
      </c>
      <c r="FF219" s="56"/>
      <c r="FI219" s="55">
        <f t="shared" ref="FI219:FI248" si="1549">EZ219</f>
        <v>46205</v>
      </c>
      <c r="FJ219" s="56"/>
      <c r="FK219" s="183">
        <f>SUMPRODUCT(PRODUCE!$B222:$DY222,PRODUCE!$EB$25:$IY$25)</f>
        <v>0</v>
      </c>
      <c r="FL219" s="56"/>
      <c r="FM219" s="183">
        <f t="shared" ref="FM219:FM248" si="1550">FK219-FL219</f>
        <v>0</v>
      </c>
      <c r="FN219" s="183">
        <f t="shared" ref="FN219:FN248" si="1551">FN218+FJ219-FL219</f>
        <v>0</v>
      </c>
      <c r="FO219" s="56"/>
      <c r="FR219" s="55">
        <f t="shared" ref="FR219:FR248" si="1552">FI219</f>
        <v>46205</v>
      </c>
      <c r="FS219" s="56"/>
      <c r="FT219" s="186">
        <f>SUMPRODUCT(PRODUCE!$B222:$DY222,PRODUCE!$EB$26:$IY$26)</f>
        <v>0</v>
      </c>
      <c r="FU219" s="56"/>
      <c r="FV219" s="186">
        <f t="shared" ref="FV219:FV248" si="1553">FT219-FU219</f>
        <v>0</v>
      </c>
      <c r="FW219" s="186">
        <f t="shared" ref="FW219:FW248" si="1554">FW218+FS219-FU219</f>
        <v>1160</v>
      </c>
      <c r="FX219" s="56"/>
      <c r="GA219" s="55">
        <f t="shared" ref="GA219:GA248" si="1555">FR219</f>
        <v>46205</v>
      </c>
      <c r="GB219" s="56"/>
      <c r="GC219" s="137">
        <f>SUMPRODUCT(PRODUCE!$B222:$DY222,PRODUCE!$EB$27:$IY$27)</f>
        <v>0</v>
      </c>
      <c r="GD219" s="56"/>
      <c r="GE219" s="137">
        <f t="shared" ref="GE219:GE248" si="1556">GC219-GD219</f>
        <v>0</v>
      </c>
      <c r="GF219" s="137">
        <f t="shared" ref="GF219:GF248" si="1557">GF218+GB219-GD219</f>
        <v>960</v>
      </c>
      <c r="GG219" s="56"/>
      <c r="GI219" s="23"/>
      <c r="GJ219" s="55">
        <f t="shared" ref="GJ219:GJ248" si="1558">GA219</f>
        <v>46205</v>
      </c>
      <c r="GK219" s="56"/>
      <c r="GL219" s="199">
        <f>SUMPRODUCT(PRODUCE!$B222:$DY222,PRODUCE!$EB$28:$IY$28)</f>
        <v>0</v>
      </c>
      <c r="GM219" s="56"/>
      <c r="GN219" s="199">
        <f t="shared" ref="GN219:GN248" si="1559">GL219-GM219</f>
        <v>0</v>
      </c>
      <c r="GO219" s="199">
        <f t="shared" ref="GO219:GO248" si="1560">GO218+GK219-GM219</f>
        <v>1760</v>
      </c>
      <c r="GP219" s="56"/>
      <c r="GS219" s="55">
        <f t="shared" ref="GS219:GS248" si="1561">GJ219</f>
        <v>46205</v>
      </c>
      <c r="GT219" s="56"/>
      <c r="GU219" s="195">
        <f>SUMPRODUCT(PRODUCE!$B222:$DY222,PRODUCE!$EB$29:$IY$29)</f>
        <v>0</v>
      </c>
      <c r="GV219" s="56"/>
      <c r="GW219" s="195">
        <f t="shared" ref="GW219:GW248" si="1562">GU219-GV219</f>
        <v>0</v>
      </c>
      <c r="GX219" s="195">
        <f t="shared" ref="GX219:GX248" si="1563">GX218+GT219-GV219</f>
        <v>400</v>
      </c>
      <c r="GY219" s="56"/>
      <c r="HB219" s="55">
        <f t="shared" ref="HB219:HB248" si="1564">GS219</f>
        <v>46205</v>
      </c>
      <c r="HC219" s="56"/>
      <c r="HD219" s="191">
        <f>SUMPRODUCT(PRODUCE!$B222:$DY222,PRODUCE!$EB$30:$IY$30)</f>
        <v>0</v>
      </c>
      <c r="HE219" s="56"/>
      <c r="HF219" s="191">
        <f t="shared" ref="HF219:HF248" si="1565">HD219-HE219</f>
        <v>0</v>
      </c>
      <c r="HG219" s="191">
        <f t="shared" ref="HG219:HG248" si="1566">HG218+HC219-HE219</f>
        <v>3600</v>
      </c>
      <c r="HH219" s="56"/>
      <c r="HK219" s="55">
        <f t="shared" ref="HK219:HK248" si="1567">HB219</f>
        <v>46205</v>
      </c>
      <c r="HL219" s="56"/>
      <c r="HM219" s="63">
        <f>SUMPRODUCT(PRODUCE!$B222:$DY222,PRODUCE!$EB$31:$IY$31)</f>
        <v>0</v>
      </c>
      <c r="HN219" s="56"/>
      <c r="HO219" s="63">
        <f t="shared" ref="HO219:HO248" si="1568">HM219-HN219</f>
        <v>0</v>
      </c>
      <c r="HP219" s="63">
        <f t="shared" ref="HP219:HP248" si="1569">HP218+HL219-HN219</f>
        <v>0</v>
      </c>
      <c r="HQ219" s="56"/>
      <c r="HU219" s="55">
        <f t="shared" ref="HU219:HU248" si="1570">HK219</f>
        <v>46205</v>
      </c>
      <c r="HV219" s="56"/>
      <c r="HW219" s="242">
        <f>SUMPRODUCT(PRODUCE!$B222:$DY222,PRODUCE!$EB$32:$IY$32)</f>
        <v>0</v>
      </c>
      <c r="HX219" s="56"/>
      <c r="HY219" s="242">
        <f t="shared" ref="HY219:HY248" si="1571">HW219-HX219</f>
        <v>0</v>
      </c>
      <c r="HZ219" s="242">
        <f t="shared" ref="HZ219:HZ248" si="1572">HZ218+HV219-HX219</f>
        <v>6680</v>
      </c>
      <c r="IA219" s="56"/>
      <c r="ID219" s="55">
        <f t="shared" ref="ID219:ID248" si="1573">HU219</f>
        <v>46205</v>
      </c>
      <c r="IE219" s="56"/>
      <c r="IF219" s="242">
        <f>SUMPRODUCT(PRODUCE!$B222:$DY222,PRODUCE!$EB$33:$IY$33)</f>
        <v>0</v>
      </c>
      <c r="IG219" s="56"/>
      <c r="IH219" s="242">
        <f t="shared" ref="IH219:IH248" si="1574">IF219-IG219</f>
        <v>0</v>
      </c>
      <c r="II219" s="242">
        <f t="shared" ref="II219:II248" si="1575">II218+IE219-IG219</f>
        <v>720</v>
      </c>
      <c r="IJ219" s="56"/>
      <c r="IM219" s="55">
        <f t="shared" ref="IM219:IM248" si="1576">ID219</f>
        <v>46205</v>
      </c>
      <c r="IN219" s="56"/>
      <c r="IO219" s="242">
        <f>SUMPRODUCT(PRODUCE!$B222:$DY222,PRODUCE!$EB$34:$IY$34)</f>
        <v>0</v>
      </c>
      <c r="IP219" s="56"/>
      <c r="IQ219" s="242">
        <f t="shared" ref="IQ219:IQ248" si="1577">IO219-IP219</f>
        <v>0</v>
      </c>
      <c r="IR219" s="242">
        <f t="shared" ref="IR219:IR248" si="1578">IR218+IN219-IP219</f>
        <v>6520</v>
      </c>
      <c r="IS219" s="56"/>
      <c r="IV219" s="55">
        <f t="shared" ref="IV219:IV248" si="1579">IM219</f>
        <v>46205</v>
      </c>
      <c r="IW219" s="56"/>
      <c r="IX219" s="242">
        <f>SUMPRODUCT(PRODUCE!$B222:$DY222,PRODUCE!$EB$35:$IY$35)</f>
        <v>0</v>
      </c>
      <c r="IY219" s="56"/>
      <c r="IZ219" s="242">
        <f t="shared" ref="IZ219:IZ248" si="1580">IX219-IY219</f>
        <v>0</v>
      </c>
      <c r="JA219" s="242">
        <f t="shared" ref="JA219:JA248" si="1581">JA218+IW219-IY219</f>
        <v>4960</v>
      </c>
      <c r="JB219" s="56"/>
      <c r="JE219" s="55">
        <f t="shared" ref="JE219:JE248" si="1582">IV219</f>
        <v>46205</v>
      </c>
      <c r="JF219" s="56"/>
      <c r="JG219" s="242">
        <f>SUMPRODUCT(PRODUCE!$B222:$DY222,PRODUCE!$EB$36:$IY$36)</f>
        <v>0</v>
      </c>
      <c r="JH219" s="56"/>
      <c r="JI219" s="242">
        <f t="shared" ref="JI219:JI248" si="1583">JG219-JH219</f>
        <v>0</v>
      </c>
      <c r="JJ219" s="242">
        <f t="shared" ref="JJ219:JJ248" si="1584">JJ218+JF219-JH219</f>
        <v>0</v>
      </c>
      <c r="JK219" s="56"/>
      <c r="JN219" s="55">
        <f t="shared" ref="JN219:JN248" si="1585">JE219</f>
        <v>46205</v>
      </c>
      <c r="JO219" s="56"/>
      <c r="JP219" s="242">
        <f>SUMPRODUCT(PRODUCE!$B222:$DY222,PRODUCE!$EB$37:$IY$37)</f>
        <v>0</v>
      </c>
      <c r="JQ219" s="56"/>
      <c r="JR219" s="242">
        <f t="shared" ref="JR219:JR248" si="1586">JP219-JQ219</f>
        <v>0</v>
      </c>
      <c r="JS219" s="242">
        <f t="shared" ref="JS219:JS248" si="1587">JS218+JO219-JQ219</f>
        <v>0</v>
      </c>
      <c r="JT219" s="56"/>
      <c r="JW219" s="55">
        <f t="shared" ref="JW219:JW248" si="1588">JN219</f>
        <v>46205</v>
      </c>
      <c r="JX219" s="56"/>
      <c r="JY219" s="242">
        <f>SUMPRODUCT(PRODUCE!$B222:$DY222,PRODUCE!$EB$38:$IY$38)</f>
        <v>0</v>
      </c>
      <c r="JZ219" s="56"/>
      <c r="KA219" s="242">
        <f t="shared" ref="KA219:KA248" si="1589">JY219-JZ219</f>
        <v>0</v>
      </c>
      <c r="KB219" s="242">
        <f t="shared" ref="KB219:KB248" si="1590">KB218+JX219-JZ219</f>
        <v>2540</v>
      </c>
      <c r="KC219" s="56"/>
      <c r="KF219" s="55">
        <f t="shared" ref="KF219:KF248" si="1591">JW219</f>
        <v>46205</v>
      </c>
      <c r="KG219" s="56"/>
      <c r="KH219" s="242">
        <f>SUMPRODUCT(PRODUCE!$B222:$DY222,PRODUCE!$EB$39:$IY$39)</f>
        <v>0</v>
      </c>
      <c r="KI219" s="56"/>
      <c r="KJ219" s="242">
        <f t="shared" ref="KJ219:KJ248" si="1592">KH219-KI219</f>
        <v>0</v>
      </c>
      <c r="KK219" s="242">
        <f t="shared" ref="KK219:KK248" si="1593">KK218+KG219-KI219</f>
        <v>2359.5</v>
      </c>
      <c r="KL219" s="56"/>
      <c r="KO219" s="55">
        <f t="shared" ref="KO219:KO248" si="1594">KF219</f>
        <v>46205</v>
      </c>
      <c r="KP219" s="56"/>
      <c r="KQ219" s="242">
        <f>SUMPRODUCT(PRODUCE!$B222:$DY222,PRODUCE!$EB$40:$IY$40)</f>
        <v>0</v>
      </c>
      <c r="KR219" s="56"/>
      <c r="KS219" s="242">
        <f t="shared" ref="KS219:KS248" si="1595">KQ219-KR219</f>
        <v>0</v>
      </c>
      <c r="KT219" s="242">
        <f t="shared" ref="KT219:KT248" si="1596">KT218+KP219-KR219</f>
        <v>1890</v>
      </c>
      <c r="KU219" s="56"/>
      <c r="KW219" s="23"/>
      <c r="KX219" s="55">
        <f t="shared" ref="KX219:KX248" si="1597">KO219</f>
        <v>46205</v>
      </c>
      <c r="KY219" s="56"/>
      <c r="KZ219" s="242">
        <f>SUMPRODUCT(PRODUCE!$B222:$DY222,PRODUCE!$EB$41:$IY$41)</f>
        <v>0</v>
      </c>
      <c r="LA219" s="56"/>
      <c r="LB219" s="242">
        <f t="shared" ref="LB219:LB248" si="1598">KZ219-LA219</f>
        <v>0</v>
      </c>
      <c r="LC219" s="242">
        <f t="shared" ref="LC219:LC248" si="1599">LC218+KY219-LA219</f>
        <v>3690</v>
      </c>
      <c r="LD219" s="56"/>
      <c r="LG219" s="55">
        <f t="shared" ref="LG219:LG248" si="1600">KX219</f>
        <v>46205</v>
      </c>
      <c r="LH219" s="56"/>
      <c r="LI219" s="242">
        <f>SUMPRODUCT(PRODUCE!$B222:$DY222,PRODUCE!$EB$42:$IY$42)</f>
        <v>0</v>
      </c>
      <c r="LJ219" s="56"/>
      <c r="LK219" s="242">
        <f t="shared" ref="LK219:LK248" si="1601">LI219-LJ219</f>
        <v>0</v>
      </c>
      <c r="LL219" s="242">
        <f t="shared" ref="LL219:LL248" si="1602">LL218+LH219-LJ219</f>
        <v>4000</v>
      </c>
      <c r="LM219" s="56"/>
      <c r="LP219" s="55">
        <f t="shared" ref="LP219:LP248" si="1603">LG219</f>
        <v>46205</v>
      </c>
      <c r="LQ219" s="56"/>
      <c r="LR219" s="242">
        <f>SUMPRODUCT(PRODUCE!$B222:$DY222,PRODUCE!$EB$43:$IY$43)</f>
        <v>0</v>
      </c>
      <c r="LS219" s="56"/>
      <c r="LT219" s="242">
        <f t="shared" ref="LT219:LT248" si="1604">LR219-LS219</f>
        <v>0</v>
      </c>
      <c r="LU219" s="242">
        <f t="shared" ref="LU219:LU248" si="1605">LU218+LQ219-LS219</f>
        <v>0</v>
      </c>
      <c r="LV219" s="56"/>
      <c r="LY219" s="55">
        <f t="shared" ref="LY219:LY248" si="1606">LP219</f>
        <v>46205</v>
      </c>
      <c r="LZ219" s="56"/>
      <c r="MA219" s="242">
        <f>SUMPRODUCT(PRODUCE!$B222:$DY222,PRODUCE!$EB$44:$IY$44)</f>
        <v>0</v>
      </c>
      <c r="MB219" s="56"/>
      <c r="MC219" s="242">
        <f t="shared" ref="MC219:MC248" si="1607">MA219-MB219</f>
        <v>0</v>
      </c>
      <c r="MD219" s="242">
        <f t="shared" ref="MD219:MD248" si="1608">MD218+LZ219-MB219</f>
        <v>0</v>
      </c>
      <c r="ME219" s="56"/>
      <c r="MH219" s="55">
        <f t="shared" ref="MH219:MH248" si="1609">LY219</f>
        <v>46205</v>
      </c>
      <c r="MI219" s="56"/>
      <c r="MJ219" s="242">
        <f>SUMPRODUCT(PRODUCE!$B222:$DY222,PRODUCE!$EB$45:$IY$45)</f>
        <v>0</v>
      </c>
      <c r="MK219" s="56"/>
      <c r="ML219" s="242">
        <f t="shared" ref="ML219:ML248" si="1610">MJ219-MK219</f>
        <v>0</v>
      </c>
      <c r="MM219" s="242">
        <f t="shared" ref="MM219:MM248" si="1611">MM218+MI219-MK219</f>
        <v>0</v>
      </c>
      <c r="MN219" s="56"/>
      <c r="MQ219" s="55">
        <f t="shared" ref="MQ219:MQ248" si="1612">MH219</f>
        <v>46205</v>
      </c>
      <c r="MR219" s="56"/>
      <c r="MS219" s="242">
        <f>SUMPRODUCT(PRODUCE!$B222:$DY222,PRODUCE!$EB$46:$IY$46)</f>
        <v>0</v>
      </c>
      <c r="MT219" s="56"/>
      <c r="MU219" s="242">
        <f t="shared" ref="MU219:MU248" si="1613">MS219-MT219</f>
        <v>0</v>
      </c>
      <c r="MV219" s="242">
        <f t="shared" ref="MV219:MV248" si="1614">MV218+MR219-MT219</f>
        <v>3595</v>
      </c>
      <c r="MW219" s="56"/>
      <c r="MZ219" s="55">
        <f t="shared" ref="MZ219:MZ248" si="1615">MQ219</f>
        <v>46205</v>
      </c>
      <c r="NA219" s="56"/>
      <c r="NB219" s="242">
        <f>SUMPRODUCT(PRODUCE!$B222:$DY222,PRODUCE!$EB$47:$IY$47)</f>
        <v>0</v>
      </c>
      <c r="NC219" s="56"/>
      <c r="ND219" s="242">
        <f t="shared" ref="ND219:ND248" si="1616">NB219-NC219</f>
        <v>0</v>
      </c>
      <c r="NE219" s="242">
        <f t="shared" ref="NE219:NE248" si="1617">NE218+NA219-NC219</f>
        <v>0</v>
      </c>
      <c r="NF219" s="56"/>
      <c r="NI219" s="55">
        <f t="shared" ref="NI219:NI248" si="1618">MZ219</f>
        <v>46205</v>
      </c>
      <c r="NJ219" s="56"/>
      <c r="NK219" s="242">
        <f>SUMPRODUCT(PRODUCE!$B222:$DY222,PRODUCE!$EB$48:$IY$48)</f>
        <v>0</v>
      </c>
      <c r="NL219" s="56"/>
      <c r="NM219" s="242">
        <f t="shared" ref="NM219:NM248" si="1619">NK219-NL219</f>
        <v>0</v>
      </c>
      <c r="NN219" s="242">
        <f t="shared" ref="NN219:NN248" si="1620">NN218+NJ219-NL219</f>
        <v>1127</v>
      </c>
      <c r="NO219" s="56"/>
      <c r="NR219" s="55">
        <f t="shared" ref="NR219:NR248" si="1621">MZ219</f>
        <v>46205</v>
      </c>
      <c r="NS219" s="56"/>
      <c r="NT219" s="242">
        <f>SUMPRODUCT(PRODUCE!$B222:$DY222,PRODUCE!$EB$49:$IY$49)</f>
        <v>0</v>
      </c>
      <c r="NU219" s="56"/>
      <c r="NV219" s="242">
        <f t="shared" ref="NV219:NV248" si="1622">NT219-NU219</f>
        <v>0</v>
      </c>
      <c r="NW219" s="242">
        <f t="shared" ref="NW219:NW248" si="1623">NW218+NS219-NU219</f>
        <v>3111.9999999999995</v>
      </c>
      <c r="NX219" s="56"/>
      <c r="OA219" s="55">
        <f t="shared" ref="OA219:OA248" si="1624">NR219</f>
        <v>46205</v>
      </c>
      <c r="OB219" s="56"/>
      <c r="OC219" s="242">
        <f>SUMPRODUCT(PRODUCE!$B222:$DY222,PRODUCE!$EB$50:$IY$50)</f>
        <v>0</v>
      </c>
      <c r="OD219" s="56"/>
      <c r="OE219" s="242">
        <f t="shared" ref="OE219:OE248" si="1625">OC219-OD219</f>
        <v>0</v>
      </c>
      <c r="OF219" s="242">
        <f t="shared" ref="OF219:OF248" si="1626">OF218+OB219-OD219</f>
        <v>1680.5</v>
      </c>
      <c r="OG219" s="56"/>
      <c r="OJ219" s="55">
        <f t="shared" ref="OJ219:OJ248" si="1627">OA219</f>
        <v>46205</v>
      </c>
      <c r="OK219" s="56"/>
      <c r="OL219" s="242">
        <f>SUMPRODUCT(PRODUCE!$B222:$DY222,PRODUCE!$EB$51:$IY$51)</f>
        <v>0</v>
      </c>
      <c r="OM219" s="56"/>
      <c r="ON219" s="242">
        <f t="shared" ref="ON219:ON248" si="1628">OL219-OM219</f>
        <v>0</v>
      </c>
      <c r="OO219" s="242">
        <f t="shared" ref="OO219:OO248" si="1629">OO218+OK219-OM219</f>
        <v>0</v>
      </c>
      <c r="OP219" s="56"/>
      <c r="OS219" s="55">
        <f t="shared" ref="OS219:OS248" si="1630">OJ219</f>
        <v>46205</v>
      </c>
      <c r="OT219" s="56"/>
      <c r="OU219" s="242">
        <f>SUMPRODUCT(PRODUCE!$B222:$DY222,PRODUCE!$EB$52:$IY$52)</f>
        <v>0</v>
      </c>
      <c r="OV219" s="56"/>
      <c r="OW219" s="242">
        <f t="shared" ref="OW219:OW248" si="1631">OU219-OV219</f>
        <v>0</v>
      </c>
      <c r="OX219" s="242">
        <f t="shared" ref="OX219:OX248" si="1632">OX218+OT219-OV219</f>
        <v>1482</v>
      </c>
      <c r="OY219" s="56"/>
      <c r="PB219" s="55">
        <f t="shared" ref="PB219:PB248" si="1633">OS219</f>
        <v>46205</v>
      </c>
      <c r="PC219" s="56"/>
      <c r="PD219" s="242">
        <f>SUMPRODUCT(PRODUCE!$B222:$DY222,PRODUCE!$EB$53:$IY$53)</f>
        <v>0</v>
      </c>
      <c r="PE219" s="56"/>
      <c r="PF219" s="242">
        <f t="shared" ref="PF219:PF248" si="1634">PD219-PE219</f>
        <v>0</v>
      </c>
      <c r="PG219" s="242">
        <f t="shared" ref="PG219:PG248" si="1635">PG218+PC219-PE219</f>
        <v>0</v>
      </c>
      <c r="PH219" s="56"/>
      <c r="PK219" s="55">
        <f t="shared" ref="PK219:PK248" si="1636">PB219</f>
        <v>46205</v>
      </c>
      <c r="PL219" s="56"/>
      <c r="PM219" s="242">
        <f>SUMPRODUCT(PRODUCE!$B222:$DY222,PRODUCE!$EB$54:$IY$54)</f>
        <v>0</v>
      </c>
      <c r="PN219" s="56"/>
      <c r="PO219" s="242">
        <f t="shared" ref="PO219:PO248" si="1637">PM219-PN219</f>
        <v>0</v>
      </c>
      <c r="PP219" s="242">
        <f t="shared" ref="PP219:PP248" si="1638">PP218+PL219-PN219</f>
        <v>100</v>
      </c>
      <c r="PQ219" s="56"/>
      <c r="PT219" s="55">
        <f t="shared" ref="PT219:PT248" si="1639">PK219</f>
        <v>46205</v>
      </c>
      <c r="PU219" s="56"/>
      <c r="PV219" s="242">
        <f>SUMPRODUCT(PRODUCE!$B222:$DY222,PRODUCE!$EB$55:$IY$55)</f>
        <v>0</v>
      </c>
      <c r="PW219" s="56"/>
      <c r="PX219" s="242">
        <f t="shared" ref="PX219:PX248" si="1640">PV219-PW219</f>
        <v>0</v>
      </c>
      <c r="PY219" s="242">
        <f t="shared" ref="PY219:PY248" si="1641">PY218+PU219-PW219</f>
        <v>13.960000000000036</v>
      </c>
      <c r="PZ219" s="56"/>
      <c r="QC219" s="55">
        <f t="shared" ref="QC219:QC248" si="1642">PT219</f>
        <v>46205</v>
      </c>
      <c r="QD219" s="56"/>
      <c r="QE219" s="242">
        <f>SUMPRODUCT(PRODUCE!$B222:$DY222,PRODUCE!$EB$56:$IY$56)</f>
        <v>0</v>
      </c>
      <c r="QF219" s="56"/>
      <c r="QG219" s="242">
        <f t="shared" ref="QG219:QG248" si="1643">QE219-QF219</f>
        <v>0</v>
      </c>
      <c r="QH219" s="242">
        <f t="shared" ref="QH219:QH248" si="1644">QH218+QD219-QF219</f>
        <v>1736</v>
      </c>
      <c r="QI219" s="56"/>
      <c r="QL219" s="55">
        <f t="shared" ref="QL219:QL248" si="1645">QC219</f>
        <v>46205</v>
      </c>
      <c r="QM219" s="56"/>
      <c r="QN219" s="242">
        <f>SUMPRODUCT(PRODUCE!$B222:$DY222,PRODUCE!$EB$57:$IY$57)</f>
        <v>0</v>
      </c>
      <c r="QO219" s="56"/>
      <c r="QP219" s="242">
        <f t="shared" ref="QP219:QP248" si="1646">QN219-QO219</f>
        <v>0</v>
      </c>
      <c r="QQ219" s="242">
        <f t="shared" ref="QQ219:QQ248" si="1647">QQ218+QM219-QO219</f>
        <v>250</v>
      </c>
      <c r="QR219" s="56"/>
      <c r="QU219" s="55">
        <f t="shared" ref="QU219:QU248" si="1648">QL219</f>
        <v>46205</v>
      </c>
      <c r="QV219" s="56"/>
      <c r="QW219" s="242">
        <f>SUMPRODUCT(PRODUCE!$B222:$DY222,PRODUCE!$EB$58:$IY$58)</f>
        <v>0</v>
      </c>
      <c r="QX219" s="56"/>
      <c r="QY219" s="242">
        <f t="shared" ref="QY219:QY248" si="1649">QW219-QX219</f>
        <v>0</v>
      </c>
      <c r="QZ219" s="242">
        <f t="shared" ref="QZ219:QZ248" si="1650">QZ218+QV219-QX219</f>
        <v>207.6</v>
      </c>
      <c r="RA219" s="56"/>
      <c r="RD219" s="55">
        <f t="shared" ref="RD219:RD248" si="1651">QU219</f>
        <v>46205</v>
      </c>
      <c r="RE219" s="56"/>
      <c r="RF219" s="242">
        <f>SUMPRODUCT(PRODUCE!$B222:$DY222,PRODUCE!$EB$59:$IY$59)</f>
        <v>0</v>
      </c>
      <c r="RG219" s="56"/>
      <c r="RH219" s="242">
        <f t="shared" ref="RH219:RH248" si="1652">RF219-RG219</f>
        <v>0</v>
      </c>
      <c r="RI219" s="242">
        <f t="shared" ref="RI219:RI248" si="1653">RI218+RE219-RG219</f>
        <v>147.04000000000002</v>
      </c>
      <c r="RJ219" s="56"/>
      <c r="RM219" s="55">
        <f t="shared" ref="RM219:RM248" si="1654">RD219</f>
        <v>46205</v>
      </c>
      <c r="RN219" s="56"/>
      <c r="RO219" s="242">
        <f>SUMPRODUCT(PRODUCE!$B222:$DY222,PRODUCE!$EB$60:$IY$60)</f>
        <v>0</v>
      </c>
      <c r="RP219" s="56"/>
      <c r="RQ219" s="242">
        <f t="shared" ref="RQ219:RQ248" si="1655">RO219-RP219</f>
        <v>0</v>
      </c>
      <c r="RR219" s="242">
        <f t="shared" ref="RR219:RR248" si="1656">RR218+RN219-RP219</f>
        <v>46.8</v>
      </c>
      <c r="RS219" s="56"/>
      <c r="RV219" s="55">
        <f t="shared" ref="RV219:RV248" si="1657">RM219</f>
        <v>46205</v>
      </c>
      <c r="RW219" s="56"/>
      <c r="RX219" s="242">
        <f>SUMPRODUCT(PRODUCE!$B222:$DY222,PRODUCE!$EB$61:$IY$61)</f>
        <v>0</v>
      </c>
      <c r="RY219" s="56"/>
      <c r="RZ219" s="242">
        <f t="shared" ref="RZ219:RZ248" si="1658">RX219-RY219</f>
        <v>0</v>
      </c>
      <c r="SA219" s="242">
        <f t="shared" ref="SA219:SA248" si="1659">SA218+RW219-RY219</f>
        <v>0</v>
      </c>
      <c r="SB219" s="56"/>
      <c r="SE219" s="55">
        <f t="shared" ref="SE219:SE248" si="1660">RV219</f>
        <v>46205</v>
      </c>
      <c r="SF219" s="56"/>
      <c r="SG219" s="242">
        <f>SUMPRODUCT(PRODUCE!$B222:$DY222,PRODUCE!$EB$62:$IY$62)</f>
        <v>0</v>
      </c>
      <c r="SH219" s="56"/>
      <c r="SI219" s="242">
        <f t="shared" ref="SI219:SI248" si="1661">SG219-SH219</f>
        <v>0</v>
      </c>
      <c r="SJ219" s="242">
        <f t="shared" ref="SJ219:SJ248" si="1662">SJ218+SF219-SH219</f>
        <v>24.200000000000003</v>
      </c>
      <c r="SK219" s="56"/>
      <c r="SN219" s="55">
        <f t="shared" ref="SN219:SN248" si="1663">SE219</f>
        <v>46205</v>
      </c>
      <c r="SO219" s="56"/>
      <c r="SP219" s="242">
        <f>SUMPRODUCT(PRODUCE!$B222:$DY222,PRODUCE!$EB$63:$IY$63)</f>
        <v>0</v>
      </c>
      <c r="SQ219" s="56"/>
      <c r="SR219" s="242">
        <f t="shared" ref="SR219:SR248" si="1664">SP219-SQ219</f>
        <v>0</v>
      </c>
      <c r="SS219" s="242">
        <f t="shared" ref="SS219:SS248" si="1665">SS218+SO219-SQ219</f>
        <v>32</v>
      </c>
      <c r="ST219" s="56"/>
      <c r="SW219" s="55">
        <f t="shared" ref="SW219:SW248" si="1666">SN219</f>
        <v>46205</v>
      </c>
      <c r="SX219" s="56"/>
      <c r="SY219" s="242">
        <f>SUMPRODUCT(PRODUCE!$B222:$DY222,PRODUCE!$EB$64:$IY$64)</f>
        <v>0</v>
      </c>
      <c r="SZ219" s="56"/>
      <c r="TA219" s="242">
        <f t="shared" ref="TA219:TA248" si="1667">SY219-SZ219</f>
        <v>0</v>
      </c>
      <c r="TB219" s="242">
        <f t="shared" ref="TB219:TB248" si="1668">TB218+SX219-SZ219</f>
        <v>0</v>
      </c>
      <c r="TC219" s="56"/>
      <c r="TF219" s="55">
        <f t="shared" ref="TF219:TF248" si="1669">SW219</f>
        <v>46205</v>
      </c>
      <c r="TG219" s="56"/>
      <c r="TH219" s="242">
        <f>SUMPRODUCT(PRODUCE!$B222:$DY222,PRODUCE!$EB$57:$IY$57)</f>
        <v>0</v>
      </c>
      <c r="TI219" s="56"/>
      <c r="TJ219" s="242">
        <f t="shared" ref="TJ219:TJ248" si="1670">TH219-TI219</f>
        <v>0</v>
      </c>
      <c r="TK219" s="242">
        <f t="shared" ref="TK219:TK248" si="1671">TK218+TG219-TI219</f>
        <v>0</v>
      </c>
      <c r="TL219" s="56"/>
      <c r="TO219" s="55">
        <f t="shared" ref="TO219:TO248" si="1672">TF219</f>
        <v>46205</v>
      </c>
      <c r="TP219" s="56"/>
      <c r="TQ219" s="242">
        <f>SUMPRODUCT(PRODUCE!$B222:$DY222,PRODUCE!$EB$57:$IY$57)</f>
        <v>0</v>
      </c>
      <c r="TR219" s="56"/>
      <c r="TS219" s="242">
        <f t="shared" ref="TS219:TS248" si="1673">TQ219-TR219</f>
        <v>0</v>
      </c>
      <c r="TT219" s="242">
        <f t="shared" ref="TT219:TT248" si="1674">TT218+TP219-TR219</f>
        <v>22.400000000000006</v>
      </c>
      <c r="TU219" s="56"/>
      <c r="TX219" s="55">
        <f t="shared" ref="TX219:TX248" si="1675">TO219</f>
        <v>46205</v>
      </c>
      <c r="TY219" s="56"/>
      <c r="TZ219" s="242">
        <f>SUMPRODUCT(PRODUCE!$B222:$DY222,PRODUCE!$EB$57:$IY$57)</f>
        <v>0</v>
      </c>
      <c r="UA219" s="56"/>
      <c r="UB219" s="242">
        <f t="shared" ref="UB219:UB248" si="1676">TZ219-UA219</f>
        <v>0</v>
      </c>
      <c r="UC219" s="242">
        <f t="shared" ref="UC219:UC248" si="1677">UC218+TY219-UA219</f>
        <v>46.799999999999983</v>
      </c>
      <c r="UD219" s="56"/>
      <c r="UG219" s="55">
        <f t="shared" ref="UG219:UG248" si="1678">TX219</f>
        <v>46205</v>
      </c>
      <c r="UH219" s="56"/>
      <c r="UI219" s="242">
        <f>SUMPRODUCT(PRODUCE!$B222:$DY222,PRODUCE!$EB$57:$IY$57)</f>
        <v>0</v>
      </c>
      <c r="UJ219" s="56"/>
      <c r="UK219" s="242">
        <f t="shared" ref="UK219:UK248" si="1679">UI219-UJ219</f>
        <v>0</v>
      </c>
      <c r="UL219" s="242">
        <f t="shared" ref="UL219:UL248" si="1680">UL218+UH219-UJ219</f>
        <v>204</v>
      </c>
      <c r="UM219" s="56"/>
      <c r="UP219" s="55">
        <f t="shared" ref="UP219:UP248" si="1681">UG219</f>
        <v>46205</v>
      </c>
      <c r="UQ219" s="56"/>
      <c r="UR219" s="242">
        <f>SUMPRODUCT(PRODUCE!$B222:$DY222,PRODUCE!$EB$69:$IY$69)</f>
        <v>0</v>
      </c>
      <c r="US219" s="56"/>
      <c r="UT219" s="242">
        <f t="shared" ref="UT219:UT248" si="1682">UR219-US219</f>
        <v>0</v>
      </c>
      <c r="UU219" s="242">
        <f t="shared" ref="UU219:UU248" si="1683">UU218+UQ219-US219</f>
        <v>251.25</v>
      </c>
      <c r="UV219" s="56"/>
      <c r="UY219" s="55">
        <f t="shared" ref="UY219:UY248" si="1684">UP219</f>
        <v>46205</v>
      </c>
      <c r="UZ219" s="56"/>
      <c r="VA219" s="242">
        <f>SUMPRODUCT(PRODUCE!$B222:$DY222,PRODUCE!$EB$70:$IY$70)</f>
        <v>0</v>
      </c>
      <c r="VB219" s="56"/>
      <c r="VC219" s="242">
        <f t="shared" ref="VC219:VC248" si="1685">VA219-VB219</f>
        <v>0</v>
      </c>
      <c r="VD219" s="242">
        <f t="shared" ref="VD219:VD248" si="1686">VD218+UZ219-VB219</f>
        <v>41.600000000000023</v>
      </c>
      <c r="VE219" s="56"/>
      <c r="VH219" s="55">
        <f t="shared" ref="VH219:VH248" si="1687">UY219</f>
        <v>46205</v>
      </c>
      <c r="VI219" s="56"/>
      <c r="VJ219" s="242">
        <f>SUMPRODUCT(PRODUCE!$B222:$DY222,PRODUCE!$EB$71:$IY$71)</f>
        <v>0</v>
      </c>
      <c r="VK219" s="56"/>
      <c r="VL219" s="242">
        <f t="shared" ref="VL219:VL248" si="1688">VJ219-VK219</f>
        <v>0</v>
      </c>
      <c r="VM219" s="242">
        <f t="shared" ref="VM219:VM248" si="1689">VM218+VI219-VK219</f>
        <v>210</v>
      </c>
      <c r="VN219" s="56"/>
      <c r="VQ219" s="55">
        <f t="shared" ref="VQ219:VQ248" si="1690">VH219</f>
        <v>46205</v>
      </c>
      <c r="VR219" s="56"/>
      <c r="VS219" s="242">
        <f>SUMPRODUCT(PRODUCE!$B222:$DY222,PRODUCE!$EB$57:$IY$57)</f>
        <v>0</v>
      </c>
      <c r="VT219" s="56"/>
      <c r="VU219" s="242">
        <f t="shared" ref="VU219:VU248" si="1691">VS219-VT219</f>
        <v>0</v>
      </c>
      <c r="VV219" s="242">
        <f t="shared" ref="VV219:VV248" si="1692">VV218+VR219-VT219</f>
        <v>0</v>
      </c>
      <c r="VW219" s="56"/>
      <c r="VZ219" s="55">
        <f t="shared" ref="VZ219:VZ248" si="1693">VQ219</f>
        <v>46205</v>
      </c>
      <c r="WA219" s="56"/>
      <c r="WB219" s="242">
        <f>SUMPRODUCT(PRODUCE!$B222:$DY222,PRODUCE!$EB$57:$IY$57)</f>
        <v>0</v>
      </c>
      <c r="WC219" s="56"/>
      <c r="WD219" s="242">
        <f t="shared" ref="WD219:WD248" si="1694">WB219-WC219</f>
        <v>0</v>
      </c>
      <c r="WE219" s="242">
        <f t="shared" ref="WE219:WE248" si="1695">WE218+WA219-WC219</f>
        <v>0</v>
      </c>
      <c r="WF219" s="56"/>
      <c r="WI219" s="55">
        <f t="shared" ref="WI219:WI248" si="1696">VZ219</f>
        <v>46205</v>
      </c>
      <c r="WJ219" s="56"/>
      <c r="WK219" s="242">
        <f>SUMPRODUCT(PRODUCE!$B222:$DY222,PRODUCE!$EB$57:$IY$57)</f>
        <v>0</v>
      </c>
      <c r="WL219" s="56"/>
      <c r="WM219" s="242">
        <f t="shared" ref="WM219:WM248" si="1697">WK219-WL219</f>
        <v>0</v>
      </c>
      <c r="WN219" s="242">
        <f t="shared" ref="WN219:WN248" si="1698">WN218+WJ219-WL219</f>
        <v>1057</v>
      </c>
      <c r="WO219" s="56"/>
      <c r="WR219" s="55">
        <f t="shared" ref="WR219:WR248" si="1699">WI219</f>
        <v>46205</v>
      </c>
      <c r="WS219" s="56"/>
      <c r="WT219" s="242">
        <f>SUMPRODUCT(PRODUCE!$B222:$DY222,PRODUCE!$EB$57:$IY$57)</f>
        <v>0</v>
      </c>
      <c r="WU219" s="56"/>
      <c r="WV219" s="242">
        <f t="shared" ref="WV219:WV248" si="1700">WT219-WU219</f>
        <v>0</v>
      </c>
      <c r="WW219" s="242">
        <f t="shared" ref="WW219:WW248" si="1701">WW218+WS219-WU219</f>
        <v>0</v>
      </c>
      <c r="WX219" s="56"/>
      <c r="XA219" s="55">
        <f t="shared" ref="XA219:XA248" si="1702">WR219</f>
        <v>46205</v>
      </c>
      <c r="XB219" s="56"/>
      <c r="XC219" s="242">
        <f>SUMPRODUCT(PRODUCE!$B222:$DY222,PRODUCE!$EB$57:$IY$57)</f>
        <v>0</v>
      </c>
      <c r="XD219" s="56"/>
      <c r="XE219" s="242">
        <f t="shared" ref="XE219:XE248" si="1703">XC219-XD219</f>
        <v>0</v>
      </c>
      <c r="XF219" s="242">
        <f t="shared" ref="XF219:XF248" si="1704">XF218+XB219-XD219</f>
        <v>7507</v>
      </c>
      <c r="XG219" s="56"/>
      <c r="XJ219" s="55">
        <f t="shared" ref="XJ219:XJ248" si="1705">XA219</f>
        <v>46205</v>
      </c>
      <c r="XK219" s="56"/>
      <c r="XL219" s="242">
        <f>SUMPRODUCT(PRODUCE!$B222:$DY222,PRODUCE!$EB$57:$IY$57)</f>
        <v>0</v>
      </c>
      <c r="XM219" s="56"/>
      <c r="XN219" s="242">
        <f t="shared" ref="XN219:XN248" si="1706">XL219-XM219</f>
        <v>0</v>
      </c>
      <c r="XO219" s="242">
        <f t="shared" ref="XO219:XO248" si="1707">XO218+XK219-XM219</f>
        <v>4252</v>
      </c>
      <c r="XP219" s="56"/>
      <c r="XS219" s="55">
        <f t="shared" ref="XS219:XS248" si="1708">XJ219</f>
        <v>46205</v>
      </c>
      <c r="XT219" s="56"/>
      <c r="XU219" s="242">
        <f>SUMPRODUCT(PRODUCE!$B222:$DY222,PRODUCE!$EB$57:$IY$57)</f>
        <v>0</v>
      </c>
      <c r="XV219" s="56"/>
      <c r="XW219" s="242">
        <f t="shared" ref="XW219:XW248" si="1709">XU219-XV219</f>
        <v>0</v>
      </c>
      <c r="XX219" s="242">
        <f t="shared" ref="XX219:XX248" si="1710">XX218+XT219-XV219</f>
        <v>2179</v>
      </c>
      <c r="XY219" s="56"/>
      <c r="YB219" s="55">
        <f t="shared" ref="YB219:YB248" si="1711">XS219</f>
        <v>46205</v>
      </c>
      <c r="YC219" s="56"/>
      <c r="YD219" s="242">
        <f>SUMPRODUCT(PRODUCE!$B222:$DY222,PRODUCE!$EB$57:$IY$57)</f>
        <v>0</v>
      </c>
      <c r="YE219" s="56"/>
      <c r="YF219" s="242">
        <f t="shared" ref="YF219:YF248" si="1712">YD219-YE219</f>
        <v>0</v>
      </c>
      <c r="YG219" s="242">
        <f t="shared" ref="YG219:YG248" si="1713">YG218+YC219-YE219</f>
        <v>4019</v>
      </c>
      <c r="YH219" s="56"/>
      <c r="YK219" s="55">
        <f t="shared" ref="YK219:YK248" si="1714">YB219</f>
        <v>46205</v>
      </c>
      <c r="YL219" s="56"/>
      <c r="YM219" s="242">
        <f>SUMPRODUCT(PRODUCE!$B222:$DY222,PRODUCE!$EB$57:$IY$57)</f>
        <v>0</v>
      </c>
      <c r="YN219" s="56"/>
      <c r="YO219" s="242">
        <f t="shared" ref="YO219:YO248" si="1715">YM219-YN219</f>
        <v>0</v>
      </c>
      <c r="YP219" s="242">
        <f t="shared" ref="YP219:YP248" si="1716">YP218+YL219-YN219</f>
        <v>0</v>
      </c>
      <c r="YQ219" s="56"/>
      <c r="YT219" s="55">
        <f t="shared" ref="YT219:YT248" si="1717">YK219</f>
        <v>46205</v>
      </c>
      <c r="YU219" s="56"/>
      <c r="YV219" s="242">
        <f>SUMPRODUCT(PRODUCE!$B222:$DY222,PRODUCE!$EB$57:$IY$57)</f>
        <v>0</v>
      </c>
      <c r="YW219" s="56"/>
      <c r="YX219" s="242">
        <f t="shared" ref="YX219:YX248" si="1718">YV219-YW219</f>
        <v>0</v>
      </c>
      <c r="YY219" s="242">
        <f t="shared" ref="YY219:YY248" si="1719">YY218+YU219-YW219</f>
        <v>0</v>
      </c>
      <c r="YZ219" s="56"/>
      <c r="ZC219" s="55">
        <f t="shared" ref="ZC219:ZC248" si="1720">YT219</f>
        <v>46205</v>
      </c>
      <c r="ZD219" s="56"/>
      <c r="ZE219" s="242">
        <f>SUMPRODUCT(PRODUCE!$B222:$DY222,PRODUCE!$EB$57:$IY$57)</f>
        <v>0</v>
      </c>
      <c r="ZF219" s="56"/>
      <c r="ZG219" s="242">
        <f t="shared" ref="ZG219:ZG248" si="1721">ZE219-ZF219</f>
        <v>0</v>
      </c>
      <c r="ZH219" s="242">
        <f t="shared" ref="ZH219:ZH248" si="1722">ZH218+ZD219-ZF219</f>
        <v>0</v>
      </c>
      <c r="ZI219" s="56"/>
      <c r="ZL219" s="55">
        <f t="shared" ref="ZL219:ZL248" si="1723">ZC219</f>
        <v>46205</v>
      </c>
      <c r="ZM219" s="56"/>
      <c r="ZN219" s="242">
        <f>SUMPRODUCT(PRODUCE!$B222:$DY222,PRODUCE!$EB$57:$IY$57)</f>
        <v>0</v>
      </c>
      <c r="ZO219" s="56"/>
      <c r="ZP219" s="242">
        <f t="shared" ref="ZP219:ZP248" si="1724">ZN219-ZO219</f>
        <v>0</v>
      </c>
      <c r="ZQ219" s="242">
        <f t="shared" ref="ZQ219:ZQ248" si="1725">ZQ218+ZM219-ZO219</f>
        <v>0</v>
      </c>
      <c r="ZR219" s="56"/>
      <c r="ZU219" s="55">
        <f t="shared" ref="ZU219:ZU248" si="1726">ZL219</f>
        <v>46205</v>
      </c>
      <c r="ZV219" s="56"/>
      <c r="ZW219" s="242">
        <f>SUMPRODUCT(PRODUCE!$B222:$DY222,PRODUCE!$EB$57:$IY$57)</f>
        <v>0</v>
      </c>
      <c r="ZX219" s="56"/>
      <c r="ZY219" s="242">
        <f t="shared" ref="ZY219:ZY248" si="1727">ZW219-ZX219</f>
        <v>0</v>
      </c>
      <c r="ZZ219" s="242">
        <f t="shared" ref="ZZ219:ZZ248" si="1728">ZZ218+ZV219-ZX219</f>
        <v>0</v>
      </c>
      <c r="AAA219" s="56"/>
      <c r="AAD219" s="55">
        <f t="shared" ref="AAD219:AAD248" si="1729">ZU219</f>
        <v>46205</v>
      </c>
      <c r="AAE219" s="56"/>
      <c r="AAF219" s="242">
        <f>SUMPRODUCT(PRODUCE!$B222:$DY222,PRODUCE!$EB$57:$IY$57)</f>
        <v>0</v>
      </c>
      <c r="AAG219" s="56"/>
      <c r="AAH219" s="242">
        <f t="shared" ref="AAH219:AAH248" si="1730">AAF219-AAG219</f>
        <v>0</v>
      </c>
      <c r="AAI219" s="242">
        <f t="shared" ref="AAI219:AAI248" si="1731">AAI218+AAE219-AAG219</f>
        <v>0</v>
      </c>
      <c r="AAJ219" s="56"/>
      <c r="AAM219" s="55">
        <f t="shared" ref="AAM219:AAM248" si="1732">AAD219</f>
        <v>46205</v>
      </c>
      <c r="AAN219" s="56"/>
      <c r="AAO219" s="242">
        <f>SUMPRODUCT(PRODUCE!$B222:$DY222,PRODUCE!$EB$57:$IY$57)</f>
        <v>0</v>
      </c>
      <c r="AAP219" s="56"/>
      <c r="AAQ219" s="242">
        <f t="shared" ref="AAQ219:AAQ248" si="1733">AAO219-AAP219</f>
        <v>0</v>
      </c>
      <c r="AAR219" s="242">
        <f t="shared" ref="AAR219:AAR248" si="1734">AAR218+AAN219-AAP219</f>
        <v>0</v>
      </c>
      <c r="AAS219" s="56"/>
      <c r="AAV219" s="55">
        <f t="shared" ref="AAV219:AAV248" si="1735">AAM219</f>
        <v>46205</v>
      </c>
      <c r="AAW219" s="56"/>
      <c r="AAX219" s="242">
        <f>SUMPRODUCT(PRODUCE!$B222:$DY222,PRODUCE!$EB$57:$IY$57)</f>
        <v>0</v>
      </c>
      <c r="AAY219" s="56"/>
      <c r="AAZ219" s="242">
        <f t="shared" ref="AAZ219:AAZ248" si="1736">AAX219-AAY219</f>
        <v>0</v>
      </c>
      <c r="ABA219" s="242">
        <f t="shared" ref="ABA219:ABA248" si="1737">ABA218+AAW219-AAY219</f>
        <v>0</v>
      </c>
      <c r="ABB219" s="56"/>
      <c r="ABE219" s="55">
        <f t="shared" ref="ABE219:ABE248" si="1738">AAV219</f>
        <v>46205</v>
      </c>
      <c r="ABF219" s="56"/>
      <c r="ABG219" s="242">
        <f>SUMPRODUCT(PRODUCE!$B222:$DY222,PRODUCE!$EB$57:$IY$57)</f>
        <v>0</v>
      </c>
      <c r="ABH219" s="56"/>
      <c r="ABI219" s="242">
        <f t="shared" ref="ABI219:ABI248" si="1739">ABG219-ABH219</f>
        <v>0</v>
      </c>
      <c r="ABJ219" s="242">
        <f t="shared" ref="ABJ219:ABJ248" si="1740">ABJ218+ABF219-ABH219</f>
        <v>0</v>
      </c>
      <c r="ABK219" s="56"/>
    </row>
    <row r="220" spans="1:739" s="54" customFormat="1" ht="15" customHeight="1" outlineLevel="1">
      <c r="B220" s="478"/>
      <c r="C220" s="55">
        <v>46206</v>
      </c>
      <c r="D220" s="422">
        <v>55450</v>
      </c>
      <c r="E220" s="423">
        <f>SUMPRODUCT(PRODUCE!$B223:$DY223,PRODUCE!$EB$7:$IY$7)</f>
        <v>13347.400000000001</v>
      </c>
      <c r="F220" s="422">
        <v>24252.799999999999</v>
      </c>
      <c r="G220" s="423">
        <f t="shared" si="1496"/>
        <v>-10905.399999999998</v>
      </c>
      <c r="H220" s="423">
        <f t="shared" si="1497"/>
        <v>174495.40000000005</v>
      </c>
      <c r="I220" s="289"/>
      <c r="L220" s="55">
        <f t="shared" si="1498"/>
        <v>46206</v>
      </c>
      <c r="M220" s="422">
        <v>24550</v>
      </c>
      <c r="N220" s="438">
        <f>SUMPRODUCT(PRODUCE!$B223:$DY223,PRODUCE!$EB$8:$IY$8)</f>
        <v>4743.2</v>
      </c>
      <c r="O220" s="422">
        <v>10693.8</v>
      </c>
      <c r="P220" s="438">
        <f t="shared" si="1499"/>
        <v>-5950.5999999999995</v>
      </c>
      <c r="Q220" s="438">
        <f t="shared" si="1500"/>
        <v>52555.20000000007</v>
      </c>
      <c r="R220" s="56"/>
      <c r="U220" s="55">
        <f t="shared" si="1501"/>
        <v>46206</v>
      </c>
      <c r="V220" s="422"/>
      <c r="W220" s="440">
        <f>SUMPRODUCT(PRODUCE!$B223:$DY223,PRODUCE!$EB$9:$IY$9)</f>
        <v>1540</v>
      </c>
      <c r="X220" s="422">
        <v>2741.6</v>
      </c>
      <c r="Y220" s="440">
        <f t="shared" si="1502"/>
        <v>-1201.5999999999999</v>
      </c>
      <c r="Z220" s="440">
        <f t="shared" si="1503"/>
        <v>26191.899999999972</v>
      </c>
      <c r="AA220" s="56"/>
      <c r="AD220" s="55">
        <f t="shared" si="1504"/>
        <v>46206</v>
      </c>
      <c r="AE220" s="422"/>
      <c r="AF220" s="442">
        <f>SUMPRODUCT(PRODUCE!$B223:$DY223,PRODUCE!$EB$10:$IY$10)</f>
        <v>0</v>
      </c>
      <c r="AG220" s="422"/>
      <c r="AH220" s="442">
        <f t="shared" si="1505"/>
        <v>0</v>
      </c>
      <c r="AI220" s="442">
        <f t="shared" si="1506"/>
        <v>33372.700000000019</v>
      </c>
      <c r="AJ220" s="56"/>
      <c r="AM220" s="55">
        <f t="shared" si="1507"/>
        <v>46206</v>
      </c>
      <c r="AN220" s="422"/>
      <c r="AO220" s="444">
        <f>SUMPRODUCT(PRODUCE!$B223:$DY223,PRODUCE!$EB$11:$IY$11)</f>
        <v>0</v>
      </c>
      <c r="AP220" s="422"/>
      <c r="AQ220" s="444">
        <f t="shared" si="1508"/>
        <v>0</v>
      </c>
      <c r="AR220" s="444">
        <f t="shared" si="1509"/>
        <v>0</v>
      </c>
      <c r="AS220" s="56"/>
      <c r="AV220" s="55">
        <f t="shared" si="1510"/>
        <v>46206</v>
      </c>
      <c r="AW220" s="422"/>
      <c r="AX220" s="446">
        <f>SUMPRODUCT(PRODUCE!$B223:$DY223,PRODUCE!$EB$12:$IY$12)</f>
        <v>0</v>
      </c>
      <c r="AY220" s="422"/>
      <c r="AZ220" s="446">
        <f t="shared" si="1511"/>
        <v>0</v>
      </c>
      <c r="BA220" s="446">
        <f t="shared" si="1512"/>
        <v>13946.199999999997</v>
      </c>
      <c r="BB220" s="56"/>
      <c r="BE220" s="55">
        <f t="shared" si="1513"/>
        <v>46206</v>
      </c>
      <c r="BF220" s="422"/>
      <c r="BG220" s="448">
        <f>SUMPRODUCT(PRODUCE!$B223:$DY223,PRODUCE!$EB$13:$IY$13)</f>
        <v>220</v>
      </c>
      <c r="BH220" s="422">
        <v>220.1</v>
      </c>
      <c r="BI220" s="448">
        <f t="shared" si="1514"/>
        <v>-9.9999999999994316E-2</v>
      </c>
      <c r="BJ220" s="448">
        <f t="shared" si="1515"/>
        <v>36226.799999999996</v>
      </c>
      <c r="BK220" s="56"/>
      <c r="BN220" s="55">
        <f t="shared" si="1516"/>
        <v>46206</v>
      </c>
      <c r="BO220" s="422">
        <v>320.3</v>
      </c>
      <c r="BP220" s="450">
        <f>SUMPRODUCT(PRODUCE!$B223:$DY223,PRODUCE!$EB$14:$IY$14)</f>
        <v>110</v>
      </c>
      <c r="BQ220" s="422">
        <v>320.3</v>
      </c>
      <c r="BR220" s="450">
        <f t="shared" si="1517"/>
        <v>-210.3</v>
      </c>
      <c r="BS220" s="450">
        <f t="shared" si="1518"/>
        <v>0</v>
      </c>
      <c r="BT220" s="56"/>
      <c r="BW220" s="55">
        <f t="shared" si="1519"/>
        <v>46206</v>
      </c>
      <c r="BX220" s="422"/>
      <c r="BY220" s="523">
        <f>SUMPRODUCT(PRODUCE!$B223:$DY223,PRODUCE!$EB$15:$IY$15)</f>
        <v>94.71</v>
      </c>
      <c r="BZ220" s="422">
        <v>9</v>
      </c>
      <c r="CA220" s="523">
        <f t="shared" si="1520"/>
        <v>85.71</v>
      </c>
      <c r="CB220" s="523">
        <f t="shared" si="1521"/>
        <v>2379.7799999999988</v>
      </c>
      <c r="CC220" s="56"/>
      <c r="CF220" s="55">
        <f t="shared" si="1522"/>
        <v>46206</v>
      </c>
      <c r="CG220" s="422"/>
      <c r="CH220" s="524">
        <f>SUMPRODUCT(PRODUCE!$B223:$DY223,PRODUCE!$EB$16:$IY$16)</f>
        <v>0</v>
      </c>
      <c r="CI220" s="422">
        <f>36.48+38.52</f>
        <v>75</v>
      </c>
      <c r="CJ220" s="524">
        <f t="shared" si="1523"/>
        <v>-75</v>
      </c>
      <c r="CK220" s="524">
        <f t="shared" si="1524"/>
        <v>-75</v>
      </c>
      <c r="CL220" s="56"/>
      <c r="CO220" s="55">
        <f t="shared" si="1525"/>
        <v>46206</v>
      </c>
      <c r="CP220" s="422"/>
      <c r="CQ220" s="470">
        <f>SUMPRODUCT(PRODUCE!$B223:$DY223,PRODUCE!$EB$17:$IY$17)</f>
        <v>0</v>
      </c>
      <c r="CR220" s="422"/>
      <c r="CS220" s="470">
        <f t="shared" si="1526"/>
        <v>0</v>
      </c>
      <c r="CT220" s="470">
        <f t="shared" si="1527"/>
        <v>0</v>
      </c>
      <c r="CU220" s="56"/>
      <c r="CX220" s="55">
        <f t="shared" si="1528"/>
        <v>46206</v>
      </c>
      <c r="CY220" s="422"/>
      <c r="CZ220" s="525">
        <f>SUMPRODUCT(PRODUCE!$B223:$DY223,PRODUCE!$EB$18:$IY$18)</f>
        <v>440</v>
      </c>
      <c r="DA220" s="422">
        <v>839</v>
      </c>
      <c r="DB220" s="525">
        <f t="shared" si="1529"/>
        <v>-399</v>
      </c>
      <c r="DC220" s="525">
        <f t="shared" si="1530"/>
        <v>6530.7000000000071</v>
      </c>
      <c r="DD220" s="56"/>
      <c r="DG220" s="55">
        <f t="shared" si="1531"/>
        <v>46206</v>
      </c>
      <c r="DH220" s="422"/>
      <c r="DI220" s="526">
        <f>SUMPRODUCT(PRODUCE!$B223:$DY223,PRODUCE!$EB$19:$IY$19)</f>
        <v>0</v>
      </c>
      <c r="DJ220" s="422"/>
      <c r="DK220" s="526">
        <f t="shared" si="1532"/>
        <v>0</v>
      </c>
      <c r="DL220" s="526">
        <f t="shared" si="1533"/>
        <v>34934.499999999985</v>
      </c>
      <c r="DM220" s="56"/>
      <c r="DP220" s="55">
        <f t="shared" si="1534"/>
        <v>46206</v>
      </c>
      <c r="DQ220" s="56"/>
      <c r="DR220" s="57">
        <f>SUMPRODUCT(PRODUCE!$B223:$DY223,PRODUCE!$EB$20:$IY$20)</f>
        <v>0</v>
      </c>
      <c r="DS220" s="56"/>
      <c r="DT220" s="57">
        <f t="shared" si="1535"/>
        <v>0</v>
      </c>
      <c r="DU220" s="57">
        <f t="shared" si="1536"/>
        <v>5800</v>
      </c>
      <c r="DV220" s="56"/>
      <c r="DY220" s="55">
        <f t="shared" si="1537"/>
        <v>46206</v>
      </c>
      <c r="DZ220" s="56"/>
      <c r="EA220" s="157">
        <f>SUMPRODUCT(PRODUCE!$B223:$DY223,PRODUCE!$EB$21:$IY$21)</f>
        <v>0</v>
      </c>
      <c r="EB220" s="56"/>
      <c r="EC220" s="157">
        <f t="shared" si="1538"/>
        <v>0</v>
      </c>
      <c r="ED220" s="157">
        <f t="shared" si="1539"/>
        <v>0</v>
      </c>
      <c r="EE220" s="56"/>
      <c r="EH220" s="55">
        <f t="shared" si="1540"/>
        <v>46206</v>
      </c>
      <c r="EI220" s="56"/>
      <c r="EJ220" s="162">
        <f>SUMPRODUCT(PRODUCE!$B223:$DY223,PRODUCE!$EB$22:$IY$22)</f>
        <v>0</v>
      </c>
      <c r="EK220" s="56"/>
      <c r="EL220" s="162">
        <f t="shared" si="1541"/>
        <v>0</v>
      </c>
      <c r="EM220" s="162">
        <f t="shared" si="1542"/>
        <v>0</v>
      </c>
      <c r="EN220" s="56"/>
      <c r="EQ220" s="55">
        <f t="shared" si="1543"/>
        <v>46206</v>
      </c>
      <c r="ER220" s="56"/>
      <c r="ES220" s="172">
        <f>SUMPRODUCT(PRODUCE!$B223:$DY223,PRODUCE!$EB$23:$IY$23)</f>
        <v>0</v>
      </c>
      <c r="ET220" s="56"/>
      <c r="EU220" s="135">
        <f t="shared" si="1544"/>
        <v>0</v>
      </c>
      <c r="EV220" s="135">
        <f t="shared" si="1545"/>
        <v>0</v>
      </c>
      <c r="EW220" s="56"/>
      <c r="EZ220" s="55">
        <f t="shared" si="1546"/>
        <v>46206</v>
      </c>
      <c r="FA220" s="56"/>
      <c r="FB220" s="175">
        <f>SUMPRODUCT(PRODUCE!$B223:$DY223,PRODUCE!$EB$24:$IY$24)</f>
        <v>0</v>
      </c>
      <c r="FC220" s="56"/>
      <c r="FD220" s="175">
        <f t="shared" si="1547"/>
        <v>0</v>
      </c>
      <c r="FE220" s="175">
        <f t="shared" si="1548"/>
        <v>0</v>
      </c>
      <c r="FF220" s="56"/>
      <c r="FI220" s="55">
        <f t="shared" si="1549"/>
        <v>46206</v>
      </c>
      <c r="FJ220" s="56"/>
      <c r="FK220" s="183">
        <f>SUMPRODUCT(PRODUCE!$B223:$DY223,PRODUCE!$EB$25:$IY$25)</f>
        <v>0</v>
      </c>
      <c r="FL220" s="56"/>
      <c r="FM220" s="183">
        <f t="shared" si="1550"/>
        <v>0</v>
      </c>
      <c r="FN220" s="183">
        <f t="shared" si="1551"/>
        <v>0</v>
      </c>
      <c r="FO220" s="56"/>
      <c r="FR220" s="55">
        <f t="shared" si="1552"/>
        <v>46206</v>
      </c>
      <c r="FS220" s="56"/>
      <c r="FT220" s="186">
        <f>SUMPRODUCT(PRODUCE!$B223:$DY223,PRODUCE!$EB$26:$IY$26)</f>
        <v>0</v>
      </c>
      <c r="FU220" s="56"/>
      <c r="FV220" s="186">
        <f t="shared" si="1553"/>
        <v>0</v>
      </c>
      <c r="FW220" s="186">
        <f t="shared" si="1554"/>
        <v>1160</v>
      </c>
      <c r="FX220" s="56"/>
      <c r="GA220" s="55">
        <f t="shared" si="1555"/>
        <v>46206</v>
      </c>
      <c r="GB220" s="56"/>
      <c r="GC220" s="137">
        <f>SUMPRODUCT(PRODUCE!$B223:$DY223,PRODUCE!$EB$27:$IY$27)</f>
        <v>0</v>
      </c>
      <c r="GD220" s="56"/>
      <c r="GE220" s="137">
        <f t="shared" si="1556"/>
        <v>0</v>
      </c>
      <c r="GF220" s="137">
        <f t="shared" si="1557"/>
        <v>960</v>
      </c>
      <c r="GG220" s="56"/>
      <c r="GI220" s="23"/>
      <c r="GJ220" s="55">
        <f t="shared" si="1558"/>
        <v>46206</v>
      </c>
      <c r="GK220" s="56"/>
      <c r="GL220" s="199">
        <f>SUMPRODUCT(PRODUCE!$B223:$DY223,PRODUCE!$EB$28:$IY$28)</f>
        <v>0</v>
      </c>
      <c r="GM220" s="56"/>
      <c r="GN220" s="199">
        <f t="shared" si="1559"/>
        <v>0</v>
      </c>
      <c r="GO220" s="199">
        <f t="shared" si="1560"/>
        <v>1760</v>
      </c>
      <c r="GP220" s="56"/>
      <c r="GS220" s="55">
        <f t="shared" si="1561"/>
        <v>46206</v>
      </c>
      <c r="GT220" s="56"/>
      <c r="GU220" s="195">
        <f>SUMPRODUCT(PRODUCE!$B223:$DY223,PRODUCE!$EB$29:$IY$29)</f>
        <v>0</v>
      </c>
      <c r="GV220" s="56"/>
      <c r="GW220" s="195">
        <f t="shared" si="1562"/>
        <v>0</v>
      </c>
      <c r="GX220" s="195">
        <f t="shared" si="1563"/>
        <v>400</v>
      </c>
      <c r="GY220" s="56"/>
      <c r="HB220" s="55">
        <f t="shared" si="1564"/>
        <v>46206</v>
      </c>
      <c r="HC220" s="56"/>
      <c r="HD220" s="191">
        <f>SUMPRODUCT(PRODUCE!$B223:$DY223,PRODUCE!$EB$30:$IY$30)</f>
        <v>0</v>
      </c>
      <c r="HE220" s="56"/>
      <c r="HF220" s="191">
        <f t="shared" si="1565"/>
        <v>0</v>
      </c>
      <c r="HG220" s="191">
        <f t="shared" si="1566"/>
        <v>3600</v>
      </c>
      <c r="HH220" s="56"/>
      <c r="HK220" s="55">
        <f t="shared" si="1567"/>
        <v>46206</v>
      </c>
      <c r="HL220" s="56"/>
      <c r="HM220" s="63">
        <f>SUMPRODUCT(PRODUCE!$B223:$DY223,PRODUCE!$EB$31:$IY$31)</f>
        <v>0</v>
      </c>
      <c r="HN220" s="56"/>
      <c r="HO220" s="63">
        <f t="shared" si="1568"/>
        <v>0</v>
      </c>
      <c r="HP220" s="63">
        <f t="shared" si="1569"/>
        <v>0</v>
      </c>
      <c r="HQ220" s="56"/>
      <c r="HU220" s="55">
        <f t="shared" si="1570"/>
        <v>46206</v>
      </c>
      <c r="HV220" s="56"/>
      <c r="HW220" s="242">
        <f>SUMPRODUCT(PRODUCE!$B223:$DY223,PRODUCE!$EB$32:$IY$32)</f>
        <v>0</v>
      </c>
      <c r="HX220" s="56">
        <v>120</v>
      </c>
      <c r="HY220" s="242">
        <f t="shared" si="1571"/>
        <v>-120</v>
      </c>
      <c r="HZ220" s="242">
        <f t="shared" si="1572"/>
        <v>6560</v>
      </c>
      <c r="IA220" s="56">
        <f>HX220/20</f>
        <v>6</v>
      </c>
      <c r="ID220" s="55">
        <f t="shared" si="1573"/>
        <v>46206</v>
      </c>
      <c r="IE220" s="56"/>
      <c r="IF220" s="242">
        <f>SUMPRODUCT(PRODUCE!$B223:$DY223,PRODUCE!$EB$33:$IY$33)</f>
        <v>0</v>
      </c>
      <c r="IG220" s="56"/>
      <c r="IH220" s="242">
        <f t="shared" si="1574"/>
        <v>0</v>
      </c>
      <c r="II220" s="242">
        <f t="shared" si="1575"/>
        <v>720</v>
      </c>
      <c r="IJ220" s="56"/>
      <c r="IM220" s="55">
        <f t="shared" si="1576"/>
        <v>46206</v>
      </c>
      <c r="IN220" s="56"/>
      <c r="IO220" s="242">
        <f>SUMPRODUCT(PRODUCE!$B223:$DY223,PRODUCE!$EB$34:$IY$34)</f>
        <v>0</v>
      </c>
      <c r="IP220" s="56">
        <v>120</v>
      </c>
      <c r="IQ220" s="242">
        <f t="shared" si="1577"/>
        <v>-120</v>
      </c>
      <c r="IR220" s="242">
        <f t="shared" si="1578"/>
        <v>6400</v>
      </c>
      <c r="IS220" s="56">
        <f>IP220/20</f>
        <v>6</v>
      </c>
      <c r="IV220" s="55">
        <f t="shared" si="1579"/>
        <v>46206</v>
      </c>
      <c r="IW220" s="56"/>
      <c r="IX220" s="242">
        <f>SUMPRODUCT(PRODUCE!$B223:$DY223,PRODUCE!$EB$35:$IY$35)</f>
        <v>0</v>
      </c>
      <c r="IY220" s="56"/>
      <c r="IZ220" s="242">
        <f t="shared" si="1580"/>
        <v>0</v>
      </c>
      <c r="JA220" s="242">
        <f t="shared" si="1581"/>
        <v>4960</v>
      </c>
      <c r="JB220" s="56"/>
      <c r="JE220" s="55">
        <f t="shared" si="1582"/>
        <v>46206</v>
      </c>
      <c r="JF220" s="56"/>
      <c r="JG220" s="242">
        <f>SUMPRODUCT(PRODUCE!$B223:$DY223,PRODUCE!$EB$36:$IY$36)</f>
        <v>0</v>
      </c>
      <c r="JH220" s="56"/>
      <c r="JI220" s="242">
        <f t="shared" si="1583"/>
        <v>0</v>
      </c>
      <c r="JJ220" s="242">
        <f t="shared" si="1584"/>
        <v>0</v>
      </c>
      <c r="JK220" s="56"/>
      <c r="JN220" s="55">
        <f t="shared" si="1585"/>
        <v>46206</v>
      </c>
      <c r="JO220" s="56"/>
      <c r="JP220" s="242">
        <f>SUMPRODUCT(PRODUCE!$B223:$DY223,PRODUCE!$EB$37:$IY$37)</f>
        <v>0</v>
      </c>
      <c r="JQ220" s="56"/>
      <c r="JR220" s="242">
        <f t="shared" si="1586"/>
        <v>0</v>
      </c>
      <c r="JS220" s="242">
        <f t="shared" si="1587"/>
        <v>0</v>
      </c>
      <c r="JT220" s="56"/>
      <c r="JW220" s="55">
        <f t="shared" si="1588"/>
        <v>46206</v>
      </c>
      <c r="JX220" s="56"/>
      <c r="JY220" s="242">
        <f>SUMPRODUCT(PRODUCE!$B223:$DY223,PRODUCE!$EB$38:$IY$38)</f>
        <v>0</v>
      </c>
      <c r="JZ220" s="56"/>
      <c r="KA220" s="242">
        <f t="shared" si="1589"/>
        <v>0</v>
      </c>
      <c r="KB220" s="242">
        <f t="shared" si="1590"/>
        <v>2540</v>
      </c>
      <c r="KC220" s="56"/>
      <c r="KF220" s="55">
        <f t="shared" si="1591"/>
        <v>46206</v>
      </c>
      <c r="KG220" s="56"/>
      <c r="KH220" s="242">
        <f>SUMPRODUCT(PRODUCE!$B223:$DY223,PRODUCE!$EB$39:$IY$39)</f>
        <v>0</v>
      </c>
      <c r="KI220" s="56"/>
      <c r="KJ220" s="242">
        <f t="shared" si="1592"/>
        <v>0</v>
      </c>
      <c r="KK220" s="242">
        <f t="shared" si="1593"/>
        <v>2359.5</v>
      </c>
      <c r="KL220" s="56"/>
      <c r="KO220" s="55">
        <f t="shared" si="1594"/>
        <v>46206</v>
      </c>
      <c r="KP220" s="56"/>
      <c r="KQ220" s="242">
        <f>SUMPRODUCT(PRODUCE!$B223:$DY223,PRODUCE!$EB$40:$IY$40)</f>
        <v>0</v>
      </c>
      <c r="KR220" s="56"/>
      <c r="KS220" s="242">
        <f t="shared" si="1595"/>
        <v>0</v>
      </c>
      <c r="KT220" s="242">
        <f t="shared" si="1596"/>
        <v>1890</v>
      </c>
      <c r="KU220" s="56"/>
      <c r="KW220" s="23"/>
      <c r="KX220" s="55">
        <f t="shared" si="1597"/>
        <v>46206</v>
      </c>
      <c r="KY220" s="56"/>
      <c r="KZ220" s="242">
        <f>SUMPRODUCT(PRODUCE!$B223:$DY223,PRODUCE!$EB$41:$IY$41)</f>
        <v>0</v>
      </c>
      <c r="LA220" s="56"/>
      <c r="LB220" s="242">
        <f t="shared" si="1598"/>
        <v>0</v>
      </c>
      <c r="LC220" s="242">
        <f t="shared" si="1599"/>
        <v>3690</v>
      </c>
      <c r="LD220" s="56"/>
      <c r="LG220" s="55">
        <f t="shared" si="1600"/>
        <v>46206</v>
      </c>
      <c r="LH220" s="56"/>
      <c r="LI220" s="242">
        <f>SUMPRODUCT(PRODUCE!$B223:$DY223,PRODUCE!$EB$42:$IY$42)</f>
        <v>0</v>
      </c>
      <c r="LJ220" s="56"/>
      <c r="LK220" s="242">
        <f t="shared" si="1601"/>
        <v>0</v>
      </c>
      <c r="LL220" s="242">
        <f t="shared" si="1602"/>
        <v>4000</v>
      </c>
      <c r="LM220" s="56"/>
      <c r="LP220" s="55">
        <f t="shared" si="1603"/>
        <v>46206</v>
      </c>
      <c r="LQ220" s="56"/>
      <c r="LR220" s="242">
        <f>SUMPRODUCT(PRODUCE!$B223:$DY223,PRODUCE!$EB$43:$IY$43)</f>
        <v>0</v>
      </c>
      <c r="LS220" s="56"/>
      <c r="LT220" s="242">
        <f t="shared" si="1604"/>
        <v>0</v>
      </c>
      <c r="LU220" s="242">
        <f t="shared" si="1605"/>
        <v>0</v>
      </c>
      <c r="LV220" s="56"/>
      <c r="LY220" s="55">
        <f t="shared" si="1606"/>
        <v>46206</v>
      </c>
      <c r="LZ220" s="56"/>
      <c r="MA220" s="242">
        <f>SUMPRODUCT(PRODUCE!$B223:$DY223,PRODUCE!$EB$44:$IY$44)</f>
        <v>0</v>
      </c>
      <c r="MB220" s="56"/>
      <c r="MC220" s="242">
        <f t="shared" si="1607"/>
        <v>0</v>
      </c>
      <c r="MD220" s="242">
        <f t="shared" si="1608"/>
        <v>0</v>
      </c>
      <c r="ME220" s="56"/>
      <c r="MH220" s="55">
        <f t="shared" si="1609"/>
        <v>46206</v>
      </c>
      <c r="MI220" s="56"/>
      <c r="MJ220" s="242">
        <f>SUMPRODUCT(PRODUCE!$B223:$DY223,PRODUCE!$EB$45:$IY$45)</f>
        <v>0</v>
      </c>
      <c r="MK220" s="56"/>
      <c r="ML220" s="242">
        <f t="shared" si="1610"/>
        <v>0</v>
      </c>
      <c r="MM220" s="242">
        <f t="shared" si="1611"/>
        <v>0</v>
      </c>
      <c r="MN220" s="56"/>
      <c r="MQ220" s="55">
        <f t="shared" si="1612"/>
        <v>46206</v>
      </c>
      <c r="MR220" s="56"/>
      <c r="MS220" s="242">
        <f>SUMPRODUCT(PRODUCE!$B223:$DY223,PRODUCE!$EB$46:$IY$46)</f>
        <v>0</v>
      </c>
      <c r="MT220" s="56">
        <f>6+6+6+26+23</f>
        <v>67</v>
      </c>
      <c r="MU220" s="242">
        <f t="shared" si="1613"/>
        <v>-67</v>
      </c>
      <c r="MV220" s="242">
        <f t="shared" si="1614"/>
        <v>3528</v>
      </c>
      <c r="MW220" s="56"/>
      <c r="MZ220" s="55">
        <f t="shared" si="1615"/>
        <v>46206</v>
      </c>
      <c r="NA220" s="56">
        <v>36</v>
      </c>
      <c r="NB220" s="242">
        <f>SUMPRODUCT(PRODUCE!$B223:$DY223,PRODUCE!$EB$47:$IY$47)</f>
        <v>0</v>
      </c>
      <c r="NC220" s="56">
        <f>18+18</f>
        <v>36</v>
      </c>
      <c r="ND220" s="242">
        <f t="shared" si="1616"/>
        <v>-36</v>
      </c>
      <c r="NE220" s="242">
        <f t="shared" si="1617"/>
        <v>0</v>
      </c>
      <c r="NF220" s="56"/>
      <c r="NI220" s="55">
        <f t="shared" si="1618"/>
        <v>46206</v>
      </c>
      <c r="NJ220" s="56"/>
      <c r="NK220" s="242">
        <f>SUMPRODUCT(PRODUCE!$B223:$DY223,PRODUCE!$EB$48:$IY$48)</f>
        <v>0</v>
      </c>
      <c r="NL220" s="56"/>
      <c r="NM220" s="242">
        <f t="shared" si="1619"/>
        <v>0</v>
      </c>
      <c r="NN220" s="242">
        <f t="shared" si="1620"/>
        <v>1127</v>
      </c>
      <c r="NO220" s="56"/>
      <c r="NR220" s="55">
        <f t="shared" si="1621"/>
        <v>46206</v>
      </c>
      <c r="NS220" s="56"/>
      <c r="NT220" s="242">
        <f>SUMPRODUCT(PRODUCE!$B223:$DY223,PRODUCE!$EB$49:$IY$49)</f>
        <v>0</v>
      </c>
      <c r="NU220" s="56"/>
      <c r="NV220" s="242">
        <f t="shared" si="1622"/>
        <v>0</v>
      </c>
      <c r="NW220" s="242">
        <f t="shared" si="1623"/>
        <v>3111.9999999999995</v>
      </c>
      <c r="NX220" s="56"/>
      <c r="OA220" s="55">
        <f t="shared" si="1624"/>
        <v>46206</v>
      </c>
      <c r="OB220" s="56"/>
      <c r="OC220" s="242">
        <f>SUMPRODUCT(PRODUCE!$B223:$DY223,PRODUCE!$EB$50:$IY$50)</f>
        <v>0</v>
      </c>
      <c r="OD220" s="56"/>
      <c r="OE220" s="242">
        <f t="shared" si="1625"/>
        <v>0</v>
      </c>
      <c r="OF220" s="242">
        <f t="shared" si="1626"/>
        <v>1680.5</v>
      </c>
      <c r="OG220" s="56"/>
      <c r="OJ220" s="55">
        <f t="shared" si="1627"/>
        <v>46206</v>
      </c>
      <c r="OK220" s="56"/>
      <c r="OL220" s="242">
        <f>SUMPRODUCT(PRODUCE!$B223:$DY223,PRODUCE!$EB$51:$IY$51)</f>
        <v>0</v>
      </c>
      <c r="OM220" s="56"/>
      <c r="ON220" s="242">
        <f t="shared" si="1628"/>
        <v>0</v>
      </c>
      <c r="OO220" s="242">
        <f t="shared" si="1629"/>
        <v>0</v>
      </c>
      <c r="OP220" s="56"/>
      <c r="OS220" s="55">
        <f t="shared" si="1630"/>
        <v>46206</v>
      </c>
      <c r="OT220" s="56"/>
      <c r="OU220" s="242">
        <f>SUMPRODUCT(PRODUCE!$B223:$DY223,PRODUCE!$EB$52:$IY$52)</f>
        <v>0</v>
      </c>
      <c r="OV220" s="56"/>
      <c r="OW220" s="242">
        <f t="shared" si="1631"/>
        <v>0</v>
      </c>
      <c r="OX220" s="242">
        <f t="shared" si="1632"/>
        <v>1482</v>
      </c>
      <c r="OY220" s="56"/>
      <c r="PB220" s="55">
        <f t="shared" si="1633"/>
        <v>46206</v>
      </c>
      <c r="PC220" s="56"/>
      <c r="PD220" s="242">
        <f>SUMPRODUCT(PRODUCE!$B223:$DY223,PRODUCE!$EB$53:$IY$53)</f>
        <v>0</v>
      </c>
      <c r="PE220" s="56"/>
      <c r="PF220" s="242">
        <f t="shared" si="1634"/>
        <v>0</v>
      </c>
      <c r="PG220" s="242">
        <f t="shared" si="1635"/>
        <v>0</v>
      </c>
      <c r="PH220" s="56"/>
      <c r="PK220" s="55">
        <f t="shared" si="1636"/>
        <v>46206</v>
      </c>
      <c r="PL220" s="56"/>
      <c r="PM220" s="242">
        <f>SUMPRODUCT(PRODUCE!$B223:$DY223,PRODUCE!$EB$54:$IY$54)</f>
        <v>0</v>
      </c>
      <c r="PN220" s="56"/>
      <c r="PO220" s="242">
        <f t="shared" si="1637"/>
        <v>0</v>
      </c>
      <c r="PP220" s="242">
        <f t="shared" si="1638"/>
        <v>100</v>
      </c>
      <c r="PQ220" s="56"/>
      <c r="PT220" s="55">
        <f t="shared" si="1639"/>
        <v>46206</v>
      </c>
      <c r="PU220" s="56"/>
      <c r="PV220" s="242">
        <f>SUMPRODUCT(PRODUCE!$B223:$DY223,PRODUCE!$EB$55:$IY$55)</f>
        <v>0</v>
      </c>
      <c r="PW220" s="56"/>
      <c r="PX220" s="242">
        <f t="shared" si="1640"/>
        <v>0</v>
      </c>
      <c r="PY220" s="242">
        <f t="shared" si="1641"/>
        <v>13.960000000000036</v>
      </c>
      <c r="PZ220" s="56"/>
      <c r="QC220" s="55">
        <f t="shared" si="1642"/>
        <v>46206</v>
      </c>
      <c r="QD220" s="56"/>
      <c r="QE220" s="242">
        <f>SUMPRODUCT(PRODUCE!$B223:$DY223,PRODUCE!$EB$56:$IY$56)</f>
        <v>0</v>
      </c>
      <c r="QF220" s="56"/>
      <c r="QG220" s="242">
        <f t="shared" si="1643"/>
        <v>0</v>
      </c>
      <c r="QH220" s="242">
        <f t="shared" si="1644"/>
        <v>1736</v>
      </c>
      <c r="QI220" s="56"/>
      <c r="QL220" s="55">
        <f t="shared" si="1645"/>
        <v>46206</v>
      </c>
      <c r="QM220" s="56"/>
      <c r="QN220" s="242">
        <f>SUMPRODUCT(PRODUCE!$B223:$DY223,PRODUCE!$EB$57:$IY$57)</f>
        <v>0</v>
      </c>
      <c r="QO220" s="56">
        <v>15</v>
      </c>
      <c r="QP220" s="242">
        <f t="shared" si="1646"/>
        <v>-15</v>
      </c>
      <c r="QQ220" s="242">
        <f t="shared" si="1647"/>
        <v>235</v>
      </c>
      <c r="QR220" s="56"/>
      <c r="QU220" s="55">
        <f t="shared" si="1648"/>
        <v>46206</v>
      </c>
      <c r="QV220" s="56"/>
      <c r="QW220" s="242">
        <f>SUMPRODUCT(PRODUCE!$B223:$DY223,PRODUCE!$EB$58:$IY$58)</f>
        <v>0</v>
      </c>
      <c r="QX220" s="56"/>
      <c r="QY220" s="242">
        <f t="shared" si="1649"/>
        <v>0</v>
      </c>
      <c r="QZ220" s="242">
        <f t="shared" si="1650"/>
        <v>207.6</v>
      </c>
      <c r="RA220" s="56"/>
      <c r="RD220" s="55">
        <f t="shared" si="1651"/>
        <v>46206</v>
      </c>
      <c r="RE220" s="56"/>
      <c r="RF220" s="242">
        <f>SUMPRODUCT(PRODUCE!$B223:$DY223,PRODUCE!$EB$59:$IY$59)</f>
        <v>0</v>
      </c>
      <c r="RG220" s="56"/>
      <c r="RH220" s="242">
        <f t="shared" si="1652"/>
        <v>0</v>
      </c>
      <c r="RI220" s="242">
        <f t="shared" si="1653"/>
        <v>147.04000000000002</v>
      </c>
      <c r="RJ220" s="56"/>
      <c r="RM220" s="55">
        <f t="shared" si="1654"/>
        <v>46206</v>
      </c>
      <c r="RN220" s="56"/>
      <c r="RO220" s="242">
        <f>SUMPRODUCT(PRODUCE!$B223:$DY223,PRODUCE!$EB$60:$IY$60)</f>
        <v>0</v>
      </c>
      <c r="RP220" s="56"/>
      <c r="RQ220" s="242">
        <f t="shared" si="1655"/>
        <v>0</v>
      </c>
      <c r="RR220" s="242">
        <f t="shared" si="1656"/>
        <v>46.8</v>
      </c>
      <c r="RS220" s="56"/>
      <c r="RV220" s="55">
        <f t="shared" si="1657"/>
        <v>46206</v>
      </c>
      <c r="RW220" s="56"/>
      <c r="RX220" s="242">
        <f>SUMPRODUCT(PRODUCE!$B223:$DY223,PRODUCE!$EB$61:$IY$61)</f>
        <v>0</v>
      </c>
      <c r="RY220" s="56"/>
      <c r="RZ220" s="242">
        <f t="shared" si="1658"/>
        <v>0</v>
      </c>
      <c r="SA220" s="242">
        <f t="shared" si="1659"/>
        <v>0</v>
      </c>
      <c r="SB220" s="56"/>
      <c r="SE220" s="55">
        <f t="shared" si="1660"/>
        <v>46206</v>
      </c>
      <c r="SF220" s="56"/>
      <c r="SG220" s="242">
        <f>SUMPRODUCT(PRODUCE!$B223:$DY223,PRODUCE!$EB$62:$IY$62)</f>
        <v>0</v>
      </c>
      <c r="SH220" s="56"/>
      <c r="SI220" s="242">
        <f t="shared" si="1661"/>
        <v>0</v>
      </c>
      <c r="SJ220" s="242">
        <f t="shared" si="1662"/>
        <v>24.200000000000003</v>
      </c>
      <c r="SK220" s="56"/>
      <c r="SN220" s="55">
        <f t="shared" si="1663"/>
        <v>46206</v>
      </c>
      <c r="SO220" s="56"/>
      <c r="SP220" s="242">
        <f>SUMPRODUCT(PRODUCE!$B223:$DY223,PRODUCE!$EB$63:$IY$63)</f>
        <v>0</v>
      </c>
      <c r="SQ220" s="56"/>
      <c r="SR220" s="242">
        <f t="shared" si="1664"/>
        <v>0</v>
      </c>
      <c r="SS220" s="242">
        <f t="shared" si="1665"/>
        <v>32</v>
      </c>
      <c r="ST220" s="56"/>
      <c r="SW220" s="55">
        <f t="shared" si="1666"/>
        <v>46206</v>
      </c>
      <c r="SX220" s="56"/>
      <c r="SY220" s="242">
        <f>SUMPRODUCT(PRODUCE!$B223:$DY223,PRODUCE!$EB$64:$IY$64)</f>
        <v>0</v>
      </c>
      <c r="SZ220" s="56"/>
      <c r="TA220" s="242">
        <f t="shared" si="1667"/>
        <v>0</v>
      </c>
      <c r="TB220" s="242">
        <f t="shared" si="1668"/>
        <v>0</v>
      </c>
      <c r="TC220" s="56"/>
      <c r="TF220" s="55">
        <f t="shared" si="1669"/>
        <v>46206</v>
      </c>
      <c r="TG220" s="56"/>
      <c r="TH220" s="242">
        <f>SUMPRODUCT(PRODUCE!$B223:$DY223,PRODUCE!$EB$57:$IY$57)</f>
        <v>0</v>
      </c>
      <c r="TI220" s="56"/>
      <c r="TJ220" s="242">
        <f t="shared" si="1670"/>
        <v>0</v>
      </c>
      <c r="TK220" s="242">
        <f t="shared" si="1671"/>
        <v>0</v>
      </c>
      <c r="TL220" s="56"/>
      <c r="TO220" s="55">
        <f t="shared" si="1672"/>
        <v>46206</v>
      </c>
      <c r="TP220" s="56"/>
      <c r="TQ220" s="242">
        <f>SUMPRODUCT(PRODUCE!$B223:$DY223,PRODUCE!$EB$57:$IY$57)</f>
        <v>0</v>
      </c>
      <c r="TR220" s="56"/>
      <c r="TS220" s="242">
        <f t="shared" si="1673"/>
        <v>0</v>
      </c>
      <c r="TT220" s="242">
        <f t="shared" si="1674"/>
        <v>22.400000000000006</v>
      </c>
      <c r="TU220" s="56"/>
      <c r="TX220" s="55">
        <f t="shared" si="1675"/>
        <v>46206</v>
      </c>
      <c r="TY220" s="56"/>
      <c r="TZ220" s="242">
        <f>SUMPRODUCT(PRODUCE!$B223:$DY223,PRODUCE!$EB$57:$IY$57)</f>
        <v>0</v>
      </c>
      <c r="UA220" s="56"/>
      <c r="UB220" s="242">
        <f t="shared" si="1676"/>
        <v>0</v>
      </c>
      <c r="UC220" s="242">
        <f t="shared" si="1677"/>
        <v>46.799999999999983</v>
      </c>
      <c r="UD220" s="56"/>
      <c r="UG220" s="55">
        <f t="shared" si="1678"/>
        <v>46206</v>
      </c>
      <c r="UH220" s="56"/>
      <c r="UI220" s="242">
        <f>SUMPRODUCT(PRODUCE!$B223:$DY223,PRODUCE!$EB$57:$IY$57)</f>
        <v>0</v>
      </c>
      <c r="UJ220" s="56"/>
      <c r="UK220" s="242">
        <f t="shared" si="1679"/>
        <v>0</v>
      </c>
      <c r="UL220" s="242">
        <f t="shared" si="1680"/>
        <v>204</v>
      </c>
      <c r="UM220" s="56"/>
      <c r="UP220" s="55">
        <f t="shared" si="1681"/>
        <v>46206</v>
      </c>
      <c r="UQ220" s="56"/>
      <c r="UR220" s="242">
        <f>SUMPRODUCT(PRODUCE!$B223:$DY223,PRODUCE!$EB$69:$IY$69)</f>
        <v>0</v>
      </c>
      <c r="US220" s="56"/>
      <c r="UT220" s="242">
        <f t="shared" si="1682"/>
        <v>0</v>
      </c>
      <c r="UU220" s="242">
        <f t="shared" si="1683"/>
        <v>251.25</v>
      </c>
      <c r="UV220" s="56"/>
      <c r="UY220" s="55">
        <f t="shared" si="1684"/>
        <v>46206</v>
      </c>
      <c r="UZ220" s="56"/>
      <c r="VA220" s="242">
        <f>SUMPRODUCT(PRODUCE!$B223:$DY223,PRODUCE!$EB$70:$IY$70)</f>
        <v>0</v>
      </c>
      <c r="VB220" s="56"/>
      <c r="VC220" s="242">
        <f t="shared" si="1685"/>
        <v>0</v>
      </c>
      <c r="VD220" s="242">
        <f t="shared" si="1686"/>
        <v>41.600000000000023</v>
      </c>
      <c r="VE220" s="56"/>
      <c r="VH220" s="55">
        <f t="shared" si="1687"/>
        <v>46206</v>
      </c>
      <c r="VI220" s="56"/>
      <c r="VJ220" s="242">
        <f>SUMPRODUCT(PRODUCE!$B223:$DY223,PRODUCE!$EB$71:$IY$71)</f>
        <v>0</v>
      </c>
      <c r="VK220" s="56"/>
      <c r="VL220" s="242">
        <f t="shared" si="1688"/>
        <v>0</v>
      </c>
      <c r="VM220" s="242">
        <f t="shared" si="1689"/>
        <v>210</v>
      </c>
      <c r="VN220" s="56"/>
      <c r="VQ220" s="55">
        <f t="shared" si="1690"/>
        <v>46206</v>
      </c>
      <c r="VR220" s="56"/>
      <c r="VS220" s="242">
        <f>SUMPRODUCT(PRODUCE!$B223:$DY223,PRODUCE!$EB$57:$IY$57)</f>
        <v>0</v>
      </c>
      <c r="VT220" s="56"/>
      <c r="VU220" s="242">
        <f t="shared" si="1691"/>
        <v>0</v>
      </c>
      <c r="VV220" s="242">
        <f t="shared" si="1692"/>
        <v>0</v>
      </c>
      <c r="VW220" s="56"/>
      <c r="VZ220" s="55">
        <f t="shared" si="1693"/>
        <v>46206</v>
      </c>
      <c r="WA220" s="56"/>
      <c r="WB220" s="242">
        <f>SUMPRODUCT(PRODUCE!$B223:$DY223,PRODUCE!$EB$57:$IY$57)</f>
        <v>0</v>
      </c>
      <c r="WC220" s="56"/>
      <c r="WD220" s="242">
        <f t="shared" si="1694"/>
        <v>0</v>
      </c>
      <c r="WE220" s="242">
        <f t="shared" si="1695"/>
        <v>0</v>
      </c>
      <c r="WF220" s="56"/>
      <c r="WI220" s="55">
        <f t="shared" si="1696"/>
        <v>46206</v>
      </c>
      <c r="WJ220" s="56"/>
      <c r="WK220" s="242">
        <f>SUMPRODUCT(PRODUCE!$B223:$DY223,PRODUCE!$EB$57:$IY$57)</f>
        <v>0</v>
      </c>
      <c r="WL220" s="56"/>
      <c r="WM220" s="242">
        <f t="shared" si="1697"/>
        <v>0</v>
      </c>
      <c r="WN220" s="242">
        <f t="shared" si="1698"/>
        <v>1057</v>
      </c>
      <c r="WO220" s="56"/>
      <c r="WR220" s="55">
        <f t="shared" si="1699"/>
        <v>46206</v>
      </c>
      <c r="WS220" s="56"/>
      <c r="WT220" s="242">
        <f>SUMPRODUCT(PRODUCE!$B223:$DY223,PRODUCE!$EB$57:$IY$57)</f>
        <v>0</v>
      </c>
      <c r="WU220" s="56"/>
      <c r="WV220" s="242">
        <f t="shared" si="1700"/>
        <v>0</v>
      </c>
      <c r="WW220" s="242">
        <f t="shared" si="1701"/>
        <v>0</v>
      </c>
      <c r="WX220" s="56"/>
      <c r="XA220" s="55">
        <f t="shared" si="1702"/>
        <v>46206</v>
      </c>
      <c r="XB220" s="56"/>
      <c r="XC220" s="242">
        <f>SUMPRODUCT(PRODUCE!$B223:$DY223,PRODUCE!$EB$57:$IY$57)</f>
        <v>0</v>
      </c>
      <c r="XD220" s="56"/>
      <c r="XE220" s="242">
        <f t="shared" si="1703"/>
        <v>0</v>
      </c>
      <c r="XF220" s="242">
        <f t="shared" si="1704"/>
        <v>7507</v>
      </c>
      <c r="XG220" s="56"/>
      <c r="XJ220" s="55">
        <f t="shared" si="1705"/>
        <v>46206</v>
      </c>
      <c r="XK220" s="56"/>
      <c r="XL220" s="242">
        <f>SUMPRODUCT(PRODUCE!$B223:$DY223,PRODUCE!$EB$57:$IY$57)</f>
        <v>0</v>
      </c>
      <c r="XM220" s="56"/>
      <c r="XN220" s="242">
        <f t="shared" si="1706"/>
        <v>0</v>
      </c>
      <c r="XO220" s="242">
        <f t="shared" si="1707"/>
        <v>4252</v>
      </c>
      <c r="XP220" s="56"/>
      <c r="XS220" s="55">
        <f t="shared" si="1708"/>
        <v>46206</v>
      </c>
      <c r="XT220" s="56"/>
      <c r="XU220" s="242">
        <f>SUMPRODUCT(PRODUCE!$B223:$DY223,PRODUCE!$EB$57:$IY$57)</f>
        <v>0</v>
      </c>
      <c r="XV220" s="56"/>
      <c r="XW220" s="242">
        <f t="shared" si="1709"/>
        <v>0</v>
      </c>
      <c r="XX220" s="242">
        <f t="shared" si="1710"/>
        <v>2179</v>
      </c>
      <c r="XY220" s="56"/>
      <c r="YB220" s="55">
        <f t="shared" si="1711"/>
        <v>46206</v>
      </c>
      <c r="YC220" s="56"/>
      <c r="YD220" s="242">
        <f>SUMPRODUCT(PRODUCE!$B223:$DY223,PRODUCE!$EB$57:$IY$57)</f>
        <v>0</v>
      </c>
      <c r="YE220" s="56"/>
      <c r="YF220" s="242">
        <f t="shared" si="1712"/>
        <v>0</v>
      </c>
      <c r="YG220" s="242">
        <f t="shared" si="1713"/>
        <v>4019</v>
      </c>
      <c r="YH220" s="56"/>
      <c r="YK220" s="55">
        <f t="shared" si="1714"/>
        <v>46206</v>
      </c>
      <c r="YL220" s="56"/>
      <c r="YM220" s="242">
        <f>SUMPRODUCT(PRODUCE!$B223:$DY223,PRODUCE!$EB$57:$IY$57)</f>
        <v>0</v>
      </c>
      <c r="YN220" s="56"/>
      <c r="YO220" s="242">
        <f t="shared" si="1715"/>
        <v>0</v>
      </c>
      <c r="YP220" s="242">
        <f t="shared" si="1716"/>
        <v>0</v>
      </c>
      <c r="YQ220" s="56"/>
      <c r="YT220" s="55">
        <f t="shared" si="1717"/>
        <v>46206</v>
      </c>
      <c r="YU220" s="56"/>
      <c r="YV220" s="242">
        <f>SUMPRODUCT(PRODUCE!$B223:$DY223,PRODUCE!$EB$57:$IY$57)</f>
        <v>0</v>
      </c>
      <c r="YW220" s="56"/>
      <c r="YX220" s="242">
        <f t="shared" si="1718"/>
        <v>0</v>
      </c>
      <c r="YY220" s="242">
        <f t="shared" si="1719"/>
        <v>0</v>
      </c>
      <c r="YZ220" s="56"/>
      <c r="ZC220" s="55">
        <f t="shared" si="1720"/>
        <v>46206</v>
      </c>
      <c r="ZD220" s="56"/>
      <c r="ZE220" s="242">
        <f>SUMPRODUCT(PRODUCE!$B223:$DY223,PRODUCE!$EB$57:$IY$57)</f>
        <v>0</v>
      </c>
      <c r="ZF220" s="56"/>
      <c r="ZG220" s="242">
        <f t="shared" si="1721"/>
        <v>0</v>
      </c>
      <c r="ZH220" s="242">
        <f t="shared" si="1722"/>
        <v>0</v>
      </c>
      <c r="ZI220" s="56"/>
      <c r="ZL220" s="55">
        <f t="shared" si="1723"/>
        <v>46206</v>
      </c>
      <c r="ZM220" s="56"/>
      <c r="ZN220" s="242">
        <f>SUMPRODUCT(PRODUCE!$B223:$DY223,PRODUCE!$EB$57:$IY$57)</f>
        <v>0</v>
      </c>
      <c r="ZO220" s="56"/>
      <c r="ZP220" s="242">
        <f t="shared" si="1724"/>
        <v>0</v>
      </c>
      <c r="ZQ220" s="242">
        <f t="shared" si="1725"/>
        <v>0</v>
      </c>
      <c r="ZR220" s="56"/>
      <c r="ZU220" s="55">
        <f t="shared" si="1726"/>
        <v>46206</v>
      </c>
      <c r="ZV220" s="56"/>
      <c r="ZW220" s="242">
        <f>SUMPRODUCT(PRODUCE!$B223:$DY223,PRODUCE!$EB$57:$IY$57)</f>
        <v>0</v>
      </c>
      <c r="ZX220" s="56"/>
      <c r="ZY220" s="242">
        <f t="shared" si="1727"/>
        <v>0</v>
      </c>
      <c r="ZZ220" s="242">
        <f t="shared" si="1728"/>
        <v>0</v>
      </c>
      <c r="AAA220" s="56"/>
      <c r="AAD220" s="55">
        <f t="shared" si="1729"/>
        <v>46206</v>
      </c>
      <c r="AAE220" s="56"/>
      <c r="AAF220" s="242">
        <f>SUMPRODUCT(PRODUCE!$B223:$DY223,PRODUCE!$EB$57:$IY$57)</f>
        <v>0</v>
      </c>
      <c r="AAG220" s="56"/>
      <c r="AAH220" s="242">
        <f t="shared" si="1730"/>
        <v>0</v>
      </c>
      <c r="AAI220" s="242">
        <f t="shared" si="1731"/>
        <v>0</v>
      </c>
      <c r="AAJ220" s="56"/>
      <c r="AAM220" s="55">
        <f t="shared" si="1732"/>
        <v>46206</v>
      </c>
      <c r="AAN220" s="56"/>
      <c r="AAO220" s="242">
        <f>SUMPRODUCT(PRODUCE!$B223:$DY223,PRODUCE!$EB$57:$IY$57)</f>
        <v>0</v>
      </c>
      <c r="AAP220" s="56"/>
      <c r="AAQ220" s="242">
        <f t="shared" si="1733"/>
        <v>0</v>
      </c>
      <c r="AAR220" s="242">
        <f t="shared" si="1734"/>
        <v>0</v>
      </c>
      <c r="AAS220" s="56"/>
      <c r="AAV220" s="55">
        <f t="shared" si="1735"/>
        <v>46206</v>
      </c>
      <c r="AAW220" s="56"/>
      <c r="AAX220" s="242">
        <f>SUMPRODUCT(PRODUCE!$B223:$DY223,PRODUCE!$EB$57:$IY$57)</f>
        <v>0</v>
      </c>
      <c r="AAY220" s="56"/>
      <c r="AAZ220" s="242">
        <f t="shared" si="1736"/>
        <v>0</v>
      </c>
      <c r="ABA220" s="242">
        <f t="shared" si="1737"/>
        <v>0</v>
      </c>
      <c r="ABB220" s="56"/>
      <c r="ABE220" s="55">
        <f t="shared" si="1738"/>
        <v>46206</v>
      </c>
      <c r="ABF220" s="56"/>
      <c r="ABG220" s="242">
        <f>SUMPRODUCT(PRODUCE!$B223:$DY223,PRODUCE!$EB$57:$IY$57)</f>
        <v>0</v>
      </c>
      <c r="ABH220" s="56"/>
      <c r="ABI220" s="242">
        <f t="shared" si="1739"/>
        <v>0</v>
      </c>
      <c r="ABJ220" s="242">
        <f t="shared" si="1740"/>
        <v>0</v>
      </c>
      <c r="ABK220" s="56"/>
    </row>
    <row r="221" spans="1:739" s="54" customFormat="1" ht="15" customHeight="1" outlineLevel="1">
      <c r="B221" s="478"/>
      <c r="C221" s="55">
        <v>46207</v>
      </c>
      <c r="D221" s="422"/>
      <c r="E221" s="423">
        <f>SUMPRODUCT(PRODUCE!$B224:$DY224,PRODUCE!$EB$7:$IY$7)</f>
        <v>2231.5199999999995</v>
      </c>
      <c r="F221" s="422">
        <v>44706.2</v>
      </c>
      <c r="G221" s="423">
        <f t="shared" si="1496"/>
        <v>-42474.68</v>
      </c>
      <c r="H221" s="423">
        <f t="shared" si="1497"/>
        <v>129789.20000000006</v>
      </c>
      <c r="I221" s="289"/>
      <c r="L221" s="55">
        <f t="shared" si="1498"/>
        <v>46207</v>
      </c>
      <c r="M221" s="422"/>
      <c r="N221" s="438">
        <f>SUMPRODUCT(PRODUCE!$B224:$DY224,PRODUCE!$EB$8:$IY$8)</f>
        <v>1268.8</v>
      </c>
      <c r="O221" s="422">
        <v>16355</v>
      </c>
      <c r="P221" s="438">
        <f t="shared" si="1499"/>
        <v>-15086.2</v>
      </c>
      <c r="Q221" s="438">
        <f t="shared" si="1500"/>
        <v>36200.20000000007</v>
      </c>
      <c r="R221" s="56"/>
      <c r="U221" s="55">
        <f t="shared" si="1501"/>
        <v>46207</v>
      </c>
      <c r="V221" s="422"/>
      <c r="W221" s="440">
        <f>SUMPRODUCT(PRODUCE!$B224:$DY224,PRODUCE!$EB$9:$IY$9)</f>
        <v>200</v>
      </c>
      <c r="X221" s="422">
        <v>5100.3999999999996</v>
      </c>
      <c r="Y221" s="440">
        <f t="shared" si="1502"/>
        <v>-4900.3999999999996</v>
      </c>
      <c r="Z221" s="440">
        <f t="shared" si="1503"/>
        <v>21091.499999999971</v>
      </c>
      <c r="AA221" s="56"/>
      <c r="AD221" s="55">
        <f t="shared" si="1504"/>
        <v>46207</v>
      </c>
      <c r="AE221" s="422"/>
      <c r="AF221" s="442">
        <f>SUMPRODUCT(PRODUCE!$B224:$DY224,PRODUCE!$EB$10:$IY$10)</f>
        <v>0</v>
      </c>
      <c r="AG221" s="422"/>
      <c r="AH221" s="442">
        <f t="shared" si="1505"/>
        <v>0</v>
      </c>
      <c r="AI221" s="442">
        <f t="shared" si="1506"/>
        <v>33372.700000000019</v>
      </c>
      <c r="AJ221" s="56"/>
      <c r="AM221" s="55">
        <f t="shared" si="1507"/>
        <v>46207</v>
      </c>
      <c r="AN221" s="422"/>
      <c r="AO221" s="444">
        <f>SUMPRODUCT(PRODUCE!$B224:$DY224,PRODUCE!$EB$11:$IY$11)</f>
        <v>0</v>
      </c>
      <c r="AP221" s="422"/>
      <c r="AQ221" s="444">
        <f t="shared" si="1508"/>
        <v>0</v>
      </c>
      <c r="AR221" s="444">
        <f t="shared" si="1509"/>
        <v>0</v>
      </c>
      <c r="AS221" s="56"/>
      <c r="AV221" s="55">
        <f t="shared" si="1510"/>
        <v>46207</v>
      </c>
      <c r="AW221" s="422"/>
      <c r="AX221" s="446">
        <f>SUMPRODUCT(PRODUCE!$B224:$DY224,PRODUCE!$EB$12:$IY$12)</f>
        <v>0</v>
      </c>
      <c r="AY221" s="422"/>
      <c r="AZ221" s="446">
        <f t="shared" si="1511"/>
        <v>0</v>
      </c>
      <c r="BA221" s="446">
        <f t="shared" si="1512"/>
        <v>13946.199999999997</v>
      </c>
      <c r="BB221" s="56"/>
      <c r="BE221" s="55">
        <f t="shared" si="1513"/>
        <v>46207</v>
      </c>
      <c r="BF221" s="422"/>
      <c r="BG221" s="448">
        <f>SUMPRODUCT(PRODUCE!$B224:$DY224,PRODUCE!$EB$13:$IY$13)</f>
        <v>78</v>
      </c>
      <c r="BH221" s="422">
        <v>776.4</v>
      </c>
      <c r="BI221" s="448">
        <f t="shared" si="1514"/>
        <v>-698.4</v>
      </c>
      <c r="BJ221" s="448">
        <f t="shared" si="1515"/>
        <v>35450.399999999994</v>
      </c>
      <c r="BK221" s="56"/>
      <c r="BN221" s="55">
        <f t="shared" si="1516"/>
        <v>46207</v>
      </c>
      <c r="BO221" s="422">
        <v>793.9</v>
      </c>
      <c r="BP221" s="450">
        <f>SUMPRODUCT(PRODUCE!$B224:$DY224,PRODUCE!$EB$14:$IY$14)</f>
        <v>94</v>
      </c>
      <c r="BQ221" s="422">
        <v>793.9</v>
      </c>
      <c r="BR221" s="450">
        <f t="shared" si="1517"/>
        <v>-699.9</v>
      </c>
      <c r="BS221" s="450">
        <f t="shared" si="1518"/>
        <v>0</v>
      </c>
      <c r="BT221" s="56"/>
      <c r="BW221" s="55">
        <f t="shared" si="1519"/>
        <v>46207</v>
      </c>
      <c r="BX221" s="422"/>
      <c r="BY221" s="523">
        <f>SUMPRODUCT(PRODUCE!$B224:$DY224,PRODUCE!$EB$15:$IY$15)</f>
        <v>0</v>
      </c>
      <c r="BZ221" s="422"/>
      <c r="CA221" s="523">
        <f t="shared" si="1520"/>
        <v>0</v>
      </c>
      <c r="CB221" s="523">
        <f t="shared" si="1521"/>
        <v>2379.7799999999988</v>
      </c>
      <c r="CC221" s="56"/>
      <c r="CF221" s="55">
        <f t="shared" si="1522"/>
        <v>46207</v>
      </c>
      <c r="CG221" s="422"/>
      <c r="CH221" s="524">
        <f>SUMPRODUCT(PRODUCE!$B224:$DY224,PRODUCE!$EB$16:$IY$16)</f>
        <v>25.68</v>
      </c>
      <c r="CI221" s="422">
        <f>124.7+2038+1092.37+118.87</f>
        <v>3373.9399999999996</v>
      </c>
      <c r="CJ221" s="524">
        <f t="shared" si="1523"/>
        <v>-3348.2599999999998</v>
      </c>
      <c r="CK221" s="524">
        <f t="shared" si="1524"/>
        <v>-3448.9399999999996</v>
      </c>
      <c r="CL221" s="56"/>
      <c r="CO221" s="55">
        <f t="shared" si="1525"/>
        <v>46207</v>
      </c>
      <c r="CP221" s="422"/>
      <c r="CQ221" s="470">
        <f>SUMPRODUCT(PRODUCE!$B224:$DY224,PRODUCE!$EB$17:$IY$17)</f>
        <v>0</v>
      </c>
      <c r="CR221" s="422"/>
      <c r="CS221" s="470">
        <f t="shared" si="1526"/>
        <v>0</v>
      </c>
      <c r="CT221" s="470">
        <f t="shared" si="1527"/>
        <v>0</v>
      </c>
      <c r="CU221" s="56"/>
      <c r="CX221" s="55">
        <f t="shared" si="1528"/>
        <v>46207</v>
      </c>
      <c r="CY221" s="422"/>
      <c r="CZ221" s="525">
        <f>SUMPRODUCT(PRODUCE!$B224:$DY224,PRODUCE!$EB$18:$IY$18)</f>
        <v>0</v>
      </c>
      <c r="DA221" s="422">
        <v>1400.7</v>
      </c>
      <c r="DB221" s="525">
        <f t="shared" si="1529"/>
        <v>-1400.7</v>
      </c>
      <c r="DC221" s="525">
        <f t="shared" si="1530"/>
        <v>5130.0000000000073</v>
      </c>
      <c r="DD221" s="56"/>
      <c r="DG221" s="55">
        <f t="shared" si="1531"/>
        <v>46207</v>
      </c>
      <c r="DH221" s="422"/>
      <c r="DI221" s="526">
        <f>SUMPRODUCT(PRODUCE!$B224:$DY224,PRODUCE!$EB$19:$IY$19)</f>
        <v>0</v>
      </c>
      <c r="DJ221" s="422"/>
      <c r="DK221" s="526">
        <f t="shared" si="1532"/>
        <v>0</v>
      </c>
      <c r="DL221" s="526">
        <f t="shared" si="1533"/>
        <v>34934.499999999985</v>
      </c>
      <c r="DM221" s="56"/>
      <c r="DP221" s="55">
        <f t="shared" si="1534"/>
        <v>46207</v>
      </c>
      <c r="DQ221" s="56"/>
      <c r="DR221" s="57">
        <f>SUMPRODUCT(PRODUCE!$B224:$DY224,PRODUCE!$EB$20:$IY$20)</f>
        <v>0</v>
      </c>
      <c r="DS221" s="56"/>
      <c r="DT221" s="57">
        <f t="shared" si="1535"/>
        <v>0</v>
      </c>
      <c r="DU221" s="57">
        <f t="shared" si="1536"/>
        <v>5800</v>
      </c>
      <c r="DV221" s="56"/>
      <c r="DY221" s="55">
        <f t="shared" si="1537"/>
        <v>46207</v>
      </c>
      <c r="DZ221" s="56"/>
      <c r="EA221" s="157">
        <f>SUMPRODUCT(PRODUCE!$B224:$DY224,PRODUCE!$EB$21:$IY$21)</f>
        <v>0</v>
      </c>
      <c r="EB221" s="56"/>
      <c r="EC221" s="157">
        <f t="shared" si="1538"/>
        <v>0</v>
      </c>
      <c r="ED221" s="157">
        <f t="shared" si="1539"/>
        <v>0</v>
      </c>
      <c r="EE221" s="56"/>
      <c r="EH221" s="55">
        <f t="shared" si="1540"/>
        <v>46207</v>
      </c>
      <c r="EI221" s="56">
        <v>1894.46</v>
      </c>
      <c r="EJ221" s="162">
        <f>SUMPRODUCT(PRODUCE!$B224:$DY224,PRODUCE!$EB$22:$IY$22)</f>
        <v>0</v>
      </c>
      <c r="EK221" s="56">
        <f>117.75+1099.25+589.2+88.26</f>
        <v>1894.46</v>
      </c>
      <c r="EL221" s="162">
        <f t="shared" si="1541"/>
        <v>-1894.46</v>
      </c>
      <c r="EM221" s="162">
        <f t="shared" si="1542"/>
        <v>0</v>
      </c>
      <c r="EN221" s="56"/>
      <c r="EQ221" s="55">
        <f t="shared" si="1543"/>
        <v>46207</v>
      </c>
      <c r="ER221" s="56"/>
      <c r="ES221" s="172">
        <f>SUMPRODUCT(PRODUCE!$B224:$DY224,PRODUCE!$EB$23:$IY$23)</f>
        <v>0</v>
      </c>
      <c r="ET221" s="56"/>
      <c r="EU221" s="135">
        <f t="shared" si="1544"/>
        <v>0</v>
      </c>
      <c r="EV221" s="135">
        <f t="shared" si="1545"/>
        <v>0</v>
      </c>
      <c r="EW221" s="56"/>
      <c r="EZ221" s="55">
        <f t="shared" si="1546"/>
        <v>46207</v>
      </c>
      <c r="FA221" s="56"/>
      <c r="FB221" s="175">
        <f>SUMPRODUCT(PRODUCE!$B224:$DY224,PRODUCE!$EB$24:$IY$24)</f>
        <v>0</v>
      </c>
      <c r="FC221" s="56"/>
      <c r="FD221" s="175">
        <f t="shared" si="1547"/>
        <v>0</v>
      </c>
      <c r="FE221" s="175">
        <f t="shared" si="1548"/>
        <v>0</v>
      </c>
      <c r="FF221" s="56"/>
      <c r="FI221" s="55">
        <f t="shared" si="1549"/>
        <v>46207</v>
      </c>
      <c r="FJ221" s="56"/>
      <c r="FK221" s="183">
        <f>SUMPRODUCT(PRODUCE!$B224:$DY224,PRODUCE!$EB$25:$IY$25)</f>
        <v>0</v>
      </c>
      <c r="FL221" s="56"/>
      <c r="FM221" s="183">
        <f t="shared" si="1550"/>
        <v>0</v>
      </c>
      <c r="FN221" s="183">
        <f t="shared" si="1551"/>
        <v>0</v>
      </c>
      <c r="FO221" s="56"/>
      <c r="FR221" s="55">
        <f t="shared" si="1552"/>
        <v>46207</v>
      </c>
      <c r="FS221" s="56"/>
      <c r="FT221" s="186">
        <f>SUMPRODUCT(PRODUCE!$B224:$DY224,PRODUCE!$EB$26:$IY$26)</f>
        <v>0</v>
      </c>
      <c r="FU221" s="56"/>
      <c r="FV221" s="186">
        <f t="shared" si="1553"/>
        <v>0</v>
      </c>
      <c r="FW221" s="186">
        <f t="shared" si="1554"/>
        <v>1160</v>
      </c>
      <c r="FX221" s="56"/>
      <c r="GA221" s="55">
        <f t="shared" si="1555"/>
        <v>46207</v>
      </c>
      <c r="GB221" s="56"/>
      <c r="GC221" s="137">
        <f>SUMPRODUCT(PRODUCE!$B224:$DY224,PRODUCE!$EB$27:$IY$27)</f>
        <v>0</v>
      </c>
      <c r="GD221" s="56"/>
      <c r="GE221" s="137">
        <f t="shared" si="1556"/>
        <v>0</v>
      </c>
      <c r="GF221" s="137">
        <f t="shared" si="1557"/>
        <v>960</v>
      </c>
      <c r="GG221" s="56"/>
      <c r="GI221" s="23"/>
      <c r="GJ221" s="55">
        <f t="shared" si="1558"/>
        <v>46207</v>
      </c>
      <c r="GK221" s="56"/>
      <c r="GL221" s="199">
        <f>SUMPRODUCT(PRODUCE!$B224:$DY224,PRODUCE!$EB$28:$IY$28)</f>
        <v>0</v>
      </c>
      <c r="GM221" s="56"/>
      <c r="GN221" s="199">
        <f t="shared" si="1559"/>
        <v>0</v>
      </c>
      <c r="GO221" s="199">
        <f t="shared" si="1560"/>
        <v>1760</v>
      </c>
      <c r="GP221" s="56"/>
      <c r="GS221" s="55">
        <f t="shared" si="1561"/>
        <v>46207</v>
      </c>
      <c r="GT221" s="56"/>
      <c r="GU221" s="195">
        <f>SUMPRODUCT(PRODUCE!$B224:$DY224,PRODUCE!$EB$29:$IY$29)</f>
        <v>0</v>
      </c>
      <c r="GV221" s="56"/>
      <c r="GW221" s="195">
        <f t="shared" si="1562"/>
        <v>0</v>
      </c>
      <c r="GX221" s="195">
        <f t="shared" si="1563"/>
        <v>400</v>
      </c>
      <c r="GY221" s="56"/>
      <c r="HB221" s="55">
        <f t="shared" si="1564"/>
        <v>46207</v>
      </c>
      <c r="HC221" s="56"/>
      <c r="HD221" s="191">
        <f>SUMPRODUCT(PRODUCE!$B224:$DY224,PRODUCE!$EB$30:$IY$30)</f>
        <v>0</v>
      </c>
      <c r="HE221" s="56"/>
      <c r="HF221" s="191">
        <f t="shared" si="1565"/>
        <v>0</v>
      </c>
      <c r="HG221" s="191">
        <f t="shared" si="1566"/>
        <v>3600</v>
      </c>
      <c r="HH221" s="56"/>
      <c r="HK221" s="55">
        <f t="shared" si="1567"/>
        <v>46207</v>
      </c>
      <c r="HL221" s="56"/>
      <c r="HM221" s="63">
        <f>SUMPRODUCT(PRODUCE!$B224:$DY224,PRODUCE!$EB$31:$IY$31)</f>
        <v>0</v>
      </c>
      <c r="HN221" s="56"/>
      <c r="HO221" s="63">
        <f t="shared" si="1568"/>
        <v>0</v>
      </c>
      <c r="HP221" s="63">
        <f t="shared" si="1569"/>
        <v>0</v>
      </c>
      <c r="HQ221" s="56"/>
      <c r="HU221" s="55">
        <f t="shared" si="1570"/>
        <v>46207</v>
      </c>
      <c r="HV221" s="56"/>
      <c r="HW221" s="242">
        <f>SUMPRODUCT(PRODUCE!$B224:$DY224,PRODUCE!$EB$32:$IY$32)</f>
        <v>0</v>
      </c>
      <c r="HX221" s="56"/>
      <c r="HY221" s="242">
        <f t="shared" si="1571"/>
        <v>0</v>
      </c>
      <c r="HZ221" s="242">
        <f t="shared" si="1572"/>
        <v>6560</v>
      </c>
      <c r="IA221" s="56"/>
      <c r="ID221" s="55">
        <f t="shared" si="1573"/>
        <v>46207</v>
      </c>
      <c r="IE221" s="56"/>
      <c r="IF221" s="242">
        <f>SUMPRODUCT(PRODUCE!$B224:$DY224,PRODUCE!$EB$33:$IY$33)</f>
        <v>0</v>
      </c>
      <c r="IG221" s="56"/>
      <c r="IH221" s="242">
        <f t="shared" si="1574"/>
        <v>0</v>
      </c>
      <c r="II221" s="242">
        <f t="shared" si="1575"/>
        <v>720</v>
      </c>
      <c r="IJ221" s="56"/>
      <c r="IM221" s="55">
        <f t="shared" si="1576"/>
        <v>46207</v>
      </c>
      <c r="IN221" s="56"/>
      <c r="IO221" s="242">
        <f>SUMPRODUCT(PRODUCE!$B224:$DY224,PRODUCE!$EB$34:$IY$34)</f>
        <v>0</v>
      </c>
      <c r="IP221" s="56"/>
      <c r="IQ221" s="242">
        <f t="shared" si="1577"/>
        <v>0</v>
      </c>
      <c r="IR221" s="242">
        <f t="shared" si="1578"/>
        <v>6400</v>
      </c>
      <c r="IS221" s="56"/>
      <c r="IV221" s="55">
        <f t="shared" si="1579"/>
        <v>46207</v>
      </c>
      <c r="IW221" s="56"/>
      <c r="IX221" s="242">
        <f>SUMPRODUCT(PRODUCE!$B224:$DY224,PRODUCE!$EB$35:$IY$35)</f>
        <v>0</v>
      </c>
      <c r="IY221" s="56"/>
      <c r="IZ221" s="242">
        <f t="shared" si="1580"/>
        <v>0</v>
      </c>
      <c r="JA221" s="242">
        <f t="shared" si="1581"/>
        <v>4960</v>
      </c>
      <c r="JB221" s="56"/>
      <c r="JE221" s="55">
        <f t="shared" si="1582"/>
        <v>46207</v>
      </c>
      <c r="JF221" s="56"/>
      <c r="JG221" s="242">
        <f>SUMPRODUCT(PRODUCE!$B224:$DY224,PRODUCE!$EB$36:$IY$36)</f>
        <v>0</v>
      </c>
      <c r="JH221" s="56"/>
      <c r="JI221" s="242">
        <f t="shared" si="1583"/>
        <v>0</v>
      </c>
      <c r="JJ221" s="242">
        <f t="shared" si="1584"/>
        <v>0</v>
      </c>
      <c r="JK221" s="56"/>
      <c r="JN221" s="55">
        <f t="shared" si="1585"/>
        <v>46207</v>
      </c>
      <c r="JO221" s="56"/>
      <c r="JP221" s="242">
        <f>SUMPRODUCT(PRODUCE!$B224:$DY224,PRODUCE!$EB$37:$IY$37)</f>
        <v>80</v>
      </c>
      <c r="JQ221" s="56"/>
      <c r="JR221" s="242">
        <f t="shared" si="1586"/>
        <v>80</v>
      </c>
      <c r="JS221" s="242">
        <f t="shared" si="1587"/>
        <v>0</v>
      </c>
      <c r="JT221" s="56"/>
      <c r="JW221" s="55">
        <f t="shared" si="1588"/>
        <v>46207</v>
      </c>
      <c r="JX221" s="56"/>
      <c r="JY221" s="242">
        <f>SUMPRODUCT(PRODUCE!$B224:$DY224,PRODUCE!$EB$38:$IY$38)</f>
        <v>0</v>
      </c>
      <c r="JZ221" s="56"/>
      <c r="KA221" s="242">
        <f t="shared" si="1589"/>
        <v>0</v>
      </c>
      <c r="KB221" s="242">
        <f t="shared" si="1590"/>
        <v>2540</v>
      </c>
      <c r="KC221" s="56"/>
      <c r="KF221" s="55">
        <f t="shared" si="1591"/>
        <v>46207</v>
      </c>
      <c r="KG221" s="56"/>
      <c r="KH221" s="242">
        <f>SUMPRODUCT(PRODUCE!$B224:$DY224,PRODUCE!$EB$39:$IY$39)</f>
        <v>0</v>
      </c>
      <c r="KI221" s="56"/>
      <c r="KJ221" s="242">
        <f t="shared" si="1592"/>
        <v>0</v>
      </c>
      <c r="KK221" s="242">
        <f t="shared" si="1593"/>
        <v>2359.5</v>
      </c>
      <c r="KL221" s="56"/>
      <c r="KO221" s="55">
        <f t="shared" si="1594"/>
        <v>46207</v>
      </c>
      <c r="KP221" s="56"/>
      <c r="KQ221" s="242">
        <f>SUMPRODUCT(PRODUCE!$B224:$DY224,PRODUCE!$EB$40:$IY$40)</f>
        <v>0</v>
      </c>
      <c r="KR221" s="56"/>
      <c r="KS221" s="242">
        <f t="shared" si="1595"/>
        <v>0</v>
      </c>
      <c r="KT221" s="242">
        <f t="shared" si="1596"/>
        <v>1890</v>
      </c>
      <c r="KU221" s="56"/>
      <c r="KW221" s="23"/>
      <c r="KX221" s="55">
        <f t="shared" si="1597"/>
        <v>46207</v>
      </c>
      <c r="KY221" s="56"/>
      <c r="KZ221" s="242">
        <f>SUMPRODUCT(PRODUCE!$B224:$DY224,PRODUCE!$EB$41:$IY$41)</f>
        <v>0</v>
      </c>
      <c r="LA221" s="56"/>
      <c r="LB221" s="242">
        <f t="shared" si="1598"/>
        <v>0</v>
      </c>
      <c r="LC221" s="242">
        <f t="shared" si="1599"/>
        <v>3690</v>
      </c>
      <c r="LD221" s="56"/>
      <c r="LG221" s="55">
        <f t="shared" si="1600"/>
        <v>46207</v>
      </c>
      <c r="LH221" s="56"/>
      <c r="LI221" s="242">
        <f>SUMPRODUCT(PRODUCE!$B224:$DY224,PRODUCE!$EB$42:$IY$42)</f>
        <v>0</v>
      </c>
      <c r="LJ221" s="56"/>
      <c r="LK221" s="242">
        <f t="shared" si="1601"/>
        <v>0</v>
      </c>
      <c r="LL221" s="242">
        <f t="shared" si="1602"/>
        <v>4000</v>
      </c>
      <c r="LM221" s="56"/>
      <c r="LP221" s="55">
        <f t="shared" si="1603"/>
        <v>46207</v>
      </c>
      <c r="LQ221" s="56"/>
      <c r="LR221" s="242">
        <f>SUMPRODUCT(PRODUCE!$B224:$DY224,PRODUCE!$EB$43:$IY$43)</f>
        <v>0</v>
      </c>
      <c r="LS221" s="56"/>
      <c r="LT221" s="242">
        <f t="shared" si="1604"/>
        <v>0</v>
      </c>
      <c r="LU221" s="242">
        <f t="shared" si="1605"/>
        <v>0</v>
      </c>
      <c r="LV221" s="56"/>
      <c r="LY221" s="55">
        <f t="shared" si="1606"/>
        <v>46207</v>
      </c>
      <c r="LZ221" s="56"/>
      <c r="MA221" s="242">
        <f>SUMPRODUCT(PRODUCE!$B224:$DY224,PRODUCE!$EB$44:$IY$44)</f>
        <v>0</v>
      </c>
      <c r="MB221" s="56"/>
      <c r="MC221" s="242">
        <f t="shared" si="1607"/>
        <v>0</v>
      </c>
      <c r="MD221" s="242">
        <f t="shared" si="1608"/>
        <v>0</v>
      </c>
      <c r="ME221" s="56"/>
      <c r="MH221" s="55">
        <f t="shared" si="1609"/>
        <v>46207</v>
      </c>
      <c r="MI221" s="56"/>
      <c r="MJ221" s="242">
        <f>SUMPRODUCT(PRODUCE!$B224:$DY224,PRODUCE!$EB$45:$IY$45)</f>
        <v>0</v>
      </c>
      <c r="MK221" s="56"/>
      <c r="ML221" s="242">
        <f t="shared" si="1610"/>
        <v>0</v>
      </c>
      <c r="MM221" s="242">
        <f t="shared" si="1611"/>
        <v>0</v>
      </c>
      <c r="MN221" s="56"/>
      <c r="MQ221" s="55">
        <f t="shared" si="1612"/>
        <v>46207</v>
      </c>
      <c r="MR221" s="56"/>
      <c r="MS221" s="242">
        <f>SUMPRODUCT(PRODUCE!$B224:$DY224,PRODUCE!$EB$46:$IY$46)</f>
        <v>0</v>
      </c>
      <c r="MT221" s="56">
        <f>10+250+134+12</f>
        <v>406</v>
      </c>
      <c r="MU221" s="242">
        <f t="shared" si="1613"/>
        <v>-406</v>
      </c>
      <c r="MV221" s="242">
        <f t="shared" si="1614"/>
        <v>3122</v>
      </c>
      <c r="MW221" s="56"/>
      <c r="MZ221" s="55">
        <f t="shared" si="1615"/>
        <v>46207</v>
      </c>
      <c r="NA221" s="56">
        <v>4872</v>
      </c>
      <c r="NB221" s="242">
        <f>SUMPRODUCT(PRODUCE!$B224:$DY224,PRODUCE!$EB$47:$IY$47)</f>
        <v>12</v>
      </c>
      <c r="NC221" s="56">
        <f>120+3000+1608+144</f>
        <v>4872</v>
      </c>
      <c r="ND221" s="242">
        <f t="shared" si="1616"/>
        <v>-4860</v>
      </c>
      <c r="NE221" s="242">
        <f t="shared" si="1617"/>
        <v>0</v>
      </c>
      <c r="NF221" s="56"/>
      <c r="NI221" s="55">
        <f t="shared" si="1618"/>
        <v>46207</v>
      </c>
      <c r="NJ221" s="56"/>
      <c r="NK221" s="242">
        <f>SUMPRODUCT(PRODUCE!$B224:$DY224,PRODUCE!$EB$48:$IY$48)</f>
        <v>0</v>
      </c>
      <c r="NL221" s="56"/>
      <c r="NM221" s="242">
        <f t="shared" si="1619"/>
        <v>0</v>
      </c>
      <c r="NN221" s="242">
        <f t="shared" si="1620"/>
        <v>1127</v>
      </c>
      <c r="NO221" s="56"/>
      <c r="NR221" s="55">
        <f t="shared" si="1621"/>
        <v>46207</v>
      </c>
      <c r="NS221" s="56"/>
      <c r="NT221" s="242">
        <f>SUMPRODUCT(PRODUCE!$B224:$DY224,PRODUCE!$EB$49:$IY$49)</f>
        <v>0</v>
      </c>
      <c r="NU221" s="56"/>
      <c r="NV221" s="242">
        <f t="shared" si="1622"/>
        <v>0</v>
      </c>
      <c r="NW221" s="242">
        <f t="shared" si="1623"/>
        <v>3111.9999999999995</v>
      </c>
      <c r="NX221" s="56"/>
      <c r="OA221" s="55">
        <f t="shared" si="1624"/>
        <v>46207</v>
      </c>
      <c r="OB221" s="56"/>
      <c r="OC221" s="242">
        <f>SUMPRODUCT(PRODUCE!$B224:$DY224,PRODUCE!$EB$50:$IY$50)</f>
        <v>0</v>
      </c>
      <c r="OD221" s="56"/>
      <c r="OE221" s="242">
        <f t="shared" si="1625"/>
        <v>0</v>
      </c>
      <c r="OF221" s="242">
        <f t="shared" si="1626"/>
        <v>1680.5</v>
      </c>
      <c r="OG221" s="56"/>
      <c r="OJ221" s="55">
        <f t="shared" si="1627"/>
        <v>46207</v>
      </c>
      <c r="OK221" s="56">
        <v>788.80000000000007</v>
      </c>
      <c r="OL221" s="242">
        <f>SUMPRODUCT(PRODUCE!$B224:$DY224,PRODUCE!$EB$51:$IY$51)</f>
        <v>0</v>
      </c>
      <c r="OM221" s="56">
        <f>28+475+254.6+31.2</f>
        <v>788.80000000000007</v>
      </c>
      <c r="ON221" s="242">
        <f t="shared" si="1628"/>
        <v>-788.80000000000007</v>
      </c>
      <c r="OO221" s="242">
        <f t="shared" si="1629"/>
        <v>0</v>
      </c>
      <c r="OP221" s="56"/>
      <c r="OS221" s="55">
        <f t="shared" si="1630"/>
        <v>46207</v>
      </c>
      <c r="OT221" s="56"/>
      <c r="OU221" s="242">
        <f>SUMPRODUCT(PRODUCE!$B224:$DY224,PRODUCE!$EB$52:$IY$52)</f>
        <v>0</v>
      </c>
      <c r="OV221" s="56"/>
      <c r="OW221" s="242">
        <f t="shared" si="1631"/>
        <v>0</v>
      </c>
      <c r="OX221" s="242">
        <f t="shared" si="1632"/>
        <v>1482</v>
      </c>
      <c r="OY221" s="56"/>
      <c r="PB221" s="55">
        <f t="shared" si="1633"/>
        <v>46207</v>
      </c>
      <c r="PC221" s="56"/>
      <c r="PD221" s="242">
        <f>SUMPRODUCT(PRODUCE!$B224:$DY224,PRODUCE!$EB$53:$IY$53)</f>
        <v>0</v>
      </c>
      <c r="PE221" s="56"/>
      <c r="PF221" s="242">
        <f t="shared" si="1634"/>
        <v>0</v>
      </c>
      <c r="PG221" s="242">
        <f t="shared" si="1635"/>
        <v>0</v>
      </c>
      <c r="PH221" s="56"/>
      <c r="PK221" s="55">
        <f t="shared" si="1636"/>
        <v>46207</v>
      </c>
      <c r="PL221" s="56"/>
      <c r="PM221" s="242">
        <f>SUMPRODUCT(PRODUCE!$B224:$DY224,PRODUCE!$EB$54:$IY$54)</f>
        <v>0</v>
      </c>
      <c r="PN221" s="56"/>
      <c r="PO221" s="242">
        <f t="shared" si="1637"/>
        <v>0</v>
      </c>
      <c r="PP221" s="242">
        <f t="shared" si="1638"/>
        <v>100</v>
      </c>
      <c r="PQ221" s="56"/>
      <c r="PT221" s="55">
        <f t="shared" si="1639"/>
        <v>46207</v>
      </c>
      <c r="PU221" s="56"/>
      <c r="PV221" s="242">
        <f>SUMPRODUCT(PRODUCE!$B224:$DY224,PRODUCE!$EB$55:$IY$55)</f>
        <v>0</v>
      </c>
      <c r="PW221" s="56"/>
      <c r="PX221" s="242">
        <f t="shared" si="1640"/>
        <v>0</v>
      </c>
      <c r="PY221" s="242">
        <f t="shared" si="1641"/>
        <v>13.960000000000036</v>
      </c>
      <c r="PZ221" s="56"/>
      <c r="QC221" s="55">
        <f t="shared" si="1642"/>
        <v>46207</v>
      </c>
      <c r="QD221" s="56"/>
      <c r="QE221" s="242">
        <f>SUMPRODUCT(PRODUCE!$B224:$DY224,PRODUCE!$EB$56:$IY$56)</f>
        <v>0</v>
      </c>
      <c r="QF221" s="56"/>
      <c r="QG221" s="242">
        <f t="shared" si="1643"/>
        <v>0</v>
      </c>
      <c r="QH221" s="242">
        <f t="shared" si="1644"/>
        <v>1736</v>
      </c>
      <c r="QI221" s="56"/>
      <c r="QL221" s="55">
        <f t="shared" si="1645"/>
        <v>46207</v>
      </c>
      <c r="QM221" s="56"/>
      <c r="QN221" s="242">
        <f>SUMPRODUCT(PRODUCE!$B224:$DY224,PRODUCE!$EB$57:$IY$57)</f>
        <v>10</v>
      </c>
      <c r="QO221" s="56"/>
      <c r="QP221" s="242">
        <f t="shared" si="1646"/>
        <v>10</v>
      </c>
      <c r="QQ221" s="242">
        <f t="shared" si="1647"/>
        <v>235</v>
      </c>
      <c r="QR221" s="56"/>
      <c r="QU221" s="55">
        <f t="shared" si="1648"/>
        <v>46207</v>
      </c>
      <c r="QV221" s="56"/>
      <c r="QW221" s="242">
        <f>SUMPRODUCT(PRODUCE!$B224:$DY224,PRODUCE!$EB$58:$IY$58)</f>
        <v>0</v>
      </c>
      <c r="QX221" s="56"/>
      <c r="QY221" s="242">
        <f t="shared" si="1649"/>
        <v>0</v>
      </c>
      <c r="QZ221" s="242">
        <f t="shared" si="1650"/>
        <v>207.6</v>
      </c>
      <c r="RA221" s="56"/>
      <c r="RD221" s="55">
        <f t="shared" si="1651"/>
        <v>46207</v>
      </c>
      <c r="RE221" s="56"/>
      <c r="RF221" s="242">
        <f>SUMPRODUCT(PRODUCE!$B224:$DY224,PRODUCE!$EB$59:$IY$59)</f>
        <v>0</v>
      </c>
      <c r="RG221" s="56"/>
      <c r="RH221" s="242">
        <f t="shared" si="1652"/>
        <v>0</v>
      </c>
      <c r="RI221" s="242">
        <f t="shared" si="1653"/>
        <v>147.04000000000002</v>
      </c>
      <c r="RJ221" s="56"/>
      <c r="RM221" s="55">
        <f t="shared" si="1654"/>
        <v>46207</v>
      </c>
      <c r="RN221" s="56"/>
      <c r="RO221" s="242">
        <f>SUMPRODUCT(PRODUCE!$B224:$DY224,PRODUCE!$EB$60:$IY$60)</f>
        <v>0</v>
      </c>
      <c r="RP221" s="56"/>
      <c r="RQ221" s="242">
        <f t="shared" si="1655"/>
        <v>0</v>
      </c>
      <c r="RR221" s="242">
        <f t="shared" si="1656"/>
        <v>46.8</v>
      </c>
      <c r="RS221" s="56"/>
      <c r="RV221" s="55">
        <f t="shared" si="1657"/>
        <v>46207</v>
      </c>
      <c r="RW221" s="56"/>
      <c r="RX221" s="242">
        <f>SUMPRODUCT(PRODUCE!$B224:$DY224,PRODUCE!$EB$61:$IY$61)</f>
        <v>0</v>
      </c>
      <c r="RY221" s="56"/>
      <c r="RZ221" s="242">
        <f t="shared" si="1658"/>
        <v>0</v>
      </c>
      <c r="SA221" s="242">
        <f t="shared" si="1659"/>
        <v>0</v>
      </c>
      <c r="SB221" s="56"/>
      <c r="SE221" s="55">
        <f t="shared" si="1660"/>
        <v>46207</v>
      </c>
      <c r="SF221" s="56"/>
      <c r="SG221" s="242">
        <f>SUMPRODUCT(PRODUCE!$B224:$DY224,PRODUCE!$EB$62:$IY$62)</f>
        <v>0</v>
      </c>
      <c r="SH221" s="56"/>
      <c r="SI221" s="242">
        <f t="shared" si="1661"/>
        <v>0</v>
      </c>
      <c r="SJ221" s="242">
        <f t="shared" si="1662"/>
        <v>24.200000000000003</v>
      </c>
      <c r="SK221" s="56"/>
      <c r="SN221" s="55">
        <f t="shared" si="1663"/>
        <v>46207</v>
      </c>
      <c r="SO221" s="56"/>
      <c r="SP221" s="242">
        <f>SUMPRODUCT(PRODUCE!$B224:$DY224,PRODUCE!$EB$63:$IY$63)</f>
        <v>0</v>
      </c>
      <c r="SQ221" s="56"/>
      <c r="SR221" s="242">
        <f t="shared" si="1664"/>
        <v>0</v>
      </c>
      <c r="SS221" s="242">
        <f t="shared" si="1665"/>
        <v>32</v>
      </c>
      <c r="ST221" s="56"/>
      <c r="SW221" s="55">
        <f t="shared" si="1666"/>
        <v>46207</v>
      </c>
      <c r="SX221" s="56"/>
      <c r="SY221" s="242">
        <f>SUMPRODUCT(PRODUCE!$B224:$DY224,PRODUCE!$EB$64:$IY$64)</f>
        <v>0</v>
      </c>
      <c r="SZ221" s="56"/>
      <c r="TA221" s="242">
        <f t="shared" si="1667"/>
        <v>0</v>
      </c>
      <c r="TB221" s="242">
        <f t="shared" si="1668"/>
        <v>0</v>
      </c>
      <c r="TC221" s="56"/>
      <c r="TF221" s="55">
        <f t="shared" si="1669"/>
        <v>46207</v>
      </c>
      <c r="TG221" s="56"/>
      <c r="TH221" s="242">
        <f>SUMPRODUCT(PRODUCE!$B224:$DY224,PRODUCE!$EB$57:$IY$57)</f>
        <v>10</v>
      </c>
      <c r="TI221" s="56"/>
      <c r="TJ221" s="242">
        <f t="shared" si="1670"/>
        <v>10</v>
      </c>
      <c r="TK221" s="242">
        <f t="shared" si="1671"/>
        <v>0</v>
      </c>
      <c r="TL221" s="56"/>
      <c r="TO221" s="55">
        <f t="shared" si="1672"/>
        <v>46207</v>
      </c>
      <c r="TP221" s="56"/>
      <c r="TQ221" s="242">
        <f>SUMPRODUCT(PRODUCE!$B224:$DY224,PRODUCE!$EB$57:$IY$57)</f>
        <v>10</v>
      </c>
      <c r="TR221" s="56"/>
      <c r="TS221" s="242">
        <f t="shared" si="1673"/>
        <v>10</v>
      </c>
      <c r="TT221" s="242">
        <f t="shared" si="1674"/>
        <v>22.400000000000006</v>
      </c>
      <c r="TU221" s="56"/>
      <c r="TX221" s="55">
        <f t="shared" si="1675"/>
        <v>46207</v>
      </c>
      <c r="TY221" s="56"/>
      <c r="TZ221" s="242">
        <f>SUMPRODUCT(PRODUCE!$B224:$DY224,PRODUCE!$EB$57:$IY$57)</f>
        <v>10</v>
      </c>
      <c r="UA221" s="56"/>
      <c r="UB221" s="242">
        <f t="shared" si="1676"/>
        <v>10</v>
      </c>
      <c r="UC221" s="242">
        <f t="shared" si="1677"/>
        <v>46.799999999999983</v>
      </c>
      <c r="UD221" s="56"/>
      <c r="UG221" s="55">
        <f t="shared" si="1678"/>
        <v>46207</v>
      </c>
      <c r="UH221" s="56"/>
      <c r="UI221" s="242">
        <f>SUMPRODUCT(PRODUCE!$B224:$DY224,PRODUCE!$EB$57:$IY$57)</f>
        <v>10</v>
      </c>
      <c r="UJ221" s="56"/>
      <c r="UK221" s="242">
        <f t="shared" si="1679"/>
        <v>10</v>
      </c>
      <c r="UL221" s="242">
        <f t="shared" si="1680"/>
        <v>204</v>
      </c>
      <c r="UM221" s="56"/>
      <c r="UP221" s="55">
        <f t="shared" si="1681"/>
        <v>46207</v>
      </c>
      <c r="UQ221" s="56"/>
      <c r="UR221" s="242">
        <f>SUMPRODUCT(PRODUCE!$B224:$DY224,PRODUCE!$EB$69:$IY$69)</f>
        <v>0</v>
      </c>
      <c r="US221" s="56"/>
      <c r="UT221" s="242">
        <f t="shared" si="1682"/>
        <v>0</v>
      </c>
      <c r="UU221" s="242">
        <f t="shared" si="1683"/>
        <v>251.25</v>
      </c>
      <c r="UV221" s="56"/>
      <c r="UY221" s="55">
        <f t="shared" si="1684"/>
        <v>46207</v>
      </c>
      <c r="UZ221" s="56"/>
      <c r="VA221" s="242">
        <f>SUMPRODUCT(PRODUCE!$B224:$DY224,PRODUCE!$EB$70:$IY$70)</f>
        <v>0</v>
      </c>
      <c r="VB221" s="56"/>
      <c r="VC221" s="242">
        <f t="shared" si="1685"/>
        <v>0</v>
      </c>
      <c r="VD221" s="242">
        <f t="shared" si="1686"/>
        <v>41.600000000000023</v>
      </c>
      <c r="VE221" s="56"/>
      <c r="VH221" s="55">
        <f t="shared" si="1687"/>
        <v>46207</v>
      </c>
      <c r="VI221" s="56"/>
      <c r="VJ221" s="242">
        <f>SUMPRODUCT(PRODUCE!$B224:$DY224,PRODUCE!$EB$71:$IY$71)</f>
        <v>0</v>
      </c>
      <c r="VK221" s="56"/>
      <c r="VL221" s="242">
        <f t="shared" si="1688"/>
        <v>0</v>
      </c>
      <c r="VM221" s="242">
        <f t="shared" si="1689"/>
        <v>210</v>
      </c>
      <c r="VN221" s="56"/>
      <c r="VQ221" s="55">
        <f t="shared" si="1690"/>
        <v>46207</v>
      </c>
      <c r="VR221" s="56"/>
      <c r="VS221" s="242">
        <f>SUMPRODUCT(PRODUCE!$B224:$DY224,PRODUCE!$EB$57:$IY$57)</f>
        <v>10</v>
      </c>
      <c r="VT221" s="56"/>
      <c r="VU221" s="242">
        <f t="shared" si="1691"/>
        <v>10</v>
      </c>
      <c r="VV221" s="242">
        <f t="shared" si="1692"/>
        <v>0</v>
      </c>
      <c r="VW221" s="56"/>
      <c r="VZ221" s="55">
        <f t="shared" si="1693"/>
        <v>46207</v>
      </c>
      <c r="WA221" s="56"/>
      <c r="WB221" s="242">
        <f>SUMPRODUCT(PRODUCE!$B224:$DY224,PRODUCE!$EB$57:$IY$57)</f>
        <v>10</v>
      </c>
      <c r="WC221" s="56"/>
      <c r="WD221" s="242">
        <f t="shared" si="1694"/>
        <v>10</v>
      </c>
      <c r="WE221" s="242">
        <f t="shared" si="1695"/>
        <v>0</v>
      </c>
      <c r="WF221" s="56"/>
      <c r="WI221" s="55">
        <f t="shared" si="1696"/>
        <v>46207</v>
      </c>
      <c r="WJ221" s="56"/>
      <c r="WK221" s="242">
        <f>SUMPRODUCT(PRODUCE!$B224:$DY224,PRODUCE!$EB$57:$IY$57)</f>
        <v>10</v>
      </c>
      <c r="WL221" s="56"/>
      <c r="WM221" s="242">
        <f t="shared" si="1697"/>
        <v>10</v>
      </c>
      <c r="WN221" s="242">
        <f t="shared" si="1698"/>
        <v>1057</v>
      </c>
      <c r="WO221" s="56"/>
      <c r="WR221" s="55">
        <f t="shared" si="1699"/>
        <v>46207</v>
      </c>
      <c r="WS221" s="56"/>
      <c r="WT221" s="242">
        <f>SUMPRODUCT(PRODUCE!$B224:$DY224,PRODUCE!$EB$57:$IY$57)</f>
        <v>10</v>
      </c>
      <c r="WU221" s="56"/>
      <c r="WV221" s="242">
        <f t="shared" si="1700"/>
        <v>10</v>
      </c>
      <c r="WW221" s="242">
        <f t="shared" si="1701"/>
        <v>0</v>
      </c>
      <c r="WX221" s="56"/>
      <c r="XA221" s="55">
        <f t="shared" si="1702"/>
        <v>46207</v>
      </c>
      <c r="XB221" s="56"/>
      <c r="XC221" s="242">
        <f>SUMPRODUCT(PRODUCE!$B224:$DY224,PRODUCE!$EB$57:$IY$57)</f>
        <v>10</v>
      </c>
      <c r="XD221" s="56"/>
      <c r="XE221" s="242">
        <f t="shared" si="1703"/>
        <v>10</v>
      </c>
      <c r="XF221" s="242">
        <f t="shared" si="1704"/>
        <v>7507</v>
      </c>
      <c r="XG221" s="56"/>
      <c r="XJ221" s="55">
        <f t="shared" si="1705"/>
        <v>46207</v>
      </c>
      <c r="XK221" s="56"/>
      <c r="XL221" s="242">
        <f>SUMPRODUCT(PRODUCE!$B224:$DY224,PRODUCE!$EB$57:$IY$57)</f>
        <v>10</v>
      </c>
      <c r="XM221" s="56"/>
      <c r="XN221" s="242">
        <f t="shared" si="1706"/>
        <v>10</v>
      </c>
      <c r="XO221" s="242">
        <f t="shared" si="1707"/>
        <v>4252</v>
      </c>
      <c r="XP221" s="56"/>
      <c r="XS221" s="55">
        <f t="shared" si="1708"/>
        <v>46207</v>
      </c>
      <c r="XT221" s="56"/>
      <c r="XU221" s="242">
        <f>SUMPRODUCT(PRODUCE!$B224:$DY224,PRODUCE!$EB$57:$IY$57)</f>
        <v>10</v>
      </c>
      <c r="XV221" s="56"/>
      <c r="XW221" s="242">
        <f t="shared" si="1709"/>
        <v>10</v>
      </c>
      <c r="XX221" s="242">
        <f t="shared" si="1710"/>
        <v>2179</v>
      </c>
      <c r="XY221" s="56"/>
      <c r="YB221" s="55">
        <f t="shared" si="1711"/>
        <v>46207</v>
      </c>
      <c r="YC221" s="56"/>
      <c r="YD221" s="242">
        <f>SUMPRODUCT(PRODUCE!$B224:$DY224,PRODUCE!$EB$57:$IY$57)</f>
        <v>10</v>
      </c>
      <c r="YE221" s="56"/>
      <c r="YF221" s="242">
        <f t="shared" si="1712"/>
        <v>10</v>
      </c>
      <c r="YG221" s="242">
        <f t="shared" si="1713"/>
        <v>4019</v>
      </c>
      <c r="YH221" s="56"/>
      <c r="YK221" s="55">
        <f t="shared" si="1714"/>
        <v>46207</v>
      </c>
      <c r="YL221" s="56"/>
      <c r="YM221" s="242">
        <f>SUMPRODUCT(PRODUCE!$B224:$DY224,PRODUCE!$EB$57:$IY$57)</f>
        <v>10</v>
      </c>
      <c r="YN221" s="56"/>
      <c r="YO221" s="242">
        <f t="shared" si="1715"/>
        <v>10</v>
      </c>
      <c r="YP221" s="242">
        <f t="shared" si="1716"/>
        <v>0</v>
      </c>
      <c r="YQ221" s="56"/>
      <c r="YT221" s="55">
        <f t="shared" si="1717"/>
        <v>46207</v>
      </c>
      <c r="YU221" s="56"/>
      <c r="YV221" s="242">
        <f>SUMPRODUCT(PRODUCE!$B224:$DY224,PRODUCE!$EB$57:$IY$57)</f>
        <v>10</v>
      </c>
      <c r="YW221" s="56"/>
      <c r="YX221" s="242">
        <f t="shared" si="1718"/>
        <v>10</v>
      </c>
      <c r="YY221" s="242">
        <f t="shared" si="1719"/>
        <v>0</v>
      </c>
      <c r="YZ221" s="56"/>
      <c r="ZC221" s="55">
        <f t="shared" si="1720"/>
        <v>46207</v>
      </c>
      <c r="ZD221" s="56"/>
      <c r="ZE221" s="242">
        <f>SUMPRODUCT(PRODUCE!$B224:$DY224,PRODUCE!$EB$57:$IY$57)</f>
        <v>10</v>
      </c>
      <c r="ZF221" s="56"/>
      <c r="ZG221" s="242">
        <f t="shared" si="1721"/>
        <v>10</v>
      </c>
      <c r="ZH221" s="242">
        <f t="shared" si="1722"/>
        <v>0</v>
      </c>
      <c r="ZI221" s="56"/>
      <c r="ZL221" s="55">
        <f t="shared" si="1723"/>
        <v>46207</v>
      </c>
      <c r="ZM221" s="56"/>
      <c r="ZN221" s="242">
        <f>SUMPRODUCT(PRODUCE!$B224:$DY224,PRODUCE!$EB$57:$IY$57)</f>
        <v>10</v>
      </c>
      <c r="ZO221" s="56"/>
      <c r="ZP221" s="242">
        <f t="shared" si="1724"/>
        <v>10</v>
      </c>
      <c r="ZQ221" s="242">
        <f t="shared" si="1725"/>
        <v>0</v>
      </c>
      <c r="ZR221" s="56"/>
      <c r="ZU221" s="55">
        <f t="shared" si="1726"/>
        <v>46207</v>
      </c>
      <c r="ZV221" s="56"/>
      <c r="ZW221" s="242">
        <f>SUMPRODUCT(PRODUCE!$B224:$DY224,PRODUCE!$EB$57:$IY$57)</f>
        <v>10</v>
      </c>
      <c r="ZX221" s="56"/>
      <c r="ZY221" s="242">
        <f t="shared" si="1727"/>
        <v>10</v>
      </c>
      <c r="ZZ221" s="242">
        <f t="shared" si="1728"/>
        <v>0</v>
      </c>
      <c r="AAA221" s="56"/>
      <c r="AAD221" s="55">
        <f t="shared" si="1729"/>
        <v>46207</v>
      </c>
      <c r="AAE221" s="56"/>
      <c r="AAF221" s="242">
        <f>SUMPRODUCT(PRODUCE!$B224:$DY224,PRODUCE!$EB$57:$IY$57)</f>
        <v>10</v>
      </c>
      <c r="AAG221" s="56"/>
      <c r="AAH221" s="242">
        <f t="shared" si="1730"/>
        <v>10</v>
      </c>
      <c r="AAI221" s="242">
        <f t="shared" si="1731"/>
        <v>0</v>
      </c>
      <c r="AAJ221" s="56"/>
      <c r="AAM221" s="55">
        <f t="shared" si="1732"/>
        <v>46207</v>
      </c>
      <c r="AAN221" s="56"/>
      <c r="AAO221" s="242">
        <f>SUMPRODUCT(PRODUCE!$B224:$DY224,PRODUCE!$EB$57:$IY$57)</f>
        <v>10</v>
      </c>
      <c r="AAP221" s="56"/>
      <c r="AAQ221" s="242">
        <f t="shared" si="1733"/>
        <v>10</v>
      </c>
      <c r="AAR221" s="242">
        <f t="shared" si="1734"/>
        <v>0</v>
      </c>
      <c r="AAS221" s="56"/>
      <c r="AAV221" s="55">
        <f t="shared" si="1735"/>
        <v>46207</v>
      </c>
      <c r="AAW221" s="56"/>
      <c r="AAX221" s="242">
        <f>SUMPRODUCT(PRODUCE!$B224:$DY224,PRODUCE!$EB$57:$IY$57)</f>
        <v>10</v>
      </c>
      <c r="AAY221" s="56"/>
      <c r="AAZ221" s="242">
        <f t="shared" si="1736"/>
        <v>10</v>
      </c>
      <c r="ABA221" s="242">
        <f t="shared" si="1737"/>
        <v>0</v>
      </c>
      <c r="ABB221" s="56"/>
      <c r="ABE221" s="55">
        <f t="shared" si="1738"/>
        <v>46207</v>
      </c>
      <c r="ABF221" s="56"/>
      <c r="ABG221" s="242">
        <f>SUMPRODUCT(PRODUCE!$B224:$DY224,PRODUCE!$EB$57:$IY$57)</f>
        <v>10</v>
      </c>
      <c r="ABH221" s="56"/>
      <c r="ABI221" s="242">
        <f t="shared" si="1739"/>
        <v>10</v>
      </c>
      <c r="ABJ221" s="242">
        <f t="shared" si="1740"/>
        <v>0</v>
      </c>
      <c r="ABK221" s="56"/>
    </row>
    <row r="222" spans="1:739" s="54" customFormat="1" ht="15" customHeight="1" outlineLevel="1">
      <c r="B222" s="478"/>
      <c r="C222" s="55">
        <v>46208</v>
      </c>
      <c r="D222" s="422"/>
      <c r="E222" s="423">
        <f>SUMPRODUCT(PRODUCE!$B225:$DY225,PRODUCE!$EB$7:$IY$7)</f>
        <v>0</v>
      </c>
      <c r="F222" s="422"/>
      <c r="G222" s="423">
        <f t="shared" si="1496"/>
        <v>0</v>
      </c>
      <c r="H222" s="423">
        <f t="shared" si="1497"/>
        <v>129789.20000000006</v>
      </c>
      <c r="I222" s="289"/>
      <c r="L222" s="55">
        <f t="shared" si="1498"/>
        <v>46208</v>
      </c>
      <c r="M222" s="422"/>
      <c r="N222" s="438">
        <f>SUMPRODUCT(PRODUCE!$B225:$DY225,PRODUCE!$EB$8:$IY$8)</f>
        <v>0</v>
      </c>
      <c r="O222" s="422"/>
      <c r="P222" s="438">
        <f t="shared" si="1499"/>
        <v>0</v>
      </c>
      <c r="Q222" s="438">
        <f t="shared" si="1500"/>
        <v>36200.20000000007</v>
      </c>
      <c r="R222" s="56"/>
      <c r="U222" s="55">
        <f t="shared" si="1501"/>
        <v>46208</v>
      </c>
      <c r="V222" s="422"/>
      <c r="W222" s="440">
        <f>SUMPRODUCT(PRODUCE!$B225:$DY225,PRODUCE!$EB$9:$IY$9)</f>
        <v>0</v>
      </c>
      <c r="X222" s="422"/>
      <c r="Y222" s="440">
        <f t="shared" si="1502"/>
        <v>0</v>
      </c>
      <c r="Z222" s="440">
        <f t="shared" si="1503"/>
        <v>21091.499999999971</v>
      </c>
      <c r="AA222" s="56"/>
      <c r="AD222" s="55">
        <f t="shared" si="1504"/>
        <v>46208</v>
      </c>
      <c r="AE222" s="422"/>
      <c r="AF222" s="442">
        <f>SUMPRODUCT(PRODUCE!$B225:$DY225,PRODUCE!$EB$10:$IY$10)</f>
        <v>0</v>
      </c>
      <c r="AG222" s="422"/>
      <c r="AH222" s="442">
        <f t="shared" si="1505"/>
        <v>0</v>
      </c>
      <c r="AI222" s="442">
        <f t="shared" si="1506"/>
        <v>33372.700000000019</v>
      </c>
      <c r="AJ222" s="56"/>
      <c r="AM222" s="55">
        <f t="shared" si="1507"/>
        <v>46208</v>
      </c>
      <c r="AN222" s="422"/>
      <c r="AO222" s="444">
        <f>SUMPRODUCT(PRODUCE!$B225:$DY225,PRODUCE!$EB$11:$IY$11)</f>
        <v>0</v>
      </c>
      <c r="AP222" s="422"/>
      <c r="AQ222" s="444">
        <f t="shared" si="1508"/>
        <v>0</v>
      </c>
      <c r="AR222" s="444">
        <f t="shared" si="1509"/>
        <v>0</v>
      </c>
      <c r="AS222" s="56"/>
      <c r="AV222" s="55">
        <f t="shared" si="1510"/>
        <v>46208</v>
      </c>
      <c r="AW222" s="422"/>
      <c r="AX222" s="446">
        <f>SUMPRODUCT(PRODUCE!$B225:$DY225,PRODUCE!$EB$12:$IY$12)</f>
        <v>0</v>
      </c>
      <c r="AY222" s="422"/>
      <c r="AZ222" s="446">
        <f t="shared" si="1511"/>
        <v>0</v>
      </c>
      <c r="BA222" s="446">
        <f t="shared" si="1512"/>
        <v>13946.199999999997</v>
      </c>
      <c r="BB222" s="56"/>
      <c r="BE222" s="55">
        <f t="shared" si="1513"/>
        <v>46208</v>
      </c>
      <c r="BF222" s="422"/>
      <c r="BG222" s="448">
        <f>SUMPRODUCT(PRODUCE!$B225:$DY225,PRODUCE!$EB$13:$IY$13)</f>
        <v>0</v>
      </c>
      <c r="BH222" s="422"/>
      <c r="BI222" s="448">
        <f t="shared" si="1514"/>
        <v>0</v>
      </c>
      <c r="BJ222" s="448">
        <f t="shared" si="1515"/>
        <v>35450.399999999994</v>
      </c>
      <c r="BK222" s="56"/>
      <c r="BN222" s="55">
        <f t="shared" si="1516"/>
        <v>46208</v>
      </c>
      <c r="BO222" s="422"/>
      <c r="BP222" s="450">
        <f>SUMPRODUCT(PRODUCE!$B225:$DY225,PRODUCE!$EB$14:$IY$14)</f>
        <v>0</v>
      </c>
      <c r="BQ222" s="422"/>
      <c r="BR222" s="450">
        <f t="shared" si="1517"/>
        <v>0</v>
      </c>
      <c r="BS222" s="450">
        <f t="shared" si="1518"/>
        <v>0</v>
      </c>
      <c r="BT222" s="56"/>
      <c r="BW222" s="55">
        <f t="shared" si="1519"/>
        <v>46208</v>
      </c>
      <c r="BX222" s="422"/>
      <c r="BY222" s="523">
        <f>SUMPRODUCT(PRODUCE!$B225:$DY225,PRODUCE!$EB$15:$IY$15)</f>
        <v>0</v>
      </c>
      <c r="BZ222" s="422"/>
      <c r="CA222" s="523">
        <f t="shared" si="1520"/>
        <v>0</v>
      </c>
      <c r="CB222" s="523">
        <f t="shared" si="1521"/>
        <v>2379.7799999999988</v>
      </c>
      <c r="CC222" s="56"/>
      <c r="CF222" s="55">
        <f t="shared" si="1522"/>
        <v>46208</v>
      </c>
      <c r="CG222" s="422"/>
      <c r="CH222" s="524">
        <f>SUMPRODUCT(PRODUCE!$B225:$DY225,PRODUCE!$EB$16:$IY$16)</f>
        <v>0</v>
      </c>
      <c r="CI222" s="422"/>
      <c r="CJ222" s="524">
        <f t="shared" si="1523"/>
        <v>0</v>
      </c>
      <c r="CK222" s="524">
        <f t="shared" si="1524"/>
        <v>-3448.9399999999996</v>
      </c>
      <c r="CL222" s="56"/>
      <c r="CO222" s="55">
        <f t="shared" si="1525"/>
        <v>46208</v>
      </c>
      <c r="CP222" s="422"/>
      <c r="CQ222" s="470">
        <f>SUMPRODUCT(PRODUCE!$B225:$DY225,PRODUCE!$EB$17:$IY$17)</f>
        <v>0</v>
      </c>
      <c r="CR222" s="422"/>
      <c r="CS222" s="470">
        <f t="shared" si="1526"/>
        <v>0</v>
      </c>
      <c r="CT222" s="470">
        <f t="shared" si="1527"/>
        <v>0</v>
      </c>
      <c r="CU222" s="56"/>
      <c r="CX222" s="55">
        <f t="shared" si="1528"/>
        <v>46208</v>
      </c>
      <c r="CY222" s="422"/>
      <c r="CZ222" s="525">
        <f>SUMPRODUCT(PRODUCE!$B225:$DY225,PRODUCE!$EB$18:$IY$18)</f>
        <v>0</v>
      </c>
      <c r="DA222" s="422"/>
      <c r="DB222" s="525">
        <f t="shared" si="1529"/>
        <v>0</v>
      </c>
      <c r="DC222" s="525">
        <f t="shared" si="1530"/>
        <v>5130.0000000000073</v>
      </c>
      <c r="DD222" s="56"/>
      <c r="DG222" s="55">
        <f t="shared" si="1531"/>
        <v>46208</v>
      </c>
      <c r="DH222" s="422"/>
      <c r="DI222" s="526">
        <f>SUMPRODUCT(PRODUCE!$B225:$DY225,PRODUCE!$EB$19:$IY$19)</f>
        <v>0</v>
      </c>
      <c r="DJ222" s="422"/>
      <c r="DK222" s="526">
        <f t="shared" si="1532"/>
        <v>0</v>
      </c>
      <c r="DL222" s="526">
        <f t="shared" si="1533"/>
        <v>34934.499999999985</v>
      </c>
      <c r="DM222" s="56"/>
      <c r="DP222" s="55">
        <f t="shared" si="1534"/>
        <v>46208</v>
      </c>
      <c r="DQ222" s="56"/>
      <c r="DR222" s="57">
        <f>SUMPRODUCT(PRODUCE!$B225:$DY225,PRODUCE!$EB$20:$IY$20)</f>
        <v>0</v>
      </c>
      <c r="DS222" s="56"/>
      <c r="DT222" s="57">
        <f t="shared" si="1535"/>
        <v>0</v>
      </c>
      <c r="DU222" s="57">
        <f t="shared" si="1536"/>
        <v>5800</v>
      </c>
      <c r="DV222" s="56"/>
      <c r="DY222" s="55">
        <f t="shared" si="1537"/>
        <v>46208</v>
      </c>
      <c r="DZ222" s="56"/>
      <c r="EA222" s="157">
        <f>SUMPRODUCT(PRODUCE!$B225:$DY225,PRODUCE!$EB$21:$IY$21)</f>
        <v>0</v>
      </c>
      <c r="EB222" s="56"/>
      <c r="EC222" s="157">
        <f t="shared" si="1538"/>
        <v>0</v>
      </c>
      <c r="ED222" s="157">
        <f t="shared" si="1539"/>
        <v>0</v>
      </c>
      <c r="EE222" s="56"/>
      <c r="EH222" s="55">
        <f t="shared" si="1540"/>
        <v>46208</v>
      </c>
      <c r="EI222" s="56"/>
      <c r="EJ222" s="162">
        <f>SUMPRODUCT(PRODUCE!$B225:$DY225,PRODUCE!$EB$22:$IY$22)</f>
        <v>0</v>
      </c>
      <c r="EK222" s="56"/>
      <c r="EL222" s="162">
        <f t="shared" si="1541"/>
        <v>0</v>
      </c>
      <c r="EM222" s="162">
        <f t="shared" si="1542"/>
        <v>0</v>
      </c>
      <c r="EN222" s="56"/>
      <c r="EQ222" s="55">
        <f t="shared" si="1543"/>
        <v>46208</v>
      </c>
      <c r="ER222" s="56"/>
      <c r="ES222" s="172">
        <f>SUMPRODUCT(PRODUCE!$B225:$DY225,PRODUCE!$EB$23:$IY$23)</f>
        <v>0</v>
      </c>
      <c r="ET222" s="56"/>
      <c r="EU222" s="135">
        <f t="shared" si="1544"/>
        <v>0</v>
      </c>
      <c r="EV222" s="135">
        <f t="shared" si="1545"/>
        <v>0</v>
      </c>
      <c r="EW222" s="56"/>
      <c r="EZ222" s="55">
        <f t="shared" si="1546"/>
        <v>46208</v>
      </c>
      <c r="FA222" s="56"/>
      <c r="FB222" s="175">
        <f>SUMPRODUCT(PRODUCE!$B225:$DY225,PRODUCE!$EB$24:$IY$24)</f>
        <v>0</v>
      </c>
      <c r="FC222" s="56"/>
      <c r="FD222" s="175">
        <f t="shared" si="1547"/>
        <v>0</v>
      </c>
      <c r="FE222" s="175">
        <f t="shared" si="1548"/>
        <v>0</v>
      </c>
      <c r="FF222" s="56"/>
      <c r="FI222" s="55">
        <f t="shared" si="1549"/>
        <v>46208</v>
      </c>
      <c r="FJ222" s="56"/>
      <c r="FK222" s="183">
        <f>SUMPRODUCT(PRODUCE!$B225:$DY225,PRODUCE!$EB$25:$IY$25)</f>
        <v>0</v>
      </c>
      <c r="FL222" s="56"/>
      <c r="FM222" s="183">
        <f t="shared" si="1550"/>
        <v>0</v>
      </c>
      <c r="FN222" s="183">
        <f t="shared" si="1551"/>
        <v>0</v>
      </c>
      <c r="FO222" s="56"/>
      <c r="FR222" s="55">
        <f t="shared" si="1552"/>
        <v>46208</v>
      </c>
      <c r="FS222" s="56"/>
      <c r="FT222" s="186">
        <f>SUMPRODUCT(PRODUCE!$B225:$DY225,PRODUCE!$EB$26:$IY$26)</f>
        <v>0</v>
      </c>
      <c r="FU222" s="56"/>
      <c r="FV222" s="186">
        <f t="shared" si="1553"/>
        <v>0</v>
      </c>
      <c r="FW222" s="186">
        <f t="shared" si="1554"/>
        <v>1160</v>
      </c>
      <c r="FX222" s="56"/>
      <c r="GA222" s="55">
        <f t="shared" si="1555"/>
        <v>46208</v>
      </c>
      <c r="GB222" s="56"/>
      <c r="GC222" s="137">
        <f>SUMPRODUCT(PRODUCE!$B225:$DY225,PRODUCE!$EB$27:$IY$27)</f>
        <v>0</v>
      </c>
      <c r="GD222" s="56"/>
      <c r="GE222" s="137">
        <f t="shared" si="1556"/>
        <v>0</v>
      </c>
      <c r="GF222" s="137">
        <f t="shared" si="1557"/>
        <v>960</v>
      </c>
      <c r="GG222" s="56"/>
      <c r="GI222" s="23"/>
      <c r="GJ222" s="55">
        <f t="shared" si="1558"/>
        <v>46208</v>
      </c>
      <c r="GK222" s="56"/>
      <c r="GL222" s="199">
        <f>SUMPRODUCT(PRODUCE!$B225:$DY225,PRODUCE!$EB$28:$IY$28)</f>
        <v>0</v>
      </c>
      <c r="GM222" s="56"/>
      <c r="GN222" s="199">
        <f t="shared" si="1559"/>
        <v>0</v>
      </c>
      <c r="GO222" s="199">
        <f t="shared" si="1560"/>
        <v>1760</v>
      </c>
      <c r="GP222" s="56"/>
      <c r="GS222" s="55">
        <f t="shared" si="1561"/>
        <v>46208</v>
      </c>
      <c r="GT222" s="56"/>
      <c r="GU222" s="195">
        <f>SUMPRODUCT(PRODUCE!$B225:$DY225,PRODUCE!$EB$29:$IY$29)</f>
        <v>0</v>
      </c>
      <c r="GV222" s="56"/>
      <c r="GW222" s="195">
        <f t="shared" si="1562"/>
        <v>0</v>
      </c>
      <c r="GX222" s="195">
        <f t="shared" si="1563"/>
        <v>400</v>
      </c>
      <c r="GY222" s="56"/>
      <c r="HB222" s="55">
        <f t="shared" si="1564"/>
        <v>46208</v>
      </c>
      <c r="HC222" s="56"/>
      <c r="HD222" s="191">
        <f>SUMPRODUCT(PRODUCE!$B225:$DY225,PRODUCE!$EB$30:$IY$30)</f>
        <v>0</v>
      </c>
      <c r="HE222" s="56"/>
      <c r="HF222" s="191">
        <f t="shared" si="1565"/>
        <v>0</v>
      </c>
      <c r="HG222" s="191">
        <f t="shared" si="1566"/>
        <v>3600</v>
      </c>
      <c r="HH222" s="56"/>
      <c r="HK222" s="55">
        <f t="shared" si="1567"/>
        <v>46208</v>
      </c>
      <c r="HL222" s="56"/>
      <c r="HM222" s="63">
        <f>SUMPRODUCT(PRODUCE!$B225:$DY225,PRODUCE!$EB$31:$IY$31)</f>
        <v>0</v>
      </c>
      <c r="HN222" s="56"/>
      <c r="HO222" s="63">
        <f t="shared" si="1568"/>
        <v>0</v>
      </c>
      <c r="HP222" s="63">
        <f t="shared" si="1569"/>
        <v>0</v>
      </c>
      <c r="HQ222" s="56"/>
      <c r="HU222" s="55">
        <f t="shared" si="1570"/>
        <v>46208</v>
      </c>
      <c r="HV222" s="56"/>
      <c r="HW222" s="242">
        <f>SUMPRODUCT(PRODUCE!$B225:$DY225,PRODUCE!$EB$32:$IY$32)</f>
        <v>0</v>
      </c>
      <c r="HX222" s="56"/>
      <c r="HY222" s="242">
        <f t="shared" si="1571"/>
        <v>0</v>
      </c>
      <c r="HZ222" s="242">
        <f t="shared" si="1572"/>
        <v>6560</v>
      </c>
      <c r="IA222" s="56"/>
      <c r="ID222" s="55">
        <f t="shared" si="1573"/>
        <v>46208</v>
      </c>
      <c r="IE222" s="56"/>
      <c r="IF222" s="242">
        <f>SUMPRODUCT(PRODUCE!$B225:$DY225,PRODUCE!$EB$33:$IY$33)</f>
        <v>0</v>
      </c>
      <c r="IG222" s="56"/>
      <c r="IH222" s="242">
        <f t="shared" si="1574"/>
        <v>0</v>
      </c>
      <c r="II222" s="242">
        <f t="shared" si="1575"/>
        <v>720</v>
      </c>
      <c r="IJ222" s="56"/>
      <c r="IM222" s="55">
        <f t="shared" si="1576"/>
        <v>46208</v>
      </c>
      <c r="IN222" s="56"/>
      <c r="IO222" s="242">
        <f>SUMPRODUCT(PRODUCE!$B225:$DY225,PRODUCE!$EB$34:$IY$34)</f>
        <v>0</v>
      </c>
      <c r="IP222" s="56"/>
      <c r="IQ222" s="242">
        <f t="shared" si="1577"/>
        <v>0</v>
      </c>
      <c r="IR222" s="242">
        <f t="shared" si="1578"/>
        <v>6400</v>
      </c>
      <c r="IS222" s="56"/>
      <c r="IV222" s="55">
        <f t="shared" si="1579"/>
        <v>46208</v>
      </c>
      <c r="IW222" s="56"/>
      <c r="IX222" s="242">
        <f>SUMPRODUCT(PRODUCE!$B225:$DY225,PRODUCE!$EB$35:$IY$35)</f>
        <v>0</v>
      </c>
      <c r="IY222" s="56"/>
      <c r="IZ222" s="242">
        <f t="shared" si="1580"/>
        <v>0</v>
      </c>
      <c r="JA222" s="242">
        <f t="shared" si="1581"/>
        <v>4960</v>
      </c>
      <c r="JB222" s="56"/>
      <c r="JE222" s="55">
        <f t="shared" si="1582"/>
        <v>46208</v>
      </c>
      <c r="JF222" s="56"/>
      <c r="JG222" s="242">
        <f>SUMPRODUCT(PRODUCE!$B225:$DY225,PRODUCE!$EB$36:$IY$36)</f>
        <v>0</v>
      </c>
      <c r="JH222" s="56"/>
      <c r="JI222" s="242">
        <f t="shared" si="1583"/>
        <v>0</v>
      </c>
      <c r="JJ222" s="242">
        <f t="shared" si="1584"/>
        <v>0</v>
      </c>
      <c r="JK222" s="56"/>
      <c r="JN222" s="55">
        <f t="shared" si="1585"/>
        <v>46208</v>
      </c>
      <c r="JO222" s="56"/>
      <c r="JP222" s="242">
        <f>SUMPRODUCT(PRODUCE!$B225:$DY225,PRODUCE!$EB$37:$IY$37)</f>
        <v>0</v>
      </c>
      <c r="JQ222" s="56"/>
      <c r="JR222" s="242">
        <f t="shared" si="1586"/>
        <v>0</v>
      </c>
      <c r="JS222" s="242">
        <f t="shared" si="1587"/>
        <v>0</v>
      </c>
      <c r="JT222" s="56"/>
      <c r="JW222" s="55">
        <f t="shared" si="1588"/>
        <v>46208</v>
      </c>
      <c r="JX222" s="56"/>
      <c r="JY222" s="242">
        <f>SUMPRODUCT(PRODUCE!$B225:$DY225,PRODUCE!$EB$38:$IY$38)</f>
        <v>0</v>
      </c>
      <c r="JZ222" s="56"/>
      <c r="KA222" s="242">
        <f t="shared" si="1589"/>
        <v>0</v>
      </c>
      <c r="KB222" s="242">
        <f t="shared" si="1590"/>
        <v>2540</v>
      </c>
      <c r="KC222" s="56"/>
      <c r="KF222" s="55">
        <f t="shared" si="1591"/>
        <v>46208</v>
      </c>
      <c r="KG222" s="56"/>
      <c r="KH222" s="242">
        <f>SUMPRODUCT(PRODUCE!$B225:$DY225,PRODUCE!$EB$39:$IY$39)</f>
        <v>0</v>
      </c>
      <c r="KI222" s="56"/>
      <c r="KJ222" s="242">
        <f t="shared" si="1592"/>
        <v>0</v>
      </c>
      <c r="KK222" s="242">
        <f t="shared" si="1593"/>
        <v>2359.5</v>
      </c>
      <c r="KL222" s="56"/>
      <c r="KO222" s="55">
        <f t="shared" si="1594"/>
        <v>46208</v>
      </c>
      <c r="KP222" s="56"/>
      <c r="KQ222" s="242">
        <f>SUMPRODUCT(PRODUCE!$B225:$DY225,PRODUCE!$EB$40:$IY$40)</f>
        <v>0</v>
      </c>
      <c r="KR222" s="56"/>
      <c r="KS222" s="242">
        <f t="shared" si="1595"/>
        <v>0</v>
      </c>
      <c r="KT222" s="242">
        <f t="shared" si="1596"/>
        <v>1890</v>
      </c>
      <c r="KU222" s="56"/>
      <c r="KW222" s="23"/>
      <c r="KX222" s="55">
        <f t="shared" si="1597"/>
        <v>46208</v>
      </c>
      <c r="KY222" s="56"/>
      <c r="KZ222" s="242">
        <f>SUMPRODUCT(PRODUCE!$B225:$DY225,PRODUCE!$EB$41:$IY$41)</f>
        <v>0</v>
      </c>
      <c r="LA222" s="56"/>
      <c r="LB222" s="242">
        <f t="shared" si="1598"/>
        <v>0</v>
      </c>
      <c r="LC222" s="242">
        <f t="shared" si="1599"/>
        <v>3690</v>
      </c>
      <c r="LD222" s="56"/>
      <c r="LG222" s="55">
        <f t="shared" si="1600"/>
        <v>46208</v>
      </c>
      <c r="LH222" s="56"/>
      <c r="LI222" s="242">
        <f>SUMPRODUCT(PRODUCE!$B225:$DY225,PRODUCE!$EB$42:$IY$42)</f>
        <v>0</v>
      </c>
      <c r="LJ222" s="56"/>
      <c r="LK222" s="242">
        <f t="shared" si="1601"/>
        <v>0</v>
      </c>
      <c r="LL222" s="242">
        <f t="shared" si="1602"/>
        <v>4000</v>
      </c>
      <c r="LM222" s="56"/>
      <c r="LP222" s="55">
        <f t="shared" si="1603"/>
        <v>46208</v>
      </c>
      <c r="LQ222" s="56"/>
      <c r="LR222" s="242">
        <f>SUMPRODUCT(PRODUCE!$B225:$DY225,PRODUCE!$EB$43:$IY$43)</f>
        <v>0</v>
      </c>
      <c r="LS222" s="56"/>
      <c r="LT222" s="242">
        <f t="shared" si="1604"/>
        <v>0</v>
      </c>
      <c r="LU222" s="242">
        <f t="shared" si="1605"/>
        <v>0</v>
      </c>
      <c r="LV222" s="56"/>
      <c r="LY222" s="55">
        <f t="shared" si="1606"/>
        <v>46208</v>
      </c>
      <c r="LZ222" s="56"/>
      <c r="MA222" s="242">
        <f>SUMPRODUCT(PRODUCE!$B225:$DY225,PRODUCE!$EB$44:$IY$44)</f>
        <v>0</v>
      </c>
      <c r="MB222" s="56"/>
      <c r="MC222" s="242">
        <f t="shared" si="1607"/>
        <v>0</v>
      </c>
      <c r="MD222" s="242">
        <f t="shared" si="1608"/>
        <v>0</v>
      </c>
      <c r="ME222" s="56"/>
      <c r="MH222" s="55">
        <f t="shared" si="1609"/>
        <v>46208</v>
      </c>
      <c r="MI222" s="56"/>
      <c r="MJ222" s="242">
        <f>SUMPRODUCT(PRODUCE!$B225:$DY225,PRODUCE!$EB$45:$IY$45)</f>
        <v>0</v>
      </c>
      <c r="MK222" s="56"/>
      <c r="ML222" s="242">
        <f t="shared" si="1610"/>
        <v>0</v>
      </c>
      <c r="MM222" s="242">
        <f t="shared" si="1611"/>
        <v>0</v>
      </c>
      <c r="MN222" s="56"/>
      <c r="MQ222" s="55">
        <f t="shared" si="1612"/>
        <v>46208</v>
      </c>
      <c r="MR222" s="56"/>
      <c r="MS222" s="242">
        <f>SUMPRODUCT(PRODUCE!$B225:$DY225,PRODUCE!$EB$46:$IY$46)</f>
        <v>0</v>
      </c>
      <c r="MT222" s="56"/>
      <c r="MU222" s="242">
        <f t="shared" si="1613"/>
        <v>0</v>
      </c>
      <c r="MV222" s="242">
        <f t="shared" si="1614"/>
        <v>3122</v>
      </c>
      <c r="MW222" s="56"/>
      <c r="MZ222" s="55">
        <f t="shared" si="1615"/>
        <v>46208</v>
      </c>
      <c r="NA222" s="56"/>
      <c r="NB222" s="242">
        <f>SUMPRODUCT(PRODUCE!$B225:$DY225,PRODUCE!$EB$47:$IY$47)</f>
        <v>0</v>
      </c>
      <c r="NC222" s="56"/>
      <c r="ND222" s="242">
        <f t="shared" si="1616"/>
        <v>0</v>
      </c>
      <c r="NE222" s="242">
        <f t="shared" si="1617"/>
        <v>0</v>
      </c>
      <c r="NF222" s="56"/>
      <c r="NI222" s="55">
        <f t="shared" si="1618"/>
        <v>46208</v>
      </c>
      <c r="NJ222" s="56"/>
      <c r="NK222" s="242">
        <f>SUMPRODUCT(PRODUCE!$B225:$DY225,PRODUCE!$EB$48:$IY$48)</f>
        <v>0</v>
      </c>
      <c r="NL222" s="56"/>
      <c r="NM222" s="242">
        <f t="shared" si="1619"/>
        <v>0</v>
      </c>
      <c r="NN222" s="242">
        <f t="shared" si="1620"/>
        <v>1127</v>
      </c>
      <c r="NO222" s="56"/>
      <c r="NR222" s="55">
        <f t="shared" si="1621"/>
        <v>46208</v>
      </c>
      <c r="NS222" s="56"/>
      <c r="NT222" s="242">
        <f>SUMPRODUCT(PRODUCE!$B225:$DY225,PRODUCE!$EB$49:$IY$49)</f>
        <v>0</v>
      </c>
      <c r="NU222" s="56"/>
      <c r="NV222" s="242">
        <f t="shared" si="1622"/>
        <v>0</v>
      </c>
      <c r="NW222" s="242">
        <f t="shared" si="1623"/>
        <v>3111.9999999999995</v>
      </c>
      <c r="NX222" s="56"/>
      <c r="OA222" s="55">
        <f t="shared" si="1624"/>
        <v>46208</v>
      </c>
      <c r="OB222" s="56"/>
      <c r="OC222" s="242">
        <f>SUMPRODUCT(PRODUCE!$B225:$DY225,PRODUCE!$EB$50:$IY$50)</f>
        <v>0</v>
      </c>
      <c r="OD222" s="56"/>
      <c r="OE222" s="242">
        <f t="shared" si="1625"/>
        <v>0</v>
      </c>
      <c r="OF222" s="242">
        <f t="shared" si="1626"/>
        <v>1680.5</v>
      </c>
      <c r="OG222" s="56"/>
      <c r="OJ222" s="55">
        <f t="shared" si="1627"/>
        <v>46208</v>
      </c>
      <c r="OK222" s="56"/>
      <c r="OL222" s="242">
        <f>SUMPRODUCT(PRODUCE!$B225:$DY225,PRODUCE!$EB$51:$IY$51)</f>
        <v>0</v>
      </c>
      <c r="OM222" s="56"/>
      <c r="ON222" s="242">
        <f t="shared" si="1628"/>
        <v>0</v>
      </c>
      <c r="OO222" s="242">
        <f t="shared" si="1629"/>
        <v>0</v>
      </c>
      <c r="OP222" s="56"/>
      <c r="OS222" s="55">
        <f t="shared" si="1630"/>
        <v>46208</v>
      </c>
      <c r="OT222" s="56"/>
      <c r="OU222" s="242">
        <f>SUMPRODUCT(PRODUCE!$B225:$DY225,PRODUCE!$EB$52:$IY$52)</f>
        <v>0</v>
      </c>
      <c r="OV222" s="56"/>
      <c r="OW222" s="242">
        <f t="shared" si="1631"/>
        <v>0</v>
      </c>
      <c r="OX222" s="242">
        <f t="shared" si="1632"/>
        <v>1482</v>
      </c>
      <c r="OY222" s="56"/>
      <c r="PB222" s="55">
        <f t="shared" si="1633"/>
        <v>46208</v>
      </c>
      <c r="PC222" s="56"/>
      <c r="PD222" s="242">
        <f>SUMPRODUCT(PRODUCE!$B225:$DY225,PRODUCE!$EB$53:$IY$53)</f>
        <v>0</v>
      </c>
      <c r="PE222" s="56"/>
      <c r="PF222" s="242">
        <f t="shared" si="1634"/>
        <v>0</v>
      </c>
      <c r="PG222" s="242">
        <f t="shared" si="1635"/>
        <v>0</v>
      </c>
      <c r="PH222" s="56"/>
      <c r="PK222" s="55">
        <f t="shared" si="1636"/>
        <v>46208</v>
      </c>
      <c r="PL222" s="56"/>
      <c r="PM222" s="242">
        <f>SUMPRODUCT(PRODUCE!$B225:$DY225,PRODUCE!$EB$54:$IY$54)</f>
        <v>0</v>
      </c>
      <c r="PN222" s="56"/>
      <c r="PO222" s="242">
        <f t="shared" si="1637"/>
        <v>0</v>
      </c>
      <c r="PP222" s="242">
        <f t="shared" si="1638"/>
        <v>100</v>
      </c>
      <c r="PQ222" s="56"/>
      <c r="PT222" s="55">
        <f t="shared" si="1639"/>
        <v>46208</v>
      </c>
      <c r="PU222" s="56"/>
      <c r="PV222" s="242">
        <f>SUMPRODUCT(PRODUCE!$B225:$DY225,PRODUCE!$EB$55:$IY$55)</f>
        <v>0</v>
      </c>
      <c r="PW222" s="56"/>
      <c r="PX222" s="242">
        <f t="shared" si="1640"/>
        <v>0</v>
      </c>
      <c r="PY222" s="242">
        <f t="shared" si="1641"/>
        <v>13.960000000000036</v>
      </c>
      <c r="PZ222" s="56"/>
      <c r="QC222" s="55">
        <f t="shared" si="1642"/>
        <v>46208</v>
      </c>
      <c r="QD222" s="56"/>
      <c r="QE222" s="242">
        <f>SUMPRODUCT(PRODUCE!$B225:$DY225,PRODUCE!$EB$56:$IY$56)</f>
        <v>0</v>
      </c>
      <c r="QF222" s="56"/>
      <c r="QG222" s="242">
        <f t="shared" si="1643"/>
        <v>0</v>
      </c>
      <c r="QH222" s="242">
        <f t="shared" si="1644"/>
        <v>1736</v>
      </c>
      <c r="QI222" s="56"/>
      <c r="QL222" s="55">
        <f t="shared" si="1645"/>
        <v>46208</v>
      </c>
      <c r="QM222" s="56"/>
      <c r="QN222" s="242">
        <f>SUMPRODUCT(PRODUCE!$B225:$DY225,PRODUCE!$EB$57:$IY$57)</f>
        <v>0</v>
      </c>
      <c r="QO222" s="56"/>
      <c r="QP222" s="242">
        <f t="shared" si="1646"/>
        <v>0</v>
      </c>
      <c r="QQ222" s="242">
        <f t="shared" si="1647"/>
        <v>235</v>
      </c>
      <c r="QR222" s="56"/>
      <c r="QU222" s="55">
        <f t="shared" si="1648"/>
        <v>46208</v>
      </c>
      <c r="QV222" s="56"/>
      <c r="QW222" s="242">
        <f>SUMPRODUCT(PRODUCE!$B225:$DY225,PRODUCE!$EB$58:$IY$58)</f>
        <v>0</v>
      </c>
      <c r="QX222" s="56"/>
      <c r="QY222" s="242">
        <f t="shared" si="1649"/>
        <v>0</v>
      </c>
      <c r="QZ222" s="242">
        <f t="shared" si="1650"/>
        <v>207.6</v>
      </c>
      <c r="RA222" s="56"/>
      <c r="RD222" s="55">
        <f t="shared" si="1651"/>
        <v>46208</v>
      </c>
      <c r="RE222" s="56"/>
      <c r="RF222" s="242">
        <f>SUMPRODUCT(PRODUCE!$B225:$DY225,PRODUCE!$EB$59:$IY$59)</f>
        <v>0</v>
      </c>
      <c r="RG222" s="56"/>
      <c r="RH222" s="242">
        <f t="shared" si="1652"/>
        <v>0</v>
      </c>
      <c r="RI222" s="242">
        <f t="shared" si="1653"/>
        <v>147.04000000000002</v>
      </c>
      <c r="RJ222" s="56"/>
      <c r="RM222" s="55">
        <f t="shared" si="1654"/>
        <v>46208</v>
      </c>
      <c r="RN222" s="56"/>
      <c r="RO222" s="242">
        <f>SUMPRODUCT(PRODUCE!$B225:$DY225,PRODUCE!$EB$60:$IY$60)</f>
        <v>0</v>
      </c>
      <c r="RP222" s="56"/>
      <c r="RQ222" s="242">
        <f t="shared" si="1655"/>
        <v>0</v>
      </c>
      <c r="RR222" s="242">
        <f t="shared" si="1656"/>
        <v>46.8</v>
      </c>
      <c r="RS222" s="56"/>
      <c r="RV222" s="55">
        <f t="shared" si="1657"/>
        <v>46208</v>
      </c>
      <c r="RW222" s="56"/>
      <c r="RX222" s="242">
        <f>SUMPRODUCT(PRODUCE!$B225:$DY225,PRODUCE!$EB$61:$IY$61)</f>
        <v>0</v>
      </c>
      <c r="RY222" s="56"/>
      <c r="RZ222" s="242">
        <f t="shared" si="1658"/>
        <v>0</v>
      </c>
      <c r="SA222" s="242">
        <f t="shared" si="1659"/>
        <v>0</v>
      </c>
      <c r="SB222" s="56"/>
      <c r="SE222" s="55">
        <f t="shared" si="1660"/>
        <v>46208</v>
      </c>
      <c r="SF222" s="56"/>
      <c r="SG222" s="242">
        <f>SUMPRODUCT(PRODUCE!$B225:$DY225,PRODUCE!$EB$62:$IY$62)</f>
        <v>0</v>
      </c>
      <c r="SH222" s="56"/>
      <c r="SI222" s="242">
        <f t="shared" si="1661"/>
        <v>0</v>
      </c>
      <c r="SJ222" s="242">
        <f t="shared" si="1662"/>
        <v>24.200000000000003</v>
      </c>
      <c r="SK222" s="56"/>
      <c r="SN222" s="55">
        <f t="shared" si="1663"/>
        <v>46208</v>
      </c>
      <c r="SO222" s="56"/>
      <c r="SP222" s="242">
        <f>SUMPRODUCT(PRODUCE!$B225:$DY225,PRODUCE!$EB$63:$IY$63)</f>
        <v>0</v>
      </c>
      <c r="SQ222" s="56"/>
      <c r="SR222" s="242">
        <f t="shared" si="1664"/>
        <v>0</v>
      </c>
      <c r="SS222" s="242">
        <f t="shared" si="1665"/>
        <v>32</v>
      </c>
      <c r="ST222" s="56"/>
      <c r="SW222" s="55">
        <f t="shared" si="1666"/>
        <v>46208</v>
      </c>
      <c r="SX222" s="56"/>
      <c r="SY222" s="242">
        <f>SUMPRODUCT(PRODUCE!$B225:$DY225,PRODUCE!$EB$64:$IY$64)</f>
        <v>0</v>
      </c>
      <c r="SZ222" s="56"/>
      <c r="TA222" s="242">
        <f t="shared" si="1667"/>
        <v>0</v>
      </c>
      <c r="TB222" s="242">
        <f t="shared" si="1668"/>
        <v>0</v>
      </c>
      <c r="TC222" s="56"/>
      <c r="TF222" s="55">
        <f t="shared" si="1669"/>
        <v>46208</v>
      </c>
      <c r="TG222" s="56"/>
      <c r="TH222" s="242">
        <f>SUMPRODUCT(PRODUCE!$B225:$DY225,PRODUCE!$EB$57:$IY$57)</f>
        <v>0</v>
      </c>
      <c r="TI222" s="56"/>
      <c r="TJ222" s="242">
        <f t="shared" si="1670"/>
        <v>0</v>
      </c>
      <c r="TK222" s="242">
        <f t="shared" si="1671"/>
        <v>0</v>
      </c>
      <c r="TL222" s="56"/>
      <c r="TO222" s="55">
        <f t="shared" si="1672"/>
        <v>46208</v>
      </c>
      <c r="TP222" s="56"/>
      <c r="TQ222" s="242">
        <f>SUMPRODUCT(PRODUCE!$B225:$DY225,PRODUCE!$EB$57:$IY$57)</f>
        <v>0</v>
      </c>
      <c r="TR222" s="56"/>
      <c r="TS222" s="242">
        <f t="shared" si="1673"/>
        <v>0</v>
      </c>
      <c r="TT222" s="242">
        <f t="shared" si="1674"/>
        <v>22.400000000000006</v>
      </c>
      <c r="TU222" s="56"/>
      <c r="TX222" s="55">
        <f t="shared" si="1675"/>
        <v>46208</v>
      </c>
      <c r="TY222" s="56"/>
      <c r="TZ222" s="242">
        <f>SUMPRODUCT(PRODUCE!$B225:$DY225,PRODUCE!$EB$57:$IY$57)</f>
        <v>0</v>
      </c>
      <c r="UA222" s="56"/>
      <c r="UB222" s="242">
        <f t="shared" si="1676"/>
        <v>0</v>
      </c>
      <c r="UC222" s="242">
        <f t="shared" si="1677"/>
        <v>46.799999999999983</v>
      </c>
      <c r="UD222" s="56"/>
      <c r="UG222" s="55">
        <f t="shared" si="1678"/>
        <v>46208</v>
      </c>
      <c r="UH222" s="56"/>
      <c r="UI222" s="242">
        <f>SUMPRODUCT(PRODUCE!$B225:$DY225,PRODUCE!$EB$57:$IY$57)</f>
        <v>0</v>
      </c>
      <c r="UJ222" s="56"/>
      <c r="UK222" s="242">
        <f t="shared" si="1679"/>
        <v>0</v>
      </c>
      <c r="UL222" s="242">
        <f t="shared" si="1680"/>
        <v>204</v>
      </c>
      <c r="UM222" s="56"/>
      <c r="UP222" s="55">
        <f t="shared" si="1681"/>
        <v>46208</v>
      </c>
      <c r="UQ222" s="56"/>
      <c r="UR222" s="242">
        <f>SUMPRODUCT(PRODUCE!$B225:$DY225,PRODUCE!$EB$69:$IY$69)</f>
        <v>0</v>
      </c>
      <c r="US222" s="56"/>
      <c r="UT222" s="242">
        <f t="shared" si="1682"/>
        <v>0</v>
      </c>
      <c r="UU222" s="242">
        <f t="shared" si="1683"/>
        <v>251.25</v>
      </c>
      <c r="UV222" s="56"/>
      <c r="UY222" s="55">
        <f t="shared" si="1684"/>
        <v>46208</v>
      </c>
      <c r="UZ222" s="56"/>
      <c r="VA222" s="242">
        <f>SUMPRODUCT(PRODUCE!$B225:$DY225,PRODUCE!$EB$70:$IY$70)</f>
        <v>0</v>
      </c>
      <c r="VB222" s="56"/>
      <c r="VC222" s="242">
        <f t="shared" si="1685"/>
        <v>0</v>
      </c>
      <c r="VD222" s="242">
        <f t="shared" si="1686"/>
        <v>41.600000000000023</v>
      </c>
      <c r="VE222" s="56"/>
      <c r="VH222" s="55">
        <f t="shared" si="1687"/>
        <v>46208</v>
      </c>
      <c r="VI222" s="56"/>
      <c r="VJ222" s="242">
        <f>SUMPRODUCT(PRODUCE!$B225:$DY225,PRODUCE!$EB$71:$IY$71)</f>
        <v>0</v>
      </c>
      <c r="VK222" s="56"/>
      <c r="VL222" s="242">
        <f t="shared" si="1688"/>
        <v>0</v>
      </c>
      <c r="VM222" s="242">
        <f t="shared" si="1689"/>
        <v>210</v>
      </c>
      <c r="VN222" s="56"/>
      <c r="VQ222" s="55">
        <f t="shared" si="1690"/>
        <v>46208</v>
      </c>
      <c r="VR222" s="56"/>
      <c r="VS222" s="242">
        <f>SUMPRODUCT(PRODUCE!$B225:$DY225,PRODUCE!$EB$57:$IY$57)</f>
        <v>0</v>
      </c>
      <c r="VT222" s="56"/>
      <c r="VU222" s="242">
        <f t="shared" si="1691"/>
        <v>0</v>
      </c>
      <c r="VV222" s="242">
        <f t="shared" si="1692"/>
        <v>0</v>
      </c>
      <c r="VW222" s="56"/>
      <c r="VZ222" s="55">
        <f t="shared" si="1693"/>
        <v>46208</v>
      </c>
      <c r="WA222" s="56"/>
      <c r="WB222" s="242">
        <f>SUMPRODUCT(PRODUCE!$B225:$DY225,PRODUCE!$EB$57:$IY$57)</f>
        <v>0</v>
      </c>
      <c r="WC222" s="56"/>
      <c r="WD222" s="242">
        <f t="shared" si="1694"/>
        <v>0</v>
      </c>
      <c r="WE222" s="242">
        <f t="shared" si="1695"/>
        <v>0</v>
      </c>
      <c r="WF222" s="56"/>
      <c r="WI222" s="55">
        <f t="shared" si="1696"/>
        <v>46208</v>
      </c>
      <c r="WJ222" s="56"/>
      <c r="WK222" s="242">
        <f>SUMPRODUCT(PRODUCE!$B225:$DY225,PRODUCE!$EB$57:$IY$57)</f>
        <v>0</v>
      </c>
      <c r="WL222" s="56"/>
      <c r="WM222" s="242">
        <f t="shared" si="1697"/>
        <v>0</v>
      </c>
      <c r="WN222" s="242">
        <f t="shared" si="1698"/>
        <v>1057</v>
      </c>
      <c r="WO222" s="56"/>
      <c r="WR222" s="55">
        <f t="shared" si="1699"/>
        <v>46208</v>
      </c>
      <c r="WS222" s="56"/>
      <c r="WT222" s="242">
        <f>SUMPRODUCT(PRODUCE!$B225:$DY225,PRODUCE!$EB$57:$IY$57)</f>
        <v>0</v>
      </c>
      <c r="WU222" s="56"/>
      <c r="WV222" s="242">
        <f t="shared" si="1700"/>
        <v>0</v>
      </c>
      <c r="WW222" s="242">
        <f t="shared" si="1701"/>
        <v>0</v>
      </c>
      <c r="WX222" s="56"/>
      <c r="XA222" s="55">
        <f t="shared" si="1702"/>
        <v>46208</v>
      </c>
      <c r="XB222" s="56"/>
      <c r="XC222" s="242">
        <f>SUMPRODUCT(PRODUCE!$B225:$DY225,PRODUCE!$EB$57:$IY$57)</f>
        <v>0</v>
      </c>
      <c r="XD222" s="56"/>
      <c r="XE222" s="242">
        <f t="shared" si="1703"/>
        <v>0</v>
      </c>
      <c r="XF222" s="242">
        <f t="shared" si="1704"/>
        <v>7507</v>
      </c>
      <c r="XG222" s="56"/>
      <c r="XJ222" s="55">
        <f t="shared" si="1705"/>
        <v>46208</v>
      </c>
      <c r="XK222" s="56"/>
      <c r="XL222" s="242">
        <f>SUMPRODUCT(PRODUCE!$B225:$DY225,PRODUCE!$EB$57:$IY$57)</f>
        <v>0</v>
      </c>
      <c r="XM222" s="56"/>
      <c r="XN222" s="242">
        <f t="shared" si="1706"/>
        <v>0</v>
      </c>
      <c r="XO222" s="242">
        <f t="shared" si="1707"/>
        <v>4252</v>
      </c>
      <c r="XP222" s="56"/>
      <c r="XS222" s="55">
        <f t="shared" si="1708"/>
        <v>46208</v>
      </c>
      <c r="XT222" s="56"/>
      <c r="XU222" s="242">
        <f>SUMPRODUCT(PRODUCE!$B225:$DY225,PRODUCE!$EB$57:$IY$57)</f>
        <v>0</v>
      </c>
      <c r="XV222" s="56"/>
      <c r="XW222" s="242">
        <f t="shared" si="1709"/>
        <v>0</v>
      </c>
      <c r="XX222" s="242">
        <f t="shared" si="1710"/>
        <v>2179</v>
      </c>
      <c r="XY222" s="56"/>
      <c r="YB222" s="55">
        <f t="shared" si="1711"/>
        <v>46208</v>
      </c>
      <c r="YC222" s="56"/>
      <c r="YD222" s="242">
        <f>SUMPRODUCT(PRODUCE!$B225:$DY225,PRODUCE!$EB$57:$IY$57)</f>
        <v>0</v>
      </c>
      <c r="YE222" s="56"/>
      <c r="YF222" s="242">
        <f t="shared" si="1712"/>
        <v>0</v>
      </c>
      <c r="YG222" s="242">
        <f t="shared" si="1713"/>
        <v>4019</v>
      </c>
      <c r="YH222" s="56"/>
      <c r="YK222" s="55">
        <f t="shared" si="1714"/>
        <v>46208</v>
      </c>
      <c r="YL222" s="56"/>
      <c r="YM222" s="242">
        <f>SUMPRODUCT(PRODUCE!$B225:$DY225,PRODUCE!$EB$57:$IY$57)</f>
        <v>0</v>
      </c>
      <c r="YN222" s="56"/>
      <c r="YO222" s="242">
        <f t="shared" si="1715"/>
        <v>0</v>
      </c>
      <c r="YP222" s="242">
        <f t="shared" si="1716"/>
        <v>0</v>
      </c>
      <c r="YQ222" s="56"/>
      <c r="YT222" s="55">
        <f t="shared" si="1717"/>
        <v>46208</v>
      </c>
      <c r="YU222" s="56"/>
      <c r="YV222" s="242">
        <f>SUMPRODUCT(PRODUCE!$B225:$DY225,PRODUCE!$EB$57:$IY$57)</f>
        <v>0</v>
      </c>
      <c r="YW222" s="56"/>
      <c r="YX222" s="242">
        <f t="shared" si="1718"/>
        <v>0</v>
      </c>
      <c r="YY222" s="242">
        <f t="shared" si="1719"/>
        <v>0</v>
      </c>
      <c r="YZ222" s="56"/>
      <c r="ZC222" s="55">
        <f t="shared" si="1720"/>
        <v>46208</v>
      </c>
      <c r="ZD222" s="56"/>
      <c r="ZE222" s="242">
        <f>SUMPRODUCT(PRODUCE!$B225:$DY225,PRODUCE!$EB$57:$IY$57)</f>
        <v>0</v>
      </c>
      <c r="ZF222" s="56"/>
      <c r="ZG222" s="242">
        <f t="shared" si="1721"/>
        <v>0</v>
      </c>
      <c r="ZH222" s="242">
        <f t="shared" si="1722"/>
        <v>0</v>
      </c>
      <c r="ZI222" s="56"/>
      <c r="ZL222" s="55">
        <f t="shared" si="1723"/>
        <v>46208</v>
      </c>
      <c r="ZM222" s="56"/>
      <c r="ZN222" s="242">
        <f>SUMPRODUCT(PRODUCE!$B225:$DY225,PRODUCE!$EB$57:$IY$57)</f>
        <v>0</v>
      </c>
      <c r="ZO222" s="56"/>
      <c r="ZP222" s="242">
        <f t="shared" si="1724"/>
        <v>0</v>
      </c>
      <c r="ZQ222" s="242">
        <f t="shared" si="1725"/>
        <v>0</v>
      </c>
      <c r="ZR222" s="56"/>
      <c r="ZU222" s="55">
        <f t="shared" si="1726"/>
        <v>46208</v>
      </c>
      <c r="ZV222" s="56"/>
      <c r="ZW222" s="242">
        <f>SUMPRODUCT(PRODUCE!$B225:$DY225,PRODUCE!$EB$57:$IY$57)</f>
        <v>0</v>
      </c>
      <c r="ZX222" s="56"/>
      <c r="ZY222" s="242">
        <f t="shared" si="1727"/>
        <v>0</v>
      </c>
      <c r="ZZ222" s="242">
        <f t="shared" si="1728"/>
        <v>0</v>
      </c>
      <c r="AAA222" s="56"/>
      <c r="AAD222" s="55">
        <f t="shared" si="1729"/>
        <v>46208</v>
      </c>
      <c r="AAE222" s="56"/>
      <c r="AAF222" s="242">
        <f>SUMPRODUCT(PRODUCE!$B225:$DY225,PRODUCE!$EB$57:$IY$57)</f>
        <v>0</v>
      </c>
      <c r="AAG222" s="56"/>
      <c r="AAH222" s="242">
        <f t="shared" si="1730"/>
        <v>0</v>
      </c>
      <c r="AAI222" s="242">
        <f t="shared" si="1731"/>
        <v>0</v>
      </c>
      <c r="AAJ222" s="56"/>
      <c r="AAM222" s="55">
        <f t="shared" si="1732"/>
        <v>46208</v>
      </c>
      <c r="AAN222" s="56"/>
      <c r="AAO222" s="242">
        <f>SUMPRODUCT(PRODUCE!$B225:$DY225,PRODUCE!$EB$57:$IY$57)</f>
        <v>0</v>
      </c>
      <c r="AAP222" s="56"/>
      <c r="AAQ222" s="242">
        <f t="shared" si="1733"/>
        <v>0</v>
      </c>
      <c r="AAR222" s="242">
        <f t="shared" si="1734"/>
        <v>0</v>
      </c>
      <c r="AAS222" s="56"/>
      <c r="AAV222" s="55">
        <f t="shared" si="1735"/>
        <v>46208</v>
      </c>
      <c r="AAW222" s="56"/>
      <c r="AAX222" s="242">
        <f>SUMPRODUCT(PRODUCE!$B225:$DY225,PRODUCE!$EB$57:$IY$57)</f>
        <v>0</v>
      </c>
      <c r="AAY222" s="56"/>
      <c r="AAZ222" s="242">
        <f t="shared" si="1736"/>
        <v>0</v>
      </c>
      <c r="ABA222" s="242">
        <f t="shared" si="1737"/>
        <v>0</v>
      </c>
      <c r="ABB222" s="56"/>
      <c r="ABE222" s="55">
        <f t="shared" si="1738"/>
        <v>46208</v>
      </c>
      <c r="ABF222" s="56"/>
      <c r="ABG222" s="242">
        <f>SUMPRODUCT(PRODUCE!$B225:$DY225,PRODUCE!$EB$57:$IY$57)</f>
        <v>0</v>
      </c>
      <c r="ABH222" s="56"/>
      <c r="ABI222" s="242">
        <f t="shared" si="1739"/>
        <v>0</v>
      </c>
      <c r="ABJ222" s="242">
        <f t="shared" si="1740"/>
        <v>0</v>
      </c>
      <c r="ABK222" s="56"/>
    </row>
    <row r="223" spans="1:739" s="54" customFormat="1" ht="15" customHeight="1" outlineLevel="1">
      <c r="B223" s="478"/>
      <c r="C223" s="55">
        <v>46209</v>
      </c>
      <c r="D223" s="422"/>
      <c r="E223" s="423">
        <f>SUMPRODUCT(PRODUCE!$B226:$DY226,PRODUCE!$EB$7:$IY$7)</f>
        <v>16904.02</v>
      </c>
      <c r="F223" s="422">
        <v>16914.400000000001</v>
      </c>
      <c r="G223" s="423">
        <f t="shared" si="1496"/>
        <v>-10.380000000001019</v>
      </c>
      <c r="H223" s="423">
        <f t="shared" si="1497"/>
        <v>112874.80000000005</v>
      </c>
      <c r="I223" s="289"/>
      <c r="L223" s="55">
        <f t="shared" si="1498"/>
        <v>46209</v>
      </c>
      <c r="M223" s="422"/>
      <c r="N223" s="438">
        <f>SUMPRODUCT(PRODUCE!$B226:$DY226,PRODUCE!$EB$8:$IY$8)</f>
        <v>10294.299999999999</v>
      </c>
      <c r="O223" s="422">
        <v>10293.6</v>
      </c>
      <c r="P223" s="438">
        <f t="shared" si="1499"/>
        <v>0.69999999999890861</v>
      </c>
      <c r="Q223" s="438">
        <f t="shared" si="1500"/>
        <v>25906.600000000071</v>
      </c>
      <c r="R223" s="56"/>
      <c r="U223" s="55">
        <f t="shared" si="1501"/>
        <v>46209</v>
      </c>
      <c r="V223" s="422"/>
      <c r="W223" s="440">
        <f>SUMPRODUCT(PRODUCE!$B226:$DY226,PRODUCE!$EB$9:$IY$9)</f>
        <v>1200</v>
      </c>
      <c r="X223" s="422">
        <v>1200.0999999999999</v>
      </c>
      <c r="Y223" s="440">
        <f t="shared" si="1502"/>
        <v>-9.9999999999909051E-2</v>
      </c>
      <c r="Z223" s="440">
        <f t="shared" si="1503"/>
        <v>19891.399999999972</v>
      </c>
      <c r="AA223" s="56"/>
      <c r="AD223" s="55">
        <f t="shared" si="1504"/>
        <v>46209</v>
      </c>
      <c r="AE223" s="422"/>
      <c r="AF223" s="442">
        <f>SUMPRODUCT(PRODUCE!$B226:$DY226,PRODUCE!$EB$10:$IY$10)</f>
        <v>800</v>
      </c>
      <c r="AG223" s="422">
        <v>800.7</v>
      </c>
      <c r="AH223" s="442">
        <f t="shared" si="1505"/>
        <v>-0.70000000000004547</v>
      </c>
      <c r="AI223" s="442">
        <f t="shared" si="1506"/>
        <v>32572.000000000018</v>
      </c>
      <c r="AJ223" s="56"/>
      <c r="AM223" s="55">
        <f t="shared" si="1507"/>
        <v>46209</v>
      </c>
      <c r="AN223" s="422"/>
      <c r="AO223" s="444">
        <f>SUMPRODUCT(PRODUCE!$B226:$DY226,PRODUCE!$EB$11:$IY$11)</f>
        <v>0</v>
      </c>
      <c r="AP223" s="422"/>
      <c r="AQ223" s="444">
        <f t="shared" si="1508"/>
        <v>0</v>
      </c>
      <c r="AR223" s="444">
        <f t="shared" si="1509"/>
        <v>0</v>
      </c>
      <c r="AS223" s="56"/>
      <c r="AV223" s="55">
        <f t="shared" si="1510"/>
        <v>46209</v>
      </c>
      <c r="AW223" s="422"/>
      <c r="AX223" s="446">
        <f>SUMPRODUCT(PRODUCE!$B226:$DY226,PRODUCE!$EB$12:$IY$12)</f>
        <v>440</v>
      </c>
      <c r="AY223" s="422">
        <v>440.1</v>
      </c>
      <c r="AZ223" s="446">
        <f t="shared" si="1511"/>
        <v>-0.10000000000002274</v>
      </c>
      <c r="BA223" s="446">
        <f t="shared" si="1512"/>
        <v>13506.099999999997</v>
      </c>
      <c r="BB223" s="56"/>
      <c r="BE223" s="55">
        <f t="shared" si="1513"/>
        <v>46209</v>
      </c>
      <c r="BF223" s="422"/>
      <c r="BG223" s="448">
        <f>SUMPRODUCT(PRODUCE!$B226:$DY226,PRODUCE!$EB$13:$IY$13)</f>
        <v>90</v>
      </c>
      <c r="BH223" s="422">
        <v>92.3</v>
      </c>
      <c r="BI223" s="448">
        <f t="shared" si="1514"/>
        <v>-2.2999999999999972</v>
      </c>
      <c r="BJ223" s="448">
        <f t="shared" si="1515"/>
        <v>35358.099999999991</v>
      </c>
      <c r="BK223" s="56"/>
      <c r="BN223" s="55">
        <f t="shared" si="1516"/>
        <v>46209</v>
      </c>
      <c r="BO223" s="422">
        <v>380</v>
      </c>
      <c r="BP223" s="450">
        <f>SUMPRODUCT(PRODUCE!$B226:$DY226,PRODUCE!$EB$14:$IY$14)</f>
        <v>380</v>
      </c>
      <c r="BQ223" s="422">
        <v>380</v>
      </c>
      <c r="BR223" s="450">
        <f t="shared" si="1517"/>
        <v>0</v>
      </c>
      <c r="BS223" s="450">
        <f t="shared" si="1518"/>
        <v>0</v>
      </c>
      <c r="BT223" s="56"/>
      <c r="BW223" s="55">
        <f t="shared" si="1519"/>
        <v>46209</v>
      </c>
      <c r="BX223" s="422"/>
      <c r="BY223" s="523">
        <f>SUMPRODUCT(PRODUCE!$B226:$DY226,PRODUCE!$EB$15:$IY$15)</f>
        <v>162.75</v>
      </c>
      <c r="BZ223" s="422"/>
      <c r="CA223" s="523">
        <f t="shared" si="1520"/>
        <v>162.75</v>
      </c>
      <c r="CB223" s="523">
        <f t="shared" si="1521"/>
        <v>2379.7799999999988</v>
      </c>
      <c r="CC223" s="56"/>
      <c r="CF223" s="55">
        <f t="shared" si="1522"/>
        <v>46209</v>
      </c>
      <c r="CG223" s="422"/>
      <c r="CH223" s="524">
        <f>SUMPRODUCT(PRODUCE!$B226:$DY226,PRODUCE!$EB$16:$IY$16)</f>
        <v>50.879999999999995</v>
      </c>
      <c r="CI223" s="422">
        <v>124.7</v>
      </c>
      <c r="CJ223" s="524">
        <f t="shared" si="1523"/>
        <v>-73.820000000000007</v>
      </c>
      <c r="CK223" s="524">
        <f t="shared" si="1524"/>
        <v>-3573.6399999999994</v>
      </c>
      <c r="CL223" s="56"/>
      <c r="CO223" s="55">
        <f t="shared" si="1525"/>
        <v>46209</v>
      </c>
      <c r="CP223" s="422"/>
      <c r="CQ223" s="470">
        <f>SUMPRODUCT(PRODUCE!$B226:$DY226,PRODUCE!$EB$17:$IY$17)</f>
        <v>0</v>
      </c>
      <c r="CR223" s="422"/>
      <c r="CS223" s="470">
        <f t="shared" si="1526"/>
        <v>0</v>
      </c>
      <c r="CT223" s="470">
        <f t="shared" si="1527"/>
        <v>0</v>
      </c>
      <c r="CU223" s="56"/>
      <c r="CX223" s="55">
        <f t="shared" si="1528"/>
        <v>46209</v>
      </c>
      <c r="CY223" s="422"/>
      <c r="CZ223" s="525">
        <f>SUMPRODUCT(PRODUCE!$B226:$DY226,PRODUCE!$EB$18:$IY$18)</f>
        <v>200</v>
      </c>
      <c r="DA223" s="422">
        <v>200.1</v>
      </c>
      <c r="DB223" s="525">
        <f t="shared" si="1529"/>
        <v>-9.9999999999994316E-2</v>
      </c>
      <c r="DC223" s="525">
        <f t="shared" si="1530"/>
        <v>4929.9000000000069</v>
      </c>
      <c r="DD223" s="56"/>
      <c r="DG223" s="55">
        <f t="shared" si="1531"/>
        <v>46209</v>
      </c>
      <c r="DH223" s="422"/>
      <c r="DI223" s="526">
        <f>SUMPRODUCT(PRODUCE!$B226:$DY226,PRODUCE!$EB$19:$IY$19)</f>
        <v>300</v>
      </c>
      <c r="DJ223" s="422">
        <v>299.8</v>
      </c>
      <c r="DK223" s="526">
        <f t="shared" si="1532"/>
        <v>0.19999999999998863</v>
      </c>
      <c r="DL223" s="526">
        <f t="shared" si="1533"/>
        <v>34634.699999999983</v>
      </c>
      <c r="DM223" s="56"/>
      <c r="DP223" s="55">
        <f t="shared" si="1534"/>
        <v>46209</v>
      </c>
      <c r="DQ223" s="56"/>
      <c r="DR223" s="57">
        <f>SUMPRODUCT(PRODUCE!$B226:$DY226,PRODUCE!$EB$20:$IY$20)</f>
        <v>0</v>
      </c>
      <c r="DS223" s="56"/>
      <c r="DT223" s="57">
        <f t="shared" si="1535"/>
        <v>0</v>
      </c>
      <c r="DU223" s="57">
        <f t="shared" si="1536"/>
        <v>5800</v>
      </c>
      <c r="DV223" s="56"/>
      <c r="DY223" s="55">
        <f t="shared" si="1537"/>
        <v>46209</v>
      </c>
      <c r="DZ223" s="56"/>
      <c r="EA223" s="157">
        <f>SUMPRODUCT(PRODUCE!$B226:$DY226,PRODUCE!$EB$21:$IY$21)</f>
        <v>0</v>
      </c>
      <c r="EB223" s="56"/>
      <c r="EC223" s="157">
        <f t="shared" si="1538"/>
        <v>0</v>
      </c>
      <c r="ED223" s="157">
        <f t="shared" si="1539"/>
        <v>0</v>
      </c>
      <c r="EE223" s="56"/>
      <c r="EH223" s="55">
        <f t="shared" si="1540"/>
        <v>46209</v>
      </c>
      <c r="EI223" s="56">
        <v>117.75</v>
      </c>
      <c r="EJ223" s="162">
        <f>SUMPRODUCT(PRODUCE!$B226:$DY226,PRODUCE!$EB$22:$IY$22)</f>
        <v>0</v>
      </c>
      <c r="EK223" s="56">
        <v>117.75</v>
      </c>
      <c r="EL223" s="162">
        <f t="shared" si="1541"/>
        <v>-117.75</v>
      </c>
      <c r="EM223" s="162">
        <f t="shared" si="1542"/>
        <v>0</v>
      </c>
      <c r="EN223" s="56"/>
      <c r="EQ223" s="55">
        <f t="shared" si="1543"/>
        <v>46209</v>
      </c>
      <c r="ER223" s="56"/>
      <c r="ES223" s="172">
        <f>SUMPRODUCT(PRODUCE!$B226:$DY226,PRODUCE!$EB$23:$IY$23)</f>
        <v>0</v>
      </c>
      <c r="ET223" s="56"/>
      <c r="EU223" s="135">
        <f t="shared" si="1544"/>
        <v>0</v>
      </c>
      <c r="EV223" s="135">
        <f t="shared" si="1545"/>
        <v>0</v>
      </c>
      <c r="EW223" s="56"/>
      <c r="EZ223" s="55">
        <f t="shared" si="1546"/>
        <v>46209</v>
      </c>
      <c r="FA223" s="56"/>
      <c r="FB223" s="175">
        <f>SUMPRODUCT(PRODUCE!$B226:$DY226,PRODUCE!$EB$24:$IY$24)</f>
        <v>0</v>
      </c>
      <c r="FC223" s="56"/>
      <c r="FD223" s="175">
        <f t="shared" si="1547"/>
        <v>0</v>
      </c>
      <c r="FE223" s="175">
        <f t="shared" si="1548"/>
        <v>0</v>
      </c>
      <c r="FF223" s="56"/>
      <c r="FI223" s="55">
        <f t="shared" si="1549"/>
        <v>46209</v>
      </c>
      <c r="FJ223" s="56"/>
      <c r="FK223" s="183">
        <f>SUMPRODUCT(PRODUCE!$B226:$DY226,PRODUCE!$EB$25:$IY$25)</f>
        <v>0</v>
      </c>
      <c r="FL223" s="56"/>
      <c r="FM223" s="183">
        <f t="shared" si="1550"/>
        <v>0</v>
      </c>
      <c r="FN223" s="183">
        <f t="shared" si="1551"/>
        <v>0</v>
      </c>
      <c r="FO223" s="56"/>
      <c r="FR223" s="55">
        <f t="shared" si="1552"/>
        <v>46209</v>
      </c>
      <c r="FS223" s="56"/>
      <c r="FT223" s="186">
        <f>SUMPRODUCT(PRODUCE!$B226:$DY226,PRODUCE!$EB$26:$IY$26)</f>
        <v>320</v>
      </c>
      <c r="FU223" s="56"/>
      <c r="FV223" s="186">
        <f t="shared" si="1553"/>
        <v>320</v>
      </c>
      <c r="FW223" s="186">
        <f t="shared" si="1554"/>
        <v>1160</v>
      </c>
      <c r="FX223" s="56"/>
      <c r="GA223" s="55">
        <f t="shared" si="1555"/>
        <v>46209</v>
      </c>
      <c r="GB223" s="56"/>
      <c r="GC223" s="137">
        <f>SUMPRODUCT(PRODUCE!$B226:$DY226,PRODUCE!$EB$27:$IY$27)</f>
        <v>0</v>
      </c>
      <c r="GD223" s="56"/>
      <c r="GE223" s="137">
        <f t="shared" si="1556"/>
        <v>0</v>
      </c>
      <c r="GF223" s="137">
        <f t="shared" si="1557"/>
        <v>960</v>
      </c>
      <c r="GG223" s="56"/>
      <c r="GI223" s="23"/>
      <c r="GJ223" s="55">
        <f t="shared" si="1558"/>
        <v>46209</v>
      </c>
      <c r="GK223" s="56"/>
      <c r="GL223" s="199">
        <f>SUMPRODUCT(PRODUCE!$B226:$DY226,PRODUCE!$EB$28:$IY$28)</f>
        <v>0</v>
      </c>
      <c r="GM223" s="56"/>
      <c r="GN223" s="199">
        <f t="shared" si="1559"/>
        <v>0</v>
      </c>
      <c r="GO223" s="199">
        <f t="shared" si="1560"/>
        <v>1760</v>
      </c>
      <c r="GP223" s="56"/>
      <c r="GS223" s="55">
        <f t="shared" si="1561"/>
        <v>46209</v>
      </c>
      <c r="GT223" s="56"/>
      <c r="GU223" s="195">
        <f>SUMPRODUCT(PRODUCE!$B226:$DY226,PRODUCE!$EB$29:$IY$29)</f>
        <v>0</v>
      </c>
      <c r="GV223" s="56"/>
      <c r="GW223" s="195">
        <f t="shared" si="1562"/>
        <v>0</v>
      </c>
      <c r="GX223" s="195">
        <f t="shared" si="1563"/>
        <v>400</v>
      </c>
      <c r="GY223" s="56"/>
      <c r="HB223" s="55">
        <f t="shared" si="1564"/>
        <v>46209</v>
      </c>
      <c r="HC223" s="56"/>
      <c r="HD223" s="191">
        <f>SUMPRODUCT(PRODUCE!$B226:$DY226,PRODUCE!$EB$30:$IY$30)</f>
        <v>0</v>
      </c>
      <c r="HE223" s="56"/>
      <c r="HF223" s="191">
        <f t="shared" si="1565"/>
        <v>0</v>
      </c>
      <c r="HG223" s="191">
        <f t="shared" si="1566"/>
        <v>3600</v>
      </c>
      <c r="HH223" s="56"/>
      <c r="HK223" s="55">
        <f t="shared" si="1567"/>
        <v>46209</v>
      </c>
      <c r="HL223" s="56"/>
      <c r="HM223" s="63">
        <f>SUMPRODUCT(PRODUCE!$B226:$DY226,PRODUCE!$EB$31:$IY$31)</f>
        <v>0</v>
      </c>
      <c r="HN223" s="56"/>
      <c r="HO223" s="63">
        <f t="shared" si="1568"/>
        <v>0</v>
      </c>
      <c r="HP223" s="63">
        <f t="shared" si="1569"/>
        <v>0</v>
      </c>
      <c r="HQ223" s="56"/>
      <c r="HU223" s="55">
        <f t="shared" si="1570"/>
        <v>46209</v>
      </c>
      <c r="HV223" s="56"/>
      <c r="HW223" s="242">
        <f>SUMPRODUCT(PRODUCE!$B226:$DY226,PRODUCE!$EB$32:$IY$32)</f>
        <v>120</v>
      </c>
      <c r="HX223" s="56"/>
      <c r="HY223" s="242">
        <f t="shared" si="1571"/>
        <v>120</v>
      </c>
      <c r="HZ223" s="242">
        <f t="shared" si="1572"/>
        <v>6560</v>
      </c>
      <c r="IA223" s="56"/>
      <c r="ID223" s="55">
        <f t="shared" si="1573"/>
        <v>46209</v>
      </c>
      <c r="IE223" s="56"/>
      <c r="IF223" s="242">
        <f>SUMPRODUCT(PRODUCE!$B226:$DY226,PRODUCE!$EB$33:$IY$33)</f>
        <v>0</v>
      </c>
      <c r="IG223" s="56"/>
      <c r="IH223" s="242">
        <f t="shared" si="1574"/>
        <v>0</v>
      </c>
      <c r="II223" s="242">
        <f t="shared" si="1575"/>
        <v>720</v>
      </c>
      <c r="IJ223" s="56"/>
      <c r="IM223" s="55">
        <f t="shared" si="1576"/>
        <v>46209</v>
      </c>
      <c r="IN223" s="56"/>
      <c r="IO223" s="242">
        <f>SUMPRODUCT(PRODUCE!$B226:$DY226,PRODUCE!$EB$34:$IY$34)</f>
        <v>0</v>
      </c>
      <c r="IP223" s="56"/>
      <c r="IQ223" s="242">
        <f t="shared" si="1577"/>
        <v>0</v>
      </c>
      <c r="IR223" s="242">
        <f t="shared" si="1578"/>
        <v>6400</v>
      </c>
      <c r="IS223" s="56"/>
      <c r="IV223" s="55">
        <f t="shared" si="1579"/>
        <v>46209</v>
      </c>
      <c r="IW223" s="56"/>
      <c r="IX223" s="242">
        <f>SUMPRODUCT(PRODUCE!$B226:$DY226,PRODUCE!$EB$35:$IY$35)</f>
        <v>0</v>
      </c>
      <c r="IY223" s="56"/>
      <c r="IZ223" s="242">
        <f t="shared" si="1580"/>
        <v>0</v>
      </c>
      <c r="JA223" s="242">
        <f t="shared" si="1581"/>
        <v>4960</v>
      </c>
      <c r="JB223" s="56"/>
      <c r="JE223" s="55">
        <f t="shared" si="1582"/>
        <v>46209</v>
      </c>
      <c r="JF223" s="56"/>
      <c r="JG223" s="242">
        <f>SUMPRODUCT(PRODUCE!$B226:$DY226,PRODUCE!$EB$36:$IY$36)</f>
        <v>0</v>
      </c>
      <c r="JH223" s="56"/>
      <c r="JI223" s="242">
        <f t="shared" si="1583"/>
        <v>0</v>
      </c>
      <c r="JJ223" s="242">
        <f t="shared" si="1584"/>
        <v>0</v>
      </c>
      <c r="JK223" s="56"/>
      <c r="JN223" s="55">
        <f t="shared" si="1585"/>
        <v>46209</v>
      </c>
      <c r="JO223" s="56"/>
      <c r="JP223" s="242">
        <f>SUMPRODUCT(PRODUCE!$B226:$DY226,PRODUCE!$EB$37:$IY$37)</f>
        <v>0</v>
      </c>
      <c r="JQ223" s="56"/>
      <c r="JR223" s="242">
        <f t="shared" si="1586"/>
        <v>0</v>
      </c>
      <c r="JS223" s="242">
        <f t="shared" si="1587"/>
        <v>0</v>
      </c>
      <c r="JT223" s="56"/>
      <c r="JW223" s="55">
        <f t="shared" si="1588"/>
        <v>46209</v>
      </c>
      <c r="JX223" s="56"/>
      <c r="JY223" s="242">
        <f>SUMPRODUCT(PRODUCE!$B226:$DY226,PRODUCE!$EB$38:$IY$38)</f>
        <v>0</v>
      </c>
      <c r="JZ223" s="56"/>
      <c r="KA223" s="242">
        <f t="shared" si="1589"/>
        <v>0</v>
      </c>
      <c r="KB223" s="242">
        <f t="shared" si="1590"/>
        <v>2540</v>
      </c>
      <c r="KC223" s="56"/>
      <c r="KF223" s="55">
        <f t="shared" si="1591"/>
        <v>46209</v>
      </c>
      <c r="KG223" s="56"/>
      <c r="KH223" s="242">
        <f>SUMPRODUCT(PRODUCE!$B226:$DY226,PRODUCE!$EB$39:$IY$39)</f>
        <v>0</v>
      </c>
      <c r="KI223" s="56"/>
      <c r="KJ223" s="242">
        <f t="shared" si="1592"/>
        <v>0</v>
      </c>
      <c r="KK223" s="242">
        <f t="shared" si="1593"/>
        <v>2359.5</v>
      </c>
      <c r="KL223" s="56"/>
      <c r="KO223" s="55">
        <f t="shared" si="1594"/>
        <v>46209</v>
      </c>
      <c r="KP223" s="56"/>
      <c r="KQ223" s="242">
        <f>SUMPRODUCT(PRODUCE!$B226:$DY226,PRODUCE!$EB$40:$IY$40)</f>
        <v>0</v>
      </c>
      <c r="KR223" s="56"/>
      <c r="KS223" s="242">
        <f t="shared" si="1595"/>
        <v>0</v>
      </c>
      <c r="KT223" s="242">
        <f t="shared" si="1596"/>
        <v>1890</v>
      </c>
      <c r="KU223" s="56"/>
      <c r="KW223" s="23"/>
      <c r="KX223" s="55">
        <f t="shared" si="1597"/>
        <v>46209</v>
      </c>
      <c r="KY223" s="56"/>
      <c r="KZ223" s="242">
        <f>SUMPRODUCT(PRODUCE!$B226:$DY226,PRODUCE!$EB$41:$IY$41)</f>
        <v>0</v>
      </c>
      <c r="LA223" s="56"/>
      <c r="LB223" s="242">
        <f t="shared" si="1598"/>
        <v>0</v>
      </c>
      <c r="LC223" s="242">
        <f t="shared" si="1599"/>
        <v>3690</v>
      </c>
      <c r="LD223" s="56"/>
      <c r="LG223" s="55">
        <f t="shared" si="1600"/>
        <v>46209</v>
      </c>
      <c r="LH223" s="56"/>
      <c r="LI223" s="242">
        <f>SUMPRODUCT(PRODUCE!$B226:$DY226,PRODUCE!$EB$42:$IY$42)</f>
        <v>0</v>
      </c>
      <c r="LJ223" s="56"/>
      <c r="LK223" s="242">
        <f t="shared" si="1601"/>
        <v>0</v>
      </c>
      <c r="LL223" s="242">
        <f t="shared" si="1602"/>
        <v>4000</v>
      </c>
      <c r="LM223" s="56"/>
      <c r="LP223" s="55">
        <f t="shared" si="1603"/>
        <v>46209</v>
      </c>
      <c r="LQ223" s="56"/>
      <c r="LR223" s="242">
        <f>SUMPRODUCT(PRODUCE!$B226:$DY226,PRODUCE!$EB$43:$IY$43)</f>
        <v>0</v>
      </c>
      <c r="LS223" s="56"/>
      <c r="LT223" s="242">
        <f t="shared" si="1604"/>
        <v>0</v>
      </c>
      <c r="LU223" s="242">
        <f t="shared" si="1605"/>
        <v>0</v>
      </c>
      <c r="LV223" s="56"/>
      <c r="LY223" s="55">
        <f t="shared" si="1606"/>
        <v>46209</v>
      </c>
      <c r="LZ223" s="56"/>
      <c r="MA223" s="242">
        <f>SUMPRODUCT(PRODUCE!$B226:$DY226,PRODUCE!$EB$44:$IY$44)</f>
        <v>0</v>
      </c>
      <c r="MB223" s="56"/>
      <c r="MC223" s="242">
        <f t="shared" si="1607"/>
        <v>0</v>
      </c>
      <c r="MD223" s="242">
        <f t="shared" si="1608"/>
        <v>0</v>
      </c>
      <c r="ME223" s="56"/>
      <c r="MH223" s="55">
        <f t="shared" si="1609"/>
        <v>46209</v>
      </c>
      <c r="MI223" s="56"/>
      <c r="MJ223" s="242">
        <f>SUMPRODUCT(PRODUCE!$B226:$DY226,PRODUCE!$EB$45:$IY$45)</f>
        <v>0</v>
      </c>
      <c r="MK223" s="56"/>
      <c r="ML223" s="242">
        <f t="shared" si="1610"/>
        <v>0</v>
      </c>
      <c r="MM223" s="242">
        <f t="shared" si="1611"/>
        <v>0</v>
      </c>
      <c r="MN223" s="56"/>
      <c r="MQ223" s="55">
        <f t="shared" si="1612"/>
        <v>46209</v>
      </c>
      <c r="MR223" s="56"/>
      <c r="MS223" s="242">
        <f>SUMPRODUCT(PRODUCE!$B226:$DY226,PRODUCE!$EB$46:$IY$46)</f>
        <v>11</v>
      </c>
      <c r="MT223" s="56">
        <v>10</v>
      </c>
      <c r="MU223" s="242">
        <f t="shared" si="1613"/>
        <v>1</v>
      </c>
      <c r="MV223" s="242">
        <f t="shared" si="1614"/>
        <v>3112</v>
      </c>
      <c r="MW223" s="56"/>
      <c r="MZ223" s="55">
        <f t="shared" si="1615"/>
        <v>46209</v>
      </c>
      <c r="NA223" s="56">
        <v>120</v>
      </c>
      <c r="NB223" s="242">
        <f>SUMPRODUCT(PRODUCE!$B226:$DY226,PRODUCE!$EB$47:$IY$47)</f>
        <v>18</v>
      </c>
      <c r="NC223" s="56">
        <v>120</v>
      </c>
      <c r="ND223" s="242">
        <f t="shared" si="1616"/>
        <v>-102</v>
      </c>
      <c r="NE223" s="242">
        <f t="shared" si="1617"/>
        <v>0</v>
      </c>
      <c r="NF223" s="56"/>
      <c r="NI223" s="55">
        <f t="shared" si="1618"/>
        <v>46209</v>
      </c>
      <c r="NJ223" s="56"/>
      <c r="NK223" s="242">
        <f>SUMPRODUCT(PRODUCE!$B226:$DY226,PRODUCE!$EB$48:$IY$48)</f>
        <v>0</v>
      </c>
      <c r="NL223" s="56"/>
      <c r="NM223" s="242">
        <f t="shared" si="1619"/>
        <v>0</v>
      </c>
      <c r="NN223" s="242">
        <f t="shared" si="1620"/>
        <v>1127</v>
      </c>
      <c r="NO223" s="56"/>
      <c r="NR223" s="55">
        <f t="shared" si="1621"/>
        <v>46209</v>
      </c>
      <c r="NS223" s="56"/>
      <c r="NT223" s="242">
        <f>SUMPRODUCT(PRODUCE!$B226:$DY226,PRODUCE!$EB$49:$IY$49)</f>
        <v>0</v>
      </c>
      <c r="NU223" s="56"/>
      <c r="NV223" s="242">
        <f t="shared" si="1622"/>
        <v>0</v>
      </c>
      <c r="NW223" s="242">
        <f t="shared" si="1623"/>
        <v>3111.9999999999995</v>
      </c>
      <c r="NX223" s="56"/>
      <c r="OA223" s="55">
        <f t="shared" si="1624"/>
        <v>46209</v>
      </c>
      <c r="OB223" s="56"/>
      <c r="OC223" s="242">
        <f>SUMPRODUCT(PRODUCE!$B226:$DY226,PRODUCE!$EB$50:$IY$50)</f>
        <v>0</v>
      </c>
      <c r="OD223" s="56"/>
      <c r="OE223" s="242">
        <f t="shared" si="1625"/>
        <v>0</v>
      </c>
      <c r="OF223" s="242">
        <f t="shared" si="1626"/>
        <v>1680.5</v>
      </c>
      <c r="OG223" s="56"/>
      <c r="OJ223" s="55">
        <f t="shared" si="1627"/>
        <v>46209</v>
      </c>
      <c r="OK223" s="56">
        <v>28</v>
      </c>
      <c r="OL223" s="242">
        <f>SUMPRODUCT(PRODUCE!$B226:$DY226,PRODUCE!$EB$51:$IY$51)</f>
        <v>0</v>
      </c>
      <c r="OM223" s="56">
        <v>28</v>
      </c>
      <c r="ON223" s="242">
        <f t="shared" si="1628"/>
        <v>-28</v>
      </c>
      <c r="OO223" s="242">
        <f t="shared" si="1629"/>
        <v>0</v>
      </c>
      <c r="OP223" s="56"/>
      <c r="OS223" s="55">
        <f t="shared" si="1630"/>
        <v>46209</v>
      </c>
      <c r="OT223" s="56"/>
      <c r="OU223" s="242">
        <f>SUMPRODUCT(PRODUCE!$B226:$DY226,PRODUCE!$EB$52:$IY$52)</f>
        <v>0</v>
      </c>
      <c r="OV223" s="56"/>
      <c r="OW223" s="242">
        <f t="shared" si="1631"/>
        <v>0</v>
      </c>
      <c r="OX223" s="242">
        <f t="shared" si="1632"/>
        <v>1482</v>
      </c>
      <c r="OY223" s="56"/>
      <c r="PB223" s="55">
        <f t="shared" si="1633"/>
        <v>46209</v>
      </c>
      <c r="PC223" s="56"/>
      <c r="PD223" s="242">
        <f>SUMPRODUCT(PRODUCE!$B226:$DY226,PRODUCE!$EB$53:$IY$53)</f>
        <v>0</v>
      </c>
      <c r="PE223" s="56"/>
      <c r="PF223" s="242">
        <f t="shared" si="1634"/>
        <v>0</v>
      </c>
      <c r="PG223" s="242">
        <f t="shared" si="1635"/>
        <v>0</v>
      </c>
      <c r="PH223" s="56"/>
      <c r="PK223" s="55">
        <f t="shared" si="1636"/>
        <v>46209</v>
      </c>
      <c r="PL223" s="56"/>
      <c r="PM223" s="242">
        <f>SUMPRODUCT(PRODUCE!$B226:$DY226,PRODUCE!$EB$54:$IY$54)</f>
        <v>0</v>
      </c>
      <c r="PN223" s="56"/>
      <c r="PO223" s="242">
        <f t="shared" si="1637"/>
        <v>0</v>
      </c>
      <c r="PP223" s="242">
        <f t="shared" si="1638"/>
        <v>100</v>
      </c>
      <c r="PQ223" s="56"/>
      <c r="PT223" s="55">
        <f t="shared" si="1639"/>
        <v>46209</v>
      </c>
      <c r="PU223" s="56"/>
      <c r="PV223" s="242">
        <f>SUMPRODUCT(PRODUCE!$B226:$DY226,PRODUCE!$EB$55:$IY$55)</f>
        <v>0</v>
      </c>
      <c r="PW223" s="56"/>
      <c r="PX223" s="242">
        <f t="shared" si="1640"/>
        <v>0</v>
      </c>
      <c r="PY223" s="242">
        <f t="shared" si="1641"/>
        <v>13.960000000000036</v>
      </c>
      <c r="PZ223" s="56"/>
      <c r="QC223" s="55">
        <f t="shared" si="1642"/>
        <v>46209</v>
      </c>
      <c r="QD223" s="56"/>
      <c r="QE223" s="242">
        <f>SUMPRODUCT(PRODUCE!$B226:$DY226,PRODUCE!$EB$56:$IY$56)</f>
        <v>0</v>
      </c>
      <c r="QF223" s="56"/>
      <c r="QG223" s="242">
        <f t="shared" si="1643"/>
        <v>0</v>
      </c>
      <c r="QH223" s="242">
        <f t="shared" si="1644"/>
        <v>1736</v>
      </c>
      <c r="QI223" s="56"/>
      <c r="QL223" s="55">
        <f t="shared" si="1645"/>
        <v>46209</v>
      </c>
      <c r="QM223" s="56"/>
      <c r="QN223" s="242">
        <f>SUMPRODUCT(PRODUCE!$B226:$DY226,PRODUCE!$EB$57:$IY$57)</f>
        <v>0</v>
      </c>
      <c r="QO223" s="56"/>
      <c r="QP223" s="242">
        <f t="shared" si="1646"/>
        <v>0</v>
      </c>
      <c r="QQ223" s="242">
        <f t="shared" si="1647"/>
        <v>235</v>
      </c>
      <c r="QR223" s="56"/>
      <c r="QU223" s="55">
        <f t="shared" si="1648"/>
        <v>46209</v>
      </c>
      <c r="QV223" s="56"/>
      <c r="QW223" s="242">
        <f>SUMPRODUCT(PRODUCE!$B226:$DY226,PRODUCE!$EB$58:$IY$58)</f>
        <v>0</v>
      </c>
      <c r="QX223" s="56"/>
      <c r="QY223" s="242">
        <f t="shared" si="1649"/>
        <v>0</v>
      </c>
      <c r="QZ223" s="242">
        <f t="shared" si="1650"/>
        <v>207.6</v>
      </c>
      <c r="RA223" s="56"/>
      <c r="RD223" s="55">
        <f t="shared" si="1651"/>
        <v>46209</v>
      </c>
      <c r="RE223" s="56"/>
      <c r="RF223" s="242">
        <f>SUMPRODUCT(PRODUCE!$B226:$DY226,PRODUCE!$EB$59:$IY$59)</f>
        <v>0</v>
      </c>
      <c r="RG223" s="56"/>
      <c r="RH223" s="242">
        <f t="shared" si="1652"/>
        <v>0</v>
      </c>
      <c r="RI223" s="242">
        <f t="shared" si="1653"/>
        <v>147.04000000000002</v>
      </c>
      <c r="RJ223" s="56"/>
      <c r="RM223" s="55">
        <f t="shared" si="1654"/>
        <v>46209</v>
      </c>
      <c r="RN223" s="56"/>
      <c r="RO223" s="242">
        <f>SUMPRODUCT(PRODUCE!$B226:$DY226,PRODUCE!$EB$60:$IY$60)</f>
        <v>0</v>
      </c>
      <c r="RP223" s="56"/>
      <c r="RQ223" s="242">
        <f t="shared" si="1655"/>
        <v>0</v>
      </c>
      <c r="RR223" s="242">
        <f t="shared" si="1656"/>
        <v>46.8</v>
      </c>
      <c r="RS223" s="56"/>
      <c r="RV223" s="55">
        <f t="shared" si="1657"/>
        <v>46209</v>
      </c>
      <c r="RW223" s="56"/>
      <c r="RX223" s="242">
        <f>SUMPRODUCT(PRODUCE!$B226:$DY226,PRODUCE!$EB$61:$IY$61)</f>
        <v>0</v>
      </c>
      <c r="RY223" s="56"/>
      <c r="RZ223" s="242">
        <f t="shared" si="1658"/>
        <v>0</v>
      </c>
      <c r="SA223" s="242">
        <f t="shared" si="1659"/>
        <v>0</v>
      </c>
      <c r="SB223" s="56"/>
      <c r="SE223" s="55">
        <f t="shared" si="1660"/>
        <v>46209</v>
      </c>
      <c r="SF223" s="56"/>
      <c r="SG223" s="242">
        <f>SUMPRODUCT(PRODUCE!$B226:$DY226,PRODUCE!$EB$62:$IY$62)</f>
        <v>0</v>
      </c>
      <c r="SH223" s="56"/>
      <c r="SI223" s="242">
        <f t="shared" si="1661"/>
        <v>0</v>
      </c>
      <c r="SJ223" s="242">
        <f t="shared" si="1662"/>
        <v>24.200000000000003</v>
      </c>
      <c r="SK223" s="56"/>
      <c r="SN223" s="55">
        <f t="shared" si="1663"/>
        <v>46209</v>
      </c>
      <c r="SO223" s="56"/>
      <c r="SP223" s="242">
        <f>SUMPRODUCT(PRODUCE!$B226:$DY226,PRODUCE!$EB$63:$IY$63)</f>
        <v>0</v>
      </c>
      <c r="SQ223" s="56"/>
      <c r="SR223" s="242">
        <f t="shared" si="1664"/>
        <v>0</v>
      </c>
      <c r="SS223" s="242">
        <f t="shared" si="1665"/>
        <v>32</v>
      </c>
      <c r="ST223" s="56"/>
      <c r="SW223" s="55">
        <f t="shared" si="1666"/>
        <v>46209</v>
      </c>
      <c r="SX223" s="56"/>
      <c r="SY223" s="242">
        <f>SUMPRODUCT(PRODUCE!$B226:$DY226,PRODUCE!$EB$64:$IY$64)</f>
        <v>0</v>
      </c>
      <c r="SZ223" s="56"/>
      <c r="TA223" s="242">
        <f t="shared" si="1667"/>
        <v>0</v>
      </c>
      <c r="TB223" s="242">
        <f t="shared" si="1668"/>
        <v>0</v>
      </c>
      <c r="TC223" s="56"/>
      <c r="TF223" s="55">
        <f t="shared" si="1669"/>
        <v>46209</v>
      </c>
      <c r="TG223" s="56"/>
      <c r="TH223" s="242">
        <f>SUMPRODUCT(PRODUCE!$B226:$DY226,PRODUCE!$EB$57:$IY$57)</f>
        <v>0</v>
      </c>
      <c r="TI223" s="56"/>
      <c r="TJ223" s="242">
        <f t="shared" si="1670"/>
        <v>0</v>
      </c>
      <c r="TK223" s="242">
        <f t="shared" si="1671"/>
        <v>0</v>
      </c>
      <c r="TL223" s="56"/>
      <c r="TO223" s="55">
        <f t="shared" si="1672"/>
        <v>46209</v>
      </c>
      <c r="TP223" s="56"/>
      <c r="TQ223" s="242">
        <f>SUMPRODUCT(PRODUCE!$B226:$DY226,PRODUCE!$EB$57:$IY$57)</f>
        <v>0</v>
      </c>
      <c r="TR223" s="56"/>
      <c r="TS223" s="242">
        <f t="shared" si="1673"/>
        <v>0</v>
      </c>
      <c r="TT223" s="242">
        <f t="shared" si="1674"/>
        <v>22.400000000000006</v>
      </c>
      <c r="TU223" s="56"/>
      <c r="TX223" s="55">
        <f t="shared" si="1675"/>
        <v>46209</v>
      </c>
      <c r="TY223" s="56"/>
      <c r="TZ223" s="242">
        <f>SUMPRODUCT(PRODUCE!$B226:$DY226,PRODUCE!$EB$57:$IY$57)</f>
        <v>0</v>
      </c>
      <c r="UA223" s="56"/>
      <c r="UB223" s="242">
        <f t="shared" si="1676"/>
        <v>0</v>
      </c>
      <c r="UC223" s="242">
        <f t="shared" si="1677"/>
        <v>46.799999999999983</v>
      </c>
      <c r="UD223" s="56"/>
      <c r="UG223" s="55">
        <f t="shared" si="1678"/>
        <v>46209</v>
      </c>
      <c r="UH223" s="56"/>
      <c r="UI223" s="242">
        <f>SUMPRODUCT(PRODUCE!$B226:$DY226,PRODUCE!$EB$57:$IY$57)</f>
        <v>0</v>
      </c>
      <c r="UJ223" s="56"/>
      <c r="UK223" s="242">
        <f t="shared" si="1679"/>
        <v>0</v>
      </c>
      <c r="UL223" s="242">
        <f t="shared" si="1680"/>
        <v>204</v>
      </c>
      <c r="UM223" s="56"/>
      <c r="UP223" s="55">
        <f t="shared" si="1681"/>
        <v>46209</v>
      </c>
      <c r="UQ223" s="56"/>
      <c r="UR223" s="242">
        <f>SUMPRODUCT(PRODUCE!$B226:$DY226,PRODUCE!$EB$69:$IY$69)</f>
        <v>0</v>
      </c>
      <c r="US223" s="56"/>
      <c r="UT223" s="242">
        <f t="shared" si="1682"/>
        <v>0</v>
      </c>
      <c r="UU223" s="242">
        <f t="shared" si="1683"/>
        <v>251.25</v>
      </c>
      <c r="UV223" s="56"/>
      <c r="UY223" s="55">
        <f t="shared" si="1684"/>
        <v>46209</v>
      </c>
      <c r="UZ223" s="56"/>
      <c r="VA223" s="242">
        <f>SUMPRODUCT(PRODUCE!$B226:$DY226,PRODUCE!$EB$70:$IY$70)</f>
        <v>0</v>
      </c>
      <c r="VB223" s="56"/>
      <c r="VC223" s="242">
        <f t="shared" si="1685"/>
        <v>0</v>
      </c>
      <c r="VD223" s="242">
        <f t="shared" si="1686"/>
        <v>41.600000000000023</v>
      </c>
      <c r="VE223" s="56"/>
      <c r="VH223" s="55">
        <f t="shared" si="1687"/>
        <v>46209</v>
      </c>
      <c r="VI223" s="56"/>
      <c r="VJ223" s="242">
        <f>SUMPRODUCT(PRODUCE!$B226:$DY226,PRODUCE!$EB$71:$IY$71)</f>
        <v>0</v>
      </c>
      <c r="VK223" s="56"/>
      <c r="VL223" s="242">
        <f t="shared" si="1688"/>
        <v>0</v>
      </c>
      <c r="VM223" s="242">
        <f t="shared" si="1689"/>
        <v>210</v>
      </c>
      <c r="VN223" s="56"/>
      <c r="VQ223" s="55">
        <f t="shared" si="1690"/>
        <v>46209</v>
      </c>
      <c r="VR223" s="56"/>
      <c r="VS223" s="242">
        <f>SUMPRODUCT(PRODUCE!$B226:$DY226,PRODUCE!$EB$57:$IY$57)</f>
        <v>0</v>
      </c>
      <c r="VT223" s="56"/>
      <c r="VU223" s="242">
        <f t="shared" si="1691"/>
        <v>0</v>
      </c>
      <c r="VV223" s="242">
        <f t="shared" si="1692"/>
        <v>0</v>
      </c>
      <c r="VW223" s="56"/>
      <c r="VZ223" s="55">
        <f t="shared" si="1693"/>
        <v>46209</v>
      </c>
      <c r="WA223" s="56"/>
      <c r="WB223" s="242">
        <f>SUMPRODUCT(PRODUCE!$B226:$DY226,PRODUCE!$EB$57:$IY$57)</f>
        <v>0</v>
      </c>
      <c r="WC223" s="56"/>
      <c r="WD223" s="242">
        <f t="shared" si="1694"/>
        <v>0</v>
      </c>
      <c r="WE223" s="242">
        <f t="shared" si="1695"/>
        <v>0</v>
      </c>
      <c r="WF223" s="56"/>
      <c r="WI223" s="55">
        <f t="shared" si="1696"/>
        <v>46209</v>
      </c>
      <c r="WJ223" s="56"/>
      <c r="WK223" s="242">
        <f>SUMPRODUCT(PRODUCE!$B226:$DY226,PRODUCE!$EB$57:$IY$57)</f>
        <v>0</v>
      </c>
      <c r="WL223" s="56"/>
      <c r="WM223" s="242">
        <f t="shared" si="1697"/>
        <v>0</v>
      </c>
      <c r="WN223" s="242">
        <f t="shared" si="1698"/>
        <v>1057</v>
      </c>
      <c r="WO223" s="56"/>
      <c r="WR223" s="55">
        <f t="shared" si="1699"/>
        <v>46209</v>
      </c>
      <c r="WS223" s="56"/>
      <c r="WT223" s="242">
        <f>SUMPRODUCT(PRODUCE!$B226:$DY226,PRODUCE!$EB$57:$IY$57)</f>
        <v>0</v>
      </c>
      <c r="WU223" s="56"/>
      <c r="WV223" s="242">
        <f t="shared" si="1700"/>
        <v>0</v>
      </c>
      <c r="WW223" s="242">
        <f t="shared" si="1701"/>
        <v>0</v>
      </c>
      <c r="WX223" s="56"/>
      <c r="XA223" s="55">
        <f t="shared" si="1702"/>
        <v>46209</v>
      </c>
      <c r="XB223" s="56"/>
      <c r="XC223" s="242">
        <f>SUMPRODUCT(PRODUCE!$B226:$DY226,PRODUCE!$EB$57:$IY$57)</f>
        <v>0</v>
      </c>
      <c r="XD223" s="56"/>
      <c r="XE223" s="242">
        <f t="shared" si="1703"/>
        <v>0</v>
      </c>
      <c r="XF223" s="242">
        <f t="shared" si="1704"/>
        <v>7507</v>
      </c>
      <c r="XG223" s="56"/>
      <c r="XJ223" s="55">
        <f t="shared" si="1705"/>
        <v>46209</v>
      </c>
      <c r="XK223" s="56"/>
      <c r="XL223" s="242">
        <f>SUMPRODUCT(PRODUCE!$B226:$DY226,PRODUCE!$EB$57:$IY$57)</f>
        <v>0</v>
      </c>
      <c r="XM223" s="56"/>
      <c r="XN223" s="242">
        <f t="shared" si="1706"/>
        <v>0</v>
      </c>
      <c r="XO223" s="242">
        <f t="shared" si="1707"/>
        <v>4252</v>
      </c>
      <c r="XP223" s="56"/>
      <c r="XS223" s="55">
        <f t="shared" si="1708"/>
        <v>46209</v>
      </c>
      <c r="XT223" s="56"/>
      <c r="XU223" s="242">
        <f>SUMPRODUCT(PRODUCE!$B226:$DY226,PRODUCE!$EB$57:$IY$57)</f>
        <v>0</v>
      </c>
      <c r="XV223" s="56"/>
      <c r="XW223" s="242">
        <f t="shared" si="1709"/>
        <v>0</v>
      </c>
      <c r="XX223" s="242">
        <f t="shared" si="1710"/>
        <v>2179</v>
      </c>
      <c r="XY223" s="56"/>
      <c r="YB223" s="55">
        <f t="shared" si="1711"/>
        <v>46209</v>
      </c>
      <c r="YC223" s="56"/>
      <c r="YD223" s="242">
        <f>SUMPRODUCT(PRODUCE!$B226:$DY226,PRODUCE!$EB$57:$IY$57)</f>
        <v>0</v>
      </c>
      <c r="YE223" s="56"/>
      <c r="YF223" s="242">
        <f t="shared" si="1712"/>
        <v>0</v>
      </c>
      <c r="YG223" s="242">
        <f t="shared" si="1713"/>
        <v>4019</v>
      </c>
      <c r="YH223" s="56"/>
      <c r="YK223" s="55">
        <f t="shared" si="1714"/>
        <v>46209</v>
      </c>
      <c r="YL223" s="56"/>
      <c r="YM223" s="242">
        <f>SUMPRODUCT(PRODUCE!$B226:$DY226,PRODUCE!$EB$57:$IY$57)</f>
        <v>0</v>
      </c>
      <c r="YN223" s="56"/>
      <c r="YO223" s="242">
        <f t="shared" si="1715"/>
        <v>0</v>
      </c>
      <c r="YP223" s="242">
        <f t="shared" si="1716"/>
        <v>0</v>
      </c>
      <c r="YQ223" s="56"/>
      <c r="YT223" s="55">
        <f t="shared" si="1717"/>
        <v>46209</v>
      </c>
      <c r="YU223" s="56"/>
      <c r="YV223" s="242">
        <f>SUMPRODUCT(PRODUCE!$B226:$DY226,PRODUCE!$EB$57:$IY$57)</f>
        <v>0</v>
      </c>
      <c r="YW223" s="56"/>
      <c r="YX223" s="242">
        <f t="shared" si="1718"/>
        <v>0</v>
      </c>
      <c r="YY223" s="242">
        <f t="shared" si="1719"/>
        <v>0</v>
      </c>
      <c r="YZ223" s="56"/>
      <c r="ZC223" s="55">
        <f t="shared" si="1720"/>
        <v>46209</v>
      </c>
      <c r="ZD223" s="56"/>
      <c r="ZE223" s="242">
        <f>SUMPRODUCT(PRODUCE!$B226:$DY226,PRODUCE!$EB$57:$IY$57)</f>
        <v>0</v>
      </c>
      <c r="ZF223" s="56"/>
      <c r="ZG223" s="242">
        <f t="shared" si="1721"/>
        <v>0</v>
      </c>
      <c r="ZH223" s="242">
        <f t="shared" si="1722"/>
        <v>0</v>
      </c>
      <c r="ZI223" s="56"/>
      <c r="ZL223" s="55">
        <f t="shared" si="1723"/>
        <v>46209</v>
      </c>
      <c r="ZM223" s="56"/>
      <c r="ZN223" s="242">
        <f>SUMPRODUCT(PRODUCE!$B226:$DY226,PRODUCE!$EB$57:$IY$57)</f>
        <v>0</v>
      </c>
      <c r="ZO223" s="56"/>
      <c r="ZP223" s="242">
        <f t="shared" si="1724"/>
        <v>0</v>
      </c>
      <c r="ZQ223" s="242">
        <f t="shared" si="1725"/>
        <v>0</v>
      </c>
      <c r="ZR223" s="56"/>
      <c r="ZU223" s="55">
        <f t="shared" si="1726"/>
        <v>46209</v>
      </c>
      <c r="ZV223" s="56"/>
      <c r="ZW223" s="242">
        <f>SUMPRODUCT(PRODUCE!$B226:$DY226,PRODUCE!$EB$57:$IY$57)</f>
        <v>0</v>
      </c>
      <c r="ZX223" s="56"/>
      <c r="ZY223" s="242">
        <f t="shared" si="1727"/>
        <v>0</v>
      </c>
      <c r="ZZ223" s="242">
        <f t="shared" si="1728"/>
        <v>0</v>
      </c>
      <c r="AAA223" s="56"/>
      <c r="AAD223" s="55">
        <f t="shared" si="1729"/>
        <v>46209</v>
      </c>
      <c r="AAE223" s="56"/>
      <c r="AAF223" s="242">
        <f>SUMPRODUCT(PRODUCE!$B226:$DY226,PRODUCE!$EB$57:$IY$57)</f>
        <v>0</v>
      </c>
      <c r="AAG223" s="56"/>
      <c r="AAH223" s="242">
        <f t="shared" si="1730"/>
        <v>0</v>
      </c>
      <c r="AAI223" s="242">
        <f t="shared" si="1731"/>
        <v>0</v>
      </c>
      <c r="AAJ223" s="56"/>
      <c r="AAM223" s="55">
        <f t="shared" si="1732"/>
        <v>46209</v>
      </c>
      <c r="AAN223" s="56"/>
      <c r="AAO223" s="242">
        <f>SUMPRODUCT(PRODUCE!$B226:$DY226,PRODUCE!$EB$57:$IY$57)</f>
        <v>0</v>
      </c>
      <c r="AAP223" s="56"/>
      <c r="AAQ223" s="242">
        <f t="shared" si="1733"/>
        <v>0</v>
      </c>
      <c r="AAR223" s="242">
        <f t="shared" si="1734"/>
        <v>0</v>
      </c>
      <c r="AAS223" s="56"/>
      <c r="AAV223" s="55">
        <f t="shared" si="1735"/>
        <v>46209</v>
      </c>
      <c r="AAW223" s="56"/>
      <c r="AAX223" s="242">
        <f>SUMPRODUCT(PRODUCE!$B226:$DY226,PRODUCE!$EB$57:$IY$57)</f>
        <v>0</v>
      </c>
      <c r="AAY223" s="56"/>
      <c r="AAZ223" s="242">
        <f t="shared" si="1736"/>
        <v>0</v>
      </c>
      <c r="ABA223" s="242">
        <f t="shared" si="1737"/>
        <v>0</v>
      </c>
      <c r="ABB223" s="56"/>
      <c r="ABE223" s="55">
        <f t="shared" si="1738"/>
        <v>46209</v>
      </c>
      <c r="ABF223" s="56"/>
      <c r="ABG223" s="242">
        <f>SUMPRODUCT(PRODUCE!$B226:$DY226,PRODUCE!$EB$57:$IY$57)</f>
        <v>0</v>
      </c>
      <c r="ABH223" s="56"/>
      <c r="ABI223" s="242">
        <f t="shared" si="1739"/>
        <v>0</v>
      </c>
      <c r="ABJ223" s="242">
        <f t="shared" si="1740"/>
        <v>0</v>
      </c>
      <c r="ABK223" s="56"/>
    </row>
    <row r="224" spans="1:739" s="54" customFormat="1" ht="15" customHeight="1" outlineLevel="1">
      <c r="B224" s="478"/>
      <c r="C224" s="55">
        <v>46210</v>
      </c>
      <c r="D224" s="422">
        <f>11000+10</f>
        <v>11010</v>
      </c>
      <c r="E224" s="423">
        <f>SUMPRODUCT(PRODUCE!$B227:$DY227,PRODUCE!$EB$7:$IY$7)</f>
        <v>12270</v>
      </c>
      <c r="F224" s="422">
        <v>24424.6</v>
      </c>
      <c r="G224" s="423">
        <f t="shared" si="1496"/>
        <v>-12154.599999999999</v>
      </c>
      <c r="H224" s="423">
        <f t="shared" si="1497"/>
        <v>99460.200000000041</v>
      </c>
      <c r="I224" s="289"/>
      <c r="L224" s="55">
        <f t="shared" si="1498"/>
        <v>46210</v>
      </c>
      <c r="M224" s="422"/>
      <c r="N224" s="438">
        <f>SUMPRODUCT(PRODUCE!$B227:$DY227,PRODUCE!$EB$8:$IY$8)</f>
        <v>8065.68</v>
      </c>
      <c r="O224" s="422">
        <v>12376.6</v>
      </c>
      <c r="P224" s="438">
        <f t="shared" si="1499"/>
        <v>-4310.92</v>
      </c>
      <c r="Q224" s="438">
        <f t="shared" si="1500"/>
        <v>13530.000000000071</v>
      </c>
      <c r="R224" s="56"/>
      <c r="U224" s="55">
        <f t="shared" si="1501"/>
        <v>46210</v>
      </c>
      <c r="V224" s="422"/>
      <c r="W224" s="440">
        <f>SUMPRODUCT(PRODUCE!$B227:$DY227,PRODUCE!$EB$9:$IY$9)</f>
        <v>1200</v>
      </c>
      <c r="X224" s="422">
        <v>2601.3000000000002</v>
      </c>
      <c r="Y224" s="440">
        <f t="shared" si="1502"/>
        <v>-1401.3000000000002</v>
      </c>
      <c r="Z224" s="440">
        <f t="shared" si="1503"/>
        <v>17290.099999999973</v>
      </c>
      <c r="AA224" s="56"/>
      <c r="AD224" s="55">
        <f t="shared" si="1504"/>
        <v>46210</v>
      </c>
      <c r="AE224" s="422"/>
      <c r="AF224" s="442">
        <f>SUMPRODUCT(PRODUCE!$B227:$DY227,PRODUCE!$EB$10:$IY$10)</f>
        <v>0</v>
      </c>
      <c r="AG224" s="422"/>
      <c r="AH224" s="442">
        <f t="shared" si="1505"/>
        <v>0</v>
      </c>
      <c r="AI224" s="442">
        <f t="shared" si="1506"/>
        <v>32572.000000000018</v>
      </c>
      <c r="AJ224" s="56"/>
      <c r="AM224" s="55">
        <f t="shared" si="1507"/>
        <v>46210</v>
      </c>
      <c r="AN224" s="422"/>
      <c r="AO224" s="444">
        <f>SUMPRODUCT(PRODUCE!$B227:$DY227,PRODUCE!$EB$11:$IY$11)</f>
        <v>0</v>
      </c>
      <c r="AP224" s="422"/>
      <c r="AQ224" s="444">
        <f t="shared" si="1508"/>
        <v>0</v>
      </c>
      <c r="AR224" s="444">
        <f t="shared" si="1509"/>
        <v>0</v>
      </c>
      <c r="AS224" s="56"/>
      <c r="AV224" s="55">
        <f t="shared" si="1510"/>
        <v>46210</v>
      </c>
      <c r="AW224" s="422"/>
      <c r="AX224" s="446">
        <f>SUMPRODUCT(PRODUCE!$B227:$DY227,PRODUCE!$EB$12:$IY$12)</f>
        <v>0</v>
      </c>
      <c r="AY224" s="422"/>
      <c r="AZ224" s="446">
        <f t="shared" si="1511"/>
        <v>0</v>
      </c>
      <c r="BA224" s="446">
        <f t="shared" si="1512"/>
        <v>13506.099999999997</v>
      </c>
      <c r="BB224" s="56"/>
      <c r="BE224" s="55">
        <f t="shared" si="1513"/>
        <v>46210</v>
      </c>
      <c r="BF224" s="422"/>
      <c r="BG224" s="448">
        <f>SUMPRODUCT(PRODUCE!$B227:$DY227,PRODUCE!$EB$13:$IY$13)</f>
        <v>0</v>
      </c>
      <c r="BH224" s="422">
        <v>199.9</v>
      </c>
      <c r="BI224" s="448">
        <f t="shared" si="1514"/>
        <v>-199.9</v>
      </c>
      <c r="BJ224" s="448">
        <f t="shared" si="1515"/>
        <v>35158.19999999999</v>
      </c>
      <c r="BK224" s="56"/>
      <c r="BN224" s="55">
        <f t="shared" si="1516"/>
        <v>46210</v>
      </c>
      <c r="BO224" s="422">
        <v>200</v>
      </c>
      <c r="BP224" s="450">
        <f>SUMPRODUCT(PRODUCE!$B227:$DY227,PRODUCE!$EB$14:$IY$14)</f>
        <v>0</v>
      </c>
      <c r="BQ224" s="422">
        <v>200</v>
      </c>
      <c r="BR224" s="450">
        <f t="shared" si="1517"/>
        <v>-200</v>
      </c>
      <c r="BS224" s="450">
        <f t="shared" si="1518"/>
        <v>0</v>
      </c>
      <c r="BT224" s="56"/>
      <c r="BW224" s="55">
        <f t="shared" si="1519"/>
        <v>46210</v>
      </c>
      <c r="BX224" s="422"/>
      <c r="BY224" s="523">
        <f>SUMPRODUCT(PRODUCE!$B227:$DY227,PRODUCE!$EB$15:$IY$15)</f>
        <v>282.60000000000002</v>
      </c>
      <c r="BZ224" s="422"/>
      <c r="CA224" s="523">
        <f t="shared" si="1520"/>
        <v>282.60000000000002</v>
      </c>
      <c r="CB224" s="523">
        <f t="shared" si="1521"/>
        <v>2379.7799999999988</v>
      </c>
      <c r="CC224" s="56"/>
      <c r="CF224" s="55">
        <f t="shared" si="1522"/>
        <v>46210</v>
      </c>
      <c r="CG224" s="422"/>
      <c r="CH224" s="524">
        <f>SUMPRODUCT(PRODUCE!$B227:$DY227,PRODUCE!$EB$16:$IY$16)</f>
        <v>0</v>
      </c>
      <c r="CI224" s="422">
        <f>257.56+174.58</f>
        <v>432.14</v>
      </c>
      <c r="CJ224" s="524">
        <f t="shared" si="1523"/>
        <v>-432.14</v>
      </c>
      <c r="CK224" s="524">
        <f t="shared" si="1524"/>
        <v>-4005.7799999999993</v>
      </c>
      <c r="CL224" s="56"/>
      <c r="CO224" s="55">
        <f t="shared" si="1525"/>
        <v>46210</v>
      </c>
      <c r="CP224" s="422"/>
      <c r="CQ224" s="470">
        <f>SUMPRODUCT(PRODUCE!$B227:$DY227,PRODUCE!$EB$17:$IY$17)</f>
        <v>0</v>
      </c>
      <c r="CR224" s="422"/>
      <c r="CS224" s="470">
        <f t="shared" si="1526"/>
        <v>0</v>
      </c>
      <c r="CT224" s="470">
        <f t="shared" si="1527"/>
        <v>0</v>
      </c>
      <c r="CU224" s="56"/>
      <c r="CX224" s="55">
        <f t="shared" si="1528"/>
        <v>46210</v>
      </c>
      <c r="CY224" s="422"/>
      <c r="CZ224" s="525">
        <f>SUMPRODUCT(PRODUCE!$B227:$DY227,PRODUCE!$EB$18:$IY$18)</f>
        <v>480</v>
      </c>
      <c r="DA224" s="422">
        <v>880.7</v>
      </c>
      <c r="DB224" s="525">
        <f t="shared" si="1529"/>
        <v>-400.70000000000005</v>
      </c>
      <c r="DC224" s="525">
        <f t="shared" si="1530"/>
        <v>4049.2000000000071</v>
      </c>
      <c r="DD224" s="56"/>
      <c r="DG224" s="55">
        <f t="shared" si="1531"/>
        <v>46210</v>
      </c>
      <c r="DH224" s="422"/>
      <c r="DI224" s="526">
        <f>SUMPRODUCT(PRODUCE!$B227:$DY227,PRODUCE!$EB$19:$IY$19)</f>
        <v>0</v>
      </c>
      <c r="DJ224" s="422"/>
      <c r="DK224" s="526">
        <f t="shared" si="1532"/>
        <v>0</v>
      </c>
      <c r="DL224" s="526">
        <f t="shared" si="1533"/>
        <v>34634.699999999983</v>
      </c>
      <c r="DM224" s="56"/>
      <c r="DP224" s="55">
        <f t="shared" si="1534"/>
        <v>46210</v>
      </c>
      <c r="DQ224" s="56"/>
      <c r="DR224" s="57">
        <f>SUMPRODUCT(PRODUCE!$B227:$DY227,PRODUCE!$EB$20:$IY$20)</f>
        <v>0</v>
      </c>
      <c r="DS224" s="56"/>
      <c r="DT224" s="57">
        <f t="shared" si="1535"/>
        <v>0</v>
      </c>
      <c r="DU224" s="57">
        <f t="shared" si="1536"/>
        <v>5800</v>
      </c>
      <c r="DV224" s="56"/>
      <c r="DY224" s="55">
        <f t="shared" si="1537"/>
        <v>46210</v>
      </c>
      <c r="DZ224" s="56"/>
      <c r="EA224" s="157">
        <f>SUMPRODUCT(PRODUCE!$B227:$DY227,PRODUCE!$EB$21:$IY$21)</f>
        <v>0</v>
      </c>
      <c r="EB224" s="56"/>
      <c r="EC224" s="157">
        <f t="shared" si="1538"/>
        <v>0</v>
      </c>
      <c r="ED224" s="157">
        <f t="shared" si="1539"/>
        <v>0</v>
      </c>
      <c r="EE224" s="56"/>
      <c r="EH224" s="55">
        <f t="shared" si="1540"/>
        <v>46210</v>
      </c>
      <c r="EI224" s="56">
        <v>356.08</v>
      </c>
      <c r="EJ224" s="162">
        <f>SUMPRODUCT(PRODUCE!$B227:$DY227,PRODUCE!$EB$22:$IY$22)</f>
        <v>0</v>
      </c>
      <c r="EK224" s="56">
        <f>191.23+164.85</f>
        <v>356.08</v>
      </c>
      <c r="EL224" s="162">
        <f t="shared" si="1541"/>
        <v>-356.08</v>
      </c>
      <c r="EM224" s="162">
        <f t="shared" si="1542"/>
        <v>0</v>
      </c>
      <c r="EN224" s="56"/>
      <c r="EQ224" s="55">
        <f t="shared" si="1543"/>
        <v>46210</v>
      </c>
      <c r="ER224" s="56"/>
      <c r="ES224" s="172">
        <f>SUMPRODUCT(PRODUCE!$B227:$DY227,PRODUCE!$EB$23:$IY$23)</f>
        <v>0</v>
      </c>
      <c r="ET224" s="56"/>
      <c r="EU224" s="135">
        <f t="shared" si="1544"/>
        <v>0</v>
      </c>
      <c r="EV224" s="135">
        <f t="shared" si="1545"/>
        <v>0</v>
      </c>
      <c r="EW224" s="56"/>
      <c r="EZ224" s="55">
        <f t="shared" si="1546"/>
        <v>46210</v>
      </c>
      <c r="FA224" s="56"/>
      <c r="FB224" s="175">
        <f>SUMPRODUCT(PRODUCE!$B227:$DY227,PRODUCE!$EB$24:$IY$24)</f>
        <v>0</v>
      </c>
      <c r="FC224" s="56"/>
      <c r="FD224" s="175">
        <f t="shared" si="1547"/>
        <v>0</v>
      </c>
      <c r="FE224" s="175">
        <f t="shared" si="1548"/>
        <v>0</v>
      </c>
      <c r="FF224" s="56"/>
      <c r="FI224" s="55">
        <f t="shared" si="1549"/>
        <v>46210</v>
      </c>
      <c r="FJ224" s="56"/>
      <c r="FK224" s="183">
        <f>SUMPRODUCT(PRODUCE!$B227:$DY227,PRODUCE!$EB$25:$IY$25)</f>
        <v>0</v>
      </c>
      <c r="FL224" s="56"/>
      <c r="FM224" s="183">
        <f t="shared" si="1550"/>
        <v>0</v>
      </c>
      <c r="FN224" s="183">
        <f t="shared" si="1551"/>
        <v>0</v>
      </c>
      <c r="FO224" s="56"/>
      <c r="FR224" s="55">
        <f t="shared" si="1552"/>
        <v>46210</v>
      </c>
      <c r="FS224" s="56"/>
      <c r="FT224" s="186">
        <f>SUMPRODUCT(PRODUCE!$B227:$DY227,PRODUCE!$EB$26:$IY$26)</f>
        <v>0</v>
      </c>
      <c r="FU224" s="56"/>
      <c r="FV224" s="186">
        <f t="shared" si="1553"/>
        <v>0</v>
      </c>
      <c r="FW224" s="186">
        <f t="shared" si="1554"/>
        <v>1160</v>
      </c>
      <c r="FX224" s="56"/>
      <c r="GA224" s="55">
        <f t="shared" si="1555"/>
        <v>46210</v>
      </c>
      <c r="GB224" s="56"/>
      <c r="GC224" s="137">
        <f>SUMPRODUCT(PRODUCE!$B227:$DY227,PRODUCE!$EB$27:$IY$27)</f>
        <v>0</v>
      </c>
      <c r="GD224" s="56"/>
      <c r="GE224" s="137">
        <f t="shared" si="1556"/>
        <v>0</v>
      </c>
      <c r="GF224" s="137">
        <f t="shared" si="1557"/>
        <v>960</v>
      </c>
      <c r="GG224" s="56"/>
      <c r="GI224" s="23"/>
      <c r="GJ224" s="55">
        <f t="shared" si="1558"/>
        <v>46210</v>
      </c>
      <c r="GK224" s="56"/>
      <c r="GL224" s="199">
        <f>SUMPRODUCT(PRODUCE!$B227:$DY227,PRODUCE!$EB$28:$IY$28)</f>
        <v>0</v>
      </c>
      <c r="GM224" s="56"/>
      <c r="GN224" s="199">
        <f t="shared" si="1559"/>
        <v>0</v>
      </c>
      <c r="GO224" s="199">
        <f t="shared" si="1560"/>
        <v>1760</v>
      </c>
      <c r="GP224" s="56"/>
      <c r="GS224" s="55">
        <f t="shared" si="1561"/>
        <v>46210</v>
      </c>
      <c r="GT224" s="56"/>
      <c r="GU224" s="195">
        <f>SUMPRODUCT(PRODUCE!$B227:$DY227,PRODUCE!$EB$29:$IY$29)</f>
        <v>0</v>
      </c>
      <c r="GV224" s="56"/>
      <c r="GW224" s="195">
        <f t="shared" si="1562"/>
        <v>0</v>
      </c>
      <c r="GX224" s="195">
        <f t="shared" si="1563"/>
        <v>400</v>
      </c>
      <c r="GY224" s="56"/>
      <c r="HB224" s="55">
        <f t="shared" si="1564"/>
        <v>46210</v>
      </c>
      <c r="HC224" s="56"/>
      <c r="HD224" s="191">
        <f>SUMPRODUCT(PRODUCE!$B227:$DY227,PRODUCE!$EB$30:$IY$30)</f>
        <v>0</v>
      </c>
      <c r="HE224" s="56"/>
      <c r="HF224" s="191">
        <f t="shared" si="1565"/>
        <v>0</v>
      </c>
      <c r="HG224" s="191">
        <f t="shared" si="1566"/>
        <v>3600</v>
      </c>
      <c r="HH224" s="56"/>
      <c r="HK224" s="55">
        <f t="shared" si="1567"/>
        <v>46210</v>
      </c>
      <c r="HL224" s="56"/>
      <c r="HM224" s="63">
        <f>SUMPRODUCT(PRODUCE!$B227:$DY227,PRODUCE!$EB$31:$IY$31)</f>
        <v>0</v>
      </c>
      <c r="HN224" s="56"/>
      <c r="HO224" s="63">
        <f t="shared" si="1568"/>
        <v>0</v>
      </c>
      <c r="HP224" s="63">
        <f t="shared" si="1569"/>
        <v>0</v>
      </c>
      <c r="HQ224" s="56"/>
      <c r="HU224" s="55">
        <f t="shared" si="1570"/>
        <v>46210</v>
      </c>
      <c r="HV224" s="56"/>
      <c r="HW224" s="242">
        <f>SUMPRODUCT(PRODUCE!$B227:$DY227,PRODUCE!$EB$32:$IY$32)</f>
        <v>0</v>
      </c>
      <c r="HX224" s="56"/>
      <c r="HY224" s="242">
        <f t="shared" si="1571"/>
        <v>0</v>
      </c>
      <c r="HZ224" s="242">
        <f t="shared" si="1572"/>
        <v>6560</v>
      </c>
      <c r="IA224" s="56"/>
      <c r="ID224" s="55">
        <f t="shared" si="1573"/>
        <v>46210</v>
      </c>
      <c r="IE224" s="56"/>
      <c r="IF224" s="242">
        <f>SUMPRODUCT(PRODUCE!$B227:$DY227,PRODUCE!$EB$33:$IY$33)</f>
        <v>0</v>
      </c>
      <c r="IG224" s="56"/>
      <c r="IH224" s="242">
        <f t="shared" si="1574"/>
        <v>0</v>
      </c>
      <c r="II224" s="242">
        <f t="shared" si="1575"/>
        <v>720</v>
      </c>
      <c r="IJ224" s="56"/>
      <c r="IM224" s="55">
        <f t="shared" si="1576"/>
        <v>46210</v>
      </c>
      <c r="IN224" s="56"/>
      <c r="IO224" s="242">
        <f>SUMPRODUCT(PRODUCE!$B227:$DY227,PRODUCE!$EB$34:$IY$34)</f>
        <v>0</v>
      </c>
      <c r="IP224" s="56"/>
      <c r="IQ224" s="242">
        <f t="shared" si="1577"/>
        <v>0</v>
      </c>
      <c r="IR224" s="242">
        <f t="shared" si="1578"/>
        <v>6400</v>
      </c>
      <c r="IS224" s="56"/>
      <c r="IV224" s="55">
        <f t="shared" si="1579"/>
        <v>46210</v>
      </c>
      <c r="IW224" s="56"/>
      <c r="IX224" s="242">
        <f>SUMPRODUCT(PRODUCE!$B227:$DY227,PRODUCE!$EB$35:$IY$35)</f>
        <v>0</v>
      </c>
      <c r="IY224" s="56"/>
      <c r="IZ224" s="242">
        <f t="shared" si="1580"/>
        <v>0</v>
      </c>
      <c r="JA224" s="242">
        <f t="shared" si="1581"/>
        <v>4960</v>
      </c>
      <c r="JB224" s="56"/>
      <c r="JE224" s="55">
        <f t="shared" si="1582"/>
        <v>46210</v>
      </c>
      <c r="JF224" s="56"/>
      <c r="JG224" s="242">
        <f>SUMPRODUCT(PRODUCE!$B227:$DY227,PRODUCE!$EB$36:$IY$36)</f>
        <v>0</v>
      </c>
      <c r="JH224" s="56"/>
      <c r="JI224" s="242">
        <f t="shared" si="1583"/>
        <v>0</v>
      </c>
      <c r="JJ224" s="242">
        <f t="shared" si="1584"/>
        <v>0</v>
      </c>
      <c r="JK224" s="56"/>
      <c r="JN224" s="55">
        <f t="shared" si="1585"/>
        <v>46210</v>
      </c>
      <c r="JO224" s="56"/>
      <c r="JP224" s="242">
        <f>SUMPRODUCT(PRODUCE!$B227:$DY227,PRODUCE!$EB$37:$IY$37)</f>
        <v>0</v>
      </c>
      <c r="JQ224" s="56"/>
      <c r="JR224" s="242">
        <f t="shared" si="1586"/>
        <v>0</v>
      </c>
      <c r="JS224" s="242">
        <f t="shared" si="1587"/>
        <v>0</v>
      </c>
      <c r="JT224" s="56"/>
      <c r="JW224" s="55">
        <f t="shared" si="1588"/>
        <v>46210</v>
      </c>
      <c r="JX224" s="56"/>
      <c r="JY224" s="242">
        <f>SUMPRODUCT(PRODUCE!$B227:$DY227,PRODUCE!$EB$38:$IY$38)</f>
        <v>0</v>
      </c>
      <c r="JZ224" s="56"/>
      <c r="KA224" s="242">
        <f t="shared" si="1589"/>
        <v>0</v>
      </c>
      <c r="KB224" s="242">
        <f t="shared" si="1590"/>
        <v>2540</v>
      </c>
      <c r="KC224" s="56"/>
      <c r="KF224" s="55">
        <f t="shared" si="1591"/>
        <v>46210</v>
      </c>
      <c r="KG224" s="56"/>
      <c r="KH224" s="242">
        <f>SUMPRODUCT(PRODUCE!$B227:$DY227,PRODUCE!$EB$39:$IY$39)</f>
        <v>0</v>
      </c>
      <c r="KI224" s="56"/>
      <c r="KJ224" s="242">
        <f t="shared" si="1592"/>
        <v>0</v>
      </c>
      <c r="KK224" s="242">
        <f t="shared" si="1593"/>
        <v>2359.5</v>
      </c>
      <c r="KL224" s="56"/>
      <c r="KO224" s="55">
        <f t="shared" si="1594"/>
        <v>46210</v>
      </c>
      <c r="KP224" s="56"/>
      <c r="KQ224" s="242">
        <f>SUMPRODUCT(PRODUCE!$B227:$DY227,PRODUCE!$EB$40:$IY$40)</f>
        <v>0</v>
      </c>
      <c r="KR224" s="56"/>
      <c r="KS224" s="242">
        <f t="shared" si="1595"/>
        <v>0</v>
      </c>
      <c r="KT224" s="242">
        <f t="shared" si="1596"/>
        <v>1890</v>
      </c>
      <c r="KU224" s="56"/>
      <c r="KW224" s="23"/>
      <c r="KX224" s="55">
        <f t="shared" si="1597"/>
        <v>46210</v>
      </c>
      <c r="KY224" s="56"/>
      <c r="KZ224" s="242">
        <f>SUMPRODUCT(PRODUCE!$B227:$DY227,PRODUCE!$EB$41:$IY$41)</f>
        <v>0</v>
      </c>
      <c r="LA224" s="56"/>
      <c r="LB224" s="242">
        <f t="shared" si="1598"/>
        <v>0</v>
      </c>
      <c r="LC224" s="242">
        <f t="shared" si="1599"/>
        <v>3690</v>
      </c>
      <c r="LD224" s="56"/>
      <c r="LG224" s="55">
        <f t="shared" si="1600"/>
        <v>46210</v>
      </c>
      <c r="LH224" s="56"/>
      <c r="LI224" s="242">
        <f>SUMPRODUCT(PRODUCE!$B227:$DY227,PRODUCE!$EB$42:$IY$42)</f>
        <v>0</v>
      </c>
      <c r="LJ224" s="56"/>
      <c r="LK224" s="242">
        <f t="shared" si="1601"/>
        <v>0</v>
      </c>
      <c r="LL224" s="242">
        <f t="shared" si="1602"/>
        <v>4000</v>
      </c>
      <c r="LM224" s="56"/>
      <c r="LP224" s="55">
        <f t="shared" si="1603"/>
        <v>46210</v>
      </c>
      <c r="LQ224" s="56"/>
      <c r="LR224" s="242">
        <f>SUMPRODUCT(PRODUCE!$B227:$DY227,PRODUCE!$EB$43:$IY$43)</f>
        <v>0</v>
      </c>
      <c r="LS224" s="56"/>
      <c r="LT224" s="242">
        <f t="shared" si="1604"/>
        <v>0</v>
      </c>
      <c r="LU224" s="242">
        <f t="shared" si="1605"/>
        <v>0</v>
      </c>
      <c r="LV224" s="56"/>
      <c r="LY224" s="55">
        <f t="shared" si="1606"/>
        <v>46210</v>
      </c>
      <c r="LZ224" s="56"/>
      <c r="MA224" s="242">
        <f>SUMPRODUCT(PRODUCE!$B227:$DY227,PRODUCE!$EB$44:$IY$44)</f>
        <v>0</v>
      </c>
      <c r="MB224" s="56"/>
      <c r="MC224" s="242">
        <f t="shared" si="1607"/>
        <v>0</v>
      </c>
      <c r="MD224" s="242">
        <f t="shared" si="1608"/>
        <v>0</v>
      </c>
      <c r="ME224" s="56"/>
      <c r="MH224" s="55">
        <f t="shared" si="1609"/>
        <v>46210</v>
      </c>
      <c r="MI224" s="56"/>
      <c r="MJ224" s="242">
        <f>SUMPRODUCT(PRODUCE!$B227:$DY227,PRODUCE!$EB$45:$IY$45)</f>
        <v>0</v>
      </c>
      <c r="MK224" s="56"/>
      <c r="ML224" s="242">
        <f t="shared" si="1610"/>
        <v>0</v>
      </c>
      <c r="MM224" s="242">
        <f t="shared" si="1611"/>
        <v>0</v>
      </c>
      <c r="MN224" s="56"/>
      <c r="MQ224" s="55">
        <f t="shared" si="1612"/>
        <v>46210</v>
      </c>
      <c r="MR224" s="56"/>
      <c r="MS224" s="242">
        <f>SUMPRODUCT(PRODUCE!$B227:$DY227,PRODUCE!$EB$46:$IY$46)</f>
        <v>0</v>
      </c>
      <c r="MT224" s="56">
        <f>26+14</f>
        <v>40</v>
      </c>
      <c r="MU224" s="242">
        <f t="shared" si="1613"/>
        <v>-40</v>
      </c>
      <c r="MV224" s="242">
        <f t="shared" si="1614"/>
        <v>3072</v>
      </c>
      <c r="MW224" s="56"/>
      <c r="MZ224" s="55">
        <f t="shared" si="1615"/>
        <v>46210</v>
      </c>
      <c r="NA224" s="56">
        <v>480</v>
      </c>
      <c r="NB224" s="242">
        <f>SUMPRODUCT(PRODUCE!$B227:$DY227,PRODUCE!$EB$47:$IY$47)</f>
        <v>0</v>
      </c>
      <c r="NC224" s="56">
        <f>312+168</f>
        <v>480</v>
      </c>
      <c r="ND224" s="242">
        <f t="shared" si="1616"/>
        <v>-480</v>
      </c>
      <c r="NE224" s="242">
        <f t="shared" si="1617"/>
        <v>0</v>
      </c>
      <c r="NF224" s="56"/>
      <c r="NI224" s="55">
        <f t="shared" si="1618"/>
        <v>46210</v>
      </c>
      <c r="NJ224" s="56"/>
      <c r="NK224" s="242">
        <f>SUMPRODUCT(PRODUCE!$B227:$DY227,PRODUCE!$EB$48:$IY$48)</f>
        <v>0</v>
      </c>
      <c r="NL224" s="56"/>
      <c r="NM224" s="242">
        <f t="shared" si="1619"/>
        <v>0</v>
      </c>
      <c r="NN224" s="242">
        <f t="shared" si="1620"/>
        <v>1127</v>
      </c>
      <c r="NO224" s="56"/>
      <c r="NR224" s="55">
        <f t="shared" si="1621"/>
        <v>46210</v>
      </c>
      <c r="NS224" s="56"/>
      <c r="NT224" s="242">
        <f>SUMPRODUCT(PRODUCE!$B227:$DY227,PRODUCE!$EB$49:$IY$49)</f>
        <v>0</v>
      </c>
      <c r="NU224" s="56"/>
      <c r="NV224" s="242">
        <f t="shared" si="1622"/>
        <v>0</v>
      </c>
      <c r="NW224" s="242">
        <f t="shared" si="1623"/>
        <v>3111.9999999999995</v>
      </c>
      <c r="NX224" s="56"/>
      <c r="OA224" s="55">
        <f t="shared" si="1624"/>
        <v>46210</v>
      </c>
      <c r="OB224" s="56"/>
      <c r="OC224" s="242">
        <f>SUMPRODUCT(PRODUCE!$B227:$DY227,PRODUCE!$EB$50:$IY$50)</f>
        <v>0</v>
      </c>
      <c r="OD224" s="56"/>
      <c r="OE224" s="242">
        <f t="shared" si="1625"/>
        <v>0</v>
      </c>
      <c r="OF224" s="242">
        <f t="shared" si="1626"/>
        <v>1680.5</v>
      </c>
      <c r="OG224" s="56"/>
      <c r="OJ224" s="55">
        <f t="shared" si="1627"/>
        <v>46210</v>
      </c>
      <c r="OK224" s="56">
        <v>106.8</v>
      </c>
      <c r="OL224" s="242">
        <f>SUMPRODUCT(PRODUCE!$B227:$DY227,PRODUCE!$EB$51:$IY$51)</f>
        <v>0</v>
      </c>
      <c r="OM224" s="56">
        <f>67.6+39.2</f>
        <v>106.8</v>
      </c>
      <c r="ON224" s="242">
        <f t="shared" si="1628"/>
        <v>-106.8</v>
      </c>
      <c r="OO224" s="242">
        <f t="shared" si="1629"/>
        <v>0</v>
      </c>
      <c r="OP224" s="56"/>
      <c r="OS224" s="55">
        <f t="shared" si="1630"/>
        <v>46210</v>
      </c>
      <c r="OT224" s="56"/>
      <c r="OU224" s="242">
        <f>SUMPRODUCT(PRODUCE!$B227:$DY227,PRODUCE!$EB$52:$IY$52)</f>
        <v>0</v>
      </c>
      <c r="OV224" s="56"/>
      <c r="OW224" s="242">
        <f t="shared" si="1631"/>
        <v>0</v>
      </c>
      <c r="OX224" s="242">
        <f t="shared" si="1632"/>
        <v>1482</v>
      </c>
      <c r="OY224" s="56"/>
      <c r="PB224" s="55">
        <f t="shared" si="1633"/>
        <v>46210</v>
      </c>
      <c r="PC224" s="56"/>
      <c r="PD224" s="242">
        <f>SUMPRODUCT(PRODUCE!$B227:$DY227,PRODUCE!$EB$53:$IY$53)</f>
        <v>0</v>
      </c>
      <c r="PE224" s="56"/>
      <c r="PF224" s="242">
        <f t="shared" si="1634"/>
        <v>0</v>
      </c>
      <c r="PG224" s="242">
        <f t="shared" si="1635"/>
        <v>0</v>
      </c>
      <c r="PH224" s="56"/>
      <c r="PK224" s="55">
        <f t="shared" si="1636"/>
        <v>46210</v>
      </c>
      <c r="PL224" s="56"/>
      <c r="PM224" s="242">
        <f>SUMPRODUCT(PRODUCE!$B227:$DY227,PRODUCE!$EB$54:$IY$54)</f>
        <v>0</v>
      </c>
      <c r="PN224" s="56"/>
      <c r="PO224" s="242">
        <f t="shared" si="1637"/>
        <v>0</v>
      </c>
      <c r="PP224" s="242">
        <f t="shared" si="1638"/>
        <v>100</v>
      </c>
      <c r="PQ224" s="56"/>
      <c r="PT224" s="55">
        <f t="shared" si="1639"/>
        <v>46210</v>
      </c>
      <c r="PU224" s="56"/>
      <c r="PV224" s="242">
        <f>SUMPRODUCT(PRODUCE!$B227:$DY227,PRODUCE!$EB$55:$IY$55)</f>
        <v>0</v>
      </c>
      <c r="PW224" s="56"/>
      <c r="PX224" s="242">
        <f t="shared" si="1640"/>
        <v>0</v>
      </c>
      <c r="PY224" s="242">
        <f t="shared" si="1641"/>
        <v>13.960000000000036</v>
      </c>
      <c r="PZ224" s="56"/>
      <c r="QC224" s="55">
        <f t="shared" si="1642"/>
        <v>46210</v>
      </c>
      <c r="QD224" s="56"/>
      <c r="QE224" s="242">
        <f>SUMPRODUCT(PRODUCE!$B227:$DY227,PRODUCE!$EB$56:$IY$56)</f>
        <v>0</v>
      </c>
      <c r="QF224" s="56"/>
      <c r="QG224" s="242">
        <f t="shared" si="1643"/>
        <v>0</v>
      </c>
      <c r="QH224" s="242">
        <f t="shared" si="1644"/>
        <v>1736</v>
      </c>
      <c r="QI224" s="56"/>
      <c r="QL224" s="55">
        <f t="shared" si="1645"/>
        <v>46210</v>
      </c>
      <c r="QM224" s="56"/>
      <c r="QN224" s="242">
        <f>SUMPRODUCT(PRODUCE!$B227:$DY227,PRODUCE!$EB$57:$IY$57)</f>
        <v>0</v>
      </c>
      <c r="QO224" s="56"/>
      <c r="QP224" s="242">
        <f t="shared" si="1646"/>
        <v>0</v>
      </c>
      <c r="QQ224" s="242">
        <f t="shared" si="1647"/>
        <v>235</v>
      </c>
      <c r="QR224" s="56"/>
      <c r="QU224" s="55">
        <f t="shared" si="1648"/>
        <v>46210</v>
      </c>
      <c r="QV224" s="56"/>
      <c r="QW224" s="242">
        <f>SUMPRODUCT(PRODUCE!$B227:$DY227,PRODUCE!$EB$58:$IY$58)</f>
        <v>0</v>
      </c>
      <c r="QX224" s="56"/>
      <c r="QY224" s="242">
        <f t="shared" si="1649"/>
        <v>0</v>
      </c>
      <c r="QZ224" s="242">
        <f t="shared" si="1650"/>
        <v>207.6</v>
      </c>
      <c r="RA224" s="56"/>
      <c r="RD224" s="55">
        <f t="shared" si="1651"/>
        <v>46210</v>
      </c>
      <c r="RE224" s="56"/>
      <c r="RF224" s="242">
        <f>SUMPRODUCT(PRODUCE!$B227:$DY227,PRODUCE!$EB$59:$IY$59)</f>
        <v>0</v>
      </c>
      <c r="RG224" s="56"/>
      <c r="RH224" s="242">
        <f t="shared" si="1652"/>
        <v>0</v>
      </c>
      <c r="RI224" s="242">
        <f t="shared" si="1653"/>
        <v>147.04000000000002</v>
      </c>
      <c r="RJ224" s="56"/>
      <c r="RM224" s="55">
        <f t="shared" si="1654"/>
        <v>46210</v>
      </c>
      <c r="RN224" s="56"/>
      <c r="RO224" s="242">
        <f>SUMPRODUCT(PRODUCE!$B227:$DY227,PRODUCE!$EB$60:$IY$60)</f>
        <v>0</v>
      </c>
      <c r="RP224" s="56"/>
      <c r="RQ224" s="242">
        <f t="shared" si="1655"/>
        <v>0</v>
      </c>
      <c r="RR224" s="242">
        <f t="shared" si="1656"/>
        <v>46.8</v>
      </c>
      <c r="RS224" s="56"/>
      <c r="RV224" s="55">
        <f t="shared" si="1657"/>
        <v>46210</v>
      </c>
      <c r="RW224" s="56"/>
      <c r="RX224" s="242">
        <f>SUMPRODUCT(PRODUCE!$B227:$DY227,PRODUCE!$EB$61:$IY$61)</f>
        <v>0</v>
      </c>
      <c r="RY224" s="56"/>
      <c r="RZ224" s="242">
        <f t="shared" si="1658"/>
        <v>0</v>
      </c>
      <c r="SA224" s="242">
        <f t="shared" si="1659"/>
        <v>0</v>
      </c>
      <c r="SB224" s="56"/>
      <c r="SE224" s="55">
        <f t="shared" si="1660"/>
        <v>46210</v>
      </c>
      <c r="SF224" s="56"/>
      <c r="SG224" s="242">
        <f>SUMPRODUCT(PRODUCE!$B227:$DY227,PRODUCE!$EB$62:$IY$62)</f>
        <v>0</v>
      </c>
      <c r="SH224" s="56"/>
      <c r="SI224" s="242">
        <f t="shared" si="1661"/>
        <v>0</v>
      </c>
      <c r="SJ224" s="242">
        <f t="shared" si="1662"/>
        <v>24.200000000000003</v>
      </c>
      <c r="SK224" s="56"/>
      <c r="SN224" s="55">
        <f t="shared" si="1663"/>
        <v>46210</v>
      </c>
      <c r="SO224" s="56"/>
      <c r="SP224" s="242">
        <f>SUMPRODUCT(PRODUCE!$B227:$DY227,PRODUCE!$EB$63:$IY$63)</f>
        <v>0</v>
      </c>
      <c r="SQ224" s="56"/>
      <c r="SR224" s="242">
        <f t="shared" si="1664"/>
        <v>0</v>
      </c>
      <c r="SS224" s="242">
        <f t="shared" si="1665"/>
        <v>32</v>
      </c>
      <c r="ST224" s="56"/>
      <c r="SW224" s="55">
        <f t="shared" si="1666"/>
        <v>46210</v>
      </c>
      <c r="SX224" s="56"/>
      <c r="SY224" s="242">
        <f>SUMPRODUCT(PRODUCE!$B227:$DY227,PRODUCE!$EB$64:$IY$64)</f>
        <v>0</v>
      </c>
      <c r="SZ224" s="56"/>
      <c r="TA224" s="242">
        <f t="shared" si="1667"/>
        <v>0</v>
      </c>
      <c r="TB224" s="242">
        <f t="shared" si="1668"/>
        <v>0</v>
      </c>
      <c r="TC224" s="56"/>
      <c r="TF224" s="55">
        <f t="shared" si="1669"/>
        <v>46210</v>
      </c>
      <c r="TG224" s="56"/>
      <c r="TH224" s="242">
        <f>SUMPRODUCT(PRODUCE!$B227:$DY227,PRODUCE!$EB$57:$IY$57)</f>
        <v>0</v>
      </c>
      <c r="TI224" s="56"/>
      <c r="TJ224" s="242">
        <f t="shared" si="1670"/>
        <v>0</v>
      </c>
      <c r="TK224" s="242">
        <f t="shared" si="1671"/>
        <v>0</v>
      </c>
      <c r="TL224" s="56"/>
      <c r="TO224" s="55">
        <f t="shared" si="1672"/>
        <v>46210</v>
      </c>
      <c r="TP224" s="56"/>
      <c r="TQ224" s="242">
        <f>SUMPRODUCT(PRODUCE!$B227:$DY227,PRODUCE!$EB$57:$IY$57)</f>
        <v>0</v>
      </c>
      <c r="TR224" s="56"/>
      <c r="TS224" s="242">
        <f t="shared" si="1673"/>
        <v>0</v>
      </c>
      <c r="TT224" s="242">
        <f t="shared" si="1674"/>
        <v>22.400000000000006</v>
      </c>
      <c r="TU224" s="56"/>
      <c r="TX224" s="55">
        <f t="shared" si="1675"/>
        <v>46210</v>
      </c>
      <c r="TY224" s="56"/>
      <c r="TZ224" s="242">
        <f>SUMPRODUCT(PRODUCE!$B227:$DY227,PRODUCE!$EB$57:$IY$57)</f>
        <v>0</v>
      </c>
      <c r="UA224" s="56"/>
      <c r="UB224" s="242">
        <f t="shared" si="1676"/>
        <v>0</v>
      </c>
      <c r="UC224" s="242">
        <f t="shared" si="1677"/>
        <v>46.799999999999983</v>
      </c>
      <c r="UD224" s="56"/>
      <c r="UG224" s="55">
        <f t="shared" si="1678"/>
        <v>46210</v>
      </c>
      <c r="UH224" s="56"/>
      <c r="UI224" s="242">
        <f>SUMPRODUCT(PRODUCE!$B227:$DY227,PRODUCE!$EB$57:$IY$57)</f>
        <v>0</v>
      </c>
      <c r="UJ224" s="56"/>
      <c r="UK224" s="242">
        <f t="shared" si="1679"/>
        <v>0</v>
      </c>
      <c r="UL224" s="242">
        <f t="shared" si="1680"/>
        <v>204</v>
      </c>
      <c r="UM224" s="56"/>
      <c r="UP224" s="55">
        <f t="shared" si="1681"/>
        <v>46210</v>
      </c>
      <c r="UQ224" s="56"/>
      <c r="UR224" s="242">
        <f>SUMPRODUCT(PRODUCE!$B227:$DY227,PRODUCE!$EB$69:$IY$69)</f>
        <v>0</v>
      </c>
      <c r="US224" s="56"/>
      <c r="UT224" s="242">
        <f t="shared" si="1682"/>
        <v>0</v>
      </c>
      <c r="UU224" s="242">
        <f t="shared" si="1683"/>
        <v>251.25</v>
      </c>
      <c r="UV224" s="56"/>
      <c r="UY224" s="55">
        <f t="shared" si="1684"/>
        <v>46210</v>
      </c>
      <c r="UZ224" s="56"/>
      <c r="VA224" s="242">
        <f>SUMPRODUCT(PRODUCE!$B227:$DY227,PRODUCE!$EB$70:$IY$70)</f>
        <v>0</v>
      </c>
      <c r="VB224" s="56"/>
      <c r="VC224" s="242">
        <f t="shared" si="1685"/>
        <v>0</v>
      </c>
      <c r="VD224" s="242">
        <f t="shared" si="1686"/>
        <v>41.600000000000023</v>
      </c>
      <c r="VE224" s="56"/>
      <c r="VH224" s="55">
        <f t="shared" si="1687"/>
        <v>46210</v>
      </c>
      <c r="VI224" s="56"/>
      <c r="VJ224" s="242">
        <f>SUMPRODUCT(PRODUCE!$B227:$DY227,PRODUCE!$EB$71:$IY$71)</f>
        <v>0</v>
      </c>
      <c r="VK224" s="56"/>
      <c r="VL224" s="242">
        <f t="shared" si="1688"/>
        <v>0</v>
      </c>
      <c r="VM224" s="242">
        <f t="shared" si="1689"/>
        <v>210</v>
      </c>
      <c r="VN224" s="56"/>
      <c r="VQ224" s="55">
        <f t="shared" si="1690"/>
        <v>46210</v>
      </c>
      <c r="VR224" s="56"/>
      <c r="VS224" s="242">
        <f>SUMPRODUCT(PRODUCE!$B227:$DY227,PRODUCE!$EB$57:$IY$57)</f>
        <v>0</v>
      </c>
      <c r="VT224" s="56"/>
      <c r="VU224" s="242">
        <f t="shared" si="1691"/>
        <v>0</v>
      </c>
      <c r="VV224" s="242">
        <f t="shared" si="1692"/>
        <v>0</v>
      </c>
      <c r="VW224" s="56"/>
      <c r="VZ224" s="55">
        <f t="shared" si="1693"/>
        <v>46210</v>
      </c>
      <c r="WA224" s="56"/>
      <c r="WB224" s="242">
        <f>SUMPRODUCT(PRODUCE!$B227:$DY227,PRODUCE!$EB$57:$IY$57)</f>
        <v>0</v>
      </c>
      <c r="WC224" s="56"/>
      <c r="WD224" s="242">
        <f t="shared" si="1694"/>
        <v>0</v>
      </c>
      <c r="WE224" s="242">
        <f t="shared" si="1695"/>
        <v>0</v>
      </c>
      <c r="WF224" s="56"/>
      <c r="WI224" s="55">
        <f t="shared" si="1696"/>
        <v>46210</v>
      </c>
      <c r="WJ224" s="56"/>
      <c r="WK224" s="242">
        <f>SUMPRODUCT(PRODUCE!$B227:$DY227,PRODUCE!$EB$57:$IY$57)</f>
        <v>0</v>
      </c>
      <c r="WL224" s="56"/>
      <c r="WM224" s="242">
        <f t="shared" si="1697"/>
        <v>0</v>
      </c>
      <c r="WN224" s="242">
        <f t="shared" si="1698"/>
        <v>1057</v>
      </c>
      <c r="WO224" s="56"/>
      <c r="WR224" s="55">
        <f t="shared" si="1699"/>
        <v>46210</v>
      </c>
      <c r="WS224" s="56"/>
      <c r="WT224" s="242">
        <f>SUMPRODUCT(PRODUCE!$B227:$DY227,PRODUCE!$EB$57:$IY$57)</f>
        <v>0</v>
      </c>
      <c r="WU224" s="56"/>
      <c r="WV224" s="242">
        <f t="shared" si="1700"/>
        <v>0</v>
      </c>
      <c r="WW224" s="242">
        <f t="shared" si="1701"/>
        <v>0</v>
      </c>
      <c r="WX224" s="56"/>
      <c r="XA224" s="55">
        <f t="shared" si="1702"/>
        <v>46210</v>
      </c>
      <c r="XB224" s="56"/>
      <c r="XC224" s="242">
        <f>SUMPRODUCT(PRODUCE!$B227:$DY227,PRODUCE!$EB$57:$IY$57)</f>
        <v>0</v>
      </c>
      <c r="XD224" s="56"/>
      <c r="XE224" s="242">
        <f t="shared" si="1703"/>
        <v>0</v>
      </c>
      <c r="XF224" s="242">
        <f t="shared" si="1704"/>
        <v>7507</v>
      </c>
      <c r="XG224" s="56"/>
      <c r="XJ224" s="55">
        <f t="shared" si="1705"/>
        <v>46210</v>
      </c>
      <c r="XK224" s="56"/>
      <c r="XL224" s="242">
        <f>SUMPRODUCT(PRODUCE!$B227:$DY227,PRODUCE!$EB$57:$IY$57)</f>
        <v>0</v>
      </c>
      <c r="XM224" s="56"/>
      <c r="XN224" s="242">
        <f t="shared" si="1706"/>
        <v>0</v>
      </c>
      <c r="XO224" s="242">
        <f t="shared" si="1707"/>
        <v>4252</v>
      </c>
      <c r="XP224" s="56"/>
      <c r="XS224" s="55">
        <f t="shared" si="1708"/>
        <v>46210</v>
      </c>
      <c r="XT224" s="56"/>
      <c r="XU224" s="242">
        <f>SUMPRODUCT(PRODUCE!$B227:$DY227,PRODUCE!$EB$57:$IY$57)</f>
        <v>0</v>
      </c>
      <c r="XV224" s="56"/>
      <c r="XW224" s="242">
        <f t="shared" si="1709"/>
        <v>0</v>
      </c>
      <c r="XX224" s="242">
        <f t="shared" si="1710"/>
        <v>2179</v>
      </c>
      <c r="XY224" s="56"/>
      <c r="YB224" s="55">
        <f t="shared" si="1711"/>
        <v>46210</v>
      </c>
      <c r="YC224" s="56"/>
      <c r="YD224" s="242">
        <f>SUMPRODUCT(PRODUCE!$B227:$DY227,PRODUCE!$EB$57:$IY$57)</f>
        <v>0</v>
      </c>
      <c r="YE224" s="56"/>
      <c r="YF224" s="242">
        <f t="shared" si="1712"/>
        <v>0</v>
      </c>
      <c r="YG224" s="242">
        <f t="shared" si="1713"/>
        <v>4019</v>
      </c>
      <c r="YH224" s="56"/>
      <c r="YK224" s="55">
        <f t="shared" si="1714"/>
        <v>46210</v>
      </c>
      <c r="YL224" s="56"/>
      <c r="YM224" s="242">
        <f>SUMPRODUCT(PRODUCE!$B227:$DY227,PRODUCE!$EB$57:$IY$57)</f>
        <v>0</v>
      </c>
      <c r="YN224" s="56"/>
      <c r="YO224" s="242">
        <f t="shared" si="1715"/>
        <v>0</v>
      </c>
      <c r="YP224" s="242">
        <f t="shared" si="1716"/>
        <v>0</v>
      </c>
      <c r="YQ224" s="56"/>
      <c r="YT224" s="55">
        <f t="shared" si="1717"/>
        <v>46210</v>
      </c>
      <c r="YU224" s="56"/>
      <c r="YV224" s="242">
        <f>SUMPRODUCT(PRODUCE!$B227:$DY227,PRODUCE!$EB$57:$IY$57)</f>
        <v>0</v>
      </c>
      <c r="YW224" s="56"/>
      <c r="YX224" s="242">
        <f t="shared" si="1718"/>
        <v>0</v>
      </c>
      <c r="YY224" s="242">
        <f t="shared" si="1719"/>
        <v>0</v>
      </c>
      <c r="YZ224" s="56"/>
      <c r="ZC224" s="55">
        <f t="shared" si="1720"/>
        <v>46210</v>
      </c>
      <c r="ZD224" s="56"/>
      <c r="ZE224" s="242">
        <f>SUMPRODUCT(PRODUCE!$B227:$DY227,PRODUCE!$EB$57:$IY$57)</f>
        <v>0</v>
      </c>
      <c r="ZF224" s="56"/>
      <c r="ZG224" s="242">
        <f t="shared" si="1721"/>
        <v>0</v>
      </c>
      <c r="ZH224" s="242">
        <f t="shared" si="1722"/>
        <v>0</v>
      </c>
      <c r="ZI224" s="56"/>
      <c r="ZL224" s="55">
        <f t="shared" si="1723"/>
        <v>46210</v>
      </c>
      <c r="ZM224" s="56"/>
      <c r="ZN224" s="242">
        <f>SUMPRODUCT(PRODUCE!$B227:$DY227,PRODUCE!$EB$57:$IY$57)</f>
        <v>0</v>
      </c>
      <c r="ZO224" s="56"/>
      <c r="ZP224" s="242">
        <f t="shared" si="1724"/>
        <v>0</v>
      </c>
      <c r="ZQ224" s="242">
        <f t="shared" si="1725"/>
        <v>0</v>
      </c>
      <c r="ZR224" s="56"/>
      <c r="ZU224" s="55">
        <f t="shared" si="1726"/>
        <v>46210</v>
      </c>
      <c r="ZV224" s="56"/>
      <c r="ZW224" s="242">
        <f>SUMPRODUCT(PRODUCE!$B227:$DY227,PRODUCE!$EB$57:$IY$57)</f>
        <v>0</v>
      </c>
      <c r="ZX224" s="56"/>
      <c r="ZY224" s="242">
        <f t="shared" si="1727"/>
        <v>0</v>
      </c>
      <c r="ZZ224" s="242">
        <f t="shared" si="1728"/>
        <v>0</v>
      </c>
      <c r="AAA224" s="56"/>
      <c r="AAD224" s="55">
        <f t="shared" si="1729"/>
        <v>46210</v>
      </c>
      <c r="AAE224" s="56"/>
      <c r="AAF224" s="242">
        <f>SUMPRODUCT(PRODUCE!$B227:$DY227,PRODUCE!$EB$57:$IY$57)</f>
        <v>0</v>
      </c>
      <c r="AAG224" s="56"/>
      <c r="AAH224" s="242">
        <f t="shared" si="1730"/>
        <v>0</v>
      </c>
      <c r="AAI224" s="242">
        <f t="shared" si="1731"/>
        <v>0</v>
      </c>
      <c r="AAJ224" s="56"/>
      <c r="AAM224" s="55">
        <f t="shared" si="1732"/>
        <v>46210</v>
      </c>
      <c r="AAN224" s="56"/>
      <c r="AAO224" s="242">
        <f>SUMPRODUCT(PRODUCE!$B227:$DY227,PRODUCE!$EB$57:$IY$57)</f>
        <v>0</v>
      </c>
      <c r="AAP224" s="56"/>
      <c r="AAQ224" s="242">
        <f t="shared" si="1733"/>
        <v>0</v>
      </c>
      <c r="AAR224" s="242">
        <f t="shared" si="1734"/>
        <v>0</v>
      </c>
      <c r="AAS224" s="56"/>
      <c r="AAV224" s="55">
        <f t="shared" si="1735"/>
        <v>46210</v>
      </c>
      <c r="AAW224" s="56"/>
      <c r="AAX224" s="242">
        <f>SUMPRODUCT(PRODUCE!$B227:$DY227,PRODUCE!$EB$57:$IY$57)</f>
        <v>0</v>
      </c>
      <c r="AAY224" s="56"/>
      <c r="AAZ224" s="242">
        <f t="shared" si="1736"/>
        <v>0</v>
      </c>
      <c r="ABA224" s="242">
        <f t="shared" si="1737"/>
        <v>0</v>
      </c>
      <c r="ABB224" s="56"/>
      <c r="ABE224" s="55">
        <f t="shared" si="1738"/>
        <v>46210</v>
      </c>
      <c r="ABF224" s="56"/>
      <c r="ABG224" s="242">
        <f>SUMPRODUCT(PRODUCE!$B227:$DY227,PRODUCE!$EB$57:$IY$57)</f>
        <v>0</v>
      </c>
      <c r="ABH224" s="56"/>
      <c r="ABI224" s="242">
        <f t="shared" si="1739"/>
        <v>0</v>
      </c>
      <c r="ABJ224" s="242">
        <f t="shared" si="1740"/>
        <v>0</v>
      </c>
      <c r="ABK224" s="56"/>
    </row>
    <row r="225" spans="2:739" s="54" customFormat="1" ht="15" customHeight="1" outlineLevel="1">
      <c r="B225" s="478"/>
      <c r="C225" s="55">
        <v>46211</v>
      </c>
      <c r="D225" s="422">
        <v>116850</v>
      </c>
      <c r="E225" s="423">
        <f>SUMPRODUCT(PRODUCE!$B228:$DY228,PRODUCE!$EB$7:$IY$7)</f>
        <v>0</v>
      </c>
      <c r="F225" s="422">
        <v>12126.2</v>
      </c>
      <c r="G225" s="423">
        <f t="shared" si="1496"/>
        <v>-12126.2</v>
      </c>
      <c r="H225" s="423">
        <f t="shared" si="1497"/>
        <v>204184.00000000003</v>
      </c>
      <c r="I225" s="289"/>
      <c r="L225" s="55">
        <f t="shared" si="1498"/>
        <v>46211</v>
      </c>
      <c r="M225" s="422">
        <v>30800</v>
      </c>
      <c r="N225" s="438">
        <f>SUMPRODUCT(PRODUCE!$B228:$DY228,PRODUCE!$EB$8:$IY$8)</f>
        <v>0</v>
      </c>
      <c r="O225" s="422">
        <v>4308.3999999999996</v>
      </c>
      <c r="P225" s="438">
        <f t="shared" si="1499"/>
        <v>-4308.3999999999996</v>
      </c>
      <c r="Q225" s="438">
        <f t="shared" si="1500"/>
        <v>40021.600000000071</v>
      </c>
      <c r="R225" s="56"/>
      <c r="U225" s="55">
        <f t="shared" si="1501"/>
        <v>46211</v>
      </c>
      <c r="V225" s="422"/>
      <c r="W225" s="440">
        <f>SUMPRODUCT(PRODUCE!$B228:$DY228,PRODUCE!$EB$9:$IY$9)</f>
        <v>0</v>
      </c>
      <c r="X225" s="422">
        <v>1400.5</v>
      </c>
      <c r="Y225" s="440">
        <f t="shared" si="1502"/>
        <v>-1400.5</v>
      </c>
      <c r="Z225" s="440">
        <f t="shared" si="1503"/>
        <v>15889.599999999973</v>
      </c>
      <c r="AA225" s="56"/>
      <c r="AD225" s="55">
        <f t="shared" si="1504"/>
        <v>46211</v>
      </c>
      <c r="AE225" s="422"/>
      <c r="AF225" s="442">
        <f>SUMPRODUCT(PRODUCE!$B228:$DY228,PRODUCE!$EB$10:$IY$10)</f>
        <v>0</v>
      </c>
      <c r="AG225" s="422"/>
      <c r="AH225" s="442">
        <f t="shared" si="1505"/>
        <v>0</v>
      </c>
      <c r="AI225" s="442">
        <f t="shared" si="1506"/>
        <v>32572.000000000018</v>
      </c>
      <c r="AJ225" s="56"/>
      <c r="AM225" s="55">
        <f t="shared" si="1507"/>
        <v>46211</v>
      </c>
      <c r="AN225" s="422"/>
      <c r="AO225" s="444">
        <f>SUMPRODUCT(PRODUCE!$B228:$DY228,PRODUCE!$EB$11:$IY$11)</f>
        <v>0</v>
      </c>
      <c r="AP225" s="422"/>
      <c r="AQ225" s="444">
        <f t="shared" si="1508"/>
        <v>0</v>
      </c>
      <c r="AR225" s="444">
        <f t="shared" si="1509"/>
        <v>0</v>
      </c>
      <c r="AS225" s="56"/>
      <c r="AV225" s="55">
        <f t="shared" si="1510"/>
        <v>46211</v>
      </c>
      <c r="AW225" s="422"/>
      <c r="AX225" s="446">
        <f>SUMPRODUCT(PRODUCE!$B228:$DY228,PRODUCE!$EB$12:$IY$12)</f>
        <v>0</v>
      </c>
      <c r="AY225" s="422"/>
      <c r="AZ225" s="446">
        <f t="shared" si="1511"/>
        <v>0</v>
      </c>
      <c r="BA225" s="446">
        <f t="shared" si="1512"/>
        <v>13506.099999999997</v>
      </c>
      <c r="BB225" s="56"/>
      <c r="BE225" s="55">
        <f t="shared" si="1513"/>
        <v>46211</v>
      </c>
      <c r="BF225" s="422"/>
      <c r="BG225" s="448">
        <f>SUMPRODUCT(PRODUCE!$B228:$DY228,PRODUCE!$EB$13:$IY$13)</f>
        <v>0</v>
      </c>
      <c r="BH225" s="422">
        <v>199</v>
      </c>
      <c r="BI225" s="448">
        <f t="shared" si="1514"/>
        <v>-199</v>
      </c>
      <c r="BJ225" s="448">
        <f t="shared" si="1515"/>
        <v>34959.19999999999</v>
      </c>
      <c r="BK225" s="56"/>
      <c r="BN225" s="55">
        <f t="shared" si="1516"/>
        <v>46211</v>
      </c>
      <c r="BO225" s="422">
        <v>200</v>
      </c>
      <c r="BP225" s="450">
        <f>SUMPRODUCT(PRODUCE!$B228:$DY228,PRODUCE!$EB$14:$IY$14)</f>
        <v>0</v>
      </c>
      <c r="BQ225" s="422">
        <v>200</v>
      </c>
      <c r="BR225" s="450">
        <f t="shared" si="1517"/>
        <v>-200</v>
      </c>
      <c r="BS225" s="450">
        <f t="shared" si="1518"/>
        <v>0</v>
      </c>
      <c r="BT225" s="56"/>
      <c r="BW225" s="55">
        <f t="shared" si="1519"/>
        <v>46211</v>
      </c>
      <c r="BX225" s="422"/>
      <c r="BY225" s="523">
        <f>SUMPRODUCT(PRODUCE!$B228:$DY228,PRODUCE!$EB$15:$IY$15)</f>
        <v>0</v>
      </c>
      <c r="BZ225" s="422"/>
      <c r="CA225" s="523">
        <f t="shared" si="1520"/>
        <v>0</v>
      </c>
      <c r="CB225" s="523">
        <f t="shared" si="1521"/>
        <v>2379.7799999999988</v>
      </c>
      <c r="CC225" s="56"/>
      <c r="CF225" s="55">
        <f t="shared" si="1522"/>
        <v>46211</v>
      </c>
      <c r="CG225" s="422"/>
      <c r="CH225" s="524">
        <f>SUMPRODUCT(PRODUCE!$B228:$DY228,PRODUCE!$EB$16:$IY$16)</f>
        <v>0</v>
      </c>
      <c r="CI225" s="422"/>
      <c r="CJ225" s="524">
        <f t="shared" si="1523"/>
        <v>0</v>
      </c>
      <c r="CK225" s="524">
        <f t="shared" si="1524"/>
        <v>-4005.7799999999993</v>
      </c>
      <c r="CL225" s="56"/>
      <c r="CO225" s="55">
        <f t="shared" si="1525"/>
        <v>46211</v>
      </c>
      <c r="CP225" s="422"/>
      <c r="CQ225" s="470">
        <f>SUMPRODUCT(PRODUCE!$B228:$DY228,PRODUCE!$EB$17:$IY$17)</f>
        <v>0</v>
      </c>
      <c r="CR225" s="422"/>
      <c r="CS225" s="470">
        <f t="shared" si="1526"/>
        <v>0</v>
      </c>
      <c r="CT225" s="470">
        <f t="shared" si="1527"/>
        <v>0</v>
      </c>
      <c r="CU225" s="56"/>
      <c r="CX225" s="55">
        <f t="shared" si="1528"/>
        <v>46211</v>
      </c>
      <c r="CY225" s="422"/>
      <c r="CZ225" s="525">
        <f>SUMPRODUCT(PRODUCE!$B228:$DY228,PRODUCE!$EB$18:$IY$18)</f>
        <v>0</v>
      </c>
      <c r="DA225" s="422">
        <v>401</v>
      </c>
      <c r="DB225" s="525">
        <f t="shared" si="1529"/>
        <v>-401</v>
      </c>
      <c r="DC225" s="525">
        <f t="shared" si="1530"/>
        <v>3648.2000000000071</v>
      </c>
      <c r="DD225" s="56"/>
      <c r="DG225" s="55">
        <f t="shared" si="1531"/>
        <v>46211</v>
      </c>
      <c r="DH225" s="422"/>
      <c r="DI225" s="526">
        <f>SUMPRODUCT(PRODUCE!$B228:$DY228,PRODUCE!$EB$19:$IY$19)</f>
        <v>0</v>
      </c>
      <c r="DJ225" s="422"/>
      <c r="DK225" s="526">
        <f t="shared" si="1532"/>
        <v>0</v>
      </c>
      <c r="DL225" s="526">
        <f t="shared" si="1533"/>
        <v>34634.699999999983</v>
      </c>
      <c r="DM225" s="56"/>
      <c r="DP225" s="55">
        <f t="shared" si="1534"/>
        <v>46211</v>
      </c>
      <c r="DQ225" s="56"/>
      <c r="DR225" s="57">
        <f>SUMPRODUCT(PRODUCE!$B228:$DY228,PRODUCE!$EB$20:$IY$20)</f>
        <v>0</v>
      </c>
      <c r="DS225" s="56"/>
      <c r="DT225" s="57">
        <f t="shared" si="1535"/>
        <v>0</v>
      </c>
      <c r="DU225" s="57">
        <f t="shared" si="1536"/>
        <v>5800</v>
      </c>
      <c r="DV225" s="56"/>
      <c r="DY225" s="55">
        <f t="shared" si="1537"/>
        <v>46211</v>
      </c>
      <c r="DZ225" s="56"/>
      <c r="EA225" s="157">
        <f>SUMPRODUCT(PRODUCE!$B228:$DY228,PRODUCE!$EB$21:$IY$21)</f>
        <v>0</v>
      </c>
      <c r="EB225" s="56"/>
      <c r="EC225" s="157">
        <f t="shared" si="1538"/>
        <v>0</v>
      </c>
      <c r="ED225" s="157">
        <f t="shared" si="1539"/>
        <v>0</v>
      </c>
      <c r="EE225" s="56"/>
      <c r="EH225" s="55">
        <f t="shared" si="1540"/>
        <v>46211</v>
      </c>
      <c r="EI225" s="56"/>
      <c r="EJ225" s="162">
        <f>SUMPRODUCT(PRODUCE!$B228:$DY228,PRODUCE!$EB$22:$IY$22)</f>
        <v>0</v>
      </c>
      <c r="EK225" s="56"/>
      <c r="EL225" s="162">
        <f t="shared" si="1541"/>
        <v>0</v>
      </c>
      <c r="EM225" s="162">
        <f t="shared" si="1542"/>
        <v>0</v>
      </c>
      <c r="EN225" s="56"/>
      <c r="EQ225" s="55">
        <f t="shared" si="1543"/>
        <v>46211</v>
      </c>
      <c r="ER225" s="56"/>
      <c r="ES225" s="172">
        <f>SUMPRODUCT(PRODUCE!$B228:$DY228,PRODUCE!$EB$23:$IY$23)</f>
        <v>0</v>
      </c>
      <c r="ET225" s="56"/>
      <c r="EU225" s="135">
        <f t="shared" si="1544"/>
        <v>0</v>
      </c>
      <c r="EV225" s="135">
        <f t="shared" si="1545"/>
        <v>0</v>
      </c>
      <c r="EW225" s="56"/>
      <c r="EZ225" s="55">
        <f t="shared" si="1546"/>
        <v>46211</v>
      </c>
      <c r="FA225" s="56"/>
      <c r="FB225" s="175">
        <f>SUMPRODUCT(PRODUCE!$B228:$DY228,PRODUCE!$EB$24:$IY$24)</f>
        <v>0</v>
      </c>
      <c r="FC225" s="56"/>
      <c r="FD225" s="175">
        <f t="shared" si="1547"/>
        <v>0</v>
      </c>
      <c r="FE225" s="175">
        <f t="shared" si="1548"/>
        <v>0</v>
      </c>
      <c r="FF225" s="56"/>
      <c r="FI225" s="55">
        <f t="shared" si="1549"/>
        <v>46211</v>
      </c>
      <c r="FJ225" s="56"/>
      <c r="FK225" s="183">
        <f>SUMPRODUCT(PRODUCE!$B228:$DY228,PRODUCE!$EB$25:$IY$25)</f>
        <v>0</v>
      </c>
      <c r="FL225" s="56"/>
      <c r="FM225" s="183">
        <f t="shared" si="1550"/>
        <v>0</v>
      </c>
      <c r="FN225" s="183">
        <f t="shared" si="1551"/>
        <v>0</v>
      </c>
      <c r="FO225" s="56"/>
      <c r="FR225" s="55">
        <f t="shared" si="1552"/>
        <v>46211</v>
      </c>
      <c r="FS225" s="56"/>
      <c r="FT225" s="186">
        <f>SUMPRODUCT(PRODUCE!$B228:$DY228,PRODUCE!$EB$26:$IY$26)</f>
        <v>0</v>
      </c>
      <c r="FU225" s="56"/>
      <c r="FV225" s="186">
        <f t="shared" si="1553"/>
        <v>0</v>
      </c>
      <c r="FW225" s="186">
        <f t="shared" si="1554"/>
        <v>1160</v>
      </c>
      <c r="FX225" s="56"/>
      <c r="GA225" s="55">
        <f t="shared" si="1555"/>
        <v>46211</v>
      </c>
      <c r="GB225" s="56"/>
      <c r="GC225" s="137">
        <f>SUMPRODUCT(PRODUCE!$B228:$DY228,PRODUCE!$EB$27:$IY$27)</f>
        <v>0</v>
      </c>
      <c r="GD225" s="56"/>
      <c r="GE225" s="137">
        <f t="shared" si="1556"/>
        <v>0</v>
      </c>
      <c r="GF225" s="137">
        <f t="shared" si="1557"/>
        <v>960</v>
      </c>
      <c r="GG225" s="56"/>
      <c r="GI225" s="23"/>
      <c r="GJ225" s="55">
        <f t="shared" si="1558"/>
        <v>46211</v>
      </c>
      <c r="GK225" s="56"/>
      <c r="GL225" s="199">
        <f>SUMPRODUCT(PRODUCE!$B228:$DY228,PRODUCE!$EB$28:$IY$28)</f>
        <v>0</v>
      </c>
      <c r="GM225" s="56"/>
      <c r="GN225" s="199">
        <f t="shared" si="1559"/>
        <v>0</v>
      </c>
      <c r="GO225" s="199">
        <f t="shared" si="1560"/>
        <v>1760</v>
      </c>
      <c r="GP225" s="56"/>
      <c r="GS225" s="55">
        <f t="shared" si="1561"/>
        <v>46211</v>
      </c>
      <c r="GT225" s="56"/>
      <c r="GU225" s="195">
        <f>SUMPRODUCT(PRODUCE!$B228:$DY228,PRODUCE!$EB$29:$IY$29)</f>
        <v>0</v>
      </c>
      <c r="GV225" s="56"/>
      <c r="GW225" s="195">
        <f t="shared" si="1562"/>
        <v>0</v>
      </c>
      <c r="GX225" s="195">
        <f t="shared" si="1563"/>
        <v>400</v>
      </c>
      <c r="GY225" s="56"/>
      <c r="HB225" s="55">
        <f t="shared" si="1564"/>
        <v>46211</v>
      </c>
      <c r="HC225" s="56"/>
      <c r="HD225" s="191">
        <f>SUMPRODUCT(PRODUCE!$B228:$DY228,PRODUCE!$EB$30:$IY$30)</f>
        <v>0</v>
      </c>
      <c r="HE225" s="56"/>
      <c r="HF225" s="191">
        <f t="shared" si="1565"/>
        <v>0</v>
      </c>
      <c r="HG225" s="191">
        <f t="shared" si="1566"/>
        <v>3600</v>
      </c>
      <c r="HH225" s="56"/>
      <c r="HK225" s="55">
        <f t="shared" si="1567"/>
        <v>46211</v>
      </c>
      <c r="HL225" s="56"/>
      <c r="HM225" s="63">
        <f>SUMPRODUCT(PRODUCE!$B228:$DY228,PRODUCE!$EB$31:$IY$31)</f>
        <v>0</v>
      </c>
      <c r="HN225" s="56"/>
      <c r="HO225" s="63">
        <f t="shared" si="1568"/>
        <v>0</v>
      </c>
      <c r="HP225" s="63">
        <f t="shared" si="1569"/>
        <v>0</v>
      </c>
      <c r="HQ225" s="56"/>
      <c r="HU225" s="55">
        <f t="shared" si="1570"/>
        <v>46211</v>
      </c>
      <c r="HV225" s="56"/>
      <c r="HW225" s="242">
        <f>SUMPRODUCT(PRODUCE!$B228:$DY228,PRODUCE!$EB$32:$IY$32)</f>
        <v>0</v>
      </c>
      <c r="HX225" s="56"/>
      <c r="HY225" s="242">
        <f t="shared" si="1571"/>
        <v>0</v>
      </c>
      <c r="HZ225" s="242">
        <f t="shared" si="1572"/>
        <v>6560</v>
      </c>
      <c r="IA225" s="56"/>
      <c r="ID225" s="55">
        <f t="shared" si="1573"/>
        <v>46211</v>
      </c>
      <c r="IE225" s="56"/>
      <c r="IF225" s="242">
        <f>SUMPRODUCT(PRODUCE!$B228:$DY228,PRODUCE!$EB$33:$IY$33)</f>
        <v>0</v>
      </c>
      <c r="IG225" s="56"/>
      <c r="IH225" s="242">
        <f t="shared" si="1574"/>
        <v>0</v>
      </c>
      <c r="II225" s="242">
        <f t="shared" si="1575"/>
        <v>720</v>
      </c>
      <c r="IJ225" s="56"/>
      <c r="IM225" s="55">
        <f t="shared" si="1576"/>
        <v>46211</v>
      </c>
      <c r="IN225" s="56"/>
      <c r="IO225" s="242">
        <f>SUMPRODUCT(PRODUCE!$B228:$DY228,PRODUCE!$EB$34:$IY$34)</f>
        <v>0</v>
      </c>
      <c r="IP225" s="56"/>
      <c r="IQ225" s="242">
        <f t="shared" si="1577"/>
        <v>0</v>
      </c>
      <c r="IR225" s="242">
        <f t="shared" si="1578"/>
        <v>6400</v>
      </c>
      <c r="IS225" s="56"/>
      <c r="IV225" s="55">
        <f t="shared" si="1579"/>
        <v>46211</v>
      </c>
      <c r="IW225" s="56"/>
      <c r="IX225" s="242">
        <f>SUMPRODUCT(PRODUCE!$B228:$DY228,PRODUCE!$EB$35:$IY$35)</f>
        <v>0</v>
      </c>
      <c r="IY225" s="56"/>
      <c r="IZ225" s="242">
        <f t="shared" si="1580"/>
        <v>0</v>
      </c>
      <c r="JA225" s="242">
        <f t="shared" si="1581"/>
        <v>4960</v>
      </c>
      <c r="JB225" s="56"/>
      <c r="JE225" s="55">
        <f t="shared" si="1582"/>
        <v>46211</v>
      </c>
      <c r="JF225" s="56"/>
      <c r="JG225" s="242">
        <f>SUMPRODUCT(PRODUCE!$B228:$DY228,PRODUCE!$EB$36:$IY$36)</f>
        <v>0</v>
      </c>
      <c r="JH225" s="56"/>
      <c r="JI225" s="242">
        <f t="shared" si="1583"/>
        <v>0</v>
      </c>
      <c r="JJ225" s="242">
        <f t="shared" si="1584"/>
        <v>0</v>
      </c>
      <c r="JK225" s="56"/>
      <c r="JN225" s="55">
        <f t="shared" si="1585"/>
        <v>46211</v>
      </c>
      <c r="JO225" s="56"/>
      <c r="JP225" s="242">
        <f>SUMPRODUCT(PRODUCE!$B228:$DY228,PRODUCE!$EB$37:$IY$37)</f>
        <v>0</v>
      </c>
      <c r="JQ225" s="56"/>
      <c r="JR225" s="242">
        <f t="shared" si="1586"/>
        <v>0</v>
      </c>
      <c r="JS225" s="242">
        <f t="shared" si="1587"/>
        <v>0</v>
      </c>
      <c r="JT225" s="56"/>
      <c r="JW225" s="55">
        <f t="shared" si="1588"/>
        <v>46211</v>
      </c>
      <c r="JX225" s="56"/>
      <c r="JY225" s="242">
        <f>SUMPRODUCT(PRODUCE!$B228:$DY228,PRODUCE!$EB$38:$IY$38)</f>
        <v>0</v>
      </c>
      <c r="JZ225" s="56"/>
      <c r="KA225" s="242">
        <f t="shared" si="1589"/>
        <v>0</v>
      </c>
      <c r="KB225" s="242">
        <f t="shared" si="1590"/>
        <v>2540</v>
      </c>
      <c r="KC225" s="56"/>
      <c r="KF225" s="55">
        <f t="shared" si="1591"/>
        <v>46211</v>
      </c>
      <c r="KG225" s="56"/>
      <c r="KH225" s="242">
        <f>SUMPRODUCT(PRODUCE!$B228:$DY228,PRODUCE!$EB$39:$IY$39)</f>
        <v>0</v>
      </c>
      <c r="KI225" s="56"/>
      <c r="KJ225" s="242">
        <f t="shared" si="1592"/>
        <v>0</v>
      </c>
      <c r="KK225" s="242">
        <f t="shared" si="1593"/>
        <v>2359.5</v>
      </c>
      <c r="KL225" s="56"/>
      <c r="KO225" s="55">
        <f t="shared" si="1594"/>
        <v>46211</v>
      </c>
      <c r="KP225" s="56"/>
      <c r="KQ225" s="242">
        <f>SUMPRODUCT(PRODUCE!$B228:$DY228,PRODUCE!$EB$40:$IY$40)</f>
        <v>0</v>
      </c>
      <c r="KR225" s="56"/>
      <c r="KS225" s="242">
        <f t="shared" si="1595"/>
        <v>0</v>
      </c>
      <c r="KT225" s="242">
        <f t="shared" si="1596"/>
        <v>1890</v>
      </c>
      <c r="KU225" s="56"/>
      <c r="KW225" s="23"/>
      <c r="KX225" s="55">
        <f t="shared" si="1597"/>
        <v>46211</v>
      </c>
      <c r="KY225" s="56"/>
      <c r="KZ225" s="242">
        <f>SUMPRODUCT(PRODUCE!$B228:$DY228,PRODUCE!$EB$41:$IY$41)</f>
        <v>0</v>
      </c>
      <c r="LA225" s="56"/>
      <c r="LB225" s="242">
        <f t="shared" si="1598"/>
        <v>0</v>
      </c>
      <c r="LC225" s="242">
        <f t="shared" si="1599"/>
        <v>3690</v>
      </c>
      <c r="LD225" s="56"/>
      <c r="LG225" s="55">
        <f t="shared" si="1600"/>
        <v>46211</v>
      </c>
      <c r="LH225" s="56"/>
      <c r="LI225" s="242">
        <f>SUMPRODUCT(PRODUCE!$B228:$DY228,PRODUCE!$EB$42:$IY$42)</f>
        <v>0</v>
      </c>
      <c r="LJ225" s="56"/>
      <c r="LK225" s="242">
        <f t="shared" si="1601"/>
        <v>0</v>
      </c>
      <c r="LL225" s="242">
        <f t="shared" si="1602"/>
        <v>4000</v>
      </c>
      <c r="LM225" s="56"/>
      <c r="LP225" s="55">
        <f t="shared" si="1603"/>
        <v>46211</v>
      </c>
      <c r="LQ225" s="56"/>
      <c r="LR225" s="242">
        <f>SUMPRODUCT(PRODUCE!$B228:$DY228,PRODUCE!$EB$43:$IY$43)</f>
        <v>0</v>
      </c>
      <c r="LS225" s="56"/>
      <c r="LT225" s="242">
        <f t="shared" si="1604"/>
        <v>0</v>
      </c>
      <c r="LU225" s="242">
        <f t="shared" si="1605"/>
        <v>0</v>
      </c>
      <c r="LV225" s="56"/>
      <c r="LY225" s="55">
        <f t="shared" si="1606"/>
        <v>46211</v>
      </c>
      <c r="LZ225" s="56"/>
      <c r="MA225" s="242">
        <f>SUMPRODUCT(PRODUCE!$B228:$DY228,PRODUCE!$EB$44:$IY$44)</f>
        <v>0</v>
      </c>
      <c r="MB225" s="56"/>
      <c r="MC225" s="242">
        <f t="shared" si="1607"/>
        <v>0</v>
      </c>
      <c r="MD225" s="242">
        <f t="shared" si="1608"/>
        <v>0</v>
      </c>
      <c r="ME225" s="56"/>
      <c r="MH225" s="55">
        <f t="shared" si="1609"/>
        <v>46211</v>
      </c>
      <c r="MI225" s="56"/>
      <c r="MJ225" s="242">
        <f>SUMPRODUCT(PRODUCE!$B228:$DY228,PRODUCE!$EB$45:$IY$45)</f>
        <v>0</v>
      </c>
      <c r="MK225" s="56"/>
      <c r="ML225" s="242">
        <f t="shared" si="1610"/>
        <v>0</v>
      </c>
      <c r="MM225" s="242">
        <f t="shared" si="1611"/>
        <v>0</v>
      </c>
      <c r="MN225" s="56"/>
      <c r="MQ225" s="55">
        <f t="shared" si="1612"/>
        <v>46211</v>
      </c>
      <c r="MR225" s="56"/>
      <c r="MS225" s="242">
        <f>SUMPRODUCT(PRODUCE!$B228:$DY228,PRODUCE!$EB$46:$IY$46)</f>
        <v>0</v>
      </c>
      <c r="MT225" s="56"/>
      <c r="MU225" s="242">
        <f t="shared" si="1613"/>
        <v>0</v>
      </c>
      <c r="MV225" s="242">
        <f t="shared" si="1614"/>
        <v>3072</v>
      </c>
      <c r="MW225" s="56"/>
      <c r="MZ225" s="55">
        <f t="shared" si="1615"/>
        <v>46211</v>
      </c>
      <c r="NA225" s="56"/>
      <c r="NB225" s="242">
        <f>SUMPRODUCT(PRODUCE!$B228:$DY228,PRODUCE!$EB$47:$IY$47)</f>
        <v>0</v>
      </c>
      <c r="NC225" s="56"/>
      <c r="ND225" s="242">
        <f t="shared" si="1616"/>
        <v>0</v>
      </c>
      <c r="NE225" s="242">
        <f t="shared" si="1617"/>
        <v>0</v>
      </c>
      <c r="NF225" s="56"/>
      <c r="NI225" s="55">
        <f t="shared" si="1618"/>
        <v>46211</v>
      </c>
      <c r="NJ225" s="56"/>
      <c r="NK225" s="242">
        <f>SUMPRODUCT(PRODUCE!$B228:$DY228,PRODUCE!$EB$48:$IY$48)</f>
        <v>0</v>
      </c>
      <c r="NL225" s="56"/>
      <c r="NM225" s="242">
        <f t="shared" si="1619"/>
        <v>0</v>
      </c>
      <c r="NN225" s="242">
        <f t="shared" si="1620"/>
        <v>1127</v>
      </c>
      <c r="NO225" s="56"/>
      <c r="NR225" s="55">
        <f t="shared" si="1621"/>
        <v>46211</v>
      </c>
      <c r="NS225" s="56"/>
      <c r="NT225" s="242">
        <f>SUMPRODUCT(PRODUCE!$B228:$DY228,PRODUCE!$EB$49:$IY$49)</f>
        <v>0</v>
      </c>
      <c r="NU225" s="56"/>
      <c r="NV225" s="242">
        <f t="shared" si="1622"/>
        <v>0</v>
      </c>
      <c r="NW225" s="242">
        <f t="shared" si="1623"/>
        <v>3111.9999999999995</v>
      </c>
      <c r="NX225" s="56"/>
      <c r="OA225" s="55">
        <f t="shared" si="1624"/>
        <v>46211</v>
      </c>
      <c r="OB225" s="56"/>
      <c r="OC225" s="242">
        <f>SUMPRODUCT(PRODUCE!$B228:$DY228,PRODUCE!$EB$50:$IY$50)</f>
        <v>0</v>
      </c>
      <c r="OD225" s="56"/>
      <c r="OE225" s="242">
        <f t="shared" si="1625"/>
        <v>0</v>
      </c>
      <c r="OF225" s="242">
        <f t="shared" si="1626"/>
        <v>1680.5</v>
      </c>
      <c r="OG225" s="56"/>
      <c r="OJ225" s="55">
        <f t="shared" si="1627"/>
        <v>46211</v>
      </c>
      <c r="OK225" s="56"/>
      <c r="OL225" s="242">
        <f>SUMPRODUCT(PRODUCE!$B228:$DY228,PRODUCE!$EB$51:$IY$51)</f>
        <v>0</v>
      </c>
      <c r="OM225" s="56"/>
      <c r="ON225" s="242">
        <f t="shared" si="1628"/>
        <v>0</v>
      </c>
      <c r="OO225" s="242">
        <f t="shared" si="1629"/>
        <v>0</v>
      </c>
      <c r="OP225" s="56"/>
      <c r="OS225" s="55">
        <f t="shared" si="1630"/>
        <v>46211</v>
      </c>
      <c r="OT225" s="56"/>
      <c r="OU225" s="242">
        <f>SUMPRODUCT(PRODUCE!$B228:$DY228,PRODUCE!$EB$52:$IY$52)</f>
        <v>0</v>
      </c>
      <c r="OV225" s="56"/>
      <c r="OW225" s="242">
        <f t="shared" si="1631"/>
        <v>0</v>
      </c>
      <c r="OX225" s="242">
        <f t="shared" si="1632"/>
        <v>1482</v>
      </c>
      <c r="OY225" s="56"/>
      <c r="PB225" s="55">
        <f t="shared" si="1633"/>
        <v>46211</v>
      </c>
      <c r="PC225" s="56"/>
      <c r="PD225" s="242">
        <f>SUMPRODUCT(PRODUCE!$B228:$DY228,PRODUCE!$EB$53:$IY$53)</f>
        <v>0</v>
      </c>
      <c r="PE225" s="56"/>
      <c r="PF225" s="242">
        <f t="shared" si="1634"/>
        <v>0</v>
      </c>
      <c r="PG225" s="242">
        <f t="shared" si="1635"/>
        <v>0</v>
      </c>
      <c r="PH225" s="56"/>
      <c r="PK225" s="55">
        <f t="shared" si="1636"/>
        <v>46211</v>
      </c>
      <c r="PL225" s="56"/>
      <c r="PM225" s="242">
        <f>SUMPRODUCT(PRODUCE!$B228:$DY228,PRODUCE!$EB$54:$IY$54)</f>
        <v>0</v>
      </c>
      <c r="PN225" s="56"/>
      <c r="PO225" s="242">
        <f t="shared" si="1637"/>
        <v>0</v>
      </c>
      <c r="PP225" s="242">
        <f t="shared" si="1638"/>
        <v>100</v>
      </c>
      <c r="PQ225" s="56"/>
      <c r="PT225" s="55">
        <f t="shared" si="1639"/>
        <v>46211</v>
      </c>
      <c r="PU225" s="56"/>
      <c r="PV225" s="242">
        <f>SUMPRODUCT(PRODUCE!$B228:$DY228,PRODUCE!$EB$55:$IY$55)</f>
        <v>0</v>
      </c>
      <c r="PW225" s="56"/>
      <c r="PX225" s="242">
        <f t="shared" si="1640"/>
        <v>0</v>
      </c>
      <c r="PY225" s="242">
        <f t="shared" si="1641"/>
        <v>13.960000000000036</v>
      </c>
      <c r="PZ225" s="56"/>
      <c r="QC225" s="55">
        <f t="shared" si="1642"/>
        <v>46211</v>
      </c>
      <c r="QD225" s="56"/>
      <c r="QE225" s="242">
        <f>SUMPRODUCT(PRODUCE!$B228:$DY228,PRODUCE!$EB$56:$IY$56)</f>
        <v>0</v>
      </c>
      <c r="QF225" s="56"/>
      <c r="QG225" s="242">
        <f t="shared" si="1643"/>
        <v>0</v>
      </c>
      <c r="QH225" s="242">
        <f t="shared" si="1644"/>
        <v>1736</v>
      </c>
      <c r="QI225" s="56"/>
      <c r="QL225" s="55">
        <f t="shared" si="1645"/>
        <v>46211</v>
      </c>
      <c r="QM225" s="56"/>
      <c r="QN225" s="242">
        <f>SUMPRODUCT(PRODUCE!$B228:$DY228,PRODUCE!$EB$57:$IY$57)</f>
        <v>0</v>
      </c>
      <c r="QO225" s="56"/>
      <c r="QP225" s="242">
        <f t="shared" si="1646"/>
        <v>0</v>
      </c>
      <c r="QQ225" s="242">
        <f t="shared" si="1647"/>
        <v>235</v>
      </c>
      <c r="QR225" s="56"/>
      <c r="QU225" s="55">
        <f t="shared" si="1648"/>
        <v>46211</v>
      </c>
      <c r="QV225" s="56"/>
      <c r="QW225" s="242">
        <f>SUMPRODUCT(PRODUCE!$B228:$DY228,PRODUCE!$EB$58:$IY$58)</f>
        <v>0</v>
      </c>
      <c r="QX225" s="56"/>
      <c r="QY225" s="242">
        <f t="shared" si="1649"/>
        <v>0</v>
      </c>
      <c r="QZ225" s="242">
        <f t="shared" si="1650"/>
        <v>207.6</v>
      </c>
      <c r="RA225" s="56"/>
      <c r="RD225" s="55">
        <f t="shared" si="1651"/>
        <v>46211</v>
      </c>
      <c r="RE225" s="56"/>
      <c r="RF225" s="242">
        <f>SUMPRODUCT(PRODUCE!$B228:$DY228,PRODUCE!$EB$59:$IY$59)</f>
        <v>0</v>
      </c>
      <c r="RG225" s="56"/>
      <c r="RH225" s="242">
        <f t="shared" si="1652"/>
        <v>0</v>
      </c>
      <c r="RI225" s="242">
        <f t="shared" si="1653"/>
        <v>147.04000000000002</v>
      </c>
      <c r="RJ225" s="56"/>
      <c r="RM225" s="55">
        <f t="shared" si="1654"/>
        <v>46211</v>
      </c>
      <c r="RN225" s="56"/>
      <c r="RO225" s="242">
        <f>SUMPRODUCT(PRODUCE!$B228:$DY228,PRODUCE!$EB$60:$IY$60)</f>
        <v>0</v>
      </c>
      <c r="RP225" s="56"/>
      <c r="RQ225" s="242">
        <f t="shared" si="1655"/>
        <v>0</v>
      </c>
      <c r="RR225" s="242">
        <f t="shared" si="1656"/>
        <v>46.8</v>
      </c>
      <c r="RS225" s="56"/>
      <c r="RV225" s="55">
        <f t="shared" si="1657"/>
        <v>46211</v>
      </c>
      <c r="RW225" s="56"/>
      <c r="RX225" s="242">
        <f>SUMPRODUCT(PRODUCE!$B228:$DY228,PRODUCE!$EB$61:$IY$61)</f>
        <v>0</v>
      </c>
      <c r="RY225" s="56"/>
      <c r="RZ225" s="242">
        <f t="shared" si="1658"/>
        <v>0</v>
      </c>
      <c r="SA225" s="242">
        <f t="shared" si="1659"/>
        <v>0</v>
      </c>
      <c r="SB225" s="56"/>
      <c r="SE225" s="55">
        <f t="shared" si="1660"/>
        <v>46211</v>
      </c>
      <c r="SF225" s="56"/>
      <c r="SG225" s="242">
        <f>SUMPRODUCT(PRODUCE!$B228:$DY228,PRODUCE!$EB$62:$IY$62)</f>
        <v>0</v>
      </c>
      <c r="SH225" s="56"/>
      <c r="SI225" s="242">
        <f t="shared" si="1661"/>
        <v>0</v>
      </c>
      <c r="SJ225" s="242">
        <f t="shared" si="1662"/>
        <v>24.200000000000003</v>
      </c>
      <c r="SK225" s="56"/>
      <c r="SN225" s="55">
        <f t="shared" si="1663"/>
        <v>46211</v>
      </c>
      <c r="SO225" s="56"/>
      <c r="SP225" s="242">
        <f>SUMPRODUCT(PRODUCE!$B228:$DY228,PRODUCE!$EB$63:$IY$63)</f>
        <v>0</v>
      </c>
      <c r="SQ225" s="56"/>
      <c r="SR225" s="242">
        <f t="shared" si="1664"/>
        <v>0</v>
      </c>
      <c r="SS225" s="242">
        <f t="shared" si="1665"/>
        <v>32</v>
      </c>
      <c r="ST225" s="56"/>
      <c r="SW225" s="55">
        <f t="shared" si="1666"/>
        <v>46211</v>
      </c>
      <c r="SX225" s="56"/>
      <c r="SY225" s="242">
        <f>SUMPRODUCT(PRODUCE!$B228:$DY228,PRODUCE!$EB$64:$IY$64)</f>
        <v>0</v>
      </c>
      <c r="SZ225" s="56"/>
      <c r="TA225" s="242">
        <f t="shared" si="1667"/>
        <v>0</v>
      </c>
      <c r="TB225" s="242">
        <f t="shared" si="1668"/>
        <v>0</v>
      </c>
      <c r="TC225" s="56"/>
      <c r="TF225" s="55">
        <f t="shared" si="1669"/>
        <v>46211</v>
      </c>
      <c r="TG225" s="56"/>
      <c r="TH225" s="242">
        <f>SUMPRODUCT(PRODUCE!$B228:$DY228,PRODUCE!$EB$57:$IY$57)</f>
        <v>0</v>
      </c>
      <c r="TI225" s="56"/>
      <c r="TJ225" s="242">
        <f t="shared" si="1670"/>
        <v>0</v>
      </c>
      <c r="TK225" s="242">
        <f t="shared" si="1671"/>
        <v>0</v>
      </c>
      <c r="TL225" s="56"/>
      <c r="TO225" s="55">
        <f t="shared" si="1672"/>
        <v>46211</v>
      </c>
      <c r="TP225" s="56"/>
      <c r="TQ225" s="242">
        <f>SUMPRODUCT(PRODUCE!$B228:$DY228,PRODUCE!$EB$57:$IY$57)</f>
        <v>0</v>
      </c>
      <c r="TR225" s="56"/>
      <c r="TS225" s="242">
        <f t="shared" si="1673"/>
        <v>0</v>
      </c>
      <c r="TT225" s="242">
        <f t="shared" si="1674"/>
        <v>22.400000000000006</v>
      </c>
      <c r="TU225" s="56"/>
      <c r="TX225" s="55">
        <f t="shared" si="1675"/>
        <v>46211</v>
      </c>
      <c r="TY225" s="56"/>
      <c r="TZ225" s="242">
        <f>SUMPRODUCT(PRODUCE!$B228:$DY228,PRODUCE!$EB$57:$IY$57)</f>
        <v>0</v>
      </c>
      <c r="UA225" s="56"/>
      <c r="UB225" s="242">
        <f t="shared" si="1676"/>
        <v>0</v>
      </c>
      <c r="UC225" s="242">
        <f t="shared" si="1677"/>
        <v>46.799999999999983</v>
      </c>
      <c r="UD225" s="56"/>
      <c r="UG225" s="55">
        <f t="shared" si="1678"/>
        <v>46211</v>
      </c>
      <c r="UH225" s="56"/>
      <c r="UI225" s="242">
        <f>SUMPRODUCT(PRODUCE!$B228:$DY228,PRODUCE!$EB$57:$IY$57)</f>
        <v>0</v>
      </c>
      <c r="UJ225" s="56"/>
      <c r="UK225" s="242">
        <f t="shared" si="1679"/>
        <v>0</v>
      </c>
      <c r="UL225" s="242">
        <f t="shared" si="1680"/>
        <v>204</v>
      </c>
      <c r="UM225" s="56"/>
      <c r="UP225" s="55">
        <f t="shared" si="1681"/>
        <v>46211</v>
      </c>
      <c r="UQ225" s="56"/>
      <c r="UR225" s="242">
        <f>SUMPRODUCT(PRODUCE!$B228:$DY228,PRODUCE!$EB$69:$IY$69)</f>
        <v>0</v>
      </c>
      <c r="US225" s="56"/>
      <c r="UT225" s="242">
        <f t="shared" si="1682"/>
        <v>0</v>
      </c>
      <c r="UU225" s="242">
        <f t="shared" si="1683"/>
        <v>251.25</v>
      </c>
      <c r="UV225" s="56"/>
      <c r="UY225" s="55">
        <f t="shared" si="1684"/>
        <v>46211</v>
      </c>
      <c r="UZ225" s="56"/>
      <c r="VA225" s="242">
        <f>SUMPRODUCT(PRODUCE!$B228:$DY228,PRODUCE!$EB$70:$IY$70)</f>
        <v>0</v>
      </c>
      <c r="VB225" s="56"/>
      <c r="VC225" s="242">
        <f t="shared" si="1685"/>
        <v>0</v>
      </c>
      <c r="VD225" s="242">
        <f t="shared" si="1686"/>
        <v>41.600000000000023</v>
      </c>
      <c r="VE225" s="56"/>
      <c r="VH225" s="55">
        <f t="shared" si="1687"/>
        <v>46211</v>
      </c>
      <c r="VI225" s="56"/>
      <c r="VJ225" s="242">
        <f>SUMPRODUCT(PRODUCE!$B228:$DY228,PRODUCE!$EB$71:$IY$71)</f>
        <v>0</v>
      </c>
      <c r="VK225" s="56"/>
      <c r="VL225" s="242">
        <f t="shared" si="1688"/>
        <v>0</v>
      </c>
      <c r="VM225" s="242">
        <f t="shared" si="1689"/>
        <v>210</v>
      </c>
      <c r="VN225" s="56"/>
      <c r="VQ225" s="55">
        <f t="shared" si="1690"/>
        <v>46211</v>
      </c>
      <c r="VR225" s="56"/>
      <c r="VS225" s="242">
        <f>SUMPRODUCT(PRODUCE!$B228:$DY228,PRODUCE!$EB$57:$IY$57)</f>
        <v>0</v>
      </c>
      <c r="VT225" s="56"/>
      <c r="VU225" s="242">
        <f t="shared" si="1691"/>
        <v>0</v>
      </c>
      <c r="VV225" s="242">
        <f t="shared" si="1692"/>
        <v>0</v>
      </c>
      <c r="VW225" s="56"/>
      <c r="VZ225" s="55">
        <f t="shared" si="1693"/>
        <v>46211</v>
      </c>
      <c r="WA225" s="56"/>
      <c r="WB225" s="242">
        <f>SUMPRODUCT(PRODUCE!$B228:$DY228,PRODUCE!$EB$57:$IY$57)</f>
        <v>0</v>
      </c>
      <c r="WC225" s="56"/>
      <c r="WD225" s="242">
        <f t="shared" si="1694"/>
        <v>0</v>
      </c>
      <c r="WE225" s="242">
        <f t="shared" si="1695"/>
        <v>0</v>
      </c>
      <c r="WF225" s="56"/>
      <c r="WI225" s="55">
        <f t="shared" si="1696"/>
        <v>46211</v>
      </c>
      <c r="WJ225" s="56"/>
      <c r="WK225" s="242">
        <f>SUMPRODUCT(PRODUCE!$B228:$DY228,PRODUCE!$EB$57:$IY$57)</f>
        <v>0</v>
      </c>
      <c r="WL225" s="56"/>
      <c r="WM225" s="242">
        <f t="shared" si="1697"/>
        <v>0</v>
      </c>
      <c r="WN225" s="242">
        <f t="shared" si="1698"/>
        <v>1057</v>
      </c>
      <c r="WO225" s="56"/>
      <c r="WR225" s="55">
        <f t="shared" si="1699"/>
        <v>46211</v>
      </c>
      <c r="WS225" s="56"/>
      <c r="WT225" s="242">
        <f>SUMPRODUCT(PRODUCE!$B228:$DY228,PRODUCE!$EB$57:$IY$57)</f>
        <v>0</v>
      </c>
      <c r="WU225" s="56"/>
      <c r="WV225" s="242">
        <f t="shared" si="1700"/>
        <v>0</v>
      </c>
      <c r="WW225" s="242">
        <f t="shared" si="1701"/>
        <v>0</v>
      </c>
      <c r="WX225" s="56"/>
      <c r="XA225" s="55">
        <f t="shared" si="1702"/>
        <v>46211</v>
      </c>
      <c r="XB225" s="56"/>
      <c r="XC225" s="242">
        <f>SUMPRODUCT(PRODUCE!$B228:$DY228,PRODUCE!$EB$57:$IY$57)</f>
        <v>0</v>
      </c>
      <c r="XD225" s="56"/>
      <c r="XE225" s="242">
        <f t="shared" si="1703"/>
        <v>0</v>
      </c>
      <c r="XF225" s="242">
        <f t="shared" si="1704"/>
        <v>7507</v>
      </c>
      <c r="XG225" s="56"/>
      <c r="XJ225" s="55">
        <f t="shared" si="1705"/>
        <v>46211</v>
      </c>
      <c r="XK225" s="56"/>
      <c r="XL225" s="242">
        <f>SUMPRODUCT(PRODUCE!$B228:$DY228,PRODUCE!$EB$57:$IY$57)</f>
        <v>0</v>
      </c>
      <c r="XM225" s="56"/>
      <c r="XN225" s="242">
        <f t="shared" si="1706"/>
        <v>0</v>
      </c>
      <c r="XO225" s="242">
        <f t="shared" si="1707"/>
        <v>4252</v>
      </c>
      <c r="XP225" s="56"/>
      <c r="XS225" s="55">
        <f t="shared" si="1708"/>
        <v>46211</v>
      </c>
      <c r="XT225" s="56"/>
      <c r="XU225" s="242">
        <f>SUMPRODUCT(PRODUCE!$B228:$DY228,PRODUCE!$EB$57:$IY$57)</f>
        <v>0</v>
      </c>
      <c r="XV225" s="56"/>
      <c r="XW225" s="242">
        <f t="shared" si="1709"/>
        <v>0</v>
      </c>
      <c r="XX225" s="242">
        <f t="shared" si="1710"/>
        <v>2179</v>
      </c>
      <c r="XY225" s="56"/>
      <c r="YB225" s="55">
        <f t="shared" si="1711"/>
        <v>46211</v>
      </c>
      <c r="YC225" s="56"/>
      <c r="YD225" s="242">
        <f>SUMPRODUCT(PRODUCE!$B228:$DY228,PRODUCE!$EB$57:$IY$57)</f>
        <v>0</v>
      </c>
      <c r="YE225" s="56"/>
      <c r="YF225" s="242">
        <f t="shared" si="1712"/>
        <v>0</v>
      </c>
      <c r="YG225" s="242">
        <f t="shared" si="1713"/>
        <v>4019</v>
      </c>
      <c r="YH225" s="56"/>
      <c r="YK225" s="55">
        <f t="shared" si="1714"/>
        <v>46211</v>
      </c>
      <c r="YL225" s="56"/>
      <c r="YM225" s="242">
        <f>SUMPRODUCT(PRODUCE!$B228:$DY228,PRODUCE!$EB$57:$IY$57)</f>
        <v>0</v>
      </c>
      <c r="YN225" s="56"/>
      <c r="YO225" s="242">
        <f t="shared" si="1715"/>
        <v>0</v>
      </c>
      <c r="YP225" s="242">
        <f t="shared" si="1716"/>
        <v>0</v>
      </c>
      <c r="YQ225" s="56"/>
      <c r="YT225" s="55">
        <f t="shared" si="1717"/>
        <v>46211</v>
      </c>
      <c r="YU225" s="56"/>
      <c r="YV225" s="242">
        <f>SUMPRODUCT(PRODUCE!$B228:$DY228,PRODUCE!$EB$57:$IY$57)</f>
        <v>0</v>
      </c>
      <c r="YW225" s="56"/>
      <c r="YX225" s="242">
        <f t="shared" si="1718"/>
        <v>0</v>
      </c>
      <c r="YY225" s="242">
        <f t="shared" si="1719"/>
        <v>0</v>
      </c>
      <c r="YZ225" s="56"/>
      <c r="ZC225" s="55">
        <f t="shared" si="1720"/>
        <v>46211</v>
      </c>
      <c r="ZD225" s="56"/>
      <c r="ZE225" s="242">
        <f>SUMPRODUCT(PRODUCE!$B228:$DY228,PRODUCE!$EB$57:$IY$57)</f>
        <v>0</v>
      </c>
      <c r="ZF225" s="56"/>
      <c r="ZG225" s="242">
        <f t="shared" si="1721"/>
        <v>0</v>
      </c>
      <c r="ZH225" s="242">
        <f t="shared" si="1722"/>
        <v>0</v>
      </c>
      <c r="ZI225" s="56"/>
      <c r="ZL225" s="55">
        <f t="shared" si="1723"/>
        <v>46211</v>
      </c>
      <c r="ZM225" s="56"/>
      <c r="ZN225" s="242">
        <f>SUMPRODUCT(PRODUCE!$B228:$DY228,PRODUCE!$EB$57:$IY$57)</f>
        <v>0</v>
      </c>
      <c r="ZO225" s="56"/>
      <c r="ZP225" s="242">
        <f t="shared" si="1724"/>
        <v>0</v>
      </c>
      <c r="ZQ225" s="242">
        <f t="shared" si="1725"/>
        <v>0</v>
      </c>
      <c r="ZR225" s="56"/>
      <c r="ZU225" s="55">
        <f t="shared" si="1726"/>
        <v>46211</v>
      </c>
      <c r="ZV225" s="56"/>
      <c r="ZW225" s="242">
        <f>SUMPRODUCT(PRODUCE!$B228:$DY228,PRODUCE!$EB$57:$IY$57)</f>
        <v>0</v>
      </c>
      <c r="ZX225" s="56"/>
      <c r="ZY225" s="242">
        <f t="shared" si="1727"/>
        <v>0</v>
      </c>
      <c r="ZZ225" s="242">
        <f t="shared" si="1728"/>
        <v>0</v>
      </c>
      <c r="AAA225" s="56"/>
      <c r="AAD225" s="55">
        <f t="shared" si="1729"/>
        <v>46211</v>
      </c>
      <c r="AAE225" s="56"/>
      <c r="AAF225" s="242">
        <f>SUMPRODUCT(PRODUCE!$B228:$DY228,PRODUCE!$EB$57:$IY$57)</f>
        <v>0</v>
      </c>
      <c r="AAG225" s="56"/>
      <c r="AAH225" s="242">
        <f t="shared" si="1730"/>
        <v>0</v>
      </c>
      <c r="AAI225" s="242">
        <f t="shared" si="1731"/>
        <v>0</v>
      </c>
      <c r="AAJ225" s="56"/>
      <c r="AAM225" s="55">
        <f t="shared" si="1732"/>
        <v>46211</v>
      </c>
      <c r="AAN225" s="56"/>
      <c r="AAO225" s="242">
        <f>SUMPRODUCT(PRODUCE!$B228:$DY228,PRODUCE!$EB$57:$IY$57)</f>
        <v>0</v>
      </c>
      <c r="AAP225" s="56"/>
      <c r="AAQ225" s="242">
        <f t="shared" si="1733"/>
        <v>0</v>
      </c>
      <c r="AAR225" s="242">
        <f t="shared" si="1734"/>
        <v>0</v>
      </c>
      <c r="AAS225" s="56"/>
      <c r="AAV225" s="55">
        <f t="shared" si="1735"/>
        <v>46211</v>
      </c>
      <c r="AAW225" s="56"/>
      <c r="AAX225" s="242">
        <f>SUMPRODUCT(PRODUCE!$B228:$DY228,PRODUCE!$EB$57:$IY$57)</f>
        <v>0</v>
      </c>
      <c r="AAY225" s="56"/>
      <c r="AAZ225" s="242">
        <f t="shared" si="1736"/>
        <v>0</v>
      </c>
      <c r="ABA225" s="242">
        <f t="shared" si="1737"/>
        <v>0</v>
      </c>
      <c r="ABB225" s="56"/>
      <c r="ABE225" s="55">
        <f t="shared" si="1738"/>
        <v>46211</v>
      </c>
      <c r="ABF225" s="56"/>
      <c r="ABG225" s="242">
        <f>SUMPRODUCT(PRODUCE!$B228:$DY228,PRODUCE!$EB$57:$IY$57)</f>
        <v>0</v>
      </c>
      <c r="ABH225" s="56"/>
      <c r="ABI225" s="242">
        <f t="shared" si="1739"/>
        <v>0</v>
      </c>
      <c r="ABJ225" s="242">
        <f t="shared" si="1740"/>
        <v>0</v>
      </c>
      <c r="ABK225" s="56"/>
    </row>
    <row r="226" spans="2:739" s="54" customFormat="1" ht="15" customHeight="1" outlineLevel="1">
      <c r="B226" s="478"/>
      <c r="C226" s="55">
        <v>46212</v>
      </c>
      <c r="D226" s="422"/>
      <c r="E226" s="423">
        <f>SUMPRODUCT(PRODUCE!$B229:$DY229,PRODUCE!$EB$7:$IY$7)</f>
        <v>9791.1</v>
      </c>
      <c r="F226" s="422">
        <v>40155.199999999997</v>
      </c>
      <c r="G226" s="423">
        <f t="shared" si="1496"/>
        <v>-30364.1</v>
      </c>
      <c r="H226" s="423">
        <f t="shared" si="1497"/>
        <v>164028.80000000005</v>
      </c>
      <c r="I226" s="289"/>
      <c r="L226" s="55">
        <f t="shared" si="1498"/>
        <v>46212</v>
      </c>
      <c r="M226" s="422">
        <v>30350</v>
      </c>
      <c r="N226" s="438">
        <f>SUMPRODUCT(PRODUCE!$B229:$DY229,PRODUCE!$EB$8:$IY$8)</f>
        <v>5355</v>
      </c>
      <c r="O226" s="422">
        <v>16140.2</v>
      </c>
      <c r="P226" s="438">
        <f t="shared" si="1499"/>
        <v>-10785.2</v>
      </c>
      <c r="Q226" s="438">
        <f t="shared" si="1500"/>
        <v>54231.400000000067</v>
      </c>
      <c r="R226" s="56"/>
      <c r="U226" s="55">
        <f t="shared" si="1501"/>
        <v>46212</v>
      </c>
      <c r="V226" s="422"/>
      <c r="W226" s="440">
        <f>SUMPRODUCT(PRODUCE!$B229:$DY229,PRODUCE!$EB$9:$IY$9)</f>
        <v>1080</v>
      </c>
      <c r="X226" s="422">
        <v>4580.1000000000004</v>
      </c>
      <c r="Y226" s="440">
        <f t="shared" si="1502"/>
        <v>-3500.1000000000004</v>
      </c>
      <c r="Z226" s="440">
        <f t="shared" si="1503"/>
        <v>11309.499999999973</v>
      </c>
      <c r="AA226" s="56"/>
      <c r="AD226" s="55">
        <f t="shared" si="1504"/>
        <v>46212</v>
      </c>
      <c r="AE226" s="422"/>
      <c r="AF226" s="442">
        <f>SUMPRODUCT(PRODUCE!$B229:$DY229,PRODUCE!$EB$10:$IY$10)</f>
        <v>0</v>
      </c>
      <c r="AG226" s="422"/>
      <c r="AH226" s="442">
        <f t="shared" si="1505"/>
        <v>0</v>
      </c>
      <c r="AI226" s="442">
        <f t="shared" si="1506"/>
        <v>32572.000000000018</v>
      </c>
      <c r="AJ226" s="56"/>
      <c r="AM226" s="55">
        <f t="shared" si="1507"/>
        <v>46212</v>
      </c>
      <c r="AN226" s="422"/>
      <c r="AO226" s="444">
        <f>SUMPRODUCT(PRODUCE!$B229:$DY229,PRODUCE!$EB$11:$IY$11)</f>
        <v>0</v>
      </c>
      <c r="AP226" s="422"/>
      <c r="AQ226" s="444">
        <f t="shared" si="1508"/>
        <v>0</v>
      </c>
      <c r="AR226" s="444">
        <f t="shared" si="1509"/>
        <v>0</v>
      </c>
      <c r="AS226" s="56"/>
      <c r="AV226" s="55">
        <f t="shared" si="1510"/>
        <v>46212</v>
      </c>
      <c r="AW226" s="422"/>
      <c r="AX226" s="446">
        <f>SUMPRODUCT(PRODUCE!$B229:$DY229,PRODUCE!$EB$12:$IY$12)</f>
        <v>0</v>
      </c>
      <c r="AY226" s="422"/>
      <c r="AZ226" s="446">
        <f t="shared" si="1511"/>
        <v>0</v>
      </c>
      <c r="BA226" s="446">
        <f t="shared" si="1512"/>
        <v>13506.099999999997</v>
      </c>
      <c r="BB226" s="56"/>
      <c r="BE226" s="55">
        <f t="shared" si="1513"/>
        <v>46212</v>
      </c>
      <c r="BF226" s="422"/>
      <c r="BG226" s="448">
        <f>SUMPRODUCT(PRODUCE!$B229:$DY229,PRODUCE!$EB$13:$IY$13)</f>
        <v>0</v>
      </c>
      <c r="BH226" s="422">
        <v>501.2</v>
      </c>
      <c r="BI226" s="448">
        <f t="shared" si="1514"/>
        <v>-501.2</v>
      </c>
      <c r="BJ226" s="448">
        <f t="shared" si="1515"/>
        <v>34457.999999999993</v>
      </c>
      <c r="BK226" s="56"/>
      <c r="BN226" s="55">
        <f t="shared" si="1516"/>
        <v>46212</v>
      </c>
      <c r="BO226" s="422">
        <v>590</v>
      </c>
      <c r="BP226" s="450">
        <f>SUMPRODUCT(PRODUCE!$B229:$DY229,PRODUCE!$EB$14:$IY$14)</f>
        <v>90</v>
      </c>
      <c r="BQ226" s="422">
        <v>590</v>
      </c>
      <c r="BR226" s="450">
        <f t="shared" si="1517"/>
        <v>-500</v>
      </c>
      <c r="BS226" s="450">
        <f t="shared" si="1518"/>
        <v>0</v>
      </c>
      <c r="BT226" s="56"/>
      <c r="BW226" s="55">
        <f t="shared" si="1519"/>
        <v>46212</v>
      </c>
      <c r="BX226" s="422">
        <v>6000</v>
      </c>
      <c r="BY226" s="523">
        <f>SUMPRODUCT(PRODUCE!$B229:$DY229,PRODUCE!$EB$15:$IY$15)</f>
        <v>132.39000000000001</v>
      </c>
      <c r="BZ226" s="422"/>
      <c r="CA226" s="523">
        <f t="shared" si="1520"/>
        <v>132.39000000000001</v>
      </c>
      <c r="CB226" s="523">
        <f t="shared" si="1521"/>
        <v>8379.7799999999988</v>
      </c>
      <c r="CC226" s="56"/>
      <c r="CF226" s="55">
        <f t="shared" si="1522"/>
        <v>46212</v>
      </c>
      <c r="CG226" s="422"/>
      <c r="CH226" s="524">
        <f>SUMPRODUCT(PRODUCE!$B229:$DY229,PRODUCE!$EB$16:$IY$16)</f>
        <v>0</v>
      </c>
      <c r="CI226" s="422">
        <v>99.06</v>
      </c>
      <c r="CJ226" s="524">
        <f t="shared" si="1523"/>
        <v>-99.06</v>
      </c>
      <c r="CK226" s="524">
        <f t="shared" si="1524"/>
        <v>-4104.8399999999992</v>
      </c>
      <c r="CL226" s="56"/>
      <c r="CO226" s="55">
        <f t="shared" si="1525"/>
        <v>46212</v>
      </c>
      <c r="CP226" s="422"/>
      <c r="CQ226" s="470">
        <f>SUMPRODUCT(PRODUCE!$B229:$DY229,PRODUCE!$EB$17:$IY$17)</f>
        <v>0</v>
      </c>
      <c r="CR226" s="422"/>
      <c r="CS226" s="470">
        <f t="shared" si="1526"/>
        <v>0</v>
      </c>
      <c r="CT226" s="470">
        <f t="shared" si="1527"/>
        <v>0</v>
      </c>
      <c r="CU226" s="56"/>
      <c r="CX226" s="55">
        <f t="shared" si="1528"/>
        <v>46212</v>
      </c>
      <c r="CY226" s="422"/>
      <c r="CZ226" s="525">
        <f>SUMPRODUCT(PRODUCE!$B229:$DY229,PRODUCE!$EB$18:$IY$18)</f>
        <v>360</v>
      </c>
      <c r="DA226" s="422">
        <v>1336</v>
      </c>
      <c r="DB226" s="525">
        <f t="shared" si="1529"/>
        <v>-976</v>
      </c>
      <c r="DC226" s="525">
        <f t="shared" si="1530"/>
        <v>2312.2000000000071</v>
      </c>
      <c r="DD226" s="56"/>
      <c r="DG226" s="55">
        <f t="shared" si="1531"/>
        <v>46212</v>
      </c>
      <c r="DH226" s="422"/>
      <c r="DI226" s="526">
        <f>SUMPRODUCT(PRODUCE!$B229:$DY229,PRODUCE!$EB$19:$IY$19)</f>
        <v>0</v>
      </c>
      <c r="DJ226" s="422"/>
      <c r="DK226" s="526">
        <f t="shared" si="1532"/>
        <v>0</v>
      </c>
      <c r="DL226" s="526">
        <f t="shared" si="1533"/>
        <v>34634.699999999983</v>
      </c>
      <c r="DM226" s="56"/>
      <c r="DP226" s="55">
        <f t="shared" si="1534"/>
        <v>46212</v>
      </c>
      <c r="DQ226" s="56"/>
      <c r="DR226" s="57">
        <f>SUMPRODUCT(PRODUCE!$B229:$DY229,PRODUCE!$EB$20:$IY$20)</f>
        <v>0</v>
      </c>
      <c r="DS226" s="56"/>
      <c r="DT226" s="57">
        <f t="shared" si="1535"/>
        <v>0</v>
      </c>
      <c r="DU226" s="57">
        <f t="shared" si="1536"/>
        <v>5800</v>
      </c>
      <c r="DV226" s="56"/>
      <c r="DY226" s="55">
        <f t="shared" si="1537"/>
        <v>46212</v>
      </c>
      <c r="DZ226" s="56"/>
      <c r="EA226" s="157">
        <f>SUMPRODUCT(PRODUCE!$B229:$DY229,PRODUCE!$EB$21:$IY$21)</f>
        <v>0</v>
      </c>
      <c r="EB226" s="56"/>
      <c r="EC226" s="157">
        <f t="shared" si="1538"/>
        <v>0</v>
      </c>
      <c r="ED226" s="157">
        <f t="shared" si="1539"/>
        <v>0</v>
      </c>
      <c r="EE226" s="56"/>
      <c r="EH226" s="55">
        <f t="shared" si="1540"/>
        <v>46212</v>
      </c>
      <c r="EI226" s="56">
        <v>73.55</v>
      </c>
      <c r="EJ226" s="162">
        <f>SUMPRODUCT(PRODUCE!$B229:$DY229,PRODUCE!$EB$22:$IY$22)</f>
        <v>0</v>
      </c>
      <c r="EK226" s="56">
        <v>73.55</v>
      </c>
      <c r="EL226" s="162">
        <f t="shared" si="1541"/>
        <v>-73.55</v>
      </c>
      <c r="EM226" s="162">
        <f t="shared" si="1542"/>
        <v>0</v>
      </c>
      <c r="EN226" s="56"/>
      <c r="EQ226" s="55">
        <f t="shared" si="1543"/>
        <v>46212</v>
      </c>
      <c r="ER226" s="56"/>
      <c r="ES226" s="172">
        <f>SUMPRODUCT(PRODUCE!$B229:$DY229,PRODUCE!$EB$23:$IY$23)</f>
        <v>0</v>
      </c>
      <c r="ET226" s="56"/>
      <c r="EU226" s="135">
        <f t="shared" si="1544"/>
        <v>0</v>
      </c>
      <c r="EV226" s="135">
        <f t="shared" si="1545"/>
        <v>0</v>
      </c>
      <c r="EW226" s="56"/>
      <c r="EZ226" s="55">
        <f t="shared" si="1546"/>
        <v>46212</v>
      </c>
      <c r="FA226" s="56"/>
      <c r="FB226" s="175">
        <f>SUMPRODUCT(PRODUCE!$B229:$DY229,PRODUCE!$EB$24:$IY$24)</f>
        <v>0</v>
      </c>
      <c r="FC226" s="56"/>
      <c r="FD226" s="175">
        <f t="shared" si="1547"/>
        <v>0</v>
      </c>
      <c r="FE226" s="175">
        <f t="shared" si="1548"/>
        <v>0</v>
      </c>
      <c r="FF226" s="56"/>
      <c r="FI226" s="55">
        <f t="shared" si="1549"/>
        <v>46212</v>
      </c>
      <c r="FJ226" s="56"/>
      <c r="FK226" s="183">
        <f>SUMPRODUCT(PRODUCE!$B229:$DY229,PRODUCE!$EB$25:$IY$25)</f>
        <v>0</v>
      </c>
      <c r="FL226" s="56"/>
      <c r="FM226" s="183">
        <f t="shared" si="1550"/>
        <v>0</v>
      </c>
      <c r="FN226" s="183">
        <f t="shared" si="1551"/>
        <v>0</v>
      </c>
      <c r="FO226" s="56"/>
      <c r="FR226" s="55">
        <f t="shared" si="1552"/>
        <v>46212</v>
      </c>
      <c r="FS226" s="56"/>
      <c r="FT226" s="186">
        <f>SUMPRODUCT(PRODUCE!$B229:$DY229,PRODUCE!$EB$26:$IY$26)</f>
        <v>0</v>
      </c>
      <c r="FU226" s="56"/>
      <c r="FV226" s="186">
        <f t="shared" si="1553"/>
        <v>0</v>
      </c>
      <c r="FW226" s="186">
        <f t="shared" si="1554"/>
        <v>1160</v>
      </c>
      <c r="FX226" s="56"/>
      <c r="GA226" s="55">
        <f t="shared" si="1555"/>
        <v>46212</v>
      </c>
      <c r="GB226" s="56"/>
      <c r="GC226" s="137">
        <f>SUMPRODUCT(PRODUCE!$B229:$DY229,PRODUCE!$EB$27:$IY$27)</f>
        <v>0</v>
      </c>
      <c r="GD226" s="56"/>
      <c r="GE226" s="137">
        <f t="shared" si="1556"/>
        <v>0</v>
      </c>
      <c r="GF226" s="137">
        <f t="shared" si="1557"/>
        <v>960</v>
      </c>
      <c r="GG226" s="56"/>
      <c r="GI226" s="23"/>
      <c r="GJ226" s="55">
        <f t="shared" si="1558"/>
        <v>46212</v>
      </c>
      <c r="GK226" s="56"/>
      <c r="GL226" s="199">
        <f>SUMPRODUCT(PRODUCE!$B229:$DY229,PRODUCE!$EB$28:$IY$28)</f>
        <v>0</v>
      </c>
      <c r="GM226" s="56"/>
      <c r="GN226" s="199">
        <f t="shared" si="1559"/>
        <v>0</v>
      </c>
      <c r="GO226" s="199">
        <f t="shared" si="1560"/>
        <v>1760</v>
      </c>
      <c r="GP226" s="56"/>
      <c r="GS226" s="55">
        <f t="shared" si="1561"/>
        <v>46212</v>
      </c>
      <c r="GT226" s="56"/>
      <c r="GU226" s="195">
        <f>SUMPRODUCT(PRODUCE!$B229:$DY229,PRODUCE!$EB$29:$IY$29)</f>
        <v>0</v>
      </c>
      <c r="GV226" s="56"/>
      <c r="GW226" s="195">
        <f t="shared" si="1562"/>
        <v>0</v>
      </c>
      <c r="GX226" s="195">
        <f t="shared" si="1563"/>
        <v>400</v>
      </c>
      <c r="GY226" s="56"/>
      <c r="HB226" s="55">
        <f t="shared" si="1564"/>
        <v>46212</v>
      </c>
      <c r="HC226" s="56"/>
      <c r="HD226" s="191">
        <f>SUMPRODUCT(PRODUCE!$B229:$DY229,PRODUCE!$EB$30:$IY$30)</f>
        <v>0</v>
      </c>
      <c r="HE226" s="56"/>
      <c r="HF226" s="191">
        <f t="shared" si="1565"/>
        <v>0</v>
      </c>
      <c r="HG226" s="191">
        <f t="shared" si="1566"/>
        <v>3600</v>
      </c>
      <c r="HH226" s="56"/>
      <c r="HK226" s="55">
        <f t="shared" si="1567"/>
        <v>46212</v>
      </c>
      <c r="HL226" s="56"/>
      <c r="HM226" s="63">
        <f>SUMPRODUCT(PRODUCE!$B229:$DY229,PRODUCE!$EB$31:$IY$31)</f>
        <v>0</v>
      </c>
      <c r="HN226" s="56"/>
      <c r="HO226" s="63">
        <f t="shared" si="1568"/>
        <v>0</v>
      </c>
      <c r="HP226" s="63">
        <f t="shared" si="1569"/>
        <v>0</v>
      </c>
      <c r="HQ226" s="56"/>
      <c r="HU226" s="55">
        <f t="shared" si="1570"/>
        <v>46212</v>
      </c>
      <c r="HV226" s="56"/>
      <c r="HW226" s="242">
        <f>SUMPRODUCT(PRODUCE!$B229:$DY229,PRODUCE!$EB$32:$IY$32)</f>
        <v>0</v>
      </c>
      <c r="HX226" s="56"/>
      <c r="HY226" s="242">
        <f t="shared" si="1571"/>
        <v>0</v>
      </c>
      <c r="HZ226" s="242">
        <f t="shared" si="1572"/>
        <v>6560</v>
      </c>
      <c r="IA226" s="56"/>
      <c r="ID226" s="55">
        <f t="shared" si="1573"/>
        <v>46212</v>
      </c>
      <c r="IE226" s="56"/>
      <c r="IF226" s="242">
        <f>SUMPRODUCT(PRODUCE!$B229:$DY229,PRODUCE!$EB$33:$IY$33)</f>
        <v>0</v>
      </c>
      <c r="IG226" s="56"/>
      <c r="IH226" s="242">
        <f t="shared" si="1574"/>
        <v>0</v>
      </c>
      <c r="II226" s="242">
        <f t="shared" si="1575"/>
        <v>720</v>
      </c>
      <c r="IJ226" s="56"/>
      <c r="IM226" s="55">
        <f t="shared" si="1576"/>
        <v>46212</v>
      </c>
      <c r="IN226" s="56"/>
      <c r="IO226" s="242">
        <f>SUMPRODUCT(PRODUCE!$B229:$DY229,PRODUCE!$EB$34:$IY$34)</f>
        <v>0</v>
      </c>
      <c r="IP226" s="56"/>
      <c r="IQ226" s="242">
        <f t="shared" si="1577"/>
        <v>0</v>
      </c>
      <c r="IR226" s="242">
        <f t="shared" si="1578"/>
        <v>6400</v>
      </c>
      <c r="IS226" s="56"/>
      <c r="IV226" s="55">
        <f t="shared" si="1579"/>
        <v>46212</v>
      </c>
      <c r="IW226" s="56"/>
      <c r="IX226" s="242">
        <f>SUMPRODUCT(PRODUCE!$B229:$DY229,PRODUCE!$EB$35:$IY$35)</f>
        <v>0</v>
      </c>
      <c r="IY226" s="56"/>
      <c r="IZ226" s="242">
        <f t="shared" si="1580"/>
        <v>0</v>
      </c>
      <c r="JA226" s="242">
        <f t="shared" si="1581"/>
        <v>4960</v>
      </c>
      <c r="JB226" s="56"/>
      <c r="JE226" s="55">
        <f t="shared" si="1582"/>
        <v>46212</v>
      </c>
      <c r="JF226" s="56"/>
      <c r="JG226" s="242">
        <f>SUMPRODUCT(PRODUCE!$B229:$DY229,PRODUCE!$EB$36:$IY$36)</f>
        <v>0</v>
      </c>
      <c r="JH226" s="56"/>
      <c r="JI226" s="242">
        <f t="shared" si="1583"/>
        <v>0</v>
      </c>
      <c r="JJ226" s="242">
        <f t="shared" si="1584"/>
        <v>0</v>
      </c>
      <c r="JK226" s="56"/>
      <c r="JN226" s="55">
        <f t="shared" si="1585"/>
        <v>46212</v>
      </c>
      <c r="JO226" s="56"/>
      <c r="JP226" s="242">
        <f>SUMPRODUCT(PRODUCE!$B229:$DY229,PRODUCE!$EB$37:$IY$37)</f>
        <v>0</v>
      </c>
      <c r="JQ226" s="56"/>
      <c r="JR226" s="242">
        <f t="shared" si="1586"/>
        <v>0</v>
      </c>
      <c r="JS226" s="242">
        <f t="shared" si="1587"/>
        <v>0</v>
      </c>
      <c r="JT226" s="56"/>
      <c r="JW226" s="55">
        <f t="shared" si="1588"/>
        <v>46212</v>
      </c>
      <c r="JX226" s="56"/>
      <c r="JY226" s="242">
        <f>SUMPRODUCT(PRODUCE!$B229:$DY229,PRODUCE!$EB$38:$IY$38)</f>
        <v>0</v>
      </c>
      <c r="JZ226" s="56"/>
      <c r="KA226" s="242">
        <f t="shared" si="1589"/>
        <v>0</v>
      </c>
      <c r="KB226" s="242">
        <f t="shared" si="1590"/>
        <v>2540</v>
      </c>
      <c r="KC226" s="56"/>
      <c r="KF226" s="55">
        <f t="shared" si="1591"/>
        <v>46212</v>
      </c>
      <c r="KG226" s="56"/>
      <c r="KH226" s="242">
        <f>SUMPRODUCT(PRODUCE!$B229:$DY229,PRODUCE!$EB$39:$IY$39)</f>
        <v>0</v>
      </c>
      <c r="KI226" s="56"/>
      <c r="KJ226" s="242">
        <f t="shared" si="1592"/>
        <v>0</v>
      </c>
      <c r="KK226" s="242">
        <f t="shared" si="1593"/>
        <v>2359.5</v>
      </c>
      <c r="KL226" s="56"/>
      <c r="KO226" s="55">
        <f t="shared" si="1594"/>
        <v>46212</v>
      </c>
      <c r="KP226" s="56"/>
      <c r="KQ226" s="242">
        <f>SUMPRODUCT(PRODUCE!$B229:$DY229,PRODUCE!$EB$40:$IY$40)</f>
        <v>0</v>
      </c>
      <c r="KR226" s="56"/>
      <c r="KS226" s="242">
        <f t="shared" si="1595"/>
        <v>0</v>
      </c>
      <c r="KT226" s="242">
        <f t="shared" si="1596"/>
        <v>1890</v>
      </c>
      <c r="KU226" s="56"/>
      <c r="KW226" s="23"/>
      <c r="KX226" s="55">
        <f t="shared" si="1597"/>
        <v>46212</v>
      </c>
      <c r="KY226" s="56"/>
      <c r="KZ226" s="242">
        <f>SUMPRODUCT(PRODUCE!$B229:$DY229,PRODUCE!$EB$41:$IY$41)</f>
        <v>0</v>
      </c>
      <c r="LA226" s="56"/>
      <c r="LB226" s="242">
        <f t="shared" si="1598"/>
        <v>0</v>
      </c>
      <c r="LC226" s="242">
        <f t="shared" si="1599"/>
        <v>3690</v>
      </c>
      <c r="LD226" s="56"/>
      <c r="LG226" s="55">
        <f t="shared" si="1600"/>
        <v>46212</v>
      </c>
      <c r="LH226" s="56"/>
      <c r="LI226" s="242">
        <f>SUMPRODUCT(PRODUCE!$B229:$DY229,PRODUCE!$EB$42:$IY$42)</f>
        <v>0</v>
      </c>
      <c r="LJ226" s="56"/>
      <c r="LK226" s="242">
        <f t="shared" si="1601"/>
        <v>0</v>
      </c>
      <c r="LL226" s="242">
        <f t="shared" si="1602"/>
        <v>4000</v>
      </c>
      <c r="LM226" s="56"/>
      <c r="LP226" s="55">
        <f t="shared" si="1603"/>
        <v>46212</v>
      </c>
      <c r="LQ226" s="56"/>
      <c r="LR226" s="242">
        <f>SUMPRODUCT(PRODUCE!$B229:$DY229,PRODUCE!$EB$43:$IY$43)</f>
        <v>0</v>
      </c>
      <c r="LS226" s="56"/>
      <c r="LT226" s="242">
        <f t="shared" si="1604"/>
        <v>0</v>
      </c>
      <c r="LU226" s="242">
        <f t="shared" si="1605"/>
        <v>0</v>
      </c>
      <c r="LV226" s="56"/>
      <c r="LY226" s="55">
        <f t="shared" si="1606"/>
        <v>46212</v>
      </c>
      <c r="LZ226" s="56"/>
      <c r="MA226" s="242">
        <f>SUMPRODUCT(PRODUCE!$B229:$DY229,PRODUCE!$EB$44:$IY$44)</f>
        <v>0</v>
      </c>
      <c r="MB226" s="56"/>
      <c r="MC226" s="242">
        <f t="shared" si="1607"/>
        <v>0</v>
      </c>
      <c r="MD226" s="242">
        <f t="shared" si="1608"/>
        <v>0</v>
      </c>
      <c r="ME226" s="56"/>
      <c r="MH226" s="55">
        <f t="shared" si="1609"/>
        <v>46212</v>
      </c>
      <c r="MI226" s="56"/>
      <c r="MJ226" s="242">
        <f>SUMPRODUCT(PRODUCE!$B229:$DY229,PRODUCE!$EB$45:$IY$45)</f>
        <v>0</v>
      </c>
      <c r="MK226" s="56"/>
      <c r="ML226" s="242">
        <f t="shared" si="1610"/>
        <v>0</v>
      </c>
      <c r="MM226" s="242">
        <f t="shared" si="1611"/>
        <v>0</v>
      </c>
      <c r="MN226" s="56"/>
      <c r="MQ226" s="55">
        <f t="shared" si="1612"/>
        <v>46212</v>
      </c>
      <c r="MR226" s="56"/>
      <c r="MS226" s="242">
        <f>SUMPRODUCT(PRODUCE!$B229:$DY229,PRODUCE!$EB$46:$IY$46)</f>
        <v>0</v>
      </c>
      <c r="MT226" s="56">
        <v>10</v>
      </c>
      <c r="MU226" s="242">
        <f t="shared" si="1613"/>
        <v>-10</v>
      </c>
      <c r="MV226" s="242">
        <f t="shared" si="1614"/>
        <v>3062</v>
      </c>
      <c r="MW226" s="56"/>
      <c r="MZ226" s="55">
        <f t="shared" si="1615"/>
        <v>46212</v>
      </c>
      <c r="NA226" s="56">
        <v>120</v>
      </c>
      <c r="NB226" s="242">
        <f>SUMPRODUCT(PRODUCE!$B229:$DY229,PRODUCE!$EB$47:$IY$47)</f>
        <v>0</v>
      </c>
      <c r="NC226" s="56">
        <v>120</v>
      </c>
      <c r="ND226" s="242">
        <f t="shared" si="1616"/>
        <v>-120</v>
      </c>
      <c r="NE226" s="242">
        <f t="shared" si="1617"/>
        <v>0</v>
      </c>
      <c r="NF226" s="56"/>
      <c r="NI226" s="55">
        <f t="shared" si="1618"/>
        <v>46212</v>
      </c>
      <c r="NJ226" s="56"/>
      <c r="NK226" s="242">
        <f>SUMPRODUCT(PRODUCE!$B229:$DY229,PRODUCE!$EB$48:$IY$48)</f>
        <v>0</v>
      </c>
      <c r="NL226" s="56"/>
      <c r="NM226" s="242">
        <f t="shared" si="1619"/>
        <v>0</v>
      </c>
      <c r="NN226" s="242">
        <f t="shared" si="1620"/>
        <v>1127</v>
      </c>
      <c r="NO226" s="56"/>
      <c r="NR226" s="55">
        <f t="shared" si="1621"/>
        <v>46212</v>
      </c>
      <c r="NS226" s="56"/>
      <c r="NT226" s="242">
        <f>SUMPRODUCT(PRODUCE!$B229:$DY229,PRODUCE!$EB$49:$IY$49)</f>
        <v>0</v>
      </c>
      <c r="NU226" s="56"/>
      <c r="NV226" s="242">
        <f t="shared" si="1622"/>
        <v>0</v>
      </c>
      <c r="NW226" s="242">
        <f t="shared" si="1623"/>
        <v>3111.9999999999995</v>
      </c>
      <c r="NX226" s="56"/>
      <c r="OA226" s="55">
        <f t="shared" si="1624"/>
        <v>46212</v>
      </c>
      <c r="OB226" s="56"/>
      <c r="OC226" s="242">
        <f>SUMPRODUCT(PRODUCE!$B229:$DY229,PRODUCE!$EB$50:$IY$50)</f>
        <v>0</v>
      </c>
      <c r="OD226" s="56"/>
      <c r="OE226" s="242">
        <f t="shared" si="1625"/>
        <v>0</v>
      </c>
      <c r="OF226" s="242">
        <f t="shared" si="1626"/>
        <v>1680.5</v>
      </c>
      <c r="OG226" s="56"/>
      <c r="OJ226" s="55">
        <f t="shared" si="1627"/>
        <v>46212</v>
      </c>
      <c r="OK226" s="56">
        <v>26</v>
      </c>
      <c r="OL226" s="242">
        <f>SUMPRODUCT(PRODUCE!$B229:$DY229,PRODUCE!$EB$51:$IY$51)</f>
        <v>0</v>
      </c>
      <c r="OM226" s="56">
        <v>26</v>
      </c>
      <c r="ON226" s="242">
        <f t="shared" si="1628"/>
        <v>-26</v>
      </c>
      <c r="OO226" s="242">
        <f t="shared" si="1629"/>
        <v>0</v>
      </c>
      <c r="OP226" s="56"/>
      <c r="OS226" s="55">
        <f t="shared" si="1630"/>
        <v>46212</v>
      </c>
      <c r="OT226" s="56"/>
      <c r="OU226" s="242">
        <f>SUMPRODUCT(PRODUCE!$B229:$DY229,PRODUCE!$EB$52:$IY$52)</f>
        <v>0</v>
      </c>
      <c r="OV226" s="56"/>
      <c r="OW226" s="242">
        <f t="shared" si="1631"/>
        <v>0</v>
      </c>
      <c r="OX226" s="242">
        <f t="shared" si="1632"/>
        <v>1482</v>
      </c>
      <c r="OY226" s="56"/>
      <c r="PB226" s="55">
        <f t="shared" si="1633"/>
        <v>46212</v>
      </c>
      <c r="PC226" s="56"/>
      <c r="PD226" s="242">
        <f>SUMPRODUCT(PRODUCE!$B229:$DY229,PRODUCE!$EB$53:$IY$53)</f>
        <v>0</v>
      </c>
      <c r="PE226" s="56"/>
      <c r="PF226" s="242">
        <f t="shared" si="1634"/>
        <v>0</v>
      </c>
      <c r="PG226" s="242">
        <f t="shared" si="1635"/>
        <v>0</v>
      </c>
      <c r="PH226" s="56"/>
      <c r="PK226" s="55">
        <f t="shared" si="1636"/>
        <v>46212</v>
      </c>
      <c r="PL226" s="56"/>
      <c r="PM226" s="242">
        <f>SUMPRODUCT(PRODUCE!$B229:$DY229,PRODUCE!$EB$54:$IY$54)</f>
        <v>0</v>
      </c>
      <c r="PN226" s="56"/>
      <c r="PO226" s="242">
        <f t="shared" si="1637"/>
        <v>0</v>
      </c>
      <c r="PP226" s="242">
        <f t="shared" si="1638"/>
        <v>100</v>
      </c>
      <c r="PQ226" s="56"/>
      <c r="PT226" s="55">
        <f t="shared" si="1639"/>
        <v>46212</v>
      </c>
      <c r="PU226" s="56"/>
      <c r="PV226" s="242">
        <f>SUMPRODUCT(PRODUCE!$B229:$DY229,PRODUCE!$EB$55:$IY$55)</f>
        <v>0</v>
      </c>
      <c r="PW226" s="56"/>
      <c r="PX226" s="242">
        <f t="shared" si="1640"/>
        <v>0</v>
      </c>
      <c r="PY226" s="242">
        <f t="shared" si="1641"/>
        <v>13.960000000000036</v>
      </c>
      <c r="PZ226" s="56"/>
      <c r="QC226" s="55">
        <f t="shared" si="1642"/>
        <v>46212</v>
      </c>
      <c r="QD226" s="56"/>
      <c r="QE226" s="242">
        <f>SUMPRODUCT(PRODUCE!$B229:$DY229,PRODUCE!$EB$56:$IY$56)</f>
        <v>0</v>
      </c>
      <c r="QF226" s="56"/>
      <c r="QG226" s="242">
        <f t="shared" si="1643"/>
        <v>0</v>
      </c>
      <c r="QH226" s="242">
        <f t="shared" si="1644"/>
        <v>1736</v>
      </c>
      <c r="QI226" s="56"/>
      <c r="QL226" s="55">
        <f t="shared" si="1645"/>
        <v>46212</v>
      </c>
      <c r="QM226" s="56"/>
      <c r="QN226" s="242">
        <f>SUMPRODUCT(PRODUCE!$B229:$DY229,PRODUCE!$EB$57:$IY$57)</f>
        <v>0</v>
      </c>
      <c r="QO226" s="56"/>
      <c r="QP226" s="242">
        <f t="shared" si="1646"/>
        <v>0</v>
      </c>
      <c r="QQ226" s="242">
        <f t="shared" si="1647"/>
        <v>235</v>
      </c>
      <c r="QR226" s="56"/>
      <c r="QU226" s="55">
        <f t="shared" si="1648"/>
        <v>46212</v>
      </c>
      <c r="QV226" s="56"/>
      <c r="QW226" s="242">
        <f>SUMPRODUCT(PRODUCE!$B229:$DY229,PRODUCE!$EB$58:$IY$58)</f>
        <v>0</v>
      </c>
      <c r="QX226" s="56"/>
      <c r="QY226" s="242">
        <f t="shared" si="1649"/>
        <v>0</v>
      </c>
      <c r="QZ226" s="242">
        <f t="shared" si="1650"/>
        <v>207.6</v>
      </c>
      <c r="RA226" s="56"/>
      <c r="RD226" s="55">
        <f t="shared" si="1651"/>
        <v>46212</v>
      </c>
      <c r="RE226" s="56"/>
      <c r="RF226" s="242">
        <f>SUMPRODUCT(PRODUCE!$B229:$DY229,PRODUCE!$EB$59:$IY$59)</f>
        <v>0</v>
      </c>
      <c r="RG226" s="56"/>
      <c r="RH226" s="242">
        <f t="shared" si="1652"/>
        <v>0</v>
      </c>
      <c r="RI226" s="242">
        <f t="shared" si="1653"/>
        <v>147.04000000000002</v>
      </c>
      <c r="RJ226" s="56"/>
      <c r="RM226" s="55">
        <f t="shared" si="1654"/>
        <v>46212</v>
      </c>
      <c r="RN226" s="56"/>
      <c r="RO226" s="242">
        <f>SUMPRODUCT(PRODUCE!$B229:$DY229,PRODUCE!$EB$60:$IY$60)</f>
        <v>0</v>
      </c>
      <c r="RP226" s="56"/>
      <c r="RQ226" s="242">
        <f t="shared" si="1655"/>
        <v>0</v>
      </c>
      <c r="RR226" s="242">
        <f t="shared" si="1656"/>
        <v>46.8</v>
      </c>
      <c r="RS226" s="56"/>
      <c r="RV226" s="55">
        <f t="shared" si="1657"/>
        <v>46212</v>
      </c>
      <c r="RW226" s="56"/>
      <c r="RX226" s="242">
        <f>SUMPRODUCT(PRODUCE!$B229:$DY229,PRODUCE!$EB$61:$IY$61)</f>
        <v>0</v>
      </c>
      <c r="RY226" s="56"/>
      <c r="RZ226" s="242">
        <f t="shared" si="1658"/>
        <v>0</v>
      </c>
      <c r="SA226" s="242">
        <f t="shared" si="1659"/>
        <v>0</v>
      </c>
      <c r="SB226" s="56"/>
      <c r="SE226" s="55">
        <f t="shared" si="1660"/>
        <v>46212</v>
      </c>
      <c r="SF226" s="56"/>
      <c r="SG226" s="242">
        <f>SUMPRODUCT(PRODUCE!$B229:$DY229,PRODUCE!$EB$62:$IY$62)</f>
        <v>0</v>
      </c>
      <c r="SH226" s="56"/>
      <c r="SI226" s="242">
        <f t="shared" si="1661"/>
        <v>0</v>
      </c>
      <c r="SJ226" s="242">
        <f t="shared" si="1662"/>
        <v>24.200000000000003</v>
      </c>
      <c r="SK226" s="56"/>
      <c r="SN226" s="55">
        <f t="shared" si="1663"/>
        <v>46212</v>
      </c>
      <c r="SO226" s="56"/>
      <c r="SP226" s="242">
        <f>SUMPRODUCT(PRODUCE!$B229:$DY229,PRODUCE!$EB$63:$IY$63)</f>
        <v>0</v>
      </c>
      <c r="SQ226" s="56"/>
      <c r="SR226" s="242">
        <f t="shared" si="1664"/>
        <v>0</v>
      </c>
      <c r="SS226" s="242">
        <f t="shared" si="1665"/>
        <v>32</v>
      </c>
      <c r="ST226" s="56"/>
      <c r="SW226" s="55">
        <f t="shared" si="1666"/>
        <v>46212</v>
      </c>
      <c r="SX226" s="56"/>
      <c r="SY226" s="242">
        <f>SUMPRODUCT(PRODUCE!$B229:$DY229,PRODUCE!$EB$64:$IY$64)</f>
        <v>0</v>
      </c>
      <c r="SZ226" s="56"/>
      <c r="TA226" s="242">
        <f t="shared" si="1667"/>
        <v>0</v>
      </c>
      <c r="TB226" s="242">
        <f t="shared" si="1668"/>
        <v>0</v>
      </c>
      <c r="TC226" s="56"/>
      <c r="TF226" s="55">
        <f t="shared" si="1669"/>
        <v>46212</v>
      </c>
      <c r="TG226" s="56"/>
      <c r="TH226" s="242">
        <f>SUMPRODUCT(PRODUCE!$B229:$DY229,PRODUCE!$EB$57:$IY$57)</f>
        <v>0</v>
      </c>
      <c r="TI226" s="56"/>
      <c r="TJ226" s="242">
        <f t="shared" si="1670"/>
        <v>0</v>
      </c>
      <c r="TK226" s="242">
        <f t="shared" si="1671"/>
        <v>0</v>
      </c>
      <c r="TL226" s="56"/>
      <c r="TO226" s="55">
        <f t="shared" si="1672"/>
        <v>46212</v>
      </c>
      <c r="TP226" s="56"/>
      <c r="TQ226" s="242">
        <f>SUMPRODUCT(PRODUCE!$B229:$DY229,PRODUCE!$EB$57:$IY$57)</f>
        <v>0</v>
      </c>
      <c r="TR226" s="56"/>
      <c r="TS226" s="242">
        <f t="shared" si="1673"/>
        <v>0</v>
      </c>
      <c r="TT226" s="242">
        <f t="shared" si="1674"/>
        <v>22.400000000000006</v>
      </c>
      <c r="TU226" s="56"/>
      <c r="TX226" s="55">
        <f t="shared" si="1675"/>
        <v>46212</v>
      </c>
      <c r="TY226" s="56"/>
      <c r="TZ226" s="242">
        <f>SUMPRODUCT(PRODUCE!$B229:$DY229,PRODUCE!$EB$57:$IY$57)</f>
        <v>0</v>
      </c>
      <c r="UA226" s="56"/>
      <c r="UB226" s="242">
        <f t="shared" si="1676"/>
        <v>0</v>
      </c>
      <c r="UC226" s="242">
        <f t="shared" si="1677"/>
        <v>46.799999999999983</v>
      </c>
      <c r="UD226" s="56"/>
      <c r="UG226" s="55">
        <f t="shared" si="1678"/>
        <v>46212</v>
      </c>
      <c r="UH226" s="56"/>
      <c r="UI226" s="242">
        <f>SUMPRODUCT(PRODUCE!$B229:$DY229,PRODUCE!$EB$57:$IY$57)</f>
        <v>0</v>
      </c>
      <c r="UJ226" s="56"/>
      <c r="UK226" s="242">
        <f t="shared" si="1679"/>
        <v>0</v>
      </c>
      <c r="UL226" s="242">
        <f t="shared" si="1680"/>
        <v>204</v>
      </c>
      <c r="UM226" s="56"/>
      <c r="UP226" s="55">
        <f t="shared" si="1681"/>
        <v>46212</v>
      </c>
      <c r="UQ226" s="56"/>
      <c r="UR226" s="242">
        <f>SUMPRODUCT(PRODUCE!$B229:$DY229,PRODUCE!$EB$69:$IY$69)</f>
        <v>0</v>
      </c>
      <c r="US226" s="56"/>
      <c r="UT226" s="242">
        <f t="shared" si="1682"/>
        <v>0</v>
      </c>
      <c r="UU226" s="242">
        <f t="shared" si="1683"/>
        <v>251.25</v>
      </c>
      <c r="UV226" s="56"/>
      <c r="UY226" s="55">
        <f t="shared" si="1684"/>
        <v>46212</v>
      </c>
      <c r="UZ226" s="56"/>
      <c r="VA226" s="242">
        <f>SUMPRODUCT(PRODUCE!$B229:$DY229,PRODUCE!$EB$70:$IY$70)</f>
        <v>0</v>
      </c>
      <c r="VB226" s="56"/>
      <c r="VC226" s="242">
        <f t="shared" si="1685"/>
        <v>0</v>
      </c>
      <c r="VD226" s="242">
        <f t="shared" si="1686"/>
        <v>41.600000000000023</v>
      </c>
      <c r="VE226" s="56"/>
      <c r="VH226" s="55">
        <f t="shared" si="1687"/>
        <v>46212</v>
      </c>
      <c r="VI226" s="56"/>
      <c r="VJ226" s="242">
        <f>SUMPRODUCT(PRODUCE!$B229:$DY229,PRODUCE!$EB$71:$IY$71)</f>
        <v>0</v>
      </c>
      <c r="VK226" s="56"/>
      <c r="VL226" s="242">
        <f t="shared" si="1688"/>
        <v>0</v>
      </c>
      <c r="VM226" s="242">
        <f t="shared" si="1689"/>
        <v>210</v>
      </c>
      <c r="VN226" s="56"/>
      <c r="VQ226" s="55">
        <f t="shared" si="1690"/>
        <v>46212</v>
      </c>
      <c r="VR226" s="56"/>
      <c r="VS226" s="242">
        <f>SUMPRODUCT(PRODUCE!$B229:$DY229,PRODUCE!$EB$57:$IY$57)</f>
        <v>0</v>
      </c>
      <c r="VT226" s="56"/>
      <c r="VU226" s="242">
        <f t="shared" si="1691"/>
        <v>0</v>
      </c>
      <c r="VV226" s="242">
        <f t="shared" si="1692"/>
        <v>0</v>
      </c>
      <c r="VW226" s="56"/>
      <c r="VZ226" s="55">
        <f t="shared" si="1693"/>
        <v>46212</v>
      </c>
      <c r="WA226" s="56"/>
      <c r="WB226" s="242">
        <f>SUMPRODUCT(PRODUCE!$B229:$DY229,PRODUCE!$EB$57:$IY$57)</f>
        <v>0</v>
      </c>
      <c r="WC226" s="56"/>
      <c r="WD226" s="242">
        <f t="shared" si="1694"/>
        <v>0</v>
      </c>
      <c r="WE226" s="242">
        <f t="shared" si="1695"/>
        <v>0</v>
      </c>
      <c r="WF226" s="56"/>
      <c r="WI226" s="55">
        <f t="shared" si="1696"/>
        <v>46212</v>
      </c>
      <c r="WJ226" s="56"/>
      <c r="WK226" s="242">
        <f>SUMPRODUCT(PRODUCE!$B229:$DY229,PRODUCE!$EB$57:$IY$57)</f>
        <v>0</v>
      </c>
      <c r="WL226" s="56"/>
      <c r="WM226" s="242">
        <f t="shared" si="1697"/>
        <v>0</v>
      </c>
      <c r="WN226" s="242">
        <f t="shared" si="1698"/>
        <v>1057</v>
      </c>
      <c r="WO226" s="56"/>
      <c r="WR226" s="55">
        <f t="shared" si="1699"/>
        <v>46212</v>
      </c>
      <c r="WS226" s="56"/>
      <c r="WT226" s="242">
        <f>SUMPRODUCT(PRODUCE!$B229:$DY229,PRODUCE!$EB$57:$IY$57)</f>
        <v>0</v>
      </c>
      <c r="WU226" s="56"/>
      <c r="WV226" s="242">
        <f t="shared" si="1700"/>
        <v>0</v>
      </c>
      <c r="WW226" s="242">
        <f t="shared" si="1701"/>
        <v>0</v>
      </c>
      <c r="WX226" s="56"/>
      <c r="XA226" s="55">
        <f t="shared" si="1702"/>
        <v>46212</v>
      </c>
      <c r="XB226" s="56"/>
      <c r="XC226" s="242">
        <f>SUMPRODUCT(PRODUCE!$B229:$DY229,PRODUCE!$EB$57:$IY$57)</f>
        <v>0</v>
      </c>
      <c r="XD226" s="56"/>
      <c r="XE226" s="242">
        <f t="shared" si="1703"/>
        <v>0</v>
      </c>
      <c r="XF226" s="242">
        <f t="shared" si="1704"/>
        <v>7507</v>
      </c>
      <c r="XG226" s="56"/>
      <c r="XJ226" s="55">
        <f t="shared" si="1705"/>
        <v>46212</v>
      </c>
      <c r="XK226" s="56"/>
      <c r="XL226" s="242">
        <f>SUMPRODUCT(PRODUCE!$B229:$DY229,PRODUCE!$EB$57:$IY$57)</f>
        <v>0</v>
      </c>
      <c r="XM226" s="56"/>
      <c r="XN226" s="242">
        <f t="shared" si="1706"/>
        <v>0</v>
      </c>
      <c r="XO226" s="242">
        <f t="shared" si="1707"/>
        <v>4252</v>
      </c>
      <c r="XP226" s="56"/>
      <c r="XS226" s="55">
        <f t="shared" si="1708"/>
        <v>46212</v>
      </c>
      <c r="XT226" s="56"/>
      <c r="XU226" s="242">
        <f>SUMPRODUCT(PRODUCE!$B229:$DY229,PRODUCE!$EB$57:$IY$57)</f>
        <v>0</v>
      </c>
      <c r="XV226" s="56"/>
      <c r="XW226" s="242">
        <f t="shared" si="1709"/>
        <v>0</v>
      </c>
      <c r="XX226" s="242">
        <f t="shared" si="1710"/>
        <v>2179</v>
      </c>
      <c r="XY226" s="56"/>
      <c r="YB226" s="55">
        <f t="shared" si="1711"/>
        <v>46212</v>
      </c>
      <c r="YC226" s="56"/>
      <c r="YD226" s="242">
        <f>SUMPRODUCT(PRODUCE!$B229:$DY229,PRODUCE!$EB$57:$IY$57)</f>
        <v>0</v>
      </c>
      <c r="YE226" s="56"/>
      <c r="YF226" s="242">
        <f t="shared" si="1712"/>
        <v>0</v>
      </c>
      <c r="YG226" s="242">
        <f t="shared" si="1713"/>
        <v>4019</v>
      </c>
      <c r="YH226" s="56"/>
      <c r="YK226" s="55">
        <f t="shared" si="1714"/>
        <v>46212</v>
      </c>
      <c r="YL226" s="56"/>
      <c r="YM226" s="242">
        <f>SUMPRODUCT(PRODUCE!$B229:$DY229,PRODUCE!$EB$57:$IY$57)</f>
        <v>0</v>
      </c>
      <c r="YN226" s="56"/>
      <c r="YO226" s="242">
        <f t="shared" si="1715"/>
        <v>0</v>
      </c>
      <c r="YP226" s="242">
        <f t="shared" si="1716"/>
        <v>0</v>
      </c>
      <c r="YQ226" s="56"/>
      <c r="YT226" s="55">
        <f t="shared" si="1717"/>
        <v>46212</v>
      </c>
      <c r="YU226" s="56"/>
      <c r="YV226" s="242">
        <f>SUMPRODUCT(PRODUCE!$B229:$DY229,PRODUCE!$EB$57:$IY$57)</f>
        <v>0</v>
      </c>
      <c r="YW226" s="56"/>
      <c r="YX226" s="242">
        <f t="shared" si="1718"/>
        <v>0</v>
      </c>
      <c r="YY226" s="242">
        <f t="shared" si="1719"/>
        <v>0</v>
      </c>
      <c r="YZ226" s="56"/>
      <c r="ZC226" s="55">
        <f t="shared" si="1720"/>
        <v>46212</v>
      </c>
      <c r="ZD226" s="56"/>
      <c r="ZE226" s="242">
        <f>SUMPRODUCT(PRODUCE!$B229:$DY229,PRODUCE!$EB$57:$IY$57)</f>
        <v>0</v>
      </c>
      <c r="ZF226" s="56"/>
      <c r="ZG226" s="242">
        <f t="shared" si="1721"/>
        <v>0</v>
      </c>
      <c r="ZH226" s="242">
        <f t="shared" si="1722"/>
        <v>0</v>
      </c>
      <c r="ZI226" s="56"/>
      <c r="ZL226" s="55">
        <f t="shared" si="1723"/>
        <v>46212</v>
      </c>
      <c r="ZM226" s="56"/>
      <c r="ZN226" s="242">
        <f>SUMPRODUCT(PRODUCE!$B229:$DY229,PRODUCE!$EB$57:$IY$57)</f>
        <v>0</v>
      </c>
      <c r="ZO226" s="56"/>
      <c r="ZP226" s="242">
        <f t="shared" si="1724"/>
        <v>0</v>
      </c>
      <c r="ZQ226" s="242">
        <f t="shared" si="1725"/>
        <v>0</v>
      </c>
      <c r="ZR226" s="56"/>
      <c r="ZU226" s="55">
        <f t="shared" si="1726"/>
        <v>46212</v>
      </c>
      <c r="ZV226" s="56"/>
      <c r="ZW226" s="242">
        <f>SUMPRODUCT(PRODUCE!$B229:$DY229,PRODUCE!$EB$57:$IY$57)</f>
        <v>0</v>
      </c>
      <c r="ZX226" s="56"/>
      <c r="ZY226" s="242">
        <f t="shared" si="1727"/>
        <v>0</v>
      </c>
      <c r="ZZ226" s="242">
        <f t="shared" si="1728"/>
        <v>0</v>
      </c>
      <c r="AAA226" s="56"/>
      <c r="AAD226" s="55">
        <f t="shared" si="1729"/>
        <v>46212</v>
      </c>
      <c r="AAE226" s="56"/>
      <c r="AAF226" s="242">
        <f>SUMPRODUCT(PRODUCE!$B229:$DY229,PRODUCE!$EB$57:$IY$57)</f>
        <v>0</v>
      </c>
      <c r="AAG226" s="56"/>
      <c r="AAH226" s="242">
        <f t="shared" si="1730"/>
        <v>0</v>
      </c>
      <c r="AAI226" s="242">
        <f t="shared" si="1731"/>
        <v>0</v>
      </c>
      <c r="AAJ226" s="56"/>
      <c r="AAM226" s="55">
        <f t="shared" si="1732"/>
        <v>46212</v>
      </c>
      <c r="AAN226" s="56"/>
      <c r="AAO226" s="242">
        <f>SUMPRODUCT(PRODUCE!$B229:$DY229,PRODUCE!$EB$57:$IY$57)</f>
        <v>0</v>
      </c>
      <c r="AAP226" s="56"/>
      <c r="AAQ226" s="242">
        <f t="shared" si="1733"/>
        <v>0</v>
      </c>
      <c r="AAR226" s="242">
        <f t="shared" si="1734"/>
        <v>0</v>
      </c>
      <c r="AAS226" s="56"/>
      <c r="AAV226" s="55">
        <f t="shared" si="1735"/>
        <v>46212</v>
      </c>
      <c r="AAW226" s="56"/>
      <c r="AAX226" s="242">
        <f>SUMPRODUCT(PRODUCE!$B229:$DY229,PRODUCE!$EB$57:$IY$57)</f>
        <v>0</v>
      </c>
      <c r="AAY226" s="56"/>
      <c r="AAZ226" s="242">
        <f t="shared" si="1736"/>
        <v>0</v>
      </c>
      <c r="ABA226" s="242">
        <f t="shared" si="1737"/>
        <v>0</v>
      </c>
      <c r="ABB226" s="56"/>
      <c r="ABE226" s="55">
        <f t="shared" si="1738"/>
        <v>46212</v>
      </c>
      <c r="ABF226" s="56"/>
      <c r="ABG226" s="242">
        <f>SUMPRODUCT(PRODUCE!$B229:$DY229,PRODUCE!$EB$57:$IY$57)</f>
        <v>0</v>
      </c>
      <c r="ABH226" s="56"/>
      <c r="ABI226" s="242">
        <f t="shared" si="1739"/>
        <v>0</v>
      </c>
      <c r="ABJ226" s="242">
        <f t="shared" si="1740"/>
        <v>0</v>
      </c>
      <c r="ABK226" s="56"/>
    </row>
    <row r="227" spans="2:739" s="54" customFormat="1" ht="15" customHeight="1" outlineLevel="1">
      <c r="B227" s="478"/>
      <c r="C227" s="55">
        <v>46213</v>
      </c>
      <c r="D227" s="422">
        <v>25700</v>
      </c>
      <c r="E227" s="423">
        <f>SUMPRODUCT(PRODUCE!$B230:$DY230,PRODUCE!$EB$7:$IY$7)</f>
        <v>91880.359999999986</v>
      </c>
      <c r="F227" s="422">
        <v>91985.8</v>
      </c>
      <c r="G227" s="423">
        <f t="shared" si="1496"/>
        <v>-105.44000000001688</v>
      </c>
      <c r="H227" s="423">
        <f t="shared" si="1497"/>
        <v>97743.000000000044</v>
      </c>
      <c r="I227" s="289"/>
      <c r="L227" s="55">
        <f t="shared" si="1498"/>
        <v>46213</v>
      </c>
      <c r="M227" s="422"/>
      <c r="N227" s="438">
        <f>SUMPRODUCT(PRODUCE!$B230:$DY230,PRODUCE!$EB$8:$IY$8)</f>
        <v>50194.399999999994</v>
      </c>
      <c r="O227" s="422">
        <v>50192.2</v>
      </c>
      <c r="P227" s="438">
        <f t="shared" si="1499"/>
        <v>2.1999999999970896</v>
      </c>
      <c r="Q227" s="438">
        <f t="shared" si="1500"/>
        <v>4039.2000000000698</v>
      </c>
      <c r="R227" s="56"/>
      <c r="U227" s="55">
        <f t="shared" si="1501"/>
        <v>46213</v>
      </c>
      <c r="V227" s="422">
        <v>30100</v>
      </c>
      <c r="W227" s="440">
        <f>SUMPRODUCT(PRODUCE!$B230:$DY230,PRODUCE!$EB$9:$IY$9)</f>
        <v>8750</v>
      </c>
      <c r="X227" s="422">
        <v>8750.7000000000007</v>
      </c>
      <c r="Y227" s="440">
        <f t="shared" si="1502"/>
        <v>-0.7000000000007276</v>
      </c>
      <c r="Z227" s="440">
        <f t="shared" si="1503"/>
        <v>32658.79999999997</v>
      </c>
      <c r="AA227" s="56"/>
      <c r="AD227" s="55">
        <f t="shared" si="1504"/>
        <v>46213</v>
      </c>
      <c r="AE227" s="422"/>
      <c r="AF227" s="442">
        <f>SUMPRODUCT(PRODUCE!$B230:$DY230,PRODUCE!$EB$10:$IY$10)</f>
        <v>700</v>
      </c>
      <c r="AG227" s="422">
        <v>699.8</v>
      </c>
      <c r="AH227" s="442">
        <f t="shared" si="1505"/>
        <v>0.20000000000004547</v>
      </c>
      <c r="AI227" s="442">
        <f t="shared" si="1506"/>
        <v>31872.200000000019</v>
      </c>
      <c r="AJ227" s="56"/>
      <c r="AM227" s="55">
        <f t="shared" si="1507"/>
        <v>46213</v>
      </c>
      <c r="AN227" s="422"/>
      <c r="AO227" s="444">
        <f>SUMPRODUCT(PRODUCE!$B230:$DY230,PRODUCE!$EB$11:$IY$11)</f>
        <v>0</v>
      </c>
      <c r="AP227" s="422"/>
      <c r="AQ227" s="444">
        <f t="shared" si="1508"/>
        <v>0</v>
      </c>
      <c r="AR227" s="444">
        <f t="shared" si="1509"/>
        <v>0</v>
      </c>
      <c r="AS227" s="56"/>
      <c r="AV227" s="55">
        <f t="shared" si="1510"/>
        <v>46213</v>
      </c>
      <c r="AW227" s="422"/>
      <c r="AX227" s="446">
        <f>SUMPRODUCT(PRODUCE!$B230:$DY230,PRODUCE!$EB$12:$IY$12)</f>
        <v>140</v>
      </c>
      <c r="AY227" s="422">
        <v>140.69999999999999</v>
      </c>
      <c r="AZ227" s="446">
        <f t="shared" si="1511"/>
        <v>-0.69999999999998863</v>
      </c>
      <c r="BA227" s="446">
        <f t="shared" si="1512"/>
        <v>13365.399999999996</v>
      </c>
      <c r="BB227" s="56"/>
      <c r="BE227" s="55">
        <f t="shared" si="1513"/>
        <v>46213</v>
      </c>
      <c r="BF227" s="422"/>
      <c r="BG227" s="448">
        <f>SUMPRODUCT(PRODUCE!$B230:$DY230,PRODUCE!$EB$13:$IY$13)</f>
        <v>1754</v>
      </c>
      <c r="BH227" s="422">
        <v>1754.3</v>
      </c>
      <c r="BI227" s="448">
        <f t="shared" si="1514"/>
        <v>-0.29999999999995453</v>
      </c>
      <c r="BJ227" s="448">
        <f t="shared" si="1515"/>
        <v>32703.699999999993</v>
      </c>
      <c r="BK227" s="56"/>
      <c r="BN227" s="55">
        <f t="shared" si="1516"/>
        <v>46213</v>
      </c>
      <c r="BO227" s="422">
        <v>2441.9</v>
      </c>
      <c r="BP227" s="450">
        <f>SUMPRODUCT(PRODUCE!$B230:$DY230,PRODUCE!$EB$14:$IY$14)</f>
        <v>2442</v>
      </c>
      <c r="BQ227" s="422">
        <v>2441.9</v>
      </c>
      <c r="BR227" s="450">
        <f t="shared" si="1517"/>
        <v>9.9999999999909051E-2</v>
      </c>
      <c r="BS227" s="450">
        <f t="shared" si="1518"/>
        <v>0</v>
      </c>
      <c r="BT227" s="56"/>
      <c r="BW227" s="55">
        <f t="shared" si="1519"/>
        <v>46213</v>
      </c>
      <c r="BX227" s="422"/>
      <c r="BY227" s="523">
        <f>SUMPRODUCT(PRODUCE!$B230:$DY230,PRODUCE!$EB$15:$IY$15)</f>
        <v>588.40000000000009</v>
      </c>
      <c r="BZ227" s="422">
        <v>981.34</v>
      </c>
      <c r="CA227" s="523">
        <f t="shared" si="1520"/>
        <v>-392.93999999999994</v>
      </c>
      <c r="CB227" s="523">
        <f t="shared" si="1521"/>
        <v>7398.4399999999987</v>
      </c>
      <c r="CC227" s="56"/>
      <c r="CF227" s="55">
        <f t="shared" si="1522"/>
        <v>46213</v>
      </c>
      <c r="CG227" s="422"/>
      <c r="CH227" s="524">
        <f>SUMPRODUCT(PRODUCE!$B230:$DY230,PRODUCE!$EB$16:$IY$16)</f>
        <v>532.24</v>
      </c>
      <c r="CI227" s="422">
        <f>97.28+385.2+178.31+199.52+326.08+832.1</f>
        <v>2018.4899999999998</v>
      </c>
      <c r="CJ227" s="524">
        <f t="shared" si="1523"/>
        <v>-1486.2499999999998</v>
      </c>
      <c r="CK227" s="524">
        <f t="shared" si="1524"/>
        <v>-6123.329999999999</v>
      </c>
      <c r="CL227" s="56"/>
      <c r="CO227" s="55">
        <f t="shared" si="1525"/>
        <v>46213</v>
      </c>
      <c r="CP227" s="422"/>
      <c r="CQ227" s="470">
        <f>SUMPRODUCT(PRODUCE!$B230:$DY230,PRODUCE!$EB$17:$IY$17)</f>
        <v>0</v>
      </c>
      <c r="CR227" s="422"/>
      <c r="CS227" s="470">
        <f t="shared" si="1526"/>
        <v>0</v>
      </c>
      <c r="CT227" s="470">
        <f t="shared" si="1527"/>
        <v>0</v>
      </c>
      <c r="CU227" s="56"/>
      <c r="CX227" s="55">
        <f t="shared" si="1528"/>
        <v>46213</v>
      </c>
      <c r="CY227" s="422"/>
      <c r="CZ227" s="525">
        <f>SUMPRODUCT(PRODUCE!$B230:$DY230,PRODUCE!$EB$18:$IY$18)</f>
        <v>1600</v>
      </c>
      <c r="DA227" s="422">
        <v>1600.6</v>
      </c>
      <c r="DB227" s="525">
        <f t="shared" si="1529"/>
        <v>-0.59999999999990905</v>
      </c>
      <c r="DC227" s="525">
        <f t="shared" si="1530"/>
        <v>711.60000000000719</v>
      </c>
      <c r="DD227" s="56"/>
      <c r="DG227" s="55">
        <f t="shared" si="1531"/>
        <v>46213</v>
      </c>
      <c r="DH227" s="422"/>
      <c r="DI227" s="526">
        <f>SUMPRODUCT(PRODUCE!$B230:$DY230,PRODUCE!$EB$19:$IY$19)</f>
        <v>0</v>
      </c>
      <c r="DJ227" s="422"/>
      <c r="DK227" s="526">
        <f t="shared" si="1532"/>
        <v>0</v>
      </c>
      <c r="DL227" s="526">
        <f t="shared" si="1533"/>
        <v>34634.699999999983</v>
      </c>
      <c r="DM227" s="56"/>
      <c r="DP227" s="55">
        <f t="shared" si="1534"/>
        <v>46213</v>
      </c>
      <c r="DQ227" s="56"/>
      <c r="DR227" s="57">
        <f>SUMPRODUCT(PRODUCE!$B230:$DY230,PRODUCE!$EB$20:$IY$20)</f>
        <v>0</v>
      </c>
      <c r="DS227" s="56"/>
      <c r="DT227" s="57">
        <f t="shared" si="1535"/>
        <v>0</v>
      </c>
      <c r="DU227" s="57">
        <f t="shared" si="1536"/>
        <v>5800</v>
      </c>
      <c r="DV227" s="56"/>
      <c r="DY227" s="55">
        <f t="shared" si="1537"/>
        <v>46213</v>
      </c>
      <c r="DZ227" s="56"/>
      <c r="EA227" s="157">
        <f>SUMPRODUCT(PRODUCE!$B230:$DY230,PRODUCE!$EB$21:$IY$21)</f>
        <v>0</v>
      </c>
      <c r="EB227" s="56"/>
      <c r="EC227" s="157">
        <f t="shared" si="1538"/>
        <v>0</v>
      </c>
      <c r="ED227" s="157">
        <f t="shared" si="1539"/>
        <v>0</v>
      </c>
      <c r="EE227" s="56"/>
      <c r="EH227" s="55">
        <f t="shared" si="1540"/>
        <v>46213</v>
      </c>
      <c r="EI227" s="56">
        <v>1569.74</v>
      </c>
      <c r="EJ227" s="162">
        <f>SUMPRODUCT(PRODUCE!$B230:$DY230,PRODUCE!$EB$22:$IY$22)</f>
        <v>0</v>
      </c>
      <c r="EK227" s="56">
        <f>132.39+298.86+24+132.39+188.4+175.88+617.82</f>
        <v>1569.74</v>
      </c>
      <c r="EL227" s="162">
        <f t="shared" si="1541"/>
        <v>-1569.74</v>
      </c>
      <c r="EM227" s="162">
        <f t="shared" si="1542"/>
        <v>0</v>
      </c>
      <c r="EN227" s="56"/>
      <c r="EQ227" s="55">
        <f t="shared" si="1543"/>
        <v>46213</v>
      </c>
      <c r="ER227" s="56"/>
      <c r="ES227" s="172">
        <f>SUMPRODUCT(PRODUCE!$B230:$DY230,PRODUCE!$EB$23:$IY$23)</f>
        <v>0</v>
      </c>
      <c r="ET227" s="56"/>
      <c r="EU227" s="135">
        <f t="shared" si="1544"/>
        <v>0</v>
      </c>
      <c r="EV227" s="135">
        <f t="shared" si="1545"/>
        <v>0</v>
      </c>
      <c r="EW227" s="56"/>
      <c r="EZ227" s="55">
        <f t="shared" si="1546"/>
        <v>46213</v>
      </c>
      <c r="FA227" s="56"/>
      <c r="FB227" s="175">
        <f>SUMPRODUCT(PRODUCE!$B230:$DY230,PRODUCE!$EB$24:$IY$24)</f>
        <v>0</v>
      </c>
      <c r="FC227" s="56"/>
      <c r="FD227" s="175">
        <f t="shared" si="1547"/>
        <v>0</v>
      </c>
      <c r="FE227" s="175">
        <f t="shared" si="1548"/>
        <v>0</v>
      </c>
      <c r="FF227" s="56"/>
      <c r="FI227" s="55">
        <f t="shared" si="1549"/>
        <v>46213</v>
      </c>
      <c r="FJ227" s="56"/>
      <c r="FK227" s="183">
        <f>SUMPRODUCT(PRODUCE!$B230:$DY230,PRODUCE!$EB$25:$IY$25)</f>
        <v>0</v>
      </c>
      <c r="FL227" s="56"/>
      <c r="FM227" s="183">
        <f t="shared" si="1550"/>
        <v>0</v>
      </c>
      <c r="FN227" s="183">
        <f t="shared" si="1551"/>
        <v>0</v>
      </c>
      <c r="FO227" s="56"/>
      <c r="FR227" s="55">
        <f t="shared" si="1552"/>
        <v>46213</v>
      </c>
      <c r="FS227" s="56"/>
      <c r="FT227" s="186">
        <f>SUMPRODUCT(PRODUCE!$B230:$DY230,PRODUCE!$EB$26:$IY$26)</f>
        <v>0</v>
      </c>
      <c r="FU227" s="56"/>
      <c r="FV227" s="186">
        <f t="shared" si="1553"/>
        <v>0</v>
      </c>
      <c r="FW227" s="186">
        <f t="shared" si="1554"/>
        <v>1160</v>
      </c>
      <c r="FX227" s="56"/>
      <c r="GA227" s="55">
        <f t="shared" si="1555"/>
        <v>46213</v>
      </c>
      <c r="GB227" s="56"/>
      <c r="GC227" s="137">
        <f>SUMPRODUCT(PRODUCE!$B230:$DY230,PRODUCE!$EB$27:$IY$27)</f>
        <v>280</v>
      </c>
      <c r="GD227" s="56"/>
      <c r="GE227" s="137">
        <f t="shared" si="1556"/>
        <v>280</v>
      </c>
      <c r="GF227" s="137">
        <f t="shared" si="1557"/>
        <v>960</v>
      </c>
      <c r="GG227" s="56"/>
      <c r="GI227" s="23"/>
      <c r="GJ227" s="55">
        <f t="shared" si="1558"/>
        <v>46213</v>
      </c>
      <c r="GK227" s="56"/>
      <c r="GL227" s="199">
        <f>SUMPRODUCT(PRODUCE!$B230:$DY230,PRODUCE!$EB$28:$IY$28)</f>
        <v>0</v>
      </c>
      <c r="GM227" s="56"/>
      <c r="GN227" s="199">
        <f t="shared" si="1559"/>
        <v>0</v>
      </c>
      <c r="GO227" s="199">
        <f t="shared" si="1560"/>
        <v>1760</v>
      </c>
      <c r="GP227" s="56"/>
      <c r="GS227" s="55">
        <f t="shared" si="1561"/>
        <v>46213</v>
      </c>
      <c r="GT227" s="56"/>
      <c r="GU227" s="195">
        <f>SUMPRODUCT(PRODUCE!$B230:$DY230,PRODUCE!$EB$29:$IY$29)</f>
        <v>0</v>
      </c>
      <c r="GV227" s="56"/>
      <c r="GW227" s="195">
        <f t="shared" si="1562"/>
        <v>0</v>
      </c>
      <c r="GX227" s="195">
        <f t="shared" si="1563"/>
        <v>400</v>
      </c>
      <c r="GY227" s="56"/>
      <c r="HB227" s="55">
        <f t="shared" si="1564"/>
        <v>46213</v>
      </c>
      <c r="HC227" s="56"/>
      <c r="HD227" s="191">
        <f>SUMPRODUCT(PRODUCE!$B230:$DY230,PRODUCE!$EB$30:$IY$30)</f>
        <v>0</v>
      </c>
      <c r="HE227" s="56"/>
      <c r="HF227" s="191">
        <f t="shared" si="1565"/>
        <v>0</v>
      </c>
      <c r="HG227" s="191">
        <f t="shared" si="1566"/>
        <v>3600</v>
      </c>
      <c r="HH227" s="56"/>
      <c r="HK227" s="55">
        <f t="shared" si="1567"/>
        <v>46213</v>
      </c>
      <c r="HL227" s="56"/>
      <c r="HM227" s="63">
        <f>SUMPRODUCT(PRODUCE!$B230:$DY230,PRODUCE!$EB$31:$IY$31)</f>
        <v>0</v>
      </c>
      <c r="HN227" s="56"/>
      <c r="HO227" s="63">
        <f t="shared" si="1568"/>
        <v>0</v>
      </c>
      <c r="HP227" s="63">
        <f t="shared" si="1569"/>
        <v>0</v>
      </c>
      <c r="HQ227" s="56"/>
      <c r="HU227" s="55">
        <f t="shared" si="1570"/>
        <v>46213</v>
      </c>
      <c r="HV227" s="56"/>
      <c r="HW227" s="242">
        <f>SUMPRODUCT(PRODUCE!$B230:$DY230,PRODUCE!$EB$32:$IY$32)</f>
        <v>0</v>
      </c>
      <c r="HX227" s="56">
        <v>320</v>
      </c>
      <c r="HY227" s="242">
        <f t="shared" si="1571"/>
        <v>-320</v>
      </c>
      <c r="HZ227" s="242">
        <f t="shared" si="1572"/>
        <v>6240</v>
      </c>
      <c r="IA227" s="56">
        <f t="shared" ref="IA227" si="1741">HX227/20</f>
        <v>16</v>
      </c>
      <c r="ID227" s="55">
        <f t="shared" si="1573"/>
        <v>46213</v>
      </c>
      <c r="IE227" s="56"/>
      <c r="IF227" s="242">
        <f>SUMPRODUCT(PRODUCE!$B230:$DY230,PRODUCE!$EB$33:$IY$33)</f>
        <v>0</v>
      </c>
      <c r="IG227" s="56"/>
      <c r="IH227" s="242">
        <f t="shared" si="1574"/>
        <v>0</v>
      </c>
      <c r="II227" s="242">
        <f t="shared" si="1575"/>
        <v>720</v>
      </c>
      <c r="IJ227" s="56"/>
      <c r="IM227" s="55">
        <f t="shared" si="1576"/>
        <v>46213</v>
      </c>
      <c r="IN227" s="56"/>
      <c r="IO227" s="242">
        <f>SUMPRODUCT(PRODUCE!$B230:$DY230,PRODUCE!$EB$34:$IY$34)</f>
        <v>0</v>
      </c>
      <c r="IP227" s="56">
        <v>1200</v>
      </c>
      <c r="IQ227" s="242">
        <f t="shared" si="1577"/>
        <v>-1200</v>
      </c>
      <c r="IR227" s="242">
        <f t="shared" si="1578"/>
        <v>5200</v>
      </c>
      <c r="IS227" s="56">
        <f>IP227/20</f>
        <v>60</v>
      </c>
      <c r="IV227" s="55">
        <f t="shared" si="1579"/>
        <v>46213</v>
      </c>
      <c r="IW227" s="56"/>
      <c r="IX227" s="242">
        <f>SUMPRODUCT(PRODUCE!$B230:$DY230,PRODUCE!$EB$35:$IY$35)</f>
        <v>0</v>
      </c>
      <c r="IY227" s="56"/>
      <c r="IZ227" s="242">
        <f t="shared" si="1580"/>
        <v>0</v>
      </c>
      <c r="JA227" s="242">
        <f t="shared" si="1581"/>
        <v>4960</v>
      </c>
      <c r="JB227" s="56"/>
      <c r="JE227" s="55">
        <f t="shared" si="1582"/>
        <v>46213</v>
      </c>
      <c r="JF227" s="56"/>
      <c r="JG227" s="242">
        <f>SUMPRODUCT(PRODUCE!$B230:$DY230,PRODUCE!$EB$36:$IY$36)</f>
        <v>0</v>
      </c>
      <c r="JH227" s="56"/>
      <c r="JI227" s="242">
        <f t="shared" si="1583"/>
        <v>0</v>
      </c>
      <c r="JJ227" s="242">
        <f t="shared" si="1584"/>
        <v>0</v>
      </c>
      <c r="JK227" s="56"/>
      <c r="JN227" s="55">
        <f t="shared" si="1585"/>
        <v>46213</v>
      </c>
      <c r="JO227" s="56"/>
      <c r="JP227" s="242">
        <f>SUMPRODUCT(PRODUCE!$B230:$DY230,PRODUCE!$EB$37:$IY$37)</f>
        <v>1440</v>
      </c>
      <c r="JQ227" s="56"/>
      <c r="JR227" s="242">
        <f t="shared" si="1586"/>
        <v>1440</v>
      </c>
      <c r="JS227" s="242">
        <f t="shared" si="1587"/>
        <v>0</v>
      </c>
      <c r="JT227" s="56"/>
      <c r="JW227" s="55">
        <f t="shared" si="1588"/>
        <v>46213</v>
      </c>
      <c r="JX227" s="56"/>
      <c r="JY227" s="242">
        <f>SUMPRODUCT(PRODUCE!$B230:$DY230,PRODUCE!$EB$38:$IY$38)</f>
        <v>0</v>
      </c>
      <c r="JZ227" s="56"/>
      <c r="KA227" s="242">
        <f t="shared" si="1589"/>
        <v>0</v>
      </c>
      <c r="KB227" s="242">
        <f t="shared" si="1590"/>
        <v>2540</v>
      </c>
      <c r="KC227" s="56"/>
      <c r="KF227" s="55">
        <f t="shared" si="1591"/>
        <v>46213</v>
      </c>
      <c r="KG227" s="56"/>
      <c r="KH227" s="242">
        <f>SUMPRODUCT(PRODUCE!$B230:$DY230,PRODUCE!$EB$39:$IY$39)</f>
        <v>0</v>
      </c>
      <c r="KI227" s="56"/>
      <c r="KJ227" s="242">
        <f t="shared" si="1592"/>
        <v>0</v>
      </c>
      <c r="KK227" s="242">
        <f t="shared" si="1593"/>
        <v>2359.5</v>
      </c>
      <c r="KL227" s="56"/>
      <c r="KO227" s="55">
        <f t="shared" si="1594"/>
        <v>46213</v>
      </c>
      <c r="KP227" s="56"/>
      <c r="KQ227" s="242">
        <f>SUMPRODUCT(PRODUCE!$B230:$DY230,PRODUCE!$EB$40:$IY$40)</f>
        <v>0</v>
      </c>
      <c r="KR227" s="56"/>
      <c r="KS227" s="242">
        <f t="shared" si="1595"/>
        <v>0</v>
      </c>
      <c r="KT227" s="242">
        <f t="shared" si="1596"/>
        <v>1890</v>
      </c>
      <c r="KU227" s="56"/>
      <c r="KW227" s="23"/>
      <c r="KX227" s="55">
        <f t="shared" si="1597"/>
        <v>46213</v>
      </c>
      <c r="KY227" s="56"/>
      <c r="KZ227" s="242">
        <f>SUMPRODUCT(PRODUCE!$B230:$DY230,PRODUCE!$EB$41:$IY$41)</f>
        <v>0</v>
      </c>
      <c r="LA227" s="56"/>
      <c r="LB227" s="242">
        <f t="shared" si="1598"/>
        <v>0</v>
      </c>
      <c r="LC227" s="242">
        <f t="shared" si="1599"/>
        <v>3690</v>
      </c>
      <c r="LD227" s="56"/>
      <c r="LG227" s="55">
        <f t="shared" si="1600"/>
        <v>46213</v>
      </c>
      <c r="LH227" s="56"/>
      <c r="LI227" s="242">
        <f>SUMPRODUCT(PRODUCE!$B230:$DY230,PRODUCE!$EB$42:$IY$42)</f>
        <v>0</v>
      </c>
      <c r="LJ227" s="56"/>
      <c r="LK227" s="242">
        <f t="shared" si="1601"/>
        <v>0</v>
      </c>
      <c r="LL227" s="242">
        <f t="shared" si="1602"/>
        <v>4000</v>
      </c>
      <c r="LM227" s="56"/>
      <c r="LP227" s="55">
        <f t="shared" si="1603"/>
        <v>46213</v>
      </c>
      <c r="LQ227" s="56"/>
      <c r="LR227" s="242">
        <f>SUMPRODUCT(PRODUCE!$B230:$DY230,PRODUCE!$EB$43:$IY$43)</f>
        <v>0</v>
      </c>
      <c r="LS227" s="56"/>
      <c r="LT227" s="242">
        <f t="shared" si="1604"/>
        <v>0</v>
      </c>
      <c r="LU227" s="242">
        <f t="shared" si="1605"/>
        <v>0</v>
      </c>
      <c r="LV227" s="56"/>
      <c r="LY227" s="55">
        <f t="shared" si="1606"/>
        <v>46213</v>
      </c>
      <c r="LZ227" s="56"/>
      <c r="MA227" s="242">
        <f>SUMPRODUCT(PRODUCE!$B230:$DY230,PRODUCE!$EB$44:$IY$44)</f>
        <v>0</v>
      </c>
      <c r="MB227" s="56"/>
      <c r="MC227" s="242">
        <f t="shared" si="1607"/>
        <v>0</v>
      </c>
      <c r="MD227" s="242">
        <f t="shared" si="1608"/>
        <v>0</v>
      </c>
      <c r="ME227" s="56"/>
      <c r="MH227" s="55">
        <f t="shared" si="1609"/>
        <v>46213</v>
      </c>
      <c r="MI227" s="56"/>
      <c r="MJ227" s="242">
        <f>SUMPRODUCT(PRODUCE!$B230:$DY230,PRODUCE!$EB$45:$IY$45)</f>
        <v>0</v>
      </c>
      <c r="MK227" s="56"/>
      <c r="ML227" s="242">
        <f t="shared" si="1610"/>
        <v>0</v>
      </c>
      <c r="MM227" s="242">
        <f t="shared" si="1611"/>
        <v>0</v>
      </c>
      <c r="MN227" s="56"/>
      <c r="MQ227" s="55">
        <f t="shared" si="1612"/>
        <v>46213</v>
      </c>
      <c r="MR227" s="56"/>
      <c r="MS227" s="242">
        <f>SUMPRODUCT(PRODUCE!$B230:$DY230,PRODUCE!$EB$46:$IY$46)</f>
        <v>7</v>
      </c>
      <c r="MT227" s="56">
        <f>16+60+18+16+40+84</f>
        <v>234</v>
      </c>
      <c r="MU227" s="242">
        <f t="shared" si="1613"/>
        <v>-227</v>
      </c>
      <c r="MV227" s="242">
        <f t="shared" si="1614"/>
        <v>2828</v>
      </c>
      <c r="MW227" s="56"/>
      <c r="MZ227" s="55">
        <f t="shared" si="1615"/>
        <v>46213</v>
      </c>
      <c r="NA227" s="56">
        <v>2124</v>
      </c>
      <c r="NB227" s="242">
        <f>SUMPRODUCT(PRODUCE!$B230:$DY230,PRODUCE!$EB$47:$IY$47)</f>
        <v>216</v>
      </c>
      <c r="NC227" s="56">
        <f>48+180+216+192+480+1008</f>
        <v>2124</v>
      </c>
      <c r="ND227" s="242">
        <f t="shared" si="1616"/>
        <v>-1908</v>
      </c>
      <c r="NE227" s="242">
        <f t="shared" si="1617"/>
        <v>0</v>
      </c>
      <c r="NF227" s="56"/>
      <c r="NI227" s="55">
        <f t="shared" si="1618"/>
        <v>46213</v>
      </c>
      <c r="NJ227" s="56"/>
      <c r="NK227" s="242">
        <f>SUMPRODUCT(PRODUCE!$B230:$DY230,PRODUCE!$EB$48:$IY$48)</f>
        <v>0</v>
      </c>
      <c r="NL227" s="56"/>
      <c r="NM227" s="242">
        <f t="shared" si="1619"/>
        <v>0</v>
      </c>
      <c r="NN227" s="242">
        <f t="shared" si="1620"/>
        <v>1127</v>
      </c>
      <c r="NO227" s="56"/>
      <c r="NR227" s="55">
        <f t="shared" si="1621"/>
        <v>46213</v>
      </c>
      <c r="NS227" s="56"/>
      <c r="NT227" s="242">
        <f>SUMPRODUCT(PRODUCE!$B230:$DY230,PRODUCE!$EB$49:$IY$49)</f>
        <v>0</v>
      </c>
      <c r="NU227" s="56"/>
      <c r="NV227" s="242">
        <f t="shared" si="1622"/>
        <v>0</v>
      </c>
      <c r="NW227" s="242">
        <f t="shared" si="1623"/>
        <v>3111.9999999999995</v>
      </c>
      <c r="NX227" s="56"/>
      <c r="OA227" s="55">
        <f t="shared" si="1624"/>
        <v>46213</v>
      </c>
      <c r="OB227" s="56"/>
      <c r="OC227" s="242">
        <f>SUMPRODUCT(PRODUCE!$B230:$DY230,PRODUCE!$EB$50:$IY$50)</f>
        <v>0</v>
      </c>
      <c r="OD227" s="56"/>
      <c r="OE227" s="242">
        <f t="shared" si="1625"/>
        <v>0</v>
      </c>
      <c r="OF227" s="242">
        <f t="shared" si="1626"/>
        <v>1680.5</v>
      </c>
      <c r="OG227" s="56"/>
      <c r="OJ227" s="55">
        <f t="shared" si="1627"/>
        <v>46213</v>
      </c>
      <c r="OK227" s="56">
        <v>386</v>
      </c>
      <c r="OL227" s="242">
        <f>SUMPRODUCT(PRODUCE!$B230:$DY230,PRODUCE!$EB$51:$IY$51)</f>
        <v>0</v>
      </c>
      <c r="OM227" s="56">
        <f>46.8+44.8+76+218.4</f>
        <v>386</v>
      </c>
      <c r="ON227" s="242">
        <f t="shared" si="1628"/>
        <v>-386</v>
      </c>
      <c r="OO227" s="242">
        <f t="shared" si="1629"/>
        <v>0</v>
      </c>
      <c r="OP227" s="56"/>
      <c r="OS227" s="55">
        <f t="shared" si="1630"/>
        <v>46213</v>
      </c>
      <c r="OT227" s="56"/>
      <c r="OU227" s="242">
        <f>SUMPRODUCT(PRODUCE!$B230:$DY230,PRODUCE!$EB$52:$IY$52)</f>
        <v>0</v>
      </c>
      <c r="OV227" s="56"/>
      <c r="OW227" s="242">
        <f t="shared" si="1631"/>
        <v>0</v>
      </c>
      <c r="OX227" s="242">
        <f t="shared" si="1632"/>
        <v>1482</v>
      </c>
      <c r="OY227" s="56"/>
      <c r="PB227" s="55">
        <f t="shared" si="1633"/>
        <v>46213</v>
      </c>
      <c r="PC227" s="56"/>
      <c r="PD227" s="242">
        <f>SUMPRODUCT(PRODUCE!$B230:$DY230,PRODUCE!$EB$53:$IY$53)</f>
        <v>0</v>
      </c>
      <c r="PE227" s="56"/>
      <c r="PF227" s="242">
        <f t="shared" si="1634"/>
        <v>0</v>
      </c>
      <c r="PG227" s="242">
        <f t="shared" si="1635"/>
        <v>0</v>
      </c>
      <c r="PH227" s="56"/>
      <c r="PK227" s="55">
        <f t="shared" si="1636"/>
        <v>46213</v>
      </c>
      <c r="PL227" s="56"/>
      <c r="PM227" s="242">
        <f>SUMPRODUCT(PRODUCE!$B230:$DY230,PRODUCE!$EB$54:$IY$54)</f>
        <v>0</v>
      </c>
      <c r="PN227" s="56"/>
      <c r="PO227" s="242">
        <f t="shared" si="1637"/>
        <v>0</v>
      </c>
      <c r="PP227" s="242">
        <f t="shared" si="1638"/>
        <v>100</v>
      </c>
      <c r="PQ227" s="56"/>
      <c r="PT227" s="55">
        <f t="shared" si="1639"/>
        <v>46213</v>
      </c>
      <c r="PU227" s="56"/>
      <c r="PV227" s="242">
        <f>SUMPRODUCT(PRODUCE!$B230:$DY230,PRODUCE!$EB$55:$IY$55)</f>
        <v>0</v>
      </c>
      <c r="PW227" s="56"/>
      <c r="PX227" s="242">
        <f t="shared" si="1640"/>
        <v>0</v>
      </c>
      <c r="PY227" s="242">
        <f t="shared" si="1641"/>
        <v>13.960000000000036</v>
      </c>
      <c r="PZ227" s="56"/>
      <c r="QC227" s="55">
        <f t="shared" si="1642"/>
        <v>46213</v>
      </c>
      <c r="QD227" s="56"/>
      <c r="QE227" s="242">
        <f>SUMPRODUCT(PRODUCE!$B230:$DY230,PRODUCE!$EB$56:$IY$56)</f>
        <v>0</v>
      </c>
      <c r="QF227" s="56"/>
      <c r="QG227" s="242">
        <f t="shared" si="1643"/>
        <v>0</v>
      </c>
      <c r="QH227" s="242">
        <f t="shared" si="1644"/>
        <v>1736</v>
      </c>
      <c r="QI227" s="56"/>
      <c r="QL227" s="55">
        <f t="shared" si="1645"/>
        <v>46213</v>
      </c>
      <c r="QM227" s="56"/>
      <c r="QN227" s="242">
        <f>SUMPRODUCT(PRODUCE!$B230:$DY230,PRODUCE!$EB$57:$IY$57)</f>
        <v>180</v>
      </c>
      <c r="QO227" s="56">
        <v>150</v>
      </c>
      <c r="QP227" s="242">
        <f t="shared" si="1646"/>
        <v>30</v>
      </c>
      <c r="QQ227" s="242">
        <f t="shared" si="1647"/>
        <v>85</v>
      </c>
      <c r="QR227" s="56"/>
      <c r="QU227" s="55">
        <f t="shared" si="1648"/>
        <v>46213</v>
      </c>
      <c r="QV227" s="56"/>
      <c r="QW227" s="242">
        <f>SUMPRODUCT(PRODUCE!$B230:$DY230,PRODUCE!$EB$58:$IY$58)</f>
        <v>0</v>
      </c>
      <c r="QX227" s="56"/>
      <c r="QY227" s="242">
        <f t="shared" si="1649"/>
        <v>0</v>
      </c>
      <c r="QZ227" s="242">
        <f t="shared" si="1650"/>
        <v>207.6</v>
      </c>
      <c r="RA227" s="56"/>
      <c r="RD227" s="55">
        <f t="shared" si="1651"/>
        <v>46213</v>
      </c>
      <c r="RE227" s="56"/>
      <c r="RF227" s="242">
        <f>SUMPRODUCT(PRODUCE!$B230:$DY230,PRODUCE!$EB$59:$IY$59)</f>
        <v>0</v>
      </c>
      <c r="RG227" s="56"/>
      <c r="RH227" s="242">
        <f t="shared" si="1652"/>
        <v>0</v>
      </c>
      <c r="RI227" s="242">
        <f t="shared" si="1653"/>
        <v>147.04000000000002</v>
      </c>
      <c r="RJ227" s="56"/>
      <c r="RM227" s="55">
        <f t="shared" si="1654"/>
        <v>46213</v>
      </c>
      <c r="RN227" s="56"/>
      <c r="RO227" s="242">
        <f>SUMPRODUCT(PRODUCE!$B230:$DY230,PRODUCE!$EB$60:$IY$60)</f>
        <v>0</v>
      </c>
      <c r="RP227" s="56"/>
      <c r="RQ227" s="242">
        <f t="shared" si="1655"/>
        <v>0</v>
      </c>
      <c r="RR227" s="242">
        <f t="shared" si="1656"/>
        <v>46.8</v>
      </c>
      <c r="RS227" s="56"/>
      <c r="RV227" s="55">
        <f t="shared" si="1657"/>
        <v>46213</v>
      </c>
      <c r="RW227" s="56"/>
      <c r="RX227" s="242">
        <f>SUMPRODUCT(PRODUCE!$B230:$DY230,PRODUCE!$EB$61:$IY$61)</f>
        <v>0</v>
      </c>
      <c r="RY227" s="56"/>
      <c r="RZ227" s="242">
        <f t="shared" si="1658"/>
        <v>0</v>
      </c>
      <c r="SA227" s="242">
        <f t="shared" si="1659"/>
        <v>0</v>
      </c>
      <c r="SB227" s="56"/>
      <c r="SE227" s="55">
        <f t="shared" si="1660"/>
        <v>46213</v>
      </c>
      <c r="SF227" s="56"/>
      <c r="SG227" s="242">
        <f>SUMPRODUCT(PRODUCE!$B230:$DY230,PRODUCE!$EB$62:$IY$62)</f>
        <v>0</v>
      </c>
      <c r="SH227" s="56"/>
      <c r="SI227" s="242">
        <f t="shared" si="1661"/>
        <v>0</v>
      </c>
      <c r="SJ227" s="242">
        <f t="shared" si="1662"/>
        <v>24.200000000000003</v>
      </c>
      <c r="SK227" s="56"/>
      <c r="SN227" s="55">
        <f t="shared" si="1663"/>
        <v>46213</v>
      </c>
      <c r="SO227" s="56"/>
      <c r="SP227" s="242">
        <f>SUMPRODUCT(PRODUCE!$B230:$DY230,PRODUCE!$EB$63:$IY$63)</f>
        <v>0</v>
      </c>
      <c r="SQ227" s="56"/>
      <c r="SR227" s="242">
        <f t="shared" si="1664"/>
        <v>0</v>
      </c>
      <c r="SS227" s="242">
        <f t="shared" si="1665"/>
        <v>32</v>
      </c>
      <c r="ST227" s="56"/>
      <c r="SW227" s="55">
        <f t="shared" si="1666"/>
        <v>46213</v>
      </c>
      <c r="SX227" s="56"/>
      <c r="SY227" s="242">
        <f>SUMPRODUCT(PRODUCE!$B230:$DY230,PRODUCE!$EB$64:$IY$64)</f>
        <v>0</v>
      </c>
      <c r="SZ227" s="56"/>
      <c r="TA227" s="242">
        <f t="shared" si="1667"/>
        <v>0</v>
      </c>
      <c r="TB227" s="242">
        <f t="shared" si="1668"/>
        <v>0</v>
      </c>
      <c r="TC227" s="56"/>
      <c r="TF227" s="55">
        <f t="shared" si="1669"/>
        <v>46213</v>
      </c>
      <c r="TG227" s="56"/>
      <c r="TH227" s="242">
        <f>SUMPRODUCT(PRODUCE!$B230:$DY230,PRODUCE!$EB$57:$IY$57)</f>
        <v>180</v>
      </c>
      <c r="TI227" s="56"/>
      <c r="TJ227" s="242">
        <f t="shared" si="1670"/>
        <v>180</v>
      </c>
      <c r="TK227" s="242">
        <f t="shared" si="1671"/>
        <v>0</v>
      </c>
      <c r="TL227" s="56"/>
      <c r="TO227" s="55">
        <f t="shared" si="1672"/>
        <v>46213</v>
      </c>
      <c r="TP227" s="56"/>
      <c r="TQ227" s="242">
        <f>SUMPRODUCT(PRODUCE!$B230:$DY230,PRODUCE!$EB$57:$IY$57)</f>
        <v>180</v>
      </c>
      <c r="TR227" s="56"/>
      <c r="TS227" s="242">
        <f t="shared" si="1673"/>
        <v>180</v>
      </c>
      <c r="TT227" s="242">
        <f t="shared" si="1674"/>
        <v>22.400000000000006</v>
      </c>
      <c r="TU227" s="56"/>
      <c r="TX227" s="55">
        <f t="shared" si="1675"/>
        <v>46213</v>
      </c>
      <c r="TY227" s="56"/>
      <c r="TZ227" s="242">
        <f>SUMPRODUCT(PRODUCE!$B230:$DY230,PRODUCE!$EB$57:$IY$57)</f>
        <v>180</v>
      </c>
      <c r="UA227" s="56"/>
      <c r="UB227" s="242">
        <f t="shared" si="1676"/>
        <v>180</v>
      </c>
      <c r="UC227" s="242">
        <f t="shared" si="1677"/>
        <v>46.799999999999983</v>
      </c>
      <c r="UD227" s="56"/>
      <c r="UG227" s="55">
        <f t="shared" si="1678"/>
        <v>46213</v>
      </c>
      <c r="UH227" s="56"/>
      <c r="UI227" s="242">
        <f>SUMPRODUCT(PRODUCE!$B230:$DY230,PRODUCE!$EB$57:$IY$57)</f>
        <v>180</v>
      </c>
      <c r="UJ227" s="56"/>
      <c r="UK227" s="242">
        <f t="shared" si="1679"/>
        <v>180</v>
      </c>
      <c r="UL227" s="242">
        <f t="shared" si="1680"/>
        <v>204</v>
      </c>
      <c r="UM227" s="56"/>
      <c r="UP227" s="55">
        <f t="shared" si="1681"/>
        <v>46213</v>
      </c>
      <c r="UQ227" s="56"/>
      <c r="UR227" s="242">
        <f>SUMPRODUCT(PRODUCE!$B230:$DY230,PRODUCE!$EB$69:$IY$69)</f>
        <v>0</v>
      </c>
      <c r="US227" s="56">
        <v>8.75</v>
      </c>
      <c r="UT227" s="242">
        <f t="shared" si="1682"/>
        <v>-8.75</v>
      </c>
      <c r="UU227" s="242">
        <f t="shared" si="1683"/>
        <v>242.5</v>
      </c>
      <c r="UV227" s="56"/>
      <c r="UY227" s="55">
        <f t="shared" si="1684"/>
        <v>46213</v>
      </c>
      <c r="UZ227" s="56"/>
      <c r="VA227" s="242">
        <f>SUMPRODUCT(PRODUCE!$B230:$DY230,PRODUCE!$EB$70:$IY$70)</f>
        <v>0</v>
      </c>
      <c r="VB227" s="56"/>
      <c r="VC227" s="242">
        <f t="shared" si="1685"/>
        <v>0</v>
      </c>
      <c r="VD227" s="242">
        <f t="shared" si="1686"/>
        <v>41.600000000000023</v>
      </c>
      <c r="VE227" s="56"/>
      <c r="VH227" s="55">
        <f t="shared" si="1687"/>
        <v>46213</v>
      </c>
      <c r="VI227" s="56"/>
      <c r="VJ227" s="242">
        <f>SUMPRODUCT(PRODUCE!$B230:$DY230,PRODUCE!$EB$71:$IY$71)</f>
        <v>0</v>
      </c>
      <c r="VK227" s="56"/>
      <c r="VL227" s="242">
        <f t="shared" si="1688"/>
        <v>0</v>
      </c>
      <c r="VM227" s="242">
        <f t="shared" si="1689"/>
        <v>210</v>
      </c>
      <c r="VN227" s="56"/>
      <c r="VQ227" s="55">
        <f t="shared" si="1690"/>
        <v>46213</v>
      </c>
      <c r="VR227" s="56"/>
      <c r="VS227" s="242">
        <f>SUMPRODUCT(PRODUCE!$B230:$DY230,PRODUCE!$EB$57:$IY$57)</f>
        <v>180</v>
      </c>
      <c r="VT227" s="56"/>
      <c r="VU227" s="242">
        <f t="shared" si="1691"/>
        <v>180</v>
      </c>
      <c r="VV227" s="242">
        <f t="shared" si="1692"/>
        <v>0</v>
      </c>
      <c r="VW227" s="56"/>
      <c r="VZ227" s="55">
        <f t="shared" si="1693"/>
        <v>46213</v>
      </c>
      <c r="WA227" s="56"/>
      <c r="WB227" s="242">
        <f>SUMPRODUCT(PRODUCE!$B230:$DY230,PRODUCE!$EB$57:$IY$57)</f>
        <v>180</v>
      </c>
      <c r="WC227" s="56"/>
      <c r="WD227" s="242">
        <f t="shared" si="1694"/>
        <v>180</v>
      </c>
      <c r="WE227" s="242">
        <f t="shared" si="1695"/>
        <v>0</v>
      </c>
      <c r="WF227" s="56"/>
      <c r="WI227" s="55">
        <f t="shared" si="1696"/>
        <v>46213</v>
      </c>
      <c r="WJ227" s="56"/>
      <c r="WK227" s="242">
        <f>SUMPRODUCT(PRODUCE!$B230:$DY230,PRODUCE!$EB$57:$IY$57)</f>
        <v>180</v>
      </c>
      <c r="WL227" s="56"/>
      <c r="WM227" s="242">
        <f t="shared" si="1697"/>
        <v>180</v>
      </c>
      <c r="WN227" s="242">
        <f t="shared" si="1698"/>
        <v>1057</v>
      </c>
      <c r="WO227" s="56"/>
      <c r="WR227" s="55">
        <f t="shared" si="1699"/>
        <v>46213</v>
      </c>
      <c r="WS227" s="56"/>
      <c r="WT227" s="242">
        <f>SUMPRODUCT(PRODUCE!$B230:$DY230,PRODUCE!$EB$57:$IY$57)</f>
        <v>180</v>
      </c>
      <c r="WU227" s="56"/>
      <c r="WV227" s="242">
        <f t="shared" si="1700"/>
        <v>180</v>
      </c>
      <c r="WW227" s="242">
        <f t="shared" si="1701"/>
        <v>0</v>
      </c>
      <c r="WX227" s="56"/>
      <c r="XA227" s="55">
        <f t="shared" si="1702"/>
        <v>46213</v>
      </c>
      <c r="XB227" s="56"/>
      <c r="XC227" s="242">
        <f>SUMPRODUCT(PRODUCE!$B230:$DY230,PRODUCE!$EB$57:$IY$57)</f>
        <v>180</v>
      </c>
      <c r="XD227" s="56"/>
      <c r="XE227" s="242">
        <f t="shared" si="1703"/>
        <v>180</v>
      </c>
      <c r="XF227" s="242">
        <f t="shared" si="1704"/>
        <v>7507</v>
      </c>
      <c r="XG227" s="56"/>
      <c r="XJ227" s="55">
        <f t="shared" si="1705"/>
        <v>46213</v>
      </c>
      <c r="XK227" s="56"/>
      <c r="XL227" s="242">
        <f>SUMPRODUCT(PRODUCE!$B230:$DY230,PRODUCE!$EB$57:$IY$57)</f>
        <v>180</v>
      </c>
      <c r="XM227" s="56"/>
      <c r="XN227" s="242">
        <f t="shared" si="1706"/>
        <v>180</v>
      </c>
      <c r="XO227" s="242">
        <f t="shared" si="1707"/>
        <v>4252</v>
      </c>
      <c r="XP227" s="56"/>
      <c r="XS227" s="55">
        <f t="shared" si="1708"/>
        <v>46213</v>
      </c>
      <c r="XT227" s="56"/>
      <c r="XU227" s="242">
        <f>SUMPRODUCT(PRODUCE!$B230:$DY230,PRODUCE!$EB$57:$IY$57)</f>
        <v>180</v>
      </c>
      <c r="XV227" s="56"/>
      <c r="XW227" s="242">
        <f t="shared" si="1709"/>
        <v>180</v>
      </c>
      <c r="XX227" s="242">
        <f t="shared" si="1710"/>
        <v>2179</v>
      </c>
      <c r="XY227" s="56"/>
      <c r="YB227" s="55">
        <f t="shared" si="1711"/>
        <v>46213</v>
      </c>
      <c r="YC227" s="56"/>
      <c r="YD227" s="242">
        <f>SUMPRODUCT(PRODUCE!$B230:$DY230,PRODUCE!$EB$57:$IY$57)</f>
        <v>180</v>
      </c>
      <c r="YE227" s="56"/>
      <c r="YF227" s="242">
        <f t="shared" si="1712"/>
        <v>180</v>
      </c>
      <c r="YG227" s="242">
        <f t="shared" si="1713"/>
        <v>4019</v>
      </c>
      <c r="YH227" s="56"/>
      <c r="YK227" s="55">
        <f t="shared" si="1714"/>
        <v>46213</v>
      </c>
      <c r="YL227" s="56"/>
      <c r="YM227" s="242">
        <f>SUMPRODUCT(PRODUCE!$B230:$DY230,PRODUCE!$EB$57:$IY$57)</f>
        <v>180</v>
      </c>
      <c r="YN227" s="56"/>
      <c r="YO227" s="242">
        <f t="shared" si="1715"/>
        <v>180</v>
      </c>
      <c r="YP227" s="242">
        <f t="shared" si="1716"/>
        <v>0</v>
      </c>
      <c r="YQ227" s="56"/>
      <c r="YT227" s="55">
        <f t="shared" si="1717"/>
        <v>46213</v>
      </c>
      <c r="YU227" s="56"/>
      <c r="YV227" s="242">
        <f>SUMPRODUCT(PRODUCE!$B230:$DY230,PRODUCE!$EB$57:$IY$57)</f>
        <v>180</v>
      </c>
      <c r="YW227" s="56"/>
      <c r="YX227" s="242">
        <f t="shared" si="1718"/>
        <v>180</v>
      </c>
      <c r="YY227" s="242">
        <f t="shared" si="1719"/>
        <v>0</v>
      </c>
      <c r="YZ227" s="56"/>
      <c r="ZC227" s="55">
        <f t="shared" si="1720"/>
        <v>46213</v>
      </c>
      <c r="ZD227" s="56"/>
      <c r="ZE227" s="242">
        <f>SUMPRODUCT(PRODUCE!$B230:$DY230,PRODUCE!$EB$57:$IY$57)</f>
        <v>180</v>
      </c>
      <c r="ZF227" s="56"/>
      <c r="ZG227" s="242">
        <f t="shared" si="1721"/>
        <v>180</v>
      </c>
      <c r="ZH227" s="242">
        <f t="shared" si="1722"/>
        <v>0</v>
      </c>
      <c r="ZI227" s="56"/>
      <c r="ZL227" s="55">
        <f t="shared" si="1723"/>
        <v>46213</v>
      </c>
      <c r="ZM227" s="56"/>
      <c r="ZN227" s="242">
        <f>SUMPRODUCT(PRODUCE!$B230:$DY230,PRODUCE!$EB$57:$IY$57)</f>
        <v>180</v>
      </c>
      <c r="ZO227" s="56"/>
      <c r="ZP227" s="242">
        <f t="shared" si="1724"/>
        <v>180</v>
      </c>
      <c r="ZQ227" s="242">
        <f t="shared" si="1725"/>
        <v>0</v>
      </c>
      <c r="ZR227" s="56"/>
      <c r="ZU227" s="55">
        <f t="shared" si="1726"/>
        <v>46213</v>
      </c>
      <c r="ZV227" s="56"/>
      <c r="ZW227" s="242">
        <f>SUMPRODUCT(PRODUCE!$B230:$DY230,PRODUCE!$EB$57:$IY$57)</f>
        <v>180</v>
      </c>
      <c r="ZX227" s="56"/>
      <c r="ZY227" s="242">
        <f t="shared" si="1727"/>
        <v>180</v>
      </c>
      <c r="ZZ227" s="242">
        <f t="shared" si="1728"/>
        <v>0</v>
      </c>
      <c r="AAA227" s="56"/>
      <c r="AAD227" s="55">
        <f t="shared" si="1729"/>
        <v>46213</v>
      </c>
      <c r="AAE227" s="56"/>
      <c r="AAF227" s="242">
        <f>SUMPRODUCT(PRODUCE!$B230:$DY230,PRODUCE!$EB$57:$IY$57)</f>
        <v>180</v>
      </c>
      <c r="AAG227" s="56"/>
      <c r="AAH227" s="242">
        <f t="shared" si="1730"/>
        <v>180</v>
      </c>
      <c r="AAI227" s="242">
        <f t="shared" si="1731"/>
        <v>0</v>
      </c>
      <c r="AAJ227" s="56"/>
      <c r="AAM227" s="55">
        <f t="shared" si="1732"/>
        <v>46213</v>
      </c>
      <c r="AAN227" s="56"/>
      <c r="AAO227" s="242">
        <f>SUMPRODUCT(PRODUCE!$B230:$DY230,PRODUCE!$EB$57:$IY$57)</f>
        <v>180</v>
      </c>
      <c r="AAP227" s="56"/>
      <c r="AAQ227" s="242">
        <f t="shared" si="1733"/>
        <v>180</v>
      </c>
      <c r="AAR227" s="242">
        <f t="shared" si="1734"/>
        <v>0</v>
      </c>
      <c r="AAS227" s="56"/>
      <c r="AAV227" s="55">
        <f t="shared" si="1735"/>
        <v>46213</v>
      </c>
      <c r="AAW227" s="56"/>
      <c r="AAX227" s="242">
        <f>SUMPRODUCT(PRODUCE!$B230:$DY230,PRODUCE!$EB$57:$IY$57)</f>
        <v>180</v>
      </c>
      <c r="AAY227" s="56"/>
      <c r="AAZ227" s="242">
        <f t="shared" si="1736"/>
        <v>180</v>
      </c>
      <c r="ABA227" s="242">
        <f t="shared" si="1737"/>
        <v>0</v>
      </c>
      <c r="ABB227" s="56"/>
      <c r="ABE227" s="55">
        <f t="shared" si="1738"/>
        <v>46213</v>
      </c>
      <c r="ABF227" s="56"/>
      <c r="ABG227" s="242">
        <f>SUMPRODUCT(PRODUCE!$B230:$DY230,PRODUCE!$EB$57:$IY$57)</f>
        <v>180</v>
      </c>
      <c r="ABH227" s="56"/>
      <c r="ABI227" s="242">
        <f t="shared" si="1739"/>
        <v>180</v>
      </c>
      <c r="ABJ227" s="242">
        <f t="shared" si="1740"/>
        <v>0</v>
      </c>
      <c r="ABK227" s="56"/>
    </row>
    <row r="228" spans="2:739" s="54" customFormat="1" ht="15" customHeight="1" outlineLevel="1">
      <c r="B228" s="478"/>
      <c r="C228" s="55">
        <v>46214</v>
      </c>
      <c r="D228" s="422">
        <v>25700</v>
      </c>
      <c r="E228" s="423">
        <f>SUMPRODUCT(PRODUCE!$B231:$DY231,PRODUCE!$EB$7:$IY$7)</f>
        <v>0</v>
      </c>
      <c r="F228" s="422"/>
      <c r="G228" s="423">
        <f t="shared" si="1496"/>
        <v>0</v>
      </c>
      <c r="H228" s="423">
        <f t="shared" si="1497"/>
        <v>123443.00000000004</v>
      </c>
      <c r="I228" s="289"/>
      <c r="L228" s="55">
        <f t="shared" si="1498"/>
        <v>46214</v>
      </c>
      <c r="M228" s="422">
        <f>32200+20</f>
        <v>32220</v>
      </c>
      <c r="N228" s="438">
        <f>SUMPRODUCT(PRODUCE!$B231:$DY231,PRODUCE!$EB$8:$IY$8)</f>
        <v>0</v>
      </c>
      <c r="O228" s="422"/>
      <c r="P228" s="438">
        <f t="shared" si="1499"/>
        <v>0</v>
      </c>
      <c r="Q228" s="438">
        <f t="shared" si="1500"/>
        <v>36259.20000000007</v>
      </c>
      <c r="R228" s="56"/>
      <c r="U228" s="55">
        <f t="shared" si="1501"/>
        <v>46214</v>
      </c>
      <c r="V228" s="422"/>
      <c r="W228" s="440">
        <f>SUMPRODUCT(PRODUCE!$B231:$DY231,PRODUCE!$EB$9:$IY$9)</f>
        <v>0</v>
      </c>
      <c r="X228" s="422"/>
      <c r="Y228" s="440">
        <f t="shared" si="1502"/>
        <v>0</v>
      </c>
      <c r="Z228" s="440">
        <f t="shared" si="1503"/>
        <v>32658.79999999997</v>
      </c>
      <c r="AA228" s="56"/>
      <c r="AD228" s="55">
        <f t="shared" si="1504"/>
        <v>46214</v>
      </c>
      <c r="AE228" s="422"/>
      <c r="AF228" s="442">
        <f>SUMPRODUCT(PRODUCE!$B231:$DY231,PRODUCE!$EB$10:$IY$10)</f>
        <v>0</v>
      </c>
      <c r="AG228" s="422"/>
      <c r="AH228" s="442">
        <f t="shared" si="1505"/>
        <v>0</v>
      </c>
      <c r="AI228" s="442">
        <f t="shared" si="1506"/>
        <v>31872.200000000019</v>
      </c>
      <c r="AJ228" s="56"/>
      <c r="AM228" s="55">
        <f t="shared" si="1507"/>
        <v>46214</v>
      </c>
      <c r="AN228" s="422"/>
      <c r="AO228" s="444">
        <f>SUMPRODUCT(PRODUCE!$B231:$DY231,PRODUCE!$EB$11:$IY$11)</f>
        <v>0</v>
      </c>
      <c r="AP228" s="422"/>
      <c r="AQ228" s="444">
        <f t="shared" si="1508"/>
        <v>0</v>
      </c>
      <c r="AR228" s="444">
        <f t="shared" si="1509"/>
        <v>0</v>
      </c>
      <c r="AS228" s="56"/>
      <c r="AV228" s="55">
        <f t="shared" si="1510"/>
        <v>46214</v>
      </c>
      <c r="AW228" s="422"/>
      <c r="AX228" s="446">
        <f>SUMPRODUCT(PRODUCE!$B231:$DY231,PRODUCE!$EB$12:$IY$12)</f>
        <v>0</v>
      </c>
      <c r="AY228" s="422"/>
      <c r="AZ228" s="446">
        <f t="shared" si="1511"/>
        <v>0</v>
      </c>
      <c r="BA228" s="446">
        <f t="shared" si="1512"/>
        <v>13365.399999999996</v>
      </c>
      <c r="BB228" s="56"/>
      <c r="BE228" s="55">
        <f t="shared" si="1513"/>
        <v>46214</v>
      </c>
      <c r="BF228" s="422"/>
      <c r="BG228" s="448">
        <f>SUMPRODUCT(PRODUCE!$B231:$DY231,PRODUCE!$EB$13:$IY$13)</f>
        <v>0</v>
      </c>
      <c r="BH228" s="422"/>
      <c r="BI228" s="448">
        <f t="shared" si="1514"/>
        <v>0</v>
      </c>
      <c r="BJ228" s="448">
        <f t="shared" si="1515"/>
        <v>32703.699999999993</v>
      </c>
      <c r="BK228" s="56"/>
      <c r="BN228" s="55">
        <f t="shared" si="1516"/>
        <v>46214</v>
      </c>
      <c r="BO228" s="422"/>
      <c r="BP228" s="450">
        <f>SUMPRODUCT(PRODUCE!$B231:$DY231,PRODUCE!$EB$14:$IY$14)</f>
        <v>0</v>
      </c>
      <c r="BQ228" s="422"/>
      <c r="BR228" s="450">
        <f t="shared" si="1517"/>
        <v>0</v>
      </c>
      <c r="BS228" s="450">
        <f t="shared" si="1518"/>
        <v>0</v>
      </c>
      <c r="BT228" s="56"/>
      <c r="BW228" s="55">
        <f t="shared" si="1519"/>
        <v>46214</v>
      </c>
      <c r="BX228" s="422"/>
      <c r="BY228" s="523">
        <f>SUMPRODUCT(PRODUCE!$B231:$DY231,PRODUCE!$EB$15:$IY$15)</f>
        <v>0</v>
      </c>
      <c r="BZ228" s="422"/>
      <c r="CA228" s="523">
        <f t="shared" si="1520"/>
        <v>0</v>
      </c>
      <c r="CB228" s="523">
        <f t="shared" si="1521"/>
        <v>7398.4399999999987</v>
      </c>
      <c r="CC228" s="56"/>
      <c r="CF228" s="55">
        <f t="shared" si="1522"/>
        <v>46214</v>
      </c>
      <c r="CG228" s="422"/>
      <c r="CH228" s="524">
        <f>SUMPRODUCT(PRODUCE!$B231:$DY231,PRODUCE!$EB$16:$IY$16)</f>
        <v>0</v>
      </c>
      <c r="CI228" s="422"/>
      <c r="CJ228" s="524">
        <f t="shared" si="1523"/>
        <v>0</v>
      </c>
      <c r="CK228" s="524">
        <f t="shared" si="1524"/>
        <v>-6123.329999999999</v>
      </c>
      <c r="CL228" s="56"/>
      <c r="CO228" s="55">
        <f t="shared" si="1525"/>
        <v>46214</v>
      </c>
      <c r="CP228" s="422"/>
      <c r="CQ228" s="470">
        <f>SUMPRODUCT(PRODUCE!$B231:$DY231,PRODUCE!$EB$17:$IY$17)</f>
        <v>0</v>
      </c>
      <c r="CR228" s="422"/>
      <c r="CS228" s="470">
        <f t="shared" si="1526"/>
        <v>0</v>
      </c>
      <c r="CT228" s="470">
        <f t="shared" si="1527"/>
        <v>0</v>
      </c>
      <c r="CU228" s="56"/>
      <c r="CX228" s="55">
        <f t="shared" si="1528"/>
        <v>46214</v>
      </c>
      <c r="CY228" s="422"/>
      <c r="CZ228" s="525">
        <f>SUMPRODUCT(PRODUCE!$B231:$DY231,PRODUCE!$EB$18:$IY$18)</f>
        <v>0</v>
      </c>
      <c r="DA228" s="422"/>
      <c r="DB228" s="525">
        <f t="shared" si="1529"/>
        <v>0</v>
      </c>
      <c r="DC228" s="525">
        <f t="shared" si="1530"/>
        <v>711.60000000000719</v>
      </c>
      <c r="DD228" s="56"/>
      <c r="DG228" s="55">
        <f t="shared" si="1531"/>
        <v>46214</v>
      </c>
      <c r="DH228" s="422"/>
      <c r="DI228" s="526">
        <f>SUMPRODUCT(PRODUCE!$B231:$DY231,PRODUCE!$EB$19:$IY$19)</f>
        <v>0</v>
      </c>
      <c r="DJ228" s="422"/>
      <c r="DK228" s="526">
        <f t="shared" si="1532"/>
        <v>0</v>
      </c>
      <c r="DL228" s="526">
        <f t="shared" si="1533"/>
        <v>34634.699999999983</v>
      </c>
      <c r="DM228" s="56"/>
      <c r="DP228" s="55">
        <f t="shared" si="1534"/>
        <v>46214</v>
      </c>
      <c r="DQ228" s="56"/>
      <c r="DR228" s="57">
        <f>SUMPRODUCT(PRODUCE!$B231:$DY231,PRODUCE!$EB$20:$IY$20)</f>
        <v>0</v>
      </c>
      <c r="DS228" s="56"/>
      <c r="DT228" s="57">
        <f t="shared" si="1535"/>
        <v>0</v>
      </c>
      <c r="DU228" s="57">
        <f t="shared" si="1536"/>
        <v>5800</v>
      </c>
      <c r="DV228" s="56"/>
      <c r="DY228" s="55">
        <f t="shared" si="1537"/>
        <v>46214</v>
      </c>
      <c r="DZ228" s="56"/>
      <c r="EA228" s="157">
        <f>SUMPRODUCT(PRODUCE!$B231:$DY231,PRODUCE!$EB$21:$IY$21)</f>
        <v>0</v>
      </c>
      <c r="EB228" s="56"/>
      <c r="EC228" s="157">
        <f t="shared" si="1538"/>
        <v>0</v>
      </c>
      <c r="ED228" s="157">
        <f t="shared" si="1539"/>
        <v>0</v>
      </c>
      <c r="EE228" s="56"/>
      <c r="EH228" s="55">
        <f t="shared" si="1540"/>
        <v>46214</v>
      </c>
      <c r="EI228" s="56"/>
      <c r="EJ228" s="162">
        <f>SUMPRODUCT(PRODUCE!$B231:$DY231,PRODUCE!$EB$22:$IY$22)</f>
        <v>0</v>
      </c>
      <c r="EK228" s="56"/>
      <c r="EL228" s="162">
        <f t="shared" si="1541"/>
        <v>0</v>
      </c>
      <c r="EM228" s="162">
        <f t="shared" si="1542"/>
        <v>0</v>
      </c>
      <c r="EN228" s="56"/>
      <c r="EQ228" s="55">
        <f t="shared" si="1543"/>
        <v>46214</v>
      </c>
      <c r="ER228" s="56"/>
      <c r="ES228" s="172">
        <f>SUMPRODUCT(PRODUCE!$B231:$DY231,PRODUCE!$EB$23:$IY$23)</f>
        <v>0</v>
      </c>
      <c r="ET228" s="56"/>
      <c r="EU228" s="135">
        <f t="shared" si="1544"/>
        <v>0</v>
      </c>
      <c r="EV228" s="135">
        <f t="shared" si="1545"/>
        <v>0</v>
      </c>
      <c r="EW228" s="56"/>
      <c r="EZ228" s="55">
        <f t="shared" si="1546"/>
        <v>46214</v>
      </c>
      <c r="FA228" s="56"/>
      <c r="FB228" s="175">
        <f>SUMPRODUCT(PRODUCE!$B231:$DY231,PRODUCE!$EB$24:$IY$24)</f>
        <v>0</v>
      </c>
      <c r="FC228" s="56"/>
      <c r="FD228" s="175">
        <f t="shared" si="1547"/>
        <v>0</v>
      </c>
      <c r="FE228" s="175">
        <f t="shared" si="1548"/>
        <v>0</v>
      </c>
      <c r="FF228" s="56"/>
      <c r="FI228" s="55">
        <f t="shared" si="1549"/>
        <v>46214</v>
      </c>
      <c r="FJ228" s="56"/>
      <c r="FK228" s="183">
        <f>SUMPRODUCT(PRODUCE!$B231:$DY231,PRODUCE!$EB$25:$IY$25)</f>
        <v>0</v>
      </c>
      <c r="FL228" s="56"/>
      <c r="FM228" s="183">
        <f t="shared" si="1550"/>
        <v>0</v>
      </c>
      <c r="FN228" s="183">
        <f t="shared" si="1551"/>
        <v>0</v>
      </c>
      <c r="FO228" s="56"/>
      <c r="FR228" s="55">
        <f t="shared" si="1552"/>
        <v>46214</v>
      </c>
      <c r="FS228" s="56"/>
      <c r="FT228" s="186">
        <f>SUMPRODUCT(PRODUCE!$B231:$DY231,PRODUCE!$EB$26:$IY$26)</f>
        <v>0</v>
      </c>
      <c r="FU228" s="56"/>
      <c r="FV228" s="186">
        <f t="shared" si="1553"/>
        <v>0</v>
      </c>
      <c r="FW228" s="186">
        <f t="shared" si="1554"/>
        <v>1160</v>
      </c>
      <c r="FX228" s="56"/>
      <c r="GA228" s="55">
        <f t="shared" si="1555"/>
        <v>46214</v>
      </c>
      <c r="GB228" s="56"/>
      <c r="GC228" s="137">
        <f>SUMPRODUCT(PRODUCE!$B231:$DY231,PRODUCE!$EB$27:$IY$27)</f>
        <v>0</v>
      </c>
      <c r="GD228" s="56"/>
      <c r="GE228" s="137">
        <f t="shared" si="1556"/>
        <v>0</v>
      </c>
      <c r="GF228" s="137">
        <f t="shared" si="1557"/>
        <v>960</v>
      </c>
      <c r="GG228" s="56"/>
      <c r="GI228" s="23"/>
      <c r="GJ228" s="55">
        <f t="shared" si="1558"/>
        <v>46214</v>
      </c>
      <c r="GK228" s="56"/>
      <c r="GL228" s="199">
        <f>SUMPRODUCT(PRODUCE!$B231:$DY231,PRODUCE!$EB$28:$IY$28)</f>
        <v>0</v>
      </c>
      <c r="GM228" s="56"/>
      <c r="GN228" s="199">
        <f t="shared" si="1559"/>
        <v>0</v>
      </c>
      <c r="GO228" s="199">
        <f t="shared" si="1560"/>
        <v>1760</v>
      </c>
      <c r="GP228" s="56"/>
      <c r="GS228" s="55">
        <f t="shared" si="1561"/>
        <v>46214</v>
      </c>
      <c r="GT228" s="56"/>
      <c r="GU228" s="195">
        <f>SUMPRODUCT(PRODUCE!$B231:$DY231,PRODUCE!$EB$29:$IY$29)</f>
        <v>0</v>
      </c>
      <c r="GV228" s="56"/>
      <c r="GW228" s="195">
        <f t="shared" si="1562"/>
        <v>0</v>
      </c>
      <c r="GX228" s="195">
        <f t="shared" si="1563"/>
        <v>400</v>
      </c>
      <c r="GY228" s="56"/>
      <c r="HB228" s="55">
        <f t="shared" si="1564"/>
        <v>46214</v>
      </c>
      <c r="HC228" s="56"/>
      <c r="HD228" s="191">
        <f>SUMPRODUCT(PRODUCE!$B231:$DY231,PRODUCE!$EB$30:$IY$30)</f>
        <v>0</v>
      </c>
      <c r="HE228" s="56"/>
      <c r="HF228" s="191">
        <f t="shared" si="1565"/>
        <v>0</v>
      </c>
      <c r="HG228" s="191">
        <f t="shared" si="1566"/>
        <v>3600</v>
      </c>
      <c r="HH228" s="56"/>
      <c r="HK228" s="55">
        <f t="shared" si="1567"/>
        <v>46214</v>
      </c>
      <c r="HL228" s="56"/>
      <c r="HM228" s="63">
        <f>SUMPRODUCT(PRODUCE!$B231:$DY231,PRODUCE!$EB$31:$IY$31)</f>
        <v>0</v>
      </c>
      <c r="HN228" s="56"/>
      <c r="HO228" s="63">
        <f t="shared" si="1568"/>
        <v>0</v>
      </c>
      <c r="HP228" s="63">
        <f t="shared" si="1569"/>
        <v>0</v>
      </c>
      <c r="HQ228" s="56"/>
      <c r="HU228" s="55">
        <f t="shared" si="1570"/>
        <v>46214</v>
      </c>
      <c r="HV228" s="56"/>
      <c r="HW228" s="242">
        <f>SUMPRODUCT(PRODUCE!$B231:$DY231,PRODUCE!$EB$32:$IY$32)</f>
        <v>0</v>
      </c>
      <c r="HX228" s="56"/>
      <c r="HY228" s="242">
        <f t="shared" si="1571"/>
        <v>0</v>
      </c>
      <c r="HZ228" s="242">
        <f t="shared" si="1572"/>
        <v>6240</v>
      </c>
      <c r="IA228" s="56"/>
      <c r="ID228" s="55">
        <f t="shared" si="1573"/>
        <v>46214</v>
      </c>
      <c r="IE228" s="56"/>
      <c r="IF228" s="242">
        <f>SUMPRODUCT(PRODUCE!$B231:$DY231,PRODUCE!$EB$33:$IY$33)</f>
        <v>0</v>
      </c>
      <c r="IG228" s="56"/>
      <c r="IH228" s="242">
        <f t="shared" si="1574"/>
        <v>0</v>
      </c>
      <c r="II228" s="242">
        <f t="shared" si="1575"/>
        <v>720</v>
      </c>
      <c r="IJ228" s="56"/>
      <c r="IM228" s="55">
        <f t="shared" si="1576"/>
        <v>46214</v>
      </c>
      <c r="IN228" s="56"/>
      <c r="IO228" s="242">
        <f>SUMPRODUCT(PRODUCE!$B231:$DY231,PRODUCE!$EB$34:$IY$34)</f>
        <v>0</v>
      </c>
      <c r="IP228" s="56"/>
      <c r="IQ228" s="242">
        <f t="shared" si="1577"/>
        <v>0</v>
      </c>
      <c r="IR228" s="242">
        <f t="shared" si="1578"/>
        <v>5200</v>
      </c>
      <c r="IS228" s="56"/>
      <c r="IV228" s="55">
        <f t="shared" si="1579"/>
        <v>46214</v>
      </c>
      <c r="IW228" s="56"/>
      <c r="IX228" s="242">
        <f>SUMPRODUCT(PRODUCE!$B231:$DY231,PRODUCE!$EB$35:$IY$35)</f>
        <v>0</v>
      </c>
      <c r="IY228" s="56"/>
      <c r="IZ228" s="242">
        <f t="shared" si="1580"/>
        <v>0</v>
      </c>
      <c r="JA228" s="242">
        <f t="shared" si="1581"/>
        <v>4960</v>
      </c>
      <c r="JB228" s="56"/>
      <c r="JE228" s="55">
        <f t="shared" si="1582"/>
        <v>46214</v>
      </c>
      <c r="JF228" s="56"/>
      <c r="JG228" s="242">
        <f>SUMPRODUCT(PRODUCE!$B231:$DY231,PRODUCE!$EB$36:$IY$36)</f>
        <v>0</v>
      </c>
      <c r="JH228" s="56"/>
      <c r="JI228" s="242">
        <f t="shared" si="1583"/>
        <v>0</v>
      </c>
      <c r="JJ228" s="242">
        <f t="shared" si="1584"/>
        <v>0</v>
      </c>
      <c r="JK228" s="56"/>
      <c r="JN228" s="55">
        <f t="shared" si="1585"/>
        <v>46214</v>
      </c>
      <c r="JO228" s="56"/>
      <c r="JP228" s="242">
        <f>SUMPRODUCT(PRODUCE!$B231:$DY231,PRODUCE!$EB$37:$IY$37)</f>
        <v>0</v>
      </c>
      <c r="JQ228" s="56"/>
      <c r="JR228" s="242">
        <f t="shared" si="1586"/>
        <v>0</v>
      </c>
      <c r="JS228" s="242">
        <f t="shared" si="1587"/>
        <v>0</v>
      </c>
      <c r="JT228" s="56"/>
      <c r="JW228" s="55">
        <f t="shared" si="1588"/>
        <v>46214</v>
      </c>
      <c r="JX228" s="56"/>
      <c r="JY228" s="242">
        <f>SUMPRODUCT(PRODUCE!$B231:$DY231,PRODUCE!$EB$38:$IY$38)</f>
        <v>0</v>
      </c>
      <c r="JZ228" s="56"/>
      <c r="KA228" s="242">
        <f t="shared" si="1589"/>
        <v>0</v>
      </c>
      <c r="KB228" s="242">
        <f t="shared" si="1590"/>
        <v>2540</v>
      </c>
      <c r="KC228" s="56"/>
      <c r="KF228" s="55">
        <f t="shared" si="1591"/>
        <v>46214</v>
      </c>
      <c r="KG228" s="56"/>
      <c r="KH228" s="242">
        <f>SUMPRODUCT(PRODUCE!$B231:$DY231,PRODUCE!$EB$39:$IY$39)</f>
        <v>0</v>
      </c>
      <c r="KI228" s="56"/>
      <c r="KJ228" s="242">
        <f t="shared" si="1592"/>
        <v>0</v>
      </c>
      <c r="KK228" s="242">
        <f t="shared" si="1593"/>
        <v>2359.5</v>
      </c>
      <c r="KL228" s="56"/>
      <c r="KO228" s="55">
        <f t="shared" si="1594"/>
        <v>46214</v>
      </c>
      <c r="KP228" s="56"/>
      <c r="KQ228" s="242">
        <f>SUMPRODUCT(PRODUCE!$B231:$DY231,PRODUCE!$EB$40:$IY$40)</f>
        <v>0</v>
      </c>
      <c r="KR228" s="56"/>
      <c r="KS228" s="242">
        <f t="shared" si="1595"/>
        <v>0</v>
      </c>
      <c r="KT228" s="242">
        <f t="shared" si="1596"/>
        <v>1890</v>
      </c>
      <c r="KU228" s="56"/>
      <c r="KW228" s="23"/>
      <c r="KX228" s="55">
        <f t="shared" si="1597"/>
        <v>46214</v>
      </c>
      <c r="KY228" s="56"/>
      <c r="KZ228" s="242">
        <f>SUMPRODUCT(PRODUCE!$B231:$DY231,PRODUCE!$EB$41:$IY$41)</f>
        <v>0</v>
      </c>
      <c r="LA228" s="56"/>
      <c r="LB228" s="242">
        <f t="shared" si="1598"/>
        <v>0</v>
      </c>
      <c r="LC228" s="242">
        <f t="shared" si="1599"/>
        <v>3690</v>
      </c>
      <c r="LD228" s="56"/>
      <c r="LG228" s="55">
        <f t="shared" si="1600"/>
        <v>46214</v>
      </c>
      <c r="LH228" s="56"/>
      <c r="LI228" s="242">
        <f>SUMPRODUCT(PRODUCE!$B231:$DY231,PRODUCE!$EB$42:$IY$42)</f>
        <v>0</v>
      </c>
      <c r="LJ228" s="56"/>
      <c r="LK228" s="242">
        <f t="shared" si="1601"/>
        <v>0</v>
      </c>
      <c r="LL228" s="242">
        <f t="shared" si="1602"/>
        <v>4000</v>
      </c>
      <c r="LM228" s="56"/>
      <c r="LP228" s="55">
        <f t="shared" si="1603"/>
        <v>46214</v>
      </c>
      <c r="LQ228" s="56"/>
      <c r="LR228" s="242">
        <f>SUMPRODUCT(PRODUCE!$B231:$DY231,PRODUCE!$EB$43:$IY$43)</f>
        <v>0</v>
      </c>
      <c r="LS228" s="56"/>
      <c r="LT228" s="242">
        <f t="shared" si="1604"/>
        <v>0</v>
      </c>
      <c r="LU228" s="242">
        <f t="shared" si="1605"/>
        <v>0</v>
      </c>
      <c r="LV228" s="56"/>
      <c r="LY228" s="55">
        <f t="shared" si="1606"/>
        <v>46214</v>
      </c>
      <c r="LZ228" s="56"/>
      <c r="MA228" s="242">
        <f>SUMPRODUCT(PRODUCE!$B231:$DY231,PRODUCE!$EB$44:$IY$44)</f>
        <v>0</v>
      </c>
      <c r="MB228" s="56"/>
      <c r="MC228" s="242">
        <f t="shared" si="1607"/>
        <v>0</v>
      </c>
      <c r="MD228" s="242">
        <f t="shared" si="1608"/>
        <v>0</v>
      </c>
      <c r="ME228" s="56"/>
      <c r="MH228" s="55">
        <f t="shared" si="1609"/>
        <v>46214</v>
      </c>
      <c r="MI228" s="56"/>
      <c r="MJ228" s="242">
        <f>SUMPRODUCT(PRODUCE!$B231:$DY231,PRODUCE!$EB$45:$IY$45)</f>
        <v>0</v>
      </c>
      <c r="MK228" s="56"/>
      <c r="ML228" s="242">
        <f t="shared" si="1610"/>
        <v>0</v>
      </c>
      <c r="MM228" s="242">
        <f t="shared" si="1611"/>
        <v>0</v>
      </c>
      <c r="MN228" s="56"/>
      <c r="MQ228" s="55">
        <f t="shared" si="1612"/>
        <v>46214</v>
      </c>
      <c r="MR228" s="56"/>
      <c r="MS228" s="242">
        <f>SUMPRODUCT(PRODUCE!$B231:$DY231,PRODUCE!$EB$46:$IY$46)</f>
        <v>0</v>
      </c>
      <c r="MT228" s="56"/>
      <c r="MU228" s="242">
        <f t="shared" si="1613"/>
        <v>0</v>
      </c>
      <c r="MV228" s="242">
        <f t="shared" si="1614"/>
        <v>2828</v>
      </c>
      <c r="MW228" s="56"/>
      <c r="MZ228" s="55">
        <f t="shared" si="1615"/>
        <v>46214</v>
      </c>
      <c r="NA228" s="56"/>
      <c r="NB228" s="242">
        <f>SUMPRODUCT(PRODUCE!$B231:$DY231,PRODUCE!$EB$47:$IY$47)</f>
        <v>0</v>
      </c>
      <c r="NC228" s="56"/>
      <c r="ND228" s="242">
        <f t="shared" si="1616"/>
        <v>0</v>
      </c>
      <c r="NE228" s="242">
        <f t="shared" si="1617"/>
        <v>0</v>
      </c>
      <c r="NF228" s="56"/>
      <c r="NI228" s="55">
        <f t="shared" si="1618"/>
        <v>46214</v>
      </c>
      <c r="NJ228" s="56"/>
      <c r="NK228" s="242">
        <f>SUMPRODUCT(PRODUCE!$B231:$DY231,PRODUCE!$EB$48:$IY$48)</f>
        <v>0</v>
      </c>
      <c r="NL228" s="56"/>
      <c r="NM228" s="242">
        <f t="shared" si="1619"/>
        <v>0</v>
      </c>
      <c r="NN228" s="242">
        <f t="shared" si="1620"/>
        <v>1127</v>
      </c>
      <c r="NO228" s="56"/>
      <c r="NR228" s="55">
        <f t="shared" si="1621"/>
        <v>46214</v>
      </c>
      <c r="NS228" s="56"/>
      <c r="NT228" s="242">
        <f>SUMPRODUCT(PRODUCE!$B231:$DY231,PRODUCE!$EB$49:$IY$49)</f>
        <v>0</v>
      </c>
      <c r="NU228" s="56"/>
      <c r="NV228" s="242">
        <f t="shared" si="1622"/>
        <v>0</v>
      </c>
      <c r="NW228" s="242">
        <f t="shared" si="1623"/>
        <v>3111.9999999999995</v>
      </c>
      <c r="NX228" s="56"/>
      <c r="OA228" s="55">
        <f t="shared" si="1624"/>
        <v>46214</v>
      </c>
      <c r="OB228" s="56"/>
      <c r="OC228" s="242">
        <f>SUMPRODUCT(PRODUCE!$B231:$DY231,PRODUCE!$EB$50:$IY$50)</f>
        <v>0</v>
      </c>
      <c r="OD228" s="56"/>
      <c r="OE228" s="242">
        <f t="shared" si="1625"/>
        <v>0</v>
      </c>
      <c r="OF228" s="242">
        <f t="shared" si="1626"/>
        <v>1680.5</v>
      </c>
      <c r="OG228" s="56"/>
      <c r="OJ228" s="55">
        <f t="shared" si="1627"/>
        <v>46214</v>
      </c>
      <c r="OK228" s="56"/>
      <c r="OL228" s="242">
        <f>SUMPRODUCT(PRODUCE!$B231:$DY231,PRODUCE!$EB$51:$IY$51)</f>
        <v>0</v>
      </c>
      <c r="OM228" s="56"/>
      <c r="ON228" s="242">
        <f t="shared" si="1628"/>
        <v>0</v>
      </c>
      <c r="OO228" s="242">
        <f t="shared" si="1629"/>
        <v>0</v>
      </c>
      <c r="OP228" s="56"/>
      <c r="OS228" s="55">
        <f t="shared" si="1630"/>
        <v>46214</v>
      </c>
      <c r="OT228" s="56"/>
      <c r="OU228" s="242">
        <f>SUMPRODUCT(PRODUCE!$B231:$DY231,PRODUCE!$EB$52:$IY$52)</f>
        <v>0</v>
      </c>
      <c r="OV228" s="56"/>
      <c r="OW228" s="242">
        <f t="shared" si="1631"/>
        <v>0</v>
      </c>
      <c r="OX228" s="242">
        <f t="shared" si="1632"/>
        <v>1482</v>
      </c>
      <c r="OY228" s="56"/>
      <c r="PB228" s="55">
        <f t="shared" si="1633"/>
        <v>46214</v>
      </c>
      <c r="PC228" s="56"/>
      <c r="PD228" s="242">
        <f>SUMPRODUCT(PRODUCE!$B231:$DY231,PRODUCE!$EB$53:$IY$53)</f>
        <v>0</v>
      </c>
      <c r="PE228" s="56"/>
      <c r="PF228" s="242">
        <f t="shared" si="1634"/>
        <v>0</v>
      </c>
      <c r="PG228" s="242">
        <f t="shared" si="1635"/>
        <v>0</v>
      </c>
      <c r="PH228" s="56"/>
      <c r="PK228" s="55">
        <f t="shared" si="1636"/>
        <v>46214</v>
      </c>
      <c r="PL228" s="56"/>
      <c r="PM228" s="242">
        <f>SUMPRODUCT(PRODUCE!$B231:$DY231,PRODUCE!$EB$54:$IY$54)</f>
        <v>0</v>
      </c>
      <c r="PN228" s="56"/>
      <c r="PO228" s="242">
        <f t="shared" si="1637"/>
        <v>0</v>
      </c>
      <c r="PP228" s="242">
        <f t="shared" si="1638"/>
        <v>100</v>
      </c>
      <c r="PQ228" s="56"/>
      <c r="PT228" s="55">
        <f t="shared" si="1639"/>
        <v>46214</v>
      </c>
      <c r="PU228" s="56"/>
      <c r="PV228" s="242">
        <f>SUMPRODUCT(PRODUCE!$B231:$DY231,PRODUCE!$EB$55:$IY$55)</f>
        <v>0</v>
      </c>
      <c r="PW228" s="56"/>
      <c r="PX228" s="242">
        <f t="shared" si="1640"/>
        <v>0</v>
      </c>
      <c r="PY228" s="242">
        <f t="shared" si="1641"/>
        <v>13.960000000000036</v>
      </c>
      <c r="PZ228" s="56"/>
      <c r="QC228" s="55">
        <f t="shared" si="1642"/>
        <v>46214</v>
      </c>
      <c r="QD228" s="56"/>
      <c r="QE228" s="242">
        <f>SUMPRODUCT(PRODUCE!$B231:$DY231,PRODUCE!$EB$56:$IY$56)</f>
        <v>0</v>
      </c>
      <c r="QF228" s="56"/>
      <c r="QG228" s="242">
        <f t="shared" si="1643"/>
        <v>0</v>
      </c>
      <c r="QH228" s="242">
        <f t="shared" si="1644"/>
        <v>1736</v>
      </c>
      <c r="QI228" s="56"/>
      <c r="QL228" s="55">
        <f t="shared" si="1645"/>
        <v>46214</v>
      </c>
      <c r="QM228" s="56"/>
      <c r="QN228" s="242">
        <f>SUMPRODUCT(PRODUCE!$B231:$DY231,PRODUCE!$EB$57:$IY$57)</f>
        <v>0</v>
      </c>
      <c r="QO228" s="56"/>
      <c r="QP228" s="242">
        <f t="shared" si="1646"/>
        <v>0</v>
      </c>
      <c r="QQ228" s="242">
        <f t="shared" si="1647"/>
        <v>85</v>
      </c>
      <c r="QR228" s="56"/>
      <c r="QU228" s="55">
        <f t="shared" si="1648"/>
        <v>46214</v>
      </c>
      <c r="QV228" s="56"/>
      <c r="QW228" s="242">
        <f>SUMPRODUCT(PRODUCE!$B231:$DY231,PRODUCE!$EB$58:$IY$58)</f>
        <v>0</v>
      </c>
      <c r="QX228" s="56"/>
      <c r="QY228" s="242">
        <f t="shared" si="1649"/>
        <v>0</v>
      </c>
      <c r="QZ228" s="242">
        <f t="shared" si="1650"/>
        <v>207.6</v>
      </c>
      <c r="RA228" s="56"/>
      <c r="RD228" s="55">
        <f t="shared" si="1651"/>
        <v>46214</v>
      </c>
      <c r="RE228" s="56"/>
      <c r="RF228" s="242">
        <f>SUMPRODUCT(PRODUCE!$B231:$DY231,PRODUCE!$EB$59:$IY$59)</f>
        <v>0</v>
      </c>
      <c r="RG228" s="56"/>
      <c r="RH228" s="242">
        <f t="shared" si="1652"/>
        <v>0</v>
      </c>
      <c r="RI228" s="242">
        <f t="shared" si="1653"/>
        <v>147.04000000000002</v>
      </c>
      <c r="RJ228" s="56"/>
      <c r="RM228" s="55">
        <f t="shared" si="1654"/>
        <v>46214</v>
      </c>
      <c r="RN228" s="56"/>
      <c r="RO228" s="242">
        <f>SUMPRODUCT(PRODUCE!$B231:$DY231,PRODUCE!$EB$60:$IY$60)</f>
        <v>0</v>
      </c>
      <c r="RP228" s="56"/>
      <c r="RQ228" s="242">
        <f t="shared" si="1655"/>
        <v>0</v>
      </c>
      <c r="RR228" s="242">
        <f t="shared" si="1656"/>
        <v>46.8</v>
      </c>
      <c r="RS228" s="56"/>
      <c r="RV228" s="55">
        <f t="shared" si="1657"/>
        <v>46214</v>
      </c>
      <c r="RW228" s="56"/>
      <c r="RX228" s="242">
        <f>SUMPRODUCT(PRODUCE!$B231:$DY231,PRODUCE!$EB$61:$IY$61)</f>
        <v>0</v>
      </c>
      <c r="RY228" s="56"/>
      <c r="RZ228" s="242">
        <f t="shared" si="1658"/>
        <v>0</v>
      </c>
      <c r="SA228" s="242">
        <f t="shared" si="1659"/>
        <v>0</v>
      </c>
      <c r="SB228" s="56"/>
      <c r="SE228" s="55">
        <f t="shared" si="1660"/>
        <v>46214</v>
      </c>
      <c r="SF228" s="56"/>
      <c r="SG228" s="242">
        <f>SUMPRODUCT(PRODUCE!$B231:$DY231,PRODUCE!$EB$62:$IY$62)</f>
        <v>0</v>
      </c>
      <c r="SH228" s="56"/>
      <c r="SI228" s="242">
        <f t="shared" si="1661"/>
        <v>0</v>
      </c>
      <c r="SJ228" s="242">
        <f t="shared" si="1662"/>
        <v>24.200000000000003</v>
      </c>
      <c r="SK228" s="56"/>
      <c r="SN228" s="55">
        <f t="shared" si="1663"/>
        <v>46214</v>
      </c>
      <c r="SO228" s="56"/>
      <c r="SP228" s="242">
        <f>SUMPRODUCT(PRODUCE!$B231:$DY231,PRODUCE!$EB$63:$IY$63)</f>
        <v>0</v>
      </c>
      <c r="SQ228" s="56"/>
      <c r="SR228" s="242">
        <f t="shared" si="1664"/>
        <v>0</v>
      </c>
      <c r="SS228" s="242">
        <f t="shared" si="1665"/>
        <v>32</v>
      </c>
      <c r="ST228" s="56"/>
      <c r="SW228" s="55">
        <f t="shared" si="1666"/>
        <v>46214</v>
      </c>
      <c r="SX228" s="56"/>
      <c r="SY228" s="242">
        <f>SUMPRODUCT(PRODUCE!$B231:$DY231,PRODUCE!$EB$64:$IY$64)</f>
        <v>0</v>
      </c>
      <c r="SZ228" s="56"/>
      <c r="TA228" s="242">
        <f t="shared" si="1667"/>
        <v>0</v>
      </c>
      <c r="TB228" s="242">
        <f t="shared" si="1668"/>
        <v>0</v>
      </c>
      <c r="TC228" s="56"/>
      <c r="TF228" s="55">
        <f t="shared" si="1669"/>
        <v>46214</v>
      </c>
      <c r="TG228" s="56"/>
      <c r="TH228" s="242">
        <f>SUMPRODUCT(PRODUCE!$B231:$DY231,PRODUCE!$EB$57:$IY$57)</f>
        <v>0</v>
      </c>
      <c r="TI228" s="56"/>
      <c r="TJ228" s="242">
        <f t="shared" si="1670"/>
        <v>0</v>
      </c>
      <c r="TK228" s="242">
        <f t="shared" si="1671"/>
        <v>0</v>
      </c>
      <c r="TL228" s="56"/>
      <c r="TO228" s="55">
        <f t="shared" si="1672"/>
        <v>46214</v>
      </c>
      <c r="TP228" s="56"/>
      <c r="TQ228" s="242">
        <f>SUMPRODUCT(PRODUCE!$B231:$DY231,PRODUCE!$EB$57:$IY$57)</f>
        <v>0</v>
      </c>
      <c r="TR228" s="56"/>
      <c r="TS228" s="242">
        <f t="shared" si="1673"/>
        <v>0</v>
      </c>
      <c r="TT228" s="242">
        <f t="shared" si="1674"/>
        <v>22.400000000000006</v>
      </c>
      <c r="TU228" s="56"/>
      <c r="TX228" s="55">
        <f t="shared" si="1675"/>
        <v>46214</v>
      </c>
      <c r="TY228" s="56"/>
      <c r="TZ228" s="242">
        <f>SUMPRODUCT(PRODUCE!$B231:$DY231,PRODUCE!$EB$57:$IY$57)</f>
        <v>0</v>
      </c>
      <c r="UA228" s="56"/>
      <c r="UB228" s="242">
        <f t="shared" si="1676"/>
        <v>0</v>
      </c>
      <c r="UC228" s="242">
        <f t="shared" si="1677"/>
        <v>46.799999999999983</v>
      </c>
      <c r="UD228" s="56"/>
      <c r="UG228" s="55">
        <f t="shared" si="1678"/>
        <v>46214</v>
      </c>
      <c r="UH228" s="56"/>
      <c r="UI228" s="242">
        <f>SUMPRODUCT(PRODUCE!$B231:$DY231,PRODUCE!$EB$57:$IY$57)</f>
        <v>0</v>
      </c>
      <c r="UJ228" s="56"/>
      <c r="UK228" s="242">
        <f t="shared" si="1679"/>
        <v>0</v>
      </c>
      <c r="UL228" s="242">
        <f t="shared" si="1680"/>
        <v>204</v>
      </c>
      <c r="UM228" s="56"/>
      <c r="UP228" s="55">
        <f t="shared" si="1681"/>
        <v>46214</v>
      </c>
      <c r="UQ228" s="56"/>
      <c r="UR228" s="242">
        <f>SUMPRODUCT(PRODUCE!$B231:$DY231,PRODUCE!$EB$69:$IY$69)</f>
        <v>0</v>
      </c>
      <c r="US228" s="56"/>
      <c r="UT228" s="242">
        <f t="shared" si="1682"/>
        <v>0</v>
      </c>
      <c r="UU228" s="242">
        <f t="shared" si="1683"/>
        <v>242.5</v>
      </c>
      <c r="UV228" s="56"/>
      <c r="UY228" s="55">
        <f t="shared" si="1684"/>
        <v>46214</v>
      </c>
      <c r="UZ228" s="56"/>
      <c r="VA228" s="242">
        <f>SUMPRODUCT(PRODUCE!$B231:$DY231,PRODUCE!$EB$70:$IY$70)</f>
        <v>0</v>
      </c>
      <c r="VB228" s="56"/>
      <c r="VC228" s="242">
        <f t="shared" si="1685"/>
        <v>0</v>
      </c>
      <c r="VD228" s="242">
        <f t="shared" si="1686"/>
        <v>41.600000000000023</v>
      </c>
      <c r="VE228" s="56"/>
      <c r="VH228" s="55">
        <f t="shared" si="1687"/>
        <v>46214</v>
      </c>
      <c r="VI228" s="56"/>
      <c r="VJ228" s="242">
        <f>SUMPRODUCT(PRODUCE!$B231:$DY231,PRODUCE!$EB$71:$IY$71)</f>
        <v>0</v>
      </c>
      <c r="VK228" s="56"/>
      <c r="VL228" s="242">
        <f t="shared" si="1688"/>
        <v>0</v>
      </c>
      <c r="VM228" s="242">
        <f t="shared" si="1689"/>
        <v>210</v>
      </c>
      <c r="VN228" s="56"/>
      <c r="VQ228" s="55">
        <f t="shared" si="1690"/>
        <v>46214</v>
      </c>
      <c r="VR228" s="56"/>
      <c r="VS228" s="242">
        <f>SUMPRODUCT(PRODUCE!$B231:$DY231,PRODUCE!$EB$57:$IY$57)</f>
        <v>0</v>
      </c>
      <c r="VT228" s="56"/>
      <c r="VU228" s="242">
        <f t="shared" si="1691"/>
        <v>0</v>
      </c>
      <c r="VV228" s="242">
        <f t="shared" si="1692"/>
        <v>0</v>
      </c>
      <c r="VW228" s="56"/>
      <c r="VZ228" s="55">
        <f t="shared" si="1693"/>
        <v>46214</v>
      </c>
      <c r="WA228" s="56"/>
      <c r="WB228" s="242">
        <f>SUMPRODUCT(PRODUCE!$B231:$DY231,PRODUCE!$EB$57:$IY$57)</f>
        <v>0</v>
      </c>
      <c r="WC228" s="56"/>
      <c r="WD228" s="242">
        <f t="shared" si="1694"/>
        <v>0</v>
      </c>
      <c r="WE228" s="242">
        <f t="shared" si="1695"/>
        <v>0</v>
      </c>
      <c r="WF228" s="56"/>
      <c r="WI228" s="55">
        <f t="shared" si="1696"/>
        <v>46214</v>
      </c>
      <c r="WJ228" s="56"/>
      <c r="WK228" s="242">
        <f>SUMPRODUCT(PRODUCE!$B231:$DY231,PRODUCE!$EB$57:$IY$57)</f>
        <v>0</v>
      </c>
      <c r="WL228" s="56"/>
      <c r="WM228" s="242">
        <f t="shared" si="1697"/>
        <v>0</v>
      </c>
      <c r="WN228" s="242">
        <f t="shared" si="1698"/>
        <v>1057</v>
      </c>
      <c r="WO228" s="56"/>
      <c r="WR228" s="55">
        <f t="shared" si="1699"/>
        <v>46214</v>
      </c>
      <c r="WS228" s="56"/>
      <c r="WT228" s="242">
        <f>SUMPRODUCT(PRODUCE!$B231:$DY231,PRODUCE!$EB$57:$IY$57)</f>
        <v>0</v>
      </c>
      <c r="WU228" s="56"/>
      <c r="WV228" s="242">
        <f t="shared" si="1700"/>
        <v>0</v>
      </c>
      <c r="WW228" s="242">
        <f t="shared" si="1701"/>
        <v>0</v>
      </c>
      <c r="WX228" s="56"/>
      <c r="XA228" s="55">
        <f t="shared" si="1702"/>
        <v>46214</v>
      </c>
      <c r="XB228" s="56"/>
      <c r="XC228" s="242">
        <f>SUMPRODUCT(PRODUCE!$B231:$DY231,PRODUCE!$EB$57:$IY$57)</f>
        <v>0</v>
      </c>
      <c r="XD228" s="56"/>
      <c r="XE228" s="242">
        <f t="shared" si="1703"/>
        <v>0</v>
      </c>
      <c r="XF228" s="242">
        <f t="shared" si="1704"/>
        <v>7507</v>
      </c>
      <c r="XG228" s="56"/>
      <c r="XJ228" s="55">
        <f t="shared" si="1705"/>
        <v>46214</v>
      </c>
      <c r="XK228" s="56"/>
      <c r="XL228" s="242">
        <f>SUMPRODUCT(PRODUCE!$B231:$DY231,PRODUCE!$EB$57:$IY$57)</f>
        <v>0</v>
      </c>
      <c r="XM228" s="56"/>
      <c r="XN228" s="242">
        <f t="shared" si="1706"/>
        <v>0</v>
      </c>
      <c r="XO228" s="242">
        <f t="shared" si="1707"/>
        <v>4252</v>
      </c>
      <c r="XP228" s="56"/>
      <c r="XS228" s="55">
        <f t="shared" si="1708"/>
        <v>46214</v>
      </c>
      <c r="XT228" s="56"/>
      <c r="XU228" s="242">
        <f>SUMPRODUCT(PRODUCE!$B231:$DY231,PRODUCE!$EB$57:$IY$57)</f>
        <v>0</v>
      </c>
      <c r="XV228" s="56"/>
      <c r="XW228" s="242">
        <f t="shared" si="1709"/>
        <v>0</v>
      </c>
      <c r="XX228" s="242">
        <f t="shared" si="1710"/>
        <v>2179</v>
      </c>
      <c r="XY228" s="56"/>
      <c r="YB228" s="55">
        <f t="shared" si="1711"/>
        <v>46214</v>
      </c>
      <c r="YC228" s="56"/>
      <c r="YD228" s="242">
        <f>SUMPRODUCT(PRODUCE!$B231:$DY231,PRODUCE!$EB$57:$IY$57)</f>
        <v>0</v>
      </c>
      <c r="YE228" s="56"/>
      <c r="YF228" s="242">
        <f t="shared" si="1712"/>
        <v>0</v>
      </c>
      <c r="YG228" s="242">
        <f t="shared" si="1713"/>
        <v>4019</v>
      </c>
      <c r="YH228" s="56"/>
      <c r="YK228" s="55">
        <f t="shared" si="1714"/>
        <v>46214</v>
      </c>
      <c r="YL228" s="56"/>
      <c r="YM228" s="242">
        <f>SUMPRODUCT(PRODUCE!$B231:$DY231,PRODUCE!$EB$57:$IY$57)</f>
        <v>0</v>
      </c>
      <c r="YN228" s="56"/>
      <c r="YO228" s="242">
        <f t="shared" si="1715"/>
        <v>0</v>
      </c>
      <c r="YP228" s="242">
        <f t="shared" si="1716"/>
        <v>0</v>
      </c>
      <c r="YQ228" s="56"/>
      <c r="YT228" s="55">
        <f t="shared" si="1717"/>
        <v>46214</v>
      </c>
      <c r="YU228" s="56"/>
      <c r="YV228" s="242">
        <f>SUMPRODUCT(PRODUCE!$B231:$DY231,PRODUCE!$EB$57:$IY$57)</f>
        <v>0</v>
      </c>
      <c r="YW228" s="56"/>
      <c r="YX228" s="242">
        <f t="shared" si="1718"/>
        <v>0</v>
      </c>
      <c r="YY228" s="242">
        <f t="shared" si="1719"/>
        <v>0</v>
      </c>
      <c r="YZ228" s="56"/>
      <c r="ZC228" s="55">
        <f t="shared" si="1720"/>
        <v>46214</v>
      </c>
      <c r="ZD228" s="56"/>
      <c r="ZE228" s="242">
        <f>SUMPRODUCT(PRODUCE!$B231:$DY231,PRODUCE!$EB$57:$IY$57)</f>
        <v>0</v>
      </c>
      <c r="ZF228" s="56"/>
      <c r="ZG228" s="242">
        <f t="shared" si="1721"/>
        <v>0</v>
      </c>
      <c r="ZH228" s="242">
        <f t="shared" si="1722"/>
        <v>0</v>
      </c>
      <c r="ZI228" s="56"/>
      <c r="ZL228" s="55">
        <f t="shared" si="1723"/>
        <v>46214</v>
      </c>
      <c r="ZM228" s="56"/>
      <c r="ZN228" s="242">
        <f>SUMPRODUCT(PRODUCE!$B231:$DY231,PRODUCE!$EB$57:$IY$57)</f>
        <v>0</v>
      </c>
      <c r="ZO228" s="56"/>
      <c r="ZP228" s="242">
        <f t="shared" si="1724"/>
        <v>0</v>
      </c>
      <c r="ZQ228" s="242">
        <f t="shared" si="1725"/>
        <v>0</v>
      </c>
      <c r="ZR228" s="56"/>
      <c r="ZU228" s="55">
        <f t="shared" si="1726"/>
        <v>46214</v>
      </c>
      <c r="ZV228" s="56"/>
      <c r="ZW228" s="242">
        <f>SUMPRODUCT(PRODUCE!$B231:$DY231,PRODUCE!$EB$57:$IY$57)</f>
        <v>0</v>
      </c>
      <c r="ZX228" s="56"/>
      <c r="ZY228" s="242">
        <f t="shared" si="1727"/>
        <v>0</v>
      </c>
      <c r="ZZ228" s="242">
        <f t="shared" si="1728"/>
        <v>0</v>
      </c>
      <c r="AAA228" s="56"/>
      <c r="AAD228" s="55">
        <f t="shared" si="1729"/>
        <v>46214</v>
      </c>
      <c r="AAE228" s="56"/>
      <c r="AAF228" s="242">
        <f>SUMPRODUCT(PRODUCE!$B231:$DY231,PRODUCE!$EB$57:$IY$57)</f>
        <v>0</v>
      </c>
      <c r="AAG228" s="56"/>
      <c r="AAH228" s="242">
        <f t="shared" si="1730"/>
        <v>0</v>
      </c>
      <c r="AAI228" s="242">
        <f t="shared" si="1731"/>
        <v>0</v>
      </c>
      <c r="AAJ228" s="56"/>
      <c r="AAM228" s="55">
        <f t="shared" si="1732"/>
        <v>46214</v>
      </c>
      <c r="AAN228" s="56"/>
      <c r="AAO228" s="242">
        <f>SUMPRODUCT(PRODUCE!$B231:$DY231,PRODUCE!$EB$57:$IY$57)</f>
        <v>0</v>
      </c>
      <c r="AAP228" s="56"/>
      <c r="AAQ228" s="242">
        <f t="shared" si="1733"/>
        <v>0</v>
      </c>
      <c r="AAR228" s="242">
        <f t="shared" si="1734"/>
        <v>0</v>
      </c>
      <c r="AAS228" s="56"/>
      <c r="AAV228" s="55">
        <f t="shared" si="1735"/>
        <v>46214</v>
      </c>
      <c r="AAW228" s="56"/>
      <c r="AAX228" s="242">
        <f>SUMPRODUCT(PRODUCE!$B231:$DY231,PRODUCE!$EB$57:$IY$57)</f>
        <v>0</v>
      </c>
      <c r="AAY228" s="56"/>
      <c r="AAZ228" s="242">
        <f t="shared" si="1736"/>
        <v>0</v>
      </c>
      <c r="ABA228" s="242">
        <f t="shared" si="1737"/>
        <v>0</v>
      </c>
      <c r="ABB228" s="56"/>
      <c r="ABE228" s="55">
        <f t="shared" si="1738"/>
        <v>46214</v>
      </c>
      <c r="ABF228" s="56"/>
      <c r="ABG228" s="242">
        <f>SUMPRODUCT(PRODUCE!$B231:$DY231,PRODUCE!$EB$57:$IY$57)</f>
        <v>0</v>
      </c>
      <c r="ABH228" s="56"/>
      <c r="ABI228" s="242">
        <f t="shared" si="1739"/>
        <v>0</v>
      </c>
      <c r="ABJ228" s="242">
        <f t="shared" si="1740"/>
        <v>0</v>
      </c>
      <c r="ABK228" s="56"/>
    </row>
    <row r="229" spans="2:739" s="54" customFormat="1" ht="15" customHeight="1" outlineLevel="1">
      <c r="B229" s="478"/>
      <c r="C229" s="55">
        <v>46215</v>
      </c>
      <c r="D229" s="422"/>
      <c r="E229" s="423">
        <f>SUMPRODUCT(PRODUCE!$B232:$DY232,PRODUCE!$EB$7:$IY$7)</f>
        <v>0</v>
      </c>
      <c r="F229" s="422"/>
      <c r="G229" s="423">
        <f t="shared" si="1496"/>
        <v>0</v>
      </c>
      <c r="H229" s="423">
        <f t="shared" si="1497"/>
        <v>123443.00000000004</v>
      </c>
      <c r="I229" s="289"/>
      <c r="L229" s="55">
        <f t="shared" si="1498"/>
        <v>46215</v>
      </c>
      <c r="M229" s="422"/>
      <c r="N229" s="438">
        <f>SUMPRODUCT(PRODUCE!$B232:$DY232,PRODUCE!$EB$8:$IY$8)</f>
        <v>0</v>
      </c>
      <c r="O229" s="422"/>
      <c r="P229" s="438">
        <f t="shared" si="1499"/>
        <v>0</v>
      </c>
      <c r="Q229" s="438">
        <f t="shared" si="1500"/>
        <v>36259.20000000007</v>
      </c>
      <c r="R229" s="56"/>
      <c r="U229" s="55">
        <f t="shared" si="1501"/>
        <v>46215</v>
      </c>
      <c r="V229" s="422"/>
      <c r="W229" s="440">
        <f>SUMPRODUCT(PRODUCE!$B232:$DY232,PRODUCE!$EB$9:$IY$9)</f>
        <v>0</v>
      </c>
      <c r="X229" s="422"/>
      <c r="Y229" s="440">
        <f t="shared" si="1502"/>
        <v>0</v>
      </c>
      <c r="Z229" s="440">
        <f t="shared" si="1503"/>
        <v>32658.79999999997</v>
      </c>
      <c r="AA229" s="56"/>
      <c r="AD229" s="55">
        <f t="shared" si="1504"/>
        <v>46215</v>
      </c>
      <c r="AE229" s="422"/>
      <c r="AF229" s="442">
        <f>SUMPRODUCT(PRODUCE!$B232:$DY232,PRODUCE!$EB$10:$IY$10)</f>
        <v>0</v>
      </c>
      <c r="AG229" s="422"/>
      <c r="AH229" s="442">
        <f t="shared" si="1505"/>
        <v>0</v>
      </c>
      <c r="AI229" s="442">
        <f t="shared" si="1506"/>
        <v>31872.200000000019</v>
      </c>
      <c r="AJ229" s="56"/>
      <c r="AM229" s="55">
        <f t="shared" si="1507"/>
        <v>46215</v>
      </c>
      <c r="AN229" s="422"/>
      <c r="AO229" s="444">
        <f>SUMPRODUCT(PRODUCE!$B232:$DY232,PRODUCE!$EB$11:$IY$11)</f>
        <v>0</v>
      </c>
      <c r="AP229" s="422"/>
      <c r="AQ229" s="444">
        <f t="shared" si="1508"/>
        <v>0</v>
      </c>
      <c r="AR229" s="444">
        <f t="shared" si="1509"/>
        <v>0</v>
      </c>
      <c r="AS229" s="56"/>
      <c r="AV229" s="55">
        <f t="shared" si="1510"/>
        <v>46215</v>
      </c>
      <c r="AW229" s="422"/>
      <c r="AX229" s="446">
        <f>SUMPRODUCT(PRODUCE!$B232:$DY232,PRODUCE!$EB$12:$IY$12)</f>
        <v>0</v>
      </c>
      <c r="AY229" s="422"/>
      <c r="AZ229" s="446">
        <f t="shared" si="1511"/>
        <v>0</v>
      </c>
      <c r="BA229" s="446">
        <f t="shared" si="1512"/>
        <v>13365.399999999996</v>
      </c>
      <c r="BB229" s="56"/>
      <c r="BE229" s="55">
        <f t="shared" si="1513"/>
        <v>46215</v>
      </c>
      <c r="BF229" s="422"/>
      <c r="BG229" s="448">
        <f>SUMPRODUCT(PRODUCE!$B232:$DY232,PRODUCE!$EB$13:$IY$13)</f>
        <v>0</v>
      </c>
      <c r="BH229" s="422"/>
      <c r="BI229" s="448">
        <f t="shared" si="1514"/>
        <v>0</v>
      </c>
      <c r="BJ229" s="448">
        <f t="shared" si="1515"/>
        <v>32703.699999999993</v>
      </c>
      <c r="BK229" s="56"/>
      <c r="BN229" s="55">
        <f t="shared" si="1516"/>
        <v>46215</v>
      </c>
      <c r="BO229" s="422"/>
      <c r="BP229" s="450">
        <f>SUMPRODUCT(PRODUCE!$B232:$DY232,PRODUCE!$EB$14:$IY$14)</f>
        <v>0</v>
      </c>
      <c r="BQ229" s="422"/>
      <c r="BR229" s="450">
        <f t="shared" si="1517"/>
        <v>0</v>
      </c>
      <c r="BS229" s="450">
        <f t="shared" si="1518"/>
        <v>0</v>
      </c>
      <c r="BT229" s="56"/>
      <c r="BW229" s="55">
        <f t="shared" si="1519"/>
        <v>46215</v>
      </c>
      <c r="BX229" s="422"/>
      <c r="BY229" s="523">
        <f>SUMPRODUCT(PRODUCE!$B232:$DY232,PRODUCE!$EB$15:$IY$15)</f>
        <v>0</v>
      </c>
      <c r="BZ229" s="422"/>
      <c r="CA229" s="523">
        <f t="shared" si="1520"/>
        <v>0</v>
      </c>
      <c r="CB229" s="523">
        <f t="shared" si="1521"/>
        <v>7398.4399999999987</v>
      </c>
      <c r="CC229" s="56"/>
      <c r="CF229" s="55">
        <f t="shared" si="1522"/>
        <v>46215</v>
      </c>
      <c r="CG229" s="422"/>
      <c r="CH229" s="524">
        <f>SUMPRODUCT(PRODUCE!$B232:$DY232,PRODUCE!$EB$16:$IY$16)</f>
        <v>0</v>
      </c>
      <c r="CI229" s="422"/>
      <c r="CJ229" s="524">
        <f t="shared" si="1523"/>
        <v>0</v>
      </c>
      <c r="CK229" s="524">
        <f t="shared" si="1524"/>
        <v>-6123.329999999999</v>
      </c>
      <c r="CL229" s="56"/>
      <c r="CO229" s="55">
        <f t="shared" si="1525"/>
        <v>46215</v>
      </c>
      <c r="CP229" s="422"/>
      <c r="CQ229" s="470">
        <f>SUMPRODUCT(PRODUCE!$B232:$DY232,PRODUCE!$EB$17:$IY$17)</f>
        <v>0</v>
      </c>
      <c r="CR229" s="422"/>
      <c r="CS229" s="470">
        <f t="shared" si="1526"/>
        <v>0</v>
      </c>
      <c r="CT229" s="470">
        <f t="shared" si="1527"/>
        <v>0</v>
      </c>
      <c r="CU229" s="56"/>
      <c r="CX229" s="55">
        <f t="shared" si="1528"/>
        <v>46215</v>
      </c>
      <c r="CY229" s="422"/>
      <c r="CZ229" s="525">
        <f>SUMPRODUCT(PRODUCE!$B232:$DY232,PRODUCE!$EB$18:$IY$18)</f>
        <v>0</v>
      </c>
      <c r="DA229" s="422"/>
      <c r="DB229" s="525">
        <f t="shared" si="1529"/>
        <v>0</v>
      </c>
      <c r="DC229" s="525">
        <f t="shared" si="1530"/>
        <v>711.60000000000719</v>
      </c>
      <c r="DD229" s="56"/>
      <c r="DG229" s="55">
        <f t="shared" si="1531"/>
        <v>46215</v>
      </c>
      <c r="DH229" s="422"/>
      <c r="DI229" s="526">
        <f>SUMPRODUCT(PRODUCE!$B232:$DY232,PRODUCE!$EB$19:$IY$19)</f>
        <v>0</v>
      </c>
      <c r="DJ229" s="422"/>
      <c r="DK229" s="526">
        <f t="shared" si="1532"/>
        <v>0</v>
      </c>
      <c r="DL229" s="526">
        <f t="shared" si="1533"/>
        <v>34634.699999999983</v>
      </c>
      <c r="DM229" s="56"/>
      <c r="DP229" s="55">
        <f t="shared" si="1534"/>
        <v>46215</v>
      </c>
      <c r="DQ229" s="56"/>
      <c r="DR229" s="57">
        <f>SUMPRODUCT(PRODUCE!$B232:$DY232,PRODUCE!$EB$20:$IY$20)</f>
        <v>0</v>
      </c>
      <c r="DS229" s="56"/>
      <c r="DT229" s="57">
        <f t="shared" si="1535"/>
        <v>0</v>
      </c>
      <c r="DU229" s="57">
        <f t="shared" si="1536"/>
        <v>5800</v>
      </c>
      <c r="DV229" s="56"/>
      <c r="DY229" s="55">
        <f t="shared" si="1537"/>
        <v>46215</v>
      </c>
      <c r="DZ229" s="56"/>
      <c r="EA229" s="157">
        <f>SUMPRODUCT(PRODUCE!$B232:$DY232,PRODUCE!$EB$21:$IY$21)</f>
        <v>0</v>
      </c>
      <c r="EB229" s="56"/>
      <c r="EC229" s="157">
        <f t="shared" si="1538"/>
        <v>0</v>
      </c>
      <c r="ED229" s="157">
        <f t="shared" si="1539"/>
        <v>0</v>
      </c>
      <c r="EE229" s="56"/>
      <c r="EH229" s="55">
        <f t="shared" si="1540"/>
        <v>46215</v>
      </c>
      <c r="EI229" s="56"/>
      <c r="EJ229" s="162">
        <f>SUMPRODUCT(PRODUCE!$B232:$DY232,PRODUCE!$EB$22:$IY$22)</f>
        <v>0</v>
      </c>
      <c r="EK229" s="56"/>
      <c r="EL229" s="162">
        <f t="shared" si="1541"/>
        <v>0</v>
      </c>
      <c r="EM229" s="162">
        <f t="shared" si="1542"/>
        <v>0</v>
      </c>
      <c r="EN229" s="56"/>
      <c r="EQ229" s="55">
        <f t="shared" si="1543"/>
        <v>46215</v>
      </c>
      <c r="ER229" s="56"/>
      <c r="ES229" s="172">
        <f>SUMPRODUCT(PRODUCE!$B232:$DY232,PRODUCE!$EB$23:$IY$23)</f>
        <v>0</v>
      </c>
      <c r="ET229" s="56"/>
      <c r="EU229" s="135">
        <f t="shared" si="1544"/>
        <v>0</v>
      </c>
      <c r="EV229" s="135">
        <f t="shared" si="1545"/>
        <v>0</v>
      </c>
      <c r="EW229" s="56"/>
      <c r="EZ229" s="55">
        <f t="shared" si="1546"/>
        <v>46215</v>
      </c>
      <c r="FA229" s="56"/>
      <c r="FB229" s="175">
        <f>SUMPRODUCT(PRODUCE!$B232:$DY232,PRODUCE!$EB$24:$IY$24)</f>
        <v>0</v>
      </c>
      <c r="FC229" s="56"/>
      <c r="FD229" s="175">
        <f t="shared" si="1547"/>
        <v>0</v>
      </c>
      <c r="FE229" s="175">
        <f t="shared" si="1548"/>
        <v>0</v>
      </c>
      <c r="FF229" s="56"/>
      <c r="FI229" s="55">
        <f t="shared" si="1549"/>
        <v>46215</v>
      </c>
      <c r="FJ229" s="56"/>
      <c r="FK229" s="183">
        <f>SUMPRODUCT(PRODUCE!$B232:$DY232,PRODUCE!$EB$25:$IY$25)</f>
        <v>0</v>
      </c>
      <c r="FL229" s="56"/>
      <c r="FM229" s="183">
        <f t="shared" si="1550"/>
        <v>0</v>
      </c>
      <c r="FN229" s="183">
        <f t="shared" si="1551"/>
        <v>0</v>
      </c>
      <c r="FO229" s="56"/>
      <c r="FR229" s="55">
        <f t="shared" si="1552"/>
        <v>46215</v>
      </c>
      <c r="FS229" s="56"/>
      <c r="FT229" s="186">
        <f>SUMPRODUCT(PRODUCE!$B232:$DY232,PRODUCE!$EB$26:$IY$26)</f>
        <v>0</v>
      </c>
      <c r="FU229" s="56"/>
      <c r="FV229" s="186">
        <f t="shared" si="1553"/>
        <v>0</v>
      </c>
      <c r="FW229" s="186">
        <f t="shared" si="1554"/>
        <v>1160</v>
      </c>
      <c r="FX229" s="56"/>
      <c r="GA229" s="55">
        <f t="shared" si="1555"/>
        <v>46215</v>
      </c>
      <c r="GB229" s="56"/>
      <c r="GC229" s="137">
        <f>SUMPRODUCT(PRODUCE!$B232:$DY232,PRODUCE!$EB$27:$IY$27)</f>
        <v>0</v>
      </c>
      <c r="GD229" s="56"/>
      <c r="GE229" s="137">
        <f t="shared" si="1556"/>
        <v>0</v>
      </c>
      <c r="GF229" s="137">
        <f t="shared" si="1557"/>
        <v>960</v>
      </c>
      <c r="GG229" s="56"/>
      <c r="GI229" s="23"/>
      <c r="GJ229" s="55">
        <f t="shared" si="1558"/>
        <v>46215</v>
      </c>
      <c r="GK229" s="56"/>
      <c r="GL229" s="199">
        <f>SUMPRODUCT(PRODUCE!$B232:$DY232,PRODUCE!$EB$28:$IY$28)</f>
        <v>0</v>
      </c>
      <c r="GM229" s="56"/>
      <c r="GN229" s="199">
        <f t="shared" si="1559"/>
        <v>0</v>
      </c>
      <c r="GO229" s="199">
        <f t="shared" si="1560"/>
        <v>1760</v>
      </c>
      <c r="GP229" s="56"/>
      <c r="GS229" s="55">
        <f t="shared" si="1561"/>
        <v>46215</v>
      </c>
      <c r="GT229" s="56"/>
      <c r="GU229" s="195">
        <f>SUMPRODUCT(PRODUCE!$B232:$DY232,PRODUCE!$EB$29:$IY$29)</f>
        <v>0</v>
      </c>
      <c r="GV229" s="56"/>
      <c r="GW229" s="195">
        <f t="shared" si="1562"/>
        <v>0</v>
      </c>
      <c r="GX229" s="195">
        <f t="shared" si="1563"/>
        <v>400</v>
      </c>
      <c r="GY229" s="56"/>
      <c r="HB229" s="55">
        <f t="shared" si="1564"/>
        <v>46215</v>
      </c>
      <c r="HC229" s="56"/>
      <c r="HD229" s="191">
        <f>SUMPRODUCT(PRODUCE!$B232:$DY232,PRODUCE!$EB$30:$IY$30)</f>
        <v>0</v>
      </c>
      <c r="HE229" s="56"/>
      <c r="HF229" s="191">
        <f t="shared" si="1565"/>
        <v>0</v>
      </c>
      <c r="HG229" s="191">
        <f t="shared" si="1566"/>
        <v>3600</v>
      </c>
      <c r="HH229" s="56"/>
      <c r="HK229" s="55">
        <f t="shared" si="1567"/>
        <v>46215</v>
      </c>
      <c r="HL229" s="56"/>
      <c r="HM229" s="63">
        <f>SUMPRODUCT(PRODUCE!$B232:$DY232,PRODUCE!$EB$31:$IY$31)</f>
        <v>0</v>
      </c>
      <c r="HN229" s="56"/>
      <c r="HO229" s="63">
        <f t="shared" si="1568"/>
        <v>0</v>
      </c>
      <c r="HP229" s="63">
        <f t="shared" si="1569"/>
        <v>0</v>
      </c>
      <c r="HQ229" s="56"/>
      <c r="HU229" s="55">
        <f t="shared" si="1570"/>
        <v>46215</v>
      </c>
      <c r="HV229" s="56"/>
      <c r="HW229" s="242">
        <f>SUMPRODUCT(PRODUCE!$B232:$DY232,PRODUCE!$EB$32:$IY$32)</f>
        <v>0</v>
      </c>
      <c r="HX229" s="56"/>
      <c r="HY229" s="242">
        <f t="shared" si="1571"/>
        <v>0</v>
      </c>
      <c r="HZ229" s="242">
        <f t="shared" si="1572"/>
        <v>6240</v>
      </c>
      <c r="IA229" s="56"/>
      <c r="ID229" s="55">
        <f t="shared" si="1573"/>
        <v>46215</v>
      </c>
      <c r="IE229" s="56"/>
      <c r="IF229" s="242">
        <f>SUMPRODUCT(PRODUCE!$B232:$DY232,PRODUCE!$EB$33:$IY$33)</f>
        <v>0</v>
      </c>
      <c r="IG229" s="56"/>
      <c r="IH229" s="242">
        <f t="shared" si="1574"/>
        <v>0</v>
      </c>
      <c r="II229" s="242">
        <f t="shared" si="1575"/>
        <v>720</v>
      </c>
      <c r="IJ229" s="56"/>
      <c r="IM229" s="55">
        <f t="shared" si="1576"/>
        <v>46215</v>
      </c>
      <c r="IN229" s="56"/>
      <c r="IO229" s="242">
        <f>SUMPRODUCT(PRODUCE!$B232:$DY232,PRODUCE!$EB$34:$IY$34)</f>
        <v>0</v>
      </c>
      <c r="IP229" s="56"/>
      <c r="IQ229" s="242">
        <f t="shared" si="1577"/>
        <v>0</v>
      </c>
      <c r="IR229" s="242">
        <f t="shared" si="1578"/>
        <v>5200</v>
      </c>
      <c r="IS229" s="56"/>
      <c r="IV229" s="55">
        <f t="shared" si="1579"/>
        <v>46215</v>
      </c>
      <c r="IW229" s="56"/>
      <c r="IX229" s="242">
        <f>SUMPRODUCT(PRODUCE!$B232:$DY232,PRODUCE!$EB$35:$IY$35)</f>
        <v>0</v>
      </c>
      <c r="IY229" s="56"/>
      <c r="IZ229" s="242">
        <f t="shared" si="1580"/>
        <v>0</v>
      </c>
      <c r="JA229" s="242">
        <f t="shared" si="1581"/>
        <v>4960</v>
      </c>
      <c r="JB229" s="56"/>
      <c r="JE229" s="55">
        <f t="shared" si="1582"/>
        <v>46215</v>
      </c>
      <c r="JF229" s="56"/>
      <c r="JG229" s="242">
        <f>SUMPRODUCT(PRODUCE!$B232:$DY232,PRODUCE!$EB$36:$IY$36)</f>
        <v>0</v>
      </c>
      <c r="JH229" s="56"/>
      <c r="JI229" s="242">
        <f t="shared" si="1583"/>
        <v>0</v>
      </c>
      <c r="JJ229" s="242">
        <f t="shared" si="1584"/>
        <v>0</v>
      </c>
      <c r="JK229" s="56"/>
      <c r="JN229" s="55">
        <f t="shared" si="1585"/>
        <v>46215</v>
      </c>
      <c r="JO229" s="56"/>
      <c r="JP229" s="242">
        <f>SUMPRODUCT(PRODUCE!$B232:$DY232,PRODUCE!$EB$37:$IY$37)</f>
        <v>0</v>
      </c>
      <c r="JQ229" s="56"/>
      <c r="JR229" s="242">
        <f t="shared" si="1586"/>
        <v>0</v>
      </c>
      <c r="JS229" s="242">
        <f t="shared" si="1587"/>
        <v>0</v>
      </c>
      <c r="JT229" s="56"/>
      <c r="JW229" s="55">
        <f t="shared" si="1588"/>
        <v>46215</v>
      </c>
      <c r="JX229" s="56"/>
      <c r="JY229" s="242">
        <f>SUMPRODUCT(PRODUCE!$B232:$DY232,PRODUCE!$EB$38:$IY$38)</f>
        <v>0</v>
      </c>
      <c r="JZ229" s="56"/>
      <c r="KA229" s="242">
        <f t="shared" si="1589"/>
        <v>0</v>
      </c>
      <c r="KB229" s="242">
        <f t="shared" si="1590"/>
        <v>2540</v>
      </c>
      <c r="KC229" s="56"/>
      <c r="KF229" s="55">
        <f t="shared" si="1591"/>
        <v>46215</v>
      </c>
      <c r="KG229" s="56"/>
      <c r="KH229" s="242">
        <f>SUMPRODUCT(PRODUCE!$B232:$DY232,PRODUCE!$EB$39:$IY$39)</f>
        <v>0</v>
      </c>
      <c r="KI229" s="56"/>
      <c r="KJ229" s="242">
        <f t="shared" si="1592"/>
        <v>0</v>
      </c>
      <c r="KK229" s="242">
        <f t="shared" si="1593"/>
        <v>2359.5</v>
      </c>
      <c r="KL229" s="56"/>
      <c r="KO229" s="55">
        <f t="shared" si="1594"/>
        <v>46215</v>
      </c>
      <c r="KP229" s="56"/>
      <c r="KQ229" s="242">
        <f>SUMPRODUCT(PRODUCE!$B232:$DY232,PRODUCE!$EB$40:$IY$40)</f>
        <v>0</v>
      </c>
      <c r="KR229" s="56"/>
      <c r="KS229" s="242">
        <f t="shared" si="1595"/>
        <v>0</v>
      </c>
      <c r="KT229" s="242">
        <f t="shared" si="1596"/>
        <v>1890</v>
      </c>
      <c r="KU229" s="56"/>
      <c r="KW229" s="23"/>
      <c r="KX229" s="55">
        <f t="shared" si="1597"/>
        <v>46215</v>
      </c>
      <c r="KY229" s="56"/>
      <c r="KZ229" s="242">
        <f>SUMPRODUCT(PRODUCE!$B232:$DY232,PRODUCE!$EB$41:$IY$41)</f>
        <v>0</v>
      </c>
      <c r="LA229" s="56"/>
      <c r="LB229" s="242">
        <f t="shared" si="1598"/>
        <v>0</v>
      </c>
      <c r="LC229" s="242">
        <f t="shared" si="1599"/>
        <v>3690</v>
      </c>
      <c r="LD229" s="56"/>
      <c r="LG229" s="55">
        <f t="shared" si="1600"/>
        <v>46215</v>
      </c>
      <c r="LH229" s="56"/>
      <c r="LI229" s="242">
        <f>SUMPRODUCT(PRODUCE!$B232:$DY232,PRODUCE!$EB$42:$IY$42)</f>
        <v>0</v>
      </c>
      <c r="LJ229" s="56"/>
      <c r="LK229" s="242">
        <f t="shared" si="1601"/>
        <v>0</v>
      </c>
      <c r="LL229" s="242">
        <f t="shared" si="1602"/>
        <v>4000</v>
      </c>
      <c r="LM229" s="56"/>
      <c r="LP229" s="55">
        <f t="shared" si="1603"/>
        <v>46215</v>
      </c>
      <c r="LQ229" s="56"/>
      <c r="LR229" s="242">
        <f>SUMPRODUCT(PRODUCE!$B232:$DY232,PRODUCE!$EB$43:$IY$43)</f>
        <v>0</v>
      </c>
      <c r="LS229" s="56"/>
      <c r="LT229" s="242">
        <f t="shared" si="1604"/>
        <v>0</v>
      </c>
      <c r="LU229" s="242">
        <f t="shared" si="1605"/>
        <v>0</v>
      </c>
      <c r="LV229" s="56"/>
      <c r="LY229" s="55">
        <f t="shared" si="1606"/>
        <v>46215</v>
      </c>
      <c r="LZ229" s="56"/>
      <c r="MA229" s="242">
        <f>SUMPRODUCT(PRODUCE!$B232:$DY232,PRODUCE!$EB$44:$IY$44)</f>
        <v>0</v>
      </c>
      <c r="MB229" s="56"/>
      <c r="MC229" s="242">
        <f t="shared" si="1607"/>
        <v>0</v>
      </c>
      <c r="MD229" s="242">
        <f t="shared" si="1608"/>
        <v>0</v>
      </c>
      <c r="ME229" s="56"/>
      <c r="MH229" s="55">
        <f t="shared" si="1609"/>
        <v>46215</v>
      </c>
      <c r="MI229" s="56"/>
      <c r="MJ229" s="242">
        <f>SUMPRODUCT(PRODUCE!$B232:$DY232,PRODUCE!$EB$45:$IY$45)</f>
        <v>0</v>
      </c>
      <c r="MK229" s="56"/>
      <c r="ML229" s="242">
        <f t="shared" si="1610"/>
        <v>0</v>
      </c>
      <c r="MM229" s="242">
        <f t="shared" si="1611"/>
        <v>0</v>
      </c>
      <c r="MN229" s="56"/>
      <c r="MQ229" s="55">
        <f t="shared" si="1612"/>
        <v>46215</v>
      </c>
      <c r="MR229" s="56"/>
      <c r="MS229" s="242">
        <f>SUMPRODUCT(PRODUCE!$B232:$DY232,PRODUCE!$EB$46:$IY$46)</f>
        <v>0</v>
      </c>
      <c r="MT229" s="56"/>
      <c r="MU229" s="242">
        <f t="shared" si="1613"/>
        <v>0</v>
      </c>
      <c r="MV229" s="242">
        <f t="shared" si="1614"/>
        <v>2828</v>
      </c>
      <c r="MW229" s="56"/>
      <c r="MZ229" s="55">
        <f t="shared" si="1615"/>
        <v>46215</v>
      </c>
      <c r="NA229" s="56"/>
      <c r="NB229" s="242">
        <f>SUMPRODUCT(PRODUCE!$B232:$DY232,PRODUCE!$EB$47:$IY$47)</f>
        <v>0</v>
      </c>
      <c r="NC229" s="56"/>
      <c r="ND229" s="242">
        <f t="shared" si="1616"/>
        <v>0</v>
      </c>
      <c r="NE229" s="242">
        <f t="shared" si="1617"/>
        <v>0</v>
      </c>
      <c r="NF229" s="56"/>
      <c r="NI229" s="55">
        <f t="shared" si="1618"/>
        <v>46215</v>
      </c>
      <c r="NJ229" s="56"/>
      <c r="NK229" s="242">
        <f>SUMPRODUCT(PRODUCE!$B232:$DY232,PRODUCE!$EB$48:$IY$48)</f>
        <v>0</v>
      </c>
      <c r="NL229" s="56"/>
      <c r="NM229" s="242">
        <f t="shared" si="1619"/>
        <v>0</v>
      </c>
      <c r="NN229" s="242">
        <f t="shared" si="1620"/>
        <v>1127</v>
      </c>
      <c r="NO229" s="56"/>
      <c r="NR229" s="55">
        <f t="shared" si="1621"/>
        <v>46215</v>
      </c>
      <c r="NS229" s="56"/>
      <c r="NT229" s="242">
        <f>SUMPRODUCT(PRODUCE!$B232:$DY232,PRODUCE!$EB$49:$IY$49)</f>
        <v>0</v>
      </c>
      <c r="NU229" s="56"/>
      <c r="NV229" s="242">
        <f t="shared" si="1622"/>
        <v>0</v>
      </c>
      <c r="NW229" s="242">
        <f t="shared" si="1623"/>
        <v>3111.9999999999995</v>
      </c>
      <c r="NX229" s="56"/>
      <c r="OA229" s="55">
        <f t="shared" si="1624"/>
        <v>46215</v>
      </c>
      <c r="OB229" s="56"/>
      <c r="OC229" s="242">
        <f>SUMPRODUCT(PRODUCE!$B232:$DY232,PRODUCE!$EB$50:$IY$50)</f>
        <v>0</v>
      </c>
      <c r="OD229" s="56"/>
      <c r="OE229" s="242">
        <f t="shared" si="1625"/>
        <v>0</v>
      </c>
      <c r="OF229" s="242">
        <f t="shared" si="1626"/>
        <v>1680.5</v>
      </c>
      <c r="OG229" s="56"/>
      <c r="OJ229" s="55">
        <f t="shared" si="1627"/>
        <v>46215</v>
      </c>
      <c r="OK229" s="56"/>
      <c r="OL229" s="242">
        <f>SUMPRODUCT(PRODUCE!$B232:$DY232,PRODUCE!$EB$51:$IY$51)</f>
        <v>0</v>
      </c>
      <c r="OM229" s="56"/>
      <c r="ON229" s="242">
        <f t="shared" si="1628"/>
        <v>0</v>
      </c>
      <c r="OO229" s="242">
        <f t="shared" si="1629"/>
        <v>0</v>
      </c>
      <c r="OP229" s="56"/>
      <c r="OS229" s="55">
        <f t="shared" si="1630"/>
        <v>46215</v>
      </c>
      <c r="OT229" s="56"/>
      <c r="OU229" s="242">
        <f>SUMPRODUCT(PRODUCE!$B232:$DY232,PRODUCE!$EB$52:$IY$52)</f>
        <v>0</v>
      </c>
      <c r="OV229" s="56"/>
      <c r="OW229" s="242">
        <f t="shared" si="1631"/>
        <v>0</v>
      </c>
      <c r="OX229" s="242">
        <f t="shared" si="1632"/>
        <v>1482</v>
      </c>
      <c r="OY229" s="56"/>
      <c r="PB229" s="55">
        <f t="shared" si="1633"/>
        <v>46215</v>
      </c>
      <c r="PC229" s="56"/>
      <c r="PD229" s="242">
        <f>SUMPRODUCT(PRODUCE!$B232:$DY232,PRODUCE!$EB$53:$IY$53)</f>
        <v>0</v>
      </c>
      <c r="PE229" s="56"/>
      <c r="PF229" s="242">
        <f t="shared" si="1634"/>
        <v>0</v>
      </c>
      <c r="PG229" s="242">
        <f t="shared" si="1635"/>
        <v>0</v>
      </c>
      <c r="PH229" s="56"/>
      <c r="PK229" s="55">
        <f t="shared" si="1636"/>
        <v>46215</v>
      </c>
      <c r="PL229" s="56"/>
      <c r="PM229" s="242">
        <f>SUMPRODUCT(PRODUCE!$B232:$DY232,PRODUCE!$EB$54:$IY$54)</f>
        <v>0</v>
      </c>
      <c r="PN229" s="56"/>
      <c r="PO229" s="242">
        <f t="shared" si="1637"/>
        <v>0</v>
      </c>
      <c r="PP229" s="242">
        <f t="shared" si="1638"/>
        <v>100</v>
      </c>
      <c r="PQ229" s="56"/>
      <c r="PT229" s="55">
        <f t="shared" si="1639"/>
        <v>46215</v>
      </c>
      <c r="PU229" s="56"/>
      <c r="PV229" s="242">
        <f>SUMPRODUCT(PRODUCE!$B232:$DY232,PRODUCE!$EB$55:$IY$55)</f>
        <v>0</v>
      </c>
      <c r="PW229" s="56"/>
      <c r="PX229" s="242">
        <f t="shared" si="1640"/>
        <v>0</v>
      </c>
      <c r="PY229" s="242">
        <f t="shared" si="1641"/>
        <v>13.960000000000036</v>
      </c>
      <c r="PZ229" s="56"/>
      <c r="QC229" s="55">
        <f t="shared" si="1642"/>
        <v>46215</v>
      </c>
      <c r="QD229" s="56"/>
      <c r="QE229" s="242">
        <f>SUMPRODUCT(PRODUCE!$B232:$DY232,PRODUCE!$EB$56:$IY$56)</f>
        <v>0</v>
      </c>
      <c r="QF229" s="56"/>
      <c r="QG229" s="242">
        <f t="shared" si="1643"/>
        <v>0</v>
      </c>
      <c r="QH229" s="242">
        <f t="shared" si="1644"/>
        <v>1736</v>
      </c>
      <c r="QI229" s="56"/>
      <c r="QL229" s="55">
        <f t="shared" si="1645"/>
        <v>46215</v>
      </c>
      <c r="QM229" s="56"/>
      <c r="QN229" s="242">
        <f>SUMPRODUCT(PRODUCE!$B232:$DY232,PRODUCE!$EB$57:$IY$57)</f>
        <v>0</v>
      </c>
      <c r="QO229" s="56"/>
      <c r="QP229" s="242">
        <f t="shared" si="1646"/>
        <v>0</v>
      </c>
      <c r="QQ229" s="242">
        <f t="shared" si="1647"/>
        <v>85</v>
      </c>
      <c r="QR229" s="56"/>
      <c r="QU229" s="55">
        <f t="shared" si="1648"/>
        <v>46215</v>
      </c>
      <c r="QV229" s="56"/>
      <c r="QW229" s="242">
        <f>SUMPRODUCT(PRODUCE!$B232:$DY232,PRODUCE!$EB$58:$IY$58)</f>
        <v>0</v>
      </c>
      <c r="QX229" s="56"/>
      <c r="QY229" s="242">
        <f t="shared" si="1649"/>
        <v>0</v>
      </c>
      <c r="QZ229" s="242">
        <f t="shared" si="1650"/>
        <v>207.6</v>
      </c>
      <c r="RA229" s="56"/>
      <c r="RD229" s="55">
        <f t="shared" si="1651"/>
        <v>46215</v>
      </c>
      <c r="RE229" s="56"/>
      <c r="RF229" s="242">
        <f>SUMPRODUCT(PRODUCE!$B232:$DY232,PRODUCE!$EB$59:$IY$59)</f>
        <v>0</v>
      </c>
      <c r="RG229" s="56"/>
      <c r="RH229" s="242">
        <f t="shared" si="1652"/>
        <v>0</v>
      </c>
      <c r="RI229" s="242">
        <f t="shared" si="1653"/>
        <v>147.04000000000002</v>
      </c>
      <c r="RJ229" s="56"/>
      <c r="RM229" s="55">
        <f t="shared" si="1654"/>
        <v>46215</v>
      </c>
      <c r="RN229" s="56"/>
      <c r="RO229" s="242">
        <f>SUMPRODUCT(PRODUCE!$B232:$DY232,PRODUCE!$EB$60:$IY$60)</f>
        <v>0</v>
      </c>
      <c r="RP229" s="56"/>
      <c r="RQ229" s="242">
        <f t="shared" si="1655"/>
        <v>0</v>
      </c>
      <c r="RR229" s="242">
        <f t="shared" si="1656"/>
        <v>46.8</v>
      </c>
      <c r="RS229" s="56"/>
      <c r="RV229" s="55">
        <f t="shared" si="1657"/>
        <v>46215</v>
      </c>
      <c r="RW229" s="56"/>
      <c r="RX229" s="242">
        <f>SUMPRODUCT(PRODUCE!$B232:$DY232,PRODUCE!$EB$61:$IY$61)</f>
        <v>0</v>
      </c>
      <c r="RY229" s="56"/>
      <c r="RZ229" s="242">
        <f t="shared" si="1658"/>
        <v>0</v>
      </c>
      <c r="SA229" s="242">
        <f t="shared" si="1659"/>
        <v>0</v>
      </c>
      <c r="SB229" s="56"/>
      <c r="SE229" s="55">
        <f t="shared" si="1660"/>
        <v>46215</v>
      </c>
      <c r="SF229" s="56"/>
      <c r="SG229" s="242">
        <f>SUMPRODUCT(PRODUCE!$B232:$DY232,PRODUCE!$EB$62:$IY$62)</f>
        <v>0</v>
      </c>
      <c r="SH229" s="56"/>
      <c r="SI229" s="242">
        <f t="shared" si="1661"/>
        <v>0</v>
      </c>
      <c r="SJ229" s="242">
        <f t="shared" si="1662"/>
        <v>24.200000000000003</v>
      </c>
      <c r="SK229" s="56"/>
      <c r="SN229" s="55">
        <f t="shared" si="1663"/>
        <v>46215</v>
      </c>
      <c r="SO229" s="56"/>
      <c r="SP229" s="242">
        <f>SUMPRODUCT(PRODUCE!$B232:$DY232,PRODUCE!$EB$63:$IY$63)</f>
        <v>0</v>
      </c>
      <c r="SQ229" s="56"/>
      <c r="SR229" s="242">
        <f t="shared" si="1664"/>
        <v>0</v>
      </c>
      <c r="SS229" s="242">
        <f t="shared" si="1665"/>
        <v>32</v>
      </c>
      <c r="ST229" s="56"/>
      <c r="SW229" s="55">
        <f t="shared" si="1666"/>
        <v>46215</v>
      </c>
      <c r="SX229" s="56"/>
      <c r="SY229" s="242">
        <f>SUMPRODUCT(PRODUCE!$B232:$DY232,PRODUCE!$EB$64:$IY$64)</f>
        <v>0</v>
      </c>
      <c r="SZ229" s="56"/>
      <c r="TA229" s="242">
        <f t="shared" si="1667"/>
        <v>0</v>
      </c>
      <c r="TB229" s="242">
        <f t="shared" si="1668"/>
        <v>0</v>
      </c>
      <c r="TC229" s="56"/>
      <c r="TF229" s="55">
        <f t="shared" si="1669"/>
        <v>46215</v>
      </c>
      <c r="TG229" s="56"/>
      <c r="TH229" s="242">
        <f>SUMPRODUCT(PRODUCE!$B232:$DY232,PRODUCE!$EB$57:$IY$57)</f>
        <v>0</v>
      </c>
      <c r="TI229" s="56"/>
      <c r="TJ229" s="242">
        <f t="shared" si="1670"/>
        <v>0</v>
      </c>
      <c r="TK229" s="242">
        <f t="shared" si="1671"/>
        <v>0</v>
      </c>
      <c r="TL229" s="56"/>
      <c r="TO229" s="55">
        <f t="shared" si="1672"/>
        <v>46215</v>
      </c>
      <c r="TP229" s="56"/>
      <c r="TQ229" s="242">
        <f>SUMPRODUCT(PRODUCE!$B232:$DY232,PRODUCE!$EB$57:$IY$57)</f>
        <v>0</v>
      </c>
      <c r="TR229" s="56"/>
      <c r="TS229" s="242">
        <f t="shared" si="1673"/>
        <v>0</v>
      </c>
      <c r="TT229" s="242">
        <f t="shared" si="1674"/>
        <v>22.400000000000006</v>
      </c>
      <c r="TU229" s="56"/>
      <c r="TX229" s="55">
        <f t="shared" si="1675"/>
        <v>46215</v>
      </c>
      <c r="TY229" s="56"/>
      <c r="TZ229" s="242">
        <f>SUMPRODUCT(PRODUCE!$B232:$DY232,PRODUCE!$EB$57:$IY$57)</f>
        <v>0</v>
      </c>
      <c r="UA229" s="56"/>
      <c r="UB229" s="242">
        <f t="shared" si="1676"/>
        <v>0</v>
      </c>
      <c r="UC229" s="242">
        <f t="shared" si="1677"/>
        <v>46.799999999999983</v>
      </c>
      <c r="UD229" s="56"/>
      <c r="UG229" s="55">
        <f t="shared" si="1678"/>
        <v>46215</v>
      </c>
      <c r="UH229" s="56"/>
      <c r="UI229" s="242">
        <f>SUMPRODUCT(PRODUCE!$B232:$DY232,PRODUCE!$EB$57:$IY$57)</f>
        <v>0</v>
      </c>
      <c r="UJ229" s="56"/>
      <c r="UK229" s="242">
        <f t="shared" si="1679"/>
        <v>0</v>
      </c>
      <c r="UL229" s="242">
        <f t="shared" si="1680"/>
        <v>204</v>
      </c>
      <c r="UM229" s="56"/>
      <c r="UP229" s="55">
        <f t="shared" si="1681"/>
        <v>46215</v>
      </c>
      <c r="UQ229" s="56"/>
      <c r="UR229" s="242">
        <f>SUMPRODUCT(PRODUCE!$B232:$DY232,PRODUCE!$EB$69:$IY$69)</f>
        <v>0</v>
      </c>
      <c r="US229" s="56"/>
      <c r="UT229" s="242">
        <f t="shared" si="1682"/>
        <v>0</v>
      </c>
      <c r="UU229" s="242">
        <f t="shared" si="1683"/>
        <v>242.5</v>
      </c>
      <c r="UV229" s="56"/>
      <c r="UY229" s="55">
        <f t="shared" si="1684"/>
        <v>46215</v>
      </c>
      <c r="UZ229" s="56"/>
      <c r="VA229" s="242">
        <f>SUMPRODUCT(PRODUCE!$B232:$DY232,PRODUCE!$EB$70:$IY$70)</f>
        <v>0</v>
      </c>
      <c r="VB229" s="56"/>
      <c r="VC229" s="242">
        <f t="shared" si="1685"/>
        <v>0</v>
      </c>
      <c r="VD229" s="242">
        <f t="shared" si="1686"/>
        <v>41.600000000000023</v>
      </c>
      <c r="VE229" s="56"/>
      <c r="VH229" s="55">
        <f t="shared" si="1687"/>
        <v>46215</v>
      </c>
      <c r="VI229" s="56"/>
      <c r="VJ229" s="242">
        <f>SUMPRODUCT(PRODUCE!$B232:$DY232,PRODUCE!$EB$71:$IY$71)</f>
        <v>0</v>
      </c>
      <c r="VK229" s="56"/>
      <c r="VL229" s="242">
        <f t="shared" si="1688"/>
        <v>0</v>
      </c>
      <c r="VM229" s="242">
        <f t="shared" si="1689"/>
        <v>210</v>
      </c>
      <c r="VN229" s="56"/>
      <c r="VQ229" s="55">
        <f t="shared" si="1690"/>
        <v>46215</v>
      </c>
      <c r="VR229" s="56"/>
      <c r="VS229" s="242">
        <f>SUMPRODUCT(PRODUCE!$B232:$DY232,PRODUCE!$EB$57:$IY$57)</f>
        <v>0</v>
      </c>
      <c r="VT229" s="56"/>
      <c r="VU229" s="242">
        <f t="shared" si="1691"/>
        <v>0</v>
      </c>
      <c r="VV229" s="242">
        <f t="shared" si="1692"/>
        <v>0</v>
      </c>
      <c r="VW229" s="56"/>
      <c r="VZ229" s="55">
        <f t="shared" si="1693"/>
        <v>46215</v>
      </c>
      <c r="WA229" s="56"/>
      <c r="WB229" s="242">
        <f>SUMPRODUCT(PRODUCE!$B232:$DY232,PRODUCE!$EB$57:$IY$57)</f>
        <v>0</v>
      </c>
      <c r="WC229" s="56"/>
      <c r="WD229" s="242">
        <f t="shared" si="1694"/>
        <v>0</v>
      </c>
      <c r="WE229" s="242">
        <f t="shared" si="1695"/>
        <v>0</v>
      </c>
      <c r="WF229" s="56"/>
      <c r="WI229" s="55">
        <f t="shared" si="1696"/>
        <v>46215</v>
      </c>
      <c r="WJ229" s="56"/>
      <c r="WK229" s="242">
        <f>SUMPRODUCT(PRODUCE!$B232:$DY232,PRODUCE!$EB$57:$IY$57)</f>
        <v>0</v>
      </c>
      <c r="WL229" s="56"/>
      <c r="WM229" s="242">
        <f t="shared" si="1697"/>
        <v>0</v>
      </c>
      <c r="WN229" s="242">
        <f t="shared" si="1698"/>
        <v>1057</v>
      </c>
      <c r="WO229" s="56"/>
      <c r="WR229" s="55">
        <f t="shared" si="1699"/>
        <v>46215</v>
      </c>
      <c r="WS229" s="56"/>
      <c r="WT229" s="242">
        <f>SUMPRODUCT(PRODUCE!$B232:$DY232,PRODUCE!$EB$57:$IY$57)</f>
        <v>0</v>
      </c>
      <c r="WU229" s="56"/>
      <c r="WV229" s="242">
        <f t="shared" si="1700"/>
        <v>0</v>
      </c>
      <c r="WW229" s="242">
        <f t="shared" si="1701"/>
        <v>0</v>
      </c>
      <c r="WX229" s="56"/>
      <c r="XA229" s="55">
        <f t="shared" si="1702"/>
        <v>46215</v>
      </c>
      <c r="XB229" s="56"/>
      <c r="XC229" s="242">
        <f>SUMPRODUCT(PRODUCE!$B232:$DY232,PRODUCE!$EB$57:$IY$57)</f>
        <v>0</v>
      </c>
      <c r="XD229" s="56"/>
      <c r="XE229" s="242">
        <f t="shared" si="1703"/>
        <v>0</v>
      </c>
      <c r="XF229" s="242">
        <f t="shared" si="1704"/>
        <v>7507</v>
      </c>
      <c r="XG229" s="56"/>
      <c r="XJ229" s="55">
        <f t="shared" si="1705"/>
        <v>46215</v>
      </c>
      <c r="XK229" s="56"/>
      <c r="XL229" s="242">
        <f>SUMPRODUCT(PRODUCE!$B232:$DY232,PRODUCE!$EB$57:$IY$57)</f>
        <v>0</v>
      </c>
      <c r="XM229" s="56"/>
      <c r="XN229" s="242">
        <f t="shared" si="1706"/>
        <v>0</v>
      </c>
      <c r="XO229" s="242">
        <f t="shared" si="1707"/>
        <v>4252</v>
      </c>
      <c r="XP229" s="56"/>
      <c r="XS229" s="55">
        <f t="shared" si="1708"/>
        <v>46215</v>
      </c>
      <c r="XT229" s="56"/>
      <c r="XU229" s="242">
        <f>SUMPRODUCT(PRODUCE!$B232:$DY232,PRODUCE!$EB$57:$IY$57)</f>
        <v>0</v>
      </c>
      <c r="XV229" s="56"/>
      <c r="XW229" s="242">
        <f t="shared" si="1709"/>
        <v>0</v>
      </c>
      <c r="XX229" s="242">
        <f t="shared" si="1710"/>
        <v>2179</v>
      </c>
      <c r="XY229" s="56"/>
      <c r="YB229" s="55">
        <f t="shared" si="1711"/>
        <v>46215</v>
      </c>
      <c r="YC229" s="56"/>
      <c r="YD229" s="242">
        <f>SUMPRODUCT(PRODUCE!$B232:$DY232,PRODUCE!$EB$57:$IY$57)</f>
        <v>0</v>
      </c>
      <c r="YE229" s="56"/>
      <c r="YF229" s="242">
        <f t="shared" si="1712"/>
        <v>0</v>
      </c>
      <c r="YG229" s="242">
        <f t="shared" si="1713"/>
        <v>4019</v>
      </c>
      <c r="YH229" s="56"/>
      <c r="YK229" s="55">
        <f t="shared" si="1714"/>
        <v>46215</v>
      </c>
      <c r="YL229" s="56"/>
      <c r="YM229" s="242">
        <f>SUMPRODUCT(PRODUCE!$B232:$DY232,PRODUCE!$EB$57:$IY$57)</f>
        <v>0</v>
      </c>
      <c r="YN229" s="56"/>
      <c r="YO229" s="242">
        <f t="shared" si="1715"/>
        <v>0</v>
      </c>
      <c r="YP229" s="242">
        <f t="shared" si="1716"/>
        <v>0</v>
      </c>
      <c r="YQ229" s="56"/>
      <c r="YT229" s="55">
        <f t="shared" si="1717"/>
        <v>46215</v>
      </c>
      <c r="YU229" s="56"/>
      <c r="YV229" s="242">
        <f>SUMPRODUCT(PRODUCE!$B232:$DY232,PRODUCE!$EB$57:$IY$57)</f>
        <v>0</v>
      </c>
      <c r="YW229" s="56"/>
      <c r="YX229" s="242">
        <f t="shared" si="1718"/>
        <v>0</v>
      </c>
      <c r="YY229" s="242">
        <f t="shared" si="1719"/>
        <v>0</v>
      </c>
      <c r="YZ229" s="56"/>
      <c r="ZC229" s="55">
        <f t="shared" si="1720"/>
        <v>46215</v>
      </c>
      <c r="ZD229" s="56"/>
      <c r="ZE229" s="242">
        <f>SUMPRODUCT(PRODUCE!$B232:$DY232,PRODUCE!$EB$57:$IY$57)</f>
        <v>0</v>
      </c>
      <c r="ZF229" s="56"/>
      <c r="ZG229" s="242">
        <f t="shared" si="1721"/>
        <v>0</v>
      </c>
      <c r="ZH229" s="242">
        <f t="shared" si="1722"/>
        <v>0</v>
      </c>
      <c r="ZI229" s="56"/>
      <c r="ZL229" s="55">
        <f t="shared" si="1723"/>
        <v>46215</v>
      </c>
      <c r="ZM229" s="56"/>
      <c r="ZN229" s="242">
        <f>SUMPRODUCT(PRODUCE!$B232:$DY232,PRODUCE!$EB$57:$IY$57)</f>
        <v>0</v>
      </c>
      <c r="ZO229" s="56"/>
      <c r="ZP229" s="242">
        <f t="shared" si="1724"/>
        <v>0</v>
      </c>
      <c r="ZQ229" s="242">
        <f t="shared" si="1725"/>
        <v>0</v>
      </c>
      <c r="ZR229" s="56"/>
      <c r="ZU229" s="55">
        <f t="shared" si="1726"/>
        <v>46215</v>
      </c>
      <c r="ZV229" s="56"/>
      <c r="ZW229" s="242">
        <f>SUMPRODUCT(PRODUCE!$B232:$DY232,PRODUCE!$EB$57:$IY$57)</f>
        <v>0</v>
      </c>
      <c r="ZX229" s="56"/>
      <c r="ZY229" s="242">
        <f t="shared" si="1727"/>
        <v>0</v>
      </c>
      <c r="ZZ229" s="242">
        <f t="shared" si="1728"/>
        <v>0</v>
      </c>
      <c r="AAA229" s="56"/>
      <c r="AAD229" s="55">
        <f t="shared" si="1729"/>
        <v>46215</v>
      </c>
      <c r="AAE229" s="56"/>
      <c r="AAF229" s="242">
        <f>SUMPRODUCT(PRODUCE!$B232:$DY232,PRODUCE!$EB$57:$IY$57)</f>
        <v>0</v>
      </c>
      <c r="AAG229" s="56"/>
      <c r="AAH229" s="242">
        <f t="shared" si="1730"/>
        <v>0</v>
      </c>
      <c r="AAI229" s="242">
        <f t="shared" si="1731"/>
        <v>0</v>
      </c>
      <c r="AAJ229" s="56"/>
      <c r="AAM229" s="55">
        <f t="shared" si="1732"/>
        <v>46215</v>
      </c>
      <c r="AAN229" s="56"/>
      <c r="AAO229" s="242">
        <f>SUMPRODUCT(PRODUCE!$B232:$DY232,PRODUCE!$EB$57:$IY$57)</f>
        <v>0</v>
      </c>
      <c r="AAP229" s="56"/>
      <c r="AAQ229" s="242">
        <f t="shared" si="1733"/>
        <v>0</v>
      </c>
      <c r="AAR229" s="242">
        <f t="shared" si="1734"/>
        <v>0</v>
      </c>
      <c r="AAS229" s="56"/>
      <c r="AAV229" s="55">
        <f t="shared" si="1735"/>
        <v>46215</v>
      </c>
      <c r="AAW229" s="56"/>
      <c r="AAX229" s="242">
        <f>SUMPRODUCT(PRODUCE!$B232:$DY232,PRODUCE!$EB$57:$IY$57)</f>
        <v>0</v>
      </c>
      <c r="AAY229" s="56"/>
      <c r="AAZ229" s="242">
        <f t="shared" si="1736"/>
        <v>0</v>
      </c>
      <c r="ABA229" s="242">
        <f t="shared" si="1737"/>
        <v>0</v>
      </c>
      <c r="ABB229" s="56"/>
      <c r="ABE229" s="55">
        <f t="shared" si="1738"/>
        <v>46215</v>
      </c>
      <c r="ABF229" s="56"/>
      <c r="ABG229" s="242">
        <f>SUMPRODUCT(PRODUCE!$B232:$DY232,PRODUCE!$EB$57:$IY$57)</f>
        <v>0</v>
      </c>
      <c r="ABH229" s="56"/>
      <c r="ABI229" s="242">
        <f t="shared" si="1739"/>
        <v>0</v>
      </c>
      <c r="ABJ229" s="242">
        <f t="shared" si="1740"/>
        <v>0</v>
      </c>
      <c r="ABK229" s="56"/>
    </row>
    <row r="230" spans="2:739" s="54" customFormat="1" ht="15" customHeight="1" outlineLevel="1">
      <c r="B230" s="478"/>
      <c r="C230" s="55">
        <v>46216</v>
      </c>
      <c r="D230" s="422"/>
      <c r="E230" s="423">
        <f>SUMPRODUCT(PRODUCE!$B233:$DY233,PRODUCE!$EB$7:$IY$7)</f>
        <v>5112.5</v>
      </c>
      <c r="F230" s="422">
        <v>16042.2</v>
      </c>
      <c r="G230" s="423">
        <f t="shared" si="1496"/>
        <v>-10929.7</v>
      </c>
      <c r="H230" s="423">
        <f t="shared" si="1497"/>
        <v>107400.80000000005</v>
      </c>
      <c r="I230" s="289"/>
      <c r="L230" s="55">
        <f t="shared" si="1498"/>
        <v>46216</v>
      </c>
      <c r="M230" s="422"/>
      <c r="N230" s="438">
        <f>SUMPRODUCT(PRODUCE!$B233:$DY233,PRODUCE!$EB$8:$IY$8)</f>
        <v>3360.7</v>
      </c>
      <c r="O230" s="422">
        <v>7239</v>
      </c>
      <c r="P230" s="438">
        <f t="shared" si="1499"/>
        <v>-3878.3</v>
      </c>
      <c r="Q230" s="438">
        <f t="shared" si="1500"/>
        <v>29020.20000000007</v>
      </c>
      <c r="R230" s="56"/>
      <c r="U230" s="55">
        <f t="shared" si="1501"/>
        <v>46216</v>
      </c>
      <c r="V230" s="422"/>
      <c r="W230" s="440">
        <f>SUMPRODUCT(PRODUCE!$B233:$DY233,PRODUCE!$EB$9:$IY$9)</f>
        <v>500</v>
      </c>
      <c r="X230" s="422">
        <v>1760.1</v>
      </c>
      <c r="Y230" s="440">
        <f t="shared" si="1502"/>
        <v>-1260.0999999999999</v>
      </c>
      <c r="Z230" s="440">
        <f t="shared" si="1503"/>
        <v>30898.699999999972</v>
      </c>
      <c r="AA230" s="56"/>
      <c r="AD230" s="55">
        <f t="shared" si="1504"/>
        <v>46216</v>
      </c>
      <c r="AE230" s="422"/>
      <c r="AF230" s="442">
        <f>SUMPRODUCT(PRODUCE!$B233:$DY233,PRODUCE!$EB$10:$IY$10)</f>
        <v>0</v>
      </c>
      <c r="AG230" s="422"/>
      <c r="AH230" s="442">
        <f t="shared" si="1505"/>
        <v>0</v>
      </c>
      <c r="AI230" s="442">
        <f t="shared" si="1506"/>
        <v>31872.200000000019</v>
      </c>
      <c r="AJ230" s="56"/>
      <c r="AM230" s="55">
        <f t="shared" si="1507"/>
        <v>46216</v>
      </c>
      <c r="AN230" s="422"/>
      <c r="AO230" s="444">
        <f>SUMPRODUCT(PRODUCE!$B233:$DY233,PRODUCE!$EB$11:$IY$11)</f>
        <v>0</v>
      </c>
      <c r="AP230" s="422"/>
      <c r="AQ230" s="444">
        <f t="shared" si="1508"/>
        <v>0</v>
      </c>
      <c r="AR230" s="444">
        <f t="shared" si="1509"/>
        <v>0</v>
      </c>
      <c r="AS230" s="56"/>
      <c r="AV230" s="55">
        <f t="shared" si="1510"/>
        <v>46216</v>
      </c>
      <c r="AW230" s="422"/>
      <c r="AX230" s="446">
        <f>SUMPRODUCT(PRODUCE!$B233:$DY233,PRODUCE!$EB$12:$IY$12)</f>
        <v>0</v>
      </c>
      <c r="AY230" s="422"/>
      <c r="AZ230" s="446">
        <f t="shared" si="1511"/>
        <v>0</v>
      </c>
      <c r="BA230" s="446">
        <f t="shared" si="1512"/>
        <v>13365.399999999996</v>
      </c>
      <c r="BB230" s="56"/>
      <c r="BE230" s="55">
        <f t="shared" si="1513"/>
        <v>46216</v>
      </c>
      <c r="BF230" s="422"/>
      <c r="BG230" s="448">
        <f>SUMPRODUCT(PRODUCE!$B233:$DY233,PRODUCE!$EB$13:$IY$13)</f>
        <v>0</v>
      </c>
      <c r="BH230" s="422">
        <v>180.3</v>
      </c>
      <c r="BI230" s="448">
        <f t="shared" si="1514"/>
        <v>-180.3</v>
      </c>
      <c r="BJ230" s="448">
        <f t="shared" si="1515"/>
        <v>32523.399999999994</v>
      </c>
      <c r="BK230" s="56"/>
      <c r="BN230" s="55">
        <f t="shared" si="1516"/>
        <v>46216</v>
      </c>
      <c r="BO230" s="422">
        <v>180</v>
      </c>
      <c r="BP230" s="450">
        <f>SUMPRODUCT(PRODUCE!$B233:$DY233,PRODUCE!$EB$14:$IY$14)</f>
        <v>0</v>
      </c>
      <c r="BQ230" s="422">
        <v>180</v>
      </c>
      <c r="BR230" s="450">
        <f t="shared" si="1517"/>
        <v>-180</v>
      </c>
      <c r="BS230" s="450">
        <f t="shared" si="1518"/>
        <v>0</v>
      </c>
      <c r="BT230" s="56"/>
      <c r="BW230" s="55">
        <f t="shared" si="1519"/>
        <v>46216</v>
      </c>
      <c r="BX230" s="422"/>
      <c r="BY230" s="523">
        <f>SUMPRODUCT(PRODUCE!$B233:$DY233,PRODUCE!$EB$15:$IY$15)</f>
        <v>117.75</v>
      </c>
      <c r="BZ230" s="422">
        <f>70.65+87.94</f>
        <v>158.59</v>
      </c>
      <c r="CA230" s="523">
        <f t="shared" si="1520"/>
        <v>-40.840000000000003</v>
      </c>
      <c r="CB230" s="523">
        <f t="shared" si="1521"/>
        <v>7239.8499999999985</v>
      </c>
      <c r="CC230" s="56"/>
      <c r="CF230" s="55">
        <f t="shared" si="1522"/>
        <v>46216</v>
      </c>
      <c r="CG230" s="422"/>
      <c r="CH230" s="524">
        <f>SUMPRODUCT(PRODUCE!$B233:$DY233,PRODUCE!$EB$16:$IY$16)</f>
        <v>0</v>
      </c>
      <c r="CI230" s="422">
        <f>74.82+163.04</f>
        <v>237.85999999999999</v>
      </c>
      <c r="CJ230" s="524">
        <f t="shared" si="1523"/>
        <v>-237.85999999999999</v>
      </c>
      <c r="CK230" s="524">
        <f t="shared" si="1524"/>
        <v>-6361.1899999999987</v>
      </c>
      <c r="CL230" s="56"/>
      <c r="CO230" s="55">
        <f t="shared" si="1525"/>
        <v>46216</v>
      </c>
      <c r="CP230" s="422"/>
      <c r="CQ230" s="470">
        <f>SUMPRODUCT(PRODUCE!$B233:$DY233,PRODUCE!$EB$17:$IY$17)</f>
        <v>0</v>
      </c>
      <c r="CR230" s="422"/>
      <c r="CS230" s="470">
        <f t="shared" si="1526"/>
        <v>0</v>
      </c>
      <c r="CT230" s="470">
        <f t="shared" si="1527"/>
        <v>0</v>
      </c>
      <c r="CU230" s="56"/>
      <c r="CX230" s="55">
        <f t="shared" si="1528"/>
        <v>46216</v>
      </c>
      <c r="CY230" s="422">
        <v>562</v>
      </c>
      <c r="CZ230" s="525">
        <f>SUMPRODUCT(PRODUCE!$B233:$DY233,PRODUCE!$EB$18:$IY$18)</f>
        <v>200</v>
      </c>
      <c r="DA230" s="422">
        <v>562</v>
      </c>
      <c r="DB230" s="525">
        <f t="shared" si="1529"/>
        <v>-362</v>
      </c>
      <c r="DC230" s="525">
        <f t="shared" si="1530"/>
        <v>711.60000000000719</v>
      </c>
      <c r="DD230" s="56"/>
      <c r="DG230" s="55">
        <f t="shared" si="1531"/>
        <v>46216</v>
      </c>
      <c r="DH230" s="422"/>
      <c r="DI230" s="526">
        <f>SUMPRODUCT(PRODUCE!$B233:$DY233,PRODUCE!$EB$19:$IY$19)</f>
        <v>0</v>
      </c>
      <c r="DJ230" s="422"/>
      <c r="DK230" s="526">
        <f t="shared" si="1532"/>
        <v>0</v>
      </c>
      <c r="DL230" s="526">
        <f t="shared" si="1533"/>
        <v>34634.699999999983</v>
      </c>
      <c r="DM230" s="56"/>
      <c r="DP230" s="55">
        <f t="shared" si="1534"/>
        <v>46216</v>
      </c>
      <c r="DQ230" s="56"/>
      <c r="DR230" s="57">
        <f>SUMPRODUCT(PRODUCE!$B233:$DY233,PRODUCE!$EB$20:$IY$20)</f>
        <v>0</v>
      </c>
      <c r="DS230" s="56"/>
      <c r="DT230" s="57">
        <f t="shared" si="1535"/>
        <v>0</v>
      </c>
      <c r="DU230" s="57">
        <f t="shared" si="1536"/>
        <v>5800</v>
      </c>
      <c r="DV230" s="56"/>
      <c r="DY230" s="55">
        <f t="shared" si="1537"/>
        <v>46216</v>
      </c>
      <c r="DZ230" s="56"/>
      <c r="EA230" s="157">
        <f>SUMPRODUCT(PRODUCE!$B233:$DY233,PRODUCE!$EB$21:$IY$21)</f>
        <v>0</v>
      </c>
      <c r="EB230" s="56"/>
      <c r="EC230" s="157">
        <f t="shared" si="1538"/>
        <v>0</v>
      </c>
      <c r="ED230" s="157">
        <f t="shared" si="1539"/>
        <v>0</v>
      </c>
      <c r="EE230" s="56"/>
      <c r="EH230" s="55">
        <f t="shared" si="1540"/>
        <v>46216</v>
      </c>
      <c r="EI230" s="56"/>
      <c r="EJ230" s="162">
        <f>SUMPRODUCT(PRODUCE!$B233:$DY233,PRODUCE!$EB$22:$IY$22)</f>
        <v>0</v>
      </c>
      <c r="EK230" s="56"/>
      <c r="EL230" s="162">
        <f t="shared" si="1541"/>
        <v>0</v>
      </c>
      <c r="EM230" s="162">
        <f t="shared" si="1542"/>
        <v>0</v>
      </c>
      <c r="EN230" s="56"/>
      <c r="EQ230" s="55">
        <f t="shared" si="1543"/>
        <v>46216</v>
      </c>
      <c r="ER230" s="56"/>
      <c r="ES230" s="172">
        <f>SUMPRODUCT(PRODUCE!$B233:$DY233,PRODUCE!$EB$23:$IY$23)</f>
        <v>0</v>
      </c>
      <c r="ET230" s="56"/>
      <c r="EU230" s="135">
        <f t="shared" si="1544"/>
        <v>0</v>
      </c>
      <c r="EV230" s="135">
        <f t="shared" si="1545"/>
        <v>0</v>
      </c>
      <c r="EW230" s="56"/>
      <c r="EZ230" s="55">
        <f t="shared" si="1546"/>
        <v>46216</v>
      </c>
      <c r="FA230" s="56"/>
      <c r="FB230" s="175">
        <f>SUMPRODUCT(PRODUCE!$B233:$DY233,PRODUCE!$EB$24:$IY$24)</f>
        <v>0</v>
      </c>
      <c r="FC230" s="56"/>
      <c r="FD230" s="175">
        <f t="shared" si="1547"/>
        <v>0</v>
      </c>
      <c r="FE230" s="175">
        <f t="shared" si="1548"/>
        <v>0</v>
      </c>
      <c r="FF230" s="56"/>
      <c r="FI230" s="55">
        <f t="shared" si="1549"/>
        <v>46216</v>
      </c>
      <c r="FJ230" s="56"/>
      <c r="FK230" s="183">
        <f>SUMPRODUCT(PRODUCE!$B233:$DY233,PRODUCE!$EB$25:$IY$25)</f>
        <v>0</v>
      </c>
      <c r="FL230" s="56"/>
      <c r="FM230" s="183">
        <f t="shared" si="1550"/>
        <v>0</v>
      </c>
      <c r="FN230" s="183">
        <f t="shared" si="1551"/>
        <v>0</v>
      </c>
      <c r="FO230" s="56"/>
      <c r="FR230" s="55">
        <f t="shared" si="1552"/>
        <v>46216</v>
      </c>
      <c r="FS230" s="56"/>
      <c r="FT230" s="186">
        <f>SUMPRODUCT(PRODUCE!$B233:$DY233,PRODUCE!$EB$26:$IY$26)</f>
        <v>0</v>
      </c>
      <c r="FU230" s="56"/>
      <c r="FV230" s="186">
        <f t="shared" si="1553"/>
        <v>0</v>
      </c>
      <c r="FW230" s="186">
        <f t="shared" si="1554"/>
        <v>1160</v>
      </c>
      <c r="FX230" s="56"/>
      <c r="GA230" s="55">
        <f t="shared" si="1555"/>
        <v>46216</v>
      </c>
      <c r="GB230" s="56"/>
      <c r="GC230" s="137">
        <f>SUMPRODUCT(PRODUCE!$B233:$DY233,PRODUCE!$EB$27:$IY$27)</f>
        <v>0</v>
      </c>
      <c r="GD230" s="56"/>
      <c r="GE230" s="137">
        <f t="shared" si="1556"/>
        <v>0</v>
      </c>
      <c r="GF230" s="137">
        <f t="shared" si="1557"/>
        <v>960</v>
      </c>
      <c r="GG230" s="56"/>
      <c r="GI230" s="23"/>
      <c r="GJ230" s="55">
        <f t="shared" si="1558"/>
        <v>46216</v>
      </c>
      <c r="GK230" s="56"/>
      <c r="GL230" s="199">
        <f>SUMPRODUCT(PRODUCE!$B233:$DY233,PRODUCE!$EB$28:$IY$28)</f>
        <v>0</v>
      </c>
      <c r="GM230" s="56"/>
      <c r="GN230" s="199">
        <f t="shared" si="1559"/>
        <v>0</v>
      </c>
      <c r="GO230" s="199">
        <f t="shared" si="1560"/>
        <v>1760</v>
      </c>
      <c r="GP230" s="56"/>
      <c r="GS230" s="55">
        <f t="shared" si="1561"/>
        <v>46216</v>
      </c>
      <c r="GT230" s="56"/>
      <c r="GU230" s="195">
        <f>SUMPRODUCT(PRODUCE!$B233:$DY233,PRODUCE!$EB$29:$IY$29)</f>
        <v>0</v>
      </c>
      <c r="GV230" s="56"/>
      <c r="GW230" s="195">
        <f t="shared" si="1562"/>
        <v>0</v>
      </c>
      <c r="GX230" s="195">
        <f t="shared" si="1563"/>
        <v>400</v>
      </c>
      <c r="GY230" s="56"/>
      <c r="HB230" s="55">
        <f t="shared" si="1564"/>
        <v>46216</v>
      </c>
      <c r="HC230" s="56"/>
      <c r="HD230" s="191">
        <f>SUMPRODUCT(PRODUCE!$B233:$DY233,PRODUCE!$EB$30:$IY$30)</f>
        <v>0</v>
      </c>
      <c r="HE230" s="56"/>
      <c r="HF230" s="191">
        <f t="shared" si="1565"/>
        <v>0</v>
      </c>
      <c r="HG230" s="191">
        <f t="shared" si="1566"/>
        <v>3600</v>
      </c>
      <c r="HH230" s="56"/>
      <c r="HK230" s="55">
        <f t="shared" si="1567"/>
        <v>46216</v>
      </c>
      <c r="HL230" s="56"/>
      <c r="HM230" s="63">
        <f>SUMPRODUCT(PRODUCE!$B233:$DY233,PRODUCE!$EB$31:$IY$31)</f>
        <v>0</v>
      </c>
      <c r="HN230" s="56"/>
      <c r="HO230" s="63">
        <f t="shared" si="1568"/>
        <v>0</v>
      </c>
      <c r="HP230" s="63">
        <f t="shared" si="1569"/>
        <v>0</v>
      </c>
      <c r="HQ230" s="56"/>
      <c r="HU230" s="55">
        <f t="shared" si="1570"/>
        <v>46216</v>
      </c>
      <c r="HV230" s="56"/>
      <c r="HW230" s="242">
        <f>SUMPRODUCT(PRODUCE!$B233:$DY233,PRODUCE!$EB$32:$IY$32)</f>
        <v>0</v>
      </c>
      <c r="HX230" s="56"/>
      <c r="HY230" s="242">
        <f t="shared" si="1571"/>
        <v>0</v>
      </c>
      <c r="HZ230" s="242">
        <f t="shared" si="1572"/>
        <v>6240</v>
      </c>
      <c r="IA230" s="56"/>
      <c r="ID230" s="55">
        <f t="shared" si="1573"/>
        <v>46216</v>
      </c>
      <c r="IE230" s="56"/>
      <c r="IF230" s="242">
        <f>SUMPRODUCT(PRODUCE!$B233:$DY233,PRODUCE!$EB$33:$IY$33)</f>
        <v>0</v>
      </c>
      <c r="IG230" s="56"/>
      <c r="IH230" s="242">
        <f t="shared" si="1574"/>
        <v>0</v>
      </c>
      <c r="II230" s="242">
        <f t="shared" si="1575"/>
        <v>720</v>
      </c>
      <c r="IJ230" s="56"/>
      <c r="IM230" s="55">
        <f t="shared" si="1576"/>
        <v>46216</v>
      </c>
      <c r="IN230" s="56"/>
      <c r="IO230" s="242">
        <f>SUMPRODUCT(PRODUCE!$B233:$DY233,PRODUCE!$EB$34:$IY$34)</f>
        <v>0</v>
      </c>
      <c r="IP230" s="56"/>
      <c r="IQ230" s="242">
        <f t="shared" si="1577"/>
        <v>0</v>
      </c>
      <c r="IR230" s="242">
        <f t="shared" si="1578"/>
        <v>5200</v>
      </c>
      <c r="IS230" s="56"/>
      <c r="IV230" s="55">
        <f t="shared" si="1579"/>
        <v>46216</v>
      </c>
      <c r="IW230" s="56"/>
      <c r="IX230" s="242">
        <f>SUMPRODUCT(PRODUCE!$B233:$DY233,PRODUCE!$EB$35:$IY$35)</f>
        <v>0</v>
      </c>
      <c r="IY230" s="56"/>
      <c r="IZ230" s="242">
        <f t="shared" si="1580"/>
        <v>0</v>
      </c>
      <c r="JA230" s="242">
        <f t="shared" si="1581"/>
        <v>4960</v>
      </c>
      <c r="JB230" s="56"/>
      <c r="JE230" s="55">
        <f t="shared" si="1582"/>
        <v>46216</v>
      </c>
      <c r="JF230" s="56"/>
      <c r="JG230" s="242">
        <f>SUMPRODUCT(PRODUCE!$B233:$DY233,PRODUCE!$EB$36:$IY$36)</f>
        <v>0</v>
      </c>
      <c r="JH230" s="56"/>
      <c r="JI230" s="242">
        <f t="shared" si="1583"/>
        <v>0</v>
      </c>
      <c r="JJ230" s="242">
        <f t="shared" si="1584"/>
        <v>0</v>
      </c>
      <c r="JK230" s="56"/>
      <c r="JN230" s="55">
        <f t="shared" si="1585"/>
        <v>46216</v>
      </c>
      <c r="JO230" s="56"/>
      <c r="JP230" s="242">
        <f>SUMPRODUCT(PRODUCE!$B233:$DY233,PRODUCE!$EB$37:$IY$37)</f>
        <v>0</v>
      </c>
      <c r="JQ230" s="56"/>
      <c r="JR230" s="242">
        <f t="shared" si="1586"/>
        <v>0</v>
      </c>
      <c r="JS230" s="242">
        <f t="shared" si="1587"/>
        <v>0</v>
      </c>
      <c r="JT230" s="56"/>
      <c r="JW230" s="55">
        <f t="shared" si="1588"/>
        <v>46216</v>
      </c>
      <c r="JX230" s="56"/>
      <c r="JY230" s="242">
        <f>SUMPRODUCT(PRODUCE!$B233:$DY233,PRODUCE!$EB$38:$IY$38)</f>
        <v>0</v>
      </c>
      <c r="JZ230" s="56"/>
      <c r="KA230" s="242">
        <f t="shared" si="1589"/>
        <v>0</v>
      </c>
      <c r="KB230" s="242">
        <f t="shared" si="1590"/>
        <v>2540</v>
      </c>
      <c r="KC230" s="56"/>
      <c r="KF230" s="55">
        <f t="shared" si="1591"/>
        <v>46216</v>
      </c>
      <c r="KG230" s="56"/>
      <c r="KH230" s="242">
        <f>SUMPRODUCT(PRODUCE!$B233:$DY233,PRODUCE!$EB$39:$IY$39)</f>
        <v>0</v>
      </c>
      <c r="KI230" s="56"/>
      <c r="KJ230" s="242">
        <f t="shared" si="1592"/>
        <v>0</v>
      </c>
      <c r="KK230" s="242">
        <f t="shared" si="1593"/>
        <v>2359.5</v>
      </c>
      <c r="KL230" s="56"/>
      <c r="KO230" s="55">
        <f t="shared" si="1594"/>
        <v>46216</v>
      </c>
      <c r="KP230" s="56"/>
      <c r="KQ230" s="242">
        <f>SUMPRODUCT(PRODUCE!$B233:$DY233,PRODUCE!$EB$40:$IY$40)</f>
        <v>0</v>
      </c>
      <c r="KR230" s="56"/>
      <c r="KS230" s="242">
        <f t="shared" si="1595"/>
        <v>0</v>
      </c>
      <c r="KT230" s="242">
        <f t="shared" si="1596"/>
        <v>1890</v>
      </c>
      <c r="KU230" s="56"/>
      <c r="KW230" s="23"/>
      <c r="KX230" s="55">
        <f t="shared" si="1597"/>
        <v>46216</v>
      </c>
      <c r="KY230" s="56"/>
      <c r="KZ230" s="242">
        <f>SUMPRODUCT(PRODUCE!$B233:$DY233,PRODUCE!$EB$41:$IY$41)</f>
        <v>0</v>
      </c>
      <c r="LA230" s="56"/>
      <c r="LB230" s="242">
        <f t="shared" si="1598"/>
        <v>0</v>
      </c>
      <c r="LC230" s="242">
        <f t="shared" si="1599"/>
        <v>3690</v>
      </c>
      <c r="LD230" s="56"/>
      <c r="LG230" s="55">
        <f t="shared" si="1600"/>
        <v>46216</v>
      </c>
      <c r="LH230" s="56"/>
      <c r="LI230" s="242">
        <f>SUMPRODUCT(PRODUCE!$B233:$DY233,PRODUCE!$EB$42:$IY$42)</f>
        <v>0</v>
      </c>
      <c r="LJ230" s="56"/>
      <c r="LK230" s="242">
        <f t="shared" si="1601"/>
        <v>0</v>
      </c>
      <c r="LL230" s="242">
        <f t="shared" si="1602"/>
        <v>4000</v>
      </c>
      <c r="LM230" s="56"/>
      <c r="LP230" s="55">
        <f t="shared" si="1603"/>
        <v>46216</v>
      </c>
      <c r="LQ230" s="56"/>
      <c r="LR230" s="242">
        <f>SUMPRODUCT(PRODUCE!$B233:$DY233,PRODUCE!$EB$43:$IY$43)</f>
        <v>0</v>
      </c>
      <c r="LS230" s="56"/>
      <c r="LT230" s="242">
        <f t="shared" si="1604"/>
        <v>0</v>
      </c>
      <c r="LU230" s="242">
        <f t="shared" si="1605"/>
        <v>0</v>
      </c>
      <c r="LV230" s="56"/>
      <c r="LY230" s="55">
        <f t="shared" si="1606"/>
        <v>46216</v>
      </c>
      <c r="LZ230" s="56"/>
      <c r="MA230" s="242">
        <f>SUMPRODUCT(PRODUCE!$B233:$DY233,PRODUCE!$EB$44:$IY$44)</f>
        <v>0</v>
      </c>
      <c r="MB230" s="56"/>
      <c r="MC230" s="242">
        <f t="shared" si="1607"/>
        <v>0</v>
      </c>
      <c r="MD230" s="242">
        <f t="shared" si="1608"/>
        <v>0</v>
      </c>
      <c r="ME230" s="56"/>
      <c r="MH230" s="55">
        <f t="shared" si="1609"/>
        <v>46216</v>
      </c>
      <c r="MI230" s="56"/>
      <c r="MJ230" s="242">
        <f>SUMPRODUCT(PRODUCE!$B233:$DY233,PRODUCE!$EB$45:$IY$45)</f>
        <v>0</v>
      </c>
      <c r="MK230" s="56"/>
      <c r="ML230" s="242">
        <f t="shared" si="1610"/>
        <v>0</v>
      </c>
      <c r="MM230" s="242">
        <f t="shared" si="1611"/>
        <v>0</v>
      </c>
      <c r="MN230" s="56"/>
      <c r="MQ230" s="55">
        <f t="shared" si="1612"/>
        <v>46216</v>
      </c>
      <c r="MR230" s="56"/>
      <c r="MS230" s="242">
        <f>SUMPRODUCT(PRODUCE!$B233:$DY233,PRODUCE!$EB$46:$IY$46)</f>
        <v>0</v>
      </c>
      <c r="MT230" s="56">
        <f>6+20</f>
        <v>26</v>
      </c>
      <c r="MU230" s="242">
        <f t="shared" si="1613"/>
        <v>-26</v>
      </c>
      <c r="MV230" s="242">
        <f t="shared" si="1614"/>
        <v>2802</v>
      </c>
      <c r="MW230" s="56"/>
      <c r="MZ230" s="55">
        <f t="shared" si="1615"/>
        <v>46216</v>
      </c>
      <c r="NA230" s="56">
        <v>312</v>
      </c>
      <c r="NB230" s="242">
        <f>SUMPRODUCT(PRODUCE!$B233:$DY233,PRODUCE!$EB$47:$IY$47)</f>
        <v>0</v>
      </c>
      <c r="NC230" s="56">
        <f>72+240</f>
        <v>312</v>
      </c>
      <c r="ND230" s="242">
        <f t="shared" si="1616"/>
        <v>-312</v>
      </c>
      <c r="NE230" s="242">
        <f t="shared" si="1617"/>
        <v>0</v>
      </c>
      <c r="NF230" s="56"/>
      <c r="NI230" s="55">
        <f t="shared" si="1618"/>
        <v>46216</v>
      </c>
      <c r="NJ230" s="56"/>
      <c r="NK230" s="242">
        <f>SUMPRODUCT(PRODUCE!$B233:$DY233,PRODUCE!$EB$48:$IY$48)</f>
        <v>0</v>
      </c>
      <c r="NL230" s="56"/>
      <c r="NM230" s="242">
        <f t="shared" si="1619"/>
        <v>0</v>
      </c>
      <c r="NN230" s="242">
        <f t="shared" si="1620"/>
        <v>1127</v>
      </c>
      <c r="NO230" s="56"/>
      <c r="NR230" s="55">
        <f t="shared" si="1621"/>
        <v>46216</v>
      </c>
      <c r="NS230" s="56"/>
      <c r="NT230" s="242">
        <f>SUMPRODUCT(PRODUCE!$B233:$DY233,PRODUCE!$EB$49:$IY$49)</f>
        <v>0</v>
      </c>
      <c r="NU230" s="56"/>
      <c r="NV230" s="242">
        <f t="shared" si="1622"/>
        <v>0</v>
      </c>
      <c r="NW230" s="242">
        <f t="shared" si="1623"/>
        <v>3111.9999999999995</v>
      </c>
      <c r="NX230" s="56"/>
      <c r="OA230" s="55">
        <f t="shared" si="1624"/>
        <v>46216</v>
      </c>
      <c r="OB230" s="56"/>
      <c r="OC230" s="242">
        <f>SUMPRODUCT(PRODUCE!$B233:$DY233,PRODUCE!$EB$50:$IY$50)</f>
        <v>0</v>
      </c>
      <c r="OD230" s="56"/>
      <c r="OE230" s="242">
        <f t="shared" si="1625"/>
        <v>0</v>
      </c>
      <c r="OF230" s="242">
        <f t="shared" si="1626"/>
        <v>1680.5</v>
      </c>
      <c r="OG230" s="56"/>
      <c r="OJ230" s="55">
        <f t="shared" si="1627"/>
        <v>46216</v>
      </c>
      <c r="OK230" s="56">
        <v>54.8</v>
      </c>
      <c r="OL230" s="242">
        <f>SUMPRODUCT(PRODUCE!$B233:$DY233,PRODUCE!$EB$51:$IY$51)</f>
        <v>0</v>
      </c>
      <c r="OM230" s="56">
        <f>16.8+38</f>
        <v>54.8</v>
      </c>
      <c r="ON230" s="242">
        <f t="shared" si="1628"/>
        <v>-54.8</v>
      </c>
      <c r="OO230" s="242">
        <f t="shared" si="1629"/>
        <v>0</v>
      </c>
      <c r="OP230" s="56"/>
      <c r="OS230" s="55">
        <f t="shared" si="1630"/>
        <v>46216</v>
      </c>
      <c r="OT230" s="56"/>
      <c r="OU230" s="242">
        <f>SUMPRODUCT(PRODUCE!$B233:$DY233,PRODUCE!$EB$52:$IY$52)</f>
        <v>0</v>
      </c>
      <c r="OV230" s="56"/>
      <c r="OW230" s="242">
        <f t="shared" si="1631"/>
        <v>0</v>
      </c>
      <c r="OX230" s="242">
        <f t="shared" si="1632"/>
        <v>1482</v>
      </c>
      <c r="OY230" s="56"/>
      <c r="PB230" s="55">
        <f t="shared" si="1633"/>
        <v>46216</v>
      </c>
      <c r="PC230" s="56"/>
      <c r="PD230" s="242">
        <f>SUMPRODUCT(PRODUCE!$B233:$DY233,PRODUCE!$EB$53:$IY$53)</f>
        <v>0</v>
      </c>
      <c r="PE230" s="56"/>
      <c r="PF230" s="242">
        <f t="shared" si="1634"/>
        <v>0</v>
      </c>
      <c r="PG230" s="242">
        <f t="shared" si="1635"/>
        <v>0</v>
      </c>
      <c r="PH230" s="56"/>
      <c r="PK230" s="55">
        <f t="shared" si="1636"/>
        <v>46216</v>
      </c>
      <c r="PL230" s="56"/>
      <c r="PM230" s="242">
        <f>SUMPRODUCT(PRODUCE!$B233:$DY233,PRODUCE!$EB$54:$IY$54)</f>
        <v>0</v>
      </c>
      <c r="PN230" s="56"/>
      <c r="PO230" s="242">
        <f t="shared" si="1637"/>
        <v>0</v>
      </c>
      <c r="PP230" s="242">
        <f t="shared" si="1638"/>
        <v>100</v>
      </c>
      <c r="PQ230" s="56"/>
      <c r="PT230" s="55">
        <f t="shared" si="1639"/>
        <v>46216</v>
      </c>
      <c r="PU230" s="56"/>
      <c r="PV230" s="242">
        <f>SUMPRODUCT(PRODUCE!$B233:$DY233,PRODUCE!$EB$55:$IY$55)</f>
        <v>0</v>
      </c>
      <c r="PW230" s="56"/>
      <c r="PX230" s="242">
        <f t="shared" si="1640"/>
        <v>0</v>
      </c>
      <c r="PY230" s="242">
        <f t="shared" si="1641"/>
        <v>13.960000000000036</v>
      </c>
      <c r="PZ230" s="56"/>
      <c r="QC230" s="55">
        <f t="shared" si="1642"/>
        <v>46216</v>
      </c>
      <c r="QD230" s="56"/>
      <c r="QE230" s="242">
        <f>SUMPRODUCT(PRODUCE!$B233:$DY233,PRODUCE!$EB$56:$IY$56)</f>
        <v>0</v>
      </c>
      <c r="QF230" s="56"/>
      <c r="QG230" s="242">
        <f t="shared" si="1643"/>
        <v>0</v>
      </c>
      <c r="QH230" s="242">
        <f t="shared" si="1644"/>
        <v>1736</v>
      </c>
      <c r="QI230" s="56"/>
      <c r="QL230" s="55">
        <f t="shared" si="1645"/>
        <v>46216</v>
      </c>
      <c r="QM230" s="56"/>
      <c r="QN230" s="242">
        <f>SUMPRODUCT(PRODUCE!$B233:$DY233,PRODUCE!$EB$57:$IY$57)</f>
        <v>0</v>
      </c>
      <c r="QO230" s="56"/>
      <c r="QP230" s="242">
        <f t="shared" si="1646"/>
        <v>0</v>
      </c>
      <c r="QQ230" s="242">
        <f t="shared" si="1647"/>
        <v>85</v>
      </c>
      <c r="QR230" s="56"/>
      <c r="QU230" s="55">
        <f t="shared" si="1648"/>
        <v>46216</v>
      </c>
      <c r="QV230" s="56"/>
      <c r="QW230" s="242">
        <f>SUMPRODUCT(PRODUCE!$B233:$DY233,PRODUCE!$EB$58:$IY$58)</f>
        <v>0</v>
      </c>
      <c r="QX230" s="56"/>
      <c r="QY230" s="242">
        <f t="shared" si="1649"/>
        <v>0</v>
      </c>
      <c r="QZ230" s="242">
        <f t="shared" si="1650"/>
        <v>207.6</v>
      </c>
      <c r="RA230" s="56"/>
      <c r="RD230" s="55">
        <f t="shared" si="1651"/>
        <v>46216</v>
      </c>
      <c r="RE230" s="56"/>
      <c r="RF230" s="242">
        <f>SUMPRODUCT(PRODUCE!$B233:$DY233,PRODUCE!$EB$59:$IY$59)</f>
        <v>0</v>
      </c>
      <c r="RG230" s="56"/>
      <c r="RH230" s="242">
        <f t="shared" si="1652"/>
        <v>0</v>
      </c>
      <c r="RI230" s="242">
        <f t="shared" si="1653"/>
        <v>147.04000000000002</v>
      </c>
      <c r="RJ230" s="56"/>
      <c r="RM230" s="55">
        <f t="shared" si="1654"/>
        <v>46216</v>
      </c>
      <c r="RN230" s="56"/>
      <c r="RO230" s="242">
        <f>SUMPRODUCT(PRODUCE!$B233:$DY233,PRODUCE!$EB$60:$IY$60)</f>
        <v>0</v>
      </c>
      <c r="RP230" s="56"/>
      <c r="RQ230" s="242">
        <f t="shared" si="1655"/>
        <v>0</v>
      </c>
      <c r="RR230" s="242">
        <f t="shared" si="1656"/>
        <v>46.8</v>
      </c>
      <c r="RS230" s="56"/>
      <c r="RV230" s="55">
        <f t="shared" si="1657"/>
        <v>46216</v>
      </c>
      <c r="RW230" s="56"/>
      <c r="RX230" s="242">
        <f>SUMPRODUCT(PRODUCE!$B233:$DY233,PRODUCE!$EB$61:$IY$61)</f>
        <v>0</v>
      </c>
      <c r="RY230" s="56"/>
      <c r="RZ230" s="242">
        <f t="shared" si="1658"/>
        <v>0</v>
      </c>
      <c r="SA230" s="242">
        <f t="shared" si="1659"/>
        <v>0</v>
      </c>
      <c r="SB230" s="56"/>
      <c r="SE230" s="55">
        <f t="shared" si="1660"/>
        <v>46216</v>
      </c>
      <c r="SF230" s="56"/>
      <c r="SG230" s="242">
        <f>SUMPRODUCT(PRODUCE!$B233:$DY233,PRODUCE!$EB$62:$IY$62)</f>
        <v>0</v>
      </c>
      <c r="SH230" s="56"/>
      <c r="SI230" s="242">
        <f t="shared" si="1661"/>
        <v>0</v>
      </c>
      <c r="SJ230" s="242">
        <f t="shared" si="1662"/>
        <v>24.200000000000003</v>
      </c>
      <c r="SK230" s="56"/>
      <c r="SN230" s="55">
        <f t="shared" si="1663"/>
        <v>46216</v>
      </c>
      <c r="SO230" s="56"/>
      <c r="SP230" s="242">
        <f>SUMPRODUCT(PRODUCE!$B233:$DY233,PRODUCE!$EB$63:$IY$63)</f>
        <v>0</v>
      </c>
      <c r="SQ230" s="56"/>
      <c r="SR230" s="242">
        <f t="shared" si="1664"/>
        <v>0</v>
      </c>
      <c r="SS230" s="242">
        <f t="shared" si="1665"/>
        <v>32</v>
      </c>
      <c r="ST230" s="56"/>
      <c r="SW230" s="55">
        <f t="shared" si="1666"/>
        <v>46216</v>
      </c>
      <c r="SX230" s="56"/>
      <c r="SY230" s="242">
        <f>SUMPRODUCT(PRODUCE!$B233:$DY233,PRODUCE!$EB$64:$IY$64)</f>
        <v>0</v>
      </c>
      <c r="SZ230" s="56"/>
      <c r="TA230" s="242">
        <f t="shared" si="1667"/>
        <v>0</v>
      </c>
      <c r="TB230" s="242">
        <f t="shared" si="1668"/>
        <v>0</v>
      </c>
      <c r="TC230" s="56"/>
      <c r="TF230" s="55">
        <f t="shared" si="1669"/>
        <v>46216</v>
      </c>
      <c r="TG230" s="56"/>
      <c r="TH230" s="242">
        <f>SUMPRODUCT(PRODUCE!$B233:$DY233,PRODUCE!$EB$57:$IY$57)</f>
        <v>0</v>
      </c>
      <c r="TI230" s="56"/>
      <c r="TJ230" s="242">
        <f t="shared" si="1670"/>
        <v>0</v>
      </c>
      <c r="TK230" s="242">
        <f t="shared" si="1671"/>
        <v>0</v>
      </c>
      <c r="TL230" s="56"/>
      <c r="TO230" s="55">
        <f t="shared" si="1672"/>
        <v>46216</v>
      </c>
      <c r="TP230" s="56"/>
      <c r="TQ230" s="242">
        <f>SUMPRODUCT(PRODUCE!$B233:$DY233,PRODUCE!$EB$57:$IY$57)</f>
        <v>0</v>
      </c>
      <c r="TR230" s="56"/>
      <c r="TS230" s="242">
        <f t="shared" si="1673"/>
        <v>0</v>
      </c>
      <c r="TT230" s="242">
        <f t="shared" si="1674"/>
        <v>22.400000000000006</v>
      </c>
      <c r="TU230" s="56"/>
      <c r="TX230" s="55">
        <f t="shared" si="1675"/>
        <v>46216</v>
      </c>
      <c r="TY230" s="56"/>
      <c r="TZ230" s="242">
        <f>SUMPRODUCT(PRODUCE!$B233:$DY233,PRODUCE!$EB$57:$IY$57)</f>
        <v>0</v>
      </c>
      <c r="UA230" s="56"/>
      <c r="UB230" s="242">
        <f t="shared" si="1676"/>
        <v>0</v>
      </c>
      <c r="UC230" s="242">
        <f t="shared" si="1677"/>
        <v>46.799999999999983</v>
      </c>
      <c r="UD230" s="56"/>
      <c r="UG230" s="55">
        <f t="shared" si="1678"/>
        <v>46216</v>
      </c>
      <c r="UH230" s="56"/>
      <c r="UI230" s="242">
        <f>SUMPRODUCT(PRODUCE!$B233:$DY233,PRODUCE!$EB$57:$IY$57)</f>
        <v>0</v>
      </c>
      <c r="UJ230" s="56"/>
      <c r="UK230" s="242">
        <f t="shared" si="1679"/>
        <v>0</v>
      </c>
      <c r="UL230" s="242">
        <f t="shared" si="1680"/>
        <v>204</v>
      </c>
      <c r="UM230" s="56"/>
      <c r="UP230" s="55">
        <f t="shared" si="1681"/>
        <v>46216</v>
      </c>
      <c r="UQ230" s="56"/>
      <c r="UR230" s="242">
        <f>SUMPRODUCT(PRODUCE!$B233:$DY233,PRODUCE!$EB$69:$IY$69)</f>
        <v>0</v>
      </c>
      <c r="US230" s="56"/>
      <c r="UT230" s="242">
        <f t="shared" si="1682"/>
        <v>0</v>
      </c>
      <c r="UU230" s="242">
        <f t="shared" si="1683"/>
        <v>242.5</v>
      </c>
      <c r="UV230" s="56"/>
      <c r="UY230" s="55">
        <f t="shared" si="1684"/>
        <v>46216</v>
      </c>
      <c r="UZ230" s="56"/>
      <c r="VA230" s="242">
        <f>SUMPRODUCT(PRODUCE!$B233:$DY233,PRODUCE!$EB$70:$IY$70)</f>
        <v>0</v>
      </c>
      <c r="VB230" s="56"/>
      <c r="VC230" s="242">
        <f t="shared" si="1685"/>
        <v>0</v>
      </c>
      <c r="VD230" s="242">
        <f t="shared" si="1686"/>
        <v>41.600000000000023</v>
      </c>
      <c r="VE230" s="56"/>
      <c r="VH230" s="55">
        <f t="shared" si="1687"/>
        <v>46216</v>
      </c>
      <c r="VI230" s="56"/>
      <c r="VJ230" s="242">
        <f>SUMPRODUCT(PRODUCE!$B233:$DY233,PRODUCE!$EB$71:$IY$71)</f>
        <v>0</v>
      </c>
      <c r="VK230" s="56"/>
      <c r="VL230" s="242">
        <f t="shared" si="1688"/>
        <v>0</v>
      </c>
      <c r="VM230" s="242">
        <f t="shared" si="1689"/>
        <v>210</v>
      </c>
      <c r="VN230" s="56"/>
      <c r="VQ230" s="55">
        <f t="shared" si="1690"/>
        <v>46216</v>
      </c>
      <c r="VR230" s="56"/>
      <c r="VS230" s="242">
        <f>SUMPRODUCT(PRODUCE!$B233:$DY233,PRODUCE!$EB$57:$IY$57)</f>
        <v>0</v>
      </c>
      <c r="VT230" s="56"/>
      <c r="VU230" s="242">
        <f t="shared" si="1691"/>
        <v>0</v>
      </c>
      <c r="VV230" s="242">
        <f t="shared" si="1692"/>
        <v>0</v>
      </c>
      <c r="VW230" s="56"/>
      <c r="VZ230" s="55">
        <f t="shared" si="1693"/>
        <v>46216</v>
      </c>
      <c r="WA230" s="56"/>
      <c r="WB230" s="242">
        <f>SUMPRODUCT(PRODUCE!$B233:$DY233,PRODUCE!$EB$57:$IY$57)</f>
        <v>0</v>
      </c>
      <c r="WC230" s="56"/>
      <c r="WD230" s="242">
        <f t="shared" si="1694"/>
        <v>0</v>
      </c>
      <c r="WE230" s="242">
        <f t="shared" si="1695"/>
        <v>0</v>
      </c>
      <c r="WF230" s="56"/>
      <c r="WI230" s="55">
        <f t="shared" si="1696"/>
        <v>46216</v>
      </c>
      <c r="WJ230" s="56"/>
      <c r="WK230" s="242">
        <f>SUMPRODUCT(PRODUCE!$B233:$DY233,PRODUCE!$EB$57:$IY$57)</f>
        <v>0</v>
      </c>
      <c r="WL230" s="56"/>
      <c r="WM230" s="242">
        <f t="shared" si="1697"/>
        <v>0</v>
      </c>
      <c r="WN230" s="242">
        <f t="shared" si="1698"/>
        <v>1057</v>
      </c>
      <c r="WO230" s="56"/>
      <c r="WR230" s="55">
        <f t="shared" si="1699"/>
        <v>46216</v>
      </c>
      <c r="WS230" s="56"/>
      <c r="WT230" s="242">
        <f>SUMPRODUCT(PRODUCE!$B233:$DY233,PRODUCE!$EB$57:$IY$57)</f>
        <v>0</v>
      </c>
      <c r="WU230" s="56"/>
      <c r="WV230" s="242">
        <f t="shared" si="1700"/>
        <v>0</v>
      </c>
      <c r="WW230" s="242">
        <f t="shared" si="1701"/>
        <v>0</v>
      </c>
      <c r="WX230" s="56"/>
      <c r="XA230" s="55">
        <f t="shared" si="1702"/>
        <v>46216</v>
      </c>
      <c r="XB230" s="56"/>
      <c r="XC230" s="242">
        <f>SUMPRODUCT(PRODUCE!$B233:$DY233,PRODUCE!$EB$57:$IY$57)</f>
        <v>0</v>
      </c>
      <c r="XD230" s="56"/>
      <c r="XE230" s="242">
        <f t="shared" si="1703"/>
        <v>0</v>
      </c>
      <c r="XF230" s="242">
        <f t="shared" si="1704"/>
        <v>7507</v>
      </c>
      <c r="XG230" s="56"/>
      <c r="XJ230" s="55">
        <f t="shared" si="1705"/>
        <v>46216</v>
      </c>
      <c r="XK230" s="56"/>
      <c r="XL230" s="242">
        <f>SUMPRODUCT(PRODUCE!$B233:$DY233,PRODUCE!$EB$57:$IY$57)</f>
        <v>0</v>
      </c>
      <c r="XM230" s="56"/>
      <c r="XN230" s="242">
        <f t="shared" si="1706"/>
        <v>0</v>
      </c>
      <c r="XO230" s="242">
        <f t="shared" si="1707"/>
        <v>4252</v>
      </c>
      <c r="XP230" s="56"/>
      <c r="XS230" s="55">
        <f t="shared" si="1708"/>
        <v>46216</v>
      </c>
      <c r="XT230" s="56"/>
      <c r="XU230" s="242">
        <f>SUMPRODUCT(PRODUCE!$B233:$DY233,PRODUCE!$EB$57:$IY$57)</f>
        <v>0</v>
      </c>
      <c r="XV230" s="56"/>
      <c r="XW230" s="242">
        <f t="shared" si="1709"/>
        <v>0</v>
      </c>
      <c r="XX230" s="242">
        <f t="shared" si="1710"/>
        <v>2179</v>
      </c>
      <c r="XY230" s="56"/>
      <c r="YB230" s="55">
        <f t="shared" si="1711"/>
        <v>46216</v>
      </c>
      <c r="YC230" s="56"/>
      <c r="YD230" s="242">
        <f>SUMPRODUCT(PRODUCE!$B233:$DY233,PRODUCE!$EB$57:$IY$57)</f>
        <v>0</v>
      </c>
      <c r="YE230" s="56"/>
      <c r="YF230" s="242">
        <f t="shared" si="1712"/>
        <v>0</v>
      </c>
      <c r="YG230" s="242">
        <f t="shared" si="1713"/>
        <v>4019</v>
      </c>
      <c r="YH230" s="56"/>
      <c r="YK230" s="55">
        <f t="shared" si="1714"/>
        <v>46216</v>
      </c>
      <c r="YL230" s="56"/>
      <c r="YM230" s="242">
        <f>SUMPRODUCT(PRODUCE!$B233:$DY233,PRODUCE!$EB$57:$IY$57)</f>
        <v>0</v>
      </c>
      <c r="YN230" s="56"/>
      <c r="YO230" s="242">
        <f t="shared" si="1715"/>
        <v>0</v>
      </c>
      <c r="YP230" s="242">
        <f t="shared" si="1716"/>
        <v>0</v>
      </c>
      <c r="YQ230" s="56"/>
      <c r="YT230" s="55">
        <f t="shared" si="1717"/>
        <v>46216</v>
      </c>
      <c r="YU230" s="56"/>
      <c r="YV230" s="242">
        <f>SUMPRODUCT(PRODUCE!$B233:$DY233,PRODUCE!$EB$57:$IY$57)</f>
        <v>0</v>
      </c>
      <c r="YW230" s="56"/>
      <c r="YX230" s="242">
        <f t="shared" si="1718"/>
        <v>0</v>
      </c>
      <c r="YY230" s="242">
        <f t="shared" si="1719"/>
        <v>0</v>
      </c>
      <c r="YZ230" s="56"/>
      <c r="ZC230" s="55">
        <f t="shared" si="1720"/>
        <v>46216</v>
      </c>
      <c r="ZD230" s="56"/>
      <c r="ZE230" s="242">
        <f>SUMPRODUCT(PRODUCE!$B233:$DY233,PRODUCE!$EB$57:$IY$57)</f>
        <v>0</v>
      </c>
      <c r="ZF230" s="56"/>
      <c r="ZG230" s="242">
        <f t="shared" si="1721"/>
        <v>0</v>
      </c>
      <c r="ZH230" s="242">
        <f t="shared" si="1722"/>
        <v>0</v>
      </c>
      <c r="ZI230" s="56"/>
      <c r="ZL230" s="55">
        <f t="shared" si="1723"/>
        <v>46216</v>
      </c>
      <c r="ZM230" s="56"/>
      <c r="ZN230" s="242">
        <f>SUMPRODUCT(PRODUCE!$B233:$DY233,PRODUCE!$EB$57:$IY$57)</f>
        <v>0</v>
      </c>
      <c r="ZO230" s="56"/>
      <c r="ZP230" s="242">
        <f t="shared" si="1724"/>
        <v>0</v>
      </c>
      <c r="ZQ230" s="242">
        <f t="shared" si="1725"/>
        <v>0</v>
      </c>
      <c r="ZR230" s="56"/>
      <c r="ZU230" s="55">
        <f t="shared" si="1726"/>
        <v>46216</v>
      </c>
      <c r="ZV230" s="56"/>
      <c r="ZW230" s="242">
        <f>SUMPRODUCT(PRODUCE!$B233:$DY233,PRODUCE!$EB$57:$IY$57)</f>
        <v>0</v>
      </c>
      <c r="ZX230" s="56"/>
      <c r="ZY230" s="242">
        <f t="shared" si="1727"/>
        <v>0</v>
      </c>
      <c r="ZZ230" s="242">
        <f t="shared" si="1728"/>
        <v>0</v>
      </c>
      <c r="AAA230" s="56"/>
      <c r="AAD230" s="55">
        <f t="shared" si="1729"/>
        <v>46216</v>
      </c>
      <c r="AAE230" s="56"/>
      <c r="AAF230" s="242">
        <f>SUMPRODUCT(PRODUCE!$B233:$DY233,PRODUCE!$EB$57:$IY$57)</f>
        <v>0</v>
      </c>
      <c r="AAG230" s="56"/>
      <c r="AAH230" s="242">
        <f t="shared" si="1730"/>
        <v>0</v>
      </c>
      <c r="AAI230" s="242">
        <f t="shared" si="1731"/>
        <v>0</v>
      </c>
      <c r="AAJ230" s="56"/>
      <c r="AAM230" s="55">
        <f t="shared" si="1732"/>
        <v>46216</v>
      </c>
      <c r="AAN230" s="56"/>
      <c r="AAO230" s="242">
        <f>SUMPRODUCT(PRODUCE!$B233:$DY233,PRODUCE!$EB$57:$IY$57)</f>
        <v>0</v>
      </c>
      <c r="AAP230" s="56"/>
      <c r="AAQ230" s="242">
        <f t="shared" si="1733"/>
        <v>0</v>
      </c>
      <c r="AAR230" s="242">
        <f t="shared" si="1734"/>
        <v>0</v>
      </c>
      <c r="AAS230" s="56"/>
      <c r="AAV230" s="55">
        <f t="shared" si="1735"/>
        <v>46216</v>
      </c>
      <c r="AAW230" s="56"/>
      <c r="AAX230" s="242">
        <f>SUMPRODUCT(PRODUCE!$B233:$DY233,PRODUCE!$EB$57:$IY$57)</f>
        <v>0</v>
      </c>
      <c r="AAY230" s="56"/>
      <c r="AAZ230" s="242">
        <f t="shared" si="1736"/>
        <v>0</v>
      </c>
      <c r="ABA230" s="242">
        <f t="shared" si="1737"/>
        <v>0</v>
      </c>
      <c r="ABB230" s="56"/>
      <c r="ABE230" s="55">
        <f t="shared" si="1738"/>
        <v>46216</v>
      </c>
      <c r="ABF230" s="56"/>
      <c r="ABG230" s="242">
        <f>SUMPRODUCT(PRODUCE!$B233:$DY233,PRODUCE!$EB$57:$IY$57)</f>
        <v>0</v>
      </c>
      <c r="ABH230" s="56"/>
      <c r="ABI230" s="242">
        <f t="shared" si="1739"/>
        <v>0</v>
      </c>
      <c r="ABJ230" s="242">
        <f t="shared" si="1740"/>
        <v>0</v>
      </c>
      <c r="ABK230" s="56"/>
    </row>
    <row r="231" spans="2:739" s="54" customFormat="1" ht="15" customHeight="1" outlineLevel="1">
      <c r="B231" s="478"/>
      <c r="C231" s="55">
        <v>46217</v>
      </c>
      <c r="D231" s="422"/>
      <c r="E231" s="423">
        <f>SUMPRODUCT(PRODUCE!$B234:$DY234,PRODUCE!$EB$7:$IY$7)</f>
        <v>25349.52</v>
      </c>
      <c r="F231" s="422">
        <v>73880.800000000003</v>
      </c>
      <c r="G231" s="423">
        <f t="shared" si="1496"/>
        <v>-48531.28</v>
      </c>
      <c r="H231" s="423">
        <f t="shared" si="1497"/>
        <v>33520.000000000044</v>
      </c>
      <c r="I231" s="289"/>
      <c r="L231" s="55">
        <f t="shared" si="1498"/>
        <v>46217</v>
      </c>
      <c r="M231" s="422"/>
      <c r="N231" s="438">
        <f>SUMPRODUCT(PRODUCE!$B234:$DY234,PRODUCE!$EB$8:$IY$8)</f>
        <v>14085.6</v>
      </c>
      <c r="O231" s="422">
        <v>31335.200000000001</v>
      </c>
      <c r="P231" s="438">
        <f t="shared" si="1499"/>
        <v>-17249.599999999999</v>
      </c>
      <c r="Q231" s="438">
        <f t="shared" si="1500"/>
        <v>-2314.9999999999309</v>
      </c>
      <c r="R231" s="56"/>
      <c r="U231" s="55">
        <f t="shared" si="1501"/>
        <v>46217</v>
      </c>
      <c r="V231" s="422"/>
      <c r="W231" s="440">
        <f>SUMPRODUCT(PRODUCE!$B234:$DY234,PRODUCE!$EB$9:$IY$9)</f>
        <v>2300</v>
      </c>
      <c r="X231" s="422">
        <v>7902.6</v>
      </c>
      <c r="Y231" s="440">
        <f t="shared" si="1502"/>
        <v>-5602.6</v>
      </c>
      <c r="Z231" s="440">
        <f t="shared" si="1503"/>
        <v>22996.099999999969</v>
      </c>
      <c r="AA231" s="56"/>
      <c r="AD231" s="55">
        <f t="shared" si="1504"/>
        <v>46217</v>
      </c>
      <c r="AE231" s="422"/>
      <c r="AF231" s="442">
        <f>SUMPRODUCT(PRODUCE!$B234:$DY234,PRODUCE!$EB$10:$IY$10)</f>
        <v>0</v>
      </c>
      <c r="AG231" s="422"/>
      <c r="AH231" s="442">
        <f t="shared" si="1505"/>
        <v>0</v>
      </c>
      <c r="AI231" s="442">
        <f t="shared" si="1506"/>
        <v>31872.200000000019</v>
      </c>
      <c r="AJ231" s="56"/>
      <c r="AM231" s="55">
        <f t="shared" si="1507"/>
        <v>46217</v>
      </c>
      <c r="AN231" s="422"/>
      <c r="AO231" s="444">
        <f>SUMPRODUCT(PRODUCE!$B234:$DY234,PRODUCE!$EB$11:$IY$11)</f>
        <v>0</v>
      </c>
      <c r="AP231" s="422"/>
      <c r="AQ231" s="444">
        <f t="shared" si="1508"/>
        <v>0</v>
      </c>
      <c r="AR231" s="444">
        <f t="shared" si="1509"/>
        <v>0</v>
      </c>
      <c r="AS231" s="56"/>
      <c r="AV231" s="55">
        <f t="shared" si="1510"/>
        <v>46217</v>
      </c>
      <c r="AW231" s="422"/>
      <c r="AX231" s="446">
        <f>SUMPRODUCT(PRODUCE!$B234:$DY234,PRODUCE!$EB$12:$IY$12)</f>
        <v>320</v>
      </c>
      <c r="AY231" s="422">
        <v>319.2</v>
      </c>
      <c r="AZ231" s="446">
        <f t="shared" si="1511"/>
        <v>0.80000000000001137</v>
      </c>
      <c r="BA231" s="446">
        <f t="shared" si="1512"/>
        <v>13046.199999999995</v>
      </c>
      <c r="BB231" s="56"/>
      <c r="BE231" s="55">
        <f t="shared" si="1513"/>
        <v>46217</v>
      </c>
      <c r="BF231" s="422"/>
      <c r="BG231" s="448">
        <f>SUMPRODUCT(PRODUCE!$B234:$DY234,PRODUCE!$EB$13:$IY$13)</f>
        <v>825</v>
      </c>
      <c r="BH231" s="422">
        <v>1626.7</v>
      </c>
      <c r="BI231" s="448">
        <f t="shared" si="1514"/>
        <v>-801.7</v>
      </c>
      <c r="BJ231" s="448">
        <f t="shared" si="1515"/>
        <v>30896.699999999993</v>
      </c>
      <c r="BK231" s="56"/>
      <c r="BN231" s="55">
        <f t="shared" si="1516"/>
        <v>46217</v>
      </c>
      <c r="BO231" s="422">
        <v>1665</v>
      </c>
      <c r="BP231" s="450">
        <f>SUMPRODUCT(PRODUCE!$B234:$DY234,PRODUCE!$EB$14:$IY$14)</f>
        <v>865</v>
      </c>
      <c r="BQ231" s="422">
        <v>1665</v>
      </c>
      <c r="BR231" s="450">
        <f t="shared" si="1517"/>
        <v>-800</v>
      </c>
      <c r="BS231" s="450">
        <f t="shared" si="1518"/>
        <v>0</v>
      </c>
      <c r="BT231" s="56"/>
      <c r="BW231" s="55">
        <f t="shared" si="1519"/>
        <v>46217</v>
      </c>
      <c r="BX231" s="422"/>
      <c r="BY231" s="523">
        <f>SUMPRODUCT(PRODUCE!$B234:$DY234,PRODUCE!$EB$15:$IY$15)</f>
        <v>24</v>
      </c>
      <c r="BZ231" s="422">
        <v>175.88</v>
      </c>
      <c r="CA231" s="523">
        <f t="shared" si="1520"/>
        <v>-151.88</v>
      </c>
      <c r="CB231" s="523">
        <f t="shared" si="1521"/>
        <v>7063.9699999999984</v>
      </c>
      <c r="CC231" s="56"/>
      <c r="CF231" s="55">
        <f t="shared" si="1522"/>
        <v>46217</v>
      </c>
      <c r="CG231" s="422"/>
      <c r="CH231" s="524">
        <f>SUMPRODUCT(PRODUCE!$B234:$DY234,PRODUCE!$EB$16:$IY$16)</f>
        <v>289.88</v>
      </c>
      <c r="CI231" s="422"/>
      <c r="CJ231" s="524">
        <f t="shared" si="1523"/>
        <v>289.88</v>
      </c>
      <c r="CK231" s="524">
        <f t="shared" si="1524"/>
        <v>-6361.1899999999987</v>
      </c>
      <c r="CL231" s="56"/>
      <c r="CO231" s="55">
        <f t="shared" si="1525"/>
        <v>46217</v>
      </c>
      <c r="CP231" s="422"/>
      <c r="CQ231" s="470">
        <f>SUMPRODUCT(PRODUCE!$B234:$DY234,PRODUCE!$EB$17:$IY$17)</f>
        <v>0</v>
      </c>
      <c r="CR231" s="422"/>
      <c r="CS231" s="470">
        <f t="shared" si="1526"/>
        <v>0</v>
      </c>
      <c r="CT231" s="470">
        <f t="shared" si="1527"/>
        <v>0</v>
      </c>
      <c r="CU231" s="56"/>
      <c r="CX231" s="55">
        <f t="shared" si="1528"/>
        <v>46217</v>
      </c>
      <c r="CY231" s="422">
        <v>1600</v>
      </c>
      <c r="CZ231" s="525">
        <f>SUMPRODUCT(PRODUCE!$B234:$DY234,PRODUCE!$EB$18:$IY$18)</f>
        <v>0</v>
      </c>
      <c r="DA231" s="422">
        <v>1600</v>
      </c>
      <c r="DB231" s="525">
        <f t="shared" si="1529"/>
        <v>-1600</v>
      </c>
      <c r="DC231" s="525">
        <f t="shared" si="1530"/>
        <v>711.60000000000719</v>
      </c>
      <c r="DD231" s="56"/>
      <c r="DG231" s="55">
        <f t="shared" si="1531"/>
        <v>46217</v>
      </c>
      <c r="DH231" s="422"/>
      <c r="DI231" s="526">
        <f>SUMPRODUCT(PRODUCE!$B234:$DY234,PRODUCE!$EB$19:$IY$19)</f>
        <v>800</v>
      </c>
      <c r="DJ231" s="422">
        <v>800.5</v>
      </c>
      <c r="DK231" s="526">
        <f t="shared" si="1532"/>
        <v>-0.5</v>
      </c>
      <c r="DL231" s="526">
        <f t="shared" si="1533"/>
        <v>33834.199999999983</v>
      </c>
      <c r="DM231" s="56"/>
      <c r="DP231" s="55">
        <f t="shared" si="1534"/>
        <v>46217</v>
      </c>
      <c r="DQ231" s="56"/>
      <c r="DR231" s="57">
        <f>SUMPRODUCT(PRODUCE!$B234:$DY234,PRODUCE!$EB$20:$IY$20)</f>
        <v>0</v>
      </c>
      <c r="DS231" s="56"/>
      <c r="DT231" s="57">
        <f t="shared" si="1535"/>
        <v>0</v>
      </c>
      <c r="DU231" s="57">
        <f t="shared" si="1536"/>
        <v>5800</v>
      </c>
      <c r="DV231" s="56"/>
      <c r="DY231" s="55">
        <f t="shared" si="1537"/>
        <v>46217</v>
      </c>
      <c r="DZ231" s="56"/>
      <c r="EA231" s="157">
        <f>SUMPRODUCT(PRODUCE!$B234:$DY234,PRODUCE!$EB$21:$IY$21)</f>
        <v>0</v>
      </c>
      <c r="EB231" s="56"/>
      <c r="EC231" s="157">
        <f t="shared" si="1538"/>
        <v>0</v>
      </c>
      <c r="ED231" s="157">
        <f t="shared" si="1539"/>
        <v>0</v>
      </c>
      <c r="EE231" s="56"/>
      <c r="EH231" s="55">
        <f t="shared" si="1540"/>
        <v>46217</v>
      </c>
      <c r="EI231" s="56"/>
      <c r="EJ231" s="162">
        <f>SUMPRODUCT(PRODUCE!$B234:$DY234,PRODUCE!$EB$22:$IY$22)</f>
        <v>0</v>
      </c>
      <c r="EK231" s="56"/>
      <c r="EL231" s="162">
        <f t="shared" si="1541"/>
        <v>0</v>
      </c>
      <c r="EM231" s="162">
        <f t="shared" si="1542"/>
        <v>0</v>
      </c>
      <c r="EN231" s="56"/>
      <c r="EQ231" s="55">
        <f t="shared" si="1543"/>
        <v>46217</v>
      </c>
      <c r="ER231" s="56"/>
      <c r="ES231" s="172">
        <f>SUMPRODUCT(PRODUCE!$B234:$DY234,PRODUCE!$EB$23:$IY$23)</f>
        <v>0</v>
      </c>
      <c r="ET231" s="56"/>
      <c r="EU231" s="135">
        <f t="shared" si="1544"/>
        <v>0</v>
      </c>
      <c r="EV231" s="135">
        <f t="shared" si="1545"/>
        <v>0</v>
      </c>
      <c r="EW231" s="56"/>
      <c r="EZ231" s="55">
        <f t="shared" si="1546"/>
        <v>46217</v>
      </c>
      <c r="FA231" s="56"/>
      <c r="FB231" s="175">
        <f>SUMPRODUCT(PRODUCE!$B234:$DY234,PRODUCE!$EB$24:$IY$24)</f>
        <v>0</v>
      </c>
      <c r="FC231" s="56"/>
      <c r="FD231" s="175">
        <f t="shared" si="1547"/>
        <v>0</v>
      </c>
      <c r="FE231" s="175">
        <f t="shared" si="1548"/>
        <v>0</v>
      </c>
      <c r="FF231" s="56"/>
      <c r="FI231" s="55">
        <f t="shared" si="1549"/>
        <v>46217</v>
      </c>
      <c r="FJ231" s="56"/>
      <c r="FK231" s="183">
        <f>SUMPRODUCT(PRODUCE!$B234:$DY234,PRODUCE!$EB$25:$IY$25)</f>
        <v>0</v>
      </c>
      <c r="FL231" s="56"/>
      <c r="FM231" s="183">
        <f t="shared" si="1550"/>
        <v>0</v>
      </c>
      <c r="FN231" s="183">
        <f t="shared" si="1551"/>
        <v>0</v>
      </c>
      <c r="FO231" s="56"/>
      <c r="FR231" s="55">
        <f t="shared" si="1552"/>
        <v>46217</v>
      </c>
      <c r="FS231" s="56"/>
      <c r="FT231" s="186">
        <f>SUMPRODUCT(PRODUCE!$B234:$DY234,PRODUCE!$EB$26:$IY$26)</f>
        <v>0</v>
      </c>
      <c r="FU231" s="56"/>
      <c r="FV231" s="186">
        <f t="shared" si="1553"/>
        <v>0</v>
      </c>
      <c r="FW231" s="186">
        <f t="shared" si="1554"/>
        <v>1160</v>
      </c>
      <c r="FX231" s="56"/>
      <c r="GA231" s="55">
        <f t="shared" si="1555"/>
        <v>46217</v>
      </c>
      <c r="GB231" s="56"/>
      <c r="GC231" s="137">
        <f>SUMPRODUCT(PRODUCE!$B234:$DY234,PRODUCE!$EB$27:$IY$27)</f>
        <v>0</v>
      </c>
      <c r="GD231" s="56"/>
      <c r="GE231" s="137">
        <f t="shared" si="1556"/>
        <v>0</v>
      </c>
      <c r="GF231" s="137">
        <f t="shared" si="1557"/>
        <v>960</v>
      </c>
      <c r="GG231" s="56"/>
      <c r="GI231" s="23"/>
      <c r="GJ231" s="55">
        <f t="shared" si="1558"/>
        <v>46217</v>
      </c>
      <c r="GK231" s="56"/>
      <c r="GL231" s="199">
        <f>SUMPRODUCT(PRODUCE!$B234:$DY234,PRODUCE!$EB$28:$IY$28)</f>
        <v>0</v>
      </c>
      <c r="GM231" s="56"/>
      <c r="GN231" s="199">
        <f t="shared" si="1559"/>
        <v>0</v>
      </c>
      <c r="GO231" s="199">
        <f t="shared" si="1560"/>
        <v>1760</v>
      </c>
      <c r="GP231" s="56"/>
      <c r="GS231" s="55">
        <f t="shared" si="1561"/>
        <v>46217</v>
      </c>
      <c r="GT231" s="56"/>
      <c r="GU231" s="195">
        <f>SUMPRODUCT(PRODUCE!$B234:$DY234,PRODUCE!$EB$29:$IY$29)</f>
        <v>0</v>
      </c>
      <c r="GV231" s="56"/>
      <c r="GW231" s="195">
        <f t="shared" si="1562"/>
        <v>0</v>
      </c>
      <c r="GX231" s="195">
        <f t="shared" si="1563"/>
        <v>400</v>
      </c>
      <c r="GY231" s="56"/>
      <c r="HB231" s="55">
        <f t="shared" si="1564"/>
        <v>46217</v>
      </c>
      <c r="HC231" s="56"/>
      <c r="HD231" s="191">
        <f>SUMPRODUCT(PRODUCE!$B234:$DY234,PRODUCE!$EB$30:$IY$30)</f>
        <v>0</v>
      </c>
      <c r="HE231" s="56"/>
      <c r="HF231" s="191">
        <f t="shared" si="1565"/>
        <v>0</v>
      </c>
      <c r="HG231" s="191">
        <f t="shared" si="1566"/>
        <v>3600</v>
      </c>
      <c r="HH231" s="56"/>
      <c r="HK231" s="55">
        <f t="shared" si="1567"/>
        <v>46217</v>
      </c>
      <c r="HL231" s="56"/>
      <c r="HM231" s="63">
        <f>SUMPRODUCT(PRODUCE!$B234:$DY234,PRODUCE!$EB$31:$IY$31)</f>
        <v>0</v>
      </c>
      <c r="HN231" s="56"/>
      <c r="HO231" s="63">
        <f t="shared" si="1568"/>
        <v>0</v>
      </c>
      <c r="HP231" s="63">
        <f t="shared" si="1569"/>
        <v>0</v>
      </c>
      <c r="HQ231" s="56"/>
      <c r="HU231" s="55">
        <f t="shared" si="1570"/>
        <v>46217</v>
      </c>
      <c r="HV231" s="56"/>
      <c r="HW231" s="242">
        <f>SUMPRODUCT(PRODUCE!$B234:$DY234,PRODUCE!$EB$32:$IY$32)</f>
        <v>320</v>
      </c>
      <c r="HX231" s="56"/>
      <c r="HY231" s="242">
        <f t="shared" si="1571"/>
        <v>320</v>
      </c>
      <c r="HZ231" s="242">
        <f t="shared" si="1572"/>
        <v>6240</v>
      </c>
      <c r="IA231" s="56"/>
      <c r="ID231" s="55">
        <f t="shared" si="1573"/>
        <v>46217</v>
      </c>
      <c r="IE231" s="56"/>
      <c r="IF231" s="242">
        <f>SUMPRODUCT(PRODUCE!$B234:$DY234,PRODUCE!$EB$33:$IY$33)</f>
        <v>0</v>
      </c>
      <c r="IG231" s="56"/>
      <c r="IH231" s="242">
        <f t="shared" si="1574"/>
        <v>0</v>
      </c>
      <c r="II231" s="242">
        <f t="shared" si="1575"/>
        <v>720</v>
      </c>
      <c r="IJ231" s="56"/>
      <c r="IM231" s="55">
        <f t="shared" si="1576"/>
        <v>46217</v>
      </c>
      <c r="IN231" s="56"/>
      <c r="IO231" s="242">
        <f>SUMPRODUCT(PRODUCE!$B234:$DY234,PRODUCE!$EB$34:$IY$34)</f>
        <v>0</v>
      </c>
      <c r="IP231" s="56">
        <v>600</v>
      </c>
      <c r="IQ231" s="242">
        <f t="shared" si="1577"/>
        <v>-600</v>
      </c>
      <c r="IR231" s="242">
        <f t="shared" si="1578"/>
        <v>4600</v>
      </c>
      <c r="IS231" s="56">
        <f>IP231/20</f>
        <v>30</v>
      </c>
      <c r="IV231" s="55">
        <f t="shared" si="1579"/>
        <v>46217</v>
      </c>
      <c r="IW231" s="56"/>
      <c r="IX231" s="242">
        <f>SUMPRODUCT(PRODUCE!$B234:$DY234,PRODUCE!$EB$35:$IY$35)</f>
        <v>0</v>
      </c>
      <c r="IY231" s="56"/>
      <c r="IZ231" s="242">
        <f t="shared" si="1580"/>
        <v>0</v>
      </c>
      <c r="JA231" s="242">
        <f t="shared" si="1581"/>
        <v>4960</v>
      </c>
      <c r="JB231" s="56"/>
      <c r="JE231" s="55">
        <f t="shared" si="1582"/>
        <v>46217</v>
      </c>
      <c r="JF231" s="56"/>
      <c r="JG231" s="242">
        <f>SUMPRODUCT(PRODUCE!$B234:$DY234,PRODUCE!$EB$36:$IY$36)</f>
        <v>0</v>
      </c>
      <c r="JH231" s="56"/>
      <c r="JI231" s="242">
        <f t="shared" si="1583"/>
        <v>0</v>
      </c>
      <c r="JJ231" s="242">
        <f t="shared" si="1584"/>
        <v>0</v>
      </c>
      <c r="JK231" s="56"/>
      <c r="JN231" s="55">
        <f t="shared" si="1585"/>
        <v>46217</v>
      </c>
      <c r="JO231" s="56"/>
      <c r="JP231" s="242">
        <f>SUMPRODUCT(PRODUCE!$B234:$DY234,PRODUCE!$EB$37:$IY$37)</f>
        <v>600</v>
      </c>
      <c r="JQ231" s="56"/>
      <c r="JR231" s="242">
        <f t="shared" si="1586"/>
        <v>600</v>
      </c>
      <c r="JS231" s="242">
        <f t="shared" si="1587"/>
        <v>0</v>
      </c>
      <c r="JT231" s="56"/>
      <c r="JW231" s="55">
        <f t="shared" si="1588"/>
        <v>46217</v>
      </c>
      <c r="JX231" s="56"/>
      <c r="JY231" s="242">
        <f>SUMPRODUCT(PRODUCE!$B234:$DY234,PRODUCE!$EB$38:$IY$38)</f>
        <v>0</v>
      </c>
      <c r="JZ231" s="56"/>
      <c r="KA231" s="242">
        <f t="shared" si="1589"/>
        <v>0</v>
      </c>
      <c r="KB231" s="242">
        <f t="shared" si="1590"/>
        <v>2540</v>
      </c>
      <c r="KC231" s="56"/>
      <c r="KF231" s="55">
        <f t="shared" si="1591"/>
        <v>46217</v>
      </c>
      <c r="KG231" s="56"/>
      <c r="KH231" s="242">
        <f>SUMPRODUCT(PRODUCE!$B234:$DY234,PRODUCE!$EB$39:$IY$39)</f>
        <v>0</v>
      </c>
      <c r="KI231" s="56"/>
      <c r="KJ231" s="242">
        <f t="shared" si="1592"/>
        <v>0</v>
      </c>
      <c r="KK231" s="242">
        <f t="shared" si="1593"/>
        <v>2359.5</v>
      </c>
      <c r="KL231" s="56"/>
      <c r="KO231" s="55">
        <f t="shared" si="1594"/>
        <v>46217</v>
      </c>
      <c r="KP231" s="56"/>
      <c r="KQ231" s="242">
        <f>SUMPRODUCT(PRODUCE!$B234:$DY234,PRODUCE!$EB$40:$IY$40)</f>
        <v>0</v>
      </c>
      <c r="KR231" s="56"/>
      <c r="KS231" s="242">
        <f t="shared" si="1595"/>
        <v>0</v>
      </c>
      <c r="KT231" s="242">
        <f t="shared" si="1596"/>
        <v>1890</v>
      </c>
      <c r="KU231" s="56"/>
      <c r="KW231" s="23"/>
      <c r="KX231" s="55">
        <f t="shared" si="1597"/>
        <v>46217</v>
      </c>
      <c r="KY231" s="56"/>
      <c r="KZ231" s="242">
        <f>SUMPRODUCT(PRODUCE!$B234:$DY234,PRODUCE!$EB$41:$IY$41)</f>
        <v>0</v>
      </c>
      <c r="LA231" s="56"/>
      <c r="LB231" s="242">
        <f t="shared" si="1598"/>
        <v>0</v>
      </c>
      <c r="LC231" s="242">
        <f t="shared" si="1599"/>
        <v>3690</v>
      </c>
      <c r="LD231" s="56"/>
      <c r="LG231" s="55">
        <f t="shared" si="1600"/>
        <v>46217</v>
      </c>
      <c r="LH231" s="56"/>
      <c r="LI231" s="242">
        <f>SUMPRODUCT(PRODUCE!$B234:$DY234,PRODUCE!$EB$42:$IY$42)</f>
        <v>0</v>
      </c>
      <c r="LJ231" s="56"/>
      <c r="LK231" s="242">
        <f t="shared" si="1601"/>
        <v>0</v>
      </c>
      <c r="LL231" s="242">
        <f t="shared" si="1602"/>
        <v>4000</v>
      </c>
      <c r="LM231" s="56"/>
      <c r="LP231" s="55">
        <f t="shared" si="1603"/>
        <v>46217</v>
      </c>
      <c r="LQ231" s="56"/>
      <c r="LR231" s="242">
        <f>SUMPRODUCT(PRODUCE!$B234:$DY234,PRODUCE!$EB$43:$IY$43)</f>
        <v>0</v>
      </c>
      <c r="LS231" s="56"/>
      <c r="LT231" s="242">
        <f t="shared" si="1604"/>
        <v>0</v>
      </c>
      <c r="LU231" s="242">
        <f t="shared" si="1605"/>
        <v>0</v>
      </c>
      <c r="LV231" s="56"/>
      <c r="LY231" s="55">
        <f t="shared" si="1606"/>
        <v>46217</v>
      </c>
      <c r="LZ231" s="56"/>
      <c r="MA231" s="242">
        <f>SUMPRODUCT(PRODUCE!$B234:$DY234,PRODUCE!$EB$44:$IY$44)</f>
        <v>0</v>
      </c>
      <c r="MB231" s="56"/>
      <c r="MC231" s="242">
        <f t="shared" si="1607"/>
        <v>0</v>
      </c>
      <c r="MD231" s="242">
        <f t="shared" si="1608"/>
        <v>0</v>
      </c>
      <c r="ME231" s="56"/>
      <c r="MH231" s="55">
        <f t="shared" si="1609"/>
        <v>46217</v>
      </c>
      <c r="MI231" s="56"/>
      <c r="MJ231" s="242">
        <f>SUMPRODUCT(PRODUCE!$B234:$DY234,PRODUCE!$EB$45:$IY$45)</f>
        <v>0</v>
      </c>
      <c r="MK231" s="56"/>
      <c r="ML231" s="242">
        <f t="shared" si="1610"/>
        <v>0</v>
      </c>
      <c r="MM231" s="242">
        <f t="shared" si="1611"/>
        <v>0</v>
      </c>
      <c r="MN231" s="56"/>
      <c r="MQ231" s="55">
        <f t="shared" si="1612"/>
        <v>46217</v>
      </c>
      <c r="MR231" s="56"/>
      <c r="MS231" s="242">
        <f>SUMPRODUCT(PRODUCE!$B234:$DY234,PRODUCE!$EB$46:$IY$46)</f>
        <v>8</v>
      </c>
      <c r="MT231" s="56">
        <v>70</v>
      </c>
      <c r="MU231" s="242">
        <f t="shared" si="1613"/>
        <v>-62</v>
      </c>
      <c r="MV231" s="242">
        <f t="shared" si="1614"/>
        <v>2732</v>
      </c>
      <c r="MW231" s="56"/>
      <c r="MZ231" s="55">
        <f t="shared" si="1615"/>
        <v>46217</v>
      </c>
      <c r="NA231" s="56"/>
      <c r="NB231" s="242">
        <f>SUMPRODUCT(PRODUCE!$B234:$DY234,PRODUCE!$EB$47:$IY$47)</f>
        <v>138</v>
      </c>
      <c r="NC231" s="56"/>
      <c r="ND231" s="242">
        <f t="shared" si="1616"/>
        <v>138</v>
      </c>
      <c r="NE231" s="242">
        <f t="shared" si="1617"/>
        <v>0</v>
      </c>
      <c r="NF231" s="56"/>
      <c r="NI231" s="55">
        <f t="shared" si="1618"/>
        <v>46217</v>
      </c>
      <c r="NJ231" s="56"/>
      <c r="NK231" s="242">
        <f>SUMPRODUCT(PRODUCE!$B234:$DY234,PRODUCE!$EB$48:$IY$48)</f>
        <v>0</v>
      </c>
      <c r="NL231" s="56"/>
      <c r="NM231" s="242">
        <f t="shared" si="1619"/>
        <v>0</v>
      </c>
      <c r="NN231" s="242">
        <f t="shared" si="1620"/>
        <v>1127</v>
      </c>
      <c r="NO231" s="56"/>
      <c r="NR231" s="55">
        <f t="shared" si="1621"/>
        <v>46217</v>
      </c>
      <c r="NS231" s="56"/>
      <c r="NT231" s="242">
        <f>SUMPRODUCT(PRODUCE!$B234:$DY234,PRODUCE!$EB$49:$IY$49)</f>
        <v>0</v>
      </c>
      <c r="NU231" s="56"/>
      <c r="NV231" s="242">
        <f t="shared" si="1622"/>
        <v>0</v>
      </c>
      <c r="NW231" s="242">
        <f t="shared" si="1623"/>
        <v>3111.9999999999995</v>
      </c>
      <c r="NX231" s="56"/>
      <c r="OA231" s="55">
        <f t="shared" si="1624"/>
        <v>46217</v>
      </c>
      <c r="OB231" s="56"/>
      <c r="OC231" s="242">
        <f>SUMPRODUCT(PRODUCE!$B234:$DY234,PRODUCE!$EB$50:$IY$50)</f>
        <v>0</v>
      </c>
      <c r="OD231" s="56"/>
      <c r="OE231" s="242">
        <f t="shared" si="1625"/>
        <v>0</v>
      </c>
      <c r="OF231" s="242">
        <f t="shared" si="1626"/>
        <v>1680.5</v>
      </c>
      <c r="OG231" s="56"/>
      <c r="OJ231" s="55">
        <f t="shared" si="1627"/>
        <v>46217</v>
      </c>
      <c r="OK231" s="56"/>
      <c r="OL231" s="242">
        <f>SUMPRODUCT(PRODUCE!$B234:$DY234,PRODUCE!$EB$51:$IY$51)</f>
        <v>0</v>
      </c>
      <c r="OM231" s="56"/>
      <c r="ON231" s="242">
        <f t="shared" si="1628"/>
        <v>0</v>
      </c>
      <c r="OO231" s="242">
        <f t="shared" si="1629"/>
        <v>0</v>
      </c>
      <c r="OP231" s="56"/>
      <c r="OS231" s="55">
        <f t="shared" si="1630"/>
        <v>46217</v>
      </c>
      <c r="OT231" s="56"/>
      <c r="OU231" s="242">
        <f>SUMPRODUCT(PRODUCE!$B234:$DY234,PRODUCE!$EB$52:$IY$52)</f>
        <v>0</v>
      </c>
      <c r="OV231" s="56"/>
      <c r="OW231" s="242">
        <f t="shared" si="1631"/>
        <v>0</v>
      </c>
      <c r="OX231" s="242">
        <f t="shared" si="1632"/>
        <v>1482</v>
      </c>
      <c r="OY231" s="56"/>
      <c r="PB231" s="55">
        <f t="shared" si="1633"/>
        <v>46217</v>
      </c>
      <c r="PC231" s="56"/>
      <c r="PD231" s="242">
        <f>SUMPRODUCT(PRODUCE!$B234:$DY234,PRODUCE!$EB$53:$IY$53)</f>
        <v>0</v>
      </c>
      <c r="PE231" s="56"/>
      <c r="PF231" s="242">
        <f t="shared" si="1634"/>
        <v>0</v>
      </c>
      <c r="PG231" s="242">
        <f t="shared" si="1635"/>
        <v>0</v>
      </c>
      <c r="PH231" s="56"/>
      <c r="PK231" s="55">
        <f t="shared" si="1636"/>
        <v>46217</v>
      </c>
      <c r="PL231" s="56"/>
      <c r="PM231" s="242">
        <f>SUMPRODUCT(PRODUCE!$B234:$DY234,PRODUCE!$EB$54:$IY$54)</f>
        <v>0</v>
      </c>
      <c r="PN231" s="56"/>
      <c r="PO231" s="242">
        <f t="shared" si="1637"/>
        <v>0</v>
      </c>
      <c r="PP231" s="242">
        <f t="shared" si="1638"/>
        <v>100</v>
      </c>
      <c r="PQ231" s="56"/>
      <c r="PT231" s="55">
        <f t="shared" si="1639"/>
        <v>46217</v>
      </c>
      <c r="PU231" s="56"/>
      <c r="PV231" s="242">
        <f>SUMPRODUCT(PRODUCE!$B234:$DY234,PRODUCE!$EB$55:$IY$55)</f>
        <v>0</v>
      </c>
      <c r="PW231" s="56"/>
      <c r="PX231" s="242">
        <f t="shared" si="1640"/>
        <v>0</v>
      </c>
      <c r="PY231" s="242">
        <f t="shared" si="1641"/>
        <v>13.960000000000036</v>
      </c>
      <c r="PZ231" s="56"/>
      <c r="QC231" s="55">
        <f t="shared" si="1642"/>
        <v>46217</v>
      </c>
      <c r="QD231" s="56"/>
      <c r="QE231" s="242">
        <f>SUMPRODUCT(PRODUCE!$B234:$DY234,PRODUCE!$EB$56:$IY$56)</f>
        <v>0</v>
      </c>
      <c r="QF231" s="56"/>
      <c r="QG231" s="242">
        <f t="shared" si="1643"/>
        <v>0</v>
      </c>
      <c r="QH231" s="242">
        <f t="shared" si="1644"/>
        <v>1736</v>
      </c>
      <c r="QI231" s="56"/>
      <c r="QL231" s="55">
        <f t="shared" si="1645"/>
        <v>46217</v>
      </c>
      <c r="QM231" s="56"/>
      <c r="QN231" s="242">
        <f>SUMPRODUCT(PRODUCE!$B234:$DY234,PRODUCE!$EB$57:$IY$57)</f>
        <v>75</v>
      </c>
      <c r="QO231" s="56">
        <v>75</v>
      </c>
      <c r="QP231" s="242">
        <f t="shared" si="1646"/>
        <v>0</v>
      </c>
      <c r="QQ231" s="242">
        <f t="shared" si="1647"/>
        <v>10</v>
      </c>
      <c r="QR231" s="56"/>
      <c r="QU231" s="55">
        <f t="shared" si="1648"/>
        <v>46217</v>
      </c>
      <c r="QV231" s="56"/>
      <c r="QW231" s="242">
        <f>SUMPRODUCT(PRODUCE!$B234:$DY234,PRODUCE!$EB$58:$IY$58)</f>
        <v>0</v>
      </c>
      <c r="QX231" s="56"/>
      <c r="QY231" s="242">
        <f t="shared" si="1649"/>
        <v>0</v>
      </c>
      <c r="QZ231" s="242">
        <f t="shared" si="1650"/>
        <v>207.6</v>
      </c>
      <c r="RA231" s="56"/>
      <c r="RD231" s="55">
        <f t="shared" si="1651"/>
        <v>46217</v>
      </c>
      <c r="RE231" s="56"/>
      <c r="RF231" s="242">
        <f>SUMPRODUCT(PRODUCE!$B234:$DY234,PRODUCE!$EB$59:$IY$59)</f>
        <v>0</v>
      </c>
      <c r="RG231" s="56"/>
      <c r="RH231" s="242">
        <f t="shared" si="1652"/>
        <v>0</v>
      </c>
      <c r="RI231" s="242">
        <f t="shared" si="1653"/>
        <v>147.04000000000002</v>
      </c>
      <c r="RJ231" s="56"/>
      <c r="RM231" s="55">
        <f t="shared" si="1654"/>
        <v>46217</v>
      </c>
      <c r="RN231" s="56"/>
      <c r="RO231" s="242">
        <f>SUMPRODUCT(PRODUCE!$B234:$DY234,PRODUCE!$EB$60:$IY$60)</f>
        <v>0</v>
      </c>
      <c r="RP231" s="56"/>
      <c r="RQ231" s="242">
        <f t="shared" si="1655"/>
        <v>0</v>
      </c>
      <c r="RR231" s="242">
        <f t="shared" si="1656"/>
        <v>46.8</v>
      </c>
      <c r="RS231" s="56"/>
      <c r="RV231" s="55">
        <f t="shared" si="1657"/>
        <v>46217</v>
      </c>
      <c r="RW231" s="56"/>
      <c r="RX231" s="242">
        <f>SUMPRODUCT(PRODUCE!$B234:$DY234,PRODUCE!$EB$61:$IY$61)</f>
        <v>0</v>
      </c>
      <c r="RY231" s="56"/>
      <c r="RZ231" s="242">
        <f t="shared" si="1658"/>
        <v>0</v>
      </c>
      <c r="SA231" s="242">
        <f t="shared" si="1659"/>
        <v>0</v>
      </c>
      <c r="SB231" s="56"/>
      <c r="SE231" s="55">
        <f t="shared" si="1660"/>
        <v>46217</v>
      </c>
      <c r="SF231" s="56"/>
      <c r="SG231" s="242">
        <f>SUMPRODUCT(PRODUCE!$B234:$DY234,PRODUCE!$EB$62:$IY$62)</f>
        <v>0</v>
      </c>
      <c r="SH231" s="56"/>
      <c r="SI231" s="242">
        <f t="shared" si="1661"/>
        <v>0</v>
      </c>
      <c r="SJ231" s="242">
        <f t="shared" si="1662"/>
        <v>24.200000000000003</v>
      </c>
      <c r="SK231" s="56"/>
      <c r="SN231" s="55">
        <f t="shared" si="1663"/>
        <v>46217</v>
      </c>
      <c r="SO231" s="56"/>
      <c r="SP231" s="242">
        <f>SUMPRODUCT(PRODUCE!$B234:$DY234,PRODUCE!$EB$63:$IY$63)</f>
        <v>0</v>
      </c>
      <c r="SQ231" s="56"/>
      <c r="SR231" s="242">
        <f t="shared" si="1664"/>
        <v>0</v>
      </c>
      <c r="SS231" s="242">
        <f t="shared" si="1665"/>
        <v>32</v>
      </c>
      <c r="ST231" s="56"/>
      <c r="SW231" s="55">
        <f t="shared" si="1666"/>
        <v>46217</v>
      </c>
      <c r="SX231" s="56"/>
      <c r="SY231" s="242">
        <f>SUMPRODUCT(PRODUCE!$B234:$DY234,PRODUCE!$EB$64:$IY$64)</f>
        <v>0</v>
      </c>
      <c r="SZ231" s="56"/>
      <c r="TA231" s="242">
        <f t="shared" si="1667"/>
        <v>0</v>
      </c>
      <c r="TB231" s="242">
        <f t="shared" si="1668"/>
        <v>0</v>
      </c>
      <c r="TC231" s="56"/>
      <c r="TF231" s="55">
        <f t="shared" si="1669"/>
        <v>46217</v>
      </c>
      <c r="TG231" s="56"/>
      <c r="TH231" s="242">
        <f>SUMPRODUCT(PRODUCE!$B234:$DY234,PRODUCE!$EB$57:$IY$57)</f>
        <v>75</v>
      </c>
      <c r="TI231" s="56"/>
      <c r="TJ231" s="242">
        <f t="shared" si="1670"/>
        <v>75</v>
      </c>
      <c r="TK231" s="242">
        <f t="shared" si="1671"/>
        <v>0</v>
      </c>
      <c r="TL231" s="56"/>
      <c r="TO231" s="55">
        <f t="shared" si="1672"/>
        <v>46217</v>
      </c>
      <c r="TP231" s="56"/>
      <c r="TQ231" s="242">
        <f>SUMPRODUCT(PRODUCE!$B234:$DY234,PRODUCE!$EB$57:$IY$57)</f>
        <v>75</v>
      </c>
      <c r="TR231" s="56"/>
      <c r="TS231" s="242">
        <f t="shared" si="1673"/>
        <v>75</v>
      </c>
      <c r="TT231" s="242">
        <f t="shared" si="1674"/>
        <v>22.400000000000006</v>
      </c>
      <c r="TU231" s="56"/>
      <c r="TX231" s="55">
        <f t="shared" si="1675"/>
        <v>46217</v>
      </c>
      <c r="TY231" s="56"/>
      <c r="TZ231" s="242">
        <f>SUMPRODUCT(PRODUCE!$B234:$DY234,PRODUCE!$EB$57:$IY$57)</f>
        <v>75</v>
      </c>
      <c r="UA231" s="56"/>
      <c r="UB231" s="242">
        <f t="shared" si="1676"/>
        <v>75</v>
      </c>
      <c r="UC231" s="242">
        <f t="shared" si="1677"/>
        <v>46.799999999999983</v>
      </c>
      <c r="UD231" s="56"/>
      <c r="UG231" s="55">
        <f t="shared" si="1678"/>
        <v>46217</v>
      </c>
      <c r="UH231" s="56"/>
      <c r="UI231" s="242">
        <f>SUMPRODUCT(PRODUCE!$B234:$DY234,PRODUCE!$EB$57:$IY$57)</f>
        <v>75</v>
      </c>
      <c r="UJ231" s="56"/>
      <c r="UK231" s="242">
        <f t="shared" si="1679"/>
        <v>75</v>
      </c>
      <c r="UL231" s="242">
        <f t="shared" si="1680"/>
        <v>204</v>
      </c>
      <c r="UM231" s="56"/>
      <c r="UP231" s="55">
        <f t="shared" si="1681"/>
        <v>46217</v>
      </c>
      <c r="UQ231" s="56"/>
      <c r="UR231" s="242">
        <f>SUMPRODUCT(PRODUCE!$B234:$DY234,PRODUCE!$EB$69:$IY$69)</f>
        <v>0</v>
      </c>
      <c r="US231" s="56"/>
      <c r="UT231" s="242">
        <f t="shared" si="1682"/>
        <v>0</v>
      </c>
      <c r="UU231" s="242">
        <f t="shared" si="1683"/>
        <v>242.5</v>
      </c>
      <c r="UV231" s="56"/>
      <c r="UY231" s="55">
        <f t="shared" si="1684"/>
        <v>46217</v>
      </c>
      <c r="UZ231" s="56"/>
      <c r="VA231" s="242">
        <f>SUMPRODUCT(PRODUCE!$B234:$DY234,PRODUCE!$EB$70:$IY$70)</f>
        <v>0</v>
      </c>
      <c r="VB231" s="56"/>
      <c r="VC231" s="242">
        <f t="shared" si="1685"/>
        <v>0</v>
      </c>
      <c r="VD231" s="242">
        <f t="shared" si="1686"/>
        <v>41.600000000000023</v>
      </c>
      <c r="VE231" s="56"/>
      <c r="VH231" s="55">
        <f t="shared" si="1687"/>
        <v>46217</v>
      </c>
      <c r="VI231" s="56"/>
      <c r="VJ231" s="242">
        <f>SUMPRODUCT(PRODUCE!$B234:$DY234,PRODUCE!$EB$71:$IY$71)</f>
        <v>0</v>
      </c>
      <c r="VK231" s="56"/>
      <c r="VL231" s="242">
        <f t="shared" si="1688"/>
        <v>0</v>
      </c>
      <c r="VM231" s="242">
        <f t="shared" si="1689"/>
        <v>210</v>
      </c>
      <c r="VN231" s="56"/>
      <c r="VQ231" s="55">
        <f t="shared" si="1690"/>
        <v>46217</v>
      </c>
      <c r="VR231" s="56"/>
      <c r="VS231" s="242">
        <f>SUMPRODUCT(PRODUCE!$B234:$DY234,PRODUCE!$EB$57:$IY$57)</f>
        <v>75</v>
      </c>
      <c r="VT231" s="56"/>
      <c r="VU231" s="242">
        <f t="shared" si="1691"/>
        <v>75</v>
      </c>
      <c r="VV231" s="242">
        <f t="shared" si="1692"/>
        <v>0</v>
      </c>
      <c r="VW231" s="56"/>
      <c r="VZ231" s="55">
        <f t="shared" si="1693"/>
        <v>46217</v>
      </c>
      <c r="WA231" s="56"/>
      <c r="WB231" s="242">
        <f>SUMPRODUCT(PRODUCE!$B234:$DY234,PRODUCE!$EB$57:$IY$57)</f>
        <v>75</v>
      </c>
      <c r="WC231" s="56"/>
      <c r="WD231" s="242">
        <f t="shared" si="1694"/>
        <v>75</v>
      </c>
      <c r="WE231" s="242">
        <f t="shared" si="1695"/>
        <v>0</v>
      </c>
      <c r="WF231" s="56"/>
      <c r="WI231" s="55">
        <f t="shared" si="1696"/>
        <v>46217</v>
      </c>
      <c r="WJ231" s="56"/>
      <c r="WK231" s="242">
        <f>SUMPRODUCT(PRODUCE!$B234:$DY234,PRODUCE!$EB$57:$IY$57)</f>
        <v>75</v>
      </c>
      <c r="WL231" s="56"/>
      <c r="WM231" s="242">
        <f t="shared" si="1697"/>
        <v>75</v>
      </c>
      <c r="WN231" s="242">
        <f t="shared" si="1698"/>
        <v>1057</v>
      </c>
      <c r="WO231" s="56"/>
      <c r="WR231" s="55">
        <f t="shared" si="1699"/>
        <v>46217</v>
      </c>
      <c r="WS231" s="56"/>
      <c r="WT231" s="242">
        <f>SUMPRODUCT(PRODUCE!$B234:$DY234,PRODUCE!$EB$57:$IY$57)</f>
        <v>75</v>
      </c>
      <c r="WU231" s="56"/>
      <c r="WV231" s="242">
        <f t="shared" si="1700"/>
        <v>75</v>
      </c>
      <c r="WW231" s="242">
        <f t="shared" si="1701"/>
        <v>0</v>
      </c>
      <c r="WX231" s="56"/>
      <c r="XA231" s="55">
        <f t="shared" si="1702"/>
        <v>46217</v>
      </c>
      <c r="XB231" s="56"/>
      <c r="XC231" s="242">
        <f>SUMPRODUCT(PRODUCE!$B234:$DY234,PRODUCE!$EB$57:$IY$57)</f>
        <v>75</v>
      </c>
      <c r="XD231" s="56"/>
      <c r="XE231" s="242">
        <f t="shared" si="1703"/>
        <v>75</v>
      </c>
      <c r="XF231" s="242">
        <f t="shared" si="1704"/>
        <v>7507</v>
      </c>
      <c r="XG231" s="56"/>
      <c r="XJ231" s="55">
        <f t="shared" si="1705"/>
        <v>46217</v>
      </c>
      <c r="XK231" s="56"/>
      <c r="XL231" s="242">
        <f>SUMPRODUCT(PRODUCE!$B234:$DY234,PRODUCE!$EB$57:$IY$57)</f>
        <v>75</v>
      </c>
      <c r="XM231" s="56"/>
      <c r="XN231" s="242">
        <f t="shared" si="1706"/>
        <v>75</v>
      </c>
      <c r="XO231" s="242">
        <f t="shared" si="1707"/>
        <v>4252</v>
      </c>
      <c r="XP231" s="56"/>
      <c r="XS231" s="55">
        <f t="shared" si="1708"/>
        <v>46217</v>
      </c>
      <c r="XT231" s="56"/>
      <c r="XU231" s="242">
        <f>SUMPRODUCT(PRODUCE!$B234:$DY234,PRODUCE!$EB$57:$IY$57)</f>
        <v>75</v>
      </c>
      <c r="XV231" s="56"/>
      <c r="XW231" s="242">
        <f t="shared" si="1709"/>
        <v>75</v>
      </c>
      <c r="XX231" s="242">
        <f t="shared" si="1710"/>
        <v>2179</v>
      </c>
      <c r="XY231" s="56"/>
      <c r="YB231" s="55">
        <f t="shared" si="1711"/>
        <v>46217</v>
      </c>
      <c r="YC231" s="56"/>
      <c r="YD231" s="242">
        <f>SUMPRODUCT(PRODUCE!$B234:$DY234,PRODUCE!$EB$57:$IY$57)</f>
        <v>75</v>
      </c>
      <c r="YE231" s="56"/>
      <c r="YF231" s="242">
        <f t="shared" si="1712"/>
        <v>75</v>
      </c>
      <c r="YG231" s="242">
        <f t="shared" si="1713"/>
        <v>4019</v>
      </c>
      <c r="YH231" s="56"/>
      <c r="YK231" s="55">
        <f t="shared" si="1714"/>
        <v>46217</v>
      </c>
      <c r="YL231" s="56"/>
      <c r="YM231" s="242">
        <f>SUMPRODUCT(PRODUCE!$B234:$DY234,PRODUCE!$EB$57:$IY$57)</f>
        <v>75</v>
      </c>
      <c r="YN231" s="56"/>
      <c r="YO231" s="242">
        <f t="shared" si="1715"/>
        <v>75</v>
      </c>
      <c r="YP231" s="242">
        <f t="shared" si="1716"/>
        <v>0</v>
      </c>
      <c r="YQ231" s="56"/>
      <c r="YT231" s="55">
        <f t="shared" si="1717"/>
        <v>46217</v>
      </c>
      <c r="YU231" s="56"/>
      <c r="YV231" s="242">
        <f>SUMPRODUCT(PRODUCE!$B234:$DY234,PRODUCE!$EB$57:$IY$57)</f>
        <v>75</v>
      </c>
      <c r="YW231" s="56"/>
      <c r="YX231" s="242">
        <f t="shared" si="1718"/>
        <v>75</v>
      </c>
      <c r="YY231" s="242">
        <f t="shared" si="1719"/>
        <v>0</v>
      </c>
      <c r="YZ231" s="56"/>
      <c r="ZC231" s="55">
        <f t="shared" si="1720"/>
        <v>46217</v>
      </c>
      <c r="ZD231" s="56"/>
      <c r="ZE231" s="242">
        <f>SUMPRODUCT(PRODUCE!$B234:$DY234,PRODUCE!$EB$57:$IY$57)</f>
        <v>75</v>
      </c>
      <c r="ZF231" s="56"/>
      <c r="ZG231" s="242">
        <f t="shared" si="1721"/>
        <v>75</v>
      </c>
      <c r="ZH231" s="242">
        <f t="shared" si="1722"/>
        <v>0</v>
      </c>
      <c r="ZI231" s="56"/>
      <c r="ZL231" s="55">
        <f t="shared" si="1723"/>
        <v>46217</v>
      </c>
      <c r="ZM231" s="56"/>
      <c r="ZN231" s="242">
        <f>SUMPRODUCT(PRODUCE!$B234:$DY234,PRODUCE!$EB$57:$IY$57)</f>
        <v>75</v>
      </c>
      <c r="ZO231" s="56"/>
      <c r="ZP231" s="242">
        <f t="shared" si="1724"/>
        <v>75</v>
      </c>
      <c r="ZQ231" s="242">
        <f t="shared" si="1725"/>
        <v>0</v>
      </c>
      <c r="ZR231" s="56"/>
      <c r="ZU231" s="55">
        <f t="shared" si="1726"/>
        <v>46217</v>
      </c>
      <c r="ZV231" s="56"/>
      <c r="ZW231" s="242">
        <f>SUMPRODUCT(PRODUCE!$B234:$DY234,PRODUCE!$EB$57:$IY$57)</f>
        <v>75</v>
      </c>
      <c r="ZX231" s="56"/>
      <c r="ZY231" s="242">
        <f t="shared" si="1727"/>
        <v>75</v>
      </c>
      <c r="ZZ231" s="242">
        <f t="shared" si="1728"/>
        <v>0</v>
      </c>
      <c r="AAA231" s="56"/>
      <c r="AAD231" s="55">
        <f t="shared" si="1729"/>
        <v>46217</v>
      </c>
      <c r="AAE231" s="56"/>
      <c r="AAF231" s="242">
        <f>SUMPRODUCT(PRODUCE!$B234:$DY234,PRODUCE!$EB$57:$IY$57)</f>
        <v>75</v>
      </c>
      <c r="AAG231" s="56"/>
      <c r="AAH231" s="242">
        <f t="shared" si="1730"/>
        <v>75</v>
      </c>
      <c r="AAI231" s="242">
        <f t="shared" si="1731"/>
        <v>0</v>
      </c>
      <c r="AAJ231" s="56"/>
      <c r="AAM231" s="55">
        <f t="shared" si="1732"/>
        <v>46217</v>
      </c>
      <c r="AAN231" s="56"/>
      <c r="AAO231" s="242">
        <f>SUMPRODUCT(PRODUCE!$B234:$DY234,PRODUCE!$EB$57:$IY$57)</f>
        <v>75</v>
      </c>
      <c r="AAP231" s="56"/>
      <c r="AAQ231" s="242">
        <f t="shared" si="1733"/>
        <v>75</v>
      </c>
      <c r="AAR231" s="242">
        <f t="shared" si="1734"/>
        <v>0</v>
      </c>
      <c r="AAS231" s="56"/>
      <c r="AAV231" s="55">
        <f t="shared" si="1735"/>
        <v>46217</v>
      </c>
      <c r="AAW231" s="56"/>
      <c r="AAX231" s="242">
        <f>SUMPRODUCT(PRODUCE!$B234:$DY234,PRODUCE!$EB$57:$IY$57)</f>
        <v>75</v>
      </c>
      <c r="AAY231" s="56"/>
      <c r="AAZ231" s="242">
        <f t="shared" si="1736"/>
        <v>75</v>
      </c>
      <c r="ABA231" s="242">
        <f t="shared" si="1737"/>
        <v>0</v>
      </c>
      <c r="ABB231" s="56"/>
      <c r="ABE231" s="55">
        <f t="shared" si="1738"/>
        <v>46217</v>
      </c>
      <c r="ABF231" s="56"/>
      <c r="ABG231" s="242">
        <f>SUMPRODUCT(PRODUCE!$B234:$DY234,PRODUCE!$EB$57:$IY$57)</f>
        <v>75</v>
      </c>
      <c r="ABH231" s="56"/>
      <c r="ABI231" s="242">
        <f t="shared" si="1739"/>
        <v>75</v>
      </c>
      <c r="ABJ231" s="242">
        <f t="shared" si="1740"/>
        <v>0</v>
      </c>
      <c r="ABK231" s="56"/>
    </row>
    <row r="232" spans="2:739" s="54" customFormat="1" ht="15" customHeight="1" outlineLevel="1">
      <c r="B232" s="478"/>
      <c r="C232" s="55">
        <v>46218</v>
      </c>
      <c r="D232" s="422">
        <v>35700</v>
      </c>
      <c r="E232" s="423">
        <f>SUMPRODUCT(PRODUCE!$B235:$DY235,PRODUCE!$EB$7:$IY$7)</f>
        <v>24825.5</v>
      </c>
      <c r="F232" s="422">
        <v>24884.400000000001</v>
      </c>
      <c r="G232" s="423">
        <f t="shared" si="1496"/>
        <v>-58.900000000001455</v>
      </c>
      <c r="H232" s="423">
        <f t="shared" si="1497"/>
        <v>44335.600000000042</v>
      </c>
      <c r="L232" s="55">
        <f t="shared" si="1498"/>
        <v>46218</v>
      </c>
      <c r="M232" s="422">
        <v>12500</v>
      </c>
      <c r="N232" s="438">
        <f>SUMPRODUCT(PRODUCE!$B235:$DY235,PRODUCE!$EB$8:$IY$8)</f>
        <v>13916.42</v>
      </c>
      <c r="O232" s="422">
        <v>13908</v>
      </c>
      <c r="P232" s="438">
        <f t="shared" si="1499"/>
        <v>8.4200000000000728</v>
      </c>
      <c r="Q232" s="438">
        <f t="shared" si="1500"/>
        <v>-3722.9999999999309</v>
      </c>
      <c r="R232" s="56"/>
      <c r="U232" s="55">
        <f t="shared" si="1501"/>
        <v>46218</v>
      </c>
      <c r="V232" s="422"/>
      <c r="W232" s="440">
        <f>SUMPRODUCT(PRODUCE!$B235:$DY235,PRODUCE!$EB$9:$IY$9)</f>
        <v>2700</v>
      </c>
      <c r="X232" s="422">
        <v>2695.9</v>
      </c>
      <c r="Y232" s="440">
        <f t="shared" si="1502"/>
        <v>4.0999999999999091</v>
      </c>
      <c r="Z232" s="440">
        <f t="shared" si="1503"/>
        <v>20300.199999999968</v>
      </c>
      <c r="AA232" s="56"/>
      <c r="AD232" s="55">
        <f t="shared" si="1504"/>
        <v>46218</v>
      </c>
      <c r="AE232" s="422"/>
      <c r="AF232" s="442">
        <f>SUMPRODUCT(PRODUCE!$B235:$DY235,PRODUCE!$EB$10:$IY$10)</f>
        <v>0</v>
      </c>
      <c r="AG232" s="422"/>
      <c r="AH232" s="442">
        <f t="shared" si="1505"/>
        <v>0</v>
      </c>
      <c r="AI232" s="442">
        <f t="shared" si="1506"/>
        <v>31872.200000000019</v>
      </c>
      <c r="AJ232" s="56"/>
      <c r="AM232" s="55">
        <f t="shared" si="1507"/>
        <v>46218</v>
      </c>
      <c r="AN232" s="422"/>
      <c r="AO232" s="444">
        <f>SUMPRODUCT(PRODUCE!$B235:$DY235,PRODUCE!$EB$11:$IY$11)</f>
        <v>0</v>
      </c>
      <c r="AP232" s="422"/>
      <c r="AQ232" s="444">
        <f t="shared" si="1508"/>
        <v>0</v>
      </c>
      <c r="AR232" s="444">
        <f t="shared" si="1509"/>
        <v>0</v>
      </c>
      <c r="AS232" s="56"/>
      <c r="AV232" s="55">
        <f t="shared" si="1510"/>
        <v>46218</v>
      </c>
      <c r="AW232" s="422"/>
      <c r="AX232" s="446">
        <f>SUMPRODUCT(PRODUCE!$B235:$DY235,PRODUCE!$EB$12:$IY$12)</f>
        <v>0</v>
      </c>
      <c r="AY232" s="422">
        <v>12000</v>
      </c>
      <c r="AZ232" s="446">
        <f t="shared" si="1511"/>
        <v>-12000</v>
      </c>
      <c r="BA232" s="446">
        <f t="shared" si="1512"/>
        <v>1046.1999999999953</v>
      </c>
      <c r="BB232" s="56"/>
      <c r="BE232" s="55">
        <f t="shared" si="1513"/>
        <v>46218</v>
      </c>
      <c r="BF232" s="422"/>
      <c r="BG232" s="448">
        <f>SUMPRODUCT(PRODUCE!$B235:$DY235,PRODUCE!$EB$13:$IY$13)</f>
        <v>0</v>
      </c>
      <c r="BH232" s="422"/>
      <c r="BI232" s="448">
        <f t="shared" si="1514"/>
        <v>0</v>
      </c>
      <c r="BJ232" s="448">
        <f t="shared" si="1515"/>
        <v>30896.699999999993</v>
      </c>
      <c r="BK232" s="56"/>
      <c r="BN232" s="55">
        <f t="shared" si="1516"/>
        <v>46218</v>
      </c>
      <c r="BO232" s="422">
        <v>200</v>
      </c>
      <c r="BP232" s="450">
        <f>SUMPRODUCT(PRODUCE!$B235:$DY235,PRODUCE!$EB$14:$IY$14)</f>
        <v>200</v>
      </c>
      <c r="BQ232" s="422">
        <v>200</v>
      </c>
      <c r="BR232" s="450">
        <f t="shared" si="1517"/>
        <v>0</v>
      </c>
      <c r="BS232" s="450">
        <f t="shared" si="1518"/>
        <v>0</v>
      </c>
      <c r="BT232" s="56"/>
      <c r="BW232" s="55">
        <f t="shared" si="1519"/>
        <v>46218</v>
      </c>
      <c r="BX232" s="422"/>
      <c r="BY232" s="523">
        <f>SUMPRODUCT(PRODUCE!$B235:$DY235,PRODUCE!$EB$15:$IY$15)</f>
        <v>364.85</v>
      </c>
      <c r="BZ232" s="422"/>
      <c r="CA232" s="523">
        <f t="shared" si="1520"/>
        <v>364.85</v>
      </c>
      <c r="CB232" s="523">
        <f t="shared" si="1521"/>
        <v>7063.9699999999984</v>
      </c>
      <c r="CC232" s="56"/>
      <c r="CF232" s="55">
        <f t="shared" si="1522"/>
        <v>46218</v>
      </c>
      <c r="CG232" s="422"/>
      <c r="CH232" s="524">
        <f>SUMPRODUCT(PRODUCE!$B235:$DY235,PRODUCE!$EB$16:$IY$16)</f>
        <v>0</v>
      </c>
      <c r="CI232" s="422"/>
      <c r="CJ232" s="524">
        <f t="shared" si="1523"/>
        <v>0</v>
      </c>
      <c r="CK232" s="524">
        <f t="shared" si="1524"/>
        <v>-6361.1899999999987</v>
      </c>
      <c r="CL232" s="56"/>
      <c r="CO232" s="55">
        <f t="shared" si="1525"/>
        <v>46218</v>
      </c>
      <c r="CP232" s="422"/>
      <c r="CQ232" s="470">
        <f>SUMPRODUCT(PRODUCE!$B235:$DY235,PRODUCE!$EB$17:$IY$17)</f>
        <v>0</v>
      </c>
      <c r="CR232" s="422"/>
      <c r="CS232" s="470">
        <f t="shared" si="1526"/>
        <v>0</v>
      </c>
      <c r="CT232" s="470">
        <f t="shared" si="1527"/>
        <v>0</v>
      </c>
      <c r="CU232" s="56"/>
      <c r="CX232" s="55">
        <f t="shared" si="1528"/>
        <v>46218</v>
      </c>
      <c r="CY232" s="422">
        <v>918</v>
      </c>
      <c r="CZ232" s="525">
        <f>SUMPRODUCT(PRODUCE!$B235:$DY235,PRODUCE!$EB$18:$IY$18)</f>
        <v>920</v>
      </c>
      <c r="DA232" s="422">
        <v>918</v>
      </c>
      <c r="DB232" s="525">
        <f t="shared" si="1529"/>
        <v>2</v>
      </c>
      <c r="DC232" s="525">
        <f t="shared" si="1530"/>
        <v>711.60000000000719</v>
      </c>
      <c r="DD232" s="56"/>
      <c r="DG232" s="55">
        <f t="shared" si="1531"/>
        <v>46218</v>
      </c>
      <c r="DH232" s="422"/>
      <c r="DI232" s="526">
        <f>SUMPRODUCT(PRODUCE!$B235:$DY235,PRODUCE!$EB$19:$IY$19)</f>
        <v>0</v>
      </c>
      <c r="DJ232" s="422"/>
      <c r="DK232" s="526">
        <f t="shared" si="1532"/>
        <v>0</v>
      </c>
      <c r="DL232" s="526">
        <f t="shared" si="1533"/>
        <v>33834.199999999983</v>
      </c>
      <c r="DM232" s="56"/>
      <c r="DP232" s="55">
        <f t="shared" si="1534"/>
        <v>46218</v>
      </c>
      <c r="DQ232" s="56"/>
      <c r="DR232" s="57">
        <f>SUMPRODUCT(PRODUCE!$B235:$DY235,PRODUCE!$EB$20:$IY$20)</f>
        <v>0</v>
      </c>
      <c r="DS232" s="56"/>
      <c r="DT232" s="57">
        <f t="shared" si="1535"/>
        <v>0</v>
      </c>
      <c r="DU232" s="57">
        <f t="shared" si="1536"/>
        <v>5800</v>
      </c>
      <c r="DV232" s="56"/>
      <c r="DY232" s="55">
        <f t="shared" si="1537"/>
        <v>46218</v>
      </c>
      <c r="DZ232" s="56"/>
      <c r="EA232" s="157">
        <f>SUMPRODUCT(PRODUCE!$B235:$DY235,PRODUCE!$EB$21:$IY$21)</f>
        <v>0</v>
      </c>
      <c r="EB232" s="56"/>
      <c r="EC232" s="157">
        <f t="shared" si="1538"/>
        <v>0</v>
      </c>
      <c r="ED232" s="157">
        <f t="shared" si="1539"/>
        <v>0</v>
      </c>
      <c r="EE232" s="56"/>
      <c r="EH232" s="55">
        <f t="shared" si="1540"/>
        <v>46218</v>
      </c>
      <c r="EI232" s="56"/>
      <c r="EJ232" s="162">
        <f>SUMPRODUCT(PRODUCE!$B235:$DY235,PRODUCE!$EB$22:$IY$22)</f>
        <v>0</v>
      </c>
      <c r="EK232" s="56"/>
      <c r="EL232" s="162">
        <f t="shared" si="1541"/>
        <v>0</v>
      </c>
      <c r="EM232" s="162">
        <f t="shared" si="1542"/>
        <v>0</v>
      </c>
      <c r="EN232" s="56"/>
      <c r="EQ232" s="55">
        <f t="shared" si="1543"/>
        <v>46218</v>
      </c>
      <c r="ER232" s="56"/>
      <c r="ES232" s="172">
        <f>SUMPRODUCT(PRODUCE!$B235:$DY235,PRODUCE!$EB$23:$IY$23)</f>
        <v>0</v>
      </c>
      <c r="ET232" s="56"/>
      <c r="EU232" s="135">
        <f t="shared" si="1544"/>
        <v>0</v>
      </c>
      <c r="EV232" s="135">
        <f t="shared" si="1545"/>
        <v>0</v>
      </c>
      <c r="EW232" s="56"/>
      <c r="EZ232" s="55">
        <f t="shared" si="1546"/>
        <v>46218</v>
      </c>
      <c r="FA232" s="56"/>
      <c r="FB232" s="175">
        <f>SUMPRODUCT(PRODUCE!$B235:$DY235,PRODUCE!$EB$24:$IY$24)</f>
        <v>0</v>
      </c>
      <c r="FC232" s="56"/>
      <c r="FD232" s="175">
        <f t="shared" si="1547"/>
        <v>0</v>
      </c>
      <c r="FE232" s="175">
        <f t="shared" si="1548"/>
        <v>0</v>
      </c>
      <c r="FF232" s="56"/>
      <c r="FI232" s="55">
        <f t="shared" si="1549"/>
        <v>46218</v>
      </c>
      <c r="FJ232" s="56"/>
      <c r="FK232" s="183">
        <f>SUMPRODUCT(PRODUCE!$B235:$DY235,PRODUCE!$EB$25:$IY$25)</f>
        <v>0</v>
      </c>
      <c r="FL232" s="56"/>
      <c r="FM232" s="183">
        <f t="shared" si="1550"/>
        <v>0</v>
      </c>
      <c r="FN232" s="183">
        <f t="shared" si="1551"/>
        <v>0</v>
      </c>
      <c r="FO232" s="56"/>
      <c r="FR232" s="55">
        <f t="shared" si="1552"/>
        <v>46218</v>
      </c>
      <c r="FS232" s="56"/>
      <c r="FT232" s="186">
        <f>SUMPRODUCT(PRODUCE!$B235:$DY235,PRODUCE!$EB$26:$IY$26)</f>
        <v>0</v>
      </c>
      <c r="FU232" s="56"/>
      <c r="FV232" s="186">
        <f t="shared" si="1553"/>
        <v>0</v>
      </c>
      <c r="FW232" s="186">
        <f t="shared" si="1554"/>
        <v>1160</v>
      </c>
      <c r="FX232" s="56"/>
      <c r="GA232" s="55">
        <f t="shared" si="1555"/>
        <v>46218</v>
      </c>
      <c r="GB232" s="56"/>
      <c r="GC232" s="137">
        <f>SUMPRODUCT(PRODUCE!$B235:$DY235,PRODUCE!$EB$27:$IY$27)</f>
        <v>0</v>
      </c>
      <c r="GD232" s="56"/>
      <c r="GE232" s="137">
        <f t="shared" si="1556"/>
        <v>0</v>
      </c>
      <c r="GF232" s="137">
        <f t="shared" si="1557"/>
        <v>960</v>
      </c>
      <c r="GG232" s="56"/>
      <c r="GI232" s="23"/>
      <c r="GJ232" s="55">
        <f t="shared" si="1558"/>
        <v>46218</v>
      </c>
      <c r="GK232" s="56"/>
      <c r="GL232" s="199">
        <f>SUMPRODUCT(PRODUCE!$B235:$DY235,PRODUCE!$EB$28:$IY$28)</f>
        <v>0</v>
      </c>
      <c r="GM232" s="56"/>
      <c r="GN232" s="199">
        <f t="shared" si="1559"/>
        <v>0</v>
      </c>
      <c r="GO232" s="199">
        <f t="shared" si="1560"/>
        <v>1760</v>
      </c>
      <c r="GP232" s="56"/>
      <c r="GS232" s="55">
        <f t="shared" si="1561"/>
        <v>46218</v>
      </c>
      <c r="GT232" s="56"/>
      <c r="GU232" s="195">
        <f>SUMPRODUCT(PRODUCE!$B235:$DY235,PRODUCE!$EB$29:$IY$29)</f>
        <v>0</v>
      </c>
      <c r="GV232" s="56"/>
      <c r="GW232" s="195">
        <f t="shared" si="1562"/>
        <v>0</v>
      </c>
      <c r="GX232" s="195">
        <f t="shared" si="1563"/>
        <v>400</v>
      </c>
      <c r="GY232" s="56"/>
      <c r="HB232" s="55">
        <f t="shared" si="1564"/>
        <v>46218</v>
      </c>
      <c r="HC232" s="56"/>
      <c r="HD232" s="191">
        <f>SUMPRODUCT(PRODUCE!$B235:$DY235,PRODUCE!$EB$30:$IY$30)</f>
        <v>0</v>
      </c>
      <c r="HE232" s="56"/>
      <c r="HF232" s="191">
        <f t="shared" si="1565"/>
        <v>0</v>
      </c>
      <c r="HG232" s="191">
        <f t="shared" si="1566"/>
        <v>3600</v>
      </c>
      <c r="HH232" s="56"/>
      <c r="HK232" s="55">
        <f t="shared" si="1567"/>
        <v>46218</v>
      </c>
      <c r="HL232" s="56"/>
      <c r="HM232" s="63">
        <f>SUMPRODUCT(PRODUCE!$B235:$DY235,PRODUCE!$EB$31:$IY$31)</f>
        <v>0</v>
      </c>
      <c r="HN232" s="56"/>
      <c r="HO232" s="63">
        <f t="shared" si="1568"/>
        <v>0</v>
      </c>
      <c r="HP232" s="63">
        <f t="shared" si="1569"/>
        <v>0</v>
      </c>
      <c r="HQ232" s="56"/>
      <c r="HU232" s="55">
        <f t="shared" si="1570"/>
        <v>46218</v>
      </c>
      <c r="HV232" s="56"/>
      <c r="HW232" s="242">
        <f>SUMPRODUCT(PRODUCE!$B235:$DY235,PRODUCE!$EB$32:$IY$32)</f>
        <v>0</v>
      </c>
      <c r="HX232" s="56"/>
      <c r="HY232" s="242">
        <f t="shared" si="1571"/>
        <v>0</v>
      </c>
      <c r="HZ232" s="242">
        <f t="shared" si="1572"/>
        <v>6240</v>
      </c>
      <c r="IA232" s="56"/>
      <c r="ID232" s="55">
        <f t="shared" si="1573"/>
        <v>46218</v>
      </c>
      <c r="IE232" s="56"/>
      <c r="IF232" s="242">
        <f>SUMPRODUCT(PRODUCE!$B235:$DY235,PRODUCE!$EB$33:$IY$33)</f>
        <v>0</v>
      </c>
      <c r="IG232" s="56"/>
      <c r="IH232" s="242">
        <f t="shared" si="1574"/>
        <v>0</v>
      </c>
      <c r="II232" s="242">
        <f t="shared" si="1575"/>
        <v>720</v>
      </c>
      <c r="IJ232" s="56"/>
      <c r="IM232" s="55">
        <f t="shared" si="1576"/>
        <v>46218</v>
      </c>
      <c r="IN232" s="56"/>
      <c r="IO232" s="242">
        <f>SUMPRODUCT(PRODUCE!$B235:$DY235,PRODUCE!$EB$34:$IY$34)</f>
        <v>0</v>
      </c>
      <c r="IP232" s="56"/>
      <c r="IQ232" s="242">
        <f t="shared" si="1577"/>
        <v>0</v>
      </c>
      <c r="IR232" s="242">
        <f t="shared" si="1578"/>
        <v>4600</v>
      </c>
      <c r="IS232" s="56"/>
      <c r="IV232" s="55">
        <f t="shared" si="1579"/>
        <v>46218</v>
      </c>
      <c r="IW232" s="56"/>
      <c r="IX232" s="242">
        <f>SUMPRODUCT(PRODUCE!$B235:$DY235,PRODUCE!$EB$35:$IY$35)</f>
        <v>0</v>
      </c>
      <c r="IY232" s="56"/>
      <c r="IZ232" s="242">
        <f t="shared" si="1580"/>
        <v>0</v>
      </c>
      <c r="JA232" s="242">
        <f t="shared" si="1581"/>
        <v>4960</v>
      </c>
      <c r="JB232" s="56"/>
      <c r="JE232" s="55">
        <f t="shared" si="1582"/>
        <v>46218</v>
      </c>
      <c r="JF232" s="56"/>
      <c r="JG232" s="242">
        <f>SUMPRODUCT(PRODUCE!$B235:$DY235,PRODUCE!$EB$36:$IY$36)</f>
        <v>0</v>
      </c>
      <c r="JH232" s="56"/>
      <c r="JI232" s="242">
        <f t="shared" si="1583"/>
        <v>0</v>
      </c>
      <c r="JJ232" s="242">
        <f t="shared" si="1584"/>
        <v>0</v>
      </c>
      <c r="JK232" s="56"/>
      <c r="JN232" s="55">
        <f t="shared" si="1585"/>
        <v>46218</v>
      </c>
      <c r="JO232" s="56"/>
      <c r="JP232" s="242">
        <f>SUMPRODUCT(PRODUCE!$B235:$DY235,PRODUCE!$EB$37:$IY$37)</f>
        <v>0</v>
      </c>
      <c r="JQ232" s="56"/>
      <c r="JR232" s="242">
        <f t="shared" si="1586"/>
        <v>0</v>
      </c>
      <c r="JS232" s="242">
        <f t="shared" si="1587"/>
        <v>0</v>
      </c>
      <c r="JT232" s="56"/>
      <c r="JW232" s="55">
        <f t="shared" si="1588"/>
        <v>46218</v>
      </c>
      <c r="JX232" s="56"/>
      <c r="JY232" s="242">
        <f>SUMPRODUCT(PRODUCE!$B235:$DY235,PRODUCE!$EB$38:$IY$38)</f>
        <v>0</v>
      </c>
      <c r="JZ232" s="56"/>
      <c r="KA232" s="242">
        <f t="shared" si="1589"/>
        <v>0</v>
      </c>
      <c r="KB232" s="242">
        <f t="shared" si="1590"/>
        <v>2540</v>
      </c>
      <c r="KC232" s="56"/>
      <c r="KF232" s="55">
        <f t="shared" si="1591"/>
        <v>46218</v>
      </c>
      <c r="KG232" s="56"/>
      <c r="KH232" s="242">
        <f>SUMPRODUCT(PRODUCE!$B235:$DY235,PRODUCE!$EB$39:$IY$39)</f>
        <v>0</v>
      </c>
      <c r="KI232" s="56"/>
      <c r="KJ232" s="242">
        <f t="shared" si="1592"/>
        <v>0</v>
      </c>
      <c r="KK232" s="242">
        <f t="shared" si="1593"/>
        <v>2359.5</v>
      </c>
      <c r="KL232" s="56"/>
      <c r="KO232" s="55">
        <f t="shared" si="1594"/>
        <v>46218</v>
      </c>
      <c r="KP232" s="56"/>
      <c r="KQ232" s="242">
        <f>SUMPRODUCT(PRODUCE!$B235:$DY235,PRODUCE!$EB$40:$IY$40)</f>
        <v>0</v>
      </c>
      <c r="KR232" s="56"/>
      <c r="KS232" s="242">
        <f t="shared" si="1595"/>
        <v>0</v>
      </c>
      <c r="KT232" s="242">
        <f t="shared" si="1596"/>
        <v>1890</v>
      </c>
      <c r="KU232" s="56"/>
      <c r="KW232" s="23"/>
      <c r="KX232" s="55">
        <f t="shared" si="1597"/>
        <v>46218</v>
      </c>
      <c r="KY232" s="56"/>
      <c r="KZ232" s="242">
        <f>SUMPRODUCT(PRODUCE!$B235:$DY235,PRODUCE!$EB$41:$IY$41)</f>
        <v>0</v>
      </c>
      <c r="LA232" s="56"/>
      <c r="LB232" s="242">
        <f t="shared" si="1598"/>
        <v>0</v>
      </c>
      <c r="LC232" s="242">
        <f t="shared" si="1599"/>
        <v>3690</v>
      </c>
      <c r="LD232" s="56"/>
      <c r="LG232" s="55">
        <f t="shared" si="1600"/>
        <v>46218</v>
      </c>
      <c r="LH232" s="56"/>
      <c r="LI232" s="242">
        <f>SUMPRODUCT(PRODUCE!$B235:$DY235,PRODUCE!$EB$42:$IY$42)</f>
        <v>0</v>
      </c>
      <c r="LJ232" s="56"/>
      <c r="LK232" s="242">
        <f t="shared" si="1601"/>
        <v>0</v>
      </c>
      <c r="LL232" s="242">
        <f t="shared" si="1602"/>
        <v>4000</v>
      </c>
      <c r="LM232" s="56"/>
      <c r="LP232" s="55">
        <f t="shared" si="1603"/>
        <v>46218</v>
      </c>
      <c r="LQ232" s="56"/>
      <c r="LR232" s="242">
        <f>SUMPRODUCT(PRODUCE!$B235:$DY235,PRODUCE!$EB$43:$IY$43)</f>
        <v>0</v>
      </c>
      <c r="LS232" s="56"/>
      <c r="LT232" s="242">
        <f t="shared" si="1604"/>
        <v>0</v>
      </c>
      <c r="LU232" s="242">
        <f t="shared" si="1605"/>
        <v>0</v>
      </c>
      <c r="LV232" s="56"/>
      <c r="LY232" s="55">
        <f t="shared" si="1606"/>
        <v>46218</v>
      </c>
      <c r="LZ232" s="56"/>
      <c r="MA232" s="242">
        <f>SUMPRODUCT(PRODUCE!$B235:$DY235,PRODUCE!$EB$44:$IY$44)</f>
        <v>0</v>
      </c>
      <c r="MB232" s="56"/>
      <c r="MC232" s="242">
        <f t="shared" si="1607"/>
        <v>0</v>
      </c>
      <c r="MD232" s="242">
        <f t="shared" si="1608"/>
        <v>0</v>
      </c>
      <c r="ME232" s="56"/>
      <c r="MH232" s="55">
        <f t="shared" si="1609"/>
        <v>46218</v>
      </c>
      <c r="MI232" s="56"/>
      <c r="MJ232" s="242">
        <f>SUMPRODUCT(PRODUCE!$B235:$DY235,PRODUCE!$EB$45:$IY$45)</f>
        <v>0</v>
      </c>
      <c r="MK232" s="56"/>
      <c r="ML232" s="242">
        <f t="shared" si="1610"/>
        <v>0</v>
      </c>
      <c r="MM232" s="242">
        <f t="shared" si="1611"/>
        <v>0</v>
      </c>
      <c r="MN232" s="56"/>
      <c r="MQ232" s="55">
        <f t="shared" si="1612"/>
        <v>46218</v>
      </c>
      <c r="MR232" s="56"/>
      <c r="MS232" s="242">
        <f>SUMPRODUCT(PRODUCE!$B235:$DY235,PRODUCE!$EB$46:$IY$46)</f>
        <v>0</v>
      </c>
      <c r="MT232" s="56"/>
      <c r="MU232" s="242">
        <f t="shared" si="1613"/>
        <v>0</v>
      </c>
      <c r="MV232" s="242">
        <f t="shared" si="1614"/>
        <v>2732</v>
      </c>
      <c r="MW232" s="56"/>
      <c r="MZ232" s="55">
        <f t="shared" si="1615"/>
        <v>46218</v>
      </c>
      <c r="NA232" s="56"/>
      <c r="NB232" s="242">
        <f>SUMPRODUCT(PRODUCE!$B235:$DY235,PRODUCE!$EB$47:$IY$47)</f>
        <v>0</v>
      </c>
      <c r="NC232" s="56"/>
      <c r="ND232" s="242">
        <f t="shared" si="1616"/>
        <v>0</v>
      </c>
      <c r="NE232" s="242">
        <f t="shared" si="1617"/>
        <v>0</v>
      </c>
      <c r="NF232" s="56"/>
      <c r="NI232" s="55">
        <f t="shared" si="1618"/>
        <v>46218</v>
      </c>
      <c r="NJ232" s="56"/>
      <c r="NK232" s="242">
        <f>SUMPRODUCT(PRODUCE!$B235:$DY235,PRODUCE!$EB$48:$IY$48)</f>
        <v>0</v>
      </c>
      <c r="NL232" s="56"/>
      <c r="NM232" s="242">
        <f t="shared" si="1619"/>
        <v>0</v>
      </c>
      <c r="NN232" s="242">
        <f t="shared" si="1620"/>
        <v>1127</v>
      </c>
      <c r="NO232" s="56"/>
      <c r="NR232" s="55">
        <f t="shared" si="1621"/>
        <v>46218</v>
      </c>
      <c r="NS232" s="56"/>
      <c r="NT232" s="242">
        <f>SUMPRODUCT(PRODUCE!$B235:$DY235,PRODUCE!$EB$49:$IY$49)</f>
        <v>0</v>
      </c>
      <c r="NU232" s="56"/>
      <c r="NV232" s="242">
        <f t="shared" si="1622"/>
        <v>0</v>
      </c>
      <c r="NW232" s="242">
        <f t="shared" si="1623"/>
        <v>3111.9999999999995</v>
      </c>
      <c r="NX232" s="56"/>
      <c r="OA232" s="55">
        <f t="shared" si="1624"/>
        <v>46218</v>
      </c>
      <c r="OB232" s="56"/>
      <c r="OC232" s="242">
        <f>SUMPRODUCT(PRODUCE!$B235:$DY235,PRODUCE!$EB$50:$IY$50)</f>
        <v>0</v>
      </c>
      <c r="OD232" s="56"/>
      <c r="OE232" s="242">
        <f t="shared" si="1625"/>
        <v>0</v>
      </c>
      <c r="OF232" s="242">
        <f t="shared" si="1626"/>
        <v>1680.5</v>
      </c>
      <c r="OG232" s="56"/>
      <c r="OJ232" s="55">
        <f t="shared" si="1627"/>
        <v>46218</v>
      </c>
      <c r="OK232" s="56"/>
      <c r="OL232" s="242">
        <f>SUMPRODUCT(PRODUCE!$B235:$DY235,PRODUCE!$EB$51:$IY$51)</f>
        <v>0</v>
      </c>
      <c r="OM232" s="56"/>
      <c r="ON232" s="242">
        <f t="shared" si="1628"/>
        <v>0</v>
      </c>
      <c r="OO232" s="242">
        <f t="shared" si="1629"/>
        <v>0</v>
      </c>
      <c r="OP232" s="56"/>
      <c r="OS232" s="55">
        <f t="shared" si="1630"/>
        <v>46218</v>
      </c>
      <c r="OT232" s="56"/>
      <c r="OU232" s="242">
        <f>SUMPRODUCT(PRODUCE!$B235:$DY235,PRODUCE!$EB$52:$IY$52)</f>
        <v>0</v>
      </c>
      <c r="OV232" s="56"/>
      <c r="OW232" s="242">
        <f t="shared" si="1631"/>
        <v>0</v>
      </c>
      <c r="OX232" s="242">
        <f t="shared" si="1632"/>
        <v>1482</v>
      </c>
      <c r="OY232" s="56"/>
      <c r="PB232" s="55">
        <f t="shared" si="1633"/>
        <v>46218</v>
      </c>
      <c r="PC232" s="56"/>
      <c r="PD232" s="242">
        <f>SUMPRODUCT(PRODUCE!$B235:$DY235,PRODUCE!$EB$53:$IY$53)</f>
        <v>0</v>
      </c>
      <c r="PE232" s="56"/>
      <c r="PF232" s="242">
        <f t="shared" si="1634"/>
        <v>0</v>
      </c>
      <c r="PG232" s="242">
        <f t="shared" si="1635"/>
        <v>0</v>
      </c>
      <c r="PH232" s="56"/>
      <c r="PK232" s="55">
        <f t="shared" si="1636"/>
        <v>46218</v>
      </c>
      <c r="PL232" s="56"/>
      <c r="PM232" s="242">
        <f>SUMPRODUCT(PRODUCE!$B235:$DY235,PRODUCE!$EB$54:$IY$54)</f>
        <v>0</v>
      </c>
      <c r="PN232" s="56"/>
      <c r="PO232" s="242">
        <f t="shared" si="1637"/>
        <v>0</v>
      </c>
      <c r="PP232" s="242">
        <f t="shared" si="1638"/>
        <v>100</v>
      </c>
      <c r="PQ232" s="56"/>
      <c r="PT232" s="55">
        <f t="shared" si="1639"/>
        <v>46218</v>
      </c>
      <c r="PU232" s="56"/>
      <c r="PV232" s="242">
        <f>SUMPRODUCT(PRODUCE!$B235:$DY235,PRODUCE!$EB$55:$IY$55)</f>
        <v>0</v>
      </c>
      <c r="PW232" s="56"/>
      <c r="PX232" s="242">
        <f t="shared" si="1640"/>
        <v>0</v>
      </c>
      <c r="PY232" s="242">
        <f t="shared" si="1641"/>
        <v>13.960000000000036</v>
      </c>
      <c r="PZ232" s="56"/>
      <c r="QC232" s="55">
        <f t="shared" si="1642"/>
        <v>46218</v>
      </c>
      <c r="QD232" s="56"/>
      <c r="QE232" s="242">
        <f>SUMPRODUCT(PRODUCE!$B235:$DY235,PRODUCE!$EB$56:$IY$56)</f>
        <v>0</v>
      </c>
      <c r="QF232" s="56"/>
      <c r="QG232" s="242">
        <f t="shared" si="1643"/>
        <v>0</v>
      </c>
      <c r="QH232" s="242">
        <f t="shared" si="1644"/>
        <v>1736</v>
      </c>
      <c r="QI232" s="56"/>
      <c r="QL232" s="55">
        <f t="shared" si="1645"/>
        <v>46218</v>
      </c>
      <c r="QM232" s="56"/>
      <c r="QN232" s="242">
        <f>SUMPRODUCT(PRODUCE!$B235:$DY235,PRODUCE!$EB$57:$IY$57)</f>
        <v>0</v>
      </c>
      <c r="QO232" s="56"/>
      <c r="QP232" s="242">
        <f t="shared" si="1646"/>
        <v>0</v>
      </c>
      <c r="QQ232" s="242">
        <f t="shared" si="1647"/>
        <v>10</v>
      </c>
      <c r="QR232" s="56"/>
      <c r="QU232" s="55">
        <f t="shared" si="1648"/>
        <v>46218</v>
      </c>
      <c r="QV232" s="56"/>
      <c r="QW232" s="242">
        <f>SUMPRODUCT(PRODUCE!$B235:$DY235,PRODUCE!$EB$58:$IY$58)</f>
        <v>0</v>
      </c>
      <c r="QX232" s="56"/>
      <c r="QY232" s="242">
        <f t="shared" si="1649"/>
        <v>0</v>
      </c>
      <c r="QZ232" s="242">
        <f t="shared" si="1650"/>
        <v>207.6</v>
      </c>
      <c r="RA232" s="56"/>
      <c r="RD232" s="55">
        <f t="shared" si="1651"/>
        <v>46218</v>
      </c>
      <c r="RE232" s="56"/>
      <c r="RF232" s="242">
        <f>SUMPRODUCT(PRODUCE!$B235:$DY235,PRODUCE!$EB$59:$IY$59)</f>
        <v>0</v>
      </c>
      <c r="RG232" s="56"/>
      <c r="RH232" s="242">
        <f t="shared" si="1652"/>
        <v>0</v>
      </c>
      <c r="RI232" s="242">
        <f t="shared" si="1653"/>
        <v>147.04000000000002</v>
      </c>
      <c r="RJ232" s="56"/>
      <c r="RM232" s="55">
        <f t="shared" si="1654"/>
        <v>46218</v>
      </c>
      <c r="RN232" s="56"/>
      <c r="RO232" s="242">
        <f>SUMPRODUCT(PRODUCE!$B235:$DY235,PRODUCE!$EB$60:$IY$60)</f>
        <v>0</v>
      </c>
      <c r="RP232" s="56"/>
      <c r="RQ232" s="242">
        <f t="shared" si="1655"/>
        <v>0</v>
      </c>
      <c r="RR232" s="242">
        <f t="shared" si="1656"/>
        <v>46.8</v>
      </c>
      <c r="RS232" s="56"/>
      <c r="RV232" s="55">
        <f t="shared" si="1657"/>
        <v>46218</v>
      </c>
      <c r="RW232" s="56"/>
      <c r="RX232" s="242">
        <f>SUMPRODUCT(PRODUCE!$B235:$DY235,PRODUCE!$EB$61:$IY$61)</f>
        <v>0</v>
      </c>
      <c r="RY232" s="56"/>
      <c r="RZ232" s="242">
        <f t="shared" si="1658"/>
        <v>0</v>
      </c>
      <c r="SA232" s="242">
        <f t="shared" si="1659"/>
        <v>0</v>
      </c>
      <c r="SB232" s="56"/>
      <c r="SE232" s="55">
        <f t="shared" si="1660"/>
        <v>46218</v>
      </c>
      <c r="SF232" s="56"/>
      <c r="SG232" s="242">
        <f>SUMPRODUCT(PRODUCE!$B235:$DY235,PRODUCE!$EB$62:$IY$62)</f>
        <v>0</v>
      </c>
      <c r="SH232" s="56"/>
      <c r="SI232" s="242">
        <f t="shared" si="1661"/>
        <v>0</v>
      </c>
      <c r="SJ232" s="242">
        <f t="shared" si="1662"/>
        <v>24.200000000000003</v>
      </c>
      <c r="SK232" s="56"/>
      <c r="SN232" s="55">
        <f t="shared" si="1663"/>
        <v>46218</v>
      </c>
      <c r="SO232" s="56"/>
      <c r="SP232" s="242">
        <f>SUMPRODUCT(PRODUCE!$B235:$DY235,PRODUCE!$EB$63:$IY$63)</f>
        <v>0</v>
      </c>
      <c r="SQ232" s="56"/>
      <c r="SR232" s="242">
        <f t="shared" si="1664"/>
        <v>0</v>
      </c>
      <c r="SS232" s="242">
        <f t="shared" si="1665"/>
        <v>32</v>
      </c>
      <c r="ST232" s="56"/>
      <c r="SW232" s="55">
        <f t="shared" si="1666"/>
        <v>46218</v>
      </c>
      <c r="SX232" s="56"/>
      <c r="SY232" s="242">
        <f>SUMPRODUCT(PRODUCE!$B235:$DY235,PRODUCE!$EB$64:$IY$64)</f>
        <v>0</v>
      </c>
      <c r="SZ232" s="56"/>
      <c r="TA232" s="242">
        <f t="shared" si="1667"/>
        <v>0</v>
      </c>
      <c r="TB232" s="242">
        <f t="shared" si="1668"/>
        <v>0</v>
      </c>
      <c r="TC232" s="56"/>
      <c r="TF232" s="55">
        <f t="shared" si="1669"/>
        <v>46218</v>
      </c>
      <c r="TG232" s="56"/>
      <c r="TH232" s="242">
        <f>SUMPRODUCT(PRODUCE!$B235:$DY235,PRODUCE!$EB$57:$IY$57)</f>
        <v>0</v>
      </c>
      <c r="TI232" s="56"/>
      <c r="TJ232" s="242">
        <f t="shared" si="1670"/>
        <v>0</v>
      </c>
      <c r="TK232" s="242">
        <f t="shared" si="1671"/>
        <v>0</v>
      </c>
      <c r="TL232" s="56"/>
      <c r="TO232" s="55">
        <f t="shared" si="1672"/>
        <v>46218</v>
      </c>
      <c r="TP232" s="56"/>
      <c r="TQ232" s="242">
        <f>SUMPRODUCT(PRODUCE!$B235:$DY235,PRODUCE!$EB$57:$IY$57)</f>
        <v>0</v>
      </c>
      <c r="TR232" s="56"/>
      <c r="TS232" s="242">
        <f t="shared" si="1673"/>
        <v>0</v>
      </c>
      <c r="TT232" s="242">
        <f t="shared" si="1674"/>
        <v>22.400000000000006</v>
      </c>
      <c r="TU232" s="56"/>
      <c r="TX232" s="55">
        <f t="shared" si="1675"/>
        <v>46218</v>
      </c>
      <c r="TY232" s="56"/>
      <c r="TZ232" s="242">
        <f>SUMPRODUCT(PRODUCE!$B235:$DY235,PRODUCE!$EB$57:$IY$57)</f>
        <v>0</v>
      </c>
      <c r="UA232" s="56"/>
      <c r="UB232" s="242">
        <f t="shared" si="1676"/>
        <v>0</v>
      </c>
      <c r="UC232" s="242">
        <f t="shared" si="1677"/>
        <v>46.799999999999983</v>
      </c>
      <c r="UD232" s="56"/>
      <c r="UG232" s="55">
        <f t="shared" si="1678"/>
        <v>46218</v>
      </c>
      <c r="UH232" s="56"/>
      <c r="UI232" s="242">
        <f>SUMPRODUCT(PRODUCE!$B235:$DY235,PRODUCE!$EB$57:$IY$57)</f>
        <v>0</v>
      </c>
      <c r="UJ232" s="56"/>
      <c r="UK232" s="242">
        <f t="shared" si="1679"/>
        <v>0</v>
      </c>
      <c r="UL232" s="242">
        <f t="shared" si="1680"/>
        <v>204</v>
      </c>
      <c r="UM232" s="56"/>
      <c r="UP232" s="55">
        <f t="shared" si="1681"/>
        <v>46218</v>
      </c>
      <c r="UQ232" s="56"/>
      <c r="UR232" s="242">
        <f>SUMPRODUCT(PRODUCE!$B235:$DY235,PRODUCE!$EB$69:$IY$69)</f>
        <v>0</v>
      </c>
      <c r="US232" s="56"/>
      <c r="UT232" s="242">
        <f t="shared" si="1682"/>
        <v>0</v>
      </c>
      <c r="UU232" s="242">
        <f t="shared" si="1683"/>
        <v>242.5</v>
      </c>
      <c r="UV232" s="56"/>
      <c r="UY232" s="55">
        <f t="shared" si="1684"/>
        <v>46218</v>
      </c>
      <c r="UZ232" s="56"/>
      <c r="VA232" s="242">
        <f>SUMPRODUCT(PRODUCE!$B235:$DY235,PRODUCE!$EB$70:$IY$70)</f>
        <v>0</v>
      </c>
      <c r="VB232" s="56"/>
      <c r="VC232" s="242">
        <f t="shared" si="1685"/>
        <v>0</v>
      </c>
      <c r="VD232" s="242">
        <f t="shared" si="1686"/>
        <v>41.600000000000023</v>
      </c>
      <c r="VE232" s="56"/>
      <c r="VH232" s="55">
        <f t="shared" si="1687"/>
        <v>46218</v>
      </c>
      <c r="VI232" s="56"/>
      <c r="VJ232" s="242">
        <f>SUMPRODUCT(PRODUCE!$B235:$DY235,PRODUCE!$EB$71:$IY$71)</f>
        <v>0</v>
      </c>
      <c r="VK232" s="56"/>
      <c r="VL232" s="242">
        <f t="shared" si="1688"/>
        <v>0</v>
      </c>
      <c r="VM232" s="242">
        <f t="shared" si="1689"/>
        <v>210</v>
      </c>
      <c r="VN232" s="56"/>
      <c r="VQ232" s="55">
        <f t="shared" si="1690"/>
        <v>46218</v>
      </c>
      <c r="VR232" s="56"/>
      <c r="VS232" s="242">
        <f>SUMPRODUCT(PRODUCE!$B235:$DY235,PRODUCE!$EB$57:$IY$57)</f>
        <v>0</v>
      </c>
      <c r="VT232" s="56"/>
      <c r="VU232" s="242">
        <f t="shared" si="1691"/>
        <v>0</v>
      </c>
      <c r="VV232" s="242">
        <f t="shared" si="1692"/>
        <v>0</v>
      </c>
      <c r="VW232" s="56"/>
      <c r="VZ232" s="55">
        <f t="shared" si="1693"/>
        <v>46218</v>
      </c>
      <c r="WA232" s="56"/>
      <c r="WB232" s="242">
        <f>SUMPRODUCT(PRODUCE!$B235:$DY235,PRODUCE!$EB$57:$IY$57)</f>
        <v>0</v>
      </c>
      <c r="WC232" s="56"/>
      <c r="WD232" s="242">
        <f t="shared" si="1694"/>
        <v>0</v>
      </c>
      <c r="WE232" s="242">
        <f t="shared" si="1695"/>
        <v>0</v>
      </c>
      <c r="WF232" s="56"/>
      <c r="WI232" s="55">
        <f t="shared" si="1696"/>
        <v>46218</v>
      </c>
      <c r="WJ232" s="56"/>
      <c r="WK232" s="242">
        <f>SUMPRODUCT(PRODUCE!$B235:$DY235,PRODUCE!$EB$57:$IY$57)</f>
        <v>0</v>
      </c>
      <c r="WL232" s="56"/>
      <c r="WM232" s="242">
        <f t="shared" si="1697"/>
        <v>0</v>
      </c>
      <c r="WN232" s="242">
        <f t="shared" si="1698"/>
        <v>1057</v>
      </c>
      <c r="WO232" s="56"/>
      <c r="WR232" s="55">
        <f t="shared" si="1699"/>
        <v>46218</v>
      </c>
      <c r="WS232" s="56"/>
      <c r="WT232" s="242">
        <f>SUMPRODUCT(PRODUCE!$B235:$DY235,PRODUCE!$EB$57:$IY$57)</f>
        <v>0</v>
      </c>
      <c r="WU232" s="56"/>
      <c r="WV232" s="242">
        <f t="shared" si="1700"/>
        <v>0</v>
      </c>
      <c r="WW232" s="242">
        <f t="shared" si="1701"/>
        <v>0</v>
      </c>
      <c r="WX232" s="56"/>
      <c r="XA232" s="55">
        <f t="shared" si="1702"/>
        <v>46218</v>
      </c>
      <c r="XB232" s="56"/>
      <c r="XC232" s="242">
        <f>SUMPRODUCT(PRODUCE!$B235:$DY235,PRODUCE!$EB$57:$IY$57)</f>
        <v>0</v>
      </c>
      <c r="XD232" s="56"/>
      <c r="XE232" s="242">
        <f t="shared" si="1703"/>
        <v>0</v>
      </c>
      <c r="XF232" s="242">
        <f t="shared" si="1704"/>
        <v>7507</v>
      </c>
      <c r="XG232" s="56"/>
      <c r="XJ232" s="55">
        <f t="shared" si="1705"/>
        <v>46218</v>
      </c>
      <c r="XK232" s="56"/>
      <c r="XL232" s="242">
        <f>SUMPRODUCT(PRODUCE!$B235:$DY235,PRODUCE!$EB$57:$IY$57)</f>
        <v>0</v>
      </c>
      <c r="XM232" s="56"/>
      <c r="XN232" s="242">
        <f t="shared" si="1706"/>
        <v>0</v>
      </c>
      <c r="XO232" s="242">
        <f t="shared" si="1707"/>
        <v>4252</v>
      </c>
      <c r="XP232" s="56"/>
      <c r="XS232" s="55">
        <f t="shared" si="1708"/>
        <v>46218</v>
      </c>
      <c r="XT232" s="56"/>
      <c r="XU232" s="242">
        <f>SUMPRODUCT(PRODUCE!$B235:$DY235,PRODUCE!$EB$57:$IY$57)</f>
        <v>0</v>
      </c>
      <c r="XV232" s="56"/>
      <c r="XW232" s="242">
        <f t="shared" si="1709"/>
        <v>0</v>
      </c>
      <c r="XX232" s="242">
        <f t="shared" si="1710"/>
        <v>2179</v>
      </c>
      <c r="XY232" s="56"/>
      <c r="YB232" s="55">
        <f t="shared" si="1711"/>
        <v>46218</v>
      </c>
      <c r="YC232" s="56"/>
      <c r="YD232" s="242">
        <f>SUMPRODUCT(PRODUCE!$B235:$DY235,PRODUCE!$EB$57:$IY$57)</f>
        <v>0</v>
      </c>
      <c r="YE232" s="56"/>
      <c r="YF232" s="242">
        <f t="shared" si="1712"/>
        <v>0</v>
      </c>
      <c r="YG232" s="242">
        <f t="shared" si="1713"/>
        <v>4019</v>
      </c>
      <c r="YH232" s="56"/>
      <c r="YK232" s="55">
        <f t="shared" si="1714"/>
        <v>46218</v>
      </c>
      <c r="YL232" s="56"/>
      <c r="YM232" s="242">
        <f>SUMPRODUCT(PRODUCE!$B235:$DY235,PRODUCE!$EB$57:$IY$57)</f>
        <v>0</v>
      </c>
      <c r="YN232" s="56"/>
      <c r="YO232" s="242">
        <f t="shared" si="1715"/>
        <v>0</v>
      </c>
      <c r="YP232" s="242">
        <f t="shared" si="1716"/>
        <v>0</v>
      </c>
      <c r="YQ232" s="56"/>
      <c r="YT232" s="55">
        <f t="shared" si="1717"/>
        <v>46218</v>
      </c>
      <c r="YU232" s="56"/>
      <c r="YV232" s="242">
        <f>SUMPRODUCT(PRODUCE!$B235:$DY235,PRODUCE!$EB$57:$IY$57)</f>
        <v>0</v>
      </c>
      <c r="YW232" s="56"/>
      <c r="YX232" s="242">
        <f t="shared" si="1718"/>
        <v>0</v>
      </c>
      <c r="YY232" s="242">
        <f t="shared" si="1719"/>
        <v>0</v>
      </c>
      <c r="YZ232" s="56"/>
      <c r="ZC232" s="55">
        <f t="shared" si="1720"/>
        <v>46218</v>
      </c>
      <c r="ZD232" s="56"/>
      <c r="ZE232" s="242">
        <f>SUMPRODUCT(PRODUCE!$B235:$DY235,PRODUCE!$EB$57:$IY$57)</f>
        <v>0</v>
      </c>
      <c r="ZF232" s="56"/>
      <c r="ZG232" s="242">
        <f t="shared" si="1721"/>
        <v>0</v>
      </c>
      <c r="ZH232" s="242">
        <f t="shared" si="1722"/>
        <v>0</v>
      </c>
      <c r="ZI232" s="56"/>
      <c r="ZL232" s="55">
        <f t="shared" si="1723"/>
        <v>46218</v>
      </c>
      <c r="ZM232" s="56"/>
      <c r="ZN232" s="242">
        <f>SUMPRODUCT(PRODUCE!$B235:$DY235,PRODUCE!$EB$57:$IY$57)</f>
        <v>0</v>
      </c>
      <c r="ZO232" s="56"/>
      <c r="ZP232" s="242">
        <f t="shared" si="1724"/>
        <v>0</v>
      </c>
      <c r="ZQ232" s="242">
        <f t="shared" si="1725"/>
        <v>0</v>
      </c>
      <c r="ZR232" s="56"/>
      <c r="ZU232" s="55">
        <f t="shared" si="1726"/>
        <v>46218</v>
      </c>
      <c r="ZV232" s="56"/>
      <c r="ZW232" s="242">
        <f>SUMPRODUCT(PRODUCE!$B235:$DY235,PRODUCE!$EB$57:$IY$57)</f>
        <v>0</v>
      </c>
      <c r="ZX232" s="56"/>
      <c r="ZY232" s="242">
        <f t="shared" si="1727"/>
        <v>0</v>
      </c>
      <c r="ZZ232" s="242">
        <f t="shared" si="1728"/>
        <v>0</v>
      </c>
      <c r="AAA232" s="56"/>
      <c r="AAD232" s="55">
        <f t="shared" si="1729"/>
        <v>46218</v>
      </c>
      <c r="AAE232" s="56"/>
      <c r="AAF232" s="242">
        <f>SUMPRODUCT(PRODUCE!$B235:$DY235,PRODUCE!$EB$57:$IY$57)</f>
        <v>0</v>
      </c>
      <c r="AAG232" s="56"/>
      <c r="AAH232" s="242">
        <f t="shared" si="1730"/>
        <v>0</v>
      </c>
      <c r="AAI232" s="242">
        <f t="shared" si="1731"/>
        <v>0</v>
      </c>
      <c r="AAJ232" s="56"/>
      <c r="AAM232" s="55">
        <f t="shared" si="1732"/>
        <v>46218</v>
      </c>
      <c r="AAN232" s="56"/>
      <c r="AAO232" s="242">
        <f>SUMPRODUCT(PRODUCE!$B235:$DY235,PRODUCE!$EB$57:$IY$57)</f>
        <v>0</v>
      </c>
      <c r="AAP232" s="56"/>
      <c r="AAQ232" s="242">
        <f t="shared" si="1733"/>
        <v>0</v>
      </c>
      <c r="AAR232" s="242">
        <f t="shared" si="1734"/>
        <v>0</v>
      </c>
      <c r="AAS232" s="56"/>
      <c r="AAV232" s="55">
        <f t="shared" si="1735"/>
        <v>46218</v>
      </c>
      <c r="AAW232" s="56"/>
      <c r="AAX232" s="242">
        <f>SUMPRODUCT(PRODUCE!$B235:$DY235,PRODUCE!$EB$57:$IY$57)</f>
        <v>0</v>
      </c>
      <c r="AAY232" s="56"/>
      <c r="AAZ232" s="242">
        <f t="shared" si="1736"/>
        <v>0</v>
      </c>
      <c r="ABA232" s="242">
        <f t="shared" si="1737"/>
        <v>0</v>
      </c>
      <c r="ABB232" s="56"/>
      <c r="ABE232" s="55">
        <f t="shared" si="1738"/>
        <v>46218</v>
      </c>
      <c r="ABF232" s="56"/>
      <c r="ABG232" s="242">
        <f>SUMPRODUCT(PRODUCE!$B235:$DY235,PRODUCE!$EB$57:$IY$57)</f>
        <v>0</v>
      </c>
      <c r="ABH232" s="56"/>
      <c r="ABI232" s="242">
        <f t="shared" si="1739"/>
        <v>0</v>
      </c>
      <c r="ABJ232" s="242">
        <f t="shared" si="1740"/>
        <v>0</v>
      </c>
      <c r="ABK232" s="56"/>
    </row>
    <row r="233" spans="2:739" s="54" customFormat="1" ht="15" customHeight="1" outlineLevel="1">
      <c r="B233" s="478"/>
      <c r="C233" s="55">
        <v>46219</v>
      </c>
      <c r="D233" s="422">
        <v>66850</v>
      </c>
      <c r="E233" s="423">
        <f>SUMPRODUCT(PRODUCE!$B236:$DY236,PRODUCE!$EB$7:$IY$7)</f>
        <v>8926.0799999999981</v>
      </c>
      <c r="F233" s="422">
        <v>45329.2</v>
      </c>
      <c r="G233" s="423">
        <f t="shared" si="1496"/>
        <v>-36403.119999999995</v>
      </c>
      <c r="H233" s="423">
        <f t="shared" si="1497"/>
        <v>65856.400000000038</v>
      </c>
      <c r="I233" s="289"/>
      <c r="L233" s="55">
        <f t="shared" si="1498"/>
        <v>46219</v>
      </c>
      <c r="M233" s="422">
        <v>25150</v>
      </c>
      <c r="N233" s="438">
        <f>SUMPRODUCT(PRODUCE!$B236:$DY236,PRODUCE!$EB$8:$IY$8)</f>
        <v>5075.2</v>
      </c>
      <c r="O233" s="422">
        <v>18017.599999999999</v>
      </c>
      <c r="P233" s="438">
        <f t="shared" si="1499"/>
        <v>-12942.399999999998</v>
      </c>
      <c r="Q233" s="438">
        <f t="shared" si="1500"/>
        <v>3409.4000000000706</v>
      </c>
      <c r="R233" s="56"/>
      <c r="U233" s="55">
        <f t="shared" si="1501"/>
        <v>46219</v>
      </c>
      <c r="V233" s="422"/>
      <c r="W233" s="440">
        <f>SUMPRODUCT(PRODUCE!$B236:$DY236,PRODUCE!$EB$9:$IY$9)</f>
        <v>800</v>
      </c>
      <c r="X233" s="422">
        <v>5001.8999999999996</v>
      </c>
      <c r="Y233" s="440">
        <f t="shared" si="1502"/>
        <v>-4201.8999999999996</v>
      </c>
      <c r="Z233" s="440">
        <f t="shared" si="1503"/>
        <v>15298.299999999968</v>
      </c>
      <c r="AA233" s="56"/>
      <c r="AD233" s="55">
        <f t="shared" si="1504"/>
        <v>46219</v>
      </c>
      <c r="AE233" s="422"/>
      <c r="AF233" s="442">
        <f>SUMPRODUCT(PRODUCE!$B236:$DY236,PRODUCE!$EB$10:$IY$10)</f>
        <v>0</v>
      </c>
      <c r="AG233" s="422"/>
      <c r="AH233" s="442">
        <f t="shared" si="1505"/>
        <v>0</v>
      </c>
      <c r="AI233" s="442">
        <f t="shared" si="1506"/>
        <v>31872.200000000019</v>
      </c>
      <c r="AJ233" s="56"/>
      <c r="AM233" s="55">
        <f t="shared" si="1507"/>
        <v>46219</v>
      </c>
      <c r="AN233" s="422"/>
      <c r="AO233" s="444">
        <f>SUMPRODUCT(PRODUCE!$B236:$DY236,PRODUCE!$EB$11:$IY$11)</f>
        <v>0</v>
      </c>
      <c r="AP233" s="422"/>
      <c r="AQ233" s="444">
        <f t="shared" si="1508"/>
        <v>0</v>
      </c>
      <c r="AR233" s="444">
        <f t="shared" si="1509"/>
        <v>0</v>
      </c>
      <c r="AS233" s="56"/>
      <c r="AV233" s="55">
        <f t="shared" si="1510"/>
        <v>46219</v>
      </c>
      <c r="AW233" s="422"/>
      <c r="AX233" s="446">
        <f>SUMPRODUCT(PRODUCE!$B236:$DY236,PRODUCE!$EB$12:$IY$12)</f>
        <v>0</v>
      </c>
      <c r="AY233" s="422"/>
      <c r="AZ233" s="446">
        <f t="shared" si="1511"/>
        <v>0</v>
      </c>
      <c r="BA233" s="446">
        <f t="shared" si="1512"/>
        <v>1046.1999999999953</v>
      </c>
      <c r="BB233" s="56"/>
      <c r="BE233" s="55">
        <f t="shared" si="1513"/>
        <v>46219</v>
      </c>
      <c r="BF233" s="422"/>
      <c r="BG233" s="448">
        <f>SUMPRODUCT(PRODUCE!$B236:$DY236,PRODUCE!$EB$13:$IY$13)</f>
        <v>312</v>
      </c>
      <c r="BH233" s="422">
        <v>909.3</v>
      </c>
      <c r="BI233" s="448">
        <f t="shared" si="1514"/>
        <v>-597.29999999999995</v>
      </c>
      <c r="BJ233" s="448">
        <f t="shared" si="1515"/>
        <v>29987.399999999994</v>
      </c>
      <c r="BK233" s="56"/>
      <c r="BN233" s="55">
        <f t="shared" si="1516"/>
        <v>46219</v>
      </c>
      <c r="BO233" s="422">
        <v>976.3</v>
      </c>
      <c r="BP233" s="450">
        <f>SUMPRODUCT(PRODUCE!$B236:$DY236,PRODUCE!$EB$14:$IY$14)</f>
        <v>376</v>
      </c>
      <c r="BQ233" s="422">
        <v>976.3</v>
      </c>
      <c r="BR233" s="450">
        <f t="shared" si="1517"/>
        <v>-600.29999999999995</v>
      </c>
      <c r="BS233" s="450">
        <f t="shared" si="1518"/>
        <v>0</v>
      </c>
      <c r="BT233" s="56"/>
      <c r="BW233" s="55">
        <f t="shared" si="1519"/>
        <v>46219</v>
      </c>
      <c r="BX233" s="422"/>
      <c r="BY233" s="523">
        <f>SUMPRODUCT(PRODUCE!$B236:$DY236,PRODUCE!$EB$15:$IY$15)</f>
        <v>0</v>
      </c>
      <c r="BZ233" s="422">
        <v>87.94</v>
      </c>
      <c r="CA233" s="523">
        <f t="shared" si="1520"/>
        <v>-87.94</v>
      </c>
      <c r="CB233" s="523">
        <f t="shared" si="1521"/>
        <v>6976.0299999999988</v>
      </c>
      <c r="CC233" s="56"/>
      <c r="CF233" s="55">
        <f t="shared" si="1522"/>
        <v>46219</v>
      </c>
      <c r="CG233" s="422"/>
      <c r="CH233" s="524">
        <f>SUMPRODUCT(PRODUCE!$B236:$DY236,PRODUCE!$EB$16:$IY$16)</f>
        <v>102.72</v>
      </c>
      <c r="CI233" s="422">
        <v>163.04</v>
      </c>
      <c r="CJ233" s="524">
        <f t="shared" si="1523"/>
        <v>-60.319999999999993</v>
      </c>
      <c r="CK233" s="524">
        <f t="shared" si="1524"/>
        <v>-6524.2299999999987</v>
      </c>
      <c r="CL233" s="56"/>
      <c r="CO233" s="55">
        <f t="shared" si="1525"/>
        <v>46219</v>
      </c>
      <c r="CP233" s="422"/>
      <c r="CQ233" s="470">
        <f>SUMPRODUCT(PRODUCE!$B236:$DY236,PRODUCE!$EB$17:$IY$17)</f>
        <v>0</v>
      </c>
      <c r="CR233" s="422"/>
      <c r="CS233" s="470">
        <f t="shared" si="1526"/>
        <v>0</v>
      </c>
      <c r="CT233" s="470">
        <f t="shared" si="1527"/>
        <v>0</v>
      </c>
      <c r="CU233" s="56"/>
      <c r="CX233" s="55">
        <f t="shared" si="1528"/>
        <v>46219</v>
      </c>
      <c r="CY233" s="422">
        <v>1203.5999999999999</v>
      </c>
      <c r="CZ233" s="525">
        <f>SUMPRODUCT(PRODUCE!$B236:$DY236,PRODUCE!$EB$18:$IY$18)</f>
        <v>0</v>
      </c>
      <c r="DA233" s="422">
        <v>1203.5999999999999</v>
      </c>
      <c r="DB233" s="525">
        <f t="shared" si="1529"/>
        <v>-1203.5999999999999</v>
      </c>
      <c r="DC233" s="525">
        <f t="shared" si="1530"/>
        <v>711.60000000000719</v>
      </c>
      <c r="DD233" s="56"/>
      <c r="DG233" s="55">
        <f t="shared" si="1531"/>
        <v>46219</v>
      </c>
      <c r="DH233" s="422"/>
      <c r="DI233" s="526">
        <f>SUMPRODUCT(PRODUCE!$B236:$DY236,PRODUCE!$EB$19:$IY$19)</f>
        <v>0</v>
      </c>
      <c r="DJ233" s="422"/>
      <c r="DK233" s="526">
        <f t="shared" si="1532"/>
        <v>0</v>
      </c>
      <c r="DL233" s="526">
        <f t="shared" si="1533"/>
        <v>33834.199999999983</v>
      </c>
      <c r="DM233" s="56"/>
      <c r="DP233" s="55">
        <f t="shared" si="1534"/>
        <v>46219</v>
      </c>
      <c r="DQ233" s="56"/>
      <c r="DR233" s="57">
        <f>SUMPRODUCT(PRODUCE!$B236:$DY236,PRODUCE!$EB$20:$IY$20)</f>
        <v>0</v>
      </c>
      <c r="DS233" s="56"/>
      <c r="DT233" s="57">
        <f t="shared" si="1535"/>
        <v>0</v>
      </c>
      <c r="DU233" s="57">
        <f t="shared" si="1536"/>
        <v>5800</v>
      </c>
      <c r="DV233" s="56"/>
      <c r="DY233" s="55">
        <f t="shared" si="1537"/>
        <v>46219</v>
      </c>
      <c r="DZ233" s="56"/>
      <c r="EA233" s="157">
        <f>SUMPRODUCT(PRODUCE!$B236:$DY236,PRODUCE!$EB$21:$IY$21)</f>
        <v>0</v>
      </c>
      <c r="EB233" s="56"/>
      <c r="EC233" s="157">
        <f t="shared" si="1538"/>
        <v>0</v>
      </c>
      <c r="ED233" s="157">
        <f t="shared" si="1539"/>
        <v>0</v>
      </c>
      <c r="EE233" s="56"/>
      <c r="EH233" s="55">
        <f t="shared" si="1540"/>
        <v>46219</v>
      </c>
      <c r="EI233" s="56"/>
      <c r="EJ233" s="162">
        <f>SUMPRODUCT(PRODUCE!$B236:$DY236,PRODUCE!$EB$22:$IY$22)</f>
        <v>0</v>
      </c>
      <c r="EK233" s="56"/>
      <c r="EL233" s="162">
        <f t="shared" si="1541"/>
        <v>0</v>
      </c>
      <c r="EM233" s="162">
        <f t="shared" si="1542"/>
        <v>0</v>
      </c>
      <c r="EN233" s="56"/>
      <c r="EQ233" s="55">
        <f t="shared" si="1543"/>
        <v>46219</v>
      </c>
      <c r="ER233" s="56"/>
      <c r="ES233" s="172">
        <f>SUMPRODUCT(PRODUCE!$B236:$DY236,PRODUCE!$EB$23:$IY$23)</f>
        <v>0</v>
      </c>
      <c r="ET233" s="56"/>
      <c r="EU233" s="135">
        <f t="shared" si="1544"/>
        <v>0</v>
      </c>
      <c r="EV233" s="135">
        <f t="shared" si="1545"/>
        <v>0</v>
      </c>
      <c r="EW233" s="56"/>
      <c r="EZ233" s="55">
        <f t="shared" si="1546"/>
        <v>46219</v>
      </c>
      <c r="FA233" s="56"/>
      <c r="FB233" s="175">
        <f>SUMPRODUCT(PRODUCE!$B236:$DY236,PRODUCE!$EB$24:$IY$24)</f>
        <v>0</v>
      </c>
      <c r="FC233" s="56"/>
      <c r="FD233" s="175">
        <f t="shared" si="1547"/>
        <v>0</v>
      </c>
      <c r="FE233" s="175">
        <f t="shared" si="1548"/>
        <v>0</v>
      </c>
      <c r="FF233" s="56"/>
      <c r="FI233" s="55">
        <f t="shared" si="1549"/>
        <v>46219</v>
      </c>
      <c r="FJ233" s="56"/>
      <c r="FK233" s="183">
        <f>SUMPRODUCT(PRODUCE!$B236:$DY236,PRODUCE!$EB$25:$IY$25)</f>
        <v>0</v>
      </c>
      <c r="FL233" s="56"/>
      <c r="FM233" s="183">
        <f t="shared" si="1550"/>
        <v>0</v>
      </c>
      <c r="FN233" s="183">
        <f t="shared" si="1551"/>
        <v>0</v>
      </c>
      <c r="FO233" s="56"/>
      <c r="FR233" s="55">
        <f t="shared" si="1552"/>
        <v>46219</v>
      </c>
      <c r="FS233" s="56"/>
      <c r="FT233" s="186">
        <f>SUMPRODUCT(PRODUCE!$B236:$DY236,PRODUCE!$EB$26:$IY$26)</f>
        <v>0</v>
      </c>
      <c r="FU233" s="56"/>
      <c r="FV233" s="186">
        <f t="shared" si="1553"/>
        <v>0</v>
      </c>
      <c r="FW233" s="186">
        <f t="shared" si="1554"/>
        <v>1160</v>
      </c>
      <c r="FX233" s="56"/>
      <c r="GA233" s="55">
        <f t="shared" si="1555"/>
        <v>46219</v>
      </c>
      <c r="GB233" s="56"/>
      <c r="GC233" s="137">
        <f>SUMPRODUCT(PRODUCE!$B236:$DY236,PRODUCE!$EB$27:$IY$27)</f>
        <v>0</v>
      </c>
      <c r="GD233" s="56"/>
      <c r="GE233" s="137">
        <f t="shared" si="1556"/>
        <v>0</v>
      </c>
      <c r="GF233" s="137">
        <f t="shared" si="1557"/>
        <v>960</v>
      </c>
      <c r="GG233" s="56"/>
      <c r="GI233" s="23"/>
      <c r="GJ233" s="55">
        <f t="shared" si="1558"/>
        <v>46219</v>
      </c>
      <c r="GK233" s="56"/>
      <c r="GL233" s="199">
        <f>SUMPRODUCT(PRODUCE!$B236:$DY236,PRODUCE!$EB$28:$IY$28)</f>
        <v>0</v>
      </c>
      <c r="GM233" s="56"/>
      <c r="GN233" s="199">
        <f t="shared" si="1559"/>
        <v>0</v>
      </c>
      <c r="GO233" s="199">
        <f t="shared" si="1560"/>
        <v>1760</v>
      </c>
      <c r="GP233" s="56"/>
      <c r="GS233" s="55">
        <f t="shared" si="1561"/>
        <v>46219</v>
      </c>
      <c r="GT233" s="56"/>
      <c r="GU233" s="195">
        <f>SUMPRODUCT(PRODUCE!$B236:$DY236,PRODUCE!$EB$29:$IY$29)</f>
        <v>0</v>
      </c>
      <c r="GV233" s="56"/>
      <c r="GW233" s="195">
        <f t="shared" si="1562"/>
        <v>0</v>
      </c>
      <c r="GX233" s="195">
        <f t="shared" si="1563"/>
        <v>400</v>
      </c>
      <c r="GY233" s="56"/>
      <c r="HB233" s="55">
        <f t="shared" si="1564"/>
        <v>46219</v>
      </c>
      <c r="HC233" s="56"/>
      <c r="HD233" s="191">
        <f>SUMPRODUCT(PRODUCE!$B236:$DY236,PRODUCE!$EB$30:$IY$30)</f>
        <v>0</v>
      </c>
      <c r="HE233" s="56"/>
      <c r="HF233" s="191">
        <f t="shared" si="1565"/>
        <v>0</v>
      </c>
      <c r="HG233" s="191">
        <f t="shared" si="1566"/>
        <v>3600</v>
      </c>
      <c r="HH233" s="56"/>
      <c r="HK233" s="55">
        <f t="shared" si="1567"/>
        <v>46219</v>
      </c>
      <c r="HL233" s="56"/>
      <c r="HM233" s="63">
        <f>SUMPRODUCT(PRODUCE!$B236:$DY236,PRODUCE!$EB$31:$IY$31)</f>
        <v>0</v>
      </c>
      <c r="HN233" s="56"/>
      <c r="HO233" s="63">
        <f t="shared" si="1568"/>
        <v>0</v>
      </c>
      <c r="HP233" s="63">
        <f t="shared" si="1569"/>
        <v>0</v>
      </c>
      <c r="HQ233" s="56"/>
      <c r="HU233" s="55">
        <f t="shared" si="1570"/>
        <v>46219</v>
      </c>
      <c r="HV233" s="56"/>
      <c r="HW233" s="242">
        <f>SUMPRODUCT(PRODUCE!$B236:$DY236,PRODUCE!$EB$32:$IY$32)</f>
        <v>0</v>
      </c>
      <c r="HX233" s="56"/>
      <c r="HY233" s="242">
        <f t="shared" si="1571"/>
        <v>0</v>
      </c>
      <c r="HZ233" s="242">
        <f t="shared" si="1572"/>
        <v>6240</v>
      </c>
      <c r="IA233" s="56"/>
      <c r="ID233" s="55">
        <f t="shared" si="1573"/>
        <v>46219</v>
      </c>
      <c r="IE233" s="56"/>
      <c r="IF233" s="242">
        <f>SUMPRODUCT(PRODUCE!$B236:$DY236,PRODUCE!$EB$33:$IY$33)</f>
        <v>0</v>
      </c>
      <c r="IG233" s="56"/>
      <c r="IH233" s="242">
        <f t="shared" si="1574"/>
        <v>0</v>
      </c>
      <c r="II233" s="242">
        <f t="shared" si="1575"/>
        <v>720</v>
      </c>
      <c r="IJ233" s="56"/>
      <c r="IM233" s="55">
        <f t="shared" si="1576"/>
        <v>46219</v>
      </c>
      <c r="IN233" s="56"/>
      <c r="IO233" s="242">
        <f>SUMPRODUCT(PRODUCE!$B236:$DY236,PRODUCE!$EB$34:$IY$34)</f>
        <v>0</v>
      </c>
      <c r="IP233" s="56"/>
      <c r="IQ233" s="242">
        <f t="shared" si="1577"/>
        <v>0</v>
      </c>
      <c r="IR233" s="242">
        <f t="shared" si="1578"/>
        <v>4600</v>
      </c>
      <c r="IS233" s="56"/>
      <c r="IV233" s="55">
        <f t="shared" si="1579"/>
        <v>46219</v>
      </c>
      <c r="IW233" s="56"/>
      <c r="IX233" s="242">
        <f>SUMPRODUCT(PRODUCE!$B236:$DY236,PRODUCE!$EB$35:$IY$35)</f>
        <v>0</v>
      </c>
      <c r="IY233" s="56"/>
      <c r="IZ233" s="242">
        <f t="shared" si="1580"/>
        <v>0</v>
      </c>
      <c r="JA233" s="242">
        <f t="shared" si="1581"/>
        <v>4960</v>
      </c>
      <c r="JB233" s="56"/>
      <c r="JE233" s="55">
        <f t="shared" si="1582"/>
        <v>46219</v>
      </c>
      <c r="JF233" s="56"/>
      <c r="JG233" s="242">
        <f>SUMPRODUCT(PRODUCE!$B236:$DY236,PRODUCE!$EB$36:$IY$36)</f>
        <v>0</v>
      </c>
      <c r="JH233" s="56"/>
      <c r="JI233" s="242">
        <f t="shared" si="1583"/>
        <v>0</v>
      </c>
      <c r="JJ233" s="242">
        <f t="shared" si="1584"/>
        <v>0</v>
      </c>
      <c r="JK233" s="56"/>
      <c r="JN233" s="55">
        <f t="shared" si="1585"/>
        <v>46219</v>
      </c>
      <c r="JO233" s="56"/>
      <c r="JP233" s="242">
        <f>SUMPRODUCT(PRODUCE!$B236:$DY236,PRODUCE!$EB$37:$IY$37)</f>
        <v>320</v>
      </c>
      <c r="JQ233" s="56"/>
      <c r="JR233" s="242">
        <f t="shared" si="1586"/>
        <v>320</v>
      </c>
      <c r="JS233" s="242">
        <f t="shared" si="1587"/>
        <v>0</v>
      </c>
      <c r="JT233" s="56"/>
      <c r="JW233" s="55">
        <f t="shared" si="1588"/>
        <v>46219</v>
      </c>
      <c r="JX233" s="56"/>
      <c r="JY233" s="242">
        <f>SUMPRODUCT(PRODUCE!$B236:$DY236,PRODUCE!$EB$38:$IY$38)</f>
        <v>0</v>
      </c>
      <c r="JZ233" s="56"/>
      <c r="KA233" s="242">
        <f t="shared" si="1589"/>
        <v>0</v>
      </c>
      <c r="KB233" s="242">
        <f t="shared" si="1590"/>
        <v>2540</v>
      </c>
      <c r="KC233" s="56"/>
      <c r="KF233" s="55">
        <f t="shared" si="1591"/>
        <v>46219</v>
      </c>
      <c r="KG233" s="56"/>
      <c r="KH233" s="242">
        <f>SUMPRODUCT(PRODUCE!$B236:$DY236,PRODUCE!$EB$39:$IY$39)</f>
        <v>0</v>
      </c>
      <c r="KI233" s="56"/>
      <c r="KJ233" s="242">
        <f t="shared" si="1592"/>
        <v>0</v>
      </c>
      <c r="KK233" s="242">
        <f t="shared" si="1593"/>
        <v>2359.5</v>
      </c>
      <c r="KL233" s="56"/>
      <c r="KO233" s="55">
        <f t="shared" si="1594"/>
        <v>46219</v>
      </c>
      <c r="KP233" s="56"/>
      <c r="KQ233" s="242">
        <f>SUMPRODUCT(PRODUCE!$B236:$DY236,PRODUCE!$EB$40:$IY$40)</f>
        <v>0</v>
      </c>
      <c r="KR233" s="56"/>
      <c r="KS233" s="242">
        <f t="shared" si="1595"/>
        <v>0</v>
      </c>
      <c r="KT233" s="242">
        <f t="shared" si="1596"/>
        <v>1890</v>
      </c>
      <c r="KU233" s="56"/>
      <c r="KW233" s="23"/>
      <c r="KX233" s="55">
        <f t="shared" si="1597"/>
        <v>46219</v>
      </c>
      <c r="KY233" s="56"/>
      <c r="KZ233" s="242">
        <f>SUMPRODUCT(PRODUCE!$B236:$DY236,PRODUCE!$EB$41:$IY$41)</f>
        <v>0</v>
      </c>
      <c r="LA233" s="56"/>
      <c r="LB233" s="242">
        <f t="shared" si="1598"/>
        <v>0</v>
      </c>
      <c r="LC233" s="242">
        <f t="shared" si="1599"/>
        <v>3690</v>
      </c>
      <c r="LD233" s="56"/>
      <c r="LG233" s="55">
        <f t="shared" si="1600"/>
        <v>46219</v>
      </c>
      <c r="LH233" s="56"/>
      <c r="LI233" s="242">
        <f>SUMPRODUCT(PRODUCE!$B236:$DY236,PRODUCE!$EB$42:$IY$42)</f>
        <v>0</v>
      </c>
      <c r="LJ233" s="56"/>
      <c r="LK233" s="242">
        <f t="shared" si="1601"/>
        <v>0</v>
      </c>
      <c r="LL233" s="242">
        <f t="shared" si="1602"/>
        <v>4000</v>
      </c>
      <c r="LM233" s="56"/>
      <c r="LP233" s="55">
        <f t="shared" si="1603"/>
        <v>46219</v>
      </c>
      <c r="LQ233" s="56"/>
      <c r="LR233" s="242">
        <f>SUMPRODUCT(PRODUCE!$B236:$DY236,PRODUCE!$EB$43:$IY$43)</f>
        <v>0</v>
      </c>
      <c r="LS233" s="56"/>
      <c r="LT233" s="242">
        <f t="shared" si="1604"/>
        <v>0</v>
      </c>
      <c r="LU233" s="242">
        <f t="shared" si="1605"/>
        <v>0</v>
      </c>
      <c r="LV233" s="56"/>
      <c r="LY233" s="55">
        <f t="shared" si="1606"/>
        <v>46219</v>
      </c>
      <c r="LZ233" s="56"/>
      <c r="MA233" s="242">
        <f>SUMPRODUCT(PRODUCE!$B236:$DY236,PRODUCE!$EB$44:$IY$44)</f>
        <v>0</v>
      </c>
      <c r="MB233" s="56"/>
      <c r="MC233" s="242">
        <f t="shared" si="1607"/>
        <v>0</v>
      </c>
      <c r="MD233" s="242">
        <f t="shared" si="1608"/>
        <v>0</v>
      </c>
      <c r="ME233" s="56"/>
      <c r="MH233" s="55">
        <f t="shared" si="1609"/>
        <v>46219</v>
      </c>
      <c r="MI233" s="56"/>
      <c r="MJ233" s="242">
        <f>SUMPRODUCT(PRODUCE!$B236:$DY236,PRODUCE!$EB$45:$IY$45)</f>
        <v>0</v>
      </c>
      <c r="MK233" s="56"/>
      <c r="ML233" s="242">
        <f t="shared" si="1610"/>
        <v>0</v>
      </c>
      <c r="MM233" s="242">
        <f t="shared" si="1611"/>
        <v>0</v>
      </c>
      <c r="MN233" s="56"/>
      <c r="MQ233" s="55">
        <f t="shared" si="1612"/>
        <v>46219</v>
      </c>
      <c r="MR233" s="56"/>
      <c r="MS233" s="242">
        <f>SUMPRODUCT(PRODUCE!$B236:$DY236,PRODUCE!$EB$46:$IY$46)</f>
        <v>0</v>
      </c>
      <c r="MT233" s="56">
        <v>20</v>
      </c>
      <c r="MU233" s="242">
        <f t="shared" si="1613"/>
        <v>-20</v>
      </c>
      <c r="MV233" s="242">
        <f t="shared" si="1614"/>
        <v>2712</v>
      </c>
      <c r="MW233" s="56"/>
      <c r="MZ233" s="55">
        <f t="shared" si="1615"/>
        <v>46219</v>
      </c>
      <c r="NA233" s="56">
        <v>240</v>
      </c>
      <c r="NB233" s="242">
        <f>SUMPRODUCT(PRODUCE!$B236:$DY236,PRODUCE!$EB$47:$IY$47)</f>
        <v>48</v>
      </c>
      <c r="NC233" s="56">
        <v>240</v>
      </c>
      <c r="ND233" s="242">
        <f t="shared" si="1616"/>
        <v>-192</v>
      </c>
      <c r="NE233" s="242">
        <f t="shared" si="1617"/>
        <v>0</v>
      </c>
      <c r="NF233" s="56"/>
      <c r="NI233" s="55">
        <f t="shared" si="1618"/>
        <v>46219</v>
      </c>
      <c r="NJ233" s="56"/>
      <c r="NK233" s="242">
        <f>SUMPRODUCT(PRODUCE!$B236:$DY236,PRODUCE!$EB$48:$IY$48)</f>
        <v>0</v>
      </c>
      <c r="NL233" s="56"/>
      <c r="NM233" s="242">
        <f t="shared" si="1619"/>
        <v>0</v>
      </c>
      <c r="NN233" s="242">
        <f t="shared" si="1620"/>
        <v>1127</v>
      </c>
      <c r="NO233" s="56"/>
      <c r="NR233" s="55">
        <f t="shared" si="1621"/>
        <v>46219</v>
      </c>
      <c r="NS233" s="56"/>
      <c r="NT233" s="242">
        <f>SUMPRODUCT(PRODUCE!$B236:$DY236,PRODUCE!$EB$49:$IY$49)</f>
        <v>0</v>
      </c>
      <c r="NU233" s="56"/>
      <c r="NV233" s="242">
        <f t="shared" si="1622"/>
        <v>0</v>
      </c>
      <c r="NW233" s="242">
        <f t="shared" si="1623"/>
        <v>3111.9999999999995</v>
      </c>
      <c r="NX233" s="56"/>
      <c r="OA233" s="55">
        <f t="shared" si="1624"/>
        <v>46219</v>
      </c>
      <c r="OB233" s="56"/>
      <c r="OC233" s="242">
        <f>SUMPRODUCT(PRODUCE!$B236:$DY236,PRODUCE!$EB$50:$IY$50)</f>
        <v>0</v>
      </c>
      <c r="OD233" s="56"/>
      <c r="OE233" s="242">
        <f t="shared" si="1625"/>
        <v>0</v>
      </c>
      <c r="OF233" s="242">
        <f t="shared" si="1626"/>
        <v>1680.5</v>
      </c>
      <c r="OG233" s="56"/>
      <c r="OJ233" s="55">
        <f t="shared" si="1627"/>
        <v>46219</v>
      </c>
      <c r="OK233" s="56">
        <v>38</v>
      </c>
      <c r="OL233" s="242">
        <f>SUMPRODUCT(PRODUCE!$B236:$DY236,PRODUCE!$EB$51:$IY$51)</f>
        <v>0</v>
      </c>
      <c r="OM233" s="56">
        <v>38</v>
      </c>
      <c r="ON233" s="242">
        <f t="shared" si="1628"/>
        <v>-38</v>
      </c>
      <c r="OO233" s="242">
        <f t="shared" si="1629"/>
        <v>0</v>
      </c>
      <c r="OP233" s="56"/>
      <c r="OS233" s="55">
        <f t="shared" si="1630"/>
        <v>46219</v>
      </c>
      <c r="OT233" s="56"/>
      <c r="OU233" s="242">
        <f>SUMPRODUCT(PRODUCE!$B236:$DY236,PRODUCE!$EB$52:$IY$52)</f>
        <v>0</v>
      </c>
      <c r="OV233" s="56"/>
      <c r="OW233" s="242">
        <f t="shared" si="1631"/>
        <v>0</v>
      </c>
      <c r="OX233" s="242">
        <f t="shared" si="1632"/>
        <v>1482</v>
      </c>
      <c r="OY233" s="56"/>
      <c r="PB233" s="55">
        <f t="shared" si="1633"/>
        <v>46219</v>
      </c>
      <c r="PC233" s="56"/>
      <c r="PD233" s="242">
        <f>SUMPRODUCT(PRODUCE!$B236:$DY236,PRODUCE!$EB$53:$IY$53)</f>
        <v>0</v>
      </c>
      <c r="PE233" s="56"/>
      <c r="PF233" s="242">
        <f t="shared" si="1634"/>
        <v>0</v>
      </c>
      <c r="PG233" s="242">
        <f t="shared" si="1635"/>
        <v>0</v>
      </c>
      <c r="PH233" s="56"/>
      <c r="PK233" s="55">
        <f t="shared" si="1636"/>
        <v>46219</v>
      </c>
      <c r="PL233" s="56"/>
      <c r="PM233" s="242">
        <f>SUMPRODUCT(PRODUCE!$B236:$DY236,PRODUCE!$EB$54:$IY$54)</f>
        <v>0</v>
      </c>
      <c r="PN233" s="56"/>
      <c r="PO233" s="242">
        <f t="shared" si="1637"/>
        <v>0</v>
      </c>
      <c r="PP233" s="242">
        <f t="shared" si="1638"/>
        <v>100</v>
      </c>
      <c r="PQ233" s="56"/>
      <c r="PT233" s="55">
        <f t="shared" si="1639"/>
        <v>46219</v>
      </c>
      <c r="PU233" s="56"/>
      <c r="PV233" s="242">
        <f>SUMPRODUCT(PRODUCE!$B236:$DY236,PRODUCE!$EB$55:$IY$55)</f>
        <v>0</v>
      </c>
      <c r="PW233" s="56"/>
      <c r="PX233" s="242">
        <f t="shared" si="1640"/>
        <v>0</v>
      </c>
      <c r="PY233" s="242">
        <f t="shared" si="1641"/>
        <v>13.960000000000036</v>
      </c>
      <c r="PZ233" s="56"/>
      <c r="QC233" s="55">
        <f t="shared" si="1642"/>
        <v>46219</v>
      </c>
      <c r="QD233" s="56"/>
      <c r="QE233" s="242">
        <f>SUMPRODUCT(PRODUCE!$B236:$DY236,PRODUCE!$EB$56:$IY$56)</f>
        <v>0</v>
      </c>
      <c r="QF233" s="56"/>
      <c r="QG233" s="242">
        <f t="shared" si="1643"/>
        <v>0</v>
      </c>
      <c r="QH233" s="242">
        <f t="shared" si="1644"/>
        <v>1736</v>
      </c>
      <c r="QI233" s="56"/>
      <c r="QL233" s="55">
        <f t="shared" si="1645"/>
        <v>46219</v>
      </c>
      <c r="QM233" s="56"/>
      <c r="QN233" s="242">
        <f>SUMPRODUCT(PRODUCE!$B236:$DY236,PRODUCE!$EB$57:$IY$57)</f>
        <v>40</v>
      </c>
      <c r="QO233" s="56"/>
      <c r="QP233" s="242">
        <f t="shared" si="1646"/>
        <v>40</v>
      </c>
      <c r="QQ233" s="242">
        <f t="shared" si="1647"/>
        <v>10</v>
      </c>
      <c r="QR233" s="56"/>
      <c r="QU233" s="55">
        <f t="shared" si="1648"/>
        <v>46219</v>
      </c>
      <c r="QV233" s="56"/>
      <c r="QW233" s="242">
        <f>SUMPRODUCT(PRODUCE!$B236:$DY236,PRODUCE!$EB$58:$IY$58)</f>
        <v>0</v>
      </c>
      <c r="QX233" s="56"/>
      <c r="QY233" s="242">
        <f t="shared" si="1649"/>
        <v>0</v>
      </c>
      <c r="QZ233" s="242">
        <f t="shared" si="1650"/>
        <v>207.6</v>
      </c>
      <c r="RA233" s="56"/>
      <c r="RD233" s="55">
        <f t="shared" si="1651"/>
        <v>46219</v>
      </c>
      <c r="RE233" s="56"/>
      <c r="RF233" s="242">
        <f>SUMPRODUCT(PRODUCE!$B236:$DY236,PRODUCE!$EB$59:$IY$59)</f>
        <v>0</v>
      </c>
      <c r="RG233" s="56"/>
      <c r="RH233" s="242">
        <f t="shared" si="1652"/>
        <v>0</v>
      </c>
      <c r="RI233" s="242">
        <f t="shared" si="1653"/>
        <v>147.04000000000002</v>
      </c>
      <c r="RJ233" s="56"/>
      <c r="RM233" s="55">
        <f t="shared" si="1654"/>
        <v>46219</v>
      </c>
      <c r="RN233" s="56"/>
      <c r="RO233" s="242">
        <f>SUMPRODUCT(PRODUCE!$B236:$DY236,PRODUCE!$EB$60:$IY$60)</f>
        <v>0</v>
      </c>
      <c r="RP233" s="56"/>
      <c r="RQ233" s="242">
        <f t="shared" si="1655"/>
        <v>0</v>
      </c>
      <c r="RR233" s="242">
        <f t="shared" si="1656"/>
        <v>46.8</v>
      </c>
      <c r="RS233" s="56"/>
      <c r="RV233" s="55">
        <f t="shared" si="1657"/>
        <v>46219</v>
      </c>
      <c r="RW233" s="56"/>
      <c r="RX233" s="242">
        <f>SUMPRODUCT(PRODUCE!$B236:$DY236,PRODUCE!$EB$61:$IY$61)</f>
        <v>0</v>
      </c>
      <c r="RY233" s="56"/>
      <c r="RZ233" s="242">
        <f t="shared" si="1658"/>
        <v>0</v>
      </c>
      <c r="SA233" s="242">
        <f t="shared" si="1659"/>
        <v>0</v>
      </c>
      <c r="SB233" s="56"/>
      <c r="SE233" s="55">
        <f t="shared" si="1660"/>
        <v>46219</v>
      </c>
      <c r="SF233" s="56"/>
      <c r="SG233" s="242">
        <f>SUMPRODUCT(PRODUCE!$B236:$DY236,PRODUCE!$EB$62:$IY$62)</f>
        <v>0</v>
      </c>
      <c r="SH233" s="56"/>
      <c r="SI233" s="242">
        <f t="shared" si="1661"/>
        <v>0</v>
      </c>
      <c r="SJ233" s="242">
        <f t="shared" si="1662"/>
        <v>24.200000000000003</v>
      </c>
      <c r="SK233" s="56"/>
      <c r="SN233" s="55">
        <f t="shared" si="1663"/>
        <v>46219</v>
      </c>
      <c r="SO233" s="56"/>
      <c r="SP233" s="242">
        <f>SUMPRODUCT(PRODUCE!$B236:$DY236,PRODUCE!$EB$63:$IY$63)</f>
        <v>0</v>
      </c>
      <c r="SQ233" s="56"/>
      <c r="SR233" s="242">
        <f t="shared" si="1664"/>
        <v>0</v>
      </c>
      <c r="SS233" s="242">
        <f t="shared" si="1665"/>
        <v>32</v>
      </c>
      <c r="ST233" s="56"/>
      <c r="SW233" s="55">
        <f t="shared" si="1666"/>
        <v>46219</v>
      </c>
      <c r="SX233" s="56"/>
      <c r="SY233" s="242">
        <f>SUMPRODUCT(PRODUCE!$B236:$DY236,PRODUCE!$EB$64:$IY$64)</f>
        <v>0</v>
      </c>
      <c r="SZ233" s="56"/>
      <c r="TA233" s="242">
        <f t="shared" si="1667"/>
        <v>0</v>
      </c>
      <c r="TB233" s="242">
        <f t="shared" si="1668"/>
        <v>0</v>
      </c>
      <c r="TC233" s="56"/>
      <c r="TF233" s="55">
        <f t="shared" si="1669"/>
        <v>46219</v>
      </c>
      <c r="TG233" s="56"/>
      <c r="TH233" s="242">
        <f>SUMPRODUCT(PRODUCE!$B236:$DY236,PRODUCE!$EB$57:$IY$57)</f>
        <v>40</v>
      </c>
      <c r="TI233" s="56"/>
      <c r="TJ233" s="242">
        <f t="shared" si="1670"/>
        <v>40</v>
      </c>
      <c r="TK233" s="242">
        <f t="shared" si="1671"/>
        <v>0</v>
      </c>
      <c r="TL233" s="56"/>
      <c r="TO233" s="55">
        <f t="shared" si="1672"/>
        <v>46219</v>
      </c>
      <c r="TP233" s="56"/>
      <c r="TQ233" s="242">
        <f>SUMPRODUCT(PRODUCE!$B236:$DY236,PRODUCE!$EB$57:$IY$57)</f>
        <v>40</v>
      </c>
      <c r="TR233" s="56"/>
      <c r="TS233" s="242">
        <f t="shared" si="1673"/>
        <v>40</v>
      </c>
      <c r="TT233" s="242">
        <f t="shared" si="1674"/>
        <v>22.400000000000006</v>
      </c>
      <c r="TU233" s="56"/>
      <c r="TX233" s="55">
        <f t="shared" si="1675"/>
        <v>46219</v>
      </c>
      <c r="TY233" s="56"/>
      <c r="TZ233" s="242">
        <f>SUMPRODUCT(PRODUCE!$B236:$DY236,PRODUCE!$EB$57:$IY$57)</f>
        <v>40</v>
      </c>
      <c r="UA233" s="56"/>
      <c r="UB233" s="242">
        <f t="shared" si="1676"/>
        <v>40</v>
      </c>
      <c r="UC233" s="242">
        <f t="shared" si="1677"/>
        <v>46.799999999999983</v>
      </c>
      <c r="UD233" s="56"/>
      <c r="UG233" s="55">
        <f t="shared" si="1678"/>
        <v>46219</v>
      </c>
      <c r="UH233" s="56"/>
      <c r="UI233" s="242">
        <f>SUMPRODUCT(PRODUCE!$B236:$DY236,PRODUCE!$EB$57:$IY$57)</f>
        <v>40</v>
      </c>
      <c r="UJ233" s="56"/>
      <c r="UK233" s="242">
        <f t="shared" si="1679"/>
        <v>40</v>
      </c>
      <c r="UL233" s="242">
        <f t="shared" si="1680"/>
        <v>204</v>
      </c>
      <c r="UM233" s="56"/>
      <c r="UP233" s="55">
        <f t="shared" si="1681"/>
        <v>46219</v>
      </c>
      <c r="UQ233" s="56"/>
      <c r="UR233" s="242">
        <f>SUMPRODUCT(PRODUCE!$B236:$DY236,PRODUCE!$EB$69:$IY$69)</f>
        <v>0</v>
      </c>
      <c r="US233" s="56"/>
      <c r="UT233" s="242">
        <f t="shared" si="1682"/>
        <v>0</v>
      </c>
      <c r="UU233" s="242">
        <f t="shared" si="1683"/>
        <v>242.5</v>
      </c>
      <c r="UV233" s="56"/>
      <c r="UY233" s="55">
        <f t="shared" si="1684"/>
        <v>46219</v>
      </c>
      <c r="UZ233" s="56"/>
      <c r="VA233" s="242">
        <f>SUMPRODUCT(PRODUCE!$B236:$DY236,PRODUCE!$EB$70:$IY$70)</f>
        <v>0</v>
      </c>
      <c r="VB233" s="56"/>
      <c r="VC233" s="242">
        <f t="shared" si="1685"/>
        <v>0</v>
      </c>
      <c r="VD233" s="242">
        <f t="shared" si="1686"/>
        <v>41.600000000000023</v>
      </c>
      <c r="VE233" s="56"/>
      <c r="VH233" s="55">
        <f t="shared" si="1687"/>
        <v>46219</v>
      </c>
      <c r="VI233" s="56"/>
      <c r="VJ233" s="242">
        <f>SUMPRODUCT(PRODUCE!$B236:$DY236,PRODUCE!$EB$71:$IY$71)</f>
        <v>0</v>
      </c>
      <c r="VK233" s="56"/>
      <c r="VL233" s="242">
        <f t="shared" si="1688"/>
        <v>0</v>
      </c>
      <c r="VM233" s="242">
        <f t="shared" si="1689"/>
        <v>210</v>
      </c>
      <c r="VN233" s="56"/>
      <c r="VQ233" s="55">
        <f t="shared" si="1690"/>
        <v>46219</v>
      </c>
      <c r="VR233" s="56"/>
      <c r="VS233" s="242">
        <f>SUMPRODUCT(PRODUCE!$B236:$DY236,PRODUCE!$EB$57:$IY$57)</f>
        <v>40</v>
      </c>
      <c r="VT233" s="56"/>
      <c r="VU233" s="242">
        <f t="shared" si="1691"/>
        <v>40</v>
      </c>
      <c r="VV233" s="242">
        <f t="shared" si="1692"/>
        <v>0</v>
      </c>
      <c r="VW233" s="56"/>
      <c r="VZ233" s="55">
        <f t="shared" si="1693"/>
        <v>46219</v>
      </c>
      <c r="WA233" s="56"/>
      <c r="WB233" s="242">
        <f>SUMPRODUCT(PRODUCE!$B236:$DY236,PRODUCE!$EB$57:$IY$57)</f>
        <v>40</v>
      </c>
      <c r="WC233" s="56"/>
      <c r="WD233" s="242">
        <f t="shared" si="1694"/>
        <v>40</v>
      </c>
      <c r="WE233" s="242">
        <f t="shared" si="1695"/>
        <v>0</v>
      </c>
      <c r="WF233" s="56"/>
      <c r="WI233" s="55">
        <f t="shared" si="1696"/>
        <v>46219</v>
      </c>
      <c r="WJ233" s="56"/>
      <c r="WK233" s="242">
        <f>SUMPRODUCT(PRODUCE!$B236:$DY236,PRODUCE!$EB$57:$IY$57)</f>
        <v>40</v>
      </c>
      <c r="WL233" s="56"/>
      <c r="WM233" s="242">
        <f t="shared" si="1697"/>
        <v>40</v>
      </c>
      <c r="WN233" s="242">
        <f t="shared" si="1698"/>
        <v>1057</v>
      </c>
      <c r="WO233" s="56"/>
      <c r="WR233" s="55">
        <f t="shared" si="1699"/>
        <v>46219</v>
      </c>
      <c r="WS233" s="56"/>
      <c r="WT233" s="242">
        <f>SUMPRODUCT(PRODUCE!$B236:$DY236,PRODUCE!$EB$57:$IY$57)</f>
        <v>40</v>
      </c>
      <c r="WU233" s="56"/>
      <c r="WV233" s="242">
        <f t="shared" si="1700"/>
        <v>40</v>
      </c>
      <c r="WW233" s="242">
        <f t="shared" si="1701"/>
        <v>0</v>
      </c>
      <c r="WX233" s="56"/>
      <c r="XA233" s="55">
        <f t="shared" si="1702"/>
        <v>46219</v>
      </c>
      <c r="XB233" s="56"/>
      <c r="XC233" s="242">
        <f>SUMPRODUCT(PRODUCE!$B236:$DY236,PRODUCE!$EB$57:$IY$57)</f>
        <v>40</v>
      </c>
      <c r="XD233" s="56"/>
      <c r="XE233" s="242">
        <f t="shared" si="1703"/>
        <v>40</v>
      </c>
      <c r="XF233" s="242">
        <f t="shared" si="1704"/>
        <v>7507</v>
      </c>
      <c r="XG233" s="56"/>
      <c r="XJ233" s="55">
        <f t="shared" si="1705"/>
        <v>46219</v>
      </c>
      <c r="XK233" s="56"/>
      <c r="XL233" s="242">
        <f>SUMPRODUCT(PRODUCE!$B236:$DY236,PRODUCE!$EB$57:$IY$57)</f>
        <v>40</v>
      </c>
      <c r="XM233" s="56"/>
      <c r="XN233" s="242">
        <f t="shared" si="1706"/>
        <v>40</v>
      </c>
      <c r="XO233" s="242">
        <f t="shared" si="1707"/>
        <v>4252</v>
      </c>
      <c r="XP233" s="56"/>
      <c r="XS233" s="55">
        <f t="shared" si="1708"/>
        <v>46219</v>
      </c>
      <c r="XT233" s="56"/>
      <c r="XU233" s="242">
        <f>SUMPRODUCT(PRODUCE!$B236:$DY236,PRODUCE!$EB$57:$IY$57)</f>
        <v>40</v>
      </c>
      <c r="XV233" s="56"/>
      <c r="XW233" s="242">
        <f t="shared" si="1709"/>
        <v>40</v>
      </c>
      <c r="XX233" s="242">
        <f t="shared" si="1710"/>
        <v>2179</v>
      </c>
      <c r="XY233" s="56"/>
      <c r="YB233" s="55">
        <f t="shared" si="1711"/>
        <v>46219</v>
      </c>
      <c r="YC233" s="56"/>
      <c r="YD233" s="242">
        <f>SUMPRODUCT(PRODUCE!$B236:$DY236,PRODUCE!$EB$57:$IY$57)</f>
        <v>40</v>
      </c>
      <c r="YE233" s="56"/>
      <c r="YF233" s="242">
        <f t="shared" si="1712"/>
        <v>40</v>
      </c>
      <c r="YG233" s="242">
        <f t="shared" si="1713"/>
        <v>4019</v>
      </c>
      <c r="YH233" s="56"/>
      <c r="YK233" s="55">
        <f t="shared" si="1714"/>
        <v>46219</v>
      </c>
      <c r="YL233" s="56"/>
      <c r="YM233" s="242">
        <f>SUMPRODUCT(PRODUCE!$B236:$DY236,PRODUCE!$EB$57:$IY$57)</f>
        <v>40</v>
      </c>
      <c r="YN233" s="56"/>
      <c r="YO233" s="242">
        <f t="shared" si="1715"/>
        <v>40</v>
      </c>
      <c r="YP233" s="242">
        <f t="shared" si="1716"/>
        <v>0</v>
      </c>
      <c r="YQ233" s="56"/>
      <c r="YT233" s="55">
        <f t="shared" si="1717"/>
        <v>46219</v>
      </c>
      <c r="YU233" s="56"/>
      <c r="YV233" s="242">
        <f>SUMPRODUCT(PRODUCE!$B236:$DY236,PRODUCE!$EB$57:$IY$57)</f>
        <v>40</v>
      </c>
      <c r="YW233" s="56"/>
      <c r="YX233" s="242">
        <f t="shared" si="1718"/>
        <v>40</v>
      </c>
      <c r="YY233" s="242">
        <f t="shared" si="1719"/>
        <v>0</v>
      </c>
      <c r="YZ233" s="56"/>
      <c r="ZC233" s="55">
        <f t="shared" si="1720"/>
        <v>46219</v>
      </c>
      <c r="ZD233" s="56"/>
      <c r="ZE233" s="242">
        <f>SUMPRODUCT(PRODUCE!$B236:$DY236,PRODUCE!$EB$57:$IY$57)</f>
        <v>40</v>
      </c>
      <c r="ZF233" s="56"/>
      <c r="ZG233" s="242">
        <f t="shared" si="1721"/>
        <v>40</v>
      </c>
      <c r="ZH233" s="242">
        <f t="shared" si="1722"/>
        <v>0</v>
      </c>
      <c r="ZI233" s="56"/>
      <c r="ZL233" s="55">
        <f t="shared" si="1723"/>
        <v>46219</v>
      </c>
      <c r="ZM233" s="56"/>
      <c r="ZN233" s="242">
        <f>SUMPRODUCT(PRODUCE!$B236:$DY236,PRODUCE!$EB$57:$IY$57)</f>
        <v>40</v>
      </c>
      <c r="ZO233" s="56"/>
      <c r="ZP233" s="242">
        <f t="shared" si="1724"/>
        <v>40</v>
      </c>
      <c r="ZQ233" s="242">
        <f t="shared" si="1725"/>
        <v>0</v>
      </c>
      <c r="ZR233" s="56"/>
      <c r="ZU233" s="55">
        <f t="shared" si="1726"/>
        <v>46219</v>
      </c>
      <c r="ZV233" s="56"/>
      <c r="ZW233" s="242">
        <f>SUMPRODUCT(PRODUCE!$B236:$DY236,PRODUCE!$EB$57:$IY$57)</f>
        <v>40</v>
      </c>
      <c r="ZX233" s="56"/>
      <c r="ZY233" s="242">
        <f t="shared" si="1727"/>
        <v>40</v>
      </c>
      <c r="ZZ233" s="242">
        <f t="shared" si="1728"/>
        <v>0</v>
      </c>
      <c r="AAA233" s="56"/>
      <c r="AAD233" s="55">
        <f t="shared" si="1729"/>
        <v>46219</v>
      </c>
      <c r="AAE233" s="56"/>
      <c r="AAF233" s="242">
        <f>SUMPRODUCT(PRODUCE!$B236:$DY236,PRODUCE!$EB$57:$IY$57)</f>
        <v>40</v>
      </c>
      <c r="AAG233" s="56"/>
      <c r="AAH233" s="242">
        <f t="shared" si="1730"/>
        <v>40</v>
      </c>
      <c r="AAI233" s="242">
        <f t="shared" si="1731"/>
        <v>0</v>
      </c>
      <c r="AAJ233" s="56"/>
      <c r="AAM233" s="55">
        <f t="shared" si="1732"/>
        <v>46219</v>
      </c>
      <c r="AAN233" s="56"/>
      <c r="AAO233" s="242">
        <f>SUMPRODUCT(PRODUCE!$B236:$DY236,PRODUCE!$EB$57:$IY$57)</f>
        <v>40</v>
      </c>
      <c r="AAP233" s="56"/>
      <c r="AAQ233" s="242">
        <f t="shared" si="1733"/>
        <v>40</v>
      </c>
      <c r="AAR233" s="242">
        <f t="shared" si="1734"/>
        <v>0</v>
      </c>
      <c r="AAS233" s="56"/>
      <c r="AAV233" s="55">
        <f t="shared" si="1735"/>
        <v>46219</v>
      </c>
      <c r="AAW233" s="56"/>
      <c r="AAX233" s="242">
        <f>SUMPRODUCT(PRODUCE!$B236:$DY236,PRODUCE!$EB$57:$IY$57)</f>
        <v>40</v>
      </c>
      <c r="AAY233" s="56"/>
      <c r="AAZ233" s="242">
        <f t="shared" si="1736"/>
        <v>40</v>
      </c>
      <c r="ABA233" s="242">
        <f t="shared" si="1737"/>
        <v>0</v>
      </c>
      <c r="ABB233" s="56"/>
      <c r="ABE233" s="55">
        <f t="shared" si="1738"/>
        <v>46219</v>
      </c>
      <c r="ABF233" s="56"/>
      <c r="ABG233" s="242">
        <f>SUMPRODUCT(PRODUCE!$B236:$DY236,PRODUCE!$EB$57:$IY$57)</f>
        <v>40</v>
      </c>
      <c r="ABH233" s="56"/>
      <c r="ABI233" s="242">
        <f t="shared" si="1739"/>
        <v>40</v>
      </c>
      <c r="ABJ233" s="242">
        <f t="shared" si="1740"/>
        <v>0</v>
      </c>
      <c r="ABK233" s="56"/>
    </row>
    <row r="234" spans="2:739" s="54" customFormat="1" ht="15" customHeight="1" outlineLevel="1">
      <c r="B234" s="478"/>
      <c r="C234" s="55">
        <v>46220</v>
      </c>
      <c r="D234" s="422">
        <v>28300</v>
      </c>
      <c r="E234" s="423">
        <f>SUMPRODUCT(PRODUCE!$B237:$DY237,PRODUCE!$EB$7:$IY$7)</f>
        <v>16318.500000000002</v>
      </c>
      <c r="F234" s="422">
        <v>16369</v>
      </c>
      <c r="G234" s="423">
        <f t="shared" si="1496"/>
        <v>-50.499999999998181</v>
      </c>
      <c r="H234" s="423">
        <f t="shared" si="1497"/>
        <v>77787.400000000038</v>
      </c>
      <c r="I234" s="289"/>
      <c r="L234" s="55">
        <f t="shared" si="1498"/>
        <v>46220</v>
      </c>
      <c r="M234" s="422"/>
      <c r="N234" s="438">
        <f>SUMPRODUCT(PRODUCE!$B237:$DY237,PRODUCE!$EB$8:$IY$8)</f>
        <v>8925</v>
      </c>
      <c r="O234" s="422">
        <v>8926.2000000000007</v>
      </c>
      <c r="P234" s="438">
        <f t="shared" si="1499"/>
        <v>-1.2000000000007276</v>
      </c>
      <c r="Q234" s="438">
        <f t="shared" si="1500"/>
        <v>-5516.7999999999302</v>
      </c>
      <c r="R234" s="56"/>
      <c r="U234" s="55">
        <f t="shared" si="1501"/>
        <v>46220</v>
      </c>
      <c r="V234" s="422">
        <v>30100</v>
      </c>
      <c r="W234" s="440">
        <f>SUMPRODUCT(PRODUCE!$B237:$DY237,PRODUCE!$EB$9:$IY$9)</f>
        <v>1800</v>
      </c>
      <c r="X234" s="422"/>
      <c r="Y234" s="440">
        <f t="shared" si="1502"/>
        <v>1800</v>
      </c>
      <c r="Z234" s="440">
        <f t="shared" si="1503"/>
        <v>45398.299999999967</v>
      </c>
      <c r="AA234" s="56"/>
      <c r="AD234" s="55">
        <f t="shared" si="1504"/>
        <v>46220</v>
      </c>
      <c r="AE234" s="422"/>
      <c r="AF234" s="442">
        <f>SUMPRODUCT(PRODUCE!$B237:$DY237,PRODUCE!$EB$10:$IY$10)</f>
        <v>0</v>
      </c>
      <c r="AG234" s="422"/>
      <c r="AH234" s="442">
        <f t="shared" si="1505"/>
        <v>0</v>
      </c>
      <c r="AI234" s="442">
        <f t="shared" si="1506"/>
        <v>31872.200000000019</v>
      </c>
      <c r="AJ234" s="56"/>
      <c r="AM234" s="55">
        <f t="shared" si="1507"/>
        <v>46220</v>
      </c>
      <c r="AN234" s="422"/>
      <c r="AO234" s="444">
        <f>SUMPRODUCT(PRODUCE!$B237:$DY237,PRODUCE!$EB$11:$IY$11)</f>
        <v>0</v>
      </c>
      <c r="AP234" s="422"/>
      <c r="AQ234" s="444">
        <f t="shared" si="1508"/>
        <v>0</v>
      </c>
      <c r="AR234" s="444">
        <f t="shared" si="1509"/>
        <v>0</v>
      </c>
      <c r="AS234" s="56"/>
      <c r="AV234" s="55">
        <f t="shared" si="1510"/>
        <v>46220</v>
      </c>
      <c r="AW234" s="422"/>
      <c r="AX234" s="446">
        <f>SUMPRODUCT(PRODUCE!$B237:$DY237,PRODUCE!$EB$12:$IY$12)</f>
        <v>0</v>
      </c>
      <c r="AY234" s="422"/>
      <c r="AZ234" s="446">
        <f t="shared" si="1511"/>
        <v>0</v>
      </c>
      <c r="BA234" s="446">
        <f t="shared" si="1512"/>
        <v>1046.1999999999953</v>
      </c>
      <c r="BB234" s="56"/>
      <c r="BE234" s="55">
        <f t="shared" si="1513"/>
        <v>46220</v>
      </c>
      <c r="BF234" s="422"/>
      <c r="BG234" s="448">
        <f>SUMPRODUCT(PRODUCE!$B237:$DY237,PRODUCE!$EB$13:$IY$13)</f>
        <v>0</v>
      </c>
      <c r="BH234" s="422"/>
      <c r="BI234" s="448">
        <f t="shared" si="1514"/>
        <v>0</v>
      </c>
      <c r="BJ234" s="448">
        <f t="shared" si="1515"/>
        <v>29987.399999999994</v>
      </c>
      <c r="BK234" s="56"/>
      <c r="BN234" s="55">
        <f t="shared" si="1516"/>
        <v>46220</v>
      </c>
      <c r="BO234" s="422">
        <v>150.19999999999999</v>
      </c>
      <c r="BP234" s="450">
        <f>SUMPRODUCT(PRODUCE!$B237:$DY237,PRODUCE!$EB$14:$IY$14)</f>
        <v>150</v>
      </c>
      <c r="BQ234" s="422">
        <v>150.19999999999999</v>
      </c>
      <c r="BR234" s="450">
        <f t="shared" si="1517"/>
        <v>-0.19999999999998863</v>
      </c>
      <c r="BS234" s="450">
        <f t="shared" si="1518"/>
        <v>0</v>
      </c>
      <c r="BT234" s="56"/>
      <c r="BW234" s="55">
        <f t="shared" si="1519"/>
        <v>46220</v>
      </c>
      <c r="BX234" s="422"/>
      <c r="BY234" s="523">
        <f>SUMPRODUCT(PRODUCE!$B237:$DY237,PRODUCE!$EB$15:$IY$15)</f>
        <v>220.65</v>
      </c>
      <c r="BZ234" s="422">
        <f>24+47.1+735.5+114.32</f>
        <v>920.92000000000007</v>
      </c>
      <c r="CA234" s="523">
        <f t="shared" si="1520"/>
        <v>-700.2700000000001</v>
      </c>
      <c r="CB234" s="523">
        <f t="shared" si="1521"/>
        <v>6055.1099999999988</v>
      </c>
      <c r="CC234" s="56"/>
      <c r="CF234" s="55">
        <f t="shared" si="1522"/>
        <v>46220</v>
      </c>
      <c r="CG234" s="422"/>
      <c r="CH234" s="524">
        <f>SUMPRODUCT(PRODUCE!$B237:$DY237,PRODUCE!$EB$16:$IY$16)</f>
        <v>0</v>
      </c>
      <c r="CI234" s="422">
        <f>97.28+25.68+77.04+49.88+990.6+211.95</f>
        <v>1452.43</v>
      </c>
      <c r="CJ234" s="524">
        <f t="shared" si="1523"/>
        <v>-1452.43</v>
      </c>
      <c r="CK234" s="524">
        <f t="shared" si="1524"/>
        <v>-7976.6599999999989</v>
      </c>
      <c r="CL234" s="56"/>
      <c r="CO234" s="55">
        <f t="shared" si="1525"/>
        <v>46220</v>
      </c>
      <c r="CP234" s="422"/>
      <c r="CQ234" s="470">
        <f>SUMPRODUCT(PRODUCE!$B237:$DY237,PRODUCE!$EB$17:$IY$17)</f>
        <v>0</v>
      </c>
      <c r="CR234" s="422"/>
      <c r="CS234" s="470">
        <f t="shared" si="1526"/>
        <v>0</v>
      </c>
      <c r="CT234" s="470">
        <f t="shared" si="1527"/>
        <v>0</v>
      </c>
      <c r="CU234" s="56"/>
      <c r="CX234" s="55">
        <f t="shared" si="1528"/>
        <v>46220</v>
      </c>
      <c r="CY234" s="422">
        <v>600</v>
      </c>
      <c r="CZ234" s="525">
        <f>SUMPRODUCT(PRODUCE!$B237:$DY237,PRODUCE!$EB$18:$IY$18)</f>
        <v>600</v>
      </c>
      <c r="DA234" s="422"/>
      <c r="DB234" s="525">
        <f t="shared" si="1529"/>
        <v>600</v>
      </c>
      <c r="DC234" s="525">
        <f t="shared" si="1530"/>
        <v>1311.6000000000072</v>
      </c>
      <c r="DD234" s="56"/>
      <c r="DG234" s="55">
        <f t="shared" si="1531"/>
        <v>46220</v>
      </c>
      <c r="DH234" s="422"/>
      <c r="DI234" s="526">
        <f>SUMPRODUCT(PRODUCE!$B237:$DY237,PRODUCE!$EB$19:$IY$19)</f>
        <v>0</v>
      </c>
      <c r="DJ234" s="422"/>
      <c r="DK234" s="526">
        <f t="shared" si="1532"/>
        <v>0</v>
      </c>
      <c r="DL234" s="526">
        <f t="shared" si="1533"/>
        <v>33834.199999999983</v>
      </c>
      <c r="DM234" s="56"/>
      <c r="DP234" s="55">
        <f t="shared" si="1534"/>
        <v>46220</v>
      </c>
      <c r="DQ234" s="56"/>
      <c r="DR234" s="57">
        <f>SUMPRODUCT(PRODUCE!$B237:$DY237,PRODUCE!$EB$20:$IY$20)</f>
        <v>0</v>
      </c>
      <c r="DS234" s="56"/>
      <c r="DT234" s="57">
        <f t="shared" si="1535"/>
        <v>0</v>
      </c>
      <c r="DU234" s="57">
        <f t="shared" si="1536"/>
        <v>5800</v>
      </c>
      <c r="DV234" s="56"/>
      <c r="DY234" s="55">
        <f t="shared" si="1537"/>
        <v>46220</v>
      </c>
      <c r="DZ234" s="56"/>
      <c r="EA234" s="157">
        <f>SUMPRODUCT(PRODUCE!$B237:$DY237,PRODUCE!$EB$21:$IY$21)</f>
        <v>0</v>
      </c>
      <c r="EB234" s="56"/>
      <c r="EC234" s="157">
        <f t="shared" si="1538"/>
        <v>0</v>
      </c>
      <c r="ED234" s="157">
        <f t="shared" si="1539"/>
        <v>0</v>
      </c>
      <c r="EE234" s="56"/>
      <c r="EH234" s="55">
        <f t="shared" si="1540"/>
        <v>46220</v>
      </c>
      <c r="EI234" s="56"/>
      <c r="EJ234" s="162">
        <f>SUMPRODUCT(PRODUCE!$B237:$DY237,PRODUCE!$EB$22:$IY$22)</f>
        <v>0</v>
      </c>
      <c r="EK234" s="56"/>
      <c r="EL234" s="162">
        <f t="shared" si="1541"/>
        <v>0</v>
      </c>
      <c r="EM234" s="162">
        <f t="shared" si="1542"/>
        <v>0</v>
      </c>
      <c r="EN234" s="56"/>
      <c r="EQ234" s="55">
        <f t="shared" si="1543"/>
        <v>46220</v>
      </c>
      <c r="ER234" s="56"/>
      <c r="ES234" s="172">
        <f>SUMPRODUCT(PRODUCE!$B237:$DY237,PRODUCE!$EB$23:$IY$23)</f>
        <v>0</v>
      </c>
      <c r="ET234" s="56"/>
      <c r="EU234" s="135">
        <f t="shared" si="1544"/>
        <v>0</v>
      </c>
      <c r="EV234" s="135">
        <f t="shared" si="1545"/>
        <v>0</v>
      </c>
      <c r="EW234" s="56"/>
      <c r="EZ234" s="55">
        <f t="shared" si="1546"/>
        <v>46220</v>
      </c>
      <c r="FA234" s="56"/>
      <c r="FB234" s="175">
        <f>SUMPRODUCT(PRODUCE!$B237:$DY237,PRODUCE!$EB$24:$IY$24)</f>
        <v>0</v>
      </c>
      <c r="FC234" s="56"/>
      <c r="FD234" s="175">
        <f t="shared" si="1547"/>
        <v>0</v>
      </c>
      <c r="FE234" s="175">
        <f t="shared" si="1548"/>
        <v>0</v>
      </c>
      <c r="FF234" s="56"/>
      <c r="FI234" s="55">
        <f t="shared" si="1549"/>
        <v>46220</v>
      </c>
      <c r="FJ234" s="56"/>
      <c r="FK234" s="183">
        <f>SUMPRODUCT(PRODUCE!$B237:$DY237,PRODUCE!$EB$25:$IY$25)</f>
        <v>0</v>
      </c>
      <c r="FL234" s="56"/>
      <c r="FM234" s="183">
        <f t="shared" si="1550"/>
        <v>0</v>
      </c>
      <c r="FN234" s="183">
        <f t="shared" si="1551"/>
        <v>0</v>
      </c>
      <c r="FO234" s="56"/>
      <c r="FR234" s="55">
        <f t="shared" si="1552"/>
        <v>46220</v>
      </c>
      <c r="FS234" s="56"/>
      <c r="FT234" s="186">
        <f>SUMPRODUCT(PRODUCE!$B237:$DY237,PRODUCE!$EB$26:$IY$26)</f>
        <v>0</v>
      </c>
      <c r="FU234" s="56"/>
      <c r="FV234" s="186">
        <f t="shared" si="1553"/>
        <v>0</v>
      </c>
      <c r="FW234" s="186">
        <f t="shared" si="1554"/>
        <v>1160</v>
      </c>
      <c r="FX234" s="56"/>
      <c r="GA234" s="55">
        <f t="shared" si="1555"/>
        <v>46220</v>
      </c>
      <c r="GB234" s="56"/>
      <c r="GC234" s="137">
        <f>SUMPRODUCT(PRODUCE!$B237:$DY237,PRODUCE!$EB$27:$IY$27)</f>
        <v>0</v>
      </c>
      <c r="GD234" s="56"/>
      <c r="GE234" s="137">
        <f t="shared" si="1556"/>
        <v>0</v>
      </c>
      <c r="GF234" s="137">
        <f t="shared" si="1557"/>
        <v>960</v>
      </c>
      <c r="GG234" s="56"/>
      <c r="GI234" s="23"/>
      <c r="GJ234" s="55">
        <f t="shared" si="1558"/>
        <v>46220</v>
      </c>
      <c r="GK234" s="56"/>
      <c r="GL234" s="199">
        <f>SUMPRODUCT(PRODUCE!$B237:$DY237,PRODUCE!$EB$28:$IY$28)</f>
        <v>0</v>
      </c>
      <c r="GM234" s="56"/>
      <c r="GN234" s="199">
        <f t="shared" si="1559"/>
        <v>0</v>
      </c>
      <c r="GO234" s="199">
        <f t="shared" si="1560"/>
        <v>1760</v>
      </c>
      <c r="GP234" s="56"/>
      <c r="GS234" s="55">
        <f t="shared" si="1561"/>
        <v>46220</v>
      </c>
      <c r="GT234" s="56"/>
      <c r="GU234" s="195">
        <f>SUMPRODUCT(PRODUCE!$B237:$DY237,PRODUCE!$EB$29:$IY$29)</f>
        <v>0</v>
      </c>
      <c r="GV234" s="56"/>
      <c r="GW234" s="195">
        <f t="shared" si="1562"/>
        <v>0</v>
      </c>
      <c r="GX234" s="195">
        <f t="shared" si="1563"/>
        <v>400</v>
      </c>
      <c r="GY234" s="56"/>
      <c r="HB234" s="55">
        <f t="shared" si="1564"/>
        <v>46220</v>
      </c>
      <c r="HC234" s="56"/>
      <c r="HD234" s="191">
        <f>SUMPRODUCT(PRODUCE!$B237:$DY237,PRODUCE!$EB$30:$IY$30)</f>
        <v>0</v>
      </c>
      <c r="HE234" s="56"/>
      <c r="HF234" s="191">
        <f t="shared" si="1565"/>
        <v>0</v>
      </c>
      <c r="HG234" s="191">
        <f t="shared" si="1566"/>
        <v>3600</v>
      </c>
      <c r="HH234" s="56"/>
      <c r="HK234" s="55">
        <f t="shared" si="1567"/>
        <v>46220</v>
      </c>
      <c r="HL234" s="56"/>
      <c r="HM234" s="63">
        <f>SUMPRODUCT(PRODUCE!$B237:$DY237,PRODUCE!$EB$31:$IY$31)</f>
        <v>0</v>
      </c>
      <c r="HN234" s="56"/>
      <c r="HO234" s="63">
        <f t="shared" si="1568"/>
        <v>0</v>
      </c>
      <c r="HP234" s="63">
        <f t="shared" si="1569"/>
        <v>0</v>
      </c>
      <c r="HQ234" s="56"/>
      <c r="HU234" s="55">
        <f t="shared" si="1570"/>
        <v>46220</v>
      </c>
      <c r="HV234" s="56"/>
      <c r="HW234" s="242">
        <f>SUMPRODUCT(PRODUCE!$B237:$DY237,PRODUCE!$EB$32:$IY$32)</f>
        <v>0</v>
      </c>
      <c r="HX234" s="56">
        <v>320</v>
      </c>
      <c r="HY234" s="242">
        <f t="shared" si="1571"/>
        <v>-320</v>
      </c>
      <c r="HZ234" s="242">
        <f t="shared" si="1572"/>
        <v>5920</v>
      </c>
      <c r="IA234" s="56">
        <f t="shared" ref="IA234" si="1742">HX234/20</f>
        <v>16</v>
      </c>
      <c r="ID234" s="55">
        <f t="shared" si="1573"/>
        <v>46220</v>
      </c>
      <c r="IE234" s="56"/>
      <c r="IF234" s="242">
        <f>SUMPRODUCT(PRODUCE!$B237:$DY237,PRODUCE!$EB$33:$IY$33)</f>
        <v>0</v>
      </c>
      <c r="IG234" s="56"/>
      <c r="IH234" s="242">
        <f t="shared" si="1574"/>
        <v>0</v>
      </c>
      <c r="II234" s="242">
        <f t="shared" si="1575"/>
        <v>720</v>
      </c>
      <c r="IJ234" s="56"/>
      <c r="IM234" s="55">
        <f t="shared" si="1576"/>
        <v>46220</v>
      </c>
      <c r="IN234" s="56"/>
      <c r="IO234" s="242">
        <f>SUMPRODUCT(PRODUCE!$B237:$DY237,PRODUCE!$EB$34:$IY$34)</f>
        <v>0</v>
      </c>
      <c r="IP234" s="56">
        <f>80+240</f>
        <v>320</v>
      </c>
      <c r="IQ234" s="242">
        <f t="shared" si="1577"/>
        <v>-320</v>
      </c>
      <c r="IR234" s="242">
        <f t="shared" si="1578"/>
        <v>4280</v>
      </c>
      <c r="IS234" s="56">
        <f>IP234/20</f>
        <v>16</v>
      </c>
      <c r="IV234" s="55">
        <f t="shared" si="1579"/>
        <v>46220</v>
      </c>
      <c r="IW234" s="56"/>
      <c r="IX234" s="242">
        <f>SUMPRODUCT(PRODUCE!$B237:$DY237,PRODUCE!$EB$35:$IY$35)</f>
        <v>0</v>
      </c>
      <c r="IY234" s="56"/>
      <c r="IZ234" s="242">
        <f t="shared" si="1580"/>
        <v>0</v>
      </c>
      <c r="JA234" s="242">
        <f t="shared" si="1581"/>
        <v>4960</v>
      </c>
      <c r="JB234" s="56"/>
      <c r="JE234" s="55">
        <f t="shared" si="1582"/>
        <v>46220</v>
      </c>
      <c r="JF234" s="56"/>
      <c r="JG234" s="242">
        <f>SUMPRODUCT(PRODUCE!$B237:$DY237,PRODUCE!$EB$36:$IY$36)</f>
        <v>0</v>
      </c>
      <c r="JH234" s="56"/>
      <c r="JI234" s="242">
        <f t="shared" si="1583"/>
        <v>0</v>
      </c>
      <c r="JJ234" s="242">
        <f t="shared" si="1584"/>
        <v>0</v>
      </c>
      <c r="JK234" s="56"/>
      <c r="JN234" s="55">
        <f t="shared" si="1585"/>
        <v>46220</v>
      </c>
      <c r="JO234" s="56"/>
      <c r="JP234" s="242">
        <f>SUMPRODUCT(PRODUCE!$B237:$DY237,PRODUCE!$EB$37:$IY$37)</f>
        <v>0</v>
      </c>
      <c r="JQ234" s="56"/>
      <c r="JR234" s="242">
        <f t="shared" si="1586"/>
        <v>0</v>
      </c>
      <c r="JS234" s="242">
        <f t="shared" si="1587"/>
        <v>0</v>
      </c>
      <c r="JT234" s="56"/>
      <c r="JW234" s="55">
        <f t="shared" si="1588"/>
        <v>46220</v>
      </c>
      <c r="JX234" s="56"/>
      <c r="JY234" s="242">
        <f>SUMPRODUCT(PRODUCE!$B237:$DY237,PRODUCE!$EB$38:$IY$38)</f>
        <v>0</v>
      </c>
      <c r="JZ234" s="56"/>
      <c r="KA234" s="242">
        <f t="shared" si="1589"/>
        <v>0</v>
      </c>
      <c r="KB234" s="242">
        <f t="shared" si="1590"/>
        <v>2540</v>
      </c>
      <c r="KC234" s="56"/>
      <c r="KF234" s="55">
        <f t="shared" si="1591"/>
        <v>46220</v>
      </c>
      <c r="KG234" s="56"/>
      <c r="KH234" s="242">
        <f>SUMPRODUCT(PRODUCE!$B237:$DY237,PRODUCE!$EB$39:$IY$39)</f>
        <v>0</v>
      </c>
      <c r="KI234" s="56"/>
      <c r="KJ234" s="242">
        <f t="shared" si="1592"/>
        <v>0</v>
      </c>
      <c r="KK234" s="242">
        <f t="shared" si="1593"/>
        <v>2359.5</v>
      </c>
      <c r="KL234" s="56"/>
      <c r="KO234" s="55">
        <f t="shared" si="1594"/>
        <v>46220</v>
      </c>
      <c r="KP234" s="56"/>
      <c r="KQ234" s="242">
        <f>SUMPRODUCT(PRODUCE!$B237:$DY237,PRODUCE!$EB$40:$IY$40)</f>
        <v>0</v>
      </c>
      <c r="KR234" s="56"/>
      <c r="KS234" s="242">
        <f t="shared" si="1595"/>
        <v>0</v>
      </c>
      <c r="KT234" s="242">
        <f t="shared" si="1596"/>
        <v>1890</v>
      </c>
      <c r="KU234" s="56"/>
      <c r="KW234" s="23"/>
      <c r="KX234" s="55">
        <f t="shared" si="1597"/>
        <v>46220</v>
      </c>
      <c r="KY234" s="56"/>
      <c r="KZ234" s="242">
        <f>SUMPRODUCT(PRODUCE!$B237:$DY237,PRODUCE!$EB$41:$IY$41)</f>
        <v>0</v>
      </c>
      <c r="LA234" s="56"/>
      <c r="LB234" s="242">
        <f t="shared" si="1598"/>
        <v>0</v>
      </c>
      <c r="LC234" s="242">
        <f t="shared" si="1599"/>
        <v>3690</v>
      </c>
      <c r="LD234" s="56"/>
      <c r="LG234" s="55">
        <f t="shared" si="1600"/>
        <v>46220</v>
      </c>
      <c r="LH234" s="56"/>
      <c r="LI234" s="242">
        <f>SUMPRODUCT(PRODUCE!$B237:$DY237,PRODUCE!$EB$42:$IY$42)</f>
        <v>0</v>
      </c>
      <c r="LJ234" s="56"/>
      <c r="LK234" s="242">
        <f t="shared" si="1601"/>
        <v>0</v>
      </c>
      <c r="LL234" s="242">
        <f t="shared" si="1602"/>
        <v>4000</v>
      </c>
      <c r="LM234" s="56"/>
      <c r="LP234" s="55">
        <f t="shared" si="1603"/>
        <v>46220</v>
      </c>
      <c r="LQ234" s="56"/>
      <c r="LR234" s="242">
        <f>SUMPRODUCT(PRODUCE!$B237:$DY237,PRODUCE!$EB$43:$IY$43)</f>
        <v>0</v>
      </c>
      <c r="LS234" s="56"/>
      <c r="LT234" s="242">
        <f t="shared" si="1604"/>
        <v>0</v>
      </c>
      <c r="LU234" s="242">
        <f t="shared" si="1605"/>
        <v>0</v>
      </c>
      <c r="LV234" s="56"/>
      <c r="LY234" s="55">
        <f t="shared" si="1606"/>
        <v>46220</v>
      </c>
      <c r="LZ234" s="56"/>
      <c r="MA234" s="242">
        <f>SUMPRODUCT(PRODUCE!$B237:$DY237,PRODUCE!$EB$44:$IY$44)</f>
        <v>0</v>
      </c>
      <c r="MB234" s="56"/>
      <c r="MC234" s="242">
        <f t="shared" si="1607"/>
        <v>0</v>
      </c>
      <c r="MD234" s="242">
        <f t="shared" si="1608"/>
        <v>0</v>
      </c>
      <c r="ME234" s="56"/>
      <c r="MH234" s="55">
        <f t="shared" si="1609"/>
        <v>46220</v>
      </c>
      <c r="MI234" s="56"/>
      <c r="MJ234" s="242">
        <f>SUMPRODUCT(PRODUCE!$B237:$DY237,PRODUCE!$EB$45:$IY$45)</f>
        <v>0</v>
      </c>
      <c r="MK234" s="56"/>
      <c r="ML234" s="242">
        <f t="shared" si="1610"/>
        <v>0</v>
      </c>
      <c r="MM234" s="242">
        <f t="shared" si="1611"/>
        <v>0</v>
      </c>
      <c r="MN234" s="56"/>
      <c r="MQ234" s="55">
        <f t="shared" si="1612"/>
        <v>46220</v>
      </c>
      <c r="MR234" s="56"/>
      <c r="MS234" s="242">
        <f>SUMPRODUCT(PRODUCE!$B237:$DY237,PRODUCE!$EB$46:$IY$46)</f>
        <v>0</v>
      </c>
      <c r="MT234" s="56">
        <f>16+4+12+4+100+26</f>
        <v>162</v>
      </c>
      <c r="MU234" s="242">
        <f t="shared" si="1613"/>
        <v>-162</v>
      </c>
      <c r="MV234" s="242">
        <f t="shared" si="1614"/>
        <v>2550</v>
      </c>
      <c r="MW234" s="56"/>
      <c r="MZ234" s="55">
        <f t="shared" si="1615"/>
        <v>46220</v>
      </c>
      <c r="NA234" s="56">
        <v>1656</v>
      </c>
      <c r="NB234" s="242">
        <f>SUMPRODUCT(PRODUCE!$B237:$DY237,PRODUCE!$EB$47:$IY$47)</f>
        <v>0</v>
      </c>
      <c r="NC234" s="56">
        <f>48+12+36+48+1200+312</f>
        <v>1656</v>
      </c>
      <c r="ND234" s="242">
        <f t="shared" si="1616"/>
        <v>-1656</v>
      </c>
      <c r="NE234" s="242">
        <f t="shared" si="1617"/>
        <v>0</v>
      </c>
      <c r="NF234" s="56"/>
      <c r="NI234" s="55">
        <f t="shared" si="1618"/>
        <v>46220</v>
      </c>
      <c r="NJ234" s="56"/>
      <c r="NK234" s="242">
        <f>SUMPRODUCT(PRODUCE!$B237:$DY237,PRODUCE!$EB$48:$IY$48)</f>
        <v>0</v>
      </c>
      <c r="NL234" s="56"/>
      <c r="NM234" s="242">
        <f t="shared" si="1619"/>
        <v>0</v>
      </c>
      <c r="NN234" s="242">
        <f t="shared" si="1620"/>
        <v>1127</v>
      </c>
      <c r="NO234" s="56"/>
      <c r="NR234" s="55">
        <f t="shared" si="1621"/>
        <v>46220</v>
      </c>
      <c r="NS234" s="56"/>
      <c r="NT234" s="242">
        <f>SUMPRODUCT(PRODUCE!$B237:$DY237,PRODUCE!$EB$49:$IY$49)</f>
        <v>0</v>
      </c>
      <c r="NU234" s="56"/>
      <c r="NV234" s="242">
        <f t="shared" si="1622"/>
        <v>0</v>
      </c>
      <c r="NW234" s="242">
        <f t="shared" si="1623"/>
        <v>3111.9999999999995</v>
      </c>
      <c r="NX234" s="56"/>
      <c r="OA234" s="55">
        <f t="shared" si="1624"/>
        <v>46220</v>
      </c>
      <c r="OB234" s="56"/>
      <c r="OC234" s="242">
        <f>SUMPRODUCT(PRODUCE!$B237:$DY237,PRODUCE!$EB$50:$IY$50)</f>
        <v>0</v>
      </c>
      <c r="OD234" s="56"/>
      <c r="OE234" s="242">
        <f t="shared" si="1625"/>
        <v>0</v>
      </c>
      <c r="OF234" s="242">
        <f t="shared" si="1626"/>
        <v>1680.5</v>
      </c>
      <c r="OG234" s="56"/>
      <c r="OJ234" s="55">
        <f t="shared" si="1627"/>
        <v>46220</v>
      </c>
      <c r="OK234" s="56">
        <v>320.59999999999997</v>
      </c>
      <c r="OL234" s="242">
        <f>SUMPRODUCT(PRODUCE!$B237:$DY237,PRODUCE!$EB$51:$IY$51)</f>
        <v>0</v>
      </c>
      <c r="OM234" s="56">
        <f>11.2+260+49.4</f>
        <v>320.59999999999997</v>
      </c>
      <c r="ON234" s="242">
        <f t="shared" si="1628"/>
        <v>-320.59999999999997</v>
      </c>
      <c r="OO234" s="242">
        <f t="shared" si="1629"/>
        <v>0</v>
      </c>
      <c r="OP234" s="56"/>
      <c r="OS234" s="55">
        <f t="shared" si="1630"/>
        <v>46220</v>
      </c>
      <c r="OT234" s="56"/>
      <c r="OU234" s="242">
        <f>SUMPRODUCT(PRODUCE!$B237:$DY237,PRODUCE!$EB$52:$IY$52)</f>
        <v>0</v>
      </c>
      <c r="OV234" s="56"/>
      <c r="OW234" s="242">
        <f t="shared" si="1631"/>
        <v>0</v>
      </c>
      <c r="OX234" s="242">
        <f t="shared" si="1632"/>
        <v>1482</v>
      </c>
      <c r="OY234" s="56"/>
      <c r="PB234" s="55">
        <f t="shared" si="1633"/>
        <v>46220</v>
      </c>
      <c r="PC234" s="56"/>
      <c r="PD234" s="242">
        <f>SUMPRODUCT(PRODUCE!$B237:$DY237,PRODUCE!$EB$53:$IY$53)</f>
        <v>0</v>
      </c>
      <c r="PE234" s="56"/>
      <c r="PF234" s="242">
        <f t="shared" si="1634"/>
        <v>0</v>
      </c>
      <c r="PG234" s="242">
        <f t="shared" si="1635"/>
        <v>0</v>
      </c>
      <c r="PH234" s="56"/>
      <c r="PK234" s="55">
        <f t="shared" si="1636"/>
        <v>46220</v>
      </c>
      <c r="PL234" s="56"/>
      <c r="PM234" s="242">
        <f>SUMPRODUCT(PRODUCE!$B237:$DY237,PRODUCE!$EB$54:$IY$54)</f>
        <v>0</v>
      </c>
      <c r="PN234" s="56"/>
      <c r="PO234" s="242">
        <f t="shared" si="1637"/>
        <v>0</v>
      </c>
      <c r="PP234" s="242">
        <f t="shared" si="1638"/>
        <v>100</v>
      </c>
      <c r="PQ234" s="56"/>
      <c r="PT234" s="55">
        <f t="shared" si="1639"/>
        <v>46220</v>
      </c>
      <c r="PU234" s="56"/>
      <c r="PV234" s="242">
        <f>SUMPRODUCT(PRODUCE!$B237:$DY237,PRODUCE!$EB$55:$IY$55)</f>
        <v>0</v>
      </c>
      <c r="PW234" s="56"/>
      <c r="PX234" s="242">
        <f t="shared" si="1640"/>
        <v>0</v>
      </c>
      <c r="PY234" s="242">
        <f t="shared" si="1641"/>
        <v>13.960000000000036</v>
      </c>
      <c r="PZ234" s="56"/>
      <c r="QC234" s="55">
        <f t="shared" si="1642"/>
        <v>46220</v>
      </c>
      <c r="QD234" s="56"/>
      <c r="QE234" s="242">
        <f>SUMPRODUCT(PRODUCE!$B237:$DY237,PRODUCE!$EB$56:$IY$56)</f>
        <v>0</v>
      </c>
      <c r="QF234" s="56">
        <v>48</v>
      </c>
      <c r="QG234" s="242">
        <f t="shared" si="1643"/>
        <v>-48</v>
      </c>
      <c r="QH234" s="242">
        <f t="shared" si="1644"/>
        <v>1688</v>
      </c>
      <c r="QI234" s="56"/>
      <c r="QL234" s="55">
        <f t="shared" si="1645"/>
        <v>46220</v>
      </c>
      <c r="QM234" s="56"/>
      <c r="QN234" s="242">
        <f>SUMPRODUCT(PRODUCE!$B237:$DY237,PRODUCE!$EB$57:$IY$57)</f>
        <v>0</v>
      </c>
      <c r="QO234" s="56">
        <v>10</v>
      </c>
      <c r="QP234" s="242">
        <f t="shared" si="1646"/>
        <v>-10</v>
      </c>
      <c r="QQ234" s="242">
        <f t="shared" si="1647"/>
        <v>0</v>
      </c>
      <c r="QR234" s="56"/>
      <c r="QU234" s="55">
        <f t="shared" si="1648"/>
        <v>46220</v>
      </c>
      <c r="QV234" s="56"/>
      <c r="QW234" s="242">
        <f>SUMPRODUCT(PRODUCE!$B237:$DY237,PRODUCE!$EB$58:$IY$58)</f>
        <v>0</v>
      </c>
      <c r="QX234" s="56"/>
      <c r="QY234" s="242">
        <f t="shared" si="1649"/>
        <v>0</v>
      </c>
      <c r="QZ234" s="242">
        <f t="shared" si="1650"/>
        <v>207.6</v>
      </c>
      <c r="RA234" s="56"/>
      <c r="RD234" s="55">
        <f t="shared" si="1651"/>
        <v>46220</v>
      </c>
      <c r="RE234" s="56"/>
      <c r="RF234" s="242">
        <f>SUMPRODUCT(PRODUCE!$B237:$DY237,PRODUCE!$EB$59:$IY$59)</f>
        <v>0</v>
      </c>
      <c r="RG234" s="56"/>
      <c r="RH234" s="242">
        <f t="shared" si="1652"/>
        <v>0</v>
      </c>
      <c r="RI234" s="242">
        <f t="shared" si="1653"/>
        <v>147.04000000000002</v>
      </c>
      <c r="RJ234" s="56"/>
      <c r="RM234" s="55">
        <f t="shared" si="1654"/>
        <v>46220</v>
      </c>
      <c r="RN234" s="56"/>
      <c r="RO234" s="242">
        <f>SUMPRODUCT(PRODUCE!$B237:$DY237,PRODUCE!$EB$60:$IY$60)</f>
        <v>0</v>
      </c>
      <c r="RP234" s="56"/>
      <c r="RQ234" s="242">
        <f t="shared" si="1655"/>
        <v>0</v>
      </c>
      <c r="RR234" s="242">
        <f t="shared" si="1656"/>
        <v>46.8</v>
      </c>
      <c r="RS234" s="56"/>
      <c r="RV234" s="55">
        <f t="shared" si="1657"/>
        <v>46220</v>
      </c>
      <c r="RW234" s="56"/>
      <c r="RX234" s="242">
        <f>SUMPRODUCT(PRODUCE!$B237:$DY237,PRODUCE!$EB$61:$IY$61)</f>
        <v>0</v>
      </c>
      <c r="RY234" s="56"/>
      <c r="RZ234" s="242">
        <f t="shared" si="1658"/>
        <v>0</v>
      </c>
      <c r="SA234" s="242">
        <f t="shared" si="1659"/>
        <v>0</v>
      </c>
      <c r="SB234" s="56"/>
      <c r="SE234" s="55">
        <f t="shared" si="1660"/>
        <v>46220</v>
      </c>
      <c r="SF234" s="56"/>
      <c r="SG234" s="242">
        <f>SUMPRODUCT(PRODUCE!$B237:$DY237,PRODUCE!$EB$62:$IY$62)</f>
        <v>0</v>
      </c>
      <c r="SH234" s="56"/>
      <c r="SI234" s="242">
        <f t="shared" si="1661"/>
        <v>0</v>
      </c>
      <c r="SJ234" s="242">
        <f t="shared" si="1662"/>
        <v>24.200000000000003</v>
      </c>
      <c r="SK234" s="56"/>
      <c r="SN234" s="55">
        <f t="shared" si="1663"/>
        <v>46220</v>
      </c>
      <c r="SO234" s="56"/>
      <c r="SP234" s="242">
        <f>SUMPRODUCT(PRODUCE!$B237:$DY237,PRODUCE!$EB$63:$IY$63)</f>
        <v>0</v>
      </c>
      <c r="SQ234" s="56"/>
      <c r="SR234" s="242">
        <f t="shared" si="1664"/>
        <v>0</v>
      </c>
      <c r="SS234" s="242">
        <f t="shared" si="1665"/>
        <v>32</v>
      </c>
      <c r="ST234" s="56"/>
      <c r="SW234" s="55">
        <f t="shared" si="1666"/>
        <v>46220</v>
      </c>
      <c r="SX234" s="56"/>
      <c r="SY234" s="242">
        <f>SUMPRODUCT(PRODUCE!$B237:$DY237,PRODUCE!$EB$64:$IY$64)</f>
        <v>0</v>
      </c>
      <c r="SZ234" s="56"/>
      <c r="TA234" s="242">
        <f t="shared" si="1667"/>
        <v>0</v>
      </c>
      <c r="TB234" s="242">
        <f t="shared" si="1668"/>
        <v>0</v>
      </c>
      <c r="TC234" s="56"/>
      <c r="TF234" s="55">
        <f t="shared" si="1669"/>
        <v>46220</v>
      </c>
      <c r="TG234" s="56"/>
      <c r="TH234" s="242">
        <f>SUMPRODUCT(PRODUCE!$B237:$DY237,PRODUCE!$EB$57:$IY$57)</f>
        <v>0</v>
      </c>
      <c r="TI234" s="56"/>
      <c r="TJ234" s="242">
        <f t="shared" si="1670"/>
        <v>0</v>
      </c>
      <c r="TK234" s="242">
        <f t="shared" si="1671"/>
        <v>0</v>
      </c>
      <c r="TL234" s="56"/>
      <c r="TO234" s="55">
        <f t="shared" si="1672"/>
        <v>46220</v>
      </c>
      <c r="TP234" s="56"/>
      <c r="TQ234" s="242">
        <f>SUMPRODUCT(PRODUCE!$B237:$DY237,PRODUCE!$EB$57:$IY$57)</f>
        <v>0</v>
      </c>
      <c r="TR234" s="56"/>
      <c r="TS234" s="242">
        <f t="shared" si="1673"/>
        <v>0</v>
      </c>
      <c r="TT234" s="242">
        <f t="shared" si="1674"/>
        <v>22.400000000000006</v>
      </c>
      <c r="TU234" s="56"/>
      <c r="TX234" s="55">
        <f t="shared" si="1675"/>
        <v>46220</v>
      </c>
      <c r="TY234" s="56"/>
      <c r="TZ234" s="242">
        <f>SUMPRODUCT(PRODUCE!$B237:$DY237,PRODUCE!$EB$57:$IY$57)</f>
        <v>0</v>
      </c>
      <c r="UA234" s="56"/>
      <c r="UB234" s="242">
        <f t="shared" si="1676"/>
        <v>0</v>
      </c>
      <c r="UC234" s="242">
        <f t="shared" si="1677"/>
        <v>46.799999999999983</v>
      </c>
      <c r="UD234" s="56"/>
      <c r="UG234" s="55">
        <f t="shared" si="1678"/>
        <v>46220</v>
      </c>
      <c r="UH234" s="56"/>
      <c r="UI234" s="242">
        <f>SUMPRODUCT(PRODUCE!$B237:$DY237,PRODUCE!$EB$57:$IY$57)</f>
        <v>0</v>
      </c>
      <c r="UJ234" s="56"/>
      <c r="UK234" s="242">
        <f t="shared" si="1679"/>
        <v>0</v>
      </c>
      <c r="UL234" s="242">
        <f t="shared" si="1680"/>
        <v>204</v>
      </c>
      <c r="UM234" s="56"/>
      <c r="UP234" s="55">
        <f t="shared" si="1681"/>
        <v>46220</v>
      </c>
      <c r="UQ234" s="56"/>
      <c r="UR234" s="242">
        <f>SUMPRODUCT(PRODUCE!$B237:$DY237,PRODUCE!$EB$69:$IY$69)</f>
        <v>0</v>
      </c>
      <c r="US234" s="56"/>
      <c r="UT234" s="242">
        <f t="shared" si="1682"/>
        <v>0</v>
      </c>
      <c r="UU234" s="242">
        <f t="shared" si="1683"/>
        <v>242.5</v>
      </c>
      <c r="UV234" s="56"/>
      <c r="UY234" s="55">
        <f t="shared" si="1684"/>
        <v>46220</v>
      </c>
      <c r="UZ234" s="56"/>
      <c r="VA234" s="242">
        <f>SUMPRODUCT(PRODUCE!$B237:$DY237,PRODUCE!$EB$70:$IY$70)</f>
        <v>0</v>
      </c>
      <c r="VB234" s="56"/>
      <c r="VC234" s="242">
        <f t="shared" si="1685"/>
        <v>0</v>
      </c>
      <c r="VD234" s="242">
        <f t="shared" si="1686"/>
        <v>41.600000000000023</v>
      </c>
      <c r="VE234" s="56"/>
      <c r="VH234" s="55">
        <f t="shared" si="1687"/>
        <v>46220</v>
      </c>
      <c r="VI234" s="56"/>
      <c r="VJ234" s="242">
        <f>SUMPRODUCT(PRODUCE!$B237:$DY237,PRODUCE!$EB$71:$IY$71)</f>
        <v>0</v>
      </c>
      <c r="VK234" s="56"/>
      <c r="VL234" s="242">
        <f t="shared" si="1688"/>
        <v>0</v>
      </c>
      <c r="VM234" s="242">
        <f t="shared" si="1689"/>
        <v>210</v>
      </c>
      <c r="VN234" s="56"/>
      <c r="VQ234" s="55">
        <f t="shared" si="1690"/>
        <v>46220</v>
      </c>
      <c r="VR234" s="56"/>
      <c r="VS234" s="242">
        <f>SUMPRODUCT(PRODUCE!$B237:$DY237,PRODUCE!$EB$57:$IY$57)</f>
        <v>0</v>
      </c>
      <c r="VT234" s="56"/>
      <c r="VU234" s="242">
        <f t="shared" si="1691"/>
        <v>0</v>
      </c>
      <c r="VV234" s="242">
        <f t="shared" si="1692"/>
        <v>0</v>
      </c>
      <c r="VW234" s="56"/>
      <c r="VZ234" s="55">
        <f t="shared" si="1693"/>
        <v>46220</v>
      </c>
      <c r="WA234" s="56"/>
      <c r="WB234" s="242">
        <f>SUMPRODUCT(PRODUCE!$B237:$DY237,PRODUCE!$EB$57:$IY$57)</f>
        <v>0</v>
      </c>
      <c r="WC234" s="56"/>
      <c r="WD234" s="242">
        <f t="shared" si="1694"/>
        <v>0</v>
      </c>
      <c r="WE234" s="242">
        <f t="shared" si="1695"/>
        <v>0</v>
      </c>
      <c r="WF234" s="56"/>
      <c r="WI234" s="55">
        <f t="shared" si="1696"/>
        <v>46220</v>
      </c>
      <c r="WJ234" s="56"/>
      <c r="WK234" s="242">
        <f>SUMPRODUCT(PRODUCE!$B237:$DY237,PRODUCE!$EB$57:$IY$57)</f>
        <v>0</v>
      </c>
      <c r="WL234" s="56"/>
      <c r="WM234" s="242">
        <f t="shared" si="1697"/>
        <v>0</v>
      </c>
      <c r="WN234" s="242">
        <f t="shared" si="1698"/>
        <v>1057</v>
      </c>
      <c r="WO234" s="56"/>
      <c r="WR234" s="55">
        <f t="shared" si="1699"/>
        <v>46220</v>
      </c>
      <c r="WS234" s="56"/>
      <c r="WT234" s="242">
        <f>SUMPRODUCT(PRODUCE!$B237:$DY237,PRODUCE!$EB$57:$IY$57)</f>
        <v>0</v>
      </c>
      <c r="WU234" s="56"/>
      <c r="WV234" s="242">
        <f t="shared" si="1700"/>
        <v>0</v>
      </c>
      <c r="WW234" s="242">
        <f t="shared" si="1701"/>
        <v>0</v>
      </c>
      <c r="WX234" s="56"/>
      <c r="XA234" s="55">
        <f t="shared" si="1702"/>
        <v>46220</v>
      </c>
      <c r="XB234" s="56"/>
      <c r="XC234" s="242">
        <f>SUMPRODUCT(PRODUCE!$B237:$DY237,PRODUCE!$EB$57:$IY$57)</f>
        <v>0</v>
      </c>
      <c r="XD234" s="56"/>
      <c r="XE234" s="242">
        <f t="shared" si="1703"/>
        <v>0</v>
      </c>
      <c r="XF234" s="242">
        <f t="shared" si="1704"/>
        <v>7507</v>
      </c>
      <c r="XG234" s="56"/>
      <c r="XJ234" s="55">
        <f t="shared" si="1705"/>
        <v>46220</v>
      </c>
      <c r="XK234" s="56"/>
      <c r="XL234" s="242">
        <f>SUMPRODUCT(PRODUCE!$B237:$DY237,PRODUCE!$EB$57:$IY$57)</f>
        <v>0</v>
      </c>
      <c r="XM234" s="56"/>
      <c r="XN234" s="242">
        <f t="shared" si="1706"/>
        <v>0</v>
      </c>
      <c r="XO234" s="242">
        <f t="shared" si="1707"/>
        <v>4252</v>
      </c>
      <c r="XP234" s="56"/>
      <c r="XS234" s="55">
        <f t="shared" si="1708"/>
        <v>46220</v>
      </c>
      <c r="XT234" s="56"/>
      <c r="XU234" s="242">
        <f>SUMPRODUCT(PRODUCE!$B237:$DY237,PRODUCE!$EB$57:$IY$57)</f>
        <v>0</v>
      </c>
      <c r="XV234" s="56"/>
      <c r="XW234" s="242">
        <f t="shared" si="1709"/>
        <v>0</v>
      </c>
      <c r="XX234" s="242">
        <f t="shared" si="1710"/>
        <v>2179</v>
      </c>
      <c r="XY234" s="56"/>
      <c r="YB234" s="55">
        <f t="shared" si="1711"/>
        <v>46220</v>
      </c>
      <c r="YC234" s="56"/>
      <c r="YD234" s="242">
        <f>SUMPRODUCT(PRODUCE!$B237:$DY237,PRODUCE!$EB$57:$IY$57)</f>
        <v>0</v>
      </c>
      <c r="YE234" s="56"/>
      <c r="YF234" s="242">
        <f t="shared" si="1712"/>
        <v>0</v>
      </c>
      <c r="YG234" s="242">
        <f t="shared" si="1713"/>
        <v>4019</v>
      </c>
      <c r="YH234" s="56"/>
      <c r="YK234" s="55">
        <f t="shared" si="1714"/>
        <v>46220</v>
      </c>
      <c r="YL234" s="56"/>
      <c r="YM234" s="242">
        <f>SUMPRODUCT(PRODUCE!$B237:$DY237,PRODUCE!$EB$57:$IY$57)</f>
        <v>0</v>
      </c>
      <c r="YN234" s="56"/>
      <c r="YO234" s="242">
        <f t="shared" si="1715"/>
        <v>0</v>
      </c>
      <c r="YP234" s="242">
        <f t="shared" si="1716"/>
        <v>0</v>
      </c>
      <c r="YQ234" s="56"/>
      <c r="YT234" s="55">
        <f t="shared" si="1717"/>
        <v>46220</v>
      </c>
      <c r="YU234" s="56"/>
      <c r="YV234" s="242">
        <f>SUMPRODUCT(PRODUCE!$B237:$DY237,PRODUCE!$EB$57:$IY$57)</f>
        <v>0</v>
      </c>
      <c r="YW234" s="56"/>
      <c r="YX234" s="242">
        <f t="shared" si="1718"/>
        <v>0</v>
      </c>
      <c r="YY234" s="242">
        <f t="shared" si="1719"/>
        <v>0</v>
      </c>
      <c r="YZ234" s="56"/>
      <c r="ZC234" s="55">
        <f t="shared" si="1720"/>
        <v>46220</v>
      </c>
      <c r="ZD234" s="56"/>
      <c r="ZE234" s="242">
        <f>SUMPRODUCT(PRODUCE!$B237:$DY237,PRODUCE!$EB$57:$IY$57)</f>
        <v>0</v>
      </c>
      <c r="ZF234" s="56"/>
      <c r="ZG234" s="242">
        <f t="shared" si="1721"/>
        <v>0</v>
      </c>
      <c r="ZH234" s="242">
        <f t="shared" si="1722"/>
        <v>0</v>
      </c>
      <c r="ZI234" s="56"/>
      <c r="ZL234" s="55">
        <f t="shared" si="1723"/>
        <v>46220</v>
      </c>
      <c r="ZM234" s="56"/>
      <c r="ZN234" s="242">
        <f>SUMPRODUCT(PRODUCE!$B237:$DY237,PRODUCE!$EB$57:$IY$57)</f>
        <v>0</v>
      </c>
      <c r="ZO234" s="56"/>
      <c r="ZP234" s="242">
        <f t="shared" si="1724"/>
        <v>0</v>
      </c>
      <c r="ZQ234" s="242">
        <f t="shared" si="1725"/>
        <v>0</v>
      </c>
      <c r="ZR234" s="56"/>
      <c r="ZU234" s="55">
        <f t="shared" si="1726"/>
        <v>46220</v>
      </c>
      <c r="ZV234" s="56"/>
      <c r="ZW234" s="242">
        <f>SUMPRODUCT(PRODUCE!$B237:$DY237,PRODUCE!$EB$57:$IY$57)</f>
        <v>0</v>
      </c>
      <c r="ZX234" s="56"/>
      <c r="ZY234" s="242">
        <f t="shared" si="1727"/>
        <v>0</v>
      </c>
      <c r="ZZ234" s="242">
        <f t="shared" si="1728"/>
        <v>0</v>
      </c>
      <c r="AAA234" s="56"/>
      <c r="AAD234" s="55">
        <f t="shared" si="1729"/>
        <v>46220</v>
      </c>
      <c r="AAE234" s="56"/>
      <c r="AAF234" s="242">
        <f>SUMPRODUCT(PRODUCE!$B237:$DY237,PRODUCE!$EB$57:$IY$57)</f>
        <v>0</v>
      </c>
      <c r="AAG234" s="56"/>
      <c r="AAH234" s="242">
        <f t="shared" si="1730"/>
        <v>0</v>
      </c>
      <c r="AAI234" s="242">
        <f t="shared" si="1731"/>
        <v>0</v>
      </c>
      <c r="AAJ234" s="56"/>
      <c r="AAM234" s="55">
        <f t="shared" si="1732"/>
        <v>46220</v>
      </c>
      <c r="AAN234" s="56"/>
      <c r="AAO234" s="242">
        <f>SUMPRODUCT(PRODUCE!$B237:$DY237,PRODUCE!$EB$57:$IY$57)</f>
        <v>0</v>
      </c>
      <c r="AAP234" s="56"/>
      <c r="AAQ234" s="242">
        <f t="shared" si="1733"/>
        <v>0</v>
      </c>
      <c r="AAR234" s="242">
        <f t="shared" si="1734"/>
        <v>0</v>
      </c>
      <c r="AAS234" s="56"/>
      <c r="AAV234" s="55">
        <f t="shared" si="1735"/>
        <v>46220</v>
      </c>
      <c r="AAW234" s="56"/>
      <c r="AAX234" s="242">
        <f>SUMPRODUCT(PRODUCE!$B237:$DY237,PRODUCE!$EB$57:$IY$57)</f>
        <v>0</v>
      </c>
      <c r="AAY234" s="56"/>
      <c r="AAZ234" s="242">
        <f t="shared" si="1736"/>
        <v>0</v>
      </c>
      <c r="ABA234" s="242">
        <f t="shared" si="1737"/>
        <v>0</v>
      </c>
      <c r="ABB234" s="56"/>
      <c r="ABE234" s="55">
        <f t="shared" si="1738"/>
        <v>46220</v>
      </c>
      <c r="ABF234" s="56"/>
      <c r="ABG234" s="242">
        <f>SUMPRODUCT(PRODUCE!$B237:$DY237,PRODUCE!$EB$57:$IY$57)</f>
        <v>0</v>
      </c>
      <c r="ABH234" s="56"/>
      <c r="ABI234" s="242">
        <f t="shared" si="1739"/>
        <v>0</v>
      </c>
      <c r="ABJ234" s="242">
        <f t="shared" si="1740"/>
        <v>0</v>
      </c>
      <c r="ABK234" s="56"/>
    </row>
    <row r="235" spans="2:739" s="54" customFormat="1" ht="15" customHeight="1" outlineLevel="1">
      <c r="B235" s="478"/>
      <c r="C235" s="55">
        <v>46221</v>
      </c>
      <c r="D235" s="422">
        <v>64300</v>
      </c>
      <c r="E235" s="423">
        <f>SUMPRODUCT(PRODUCE!$B238:$DY238,PRODUCE!$EB$7:$IY$7)</f>
        <v>28073.200000000001</v>
      </c>
      <c r="F235" s="422">
        <v>28065.4</v>
      </c>
      <c r="G235" s="423">
        <f t="shared" si="1496"/>
        <v>7.7999999999992724</v>
      </c>
      <c r="H235" s="423">
        <f t="shared" si="1497"/>
        <v>114022.00000000003</v>
      </c>
      <c r="I235" s="289"/>
      <c r="K235" s="326"/>
      <c r="L235" s="55">
        <f t="shared" si="1498"/>
        <v>46221</v>
      </c>
      <c r="M235" s="422">
        <v>24600</v>
      </c>
      <c r="N235" s="438">
        <f>SUMPRODUCT(PRODUCE!$B238:$DY238,PRODUCE!$EB$8:$IY$8)</f>
        <v>15980.5</v>
      </c>
      <c r="O235" s="422">
        <v>15987.2</v>
      </c>
      <c r="P235" s="438">
        <f t="shared" si="1499"/>
        <v>-6.7000000000007276</v>
      </c>
      <c r="Q235" s="438">
        <f t="shared" si="1500"/>
        <v>3096.0000000000691</v>
      </c>
      <c r="R235" s="56"/>
      <c r="U235" s="55">
        <f t="shared" si="1501"/>
        <v>46221</v>
      </c>
      <c r="V235" s="422"/>
      <c r="W235" s="440">
        <f>SUMPRODUCT(PRODUCE!$B238:$DY238,PRODUCE!$EB$9:$IY$9)</f>
        <v>2700</v>
      </c>
      <c r="X235" s="422">
        <v>2700.5</v>
      </c>
      <c r="Y235" s="440">
        <f t="shared" si="1502"/>
        <v>-0.5</v>
      </c>
      <c r="Z235" s="440">
        <f t="shared" si="1503"/>
        <v>42697.799999999967</v>
      </c>
      <c r="AA235" s="56"/>
      <c r="AD235" s="55">
        <f t="shared" si="1504"/>
        <v>46221</v>
      </c>
      <c r="AE235" s="422"/>
      <c r="AF235" s="442">
        <f>SUMPRODUCT(PRODUCE!$B238:$DY238,PRODUCE!$EB$10:$IY$10)</f>
        <v>0</v>
      </c>
      <c r="AG235" s="422"/>
      <c r="AH235" s="442">
        <f t="shared" si="1505"/>
        <v>0</v>
      </c>
      <c r="AI235" s="442">
        <f t="shared" si="1506"/>
        <v>31872.200000000019</v>
      </c>
      <c r="AJ235" s="56"/>
      <c r="AM235" s="55">
        <f t="shared" si="1507"/>
        <v>46221</v>
      </c>
      <c r="AN235" s="422"/>
      <c r="AO235" s="444">
        <f>SUMPRODUCT(PRODUCE!$B238:$DY238,PRODUCE!$EB$11:$IY$11)</f>
        <v>0</v>
      </c>
      <c r="AP235" s="422"/>
      <c r="AQ235" s="444">
        <f t="shared" si="1508"/>
        <v>0</v>
      </c>
      <c r="AR235" s="444">
        <f t="shared" si="1509"/>
        <v>0</v>
      </c>
      <c r="AS235" s="56"/>
      <c r="AV235" s="55">
        <f t="shared" si="1510"/>
        <v>46221</v>
      </c>
      <c r="AW235" s="422"/>
      <c r="AX235" s="446">
        <f>SUMPRODUCT(PRODUCE!$B238:$DY238,PRODUCE!$EB$12:$IY$12)</f>
        <v>320</v>
      </c>
      <c r="AY235" s="422">
        <v>319.60000000000002</v>
      </c>
      <c r="AZ235" s="446">
        <f t="shared" si="1511"/>
        <v>0.39999999999997726</v>
      </c>
      <c r="BA235" s="446">
        <f t="shared" si="1512"/>
        <v>726.59999999999525</v>
      </c>
      <c r="BB235" s="56"/>
      <c r="BE235" s="55">
        <f t="shared" si="1513"/>
        <v>46221</v>
      </c>
      <c r="BF235" s="422"/>
      <c r="BG235" s="448">
        <f>SUMPRODUCT(PRODUCE!$B238:$DY238,PRODUCE!$EB$13:$IY$13)</f>
        <v>552</v>
      </c>
      <c r="BH235" s="422">
        <v>554.79999999999995</v>
      </c>
      <c r="BI235" s="448">
        <f t="shared" si="1514"/>
        <v>-2.7999999999999545</v>
      </c>
      <c r="BJ235" s="448">
        <f t="shared" si="1515"/>
        <v>29432.599999999995</v>
      </c>
      <c r="BK235" s="56"/>
      <c r="BN235" s="55">
        <f t="shared" si="1516"/>
        <v>46221</v>
      </c>
      <c r="BO235" s="422">
        <v>586</v>
      </c>
      <c r="BP235" s="450">
        <f>SUMPRODUCT(PRODUCE!$B238:$DY238,PRODUCE!$EB$14:$IY$14)</f>
        <v>586</v>
      </c>
      <c r="BQ235" s="422">
        <v>586</v>
      </c>
      <c r="BR235" s="450">
        <f t="shared" si="1517"/>
        <v>0</v>
      </c>
      <c r="BS235" s="450">
        <f t="shared" si="1518"/>
        <v>0</v>
      </c>
      <c r="BT235" s="56"/>
      <c r="BW235" s="55">
        <f t="shared" si="1519"/>
        <v>46221</v>
      </c>
      <c r="BX235" s="422"/>
      <c r="BY235" s="523">
        <f>SUMPRODUCT(PRODUCE!$B238:$DY238,PRODUCE!$EB$15:$IY$15)</f>
        <v>215.3</v>
      </c>
      <c r="BZ235" s="422"/>
      <c r="CA235" s="523">
        <f t="shared" si="1520"/>
        <v>215.3</v>
      </c>
      <c r="CB235" s="523">
        <f t="shared" si="1521"/>
        <v>6055.1099999999988</v>
      </c>
      <c r="CC235" s="56"/>
      <c r="CF235" s="55">
        <f t="shared" si="1522"/>
        <v>46221</v>
      </c>
      <c r="CG235" s="422"/>
      <c r="CH235" s="524">
        <f>SUMPRODUCT(PRODUCE!$B238:$DY238,PRODUCE!$EB$16:$IY$16)</f>
        <v>200</v>
      </c>
      <c r="CI235" s="422"/>
      <c r="CJ235" s="524">
        <f t="shared" si="1523"/>
        <v>200</v>
      </c>
      <c r="CK235" s="524">
        <f t="shared" si="1524"/>
        <v>-7976.6599999999989</v>
      </c>
      <c r="CL235" s="56"/>
      <c r="CO235" s="55">
        <f t="shared" si="1525"/>
        <v>46221</v>
      </c>
      <c r="CP235" s="422"/>
      <c r="CQ235" s="470">
        <f>SUMPRODUCT(PRODUCE!$B238:$DY238,PRODUCE!$EB$17:$IY$17)</f>
        <v>0</v>
      </c>
      <c r="CR235" s="422"/>
      <c r="CS235" s="470">
        <f t="shared" si="1526"/>
        <v>0</v>
      </c>
      <c r="CT235" s="470">
        <f t="shared" si="1527"/>
        <v>0</v>
      </c>
      <c r="CU235" s="56"/>
      <c r="CX235" s="55">
        <f t="shared" si="1528"/>
        <v>46221</v>
      </c>
      <c r="CY235" s="422"/>
      <c r="CZ235" s="525">
        <f>SUMPRODUCT(PRODUCE!$B238:$DY238,PRODUCE!$EB$18:$IY$18)</f>
        <v>400</v>
      </c>
      <c r="DA235" s="422"/>
      <c r="DB235" s="525">
        <f t="shared" si="1529"/>
        <v>400</v>
      </c>
      <c r="DC235" s="525">
        <f t="shared" si="1530"/>
        <v>1311.6000000000072</v>
      </c>
      <c r="DD235" s="56"/>
      <c r="DG235" s="55">
        <f t="shared" si="1531"/>
        <v>46221</v>
      </c>
      <c r="DH235" s="422"/>
      <c r="DI235" s="526">
        <f>SUMPRODUCT(PRODUCE!$B238:$DY238,PRODUCE!$EB$19:$IY$19)</f>
        <v>800</v>
      </c>
      <c r="DJ235" s="422">
        <v>800.3</v>
      </c>
      <c r="DK235" s="526">
        <f t="shared" si="1532"/>
        <v>-0.29999999999995453</v>
      </c>
      <c r="DL235" s="526">
        <f t="shared" si="1533"/>
        <v>33033.89999999998</v>
      </c>
      <c r="DM235" s="56"/>
      <c r="DP235" s="55">
        <f t="shared" si="1534"/>
        <v>46221</v>
      </c>
      <c r="DQ235" s="56"/>
      <c r="DR235" s="57">
        <f>SUMPRODUCT(PRODUCE!$B238:$DY238,PRODUCE!$EB$20:$IY$20)</f>
        <v>0</v>
      </c>
      <c r="DS235" s="56"/>
      <c r="DT235" s="57">
        <f t="shared" si="1535"/>
        <v>0</v>
      </c>
      <c r="DU235" s="57">
        <f t="shared" si="1536"/>
        <v>5800</v>
      </c>
      <c r="DV235" s="56"/>
      <c r="DY235" s="55">
        <f t="shared" si="1537"/>
        <v>46221</v>
      </c>
      <c r="DZ235" s="56"/>
      <c r="EA235" s="157">
        <f>SUMPRODUCT(PRODUCE!$B238:$DY238,PRODUCE!$EB$21:$IY$21)</f>
        <v>0</v>
      </c>
      <c r="EB235" s="56"/>
      <c r="EC235" s="157">
        <f t="shared" si="1538"/>
        <v>0</v>
      </c>
      <c r="ED235" s="157">
        <f t="shared" si="1539"/>
        <v>0</v>
      </c>
      <c r="EE235" s="56"/>
      <c r="EH235" s="55">
        <f t="shared" si="1540"/>
        <v>46221</v>
      </c>
      <c r="EI235" s="56"/>
      <c r="EJ235" s="162">
        <f>SUMPRODUCT(PRODUCE!$B238:$DY238,PRODUCE!$EB$22:$IY$22)</f>
        <v>0</v>
      </c>
      <c r="EK235" s="56"/>
      <c r="EL235" s="162">
        <f t="shared" si="1541"/>
        <v>0</v>
      </c>
      <c r="EM235" s="162">
        <f t="shared" si="1542"/>
        <v>0</v>
      </c>
      <c r="EN235" s="56"/>
      <c r="EQ235" s="55">
        <f t="shared" si="1543"/>
        <v>46221</v>
      </c>
      <c r="ER235" s="56"/>
      <c r="ES235" s="172">
        <f>SUMPRODUCT(PRODUCE!$B238:$DY238,PRODUCE!$EB$23:$IY$23)</f>
        <v>0</v>
      </c>
      <c r="ET235" s="56"/>
      <c r="EU235" s="135">
        <f t="shared" si="1544"/>
        <v>0</v>
      </c>
      <c r="EV235" s="135">
        <f t="shared" si="1545"/>
        <v>0</v>
      </c>
      <c r="EW235" s="56"/>
      <c r="EZ235" s="55">
        <f t="shared" si="1546"/>
        <v>46221</v>
      </c>
      <c r="FA235" s="56"/>
      <c r="FB235" s="175">
        <f>SUMPRODUCT(PRODUCE!$B238:$DY238,PRODUCE!$EB$24:$IY$24)</f>
        <v>0</v>
      </c>
      <c r="FC235" s="56"/>
      <c r="FD235" s="175">
        <f t="shared" si="1547"/>
        <v>0</v>
      </c>
      <c r="FE235" s="175">
        <f t="shared" si="1548"/>
        <v>0</v>
      </c>
      <c r="FF235" s="56"/>
      <c r="FI235" s="55">
        <f t="shared" si="1549"/>
        <v>46221</v>
      </c>
      <c r="FJ235" s="56"/>
      <c r="FK235" s="183">
        <f>SUMPRODUCT(PRODUCE!$B238:$DY238,PRODUCE!$EB$25:$IY$25)</f>
        <v>0</v>
      </c>
      <c r="FL235" s="56"/>
      <c r="FM235" s="183">
        <f t="shared" si="1550"/>
        <v>0</v>
      </c>
      <c r="FN235" s="183">
        <f t="shared" si="1551"/>
        <v>0</v>
      </c>
      <c r="FO235" s="56"/>
      <c r="FR235" s="55">
        <f t="shared" si="1552"/>
        <v>46221</v>
      </c>
      <c r="FS235" s="56"/>
      <c r="FT235" s="186">
        <f>SUMPRODUCT(PRODUCE!$B238:$DY238,PRODUCE!$EB$26:$IY$26)</f>
        <v>0</v>
      </c>
      <c r="FU235" s="56"/>
      <c r="FV235" s="186">
        <f t="shared" si="1553"/>
        <v>0</v>
      </c>
      <c r="FW235" s="186">
        <f t="shared" si="1554"/>
        <v>1160</v>
      </c>
      <c r="FX235" s="56"/>
      <c r="GA235" s="55">
        <f t="shared" si="1555"/>
        <v>46221</v>
      </c>
      <c r="GB235" s="56"/>
      <c r="GC235" s="137">
        <f>SUMPRODUCT(PRODUCE!$B238:$DY238,PRODUCE!$EB$27:$IY$27)</f>
        <v>0</v>
      </c>
      <c r="GD235" s="56"/>
      <c r="GE235" s="137">
        <f t="shared" si="1556"/>
        <v>0</v>
      </c>
      <c r="GF235" s="137">
        <f t="shared" si="1557"/>
        <v>960</v>
      </c>
      <c r="GG235" s="56"/>
      <c r="GI235" s="23"/>
      <c r="GJ235" s="55">
        <f t="shared" si="1558"/>
        <v>46221</v>
      </c>
      <c r="GK235" s="56"/>
      <c r="GL235" s="199">
        <f>SUMPRODUCT(PRODUCE!$B238:$DY238,PRODUCE!$EB$28:$IY$28)</f>
        <v>0</v>
      </c>
      <c r="GM235" s="56"/>
      <c r="GN235" s="199">
        <f t="shared" si="1559"/>
        <v>0</v>
      </c>
      <c r="GO235" s="199">
        <f t="shared" si="1560"/>
        <v>1760</v>
      </c>
      <c r="GP235" s="56"/>
      <c r="GS235" s="55">
        <f t="shared" si="1561"/>
        <v>46221</v>
      </c>
      <c r="GT235" s="56"/>
      <c r="GU235" s="195">
        <f>SUMPRODUCT(PRODUCE!$B238:$DY238,PRODUCE!$EB$29:$IY$29)</f>
        <v>0</v>
      </c>
      <c r="GV235" s="56"/>
      <c r="GW235" s="195">
        <f t="shared" si="1562"/>
        <v>0</v>
      </c>
      <c r="GX235" s="195">
        <f t="shared" si="1563"/>
        <v>400</v>
      </c>
      <c r="GY235" s="56"/>
      <c r="HB235" s="55">
        <f t="shared" si="1564"/>
        <v>46221</v>
      </c>
      <c r="HC235" s="56"/>
      <c r="HD235" s="191">
        <f>SUMPRODUCT(PRODUCE!$B238:$DY238,PRODUCE!$EB$30:$IY$30)</f>
        <v>0</v>
      </c>
      <c r="HE235" s="56"/>
      <c r="HF235" s="191">
        <f t="shared" si="1565"/>
        <v>0</v>
      </c>
      <c r="HG235" s="191">
        <f t="shared" si="1566"/>
        <v>3600</v>
      </c>
      <c r="HH235" s="56"/>
      <c r="HK235" s="55">
        <f t="shared" si="1567"/>
        <v>46221</v>
      </c>
      <c r="HL235" s="56"/>
      <c r="HM235" s="63">
        <f>SUMPRODUCT(PRODUCE!$B238:$DY238,PRODUCE!$EB$31:$IY$31)</f>
        <v>0</v>
      </c>
      <c r="HN235" s="56"/>
      <c r="HO235" s="63">
        <f t="shared" si="1568"/>
        <v>0</v>
      </c>
      <c r="HP235" s="63">
        <f t="shared" si="1569"/>
        <v>0</v>
      </c>
      <c r="HQ235" s="56"/>
      <c r="HU235" s="55">
        <f t="shared" si="1570"/>
        <v>46221</v>
      </c>
      <c r="HV235" s="56"/>
      <c r="HW235" s="242">
        <f>SUMPRODUCT(PRODUCE!$B238:$DY238,PRODUCE!$EB$32:$IY$32)</f>
        <v>320</v>
      </c>
      <c r="HX235" s="56"/>
      <c r="HY235" s="242">
        <f t="shared" si="1571"/>
        <v>320</v>
      </c>
      <c r="HZ235" s="242">
        <f t="shared" si="1572"/>
        <v>5920</v>
      </c>
      <c r="IA235" s="56"/>
      <c r="ID235" s="55">
        <f t="shared" si="1573"/>
        <v>46221</v>
      </c>
      <c r="IE235" s="56"/>
      <c r="IF235" s="242">
        <f>SUMPRODUCT(PRODUCE!$B238:$DY238,PRODUCE!$EB$33:$IY$33)</f>
        <v>0</v>
      </c>
      <c r="IG235" s="56"/>
      <c r="IH235" s="242">
        <f t="shared" si="1574"/>
        <v>0</v>
      </c>
      <c r="II235" s="242">
        <f t="shared" si="1575"/>
        <v>720</v>
      </c>
      <c r="IJ235" s="56"/>
      <c r="IM235" s="55">
        <f t="shared" si="1576"/>
        <v>46221</v>
      </c>
      <c r="IN235" s="56"/>
      <c r="IO235" s="242">
        <f>SUMPRODUCT(PRODUCE!$B238:$DY238,PRODUCE!$EB$34:$IY$34)</f>
        <v>240</v>
      </c>
      <c r="IP235" s="56"/>
      <c r="IQ235" s="242">
        <f t="shared" si="1577"/>
        <v>240</v>
      </c>
      <c r="IR235" s="242">
        <f t="shared" si="1578"/>
        <v>4280</v>
      </c>
      <c r="IS235" s="56"/>
      <c r="IV235" s="55">
        <f t="shared" si="1579"/>
        <v>46221</v>
      </c>
      <c r="IW235" s="56"/>
      <c r="IX235" s="242">
        <f>SUMPRODUCT(PRODUCE!$B238:$DY238,PRODUCE!$EB$35:$IY$35)</f>
        <v>0</v>
      </c>
      <c r="IY235" s="56"/>
      <c r="IZ235" s="242">
        <f t="shared" si="1580"/>
        <v>0</v>
      </c>
      <c r="JA235" s="242">
        <f t="shared" si="1581"/>
        <v>4960</v>
      </c>
      <c r="JB235" s="56"/>
      <c r="JE235" s="55">
        <f t="shared" si="1582"/>
        <v>46221</v>
      </c>
      <c r="JF235" s="56"/>
      <c r="JG235" s="242">
        <f>SUMPRODUCT(PRODUCE!$B238:$DY238,PRODUCE!$EB$36:$IY$36)</f>
        <v>0</v>
      </c>
      <c r="JH235" s="56"/>
      <c r="JI235" s="242">
        <f t="shared" si="1583"/>
        <v>0</v>
      </c>
      <c r="JJ235" s="242">
        <f t="shared" si="1584"/>
        <v>0</v>
      </c>
      <c r="JK235" s="56"/>
      <c r="JN235" s="55">
        <f t="shared" si="1585"/>
        <v>46221</v>
      </c>
      <c r="JO235" s="56"/>
      <c r="JP235" s="242">
        <f>SUMPRODUCT(PRODUCE!$B238:$DY238,PRODUCE!$EB$37:$IY$37)</f>
        <v>80</v>
      </c>
      <c r="JQ235" s="56"/>
      <c r="JR235" s="242">
        <f t="shared" si="1586"/>
        <v>80</v>
      </c>
      <c r="JS235" s="242">
        <f t="shared" si="1587"/>
        <v>0</v>
      </c>
      <c r="JT235" s="56"/>
      <c r="JW235" s="55">
        <f t="shared" si="1588"/>
        <v>46221</v>
      </c>
      <c r="JX235" s="56"/>
      <c r="JY235" s="242">
        <f>SUMPRODUCT(PRODUCE!$B238:$DY238,PRODUCE!$EB$38:$IY$38)</f>
        <v>0</v>
      </c>
      <c r="JZ235" s="56"/>
      <c r="KA235" s="242">
        <f t="shared" si="1589"/>
        <v>0</v>
      </c>
      <c r="KB235" s="242">
        <f t="shared" si="1590"/>
        <v>2540</v>
      </c>
      <c r="KC235" s="56"/>
      <c r="KF235" s="55">
        <f t="shared" si="1591"/>
        <v>46221</v>
      </c>
      <c r="KG235" s="56"/>
      <c r="KH235" s="242">
        <f>SUMPRODUCT(PRODUCE!$B238:$DY238,PRODUCE!$EB$39:$IY$39)</f>
        <v>0</v>
      </c>
      <c r="KI235" s="56"/>
      <c r="KJ235" s="242">
        <f t="shared" si="1592"/>
        <v>0</v>
      </c>
      <c r="KK235" s="242">
        <f t="shared" si="1593"/>
        <v>2359.5</v>
      </c>
      <c r="KL235" s="56"/>
      <c r="KO235" s="55">
        <f t="shared" si="1594"/>
        <v>46221</v>
      </c>
      <c r="KP235" s="56"/>
      <c r="KQ235" s="242">
        <f>SUMPRODUCT(PRODUCE!$B238:$DY238,PRODUCE!$EB$40:$IY$40)</f>
        <v>0</v>
      </c>
      <c r="KR235" s="56"/>
      <c r="KS235" s="242">
        <f t="shared" si="1595"/>
        <v>0</v>
      </c>
      <c r="KT235" s="242">
        <f t="shared" si="1596"/>
        <v>1890</v>
      </c>
      <c r="KU235" s="56"/>
      <c r="KW235" s="23"/>
      <c r="KX235" s="55">
        <f t="shared" si="1597"/>
        <v>46221</v>
      </c>
      <c r="KY235" s="56"/>
      <c r="KZ235" s="242">
        <f>SUMPRODUCT(PRODUCE!$B238:$DY238,PRODUCE!$EB$41:$IY$41)</f>
        <v>0</v>
      </c>
      <c r="LA235" s="56"/>
      <c r="LB235" s="242">
        <f t="shared" si="1598"/>
        <v>0</v>
      </c>
      <c r="LC235" s="242">
        <f t="shared" si="1599"/>
        <v>3690</v>
      </c>
      <c r="LD235" s="56"/>
      <c r="LG235" s="55">
        <f t="shared" si="1600"/>
        <v>46221</v>
      </c>
      <c r="LH235" s="56"/>
      <c r="LI235" s="242">
        <f>SUMPRODUCT(PRODUCE!$B238:$DY238,PRODUCE!$EB$42:$IY$42)</f>
        <v>0</v>
      </c>
      <c r="LJ235" s="56"/>
      <c r="LK235" s="242">
        <f t="shared" si="1601"/>
        <v>0</v>
      </c>
      <c r="LL235" s="242">
        <f t="shared" si="1602"/>
        <v>4000</v>
      </c>
      <c r="LM235" s="56"/>
      <c r="LP235" s="55">
        <f t="shared" si="1603"/>
        <v>46221</v>
      </c>
      <c r="LQ235" s="56"/>
      <c r="LR235" s="242">
        <f>SUMPRODUCT(PRODUCE!$B238:$DY238,PRODUCE!$EB$43:$IY$43)</f>
        <v>0</v>
      </c>
      <c r="LS235" s="56"/>
      <c r="LT235" s="242">
        <f t="shared" si="1604"/>
        <v>0</v>
      </c>
      <c r="LU235" s="242">
        <f t="shared" si="1605"/>
        <v>0</v>
      </c>
      <c r="LV235" s="56"/>
      <c r="LY235" s="55">
        <f t="shared" si="1606"/>
        <v>46221</v>
      </c>
      <c r="LZ235" s="56"/>
      <c r="MA235" s="242">
        <f>SUMPRODUCT(PRODUCE!$B238:$DY238,PRODUCE!$EB$44:$IY$44)</f>
        <v>0</v>
      </c>
      <c r="MB235" s="56"/>
      <c r="MC235" s="242">
        <f t="shared" si="1607"/>
        <v>0</v>
      </c>
      <c r="MD235" s="242">
        <f t="shared" si="1608"/>
        <v>0</v>
      </c>
      <c r="ME235" s="56"/>
      <c r="MH235" s="55">
        <f t="shared" si="1609"/>
        <v>46221</v>
      </c>
      <c r="MI235" s="56"/>
      <c r="MJ235" s="242">
        <f>SUMPRODUCT(PRODUCE!$B238:$DY238,PRODUCE!$EB$45:$IY$45)</f>
        <v>0</v>
      </c>
      <c r="MK235" s="56"/>
      <c r="ML235" s="242">
        <f t="shared" si="1610"/>
        <v>0</v>
      </c>
      <c r="MM235" s="242">
        <f t="shared" si="1611"/>
        <v>0</v>
      </c>
      <c r="MN235" s="56"/>
      <c r="MQ235" s="55">
        <f t="shared" si="1612"/>
        <v>46221</v>
      </c>
      <c r="MR235" s="56"/>
      <c r="MS235" s="242">
        <f>SUMPRODUCT(PRODUCE!$B238:$DY238,PRODUCE!$EB$46:$IY$46)</f>
        <v>8</v>
      </c>
      <c r="MT235" s="56"/>
      <c r="MU235" s="242">
        <f t="shared" si="1613"/>
        <v>8</v>
      </c>
      <c r="MV235" s="242">
        <f t="shared" si="1614"/>
        <v>2550</v>
      </c>
      <c r="MW235" s="56"/>
      <c r="MZ235" s="55">
        <f t="shared" si="1615"/>
        <v>46221</v>
      </c>
      <c r="NA235" s="56"/>
      <c r="NB235" s="242">
        <f>SUMPRODUCT(PRODUCE!$B238:$DY238,PRODUCE!$EB$47:$IY$47)</f>
        <v>96</v>
      </c>
      <c r="NC235" s="56"/>
      <c r="ND235" s="242">
        <f t="shared" si="1616"/>
        <v>96</v>
      </c>
      <c r="NE235" s="242">
        <f t="shared" si="1617"/>
        <v>0</v>
      </c>
      <c r="NF235" s="56"/>
      <c r="NI235" s="55">
        <f t="shared" si="1618"/>
        <v>46221</v>
      </c>
      <c r="NJ235" s="56"/>
      <c r="NK235" s="242">
        <f>SUMPRODUCT(PRODUCE!$B238:$DY238,PRODUCE!$EB$48:$IY$48)</f>
        <v>0</v>
      </c>
      <c r="NL235" s="56"/>
      <c r="NM235" s="242">
        <f t="shared" si="1619"/>
        <v>0</v>
      </c>
      <c r="NN235" s="242">
        <f t="shared" si="1620"/>
        <v>1127</v>
      </c>
      <c r="NO235" s="56"/>
      <c r="NR235" s="55">
        <f t="shared" si="1621"/>
        <v>46221</v>
      </c>
      <c r="NS235" s="56"/>
      <c r="NT235" s="242">
        <f>SUMPRODUCT(PRODUCE!$B238:$DY238,PRODUCE!$EB$49:$IY$49)</f>
        <v>0</v>
      </c>
      <c r="NU235" s="56"/>
      <c r="NV235" s="242">
        <f t="shared" si="1622"/>
        <v>0</v>
      </c>
      <c r="NW235" s="242">
        <f t="shared" si="1623"/>
        <v>3111.9999999999995</v>
      </c>
      <c r="NX235" s="56"/>
      <c r="OA235" s="55">
        <f t="shared" si="1624"/>
        <v>46221</v>
      </c>
      <c r="OB235" s="56"/>
      <c r="OC235" s="242">
        <f>SUMPRODUCT(PRODUCE!$B238:$DY238,PRODUCE!$EB$50:$IY$50)</f>
        <v>0</v>
      </c>
      <c r="OD235" s="56"/>
      <c r="OE235" s="242">
        <f t="shared" si="1625"/>
        <v>0</v>
      </c>
      <c r="OF235" s="242">
        <f t="shared" si="1626"/>
        <v>1680.5</v>
      </c>
      <c r="OG235" s="56"/>
      <c r="OJ235" s="55">
        <f t="shared" si="1627"/>
        <v>46221</v>
      </c>
      <c r="OK235" s="56"/>
      <c r="OL235" s="242">
        <f>SUMPRODUCT(PRODUCE!$B238:$DY238,PRODUCE!$EB$51:$IY$51)</f>
        <v>0</v>
      </c>
      <c r="OM235" s="56"/>
      <c r="ON235" s="242">
        <f t="shared" si="1628"/>
        <v>0</v>
      </c>
      <c r="OO235" s="242">
        <f t="shared" si="1629"/>
        <v>0</v>
      </c>
      <c r="OP235" s="56"/>
      <c r="OS235" s="55">
        <f t="shared" si="1630"/>
        <v>46221</v>
      </c>
      <c r="OT235" s="56"/>
      <c r="OU235" s="242">
        <f>SUMPRODUCT(PRODUCE!$B238:$DY238,PRODUCE!$EB$52:$IY$52)</f>
        <v>0</v>
      </c>
      <c r="OV235" s="56"/>
      <c r="OW235" s="242">
        <f t="shared" si="1631"/>
        <v>0</v>
      </c>
      <c r="OX235" s="242">
        <f t="shared" si="1632"/>
        <v>1482</v>
      </c>
      <c r="OY235" s="56"/>
      <c r="PB235" s="55">
        <f t="shared" si="1633"/>
        <v>46221</v>
      </c>
      <c r="PC235" s="56"/>
      <c r="PD235" s="242">
        <f>SUMPRODUCT(PRODUCE!$B238:$DY238,PRODUCE!$EB$53:$IY$53)</f>
        <v>0</v>
      </c>
      <c r="PE235" s="56"/>
      <c r="PF235" s="242">
        <f t="shared" si="1634"/>
        <v>0</v>
      </c>
      <c r="PG235" s="242">
        <f t="shared" si="1635"/>
        <v>0</v>
      </c>
      <c r="PH235" s="56"/>
      <c r="PK235" s="55">
        <f t="shared" si="1636"/>
        <v>46221</v>
      </c>
      <c r="PL235" s="56"/>
      <c r="PM235" s="242">
        <f>SUMPRODUCT(PRODUCE!$B238:$DY238,PRODUCE!$EB$54:$IY$54)</f>
        <v>0</v>
      </c>
      <c r="PN235" s="56"/>
      <c r="PO235" s="242">
        <f t="shared" si="1637"/>
        <v>0</v>
      </c>
      <c r="PP235" s="242">
        <f t="shared" si="1638"/>
        <v>100</v>
      </c>
      <c r="PQ235" s="56"/>
      <c r="PT235" s="55">
        <f t="shared" si="1639"/>
        <v>46221</v>
      </c>
      <c r="PU235" s="56"/>
      <c r="PV235" s="242">
        <f>SUMPRODUCT(PRODUCE!$B238:$DY238,PRODUCE!$EB$55:$IY$55)</f>
        <v>0</v>
      </c>
      <c r="PW235" s="56"/>
      <c r="PX235" s="242">
        <f t="shared" si="1640"/>
        <v>0</v>
      </c>
      <c r="PY235" s="242">
        <f t="shared" si="1641"/>
        <v>13.960000000000036</v>
      </c>
      <c r="PZ235" s="56"/>
      <c r="QC235" s="55">
        <f t="shared" si="1642"/>
        <v>46221</v>
      </c>
      <c r="QD235" s="56"/>
      <c r="QE235" s="242">
        <f>SUMPRODUCT(PRODUCE!$B238:$DY238,PRODUCE!$EB$56:$IY$56)</f>
        <v>48</v>
      </c>
      <c r="QF235" s="56"/>
      <c r="QG235" s="242">
        <f t="shared" si="1643"/>
        <v>48</v>
      </c>
      <c r="QH235" s="242">
        <f t="shared" si="1644"/>
        <v>1688</v>
      </c>
      <c r="QI235" s="56"/>
      <c r="QL235" s="55">
        <f t="shared" si="1645"/>
        <v>46221</v>
      </c>
      <c r="QM235" s="56"/>
      <c r="QN235" s="242">
        <f>SUMPRODUCT(PRODUCE!$B238:$DY238,PRODUCE!$EB$57:$IY$57)</f>
        <v>10</v>
      </c>
      <c r="QO235" s="56"/>
      <c r="QP235" s="242">
        <f t="shared" si="1646"/>
        <v>10</v>
      </c>
      <c r="QQ235" s="242">
        <f t="shared" si="1647"/>
        <v>0</v>
      </c>
      <c r="QR235" s="56"/>
      <c r="QU235" s="55">
        <f t="shared" si="1648"/>
        <v>46221</v>
      </c>
      <c r="QV235" s="56"/>
      <c r="QW235" s="242">
        <f>SUMPRODUCT(PRODUCE!$B238:$DY238,PRODUCE!$EB$58:$IY$58)</f>
        <v>0</v>
      </c>
      <c r="QX235" s="56"/>
      <c r="QY235" s="242">
        <f t="shared" si="1649"/>
        <v>0</v>
      </c>
      <c r="QZ235" s="242">
        <f t="shared" si="1650"/>
        <v>207.6</v>
      </c>
      <c r="RA235" s="56"/>
      <c r="RD235" s="55">
        <f t="shared" si="1651"/>
        <v>46221</v>
      </c>
      <c r="RE235" s="56"/>
      <c r="RF235" s="242">
        <f>SUMPRODUCT(PRODUCE!$B238:$DY238,PRODUCE!$EB$59:$IY$59)</f>
        <v>0</v>
      </c>
      <c r="RG235" s="56"/>
      <c r="RH235" s="242">
        <f t="shared" si="1652"/>
        <v>0</v>
      </c>
      <c r="RI235" s="242">
        <f t="shared" si="1653"/>
        <v>147.04000000000002</v>
      </c>
      <c r="RJ235" s="56"/>
      <c r="RM235" s="55">
        <f t="shared" si="1654"/>
        <v>46221</v>
      </c>
      <c r="RN235" s="56"/>
      <c r="RO235" s="242">
        <f>SUMPRODUCT(PRODUCE!$B238:$DY238,PRODUCE!$EB$60:$IY$60)</f>
        <v>0</v>
      </c>
      <c r="RP235" s="56"/>
      <c r="RQ235" s="242">
        <f t="shared" si="1655"/>
        <v>0</v>
      </c>
      <c r="RR235" s="242">
        <f t="shared" si="1656"/>
        <v>46.8</v>
      </c>
      <c r="RS235" s="56"/>
      <c r="RV235" s="55">
        <f t="shared" si="1657"/>
        <v>46221</v>
      </c>
      <c r="RW235" s="56"/>
      <c r="RX235" s="242">
        <f>SUMPRODUCT(PRODUCE!$B238:$DY238,PRODUCE!$EB$61:$IY$61)</f>
        <v>0</v>
      </c>
      <c r="RY235" s="56"/>
      <c r="RZ235" s="242">
        <f t="shared" si="1658"/>
        <v>0</v>
      </c>
      <c r="SA235" s="242">
        <f t="shared" si="1659"/>
        <v>0</v>
      </c>
      <c r="SB235" s="56"/>
      <c r="SE235" s="55">
        <f t="shared" si="1660"/>
        <v>46221</v>
      </c>
      <c r="SF235" s="56"/>
      <c r="SG235" s="242">
        <f>SUMPRODUCT(PRODUCE!$B238:$DY238,PRODUCE!$EB$62:$IY$62)</f>
        <v>0</v>
      </c>
      <c r="SH235" s="56"/>
      <c r="SI235" s="242">
        <f t="shared" si="1661"/>
        <v>0</v>
      </c>
      <c r="SJ235" s="242">
        <f t="shared" si="1662"/>
        <v>24.200000000000003</v>
      </c>
      <c r="SK235" s="56"/>
      <c r="SN235" s="55">
        <f t="shared" si="1663"/>
        <v>46221</v>
      </c>
      <c r="SO235" s="56"/>
      <c r="SP235" s="242">
        <f>SUMPRODUCT(PRODUCE!$B238:$DY238,PRODUCE!$EB$63:$IY$63)</f>
        <v>0</v>
      </c>
      <c r="SQ235" s="56"/>
      <c r="SR235" s="242">
        <f t="shared" si="1664"/>
        <v>0</v>
      </c>
      <c r="SS235" s="242">
        <f t="shared" si="1665"/>
        <v>32</v>
      </c>
      <c r="ST235" s="56"/>
      <c r="SW235" s="55">
        <f t="shared" si="1666"/>
        <v>46221</v>
      </c>
      <c r="SX235" s="56"/>
      <c r="SY235" s="242">
        <f>SUMPRODUCT(PRODUCE!$B238:$DY238,PRODUCE!$EB$64:$IY$64)</f>
        <v>0</v>
      </c>
      <c r="SZ235" s="56"/>
      <c r="TA235" s="242">
        <f t="shared" si="1667"/>
        <v>0</v>
      </c>
      <c r="TB235" s="242">
        <f t="shared" si="1668"/>
        <v>0</v>
      </c>
      <c r="TC235" s="56"/>
      <c r="TF235" s="55">
        <f t="shared" si="1669"/>
        <v>46221</v>
      </c>
      <c r="TG235" s="56"/>
      <c r="TH235" s="242">
        <f>SUMPRODUCT(PRODUCE!$B238:$DY238,PRODUCE!$EB$57:$IY$57)</f>
        <v>10</v>
      </c>
      <c r="TI235" s="56"/>
      <c r="TJ235" s="242">
        <f t="shared" si="1670"/>
        <v>10</v>
      </c>
      <c r="TK235" s="242">
        <f t="shared" si="1671"/>
        <v>0</v>
      </c>
      <c r="TL235" s="56"/>
      <c r="TO235" s="55">
        <f t="shared" si="1672"/>
        <v>46221</v>
      </c>
      <c r="TP235" s="56"/>
      <c r="TQ235" s="242">
        <f>SUMPRODUCT(PRODUCE!$B238:$DY238,PRODUCE!$EB$57:$IY$57)</f>
        <v>10</v>
      </c>
      <c r="TR235" s="56"/>
      <c r="TS235" s="242">
        <f t="shared" si="1673"/>
        <v>10</v>
      </c>
      <c r="TT235" s="242">
        <f t="shared" si="1674"/>
        <v>22.400000000000006</v>
      </c>
      <c r="TU235" s="56"/>
      <c r="TX235" s="55">
        <f t="shared" si="1675"/>
        <v>46221</v>
      </c>
      <c r="TY235" s="56"/>
      <c r="TZ235" s="242">
        <f>SUMPRODUCT(PRODUCE!$B238:$DY238,PRODUCE!$EB$57:$IY$57)</f>
        <v>10</v>
      </c>
      <c r="UA235" s="56"/>
      <c r="UB235" s="242">
        <f t="shared" si="1676"/>
        <v>10</v>
      </c>
      <c r="UC235" s="242">
        <f t="shared" si="1677"/>
        <v>46.799999999999983</v>
      </c>
      <c r="UD235" s="56"/>
      <c r="UG235" s="55">
        <f t="shared" si="1678"/>
        <v>46221</v>
      </c>
      <c r="UH235" s="56"/>
      <c r="UI235" s="242">
        <f>SUMPRODUCT(PRODUCE!$B238:$DY238,PRODUCE!$EB$57:$IY$57)</f>
        <v>10</v>
      </c>
      <c r="UJ235" s="56"/>
      <c r="UK235" s="242">
        <f t="shared" si="1679"/>
        <v>10</v>
      </c>
      <c r="UL235" s="242">
        <f t="shared" si="1680"/>
        <v>204</v>
      </c>
      <c r="UM235" s="56"/>
      <c r="UP235" s="55">
        <f t="shared" si="1681"/>
        <v>46221</v>
      </c>
      <c r="UQ235" s="56"/>
      <c r="UR235" s="242">
        <f>SUMPRODUCT(PRODUCE!$B238:$DY238,PRODUCE!$EB$69:$IY$69)</f>
        <v>0</v>
      </c>
      <c r="US235" s="56"/>
      <c r="UT235" s="242">
        <f t="shared" si="1682"/>
        <v>0</v>
      </c>
      <c r="UU235" s="242">
        <f t="shared" si="1683"/>
        <v>242.5</v>
      </c>
      <c r="UV235" s="56"/>
      <c r="UY235" s="55">
        <f t="shared" si="1684"/>
        <v>46221</v>
      </c>
      <c r="UZ235" s="56"/>
      <c r="VA235" s="242">
        <f>SUMPRODUCT(PRODUCE!$B238:$DY238,PRODUCE!$EB$70:$IY$70)</f>
        <v>0</v>
      </c>
      <c r="VB235" s="56"/>
      <c r="VC235" s="242">
        <f t="shared" si="1685"/>
        <v>0</v>
      </c>
      <c r="VD235" s="242">
        <f t="shared" si="1686"/>
        <v>41.600000000000023</v>
      </c>
      <c r="VE235" s="56"/>
      <c r="VH235" s="55">
        <f t="shared" si="1687"/>
        <v>46221</v>
      </c>
      <c r="VI235" s="56"/>
      <c r="VJ235" s="242">
        <f>SUMPRODUCT(PRODUCE!$B238:$DY238,PRODUCE!$EB$71:$IY$71)</f>
        <v>0</v>
      </c>
      <c r="VK235" s="56"/>
      <c r="VL235" s="242">
        <f t="shared" si="1688"/>
        <v>0</v>
      </c>
      <c r="VM235" s="242">
        <f t="shared" si="1689"/>
        <v>210</v>
      </c>
      <c r="VN235" s="56"/>
      <c r="VQ235" s="55">
        <f t="shared" si="1690"/>
        <v>46221</v>
      </c>
      <c r="VR235" s="56"/>
      <c r="VS235" s="242">
        <f>SUMPRODUCT(PRODUCE!$B238:$DY238,PRODUCE!$EB$57:$IY$57)</f>
        <v>10</v>
      </c>
      <c r="VT235" s="56"/>
      <c r="VU235" s="242">
        <f t="shared" si="1691"/>
        <v>10</v>
      </c>
      <c r="VV235" s="242">
        <f t="shared" si="1692"/>
        <v>0</v>
      </c>
      <c r="VW235" s="56"/>
      <c r="VZ235" s="55">
        <f t="shared" si="1693"/>
        <v>46221</v>
      </c>
      <c r="WA235" s="56"/>
      <c r="WB235" s="242">
        <f>SUMPRODUCT(PRODUCE!$B238:$DY238,PRODUCE!$EB$57:$IY$57)</f>
        <v>10</v>
      </c>
      <c r="WC235" s="56"/>
      <c r="WD235" s="242">
        <f t="shared" si="1694"/>
        <v>10</v>
      </c>
      <c r="WE235" s="242">
        <f t="shared" si="1695"/>
        <v>0</v>
      </c>
      <c r="WF235" s="56"/>
      <c r="WI235" s="55">
        <f t="shared" si="1696"/>
        <v>46221</v>
      </c>
      <c r="WJ235" s="56"/>
      <c r="WK235" s="242">
        <f>SUMPRODUCT(PRODUCE!$B238:$DY238,PRODUCE!$EB$57:$IY$57)</f>
        <v>10</v>
      </c>
      <c r="WL235" s="56"/>
      <c r="WM235" s="242">
        <f t="shared" si="1697"/>
        <v>10</v>
      </c>
      <c r="WN235" s="242">
        <f t="shared" si="1698"/>
        <v>1057</v>
      </c>
      <c r="WO235" s="56"/>
      <c r="WR235" s="55">
        <f t="shared" si="1699"/>
        <v>46221</v>
      </c>
      <c r="WS235" s="56"/>
      <c r="WT235" s="242">
        <f>SUMPRODUCT(PRODUCE!$B238:$DY238,PRODUCE!$EB$57:$IY$57)</f>
        <v>10</v>
      </c>
      <c r="WU235" s="56"/>
      <c r="WV235" s="242">
        <f t="shared" si="1700"/>
        <v>10</v>
      </c>
      <c r="WW235" s="242">
        <f t="shared" si="1701"/>
        <v>0</v>
      </c>
      <c r="WX235" s="56"/>
      <c r="XA235" s="55">
        <f t="shared" si="1702"/>
        <v>46221</v>
      </c>
      <c r="XB235" s="56"/>
      <c r="XC235" s="242">
        <f>SUMPRODUCT(PRODUCE!$B238:$DY238,PRODUCE!$EB$57:$IY$57)</f>
        <v>10</v>
      </c>
      <c r="XD235" s="56"/>
      <c r="XE235" s="242">
        <f t="shared" si="1703"/>
        <v>10</v>
      </c>
      <c r="XF235" s="242">
        <f t="shared" si="1704"/>
        <v>7507</v>
      </c>
      <c r="XG235" s="56"/>
      <c r="XJ235" s="55">
        <f t="shared" si="1705"/>
        <v>46221</v>
      </c>
      <c r="XK235" s="56"/>
      <c r="XL235" s="242">
        <f>SUMPRODUCT(PRODUCE!$B238:$DY238,PRODUCE!$EB$57:$IY$57)</f>
        <v>10</v>
      </c>
      <c r="XM235" s="56"/>
      <c r="XN235" s="242">
        <f t="shared" si="1706"/>
        <v>10</v>
      </c>
      <c r="XO235" s="242">
        <f t="shared" si="1707"/>
        <v>4252</v>
      </c>
      <c r="XP235" s="56"/>
      <c r="XS235" s="55">
        <f t="shared" si="1708"/>
        <v>46221</v>
      </c>
      <c r="XT235" s="56"/>
      <c r="XU235" s="242">
        <f>SUMPRODUCT(PRODUCE!$B238:$DY238,PRODUCE!$EB$57:$IY$57)</f>
        <v>10</v>
      </c>
      <c r="XV235" s="56"/>
      <c r="XW235" s="242">
        <f t="shared" si="1709"/>
        <v>10</v>
      </c>
      <c r="XX235" s="242">
        <f t="shared" si="1710"/>
        <v>2179</v>
      </c>
      <c r="XY235" s="56"/>
      <c r="YB235" s="55">
        <f t="shared" si="1711"/>
        <v>46221</v>
      </c>
      <c r="YC235" s="56"/>
      <c r="YD235" s="242">
        <f>SUMPRODUCT(PRODUCE!$B238:$DY238,PRODUCE!$EB$57:$IY$57)</f>
        <v>10</v>
      </c>
      <c r="YE235" s="56"/>
      <c r="YF235" s="242">
        <f t="shared" si="1712"/>
        <v>10</v>
      </c>
      <c r="YG235" s="242">
        <f t="shared" si="1713"/>
        <v>4019</v>
      </c>
      <c r="YH235" s="56"/>
      <c r="YK235" s="55">
        <f t="shared" si="1714"/>
        <v>46221</v>
      </c>
      <c r="YL235" s="56"/>
      <c r="YM235" s="242">
        <f>SUMPRODUCT(PRODUCE!$B238:$DY238,PRODUCE!$EB$57:$IY$57)</f>
        <v>10</v>
      </c>
      <c r="YN235" s="56"/>
      <c r="YO235" s="242">
        <f t="shared" si="1715"/>
        <v>10</v>
      </c>
      <c r="YP235" s="242">
        <f t="shared" si="1716"/>
        <v>0</v>
      </c>
      <c r="YQ235" s="56"/>
      <c r="YT235" s="55">
        <f t="shared" si="1717"/>
        <v>46221</v>
      </c>
      <c r="YU235" s="56"/>
      <c r="YV235" s="242">
        <f>SUMPRODUCT(PRODUCE!$B238:$DY238,PRODUCE!$EB$57:$IY$57)</f>
        <v>10</v>
      </c>
      <c r="YW235" s="56"/>
      <c r="YX235" s="242">
        <f t="shared" si="1718"/>
        <v>10</v>
      </c>
      <c r="YY235" s="242">
        <f t="shared" si="1719"/>
        <v>0</v>
      </c>
      <c r="YZ235" s="56"/>
      <c r="ZC235" s="55">
        <f t="shared" si="1720"/>
        <v>46221</v>
      </c>
      <c r="ZD235" s="56"/>
      <c r="ZE235" s="242">
        <f>SUMPRODUCT(PRODUCE!$B238:$DY238,PRODUCE!$EB$57:$IY$57)</f>
        <v>10</v>
      </c>
      <c r="ZF235" s="56"/>
      <c r="ZG235" s="242">
        <f t="shared" si="1721"/>
        <v>10</v>
      </c>
      <c r="ZH235" s="242">
        <f t="shared" si="1722"/>
        <v>0</v>
      </c>
      <c r="ZI235" s="56"/>
      <c r="ZL235" s="55">
        <f t="shared" si="1723"/>
        <v>46221</v>
      </c>
      <c r="ZM235" s="56"/>
      <c r="ZN235" s="242">
        <f>SUMPRODUCT(PRODUCE!$B238:$DY238,PRODUCE!$EB$57:$IY$57)</f>
        <v>10</v>
      </c>
      <c r="ZO235" s="56"/>
      <c r="ZP235" s="242">
        <f t="shared" si="1724"/>
        <v>10</v>
      </c>
      <c r="ZQ235" s="242">
        <f t="shared" si="1725"/>
        <v>0</v>
      </c>
      <c r="ZR235" s="56"/>
      <c r="ZU235" s="55">
        <f t="shared" si="1726"/>
        <v>46221</v>
      </c>
      <c r="ZV235" s="56"/>
      <c r="ZW235" s="242">
        <f>SUMPRODUCT(PRODUCE!$B238:$DY238,PRODUCE!$EB$57:$IY$57)</f>
        <v>10</v>
      </c>
      <c r="ZX235" s="56"/>
      <c r="ZY235" s="242">
        <f t="shared" si="1727"/>
        <v>10</v>
      </c>
      <c r="ZZ235" s="242">
        <f t="shared" si="1728"/>
        <v>0</v>
      </c>
      <c r="AAA235" s="56"/>
      <c r="AAD235" s="55">
        <f t="shared" si="1729"/>
        <v>46221</v>
      </c>
      <c r="AAE235" s="56"/>
      <c r="AAF235" s="242">
        <f>SUMPRODUCT(PRODUCE!$B238:$DY238,PRODUCE!$EB$57:$IY$57)</f>
        <v>10</v>
      </c>
      <c r="AAG235" s="56"/>
      <c r="AAH235" s="242">
        <f t="shared" si="1730"/>
        <v>10</v>
      </c>
      <c r="AAI235" s="242">
        <f t="shared" si="1731"/>
        <v>0</v>
      </c>
      <c r="AAJ235" s="56"/>
      <c r="AAM235" s="55">
        <f t="shared" si="1732"/>
        <v>46221</v>
      </c>
      <c r="AAN235" s="56"/>
      <c r="AAO235" s="242">
        <f>SUMPRODUCT(PRODUCE!$B238:$DY238,PRODUCE!$EB$57:$IY$57)</f>
        <v>10</v>
      </c>
      <c r="AAP235" s="56"/>
      <c r="AAQ235" s="242">
        <f t="shared" si="1733"/>
        <v>10</v>
      </c>
      <c r="AAR235" s="242">
        <f t="shared" si="1734"/>
        <v>0</v>
      </c>
      <c r="AAS235" s="56"/>
      <c r="AAV235" s="55">
        <f t="shared" si="1735"/>
        <v>46221</v>
      </c>
      <c r="AAW235" s="56"/>
      <c r="AAX235" s="242">
        <f>SUMPRODUCT(PRODUCE!$B238:$DY238,PRODUCE!$EB$57:$IY$57)</f>
        <v>10</v>
      </c>
      <c r="AAY235" s="56"/>
      <c r="AAZ235" s="242">
        <f t="shared" si="1736"/>
        <v>10</v>
      </c>
      <c r="ABA235" s="242">
        <f t="shared" si="1737"/>
        <v>0</v>
      </c>
      <c r="ABB235" s="56"/>
      <c r="ABE235" s="55">
        <f t="shared" si="1738"/>
        <v>46221</v>
      </c>
      <c r="ABF235" s="56"/>
      <c r="ABG235" s="242">
        <f>SUMPRODUCT(PRODUCE!$B238:$DY238,PRODUCE!$EB$57:$IY$57)</f>
        <v>10</v>
      </c>
      <c r="ABH235" s="56"/>
      <c r="ABI235" s="242">
        <f t="shared" si="1739"/>
        <v>10</v>
      </c>
      <c r="ABJ235" s="242">
        <f t="shared" si="1740"/>
        <v>0</v>
      </c>
      <c r="ABK235" s="56"/>
    </row>
    <row r="236" spans="2:739" s="54" customFormat="1" ht="15" customHeight="1" outlineLevel="1">
      <c r="B236" s="478"/>
      <c r="C236" s="55">
        <v>46222</v>
      </c>
      <c r="D236" s="422"/>
      <c r="E236" s="423">
        <f>SUMPRODUCT(PRODUCE!$B239:$DY239,PRODUCE!$EB$7:$IY$7)</f>
        <v>0</v>
      </c>
      <c r="F236" s="422"/>
      <c r="G236" s="423">
        <f t="shared" si="1496"/>
        <v>0</v>
      </c>
      <c r="H236" s="423">
        <f t="shared" si="1497"/>
        <v>114022.00000000003</v>
      </c>
      <c r="I236" s="289"/>
      <c r="L236" s="55">
        <f t="shared" si="1498"/>
        <v>46222</v>
      </c>
      <c r="M236" s="422"/>
      <c r="N236" s="438">
        <f>SUMPRODUCT(PRODUCE!$B239:$DY239,PRODUCE!$EB$8:$IY$8)</f>
        <v>0</v>
      </c>
      <c r="O236" s="422"/>
      <c r="P236" s="438">
        <f t="shared" si="1499"/>
        <v>0</v>
      </c>
      <c r="Q236" s="438">
        <f t="shared" si="1500"/>
        <v>3096.0000000000691</v>
      </c>
      <c r="R236" s="56"/>
      <c r="U236" s="55">
        <f t="shared" si="1501"/>
        <v>46222</v>
      </c>
      <c r="V236" s="422"/>
      <c r="W236" s="440">
        <f>SUMPRODUCT(PRODUCE!$B239:$DY239,PRODUCE!$EB$9:$IY$9)</f>
        <v>0</v>
      </c>
      <c r="X236" s="422"/>
      <c r="Y236" s="440">
        <f t="shared" si="1502"/>
        <v>0</v>
      </c>
      <c r="Z236" s="440">
        <f t="shared" si="1503"/>
        <v>42697.799999999967</v>
      </c>
      <c r="AA236" s="56"/>
      <c r="AD236" s="55">
        <f t="shared" si="1504"/>
        <v>46222</v>
      </c>
      <c r="AE236" s="422"/>
      <c r="AF236" s="442">
        <f>SUMPRODUCT(PRODUCE!$B239:$DY239,PRODUCE!$EB$10:$IY$10)</f>
        <v>0</v>
      </c>
      <c r="AG236" s="422"/>
      <c r="AH236" s="442">
        <f t="shared" si="1505"/>
        <v>0</v>
      </c>
      <c r="AI236" s="442">
        <f t="shared" si="1506"/>
        <v>31872.200000000019</v>
      </c>
      <c r="AJ236" s="56"/>
      <c r="AM236" s="55">
        <f t="shared" si="1507"/>
        <v>46222</v>
      </c>
      <c r="AN236" s="422"/>
      <c r="AO236" s="444">
        <f>SUMPRODUCT(PRODUCE!$B239:$DY239,PRODUCE!$EB$11:$IY$11)</f>
        <v>0</v>
      </c>
      <c r="AP236" s="422"/>
      <c r="AQ236" s="444">
        <f t="shared" si="1508"/>
        <v>0</v>
      </c>
      <c r="AR236" s="444">
        <f t="shared" si="1509"/>
        <v>0</v>
      </c>
      <c r="AS236" s="56"/>
      <c r="AV236" s="55">
        <f t="shared" si="1510"/>
        <v>46222</v>
      </c>
      <c r="AW236" s="422"/>
      <c r="AX236" s="446">
        <f>SUMPRODUCT(PRODUCE!$B239:$DY239,PRODUCE!$EB$12:$IY$12)</f>
        <v>0</v>
      </c>
      <c r="AY236" s="422"/>
      <c r="AZ236" s="446">
        <f t="shared" si="1511"/>
        <v>0</v>
      </c>
      <c r="BA236" s="446">
        <f t="shared" si="1512"/>
        <v>726.59999999999525</v>
      </c>
      <c r="BB236" s="56"/>
      <c r="BE236" s="55">
        <f t="shared" si="1513"/>
        <v>46222</v>
      </c>
      <c r="BF236" s="422"/>
      <c r="BG236" s="448">
        <f>SUMPRODUCT(PRODUCE!$B239:$DY239,PRODUCE!$EB$13:$IY$13)</f>
        <v>0</v>
      </c>
      <c r="BH236" s="422"/>
      <c r="BI236" s="448">
        <f t="shared" si="1514"/>
        <v>0</v>
      </c>
      <c r="BJ236" s="448">
        <f t="shared" si="1515"/>
        <v>29432.599999999995</v>
      </c>
      <c r="BK236" s="56"/>
      <c r="BN236" s="55">
        <f t="shared" si="1516"/>
        <v>46222</v>
      </c>
      <c r="BO236" s="422"/>
      <c r="BP236" s="450">
        <f>SUMPRODUCT(PRODUCE!$B239:$DY239,PRODUCE!$EB$14:$IY$14)</f>
        <v>0</v>
      </c>
      <c r="BQ236" s="422"/>
      <c r="BR236" s="450">
        <f t="shared" si="1517"/>
        <v>0</v>
      </c>
      <c r="BS236" s="450">
        <f t="shared" si="1518"/>
        <v>0</v>
      </c>
      <c r="BT236" s="56"/>
      <c r="BW236" s="55">
        <f t="shared" si="1519"/>
        <v>46222</v>
      </c>
      <c r="BX236" s="422"/>
      <c r="BY236" s="523">
        <f>SUMPRODUCT(PRODUCE!$B239:$DY239,PRODUCE!$EB$15:$IY$15)</f>
        <v>0</v>
      </c>
      <c r="BZ236" s="422"/>
      <c r="CA236" s="523">
        <f t="shared" si="1520"/>
        <v>0</v>
      </c>
      <c r="CB236" s="523">
        <f t="shared" si="1521"/>
        <v>6055.1099999999988</v>
      </c>
      <c r="CC236" s="56"/>
      <c r="CF236" s="55">
        <f t="shared" si="1522"/>
        <v>46222</v>
      </c>
      <c r="CG236" s="422"/>
      <c r="CH236" s="524">
        <f>SUMPRODUCT(PRODUCE!$B239:$DY239,PRODUCE!$EB$16:$IY$16)</f>
        <v>0</v>
      </c>
      <c r="CI236" s="422"/>
      <c r="CJ236" s="524">
        <f t="shared" si="1523"/>
        <v>0</v>
      </c>
      <c r="CK236" s="524">
        <f t="shared" si="1524"/>
        <v>-7976.6599999999989</v>
      </c>
      <c r="CL236" s="56"/>
      <c r="CO236" s="55">
        <f t="shared" si="1525"/>
        <v>46222</v>
      </c>
      <c r="CP236" s="422"/>
      <c r="CQ236" s="470">
        <f>SUMPRODUCT(PRODUCE!$B239:$DY239,PRODUCE!$EB$17:$IY$17)</f>
        <v>0</v>
      </c>
      <c r="CR236" s="422"/>
      <c r="CS236" s="470">
        <f t="shared" si="1526"/>
        <v>0</v>
      </c>
      <c r="CT236" s="470">
        <f t="shared" si="1527"/>
        <v>0</v>
      </c>
      <c r="CU236" s="56"/>
      <c r="CX236" s="55">
        <f t="shared" si="1528"/>
        <v>46222</v>
      </c>
      <c r="CY236" s="422"/>
      <c r="CZ236" s="525">
        <f>SUMPRODUCT(PRODUCE!$B239:$DY239,PRODUCE!$EB$18:$IY$18)</f>
        <v>0</v>
      </c>
      <c r="DA236" s="422"/>
      <c r="DB236" s="525">
        <f t="shared" si="1529"/>
        <v>0</v>
      </c>
      <c r="DC236" s="525">
        <f t="shared" si="1530"/>
        <v>1311.6000000000072</v>
      </c>
      <c r="DD236" s="56"/>
      <c r="DG236" s="55">
        <f t="shared" si="1531"/>
        <v>46222</v>
      </c>
      <c r="DH236" s="422"/>
      <c r="DI236" s="526">
        <f>SUMPRODUCT(PRODUCE!$B239:$DY239,PRODUCE!$EB$19:$IY$19)</f>
        <v>0</v>
      </c>
      <c r="DJ236" s="422"/>
      <c r="DK236" s="526">
        <f t="shared" si="1532"/>
        <v>0</v>
      </c>
      <c r="DL236" s="526">
        <f t="shared" si="1533"/>
        <v>33033.89999999998</v>
      </c>
      <c r="DM236" s="56"/>
      <c r="DP236" s="55">
        <f t="shared" si="1534"/>
        <v>46222</v>
      </c>
      <c r="DQ236" s="56"/>
      <c r="DR236" s="57">
        <f>SUMPRODUCT(PRODUCE!$B239:$DY239,PRODUCE!$EB$20:$IY$20)</f>
        <v>0</v>
      </c>
      <c r="DS236" s="56"/>
      <c r="DT236" s="57">
        <f t="shared" si="1535"/>
        <v>0</v>
      </c>
      <c r="DU236" s="57">
        <f t="shared" si="1536"/>
        <v>5800</v>
      </c>
      <c r="DV236" s="56"/>
      <c r="DY236" s="55">
        <f t="shared" si="1537"/>
        <v>46222</v>
      </c>
      <c r="DZ236" s="56"/>
      <c r="EA236" s="157">
        <f>SUMPRODUCT(PRODUCE!$B239:$DY239,PRODUCE!$EB$21:$IY$21)</f>
        <v>0</v>
      </c>
      <c r="EB236" s="56"/>
      <c r="EC236" s="157">
        <f t="shared" si="1538"/>
        <v>0</v>
      </c>
      <c r="ED236" s="157">
        <f t="shared" si="1539"/>
        <v>0</v>
      </c>
      <c r="EE236" s="56"/>
      <c r="EH236" s="55">
        <f t="shared" si="1540"/>
        <v>46222</v>
      </c>
      <c r="EI236" s="56"/>
      <c r="EJ236" s="162">
        <f>SUMPRODUCT(PRODUCE!$B239:$DY239,PRODUCE!$EB$22:$IY$22)</f>
        <v>0</v>
      </c>
      <c r="EK236" s="56"/>
      <c r="EL236" s="162">
        <f t="shared" si="1541"/>
        <v>0</v>
      </c>
      <c r="EM236" s="162">
        <f t="shared" si="1542"/>
        <v>0</v>
      </c>
      <c r="EN236" s="56"/>
      <c r="EQ236" s="55">
        <f t="shared" si="1543"/>
        <v>46222</v>
      </c>
      <c r="ER236" s="56"/>
      <c r="ES236" s="172">
        <f>SUMPRODUCT(PRODUCE!$B239:$DY239,PRODUCE!$EB$23:$IY$23)</f>
        <v>0</v>
      </c>
      <c r="ET236" s="56"/>
      <c r="EU236" s="135">
        <f t="shared" si="1544"/>
        <v>0</v>
      </c>
      <c r="EV236" s="135">
        <f t="shared" si="1545"/>
        <v>0</v>
      </c>
      <c r="EW236" s="56"/>
      <c r="EZ236" s="55">
        <f t="shared" si="1546"/>
        <v>46222</v>
      </c>
      <c r="FA236" s="56"/>
      <c r="FB236" s="175">
        <f>SUMPRODUCT(PRODUCE!$B239:$DY239,PRODUCE!$EB$24:$IY$24)</f>
        <v>0</v>
      </c>
      <c r="FC236" s="56"/>
      <c r="FD236" s="175">
        <f t="shared" si="1547"/>
        <v>0</v>
      </c>
      <c r="FE236" s="175">
        <f t="shared" si="1548"/>
        <v>0</v>
      </c>
      <c r="FF236" s="56"/>
      <c r="FI236" s="55">
        <f t="shared" si="1549"/>
        <v>46222</v>
      </c>
      <c r="FJ236" s="56"/>
      <c r="FK236" s="183">
        <f>SUMPRODUCT(PRODUCE!$B239:$DY239,PRODUCE!$EB$25:$IY$25)</f>
        <v>0</v>
      </c>
      <c r="FL236" s="56"/>
      <c r="FM236" s="183">
        <f t="shared" si="1550"/>
        <v>0</v>
      </c>
      <c r="FN236" s="183">
        <f t="shared" si="1551"/>
        <v>0</v>
      </c>
      <c r="FO236" s="56"/>
      <c r="FR236" s="55">
        <f t="shared" si="1552"/>
        <v>46222</v>
      </c>
      <c r="FS236" s="56"/>
      <c r="FT236" s="186">
        <f>SUMPRODUCT(PRODUCE!$B239:$DY239,PRODUCE!$EB$26:$IY$26)</f>
        <v>0</v>
      </c>
      <c r="FU236" s="56"/>
      <c r="FV236" s="186">
        <f t="shared" si="1553"/>
        <v>0</v>
      </c>
      <c r="FW236" s="186">
        <f t="shared" si="1554"/>
        <v>1160</v>
      </c>
      <c r="FX236" s="56"/>
      <c r="GA236" s="55">
        <f t="shared" si="1555"/>
        <v>46222</v>
      </c>
      <c r="GB236" s="56"/>
      <c r="GC236" s="137">
        <f>SUMPRODUCT(PRODUCE!$B239:$DY239,PRODUCE!$EB$27:$IY$27)</f>
        <v>0</v>
      </c>
      <c r="GD236" s="56"/>
      <c r="GE236" s="137">
        <f t="shared" si="1556"/>
        <v>0</v>
      </c>
      <c r="GF236" s="137">
        <f t="shared" si="1557"/>
        <v>960</v>
      </c>
      <c r="GG236" s="56"/>
      <c r="GI236" s="23"/>
      <c r="GJ236" s="55">
        <f t="shared" si="1558"/>
        <v>46222</v>
      </c>
      <c r="GK236" s="56"/>
      <c r="GL236" s="199">
        <f>SUMPRODUCT(PRODUCE!$B239:$DY239,PRODUCE!$EB$28:$IY$28)</f>
        <v>0</v>
      </c>
      <c r="GM236" s="56"/>
      <c r="GN236" s="199">
        <f t="shared" si="1559"/>
        <v>0</v>
      </c>
      <c r="GO236" s="199">
        <f t="shared" si="1560"/>
        <v>1760</v>
      </c>
      <c r="GP236" s="56"/>
      <c r="GS236" s="55">
        <f t="shared" si="1561"/>
        <v>46222</v>
      </c>
      <c r="GT236" s="56"/>
      <c r="GU236" s="195">
        <f>SUMPRODUCT(PRODUCE!$B239:$DY239,PRODUCE!$EB$29:$IY$29)</f>
        <v>0</v>
      </c>
      <c r="GV236" s="56"/>
      <c r="GW236" s="195">
        <f t="shared" si="1562"/>
        <v>0</v>
      </c>
      <c r="GX236" s="195">
        <f t="shared" si="1563"/>
        <v>400</v>
      </c>
      <c r="GY236" s="56"/>
      <c r="HB236" s="55">
        <f t="shared" si="1564"/>
        <v>46222</v>
      </c>
      <c r="HC236" s="56"/>
      <c r="HD236" s="191">
        <f>SUMPRODUCT(PRODUCE!$B239:$DY239,PRODUCE!$EB$30:$IY$30)</f>
        <v>0</v>
      </c>
      <c r="HE236" s="56"/>
      <c r="HF236" s="191">
        <f t="shared" si="1565"/>
        <v>0</v>
      </c>
      <c r="HG236" s="191">
        <f t="shared" si="1566"/>
        <v>3600</v>
      </c>
      <c r="HH236" s="56"/>
      <c r="HK236" s="55">
        <f t="shared" si="1567"/>
        <v>46222</v>
      </c>
      <c r="HL236" s="56"/>
      <c r="HM236" s="63">
        <f>SUMPRODUCT(PRODUCE!$B239:$DY239,PRODUCE!$EB$31:$IY$31)</f>
        <v>0</v>
      </c>
      <c r="HN236" s="56"/>
      <c r="HO236" s="63">
        <f t="shared" si="1568"/>
        <v>0</v>
      </c>
      <c r="HP236" s="63">
        <f t="shared" si="1569"/>
        <v>0</v>
      </c>
      <c r="HQ236" s="56"/>
      <c r="HU236" s="55">
        <f t="shared" si="1570"/>
        <v>46222</v>
      </c>
      <c r="HV236" s="56"/>
      <c r="HW236" s="242">
        <f>SUMPRODUCT(PRODUCE!$B239:$DY239,PRODUCE!$EB$32:$IY$32)</f>
        <v>0</v>
      </c>
      <c r="HX236" s="56"/>
      <c r="HY236" s="242">
        <f t="shared" si="1571"/>
        <v>0</v>
      </c>
      <c r="HZ236" s="242">
        <f t="shared" si="1572"/>
        <v>5920</v>
      </c>
      <c r="IA236" s="56"/>
      <c r="ID236" s="55">
        <f t="shared" si="1573"/>
        <v>46222</v>
      </c>
      <c r="IE236" s="56"/>
      <c r="IF236" s="242">
        <f>SUMPRODUCT(PRODUCE!$B239:$DY239,PRODUCE!$EB$33:$IY$33)</f>
        <v>0</v>
      </c>
      <c r="IG236" s="56"/>
      <c r="IH236" s="242">
        <f t="shared" si="1574"/>
        <v>0</v>
      </c>
      <c r="II236" s="242">
        <f t="shared" si="1575"/>
        <v>720</v>
      </c>
      <c r="IJ236" s="56"/>
      <c r="IM236" s="55">
        <f t="shared" si="1576"/>
        <v>46222</v>
      </c>
      <c r="IN236" s="56"/>
      <c r="IO236" s="242">
        <f>SUMPRODUCT(PRODUCE!$B239:$DY239,PRODUCE!$EB$34:$IY$34)</f>
        <v>0</v>
      </c>
      <c r="IP236" s="56"/>
      <c r="IQ236" s="242">
        <f t="shared" si="1577"/>
        <v>0</v>
      </c>
      <c r="IR236" s="242">
        <f t="shared" si="1578"/>
        <v>4280</v>
      </c>
      <c r="IS236" s="56"/>
      <c r="IV236" s="55">
        <f t="shared" si="1579"/>
        <v>46222</v>
      </c>
      <c r="IW236" s="56"/>
      <c r="IX236" s="242">
        <f>SUMPRODUCT(PRODUCE!$B239:$DY239,PRODUCE!$EB$35:$IY$35)</f>
        <v>0</v>
      </c>
      <c r="IY236" s="56"/>
      <c r="IZ236" s="242">
        <f t="shared" si="1580"/>
        <v>0</v>
      </c>
      <c r="JA236" s="242">
        <f t="shared" si="1581"/>
        <v>4960</v>
      </c>
      <c r="JB236" s="56"/>
      <c r="JE236" s="55">
        <f t="shared" si="1582"/>
        <v>46222</v>
      </c>
      <c r="JF236" s="56"/>
      <c r="JG236" s="242">
        <f>SUMPRODUCT(PRODUCE!$B239:$DY239,PRODUCE!$EB$36:$IY$36)</f>
        <v>0</v>
      </c>
      <c r="JH236" s="56"/>
      <c r="JI236" s="242">
        <f t="shared" si="1583"/>
        <v>0</v>
      </c>
      <c r="JJ236" s="242">
        <f t="shared" si="1584"/>
        <v>0</v>
      </c>
      <c r="JK236" s="56"/>
      <c r="JN236" s="55">
        <f t="shared" si="1585"/>
        <v>46222</v>
      </c>
      <c r="JO236" s="56"/>
      <c r="JP236" s="242">
        <f>SUMPRODUCT(PRODUCE!$B239:$DY239,PRODUCE!$EB$37:$IY$37)</f>
        <v>0</v>
      </c>
      <c r="JQ236" s="56"/>
      <c r="JR236" s="242">
        <f t="shared" si="1586"/>
        <v>0</v>
      </c>
      <c r="JS236" s="242">
        <f t="shared" si="1587"/>
        <v>0</v>
      </c>
      <c r="JT236" s="56"/>
      <c r="JW236" s="55">
        <f t="shared" si="1588"/>
        <v>46222</v>
      </c>
      <c r="JX236" s="56"/>
      <c r="JY236" s="242">
        <f>SUMPRODUCT(PRODUCE!$B239:$DY239,PRODUCE!$EB$38:$IY$38)</f>
        <v>0</v>
      </c>
      <c r="JZ236" s="56"/>
      <c r="KA236" s="242">
        <f t="shared" si="1589"/>
        <v>0</v>
      </c>
      <c r="KB236" s="242">
        <f t="shared" si="1590"/>
        <v>2540</v>
      </c>
      <c r="KC236" s="56"/>
      <c r="KF236" s="55">
        <f t="shared" si="1591"/>
        <v>46222</v>
      </c>
      <c r="KG236" s="56"/>
      <c r="KH236" s="242">
        <f>SUMPRODUCT(PRODUCE!$B239:$DY239,PRODUCE!$EB$39:$IY$39)</f>
        <v>0</v>
      </c>
      <c r="KI236" s="56"/>
      <c r="KJ236" s="242">
        <f t="shared" si="1592"/>
        <v>0</v>
      </c>
      <c r="KK236" s="242">
        <f t="shared" si="1593"/>
        <v>2359.5</v>
      </c>
      <c r="KL236" s="56"/>
      <c r="KO236" s="55">
        <f t="shared" si="1594"/>
        <v>46222</v>
      </c>
      <c r="KP236" s="56"/>
      <c r="KQ236" s="242">
        <f>SUMPRODUCT(PRODUCE!$B239:$DY239,PRODUCE!$EB$40:$IY$40)</f>
        <v>0</v>
      </c>
      <c r="KR236" s="56"/>
      <c r="KS236" s="242">
        <f t="shared" si="1595"/>
        <v>0</v>
      </c>
      <c r="KT236" s="242">
        <f t="shared" si="1596"/>
        <v>1890</v>
      </c>
      <c r="KU236" s="56"/>
      <c r="KW236" s="23"/>
      <c r="KX236" s="55">
        <f t="shared" si="1597"/>
        <v>46222</v>
      </c>
      <c r="KY236" s="56"/>
      <c r="KZ236" s="242">
        <f>SUMPRODUCT(PRODUCE!$B239:$DY239,PRODUCE!$EB$41:$IY$41)</f>
        <v>0</v>
      </c>
      <c r="LA236" s="56"/>
      <c r="LB236" s="242">
        <f t="shared" si="1598"/>
        <v>0</v>
      </c>
      <c r="LC236" s="242">
        <f t="shared" si="1599"/>
        <v>3690</v>
      </c>
      <c r="LD236" s="56"/>
      <c r="LG236" s="55">
        <f t="shared" si="1600"/>
        <v>46222</v>
      </c>
      <c r="LH236" s="56"/>
      <c r="LI236" s="242">
        <f>SUMPRODUCT(PRODUCE!$B239:$DY239,PRODUCE!$EB$42:$IY$42)</f>
        <v>0</v>
      </c>
      <c r="LJ236" s="56"/>
      <c r="LK236" s="242">
        <f t="shared" si="1601"/>
        <v>0</v>
      </c>
      <c r="LL236" s="242">
        <f t="shared" si="1602"/>
        <v>4000</v>
      </c>
      <c r="LM236" s="56"/>
      <c r="LP236" s="55">
        <f t="shared" si="1603"/>
        <v>46222</v>
      </c>
      <c r="LQ236" s="56"/>
      <c r="LR236" s="242">
        <f>SUMPRODUCT(PRODUCE!$B239:$DY239,PRODUCE!$EB$43:$IY$43)</f>
        <v>0</v>
      </c>
      <c r="LS236" s="56"/>
      <c r="LT236" s="242">
        <f t="shared" si="1604"/>
        <v>0</v>
      </c>
      <c r="LU236" s="242">
        <f t="shared" si="1605"/>
        <v>0</v>
      </c>
      <c r="LV236" s="56"/>
      <c r="LY236" s="55">
        <f t="shared" si="1606"/>
        <v>46222</v>
      </c>
      <c r="LZ236" s="56"/>
      <c r="MA236" s="242">
        <f>SUMPRODUCT(PRODUCE!$B239:$DY239,PRODUCE!$EB$44:$IY$44)</f>
        <v>0</v>
      </c>
      <c r="MB236" s="56"/>
      <c r="MC236" s="242">
        <f t="shared" si="1607"/>
        <v>0</v>
      </c>
      <c r="MD236" s="242">
        <f t="shared" si="1608"/>
        <v>0</v>
      </c>
      <c r="ME236" s="56"/>
      <c r="MH236" s="55">
        <f t="shared" si="1609"/>
        <v>46222</v>
      </c>
      <c r="MI236" s="56"/>
      <c r="MJ236" s="242">
        <f>SUMPRODUCT(PRODUCE!$B239:$DY239,PRODUCE!$EB$45:$IY$45)</f>
        <v>0</v>
      </c>
      <c r="MK236" s="56"/>
      <c r="ML236" s="242">
        <f t="shared" si="1610"/>
        <v>0</v>
      </c>
      <c r="MM236" s="242">
        <f t="shared" si="1611"/>
        <v>0</v>
      </c>
      <c r="MN236" s="56"/>
      <c r="MQ236" s="55">
        <f t="shared" si="1612"/>
        <v>46222</v>
      </c>
      <c r="MR236" s="56"/>
      <c r="MS236" s="242">
        <f>SUMPRODUCT(PRODUCE!$B239:$DY239,PRODUCE!$EB$46:$IY$46)</f>
        <v>0</v>
      </c>
      <c r="MT236" s="56"/>
      <c r="MU236" s="242">
        <f t="shared" si="1613"/>
        <v>0</v>
      </c>
      <c r="MV236" s="242">
        <f t="shared" si="1614"/>
        <v>2550</v>
      </c>
      <c r="MW236" s="56"/>
      <c r="MZ236" s="55">
        <f t="shared" si="1615"/>
        <v>46222</v>
      </c>
      <c r="NA236" s="56"/>
      <c r="NB236" s="242">
        <f>SUMPRODUCT(PRODUCE!$B239:$DY239,PRODUCE!$EB$47:$IY$47)</f>
        <v>0</v>
      </c>
      <c r="NC236" s="56"/>
      <c r="ND236" s="242">
        <f t="shared" si="1616"/>
        <v>0</v>
      </c>
      <c r="NE236" s="242">
        <f t="shared" si="1617"/>
        <v>0</v>
      </c>
      <c r="NF236" s="56"/>
      <c r="NI236" s="55">
        <f t="shared" si="1618"/>
        <v>46222</v>
      </c>
      <c r="NJ236" s="56"/>
      <c r="NK236" s="242">
        <f>SUMPRODUCT(PRODUCE!$B239:$DY239,PRODUCE!$EB$48:$IY$48)</f>
        <v>0</v>
      </c>
      <c r="NL236" s="56"/>
      <c r="NM236" s="242">
        <f t="shared" si="1619"/>
        <v>0</v>
      </c>
      <c r="NN236" s="242">
        <f t="shared" si="1620"/>
        <v>1127</v>
      </c>
      <c r="NO236" s="56"/>
      <c r="NR236" s="55">
        <f t="shared" si="1621"/>
        <v>46222</v>
      </c>
      <c r="NS236" s="56"/>
      <c r="NT236" s="242">
        <f>SUMPRODUCT(PRODUCE!$B239:$DY239,PRODUCE!$EB$49:$IY$49)</f>
        <v>0</v>
      </c>
      <c r="NU236" s="56"/>
      <c r="NV236" s="242">
        <f t="shared" si="1622"/>
        <v>0</v>
      </c>
      <c r="NW236" s="242">
        <f t="shared" si="1623"/>
        <v>3111.9999999999995</v>
      </c>
      <c r="NX236" s="56"/>
      <c r="OA236" s="55">
        <f t="shared" si="1624"/>
        <v>46222</v>
      </c>
      <c r="OB236" s="56"/>
      <c r="OC236" s="242">
        <f>SUMPRODUCT(PRODUCE!$B239:$DY239,PRODUCE!$EB$50:$IY$50)</f>
        <v>0</v>
      </c>
      <c r="OD236" s="56"/>
      <c r="OE236" s="242">
        <f t="shared" si="1625"/>
        <v>0</v>
      </c>
      <c r="OF236" s="242">
        <f t="shared" si="1626"/>
        <v>1680.5</v>
      </c>
      <c r="OG236" s="56"/>
      <c r="OJ236" s="55">
        <f t="shared" si="1627"/>
        <v>46222</v>
      </c>
      <c r="OK236" s="56"/>
      <c r="OL236" s="242">
        <f>SUMPRODUCT(PRODUCE!$B239:$DY239,PRODUCE!$EB$51:$IY$51)</f>
        <v>0</v>
      </c>
      <c r="OM236" s="56"/>
      <c r="ON236" s="242">
        <f t="shared" si="1628"/>
        <v>0</v>
      </c>
      <c r="OO236" s="242">
        <f t="shared" si="1629"/>
        <v>0</v>
      </c>
      <c r="OP236" s="56"/>
      <c r="OS236" s="55">
        <f t="shared" si="1630"/>
        <v>46222</v>
      </c>
      <c r="OT236" s="56"/>
      <c r="OU236" s="242">
        <f>SUMPRODUCT(PRODUCE!$B239:$DY239,PRODUCE!$EB$52:$IY$52)</f>
        <v>0</v>
      </c>
      <c r="OV236" s="56"/>
      <c r="OW236" s="242">
        <f t="shared" si="1631"/>
        <v>0</v>
      </c>
      <c r="OX236" s="242">
        <f t="shared" si="1632"/>
        <v>1482</v>
      </c>
      <c r="OY236" s="56"/>
      <c r="PB236" s="55">
        <f t="shared" si="1633"/>
        <v>46222</v>
      </c>
      <c r="PC236" s="56"/>
      <c r="PD236" s="242">
        <f>SUMPRODUCT(PRODUCE!$B239:$DY239,PRODUCE!$EB$53:$IY$53)</f>
        <v>0</v>
      </c>
      <c r="PE236" s="56"/>
      <c r="PF236" s="242">
        <f t="shared" si="1634"/>
        <v>0</v>
      </c>
      <c r="PG236" s="242">
        <f t="shared" si="1635"/>
        <v>0</v>
      </c>
      <c r="PH236" s="56"/>
      <c r="PK236" s="55">
        <f t="shared" si="1636"/>
        <v>46222</v>
      </c>
      <c r="PL236" s="56"/>
      <c r="PM236" s="242">
        <f>SUMPRODUCT(PRODUCE!$B239:$DY239,PRODUCE!$EB$54:$IY$54)</f>
        <v>0</v>
      </c>
      <c r="PN236" s="56"/>
      <c r="PO236" s="242">
        <f t="shared" si="1637"/>
        <v>0</v>
      </c>
      <c r="PP236" s="242">
        <f t="shared" si="1638"/>
        <v>100</v>
      </c>
      <c r="PQ236" s="56"/>
      <c r="PT236" s="55">
        <f t="shared" si="1639"/>
        <v>46222</v>
      </c>
      <c r="PU236" s="56"/>
      <c r="PV236" s="242">
        <f>SUMPRODUCT(PRODUCE!$B239:$DY239,PRODUCE!$EB$55:$IY$55)</f>
        <v>0</v>
      </c>
      <c r="PW236" s="56"/>
      <c r="PX236" s="242">
        <f t="shared" si="1640"/>
        <v>0</v>
      </c>
      <c r="PY236" s="242">
        <f t="shared" si="1641"/>
        <v>13.960000000000036</v>
      </c>
      <c r="PZ236" s="56"/>
      <c r="QC236" s="55">
        <f t="shared" si="1642"/>
        <v>46222</v>
      </c>
      <c r="QD236" s="56"/>
      <c r="QE236" s="242">
        <f>SUMPRODUCT(PRODUCE!$B239:$DY239,PRODUCE!$EB$56:$IY$56)</f>
        <v>0</v>
      </c>
      <c r="QF236" s="56"/>
      <c r="QG236" s="242">
        <f t="shared" si="1643"/>
        <v>0</v>
      </c>
      <c r="QH236" s="242">
        <f t="shared" si="1644"/>
        <v>1688</v>
      </c>
      <c r="QI236" s="56"/>
      <c r="QL236" s="55">
        <f t="shared" si="1645"/>
        <v>46222</v>
      </c>
      <c r="QM236" s="56"/>
      <c r="QN236" s="242">
        <f>SUMPRODUCT(PRODUCE!$B239:$DY239,PRODUCE!$EB$57:$IY$57)</f>
        <v>0</v>
      </c>
      <c r="QO236" s="56"/>
      <c r="QP236" s="242">
        <f t="shared" si="1646"/>
        <v>0</v>
      </c>
      <c r="QQ236" s="242">
        <f t="shared" si="1647"/>
        <v>0</v>
      </c>
      <c r="QR236" s="56"/>
      <c r="QU236" s="55">
        <f t="shared" si="1648"/>
        <v>46222</v>
      </c>
      <c r="QV236" s="56"/>
      <c r="QW236" s="242">
        <f>SUMPRODUCT(PRODUCE!$B239:$DY239,PRODUCE!$EB$58:$IY$58)</f>
        <v>0</v>
      </c>
      <c r="QX236" s="56"/>
      <c r="QY236" s="242">
        <f t="shared" si="1649"/>
        <v>0</v>
      </c>
      <c r="QZ236" s="242">
        <f t="shared" si="1650"/>
        <v>207.6</v>
      </c>
      <c r="RA236" s="56"/>
      <c r="RD236" s="55">
        <f t="shared" si="1651"/>
        <v>46222</v>
      </c>
      <c r="RE236" s="56"/>
      <c r="RF236" s="242">
        <f>SUMPRODUCT(PRODUCE!$B239:$DY239,PRODUCE!$EB$59:$IY$59)</f>
        <v>0</v>
      </c>
      <c r="RG236" s="56"/>
      <c r="RH236" s="242">
        <f t="shared" si="1652"/>
        <v>0</v>
      </c>
      <c r="RI236" s="242">
        <f t="shared" si="1653"/>
        <v>147.04000000000002</v>
      </c>
      <c r="RJ236" s="56"/>
      <c r="RM236" s="55">
        <f t="shared" si="1654"/>
        <v>46222</v>
      </c>
      <c r="RN236" s="56"/>
      <c r="RO236" s="242">
        <f>SUMPRODUCT(PRODUCE!$B239:$DY239,PRODUCE!$EB$60:$IY$60)</f>
        <v>0</v>
      </c>
      <c r="RP236" s="56"/>
      <c r="RQ236" s="242">
        <f t="shared" si="1655"/>
        <v>0</v>
      </c>
      <c r="RR236" s="242">
        <f t="shared" si="1656"/>
        <v>46.8</v>
      </c>
      <c r="RS236" s="56"/>
      <c r="RV236" s="55">
        <f t="shared" si="1657"/>
        <v>46222</v>
      </c>
      <c r="RW236" s="56"/>
      <c r="RX236" s="242">
        <f>SUMPRODUCT(PRODUCE!$B239:$DY239,PRODUCE!$EB$61:$IY$61)</f>
        <v>0</v>
      </c>
      <c r="RY236" s="56"/>
      <c r="RZ236" s="242">
        <f t="shared" si="1658"/>
        <v>0</v>
      </c>
      <c r="SA236" s="242">
        <f t="shared" si="1659"/>
        <v>0</v>
      </c>
      <c r="SB236" s="56"/>
      <c r="SE236" s="55">
        <f t="shared" si="1660"/>
        <v>46222</v>
      </c>
      <c r="SF236" s="56"/>
      <c r="SG236" s="242">
        <f>SUMPRODUCT(PRODUCE!$B239:$DY239,PRODUCE!$EB$62:$IY$62)</f>
        <v>0</v>
      </c>
      <c r="SH236" s="56"/>
      <c r="SI236" s="242">
        <f t="shared" si="1661"/>
        <v>0</v>
      </c>
      <c r="SJ236" s="242">
        <f t="shared" si="1662"/>
        <v>24.200000000000003</v>
      </c>
      <c r="SK236" s="56"/>
      <c r="SN236" s="55">
        <f t="shared" si="1663"/>
        <v>46222</v>
      </c>
      <c r="SO236" s="56"/>
      <c r="SP236" s="242">
        <f>SUMPRODUCT(PRODUCE!$B239:$DY239,PRODUCE!$EB$63:$IY$63)</f>
        <v>0</v>
      </c>
      <c r="SQ236" s="56"/>
      <c r="SR236" s="242">
        <f t="shared" si="1664"/>
        <v>0</v>
      </c>
      <c r="SS236" s="242">
        <f t="shared" si="1665"/>
        <v>32</v>
      </c>
      <c r="ST236" s="56"/>
      <c r="SW236" s="55">
        <f t="shared" si="1666"/>
        <v>46222</v>
      </c>
      <c r="SX236" s="56"/>
      <c r="SY236" s="242">
        <f>SUMPRODUCT(PRODUCE!$B239:$DY239,PRODUCE!$EB$64:$IY$64)</f>
        <v>0</v>
      </c>
      <c r="SZ236" s="56"/>
      <c r="TA236" s="242">
        <f t="shared" si="1667"/>
        <v>0</v>
      </c>
      <c r="TB236" s="242">
        <f t="shared" si="1668"/>
        <v>0</v>
      </c>
      <c r="TC236" s="56"/>
      <c r="TF236" s="55">
        <f t="shared" si="1669"/>
        <v>46222</v>
      </c>
      <c r="TG236" s="56"/>
      <c r="TH236" s="242">
        <f>SUMPRODUCT(PRODUCE!$B239:$DY239,PRODUCE!$EB$57:$IY$57)</f>
        <v>0</v>
      </c>
      <c r="TI236" s="56"/>
      <c r="TJ236" s="242">
        <f t="shared" si="1670"/>
        <v>0</v>
      </c>
      <c r="TK236" s="242">
        <f t="shared" si="1671"/>
        <v>0</v>
      </c>
      <c r="TL236" s="56"/>
      <c r="TO236" s="55">
        <f t="shared" si="1672"/>
        <v>46222</v>
      </c>
      <c r="TP236" s="56"/>
      <c r="TQ236" s="242">
        <f>SUMPRODUCT(PRODUCE!$B239:$DY239,PRODUCE!$EB$57:$IY$57)</f>
        <v>0</v>
      </c>
      <c r="TR236" s="56"/>
      <c r="TS236" s="242">
        <f t="shared" si="1673"/>
        <v>0</v>
      </c>
      <c r="TT236" s="242">
        <f t="shared" si="1674"/>
        <v>22.400000000000006</v>
      </c>
      <c r="TU236" s="56"/>
      <c r="TX236" s="55">
        <f t="shared" si="1675"/>
        <v>46222</v>
      </c>
      <c r="TY236" s="56"/>
      <c r="TZ236" s="242">
        <f>SUMPRODUCT(PRODUCE!$B239:$DY239,PRODUCE!$EB$57:$IY$57)</f>
        <v>0</v>
      </c>
      <c r="UA236" s="56"/>
      <c r="UB236" s="242">
        <f t="shared" si="1676"/>
        <v>0</v>
      </c>
      <c r="UC236" s="242">
        <f t="shared" si="1677"/>
        <v>46.799999999999983</v>
      </c>
      <c r="UD236" s="56"/>
      <c r="UG236" s="55">
        <f t="shared" si="1678"/>
        <v>46222</v>
      </c>
      <c r="UH236" s="56"/>
      <c r="UI236" s="242">
        <f>SUMPRODUCT(PRODUCE!$B239:$DY239,PRODUCE!$EB$57:$IY$57)</f>
        <v>0</v>
      </c>
      <c r="UJ236" s="56"/>
      <c r="UK236" s="242">
        <f t="shared" si="1679"/>
        <v>0</v>
      </c>
      <c r="UL236" s="242">
        <f t="shared" si="1680"/>
        <v>204</v>
      </c>
      <c r="UM236" s="56"/>
      <c r="UP236" s="55">
        <f t="shared" si="1681"/>
        <v>46222</v>
      </c>
      <c r="UQ236" s="56"/>
      <c r="UR236" s="242">
        <f>SUMPRODUCT(PRODUCE!$B239:$DY239,PRODUCE!$EB$69:$IY$69)</f>
        <v>0</v>
      </c>
      <c r="US236" s="56"/>
      <c r="UT236" s="242">
        <f t="shared" si="1682"/>
        <v>0</v>
      </c>
      <c r="UU236" s="242">
        <f t="shared" si="1683"/>
        <v>242.5</v>
      </c>
      <c r="UV236" s="56"/>
      <c r="UY236" s="55">
        <f t="shared" si="1684"/>
        <v>46222</v>
      </c>
      <c r="UZ236" s="56"/>
      <c r="VA236" s="242">
        <f>SUMPRODUCT(PRODUCE!$B239:$DY239,PRODUCE!$EB$70:$IY$70)</f>
        <v>0</v>
      </c>
      <c r="VB236" s="56"/>
      <c r="VC236" s="242">
        <f t="shared" si="1685"/>
        <v>0</v>
      </c>
      <c r="VD236" s="242">
        <f t="shared" si="1686"/>
        <v>41.600000000000023</v>
      </c>
      <c r="VE236" s="56"/>
      <c r="VH236" s="55">
        <f t="shared" si="1687"/>
        <v>46222</v>
      </c>
      <c r="VI236" s="56"/>
      <c r="VJ236" s="242">
        <f>SUMPRODUCT(PRODUCE!$B239:$DY239,PRODUCE!$EB$71:$IY$71)</f>
        <v>0</v>
      </c>
      <c r="VK236" s="56"/>
      <c r="VL236" s="242">
        <f t="shared" si="1688"/>
        <v>0</v>
      </c>
      <c r="VM236" s="242">
        <f t="shared" si="1689"/>
        <v>210</v>
      </c>
      <c r="VN236" s="56"/>
      <c r="VQ236" s="55">
        <f t="shared" si="1690"/>
        <v>46222</v>
      </c>
      <c r="VR236" s="56"/>
      <c r="VS236" s="242">
        <f>SUMPRODUCT(PRODUCE!$B239:$DY239,PRODUCE!$EB$57:$IY$57)</f>
        <v>0</v>
      </c>
      <c r="VT236" s="56"/>
      <c r="VU236" s="242">
        <f t="shared" si="1691"/>
        <v>0</v>
      </c>
      <c r="VV236" s="242">
        <f t="shared" si="1692"/>
        <v>0</v>
      </c>
      <c r="VW236" s="56"/>
      <c r="VZ236" s="55">
        <f t="shared" si="1693"/>
        <v>46222</v>
      </c>
      <c r="WA236" s="56"/>
      <c r="WB236" s="242">
        <f>SUMPRODUCT(PRODUCE!$B239:$DY239,PRODUCE!$EB$57:$IY$57)</f>
        <v>0</v>
      </c>
      <c r="WC236" s="56"/>
      <c r="WD236" s="242">
        <f t="shared" si="1694"/>
        <v>0</v>
      </c>
      <c r="WE236" s="242">
        <f t="shared" si="1695"/>
        <v>0</v>
      </c>
      <c r="WF236" s="56"/>
      <c r="WI236" s="55">
        <f t="shared" si="1696"/>
        <v>46222</v>
      </c>
      <c r="WJ236" s="56"/>
      <c r="WK236" s="242">
        <f>SUMPRODUCT(PRODUCE!$B239:$DY239,PRODUCE!$EB$57:$IY$57)</f>
        <v>0</v>
      </c>
      <c r="WL236" s="56"/>
      <c r="WM236" s="242">
        <f t="shared" si="1697"/>
        <v>0</v>
      </c>
      <c r="WN236" s="242">
        <f t="shared" si="1698"/>
        <v>1057</v>
      </c>
      <c r="WO236" s="56"/>
      <c r="WR236" s="55">
        <f t="shared" si="1699"/>
        <v>46222</v>
      </c>
      <c r="WS236" s="56"/>
      <c r="WT236" s="242">
        <f>SUMPRODUCT(PRODUCE!$B239:$DY239,PRODUCE!$EB$57:$IY$57)</f>
        <v>0</v>
      </c>
      <c r="WU236" s="56"/>
      <c r="WV236" s="242">
        <f t="shared" si="1700"/>
        <v>0</v>
      </c>
      <c r="WW236" s="242">
        <f t="shared" si="1701"/>
        <v>0</v>
      </c>
      <c r="WX236" s="56"/>
      <c r="XA236" s="55">
        <f t="shared" si="1702"/>
        <v>46222</v>
      </c>
      <c r="XB236" s="56"/>
      <c r="XC236" s="242">
        <f>SUMPRODUCT(PRODUCE!$B239:$DY239,PRODUCE!$EB$57:$IY$57)</f>
        <v>0</v>
      </c>
      <c r="XD236" s="56"/>
      <c r="XE236" s="242">
        <f t="shared" si="1703"/>
        <v>0</v>
      </c>
      <c r="XF236" s="242">
        <f t="shared" si="1704"/>
        <v>7507</v>
      </c>
      <c r="XG236" s="56"/>
      <c r="XJ236" s="55">
        <f t="shared" si="1705"/>
        <v>46222</v>
      </c>
      <c r="XK236" s="56"/>
      <c r="XL236" s="242">
        <f>SUMPRODUCT(PRODUCE!$B239:$DY239,PRODUCE!$EB$57:$IY$57)</f>
        <v>0</v>
      </c>
      <c r="XM236" s="56"/>
      <c r="XN236" s="242">
        <f t="shared" si="1706"/>
        <v>0</v>
      </c>
      <c r="XO236" s="242">
        <f t="shared" si="1707"/>
        <v>4252</v>
      </c>
      <c r="XP236" s="56"/>
      <c r="XS236" s="55">
        <f t="shared" si="1708"/>
        <v>46222</v>
      </c>
      <c r="XT236" s="56"/>
      <c r="XU236" s="242">
        <f>SUMPRODUCT(PRODUCE!$B239:$DY239,PRODUCE!$EB$57:$IY$57)</f>
        <v>0</v>
      </c>
      <c r="XV236" s="56"/>
      <c r="XW236" s="242">
        <f t="shared" si="1709"/>
        <v>0</v>
      </c>
      <c r="XX236" s="242">
        <f t="shared" si="1710"/>
        <v>2179</v>
      </c>
      <c r="XY236" s="56"/>
      <c r="YB236" s="55">
        <f t="shared" si="1711"/>
        <v>46222</v>
      </c>
      <c r="YC236" s="56"/>
      <c r="YD236" s="242">
        <f>SUMPRODUCT(PRODUCE!$B239:$DY239,PRODUCE!$EB$57:$IY$57)</f>
        <v>0</v>
      </c>
      <c r="YE236" s="56"/>
      <c r="YF236" s="242">
        <f t="shared" si="1712"/>
        <v>0</v>
      </c>
      <c r="YG236" s="242">
        <f t="shared" si="1713"/>
        <v>4019</v>
      </c>
      <c r="YH236" s="56"/>
      <c r="YK236" s="55">
        <f t="shared" si="1714"/>
        <v>46222</v>
      </c>
      <c r="YL236" s="56"/>
      <c r="YM236" s="242">
        <f>SUMPRODUCT(PRODUCE!$B239:$DY239,PRODUCE!$EB$57:$IY$57)</f>
        <v>0</v>
      </c>
      <c r="YN236" s="56"/>
      <c r="YO236" s="242">
        <f t="shared" si="1715"/>
        <v>0</v>
      </c>
      <c r="YP236" s="242">
        <f t="shared" si="1716"/>
        <v>0</v>
      </c>
      <c r="YQ236" s="56"/>
      <c r="YT236" s="55">
        <f t="shared" si="1717"/>
        <v>46222</v>
      </c>
      <c r="YU236" s="56"/>
      <c r="YV236" s="242">
        <f>SUMPRODUCT(PRODUCE!$B239:$DY239,PRODUCE!$EB$57:$IY$57)</f>
        <v>0</v>
      </c>
      <c r="YW236" s="56"/>
      <c r="YX236" s="242">
        <f t="shared" si="1718"/>
        <v>0</v>
      </c>
      <c r="YY236" s="242">
        <f t="shared" si="1719"/>
        <v>0</v>
      </c>
      <c r="YZ236" s="56"/>
      <c r="ZC236" s="55">
        <f t="shared" si="1720"/>
        <v>46222</v>
      </c>
      <c r="ZD236" s="56"/>
      <c r="ZE236" s="242">
        <f>SUMPRODUCT(PRODUCE!$B239:$DY239,PRODUCE!$EB$57:$IY$57)</f>
        <v>0</v>
      </c>
      <c r="ZF236" s="56"/>
      <c r="ZG236" s="242">
        <f t="shared" si="1721"/>
        <v>0</v>
      </c>
      <c r="ZH236" s="242">
        <f t="shared" si="1722"/>
        <v>0</v>
      </c>
      <c r="ZI236" s="56"/>
      <c r="ZL236" s="55">
        <f t="shared" si="1723"/>
        <v>46222</v>
      </c>
      <c r="ZM236" s="56"/>
      <c r="ZN236" s="242">
        <f>SUMPRODUCT(PRODUCE!$B239:$DY239,PRODUCE!$EB$57:$IY$57)</f>
        <v>0</v>
      </c>
      <c r="ZO236" s="56"/>
      <c r="ZP236" s="242">
        <f t="shared" si="1724"/>
        <v>0</v>
      </c>
      <c r="ZQ236" s="242">
        <f t="shared" si="1725"/>
        <v>0</v>
      </c>
      <c r="ZR236" s="56"/>
      <c r="ZU236" s="55">
        <f t="shared" si="1726"/>
        <v>46222</v>
      </c>
      <c r="ZV236" s="56"/>
      <c r="ZW236" s="242">
        <f>SUMPRODUCT(PRODUCE!$B239:$DY239,PRODUCE!$EB$57:$IY$57)</f>
        <v>0</v>
      </c>
      <c r="ZX236" s="56"/>
      <c r="ZY236" s="242">
        <f t="shared" si="1727"/>
        <v>0</v>
      </c>
      <c r="ZZ236" s="242">
        <f t="shared" si="1728"/>
        <v>0</v>
      </c>
      <c r="AAA236" s="56"/>
      <c r="AAD236" s="55">
        <f t="shared" si="1729"/>
        <v>46222</v>
      </c>
      <c r="AAE236" s="56"/>
      <c r="AAF236" s="242">
        <f>SUMPRODUCT(PRODUCE!$B239:$DY239,PRODUCE!$EB$57:$IY$57)</f>
        <v>0</v>
      </c>
      <c r="AAG236" s="56"/>
      <c r="AAH236" s="242">
        <f t="shared" si="1730"/>
        <v>0</v>
      </c>
      <c r="AAI236" s="242">
        <f t="shared" si="1731"/>
        <v>0</v>
      </c>
      <c r="AAJ236" s="56"/>
      <c r="AAM236" s="55">
        <f t="shared" si="1732"/>
        <v>46222</v>
      </c>
      <c r="AAN236" s="56"/>
      <c r="AAO236" s="242">
        <f>SUMPRODUCT(PRODUCE!$B239:$DY239,PRODUCE!$EB$57:$IY$57)</f>
        <v>0</v>
      </c>
      <c r="AAP236" s="56"/>
      <c r="AAQ236" s="242">
        <f t="shared" si="1733"/>
        <v>0</v>
      </c>
      <c r="AAR236" s="242">
        <f t="shared" si="1734"/>
        <v>0</v>
      </c>
      <c r="AAS236" s="56"/>
      <c r="AAV236" s="55">
        <f t="shared" si="1735"/>
        <v>46222</v>
      </c>
      <c r="AAW236" s="56"/>
      <c r="AAX236" s="242">
        <f>SUMPRODUCT(PRODUCE!$B239:$DY239,PRODUCE!$EB$57:$IY$57)</f>
        <v>0</v>
      </c>
      <c r="AAY236" s="56"/>
      <c r="AAZ236" s="242">
        <f t="shared" si="1736"/>
        <v>0</v>
      </c>
      <c r="ABA236" s="242">
        <f t="shared" si="1737"/>
        <v>0</v>
      </c>
      <c r="ABB236" s="56"/>
      <c r="ABE236" s="55">
        <f t="shared" si="1738"/>
        <v>46222</v>
      </c>
      <c r="ABF236" s="56"/>
      <c r="ABG236" s="242">
        <f>SUMPRODUCT(PRODUCE!$B239:$DY239,PRODUCE!$EB$57:$IY$57)</f>
        <v>0</v>
      </c>
      <c r="ABH236" s="56"/>
      <c r="ABI236" s="242">
        <f t="shared" si="1739"/>
        <v>0</v>
      </c>
      <c r="ABJ236" s="242">
        <f t="shared" si="1740"/>
        <v>0</v>
      </c>
      <c r="ABK236" s="56"/>
    </row>
    <row r="237" spans="2:739" s="54" customFormat="1" ht="15" customHeight="1" outlineLevel="1">
      <c r="B237" s="478"/>
      <c r="C237" s="55">
        <v>46223</v>
      </c>
      <c r="D237" s="422">
        <v>40150</v>
      </c>
      <c r="E237" s="423">
        <f>SUMPRODUCT(PRODUCE!$B240:$DY240,PRODUCE!$EB$7:$IY$7)</f>
        <v>0</v>
      </c>
      <c r="F237" s="422"/>
      <c r="G237" s="423">
        <f t="shared" si="1496"/>
        <v>0</v>
      </c>
      <c r="H237" s="423">
        <f t="shared" si="1497"/>
        <v>154172.00000000003</v>
      </c>
      <c r="I237" s="289"/>
      <c r="L237" s="55">
        <f t="shared" si="1498"/>
        <v>46223</v>
      </c>
      <c r="M237" s="422"/>
      <c r="N237" s="438">
        <f>SUMPRODUCT(PRODUCE!$B240:$DY240,PRODUCE!$EB$8:$IY$8)</f>
        <v>0</v>
      </c>
      <c r="O237" s="422"/>
      <c r="P237" s="438">
        <f t="shared" si="1499"/>
        <v>0</v>
      </c>
      <c r="Q237" s="438">
        <f t="shared" si="1500"/>
        <v>3096.0000000000691</v>
      </c>
      <c r="R237" s="56"/>
      <c r="U237" s="55">
        <f t="shared" si="1501"/>
        <v>46223</v>
      </c>
      <c r="V237" s="422"/>
      <c r="W237" s="440">
        <f>SUMPRODUCT(PRODUCE!$B240:$DY240,PRODUCE!$EB$9:$IY$9)</f>
        <v>0</v>
      </c>
      <c r="X237" s="422"/>
      <c r="Y237" s="440">
        <f t="shared" si="1502"/>
        <v>0</v>
      </c>
      <c r="Z237" s="440">
        <f t="shared" si="1503"/>
        <v>42697.799999999967</v>
      </c>
      <c r="AA237" s="56"/>
      <c r="AD237" s="55">
        <f t="shared" si="1504"/>
        <v>46223</v>
      </c>
      <c r="AE237" s="422"/>
      <c r="AF237" s="442">
        <f>SUMPRODUCT(PRODUCE!$B240:$DY240,PRODUCE!$EB$10:$IY$10)</f>
        <v>0</v>
      </c>
      <c r="AG237" s="422"/>
      <c r="AH237" s="442">
        <f t="shared" si="1505"/>
        <v>0</v>
      </c>
      <c r="AI237" s="442">
        <f t="shared" si="1506"/>
        <v>31872.200000000019</v>
      </c>
      <c r="AJ237" s="56"/>
      <c r="AM237" s="55">
        <f t="shared" si="1507"/>
        <v>46223</v>
      </c>
      <c r="AN237" s="422"/>
      <c r="AO237" s="444">
        <f>SUMPRODUCT(PRODUCE!$B240:$DY240,PRODUCE!$EB$11:$IY$11)</f>
        <v>0</v>
      </c>
      <c r="AP237" s="422"/>
      <c r="AQ237" s="444">
        <f t="shared" si="1508"/>
        <v>0</v>
      </c>
      <c r="AR237" s="444">
        <f t="shared" si="1509"/>
        <v>0</v>
      </c>
      <c r="AS237" s="56"/>
      <c r="AV237" s="55">
        <f t="shared" si="1510"/>
        <v>46223</v>
      </c>
      <c r="AW237" s="422"/>
      <c r="AX237" s="446">
        <f>SUMPRODUCT(PRODUCE!$B240:$DY240,PRODUCE!$EB$12:$IY$12)</f>
        <v>0</v>
      </c>
      <c r="AY237" s="422"/>
      <c r="AZ237" s="446">
        <f t="shared" si="1511"/>
        <v>0</v>
      </c>
      <c r="BA237" s="446">
        <f t="shared" si="1512"/>
        <v>726.59999999999525</v>
      </c>
      <c r="BB237" s="56"/>
      <c r="BE237" s="55">
        <f t="shared" si="1513"/>
        <v>46223</v>
      </c>
      <c r="BF237" s="422"/>
      <c r="BG237" s="448">
        <f>SUMPRODUCT(PRODUCE!$B240:$DY240,PRODUCE!$EB$13:$IY$13)</f>
        <v>0</v>
      </c>
      <c r="BH237" s="422"/>
      <c r="BI237" s="448">
        <f t="shared" si="1514"/>
        <v>0</v>
      </c>
      <c r="BJ237" s="448">
        <f t="shared" si="1515"/>
        <v>29432.599999999995</v>
      </c>
      <c r="BK237" s="56"/>
      <c r="BN237" s="55">
        <f t="shared" si="1516"/>
        <v>46223</v>
      </c>
      <c r="BO237" s="422"/>
      <c r="BP237" s="450">
        <f>SUMPRODUCT(PRODUCE!$B240:$DY240,PRODUCE!$EB$14:$IY$14)</f>
        <v>0</v>
      </c>
      <c r="BQ237" s="422"/>
      <c r="BR237" s="450">
        <f t="shared" si="1517"/>
        <v>0</v>
      </c>
      <c r="BS237" s="450">
        <f t="shared" si="1518"/>
        <v>0</v>
      </c>
      <c r="BT237" s="56"/>
      <c r="BW237" s="55">
        <f t="shared" si="1519"/>
        <v>46223</v>
      </c>
      <c r="BX237" s="422"/>
      <c r="BY237" s="523">
        <f>SUMPRODUCT(PRODUCE!$B240:$DY240,PRODUCE!$EB$15:$IY$15)</f>
        <v>0</v>
      </c>
      <c r="BZ237" s="422">
        <v>117.75</v>
      </c>
      <c r="CA237" s="523">
        <f t="shared" si="1520"/>
        <v>-117.75</v>
      </c>
      <c r="CB237" s="523">
        <f t="shared" si="1521"/>
        <v>5937.3599999999988</v>
      </c>
      <c r="CC237" s="56"/>
      <c r="CF237" s="55">
        <f t="shared" si="1522"/>
        <v>46223</v>
      </c>
      <c r="CG237" s="422"/>
      <c r="CH237" s="524">
        <f>SUMPRODUCT(PRODUCE!$B240:$DY240,PRODUCE!$EB$16:$IY$16)</f>
        <v>0</v>
      </c>
      <c r="CI237" s="422">
        <v>124.7</v>
      </c>
      <c r="CJ237" s="524">
        <f t="shared" si="1523"/>
        <v>-124.7</v>
      </c>
      <c r="CK237" s="524">
        <f t="shared" si="1524"/>
        <v>-8101.3599999999988</v>
      </c>
      <c r="CL237" s="56"/>
      <c r="CO237" s="55">
        <f t="shared" si="1525"/>
        <v>46223</v>
      </c>
      <c r="CP237" s="422"/>
      <c r="CQ237" s="470">
        <f>SUMPRODUCT(PRODUCE!$B240:$DY240,PRODUCE!$EB$17:$IY$17)</f>
        <v>0</v>
      </c>
      <c r="CR237" s="422"/>
      <c r="CS237" s="470">
        <f t="shared" si="1526"/>
        <v>0</v>
      </c>
      <c r="CT237" s="470">
        <f t="shared" si="1527"/>
        <v>0</v>
      </c>
      <c r="CU237" s="56"/>
      <c r="CX237" s="55">
        <f t="shared" si="1528"/>
        <v>46223</v>
      </c>
      <c r="CY237" s="422"/>
      <c r="CZ237" s="525">
        <f>SUMPRODUCT(PRODUCE!$B240:$DY240,PRODUCE!$EB$18:$IY$18)</f>
        <v>0</v>
      </c>
      <c r="DA237" s="422"/>
      <c r="DB237" s="525">
        <f t="shared" si="1529"/>
        <v>0</v>
      </c>
      <c r="DC237" s="525">
        <f t="shared" si="1530"/>
        <v>1311.6000000000072</v>
      </c>
      <c r="DD237" s="56"/>
      <c r="DG237" s="55">
        <f t="shared" si="1531"/>
        <v>46223</v>
      </c>
      <c r="DH237" s="422"/>
      <c r="DI237" s="526">
        <f>SUMPRODUCT(PRODUCE!$B240:$DY240,PRODUCE!$EB$19:$IY$19)</f>
        <v>0</v>
      </c>
      <c r="DJ237" s="422"/>
      <c r="DK237" s="526">
        <f t="shared" si="1532"/>
        <v>0</v>
      </c>
      <c r="DL237" s="526">
        <f t="shared" si="1533"/>
        <v>33033.89999999998</v>
      </c>
      <c r="DM237" s="56"/>
      <c r="DP237" s="55">
        <f t="shared" si="1534"/>
        <v>46223</v>
      </c>
      <c r="DQ237" s="56"/>
      <c r="DR237" s="57">
        <f>SUMPRODUCT(PRODUCE!$B240:$DY240,PRODUCE!$EB$20:$IY$20)</f>
        <v>0</v>
      </c>
      <c r="DS237" s="56"/>
      <c r="DT237" s="57">
        <f t="shared" si="1535"/>
        <v>0</v>
      </c>
      <c r="DU237" s="57">
        <f t="shared" si="1536"/>
        <v>5800</v>
      </c>
      <c r="DV237" s="56"/>
      <c r="DY237" s="55">
        <f t="shared" si="1537"/>
        <v>46223</v>
      </c>
      <c r="DZ237" s="56"/>
      <c r="EA237" s="157">
        <f>SUMPRODUCT(PRODUCE!$B240:$DY240,PRODUCE!$EB$21:$IY$21)</f>
        <v>0</v>
      </c>
      <c r="EB237" s="56"/>
      <c r="EC237" s="157">
        <f t="shared" si="1538"/>
        <v>0</v>
      </c>
      <c r="ED237" s="157">
        <f t="shared" si="1539"/>
        <v>0</v>
      </c>
      <c r="EE237" s="56"/>
      <c r="EH237" s="55">
        <f t="shared" si="1540"/>
        <v>46223</v>
      </c>
      <c r="EI237" s="56"/>
      <c r="EJ237" s="162">
        <f>SUMPRODUCT(PRODUCE!$B240:$DY240,PRODUCE!$EB$22:$IY$22)</f>
        <v>0</v>
      </c>
      <c r="EK237" s="56"/>
      <c r="EL237" s="162">
        <f t="shared" si="1541"/>
        <v>0</v>
      </c>
      <c r="EM237" s="162">
        <f t="shared" si="1542"/>
        <v>0</v>
      </c>
      <c r="EN237" s="56"/>
      <c r="EQ237" s="55">
        <f t="shared" si="1543"/>
        <v>46223</v>
      </c>
      <c r="ER237" s="56"/>
      <c r="ES237" s="172">
        <f>SUMPRODUCT(PRODUCE!$B240:$DY240,PRODUCE!$EB$23:$IY$23)</f>
        <v>0</v>
      </c>
      <c r="ET237" s="56"/>
      <c r="EU237" s="135">
        <f t="shared" si="1544"/>
        <v>0</v>
      </c>
      <c r="EV237" s="135">
        <f t="shared" si="1545"/>
        <v>0</v>
      </c>
      <c r="EW237" s="56"/>
      <c r="EZ237" s="55">
        <f t="shared" si="1546"/>
        <v>46223</v>
      </c>
      <c r="FA237" s="56"/>
      <c r="FB237" s="175">
        <f>SUMPRODUCT(PRODUCE!$B240:$DY240,PRODUCE!$EB$24:$IY$24)</f>
        <v>0</v>
      </c>
      <c r="FC237" s="56"/>
      <c r="FD237" s="175">
        <f t="shared" si="1547"/>
        <v>0</v>
      </c>
      <c r="FE237" s="175">
        <f t="shared" si="1548"/>
        <v>0</v>
      </c>
      <c r="FF237" s="56"/>
      <c r="FI237" s="55">
        <f t="shared" si="1549"/>
        <v>46223</v>
      </c>
      <c r="FJ237" s="56"/>
      <c r="FK237" s="183">
        <f>SUMPRODUCT(PRODUCE!$B240:$DY240,PRODUCE!$EB$25:$IY$25)</f>
        <v>0</v>
      </c>
      <c r="FL237" s="56"/>
      <c r="FM237" s="183">
        <f t="shared" si="1550"/>
        <v>0</v>
      </c>
      <c r="FN237" s="183">
        <f t="shared" si="1551"/>
        <v>0</v>
      </c>
      <c r="FO237" s="56"/>
      <c r="FR237" s="55">
        <f t="shared" si="1552"/>
        <v>46223</v>
      </c>
      <c r="FS237" s="56"/>
      <c r="FT237" s="186">
        <f>SUMPRODUCT(PRODUCE!$B240:$DY240,PRODUCE!$EB$26:$IY$26)</f>
        <v>0</v>
      </c>
      <c r="FU237" s="56"/>
      <c r="FV237" s="186">
        <f t="shared" si="1553"/>
        <v>0</v>
      </c>
      <c r="FW237" s="186">
        <f t="shared" si="1554"/>
        <v>1160</v>
      </c>
      <c r="FX237" s="56"/>
      <c r="GA237" s="55">
        <f t="shared" si="1555"/>
        <v>46223</v>
      </c>
      <c r="GB237" s="56"/>
      <c r="GC237" s="137">
        <f>SUMPRODUCT(PRODUCE!$B240:$DY240,PRODUCE!$EB$27:$IY$27)</f>
        <v>0</v>
      </c>
      <c r="GD237" s="56"/>
      <c r="GE237" s="137">
        <f t="shared" si="1556"/>
        <v>0</v>
      </c>
      <c r="GF237" s="137">
        <f t="shared" si="1557"/>
        <v>960</v>
      </c>
      <c r="GG237" s="56"/>
      <c r="GI237" s="23"/>
      <c r="GJ237" s="55">
        <f t="shared" si="1558"/>
        <v>46223</v>
      </c>
      <c r="GK237" s="56"/>
      <c r="GL237" s="199">
        <f>SUMPRODUCT(PRODUCE!$B240:$DY240,PRODUCE!$EB$28:$IY$28)</f>
        <v>0</v>
      </c>
      <c r="GM237" s="56"/>
      <c r="GN237" s="199">
        <f t="shared" si="1559"/>
        <v>0</v>
      </c>
      <c r="GO237" s="199">
        <f t="shared" si="1560"/>
        <v>1760</v>
      </c>
      <c r="GP237" s="56"/>
      <c r="GS237" s="55">
        <f t="shared" si="1561"/>
        <v>46223</v>
      </c>
      <c r="GT237" s="56"/>
      <c r="GU237" s="195">
        <f>SUMPRODUCT(PRODUCE!$B240:$DY240,PRODUCE!$EB$29:$IY$29)</f>
        <v>0</v>
      </c>
      <c r="GV237" s="56"/>
      <c r="GW237" s="195">
        <f t="shared" si="1562"/>
        <v>0</v>
      </c>
      <c r="GX237" s="195">
        <f t="shared" si="1563"/>
        <v>400</v>
      </c>
      <c r="GY237" s="56"/>
      <c r="HB237" s="55">
        <f t="shared" si="1564"/>
        <v>46223</v>
      </c>
      <c r="HC237" s="56"/>
      <c r="HD237" s="191">
        <f>SUMPRODUCT(PRODUCE!$B240:$DY240,PRODUCE!$EB$30:$IY$30)</f>
        <v>0</v>
      </c>
      <c r="HE237" s="56"/>
      <c r="HF237" s="191">
        <f t="shared" si="1565"/>
        <v>0</v>
      </c>
      <c r="HG237" s="191">
        <f t="shared" si="1566"/>
        <v>3600</v>
      </c>
      <c r="HH237" s="56"/>
      <c r="HK237" s="55">
        <f t="shared" si="1567"/>
        <v>46223</v>
      </c>
      <c r="HL237" s="56"/>
      <c r="HM237" s="63">
        <f>SUMPRODUCT(PRODUCE!$B240:$DY240,PRODUCE!$EB$31:$IY$31)</f>
        <v>0</v>
      </c>
      <c r="HN237" s="56"/>
      <c r="HO237" s="63">
        <f t="shared" si="1568"/>
        <v>0</v>
      </c>
      <c r="HP237" s="63">
        <f t="shared" si="1569"/>
        <v>0</v>
      </c>
      <c r="HQ237" s="56"/>
      <c r="HU237" s="55">
        <f t="shared" si="1570"/>
        <v>46223</v>
      </c>
      <c r="HV237" s="56"/>
      <c r="HW237" s="242">
        <f>SUMPRODUCT(PRODUCE!$B240:$DY240,PRODUCE!$EB$32:$IY$32)</f>
        <v>0</v>
      </c>
      <c r="HX237" s="56"/>
      <c r="HY237" s="242">
        <f t="shared" si="1571"/>
        <v>0</v>
      </c>
      <c r="HZ237" s="242">
        <f t="shared" si="1572"/>
        <v>5920</v>
      </c>
      <c r="IA237" s="56"/>
      <c r="ID237" s="55">
        <f t="shared" si="1573"/>
        <v>46223</v>
      </c>
      <c r="IE237" s="56"/>
      <c r="IF237" s="242">
        <f>SUMPRODUCT(PRODUCE!$B240:$DY240,PRODUCE!$EB$33:$IY$33)</f>
        <v>0</v>
      </c>
      <c r="IG237" s="56"/>
      <c r="IH237" s="242">
        <f t="shared" si="1574"/>
        <v>0</v>
      </c>
      <c r="II237" s="242">
        <f t="shared" si="1575"/>
        <v>720</v>
      </c>
      <c r="IJ237" s="56"/>
      <c r="IM237" s="55">
        <f t="shared" si="1576"/>
        <v>46223</v>
      </c>
      <c r="IN237" s="56"/>
      <c r="IO237" s="242">
        <f>SUMPRODUCT(PRODUCE!$B240:$DY240,PRODUCE!$EB$34:$IY$34)</f>
        <v>0</v>
      </c>
      <c r="IP237" s="56"/>
      <c r="IQ237" s="242">
        <f t="shared" si="1577"/>
        <v>0</v>
      </c>
      <c r="IR237" s="242">
        <f t="shared" si="1578"/>
        <v>4280</v>
      </c>
      <c r="IS237" s="56"/>
      <c r="IV237" s="55">
        <f t="shared" si="1579"/>
        <v>46223</v>
      </c>
      <c r="IW237" s="56"/>
      <c r="IX237" s="242">
        <f>SUMPRODUCT(PRODUCE!$B240:$DY240,PRODUCE!$EB$35:$IY$35)</f>
        <v>0</v>
      </c>
      <c r="IY237" s="56"/>
      <c r="IZ237" s="242">
        <f t="shared" si="1580"/>
        <v>0</v>
      </c>
      <c r="JA237" s="242">
        <f t="shared" si="1581"/>
        <v>4960</v>
      </c>
      <c r="JB237" s="56"/>
      <c r="JE237" s="55">
        <f t="shared" si="1582"/>
        <v>46223</v>
      </c>
      <c r="JF237" s="56"/>
      <c r="JG237" s="242">
        <f>SUMPRODUCT(PRODUCE!$B240:$DY240,PRODUCE!$EB$36:$IY$36)</f>
        <v>0</v>
      </c>
      <c r="JH237" s="56"/>
      <c r="JI237" s="242">
        <f t="shared" si="1583"/>
        <v>0</v>
      </c>
      <c r="JJ237" s="242">
        <f t="shared" si="1584"/>
        <v>0</v>
      </c>
      <c r="JK237" s="56"/>
      <c r="JN237" s="55">
        <f t="shared" si="1585"/>
        <v>46223</v>
      </c>
      <c r="JO237" s="56"/>
      <c r="JP237" s="242">
        <f>SUMPRODUCT(PRODUCE!$B240:$DY240,PRODUCE!$EB$37:$IY$37)</f>
        <v>0</v>
      </c>
      <c r="JQ237" s="56"/>
      <c r="JR237" s="242">
        <f t="shared" si="1586"/>
        <v>0</v>
      </c>
      <c r="JS237" s="242">
        <f t="shared" si="1587"/>
        <v>0</v>
      </c>
      <c r="JT237" s="56"/>
      <c r="JW237" s="55">
        <f t="shared" si="1588"/>
        <v>46223</v>
      </c>
      <c r="JX237" s="56"/>
      <c r="JY237" s="242">
        <f>SUMPRODUCT(PRODUCE!$B240:$DY240,PRODUCE!$EB$38:$IY$38)</f>
        <v>0</v>
      </c>
      <c r="JZ237" s="56"/>
      <c r="KA237" s="242">
        <f t="shared" si="1589"/>
        <v>0</v>
      </c>
      <c r="KB237" s="242">
        <f t="shared" si="1590"/>
        <v>2540</v>
      </c>
      <c r="KC237" s="56"/>
      <c r="KF237" s="55">
        <f t="shared" si="1591"/>
        <v>46223</v>
      </c>
      <c r="KG237" s="56"/>
      <c r="KH237" s="242">
        <f>SUMPRODUCT(PRODUCE!$B240:$DY240,PRODUCE!$EB$39:$IY$39)</f>
        <v>0</v>
      </c>
      <c r="KI237" s="56"/>
      <c r="KJ237" s="242">
        <f t="shared" si="1592"/>
        <v>0</v>
      </c>
      <c r="KK237" s="242">
        <f t="shared" si="1593"/>
        <v>2359.5</v>
      </c>
      <c r="KL237" s="56"/>
      <c r="KO237" s="55">
        <f t="shared" si="1594"/>
        <v>46223</v>
      </c>
      <c r="KP237" s="56"/>
      <c r="KQ237" s="242">
        <f>SUMPRODUCT(PRODUCE!$B240:$DY240,PRODUCE!$EB$40:$IY$40)</f>
        <v>0</v>
      </c>
      <c r="KR237" s="56"/>
      <c r="KS237" s="242">
        <f t="shared" si="1595"/>
        <v>0</v>
      </c>
      <c r="KT237" s="242">
        <f t="shared" si="1596"/>
        <v>1890</v>
      </c>
      <c r="KU237" s="56"/>
      <c r="KW237" s="23"/>
      <c r="KX237" s="55">
        <f t="shared" si="1597"/>
        <v>46223</v>
      </c>
      <c r="KY237" s="56"/>
      <c r="KZ237" s="242">
        <f>SUMPRODUCT(PRODUCE!$B240:$DY240,PRODUCE!$EB$41:$IY$41)</f>
        <v>0</v>
      </c>
      <c r="LA237" s="56"/>
      <c r="LB237" s="242">
        <f t="shared" si="1598"/>
        <v>0</v>
      </c>
      <c r="LC237" s="242">
        <f t="shared" si="1599"/>
        <v>3690</v>
      </c>
      <c r="LD237" s="56"/>
      <c r="LG237" s="55">
        <f t="shared" si="1600"/>
        <v>46223</v>
      </c>
      <c r="LH237" s="56"/>
      <c r="LI237" s="242">
        <f>SUMPRODUCT(PRODUCE!$B240:$DY240,PRODUCE!$EB$42:$IY$42)</f>
        <v>0</v>
      </c>
      <c r="LJ237" s="56"/>
      <c r="LK237" s="242">
        <f t="shared" si="1601"/>
        <v>0</v>
      </c>
      <c r="LL237" s="242">
        <f t="shared" si="1602"/>
        <v>4000</v>
      </c>
      <c r="LM237" s="56"/>
      <c r="LP237" s="55">
        <f t="shared" si="1603"/>
        <v>46223</v>
      </c>
      <c r="LQ237" s="56"/>
      <c r="LR237" s="242">
        <f>SUMPRODUCT(PRODUCE!$B240:$DY240,PRODUCE!$EB$43:$IY$43)</f>
        <v>0</v>
      </c>
      <c r="LS237" s="56"/>
      <c r="LT237" s="242">
        <f t="shared" si="1604"/>
        <v>0</v>
      </c>
      <c r="LU237" s="242">
        <f t="shared" si="1605"/>
        <v>0</v>
      </c>
      <c r="LV237" s="56"/>
      <c r="LY237" s="55">
        <f t="shared" si="1606"/>
        <v>46223</v>
      </c>
      <c r="LZ237" s="56"/>
      <c r="MA237" s="242">
        <f>SUMPRODUCT(PRODUCE!$B240:$DY240,PRODUCE!$EB$44:$IY$44)</f>
        <v>0</v>
      </c>
      <c r="MB237" s="56"/>
      <c r="MC237" s="242">
        <f t="shared" si="1607"/>
        <v>0</v>
      </c>
      <c r="MD237" s="242">
        <f t="shared" si="1608"/>
        <v>0</v>
      </c>
      <c r="ME237" s="56"/>
      <c r="MH237" s="55">
        <f t="shared" si="1609"/>
        <v>46223</v>
      </c>
      <c r="MI237" s="56"/>
      <c r="MJ237" s="242">
        <f>SUMPRODUCT(PRODUCE!$B240:$DY240,PRODUCE!$EB$45:$IY$45)</f>
        <v>0</v>
      </c>
      <c r="MK237" s="56"/>
      <c r="ML237" s="242">
        <f t="shared" si="1610"/>
        <v>0</v>
      </c>
      <c r="MM237" s="242">
        <f t="shared" si="1611"/>
        <v>0</v>
      </c>
      <c r="MN237" s="56"/>
      <c r="MQ237" s="55">
        <f t="shared" si="1612"/>
        <v>46223</v>
      </c>
      <c r="MR237" s="56"/>
      <c r="MS237" s="242">
        <f>SUMPRODUCT(PRODUCE!$B240:$DY240,PRODUCE!$EB$46:$IY$46)</f>
        <v>0</v>
      </c>
      <c r="MT237" s="56">
        <v>10</v>
      </c>
      <c r="MU237" s="242">
        <f t="shared" si="1613"/>
        <v>-10</v>
      </c>
      <c r="MV237" s="242">
        <f t="shared" si="1614"/>
        <v>2540</v>
      </c>
      <c r="MW237" s="56"/>
      <c r="MZ237" s="55">
        <f t="shared" si="1615"/>
        <v>46223</v>
      </c>
      <c r="NA237" s="56">
        <v>120</v>
      </c>
      <c r="NB237" s="242">
        <f>SUMPRODUCT(PRODUCE!$B240:$DY240,PRODUCE!$EB$47:$IY$47)</f>
        <v>0</v>
      </c>
      <c r="NC237" s="56">
        <v>120</v>
      </c>
      <c r="ND237" s="242">
        <f t="shared" si="1616"/>
        <v>-120</v>
      </c>
      <c r="NE237" s="242">
        <f t="shared" si="1617"/>
        <v>0</v>
      </c>
      <c r="NF237" s="56"/>
      <c r="NI237" s="55">
        <f t="shared" si="1618"/>
        <v>46223</v>
      </c>
      <c r="NJ237" s="56"/>
      <c r="NK237" s="242">
        <f>SUMPRODUCT(PRODUCE!$B240:$DY240,PRODUCE!$EB$48:$IY$48)</f>
        <v>0</v>
      </c>
      <c r="NL237" s="56"/>
      <c r="NM237" s="242">
        <f t="shared" si="1619"/>
        <v>0</v>
      </c>
      <c r="NN237" s="242">
        <f t="shared" si="1620"/>
        <v>1127</v>
      </c>
      <c r="NO237" s="56"/>
      <c r="NR237" s="55">
        <f t="shared" si="1621"/>
        <v>46223</v>
      </c>
      <c r="NS237" s="56"/>
      <c r="NT237" s="242">
        <f>SUMPRODUCT(PRODUCE!$B240:$DY240,PRODUCE!$EB$49:$IY$49)</f>
        <v>0</v>
      </c>
      <c r="NU237" s="56"/>
      <c r="NV237" s="242">
        <f t="shared" si="1622"/>
        <v>0</v>
      </c>
      <c r="NW237" s="242">
        <f t="shared" si="1623"/>
        <v>3111.9999999999995</v>
      </c>
      <c r="NX237" s="56"/>
      <c r="OA237" s="55">
        <f t="shared" si="1624"/>
        <v>46223</v>
      </c>
      <c r="OB237" s="56"/>
      <c r="OC237" s="242">
        <f>SUMPRODUCT(PRODUCE!$B240:$DY240,PRODUCE!$EB$50:$IY$50)</f>
        <v>0</v>
      </c>
      <c r="OD237" s="56"/>
      <c r="OE237" s="242">
        <f t="shared" si="1625"/>
        <v>0</v>
      </c>
      <c r="OF237" s="242">
        <f t="shared" si="1626"/>
        <v>1680.5</v>
      </c>
      <c r="OG237" s="56"/>
      <c r="OJ237" s="55">
        <f t="shared" si="1627"/>
        <v>46223</v>
      </c>
      <c r="OK237" s="56">
        <v>28</v>
      </c>
      <c r="OL237" s="242">
        <f>SUMPRODUCT(PRODUCE!$B240:$DY240,PRODUCE!$EB$51:$IY$51)</f>
        <v>0</v>
      </c>
      <c r="OM237" s="56">
        <v>28</v>
      </c>
      <c r="ON237" s="242">
        <f t="shared" si="1628"/>
        <v>-28</v>
      </c>
      <c r="OO237" s="242">
        <f t="shared" si="1629"/>
        <v>0</v>
      </c>
      <c r="OP237" s="56"/>
      <c r="OS237" s="55">
        <f t="shared" si="1630"/>
        <v>46223</v>
      </c>
      <c r="OT237" s="56"/>
      <c r="OU237" s="242">
        <f>SUMPRODUCT(PRODUCE!$B240:$DY240,PRODUCE!$EB$52:$IY$52)</f>
        <v>0</v>
      </c>
      <c r="OV237" s="56"/>
      <c r="OW237" s="242">
        <f t="shared" si="1631"/>
        <v>0</v>
      </c>
      <c r="OX237" s="242">
        <f t="shared" si="1632"/>
        <v>1482</v>
      </c>
      <c r="OY237" s="56"/>
      <c r="PB237" s="55">
        <f t="shared" si="1633"/>
        <v>46223</v>
      </c>
      <c r="PC237" s="56"/>
      <c r="PD237" s="242">
        <f>SUMPRODUCT(PRODUCE!$B240:$DY240,PRODUCE!$EB$53:$IY$53)</f>
        <v>0</v>
      </c>
      <c r="PE237" s="56"/>
      <c r="PF237" s="242">
        <f t="shared" si="1634"/>
        <v>0</v>
      </c>
      <c r="PG237" s="242">
        <f t="shared" si="1635"/>
        <v>0</v>
      </c>
      <c r="PH237" s="56"/>
      <c r="PK237" s="55">
        <f t="shared" si="1636"/>
        <v>46223</v>
      </c>
      <c r="PL237" s="56"/>
      <c r="PM237" s="242">
        <f>SUMPRODUCT(PRODUCE!$B240:$DY240,PRODUCE!$EB$54:$IY$54)</f>
        <v>0</v>
      </c>
      <c r="PN237" s="56"/>
      <c r="PO237" s="242">
        <f t="shared" si="1637"/>
        <v>0</v>
      </c>
      <c r="PP237" s="242">
        <f t="shared" si="1638"/>
        <v>100</v>
      </c>
      <c r="PQ237" s="56"/>
      <c r="PT237" s="55">
        <f t="shared" si="1639"/>
        <v>46223</v>
      </c>
      <c r="PU237" s="56"/>
      <c r="PV237" s="242">
        <f>SUMPRODUCT(PRODUCE!$B240:$DY240,PRODUCE!$EB$55:$IY$55)</f>
        <v>0</v>
      </c>
      <c r="PW237" s="56"/>
      <c r="PX237" s="242">
        <f t="shared" si="1640"/>
        <v>0</v>
      </c>
      <c r="PY237" s="242">
        <f t="shared" si="1641"/>
        <v>13.960000000000036</v>
      </c>
      <c r="PZ237" s="56"/>
      <c r="QC237" s="55">
        <f t="shared" si="1642"/>
        <v>46223</v>
      </c>
      <c r="QD237" s="56"/>
      <c r="QE237" s="242">
        <f>SUMPRODUCT(PRODUCE!$B240:$DY240,PRODUCE!$EB$56:$IY$56)</f>
        <v>0</v>
      </c>
      <c r="QF237" s="56"/>
      <c r="QG237" s="242">
        <f t="shared" si="1643"/>
        <v>0</v>
      </c>
      <c r="QH237" s="242">
        <f t="shared" si="1644"/>
        <v>1688</v>
      </c>
      <c r="QI237" s="56"/>
      <c r="QL237" s="55">
        <f t="shared" si="1645"/>
        <v>46223</v>
      </c>
      <c r="QM237" s="56"/>
      <c r="QN237" s="242">
        <f>SUMPRODUCT(PRODUCE!$B240:$DY240,PRODUCE!$EB$57:$IY$57)</f>
        <v>0</v>
      </c>
      <c r="QO237" s="56"/>
      <c r="QP237" s="242">
        <f t="shared" si="1646"/>
        <v>0</v>
      </c>
      <c r="QQ237" s="242">
        <f t="shared" si="1647"/>
        <v>0</v>
      </c>
      <c r="QR237" s="56"/>
      <c r="QU237" s="55">
        <f t="shared" si="1648"/>
        <v>46223</v>
      </c>
      <c r="QV237" s="56"/>
      <c r="QW237" s="242">
        <f>SUMPRODUCT(PRODUCE!$B240:$DY240,PRODUCE!$EB$58:$IY$58)</f>
        <v>0</v>
      </c>
      <c r="QX237" s="56"/>
      <c r="QY237" s="242">
        <f t="shared" si="1649"/>
        <v>0</v>
      </c>
      <c r="QZ237" s="242">
        <f t="shared" si="1650"/>
        <v>207.6</v>
      </c>
      <c r="RA237" s="56"/>
      <c r="RD237" s="55">
        <f t="shared" si="1651"/>
        <v>46223</v>
      </c>
      <c r="RE237" s="56"/>
      <c r="RF237" s="242">
        <f>SUMPRODUCT(PRODUCE!$B240:$DY240,PRODUCE!$EB$59:$IY$59)</f>
        <v>0</v>
      </c>
      <c r="RG237" s="56"/>
      <c r="RH237" s="242">
        <f t="shared" si="1652"/>
        <v>0</v>
      </c>
      <c r="RI237" s="242">
        <f t="shared" si="1653"/>
        <v>147.04000000000002</v>
      </c>
      <c r="RJ237" s="56"/>
      <c r="RM237" s="55">
        <f t="shared" si="1654"/>
        <v>46223</v>
      </c>
      <c r="RN237" s="56"/>
      <c r="RO237" s="242">
        <f>SUMPRODUCT(PRODUCE!$B240:$DY240,PRODUCE!$EB$60:$IY$60)</f>
        <v>0</v>
      </c>
      <c r="RP237" s="56"/>
      <c r="RQ237" s="242">
        <f t="shared" si="1655"/>
        <v>0</v>
      </c>
      <c r="RR237" s="242">
        <f t="shared" si="1656"/>
        <v>46.8</v>
      </c>
      <c r="RS237" s="56"/>
      <c r="RV237" s="55">
        <f t="shared" si="1657"/>
        <v>46223</v>
      </c>
      <c r="RW237" s="56"/>
      <c r="RX237" s="242">
        <f>SUMPRODUCT(PRODUCE!$B240:$DY240,PRODUCE!$EB$61:$IY$61)</f>
        <v>0</v>
      </c>
      <c r="RY237" s="56"/>
      <c r="RZ237" s="242">
        <f t="shared" si="1658"/>
        <v>0</v>
      </c>
      <c r="SA237" s="242">
        <f t="shared" si="1659"/>
        <v>0</v>
      </c>
      <c r="SB237" s="56"/>
      <c r="SE237" s="55">
        <f t="shared" si="1660"/>
        <v>46223</v>
      </c>
      <c r="SF237" s="56"/>
      <c r="SG237" s="242">
        <f>SUMPRODUCT(PRODUCE!$B240:$DY240,PRODUCE!$EB$62:$IY$62)</f>
        <v>0</v>
      </c>
      <c r="SH237" s="56"/>
      <c r="SI237" s="242">
        <f t="shared" si="1661"/>
        <v>0</v>
      </c>
      <c r="SJ237" s="242">
        <f t="shared" si="1662"/>
        <v>24.200000000000003</v>
      </c>
      <c r="SK237" s="56"/>
      <c r="SN237" s="55">
        <f t="shared" si="1663"/>
        <v>46223</v>
      </c>
      <c r="SO237" s="56"/>
      <c r="SP237" s="242">
        <f>SUMPRODUCT(PRODUCE!$B240:$DY240,PRODUCE!$EB$63:$IY$63)</f>
        <v>0</v>
      </c>
      <c r="SQ237" s="56"/>
      <c r="SR237" s="242">
        <f t="shared" si="1664"/>
        <v>0</v>
      </c>
      <c r="SS237" s="242">
        <f t="shared" si="1665"/>
        <v>32</v>
      </c>
      <c r="ST237" s="56"/>
      <c r="SW237" s="55">
        <f t="shared" si="1666"/>
        <v>46223</v>
      </c>
      <c r="SX237" s="56"/>
      <c r="SY237" s="242">
        <f>SUMPRODUCT(PRODUCE!$B240:$DY240,PRODUCE!$EB$64:$IY$64)</f>
        <v>0</v>
      </c>
      <c r="SZ237" s="56"/>
      <c r="TA237" s="242">
        <f t="shared" si="1667"/>
        <v>0</v>
      </c>
      <c r="TB237" s="242">
        <f t="shared" si="1668"/>
        <v>0</v>
      </c>
      <c r="TC237" s="56"/>
      <c r="TF237" s="55">
        <f t="shared" si="1669"/>
        <v>46223</v>
      </c>
      <c r="TG237" s="56"/>
      <c r="TH237" s="242">
        <f>SUMPRODUCT(PRODUCE!$B240:$DY240,PRODUCE!$EB$57:$IY$57)</f>
        <v>0</v>
      </c>
      <c r="TI237" s="56"/>
      <c r="TJ237" s="242">
        <f t="shared" si="1670"/>
        <v>0</v>
      </c>
      <c r="TK237" s="242">
        <f t="shared" si="1671"/>
        <v>0</v>
      </c>
      <c r="TL237" s="56"/>
      <c r="TO237" s="55">
        <f t="shared" si="1672"/>
        <v>46223</v>
      </c>
      <c r="TP237" s="56"/>
      <c r="TQ237" s="242">
        <f>SUMPRODUCT(PRODUCE!$B240:$DY240,PRODUCE!$EB$57:$IY$57)</f>
        <v>0</v>
      </c>
      <c r="TR237" s="56"/>
      <c r="TS237" s="242">
        <f t="shared" si="1673"/>
        <v>0</v>
      </c>
      <c r="TT237" s="242">
        <f t="shared" si="1674"/>
        <v>22.400000000000006</v>
      </c>
      <c r="TU237" s="56"/>
      <c r="TX237" s="55">
        <f t="shared" si="1675"/>
        <v>46223</v>
      </c>
      <c r="TY237" s="56"/>
      <c r="TZ237" s="242">
        <f>SUMPRODUCT(PRODUCE!$B240:$DY240,PRODUCE!$EB$57:$IY$57)</f>
        <v>0</v>
      </c>
      <c r="UA237" s="56"/>
      <c r="UB237" s="242">
        <f t="shared" si="1676"/>
        <v>0</v>
      </c>
      <c r="UC237" s="242">
        <f t="shared" si="1677"/>
        <v>46.799999999999983</v>
      </c>
      <c r="UD237" s="56"/>
      <c r="UG237" s="55">
        <f t="shared" si="1678"/>
        <v>46223</v>
      </c>
      <c r="UH237" s="56"/>
      <c r="UI237" s="242">
        <f>SUMPRODUCT(PRODUCE!$B240:$DY240,PRODUCE!$EB$57:$IY$57)</f>
        <v>0</v>
      </c>
      <c r="UJ237" s="56"/>
      <c r="UK237" s="242">
        <f t="shared" si="1679"/>
        <v>0</v>
      </c>
      <c r="UL237" s="242">
        <f t="shared" si="1680"/>
        <v>204</v>
      </c>
      <c r="UM237" s="56"/>
      <c r="UP237" s="55">
        <f t="shared" si="1681"/>
        <v>46223</v>
      </c>
      <c r="UQ237" s="56"/>
      <c r="UR237" s="242">
        <f>SUMPRODUCT(PRODUCE!$B240:$DY240,PRODUCE!$EB$69:$IY$69)</f>
        <v>0</v>
      </c>
      <c r="US237" s="56"/>
      <c r="UT237" s="242">
        <f t="shared" si="1682"/>
        <v>0</v>
      </c>
      <c r="UU237" s="242">
        <f t="shared" si="1683"/>
        <v>242.5</v>
      </c>
      <c r="UV237" s="56"/>
      <c r="UY237" s="55">
        <f t="shared" si="1684"/>
        <v>46223</v>
      </c>
      <c r="UZ237" s="56"/>
      <c r="VA237" s="242">
        <f>SUMPRODUCT(PRODUCE!$B240:$DY240,PRODUCE!$EB$70:$IY$70)</f>
        <v>0</v>
      </c>
      <c r="VB237" s="56"/>
      <c r="VC237" s="242">
        <f t="shared" si="1685"/>
        <v>0</v>
      </c>
      <c r="VD237" s="242">
        <f t="shared" si="1686"/>
        <v>41.600000000000023</v>
      </c>
      <c r="VE237" s="56"/>
      <c r="VH237" s="55">
        <f t="shared" si="1687"/>
        <v>46223</v>
      </c>
      <c r="VI237" s="56"/>
      <c r="VJ237" s="242">
        <f>SUMPRODUCT(PRODUCE!$B240:$DY240,PRODUCE!$EB$71:$IY$71)</f>
        <v>0</v>
      </c>
      <c r="VK237" s="56"/>
      <c r="VL237" s="242">
        <f t="shared" si="1688"/>
        <v>0</v>
      </c>
      <c r="VM237" s="242">
        <f t="shared" si="1689"/>
        <v>210</v>
      </c>
      <c r="VN237" s="56"/>
      <c r="VQ237" s="55">
        <f t="shared" si="1690"/>
        <v>46223</v>
      </c>
      <c r="VR237" s="56"/>
      <c r="VS237" s="242">
        <f>SUMPRODUCT(PRODUCE!$B240:$DY240,PRODUCE!$EB$57:$IY$57)</f>
        <v>0</v>
      </c>
      <c r="VT237" s="56"/>
      <c r="VU237" s="242">
        <f t="shared" si="1691"/>
        <v>0</v>
      </c>
      <c r="VV237" s="242">
        <f t="shared" si="1692"/>
        <v>0</v>
      </c>
      <c r="VW237" s="56"/>
      <c r="VZ237" s="55">
        <f t="shared" si="1693"/>
        <v>46223</v>
      </c>
      <c r="WA237" s="56"/>
      <c r="WB237" s="242">
        <f>SUMPRODUCT(PRODUCE!$B240:$DY240,PRODUCE!$EB$57:$IY$57)</f>
        <v>0</v>
      </c>
      <c r="WC237" s="56"/>
      <c r="WD237" s="242">
        <f t="shared" si="1694"/>
        <v>0</v>
      </c>
      <c r="WE237" s="242">
        <f t="shared" si="1695"/>
        <v>0</v>
      </c>
      <c r="WF237" s="56"/>
      <c r="WI237" s="55">
        <f t="shared" si="1696"/>
        <v>46223</v>
      </c>
      <c r="WJ237" s="56"/>
      <c r="WK237" s="242">
        <f>SUMPRODUCT(PRODUCE!$B240:$DY240,PRODUCE!$EB$57:$IY$57)</f>
        <v>0</v>
      </c>
      <c r="WL237" s="56"/>
      <c r="WM237" s="242">
        <f t="shared" si="1697"/>
        <v>0</v>
      </c>
      <c r="WN237" s="242">
        <f t="shared" si="1698"/>
        <v>1057</v>
      </c>
      <c r="WO237" s="56"/>
      <c r="WR237" s="55">
        <f t="shared" si="1699"/>
        <v>46223</v>
      </c>
      <c r="WS237" s="56"/>
      <c r="WT237" s="242">
        <f>SUMPRODUCT(PRODUCE!$B240:$DY240,PRODUCE!$EB$57:$IY$57)</f>
        <v>0</v>
      </c>
      <c r="WU237" s="56"/>
      <c r="WV237" s="242">
        <f t="shared" si="1700"/>
        <v>0</v>
      </c>
      <c r="WW237" s="242">
        <f t="shared" si="1701"/>
        <v>0</v>
      </c>
      <c r="WX237" s="56"/>
      <c r="XA237" s="55">
        <f t="shared" si="1702"/>
        <v>46223</v>
      </c>
      <c r="XB237" s="56"/>
      <c r="XC237" s="242">
        <f>SUMPRODUCT(PRODUCE!$B240:$DY240,PRODUCE!$EB$57:$IY$57)</f>
        <v>0</v>
      </c>
      <c r="XD237" s="56"/>
      <c r="XE237" s="242">
        <f t="shared" si="1703"/>
        <v>0</v>
      </c>
      <c r="XF237" s="242">
        <f t="shared" si="1704"/>
        <v>7507</v>
      </c>
      <c r="XG237" s="56"/>
      <c r="XJ237" s="55">
        <f t="shared" si="1705"/>
        <v>46223</v>
      </c>
      <c r="XK237" s="56"/>
      <c r="XL237" s="242">
        <f>SUMPRODUCT(PRODUCE!$B240:$DY240,PRODUCE!$EB$57:$IY$57)</f>
        <v>0</v>
      </c>
      <c r="XM237" s="56"/>
      <c r="XN237" s="242">
        <f t="shared" si="1706"/>
        <v>0</v>
      </c>
      <c r="XO237" s="242">
        <f t="shared" si="1707"/>
        <v>4252</v>
      </c>
      <c r="XP237" s="56"/>
      <c r="XS237" s="55">
        <f t="shared" si="1708"/>
        <v>46223</v>
      </c>
      <c r="XT237" s="56"/>
      <c r="XU237" s="242">
        <f>SUMPRODUCT(PRODUCE!$B240:$DY240,PRODUCE!$EB$57:$IY$57)</f>
        <v>0</v>
      </c>
      <c r="XV237" s="56"/>
      <c r="XW237" s="242">
        <f t="shared" si="1709"/>
        <v>0</v>
      </c>
      <c r="XX237" s="242">
        <f t="shared" si="1710"/>
        <v>2179</v>
      </c>
      <c r="XY237" s="56"/>
      <c r="YB237" s="55">
        <f t="shared" si="1711"/>
        <v>46223</v>
      </c>
      <c r="YC237" s="56"/>
      <c r="YD237" s="242">
        <f>SUMPRODUCT(PRODUCE!$B240:$DY240,PRODUCE!$EB$57:$IY$57)</f>
        <v>0</v>
      </c>
      <c r="YE237" s="56"/>
      <c r="YF237" s="242">
        <f t="shared" si="1712"/>
        <v>0</v>
      </c>
      <c r="YG237" s="242">
        <f t="shared" si="1713"/>
        <v>4019</v>
      </c>
      <c r="YH237" s="56"/>
      <c r="YK237" s="55">
        <f t="shared" si="1714"/>
        <v>46223</v>
      </c>
      <c r="YL237" s="56"/>
      <c r="YM237" s="242">
        <f>SUMPRODUCT(PRODUCE!$B240:$DY240,PRODUCE!$EB$57:$IY$57)</f>
        <v>0</v>
      </c>
      <c r="YN237" s="56"/>
      <c r="YO237" s="242">
        <f t="shared" si="1715"/>
        <v>0</v>
      </c>
      <c r="YP237" s="242">
        <f t="shared" si="1716"/>
        <v>0</v>
      </c>
      <c r="YQ237" s="56"/>
      <c r="YT237" s="55">
        <f t="shared" si="1717"/>
        <v>46223</v>
      </c>
      <c r="YU237" s="56"/>
      <c r="YV237" s="242">
        <f>SUMPRODUCT(PRODUCE!$B240:$DY240,PRODUCE!$EB$57:$IY$57)</f>
        <v>0</v>
      </c>
      <c r="YW237" s="56"/>
      <c r="YX237" s="242">
        <f t="shared" si="1718"/>
        <v>0</v>
      </c>
      <c r="YY237" s="242">
        <f t="shared" si="1719"/>
        <v>0</v>
      </c>
      <c r="YZ237" s="56"/>
      <c r="ZC237" s="55">
        <f t="shared" si="1720"/>
        <v>46223</v>
      </c>
      <c r="ZD237" s="56"/>
      <c r="ZE237" s="242">
        <f>SUMPRODUCT(PRODUCE!$B240:$DY240,PRODUCE!$EB$57:$IY$57)</f>
        <v>0</v>
      </c>
      <c r="ZF237" s="56"/>
      <c r="ZG237" s="242">
        <f t="shared" si="1721"/>
        <v>0</v>
      </c>
      <c r="ZH237" s="242">
        <f t="shared" si="1722"/>
        <v>0</v>
      </c>
      <c r="ZI237" s="56"/>
      <c r="ZL237" s="55">
        <f t="shared" si="1723"/>
        <v>46223</v>
      </c>
      <c r="ZM237" s="56"/>
      <c r="ZN237" s="242">
        <f>SUMPRODUCT(PRODUCE!$B240:$DY240,PRODUCE!$EB$57:$IY$57)</f>
        <v>0</v>
      </c>
      <c r="ZO237" s="56"/>
      <c r="ZP237" s="242">
        <f t="shared" si="1724"/>
        <v>0</v>
      </c>
      <c r="ZQ237" s="242">
        <f t="shared" si="1725"/>
        <v>0</v>
      </c>
      <c r="ZR237" s="56"/>
      <c r="ZU237" s="55">
        <f t="shared" si="1726"/>
        <v>46223</v>
      </c>
      <c r="ZV237" s="56"/>
      <c r="ZW237" s="242">
        <f>SUMPRODUCT(PRODUCE!$B240:$DY240,PRODUCE!$EB$57:$IY$57)</f>
        <v>0</v>
      </c>
      <c r="ZX237" s="56"/>
      <c r="ZY237" s="242">
        <f t="shared" si="1727"/>
        <v>0</v>
      </c>
      <c r="ZZ237" s="242">
        <f t="shared" si="1728"/>
        <v>0</v>
      </c>
      <c r="AAA237" s="56"/>
      <c r="AAD237" s="55">
        <f t="shared" si="1729"/>
        <v>46223</v>
      </c>
      <c r="AAE237" s="56"/>
      <c r="AAF237" s="242">
        <f>SUMPRODUCT(PRODUCE!$B240:$DY240,PRODUCE!$EB$57:$IY$57)</f>
        <v>0</v>
      </c>
      <c r="AAG237" s="56"/>
      <c r="AAH237" s="242">
        <f t="shared" si="1730"/>
        <v>0</v>
      </c>
      <c r="AAI237" s="242">
        <f t="shared" si="1731"/>
        <v>0</v>
      </c>
      <c r="AAJ237" s="56"/>
      <c r="AAM237" s="55">
        <f t="shared" si="1732"/>
        <v>46223</v>
      </c>
      <c r="AAN237" s="56"/>
      <c r="AAO237" s="242">
        <f>SUMPRODUCT(PRODUCE!$B240:$DY240,PRODUCE!$EB$57:$IY$57)</f>
        <v>0</v>
      </c>
      <c r="AAP237" s="56"/>
      <c r="AAQ237" s="242">
        <f t="shared" si="1733"/>
        <v>0</v>
      </c>
      <c r="AAR237" s="242">
        <f t="shared" si="1734"/>
        <v>0</v>
      </c>
      <c r="AAS237" s="56"/>
      <c r="AAV237" s="55">
        <f t="shared" si="1735"/>
        <v>46223</v>
      </c>
      <c r="AAW237" s="56"/>
      <c r="AAX237" s="242">
        <f>SUMPRODUCT(PRODUCE!$B240:$DY240,PRODUCE!$EB$57:$IY$57)</f>
        <v>0</v>
      </c>
      <c r="AAY237" s="56"/>
      <c r="AAZ237" s="242">
        <f t="shared" si="1736"/>
        <v>0</v>
      </c>
      <c r="ABA237" s="242">
        <f t="shared" si="1737"/>
        <v>0</v>
      </c>
      <c r="ABB237" s="56"/>
      <c r="ABE237" s="55">
        <f t="shared" si="1738"/>
        <v>46223</v>
      </c>
      <c r="ABF237" s="56"/>
      <c r="ABG237" s="242">
        <f>SUMPRODUCT(PRODUCE!$B240:$DY240,PRODUCE!$EB$57:$IY$57)</f>
        <v>0</v>
      </c>
      <c r="ABH237" s="56"/>
      <c r="ABI237" s="242">
        <f t="shared" si="1739"/>
        <v>0</v>
      </c>
      <c r="ABJ237" s="242">
        <f t="shared" si="1740"/>
        <v>0</v>
      </c>
      <c r="ABK237" s="56"/>
    </row>
    <row r="238" spans="2:739" s="54" customFormat="1" ht="15" customHeight="1" outlineLevel="1">
      <c r="B238" s="478"/>
      <c r="C238" s="55">
        <v>46224</v>
      </c>
      <c r="D238" s="422"/>
      <c r="E238" s="423">
        <f>SUMPRODUCT(PRODUCE!$B241:$DY241,PRODUCE!$EB$7:$IY$7)</f>
        <v>21431</v>
      </c>
      <c r="F238" s="422">
        <v>37245.599999999999</v>
      </c>
      <c r="G238" s="423">
        <f t="shared" si="1496"/>
        <v>-15814.599999999999</v>
      </c>
      <c r="H238" s="423">
        <f t="shared" si="1497"/>
        <v>116926.40000000002</v>
      </c>
      <c r="I238" s="289"/>
      <c r="L238" s="55">
        <f t="shared" si="1498"/>
        <v>46224</v>
      </c>
      <c r="M238" s="422">
        <v>13550</v>
      </c>
      <c r="N238" s="438">
        <f>SUMPRODUCT(PRODUCE!$B241:$DY241,PRODUCE!$EB$8:$IY$8)</f>
        <v>12285.7</v>
      </c>
      <c r="O238" s="422">
        <v>17881</v>
      </c>
      <c r="P238" s="438">
        <f t="shared" si="1499"/>
        <v>-5595.2999999999993</v>
      </c>
      <c r="Q238" s="438">
        <f t="shared" si="1500"/>
        <v>-1234.9999999999309</v>
      </c>
      <c r="R238" s="56"/>
      <c r="U238" s="55">
        <f t="shared" si="1501"/>
        <v>46224</v>
      </c>
      <c r="V238" s="422"/>
      <c r="W238" s="440">
        <f>SUMPRODUCT(PRODUCE!$B241:$DY241,PRODUCE!$EB$9:$IY$9)</f>
        <v>2300</v>
      </c>
      <c r="X238" s="422">
        <v>4120.7</v>
      </c>
      <c r="Y238" s="440">
        <f t="shared" si="1502"/>
        <v>-1820.6999999999998</v>
      </c>
      <c r="Z238" s="440">
        <f t="shared" si="1503"/>
        <v>38577.099999999969</v>
      </c>
      <c r="AA238" s="56"/>
      <c r="AD238" s="55">
        <f t="shared" si="1504"/>
        <v>46224</v>
      </c>
      <c r="AE238" s="422"/>
      <c r="AF238" s="442">
        <f>SUMPRODUCT(PRODUCE!$B241:$DY241,PRODUCE!$EB$10:$IY$10)</f>
        <v>0</v>
      </c>
      <c r="AG238" s="422"/>
      <c r="AH238" s="442">
        <f t="shared" si="1505"/>
        <v>0</v>
      </c>
      <c r="AI238" s="442">
        <f t="shared" si="1506"/>
        <v>31872.200000000019</v>
      </c>
      <c r="AJ238" s="56"/>
      <c r="AM238" s="55">
        <f t="shared" si="1507"/>
        <v>46224</v>
      </c>
      <c r="AN238" s="422"/>
      <c r="AO238" s="444">
        <f>SUMPRODUCT(PRODUCE!$B241:$DY241,PRODUCE!$EB$11:$IY$11)</f>
        <v>0</v>
      </c>
      <c r="AP238" s="422"/>
      <c r="AQ238" s="444">
        <f t="shared" si="1508"/>
        <v>0</v>
      </c>
      <c r="AR238" s="444">
        <f t="shared" si="1509"/>
        <v>0</v>
      </c>
      <c r="AS238" s="56"/>
      <c r="AV238" s="55">
        <f t="shared" si="1510"/>
        <v>46224</v>
      </c>
      <c r="AW238" s="422"/>
      <c r="AX238" s="446">
        <f>SUMPRODUCT(PRODUCE!$B241:$DY241,PRODUCE!$EB$12:$IY$12)</f>
        <v>0</v>
      </c>
      <c r="AY238" s="422"/>
      <c r="AZ238" s="446">
        <f t="shared" si="1511"/>
        <v>0</v>
      </c>
      <c r="BA238" s="446">
        <f t="shared" si="1512"/>
        <v>726.59999999999525</v>
      </c>
      <c r="BB238" s="56"/>
      <c r="BE238" s="55">
        <f t="shared" si="1513"/>
        <v>46224</v>
      </c>
      <c r="BF238" s="422"/>
      <c r="BG238" s="448">
        <f>SUMPRODUCT(PRODUCE!$B241:$DY241,PRODUCE!$EB$13:$IY$13)</f>
        <v>0</v>
      </c>
      <c r="BH238" s="422">
        <v>259.5</v>
      </c>
      <c r="BI238" s="448">
        <f t="shared" si="1514"/>
        <v>-259.5</v>
      </c>
      <c r="BJ238" s="448">
        <f t="shared" si="1515"/>
        <v>29173.099999999995</v>
      </c>
      <c r="BK238" s="56"/>
      <c r="BN238" s="55">
        <f t="shared" si="1516"/>
        <v>46224</v>
      </c>
      <c r="BO238" s="422">
        <v>410</v>
      </c>
      <c r="BP238" s="450">
        <f>SUMPRODUCT(PRODUCE!$B241:$DY241,PRODUCE!$EB$14:$IY$14)</f>
        <v>150</v>
      </c>
      <c r="BQ238" s="422">
        <v>410</v>
      </c>
      <c r="BR238" s="450">
        <f t="shared" si="1517"/>
        <v>-260</v>
      </c>
      <c r="BS238" s="450">
        <f t="shared" si="1518"/>
        <v>0</v>
      </c>
      <c r="BT238" s="56"/>
      <c r="BW238" s="55">
        <f t="shared" si="1519"/>
        <v>46224</v>
      </c>
      <c r="BX238" s="422"/>
      <c r="BY238" s="523">
        <f>SUMPRODUCT(PRODUCE!$B241:$DY241,PRODUCE!$EB$15:$IY$15)</f>
        <v>338.4</v>
      </c>
      <c r="BZ238" s="422"/>
      <c r="CA238" s="523">
        <f t="shared" si="1520"/>
        <v>338.4</v>
      </c>
      <c r="CB238" s="523">
        <f t="shared" si="1521"/>
        <v>5937.3599999999988</v>
      </c>
      <c r="CC238" s="56"/>
      <c r="CF238" s="55">
        <f t="shared" si="1522"/>
        <v>46224</v>
      </c>
      <c r="CG238" s="422"/>
      <c r="CH238" s="524">
        <f>SUMPRODUCT(PRODUCE!$B241:$DY241,PRODUCE!$EB$16:$IY$16)</f>
        <v>0</v>
      </c>
      <c r="CI238" s="422"/>
      <c r="CJ238" s="524">
        <f t="shared" si="1523"/>
        <v>0</v>
      </c>
      <c r="CK238" s="524">
        <f t="shared" si="1524"/>
        <v>-8101.3599999999988</v>
      </c>
      <c r="CL238" s="56"/>
      <c r="CO238" s="55">
        <f t="shared" si="1525"/>
        <v>46224</v>
      </c>
      <c r="CP238" s="422"/>
      <c r="CQ238" s="470">
        <f>SUMPRODUCT(PRODUCE!$B241:$DY241,PRODUCE!$EB$17:$IY$17)</f>
        <v>0</v>
      </c>
      <c r="CR238" s="422"/>
      <c r="CS238" s="470">
        <f t="shared" si="1526"/>
        <v>0</v>
      </c>
      <c r="CT238" s="470">
        <f t="shared" si="1527"/>
        <v>0</v>
      </c>
      <c r="CU238" s="56"/>
      <c r="CX238" s="55">
        <f t="shared" si="1528"/>
        <v>46224</v>
      </c>
      <c r="CY238" s="422">
        <v>475.4</v>
      </c>
      <c r="CZ238" s="525">
        <f>SUMPRODUCT(PRODUCE!$B241:$DY241,PRODUCE!$EB$18:$IY$18)</f>
        <v>800</v>
      </c>
      <c r="DA238" s="422">
        <v>475.4</v>
      </c>
      <c r="DB238" s="525">
        <f t="shared" si="1529"/>
        <v>324.60000000000002</v>
      </c>
      <c r="DC238" s="525">
        <f t="shared" si="1530"/>
        <v>1311.6000000000072</v>
      </c>
      <c r="DD238" s="56"/>
      <c r="DG238" s="55">
        <f t="shared" si="1531"/>
        <v>46224</v>
      </c>
      <c r="DH238" s="422"/>
      <c r="DI238" s="526">
        <f>SUMPRODUCT(PRODUCE!$B241:$DY241,PRODUCE!$EB$19:$IY$19)</f>
        <v>0</v>
      </c>
      <c r="DJ238" s="422"/>
      <c r="DK238" s="526">
        <f t="shared" si="1532"/>
        <v>0</v>
      </c>
      <c r="DL238" s="526">
        <f t="shared" si="1533"/>
        <v>33033.89999999998</v>
      </c>
      <c r="DM238" s="56"/>
      <c r="DP238" s="55">
        <f t="shared" si="1534"/>
        <v>46224</v>
      </c>
      <c r="DQ238" s="56"/>
      <c r="DR238" s="57">
        <f>SUMPRODUCT(PRODUCE!$B241:$DY241,PRODUCE!$EB$20:$IY$20)</f>
        <v>0</v>
      </c>
      <c r="DS238" s="56"/>
      <c r="DT238" s="57">
        <f t="shared" si="1535"/>
        <v>0</v>
      </c>
      <c r="DU238" s="57">
        <f t="shared" si="1536"/>
        <v>5800</v>
      </c>
      <c r="DV238" s="56"/>
      <c r="DY238" s="55">
        <f t="shared" si="1537"/>
        <v>46224</v>
      </c>
      <c r="DZ238" s="56"/>
      <c r="EA238" s="157">
        <f>SUMPRODUCT(PRODUCE!$B241:$DY241,PRODUCE!$EB$21:$IY$21)</f>
        <v>0</v>
      </c>
      <c r="EB238" s="56"/>
      <c r="EC238" s="157">
        <f t="shared" si="1538"/>
        <v>0</v>
      </c>
      <c r="ED238" s="157">
        <f t="shared" si="1539"/>
        <v>0</v>
      </c>
      <c r="EE238" s="56"/>
      <c r="EH238" s="55">
        <f t="shared" si="1540"/>
        <v>46224</v>
      </c>
      <c r="EI238" s="56"/>
      <c r="EJ238" s="162">
        <f>SUMPRODUCT(PRODUCE!$B241:$DY241,PRODUCE!$EB$22:$IY$22)</f>
        <v>0</v>
      </c>
      <c r="EK238" s="56"/>
      <c r="EL238" s="162">
        <f t="shared" si="1541"/>
        <v>0</v>
      </c>
      <c r="EM238" s="162">
        <f t="shared" si="1542"/>
        <v>0</v>
      </c>
      <c r="EN238" s="56"/>
      <c r="EQ238" s="55">
        <f t="shared" si="1543"/>
        <v>46224</v>
      </c>
      <c r="ER238" s="56"/>
      <c r="ES238" s="172">
        <f>SUMPRODUCT(PRODUCE!$B241:$DY241,PRODUCE!$EB$23:$IY$23)</f>
        <v>0</v>
      </c>
      <c r="ET238" s="56"/>
      <c r="EU238" s="135">
        <f t="shared" si="1544"/>
        <v>0</v>
      </c>
      <c r="EV238" s="135">
        <f t="shared" si="1545"/>
        <v>0</v>
      </c>
      <c r="EW238" s="56"/>
      <c r="EZ238" s="55">
        <f t="shared" si="1546"/>
        <v>46224</v>
      </c>
      <c r="FA238" s="56"/>
      <c r="FB238" s="175">
        <f>SUMPRODUCT(PRODUCE!$B241:$DY241,PRODUCE!$EB$24:$IY$24)</f>
        <v>0</v>
      </c>
      <c r="FC238" s="56"/>
      <c r="FD238" s="175">
        <f t="shared" si="1547"/>
        <v>0</v>
      </c>
      <c r="FE238" s="175">
        <f t="shared" si="1548"/>
        <v>0</v>
      </c>
      <c r="FF238" s="56"/>
      <c r="FI238" s="55">
        <f t="shared" si="1549"/>
        <v>46224</v>
      </c>
      <c r="FJ238" s="56"/>
      <c r="FK238" s="183">
        <f>SUMPRODUCT(PRODUCE!$B241:$DY241,PRODUCE!$EB$25:$IY$25)</f>
        <v>0</v>
      </c>
      <c r="FL238" s="56"/>
      <c r="FM238" s="183">
        <f t="shared" si="1550"/>
        <v>0</v>
      </c>
      <c r="FN238" s="183">
        <f t="shared" si="1551"/>
        <v>0</v>
      </c>
      <c r="FO238" s="56"/>
      <c r="FR238" s="55">
        <f t="shared" si="1552"/>
        <v>46224</v>
      </c>
      <c r="FS238" s="56"/>
      <c r="FT238" s="186">
        <f>SUMPRODUCT(PRODUCE!$B241:$DY241,PRODUCE!$EB$26:$IY$26)</f>
        <v>0</v>
      </c>
      <c r="FU238" s="56"/>
      <c r="FV238" s="186">
        <f t="shared" si="1553"/>
        <v>0</v>
      </c>
      <c r="FW238" s="186">
        <f t="shared" si="1554"/>
        <v>1160</v>
      </c>
      <c r="FX238" s="56"/>
      <c r="GA238" s="55">
        <f t="shared" si="1555"/>
        <v>46224</v>
      </c>
      <c r="GB238" s="56"/>
      <c r="GC238" s="137">
        <f>SUMPRODUCT(PRODUCE!$B241:$DY241,PRODUCE!$EB$27:$IY$27)</f>
        <v>0</v>
      </c>
      <c r="GD238" s="56"/>
      <c r="GE238" s="137">
        <f t="shared" si="1556"/>
        <v>0</v>
      </c>
      <c r="GF238" s="137">
        <f t="shared" si="1557"/>
        <v>960</v>
      </c>
      <c r="GG238" s="56"/>
      <c r="GI238" s="23"/>
      <c r="GJ238" s="55">
        <f t="shared" si="1558"/>
        <v>46224</v>
      </c>
      <c r="GK238" s="56"/>
      <c r="GL238" s="199">
        <f>SUMPRODUCT(PRODUCE!$B241:$DY241,PRODUCE!$EB$28:$IY$28)</f>
        <v>0</v>
      </c>
      <c r="GM238" s="56"/>
      <c r="GN238" s="199">
        <f t="shared" si="1559"/>
        <v>0</v>
      </c>
      <c r="GO238" s="199">
        <f t="shared" si="1560"/>
        <v>1760</v>
      </c>
      <c r="GP238" s="56"/>
      <c r="GS238" s="55">
        <f t="shared" si="1561"/>
        <v>46224</v>
      </c>
      <c r="GT238" s="56"/>
      <c r="GU238" s="195">
        <f>SUMPRODUCT(PRODUCE!$B241:$DY241,PRODUCE!$EB$29:$IY$29)</f>
        <v>0</v>
      </c>
      <c r="GV238" s="56"/>
      <c r="GW238" s="195">
        <f t="shared" si="1562"/>
        <v>0</v>
      </c>
      <c r="GX238" s="195">
        <f t="shared" si="1563"/>
        <v>400</v>
      </c>
      <c r="GY238" s="56"/>
      <c r="HB238" s="55">
        <f t="shared" si="1564"/>
        <v>46224</v>
      </c>
      <c r="HC238" s="56"/>
      <c r="HD238" s="191">
        <f>SUMPRODUCT(PRODUCE!$B241:$DY241,PRODUCE!$EB$30:$IY$30)</f>
        <v>0</v>
      </c>
      <c r="HE238" s="56"/>
      <c r="HF238" s="191">
        <f t="shared" si="1565"/>
        <v>0</v>
      </c>
      <c r="HG238" s="191">
        <f t="shared" si="1566"/>
        <v>3600</v>
      </c>
      <c r="HH238" s="56"/>
      <c r="HK238" s="55">
        <f t="shared" si="1567"/>
        <v>46224</v>
      </c>
      <c r="HL238" s="56"/>
      <c r="HM238" s="63">
        <f>SUMPRODUCT(PRODUCE!$B241:$DY241,PRODUCE!$EB$31:$IY$31)</f>
        <v>0</v>
      </c>
      <c r="HN238" s="56"/>
      <c r="HO238" s="63">
        <f t="shared" si="1568"/>
        <v>0</v>
      </c>
      <c r="HP238" s="63">
        <f t="shared" si="1569"/>
        <v>0</v>
      </c>
      <c r="HQ238" s="56"/>
      <c r="HU238" s="55">
        <f t="shared" si="1570"/>
        <v>46224</v>
      </c>
      <c r="HV238" s="56"/>
      <c r="HW238" s="242">
        <f>SUMPRODUCT(PRODUCE!$B241:$DY241,PRODUCE!$EB$32:$IY$32)</f>
        <v>0</v>
      </c>
      <c r="HX238" s="56"/>
      <c r="HY238" s="242">
        <f t="shared" si="1571"/>
        <v>0</v>
      </c>
      <c r="HZ238" s="242">
        <f t="shared" si="1572"/>
        <v>5920</v>
      </c>
      <c r="IA238" s="56"/>
      <c r="ID238" s="55">
        <f t="shared" si="1573"/>
        <v>46224</v>
      </c>
      <c r="IE238" s="56"/>
      <c r="IF238" s="242">
        <f>SUMPRODUCT(PRODUCE!$B241:$DY241,PRODUCE!$EB$33:$IY$33)</f>
        <v>0</v>
      </c>
      <c r="IG238" s="56"/>
      <c r="IH238" s="242">
        <f t="shared" si="1574"/>
        <v>0</v>
      </c>
      <c r="II238" s="242">
        <f t="shared" si="1575"/>
        <v>720</v>
      </c>
      <c r="IJ238" s="56"/>
      <c r="IM238" s="55">
        <f t="shared" si="1576"/>
        <v>46224</v>
      </c>
      <c r="IN238" s="56"/>
      <c r="IO238" s="242">
        <f>SUMPRODUCT(PRODUCE!$B241:$DY241,PRODUCE!$EB$34:$IY$34)</f>
        <v>0</v>
      </c>
      <c r="IP238" s="56"/>
      <c r="IQ238" s="242">
        <f t="shared" si="1577"/>
        <v>0</v>
      </c>
      <c r="IR238" s="242">
        <f t="shared" si="1578"/>
        <v>4280</v>
      </c>
      <c r="IS238" s="56"/>
      <c r="IV238" s="55">
        <f t="shared" si="1579"/>
        <v>46224</v>
      </c>
      <c r="IW238" s="56"/>
      <c r="IX238" s="242">
        <f>SUMPRODUCT(PRODUCE!$B241:$DY241,PRODUCE!$EB$35:$IY$35)</f>
        <v>0</v>
      </c>
      <c r="IY238" s="56"/>
      <c r="IZ238" s="242">
        <f t="shared" si="1580"/>
        <v>0</v>
      </c>
      <c r="JA238" s="242">
        <f t="shared" si="1581"/>
        <v>4960</v>
      </c>
      <c r="JB238" s="56"/>
      <c r="JE238" s="55">
        <f t="shared" si="1582"/>
        <v>46224</v>
      </c>
      <c r="JF238" s="56"/>
      <c r="JG238" s="242">
        <f>SUMPRODUCT(PRODUCE!$B241:$DY241,PRODUCE!$EB$36:$IY$36)</f>
        <v>0</v>
      </c>
      <c r="JH238" s="56"/>
      <c r="JI238" s="242">
        <f t="shared" si="1583"/>
        <v>0</v>
      </c>
      <c r="JJ238" s="242">
        <f t="shared" si="1584"/>
        <v>0</v>
      </c>
      <c r="JK238" s="56"/>
      <c r="JN238" s="55">
        <f t="shared" si="1585"/>
        <v>46224</v>
      </c>
      <c r="JO238" s="56"/>
      <c r="JP238" s="242">
        <f>SUMPRODUCT(PRODUCE!$B241:$DY241,PRODUCE!$EB$37:$IY$37)</f>
        <v>0</v>
      </c>
      <c r="JQ238" s="56"/>
      <c r="JR238" s="242">
        <f t="shared" si="1586"/>
        <v>0</v>
      </c>
      <c r="JS238" s="242">
        <f t="shared" si="1587"/>
        <v>0</v>
      </c>
      <c r="JT238" s="56"/>
      <c r="JW238" s="55">
        <f t="shared" si="1588"/>
        <v>46224</v>
      </c>
      <c r="JX238" s="56"/>
      <c r="JY238" s="242">
        <f>SUMPRODUCT(PRODUCE!$B241:$DY241,PRODUCE!$EB$38:$IY$38)</f>
        <v>0</v>
      </c>
      <c r="JZ238" s="56"/>
      <c r="KA238" s="242">
        <f t="shared" si="1589"/>
        <v>0</v>
      </c>
      <c r="KB238" s="242">
        <f t="shared" si="1590"/>
        <v>2540</v>
      </c>
      <c r="KC238" s="56"/>
      <c r="KF238" s="55">
        <f t="shared" si="1591"/>
        <v>46224</v>
      </c>
      <c r="KG238" s="56"/>
      <c r="KH238" s="242">
        <f>SUMPRODUCT(PRODUCE!$B241:$DY241,PRODUCE!$EB$39:$IY$39)</f>
        <v>0</v>
      </c>
      <c r="KI238" s="56"/>
      <c r="KJ238" s="242">
        <f t="shared" si="1592"/>
        <v>0</v>
      </c>
      <c r="KK238" s="242">
        <f t="shared" si="1593"/>
        <v>2359.5</v>
      </c>
      <c r="KL238" s="56"/>
      <c r="KO238" s="55">
        <f t="shared" si="1594"/>
        <v>46224</v>
      </c>
      <c r="KP238" s="56"/>
      <c r="KQ238" s="242">
        <f>SUMPRODUCT(PRODUCE!$B241:$DY241,PRODUCE!$EB$40:$IY$40)</f>
        <v>0</v>
      </c>
      <c r="KR238" s="56"/>
      <c r="KS238" s="242">
        <f t="shared" si="1595"/>
        <v>0</v>
      </c>
      <c r="KT238" s="242">
        <f t="shared" si="1596"/>
        <v>1890</v>
      </c>
      <c r="KU238" s="56"/>
      <c r="KW238" s="23"/>
      <c r="KX238" s="55">
        <f t="shared" si="1597"/>
        <v>46224</v>
      </c>
      <c r="KY238" s="56"/>
      <c r="KZ238" s="242">
        <f>SUMPRODUCT(PRODUCE!$B241:$DY241,PRODUCE!$EB$41:$IY$41)</f>
        <v>0</v>
      </c>
      <c r="LA238" s="56"/>
      <c r="LB238" s="242">
        <f t="shared" si="1598"/>
        <v>0</v>
      </c>
      <c r="LC238" s="242">
        <f t="shared" si="1599"/>
        <v>3690</v>
      </c>
      <c r="LD238" s="56"/>
      <c r="LG238" s="55">
        <f t="shared" si="1600"/>
        <v>46224</v>
      </c>
      <c r="LH238" s="56"/>
      <c r="LI238" s="242">
        <f>SUMPRODUCT(PRODUCE!$B241:$DY241,PRODUCE!$EB$42:$IY$42)</f>
        <v>0</v>
      </c>
      <c r="LJ238" s="56"/>
      <c r="LK238" s="242">
        <f t="shared" si="1601"/>
        <v>0</v>
      </c>
      <c r="LL238" s="242">
        <f t="shared" si="1602"/>
        <v>4000</v>
      </c>
      <c r="LM238" s="56"/>
      <c r="LP238" s="55">
        <f t="shared" si="1603"/>
        <v>46224</v>
      </c>
      <c r="LQ238" s="56"/>
      <c r="LR238" s="242">
        <f>SUMPRODUCT(PRODUCE!$B241:$DY241,PRODUCE!$EB$43:$IY$43)</f>
        <v>0</v>
      </c>
      <c r="LS238" s="56"/>
      <c r="LT238" s="242">
        <f t="shared" si="1604"/>
        <v>0</v>
      </c>
      <c r="LU238" s="242">
        <f t="shared" si="1605"/>
        <v>0</v>
      </c>
      <c r="LV238" s="56"/>
      <c r="LY238" s="55">
        <f t="shared" si="1606"/>
        <v>46224</v>
      </c>
      <c r="LZ238" s="56"/>
      <c r="MA238" s="242">
        <f>SUMPRODUCT(PRODUCE!$B241:$DY241,PRODUCE!$EB$44:$IY$44)</f>
        <v>0</v>
      </c>
      <c r="MB238" s="56"/>
      <c r="MC238" s="242">
        <f t="shared" si="1607"/>
        <v>0</v>
      </c>
      <c r="MD238" s="242">
        <f t="shared" si="1608"/>
        <v>0</v>
      </c>
      <c r="ME238" s="56"/>
      <c r="MH238" s="55">
        <f t="shared" si="1609"/>
        <v>46224</v>
      </c>
      <c r="MI238" s="56"/>
      <c r="MJ238" s="242">
        <f>SUMPRODUCT(PRODUCE!$B241:$DY241,PRODUCE!$EB$45:$IY$45)</f>
        <v>0</v>
      </c>
      <c r="MK238" s="56"/>
      <c r="ML238" s="242">
        <f t="shared" si="1610"/>
        <v>0</v>
      </c>
      <c r="MM238" s="242">
        <f t="shared" si="1611"/>
        <v>0</v>
      </c>
      <c r="MN238" s="56"/>
      <c r="MQ238" s="55">
        <f t="shared" si="1612"/>
        <v>46224</v>
      </c>
      <c r="MR238" s="56"/>
      <c r="MS238" s="242">
        <f>SUMPRODUCT(PRODUCE!$B241:$DY241,PRODUCE!$EB$46:$IY$46)</f>
        <v>0</v>
      </c>
      <c r="MT238" s="56"/>
      <c r="MU238" s="242">
        <f t="shared" si="1613"/>
        <v>0</v>
      </c>
      <c r="MV238" s="242">
        <f t="shared" si="1614"/>
        <v>2540</v>
      </c>
      <c r="MW238" s="56"/>
      <c r="MZ238" s="55">
        <f t="shared" si="1615"/>
        <v>46224</v>
      </c>
      <c r="NA238" s="56"/>
      <c r="NB238" s="242">
        <f>SUMPRODUCT(PRODUCE!$B241:$DY241,PRODUCE!$EB$47:$IY$47)</f>
        <v>0</v>
      </c>
      <c r="NC238" s="56"/>
      <c r="ND238" s="242">
        <f t="shared" si="1616"/>
        <v>0</v>
      </c>
      <c r="NE238" s="242">
        <f t="shared" si="1617"/>
        <v>0</v>
      </c>
      <c r="NF238" s="56"/>
      <c r="NI238" s="55">
        <f t="shared" si="1618"/>
        <v>46224</v>
      </c>
      <c r="NJ238" s="56"/>
      <c r="NK238" s="242">
        <f>SUMPRODUCT(PRODUCE!$B241:$DY241,PRODUCE!$EB$48:$IY$48)</f>
        <v>0</v>
      </c>
      <c r="NL238" s="56"/>
      <c r="NM238" s="242">
        <f t="shared" si="1619"/>
        <v>0</v>
      </c>
      <c r="NN238" s="242">
        <f t="shared" si="1620"/>
        <v>1127</v>
      </c>
      <c r="NO238" s="56"/>
      <c r="NR238" s="55">
        <f t="shared" si="1621"/>
        <v>46224</v>
      </c>
      <c r="NS238" s="56"/>
      <c r="NT238" s="242">
        <f>SUMPRODUCT(PRODUCE!$B241:$DY241,PRODUCE!$EB$49:$IY$49)</f>
        <v>0</v>
      </c>
      <c r="NU238" s="56"/>
      <c r="NV238" s="242">
        <f t="shared" si="1622"/>
        <v>0</v>
      </c>
      <c r="NW238" s="242">
        <f t="shared" si="1623"/>
        <v>3111.9999999999995</v>
      </c>
      <c r="NX238" s="56"/>
      <c r="OA238" s="55">
        <f t="shared" si="1624"/>
        <v>46224</v>
      </c>
      <c r="OB238" s="56"/>
      <c r="OC238" s="242">
        <f>SUMPRODUCT(PRODUCE!$B241:$DY241,PRODUCE!$EB$50:$IY$50)</f>
        <v>0</v>
      </c>
      <c r="OD238" s="56"/>
      <c r="OE238" s="242">
        <f t="shared" si="1625"/>
        <v>0</v>
      </c>
      <c r="OF238" s="242">
        <f t="shared" si="1626"/>
        <v>1680.5</v>
      </c>
      <c r="OG238" s="56"/>
      <c r="OJ238" s="55">
        <f t="shared" si="1627"/>
        <v>46224</v>
      </c>
      <c r="OK238" s="56"/>
      <c r="OL238" s="242">
        <f>SUMPRODUCT(PRODUCE!$B241:$DY241,PRODUCE!$EB$51:$IY$51)</f>
        <v>0</v>
      </c>
      <c r="OM238" s="56"/>
      <c r="ON238" s="242">
        <f t="shared" si="1628"/>
        <v>0</v>
      </c>
      <c r="OO238" s="242">
        <f t="shared" si="1629"/>
        <v>0</v>
      </c>
      <c r="OP238" s="56"/>
      <c r="OS238" s="55">
        <f t="shared" si="1630"/>
        <v>46224</v>
      </c>
      <c r="OT238" s="56"/>
      <c r="OU238" s="242">
        <f>SUMPRODUCT(PRODUCE!$B241:$DY241,PRODUCE!$EB$52:$IY$52)</f>
        <v>0</v>
      </c>
      <c r="OV238" s="56"/>
      <c r="OW238" s="242">
        <f t="shared" si="1631"/>
        <v>0</v>
      </c>
      <c r="OX238" s="242">
        <f t="shared" si="1632"/>
        <v>1482</v>
      </c>
      <c r="OY238" s="56"/>
      <c r="PB238" s="55">
        <f t="shared" si="1633"/>
        <v>46224</v>
      </c>
      <c r="PC238" s="56"/>
      <c r="PD238" s="242">
        <f>SUMPRODUCT(PRODUCE!$B241:$DY241,PRODUCE!$EB$53:$IY$53)</f>
        <v>0</v>
      </c>
      <c r="PE238" s="56"/>
      <c r="PF238" s="242">
        <f t="shared" si="1634"/>
        <v>0</v>
      </c>
      <c r="PG238" s="242">
        <f t="shared" si="1635"/>
        <v>0</v>
      </c>
      <c r="PH238" s="56"/>
      <c r="PK238" s="55">
        <f t="shared" si="1636"/>
        <v>46224</v>
      </c>
      <c r="PL238" s="56"/>
      <c r="PM238" s="242">
        <f>SUMPRODUCT(PRODUCE!$B241:$DY241,PRODUCE!$EB$54:$IY$54)</f>
        <v>0</v>
      </c>
      <c r="PN238" s="56"/>
      <c r="PO238" s="242">
        <f t="shared" si="1637"/>
        <v>0</v>
      </c>
      <c r="PP238" s="242">
        <f t="shared" si="1638"/>
        <v>100</v>
      </c>
      <c r="PQ238" s="56"/>
      <c r="PT238" s="55">
        <f t="shared" si="1639"/>
        <v>46224</v>
      </c>
      <c r="PU238" s="56"/>
      <c r="PV238" s="242">
        <f>SUMPRODUCT(PRODUCE!$B241:$DY241,PRODUCE!$EB$55:$IY$55)</f>
        <v>0</v>
      </c>
      <c r="PW238" s="56"/>
      <c r="PX238" s="242">
        <f t="shared" si="1640"/>
        <v>0</v>
      </c>
      <c r="PY238" s="242">
        <f t="shared" si="1641"/>
        <v>13.960000000000036</v>
      </c>
      <c r="PZ238" s="56"/>
      <c r="QC238" s="55">
        <f t="shared" si="1642"/>
        <v>46224</v>
      </c>
      <c r="QD238" s="56"/>
      <c r="QE238" s="242">
        <f>SUMPRODUCT(PRODUCE!$B241:$DY241,PRODUCE!$EB$56:$IY$56)</f>
        <v>0</v>
      </c>
      <c r="QF238" s="56"/>
      <c r="QG238" s="242">
        <f t="shared" si="1643"/>
        <v>0</v>
      </c>
      <c r="QH238" s="242">
        <f t="shared" si="1644"/>
        <v>1688</v>
      </c>
      <c r="QI238" s="56"/>
      <c r="QL238" s="55">
        <f t="shared" si="1645"/>
        <v>46224</v>
      </c>
      <c r="QM238" s="56"/>
      <c r="QN238" s="242">
        <f>SUMPRODUCT(PRODUCE!$B241:$DY241,PRODUCE!$EB$57:$IY$57)</f>
        <v>0</v>
      </c>
      <c r="QO238" s="56"/>
      <c r="QP238" s="242">
        <f t="shared" si="1646"/>
        <v>0</v>
      </c>
      <c r="QQ238" s="242">
        <f t="shared" si="1647"/>
        <v>0</v>
      </c>
      <c r="QR238" s="56"/>
      <c r="QU238" s="55">
        <f t="shared" si="1648"/>
        <v>46224</v>
      </c>
      <c r="QV238" s="56"/>
      <c r="QW238" s="242">
        <f>SUMPRODUCT(PRODUCE!$B241:$DY241,PRODUCE!$EB$58:$IY$58)</f>
        <v>0</v>
      </c>
      <c r="QX238" s="56"/>
      <c r="QY238" s="242">
        <f t="shared" si="1649"/>
        <v>0</v>
      </c>
      <c r="QZ238" s="242">
        <f t="shared" si="1650"/>
        <v>207.6</v>
      </c>
      <c r="RA238" s="56"/>
      <c r="RD238" s="55">
        <f t="shared" si="1651"/>
        <v>46224</v>
      </c>
      <c r="RE238" s="56"/>
      <c r="RF238" s="242">
        <f>SUMPRODUCT(PRODUCE!$B241:$DY241,PRODUCE!$EB$59:$IY$59)</f>
        <v>0</v>
      </c>
      <c r="RG238" s="56"/>
      <c r="RH238" s="242">
        <f t="shared" si="1652"/>
        <v>0</v>
      </c>
      <c r="RI238" s="242">
        <f t="shared" si="1653"/>
        <v>147.04000000000002</v>
      </c>
      <c r="RJ238" s="56"/>
      <c r="RM238" s="55">
        <f t="shared" si="1654"/>
        <v>46224</v>
      </c>
      <c r="RN238" s="56"/>
      <c r="RO238" s="242">
        <f>SUMPRODUCT(PRODUCE!$B241:$DY241,PRODUCE!$EB$60:$IY$60)</f>
        <v>0</v>
      </c>
      <c r="RP238" s="56"/>
      <c r="RQ238" s="242">
        <f t="shared" si="1655"/>
        <v>0</v>
      </c>
      <c r="RR238" s="242">
        <f t="shared" si="1656"/>
        <v>46.8</v>
      </c>
      <c r="RS238" s="56"/>
      <c r="RV238" s="55">
        <f t="shared" si="1657"/>
        <v>46224</v>
      </c>
      <c r="RW238" s="56"/>
      <c r="RX238" s="242">
        <f>SUMPRODUCT(PRODUCE!$B241:$DY241,PRODUCE!$EB$61:$IY$61)</f>
        <v>0</v>
      </c>
      <c r="RY238" s="56"/>
      <c r="RZ238" s="242">
        <f t="shared" si="1658"/>
        <v>0</v>
      </c>
      <c r="SA238" s="242">
        <f t="shared" si="1659"/>
        <v>0</v>
      </c>
      <c r="SB238" s="56"/>
      <c r="SE238" s="55">
        <f t="shared" si="1660"/>
        <v>46224</v>
      </c>
      <c r="SF238" s="56"/>
      <c r="SG238" s="242">
        <f>SUMPRODUCT(PRODUCE!$B241:$DY241,PRODUCE!$EB$62:$IY$62)</f>
        <v>0</v>
      </c>
      <c r="SH238" s="56"/>
      <c r="SI238" s="242">
        <f t="shared" si="1661"/>
        <v>0</v>
      </c>
      <c r="SJ238" s="242">
        <f t="shared" si="1662"/>
        <v>24.200000000000003</v>
      </c>
      <c r="SK238" s="56"/>
      <c r="SN238" s="55">
        <f t="shared" si="1663"/>
        <v>46224</v>
      </c>
      <c r="SO238" s="56"/>
      <c r="SP238" s="242">
        <f>SUMPRODUCT(PRODUCE!$B241:$DY241,PRODUCE!$EB$63:$IY$63)</f>
        <v>0</v>
      </c>
      <c r="SQ238" s="56"/>
      <c r="SR238" s="242">
        <f t="shared" si="1664"/>
        <v>0</v>
      </c>
      <c r="SS238" s="242">
        <f t="shared" si="1665"/>
        <v>32</v>
      </c>
      <c r="ST238" s="56"/>
      <c r="SW238" s="55">
        <f t="shared" si="1666"/>
        <v>46224</v>
      </c>
      <c r="SX238" s="56"/>
      <c r="SY238" s="242">
        <f>SUMPRODUCT(PRODUCE!$B241:$DY241,PRODUCE!$EB$64:$IY$64)</f>
        <v>0</v>
      </c>
      <c r="SZ238" s="56"/>
      <c r="TA238" s="242">
        <f t="shared" si="1667"/>
        <v>0</v>
      </c>
      <c r="TB238" s="242">
        <f t="shared" si="1668"/>
        <v>0</v>
      </c>
      <c r="TC238" s="56"/>
      <c r="TF238" s="55">
        <f t="shared" si="1669"/>
        <v>46224</v>
      </c>
      <c r="TG238" s="56"/>
      <c r="TH238" s="242">
        <f>SUMPRODUCT(PRODUCE!$B241:$DY241,PRODUCE!$EB$57:$IY$57)</f>
        <v>0</v>
      </c>
      <c r="TI238" s="56"/>
      <c r="TJ238" s="242">
        <f t="shared" si="1670"/>
        <v>0</v>
      </c>
      <c r="TK238" s="242">
        <f t="shared" si="1671"/>
        <v>0</v>
      </c>
      <c r="TL238" s="56"/>
      <c r="TO238" s="55">
        <f t="shared" si="1672"/>
        <v>46224</v>
      </c>
      <c r="TP238" s="56"/>
      <c r="TQ238" s="242">
        <f>SUMPRODUCT(PRODUCE!$B241:$DY241,PRODUCE!$EB$57:$IY$57)</f>
        <v>0</v>
      </c>
      <c r="TR238" s="56"/>
      <c r="TS238" s="242">
        <f t="shared" si="1673"/>
        <v>0</v>
      </c>
      <c r="TT238" s="242">
        <f t="shared" si="1674"/>
        <v>22.400000000000006</v>
      </c>
      <c r="TU238" s="56"/>
      <c r="TX238" s="55">
        <f t="shared" si="1675"/>
        <v>46224</v>
      </c>
      <c r="TY238" s="56"/>
      <c r="TZ238" s="242">
        <f>SUMPRODUCT(PRODUCE!$B241:$DY241,PRODUCE!$EB$57:$IY$57)</f>
        <v>0</v>
      </c>
      <c r="UA238" s="56"/>
      <c r="UB238" s="242">
        <f t="shared" si="1676"/>
        <v>0</v>
      </c>
      <c r="UC238" s="242">
        <f t="shared" si="1677"/>
        <v>46.799999999999983</v>
      </c>
      <c r="UD238" s="56"/>
      <c r="UG238" s="55">
        <f t="shared" si="1678"/>
        <v>46224</v>
      </c>
      <c r="UH238" s="56"/>
      <c r="UI238" s="242">
        <f>SUMPRODUCT(PRODUCE!$B241:$DY241,PRODUCE!$EB$57:$IY$57)</f>
        <v>0</v>
      </c>
      <c r="UJ238" s="56"/>
      <c r="UK238" s="242">
        <f t="shared" si="1679"/>
        <v>0</v>
      </c>
      <c r="UL238" s="242">
        <f t="shared" si="1680"/>
        <v>204</v>
      </c>
      <c r="UM238" s="56"/>
      <c r="UP238" s="55">
        <f t="shared" si="1681"/>
        <v>46224</v>
      </c>
      <c r="UQ238" s="56"/>
      <c r="UR238" s="242">
        <f>SUMPRODUCT(PRODUCE!$B241:$DY241,PRODUCE!$EB$69:$IY$69)</f>
        <v>0</v>
      </c>
      <c r="US238" s="56"/>
      <c r="UT238" s="242">
        <f t="shared" si="1682"/>
        <v>0</v>
      </c>
      <c r="UU238" s="242">
        <f t="shared" si="1683"/>
        <v>242.5</v>
      </c>
      <c r="UV238" s="56"/>
      <c r="UY238" s="55">
        <f t="shared" si="1684"/>
        <v>46224</v>
      </c>
      <c r="UZ238" s="56"/>
      <c r="VA238" s="242">
        <f>SUMPRODUCT(PRODUCE!$B241:$DY241,PRODUCE!$EB$70:$IY$70)</f>
        <v>0</v>
      </c>
      <c r="VB238" s="56"/>
      <c r="VC238" s="242">
        <f t="shared" si="1685"/>
        <v>0</v>
      </c>
      <c r="VD238" s="242">
        <f t="shared" si="1686"/>
        <v>41.600000000000023</v>
      </c>
      <c r="VE238" s="56"/>
      <c r="VH238" s="55">
        <f t="shared" si="1687"/>
        <v>46224</v>
      </c>
      <c r="VI238" s="56"/>
      <c r="VJ238" s="242">
        <f>SUMPRODUCT(PRODUCE!$B241:$DY241,PRODUCE!$EB$71:$IY$71)</f>
        <v>0</v>
      </c>
      <c r="VK238" s="56"/>
      <c r="VL238" s="242">
        <f t="shared" si="1688"/>
        <v>0</v>
      </c>
      <c r="VM238" s="242">
        <f t="shared" si="1689"/>
        <v>210</v>
      </c>
      <c r="VN238" s="56"/>
      <c r="VQ238" s="55">
        <f t="shared" si="1690"/>
        <v>46224</v>
      </c>
      <c r="VR238" s="56"/>
      <c r="VS238" s="242">
        <f>SUMPRODUCT(PRODUCE!$B241:$DY241,PRODUCE!$EB$57:$IY$57)</f>
        <v>0</v>
      </c>
      <c r="VT238" s="56"/>
      <c r="VU238" s="242">
        <f t="shared" si="1691"/>
        <v>0</v>
      </c>
      <c r="VV238" s="242">
        <f t="shared" si="1692"/>
        <v>0</v>
      </c>
      <c r="VW238" s="56"/>
      <c r="VZ238" s="55">
        <f t="shared" si="1693"/>
        <v>46224</v>
      </c>
      <c r="WA238" s="56"/>
      <c r="WB238" s="242">
        <f>SUMPRODUCT(PRODUCE!$B241:$DY241,PRODUCE!$EB$57:$IY$57)</f>
        <v>0</v>
      </c>
      <c r="WC238" s="56"/>
      <c r="WD238" s="242">
        <f t="shared" si="1694"/>
        <v>0</v>
      </c>
      <c r="WE238" s="242">
        <f t="shared" si="1695"/>
        <v>0</v>
      </c>
      <c r="WF238" s="56"/>
      <c r="WI238" s="55">
        <f t="shared" si="1696"/>
        <v>46224</v>
      </c>
      <c r="WJ238" s="56"/>
      <c r="WK238" s="242">
        <f>SUMPRODUCT(PRODUCE!$B241:$DY241,PRODUCE!$EB$57:$IY$57)</f>
        <v>0</v>
      </c>
      <c r="WL238" s="56"/>
      <c r="WM238" s="242">
        <f t="shared" si="1697"/>
        <v>0</v>
      </c>
      <c r="WN238" s="242">
        <f t="shared" si="1698"/>
        <v>1057</v>
      </c>
      <c r="WO238" s="56"/>
      <c r="WR238" s="55">
        <f t="shared" si="1699"/>
        <v>46224</v>
      </c>
      <c r="WS238" s="56"/>
      <c r="WT238" s="242">
        <f>SUMPRODUCT(PRODUCE!$B241:$DY241,PRODUCE!$EB$57:$IY$57)</f>
        <v>0</v>
      </c>
      <c r="WU238" s="56"/>
      <c r="WV238" s="242">
        <f t="shared" si="1700"/>
        <v>0</v>
      </c>
      <c r="WW238" s="242">
        <f t="shared" si="1701"/>
        <v>0</v>
      </c>
      <c r="WX238" s="56"/>
      <c r="XA238" s="55">
        <f t="shared" si="1702"/>
        <v>46224</v>
      </c>
      <c r="XB238" s="56"/>
      <c r="XC238" s="242">
        <f>SUMPRODUCT(PRODUCE!$B241:$DY241,PRODUCE!$EB$57:$IY$57)</f>
        <v>0</v>
      </c>
      <c r="XD238" s="56"/>
      <c r="XE238" s="242">
        <f t="shared" si="1703"/>
        <v>0</v>
      </c>
      <c r="XF238" s="242">
        <f t="shared" si="1704"/>
        <v>7507</v>
      </c>
      <c r="XG238" s="56"/>
      <c r="XJ238" s="55">
        <f t="shared" si="1705"/>
        <v>46224</v>
      </c>
      <c r="XK238" s="56"/>
      <c r="XL238" s="242">
        <f>SUMPRODUCT(PRODUCE!$B241:$DY241,PRODUCE!$EB$57:$IY$57)</f>
        <v>0</v>
      </c>
      <c r="XM238" s="56"/>
      <c r="XN238" s="242">
        <f t="shared" si="1706"/>
        <v>0</v>
      </c>
      <c r="XO238" s="242">
        <f t="shared" si="1707"/>
        <v>4252</v>
      </c>
      <c r="XP238" s="56"/>
      <c r="XS238" s="55">
        <f t="shared" si="1708"/>
        <v>46224</v>
      </c>
      <c r="XT238" s="56"/>
      <c r="XU238" s="242">
        <f>SUMPRODUCT(PRODUCE!$B241:$DY241,PRODUCE!$EB$57:$IY$57)</f>
        <v>0</v>
      </c>
      <c r="XV238" s="56"/>
      <c r="XW238" s="242">
        <f t="shared" si="1709"/>
        <v>0</v>
      </c>
      <c r="XX238" s="242">
        <f t="shared" si="1710"/>
        <v>2179</v>
      </c>
      <c r="XY238" s="56"/>
      <c r="YB238" s="55">
        <f t="shared" si="1711"/>
        <v>46224</v>
      </c>
      <c r="YC238" s="56"/>
      <c r="YD238" s="242">
        <f>SUMPRODUCT(PRODUCE!$B241:$DY241,PRODUCE!$EB$57:$IY$57)</f>
        <v>0</v>
      </c>
      <c r="YE238" s="56"/>
      <c r="YF238" s="242">
        <f t="shared" si="1712"/>
        <v>0</v>
      </c>
      <c r="YG238" s="242">
        <f t="shared" si="1713"/>
        <v>4019</v>
      </c>
      <c r="YH238" s="56"/>
      <c r="YK238" s="55">
        <f t="shared" si="1714"/>
        <v>46224</v>
      </c>
      <c r="YL238" s="56"/>
      <c r="YM238" s="242">
        <f>SUMPRODUCT(PRODUCE!$B241:$DY241,PRODUCE!$EB$57:$IY$57)</f>
        <v>0</v>
      </c>
      <c r="YN238" s="56"/>
      <c r="YO238" s="242">
        <f t="shared" si="1715"/>
        <v>0</v>
      </c>
      <c r="YP238" s="242">
        <f t="shared" si="1716"/>
        <v>0</v>
      </c>
      <c r="YQ238" s="56"/>
      <c r="YT238" s="55">
        <f t="shared" si="1717"/>
        <v>46224</v>
      </c>
      <c r="YU238" s="56"/>
      <c r="YV238" s="242">
        <f>SUMPRODUCT(PRODUCE!$B241:$DY241,PRODUCE!$EB$57:$IY$57)</f>
        <v>0</v>
      </c>
      <c r="YW238" s="56"/>
      <c r="YX238" s="242">
        <f t="shared" si="1718"/>
        <v>0</v>
      </c>
      <c r="YY238" s="242">
        <f t="shared" si="1719"/>
        <v>0</v>
      </c>
      <c r="YZ238" s="56"/>
      <c r="ZC238" s="55">
        <f t="shared" si="1720"/>
        <v>46224</v>
      </c>
      <c r="ZD238" s="56"/>
      <c r="ZE238" s="242">
        <f>SUMPRODUCT(PRODUCE!$B241:$DY241,PRODUCE!$EB$57:$IY$57)</f>
        <v>0</v>
      </c>
      <c r="ZF238" s="56"/>
      <c r="ZG238" s="242">
        <f t="shared" si="1721"/>
        <v>0</v>
      </c>
      <c r="ZH238" s="242">
        <f t="shared" si="1722"/>
        <v>0</v>
      </c>
      <c r="ZI238" s="56"/>
      <c r="ZL238" s="55">
        <f t="shared" si="1723"/>
        <v>46224</v>
      </c>
      <c r="ZM238" s="56"/>
      <c r="ZN238" s="242">
        <f>SUMPRODUCT(PRODUCE!$B241:$DY241,PRODUCE!$EB$57:$IY$57)</f>
        <v>0</v>
      </c>
      <c r="ZO238" s="56"/>
      <c r="ZP238" s="242">
        <f t="shared" si="1724"/>
        <v>0</v>
      </c>
      <c r="ZQ238" s="242">
        <f t="shared" si="1725"/>
        <v>0</v>
      </c>
      <c r="ZR238" s="56"/>
      <c r="ZU238" s="55">
        <f t="shared" si="1726"/>
        <v>46224</v>
      </c>
      <c r="ZV238" s="56"/>
      <c r="ZW238" s="242">
        <f>SUMPRODUCT(PRODUCE!$B241:$DY241,PRODUCE!$EB$57:$IY$57)</f>
        <v>0</v>
      </c>
      <c r="ZX238" s="56"/>
      <c r="ZY238" s="242">
        <f t="shared" si="1727"/>
        <v>0</v>
      </c>
      <c r="ZZ238" s="242">
        <f t="shared" si="1728"/>
        <v>0</v>
      </c>
      <c r="AAA238" s="56"/>
      <c r="AAD238" s="55">
        <f t="shared" si="1729"/>
        <v>46224</v>
      </c>
      <c r="AAE238" s="56"/>
      <c r="AAF238" s="242">
        <f>SUMPRODUCT(PRODUCE!$B241:$DY241,PRODUCE!$EB$57:$IY$57)</f>
        <v>0</v>
      </c>
      <c r="AAG238" s="56"/>
      <c r="AAH238" s="242">
        <f t="shared" si="1730"/>
        <v>0</v>
      </c>
      <c r="AAI238" s="242">
        <f t="shared" si="1731"/>
        <v>0</v>
      </c>
      <c r="AAJ238" s="56"/>
      <c r="AAM238" s="55">
        <f t="shared" si="1732"/>
        <v>46224</v>
      </c>
      <c r="AAN238" s="56"/>
      <c r="AAO238" s="242">
        <f>SUMPRODUCT(PRODUCE!$B241:$DY241,PRODUCE!$EB$57:$IY$57)</f>
        <v>0</v>
      </c>
      <c r="AAP238" s="56"/>
      <c r="AAQ238" s="242">
        <f t="shared" si="1733"/>
        <v>0</v>
      </c>
      <c r="AAR238" s="242">
        <f t="shared" si="1734"/>
        <v>0</v>
      </c>
      <c r="AAS238" s="56"/>
      <c r="AAV238" s="55">
        <f t="shared" si="1735"/>
        <v>46224</v>
      </c>
      <c r="AAW238" s="56"/>
      <c r="AAX238" s="242">
        <f>SUMPRODUCT(PRODUCE!$B241:$DY241,PRODUCE!$EB$57:$IY$57)</f>
        <v>0</v>
      </c>
      <c r="AAY238" s="56"/>
      <c r="AAZ238" s="242">
        <f t="shared" si="1736"/>
        <v>0</v>
      </c>
      <c r="ABA238" s="242">
        <f t="shared" si="1737"/>
        <v>0</v>
      </c>
      <c r="ABB238" s="56"/>
      <c r="ABE238" s="55">
        <f t="shared" si="1738"/>
        <v>46224</v>
      </c>
      <c r="ABF238" s="56"/>
      <c r="ABG238" s="242">
        <f>SUMPRODUCT(PRODUCE!$B241:$DY241,PRODUCE!$EB$57:$IY$57)</f>
        <v>0</v>
      </c>
      <c r="ABH238" s="56"/>
      <c r="ABI238" s="242">
        <f t="shared" si="1739"/>
        <v>0</v>
      </c>
      <c r="ABJ238" s="242">
        <f t="shared" si="1740"/>
        <v>0</v>
      </c>
      <c r="ABK238" s="56"/>
    </row>
    <row r="239" spans="2:739" s="54" customFormat="1" ht="15" customHeight="1" outlineLevel="1">
      <c r="B239" s="478"/>
      <c r="C239" s="55">
        <v>46225</v>
      </c>
      <c r="D239" s="422">
        <v>57000</v>
      </c>
      <c r="E239" s="423">
        <f>SUMPRODUCT(PRODUCE!$B242:$DY242,PRODUCE!$EB$7:$IY$7)</f>
        <v>0</v>
      </c>
      <c r="F239" s="422"/>
      <c r="G239" s="423">
        <f t="shared" si="1496"/>
        <v>0</v>
      </c>
      <c r="H239" s="423">
        <f t="shared" si="1497"/>
        <v>173926.40000000002</v>
      </c>
      <c r="I239" s="289"/>
      <c r="L239" s="55">
        <f t="shared" si="1498"/>
        <v>46225</v>
      </c>
      <c r="M239" s="422"/>
      <c r="N239" s="438">
        <f>SUMPRODUCT(PRODUCE!$B242:$DY242,PRODUCE!$EB$8:$IY$8)</f>
        <v>0</v>
      </c>
      <c r="O239" s="422"/>
      <c r="P239" s="438">
        <f t="shared" si="1499"/>
        <v>0</v>
      </c>
      <c r="Q239" s="438">
        <f t="shared" si="1500"/>
        <v>-1234.9999999999309</v>
      </c>
      <c r="R239" s="56"/>
      <c r="U239" s="55">
        <f t="shared" si="1501"/>
        <v>46225</v>
      </c>
      <c r="V239" s="422"/>
      <c r="W239" s="440">
        <f>SUMPRODUCT(PRODUCE!$B242:$DY242,PRODUCE!$EB$9:$IY$9)</f>
        <v>0</v>
      </c>
      <c r="X239" s="422"/>
      <c r="Y239" s="440">
        <f t="shared" si="1502"/>
        <v>0</v>
      </c>
      <c r="Z239" s="440">
        <f t="shared" si="1503"/>
        <v>38577.099999999969</v>
      </c>
      <c r="AA239" s="56"/>
      <c r="AD239" s="55">
        <f t="shared" si="1504"/>
        <v>46225</v>
      </c>
      <c r="AE239" s="422"/>
      <c r="AF239" s="442">
        <f>SUMPRODUCT(PRODUCE!$B242:$DY242,PRODUCE!$EB$10:$IY$10)</f>
        <v>0</v>
      </c>
      <c r="AG239" s="422"/>
      <c r="AH239" s="442">
        <f t="shared" si="1505"/>
        <v>0</v>
      </c>
      <c r="AI239" s="442">
        <f t="shared" si="1506"/>
        <v>31872.200000000019</v>
      </c>
      <c r="AJ239" s="56"/>
      <c r="AM239" s="55">
        <f t="shared" si="1507"/>
        <v>46225</v>
      </c>
      <c r="AN239" s="422"/>
      <c r="AO239" s="444">
        <f>SUMPRODUCT(PRODUCE!$B242:$DY242,PRODUCE!$EB$11:$IY$11)</f>
        <v>0</v>
      </c>
      <c r="AP239" s="422"/>
      <c r="AQ239" s="444">
        <f t="shared" si="1508"/>
        <v>0</v>
      </c>
      <c r="AR239" s="444">
        <f t="shared" si="1509"/>
        <v>0</v>
      </c>
      <c r="AS239" s="56"/>
      <c r="AV239" s="55">
        <f t="shared" si="1510"/>
        <v>46225</v>
      </c>
      <c r="AW239" s="422"/>
      <c r="AX239" s="446">
        <f>SUMPRODUCT(PRODUCE!$B242:$DY242,PRODUCE!$EB$12:$IY$12)</f>
        <v>0</v>
      </c>
      <c r="AY239" s="422"/>
      <c r="AZ239" s="446">
        <f t="shared" si="1511"/>
        <v>0</v>
      </c>
      <c r="BA239" s="446">
        <f t="shared" si="1512"/>
        <v>726.59999999999525</v>
      </c>
      <c r="BB239" s="56"/>
      <c r="BE239" s="55">
        <f t="shared" si="1513"/>
        <v>46225</v>
      </c>
      <c r="BF239" s="422"/>
      <c r="BG239" s="448">
        <f>SUMPRODUCT(PRODUCE!$B242:$DY242,PRODUCE!$EB$13:$IY$13)</f>
        <v>0</v>
      </c>
      <c r="BH239" s="422"/>
      <c r="BI239" s="448">
        <f t="shared" si="1514"/>
        <v>0</v>
      </c>
      <c r="BJ239" s="448">
        <f t="shared" si="1515"/>
        <v>29173.099999999995</v>
      </c>
      <c r="BK239" s="56"/>
      <c r="BN239" s="55">
        <f t="shared" si="1516"/>
        <v>46225</v>
      </c>
      <c r="BO239" s="422"/>
      <c r="BP239" s="450">
        <f>SUMPRODUCT(PRODUCE!$B242:$DY242,PRODUCE!$EB$14:$IY$14)</f>
        <v>0</v>
      </c>
      <c r="BQ239" s="422"/>
      <c r="BR239" s="450">
        <f t="shared" si="1517"/>
        <v>0</v>
      </c>
      <c r="BS239" s="450">
        <f t="shared" si="1518"/>
        <v>0</v>
      </c>
      <c r="BT239" s="56"/>
      <c r="BW239" s="55">
        <f t="shared" si="1519"/>
        <v>46225</v>
      </c>
      <c r="BX239" s="422"/>
      <c r="BY239" s="523">
        <f>SUMPRODUCT(PRODUCE!$B242:$DY242,PRODUCE!$EB$15:$IY$15)</f>
        <v>0</v>
      </c>
      <c r="BZ239" s="422"/>
      <c r="CA239" s="523">
        <f t="shared" si="1520"/>
        <v>0</v>
      </c>
      <c r="CB239" s="523">
        <f t="shared" si="1521"/>
        <v>5937.3599999999988</v>
      </c>
      <c r="CC239" s="56"/>
      <c r="CF239" s="55">
        <f t="shared" si="1522"/>
        <v>46225</v>
      </c>
      <c r="CG239" s="422"/>
      <c r="CH239" s="524">
        <f>SUMPRODUCT(PRODUCE!$B242:$DY242,PRODUCE!$EB$16:$IY$16)</f>
        <v>0</v>
      </c>
      <c r="CI239" s="422"/>
      <c r="CJ239" s="524">
        <f t="shared" si="1523"/>
        <v>0</v>
      </c>
      <c r="CK239" s="524">
        <f t="shared" si="1524"/>
        <v>-8101.3599999999988</v>
      </c>
      <c r="CL239" s="56"/>
      <c r="CO239" s="55">
        <f t="shared" si="1525"/>
        <v>46225</v>
      </c>
      <c r="CP239" s="422"/>
      <c r="CQ239" s="470">
        <f>SUMPRODUCT(PRODUCE!$B242:$DY242,PRODUCE!$EB$17:$IY$17)</f>
        <v>0</v>
      </c>
      <c r="CR239" s="422"/>
      <c r="CS239" s="470">
        <f t="shared" si="1526"/>
        <v>0</v>
      </c>
      <c r="CT239" s="470">
        <f t="shared" si="1527"/>
        <v>0</v>
      </c>
      <c r="CU239" s="56"/>
      <c r="CX239" s="55">
        <f t="shared" si="1528"/>
        <v>46225</v>
      </c>
      <c r="CY239" s="422"/>
      <c r="CZ239" s="525">
        <f>SUMPRODUCT(PRODUCE!$B242:$DY242,PRODUCE!$EB$18:$IY$18)</f>
        <v>0</v>
      </c>
      <c r="DA239" s="422"/>
      <c r="DB239" s="525">
        <f t="shared" si="1529"/>
        <v>0</v>
      </c>
      <c r="DC239" s="525">
        <f t="shared" si="1530"/>
        <v>1311.6000000000072</v>
      </c>
      <c r="DD239" s="56"/>
      <c r="DG239" s="55">
        <f t="shared" si="1531"/>
        <v>46225</v>
      </c>
      <c r="DH239" s="422"/>
      <c r="DI239" s="526">
        <f>SUMPRODUCT(PRODUCE!$B242:$DY242,PRODUCE!$EB$19:$IY$19)</f>
        <v>0</v>
      </c>
      <c r="DJ239" s="422"/>
      <c r="DK239" s="526">
        <f t="shared" si="1532"/>
        <v>0</v>
      </c>
      <c r="DL239" s="526">
        <f t="shared" si="1533"/>
        <v>33033.89999999998</v>
      </c>
      <c r="DM239" s="56"/>
      <c r="DP239" s="55">
        <f t="shared" si="1534"/>
        <v>46225</v>
      </c>
      <c r="DQ239" s="56"/>
      <c r="DR239" s="57">
        <f>SUMPRODUCT(PRODUCE!$B242:$DY242,PRODUCE!$EB$20:$IY$20)</f>
        <v>0</v>
      </c>
      <c r="DS239" s="56"/>
      <c r="DT239" s="57">
        <f t="shared" si="1535"/>
        <v>0</v>
      </c>
      <c r="DU239" s="57">
        <f t="shared" si="1536"/>
        <v>5800</v>
      </c>
      <c r="DV239" s="56"/>
      <c r="DY239" s="55">
        <f t="shared" si="1537"/>
        <v>46225</v>
      </c>
      <c r="DZ239" s="56"/>
      <c r="EA239" s="157">
        <f>SUMPRODUCT(PRODUCE!$B242:$DY242,PRODUCE!$EB$21:$IY$21)</f>
        <v>0</v>
      </c>
      <c r="EB239" s="56"/>
      <c r="EC239" s="157">
        <f t="shared" si="1538"/>
        <v>0</v>
      </c>
      <c r="ED239" s="157">
        <f t="shared" si="1539"/>
        <v>0</v>
      </c>
      <c r="EE239" s="56"/>
      <c r="EH239" s="55">
        <f t="shared" si="1540"/>
        <v>46225</v>
      </c>
      <c r="EI239" s="56"/>
      <c r="EJ239" s="162">
        <f>SUMPRODUCT(PRODUCE!$B242:$DY242,PRODUCE!$EB$22:$IY$22)</f>
        <v>0</v>
      </c>
      <c r="EK239" s="56"/>
      <c r="EL239" s="162">
        <f t="shared" si="1541"/>
        <v>0</v>
      </c>
      <c r="EM239" s="162">
        <f t="shared" si="1542"/>
        <v>0</v>
      </c>
      <c r="EN239" s="56"/>
      <c r="EQ239" s="55">
        <f t="shared" si="1543"/>
        <v>46225</v>
      </c>
      <c r="ER239" s="56"/>
      <c r="ES239" s="172">
        <f>SUMPRODUCT(PRODUCE!$B242:$DY242,PRODUCE!$EB$23:$IY$23)</f>
        <v>0</v>
      </c>
      <c r="ET239" s="56"/>
      <c r="EU239" s="135">
        <f t="shared" si="1544"/>
        <v>0</v>
      </c>
      <c r="EV239" s="135">
        <f t="shared" si="1545"/>
        <v>0</v>
      </c>
      <c r="EW239" s="56"/>
      <c r="EZ239" s="55">
        <f t="shared" si="1546"/>
        <v>46225</v>
      </c>
      <c r="FA239" s="56"/>
      <c r="FB239" s="175">
        <f>SUMPRODUCT(PRODUCE!$B242:$DY242,PRODUCE!$EB$24:$IY$24)</f>
        <v>0</v>
      </c>
      <c r="FC239" s="56"/>
      <c r="FD239" s="175">
        <f t="shared" si="1547"/>
        <v>0</v>
      </c>
      <c r="FE239" s="175">
        <f t="shared" si="1548"/>
        <v>0</v>
      </c>
      <c r="FF239" s="56"/>
      <c r="FI239" s="55">
        <f t="shared" si="1549"/>
        <v>46225</v>
      </c>
      <c r="FJ239" s="56"/>
      <c r="FK239" s="183">
        <f>SUMPRODUCT(PRODUCE!$B242:$DY242,PRODUCE!$EB$25:$IY$25)</f>
        <v>0</v>
      </c>
      <c r="FL239" s="56"/>
      <c r="FM239" s="183">
        <f t="shared" si="1550"/>
        <v>0</v>
      </c>
      <c r="FN239" s="183">
        <f t="shared" si="1551"/>
        <v>0</v>
      </c>
      <c r="FO239" s="56"/>
      <c r="FR239" s="55">
        <f t="shared" si="1552"/>
        <v>46225</v>
      </c>
      <c r="FS239" s="56"/>
      <c r="FT239" s="186">
        <f>SUMPRODUCT(PRODUCE!$B242:$DY242,PRODUCE!$EB$26:$IY$26)</f>
        <v>0</v>
      </c>
      <c r="FU239" s="56"/>
      <c r="FV239" s="186">
        <f t="shared" si="1553"/>
        <v>0</v>
      </c>
      <c r="FW239" s="186">
        <f t="shared" si="1554"/>
        <v>1160</v>
      </c>
      <c r="FX239" s="56"/>
      <c r="GA239" s="55">
        <f t="shared" si="1555"/>
        <v>46225</v>
      </c>
      <c r="GB239" s="56"/>
      <c r="GC239" s="137">
        <f>SUMPRODUCT(PRODUCE!$B242:$DY242,PRODUCE!$EB$27:$IY$27)</f>
        <v>0</v>
      </c>
      <c r="GD239" s="56"/>
      <c r="GE239" s="137">
        <f t="shared" si="1556"/>
        <v>0</v>
      </c>
      <c r="GF239" s="137">
        <f t="shared" si="1557"/>
        <v>960</v>
      </c>
      <c r="GG239" s="56"/>
      <c r="GI239" s="23"/>
      <c r="GJ239" s="55">
        <f t="shared" si="1558"/>
        <v>46225</v>
      </c>
      <c r="GK239" s="56"/>
      <c r="GL239" s="199">
        <f>SUMPRODUCT(PRODUCE!$B242:$DY242,PRODUCE!$EB$28:$IY$28)</f>
        <v>0</v>
      </c>
      <c r="GM239" s="56"/>
      <c r="GN239" s="199">
        <f t="shared" si="1559"/>
        <v>0</v>
      </c>
      <c r="GO239" s="199">
        <f t="shared" si="1560"/>
        <v>1760</v>
      </c>
      <c r="GP239" s="56"/>
      <c r="GS239" s="55">
        <f t="shared" si="1561"/>
        <v>46225</v>
      </c>
      <c r="GT239" s="56"/>
      <c r="GU239" s="195">
        <f>SUMPRODUCT(PRODUCE!$B242:$DY242,PRODUCE!$EB$29:$IY$29)</f>
        <v>0</v>
      </c>
      <c r="GV239" s="56"/>
      <c r="GW239" s="195">
        <f t="shared" si="1562"/>
        <v>0</v>
      </c>
      <c r="GX239" s="195">
        <f t="shared" si="1563"/>
        <v>400</v>
      </c>
      <c r="GY239" s="56"/>
      <c r="HB239" s="55">
        <f t="shared" si="1564"/>
        <v>46225</v>
      </c>
      <c r="HC239" s="56"/>
      <c r="HD239" s="191">
        <f>SUMPRODUCT(PRODUCE!$B242:$DY242,PRODUCE!$EB$30:$IY$30)</f>
        <v>0</v>
      </c>
      <c r="HE239" s="56"/>
      <c r="HF239" s="191">
        <f t="shared" si="1565"/>
        <v>0</v>
      </c>
      <c r="HG239" s="191">
        <f t="shared" si="1566"/>
        <v>3600</v>
      </c>
      <c r="HH239" s="56"/>
      <c r="HK239" s="55">
        <f t="shared" si="1567"/>
        <v>46225</v>
      </c>
      <c r="HL239" s="56"/>
      <c r="HM239" s="63">
        <f>SUMPRODUCT(PRODUCE!$B242:$DY242,PRODUCE!$EB$31:$IY$31)</f>
        <v>0</v>
      </c>
      <c r="HN239" s="56"/>
      <c r="HO239" s="63">
        <f t="shared" si="1568"/>
        <v>0</v>
      </c>
      <c r="HP239" s="63">
        <f t="shared" si="1569"/>
        <v>0</v>
      </c>
      <c r="HQ239" s="56"/>
      <c r="HU239" s="55">
        <f t="shared" si="1570"/>
        <v>46225</v>
      </c>
      <c r="HV239" s="56"/>
      <c r="HW239" s="242">
        <f>SUMPRODUCT(PRODUCE!$B242:$DY242,PRODUCE!$EB$32:$IY$32)</f>
        <v>0</v>
      </c>
      <c r="HX239" s="56"/>
      <c r="HY239" s="242">
        <f t="shared" si="1571"/>
        <v>0</v>
      </c>
      <c r="HZ239" s="242">
        <f t="shared" si="1572"/>
        <v>5920</v>
      </c>
      <c r="IA239" s="56"/>
      <c r="ID239" s="55">
        <f t="shared" si="1573"/>
        <v>46225</v>
      </c>
      <c r="IE239" s="56"/>
      <c r="IF239" s="242">
        <f>SUMPRODUCT(PRODUCE!$B242:$DY242,PRODUCE!$EB$33:$IY$33)</f>
        <v>0</v>
      </c>
      <c r="IG239" s="56"/>
      <c r="IH239" s="242">
        <f t="shared" si="1574"/>
        <v>0</v>
      </c>
      <c r="II239" s="242">
        <f t="shared" si="1575"/>
        <v>720</v>
      </c>
      <c r="IJ239" s="56"/>
      <c r="IM239" s="55">
        <f t="shared" si="1576"/>
        <v>46225</v>
      </c>
      <c r="IN239" s="56"/>
      <c r="IO239" s="242">
        <f>SUMPRODUCT(PRODUCE!$B242:$DY242,PRODUCE!$EB$34:$IY$34)</f>
        <v>0</v>
      </c>
      <c r="IP239" s="56"/>
      <c r="IQ239" s="242">
        <f t="shared" si="1577"/>
        <v>0</v>
      </c>
      <c r="IR239" s="242">
        <f t="shared" si="1578"/>
        <v>4280</v>
      </c>
      <c r="IS239" s="56"/>
      <c r="IV239" s="55">
        <f t="shared" si="1579"/>
        <v>46225</v>
      </c>
      <c r="IW239" s="56"/>
      <c r="IX239" s="242">
        <f>SUMPRODUCT(PRODUCE!$B242:$DY242,PRODUCE!$EB$35:$IY$35)</f>
        <v>0</v>
      </c>
      <c r="IY239" s="56"/>
      <c r="IZ239" s="242">
        <f t="shared" si="1580"/>
        <v>0</v>
      </c>
      <c r="JA239" s="242">
        <f t="shared" si="1581"/>
        <v>4960</v>
      </c>
      <c r="JB239" s="56"/>
      <c r="JE239" s="55">
        <f t="shared" si="1582"/>
        <v>46225</v>
      </c>
      <c r="JF239" s="56"/>
      <c r="JG239" s="242">
        <f>SUMPRODUCT(PRODUCE!$B242:$DY242,PRODUCE!$EB$36:$IY$36)</f>
        <v>0</v>
      </c>
      <c r="JH239" s="56"/>
      <c r="JI239" s="242">
        <f t="shared" si="1583"/>
        <v>0</v>
      </c>
      <c r="JJ239" s="242">
        <f t="shared" si="1584"/>
        <v>0</v>
      </c>
      <c r="JK239" s="56"/>
      <c r="JN239" s="55">
        <f t="shared" si="1585"/>
        <v>46225</v>
      </c>
      <c r="JO239" s="56"/>
      <c r="JP239" s="242">
        <f>SUMPRODUCT(PRODUCE!$B242:$DY242,PRODUCE!$EB$37:$IY$37)</f>
        <v>0</v>
      </c>
      <c r="JQ239" s="56"/>
      <c r="JR239" s="242">
        <f t="shared" si="1586"/>
        <v>0</v>
      </c>
      <c r="JS239" s="242">
        <f t="shared" si="1587"/>
        <v>0</v>
      </c>
      <c r="JT239" s="56"/>
      <c r="JW239" s="55">
        <f t="shared" si="1588"/>
        <v>46225</v>
      </c>
      <c r="JX239" s="56"/>
      <c r="JY239" s="242">
        <f>SUMPRODUCT(PRODUCE!$B242:$DY242,PRODUCE!$EB$38:$IY$38)</f>
        <v>0</v>
      </c>
      <c r="JZ239" s="56"/>
      <c r="KA239" s="242">
        <f t="shared" si="1589"/>
        <v>0</v>
      </c>
      <c r="KB239" s="242">
        <f t="shared" si="1590"/>
        <v>2540</v>
      </c>
      <c r="KC239" s="56"/>
      <c r="KF239" s="55">
        <f t="shared" si="1591"/>
        <v>46225</v>
      </c>
      <c r="KG239" s="56"/>
      <c r="KH239" s="242">
        <f>SUMPRODUCT(PRODUCE!$B242:$DY242,PRODUCE!$EB$39:$IY$39)</f>
        <v>0</v>
      </c>
      <c r="KI239" s="56"/>
      <c r="KJ239" s="242">
        <f t="shared" si="1592"/>
        <v>0</v>
      </c>
      <c r="KK239" s="242">
        <f t="shared" si="1593"/>
        <v>2359.5</v>
      </c>
      <c r="KL239" s="56"/>
      <c r="KO239" s="55">
        <f t="shared" si="1594"/>
        <v>46225</v>
      </c>
      <c r="KP239" s="56"/>
      <c r="KQ239" s="242">
        <f>SUMPRODUCT(PRODUCE!$B242:$DY242,PRODUCE!$EB$40:$IY$40)</f>
        <v>0</v>
      </c>
      <c r="KR239" s="56"/>
      <c r="KS239" s="242">
        <f t="shared" si="1595"/>
        <v>0</v>
      </c>
      <c r="KT239" s="242">
        <f t="shared" si="1596"/>
        <v>1890</v>
      </c>
      <c r="KU239" s="56"/>
      <c r="KW239" s="23"/>
      <c r="KX239" s="55">
        <f t="shared" si="1597"/>
        <v>46225</v>
      </c>
      <c r="KY239" s="56"/>
      <c r="KZ239" s="242">
        <f>SUMPRODUCT(PRODUCE!$B242:$DY242,PRODUCE!$EB$41:$IY$41)</f>
        <v>0</v>
      </c>
      <c r="LA239" s="56"/>
      <c r="LB239" s="242">
        <f t="shared" si="1598"/>
        <v>0</v>
      </c>
      <c r="LC239" s="242">
        <f t="shared" si="1599"/>
        <v>3690</v>
      </c>
      <c r="LD239" s="56"/>
      <c r="LG239" s="55">
        <f t="shared" si="1600"/>
        <v>46225</v>
      </c>
      <c r="LH239" s="56"/>
      <c r="LI239" s="242">
        <f>SUMPRODUCT(PRODUCE!$B242:$DY242,PRODUCE!$EB$42:$IY$42)</f>
        <v>0</v>
      </c>
      <c r="LJ239" s="56"/>
      <c r="LK239" s="242">
        <f t="shared" si="1601"/>
        <v>0</v>
      </c>
      <c r="LL239" s="242">
        <f t="shared" si="1602"/>
        <v>4000</v>
      </c>
      <c r="LM239" s="56"/>
      <c r="LP239" s="55">
        <f t="shared" si="1603"/>
        <v>46225</v>
      </c>
      <c r="LQ239" s="56"/>
      <c r="LR239" s="242">
        <f>SUMPRODUCT(PRODUCE!$B242:$DY242,PRODUCE!$EB$43:$IY$43)</f>
        <v>0</v>
      </c>
      <c r="LS239" s="56"/>
      <c r="LT239" s="242">
        <f t="shared" si="1604"/>
        <v>0</v>
      </c>
      <c r="LU239" s="242">
        <f t="shared" si="1605"/>
        <v>0</v>
      </c>
      <c r="LV239" s="56"/>
      <c r="LY239" s="55">
        <f t="shared" si="1606"/>
        <v>46225</v>
      </c>
      <c r="LZ239" s="56"/>
      <c r="MA239" s="242">
        <f>SUMPRODUCT(PRODUCE!$B242:$DY242,PRODUCE!$EB$44:$IY$44)</f>
        <v>0</v>
      </c>
      <c r="MB239" s="56"/>
      <c r="MC239" s="242">
        <f t="shared" si="1607"/>
        <v>0</v>
      </c>
      <c r="MD239" s="242">
        <f t="shared" si="1608"/>
        <v>0</v>
      </c>
      <c r="ME239" s="56"/>
      <c r="MH239" s="55">
        <f t="shared" si="1609"/>
        <v>46225</v>
      </c>
      <c r="MI239" s="56"/>
      <c r="MJ239" s="242">
        <f>SUMPRODUCT(PRODUCE!$B242:$DY242,PRODUCE!$EB$45:$IY$45)</f>
        <v>0</v>
      </c>
      <c r="MK239" s="56"/>
      <c r="ML239" s="242">
        <f t="shared" si="1610"/>
        <v>0</v>
      </c>
      <c r="MM239" s="242">
        <f t="shared" si="1611"/>
        <v>0</v>
      </c>
      <c r="MN239" s="56"/>
      <c r="MQ239" s="55">
        <f t="shared" si="1612"/>
        <v>46225</v>
      </c>
      <c r="MR239" s="56"/>
      <c r="MS239" s="242">
        <f>SUMPRODUCT(PRODUCE!$B242:$DY242,PRODUCE!$EB$46:$IY$46)</f>
        <v>0</v>
      </c>
      <c r="MT239" s="56"/>
      <c r="MU239" s="242">
        <f t="shared" si="1613"/>
        <v>0</v>
      </c>
      <c r="MV239" s="242">
        <f t="shared" si="1614"/>
        <v>2540</v>
      </c>
      <c r="MW239" s="56"/>
      <c r="MZ239" s="55">
        <f t="shared" si="1615"/>
        <v>46225</v>
      </c>
      <c r="NA239" s="56"/>
      <c r="NB239" s="242">
        <f>SUMPRODUCT(PRODUCE!$B242:$DY242,PRODUCE!$EB$47:$IY$47)</f>
        <v>0</v>
      </c>
      <c r="NC239" s="56"/>
      <c r="ND239" s="242">
        <f t="shared" si="1616"/>
        <v>0</v>
      </c>
      <c r="NE239" s="242">
        <f t="shared" si="1617"/>
        <v>0</v>
      </c>
      <c r="NF239" s="56"/>
      <c r="NI239" s="55">
        <f t="shared" si="1618"/>
        <v>46225</v>
      </c>
      <c r="NJ239" s="56"/>
      <c r="NK239" s="242">
        <f>SUMPRODUCT(PRODUCE!$B242:$DY242,PRODUCE!$EB$48:$IY$48)</f>
        <v>0</v>
      </c>
      <c r="NL239" s="56"/>
      <c r="NM239" s="242">
        <f t="shared" si="1619"/>
        <v>0</v>
      </c>
      <c r="NN239" s="242">
        <f t="shared" si="1620"/>
        <v>1127</v>
      </c>
      <c r="NO239" s="56"/>
      <c r="NR239" s="55">
        <f t="shared" si="1621"/>
        <v>46225</v>
      </c>
      <c r="NS239" s="56"/>
      <c r="NT239" s="242">
        <f>SUMPRODUCT(PRODUCE!$B242:$DY242,PRODUCE!$EB$49:$IY$49)</f>
        <v>0</v>
      </c>
      <c r="NU239" s="56"/>
      <c r="NV239" s="242">
        <f t="shared" si="1622"/>
        <v>0</v>
      </c>
      <c r="NW239" s="242">
        <f t="shared" si="1623"/>
        <v>3111.9999999999995</v>
      </c>
      <c r="NX239" s="56"/>
      <c r="OA239" s="55">
        <f t="shared" si="1624"/>
        <v>46225</v>
      </c>
      <c r="OB239" s="56"/>
      <c r="OC239" s="242">
        <f>SUMPRODUCT(PRODUCE!$B242:$DY242,PRODUCE!$EB$50:$IY$50)</f>
        <v>0</v>
      </c>
      <c r="OD239" s="56"/>
      <c r="OE239" s="242">
        <f t="shared" si="1625"/>
        <v>0</v>
      </c>
      <c r="OF239" s="242">
        <f t="shared" si="1626"/>
        <v>1680.5</v>
      </c>
      <c r="OG239" s="56"/>
      <c r="OJ239" s="55">
        <f t="shared" si="1627"/>
        <v>46225</v>
      </c>
      <c r="OK239" s="56"/>
      <c r="OL239" s="242">
        <f>SUMPRODUCT(PRODUCE!$B242:$DY242,PRODUCE!$EB$51:$IY$51)</f>
        <v>0</v>
      </c>
      <c r="OM239" s="56"/>
      <c r="ON239" s="242">
        <f t="shared" si="1628"/>
        <v>0</v>
      </c>
      <c r="OO239" s="242">
        <f t="shared" si="1629"/>
        <v>0</v>
      </c>
      <c r="OP239" s="56"/>
      <c r="OS239" s="55">
        <f t="shared" si="1630"/>
        <v>46225</v>
      </c>
      <c r="OT239" s="56"/>
      <c r="OU239" s="242">
        <f>SUMPRODUCT(PRODUCE!$B242:$DY242,PRODUCE!$EB$52:$IY$52)</f>
        <v>0</v>
      </c>
      <c r="OV239" s="56"/>
      <c r="OW239" s="242">
        <f t="shared" si="1631"/>
        <v>0</v>
      </c>
      <c r="OX239" s="242">
        <f t="shared" si="1632"/>
        <v>1482</v>
      </c>
      <c r="OY239" s="56"/>
      <c r="PB239" s="55">
        <f t="shared" si="1633"/>
        <v>46225</v>
      </c>
      <c r="PC239" s="56"/>
      <c r="PD239" s="242">
        <f>SUMPRODUCT(PRODUCE!$B242:$DY242,PRODUCE!$EB$53:$IY$53)</f>
        <v>0</v>
      </c>
      <c r="PE239" s="56"/>
      <c r="PF239" s="242">
        <f t="shared" si="1634"/>
        <v>0</v>
      </c>
      <c r="PG239" s="242">
        <f t="shared" si="1635"/>
        <v>0</v>
      </c>
      <c r="PH239" s="56"/>
      <c r="PK239" s="55">
        <f t="shared" si="1636"/>
        <v>46225</v>
      </c>
      <c r="PL239" s="56"/>
      <c r="PM239" s="242">
        <f>SUMPRODUCT(PRODUCE!$B242:$DY242,PRODUCE!$EB$54:$IY$54)</f>
        <v>0</v>
      </c>
      <c r="PN239" s="56"/>
      <c r="PO239" s="242">
        <f t="shared" si="1637"/>
        <v>0</v>
      </c>
      <c r="PP239" s="242">
        <f t="shared" si="1638"/>
        <v>100</v>
      </c>
      <c r="PQ239" s="56"/>
      <c r="PT239" s="55">
        <f t="shared" si="1639"/>
        <v>46225</v>
      </c>
      <c r="PU239" s="56"/>
      <c r="PV239" s="242">
        <f>SUMPRODUCT(PRODUCE!$B242:$DY242,PRODUCE!$EB$55:$IY$55)</f>
        <v>0</v>
      </c>
      <c r="PW239" s="56"/>
      <c r="PX239" s="242">
        <f t="shared" si="1640"/>
        <v>0</v>
      </c>
      <c r="PY239" s="242">
        <f t="shared" si="1641"/>
        <v>13.960000000000036</v>
      </c>
      <c r="PZ239" s="56"/>
      <c r="QC239" s="55">
        <f t="shared" si="1642"/>
        <v>46225</v>
      </c>
      <c r="QD239" s="56"/>
      <c r="QE239" s="242">
        <f>SUMPRODUCT(PRODUCE!$B242:$DY242,PRODUCE!$EB$56:$IY$56)</f>
        <v>0</v>
      </c>
      <c r="QF239" s="56"/>
      <c r="QG239" s="242">
        <f t="shared" si="1643"/>
        <v>0</v>
      </c>
      <c r="QH239" s="242">
        <f t="shared" si="1644"/>
        <v>1688</v>
      </c>
      <c r="QI239" s="56"/>
      <c r="QL239" s="55">
        <f t="shared" si="1645"/>
        <v>46225</v>
      </c>
      <c r="QM239" s="56"/>
      <c r="QN239" s="242">
        <f>SUMPRODUCT(PRODUCE!$B242:$DY242,PRODUCE!$EB$57:$IY$57)</f>
        <v>0</v>
      </c>
      <c r="QO239" s="56"/>
      <c r="QP239" s="242">
        <f t="shared" si="1646"/>
        <v>0</v>
      </c>
      <c r="QQ239" s="242">
        <f t="shared" si="1647"/>
        <v>0</v>
      </c>
      <c r="QR239" s="56"/>
      <c r="QU239" s="55">
        <f t="shared" si="1648"/>
        <v>46225</v>
      </c>
      <c r="QV239" s="56"/>
      <c r="QW239" s="242">
        <f>SUMPRODUCT(PRODUCE!$B242:$DY242,PRODUCE!$EB$58:$IY$58)</f>
        <v>0</v>
      </c>
      <c r="QX239" s="56"/>
      <c r="QY239" s="242">
        <f t="shared" si="1649"/>
        <v>0</v>
      </c>
      <c r="QZ239" s="242">
        <f t="shared" si="1650"/>
        <v>207.6</v>
      </c>
      <c r="RA239" s="56"/>
      <c r="RD239" s="55">
        <f t="shared" si="1651"/>
        <v>46225</v>
      </c>
      <c r="RE239" s="56"/>
      <c r="RF239" s="242">
        <f>SUMPRODUCT(PRODUCE!$B242:$DY242,PRODUCE!$EB$59:$IY$59)</f>
        <v>0</v>
      </c>
      <c r="RG239" s="56"/>
      <c r="RH239" s="242">
        <f t="shared" si="1652"/>
        <v>0</v>
      </c>
      <c r="RI239" s="242">
        <f t="shared" si="1653"/>
        <v>147.04000000000002</v>
      </c>
      <c r="RJ239" s="56"/>
      <c r="RM239" s="55">
        <f t="shared" si="1654"/>
        <v>46225</v>
      </c>
      <c r="RN239" s="56"/>
      <c r="RO239" s="242">
        <f>SUMPRODUCT(PRODUCE!$B242:$DY242,PRODUCE!$EB$60:$IY$60)</f>
        <v>0</v>
      </c>
      <c r="RP239" s="56"/>
      <c r="RQ239" s="242">
        <f t="shared" si="1655"/>
        <v>0</v>
      </c>
      <c r="RR239" s="242">
        <f t="shared" si="1656"/>
        <v>46.8</v>
      </c>
      <c r="RS239" s="56"/>
      <c r="RV239" s="55">
        <f t="shared" si="1657"/>
        <v>46225</v>
      </c>
      <c r="RW239" s="56"/>
      <c r="RX239" s="242">
        <f>SUMPRODUCT(PRODUCE!$B242:$DY242,PRODUCE!$EB$61:$IY$61)</f>
        <v>0</v>
      </c>
      <c r="RY239" s="56"/>
      <c r="RZ239" s="242">
        <f t="shared" si="1658"/>
        <v>0</v>
      </c>
      <c r="SA239" s="242">
        <f t="shared" si="1659"/>
        <v>0</v>
      </c>
      <c r="SB239" s="56"/>
      <c r="SE239" s="55">
        <f t="shared" si="1660"/>
        <v>46225</v>
      </c>
      <c r="SF239" s="56"/>
      <c r="SG239" s="242">
        <f>SUMPRODUCT(PRODUCE!$B242:$DY242,PRODUCE!$EB$62:$IY$62)</f>
        <v>0</v>
      </c>
      <c r="SH239" s="56"/>
      <c r="SI239" s="242">
        <f t="shared" si="1661"/>
        <v>0</v>
      </c>
      <c r="SJ239" s="242">
        <f t="shared" si="1662"/>
        <v>24.200000000000003</v>
      </c>
      <c r="SK239" s="56"/>
      <c r="SN239" s="55">
        <f t="shared" si="1663"/>
        <v>46225</v>
      </c>
      <c r="SO239" s="56"/>
      <c r="SP239" s="242">
        <f>SUMPRODUCT(PRODUCE!$B242:$DY242,PRODUCE!$EB$63:$IY$63)</f>
        <v>0</v>
      </c>
      <c r="SQ239" s="56"/>
      <c r="SR239" s="242">
        <f t="shared" si="1664"/>
        <v>0</v>
      </c>
      <c r="SS239" s="242">
        <f t="shared" si="1665"/>
        <v>32</v>
      </c>
      <c r="ST239" s="56"/>
      <c r="SW239" s="55">
        <f t="shared" si="1666"/>
        <v>46225</v>
      </c>
      <c r="SX239" s="56"/>
      <c r="SY239" s="242">
        <f>SUMPRODUCT(PRODUCE!$B242:$DY242,PRODUCE!$EB$64:$IY$64)</f>
        <v>0</v>
      </c>
      <c r="SZ239" s="56"/>
      <c r="TA239" s="242">
        <f t="shared" si="1667"/>
        <v>0</v>
      </c>
      <c r="TB239" s="242">
        <f t="shared" si="1668"/>
        <v>0</v>
      </c>
      <c r="TC239" s="56"/>
      <c r="TF239" s="55">
        <f t="shared" si="1669"/>
        <v>46225</v>
      </c>
      <c r="TG239" s="56"/>
      <c r="TH239" s="242">
        <f>SUMPRODUCT(PRODUCE!$B242:$DY242,PRODUCE!$EB$57:$IY$57)</f>
        <v>0</v>
      </c>
      <c r="TI239" s="56"/>
      <c r="TJ239" s="242">
        <f t="shared" si="1670"/>
        <v>0</v>
      </c>
      <c r="TK239" s="242">
        <f t="shared" si="1671"/>
        <v>0</v>
      </c>
      <c r="TL239" s="56"/>
      <c r="TO239" s="55">
        <f t="shared" si="1672"/>
        <v>46225</v>
      </c>
      <c r="TP239" s="56"/>
      <c r="TQ239" s="242">
        <f>SUMPRODUCT(PRODUCE!$B242:$DY242,PRODUCE!$EB$57:$IY$57)</f>
        <v>0</v>
      </c>
      <c r="TR239" s="56"/>
      <c r="TS239" s="242">
        <f t="shared" si="1673"/>
        <v>0</v>
      </c>
      <c r="TT239" s="242">
        <f t="shared" si="1674"/>
        <v>22.400000000000006</v>
      </c>
      <c r="TU239" s="56"/>
      <c r="TX239" s="55">
        <f t="shared" si="1675"/>
        <v>46225</v>
      </c>
      <c r="TY239" s="56"/>
      <c r="TZ239" s="242">
        <f>SUMPRODUCT(PRODUCE!$B242:$DY242,PRODUCE!$EB$57:$IY$57)</f>
        <v>0</v>
      </c>
      <c r="UA239" s="56"/>
      <c r="UB239" s="242">
        <f t="shared" si="1676"/>
        <v>0</v>
      </c>
      <c r="UC239" s="242">
        <f t="shared" si="1677"/>
        <v>46.799999999999983</v>
      </c>
      <c r="UD239" s="56"/>
      <c r="UG239" s="55">
        <f t="shared" si="1678"/>
        <v>46225</v>
      </c>
      <c r="UH239" s="56"/>
      <c r="UI239" s="242">
        <f>SUMPRODUCT(PRODUCE!$B242:$DY242,PRODUCE!$EB$57:$IY$57)</f>
        <v>0</v>
      </c>
      <c r="UJ239" s="56"/>
      <c r="UK239" s="242">
        <f t="shared" si="1679"/>
        <v>0</v>
      </c>
      <c r="UL239" s="242">
        <f t="shared" si="1680"/>
        <v>204</v>
      </c>
      <c r="UM239" s="56"/>
      <c r="UP239" s="55">
        <f t="shared" si="1681"/>
        <v>46225</v>
      </c>
      <c r="UQ239" s="56"/>
      <c r="UR239" s="242">
        <f>SUMPRODUCT(PRODUCE!$B242:$DY242,PRODUCE!$EB$69:$IY$69)</f>
        <v>0</v>
      </c>
      <c r="US239" s="56">
        <v>40</v>
      </c>
      <c r="UT239" s="242">
        <f t="shared" si="1682"/>
        <v>-40</v>
      </c>
      <c r="UU239" s="242">
        <f t="shared" si="1683"/>
        <v>202.5</v>
      </c>
      <c r="UV239" s="56"/>
      <c r="UY239" s="55">
        <f t="shared" si="1684"/>
        <v>46225</v>
      </c>
      <c r="UZ239" s="56"/>
      <c r="VA239" s="242">
        <f>SUMPRODUCT(PRODUCE!$B242:$DY242,PRODUCE!$EB$70:$IY$70)</f>
        <v>0</v>
      </c>
      <c r="VB239" s="56"/>
      <c r="VC239" s="242">
        <f t="shared" si="1685"/>
        <v>0</v>
      </c>
      <c r="VD239" s="242">
        <f t="shared" si="1686"/>
        <v>41.600000000000023</v>
      </c>
      <c r="VE239" s="56"/>
      <c r="VH239" s="55">
        <f t="shared" si="1687"/>
        <v>46225</v>
      </c>
      <c r="VI239" s="56"/>
      <c r="VJ239" s="242">
        <f>SUMPRODUCT(PRODUCE!$B242:$DY242,PRODUCE!$EB$71:$IY$71)</f>
        <v>0</v>
      </c>
      <c r="VK239" s="56"/>
      <c r="VL239" s="242">
        <f t="shared" si="1688"/>
        <v>0</v>
      </c>
      <c r="VM239" s="242">
        <f t="shared" si="1689"/>
        <v>210</v>
      </c>
      <c r="VN239" s="56"/>
      <c r="VQ239" s="55">
        <f t="shared" si="1690"/>
        <v>46225</v>
      </c>
      <c r="VR239" s="56"/>
      <c r="VS239" s="242">
        <f>SUMPRODUCT(PRODUCE!$B242:$DY242,PRODUCE!$EB$57:$IY$57)</f>
        <v>0</v>
      </c>
      <c r="VT239" s="56"/>
      <c r="VU239" s="242">
        <f t="shared" si="1691"/>
        <v>0</v>
      </c>
      <c r="VV239" s="242">
        <f t="shared" si="1692"/>
        <v>0</v>
      </c>
      <c r="VW239" s="56"/>
      <c r="VZ239" s="55">
        <f t="shared" si="1693"/>
        <v>46225</v>
      </c>
      <c r="WA239" s="56"/>
      <c r="WB239" s="242">
        <f>SUMPRODUCT(PRODUCE!$B242:$DY242,PRODUCE!$EB$57:$IY$57)</f>
        <v>0</v>
      </c>
      <c r="WC239" s="56"/>
      <c r="WD239" s="242">
        <f t="shared" si="1694"/>
        <v>0</v>
      </c>
      <c r="WE239" s="242">
        <f t="shared" si="1695"/>
        <v>0</v>
      </c>
      <c r="WF239" s="56"/>
      <c r="WI239" s="55">
        <f t="shared" si="1696"/>
        <v>46225</v>
      </c>
      <c r="WJ239" s="56"/>
      <c r="WK239" s="242">
        <f>SUMPRODUCT(PRODUCE!$B242:$DY242,PRODUCE!$EB$57:$IY$57)</f>
        <v>0</v>
      </c>
      <c r="WL239" s="56"/>
      <c r="WM239" s="242">
        <f t="shared" si="1697"/>
        <v>0</v>
      </c>
      <c r="WN239" s="242">
        <f t="shared" si="1698"/>
        <v>1057</v>
      </c>
      <c r="WO239" s="56"/>
      <c r="WR239" s="55">
        <f t="shared" si="1699"/>
        <v>46225</v>
      </c>
      <c r="WS239" s="56"/>
      <c r="WT239" s="242">
        <f>SUMPRODUCT(PRODUCE!$B242:$DY242,PRODUCE!$EB$57:$IY$57)</f>
        <v>0</v>
      </c>
      <c r="WU239" s="56"/>
      <c r="WV239" s="242">
        <f t="shared" si="1700"/>
        <v>0</v>
      </c>
      <c r="WW239" s="242">
        <f t="shared" si="1701"/>
        <v>0</v>
      </c>
      <c r="WX239" s="56"/>
      <c r="XA239" s="55">
        <f t="shared" si="1702"/>
        <v>46225</v>
      </c>
      <c r="XB239" s="56"/>
      <c r="XC239" s="242">
        <f>SUMPRODUCT(PRODUCE!$B242:$DY242,PRODUCE!$EB$57:$IY$57)</f>
        <v>0</v>
      </c>
      <c r="XD239" s="56"/>
      <c r="XE239" s="242">
        <f t="shared" si="1703"/>
        <v>0</v>
      </c>
      <c r="XF239" s="242">
        <f t="shared" si="1704"/>
        <v>7507</v>
      </c>
      <c r="XG239" s="56"/>
      <c r="XJ239" s="55">
        <f t="shared" si="1705"/>
        <v>46225</v>
      </c>
      <c r="XK239" s="56"/>
      <c r="XL239" s="242">
        <f>SUMPRODUCT(PRODUCE!$B242:$DY242,PRODUCE!$EB$57:$IY$57)</f>
        <v>0</v>
      </c>
      <c r="XM239" s="56"/>
      <c r="XN239" s="242">
        <f t="shared" si="1706"/>
        <v>0</v>
      </c>
      <c r="XO239" s="242">
        <f t="shared" si="1707"/>
        <v>4252</v>
      </c>
      <c r="XP239" s="56"/>
      <c r="XS239" s="55">
        <f t="shared" si="1708"/>
        <v>46225</v>
      </c>
      <c r="XT239" s="56"/>
      <c r="XU239" s="242">
        <f>SUMPRODUCT(PRODUCE!$B242:$DY242,PRODUCE!$EB$57:$IY$57)</f>
        <v>0</v>
      </c>
      <c r="XV239" s="56"/>
      <c r="XW239" s="242">
        <f t="shared" si="1709"/>
        <v>0</v>
      </c>
      <c r="XX239" s="242">
        <f t="shared" si="1710"/>
        <v>2179</v>
      </c>
      <c r="XY239" s="56"/>
      <c r="YB239" s="55">
        <f t="shared" si="1711"/>
        <v>46225</v>
      </c>
      <c r="YC239" s="56"/>
      <c r="YD239" s="242">
        <f>SUMPRODUCT(PRODUCE!$B242:$DY242,PRODUCE!$EB$57:$IY$57)</f>
        <v>0</v>
      </c>
      <c r="YE239" s="56"/>
      <c r="YF239" s="242">
        <f t="shared" si="1712"/>
        <v>0</v>
      </c>
      <c r="YG239" s="242">
        <f t="shared" si="1713"/>
        <v>4019</v>
      </c>
      <c r="YH239" s="56"/>
      <c r="YK239" s="55">
        <f t="shared" si="1714"/>
        <v>46225</v>
      </c>
      <c r="YL239" s="56"/>
      <c r="YM239" s="242">
        <f>SUMPRODUCT(PRODUCE!$B242:$DY242,PRODUCE!$EB$57:$IY$57)</f>
        <v>0</v>
      </c>
      <c r="YN239" s="56"/>
      <c r="YO239" s="242">
        <f t="shared" si="1715"/>
        <v>0</v>
      </c>
      <c r="YP239" s="242">
        <f t="shared" si="1716"/>
        <v>0</v>
      </c>
      <c r="YQ239" s="56"/>
      <c r="YT239" s="55">
        <f t="shared" si="1717"/>
        <v>46225</v>
      </c>
      <c r="YU239" s="56"/>
      <c r="YV239" s="242">
        <f>SUMPRODUCT(PRODUCE!$B242:$DY242,PRODUCE!$EB$57:$IY$57)</f>
        <v>0</v>
      </c>
      <c r="YW239" s="56"/>
      <c r="YX239" s="242">
        <f t="shared" si="1718"/>
        <v>0</v>
      </c>
      <c r="YY239" s="242">
        <f t="shared" si="1719"/>
        <v>0</v>
      </c>
      <c r="YZ239" s="56"/>
      <c r="ZC239" s="55">
        <f t="shared" si="1720"/>
        <v>46225</v>
      </c>
      <c r="ZD239" s="56"/>
      <c r="ZE239" s="242">
        <f>SUMPRODUCT(PRODUCE!$B242:$DY242,PRODUCE!$EB$57:$IY$57)</f>
        <v>0</v>
      </c>
      <c r="ZF239" s="56"/>
      <c r="ZG239" s="242">
        <f t="shared" si="1721"/>
        <v>0</v>
      </c>
      <c r="ZH239" s="242">
        <f t="shared" si="1722"/>
        <v>0</v>
      </c>
      <c r="ZI239" s="56"/>
      <c r="ZL239" s="55">
        <f t="shared" si="1723"/>
        <v>46225</v>
      </c>
      <c r="ZM239" s="56"/>
      <c r="ZN239" s="242">
        <f>SUMPRODUCT(PRODUCE!$B242:$DY242,PRODUCE!$EB$57:$IY$57)</f>
        <v>0</v>
      </c>
      <c r="ZO239" s="56"/>
      <c r="ZP239" s="242">
        <f t="shared" si="1724"/>
        <v>0</v>
      </c>
      <c r="ZQ239" s="242">
        <f t="shared" si="1725"/>
        <v>0</v>
      </c>
      <c r="ZR239" s="56"/>
      <c r="ZU239" s="55">
        <f t="shared" si="1726"/>
        <v>46225</v>
      </c>
      <c r="ZV239" s="56"/>
      <c r="ZW239" s="242">
        <f>SUMPRODUCT(PRODUCE!$B242:$DY242,PRODUCE!$EB$57:$IY$57)</f>
        <v>0</v>
      </c>
      <c r="ZX239" s="56"/>
      <c r="ZY239" s="242">
        <f t="shared" si="1727"/>
        <v>0</v>
      </c>
      <c r="ZZ239" s="242">
        <f t="shared" si="1728"/>
        <v>0</v>
      </c>
      <c r="AAA239" s="56"/>
      <c r="AAD239" s="55">
        <f t="shared" si="1729"/>
        <v>46225</v>
      </c>
      <c r="AAE239" s="56"/>
      <c r="AAF239" s="242">
        <f>SUMPRODUCT(PRODUCE!$B242:$DY242,PRODUCE!$EB$57:$IY$57)</f>
        <v>0</v>
      </c>
      <c r="AAG239" s="56"/>
      <c r="AAH239" s="242">
        <f t="shared" si="1730"/>
        <v>0</v>
      </c>
      <c r="AAI239" s="242">
        <f t="shared" si="1731"/>
        <v>0</v>
      </c>
      <c r="AAJ239" s="56"/>
      <c r="AAM239" s="55">
        <f t="shared" si="1732"/>
        <v>46225</v>
      </c>
      <c r="AAN239" s="56"/>
      <c r="AAO239" s="242">
        <f>SUMPRODUCT(PRODUCE!$B242:$DY242,PRODUCE!$EB$57:$IY$57)</f>
        <v>0</v>
      </c>
      <c r="AAP239" s="56"/>
      <c r="AAQ239" s="242">
        <f t="shared" si="1733"/>
        <v>0</v>
      </c>
      <c r="AAR239" s="242">
        <f t="shared" si="1734"/>
        <v>0</v>
      </c>
      <c r="AAS239" s="56"/>
      <c r="AAV239" s="55">
        <f t="shared" si="1735"/>
        <v>46225</v>
      </c>
      <c r="AAW239" s="56"/>
      <c r="AAX239" s="242">
        <f>SUMPRODUCT(PRODUCE!$B242:$DY242,PRODUCE!$EB$57:$IY$57)</f>
        <v>0</v>
      </c>
      <c r="AAY239" s="56"/>
      <c r="AAZ239" s="242">
        <f t="shared" si="1736"/>
        <v>0</v>
      </c>
      <c r="ABA239" s="242">
        <f t="shared" si="1737"/>
        <v>0</v>
      </c>
      <c r="ABB239" s="56"/>
      <c r="ABE239" s="55">
        <f t="shared" si="1738"/>
        <v>46225</v>
      </c>
      <c r="ABF239" s="56"/>
      <c r="ABG239" s="242">
        <f>SUMPRODUCT(PRODUCE!$B242:$DY242,PRODUCE!$EB$57:$IY$57)</f>
        <v>0</v>
      </c>
      <c r="ABH239" s="56"/>
      <c r="ABI239" s="242">
        <f t="shared" si="1739"/>
        <v>0</v>
      </c>
      <c r="ABJ239" s="242">
        <f t="shared" si="1740"/>
        <v>0</v>
      </c>
      <c r="ABK239" s="56"/>
    </row>
    <row r="240" spans="2:739" s="54" customFormat="1" ht="15" customHeight="1" outlineLevel="1">
      <c r="B240" s="478"/>
      <c r="C240" s="55">
        <v>46226</v>
      </c>
      <c r="D240" s="422">
        <v>65450</v>
      </c>
      <c r="E240" s="423">
        <f>SUMPRODUCT(PRODUCE!$B243:$DY243,PRODUCE!$EB$7:$IY$7)</f>
        <v>16691.400000000001</v>
      </c>
      <c r="F240" s="422">
        <v>16658.599999999999</v>
      </c>
      <c r="G240" s="423">
        <f t="shared" si="1496"/>
        <v>32.80000000000291</v>
      </c>
      <c r="H240" s="423">
        <f t="shared" si="1497"/>
        <v>222717.80000000002</v>
      </c>
      <c r="I240" s="289"/>
      <c r="L240" s="55">
        <f t="shared" si="1498"/>
        <v>46226</v>
      </c>
      <c r="M240" s="422">
        <v>24650</v>
      </c>
      <c r="N240" s="438">
        <f>SUMPRODUCT(PRODUCE!$B243:$DY243,PRODUCE!$EB$8:$IY$8)</f>
        <v>9516</v>
      </c>
      <c r="O240" s="422">
        <v>9515.7999999999993</v>
      </c>
      <c r="P240" s="438">
        <f t="shared" si="1499"/>
        <v>0.2000000000007276</v>
      </c>
      <c r="Q240" s="438">
        <f t="shared" si="1500"/>
        <v>13899.20000000007</v>
      </c>
      <c r="R240" s="56"/>
      <c r="U240" s="55">
        <f t="shared" si="1501"/>
        <v>46226</v>
      </c>
      <c r="V240" s="422"/>
      <c r="W240" s="440">
        <f>SUMPRODUCT(PRODUCE!$B243:$DY243,PRODUCE!$EB$9:$IY$9)</f>
        <v>1500</v>
      </c>
      <c r="X240" s="422">
        <v>1499.7</v>
      </c>
      <c r="Y240" s="440">
        <f t="shared" si="1502"/>
        <v>0.29999999999995453</v>
      </c>
      <c r="Z240" s="440">
        <f t="shared" si="1503"/>
        <v>37077.399999999972</v>
      </c>
      <c r="AA240" s="56"/>
      <c r="AD240" s="55">
        <f t="shared" si="1504"/>
        <v>46226</v>
      </c>
      <c r="AE240" s="422"/>
      <c r="AF240" s="442">
        <f>SUMPRODUCT(PRODUCE!$B243:$DY243,PRODUCE!$EB$10:$IY$10)</f>
        <v>0</v>
      </c>
      <c r="AG240" s="422"/>
      <c r="AH240" s="442">
        <f t="shared" si="1505"/>
        <v>0</v>
      </c>
      <c r="AI240" s="442">
        <f t="shared" si="1506"/>
        <v>31872.200000000019</v>
      </c>
      <c r="AJ240" s="56"/>
      <c r="AM240" s="55">
        <f t="shared" si="1507"/>
        <v>46226</v>
      </c>
      <c r="AN240" s="422"/>
      <c r="AO240" s="444">
        <f>SUMPRODUCT(PRODUCE!$B243:$DY243,PRODUCE!$EB$11:$IY$11)</f>
        <v>0</v>
      </c>
      <c r="AP240" s="422"/>
      <c r="AQ240" s="444">
        <f t="shared" si="1508"/>
        <v>0</v>
      </c>
      <c r="AR240" s="444">
        <f t="shared" si="1509"/>
        <v>0</v>
      </c>
      <c r="AS240" s="56"/>
      <c r="AV240" s="55">
        <f t="shared" si="1510"/>
        <v>46226</v>
      </c>
      <c r="AW240" s="422"/>
      <c r="AX240" s="446">
        <f>SUMPRODUCT(PRODUCE!$B243:$DY243,PRODUCE!$EB$12:$IY$12)</f>
        <v>0</v>
      </c>
      <c r="AY240" s="422"/>
      <c r="AZ240" s="446">
        <f t="shared" si="1511"/>
        <v>0</v>
      </c>
      <c r="BA240" s="446">
        <f t="shared" si="1512"/>
        <v>726.59999999999525</v>
      </c>
      <c r="BB240" s="56"/>
      <c r="BE240" s="55">
        <f t="shared" si="1513"/>
        <v>46226</v>
      </c>
      <c r="BF240" s="422"/>
      <c r="BG240" s="448">
        <f>SUMPRODUCT(PRODUCE!$B243:$DY243,PRODUCE!$EB$13:$IY$13)</f>
        <v>585</v>
      </c>
      <c r="BH240" s="422">
        <v>584.79999999999995</v>
      </c>
      <c r="BI240" s="448">
        <f t="shared" si="1514"/>
        <v>0.20000000000004547</v>
      </c>
      <c r="BJ240" s="448">
        <f t="shared" si="1515"/>
        <v>28588.299999999996</v>
      </c>
      <c r="BK240" s="56"/>
      <c r="BN240" s="55">
        <f t="shared" si="1516"/>
        <v>46226</v>
      </c>
      <c r="BO240" s="422">
        <v>705</v>
      </c>
      <c r="BP240" s="450">
        <f>SUMPRODUCT(PRODUCE!$B243:$DY243,PRODUCE!$EB$14:$IY$14)</f>
        <v>705</v>
      </c>
      <c r="BQ240" s="422">
        <v>705</v>
      </c>
      <c r="BR240" s="450">
        <f t="shared" si="1517"/>
        <v>0</v>
      </c>
      <c r="BS240" s="450">
        <f t="shared" si="1518"/>
        <v>0</v>
      </c>
      <c r="BT240" s="56"/>
      <c r="BW240" s="55">
        <f t="shared" si="1519"/>
        <v>46226</v>
      </c>
      <c r="BX240" s="422"/>
      <c r="BY240" s="523">
        <f>SUMPRODUCT(PRODUCE!$B243:$DY243,PRODUCE!$EB$15:$IY$15)</f>
        <v>0</v>
      </c>
      <c r="BZ240" s="422"/>
      <c r="CA240" s="523">
        <f t="shared" si="1520"/>
        <v>0</v>
      </c>
      <c r="CB240" s="523">
        <f t="shared" si="1521"/>
        <v>5937.3599999999988</v>
      </c>
      <c r="CC240" s="56"/>
      <c r="CF240" s="55">
        <f t="shared" si="1522"/>
        <v>46226</v>
      </c>
      <c r="CG240" s="422"/>
      <c r="CH240" s="524">
        <f>SUMPRODUCT(PRODUCE!$B243:$DY243,PRODUCE!$EB$16:$IY$16)</f>
        <v>192.6</v>
      </c>
      <c r="CI240" s="422"/>
      <c r="CJ240" s="524">
        <f t="shared" si="1523"/>
        <v>192.6</v>
      </c>
      <c r="CK240" s="524">
        <f t="shared" si="1524"/>
        <v>-8101.3599999999988</v>
      </c>
      <c r="CL240" s="56"/>
      <c r="CO240" s="55">
        <f t="shared" si="1525"/>
        <v>46226</v>
      </c>
      <c r="CP240" s="422"/>
      <c r="CQ240" s="470">
        <f>SUMPRODUCT(PRODUCE!$B243:$DY243,PRODUCE!$EB$17:$IY$17)</f>
        <v>0</v>
      </c>
      <c r="CR240" s="422"/>
      <c r="CS240" s="470">
        <f t="shared" si="1526"/>
        <v>0</v>
      </c>
      <c r="CT240" s="470">
        <f t="shared" si="1527"/>
        <v>0</v>
      </c>
      <c r="CU240" s="56"/>
      <c r="CX240" s="55">
        <f t="shared" si="1528"/>
        <v>46226</v>
      </c>
      <c r="CY240" s="422">
        <v>29800</v>
      </c>
      <c r="CZ240" s="525">
        <f>SUMPRODUCT(PRODUCE!$B243:$DY243,PRODUCE!$EB$18:$IY$18)</f>
        <v>0</v>
      </c>
      <c r="DA240" s="422"/>
      <c r="DB240" s="525">
        <f t="shared" si="1529"/>
        <v>0</v>
      </c>
      <c r="DC240" s="525">
        <f t="shared" si="1530"/>
        <v>31111.600000000006</v>
      </c>
      <c r="DD240" s="56"/>
      <c r="DG240" s="55">
        <f t="shared" si="1531"/>
        <v>46226</v>
      </c>
      <c r="DH240" s="422"/>
      <c r="DI240" s="526">
        <f>SUMPRODUCT(PRODUCE!$B243:$DY243,PRODUCE!$EB$19:$IY$19)</f>
        <v>0</v>
      </c>
      <c r="DJ240" s="422"/>
      <c r="DK240" s="526">
        <f t="shared" si="1532"/>
        <v>0</v>
      </c>
      <c r="DL240" s="526">
        <f t="shared" si="1533"/>
        <v>33033.89999999998</v>
      </c>
      <c r="DM240" s="56"/>
      <c r="DP240" s="55">
        <f t="shared" si="1534"/>
        <v>46226</v>
      </c>
      <c r="DQ240" s="56"/>
      <c r="DR240" s="57">
        <f>SUMPRODUCT(PRODUCE!$B243:$DY243,PRODUCE!$EB$20:$IY$20)</f>
        <v>0</v>
      </c>
      <c r="DS240" s="56"/>
      <c r="DT240" s="57">
        <f t="shared" si="1535"/>
        <v>0</v>
      </c>
      <c r="DU240" s="57">
        <f t="shared" si="1536"/>
        <v>5800</v>
      </c>
      <c r="DV240" s="56"/>
      <c r="DY240" s="55">
        <f t="shared" si="1537"/>
        <v>46226</v>
      </c>
      <c r="DZ240" s="56"/>
      <c r="EA240" s="157">
        <f>SUMPRODUCT(PRODUCE!$B243:$DY243,PRODUCE!$EB$21:$IY$21)</f>
        <v>0</v>
      </c>
      <c r="EB240" s="56"/>
      <c r="EC240" s="157">
        <f t="shared" si="1538"/>
        <v>0</v>
      </c>
      <c r="ED240" s="157">
        <f t="shared" si="1539"/>
        <v>0</v>
      </c>
      <c r="EE240" s="56"/>
      <c r="EH240" s="55">
        <f t="shared" si="1540"/>
        <v>46226</v>
      </c>
      <c r="EI240" s="56"/>
      <c r="EJ240" s="162">
        <f>SUMPRODUCT(PRODUCE!$B243:$DY243,PRODUCE!$EB$22:$IY$22)</f>
        <v>0</v>
      </c>
      <c r="EK240" s="56"/>
      <c r="EL240" s="162">
        <f t="shared" si="1541"/>
        <v>0</v>
      </c>
      <c r="EM240" s="162">
        <f t="shared" si="1542"/>
        <v>0</v>
      </c>
      <c r="EN240" s="56"/>
      <c r="EQ240" s="55">
        <f t="shared" si="1543"/>
        <v>46226</v>
      </c>
      <c r="ER240" s="56"/>
      <c r="ES240" s="172">
        <f>SUMPRODUCT(PRODUCE!$B243:$DY243,PRODUCE!$EB$23:$IY$23)</f>
        <v>0</v>
      </c>
      <c r="ET240" s="56"/>
      <c r="EU240" s="135">
        <f t="shared" si="1544"/>
        <v>0</v>
      </c>
      <c r="EV240" s="135">
        <f t="shared" si="1545"/>
        <v>0</v>
      </c>
      <c r="EW240" s="56"/>
      <c r="EZ240" s="55">
        <f t="shared" si="1546"/>
        <v>46226</v>
      </c>
      <c r="FA240" s="56"/>
      <c r="FB240" s="175">
        <f>SUMPRODUCT(PRODUCE!$B243:$DY243,PRODUCE!$EB$24:$IY$24)</f>
        <v>0</v>
      </c>
      <c r="FC240" s="56"/>
      <c r="FD240" s="175">
        <f t="shared" si="1547"/>
        <v>0</v>
      </c>
      <c r="FE240" s="175">
        <f t="shared" si="1548"/>
        <v>0</v>
      </c>
      <c r="FF240" s="56"/>
      <c r="FI240" s="55">
        <f t="shared" si="1549"/>
        <v>46226</v>
      </c>
      <c r="FJ240" s="56"/>
      <c r="FK240" s="183">
        <f>SUMPRODUCT(PRODUCE!$B243:$DY243,PRODUCE!$EB$25:$IY$25)</f>
        <v>0</v>
      </c>
      <c r="FL240" s="56"/>
      <c r="FM240" s="183">
        <f t="shared" si="1550"/>
        <v>0</v>
      </c>
      <c r="FN240" s="183">
        <f t="shared" si="1551"/>
        <v>0</v>
      </c>
      <c r="FO240" s="56"/>
      <c r="FR240" s="55">
        <f t="shared" si="1552"/>
        <v>46226</v>
      </c>
      <c r="FS240" s="56"/>
      <c r="FT240" s="186">
        <f>SUMPRODUCT(PRODUCE!$B243:$DY243,PRODUCE!$EB$26:$IY$26)</f>
        <v>0</v>
      </c>
      <c r="FU240" s="56"/>
      <c r="FV240" s="186">
        <f t="shared" si="1553"/>
        <v>0</v>
      </c>
      <c r="FW240" s="186">
        <f t="shared" si="1554"/>
        <v>1160</v>
      </c>
      <c r="FX240" s="56"/>
      <c r="GA240" s="55">
        <f t="shared" si="1555"/>
        <v>46226</v>
      </c>
      <c r="GB240" s="56"/>
      <c r="GC240" s="137">
        <f>SUMPRODUCT(PRODUCE!$B243:$DY243,PRODUCE!$EB$27:$IY$27)</f>
        <v>0</v>
      </c>
      <c r="GD240" s="56"/>
      <c r="GE240" s="137">
        <f t="shared" si="1556"/>
        <v>0</v>
      </c>
      <c r="GF240" s="137">
        <f t="shared" si="1557"/>
        <v>960</v>
      </c>
      <c r="GG240" s="56"/>
      <c r="GI240" s="23"/>
      <c r="GJ240" s="55">
        <f t="shared" si="1558"/>
        <v>46226</v>
      </c>
      <c r="GK240" s="56"/>
      <c r="GL240" s="199">
        <f>SUMPRODUCT(PRODUCE!$B243:$DY243,PRODUCE!$EB$28:$IY$28)</f>
        <v>0</v>
      </c>
      <c r="GM240" s="56"/>
      <c r="GN240" s="199">
        <f t="shared" si="1559"/>
        <v>0</v>
      </c>
      <c r="GO240" s="199">
        <f t="shared" si="1560"/>
        <v>1760</v>
      </c>
      <c r="GP240" s="56"/>
      <c r="GS240" s="55">
        <f t="shared" si="1561"/>
        <v>46226</v>
      </c>
      <c r="GT240" s="56"/>
      <c r="GU240" s="195">
        <f>SUMPRODUCT(PRODUCE!$B243:$DY243,PRODUCE!$EB$29:$IY$29)</f>
        <v>0</v>
      </c>
      <c r="GV240" s="56"/>
      <c r="GW240" s="195">
        <f t="shared" si="1562"/>
        <v>0</v>
      </c>
      <c r="GX240" s="195">
        <f t="shared" si="1563"/>
        <v>400</v>
      </c>
      <c r="GY240" s="56"/>
      <c r="HB240" s="55">
        <f t="shared" si="1564"/>
        <v>46226</v>
      </c>
      <c r="HC240" s="56"/>
      <c r="HD240" s="191">
        <f>SUMPRODUCT(PRODUCE!$B243:$DY243,PRODUCE!$EB$30:$IY$30)</f>
        <v>0</v>
      </c>
      <c r="HE240" s="56"/>
      <c r="HF240" s="191">
        <f t="shared" si="1565"/>
        <v>0</v>
      </c>
      <c r="HG240" s="191">
        <f t="shared" si="1566"/>
        <v>3600</v>
      </c>
      <c r="HH240" s="56"/>
      <c r="HK240" s="55">
        <f t="shared" si="1567"/>
        <v>46226</v>
      </c>
      <c r="HL240" s="56"/>
      <c r="HM240" s="63">
        <f>SUMPRODUCT(PRODUCE!$B243:$DY243,PRODUCE!$EB$31:$IY$31)</f>
        <v>0</v>
      </c>
      <c r="HN240" s="56"/>
      <c r="HO240" s="63">
        <f t="shared" si="1568"/>
        <v>0</v>
      </c>
      <c r="HP240" s="63">
        <f t="shared" si="1569"/>
        <v>0</v>
      </c>
      <c r="HQ240" s="56"/>
      <c r="HU240" s="55">
        <f t="shared" si="1570"/>
        <v>46226</v>
      </c>
      <c r="HV240" s="56"/>
      <c r="HW240" s="242">
        <f>SUMPRODUCT(PRODUCE!$B243:$DY243,PRODUCE!$EB$32:$IY$32)</f>
        <v>0</v>
      </c>
      <c r="HX240" s="56"/>
      <c r="HY240" s="242">
        <f t="shared" si="1571"/>
        <v>0</v>
      </c>
      <c r="HZ240" s="242">
        <f t="shared" si="1572"/>
        <v>5920</v>
      </c>
      <c r="IA240" s="56"/>
      <c r="ID240" s="55">
        <f t="shared" si="1573"/>
        <v>46226</v>
      </c>
      <c r="IE240" s="56"/>
      <c r="IF240" s="242">
        <f>SUMPRODUCT(PRODUCE!$B243:$DY243,PRODUCE!$EB$33:$IY$33)</f>
        <v>0</v>
      </c>
      <c r="IG240" s="56"/>
      <c r="IH240" s="242">
        <f t="shared" si="1574"/>
        <v>0</v>
      </c>
      <c r="II240" s="242">
        <f t="shared" si="1575"/>
        <v>720</v>
      </c>
      <c r="IJ240" s="56"/>
      <c r="IM240" s="55">
        <f t="shared" si="1576"/>
        <v>46226</v>
      </c>
      <c r="IN240" s="56"/>
      <c r="IO240" s="242">
        <f>SUMPRODUCT(PRODUCE!$B243:$DY243,PRODUCE!$EB$34:$IY$34)</f>
        <v>600</v>
      </c>
      <c r="IP240" s="56"/>
      <c r="IQ240" s="242">
        <f t="shared" si="1577"/>
        <v>600</v>
      </c>
      <c r="IR240" s="242">
        <f t="shared" si="1578"/>
        <v>4280</v>
      </c>
      <c r="IS240" s="56"/>
      <c r="IV240" s="55">
        <f t="shared" si="1579"/>
        <v>46226</v>
      </c>
      <c r="IW240" s="56"/>
      <c r="IX240" s="242">
        <f>SUMPRODUCT(PRODUCE!$B243:$DY243,PRODUCE!$EB$35:$IY$35)</f>
        <v>0</v>
      </c>
      <c r="IY240" s="56"/>
      <c r="IZ240" s="242">
        <f t="shared" si="1580"/>
        <v>0</v>
      </c>
      <c r="JA240" s="242">
        <f t="shared" si="1581"/>
        <v>4960</v>
      </c>
      <c r="JB240" s="56"/>
      <c r="JE240" s="55">
        <f t="shared" si="1582"/>
        <v>46226</v>
      </c>
      <c r="JF240" s="56"/>
      <c r="JG240" s="242">
        <f>SUMPRODUCT(PRODUCE!$B243:$DY243,PRODUCE!$EB$36:$IY$36)</f>
        <v>0</v>
      </c>
      <c r="JH240" s="56"/>
      <c r="JI240" s="242">
        <f t="shared" si="1583"/>
        <v>0</v>
      </c>
      <c r="JJ240" s="242">
        <f t="shared" si="1584"/>
        <v>0</v>
      </c>
      <c r="JK240" s="56"/>
      <c r="JN240" s="55">
        <f t="shared" si="1585"/>
        <v>46226</v>
      </c>
      <c r="JO240" s="56"/>
      <c r="JP240" s="242">
        <f>SUMPRODUCT(PRODUCE!$B243:$DY243,PRODUCE!$EB$37:$IY$37)</f>
        <v>0</v>
      </c>
      <c r="JQ240" s="56"/>
      <c r="JR240" s="242">
        <f t="shared" si="1586"/>
        <v>0</v>
      </c>
      <c r="JS240" s="242">
        <f t="shared" si="1587"/>
        <v>0</v>
      </c>
      <c r="JT240" s="56"/>
      <c r="JW240" s="55">
        <f t="shared" si="1588"/>
        <v>46226</v>
      </c>
      <c r="JX240" s="56"/>
      <c r="JY240" s="242">
        <f>SUMPRODUCT(PRODUCE!$B243:$DY243,PRODUCE!$EB$38:$IY$38)</f>
        <v>0</v>
      </c>
      <c r="JZ240" s="56"/>
      <c r="KA240" s="242">
        <f t="shared" si="1589"/>
        <v>0</v>
      </c>
      <c r="KB240" s="242">
        <f t="shared" si="1590"/>
        <v>2540</v>
      </c>
      <c r="KC240" s="56"/>
      <c r="KF240" s="55">
        <f t="shared" si="1591"/>
        <v>46226</v>
      </c>
      <c r="KG240" s="56"/>
      <c r="KH240" s="242">
        <f>SUMPRODUCT(PRODUCE!$B243:$DY243,PRODUCE!$EB$39:$IY$39)</f>
        <v>0</v>
      </c>
      <c r="KI240" s="56"/>
      <c r="KJ240" s="242">
        <f t="shared" si="1592"/>
        <v>0</v>
      </c>
      <c r="KK240" s="242">
        <f t="shared" si="1593"/>
        <v>2359.5</v>
      </c>
      <c r="KL240" s="56"/>
      <c r="KO240" s="55">
        <f t="shared" si="1594"/>
        <v>46226</v>
      </c>
      <c r="KP240" s="56"/>
      <c r="KQ240" s="242">
        <f>SUMPRODUCT(PRODUCE!$B243:$DY243,PRODUCE!$EB$40:$IY$40)</f>
        <v>0</v>
      </c>
      <c r="KR240" s="56"/>
      <c r="KS240" s="242">
        <f t="shared" si="1595"/>
        <v>0</v>
      </c>
      <c r="KT240" s="242">
        <f t="shared" si="1596"/>
        <v>1890</v>
      </c>
      <c r="KU240" s="56"/>
      <c r="KW240" s="23"/>
      <c r="KX240" s="55">
        <f t="shared" si="1597"/>
        <v>46226</v>
      </c>
      <c r="KY240" s="56"/>
      <c r="KZ240" s="242">
        <f>SUMPRODUCT(PRODUCE!$B243:$DY243,PRODUCE!$EB$41:$IY$41)</f>
        <v>0</v>
      </c>
      <c r="LA240" s="56"/>
      <c r="LB240" s="242">
        <f t="shared" si="1598"/>
        <v>0</v>
      </c>
      <c r="LC240" s="242">
        <f t="shared" si="1599"/>
        <v>3690</v>
      </c>
      <c r="LD240" s="56"/>
      <c r="LG240" s="55">
        <f t="shared" si="1600"/>
        <v>46226</v>
      </c>
      <c r="LH240" s="56"/>
      <c r="LI240" s="242">
        <f>SUMPRODUCT(PRODUCE!$B243:$DY243,PRODUCE!$EB$42:$IY$42)</f>
        <v>0</v>
      </c>
      <c r="LJ240" s="56"/>
      <c r="LK240" s="242">
        <f t="shared" si="1601"/>
        <v>0</v>
      </c>
      <c r="LL240" s="242">
        <f t="shared" si="1602"/>
        <v>4000</v>
      </c>
      <c r="LM240" s="56"/>
      <c r="LP240" s="55">
        <f t="shared" si="1603"/>
        <v>46226</v>
      </c>
      <c r="LQ240" s="56"/>
      <c r="LR240" s="242">
        <f>SUMPRODUCT(PRODUCE!$B243:$DY243,PRODUCE!$EB$43:$IY$43)</f>
        <v>0</v>
      </c>
      <c r="LS240" s="56"/>
      <c r="LT240" s="242">
        <f t="shared" si="1604"/>
        <v>0</v>
      </c>
      <c r="LU240" s="242">
        <f t="shared" si="1605"/>
        <v>0</v>
      </c>
      <c r="LV240" s="56"/>
      <c r="LY240" s="55">
        <f t="shared" si="1606"/>
        <v>46226</v>
      </c>
      <c r="LZ240" s="56"/>
      <c r="MA240" s="242">
        <f>SUMPRODUCT(PRODUCE!$B243:$DY243,PRODUCE!$EB$44:$IY$44)</f>
        <v>0</v>
      </c>
      <c r="MB240" s="56"/>
      <c r="MC240" s="242">
        <f t="shared" si="1607"/>
        <v>0</v>
      </c>
      <c r="MD240" s="242">
        <f t="shared" si="1608"/>
        <v>0</v>
      </c>
      <c r="ME240" s="56"/>
      <c r="MH240" s="55">
        <f t="shared" si="1609"/>
        <v>46226</v>
      </c>
      <c r="MI240" s="56"/>
      <c r="MJ240" s="242">
        <f>SUMPRODUCT(PRODUCE!$B243:$DY243,PRODUCE!$EB$45:$IY$45)</f>
        <v>0</v>
      </c>
      <c r="MK240" s="56"/>
      <c r="ML240" s="242">
        <f t="shared" si="1610"/>
        <v>0</v>
      </c>
      <c r="MM240" s="242">
        <f t="shared" si="1611"/>
        <v>0</v>
      </c>
      <c r="MN240" s="56"/>
      <c r="MQ240" s="55">
        <f t="shared" si="1612"/>
        <v>46226</v>
      </c>
      <c r="MR240" s="56"/>
      <c r="MS240" s="242">
        <f>SUMPRODUCT(PRODUCE!$B243:$DY243,PRODUCE!$EB$46:$IY$46)</f>
        <v>0</v>
      </c>
      <c r="MT240" s="56"/>
      <c r="MU240" s="242">
        <f t="shared" si="1613"/>
        <v>0</v>
      </c>
      <c r="MV240" s="242">
        <f t="shared" si="1614"/>
        <v>2540</v>
      </c>
      <c r="MW240" s="56"/>
      <c r="MZ240" s="55">
        <f t="shared" si="1615"/>
        <v>46226</v>
      </c>
      <c r="NA240" s="56"/>
      <c r="NB240" s="242">
        <f>SUMPRODUCT(PRODUCE!$B243:$DY243,PRODUCE!$EB$47:$IY$47)</f>
        <v>90</v>
      </c>
      <c r="NC240" s="56"/>
      <c r="ND240" s="242">
        <f t="shared" si="1616"/>
        <v>90</v>
      </c>
      <c r="NE240" s="242">
        <f t="shared" si="1617"/>
        <v>0</v>
      </c>
      <c r="NF240" s="56"/>
      <c r="NI240" s="55">
        <f t="shared" si="1618"/>
        <v>46226</v>
      </c>
      <c r="NJ240" s="56"/>
      <c r="NK240" s="242">
        <f>SUMPRODUCT(PRODUCE!$B243:$DY243,PRODUCE!$EB$48:$IY$48)</f>
        <v>0</v>
      </c>
      <c r="NL240" s="56"/>
      <c r="NM240" s="242">
        <f t="shared" si="1619"/>
        <v>0</v>
      </c>
      <c r="NN240" s="242">
        <f t="shared" si="1620"/>
        <v>1127</v>
      </c>
      <c r="NO240" s="56"/>
      <c r="NR240" s="55">
        <f t="shared" si="1621"/>
        <v>46226</v>
      </c>
      <c r="NS240" s="56"/>
      <c r="NT240" s="242">
        <f>SUMPRODUCT(PRODUCE!$B243:$DY243,PRODUCE!$EB$49:$IY$49)</f>
        <v>0</v>
      </c>
      <c r="NU240" s="56"/>
      <c r="NV240" s="242">
        <f t="shared" si="1622"/>
        <v>0</v>
      </c>
      <c r="NW240" s="242">
        <f t="shared" si="1623"/>
        <v>3111.9999999999995</v>
      </c>
      <c r="NX240" s="56"/>
      <c r="OA240" s="55">
        <f t="shared" si="1624"/>
        <v>46226</v>
      </c>
      <c r="OB240" s="56"/>
      <c r="OC240" s="242">
        <f>SUMPRODUCT(PRODUCE!$B243:$DY243,PRODUCE!$EB$50:$IY$50)</f>
        <v>0</v>
      </c>
      <c r="OD240" s="56"/>
      <c r="OE240" s="242">
        <f t="shared" si="1625"/>
        <v>0</v>
      </c>
      <c r="OF240" s="242">
        <f t="shared" si="1626"/>
        <v>1680.5</v>
      </c>
      <c r="OG240" s="56"/>
      <c r="OJ240" s="55">
        <f t="shared" si="1627"/>
        <v>46226</v>
      </c>
      <c r="OK240" s="56"/>
      <c r="OL240" s="242">
        <f>SUMPRODUCT(PRODUCE!$B243:$DY243,PRODUCE!$EB$51:$IY$51)</f>
        <v>0</v>
      </c>
      <c r="OM240" s="56"/>
      <c r="ON240" s="242">
        <f t="shared" si="1628"/>
        <v>0</v>
      </c>
      <c r="OO240" s="242">
        <f t="shared" si="1629"/>
        <v>0</v>
      </c>
      <c r="OP240" s="56"/>
      <c r="OS240" s="55">
        <f t="shared" si="1630"/>
        <v>46226</v>
      </c>
      <c r="OT240" s="56"/>
      <c r="OU240" s="242">
        <f>SUMPRODUCT(PRODUCE!$B243:$DY243,PRODUCE!$EB$52:$IY$52)</f>
        <v>0</v>
      </c>
      <c r="OV240" s="56"/>
      <c r="OW240" s="242">
        <f t="shared" si="1631"/>
        <v>0</v>
      </c>
      <c r="OX240" s="242">
        <f t="shared" si="1632"/>
        <v>1482</v>
      </c>
      <c r="OY240" s="56"/>
      <c r="PB240" s="55">
        <f t="shared" si="1633"/>
        <v>46226</v>
      </c>
      <c r="PC240" s="56"/>
      <c r="PD240" s="242">
        <f>SUMPRODUCT(PRODUCE!$B243:$DY243,PRODUCE!$EB$53:$IY$53)</f>
        <v>0</v>
      </c>
      <c r="PE240" s="56"/>
      <c r="PF240" s="242">
        <f t="shared" si="1634"/>
        <v>0</v>
      </c>
      <c r="PG240" s="242">
        <f t="shared" si="1635"/>
        <v>0</v>
      </c>
      <c r="PH240" s="56"/>
      <c r="PK240" s="55">
        <f t="shared" si="1636"/>
        <v>46226</v>
      </c>
      <c r="PL240" s="56"/>
      <c r="PM240" s="242">
        <f>SUMPRODUCT(PRODUCE!$B243:$DY243,PRODUCE!$EB$54:$IY$54)</f>
        <v>0</v>
      </c>
      <c r="PN240" s="56"/>
      <c r="PO240" s="242">
        <f t="shared" si="1637"/>
        <v>0</v>
      </c>
      <c r="PP240" s="242">
        <f t="shared" si="1638"/>
        <v>100</v>
      </c>
      <c r="PQ240" s="56"/>
      <c r="PT240" s="55">
        <f t="shared" si="1639"/>
        <v>46226</v>
      </c>
      <c r="PU240" s="56"/>
      <c r="PV240" s="242">
        <f>SUMPRODUCT(PRODUCE!$B243:$DY243,PRODUCE!$EB$55:$IY$55)</f>
        <v>0</v>
      </c>
      <c r="PW240" s="56"/>
      <c r="PX240" s="242">
        <f t="shared" si="1640"/>
        <v>0</v>
      </c>
      <c r="PY240" s="242">
        <f t="shared" si="1641"/>
        <v>13.960000000000036</v>
      </c>
      <c r="PZ240" s="56"/>
      <c r="QC240" s="55">
        <f t="shared" si="1642"/>
        <v>46226</v>
      </c>
      <c r="QD240" s="56"/>
      <c r="QE240" s="242">
        <f>SUMPRODUCT(PRODUCE!$B243:$DY243,PRODUCE!$EB$56:$IY$56)</f>
        <v>120</v>
      </c>
      <c r="QF240" s="56"/>
      <c r="QG240" s="242">
        <f t="shared" si="1643"/>
        <v>120</v>
      </c>
      <c r="QH240" s="242">
        <f t="shared" si="1644"/>
        <v>1688</v>
      </c>
      <c r="QI240" s="56"/>
      <c r="QL240" s="55">
        <f t="shared" si="1645"/>
        <v>46226</v>
      </c>
      <c r="QM240" s="56"/>
      <c r="QN240" s="242">
        <f>SUMPRODUCT(PRODUCE!$B243:$DY243,PRODUCE!$EB$57:$IY$57)</f>
        <v>0</v>
      </c>
      <c r="QO240" s="56"/>
      <c r="QP240" s="242">
        <f t="shared" si="1646"/>
        <v>0</v>
      </c>
      <c r="QQ240" s="242">
        <f t="shared" si="1647"/>
        <v>0</v>
      </c>
      <c r="QR240" s="56"/>
      <c r="QU240" s="55">
        <f t="shared" si="1648"/>
        <v>46226</v>
      </c>
      <c r="QV240" s="56"/>
      <c r="QW240" s="242">
        <f>SUMPRODUCT(PRODUCE!$B243:$DY243,PRODUCE!$EB$58:$IY$58)</f>
        <v>0</v>
      </c>
      <c r="QX240" s="56"/>
      <c r="QY240" s="242">
        <f t="shared" si="1649"/>
        <v>0</v>
      </c>
      <c r="QZ240" s="242">
        <f t="shared" si="1650"/>
        <v>207.6</v>
      </c>
      <c r="RA240" s="56"/>
      <c r="RD240" s="55">
        <f t="shared" si="1651"/>
        <v>46226</v>
      </c>
      <c r="RE240" s="56"/>
      <c r="RF240" s="242">
        <f>SUMPRODUCT(PRODUCE!$B243:$DY243,PRODUCE!$EB$59:$IY$59)</f>
        <v>0</v>
      </c>
      <c r="RG240" s="56"/>
      <c r="RH240" s="242">
        <f t="shared" si="1652"/>
        <v>0</v>
      </c>
      <c r="RI240" s="242">
        <f t="shared" si="1653"/>
        <v>147.04000000000002</v>
      </c>
      <c r="RJ240" s="56"/>
      <c r="RM240" s="55">
        <f t="shared" si="1654"/>
        <v>46226</v>
      </c>
      <c r="RN240" s="56"/>
      <c r="RO240" s="242">
        <f>SUMPRODUCT(PRODUCE!$B243:$DY243,PRODUCE!$EB$60:$IY$60)</f>
        <v>0</v>
      </c>
      <c r="RP240" s="56"/>
      <c r="RQ240" s="242">
        <f t="shared" si="1655"/>
        <v>0</v>
      </c>
      <c r="RR240" s="242">
        <f t="shared" si="1656"/>
        <v>46.8</v>
      </c>
      <c r="RS240" s="56"/>
      <c r="RV240" s="55">
        <f t="shared" si="1657"/>
        <v>46226</v>
      </c>
      <c r="RW240" s="56"/>
      <c r="RX240" s="242">
        <f>SUMPRODUCT(PRODUCE!$B243:$DY243,PRODUCE!$EB$61:$IY$61)</f>
        <v>0</v>
      </c>
      <c r="RY240" s="56"/>
      <c r="RZ240" s="242">
        <f t="shared" si="1658"/>
        <v>0</v>
      </c>
      <c r="SA240" s="242">
        <f t="shared" si="1659"/>
        <v>0</v>
      </c>
      <c r="SB240" s="56"/>
      <c r="SE240" s="55">
        <f t="shared" si="1660"/>
        <v>46226</v>
      </c>
      <c r="SF240" s="56"/>
      <c r="SG240" s="242">
        <f>SUMPRODUCT(PRODUCE!$B243:$DY243,PRODUCE!$EB$62:$IY$62)</f>
        <v>0</v>
      </c>
      <c r="SH240" s="56"/>
      <c r="SI240" s="242">
        <f t="shared" si="1661"/>
        <v>0</v>
      </c>
      <c r="SJ240" s="242">
        <f t="shared" si="1662"/>
        <v>24.200000000000003</v>
      </c>
      <c r="SK240" s="56"/>
      <c r="SN240" s="55">
        <f t="shared" si="1663"/>
        <v>46226</v>
      </c>
      <c r="SO240" s="56"/>
      <c r="SP240" s="242">
        <f>SUMPRODUCT(PRODUCE!$B243:$DY243,PRODUCE!$EB$63:$IY$63)</f>
        <v>0</v>
      </c>
      <c r="SQ240" s="56"/>
      <c r="SR240" s="242">
        <f t="shared" si="1664"/>
        <v>0</v>
      </c>
      <c r="SS240" s="242">
        <f t="shared" si="1665"/>
        <v>32</v>
      </c>
      <c r="ST240" s="56"/>
      <c r="SW240" s="55">
        <f t="shared" si="1666"/>
        <v>46226</v>
      </c>
      <c r="SX240" s="56"/>
      <c r="SY240" s="242">
        <f>SUMPRODUCT(PRODUCE!$B243:$DY243,PRODUCE!$EB$64:$IY$64)</f>
        <v>0</v>
      </c>
      <c r="SZ240" s="56"/>
      <c r="TA240" s="242">
        <f t="shared" si="1667"/>
        <v>0</v>
      </c>
      <c r="TB240" s="242">
        <f t="shared" si="1668"/>
        <v>0</v>
      </c>
      <c r="TC240" s="56"/>
      <c r="TF240" s="55">
        <f t="shared" si="1669"/>
        <v>46226</v>
      </c>
      <c r="TG240" s="56"/>
      <c r="TH240" s="242">
        <f>SUMPRODUCT(PRODUCE!$B243:$DY243,PRODUCE!$EB$57:$IY$57)</f>
        <v>0</v>
      </c>
      <c r="TI240" s="56"/>
      <c r="TJ240" s="242">
        <f t="shared" si="1670"/>
        <v>0</v>
      </c>
      <c r="TK240" s="242">
        <f t="shared" si="1671"/>
        <v>0</v>
      </c>
      <c r="TL240" s="56"/>
      <c r="TO240" s="55">
        <f t="shared" si="1672"/>
        <v>46226</v>
      </c>
      <c r="TP240" s="56"/>
      <c r="TQ240" s="242">
        <f>SUMPRODUCT(PRODUCE!$B243:$DY243,PRODUCE!$EB$57:$IY$57)</f>
        <v>0</v>
      </c>
      <c r="TR240" s="56"/>
      <c r="TS240" s="242">
        <f t="shared" si="1673"/>
        <v>0</v>
      </c>
      <c r="TT240" s="242">
        <f t="shared" si="1674"/>
        <v>22.400000000000006</v>
      </c>
      <c r="TU240" s="56"/>
      <c r="TX240" s="55">
        <f t="shared" si="1675"/>
        <v>46226</v>
      </c>
      <c r="TY240" s="56"/>
      <c r="TZ240" s="242">
        <f>SUMPRODUCT(PRODUCE!$B243:$DY243,PRODUCE!$EB$57:$IY$57)</f>
        <v>0</v>
      </c>
      <c r="UA240" s="56"/>
      <c r="UB240" s="242">
        <f t="shared" si="1676"/>
        <v>0</v>
      </c>
      <c r="UC240" s="242">
        <f t="shared" si="1677"/>
        <v>46.799999999999983</v>
      </c>
      <c r="UD240" s="56"/>
      <c r="UG240" s="55">
        <f t="shared" si="1678"/>
        <v>46226</v>
      </c>
      <c r="UH240" s="56"/>
      <c r="UI240" s="242">
        <f>SUMPRODUCT(PRODUCE!$B243:$DY243,PRODUCE!$EB$57:$IY$57)</f>
        <v>0</v>
      </c>
      <c r="UJ240" s="56"/>
      <c r="UK240" s="242">
        <f t="shared" si="1679"/>
        <v>0</v>
      </c>
      <c r="UL240" s="242">
        <f t="shared" si="1680"/>
        <v>204</v>
      </c>
      <c r="UM240" s="56"/>
      <c r="UP240" s="55">
        <f t="shared" si="1681"/>
        <v>46226</v>
      </c>
      <c r="UQ240" s="56"/>
      <c r="UR240" s="242">
        <f>SUMPRODUCT(PRODUCE!$B243:$DY243,PRODUCE!$EB$69:$IY$69)</f>
        <v>0</v>
      </c>
      <c r="US240" s="56"/>
      <c r="UT240" s="242">
        <f t="shared" si="1682"/>
        <v>0</v>
      </c>
      <c r="UU240" s="242">
        <f t="shared" si="1683"/>
        <v>202.5</v>
      </c>
      <c r="UV240" s="56"/>
      <c r="UY240" s="55">
        <f t="shared" si="1684"/>
        <v>46226</v>
      </c>
      <c r="UZ240" s="56"/>
      <c r="VA240" s="242">
        <f>SUMPRODUCT(PRODUCE!$B243:$DY243,PRODUCE!$EB$70:$IY$70)</f>
        <v>0</v>
      </c>
      <c r="VB240" s="56"/>
      <c r="VC240" s="242">
        <f t="shared" si="1685"/>
        <v>0</v>
      </c>
      <c r="VD240" s="242">
        <f t="shared" si="1686"/>
        <v>41.600000000000023</v>
      </c>
      <c r="VE240" s="56"/>
      <c r="VH240" s="55">
        <f t="shared" si="1687"/>
        <v>46226</v>
      </c>
      <c r="VI240" s="56"/>
      <c r="VJ240" s="242">
        <f>SUMPRODUCT(PRODUCE!$B243:$DY243,PRODUCE!$EB$71:$IY$71)</f>
        <v>0</v>
      </c>
      <c r="VK240" s="56"/>
      <c r="VL240" s="242">
        <f t="shared" si="1688"/>
        <v>0</v>
      </c>
      <c r="VM240" s="242">
        <f t="shared" si="1689"/>
        <v>210</v>
      </c>
      <c r="VN240" s="56"/>
      <c r="VQ240" s="55">
        <f t="shared" si="1690"/>
        <v>46226</v>
      </c>
      <c r="VR240" s="56"/>
      <c r="VS240" s="242">
        <f>SUMPRODUCT(PRODUCE!$B243:$DY243,PRODUCE!$EB$57:$IY$57)</f>
        <v>0</v>
      </c>
      <c r="VT240" s="56"/>
      <c r="VU240" s="242">
        <f t="shared" si="1691"/>
        <v>0</v>
      </c>
      <c r="VV240" s="242">
        <f t="shared" si="1692"/>
        <v>0</v>
      </c>
      <c r="VW240" s="56"/>
      <c r="VZ240" s="55">
        <f t="shared" si="1693"/>
        <v>46226</v>
      </c>
      <c r="WA240" s="56"/>
      <c r="WB240" s="242">
        <f>SUMPRODUCT(PRODUCE!$B243:$DY243,PRODUCE!$EB$57:$IY$57)</f>
        <v>0</v>
      </c>
      <c r="WC240" s="56"/>
      <c r="WD240" s="242">
        <f t="shared" si="1694"/>
        <v>0</v>
      </c>
      <c r="WE240" s="242">
        <f t="shared" si="1695"/>
        <v>0</v>
      </c>
      <c r="WF240" s="56"/>
      <c r="WI240" s="55">
        <f t="shared" si="1696"/>
        <v>46226</v>
      </c>
      <c r="WJ240" s="56"/>
      <c r="WK240" s="242">
        <f>SUMPRODUCT(PRODUCE!$B243:$DY243,PRODUCE!$EB$57:$IY$57)</f>
        <v>0</v>
      </c>
      <c r="WL240" s="56"/>
      <c r="WM240" s="242">
        <f t="shared" si="1697"/>
        <v>0</v>
      </c>
      <c r="WN240" s="242">
        <f t="shared" si="1698"/>
        <v>1057</v>
      </c>
      <c r="WO240" s="56"/>
      <c r="WR240" s="55">
        <f t="shared" si="1699"/>
        <v>46226</v>
      </c>
      <c r="WS240" s="56"/>
      <c r="WT240" s="242">
        <f>SUMPRODUCT(PRODUCE!$B243:$DY243,PRODUCE!$EB$57:$IY$57)</f>
        <v>0</v>
      </c>
      <c r="WU240" s="56"/>
      <c r="WV240" s="242">
        <f t="shared" si="1700"/>
        <v>0</v>
      </c>
      <c r="WW240" s="242">
        <f t="shared" si="1701"/>
        <v>0</v>
      </c>
      <c r="WX240" s="56"/>
      <c r="XA240" s="55">
        <f t="shared" si="1702"/>
        <v>46226</v>
      </c>
      <c r="XB240" s="56"/>
      <c r="XC240" s="242">
        <f>SUMPRODUCT(PRODUCE!$B243:$DY243,PRODUCE!$EB$57:$IY$57)</f>
        <v>0</v>
      </c>
      <c r="XD240" s="56"/>
      <c r="XE240" s="242">
        <f t="shared" si="1703"/>
        <v>0</v>
      </c>
      <c r="XF240" s="242">
        <f t="shared" si="1704"/>
        <v>7507</v>
      </c>
      <c r="XG240" s="56"/>
      <c r="XJ240" s="55">
        <f t="shared" si="1705"/>
        <v>46226</v>
      </c>
      <c r="XK240" s="56"/>
      <c r="XL240" s="242">
        <f>SUMPRODUCT(PRODUCE!$B243:$DY243,PRODUCE!$EB$57:$IY$57)</f>
        <v>0</v>
      </c>
      <c r="XM240" s="56"/>
      <c r="XN240" s="242">
        <f t="shared" si="1706"/>
        <v>0</v>
      </c>
      <c r="XO240" s="242">
        <f t="shared" si="1707"/>
        <v>4252</v>
      </c>
      <c r="XP240" s="56"/>
      <c r="XS240" s="55">
        <f t="shared" si="1708"/>
        <v>46226</v>
      </c>
      <c r="XT240" s="56"/>
      <c r="XU240" s="242">
        <f>SUMPRODUCT(PRODUCE!$B243:$DY243,PRODUCE!$EB$57:$IY$57)</f>
        <v>0</v>
      </c>
      <c r="XV240" s="56"/>
      <c r="XW240" s="242">
        <f t="shared" si="1709"/>
        <v>0</v>
      </c>
      <c r="XX240" s="242">
        <f t="shared" si="1710"/>
        <v>2179</v>
      </c>
      <c r="XY240" s="56"/>
      <c r="YB240" s="55">
        <f t="shared" si="1711"/>
        <v>46226</v>
      </c>
      <c r="YC240" s="56"/>
      <c r="YD240" s="242">
        <f>SUMPRODUCT(PRODUCE!$B243:$DY243,PRODUCE!$EB$57:$IY$57)</f>
        <v>0</v>
      </c>
      <c r="YE240" s="56"/>
      <c r="YF240" s="242">
        <f t="shared" si="1712"/>
        <v>0</v>
      </c>
      <c r="YG240" s="242">
        <f t="shared" si="1713"/>
        <v>4019</v>
      </c>
      <c r="YH240" s="56"/>
      <c r="YK240" s="55">
        <f t="shared" si="1714"/>
        <v>46226</v>
      </c>
      <c r="YL240" s="56"/>
      <c r="YM240" s="242">
        <f>SUMPRODUCT(PRODUCE!$B243:$DY243,PRODUCE!$EB$57:$IY$57)</f>
        <v>0</v>
      </c>
      <c r="YN240" s="56"/>
      <c r="YO240" s="242">
        <f t="shared" si="1715"/>
        <v>0</v>
      </c>
      <c r="YP240" s="242">
        <f t="shared" si="1716"/>
        <v>0</v>
      </c>
      <c r="YQ240" s="56"/>
      <c r="YT240" s="55">
        <f t="shared" si="1717"/>
        <v>46226</v>
      </c>
      <c r="YU240" s="56"/>
      <c r="YV240" s="242">
        <f>SUMPRODUCT(PRODUCE!$B243:$DY243,PRODUCE!$EB$57:$IY$57)</f>
        <v>0</v>
      </c>
      <c r="YW240" s="56"/>
      <c r="YX240" s="242">
        <f t="shared" si="1718"/>
        <v>0</v>
      </c>
      <c r="YY240" s="242">
        <f t="shared" si="1719"/>
        <v>0</v>
      </c>
      <c r="YZ240" s="56"/>
      <c r="ZC240" s="55">
        <f t="shared" si="1720"/>
        <v>46226</v>
      </c>
      <c r="ZD240" s="56"/>
      <c r="ZE240" s="242">
        <f>SUMPRODUCT(PRODUCE!$B243:$DY243,PRODUCE!$EB$57:$IY$57)</f>
        <v>0</v>
      </c>
      <c r="ZF240" s="56"/>
      <c r="ZG240" s="242">
        <f t="shared" si="1721"/>
        <v>0</v>
      </c>
      <c r="ZH240" s="242">
        <f t="shared" si="1722"/>
        <v>0</v>
      </c>
      <c r="ZI240" s="56"/>
      <c r="ZL240" s="55">
        <f t="shared" si="1723"/>
        <v>46226</v>
      </c>
      <c r="ZM240" s="56"/>
      <c r="ZN240" s="242">
        <f>SUMPRODUCT(PRODUCE!$B243:$DY243,PRODUCE!$EB$57:$IY$57)</f>
        <v>0</v>
      </c>
      <c r="ZO240" s="56"/>
      <c r="ZP240" s="242">
        <f t="shared" si="1724"/>
        <v>0</v>
      </c>
      <c r="ZQ240" s="242">
        <f t="shared" si="1725"/>
        <v>0</v>
      </c>
      <c r="ZR240" s="56"/>
      <c r="ZU240" s="55">
        <f t="shared" si="1726"/>
        <v>46226</v>
      </c>
      <c r="ZV240" s="56"/>
      <c r="ZW240" s="242">
        <f>SUMPRODUCT(PRODUCE!$B243:$DY243,PRODUCE!$EB$57:$IY$57)</f>
        <v>0</v>
      </c>
      <c r="ZX240" s="56"/>
      <c r="ZY240" s="242">
        <f t="shared" si="1727"/>
        <v>0</v>
      </c>
      <c r="ZZ240" s="242">
        <f t="shared" si="1728"/>
        <v>0</v>
      </c>
      <c r="AAA240" s="56"/>
      <c r="AAD240" s="55">
        <f t="shared" si="1729"/>
        <v>46226</v>
      </c>
      <c r="AAE240" s="56"/>
      <c r="AAF240" s="242">
        <f>SUMPRODUCT(PRODUCE!$B243:$DY243,PRODUCE!$EB$57:$IY$57)</f>
        <v>0</v>
      </c>
      <c r="AAG240" s="56"/>
      <c r="AAH240" s="242">
        <f t="shared" si="1730"/>
        <v>0</v>
      </c>
      <c r="AAI240" s="242">
        <f t="shared" si="1731"/>
        <v>0</v>
      </c>
      <c r="AAJ240" s="56"/>
      <c r="AAM240" s="55">
        <f t="shared" si="1732"/>
        <v>46226</v>
      </c>
      <c r="AAN240" s="56"/>
      <c r="AAO240" s="242">
        <f>SUMPRODUCT(PRODUCE!$B243:$DY243,PRODUCE!$EB$57:$IY$57)</f>
        <v>0</v>
      </c>
      <c r="AAP240" s="56"/>
      <c r="AAQ240" s="242">
        <f t="shared" si="1733"/>
        <v>0</v>
      </c>
      <c r="AAR240" s="242">
        <f t="shared" si="1734"/>
        <v>0</v>
      </c>
      <c r="AAS240" s="56"/>
      <c r="AAV240" s="55">
        <f t="shared" si="1735"/>
        <v>46226</v>
      </c>
      <c r="AAW240" s="56"/>
      <c r="AAX240" s="242">
        <f>SUMPRODUCT(PRODUCE!$B243:$DY243,PRODUCE!$EB$57:$IY$57)</f>
        <v>0</v>
      </c>
      <c r="AAY240" s="56"/>
      <c r="AAZ240" s="242">
        <f t="shared" si="1736"/>
        <v>0</v>
      </c>
      <c r="ABA240" s="242">
        <f t="shared" si="1737"/>
        <v>0</v>
      </c>
      <c r="ABB240" s="56"/>
      <c r="ABE240" s="55">
        <f t="shared" si="1738"/>
        <v>46226</v>
      </c>
      <c r="ABF240" s="56"/>
      <c r="ABG240" s="242">
        <f>SUMPRODUCT(PRODUCE!$B243:$DY243,PRODUCE!$EB$57:$IY$57)</f>
        <v>0</v>
      </c>
      <c r="ABH240" s="56"/>
      <c r="ABI240" s="242">
        <f t="shared" si="1739"/>
        <v>0</v>
      </c>
      <c r="ABJ240" s="242">
        <f t="shared" si="1740"/>
        <v>0</v>
      </c>
      <c r="ABK240" s="56"/>
    </row>
    <row r="241" spans="1:739" s="54" customFormat="1" ht="15" customHeight="1" outlineLevel="1">
      <c r="B241" s="478"/>
      <c r="C241" s="55">
        <v>46227</v>
      </c>
      <c r="D241" s="422"/>
      <c r="E241" s="423">
        <f>SUMPRODUCT(PRODUCE!$B244:$DY244,PRODUCE!$EB$7:$IY$7)</f>
        <v>17052</v>
      </c>
      <c r="F241" s="422">
        <v>26995.200000000001</v>
      </c>
      <c r="G241" s="423">
        <f t="shared" si="1496"/>
        <v>-9943.2000000000007</v>
      </c>
      <c r="H241" s="423">
        <f t="shared" si="1497"/>
        <v>195722.6</v>
      </c>
      <c r="I241" s="289"/>
      <c r="L241" s="55">
        <f t="shared" si="1498"/>
        <v>46227</v>
      </c>
      <c r="M241" s="422">
        <v>22950</v>
      </c>
      <c r="N241" s="438">
        <f>SUMPRODUCT(PRODUCE!$B244:$DY244,PRODUCE!$EB$8:$IY$8)</f>
        <v>9834</v>
      </c>
      <c r="O241" s="422">
        <v>15554.2</v>
      </c>
      <c r="P241" s="438">
        <f t="shared" si="1499"/>
        <v>-5720.2000000000007</v>
      </c>
      <c r="Q241" s="438">
        <f t="shared" si="1500"/>
        <v>21295.000000000069</v>
      </c>
      <c r="R241" s="56"/>
      <c r="U241" s="55">
        <f t="shared" si="1501"/>
        <v>46227</v>
      </c>
      <c r="V241" s="422"/>
      <c r="W241" s="440">
        <f>SUMPRODUCT(PRODUCE!$B244:$DY244,PRODUCE!$EB$9:$IY$9)</f>
        <v>750</v>
      </c>
      <c r="X241" s="422">
        <v>1650.3</v>
      </c>
      <c r="Y241" s="440">
        <f t="shared" si="1502"/>
        <v>-900.3</v>
      </c>
      <c r="Z241" s="440">
        <f t="shared" si="1503"/>
        <v>35427.099999999969</v>
      </c>
      <c r="AA241" s="56"/>
      <c r="AD241" s="55">
        <f t="shared" si="1504"/>
        <v>46227</v>
      </c>
      <c r="AE241" s="422"/>
      <c r="AF241" s="442">
        <f>SUMPRODUCT(PRODUCE!$B244:$DY244,PRODUCE!$EB$10:$IY$10)</f>
        <v>0</v>
      </c>
      <c r="AG241" s="422"/>
      <c r="AH241" s="442">
        <f t="shared" si="1505"/>
        <v>0</v>
      </c>
      <c r="AI241" s="442">
        <f t="shared" si="1506"/>
        <v>31872.200000000019</v>
      </c>
      <c r="AJ241" s="56"/>
      <c r="AM241" s="55">
        <f t="shared" si="1507"/>
        <v>46227</v>
      </c>
      <c r="AN241" s="422"/>
      <c r="AO241" s="444">
        <f>SUMPRODUCT(PRODUCE!$B244:$DY244,PRODUCE!$EB$11:$IY$11)</f>
        <v>0</v>
      </c>
      <c r="AP241" s="422"/>
      <c r="AQ241" s="444">
        <f t="shared" si="1508"/>
        <v>0</v>
      </c>
      <c r="AR241" s="444">
        <f t="shared" si="1509"/>
        <v>0</v>
      </c>
      <c r="AS241" s="56"/>
      <c r="AV241" s="55">
        <f t="shared" si="1510"/>
        <v>46227</v>
      </c>
      <c r="AW241" s="422"/>
      <c r="AX241" s="446">
        <f>SUMPRODUCT(PRODUCE!$B244:$DY244,PRODUCE!$EB$12:$IY$12)</f>
        <v>606</v>
      </c>
      <c r="AY241" s="422">
        <v>601.6</v>
      </c>
      <c r="AZ241" s="446">
        <f t="shared" si="1511"/>
        <v>4.3999999999999773</v>
      </c>
      <c r="BA241" s="446">
        <f t="shared" si="1512"/>
        <v>124.99999999999523</v>
      </c>
      <c r="BB241" s="56"/>
      <c r="BE241" s="55">
        <f t="shared" si="1513"/>
        <v>46227</v>
      </c>
      <c r="BF241" s="422"/>
      <c r="BG241" s="448">
        <f>SUMPRODUCT(PRODUCE!$B244:$DY244,PRODUCE!$EB$13:$IY$13)</f>
        <v>0</v>
      </c>
      <c r="BH241" s="422">
        <v>350.8</v>
      </c>
      <c r="BI241" s="448">
        <f t="shared" si="1514"/>
        <v>-350.8</v>
      </c>
      <c r="BJ241" s="448">
        <f t="shared" si="1515"/>
        <v>28237.499999999996</v>
      </c>
      <c r="BK241" s="56"/>
      <c r="BN241" s="55">
        <f t="shared" si="1516"/>
        <v>46227</v>
      </c>
      <c r="BO241" s="422">
        <v>767.9</v>
      </c>
      <c r="BP241" s="450">
        <f>SUMPRODUCT(PRODUCE!$B244:$DY244,PRODUCE!$EB$14:$IY$14)</f>
        <v>345</v>
      </c>
      <c r="BQ241" s="422">
        <v>767.9</v>
      </c>
      <c r="BR241" s="450">
        <f t="shared" si="1517"/>
        <v>-422.9</v>
      </c>
      <c r="BS241" s="450">
        <f t="shared" si="1518"/>
        <v>0</v>
      </c>
      <c r="BT241" s="56"/>
      <c r="BW241" s="55">
        <f t="shared" si="1519"/>
        <v>46227</v>
      </c>
      <c r="BX241" s="422"/>
      <c r="BY241" s="523">
        <f>SUMPRODUCT(PRODUCE!$B244:$DY244,PRODUCE!$EB$15:$IY$15)</f>
        <v>0</v>
      </c>
      <c r="BZ241" s="422">
        <f>67.5+259.05+94.2+14.71+131.91</f>
        <v>567.37</v>
      </c>
      <c r="CA241" s="523">
        <f t="shared" si="1520"/>
        <v>-567.37</v>
      </c>
      <c r="CB241" s="523">
        <f t="shared" si="1521"/>
        <v>5369.9899999999989</v>
      </c>
      <c r="CC241" s="56"/>
      <c r="CF241" s="55">
        <f t="shared" si="1522"/>
        <v>46227</v>
      </c>
      <c r="CG241" s="422"/>
      <c r="CH241" s="524">
        <f>SUMPRODUCT(PRODUCE!$B244:$DY244,PRODUCE!$EB$16:$IY$16)</f>
        <v>0</v>
      </c>
      <c r="CI241" s="422">
        <f>128.4+192.6+274.34+99.76+19.81+244.56</f>
        <v>959.4699999999998</v>
      </c>
      <c r="CJ241" s="524">
        <f t="shared" si="1523"/>
        <v>-959.4699999999998</v>
      </c>
      <c r="CK241" s="524">
        <f t="shared" si="1524"/>
        <v>-9060.8299999999981</v>
      </c>
      <c r="CL241" s="56"/>
      <c r="CO241" s="55">
        <f t="shared" si="1525"/>
        <v>46227</v>
      </c>
      <c r="CP241" s="422"/>
      <c r="CQ241" s="470">
        <f>SUMPRODUCT(PRODUCE!$B244:$DY244,PRODUCE!$EB$17:$IY$17)</f>
        <v>0</v>
      </c>
      <c r="CR241" s="422"/>
      <c r="CS241" s="470">
        <f t="shared" si="1526"/>
        <v>0</v>
      </c>
      <c r="CT241" s="470">
        <f t="shared" si="1527"/>
        <v>0</v>
      </c>
      <c r="CU241" s="56"/>
      <c r="CX241" s="55">
        <f t="shared" si="1528"/>
        <v>46227</v>
      </c>
      <c r="CY241" s="422"/>
      <c r="CZ241" s="525">
        <f>SUMPRODUCT(PRODUCE!$B244:$DY244,PRODUCE!$EB$18:$IY$18)</f>
        <v>0</v>
      </c>
      <c r="DA241" s="422"/>
      <c r="DB241" s="525">
        <f t="shared" si="1529"/>
        <v>0</v>
      </c>
      <c r="DC241" s="525">
        <f t="shared" si="1530"/>
        <v>31111.600000000006</v>
      </c>
      <c r="DD241" s="56"/>
      <c r="DG241" s="55">
        <f t="shared" si="1531"/>
        <v>46227</v>
      </c>
      <c r="DH241" s="422"/>
      <c r="DI241" s="526">
        <f>SUMPRODUCT(PRODUCE!$B244:$DY244,PRODUCE!$EB$19:$IY$19)</f>
        <v>750</v>
      </c>
      <c r="DJ241" s="422">
        <v>751.6</v>
      </c>
      <c r="DK241" s="526">
        <f t="shared" si="1532"/>
        <v>-1.6000000000000227</v>
      </c>
      <c r="DL241" s="526">
        <f t="shared" si="1533"/>
        <v>32282.299999999981</v>
      </c>
      <c r="DM241" s="56"/>
      <c r="DP241" s="55">
        <f t="shared" si="1534"/>
        <v>46227</v>
      </c>
      <c r="DQ241" s="56"/>
      <c r="DR241" s="57">
        <f>SUMPRODUCT(PRODUCE!$B244:$DY244,PRODUCE!$EB$20:$IY$20)</f>
        <v>0</v>
      </c>
      <c r="DS241" s="56"/>
      <c r="DT241" s="57">
        <f t="shared" si="1535"/>
        <v>0</v>
      </c>
      <c r="DU241" s="57">
        <f t="shared" si="1536"/>
        <v>5800</v>
      </c>
      <c r="DV241" s="56"/>
      <c r="DY241" s="55">
        <f t="shared" si="1537"/>
        <v>46227</v>
      </c>
      <c r="DZ241" s="56"/>
      <c r="EA241" s="157">
        <f>SUMPRODUCT(PRODUCE!$B244:$DY244,PRODUCE!$EB$21:$IY$21)</f>
        <v>0</v>
      </c>
      <c r="EB241" s="56"/>
      <c r="EC241" s="157">
        <f t="shared" si="1538"/>
        <v>0</v>
      </c>
      <c r="ED241" s="157">
        <f t="shared" si="1539"/>
        <v>0</v>
      </c>
      <c r="EE241" s="56"/>
      <c r="EH241" s="55">
        <f t="shared" si="1540"/>
        <v>46227</v>
      </c>
      <c r="EI241" s="56"/>
      <c r="EJ241" s="162">
        <f>SUMPRODUCT(PRODUCE!$B244:$DY244,PRODUCE!$EB$22:$IY$22)</f>
        <v>0</v>
      </c>
      <c r="EK241" s="56"/>
      <c r="EL241" s="162">
        <f t="shared" si="1541"/>
        <v>0</v>
      </c>
      <c r="EM241" s="162">
        <f t="shared" si="1542"/>
        <v>0</v>
      </c>
      <c r="EN241" s="56"/>
      <c r="EQ241" s="55">
        <f t="shared" si="1543"/>
        <v>46227</v>
      </c>
      <c r="ER241" s="56"/>
      <c r="ES241" s="172">
        <f>SUMPRODUCT(PRODUCE!$B244:$DY244,PRODUCE!$EB$23:$IY$23)</f>
        <v>0</v>
      </c>
      <c r="ET241" s="56"/>
      <c r="EU241" s="135">
        <f t="shared" si="1544"/>
        <v>0</v>
      </c>
      <c r="EV241" s="135">
        <f t="shared" si="1545"/>
        <v>0</v>
      </c>
      <c r="EW241" s="56"/>
      <c r="EZ241" s="55">
        <f t="shared" si="1546"/>
        <v>46227</v>
      </c>
      <c r="FA241" s="56"/>
      <c r="FB241" s="175">
        <f>SUMPRODUCT(PRODUCE!$B244:$DY244,PRODUCE!$EB$24:$IY$24)</f>
        <v>0</v>
      </c>
      <c r="FC241" s="56"/>
      <c r="FD241" s="175">
        <f t="shared" si="1547"/>
        <v>0</v>
      </c>
      <c r="FE241" s="175">
        <f t="shared" si="1548"/>
        <v>0</v>
      </c>
      <c r="FF241" s="56"/>
      <c r="FI241" s="55">
        <f t="shared" si="1549"/>
        <v>46227</v>
      </c>
      <c r="FJ241" s="56"/>
      <c r="FK241" s="183">
        <f>SUMPRODUCT(PRODUCE!$B244:$DY244,PRODUCE!$EB$25:$IY$25)</f>
        <v>0</v>
      </c>
      <c r="FL241" s="56"/>
      <c r="FM241" s="183">
        <f t="shared" si="1550"/>
        <v>0</v>
      </c>
      <c r="FN241" s="183">
        <f t="shared" si="1551"/>
        <v>0</v>
      </c>
      <c r="FO241" s="56"/>
      <c r="FR241" s="55">
        <f t="shared" si="1552"/>
        <v>46227</v>
      </c>
      <c r="FS241" s="56"/>
      <c r="FT241" s="186">
        <f>SUMPRODUCT(PRODUCE!$B244:$DY244,PRODUCE!$EB$26:$IY$26)</f>
        <v>0</v>
      </c>
      <c r="FU241" s="56">
        <f>600+20</f>
        <v>620</v>
      </c>
      <c r="FV241" s="186">
        <f t="shared" si="1553"/>
        <v>-620</v>
      </c>
      <c r="FW241" s="186">
        <f t="shared" si="1554"/>
        <v>540</v>
      </c>
      <c r="FX241" s="56">
        <f>FU241/20</f>
        <v>31</v>
      </c>
      <c r="GA241" s="55">
        <f t="shared" si="1555"/>
        <v>46227</v>
      </c>
      <c r="GB241" s="56"/>
      <c r="GC241" s="137">
        <f>SUMPRODUCT(PRODUCE!$B244:$DY244,PRODUCE!$EB$27:$IY$27)</f>
        <v>0</v>
      </c>
      <c r="GD241" s="56"/>
      <c r="GE241" s="137">
        <f t="shared" si="1556"/>
        <v>0</v>
      </c>
      <c r="GF241" s="137">
        <f t="shared" si="1557"/>
        <v>960</v>
      </c>
      <c r="GG241" s="56"/>
      <c r="GI241" s="23"/>
      <c r="GJ241" s="55">
        <f t="shared" si="1558"/>
        <v>46227</v>
      </c>
      <c r="GK241" s="56"/>
      <c r="GL241" s="199">
        <f>SUMPRODUCT(PRODUCE!$B244:$DY244,PRODUCE!$EB$28:$IY$28)</f>
        <v>0</v>
      </c>
      <c r="GM241" s="56"/>
      <c r="GN241" s="199">
        <f t="shared" si="1559"/>
        <v>0</v>
      </c>
      <c r="GO241" s="199">
        <f t="shared" si="1560"/>
        <v>1760</v>
      </c>
      <c r="GP241" s="56"/>
      <c r="GS241" s="55">
        <f t="shared" si="1561"/>
        <v>46227</v>
      </c>
      <c r="GT241" s="56"/>
      <c r="GU241" s="195">
        <f>SUMPRODUCT(PRODUCE!$B244:$DY244,PRODUCE!$EB$29:$IY$29)</f>
        <v>0</v>
      </c>
      <c r="GV241" s="56"/>
      <c r="GW241" s="195">
        <f t="shared" si="1562"/>
        <v>0</v>
      </c>
      <c r="GX241" s="195">
        <f t="shared" si="1563"/>
        <v>400</v>
      </c>
      <c r="GY241" s="56"/>
      <c r="HB241" s="55">
        <f t="shared" si="1564"/>
        <v>46227</v>
      </c>
      <c r="HC241" s="56"/>
      <c r="HD241" s="191">
        <f>SUMPRODUCT(PRODUCE!$B244:$DY244,PRODUCE!$EB$30:$IY$30)</f>
        <v>0</v>
      </c>
      <c r="HE241" s="56"/>
      <c r="HF241" s="191">
        <f t="shared" si="1565"/>
        <v>0</v>
      </c>
      <c r="HG241" s="191">
        <f t="shared" si="1566"/>
        <v>3600</v>
      </c>
      <c r="HH241" s="56"/>
      <c r="HK241" s="55">
        <f t="shared" si="1567"/>
        <v>46227</v>
      </c>
      <c r="HL241" s="56"/>
      <c r="HM241" s="63">
        <f>SUMPRODUCT(PRODUCE!$B244:$DY244,PRODUCE!$EB$31:$IY$31)</f>
        <v>0</v>
      </c>
      <c r="HN241" s="56"/>
      <c r="HO241" s="63">
        <f t="shared" si="1568"/>
        <v>0</v>
      </c>
      <c r="HP241" s="63">
        <f t="shared" si="1569"/>
        <v>0</v>
      </c>
      <c r="HQ241" s="56"/>
      <c r="HU241" s="55">
        <f t="shared" si="1570"/>
        <v>46227</v>
      </c>
      <c r="HV241" s="56"/>
      <c r="HW241" s="242">
        <f>SUMPRODUCT(PRODUCE!$B244:$DY244,PRODUCE!$EB$32:$IY$32)</f>
        <v>0</v>
      </c>
      <c r="HX241" s="56"/>
      <c r="HY241" s="242">
        <f t="shared" si="1571"/>
        <v>0</v>
      </c>
      <c r="HZ241" s="242">
        <f t="shared" si="1572"/>
        <v>5920</v>
      </c>
      <c r="IA241" s="56"/>
      <c r="ID241" s="55">
        <f t="shared" si="1573"/>
        <v>46227</v>
      </c>
      <c r="IE241" s="56"/>
      <c r="IF241" s="242">
        <f>SUMPRODUCT(PRODUCE!$B244:$DY244,PRODUCE!$EB$33:$IY$33)</f>
        <v>0</v>
      </c>
      <c r="IG241" s="56"/>
      <c r="IH241" s="242">
        <f t="shared" si="1574"/>
        <v>0</v>
      </c>
      <c r="II241" s="242">
        <f t="shared" si="1575"/>
        <v>720</v>
      </c>
      <c r="IJ241" s="56"/>
      <c r="IM241" s="55">
        <f t="shared" si="1576"/>
        <v>46227</v>
      </c>
      <c r="IN241" s="56"/>
      <c r="IO241" s="242">
        <f>SUMPRODUCT(PRODUCE!$B244:$DY244,PRODUCE!$EB$34:$IY$34)</f>
        <v>0</v>
      </c>
      <c r="IP241" s="56">
        <f>400+600</f>
        <v>1000</v>
      </c>
      <c r="IQ241" s="242">
        <f t="shared" si="1577"/>
        <v>-1000</v>
      </c>
      <c r="IR241" s="242">
        <f t="shared" si="1578"/>
        <v>3280</v>
      </c>
      <c r="IS241" s="56">
        <f>IP241/20</f>
        <v>50</v>
      </c>
      <c r="IV241" s="55">
        <f t="shared" si="1579"/>
        <v>46227</v>
      </c>
      <c r="IW241" s="56"/>
      <c r="IX241" s="242">
        <f>SUMPRODUCT(PRODUCE!$B244:$DY244,PRODUCE!$EB$35:$IY$35)</f>
        <v>0</v>
      </c>
      <c r="IY241" s="56"/>
      <c r="IZ241" s="242">
        <f t="shared" si="1580"/>
        <v>0</v>
      </c>
      <c r="JA241" s="242">
        <f t="shared" si="1581"/>
        <v>4960</v>
      </c>
      <c r="JB241" s="56"/>
      <c r="JE241" s="55">
        <f t="shared" si="1582"/>
        <v>46227</v>
      </c>
      <c r="JF241" s="56"/>
      <c r="JG241" s="242">
        <f>SUMPRODUCT(PRODUCE!$B244:$DY244,PRODUCE!$EB$36:$IY$36)</f>
        <v>0</v>
      </c>
      <c r="JH241" s="56"/>
      <c r="JI241" s="242">
        <f t="shared" si="1583"/>
        <v>0</v>
      </c>
      <c r="JJ241" s="242">
        <f t="shared" si="1584"/>
        <v>0</v>
      </c>
      <c r="JK241" s="56"/>
      <c r="JN241" s="55">
        <f t="shared" si="1585"/>
        <v>46227</v>
      </c>
      <c r="JO241" s="56"/>
      <c r="JP241" s="242">
        <f>SUMPRODUCT(PRODUCE!$B244:$DY244,PRODUCE!$EB$37:$IY$37)</f>
        <v>0</v>
      </c>
      <c r="JQ241" s="56"/>
      <c r="JR241" s="242">
        <f t="shared" si="1586"/>
        <v>0</v>
      </c>
      <c r="JS241" s="242">
        <f t="shared" si="1587"/>
        <v>0</v>
      </c>
      <c r="JT241" s="56"/>
      <c r="JW241" s="55">
        <f t="shared" si="1588"/>
        <v>46227</v>
      </c>
      <c r="JX241" s="56"/>
      <c r="JY241" s="242">
        <f>SUMPRODUCT(PRODUCE!$B244:$DY244,PRODUCE!$EB$38:$IY$38)</f>
        <v>0</v>
      </c>
      <c r="JZ241" s="56"/>
      <c r="KA241" s="242">
        <f t="shared" si="1589"/>
        <v>0</v>
      </c>
      <c r="KB241" s="242">
        <f t="shared" si="1590"/>
        <v>2540</v>
      </c>
      <c r="KC241" s="56"/>
      <c r="KF241" s="55">
        <f t="shared" si="1591"/>
        <v>46227</v>
      </c>
      <c r="KG241" s="56"/>
      <c r="KH241" s="242">
        <f>SUMPRODUCT(PRODUCE!$B244:$DY244,PRODUCE!$EB$39:$IY$39)</f>
        <v>0</v>
      </c>
      <c r="KI241" s="56"/>
      <c r="KJ241" s="242">
        <f t="shared" si="1592"/>
        <v>0</v>
      </c>
      <c r="KK241" s="242">
        <f t="shared" si="1593"/>
        <v>2359.5</v>
      </c>
      <c r="KL241" s="56"/>
      <c r="KO241" s="55">
        <f t="shared" si="1594"/>
        <v>46227</v>
      </c>
      <c r="KP241" s="56"/>
      <c r="KQ241" s="242">
        <f>SUMPRODUCT(PRODUCE!$B244:$DY244,PRODUCE!$EB$40:$IY$40)</f>
        <v>0</v>
      </c>
      <c r="KR241" s="56"/>
      <c r="KS241" s="242">
        <f t="shared" si="1595"/>
        <v>0</v>
      </c>
      <c r="KT241" s="242">
        <f t="shared" si="1596"/>
        <v>1890</v>
      </c>
      <c r="KU241" s="56"/>
      <c r="KW241" s="23"/>
      <c r="KX241" s="55">
        <f t="shared" si="1597"/>
        <v>46227</v>
      </c>
      <c r="KY241" s="56"/>
      <c r="KZ241" s="242">
        <f>SUMPRODUCT(PRODUCE!$B244:$DY244,PRODUCE!$EB$41:$IY$41)</f>
        <v>0</v>
      </c>
      <c r="LA241" s="56"/>
      <c r="LB241" s="242">
        <f t="shared" si="1598"/>
        <v>0</v>
      </c>
      <c r="LC241" s="242">
        <f t="shared" si="1599"/>
        <v>3690</v>
      </c>
      <c r="LD241" s="56"/>
      <c r="LG241" s="55">
        <f t="shared" si="1600"/>
        <v>46227</v>
      </c>
      <c r="LH241" s="56"/>
      <c r="LI241" s="242">
        <f>SUMPRODUCT(PRODUCE!$B244:$DY244,PRODUCE!$EB$42:$IY$42)</f>
        <v>0</v>
      </c>
      <c r="LJ241" s="56"/>
      <c r="LK241" s="242">
        <f t="shared" si="1601"/>
        <v>0</v>
      </c>
      <c r="LL241" s="242">
        <f t="shared" si="1602"/>
        <v>4000</v>
      </c>
      <c r="LM241" s="56"/>
      <c r="LP241" s="55">
        <f t="shared" si="1603"/>
        <v>46227</v>
      </c>
      <c r="LQ241" s="56"/>
      <c r="LR241" s="242">
        <f>SUMPRODUCT(PRODUCE!$B244:$DY244,PRODUCE!$EB$43:$IY$43)</f>
        <v>0</v>
      </c>
      <c r="LS241" s="56"/>
      <c r="LT241" s="242">
        <f t="shared" si="1604"/>
        <v>0</v>
      </c>
      <c r="LU241" s="242">
        <f t="shared" si="1605"/>
        <v>0</v>
      </c>
      <c r="LV241" s="56"/>
      <c r="LY241" s="55">
        <f t="shared" si="1606"/>
        <v>46227</v>
      </c>
      <c r="LZ241" s="56"/>
      <c r="MA241" s="242">
        <f>SUMPRODUCT(PRODUCE!$B244:$DY244,PRODUCE!$EB$44:$IY$44)</f>
        <v>0</v>
      </c>
      <c r="MB241" s="56"/>
      <c r="MC241" s="242">
        <f t="shared" si="1607"/>
        <v>0</v>
      </c>
      <c r="MD241" s="242">
        <f t="shared" si="1608"/>
        <v>0</v>
      </c>
      <c r="ME241" s="56"/>
      <c r="MH241" s="55">
        <f t="shared" si="1609"/>
        <v>46227</v>
      </c>
      <c r="MI241" s="56"/>
      <c r="MJ241" s="242">
        <f>SUMPRODUCT(PRODUCE!$B244:$DY244,PRODUCE!$EB$45:$IY$45)</f>
        <v>0</v>
      </c>
      <c r="MK241" s="56"/>
      <c r="ML241" s="242">
        <f t="shared" si="1610"/>
        <v>0</v>
      </c>
      <c r="MM241" s="242">
        <f t="shared" si="1611"/>
        <v>0</v>
      </c>
      <c r="MN241" s="56"/>
      <c r="MQ241" s="55">
        <f t="shared" si="1612"/>
        <v>46227</v>
      </c>
      <c r="MR241" s="56"/>
      <c r="MS241" s="242">
        <f>SUMPRODUCT(PRODUCE!$B244:$DY244,PRODUCE!$EB$46:$IY$46)</f>
        <v>0</v>
      </c>
      <c r="MT241" s="56">
        <f>15+20+51+30+22+8+2+30</f>
        <v>178</v>
      </c>
      <c r="MU241" s="242">
        <f t="shared" si="1613"/>
        <v>-178</v>
      </c>
      <c r="MV241" s="242">
        <f t="shared" si="1614"/>
        <v>2362</v>
      </c>
      <c r="MW241" s="56"/>
      <c r="MZ241" s="55">
        <f t="shared" si="1615"/>
        <v>46227</v>
      </c>
      <c r="NA241" s="56">
        <v>894</v>
      </c>
      <c r="NB241" s="242">
        <f>SUMPRODUCT(PRODUCE!$B244:$DY244,PRODUCE!$EB$47:$IY$47)</f>
        <v>0</v>
      </c>
      <c r="NC241" s="56">
        <f>60+90+264+96+24+360</f>
        <v>894</v>
      </c>
      <c r="ND241" s="242">
        <f t="shared" si="1616"/>
        <v>-894</v>
      </c>
      <c r="NE241" s="242">
        <f t="shared" si="1617"/>
        <v>0</v>
      </c>
      <c r="NF241" s="56"/>
      <c r="NI241" s="55">
        <f t="shared" si="1618"/>
        <v>46227</v>
      </c>
      <c r="NJ241" s="56"/>
      <c r="NK241" s="242">
        <f>SUMPRODUCT(PRODUCE!$B244:$DY244,PRODUCE!$EB$48:$IY$48)</f>
        <v>0</v>
      </c>
      <c r="NL241" s="56"/>
      <c r="NM241" s="242">
        <f t="shared" si="1619"/>
        <v>0</v>
      </c>
      <c r="NN241" s="242">
        <f t="shared" si="1620"/>
        <v>1127</v>
      </c>
      <c r="NO241" s="56"/>
      <c r="NR241" s="55">
        <f t="shared" si="1621"/>
        <v>46227</v>
      </c>
      <c r="NS241" s="56"/>
      <c r="NT241" s="242">
        <f>SUMPRODUCT(PRODUCE!$B244:$DY244,PRODUCE!$EB$49:$IY$49)</f>
        <v>0</v>
      </c>
      <c r="NU241" s="56"/>
      <c r="NV241" s="242">
        <f t="shared" si="1622"/>
        <v>0</v>
      </c>
      <c r="NW241" s="242">
        <f t="shared" si="1623"/>
        <v>3111.9999999999995</v>
      </c>
      <c r="NX241" s="56"/>
      <c r="OA241" s="55">
        <f t="shared" si="1624"/>
        <v>46227</v>
      </c>
      <c r="OB241" s="56"/>
      <c r="OC241" s="242">
        <f>SUMPRODUCT(PRODUCE!$B244:$DY244,PRODUCE!$EB$50:$IY$50)</f>
        <v>0</v>
      </c>
      <c r="OD241" s="56"/>
      <c r="OE241" s="242">
        <f t="shared" si="1625"/>
        <v>0</v>
      </c>
      <c r="OF241" s="242">
        <f t="shared" si="1626"/>
        <v>1680.5</v>
      </c>
      <c r="OG241" s="56"/>
      <c r="OJ241" s="55">
        <f t="shared" si="1627"/>
        <v>46227</v>
      </c>
      <c r="OK241" s="56">
        <v>146.19999999999999</v>
      </c>
      <c r="OL241" s="242">
        <f>SUMPRODUCT(PRODUCE!$B244:$DY244,PRODUCE!$EB$51:$IY$51)</f>
        <v>0</v>
      </c>
      <c r="OM241" s="56">
        <f>61.6+22.4+5.2+57</f>
        <v>146.19999999999999</v>
      </c>
      <c r="ON241" s="242">
        <f t="shared" si="1628"/>
        <v>-146.19999999999999</v>
      </c>
      <c r="OO241" s="242">
        <f t="shared" si="1629"/>
        <v>0</v>
      </c>
      <c r="OP241" s="56"/>
      <c r="OS241" s="55">
        <f t="shared" si="1630"/>
        <v>46227</v>
      </c>
      <c r="OT241" s="56"/>
      <c r="OU241" s="242">
        <f>SUMPRODUCT(PRODUCE!$B244:$DY244,PRODUCE!$EB$52:$IY$52)</f>
        <v>0</v>
      </c>
      <c r="OV241" s="56"/>
      <c r="OW241" s="242">
        <f t="shared" si="1631"/>
        <v>0</v>
      </c>
      <c r="OX241" s="242">
        <f t="shared" si="1632"/>
        <v>1482</v>
      </c>
      <c r="OY241" s="56"/>
      <c r="PB241" s="55">
        <f t="shared" si="1633"/>
        <v>46227</v>
      </c>
      <c r="PC241" s="56"/>
      <c r="PD241" s="242">
        <f>SUMPRODUCT(PRODUCE!$B244:$DY244,PRODUCE!$EB$53:$IY$53)</f>
        <v>0</v>
      </c>
      <c r="PE241" s="56"/>
      <c r="PF241" s="242">
        <f t="shared" si="1634"/>
        <v>0</v>
      </c>
      <c r="PG241" s="242">
        <f t="shared" si="1635"/>
        <v>0</v>
      </c>
      <c r="PH241" s="56"/>
      <c r="PK241" s="55">
        <f t="shared" si="1636"/>
        <v>46227</v>
      </c>
      <c r="PL241" s="56"/>
      <c r="PM241" s="242">
        <f>SUMPRODUCT(PRODUCE!$B244:$DY244,PRODUCE!$EB$54:$IY$54)</f>
        <v>0</v>
      </c>
      <c r="PN241" s="56"/>
      <c r="PO241" s="242">
        <f t="shared" si="1637"/>
        <v>0</v>
      </c>
      <c r="PP241" s="242">
        <f t="shared" si="1638"/>
        <v>100</v>
      </c>
      <c r="PQ241" s="56"/>
      <c r="PT241" s="55">
        <f t="shared" si="1639"/>
        <v>46227</v>
      </c>
      <c r="PU241" s="56"/>
      <c r="PV241" s="242">
        <f>SUMPRODUCT(PRODUCE!$B244:$DY244,PRODUCE!$EB$55:$IY$55)</f>
        <v>0</v>
      </c>
      <c r="PW241" s="56"/>
      <c r="PX241" s="242">
        <f t="shared" si="1640"/>
        <v>0</v>
      </c>
      <c r="PY241" s="242">
        <f t="shared" si="1641"/>
        <v>13.960000000000036</v>
      </c>
      <c r="PZ241" s="56"/>
      <c r="QC241" s="55">
        <f t="shared" si="1642"/>
        <v>46227</v>
      </c>
      <c r="QD241" s="56"/>
      <c r="QE241" s="242">
        <f>SUMPRODUCT(PRODUCE!$B244:$DY244,PRODUCE!$EB$56:$IY$56)</f>
        <v>0</v>
      </c>
      <c r="QF241" s="56">
        <f>40+408+120</f>
        <v>568</v>
      </c>
      <c r="QG241" s="242">
        <f t="shared" si="1643"/>
        <v>-568</v>
      </c>
      <c r="QH241" s="242">
        <f t="shared" si="1644"/>
        <v>1120</v>
      </c>
      <c r="QI241" s="56"/>
      <c r="QL241" s="55">
        <f t="shared" si="1645"/>
        <v>46227</v>
      </c>
      <c r="QM241" s="56"/>
      <c r="QN241" s="242">
        <f>SUMPRODUCT(PRODUCE!$B244:$DY244,PRODUCE!$EB$57:$IY$57)</f>
        <v>0</v>
      </c>
      <c r="QO241" s="56"/>
      <c r="QP241" s="242">
        <f t="shared" si="1646"/>
        <v>0</v>
      </c>
      <c r="QQ241" s="242">
        <f t="shared" si="1647"/>
        <v>0</v>
      </c>
      <c r="QR241" s="56"/>
      <c r="QU241" s="55">
        <f t="shared" si="1648"/>
        <v>46227</v>
      </c>
      <c r="QV241" s="56"/>
      <c r="QW241" s="242">
        <f>SUMPRODUCT(PRODUCE!$B244:$DY244,PRODUCE!$EB$58:$IY$58)</f>
        <v>0</v>
      </c>
      <c r="QX241" s="56"/>
      <c r="QY241" s="242">
        <f t="shared" si="1649"/>
        <v>0</v>
      </c>
      <c r="QZ241" s="242">
        <f t="shared" si="1650"/>
        <v>207.6</v>
      </c>
      <c r="RA241" s="56"/>
      <c r="RD241" s="55">
        <f t="shared" si="1651"/>
        <v>46227</v>
      </c>
      <c r="RE241" s="56"/>
      <c r="RF241" s="242">
        <f>SUMPRODUCT(PRODUCE!$B244:$DY244,PRODUCE!$EB$59:$IY$59)</f>
        <v>0</v>
      </c>
      <c r="RG241" s="56"/>
      <c r="RH241" s="242">
        <f t="shared" si="1652"/>
        <v>0</v>
      </c>
      <c r="RI241" s="242">
        <f t="shared" si="1653"/>
        <v>147.04000000000002</v>
      </c>
      <c r="RJ241" s="56"/>
      <c r="RM241" s="55">
        <f t="shared" si="1654"/>
        <v>46227</v>
      </c>
      <c r="RN241" s="56"/>
      <c r="RO241" s="242">
        <f>SUMPRODUCT(PRODUCE!$B244:$DY244,PRODUCE!$EB$60:$IY$60)</f>
        <v>0</v>
      </c>
      <c r="RP241" s="56"/>
      <c r="RQ241" s="242">
        <f t="shared" si="1655"/>
        <v>0</v>
      </c>
      <c r="RR241" s="242">
        <f t="shared" si="1656"/>
        <v>46.8</v>
      </c>
      <c r="RS241" s="56"/>
      <c r="RV241" s="55">
        <f t="shared" si="1657"/>
        <v>46227</v>
      </c>
      <c r="RW241" s="56"/>
      <c r="RX241" s="242">
        <f>SUMPRODUCT(PRODUCE!$B244:$DY244,PRODUCE!$EB$61:$IY$61)</f>
        <v>0</v>
      </c>
      <c r="RY241" s="56"/>
      <c r="RZ241" s="242">
        <f t="shared" si="1658"/>
        <v>0</v>
      </c>
      <c r="SA241" s="242">
        <f t="shared" si="1659"/>
        <v>0</v>
      </c>
      <c r="SB241" s="56"/>
      <c r="SE241" s="55">
        <f t="shared" si="1660"/>
        <v>46227</v>
      </c>
      <c r="SF241" s="56"/>
      <c r="SG241" s="242">
        <f>SUMPRODUCT(PRODUCE!$B244:$DY244,PRODUCE!$EB$62:$IY$62)</f>
        <v>0</v>
      </c>
      <c r="SH241" s="56"/>
      <c r="SI241" s="242">
        <f t="shared" si="1661"/>
        <v>0</v>
      </c>
      <c r="SJ241" s="242">
        <f t="shared" si="1662"/>
        <v>24.200000000000003</v>
      </c>
      <c r="SK241" s="56"/>
      <c r="SN241" s="55">
        <f t="shared" si="1663"/>
        <v>46227</v>
      </c>
      <c r="SO241" s="56"/>
      <c r="SP241" s="242">
        <f>SUMPRODUCT(PRODUCE!$B244:$DY244,PRODUCE!$EB$63:$IY$63)</f>
        <v>0</v>
      </c>
      <c r="SQ241" s="56"/>
      <c r="SR241" s="242">
        <f t="shared" si="1664"/>
        <v>0</v>
      </c>
      <c r="SS241" s="242">
        <f t="shared" si="1665"/>
        <v>32</v>
      </c>
      <c r="ST241" s="56"/>
      <c r="SW241" s="55">
        <f t="shared" si="1666"/>
        <v>46227</v>
      </c>
      <c r="SX241" s="56"/>
      <c r="SY241" s="242">
        <f>SUMPRODUCT(PRODUCE!$B244:$DY244,PRODUCE!$EB$64:$IY$64)</f>
        <v>0</v>
      </c>
      <c r="SZ241" s="56"/>
      <c r="TA241" s="242">
        <f t="shared" si="1667"/>
        <v>0</v>
      </c>
      <c r="TB241" s="242">
        <f t="shared" si="1668"/>
        <v>0</v>
      </c>
      <c r="TC241" s="56"/>
      <c r="TF241" s="55">
        <f t="shared" si="1669"/>
        <v>46227</v>
      </c>
      <c r="TG241" s="56"/>
      <c r="TH241" s="242">
        <f>SUMPRODUCT(PRODUCE!$B244:$DY244,PRODUCE!$EB$57:$IY$57)</f>
        <v>0</v>
      </c>
      <c r="TI241" s="56"/>
      <c r="TJ241" s="242">
        <f t="shared" si="1670"/>
        <v>0</v>
      </c>
      <c r="TK241" s="242">
        <f t="shared" si="1671"/>
        <v>0</v>
      </c>
      <c r="TL241" s="56"/>
      <c r="TO241" s="55">
        <f t="shared" si="1672"/>
        <v>46227</v>
      </c>
      <c r="TP241" s="56"/>
      <c r="TQ241" s="242">
        <f>SUMPRODUCT(PRODUCE!$B244:$DY244,PRODUCE!$EB$57:$IY$57)</f>
        <v>0</v>
      </c>
      <c r="TR241" s="56">
        <v>12</v>
      </c>
      <c r="TS241" s="242">
        <f t="shared" si="1673"/>
        <v>-12</v>
      </c>
      <c r="TT241" s="242">
        <f t="shared" si="1674"/>
        <v>10.400000000000006</v>
      </c>
      <c r="TU241" s="56"/>
      <c r="TX241" s="55">
        <f t="shared" si="1675"/>
        <v>46227</v>
      </c>
      <c r="TY241" s="56"/>
      <c r="TZ241" s="242">
        <f>SUMPRODUCT(PRODUCE!$B244:$DY244,PRODUCE!$EB$57:$IY$57)</f>
        <v>0</v>
      </c>
      <c r="UA241" s="56"/>
      <c r="UB241" s="242">
        <f t="shared" si="1676"/>
        <v>0</v>
      </c>
      <c r="UC241" s="242">
        <f t="shared" si="1677"/>
        <v>46.799999999999983</v>
      </c>
      <c r="UD241" s="56"/>
      <c r="UG241" s="55">
        <f t="shared" si="1678"/>
        <v>46227</v>
      </c>
      <c r="UH241" s="56"/>
      <c r="UI241" s="242">
        <f>SUMPRODUCT(PRODUCE!$B244:$DY244,PRODUCE!$EB$57:$IY$57)</f>
        <v>0</v>
      </c>
      <c r="UJ241" s="56"/>
      <c r="UK241" s="242">
        <f t="shared" si="1679"/>
        <v>0</v>
      </c>
      <c r="UL241" s="242">
        <f t="shared" si="1680"/>
        <v>204</v>
      </c>
      <c r="UM241" s="56"/>
      <c r="UP241" s="55">
        <f t="shared" si="1681"/>
        <v>46227</v>
      </c>
      <c r="UQ241" s="56"/>
      <c r="UR241" s="242">
        <f>SUMPRODUCT(PRODUCE!$B244:$DY244,PRODUCE!$EB$69:$IY$69)</f>
        <v>0</v>
      </c>
      <c r="US241" s="56"/>
      <c r="UT241" s="242">
        <f t="shared" si="1682"/>
        <v>0</v>
      </c>
      <c r="UU241" s="242">
        <f t="shared" si="1683"/>
        <v>202.5</v>
      </c>
      <c r="UV241" s="56"/>
      <c r="UY241" s="55">
        <f t="shared" si="1684"/>
        <v>46227</v>
      </c>
      <c r="UZ241" s="56"/>
      <c r="VA241" s="242">
        <f>SUMPRODUCT(PRODUCE!$B244:$DY244,PRODUCE!$EB$70:$IY$70)</f>
        <v>0</v>
      </c>
      <c r="VB241" s="56"/>
      <c r="VC241" s="242">
        <f t="shared" si="1685"/>
        <v>0</v>
      </c>
      <c r="VD241" s="242">
        <f t="shared" si="1686"/>
        <v>41.600000000000023</v>
      </c>
      <c r="VE241" s="56"/>
      <c r="VH241" s="55">
        <f t="shared" si="1687"/>
        <v>46227</v>
      </c>
      <c r="VI241" s="56"/>
      <c r="VJ241" s="242">
        <f>SUMPRODUCT(PRODUCE!$B244:$DY244,PRODUCE!$EB$71:$IY$71)</f>
        <v>0</v>
      </c>
      <c r="VK241" s="56"/>
      <c r="VL241" s="242">
        <f t="shared" si="1688"/>
        <v>0</v>
      </c>
      <c r="VM241" s="242">
        <f t="shared" si="1689"/>
        <v>210</v>
      </c>
      <c r="VN241" s="56"/>
      <c r="VQ241" s="55">
        <f t="shared" si="1690"/>
        <v>46227</v>
      </c>
      <c r="VR241" s="56"/>
      <c r="VS241" s="242">
        <f>SUMPRODUCT(PRODUCE!$B244:$DY244,PRODUCE!$EB$57:$IY$57)</f>
        <v>0</v>
      </c>
      <c r="VT241" s="56"/>
      <c r="VU241" s="242">
        <f t="shared" si="1691"/>
        <v>0</v>
      </c>
      <c r="VV241" s="242">
        <f t="shared" si="1692"/>
        <v>0</v>
      </c>
      <c r="VW241" s="56"/>
      <c r="VZ241" s="55">
        <f t="shared" si="1693"/>
        <v>46227</v>
      </c>
      <c r="WA241" s="56"/>
      <c r="WB241" s="242">
        <f>SUMPRODUCT(PRODUCE!$B244:$DY244,PRODUCE!$EB$57:$IY$57)</f>
        <v>0</v>
      </c>
      <c r="WC241" s="56"/>
      <c r="WD241" s="242">
        <f t="shared" si="1694"/>
        <v>0</v>
      </c>
      <c r="WE241" s="242">
        <f t="shared" si="1695"/>
        <v>0</v>
      </c>
      <c r="WF241" s="56"/>
      <c r="WI241" s="55">
        <f t="shared" si="1696"/>
        <v>46227</v>
      </c>
      <c r="WJ241" s="56"/>
      <c r="WK241" s="242">
        <f>SUMPRODUCT(PRODUCE!$B244:$DY244,PRODUCE!$EB$57:$IY$57)</f>
        <v>0</v>
      </c>
      <c r="WL241" s="56"/>
      <c r="WM241" s="242">
        <f t="shared" si="1697"/>
        <v>0</v>
      </c>
      <c r="WN241" s="242">
        <f t="shared" si="1698"/>
        <v>1057</v>
      </c>
      <c r="WO241" s="56"/>
      <c r="WR241" s="55">
        <f t="shared" si="1699"/>
        <v>46227</v>
      </c>
      <c r="WS241" s="56"/>
      <c r="WT241" s="242">
        <f>SUMPRODUCT(PRODUCE!$B244:$DY244,PRODUCE!$EB$57:$IY$57)</f>
        <v>0</v>
      </c>
      <c r="WU241" s="56"/>
      <c r="WV241" s="242">
        <f t="shared" si="1700"/>
        <v>0</v>
      </c>
      <c r="WW241" s="242">
        <f t="shared" si="1701"/>
        <v>0</v>
      </c>
      <c r="WX241" s="56"/>
      <c r="XA241" s="55">
        <f t="shared" si="1702"/>
        <v>46227</v>
      </c>
      <c r="XB241" s="56"/>
      <c r="XC241" s="242">
        <f>SUMPRODUCT(PRODUCE!$B244:$DY244,PRODUCE!$EB$57:$IY$57)</f>
        <v>0</v>
      </c>
      <c r="XD241" s="56"/>
      <c r="XE241" s="242">
        <f t="shared" si="1703"/>
        <v>0</v>
      </c>
      <c r="XF241" s="242">
        <f t="shared" si="1704"/>
        <v>7507</v>
      </c>
      <c r="XG241" s="56"/>
      <c r="XJ241" s="55">
        <f t="shared" si="1705"/>
        <v>46227</v>
      </c>
      <c r="XK241" s="56"/>
      <c r="XL241" s="242">
        <f>SUMPRODUCT(PRODUCE!$B244:$DY244,PRODUCE!$EB$57:$IY$57)</f>
        <v>0</v>
      </c>
      <c r="XM241" s="56"/>
      <c r="XN241" s="242">
        <f t="shared" si="1706"/>
        <v>0</v>
      </c>
      <c r="XO241" s="242">
        <f t="shared" si="1707"/>
        <v>4252</v>
      </c>
      <c r="XP241" s="56"/>
      <c r="XS241" s="55">
        <f t="shared" si="1708"/>
        <v>46227</v>
      </c>
      <c r="XT241" s="56"/>
      <c r="XU241" s="242">
        <f>SUMPRODUCT(PRODUCE!$B244:$DY244,PRODUCE!$EB$57:$IY$57)</f>
        <v>0</v>
      </c>
      <c r="XV241" s="56"/>
      <c r="XW241" s="242">
        <f t="shared" si="1709"/>
        <v>0</v>
      </c>
      <c r="XX241" s="242">
        <f t="shared" si="1710"/>
        <v>2179</v>
      </c>
      <c r="XY241" s="56"/>
      <c r="YB241" s="55">
        <f t="shared" si="1711"/>
        <v>46227</v>
      </c>
      <c r="YC241" s="56"/>
      <c r="YD241" s="242">
        <f>SUMPRODUCT(PRODUCE!$B244:$DY244,PRODUCE!$EB$57:$IY$57)</f>
        <v>0</v>
      </c>
      <c r="YE241" s="56"/>
      <c r="YF241" s="242">
        <f t="shared" si="1712"/>
        <v>0</v>
      </c>
      <c r="YG241" s="242">
        <f t="shared" si="1713"/>
        <v>4019</v>
      </c>
      <c r="YH241" s="56"/>
      <c r="YK241" s="55">
        <f t="shared" si="1714"/>
        <v>46227</v>
      </c>
      <c r="YL241" s="56"/>
      <c r="YM241" s="242">
        <f>SUMPRODUCT(PRODUCE!$B244:$DY244,PRODUCE!$EB$57:$IY$57)</f>
        <v>0</v>
      </c>
      <c r="YN241" s="56"/>
      <c r="YO241" s="242">
        <f t="shared" si="1715"/>
        <v>0</v>
      </c>
      <c r="YP241" s="242">
        <f t="shared" si="1716"/>
        <v>0</v>
      </c>
      <c r="YQ241" s="56"/>
      <c r="YT241" s="55">
        <f t="shared" si="1717"/>
        <v>46227</v>
      </c>
      <c r="YU241" s="56"/>
      <c r="YV241" s="242">
        <f>SUMPRODUCT(PRODUCE!$B244:$DY244,PRODUCE!$EB$57:$IY$57)</f>
        <v>0</v>
      </c>
      <c r="YW241" s="56"/>
      <c r="YX241" s="242">
        <f t="shared" si="1718"/>
        <v>0</v>
      </c>
      <c r="YY241" s="242">
        <f t="shared" si="1719"/>
        <v>0</v>
      </c>
      <c r="YZ241" s="56"/>
      <c r="ZC241" s="55">
        <f t="shared" si="1720"/>
        <v>46227</v>
      </c>
      <c r="ZD241" s="56"/>
      <c r="ZE241" s="242">
        <f>SUMPRODUCT(PRODUCE!$B244:$DY244,PRODUCE!$EB$57:$IY$57)</f>
        <v>0</v>
      </c>
      <c r="ZF241" s="56"/>
      <c r="ZG241" s="242">
        <f t="shared" si="1721"/>
        <v>0</v>
      </c>
      <c r="ZH241" s="242">
        <f t="shared" si="1722"/>
        <v>0</v>
      </c>
      <c r="ZI241" s="56"/>
      <c r="ZL241" s="55">
        <f t="shared" si="1723"/>
        <v>46227</v>
      </c>
      <c r="ZM241" s="56"/>
      <c r="ZN241" s="242">
        <f>SUMPRODUCT(PRODUCE!$B244:$DY244,PRODUCE!$EB$57:$IY$57)</f>
        <v>0</v>
      </c>
      <c r="ZO241" s="56"/>
      <c r="ZP241" s="242">
        <f t="shared" si="1724"/>
        <v>0</v>
      </c>
      <c r="ZQ241" s="242">
        <f t="shared" si="1725"/>
        <v>0</v>
      </c>
      <c r="ZR241" s="56"/>
      <c r="ZU241" s="55">
        <f t="shared" si="1726"/>
        <v>46227</v>
      </c>
      <c r="ZV241" s="56"/>
      <c r="ZW241" s="242">
        <f>SUMPRODUCT(PRODUCE!$B244:$DY244,PRODUCE!$EB$57:$IY$57)</f>
        <v>0</v>
      </c>
      <c r="ZX241" s="56"/>
      <c r="ZY241" s="242">
        <f t="shared" si="1727"/>
        <v>0</v>
      </c>
      <c r="ZZ241" s="242">
        <f t="shared" si="1728"/>
        <v>0</v>
      </c>
      <c r="AAA241" s="56"/>
      <c r="AAD241" s="55">
        <f t="shared" si="1729"/>
        <v>46227</v>
      </c>
      <c r="AAE241" s="56"/>
      <c r="AAF241" s="242">
        <f>SUMPRODUCT(PRODUCE!$B244:$DY244,PRODUCE!$EB$57:$IY$57)</f>
        <v>0</v>
      </c>
      <c r="AAG241" s="56"/>
      <c r="AAH241" s="242">
        <f t="shared" si="1730"/>
        <v>0</v>
      </c>
      <c r="AAI241" s="242">
        <f t="shared" si="1731"/>
        <v>0</v>
      </c>
      <c r="AAJ241" s="56"/>
      <c r="AAM241" s="55">
        <f t="shared" si="1732"/>
        <v>46227</v>
      </c>
      <c r="AAN241" s="56"/>
      <c r="AAO241" s="242">
        <f>SUMPRODUCT(PRODUCE!$B244:$DY244,PRODUCE!$EB$57:$IY$57)</f>
        <v>0</v>
      </c>
      <c r="AAP241" s="56"/>
      <c r="AAQ241" s="242">
        <f t="shared" si="1733"/>
        <v>0</v>
      </c>
      <c r="AAR241" s="242">
        <f t="shared" si="1734"/>
        <v>0</v>
      </c>
      <c r="AAS241" s="56"/>
      <c r="AAV241" s="55">
        <f t="shared" si="1735"/>
        <v>46227</v>
      </c>
      <c r="AAW241" s="56"/>
      <c r="AAX241" s="242">
        <f>SUMPRODUCT(PRODUCE!$B244:$DY244,PRODUCE!$EB$57:$IY$57)</f>
        <v>0</v>
      </c>
      <c r="AAY241" s="56"/>
      <c r="AAZ241" s="242">
        <f t="shared" si="1736"/>
        <v>0</v>
      </c>
      <c r="ABA241" s="242">
        <f t="shared" si="1737"/>
        <v>0</v>
      </c>
      <c r="ABB241" s="56"/>
      <c r="ABE241" s="55">
        <f t="shared" si="1738"/>
        <v>46227</v>
      </c>
      <c r="ABF241" s="56"/>
      <c r="ABG241" s="242">
        <f>SUMPRODUCT(PRODUCE!$B244:$DY244,PRODUCE!$EB$57:$IY$57)</f>
        <v>0</v>
      </c>
      <c r="ABH241" s="56"/>
      <c r="ABI241" s="242">
        <f t="shared" si="1739"/>
        <v>0</v>
      </c>
      <c r="ABJ241" s="242">
        <f t="shared" si="1740"/>
        <v>0</v>
      </c>
      <c r="ABK241" s="56"/>
    </row>
    <row r="242" spans="1:739" s="54" customFormat="1" ht="15" customHeight="1" outlineLevel="1">
      <c r="B242" s="478"/>
      <c r="C242" s="55">
        <v>46228</v>
      </c>
      <c r="D242" s="422"/>
      <c r="E242" s="423">
        <f>SUMPRODUCT(PRODUCE!$B245:$DY245,PRODUCE!$EB$7:$IY$7)</f>
        <v>31656</v>
      </c>
      <c r="F242" s="422">
        <v>31712.2</v>
      </c>
      <c r="G242" s="423">
        <f t="shared" si="1496"/>
        <v>-56.200000000000728</v>
      </c>
      <c r="H242" s="423">
        <f t="shared" si="1497"/>
        <v>164010.4</v>
      </c>
      <c r="I242" s="289"/>
      <c r="L242" s="55">
        <f t="shared" si="1498"/>
        <v>46228</v>
      </c>
      <c r="M242" s="422">
        <v>24350</v>
      </c>
      <c r="N242" s="438">
        <f>SUMPRODUCT(PRODUCE!$B245:$DY245,PRODUCE!$EB$8:$IY$8)</f>
        <v>19007.099999999999</v>
      </c>
      <c r="O242" s="422">
        <v>19000.400000000001</v>
      </c>
      <c r="P242" s="438">
        <f t="shared" si="1499"/>
        <v>6.6999999999970896</v>
      </c>
      <c r="Q242" s="438">
        <f t="shared" si="1500"/>
        <v>26644.600000000071</v>
      </c>
      <c r="R242" s="56"/>
      <c r="U242" s="55">
        <f t="shared" si="1501"/>
        <v>46228</v>
      </c>
      <c r="V242" s="422"/>
      <c r="W242" s="440">
        <f>SUMPRODUCT(PRODUCE!$B245:$DY245,PRODUCE!$EB$9:$IY$9)</f>
        <v>3300</v>
      </c>
      <c r="X242" s="422">
        <v>3300.7</v>
      </c>
      <c r="Y242" s="440">
        <f t="shared" si="1502"/>
        <v>-0.6999999999998181</v>
      </c>
      <c r="Z242" s="440">
        <f t="shared" si="1503"/>
        <v>32126.399999999969</v>
      </c>
      <c r="AA242" s="56"/>
      <c r="AD242" s="55">
        <f t="shared" si="1504"/>
        <v>46228</v>
      </c>
      <c r="AE242" s="422"/>
      <c r="AF242" s="442">
        <f>SUMPRODUCT(PRODUCE!$B245:$DY245,PRODUCE!$EB$10:$IY$10)</f>
        <v>0</v>
      </c>
      <c r="AG242" s="422"/>
      <c r="AH242" s="442">
        <f t="shared" si="1505"/>
        <v>0</v>
      </c>
      <c r="AI242" s="442">
        <f t="shared" si="1506"/>
        <v>31872.200000000019</v>
      </c>
      <c r="AJ242" s="56"/>
      <c r="AM242" s="55">
        <f t="shared" si="1507"/>
        <v>46228</v>
      </c>
      <c r="AN242" s="422"/>
      <c r="AO242" s="444">
        <f>SUMPRODUCT(PRODUCE!$B245:$DY245,PRODUCE!$EB$11:$IY$11)</f>
        <v>0</v>
      </c>
      <c r="AP242" s="422"/>
      <c r="AQ242" s="444">
        <f t="shared" si="1508"/>
        <v>0</v>
      </c>
      <c r="AR242" s="444">
        <f t="shared" si="1509"/>
        <v>0</v>
      </c>
      <c r="AS242" s="56"/>
      <c r="AV242" s="55">
        <f t="shared" si="1510"/>
        <v>46228</v>
      </c>
      <c r="AW242" s="422"/>
      <c r="AX242" s="446">
        <f>SUMPRODUCT(PRODUCE!$B245:$DY245,PRODUCE!$EB$12:$IY$12)</f>
        <v>0</v>
      </c>
      <c r="AY242" s="422"/>
      <c r="AZ242" s="446">
        <f t="shared" si="1511"/>
        <v>0</v>
      </c>
      <c r="BA242" s="446">
        <f t="shared" si="1512"/>
        <v>124.99999999999523</v>
      </c>
      <c r="BB242" s="56"/>
      <c r="BE242" s="55">
        <f t="shared" si="1513"/>
        <v>46228</v>
      </c>
      <c r="BF242" s="422"/>
      <c r="BG242" s="448">
        <f>SUMPRODUCT(PRODUCE!$B245:$DY245,PRODUCE!$EB$13:$IY$13)</f>
        <v>0</v>
      </c>
      <c r="BH242" s="422"/>
      <c r="BI242" s="448">
        <f t="shared" si="1514"/>
        <v>0</v>
      </c>
      <c r="BJ242" s="448">
        <f t="shared" si="1515"/>
        <v>28237.499999999996</v>
      </c>
      <c r="BK242" s="56"/>
      <c r="BN242" s="55">
        <f t="shared" si="1516"/>
        <v>46228</v>
      </c>
      <c r="BO242" s="422">
        <v>150</v>
      </c>
      <c r="BP242" s="450">
        <f>SUMPRODUCT(PRODUCE!$B245:$DY245,PRODUCE!$EB$14:$IY$14)</f>
        <v>150</v>
      </c>
      <c r="BQ242" s="422">
        <v>150</v>
      </c>
      <c r="BR242" s="450">
        <f t="shared" si="1517"/>
        <v>0</v>
      </c>
      <c r="BS242" s="450">
        <f t="shared" si="1518"/>
        <v>0</v>
      </c>
      <c r="BT242" s="56"/>
      <c r="BW242" s="55">
        <f t="shared" si="1519"/>
        <v>46228</v>
      </c>
      <c r="BX242" s="422"/>
      <c r="BY242" s="523">
        <f>SUMPRODUCT(PRODUCE!$B245:$DY245,PRODUCE!$EB$15:$IY$15)</f>
        <v>573.9</v>
      </c>
      <c r="BZ242" s="422"/>
      <c r="CA242" s="523">
        <f t="shared" si="1520"/>
        <v>573.9</v>
      </c>
      <c r="CB242" s="523">
        <f t="shared" si="1521"/>
        <v>5369.9899999999989</v>
      </c>
      <c r="CC242" s="56"/>
      <c r="CF242" s="55">
        <f t="shared" si="1522"/>
        <v>46228</v>
      </c>
      <c r="CG242" s="422"/>
      <c r="CH242" s="524">
        <f>SUMPRODUCT(PRODUCE!$B245:$DY245,PRODUCE!$EB$16:$IY$16)</f>
        <v>0</v>
      </c>
      <c r="CI242" s="422"/>
      <c r="CJ242" s="524">
        <f t="shared" si="1523"/>
        <v>0</v>
      </c>
      <c r="CK242" s="524">
        <f t="shared" si="1524"/>
        <v>-9060.8299999999981</v>
      </c>
      <c r="CL242" s="56"/>
      <c r="CO242" s="55">
        <f t="shared" si="1525"/>
        <v>46228</v>
      </c>
      <c r="CP242" s="422"/>
      <c r="CQ242" s="470">
        <f>SUMPRODUCT(PRODUCE!$B245:$DY245,PRODUCE!$EB$17:$IY$17)</f>
        <v>0</v>
      </c>
      <c r="CR242" s="422"/>
      <c r="CS242" s="470">
        <f t="shared" si="1526"/>
        <v>0</v>
      </c>
      <c r="CT242" s="470">
        <f t="shared" si="1527"/>
        <v>0</v>
      </c>
      <c r="CU242" s="56"/>
      <c r="CX242" s="55">
        <f t="shared" si="1528"/>
        <v>46228</v>
      </c>
      <c r="CY242" s="422"/>
      <c r="CZ242" s="525">
        <f>SUMPRODUCT(PRODUCE!$B245:$DY245,PRODUCE!$EB$18:$IY$18)</f>
        <v>1200</v>
      </c>
      <c r="DA242" s="422">
        <v>1200</v>
      </c>
      <c r="DB242" s="525">
        <f t="shared" si="1529"/>
        <v>0</v>
      </c>
      <c r="DC242" s="525">
        <f t="shared" si="1530"/>
        <v>29911.600000000006</v>
      </c>
      <c r="DD242" s="56"/>
      <c r="DG242" s="55">
        <f t="shared" si="1531"/>
        <v>46228</v>
      </c>
      <c r="DH242" s="422"/>
      <c r="DI242" s="526">
        <f>SUMPRODUCT(PRODUCE!$B245:$DY245,PRODUCE!$EB$19:$IY$19)</f>
        <v>0</v>
      </c>
      <c r="DJ242" s="422"/>
      <c r="DK242" s="526">
        <f t="shared" si="1532"/>
        <v>0</v>
      </c>
      <c r="DL242" s="526">
        <f t="shared" si="1533"/>
        <v>32282.299999999981</v>
      </c>
      <c r="DM242" s="56"/>
      <c r="DP242" s="55">
        <f t="shared" si="1534"/>
        <v>46228</v>
      </c>
      <c r="DQ242" s="56"/>
      <c r="DR242" s="57">
        <f>SUMPRODUCT(PRODUCE!$B245:$DY245,PRODUCE!$EB$20:$IY$20)</f>
        <v>0</v>
      </c>
      <c r="DS242" s="56"/>
      <c r="DT242" s="57">
        <f t="shared" si="1535"/>
        <v>0</v>
      </c>
      <c r="DU242" s="57">
        <f t="shared" si="1536"/>
        <v>5800</v>
      </c>
      <c r="DV242" s="56"/>
      <c r="DY242" s="55">
        <f t="shared" si="1537"/>
        <v>46228</v>
      </c>
      <c r="DZ242" s="56"/>
      <c r="EA242" s="157">
        <f>SUMPRODUCT(PRODUCE!$B245:$DY245,PRODUCE!$EB$21:$IY$21)</f>
        <v>0</v>
      </c>
      <c r="EB242" s="56"/>
      <c r="EC242" s="157">
        <f t="shared" si="1538"/>
        <v>0</v>
      </c>
      <c r="ED242" s="157">
        <f t="shared" si="1539"/>
        <v>0</v>
      </c>
      <c r="EE242" s="56"/>
      <c r="EH242" s="55">
        <f t="shared" si="1540"/>
        <v>46228</v>
      </c>
      <c r="EI242" s="56"/>
      <c r="EJ242" s="162">
        <f>SUMPRODUCT(PRODUCE!$B245:$DY245,PRODUCE!$EB$22:$IY$22)</f>
        <v>0</v>
      </c>
      <c r="EK242" s="56"/>
      <c r="EL242" s="162">
        <f t="shared" si="1541"/>
        <v>0</v>
      </c>
      <c r="EM242" s="162">
        <f t="shared" si="1542"/>
        <v>0</v>
      </c>
      <c r="EN242" s="56"/>
      <c r="EQ242" s="55">
        <f t="shared" si="1543"/>
        <v>46228</v>
      </c>
      <c r="ER242" s="56"/>
      <c r="ES242" s="172">
        <f>SUMPRODUCT(PRODUCE!$B245:$DY245,PRODUCE!$EB$23:$IY$23)</f>
        <v>0</v>
      </c>
      <c r="ET242" s="56"/>
      <c r="EU242" s="135">
        <f t="shared" si="1544"/>
        <v>0</v>
      </c>
      <c r="EV242" s="135">
        <f t="shared" si="1545"/>
        <v>0</v>
      </c>
      <c r="EW242" s="56"/>
      <c r="EZ242" s="55">
        <f t="shared" si="1546"/>
        <v>46228</v>
      </c>
      <c r="FA242" s="56"/>
      <c r="FB242" s="175">
        <f>SUMPRODUCT(PRODUCE!$B245:$DY245,PRODUCE!$EB$24:$IY$24)</f>
        <v>0</v>
      </c>
      <c r="FC242" s="56"/>
      <c r="FD242" s="175">
        <f t="shared" si="1547"/>
        <v>0</v>
      </c>
      <c r="FE242" s="175">
        <f t="shared" si="1548"/>
        <v>0</v>
      </c>
      <c r="FF242" s="56"/>
      <c r="FI242" s="55">
        <f t="shared" si="1549"/>
        <v>46228</v>
      </c>
      <c r="FJ242" s="56"/>
      <c r="FK242" s="183">
        <f>SUMPRODUCT(PRODUCE!$B245:$DY245,PRODUCE!$EB$25:$IY$25)</f>
        <v>0</v>
      </c>
      <c r="FL242" s="56"/>
      <c r="FM242" s="183">
        <f t="shared" si="1550"/>
        <v>0</v>
      </c>
      <c r="FN242" s="183">
        <f t="shared" si="1551"/>
        <v>0</v>
      </c>
      <c r="FO242" s="56"/>
      <c r="FR242" s="55">
        <f t="shared" si="1552"/>
        <v>46228</v>
      </c>
      <c r="FS242" s="56"/>
      <c r="FT242" s="186">
        <f>SUMPRODUCT(PRODUCE!$B245:$DY245,PRODUCE!$EB$26:$IY$26)</f>
        <v>0</v>
      </c>
      <c r="FU242" s="56"/>
      <c r="FV242" s="186">
        <f t="shared" si="1553"/>
        <v>0</v>
      </c>
      <c r="FW242" s="186">
        <f t="shared" si="1554"/>
        <v>540</v>
      </c>
      <c r="FX242" s="56"/>
      <c r="GA242" s="55">
        <f t="shared" si="1555"/>
        <v>46228</v>
      </c>
      <c r="GB242" s="56"/>
      <c r="GC242" s="137">
        <f>SUMPRODUCT(PRODUCE!$B245:$DY245,PRODUCE!$EB$27:$IY$27)</f>
        <v>0</v>
      </c>
      <c r="GD242" s="56"/>
      <c r="GE242" s="137">
        <f t="shared" si="1556"/>
        <v>0</v>
      </c>
      <c r="GF242" s="137">
        <f t="shared" si="1557"/>
        <v>960</v>
      </c>
      <c r="GG242" s="56"/>
      <c r="GI242" s="23"/>
      <c r="GJ242" s="55">
        <f t="shared" si="1558"/>
        <v>46228</v>
      </c>
      <c r="GK242" s="56"/>
      <c r="GL242" s="199">
        <f>SUMPRODUCT(PRODUCE!$B245:$DY245,PRODUCE!$EB$28:$IY$28)</f>
        <v>0</v>
      </c>
      <c r="GM242" s="56"/>
      <c r="GN242" s="199">
        <f t="shared" si="1559"/>
        <v>0</v>
      </c>
      <c r="GO242" s="199">
        <f t="shared" si="1560"/>
        <v>1760</v>
      </c>
      <c r="GP242" s="56"/>
      <c r="GS242" s="55">
        <f t="shared" si="1561"/>
        <v>46228</v>
      </c>
      <c r="GT242" s="56"/>
      <c r="GU242" s="195">
        <f>SUMPRODUCT(PRODUCE!$B245:$DY245,PRODUCE!$EB$29:$IY$29)</f>
        <v>0</v>
      </c>
      <c r="GV242" s="56"/>
      <c r="GW242" s="195">
        <f t="shared" si="1562"/>
        <v>0</v>
      </c>
      <c r="GX242" s="195">
        <f t="shared" si="1563"/>
        <v>400</v>
      </c>
      <c r="GY242" s="56"/>
      <c r="HB242" s="55">
        <f t="shared" si="1564"/>
        <v>46228</v>
      </c>
      <c r="HC242" s="56"/>
      <c r="HD242" s="191">
        <f>SUMPRODUCT(PRODUCE!$B245:$DY245,PRODUCE!$EB$30:$IY$30)</f>
        <v>0</v>
      </c>
      <c r="HE242" s="56"/>
      <c r="HF242" s="191">
        <f t="shared" si="1565"/>
        <v>0</v>
      </c>
      <c r="HG242" s="191">
        <f t="shared" si="1566"/>
        <v>3600</v>
      </c>
      <c r="HH242" s="56"/>
      <c r="HK242" s="55">
        <f t="shared" si="1567"/>
        <v>46228</v>
      </c>
      <c r="HL242" s="56"/>
      <c r="HM242" s="63">
        <f>SUMPRODUCT(PRODUCE!$B245:$DY245,PRODUCE!$EB$31:$IY$31)</f>
        <v>0</v>
      </c>
      <c r="HN242" s="56"/>
      <c r="HO242" s="63">
        <f t="shared" si="1568"/>
        <v>0</v>
      </c>
      <c r="HP242" s="63">
        <f t="shared" si="1569"/>
        <v>0</v>
      </c>
      <c r="HQ242" s="56"/>
      <c r="HU242" s="55">
        <f t="shared" si="1570"/>
        <v>46228</v>
      </c>
      <c r="HV242" s="56"/>
      <c r="HW242" s="242">
        <f>SUMPRODUCT(PRODUCE!$B245:$DY245,PRODUCE!$EB$32:$IY$32)</f>
        <v>0</v>
      </c>
      <c r="HX242" s="56"/>
      <c r="HY242" s="242">
        <f t="shared" si="1571"/>
        <v>0</v>
      </c>
      <c r="HZ242" s="242">
        <f t="shared" si="1572"/>
        <v>5920</v>
      </c>
      <c r="IA242" s="56"/>
      <c r="ID242" s="55">
        <f t="shared" si="1573"/>
        <v>46228</v>
      </c>
      <c r="IE242" s="56"/>
      <c r="IF242" s="242">
        <f>SUMPRODUCT(PRODUCE!$B245:$DY245,PRODUCE!$EB$33:$IY$33)</f>
        <v>0</v>
      </c>
      <c r="IG242" s="56"/>
      <c r="IH242" s="242">
        <f t="shared" si="1574"/>
        <v>0</v>
      </c>
      <c r="II242" s="242">
        <f t="shared" si="1575"/>
        <v>720</v>
      </c>
      <c r="IJ242" s="56"/>
      <c r="IM242" s="55">
        <f t="shared" si="1576"/>
        <v>46228</v>
      </c>
      <c r="IN242" s="56"/>
      <c r="IO242" s="242">
        <f>SUMPRODUCT(PRODUCE!$B245:$DY245,PRODUCE!$EB$34:$IY$34)</f>
        <v>0</v>
      </c>
      <c r="IP242" s="56"/>
      <c r="IQ242" s="242">
        <f t="shared" si="1577"/>
        <v>0</v>
      </c>
      <c r="IR242" s="242">
        <f t="shared" si="1578"/>
        <v>3280</v>
      </c>
      <c r="IS242" s="56"/>
      <c r="IV242" s="55">
        <f t="shared" si="1579"/>
        <v>46228</v>
      </c>
      <c r="IW242" s="56"/>
      <c r="IX242" s="242">
        <f>SUMPRODUCT(PRODUCE!$B245:$DY245,PRODUCE!$EB$35:$IY$35)</f>
        <v>0</v>
      </c>
      <c r="IY242" s="56"/>
      <c r="IZ242" s="242">
        <f t="shared" si="1580"/>
        <v>0</v>
      </c>
      <c r="JA242" s="242">
        <f t="shared" si="1581"/>
        <v>4960</v>
      </c>
      <c r="JB242" s="56"/>
      <c r="JE242" s="55">
        <f t="shared" si="1582"/>
        <v>46228</v>
      </c>
      <c r="JF242" s="56"/>
      <c r="JG242" s="242">
        <f>SUMPRODUCT(PRODUCE!$B245:$DY245,PRODUCE!$EB$36:$IY$36)</f>
        <v>0</v>
      </c>
      <c r="JH242" s="56"/>
      <c r="JI242" s="242">
        <f t="shared" si="1583"/>
        <v>0</v>
      </c>
      <c r="JJ242" s="242">
        <f t="shared" si="1584"/>
        <v>0</v>
      </c>
      <c r="JK242" s="56"/>
      <c r="JN242" s="55">
        <f t="shared" si="1585"/>
        <v>46228</v>
      </c>
      <c r="JO242" s="56"/>
      <c r="JP242" s="242">
        <f>SUMPRODUCT(PRODUCE!$B245:$DY245,PRODUCE!$EB$37:$IY$37)</f>
        <v>0</v>
      </c>
      <c r="JQ242" s="56"/>
      <c r="JR242" s="242">
        <f t="shared" si="1586"/>
        <v>0</v>
      </c>
      <c r="JS242" s="242">
        <f t="shared" si="1587"/>
        <v>0</v>
      </c>
      <c r="JT242" s="56"/>
      <c r="JW242" s="55">
        <f t="shared" si="1588"/>
        <v>46228</v>
      </c>
      <c r="JX242" s="56"/>
      <c r="JY242" s="242">
        <f>SUMPRODUCT(PRODUCE!$B245:$DY245,PRODUCE!$EB$38:$IY$38)</f>
        <v>0</v>
      </c>
      <c r="JZ242" s="56"/>
      <c r="KA242" s="242">
        <f t="shared" si="1589"/>
        <v>0</v>
      </c>
      <c r="KB242" s="242">
        <f t="shared" si="1590"/>
        <v>2540</v>
      </c>
      <c r="KC242" s="56"/>
      <c r="KF242" s="55">
        <f t="shared" si="1591"/>
        <v>46228</v>
      </c>
      <c r="KG242" s="56"/>
      <c r="KH242" s="242">
        <f>SUMPRODUCT(PRODUCE!$B245:$DY245,PRODUCE!$EB$39:$IY$39)</f>
        <v>0</v>
      </c>
      <c r="KI242" s="56"/>
      <c r="KJ242" s="242">
        <f t="shared" si="1592"/>
        <v>0</v>
      </c>
      <c r="KK242" s="242">
        <f t="shared" si="1593"/>
        <v>2359.5</v>
      </c>
      <c r="KL242" s="56"/>
      <c r="KO242" s="55">
        <f t="shared" si="1594"/>
        <v>46228</v>
      </c>
      <c r="KP242" s="56"/>
      <c r="KQ242" s="242">
        <f>SUMPRODUCT(PRODUCE!$B245:$DY245,PRODUCE!$EB$40:$IY$40)</f>
        <v>0</v>
      </c>
      <c r="KR242" s="56"/>
      <c r="KS242" s="242">
        <f t="shared" si="1595"/>
        <v>0</v>
      </c>
      <c r="KT242" s="242">
        <f t="shared" si="1596"/>
        <v>1890</v>
      </c>
      <c r="KU242" s="56"/>
      <c r="KW242" s="23"/>
      <c r="KX242" s="55">
        <f t="shared" si="1597"/>
        <v>46228</v>
      </c>
      <c r="KY242" s="56"/>
      <c r="KZ242" s="242">
        <f>SUMPRODUCT(PRODUCE!$B245:$DY245,PRODUCE!$EB$41:$IY$41)</f>
        <v>0</v>
      </c>
      <c r="LA242" s="56"/>
      <c r="LB242" s="242">
        <f t="shared" si="1598"/>
        <v>0</v>
      </c>
      <c r="LC242" s="242">
        <f t="shared" si="1599"/>
        <v>3690</v>
      </c>
      <c r="LD242" s="56"/>
      <c r="LG242" s="55">
        <f t="shared" si="1600"/>
        <v>46228</v>
      </c>
      <c r="LH242" s="56"/>
      <c r="LI242" s="242">
        <f>SUMPRODUCT(PRODUCE!$B245:$DY245,PRODUCE!$EB$42:$IY$42)</f>
        <v>0</v>
      </c>
      <c r="LJ242" s="56"/>
      <c r="LK242" s="242">
        <f t="shared" si="1601"/>
        <v>0</v>
      </c>
      <c r="LL242" s="242">
        <f t="shared" si="1602"/>
        <v>4000</v>
      </c>
      <c r="LM242" s="56"/>
      <c r="LP242" s="55">
        <f t="shared" si="1603"/>
        <v>46228</v>
      </c>
      <c r="LQ242" s="56"/>
      <c r="LR242" s="242">
        <f>SUMPRODUCT(PRODUCE!$B245:$DY245,PRODUCE!$EB$43:$IY$43)</f>
        <v>0</v>
      </c>
      <c r="LS242" s="56"/>
      <c r="LT242" s="242">
        <f t="shared" si="1604"/>
        <v>0</v>
      </c>
      <c r="LU242" s="242">
        <f t="shared" si="1605"/>
        <v>0</v>
      </c>
      <c r="LV242" s="56"/>
      <c r="LY242" s="55">
        <f t="shared" si="1606"/>
        <v>46228</v>
      </c>
      <c r="LZ242" s="56"/>
      <c r="MA242" s="242">
        <f>SUMPRODUCT(PRODUCE!$B245:$DY245,PRODUCE!$EB$44:$IY$44)</f>
        <v>0</v>
      </c>
      <c r="MB242" s="56"/>
      <c r="MC242" s="242">
        <f t="shared" si="1607"/>
        <v>0</v>
      </c>
      <c r="MD242" s="242">
        <f t="shared" si="1608"/>
        <v>0</v>
      </c>
      <c r="ME242" s="56"/>
      <c r="MH242" s="55">
        <f t="shared" si="1609"/>
        <v>46228</v>
      </c>
      <c r="MI242" s="56"/>
      <c r="MJ242" s="242">
        <f>SUMPRODUCT(PRODUCE!$B245:$DY245,PRODUCE!$EB$45:$IY$45)</f>
        <v>0</v>
      </c>
      <c r="MK242" s="56"/>
      <c r="ML242" s="242">
        <f t="shared" si="1610"/>
        <v>0</v>
      </c>
      <c r="MM242" s="242">
        <f t="shared" si="1611"/>
        <v>0</v>
      </c>
      <c r="MN242" s="56"/>
      <c r="MQ242" s="55">
        <f t="shared" si="1612"/>
        <v>46228</v>
      </c>
      <c r="MR242" s="56"/>
      <c r="MS242" s="242">
        <f>SUMPRODUCT(PRODUCE!$B245:$DY245,PRODUCE!$EB$46:$IY$46)</f>
        <v>0</v>
      </c>
      <c r="MT242" s="56"/>
      <c r="MU242" s="242">
        <f t="shared" si="1613"/>
        <v>0</v>
      </c>
      <c r="MV242" s="242">
        <f t="shared" si="1614"/>
        <v>2362</v>
      </c>
      <c r="MW242" s="56"/>
      <c r="MZ242" s="55">
        <f t="shared" si="1615"/>
        <v>46228</v>
      </c>
      <c r="NA242" s="56"/>
      <c r="NB242" s="242">
        <f>SUMPRODUCT(PRODUCE!$B245:$DY245,PRODUCE!$EB$47:$IY$47)</f>
        <v>0</v>
      </c>
      <c r="NC242" s="56"/>
      <c r="ND242" s="242">
        <f t="shared" si="1616"/>
        <v>0</v>
      </c>
      <c r="NE242" s="242">
        <f t="shared" si="1617"/>
        <v>0</v>
      </c>
      <c r="NF242" s="56"/>
      <c r="NI242" s="55">
        <f t="shared" si="1618"/>
        <v>46228</v>
      </c>
      <c r="NJ242" s="56"/>
      <c r="NK242" s="242">
        <f>SUMPRODUCT(PRODUCE!$B245:$DY245,PRODUCE!$EB$48:$IY$48)</f>
        <v>0</v>
      </c>
      <c r="NL242" s="56"/>
      <c r="NM242" s="242">
        <f t="shared" si="1619"/>
        <v>0</v>
      </c>
      <c r="NN242" s="242">
        <f t="shared" si="1620"/>
        <v>1127</v>
      </c>
      <c r="NO242" s="56"/>
      <c r="NR242" s="55">
        <f t="shared" si="1621"/>
        <v>46228</v>
      </c>
      <c r="NS242" s="56"/>
      <c r="NT242" s="242">
        <f>SUMPRODUCT(PRODUCE!$B245:$DY245,PRODUCE!$EB$49:$IY$49)</f>
        <v>0</v>
      </c>
      <c r="NU242" s="56"/>
      <c r="NV242" s="242">
        <f t="shared" si="1622"/>
        <v>0</v>
      </c>
      <c r="NW242" s="242">
        <f t="shared" si="1623"/>
        <v>3111.9999999999995</v>
      </c>
      <c r="NX242" s="56"/>
      <c r="OA242" s="55">
        <f t="shared" si="1624"/>
        <v>46228</v>
      </c>
      <c r="OB242" s="56"/>
      <c r="OC242" s="242">
        <f>SUMPRODUCT(PRODUCE!$B245:$DY245,PRODUCE!$EB$50:$IY$50)</f>
        <v>0</v>
      </c>
      <c r="OD242" s="56"/>
      <c r="OE242" s="242">
        <f t="shared" si="1625"/>
        <v>0</v>
      </c>
      <c r="OF242" s="242">
        <f t="shared" si="1626"/>
        <v>1680.5</v>
      </c>
      <c r="OG242" s="56"/>
      <c r="OJ242" s="55">
        <f t="shared" si="1627"/>
        <v>46228</v>
      </c>
      <c r="OK242" s="56"/>
      <c r="OL242" s="242">
        <f>SUMPRODUCT(PRODUCE!$B245:$DY245,PRODUCE!$EB$51:$IY$51)</f>
        <v>0</v>
      </c>
      <c r="OM242" s="56"/>
      <c r="ON242" s="242">
        <f t="shared" si="1628"/>
        <v>0</v>
      </c>
      <c r="OO242" s="242">
        <f t="shared" si="1629"/>
        <v>0</v>
      </c>
      <c r="OP242" s="56"/>
      <c r="OS242" s="55">
        <f t="shared" si="1630"/>
        <v>46228</v>
      </c>
      <c r="OT242" s="56"/>
      <c r="OU242" s="242">
        <f>SUMPRODUCT(PRODUCE!$B245:$DY245,PRODUCE!$EB$52:$IY$52)</f>
        <v>0</v>
      </c>
      <c r="OV242" s="56"/>
      <c r="OW242" s="242">
        <f t="shared" si="1631"/>
        <v>0</v>
      </c>
      <c r="OX242" s="242">
        <f t="shared" si="1632"/>
        <v>1482</v>
      </c>
      <c r="OY242" s="56"/>
      <c r="PB242" s="55">
        <f t="shared" si="1633"/>
        <v>46228</v>
      </c>
      <c r="PC242" s="56"/>
      <c r="PD242" s="242">
        <f>SUMPRODUCT(PRODUCE!$B245:$DY245,PRODUCE!$EB$53:$IY$53)</f>
        <v>0</v>
      </c>
      <c r="PE242" s="56"/>
      <c r="PF242" s="242">
        <f t="shared" si="1634"/>
        <v>0</v>
      </c>
      <c r="PG242" s="242">
        <f t="shared" si="1635"/>
        <v>0</v>
      </c>
      <c r="PH242" s="56"/>
      <c r="PK242" s="55">
        <f t="shared" si="1636"/>
        <v>46228</v>
      </c>
      <c r="PL242" s="56"/>
      <c r="PM242" s="242">
        <f>SUMPRODUCT(PRODUCE!$B245:$DY245,PRODUCE!$EB$54:$IY$54)</f>
        <v>0</v>
      </c>
      <c r="PN242" s="56"/>
      <c r="PO242" s="242">
        <f t="shared" si="1637"/>
        <v>0</v>
      </c>
      <c r="PP242" s="242">
        <f t="shared" si="1638"/>
        <v>100</v>
      </c>
      <c r="PQ242" s="56"/>
      <c r="PT242" s="55">
        <f t="shared" si="1639"/>
        <v>46228</v>
      </c>
      <c r="PU242" s="56"/>
      <c r="PV242" s="242">
        <f>SUMPRODUCT(PRODUCE!$B245:$DY245,PRODUCE!$EB$55:$IY$55)</f>
        <v>0</v>
      </c>
      <c r="PW242" s="56"/>
      <c r="PX242" s="242">
        <f t="shared" si="1640"/>
        <v>0</v>
      </c>
      <c r="PY242" s="242">
        <f t="shared" si="1641"/>
        <v>13.960000000000036</v>
      </c>
      <c r="PZ242" s="56"/>
      <c r="QC242" s="55">
        <f t="shared" si="1642"/>
        <v>46228</v>
      </c>
      <c r="QD242" s="56"/>
      <c r="QE242" s="242">
        <f>SUMPRODUCT(PRODUCE!$B245:$DY245,PRODUCE!$EB$56:$IY$56)</f>
        <v>0</v>
      </c>
      <c r="QF242" s="56"/>
      <c r="QG242" s="242">
        <f t="shared" si="1643"/>
        <v>0</v>
      </c>
      <c r="QH242" s="242">
        <f t="shared" si="1644"/>
        <v>1120</v>
      </c>
      <c r="QI242" s="56"/>
      <c r="QL242" s="55">
        <f t="shared" si="1645"/>
        <v>46228</v>
      </c>
      <c r="QM242" s="56"/>
      <c r="QN242" s="242">
        <f>SUMPRODUCT(PRODUCE!$B245:$DY245,PRODUCE!$EB$57:$IY$57)</f>
        <v>0</v>
      </c>
      <c r="QO242" s="56"/>
      <c r="QP242" s="242">
        <f t="shared" si="1646"/>
        <v>0</v>
      </c>
      <c r="QQ242" s="242">
        <f t="shared" si="1647"/>
        <v>0</v>
      </c>
      <c r="QR242" s="56"/>
      <c r="QU242" s="55">
        <f t="shared" si="1648"/>
        <v>46228</v>
      </c>
      <c r="QV242" s="56"/>
      <c r="QW242" s="242">
        <f>SUMPRODUCT(PRODUCE!$B245:$DY245,PRODUCE!$EB$58:$IY$58)</f>
        <v>0</v>
      </c>
      <c r="QX242" s="56"/>
      <c r="QY242" s="242">
        <f t="shared" si="1649"/>
        <v>0</v>
      </c>
      <c r="QZ242" s="242">
        <f t="shared" si="1650"/>
        <v>207.6</v>
      </c>
      <c r="RA242" s="56"/>
      <c r="RD242" s="55">
        <f t="shared" si="1651"/>
        <v>46228</v>
      </c>
      <c r="RE242" s="56"/>
      <c r="RF242" s="242">
        <f>SUMPRODUCT(PRODUCE!$B245:$DY245,PRODUCE!$EB$59:$IY$59)</f>
        <v>0</v>
      </c>
      <c r="RG242" s="56"/>
      <c r="RH242" s="242">
        <f t="shared" si="1652"/>
        <v>0</v>
      </c>
      <c r="RI242" s="242">
        <f t="shared" si="1653"/>
        <v>147.04000000000002</v>
      </c>
      <c r="RJ242" s="56"/>
      <c r="RM242" s="55">
        <f t="shared" si="1654"/>
        <v>46228</v>
      </c>
      <c r="RN242" s="56"/>
      <c r="RO242" s="242">
        <f>SUMPRODUCT(PRODUCE!$B245:$DY245,PRODUCE!$EB$60:$IY$60)</f>
        <v>0</v>
      </c>
      <c r="RP242" s="56"/>
      <c r="RQ242" s="242">
        <f t="shared" si="1655"/>
        <v>0</v>
      </c>
      <c r="RR242" s="242">
        <f t="shared" si="1656"/>
        <v>46.8</v>
      </c>
      <c r="RS242" s="56"/>
      <c r="RV242" s="55">
        <f t="shared" si="1657"/>
        <v>46228</v>
      </c>
      <c r="RW242" s="56"/>
      <c r="RX242" s="242">
        <f>SUMPRODUCT(PRODUCE!$B245:$DY245,PRODUCE!$EB$61:$IY$61)</f>
        <v>0</v>
      </c>
      <c r="RY242" s="56"/>
      <c r="RZ242" s="242">
        <f t="shared" si="1658"/>
        <v>0</v>
      </c>
      <c r="SA242" s="242">
        <f t="shared" si="1659"/>
        <v>0</v>
      </c>
      <c r="SB242" s="56"/>
      <c r="SE242" s="55">
        <f t="shared" si="1660"/>
        <v>46228</v>
      </c>
      <c r="SF242" s="56"/>
      <c r="SG242" s="242">
        <f>SUMPRODUCT(PRODUCE!$B245:$DY245,PRODUCE!$EB$62:$IY$62)</f>
        <v>0</v>
      </c>
      <c r="SH242" s="56"/>
      <c r="SI242" s="242">
        <f t="shared" si="1661"/>
        <v>0</v>
      </c>
      <c r="SJ242" s="242">
        <f t="shared" si="1662"/>
        <v>24.200000000000003</v>
      </c>
      <c r="SK242" s="56"/>
      <c r="SN242" s="55">
        <f t="shared" si="1663"/>
        <v>46228</v>
      </c>
      <c r="SO242" s="56"/>
      <c r="SP242" s="242">
        <f>SUMPRODUCT(PRODUCE!$B245:$DY245,PRODUCE!$EB$63:$IY$63)</f>
        <v>0</v>
      </c>
      <c r="SQ242" s="56"/>
      <c r="SR242" s="242">
        <f t="shared" si="1664"/>
        <v>0</v>
      </c>
      <c r="SS242" s="242">
        <f t="shared" si="1665"/>
        <v>32</v>
      </c>
      <c r="ST242" s="56"/>
      <c r="SW242" s="55">
        <f t="shared" si="1666"/>
        <v>46228</v>
      </c>
      <c r="SX242" s="56"/>
      <c r="SY242" s="242">
        <f>SUMPRODUCT(PRODUCE!$B245:$DY245,PRODUCE!$EB$64:$IY$64)</f>
        <v>0</v>
      </c>
      <c r="SZ242" s="56"/>
      <c r="TA242" s="242">
        <f t="shared" si="1667"/>
        <v>0</v>
      </c>
      <c r="TB242" s="242">
        <f t="shared" si="1668"/>
        <v>0</v>
      </c>
      <c r="TC242" s="56"/>
      <c r="TF242" s="55">
        <f t="shared" si="1669"/>
        <v>46228</v>
      </c>
      <c r="TG242" s="56"/>
      <c r="TH242" s="242">
        <f>SUMPRODUCT(PRODUCE!$B245:$DY245,PRODUCE!$EB$57:$IY$57)</f>
        <v>0</v>
      </c>
      <c r="TI242" s="56"/>
      <c r="TJ242" s="242">
        <f t="shared" si="1670"/>
        <v>0</v>
      </c>
      <c r="TK242" s="242">
        <f t="shared" si="1671"/>
        <v>0</v>
      </c>
      <c r="TL242" s="56"/>
      <c r="TO242" s="55">
        <f t="shared" si="1672"/>
        <v>46228</v>
      </c>
      <c r="TP242" s="56"/>
      <c r="TQ242" s="242">
        <f>SUMPRODUCT(PRODUCE!$B245:$DY245,PRODUCE!$EB$57:$IY$57)</f>
        <v>0</v>
      </c>
      <c r="TR242" s="56"/>
      <c r="TS242" s="242">
        <f t="shared" si="1673"/>
        <v>0</v>
      </c>
      <c r="TT242" s="242">
        <f t="shared" si="1674"/>
        <v>10.400000000000006</v>
      </c>
      <c r="TU242" s="56"/>
      <c r="TX242" s="55">
        <f t="shared" si="1675"/>
        <v>46228</v>
      </c>
      <c r="TY242" s="56"/>
      <c r="TZ242" s="242">
        <f>SUMPRODUCT(PRODUCE!$B245:$DY245,PRODUCE!$EB$57:$IY$57)</f>
        <v>0</v>
      </c>
      <c r="UA242" s="56"/>
      <c r="UB242" s="242">
        <f t="shared" si="1676"/>
        <v>0</v>
      </c>
      <c r="UC242" s="242">
        <f t="shared" si="1677"/>
        <v>46.799999999999983</v>
      </c>
      <c r="UD242" s="56"/>
      <c r="UG242" s="55">
        <f t="shared" si="1678"/>
        <v>46228</v>
      </c>
      <c r="UH242" s="56"/>
      <c r="UI242" s="242">
        <f>SUMPRODUCT(PRODUCE!$B245:$DY245,PRODUCE!$EB$57:$IY$57)</f>
        <v>0</v>
      </c>
      <c r="UJ242" s="56"/>
      <c r="UK242" s="242">
        <f t="shared" si="1679"/>
        <v>0</v>
      </c>
      <c r="UL242" s="242">
        <f t="shared" si="1680"/>
        <v>204</v>
      </c>
      <c r="UM242" s="56"/>
      <c r="UP242" s="55">
        <f t="shared" si="1681"/>
        <v>46228</v>
      </c>
      <c r="UQ242" s="56"/>
      <c r="UR242" s="242">
        <f>SUMPRODUCT(PRODUCE!$B245:$DY245,PRODUCE!$EB$69:$IY$69)</f>
        <v>0</v>
      </c>
      <c r="US242" s="56"/>
      <c r="UT242" s="242">
        <f t="shared" si="1682"/>
        <v>0</v>
      </c>
      <c r="UU242" s="242">
        <f t="shared" si="1683"/>
        <v>202.5</v>
      </c>
      <c r="UV242" s="56"/>
      <c r="UY242" s="55">
        <f t="shared" si="1684"/>
        <v>46228</v>
      </c>
      <c r="UZ242" s="56"/>
      <c r="VA242" s="242">
        <f>SUMPRODUCT(PRODUCE!$B245:$DY245,PRODUCE!$EB$70:$IY$70)</f>
        <v>0</v>
      </c>
      <c r="VB242" s="56"/>
      <c r="VC242" s="242">
        <f t="shared" si="1685"/>
        <v>0</v>
      </c>
      <c r="VD242" s="242">
        <f t="shared" si="1686"/>
        <v>41.600000000000023</v>
      </c>
      <c r="VE242" s="56"/>
      <c r="VH242" s="55">
        <f t="shared" si="1687"/>
        <v>46228</v>
      </c>
      <c r="VI242" s="56"/>
      <c r="VJ242" s="242">
        <f>SUMPRODUCT(PRODUCE!$B245:$DY245,PRODUCE!$EB$71:$IY$71)</f>
        <v>0</v>
      </c>
      <c r="VK242" s="56"/>
      <c r="VL242" s="242">
        <f t="shared" si="1688"/>
        <v>0</v>
      </c>
      <c r="VM242" s="242">
        <f t="shared" si="1689"/>
        <v>210</v>
      </c>
      <c r="VN242" s="56"/>
      <c r="VQ242" s="55">
        <f t="shared" si="1690"/>
        <v>46228</v>
      </c>
      <c r="VR242" s="56"/>
      <c r="VS242" s="242">
        <f>SUMPRODUCT(PRODUCE!$B245:$DY245,PRODUCE!$EB$57:$IY$57)</f>
        <v>0</v>
      </c>
      <c r="VT242" s="56"/>
      <c r="VU242" s="242">
        <f t="shared" si="1691"/>
        <v>0</v>
      </c>
      <c r="VV242" s="242">
        <f t="shared" si="1692"/>
        <v>0</v>
      </c>
      <c r="VW242" s="56"/>
      <c r="VZ242" s="55">
        <f t="shared" si="1693"/>
        <v>46228</v>
      </c>
      <c r="WA242" s="56"/>
      <c r="WB242" s="242">
        <f>SUMPRODUCT(PRODUCE!$B245:$DY245,PRODUCE!$EB$57:$IY$57)</f>
        <v>0</v>
      </c>
      <c r="WC242" s="56"/>
      <c r="WD242" s="242">
        <f t="shared" si="1694"/>
        <v>0</v>
      </c>
      <c r="WE242" s="242">
        <f t="shared" si="1695"/>
        <v>0</v>
      </c>
      <c r="WF242" s="56"/>
      <c r="WI242" s="55">
        <f t="shared" si="1696"/>
        <v>46228</v>
      </c>
      <c r="WJ242" s="56"/>
      <c r="WK242" s="242">
        <f>SUMPRODUCT(PRODUCE!$B245:$DY245,PRODUCE!$EB$57:$IY$57)</f>
        <v>0</v>
      </c>
      <c r="WL242" s="56"/>
      <c r="WM242" s="242">
        <f t="shared" si="1697"/>
        <v>0</v>
      </c>
      <c r="WN242" s="242">
        <f t="shared" si="1698"/>
        <v>1057</v>
      </c>
      <c r="WO242" s="56"/>
      <c r="WR242" s="55">
        <f t="shared" si="1699"/>
        <v>46228</v>
      </c>
      <c r="WS242" s="56"/>
      <c r="WT242" s="242">
        <f>SUMPRODUCT(PRODUCE!$B245:$DY245,PRODUCE!$EB$57:$IY$57)</f>
        <v>0</v>
      </c>
      <c r="WU242" s="56"/>
      <c r="WV242" s="242">
        <f t="shared" si="1700"/>
        <v>0</v>
      </c>
      <c r="WW242" s="242">
        <f t="shared" si="1701"/>
        <v>0</v>
      </c>
      <c r="WX242" s="56"/>
      <c r="XA242" s="55">
        <f t="shared" si="1702"/>
        <v>46228</v>
      </c>
      <c r="XB242" s="56"/>
      <c r="XC242" s="242">
        <f>SUMPRODUCT(PRODUCE!$B245:$DY245,PRODUCE!$EB$57:$IY$57)</f>
        <v>0</v>
      </c>
      <c r="XD242" s="56"/>
      <c r="XE242" s="242">
        <f t="shared" si="1703"/>
        <v>0</v>
      </c>
      <c r="XF242" s="242">
        <f t="shared" si="1704"/>
        <v>7507</v>
      </c>
      <c r="XG242" s="56"/>
      <c r="XJ242" s="55">
        <f t="shared" si="1705"/>
        <v>46228</v>
      </c>
      <c r="XK242" s="56"/>
      <c r="XL242" s="242">
        <f>SUMPRODUCT(PRODUCE!$B245:$DY245,PRODUCE!$EB$57:$IY$57)</f>
        <v>0</v>
      </c>
      <c r="XM242" s="56"/>
      <c r="XN242" s="242">
        <f t="shared" si="1706"/>
        <v>0</v>
      </c>
      <c r="XO242" s="242">
        <f t="shared" si="1707"/>
        <v>4252</v>
      </c>
      <c r="XP242" s="56"/>
      <c r="XS242" s="55">
        <f t="shared" si="1708"/>
        <v>46228</v>
      </c>
      <c r="XT242" s="56"/>
      <c r="XU242" s="242">
        <f>SUMPRODUCT(PRODUCE!$B245:$DY245,PRODUCE!$EB$57:$IY$57)</f>
        <v>0</v>
      </c>
      <c r="XV242" s="56"/>
      <c r="XW242" s="242">
        <f t="shared" si="1709"/>
        <v>0</v>
      </c>
      <c r="XX242" s="242">
        <f t="shared" si="1710"/>
        <v>2179</v>
      </c>
      <c r="XY242" s="56"/>
      <c r="YB242" s="55">
        <f t="shared" si="1711"/>
        <v>46228</v>
      </c>
      <c r="YC242" s="56"/>
      <c r="YD242" s="242">
        <f>SUMPRODUCT(PRODUCE!$B245:$DY245,PRODUCE!$EB$57:$IY$57)</f>
        <v>0</v>
      </c>
      <c r="YE242" s="56"/>
      <c r="YF242" s="242">
        <f t="shared" si="1712"/>
        <v>0</v>
      </c>
      <c r="YG242" s="242">
        <f t="shared" si="1713"/>
        <v>4019</v>
      </c>
      <c r="YH242" s="56"/>
      <c r="YK242" s="55">
        <f t="shared" si="1714"/>
        <v>46228</v>
      </c>
      <c r="YL242" s="56"/>
      <c r="YM242" s="242">
        <f>SUMPRODUCT(PRODUCE!$B245:$DY245,PRODUCE!$EB$57:$IY$57)</f>
        <v>0</v>
      </c>
      <c r="YN242" s="56"/>
      <c r="YO242" s="242">
        <f t="shared" si="1715"/>
        <v>0</v>
      </c>
      <c r="YP242" s="242">
        <f t="shared" si="1716"/>
        <v>0</v>
      </c>
      <c r="YQ242" s="56"/>
      <c r="YT242" s="55">
        <f t="shared" si="1717"/>
        <v>46228</v>
      </c>
      <c r="YU242" s="56"/>
      <c r="YV242" s="242">
        <f>SUMPRODUCT(PRODUCE!$B245:$DY245,PRODUCE!$EB$57:$IY$57)</f>
        <v>0</v>
      </c>
      <c r="YW242" s="56"/>
      <c r="YX242" s="242">
        <f t="shared" si="1718"/>
        <v>0</v>
      </c>
      <c r="YY242" s="242">
        <f t="shared" si="1719"/>
        <v>0</v>
      </c>
      <c r="YZ242" s="56"/>
      <c r="ZC242" s="55">
        <f t="shared" si="1720"/>
        <v>46228</v>
      </c>
      <c r="ZD242" s="56"/>
      <c r="ZE242" s="242">
        <f>SUMPRODUCT(PRODUCE!$B245:$DY245,PRODUCE!$EB$57:$IY$57)</f>
        <v>0</v>
      </c>
      <c r="ZF242" s="56"/>
      <c r="ZG242" s="242">
        <f t="shared" si="1721"/>
        <v>0</v>
      </c>
      <c r="ZH242" s="242">
        <f t="shared" si="1722"/>
        <v>0</v>
      </c>
      <c r="ZI242" s="56"/>
      <c r="ZL242" s="55">
        <f t="shared" si="1723"/>
        <v>46228</v>
      </c>
      <c r="ZM242" s="56"/>
      <c r="ZN242" s="242">
        <f>SUMPRODUCT(PRODUCE!$B245:$DY245,PRODUCE!$EB$57:$IY$57)</f>
        <v>0</v>
      </c>
      <c r="ZO242" s="56"/>
      <c r="ZP242" s="242">
        <f t="shared" si="1724"/>
        <v>0</v>
      </c>
      <c r="ZQ242" s="242">
        <f t="shared" si="1725"/>
        <v>0</v>
      </c>
      <c r="ZR242" s="56"/>
      <c r="ZU242" s="55">
        <f t="shared" si="1726"/>
        <v>46228</v>
      </c>
      <c r="ZV242" s="56"/>
      <c r="ZW242" s="242">
        <f>SUMPRODUCT(PRODUCE!$B245:$DY245,PRODUCE!$EB$57:$IY$57)</f>
        <v>0</v>
      </c>
      <c r="ZX242" s="56"/>
      <c r="ZY242" s="242">
        <f t="shared" si="1727"/>
        <v>0</v>
      </c>
      <c r="ZZ242" s="242">
        <f t="shared" si="1728"/>
        <v>0</v>
      </c>
      <c r="AAA242" s="56"/>
      <c r="AAD242" s="55">
        <f t="shared" si="1729"/>
        <v>46228</v>
      </c>
      <c r="AAE242" s="56"/>
      <c r="AAF242" s="242">
        <f>SUMPRODUCT(PRODUCE!$B245:$DY245,PRODUCE!$EB$57:$IY$57)</f>
        <v>0</v>
      </c>
      <c r="AAG242" s="56"/>
      <c r="AAH242" s="242">
        <f t="shared" si="1730"/>
        <v>0</v>
      </c>
      <c r="AAI242" s="242">
        <f t="shared" si="1731"/>
        <v>0</v>
      </c>
      <c r="AAJ242" s="56"/>
      <c r="AAM242" s="55">
        <f t="shared" si="1732"/>
        <v>46228</v>
      </c>
      <c r="AAN242" s="56"/>
      <c r="AAO242" s="242">
        <f>SUMPRODUCT(PRODUCE!$B245:$DY245,PRODUCE!$EB$57:$IY$57)</f>
        <v>0</v>
      </c>
      <c r="AAP242" s="56"/>
      <c r="AAQ242" s="242">
        <f t="shared" si="1733"/>
        <v>0</v>
      </c>
      <c r="AAR242" s="242">
        <f t="shared" si="1734"/>
        <v>0</v>
      </c>
      <c r="AAS242" s="56"/>
      <c r="AAV242" s="55">
        <f t="shared" si="1735"/>
        <v>46228</v>
      </c>
      <c r="AAW242" s="56"/>
      <c r="AAX242" s="242">
        <f>SUMPRODUCT(PRODUCE!$B245:$DY245,PRODUCE!$EB$57:$IY$57)</f>
        <v>0</v>
      </c>
      <c r="AAY242" s="56"/>
      <c r="AAZ242" s="242">
        <f t="shared" si="1736"/>
        <v>0</v>
      </c>
      <c r="ABA242" s="242">
        <f t="shared" si="1737"/>
        <v>0</v>
      </c>
      <c r="ABB242" s="56"/>
      <c r="ABE242" s="55">
        <f t="shared" si="1738"/>
        <v>46228</v>
      </c>
      <c r="ABF242" s="56"/>
      <c r="ABG242" s="242">
        <f>SUMPRODUCT(PRODUCE!$B245:$DY245,PRODUCE!$EB$57:$IY$57)</f>
        <v>0</v>
      </c>
      <c r="ABH242" s="56"/>
      <c r="ABI242" s="242">
        <f t="shared" si="1739"/>
        <v>0</v>
      </c>
      <c r="ABJ242" s="242">
        <f t="shared" si="1740"/>
        <v>0</v>
      </c>
      <c r="ABK242" s="56"/>
    </row>
    <row r="243" spans="1:739" s="54" customFormat="1" ht="15" customHeight="1" outlineLevel="1">
      <c r="B243" s="478"/>
      <c r="C243" s="55">
        <v>46229</v>
      </c>
      <c r="D243" s="422"/>
      <c r="E243" s="423">
        <f>SUMPRODUCT(PRODUCE!$B246:$DY246,PRODUCE!$EB$7:$IY$7)</f>
        <v>0</v>
      </c>
      <c r="F243" s="422"/>
      <c r="G243" s="423">
        <f t="shared" si="1496"/>
        <v>0</v>
      </c>
      <c r="H243" s="423">
        <f t="shared" si="1497"/>
        <v>164010.4</v>
      </c>
      <c r="I243" s="289"/>
      <c r="L243" s="55">
        <f t="shared" si="1498"/>
        <v>46229</v>
      </c>
      <c r="M243" s="422"/>
      <c r="N243" s="438">
        <f>SUMPRODUCT(PRODUCE!$B246:$DY246,PRODUCE!$EB$8:$IY$8)</f>
        <v>0</v>
      </c>
      <c r="O243" s="422"/>
      <c r="P243" s="438">
        <f t="shared" si="1499"/>
        <v>0</v>
      </c>
      <c r="Q243" s="438">
        <f t="shared" si="1500"/>
        <v>26644.600000000071</v>
      </c>
      <c r="R243" s="56"/>
      <c r="U243" s="55">
        <f t="shared" si="1501"/>
        <v>46229</v>
      </c>
      <c r="V243" s="422"/>
      <c r="W243" s="440">
        <f>SUMPRODUCT(PRODUCE!$B246:$DY246,PRODUCE!$EB$9:$IY$9)</f>
        <v>0</v>
      </c>
      <c r="X243" s="422"/>
      <c r="Y243" s="440">
        <f t="shared" si="1502"/>
        <v>0</v>
      </c>
      <c r="Z243" s="440">
        <f t="shared" si="1503"/>
        <v>32126.399999999969</v>
      </c>
      <c r="AA243" s="56"/>
      <c r="AD243" s="55">
        <f t="shared" si="1504"/>
        <v>46229</v>
      </c>
      <c r="AE243" s="422"/>
      <c r="AF243" s="442">
        <f>SUMPRODUCT(PRODUCE!$B246:$DY246,PRODUCE!$EB$10:$IY$10)</f>
        <v>0</v>
      </c>
      <c r="AG243" s="422"/>
      <c r="AH243" s="442">
        <f t="shared" si="1505"/>
        <v>0</v>
      </c>
      <c r="AI243" s="442">
        <f t="shared" si="1506"/>
        <v>31872.200000000019</v>
      </c>
      <c r="AJ243" s="56"/>
      <c r="AM243" s="55">
        <f t="shared" si="1507"/>
        <v>46229</v>
      </c>
      <c r="AN243" s="422"/>
      <c r="AO243" s="444">
        <f>SUMPRODUCT(PRODUCE!$B246:$DY246,PRODUCE!$EB$11:$IY$11)</f>
        <v>0</v>
      </c>
      <c r="AP243" s="422"/>
      <c r="AQ243" s="444">
        <f t="shared" si="1508"/>
        <v>0</v>
      </c>
      <c r="AR243" s="444">
        <f t="shared" si="1509"/>
        <v>0</v>
      </c>
      <c r="AS243" s="56"/>
      <c r="AV243" s="55">
        <f t="shared" si="1510"/>
        <v>46229</v>
      </c>
      <c r="AW243" s="422"/>
      <c r="AX243" s="446">
        <f>SUMPRODUCT(PRODUCE!$B246:$DY246,PRODUCE!$EB$12:$IY$12)</f>
        <v>0</v>
      </c>
      <c r="AY243" s="422"/>
      <c r="AZ243" s="446">
        <f t="shared" si="1511"/>
        <v>0</v>
      </c>
      <c r="BA243" s="446">
        <f t="shared" si="1512"/>
        <v>124.99999999999523</v>
      </c>
      <c r="BB243" s="56"/>
      <c r="BE243" s="55">
        <f t="shared" si="1513"/>
        <v>46229</v>
      </c>
      <c r="BF243" s="422"/>
      <c r="BG243" s="448">
        <f>SUMPRODUCT(PRODUCE!$B246:$DY246,PRODUCE!$EB$13:$IY$13)</f>
        <v>0</v>
      </c>
      <c r="BH243" s="422"/>
      <c r="BI243" s="448">
        <f t="shared" si="1514"/>
        <v>0</v>
      </c>
      <c r="BJ243" s="448">
        <f t="shared" si="1515"/>
        <v>28237.499999999996</v>
      </c>
      <c r="BK243" s="56"/>
      <c r="BN243" s="55">
        <f t="shared" si="1516"/>
        <v>46229</v>
      </c>
      <c r="BO243" s="422"/>
      <c r="BP243" s="450">
        <f>SUMPRODUCT(PRODUCE!$B246:$DY246,PRODUCE!$EB$14:$IY$14)</f>
        <v>0</v>
      </c>
      <c r="BQ243" s="422"/>
      <c r="BR243" s="450">
        <f t="shared" si="1517"/>
        <v>0</v>
      </c>
      <c r="BS243" s="450">
        <f t="shared" si="1518"/>
        <v>0</v>
      </c>
      <c r="BT243" s="56"/>
      <c r="BW243" s="55">
        <f t="shared" si="1519"/>
        <v>46229</v>
      </c>
      <c r="BX243" s="422"/>
      <c r="BY243" s="523">
        <f>SUMPRODUCT(PRODUCE!$B246:$DY246,PRODUCE!$EB$15:$IY$15)</f>
        <v>0</v>
      </c>
      <c r="BZ243" s="422"/>
      <c r="CA243" s="523">
        <f t="shared" si="1520"/>
        <v>0</v>
      </c>
      <c r="CB243" s="523">
        <f t="shared" si="1521"/>
        <v>5369.9899999999989</v>
      </c>
      <c r="CC243" s="56"/>
      <c r="CF243" s="55">
        <f t="shared" si="1522"/>
        <v>46229</v>
      </c>
      <c r="CG243" s="422"/>
      <c r="CH243" s="524">
        <f>SUMPRODUCT(PRODUCE!$B246:$DY246,PRODUCE!$EB$16:$IY$16)</f>
        <v>0</v>
      </c>
      <c r="CI243" s="422"/>
      <c r="CJ243" s="524">
        <f t="shared" si="1523"/>
        <v>0</v>
      </c>
      <c r="CK243" s="524">
        <f t="shared" si="1524"/>
        <v>-9060.8299999999981</v>
      </c>
      <c r="CL243" s="56"/>
      <c r="CO243" s="55">
        <f t="shared" si="1525"/>
        <v>46229</v>
      </c>
      <c r="CP243" s="422"/>
      <c r="CQ243" s="470">
        <f>SUMPRODUCT(PRODUCE!$B246:$DY246,PRODUCE!$EB$17:$IY$17)</f>
        <v>0</v>
      </c>
      <c r="CR243" s="422"/>
      <c r="CS243" s="470">
        <f t="shared" si="1526"/>
        <v>0</v>
      </c>
      <c r="CT243" s="470">
        <f t="shared" si="1527"/>
        <v>0</v>
      </c>
      <c r="CU243" s="56"/>
      <c r="CX243" s="55">
        <f t="shared" si="1528"/>
        <v>46229</v>
      </c>
      <c r="CY243" s="422"/>
      <c r="CZ243" s="525">
        <f>SUMPRODUCT(PRODUCE!$B246:$DY246,PRODUCE!$EB$18:$IY$18)</f>
        <v>0</v>
      </c>
      <c r="DA243" s="422"/>
      <c r="DB243" s="525">
        <f t="shared" si="1529"/>
        <v>0</v>
      </c>
      <c r="DC243" s="525">
        <f t="shared" si="1530"/>
        <v>29911.600000000006</v>
      </c>
      <c r="DD243" s="56"/>
      <c r="DG243" s="55">
        <f t="shared" si="1531"/>
        <v>46229</v>
      </c>
      <c r="DH243" s="422"/>
      <c r="DI243" s="526">
        <f>SUMPRODUCT(PRODUCE!$B246:$DY246,PRODUCE!$EB$19:$IY$19)</f>
        <v>0</v>
      </c>
      <c r="DJ243" s="422"/>
      <c r="DK243" s="526">
        <f t="shared" si="1532"/>
        <v>0</v>
      </c>
      <c r="DL243" s="526">
        <f t="shared" si="1533"/>
        <v>32282.299999999981</v>
      </c>
      <c r="DM243" s="56"/>
      <c r="DP243" s="55">
        <f t="shared" si="1534"/>
        <v>46229</v>
      </c>
      <c r="DQ243" s="56"/>
      <c r="DR243" s="57">
        <f>SUMPRODUCT(PRODUCE!$B246:$DY246,PRODUCE!$EB$20:$IY$20)</f>
        <v>0</v>
      </c>
      <c r="DS243" s="56"/>
      <c r="DT243" s="57">
        <f t="shared" si="1535"/>
        <v>0</v>
      </c>
      <c r="DU243" s="57">
        <f t="shared" si="1536"/>
        <v>5800</v>
      </c>
      <c r="DV243" s="56"/>
      <c r="DY243" s="55">
        <f t="shared" si="1537"/>
        <v>46229</v>
      </c>
      <c r="DZ243" s="56"/>
      <c r="EA243" s="157">
        <f>SUMPRODUCT(PRODUCE!$B246:$DY246,PRODUCE!$EB$21:$IY$21)</f>
        <v>0</v>
      </c>
      <c r="EB243" s="56"/>
      <c r="EC243" s="157">
        <f t="shared" si="1538"/>
        <v>0</v>
      </c>
      <c r="ED243" s="157">
        <f t="shared" si="1539"/>
        <v>0</v>
      </c>
      <c r="EE243" s="56"/>
      <c r="EH243" s="55">
        <f t="shared" si="1540"/>
        <v>46229</v>
      </c>
      <c r="EI243" s="56"/>
      <c r="EJ243" s="162">
        <f>SUMPRODUCT(PRODUCE!$B246:$DY246,PRODUCE!$EB$22:$IY$22)</f>
        <v>0</v>
      </c>
      <c r="EK243" s="56"/>
      <c r="EL243" s="162">
        <f t="shared" si="1541"/>
        <v>0</v>
      </c>
      <c r="EM243" s="162">
        <f t="shared" si="1542"/>
        <v>0</v>
      </c>
      <c r="EN243" s="56"/>
      <c r="EQ243" s="55">
        <f t="shared" si="1543"/>
        <v>46229</v>
      </c>
      <c r="ER243" s="56"/>
      <c r="ES243" s="172">
        <f>SUMPRODUCT(PRODUCE!$B246:$DY246,PRODUCE!$EB$23:$IY$23)</f>
        <v>0</v>
      </c>
      <c r="ET243" s="56"/>
      <c r="EU243" s="135">
        <f t="shared" si="1544"/>
        <v>0</v>
      </c>
      <c r="EV243" s="135">
        <f t="shared" si="1545"/>
        <v>0</v>
      </c>
      <c r="EW243" s="56"/>
      <c r="EZ243" s="55">
        <f t="shared" si="1546"/>
        <v>46229</v>
      </c>
      <c r="FA243" s="56"/>
      <c r="FB243" s="175">
        <f>SUMPRODUCT(PRODUCE!$B246:$DY246,PRODUCE!$EB$24:$IY$24)</f>
        <v>0</v>
      </c>
      <c r="FC243" s="56"/>
      <c r="FD243" s="175">
        <f t="shared" si="1547"/>
        <v>0</v>
      </c>
      <c r="FE243" s="175">
        <f t="shared" si="1548"/>
        <v>0</v>
      </c>
      <c r="FF243" s="56"/>
      <c r="FI243" s="55">
        <f t="shared" si="1549"/>
        <v>46229</v>
      </c>
      <c r="FJ243" s="56"/>
      <c r="FK243" s="183">
        <f>SUMPRODUCT(PRODUCE!$B246:$DY246,PRODUCE!$EB$25:$IY$25)</f>
        <v>0</v>
      </c>
      <c r="FL243" s="56"/>
      <c r="FM243" s="183">
        <f t="shared" si="1550"/>
        <v>0</v>
      </c>
      <c r="FN243" s="183">
        <f t="shared" si="1551"/>
        <v>0</v>
      </c>
      <c r="FO243" s="56"/>
      <c r="FR243" s="55">
        <f t="shared" si="1552"/>
        <v>46229</v>
      </c>
      <c r="FS243" s="56"/>
      <c r="FT243" s="186">
        <f>SUMPRODUCT(PRODUCE!$B246:$DY246,PRODUCE!$EB$26:$IY$26)</f>
        <v>0</v>
      </c>
      <c r="FU243" s="56"/>
      <c r="FV243" s="186">
        <f t="shared" si="1553"/>
        <v>0</v>
      </c>
      <c r="FW243" s="186">
        <f t="shared" si="1554"/>
        <v>540</v>
      </c>
      <c r="FX243" s="56"/>
      <c r="GA243" s="55">
        <f t="shared" si="1555"/>
        <v>46229</v>
      </c>
      <c r="GB243" s="56"/>
      <c r="GC243" s="137">
        <f>SUMPRODUCT(PRODUCE!$B246:$DY246,PRODUCE!$EB$27:$IY$27)</f>
        <v>0</v>
      </c>
      <c r="GD243" s="56"/>
      <c r="GE243" s="137">
        <f t="shared" si="1556"/>
        <v>0</v>
      </c>
      <c r="GF243" s="137">
        <f t="shared" si="1557"/>
        <v>960</v>
      </c>
      <c r="GG243" s="56"/>
      <c r="GI243" s="23"/>
      <c r="GJ243" s="55">
        <f t="shared" si="1558"/>
        <v>46229</v>
      </c>
      <c r="GK243" s="56"/>
      <c r="GL243" s="199">
        <f>SUMPRODUCT(PRODUCE!$B246:$DY246,PRODUCE!$EB$28:$IY$28)</f>
        <v>0</v>
      </c>
      <c r="GM243" s="56"/>
      <c r="GN243" s="199">
        <f t="shared" si="1559"/>
        <v>0</v>
      </c>
      <c r="GO243" s="199">
        <f t="shared" si="1560"/>
        <v>1760</v>
      </c>
      <c r="GP243" s="56"/>
      <c r="GS243" s="55">
        <f t="shared" si="1561"/>
        <v>46229</v>
      </c>
      <c r="GT243" s="56"/>
      <c r="GU243" s="195">
        <f>SUMPRODUCT(PRODUCE!$B246:$DY246,PRODUCE!$EB$29:$IY$29)</f>
        <v>0</v>
      </c>
      <c r="GV243" s="56"/>
      <c r="GW243" s="195">
        <f t="shared" si="1562"/>
        <v>0</v>
      </c>
      <c r="GX243" s="195">
        <f t="shared" si="1563"/>
        <v>400</v>
      </c>
      <c r="GY243" s="56"/>
      <c r="HB243" s="55">
        <f t="shared" si="1564"/>
        <v>46229</v>
      </c>
      <c r="HC243" s="56"/>
      <c r="HD243" s="191">
        <f>SUMPRODUCT(PRODUCE!$B246:$DY246,PRODUCE!$EB$30:$IY$30)</f>
        <v>0</v>
      </c>
      <c r="HE243" s="56"/>
      <c r="HF243" s="191">
        <f t="shared" si="1565"/>
        <v>0</v>
      </c>
      <c r="HG243" s="191">
        <f t="shared" si="1566"/>
        <v>3600</v>
      </c>
      <c r="HH243" s="56"/>
      <c r="HK243" s="55">
        <f t="shared" si="1567"/>
        <v>46229</v>
      </c>
      <c r="HL243" s="56"/>
      <c r="HM243" s="63">
        <f>SUMPRODUCT(PRODUCE!$B246:$DY246,PRODUCE!$EB$31:$IY$31)</f>
        <v>0</v>
      </c>
      <c r="HN243" s="56"/>
      <c r="HO243" s="63">
        <f t="shared" si="1568"/>
        <v>0</v>
      </c>
      <c r="HP243" s="63">
        <f t="shared" si="1569"/>
        <v>0</v>
      </c>
      <c r="HQ243" s="56"/>
      <c r="HU243" s="55">
        <f t="shared" si="1570"/>
        <v>46229</v>
      </c>
      <c r="HV243" s="56"/>
      <c r="HW243" s="242">
        <f>SUMPRODUCT(PRODUCE!$B246:$DY246,PRODUCE!$EB$32:$IY$32)</f>
        <v>0</v>
      </c>
      <c r="HX243" s="56"/>
      <c r="HY243" s="242">
        <f t="shared" si="1571"/>
        <v>0</v>
      </c>
      <c r="HZ243" s="242">
        <f t="shared" si="1572"/>
        <v>5920</v>
      </c>
      <c r="IA243" s="56"/>
      <c r="ID243" s="55">
        <f t="shared" si="1573"/>
        <v>46229</v>
      </c>
      <c r="IE243" s="56"/>
      <c r="IF243" s="242">
        <f>SUMPRODUCT(PRODUCE!$B246:$DY246,PRODUCE!$EB$33:$IY$33)</f>
        <v>0</v>
      </c>
      <c r="IG243" s="56"/>
      <c r="IH243" s="242">
        <f t="shared" si="1574"/>
        <v>0</v>
      </c>
      <c r="II243" s="242">
        <f t="shared" si="1575"/>
        <v>720</v>
      </c>
      <c r="IJ243" s="56"/>
      <c r="IM243" s="55">
        <f t="shared" si="1576"/>
        <v>46229</v>
      </c>
      <c r="IN243" s="56"/>
      <c r="IO243" s="242">
        <f>SUMPRODUCT(PRODUCE!$B246:$DY246,PRODUCE!$EB$34:$IY$34)</f>
        <v>0</v>
      </c>
      <c r="IP243" s="56"/>
      <c r="IQ243" s="242">
        <f t="shared" si="1577"/>
        <v>0</v>
      </c>
      <c r="IR243" s="242">
        <f t="shared" si="1578"/>
        <v>3280</v>
      </c>
      <c r="IS243" s="56"/>
      <c r="IV243" s="55">
        <f t="shared" si="1579"/>
        <v>46229</v>
      </c>
      <c r="IW243" s="56"/>
      <c r="IX243" s="242">
        <f>SUMPRODUCT(PRODUCE!$B246:$DY246,PRODUCE!$EB$35:$IY$35)</f>
        <v>0</v>
      </c>
      <c r="IY243" s="56"/>
      <c r="IZ243" s="242">
        <f t="shared" si="1580"/>
        <v>0</v>
      </c>
      <c r="JA243" s="242">
        <f t="shared" si="1581"/>
        <v>4960</v>
      </c>
      <c r="JB243" s="56"/>
      <c r="JE243" s="55">
        <f t="shared" si="1582"/>
        <v>46229</v>
      </c>
      <c r="JF243" s="56"/>
      <c r="JG243" s="242">
        <f>SUMPRODUCT(PRODUCE!$B246:$DY246,PRODUCE!$EB$36:$IY$36)</f>
        <v>0</v>
      </c>
      <c r="JH243" s="56"/>
      <c r="JI243" s="242">
        <f t="shared" si="1583"/>
        <v>0</v>
      </c>
      <c r="JJ243" s="242">
        <f t="shared" si="1584"/>
        <v>0</v>
      </c>
      <c r="JK243" s="56"/>
      <c r="JN243" s="55">
        <f t="shared" si="1585"/>
        <v>46229</v>
      </c>
      <c r="JO243" s="56"/>
      <c r="JP243" s="242">
        <f>SUMPRODUCT(PRODUCE!$B246:$DY246,PRODUCE!$EB$37:$IY$37)</f>
        <v>0</v>
      </c>
      <c r="JQ243" s="56"/>
      <c r="JR243" s="242">
        <f t="shared" si="1586"/>
        <v>0</v>
      </c>
      <c r="JS243" s="242">
        <f t="shared" si="1587"/>
        <v>0</v>
      </c>
      <c r="JT243" s="56"/>
      <c r="JW243" s="55">
        <f t="shared" si="1588"/>
        <v>46229</v>
      </c>
      <c r="JX243" s="56"/>
      <c r="JY243" s="242">
        <f>SUMPRODUCT(PRODUCE!$B246:$DY246,PRODUCE!$EB$38:$IY$38)</f>
        <v>0</v>
      </c>
      <c r="JZ243" s="56"/>
      <c r="KA243" s="242">
        <f t="shared" si="1589"/>
        <v>0</v>
      </c>
      <c r="KB243" s="242">
        <f t="shared" si="1590"/>
        <v>2540</v>
      </c>
      <c r="KC243" s="56"/>
      <c r="KF243" s="55">
        <f t="shared" si="1591"/>
        <v>46229</v>
      </c>
      <c r="KG243" s="56"/>
      <c r="KH243" s="242">
        <f>SUMPRODUCT(PRODUCE!$B246:$DY246,PRODUCE!$EB$39:$IY$39)</f>
        <v>0</v>
      </c>
      <c r="KI243" s="56"/>
      <c r="KJ243" s="242">
        <f t="shared" si="1592"/>
        <v>0</v>
      </c>
      <c r="KK243" s="242">
        <f t="shared" si="1593"/>
        <v>2359.5</v>
      </c>
      <c r="KL243" s="56"/>
      <c r="KO243" s="55">
        <f t="shared" si="1594"/>
        <v>46229</v>
      </c>
      <c r="KP243" s="56"/>
      <c r="KQ243" s="242">
        <f>SUMPRODUCT(PRODUCE!$B246:$DY246,PRODUCE!$EB$40:$IY$40)</f>
        <v>0</v>
      </c>
      <c r="KR243" s="56"/>
      <c r="KS243" s="242">
        <f t="shared" si="1595"/>
        <v>0</v>
      </c>
      <c r="KT243" s="242">
        <f t="shared" si="1596"/>
        <v>1890</v>
      </c>
      <c r="KU243" s="56"/>
      <c r="KW243" s="23"/>
      <c r="KX243" s="55">
        <f t="shared" si="1597"/>
        <v>46229</v>
      </c>
      <c r="KY243" s="56"/>
      <c r="KZ243" s="242">
        <f>SUMPRODUCT(PRODUCE!$B246:$DY246,PRODUCE!$EB$41:$IY$41)</f>
        <v>0</v>
      </c>
      <c r="LA243" s="56"/>
      <c r="LB243" s="242">
        <f t="shared" si="1598"/>
        <v>0</v>
      </c>
      <c r="LC243" s="242">
        <f t="shared" si="1599"/>
        <v>3690</v>
      </c>
      <c r="LD243" s="56"/>
      <c r="LG243" s="55">
        <f t="shared" si="1600"/>
        <v>46229</v>
      </c>
      <c r="LH243" s="56"/>
      <c r="LI243" s="242">
        <f>SUMPRODUCT(PRODUCE!$B246:$DY246,PRODUCE!$EB$42:$IY$42)</f>
        <v>0</v>
      </c>
      <c r="LJ243" s="56"/>
      <c r="LK243" s="242">
        <f t="shared" si="1601"/>
        <v>0</v>
      </c>
      <c r="LL243" s="242">
        <f t="shared" si="1602"/>
        <v>4000</v>
      </c>
      <c r="LM243" s="56"/>
      <c r="LP243" s="55">
        <f t="shared" si="1603"/>
        <v>46229</v>
      </c>
      <c r="LQ243" s="56"/>
      <c r="LR243" s="242">
        <f>SUMPRODUCT(PRODUCE!$B246:$DY246,PRODUCE!$EB$43:$IY$43)</f>
        <v>0</v>
      </c>
      <c r="LS243" s="56"/>
      <c r="LT243" s="242">
        <f t="shared" si="1604"/>
        <v>0</v>
      </c>
      <c r="LU243" s="242">
        <f t="shared" si="1605"/>
        <v>0</v>
      </c>
      <c r="LV243" s="56"/>
      <c r="LY243" s="55">
        <f t="shared" si="1606"/>
        <v>46229</v>
      </c>
      <c r="LZ243" s="56"/>
      <c r="MA243" s="242">
        <f>SUMPRODUCT(PRODUCE!$B246:$DY246,PRODUCE!$EB$44:$IY$44)</f>
        <v>0</v>
      </c>
      <c r="MB243" s="56"/>
      <c r="MC243" s="242">
        <f t="shared" si="1607"/>
        <v>0</v>
      </c>
      <c r="MD243" s="242">
        <f t="shared" si="1608"/>
        <v>0</v>
      </c>
      <c r="ME243" s="56"/>
      <c r="MH243" s="55">
        <f t="shared" si="1609"/>
        <v>46229</v>
      </c>
      <c r="MI243" s="56"/>
      <c r="MJ243" s="242">
        <f>SUMPRODUCT(PRODUCE!$B246:$DY246,PRODUCE!$EB$45:$IY$45)</f>
        <v>0</v>
      </c>
      <c r="MK243" s="56"/>
      <c r="ML243" s="242">
        <f t="shared" si="1610"/>
        <v>0</v>
      </c>
      <c r="MM243" s="242">
        <f t="shared" si="1611"/>
        <v>0</v>
      </c>
      <c r="MN243" s="56"/>
      <c r="MQ243" s="55">
        <f t="shared" si="1612"/>
        <v>46229</v>
      </c>
      <c r="MR243" s="56"/>
      <c r="MS243" s="242">
        <f>SUMPRODUCT(PRODUCE!$B246:$DY246,PRODUCE!$EB$46:$IY$46)</f>
        <v>0</v>
      </c>
      <c r="MT243" s="56"/>
      <c r="MU243" s="242">
        <f t="shared" si="1613"/>
        <v>0</v>
      </c>
      <c r="MV243" s="242">
        <f t="shared" si="1614"/>
        <v>2362</v>
      </c>
      <c r="MW243" s="56"/>
      <c r="MZ243" s="55">
        <f t="shared" si="1615"/>
        <v>46229</v>
      </c>
      <c r="NA243" s="56"/>
      <c r="NB243" s="242">
        <f>SUMPRODUCT(PRODUCE!$B246:$DY246,PRODUCE!$EB$47:$IY$47)</f>
        <v>0</v>
      </c>
      <c r="NC243" s="56"/>
      <c r="ND243" s="242">
        <f t="shared" si="1616"/>
        <v>0</v>
      </c>
      <c r="NE243" s="242">
        <f t="shared" si="1617"/>
        <v>0</v>
      </c>
      <c r="NF243" s="56"/>
      <c r="NI243" s="55">
        <f t="shared" si="1618"/>
        <v>46229</v>
      </c>
      <c r="NJ243" s="56"/>
      <c r="NK243" s="242">
        <f>SUMPRODUCT(PRODUCE!$B246:$DY246,PRODUCE!$EB$48:$IY$48)</f>
        <v>0</v>
      </c>
      <c r="NL243" s="56"/>
      <c r="NM243" s="242">
        <f t="shared" si="1619"/>
        <v>0</v>
      </c>
      <c r="NN243" s="242">
        <f t="shared" si="1620"/>
        <v>1127</v>
      </c>
      <c r="NO243" s="56"/>
      <c r="NR243" s="55">
        <f t="shared" si="1621"/>
        <v>46229</v>
      </c>
      <c r="NS243" s="56"/>
      <c r="NT243" s="242">
        <f>SUMPRODUCT(PRODUCE!$B246:$DY246,PRODUCE!$EB$49:$IY$49)</f>
        <v>0</v>
      </c>
      <c r="NU243" s="56"/>
      <c r="NV243" s="242">
        <f t="shared" si="1622"/>
        <v>0</v>
      </c>
      <c r="NW243" s="242">
        <f t="shared" si="1623"/>
        <v>3111.9999999999995</v>
      </c>
      <c r="NX243" s="56"/>
      <c r="OA243" s="55">
        <f t="shared" si="1624"/>
        <v>46229</v>
      </c>
      <c r="OB243" s="56"/>
      <c r="OC243" s="242">
        <f>SUMPRODUCT(PRODUCE!$B246:$DY246,PRODUCE!$EB$50:$IY$50)</f>
        <v>0</v>
      </c>
      <c r="OD243" s="56"/>
      <c r="OE243" s="242">
        <f t="shared" si="1625"/>
        <v>0</v>
      </c>
      <c r="OF243" s="242">
        <f t="shared" si="1626"/>
        <v>1680.5</v>
      </c>
      <c r="OG243" s="56"/>
      <c r="OJ243" s="55">
        <f t="shared" si="1627"/>
        <v>46229</v>
      </c>
      <c r="OK243" s="56"/>
      <c r="OL243" s="242">
        <f>SUMPRODUCT(PRODUCE!$B246:$DY246,PRODUCE!$EB$51:$IY$51)</f>
        <v>0</v>
      </c>
      <c r="OM243" s="56"/>
      <c r="ON243" s="242">
        <f t="shared" si="1628"/>
        <v>0</v>
      </c>
      <c r="OO243" s="242">
        <f t="shared" si="1629"/>
        <v>0</v>
      </c>
      <c r="OP243" s="56"/>
      <c r="OS243" s="55">
        <f t="shared" si="1630"/>
        <v>46229</v>
      </c>
      <c r="OT243" s="56"/>
      <c r="OU243" s="242">
        <f>SUMPRODUCT(PRODUCE!$B246:$DY246,PRODUCE!$EB$52:$IY$52)</f>
        <v>0</v>
      </c>
      <c r="OV243" s="56"/>
      <c r="OW243" s="242">
        <f t="shared" si="1631"/>
        <v>0</v>
      </c>
      <c r="OX243" s="242">
        <f t="shared" si="1632"/>
        <v>1482</v>
      </c>
      <c r="OY243" s="56"/>
      <c r="PB243" s="55">
        <f t="shared" si="1633"/>
        <v>46229</v>
      </c>
      <c r="PC243" s="56"/>
      <c r="PD243" s="242">
        <f>SUMPRODUCT(PRODUCE!$B246:$DY246,PRODUCE!$EB$53:$IY$53)</f>
        <v>0</v>
      </c>
      <c r="PE243" s="56"/>
      <c r="PF243" s="242">
        <f t="shared" si="1634"/>
        <v>0</v>
      </c>
      <c r="PG243" s="242">
        <f t="shared" si="1635"/>
        <v>0</v>
      </c>
      <c r="PH243" s="56"/>
      <c r="PK243" s="55">
        <f t="shared" si="1636"/>
        <v>46229</v>
      </c>
      <c r="PL243" s="56"/>
      <c r="PM243" s="242">
        <f>SUMPRODUCT(PRODUCE!$B246:$DY246,PRODUCE!$EB$54:$IY$54)</f>
        <v>0</v>
      </c>
      <c r="PN243" s="56"/>
      <c r="PO243" s="242">
        <f t="shared" si="1637"/>
        <v>0</v>
      </c>
      <c r="PP243" s="242">
        <f t="shared" si="1638"/>
        <v>100</v>
      </c>
      <c r="PQ243" s="56"/>
      <c r="PT243" s="55">
        <f t="shared" si="1639"/>
        <v>46229</v>
      </c>
      <c r="PU243" s="56"/>
      <c r="PV243" s="242">
        <f>SUMPRODUCT(PRODUCE!$B246:$DY246,PRODUCE!$EB$55:$IY$55)</f>
        <v>0</v>
      </c>
      <c r="PW243" s="56"/>
      <c r="PX243" s="242">
        <f t="shared" si="1640"/>
        <v>0</v>
      </c>
      <c r="PY243" s="242">
        <f t="shared" si="1641"/>
        <v>13.960000000000036</v>
      </c>
      <c r="PZ243" s="56"/>
      <c r="QC243" s="55">
        <f t="shared" si="1642"/>
        <v>46229</v>
      </c>
      <c r="QD243" s="56"/>
      <c r="QE243" s="242">
        <f>SUMPRODUCT(PRODUCE!$B246:$DY246,PRODUCE!$EB$56:$IY$56)</f>
        <v>0</v>
      </c>
      <c r="QF243" s="56"/>
      <c r="QG243" s="242">
        <f t="shared" si="1643"/>
        <v>0</v>
      </c>
      <c r="QH243" s="242">
        <f t="shared" si="1644"/>
        <v>1120</v>
      </c>
      <c r="QI243" s="56"/>
      <c r="QL243" s="55">
        <f t="shared" si="1645"/>
        <v>46229</v>
      </c>
      <c r="QM243" s="56"/>
      <c r="QN243" s="242">
        <f>SUMPRODUCT(PRODUCE!$B246:$DY246,PRODUCE!$EB$57:$IY$57)</f>
        <v>0</v>
      </c>
      <c r="QO243" s="56"/>
      <c r="QP243" s="242">
        <f t="shared" si="1646"/>
        <v>0</v>
      </c>
      <c r="QQ243" s="242">
        <f t="shared" si="1647"/>
        <v>0</v>
      </c>
      <c r="QR243" s="56"/>
      <c r="QU243" s="55">
        <f t="shared" si="1648"/>
        <v>46229</v>
      </c>
      <c r="QV243" s="56"/>
      <c r="QW243" s="242">
        <f>SUMPRODUCT(PRODUCE!$B246:$DY246,PRODUCE!$EB$58:$IY$58)</f>
        <v>0</v>
      </c>
      <c r="QX243" s="56"/>
      <c r="QY243" s="242">
        <f t="shared" si="1649"/>
        <v>0</v>
      </c>
      <c r="QZ243" s="242">
        <f t="shared" si="1650"/>
        <v>207.6</v>
      </c>
      <c r="RA243" s="56"/>
      <c r="RD243" s="55">
        <f t="shared" si="1651"/>
        <v>46229</v>
      </c>
      <c r="RE243" s="56"/>
      <c r="RF243" s="242">
        <f>SUMPRODUCT(PRODUCE!$B246:$DY246,PRODUCE!$EB$59:$IY$59)</f>
        <v>0</v>
      </c>
      <c r="RG243" s="56"/>
      <c r="RH243" s="242">
        <f t="shared" si="1652"/>
        <v>0</v>
      </c>
      <c r="RI243" s="242">
        <f t="shared" si="1653"/>
        <v>147.04000000000002</v>
      </c>
      <c r="RJ243" s="56"/>
      <c r="RM243" s="55">
        <f t="shared" si="1654"/>
        <v>46229</v>
      </c>
      <c r="RN243" s="56"/>
      <c r="RO243" s="242">
        <f>SUMPRODUCT(PRODUCE!$B246:$DY246,PRODUCE!$EB$60:$IY$60)</f>
        <v>0</v>
      </c>
      <c r="RP243" s="56"/>
      <c r="RQ243" s="242">
        <f t="shared" si="1655"/>
        <v>0</v>
      </c>
      <c r="RR243" s="242">
        <f t="shared" si="1656"/>
        <v>46.8</v>
      </c>
      <c r="RS243" s="56"/>
      <c r="RV243" s="55">
        <f t="shared" si="1657"/>
        <v>46229</v>
      </c>
      <c r="RW243" s="56"/>
      <c r="RX243" s="242">
        <f>SUMPRODUCT(PRODUCE!$B246:$DY246,PRODUCE!$EB$61:$IY$61)</f>
        <v>0</v>
      </c>
      <c r="RY243" s="56"/>
      <c r="RZ243" s="242">
        <f t="shared" si="1658"/>
        <v>0</v>
      </c>
      <c r="SA243" s="242">
        <f t="shared" si="1659"/>
        <v>0</v>
      </c>
      <c r="SB243" s="56"/>
      <c r="SE243" s="55">
        <f t="shared" si="1660"/>
        <v>46229</v>
      </c>
      <c r="SF243" s="56"/>
      <c r="SG243" s="242">
        <f>SUMPRODUCT(PRODUCE!$B246:$DY246,PRODUCE!$EB$62:$IY$62)</f>
        <v>0</v>
      </c>
      <c r="SH243" s="56"/>
      <c r="SI243" s="242">
        <f t="shared" si="1661"/>
        <v>0</v>
      </c>
      <c r="SJ243" s="242">
        <f t="shared" si="1662"/>
        <v>24.200000000000003</v>
      </c>
      <c r="SK243" s="56"/>
      <c r="SN243" s="55">
        <f t="shared" si="1663"/>
        <v>46229</v>
      </c>
      <c r="SO243" s="56"/>
      <c r="SP243" s="242">
        <f>SUMPRODUCT(PRODUCE!$B246:$DY246,PRODUCE!$EB$63:$IY$63)</f>
        <v>0</v>
      </c>
      <c r="SQ243" s="56"/>
      <c r="SR243" s="242">
        <f t="shared" si="1664"/>
        <v>0</v>
      </c>
      <c r="SS243" s="242">
        <f t="shared" si="1665"/>
        <v>32</v>
      </c>
      <c r="ST243" s="56"/>
      <c r="SW243" s="55">
        <f t="shared" si="1666"/>
        <v>46229</v>
      </c>
      <c r="SX243" s="56"/>
      <c r="SY243" s="242">
        <f>SUMPRODUCT(PRODUCE!$B246:$DY246,PRODUCE!$EB$64:$IY$64)</f>
        <v>0</v>
      </c>
      <c r="SZ243" s="56"/>
      <c r="TA243" s="242">
        <f t="shared" si="1667"/>
        <v>0</v>
      </c>
      <c r="TB243" s="242">
        <f t="shared" si="1668"/>
        <v>0</v>
      </c>
      <c r="TC243" s="56"/>
      <c r="TF243" s="55">
        <f t="shared" si="1669"/>
        <v>46229</v>
      </c>
      <c r="TG243" s="56"/>
      <c r="TH243" s="242">
        <f>SUMPRODUCT(PRODUCE!$B246:$DY246,PRODUCE!$EB$57:$IY$57)</f>
        <v>0</v>
      </c>
      <c r="TI243" s="56"/>
      <c r="TJ243" s="242">
        <f t="shared" si="1670"/>
        <v>0</v>
      </c>
      <c r="TK243" s="242">
        <f t="shared" si="1671"/>
        <v>0</v>
      </c>
      <c r="TL243" s="56"/>
      <c r="TO243" s="55">
        <f t="shared" si="1672"/>
        <v>46229</v>
      </c>
      <c r="TP243" s="56"/>
      <c r="TQ243" s="242">
        <f>SUMPRODUCT(PRODUCE!$B246:$DY246,PRODUCE!$EB$57:$IY$57)</f>
        <v>0</v>
      </c>
      <c r="TR243" s="56"/>
      <c r="TS243" s="242">
        <f t="shared" si="1673"/>
        <v>0</v>
      </c>
      <c r="TT243" s="242">
        <f t="shared" si="1674"/>
        <v>10.400000000000006</v>
      </c>
      <c r="TU243" s="56"/>
      <c r="TX243" s="55">
        <f t="shared" si="1675"/>
        <v>46229</v>
      </c>
      <c r="TY243" s="56"/>
      <c r="TZ243" s="242">
        <f>SUMPRODUCT(PRODUCE!$B246:$DY246,PRODUCE!$EB$57:$IY$57)</f>
        <v>0</v>
      </c>
      <c r="UA243" s="56"/>
      <c r="UB243" s="242">
        <f t="shared" si="1676"/>
        <v>0</v>
      </c>
      <c r="UC243" s="242">
        <f t="shared" si="1677"/>
        <v>46.799999999999983</v>
      </c>
      <c r="UD243" s="56"/>
      <c r="UG243" s="55">
        <f t="shared" si="1678"/>
        <v>46229</v>
      </c>
      <c r="UH243" s="56"/>
      <c r="UI243" s="242">
        <f>SUMPRODUCT(PRODUCE!$B246:$DY246,PRODUCE!$EB$57:$IY$57)</f>
        <v>0</v>
      </c>
      <c r="UJ243" s="56"/>
      <c r="UK243" s="242">
        <f t="shared" si="1679"/>
        <v>0</v>
      </c>
      <c r="UL243" s="242">
        <f t="shared" si="1680"/>
        <v>204</v>
      </c>
      <c r="UM243" s="56"/>
      <c r="UP243" s="55">
        <f t="shared" si="1681"/>
        <v>46229</v>
      </c>
      <c r="UQ243" s="56"/>
      <c r="UR243" s="242">
        <f>SUMPRODUCT(PRODUCE!$B246:$DY246,PRODUCE!$EB$69:$IY$69)</f>
        <v>0</v>
      </c>
      <c r="US243" s="56"/>
      <c r="UT243" s="242">
        <f t="shared" si="1682"/>
        <v>0</v>
      </c>
      <c r="UU243" s="242">
        <f t="shared" si="1683"/>
        <v>202.5</v>
      </c>
      <c r="UV243" s="56"/>
      <c r="UY243" s="55">
        <f t="shared" si="1684"/>
        <v>46229</v>
      </c>
      <c r="UZ243" s="56"/>
      <c r="VA243" s="242">
        <f>SUMPRODUCT(PRODUCE!$B246:$DY246,PRODUCE!$EB$70:$IY$70)</f>
        <v>0</v>
      </c>
      <c r="VB243" s="56"/>
      <c r="VC243" s="242">
        <f t="shared" si="1685"/>
        <v>0</v>
      </c>
      <c r="VD243" s="242">
        <f t="shared" si="1686"/>
        <v>41.600000000000023</v>
      </c>
      <c r="VE243" s="56"/>
      <c r="VH243" s="55">
        <f t="shared" si="1687"/>
        <v>46229</v>
      </c>
      <c r="VI243" s="56"/>
      <c r="VJ243" s="242">
        <f>SUMPRODUCT(PRODUCE!$B246:$DY246,PRODUCE!$EB$71:$IY$71)</f>
        <v>0</v>
      </c>
      <c r="VK243" s="56"/>
      <c r="VL243" s="242">
        <f t="shared" si="1688"/>
        <v>0</v>
      </c>
      <c r="VM243" s="242">
        <f t="shared" si="1689"/>
        <v>210</v>
      </c>
      <c r="VN243" s="56"/>
      <c r="VQ243" s="55">
        <f t="shared" si="1690"/>
        <v>46229</v>
      </c>
      <c r="VR243" s="56"/>
      <c r="VS243" s="242">
        <f>SUMPRODUCT(PRODUCE!$B246:$DY246,PRODUCE!$EB$57:$IY$57)</f>
        <v>0</v>
      </c>
      <c r="VT243" s="56"/>
      <c r="VU243" s="242">
        <f t="shared" si="1691"/>
        <v>0</v>
      </c>
      <c r="VV243" s="242">
        <f t="shared" si="1692"/>
        <v>0</v>
      </c>
      <c r="VW243" s="56"/>
      <c r="VZ243" s="55">
        <f t="shared" si="1693"/>
        <v>46229</v>
      </c>
      <c r="WA243" s="56"/>
      <c r="WB243" s="242">
        <f>SUMPRODUCT(PRODUCE!$B246:$DY246,PRODUCE!$EB$57:$IY$57)</f>
        <v>0</v>
      </c>
      <c r="WC243" s="56"/>
      <c r="WD243" s="242">
        <f t="shared" si="1694"/>
        <v>0</v>
      </c>
      <c r="WE243" s="242">
        <f t="shared" si="1695"/>
        <v>0</v>
      </c>
      <c r="WF243" s="56"/>
      <c r="WI243" s="55">
        <f t="shared" si="1696"/>
        <v>46229</v>
      </c>
      <c r="WJ243" s="56"/>
      <c r="WK243" s="242">
        <f>SUMPRODUCT(PRODUCE!$B246:$DY246,PRODUCE!$EB$57:$IY$57)</f>
        <v>0</v>
      </c>
      <c r="WL243" s="56"/>
      <c r="WM243" s="242">
        <f t="shared" si="1697"/>
        <v>0</v>
      </c>
      <c r="WN243" s="242">
        <f t="shared" si="1698"/>
        <v>1057</v>
      </c>
      <c r="WO243" s="56"/>
      <c r="WR243" s="55">
        <f t="shared" si="1699"/>
        <v>46229</v>
      </c>
      <c r="WS243" s="56"/>
      <c r="WT243" s="242">
        <f>SUMPRODUCT(PRODUCE!$B246:$DY246,PRODUCE!$EB$57:$IY$57)</f>
        <v>0</v>
      </c>
      <c r="WU243" s="56"/>
      <c r="WV243" s="242">
        <f t="shared" si="1700"/>
        <v>0</v>
      </c>
      <c r="WW243" s="242">
        <f t="shared" si="1701"/>
        <v>0</v>
      </c>
      <c r="WX243" s="56"/>
      <c r="XA243" s="55">
        <f t="shared" si="1702"/>
        <v>46229</v>
      </c>
      <c r="XB243" s="56"/>
      <c r="XC243" s="242">
        <f>SUMPRODUCT(PRODUCE!$B246:$DY246,PRODUCE!$EB$57:$IY$57)</f>
        <v>0</v>
      </c>
      <c r="XD243" s="56"/>
      <c r="XE243" s="242">
        <f t="shared" si="1703"/>
        <v>0</v>
      </c>
      <c r="XF243" s="242">
        <f t="shared" si="1704"/>
        <v>7507</v>
      </c>
      <c r="XG243" s="56"/>
      <c r="XJ243" s="55">
        <f t="shared" si="1705"/>
        <v>46229</v>
      </c>
      <c r="XK243" s="56"/>
      <c r="XL243" s="242">
        <f>SUMPRODUCT(PRODUCE!$B246:$DY246,PRODUCE!$EB$57:$IY$57)</f>
        <v>0</v>
      </c>
      <c r="XM243" s="56"/>
      <c r="XN243" s="242">
        <f t="shared" si="1706"/>
        <v>0</v>
      </c>
      <c r="XO243" s="242">
        <f t="shared" si="1707"/>
        <v>4252</v>
      </c>
      <c r="XP243" s="56"/>
      <c r="XS243" s="55">
        <f t="shared" si="1708"/>
        <v>46229</v>
      </c>
      <c r="XT243" s="56"/>
      <c r="XU243" s="242">
        <f>SUMPRODUCT(PRODUCE!$B246:$DY246,PRODUCE!$EB$57:$IY$57)</f>
        <v>0</v>
      </c>
      <c r="XV243" s="56"/>
      <c r="XW243" s="242">
        <f t="shared" si="1709"/>
        <v>0</v>
      </c>
      <c r="XX243" s="242">
        <f t="shared" si="1710"/>
        <v>2179</v>
      </c>
      <c r="XY243" s="56"/>
      <c r="YB243" s="55">
        <f t="shared" si="1711"/>
        <v>46229</v>
      </c>
      <c r="YC243" s="56"/>
      <c r="YD243" s="242">
        <f>SUMPRODUCT(PRODUCE!$B246:$DY246,PRODUCE!$EB$57:$IY$57)</f>
        <v>0</v>
      </c>
      <c r="YE243" s="56"/>
      <c r="YF243" s="242">
        <f t="shared" si="1712"/>
        <v>0</v>
      </c>
      <c r="YG243" s="242">
        <f t="shared" si="1713"/>
        <v>4019</v>
      </c>
      <c r="YH243" s="56"/>
      <c r="YK243" s="55">
        <f t="shared" si="1714"/>
        <v>46229</v>
      </c>
      <c r="YL243" s="56"/>
      <c r="YM243" s="242">
        <f>SUMPRODUCT(PRODUCE!$B246:$DY246,PRODUCE!$EB$57:$IY$57)</f>
        <v>0</v>
      </c>
      <c r="YN243" s="56"/>
      <c r="YO243" s="242">
        <f t="shared" si="1715"/>
        <v>0</v>
      </c>
      <c r="YP243" s="242">
        <f t="shared" si="1716"/>
        <v>0</v>
      </c>
      <c r="YQ243" s="56"/>
      <c r="YT243" s="55">
        <f t="shared" si="1717"/>
        <v>46229</v>
      </c>
      <c r="YU243" s="56"/>
      <c r="YV243" s="242">
        <f>SUMPRODUCT(PRODUCE!$B246:$DY246,PRODUCE!$EB$57:$IY$57)</f>
        <v>0</v>
      </c>
      <c r="YW243" s="56"/>
      <c r="YX243" s="242">
        <f t="shared" si="1718"/>
        <v>0</v>
      </c>
      <c r="YY243" s="242">
        <f t="shared" si="1719"/>
        <v>0</v>
      </c>
      <c r="YZ243" s="56"/>
      <c r="ZC243" s="55">
        <f t="shared" si="1720"/>
        <v>46229</v>
      </c>
      <c r="ZD243" s="56"/>
      <c r="ZE243" s="242">
        <f>SUMPRODUCT(PRODUCE!$B246:$DY246,PRODUCE!$EB$57:$IY$57)</f>
        <v>0</v>
      </c>
      <c r="ZF243" s="56"/>
      <c r="ZG243" s="242">
        <f t="shared" si="1721"/>
        <v>0</v>
      </c>
      <c r="ZH243" s="242">
        <f t="shared" si="1722"/>
        <v>0</v>
      </c>
      <c r="ZI243" s="56"/>
      <c r="ZL243" s="55">
        <f t="shared" si="1723"/>
        <v>46229</v>
      </c>
      <c r="ZM243" s="56"/>
      <c r="ZN243" s="242">
        <f>SUMPRODUCT(PRODUCE!$B246:$DY246,PRODUCE!$EB$57:$IY$57)</f>
        <v>0</v>
      </c>
      <c r="ZO243" s="56"/>
      <c r="ZP243" s="242">
        <f t="shared" si="1724"/>
        <v>0</v>
      </c>
      <c r="ZQ243" s="242">
        <f t="shared" si="1725"/>
        <v>0</v>
      </c>
      <c r="ZR243" s="56"/>
      <c r="ZU243" s="55">
        <f t="shared" si="1726"/>
        <v>46229</v>
      </c>
      <c r="ZV243" s="56"/>
      <c r="ZW243" s="242">
        <f>SUMPRODUCT(PRODUCE!$B246:$DY246,PRODUCE!$EB$57:$IY$57)</f>
        <v>0</v>
      </c>
      <c r="ZX243" s="56"/>
      <c r="ZY243" s="242">
        <f t="shared" si="1727"/>
        <v>0</v>
      </c>
      <c r="ZZ243" s="242">
        <f t="shared" si="1728"/>
        <v>0</v>
      </c>
      <c r="AAA243" s="56"/>
      <c r="AAD243" s="55">
        <f t="shared" si="1729"/>
        <v>46229</v>
      </c>
      <c r="AAE243" s="56"/>
      <c r="AAF243" s="242">
        <f>SUMPRODUCT(PRODUCE!$B246:$DY246,PRODUCE!$EB$57:$IY$57)</f>
        <v>0</v>
      </c>
      <c r="AAG243" s="56"/>
      <c r="AAH243" s="242">
        <f t="shared" si="1730"/>
        <v>0</v>
      </c>
      <c r="AAI243" s="242">
        <f t="shared" si="1731"/>
        <v>0</v>
      </c>
      <c r="AAJ243" s="56"/>
      <c r="AAM243" s="55">
        <f t="shared" si="1732"/>
        <v>46229</v>
      </c>
      <c r="AAN243" s="56"/>
      <c r="AAO243" s="242">
        <f>SUMPRODUCT(PRODUCE!$B246:$DY246,PRODUCE!$EB$57:$IY$57)</f>
        <v>0</v>
      </c>
      <c r="AAP243" s="56"/>
      <c r="AAQ243" s="242">
        <f t="shared" si="1733"/>
        <v>0</v>
      </c>
      <c r="AAR243" s="242">
        <f t="shared" si="1734"/>
        <v>0</v>
      </c>
      <c r="AAS243" s="56"/>
      <c r="AAV243" s="55">
        <f t="shared" si="1735"/>
        <v>46229</v>
      </c>
      <c r="AAW243" s="56"/>
      <c r="AAX243" s="242">
        <f>SUMPRODUCT(PRODUCE!$B246:$DY246,PRODUCE!$EB$57:$IY$57)</f>
        <v>0</v>
      </c>
      <c r="AAY243" s="56"/>
      <c r="AAZ243" s="242">
        <f t="shared" si="1736"/>
        <v>0</v>
      </c>
      <c r="ABA243" s="242">
        <f t="shared" si="1737"/>
        <v>0</v>
      </c>
      <c r="ABB243" s="56"/>
      <c r="ABE243" s="55">
        <f t="shared" si="1738"/>
        <v>46229</v>
      </c>
      <c r="ABF243" s="56"/>
      <c r="ABG243" s="242">
        <f>SUMPRODUCT(PRODUCE!$B246:$DY246,PRODUCE!$EB$57:$IY$57)</f>
        <v>0</v>
      </c>
      <c r="ABH243" s="56"/>
      <c r="ABI243" s="242">
        <f t="shared" si="1739"/>
        <v>0</v>
      </c>
      <c r="ABJ243" s="242">
        <f t="shared" si="1740"/>
        <v>0</v>
      </c>
      <c r="ABK243" s="56"/>
    </row>
    <row r="244" spans="1:739" s="54" customFormat="1" ht="15" customHeight="1" outlineLevel="1">
      <c r="B244" s="478"/>
      <c r="C244" s="55">
        <v>46230</v>
      </c>
      <c r="D244" s="422">
        <v>10900</v>
      </c>
      <c r="E244" s="423">
        <f>SUMPRODUCT(PRODUCE!$B247:$DY247,PRODUCE!$EB$7:$IY$7)</f>
        <v>0</v>
      </c>
      <c r="F244" s="422">
        <v>36394.400000000001</v>
      </c>
      <c r="G244" s="423">
        <f t="shared" si="1496"/>
        <v>-36394.400000000001</v>
      </c>
      <c r="H244" s="423">
        <f t="shared" si="1497"/>
        <v>138516</v>
      </c>
      <c r="I244" s="289"/>
      <c r="L244" s="55">
        <f t="shared" si="1498"/>
        <v>46230</v>
      </c>
      <c r="M244" s="422"/>
      <c r="N244" s="438">
        <f>SUMPRODUCT(PRODUCE!$B247:$DY247,PRODUCE!$EB$8:$IY$8)</f>
        <v>0</v>
      </c>
      <c r="O244" s="422">
        <v>12942</v>
      </c>
      <c r="P244" s="438">
        <f t="shared" si="1499"/>
        <v>-12942</v>
      </c>
      <c r="Q244" s="438">
        <f t="shared" si="1500"/>
        <v>13702.600000000071</v>
      </c>
      <c r="R244" s="56"/>
      <c r="U244" s="55">
        <f t="shared" si="1501"/>
        <v>46230</v>
      </c>
      <c r="V244" s="422"/>
      <c r="W244" s="440">
        <f>SUMPRODUCT(PRODUCE!$B247:$DY247,PRODUCE!$EB$9:$IY$9)</f>
        <v>0</v>
      </c>
      <c r="X244" s="422">
        <v>4201.3</v>
      </c>
      <c r="Y244" s="440">
        <f t="shared" si="1502"/>
        <v>-4201.3</v>
      </c>
      <c r="Z244" s="440">
        <f t="shared" si="1503"/>
        <v>27925.099999999969</v>
      </c>
      <c r="AA244" s="56"/>
      <c r="AD244" s="55">
        <f t="shared" si="1504"/>
        <v>46230</v>
      </c>
      <c r="AE244" s="422"/>
      <c r="AF244" s="442">
        <f>SUMPRODUCT(PRODUCE!$B247:$DY247,PRODUCE!$EB$10:$IY$10)</f>
        <v>0</v>
      </c>
      <c r="AG244" s="422"/>
      <c r="AH244" s="442">
        <f t="shared" si="1505"/>
        <v>0</v>
      </c>
      <c r="AI244" s="442">
        <f t="shared" si="1506"/>
        <v>31872.200000000019</v>
      </c>
      <c r="AJ244" s="56"/>
      <c r="AM244" s="55">
        <f t="shared" si="1507"/>
        <v>46230</v>
      </c>
      <c r="AN244" s="422"/>
      <c r="AO244" s="444">
        <f>SUMPRODUCT(PRODUCE!$B247:$DY247,PRODUCE!$EB$11:$IY$11)</f>
        <v>0</v>
      </c>
      <c r="AP244" s="422"/>
      <c r="AQ244" s="444">
        <f t="shared" si="1508"/>
        <v>0</v>
      </c>
      <c r="AR244" s="444">
        <f t="shared" si="1509"/>
        <v>0</v>
      </c>
      <c r="AS244" s="56"/>
      <c r="AV244" s="55">
        <f t="shared" si="1510"/>
        <v>46230</v>
      </c>
      <c r="AW244" s="422"/>
      <c r="AX244" s="446">
        <f>SUMPRODUCT(PRODUCE!$B247:$DY247,PRODUCE!$EB$12:$IY$12)</f>
        <v>0</v>
      </c>
      <c r="AY244" s="422"/>
      <c r="AZ244" s="446">
        <f t="shared" si="1511"/>
        <v>0</v>
      </c>
      <c r="BA244" s="446">
        <f t="shared" si="1512"/>
        <v>124.99999999999523</v>
      </c>
      <c r="BB244" s="56"/>
      <c r="BE244" s="55">
        <f t="shared" si="1513"/>
        <v>46230</v>
      </c>
      <c r="BF244" s="422"/>
      <c r="BG244" s="448">
        <f>SUMPRODUCT(PRODUCE!$B247:$DY247,PRODUCE!$EB$13:$IY$13)</f>
        <v>0</v>
      </c>
      <c r="BH244" s="422">
        <v>600.79999999999995</v>
      </c>
      <c r="BI244" s="448">
        <f t="shared" si="1514"/>
        <v>-600.79999999999995</v>
      </c>
      <c r="BJ244" s="448">
        <f t="shared" si="1515"/>
        <v>27636.699999999997</v>
      </c>
      <c r="BK244" s="56"/>
      <c r="BN244" s="55">
        <f t="shared" si="1516"/>
        <v>46230</v>
      </c>
      <c r="BO244" s="422">
        <v>599.9</v>
      </c>
      <c r="BP244" s="450">
        <f>SUMPRODUCT(PRODUCE!$B247:$DY247,PRODUCE!$EB$14:$IY$14)</f>
        <v>0</v>
      </c>
      <c r="BQ244" s="422">
        <v>599.9</v>
      </c>
      <c r="BR244" s="450">
        <f t="shared" si="1517"/>
        <v>-599.9</v>
      </c>
      <c r="BS244" s="450">
        <f t="shared" si="1518"/>
        <v>0</v>
      </c>
      <c r="BT244" s="56"/>
      <c r="BW244" s="55">
        <f t="shared" si="1519"/>
        <v>46230</v>
      </c>
      <c r="BX244" s="422"/>
      <c r="BY244" s="523">
        <f>SUMPRODUCT(PRODUCE!$B247:$DY247,PRODUCE!$EB$15:$IY$15)</f>
        <v>0</v>
      </c>
      <c r="BZ244" s="422">
        <v>70.349999999999994</v>
      </c>
      <c r="CA244" s="523">
        <f t="shared" si="1520"/>
        <v>-70.349999999999994</v>
      </c>
      <c r="CB244" s="523">
        <f t="shared" si="1521"/>
        <v>5299.6399999999985</v>
      </c>
      <c r="CC244" s="56"/>
      <c r="CF244" s="55">
        <f t="shared" si="1522"/>
        <v>46230</v>
      </c>
      <c r="CG244" s="422"/>
      <c r="CH244" s="524">
        <f>SUMPRODUCT(PRODUCE!$B247:$DY247,PRODUCE!$EB$16:$IY$16)</f>
        <v>0</v>
      </c>
      <c r="CI244" s="422">
        <v>130.43</v>
      </c>
      <c r="CJ244" s="524">
        <f t="shared" si="1523"/>
        <v>-130.43</v>
      </c>
      <c r="CK244" s="524">
        <f t="shared" si="1524"/>
        <v>-9191.2599999999984</v>
      </c>
      <c r="CL244" s="56"/>
      <c r="CO244" s="55">
        <f t="shared" si="1525"/>
        <v>46230</v>
      </c>
      <c r="CP244" s="422"/>
      <c r="CQ244" s="470">
        <f>SUMPRODUCT(PRODUCE!$B247:$DY247,PRODUCE!$EB$17:$IY$17)</f>
        <v>0</v>
      </c>
      <c r="CR244" s="422"/>
      <c r="CS244" s="470">
        <f t="shared" si="1526"/>
        <v>0</v>
      </c>
      <c r="CT244" s="470">
        <f t="shared" si="1527"/>
        <v>0</v>
      </c>
      <c r="CU244" s="56"/>
      <c r="CX244" s="55">
        <f t="shared" si="1528"/>
        <v>46230</v>
      </c>
      <c r="CY244" s="422">
        <v>42.4</v>
      </c>
      <c r="CZ244" s="525">
        <f>SUMPRODUCT(PRODUCE!$B247:$DY247,PRODUCE!$EB$18:$IY$18)</f>
        <v>0</v>
      </c>
      <c r="DA244" s="422">
        <v>1204.0999999999999</v>
      </c>
      <c r="DB244" s="525">
        <f t="shared" si="1529"/>
        <v>-1204.0999999999999</v>
      </c>
      <c r="DC244" s="525">
        <f t="shared" si="1530"/>
        <v>28749.900000000009</v>
      </c>
      <c r="DD244" s="56"/>
      <c r="DG244" s="55">
        <f t="shared" si="1531"/>
        <v>46230</v>
      </c>
      <c r="DH244" s="422"/>
      <c r="DI244" s="526">
        <f>SUMPRODUCT(PRODUCE!$B247:$DY247,PRODUCE!$EB$19:$IY$19)</f>
        <v>0</v>
      </c>
      <c r="DJ244" s="422"/>
      <c r="DK244" s="526">
        <f t="shared" si="1532"/>
        <v>0</v>
      </c>
      <c r="DL244" s="526">
        <f t="shared" si="1533"/>
        <v>32282.299999999981</v>
      </c>
      <c r="DM244" s="56"/>
      <c r="DP244" s="55">
        <f t="shared" si="1534"/>
        <v>46230</v>
      </c>
      <c r="DQ244" s="56"/>
      <c r="DR244" s="57">
        <f>SUMPRODUCT(PRODUCE!$B247:$DY247,PRODUCE!$EB$20:$IY$20)</f>
        <v>0</v>
      </c>
      <c r="DS244" s="56"/>
      <c r="DT244" s="57">
        <f t="shared" si="1535"/>
        <v>0</v>
      </c>
      <c r="DU244" s="57">
        <f t="shared" si="1536"/>
        <v>5800</v>
      </c>
      <c r="DV244" s="56"/>
      <c r="DY244" s="55">
        <f t="shared" si="1537"/>
        <v>46230</v>
      </c>
      <c r="DZ244" s="56"/>
      <c r="EA244" s="157">
        <f>SUMPRODUCT(PRODUCE!$B247:$DY247,PRODUCE!$EB$21:$IY$21)</f>
        <v>0</v>
      </c>
      <c r="EB244" s="56"/>
      <c r="EC244" s="157">
        <f t="shared" si="1538"/>
        <v>0</v>
      </c>
      <c r="ED244" s="157">
        <f t="shared" si="1539"/>
        <v>0</v>
      </c>
      <c r="EE244" s="56"/>
      <c r="EH244" s="55">
        <f t="shared" si="1540"/>
        <v>46230</v>
      </c>
      <c r="EI244" s="56"/>
      <c r="EJ244" s="162">
        <f>SUMPRODUCT(PRODUCE!$B247:$DY247,PRODUCE!$EB$22:$IY$22)</f>
        <v>0</v>
      </c>
      <c r="EK244" s="56"/>
      <c r="EL244" s="162">
        <f t="shared" si="1541"/>
        <v>0</v>
      </c>
      <c r="EM244" s="162">
        <f t="shared" si="1542"/>
        <v>0</v>
      </c>
      <c r="EN244" s="56"/>
      <c r="EQ244" s="55">
        <f t="shared" si="1543"/>
        <v>46230</v>
      </c>
      <c r="ER244" s="56"/>
      <c r="ES244" s="172">
        <f>SUMPRODUCT(PRODUCE!$B247:$DY247,PRODUCE!$EB$23:$IY$23)</f>
        <v>0</v>
      </c>
      <c r="ET244" s="56"/>
      <c r="EU244" s="135">
        <f t="shared" si="1544"/>
        <v>0</v>
      </c>
      <c r="EV244" s="135">
        <f t="shared" si="1545"/>
        <v>0</v>
      </c>
      <c r="EW244" s="56"/>
      <c r="EZ244" s="55">
        <f t="shared" si="1546"/>
        <v>46230</v>
      </c>
      <c r="FA244" s="56"/>
      <c r="FB244" s="175">
        <f>SUMPRODUCT(PRODUCE!$B247:$DY247,PRODUCE!$EB$24:$IY$24)</f>
        <v>0</v>
      </c>
      <c r="FC244" s="56"/>
      <c r="FD244" s="175">
        <f t="shared" si="1547"/>
        <v>0</v>
      </c>
      <c r="FE244" s="175">
        <f t="shared" si="1548"/>
        <v>0</v>
      </c>
      <c r="FF244" s="56"/>
      <c r="FI244" s="55">
        <f t="shared" si="1549"/>
        <v>46230</v>
      </c>
      <c r="FJ244" s="56"/>
      <c r="FK244" s="183">
        <f>SUMPRODUCT(PRODUCE!$B247:$DY247,PRODUCE!$EB$25:$IY$25)</f>
        <v>0</v>
      </c>
      <c r="FL244" s="56"/>
      <c r="FM244" s="183">
        <f t="shared" si="1550"/>
        <v>0</v>
      </c>
      <c r="FN244" s="183">
        <f t="shared" si="1551"/>
        <v>0</v>
      </c>
      <c r="FO244" s="56"/>
      <c r="FR244" s="55">
        <f t="shared" si="1552"/>
        <v>46230</v>
      </c>
      <c r="FS244" s="56"/>
      <c r="FT244" s="186">
        <f>SUMPRODUCT(PRODUCE!$B247:$DY247,PRODUCE!$EB$26:$IY$26)</f>
        <v>0</v>
      </c>
      <c r="FU244" s="56"/>
      <c r="FV244" s="186">
        <f t="shared" si="1553"/>
        <v>0</v>
      </c>
      <c r="FW244" s="186">
        <f t="shared" si="1554"/>
        <v>540</v>
      </c>
      <c r="FX244" s="56"/>
      <c r="GA244" s="55">
        <f t="shared" si="1555"/>
        <v>46230</v>
      </c>
      <c r="GB244" s="56"/>
      <c r="GC244" s="137">
        <f>SUMPRODUCT(PRODUCE!$B247:$DY247,PRODUCE!$EB$27:$IY$27)</f>
        <v>0</v>
      </c>
      <c r="GD244" s="56"/>
      <c r="GE244" s="137">
        <f t="shared" si="1556"/>
        <v>0</v>
      </c>
      <c r="GF244" s="137">
        <f t="shared" si="1557"/>
        <v>960</v>
      </c>
      <c r="GG244" s="56"/>
      <c r="GI244" s="23"/>
      <c r="GJ244" s="55">
        <f t="shared" si="1558"/>
        <v>46230</v>
      </c>
      <c r="GK244" s="56"/>
      <c r="GL244" s="199">
        <f>SUMPRODUCT(PRODUCE!$B247:$DY247,PRODUCE!$EB$28:$IY$28)</f>
        <v>0</v>
      </c>
      <c r="GM244" s="56"/>
      <c r="GN244" s="199">
        <f t="shared" si="1559"/>
        <v>0</v>
      </c>
      <c r="GO244" s="199">
        <f t="shared" si="1560"/>
        <v>1760</v>
      </c>
      <c r="GP244" s="56"/>
      <c r="GS244" s="55">
        <f t="shared" si="1561"/>
        <v>46230</v>
      </c>
      <c r="GT244" s="56"/>
      <c r="GU244" s="195">
        <f>SUMPRODUCT(PRODUCE!$B247:$DY247,PRODUCE!$EB$29:$IY$29)</f>
        <v>0</v>
      </c>
      <c r="GV244" s="56"/>
      <c r="GW244" s="195">
        <f t="shared" si="1562"/>
        <v>0</v>
      </c>
      <c r="GX244" s="195">
        <f t="shared" si="1563"/>
        <v>400</v>
      </c>
      <c r="GY244" s="56"/>
      <c r="HB244" s="55">
        <f t="shared" si="1564"/>
        <v>46230</v>
      </c>
      <c r="HC244" s="56"/>
      <c r="HD244" s="191">
        <f>SUMPRODUCT(PRODUCE!$B247:$DY247,PRODUCE!$EB$30:$IY$30)</f>
        <v>0</v>
      </c>
      <c r="HE244" s="56"/>
      <c r="HF244" s="191">
        <f t="shared" si="1565"/>
        <v>0</v>
      </c>
      <c r="HG244" s="191">
        <f t="shared" si="1566"/>
        <v>3600</v>
      </c>
      <c r="HH244" s="56"/>
      <c r="HK244" s="55">
        <f t="shared" si="1567"/>
        <v>46230</v>
      </c>
      <c r="HL244" s="56"/>
      <c r="HM244" s="63">
        <f>SUMPRODUCT(PRODUCE!$B247:$DY247,PRODUCE!$EB$31:$IY$31)</f>
        <v>0</v>
      </c>
      <c r="HN244" s="56"/>
      <c r="HO244" s="63">
        <f t="shared" si="1568"/>
        <v>0</v>
      </c>
      <c r="HP244" s="63">
        <f t="shared" si="1569"/>
        <v>0</v>
      </c>
      <c r="HQ244" s="56"/>
      <c r="HU244" s="55">
        <f t="shared" si="1570"/>
        <v>46230</v>
      </c>
      <c r="HV244" s="56"/>
      <c r="HW244" s="242">
        <f>SUMPRODUCT(PRODUCE!$B247:$DY247,PRODUCE!$EB$32:$IY$32)</f>
        <v>0</v>
      </c>
      <c r="HX244" s="56"/>
      <c r="HY244" s="242">
        <f t="shared" si="1571"/>
        <v>0</v>
      </c>
      <c r="HZ244" s="242">
        <f t="shared" si="1572"/>
        <v>5920</v>
      </c>
      <c r="IA244" s="56"/>
      <c r="ID244" s="55">
        <f t="shared" si="1573"/>
        <v>46230</v>
      </c>
      <c r="IE244" s="56"/>
      <c r="IF244" s="242">
        <f>SUMPRODUCT(PRODUCE!$B247:$DY247,PRODUCE!$EB$33:$IY$33)</f>
        <v>0</v>
      </c>
      <c r="IG244" s="56"/>
      <c r="IH244" s="242">
        <f t="shared" si="1574"/>
        <v>0</v>
      </c>
      <c r="II244" s="242">
        <f t="shared" si="1575"/>
        <v>720</v>
      </c>
      <c r="IJ244" s="56"/>
      <c r="IM244" s="55">
        <f t="shared" si="1576"/>
        <v>46230</v>
      </c>
      <c r="IN244" s="56"/>
      <c r="IO244" s="242">
        <f>SUMPRODUCT(PRODUCE!$B247:$DY247,PRODUCE!$EB$34:$IY$34)</f>
        <v>0</v>
      </c>
      <c r="IP244" s="56"/>
      <c r="IQ244" s="242">
        <f t="shared" si="1577"/>
        <v>0</v>
      </c>
      <c r="IR244" s="242">
        <f t="shared" si="1578"/>
        <v>3280</v>
      </c>
      <c r="IS244" s="56"/>
      <c r="IV244" s="55">
        <f t="shared" si="1579"/>
        <v>46230</v>
      </c>
      <c r="IW244" s="56"/>
      <c r="IX244" s="242">
        <f>SUMPRODUCT(PRODUCE!$B247:$DY247,PRODUCE!$EB$35:$IY$35)</f>
        <v>0</v>
      </c>
      <c r="IY244" s="56"/>
      <c r="IZ244" s="242">
        <f t="shared" si="1580"/>
        <v>0</v>
      </c>
      <c r="JA244" s="242">
        <f t="shared" si="1581"/>
        <v>4960</v>
      </c>
      <c r="JB244" s="56"/>
      <c r="JE244" s="55">
        <f t="shared" si="1582"/>
        <v>46230</v>
      </c>
      <c r="JF244" s="56"/>
      <c r="JG244" s="242">
        <f>SUMPRODUCT(PRODUCE!$B247:$DY247,PRODUCE!$EB$36:$IY$36)</f>
        <v>0</v>
      </c>
      <c r="JH244" s="56"/>
      <c r="JI244" s="242">
        <f t="shared" si="1583"/>
        <v>0</v>
      </c>
      <c r="JJ244" s="242">
        <f t="shared" si="1584"/>
        <v>0</v>
      </c>
      <c r="JK244" s="56"/>
      <c r="JN244" s="55">
        <f t="shared" si="1585"/>
        <v>46230</v>
      </c>
      <c r="JO244" s="56"/>
      <c r="JP244" s="242">
        <f>SUMPRODUCT(PRODUCE!$B247:$DY247,PRODUCE!$EB$37:$IY$37)</f>
        <v>0</v>
      </c>
      <c r="JQ244" s="56"/>
      <c r="JR244" s="242">
        <f t="shared" si="1586"/>
        <v>0</v>
      </c>
      <c r="JS244" s="242">
        <f t="shared" si="1587"/>
        <v>0</v>
      </c>
      <c r="JT244" s="56"/>
      <c r="JW244" s="55">
        <f t="shared" si="1588"/>
        <v>46230</v>
      </c>
      <c r="JX244" s="56"/>
      <c r="JY244" s="242">
        <f>SUMPRODUCT(PRODUCE!$B247:$DY247,PRODUCE!$EB$38:$IY$38)</f>
        <v>0</v>
      </c>
      <c r="JZ244" s="56"/>
      <c r="KA244" s="242">
        <f t="shared" si="1589"/>
        <v>0</v>
      </c>
      <c r="KB244" s="242">
        <f t="shared" si="1590"/>
        <v>2540</v>
      </c>
      <c r="KC244" s="56"/>
      <c r="KF244" s="55">
        <f t="shared" si="1591"/>
        <v>46230</v>
      </c>
      <c r="KG244" s="56"/>
      <c r="KH244" s="242">
        <f>SUMPRODUCT(PRODUCE!$B247:$DY247,PRODUCE!$EB$39:$IY$39)</f>
        <v>0</v>
      </c>
      <c r="KI244" s="56"/>
      <c r="KJ244" s="242">
        <f t="shared" si="1592"/>
        <v>0</v>
      </c>
      <c r="KK244" s="242">
        <f t="shared" si="1593"/>
        <v>2359.5</v>
      </c>
      <c r="KL244" s="56"/>
      <c r="KO244" s="55">
        <f t="shared" si="1594"/>
        <v>46230</v>
      </c>
      <c r="KP244" s="56"/>
      <c r="KQ244" s="242">
        <f>SUMPRODUCT(PRODUCE!$B247:$DY247,PRODUCE!$EB$40:$IY$40)</f>
        <v>0</v>
      </c>
      <c r="KR244" s="56"/>
      <c r="KS244" s="242">
        <f t="shared" si="1595"/>
        <v>0</v>
      </c>
      <c r="KT244" s="242">
        <f t="shared" si="1596"/>
        <v>1890</v>
      </c>
      <c r="KU244" s="56"/>
      <c r="KW244" s="23"/>
      <c r="KX244" s="55">
        <f t="shared" si="1597"/>
        <v>46230</v>
      </c>
      <c r="KY244" s="56"/>
      <c r="KZ244" s="242">
        <f>SUMPRODUCT(PRODUCE!$B247:$DY247,PRODUCE!$EB$41:$IY$41)</f>
        <v>0</v>
      </c>
      <c r="LA244" s="56"/>
      <c r="LB244" s="242">
        <f t="shared" si="1598"/>
        <v>0</v>
      </c>
      <c r="LC244" s="242">
        <f t="shared" si="1599"/>
        <v>3690</v>
      </c>
      <c r="LD244" s="56"/>
      <c r="LG244" s="55">
        <f t="shared" si="1600"/>
        <v>46230</v>
      </c>
      <c r="LH244" s="56"/>
      <c r="LI244" s="242">
        <f>SUMPRODUCT(PRODUCE!$B247:$DY247,PRODUCE!$EB$42:$IY$42)</f>
        <v>0</v>
      </c>
      <c r="LJ244" s="56"/>
      <c r="LK244" s="242">
        <f t="shared" si="1601"/>
        <v>0</v>
      </c>
      <c r="LL244" s="242">
        <f t="shared" si="1602"/>
        <v>4000</v>
      </c>
      <c r="LM244" s="56"/>
      <c r="LP244" s="55">
        <f t="shared" si="1603"/>
        <v>46230</v>
      </c>
      <c r="LQ244" s="56"/>
      <c r="LR244" s="242">
        <f>SUMPRODUCT(PRODUCE!$B247:$DY247,PRODUCE!$EB$43:$IY$43)</f>
        <v>0</v>
      </c>
      <c r="LS244" s="56"/>
      <c r="LT244" s="242">
        <f t="shared" si="1604"/>
        <v>0</v>
      </c>
      <c r="LU244" s="242">
        <f t="shared" si="1605"/>
        <v>0</v>
      </c>
      <c r="LV244" s="56"/>
      <c r="LY244" s="55">
        <f t="shared" si="1606"/>
        <v>46230</v>
      </c>
      <c r="LZ244" s="56"/>
      <c r="MA244" s="242">
        <f>SUMPRODUCT(PRODUCE!$B247:$DY247,PRODUCE!$EB$44:$IY$44)</f>
        <v>0</v>
      </c>
      <c r="MB244" s="56"/>
      <c r="MC244" s="242">
        <f t="shared" si="1607"/>
        <v>0</v>
      </c>
      <c r="MD244" s="242">
        <f t="shared" si="1608"/>
        <v>0</v>
      </c>
      <c r="ME244" s="56"/>
      <c r="MH244" s="55">
        <f t="shared" si="1609"/>
        <v>46230</v>
      </c>
      <c r="MI244" s="56"/>
      <c r="MJ244" s="242">
        <f>SUMPRODUCT(PRODUCE!$B247:$DY247,PRODUCE!$EB$45:$IY$45)</f>
        <v>0</v>
      </c>
      <c r="MK244" s="56"/>
      <c r="ML244" s="242">
        <f t="shared" si="1610"/>
        <v>0</v>
      </c>
      <c r="MM244" s="242">
        <f t="shared" si="1611"/>
        <v>0</v>
      </c>
      <c r="MN244" s="56"/>
      <c r="MQ244" s="55">
        <f t="shared" si="1612"/>
        <v>46230</v>
      </c>
      <c r="MR244" s="56"/>
      <c r="MS244" s="242">
        <f>SUMPRODUCT(PRODUCE!$B247:$DY247,PRODUCE!$EB$46:$IY$46)</f>
        <v>0</v>
      </c>
      <c r="MT244" s="56">
        <v>16</v>
      </c>
      <c r="MU244" s="242">
        <f t="shared" si="1613"/>
        <v>-16</v>
      </c>
      <c r="MV244" s="242">
        <f t="shared" si="1614"/>
        <v>2346</v>
      </c>
      <c r="MW244" s="56"/>
      <c r="MZ244" s="55">
        <f t="shared" si="1615"/>
        <v>46230</v>
      </c>
      <c r="NA244" s="56">
        <v>192</v>
      </c>
      <c r="NB244" s="242">
        <f>SUMPRODUCT(PRODUCE!$B247:$DY247,PRODUCE!$EB$47:$IY$47)</f>
        <v>0</v>
      </c>
      <c r="NC244" s="56">
        <v>192</v>
      </c>
      <c r="ND244" s="242">
        <f t="shared" si="1616"/>
        <v>-192</v>
      </c>
      <c r="NE244" s="242">
        <f t="shared" si="1617"/>
        <v>0</v>
      </c>
      <c r="NF244" s="56"/>
      <c r="NI244" s="55">
        <f t="shared" si="1618"/>
        <v>46230</v>
      </c>
      <c r="NJ244" s="56"/>
      <c r="NK244" s="242">
        <f>SUMPRODUCT(PRODUCE!$B247:$DY247,PRODUCE!$EB$48:$IY$48)</f>
        <v>0</v>
      </c>
      <c r="NL244" s="56"/>
      <c r="NM244" s="242">
        <f t="shared" si="1619"/>
        <v>0</v>
      </c>
      <c r="NN244" s="242">
        <f t="shared" si="1620"/>
        <v>1127</v>
      </c>
      <c r="NO244" s="56"/>
      <c r="NR244" s="55">
        <f t="shared" si="1621"/>
        <v>46230</v>
      </c>
      <c r="NS244" s="56"/>
      <c r="NT244" s="242">
        <f>SUMPRODUCT(PRODUCE!$B247:$DY247,PRODUCE!$EB$49:$IY$49)</f>
        <v>0</v>
      </c>
      <c r="NU244" s="56"/>
      <c r="NV244" s="242">
        <f t="shared" si="1622"/>
        <v>0</v>
      </c>
      <c r="NW244" s="242">
        <f t="shared" si="1623"/>
        <v>3111.9999999999995</v>
      </c>
      <c r="NX244" s="56"/>
      <c r="OA244" s="55">
        <f t="shared" si="1624"/>
        <v>46230</v>
      </c>
      <c r="OB244" s="56"/>
      <c r="OC244" s="242">
        <f>SUMPRODUCT(PRODUCE!$B247:$DY247,PRODUCE!$EB$50:$IY$50)</f>
        <v>0</v>
      </c>
      <c r="OD244" s="56"/>
      <c r="OE244" s="242">
        <f t="shared" si="1625"/>
        <v>0</v>
      </c>
      <c r="OF244" s="242">
        <f t="shared" si="1626"/>
        <v>1680.5</v>
      </c>
      <c r="OG244" s="56"/>
      <c r="OJ244" s="55">
        <f t="shared" si="1627"/>
        <v>46230</v>
      </c>
      <c r="OK244" s="56">
        <v>30.4</v>
      </c>
      <c r="OL244" s="242">
        <f>SUMPRODUCT(PRODUCE!$B247:$DY247,PRODUCE!$EB$51:$IY$51)</f>
        <v>0</v>
      </c>
      <c r="OM244" s="56">
        <v>30.4</v>
      </c>
      <c r="ON244" s="242">
        <f t="shared" si="1628"/>
        <v>-30.4</v>
      </c>
      <c r="OO244" s="242">
        <f t="shared" si="1629"/>
        <v>0</v>
      </c>
      <c r="OP244" s="56"/>
      <c r="OS244" s="55">
        <f t="shared" si="1630"/>
        <v>46230</v>
      </c>
      <c r="OT244" s="56"/>
      <c r="OU244" s="242">
        <f>SUMPRODUCT(PRODUCE!$B247:$DY247,PRODUCE!$EB$52:$IY$52)</f>
        <v>0</v>
      </c>
      <c r="OV244" s="56"/>
      <c r="OW244" s="242">
        <f t="shared" si="1631"/>
        <v>0</v>
      </c>
      <c r="OX244" s="242">
        <f t="shared" si="1632"/>
        <v>1482</v>
      </c>
      <c r="OY244" s="56"/>
      <c r="PB244" s="55">
        <f t="shared" si="1633"/>
        <v>46230</v>
      </c>
      <c r="PC244" s="56"/>
      <c r="PD244" s="242">
        <f>SUMPRODUCT(PRODUCE!$B247:$DY247,PRODUCE!$EB$53:$IY$53)</f>
        <v>0</v>
      </c>
      <c r="PE244" s="56"/>
      <c r="PF244" s="242">
        <f t="shared" si="1634"/>
        <v>0</v>
      </c>
      <c r="PG244" s="242">
        <f t="shared" si="1635"/>
        <v>0</v>
      </c>
      <c r="PH244" s="56"/>
      <c r="PK244" s="55">
        <f t="shared" si="1636"/>
        <v>46230</v>
      </c>
      <c r="PL244" s="56"/>
      <c r="PM244" s="242">
        <f>SUMPRODUCT(PRODUCE!$B247:$DY247,PRODUCE!$EB$54:$IY$54)</f>
        <v>0</v>
      </c>
      <c r="PN244" s="56"/>
      <c r="PO244" s="242">
        <f t="shared" si="1637"/>
        <v>0</v>
      </c>
      <c r="PP244" s="242">
        <f t="shared" si="1638"/>
        <v>100</v>
      </c>
      <c r="PQ244" s="56"/>
      <c r="PT244" s="55">
        <f t="shared" si="1639"/>
        <v>46230</v>
      </c>
      <c r="PU244" s="56"/>
      <c r="PV244" s="242">
        <f>SUMPRODUCT(PRODUCE!$B247:$DY247,PRODUCE!$EB$55:$IY$55)</f>
        <v>0</v>
      </c>
      <c r="PW244" s="56"/>
      <c r="PX244" s="242">
        <f t="shared" si="1640"/>
        <v>0</v>
      </c>
      <c r="PY244" s="242">
        <f t="shared" si="1641"/>
        <v>13.960000000000036</v>
      </c>
      <c r="PZ244" s="56"/>
      <c r="QC244" s="55">
        <f t="shared" si="1642"/>
        <v>46230</v>
      </c>
      <c r="QD244" s="56"/>
      <c r="QE244" s="242">
        <f>SUMPRODUCT(PRODUCE!$B247:$DY247,PRODUCE!$EB$56:$IY$56)</f>
        <v>0</v>
      </c>
      <c r="QF244" s="56"/>
      <c r="QG244" s="242">
        <f t="shared" si="1643"/>
        <v>0</v>
      </c>
      <c r="QH244" s="242">
        <f t="shared" si="1644"/>
        <v>1120</v>
      </c>
      <c r="QI244" s="56"/>
      <c r="QL244" s="55">
        <f t="shared" si="1645"/>
        <v>46230</v>
      </c>
      <c r="QM244" s="56"/>
      <c r="QN244" s="242">
        <f>SUMPRODUCT(PRODUCE!$B247:$DY247,PRODUCE!$EB$57:$IY$57)</f>
        <v>0</v>
      </c>
      <c r="QO244" s="56"/>
      <c r="QP244" s="242">
        <f t="shared" si="1646"/>
        <v>0</v>
      </c>
      <c r="QQ244" s="242">
        <f t="shared" si="1647"/>
        <v>0</v>
      </c>
      <c r="QR244" s="56"/>
      <c r="QU244" s="55">
        <f t="shared" si="1648"/>
        <v>46230</v>
      </c>
      <c r="QV244" s="56"/>
      <c r="QW244" s="242">
        <f>SUMPRODUCT(PRODUCE!$B247:$DY247,PRODUCE!$EB$58:$IY$58)</f>
        <v>0</v>
      </c>
      <c r="QX244" s="56"/>
      <c r="QY244" s="242">
        <f t="shared" si="1649"/>
        <v>0</v>
      </c>
      <c r="QZ244" s="242">
        <f t="shared" si="1650"/>
        <v>207.6</v>
      </c>
      <c r="RA244" s="56"/>
      <c r="RD244" s="55">
        <f t="shared" si="1651"/>
        <v>46230</v>
      </c>
      <c r="RE244" s="56"/>
      <c r="RF244" s="242">
        <f>SUMPRODUCT(PRODUCE!$B247:$DY247,PRODUCE!$EB$59:$IY$59)</f>
        <v>0</v>
      </c>
      <c r="RG244" s="56"/>
      <c r="RH244" s="242">
        <f t="shared" si="1652"/>
        <v>0</v>
      </c>
      <c r="RI244" s="242">
        <f t="shared" si="1653"/>
        <v>147.04000000000002</v>
      </c>
      <c r="RJ244" s="56"/>
      <c r="RM244" s="55">
        <f t="shared" si="1654"/>
        <v>46230</v>
      </c>
      <c r="RN244" s="56"/>
      <c r="RO244" s="242">
        <f>SUMPRODUCT(PRODUCE!$B247:$DY247,PRODUCE!$EB$60:$IY$60)</f>
        <v>0</v>
      </c>
      <c r="RP244" s="56"/>
      <c r="RQ244" s="242">
        <f t="shared" si="1655"/>
        <v>0</v>
      </c>
      <c r="RR244" s="242">
        <f t="shared" si="1656"/>
        <v>46.8</v>
      </c>
      <c r="RS244" s="56"/>
      <c r="RV244" s="55">
        <f t="shared" si="1657"/>
        <v>46230</v>
      </c>
      <c r="RW244" s="56"/>
      <c r="RX244" s="242">
        <f>SUMPRODUCT(PRODUCE!$B247:$DY247,PRODUCE!$EB$61:$IY$61)</f>
        <v>0</v>
      </c>
      <c r="RY244" s="56"/>
      <c r="RZ244" s="242">
        <f t="shared" si="1658"/>
        <v>0</v>
      </c>
      <c r="SA244" s="242">
        <f t="shared" si="1659"/>
        <v>0</v>
      </c>
      <c r="SB244" s="56"/>
      <c r="SE244" s="55">
        <f t="shared" si="1660"/>
        <v>46230</v>
      </c>
      <c r="SF244" s="56"/>
      <c r="SG244" s="242">
        <f>SUMPRODUCT(PRODUCE!$B247:$DY247,PRODUCE!$EB$62:$IY$62)</f>
        <v>0</v>
      </c>
      <c r="SH244" s="56"/>
      <c r="SI244" s="242">
        <f t="shared" si="1661"/>
        <v>0</v>
      </c>
      <c r="SJ244" s="242">
        <f t="shared" si="1662"/>
        <v>24.200000000000003</v>
      </c>
      <c r="SK244" s="56"/>
      <c r="SN244" s="55">
        <f t="shared" si="1663"/>
        <v>46230</v>
      </c>
      <c r="SO244" s="56"/>
      <c r="SP244" s="242">
        <f>SUMPRODUCT(PRODUCE!$B247:$DY247,PRODUCE!$EB$63:$IY$63)</f>
        <v>0</v>
      </c>
      <c r="SQ244" s="56"/>
      <c r="SR244" s="242">
        <f t="shared" si="1664"/>
        <v>0</v>
      </c>
      <c r="SS244" s="242">
        <f t="shared" si="1665"/>
        <v>32</v>
      </c>
      <c r="ST244" s="56"/>
      <c r="SW244" s="55">
        <f t="shared" si="1666"/>
        <v>46230</v>
      </c>
      <c r="SX244" s="56"/>
      <c r="SY244" s="242">
        <f>SUMPRODUCT(PRODUCE!$B247:$DY247,PRODUCE!$EB$64:$IY$64)</f>
        <v>0</v>
      </c>
      <c r="SZ244" s="56"/>
      <c r="TA244" s="242">
        <f t="shared" si="1667"/>
        <v>0</v>
      </c>
      <c r="TB244" s="242">
        <f t="shared" si="1668"/>
        <v>0</v>
      </c>
      <c r="TC244" s="56"/>
      <c r="TF244" s="55">
        <f t="shared" si="1669"/>
        <v>46230</v>
      </c>
      <c r="TG244" s="56"/>
      <c r="TH244" s="242">
        <f>SUMPRODUCT(PRODUCE!$B247:$DY247,PRODUCE!$EB$57:$IY$57)</f>
        <v>0</v>
      </c>
      <c r="TI244" s="56"/>
      <c r="TJ244" s="242">
        <f t="shared" si="1670"/>
        <v>0</v>
      </c>
      <c r="TK244" s="242">
        <f t="shared" si="1671"/>
        <v>0</v>
      </c>
      <c r="TL244" s="56"/>
      <c r="TO244" s="55">
        <f t="shared" si="1672"/>
        <v>46230</v>
      </c>
      <c r="TP244" s="56"/>
      <c r="TQ244" s="242">
        <f>SUMPRODUCT(PRODUCE!$B247:$DY247,PRODUCE!$EB$57:$IY$57)</f>
        <v>0</v>
      </c>
      <c r="TR244" s="56"/>
      <c r="TS244" s="242">
        <f t="shared" si="1673"/>
        <v>0</v>
      </c>
      <c r="TT244" s="242">
        <f t="shared" si="1674"/>
        <v>10.400000000000006</v>
      </c>
      <c r="TU244" s="56"/>
      <c r="TX244" s="55">
        <f t="shared" si="1675"/>
        <v>46230</v>
      </c>
      <c r="TY244" s="56"/>
      <c r="TZ244" s="242">
        <f>SUMPRODUCT(PRODUCE!$B247:$DY247,PRODUCE!$EB$57:$IY$57)</f>
        <v>0</v>
      </c>
      <c r="UA244" s="56"/>
      <c r="UB244" s="242">
        <f t="shared" si="1676"/>
        <v>0</v>
      </c>
      <c r="UC244" s="242">
        <f t="shared" si="1677"/>
        <v>46.799999999999983</v>
      </c>
      <c r="UD244" s="56"/>
      <c r="UG244" s="55">
        <f t="shared" si="1678"/>
        <v>46230</v>
      </c>
      <c r="UH244" s="56"/>
      <c r="UI244" s="242">
        <f>SUMPRODUCT(PRODUCE!$B247:$DY247,PRODUCE!$EB$57:$IY$57)</f>
        <v>0</v>
      </c>
      <c r="UJ244" s="56"/>
      <c r="UK244" s="242">
        <f t="shared" si="1679"/>
        <v>0</v>
      </c>
      <c r="UL244" s="242">
        <f t="shared" si="1680"/>
        <v>204</v>
      </c>
      <c r="UM244" s="56"/>
      <c r="UP244" s="55">
        <f t="shared" si="1681"/>
        <v>46230</v>
      </c>
      <c r="UQ244" s="56"/>
      <c r="UR244" s="242">
        <f>SUMPRODUCT(PRODUCE!$B247:$DY247,PRODUCE!$EB$69:$IY$69)</f>
        <v>0</v>
      </c>
      <c r="US244" s="56"/>
      <c r="UT244" s="242">
        <f t="shared" si="1682"/>
        <v>0</v>
      </c>
      <c r="UU244" s="242">
        <f t="shared" si="1683"/>
        <v>202.5</v>
      </c>
      <c r="UV244" s="56"/>
      <c r="UY244" s="55">
        <f t="shared" si="1684"/>
        <v>46230</v>
      </c>
      <c r="UZ244" s="56"/>
      <c r="VA244" s="242">
        <f>SUMPRODUCT(PRODUCE!$B247:$DY247,PRODUCE!$EB$70:$IY$70)</f>
        <v>0</v>
      </c>
      <c r="VB244" s="56"/>
      <c r="VC244" s="242">
        <f t="shared" si="1685"/>
        <v>0</v>
      </c>
      <c r="VD244" s="242">
        <f t="shared" si="1686"/>
        <v>41.600000000000023</v>
      </c>
      <c r="VE244" s="56"/>
      <c r="VH244" s="55">
        <f t="shared" si="1687"/>
        <v>46230</v>
      </c>
      <c r="VI244" s="56"/>
      <c r="VJ244" s="242">
        <f>SUMPRODUCT(PRODUCE!$B247:$DY247,PRODUCE!$EB$71:$IY$71)</f>
        <v>0</v>
      </c>
      <c r="VK244" s="56"/>
      <c r="VL244" s="242">
        <f t="shared" si="1688"/>
        <v>0</v>
      </c>
      <c r="VM244" s="242">
        <f t="shared" si="1689"/>
        <v>210</v>
      </c>
      <c r="VN244" s="56"/>
      <c r="VQ244" s="55">
        <f t="shared" si="1690"/>
        <v>46230</v>
      </c>
      <c r="VR244" s="56"/>
      <c r="VS244" s="242">
        <f>SUMPRODUCT(PRODUCE!$B247:$DY247,PRODUCE!$EB$57:$IY$57)</f>
        <v>0</v>
      </c>
      <c r="VT244" s="56"/>
      <c r="VU244" s="242">
        <f t="shared" si="1691"/>
        <v>0</v>
      </c>
      <c r="VV244" s="242">
        <f t="shared" si="1692"/>
        <v>0</v>
      </c>
      <c r="VW244" s="56"/>
      <c r="VZ244" s="55">
        <f t="shared" si="1693"/>
        <v>46230</v>
      </c>
      <c r="WA244" s="56"/>
      <c r="WB244" s="242">
        <f>SUMPRODUCT(PRODUCE!$B247:$DY247,PRODUCE!$EB$57:$IY$57)</f>
        <v>0</v>
      </c>
      <c r="WC244" s="56"/>
      <c r="WD244" s="242">
        <f t="shared" si="1694"/>
        <v>0</v>
      </c>
      <c r="WE244" s="242">
        <f t="shared" si="1695"/>
        <v>0</v>
      </c>
      <c r="WF244" s="56"/>
      <c r="WI244" s="55">
        <f t="shared" si="1696"/>
        <v>46230</v>
      </c>
      <c r="WJ244" s="56"/>
      <c r="WK244" s="242">
        <f>SUMPRODUCT(PRODUCE!$B247:$DY247,PRODUCE!$EB$57:$IY$57)</f>
        <v>0</v>
      </c>
      <c r="WL244" s="56"/>
      <c r="WM244" s="242">
        <f t="shared" si="1697"/>
        <v>0</v>
      </c>
      <c r="WN244" s="242">
        <f t="shared" si="1698"/>
        <v>1057</v>
      </c>
      <c r="WO244" s="56"/>
      <c r="WR244" s="55">
        <f t="shared" si="1699"/>
        <v>46230</v>
      </c>
      <c r="WS244" s="56"/>
      <c r="WT244" s="242">
        <f>SUMPRODUCT(PRODUCE!$B247:$DY247,PRODUCE!$EB$57:$IY$57)</f>
        <v>0</v>
      </c>
      <c r="WU244" s="56"/>
      <c r="WV244" s="242">
        <f t="shared" si="1700"/>
        <v>0</v>
      </c>
      <c r="WW244" s="242">
        <f t="shared" si="1701"/>
        <v>0</v>
      </c>
      <c r="WX244" s="56"/>
      <c r="XA244" s="55">
        <f t="shared" si="1702"/>
        <v>46230</v>
      </c>
      <c r="XB244" s="56"/>
      <c r="XC244" s="242">
        <f>SUMPRODUCT(PRODUCE!$B247:$DY247,PRODUCE!$EB$57:$IY$57)</f>
        <v>0</v>
      </c>
      <c r="XD244" s="56"/>
      <c r="XE244" s="242">
        <f t="shared" si="1703"/>
        <v>0</v>
      </c>
      <c r="XF244" s="242">
        <f t="shared" si="1704"/>
        <v>7507</v>
      </c>
      <c r="XG244" s="56"/>
      <c r="XJ244" s="55">
        <f t="shared" si="1705"/>
        <v>46230</v>
      </c>
      <c r="XK244" s="56"/>
      <c r="XL244" s="242">
        <f>SUMPRODUCT(PRODUCE!$B247:$DY247,PRODUCE!$EB$57:$IY$57)</f>
        <v>0</v>
      </c>
      <c r="XM244" s="56"/>
      <c r="XN244" s="242">
        <f t="shared" si="1706"/>
        <v>0</v>
      </c>
      <c r="XO244" s="242">
        <f t="shared" si="1707"/>
        <v>4252</v>
      </c>
      <c r="XP244" s="56"/>
      <c r="XS244" s="55">
        <f t="shared" si="1708"/>
        <v>46230</v>
      </c>
      <c r="XT244" s="56"/>
      <c r="XU244" s="242">
        <f>SUMPRODUCT(PRODUCE!$B247:$DY247,PRODUCE!$EB$57:$IY$57)</f>
        <v>0</v>
      </c>
      <c r="XV244" s="56"/>
      <c r="XW244" s="242">
        <f t="shared" si="1709"/>
        <v>0</v>
      </c>
      <c r="XX244" s="242">
        <f t="shared" si="1710"/>
        <v>2179</v>
      </c>
      <c r="XY244" s="56"/>
      <c r="YB244" s="55">
        <f t="shared" si="1711"/>
        <v>46230</v>
      </c>
      <c r="YC244" s="56"/>
      <c r="YD244" s="242">
        <f>SUMPRODUCT(PRODUCE!$B247:$DY247,PRODUCE!$EB$57:$IY$57)</f>
        <v>0</v>
      </c>
      <c r="YE244" s="56"/>
      <c r="YF244" s="242">
        <f t="shared" si="1712"/>
        <v>0</v>
      </c>
      <c r="YG244" s="242">
        <f t="shared" si="1713"/>
        <v>4019</v>
      </c>
      <c r="YH244" s="56"/>
      <c r="YK244" s="55">
        <f t="shared" si="1714"/>
        <v>46230</v>
      </c>
      <c r="YL244" s="56"/>
      <c r="YM244" s="242">
        <f>SUMPRODUCT(PRODUCE!$B247:$DY247,PRODUCE!$EB$57:$IY$57)</f>
        <v>0</v>
      </c>
      <c r="YN244" s="56"/>
      <c r="YO244" s="242">
        <f t="shared" si="1715"/>
        <v>0</v>
      </c>
      <c r="YP244" s="242">
        <f t="shared" si="1716"/>
        <v>0</v>
      </c>
      <c r="YQ244" s="56"/>
      <c r="YT244" s="55">
        <f t="shared" si="1717"/>
        <v>46230</v>
      </c>
      <c r="YU244" s="56"/>
      <c r="YV244" s="242">
        <f>SUMPRODUCT(PRODUCE!$B247:$DY247,PRODUCE!$EB$57:$IY$57)</f>
        <v>0</v>
      </c>
      <c r="YW244" s="56"/>
      <c r="YX244" s="242">
        <f t="shared" si="1718"/>
        <v>0</v>
      </c>
      <c r="YY244" s="242">
        <f t="shared" si="1719"/>
        <v>0</v>
      </c>
      <c r="YZ244" s="56"/>
      <c r="ZC244" s="55">
        <f t="shared" si="1720"/>
        <v>46230</v>
      </c>
      <c r="ZD244" s="56"/>
      <c r="ZE244" s="242">
        <f>SUMPRODUCT(PRODUCE!$B247:$DY247,PRODUCE!$EB$57:$IY$57)</f>
        <v>0</v>
      </c>
      <c r="ZF244" s="56"/>
      <c r="ZG244" s="242">
        <f t="shared" si="1721"/>
        <v>0</v>
      </c>
      <c r="ZH244" s="242">
        <f t="shared" si="1722"/>
        <v>0</v>
      </c>
      <c r="ZI244" s="56"/>
      <c r="ZL244" s="55">
        <f t="shared" si="1723"/>
        <v>46230</v>
      </c>
      <c r="ZM244" s="56"/>
      <c r="ZN244" s="242">
        <f>SUMPRODUCT(PRODUCE!$B247:$DY247,PRODUCE!$EB$57:$IY$57)</f>
        <v>0</v>
      </c>
      <c r="ZO244" s="56"/>
      <c r="ZP244" s="242">
        <f t="shared" si="1724"/>
        <v>0</v>
      </c>
      <c r="ZQ244" s="242">
        <f t="shared" si="1725"/>
        <v>0</v>
      </c>
      <c r="ZR244" s="56"/>
      <c r="ZU244" s="55">
        <f t="shared" si="1726"/>
        <v>46230</v>
      </c>
      <c r="ZV244" s="56"/>
      <c r="ZW244" s="242">
        <f>SUMPRODUCT(PRODUCE!$B247:$DY247,PRODUCE!$EB$57:$IY$57)</f>
        <v>0</v>
      </c>
      <c r="ZX244" s="56"/>
      <c r="ZY244" s="242">
        <f t="shared" si="1727"/>
        <v>0</v>
      </c>
      <c r="ZZ244" s="242">
        <f t="shared" si="1728"/>
        <v>0</v>
      </c>
      <c r="AAA244" s="56"/>
      <c r="AAD244" s="55">
        <f t="shared" si="1729"/>
        <v>46230</v>
      </c>
      <c r="AAE244" s="56"/>
      <c r="AAF244" s="242">
        <f>SUMPRODUCT(PRODUCE!$B247:$DY247,PRODUCE!$EB$57:$IY$57)</f>
        <v>0</v>
      </c>
      <c r="AAG244" s="56"/>
      <c r="AAH244" s="242">
        <f t="shared" si="1730"/>
        <v>0</v>
      </c>
      <c r="AAI244" s="242">
        <f t="shared" si="1731"/>
        <v>0</v>
      </c>
      <c r="AAJ244" s="56"/>
      <c r="AAM244" s="55">
        <f t="shared" si="1732"/>
        <v>46230</v>
      </c>
      <c r="AAN244" s="56"/>
      <c r="AAO244" s="242">
        <f>SUMPRODUCT(PRODUCE!$B247:$DY247,PRODUCE!$EB$57:$IY$57)</f>
        <v>0</v>
      </c>
      <c r="AAP244" s="56"/>
      <c r="AAQ244" s="242">
        <f t="shared" si="1733"/>
        <v>0</v>
      </c>
      <c r="AAR244" s="242">
        <f t="shared" si="1734"/>
        <v>0</v>
      </c>
      <c r="AAS244" s="56"/>
      <c r="AAV244" s="55">
        <f t="shared" si="1735"/>
        <v>46230</v>
      </c>
      <c r="AAW244" s="56"/>
      <c r="AAX244" s="242">
        <f>SUMPRODUCT(PRODUCE!$B247:$DY247,PRODUCE!$EB$57:$IY$57)</f>
        <v>0</v>
      </c>
      <c r="AAY244" s="56"/>
      <c r="AAZ244" s="242">
        <f t="shared" si="1736"/>
        <v>0</v>
      </c>
      <c r="ABA244" s="242">
        <f t="shared" si="1737"/>
        <v>0</v>
      </c>
      <c r="ABB244" s="56"/>
      <c r="ABE244" s="55">
        <f t="shared" si="1738"/>
        <v>46230</v>
      </c>
      <c r="ABF244" s="56"/>
      <c r="ABG244" s="242">
        <f>SUMPRODUCT(PRODUCE!$B247:$DY247,PRODUCE!$EB$57:$IY$57)</f>
        <v>0</v>
      </c>
      <c r="ABH244" s="56"/>
      <c r="ABI244" s="242">
        <f t="shared" si="1739"/>
        <v>0</v>
      </c>
      <c r="ABJ244" s="242">
        <f t="shared" si="1740"/>
        <v>0</v>
      </c>
      <c r="ABK244" s="56"/>
    </row>
    <row r="245" spans="1:739" s="54" customFormat="1" ht="15" customHeight="1" outlineLevel="1">
      <c r="B245" s="478"/>
      <c r="C245" s="55">
        <v>46231</v>
      </c>
      <c r="D245" s="422">
        <v>21450</v>
      </c>
      <c r="E245" s="423">
        <f>SUMPRODUCT(PRODUCE!$B248:$DY248,PRODUCE!$EB$7:$IY$7)</f>
        <v>0</v>
      </c>
      <c r="F245" s="422"/>
      <c r="G245" s="423">
        <f t="shared" si="1496"/>
        <v>0</v>
      </c>
      <c r="H245" s="423">
        <f t="shared" si="1497"/>
        <v>159966</v>
      </c>
      <c r="I245" s="289"/>
      <c r="L245" s="55">
        <f t="shared" si="1498"/>
        <v>46231</v>
      </c>
      <c r="M245" s="422"/>
      <c r="N245" s="438">
        <f>SUMPRODUCT(PRODUCE!$B248:$DY248,PRODUCE!$EB$8:$IY$8)</f>
        <v>0</v>
      </c>
      <c r="O245" s="422"/>
      <c r="P245" s="438">
        <f t="shared" si="1499"/>
        <v>0</v>
      </c>
      <c r="Q245" s="438">
        <f t="shared" si="1500"/>
        <v>13702.600000000071</v>
      </c>
      <c r="R245" s="56"/>
      <c r="U245" s="55">
        <f t="shared" si="1501"/>
        <v>46231</v>
      </c>
      <c r="V245" s="422"/>
      <c r="W245" s="440">
        <f>SUMPRODUCT(PRODUCE!$B248:$DY248,PRODUCE!$EB$9:$IY$9)</f>
        <v>0</v>
      </c>
      <c r="X245" s="422"/>
      <c r="Y245" s="440">
        <f t="shared" si="1502"/>
        <v>0</v>
      </c>
      <c r="Z245" s="440">
        <f t="shared" si="1503"/>
        <v>27925.099999999969</v>
      </c>
      <c r="AA245" s="56"/>
      <c r="AD245" s="55">
        <f t="shared" si="1504"/>
        <v>46231</v>
      </c>
      <c r="AE245" s="422"/>
      <c r="AF245" s="442">
        <f>SUMPRODUCT(PRODUCE!$B248:$DY248,PRODUCE!$EB$10:$IY$10)</f>
        <v>0</v>
      </c>
      <c r="AG245" s="422"/>
      <c r="AH245" s="442">
        <f t="shared" si="1505"/>
        <v>0</v>
      </c>
      <c r="AI245" s="442">
        <f t="shared" si="1506"/>
        <v>31872.200000000019</v>
      </c>
      <c r="AJ245" s="56"/>
      <c r="AM245" s="55">
        <f t="shared" si="1507"/>
        <v>46231</v>
      </c>
      <c r="AN245" s="422"/>
      <c r="AO245" s="444">
        <f>SUMPRODUCT(PRODUCE!$B248:$DY248,PRODUCE!$EB$11:$IY$11)</f>
        <v>0</v>
      </c>
      <c r="AP245" s="422"/>
      <c r="AQ245" s="444">
        <f t="shared" si="1508"/>
        <v>0</v>
      </c>
      <c r="AR245" s="444">
        <f t="shared" si="1509"/>
        <v>0</v>
      </c>
      <c r="AS245" s="56"/>
      <c r="AV245" s="55">
        <f t="shared" si="1510"/>
        <v>46231</v>
      </c>
      <c r="AW245" s="422"/>
      <c r="AX245" s="446">
        <f>SUMPRODUCT(PRODUCE!$B248:$DY248,PRODUCE!$EB$12:$IY$12)</f>
        <v>0</v>
      </c>
      <c r="AY245" s="422"/>
      <c r="AZ245" s="446">
        <f t="shared" si="1511"/>
        <v>0</v>
      </c>
      <c r="BA245" s="446">
        <f t="shared" si="1512"/>
        <v>124.99999999999523</v>
      </c>
      <c r="BB245" s="56"/>
      <c r="BE245" s="55">
        <f t="shared" si="1513"/>
        <v>46231</v>
      </c>
      <c r="BF245" s="422"/>
      <c r="BG245" s="448">
        <f>SUMPRODUCT(PRODUCE!$B248:$DY248,PRODUCE!$EB$13:$IY$13)</f>
        <v>0</v>
      </c>
      <c r="BH245" s="422"/>
      <c r="BI245" s="448">
        <f t="shared" si="1514"/>
        <v>0</v>
      </c>
      <c r="BJ245" s="448">
        <f t="shared" si="1515"/>
        <v>27636.699999999997</v>
      </c>
      <c r="BK245" s="56"/>
      <c r="BN245" s="55">
        <f t="shared" si="1516"/>
        <v>46231</v>
      </c>
      <c r="BO245" s="422"/>
      <c r="BP245" s="450">
        <f>SUMPRODUCT(PRODUCE!$B248:$DY248,PRODUCE!$EB$14:$IY$14)</f>
        <v>0</v>
      </c>
      <c r="BQ245" s="422"/>
      <c r="BR245" s="450">
        <f t="shared" si="1517"/>
        <v>0</v>
      </c>
      <c r="BS245" s="450">
        <f t="shared" si="1518"/>
        <v>0</v>
      </c>
      <c r="BT245" s="56"/>
      <c r="BW245" s="55">
        <f t="shared" si="1519"/>
        <v>46231</v>
      </c>
      <c r="BX245" s="422"/>
      <c r="BY245" s="523">
        <f>SUMPRODUCT(PRODUCE!$B248:$DY248,PRODUCE!$EB$15:$IY$15)</f>
        <v>0</v>
      </c>
      <c r="BZ245" s="422"/>
      <c r="CA245" s="523">
        <f t="shared" si="1520"/>
        <v>0</v>
      </c>
      <c r="CB245" s="523">
        <f t="shared" si="1521"/>
        <v>5299.6399999999985</v>
      </c>
      <c r="CC245" s="56"/>
      <c r="CF245" s="55">
        <f t="shared" si="1522"/>
        <v>46231</v>
      </c>
      <c r="CG245" s="422"/>
      <c r="CH245" s="524">
        <f>SUMPRODUCT(PRODUCE!$B248:$DY248,PRODUCE!$EB$16:$IY$16)</f>
        <v>0</v>
      </c>
      <c r="CI245" s="422"/>
      <c r="CJ245" s="524">
        <f t="shared" si="1523"/>
        <v>0</v>
      </c>
      <c r="CK245" s="524">
        <f t="shared" si="1524"/>
        <v>-9191.2599999999984</v>
      </c>
      <c r="CL245" s="56"/>
      <c r="CO245" s="55">
        <f t="shared" si="1525"/>
        <v>46231</v>
      </c>
      <c r="CP245" s="422"/>
      <c r="CQ245" s="470">
        <f>SUMPRODUCT(PRODUCE!$B248:$DY248,PRODUCE!$EB$17:$IY$17)</f>
        <v>0</v>
      </c>
      <c r="CR245" s="422"/>
      <c r="CS245" s="470">
        <f t="shared" si="1526"/>
        <v>0</v>
      </c>
      <c r="CT245" s="470">
        <f t="shared" si="1527"/>
        <v>0</v>
      </c>
      <c r="CU245" s="56"/>
      <c r="CX245" s="55">
        <f t="shared" si="1528"/>
        <v>46231</v>
      </c>
      <c r="CY245" s="422"/>
      <c r="CZ245" s="525">
        <f>SUMPRODUCT(PRODUCE!$B248:$DY248,PRODUCE!$EB$18:$IY$18)</f>
        <v>0</v>
      </c>
      <c r="DA245" s="422"/>
      <c r="DB245" s="525">
        <f t="shared" si="1529"/>
        <v>0</v>
      </c>
      <c r="DC245" s="525">
        <f t="shared" si="1530"/>
        <v>28749.900000000009</v>
      </c>
      <c r="DD245" s="56"/>
      <c r="DG245" s="55">
        <f t="shared" si="1531"/>
        <v>46231</v>
      </c>
      <c r="DH245" s="422"/>
      <c r="DI245" s="526">
        <f>SUMPRODUCT(PRODUCE!$B248:$DY248,PRODUCE!$EB$19:$IY$19)</f>
        <v>0</v>
      </c>
      <c r="DJ245" s="422"/>
      <c r="DK245" s="526">
        <f t="shared" si="1532"/>
        <v>0</v>
      </c>
      <c r="DL245" s="526">
        <f t="shared" si="1533"/>
        <v>32282.299999999981</v>
      </c>
      <c r="DM245" s="56"/>
      <c r="DP245" s="55">
        <f t="shared" si="1534"/>
        <v>46231</v>
      </c>
      <c r="DQ245" s="56"/>
      <c r="DR245" s="57">
        <f>SUMPRODUCT(PRODUCE!$B248:$DY248,PRODUCE!$EB$20:$IY$20)</f>
        <v>0</v>
      </c>
      <c r="DS245" s="56"/>
      <c r="DT245" s="57">
        <f t="shared" si="1535"/>
        <v>0</v>
      </c>
      <c r="DU245" s="57">
        <f t="shared" si="1536"/>
        <v>5800</v>
      </c>
      <c r="DV245" s="56"/>
      <c r="DY245" s="55">
        <f t="shared" si="1537"/>
        <v>46231</v>
      </c>
      <c r="DZ245" s="56"/>
      <c r="EA245" s="157">
        <f>SUMPRODUCT(PRODUCE!$B248:$DY248,PRODUCE!$EB$21:$IY$21)</f>
        <v>0</v>
      </c>
      <c r="EB245" s="56"/>
      <c r="EC245" s="157">
        <f t="shared" si="1538"/>
        <v>0</v>
      </c>
      <c r="ED245" s="157">
        <f t="shared" si="1539"/>
        <v>0</v>
      </c>
      <c r="EE245" s="56"/>
      <c r="EH245" s="55">
        <f t="shared" si="1540"/>
        <v>46231</v>
      </c>
      <c r="EI245" s="56"/>
      <c r="EJ245" s="162">
        <f>SUMPRODUCT(PRODUCE!$B248:$DY248,PRODUCE!$EB$22:$IY$22)</f>
        <v>0</v>
      </c>
      <c r="EK245" s="56"/>
      <c r="EL245" s="162">
        <f t="shared" si="1541"/>
        <v>0</v>
      </c>
      <c r="EM245" s="162">
        <f t="shared" si="1542"/>
        <v>0</v>
      </c>
      <c r="EN245" s="56"/>
      <c r="EQ245" s="55">
        <f t="shared" si="1543"/>
        <v>46231</v>
      </c>
      <c r="ER245" s="56"/>
      <c r="ES245" s="172">
        <f>SUMPRODUCT(PRODUCE!$B248:$DY248,PRODUCE!$EB$23:$IY$23)</f>
        <v>0</v>
      </c>
      <c r="ET245" s="56"/>
      <c r="EU245" s="135">
        <f t="shared" si="1544"/>
        <v>0</v>
      </c>
      <c r="EV245" s="135">
        <f t="shared" si="1545"/>
        <v>0</v>
      </c>
      <c r="EW245" s="56"/>
      <c r="EZ245" s="55">
        <f t="shared" si="1546"/>
        <v>46231</v>
      </c>
      <c r="FA245" s="56"/>
      <c r="FB245" s="175">
        <f>SUMPRODUCT(PRODUCE!$B248:$DY248,PRODUCE!$EB$24:$IY$24)</f>
        <v>0</v>
      </c>
      <c r="FC245" s="56"/>
      <c r="FD245" s="175">
        <f t="shared" si="1547"/>
        <v>0</v>
      </c>
      <c r="FE245" s="175">
        <f t="shared" si="1548"/>
        <v>0</v>
      </c>
      <c r="FF245" s="56"/>
      <c r="FI245" s="55">
        <f t="shared" si="1549"/>
        <v>46231</v>
      </c>
      <c r="FJ245" s="56"/>
      <c r="FK245" s="183">
        <f>SUMPRODUCT(PRODUCE!$B248:$DY248,PRODUCE!$EB$25:$IY$25)</f>
        <v>0</v>
      </c>
      <c r="FL245" s="56"/>
      <c r="FM245" s="183">
        <f t="shared" si="1550"/>
        <v>0</v>
      </c>
      <c r="FN245" s="183">
        <f t="shared" si="1551"/>
        <v>0</v>
      </c>
      <c r="FO245" s="56"/>
      <c r="FR245" s="55">
        <f t="shared" si="1552"/>
        <v>46231</v>
      </c>
      <c r="FS245" s="56"/>
      <c r="FT245" s="186">
        <f>SUMPRODUCT(PRODUCE!$B248:$DY248,PRODUCE!$EB$26:$IY$26)</f>
        <v>0</v>
      </c>
      <c r="FU245" s="56"/>
      <c r="FV245" s="186">
        <f t="shared" si="1553"/>
        <v>0</v>
      </c>
      <c r="FW245" s="186">
        <f t="shared" si="1554"/>
        <v>540</v>
      </c>
      <c r="FX245" s="56"/>
      <c r="GA245" s="55">
        <f t="shared" si="1555"/>
        <v>46231</v>
      </c>
      <c r="GB245" s="56"/>
      <c r="GC245" s="137">
        <f>SUMPRODUCT(PRODUCE!$B248:$DY248,PRODUCE!$EB$27:$IY$27)</f>
        <v>0</v>
      </c>
      <c r="GD245" s="56"/>
      <c r="GE245" s="137">
        <f t="shared" si="1556"/>
        <v>0</v>
      </c>
      <c r="GF245" s="137">
        <f t="shared" si="1557"/>
        <v>960</v>
      </c>
      <c r="GG245" s="56"/>
      <c r="GI245" s="23"/>
      <c r="GJ245" s="55">
        <f t="shared" si="1558"/>
        <v>46231</v>
      </c>
      <c r="GK245" s="56"/>
      <c r="GL245" s="199">
        <f>SUMPRODUCT(PRODUCE!$B248:$DY248,PRODUCE!$EB$28:$IY$28)</f>
        <v>0</v>
      </c>
      <c r="GM245" s="56"/>
      <c r="GN245" s="199">
        <f t="shared" si="1559"/>
        <v>0</v>
      </c>
      <c r="GO245" s="199">
        <f t="shared" si="1560"/>
        <v>1760</v>
      </c>
      <c r="GP245" s="56"/>
      <c r="GS245" s="55">
        <f t="shared" si="1561"/>
        <v>46231</v>
      </c>
      <c r="GT245" s="56"/>
      <c r="GU245" s="195">
        <f>SUMPRODUCT(PRODUCE!$B248:$DY248,PRODUCE!$EB$29:$IY$29)</f>
        <v>0</v>
      </c>
      <c r="GV245" s="56"/>
      <c r="GW245" s="195">
        <f t="shared" si="1562"/>
        <v>0</v>
      </c>
      <c r="GX245" s="195">
        <f t="shared" si="1563"/>
        <v>400</v>
      </c>
      <c r="GY245" s="56"/>
      <c r="HB245" s="55">
        <f t="shared" si="1564"/>
        <v>46231</v>
      </c>
      <c r="HC245" s="56"/>
      <c r="HD245" s="191">
        <f>SUMPRODUCT(PRODUCE!$B248:$DY248,PRODUCE!$EB$30:$IY$30)</f>
        <v>0</v>
      </c>
      <c r="HE245" s="56"/>
      <c r="HF245" s="191">
        <f t="shared" si="1565"/>
        <v>0</v>
      </c>
      <c r="HG245" s="191">
        <f t="shared" si="1566"/>
        <v>3600</v>
      </c>
      <c r="HH245" s="56"/>
      <c r="HK245" s="55">
        <f t="shared" si="1567"/>
        <v>46231</v>
      </c>
      <c r="HL245" s="56"/>
      <c r="HM245" s="63">
        <f>SUMPRODUCT(PRODUCE!$B248:$DY248,PRODUCE!$EB$31:$IY$31)</f>
        <v>0</v>
      </c>
      <c r="HN245" s="56"/>
      <c r="HO245" s="63">
        <f t="shared" si="1568"/>
        <v>0</v>
      </c>
      <c r="HP245" s="63">
        <f t="shared" si="1569"/>
        <v>0</v>
      </c>
      <c r="HQ245" s="56"/>
      <c r="HU245" s="55">
        <f t="shared" si="1570"/>
        <v>46231</v>
      </c>
      <c r="HV245" s="56"/>
      <c r="HW245" s="242">
        <f>SUMPRODUCT(PRODUCE!$B248:$DY248,PRODUCE!$EB$32:$IY$32)</f>
        <v>0</v>
      </c>
      <c r="HX245" s="56"/>
      <c r="HY245" s="242">
        <f t="shared" si="1571"/>
        <v>0</v>
      </c>
      <c r="HZ245" s="242">
        <f t="shared" si="1572"/>
        <v>5920</v>
      </c>
      <c r="IA245" s="56"/>
      <c r="ID245" s="55">
        <f t="shared" si="1573"/>
        <v>46231</v>
      </c>
      <c r="IE245" s="56"/>
      <c r="IF245" s="242">
        <f>SUMPRODUCT(PRODUCE!$B248:$DY248,PRODUCE!$EB$33:$IY$33)</f>
        <v>0</v>
      </c>
      <c r="IG245" s="56"/>
      <c r="IH245" s="242">
        <f t="shared" si="1574"/>
        <v>0</v>
      </c>
      <c r="II245" s="242">
        <f t="shared" si="1575"/>
        <v>720</v>
      </c>
      <c r="IJ245" s="56"/>
      <c r="IM245" s="55">
        <f t="shared" si="1576"/>
        <v>46231</v>
      </c>
      <c r="IN245" s="56"/>
      <c r="IO245" s="242">
        <f>SUMPRODUCT(PRODUCE!$B248:$DY248,PRODUCE!$EB$34:$IY$34)</f>
        <v>0</v>
      </c>
      <c r="IP245" s="56"/>
      <c r="IQ245" s="242">
        <f t="shared" si="1577"/>
        <v>0</v>
      </c>
      <c r="IR245" s="242">
        <f t="shared" si="1578"/>
        <v>3280</v>
      </c>
      <c r="IS245" s="56"/>
      <c r="IV245" s="55">
        <f t="shared" si="1579"/>
        <v>46231</v>
      </c>
      <c r="IW245" s="56"/>
      <c r="IX245" s="242">
        <f>SUMPRODUCT(PRODUCE!$B248:$DY248,PRODUCE!$EB$35:$IY$35)</f>
        <v>0</v>
      </c>
      <c r="IY245" s="56"/>
      <c r="IZ245" s="242">
        <f t="shared" si="1580"/>
        <v>0</v>
      </c>
      <c r="JA245" s="242">
        <f t="shared" si="1581"/>
        <v>4960</v>
      </c>
      <c r="JB245" s="56"/>
      <c r="JE245" s="55">
        <f t="shared" si="1582"/>
        <v>46231</v>
      </c>
      <c r="JF245" s="56"/>
      <c r="JG245" s="242">
        <f>SUMPRODUCT(PRODUCE!$B248:$DY248,PRODUCE!$EB$36:$IY$36)</f>
        <v>0</v>
      </c>
      <c r="JH245" s="56"/>
      <c r="JI245" s="242">
        <f t="shared" si="1583"/>
        <v>0</v>
      </c>
      <c r="JJ245" s="242">
        <f t="shared" si="1584"/>
        <v>0</v>
      </c>
      <c r="JK245" s="56"/>
      <c r="JN245" s="55">
        <f t="shared" si="1585"/>
        <v>46231</v>
      </c>
      <c r="JO245" s="56"/>
      <c r="JP245" s="242">
        <f>SUMPRODUCT(PRODUCE!$B248:$DY248,PRODUCE!$EB$37:$IY$37)</f>
        <v>0</v>
      </c>
      <c r="JQ245" s="56"/>
      <c r="JR245" s="242">
        <f t="shared" si="1586"/>
        <v>0</v>
      </c>
      <c r="JS245" s="242">
        <f t="shared" si="1587"/>
        <v>0</v>
      </c>
      <c r="JT245" s="56"/>
      <c r="JW245" s="55">
        <f t="shared" si="1588"/>
        <v>46231</v>
      </c>
      <c r="JX245" s="56"/>
      <c r="JY245" s="242">
        <f>SUMPRODUCT(PRODUCE!$B248:$DY248,PRODUCE!$EB$38:$IY$38)</f>
        <v>0</v>
      </c>
      <c r="JZ245" s="56"/>
      <c r="KA245" s="242">
        <f t="shared" si="1589"/>
        <v>0</v>
      </c>
      <c r="KB245" s="242">
        <f t="shared" si="1590"/>
        <v>2540</v>
      </c>
      <c r="KC245" s="56"/>
      <c r="KF245" s="55">
        <f t="shared" si="1591"/>
        <v>46231</v>
      </c>
      <c r="KG245" s="56"/>
      <c r="KH245" s="242">
        <f>SUMPRODUCT(PRODUCE!$B248:$DY248,PRODUCE!$EB$39:$IY$39)</f>
        <v>0</v>
      </c>
      <c r="KI245" s="56"/>
      <c r="KJ245" s="242">
        <f t="shared" si="1592"/>
        <v>0</v>
      </c>
      <c r="KK245" s="242">
        <f t="shared" si="1593"/>
        <v>2359.5</v>
      </c>
      <c r="KL245" s="56"/>
      <c r="KO245" s="55">
        <f t="shared" si="1594"/>
        <v>46231</v>
      </c>
      <c r="KP245" s="56"/>
      <c r="KQ245" s="242">
        <f>SUMPRODUCT(PRODUCE!$B248:$DY248,PRODUCE!$EB$40:$IY$40)</f>
        <v>0</v>
      </c>
      <c r="KR245" s="56"/>
      <c r="KS245" s="242">
        <f t="shared" si="1595"/>
        <v>0</v>
      </c>
      <c r="KT245" s="242">
        <f t="shared" si="1596"/>
        <v>1890</v>
      </c>
      <c r="KU245" s="56"/>
      <c r="KW245" s="23"/>
      <c r="KX245" s="55">
        <f t="shared" si="1597"/>
        <v>46231</v>
      </c>
      <c r="KY245" s="56"/>
      <c r="KZ245" s="242">
        <f>SUMPRODUCT(PRODUCE!$B248:$DY248,PRODUCE!$EB$41:$IY$41)</f>
        <v>0</v>
      </c>
      <c r="LA245" s="56"/>
      <c r="LB245" s="242">
        <f t="shared" si="1598"/>
        <v>0</v>
      </c>
      <c r="LC245" s="242">
        <f t="shared" si="1599"/>
        <v>3690</v>
      </c>
      <c r="LD245" s="56"/>
      <c r="LG245" s="55">
        <f t="shared" si="1600"/>
        <v>46231</v>
      </c>
      <c r="LH245" s="56"/>
      <c r="LI245" s="242">
        <f>SUMPRODUCT(PRODUCE!$B248:$DY248,PRODUCE!$EB$42:$IY$42)</f>
        <v>0</v>
      </c>
      <c r="LJ245" s="56"/>
      <c r="LK245" s="242">
        <f t="shared" si="1601"/>
        <v>0</v>
      </c>
      <c r="LL245" s="242">
        <f t="shared" si="1602"/>
        <v>4000</v>
      </c>
      <c r="LM245" s="56"/>
      <c r="LP245" s="55">
        <f t="shared" si="1603"/>
        <v>46231</v>
      </c>
      <c r="LQ245" s="56"/>
      <c r="LR245" s="242">
        <f>SUMPRODUCT(PRODUCE!$B248:$DY248,PRODUCE!$EB$43:$IY$43)</f>
        <v>0</v>
      </c>
      <c r="LS245" s="56"/>
      <c r="LT245" s="242">
        <f t="shared" si="1604"/>
        <v>0</v>
      </c>
      <c r="LU245" s="242">
        <f t="shared" si="1605"/>
        <v>0</v>
      </c>
      <c r="LV245" s="56"/>
      <c r="LY245" s="55">
        <f t="shared" si="1606"/>
        <v>46231</v>
      </c>
      <c r="LZ245" s="56"/>
      <c r="MA245" s="242">
        <f>SUMPRODUCT(PRODUCE!$B248:$DY248,PRODUCE!$EB$44:$IY$44)</f>
        <v>0</v>
      </c>
      <c r="MB245" s="56"/>
      <c r="MC245" s="242">
        <f t="shared" si="1607"/>
        <v>0</v>
      </c>
      <c r="MD245" s="242">
        <f t="shared" si="1608"/>
        <v>0</v>
      </c>
      <c r="ME245" s="56"/>
      <c r="MH245" s="55">
        <f t="shared" si="1609"/>
        <v>46231</v>
      </c>
      <c r="MI245" s="56"/>
      <c r="MJ245" s="242">
        <f>SUMPRODUCT(PRODUCE!$B248:$DY248,PRODUCE!$EB$45:$IY$45)</f>
        <v>0</v>
      </c>
      <c r="MK245" s="56"/>
      <c r="ML245" s="242">
        <f t="shared" si="1610"/>
        <v>0</v>
      </c>
      <c r="MM245" s="242">
        <f t="shared" si="1611"/>
        <v>0</v>
      </c>
      <c r="MN245" s="56"/>
      <c r="MQ245" s="55">
        <f t="shared" si="1612"/>
        <v>46231</v>
      </c>
      <c r="MR245" s="56"/>
      <c r="MS245" s="242">
        <f>SUMPRODUCT(PRODUCE!$B248:$DY248,PRODUCE!$EB$46:$IY$46)</f>
        <v>0</v>
      </c>
      <c r="MT245" s="56"/>
      <c r="MU245" s="242">
        <f t="shared" si="1613"/>
        <v>0</v>
      </c>
      <c r="MV245" s="242">
        <f t="shared" si="1614"/>
        <v>2346</v>
      </c>
      <c r="MW245" s="56"/>
      <c r="MZ245" s="55">
        <f t="shared" si="1615"/>
        <v>46231</v>
      </c>
      <c r="NA245" s="56"/>
      <c r="NB245" s="242">
        <f>SUMPRODUCT(PRODUCE!$B248:$DY248,PRODUCE!$EB$47:$IY$47)</f>
        <v>0</v>
      </c>
      <c r="NC245" s="56"/>
      <c r="ND245" s="242">
        <f t="shared" si="1616"/>
        <v>0</v>
      </c>
      <c r="NE245" s="242">
        <f t="shared" si="1617"/>
        <v>0</v>
      </c>
      <c r="NF245" s="56"/>
      <c r="NI245" s="55">
        <f t="shared" si="1618"/>
        <v>46231</v>
      </c>
      <c r="NJ245" s="56"/>
      <c r="NK245" s="242">
        <f>SUMPRODUCT(PRODUCE!$B248:$DY248,PRODUCE!$EB$48:$IY$48)</f>
        <v>0</v>
      </c>
      <c r="NL245" s="56"/>
      <c r="NM245" s="242">
        <f t="shared" si="1619"/>
        <v>0</v>
      </c>
      <c r="NN245" s="242">
        <f t="shared" si="1620"/>
        <v>1127</v>
      </c>
      <c r="NO245" s="56"/>
      <c r="NR245" s="55">
        <f t="shared" si="1621"/>
        <v>46231</v>
      </c>
      <c r="NS245" s="56"/>
      <c r="NT245" s="242">
        <f>SUMPRODUCT(PRODUCE!$B248:$DY248,PRODUCE!$EB$49:$IY$49)</f>
        <v>0</v>
      </c>
      <c r="NU245" s="56"/>
      <c r="NV245" s="242">
        <f t="shared" si="1622"/>
        <v>0</v>
      </c>
      <c r="NW245" s="242">
        <f t="shared" si="1623"/>
        <v>3111.9999999999995</v>
      </c>
      <c r="NX245" s="56"/>
      <c r="OA245" s="55">
        <f t="shared" si="1624"/>
        <v>46231</v>
      </c>
      <c r="OB245" s="56"/>
      <c r="OC245" s="242">
        <f>SUMPRODUCT(PRODUCE!$B248:$DY248,PRODUCE!$EB$50:$IY$50)</f>
        <v>0</v>
      </c>
      <c r="OD245" s="56"/>
      <c r="OE245" s="242">
        <f t="shared" si="1625"/>
        <v>0</v>
      </c>
      <c r="OF245" s="242">
        <f t="shared" si="1626"/>
        <v>1680.5</v>
      </c>
      <c r="OG245" s="56"/>
      <c r="OJ245" s="55">
        <f t="shared" si="1627"/>
        <v>46231</v>
      </c>
      <c r="OK245" s="56"/>
      <c r="OL245" s="242">
        <f>SUMPRODUCT(PRODUCE!$B248:$DY248,PRODUCE!$EB$51:$IY$51)</f>
        <v>0</v>
      </c>
      <c r="OM245" s="56"/>
      <c r="ON245" s="242">
        <f t="shared" si="1628"/>
        <v>0</v>
      </c>
      <c r="OO245" s="242">
        <f t="shared" si="1629"/>
        <v>0</v>
      </c>
      <c r="OP245" s="56"/>
      <c r="OS245" s="55">
        <f t="shared" si="1630"/>
        <v>46231</v>
      </c>
      <c r="OT245" s="56"/>
      <c r="OU245" s="242">
        <f>SUMPRODUCT(PRODUCE!$B248:$DY248,PRODUCE!$EB$52:$IY$52)</f>
        <v>0</v>
      </c>
      <c r="OV245" s="56"/>
      <c r="OW245" s="242">
        <f t="shared" si="1631"/>
        <v>0</v>
      </c>
      <c r="OX245" s="242">
        <f t="shared" si="1632"/>
        <v>1482</v>
      </c>
      <c r="OY245" s="56"/>
      <c r="PB245" s="55">
        <f t="shared" si="1633"/>
        <v>46231</v>
      </c>
      <c r="PC245" s="56"/>
      <c r="PD245" s="242">
        <f>SUMPRODUCT(PRODUCE!$B248:$DY248,PRODUCE!$EB$53:$IY$53)</f>
        <v>0</v>
      </c>
      <c r="PE245" s="56"/>
      <c r="PF245" s="242">
        <f t="shared" si="1634"/>
        <v>0</v>
      </c>
      <c r="PG245" s="242">
        <f t="shared" si="1635"/>
        <v>0</v>
      </c>
      <c r="PH245" s="56"/>
      <c r="PK245" s="55">
        <f t="shared" si="1636"/>
        <v>46231</v>
      </c>
      <c r="PL245" s="56"/>
      <c r="PM245" s="242">
        <f>SUMPRODUCT(PRODUCE!$B248:$DY248,PRODUCE!$EB$54:$IY$54)</f>
        <v>0</v>
      </c>
      <c r="PN245" s="56"/>
      <c r="PO245" s="242">
        <f t="shared" si="1637"/>
        <v>0</v>
      </c>
      <c r="PP245" s="242">
        <f t="shared" si="1638"/>
        <v>100</v>
      </c>
      <c r="PQ245" s="56"/>
      <c r="PT245" s="55">
        <f t="shared" si="1639"/>
        <v>46231</v>
      </c>
      <c r="PU245" s="56"/>
      <c r="PV245" s="242">
        <f>SUMPRODUCT(PRODUCE!$B248:$DY248,PRODUCE!$EB$55:$IY$55)</f>
        <v>0</v>
      </c>
      <c r="PW245" s="56"/>
      <c r="PX245" s="242">
        <f t="shared" si="1640"/>
        <v>0</v>
      </c>
      <c r="PY245" s="242">
        <f t="shared" si="1641"/>
        <v>13.960000000000036</v>
      </c>
      <c r="PZ245" s="56"/>
      <c r="QC245" s="55">
        <f t="shared" si="1642"/>
        <v>46231</v>
      </c>
      <c r="QD245" s="56"/>
      <c r="QE245" s="242">
        <f>SUMPRODUCT(PRODUCE!$B248:$DY248,PRODUCE!$EB$56:$IY$56)</f>
        <v>0</v>
      </c>
      <c r="QF245" s="56"/>
      <c r="QG245" s="242">
        <f t="shared" si="1643"/>
        <v>0</v>
      </c>
      <c r="QH245" s="242">
        <f t="shared" si="1644"/>
        <v>1120</v>
      </c>
      <c r="QI245" s="56"/>
      <c r="QL245" s="55">
        <f t="shared" si="1645"/>
        <v>46231</v>
      </c>
      <c r="QM245" s="56"/>
      <c r="QN245" s="242">
        <f>SUMPRODUCT(PRODUCE!$B248:$DY248,PRODUCE!$EB$57:$IY$57)</f>
        <v>0</v>
      </c>
      <c r="QO245" s="56"/>
      <c r="QP245" s="242">
        <f t="shared" si="1646"/>
        <v>0</v>
      </c>
      <c r="QQ245" s="242">
        <f t="shared" si="1647"/>
        <v>0</v>
      </c>
      <c r="QR245" s="56"/>
      <c r="QU245" s="55">
        <f t="shared" si="1648"/>
        <v>46231</v>
      </c>
      <c r="QV245" s="56"/>
      <c r="QW245" s="242">
        <f>SUMPRODUCT(PRODUCE!$B248:$DY248,PRODUCE!$EB$58:$IY$58)</f>
        <v>0</v>
      </c>
      <c r="QX245" s="56"/>
      <c r="QY245" s="242">
        <f t="shared" si="1649"/>
        <v>0</v>
      </c>
      <c r="QZ245" s="242">
        <f t="shared" si="1650"/>
        <v>207.6</v>
      </c>
      <c r="RA245" s="56"/>
      <c r="RD245" s="55">
        <f t="shared" si="1651"/>
        <v>46231</v>
      </c>
      <c r="RE245" s="56"/>
      <c r="RF245" s="242">
        <f>SUMPRODUCT(PRODUCE!$B248:$DY248,PRODUCE!$EB$59:$IY$59)</f>
        <v>0</v>
      </c>
      <c r="RG245" s="56"/>
      <c r="RH245" s="242">
        <f t="shared" si="1652"/>
        <v>0</v>
      </c>
      <c r="RI245" s="242">
        <f t="shared" si="1653"/>
        <v>147.04000000000002</v>
      </c>
      <c r="RJ245" s="56"/>
      <c r="RM245" s="55">
        <f t="shared" si="1654"/>
        <v>46231</v>
      </c>
      <c r="RN245" s="56"/>
      <c r="RO245" s="242">
        <f>SUMPRODUCT(PRODUCE!$B248:$DY248,PRODUCE!$EB$60:$IY$60)</f>
        <v>0</v>
      </c>
      <c r="RP245" s="56"/>
      <c r="RQ245" s="242">
        <f t="shared" si="1655"/>
        <v>0</v>
      </c>
      <c r="RR245" s="242">
        <f t="shared" si="1656"/>
        <v>46.8</v>
      </c>
      <c r="RS245" s="56"/>
      <c r="RV245" s="55">
        <f t="shared" si="1657"/>
        <v>46231</v>
      </c>
      <c r="RW245" s="56"/>
      <c r="RX245" s="242">
        <f>SUMPRODUCT(PRODUCE!$B248:$DY248,PRODUCE!$EB$61:$IY$61)</f>
        <v>0</v>
      </c>
      <c r="RY245" s="56"/>
      <c r="RZ245" s="242">
        <f t="shared" si="1658"/>
        <v>0</v>
      </c>
      <c r="SA245" s="242">
        <f t="shared" si="1659"/>
        <v>0</v>
      </c>
      <c r="SB245" s="56"/>
      <c r="SE245" s="55">
        <f t="shared" si="1660"/>
        <v>46231</v>
      </c>
      <c r="SF245" s="56"/>
      <c r="SG245" s="242">
        <f>SUMPRODUCT(PRODUCE!$B248:$DY248,PRODUCE!$EB$62:$IY$62)</f>
        <v>0</v>
      </c>
      <c r="SH245" s="56"/>
      <c r="SI245" s="242">
        <f t="shared" si="1661"/>
        <v>0</v>
      </c>
      <c r="SJ245" s="242">
        <f t="shared" si="1662"/>
        <v>24.200000000000003</v>
      </c>
      <c r="SK245" s="56"/>
      <c r="SN245" s="55">
        <f t="shared" si="1663"/>
        <v>46231</v>
      </c>
      <c r="SO245" s="56"/>
      <c r="SP245" s="242">
        <f>SUMPRODUCT(PRODUCE!$B248:$DY248,PRODUCE!$EB$63:$IY$63)</f>
        <v>0</v>
      </c>
      <c r="SQ245" s="56"/>
      <c r="SR245" s="242">
        <f t="shared" si="1664"/>
        <v>0</v>
      </c>
      <c r="SS245" s="242">
        <f t="shared" si="1665"/>
        <v>32</v>
      </c>
      <c r="ST245" s="56"/>
      <c r="SW245" s="55">
        <f t="shared" si="1666"/>
        <v>46231</v>
      </c>
      <c r="SX245" s="56"/>
      <c r="SY245" s="242">
        <f>SUMPRODUCT(PRODUCE!$B248:$DY248,PRODUCE!$EB$64:$IY$64)</f>
        <v>0</v>
      </c>
      <c r="SZ245" s="56"/>
      <c r="TA245" s="242">
        <f t="shared" si="1667"/>
        <v>0</v>
      </c>
      <c r="TB245" s="242">
        <f t="shared" si="1668"/>
        <v>0</v>
      </c>
      <c r="TC245" s="56"/>
      <c r="TF245" s="55">
        <f t="shared" si="1669"/>
        <v>46231</v>
      </c>
      <c r="TG245" s="56"/>
      <c r="TH245" s="242">
        <f>SUMPRODUCT(PRODUCE!$B248:$DY248,PRODUCE!$EB$57:$IY$57)</f>
        <v>0</v>
      </c>
      <c r="TI245" s="56"/>
      <c r="TJ245" s="242">
        <f t="shared" si="1670"/>
        <v>0</v>
      </c>
      <c r="TK245" s="242">
        <f t="shared" si="1671"/>
        <v>0</v>
      </c>
      <c r="TL245" s="56"/>
      <c r="TO245" s="55">
        <f t="shared" si="1672"/>
        <v>46231</v>
      </c>
      <c r="TP245" s="56"/>
      <c r="TQ245" s="242">
        <f>SUMPRODUCT(PRODUCE!$B248:$DY248,PRODUCE!$EB$57:$IY$57)</f>
        <v>0</v>
      </c>
      <c r="TR245" s="56"/>
      <c r="TS245" s="242">
        <f t="shared" si="1673"/>
        <v>0</v>
      </c>
      <c r="TT245" s="242">
        <f t="shared" si="1674"/>
        <v>10.400000000000006</v>
      </c>
      <c r="TU245" s="56"/>
      <c r="TX245" s="55">
        <f t="shared" si="1675"/>
        <v>46231</v>
      </c>
      <c r="TY245" s="56"/>
      <c r="TZ245" s="242">
        <f>SUMPRODUCT(PRODUCE!$B248:$DY248,PRODUCE!$EB$57:$IY$57)</f>
        <v>0</v>
      </c>
      <c r="UA245" s="56"/>
      <c r="UB245" s="242">
        <f t="shared" si="1676"/>
        <v>0</v>
      </c>
      <c r="UC245" s="242">
        <f t="shared" si="1677"/>
        <v>46.799999999999983</v>
      </c>
      <c r="UD245" s="56"/>
      <c r="UG245" s="55">
        <f t="shared" si="1678"/>
        <v>46231</v>
      </c>
      <c r="UH245" s="56"/>
      <c r="UI245" s="242">
        <f>SUMPRODUCT(PRODUCE!$B248:$DY248,PRODUCE!$EB$57:$IY$57)</f>
        <v>0</v>
      </c>
      <c r="UJ245" s="56"/>
      <c r="UK245" s="242">
        <f t="shared" si="1679"/>
        <v>0</v>
      </c>
      <c r="UL245" s="242">
        <f t="shared" si="1680"/>
        <v>204</v>
      </c>
      <c r="UM245" s="56"/>
      <c r="UP245" s="55">
        <f t="shared" si="1681"/>
        <v>46231</v>
      </c>
      <c r="UQ245" s="56"/>
      <c r="UR245" s="242">
        <f>SUMPRODUCT(PRODUCE!$B248:$DY248,PRODUCE!$EB$69:$IY$69)</f>
        <v>0</v>
      </c>
      <c r="US245" s="56"/>
      <c r="UT245" s="242">
        <f t="shared" si="1682"/>
        <v>0</v>
      </c>
      <c r="UU245" s="242">
        <f t="shared" si="1683"/>
        <v>202.5</v>
      </c>
      <c r="UV245" s="56"/>
      <c r="UY245" s="55">
        <f t="shared" si="1684"/>
        <v>46231</v>
      </c>
      <c r="UZ245" s="56"/>
      <c r="VA245" s="242">
        <f>SUMPRODUCT(PRODUCE!$B248:$DY248,PRODUCE!$EB$70:$IY$70)</f>
        <v>0</v>
      </c>
      <c r="VB245" s="56"/>
      <c r="VC245" s="242">
        <f t="shared" si="1685"/>
        <v>0</v>
      </c>
      <c r="VD245" s="242">
        <f t="shared" si="1686"/>
        <v>41.600000000000023</v>
      </c>
      <c r="VE245" s="56"/>
      <c r="VH245" s="55">
        <f t="shared" si="1687"/>
        <v>46231</v>
      </c>
      <c r="VI245" s="56"/>
      <c r="VJ245" s="242">
        <f>SUMPRODUCT(PRODUCE!$B248:$DY248,PRODUCE!$EB$71:$IY$71)</f>
        <v>0</v>
      </c>
      <c r="VK245" s="56"/>
      <c r="VL245" s="242">
        <f t="shared" si="1688"/>
        <v>0</v>
      </c>
      <c r="VM245" s="242">
        <f t="shared" si="1689"/>
        <v>210</v>
      </c>
      <c r="VN245" s="56"/>
      <c r="VQ245" s="55">
        <f t="shared" si="1690"/>
        <v>46231</v>
      </c>
      <c r="VR245" s="56"/>
      <c r="VS245" s="242">
        <f>SUMPRODUCT(PRODUCE!$B248:$DY248,PRODUCE!$EB$57:$IY$57)</f>
        <v>0</v>
      </c>
      <c r="VT245" s="56"/>
      <c r="VU245" s="242">
        <f t="shared" si="1691"/>
        <v>0</v>
      </c>
      <c r="VV245" s="242">
        <f t="shared" si="1692"/>
        <v>0</v>
      </c>
      <c r="VW245" s="56"/>
      <c r="VZ245" s="55">
        <f t="shared" si="1693"/>
        <v>46231</v>
      </c>
      <c r="WA245" s="56"/>
      <c r="WB245" s="242">
        <f>SUMPRODUCT(PRODUCE!$B248:$DY248,PRODUCE!$EB$57:$IY$57)</f>
        <v>0</v>
      </c>
      <c r="WC245" s="56"/>
      <c r="WD245" s="242">
        <f t="shared" si="1694"/>
        <v>0</v>
      </c>
      <c r="WE245" s="242">
        <f t="shared" si="1695"/>
        <v>0</v>
      </c>
      <c r="WF245" s="56"/>
      <c r="WI245" s="55">
        <f t="shared" si="1696"/>
        <v>46231</v>
      </c>
      <c r="WJ245" s="56"/>
      <c r="WK245" s="242">
        <f>SUMPRODUCT(PRODUCE!$B248:$DY248,PRODUCE!$EB$57:$IY$57)</f>
        <v>0</v>
      </c>
      <c r="WL245" s="56"/>
      <c r="WM245" s="242">
        <f t="shared" si="1697"/>
        <v>0</v>
      </c>
      <c r="WN245" s="242">
        <f t="shared" si="1698"/>
        <v>1057</v>
      </c>
      <c r="WO245" s="56"/>
      <c r="WR245" s="55">
        <f t="shared" si="1699"/>
        <v>46231</v>
      </c>
      <c r="WS245" s="56"/>
      <c r="WT245" s="242">
        <f>SUMPRODUCT(PRODUCE!$B248:$DY248,PRODUCE!$EB$57:$IY$57)</f>
        <v>0</v>
      </c>
      <c r="WU245" s="56"/>
      <c r="WV245" s="242">
        <f t="shared" si="1700"/>
        <v>0</v>
      </c>
      <c r="WW245" s="242">
        <f t="shared" si="1701"/>
        <v>0</v>
      </c>
      <c r="WX245" s="56"/>
      <c r="XA245" s="55">
        <f t="shared" si="1702"/>
        <v>46231</v>
      </c>
      <c r="XB245" s="56"/>
      <c r="XC245" s="242">
        <f>SUMPRODUCT(PRODUCE!$B248:$DY248,PRODUCE!$EB$57:$IY$57)</f>
        <v>0</v>
      </c>
      <c r="XD245" s="56"/>
      <c r="XE245" s="242">
        <f t="shared" si="1703"/>
        <v>0</v>
      </c>
      <c r="XF245" s="242">
        <f t="shared" si="1704"/>
        <v>7507</v>
      </c>
      <c r="XG245" s="56"/>
      <c r="XJ245" s="55">
        <f t="shared" si="1705"/>
        <v>46231</v>
      </c>
      <c r="XK245" s="56"/>
      <c r="XL245" s="242">
        <f>SUMPRODUCT(PRODUCE!$B248:$DY248,PRODUCE!$EB$57:$IY$57)</f>
        <v>0</v>
      </c>
      <c r="XM245" s="56"/>
      <c r="XN245" s="242">
        <f t="shared" si="1706"/>
        <v>0</v>
      </c>
      <c r="XO245" s="242">
        <f t="shared" si="1707"/>
        <v>4252</v>
      </c>
      <c r="XP245" s="56"/>
      <c r="XS245" s="55">
        <f t="shared" si="1708"/>
        <v>46231</v>
      </c>
      <c r="XT245" s="56"/>
      <c r="XU245" s="242">
        <f>SUMPRODUCT(PRODUCE!$B248:$DY248,PRODUCE!$EB$57:$IY$57)</f>
        <v>0</v>
      </c>
      <c r="XV245" s="56"/>
      <c r="XW245" s="242">
        <f t="shared" si="1709"/>
        <v>0</v>
      </c>
      <c r="XX245" s="242">
        <f t="shared" si="1710"/>
        <v>2179</v>
      </c>
      <c r="XY245" s="56"/>
      <c r="YB245" s="55">
        <f t="shared" si="1711"/>
        <v>46231</v>
      </c>
      <c r="YC245" s="56"/>
      <c r="YD245" s="242">
        <f>SUMPRODUCT(PRODUCE!$B248:$DY248,PRODUCE!$EB$57:$IY$57)</f>
        <v>0</v>
      </c>
      <c r="YE245" s="56"/>
      <c r="YF245" s="242">
        <f t="shared" si="1712"/>
        <v>0</v>
      </c>
      <c r="YG245" s="242">
        <f t="shared" si="1713"/>
        <v>4019</v>
      </c>
      <c r="YH245" s="56"/>
      <c r="YK245" s="55">
        <f t="shared" si="1714"/>
        <v>46231</v>
      </c>
      <c r="YL245" s="56"/>
      <c r="YM245" s="242">
        <f>SUMPRODUCT(PRODUCE!$B248:$DY248,PRODUCE!$EB$57:$IY$57)</f>
        <v>0</v>
      </c>
      <c r="YN245" s="56"/>
      <c r="YO245" s="242">
        <f t="shared" si="1715"/>
        <v>0</v>
      </c>
      <c r="YP245" s="242">
        <f t="shared" si="1716"/>
        <v>0</v>
      </c>
      <c r="YQ245" s="56"/>
      <c r="YT245" s="55">
        <f t="shared" si="1717"/>
        <v>46231</v>
      </c>
      <c r="YU245" s="56"/>
      <c r="YV245" s="242">
        <f>SUMPRODUCT(PRODUCE!$B248:$DY248,PRODUCE!$EB$57:$IY$57)</f>
        <v>0</v>
      </c>
      <c r="YW245" s="56"/>
      <c r="YX245" s="242">
        <f t="shared" si="1718"/>
        <v>0</v>
      </c>
      <c r="YY245" s="242">
        <f t="shared" si="1719"/>
        <v>0</v>
      </c>
      <c r="YZ245" s="56"/>
      <c r="ZC245" s="55">
        <f t="shared" si="1720"/>
        <v>46231</v>
      </c>
      <c r="ZD245" s="56"/>
      <c r="ZE245" s="242">
        <f>SUMPRODUCT(PRODUCE!$B248:$DY248,PRODUCE!$EB$57:$IY$57)</f>
        <v>0</v>
      </c>
      <c r="ZF245" s="56"/>
      <c r="ZG245" s="242">
        <f t="shared" si="1721"/>
        <v>0</v>
      </c>
      <c r="ZH245" s="242">
        <f t="shared" si="1722"/>
        <v>0</v>
      </c>
      <c r="ZI245" s="56"/>
      <c r="ZL245" s="55">
        <f t="shared" si="1723"/>
        <v>46231</v>
      </c>
      <c r="ZM245" s="56"/>
      <c r="ZN245" s="242">
        <f>SUMPRODUCT(PRODUCE!$B248:$DY248,PRODUCE!$EB$57:$IY$57)</f>
        <v>0</v>
      </c>
      <c r="ZO245" s="56"/>
      <c r="ZP245" s="242">
        <f t="shared" si="1724"/>
        <v>0</v>
      </c>
      <c r="ZQ245" s="242">
        <f t="shared" si="1725"/>
        <v>0</v>
      </c>
      <c r="ZR245" s="56"/>
      <c r="ZU245" s="55">
        <f t="shared" si="1726"/>
        <v>46231</v>
      </c>
      <c r="ZV245" s="56"/>
      <c r="ZW245" s="242">
        <f>SUMPRODUCT(PRODUCE!$B248:$DY248,PRODUCE!$EB$57:$IY$57)</f>
        <v>0</v>
      </c>
      <c r="ZX245" s="56"/>
      <c r="ZY245" s="242">
        <f t="shared" si="1727"/>
        <v>0</v>
      </c>
      <c r="ZZ245" s="242">
        <f t="shared" si="1728"/>
        <v>0</v>
      </c>
      <c r="AAA245" s="56"/>
      <c r="AAD245" s="55">
        <f t="shared" si="1729"/>
        <v>46231</v>
      </c>
      <c r="AAE245" s="56"/>
      <c r="AAF245" s="242">
        <f>SUMPRODUCT(PRODUCE!$B248:$DY248,PRODUCE!$EB$57:$IY$57)</f>
        <v>0</v>
      </c>
      <c r="AAG245" s="56"/>
      <c r="AAH245" s="242">
        <f t="shared" si="1730"/>
        <v>0</v>
      </c>
      <c r="AAI245" s="242">
        <f t="shared" si="1731"/>
        <v>0</v>
      </c>
      <c r="AAJ245" s="56"/>
      <c r="AAM245" s="55">
        <f t="shared" si="1732"/>
        <v>46231</v>
      </c>
      <c r="AAN245" s="56"/>
      <c r="AAO245" s="242">
        <f>SUMPRODUCT(PRODUCE!$B248:$DY248,PRODUCE!$EB$57:$IY$57)</f>
        <v>0</v>
      </c>
      <c r="AAP245" s="56"/>
      <c r="AAQ245" s="242">
        <f t="shared" si="1733"/>
        <v>0</v>
      </c>
      <c r="AAR245" s="242">
        <f t="shared" si="1734"/>
        <v>0</v>
      </c>
      <c r="AAS245" s="56"/>
      <c r="AAV245" s="55">
        <f t="shared" si="1735"/>
        <v>46231</v>
      </c>
      <c r="AAW245" s="56"/>
      <c r="AAX245" s="242">
        <f>SUMPRODUCT(PRODUCE!$B248:$DY248,PRODUCE!$EB$57:$IY$57)</f>
        <v>0</v>
      </c>
      <c r="AAY245" s="56"/>
      <c r="AAZ245" s="242">
        <f t="shared" si="1736"/>
        <v>0</v>
      </c>
      <c r="ABA245" s="242">
        <f t="shared" si="1737"/>
        <v>0</v>
      </c>
      <c r="ABB245" s="56"/>
      <c r="ABE245" s="55">
        <f t="shared" si="1738"/>
        <v>46231</v>
      </c>
      <c r="ABF245" s="56"/>
      <c r="ABG245" s="242">
        <f>SUMPRODUCT(PRODUCE!$B248:$DY248,PRODUCE!$EB$57:$IY$57)</f>
        <v>0</v>
      </c>
      <c r="ABH245" s="56"/>
      <c r="ABI245" s="242">
        <f t="shared" si="1739"/>
        <v>0</v>
      </c>
      <c r="ABJ245" s="242">
        <f t="shared" si="1740"/>
        <v>0</v>
      </c>
      <c r="ABK245" s="56"/>
    </row>
    <row r="246" spans="1:739" s="54" customFormat="1" ht="15" customHeight="1" outlineLevel="1">
      <c r="B246" s="478"/>
      <c r="C246" s="55">
        <v>46232</v>
      </c>
      <c r="D246" s="422">
        <v>51150</v>
      </c>
      <c r="E246" s="423">
        <f>SUMPRODUCT(PRODUCE!$B249:$DY249,PRODUCE!$EB$7:$IY$7)</f>
        <v>0</v>
      </c>
      <c r="F246" s="422"/>
      <c r="G246" s="423">
        <f t="shared" si="1496"/>
        <v>0</v>
      </c>
      <c r="H246" s="423">
        <f t="shared" si="1497"/>
        <v>211116</v>
      </c>
      <c r="I246" s="289"/>
      <c r="L246" s="55">
        <f t="shared" si="1498"/>
        <v>46232</v>
      </c>
      <c r="M246" s="422"/>
      <c r="N246" s="438">
        <f>SUMPRODUCT(PRODUCE!$B249:$DY249,PRODUCE!$EB$8:$IY$8)</f>
        <v>0</v>
      </c>
      <c r="O246" s="422"/>
      <c r="P246" s="438">
        <f t="shared" si="1499"/>
        <v>0</v>
      </c>
      <c r="Q246" s="438">
        <f t="shared" si="1500"/>
        <v>13702.600000000071</v>
      </c>
      <c r="R246" s="56"/>
      <c r="U246" s="55">
        <f t="shared" si="1501"/>
        <v>46232</v>
      </c>
      <c r="V246" s="422"/>
      <c r="W246" s="440">
        <f>SUMPRODUCT(PRODUCE!$B249:$DY249,PRODUCE!$EB$9:$IY$9)</f>
        <v>0</v>
      </c>
      <c r="X246" s="422"/>
      <c r="Y246" s="440">
        <f t="shared" si="1502"/>
        <v>0</v>
      </c>
      <c r="Z246" s="440">
        <f t="shared" si="1503"/>
        <v>27925.099999999969</v>
      </c>
      <c r="AA246" s="56"/>
      <c r="AD246" s="55">
        <f t="shared" si="1504"/>
        <v>46232</v>
      </c>
      <c r="AE246" s="422"/>
      <c r="AF246" s="442">
        <f>SUMPRODUCT(PRODUCE!$B249:$DY249,PRODUCE!$EB$10:$IY$10)</f>
        <v>0</v>
      </c>
      <c r="AG246" s="422">
        <v>27350</v>
      </c>
      <c r="AH246" s="442">
        <f t="shared" si="1505"/>
        <v>-27350</v>
      </c>
      <c r="AI246" s="442">
        <f t="shared" si="1506"/>
        <v>4522.2000000000189</v>
      </c>
      <c r="AJ246" s="56"/>
      <c r="AM246" s="55">
        <f t="shared" si="1507"/>
        <v>46232</v>
      </c>
      <c r="AN246" s="422"/>
      <c r="AO246" s="444">
        <f>SUMPRODUCT(PRODUCE!$B249:$DY249,PRODUCE!$EB$11:$IY$11)</f>
        <v>0</v>
      </c>
      <c r="AP246" s="422"/>
      <c r="AQ246" s="444">
        <f t="shared" si="1508"/>
        <v>0</v>
      </c>
      <c r="AR246" s="444">
        <f t="shared" si="1509"/>
        <v>0</v>
      </c>
      <c r="AS246" s="56"/>
      <c r="AV246" s="55">
        <f t="shared" si="1510"/>
        <v>46232</v>
      </c>
      <c r="AW246" s="422"/>
      <c r="AX246" s="446">
        <f>SUMPRODUCT(PRODUCE!$B249:$DY249,PRODUCE!$EB$12:$IY$12)</f>
        <v>0</v>
      </c>
      <c r="AY246" s="422"/>
      <c r="AZ246" s="446">
        <f t="shared" si="1511"/>
        <v>0</v>
      </c>
      <c r="BA246" s="446">
        <f t="shared" si="1512"/>
        <v>124.99999999999523</v>
      </c>
      <c r="BB246" s="56"/>
      <c r="BE246" s="55">
        <f t="shared" si="1513"/>
        <v>46232</v>
      </c>
      <c r="BF246" s="422"/>
      <c r="BG246" s="448">
        <f>SUMPRODUCT(PRODUCE!$B249:$DY249,PRODUCE!$EB$13:$IY$13)</f>
        <v>0</v>
      </c>
      <c r="BH246" s="422"/>
      <c r="BI246" s="448">
        <f t="shared" si="1514"/>
        <v>0</v>
      </c>
      <c r="BJ246" s="448">
        <f t="shared" si="1515"/>
        <v>27636.699999999997</v>
      </c>
      <c r="BK246" s="56"/>
      <c r="BN246" s="55">
        <f t="shared" si="1516"/>
        <v>46232</v>
      </c>
      <c r="BO246" s="422"/>
      <c r="BP246" s="450">
        <f>SUMPRODUCT(PRODUCE!$B249:$DY249,PRODUCE!$EB$14:$IY$14)</f>
        <v>0</v>
      </c>
      <c r="BQ246" s="422"/>
      <c r="BR246" s="450">
        <f t="shared" si="1517"/>
        <v>0</v>
      </c>
      <c r="BS246" s="450">
        <f t="shared" si="1518"/>
        <v>0</v>
      </c>
      <c r="BT246" s="56"/>
      <c r="BV246" s="54" t="s">
        <v>297</v>
      </c>
      <c r="BW246" s="55">
        <f t="shared" si="1519"/>
        <v>46232</v>
      </c>
      <c r="BX246" s="422"/>
      <c r="BY246" s="523">
        <f>SUMPRODUCT(PRODUCE!$B249:$DY249,PRODUCE!$EB$15:$IY$15)</f>
        <v>0</v>
      </c>
      <c r="BZ246" s="548">
        <v>1476.79</v>
      </c>
      <c r="CA246" s="523">
        <f t="shared" si="1520"/>
        <v>-1476.79</v>
      </c>
      <c r="CB246" s="523">
        <f t="shared" si="1521"/>
        <v>3822.8499999999985</v>
      </c>
      <c r="CC246" s="289" t="s">
        <v>298</v>
      </c>
      <c r="CF246" s="55">
        <f t="shared" si="1522"/>
        <v>46232</v>
      </c>
      <c r="CG246" s="422"/>
      <c r="CH246" s="524">
        <f>SUMPRODUCT(PRODUCE!$B249:$DY249,PRODUCE!$EB$16:$IY$16)</f>
        <v>0</v>
      </c>
      <c r="CI246" s="422"/>
      <c r="CJ246" s="524">
        <f t="shared" si="1523"/>
        <v>0</v>
      </c>
      <c r="CK246" s="524">
        <f t="shared" si="1524"/>
        <v>-9191.2599999999984</v>
      </c>
      <c r="CL246" s="56"/>
      <c r="CO246" s="55">
        <f t="shared" si="1525"/>
        <v>46232</v>
      </c>
      <c r="CP246" s="422"/>
      <c r="CQ246" s="470">
        <f>SUMPRODUCT(PRODUCE!$B249:$DY249,PRODUCE!$EB$17:$IY$17)</f>
        <v>0</v>
      </c>
      <c r="CR246" s="422"/>
      <c r="CS246" s="470">
        <f t="shared" si="1526"/>
        <v>0</v>
      </c>
      <c r="CT246" s="470">
        <f t="shared" si="1527"/>
        <v>0</v>
      </c>
      <c r="CU246" s="56"/>
      <c r="CX246" s="55">
        <f t="shared" si="1528"/>
        <v>46232</v>
      </c>
      <c r="CY246" s="422"/>
      <c r="CZ246" s="525">
        <f>SUMPRODUCT(PRODUCE!$B249:$DY249,PRODUCE!$EB$18:$IY$18)</f>
        <v>0</v>
      </c>
      <c r="DA246" s="422"/>
      <c r="DB246" s="525">
        <f t="shared" si="1529"/>
        <v>0</v>
      </c>
      <c r="DC246" s="525">
        <f t="shared" si="1530"/>
        <v>28749.900000000009</v>
      </c>
      <c r="DD246" s="56"/>
      <c r="DG246" s="55">
        <f t="shared" si="1531"/>
        <v>46232</v>
      </c>
      <c r="DH246" s="422"/>
      <c r="DI246" s="526">
        <f>SUMPRODUCT(PRODUCE!$B249:$DY249,PRODUCE!$EB$19:$IY$19)</f>
        <v>0</v>
      </c>
      <c r="DJ246" s="422">
        <v>13500</v>
      </c>
      <c r="DK246" s="526">
        <f t="shared" si="1532"/>
        <v>-13500</v>
      </c>
      <c r="DL246" s="526">
        <f t="shared" si="1533"/>
        <v>18782.299999999981</v>
      </c>
      <c r="DM246" s="56"/>
      <c r="DP246" s="55">
        <f t="shared" si="1534"/>
        <v>46232</v>
      </c>
      <c r="DQ246" s="56"/>
      <c r="DR246" s="57">
        <f>SUMPRODUCT(PRODUCE!$B249:$DY249,PRODUCE!$EB$20:$IY$20)</f>
        <v>0</v>
      </c>
      <c r="DS246" s="56"/>
      <c r="DT246" s="57">
        <f t="shared" si="1535"/>
        <v>0</v>
      </c>
      <c r="DU246" s="57">
        <f t="shared" si="1536"/>
        <v>5800</v>
      </c>
      <c r="DV246" s="56"/>
      <c r="DY246" s="55">
        <f t="shared" si="1537"/>
        <v>46232</v>
      </c>
      <c r="DZ246" s="56"/>
      <c r="EA246" s="157">
        <f>SUMPRODUCT(PRODUCE!$B249:$DY249,PRODUCE!$EB$21:$IY$21)</f>
        <v>0</v>
      </c>
      <c r="EB246" s="56"/>
      <c r="EC246" s="157">
        <f t="shared" si="1538"/>
        <v>0</v>
      </c>
      <c r="ED246" s="157">
        <f t="shared" si="1539"/>
        <v>0</v>
      </c>
      <c r="EE246" s="56"/>
      <c r="EH246" s="55">
        <f t="shared" si="1540"/>
        <v>46232</v>
      </c>
      <c r="EI246" s="56"/>
      <c r="EJ246" s="162">
        <f>SUMPRODUCT(PRODUCE!$B249:$DY249,PRODUCE!$EB$22:$IY$22)</f>
        <v>0</v>
      </c>
      <c r="EK246" s="56"/>
      <c r="EL246" s="162">
        <f t="shared" si="1541"/>
        <v>0</v>
      </c>
      <c r="EM246" s="162">
        <f t="shared" si="1542"/>
        <v>0</v>
      </c>
      <c r="EN246" s="56"/>
      <c r="EQ246" s="55">
        <f t="shared" si="1543"/>
        <v>46232</v>
      </c>
      <c r="ER246" s="56"/>
      <c r="ES246" s="172">
        <f>SUMPRODUCT(PRODUCE!$B249:$DY249,PRODUCE!$EB$23:$IY$23)</f>
        <v>0</v>
      </c>
      <c r="ET246" s="56"/>
      <c r="EU246" s="135">
        <f t="shared" si="1544"/>
        <v>0</v>
      </c>
      <c r="EV246" s="135">
        <f t="shared" si="1545"/>
        <v>0</v>
      </c>
      <c r="EW246" s="56"/>
      <c r="EZ246" s="55">
        <f t="shared" si="1546"/>
        <v>46232</v>
      </c>
      <c r="FA246" s="56"/>
      <c r="FB246" s="175">
        <f>SUMPRODUCT(PRODUCE!$B249:$DY249,PRODUCE!$EB$24:$IY$24)</f>
        <v>0</v>
      </c>
      <c r="FC246" s="56"/>
      <c r="FD246" s="175">
        <f t="shared" si="1547"/>
        <v>0</v>
      </c>
      <c r="FE246" s="175">
        <f t="shared" si="1548"/>
        <v>0</v>
      </c>
      <c r="FF246" s="56"/>
      <c r="FI246" s="55">
        <f t="shared" si="1549"/>
        <v>46232</v>
      </c>
      <c r="FJ246" s="56"/>
      <c r="FK246" s="183">
        <f>SUMPRODUCT(PRODUCE!$B249:$DY249,PRODUCE!$EB$25:$IY$25)</f>
        <v>0</v>
      </c>
      <c r="FL246" s="56"/>
      <c r="FM246" s="183">
        <f t="shared" si="1550"/>
        <v>0</v>
      </c>
      <c r="FN246" s="183">
        <f t="shared" si="1551"/>
        <v>0</v>
      </c>
      <c r="FO246" s="56"/>
      <c r="FR246" s="55">
        <f t="shared" si="1552"/>
        <v>46232</v>
      </c>
      <c r="FS246" s="56"/>
      <c r="FT246" s="186">
        <f>SUMPRODUCT(PRODUCE!$B249:$DY249,PRODUCE!$EB$26:$IY$26)</f>
        <v>0</v>
      </c>
      <c r="FU246" s="56"/>
      <c r="FV246" s="186">
        <f t="shared" si="1553"/>
        <v>0</v>
      </c>
      <c r="FW246" s="186">
        <f t="shared" si="1554"/>
        <v>540</v>
      </c>
      <c r="FX246" s="56"/>
      <c r="GA246" s="55">
        <f t="shared" si="1555"/>
        <v>46232</v>
      </c>
      <c r="GB246" s="56"/>
      <c r="GC246" s="137">
        <f>SUMPRODUCT(PRODUCE!$B249:$DY249,PRODUCE!$EB$27:$IY$27)</f>
        <v>0</v>
      </c>
      <c r="GD246" s="56"/>
      <c r="GE246" s="137">
        <f t="shared" si="1556"/>
        <v>0</v>
      </c>
      <c r="GF246" s="137">
        <f t="shared" si="1557"/>
        <v>960</v>
      </c>
      <c r="GG246" s="56"/>
      <c r="GI246" s="23"/>
      <c r="GJ246" s="55">
        <f t="shared" si="1558"/>
        <v>46232</v>
      </c>
      <c r="GK246" s="56"/>
      <c r="GL246" s="199">
        <f>SUMPRODUCT(PRODUCE!$B249:$DY249,PRODUCE!$EB$28:$IY$28)</f>
        <v>0</v>
      </c>
      <c r="GM246" s="56"/>
      <c r="GN246" s="199">
        <f t="shared" si="1559"/>
        <v>0</v>
      </c>
      <c r="GO246" s="199">
        <f t="shared" si="1560"/>
        <v>1760</v>
      </c>
      <c r="GP246" s="56"/>
      <c r="GS246" s="55">
        <f t="shared" si="1561"/>
        <v>46232</v>
      </c>
      <c r="GT246" s="56"/>
      <c r="GU246" s="195">
        <f>SUMPRODUCT(PRODUCE!$B249:$DY249,PRODUCE!$EB$29:$IY$29)</f>
        <v>0</v>
      </c>
      <c r="GV246" s="56"/>
      <c r="GW246" s="195">
        <f t="shared" si="1562"/>
        <v>0</v>
      </c>
      <c r="GX246" s="195">
        <f t="shared" si="1563"/>
        <v>400</v>
      </c>
      <c r="GY246" s="56"/>
      <c r="HB246" s="55">
        <f t="shared" si="1564"/>
        <v>46232</v>
      </c>
      <c r="HC246" s="56"/>
      <c r="HD246" s="191">
        <f>SUMPRODUCT(PRODUCE!$B249:$DY249,PRODUCE!$EB$30:$IY$30)</f>
        <v>0</v>
      </c>
      <c r="HE246" s="56"/>
      <c r="HF246" s="191">
        <f t="shared" si="1565"/>
        <v>0</v>
      </c>
      <c r="HG246" s="191">
        <f t="shared" si="1566"/>
        <v>3600</v>
      </c>
      <c r="HH246" s="56"/>
      <c r="HK246" s="55">
        <f t="shared" si="1567"/>
        <v>46232</v>
      </c>
      <c r="HL246" s="56"/>
      <c r="HM246" s="63">
        <f>SUMPRODUCT(PRODUCE!$B249:$DY249,PRODUCE!$EB$31:$IY$31)</f>
        <v>0</v>
      </c>
      <c r="HN246" s="56"/>
      <c r="HO246" s="63">
        <f t="shared" si="1568"/>
        <v>0</v>
      </c>
      <c r="HP246" s="63">
        <f t="shared" si="1569"/>
        <v>0</v>
      </c>
      <c r="HQ246" s="56"/>
      <c r="HU246" s="55">
        <f t="shared" si="1570"/>
        <v>46232</v>
      </c>
      <c r="HV246" s="56"/>
      <c r="HW246" s="242">
        <f>SUMPRODUCT(PRODUCE!$B249:$DY249,PRODUCE!$EB$32:$IY$32)</f>
        <v>0</v>
      </c>
      <c r="HX246" s="56"/>
      <c r="HY246" s="242">
        <f t="shared" si="1571"/>
        <v>0</v>
      </c>
      <c r="HZ246" s="242">
        <f t="shared" si="1572"/>
        <v>5920</v>
      </c>
      <c r="IA246" s="56"/>
      <c r="ID246" s="55">
        <f t="shared" si="1573"/>
        <v>46232</v>
      </c>
      <c r="IE246" s="56"/>
      <c r="IF246" s="242">
        <f>SUMPRODUCT(PRODUCE!$B249:$DY249,PRODUCE!$EB$33:$IY$33)</f>
        <v>0</v>
      </c>
      <c r="IG246" s="56"/>
      <c r="IH246" s="242">
        <f t="shared" si="1574"/>
        <v>0</v>
      </c>
      <c r="II246" s="242">
        <f t="shared" si="1575"/>
        <v>720</v>
      </c>
      <c r="IJ246" s="56"/>
      <c r="IM246" s="55">
        <f t="shared" si="1576"/>
        <v>46232</v>
      </c>
      <c r="IN246" s="56"/>
      <c r="IO246" s="242">
        <f>SUMPRODUCT(PRODUCE!$B249:$DY249,PRODUCE!$EB$34:$IY$34)</f>
        <v>0</v>
      </c>
      <c r="IP246" s="56"/>
      <c r="IQ246" s="242">
        <f t="shared" si="1577"/>
        <v>0</v>
      </c>
      <c r="IR246" s="242">
        <f t="shared" si="1578"/>
        <v>3280</v>
      </c>
      <c r="IS246" s="56"/>
      <c r="IV246" s="55">
        <f t="shared" si="1579"/>
        <v>46232</v>
      </c>
      <c r="IW246" s="56"/>
      <c r="IX246" s="242">
        <f>SUMPRODUCT(PRODUCE!$B249:$DY249,PRODUCE!$EB$35:$IY$35)</f>
        <v>0</v>
      </c>
      <c r="IY246" s="56"/>
      <c r="IZ246" s="242">
        <f t="shared" si="1580"/>
        <v>0</v>
      </c>
      <c r="JA246" s="242">
        <f t="shared" si="1581"/>
        <v>4960</v>
      </c>
      <c r="JB246" s="56"/>
      <c r="JE246" s="55">
        <f t="shared" si="1582"/>
        <v>46232</v>
      </c>
      <c r="JF246" s="56"/>
      <c r="JG246" s="242">
        <f>SUMPRODUCT(PRODUCE!$B249:$DY249,PRODUCE!$EB$36:$IY$36)</f>
        <v>0</v>
      </c>
      <c r="JH246" s="56"/>
      <c r="JI246" s="242">
        <f t="shared" si="1583"/>
        <v>0</v>
      </c>
      <c r="JJ246" s="242">
        <f t="shared" si="1584"/>
        <v>0</v>
      </c>
      <c r="JK246" s="56"/>
      <c r="JN246" s="55">
        <f t="shared" si="1585"/>
        <v>46232</v>
      </c>
      <c r="JO246" s="56"/>
      <c r="JP246" s="242">
        <f>SUMPRODUCT(PRODUCE!$B249:$DY249,PRODUCE!$EB$37:$IY$37)</f>
        <v>0</v>
      </c>
      <c r="JQ246" s="56"/>
      <c r="JR246" s="242">
        <f t="shared" si="1586"/>
        <v>0</v>
      </c>
      <c r="JS246" s="242">
        <f t="shared" si="1587"/>
        <v>0</v>
      </c>
      <c r="JT246" s="56"/>
      <c r="JW246" s="55">
        <f t="shared" si="1588"/>
        <v>46232</v>
      </c>
      <c r="JX246" s="56"/>
      <c r="JY246" s="242">
        <f>SUMPRODUCT(PRODUCE!$B249:$DY249,PRODUCE!$EB$38:$IY$38)</f>
        <v>0</v>
      </c>
      <c r="JZ246" s="56"/>
      <c r="KA246" s="242">
        <f t="shared" si="1589"/>
        <v>0</v>
      </c>
      <c r="KB246" s="242">
        <f t="shared" si="1590"/>
        <v>2540</v>
      </c>
      <c r="KC246" s="56"/>
      <c r="KF246" s="55">
        <f t="shared" si="1591"/>
        <v>46232</v>
      </c>
      <c r="KG246" s="56"/>
      <c r="KH246" s="242">
        <f>SUMPRODUCT(PRODUCE!$B249:$DY249,PRODUCE!$EB$39:$IY$39)</f>
        <v>0</v>
      </c>
      <c r="KI246" s="56"/>
      <c r="KJ246" s="242">
        <f t="shared" si="1592"/>
        <v>0</v>
      </c>
      <c r="KK246" s="242">
        <f t="shared" si="1593"/>
        <v>2359.5</v>
      </c>
      <c r="KL246" s="56"/>
      <c r="KO246" s="55">
        <f t="shared" si="1594"/>
        <v>46232</v>
      </c>
      <c r="KP246" s="56"/>
      <c r="KQ246" s="242">
        <f>SUMPRODUCT(PRODUCE!$B249:$DY249,PRODUCE!$EB$40:$IY$40)</f>
        <v>0</v>
      </c>
      <c r="KR246" s="56"/>
      <c r="KS246" s="242">
        <f t="shared" si="1595"/>
        <v>0</v>
      </c>
      <c r="KT246" s="242">
        <f t="shared" si="1596"/>
        <v>1890</v>
      </c>
      <c r="KU246" s="56"/>
      <c r="KW246" s="23"/>
      <c r="KX246" s="55">
        <f t="shared" si="1597"/>
        <v>46232</v>
      </c>
      <c r="KY246" s="56"/>
      <c r="KZ246" s="242">
        <f>SUMPRODUCT(PRODUCE!$B249:$DY249,PRODUCE!$EB$41:$IY$41)</f>
        <v>0</v>
      </c>
      <c r="LA246" s="56"/>
      <c r="LB246" s="242">
        <f t="shared" si="1598"/>
        <v>0</v>
      </c>
      <c r="LC246" s="242">
        <f t="shared" si="1599"/>
        <v>3690</v>
      </c>
      <c r="LD246" s="56"/>
      <c r="LG246" s="55">
        <f t="shared" si="1600"/>
        <v>46232</v>
      </c>
      <c r="LH246" s="56"/>
      <c r="LI246" s="242">
        <f>SUMPRODUCT(PRODUCE!$B249:$DY249,PRODUCE!$EB$42:$IY$42)</f>
        <v>0</v>
      </c>
      <c r="LJ246" s="56"/>
      <c r="LK246" s="242">
        <f t="shared" si="1601"/>
        <v>0</v>
      </c>
      <c r="LL246" s="242">
        <f t="shared" si="1602"/>
        <v>4000</v>
      </c>
      <c r="LM246" s="56"/>
      <c r="LP246" s="55">
        <f t="shared" si="1603"/>
        <v>46232</v>
      </c>
      <c r="LQ246" s="56"/>
      <c r="LR246" s="242">
        <f>SUMPRODUCT(PRODUCE!$B249:$DY249,PRODUCE!$EB$43:$IY$43)</f>
        <v>0</v>
      </c>
      <c r="LS246" s="56"/>
      <c r="LT246" s="242">
        <f t="shared" si="1604"/>
        <v>0</v>
      </c>
      <c r="LU246" s="242">
        <f t="shared" si="1605"/>
        <v>0</v>
      </c>
      <c r="LV246" s="56"/>
      <c r="LY246" s="55">
        <f t="shared" si="1606"/>
        <v>46232</v>
      </c>
      <c r="LZ246" s="56"/>
      <c r="MA246" s="242">
        <f>SUMPRODUCT(PRODUCE!$B249:$DY249,PRODUCE!$EB$44:$IY$44)</f>
        <v>0</v>
      </c>
      <c r="MB246" s="56"/>
      <c r="MC246" s="242">
        <f t="shared" si="1607"/>
        <v>0</v>
      </c>
      <c r="MD246" s="242">
        <f t="shared" si="1608"/>
        <v>0</v>
      </c>
      <c r="ME246" s="56"/>
      <c r="MH246" s="55">
        <f t="shared" si="1609"/>
        <v>46232</v>
      </c>
      <c r="MI246" s="56"/>
      <c r="MJ246" s="242">
        <f>SUMPRODUCT(PRODUCE!$B249:$DY249,PRODUCE!$EB$45:$IY$45)</f>
        <v>0</v>
      </c>
      <c r="MK246" s="56"/>
      <c r="ML246" s="242">
        <f t="shared" si="1610"/>
        <v>0</v>
      </c>
      <c r="MM246" s="242">
        <f t="shared" si="1611"/>
        <v>0</v>
      </c>
      <c r="MN246" s="56"/>
      <c r="MQ246" s="55">
        <f t="shared" si="1612"/>
        <v>46232</v>
      </c>
      <c r="MR246" s="56"/>
      <c r="MS246" s="242">
        <f>SUMPRODUCT(PRODUCE!$B249:$DY249,PRODUCE!$EB$46:$IY$46)</f>
        <v>0</v>
      </c>
      <c r="MT246" s="56"/>
      <c r="MU246" s="242">
        <f t="shared" si="1613"/>
        <v>0</v>
      </c>
      <c r="MV246" s="242">
        <f t="shared" si="1614"/>
        <v>2346</v>
      </c>
      <c r="MW246" s="56"/>
      <c r="MZ246" s="55">
        <f t="shared" si="1615"/>
        <v>46232</v>
      </c>
      <c r="NA246" s="56"/>
      <c r="NB246" s="242">
        <f>SUMPRODUCT(PRODUCE!$B249:$DY249,PRODUCE!$EB$47:$IY$47)</f>
        <v>0</v>
      </c>
      <c r="NC246" s="56"/>
      <c r="ND246" s="242">
        <f t="shared" si="1616"/>
        <v>0</v>
      </c>
      <c r="NE246" s="242">
        <f t="shared" si="1617"/>
        <v>0</v>
      </c>
      <c r="NF246" s="56"/>
      <c r="NI246" s="55">
        <f t="shared" si="1618"/>
        <v>46232</v>
      </c>
      <c r="NJ246" s="56"/>
      <c r="NK246" s="242">
        <f>SUMPRODUCT(PRODUCE!$B249:$DY249,PRODUCE!$EB$48:$IY$48)</f>
        <v>0</v>
      </c>
      <c r="NL246" s="56"/>
      <c r="NM246" s="242">
        <f t="shared" si="1619"/>
        <v>0</v>
      </c>
      <c r="NN246" s="242">
        <f t="shared" si="1620"/>
        <v>1127</v>
      </c>
      <c r="NO246" s="56"/>
      <c r="NR246" s="55">
        <f t="shared" si="1621"/>
        <v>46232</v>
      </c>
      <c r="NS246" s="56"/>
      <c r="NT246" s="242">
        <f>SUMPRODUCT(PRODUCE!$B249:$DY249,PRODUCE!$EB$49:$IY$49)</f>
        <v>0</v>
      </c>
      <c r="NU246" s="56"/>
      <c r="NV246" s="242">
        <f t="shared" si="1622"/>
        <v>0</v>
      </c>
      <c r="NW246" s="242">
        <f t="shared" si="1623"/>
        <v>3111.9999999999995</v>
      </c>
      <c r="NX246" s="56"/>
      <c r="OA246" s="55">
        <f t="shared" si="1624"/>
        <v>46232</v>
      </c>
      <c r="OB246" s="56"/>
      <c r="OC246" s="242">
        <f>SUMPRODUCT(PRODUCE!$B249:$DY249,PRODUCE!$EB$50:$IY$50)</f>
        <v>0</v>
      </c>
      <c r="OD246" s="56"/>
      <c r="OE246" s="242">
        <f t="shared" si="1625"/>
        <v>0</v>
      </c>
      <c r="OF246" s="242">
        <f t="shared" si="1626"/>
        <v>1680.5</v>
      </c>
      <c r="OG246" s="56"/>
      <c r="OJ246" s="55">
        <f t="shared" si="1627"/>
        <v>46232</v>
      </c>
      <c r="OK246" s="56"/>
      <c r="OL246" s="242">
        <f>SUMPRODUCT(PRODUCE!$B249:$DY249,PRODUCE!$EB$51:$IY$51)</f>
        <v>0</v>
      </c>
      <c r="OM246" s="56"/>
      <c r="ON246" s="242">
        <f t="shared" si="1628"/>
        <v>0</v>
      </c>
      <c r="OO246" s="242">
        <f t="shared" si="1629"/>
        <v>0</v>
      </c>
      <c r="OP246" s="56"/>
      <c r="OS246" s="55">
        <f t="shared" si="1630"/>
        <v>46232</v>
      </c>
      <c r="OT246" s="56"/>
      <c r="OU246" s="242">
        <f>SUMPRODUCT(PRODUCE!$B249:$DY249,PRODUCE!$EB$52:$IY$52)</f>
        <v>0</v>
      </c>
      <c r="OV246" s="56"/>
      <c r="OW246" s="242">
        <f t="shared" si="1631"/>
        <v>0</v>
      </c>
      <c r="OX246" s="242">
        <f t="shared" si="1632"/>
        <v>1482</v>
      </c>
      <c r="OY246" s="56"/>
      <c r="PB246" s="55">
        <f t="shared" si="1633"/>
        <v>46232</v>
      </c>
      <c r="PC246" s="56"/>
      <c r="PD246" s="242">
        <f>SUMPRODUCT(PRODUCE!$B249:$DY249,PRODUCE!$EB$53:$IY$53)</f>
        <v>0</v>
      </c>
      <c r="PE246" s="56"/>
      <c r="PF246" s="242">
        <f t="shared" si="1634"/>
        <v>0</v>
      </c>
      <c r="PG246" s="242">
        <f t="shared" si="1635"/>
        <v>0</v>
      </c>
      <c r="PH246" s="56"/>
      <c r="PK246" s="55">
        <f t="shared" si="1636"/>
        <v>46232</v>
      </c>
      <c r="PL246" s="56"/>
      <c r="PM246" s="242">
        <f>SUMPRODUCT(PRODUCE!$B249:$DY249,PRODUCE!$EB$54:$IY$54)</f>
        <v>0</v>
      </c>
      <c r="PN246" s="56"/>
      <c r="PO246" s="242">
        <f t="shared" si="1637"/>
        <v>0</v>
      </c>
      <c r="PP246" s="242">
        <f t="shared" si="1638"/>
        <v>100</v>
      </c>
      <c r="PQ246" s="56"/>
      <c r="PT246" s="55">
        <f t="shared" si="1639"/>
        <v>46232</v>
      </c>
      <c r="PU246" s="56"/>
      <c r="PV246" s="242">
        <f>SUMPRODUCT(PRODUCE!$B249:$DY249,PRODUCE!$EB$55:$IY$55)</f>
        <v>0</v>
      </c>
      <c r="PW246" s="56"/>
      <c r="PX246" s="242">
        <f t="shared" si="1640"/>
        <v>0</v>
      </c>
      <c r="PY246" s="242">
        <f t="shared" si="1641"/>
        <v>13.960000000000036</v>
      </c>
      <c r="PZ246" s="56"/>
      <c r="QC246" s="55">
        <f t="shared" si="1642"/>
        <v>46232</v>
      </c>
      <c r="QD246" s="56">
        <f>121*4</f>
        <v>484</v>
      </c>
      <c r="QE246" s="242">
        <f>SUMPRODUCT(PRODUCE!$B249:$DY249,PRODUCE!$EB$56:$IY$56)</f>
        <v>0</v>
      </c>
      <c r="QF246" s="56"/>
      <c r="QG246" s="242">
        <f t="shared" si="1643"/>
        <v>0</v>
      </c>
      <c r="QH246" s="242">
        <f t="shared" si="1644"/>
        <v>1604</v>
      </c>
      <c r="QI246" s="56"/>
      <c r="QL246" s="55">
        <f t="shared" si="1645"/>
        <v>46232</v>
      </c>
      <c r="QM246" s="56"/>
      <c r="QN246" s="242">
        <f>SUMPRODUCT(PRODUCE!$B249:$DY249,PRODUCE!$EB$57:$IY$57)</f>
        <v>0</v>
      </c>
      <c r="QO246" s="56"/>
      <c r="QP246" s="242">
        <f t="shared" si="1646"/>
        <v>0</v>
      </c>
      <c r="QQ246" s="242">
        <f t="shared" si="1647"/>
        <v>0</v>
      </c>
      <c r="QR246" s="56"/>
      <c r="QU246" s="55">
        <f t="shared" si="1648"/>
        <v>46232</v>
      </c>
      <c r="QV246" s="56"/>
      <c r="QW246" s="242">
        <f>SUMPRODUCT(PRODUCE!$B249:$DY249,PRODUCE!$EB$58:$IY$58)</f>
        <v>0</v>
      </c>
      <c r="QX246" s="56"/>
      <c r="QY246" s="242">
        <f t="shared" si="1649"/>
        <v>0</v>
      </c>
      <c r="QZ246" s="242">
        <f t="shared" si="1650"/>
        <v>207.6</v>
      </c>
      <c r="RA246" s="56"/>
      <c r="RD246" s="55">
        <f t="shared" si="1651"/>
        <v>46232</v>
      </c>
      <c r="RE246" s="56"/>
      <c r="RF246" s="242">
        <f>SUMPRODUCT(PRODUCE!$B249:$DY249,PRODUCE!$EB$59:$IY$59)</f>
        <v>0</v>
      </c>
      <c r="RG246" s="56"/>
      <c r="RH246" s="242">
        <f t="shared" si="1652"/>
        <v>0</v>
      </c>
      <c r="RI246" s="242">
        <f t="shared" si="1653"/>
        <v>147.04000000000002</v>
      </c>
      <c r="RJ246" s="56"/>
      <c r="RM246" s="55">
        <f t="shared" si="1654"/>
        <v>46232</v>
      </c>
      <c r="RN246" s="56"/>
      <c r="RO246" s="242">
        <f>SUMPRODUCT(PRODUCE!$B249:$DY249,PRODUCE!$EB$60:$IY$60)</f>
        <v>0</v>
      </c>
      <c r="RP246" s="56"/>
      <c r="RQ246" s="242">
        <f t="shared" si="1655"/>
        <v>0</v>
      </c>
      <c r="RR246" s="242">
        <f t="shared" si="1656"/>
        <v>46.8</v>
      </c>
      <c r="RS246" s="56"/>
      <c r="RV246" s="55">
        <f t="shared" si="1657"/>
        <v>46232</v>
      </c>
      <c r="RW246" s="56"/>
      <c r="RX246" s="242">
        <f>SUMPRODUCT(PRODUCE!$B249:$DY249,PRODUCE!$EB$61:$IY$61)</f>
        <v>0</v>
      </c>
      <c r="RY246" s="56"/>
      <c r="RZ246" s="242">
        <f t="shared" si="1658"/>
        <v>0</v>
      </c>
      <c r="SA246" s="242">
        <f t="shared" si="1659"/>
        <v>0</v>
      </c>
      <c r="SB246" s="56"/>
      <c r="SE246" s="55">
        <f t="shared" si="1660"/>
        <v>46232</v>
      </c>
      <c r="SF246" s="56"/>
      <c r="SG246" s="242">
        <f>SUMPRODUCT(PRODUCE!$B249:$DY249,PRODUCE!$EB$62:$IY$62)</f>
        <v>0</v>
      </c>
      <c r="SH246" s="56"/>
      <c r="SI246" s="242">
        <f t="shared" si="1661"/>
        <v>0</v>
      </c>
      <c r="SJ246" s="242">
        <f t="shared" si="1662"/>
        <v>24.200000000000003</v>
      </c>
      <c r="SK246" s="56"/>
      <c r="SN246" s="55">
        <f t="shared" si="1663"/>
        <v>46232</v>
      </c>
      <c r="SO246" s="56"/>
      <c r="SP246" s="242">
        <f>SUMPRODUCT(PRODUCE!$B249:$DY249,PRODUCE!$EB$63:$IY$63)</f>
        <v>0</v>
      </c>
      <c r="SQ246" s="56"/>
      <c r="SR246" s="242">
        <f t="shared" si="1664"/>
        <v>0</v>
      </c>
      <c r="SS246" s="242">
        <f t="shared" si="1665"/>
        <v>32</v>
      </c>
      <c r="ST246" s="56"/>
      <c r="SW246" s="55">
        <f t="shared" si="1666"/>
        <v>46232</v>
      </c>
      <c r="SX246" s="56"/>
      <c r="SY246" s="242">
        <f>SUMPRODUCT(PRODUCE!$B249:$DY249,PRODUCE!$EB$64:$IY$64)</f>
        <v>0</v>
      </c>
      <c r="SZ246" s="56"/>
      <c r="TA246" s="242">
        <f t="shared" si="1667"/>
        <v>0</v>
      </c>
      <c r="TB246" s="242">
        <f t="shared" si="1668"/>
        <v>0</v>
      </c>
      <c r="TC246" s="56"/>
      <c r="TF246" s="55">
        <f t="shared" si="1669"/>
        <v>46232</v>
      </c>
      <c r="TG246" s="56"/>
      <c r="TH246" s="242">
        <f>SUMPRODUCT(PRODUCE!$B249:$DY249,PRODUCE!$EB$57:$IY$57)</f>
        <v>0</v>
      </c>
      <c r="TI246" s="56"/>
      <c r="TJ246" s="242">
        <f t="shared" si="1670"/>
        <v>0</v>
      </c>
      <c r="TK246" s="242">
        <f t="shared" si="1671"/>
        <v>0</v>
      </c>
      <c r="TL246" s="56"/>
      <c r="TO246" s="55">
        <f t="shared" si="1672"/>
        <v>46232</v>
      </c>
      <c r="TP246" s="56"/>
      <c r="TQ246" s="242">
        <f>SUMPRODUCT(PRODUCE!$B249:$DY249,PRODUCE!$EB$57:$IY$57)</f>
        <v>0</v>
      </c>
      <c r="TR246" s="56"/>
      <c r="TS246" s="242">
        <f t="shared" si="1673"/>
        <v>0</v>
      </c>
      <c r="TT246" s="242">
        <f t="shared" si="1674"/>
        <v>10.400000000000006</v>
      </c>
      <c r="TU246" s="56"/>
      <c r="TX246" s="55">
        <f t="shared" si="1675"/>
        <v>46232</v>
      </c>
      <c r="TY246" s="56"/>
      <c r="TZ246" s="242">
        <f>SUMPRODUCT(PRODUCE!$B249:$DY249,PRODUCE!$EB$57:$IY$57)</f>
        <v>0</v>
      </c>
      <c r="UA246" s="56"/>
      <c r="UB246" s="242">
        <f t="shared" si="1676"/>
        <v>0</v>
      </c>
      <c r="UC246" s="242">
        <f t="shared" si="1677"/>
        <v>46.799999999999983</v>
      </c>
      <c r="UD246" s="56"/>
      <c r="UG246" s="55">
        <f t="shared" si="1678"/>
        <v>46232</v>
      </c>
      <c r="UH246" s="56"/>
      <c r="UI246" s="242">
        <f>SUMPRODUCT(PRODUCE!$B249:$DY249,PRODUCE!$EB$57:$IY$57)</f>
        <v>0</v>
      </c>
      <c r="UJ246" s="56"/>
      <c r="UK246" s="242">
        <f t="shared" si="1679"/>
        <v>0</v>
      </c>
      <c r="UL246" s="242">
        <f t="shared" si="1680"/>
        <v>204</v>
      </c>
      <c r="UM246" s="56"/>
      <c r="UP246" s="55">
        <f t="shared" si="1681"/>
        <v>46232</v>
      </c>
      <c r="UQ246" s="56"/>
      <c r="UR246" s="242">
        <f>SUMPRODUCT(PRODUCE!$B249:$DY249,PRODUCE!$EB$69:$IY$69)</f>
        <v>0</v>
      </c>
      <c r="US246" s="56"/>
      <c r="UT246" s="242">
        <f t="shared" si="1682"/>
        <v>0</v>
      </c>
      <c r="UU246" s="242">
        <f t="shared" si="1683"/>
        <v>202.5</v>
      </c>
      <c r="UV246" s="56"/>
      <c r="UY246" s="55">
        <f t="shared" si="1684"/>
        <v>46232</v>
      </c>
      <c r="UZ246" s="56"/>
      <c r="VA246" s="242">
        <f>SUMPRODUCT(PRODUCE!$B249:$DY249,PRODUCE!$EB$70:$IY$70)</f>
        <v>0</v>
      </c>
      <c r="VB246" s="56"/>
      <c r="VC246" s="242">
        <f t="shared" si="1685"/>
        <v>0</v>
      </c>
      <c r="VD246" s="242">
        <f t="shared" si="1686"/>
        <v>41.600000000000023</v>
      </c>
      <c r="VE246" s="56"/>
      <c r="VH246" s="55">
        <f t="shared" si="1687"/>
        <v>46232</v>
      </c>
      <c r="VI246" s="56"/>
      <c r="VJ246" s="242">
        <f>SUMPRODUCT(PRODUCE!$B249:$DY249,PRODUCE!$EB$71:$IY$71)</f>
        <v>0</v>
      </c>
      <c r="VK246" s="56"/>
      <c r="VL246" s="242">
        <f t="shared" si="1688"/>
        <v>0</v>
      </c>
      <c r="VM246" s="242">
        <f t="shared" si="1689"/>
        <v>210</v>
      </c>
      <c r="VN246" s="56"/>
      <c r="VQ246" s="55">
        <f t="shared" si="1690"/>
        <v>46232</v>
      </c>
      <c r="VR246" s="56"/>
      <c r="VS246" s="242">
        <f>SUMPRODUCT(PRODUCE!$B249:$DY249,PRODUCE!$EB$57:$IY$57)</f>
        <v>0</v>
      </c>
      <c r="VT246" s="56"/>
      <c r="VU246" s="242">
        <f t="shared" si="1691"/>
        <v>0</v>
      </c>
      <c r="VV246" s="242">
        <f t="shared" si="1692"/>
        <v>0</v>
      </c>
      <c r="VW246" s="56"/>
      <c r="VZ246" s="55">
        <f t="shared" si="1693"/>
        <v>46232</v>
      </c>
      <c r="WA246" s="56"/>
      <c r="WB246" s="242">
        <f>SUMPRODUCT(PRODUCE!$B249:$DY249,PRODUCE!$EB$57:$IY$57)</f>
        <v>0</v>
      </c>
      <c r="WC246" s="56"/>
      <c r="WD246" s="242">
        <f t="shared" si="1694"/>
        <v>0</v>
      </c>
      <c r="WE246" s="242">
        <f t="shared" si="1695"/>
        <v>0</v>
      </c>
      <c r="WF246" s="56"/>
      <c r="WI246" s="55">
        <f t="shared" si="1696"/>
        <v>46232</v>
      </c>
      <c r="WJ246" s="56"/>
      <c r="WK246" s="242">
        <f>SUMPRODUCT(PRODUCE!$B249:$DY249,PRODUCE!$EB$57:$IY$57)</f>
        <v>0</v>
      </c>
      <c r="WL246" s="56"/>
      <c r="WM246" s="242">
        <f t="shared" si="1697"/>
        <v>0</v>
      </c>
      <c r="WN246" s="242">
        <f t="shared" si="1698"/>
        <v>1057</v>
      </c>
      <c r="WO246" s="56"/>
      <c r="WR246" s="55">
        <f t="shared" si="1699"/>
        <v>46232</v>
      </c>
      <c r="WS246" s="56"/>
      <c r="WT246" s="242">
        <f>SUMPRODUCT(PRODUCE!$B249:$DY249,PRODUCE!$EB$57:$IY$57)</f>
        <v>0</v>
      </c>
      <c r="WU246" s="56"/>
      <c r="WV246" s="242">
        <f t="shared" si="1700"/>
        <v>0</v>
      </c>
      <c r="WW246" s="242">
        <f t="shared" si="1701"/>
        <v>0</v>
      </c>
      <c r="WX246" s="56"/>
      <c r="XA246" s="55">
        <f t="shared" si="1702"/>
        <v>46232</v>
      </c>
      <c r="XB246" s="56"/>
      <c r="XC246" s="242">
        <f>SUMPRODUCT(PRODUCE!$B249:$DY249,PRODUCE!$EB$57:$IY$57)</f>
        <v>0</v>
      </c>
      <c r="XD246" s="56"/>
      <c r="XE246" s="242">
        <f t="shared" si="1703"/>
        <v>0</v>
      </c>
      <c r="XF246" s="242">
        <f t="shared" si="1704"/>
        <v>7507</v>
      </c>
      <c r="XG246" s="56"/>
      <c r="XJ246" s="55">
        <f t="shared" si="1705"/>
        <v>46232</v>
      </c>
      <c r="XK246" s="56"/>
      <c r="XL246" s="242">
        <f>SUMPRODUCT(PRODUCE!$B249:$DY249,PRODUCE!$EB$57:$IY$57)</f>
        <v>0</v>
      </c>
      <c r="XM246" s="56"/>
      <c r="XN246" s="242">
        <f t="shared" si="1706"/>
        <v>0</v>
      </c>
      <c r="XO246" s="242">
        <f t="shared" si="1707"/>
        <v>4252</v>
      </c>
      <c r="XP246" s="56"/>
      <c r="XS246" s="55">
        <f t="shared" si="1708"/>
        <v>46232</v>
      </c>
      <c r="XT246" s="56"/>
      <c r="XU246" s="242">
        <f>SUMPRODUCT(PRODUCE!$B249:$DY249,PRODUCE!$EB$57:$IY$57)</f>
        <v>0</v>
      </c>
      <c r="XV246" s="56"/>
      <c r="XW246" s="242">
        <f t="shared" si="1709"/>
        <v>0</v>
      </c>
      <c r="XX246" s="242">
        <f t="shared" si="1710"/>
        <v>2179</v>
      </c>
      <c r="XY246" s="56"/>
      <c r="YB246" s="55">
        <f t="shared" si="1711"/>
        <v>46232</v>
      </c>
      <c r="YC246" s="56"/>
      <c r="YD246" s="242">
        <f>SUMPRODUCT(PRODUCE!$B249:$DY249,PRODUCE!$EB$57:$IY$57)</f>
        <v>0</v>
      </c>
      <c r="YE246" s="56"/>
      <c r="YF246" s="242">
        <f t="shared" si="1712"/>
        <v>0</v>
      </c>
      <c r="YG246" s="242">
        <f t="shared" si="1713"/>
        <v>4019</v>
      </c>
      <c r="YH246" s="56"/>
      <c r="YK246" s="55">
        <f t="shared" si="1714"/>
        <v>46232</v>
      </c>
      <c r="YL246" s="56"/>
      <c r="YM246" s="242">
        <f>SUMPRODUCT(PRODUCE!$B249:$DY249,PRODUCE!$EB$57:$IY$57)</f>
        <v>0</v>
      </c>
      <c r="YN246" s="56"/>
      <c r="YO246" s="242">
        <f t="shared" si="1715"/>
        <v>0</v>
      </c>
      <c r="YP246" s="242">
        <f t="shared" si="1716"/>
        <v>0</v>
      </c>
      <c r="YQ246" s="56"/>
      <c r="YT246" s="55">
        <f t="shared" si="1717"/>
        <v>46232</v>
      </c>
      <c r="YU246" s="56"/>
      <c r="YV246" s="242">
        <f>SUMPRODUCT(PRODUCE!$B249:$DY249,PRODUCE!$EB$57:$IY$57)</f>
        <v>0</v>
      </c>
      <c r="YW246" s="56"/>
      <c r="YX246" s="242">
        <f t="shared" si="1718"/>
        <v>0</v>
      </c>
      <c r="YY246" s="242">
        <f t="shared" si="1719"/>
        <v>0</v>
      </c>
      <c r="YZ246" s="56"/>
      <c r="ZC246" s="55">
        <f t="shared" si="1720"/>
        <v>46232</v>
      </c>
      <c r="ZD246" s="56"/>
      <c r="ZE246" s="242">
        <f>SUMPRODUCT(PRODUCE!$B249:$DY249,PRODUCE!$EB$57:$IY$57)</f>
        <v>0</v>
      </c>
      <c r="ZF246" s="56"/>
      <c r="ZG246" s="242">
        <f t="shared" si="1721"/>
        <v>0</v>
      </c>
      <c r="ZH246" s="242">
        <f t="shared" si="1722"/>
        <v>0</v>
      </c>
      <c r="ZI246" s="56"/>
      <c r="ZL246" s="55">
        <f t="shared" si="1723"/>
        <v>46232</v>
      </c>
      <c r="ZM246" s="56"/>
      <c r="ZN246" s="242">
        <f>SUMPRODUCT(PRODUCE!$B249:$DY249,PRODUCE!$EB$57:$IY$57)</f>
        <v>0</v>
      </c>
      <c r="ZO246" s="56"/>
      <c r="ZP246" s="242">
        <f t="shared" si="1724"/>
        <v>0</v>
      </c>
      <c r="ZQ246" s="242">
        <f t="shared" si="1725"/>
        <v>0</v>
      </c>
      <c r="ZR246" s="56"/>
      <c r="ZU246" s="55">
        <f t="shared" si="1726"/>
        <v>46232</v>
      </c>
      <c r="ZV246" s="56"/>
      <c r="ZW246" s="242">
        <f>SUMPRODUCT(PRODUCE!$B249:$DY249,PRODUCE!$EB$57:$IY$57)</f>
        <v>0</v>
      </c>
      <c r="ZX246" s="56"/>
      <c r="ZY246" s="242">
        <f t="shared" si="1727"/>
        <v>0</v>
      </c>
      <c r="ZZ246" s="242">
        <f t="shared" si="1728"/>
        <v>0</v>
      </c>
      <c r="AAA246" s="56"/>
      <c r="AAD246" s="55">
        <f t="shared" si="1729"/>
        <v>46232</v>
      </c>
      <c r="AAE246" s="56"/>
      <c r="AAF246" s="242">
        <f>SUMPRODUCT(PRODUCE!$B249:$DY249,PRODUCE!$EB$57:$IY$57)</f>
        <v>0</v>
      </c>
      <c r="AAG246" s="56"/>
      <c r="AAH246" s="242">
        <f t="shared" si="1730"/>
        <v>0</v>
      </c>
      <c r="AAI246" s="242">
        <f t="shared" si="1731"/>
        <v>0</v>
      </c>
      <c r="AAJ246" s="56"/>
      <c r="AAM246" s="55">
        <f t="shared" si="1732"/>
        <v>46232</v>
      </c>
      <c r="AAN246" s="56"/>
      <c r="AAO246" s="242">
        <f>SUMPRODUCT(PRODUCE!$B249:$DY249,PRODUCE!$EB$57:$IY$57)</f>
        <v>0</v>
      </c>
      <c r="AAP246" s="56"/>
      <c r="AAQ246" s="242">
        <f t="shared" si="1733"/>
        <v>0</v>
      </c>
      <c r="AAR246" s="242">
        <f t="shared" si="1734"/>
        <v>0</v>
      </c>
      <c r="AAS246" s="56"/>
      <c r="AAV246" s="55">
        <f t="shared" si="1735"/>
        <v>46232</v>
      </c>
      <c r="AAW246" s="56"/>
      <c r="AAX246" s="242">
        <f>SUMPRODUCT(PRODUCE!$B249:$DY249,PRODUCE!$EB$57:$IY$57)</f>
        <v>0</v>
      </c>
      <c r="AAY246" s="56"/>
      <c r="AAZ246" s="242">
        <f t="shared" si="1736"/>
        <v>0</v>
      </c>
      <c r="ABA246" s="242">
        <f t="shared" si="1737"/>
        <v>0</v>
      </c>
      <c r="ABB246" s="56"/>
      <c r="ABE246" s="55">
        <f t="shared" si="1738"/>
        <v>46232</v>
      </c>
      <c r="ABF246" s="56"/>
      <c r="ABG246" s="242">
        <f>SUMPRODUCT(PRODUCE!$B249:$DY249,PRODUCE!$EB$57:$IY$57)</f>
        <v>0</v>
      </c>
      <c r="ABH246" s="56"/>
      <c r="ABI246" s="242">
        <f t="shared" si="1739"/>
        <v>0</v>
      </c>
      <c r="ABJ246" s="242">
        <f t="shared" si="1740"/>
        <v>0</v>
      </c>
      <c r="ABK246" s="56"/>
    </row>
    <row r="247" spans="1:739" s="54" customFormat="1" ht="15" customHeight="1" outlineLevel="1">
      <c r="B247" s="478"/>
      <c r="C247" s="55">
        <v>46233</v>
      </c>
      <c r="D247" s="422">
        <v>37250</v>
      </c>
      <c r="E247" s="423">
        <f>SUMPRODUCT(PRODUCE!$B250:$DY250,PRODUCE!$EB$7:$IY$7)</f>
        <v>0</v>
      </c>
      <c r="F247" s="422">
        <v>11064.8</v>
      </c>
      <c r="G247" s="423">
        <f t="shared" si="1496"/>
        <v>-11064.8</v>
      </c>
      <c r="H247" s="423">
        <f t="shared" si="1497"/>
        <v>237301.2</v>
      </c>
      <c r="I247" s="289"/>
      <c r="L247" s="55">
        <f t="shared" si="1498"/>
        <v>46233</v>
      </c>
      <c r="M247" s="422">
        <v>25300</v>
      </c>
      <c r="N247" s="438">
        <f>SUMPRODUCT(PRODUCE!$B250:$DY250,PRODUCE!$EB$8:$IY$8)</f>
        <v>0</v>
      </c>
      <c r="O247" s="422">
        <v>6343.6</v>
      </c>
      <c r="P247" s="438">
        <f t="shared" si="1499"/>
        <v>-6343.6</v>
      </c>
      <c r="Q247" s="438">
        <f t="shared" si="1500"/>
        <v>32659.000000000073</v>
      </c>
      <c r="R247" s="56"/>
      <c r="U247" s="55">
        <f t="shared" si="1501"/>
        <v>46233</v>
      </c>
      <c r="V247" s="422">
        <v>20050</v>
      </c>
      <c r="W247" s="440">
        <f>SUMPRODUCT(PRODUCE!$B250:$DY250,PRODUCE!$EB$9:$IY$9)</f>
        <v>0</v>
      </c>
      <c r="X247" s="422">
        <v>999.5</v>
      </c>
      <c r="Y247" s="440">
        <f t="shared" si="1502"/>
        <v>-999.5</v>
      </c>
      <c r="Z247" s="440">
        <f t="shared" si="1503"/>
        <v>46975.599999999969</v>
      </c>
      <c r="AA247" s="56"/>
      <c r="AD247" s="55">
        <f t="shared" si="1504"/>
        <v>46233</v>
      </c>
      <c r="AE247" s="422"/>
      <c r="AF247" s="442">
        <f>SUMPRODUCT(PRODUCE!$B250:$DY250,PRODUCE!$EB$10:$IY$10)</f>
        <v>0</v>
      </c>
      <c r="AG247" s="422"/>
      <c r="AH247" s="442">
        <f t="shared" si="1505"/>
        <v>0</v>
      </c>
      <c r="AI247" s="442">
        <f t="shared" si="1506"/>
        <v>4522.2000000000189</v>
      </c>
      <c r="AJ247" s="56"/>
      <c r="AM247" s="55">
        <f t="shared" si="1507"/>
        <v>46233</v>
      </c>
      <c r="AN247" s="422"/>
      <c r="AO247" s="444">
        <f>SUMPRODUCT(PRODUCE!$B250:$DY250,PRODUCE!$EB$11:$IY$11)</f>
        <v>0</v>
      </c>
      <c r="AP247" s="422"/>
      <c r="AQ247" s="444">
        <f t="shared" si="1508"/>
        <v>0</v>
      </c>
      <c r="AR247" s="444">
        <f t="shared" si="1509"/>
        <v>0</v>
      </c>
      <c r="AS247" s="56"/>
      <c r="AV247" s="55">
        <f t="shared" si="1510"/>
        <v>46233</v>
      </c>
      <c r="AW247" s="422"/>
      <c r="AX247" s="446">
        <f>SUMPRODUCT(PRODUCE!$B250:$DY250,PRODUCE!$EB$12:$IY$12)</f>
        <v>0</v>
      </c>
      <c r="AY247" s="422"/>
      <c r="AZ247" s="446">
        <f t="shared" si="1511"/>
        <v>0</v>
      </c>
      <c r="BA247" s="446">
        <f t="shared" si="1512"/>
        <v>124.99999999999523</v>
      </c>
      <c r="BB247" s="56"/>
      <c r="BE247" s="55">
        <f t="shared" si="1513"/>
        <v>46233</v>
      </c>
      <c r="BF247" s="422"/>
      <c r="BG247" s="448">
        <f>SUMPRODUCT(PRODUCE!$B250:$DY250,PRODUCE!$EB$13:$IY$13)</f>
        <v>0</v>
      </c>
      <c r="BH247" s="422">
        <v>390.5</v>
      </c>
      <c r="BI247" s="448">
        <f t="shared" si="1514"/>
        <v>-390.5</v>
      </c>
      <c r="BJ247" s="448">
        <f t="shared" si="1515"/>
        <v>27246.199999999997</v>
      </c>
      <c r="BK247" s="56"/>
      <c r="BN247" s="55">
        <f t="shared" si="1516"/>
        <v>46233</v>
      </c>
      <c r="BO247" s="422">
        <v>470</v>
      </c>
      <c r="BP247" s="450">
        <f>SUMPRODUCT(PRODUCE!$B250:$DY250,PRODUCE!$EB$14:$IY$14)</f>
        <v>0</v>
      </c>
      <c r="BQ247" s="422">
        <v>470</v>
      </c>
      <c r="BR247" s="450">
        <f t="shared" si="1517"/>
        <v>-470</v>
      </c>
      <c r="BS247" s="450">
        <f t="shared" si="1518"/>
        <v>0</v>
      </c>
      <c r="BT247" s="56"/>
      <c r="BW247" s="55">
        <f t="shared" si="1519"/>
        <v>46233</v>
      </c>
      <c r="BX247" s="422"/>
      <c r="BY247" s="523">
        <f>SUMPRODUCT(PRODUCE!$B250:$DY250,PRODUCE!$EB$15:$IY$15)</f>
        <v>0</v>
      </c>
      <c r="BZ247" s="422"/>
      <c r="CA247" s="523">
        <f t="shared" si="1520"/>
        <v>0</v>
      </c>
      <c r="CB247" s="523">
        <f t="shared" si="1521"/>
        <v>3822.8499999999985</v>
      </c>
      <c r="CC247" s="56"/>
      <c r="CF247" s="55">
        <f t="shared" si="1522"/>
        <v>46233</v>
      </c>
      <c r="CG247" s="422"/>
      <c r="CH247" s="524">
        <f>SUMPRODUCT(PRODUCE!$B250:$DY250,PRODUCE!$EB$16:$IY$16)</f>
        <v>0</v>
      </c>
      <c r="CI247" s="422"/>
      <c r="CJ247" s="524">
        <f t="shared" si="1523"/>
        <v>0</v>
      </c>
      <c r="CK247" s="524">
        <f t="shared" si="1524"/>
        <v>-9191.2599999999984</v>
      </c>
      <c r="CL247" s="56"/>
      <c r="CO247" s="55">
        <f t="shared" si="1525"/>
        <v>46233</v>
      </c>
      <c r="CP247" s="422"/>
      <c r="CQ247" s="470">
        <f>SUMPRODUCT(PRODUCE!$B250:$DY250,PRODUCE!$EB$17:$IY$17)</f>
        <v>0</v>
      </c>
      <c r="CR247" s="422"/>
      <c r="CS247" s="470">
        <f t="shared" si="1526"/>
        <v>0</v>
      </c>
      <c r="CT247" s="470">
        <f t="shared" si="1527"/>
        <v>0</v>
      </c>
      <c r="CU247" s="56"/>
      <c r="CX247" s="55">
        <f t="shared" si="1528"/>
        <v>46233</v>
      </c>
      <c r="CY247" s="422"/>
      <c r="CZ247" s="525">
        <f>SUMPRODUCT(PRODUCE!$B250:$DY250,PRODUCE!$EB$18:$IY$18)</f>
        <v>0</v>
      </c>
      <c r="DA247" s="422">
        <v>711.6</v>
      </c>
      <c r="DB247" s="525">
        <f t="shared" si="1529"/>
        <v>-711.6</v>
      </c>
      <c r="DC247" s="525">
        <f t="shared" si="1530"/>
        <v>28038.30000000001</v>
      </c>
      <c r="DD247" s="56"/>
      <c r="DG247" s="55">
        <f t="shared" si="1531"/>
        <v>46233</v>
      </c>
      <c r="DH247" s="422"/>
      <c r="DI247" s="526">
        <f>SUMPRODUCT(PRODUCE!$B250:$DY250,PRODUCE!$EB$19:$IY$19)</f>
        <v>0</v>
      </c>
      <c r="DJ247" s="422"/>
      <c r="DK247" s="526">
        <f t="shared" si="1532"/>
        <v>0</v>
      </c>
      <c r="DL247" s="526">
        <f t="shared" si="1533"/>
        <v>18782.299999999981</v>
      </c>
      <c r="DM247" s="56"/>
      <c r="DP247" s="55">
        <f t="shared" si="1534"/>
        <v>46233</v>
      </c>
      <c r="DQ247" s="56"/>
      <c r="DR247" s="57">
        <f>SUMPRODUCT(PRODUCE!$B250:$DY250,PRODUCE!$EB$20:$IY$20)</f>
        <v>0</v>
      </c>
      <c r="DS247" s="56"/>
      <c r="DT247" s="57">
        <f t="shared" si="1535"/>
        <v>0</v>
      </c>
      <c r="DU247" s="57">
        <f t="shared" si="1536"/>
        <v>5800</v>
      </c>
      <c r="DV247" s="56"/>
      <c r="DY247" s="55">
        <f t="shared" si="1537"/>
        <v>46233</v>
      </c>
      <c r="DZ247" s="56"/>
      <c r="EA247" s="157">
        <f>SUMPRODUCT(PRODUCE!$B250:$DY250,PRODUCE!$EB$21:$IY$21)</f>
        <v>0</v>
      </c>
      <c r="EB247" s="56"/>
      <c r="EC247" s="157">
        <f t="shared" si="1538"/>
        <v>0</v>
      </c>
      <c r="ED247" s="157">
        <f t="shared" si="1539"/>
        <v>0</v>
      </c>
      <c r="EE247" s="56"/>
      <c r="EH247" s="55">
        <f t="shared" si="1540"/>
        <v>46233</v>
      </c>
      <c r="EI247" s="56"/>
      <c r="EJ247" s="162">
        <f>SUMPRODUCT(PRODUCE!$B250:$DY250,PRODUCE!$EB$22:$IY$22)</f>
        <v>0</v>
      </c>
      <c r="EK247" s="56"/>
      <c r="EL247" s="162">
        <f t="shared" si="1541"/>
        <v>0</v>
      </c>
      <c r="EM247" s="162">
        <f t="shared" si="1542"/>
        <v>0</v>
      </c>
      <c r="EN247" s="56"/>
      <c r="EQ247" s="55">
        <f t="shared" si="1543"/>
        <v>46233</v>
      </c>
      <c r="ER247" s="56"/>
      <c r="ES247" s="172">
        <f>SUMPRODUCT(PRODUCE!$B250:$DY250,PRODUCE!$EB$23:$IY$23)</f>
        <v>0</v>
      </c>
      <c r="ET247" s="56"/>
      <c r="EU247" s="135">
        <f t="shared" si="1544"/>
        <v>0</v>
      </c>
      <c r="EV247" s="135">
        <f t="shared" si="1545"/>
        <v>0</v>
      </c>
      <c r="EW247" s="56"/>
      <c r="EZ247" s="55">
        <f t="shared" si="1546"/>
        <v>46233</v>
      </c>
      <c r="FA247" s="56"/>
      <c r="FB247" s="175">
        <f>SUMPRODUCT(PRODUCE!$B250:$DY250,PRODUCE!$EB$24:$IY$24)</f>
        <v>0</v>
      </c>
      <c r="FC247" s="56"/>
      <c r="FD247" s="175">
        <f t="shared" si="1547"/>
        <v>0</v>
      </c>
      <c r="FE247" s="175">
        <f t="shared" si="1548"/>
        <v>0</v>
      </c>
      <c r="FF247" s="56"/>
      <c r="FI247" s="55">
        <f t="shared" si="1549"/>
        <v>46233</v>
      </c>
      <c r="FJ247" s="56"/>
      <c r="FK247" s="183">
        <f>SUMPRODUCT(PRODUCE!$B250:$DY250,PRODUCE!$EB$25:$IY$25)</f>
        <v>0</v>
      </c>
      <c r="FL247" s="56"/>
      <c r="FM247" s="183">
        <f t="shared" si="1550"/>
        <v>0</v>
      </c>
      <c r="FN247" s="183">
        <f t="shared" si="1551"/>
        <v>0</v>
      </c>
      <c r="FO247" s="56"/>
      <c r="FR247" s="55">
        <f t="shared" si="1552"/>
        <v>46233</v>
      </c>
      <c r="FS247" s="56"/>
      <c r="FT247" s="186">
        <f>SUMPRODUCT(PRODUCE!$B250:$DY250,PRODUCE!$EB$26:$IY$26)</f>
        <v>0</v>
      </c>
      <c r="FU247" s="56"/>
      <c r="FV247" s="186">
        <f t="shared" si="1553"/>
        <v>0</v>
      </c>
      <c r="FW247" s="186">
        <f t="shared" si="1554"/>
        <v>540</v>
      </c>
      <c r="FX247" s="56"/>
      <c r="GA247" s="55">
        <f t="shared" si="1555"/>
        <v>46233</v>
      </c>
      <c r="GB247" s="56"/>
      <c r="GC247" s="137">
        <f>SUMPRODUCT(PRODUCE!$B250:$DY250,PRODUCE!$EB$27:$IY$27)</f>
        <v>0</v>
      </c>
      <c r="GD247" s="56"/>
      <c r="GE247" s="137">
        <f t="shared" si="1556"/>
        <v>0</v>
      </c>
      <c r="GF247" s="137">
        <f t="shared" si="1557"/>
        <v>960</v>
      </c>
      <c r="GG247" s="56"/>
      <c r="GI247" s="23"/>
      <c r="GJ247" s="55">
        <f t="shared" si="1558"/>
        <v>46233</v>
      </c>
      <c r="GK247" s="56"/>
      <c r="GL247" s="199">
        <f>SUMPRODUCT(PRODUCE!$B250:$DY250,PRODUCE!$EB$28:$IY$28)</f>
        <v>0</v>
      </c>
      <c r="GM247" s="56"/>
      <c r="GN247" s="199">
        <f t="shared" si="1559"/>
        <v>0</v>
      </c>
      <c r="GO247" s="199">
        <f t="shared" si="1560"/>
        <v>1760</v>
      </c>
      <c r="GP247" s="56"/>
      <c r="GS247" s="55">
        <f t="shared" si="1561"/>
        <v>46233</v>
      </c>
      <c r="GT247" s="56"/>
      <c r="GU247" s="195">
        <f>SUMPRODUCT(PRODUCE!$B250:$DY250,PRODUCE!$EB$29:$IY$29)</f>
        <v>0</v>
      </c>
      <c r="GV247" s="56"/>
      <c r="GW247" s="195">
        <f t="shared" si="1562"/>
        <v>0</v>
      </c>
      <c r="GX247" s="195">
        <f t="shared" si="1563"/>
        <v>400</v>
      </c>
      <c r="GY247" s="56"/>
      <c r="HB247" s="55">
        <f t="shared" si="1564"/>
        <v>46233</v>
      </c>
      <c r="HC247" s="56"/>
      <c r="HD247" s="191">
        <f>SUMPRODUCT(PRODUCE!$B250:$DY250,PRODUCE!$EB$30:$IY$30)</f>
        <v>0</v>
      </c>
      <c r="HE247" s="56"/>
      <c r="HF247" s="191">
        <f t="shared" si="1565"/>
        <v>0</v>
      </c>
      <c r="HG247" s="191">
        <f t="shared" si="1566"/>
        <v>3600</v>
      </c>
      <c r="HH247" s="56"/>
      <c r="HK247" s="55">
        <f t="shared" si="1567"/>
        <v>46233</v>
      </c>
      <c r="HL247" s="56"/>
      <c r="HM247" s="63">
        <f>SUMPRODUCT(PRODUCE!$B250:$DY250,PRODUCE!$EB$31:$IY$31)</f>
        <v>0</v>
      </c>
      <c r="HN247" s="56"/>
      <c r="HO247" s="63">
        <f t="shared" si="1568"/>
        <v>0</v>
      </c>
      <c r="HP247" s="63">
        <f t="shared" si="1569"/>
        <v>0</v>
      </c>
      <c r="HQ247" s="56"/>
      <c r="HU247" s="55">
        <f t="shared" si="1570"/>
        <v>46233</v>
      </c>
      <c r="HV247" s="56"/>
      <c r="HW247" s="242">
        <f>SUMPRODUCT(PRODUCE!$B250:$DY250,PRODUCE!$EB$32:$IY$32)</f>
        <v>0</v>
      </c>
      <c r="HX247" s="56"/>
      <c r="HY247" s="242">
        <f t="shared" si="1571"/>
        <v>0</v>
      </c>
      <c r="HZ247" s="242">
        <f t="shared" si="1572"/>
        <v>5920</v>
      </c>
      <c r="IA247" s="56"/>
      <c r="ID247" s="55">
        <f t="shared" si="1573"/>
        <v>46233</v>
      </c>
      <c r="IE247" s="56"/>
      <c r="IF247" s="242">
        <f>SUMPRODUCT(PRODUCE!$B250:$DY250,PRODUCE!$EB$33:$IY$33)</f>
        <v>0</v>
      </c>
      <c r="IG247" s="56"/>
      <c r="IH247" s="242">
        <f t="shared" si="1574"/>
        <v>0</v>
      </c>
      <c r="II247" s="242">
        <f t="shared" si="1575"/>
        <v>720</v>
      </c>
      <c r="IJ247" s="56"/>
      <c r="IM247" s="55">
        <f t="shared" si="1576"/>
        <v>46233</v>
      </c>
      <c r="IN247" s="56"/>
      <c r="IO247" s="242">
        <f>SUMPRODUCT(PRODUCE!$B250:$DY250,PRODUCE!$EB$34:$IY$34)</f>
        <v>0</v>
      </c>
      <c r="IP247" s="56"/>
      <c r="IQ247" s="242">
        <f t="shared" si="1577"/>
        <v>0</v>
      </c>
      <c r="IR247" s="242">
        <f t="shared" si="1578"/>
        <v>3280</v>
      </c>
      <c r="IS247" s="56"/>
      <c r="IV247" s="55">
        <f t="shared" si="1579"/>
        <v>46233</v>
      </c>
      <c r="IW247" s="56"/>
      <c r="IX247" s="242">
        <f>SUMPRODUCT(PRODUCE!$B250:$DY250,PRODUCE!$EB$35:$IY$35)</f>
        <v>0</v>
      </c>
      <c r="IY247" s="56"/>
      <c r="IZ247" s="242">
        <f t="shared" si="1580"/>
        <v>0</v>
      </c>
      <c r="JA247" s="242">
        <f t="shared" si="1581"/>
        <v>4960</v>
      </c>
      <c r="JB247" s="56"/>
      <c r="JE247" s="55">
        <f t="shared" si="1582"/>
        <v>46233</v>
      </c>
      <c r="JF247" s="56"/>
      <c r="JG247" s="242">
        <f>SUMPRODUCT(PRODUCE!$B250:$DY250,PRODUCE!$EB$36:$IY$36)</f>
        <v>0</v>
      </c>
      <c r="JH247" s="56"/>
      <c r="JI247" s="242">
        <f t="shared" si="1583"/>
        <v>0</v>
      </c>
      <c r="JJ247" s="242">
        <f t="shared" si="1584"/>
        <v>0</v>
      </c>
      <c r="JK247" s="56"/>
      <c r="JN247" s="55">
        <f t="shared" si="1585"/>
        <v>46233</v>
      </c>
      <c r="JO247" s="56"/>
      <c r="JP247" s="242">
        <f>SUMPRODUCT(PRODUCE!$B250:$DY250,PRODUCE!$EB$37:$IY$37)</f>
        <v>0</v>
      </c>
      <c r="JQ247" s="56"/>
      <c r="JR247" s="242">
        <f t="shared" si="1586"/>
        <v>0</v>
      </c>
      <c r="JS247" s="242">
        <f t="shared" si="1587"/>
        <v>0</v>
      </c>
      <c r="JT247" s="56"/>
      <c r="JW247" s="55">
        <f t="shared" si="1588"/>
        <v>46233</v>
      </c>
      <c r="JX247" s="56"/>
      <c r="JY247" s="242">
        <f>SUMPRODUCT(PRODUCE!$B250:$DY250,PRODUCE!$EB$38:$IY$38)</f>
        <v>0</v>
      </c>
      <c r="JZ247" s="56"/>
      <c r="KA247" s="242">
        <f t="shared" si="1589"/>
        <v>0</v>
      </c>
      <c r="KB247" s="242">
        <f t="shared" si="1590"/>
        <v>2540</v>
      </c>
      <c r="KC247" s="56"/>
      <c r="KF247" s="55">
        <f t="shared" si="1591"/>
        <v>46233</v>
      </c>
      <c r="KG247" s="56"/>
      <c r="KH247" s="242">
        <f>SUMPRODUCT(PRODUCE!$B250:$DY250,PRODUCE!$EB$39:$IY$39)</f>
        <v>0</v>
      </c>
      <c r="KI247" s="56"/>
      <c r="KJ247" s="242">
        <f t="shared" si="1592"/>
        <v>0</v>
      </c>
      <c r="KK247" s="242">
        <f t="shared" si="1593"/>
        <v>2359.5</v>
      </c>
      <c r="KL247" s="56"/>
      <c r="KO247" s="55">
        <f t="shared" si="1594"/>
        <v>46233</v>
      </c>
      <c r="KP247" s="56"/>
      <c r="KQ247" s="242">
        <f>SUMPRODUCT(PRODUCE!$B250:$DY250,PRODUCE!$EB$40:$IY$40)</f>
        <v>0</v>
      </c>
      <c r="KR247" s="56"/>
      <c r="KS247" s="242">
        <f t="shared" si="1595"/>
        <v>0</v>
      </c>
      <c r="KT247" s="242">
        <f t="shared" si="1596"/>
        <v>1890</v>
      </c>
      <c r="KU247" s="56"/>
      <c r="KW247" s="23"/>
      <c r="KX247" s="55">
        <f t="shared" si="1597"/>
        <v>46233</v>
      </c>
      <c r="KY247" s="56"/>
      <c r="KZ247" s="242">
        <f>SUMPRODUCT(PRODUCE!$B250:$DY250,PRODUCE!$EB$41:$IY$41)</f>
        <v>0</v>
      </c>
      <c r="LA247" s="56"/>
      <c r="LB247" s="242">
        <f t="shared" si="1598"/>
        <v>0</v>
      </c>
      <c r="LC247" s="242">
        <f t="shared" si="1599"/>
        <v>3690</v>
      </c>
      <c r="LD247" s="56"/>
      <c r="LG247" s="55">
        <f t="shared" si="1600"/>
        <v>46233</v>
      </c>
      <c r="LH247" s="56"/>
      <c r="LI247" s="242">
        <f>SUMPRODUCT(PRODUCE!$B250:$DY250,PRODUCE!$EB$42:$IY$42)</f>
        <v>0</v>
      </c>
      <c r="LJ247" s="56"/>
      <c r="LK247" s="242">
        <f t="shared" si="1601"/>
        <v>0</v>
      </c>
      <c r="LL247" s="242">
        <f t="shared" si="1602"/>
        <v>4000</v>
      </c>
      <c r="LM247" s="56"/>
      <c r="LP247" s="55">
        <f t="shared" si="1603"/>
        <v>46233</v>
      </c>
      <c r="LQ247" s="56"/>
      <c r="LR247" s="242">
        <f>SUMPRODUCT(PRODUCE!$B250:$DY250,PRODUCE!$EB$43:$IY$43)</f>
        <v>0</v>
      </c>
      <c r="LS247" s="56"/>
      <c r="LT247" s="242">
        <f t="shared" si="1604"/>
        <v>0</v>
      </c>
      <c r="LU247" s="242">
        <f t="shared" si="1605"/>
        <v>0</v>
      </c>
      <c r="LV247" s="56"/>
      <c r="LY247" s="55">
        <f t="shared" si="1606"/>
        <v>46233</v>
      </c>
      <c r="LZ247" s="56"/>
      <c r="MA247" s="242">
        <f>SUMPRODUCT(PRODUCE!$B250:$DY250,PRODUCE!$EB$44:$IY$44)</f>
        <v>0</v>
      </c>
      <c r="MB247" s="56"/>
      <c r="MC247" s="242">
        <f t="shared" si="1607"/>
        <v>0</v>
      </c>
      <c r="MD247" s="242">
        <f t="shared" si="1608"/>
        <v>0</v>
      </c>
      <c r="ME247" s="56"/>
      <c r="MH247" s="55">
        <f t="shared" si="1609"/>
        <v>46233</v>
      </c>
      <c r="MI247" s="56"/>
      <c r="MJ247" s="242">
        <f>SUMPRODUCT(PRODUCE!$B250:$DY250,PRODUCE!$EB$45:$IY$45)</f>
        <v>0</v>
      </c>
      <c r="MK247" s="56"/>
      <c r="ML247" s="242">
        <f t="shared" si="1610"/>
        <v>0</v>
      </c>
      <c r="MM247" s="242">
        <f t="shared" si="1611"/>
        <v>0</v>
      </c>
      <c r="MN247" s="56"/>
      <c r="MQ247" s="55">
        <f t="shared" si="1612"/>
        <v>46233</v>
      </c>
      <c r="MR247" s="56"/>
      <c r="MS247" s="242">
        <f>SUMPRODUCT(PRODUCE!$B250:$DY250,PRODUCE!$EB$46:$IY$46)</f>
        <v>0</v>
      </c>
      <c r="MT247" s="56"/>
      <c r="MU247" s="242">
        <f t="shared" si="1613"/>
        <v>0</v>
      </c>
      <c r="MV247" s="242">
        <f t="shared" si="1614"/>
        <v>2346</v>
      </c>
      <c r="MW247" s="56"/>
      <c r="MZ247" s="55">
        <f t="shared" si="1615"/>
        <v>46233</v>
      </c>
      <c r="NA247" s="56"/>
      <c r="NB247" s="242">
        <f>SUMPRODUCT(PRODUCE!$B250:$DY250,PRODUCE!$EB$47:$IY$47)</f>
        <v>0</v>
      </c>
      <c r="NC247" s="56"/>
      <c r="ND247" s="242">
        <f t="shared" si="1616"/>
        <v>0</v>
      </c>
      <c r="NE247" s="242">
        <f t="shared" si="1617"/>
        <v>0</v>
      </c>
      <c r="NF247" s="56"/>
      <c r="NI247" s="55">
        <f t="shared" si="1618"/>
        <v>46233</v>
      </c>
      <c r="NJ247" s="56"/>
      <c r="NK247" s="242">
        <f>SUMPRODUCT(PRODUCE!$B250:$DY250,PRODUCE!$EB$48:$IY$48)</f>
        <v>0</v>
      </c>
      <c r="NL247" s="56"/>
      <c r="NM247" s="242">
        <f t="shared" si="1619"/>
        <v>0</v>
      </c>
      <c r="NN247" s="242">
        <f t="shared" si="1620"/>
        <v>1127</v>
      </c>
      <c r="NO247" s="56"/>
      <c r="NR247" s="55">
        <f t="shared" si="1621"/>
        <v>46233</v>
      </c>
      <c r="NS247" s="56"/>
      <c r="NT247" s="242">
        <f>SUMPRODUCT(PRODUCE!$B250:$DY250,PRODUCE!$EB$49:$IY$49)</f>
        <v>0</v>
      </c>
      <c r="NU247" s="56"/>
      <c r="NV247" s="242">
        <f t="shared" si="1622"/>
        <v>0</v>
      </c>
      <c r="NW247" s="242">
        <f t="shared" si="1623"/>
        <v>3111.9999999999995</v>
      </c>
      <c r="NX247" s="56"/>
      <c r="OA247" s="55">
        <f t="shared" si="1624"/>
        <v>46233</v>
      </c>
      <c r="OB247" s="56"/>
      <c r="OC247" s="242">
        <f>SUMPRODUCT(PRODUCE!$B250:$DY250,PRODUCE!$EB$50:$IY$50)</f>
        <v>0</v>
      </c>
      <c r="OD247" s="56"/>
      <c r="OE247" s="242">
        <f t="shared" si="1625"/>
        <v>0</v>
      </c>
      <c r="OF247" s="242">
        <f t="shared" si="1626"/>
        <v>1680.5</v>
      </c>
      <c r="OG247" s="56"/>
      <c r="OJ247" s="55">
        <f t="shared" si="1627"/>
        <v>46233</v>
      </c>
      <c r="OK247" s="56"/>
      <c r="OL247" s="242">
        <f>SUMPRODUCT(PRODUCE!$B250:$DY250,PRODUCE!$EB$51:$IY$51)</f>
        <v>0</v>
      </c>
      <c r="OM247" s="56"/>
      <c r="ON247" s="242">
        <f t="shared" si="1628"/>
        <v>0</v>
      </c>
      <c r="OO247" s="242">
        <f t="shared" si="1629"/>
        <v>0</v>
      </c>
      <c r="OP247" s="56"/>
      <c r="OS247" s="55">
        <f t="shared" si="1630"/>
        <v>46233</v>
      </c>
      <c r="OT247" s="56"/>
      <c r="OU247" s="242">
        <f>SUMPRODUCT(PRODUCE!$B250:$DY250,PRODUCE!$EB$52:$IY$52)</f>
        <v>0</v>
      </c>
      <c r="OV247" s="56"/>
      <c r="OW247" s="242">
        <f t="shared" si="1631"/>
        <v>0</v>
      </c>
      <c r="OX247" s="242">
        <f t="shared" si="1632"/>
        <v>1482</v>
      </c>
      <c r="OY247" s="56"/>
      <c r="PB247" s="55">
        <f t="shared" si="1633"/>
        <v>46233</v>
      </c>
      <c r="PC247" s="56"/>
      <c r="PD247" s="242">
        <f>SUMPRODUCT(PRODUCE!$B250:$DY250,PRODUCE!$EB$53:$IY$53)</f>
        <v>0</v>
      </c>
      <c r="PE247" s="56"/>
      <c r="PF247" s="242">
        <f t="shared" si="1634"/>
        <v>0</v>
      </c>
      <c r="PG247" s="242">
        <f t="shared" si="1635"/>
        <v>0</v>
      </c>
      <c r="PH247" s="56"/>
      <c r="PK247" s="55">
        <f t="shared" si="1636"/>
        <v>46233</v>
      </c>
      <c r="PL247" s="56"/>
      <c r="PM247" s="242">
        <f>SUMPRODUCT(PRODUCE!$B250:$DY250,PRODUCE!$EB$54:$IY$54)</f>
        <v>0</v>
      </c>
      <c r="PN247" s="56"/>
      <c r="PO247" s="242">
        <f t="shared" si="1637"/>
        <v>0</v>
      </c>
      <c r="PP247" s="242">
        <f t="shared" si="1638"/>
        <v>100</v>
      </c>
      <c r="PQ247" s="56"/>
      <c r="PT247" s="55">
        <f t="shared" si="1639"/>
        <v>46233</v>
      </c>
      <c r="PU247" s="56"/>
      <c r="PV247" s="242">
        <f>SUMPRODUCT(PRODUCE!$B250:$DY250,PRODUCE!$EB$55:$IY$55)</f>
        <v>0</v>
      </c>
      <c r="PW247" s="56"/>
      <c r="PX247" s="242">
        <f t="shared" si="1640"/>
        <v>0</v>
      </c>
      <c r="PY247" s="242">
        <f t="shared" si="1641"/>
        <v>13.960000000000036</v>
      </c>
      <c r="PZ247" s="56"/>
      <c r="QC247" s="55">
        <f t="shared" si="1642"/>
        <v>46233</v>
      </c>
      <c r="QD247" s="56"/>
      <c r="QE247" s="242">
        <f>SUMPRODUCT(PRODUCE!$B250:$DY250,PRODUCE!$EB$56:$IY$56)</f>
        <v>0</v>
      </c>
      <c r="QF247" s="56"/>
      <c r="QG247" s="242">
        <f t="shared" si="1643"/>
        <v>0</v>
      </c>
      <c r="QH247" s="242">
        <f t="shared" si="1644"/>
        <v>1604</v>
      </c>
      <c r="QI247" s="56"/>
      <c r="QL247" s="55">
        <f t="shared" si="1645"/>
        <v>46233</v>
      </c>
      <c r="QM247" s="56"/>
      <c r="QN247" s="242">
        <f>SUMPRODUCT(PRODUCE!$B250:$DY250,PRODUCE!$EB$57:$IY$57)</f>
        <v>0</v>
      </c>
      <c r="QO247" s="56"/>
      <c r="QP247" s="242">
        <f t="shared" si="1646"/>
        <v>0</v>
      </c>
      <c r="QQ247" s="242">
        <f t="shared" si="1647"/>
        <v>0</v>
      </c>
      <c r="QR247" s="56"/>
      <c r="QU247" s="55">
        <f t="shared" si="1648"/>
        <v>46233</v>
      </c>
      <c r="QV247" s="56"/>
      <c r="QW247" s="242">
        <f>SUMPRODUCT(PRODUCE!$B250:$DY250,PRODUCE!$EB$58:$IY$58)</f>
        <v>0</v>
      </c>
      <c r="QX247" s="56"/>
      <c r="QY247" s="242">
        <f t="shared" si="1649"/>
        <v>0</v>
      </c>
      <c r="QZ247" s="242">
        <f t="shared" si="1650"/>
        <v>207.6</v>
      </c>
      <c r="RA247" s="56"/>
      <c r="RD247" s="55">
        <f t="shared" si="1651"/>
        <v>46233</v>
      </c>
      <c r="RE247" s="56"/>
      <c r="RF247" s="242">
        <f>SUMPRODUCT(PRODUCE!$B250:$DY250,PRODUCE!$EB$59:$IY$59)</f>
        <v>0</v>
      </c>
      <c r="RG247" s="56"/>
      <c r="RH247" s="242">
        <f t="shared" si="1652"/>
        <v>0</v>
      </c>
      <c r="RI247" s="242">
        <f t="shared" si="1653"/>
        <v>147.04000000000002</v>
      </c>
      <c r="RJ247" s="56"/>
      <c r="RM247" s="55">
        <f t="shared" si="1654"/>
        <v>46233</v>
      </c>
      <c r="RN247" s="56"/>
      <c r="RO247" s="242">
        <f>SUMPRODUCT(PRODUCE!$B250:$DY250,PRODUCE!$EB$60:$IY$60)</f>
        <v>0</v>
      </c>
      <c r="RP247" s="56"/>
      <c r="RQ247" s="242">
        <f t="shared" si="1655"/>
        <v>0</v>
      </c>
      <c r="RR247" s="242">
        <f t="shared" si="1656"/>
        <v>46.8</v>
      </c>
      <c r="RS247" s="56"/>
      <c r="RV247" s="55">
        <f t="shared" si="1657"/>
        <v>46233</v>
      </c>
      <c r="RW247" s="56"/>
      <c r="RX247" s="242">
        <f>SUMPRODUCT(PRODUCE!$B250:$DY250,PRODUCE!$EB$61:$IY$61)</f>
        <v>0</v>
      </c>
      <c r="RY247" s="56"/>
      <c r="RZ247" s="242">
        <f t="shared" si="1658"/>
        <v>0</v>
      </c>
      <c r="SA247" s="242">
        <f t="shared" si="1659"/>
        <v>0</v>
      </c>
      <c r="SB247" s="56"/>
      <c r="SE247" s="55">
        <f t="shared" si="1660"/>
        <v>46233</v>
      </c>
      <c r="SF247" s="56"/>
      <c r="SG247" s="242">
        <f>SUMPRODUCT(PRODUCE!$B250:$DY250,PRODUCE!$EB$62:$IY$62)</f>
        <v>0</v>
      </c>
      <c r="SH247" s="56"/>
      <c r="SI247" s="242">
        <f t="shared" si="1661"/>
        <v>0</v>
      </c>
      <c r="SJ247" s="242">
        <f t="shared" si="1662"/>
        <v>24.200000000000003</v>
      </c>
      <c r="SK247" s="56"/>
      <c r="SN247" s="55">
        <f t="shared" si="1663"/>
        <v>46233</v>
      </c>
      <c r="SO247" s="56"/>
      <c r="SP247" s="242">
        <f>SUMPRODUCT(PRODUCE!$B250:$DY250,PRODUCE!$EB$63:$IY$63)</f>
        <v>0</v>
      </c>
      <c r="SQ247" s="56"/>
      <c r="SR247" s="242">
        <f t="shared" si="1664"/>
        <v>0</v>
      </c>
      <c r="SS247" s="242">
        <f t="shared" si="1665"/>
        <v>32</v>
      </c>
      <c r="ST247" s="56"/>
      <c r="SW247" s="55">
        <f t="shared" si="1666"/>
        <v>46233</v>
      </c>
      <c r="SX247" s="56"/>
      <c r="SY247" s="242">
        <f>SUMPRODUCT(PRODUCE!$B250:$DY250,PRODUCE!$EB$64:$IY$64)</f>
        <v>0</v>
      </c>
      <c r="SZ247" s="56"/>
      <c r="TA247" s="242">
        <f t="shared" si="1667"/>
        <v>0</v>
      </c>
      <c r="TB247" s="242">
        <f t="shared" si="1668"/>
        <v>0</v>
      </c>
      <c r="TC247" s="56"/>
      <c r="TF247" s="55">
        <f t="shared" si="1669"/>
        <v>46233</v>
      </c>
      <c r="TG247" s="56"/>
      <c r="TH247" s="242">
        <f>SUMPRODUCT(PRODUCE!$B250:$DY250,PRODUCE!$EB$57:$IY$57)</f>
        <v>0</v>
      </c>
      <c r="TI247" s="56"/>
      <c r="TJ247" s="242">
        <f t="shared" si="1670"/>
        <v>0</v>
      </c>
      <c r="TK247" s="242">
        <f t="shared" si="1671"/>
        <v>0</v>
      </c>
      <c r="TL247" s="56"/>
      <c r="TO247" s="55">
        <f t="shared" si="1672"/>
        <v>46233</v>
      </c>
      <c r="TP247" s="56"/>
      <c r="TQ247" s="242">
        <f>SUMPRODUCT(PRODUCE!$B250:$DY250,PRODUCE!$EB$57:$IY$57)</f>
        <v>0</v>
      </c>
      <c r="TR247" s="56"/>
      <c r="TS247" s="242">
        <f t="shared" si="1673"/>
        <v>0</v>
      </c>
      <c r="TT247" s="242">
        <f t="shared" si="1674"/>
        <v>10.400000000000006</v>
      </c>
      <c r="TU247" s="56"/>
      <c r="TX247" s="55">
        <f t="shared" si="1675"/>
        <v>46233</v>
      </c>
      <c r="TY247" s="56"/>
      <c r="TZ247" s="242">
        <f>SUMPRODUCT(PRODUCE!$B250:$DY250,PRODUCE!$EB$57:$IY$57)</f>
        <v>0</v>
      </c>
      <c r="UA247" s="56"/>
      <c r="UB247" s="242">
        <f t="shared" si="1676"/>
        <v>0</v>
      </c>
      <c r="UC247" s="242">
        <f t="shared" si="1677"/>
        <v>46.799999999999983</v>
      </c>
      <c r="UD247" s="56"/>
      <c r="UG247" s="55">
        <f t="shared" si="1678"/>
        <v>46233</v>
      </c>
      <c r="UH247" s="56"/>
      <c r="UI247" s="242">
        <f>SUMPRODUCT(PRODUCE!$B250:$DY250,PRODUCE!$EB$57:$IY$57)</f>
        <v>0</v>
      </c>
      <c r="UJ247" s="56"/>
      <c r="UK247" s="242">
        <f t="shared" si="1679"/>
        <v>0</v>
      </c>
      <c r="UL247" s="242">
        <f t="shared" si="1680"/>
        <v>204</v>
      </c>
      <c r="UM247" s="56"/>
      <c r="UP247" s="55">
        <f t="shared" si="1681"/>
        <v>46233</v>
      </c>
      <c r="UQ247" s="56"/>
      <c r="UR247" s="242">
        <f>SUMPRODUCT(PRODUCE!$B250:$DY250,PRODUCE!$EB$69:$IY$69)</f>
        <v>0</v>
      </c>
      <c r="US247" s="56"/>
      <c r="UT247" s="242">
        <f t="shared" si="1682"/>
        <v>0</v>
      </c>
      <c r="UU247" s="242">
        <f t="shared" si="1683"/>
        <v>202.5</v>
      </c>
      <c r="UV247" s="56"/>
      <c r="UY247" s="55">
        <f t="shared" si="1684"/>
        <v>46233</v>
      </c>
      <c r="UZ247" s="56"/>
      <c r="VA247" s="242">
        <f>SUMPRODUCT(PRODUCE!$B250:$DY250,PRODUCE!$EB$70:$IY$70)</f>
        <v>0</v>
      </c>
      <c r="VB247" s="56"/>
      <c r="VC247" s="242">
        <f t="shared" si="1685"/>
        <v>0</v>
      </c>
      <c r="VD247" s="242">
        <f t="shared" si="1686"/>
        <v>41.600000000000023</v>
      </c>
      <c r="VE247" s="56"/>
      <c r="VH247" s="55">
        <f t="shared" si="1687"/>
        <v>46233</v>
      </c>
      <c r="VI247" s="56"/>
      <c r="VJ247" s="242">
        <f>SUMPRODUCT(PRODUCE!$B250:$DY250,PRODUCE!$EB$71:$IY$71)</f>
        <v>0</v>
      </c>
      <c r="VK247" s="56"/>
      <c r="VL247" s="242">
        <f t="shared" si="1688"/>
        <v>0</v>
      </c>
      <c r="VM247" s="242">
        <f t="shared" si="1689"/>
        <v>210</v>
      </c>
      <c r="VN247" s="56"/>
      <c r="VQ247" s="55">
        <f t="shared" si="1690"/>
        <v>46233</v>
      </c>
      <c r="VR247" s="56"/>
      <c r="VS247" s="242">
        <f>SUMPRODUCT(PRODUCE!$B250:$DY250,PRODUCE!$EB$57:$IY$57)</f>
        <v>0</v>
      </c>
      <c r="VT247" s="56"/>
      <c r="VU247" s="242">
        <f t="shared" si="1691"/>
        <v>0</v>
      </c>
      <c r="VV247" s="242">
        <f t="shared" si="1692"/>
        <v>0</v>
      </c>
      <c r="VW247" s="56"/>
      <c r="VZ247" s="55">
        <f t="shared" si="1693"/>
        <v>46233</v>
      </c>
      <c r="WA247" s="56"/>
      <c r="WB247" s="242">
        <f>SUMPRODUCT(PRODUCE!$B250:$DY250,PRODUCE!$EB$57:$IY$57)</f>
        <v>0</v>
      </c>
      <c r="WC247" s="56"/>
      <c r="WD247" s="242">
        <f t="shared" si="1694"/>
        <v>0</v>
      </c>
      <c r="WE247" s="242">
        <f t="shared" si="1695"/>
        <v>0</v>
      </c>
      <c r="WF247" s="56"/>
      <c r="WI247" s="55">
        <f t="shared" si="1696"/>
        <v>46233</v>
      </c>
      <c r="WJ247" s="56"/>
      <c r="WK247" s="242">
        <f>SUMPRODUCT(PRODUCE!$B250:$DY250,PRODUCE!$EB$57:$IY$57)</f>
        <v>0</v>
      </c>
      <c r="WL247" s="56"/>
      <c r="WM247" s="242">
        <f t="shared" si="1697"/>
        <v>0</v>
      </c>
      <c r="WN247" s="242">
        <f t="shared" si="1698"/>
        <v>1057</v>
      </c>
      <c r="WO247" s="56"/>
      <c r="WR247" s="55">
        <f t="shared" si="1699"/>
        <v>46233</v>
      </c>
      <c r="WS247" s="56"/>
      <c r="WT247" s="242">
        <f>SUMPRODUCT(PRODUCE!$B250:$DY250,PRODUCE!$EB$57:$IY$57)</f>
        <v>0</v>
      </c>
      <c r="WU247" s="56"/>
      <c r="WV247" s="242">
        <f t="shared" si="1700"/>
        <v>0</v>
      </c>
      <c r="WW247" s="242">
        <f t="shared" si="1701"/>
        <v>0</v>
      </c>
      <c r="WX247" s="56"/>
      <c r="XA247" s="55">
        <f t="shared" si="1702"/>
        <v>46233</v>
      </c>
      <c r="XB247" s="56"/>
      <c r="XC247" s="242">
        <f>SUMPRODUCT(PRODUCE!$B250:$DY250,PRODUCE!$EB$57:$IY$57)</f>
        <v>0</v>
      </c>
      <c r="XD247" s="56"/>
      <c r="XE247" s="242">
        <f t="shared" si="1703"/>
        <v>0</v>
      </c>
      <c r="XF247" s="242">
        <f t="shared" si="1704"/>
        <v>7507</v>
      </c>
      <c r="XG247" s="56"/>
      <c r="XJ247" s="55">
        <f t="shared" si="1705"/>
        <v>46233</v>
      </c>
      <c r="XK247" s="56"/>
      <c r="XL247" s="242">
        <f>SUMPRODUCT(PRODUCE!$B250:$DY250,PRODUCE!$EB$57:$IY$57)</f>
        <v>0</v>
      </c>
      <c r="XM247" s="56"/>
      <c r="XN247" s="242">
        <f t="shared" si="1706"/>
        <v>0</v>
      </c>
      <c r="XO247" s="242">
        <f t="shared" si="1707"/>
        <v>4252</v>
      </c>
      <c r="XP247" s="56"/>
      <c r="XS247" s="55">
        <f t="shared" si="1708"/>
        <v>46233</v>
      </c>
      <c r="XT247" s="56"/>
      <c r="XU247" s="242">
        <f>SUMPRODUCT(PRODUCE!$B250:$DY250,PRODUCE!$EB$57:$IY$57)</f>
        <v>0</v>
      </c>
      <c r="XV247" s="56"/>
      <c r="XW247" s="242">
        <f t="shared" si="1709"/>
        <v>0</v>
      </c>
      <c r="XX247" s="242">
        <f t="shared" si="1710"/>
        <v>2179</v>
      </c>
      <c r="XY247" s="56"/>
      <c r="YB247" s="55">
        <f t="shared" si="1711"/>
        <v>46233</v>
      </c>
      <c r="YC247" s="56"/>
      <c r="YD247" s="242">
        <f>SUMPRODUCT(PRODUCE!$B250:$DY250,PRODUCE!$EB$57:$IY$57)</f>
        <v>0</v>
      </c>
      <c r="YE247" s="56"/>
      <c r="YF247" s="242">
        <f t="shared" si="1712"/>
        <v>0</v>
      </c>
      <c r="YG247" s="242">
        <f t="shared" si="1713"/>
        <v>4019</v>
      </c>
      <c r="YH247" s="56"/>
      <c r="YK247" s="55">
        <f t="shared" si="1714"/>
        <v>46233</v>
      </c>
      <c r="YL247" s="56"/>
      <c r="YM247" s="242">
        <f>SUMPRODUCT(PRODUCE!$B250:$DY250,PRODUCE!$EB$57:$IY$57)</f>
        <v>0</v>
      </c>
      <c r="YN247" s="56"/>
      <c r="YO247" s="242">
        <f t="shared" si="1715"/>
        <v>0</v>
      </c>
      <c r="YP247" s="242">
        <f t="shared" si="1716"/>
        <v>0</v>
      </c>
      <c r="YQ247" s="56"/>
      <c r="YT247" s="55">
        <f t="shared" si="1717"/>
        <v>46233</v>
      </c>
      <c r="YU247" s="56"/>
      <c r="YV247" s="242">
        <f>SUMPRODUCT(PRODUCE!$B250:$DY250,PRODUCE!$EB$57:$IY$57)</f>
        <v>0</v>
      </c>
      <c r="YW247" s="56"/>
      <c r="YX247" s="242">
        <f t="shared" si="1718"/>
        <v>0</v>
      </c>
      <c r="YY247" s="242">
        <f t="shared" si="1719"/>
        <v>0</v>
      </c>
      <c r="YZ247" s="56"/>
      <c r="ZC247" s="55">
        <f t="shared" si="1720"/>
        <v>46233</v>
      </c>
      <c r="ZD247" s="56"/>
      <c r="ZE247" s="242">
        <f>SUMPRODUCT(PRODUCE!$B250:$DY250,PRODUCE!$EB$57:$IY$57)</f>
        <v>0</v>
      </c>
      <c r="ZF247" s="56"/>
      <c r="ZG247" s="242">
        <f t="shared" si="1721"/>
        <v>0</v>
      </c>
      <c r="ZH247" s="242">
        <f t="shared" si="1722"/>
        <v>0</v>
      </c>
      <c r="ZI247" s="56"/>
      <c r="ZL247" s="55">
        <f t="shared" si="1723"/>
        <v>46233</v>
      </c>
      <c r="ZM247" s="56"/>
      <c r="ZN247" s="242">
        <f>SUMPRODUCT(PRODUCE!$B250:$DY250,PRODUCE!$EB$57:$IY$57)</f>
        <v>0</v>
      </c>
      <c r="ZO247" s="56"/>
      <c r="ZP247" s="242">
        <f t="shared" si="1724"/>
        <v>0</v>
      </c>
      <c r="ZQ247" s="242">
        <f t="shared" si="1725"/>
        <v>0</v>
      </c>
      <c r="ZR247" s="56"/>
      <c r="ZU247" s="55">
        <f t="shared" si="1726"/>
        <v>46233</v>
      </c>
      <c r="ZV247" s="56"/>
      <c r="ZW247" s="242">
        <f>SUMPRODUCT(PRODUCE!$B250:$DY250,PRODUCE!$EB$57:$IY$57)</f>
        <v>0</v>
      </c>
      <c r="ZX247" s="56"/>
      <c r="ZY247" s="242">
        <f t="shared" si="1727"/>
        <v>0</v>
      </c>
      <c r="ZZ247" s="242">
        <f t="shared" si="1728"/>
        <v>0</v>
      </c>
      <c r="AAA247" s="56"/>
      <c r="AAD247" s="55">
        <f t="shared" si="1729"/>
        <v>46233</v>
      </c>
      <c r="AAE247" s="56"/>
      <c r="AAF247" s="242">
        <f>SUMPRODUCT(PRODUCE!$B250:$DY250,PRODUCE!$EB$57:$IY$57)</f>
        <v>0</v>
      </c>
      <c r="AAG247" s="56"/>
      <c r="AAH247" s="242">
        <f t="shared" si="1730"/>
        <v>0</v>
      </c>
      <c r="AAI247" s="242">
        <f t="shared" si="1731"/>
        <v>0</v>
      </c>
      <c r="AAJ247" s="56"/>
      <c r="AAM247" s="55">
        <f t="shared" si="1732"/>
        <v>46233</v>
      </c>
      <c r="AAN247" s="56"/>
      <c r="AAO247" s="242">
        <f>SUMPRODUCT(PRODUCE!$B250:$DY250,PRODUCE!$EB$57:$IY$57)</f>
        <v>0</v>
      </c>
      <c r="AAP247" s="56"/>
      <c r="AAQ247" s="242">
        <f t="shared" si="1733"/>
        <v>0</v>
      </c>
      <c r="AAR247" s="242">
        <f t="shared" si="1734"/>
        <v>0</v>
      </c>
      <c r="AAS247" s="56"/>
      <c r="AAV247" s="55">
        <f t="shared" si="1735"/>
        <v>46233</v>
      </c>
      <c r="AAW247" s="56"/>
      <c r="AAX247" s="242">
        <f>SUMPRODUCT(PRODUCE!$B250:$DY250,PRODUCE!$EB$57:$IY$57)</f>
        <v>0</v>
      </c>
      <c r="AAY247" s="56"/>
      <c r="AAZ247" s="242">
        <f t="shared" si="1736"/>
        <v>0</v>
      </c>
      <c r="ABA247" s="242">
        <f t="shared" si="1737"/>
        <v>0</v>
      </c>
      <c r="ABB247" s="56"/>
      <c r="ABE247" s="55">
        <f t="shared" si="1738"/>
        <v>46233</v>
      </c>
      <c r="ABF247" s="56"/>
      <c r="ABG247" s="242">
        <f>SUMPRODUCT(PRODUCE!$B250:$DY250,PRODUCE!$EB$57:$IY$57)</f>
        <v>0</v>
      </c>
      <c r="ABH247" s="56"/>
      <c r="ABI247" s="242">
        <f t="shared" si="1739"/>
        <v>0</v>
      </c>
      <c r="ABJ247" s="242">
        <f t="shared" si="1740"/>
        <v>0</v>
      </c>
      <c r="ABK247" s="56"/>
    </row>
    <row r="248" spans="1:739" s="54" customFormat="1" ht="15" customHeight="1" outlineLevel="1" thickBot="1">
      <c r="B248" s="478"/>
      <c r="C248" s="55">
        <v>46234</v>
      </c>
      <c r="D248" s="425"/>
      <c r="E248" s="423">
        <f>SUMPRODUCT(PRODUCE!$B251:$DY251,PRODUCE!$EB$7:$IY$7)</f>
        <v>0</v>
      </c>
      <c r="F248" s="425">
        <v>46351.8</v>
      </c>
      <c r="G248" s="423">
        <f t="shared" si="1496"/>
        <v>-46351.8</v>
      </c>
      <c r="H248" s="423">
        <f t="shared" si="1497"/>
        <v>190949.40000000002</v>
      </c>
      <c r="I248" s="289"/>
      <c r="L248" s="55">
        <f t="shared" si="1498"/>
        <v>46234</v>
      </c>
      <c r="M248" s="425">
        <v>48200</v>
      </c>
      <c r="N248" s="438">
        <f>SUMPRODUCT(PRODUCE!$B251:$DY251,PRODUCE!$EB$8:$IY$8)</f>
        <v>0</v>
      </c>
      <c r="O248" s="425">
        <v>27841.4</v>
      </c>
      <c r="P248" s="438">
        <f t="shared" si="1499"/>
        <v>-27841.4</v>
      </c>
      <c r="Q248" s="438">
        <f t="shared" si="1500"/>
        <v>53017.600000000071</v>
      </c>
      <c r="R248" s="56"/>
      <c r="U248" s="55">
        <f t="shared" si="1501"/>
        <v>46234</v>
      </c>
      <c r="V248" s="425"/>
      <c r="W248" s="440">
        <f>SUMPRODUCT(PRODUCE!$B251:$DY251,PRODUCE!$EB$9:$IY$9)</f>
        <v>0</v>
      </c>
      <c r="X248" s="425">
        <v>4301.3999999999996</v>
      </c>
      <c r="Y248" s="440">
        <f t="shared" si="1502"/>
        <v>-4301.3999999999996</v>
      </c>
      <c r="Z248" s="440">
        <f t="shared" si="1503"/>
        <v>42674.199999999968</v>
      </c>
      <c r="AA248" s="56"/>
      <c r="AD248" s="55">
        <f t="shared" si="1504"/>
        <v>46234</v>
      </c>
      <c r="AE248" s="425"/>
      <c r="AF248" s="442">
        <f>SUMPRODUCT(PRODUCE!$B251:$DY251,PRODUCE!$EB$10:$IY$10)</f>
        <v>0</v>
      </c>
      <c r="AG248" s="425"/>
      <c r="AH248" s="442">
        <f t="shared" si="1505"/>
        <v>0</v>
      </c>
      <c r="AI248" s="442">
        <f t="shared" si="1506"/>
        <v>4522.2000000000189</v>
      </c>
      <c r="AJ248" s="56"/>
      <c r="AM248" s="55">
        <f t="shared" si="1507"/>
        <v>46234</v>
      </c>
      <c r="AN248" s="425"/>
      <c r="AO248" s="444">
        <f>SUMPRODUCT(PRODUCE!$B251:$DY251,PRODUCE!$EB$11:$IY$11)</f>
        <v>0</v>
      </c>
      <c r="AP248" s="425"/>
      <c r="AQ248" s="444">
        <f t="shared" si="1508"/>
        <v>0</v>
      </c>
      <c r="AR248" s="444">
        <f t="shared" si="1509"/>
        <v>0</v>
      </c>
      <c r="AS248" s="56"/>
      <c r="AV248" s="55">
        <f t="shared" si="1510"/>
        <v>46234</v>
      </c>
      <c r="AW248" s="425"/>
      <c r="AX248" s="446">
        <f>SUMPRODUCT(PRODUCE!$B251:$DY251,PRODUCE!$EB$12:$IY$12)</f>
        <v>0</v>
      </c>
      <c r="AY248" s="425"/>
      <c r="AZ248" s="446">
        <f t="shared" si="1511"/>
        <v>0</v>
      </c>
      <c r="BA248" s="446">
        <f>BA247+AW248-AY248</f>
        <v>124.99999999999523</v>
      </c>
      <c r="BB248" s="56"/>
      <c r="BE248" s="55">
        <f t="shared" si="1513"/>
        <v>46234</v>
      </c>
      <c r="BF248" s="425"/>
      <c r="BG248" s="448">
        <f>SUMPRODUCT(PRODUCE!$B251:$DY251,PRODUCE!$EB$13:$IY$13)</f>
        <v>0</v>
      </c>
      <c r="BH248" s="425">
        <v>1094.3</v>
      </c>
      <c r="BI248" s="448">
        <f t="shared" si="1514"/>
        <v>-1094.3</v>
      </c>
      <c r="BJ248" s="448">
        <f t="shared" si="1515"/>
        <v>26151.899999999998</v>
      </c>
      <c r="BK248" s="56"/>
      <c r="BN248" s="55">
        <f t="shared" si="1516"/>
        <v>46234</v>
      </c>
      <c r="BO248" s="425">
        <v>1316.1</v>
      </c>
      <c r="BP248" s="450">
        <f>SUMPRODUCT(PRODUCE!$B251:$DY251,PRODUCE!$EB$14:$IY$14)</f>
        <v>0</v>
      </c>
      <c r="BQ248" s="425">
        <v>1316.1</v>
      </c>
      <c r="BR248" s="450">
        <f t="shared" si="1517"/>
        <v>-1316.1</v>
      </c>
      <c r="BS248" s="450">
        <f t="shared" si="1518"/>
        <v>0</v>
      </c>
      <c r="BT248" s="56"/>
      <c r="BW248" s="55">
        <f t="shared" si="1519"/>
        <v>46234</v>
      </c>
      <c r="BX248" s="425"/>
      <c r="BY248" s="523">
        <f>SUMPRODUCT(PRODUCE!$B251:$DY251,PRODUCE!$EB$15:$IY$15)</f>
        <v>0</v>
      </c>
      <c r="BZ248" s="425">
        <f>353.25+147.1</f>
        <v>500.35</v>
      </c>
      <c r="CA248" s="523">
        <f t="shared" si="1520"/>
        <v>-500.35</v>
      </c>
      <c r="CB248" s="523">
        <f t="shared" si="1521"/>
        <v>3322.4999999999986</v>
      </c>
      <c r="CC248" s="56"/>
      <c r="CF248" s="55">
        <f t="shared" si="1522"/>
        <v>46234</v>
      </c>
      <c r="CG248" s="425"/>
      <c r="CH248" s="524">
        <f>SUMPRODUCT(PRODUCE!$B251:$DY251,PRODUCE!$EB$16:$IY$16)</f>
        <v>0</v>
      </c>
      <c r="CI248" s="425">
        <f>513.6+374.1+198.12</f>
        <v>1085.8200000000002</v>
      </c>
      <c r="CJ248" s="524">
        <f t="shared" si="1523"/>
        <v>-1085.8200000000002</v>
      </c>
      <c r="CK248" s="524">
        <f t="shared" si="1524"/>
        <v>-10277.079999999998</v>
      </c>
      <c r="CL248" s="56"/>
      <c r="CO248" s="55">
        <f t="shared" si="1525"/>
        <v>46234</v>
      </c>
      <c r="CP248" s="425"/>
      <c r="CQ248" s="470">
        <f>SUMPRODUCT(PRODUCE!$B251:$DY251,PRODUCE!$EB$17:$IY$17)</f>
        <v>0</v>
      </c>
      <c r="CR248" s="425"/>
      <c r="CS248" s="470">
        <f t="shared" si="1526"/>
        <v>0</v>
      </c>
      <c r="CT248" s="470">
        <f t="shared" si="1527"/>
        <v>0</v>
      </c>
      <c r="CU248" s="56"/>
      <c r="CX248" s="55">
        <f t="shared" si="1528"/>
        <v>46234</v>
      </c>
      <c r="CY248" s="425"/>
      <c r="CZ248" s="525">
        <f>SUMPRODUCT(PRODUCE!$B251:$DY251,PRODUCE!$EB$18:$IY$18)</f>
        <v>0</v>
      </c>
      <c r="DA248" s="425">
        <v>600.1</v>
      </c>
      <c r="DB248" s="525">
        <f t="shared" si="1529"/>
        <v>-600.1</v>
      </c>
      <c r="DC248" s="525">
        <f t="shared" si="1530"/>
        <v>27438.200000000012</v>
      </c>
      <c r="DD248" s="56"/>
      <c r="DG248" s="55">
        <f t="shared" si="1531"/>
        <v>46234</v>
      </c>
      <c r="DH248" s="425"/>
      <c r="DI248" s="526">
        <f>SUMPRODUCT(PRODUCE!$B251:$DY251,PRODUCE!$EB$19:$IY$19)</f>
        <v>0</v>
      </c>
      <c r="DJ248" s="425"/>
      <c r="DK248" s="526">
        <f t="shared" si="1532"/>
        <v>0</v>
      </c>
      <c r="DL248" s="526">
        <f t="shared" si="1533"/>
        <v>18782.299999999981</v>
      </c>
      <c r="DM248" s="56"/>
      <c r="DP248" s="55">
        <f t="shared" si="1534"/>
        <v>46234</v>
      </c>
      <c r="DQ248" s="67"/>
      <c r="DR248" s="57">
        <f>SUMPRODUCT(PRODUCE!$B251:$DY251,PRODUCE!$EB$20:$IY$20)</f>
        <v>0</v>
      </c>
      <c r="DS248" s="67"/>
      <c r="DT248" s="57">
        <f t="shared" si="1535"/>
        <v>0</v>
      </c>
      <c r="DU248" s="57">
        <f t="shared" si="1536"/>
        <v>5800</v>
      </c>
      <c r="DV248" s="56"/>
      <c r="DY248" s="55">
        <f t="shared" si="1537"/>
        <v>46234</v>
      </c>
      <c r="DZ248" s="67"/>
      <c r="EA248" s="157">
        <f>SUMPRODUCT(PRODUCE!$B251:$DY251,PRODUCE!$EB$21:$IY$21)</f>
        <v>0</v>
      </c>
      <c r="EB248" s="67"/>
      <c r="EC248" s="157">
        <f t="shared" si="1538"/>
        <v>0</v>
      </c>
      <c r="ED248" s="157">
        <f t="shared" si="1539"/>
        <v>0</v>
      </c>
      <c r="EE248" s="56"/>
      <c r="EH248" s="55">
        <f t="shared" si="1540"/>
        <v>46234</v>
      </c>
      <c r="EI248" s="67"/>
      <c r="EJ248" s="162">
        <f>SUMPRODUCT(PRODUCE!$B251:$DY251,PRODUCE!$EB$22:$IY$22)</f>
        <v>0</v>
      </c>
      <c r="EK248" s="67"/>
      <c r="EL248" s="162">
        <f t="shared" si="1541"/>
        <v>0</v>
      </c>
      <c r="EM248" s="162">
        <f t="shared" si="1542"/>
        <v>0</v>
      </c>
      <c r="EN248" s="56"/>
      <c r="EQ248" s="55">
        <f t="shared" si="1543"/>
        <v>46234</v>
      </c>
      <c r="ER248" s="67"/>
      <c r="ES248" s="172">
        <f>SUMPRODUCT(PRODUCE!$B251:$DY251,PRODUCE!$EB$23:$IY$23)</f>
        <v>0</v>
      </c>
      <c r="ET248" s="67"/>
      <c r="EU248" s="135">
        <f t="shared" si="1544"/>
        <v>0</v>
      </c>
      <c r="EV248" s="135">
        <f t="shared" si="1545"/>
        <v>0</v>
      </c>
      <c r="EW248" s="56"/>
      <c r="EZ248" s="55">
        <f t="shared" si="1546"/>
        <v>46234</v>
      </c>
      <c r="FA248" s="67"/>
      <c r="FB248" s="175">
        <f>SUMPRODUCT(PRODUCE!$B251:$DY251,PRODUCE!$EB$24:$IY$24)</f>
        <v>0</v>
      </c>
      <c r="FC248" s="67"/>
      <c r="FD248" s="175">
        <f t="shared" si="1547"/>
        <v>0</v>
      </c>
      <c r="FE248" s="175">
        <f t="shared" si="1548"/>
        <v>0</v>
      </c>
      <c r="FF248" s="56"/>
      <c r="FI248" s="55">
        <f t="shared" si="1549"/>
        <v>46234</v>
      </c>
      <c r="FJ248" s="67"/>
      <c r="FK248" s="183">
        <f>SUMPRODUCT(PRODUCE!$B251:$DY251,PRODUCE!$EB$25:$IY$25)</f>
        <v>0</v>
      </c>
      <c r="FL248" s="67"/>
      <c r="FM248" s="183">
        <f t="shared" si="1550"/>
        <v>0</v>
      </c>
      <c r="FN248" s="183">
        <f t="shared" si="1551"/>
        <v>0</v>
      </c>
      <c r="FO248" s="56"/>
      <c r="FR248" s="55">
        <f t="shared" si="1552"/>
        <v>46234</v>
      </c>
      <c r="FS248" s="67"/>
      <c r="FT248" s="186">
        <f>SUMPRODUCT(PRODUCE!$B251:$DY251,PRODUCE!$EB$26:$IY$26)</f>
        <v>0</v>
      </c>
      <c r="FU248" s="67"/>
      <c r="FV248" s="186">
        <f t="shared" si="1553"/>
        <v>0</v>
      </c>
      <c r="FW248" s="186">
        <f t="shared" si="1554"/>
        <v>540</v>
      </c>
      <c r="FX248" s="56"/>
      <c r="GA248" s="55">
        <f t="shared" si="1555"/>
        <v>46234</v>
      </c>
      <c r="GB248" s="67"/>
      <c r="GC248" s="137">
        <f>SUMPRODUCT(PRODUCE!$B251:$DY251,PRODUCE!$EB$27:$IY$27)</f>
        <v>0</v>
      </c>
      <c r="GD248" s="67"/>
      <c r="GE248" s="137">
        <f t="shared" si="1556"/>
        <v>0</v>
      </c>
      <c r="GF248" s="137">
        <f t="shared" si="1557"/>
        <v>960</v>
      </c>
      <c r="GG248" s="56"/>
      <c r="GI248" s="23"/>
      <c r="GJ248" s="55">
        <f t="shared" si="1558"/>
        <v>46234</v>
      </c>
      <c r="GK248" s="67"/>
      <c r="GL248" s="199">
        <f>SUMPRODUCT(PRODUCE!$B251:$DY251,PRODUCE!$EB$28:$IY$28)</f>
        <v>0</v>
      </c>
      <c r="GM248" s="67"/>
      <c r="GN248" s="199">
        <f t="shared" si="1559"/>
        <v>0</v>
      </c>
      <c r="GO248" s="199">
        <f t="shared" si="1560"/>
        <v>1760</v>
      </c>
      <c r="GP248" s="56"/>
      <c r="GS248" s="55">
        <f t="shared" si="1561"/>
        <v>46234</v>
      </c>
      <c r="GT248" s="67"/>
      <c r="GU248" s="195">
        <f>SUMPRODUCT(PRODUCE!$B251:$DY251,PRODUCE!$EB$29:$IY$29)</f>
        <v>0</v>
      </c>
      <c r="GV248" s="67"/>
      <c r="GW248" s="195">
        <f t="shared" si="1562"/>
        <v>0</v>
      </c>
      <c r="GX248" s="195">
        <f t="shared" si="1563"/>
        <v>400</v>
      </c>
      <c r="GY248" s="56"/>
      <c r="HB248" s="55">
        <f t="shared" si="1564"/>
        <v>46234</v>
      </c>
      <c r="HC248" s="67"/>
      <c r="HD248" s="191">
        <f>SUMPRODUCT(PRODUCE!$B251:$DY251,PRODUCE!$EB$30:$IY$30)</f>
        <v>0</v>
      </c>
      <c r="HE248" s="67"/>
      <c r="HF248" s="191">
        <f t="shared" si="1565"/>
        <v>0</v>
      </c>
      <c r="HG248" s="191">
        <f t="shared" si="1566"/>
        <v>3600</v>
      </c>
      <c r="HH248" s="56"/>
      <c r="HK248" s="55">
        <f t="shared" si="1567"/>
        <v>46234</v>
      </c>
      <c r="HL248" s="67"/>
      <c r="HM248" s="63">
        <f>SUMPRODUCT(PRODUCE!$B251:$DY251,PRODUCE!$EB$31:$IY$31)</f>
        <v>0</v>
      </c>
      <c r="HN248" s="67"/>
      <c r="HO248" s="63">
        <f t="shared" si="1568"/>
        <v>0</v>
      </c>
      <c r="HP248" s="63">
        <f t="shared" si="1569"/>
        <v>0</v>
      </c>
      <c r="HQ248" s="56"/>
      <c r="HU248" s="55">
        <f t="shared" si="1570"/>
        <v>46234</v>
      </c>
      <c r="HV248" s="67"/>
      <c r="HW248" s="242">
        <f>SUMPRODUCT(PRODUCE!$B251:$DY251,PRODUCE!$EB$32:$IY$32)</f>
        <v>0</v>
      </c>
      <c r="HX248" s="67"/>
      <c r="HY248" s="242">
        <f t="shared" si="1571"/>
        <v>0</v>
      </c>
      <c r="HZ248" s="242">
        <f t="shared" si="1572"/>
        <v>5920</v>
      </c>
      <c r="IA248" s="56"/>
      <c r="ID248" s="55">
        <f t="shared" si="1573"/>
        <v>46234</v>
      </c>
      <c r="IE248" s="67"/>
      <c r="IF248" s="242">
        <f>SUMPRODUCT(PRODUCE!$B251:$DY251,PRODUCE!$EB$33:$IY$33)</f>
        <v>0</v>
      </c>
      <c r="IG248" s="67"/>
      <c r="IH248" s="242">
        <f t="shared" si="1574"/>
        <v>0</v>
      </c>
      <c r="II248" s="242">
        <f t="shared" si="1575"/>
        <v>720</v>
      </c>
      <c r="IJ248" s="56"/>
      <c r="IM248" s="55">
        <f t="shared" si="1576"/>
        <v>46234</v>
      </c>
      <c r="IN248" s="67"/>
      <c r="IO248" s="242">
        <f>SUMPRODUCT(PRODUCE!$B251:$DY251,PRODUCE!$EB$34:$IY$34)</f>
        <v>0</v>
      </c>
      <c r="IP248" s="67">
        <v>1600</v>
      </c>
      <c r="IQ248" s="242">
        <f t="shared" si="1577"/>
        <v>-1600</v>
      </c>
      <c r="IR248" s="242">
        <f t="shared" si="1578"/>
        <v>1680</v>
      </c>
      <c r="IS248" s="56">
        <f>IP248/20</f>
        <v>80</v>
      </c>
      <c r="IV248" s="55">
        <f t="shared" si="1579"/>
        <v>46234</v>
      </c>
      <c r="IW248" s="67"/>
      <c r="IX248" s="242">
        <f>SUMPRODUCT(PRODUCE!$B251:$DY251,PRODUCE!$EB$35:$IY$35)</f>
        <v>0</v>
      </c>
      <c r="IY248" s="67"/>
      <c r="IZ248" s="242">
        <f t="shared" si="1580"/>
        <v>0</v>
      </c>
      <c r="JA248" s="242">
        <f t="shared" si="1581"/>
        <v>4960</v>
      </c>
      <c r="JB248" s="56"/>
      <c r="JE248" s="55">
        <f t="shared" si="1582"/>
        <v>46234</v>
      </c>
      <c r="JF248" s="67"/>
      <c r="JG248" s="242">
        <f>SUMPRODUCT(PRODUCE!$B251:$DY251,PRODUCE!$EB$36:$IY$36)</f>
        <v>0</v>
      </c>
      <c r="JH248" s="67"/>
      <c r="JI248" s="242">
        <f t="shared" si="1583"/>
        <v>0</v>
      </c>
      <c r="JJ248" s="242">
        <f t="shared" si="1584"/>
        <v>0</v>
      </c>
      <c r="JK248" s="56"/>
      <c r="JN248" s="55">
        <f t="shared" si="1585"/>
        <v>46234</v>
      </c>
      <c r="JO248" s="67"/>
      <c r="JP248" s="242">
        <f>SUMPRODUCT(PRODUCE!$B251:$DY251,PRODUCE!$EB$37:$IY$37)</f>
        <v>0</v>
      </c>
      <c r="JQ248" s="67"/>
      <c r="JR248" s="242">
        <f t="shared" si="1586"/>
        <v>0</v>
      </c>
      <c r="JS248" s="242">
        <f t="shared" si="1587"/>
        <v>0</v>
      </c>
      <c r="JT248" s="56"/>
      <c r="JW248" s="55">
        <f t="shared" si="1588"/>
        <v>46234</v>
      </c>
      <c r="JX248" s="67"/>
      <c r="JY248" s="242">
        <f>SUMPRODUCT(PRODUCE!$B251:$DY251,PRODUCE!$EB$38:$IY$38)</f>
        <v>0</v>
      </c>
      <c r="JZ248" s="67"/>
      <c r="KA248" s="242">
        <f t="shared" si="1589"/>
        <v>0</v>
      </c>
      <c r="KB248" s="242">
        <f t="shared" si="1590"/>
        <v>2540</v>
      </c>
      <c r="KC248" s="56"/>
      <c r="KF248" s="55">
        <f t="shared" si="1591"/>
        <v>46234</v>
      </c>
      <c r="KG248" s="67"/>
      <c r="KH248" s="242">
        <f>SUMPRODUCT(PRODUCE!$B251:$DY251,PRODUCE!$EB$39:$IY$39)</f>
        <v>0</v>
      </c>
      <c r="KI248" s="67"/>
      <c r="KJ248" s="242">
        <f t="shared" si="1592"/>
        <v>0</v>
      </c>
      <c r="KK248" s="242">
        <f t="shared" si="1593"/>
        <v>2359.5</v>
      </c>
      <c r="KL248" s="56"/>
      <c r="KO248" s="55">
        <f t="shared" si="1594"/>
        <v>46234</v>
      </c>
      <c r="KP248" s="67"/>
      <c r="KQ248" s="242">
        <f>SUMPRODUCT(PRODUCE!$B251:$DY251,PRODUCE!$EB$40:$IY$40)</f>
        <v>0</v>
      </c>
      <c r="KR248" s="67"/>
      <c r="KS248" s="242">
        <f t="shared" si="1595"/>
        <v>0</v>
      </c>
      <c r="KT248" s="242">
        <f t="shared" si="1596"/>
        <v>1890</v>
      </c>
      <c r="KU248" s="56"/>
      <c r="KW248" s="23"/>
      <c r="KX248" s="55">
        <f t="shared" si="1597"/>
        <v>46234</v>
      </c>
      <c r="KY248" s="67"/>
      <c r="KZ248" s="242">
        <f>SUMPRODUCT(PRODUCE!$B251:$DY251,PRODUCE!$EB$41:$IY$41)</f>
        <v>0</v>
      </c>
      <c r="LA248" s="67"/>
      <c r="LB248" s="242">
        <f t="shared" si="1598"/>
        <v>0</v>
      </c>
      <c r="LC248" s="242">
        <f t="shared" si="1599"/>
        <v>3690</v>
      </c>
      <c r="LD248" s="56"/>
      <c r="LG248" s="55">
        <f t="shared" si="1600"/>
        <v>46234</v>
      </c>
      <c r="LH248" s="67"/>
      <c r="LI248" s="242">
        <f>SUMPRODUCT(PRODUCE!$B251:$DY251,PRODUCE!$EB$42:$IY$42)</f>
        <v>0</v>
      </c>
      <c r="LJ248" s="67"/>
      <c r="LK248" s="242">
        <f t="shared" si="1601"/>
        <v>0</v>
      </c>
      <c r="LL248" s="242">
        <f t="shared" si="1602"/>
        <v>4000</v>
      </c>
      <c r="LM248" s="56"/>
      <c r="LP248" s="55">
        <f t="shared" si="1603"/>
        <v>46234</v>
      </c>
      <c r="LQ248" s="67"/>
      <c r="LR248" s="242">
        <f>SUMPRODUCT(PRODUCE!$B251:$DY251,PRODUCE!$EB$43:$IY$43)</f>
        <v>0</v>
      </c>
      <c r="LS248" s="67"/>
      <c r="LT248" s="242">
        <f t="shared" si="1604"/>
        <v>0</v>
      </c>
      <c r="LU248" s="242">
        <f t="shared" si="1605"/>
        <v>0</v>
      </c>
      <c r="LV248" s="56"/>
      <c r="LY248" s="55">
        <f t="shared" si="1606"/>
        <v>46234</v>
      </c>
      <c r="LZ248" s="67"/>
      <c r="MA248" s="242">
        <f>SUMPRODUCT(PRODUCE!$B251:$DY251,PRODUCE!$EB$44:$IY$44)</f>
        <v>0</v>
      </c>
      <c r="MB248" s="67"/>
      <c r="MC248" s="242">
        <f t="shared" si="1607"/>
        <v>0</v>
      </c>
      <c r="MD248" s="242">
        <f t="shared" si="1608"/>
        <v>0</v>
      </c>
      <c r="ME248" s="56"/>
      <c r="MH248" s="55">
        <f t="shared" si="1609"/>
        <v>46234</v>
      </c>
      <c r="MI248" s="67"/>
      <c r="MJ248" s="242">
        <f>SUMPRODUCT(PRODUCE!$B251:$DY251,PRODUCE!$EB$45:$IY$45)</f>
        <v>0</v>
      </c>
      <c r="MK248" s="67"/>
      <c r="ML248" s="242">
        <f t="shared" si="1610"/>
        <v>0</v>
      </c>
      <c r="MM248" s="242">
        <f t="shared" si="1611"/>
        <v>0</v>
      </c>
      <c r="MN248" s="56"/>
      <c r="MQ248" s="55">
        <f t="shared" si="1612"/>
        <v>46234</v>
      </c>
      <c r="MR248" s="67"/>
      <c r="MS248" s="242">
        <f>SUMPRODUCT(PRODUCE!$B251:$DY251,PRODUCE!$EB$46:$IY$46)</f>
        <v>0</v>
      </c>
      <c r="MT248" s="67">
        <f>80+30+20</f>
        <v>130</v>
      </c>
      <c r="MU248" s="242">
        <f t="shared" si="1613"/>
        <v>-130</v>
      </c>
      <c r="MV248" s="242">
        <f t="shared" si="1614"/>
        <v>2216</v>
      </c>
      <c r="MW248" s="56"/>
      <c r="MZ248" s="55">
        <f t="shared" si="1615"/>
        <v>46234</v>
      </c>
      <c r="NA248" s="67">
        <v>840</v>
      </c>
      <c r="NB248" s="242">
        <f>SUMPRODUCT(PRODUCE!$B251:$DY251,PRODUCE!$EB$47:$IY$47)</f>
        <v>0</v>
      </c>
      <c r="NC248" s="67">
        <f>240+360+240</f>
        <v>840</v>
      </c>
      <c r="ND248" s="242">
        <f t="shared" si="1616"/>
        <v>-840</v>
      </c>
      <c r="NE248" s="242">
        <f t="shared" si="1617"/>
        <v>0</v>
      </c>
      <c r="NF248" s="56"/>
      <c r="NI248" s="55">
        <f t="shared" si="1618"/>
        <v>46234</v>
      </c>
      <c r="NJ248" s="67"/>
      <c r="NK248" s="242">
        <f>SUMPRODUCT(PRODUCE!$B251:$DY251,PRODUCE!$EB$48:$IY$48)</f>
        <v>0</v>
      </c>
      <c r="NL248" s="67"/>
      <c r="NM248" s="242">
        <f t="shared" si="1619"/>
        <v>0</v>
      </c>
      <c r="NN248" s="242">
        <f t="shared" si="1620"/>
        <v>1127</v>
      </c>
      <c r="NO248" s="56"/>
      <c r="NR248" s="55">
        <f t="shared" si="1621"/>
        <v>46234</v>
      </c>
      <c r="NS248" s="67"/>
      <c r="NT248" s="242">
        <f>SUMPRODUCT(PRODUCE!$B251:$DY251,PRODUCE!$EB$49:$IY$49)</f>
        <v>0</v>
      </c>
      <c r="NU248" s="67"/>
      <c r="NV248" s="242">
        <f t="shared" si="1622"/>
        <v>0</v>
      </c>
      <c r="NW248" s="242">
        <f t="shared" si="1623"/>
        <v>3111.9999999999995</v>
      </c>
      <c r="NX248" s="56"/>
      <c r="OA248" s="55">
        <f t="shared" si="1624"/>
        <v>46234</v>
      </c>
      <c r="OB248" s="67"/>
      <c r="OC248" s="242">
        <f>SUMPRODUCT(PRODUCE!$B251:$DY251,PRODUCE!$EB$50:$IY$50)</f>
        <v>0</v>
      </c>
      <c r="OD248" s="67"/>
      <c r="OE248" s="242">
        <f t="shared" si="1625"/>
        <v>0</v>
      </c>
      <c r="OF248" s="242">
        <f t="shared" si="1626"/>
        <v>1680.5</v>
      </c>
      <c r="OG248" s="56"/>
      <c r="OJ248" s="55">
        <f t="shared" si="1627"/>
        <v>46234</v>
      </c>
      <c r="OK248" s="67">
        <v>136</v>
      </c>
      <c r="OL248" s="242">
        <f>SUMPRODUCT(PRODUCE!$B251:$DY251,PRODUCE!$EB$51:$IY$51)</f>
        <v>0</v>
      </c>
      <c r="OM248" s="67">
        <f>84+52</f>
        <v>136</v>
      </c>
      <c r="ON248" s="242">
        <f t="shared" si="1628"/>
        <v>-136</v>
      </c>
      <c r="OO248" s="242">
        <f t="shared" si="1629"/>
        <v>0</v>
      </c>
      <c r="OP248" s="56"/>
      <c r="OS248" s="55">
        <f t="shared" si="1630"/>
        <v>46234</v>
      </c>
      <c r="OT248" s="67"/>
      <c r="OU248" s="242">
        <f>SUMPRODUCT(PRODUCE!$B251:$DY251,PRODUCE!$EB$52:$IY$52)</f>
        <v>0</v>
      </c>
      <c r="OV248" s="67"/>
      <c r="OW248" s="242">
        <f t="shared" si="1631"/>
        <v>0</v>
      </c>
      <c r="OX248" s="242">
        <f t="shared" si="1632"/>
        <v>1482</v>
      </c>
      <c r="OY248" s="56"/>
      <c r="PB248" s="55">
        <f t="shared" si="1633"/>
        <v>46234</v>
      </c>
      <c r="PC248" s="67"/>
      <c r="PD248" s="242">
        <f>SUMPRODUCT(PRODUCE!$B251:$DY251,PRODUCE!$EB$53:$IY$53)</f>
        <v>0</v>
      </c>
      <c r="PE248" s="67"/>
      <c r="PF248" s="242">
        <f t="shared" si="1634"/>
        <v>0</v>
      </c>
      <c r="PG248" s="242">
        <f t="shared" si="1635"/>
        <v>0</v>
      </c>
      <c r="PH248" s="56"/>
      <c r="PK248" s="55">
        <f t="shared" si="1636"/>
        <v>46234</v>
      </c>
      <c r="PL248" s="67"/>
      <c r="PM248" s="242">
        <f>SUMPRODUCT(PRODUCE!$B251:$DY251,PRODUCE!$EB$54:$IY$54)</f>
        <v>0</v>
      </c>
      <c r="PN248" s="67"/>
      <c r="PO248" s="242">
        <f t="shared" si="1637"/>
        <v>0</v>
      </c>
      <c r="PP248" s="242">
        <f t="shared" si="1638"/>
        <v>100</v>
      </c>
      <c r="PQ248" s="56"/>
      <c r="PT248" s="55">
        <f t="shared" si="1639"/>
        <v>46234</v>
      </c>
      <c r="PU248" s="67"/>
      <c r="PV248" s="242">
        <f>SUMPRODUCT(PRODUCE!$B251:$DY251,PRODUCE!$EB$55:$IY$55)</f>
        <v>0</v>
      </c>
      <c r="PW248" s="67"/>
      <c r="PX248" s="242">
        <f t="shared" si="1640"/>
        <v>0</v>
      </c>
      <c r="PY248" s="242">
        <f t="shared" si="1641"/>
        <v>13.960000000000036</v>
      </c>
      <c r="PZ248" s="56"/>
      <c r="QC248" s="55">
        <f t="shared" si="1642"/>
        <v>46234</v>
      </c>
      <c r="QD248" s="67"/>
      <c r="QE248" s="242">
        <f>SUMPRODUCT(PRODUCE!$B251:$DY251,PRODUCE!$EB$56:$IY$56)</f>
        <v>0</v>
      </c>
      <c r="QF248" s="67">
        <v>320</v>
      </c>
      <c r="QG248" s="242">
        <f t="shared" si="1643"/>
        <v>-320</v>
      </c>
      <c r="QH248" s="242">
        <f t="shared" si="1644"/>
        <v>1284</v>
      </c>
      <c r="QI248" s="56"/>
      <c r="QL248" s="55">
        <f t="shared" si="1645"/>
        <v>46234</v>
      </c>
      <c r="QM248" s="67"/>
      <c r="QN248" s="242">
        <f>SUMPRODUCT(PRODUCE!$B251:$DY251,PRODUCE!$EB$57:$IY$57)</f>
        <v>0</v>
      </c>
      <c r="QO248" s="67"/>
      <c r="QP248" s="242">
        <f t="shared" si="1646"/>
        <v>0</v>
      </c>
      <c r="QQ248" s="242">
        <f t="shared" si="1647"/>
        <v>0</v>
      </c>
      <c r="QR248" s="56"/>
      <c r="QU248" s="55">
        <f t="shared" si="1648"/>
        <v>46234</v>
      </c>
      <c r="QV248" s="67"/>
      <c r="QW248" s="242">
        <f>SUMPRODUCT(PRODUCE!$B251:$DY251,PRODUCE!$EB$58:$IY$58)</f>
        <v>0</v>
      </c>
      <c r="QX248" s="67"/>
      <c r="QY248" s="242">
        <f t="shared" si="1649"/>
        <v>0</v>
      </c>
      <c r="QZ248" s="242">
        <f t="shared" si="1650"/>
        <v>207.6</v>
      </c>
      <c r="RA248" s="56"/>
      <c r="RD248" s="55">
        <f t="shared" si="1651"/>
        <v>46234</v>
      </c>
      <c r="RE248" s="67"/>
      <c r="RF248" s="242">
        <f>SUMPRODUCT(PRODUCE!$B251:$DY251,PRODUCE!$EB$59:$IY$59)</f>
        <v>0</v>
      </c>
      <c r="RG248" s="67"/>
      <c r="RH248" s="242">
        <f t="shared" si="1652"/>
        <v>0</v>
      </c>
      <c r="RI248" s="242">
        <f t="shared" si="1653"/>
        <v>147.04000000000002</v>
      </c>
      <c r="RJ248" s="56"/>
      <c r="RM248" s="55">
        <f t="shared" si="1654"/>
        <v>46234</v>
      </c>
      <c r="RN248" s="67"/>
      <c r="RO248" s="242">
        <f>SUMPRODUCT(PRODUCE!$B251:$DY251,PRODUCE!$EB$60:$IY$60)</f>
        <v>0</v>
      </c>
      <c r="RP248" s="67"/>
      <c r="RQ248" s="242">
        <f t="shared" si="1655"/>
        <v>0</v>
      </c>
      <c r="RR248" s="242">
        <f t="shared" si="1656"/>
        <v>46.8</v>
      </c>
      <c r="RS248" s="56"/>
      <c r="RV248" s="55">
        <f t="shared" si="1657"/>
        <v>46234</v>
      </c>
      <c r="RW248" s="67"/>
      <c r="RX248" s="242">
        <f>SUMPRODUCT(PRODUCE!$B251:$DY251,PRODUCE!$EB$61:$IY$61)</f>
        <v>0</v>
      </c>
      <c r="RY248" s="67"/>
      <c r="RZ248" s="242">
        <f t="shared" si="1658"/>
        <v>0</v>
      </c>
      <c r="SA248" s="242">
        <f t="shared" si="1659"/>
        <v>0</v>
      </c>
      <c r="SB248" s="56"/>
      <c r="SE248" s="55">
        <f t="shared" si="1660"/>
        <v>46234</v>
      </c>
      <c r="SF248" s="67"/>
      <c r="SG248" s="242">
        <f>SUMPRODUCT(PRODUCE!$B251:$DY251,PRODUCE!$EB$62:$IY$62)</f>
        <v>0</v>
      </c>
      <c r="SH248" s="67"/>
      <c r="SI248" s="242">
        <f t="shared" si="1661"/>
        <v>0</v>
      </c>
      <c r="SJ248" s="242">
        <f t="shared" si="1662"/>
        <v>24.200000000000003</v>
      </c>
      <c r="SK248" s="56"/>
      <c r="SN248" s="55">
        <f t="shared" si="1663"/>
        <v>46234</v>
      </c>
      <c r="SO248" s="67"/>
      <c r="SP248" s="242">
        <f>SUMPRODUCT(PRODUCE!$B251:$DY251,PRODUCE!$EB$63:$IY$63)</f>
        <v>0</v>
      </c>
      <c r="SQ248" s="67"/>
      <c r="SR248" s="242">
        <f t="shared" si="1664"/>
        <v>0</v>
      </c>
      <c r="SS248" s="242">
        <f t="shared" si="1665"/>
        <v>32</v>
      </c>
      <c r="ST248" s="56"/>
      <c r="SW248" s="55">
        <f t="shared" si="1666"/>
        <v>46234</v>
      </c>
      <c r="SX248" s="67"/>
      <c r="SY248" s="242">
        <f>SUMPRODUCT(PRODUCE!$B251:$DY251,PRODUCE!$EB$64:$IY$64)</f>
        <v>0</v>
      </c>
      <c r="SZ248" s="67"/>
      <c r="TA248" s="242">
        <f t="shared" si="1667"/>
        <v>0</v>
      </c>
      <c r="TB248" s="242">
        <f t="shared" si="1668"/>
        <v>0</v>
      </c>
      <c r="TC248" s="56"/>
      <c r="TF248" s="55">
        <f t="shared" si="1669"/>
        <v>46234</v>
      </c>
      <c r="TG248" s="67"/>
      <c r="TH248" s="242">
        <f>SUMPRODUCT(PRODUCE!$B251:$DY251,PRODUCE!$EB$57:$IY$57)</f>
        <v>0</v>
      </c>
      <c r="TI248" s="67"/>
      <c r="TJ248" s="242">
        <f t="shared" si="1670"/>
        <v>0</v>
      </c>
      <c r="TK248" s="242">
        <f t="shared" si="1671"/>
        <v>0</v>
      </c>
      <c r="TL248" s="56"/>
      <c r="TO248" s="55">
        <f t="shared" si="1672"/>
        <v>46234</v>
      </c>
      <c r="TP248" s="67"/>
      <c r="TQ248" s="242">
        <f>SUMPRODUCT(PRODUCE!$B251:$DY251,PRODUCE!$EB$57:$IY$57)</f>
        <v>0</v>
      </c>
      <c r="TR248" s="67"/>
      <c r="TS248" s="242">
        <f t="shared" si="1673"/>
        <v>0</v>
      </c>
      <c r="TT248" s="242">
        <f t="shared" si="1674"/>
        <v>10.400000000000006</v>
      </c>
      <c r="TU248" s="56"/>
      <c r="TX248" s="55">
        <f t="shared" si="1675"/>
        <v>46234</v>
      </c>
      <c r="TY248" s="67"/>
      <c r="TZ248" s="242">
        <f>SUMPRODUCT(PRODUCE!$B251:$DY251,PRODUCE!$EB$57:$IY$57)</f>
        <v>0</v>
      </c>
      <c r="UA248" s="67"/>
      <c r="UB248" s="242">
        <f t="shared" si="1676"/>
        <v>0</v>
      </c>
      <c r="UC248" s="242">
        <f t="shared" si="1677"/>
        <v>46.799999999999983</v>
      </c>
      <c r="UD248" s="56"/>
      <c r="UG248" s="55">
        <f t="shared" si="1678"/>
        <v>46234</v>
      </c>
      <c r="UH248" s="67"/>
      <c r="UI248" s="242">
        <f>SUMPRODUCT(PRODUCE!$B251:$DY251,PRODUCE!$EB$57:$IY$57)</f>
        <v>0</v>
      </c>
      <c r="UJ248" s="67"/>
      <c r="UK248" s="242">
        <f t="shared" si="1679"/>
        <v>0</v>
      </c>
      <c r="UL248" s="242">
        <f t="shared" si="1680"/>
        <v>204</v>
      </c>
      <c r="UM248" s="56"/>
      <c r="UP248" s="55">
        <f t="shared" si="1681"/>
        <v>46234</v>
      </c>
      <c r="UQ248" s="67"/>
      <c r="UR248" s="242">
        <f>SUMPRODUCT(PRODUCE!$B251:$DY251,PRODUCE!$EB$69:$IY$69)</f>
        <v>0</v>
      </c>
      <c r="US248" s="67"/>
      <c r="UT248" s="242">
        <f t="shared" si="1682"/>
        <v>0</v>
      </c>
      <c r="UU248" s="242">
        <f t="shared" si="1683"/>
        <v>202.5</v>
      </c>
      <c r="UV248" s="56"/>
      <c r="UY248" s="55">
        <f t="shared" si="1684"/>
        <v>46234</v>
      </c>
      <c r="UZ248" s="67"/>
      <c r="VA248" s="242">
        <f>SUMPRODUCT(PRODUCE!$B251:$DY251,PRODUCE!$EB$70:$IY$70)</f>
        <v>0</v>
      </c>
      <c r="VB248" s="67"/>
      <c r="VC248" s="242">
        <f t="shared" si="1685"/>
        <v>0</v>
      </c>
      <c r="VD248" s="242">
        <f t="shared" si="1686"/>
        <v>41.600000000000023</v>
      </c>
      <c r="VE248" s="56"/>
      <c r="VH248" s="55">
        <f t="shared" si="1687"/>
        <v>46234</v>
      </c>
      <c r="VI248" s="67"/>
      <c r="VJ248" s="242">
        <f>SUMPRODUCT(PRODUCE!$B251:$DY251,PRODUCE!$EB$71:$IY$71)</f>
        <v>0</v>
      </c>
      <c r="VK248" s="67"/>
      <c r="VL248" s="242">
        <f t="shared" si="1688"/>
        <v>0</v>
      </c>
      <c r="VM248" s="242">
        <f t="shared" si="1689"/>
        <v>210</v>
      </c>
      <c r="VN248" s="56"/>
      <c r="VQ248" s="55">
        <f t="shared" si="1690"/>
        <v>46234</v>
      </c>
      <c r="VR248" s="67"/>
      <c r="VS248" s="242">
        <f>SUMPRODUCT(PRODUCE!$B251:$DY251,PRODUCE!$EB$57:$IY$57)</f>
        <v>0</v>
      </c>
      <c r="VT248" s="67"/>
      <c r="VU248" s="242">
        <f t="shared" si="1691"/>
        <v>0</v>
      </c>
      <c r="VV248" s="242">
        <f t="shared" si="1692"/>
        <v>0</v>
      </c>
      <c r="VW248" s="56"/>
      <c r="VZ248" s="55">
        <f t="shared" si="1693"/>
        <v>46234</v>
      </c>
      <c r="WA248" s="67"/>
      <c r="WB248" s="242">
        <f>SUMPRODUCT(PRODUCE!$B251:$DY251,PRODUCE!$EB$57:$IY$57)</f>
        <v>0</v>
      </c>
      <c r="WC248" s="67"/>
      <c r="WD248" s="242">
        <f t="shared" si="1694"/>
        <v>0</v>
      </c>
      <c r="WE248" s="242">
        <f t="shared" si="1695"/>
        <v>0</v>
      </c>
      <c r="WF248" s="56"/>
      <c r="WI248" s="55">
        <f t="shared" si="1696"/>
        <v>46234</v>
      </c>
      <c r="WJ248" s="67"/>
      <c r="WK248" s="242">
        <f>SUMPRODUCT(PRODUCE!$B251:$DY251,PRODUCE!$EB$57:$IY$57)</f>
        <v>0</v>
      </c>
      <c r="WL248" s="67"/>
      <c r="WM248" s="242">
        <f t="shared" si="1697"/>
        <v>0</v>
      </c>
      <c r="WN248" s="242">
        <f t="shared" si="1698"/>
        <v>1057</v>
      </c>
      <c r="WO248" s="56"/>
      <c r="WR248" s="55">
        <f t="shared" si="1699"/>
        <v>46234</v>
      </c>
      <c r="WS248" s="67"/>
      <c r="WT248" s="242">
        <f>SUMPRODUCT(PRODUCE!$B251:$DY251,PRODUCE!$EB$57:$IY$57)</f>
        <v>0</v>
      </c>
      <c r="WU248" s="67"/>
      <c r="WV248" s="242">
        <f t="shared" si="1700"/>
        <v>0</v>
      </c>
      <c r="WW248" s="242">
        <f t="shared" si="1701"/>
        <v>0</v>
      </c>
      <c r="WX248" s="56"/>
      <c r="XA248" s="55">
        <f t="shared" si="1702"/>
        <v>46234</v>
      </c>
      <c r="XB248" s="67"/>
      <c r="XC248" s="242">
        <f>SUMPRODUCT(PRODUCE!$B251:$DY251,PRODUCE!$EB$57:$IY$57)</f>
        <v>0</v>
      </c>
      <c r="XD248" s="67"/>
      <c r="XE248" s="242">
        <f t="shared" si="1703"/>
        <v>0</v>
      </c>
      <c r="XF248" s="242">
        <f t="shared" si="1704"/>
        <v>7507</v>
      </c>
      <c r="XG248" s="56"/>
      <c r="XJ248" s="55">
        <f t="shared" si="1705"/>
        <v>46234</v>
      </c>
      <c r="XK248" s="67"/>
      <c r="XL248" s="242">
        <f>SUMPRODUCT(PRODUCE!$B251:$DY251,PRODUCE!$EB$57:$IY$57)</f>
        <v>0</v>
      </c>
      <c r="XM248" s="67"/>
      <c r="XN248" s="242">
        <f t="shared" si="1706"/>
        <v>0</v>
      </c>
      <c r="XO248" s="242">
        <f t="shared" si="1707"/>
        <v>4252</v>
      </c>
      <c r="XP248" s="56"/>
      <c r="XS248" s="55">
        <f t="shared" si="1708"/>
        <v>46234</v>
      </c>
      <c r="XT248" s="67"/>
      <c r="XU248" s="242">
        <f>SUMPRODUCT(PRODUCE!$B251:$DY251,PRODUCE!$EB$57:$IY$57)</f>
        <v>0</v>
      </c>
      <c r="XV248" s="67"/>
      <c r="XW248" s="242">
        <f t="shared" si="1709"/>
        <v>0</v>
      </c>
      <c r="XX248" s="242">
        <f t="shared" si="1710"/>
        <v>2179</v>
      </c>
      <c r="XY248" s="56"/>
      <c r="YB248" s="55">
        <f t="shared" si="1711"/>
        <v>46234</v>
      </c>
      <c r="YC248" s="67"/>
      <c r="YD248" s="242">
        <f>SUMPRODUCT(PRODUCE!$B251:$DY251,PRODUCE!$EB$57:$IY$57)</f>
        <v>0</v>
      </c>
      <c r="YE248" s="67"/>
      <c r="YF248" s="242">
        <f t="shared" si="1712"/>
        <v>0</v>
      </c>
      <c r="YG248" s="242">
        <f t="shared" si="1713"/>
        <v>4019</v>
      </c>
      <c r="YH248" s="56"/>
      <c r="YK248" s="55">
        <f t="shared" si="1714"/>
        <v>46234</v>
      </c>
      <c r="YL248" s="67"/>
      <c r="YM248" s="242">
        <f>SUMPRODUCT(PRODUCE!$B251:$DY251,PRODUCE!$EB$57:$IY$57)</f>
        <v>0</v>
      </c>
      <c r="YN248" s="67"/>
      <c r="YO248" s="242">
        <f t="shared" si="1715"/>
        <v>0</v>
      </c>
      <c r="YP248" s="242">
        <f t="shared" si="1716"/>
        <v>0</v>
      </c>
      <c r="YQ248" s="56"/>
      <c r="YT248" s="55">
        <f t="shared" si="1717"/>
        <v>46234</v>
      </c>
      <c r="YU248" s="67"/>
      <c r="YV248" s="242">
        <f>SUMPRODUCT(PRODUCE!$B251:$DY251,PRODUCE!$EB$57:$IY$57)</f>
        <v>0</v>
      </c>
      <c r="YW248" s="67"/>
      <c r="YX248" s="242">
        <f t="shared" si="1718"/>
        <v>0</v>
      </c>
      <c r="YY248" s="242">
        <f t="shared" si="1719"/>
        <v>0</v>
      </c>
      <c r="YZ248" s="56"/>
      <c r="ZC248" s="55">
        <f t="shared" si="1720"/>
        <v>46234</v>
      </c>
      <c r="ZD248" s="67"/>
      <c r="ZE248" s="242">
        <f>SUMPRODUCT(PRODUCE!$B251:$DY251,PRODUCE!$EB$57:$IY$57)</f>
        <v>0</v>
      </c>
      <c r="ZF248" s="67"/>
      <c r="ZG248" s="242">
        <f t="shared" si="1721"/>
        <v>0</v>
      </c>
      <c r="ZH248" s="242">
        <f t="shared" si="1722"/>
        <v>0</v>
      </c>
      <c r="ZI248" s="56"/>
      <c r="ZL248" s="55">
        <f t="shared" si="1723"/>
        <v>46234</v>
      </c>
      <c r="ZM248" s="67"/>
      <c r="ZN248" s="242">
        <f>SUMPRODUCT(PRODUCE!$B251:$DY251,PRODUCE!$EB$57:$IY$57)</f>
        <v>0</v>
      </c>
      <c r="ZO248" s="67"/>
      <c r="ZP248" s="242">
        <f t="shared" si="1724"/>
        <v>0</v>
      </c>
      <c r="ZQ248" s="242">
        <f t="shared" si="1725"/>
        <v>0</v>
      </c>
      <c r="ZR248" s="56"/>
      <c r="ZU248" s="55">
        <f t="shared" si="1726"/>
        <v>46234</v>
      </c>
      <c r="ZV248" s="67"/>
      <c r="ZW248" s="242">
        <f>SUMPRODUCT(PRODUCE!$B251:$DY251,PRODUCE!$EB$57:$IY$57)</f>
        <v>0</v>
      </c>
      <c r="ZX248" s="67"/>
      <c r="ZY248" s="242">
        <f t="shared" si="1727"/>
        <v>0</v>
      </c>
      <c r="ZZ248" s="242">
        <f t="shared" si="1728"/>
        <v>0</v>
      </c>
      <c r="AAA248" s="56"/>
      <c r="AAD248" s="55">
        <f t="shared" si="1729"/>
        <v>46234</v>
      </c>
      <c r="AAE248" s="67"/>
      <c r="AAF248" s="242">
        <f>SUMPRODUCT(PRODUCE!$B251:$DY251,PRODUCE!$EB$57:$IY$57)</f>
        <v>0</v>
      </c>
      <c r="AAG248" s="67"/>
      <c r="AAH248" s="242">
        <f t="shared" si="1730"/>
        <v>0</v>
      </c>
      <c r="AAI248" s="242">
        <f t="shared" si="1731"/>
        <v>0</v>
      </c>
      <c r="AAJ248" s="56"/>
      <c r="AAM248" s="55">
        <f t="shared" si="1732"/>
        <v>46234</v>
      </c>
      <c r="AAN248" s="67"/>
      <c r="AAO248" s="242">
        <f>SUMPRODUCT(PRODUCE!$B251:$DY251,PRODUCE!$EB$57:$IY$57)</f>
        <v>0</v>
      </c>
      <c r="AAP248" s="67"/>
      <c r="AAQ248" s="242">
        <f t="shared" si="1733"/>
        <v>0</v>
      </c>
      <c r="AAR248" s="242">
        <f t="shared" si="1734"/>
        <v>0</v>
      </c>
      <c r="AAS248" s="56"/>
      <c r="AAV248" s="55">
        <f t="shared" si="1735"/>
        <v>46234</v>
      </c>
      <c r="AAW248" s="67"/>
      <c r="AAX248" s="242">
        <f>SUMPRODUCT(PRODUCE!$B251:$DY251,PRODUCE!$EB$57:$IY$57)</f>
        <v>0</v>
      </c>
      <c r="AAY248" s="67"/>
      <c r="AAZ248" s="242">
        <f t="shared" si="1736"/>
        <v>0</v>
      </c>
      <c r="ABA248" s="242">
        <f t="shared" si="1737"/>
        <v>0</v>
      </c>
      <c r="ABB248" s="56"/>
      <c r="ABE248" s="55">
        <f t="shared" si="1738"/>
        <v>46234</v>
      </c>
      <c r="ABF248" s="67"/>
      <c r="ABG248" s="242">
        <f>SUMPRODUCT(PRODUCE!$B251:$DY251,PRODUCE!$EB$57:$IY$57)</f>
        <v>0</v>
      </c>
      <c r="ABH248" s="67"/>
      <c r="ABI248" s="242">
        <f t="shared" si="1739"/>
        <v>0</v>
      </c>
      <c r="ABJ248" s="242">
        <f t="shared" si="1740"/>
        <v>0</v>
      </c>
      <c r="ABK248" s="56"/>
    </row>
    <row r="249" spans="1:739" ht="14.45" thickBot="1">
      <c r="B249" s="480">
        <f>SUM(B218:B248)</f>
        <v>0</v>
      </c>
      <c r="C249" s="68" t="s">
        <v>72</v>
      </c>
      <c r="D249" s="426">
        <f>SUM(D218:D248)</f>
        <v>786310</v>
      </c>
      <c r="E249" s="426">
        <f>SUM(E218:E248)</f>
        <v>345123.8</v>
      </c>
      <c r="F249" s="426">
        <f>SUM(F218:F248)</f>
        <v>698968.4</v>
      </c>
      <c r="G249" s="426">
        <f>SUM(G218:G248)</f>
        <v>-353844.60000000003</v>
      </c>
      <c r="H249" s="428">
        <f>H248</f>
        <v>190949.40000000002</v>
      </c>
      <c r="I249" s="289"/>
      <c r="L249" s="68" t="s">
        <v>72</v>
      </c>
      <c r="M249" s="426">
        <f>SUM(M218:M248)</f>
        <v>339170</v>
      </c>
      <c r="N249" s="426">
        <f>SUM(N218:N248)</f>
        <v>193692.6</v>
      </c>
      <c r="O249" s="426">
        <f>SUM(O218:O248)</f>
        <v>337651.60000000003</v>
      </c>
      <c r="P249" s="426">
        <f>SUM(P218:P248)</f>
        <v>-143959.00000000003</v>
      </c>
      <c r="Q249" s="428">
        <f>Q248</f>
        <v>53017.600000000071</v>
      </c>
      <c r="R249" s="71"/>
      <c r="U249" s="68" t="s">
        <v>72</v>
      </c>
      <c r="V249" s="426">
        <f>SUM(V218:V248)</f>
        <v>80250</v>
      </c>
      <c r="W249" s="426">
        <f>SUM(W218:W248)</f>
        <v>32980</v>
      </c>
      <c r="X249" s="426">
        <f>SUM(X218:X248)</f>
        <v>70307.799999999988</v>
      </c>
      <c r="Y249" s="426">
        <f>SUM(Y218:Y248)</f>
        <v>-37327.80000000001</v>
      </c>
      <c r="Z249" s="428">
        <f>Z248</f>
        <v>42674.199999999968</v>
      </c>
      <c r="AA249" s="71"/>
      <c r="AD249" s="68" t="s">
        <v>72</v>
      </c>
      <c r="AE249" s="426">
        <f>SUM(AE218:AE248)</f>
        <v>0</v>
      </c>
      <c r="AF249" s="426">
        <f>SUM(AF218:AF248)</f>
        <v>1500</v>
      </c>
      <c r="AG249" s="426">
        <f>SUM(AG218:AG248)</f>
        <v>28850.5</v>
      </c>
      <c r="AH249" s="426">
        <f>SUM(AH218:AH248)</f>
        <v>-27350.5</v>
      </c>
      <c r="AI249" s="428">
        <f>AI248</f>
        <v>4522.2000000000189</v>
      </c>
      <c r="AJ249" s="71"/>
      <c r="AM249" s="68" t="s">
        <v>72</v>
      </c>
      <c r="AN249" s="426">
        <f>SUM(AN218:AN248)</f>
        <v>0</v>
      </c>
      <c r="AO249" s="426">
        <f>SUM(AO218:AO248)</f>
        <v>0</v>
      </c>
      <c r="AP249" s="426">
        <f>SUM(AP218:AP248)</f>
        <v>0</v>
      </c>
      <c r="AQ249" s="426">
        <f>SUM(AQ218:AQ248)</f>
        <v>0</v>
      </c>
      <c r="AR249" s="428">
        <f>AR248</f>
        <v>0</v>
      </c>
      <c r="AS249" s="71"/>
      <c r="AV249" s="68" t="s">
        <v>72</v>
      </c>
      <c r="AW249" s="426">
        <f>SUM(AW218:AW248)</f>
        <v>0</v>
      </c>
      <c r="AX249" s="426">
        <f>SUM(AX218:AX248)</f>
        <v>1826</v>
      </c>
      <c r="AY249" s="426">
        <f>SUM(AY218:AY248)</f>
        <v>13821.2</v>
      </c>
      <c r="AZ249" s="426">
        <f>SUM(AZ218:AZ248)</f>
        <v>-11995.2</v>
      </c>
      <c r="BA249" s="428">
        <f>BA248</f>
        <v>124.99999999999523</v>
      </c>
      <c r="BB249" s="71"/>
      <c r="BE249" s="68" t="s">
        <v>72</v>
      </c>
      <c r="BF249" s="426">
        <f>SUM(BF218:BF248)</f>
        <v>0</v>
      </c>
      <c r="BG249" s="426">
        <f>SUM(BG218:BG248)</f>
        <v>4416</v>
      </c>
      <c r="BH249" s="426">
        <f>SUM(BH218:BH248)</f>
        <v>10795.799999999997</v>
      </c>
      <c r="BI249" s="426">
        <f>SUM(BI218:BI248)</f>
        <v>-6379.8000000000011</v>
      </c>
      <c r="BJ249" s="428">
        <f>BJ248</f>
        <v>26151.899999999998</v>
      </c>
      <c r="BK249" s="71"/>
      <c r="BN249" s="68" t="s">
        <v>72</v>
      </c>
      <c r="BO249" s="426">
        <f>SUM(BO218:BO248)</f>
        <v>13602.5</v>
      </c>
      <c r="BP249" s="426">
        <f>SUM(BP218:BP248)</f>
        <v>6673</v>
      </c>
      <c r="BQ249" s="426">
        <f>SUM(BQ218:BQ248)</f>
        <v>13602.5</v>
      </c>
      <c r="BR249" s="426">
        <f>SUM(BR218:BR248)</f>
        <v>-6929.4999999999982</v>
      </c>
      <c r="BS249" s="428">
        <f>BS248</f>
        <v>0</v>
      </c>
      <c r="BT249" s="71"/>
      <c r="BW249" s="68" t="s">
        <v>72</v>
      </c>
      <c r="BX249" s="426">
        <f>SUM(BX218:BX248)</f>
        <v>6000</v>
      </c>
      <c r="BY249" s="426">
        <f>SUM(BY218:BY248)</f>
        <v>3159.8300000000004</v>
      </c>
      <c r="BZ249" s="426">
        <f>SUM(BZ218:BZ248)</f>
        <v>5066.2800000000007</v>
      </c>
      <c r="CA249" s="426">
        <f>SUM(CA218:CA248)</f>
        <v>-1906.4499999999998</v>
      </c>
      <c r="CB249" s="428">
        <f>CB248</f>
        <v>3322.4999999999986</v>
      </c>
      <c r="CC249" s="71"/>
      <c r="CF249" s="68" t="s">
        <v>72</v>
      </c>
      <c r="CG249" s="426">
        <f>SUM(CG218:CG248)</f>
        <v>0</v>
      </c>
      <c r="CH249" s="426">
        <f>SUM(CH218:CH248)</f>
        <v>1394</v>
      </c>
      <c r="CI249" s="426">
        <f>SUM(CI218:CI248)</f>
        <v>10277.079999999998</v>
      </c>
      <c r="CJ249" s="426">
        <f>SUM(CJ218:CJ248)</f>
        <v>-8883.0799999999981</v>
      </c>
      <c r="CK249" s="428">
        <f>CK248</f>
        <v>-10277.079999999998</v>
      </c>
      <c r="CL249" s="71"/>
      <c r="CO249" s="72" t="s">
        <v>72</v>
      </c>
      <c r="CP249" s="426">
        <f>SUM(CP218:CP248)</f>
        <v>0</v>
      </c>
      <c r="CQ249" s="426">
        <f>SUM(CQ218:CQ248)</f>
        <v>0</v>
      </c>
      <c r="CR249" s="426">
        <f>SUM(CR218:CR248)</f>
        <v>0</v>
      </c>
      <c r="CS249" s="426">
        <f>SUM(CS218:CS248)</f>
        <v>0</v>
      </c>
      <c r="CT249" s="428">
        <f>CT248</f>
        <v>0</v>
      </c>
      <c r="CU249" s="71"/>
      <c r="CX249" s="72" t="s">
        <v>72</v>
      </c>
      <c r="CY249" s="426">
        <f>SUM(CY218:CY248)</f>
        <v>35201.4</v>
      </c>
      <c r="CZ249" s="426">
        <f>SUM(CZ218:CZ248)</f>
        <v>7320</v>
      </c>
      <c r="DA249" s="426">
        <f>SUM(DA218:DA248)</f>
        <v>16253.1</v>
      </c>
      <c r="DB249" s="426">
        <f>SUM(DB218:DB248)</f>
        <v>-8933.1</v>
      </c>
      <c r="DC249" s="428">
        <f>DC248</f>
        <v>27438.200000000012</v>
      </c>
      <c r="DD249" s="71"/>
      <c r="DG249" s="72" t="s">
        <v>72</v>
      </c>
      <c r="DH249" s="426">
        <f>SUM(DH218:DH248)</f>
        <v>0</v>
      </c>
      <c r="DI249" s="546">
        <f>SUM(DI218:DI248)</f>
        <v>2650</v>
      </c>
      <c r="DJ249" s="426">
        <f>SUM(DJ218:DJ248)</f>
        <v>16152.2</v>
      </c>
      <c r="DK249" s="546">
        <f>SUM(DK218:DK248)</f>
        <v>-13502.2</v>
      </c>
      <c r="DL249" s="528">
        <f>DL248</f>
        <v>18782.299999999981</v>
      </c>
      <c r="DM249" s="71"/>
      <c r="DP249" s="72" t="s">
        <v>72</v>
      </c>
      <c r="DQ249" s="73">
        <f>SUM(DQ218:DQ248)</f>
        <v>0</v>
      </c>
      <c r="DR249" s="73">
        <f>SUM(DR218:DR248)</f>
        <v>0</v>
      </c>
      <c r="DS249" s="73">
        <f>SUM(DS218:DS248)</f>
        <v>0</v>
      </c>
      <c r="DT249" s="73">
        <f>SUM(DT218:DT248)</f>
        <v>0</v>
      </c>
      <c r="DU249" s="70">
        <f>DU248</f>
        <v>5800</v>
      </c>
      <c r="DV249" s="71"/>
      <c r="DY249" s="72" t="s">
        <v>72</v>
      </c>
      <c r="DZ249" s="73">
        <f>SUM(DZ218:DZ248)</f>
        <v>0</v>
      </c>
      <c r="EA249" s="73">
        <f>SUM(EA218:EA248)</f>
        <v>0</v>
      </c>
      <c r="EB249" s="73">
        <f>SUM(EB218:EB248)</f>
        <v>0</v>
      </c>
      <c r="EC249" s="73">
        <f>SUM(EC218:EC248)</f>
        <v>0</v>
      </c>
      <c r="ED249" s="70">
        <f>ED248</f>
        <v>0</v>
      </c>
      <c r="EE249" s="71"/>
      <c r="EH249" s="72" t="s">
        <v>72</v>
      </c>
      <c r="EI249" s="73">
        <f>SUM(EI218:EI248)</f>
        <v>4011.58</v>
      </c>
      <c r="EJ249" s="73">
        <f>SUM(EJ218:EJ248)</f>
        <v>0</v>
      </c>
      <c r="EK249" s="73">
        <f>SUM(EK218:EK248)</f>
        <v>4011.58</v>
      </c>
      <c r="EL249" s="73">
        <f>SUM(EL218:EL248)</f>
        <v>-4011.58</v>
      </c>
      <c r="EM249" s="70">
        <f>EM248</f>
        <v>0</v>
      </c>
      <c r="EN249" s="71"/>
      <c r="EQ249" s="72" t="s">
        <v>72</v>
      </c>
      <c r="ER249" s="73">
        <f>SUM(ER218:ER248)</f>
        <v>0</v>
      </c>
      <c r="ES249" s="73">
        <f>SUM(ES218:ES248)</f>
        <v>0</v>
      </c>
      <c r="ET249" s="73">
        <f>SUM(ET218:ET248)</f>
        <v>0</v>
      </c>
      <c r="EU249" s="73">
        <f>SUM(EU218:EU248)</f>
        <v>0</v>
      </c>
      <c r="EV249" s="70">
        <f>EV248</f>
        <v>0</v>
      </c>
      <c r="EW249" s="71"/>
      <c r="EZ249" s="72" t="s">
        <v>72</v>
      </c>
      <c r="FA249" s="73">
        <f>SUM(FA218:FA248)</f>
        <v>0</v>
      </c>
      <c r="FB249" s="73">
        <f>SUM(FB218:FB248)</f>
        <v>0</v>
      </c>
      <c r="FC249" s="73">
        <f>SUM(FC218:FC248)</f>
        <v>0</v>
      </c>
      <c r="FD249" s="73">
        <f>SUM(FD218:FD248)</f>
        <v>0</v>
      </c>
      <c r="FE249" s="70">
        <f>FE248</f>
        <v>0</v>
      </c>
      <c r="FF249" s="71"/>
      <c r="FI249" s="72" t="s">
        <v>72</v>
      </c>
      <c r="FJ249" s="73">
        <f>SUM(FJ218:FJ248)</f>
        <v>0</v>
      </c>
      <c r="FK249" s="73">
        <f>SUM(FK218:FK248)</f>
        <v>0</v>
      </c>
      <c r="FL249" s="73">
        <f>SUM(FL218:FL248)</f>
        <v>0</v>
      </c>
      <c r="FM249" s="73">
        <f>SUM(FM218:FM248)</f>
        <v>0</v>
      </c>
      <c r="FN249" s="70">
        <f>FN248</f>
        <v>0</v>
      </c>
      <c r="FO249" s="71"/>
      <c r="FR249" s="72" t="s">
        <v>72</v>
      </c>
      <c r="FS249" s="73">
        <f>SUM(FS218:FS248)</f>
        <v>0</v>
      </c>
      <c r="FT249" s="73">
        <f>SUM(FT218:FT248)</f>
        <v>320</v>
      </c>
      <c r="FU249" s="73">
        <f>SUM(FU218:FU248)</f>
        <v>620</v>
      </c>
      <c r="FV249" s="73">
        <f>SUM(FV218:FV248)</f>
        <v>-300</v>
      </c>
      <c r="FW249" s="70">
        <f>FW248</f>
        <v>540</v>
      </c>
      <c r="FX249" s="459">
        <f>FW249/20</f>
        <v>27</v>
      </c>
      <c r="FY249" s="460" t="s">
        <v>173</v>
      </c>
      <c r="GA249" s="72" t="s">
        <v>72</v>
      </c>
      <c r="GB249" s="73">
        <f>SUM(GB218:GB248)</f>
        <v>0</v>
      </c>
      <c r="GC249" s="73">
        <f>SUM(GC218:GC248)</f>
        <v>280</v>
      </c>
      <c r="GD249" s="73">
        <f>SUM(GD218:GD248)</f>
        <v>0</v>
      </c>
      <c r="GE249" s="73">
        <f>SUM(GE218:GE248)</f>
        <v>280</v>
      </c>
      <c r="GF249" s="70">
        <f>GF248</f>
        <v>960</v>
      </c>
      <c r="GG249" s="461">
        <f>GF249/20</f>
        <v>48</v>
      </c>
      <c r="GH249" s="460" t="s">
        <v>173</v>
      </c>
      <c r="GJ249" s="72" t="s">
        <v>72</v>
      </c>
      <c r="GK249" s="73">
        <f>SUM(GK218:GK248)</f>
        <v>0</v>
      </c>
      <c r="GL249" s="73">
        <f>SUM(GL218:GL248)</f>
        <v>0</v>
      </c>
      <c r="GM249" s="73">
        <f>SUM(GM218:GM248)</f>
        <v>0</v>
      </c>
      <c r="GN249" s="73">
        <f>SUM(GN218:GN248)</f>
        <v>0</v>
      </c>
      <c r="GO249" s="70">
        <f>GO248</f>
        <v>1760</v>
      </c>
      <c r="GP249" s="459">
        <f>GO249/20</f>
        <v>88</v>
      </c>
      <c r="GQ249" s="460" t="s">
        <v>173</v>
      </c>
      <c r="GS249" s="72" t="s">
        <v>72</v>
      </c>
      <c r="GT249" s="73">
        <f>SUM(GT218:GT248)</f>
        <v>0</v>
      </c>
      <c r="GU249" s="73">
        <f>SUM(GU218:GU248)</f>
        <v>0</v>
      </c>
      <c r="GV249" s="73">
        <f>SUM(GV218:GV248)</f>
        <v>0</v>
      </c>
      <c r="GW249" s="73">
        <f>SUM(GW218:GW248)</f>
        <v>0</v>
      </c>
      <c r="GX249" s="70">
        <f>GX248</f>
        <v>400</v>
      </c>
      <c r="GY249" s="459">
        <f>GX249/20</f>
        <v>20</v>
      </c>
      <c r="GZ249" s="460" t="s">
        <v>173</v>
      </c>
      <c r="HB249" s="72" t="s">
        <v>72</v>
      </c>
      <c r="HC249" s="73">
        <f>SUM(HC218:HC248)</f>
        <v>0</v>
      </c>
      <c r="HD249" s="73">
        <f>SUM(HD218:HD248)</f>
        <v>0</v>
      </c>
      <c r="HE249" s="73">
        <f>SUM(HE218:HE248)</f>
        <v>0</v>
      </c>
      <c r="HF249" s="73">
        <f>SUM(HF218:HF248)</f>
        <v>0</v>
      </c>
      <c r="HG249" s="70">
        <f>HG248</f>
        <v>3600</v>
      </c>
      <c r="HH249" s="459">
        <f>HG249/20</f>
        <v>180</v>
      </c>
      <c r="HI249" s="460" t="s">
        <v>173</v>
      </c>
      <c r="HK249" s="72" t="s">
        <v>72</v>
      </c>
      <c r="HL249" s="73">
        <f>SUM(HL218:HL248)</f>
        <v>0</v>
      </c>
      <c r="HM249" s="73">
        <f>SUM(HM218:HM248)</f>
        <v>0</v>
      </c>
      <c r="HN249" s="73">
        <f>SUM(HN218:HN248)</f>
        <v>0</v>
      </c>
      <c r="HO249" s="73">
        <f>SUM(HO218:HO248)</f>
        <v>0</v>
      </c>
      <c r="HP249" s="70">
        <f>HP248</f>
        <v>0</v>
      </c>
      <c r="HQ249" s="71"/>
      <c r="HU249" s="72" t="s">
        <v>72</v>
      </c>
      <c r="HV249" s="73">
        <f>SUM(HV218:HV248)</f>
        <v>0</v>
      </c>
      <c r="HW249" s="73">
        <f>SUM(HW218:HW248)</f>
        <v>760</v>
      </c>
      <c r="HX249" s="73">
        <f>SUM(HX218:HX248)</f>
        <v>760</v>
      </c>
      <c r="HY249" s="73">
        <f>SUM(HY218:HY248)</f>
        <v>0</v>
      </c>
      <c r="HZ249" s="70">
        <f>HZ248</f>
        <v>5920</v>
      </c>
      <c r="IA249" s="459">
        <f>HZ249/20</f>
        <v>296</v>
      </c>
      <c r="IB249" s="460" t="s">
        <v>173</v>
      </c>
      <c r="ID249" s="72" t="s">
        <v>72</v>
      </c>
      <c r="IE249" s="73">
        <f>SUM(IE218:IE248)</f>
        <v>0</v>
      </c>
      <c r="IF249" s="73">
        <f>SUM(IF218:IF248)</f>
        <v>0</v>
      </c>
      <c r="IG249" s="73">
        <f>SUM(IG218:IG248)</f>
        <v>0</v>
      </c>
      <c r="IH249" s="73">
        <f>SUM(IH218:IH248)</f>
        <v>0</v>
      </c>
      <c r="II249" s="70">
        <f>II248</f>
        <v>720</v>
      </c>
      <c r="IJ249" s="459">
        <f>II249/20</f>
        <v>36</v>
      </c>
      <c r="IK249" s="460" t="s">
        <v>173</v>
      </c>
      <c r="IM249" s="72" t="s">
        <v>72</v>
      </c>
      <c r="IN249" s="73">
        <f>SUM(IN218:IN248)</f>
        <v>0</v>
      </c>
      <c r="IO249" s="73">
        <f>SUM(IO218:IO248)</f>
        <v>840</v>
      </c>
      <c r="IP249" s="73">
        <f>SUM(IP218:IP248)</f>
        <v>4840</v>
      </c>
      <c r="IQ249" s="73">
        <f>SUM(IQ218:IQ248)</f>
        <v>-4000</v>
      </c>
      <c r="IR249" s="70">
        <f>IR248</f>
        <v>1680</v>
      </c>
      <c r="IS249" s="459">
        <f>IR249/20</f>
        <v>84</v>
      </c>
      <c r="IT249" s="460" t="s">
        <v>173</v>
      </c>
      <c r="IV249" s="72" t="s">
        <v>72</v>
      </c>
      <c r="IW249" s="73">
        <f>SUM(IW218:IW248)</f>
        <v>0</v>
      </c>
      <c r="IX249" s="73">
        <f>SUM(IX218:IX248)</f>
        <v>0</v>
      </c>
      <c r="IY249" s="73">
        <f>SUM(IY218:IY248)</f>
        <v>0</v>
      </c>
      <c r="IZ249" s="73">
        <f>SUM(IZ218:IZ248)</f>
        <v>0</v>
      </c>
      <c r="JA249" s="70">
        <f>JA248</f>
        <v>4960</v>
      </c>
      <c r="JB249" s="459">
        <f>JA249/20</f>
        <v>248</v>
      </c>
      <c r="JC249" s="460" t="s">
        <v>173</v>
      </c>
      <c r="JE249" s="72" t="s">
        <v>72</v>
      </c>
      <c r="JF249" s="73">
        <f>SUM(JF218:JF248)</f>
        <v>0</v>
      </c>
      <c r="JG249" s="73">
        <f>SUM(JG218:JG248)</f>
        <v>0</v>
      </c>
      <c r="JH249" s="73">
        <f>SUM(JH218:JH248)</f>
        <v>0</v>
      </c>
      <c r="JI249" s="73">
        <f>SUM(JI218:JI248)</f>
        <v>0</v>
      </c>
      <c r="JJ249" s="70">
        <f>JJ248</f>
        <v>0</v>
      </c>
      <c r="JK249" s="71"/>
      <c r="JN249" s="72" t="s">
        <v>72</v>
      </c>
      <c r="JO249" s="73">
        <f>SUM(JO218:JO248)</f>
        <v>0</v>
      </c>
      <c r="JP249" s="73">
        <f>SUM(JP218:JP248)</f>
        <v>2520</v>
      </c>
      <c r="JQ249" s="73">
        <f>SUM(JQ218:JQ248)</f>
        <v>0</v>
      </c>
      <c r="JR249" s="73">
        <f>SUM(JR218:JR248)</f>
        <v>2520</v>
      </c>
      <c r="JS249" s="70">
        <f>JS248</f>
        <v>0</v>
      </c>
      <c r="JT249" s="459">
        <f>JS249/20</f>
        <v>0</v>
      </c>
      <c r="JU249" s="460" t="s">
        <v>173</v>
      </c>
      <c r="JW249" s="72" t="s">
        <v>72</v>
      </c>
      <c r="JX249" s="73">
        <f>SUM(JX218:JX248)</f>
        <v>0</v>
      </c>
      <c r="JY249" s="73">
        <f>SUM(JY218:JY248)</f>
        <v>0</v>
      </c>
      <c r="JZ249" s="73">
        <f>SUM(JZ218:JZ248)</f>
        <v>0</v>
      </c>
      <c r="KA249" s="73">
        <f>SUM(KA218:KA248)</f>
        <v>0</v>
      </c>
      <c r="KB249" s="70">
        <f>KB248</f>
        <v>2540</v>
      </c>
      <c r="KC249" s="459">
        <f>KB249/20</f>
        <v>127</v>
      </c>
      <c r="KD249" s="460" t="s">
        <v>173</v>
      </c>
      <c r="KF249" s="72" t="s">
        <v>72</v>
      </c>
      <c r="KG249" s="73">
        <f>SUM(KG218:KG248)</f>
        <v>0</v>
      </c>
      <c r="KH249" s="73">
        <f>SUM(KH218:KH248)</f>
        <v>0</v>
      </c>
      <c r="KI249" s="73">
        <f>SUM(KI218:KI248)</f>
        <v>0</v>
      </c>
      <c r="KJ249" s="73">
        <f>SUM(KJ218:KJ248)</f>
        <v>0</v>
      </c>
      <c r="KK249" s="70">
        <f>KK248</f>
        <v>2359.5</v>
      </c>
      <c r="KL249" s="459">
        <f>KK249/19.5</f>
        <v>121</v>
      </c>
      <c r="KM249" s="460" t="s">
        <v>173</v>
      </c>
      <c r="KO249" s="72" t="s">
        <v>72</v>
      </c>
      <c r="KP249" s="73">
        <f>SUM(KP218:KP248)</f>
        <v>0</v>
      </c>
      <c r="KQ249" s="73">
        <f>SUM(KQ218:KQ248)</f>
        <v>0</v>
      </c>
      <c r="KR249" s="73">
        <f>SUM(KR218:KR248)</f>
        <v>0</v>
      </c>
      <c r="KS249" s="73">
        <f>SUM(KS218:KS248)</f>
        <v>0</v>
      </c>
      <c r="KT249" s="70">
        <f>KT248</f>
        <v>1890</v>
      </c>
      <c r="KU249" s="459">
        <f>KT249/18.9</f>
        <v>100.00000000000001</v>
      </c>
      <c r="KV249" s="460" t="s">
        <v>173</v>
      </c>
      <c r="KX249" s="72" t="s">
        <v>72</v>
      </c>
      <c r="KY249" s="73">
        <f>SUM(KY218:KY248)</f>
        <v>0</v>
      </c>
      <c r="KZ249" s="73">
        <f>SUM(KZ218:KZ248)</f>
        <v>0</v>
      </c>
      <c r="LA249" s="73">
        <f>SUM(LA218:LA248)</f>
        <v>0</v>
      </c>
      <c r="LB249" s="73">
        <f>SUM(LB218:LB248)</f>
        <v>0</v>
      </c>
      <c r="LC249" s="70">
        <f>LC248</f>
        <v>3690</v>
      </c>
      <c r="LD249" s="459">
        <f>LC249/20.5</f>
        <v>180</v>
      </c>
      <c r="LE249" s="460" t="s">
        <v>173</v>
      </c>
      <c r="LG249" s="72" t="s">
        <v>72</v>
      </c>
      <c r="LH249" s="73">
        <f>SUM(LH218:LH248)</f>
        <v>0</v>
      </c>
      <c r="LI249" s="73">
        <f>SUM(LI218:LI248)</f>
        <v>0</v>
      </c>
      <c r="LJ249" s="73">
        <f>SUM(LJ218:LJ248)</f>
        <v>0</v>
      </c>
      <c r="LK249" s="73">
        <f>SUM(LK218:LK248)</f>
        <v>0</v>
      </c>
      <c r="LL249" s="70">
        <f>LL248</f>
        <v>4000</v>
      </c>
      <c r="LM249" s="459">
        <f>LL249/20</f>
        <v>200</v>
      </c>
      <c r="LN249" s="460" t="s">
        <v>173</v>
      </c>
      <c r="LP249" s="72" t="s">
        <v>72</v>
      </c>
      <c r="LQ249" s="73">
        <f>SUM(LQ218:LQ248)</f>
        <v>0</v>
      </c>
      <c r="LR249" s="73">
        <f>SUM(LR218:LR248)</f>
        <v>0</v>
      </c>
      <c r="LS249" s="73">
        <f>SUM(LS218:LS248)</f>
        <v>0</v>
      </c>
      <c r="LT249" s="73">
        <f>SUM(LT218:LT248)</f>
        <v>0</v>
      </c>
      <c r="LU249" s="70">
        <f>LU248</f>
        <v>0</v>
      </c>
      <c r="LV249" s="71"/>
      <c r="LY249" s="72" t="s">
        <v>72</v>
      </c>
      <c r="LZ249" s="73">
        <f>SUM(LZ218:LZ248)</f>
        <v>0</v>
      </c>
      <c r="MA249" s="73">
        <f>SUM(MA218:MA248)</f>
        <v>0</v>
      </c>
      <c r="MB249" s="73">
        <f>SUM(MB218:MB248)</f>
        <v>0</v>
      </c>
      <c r="MC249" s="73">
        <f>SUM(MC218:MC248)</f>
        <v>0</v>
      </c>
      <c r="MD249" s="70">
        <f>MD248</f>
        <v>0</v>
      </c>
      <c r="ME249" s="71"/>
      <c r="MH249" s="72" t="s">
        <v>72</v>
      </c>
      <c r="MI249" s="73">
        <f>SUM(MI218:MI248)</f>
        <v>0</v>
      </c>
      <c r="MJ249" s="73">
        <f>SUM(MJ218:MJ248)</f>
        <v>0</v>
      </c>
      <c r="MK249" s="73">
        <f>SUM(MK218:MK248)</f>
        <v>0</v>
      </c>
      <c r="ML249" s="73">
        <f>SUM(ML218:ML248)</f>
        <v>0</v>
      </c>
      <c r="MM249" s="70">
        <f>MM248</f>
        <v>0</v>
      </c>
      <c r="MN249" s="71"/>
      <c r="MQ249" s="72" t="s">
        <v>72</v>
      </c>
      <c r="MR249" s="73">
        <f>SUM(MR218:MR248)</f>
        <v>0</v>
      </c>
      <c r="MS249" s="73">
        <f>SUM(MS218:MS248)</f>
        <v>34</v>
      </c>
      <c r="MT249" s="73">
        <f>SUM(MT218:MT248)</f>
        <v>1379</v>
      </c>
      <c r="MU249" s="73">
        <f>SUM(MU218:MU248)</f>
        <v>-1345</v>
      </c>
      <c r="MV249" s="70">
        <f>MV248</f>
        <v>2216</v>
      </c>
      <c r="MW249" s="71"/>
      <c r="MZ249" s="72" t="s">
        <v>72</v>
      </c>
      <c r="NA249" s="73">
        <f>SUM(NA218:NA248)</f>
        <v>12006</v>
      </c>
      <c r="NB249" s="73">
        <f>SUM(NB218:NB248)</f>
        <v>618</v>
      </c>
      <c r="NC249" s="73">
        <f>SUM(NC218:NC248)</f>
        <v>12006</v>
      </c>
      <c r="ND249" s="73">
        <f>SUM(ND218:ND248)</f>
        <v>-11388</v>
      </c>
      <c r="NE249" s="70">
        <f>NE248</f>
        <v>0</v>
      </c>
      <c r="NF249" s="71"/>
      <c r="NI249" s="72" t="s">
        <v>72</v>
      </c>
      <c r="NJ249" s="73">
        <f>SUM(NJ218:NJ248)</f>
        <v>0</v>
      </c>
      <c r="NK249" s="73">
        <f>SUM(NK218:NK248)</f>
        <v>0</v>
      </c>
      <c r="NL249" s="73">
        <f>SUM(NL218:NL248)</f>
        <v>0</v>
      </c>
      <c r="NM249" s="73">
        <f>SUM(NM218:NM248)</f>
        <v>0</v>
      </c>
      <c r="NN249" s="70">
        <f>NN248</f>
        <v>1127</v>
      </c>
      <c r="NO249" s="71"/>
      <c r="NR249" s="72" t="s">
        <v>72</v>
      </c>
      <c r="NS249" s="73">
        <f>SUM(NS218:NS248)</f>
        <v>0</v>
      </c>
      <c r="NT249" s="73">
        <f>SUM(NT218:NT248)</f>
        <v>0</v>
      </c>
      <c r="NU249" s="73">
        <f>SUM(NU218:NU248)</f>
        <v>0</v>
      </c>
      <c r="NV249" s="73">
        <f>SUM(NV218:NV248)</f>
        <v>0</v>
      </c>
      <c r="NW249" s="70">
        <f>NW248</f>
        <v>3111.9999999999995</v>
      </c>
      <c r="NX249" s="71"/>
      <c r="OA249" s="72" t="s">
        <v>72</v>
      </c>
      <c r="OB249" s="73">
        <f>SUM(OB218:OB248)</f>
        <v>0</v>
      </c>
      <c r="OC249" s="73">
        <f>SUM(OC218:OC248)</f>
        <v>0</v>
      </c>
      <c r="OD249" s="73">
        <f>SUM(OD218:OD248)</f>
        <v>0</v>
      </c>
      <c r="OE249" s="73">
        <f>SUM(OE218:OE248)</f>
        <v>0</v>
      </c>
      <c r="OF249" s="70">
        <f>OF248</f>
        <v>1680.5</v>
      </c>
      <c r="OG249" s="71"/>
      <c r="OJ249" s="72" t="s">
        <v>72</v>
      </c>
      <c r="OK249" s="73">
        <f>SUM(OK218:OK248)</f>
        <v>2089.6</v>
      </c>
      <c r="OL249" s="73">
        <f>SUM(OL218:OL248)</f>
        <v>0</v>
      </c>
      <c r="OM249" s="73">
        <f>SUM(OM218:OM248)</f>
        <v>2089.6</v>
      </c>
      <c r="ON249" s="73">
        <f>SUM(ON218:ON248)</f>
        <v>-2089.6</v>
      </c>
      <c r="OO249" s="70">
        <f>OO248</f>
        <v>0</v>
      </c>
      <c r="OP249" s="71"/>
      <c r="OS249" s="72" t="s">
        <v>72</v>
      </c>
      <c r="OT249" s="73">
        <f>SUM(OT218:OT248)</f>
        <v>0</v>
      </c>
      <c r="OU249" s="73">
        <f>SUM(OU218:OU248)</f>
        <v>0</v>
      </c>
      <c r="OV249" s="73">
        <f>SUM(OV218:OV248)</f>
        <v>0</v>
      </c>
      <c r="OW249" s="73">
        <f>SUM(OW218:OW248)</f>
        <v>0</v>
      </c>
      <c r="OX249" s="70">
        <f>OX248</f>
        <v>1482</v>
      </c>
      <c r="OY249" s="71"/>
      <c r="PB249" s="72" t="s">
        <v>72</v>
      </c>
      <c r="PC249" s="73">
        <f>SUM(PC218:PC248)</f>
        <v>0</v>
      </c>
      <c r="PD249" s="73">
        <f>SUM(PD218:PD248)</f>
        <v>0</v>
      </c>
      <c r="PE249" s="73">
        <f>SUM(PE218:PE248)</f>
        <v>0</v>
      </c>
      <c r="PF249" s="73">
        <f>SUM(PF218:PF248)</f>
        <v>0</v>
      </c>
      <c r="PG249" s="70">
        <f>PG248</f>
        <v>0</v>
      </c>
      <c r="PH249" s="71"/>
      <c r="PK249" s="72" t="s">
        <v>72</v>
      </c>
      <c r="PL249" s="73">
        <f>SUM(PL218:PL248)</f>
        <v>0</v>
      </c>
      <c r="PM249" s="73">
        <f>SUM(PM218:PM248)</f>
        <v>0</v>
      </c>
      <c r="PN249" s="73">
        <f>SUM(PN218:PN248)</f>
        <v>0</v>
      </c>
      <c r="PO249" s="73">
        <f>SUM(PO218:PO248)</f>
        <v>0</v>
      </c>
      <c r="PP249" s="70">
        <f>PP248</f>
        <v>100</v>
      </c>
      <c r="PQ249" s="71"/>
      <c r="PT249" s="72" t="s">
        <v>72</v>
      </c>
      <c r="PU249" s="73">
        <f>SUM(PU218:PU248)</f>
        <v>0</v>
      </c>
      <c r="PV249" s="73">
        <f>SUM(PV218:PV248)</f>
        <v>0</v>
      </c>
      <c r="PW249" s="73">
        <f>SUM(PW218:PW248)</f>
        <v>0</v>
      </c>
      <c r="PX249" s="73">
        <f>SUM(PX218:PX248)</f>
        <v>0</v>
      </c>
      <c r="PY249" s="70">
        <f>PY248</f>
        <v>13.960000000000036</v>
      </c>
      <c r="PZ249" s="71"/>
      <c r="QC249" s="72" t="s">
        <v>72</v>
      </c>
      <c r="QD249" s="73">
        <f>SUM(QD218:QD248)</f>
        <v>484</v>
      </c>
      <c r="QE249" s="73">
        <f>SUM(QE218:QE248)</f>
        <v>168</v>
      </c>
      <c r="QF249" s="73">
        <f>SUM(QF218:QF248)</f>
        <v>936</v>
      </c>
      <c r="QG249" s="73">
        <f>SUM(QG218:QG248)</f>
        <v>-768</v>
      </c>
      <c r="QH249" s="70">
        <f>QH248</f>
        <v>1284</v>
      </c>
      <c r="QI249" s="71"/>
      <c r="QL249" s="72" t="s">
        <v>72</v>
      </c>
      <c r="QM249" s="73">
        <f>SUM(QM218:QM248)</f>
        <v>0</v>
      </c>
      <c r="QN249" s="73">
        <f>SUM(QN218:QN248)</f>
        <v>315</v>
      </c>
      <c r="QO249" s="73">
        <f>SUM(QO218:QO248)</f>
        <v>250</v>
      </c>
      <c r="QP249" s="73">
        <f>SUM(QP218:QP248)</f>
        <v>65</v>
      </c>
      <c r="QQ249" s="70">
        <f>QQ248</f>
        <v>0</v>
      </c>
      <c r="QR249" s="71"/>
      <c r="QU249" s="72" t="s">
        <v>72</v>
      </c>
      <c r="QV249" s="73">
        <f>SUM(QV218:QV248)</f>
        <v>0</v>
      </c>
      <c r="QW249" s="73">
        <f>SUM(QW218:QW248)</f>
        <v>0</v>
      </c>
      <c r="QX249" s="73">
        <f>SUM(QX218:QX248)</f>
        <v>0</v>
      </c>
      <c r="QY249" s="73">
        <f>SUM(QY218:QY248)</f>
        <v>0</v>
      </c>
      <c r="QZ249" s="70">
        <f>QZ248</f>
        <v>207.6</v>
      </c>
      <c r="RA249" s="71"/>
      <c r="RD249" s="72" t="s">
        <v>72</v>
      </c>
      <c r="RE249" s="73">
        <f>SUM(RE218:RE248)</f>
        <v>0</v>
      </c>
      <c r="RF249" s="73">
        <f>SUM(RF218:RF248)</f>
        <v>0</v>
      </c>
      <c r="RG249" s="73">
        <f>SUM(RG218:RG248)</f>
        <v>0</v>
      </c>
      <c r="RH249" s="73">
        <f>SUM(RH218:RH248)</f>
        <v>0</v>
      </c>
      <c r="RI249" s="70">
        <f>RI248</f>
        <v>147.04000000000002</v>
      </c>
      <c r="RJ249" s="71"/>
      <c r="RM249" s="72" t="s">
        <v>72</v>
      </c>
      <c r="RN249" s="73">
        <f>SUM(RN218:RN248)</f>
        <v>0</v>
      </c>
      <c r="RO249" s="73">
        <f>SUM(RO218:RO248)</f>
        <v>0</v>
      </c>
      <c r="RP249" s="73">
        <f>SUM(RP218:RP248)</f>
        <v>0</v>
      </c>
      <c r="RQ249" s="73">
        <f>SUM(RQ218:RQ248)</f>
        <v>0</v>
      </c>
      <c r="RR249" s="70">
        <f>RR248</f>
        <v>46.8</v>
      </c>
      <c r="RS249" s="71"/>
      <c r="RV249" s="72" t="s">
        <v>72</v>
      </c>
      <c r="RW249" s="73">
        <f>SUM(RW218:RW248)</f>
        <v>0</v>
      </c>
      <c r="RX249" s="73">
        <f>SUM(RX218:RX248)</f>
        <v>0</v>
      </c>
      <c r="RY249" s="73">
        <f>SUM(RY218:RY248)</f>
        <v>0</v>
      </c>
      <c r="RZ249" s="73">
        <f>SUM(RZ218:RZ248)</f>
        <v>0</v>
      </c>
      <c r="SA249" s="70">
        <f>SA248</f>
        <v>0</v>
      </c>
      <c r="SB249" s="71"/>
      <c r="SE249" s="72" t="s">
        <v>72</v>
      </c>
      <c r="SF249" s="73">
        <f>SUM(SF218:SF248)</f>
        <v>0</v>
      </c>
      <c r="SG249" s="73">
        <f>SUM(SG218:SG248)</f>
        <v>0</v>
      </c>
      <c r="SH249" s="73">
        <f>SUM(SH218:SH248)</f>
        <v>0</v>
      </c>
      <c r="SI249" s="73">
        <f>SUM(SI218:SI248)</f>
        <v>0</v>
      </c>
      <c r="SJ249" s="70">
        <f>SJ248</f>
        <v>24.200000000000003</v>
      </c>
      <c r="SK249" s="71"/>
      <c r="SN249" s="72" t="s">
        <v>72</v>
      </c>
      <c r="SO249" s="73">
        <f>SUM(SO218:SO248)</f>
        <v>0</v>
      </c>
      <c r="SP249" s="73">
        <f>SUM(SP218:SP248)</f>
        <v>0</v>
      </c>
      <c r="SQ249" s="73">
        <f>SUM(SQ218:SQ248)</f>
        <v>0</v>
      </c>
      <c r="SR249" s="73">
        <f>SUM(SR218:SR248)</f>
        <v>0</v>
      </c>
      <c r="SS249" s="70">
        <f>SS248</f>
        <v>32</v>
      </c>
      <c r="ST249" s="71"/>
      <c r="SW249" s="72" t="s">
        <v>72</v>
      </c>
      <c r="SX249" s="73">
        <f>SUM(SX218:SX248)</f>
        <v>0</v>
      </c>
      <c r="SY249" s="73">
        <f>SUM(SY218:SY248)</f>
        <v>0</v>
      </c>
      <c r="SZ249" s="73">
        <f>SUM(SZ218:SZ248)</f>
        <v>0</v>
      </c>
      <c r="TA249" s="73">
        <f>SUM(TA218:TA248)</f>
        <v>0</v>
      </c>
      <c r="TB249" s="70">
        <f>TB248</f>
        <v>0</v>
      </c>
      <c r="TC249" s="71"/>
      <c r="TF249" s="72" t="s">
        <v>72</v>
      </c>
      <c r="TG249" s="73">
        <f>SUM(TG218:TG248)</f>
        <v>0</v>
      </c>
      <c r="TH249" s="73">
        <f>SUM(TH218:TH248)</f>
        <v>315</v>
      </c>
      <c r="TI249" s="73">
        <f>SUM(TI218:TI248)</f>
        <v>0</v>
      </c>
      <c r="TJ249" s="73">
        <f>SUM(TJ218:TJ248)</f>
        <v>315</v>
      </c>
      <c r="TK249" s="70">
        <f>TK248</f>
        <v>0</v>
      </c>
      <c r="TL249" s="71"/>
      <c r="TO249" s="72" t="s">
        <v>72</v>
      </c>
      <c r="TP249" s="73">
        <f>SUM(TP218:TP248)</f>
        <v>0</v>
      </c>
      <c r="TQ249" s="73">
        <f>SUM(TQ218:TQ248)</f>
        <v>315</v>
      </c>
      <c r="TR249" s="73">
        <f>SUM(TR218:TR248)</f>
        <v>12</v>
      </c>
      <c r="TS249" s="73">
        <f>SUM(TS218:TS248)</f>
        <v>303</v>
      </c>
      <c r="TT249" s="70">
        <f>TT248</f>
        <v>10.400000000000006</v>
      </c>
      <c r="TU249" s="71">
        <f>TT249/0.4</f>
        <v>26.000000000000014</v>
      </c>
      <c r="TX249" s="72" t="s">
        <v>72</v>
      </c>
      <c r="TY249" s="73">
        <f>SUM(TY218:TY248)</f>
        <v>0</v>
      </c>
      <c r="TZ249" s="73">
        <f>SUM(TZ218:TZ248)</f>
        <v>315</v>
      </c>
      <c r="UA249" s="73">
        <f>SUM(UA218:UA248)</f>
        <v>0</v>
      </c>
      <c r="UB249" s="73">
        <f>SUM(UB218:UB248)</f>
        <v>315</v>
      </c>
      <c r="UC249" s="70">
        <f>UC248</f>
        <v>46.799999999999983</v>
      </c>
      <c r="UD249" s="71"/>
      <c r="UG249" s="72" t="s">
        <v>72</v>
      </c>
      <c r="UH249" s="73">
        <f>SUM(UH218:UH248)</f>
        <v>0</v>
      </c>
      <c r="UI249" s="73">
        <f>SUM(UI218:UI248)</f>
        <v>315</v>
      </c>
      <c r="UJ249" s="73">
        <f>SUM(UJ218:UJ248)</f>
        <v>0</v>
      </c>
      <c r="UK249" s="73">
        <f>SUM(UK218:UK248)</f>
        <v>315</v>
      </c>
      <c r="UL249" s="70">
        <f>UL248</f>
        <v>204</v>
      </c>
      <c r="UM249" s="71"/>
      <c r="UP249" s="72" t="s">
        <v>72</v>
      </c>
      <c r="UQ249" s="73">
        <f>SUM(UQ218:UQ248)</f>
        <v>0</v>
      </c>
      <c r="UR249" s="73">
        <f>SUM(UR218:UR248)</f>
        <v>0</v>
      </c>
      <c r="US249" s="73">
        <f>SUM(US218:US248)</f>
        <v>48.75</v>
      </c>
      <c r="UT249" s="73">
        <f>SUM(UT218:UT248)</f>
        <v>-48.75</v>
      </c>
      <c r="UU249" s="70">
        <f>UU248</f>
        <v>202.5</v>
      </c>
      <c r="UV249" s="71"/>
      <c r="UY249" s="72" t="s">
        <v>72</v>
      </c>
      <c r="UZ249" s="73">
        <f>SUM(UZ218:UZ248)</f>
        <v>0</v>
      </c>
      <c r="VA249" s="73">
        <f>SUM(VA218:VA248)</f>
        <v>0</v>
      </c>
      <c r="VB249" s="73">
        <f>SUM(VB218:VB248)</f>
        <v>0</v>
      </c>
      <c r="VC249" s="73">
        <f>SUM(VC218:VC248)</f>
        <v>0</v>
      </c>
      <c r="VD249" s="70">
        <f>VD248</f>
        <v>41.600000000000023</v>
      </c>
      <c r="VE249" s="71"/>
      <c r="VH249" s="72" t="s">
        <v>72</v>
      </c>
      <c r="VI249" s="73">
        <f>SUM(VI218:VI248)</f>
        <v>0</v>
      </c>
      <c r="VJ249" s="73">
        <f>SUM(VJ218:VJ248)</f>
        <v>0</v>
      </c>
      <c r="VK249" s="73">
        <f>SUM(VK218:VK248)</f>
        <v>0</v>
      </c>
      <c r="VL249" s="73">
        <f>SUM(VL218:VL248)</f>
        <v>0</v>
      </c>
      <c r="VM249" s="70">
        <f>VM248</f>
        <v>210</v>
      </c>
      <c r="VN249" s="71"/>
      <c r="VQ249" s="72" t="s">
        <v>72</v>
      </c>
      <c r="VR249" s="73">
        <f>SUM(VR218:VR248)</f>
        <v>0</v>
      </c>
      <c r="VS249" s="73">
        <f>SUM(VS218:VS248)</f>
        <v>315</v>
      </c>
      <c r="VT249" s="73">
        <f>SUM(VT218:VT248)</f>
        <v>0</v>
      </c>
      <c r="VU249" s="73">
        <f>SUM(VU218:VU248)</f>
        <v>315</v>
      </c>
      <c r="VV249" s="70">
        <f>VV248</f>
        <v>0</v>
      </c>
      <c r="VW249" s="71"/>
      <c r="VZ249" s="72" t="s">
        <v>72</v>
      </c>
      <c r="WA249" s="73">
        <f>SUM(WA218:WA248)</f>
        <v>0</v>
      </c>
      <c r="WB249" s="73">
        <f>SUM(WB218:WB248)</f>
        <v>315</v>
      </c>
      <c r="WC249" s="73">
        <f>SUM(WC218:WC248)</f>
        <v>0</v>
      </c>
      <c r="WD249" s="73">
        <f>SUM(WD218:WD248)</f>
        <v>315</v>
      </c>
      <c r="WE249" s="70">
        <f>WE248</f>
        <v>0</v>
      </c>
      <c r="WF249" s="71"/>
      <c r="WI249" s="72" t="s">
        <v>72</v>
      </c>
      <c r="WJ249" s="73">
        <f>SUM(WJ218:WJ248)</f>
        <v>0</v>
      </c>
      <c r="WK249" s="73">
        <f>SUM(WK218:WK248)</f>
        <v>315</v>
      </c>
      <c r="WL249" s="73">
        <f>SUM(WL218:WL248)</f>
        <v>0</v>
      </c>
      <c r="WM249" s="73">
        <f>SUM(WM218:WM248)</f>
        <v>315</v>
      </c>
      <c r="WN249" s="70">
        <f>WN248</f>
        <v>1057</v>
      </c>
      <c r="WO249" s="71"/>
      <c r="WR249" s="72" t="s">
        <v>72</v>
      </c>
      <c r="WS249" s="73">
        <f>SUM(WS218:WS248)</f>
        <v>0</v>
      </c>
      <c r="WT249" s="73">
        <f>SUM(WT218:WT248)</f>
        <v>315</v>
      </c>
      <c r="WU249" s="73">
        <f>SUM(WU218:WU248)</f>
        <v>0</v>
      </c>
      <c r="WV249" s="73">
        <f>SUM(WV218:WV248)</f>
        <v>315</v>
      </c>
      <c r="WW249" s="70">
        <f>WW248</f>
        <v>0</v>
      </c>
      <c r="WX249" s="71"/>
      <c r="XA249" s="72" t="s">
        <v>72</v>
      </c>
      <c r="XB249" s="73">
        <f>SUM(XB218:XB248)</f>
        <v>0</v>
      </c>
      <c r="XC249" s="73">
        <f>SUM(XC218:XC248)</f>
        <v>315</v>
      </c>
      <c r="XD249" s="73">
        <f>SUM(XD218:XD248)</f>
        <v>0</v>
      </c>
      <c r="XE249" s="73">
        <f>SUM(XE218:XE248)</f>
        <v>315</v>
      </c>
      <c r="XF249" s="70">
        <f>XF248</f>
        <v>7507</v>
      </c>
      <c r="XG249" s="71"/>
      <c r="XJ249" s="72" t="s">
        <v>72</v>
      </c>
      <c r="XK249" s="73">
        <f>SUM(XK218:XK248)</f>
        <v>0</v>
      </c>
      <c r="XL249" s="73">
        <f>SUM(XL218:XL248)</f>
        <v>315</v>
      </c>
      <c r="XM249" s="73">
        <f>SUM(XM218:XM248)</f>
        <v>0</v>
      </c>
      <c r="XN249" s="73">
        <f>SUM(XN218:XN248)</f>
        <v>315</v>
      </c>
      <c r="XO249" s="70">
        <f>XO248</f>
        <v>4252</v>
      </c>
      <c r="XP249" s="71"/>
      <c r="XS249" s="72" t="s">
        <v>72</v>
      </c>
      <c r="XT249" s="73">
        <f>SUM(XT218:XT248)</f>
        <v>0</v>
      </c>
      <c r="XU249" s="73">
        <f>SUM(XU218:XU248)</f>
        <v>315</v>
      </c>
      <c r="XV249" s="73">
        <f>SUM(XV218:XV248)</f>
        <v>0</v>
      </c>
      <c r="XW249" s="73">
        <f>SUM(XW218:XW248)</f>
        <v>315</v>
      </c>
      <c r="XX249" s="70">
        <f>XX248</f>
        <v>2179</v>
      </c>
      <c r="XY249" s="71"/>
      <c r="YB249" s="72" t="s">
        <v>72</v>
      </c>
      <c r="YC249" s="73">
        <f>SUM(YC218:YC248)</f>
        <v>0</v>
      </c>
      <c r="YD249" s="73">
        <f>SUM(YD218:YD248)</f>
        <v>315</v>
      </c>
      <c r="YE249" s="73">
        <f>SUM(YE218:YE248)</f>
        <v>0</v>
      </c>
      <c r="YF249" s="73">
        <f>SUM(YF218:YF248)</f>
        <v>315</v>
      </c>
      <c r="YG249" s="70">
        <f>YG248</f>
        <v>4019</v>
      </c>
      <c r="YH249" s="71"/>
      <c r="YK249" s="72" t="s">
        <v>72</v>
      </c>
      <c r="YL249" s="73">
        <f>SUM(YL218:YL248)</f>
        <v>0</v>
      </c>
      <c r="YM249" s="73">
        <f>SUM(YM218:YM248)</f>
        <v>315</v>
      </c>
      <c r="YN249" s="73">
        <f>SUM(YN218:YN248)</f>
        <v>0</v>
      </c>
      <c r="YO249" s="73">
        <f>SUM(YO218:YO248)</f>
        <v>315</v>
      </c>
      <c r="YP249" s="70">
        <f>YP248</f>
        <v>0</v>
      </c>
      <c r="YQ249" s="71"/>
      <c r="YT249" s="72" t="s">
        <v>72</v>
      </c>
      <c r="YU249" s="73">
        <f>SUM(YU218:YU248)</f>
        <v>0</v>
      </c>
      <c r="YV249" s="73">
        <f>SUM(YV218:YV248)</f>
        <v>315</v>
      </c>
      <c r="YW249" s="73">
        <f>SUM(YW218:YW248)</f>
        <v>0</v>
      </c>
      <c r="YX249" s="73">
        <f>SUM(YX218:YX248)</f>
        <v>315</v>
      </c>
      <c r="YY249" s="70">
        <f>YY248</f>
        <v>0</v>
      </c>
      <c r="YZ249" s="71"/>
      <c r="ZC249" s="72" t="s">
        <v>72</v>
      </c>
      <c r="ZD249" s="73">
        <f>SUM(ZD218:ZD248)</f>
        <v>0</v>
      </c>
      <c r="ZE249" s="73">
        <f>SUM(ZE218:ZE248)</f>
        <v>315</v>
      </c>
      <c r="ZF249" s="73">
        <f>SUM(ZF218:ZF248)</f>
        <v>0</v>
      </c>
      <c r="ZG249" s="73">
        <f>SUM(ZG218:ZG248)</f>
        <v>315</v>
      </c>
      <c r="ZH249" s="70">
        <f>ZH248</f>
        <v>0</v>
      </c>
      <c r="ZI249" s="71"/>
      <c r="ZL249" s="72" t="s">
        <v>72</v>
      </c>
      <c r="ZM249" s="73">
        <f>SUM(ZM218:ZM248)</f>
        <v>0</v>
      </c>
      <c r="ZN249" s="73">
        <f>SUM(ZN218:ZN248)</f>
        <v>315</v>
      </c>
      <c r="ZO249" s="73">
        <f>SUM(ZO218:ZO248)</f>
        <v>0</v>
      </c>
      <c r="ZP249" s="73">
        <f>SUM(ZP218:ZP248)</f>
        <v>315</v>
      </c>
      <c r="ZQ249" s="70">
        <f>ZQ248</f>
        <v>0</v>
      </c>
      <c r="ZR249" s="71"/>
      <c r="ZU249" s="72" t="s">
        <v>72</v>
      </c>
      <c r="ZV249" s="73">
        <f>SUM(ZV218:ZV248)</f>
        <v>0</v>
      </c>
      <c r="ZW249" s="73">
        <f>SUM(ZW218:ZW248)</f>
        <v>315</v>
      </c>
      <c r="ZX249" s="73">
        <f>SUM(ZX218:ZX248)</f>
        <v>0</v>
      </c>
      <c r="ZY249" s="73">
        <f>SUM(ZY218:ZY248)</f>
        <v>315</v>
      </c>
      <c r="ZZ249" s="70">
        <f>ZZ248</f>
        <v>0</v>
      </c>
      <c r="AAA249" s="71"/>
      <c r="AAD249" s="72" t="s">
        <v>72</v>
      </c>
      <c r="AAE249" s="73">
        <f>SUM(AAE218:AAE248)</f>
        <v>0</v>
      </c>
      <c r="AAF249" s="73">
        <f>SUM(AAF218:AAF248)</f>
        <v>315</v>
      </c>
      <c r="AAG249" s="73">
        <f>SUM(AAG218:AAG248)</f>
        <v>0</v>
      </c>
      <c r="AAH249" s="73">
        <f>SUM(AAH218:AAH248)</f>
        <v>315</v>
      </c>
      <c r="AAI249" s="70">
        <f>AAI248</f>
        <v>0</v>
      </c>
      <c r="AAJ249" s="71"/>
      <c r="AAM249" s="72" t="s">
        <v>72</v>
      </c>
      <c r="AAN249" s="73">
        <f>SUM(AAN218:AAN248)</f>
        <v>0</v>
      </c>
      <c r="AAO249" s="73">
        <f>SUM(AAO218:AAO248)</f>
        <v>315</v>
      </c>
      <c r="AAP249" s="73">
        <f>SUM(AAP218:AAP248)</f>
        <v>0</v>
      </c>
      <c r="AAQ249" s="73">
        <f>SUM(AAQ218:AAQ248)</f>
        <v>315</v>
      </c>
      <c r="AAR249" s="70">
        <f>AAR248</f>
        <v>0</v>
      </c>
      <c r="AAS249" s="71"/>
      <c r="AAV249" s="72" t="s">
        <v>72</v>
      </c>
      <c r="AAW249" s="73">
        <f>SUM(AAW218:AAW248)</f>
        <v>0</v>
      </c>
      <c r="AAX249" s="73">
        <f>SUM(AAX218:AAX248)</f>
        <v>315</v>
      </c>
      <c r="AAY249" s="73">
        <f>SUM(AAY218:AAY248)</f>
        <v>0</v>
      </c>
      <c r="AAZ249" s="73">
        <f>SUM(AAZ218:AAZ248)</f>
        <v>315</v>
      </c>
      <c r="ABA249" s="70">
        <f>ABA248</f>
        <v>0</v>
      </c>
      <c r="ABB249" s="71"/>
      <c r="ABE249" s="72" t="s">
        <v>72</v>
      </c>
      <c r="ABF249" s="73">
        <f>SUM(ABF218:ABF248)</f>
        <v>0</v>
      </c>
      <c r="ABG249" s="73">
        <f>SUM(ABG218:ABG248)</f>
        <v>315</v>
      </c>
      <c r="ABH249" s="73">
        <f>SUM(ABH218:ABH248)</f>
        <v>0</v>
      </c>
      <c r="ABI249" s="73">
        <f>SUM(ABI218:ABI248)</f>
        <v>315</v>
      </c>
      <c r="ABJ249" s="70">
        <f>ABJ248</f>
        <v>0</v>
      </c>
      <c r="ABK249" s="71"/>
    </row>
    <row r="250" spans="1:739" ht="14.45" thickBot="1">
      <c r="C250" s="75"/>
      <c r="L250" s="75"/>
      <c r="U250" s="75"/>
      <c r="AD250" s="75"/>
      <c r="AM250" s="75"/>
      <c r="AV250" s="75"/>
      <c r="BE250" s="75"/>
      <c r="BN250" s="75"/>
      <c r="BW250" s="75"/>
      <c r="CF250" s="75"/>
      <c r="CO250" s="75"/>
      <c r="CX250" s="75"/>
      <c r="DG250" s="75"/>
      <c r="DP250" s="75"/>
      <c r="DY250" s="75"/>
      <c r="EH250" s="75"/>
      <c r="EQ250" s="75"/>
      <c r="EZ250" s="75"/>
      <c r="FI250" s="75"/>
      <c r="FR250" s="75"/>
      <c r="GA250" s="75"/>
      <c r="GJ250" s="75"/>
      <c r="GS250" s="75"/>
      <c r="HB250" s="75"/>
      <c r="HK250" s="75"/>
      <c r="HU250" s="75"/>
      <c r="ID250" s="75"/>
      <c r="IM250" s="75"/>
      <c r="IV250" s="75"/>
      <c r="JE250" s="75"/>
      <c r="JN250" s="75"/>
      <c r="JW250" s="75"/>
      <c r="KF250" s="75"/>
      <c r="KO250" s="75"/>
      <c r="KX250" s="75"/>
      <c r="LG250" s="75"/>
      <c r="LP250" s="75"/>
      <c r="LY250" s="75"/>
      <c r="MH250" s="75"/>
      <c r="MQ250" s="75"/>
      <c r="MZ250" s="75"/>
      <c r="NI250" s="75"/>
      <c r="NR250" s="75"/>
      <c r="OA250" s="75"/>
      <c r="OJ250" s="75"/>
      <c r="OS250" s="75"/>
      <c r="PB250" s="75"/>
      <c r="PK250" s="75"/>
      <c r="PT250" s="75"/>
      <c r="QC250" s="75"/>
      <c r="QL250" s="75"/>
      <c r="QU250" s="75"/>
      <c r="RD250" s="75"/>
      <c r="RM250" s="75"/>
      <c r="RV250" s="75"/>
      <c r="SE250" s="75"/>
      <c r="SN250" s="75"/>
      <c r="SW250" s="75"/>
      <c r="TF250" s="75"/>
      <c r="TO250" s="75"/>
      <c r="TX250" s="75"/>
      <c r="UG250" s="75"/>
      <c r="UP250" s="75"/>
      <c r="UY250" s="75"/>
      <c r="VH250" s="75"/>
      <c r="VQ250" s="75"/>
      <c r="VZ250" s="75"/>
      <c r="WI250" s="75"/>
      <c r="WR250" s="75"/>
      <c r="XA250" s="75"/>
      <c r="XJ250" s="75"/>
      <c r="XS250" s="75"/>
      <c r="YB250" s="75"/>
      <c r="YK250" s="75"/>
      <c r="YT250" s="75"/>
      <c r="ZC250" s="75"/>
      <c r="ZL250" s="75"/>
      <c r="ZU250" s="75"/>
      <c r="AAD250" s="75"/>
      <c r="AAM250" s="75"/>
      <c r="AAV250" s="75"/>
      <c r="ABE250" s="75"/>
    </row>
    <row r="251" spans="1:739" ht="14.45" thickBot="1">
      <c r="A251" s="22" t="s">
        <v>299</v>
      </c>
      <c r="C251" s="569" t="s">
        <v>156</v>
      </c>
      <c r="D251" s="570"/>
      <c r="E251" s="570"/>
      <c r="F251" s="570"/>
      <c r="G251" s="570"/>
      <c r="H251" s="571"/>
      <c r="I251" s="321"/>
      <c r="J251" s="22" t="s">
        <v>299</v>
      </c>
      <c r="L251" s="569" t="s">
        <v>156</v>
      </c>
      <c r="M251" s="570"/>
      <c r="N251" s="570"/>
      <c r="O251" s="570"/>
      <c r="P251" s="570"/>
      <c r="Q251" s="571"/>
      <c r="R251" s="24"/>
      <c r="S251" s="22" t="s">
        <v>299</v>
      </c>
      <c r="U251" s="569" t="s">
        <v>156</v>
      </c>
      <c r="V251" s="570"/>
      <c r="W251" s="570"/>
      <c r="X251" s="570"/>
      <c r="Y251" s="570"/>
      <c r="Z251" s="571"/>
      <c r="AA251" s="24"/>
      <c r="AB251" s="22" t="s">
        <v>299</v>
      </c>
      <c r="AD251" s="569" t="s">
        <v>156</v>
      </c>
      <c r="AE251" s="570"/>
      <c r="AF251" s="570"/>
      <c r="AG251" s="570"/>
      <c r="AH251" s="570"/>
      <c r="AI251" s="571"/>
      <c r="AJ251" s="24"/>
      <c r="AK251" s="22" t="s">
        <v>299</v>
      </c>
      <c r="AM251" s="569" t="s">
        <v>156</v>
      </c>
      <c r="AN251" s="570"/>
      <c r="AO251" s="570"/>
      <c r="AP251" s="570"/>
      <c r="AQ251" s="570"/>
      <c r="AR251" s="571"/>
      <c r="AS251" s="24"/>
      <c r="AT251" s="22" t="s">
        <v>299</v>
      </c>
      <c r="AV251" s="569" t="s">
        <v>156</v>
      </c>
      <c r="AW251" s="570"/>
      <c r="AX251" s="570"/>
      <c r="AY251" s="570"/>
      <c r="AZ251" s="570"/>
      <c r="BA251" s="571"/>
      <c r="BB251" s="24"/>
      <c r="BC251" s="22" t="s">
        <v>299</v>
      </c>
      <c r="BE251" s="569" t="s">
        <v>156</v>
      </c>
      <c r="BF251" s="570"/>
      <c r="BG251" s="570"/>
      <c r="BH251" s="570"/>
      <c r="BI251" s="570"/>
      <c r="BJ251" s="571"/>
      <c r="BK251" s="24"/>
      <c r="BL251" s="22" t="s">
        <v>299</v>
      </c>
      <c r="BN251" s="569" t="s">
        <v>156</v>
      </c>
      <c r="BO251" s="570"/>
      <c r="BP251" s="570"/>
      <c r="BQ251" s="570"/>
      <c r="BR251" s="570"/>
      <c r="BS251" s="571"/>
      <c r="BT251" s="24"/>
      <c r="BU251" s="22" t="s">
        <v>299</v>
      </c>
      <c r="BW251" s="569" t="s">
        <v>156</v>
      </c>
      <c r="BX251" s="570"/>
      <c r="BY251" s="570"/>
      <c r="BZ251" s="570"/>
      <c r="CA251" s="570"/>
      <c r="CB251" s="571"/>
      <c r="CC251" s="24"/>
      <c r="CD251" s="22" t="s">
        <v>299</v>
      </c>
      <c r="CF251" s="569" t="s">
        <v>156</v>
      </c>
      <c r="CG251" s="570"/>
      <c r="CH251" s="570"/>
      <c r="CI251" s="570"/>
      <c r="CJ251" s="570"/>
      <c r="CK251" s="571"/>
      <c r="CL251" s="24"/>
      <c r="CM251" s="22" t="s">
        <v>299</v>
      </c>
      <c r="CO251" s="569" t="s">
        <v>156</v>
      </c>
      <c r="CP251" s="570"/>
      <c r="CQ251" s="570"/>
      <c r="CR251" s="570"/>
      <c r="CS251" s="570"/>
      <c r="CT251" s="571"/>
      <c r="CU251" s="24"/>
      <c r="CV251" s="22" t="s">
        <v>299</v>
      </c>
      <c r="CX251" s="569" t="s">
        <v>156</v>
      </c>
      <c r="CY251" s="570"/>
      <c r="CZ251" s="570"/>
      <c r="DA251" s="570"/>
      <c r="DB251" s="570"/>
      <c r="DC251" s="571"/>
      <c r="DD251" s="24"/>
      <c r="DE251" s="22" t="s">
        <v>299</v>
      </c>
      <c r="DG251" s="569" t="s">
        <v>156</v>
      </c>
      <c r="DH251" s="570"/>
      <c r="DI251" s="570"/>
      <c r="DJ251" s="570"/>
      <c r="DK251" s="570"/>
      <c r="DL251" s="571"/>
      <c r="DM251" s="24"/>
      <c r="DN251" s="22" t="s">
        <v>299</v>
      </c>
      <c r="DP251" s="569" t="s">
        <v>156</v>
      </c>
      <c r="DQ251" s="570"/>
      <c r="DR251" s="570"/>
      <c r="DS251" s="570"/>
      <c r="DT251" s="570"/>
      <c r="DU251" s="571"/>
      <c r="DV251" s="24"/>
      <c r="DW251" s="22" t="s">
        <v>299</v>
      </c>
      <c r="DY251" s="569" t="s">
        <v>156</v>
      </c>
      <c r="DZ251" s="570"/>
      <c r="EA251" s="570"/>
      <c r="EB251" s="570"/>
      <c r="EC251" s="570"/>
      <c r="ED251" s="571"/>
      <c r="EE251" s="24"/>
      <c r="EF251" s="22" t="s">
        <v>299</v>
      </c>
      <c r="EH251" s="569" t="s">
        <v>156</v>
      </c>
      <c r="EI251" s="570"/>
      <c r="EJ251" s="570"/>
      <c r="EK251" s="570"/>
      <c r="EL251" s="570"/>
      <c r="EM251" s="571"/>
      <c r="EN251" s="24"/>
      <c r="EO251" s="22" t="s">
        <v>299</v>
      </c>
      <c r="EQ251" s="569" t="s">
        <v>156</v>
      </c>
      <c r="ER251" s="570"/>
      <c r="ES251" s="570"/>
      <c r="ET251" s="570"/>
      <c r="EU251" s="570"/>
      <c r="EV251" s="571"/>
      <c r="EW251" s="24"/>
      <c r="EX251" s="22" t="s">
        <v>299</v>
      </c>
      <c r="EZ251" s="569" t="s">
        <v>156</v>
      </c>
      <c r="FA251" s="570"/>
      <c r="FB251" s="570"/>
      <c r="FC251" s="570"/>
      <c r="FD251" s="570"/>
      <c r="FE251" s="571"/>
      <c r="FF251" s="24"/>
      <c r="FG251" s="22" t="s">
        <v>299</v>
      </c>
      <c r="FI251" s="569" t="s">
        <v>156</v>
      </c>
      <c r="FJ251" s="570"/>
      <c r="FK251" s="570"/>
      <c r="FL251" s="570"/>
      <c r="FM251" s="570"/>
      <c r="FN251" s="571"/>
      <c r="FO251" s="24"/>
      <c r="FP251" s="22" t="s">
        <v>299</v>
      </c>
      <c r="FR251" s="569" t="s">
        <v>156</v>
      </c>
      <c r="FS251" s="570"/>
      <c r="FT251" s="570"/>
      <c r="FU251" s="570"/>
      <c r="FV251" s="570"/>
      <c r="FW251" s="571"/>
      <c r="FX251" s="24"/>
      <c r="FY251" s="22" t="s">
        <v>299</v>
      </c>
      <c r="GA251" s="569" t="s">
        <v>156</v>
      </c>
      <c r="GB251" s="570"/>
      <c r="GC251" s="570"/>
      <c r="GD251" s="570"/>
      <c r="GE251" s="570"/>
      <c r="GF251" s="571"/>
      <c r="GG251" s="24"/>
      <c r="GH251" s="22" t="s">
        <v>299</v>
      </c>
      <c r="GJ251" s="569" t="s">
        <v>156</v>
      </c>
      <c r="GK251" s="570"/>
      <c r="GL251" s="570"/>
      <c r="GM251" s="570"/>
      <c r="GN251" s="570"/>
      <c r="GO251" s="571"/>
      <c r="GP251" s="24"/>
      <c r="GQ251" s="22" t="s">
        <v>299</v>
      </c>
      <c r="GS251" s="569" t="s">
        <v>156</v>
      </c>
      <c r="GT251" s="570"/>
      <c r="GU251" s="570"/>
      <c r="GV251" s="570"/>
      <c r="GW251" s="570"/>
      <c r="GX251" s="571"/>
      <c r="GY251" s="24"/>
      <c r="GZ251" s="22" t="s">
        <v>299</v>
      </c>
      <c r="HB251" s="569" t="s">
        <v>156</v>
      </c>
      <c r="HC251" s="570"/>
      <c r="HD251" s="570"/>
      <c r="HE251" s="570"/>
      <c r="HF251" s="570"/>
      <c r="HG251" s="571"/>
      <c r="HH251" s="24"/>
      <c r="HI251" s="22" t="s">
        <v>299</v>
      </c>
      <c r="HK251" s="569" t="s">
        <v>156</v>
      </c>
      <c r="HL251" s="570"/>
      <c r="HM251" s="570"/>
      <c r="HN251" s="570"/>
      <c r="HO251" s="570"/>
      <c r="HP251" s="571"/>
      <c r="HQ251" s="24"/>
      <c r="HS251" s="22" t="s">
        <v>299</v>
      </c>
      <c r="HU251" s="569" t="s">
        <v>156</v>
      </c>
      <c r="HV251" s="570"/>
      <c r="HW251" s="570"/>
      <c r="HX251" s="570"/>
      <c r="HY251" s="570"/>
      <c r="HZ251" s="571"/>
      <c r="IA251" s="24"/>
      <c r="IB251" s="22" t="s">
        <v>299</v>
      </c>
      <c r="ID251" s="569" t="s">
        <v>156</v>
      </c>
      <c r="IE251" s="570"/>
      <c r="IF251" s="570"/>
      <c r="IG251" s="570"/>
      <c r="IH251" s="570"/>
      <c r="II251" s="571"/>
      <c r="IJ251" s="24"/>
      <c r="IK251" s="22" t="s">
        <v>299</v>
      </c>
      <c r="IM251" s="569" t="s">
        <v>156</v>
      </c>
      <c r="IN251" s="570"/>
      <c r="IO251" s="570"/>
      <c r="IP251" s="570"/>
      <c r="IQ251" s="570"/>
      <c r="IR251" s="571"/>
      <c r="IS251" s="24"/>
      <c r="IT251" s="22" t="s">
        <v>299</v>
      </c>
      <c r="IV251" s="569" t="s">
        <v>156</v>
      </c>
      <c r="IW251" s="570"/>
      <c r="IX251" s="570"/>
      <c r="IY251" s="570"/>
      <c r="IZ251" s="570"/>
      <c r="JA251" s="571"/>
      <c r="JB251" s="24"/>
      <c r="JC251" s="22" t="s">
        <v>299</v>
      </c>
      <c r="JE251" s="569" t="s">
        <v>156</v>
      </c>
      <c r="JF251" s="570"/>
      <c r="JG251" s="570"/>
      <c r="JH251" s="570"/>
      <c r="JI251" s="570"/>
      <c r="JJ251" s="571"/>
      <c r="JK251" s="24"/>
      <c r="JL251" s="22" t="s">
        <v>299</v>
      </c>
      <c r="JN251" s="569" t="s">
        <v>156</v>
      </c>
      <c r="JO251" s="570"/>
      <c r="JP251" s="570"/>
      <c r="JQ251" s="570"/>
      <c r="JR251" s="570"/>
      <c r="JS251" s="571"/>
      <c r="JT251" s="24"/>
      <c r="JU251" s="22" t="s">
        <v>299</v>
      </c>
      <c r="JW251" s="569" t="s">
        <v>156</v>
      </c>
      <c r="JX251" s="570"/>
      <c r="JY251" s="570"/>
      <c r="JZ251" s="570"/>
      <c r="KA251" s="570"/>
      <c r="KB251" s="571"/>
      <c r="KC251" s="24"/>
      <c r="KD251" s="22" t="s">
        <v>299</v>
      </c>
      <c r="KF251" s="569" t="s">
        <v>156</v>
      </c>
      <c r="KG251" s="570"/>
      <c r="KH251" s="570"/>
      <c r="KI251" s="570"/>
      <c r="KJ251" s="570"/>
      <c r="KK251" s="571"/>
      <c r="KL251" s="24"/>
      <c r="KM251" s="22" t="s">
        <v>299</v>
      </c>
      <c r="KO251" s="569" t="s">
        <v>156</v>
      </c>
      <c r="KP251" s="570"/>
      <c r="KQ251" s="570"/>
      <c r="KR251" s="570"/>
      <c r="KS251" s="570"/>
      <c r="KT251" s="571"/>
      <c r="KU251" s="24"/>
      <c r="KV251" s="22" t="s">
        <v>299</v>
      </c>
      <c r="KX251" s="569" t="s">
        <v>156</v>
      </c>
      <c r="KY251" s="570"/>
      <c r="KZ251" s="570"/>
      <c r="LA251" s="570"/>
      <c r="LB251" s="570"/>
      <c r="LC251" s="571"/>
      <c r="LD251" s="24"/>
      <c r="LE251" s="22" t="s">
        <v>299</v>
      </c>
      <c r="LG251" s="569" t="s">
        <v>156</v>
      </c>
      <c r="LH251" s="570"/>
      <c r="LI251" s="570"/>
      <c r="LJ251" s="570"/>
      <c r="LK251" s="570"/>
      <c r="LL251" s="571"/>
      <c r="LM251" s="24"/>
      <c r="LN251" s="22" t="s">
        <v>299</v>
      </c>
      <c r="LP251" s="569" t="s">
        <v>156</v>
      </c>
      <c r="LQ251" s="570"/>
      <c r="LR251" s="570"/>
      <c r="LS251" s="570"/>
      <c r="LT251" s="570"/>
      <c r="LU251" s="571"/>
      <c r="LV251" s="24"/>
      <c r="LW251" s="22" t="s">
        <v>299</v>
      </c>
      <c r="LY251" s="569" t="s">
        <v>156</v>
      </c>
      <c r="LZ251" s="570"/>
      <c r="MA251" s="570"/>
      <c r="MB251" s="570"/>
      <c r="MC251" s="570"/>
      <c r="MD251" s="571"/>
      <c r="ME251" s="24"/>
      <c r="MF251" s="22" t="s">
        <v>299</v>
      </c>
      <c r="MH251" s="569" t="s">
        <v>156</v>
      </c>
      <c r="MI251" s="570"/>
      <c r="MJ251" s="570"/>
      <c r="MK251" s="570"/>
      <c r="ML251" s="570"/>
      <c r="MM251" s="571"/>
      <c r="MN251" s="24"/>
      <c r="MO251" s="22" t="s">
        <v>299</v>
      </c>
      <c r="MQ251" s="569" t="s">
        <v>156</v>
      </c>
      <c r="MR251" s="570"/>
      <c r="MS251" s="570"/>
      <c r="MT251" s="570"/>
      <c r="MU251" s="570"/>
      <c r="MV251" s="571"/>
      <c r="MW251" s="24"/>
      <c r="MX251" s="22" t="s">
        <v>299</v>
      </c>
      <c r="MZ251" s="569" t="s">
        <v>156</v>
      </c>
      <c r="NA251" s="570"/>
      <c r="NB251" s="570"/>
      <c r="NC251" s="570"/>
      <c r="ND251" s="570"/>
      <c r="NE251" s="571"/>
      <c r="NF251" s="24"/>
      <c r="NG251" s="22" t="s">
        <v>299</v>
      </c>
      <c r="NI251" s="569" t="s">
        <v>156</v>
      </c>
      <c r="NJ251" s="570"/>
      <c r="NK251" s="570"/>
      <c r="NL251" s="570"/>
      <c r="NM251" s="570"/>
      <c r="NN251" s="571"/>
      <c r="NO251" s="24"/>
      <c r="NP251" s="22" t="s">
        <v>299</v>
      </c>
      <c r="NR251" s="569" t="s">
        <v>156</v>
      </c>
      <c r="NS251" s="570"/>
      <c r="NT251" s="570"/>
      <c r="NU251" s="570"/>
      <c r="NV251" s="570"/>
      <c r="NW251" s="571"/>
      <c r="NX251" s="24"/>
      <c r="NY251" s="22" t="s">
        <v>299</v>
      </c>
      <c r="OA251" s="589" t="s">
        <v>156</v>
      </c>
      <c r="OB251" s="590"/>
      <c r="OC251" s="590"/>
      <c r="OD251" s="590"/>
      <c r="OE251" s="590"/>
      <c r="OF251" s="591"/>
      <c r="OG251" s="24"/>
      <c r="OH251" s="22" t="s">
        <v>299</v>
      </c>
      <c r="OJ251" s="589" t="s">
        <v>156</v>
      </c>
      <c r="OK251" s="590"/>
      <c r="OL251" s="590"/>
      <c r="OM251" s="590"/>
      <c r="ON251" s="590"/>
      <c r="OO251" s="591"/>
      <c r="OP251" s="24"/>
      <c r="OQ251" s="22" t="s">
        <v>299</v>
      </c>
      <c r="OS251" s="589" t="s">
        <v>156</v>
      </c>
      <c r="OT251" s="590"/>
      <c r="OU251" s="590"/>
      <c r="OV251" s="590"/>
      <c r="OW251" s="590"/>
      <c r="OX251" s="591"/>
      <c r="OY251" s="24"/>
      <c r="OZ251" s="22" t="s">
        <v>299</v>
      </c>
      <c r="PB251" s="569" t="s">
        <v>156</v>
      </c>
      <c r="PC251" s="570"/>
      <c r="PD251" s="570"/>
      <c r="PE251" s="570"/>
      <c r="PF251" s="570"/>
      <c r="PG251" s="571"/>
      <c r="PH251" s="24"/>
      <c r="PI251" s="22" t="s">
        <v>299</v>
      </c>
      <c r="PK251" s="569" t="s">
        <v>156</v>
      </c>
      <c r="PL251" s="570"/>
      <c r="PM251" s="570"/>
      <c r="PN251" s="570"/>
      <c r="PO251" s="570"/>
      <c r="PP251" s="571"/>
      <c r="PQ251" s="24"/>
      <c r="PR251" s="22" t="s">
        <v>299</v>
      </c>
      <c r="PT251" s="569" t="s">
        <v>156</v>
      </c>
      <c r="PU251" s="570"/>
      <c r="PV251" s="570"/>
      <c r="PW251" s="570"/>
      <c r="PX251" s="570"/>
      <c r="PY251" s="571"/>
      <c r="PZ251" s="24"/>
      <c r="QA251" s="22" t="s">
        <v>299</v>
      </c>
      <c r="QC251" s="569" t="s">
        <v>156</v>
      </c>
      <c r="QD251" s="570"/>
      <c r="QE251" s="570"/>
      <c r="QF251" s="570"/>
      <c r="QG251" s="570"/>
      <c r="QH251" s="571"/>
      <c r="QI251" s="24"/>
      <c r="QJ251" s="22" t="s">
        <v>299</v>
      </c>
      <c r="QL251" s="569" t="s">
        <v>156</v>
      </c>
      <c r="QM251" s="570"/>
      <c r="QN251" s="570"/>
      <c r="QO251" s="570"/>
      <c r="QP251" s="570"/>
      <c r="QQ251" s="571"/>
      <c r="QR251" s="24"/>
      <c r="QS251" s="22" t="s">
        <v>299</v>
      </c>
      <c r="QU251" s="569" t="s">
        <v>156</v>
      </c>
      <c r="QV251" s="570"/>
      <c r="QW251" s="570"/>
      <c r="QX251" s="570"/>
      <c r="QY251" s="570"/>
      <c r="QZ251" s="571"/>
      <c r="RA251" s="24"/>
      <c r="RB251" s="22" t="s">
        <v>299</v>
      </c>
      <c r="RD251" s="569" t="s">
        <v>156</v>
      </c>
      <c r="RE251" s="570"/>
      <c r="RF251" s="570"/>
      <c r="RG251" s="570"/>
      <c r="RH251" s="570"/>
      <c r="RI251" s="571"/>
      <c r="RJ251" s="24"/>
      <c r="RK251" s="22" t="s">
        <v>299</v>
      </c>
      <c r="RM251" s="569" t="s">
        <v>156</v>
      </c>
      <c r="RN251" s="570"/>
      <c r="RO251" s="570"/>
      <c r="RP251" s="570"/>
      <c r="RQ251" s="570"/>
      <c r="RR251" s="571"/>
      <c r="RS251" s="24"/>
      <c r="RT251" s="22" t="s">
        <v>299</v>
      </c>
      <c r="RV251" s="569" t="s">
        <v>156</v>
      </c>
      <c r="RW251" s="570"/>
      <c r="RX251" s="570"/>
      <c r="RY251" s="570"/>
      <c r="RZ251" s="570"/>
      <c r="SA251" s="571"/>
      <c r="SB251" s="24"/>
      <c r="SC251" s="22" t="s">
        <v>299</v>
      </c>
      <c r="SE251" s="569" t="s">
        <v>156</v>
      </c>
      <c r="SF251" s="570"/>
      <c r="SG251" s="570"/>
      <c r="SH251" s="570"/>
      <c r="SI251" s="570"/>
      <c r="SJ251" s="571"/>
      <c r="SK251" s="24"/>
      <c r="SL251" s="22" t="s">
        <v>299</v>
      </c>
      <c r="SN251" s="569" t="s">
        <v>156</v>
      </c>
      <c r="SO251" s="570"/>
      <c r="SP251" s="570"/>
      <c r="SQ251" s="570"/>
      <c r="SR251" s="570"/>
      <c r="SS251" s="571"/>
      <c r="ST251" s="24"/>
      <c r="SU251" s="22" t="s">
        <v>299</v>
      </c>
      <c r="SW251" s="569" t="s">
        <v>156</v>
      </c>
      <c r="SX251" s="570"/>
      <c r="SY251" s="570"/>
      <c r="SZ251" s="570"/>
      <c r="TA251" s="570"/>
      <c r="TB251" s="571"/>
      <c r="TC251" s="24"/>
      <c r="TD251" s="22" t="s">
        <v>299</v>
      </c>
      <c r="TF251" s="569" t="s">
        <v>156</v>
      </c>
      <c r="TG251" s="570"/>
      <c r="TH251" s="570"/>
      <c r="TI251" s="570"/>
      <c r="TJ251" s="570"/>
      <c r="TK251" s="571"/>
      <c r="TL251" s="24"/>
      <c r="TM251" s="22" t="s">
        <v>299</v>
      </c>
      <c r="TO251" s="569" t="s">
        <v>156</v>
      </c>
      <c r="TP251" s="570"/>
      <c r="TQ251" s="570"/>
      <c r="TR251" s="570"/>
      <c r="TS251" s="570"/>
      <c r="TT251" s="571"/>
      <c r="TU251" s="24"/>
      <c r="TV251" s="22" t="s">
        <v>299</v>
      </c>
      <c r="TX251" s="569" t="s">
        <v>156</v>
      </c>
      <c r="TY251" s="570"/>
      <c r="TZ251" s="570"/>
      <c r="UA251" s="570"/>
      <c r="UB251" s="570"/>
      <c r="UC251" s="571"/>
      <c r="UD251" s="24"/>
      <c r="UE251" s="22" t="s">
        <v>299</v>
      </c>
      <c r="UG251" s="569" t="s">
        <v>156</v>
      </c>
      <c r="UH251" s="570"/>
      <c r="UI251" s="570"/>
      <c r="UJ251" s="570"/>
      <c r="UK251" s="570"/>
      <c r="UL251" s="571"/>
      <c r="UM251" s="24"/>
      <c r="UN251" s="22" t="s">
        <v>299</v>
      </c>
      <c r="UP251" s="569" t="s">
        <v>156</v>
      </c>
      <c r="UQ251" s="570"/>
      <c r="UR251" s="570"/>
      <c r="US251" s="570"/>
      <c r="UT251" s="570"/>
      <c r="UU251" s="571"/>
      <c r="UV251" s="24"/>
      <c r="UW251" s="22" t="s">
        <v>299</v>
      </c>
      <c r="UY251" s="569" t="s">
        <v>156</v>
      </c>
      <c r="UZ251" s="570"/>
      <c r="VA251" s="570"/>
      <c r="VB251" s="570"/>
      <c r="VC251" s="570"/>
      <c r="VD251" s="571"/>
      <c r="VE251" s="24"/>
      <c r="VF251" s="22" t="s">
        <v>299</v>
      </c>
      <c r="VH251" s="569" t="s">
        <v>156</v>
      </c>
      <c r="VI251" s="570"/>
      <c r="VJ251" s="570"/>
      <c r="VK251" s="570"/>
      <c r="VL251" s="570"/>
      <c r="VM251" s="571"/>
      <c r="VN251" s="24"/>
      <c r="VO251" s="22" t="s">
        <v>299</v>
      </c>
      <c r="VQ251" s="569" t="s">
        <v>156</v>
      </c>
      <c r="VR251" s="570"/>
      <c r="VS251" s="570"/>
      <c r="VT251" s="570"/>
      <c r="VU251" s="570"/>
      <c r="VV251" s="571"/>
      <c r="VW251" s="24"/>
      <c r="VX251" s="22" t="s">
        <v>299</v>
      </c>
      <c r="VZ251" s="569" t="s">
        <v>156</v>
      </c>
      <c r="WA251" s="570"/>
      <c r="WB251" s="570"/>
      <c r="WC251" s="570"/>
      <c r="WD251" s="570"/>
      <c r="WE251" s="571"/>
      <c r="WF251" s="24"/>
      <c r="WG251" s="22" t="s">
        <v>299</v>
      </c>
      <c r="WI251" s="569" t="s">
        <v>156</v>
      </c>
      <c r="WJ251" s="570"/>
      <c r="WK251" s="570"/>
      <c r="WL251" s="570"/>
      <c r="WM251" s="570"/>
      <c r="WN251" s="571"/>
      <c r="WO251" s="24"/>
      <c r="WP251" s="22" t="s">
        <v>299</v>
      </c>
      <c r="WR251" s="569" t="s">
        <v>156</v>
      </c>
      <c r="WS251" s="570"/>
      <c r="WT251" s="570"/>
      <c r="WU251" s="570"/>
      <c r="WV251" s="570"/>
      <c r="WW251" s="571"/>
      <c r="WX251" s="24"/>
      <c r="WY251" s="22" t="s">
        <v>299</v>
      </c>
      <c r="XA251" s="569" t="s">
        <v>156</v>
      </c>
      <c r="XB251" s="570"/>
      <c r="XC251" s="570"/>
      <c r="XD251" s="570"/>
      <c r="XE251" s="570"/>
      <c r="XF251" s="571"/>
      <c r="XG251" s="24"/>
      <c r="XH251" s="22" t="s">
        <v>299</v>
      </c>
      <c r="XJ251" s="569" t="s">
        <v>156</v>
      </c>
      <c r="XK251" s="570"/>
      <c r="XL251" s="570"/>
      <c r="XM251" s="570"/>
      <c r="XN251" s="570"/>
      <c r="XO251" s="571"/>
      <c r="XP251" s="24"/>
      <c r="XQ251" s="22" t="s">
        <v>299</v>
      </c>
      <c r="XS251" s="569" t="s">
        <v>156</v>
      </c>
      <c r="XT251" s="570"/>
      <c r="XU251" s="570"/>
      <c r="XV251" s="570"/>
      <c r="XW251" s="570"/>
      <c r="XX251" s="571"/>
      <c r="XY251" s="24"/>
      <c r="XZ251" s="22" t="s">
        <v>299</v>
      </c>
      <c r="YB251" s="569" t="s">
        <v>156</v>
      </c>
      <c r="YC251" s="570"/>
      <c r="YD251" s="570"/>
      <c r="YE251" s="570"/>
      <c r="YF251" s="570"/>
      <c r="YG251" s="571"/>
      <c r="YH251" s="24"/>
      <c r="YI251" s="22" t="s">
        <v>299</v>
      </c>
      <c r="YK251" s="569" t="s">
        <v>156</v>
      </c>
      <c r="YL251" s="570"/>
      <c r="YM251" s="570"/>
      <c r="YN251" s="570"/>
      <c r="YO251" s="570"/>
      <c r="YP251" s="571"/>
      <c r="YQ251" s="24"/>
      <c r="YR251" s="22" t="s">
        <v>299</v>
      </c>
      <c r="YT251" s="569" t="s">
        <v>156</v>
      </c>
      <c r="YU251" s="570"/>
      <c r="YV251" s="570"/>
      <c r="YW251" s="570"/>
      <c r="YX251" s="570"/>
      <c r="YY251" s="571"/>
      <c r="YZ251" s="24"/>
      <c r="ZA251" s="22" t="s">
        <v>299</v>
      </c>
      <c r="ZC251" s="569" t="s">
        <v>156</v>
      </c>
      <c r="ZD251" s="570"/>
      <c r="ZE251" s="570"/>
      <c r="ZF251" s="570"/>
      <c r="ZG251" s="570"/>
      <c r="ZH251" s="571"/>
      <c r="ZI251" s="24"/>
      <c r="ZJ251" s="22" t="s">
        <v>299</v>
      </c>
      <c r="ZL251" s="569" t="s">
        <v>156</v>
      </c>
      <c r="ZM251" s="570"/>
      <c r="ZN251" s="570"/>
      <c r="ZO251" s="570"/>
      <c r="ZP251" s="570"/>
      <c r="ZQ251" s="571"/>
      <c r="ZR251" s="24"/>
      <c r="ZS251" s="22" t="s">
        <v>299</v>
      </c>
      <c r="ZU251" s="569" t="s">
        <v>156</v>
      </c>
      <c r="ZV251" s="570"/>
      <c r="ZW251" s="570"/>
      <c r="ZX251" s="570"/>
      <c r="ZY251" s="570"/>
      <c r="ZZ251" s="571"/>
      <c r="AAA251" s="24"/>
      <c r="AAB251" s="22" t="s">
        <v>299</v>
      </c>
      <c r="AAD251" s="569" t="s">
        <v>156</v>
      </c>
      <c r="AAE251" s="570"/>
      <c r="AAF251" s="570"/>
      <c r="AAG251" s="570"/>
      <c r="AAH251" s="570"/>
      <c r="AAI251" s="571"/>
      <c r="AAJ251" s="24"/>
      <c r="AAK251" s="22" t="s">
        <v>299</v>
      </c>
      <c r="AAM251" s="569" t="s">
        <v>156</v>
      </c>
      <c r="AAN251" s="570"/>
      <c r="AAO251" s="570"/>
      <c r="AAP251" s="570"/>
      <c r="AAQ251" s="570"/>
      <c r="AAR251" s="571"/>
      <c r="AAS251" s="24"/>
      <c r="AAT251" s="22" t="s">
        <v>299</v>
      </c>
      <c r="AAV251" s="569" t="s">
        <v>156</v>
      </c>
      <c r="AAW251" s="570"/>
      <c r="AAX251" s="570"/>
      <c r="AAY251" s="570"/>
      <c r="AAZ251" s="570"/>
      <c r="ABA251" s="571"/>
      <c r="ABB251" s="24"/>
      <c r="ABC251" s="22" t="s">
        <v>299</v>
      </c>
      <c r="ABE251" s="569" t="s">
        <v>156</v>
      </c>
      <c r="ABF251" s="570"/>
      <c r="ABG251" s="570"/>
      <c r="ABH251" s="570"/>
      <c r="ABI251" s="570"/>
      <c r="ABJ251" s="571"/>
      <c r="ABK251" s="24"/>
    </row>
    <row r="252" spans="1:739" ht="14.45" thickBot="1">
      <c r="C252" s="30" t="s">
        <v>164</v>
      </c>
      <c r="D252" s="77" t="s">
        <v>165</v>
      </c>
      <c r="E252" s="27" t="s">
        <v>166</v>
      </c>
      <c r="F252" s="26" t="s">
        <v>167</v>
      </c>
      <c r="G252" s="27" t="s">
        <v>168</v>
      </c>
      <c r="H252" s="28" t="s">
        <v>169</v>
      </c>
      <c r="I252" s="327" t="s">
        <v>170</v>
      </c>
      <c r="L252" s="30" t="s">
        <v>164</v>
      </c>
      <c r="M252" s="77" t="s">
        <v>165</v>
      </c>
      <c r="N252" s="31" t="s">
        <v>166</v>
      </c>
      <c r="O252" s="26" t="s">
        <v>167</v>
      </c>
      <c r="P252" s="31" t="s">
        <v>168</v>
      </c>
      <c r="Q252" s="83" t="s">
        <v>169</v>
      </c>
      <c r="R252" s="79" t="s">
        <v>170</v>
      </c>
      <c r="U252" s="30" t="s">
        <v>164</v>
      </c>
      <c r="V252" s="77" t="s">
        <v>165</v>
      </c>
      <c r="W252" s="33" t="s">
        <v>166</v>
      </c>
      <c r="X252" s="26" t="s">
        <v>167</v>
      </c>
      <c r="Y252" s="33" t="s">
        <v>168</v>
      </c>
      <c r="Z252" s="84" t="s">
        <v>169</v>
      </c>
      <c r="AA252" s="79" t="s">
        <v>170</v>
      </c>
      <c r="AD252" s="30" t="s">
        <v>164</v>
      </c>
      <c r="AE252" s="77" t="s">
        <v>165</v>
      </c>
      <c r="AF252" s="35" t="s">
        <v>166</v>
      </c>
      <c r="AG252" s="26" t="s">
        <v>167</v>
      </c>
      <c r="AH252" s="35" t="s">
        <v>168</v>
      </c>
      <c r="AI252" s="36" t="s">
        <v>169</v>
      </c>
      <c r="AJ252" s="79" t="s">
        <v>170</v>
      </c>
      <c r="AM252" s="30" t="s">
        <v>164</v>
      </c>
      <c r="AN252" s="77" t="s">
        <v>165</v>
      </c>
      <c r="AO252" s="37" t="s">
        <v>166</v>
      </c>
      <c r="AP252" s="26" t="s">
        <v>167</v>
      </c>
      <c r="AQ252" s="37" t="s">
        <v>168</v>
      </c>
      <c r="AR252" s="38" t="s">
        <v>169</v>
      </c>
      <c r="AS252" s="79" t="s">
        <v>170</v>
      </c>
      <c r="AV252" s="30" t="s">
        <v>164</v>
      </c>
      <c r="AW252" s="77" t="s">
        <v>165</v>
      </c>
      <c r="AX252" s="39" t="s">
        <v>166</v>
      </c>
      <c r="AY252" s="26" t="s">
        <v>167</v>
      </c>
      <c r="AZ252" s="39" t="s">
        <v>168</v>
      </c>
      <c r="BA252" s="40" t="s">
        <v>169</v>
      </c>
      <c r="BB252" s="79" t="s">
        <v>170</v>
      </c>
      <c r="BE252" s="30" t="s">
        <v>164</v>
      </c>
      <c r="BF252" s="77" t="s">
        <v>165</v>
      </c>
      <c r="BG252" s="41" t="s">
        <v>166</v>
      </c>
      <c r="BH252" s="26" t="s">
        <v>167</v>
      </c>
      <c r="BI252" s="41" t="s">
        <v>168</v>
      </c>
      <c r="BJ252" s="42" t="s">
        <v>169</v>
      </c>
      <c r="BK252" s="79" t="s">
        <v>170</v>
      </c>
      <c r="BN252" s="30" t="s">
        <v>164</v>
      </c>
      <c r="BO252" s="77" t="s">
        <v>165</v>
      </c>
      <c r="BP252" s="43" t="s">
        <v>166</v>
      </c>
      <c r="BQ252" s="26" t="s">
        <v>167</v>
      </c>
      <c r="BR252" s="43" t="s">
        <v>168</v>
      </c>
      <c r="BS252" s="44" t="s">
        <v>169</v>
      </c>
      <c r="BT252" s="79" t="s">
        <v>170</v>
      </c>
      <c r="BW252" s="30" t="s">
        <v>164</v>
      </c>
      <c r="BX252" s="77" t="s">
        <v>165</v>
      </c>
      <c r="BY252" s="45" t="s">
        <v>166</v>
      </c>
      <c r="BZ252" s="26" t="s">
        <v>167</v>
      </c>
      <c r="CA252" s="45" t="s">
        <v>168</v>
      </c>
      <c r="CB252" s="46" t="s">
        <v>169</v>
      </c>
      <c r="CC252" s="79" t="s">
        <v>170</v>
      </c>
      <c r="CF252" s="30" t="s">
        <v>164</v>
      </c>
      <c r="CG252" s="77" t="s">
        <v>165</v>
      </c>
      <c r="CH252" s="47" t="s">
        <v>166</v>
      </c>
      <c r="CI252" s="26" t="s">
        <v>167</v>
      </c>
      <c r="CJ252" s="47" t="s">
        <v>168</v>
      </c>
      <c r="CK252" s="48" t="s">
        <v>169</v>
      </c>
      <c r="CL252" s="79" t="s">
        <v>170</v>
      </c>
      <c r="CO252" s="30" t="s">
        <v>164</v>
      </c>
      <c r="CP252" s="77" t="s">
        <v>165</v>
      </c>
      <c r="CQ252" s="129" t="s">
        <v>166</v>
      </c>
      <c r="CR252" s="26" t="s">
        <v>167</v>
      </c>
      <c r="CS252" s="129" t="s">
        <v>168</v>
      </c>
      <c r="CT252" s="130" t="s">
        <v>169</v>
      </c>
      <c r="CU252" s="79" t="s">
        <v>170</v>
      </c>
      <c r="CX252" s="30" t="s">
        <v>164</v>
      </c>
      <c r="CY252" s="77" t="s">
        <v>165</v>
      </c>
      <c r="CZ252" s="132" t="s">
        <v>166</v>
      </c>
      <c r="DA252" s="26" t="s">
        <v>167</v>
      </c>
      <c r="DB252" s="132" t="s">
        <v>168</v>
      </c>
      <c r="DC252" s="134" t="s">
        <v>169</v>
      </c>
      <c r="DD252" s="79" t="s">
        <v>170</v>
      </c>
      <c r="DG252" s="30" t="s">
        <v>164</v>
      </c>
      <c r="DH252" s="77" t="s">
        <v>165</v>
      </c>
      <c r="DI252" s="146" t="s">
        <v>166</v>
      </c>
      <c r="DJ252" s="26" t="s">
        <v>167</v>
      </c>
      <c r="DK252" s="146" t="s">
        <v>168</v>
      </c>
      <c r="DL252" s="153" t="s">
        <v>169</v>
      </c>
      <c r="DM252" s="79" t="s">
        <v>170</v>
      </c>
      <c r="DP252" s="30" t="s">
        <v>164</v>
      </c>
      <c r="DQ252" s="77" t="s">
        <v>165</v>
      </c>
      <c r="DR252" s="27" t="s">
        <v>166</v>
      </c>
      <c r="DS252" s="26" t="s">
        <v>167</v>
      </c>
      <c r="DT252" s="27" t="s">
        <v>168</v>
      </c>
      <c r="DU252" s="28" t="s">
        <v>169</v>
      </c>
      <c r="DV252" s="79" t="s">
        <v>170</v>
      </c>
      <c r="DY252" s="30" t="s">
        <v>164</v>
      </c>
      <c r="DZ252" s="77" t="s">
        <v>165</v>
      </c>
      <c r="EA252" s="156" t="s">
        <v>166</v>
      </c>
      <c r="EB252" s="26" t="s">
        <v>167</v>
      </c>
      <c r="EC252" s="156" t="s">
        <v>168</v>
      </c>
      <c r="ED252" s="158" t="s">
        <v>169</v>
      </c>
      <c r="EE252" s="79" t="s">
        <v>170</v>
      </c>
      <c r="EH252" s="30" t="s">
        <v>164</v>
      </c>
      <c r="EI252" s="77" t="s">
        <v>165</v>
      </c>
      <c r="EJ252" s="161" t="s">
        <v>166</v>
      </c>
      <c r="EK252" s="26" t="s">
        <v>167</v>
      </c>
      <c r="EL252" s="161" t="s">
        <v>168</v>
      </c>
      <c r="EM252" s="163" t="s">
        <v>169</v>
      </c>
      <c r="EN252" s="79" t="s">
        <v>170</v>
      </c>
      <c r="EQ252" s="30" t="s">
        <v>164</v>
      </c>
      <c r="ER252" s="77" t="s">
        <v>165</v>
      </c>
      <c r="ES252" s="167" t="s">
        <v>166</v>
      </c>
      <c r="ET252" s="26" t="s">
        <v>167</v>
      </c>
      <c r="EU252" s="167" t="s">
        <v>168</v>
      </c>
      <c r="EV252" s="169" t="s">
        <v>169</v>
      </c>
      <c r="EW252" s="79" t="s">
        <v>170</v>
      </c>
      <c r="EZ252" s="30" t="s">
        <v>164</v>
      </c>
      <c r="FA252" s="77" t="s">
        <v>165</v>
      </c>
      <c r="FB252" s="176" t="s">
        <v>166</v>
      </c>
      <c r="FC252" s="26" t="s">
        <v>167</v>
      </c>
      <c r="FD252" s="176" t="s">
        <v>168</v>
      </c>
      <c r="FE252" s="177" t="s">
        <v>169</v>
      </c>
      <c r="FF252" s="79" t="s">
        <v>170</v>
      </c>
      <c r="FI252" s="30" t="s">
        <v>164</v>
      </c>
      <c r="FJ252" s="77" t="s">
        <v>165</v>
      </c>
      <c r="FK252" s="181" t="s">
        <v>166</v>
      </c>
      <c r="FL252" s="26" t="s">
        <v>167</v>
      </c>
      <c r="FM252" s="181" t="s">
        <v>168</v>
      </c>
      <c r="FN252" s="182" t="s">
        <v>169</v>
      </c>
      <c r="FO252" s="79" t="s">
        <v>170</v>
      </c>
      <c r="FR252" s="30" t="s">
        <v>164</v>
      </c>
      <c r="FS252" s="77" t="s">
        <v>165</v>
      </c>
      <c r="FT252" s="185" t="s">
        <v>166</v>
      </c>
      <c r="FU252" s="26" t="s">
        <v>167</v>
      </c>
      <c r="FV252" s="185" t="s">
        <v>168</v>
      </c>
      <c r="FW252" s="187" t="s">
        <v>169</v>
      </c>
      <c r="FX252" s="79" t="s">
        <v>170</v>
      </c>
      <c r="GA252" s="30" t="s">
        <v>164</v>
      </c>
      <c r="GB252" s="77" t="s">
        <v>165</v>
      </c>
      <c r="GC252" s="128" t="s">
        <v>166</v>
      </c>
      <c r="GD252" s="26" t="s">
        <v>167</v>
      </c>
      <c r="GE252" s="128" t="s">
        <v>168</v>
      </c>
      <c r="GF252" s="200" t="s">
        <v>169</v>
      </c>
      <c r="GG252" s="79" t="s">
        <v>170</v>
      </c>
      <c r="GJ252" s="30" t="s">
        <v>164</v>
      </c>
      <c r="GK252" s="77" t="s">
        <v>165</v>
      </c>
      <c r="GL252" s="197" t="s">
        <v>166</v>
      </c>
      <c r="GM252" s="26" t="s">
        <v>167</v>
      </c>
      <c r="GN252" s="197" t="s">
        <v>168</v>
      </c>
      <c r="GO252" s="198" t="s">
        <v>169</v>
      </c>
      <c r="GP252" s="79" t="s">
        <v>170</v>
      </c>
      <c r="GS252" s="30" t="s">
        <v>164</v>
      </c>
      <c r="GT252" s="77" t="s">
        <v>165</v>
      </c>
      <c r="GU252" s="193" t="s">
        <v>166</v>
      </c>
      <c r="GV252" s="26" t="s">
        <v>167</v>
      </c>
      <c r="GW252" s="193" t="s">
        <v>168</v>
      </c>
      <c r="GX252" s="194" t="s">
        <v>169</v>
      </c>
      <c r="GY252" s="79" t="s">
        <v>170</v>
      </c>
      <c r="HB252" s="30" t="s">
        <v>164</v>
      </c>
      <c r="HC252" s="77" t="s">
        <v>165</v>
      </c>
      <c r="HD252" s="189" t="s">
        <v>166</v>
      </c>
      <c r="HE252" s="26" t="s">
        <v>167</v>
      </c>
      <c r="HF252" s="189" t="s">
        <v>168</v>
      </c>
      <c r="HG252" s="190" t="s">
        <v>169</v>
      </c>
      <c r="HH252" s="79" t="s">
        <v>170</v>
      </c>
      <c r="HK252" s="30" t="s">
        <v>164</v>
      </c>
      <c r="HL252" s="77" t="s">
        <v>165</v>
      </c>
      <c r="HM252" s="41" t="s">
        <v>166</v>
      </c>
      <c r="HN252" s="26" t="s">
        <v>167</v>
      </c>
      <c r="HO252" s="41" t="s">
        <v>168</v>
      </c>
      <c r="HP252" s="42" t="s">
        <v>169</v>
      </c>
      <c r="HQ252" s="79" t="s">
        <v>170</v>
      </c>
      <c r="HU252" s="30" t="s">
        <v>164</v>
      </c>
      <c r="HV252" s="77" t="s">
        <v>165</v>
      </c>
      <c r="HW252" s="241" t="s">
        <v>166</v>
      </c>
      <c r="HX252" s="26" t="s">
        <v>167</v>
      </c>
      <c r="HY252" s="241" t="s">
        <v>168</v>
      </c>
      <c r="HZ252" s="243" t="s">
        <v>169</v>
      </c>
      <c r="IA252" s="79" t="s">
        <v>170</v>
      </c>
      <c r="ID252" s="30" t="s">
        <v>164</v>
      </c>
      <c r="IE252" s="77" t="s">
        <v>165</v>
      </c>
      <c r="IF252" s="241" t="s">
        <v>166</v>
      </c>
      <c r="IG252" s="26" t="s">
        <v>167</v>
      </c>
      <c r="IH252" s="241" t="s">
        <v>168</v>
      </c>
      <c r="II252" s="243" t="s">
        <v>169</v>
      </c>
      <c r="IJ252" s="79" t="s">
        <v>170</v>
      </c>
      <c r="IM252" s="30" t="s">
        <v>164</v>
      </c>
      <c r="IN252" s="77" t="s">
        <v>165</v>
      </c>
      <c r="IO252" s="241" t="s">
        <v>166</v>
      </c>
      <c r="IP252" s="26" t="s">
        <v>167</v>
      </c>
      <c r="IQ252" s="241" t="s">
        <v>168</v>
      </c>
      <c r="IR252" s="243" t="s">
        <v>169</v>
      </c>
      <c r="IS252" s="79" t="s">
        <v>170</v>
      </c>
      <c r="IV252" s="30" t="s">
        <v>164</v>
      </c>
      <c r="IW252" s="77" t="s">
        <v>165</v>
      </c>
      <c r="IX252" s="241" t="s">
        <v>166</v>
      </c>
      <c r="IY252" s="26" t="s">
        <v>167</v>
      </c>
      <c r="IZ252" s="241" t="s">
        <v>168</v>
      </c>
      <c r="JA252" s="243" t="s">
        <v>169</v>
      </c>
      <c r="JB252" s="79" t="s">
        <v>170</v>
      </c>
      <c r="JE252" s="30" t="s">
        <v>164</v>
      </c>
      <c r="JF252" s="77" t="s">
        <v>165</v>
      </c>
      <c r="JG252" s="241" t="s">
        <v>166</v>
      </c>
      <c r="JH252" s="26" t="s">
        <v>167</v>
      </c>
      <c r="JI252" s="241" t="s">
        <v>168</v>
      </c>
      <c r="JJ252" s="243" t="s">
        <v>169</v>
      </c>
      <c r="JK252" s="79" t="s">
        <v>170</v>
      </c>
      <c r="JN252" s="30" t="s">
        <v>164</v>
      </c>
      <c r="JO252" s="77" t="s">
        <v>165</v>
      </c>
      <c r="JP252" s="241" t="s">
        <v>166</v>
      </c>
      <c r="JQ252" s="26" t="s">
        <v>167</v>
      </c>
      <c r="JR252" s="241" t="s">
        <v>168</v>
      </c>
      <c r="JS252" s="243" t="s">
        <v>169</v>
      </c>
      <c r="JT252" s="79" t="s">
        <v>170</v>
      </c>
      <c r="JW252" s="30" t="s">
        <v>164</v>
      </c>
      <c r="JX252" s="77" t="s">
        <v>165</v>
      </c>
      <c r="JY252" s="241" t="s">
        <v>166</v>
      </c>
      <c r="JZ252" s="26" t="s">
        <v>167</v>
      </c>
      <c r="KA252" s="241" t="s">
        <v>168</v>
      </c>
      <c r="KB252" s="243" t="s">
        <v>169</v>
      </c>
      <c r="KC252" s="79" t="s">
        <v>170</v>
      </c>
      <c r="KF252" s="30" t="s">
        <v>164</v>
      </c>
      <c r="KG252" s="77" t="s">
        <v>165</v>
      </c>
      <c r="KH252" s="241" t="s">
        <v>166</v>
      </c>
      <c r="KI252" s="26" t="s">
        <v>167</v>
      </c>
      <c r="KJ252" s="241" t="s">
        <v>168</v>
      </c>
      <c r="KK252" s="243" t="s">
        <v>169</v>
      </c>
      <c r="KL252" s="79" t="s">
        <v>170</v>
      </c>
      <c r="KO252" s="30" t="s">
        <v>164</v>
      </c>
      <c r="KP252" s="77" t="s">
        <v>165</v>
      </c>
      <c r="KQ252" s="241" t="s">
        <v>166</v>
      </c>
      <c r="KR252" s="26" t="s">
        <v>167</v>
      </c>
      <c r="KS252" s="241" t="s">
        <v>168</v>
      </c>
      <c r="KT252" s="243" t="s">
        <v>169</v>
      </c>
      <c r="KU252" s="79" t="s">
        <v>170</v>
      </c>
      <c r="KX252" s="30" t="s">
        <v>164</v>
      </c>
      <c r="KY252" s="77" t="s">
        <v>165</v>
      </c>
      <c r="KZ252" s="241" t="s">
        <v>166</v>
      </c>
      <c r="LA252" s="26" t="s">
        <v>167</v>
      </c>
      <c r="LB252" s="241" t="s">
        <v>168</v>
      </c>
      <c r="LC252" s="243" t="s">
        <v>169</v>
      </c>
      <c r="LD252" s="79" t="s">
        <v>170</v>
      </c>
      <c r="LG252" s="30" t="s">
        <v>164</v>
      </c>
      <c r="LH252" s="77" t="s">
        <v>165</v>
      </c>
      <c r="LI252" s="241" t="s">
        <v>166</v>
      </c>
      <c r="LJ252" s="26" t="s">
        <v>167</v>
      </c>
      <c r="LK252" s="241" t="s">
        <v>168</v>
      </c>
      <c r="LL252" s="243" t="s">
        <v>169</v>
      </c>
      <c r="LM252" s="79" t="s">
        <v>170</v>
      </c>
      <c r="LP252" s="30" t="s">
        <v>164</v>
      </c>
      <c r="LQ252" s="77" t="s">
        <v>165</v>
      </c>
      <c r="LR252" s="241" t="s">
        <v>166</v>
      </c>
      <c r="LS252" s="26" t="s">
        <v>167</v>
      </c>
      <c r="LT252" s="241" t="s">
        <v>168</v>
      </c>
      <c r="LU252" s="243" t="s">
        <v>169</v>
      </c>
      <c r="LV252" s="79" t="s">
        <v>170</v>
      </c>
      <c r="LY252" s="30" t="s">
        <v>164</v>
      </c>
      <c r="LZ252" s="77" t="s">
        <v>165</v>
      </c>
      <c r="MA252" s="241" t="s">
        <v>166</v>
      </c>
      <c r="MB252" s="26" t="s">
        <v>167</v>
      </c>
      <c r="MC252" s="241" t="s">
        <v>168</v>
      </c>
      <c r="MD252" s="243" t="s">
        <v>169</v>
      </c>
      <c r="ME252" s="79" t="s">
        <v>170</v>
      </c>
      <c r="MH252" s="30" t="s">
        <v>164</v>
      </c>
      <c r="MI252" s="77" t="s">
        <v>165</v>
      </c>
      <c r="MJ252" s="241" t="s">
        <v>166</v>
      </c>
      <c r="MK252" s="26" t="s">
        <v>167</v>
      </c>
      <c r="ML252" s="241" t="s">
        <v>168</v>
      </c>
      <c r="MM252" s="243" t="s">
        <v>169</v>
      </c>
      <c r="MN252" s="79" t="s">
        <v>170</v>
      </c>
      <c r="MQ252" s="30" t="s">
        <v>164</v>
      </c>
      <c r="MR252" s="77" t="s">
        <v>165</v>
      </c>
      <c r="MS252" s="241" t="s">
        <v>166</v>
      </c>
      <c r="MT252" s="26" t="s">
        <v>167</v>
      </c>
      <c r="MU252" s="241" t="s">
        <v>168</v>
      </c>
      <c r="MV252" s="243" t="s">
        <v>169</v>
      </c>
      <c r="MW252" s="79" t="s">
        <v>170</v>
      </c>
      <c r="MZ252" s="30" t="s">
        <v>164</v>
      </c>
      <c r="NA252" s="77" t="s">
        <v>165</v>
      </c>
      <c r="NB252" s="241" t="s">
        <v>166</v>
      </c>
      <c r="NC252" s="26" t="s">
        <v>167</v>
      </c>
      <c r="ND252" s="241" t="s">
        <v>168</v>
      </c>
      <c r="NE252" s="243" t="s">
        <v>169</v>
      </c>
      <c r="NF252" s="79" t="s">
        <v>170</v>
      </c>
      <c r="NI252" s="30" t="s">
        <v>164</v>
      </c>
      <c r="NJ252" s="77" t="s">
        <v>165</v>
      </c>
      <c r="NK252" s="241" t="s">
        <v>166</v>
      </c>
      <c r="NL252" s="26" t="s">
        <v>167</v>
      </c>
      <c r="NM252" s="241" t="s">
        <v>168</v>
      </c>
      <c r="NN252" s="243" t="s">
        <v>169</v>
      </c>
      <c r="NO252" s="79" t="s">
        <v>170</v>
      </c>
      <c r="NR252" s="30" t="s">
        <v>164</v>
      </c>
      <c r="NS252" s="77" t="s">
        <v>165</v>
      </c>
      <c r="NT252" s="241" t="s">
        <v>166</v>
      </c>
      <c r="NU252" s="26" t="s">
        <v>167</v>
      </c>
      <c r="NV252" s="241" t="s">
        <v>168</v>
      </c>
      <c r="NW252" s="243" t="s">
        <v>169</v>
      </c>
      <c r="NX252" s="79" t="s">
        <v>170</v>
      </c>
      <c r="OA252" s="30" t="s">
        <v>164</v>
      </c>
      <c r="OB252" s="77" t="s">
        <v>165</v>
      </c>
      <c r="OC252" s="241" t="s">
        <v>166</v>
      </c>
      <c r="OD252" s="26" t="s">
        <v>167</v>
      </c>
      <c r="OE252" s="241" t="s">
        <v>168</v>
      </c>
      <c r="OF252" s="243" t="s">
        <v>169</v>
      </c>
      <c r="OG252" s="79" t="s">
        <v>170</v>
      </c>
      <c r="OJ252" s="30" t="s">
        <v>164</v>
      </c>
      <c r="OK252" s="77" t="s">
        <v>165</v>
      </c>
      <c r="OL252" s="241" t="s">
        <v>166</v>
      </c>
      <c r="OM252" s="26" t="s">
        <v>167</v>
      </c>
      <c r="ON252" s="241" t="s">
        <v>168</v>
      </c>
      <c r="OO252" s="243" t="s">
        <v>169</v>
      </c>
      <c r="OP252" s="79" t="s">
        <v>170</v>
      </c>
      <c r="OS252" s="30" t="s">
        <v>164</v>
      </c>
      <c r="OT252" s="77" t="s">
        <v>165</v>
      </c>
      <c r="OU252" s="241" t="s">
        <v>166</v>
      </c>
      <c r="OV252" s="26" t="s">
        <v>167</v>
      </c>
      <c r="OW252" s="241" t="s">
        <v>168</v>
      </c>
      <c r="OX252" s="243" t="s">
        <v>169</v>
      </c>
      <c r="OY252" s="79" t="s">
        <v>170</v>
      </c>
      <c r="PB252" s="30" t="s">
        <v>164</v>
      </c>
      <c r="PC252" s="77" t="s">
        <v>165</v>
      </c>
      <c r="PD252" s="241" t="s">
        <v>166</v>
      </c>
      <c r="PE252" s="26" t="s">
        <v>167</v>
      </c>
      <c r="PF252" s="241" t="s">
        <v>168</v>
      </c>
      <c r="PG252" s="243" t="s">
        <v>169</v>
      </c>
      <c r="PH252" s="79" t="s">
        <v>170</v>
      </c>
      <c r="PK252" s="30" t="s">
        <v>164</v>
      </c>
      <c r="PL252" s="77" t="s">
        <v>165</v>
      </c>
      <c r="PM252" s="241" t="s">
        <v>166</v>
      </c>
      <c r="PN252" s="26" t="s">
        <v>167</v>
      </c>
      <c r="PO252" s="241" t="s">
        <v>168</v>
      </c>
      <c r="PP252" s="243" t="s">
        <v>169</v>
      </c>
      <c r="PQ252" s="79" t="s">
        <v>170</v>
      </c>
      <c r="PT252" s="30" t="s">
        <v>164</v>
      </c>
      <c r="PU252" s="77" t="s">
        <v>165</v>
      </c>
      <c r="PV252" s="241" t="s">
        <v>166</v>
      </c>
      <c r="PW252" s="26" t="s">
        <v>167</v>
      </c>
      <c r="PX252" s="241" t="s">
        <v>168</v>
      </c>
      <c r="PY252" s="243" t="s">
        <v>169</v>
      </c>
      <c r="PZ252" s="79" t="s">
        <v>170</v>
      </c>
      <c r="QC252" s="30" t="s">
        <v>164</v>
      </c>
      <c r="QD252" s="77" t="s">
        <v>165</v>
      </c>
      <c r="QE252" s="241" t="s">
        <v>166</v>
      </c>
      <c r="QF252" s="26" t="s">
        <v>167</v>
      </c>
      <c r="QG252" s="241" t="s">
        <v>168</v>
      </c>
      <c r="QH252" s="243" t="s">
        <v>169</v>
      </c>
      <c r="QI252" s="79" t="s">
        <v>170</v>
      </c>
      <c r="QL252" s="30" t="s">
        <v>164</v>
      </c>
      <c r="QM252" s="77" t="s">
        <v>165</v>
      </c>
      <c r="QN252" s="241" t="s">
        <v>166</v>
      </c>
      <c r="QO252" s="26" t="s">
        <v>167</v>
      </c>
      <c r="QP252" s="241" t="s">
        <v>168</v>
      </c>
      <c r="QQ252" s="243" t="s">
        <v>169</v>
      </c>
      <c r="QR252" s="79" t="s">
        <v>170</v>
      </c>
      <c r="QU252" s="30" t="s">
        <v>164</v>
      </c>
      <c r="QV252" s="77" t="s">
        <v>165</v>
      </c>
      <c r="QW252" s="241" t="s">
        <v>166</v>
      </c>
      <c r="QX252" s="26" t="s">
        <v>167</v>
      </c>
      <c r="QY252" s="241" t="s">
        <v>168</v>
      </c>
      <c r="QZ252" s="243" t="s">
        <v>169</v>
      </c>
      <c r="RA252" s="79" t="s">
        <v>170</v>
      </c>
      <c r="RD252" s="30" t="s">
        <v>164</v>
      </c>
      <c r="RE252" s="77" t="s">
        <v>165</v>
      </c>
      <c r="RF252" s="241" t="s">
        <v>166</v>
      </c>
      <c r="RG252" s="26" t="s">
        <v>167</v>
      </c>
      <c r="RH252" s="241" t="s">
        <v>168</v>
      </c>
      <c r="RI252" s="243" t="s">
        <v>169</v>
      </c>
      <c r="RJ252" s="79" t="s">
        <v>170</v>
      </c>
      <c r="RM252" s="30" t="s">
        <v>164</v>
      </c>
      <c r="RN252" s="77" t="s">
        <v>165</v>
      </c>
      <c r="RO252" s="241" t="s">
        <v>166</v>
      </c>
      <c r="RP252" s="26" t="s">
        <v>167</v>
      </c>
      <c r="RQ252" s="241" t="s">
        <v>168</v>
      </c>
      <c r="RR252" s="243" t="s">
        <v>169</v>
      </c>
      <c r="RS252" s="79" t="s">
        <v>170</v>
      </c>
      <c r="RV252" s="30" t="s">
        <v>164</v>
      </c>
      <c r="RW252" s="77" t="s">
        <v>165</v>
      </c>
      <c r="RX252" s="241" t="s">
        <v>166</v>
      </c>
      <c r="RY252" s="26" t="s">
        <v>167</v>
      </c>
      <c r="RZ252" s="241" t="s">
        <v>168</v>
      </c>
      <c r="SA252" s="243" t="s">
        <v>169</v>
      </c>
      <c r="SB252" s="79" t="s">
        <v>170</v>
      </c>
      <c r="SE252" s="30" t="s">
        <v>164</v>
      </c>
      <c r="SF252" s="77" t="s">
        <v>165</v>
      </c>
      <c r="SG252" s="241" t="s">
        <v>166</v>
      </c>
      <c r="SH252" s="26" t="s">
        <v>167</v>
      </c>
      <c r="SI252" s="241" t="s">
        <v>168</v>
      </c>
      <c r="SJ252" s="243" t="s">
        <v>169</v>
      </c>
      <c r="SK252" s="79" t="s">
        <v>170</v>
      </c>
      <c r="SN252" s="30" t="s">
        <v>164</v>
      </c>
      <c r="SO252" s="77" t="s">
        <v>165</v>
      </c>
      <c r="SP252" s="241" t="s">
        <v>166</v>
      </c>
      <c r="SQ252" s="26" t="s">
        <v>167</v>
      </c>
      <c r="SR252" s="241" t="s">
        <v>168</v>
      </c>
      <c r="SS252" s="243" t="s">
        <v>169</v>
      </c>
      <c r="ST252" s="79" t="s">
        <v>170</v>
      </c>
      <c r="SW252" s="30" t="s">
        <v>164</v>
      </c>
      <c r="SX252" s="77" t="s">
        <v>165</v>
      </c>
      <c r="SY252" s="241" t="s">
        <v>166</v>
      </c>
      <c r="SZ252" s="26" t="s">
        <v>167</v>
      </c>
      <c r="TA252" s="241" t="s">
        <v>168</v>
      </c>
      <c r="TB252" s="243" t="s">
        <v>169</v>
      </c>
      <c r="TC252" s="79" t="s">
        <v>170</v>
      </c>
      <c r="TF252" s="30" t="s">
        <v>164</v>
      </c>
      <c r="TG252" s="77" t="s">
        <v>165</v>
      </c>
      <c r="TH252" s="241" t="s">
        <v>166</v>
      </c>
      <c r="TI252" s="26" t="s">
        <v>167</v>
      </c>
      <c r="TJ252" s="241" t="s">
        <v>168</v>
      </c>
      <c r="TK252" s="243" t="s">
        <v>169</v>
      </c>
      <c r="TL252" s="79" t="s">
        <v>170</v>
      </c>
      <c r="TO252" s="30" t="s">
        <v>164</v>
      </c>
      <c r="TP252" s="77" t="s">
        <v>165</v>
      </c>
      <c r="TQ252" s="241" t="s">
        <v>166</v>
      </c>
      <c r="TR252" s="26" t="s">
        <v>167</v>
      </c>
      <c r="TS252" s="241" t="s">
        <v>168</v>
      </c>
      <c r="TT252" s="243" t="s">
        <v>169</v>
      </c>
      <c r="TU252" s="79" t="s">
        <v>170</v>
      </c>
      <c r="TX252" s="30" t="s">
        <v>164</v>
      </c>
      <c r="TY252" s="77" t="s">
        <v>165</v>
      </c>
      <c r="TZ252" s="241" t="s">
        <v>166</v>
      </c>
      <c r="UA252" s="26" t="s">
        <v>167</v>
      </c>
      <c r="UB252" s="241" t="s">
        <v>168</v>
      </c>
      <c r="UC252" s="243" t="s">
        <v>169</v>
      </c>
      <c r="UD252" s="79" t="s">
        <v>170</v>
      </c>
      <c r="UG252" s="30" t="s">
        <v>164</v>
      </c>
      <c r="UH252" s="77" t="s">
        <v>165</v>
      </c>
      <c r="UI252" s="241" t="s">
        <v>166</v>
      </c>
      <c r="UJ252" s="26" t="s">
        <v>167</v>
      </c>
      <c r="UK252" s="241" t="s">
        <v>168</v>
      </c>
      <c r="UL252" s="243" t="s">
        <v>169</v>
      </c>
      <c r="UM252" s="79" t="s">
        <v>170</v>
      </c>
      <c r="UP252" s="30" t="s">
        <v>164</v>
      </c>
      <c r="UQ252" s="77" t="s">
        <v>165</v>
      </c>
      <c r="UR252" s="241" t="s">
        <v>166</v>
      </c>
      <c r="US252" s="26" t="s">
        <v>167</v>
      </c>
      <c r="UT252" s="241" t="s">
        <v>168</v>
      </c>
      <c r="UU252" s="243" t="s">
        <v>169</v>
      </c>
      <c r="UV252" s="79" t="s">
        <v>170</v>
      </c>
      <c r="UY252" s="30" t="s">
        <v>164</v>
      </c>
      <c r="UZ252" s="77" t="s">
        <v>165</v>
      </c>
      <c r="VA252" s="241" t="s">
        <v>166</v>
      </c>
      <c r="VB252" s="26" t="s">
        <v>167</v>
      </c>
      <c r="VC252" s="241" t="s">
        <v>168</v>
      </c>
      <c r="VD252" s="243" t="s">
        <v>169</v>
      </c>
      <c r="VE252" s="79" t="s">
        <v>170</v>
      </c>
      <c r="VH252" s="30" t="s">
        <v>164</v>
      </c>
      <c r="VI252" s="77" t="s">
        <v>165</v>
      </c>
      <c r="VJ252" s="241" t="s">
        <v>166</v>
      </c>
      <c r="VK252" s="26" t="s">
        <v>167</v>
      </c>
      <c r="VL252" s="241" t="s">
        <v>168</v>
      </c>
      <c r="VM252" s="243" t="s">
        <v>169</v>
      </c>
      <c r="VN252" s="79" t="s">
        <v>170</v>
      </c>
      <c r="VQ252" s="30" t="s">
        <v>164</v>
      </c>
      <c r="VR252" s="77" t="s">
        <v>165</v>
      </c>
      <c r="VS252" s="241" t="s">
        <v>166</v>
      </c>
      <c r="VT252" s="26" t="s">
        <v>167</v>
      </c>
      <c r="VU252" s="241" t="s">
        <v>168</v>
      </c>
      <c r="VV252" s="243" t="s">
        <v>169</v>
      </c>
      <c r="VW252" s="79" t="s">
        <v>170</v>
      </c>
      <c r="VZ252" s="30" t="s">
        <v>164</v>
      </c>
      <c r="WA252" s="77" t="s">
        <v>165</v>
      </c>
      <c r="WB252" s="241" t="s">
        <v>166</v>
      </c>
      <c r="WC252" s="26" t="s">
        <v>167</v>
      </c>
      <c r="WD252" s="241" t="s">
        <v>168</v>
      </c>
      <c r="WE252" s="243" t="s">
        <v>169</v>
      </c>
      <c r="WF252" s="79" t="s">
        <v>170</v>
      </c>
      <c r="WI252" s="30" t="s">
        <v>164</v>
      </c>
      <c r="WJ252" s="77" t="s">
        <v>165</v>
      </c>
      <c r="WK252" s="241" t="s">
        <v>166</v>
      </c>
      <c r="WL252" s="26" t="s">
        <v>167</v>
      </c>
      <c r="WM252" s="241" t="s">
        <v>168</v>
      </c>
      <c r="WN252" s="243" t="s">
        <v>169</v>
      </c>
      <c r="WO252" s="79" t="s">
        <v>170</v>
      </c>
      <c r="WR252" s="30" t="s">
        <v>164</v>
      </c>
      <c r="WS252" s="77" t="s">
        <v>165</v>
      </c>
      <c r="WT252" s="241" t="s">
        <v>166</v>
      </c>
      <c r="WU252" s="26" t="s">
        <v>167</v>
      </c>
      <c r="WV252" s="241" t="s">
        <v>168</v>
      </c>
      <c r="WW252" s="243" t="s">
        <v>169</v>
      </c>
      <c r="WX252" s="79" t="s">
        <v>170</v>
      </c>
      <c r="XA252" s="30" t="s">
        <v>164</v>
      </c>
      <c r="XB252" s="77" t="s">
        <v>165</v>
      </c>
      <c r="XC252" s="241" t="s">
        <v>166</v>
      </c>
      <c r="XD252" s="26" t="s">
        <v>167</v>
      </c>
      <c r="XE252" s="241" t="s">
        <v>168</v>
      </c>
      <c r="XF252" s="243" t="s">
        <v>169</v>
      </c>
      <c r="XG252" s="79" t="s">
        <v>170</v>
      </c>
      <c r="XJ252" s="30" t="s">
        <v>164</v>
      </c>
      <c r="XK252" s="77" t="s">
        <v>165</v>
      </c>
      <c r="XL252" s="241" t="s">
        <v>166</v>
      </c>
      <c r="XM252" s="26" t="s">
        <v>167</v>
      </c>
      <c r="XN252" s="241" t="s">
        <v>168</v>
      </c>
      <c r="XO252" s="243" t="s">
        <v>169</v>
      </c>
      <c r="XP252" s="79" t="s">
        <v>170</v>
      </c>
      <c r="XS252" s="30" t="s">
        <v>164</v>
      </c>
      <c r="XT252" s="77" t="s">
        <v>165</v>
      </c>
      <c r="XU252" s="241" t="s">
        <v>166</v>
      </c>
      <c r="XV252" s="26" t="s">
        <v>167</v>
      </c>
      <c r="XW252" s="241" t="s">
        <v>168</v>
      </c>
      <c r="XX252" s="243" t="s">
        <v>169</v>
      </c>
      <c r="XY252" s="79" t="s">
        <v>170</v>
      </c>
      <c r="YB252" s="30" t="s">
        <v>164</v>
      </c>
      <c r="YC252" s="77" t="s">
        <v>165</v>
      </c>
      <c r="YD252" s="241" t="s">
        <v>166</v>
      </c>
      <c r="YE252" s="26" t="s">
        <v>167</v>
      </c>
      <c r="YF252" s="241" t="s">
        <v>168</v>
      </c>
      <c r="YG252" s="243" t="s">
        <v>169</v>
      </c>
      <c r="YH252" s="79" t="s">
        <v>170</v>
      </c>
      <c r="YK252" s="30" t="s">
        <v>164</v>
      </c>
      <c r="YL252" s="77" t="s">
        <v>165</v>
      </c>
      <c r="YM252" s="241" t="s">
        <v>166</v>
      </c>
      <c r="YN252" s="26" t="s">
        <v>167</v>
      </c>
      <c r="YO252" s="241" t="s">
        <v>168</v>
      </c>
      <c r="YP252" s="243" t="s">
        <v>169</v>
      </c>
      <c r="YQ252" s="79" t="s">
        <v>170</v>
      </c>
      <c r="YT252" s="30" t="s">
        <v>164</v>
      </c>
      <c r="YU252" s="77" t="s">
        <v>165</v>
      </c>
      <c r="YV252" s="241" t="s">
        <v>166</v>
      </c>
      <c r="YW252" s="26" t="s">
        <v>167</v>
      </c>
      <c r="YX252" s="241" t="s">
        <v>168</v>
      </c>
      <c r="YY252" s="243" t="s">
        <v>169</v>
      </c>
      <c r="YZ252" s="79" t="s">
        <v>170</v>
      </c>
      <c r="ZC252" s="30" t="s">
        <v>164</v>
      </c>
      <c r="ZD252" s="77" t="s">
        <v>165</v>
      </c>
      <c r="ZE252" s="241" t="s">
        <v>166</v>
      </c>
      <c r="ZF252" s="26" t="s">
        <v>167</v>
      </c>
      <c r="ZG252" s="241" t="s">
        <v>168</v>
      </c>
      <c r="ZH252" s="243" t="s">
        <v>169</v>
      </c>
      <c r="ZI252" s="79" t="s">
        <v>170</v>
      </c>
      <c r="ZL252" s="30" t="s">
        <v>164</v>
      </c>
      <c r="ZM252" s="77" t="s">
        <v>165</v>
      </c>
      <c r="ZN252" s="241" t="s">
        <v>166</v>
      </c>
      <c r="ZO252" s="26" t="s">
        <v>167</v>
      </c>
      <c r="ZP252" s="241" t="s">
        <v>168</v>
      </c>
      <c r="ZQ252" s="243" t="s">
        <v>169</v>
      </c>
      <c r="ZR252" s="79" t="s">
        <v>170</v>
      </c>
      <c r="ZU252" s="30" t="s">
        <v>164</v>
      </c>
      <c r="ZV252" s="77" t="s">
        <v>165</v>
      </c>
      <c r="ZW252" s="241" t="s">
        <v>166</v>
      </c>
      <c r="ZX252" s="26" t="s">
        <v>167</v>
      </c>
      <c r="ZY252" s="241" t="s">
        <v>168</v>
      </c>
      <c r="ZZ252" s="243" t="s">
        <v>169</v>
      </c>
      <c r="AAA252" s="79" t="s">
        <v>170</v>
      </c>
      <c r="AAD252" s="30" t="s">
        <v>164</v>
      </c>
      <c r="AAE252" s="77" t="s">
        <v>165</v>
      </c>
      <c r="AAF252" s="241" t="s">
        <v>166</v>
      </c>
      <c r="AAG252" s="26" t="s">
        <v>167</v>
      </c>
      <c r="AAH252" s="241" t="s">
        <v>168</v>
      </c>
      <c r="AAI252" s="243" t="s">
        <v>169</v>
      </c>
      <c r="AAJ252" s="79" t="s">
        <v>170</v>
      </c>
      <c r="AAM252" s="30" t="s">
        <v>164</v>
      </c>
      <c r="AAN252" s="77" t="s">
        <v>165</v>
      </c>
      <c r="AAO252" s="241" t="s">
        <v>166</v>
      </c>
      <c r="AAP252" s="26" t="s">
        <v>167</v>
      </c>
      <c r="AAQ252" s="241" t="s">
        <v>168</v>
      </c>
      <c r="AAR252" s="243" t="s">
        <v>169</v>
      </c>
      <c r="AAS252" s="79" t="s">
        <v>170</v>
      </c>
      <c r="AAV252" s="30" t="s">
        <v>164</v>
      </c>
      <c r="AAW252" s="77" t="s">
        <v>165</v>
      </c>
      <c r="AAX252" s="241" t="s">
        <v>166</v>
      </c>
      <c r="AAY252" s="26" t="s">
        <v>167</v>
      </c>
      <c r="AAZ252" s="241" t="s">
        <v>168</v>
      </c>
      <c r="ABA252" s="243" t="s">
        <v>169</v>
      </c>
      <c r="ABB252" s="79" t="s">
        <v>170</v>
      </c>
      <c r="ABE252" s="30" t="s">
        <v>164</v>
      </c>
      <c r="ABF252" s="77" t="s">
        <v>165</v>
      </c>
      <c r="ABG252" s="241" t="s">
        <v>166</v>
      </c>
      <c r="ABH252" s="26" t="s">
        <v>167</v>
      </c>
      <c r="ABI252" s="241" t="s">
        <v>168</v>
      </c>
      <c r="ABJ252" s="243" t="s">
        <v>169</v>
      </c>
      <c r="ABK252" s="79" t="s">
        <v>170</v>
      </c>
    </row>
    <row r="253" spans="1:739" s="6" customFormat="1" ht="15" customHeight="1" outlineLevel="1" thickBot="1">
      <c r="B253" s="480"/>
      <c r="C253" s="49" t="s">
        <v>171</v>
      </c>
      <c r="D253" s="50" t="s">
        <v>172</v>
      </c>
      <c r="E253" s="50" t="s">
        <v>172</v>
      </c>
      <c r="F253" s="50" t="s">
        <v>172</v>
      </c>
      <c r="G253" s="51" t="s">
        <v>172</v>
      </c>
      <c r="H253" s="52">
        <f>H249</f>
        <v>190949.40000000002</v>
      </c>
      <c r="I253" s="328"/>
      <c r="L253" s="49" t="s">
        <v>171</v>
      </c>
      <c r="M253" s="50" t="s">
        <v>172</v>
      </c>
      <c r="N253" s="50" t="s">
        <v>172</v>
      </c>
      <c r="O253" s="50" t="s">
        <v>172</v>
      </c>
      <c r="P253" s="51" t="s">
        <v>172</v>
      </c>
      <c r="Q253" s="52">
        <f>Q249</f>
        <v>53017.600000000071</v>
      </c>
      <c r="R253" s="53"/>
      <c r="U253" s="49" t="s">
        <v>171</v>
      </c>
      <c r="V253" s="50" t="s">
        <v>172</v>
      </c>
      <c r="W253" s="50" t="s">
        <v>172</v>
      </c>
      <c r="X253" s="50" t="s">
        <v>172</v>
      </c>
      <c r="Y253" s="51" t="s">
        <v>172</v>
      </c>
      <c r="Z253" s="52">
        <f>Z249</f>
        <v>42674.199999999968</v>
      </c>
      <c r="AA253" s="53"/>
      <c r="AD253" s="49" t="s">
        <v>171</v>
      </c>
      <c r="AE253" s="50" t="s">
        <v>172</v>
      </c>
      <c r="AF253" s="50" t="s">
        <v>172</v>
      </c>
      <c r="AG253" s="50" t="s">
        <v>172</v>
      </c>
      <c r="AH253" s="51" t="s">
        <v>172</v>
      </c>
      <c r="AI253" s="52">
        <f>AI249</f>
        <v>4522.2000000000189</v>
      </c>
      <c r="AJ253" s="53"/>
      <c r="AM253" s="49" t="s">
        <v>171</v>
      </c>
      <c r="AN253" s="429" t="s">
        <v>172</v>
      </c>
      <c r="AO253" s="429" t="s">
        <v>172</v>
      </c>
      <c r="AP253" s="429" t="s">
        <v>172</v>
      </c>
      <c r="AQ253" s="430" t="s">
        <v>172</v>
      </c>
      <c r="AR253" s="431">
        <f>AR249</f>
        <v>0</v>
      </c>
      <c r="AS253" s="53"/>
      <c r="AV253" s="49" t="s">
        <v>171</v>
      </c>
      <c r="AW253" s="50" t="s">
        <v>172</v>
      </c>
      <c r="AX253" s="50" t="s">
        <v>172</v>
      </c>
      <c r="AY253" s="50" t="s">
        <v>172</v>
      </c>
      <c r="AZ253" s="51" t="s">
        <v>172</v>
      </c>
      <c r="BA253" s="52">
        <f>BA249</f>
        <v>124.99999999999523</v>
      </c>
      <c r="BB253" s="53"/>
      <c r="BE253" s="49" t="s">
        <v>171</v>
      </c>
      <c r="BF253" s="50" t="s">
        <v>172</v>
      </c>
      <c r="BG253" s="50" t="s">
        <v>172</v>
      </c>
      <c r="BH253" s="50" t="s">
        <v>172</v>
      </c>
      <c r="BI253" s="51" t="s">
        <v>172</v>
      </c>
      <c r="BJ253" s="52">
        <f>BJ249</f>
        <v>26151.899999999998</v>
      </c>
      <c r="BK253" s="53"/>
      <c r="BN253" s="49" t="s">
        <v>171</v>
      </c>
      <c r="BO253" s="50" t="s">
        <v>172</v>
      </c>
      <c r="BP253" s="50" t="s">
        <v>172</v>
      </c>
      <c r="BQ253" s="50" t="s">
        <v>172</v>
      </c>
      <c r="BR253" s="51" t="s">
        <v>172</v>
      </c>
      <c r="BS253" s="52">
        <f>BS249</f>
        <v>0</v>
      </c>
      <c r="BT253" s="53"/>
      <c r="BW253" s="49" t="s">
        <v>171</v>
      </c>
      <c r="BX253" s="50" t="s">
        <v>172</v>
      </c>
      <c r="BY253" s="50" t="s">
        <v>172</v>
      </c>
      <c r="BZ253" s="50" t="s">
        <v>172</v>
      </c>
      <c r="CA253" s="51" t="s">
        <v>172</v>
      </c>
      <c r="CB253" s="52">
        <f>CB249</f>
        <v>3322.4999999999986</v>
      </c>
      <c r="CC253" s="53"/>
      <c r="CF253" s="49" t="s">
        <v>171</v>
      </c>
      <c r="CG253" s="50" t="s">
        <v>172</v>
      </c>
      <c r="CH253" s="50" t="s">
        <v>172</v>
      </c>
      <c r="CI253" s="50" t="s">
        <v>172</v>
      </c>
      <c r="CJ253" s="51" t="s">
        <v>172</v>
      </c>
      <c r="CK253" s="52">
        <f>CK249</f>
        <v>-10277.079999999998</v>
      </c>
      <c r="CL253" s="53"/>
      <c r="CO253" s="49" t="s">
        <v>171</v>
      </c>
      <c r="CP253" s="429" t="s">
        <v>172</v>
      </c>
      <c r="CQ253" s="429" t="s">
        <v>172</v>
      </c>
      <c r="CR253" s="429" t="s">
        <v>172</v>
      </c>
      <c r="CS253" s="430" t="s">
        <v>172</v>
      </c>
      <c r="CT253" s="431">
        <f>CT249</f>
        <v>0</v>
      </c>
      <c r="CU253" s="53"/>
      <c r="CX253" s="49" t="s">
        <v>171</v>
      </c>
      <c r="CY253" s="50" t="s">
        <v>172</v>
      </c>
      <c r="CZ253" s="50" t="s">
        <v>172</v>
      </c>
      <c r="DA253" s="50" t="s">
        <v>172</v>
      </c>
      <c r="DB253" s="51" t="s">
        <v>172</v>
      </c>
      <c r="DC253" s="52">
        <f>DC249</f>
        <v>27438.200000000012</v>
      </c>
      <c r="DD253" s="53"/>
      <c r="DG253" s="49" t="s">
        <v>171</v>
      </c>
      <c r="DH253" s="50" t="s">
        <v>172</v>
      </c>
      <c r="DI253" s="142" t="s">
        <v>172</v>
      </c>
      <c r="DJ253" s="50" t="s">
        <v>172</v>
      </c>
      <c r="DK253" s="143" t="s">
        <v>172</v>
      </c>
      <c r="DL253" s="144">
        <f>DL249</f>
        <v>18782.299999999981</v>
      </c>
      <c r="DM253" s="53"/>
      <c r="DP253" s="49" t="s">
        <v>171</v>
      </c>
      <c r="DQ253" s="50" t="s">
        <v>172</v>
      </c>
      <c r="DR253" s="50" t="s">
        <v>172</v>
      </c>
      <c r="DS253" s="50" t="s">
        <v>172</v>
      </c>
      <c r="DT253" s="51" t="s">
        <v>172</v>
      </c>
      <c r="DU253" s="52">
        <f>DU249</f>
        <v>5800</v>
      </c>
      <c r="DV253" s="53"/>
      <c r="DY253" s="49" t="s">
        <v>171</v>
      </c>
      <c r="DZ253" s="50" t="s">
        <v>172</v>
      </c>
      <c r="EA253" s="50" t="s">
        <v>172</v>
      </c>
      <c r="EB253" s="50" t="s">
        <v>172</v>
      </c>
      <c r="EC253" s="143" t="s">
        <v>172</v>
      </c>
      <c r="ED253" s="144">
        <f>ED249</f>
        <v>0</v>
      </c>
      <c r="EE253" s="53"/>
      <c r="EH253" s="49" t="s">
        <v>171</v>
      </c>
      <c r="EI253" s="50" t="s">
        <v>172</v>
      </c>
      <c r="EJ253" s="50" t="s">
        <v>172</v>
      </c>
      <c r="EK253" s="50" t="s">
        <v>172</v>
      </c>
      <c r="EL253" s="143" t="s">
        <v>172</v>
      </c>
      <c r="EM253" s="144">
        <f>EM249</f>
        <v>0</v>
      </c>
      <c r="EN253" s="53"/>
      <c r="EQ253" s="49" t="s">
        <v>171</v>
      </c>
      <c r="ER253" s="50" t="s">
        <v>172</v>
      </c>
      <c r="ES253" s="50" t="s">
        <v>172</v>
      </c>
      <c r="ET253" s="50" t="s">
        <v>172</v>
      </c>
      <c r="EU253" s="51" t="s">
        <v>172</v>
      </c>
      <c r="EV253" s="52">
        <f>EV249</f>
        <v>0</v>
      </c>
      <c r="EW253" s="53"/>
      <c r="EZ253" s="49" t="s">
        <v>171</v>
      </c>
      <c r="FA253" s="50" t="s">
        <v>172</v>
      </c>
      <c r="FB253" s="50" t="s">
        <v>172</v>
      </c>
      <c r="FC253" s="50" t="s">
        <v>172</v>
      </c>
      <c r="FD253" s="143" t="s">
        <v>172</v>
      </c>
      <c r="FE253" s="144">
        <f>FE249</f>
        <v>0</v>
      </c>
      <c r="FF253" s="53"/>
      <c r="FI253" s="49" t="s">
        <v>171</v>
      </c>
      <c r="FJ253" s="50" t="s">
        <v>172</v>
      </c>
      <c r="FK253" s="50" t="s">
        <v>172</v>
      </c>
      <c r="FL253" s="50" t="s">
        <v>172</v>
      </c>
      <c r="FM253" s="143" t="s">
        <v>172</v>
      </c>
      <c r="FN253" s="144">
        <f>FN249</f>
        <v>0</v>
      </c>
      <c r="FO253" s="53"/>
      <c r="FR253" s="49" t="s">
        <v>171</v>
      </c>
      <c r="FS253" s="50" t="s">
        <v>172</v>
      </c>
      <c r="FT253" s="50" t="s">
        <v>172</v>
      </c>
      <c r="FU253" s="50" t="s">
        <v>172</v>
      </c>
      <c r="FV253" s="143" t="s">
        <v>172</v>
      </c>
      <c r="FW253" s="144">
        <f>FW249</f>
        <v>540</v>
      </c>
      <c r="FX253" s="459">
        <f>FW253/20</f>
        <v>27</v>
      </c>
      <c r="FY253" s="460" t="s">
        <v>173</v>
      </c>
      <c r="GA253" s="49" t="s">
        <v>171</v>
      </c>
      <c r="GB253" s="50" t="s">
        <v>172</v>
      </c>
      <c r="GC253" s="50" t="s">
        <v>172</v>
      </c>
      <c r="GD253" s="50" t="s">
        <v>172</v>
      </c>
      <c r="GE253" s="143" t="s">
        <v>172</v>
      </c>
      <c r="GF253" s="144">
        <f>GF249</f>
        <v>960</v>
      </c>
      <c r="GG253" s="461">
        <f>GF253/20</f>
        <v>48</v>
      </c>
      <c r="GH253" s="460" t="s">
        <v>173</v>
      </c>
      <c r="GI253" s="22"/>
      <c r="GJ253" s="49" t="s">
        <v>171</v>
      </c>
      <c r="GK253" s="50" t="s">
        <v>172</v>
      </c>
      <c r="GL253" s="50" t="s">
        <v>172</v>
      </c>
      <c r="GM253" s="50" t="s">
        <v>172</v>
      </c>
      <c r="GN253" s="143" t="s">
        <v>172</v>
      </c>
      <c r="GO253" s="144">
        <f>GO249</f>
        <v>1760</v>
      </c>
      <c r="GP253" s="459">
        <f>GO253/20</f>
        <v>88</v>
      </c>
      <c r="GQ253" s="460" t="s">
        <v>173</v>
      </c>
      <c r="GS253" s="49" t="s">
        <v>171</v>
      </c>
      <c r="GT253" s="50" t="s">
        <v>172</v>
      </c>
      <c r="GU253" s="50" t="s">
        <v>172</v>
      </c>
      <c r="GV253" s="50" t="s">
        <v>172</v>
      </c>
      <c r="GW253" s="143" t="s">
        <v>172</v>
      </c>
      <c r="GX253" s="144">
        <f>GX249</f>
        <v>400</v>
      </c>
      <c r="GY253" s="459">
        <f>GX253/20</f>
        <v>20</v>
      </c>
      <c r="GZ253" s="460" t="s">
        <v>173</v>
      </c>
      <c r="HB253" s="49" t="s">
        <v>171</v>
      </c>
      <c r="HC253" s="50" t="s">
        <v>172</v>
      </c>
      <c r="HD253" s="50" t="s">
        <v>172</v>
      </c>
      <c r="HE253" s="50" t="s">
        <v>172</v>
      </c>
      <c r="HF253" s="143" t="s">
        <v>172</v>
      </c>
      <c r="HG253" s="144">
        <f>HG249</f>
        <v>3600</v>
      </c>
      <c r="HH253" s="459">
        <f>HG253/20</f>
        <v>180</v>
      </c>
      <c r="HI253" s="460" t="s">
        <v>173</v>
      </c>
      <c r="HK253" s="49" t="s">
        <v>171</v>
      </c>
      <c r="HL253" s="50" t="s">
        <v>172</v>
      </c>
      <c r="HM253" s="50" t="s">
        <v>172</v>
      </c>
      <c r="HN253" s="50" t="s">
        <v>172</v>
      </c>
      <c r="HO253" s="143" t="s">
        <v>172</v>
      </c>
      <c r="HP253" s="144">
        <f>HP249</f>
        <v>0</v>
      </c>
      <c r="HQ253" s="53"/>
      <c r="HU253" s="49" t="s">
        <v>171</v>
      </c>
      <c r="HV253" s="50" t="s">
        <v>172</v>
      </c>
      <c r="HW253" s="142" t="s">
        <v>172</v>
      </c>
      <c r="HX253" s="50" t="s">
        <v>172</v>
      </c>
      <c r="HY253" s="143" t="s">
        <v>172</v>
      </c>
      <c r="HZ253" s="144">
        <f>HZ249</f>
        <v>5920</v>
      </c>
      <c r="IA253" s="459">
        <f>HZ253/20</f>
        <v>296</v>
      </c>
      <c r="IB253" s="460" t="s">
        <v>173</v>
      </c>
      <c r="ID253" s="49" t="s">
        <v>171</v>
      </c>
      <c r="IE253" s="50" t="s">
        <v>172</v>
      </c>
      <c r="IF253" s="142" t="s">
        <v>172</v>
      </c>
      <c r="IG253" s="50" t="s">
        <v>172</v>
      </c>
      <c r="IH253" s="143" t="s">
        <v>172</v>
      </c>
      <c r="II253" s="144">
        <f>II249</f>
        <v>720</v>
      </c>
      <c r="IJ253" s="459">
        <f>II253/20</f>
        <v>36</v>
      </c>
      <c r="IK253" s="460" t="s">
        <v>173</v>
      </c>
      <c r="IM253" s="49" t="s">
        <v>171</v>
      </c>
      <c r="IN253" s="50" t="s">
        <v>172</v>
      </c>
      <c r="IO253" s="142" t="s">
        <v>172</v>
      </c>
      <c r="IP253" s="50" t="s">
        <v>172</v>
      </c>
      <c r="IQ253" s="143" t="s">
        <v>172</v>
      </c>
      <c r="IR253" s="144">
        <f>IR249</f>
        <v>1680</v>
      </c>
      <c r="IS253" s="459">
        <f>IR253/20</f>
        <v>84</v>
      </c>
      <c r="IT253" s="460" t="s">
        <v>173</v>
      </c>
      <c r="IV253" s="49" t="s">
        <v>171</v>
      </c>
      <c r="IW253" s="50" t="s">
        <v>172</v>
      </c>
      <c r="IX253" s="142" t="s">
        <v>172</v>
      </c>
      <c r="IY253" s="142" t="s">
        <v>172</v>
      </c>
      <c r="IZ253" s="143" t="s">
        <v>172</v>
      </c>
      <c r="JA253" s="144">
        <f>JA249</f>
        <v>4960</v>
      </c>
      <c r="JB253" s="459">
        <f>JA253/20</f>
        <v>248</v>
      </c>
      <c r="JC253" s="460" t="s">
        <v>173</v>
      </c>
      <c r="JE253" s="49" t="s">
        <v>171</v>
      </c>
      <c r="JF253" s="50" t="s">
        <v>172</v>
      </c>
      <c r="JG253" s="142" t="s">
        <v>172</v>
      </c>
      <c r="JH253" s="142" t="s">
        <v>172</v>
      </c>
      <c r="JI253" s="143" t="s">
        <v>172</v>
      </c>
      <c r="JJ253" s="144">
        <f>JJ249</f>
        <v>0</v>
      </c>
      <c r="JK253" s="53"/>
      <c r="JN253" s="49" t="s">
        <v>171</v>
      </c>
      <c r="JO253" s="50" t="s">
        <v>172</v>
      </c>
      <c r="JP253" s="142" t="s">
        <v>172</v>
      </c>
      <c r="JQ253" s="142" t="s">
        <v>172</v>
      </c>
      <c r="JR253" s="143" t="s">
        <v>172</v>
      </c>
      <c r="JS253" s="144">
        <f>JS249</f>
        <v>0</v>
      </c>
      <c r="JT253" s="53"/>
      <c r="JW253" s="49" t="s">
        <v>171</v>
      </c>
      <c r="JX253" s="50" t="s">
        <v>172</v>
      </c>
      <c r="JY253" s="142" t="s">
        <v>172</v>
      </c>
      <c r="JZ253" s="142" t="s">
        <v>172</v>
      </c>
      <c r="KA253" s="143" t="s">
        <v>172</v>
      </c>
      <c r="KB253" s="144">
        <f>KB249</f>
        <v>2540</v>
      </c>
      <c r="KC253" s="459">
        <f>KB253/20</f>
        <v>127</v>
      </c>
      <c r="KD253" s="460" t="s">
        <v>173</v>
      </c>
      <c r="KF253" s="49" t="s">
        <v>171</v>
      </c>
      <c r="KG253" s="50" t="s">
        <v>172</v>
      </c>
      <c r="KH253" s="142" t="s">
        <v>172</v>
      </c>
      <c r="KI253" s="50" t="s">
        <v>172</v>
      </c>
      <c r="KJ253" s="143" t="s">
        <v>172</v>
      </c>
      <c r="KK253" s="144">
        <f>KK249</f>
        <v>2359.5</v>
      </c>
      <c r="KL253" s="459">
        <f>KK253/19.5</f>
        <v>121</v>
      </c>
      <c r="KM253" s="460" t="s">
        <v>173</v>
      </c>
      <c r="KO253" s="49" t="s">
        <v>171</v>
      </c>
      <c r="KP253" s="50" t="s">
        <v>172</v>
      </c>
      <c r="KQ253" s="142" t="s">
        <v>172</v>
      </c>
      <c r="KR253" s="50" t="s">
        <v>172</v>
      </c>
      <c r="KS253" s="143" t="s">
        <v>172</v>
      </c>
      <c r="KT253" s="144">
        <f>KT249</f>
        <v>1890</v>
      </c>
      <c r="KU253" s="459">
        <f>KT253/18.9</f>
        <v>100.00000000000001</v>
      </c>
      <c r="KV253" s="460" t="s">
        <v>173</v>
      </c>
      <c r="KW253" s="22"/>
      <c r="KX253" s="49" t="s">
        <v>171</v>
      </c>
      <c r="KY253" s="50" t="s">
        <v>172</v>
      </c>
      <c r="KZ253" s="142" t="s">
        <v>172</v>
      </c>
      <c r="LA253" s="50" t="s">
        <v>172</v>
      </c>
      <c r="LB253" s="143" t="s">
        <v>172</v>
      </c>
      <c r="LC253" s="144">
        <f>LC249</f>
        <v>3690</v>
      </c>
      <c r="LD253" s="459">
        <f>LC253/20.5</f>
        <v>180</v>
      </c>
      <c r="LE253" s="460" t="s">
        <v>173</v>
      </c>
      <c r="LG253" s="49" t="s">
        <v>171</v>
      </c>
      <c r="LH253" s="50" t="s">
        <v>172</v>
      </c>
      <c r="LI253" s="142" t="s">
        <v>172</v>
      </c>
      <c r="LJ253" s="142" t="s">
        <v>172</v>
      </c>
      <c r="LK253" s="143" t="s">
        <v>172</v>
      </c>
      <c r="LL253" s="144">
        <f>LL249</f>
        <v>4000</v>
      </c>
      <c r="LM253" s="459">
        <f>LL253/20</f>
        <v>200</v>
      </c>
      <c r="LN253" s="460" t="s">
        <v>173</v>
      </c>
      <c r="LP253" s="49" t="s">
        <v>171</v>
      </c>
      <c r="LQ253" s="50" t="s">
        <v>172</v>
      </c>
      <c r="LR253" s="142" t="s">
        <v>172</v>
      </c>
      <c r="LS253" s="50" t="s">
        <v>172</v>
      </c>
      <c r="LT253" s="143" t="s">
        <v>172</v>
      </c>
      <c r="LU253" s="144">
        <f>LU249</f>
        <v>0</v>
      </c>
      <c r="LV253" s="53"/>
      <c r="LY253" s="49" t="s">
        <v>171</v>
      </c>
      <c r="LZ253" s="50" t="s">
        <v>172</v>
      </c>
      <c r="MA253" s="142" t="s">
        <v>172</v>
      </c>
      <c r="MB253" s="142" t="s">
        <v>172</v>
      </c>
      <c r="MC253" s="143" t="s">
        <v>172</v>
      </c>
      <c r="MD253" s="144">
        <f>MD249</f>
        <v>0</v>
      </c>
      <c r="ME253" s="53"/>
      <c r="MH253" s="49" t="s">
        <v>171</v>
      </c>
      <c r="MI253" s="50" t="s">
        <v>172</v>
      </c>
      <c r="MJ253" s="142" t="s">
        <v>172</v>
      </c>
      <c r="MK253" s="142" t="s">
        <v>172</v>
      </c>
      <c r="ML253" s="143" t="s">
        <v>172</v>
      </c>
      <c r="MM253" s="144">
        <f>MM249</f>
        <v>0</v>
      </c>
      <c r="MN253" s="53"/>
      <c r="MQ253" s="49" t="s">
        <v>171</v>
      </c>
      <c r="MR253" s="50" t="s">
        <v>172</v>
      </c>
      <c r="MS253" s="142" t="s">
        <v>172</v>
      </c>
      <c r="MT253" s="142" t="s">
        <v>172</v>
      </c>
      <c r="MU253" s="143" t="s">
        <v>172</v>
      </c>
      <c r="MV253" s="144">
        <f>MV249</f>
        <v>2216</v>
      </c>
      <c r="MW253" s="53"/>
      <c r="MZ253" s="49" t="s">
        <v>171</v>
      </c>
      <c r="NA253" s="50" t="s">
        <v>172</v>
      </c>
      <c r="NB253" s="142" t="s">
        <v>172</v>
      </c>
      <c r="NC253" s="142" t="s">
        <v>172</v>
      </c>
      <c r="ND253" s="143" t="s">
        <v>172</v>
      </c>
      <c r="NE253" s="144">
        <f>NE249</f>
        <v>0</v>
      </c>
      <c r="NF253" s="53"/>
      <c r="NI253" s="49" t="s">
        <v>171</v>
      </c>
      <c r="NJ253" s="50" t="s">
        <v>172</v>
      </c>
      <c r="NK253" s="142" t="s">
        <v>172</v>
      </c>
      <c r="NL253" s="50" t="s">
        <v>172</v>
      </c>
      <c r="NM253" s="143" t="s">
        <v>172</v>
      </c>
      <c r="NN253" s="144">
        <f>NN249</f>
        <v>1127</v>
      </c>
      <c r="NO253" s="53"/>
      <c r="NR253" s="49" t="s">
        <v>171</v>
      </c>
      <c r="NS253" s="50" t="s">
        <v>172</v>
      </c>
      <c r="NT253" s="142" t="s">
        <v>172</v>
      </c>
      <c r="NU253" s="50" t="s">
        <v>172</v>
      </c>
      <c r="NV253" s="143" t="s">
        <v>172</v>
      </c>
      <c r="NW253" s="144">
        <f>NW249</f>
        <v>3111.9999999999995</v>
      </c>
      <c r="NX253" s="53"/>
      <c r="OA253" s="49" t="s">
        <v>171</v>
      </c>
      <c r="OB253" s="50" t="s">
        <v>172</v>
      </c>
      <c r="OC253" s="142" t="s">
        <v>172</v>
      </c>
      <c r="OD253" s="142" t="s">
        <v>172</v>
      </c>
      <c r="OE253" s="143" t="s">
        <v>172</v>
      </c>
      <c r="OF253" s="144">
        <f>OF249</f>
        <v>1680.5</v>
      </c>
      <c r="OG253" s="53"/>
      <c r="OJ253" s="49" t="s">
        <v>171</v>
      </c>
      <c r="OK253" s="50" t="s">
        <v>172</v>
      </c>
      <c r="OL253" s="142" t="s">
        <v>172</v>
      </c>
      <c r="OM253" s="142" t="s">
        <v>172</v>
      </c>
      <c r="ON253" s="143" t="s">
        <v>172</v>
      </c>
      <c r="OO253" s="144">
        <f>OO249</f>
        <v>0</v>
      </c>
      <c r="OP253" s="53"/>
      <c r="OS253" s="49" t="s">
        <v>171</v>
      </c>
      <c r="OT253" s="50" t="s">
        <v>172</v>
      </c>
      <c r="OU253" s="142" t="s">
        <v>172</v>
      </c>
      <c r="OV253" s="142" t="s">
        <v>172</v>
      </c>
      <c r="OW253" s="143" t="s">
        <v>172</v>
      </c>
      <c r="OX253" s="144">
        <f>OX249</f>
        <v>1482</v>
      </c>
      <c r="OY253" s="53"/>
      <c r="PB253" s="49" t="s">
        <v>171</v>
      </c>
      <c r="PC253" s="50" t="s">
        <v>172</v>
      </c>
      <c r="PD253" s="142" t="s">
        <v>172</v>
      </c>
      <c r="PE253" s="142" t="s">
        <v>172</v>
      </c>
      <c r="PF253" s="143" t="s">
        <v>172</v>
      </c>
      <c r="PG253" s="144">
        <f>PG249</f>
        <v>0</v>
      </c>
      <c r="PH253" s="53"/>
      <c r="PK253" s="49" t="s">
        <v>171</v>
      </c>
      <c r="PL253" s="50" t="s">
        <v>172</v>
      </c>
      <c r="PM253" s="142" t="s">
        <v>172</v>
      </c>
      <c r="PN253" s="142" t="s">
        <v>172</v>
      </c>
      <c r="PO253" s="143" t="s">
        <v>172</v>
      </c>
      <c r="PP253" s="144">
        <f>PP249</f>
        <v>100</v>
      </c>
      <c r="PQ253" s="53"/>
      <c r="PT253" s="49" t="s">
        <v>171</v>
      </c>
      <c r="PU253" s="50" t="s">
        <v>172</v>
      </c>
      <c r="PV253" s="142" t="s">
        <v>172</v>
      </c>
      <c r="PW253" s="142" t="s">
        <v>172</v>
      </c>
      <c r="PX253" s="143" t="s">
        <v>172</v>
      </c>
      <c r="PY253" s="144">
        <f>PY249</f>
        <v>13.960000000000036</v>
      </c>
      <c r="PZ253" s="53"/>
      <c r="QC253" s="49" t="s">
        <v>171</v>
      </c>
      <c r="QD253" s="50" t="s">
        <v>172</v>
      </c>
      <c r="QE253" s="142" t="s">
        <v>172</v>
      </c>
      <c r="QF253" s="142" t="s">
        <v>172</v>
      </c>
      <c r="QG253" s="143" t="s">
        <v>172</v>
      </c>
      <c r="QH253" s="144">
        <f>QH249</f>
        <v>1284</v>
      </c>
      <c r="QI253" s="53"/>
      <c r="QL253" s="49" t="s">
        <v>171</v>
      </c>
      <c r="QM253" s="50" t="s">
        <v>172</v>
      </c>
      <c r="QN253" s="142" t="s">
        <v>172</v>
      </c>
      <c r="QO253" s="142" t="s">
        <v>172</v>
      </c>
      <c r="QP253" s="143" t="s">
        <v>172</v>
      </c>
      <c r="QQ253" s="144">
        <f>QQ249</f>
        <v>0</v>
      </c>
      <c r="QR253" s="53"/>
      <c r="QU253" s="49" t="s">
        <v>171</v>
      </c>
      <c r="QV253" s="50" t="s">
        <v>172</v>
      </c>
      <c r="QW253" s="142" t="s">
        <v>172</v>
      </c>
      <c r="QX253" s="142" t="s">
        <v>172</v>
      </c>
      <c r="QY253" s="143" t="s">
        <v>172</v>
      </c>
      <c r="QZ253" s="144">
        <f>QZ249</f>
        <v>207.6</v>
      </c>
      <c r="RA253" s="53"/>
      <c r="RD253" s="49" t="s">
        <v>171</v>
      </c>
      <c r="RE253" s="50" t="s">
        <v>172</v>
      </c>
      <c r="RF253" s="142" t="s">
        <v>172</v>
      </c>
      <c r="RG253" s="142" t="s">
        <v>172</v>
      </c>
      <c r="RH253" s="143" t="s">
        <v>172</v>
      </c>
      <c r="RI253" s="144">
        <f>RI249</f>
        <v>147.04000000000002</v>
      </c>
      <c r="RJ253" s="53"/>
      <c r="RM253" s="49" t="s">
        <v>171</v>
      </c>
      <c r="RN253" s="50" t="s">
        <v>172</v>
      </c>
      <c r="RO253" s="142" t="s">
        <v>172</v>
      </c>
      <c r="RP253" s="142" t="s">
        <v>172</v>
      </c>
      <c r="RQ253" s="143" t="s">
        <v>172</v>
      </c>
      <c r="RR253" s="144">
        <f>RR249</f>
        <v>46.8</v>
      </c>
      <c r="RS253" s="53"/>
      <c r="RV253" s="49" t="s">
        <v>171</v>
      </c>
      <c r="RW253" s="50" t="s">
        <v>172</v>
      </c>
      <c r="RX253" s="142" t="s">
        <v>172</v>
      </c>
      <c r="RY253" s="142" t="s">
        <v>172</v>
      </c>
      <c r="RZ253" s="143" t="s">
        <v>172</v>
      </c>
      <c r="SA253" s="144">
        <f>SA249</f>
        <v>0</v>
      </c>
      <c r="SB253" s="53"/>
      <c r="SE253" s="49" t="s">
        <v>171</v>
      </c>
      <c r="SF253" s="50" t="s">
        <v>172</v>
      </c>
      <c r="SG253" s="142" t="s">
        <v>172</v>
      </c>
      <c r="SH253" s="142" t="s">
        <v>172</v>
      </c>
      <c r="SI253" s="143" t="s">
        <v>172</v>
      </c>
      <c r="SJ253" s="144">
        <f>SJ249</f>
        <v>24.200000000000003</v>
      </c>
      <c r="SK253" s="53"/>
      <c r="SN253" s="49" t="s">
        <v>171</v>
      </c>
      <c r="SO253" s="50" t="s">
        <v>172</v>
      </c>
      <c r="SP253" s="142" t="s">
        <v>172</v>
      </c>
      <c r="SQ253" s="142" t="s">
        <v>172</v>
      </c>
      <c r="SR253" s="143" t="s">
        <v>172</v>
      </c>
      <c r="SS253" s="144">
        <f>SS249</f>
        <v>32</v>
      </c>
      <c r="ST253" s="53"/>
      <c r="SW253" s="49" t="s">
        <v>171</v>
      </c>
      <c r="SX253" s="50" t="s">
        <v>172</v>
      </c>
      <c r="SY253" s="142" t="s">
        <v>172</v>
      </c>
      <c r="SZ253" s="142" t="s">
        <v>172</v>
      </c>
      <c r="TA253" s="143" t="s">
        <v>172</v>
      </c>
      <c r="TB253" s="144">
        <f>TB249</f>
        <v>0</v>
      </c>
      <c r="TC253" s="53"/>
      <c r="TF253" s="49" t="s">
        <v>171</v>
      </c>
      <c r="TG253" s="50" t="s">
        <v>172</v>
      </c>
      <c r="TH253" s="142" t="s">
        <v>172</v>
      </c>
      <c r="TI253" s="142" t="s">
        <v>172</v>
      </c>
      <c r="TJ253" s="143" t="s">
        <v>172</v>
      </c>
      <c r="TK253" s="144">
        <f>TK249</f>
        <v>0</v>
      </c>
      <c r="TL253" s="53"/>
      <c r="TO253" s="49" t="s">
        <v>171</v>
      </c>
      <c r="TP253" s="50" t="s">
        <v>172</v>
      </c>
      <c r="TQ253" s="142" t="s">
        <v>172</v>
      </c>
      <c r="TR253" s="142" t="s">
        <v>172</v>
      </c>
      <c r="TS253" s="143" t="s">
        <v>172</v>
      </c>
      <c r="TT253" s="144">
        <f>TT249</f>
        <v>10.400000000000006</v>
      </c>
      <c r="TU253" s="53"/>
      <c r="TX253" s="49" t="s">
        <v>171</v>
      </c>
      <c r="TY253" s="50" t="s">
        <v>172</v>
      </c>
      <c r="TZ253" s="142" t="s">
        <v>172</v>
      </c>
      <c r="UA253" s="142" t="s">
        <v>172</v>
      </c>
      <c r="UB253" s="143" t="s">
        <v>172</v>
      </c>
      <c r="UC253" s="144">
        <f>UC249</f>
        <v>46.799999999999983</v>
      </c>
      <c r="UD253" s="53"/>
      <c r="UG253" s="49" t="s">
        <v>171</v>
      </c>
      <c r="UH253" s="50" t="s">
        <v>172</v>
      </c>
      <c r="UI253" s="142" t="s">
        <v>172</v>
      </c>
      <c r="UJ253" s="142" t="s">
        <v>172</v>
      </c>
      <c r="UK253" s="143" t="s">
        <v>172</v>
      </c>
      <c r="UL253" s="144">
        <f>UL249</f>
        <v>204</v>
      </c>
      <c r="UM253" s="53"/>
      <c r="UP253" s="49" t="s">
        <v>171</v>
      </c>
      <c r="UQ253" s="50" t="s">
        <v>172</v>
      </c>
      <c r="UR253" s="142" t="s">
        <v>172</v>
      </c>
      <c r="US253" s="142" t="s">
        <v>172</v>
      </c>
      <c r="UT253" s="143" t="s">
        <v>172</v>
      </c>
      <c r="UU253" s="144">
        <f>UU249</f>
        <v>202.5</v>
      </c>
      <c r="UV253" s="53"/>
      <c r="UY253" s="49" t="s">
        <v>171</v>
      </c>
      <c r="UZ253" s="50" t="s">
        <v>172</v>
      </c>
      <c r="VA253" s="142" t="s">
        <v>172</v>
      </c>
      <c r="VB253" s="142" t="s">
        <v>172</v>
      </c>
      <c r="VC253" s="143" t="s">
        <v>172</v>
      </c>
      <c r="VD253" s="144">
        <f>VD249</f>
        <v>41.600000000000023</v>
      </c>
      <c r="VE253" s="53"/>
      <c r="VH253" s="49" t="s">
        <v>171</v>
      </c>
      <c r="VI253" s="50" t="s">
        <v>172</v>
      </c>
      <c r="VJ253" s="142" t="s">
        <v>172</v>
      </c>
      <c r="VK253" s="142" t="s">
        <v>172</v>
      </c>
      <c r="VL253" s="143" t="s">
        <v>172</v>
      </c>
      <c r="VM253" s="144">
        <f>VM249</f>
        <v>210</v>
      </c>
      <c r="VN253" s="53"/>
      <c r="VQ253" s="49" t="s">
        <v>171</v>
      </c>
      <c r="VR253" s="50" t="s">
        <v>172</v>
      </c>
      <c r="VS253" s="142" t="s">
        <v>172</v>
      </c>
      <c r="VT253" s="142" t="s">
        <v>172</v>
      </c>
      <c r="VU253" s="143" t="s">
        <v>172</v>
      </c>
      <c r="VV253" s="144">
        <f>VV249</f>
        <v>0</v>
      </c>
      <c r="VW253" s="53"/>
      <c r="VZ253" s="49" t="s">
        <v>171</v>
      </c>
      <c r="WA253" s="50" t="s">
        <v>172</v>
      </c>
      <c r="WB253" s="142" t="s">
        <v>172</v>
      </c>
      <c r="WC253" s="142" t="s">
        <v>172</v>
      </c>
      <c r="WD253" s="143" t="s">
        <v>172</v>
      </c>
      <c r="WE253" s="144">
        <f>WE249</f>
        <v>0</v>
      </c>
      <c r="WF253" s="53"/>
      <c r="WI253" s="49" t="s">
        <v>171</v>
      </c>
      <c r="WJ253" s="50" t="s">
        <v>172</v>
      </c>
      <c r="WK253" s="142" t="s">
        <v>172</v>
      </c>
      <c r="WL253" s="142" t="s">
        <v>172</v>
      </c>
      <c r="WM253" s="143" t="s">
        <v>172</v>
      </c>
      <c r="WN253" s="144">
        <f>WN249</f>
        <v>1057</v>
      </c>
      <c r="WO253" s="53"/>
      <c r="WR253" s="49" t="s">
        <v>171</v>
      </c>
      <c r="WS253" s="50" t="s">
        <v>172</v>
      </c>
      <c r="WT253" s="142" t="s">
        <v>172</v>
      </c>
      <c r="WU253" s="142" t="s">
        <v>172</v>
      </c>
      <c r="WV253" s="143" t="s">
        <v>172</v>
      </c>
      <c r="WW253" s="144">
        <f>WW249</f>
        <v>0</v>
      </c>
      <c r="WX253" s="53"/>
      <c r="XA253" s="49" t="s">
        <v>171</v>
      </c>
      <c r="XB253" s="50" t="s">
        <v>172</v>
      </c>
      <c r="XC253" s="142" t="s">
        <v>172</v>
      </c>
      <c r="XD253" s="142" t="s">
        <v>172</v>
      </c>
      <c r="XE253" s="143" t="s">
        <v>172</v>
      </c>
      <c r="XF253" s="144">
        <f>XF249</f>
        <v>7507</v>
      </c>
      <c r="XG253" s="53"/>
      <c r="XJ253" s="49" t="s">
        <v>171</v>
      </c>
      <c r="XK253" s="50" t="s">
        <v>172</v>
      </c>
      <c r="XL253" s="142" t="s">
        <v>172</v>
      </c>
      <c r="XM253" s="142" t="s">
        <v>172</v>
      </c>
      <c r="XN253" s="143" t="s">
        <v>172</v>
      </c>
      <c r="XO253" s="144">
        <f>XO249</f>
        <v>4252</v>
      </c>
      <c r="XP253" s="53"/>
      <c r="XS253" s="49" t="s">
        <v>171</v>
      </c>
      <c r="XT253" s="50" t="s">
        <v>172</v>
      </c>
      <c r="XU253" s="142" t="s">
        <v>172</v>
      </c>
      <c r="XV253" s="142" t="s">
        <v>172</v>
      </c>
      <c r="XW253" s="143" t="s">
        <v>172</v>
      </c>
      <c r="XX253" s="144">
        <f>XX249</f>
        <v>2179</v>
      </c>
      <c r="XY253" s="53"/>
      <c r="YB253" s="49" t="s">
        <v>171</v>
      </c>
      <c r="YC253" s="50" t="s">
        <v>172</v>
      </c>
      <c r="YD253" s="142" t="s">
        <v>172</v>
      </c>
      <c r="YE253" s="142" t="s">
        <v>172</v>
      </c>
      <c r="YF253" s="143" t="s">
        <v>172</v>
      </c>
      <c r="YG253" s="144">
        <f>YG249</f>
        <v>4019</v>
      </c>
      <c r="YH253" s="53"/>
      <c r="YK253" s="49" t="s">
        <v>171</v>
      </c>
      <c r="YL253" s="50" t="s">
        <v>172</v>
      </c>
      <c r="YM253" s="142" t="s">
        <v>172</v>
      </c>
      <c r="YN253" s="142" t="s">
        <v>172</v>
      </c>
      <c r="YO253" s="143" t="s">
        <v>172</v>
      </c>
      <c r="YP253" s="144">
        <f>YP249</f>
        <v>0</v>
      </c>
      <c r="YQ253" s="53"/>
      <c r="YT253" s="49" t="s">
        <v>171</v>
      </c>
      <c r="YU253" s="50" t="s">
        <v>172</v>
      </c>
      <c r="YV253" s="142" t="s">
        <v>172</v>
      </c>
      <c r="YW253" s="142" t="s">
        <v>172</v>
      </c>
      <c r="YX253" s="143" t="s">
        <v>172</v>
      </c>
      <c r="YY253" s="144">
        <f>YY249</f>
        <v>0</v>
      </c>
      <c r="YZ253" s="53"/>
      <c r="ZC253" s="49" t="s">
        <v>171</v>
      </c>
      <c r="ZD253" s="50" t="s">
        <v>172</v>
      </c>
      <c r="ZE253" s="142" t="s">
        <v>172</v>
      </c>
      <c r="ZF253" s="142" t="s">
        <v>172</v>
      </c>
      <c r="ZG253" s="143" t="s">
        <v>172</v>
      </c>
      <c r="ZH253" s="144">
        <f>ZH249</f>
        <v>0</v>
      </c>
      <c r="ZI253" s="53"/>
      <c r="ZL253" s="49" t="s">
        <v>171</v>
      </c>
      <c r="ZM253" s="50" t="s">
        <v>172</v>
      </c>
      <c r="ZN253" s="142" t="s">
        <v>172</v>
      </c>
      <c r="ZO253" s="142" t="s">
        <v>172</v>
      </c>
      <c r="ZP253" s="143" t="s">
        <v>172</v>
      </c>
      <c r="ZQ253" s="144">
        <f>ZQ249</f>
        <v>0</v>
      </c>
      <c r="ZR253" s="53"/>
      <c r="ZU253" s="49" t="s">
        <v>171</v>
      </c>
      <c r="ZV253" s="50" t="s">
        <v>172</v>
      </c>
      <c r="ZW253" s="142" t="s">
        <v>172</v>
      </c>
      <c r="ZX253" s="142" t="s">
        <v>172</v>
      </c>
      <c r="ZY253" s="143" t="s">
        <v>172</v>
      </c>
      <c r="ZZ253" s="144">
        <f>ZZ249</f>
        <v>0</v>
      </c>
      <c r="AAA253" s="53"/>
      <c r="AAD253" s="49" t="s">
        <v>171</v>
      </c>
      <c r="AAE253" s="50" t="s">
        <v>172</v>
      </c>
      <c r="AAF253" s="142" t="s">
        <v>172</v>
      </c>
      <c r="AAG253" s="142" t="s">
        <v>172</v>
      </c>
      <c r="AAH253" s="143" t="s">
        <v>172</v>
      </c>
      <c r="AAI253" s="144">
        <f>AAI249</f>
        <v>0</v>
      </c>
      <c r="AAJ253" s="53"/>
      <c r="AAM253" s="49" t="s">
        <v>171</v>
      </c>
      <c r="AAN253" s="50" t="s">
        <v>172</v>
      </c>
      <c r="AAO253" s="142" t="s">
        <v>172</v>
      </c>
      <c r="AAP253" s="142" t="s">
        <v>172</v>
      </c>
      <c r="AAQ253" s="143" t="s">
        <v>172</v>
      </c>
      <c r="AAR253" s="144">
        <f>AAR249</f>
        <v>0</v>
      </c>
      <c r="AAS253" s="53"/>
      <c r="AAV253" s="49" t="s">
        <v>171</v>
      </c>
      <c r="AAW253" s="50" t="s">
        <v>172</v>
      </c>
      <c r="AAX253" s="142" t="s">
        <v>172</v>
      </c>
      <c r="AAY253" s="142" t="s">
        <v>172</v>
      </c>
      <c r="AAZ253" s="143" t="s">
        <v>172</v>
      </c>
      <c r="ABA253" s="144">
        <f>ABA249</f>
        <v>0</v>
      </c>
      <c r="ABB253" s="53"/>
      <c r="ABE253" s="49" t="s">
        <v>171</v>
      </c>
      <c r="ABF253" s="50" t="s">
        <v>172</v>
      </c>
      <c r="ABG253" s="142" t="s">
        <v>172</v>
      </c>
      <c r="ABH253" s="142" t="s">
        <v>172</v>
      </c>
      <c r="ABI253" s="143" t="s">
        <v>172</v>
      </c>
      <c r="ABJ253" s="144">
        <f>ABJ249</f>
        <v>0</v>
      </c>
      <c r="ABK253" s="53"/>
    </row>
    <row r="254" spans="1:739" s="54" customFormat="1" ht="15" customHeight="1" outlineLevel="1">
      <c r="B254" s="478"/>
      <c r="C254" s="55">
        <v>46235</v>
      </c>
      <c r="D254" s="56">
        <v>24600</v>
      </c>
      <c r="E254" s="57">
        <f>SUMPRODUCT(PRODUCE!$B255:$DY255,PRODUCE!$EB$7:$IY$7)</f>
        <v>555.38</v>
      </c>
      <c r="F254" s="56"/>
      <c r="G254" s="57">
        <f>E254-F254</f>
        <v>555.38</v>
      </c>
      <c r="H254" s="57">
        <f>H253+D254-F254</f>
        <v>215549.40000000002</v>
      </c>
      <c r="I254" s="289"/>
      <c r="L254" s="55">
        <f>C254</f>
        <v>46235</v>
      </c>
      <c r="M254" s="56"/>
      <c r="N254" s="59">
        <f>SUMPRODUCT(PRODUCE!$B255:$DY255,PRODUCE!$EB$8:$IY$8)</f>
        <v>317.2</v>
      </c>
      <c r="O254" s="56"/>
      <c r="P254" s="59">
        <f>N254-O254</f>
        <v>317.2</v>
      </c>
      <c r="Q254" s="59">
        <f>Q253+M254-O254</f>
        <v>53017.600000000071</v>
      </c>
      <c r="R254" s="56"/>
      <c r="U254" s="55">
        <f>L254</f>
        <v>46235</v>
      </c>
      <c r="V254" s="56"/>
      <c r="W254" s="60">
        <f>SUMPRODUCT(PRODUCE!$B255:$DY255,PRODUCE!$EB$9:$IY$9)</f>
        <v>50</v>
      </c>
      <c r="X254" s="56"/>
      <c r="Y254" s="60">
        <f>W254-X254</f>
        <v>50</v>
      </c>
      <c r="Z254" s="60">
        <f>Z253+V254-X254</f>
        <v>42674.199999999968</v>
      </c>
      <c r="AA254" s="56"/>
      <c r="AD254" s="55">
        <f>U254</f>
        <v>46235</v>
      </c>
      <c r="AE254" s="56"/>
      <c r="AF254" s="61">
        <f>SUMPRODUCT(PRODUCE!$B255:$DY255,PRODUCE!$EB$10:$IY$10)</f>
        <v>0</v>
      </c>
      <c r="AG254" s="56"/>
      <c r="AH254" s="61">
        <f>AF254-AG254</f>
        <v>0</v>
      </c>
      <c r="AI254" s="61">
        <f>AI253+AE254-AG254</f>
        <v>4522.2000000000189</v>
      </c>
      <c r="AJ254" s="56"/>
      <c r="AM254" s="55">
        <f>AD254</f>
        <v>46235</v>
      </c>
      <c r="AN254" s="422"/>
      <c r="AO254" s="444">
        <f>SUMPRODUCT(PRODUCE!$B255:$DY255,PRODUCE!$EB$11:$IY$11)</f>
        <v>0</v>
      </c>
      <c r="AP254" s="422"/>
      <c r="AQ254" s="444">
        <f>AO254-AP254</f>
        <v>0</v>
      </c>
      <c r="AR254" s="444">
        <f>AR253+AN254-AP254</f>
        <v>0</v>
      </c>
      <c r="AS254" s="56"/>
      <c r="AV254" s="55">
        <f>AM254</f>
        <v>46235</v>
      </c>
      <c r="AW254" s="56"/>
      <c r="AX254" s="62">
        <f>SUMPRODUCT(PRODUCE!$B255:$DY255,PRODUCE!$EB$12:$IY$12)</f>
        <v>0</v>
      </c>
      <c r="AY254" s="56"/>
      <c r="AZ254" s="62">
        <f>AX254-AY254</f>
        <v>0</v>
      </c>
      <c r="BA254" s="62">
        <f>BA253+AW254-AY254</f>
        <v>124.99999999999523</v>
      </c>
      <c r="BB254" s="56"/>
      <c r="BE254" s="55">
        <f>AV254</f>
        <v>46235</v>
      </c>
      <c r="BF254" s="56"/>
      <c r="BG254" s="63">
        <f>SUMPRODUCT(PRODUCE!$B255:$DY255,PRODUCE!$EB$13:$IY$13)</f>
        <v>19.5</v>
      </c>
      <c r="BH254" s="56"/>
      <c r="BI254" s="63">
        <f>BG254-BH254</f>
        <v>19.5</v>
      </c>
      <c r="BJ254" s="63">
        <f>BJ253+BF254-BH254</f>
        <v>26151.899999999998</v>
      </c>
      <c r="BK254" s="56"/>
      <c r="BN254" s="55">
        <f>BE254</f>
        <v>46235</v>
      </c>
      <c r="BO254" s="56"/>
      <c r="BP254" s="64">
        <f>SUMPRODUCT(PRODUCE!$B255:$DY255,PRODUCE!$EB$14:$IY$14)</f>
        <v>23.5</v>
      </c>
      <c r="BQ254" s="56"/>
      <c r="BR254" s="64">
        <f>BP254-BQ254</f>
        <v>23.5</v>
      </c>
      <c r="BS254" s="64">
        <f>BS253+BO254-BQ254</f>
        <v>0</v>
      </c>
      <c r="BT254" s="56"/>
      <c r="BW254" s="55">
        <f>BN254</f>
        <v>46235</v>
      </c>
      <c r="BX254" s="56"/>
      <c r="BY254" s="65">
        <f>SUMPRODUCT(PRODUCE!$B255:$DY255,PRODUCE!$EB$15:$IY$15)</f>
        <v>0</v>
      </c>
      <c r="BZ254" s="56"/>
      <c r="CA254" s="65">
        <f>BY254-BZ254</f>
        <v>0</v>
      </c>
      <c r="CB254" s="65">
        <f>CB253+BX254-BZ254</f>
        <v>3322.4999999999986</v>
      </c>
      <c r="CC254" s="56"/>
      <c r="CF254" s="55">
        <f>BW254</f>
        <v>46235</v>
      </c>
      <c r="CG254" s="56"/>
      <c r="CH254" s="66">
        <f>SUMPRODUCT(PRODUCE!$B255:$DY255,PRODUCE!$EB$16:$IY$16)</f>
        <v>6.42</v>
      </c>
      <c r="CI254" s="56"/>
      <c r="CJ254" s="66">
        <f>CH254-CI254</f>
        <v>6.42</v>
      </c>
      <c r="CK254" s="66">
        <f>CK253+CG254-CI254</f>
        <v>-10277.079999999998</v>
      </c>
      <c r="CL254" s="56"/>
      <c r="CO254" s="55">
        <f>CF254</f>
        <v>46235</v>
      </c>
      <c r="CP254" s="422"/>
      <c r="CQ254" s="470">
        <f>SUMPRODUCT(PRODUCE!$B255:$DY255,PRODUCE!$EB$17:$IY$17)</f>
        <v>0</v>
      </c>
      <c r="CR254" s="422"/>
      <c r="CS254" s="470">
        <f>CQ254-CR254</f>
        <v>0</v>
      </c>
      <c r="CT254" s="470">
        <f>CT253+CP254-CR254</f>
        <v>0</v>
      </c>
      <c r="CU254" s="56"/>
      <c r="CX254" s="55">
        <f>CO254</f>
        <v>46235</v>
      </c>
      <c r="CY254" s="56"/>
      <c r="CZ254" s="133">
        <f>SUMPRODUCT(PRODUCE!$B255:$DY255,PRODUCE!$EB$18:$IY$18)</f>
        <v>0</v>
      </c>
      <c r="DA254" s="56"/>
      <c r="DB254" s="133">
        <f>CZ254-DA254</f>
        <v>0</v>
      </c>
      <c r="DC254" s="133">
        <f>DC253+CY254-DA254</f>
        <v>27438.200000000012</v>
      </c>
      <c r="DD254" s="56"/>
      <c r="DG254" s="55">
        <f>CX254</f>
        <v>46235</v>
      </c>
      <c r="DH254" s="56"/>
      <c r="DI254" s="147">
        <f>SUMPRODUCT(PRODUCE!$B255:$DY255,PRODUCE!$EB$19:$IY$19)</f>
        <v>0</v>
      </c>
      <c r="DJ254" s="56"/>
      <c r="DK254" s="147">
        <f>DI254-DJ254</f>
        <v>0</v>
      </c>
      <c r="DL254" s="147">
        <f>DL253+DH254-DJ254</f>
        <v>18782.299999999981</v>
      </c>
      <c r="DM254" s="56"/>
      <c r="DP254" s="55">
        <f>DG254</f>
        <v>46235</v>
      </c>
      <c r="DQ254" s="56"/>
      <c r="DR254" s="57">
        <f>SUMPRODUCT(PRODUCE!$B255:$DY255,PRODUCE!$EB$20:$IY$20)</f>
        <v>0</v>
      </c>
      <c r="DS254" s="56"/>
      <c r="DT254" s="57">
        <f>DR254-DS254</f>
        <v>0</v>
      </c>
      <c r="DU254" s="57">
        <f>DU253+DQ254-DS254</f>
        <v>5800</v>
      </c>
      <c r="DV254" s="56"/>
      <c r="DY254" s="55">
        <f>DP254</f>
        <v>46235</v>
      </c>
      <c r="DZ254" s="56"/>
      <c r="EA254" s="157">
        <f>SUMPRODUCT(PRODUCE!$B255:$DY255,PRODUCE!$EB$21:$IY$21)</f>
        <v>0</v>
      </c>
      <c r="EB254" s="56"/>
      <c r="EC254" s="157">
        <f>EA254-EB254</f>
        <v>0</v>
      </c>
      <c r="ED254" s="157">
        <f>ED253+DZ254-EB254</f>
        <v>0</v>
      </c>
      <c r="EE254" s="56"/>
      <c r="EH254" s="55">
        <f>DY254</f>
        <v>46235</v>
      </c>
      <c r="EI254" s="56"/>
      <c r="EJ254" s="162">
        <f>SUMPRODUCT(PRODUCE!$B255:$DY255,PRODUCE!$EB$22:$IY$22)</f>
        <v>0</v>
      </c>
      <c r="EK254" s="56"/>
      <c r="EL254" s="162">
        <f>EJ254-EK254</f>
        <v>0</v>
      </c>
      <c r="EM254" s="162">
        <f>EM253+EI254-EK254</f>
        <v>0</v>
      </c>
      <c r="EN254" s="56"/>
      <c r="EQ254" s="55">
        <f>EH254</f>
        <v>46235</v>
      </c>
      <c r="ER254" s="56"/>
      <c r="ES254" s="135">
        <f>SUMPRODUCT(PRODUCE!$B255:$DY255,PRODUCE!$EB$23:$IY$23)</f>
        <v>0</v>
      </c>
      <c r="ET254" s="56"/>
      <c r="EU254" s="135">
        <f>ES254-ET254</f>
        <v>0</v>
      </c>
      <c r="EV254" s="135">
        <f>EV253+ER254-ET254</f>
        <v>0</v>
      </c>
      <c r="EW254" s="56"/>
      <c r="EZ254" s="55">
        <f>EQ254</f>
        <v>46235</v>
      </c>
      <c r="FA254" s="56"/>
      <c r="FB254" s="175">
        <f>SUMPRODUCT(PRODUCE!$B255:$DY255,PRODUCE!$EB$24:$IY$24)</f>
        <v>0</v>
      </c>
      <c r="FC254" s="56"/>
      <c r="FD254" s="175">
        <f>FB254-FC254</f>
        <v>0</v>
      </c>
      <c r="FE254" s="175">
        <f>FE253+FA254-FC254</f>
        <v>0</v>
      </c>
      <c r="FF254" s="56"/>
      <c r="FI254" s="55">
        <f>EZ254</f>
        <v>46235</v>
      </c>
      <c r="FJ254" s="56"/>
      <c r="FK254" s="183">
        <f>SUMPRODUCT(PRODUCE!$B255:$DY255,PRODUCE!$EB$25:$IY$25)</f>
        <v>0</v>
      </c>
      <c r="FL254" s="56"/>
      <c r="FM254" s="183">
        <f>FK254-FL254</f>
        <v>0</v>
      </c>
      <c r="FN254" s="183">
        <f>FN253+FJ254-FL254</f>
        <v>0</v>
      </c>
      <c r="FO254" s="56"/>
      <c r="FR254" s="55">
        <f>FI254</f>
        <v>46235</v>
      </c>
      <c r="FS254" s="56"/>
      <c r="FT254" s="186">
        <f>SUMPRODUCT(PRODUCE!$B255:$DY255,PRODUCE!$EB$26:$IY$26)</f>
        <v>0</v>
      </c>
      <c r="FU254" s="56"/>
      <c r="FV254" s="186">
        <f>FT254-FU254</f>
        <v>0</v>
      </c>
      <c r="FW254" s="186">
        <f>FW253+FS254-FU254</f>
        <v>540</v>
      </c>
      <c r="FX254" s="56"/>
      <c r="GA254" s="55">
        <f>FR254</f>
        <v>46235</v>
      </c>
      <c r="GB254" s="56"/>
      <c r="GC254" s="137">
        <f>SUMPRODUCT(PRODUCE!$B255:$DY255,PRODUCE!$EB$27:$IY$27)</f>
        <v>0</v>
      </c>
      <c r="GD254" s="56"/>
      <c r="GE254" s="137">
        <f>GC254-GD254</f>
        <v>0</v>
      </c>
      <c r="GF254" s="137">
        <f>GF253+GB254-GD254</f>
        <v>960</v>
      </c>
      <c r="GG254" s="56"/>
      <c r="GI254" s="23"/>
      <c r="GJ254" s="55">
        <f>GA254</f>
        <v>46235</v>
      </c>
      <c r="GK254" s="56"/>
      <c r="GL254" s="199">
        <f>SUMPRODUCT(PRODUCE!$B255:$DY255,PRODUCE!$EB$28:$IY$28)</f>
        <v>0</v>
      </c>
      <c r="GM254" s="56"/>
      <c r="GN254" s="199">
        <f>GL254-GM254</f>
        <v>0</v>
      </c>
      <c r="GO254" s="199">
        <f>GO253+GK254-GM254</f>
        <v>1760</v>
      </c>
      <c r="GP254" s="56"/>
      <c r="GS254" s="55">
        <f>GJ254</f>
        <v>46235</v>
      </c>
      <c r="GT254" s="56"/>
      <c r="GU254" s="195">
        <f>SUMPRODUCT(PRODUCE!$B255:$DY255,PRODUCE!$EB$29:$IY$29)</f>
        <v>0</v>
      </c>
      <c r="GV254" s="56"/>
      <c r="GW254" s="195">
        <f>GU254-GV254</f>
        <v>0</v>
      </c>
      <c r="GX254" s="195">
        <f>GX253+GT254-GV254</f>
        <v>400</v>
      </c>
      <c r="GY254" s="56"/>
      <c r="HB254" s="55">
        <f>GS254</f>
        <v>46235</v>
      </c>
      <c r="HC254" s="56"/>
      <c r="HD254" s="191">
        <f>SUMPRODUCT(PRODUCE!$B255:$DY255,PRODUCE!$EB$30:$IY$30)</f>
        <v>0</v>
      </c>
      <c r="HE254" s="56"/>
      <c r="HF254" s="191">
        <f>HD254-HE254</f>
        <v>0</v>
      </c>
      <c r="HG254" s="191">
        <f>HG253+HC254-HE254</f>
        <v>3600</v>
      </c>
      <c r="HH254" s="56"/>
      <c r="HK254" s="55">
        <f>HB254</f>
        <v>46235</v>
      </c>
      <c r="HL254" s="56"/>
      <c r="HM254" s="63">
        <f>SUMPRODUCT(PRODUCE!$B255:$DY255,PRODUCE!$EB$31:$IY$31)</f>
        <v>0</v>
      </c>
      <c r="HN254" s="56"/>
      <c r="HO254" s="63">
        <f>HM254-HN254</f>
        <v>0</v>
      </c>
      <c r="HP254" s="63">
        <f>HP253+HL254-HN254</f>
        <v>0</v>
      </c>
      <c r="HQ254" s="56"/>
      <c r="HU254" s="55">
        <f>HK254</f>
        <v>46235</v>
      </c>
      <c r="HV254" s="56"/>
      <c r="HW254" s="242">
        <f>SUMPRODUCT(PRODUCE!$B255:$DY255,PRODUCE!$EB$32:$IY$32)</f>
        <v>0</v>
      </c>
      <c r="HX254" s="56"/>
      <c r="HY254" s="242">
        <f>HW254-HX254</f>
        <v>0</v>
      </c>
      <c r="HZ254" s="242">
        <f>HZ253+HV254-HX254</f>
        <v>5920</v>
      </c>
      <c r="IA254" s="56"/>
      <c r="ID254" s="55">
        <f>HU254</f>
        <v>46235</v>
      </c>
      <c r="IE254" s="56"/>
      <c r="IF254" s="242">
        <f>SUMPRODUCT(PRODUCE!$B255:$DY255,PRODUCE!$EB$33:$IY$33)</f>
        <v>0</v>
      </c>
      <c r="IG254" s="56"/>
      <c r="IH254" s="242">
        <f>IF254-IG254</f>
        <v>0</v>
      </c>
      <c r="II254" s="242">
        <f>II253+IE254-IG254</f>
        <v>720</v>
      </c>
      <c r="IJ254" s="56"/>
      <c r="IM254" s="55">
        <f>ID254</f>
        <v>46235</v>
      </c>
      <c r="IN254" s="56"/>
      <c r="IO254" s="242">
        <f>SUMPRODUCT(PRODUCE!$B255:$DY255,PRODUCE!$EB$34:$IY$34)</f>
        <v>0</v>
      </c>
      <c r="IP254" s="56"/>
      <c r="IQ254" s="242">
        <f>IO254-IP254</f>
        <v>0</v>
      </c>
      <c r="IR254" s="242">
        <f>IR253+IN254-IP254</f>
        <v>1680</v>
      </c>
      <c r="IS254" s="56"/>
      <c r="IV254" s="55">
        <f>IM254</f>
        <v>46235</v>
      </c>
      <c r="IW254" s="56"/>
      <c r="IX254" s="242">
        <f>SUMPRODUCT(PRODUCE!$B255:$DY255,PRODUCE!$EB$35:$IY$35)</f>
        <v>0</v>
      </c>
      <c r="IY254" s="56"/>
      <c r="IZ254" s="242">
        <f>IX254-IY254</f>
        <v>0</v>
      </c>
      <c r="JA254" s="242">
        <f>JA253+IW254-IY254</f>
        <v>4960</v>
      </c>
      <c r="JB254" s="56"/>
      <c r="JE254" s="55">
        <f>IV254</f>
        <v>46235</v>
      </c>
      <c r="JF254" s="56"/>
      <c r="JG254" s="242">
        <f>SUMPRODUCT(PRODUCE!$B255:$DY255,PRODUCE!$EB$36:$IY$36)</f>
        <v>20</v>
      </c>
      <c r="JH254" s="56"/>
      <c r="JI254" s="242">
        <f>JG254-JH254</f>
        <v>20</v>
      </c>
      <c r="JJ254" s="242">
        <f>JJ253+JF254-JH254</f>
        <v>0</v>
      </c>
      <c r="JK254" s="56"/>
      <c r="JN254" s="55">
        <f>JE254</f>
        <v>46235</v>
      </c>
      <c r="JO254" s="56"/>
      <c r="JP254" s="242">
        <f>SUMPRODUCT(PRODUCE!$B255:$DY255,PRODUCE!$EB$37:$IY$37)</f>
        <v>0</v>
      </c>
      <c r="JQ254" s="56"/>
      <c r="JR254" s="242">
        <f>JP254-JQ254</f>
        <v>0</v>
      </c>
      <c r="JS254" s="242">
        <f>JS253+JO254-JQ254</f>
        <v>0</v>
      </c>
      <c r="JT254" s="56"/>
      <c r="JW254" s="55">
        <f>JN254</f>
        <v>46235</v>
      </c>
      <c r="JX254" s="56"/>
      <c r="JY254" s="242">
        <f>SUMPRODUCT(PRODUCE!$B255:$DY255,PRODUCE!$EB$38:$IY$38)</f>
        <v>0</v>
      </c>
      <c r="JZ254" s="56"/>
      <c r="KA254" s="242">
        <f>JY254-JZ254</f>
        <v>0</v>
      </c>
      <c r="KB254" s="242">
        <f>KB253+JX254-JZ254</f>
        <v>2540</v>
      </c>
      <c r="KC254" s="56"/>
      <c r="KF254" s="55">
        <f>JW254</f>
        <v>46235</v>
      </c>
      <c r="KG254" s="56"/>
      <c r="KH254" s="242">
        <f>SUMPRODUCT(PRODUCE!$B255:$DY255,PRODUCE!$EB$39:$IY$39)</f>
        <v>0</v>
      </c>
      <c r="KI254" s="56"/>
      <c r="KJ254" s="242">
        <f>KH254-KI254</f>
        <v>0</v>
      </c>
      <c r="KK254" s="242">
        <f>KK253+KG254-KI254</f>
        <v>2359.5</v>
      </c>
      <c r="KL254" s="56"/>
      <c r="KO254" s="55">
        <f>KF254</f>
        <v>46235</v>
      </c>
      <c r="KP254" s="56"/>
      <c r="KQ254" s="242">
        <f>SUMPRODUCT(PRODUCE!$B255:$DY255,PRODUCE!$EB$40:$IY$40)</f>
        <v>0</v>
      </c>
      <c r="KR254" s="56"/>
      <c r="KS254" s="242">
        <f>KQ254-KR254</f>
        <v>0</v>
      </c>
      <c r="KT254" s="242">
        <f>KT253+KP254-KR254</f>
        <v>1890</v>
      </c>
      <c r="KU254" s="56"/>
      <c r="KW254" s="23"/>
      <c r="KX254" s="55">
        <f>KO254</f>
        <v>46235</v>
      </c>
      <c r="KY254" s="56"/>
      <c r="KZ254" s="242">
        <f>SUMPRODUCT(PRODUCE!$B255:$DY255,PRODUCE!$EB$41:$IY$41)</f>
        <v>0</v>
      </c>
      <c r="LA254" s="56"/>
      <c r="LB254" s="242">
        <f>KZ254-LA254</f>
        <v>0</v>
      </c>
      <c r="LC254" s="242">
        <f>LC253+KY254-LA254</f>
        <v>3690</v>
      </c>
      <c r="LD254" s="56"/>
      <c r="LG254" s="55">
        <f>KX254</f>
        <v>46235</v>
      </c>
      <c r="LH254" s="56"/>
      <c r="LI254" s="242">
        <f>SUMPRODUCT(PRODUCE!$B255:$DY255,PRODUCE!$EB$42:$IY$42)</f>
        <v>0</v>
      </c>
      <c r="LJ254" s="56"/>
      <c r="LK254" s="242">
        <f>LI254-LJ254</f>
        <v>0</v>
      </c>
      <c r="LL254" s="242">
        <f>LL253+LH254-LJ254</f>
        <v>4000</v>
      </c>
      <c r="LM254" s="56"/>
      <c r="LP254" s="55">
        <f>LG254</f>
        <v>46235</v>
      </c>
      <c r="LQ254" s="56"/>
      <c r="LR254" s="242">
        <f>SUMPRODUCT(PRODUCE!$B269:$DY269,PRODUCE!$EB$43:$IY$43)</f>
        <v>0</v>
      </c>
      <c r="LS254" s="56"/>
      <c r="LT254" s="242">
        <f>LR254-LS254</f>
        <v>0</v>
      </c>
      <c r="LU254" s="242">
        <f>LU253+LQ254-LS254</f>
        <v>0</v>
      </c>
      <c r="LV254" s="56"/>
      <c r="LY254" s="55">
        <f>LP254</f>
        <v>46235</v>
      </c>
      <c r="LZ254" s="56"/>
      <c r="MA254" s="242">
        <f>SUMPRODUCT(PRODUCE!$B255:$DY255,PRODUCE!$EB$44:$IY$44)</f>
        <v>0</v>
      </c>
      <c r="MB254" s="56"/>
      <c r="MC254" s="242">
        <f>MA254-MB254</f>
        <v>0</v>
      </c>
      <c r="MD254" s="242">
        <f>MD253+LZ254-MB254</f>
        <v>0</v>
      </c>
      <c r="ME254" s="56"/>
      <c r="MH254" s="55">
        <f>LY254</f>
        <v>46235</v>
      </c>
      <c r="MI254" s="56"/>
      <c r="MJ254" s="242">
        <f>SUMPRODUCT(PRODUCE!$B255:$DY255,PRODUCE!$EB$45:$IY$45)</f>
        <v>0</v>
      </c>
      <c r="MK254" s="56"/>
      <c r="ML254" s="242">
        <f>MJ254-MK254</f>
        <v>0</v>
      </c>
      <c r="MM254" s="242">
        <f>MM253+MI254-MK254</f>
        <v>0</v>
      </c>
      <c r="MN254" s="56"/>
      <c r="MQ254" s="55">
        <f>MH254</f>
        <v>46235</v>
      </c>
      <c r="MR254" s="56"/>
      <c r="MS254" s="242">
        <f>SUMPRODUCT(PRODUCE!$B255:$DY255,PRODUCE!$EB$46:$IY$46)</f>
        <v>0</v>
      </c>
      <c r="MT254" s="56"/>
      <c r="MU254" s="242">
        <f>MS254-MT254</f>
        <v>0</v>
      </c>
      <c r="MV254" s="242">
        <f>MV253+MR254-MT254</f>
        <v>2216</v>
      </c>
      <c r="MW254" s="56"/>
      <c r="MZ254" s="55">
        <f>MQ254</f>
        <v>46235</v>
      </c>
      <c r="NA254" s="56"/>
      <c r="NB254" s="242">
        <f>SUMPRODUCT(PRODUCE!$B255:$DY255,PRODUCE!$EB$47:$IY$47)</f>
        <v>3</v>
      </c>
      <c r="NC254" s="56"/>
      <c r="ND254" s="242">
        <f>NB254-NC254</f>
        <v>3</v>
      </c>
      <c r="NE254" s="242">
        <f>NE253+NA254-NC254</f>
        <v>0</v>
      </c>
      <c r="NF254" s="56"/>
      <c r="NI254" s="55">
        <f>MZ254</f>
        <v>46235</v>
      </c>
      <c r="NJ254" s="56"/>
      <c r="NK254" s="242">
        <f>SUMPRODUCT(PRODUCE!$B255:$DY255,PRODUCE!$EB$48:$IY$48)</f>
        <v>0</v>
      </c>
      <c r="NL254" s="56"/>
      <c r="NM254" s="242">
        <f>NK254-NL254</f>
        <v>0</v>
      </c>
      <c r="NN254" s="242">
        <f>NN253+NJ254-NL254</f>
        <v>1127</v>
      </c>
      <c r="NO254" s="56"/>
      <c r="NR254" s="55">
        <f>MZ254</f>
        <v>46235</v>
      </c>
      <c r="NS254" s="56"/>
      <c r="NT254" s="242">
        <f>SUMPRODUCT(PRODUCE!$B255:$DY255,PRODUCE!$EB$49:$IY$49)</f>
        <v>0</v>
      </c>
      <c r="NU254" s="56"/>
      <c r="NV254" s="242">
        <f>NT254-NU254</f>
        <v>0</v>
      </c>
      <c r="NW254" s="242">
        <f>NW253+NS254-NU254</f>
        <v>3111.9999999999995</v>
      </c>
      <c r="NX254" s="56"/>
      <c r="OA254" s="55">
        <f>NR254</f>
        <v>46235</v>
      </c>
      <c r="OB254" s="56"/>
      <c r="OC254" s="242">
        <f>SUMPRODUCT(PRODUCE!$B255:$DY255,PRODUCE!$EB$50:$IY$50)</f>
        <v>0</v>
      </c>
      <c r="OD254" s="56"/>
      <c r="OE254" s="242">
        <f>OC254-OD254</f>
        <v>0</v>
      </c>
      <c r="OF254" s="242">
        <f>OF253+OB254-OD254</f>
        <v>1680.5</v>
      </c>
      <c r="OG254" s="56"/>
      <c r="OJ254" s="55">
        <f>OA254</f>
        <v>46235</v>
      </c>
      <c r="OK254" s="56"/>
      <c r="OL254" s="242">
        <f>SUMPRODUCT(PRODUCE!$B255:$DY255,PRODUCE!$EB$51:$IY$51)</f>
        <v>0</v>
      </c>
      <c r="OM254" s="56"/>
      <c r="ON254" s="242">
        <f>OL254-OM254</f>
        <v>0</v>
      </c>
      <c r="OO254" s="242">
        <f>OO253+OK254-OM254</f>
        <v>0</v>
      </c>
      <c r="OP254" s="56"/>
      <c r="OS254" s="55">
        <f>OJ254</f>
        <v>46235</v>
      </c>
      <c r="OT254" s="56"/>
      <c r="OU254" s="242">
        <f>SUMPRODUCT(PRODUCE!$B255:$DY255,PRODUCE!$EB$52:$IY$52)</f>
        <v>1</v>
      </c>
      <c r="OV254" s="56"/>
      <c r="OW254" s="242">
        <f>OU254-OV254</f>
        <v>1</v>
      </c>
      <c r="OX254" s="242">
        <f>OX253+OT254-OV254</f>
        <v>1482</v>
      </c>
      <c r="OY254" s="56"/>
      <c r="PB254" s="55">
        <f>OS254</f>
        <v>46235</v>
      </c>
      <c r="PC254" s="56"/>
      <c r="PD254" s="242">
        <f>SUMPRODUCT(PRODUCE!$B255:$DY255,PRODUCE!$EB$53:$IY$53)</f>
        <v>0</v>
      </c>
      <c r="PE254" s="56"/>
      <c r="PF254" s="242">
        <f>PD254-PE254</f>
        <v>0</v>
      </c>
      <c r="PG254" s="242">
        <f>PG253+PC254-PE254</f>
        <v>0</v>
      </c>
      <c r="PH254" s="56"/>
      <c r="PK254" s="55">
        <f>PB254</f>
        <v>46235</v>
      </c>
      <c r="PL254" s="56"/>
      <c r="PM254" s="242">
        <f>SUMPRODUCT(PRODUCE!$B255:$DY255,PRODUCE!$EB$54:$IY$54)</f>
        <v>0</v>
      </c>
      <c r="PN254" s="56"/>
      <c r="PO254" s="242">
        <f>PM254-PN254</f>
        <v>0</v>
      </c>
      <c r="PP254" s="242">
        <f>PP253+PL254-PN254</f>
        <v>100</v>
      </c>
      <c r="PQ254" s="56"/>
      <c r="PT254" s="55">
        <f>PK254</f>
        <v>46235</v>
      </c>
      <c r="PU254" s="56"/>
      <c r="PV254" s="242">
        <f>SUMPRODUCT(PRODUCE!$B255:$DY255,PRODUCE!$EB$55:$IY$55)</f>
        <v>0</v>
      </c>
      <c r="PW254" s="56"/>
      <c r="PX254" s="242">
        <f>PV254-PW254</f>
        <v>0</v>
      </c>
      <c r="PY254" s="242">
        <f>PY253+PU254-PW254</f>
        <v>13.960000000000036</v>
      </c>
      <c r="PZ254" s="56"/>
      <c r="QC254" s="55">
        <f>PT254</f>
        <v>46235</v>
      </c>
      <c r="QD254" s="56"/>
      <c r="QE254" s="242">
        <f>SUMPRODUCT(PRODUCE!$B255:$DY255,PRODUCE!$EB$56:$IY$56)</f>
        <v>4</v>
      </c>
      <c r="QF254" s="56"/>
      <c r="QG254" s="242">
        <f>QE254-QF254</f>
        <v>4</v>
      </c>
      <c r="QH254" s="242">
        <f>QH253+QD254-QF254</f>
        <v>1284</v>
      </c>
      <c r="QI254" s="56"/>
      <c r="QL254" s="55">
        <f>QC254</f>
        <v>46235</v>
      </c>
      <c r="QM254" s="56"/>
      <c r="QN254" s="242">
        <f>SUMPRODUCT(PRODUCE!$B255:$DY255,PRODUCE!$EB$57:$IY$57)</f>
        <v>0</v>
      </c>
      <c r="QO254" s="56"/>
      <c r="QP254" s="242">
        <f>QN254-QO254</f>
        <v>0</v>
      </c>
      <c r="QQ254" s="242">
        <f>QQ253+QM254-QO254</f>
        <v>0</v>
      </c>
      <c r="QR254" s="56"/>
      <c r="QU254" s="55">
        <f>QL254</f>
        <v>46235</v>
      </c>
      <c r="QV254" s="56"/>
      <c r="QW254" s="242">
        <f>SUMPRODUCT(PRODUCE!$B255:$DY255,PRODUCE!$EB$57:$IY$57)</f>
        <v>0</v>
      </c>
      <c r="QX254" s="56"/>
      <c r="QY254" s="242">
        <f>QW254-QX254</f>
        <v>0</v>
      </c>
      <c r="QZ254" s="242">
        <f>QZ253+QV254-QX254</f>
        <v>207.6</v>
      </c>
      <c r="RA254" s="56"/>
      <c r="RD254" s="55">
        <f>QU254</f>
        <v>46235</v>
      </c>
      <c r="RE254" s="56"/>
      <c r="RF254" s="242">
        <f>SUMPRODUCT(PRODUCE!$B255:$DY255,PRODUCE!$EB$58:$IY$58)</f>
        <v>0</v>
      </c>
      <c r="RG254" s="56"/>
      <c r="RH254" s="242">
        <f>RF254-RG254</f>
        <v>0</v>
      </c>
      <c r="RI254" s="242">
        <f>RI253+RE254-RG254</f>
        <v>147.04000000000002</v>
      </c>
      <c r="RJ254" s="56"/>
      <c r="RM254" s="55">
        <f>RD254</f>
        <v>46235</v>
      </c>
      <c r="RN254" s="56"/>
      <c r="RO254" s="242">
        <f>SUMPRODUCT(PRODUCE!$B255:$DY255,PRODUCE!$EB$59:$IY$59)</f>
        <v>0</v>
      </c>
      <c r="RP254" s="56"/>
      <c r="RQ254" s="242">
        <f>RO254-RP254</f>
        <v>0</v>
      </c>
      <c r="RR254" s="242">
        <f>RR253+RN254-RP254</f>
        <v>46.8</v>
      </c>
      <c r="RS254" s="56"/>
      <c r="RV254" s="55">
        <f>RM254</f>
        <v>46235</v>
      </c>
      <c r="RW254" s="56"/>
      <c r="RX254" s="242">
        <f>SUMPRODUCT(PRODUCE!$B255:$DY255,PRODUCE!$EB$57:$IY$57)</f>
        <v>0</v>
      </c>
      <c r="RY254" s="56"/>
      <c r="RZ254" s="242">
        <f>RX254-RY254</f>
        <v>0</v>
      </c>
      <c r="SA254" s="242">
        <f>SA253+RW254-RY254</f>
        <v>0</v>
      </c>
      <c r="SB254" s="56"/>
      <c r="SE254" s="55">
        <f>RV254</f>
        <v>46235</v>
      </c>
      <c r="SF254" s="56"/>
      <c r="SG254" s="242">
        <f>SUMPRODUCT(PRODUCE!$B255:$DY255,PRODUCE!$EB$61:$IY$61)</f>
        <v>0</v>
      </c>
      <c r="SH254" s="56"/>
      <c r="SI254" s="242">
        <f>SG254-SH254</f>
        <v>0</v>
      </c>
      <c r="SJ254" s="242">
        <f>SJ253+SF254-SH254</f>
        <v>24.200000000000003</v>
      </c>
      <c r="SK254" s="56"/>
      <c r="SN254" s="55">
        <f>SE254</f>
        <v>46235</v>
      </c>
      <c r="SO254" s="56"/>
      <c r="SP254" s="242">
        <f>SUMPRODUCT(PRODUCE!$B255:$DY255,PRODUCE!$EB$62:$IY$62)</f>
        <v>0</v>
      </c>
      <c r="SQ254" s="56"/>
      <c r="SR254" s="242">
        <f>SP254-SQ254</f>
        <v>0</v>
      </c>
      <c r="SS254" s="242">
        <f>SS253+SO254-SQ254</f>
        <v>32</v>
      </c>
      <c r="ST254" s="56"/>
      <c r="SW254" s="55">
        <f>SN254</f>
        <v>46235</v>
      </c>
      <c r="SX254" s="56"/>
      <c r="SY254" s="242">
        <f>SUMPRODUCT(PRODUCE!$B255:$DY255,PRODUCE!$EB$57:$IY$57)</f>
        <v>0</v>
      </c>
      <c r="SZ254" s="56"/>
      <c r="TA254" s="242">
        <f>SY254-SZ254</f>
        <v>0</v>
      </c>
      <c r="TB254" s="242">
        <f>TB253+SX254-SZ254</f>
        <v>0</v>
      </c>
      <c r="TC254" s="56"/>
      <c r="TF254" s="55">
        <f>SW254</f>
        <v>46235</v>
      </c>
      <c r="TG254" s="56"/>
      <c r="TH254" s="242">
        <f>SUMPRODUCT(PRODUCE!$B255:$DY255,PRODUCE!$EB$57:$IY$57)</f>
        <v>0</v>
      </c>
      <c r="TI254" s="56"/>
      <c r="TJ254" s="242">
        <f>TH254-TI254</f>
        <v>0</v>
      </c>
      <c r="TK254" s="242">
        <f>TK253+TG254-TI254</f>
        <v>0</v>
      </c>
      <c r="TL254" s="56"/>
      <c r="TO254" s="55">
        <f>TF254</f>
        <v>46235</v>
      </c>
      <c r="TP254" s="56"/>
      <c r="TQ254" s="242">
        <f>SUMPRODUCT(PRODUCE!$B255:$DY255,PRODUCE!$EB$57:$IY$57)</f>
        <v>0</v>
      </c>
      <c r="TR254" s="56"/>
      <c r="TS254" s="242">
        <f>TQ254-TR254</f>
        <v>0</v>
      </c>
      <c r="TT254" s="242">
        <f>TT253+TP254-TR254</f>
        <v>10.400000000000006</v>
      </c>
      <c r="TU254" s="56"/>
      <c r="TX254" s="55">
        <f>TO254</f>
        <v>46235</v>
      </c>
      <c r="TY254" s="56"/>
      <c r="TZ254" s="242">
        <f>SUMPRODUCT(PRODUCE!$B255:$DY255,PRODUCE!$EB$57:$IY$57)</f>
        <v>0</v>
      </c>
      <c r="UA254" s="56"/>
      <c r="UB254" s="242">
        <f>TZ254-UA254</f>
        <v>0</v>
      </c>
      <c r="UC254" s="242">
        <f>UC253+TY254-UA254</f>
        <v>46.799999999999983</v>
      </c>
      <c r="UD254" s="56"/>
      <c r="UG254" s="55">
        <f>TX254</f>
        <v>46235</v>
      </c>
      <c r="UH254" s="56"/>
      <c r="UI254" s="242">
        <f>SUMPRODUCT(PRODUCE!$B255:$DY255,PRODUCE!$EB$57:$IY$57)</f>
        <v>0</v>
      </c>
      <c r="UJ254" s="56"/>
      <c r="UK254" s="242">
        <f>UI254-UJ254</f>
        <v>0</v>
      </c>
      <c r="UL254" s="242">
        <f>UL253+UH254-UJ254</f>
        <v>204</v>
      </c>
      <c r="UM254" s="56"/>
      <c r="UP254" s="55">
        <f>UG254</f>
        <v>46235</v>
      </c>
      <c r="UQ254" s="56"/>
      <c r="UR254" s="242">
        <f>SUMPRODUCT(PRODUCE!$B255:$DY255,PRODUCE!$EB$57:$IY$57)</f>
        <v>0</v>
      </c>
      <c r="US254" s="56"/>
      <c r="UT254" s="242">
        <f>UR254-US254</f>
        <v>0</v>
      </c>
      <c r="UU254" s="242">
        <f>UU253+UQ254-US254</f>
        <v>202.5</v>
      </c>
      <c r="UV254" s="56"/>
      <c r="UY254" s="55">
        <f>UP254</f>
        <v>46235</v>
      </c>
      <c r="UZ254" s="56"/>
      <c r="VA254" s="242">
        <f>SUMPRODUCT(PRODUCE!$B255:$DY255,PRODUCE!$EB$57:$IY$57)</f>
        <v>0</v>
      </c>
      <c r="VB254" s="56"/>
      <c r="VC254" s="242">
        <f>VA254-VB254</f>
        <v>0</v>
      </c>
      <c r="VD254" s="242">
        <f>VD253+UZ254-VB254</f>
        <v>41.600000000000023</v>
      </c>
      <c r="VE254" s="56"/>
      <c r="VH254" s="55">
        <f>UY254</f>
        <v>46235</v>
      </c>
      <c r="VI254" s="56"/>
      <c r="VJ254" s="242">
        <f>SUMPRODUCT(PRODUCE!$B255:$DY255,PRODUCE!$EB$57:$IY$57)</f>
        <v>0</v>
      </c>
      <c r="VK254" s="56"/>
      <c r="VL254" s="242">
        <f>VJ254-VK254</f>
        <v>0</v>
      </c>
      <c r="VM254" s="242">
        <f>VM253+VI254-VK254</f>
        <v>210</v>
      </c>
      <c r="VN254" s="56"/>
      <c r="VQ254" s="55">
        <f>VH254</f>
        <v>46235</v>
      </c>
      <c r="VR254" s="56"/>
      <c r="VS254" s="242">
        <f>SUMPRODUCT(PRODUCE!$B255:$DY255,PRODUCE!$EB$57:$IY$57)</f>
        <v>0</v>
      </c>
      <c r="VT254" s="56"/>
      <c r="VU254" s="242">
        <f>VS254-VT254</f>
        <v>0</v>
      </c>
      <c r="VV254" s="242">
        <f>VV253+VR254-VT254</f>
        <v>0</v>
      </c>
      <c r="VW254" s="56"/>
      <c r="VZ254" s="55">
        <f>VQ254</f>
        <v>46235</v>
      </c>
      <c r="WA254" s="56"/>
      <c r="WB254" s="242">
        <f>SUMPRODUCT(PRODUCE!$B255:$DY255,PRODUCE!$EB$57:$IY$57)</f>
        <v>0</v>
      </c>
      <c r="WC254" s="56"/>
      <c r="WD254" s="242">
        <f>WB254-WC254</f>
        <v>0</v>
      </c>
      <c r="WE254" s="242">
        <f>WE253+WA254-WC254</f>
        <v>0</v>
      </c>
      <c r="WF254" s="56"/>
      <c r="WI254" s="55">
        <f>VZ254</f>
        <v>46235</v>
      </c>
      <c r="WJ254" s="56"/>
      <c r="WK254" s="242">
        <f>SUMPRODUCT(PRODUCE!$B255:$DY255,PRODUCE!$EB$57:$IY$57)</f>
        <v>0</v>
      </c>
      <c r="WL254" s="56"/>
      <c r="WM254" s="242">
        <f>WK254-WL254</f>
        <v>0</v>
      </c>
      <c r="WN254" s="242">
        <f>WN253+WJ254-WL254</f>
        <v>1057</v>
      </c>
      <c r="WO254" s="56"/>
      <c r="WR254" s="55">
        <f>WI254</f>
        <v>46235</v>
      </c>
      <c r="WS254" s="56"/>
      <c r="WT254" s="242">
        <f>SUMPRODUCT(PRODUCE!$B255:$DY255,PRODUCE!$EB$57:$IY$57)</f>
        <v>0</v>
      </c>
      <c r="WU254" s="56"/>
      <c r="WV254" s="242">
        <f>WT254-WU254</f>
        <v>0</v>
      </c>
      <c r="WW254" s="242">
        <f>WW253+WS254-WU254</f>
        <v>0</v>
      </c>
      <c r="WX254" s="56"/>
      <c r="XA254" s="55">
        <f>WR254</f>
        <v>46235</v>
      </c>
      <c r="XB254" s="56"/>
      <c r="XC254" s="242">
        <f>SUMPRODUCT(PRODUCE!$B255:$DY255,PRODUCE!$EB$57:$IY$57)</f>
        <v>0</v>
      </c>
      <c r="XD254" s="56"/>
      <c r="XE254" s="242">
        <f>XC254-XD254</f>
        <v>0</v>
      </c>
      <c r="XF254" s="242">
        <f>XF253+XB254-XD254</f>
        <v>7507</v>
      </c>
      <c r="XG254" s="56"/>
      <c r="XJ254" s="55">
        <f>XA254</f>
        <v>46235</v>
      </c>
      <c r="XK254" s="56"/>
      <c r="XL254" s="242">
        <f>SUMPRODUCT(PRODUCE!$B255:$DY255,PRODUCE!$EB$57:$IY$57)</f>
        <v>0</v>
      </c>
      <c r="XM254" s="56"/>
      <c r="XN254" s="242">
        <f>XL254-XM254</f>
        <v>0</v>
      </c>
      <c r="XO254" s="242">
        <f>XO253+XK254-XM254</f>
        <v>4252</v>
      </c>
      <c r="XP254" s="56"/>
      <c r="XS254" s="55">
        <f>XJ254</f>
        <v>46235</v>
      </c>
      <c r="XT254" s="56"/>
      <c r="XU254" s="242">
        <f>SUMPRODUCT(PRODUCE!$B255:$DY255,PRODUCE!$EB$57:$IY$57)</f>
        <v>0</v>
      </c>
      <c r="XV254" s="56"/>
      <c r="XW254" s="242">
        <f>XU254-XV254</f>
        <v>0</v>
      </c>
      <c r="XX254" s="242">
        <f>XX253+XT254-XV254</f>
        <v>2179</v>
      </c>
      <c r="XY254" s="56"/>
      <c r="YB254" s="55">
        <f>XS254</f>
        <v>46235</v>
      </c>
      <c r="YC254" s="56"/>
      <c r="YD254" s="242">
        <f>SUMPRODUCT(PRODUCE!$B255:$DY255,PRODUCE!$EB$57:$IY$57)</f>
        <v>0</v>
      </c>
      <c r="YE254" s="56"/>
      <c r="YF254" s="242">
        <f>YD254-YE254</f>
        <v>0</v>
      </c>
      <c r="YG254" s="242">
        <f>YG253+YC254-YE254</f>
        <v>4019</v>
      </c>
      <c r="YH254" s="56"/>
      <c r="YK254" s="55">
        <f>YB254</f>
        <v>46235</v>
      </c>
      <c r="YL254" s="56"/>
      <c r="YM254" s="242">
        <f>SUMPRODUCT(PRODUCE!$B255:$DY255,PRODUCE!$EB$57:$IY$57)</f>
        <v>0</v>
      </c>
      <c r="YN254" s="56"/>
      <c r="YO254" s="242">
        <f>YM254-YN254</f>
        <v>0</v>
      </c>
      <c r="YP254" s="242">
        <f>YP253+YL254-YN254</f>
        <v>0</v>
      </c>
      <c r="YQ254" s="56"/>
      <c r="YT254" s="55">
        <f>YK254</f>
        <v>46235</v>
      </c>
      <c r="YU254" s="56"/>
      <c r="YV254" s="242">
        <f>SUMPRODUCT(PRODUCE!$B255:$DY255,PRODUCE!$EB$57:$IY$57)</f>
        <v>0</v>
      </c>
      <c r="YW254" s="56"/>
      <c r="YX254" s="242">
        <f>YV254-YW254</f>
        <v>0</v>
      </c>
      <c r="YY254" s="242">
        <f>YY253+YU254-YW254</f>
        <v>0</v>
      </c>
      <c r="YZ254" s="56"/>
      <c r="ZC254" s="55">
        <f>YT254</f>
        <v>46235</v>
      </c>
      <c r="ZD254" s="56"/>
      <c r="ZE254" s="242">
        <f>SUMPRODUCT(PRODUCE!$B255:$DY255,PRODUCE!$EB$57:$IY$57)</f>
        <v>0</v>
      </c>
      <c r="ZF254" s="56"/>
      <c r="ZG254" s="242">
        <f>ZE254-ZF254</f>
        <v>0</v>
      </c>
      <c r="ZH254" s="242">
        <f>ZH253+ZD254-ZF254</f>
        <v>0</v>
      </c>
      <c r="ZI254" s="56"/>
      <c r="ZL254" s="55">
        <f>ZC254</f>
        <v>46235</v>
      </c>
      <c r="ZM254" s="56"/>
      <c r="ZN254" s="242">
        <f>SUMPRODUCT(PRODUCE!$B255:$DY255,PRODUCE!$EB$57:$IY$57)</f>
        <v>0</v>
      </c>
      <c r="ZO254" s="56"/>
      <c r="ZP254" s="242">
        <f>ZN254-ZO254</f>
        <v>0</v>
      </c>
      <c r="ZQ254" s="242">
        <f>ZQ253+ZM254-ZO254</f>
        <v>0</v>
      </c>
      <c r="ZR254" s="56"/>
      <c r="ZU254" s="55">
        <f>ZL254</f>
        <v>46235</v>
      </c>
      <c r="ZV254" s="56"/>
      <c r="ZW254" s="242">
        <f>SUMPRODUCT(PRODUCE!$B255:$DY255,PRODUCE!$EB$57:$IY$57)</f>
        <v>0</v>
      </c>
      <c r="ZX254" s="56"/>
      <c r="ZY254" s="242">
        <f>ZW254-ZX254</f>
        <v>0</v>
      </c>
      <c r="ZZ254" s="242">
        <f>ZZ253+ZV254-ZX254</f>
        <v>0</v>
      </c>
      <c r="AAA254" s="56"/>
      <c r="AAD254" s="55">
        <f>ZU254</f>
        <v>46235</v>
      </c>
      <c r="AAE254" s="56"/>
      <c r="AAF254" s="242">
        <f>SUMPRODUCT(PRODUCE!$B255:$DY255,PRODUCE!$EB$57:$IY$57)</f>
        <v>0</v>
      </c>
      <c r="AAG254" s="56"/>
      <c r="AAH254" s="242">
        <f>AAF254-AAG254</f>
        <v>0</v>
      </c>
      <c r="AAI254" s="242">
        <f>AAI253+AAE254-AAG254</f>
        <v>0</v>
      </c>
      <c r="AAJ254" s="56"/>
      <c r="AAM254" s="55">
        <f>AAD254</f>
        <v>46235</v>
      </c>
      <c r="AAN254" s="56"/>
      <c r="AAO254" s="242">
        <f>SUMPRODUCT(PRODUCE!$B255:$DY255,PRODUCE!$EB$57:$IY$57)</f>
        <v>0</v>
      </c>
      <c r="AAP254" s="56"/>
      <c r="AAQ254" s="242">
        <f>AAO254-AAP254</f>
        <v>0</v>
      </c>
      <c r="AAR254" s="242">
        <f>AAR253+AAN254-AAP254</f>
        <v>0</v>
      </c>
      <c r="AAS254" s="56"/>
      <c r="AAV254" s="55">
        <f>AAM254</f>
        <v>46235</v>
      </c>
      <c r="AAW254" s="56"/>
      <c r="AAX254" s="242">
        <f>SUMPRODUCT(PRODUCE!$B255:$DY255,PRODUCE!$EB$57:$IY$57)</f>
        <v>0</v>
      </c>
      <c r="AAY254" s="56"/>
      <c r="AAZ254" s="242">
        <f>AAX254-AAY254</f>
        <v>0</v>
      </c>
      <c r="ABA254" s="242">
        <f>ABA253+AAW254-AAY254</f>
        <v>0</v>
      </c>
      <c r="ABB254" s="56"/>
      <c r="ABE254" s="55">
        <f>AAV254</f>
        <v>46235</v>
      </c>
      <c r="ABF254" s="56"/>
      <c r="ABG254" s="242">
        <f>SUMPRODUCT(PRODUCE!$B255:$DY255,PRODUCE!$EB$57:$IY$57)</f>
        <v>0</v>
      </c>
      <c r="ABH254" s="56"/>
      <c r="ABI254" s="242">
        <f>ABG254-ABH254</f>
        <v>0</v>
      </c>
      <c r="ABJ254" s="242">
        <f>ABJ253+ABF254-ABH254</f>
        <v>0</v>
      </c>
      <c r="ABK254" s="56"/>
    </row>
    <row r="255" spans="1:739" s="54" customFormat="1" ht="15" customHeight="1" outlineLevel="1">
      <c r="B255" s="478"/>
      <c r="C255" s="55">
        <v>46236</v>
      </c>
      <c r="D255" s="56"/>
      <c r="E255" s="57">
        <f>SUMPRODUCT(PRODUCE!$B256:$DY256,PRODUCE!$EB$7:$IY$7)</f>
        <v>0</v>
      </c>
      <c r="F255" s="56"/>
      <c r="G255" s="57">
        <f t="shared" ref="G255:G284" si="1743">E255-F255</f>
        <v>0</v>
      </c>
      <c r="H255" s="57">
        <f t="shared" ref="H255:H284" si="1744">H254+D255-F255</f>
        <v>215549.40000000002</v>
      </c>
      <c r="I255" s="289"/>
      <c r="L255" s="55">
        <f t="shared" ref="L255:L284" si="1745">C255</f>
        <v>46236</v>
      </c>
      <c r="M255" s="56"/>
      <c r="N255" s="59">
        <f>SUMPRODUCT(PRODUCE!$B256:$DY256,PRODUCE!$EB$8:$IY$8)</f>
        <v>0</v>
      </c>
      <c r="O255" s="56"/>
      <c r="P255" s="59">
        <f t="shared" ref="P255:P284" si="1746">N255-O255</f>
        <v>0</v>
      </c>
      <c r="Q255" s="59">
        <f t="shared" ref="Q255:Q284" si="1747">Q254+M255-O255</f>
        <v>53017.600000000071</v>
      </c>
      <c r="R255" s="56"/>
      <c r="U255" s="55">
        <f t="shared" ref="U255:U284" si="1748">L255</f>
        <v>46236</v>
      </c>
      <c r="V255" s="56"/>
      <c r="W255" s="60">
        <f>SUMPRODUCT(PRODUCE!$B256:$DY256,PRODUCE!$EB$9:$IY$9)</f>
        <v>0</v>
      </c>
      <c r="X255" s="56"/>
      <c r="Y255" s="60">
        <f t="shared" ref="Y255:Y284" si="1749">W255-X255</f>
        <v>0</v>
      </c>
      <c r="Z255" s="60">
        <f t="shared" ref="Z255:Z284" si="1750">Z254+V255-X255</f>
        <v>42674.199999999968</v>
      </c>
      <c r="AA255" s="56"/>
      <c r="AD255" s="55">
        <f t="shared" ref="AD255:AD284" si="1751">U255</f>
        <v>46236</v>
      </c>
      <c r="AE255" s="56"/>
      <c r="AF255" s="61">
        <f>SUMPRODUCT(PRODUCE!$B256:$DY256,PRODUCE!$EB$10:$IY$10)</f>
        <v>0</v>
      </c>
      <c r="AG255" s="56"/>
      <c r="AH255" s="61">
        <f t="shared" ref="AH255:AH284" si="1752">AF255-AG255</f>
        <v>0</v>
      </c>
      <c r="AI255" s="61">
        <f t="shared" ref="AI255:AI284" si="1753">AI254+AE255-AG255</f>
        <v>4522.2000000000189</v>
      </c>
      <c r="AJ255" s="56"/>
      <c r="AM255" s="55">
        <f t="shared" ref="AM255:AM284" si="1754">AD255</f>
        <v>46236</v>
      </c>
      <c r="AN255" s="422"/>
      <c r="AO255" s="444">
        <f>SUMPRODUCT(PRODUCE!$B256:$DY256,PRODUCE!$EB$11:$IY$11)</f>
        <v>0</v>
      </c>
      <c r="AP255" s="422"/>
      <c r="AQ255" s="444">
        <f t="shared" ref="AQ255:AQ284" si="1755">AO255-AP255</f>
        <v>0</v>
      </c>
      <c r="AR255" s="444">
        <f t="shared" ref="AR255:AR284" si="1756">AR254+AN255-AP255</f>
        <v>0</v>
      </c>
      <c r="AS255" s="56"/>
      <c r="AV255" s="55">
        <f t="shared" ref="AV255:AV284" si="1757">AM255</f>
        <v>46236</v>
      </c>
      <c r="AW255" s="56"/>
      <c r="AX255" s="62">
        <f>SUMPRODUCT(PRODUCE!$B256:$DY256,PRODUCE!$EB$12:$IY$12)</f>
        <v>0</v>
      </c>
      <c r="AY255" s="56"/>
      <c r="AZ255" s="62">
        <f t="shared" ref="AZ255:AZ284" si="1758">AX255-AY255</f>
        <v>0</v>
      </c>
      <c r="BA255" s="62">
        <f t="shared" ref="BA255:BA284" si="1759">BA254+AW255-AY255</f>
        <v>124.99999999999523</v>
      </c>
      <c r="BB255" s="56"/>
      <c r="BE255" s="55">
        <f t="shared" ref="BE255:BE284" si="1760">AV255</f>
        <v>46236</v>
      </c>
      <c r="BF255" s="56"/>
      <c r="BG255" s="63">
        <f>SUMPRODUCT(PRODUCE!$B256:$DY256,PRODUCE!$EB$13:$IY$13)</f>
        <v>0</v>
      </c>
      <c r="BH255" s="56"/>
      <c r="BI255" s="63">
        <f t="shared" ref="BI255:BI284" si="1761">BG255-BH255</f>
        <v>0</v>
      </c>
      <c r="BJ255" s="63">
        <f t="shared" ref="BJ255:BJ284" si="1762">BJ254+BF255-BH255</f>
        <v>26151.899999999998</v>
      </c>
      <c r="BK255" s="56"/>
      <c r="BN255" s="55">
        <f t="shared" ref="BN255:BN284" si="1763">BE255</f>
        <v>46236</v>
      </c>
      <c r="BO255" s="56"/>
      <c r="BP255" s="64">
        <f>SUMPRODUCT(PRODUCE!$B256:$DY256,PRODUCE!$EB$14:$IY$14)</f>
        <v>0</v>
      </c>
      <c r="BQ255" s="56"/>
      <c r="BR255" s="64">
        <f t="shared" ref="BR255:BR284" si="1764">BP255-BQ255</f>
        <v>0</v>
      </c>
      <c r="BS255" s="64">
        <f t="shared" ref="BS255:BS284" si="1765">BS254+BO255-BQ255</f>
        <v>0</v>
      </c>
      <c r="BT255" s="56"/>
      <c r="BW255" s="55">
        <f t="shared" ref="BW255:BW284" si="1766">BN255</f>
        <v>46236</v>
      </c>
      <c r="BX255" s="56"/>
      <c r="BY255" s="65">
        <f>SUMPRODUCT(PRODUCE!$B256:$DY256,PRODUCE!$EB$15:$IY$15)</f>
        <v>0</v>
      </c>
      <c r="BZ255" s="56"/>
      <c r="CA255" s="65">
        <f t="shared" ref="CA255:CA284" si="1767">BY255-BZ255</f>
        <v>0</v>
      </c>
      <c r="CB255" s="65">
        <f t="shared" ref="CB255:CB284" si="1768">CB254+BX255-BZ255</f>
        <v>3322.4999999999986</v>
      </c>
      <c r="CC255" s="56"/>
      <c r="CF255" s="55">
        <f t="shared" ref="CF255:CF284" si="1769">BW255</f>
        <v>46236</v>
      </c>
      <c r="CG255" s="56"/>
      <c r="CH255" s="66">
        <f>SUMPRODUCT(PRODUCE!$B256:$DY256,PRODUCE!$EB$16:$IY$16)</f>
        <v>0</v>
      </c>
      <c r="CI255" s="56"/>
      <c r="CJ255" s="66">
        <f t="shared" ref="CJ255:CJ284" si="1770">CH255-CI255</f>
        <v>0</v>
      </c>
      <c r="CK255" s="66">
        <f t="shared" ref="CK255:CK284" si="1771">CK254+CG255-CI255</f>
        <v>-10277.079999999998</v>
      </c>
      <c r="CL255" s="56"/>
      <c r="CO255" s="55">
        <f t="shared" ref="CO255:CO284" si="1772">CF255</f>
        <v>46236</v>
      </c>
      <c r="CP255" s="422"/>
      <c r="CQ255" s="470">
        <f>SUMPRODUCT(PRODUCE!$B256:$DY256,PRODUCE!$EB$17:$IY$17)</f>
        <v>0</v>
      </c>
      <c r="CR255" s="422"/>
      <c r="CS255" s="470">
        <f t="shared" ref="CS255:CS284" si="1773">CQ255-CR255</f>
        <v>0</v>
      </c>
      <c r="CT255" s="470">
        <f t="shared" ref="CT255:CT284" si="1774">CT254+CP255-CR255</f>
        <v>0</v>
      </c>
      <c r="CU255" s="56"/>
      <c r="CX255" s="55">
        <f t="shared" ref="CX255:CX284" si="1775">CO255</f>
        <v>46236</v>
      </c>
      <c r="CY255" s="56"/>
      <c r="CZ255" s="133">
        <f>SUMPRODUCT(PRODUCE!$B256:$DY256,PRODUCE!$EB$18:$IY$18)</f>
        <v>0</v>
      </c>
      <c r="DA255" s="56"/>
      <c r="DB255" s="133">
        <f t="shared" ref="DB255:DB284" si="1776">CZ255-DA255</f>
        <v>0</v>
      </c>
      <c r="DC255" s="133">
        <f t="shared" ref="DC255:DC284" si="1777">DC254+CY255-DA255</f>
        <v>27438.200000000012</v>
      </c>
      <c r="DD255" s="56"/>
      <c r="DG255" s="55">
        <f t="shared" ref="DG255:DG284" si="1778">CX255</f>
        <v>46236</v>
      </c>
      <c r="DH255" s="56"/>
      <c r="DI255" s="147">
        <f>SUMPRODUCT(PRODUCE!$B256:$DY256,PRODUCE!$EB$19:$IY$19)</f>
        <v>0</v>
      </c>
      <c r="DJ255" s="56"/>
      <c r="DK255" s="147">
        <f t="shared" ref="DK255:DK284" si="1779">DI255-DJ255</f>
        <v>0</v>
      </c>
      <c r="DL255" s="147">
        <f t="shared" ref="DL255:DL284" si="1780">DL254+DH255-DJ255</f>
        <v>18782.299999999981</v>
      </c>
      <c r="DM255" s="56"/>
      <c r="DP255" s="55">
        <f t="shared" ref="DP255:DP284" si="1781">DG255</f>
        <v>46236</v>
      </c>
      <c r="DQ255" s="56"/>
      <c r="DR255" s="57">
        <f>SUMPRODUCT(PRODUCE!$B256:$DY256,PRODUCE!$EB$20:$IY$20)</f>
        <v>0</v>
      </c>
      <c r="DS255" s="56"/>
      <c r="DT255" s="57">
        <f t="shared" ref="DT255:DT284" si="1782">DR255-DS255</f>
        <v>0</v>
      </c>
      <c r="DU255" s="57">
        <f t="shared" ref="DU255:DU284" si="1783">DU254+DQ255-DS255</f>
        <v>5800</v>
      </c>
      <c r="DV255" s="56"/>
      <c r="DY255" s="55">
        <f t="shared" ref="DY255:DY284" si="1784">DP255</f>
        <v>46236</v>
      </c>
      <c r="DZ255" s="56"/>
      <c r="EA255" s="157">
        <f>SUMPRODUCT(PRODUCE!$B256:$DY256,PRODUCE!$EB$21:$IY$21)</f>
        <v>0</v>
      </c>
      <c r="EB255" s="56"/>
      <c r="EC255" s="157">
        <f t="shared" ref="EC255:EC284" si="1785">EA255-EB255</f>
        <v>0</v>
      </c>
      <c r="ED255" s="157">
        <f t="shared" ref="ED255:ED284" si="1786">ED254+DZ255-EB255</f>
        <v>0</v>
      </c>
      <c r="EE255" s="56"/>
      <c r="EH255" s="55">
        <f t="shared" ref="EH255:EH284" si="1787">DY255</f>
        <v>46236</v>
      </c>
      <c r="EI255" s="56"/>
      <c r="EJ255" s="162">
        <f>SUMPRODUCT(PRODUCE!$B256:$DY256,PRODUCE!$EB$22:$IY$22)</f>
        <v>0</v>
      </c>
      <c r="EK255" s="56"/>
      <c r="EL255" s="162">
        <f t="shared" ref="EL255:EL284" si="1788">EJ255-EK255</f>
        <v>0</v>
      </c>
      <c r="EM255" s="162">
        <f t="shared" ref="EM255:EM284" si="1789">EM254+EI255-EK255</f>
        <v>0</v>
      </c>
      <c r="EN255" s="56"/>
      <c r="EQ255" s="55">
        <f t="shared" ref="EQ255:EQ284" si="1790">EH255</f>
        <v>46236</v>
      </c>
      <c r="ER255" s="56"/>
      <c r="ES255" s="135">
        <f>SUMPRODUCT(PRODUCE!$B256:$DY256,PRODUCE!$EB$23:$IY$23)</f>
        <v>0</v>
      </c>
      <c r="ET255" s="56"/>
      <c r="EU255" s="135">
        <f t="shared" ref="EU255:EU284" si="1791">ES255-ET255</f>
        <v>0</v>
      </c>
      <c r="EV255" s="135">
        <f t="shared" ref="EV255:EV284" si="1792">EV254+ER255-ET255</f>
        <v>0</v>
      </c>
      <c r="EW255" s="56"/>
      <c r="EZ255" s="55">
        <f t="shared" ref="EZ255:EZ284" si="1793">EQ255</f>
        <v>46236</v>
      </c>
      <c r="FA255" s="56"/>
      <c r="FB255" s="175">
        <f>SUMPRODUCT(PRODUCE!$B256:$DY256,PRODUCE!$EB$24:$IY$24)</f>
        <v>0</v>
      </c>
      <c r="FC255" s="56"/>
      <c r="FD255" s="175">
        <f t="shared" ref="FD255:FD284" si="1794">FB255-FC255</f>
        <v>0</v>
      </c>
      <c r="FE255" s="175">
        <f t="shared" ref="FE255:FE284" si="1795">FE254+FA255-FC255</f>
        <v>0</v>
      </c>
      <c r="FF255" s="56"/>
      <c r="FI255" s="55">
        <f t="shared" ref="FI255:FI284" si="1796">EZ255</f>
        <v>46236</v>
      </c>
      <c r="FJ255" s="56"/>
      <c r="FK255" s="183">
        <f>SUMPRODUCT(PRODUCE!$B256:$DY256,PRODUCE!$EB$25:$IY$25)</f>
        <v>0</v>
      </c>
      <c r="FL255" s="56"/>
      <c r="FM255" s="183">
        <f t="shared" ref="FM255:FM284" si="1797">FK255-FL255</f>
        <v>0</v>
      </c>
      <c r="FN255" s="183">
        <f t="shared" ref="FN255:FN284" si="1798">FN254+FJ255-FL255</f>
        <v>0</v>
      </c>
      <c r="FO255" s="56"/>
      <c r="FR255" s="55">
        <f t="shared" ref="FR255:FR284" si="1799">FI255</f>
        <v>46236</v>
      </c>
      <c r="FS255" s="56"/>
      <c r="FT255" s="186">
        <f>SUMPRODUCT(PRODUCE!$B256:$DY256,PRODUCE!$EB$26:$IY$26)</f>
        <v>0</v>
      </c>
      <c r="FU255" s="56"/>
      <c r="FV255" s="186">
        <f t="shared" ref="FV255:FV284" si="1800">FT255-FU255</f>
        <v>0</v>
      </c>
      <c r="FW255" s="186">
        <f t="shared" ref="FW255:FW284" si="1801">FW254+FS255-FU255</f>
        <v>540</v>
      </c>
      <c r="FX255" s="56"/>
      <c r="GA255" s="55">
        <f t="shared" ref="GA255:GA284" si="1802">FR255</f>
        <v>46236</v>
      </c>
      <c r="GB255" s="56"/>
      <c r="GC255" s="137">
        <f>SUMPRODUCT(PRODUCE!$B256:$DY256,PRODUCE!$EB$27:$IY$27)</f>
        <v>0</v>
      </c>
      <c r="GD255" s="56"/>
      <c r="GE255" s="137">
        <f t="shared" ref="GE255:GE284" si="1803">GC255-GD255</f>
        <v>0</v>
      </c>
      <c r="GF255" s="137">
        <f t="shared" ref="GF255:GF284" si="1804">GF254+GB255-GD255</f>
        <v>960</v>
      </c>
      <c r="GG255" s="56"/>
      <c r="GI255" s="23"/>
      <c r="GJ255" s="55">
        <f t="shared" ref="GJ255:GJ284" si="1805">GA255</f>
        <v>46236</v>
      </c>
      <c r="GK255" s="56"/>
      <c r="GL255" s="199">
        <f>SUMPRODUCT(PRODUCE!$B256:$DY256,PRODUCE!$EB$28:$IY$28)</f>
        <v>0</v>
      </c>
      <c r="GM255" s="56"/>
      <c r="GN255" s="199">
        <f t="shared" ref="GN255:GN284" si="1806">GL255-GM255</f>
        <v>0</v>
      </c>
      <c r="GO255" s="199">
        <f t="shared" ref="GO255:GO284" si="1807">GO254+GK255-GM255</f>
        <v>1760</v>
      </c>
      <c r="GP255" s="56"/>
      <c r="GS255" s="55">
        <f t="shared" ref="GS255:GS284" si="1808">GJ255</f>
        <v>46236</v>
      </c>
      <c r="GT255" s="56"/>
      <c r="GU255" s="195">
        <f>SUMPRODUCT(PRODUCE!$B256:$DY256,PRODUCE!$EB$29:$IY$29)</f>
        <v>0</v>
      </c>
      <c r="GV255" s="56"/>
      <c r="GW255" s="195">
        <f t="shared" ref="GW255:GW284" si="1809">GU255-GV255</f>
        <v>0</v>
      </c>
      <c r="GX255" s="195">
        <f t="shared" ref="GX255:GX284" si="1810">GX254+GT255-GV255</f>
        <v>400</v>
      </c>
      <c r="GY255" s="56"/>
      <c r="HB255" s="55">
        <f t="shared" ref="HB255:HB284" si="1811">GS255</f>
        <v>46236</v>
      </c>
      <c r="HC255" s="56"/>
      <c r="HD255" s="191">
        <f>SUMPRODUCT(PRODUCE!$B256:$DY256,PRODUCE!$EB$30:$IY$30)</f>
        <v>0</v>
      </c>
      <c r="HE255" s="56"/>
      <c r="HF255" s="191">
        <f t="shared" ref="HF255:HF284" si="1812">HD255-HE255</f>
        <v>0</v>
      </c>
      <c r="HG255" s="191">
        <f t="shared" ref="HG255:HG284" si="1813">HG254+HC255-HE255</f>
        <v>3600</v>
      </c>
      <c r="HH255" s="56"/>
      <c r="HK255" s="55">
        <f t="shared" ref="HK255:HK284" si="1814">HB255</f>
        <v>46236</v>
      </c>
      <c r="HL255" s="56"/>
      <c r="HM255" s="63">
        <f>SUMPRODUCT(PRODUCE!$B256:$DY256,PRODUCE!$EB$31:$IY$31)</f>
        <v>0</v>
      </c>
      <c r="HN255" s="56"/>
      <c r="HO255" s="63">
        <f t="shared" ref="HO255:HO284" si="1815">HM255-HN255</f>
        <v>0</v>
      </c>
      <c r="HP255" s="63">
        <f t="shared" ref="HP255:HP284" si="1816">HP254+HL255-HN255</f>
        <v>0</v>
      </c>
      <c r="HQ255" s="56"/>
      <c r="HU255" s="55">
        <f t="shared" ref="HU255:HU284" si="1817">HK255</f>
        <v>46236</v>
      </c>
      <c r="HV255" s="56"/>
      <c r="HW255" s="242">
        <f>SUMPRODUCT(PRODUCE!$B256:$DY256,PRODUCE!$EB$32:$IY$32)</f>
        <v>0</v>
      </c>
      <c r="HX255" s="56"/>
      <c r="HY255" s="242">
        <f t="shared" ref="HY255:HY284" si="1818">HW255-HX255</f>
        <v>0</v>
      </c>
      <c r="HZ255" s="242">
        <f t="shared" ref="HZ255:HZ284" si="1819">HZ254+HV255-HX255</f>
        <v>5920</v>
      </c>
      <c r="IA255" s="56"/>
      <c r="ID255" s="55">
        <f t="shared" ref="ID255:ID284" si="1820">HU255</f>
        <v>46236</v>
      </c>
      <c r="IE255" s="56"/>
      <c r="IF255" s="242">
        <f>SUMPRODUCT(PRODUCE!$B256:$DY256,PRODUCE!$EB$33:$IY$33)</f>
        <v>0</v>
      </c>
      <c r="IG255" s="56"/>
      <c r="IH255" s="242">
        <f t="shared" ref="IH255:IH284" si="1821">IF255-IG255</f>
        <v>0</v>
      </c>
      <c r="II255" s="242">
        <f t="shared" ref="II255:II284" si="1822">II254+IE255-IG255</f>
        <v>720</v>
      </c>
      <c r="IJ255" s="56"/>
      <c r="IM255" s="55">
        <f t="shared" ref="IM255:IM284" si="1823">ID255</f>
        <v>46236</v>
      </c>
      <c r="IN255" s="56"/>
      <c r="IO255" s="242">
        <f>SUMPRODUCT(PRODUCE!$B256:$DY256,PRODUCE!$EB$34:$IY$34)</f>
        <v>0</v>
      </c>
      <c r="IP255" s="56"/>
      <c r="IQ255" s="242">
        <f t="shared" ref="IQ255:IQ284" si="1824">IO255-IP255</f>
        <v>0</v>
      </c>
      <c r="IR255" s="242">
        <f t="shared" ref="IR255:IR284" si="1825">IR254+IN255-IP255</f>
        <v>1680</v>
      </c>
      <c r="IS255" s="56"/>
      <c r="IV255" s="55">
        <f t="shared" ref="IV255:IV284" si="1826">IM255</f>
        <v>46236</v>
      </c>
      <c r="IW255" s="56"/>
      <c r="IX255" s="242">
        <f>SUMPRODUCT(PRODUCE!$B256:$DY256,PRODUCE!$EB$35:$IY$35)</f>
        <v>0</v>
      </c>
      <c r="IY255" s="56"/>
      <c r="IZ255" s="242">
        <f t="shared" ref="IZ255:IZ284" si="1827">IX255-IY255</f>
        <v>0</v>
      </c>
      <c r="JA255" s="242">
        <f t="shared" ref="JA255:JA284" si="1828">JA254+IW255-IY255</f>
        <v>4960</v>
      </c>
      <c r="JB255" s="56"/>
      <c r="JE255" s="55">
        <f t="shared" ref="JE255:JE284" si="1829">IV255</f>
        <v>46236</v>
      </c>
      <c r="JF255" s="56"/>
      <c r="JG255" s="242">
        <f>SUMPRODUCT(PRODUCE!$B256:$DY256,PRODUCE!$EB$36:$IY$36)</f>
        <v>0</v>
      </c>
      <c r="JH255" s="56"/>
      <c r="JI255" s="242">
        <f t="shared" ref="JI255:JI284" si="1830">JG255-JH255</f>
        <v>0</v>
      </c>
      <c r="JJ255" s="242">
        <f t="shared" ref="JJ255:JJ284" si="1831">JJ254+JF255-JH255</f>
        <v>0</v>
      </c>
      <c r="JK255" s="56"/>
      <c r="JN255" s="55">
        <f t="shared" ref="JN255:JN284" si="1832">JE255</f>
        <v>46236</v>
      </c>
      <c r="JO255" s="56"/>
      <c r="JP255" s="242">
        <f>SUMPRODUCT(PRODUCE!$B256:$DY256,PRODUCE!$EB$37:$IY$37)</f>
        <v>0</v>
      </c>
      <c r="JQ255" s="56"/>
      <c r="JR255" s="242">
        <f t="shared" ref="JR255:JR284" si="1833">JP255-JQ255</f>
        <v>0</v>
      </c>
      <c r="JS255" s="242">
        <f t="shared" ref="JS255:JS284" si="1834">JS254+JO255-JQ255</f>
        <v>0</v>
      </c>
      <c r="JT255" s="56"/>
      <c r="JW255" s="55">
        <f t="shared" ref="JW255:JW284" si="1835">JN255</f>
        <v>46236</v>
      </c>
      <c r="JX255" s="56"/>
      <c r="JY255" s="242">
        <f>SUMPRODUCT(PRODUCE!$B256:$DY256,PRODUCE!$EB$38:$IY$38)</f>
        <v>0</v>
      </c>
      <c r="JZ255" s="56"/>
      <c r="KA255" s="242">
        <f t="shared" ref="KA255:KA284" si="1836">JY255-JZ255</f>
        <v>0</v>
      </c>
      <c r="KB255" s="242">
        <f t="shared" ref="KB255:KB284" si="1837">KB254+JX255-JZ255</f>
        <v>2540</v>
      </c>
      <c r="KC255" s="56"/>
      <c r="KF255" s="55">
        <f t="shared" ref="KF255:KF284" si="1838">JW255</f>
        <v>46236</v>
      </c>
      <c r="KG255" s="56"/>
      <c r="KH255" s="242">
        <f>SUMPRODUCT(PRODUCE!$B256:$DY256,PRODUCE!$EB$39:$IY$39)</f>
        <v>0</v>
      </c>
      <c r="KI255" s="56"/>
      <c r="KJ255" s="242">
        <f t="shared" ref="KJ255:KJ284" si="1839">KH255-KI255</f>
        <v>0</v>
      </c>
      <c r="KK255" s="242">
        <f t="shared" ref="KK255:KK284" si="1840">KK254+KG255-KI255</f>
        <v>2359.5</v>
      </c>
      <c r="KL255" s="56"/>
      <c r="KO255" s="55">
        <f t="shared" ref="KO255:KO284" si="1841">KF255</f>
        <v>46236</v>
      </c>
      <c r="KP255" s="56"/>
      <c r="KQ255" s="242">
        <f>SUMPRODUCT(PRODUCE!$B256:$DY256,PRODUCE!$EB$40:$IY$40)</f>
        <v>0</v>
      </c>
      <c r="KR255" s="56"/>
      <c r="KS255" s="242">
        <f t="shared" ref="KS255:KS284" si="1842">KQ255-KR255</f>
        <v>0</v>
      </c>
      <c r="KT255" s="242">
        <f t="shared" ref="KT255:KT284" si="1843">KT254+KP255-KR255</f>
        <v>1890</v>
      </c>
      <c r="KU255" s="56"/>
      <c r="KW255" s="23"/>
      <c r="KX255" s="55">
        <f t="shared" ref="KX255:KX284" si="1844">KO255</f>
        <v>46236</v>
      </c>
      <c r="KY255" s="56"/>
      <c r="KZ255" s="242">
        <f>SUMPRODUCT(PRODUCE!$B256:$DY256,PRODUCE!$EB$41:$IY$41)</f>
        <v>0</v>
      </c>
      <c r="LA255" s="56"/>
      <c r="LB255" s="242">
        <f t="shared" ref="LB255:LB284" si="1845">KZ255-LA255</f>
        <v>0</v>
      </c>
      <c r="LC255" s="242">
        <f t="shared" ref="LC255:LC284" si="1846">LC254+KY255-LA255</f>
        <v>3690</v>
      </c>
      <c r="LD255" s="56"/>
      <c r="LG255" s="55">
        <f t="shared" ref="LG255:LG284" si="1847">KX255</f>
        <v>46236</v>
      </c>
      <c r="LH255" s="56"/>
      <c r="LI255" s="242">
        <f>SUMPRODUCT(PRODUCE!$B256:$DY256,PRODUCE!$EB$42:$IY$42)</f>
        <v>0</v>
      </c>
      <c r="LJ255" s="56"/>
      <c r="LK255" s="242">
        <f t="shared" ref="LK255:LK284" si="1848">LI255-LJ255</f>
        <v>0</v>
      </c>
      <c r="LL255" s="242">
        <f t="shared" ref="LL255:LL284" si="1849">LL254+LH255-LJ255</f>
        <v>4000</v>
      </c>
      <c r="LM255" s="56"/>
      <c r="LP255" s="55">
        <f t="shared" ref="LP255:LP284" si="1850">LG255</f>
        <v>46236</v>
      </c>
      <c r="LQ255" s="56"/>
      <c r="LR255" s="242">
        <f>SUMPRODUCT(PRODUCE!$B270:$DY270,PRODUCE!$EB$43:$IY$43)</f>
        <v>0</v>
      </c>
      <c r="LS255" s="56"/>
      <c r="LT255" s="242">
        <f t="shared" ref="LT255:LT284" si="1851">LR255-LS255</f>
        <v>0</v>
      </c>
      <c r="LU255" s="242">
        <f t="shared" ref="LU255:LU284" si="1852">LU254+LQ255-LS255</f>
        <v>0</v>
      </c>
      <c r="LV255" s="56"/>
      <c r="LY255" s="55">
        <f t="shared" ref="LY255:LY284" si="1853">LP255</f>
        <v>46236</v>
      </c>
      <c r="LZ255" s="56"/>
      <c r="MA255" s="242">
        <f>SUMPRODUCT(PRODUCE!$B256:$DY256,PRODUCE!$EB$44:$IY$44)</f>
        <v>0</v>
      </c>
      <c r="MB255" s="56"/>
      <c r="MC255" s="242">
        <f t="shared" ref="MC255:MC284" si="1854">MA255-MB255</f>
        <v>0</v>
      </c>
      <c r="MD255" s="242">
        <f t="shared" ref="MD255:MD284" si="1855">MD254+LZ255-MB255</f>
        <v>0</v>
      </c>
      <c r="ME255" s="56"/>
      <c r="MH255" s="55">
        <f t="shared" ref="MH255:MH284" si="1856">LY255</f>
        <v>46236</v>
      </c>
      <c r="MI255" s="56"/>
      <c r="MJ255" s="242">
        <f>SUMPRODUCT(PRODUCE!$B256:$DY256,PRODUCE!$EB$45:$IY$45)</f>
        <v>0</v>
      </c>
      <c r="MK255" s="56"/>
      <c r="ML255" s="242">
        <f t="shared" ref="ML255:ML284" si="1857">MJ255-MK255</f>
        <v>0</v>
      </c>
      <c r="MM255" s="242">
        <f t="shared" ref="MM255:MM284" si="1858">MM254+MI255-MK255</f>
        <v>0</v>
      </c>
      <c r="MN255" s="56"/>
      <c r="MQ255" s="55">
        <f t="shared" ref="MQ255:MQ284" si="1859">MH255</f>
        <v>46236</v>
      </c>
      <c r="MR255" s="56"/>
      <c r="MS255" s="242">
        <f>SUMPRODUCT(PRODUCE!$B256:$DY256,PRODUCE!$EB$46:$IY$46)</f>
        <v>0</v>
      </c>
      <c r="MT255" s="56"/>
      <c r="MU255" s="242">
        <f t="shared" ref="MU255:MU284" si="1860">MS255-MT255</f>
        <v>0</v>
      </c>
      <c r="MV255" s="242">
        <f t="shared" ref="MV255:MV284" si="1861">MV254+MR255-MT255</f>
        <v>2216</v>
      </c>
      <c r="MW255" s="56"/>
      <c r="MZ255" s="55">
        <f t="shared" ref="MZ255:MZ284" si="1862">MQ255</f>
        <v>46236</v>
      </c>
      <c r="NA255" s="56"/>
      <c r="NB255" s="242">
        <f>SUMPRODUCT(PRODUCE!$B256:$DY256,PRODUCE!$EB$47:$IY$47)</f>
        <v>0</v>
      </c>
      <c r="NC255" s="56"/>
      <c r="ND255" s="242">
        <f t="shared" ref="ND255:ND284" si="1863">NB255-NC255</f>
        <v>0</v>
      </c>
      <c r="NE255" s="242">
        <f t="shared" ref="NE255:NE284" si="1864">NE254+NA255-NC255</f>
        <v>0</v>
      </c>
      <c r="NF255" s="56"/>
      <c r="NI255" s="55">
        <f t="shared" ref="NI255:NI284" si="1865">MZ255</f>
        <v>46236</v>
      </c>
      <c r="NJ255" s="56"/>
      <c r="NK255" s="242">
        <f>SUMPRODUCT(PRODUCE!$B256:$DY256,PRODUCE!$EB$48:$IY$48)</f>
        <v>0</v>
      </c>
      <c r="NL255" s="56"/>
      <c r="NM255" s="242">
        <f t="shared" ref="NM255:NM284" si="1866">NK255-NL255</f>
        <v>0</v>
      </c>
      <c r="NN255" s="242">
        <f t="shared" ref="NN255:NN284" si="1867">NN254+NJ255-NL255</f>
        <v>1127</v>
      </c>
      <c r="NO255" s="56"/>
      <c r="NR255" s="55">
        <f t="shared" ref="NR255:NR284" si="1868">MZ255</f>
        <v>46236</v>
      </c>
      <c r="NS255" s="56"/>
      <c r="NT255" s="242">
        <f>SUMPRODUCT(PRODUCE!$B256:$DY256,PRODUCE!$EB$49:$IY$49)</f>
        <v>0</v>
      </c>
      <c r="NU255" s="56"/>
      <c r="NV255" s="242">
        <f t="shared" ref="NV255:NV284" si="1869">NT255-NU255</f>
        <v>0</v>
      </c>
      <c r="NW255" s="242">
        <f t="shared" ref="NW255:NW284" si="1870">NW254+NS255-NU255</f>
        <v>3111.9999999999995</v>
      </c>
      <c r="NX255" s="56"/>
      <c r="OA255" s="55">
        <f t="shared" ref="OA255:OA284" si="1871">NR255</f>
        <v>46236</v>
      </c>
      <c r="OB255" s="56"/>
      <c r="OC255" s="242">
        <f>SUMPRODUCT(PRODUCE!$B256:$DY256,PRODUCE!$EB$50:$IY$50)</f>
        <v>0</v>
      </c>
      <c r="OD255" s="56"/>
      <c r="OE255" s="242">
        <f t="shared" ref="OE255:OE284" si="1872">OC255-OD255</f>
        <v>0</v>
      </c>
      <c r="OF255" s="242">
        <f t="shared" ref="OF255:OF284" si="1873">OF254+OB255-OD255</f>
        <v>1680.5</v>
      </c>
      <c r="OG255" s="56"/>
      <c r="OJ255" s="55">
        <f t="shared" ref="OJ255:OJ284" si="1874">OA255</f>
        <v>46236</v>
      </c>
      <c r="OK255" s="56"/>
      <c r="OL255" s="242">
        <f>SUMPRODUCT(PRODUCE!$B256:$DY256,PRODUCE!$EB$51:$IY$51)</f>
        <v>0</v>
      </c>
      <c r="OM255" s="56"/>
      <c r="ON255" s="242">
        <f t="shared" ref="ON255:ON284" si="1875">OL255-OM255</f>
        <v>0</v>
      </c>
      <c r="OO255" s="242">
        <f t="shared" ref="OO255:OO284" si="1876">OO254+OK255-OM255</f>
        <v>0</v>
      </c>
      <c r="OP255" s="56"/>
      <c r="OS255" s="55">
        <f t="shared" ref="OS255:OS284" si="1877">OJ255</f>
        <v>46236</v>
      </c>
      <c r="OT255" s="56"/>
      <c r="OU255" s="242">
        <f>SUMPRODUCT(PRODUCE!$B256:$DY256,PRODUCE!$EB$52:$IY$52)</f>
        <v>0</v>
      </c>
      <c r="OV255" s="56"/>
      <c r="OW255" s="242">
        <f t="shared" ref="OW255:OW284" si="1878">OU255-OV255</f>
        <v>0</v>
      </c>
      <c r="OX255" s="242">
        <f t="shared" ref="OX255:OX284" si="1879">OX254+OT255-OV255</f>
        <v>1482</v>
      </c>
      <c r="OY255" s="56"/>
      <c r="PB255" s="55">
        <f t="shared" ref="PB255:PB284" si="1880">OS255</f>
        <v>46236</v>
      </c>
      <c r="PC255" s="56"/>
      <c r="PD255" s="242">
        <f>SUMPRODUCT(PRODUCE!$B256:$DY256,PRODUCE!$EB$53:$IY$53)</f>
        <v>0</v>
      </c>
      <c r="PE255" s="56"/>
      <c r="PF255" s="242">
        <f t="shared" ref="PF255:PF284" si="1881">PD255-PE255</f>
        <v>0</v>
      </c>
      <c r="PG255" s="242">
        <f t="shared" ref="PG255:PG284" si="1882">PG254+PC255-PE255</f>
        <v>0</v>
      </c>
      <c r="PH255" s="56"/>
      <c r="PK255" s="55">
        <f t="shared" ref="PK255:PK284" si="1883">PB255</f>
        <v>46236</v>
      </c>
      <c r="PL255" s="56"/>
      <c r="PM255" s="242">
        <f>SUMPRODUCT(PRODUCE!$B256:$DY256,PRODUCE!$EB$54:$IY$54)</f>
        <v>0</v>
      </c>
      <c r="PN255" s="56"/>
      <c r="PO255" s="242">
        <f t="shared" ref="PO255:PO284" si="1884">PM255-PN255</f>
        <v>0</v>
      </c>
      <c r="PP255" s="242">
        <f t="shared" ref="PP255:PP284" si="1885">PP254+PL255-PN255</f>
        <v>100</v>
      </c>
      <c r="PQ255" s="56"/>
      <c r="PT255" s="55">
        <f t="shared" ref="PT255:PT284" si="1886">PK255</f>
        <v>46236</v>
      </c>
      <c r="PU255" s="56"/>
      <c r="PV255" s="242">
        <f>SUMPRODUCT(PRODUCE!$B256:$DY256,PRODUCE!$EB$55:$IY$55)</f>
        <v>0</v>
      </c>
      <c r="PW255" s="56"/>
      <c r="PX255" s="242">
        <f t="shared" ref="PX255:PX284" si="1887">PV255-PW255</f>
        <v>0</v>
      </c>
      <c r="PY255" s="242">
        <f t="shared" ref="PY255:PY284" si="1888">PY254+PU255-PW255</f>
        <v>13.960000000000036</v>
      </c>
      <c r="PZ255" s="56"/>
      <c r="QC255" s="55">
        <f t="shared" ref="QC255:QC284" si="1889">PT255</f>
        <v>46236</v>
      </c>
      <c r="QD255" s="56"/>
      <c r="QE255" s="242">
        <f>SUMPRODUCT(PRODUCE!$B256:$DY256,PRODUCE!$EB$56:$IY$56)</f>
        <v>0</v>
      </c>
      <c r="QF255" s="56"/>
      <c r="QG255" s="242">
        <f t="shared" ref="QG255:QG284" si="1890">QE255-QF255</f>
        <v>0</v>
      </c>
      <c r="QH255" s="242">
        <f t="shared" ref="QH255:QH284" si="1891">QH254+QD255-QF255</f>
        <v>1284</v>
      </c>
      <c r="QI255" s="56"/>
      <c r="QL255" s="55">
        <f t="shared" ref="QL255:QL284" si="1892">QC255</f>
        <v>46236</v>
      </c>
      <c r="QM255" s="56"/>
      <c r="QN255" s="242">
        <f>SUMPRODUCT(PRODUCE!$B256:$DY256,PRODUCE!$EB$57:$IY$57)</f>
        <v>0</v>
      </c>
      <c r="QO255" s="56"/>
      <c r="QP255" s="242">
        <f t="shared" ref="QP255:QP284" si="1893">QN255-QO255</f>
        <v>0</v>
      </c>
      <c r="QQ255" s="242">
        <f t="shared" ref="QQ255:QQ284" si="1894">QQ254+QM255-QO255</f>
        <v>0</v>
      </c>
      <c r="QR255" s="56"/>
      <c r="QU255" s="55">
        <f t="shared" ref="QU255:QU284" si="1895">QL255</f>
        <v>46236</v>
      </c>
      <c r="QV255" s="56"/>
      <c r="QW255" s="242">
        <f>SUMPRODUCT(PRODUCE!$B256:$DY256,PRODUCE!$EB$57:$IY$57)</f>
        <v>0</v>
      </c>
      <c r="QX255" s="56"/>
      <c r="QY255" s="242">
        <f t="shared" ref="QY255:QY284" si="1896">QW255-QX255</f>
        <v>0</v>
      </c>
      <c r="QZ255" s="242">
        <f t="shared" ref="QZ255:QZ284" si="1897">QZ254+QV255-QX255</f>
        <v>207.6</v>
      </c>
      <c r="RA255" s="56"/>
      <c r="RD255" s="55">
        <f t="shared" ref="RD255:RD284" si="1898">QU255</f>
        <v>46236</v>
      </c>
      <c r="RE255" s="56"/>
      <c r="RF255" s="242">
        <f>SUMPRODUCT(PRODUCE!$B256:$DY256,PRODUCE!$EB$58:$IY$58)</f>
        <v>0</v>
      </c>
      <c r="RG255" s="56"/>
      <c r="RH255" s="242">
        <f t="shared" ref="RH255:RH284" si="1899">RF255-RG255</f>
        <v>0</v>
      </c>
      <c r="RI255" s="242">
        <f t="shared" ref="RI255:RI284" si="1900">RI254+RE255-RG255</f>
        <v>147.04000000000002</v>
      </c>
      <c r="RJ255" s="56"/>
      <c r="RM255" s="55">
        <f t="shared" ref="RM255:RM284" si="1901">RD255</f>
        <v>46236</v>
      </c>
      <c r="RN255" s="56"/>
      <c r="RO255" s="242">
        <f>SUMPRODUCT(PRODUCE!$B256:$DY256,PRODUCE!$EB$59:$IY$59)</f>
        <v>0</v>
      </c>
      <c r="RP255" s="56"/>
      <c r="RQ255" s="242">
        <f t="shared" ref="RQ255:RQ284" si="1902">RO255-RP255</f>
        <v>0</v>
      </c>
      <c r="RR255" s="242">
        <f t="shared" ref="RR255:RR284" si="1903">RR254+RN255-RP255</f>
        <v>46.8</v>
      </c>
      <c r="RS255" s="56"/>
      <c r="RV255" s="55">
        <f t="shared" ref="RV255:RV284" si="1904">RM255</f>
        <v>46236</v>
      </c>
      <c r="RW255" s="56"/>
      <c r="RX255" s="242">
        <f>SUMPRODUCT(PRODUCE!$B256:$DY256,PRODUCE!$EB$57:$IY$57)</f>
        <v>0</v>
      </c>
      <c r="RY255" s="56"/>
      <c r="RZ255" s="242">
        <f t="shared" ref="RZ255:RZ284" si="1905">RX255-RY255</f>
        <v>0</v>
      </c>
      <c r="SA255" s="242">
        <f t="shared" ref="SA255:SA284" si="1906">SA254+RW255-RY255</f>
        <v>0</v>
      </c>
      <c r="SB255" s="56"/>
      <c r="SE255" s="55">
        <f t="shared" ref="SE255:SE284" si="1907">RV255</f>
        <v>46236</v>
      </c>
      <c r="SF255" s="56"/>
      <c r="SG255" s="242">
        <f>SUMPRODUCT(PRODUCE!$B256:$DY256,PRODUCE!$EB$61:$IY$61)</f>
        <v>0</v>
      </c>
      <c r="SH255" s="56"/>
      <c r="SI255" s="242">
        <f t="shared" ref="SI255:SI284" si="1908">SG255-SH255</f>
        <v>0</v>
      </c>
      <c r="SJ255" s="242">
        <f t="shared" ref="SJ255:SJ284" si="1909">SJ254+SF255-SH255</f>
        <v>24.200000000000003</v>
      </c>
      <c r="SK255" s="56"/>
      <c r="SN255" s="55">
        <f t="shared" ref="SN255:SN284" si="1910">SE255</f>
        <v>46236</v>
      </c>
      <c r="SO255" s="56"/>
      <c r="SP255" s="242">
        <f>SUMPRODUCT(PRODUCE!$B256:$DY256,PRODUCE!$EB$62:$IY$62)</f>
        <v>0</v>
      </c>
      <c r="SQ255" s="56"/>
      <c r="SR255" s="242">
        <f t="shared" ref="SR255:SR284" si="1911">SP255-SQ255</f>
        <v>0</v>
      </c>
      <c r="SS255" s="242">
        <f t="shared" ref="SS255:SS284" si="1912">SS254+SO255-SQ255</f>
        <v>32</v>
      </c>
      <c r="ST255" s="56"/>
      <c r="SW255" s="55">
        <f t="shared" ref="SW255:SW284" si="1913">SN255</f>
        <v>46236</v>
      </c>
      <c r="SX255" s="56"/>
      <c r="SY255" s="242">
        <f>SUMPRODUCT(PRODUCE!$B256:$DY256,PRODUCE!$EB$57:$IY$57)</f>
        <v>0</v>
      </c>
      <c r="SZ255" s="56"/>
      <c r="TA255" s="242">
        <f t="shared" ref="TA255:TA284" si="1914">SY255-SZ255</f>
        <v>0</v>
      </c>
      <c r="TB255" s="242">
        <f t="shared" ref="TB255:TB284" si="1915">TB254+SX255-SZ255</f>
        <v>0</v>
      </c>
      <c r="TC255" s="56"/>
      <c r="TF255" s="55">
        <f t="shared" ref="TF255:TF284" si="1916">SW255</f>
        <v>46236</v>
      </c>
      <c r="TG255" s="56"/>
      <c r="TH255" s="242">
        <f>SUMPRODUCT(PRODUCE!$B256:$DY256,PRODUCE!$EB$57:$IY$57)</f>
        <v>0</v>
      </c>
      <c r="TI255" s="56"/>
      <c r="TJ255" s="242">
        <f t="shared" ref="TJ255:TJ284" si="1917">TH255-TI255</f>
        <v>0</v>
      </c>
      <c r="TK255" s="242">
        <f t="shared" ref="TK255:TK284" si="1918">TK254+TG255-TI255</f>
        <v>0</v>
      </c>
      <c r="TL255" s="56"/>
      <c r="TO255" s="55">
        <f t="shared" ref="TO255:TO284" si="1919">TF255</f>
        <v>46236</v>
      </c>
      <c r="TP255" s="56"/>
      <c r="TQ255" s="242">
        <f>SUMPRODUCT(PRODUCE!$B256:$DY256,PRODUCE!$EB$57:$IY$57)</f>
        <v>0</v>
      </c>
      <c r="TR255" s="56"/>
      <c r="TS255" s="242">
        <f t="shared" ref="TS255:TS284" si="1920">TQ255-TR255</f>
        <v>0</v>
      </c>
      <c r="TT255" s="242">
        <f t="shared" ref="TT255:TT284" si="1921">TT254+TP255-TR255</f>
        <v>10.400000000000006</v>
      </c>
      <c r="TU255" s="56"/>
      <c r="TX255" s="55">
        <f t="shared" ref="TX255:TX284" si="1922">TO255</f>
        <v>46236</v>
      </c>
      <c r="TY255" s="56"/>
      <c r="TZ255" s="242">
        <f>SUMPRODUCT(PRODUCE!$B256:$DY256,PRODUCE!$EB$57:$IY$57)</f>
        <v>0</v>
      </c>
      <c r="UA255" s="56"/>
      <c r="UB255" s="242">
        <f t="shared" ref="UB255:UB284" si="1923">TZ255-UA255</f>
        <v>0</v>
      </c>
      <c r="UC255" s="242">
        <f t="shared" ref="UC255:UC284" si="1924">UC254+TY255-UA255</f>
        <v>46.799999999999983</v>
      </c>
      <c r="UD255" s="56"/>
      <c r="UG255" s="55">
        <f t="shared" ref="UG255:UG284" si="1925">TX255</f>
        <v>46236</v>
      </c>
      <c r="UH255" s="56"/>
      <c r="UI255" s="242">
        <f>SUMPRODUCT(PRODUCE!$B256:$DY256,PRODUCE!$EB$57:$IY$57)</f>
        <v>0</v>
      </c>
      <c r="UJ255" s="56"/>
      <c r="UK255" s="242">
        <f t="shared" ref="UK255:UK284" si="1926">UI255-UJ255</f>
        <v>0</v>
      </c>
      <c r="UL255" s="242">
        <f t="shared" ref="UL255:UL284" si="1927">UL254+UH255-UJ255</f>
        <v>204</v>
      </c>
      <c r="UM255" s="56"/>
      <c r="UP255" s="55">
        <f t="shared" ref="UP255:UP284" si="1928">UG255</f>
        <v>46236</v>
      </c>
      <c r="UQ255" s="56"/>
      <c r="UR255" s="242">
        <f>SUMPRODUCT(PRODUCE!$B256:$DY256,PRODUCE!$EB$57:$IY$57)</f>
        <v>0</v>
      </c>
      <c r="US255" s="56"/>
      <c r="UT255" s="242">
        <f t="shared" ref="UT255:UT284" si="1929">UR255-US255</f>
        <v>0</v>
      </c>
      <c r="UU255" s="242">
        <f t="shared" ref="UU255:UU284" si="1930">UU254+UQ255-US255</f>
        <v>202.5</v>
      </c>
      <c r="UV255" s="56"/>
      <c r="UY255" s="55">
        <f t="shared" ref="UY255:UY284" si="1931">UP255</f>
        <v>46236</v>
      </c>
      <c r="UZ255" s="56"/>
      <c r="VA255" s="242">
        <f>SUMPRODUCT(PRODUCE!$B256:$DY256,PRODUCE!$EB$57:$IY$57)</f>
        <v>0</v>
      </c>
      <c r="VB255" s="56"/>
      <c r="VC255" s="242">
        <f t="shared" ref="VC255:VC284" si="1932">VA255-VB255</f>
        <v>0</v>
      </c>
      <c r="VD255" s="242">
        <f t="shared" ref="VD255:VD284" si="1933">VD254+UZ255-VB255</f>
        <v>41.600000000000023</v>
      </c>
      <c r="VE255" s="56"/>
      <c r="VH255" s="55">
        <f t="shared" ref="VH255:VH284" si="1934">UY255</f>
        <v>46236</v>
      </c>
      <c r="VI255" s="56"/>
      <c r="VJ255" s="242">
        <f>SUMPRODUCT(PRODUCE!$B256:$DY256,PRODUCE!$EB$57:$IY$57)</f>
        <v>0</v>
      </c>
      <c r="VK255" s="56"/>
      <c r="VL255" s="242">
        <f t="shared" ref="VL255:VL284" si="1935">VJ255-VK255</f>
        <v>0</v>
      </c>
      <c r="VM255" s="242">
        <f t="shared" ref="VM255:VM284" si="1936">VM254+VI255-VK255</f>
        <v>210</v>
      </c>
      <c r="VN255" s="56"/>
      <c r="VQ255" s="55">
        <f t="shared" ref="VQ255:VQ284" si="1937">VH255</f>
        <v>46236</v>
      </c>
      <c r="VR255" s="56"/>
      <c r="VS255" s="242">
        <f>SUMPRODUCT(PRODUCE!$B256:$DY256,PRODUCE!$EB$57:$IY$57)</f>
        <v>0</v>
      </c>
      <c r="VT255" s="56"/>
      <c r="VU255" s="242">
        <f t="shared" ref="VU255:VU284" si="1938">VS255-VT255</f>
        <v>0</v>
      </c>
      <c r="VV255" s="242">
        <f t="shared" ref="VV255:VV284" si="1939">VV254+VR255-VT255</f>
        <v>0</v>
      </c>
      <c r="VW255" s="56"/>
      <c r="VZ255" s="55">
        <f t="shared" ref="VZ255:VZ284" si="1940">VQ255</f>
        <v>46236</v>
      </c>
      <c r="WA255" s="56"/>
      <c r="WB255" s="242">
        <f>SUMPRODUCT(PRODUCE!$B256:$DY256,PRODUCE!$EB$57:$IY$57)</f>
        <v>0</v>
      </c>
      <c r="WC255" s="56"/>
      <c r="WD255" s="242">
        <f t="shared" ref="WD255:WD284" si="1941">WB255-WC255</f>
        <v>0</v>
      </c>
      <c r="WE255" s="242">
        <f t="shared" ref="WE255:WE284" si="1942">WE254+WA255-WC255</f>
        <v>0</v>
      </c>
      <c r="WF255" s="56"/>
      <c r="WI255" s="55">
        <f t="shared" ref="WI255:WI284" si="1943">VZ255</f>
        <v>46236</v>
      </c>
      <c r="WJ255" s="56"/>
      <c r="WK255" s="242">
        <f>SUMPRODUCT(PRODUCE!$B256:$DY256,PRODUCE!$EB$57:$IY$57)</f>
        <v>0</v>
      </c>
      <c r="WL255" s="56"/>
      <c r="WM255" s="242">
        <f t="shared" ref="WM255:WM284" si="1944">WK255-WL255</f>
        <v>0</v>
      </c>
      <c r="WN255" s="242">
        <f t="shared" ref="WN255:WN284" si="1945">WN254+WJ255-WL255</f>
        <v>1057</v>
      </c>
      <c r="WO255" s="56"/>
      <c r="WR255" s="55">
        <f t="shared" ref="WR255:WR284" si="1946">WI255</f>
        <v>46236</v>
      </c>
      <c r="WS255" s="56"/>
      <c r="WT255" s="242">
        <f>SUMPRODUCT(PRODUCE!$B256:$DY256,PRODUCE!$EB$57:$IY$57)</f>
        <v>0</v>
      </c>
      <c r="WU255" s="56"/>
      <c r="WV255" s="242">
        <f t="shared" ref="WV255:WV284" si="1947">WT255-WU255</f>
        <v>0</v>
      </c>
      <c r="WW255" s="242">
        <f t="shared" ref="WW255:WW284" si="1948">WW254+WS255-WU255</f>
        <v>0</v>
      </c>
      <c r="WX255" s="56"/>
      <c r="XA255" s="55">
        <f t="shared" ref="XA255:XA284" si="1949">WR255</f>
        <v>46236</v>
      </c>
      <c r="XB255" s="56"/>
      <c r="XC255" s="242">
        <f>SUMPRODUCT(PRODUCE!$B256:$DY256,PRODUCE!$EB$57:$IY$57)</f>
        <v>0</v>
      </c>
      <c r="XD255" s="56"/>
      <c r="XE255" s="242">
        <f t="shared" ref="XE255:XE284" si="1950">XC255-XD255</f>
        <v>0</v>
      </c>
      <c r="XF255" s="242">
        <f t="shared" ref="XF255:XF284" si="1951">XF254+XB255-XD255</f>
        <v>7507</v>
      </c>
      <c r="XG255" s="56"/>
      <c r="XJ255" s="55">
        <f t="shared" ref="XJ255:XJ284" si="1952">XA255</f>
        <v>46236</v>
      </c>
      <c r="XK255" s="56"/>
      <c r="XL255" s="242">
        <f>SUMPRODUCT(PRODUCE!$B256:$DY256,PRODUCE!$EB$57:$IY$57)</f>
        <v>0</v>
      </c>
      <c r="XM255" s="56"/>
      <c r="XN255" s="242">
        <f t="shared" ref="XN255:XN284" si="1953">XL255-XM255</f>
        <v>0</v>
      </c>
      <c r="XO255" s="242">
        <f t="shared" ref="XO255:XO284" si="1954">XO254+XK255-XM255</f>
        <v>4252</v>
      </c>
      <c r="XP255" s="56"/>
      <c r="XS255" s="55">
        <f t="shared" ref="XS255:XS284" si="1955">XJ255</f>
        <v>46236</v>
      </c>
      <c r="XT255" s="56"/>
      <c r="XU255" s="242">
        <f>SUMPRODUCT(PRODUCE!$B256:$DY256,PRODUCE!$EB$57:$IY$57)</f>
        <v>0</v>
      </c>
      <c r="XV255" s="56"/>
      <c r="XW255" s="242">
        <f t="shared" ref="XW255:XW284" si="1956">XU255-XV255</f>
        <v>0</v>
      </c>
      <c r="XX255" s="242">
        <f t="shared" ref="XX255:XX284" si="1957">XX254+XT255-XV255</f>
        <v>2179</v>
      </c>
      <c r="XY255" s="56"/>
      <c r="YB255" s="55">
        <f t="shared" ref="YB255:YB284" si="1958">XS255</f>
        <v>46236</v>
      </c>
      <c r="YC255" s="56"/>
      <c r="YD255" s="242">
        <f>SUMPRODUCT(PRODUCE!$B256:$DY256,PRODUCE!$EB$57:$IY$57)</f>
        <v>0</v>
      </c>
      <c r="YE255" s="56"/>
      <c r="YF255" s="242">
        <f t="shared" ref="YF255:YF284" si="1959">YD255-YE255</f>
        <v>0</v>
      </c>
      <c r="YG255" s="242">
        <f t="shared" ref="YG255:YG284" si="1960">YG254+YC255-YE255</f>
        <v>4019</v>
      </c>
      <c r="YH255" s="56"/>
      <c r="YK255" s="55">
        <f t="shared" ref="YK255:YK284" si="1961">YB255</f>
        <v>46236</v>
      </c>
      <c r="YL255" s="56"/>
      <c r="YM255" s="242">
        <f>SUMPRODUCT(PRODUCE!$B256:$DY256,PRODUCE!$EB$57:$IY$57)</f>
        <v>0</v>
      </c>
      <c r="YN255" s="56"/>
      <c r="YO255" s="242">
        <f t="shared" ref="YO255:YO284" si="1962">YM255-YN255</f>
        <v>0</v>
      </c>
      <c r="YP255" s="242">
        <f t="shared" ref="YP255:YP284" si="1963">YP254+YL255-YN255</f>
        <v>0</v>
      </c>
      <c r="YQ255" s="56"/>
      <c r="YT255" s="55">
        <f t="shared" ref="YT255:YT284" si="1964">YK255</f>
        <v>46236</v>
      </c>
      <c r="YU255" s="56"/>
      <c r="YV255" s="242">
        <f>SUMPRODUCT(PRODUCE!$B256:$DY256,PRODUCE!$EB$57:$IY$57)</f>
        <v>0</v>
      </c>
      <c r="YW255" s="56"/>
      <c r="YX255" s="242">
        <f t="shared" ref="YX255:YX284" si="1965">YV255-YW255</f>
        <v>0</v>
      </c>
      <c r="YY255" s="242">
        <f t="shared" ref="YY255:YY284" si="1966">YY254+YU255-YW255</f>
        <v>0</v>
      </c>
      <c r="YZ255" s="56"/>
      <c r="ZC255" s="55">
        <f t="shared" ref="ZC255:ZC284" si="1967">YT255</f>
        <v>46236</v>
      </c>
      <c r="ZD255" s="56"/>
      <c r="ZE255" s="242">
        <f>SUMPRODUCT(PRODUCE!$B256:$DY256,PRODUCE!$EB$57:$IY$57)</f>
        <v>0</v>
      </c>
      <c r="ZF255" s="56"/>
      <c r="ZG255" s="242">
        <f t="shared" ref="ZG255:ZG284" si="1968">ZE255-ZF255</f>
        <v>0</v>
      </c>
      <c r="ZH255" s="242">
        <f t="shared" ref="ZH255:ZH284" si="1969">ZH254+ZD255-ZF255</f>
        <v>0</v>
      </c>
      <c r="ZI255" s="56"/>
      <c r="ZL255" s="55">
        <f t="shared" ref="ZL255:ZL284" si="1970">ZC255</f>
        <v>46236</v>
      </c>
      <c r="ZM255" s="56"/>
      <c r="ZN255" s="242">
        <f>SUMPRODUCT(PRODUCE!$B256:$DY256,PRODUCE!$EB$57:$IY$57)</f>
        <v>0</v>
      </c>
      <c r="ZO255" s="56"/>
      <c r="ZP255" s="242">
        <f t="shared" ref="ZP255:ZP284" si="1971">ZN255-ZO255</f>
        <v>0</v>
      </c>
      <c r="ZQ255" s="242">
        <f t="shared" ref="ZQ255:ZQ284" si="1972">ZQ254+ZM255-ZO255</f>
        <v>0</v>
      </c>
      <c r="ZR255" s="56"/>
      <c r="ZU255" s="55">
        <f t="shared" ref="ZU255:ZU284" si="1973">ZL255</f>
        <v>46236</v>
      </c>
      <c r="ZV255" s="56"/>
      <c r="ZW255" s="242">
        <f>SUMPRODUCT(PRODUCE!$B256:$DY256,PRODUCE!$EB$57:$IY$57)</f>
        <v>0</v>
      </c>
      <c r="ZX255" s="56"/>
      <c r="ZY255" s="242">
        <f t="shared" ref="ZY255:ZY284" si="1974">ZW255-ZX255</f>
        <v>0</v>
      </c>
      <c r="ZZ255" s="242">
        <f t="shared" ref="ZZ255:ZZ284" si="1975">ZZ254+ZV255-ZX255</f>
        <v>0</v>
      </c>
      <c r="AAA255" s="56"/>
      <c r="AAD255" s="55">
        <f t="shared" ref="AAD255:AAD284" si="1976">ZU255</f>
        <v>46236</v>
      </c>
      <c r="AAE255" s="56"/>
      <c r="AAF255" s="242">
        <f>SUMPRODUCT(PRODUCE!$B256:$DY256,PRODUCE!$EB$57:$IY$57)</f>
        <v>0</v>
      </c>
      <c r="AAG255" s="56"/>
      <c r="AAH255" s="242">
        <f t="shared" ref="AAH255:AAH284" si="1977">AAF255-AAG255</f>
        <v>0</v>
      </c>
      <c r="AAI255" s="242">
        <f t="shared" ref="AAI255:AAI284" si="1978">AAI254+AAE255-AAG255</f>
        <v>0</v>
      </c>
      <c r="AAJ255" s="56"/>
      <c r="AAM255" s="55">
        <f t="shared" ref="AAM255:AAM284" si="1979">AAD255</f>
        <v>46236</v>
      </c>
      <c r="AAN255" s="56"/>
      <c r="AAO255" s="242">
        <f>SUMPRODUCT(PRODUCE!$B256:$DY256,PRODUCE!$EB$57:$IY$57)</f>
        <v>0</v>
      </c>
      <c r="AAP255" s="56"/>
      <c r="AAQ255" s="242">
        <f t="shared" ref="AAQ255:AAQ284" si="1980">AAO255-AAP255</f>
        <v>0</v>
      </c>
      <c r="AAR255" s="242">
        <f t="shared" ref="AAR255:AAR284" si="1981">AAR254+AAN255-AAP255</f>
        <v>0</v>
      </c>
      <c r="AAS255" s="56"/>
      <c r="AAV255" s="55">
        <f t="shared" ref="AAV255:AAV284" si="1982">AAM255</f>
        <v>46236</v>
      </c>
      <c r="AAW255" s="56"/>
      <c r="AAX255" s="242">
        <f>SUMPRODUCT(PRODUCE!$B256:$DY256,PRODUCE!$EB$57:$IY$57)</f>
        <v>0</v>
      </c>
      <c r="AAY255" s="56"/>
      <c r="AAZ255" s="242">
        <f t="shared" ref="AAZ255:AAZ284" si="1983">AAX255-AAY255</f>
        <v>0</v>
      </c>
      <c r="ABA255" s="242">
        <f t="shared" ref="ABA255:ABA284" si="1984">ABA254+AAW255-AAY255</f>
        <v>0</v>
      </c>
      <c r="ABB255" s="56"/>
      <c r="ABE255" s="55">
        <f t="shared" ref="ABE255:ABE284" si="1985">AAV255</f>
        <v>46236</v>
      </c>
      <c r="ABF255" s="56"/>
      <c r="ABG255" s="242">
        <f>SUMPRODUCT(PRODUCE!$B256:$DY256,PRODUCE!$EB$57:$IY$57)</f>
        <v>0</v>
      </c>
      <c r="ABH255" s="56"/>
      <c r="ABI255" s="242">
        <f t="shared" ref="ABI255:ABI284" si="1986">ABG255-ABH255</f>
        <v>0</v>
      </c>
      <c r="ABJ255" s="242">
        <f t="shared" ref="ABJ255:ABJ284" si="1987">ABJ254+ABF255-ABH255</f>
        <v>0</v>
      </c>
      <c r="ABK255" s="56"/>
    </row>
    <row r="256" spans="1:739" s="54" customFormat="1" ht="15" customHeight="1" outlineLevel="1">
      <c r="B256" s="478">
        <f>20*40</f>
        <v>800</v>
      </c>
      <c r="C256" s="55">
        <v>46237</v>
      </c>
      <c r="D256" s="56"/>
      <c r="E256" s="57">
        <f>SUMPRODUCT(PRODUCE!$B257:$DY257,PRODUCE!$EB$7:$IY$7)</f>
        <v>10879</v>
      </c>
      <c r="F256" s="56">
        <f>10923.2+22139.4</f>
        <v>33062.600000000006</v>
      </c>
      <c r="G256" s="57">
        <f t="shared" si="1743"/>
        <v>-22183.600000000006</v>
      </c>
      <c r="H256" s="57">
        <f t="shared" si="1744"/>
        <v>182486.80000000002</v>
      </c>
      <c r="I256" s="289" t="s">
        <v>284</v>
      </c>
      <c r="L256" s="55">
        <f t="shared" si="1745"/>
        <v>46237</v>
      </c>
      <c r="M256" s="56"/>
      <c r="N256" s="59">
        <f>SUMPRODUCT(PRODUCE!$B257:$DY257,PRODUCE!$EB$8:$IY$8)</f>
        <v>5950</v>
      </c>
      <c r="O256" s="56"/>
      <c r="P256" s="59">
        <f t="shared" si="1746"/>
        <v>5950</v>
      </c>
      <c r="Q256" s="59">
        <f t="shared" si="1747"/>
        <v>53017.600000000071</v>
      </c>
      <c r="R256" s="56"/>
      <c r="U256" s="55">
        <f t="shared" si="1748"/>
        <v>46237</v>
      </c>
      <c r="V256" s="56"/>
      <c r="W256" s="60">
        <f>SUMPRODUCT(PRODUCE!$B257:$DY257,PRODUCE!$EB$9:$IY$9)</f>
        <v>1200</v>
      </c>
      <c r="X256" s="56"/>
      <c r="Y256" s="60">
        <f t="shared" si="1749"/>
        <v>1200</v>
      </c>
      <c r="Z256" s="60">
        <f t="shared" si="1750"/>
        <v>42674.199999999968</v>
      </c>
      <c r="AA256" s="56"/>
      <c r="AD256" s="55">
        <f t="shared" si="1751"/>
        <v>46237</v>
      </c>
      <c r="AE256" s="56"/>
      <c r="AF256" s="61">
        <f>SUMPRODUCT(PRODUCE!$B257:$DY257,PRODUCE!$EB$10:$IY$10)</f>
        <v>0</v>
      </c>
      <c r="AG256" s="56"/>
      <c r="AH256" s="61">
        <f t="shared" si="1752"/>
        <v>0</v>
      </c>
      <c r="AI256" s="61">
        <f t="shared" si="1753"/>
        <v>4522.2000000000189</v>
      </c>
      <c r="AJ256" s="56"/>
      <c r="AM256" s="55">
        <f t="shared" si="1754"/>
        <v>46237</v>
      </c>
      <c r="AN256" s="422"/>
      <c r="AO256" s="444">
        <f>SUMPRODUCT(PRODUCE!$B257:$DY257,PRODUCE!$EB$11:$IY$11)</f>
        <v>0</v>
      </c>
      <c r="AP256" s="422"/>
      <c r="AQ256" s="444">
        <f t="shared" si="1755"/>
        <v>0</v>
      </c>
      <c r="AR256" s="444">
        <f t="shared" si="1756"/>
        <v>0</v>
      </c>
      <c r="AS256" s="56"/>
      <c r="AV256" s="55">
        <f t="shared" si="1757"/>
        <v>46237</v>
      </c>
      <c r="AW256" s="56"/>
      <c r="AX256" s="62">
        <f>SUMPRODUCT(PRODUCE!$B257:$DY257,PRODUCE!$EB$12:$IY$12)</f>
        <v>0</v>
      </c>
      <c r="AY256" s="56"/>
      <c r="AZ256" s="62">
        <f t="shared" si="1758"/>
        <v>0</v>
      </c>
      <c r="BA256" s="62">
        <f t="shared" si="1759"/>
        <v>124.99999999999523</v>
      </c>
      <c r="BB256" s="56"/>
      <c r="BE256" s="55">
        <f t="shared" si="1760"/>
        <v>46237</v>
      </c>
      <c r="BF256" s="56"/>
      <c r="BG256" s="63">
        <f>SUMPRODUCT(PRODUCE!$B257:$DY257,PRODUCE!$EB$13:$IY$13)</f>
        <v>0</v>
      </c>
      <c r="BH256" s="56"/>
      <c r="BI256" s="63">
        <f t="shared" si="1761"/>
        <v>0</v>
      </c>
      <c r="BJ256" s="63">
        <f t="shared" si="1762"/>
        <v>26151.899999999998</v>
      </c>
      <c r="BK256" s="56"/>
      <c r="BN256" s="55">
        <f t="shared" si="1763"/>
        <v>46237</v>
      </c>
      <c r="BO256" s="56"/>
      <c r="BP256" s="64">
        <f>SUMPRODUCT(PRODUCE!$B257:$DY257,PRODUCE!$EB$14:$IY$14)</f>
        <v>100</v>
      </c>
      <c r="BQ256" s="56"/>
      <c r="BR256" s="64">
        <f t="shared" si="1764"/>
        <v>100</v>
      </c>
      <c r="BS256" s="64">
        <f t="shared" si="1765"/>
        <v>0</v>
      </c>
      <c r="BT256" s="56"/>
      <c r="BW256" s="55">
        <f t="shared" si="1766"/>
        <v>46237</v>
      </c>
      <c r="BX256" s="56"/>
      <c r="BY256" s="65">
        <f>SUMPRODUCT(PRODUCE!$B257:$DY257,PRODUCE!$EB$15:$IY$15)</f>
        <v>147.10000000000002</v>
      </c>
      <c r="BZ256" s="56"/>
      <c r="CA256" s="65">
        <f t="shared" si="1767"/>
        <v>147.10000000000002</v>
      </c>
      <c r="CB256" s="65">
        <f t="shared" si="1768"/>
        <v>3322.4999999999986</v>
      </c>
      <c r="CC256" s="56"/>
      <c r="CF256" s="55">
        <f t="shared" si="1769"/>
        <v>46237</v>
      </c>
      <c r="CG256" s="56"/>
      <c r="CH256" s="66">
        <f>SUMPRODUCT(PRODUCE!$B257:$DY257,PRODUCE!$EB$16:$IY$16)</f>
        <v>0</v>
      </c>
      <c r="CI256" s="56"/>
      <c r="CJ256" s="66">
        <f t="shared" si="1770"/>
        <v>0</v>
      </c>
      <c r="CK256" s="66">
        <f t="shared" si="1771"/>
        <v>-10277.079999999998</v>
      </c>
      <c r="CL256" s="56"/>
      <c r="CO256" s="55">
        <f t="shared" si="1772"/>
        <v>46237</v>
      </c>
      <c r="CP256" s="422"/>
      <c r="CQ256" s="470">
        <f>SUMPRODUCT(PRODUCE!$B257:$DY257,PRODUCE!$EB$17:$IY$17)</f>
        <v>0</v>
      </c>
      <c r="CR256" s="422"/>
      <c r="CS256" s="470">
        <f t="shared" si="1773"/>
        <v>0</v>
      </c>
      <c r="CT256" s="470">
        <f t="shared" si="1774"/>
        <v>0</v>
      </c>
      <c r="CU256" s="56"/>
      <c r="CX256" s="55">
        <f t="shared" si="1775"/>
        <v>46237</v>
      </c>
      <c r="CY256" s="56"/>
      <c r="CZ256" s="133">
        <f>SUMPRODUCT(PRODUCE!$B257:$DY257,PRODUCE!$EB$18:$IY$18)</f>
        <v>400</v>
      </c>
      <c r="DA256" s="56"/>
      <c r="DB256" s="133">
        <f t="shared" si="1776"/>
        <v>400</v>
      </c>
      <c r="DC256" s="133">
        <f t="shared" si="1777"/>
        <v>27438.200000000012</v>
      </c>
      <c r="DD256" s="56"/>
      <c r="DG256" s="55">
        <f t="shared" si="1778"/>
        <v>46237</v>
      </c>
      <c r="DH256" s="56"/>
      <c r="DI256" s="147">
        <f>SUMPRODUCT(PRODUCE!$B257:$DY257,PRODUCE!$EB$19:$IY$19)</f>
        <v>0</v>
      </c>
      <c r="DJ256" s="56"/>
      <c r="DK256" s="147">
        <f t="shared" si="1779"/>
        <v>0</v>
      </c>
      <c r="DL256" s="147">
        <f t="shared" si="1780"/>
        <v>18782.299999999981</v>
      </c>
      <c r="DM256" s="56"/>
      <c r="DP256" s="55">
        <f t="shared" si="1781"/>
        <v>46237</v>
      </c>
      <c r="DQ256" s="56"/>
      <c r="DR256" s="57">
        <f>SUMPRODUCT(PRODUCE!$B257:$DY257,PRODUCE!$EB$20:$IY$20)</f>
        <v>0</v>
      </c>
      <c r="DS256" s="56"/>
      <c r="DT256" s="57">
        <f t="shared" si="1782"/>
        <v>0</v>
      </c>
      <c r="DU256" s="57">
        <f t="shared" si="1783"/>
        <v>5800</v>
      </c>
      <c r="DV256" s="56"/>
      <c r="DY256" s="55">
        <f t="shared" si="1784"/>
        <v>46237</v>
      </c>
      <c r="DZ256" s="56"/>
      <c r="EA256" s="157">
        <f>SUMPRODUCT(PRODUCE!$B257:$DY257,PRODUCE!$EB$21:$IY$21)</f>
        <v>0</v>
      </c>
      <c r="EB256" s="56"/>
      <c r="EC256" s="157">
        <f t="shared" si="1785"/>
        <v>0</v>
      </c>
      <c r="ED256" s="157">
        <f t="shared" si="1786"/>
        <v>0</v>
      </c>
      <c r="EE256" s="56"/>
      <c r="EH256" s="55">
        <f t="shared" si="1787"/>
        <v>46237</v>
      </c>
      <c r="EI256" s="56"/>
      <c r="EJ256" s="162">
        <f>SUMPRODUCT(PRODUCE!$B257:$DY257,PRODUCE!$EB$22:$IY$22)</f>
        <v>0</v>
      </c>
      <c r="EK256" s="56"/>
      <c r="EL256" s="162">
        <f t="shared" si="1788"/>
        <v>0</v>
      </c>
      <c r="EM256" s="162">
        <f t="shared" si="1789"/>
        <v>0</v>
      </c>
      <c r="EN256" s="56"/>
      <c r="EQ256" s="55">
        <f t="shared" si="1790"/>
        <v>46237</v>
      </c>
      <c r="ER256" s="56"/>
      <c r="ES256" s="135">
        <f>SUMPRODUCT(PRODUCE!$B257:$DY257,PRODUCE!$EB$23:$IY$23)</f>
        <v>0</v>
      </c>
      <c r="ET256" s="56"/>
      <c r="EU256" s="135">
        <f t="shared" si="1791"/>
        <v>0</v>
      </c>
      <c r="EV256" s="135">
        <f t="shared" si="1792"/>
        <v>0</v>
      </c>
      <c r="EW256" s="56"/>
      <c r="EZ256" s="55">
        <f t="shared" si="1793"/>
        <v>46237</v>
      </c>
      <c r="FA256" s="56"/>
      <c r="FB256" s="175">
        <f>SUMPRODUCT(PRODUCE!$B257:$DY257,PRODUCE!$EB$24:$IY$24)</f>
        <v>0</v>
      </c>
      <c r="FC256" s="56"/>
      <c r="FD256" s="175">
        <f t="shared" si="1794"/>
        <v>0</v>
      </c>
      <c r="FE256" s="175">
        <f t="shared" si="1795"/>
        <v>0</v>
      </c>
      <c r="FF256" s="56"/>
      <c r="FI256" s="55">
        <f t="shared" si="1796"/>
        <v>46237</v>
      </c>
      <c r="FJ256" s="56"/>
      <c r="FK256" s="183">
        <f>SUMPRODUCT(PRODUCE!$B257:$DY257,PRODUCE!$EB$25:$IY$25)</f>
        <v>0</v>
      </c>
      <c r="FL256" s="56"/>
      <c r="FM256" s="183">
        <f t="shared" si="1797"/>
        <v>0</v>
      </c>
      <c r="FN256" s="183">
        <f t="shared" si="1798"/>
        <v>0</v>
      </c>
      <c r="FO256" s="56"/>
      <c r="FR256" s="55">
        <f t="shared" si="1799"/>
        <v>46237</v>
      </c>
      <c r="FS256" s="56"/>
      <c r="FT256" s="186">
        <f>SUMPRODUCT(PRODUCE!$B257:$DY257,PRODUCE!$EB$26:$IY$26)</f>
        <v>0</v>
      </c>
      <c r="FU256" s="56"/>
      <c r="FV256" s="186">
        <f t="shared" si="1800"/>
        <v>0</v>
      </c>
      <c r="FW256" s="186">
        <f t="shared" si="1801"/>
        <v>540</v>
      </c>
      <c r="FX256" s="56"/>
      <c r="GA256" s="55">
        <f t="shared" si="1802"/>
        <v>46237</v>
      </c>
      <c r="GB256" s="56"/>
      <c r="GC256" s="137">
        <f>SUMPRODUCT(PRODUCE!$B257:$DY257,PRODUCE!$EB$27:$IY$27)</f>
        <v>0</v>
      </c>
      <c r="GD256" s="56"/>
      <c r="GE256" s="137">
        <f t="shared" si="1803"/>
        <v>0</v>
      </c>
      <c r="GF256" s="137">
        <f t="shared" si="1804"/>
        <v>960</v>
      </c>
      <c r="GG256" s="56"/>
      <c r="GI256" s="23"/>
      <c r="GJ256" s="55">
        <f t="shared" si="1805"/>
        <v>46237</v>
      </c>
      <c r="GK256" s="56"/>
      <c r="GL256" s="199">
        <f>SUMPRODUCT(PRODUCE!$B257:$DY257,PRODUCE!$EB$28:$IY$28)</f>
        <v>0</v>
      </c>
      <c r="GM256" s="56"/>
      <c r="GN256" s="199">
        <f t="shared" si="1806"/>
        <v>0</v>
      </c>
      <c r="GO256" s="199">
        <f t="shared" si="1807"/>
        <v>1760</v>
      </c>
      <c r="GP256" s="56"/>
      <c r="GS256" s="55">
        <f t="shared" si="1808"/>
        <v>46237</v>
      </c>
      <c r="GT256" s="56"/>
      <c r="GU256" s="195">
        <f>SUMPRODUCT(PRODUCE!$B257:$DY257,PRODUCE!$EB$29:$IY$29)</f>
        <v>0</v>
      </c>
      <c r="GV256" s="56"/>
      <c r="GW256" s="195">
        <f t="shared" si="1809"/>
        <v>0</v>
      </c>
      <c r="GX256" s="195">
        <f t="shared" si="1810"/>
        <v>400</v>
      </c>
      <c r="GY256" s="56"/>
      <c r="HB256" s="55">
        <f t="shared" si="1811"/>
        <v>46237</v>
      </c>
      <c r="HC256" s="56"/>
      <c r="HD256" s="191">
        <f>SUMPRODUCT(PRODUCE!$B257:$DY257,PRODUCE!$EB$30:$IY$30)</f>
        <v>0</v>
      </c>
      <c r="HE256" s="56"/>
      <c r="HF256" s="191">
        <f t="shared" si="1812"/>
        <v>0</v>
      </c>
      <c r="HG256" s="191">
        <f t="shared" si="1813"/>
        <v>3600</v>
      </c>
      <c r="HH256" s="56"/>
      <c r="HK256" s="55">
        <f t="shared" si="1814"/>
        <v>46237</v>
      </c>
      <c r="HL256" s="56"/>
      <c r="HM256" s="63">
        <f>SUMPRODUCT(PRODUCE!$B257:$DY257,PRODUCE!$EB$31:$IY$31)</f>
        <v>0</v>
      </c>
      <c r="HN256" s="56"/>
      <c r="HO256" s="63">
        <f t="shared" si="1815"/>
        <v>0</v>
      </c>
      <c r="HP256" s="63">
        <f t="shared" si="1816"/>
        <v>0</v>
      </c>
      <c r="HQ256" s="56"/>
      <c r="HU256" s="55">
        <f t="shared" si="1817"/>
        <v>46237</v>
      </c>
      <c r="HV256" s="56"/>
      <c r="HW256" s="242">
        <f>SUMPRODUCT(PRODUCE!$B257:$DY257,PRODUCE!$EB$32:$IY$32)</f>
        <v>0</v>
      </c>
      <c r="HX256" s="56"/>
      <c r="HY256" s="242">
        <f t="shared" si="1818"/>
        <v>0</v>
      </c>
      <c r="HZ256" s="242">
        <f t="shared" si="1819"/>
        <v>5920</v>
      </c>
      <c r="IA256" s="56"/>
      <c r="ID256" s="55">
        <f t="shared" si="1820"/>
        <v>46237</v>
      </c>
      <c r="IE256" s="56"/>
      <c r="IF256" s="242">
        <f>SUMPRODUCT(PRODUCE!$B257:$DY257,PRODUCE!$EB$33:$IY$33)</f>
        <v>0</v>
      </c>
      <c r="IG256" s="56"/>
      <c r="IH256" s="242">
        <f t="shared" si="1821"/>
        <v>0</v>
      </c>
      <c r="II256" s="242">
        <f t="shared" si="1822"/>
        <v>720</v>
      </c>
      <c r="IJ256" s="56"/>
      <c r="IM256" s="55">
        <f t="shared" si="1823"/>
        <v>46237</v>
      </c>
      <c r="IN256" s="56"/>
      <c r="IO256" s="242">
        <f>SUMPRODUCT(PRODUCE!$B257:$DY257,PRODUCE!$EB$34:$IY$34)</f>
        <v>0</v>
      </c>
      <c r="IP256" s="56"/>
      <c r="IQ256" s="242">
        <f t="shared" si="1824"/>
        <v>0</v>
      </c>
      <c r="IR256" s="242">
        <f t="shared" si="1825"/>
        <v>1680</v>
      </c>
      <c r="IS256" s="56"/>
      <c r="IV256" s="55">
        <f t="shared" si="1826"/>
        <v>46237</v>
      </c>
      <c r="IW256" s="56"/>
      <c r="IX256" s="242">
        <f>SUMPRODUCT(PRODUCE!$B257:$DY257,PRODUCE!$EB$35:$IY$35)</f>
        <v>0</v>
      </c>
      <c r="IY256" s="56"/>
      <c r="IZ256" s="242">
        <f t="shared" si="1827"/>
        <v>0</v>
      </c>
      <c r="JA256" s="242">
        <f t="shared" si="1828"/>
        <v>4960</v>
      </c>
      <c r="JB256" s="56"/>
      <c r="JE256" s="55">
        <f t="shared" si="1829"/>
        <v>46237</v>
      </c>
      <c r="JF256" s="56"/>
      <c r="JG256" s="242">
        <f>SUMPRODUCT(PRODUCE!$B257:$DY257,PRODUCE!$EB$36:$IY$36)</f>
        <v>0</v>
      </c>
      <c r="JH256" s="56"/>
      <c r="JI256" s="242">
        <f t="shared" si="1830"/>
        <v>0</v>
      </c>
      <c r="JJ256" s="242">
        <f t="shared" si="1831"/>
        <v>0</v>
      </c>
      <c r="JK256" s="56"/>
      <c r="JN256" s="55">
        <f t="shared" si="1832"/>
        <v>46237</v>
      </c>
      <c r="JO256" s="56"/>
      <c r="JP256" s="242">
        <f>SUMPRODUCT(PRODUCE!$B257:$DY257,PRODUCE!$EB$37:$IY$37)</f>
        <v>0</v>
      </c>
      <c r="JQ256" s="56"/>
      <c r="JR256" s="242">
        <f t="shared" si="1833"/>
        <v>0</v>
      </c>
      <c r="JS256" s="242">
        <f t="shared" si="1834"/>
        <v>0</v>
      </c>
      <c r="JT256" s="56"/>
      <c r="JW256" s="55">
        <f t="shared" si="1835"/>
        <v>46237</v>
      </c>
      <c r="JX256" s="56"/>
      <c r="JY256" s="242">
        <f>SUMPRODUCT(PRODUCE!$B257:$DY257,PRODUCE!$EB$38:$IY$38)</f>
        <v>0</v>
      </c>
      <c r="JZ256" s="56"/>
      <c r="KA256" s="242">
        <f t="shared" si="1836"/>
        <v>0</v>
      </c>
      <c r="KB256" s="242">
        <f t="shared" si="1837"/>
        <v>2540</v>
      </c>
      <c r="KC256" s="56"/>
      <c r="KF256" s="55">
        <f t="shared" si="1838"/>
        <v>46237</v>
      </c>
      <c r="KG256" s="56"/>
      <c r="KH256" s="242">
        <f>SUMPRODUCT(PRODUCE!$B257:$DY257,PRODUCE!$EB$39:$IY$39)</f>
        <v>0</v>
      </c>
      <c r="KI256" s="56"/>
      <c r="KJ256" s="242">
        <f t="shared" si="1839"/>
        <v>0</v>
      </c>
      <c r="KK256" s="242">
        <f t="shared" si="1840"/>
        <v>2359.5</v>
      </c>
      <c r="KL256" s="56"/>
      <c r="KO256" s="55">
        <f t="shared" si="1841"/>
        <v>46237</v>
      </c>
      <c r="KP256" s="56"/>
      <c r="KQ256" s="242">
        <f>SUMPRODUCT(PRODUCE!$B257:$DY257,PRODUCE!$EB$40:$IY$40)</f>
        <v>0</v>
      </c>
      <c r="KR256" s="56"/>
      <c r="KS256" s="242">
        <f t="shared" si="1842"/>
        <v>0</v>
      </c>
      <c r="KT256" s="242">
        <f t="shared" si="1843"/>
        <v>1890</v>
      </c>
      <c r="KU256" s="56"/>
      <c r="KW256" s="23"/>
      <c r="KX256" s="55">
        <f t="shared" si="1844"/>
        <v>46237</v>
      </c>
      <c r="KY256" s="56"/>
      <c r="KZ256" s="242">
        <f>SUMPRODUCT(PRODUCE!$B257:$DY257,PRODUCE!$EB$41:$IY$41)</f>
        <v>0</v>
      </c>
      <c r="LA256" s="56"/>
      <c r="LB256" s="242">
        <f t="shared" si="1845"/>
        <v>0</v>
      </c>
      <c r="LC256" s="242">
        <f t="shared" si="1846"/>
        <v>3690</v>
      </c>
      <c r="LD256" s="56"/>
      <c r="LG256" s="55">
        <f t="shared" si="1847"/>
        <v>46237</v>
      </c>
      <c r="LH256" s="56"/>
      <c r="LI256" s="242">
        <f>SUMPRODUCT(PRODUCE!$B257:$DY257,PRODUCE!$EB$42:$IY$42)</f>
        <v>0</v>
      </c>
      <c r="LJ256" s="56"/>
      <c r="LK256" s="242">
        <f t="shared" si="1848"/>
        <v>0</v>
      </c>
      <c r="LL256" s="242">
        <f t="shared" si="1849"/>
        <v>4000</v>
      </c>
      <c r="LM256" s="56"/>
      <c r="LP256" s="55">
        <f t="shared" si="1850"/>
        <v>46237</v>
      </c>
      <c r="LQ256" s="56"/>
      <c r="LR256" s="242">
        <f>SUMPRODUCT(PRODUCE!$B271:$DY271,PRODUCE!$EB$43:$IY$43)</f>
        <v>0</v>
      </c>
      <c r="LS256" s="56"/>
      <c r="LT256" s="242">
        <f t="shared" si="1851"/>
        <v>0</v>
      </c>
      <c r="LU256" s="242">
        <f t="shared" si="1852"/>
        <v>0</v>
      </c>
      <c r="LV256" s="56"/>
      <c r="LY256" s="55">
        <f t="shared" si="1853"/>
        <v>46237</v>
      </c>
      <c r="LZ256" s="56"/>
      <c r="MA256" s="242">
        <f>SUMPRODUCT(PRODUCE!$B257:$DY257,PRODUCE!$EB$44:$IY$44)</f>
        <v>0</v>
      </c>
      <c r="MB256" s="56"/>
      <c r="MC256" s="242">
        <f t="shared" si="1854"/>
        <v>0</v>
      </c>
      <c r="MD256" s="242">
        <f t="shared" si="1855"/>
        <v>0</v>
      </c>
      <c r="ME256" s="56"/>
      <c r="MH256" s="55">
        <f t="shared" si="1856"/>
        <v>46237</v>
      </c>
      <c r="MI256" s="56"/>
      <c r="MJ256" s="242">
        <f>SUMPRODUCT(PRODUCE!$B257:$DY257,PRODUCE!$EB$45:$IY$45)</f>
        <v>0</v>
      </c>
      <c r="MK256" s="56"/>
      <c r="ML256" s="242">
        <f t="shared" si="1857"/>
        <v>0</v>
      </c>
      <c r="MM256" s="242">
        <f t="shared" si="1858"/>
        <v>0</v>
      </c>
      <c r="MN256" s="56"/>
      <c r="MQ256" s="55">
        <f t="shared" si="1859"/>
        <v>46237</v>
      </c>
      <c r="MR256" s="56"/>
      <c r="MS256" s="242">
        <f>SUMPRODUCT(PRODUCE!$B257:$DY257,PRODUCE!$EB$46:$IY$46)</f>
        <v>0</v>
      </c>
      <c r="MT256" s="56"/>
      <c r="MU256" s="242">
        <f t="shared" si="1860"/>
        <v>0</v>
      </c>
      <c r="MV256" s="242">
        <f t="shared" si="1861"/>
        <v>2216</v>
      </c>
      <c r="MW256" s="56"/>
      <c r="MZ256" s="55">
        <f t="shared" si="1862"/>
        <v>46237</v>
      </c>
      <c r="NA256" s="56"/>
      <c r="NB256" s="242">
        <f>SUMPRODUCT(PRODUCE!$B257:$DY257,PRODUCE!$EB$47:$IY$47)</f>
        <v>0</v>
      </c>
      <c r="NC256" s="56"/>
      <c r="ND256" s="242">
        <f t="shared" si="1863"/>
        <v>0</v>
      </c>
      <c r="NE256" s="242">
        <f t="shared" si="1864"/>
        <v>0</v>
      </c>
      <c r="NF256" s="56"/>
      <c r="NI256" s="55">
        <f t="shared" si="1865"/>
        <v>46237</v>
      </c>
      <c r="NJ256" s="56"/>
      <c r="NK256" s="242">
        <f>SUMPRODUCT(PRODUCE!$B257:$DY257,PRODUCE!$EB$48:$IY$48)</f>
        <v>0</v>
      </c>
      <c r="NL256" s="56"/>
      <c r="NM256" s="242">
        <f t="shared" si="1866"/>
        <v>0</v>
      </c>
      <c r="NN256" s="242">
        <f t="shared" si="1867"/>
        <v>1127</v>
      </c>
      <c r="NO256" s="56"/>
      <c r="NR256" s="55">
        <f t="shared" si="1868"/>
        <v>46237</v>
      </c>
      <c r="NS256" s="56"/>
      <c r="NT256" s="242">
        <f>SUMPRODUCT(PRODUCE!$B257:$DY257,PRODUCE!$EB$49:$IY$49)</f>
        <v>0</v>
      </c>
      <c r="NU256" s="56"/>
      <c r="NV256" s="242">
        <f t="shared" si="1869"/>
        <v>0</v>
      </c>
      <c r="NW256" s="242">
        <f t="shared" si="1870"/>
        <v>3111.9999999999995</v>
      </c>
      <c r="NX256" s="56"/>
      <c r="OA256" s="55">
        <f t="shared" si="1871"/>
        <v>46237</v>
      </c>
      <c r="OB256" s="56"/>
      <c r="OC256" s="242">
        <f>SUMPRODUCT(PRODUCE!$B257:$DY257,PRODUCE!$EB$50:$IY$50)</f>
        <v>0</v>
      </c>
      <c r="OD256" s="56"/>
      <c r="OE256" s="242">
        <f t="shared" si="1872"/>
        <v>0</v>
      </c>
      <c r="OF256" s="242">
        <f t="shared" si="1873"/>
        <v>1680.5</v>
      </c>
      <c r="OG256" s="56"/>
      <c r="OJ256" s="55">
        <f t="shared" si="1874"/>
        <v>46237</v>
      </c>
      <c r="OK256" s="56"/>
      <c r="OL256" s="242">
        <f>SUMPRODUCT(PRODUCE!$B257:$DY257,PRODUCE!$EB$51:$IY$51)</f>
        <v>0</v>
      </c>
      <c r="OM256" s="56"/>
      <c r="ON256" s="242">
        <f t="shared" si="1875"/>
        <v>0</v>
      </c>
      <c r="OO256" s="242">
        <f t="shared" si="1876"/>
        <v>0</v>
      </c>
      <c r="OP256" s="56"/>
      <c r="OS256" s="55">
        <f t="shared" si="1877"/>
        <v>46237</v>
      </c>
      <c r="OT256" s="56"/>
      <c r="OU256" s="242">
        <f>SUMPRODUCT(PRODUCE!$B257:$DY257,PRODUCE!$EB$52:$IY$52)</f>
        <v>0</v>
      </c>
      <c r="OV256" s="56"/>
      <c r="OW256" s="242">
        <f t="shared" si="1878"/>
        <v>0</v>
      </c>
      <c r="OX256" s="242">
        <f t="shared" si="1879"/>
        <v>1482</v>
      </c>
      <c r="OY256" s="56"/>
      <c r="PB256" s="55">
        <f t="shared" si="1880"/>
        <v>46237</v>
      </c>
      <c r="PC256" s="56"/>
      <c r="PD256" s="242">
        <f>SUMPRODUCT(PRODUCE!$B257:$DY257,PRODUCE!$EB$53:$IY$53)</f>
        <v>0</v>
      </c>
      <c r="PE256" s="56"/>
      <c r="PF256" s="242">
        <f t="shared" si="1881"/>
        <v>0</v>
      </c>
      <c r="PG256" s="242">
        <f t="shared" si="1882"/>
        <v>0</v>
      </c>
      <c r="PH256" s="56"/>
      <c r="PK256" s="55">
        <f t="shared" si="1883"/>
        <v>46237</v>
      </c>
      <c r="PL256" s="56"/>
      <c r="PM256" s="242">
        <f>SUMPRODUCT(PRODUCE!$B257:$DY257,PRODUCE!$EB$54:$IY$54)</f>
        <v>0</v>
      </c>
      <c r="PN256" s="56"/>
      <c r="PO256" s="242">
        <f t="shared" si="1884"/>
        <v>0</v>
      </c>
      <c r="PP256" s="242">
        <f t="shared" si="1885"/>
        <v>100</v>
      </c>
      <c r="PQ256" s="56"/>
      <c r="PT256" s="55">
        <f t="shared" si="1886"/>
        <v>46237</v>
      </c>
      <c r="PU256" s="56"/>
      <c r="PV256" s="242">
        <f>SUMPRODUCT(PRODUCE!$B257:$DY257,PRODUCE!$EB$55:$IY$55)</f>
        <v>0</v>
      </c>
      <c r="PW256" s="56"/>
      <c r="PX256" s="242">
        <f t="shared" si="1887"/>
        <v>0</v>
      </c>
      <c r="PY256" s="242">
        <f t="shared" si="1888"/>
        <v>13.960000000000036</v>
      </c>
      <c r="PZ256" s="56"/>
      <c r="QC256" s="55">
        <f t="shared" si="1889"/>
        <v>46237</v>
      </c>
      <c r="QD256" s="56"/>
      <c r="QE256" s="242">
        <f>SUMPRODUCT(PRODUCE!$B257:$DY257,PRODUCE!$EB$56:$IY$56)</f>
        <v>0</v>
      </c>
      <c r="QF256" s="56"/>
      <c r="QG256" s="242">
        <f t="shared" si="1890"/>
        <v>0</v>
      </c>
      <c r="QH256" s="242">
        <f t="shared" si="1891"/>
        <v>1284</v>
      </c>
      <c r="QI256" s="56"/>
      <c r="QL256" s="55">
        <f t="shared" si="1892"/>
        <v>46237</v>
      </c>
      <c r="QM256" s="56"/>
      <c r="QN256" s="242">
        <f>SUMPRODUCT(PRODUCE!$B257:$DY257,PRODUCE!$EB$57:$IY$57)</f>
        <v>0</v>
      </c>
      <c r="QO256" s="56"/>
      <c r="QP256" s="242">
        <f t="shared" si="1893"/>
        <v>0</v>
      </c>
      <c r="QQ256" s="242">
        <f t="shared" si="1894"/>
        <v>0</v>
      </c>
      <c r="QR256" s="56"/>
      <c r="QU256" s="55">
        <f t="shared" si="1895"/>
        <v>46237</v>
      </c>
      <c r="QV256" s="56"/>
      <c r="QW256" s="242">
        <f>SUMPRODUCT(PRODUCE!$B257:$DY257,PRODUCE!$EB$57:$IY$57)</f>
        <v>0</v>
      </c>
      <c r="QX256" s="56"/>
      <c r="QY256" s="242">
        <f t="shared" si="1896"/>
        <v>0</v>
      </c>
      <c r="QZ256" s="242">
        <f t="shared" si="1897"/>
        <v>207.6</v>
      </c>
      <c r="RA256" s="56"/>
      <c r="RD256" s="55">
        <f t="shared" si="1898"/>
        <v>46237</v>
      </c>
      <c r="RE256" s="56"/>
      <c r="RF256" s="242">
        <f>SUMPRODUCT(PRODUCE!$B257:$DY257,PRODUCE!$EB$58:$IY$58)</f>
        <v>0</v>
      </c>
      <c r="RG256" s="56"/>
      <c r="RH256" s="242">
        <f t="shared" si="1899"/>
        <v>0</v>
      </c>
      <c r="RI256" s="242">
        <f t="shared" si="1900"/>
        <v>147.04000000000002</v>
      </c>
      <c r="RJ256" s="56"/>
      <c r="RM256" s="55">
        <f t="shared" si="1901"/>
        <v>46237</v>
      </c>
      <c r="RN256" s="56"/>
      <c r="RO256" s="242">
        <f>SUMPRODUCT(PRODUCE!$B257:$DY257,PRODUCE!$EB$59:$IY$59)</f>
        <v>0</v>
      </c>
      <c r="RP256" s="56"/>
      <c r="RQ256" s="242">
        <f t="shared" si="1902"/>
        <v>0</v>
      </c>
      <c r="RR256" s="242">
        <f t="shared" si="1903"/>
        <v>46.8</v>
      </c>
      <c r="RS256" s="56"/>
      <c r="RV256" s="55">
        <f t="shared" si="1904"/>
        <v>46237</v>
      </c>
      <c r="RW256" s="56"/>
      <c r="RX256" s="242">
        <f>SUMPRODUCT(PRODUCE!$B257:$DY257,PRODUCE!$EB$57:$IY$57)</f>
        <v>0</v>
      </c>
      <c r="RY256" s="56"/>
      <c r="RZ256" s="242">
        <f t="shared" si="1905"/>
        <v>0</v>
      </c>
      <c r="SA256" s="242">
        <f t="shared" si="1906"/>
        <v>0</v>
      </c>
      <c r="SB256" s="56"/>
      <c r="SE256" s="55">
        <f t="shared" si="1907"/>
        <v>46237</v>
      </c>
      <c r="SF256" s="56"/>
      <c r="SG256" s="242">
        <f>SUMPRODUCT(PRODUCE!$B257:$DY257,PRODUCE!$EB$61:$IY$61)</f>
        <v>0</v>
      </c>
      <c r="SH256" s="56"/>
      <c r="SI256" s="242">
        <f t="shared" si="1908"/>
        <v>0</v>
      </c>
      <c r="SJ256" s="242">
        <f t="shared" si="1909"/>
        <v>24.200000000000003</v>
      </c>
      <c r="SK256" s="56"/>
      <c r="SN256" s="55">
        <f t="shared" si="1910"/>
        <v>46237</v>
      </c>
      <c r="SO256" s="56"/>
      <c r="SP256" s="242">
        <f>SUMPRODUCT(PRODUCE!$B257:$DY257,PRODUCE!$EB$62:$IY$62)</f>
        <v>0</v>
      </c>
      <c r="SQ256" s="56"/>
      <c r="SR256" s="242">
        <f t="shared" si="1911"/>
        <v>0</v>
      </c>
      <c r="SS256" s="242">
        <f t="shared" si="1912"/>
        <v>32</v>
      </c>
      <c r="ST256" s="56"/>
      <c r="SW256" s="55">
        <f t="shared" si="1913"/>
        <v>46237</v>
      </c>
      <c r="SX256" s="56"/>
      <c r="SY256" s="242">
        <f>SUMPRODUCT(PRODUCE!$B257:$DY257,PRODUCE!$EB$57:$IY$57)</f>
        <v>0</v>
      </c>
      <c r="SZ256" s="56"/>
      <c r="TA256" s="242">
        <f t="shared" si="1914"/>
        <v>0</v>
      </c>
      <c r="TB256" s="242">
        <f t="shared" si="1915"/>
        <v>0</v>
      </c>
      <c r="TC256" s="56"/>
      <c r="TF256" s="55">
        <f t="shared" si="1916"/>
        <v>46237</v>
      </c>
      <c r="TG256" s="56"/>
      <c r="TH256" s="242">
        <f>SUMPRODUCT(PRODUCE!$B257:$DY257,PRODUCE!$EB$57:$IY$57)</f>
        <v>0</v>
      </c>
      <c r="TI256" s="56"/>
      <c r="TJ256" s="242">
        <f t="shared" si="1917"/>
        <v>0</v>
      </c>
      <c r="TK256" s="242">
        <f t="shared" si="1918"/>
        <v>0</v>
      </c>
      <c r="TL256" s="56"/>
      <c r="TO256" s="55">
        <f t="shared" si="1919"/>
        <v>46237</v>
      </c>
      <c r="TP256" s="56"/>
      <c r="TQ256" s="242">
        <f>SUMPRODUCT(PRODUCE!$B257:$DY257,PRODUCE!$EB$57:$IY$57)</f>
        <v>0</v>
      </c>
      <c r="TR256" s="56"/>
      <c r="TS256" s="242">
        <f t="shared" si="1920"/>
        <v>0</v>
      </c>
      <c r="TT256" s="242">
        <f t="shared" si="1921"/>
        <v>10.400000000000006</v>
      </c>
      <c r="TU256" s="56"/>
      <c r="TX256" s="55">
        <f t="shared" si="1922"/>
        <v>46237</v>
      </c>
      <c r="TY256" s="56"/>
      <c r="TZ256" s="242">
        <f>SUMPRODUCT(PRODUCE!$B257:$DY257,PRODUCE!$EB$57:$IY$57)</f>
        <v>0</v>
      </c>
      <c r="UA256" s="56"/>
      <c r="UB256" s="242">
        <f t="shared" si="1923"/>
        <v>0</v>
      </c>
      <c r="UC256" s="242">
        <f t="shared" si="1924"/>
        <v>46.799999999999983</v>
      </c>
      <c r="UD256" s="56"/>
      <c r="UG256" s="55">
        <f t="shared" si="1925"/>
        <v>46237</v>
      </c>
      <c r="UH256" s="56"/>
      <c r="UI256" s="242">
        <f>SUMPRODUCT(PRODUCE!$B257:$DY257,PRODUCE!$EB$57:$IY$57)</f>
        <v>0</v>
      </c>
      <c r="UJ256" s="56"/>
      <c r="UK256" s="242">
        <f t="shared" si="1926"/>
        <v>0</v>
      </c>
      <c r="UL256" s="242">
        <f t="shared" si="1927"/>
        <v>204</v>
      </c>
      <c r="UM256" s="56"/>
      <c r="UP256" s="55">
        <f t="shared" si="1928"/>
        <v>46237</v>
      </c>
      <c r="UQ256" s="56"/>
      <c r="UR256" s="242">
        <f>SUMPRODUCT(PRODUCE!$B257:$DY257,PRODUCE!$EB$57:$IY$57)</f>
        <v>0</v>
      </c>
      <c r="US256" s="56"/>
      <c r="UT256" s="242">
        <f t="shared" si="1929"/>
        <v>0</v>
      </c>
      <c r="UU256" s="242">
        <f t="shared" si="1930"/>
        <v>202.5</v>
      </c>
      <c r="UV256" s="56"/>
      <c r="UY256" s="55">
        <f t="shared" si="1931"/>
        <v>46237</v>
      </c>
      <c r="UZ256" s="56"/>
      <c r="VA256" s="242">
        <f>SUMPRODUCT(PRODUCE!$B257:$DY257,PRODUCE!$EB$57:$IY$57)</f>
        <v>0</v>
      </c>
      <c r="VB256" s="56"/>
      <c r="VC256" s="242">
        <f t="shared" si="1932"/>
        <v>0</v>
      </c>
      <c r="VD256" s="242">
        <f t="shared" si="1933"/>
        <v>41.600000000000023</v>
      </c>
      <c r="VE256" s="56"/>
      <c r="VH256" s="55">
        <f t="shared" si="1934"/>
        <v>46237</v>
      </c>
      <c r="VI256" s="56"/>
      <c r="VJ256" s="242">
        <f>SUMPRODUCT(PRODUCE!$B257:$DY257,PRODUCE!$EB$57:$IY$57)</f>
        <v>0</v>
      </c>
      <c r="VK256" s="56"/>
      <c r="VL256" s="242">
        <f t="shared" si="1935"/>
        <v>0</v>
      </c>
      <c r="VM256" s="242">
        <f t="shared" si="1936"/>
        <v>210</v>
      </c>
      <c r="VN256" s="56"/>
      <c r="VQ256" s="55">
        <f t="shared" si="1937"/>
        <v>46237</v>
      </c>
      <c r="VR256" s="56"/>
      <c r="VS256" s="242">
        <f>SUMPRODUCT(PRODUCE!$B257:$DY257,PRODUCE!$EB$57:$IY$57)</f>
        <v>0</v>
      </c>
      <c r="VT256" s="56"/>
      <c r="VU256" s="242">
        <f t="shared" si="1938"/>
        <v>0</v>
      </c>
      <c r="VV256" s="242">
        <f t="shared" si="1939"/>
        <v>0</v>
      </c>
      <c r="VW256" s="56"/>
      <c r="VZ256" s="55">
        <f t="shared" si="1940"/>
        <v>46237</v>
      </c>
      <c r="WA256" s="56"/>
      <c r="WB256" s="242">
        <f>SUMPRODUCT(PRODUCE!$B257:$DY257,PRODUCE!$EB$57:$IY$57)</f>
        <v>0</v>
      </c>
      <c r="WC256" s="56"/>
      <c r="WD256" s="242">
        <f t="shared" si="1941"/>
        <v>0</v>
      </c>
      <c r="WE256" s="242">
        <f t="shared" si="1942"/>
        <v>0</v>
      </c>
      <c r="WF256" s="56"/>
      <c r="WI256" s="55">
        <f t="shared" si="1943"/>
        <v>46237</v>
      </c>
      <c r="WJ256" s="56"/>
      <c r="WK256" s="242">
        <f>SUMPRODUCT(PRODUCE!$B257:$DY257,PRODUCE!$EB$57:$IY$57)</f>
        <v>0</v>
      </c>
      <c r="WL256" s="56"/>
      <c r="WM256" s="242">
        <f t="shared" si="1944"/>
        <v>0</v>
      </c>
      <c r="WN256" s="242">
        <f t="shared" si="1945"/>
        <v>1057</v>
      </c>
      <c r="WO256" s="56"/>
      <c r="WR256" s="55">
        <f t="shared" si="1946"/>
        <v>46237</v>
      </c>
      <c r="WS256" s="56"/>
      <c r="WT256" s="242">
        <f>SUMPRODUCT(PRODUCE!$B257:$DY257,PRODUCE!$EB$57:$IY$57)</f>
        <v>0</v>
      </c>
      <c r="WU256" s="56"/>
      <c r="WV256" s="242">
        <f t="shared" si="1947"/>
        <v>0</v>
      </c>
      <c r="WW256" s="242">
        <f t="shared" si="1948"/>
        <v>0</v>
      </c>
      <c r="WX256" s="56"/>
      <c r="XA256" s="55">
        <f t="shared" si="1949"/>
        <v>46237</v>
      </c>
      <c r="XB256" s="56"/>
      <c r="XC256" s="242">
        <f>SUMPRODUCT(PRODUCE!$B257:$DY257,PRODUCE!$EB$57:$IY$57)</f>
        <v>0</v>
      </c>
      <c r="XD256" s="56"/>
      <c r="XE256" s="242">
        <f t="shared" si="1950"/>
        <v>0</v>
      </c>
      <c r="XF256" s="242">
        <f t="shared" si="1951"/>
        <v>7507</v>
      </c>
      <c r="XG256" s="56"/>
      <c r="XJ256" s="55">
        <f t="shared" si="1952"/>
        <v>46237</v>
      </c>
      <c r="XK256" s="56"/>
      <c r="XL256" s="242">
        <f>SUMPRODUCT(PRODUCE!$B257:$DY257,PRODUCE!$EB$57:$IY$57)</f>
        <v>0</v>
      </c>
      <c r="XM256" s="56"/>
      <c r="XN256" s="242">
        <f t="shared" si="1953"/>
        <v>0</v>
      </c>
      <c r="XO256" s="242">
        <f t="shared" si="1954"/>
        <v>4252</v>
      </c>
      <c r="XP256" s="56"/>
      <c r="XS256" s="55">
        <f t="shared" si="1955"/>
        <v>46237</v>
      </c>
      <c r="XT256" s="56"/>
      <c r="XU256" s="242">
        <f>SUMPRODUCT(PRODUCE!$B257:$DY257,PRODUCE!$EB$57:$IY$57)</f>
        <v>0</v>
      </c>
      <c r="XV256" s="56"/>
      <c r="XW256" s="242">
        <f t="shared" si="1956"/>
        <v>0</v>
      </c>
      <c r="XX256" s="242">
        <f t="shared" si="1957"/>
        <v>2179</v>
      </c>
      <c r="XY256" s="56"/>
      <c r="YB256" s="55">
        <f t="shared" si="1958"/>
        <v>46237</v>
      </c>
      <c r="YC256" s="56"/>
      <c r="YD256" s="242">
        <f>SUMPRODUCT(PRODUCE!$B257:$DY257,PRODUCE!$EB$57:$IY$57)</f>
        <v>0</v>
      </c>
      <c r="YE256" s="56"/>
      <c r="YF256" s="242">
        <f t="shared" si="1959"/>
        <v>0</v>
      </c>
      <c r="YG256" s="242">
        <f t="shared" si="1960"/>
        <v>4019</v>
      </c>
      <c r="YH256" s="56"/>
      <c r="YK256" s="55">
        <f t="shared" si="1961"/>
        <v>46237</v>
      </c>
      <c r="YL256" s="56"/>
      <c r="YM256" s="242">
        <f>SUMPRODUCT(PRODUCE!$B257:$DY257,PRODUCE!$EB$57:$IY$57)</f>
        <v>0</v>
      </c>
      <c r="YN256" s="56">
        <v>218</v>
      </c>
      <c r="YO256" s="242">
        <f t="shared" si="1962"/>
        <v>-218</v>
      </c>
      <c r="YP256" s="242">
        <f t="shared" si="1963"/>
        <v>-218</v>
      </c>
      <c r="YQ256" s="56"/>
      <c r="YT256" s="55">
        <f t="shared" si="1964"/>
        <v>46237</v>
      </c>
      <c r="YU256" s="56"/>
      <c r="YV256" s="242">
        <f>SUMPRODUCT(PRODUCE!$B257:$DY257,PRODUCE!$EB$57:$IY$57)</f>
        <v>0</v>
      </c>
      <c r="YW256" s="56"/>
      <c r="YX256" s="242">
        <f t="shared" si="1965"/>
        <v>0</v>
      </c>
      <c r="YY256" s="242">
        <f t="shared" si="1966"/>
        <v>0</v>
      </c>
      <c r="YZ256" s="56"/>
      <c r="ZC256" s="55">
        <f t="shared" si="1967"/>
        <v>46237</v>
      </c>
      <c r="ZD256" s="56"/>
      <c r="ZE256" s="242">
        <f>SUMPRODUCT(PRODUCE!$B257:$DY257,PRODUCE!$EB$57:$IY$57)</f>
        <v>0</v>
      </c>
      <c r="ZF256" s="56"/>
      <c r="ZG256" s="242">
        <f t="shared" si="1968"/>
        <v>0</v>
      </c>
      <c r="ZH256" s="242">
        <f t="shared" si="1969"/>
        <v>0</v>
      </c>
      <c r="ZI256" s="56"/>
      <c r="ZL256" s="55">
        <f t="shared" si="1970"/>
        <v>46237</v>
      </c>
      <c r="ZM256" s="56"/>
      <c r="ZN256" s="242">
        <f>SUMPRODUCT(PRODUCE!$B257:$DY257,PRODUCE!$EB$57:$IY$57)</f>
        <v>0</v>
      </c>
      <c r="ZO256" s="56"/>
      <c r="ZP256" s="242">
        <f t="shared" si="1971"/>
        <v>0</v>
      </c>
      <c r="ZQ256" s="242">
        <f t="shared" si="1972"/>
        <v>0</v>
      </c>
      <c r="ZR256" s="56"/>
      <c r="ZU256" s="55">
        <f t="shared" si="1973"/>
        <v>46237</v>
      </c>
      <c r="ZV256" s="56"/>
      <c r="ZW256" s="242">
        <f>SUMPRODUCT(PRODUCE!$B257:$DY257,PRODUCE!$EB$57:$IY$57)</f>
        <v>0</v>
      </c>
      <c r="ZX256" s="56"/>
      <c r="ZY256" s="242">
        <f t="shared" si="1974"/>
        <v>0</v>
      </c>
      <c r="ZZ256" s="242">
        <f t="shared" si="1975"/>
        <v>0</v>
      </c>
      <c r="AAA256" s="56"/>
      <c r="AAD256" s="55">
        <f t="shared" si="1976"/>
        <v>46237</v>
      </c>
      <c r="AAE256" s="56"/>
      <c r="AAF256" s="242">
        <f>SUMPRODUCT(PRODUCE!$B257:$DY257,PRODUCE!$EB$57:$IY$57)</f>
        <v>0</v>
      </c>
      <c r="AAG256" s="56"/>
      <c r="AAH256" s="242">
        <f t="shared" si="1977"/>
        <v>0</v>
      </c>
      <c r="AAI256" s="242">
        <f t="shared" si="1978"/>
        <v>0</v>
      </c>
      <c r="AAJ256" s="56"/>
      <c r="AAM256" s="55">
        <f t="shared" si="1979"/>
        <v>46237</v>
      </c>
      <c r="AAN256" s="56"/>
      <c r="AAO256" s="242">
        <f>SUMPRODUCT(PRODUCE!$B257:$DY257,PRODUCE!$EB$57:$IY$57)</f>
        <v>0</v>
      </c>
      <c r="AAP256" s="56"/>
      <c r="AAQ256" s="242">
        <f t="shared" si="1980"/>
        <v>0</v>
      </c>
      <c r="AAR256" s="242">
        <f t="shared" si="1981"/>
        <v>0</v>
      </c>
      <c r="AAS256" s="56"/>
      <c r="AAV256" s="55">
        <f t="shared" si="1982"/>
        <v>46237</v>
      </c>
      <c r="AAW256" s="56"/>
      <c r="AAX256" s="242">
        <f>SUMPRODUCT(PRODUCE!$B257:$DY257,PRODUCE!$EB$57:$IY$57)</f>
        <v>0</v>
      </c>
      <c r="AAY256" s="56"/>
      <c r="AAZ256" s="242">
        <f t="shared" si="1983"/>
        <v>0</v>
      </c>
      <c r="ABA256" s="242">
        <f t="shared" si="1984"/>
        <v>0</v>
      </c>
      <c r="ABB256" s="56"/>
      <c r="ABE256" s="55">
        <f t="shared" si="1985"/>
        <v>46237</v>
      </c>
      <c r="ABF256" s="56"/>
      <c r="ABG256" s="242">
        <f>SUMPRODUCT(PRODUCE!$B257:$DY257,PRODUCE!$EB$57:$IY$57)</f>
        <v>0</v>
      </c>
      <c r="ABH256" s="56"/>
      <c r="ABI256" s="242">
        <f t="shared" si="1986"/>
        <v>0</v>
      </c>
      <c r="ABJ256" s="242">
        <f t="shared" si="1987"/>
        <v>0</v>
      </c>
      <c r="ABK256" s="56"/>
    </row>
    <row r="257" spans="2:739" s="54" customFormat="1" ht="15" customHeight="1" outlineLevel="1">
      <c r="B257" s="478"/>
      <c r="C257" s="55">
        <v>46238</v>
      </c>
      <c r="D257" s="56">
        <v>38850</v>
      </c>
      <c r="E257" s="57">
        <f>SUMPRODUCT(PRODUCE!$B258:$DY258,PRODUCE!$EB$7:$IY$7)</f>
        <v>14778.4</v>
      </c>
      <c r="F257" s="56">
        <v>19402.2</v>
      </c>
      <c r="G257" s="57">
        <f t="shared" si="1743"/>
        <v>-4623.8000000000011</v>
      </c>
      <c r="H257" s="57">
        <f t="shared" si="1744"/>
        <v>201934.6</v>
      </c>
      <c r="I257" s="289"/>
      <c r="L257" s="55">
        <f t="shared" si="1745"/>
        <v>46238</v>
      </c>
      <c r="M257" s="56"/>
      <c r="N257" s="59">
        <f>SUMPRODUCT(PRODUCE!$B258:$DY258,PRODUCE!$EB$8:$IY$8)</f>
        <v>8522.8000000000011</v>
      </c>
      <c r="O257" s="56"/>
      <c r="P257" s="59">
        <f t="shared" si="1746"/>
        <v>8522.8000000000011</v>
      </c>
      <c r="Q257" s="59">
        <f t="shared" si="1747"/>
        <v>53017.600000000071</v>
      </c>
      <c r="R257" s="56"/>
      <c r="U257" s="55">
        <f t="shared" si="1748"/>
        <v>46238</v>
      </c>
      <c r="V257" s="56"/>
      <c r="W257" s="60">
        <f>SUMPRODUCT(PRODUCE!$B258:$DY258,PRODUCE!$EB$9:$IY$9)</f>
        <v>650</v>
      </c>
      <c r="X257" s="56"/>
      <c r="Y257" s="60">
        <f t="shared" si="1749"/>
        <v>650</v>
      </c>
      <c r="Z257" s="60">
        <f t="shared" si="1750"/>
        <v>42674.199999999968</v>
      </c>
      <c r="AA257" s="56"/>
      <c r="AD257" s="55">
        <f t="shared" si="1751"/>
        <v>46238</v>
      </c>
      <c r="AE257" s="56"/>
      <c r="AF257" s="61">
        <f>SUMPRODUCT(PRODUCE!$B258:$DY258,PRODUCE!$EB$10:$IY$10)</f>
        <v>0</v>
      </c>
      <c r="AG257" s="56"/>
      <c r="AH257" s="61">
        <f t="shared" si="1752"/>
        <v>0</v>
      </c>
      <c r="AI257" s="61">
        <f t="shared" si="1753"/>
        <v>4522.2000000000189</v>
      </c>
      <c r="AJ257" s="56"/>
      <c r="AM257" s="55">
        <f t="shared" si="1754"/>
        <v>46238</v>
      </c>
      <c r="AN257" s="422"/>
      <c r="AO257" s="444">
        <f>SUMPRODUCT(PRODUCE!$B258:$DY258,PRODUCE!$EB$11:$IY$11)</f>
        <v>0</v>
      </c>
      <c r="AP257" s="422"/>
      <c r="AQ257" s="444">
        <f t="shared" si="1755"/>
        <v>0</v>
      </c>
      <c r="AR257" s="444">
        <f t="shared" si="1756"/>
        <v>0</v>
      </c>
      <c r="AS257" s="56"/>
      <c r="AV257" s="55">
        <f t="shared" si="1757"/>
        <v>46238</v>
      </c>
      <c r="AW257" s="56"/>
      <c r="AX257" s="62">
        <f>SUMPRODUCT(PRODUCE!$B258:$DY258,PRODUCE!$EB$12:$IY$12)</f>
        <v>525.19999999999993</v>
      </c>
      <c r="AY257" s="56"/>
      <c r="AZ257" s="62">
        <f t="shared" si="1758"/>
        <v>525.19999999999993</v>
      </c>
      <c r="BA257" s="62">
        <f t="shared" si="1759"/>
        <v>124.99999999999523</v>
      </c>
      <c r="BB257" s="56"/>
      <c r="BE257" s="55">
        <f t="shared" si="1760"/>
        <v>46238</v>
      </c>
      <c r="BF257" s="56"/>
      <c r="BG257" s="63">
        <f>SUMPRODUCT(PRODUCE!$B258:$DY258,PRODUCE!$EB$13:$IY$13)</f>
        <v>0</v>
      </c>
      <c r="BH257" s="56"/>
      <c r="BI257" s="63">
        <f t="shared" si="1761"/>
        <v>0</v>
      </c>
      <c r="BJ257" s="63">
        <f t="shared" si="1762"/>
        <v>26151.899999999998</v>
      </c>
      <c r="BK257" s="56"/>
      <c r="BN257" s="55">
        <f t="shared" si="1763"/>
        <v>46238</v>
      </c>
      <c r="BO257" s="56"/>
      <c r="BP257" s="64">
        <f>SUMPRODUCT(PRODUCE!$B258:$DY258,PRODUCE!$EB$14:$IY$14)</f>
        <v>299</v>
      </c>
      <c r="BQ257" s="56"/>
      <c r="BR257" s="64">
        <f t="shared" si="1764"/>
        <v>299</v>
      </c>
      <c r="BS257" s="64">
        <f t="shared" si="1765"/>
        <v>0</v>
      </c>
      <c r="BT257" s="56"/>
      <c r="BW257" s="55">
        <f t="shared" si="1766"/>
        <v>46238</v>
      </c>
      <c r="BX257" s="56"/>
      <c r="BY257" s="65">
        <f>SUMPRODUCT(PRODUCE!$B258:$DY258,PRODUCE!$EB$15:$IY$15)</f>
        <v>0</v>
      </c>
      <c r="BZ257" s="56">
        <v>61.56</v>
      </c>
      <c r="CA257" s="65">
        <f t="shared" si="1767"/>
        <v>-61.56</v>
      </c>
      <c r="CB257" s="65">
        <f t="shared" si="1768"/>
        <v>3260.9399999999987</v>
      </c>
      <c r="CC257" s="56"/>
      <c r="CF257" s="55">
        <f t="shared" si="1769"/>
        <v>46238</v>
      </c>
      <c r="CG257" s="56"/>
      <c r="CH257" s="66">
        <f>SUMPRODUCT(PRODUCE!$B258:$DY258,PRODUCE!$EB$16:$IY$16)</f>
        <v>0</v>
      </c>
      <c r="CI257" s="56"/>
      <c r="CJ257" s="66">
        <f t="shared" si="1770"/>
        <v>0</v>
      </c>
      <c r="CK257" s="66">
        <f t="shared" si="1771"/>
        <v>-10277.079999999998</v>
      </c>
      <c r="CL257" s="56"/>
      <c r="CO257" s="55">
        <f t="shared" si="1772"/>
        <v>46238</v>
      </c>
      <c r="CP257" s="422"/>
      <c r="CQ257" s="470">
        <f>SUMPRODUCT(PRODUCE!$B258:$DY258,PRODUCE!$EB$17:$IY$17)</f>
        <v>0</v>
      </c>
      <c r="CR257" s="422"/>
      <c r="CS257" s="470">
        <f t="shared" si="1773"/>
        <v>0</v>
      </c>
      <c r="CT257" s="470">
        <f t="shared" si="1774"/>
        <v>0</v>
      </c>
      <c r="CU257" s="56"/>
      <c r="CX257" s="55">
        <f t="shared" si="1775"/>
        <v>46238</v>
      </c>
      <c r="CY257" s="56"/>
      <c r="CZ257" s="133">
        <f>SUMPRODUCT(PRODUCE!$B258:$DY258,PRODUCE!$EB$18:$IY$18)</f>
        <v>0</v>
      </c>
      <c r="DA257" s="56"/>
      <c r="DB257" s="133">
        <f t="shared" si="1776"/>
        <v>0</v>
      </c>
      <c r="DC257" s="133">
        <f t="shared" si="1777"/>
        <v>27438.200000000012</v>
      </c>
      <c r="DD257" s="56"/>
      <c r="DG257" s="55">
        <f t="shared" si="1778"/>
        <v>46238</v>
      </c>
      <c r="DH257" s="56"/>
      <c r="DI257" s="147">
        <f>SUMPRODUCT(PRODUCE!$B258:$DY258,PRODUCE!$EB$19:$IY$19)</f>
        <v>650</v>
      </c>
      <c r="DJ257" s="56"/>
      <c r="DK257" s="147">
        <f t="shared" si="1779"/>
        <v>650</v>
      </c>
      <c r="DL257" s="147">
        <f t="shared" si="1780"/>
        <v>18782.299999999981</v>
      </c>
      <c r="DM257" s="56"/>
      <c r="DP257" s="55">
        <f t="shared" si="1781"/>
        <v>46238</v>
      </c>
      <c r="DQ257" s="56"/>
      <c r="DR257" s="57">
        <f>SUMPRODUCT(PRODUCE!$B258:$DY258,PRODUCE!$EB$20:$IY$20)</f>
        <v>0</v>
      </c>
      <c r="DS257" s="56"/>
      <c r="DT257" s="57">
        <f t="shared" si="1782"/>
        <v>0</v>
      </c>
      <c r="DU257" s="57">
        <f t="shared" si="1783"/>
        <v>5800</v>
      </c>
      <c r="DV257" s="56"/>
      <c r="DY257" s="55">
        <f t="shared" si="1784"/>
        <v>46238</v>
      </c>
      <c r="DZ257" s="56"/>
      <c r="EA257" s="157">
        <f>SUMPRODUCT(PRODUCE!$B258:$DY258,PRODUCE!$EB$21:$IY$21)</f>
        <v>0</v>
      </c>
      <c r="EB257" s="56"/>
      <c r="EC257" s="157">
        <f t="shared" si="1785"/>
        <v>0</v>
      </c>
      <c r="ED257" s="157">
        <f t="shared" si="1786"/>
        <v>0</v>
      </c>
      <c r="EE257" s="56"/>
      <c r="EH257" s="55">
        <f t="shared" si="1787"/>
        <v>46238</v>
      </c>
      <c r="EI257" s="56"/>
      <c r="EJ257" s="162">
        <f>SUMPRODUCT(PRODUCE!$B258:$DY258,PRODUCE!$EB$22:$IY$22)</f>
        <v>0</v>
      </c>
      <c r="EK257" s="56"/>
      <c r="EL257" s="162">
        <f t="shared" si="1788"/>
        <v>0</v>
      </c>
      <c r="EM257" s="162">
        <f t="shared" si="1789"/>
        <v>0</v>
      </c>
      <c r="EN257" s="56"/>
      <c r="EQ257" s="55">
        <f t="shared" si="1790"/>
        <v>46238</v>
      </c>
      <c r="ER257" s="56"/>
      <c r="ES257" s="135">
        <f>SUMPRODUCT(PRODUCE!$B258:$DY258,PRODUCE!$EB$23:$IY$23)</f>
        <v>0</v>
      </c>
      <c r="ET257" s="56"/>
      <c r="EU257" s="135">
        <f t="shared" si="1791"/>
        <v>0</v>
      </c>
      <c r="EV257" s="135">
        <f t="shared" si="1792"/>
        <v>0</v>
      </c>
      <c r="EW257" s="56"/>
      <c r="EZ257" s="55">
        <f t="shared" si="1793"/>
        <v>46238</v>
      </c>
      <c r="FA257" s="56"/>
      <c r="FB257" s="175">
        <f>SUMPRODUCT(PRODUCE!$B258:$DY258,PRODUCE!$EB$24:$IY$24)</f>
        <v>0</v>
      </c>
      <c r="FC257" s="56"/>
      <c r="FD257" s="175">
        <f t="shared" si="1794"/>
        <v>0</v>
      </c>
      <c r="FE257" s="175">
        <f t="shared" si="1795"/>
        <v>0</v>
      </c>
      <c r="FF257" s="56"/>
      <c r="FI257" s="55">
        <f t="shared" si="1796"/>
        <v>46238</v>
      </c>
      <c r="FJ257" s="56"/>
      <c r="FK257" s="183">
        <f>SUMPRODUCT(PRODUCE!$B258:$DY258,PRODUCE!$EB$25:$IY$25)</f>
        <v>0</v>
      </c>
      <c r="FL257" s="56"/>
      <c r="FM257" s="183">
        <f t="shared" si="1797"/>
        <v>0</v>
      </c>
      <c r="FN257" s="183">
        <f t="shared" si="1798"/>
        <v>0</v>
      </c>
      <c r="FO257" s="56"/>
      <c r="FR257" s="55">
        <f t="shared" si="1799"/>
        <v>46238</v>
      </c>
      <c r="FS257" s="56"/>
      <c r="FT257" s="186">
        <f>SUMPRODUCT(PRODUCE!$B258:$DY258,PRODUCE!$EB$26:$IY$26)</f>
        <v>0</v>
      </c>
      <c r="FU257" s="56"/>
      <c r="FV257" s="186">
        <f t="shared" si="1800"/>
        <v>0</v>
      </c>
      <c r="FW257" s="186">
        <f t="shared" si="1801"/>
        <v>540</v>
      </c>
      <c r="FX257" s="56"/>
      <c r="GA257" s="55">
        <f t="shared" si="1802"/>
        <v>46238</v>
      </c>
      <c r="GB257" s="56"/>
      <c r="GC257" s="137">
        <f>SUMPRODUCT(PRODUCE!$B258:$DY258,PRODUCE!$EB$27:$IY$27)</f>
        <v>0</v>
      </c>
      <c r="GD257" s="56"/>
      <c r="GE257" s="137">
        <f t="shared" si="1803"/>
        <v>0</v>
      </c>
      <c r="GF257" s="137">
        <f t="shared" si="1804"/>
        <v>960</v>
      </c>
      <c r="GG257" s="56"/>
      <c r="GI257" s="23"/>
      <c r="GJ257" s="55">
        <f t="shared" si="1805"/>
        <v>46238</v>
      </c>
      <c r="GK257" s="56"/>
      <c r="GL257" s="199">
        <f>SUMPRODUCT(PRODUCE!$B258:$DY258,PRODUCE!$EB$28:$IY$28)</f>
        <v>0</v>
      </c>
      <c r="GM257" s="56"/>
      <c r="GN257" s="199">
        <f t="shared" si="1806"/>
        <v>0</v>
      </c>
      <c r="GO257" s="199">
        <f t="shared" si="1807"/>
        <v>1760</v>
      </c>
      <c r="GP257" s="56"/>
      <c r="GS257" s="55">
        <f t="shared" si="1808"/>
        <v>46238</v>
      </c>
      <c r="GT257" s="56"/>
      <c r="GU257" s="195">
        <f>SUMPRODUCT(PRODUCE!$B258:$DY258,PRODUCE!$EB$29:$IY$29)</f>
        <v>0</v>
      </c>
      <c r="GV257" s="56"/>
      <c r="GW257" s="195">
        <f t="shared" si="1809"/>
        <v>0</v>
      </c>
      <c r="GX257" s="195">
        <f t="shared" si="1810"/>
        <v>400</v>
      </c>
      <c r="GY257" s="56"/>
      <c r="HB257" s="55">
        <f t="shared" si="1811"/>
        <v>46238</v>
      </c>
      <c r="HC257" s="56"/>
      <c r="HD257" s="191">
        <f>SUMPRODUCT(PRODUCE!$B258:$DY258,PRODUCE!$EB$30:$IY$30)</f>
        <v>0</v>
      </c>
      <c r="HE257" s="56"/>
      <c r="HF257" s="191">
        <f t="shared" si="1812"/>
        <v>0</v>
      </c>
      <c r="HG257" s="191">
        <f t="shared" si="1813"/>
        <v>3600</v>
      </c>
      <c r="HH257" s="56"/>
      <c r="HK257" s="55">
        <f t="shared" si="1814"/>
        <v>46238</v>
      </c>
      <c r="HL257" s="56"/>
      <c r="HM257" s="63">
        <f>SUMPRODUCT(PRODUCE!$B258:$DY258,PRODUCE!$EB$31:$IY$31)</f>
        <v>0</v>
      </c>
      <c r="HN257" s="56"/>
      <c r="HO257" s="63">
        <f t="shared" si="1815"/>
        <v>0</v>
      </c>
      <c r="HP257" s="63">
        <f t="shared" si="1816"/>
        <v>0</v>
      </c>
      <c r="HQ257" s="56"/>
      <c r="HU257" s="55">
        <f t="shared" si="1817"/>
        <v>46238</v>
      </c>
      <c r="HV257" s="56"/>
      <c r="HW257" s="242">
        <f>SUMPRODUCT(PRODUCE!$B258:$DY258,PRODUCE!$EB$32:$IY$32)</f>
        <v>0</v>
      </c>
      <c r="HX257" s="56"/>
      <c r="HY257" s="242">
        <f t="shared" si="1818"/>
        <v>0</v>
      </c>
      <c r="HZ257" s="242">
        <f t="shared" si="1819"/>
        <v>5920</v>
      </c>
      <c r="IA257" s="56"/>
      <c r="ID257" s="55">
        <f t="shared" si="1820"/>
        <v>46238</v>
      </c>
      <c r="IE257" s="56"/>
      <c r="IF257" s="242">
        <f>SUMPRODUCT(PRODUCE!$B258:$DY258,PRODUCE!$EB$33:$IY$33)</f>
        <v>0</v>
      </c>
      <c r="IG257" s="56"/>
      <c r="IH257" s="242">
        <f t="shared" si="1821"/>
        <v>0</v>
      </c>
      <c r="II257" s="242">
        <f t="shared" si="1822"/>
        <v>720</v>
      </c>
      <c r="IJ257" s="56"/>
      <c r="IM257" s="55">
        <f t="shared" si="1823"/>
        <v>46238</v>
      </c>
      <c r="IN257" s="56"/>
      <c r="IO257" s="242">
        <f>SUMPRODUCT(PRODUCE!$B258:$DY258,PRODUCE!$EB$34:$IY$34)</f>
        <v>0</v>
      </c>
      <c r="IP257" s="56"/>
      <c r="IQ257" s="242">
        <f t="shared" si="1824"/>
        <v>0</v>
      </c>
      <c r="IR257" s="242">
        <f t="shared" si="1825"/>
        <v>1680</v>
      </c>
      <c r="IS257" s="56"/>
      <c r="IV257" s="55">
        <f t="shared" si="1826"/>
        <v>46238</v>
      </c>
      <c r="IW257" s="56"/>
      <c r="IX257" s="242">
        <f>SUMPRODUCT(PRODUCE!$B258:$DY258,PRODUCE!$EB$35:$IY$35)</f>
        <v>0</v>
      </c>
      <c r="IY257" s="56"/>
      <c r="IZ257" s="242">
        <f t="shared" si="1827"/>
        <v>0</v>
      </c>
      <c r="JA257" s="242">
        <f t="shared" si="1828"/>
        <v>4960</v>
      </c>
      <c r="JB257" s="56"/>
      <c r="JE257" s="55">
        <f t="shared" si="1829"/>
        <v>46238</v>
      </c>
      <c r="JF257" s="56"/>
      <c r="JG257" s="242">
        <f>SUMPRODUCT(PRODUCE!$B258:$DY258,PRODUCE!$EB$36:$IY$36)</f>
        <v>0</v>
      </c>
      <c r="JH257" s="56"/>
      <c r="JI257" s="242">
        <f t="shared" si="1830"/>
        <v>0</v>
      </c>
      <c r="JJ257" s="242">
        <f t="shared" si="1831"/>
        <v>0</v>
      </c>
      <c r="JK257" s="56"/>
      <c r="JN257" s="55">
        <f t="shared" si="1832"/>
        <v>46238</v>
      </c>
      <c r="JO257" s="56"/>
      <c r="JP257" s="242">
        <f>SUMPRODUCT(PRODUCE!$B258:$DY258,PRODUCE!$EB$37:$IY$37)</f>
        <v>0</v>
      </c>
      <c r="JQ257" s="56"/>
      <c r="JR257" s="242">
        <f t="shared" si="1833"/>
        <v>0</v>
      </c>
      <c r="JS257" s="242">
        <f t="shared" si="1834"/>
        <v>0</v>
      </c>
      <c r="JT257" s="56"/>
      <c r="JW257" s="55">
        <f t="shared" si="1835"/>
        <v>46238</v>
      </c>
      <c r="JX257" s="56"/>
      <c r="JY257" s="242">
        <f>SUMPRODUCT(PRODUCE!$B258:$DY258,PRODUCE!$EB$38:$IY$38)</f>
        <v>0</v>
      </c>
      <c r="JZ257" s="56"/>
      <c r="KA257" s="242">
        <f t="shared" si="1836"/>
        <v>0</v>
      </c>
      <c r="KB257" s="242">
        <f t="shared" si="1837"/>
        <v>2540</v>
      </c>
      <c r="KC257" s="56"/>
      <c r="KF257" s="55">
        <f t="shared" si="1838"/>
        <v>46238</v>
      </c>
      <c r="KG257" s="56"/>
      <c r="KH257" s="242">
        <f>SUMPRODUCT(PRODUCE!$B258:$DY258,PRODUCE!$EB$39:$IY$39)</f>
        <v>0</v>
      </c>
      <c r="KI257" s="56"/>
      <c r="KJ257" s="242">
        <f t="shared" si="1839"/>
        <v>0</v>
      </c>
      <c r="KK257" s="242">
        <f t="shared" si="1840"/>
        <v>2359.5</v>
      </c>
      <c r="KL257" s="56"/>
      <c r="KO257" s="55">
        <f t="shared" si="1841"/>
        <v>46238</v>
      </c>
      <c r="KP257" s="56"/>
      <c r="KQ257" s="242">
        <f>SUMPRODUCT(PRODUCE!$B258:$DY258,PRODUCE!$EB$40:$IY$40)</f>
        <v>0</v>
      </c>
      <c r="KR257" s="56"/>
      <c r="KS257" s="242">
        <f t="shared" si="1842"/>
        <v>0</v>
      </c>
      <c r="KT257" s="242">
        <f t="shared" si="1843"/>
        <v>1890</v>
      </c>
      <c r="KU257" s="56"/>
      <c r="KW257" s="23"/>
      <c r="KX257" s="55">
        <f t="shared" si="1844"/>
        <v>46238</v>
      </c>
      <c r="KY257" s="56"/>
      <c r="KZ257" s="242">
        <f>SUMPRODUCT(PRODUCE!$B258:$DY258,PRODUCE!$EB$41:$IY$41)</f>
        <v>0</v>
      </c>
      <c r="LA257" s="56"/>
      <c r="LB257" s="242">
        <f t="shared" si="1845"/>
        <v>0</v>
      </c>
      <c r="LC257" s="242">
        <f t="shared" si="1846"/>
        <v>3690</v>
      </c>
      <c r="LD257" s="56"/>
      <c r="LG257" s="55">
        <f t="shared" si="1847"/>
        <v>46238</v>
      </c>
      <c r="LH257" s="56"/>
      <c r="LI257" s="242">
        <f>SUMPRODUCT(PRODUCE!$B258:$DY258,PRODUCE!$EB$42:$IY$42)</f>
        <v>0</v>
      </c>
      <c r="LJ257" s="56"/>
      <c r="LK257" s="242">
        <f t="shared" si="1848"/>
        <v>0</v>
      </c>
      <c r="LL257" s="242">
        <f t="shared" si="1849"/>
        <v>4000</v>
      </c>
      <c r="LM257" s="56"/>
      <c r="LP257" s="55">
        <f t="shared" si="1850"/>
        <v>46238</v>
      </c>
      <c r="LQ257" s="56"/>
      <c r="LR257" s="242">
        <f>SUMPRODUCT(PRODUCE!$B272:$DY272,PRODUCE!$EB$43:$IY$43)</f>
        <v>0</v>
      </c>
      <c r="LS257" s="56"/>
      <c r="LT257" s="242">
        <f t="shared" si="1851"/>
        <v>0</v>
      </c>
      <c r="LU257" s="242">
        <f t="shared" si="1852"/>
        <v>0</v>
      </c>
      <c r="LV257" s="56"/>
      <c r="LY257" s="55">
        <f t="shared" si="1853"/>
        <v>46238</v>
      </c>
      <c r="LZ257" s="56"/>
      <c r="MA257" s="242">
        <f>SUMPRODUCT(PRODUCE!$B258:$DY258,PRODUCE!$EB$44:$IY$44)</f>
        <v>0</v>
      </c>
      <c r="MB257" s="56"/>
      <c r="MC257" s="242">
        <f t="shared" si="1854"/>
        <v>0</v>
      </c>
      <c r="MD257" s="242">
        <f t="shared" si="1855"/>
        <v>0</v>
      </c>
      <c r="ME257" s="56"/>
      <c r="MH257" s="55">
        <f t="shared" si="1856"/>
        <v>46238</v>
      </c>
      <c r="MI257" s="56"/>
      <c r="MJ257" s="242">
        <f>SUMPRODUCT(PRODUCE!$B258:$DY258,PRODUCE!$EB$45:$IY$45)</f>
        <v>0</v>
      </c>
      <c r="MK257" s="56"/>
      <c r="ML257" s="242">
        <f t="shared" si="1857"/>
        <v>0</v>
      </c>
      <c r="MM257" s="242">
        <f t="shared" si="1858"/>
        <v>0</v>
      </c>
      <c r="MN257" s="56"/>
      <c r="MQ257" s="55">
        <f t="shared" si="1859"/>
        <v>46238</v>
      </c>
      <c r="MR257" s="56"/>
      <c r="MS257" s="242">
        <f>SUMPRODUCT(PRODUCE!$B258:$DY258,PRODUCE!$EB$46:$IY$46)</f>
        <v>0</v>
      </c>
      <c r="MT257" s="56">
        <v>14</v>
      </c>
      <c r="MU257" s="242">
        <f t="shared" si="1860"/>
        <v>-14</v>
      </c>
      <c r="MV257" s="242">
        <f t="shared" si="1861"/>
        <v>2202</v>
      </c>
      <c r="MW257" s="56"/>
      <c r="MZ257" s="55">
        <f t="shared" si="1862"/>
        <v>46238</v>
      </c>
      <c r="NA257" s="56"/>
      <c r="NB257" s="242">
        <f>SUMPRODUCT(PRODUCE!$B258:$DY258,PRODUCE!$EB$47:$IY$47)</f>
        <v>0</v>
      </c>
      <c r="NC257" s="56"/>
      <c r="ND257" s="242">
        <f t="shared" si="1863"/>
        <v>0</v>
      </c>
      <c r="NE257" s="242">
        <f t="shared" si="1864"/>
        <v>0</v>
      </c>
      <c r="NF257" s="56"/>
      <c r="NI257" s="55">
        <f t="shared" si="1865"/>
        <v>46238</v>
      </c>
      <c r="NJ257" s="56"/>
      <c r="NK257" s="242">
        <f>SUMPRODUCT(PRODUCE!$B258:$DY258,PRODUCE!$EB$48:$IY$48)</f>
        <v>0</v>
      </c>
      <c r="NL257" s="56"/>
      <c r="NM257" s="242">
        <f t="shared" si="1866"/>
        <v>0</v>
      </c>
      <c r="NN257" s="242">
        <f t="shared" si="1867"/>
        <v>1127</v>
      </c>
      <c r="NO257" s="56"/>
      <c r="NR257" s="55">
        <f t="shared" si="1868"/>
        <v>46238</v>
      </c>
      <c r="NS257" s="56"/>
      <c r="NT257" s="242">
        <f>SUMPRODUCT(PRODUCE!$B258:$DY258,PRODUCE!$EB$49:$IY$49)</f>
        <v>0</v>
      </c>
      <c r="NU257" s="56"/>
      <c r="NV257" s="242">
        <f t="shared" si="1869"/>
        <v>0</v>
      </c>
      <c r="NW257" s="242">
        <f t="shared" si="1870"/>
        <v>3111.9999999999995</v>
      </c>
      <c r="NX257" s="56"/>
      <c r="OA257" s="55">
        <f t="shared" si="1871"/>
        <v>46238</v>
      </c>
      <c r="OB257" s="56"/>
      <c r="OC257" s="242">
        <f>SUMPRODUCT(PRODUCE!$B258:$DY258,PRODUCE!$EB$50:$IY$50)</f>
        <v>0</v>
      </c>
      <c r="OD257" s="56"/>
      <c r="OE257" s="242">
        <f t="shared" si="1872"/>
        <v>0</v>
      </c>
      <c r="OF257" s="242">
        <f t="shared" si="1873"/>
        <v>1680.5</v>
      </c>
      <c r="OG257" s="56"/>
      <c r="OJ257" s="55">
        <f t="shared" si="1874"/>
        <v>46238</v>
      </c>
      <c r="OK257" s="56"/>
      <c r="OL257" s="242">
        <f>SUMPRODUCT(PRODUCE!$B258:$DY258,PRODUCE!$EB$51:$IY$51)</f>
        <v>0</v>
      </c>
      <c r="OM257" s="56"/>
      <c r="ON257" s="242">
        <f t="shared" si="1875"/>
        <v>0</v>
      </c>
      <c r="OO257" s="242">
        <f t="shared" si="1876"/>
        <v>0</v>
      </c>
      <c r="OP257" s="56"/>
      <c r="OS257" s="55">
        <f t="shared" si="1877"/>
        <v>46238</v>
      </c>
      <c r="OT257" s="56"/>
      <c r="OU257" s="242">
        <f>SUMPRODUCT(PRODUCE!$B258:$DY258,PRODUCE!$EB$52:$IY$52)</f>
        <v>0</v>
      </c>
      <c r="OV257" s="56"/>
      <c r="OW257" s="242">
        <f t="shared" si="1878"/>
        <v>0</v>
      </c>
      <c r="OX257" s="242">
        <f t="shared" si="1879"/>
        <v>1482</v>
      </c>
      <c r="OY257" s="56"/>
      <c r="PB257" s="55">
        <f t="shared" si="1880"/>
        <v>46238</v>
      </c>
      <c r="PC257" s="56"/>
      <c r="PD257" s="242">
        <f>SUMPRODUCT(PRODUCE!$B258:$DY258,PRODUCE!$EB$53:$IY$53)</f>
        <v>0</v>
      </c>
      <c r="PE257" s="56"/>
      <c r="PF257" s="242">
        <f t="shared" si="1881"/>
        <v>0</v>
      </c>
      <c r="PG257" s="242">
        <f t="shared" si="1882"/>
        <v>0</v>
      </c>
      <c r="PH257" s="56"/>
      <c r="PK257" s="55">
        <f t="shared" si="1883"/>
        <v>46238</v>
      </c>
      <c r="PL257" s="56"/>
      <c r="PM257" s="242">
        <f>SUMPRODUCT(PRODUCE!$B258:$DY258,PRODUCE!$EB$54:$IY$54)</f>
        <v>0</v>
      </c>
      <c r="PN257" s="56"/>
      <c r="PO257" s="242">
        <f t="shared" si="1884"/>
        <v>0</v>
      </c>
      <c r="PP257" s="242">
        <f t="shared" si="1885"/>
        <v>100</v>
      </c>
      <c r="PQ257" s="56"/>
      <c r="PT257" s="55">
        <f t="shared" si="1886"/>
        <v>46238</v>
      </c>
      <c r="PU257" s="56"/>
      <c r="PV257" s="242">
        <f>SUMPRODUCT(PRODUCE!$B258:$DY258,PRODUCE!$EB$55:$IY$55)</f>
        <v>0</v>
      </c>
      <c r="PW257" s="56"/>
      <c r="PX257" s="242">
        <f t="shared" si="1887"/>
        <v>0</v>
      </c>
      <c r="PY257" s="242">
        <f t="shared" si="1888"/>
        <v>13.960000000000036</v>
      </c>
      <c r="PZ257" s="56"/>
      <c r="QC257" s="55">
        <f t="shared" si="1889"/>
        <v>46238</v>
      </c>
      <c r="QD257" s="56"/>
      <c r="QE257" s="242">
        <f>SUMPRODUCT(PRODUCE!$B258:$DY258,PRODUCE!$EB$56:$IY$56)</f>
        <v>0</v>
      </c>
      <c r="QF257" s="56"/>
      <c r="QG257" s="242">
        <f t="shared" si="1890"/>
        <v>0</v>
      </c>
      <c r="QH257" s="242">
        <f t="shared" si="1891"/>
        <v>1284</v>
      </c>
      <c r="QI257" s="56"/>
      <c r="QL257" s="55">
        <f t="shared" si="1892"/>
        <v>46238</v>
      </c>
      <c r="QM257" s="56"/>
      <c r="QN257" s="242">
        <f>SUMPRODUCT(PRODUCE!$B258:$DY258,PRODUCE!$EB$57:$IY$57)</f>
        <v>0</v>
      </c>
      <c r="QO257" s="56"/>
      <c r="QP257" s="242">
        <f t="shared" si="1893"/>
        <v>0</v>
      </c>
      <c r="QQ257" s="242">
        <f t="shared" si="1894"/>
        <v>0</v>
      </c>
      <c r="QR257" s="56"/>
      <c r="QU257" s="55">
        <f t="shared" si="1895"/>
        <v>46238</v>
      </c>
      <c r="QV257" s="56"/>
      <c r="QW257" s="242">
        <f>SUMPRODUCT(PRODUCE!$B258:$DY258,PRODUCE!$EB$57:$IY$57)</f>
        <v>0</v>
      </c>
      <c r="QX257" s="56"/>
      <c r="QY257" s="242">
        <f t="shared" si="1896"/>
        <v>0</v>
      </c>
      <c r="QZ257" s="242">
        <f t="shared" si="1897"/>
        <v>207.6</v>
      </c>
      <c r="RA257" s="56"/>
      <c r="RD257" s="55">
        <f t="shared" si="1898"/>
        <v>46238</v>
      </c>
      <c r="RE257" s="56"/>
      <c r="RF257" s="242">
        <f>SUMPRODUCT(PRODUCE!$B258:$DY258,PRODUCE!$EB$58:$IY$58)</f>
        <v>0</v>
      </c>
      <c r="RG257" s="56"/>
      <c r="RH257" s="242">
        <f t="shared" si="1899"/>
        <v>0</v>
      </c>
      <c r="RI257" s="242">
        <f t="shared" si="1900"/>
        <v>147.04000000000002</v>
      </c>
      <c r="RJ257" s="56"/>
      <c r="RM257" s="55">
        <f t="shared" si="1901"/>
        <v>46238</v>
      </c>
      <c r="RN257" s="56"/>
      <c r="RO257" s="242">
        <f>SUMPRODUCT(PRODUCE!$B258:$DY258,PRODUCE!$EB$59:$IY$59)</f>
        <v>0</v>
      </c>
      <c r="RP257" s="56"/>
      <c r="RQ257" s="242">
        <f t="shared" si="1902"/>
        <v>0</v>
      </c>
      <c r="RR257" s="242">
        <f t="shared" si="1903"/>
        <v>46.8</v>
      </c>
      <c r="RS257" s="56"/>
      <c r="RV257" s="55">
        <f t="shared" si="1904"/>
        <v>46238</v>
      </c>
      <c r="RW257" s="56"/>
      <c r="RX257" s="242">
        <f>SUMPRODUCT(PRODUCE!$B258:$DY258,PRODUCE!$EB$57:$IY$57)</f>
        <v>0</v>
      </c>
      <c r="RY257" s="56"/>
      <c r="RZ257" s="242">
        <f t="shared" si="1905"/>
        <v>0</v>
      </c>
      <c r="SA257" s="242">
        <f t="shared" si="1906"/>
        <v>0</v>
      </c>
      <c r="SB257" s="56"/>
      <c r="SE257" s="55">
        <f t="shared" si="1907"/>
        <v>46238</v>
      </c>
      <c r="SF257" s="56"/>
      <c r="SG257" s="242">
        <f>SUMPRODUCT(PRODUCE!$B258:$DY258,PRODUCE!$EB$61:$IY$61)</f>
        <v>0</v>
      </c>
      <c r="SH257" s="56"/>
      <c r="SI257" s="242">
        <f t="shared" si="1908"/>
        <v>0</v>
      </c>
      <c r="SJ257" s="242">
        <f t="shared" si="1909"/>
        <v>24.200000000000003</v>
      </c>
      <c r="SK257" s="56"/>
      <c r="SN257" s="55">
        <f t="shared" si="1910"/>
        <v>46238</v>
      </c>
      <c r="SO257" s="56"/>
      <c r="SP257" s="242">
        <f>SUMPRODUCT(PRODUCE!$B258:$DY258,PRODUCE!$EB$62:$IY$62)</f>
        <v>0</v>
      </c>
      <c r="SQ257" s="56"/>
      <c r="SR257" s="242">
        <f t="shared" si="1911"/>
        <v>0</v>
      </c>
      <c r="SS257" s="242">
        <f t="shared" si="1912"/>
        <v>32</v>
      </c>
      <c r="ST257" s="56"/>
      <c r="SW257" s="55">
        <f t="shared" si="1913"/>
        <v>46238</v>
      </c>
      <c r="SX257" s="56"/>
      <c r="SY257" s="242">
        <f>SUMPRODUCT(PRODUCE!$B258:$DY258,PRODUCE!$EB$57:$IY$57)</f>
        <v>0</v>
      </c>
      <c r="SZ257" s="56"/>
      <c r="TA257" s="242">
        <f t="shared" si="1914"/>
        <v>0</v>
      </c>
      <c r="TB257" s="242">
        <f t="shared" si="1915"/>
        <v>0</v>
      </c>
      <c r="TC257" s="56"/>
      <c r="TF257" s="55">
        <f t="shared" si="1916"/>
        <v>46238</v>
      </c>
      <c r="TG257" s="56"/>
      <c r="TH257" s="242">
        <f>SUMPRODUCT(PRODUCE!$B258:$DY258,PRODUCE!$EB$57:$IY$57)</f>
        <v>0</v>
      </c>
      <c r="TI257" s="56"/>
      <c r="TJ257" s="242">
        <f t="shared" si="1917"/>
        <v>0</v>
      </c>
      <c r="TK257" s="242">
        <f t="shared" si="1918"/>
        <v>0</v>
      </c>
      <c r="TL257" s="56"/>
      <c r="TO257" s="55">
        <f t="shared" si="1919"/>
        <v>46238</v>
      </c>
      <c r="TP257" s="56"/>
      <c r="TQ257" s="242">
        <f>SUMPRODUCT(PRODUCE!$B258:$DY258,PRODUCE!$EB$57:$IY$57)</f>
        <v>0</v>
      </c>
      <c r="TR257" s="56"/>
      <c r="TS257" s="242">
        <f t="shared" si="1920"/>
        <v>0</v>
      </c>
      <c r="TT257" s="242">
        <f t="shared" si="1921"/>
        <v>10.400000000000006</v>
      </c>
      <c r="TU257" s="56"/>
      <c r="TX257" s="55">
        <f t="shared" si="1922"/>
        <v>46238</v>
      </c>
      <c r="TY257" s="56"/>
      <c r="TZ257" s="242">
        <f>SUMPRODUCT(PRODUCE!$B258:$DY258,PRODUCE!$EB$57:$IY$57)</f>
        <v>0</v>
      </c>
      <c r="UA257" s="56"/>
      <c r="UB257" s="242">
        <f t="shared" si="1923"/>
        <v>0</v>
      </c>
      <c r="UC257" s="242">
        <f t="shared" si="1924"/>
        <v>46.799999999999983</v>
      </c>
      <c r="UD257" s="56"/>
      <c r="UG257" s="55">
        <f t="shared" si="1925"/>
        <v>46238</v>
      </c>
      <c r="UH257" s="56"/>
      <c r="UI257" s="242">
        <f>SUMPRODUCT(PRODUCE!$B258:$DY258,PRODUCE!$EB$57:$IY$57)</f>
        <v>0</v>
      </c>
      <c r="UJ257" s="56"/>
      <c r="UK257" s="242">
        <f t="shared" si="1926"/>
        <v>0</v>
      </c>
      <c r="UL257" s="242">
        <f t="shared" si="1927"/>
        <v>204</v>
      </c>
      <c r="UM257" s="56"/>
      <c r="UP257" s="55">
        <f t="shared" si="1928"/>
        <v>46238</v>
      </c>
      <c r="UQ257" s="56"/>
      <c r="UR257" s="242">
        <f>SUMPRODUCT(PRODUCE!$B258:$DY258,PRODUCE!$EB$57:$IY$57)</f>
        <v>0</v>
      </c>
      <c r="US257" s="56"/>
      <c r="UT257" s="242">
        <f t="shared" si="1929"/>
        <v>0</v>
      </c>
      <c r="UU257" s="242">
        <f t="shared" si="1930"/>
        <v>202.5</v>
      </c>
      <c r="UV257" s="56"/>
      <c r="UY257" s="55">
        <f t="shared" si="1931"/>
        <v>46238</v>
      </c>
      <c r="UZ257" s="56"/>
      <c r="VA257" s="242">
        <f>SUMPRODUCT(PRODUCE!$B258:$DY258,PRODUCE!$EB$57:$IY$57)</f>
        <v>0</v>
      </c>
      <c r="VB257" s="56"/>
      <c r="VC257" s="242">
        <f t="shared" si="1932"/>
        <v>0</v>
      </c>
      <c r="VD257" s="242">
        <f t="shared" si="1933"/>
        <v>41.600000000000023</v>
      </c>
      <c r="VE257" s="56"/>
      <c r="VH257" s="55">
        <f t="shared" si="1934"/>
        <v>46238</v>
      </c>
      <c r="VI257" s="56"/>
      <c r="VJ257" s="242">
        <f>SUMPRODUCT(PRODUCE!$B258:$DY258,PRODUCE!$EB$57:$IY$57)</f>
        <v>0</v>
      </c>
      <c r="VK257" s="56"/>
      <c r="VL257" s="242">
        <f t="shared" si="1935"/>
        <v>0</v>
      </c>
      <c r="VM257" s="242">
        <f t="shared" si="1936"/>
        <v>210</v>
      </c>
      <c r="VN257" s="56"/>
      <c r="VQ257" s="55">
        <f t="shared" si="1937"/>
        <v>46238</v>
      </c>
      <c r="VR257" s="56"/>
      <c r="VS257" s="242">
        <f>SUMPRODUCT(PRODUCE!$B258:$DY258,PRODUCE!$EB$57:$IY$57)</f>
        <v>0</v>
      </c>
      <c r="VT257" s="56"/>
      <c r="VU257" s="242">
        <f t="shared" si="1938"/>
        <v>0</v>
      </c>
      <c r="VV257" s="242">
        <f t="shared" si="1939"/>
        <v>0</v>
      </c>
      <c r="VW257" s="56"/>
      <c r="VZ257" s="55">
        <f t="shared" si="1940"/>
        <v>46238</v>
      </c>
      <c r="WA257" s="56"/>
      <c r="WB257" s="242">
        <f>SUMPRODUCT(PRODUCE!$B258:$DY258,PRODUCE!$EB$57:$IY$57)</f>
        <v>0</v>
      </c>
      <c r="WC257" s="56"/>
      <c r="WD257" s="242">
        <f t="shared" si="1941"/>
        <v>0</v>
      </c>
      <c r="WE257" s="242">
        <f t="shared" si="1942"/>
        <v>0</v>
      </c>
      <c r="WF257" s="56"/>
      <c r="WI257" s="55">
        <f t="shared" si="1943"/>
        <v>46238</v>
      </c>
      <c r="WJ257" s="56"/>
      <c r="WK257" s="242">
        <f>SUMPRODUCT(PRODUCE!$B258:$DY258,PRODUCE!$EB$57:$IY$57)</f>
        <v>0</v>
      </c>
      <c r="WL257" s="56"/>
      <c r="WM257" s="242">
        <f t="shared" si="1944"/>
        <v>0</v>
      </c>
      <c r="WN257" s="242">
        <f t="shared" si="1945"/>
        <v>1057</v>
      </c>
      <c r="WO257" s="56"/>
      <c r="WR257" s="55">
        <f t="shared" si="1946"/>
        <v>46238</v>
      </c>
      <c r="WS257" s="56"/>
      <c r="WT257" s="242">
        <f>SUMPRODUCT(PRODUCE!$B258:$DY258,PRODUCE!$EB$57:$IY$57)</f>
        <v>0</v>
      </c>
      <c r="WU257" s="56"/>
      <c r="WV257" s="242">
        <f t="shared" si="1947"/>
        <v>0</v>
      </c>
      <c r="WW257" s="242">
        <f t="shared" si="1948"/>
        <v>0</v>
      </c>
      <c r="WX257" s="56"/>
      <c r="XA257" s="55">
        <f t="shared" si="1949"/>
        <v>46238</v>
      </c>
      <c r="XB257" s="56"/>
      <c r="XC257" s="242">
        <f>SUMPRODUCT(PRODUCE!$B258:$DY258,PRODUCE!$EB$57:$IY$57)</f>
        <v>0</v>
      </c>
      <c r="XD257" s="56"/>
      <c r="XE257" s="242">
        <f t="shared" si="1950"/>
        <v>0</v>
      </c>
      <c r="XF257" s="242">
        <f t="shared" si="1951"/>
        <v>7507</v>
      </c>
      <c r="XG257" s="56"/>
      <c r="XJ257" s="55">
        <f t="shared" si="1952"/>
        <v>46238</v>
      </c>
      <c r="XK257" s="56"/>
      <c r="XL257" s="242">
        <f>SUMPRODUCT(PRODUCE!$B258:$DY258,PRODUCE!$EB$57:$IY$57)</f>
        <v>0</v>
      </c>
      <c r="XM257" s="56"/>
      <c r="XN257" s="242">
        <f t="shared" si="1953"/>
        <v>0</v>
      </c>
      <c r="XO257" s="242">
        <f t="shared" si="1954"/>
        <v>4252</v>
      </c>
      <c r="XP257" s="56"/>
      <c r="XS257" s="55">
        <f t="shared" si="1955"/>
        <v>46238</v>
      </c>
      <c r="XT257" s="56"/>
      <c r="XU257" s="242">
        <f>SUMPRODUCT(PRODUCE!$B258:$DY258,PRODUCE!$EB$57:$IY$57)</f>
        <v>0</v>
      </c>
      <c r="XV257" s="56"/>
      <c r="XW257" s="242">
        <f t="shared" si="1956"/>
        <v>0</v>
      </c>
      <c r="XX257" s="242">
        <f t="shared" si="1957"/>
        <v>2179</v>
      </c>
      <c r="XY257" s="56"/>
      <c r="YB257" s="55">
        <f t="shared" si="1958"/>
        <v>46238</v>
      </c>
      <c r="YC257" s="56"/>
      <c r="YD257" s="242">
        <f>SUMPRODUCT(PRODUCE!$B258:$DY258,PRODUCE!$EB$57:$IY$57)</f>
        <v>0</v>
      </c>
      <c r="YE257" s="56"/>
      <c r="YF257" s="242">
        <f t="shared" si="1959"/>
        <v>0</v>
      </c>
      <c r="YG257" s="242">
        <f t="shared" si="1960"/>
        <v>4019</v>
      </c>
      <c r="YH257" s="56"/>
      <c r="YK257" s="55">
        <f t="shared" si="1961"/>
        <v>46238</v>
      </c>
      <c r="YL257" s="56"/>
      <c r="YM257" s="242">
        <f>SUMPRODUCT(PRODUCE!$B258:$DY258,PRODUCE!$EB$57:$IY$57)</f>
        <v>0</v>
      </c>
      <c r="YN257" s="56"/>
      <c r="YO257" s="242">
        <f t="shared" si="1962"/>
        <v>0</v>
      </c>
      <c r="YP257" s="242">
        <f t="shared" si="1963"/>
        <v>-218</v>
      </c>
      <c r="YQ257" s="56"/>
      <c r="YT257" s="55">
        <f t="shared" si="1964"/>
        <v>46238</v>
      </c>
      <c r="YU257" s="56"/>
      <c r="YV257" s="242">
        <f>SUMPRODUCT(PRODUCE!$B258:$DY258,PRODUCE!$EB$57:$IY$57)</f>
        <v>0</v>
      </c>
      <c r="YW257" s="56"/>
      <c r="YX257" s="242">
        <f t="shared" si="1965"/>
        <v>0</v>
      </c>
      <c r="YY257" s="242">
        <f t="shared" si="1966"/>
        <v>0</v>
      </c>
      <c r="YZ257" s="56"/>
      <c r="ZC257" s="55">
        <f t="shared" si="1967"/>
        <v>46238</v>
      </c>
      <c r="ZD257" s="56"/>
      <c r="ZE257" s="242">
        <f>SUMPRODUCT(PRODUCE!$B258:$DY258,PRODUCE!$EB$57:$IY$57)</f>
        <v>0</v>
      </c>
      <c r="ZF257" s="56"/>
      <c r="ZG257" s="242">
        <f t="shared" si="1968"/>
        <v>0</v>
      </c>
      <c r="ZH257" s="242">
        <f t="shared" si="1969"/>
        <v>0</v>
      </c>
      <c r="ZI257" s="56"/>
      <c r="ZL257" s="55">
        <f t="shared" si="1970"/>
        <v>46238</v>
      </c>
      <c r="ZM257" s="56"/>
      <c r="ZN257" s="242">
        <f>SUMPRODUCT(PRODUCE!$B258:$DY258,PRODUCE!$EB$57:$IY$57)</f>
        <v>0</v>
      </c>
      <c r="ZO257" s="56"/>
      <c r="ZP257" s="242">
        <f t="shared" si="1971"/>
        <v>0</v>
      </c>
      <c r="ZQ257" s="242">
        <f t="shared" si="1972"/>
        <v>0</v>
      </c>
      <c r="ZR257" s="56"/>
      <c r="ZU257" s="55">
        <f t="shared" si="1973"/>
        <v>46238</v>
      </c>
      <c r="ZV257" s="56"/>
      <c r="ZW257" s="242">
        <f>SUMPRODUCT(PRODUCE!$B258:$DY258,PRODUCE!$EB$57:$IY$57)</f>
        <v>0</v>
      </c>
      <c r="ZX257" s="56"/>
      <c r="ZY257" s="242">
        <f t="shared" si="1974"/>
        <v>0</v>
      </c>
      <c r="ZZ257" s="242">
        <f t="shared" si="1975"/>
        <v>0</v>
      </c>
      <c r="AAA257" s="56"/>
      <c r="AAD257" s="55">
        <f t="shared" si="1976"/>
        <v>46238</v>
      </c>
      <c r="AAE257" s="56"/>
      <c r="AAF257" s="242">
        <f>SUMPRODUCT(PRODUCE!$B258:$DY258,PRODUCE!$EB$57:$IY$57)</f>
        <v>0</v>
      </c>
      <c r="AAG257" s="56"/>
      <c r="AAH257" s="242">
        <f t="shared" si="1977"/>
        <v>0</v>
      </c>
      <c r="AAI257" s="242">
        <f t="shared" si="1978"/>
        <v>0</v>
      </c>
      <c r="AAJ257" s="56"/>
      <c r="AAM257" s="55">
        <f t="shared" si="1979"/>
        <v>46238</v>
      </c>
      <c r="AAN257" s="56"/>
      <c r="AAO257" s="242">
        <f>SUMPRODUCT(PRODUCE!$B258:$DY258,PRODUCE!$EB$57:$IY$57)</f>
        <v>0</v>
      </c>
      <c r="AAP257" s="56"/>
      <c r="AAQ257" s="242">
        <f t="shared" si="1980"/>
        <v>0</v>
      </c>
      <c r="AAR257" s="242">
        <f t="shared" si="1981"/>
        <v>0</v>
      </c>
      <c r="AAS257" s="56"/>
      <c r="AAV257" s="55">
        <f t="shared" si="1982"/>
        <v>46238</v>
      </c>
      <c r="AAW257" s="56"/>
      <c r="AAX257" s="242">
        <f>SUMPRODUCT(PRODUCE!$B258:$DY258,PRODUCE!$EB$57:$IY$57)</f>
        <v>0</v>
      </c>
      <c r="AAY257" s="56"/>
      <c r="AAZ257" s="242">
        <f t="shared" si="1983"/>
        <v>0</v>
      </c>
      <c r="ABA257" s="242">
        <f t="shared" si="1984"/>
        <v>0</v>
      </c>
      <c r="ABB257" s="56"/>
      <c r="ABE257" s="55">
        <f t="shared" si="1985"/>
        <v>46238</v>
      </c>
      <c r="ABF257" s="56"/>
      <c r="ABG257" s="242">
        <f>SUMPRODUCT(PRODUCE!$B258:$DY258,PRODUCE!$EB$57:$IY$57)</f>
        <v>0</v>
      </c>
      <c r="ABH257" s="56"/>
      <c r="ABI257" s="242">
        <f t="shared" si="1986"/>
        <v>0</v>
      </c>
      <c r="ABJ257" s="242">
        <f t="shared" si="1987"/>
        <v>0</v>
      </c>
      <c r="ABK257" s="56"/>
    </row>
    <row r="258" spans="2:739" s="54" customFormat="1" ht="15" customHeight="1" outlineLevel="1">
      <c r="B258" s="478"/>
      <c r="C258" s="55">
        <v>46239</v>
      </c>
      <c r="D258" s="56"/>
      <c r="E258" s="57">
        <f>SUMPRODUCT(PRODUCE!$B259:$DY259,PRODUCE!$EB$7:$IY$7)</f>
        <v>5383.2000000000016</v>
      </c>
      <c r="F258" s="56"/>
      <c r="G258" s="57">
        <f t="shared" si="1743"/>
        <v>5383.2000000000016</v>
      </c>
      <c r="H258" s="57">
        <f t="shared" si="1744"/>
        <v>201934.6</v>
      </c>
      <c r="I258" s="289"/>
      <c r="L258" s="55">
        <f t="shared" si="1745"/>
        <v>46239</v>
      </c>
      <c r="M258" s="56"/>
      <c r="N258" s="59">
        <f>SUMPRODUCT(PRODUCE!$B259:$DY259,PRODUCE!$EB$8:$IY$8)</f>
        <v>2856</v>
      </c>
      <c r="O258" s="56"/>
      <c r="P258" s="59">
        <f t="shared" si="1746"/>
        <v>2856</v>
      </c>
      <c r="Q258" s="59">
        <f t="shared" si="1747"/>
        <v>53017.600000000071</v>
      </c>
      <c r="R258" s="56"/>
      <c r="U258" s="55">
        <f t="shared" si="1748"/>
        <v>46239</v>
      </c>
      <c r="V258" s="56"/>
      <c r="W258" s="60">
        <f>SUMPRODUCT(PRODUCE!$B259:$DY259,PRODUCE!$EB$9:$IY$9)</f>
        <v>500</v>
      </c>
      <c r="X258" s="56"/>
      <c r="Y258" s="60">
        <f t="shared" si="1749"/>
        <v>500</v>
      </c>
      <c r="Z258" s="60">
        <f t="shared" si="1750"/>
        <v>42674.199999999968</v>
      </c>
      <c r="AA258" s="56"/>
      <c r="AD258" s="55">
        <f t="shared" si="1751"/>
        <v>46239</v>
      </c>
      <c r="AE258" s="56"/>
      <c r="AF258" s="61">
        <f>SUMPRODUCT(PRODUCE!$B259:$DY259,PRODUCE!$EB$10:$IY$10)</f>
        <v>0</v>
      </c>
      <c r="AG258" s="56"/>
      <c r="AH258" s="61">
        <f t="shared" si="1752"/>
        <v>0</v>
      </c>
      <c r="AI258" s="61">
        <f t="shared" si="1753"/>
        <v>4522.2000000000189</v>
      </c>
      <c r="AJ258" s="56"/>
      <c r="AM258" s="55">
        <f t="shared" si="1754"/>
        <v>46239</v>
      </c>
      <c r="AN258" s="422"/>
      <c r="AO258" s="444">
        <f>SUMPRODUCT(PRODUCE!$B259:$DY259,PRODUCE!$EB$11:$IY$11)</f>
        <v>0</v>
      </c>
      <c r="AP258" s="422"/>
      <c r="AQ258" s="444">
        <f t="shared" si="1755"/>
        <v>0</v>
      </c>
      <c r="AR258" s="444">
        <f t="shared" si="1756"/>
        <v>0</v>
      </c>
      <c r="AS258" s="56"/>
      <c r="AV258" s="55">
        <f t="shared" si="1757"/>
        <v>46239</v>
      </c>
      <c r="AW258" s="56"/>
      <c r="AX258" s="62">
        <f>SUMPRODUCT(PRODUCE!$B259:$DY259,PRODUCE!$EB$12:$IY$12)</f>
        <v>200</v>
      </c>
      <c r="AY258" s="56"/>
      <c r="AZ258" s="62">
        <f t="shared" si="1758"/>
        <v>200</v>
      </c>
      <c r="BA258" s="62">
        <f t="shared" si="1759"/>
        <v>124.99999999999523</v>
      </c>
      <c r="BB258" s="56"/>
      <c r="BE258" s="55">
        <f t="shared" si="1760"/>
        <v>46239</v>
      </c>
      <c r="BF258" s="56"/>
      <c r="BG258" s="63">
        <f>SUMPRODUCT(PRODUCE!$B259:$DY259,PRODUCE!$EB$13:$IY$13)</f>
        <v>150</v>
      </c>
      <c r="BH258" s="56"/>
      <c r="BI258" s="63">
        <f t="shared" si="1761"/>
        <v>150</v>
      </c>
      <c r="BJ258" s="63">
        <f t="shared" si="1762"/>
        <v>26151.899999999998</v>
      </c>
      <c r="BK258" s="56"/>
      <c r="BN258" s="55">
        <f t="shared" si="1763"/>
        <v>46239</v>
      </c>
      <c r="BO258" s="56"/>
      <c r="BP258" s="64">
        <f>SUMPRODUCT(PRODUCE!$B259:$DY259,PRODUCE!$EB$14:$IY$14)</f>
        <v>100</v>
      </c>
      <c r="BQ258" s="56"/>
      <c r="BR258" s="64">
        <f t="shared" si="1764"/>
        <v>100</v>
      </c>
      <c r="BS258" s="64">
        <f t="shared" si="1765"/>
        <v>0</v>
      </c>
      <c r="BT258" s="56"/>
      <c r="BW258" s="55">
        <f t="shared" si="1766"/>
        <v>46239</v>
      </c>
      <c r="BX258" s="56"/>
      <c r="BY258" s="65">
        <f>SUMPRODUCT(PRODUCE!$B259:$DY259,PRODUCE!$EB$15:$IY$15)</f>
        <v>15</v>
      </c>
      <c r="BZ258" s="56">
        <f>43.97+58.5+15</f>
        <v>117.47</v>
      </c>
      <c r="CA258" s="65">
        <f t="shared" si="1767"/>
        <v>-102.47</v>
      </c>
      <c r="CB258" s="65">
        <f t="shared" si="1768"/>
        <v>3143.4699999999989</v>
      </c>
      <c r="CC258" s="56"/>
      <c r="CF258" s="55">
        <f t="shared" si="1769"/>
        <v>46239</v>
      </c>
      <c r="CG258" s="56"/>
      <c r="CH258" s="66">
        <f>SUMPRODUCT(PRODUCE!$B259:$DY259,PRODUCE!$EB$16:$IY$16)</f>
        <v>60.79999999999999</v>
      </c>
      <c r="CI258" s="56"/>
      <c r="CJ258" s="66">
        <f t="shared" si="1770"/>
        <v>60.79999999999999</v>
      </c>
      <c r="CK258" s="66">
        <f t="shared" si="1771"/>
        <v>-10277.079999999998</v>
      </c>
      <c r="CL258" s="56"/>
      <c r="CO258" s="55">
        <f t="shared" si="1772"/>
        <v>46239</v>
      </c>
      <c r="CP258" s="422"/>
      <c r="CQ258" s="470">
        <f>SUMPRODUCT(PRODUCE!$B259:$DY259,PRODUCE!$EB$17:$IY$17)</f>
        <v>0</v>
      </c>
      <c r="CR258" s="422"/>
      <c r="CS258" s="470">
        <f t="shared" si="1773"/>
        <v>0</v>
      </c>
      <c r="CT258" s="470">
        <f t="shared" si="1774"/>
        <v>0</v>
      </c>
      <c r="CU258" s="56"/>
      <c r="CX258" s="55">
        <f t="shared" si="1775"/>
        <v>46239</v>
      </c>
      <c r="CY258" s="56"/>
      <c r="CZ258" s="133">
        <f>SUMPRODUCT(PRODUCE!$B259:$DY259,PRODUCE!$EB$18:$IY$18)</f>
        <v>0</v>
      </c>
      <c r="DA258" s="56"/>
      <c r="DB258" s="133">
        <f t="shared" si="1776"/>
        <v>0</v>
      </c>
      <c r="DC258" s="133">
        <f t="shared" si="1777"/>
        <v>27438.200000000012</v>
      </c>
      <c r="DD258" s="56"/>
      <c r="DG258" s="55">
        <f t="shared" si="1778"/>
        <v>46239</v>
      </c>
      <c r="DH258" s="56"/>
      <c r="DI258" s="147">
        <f>SUMPRODUCT(PRODUCE!$B259:$DY259,PRODUCE!$EB$19:$IY$19)</f>
        <v>500</v>
      </c>
      <c r="DJ258" s="56"/>
      <c r="DK258" s="147">
        <f t="shared" si="1779"/>
        <v>500</v>
      </c>
      <c r="DL258" s="147">
        <f t="shared" si="1780"/>
        <v>18782.299999999981</v>
      </c>
      <c r="DM258" s="56"/>
      <c r="DP258" s="55">
        <f t="shared" si="1781"/>
        <v>46239</v>
      </c>
      <c r="DQ258" s="56"/>
      <c r="DR258" s="57">
        <f>SUMPRODUCT(PRODUCE!$B259:$DY259,PRODUCE!$EB$20:$IY$20)</f>
        <v>0</v>
      </c>
      <c r="DS258" s="56"/>
      <c r="DT258" s="57">
        <f t="shared" si="1782"/>
        <v>0</v>
      </c>
      <c r="DU258" s="57">
        <f t="shared" si="1783"/>
        <v>5800</v>
      </c>
      <c r="DV258" s="56"/>
      <c r="DY258" s="55">
        <f t="shared" si="1784"/>
        <v>46239</v>
      </c>
      <c r="DZ258" s="56"/>
      <c r="EA258" s="157">
        <f>SUMPRODUCT(PRODUCE!$B259:$DY259,PRODUCE!$EB$21:$IY$21)</f>
        <v>0</v>
      </c>
      <c r="EB258" s="56"/>
      <c r="EC258" s="157">
        <f t="shared" si="1785"/>
        <v>0</v>
      </c>
      <c r="ED258" s="157">
        <f t="shared" si="1786"/>
        <v>0</v>
      </c>
      <c r="EE258" s="56"/>
      <c r="EH258" s="55">
        <f t="shared" si="1787"/>
        <v>46239</v>
      </c>
      <c r="EI258" s="56"/>
      <c r="EJ258" s="162">
        <f>SUMPRODUCT(PRODUCE!$B259:$DY259,PRODUCE!$EB$22:$IY$22)</f>
        <v>0</v>
      </c>
      <c r="EK258" s="56"/>
      <c r="EL258" s="162">
        <f t="shared" si="1788"/>
        <v>0</v>
      </c>
      <c r="EM258" s="162">
        <f t="shared" si="1789"/>
        <v>0</v>
      </c>
      <c r="EN258" s="56"/>
      <c r="EQ258" s="55">
        <f t="shared" si="1790"/>
        <v>46239</v>
      </c>
      <c r="ER258" s="56"/>
      <c r="ES258" s="135">
        <f>SUMPRODUCT(PRODUCE!$B259:$DY259,PRODUCE!$EB$23:$IY$23)</f>
        <v>0</v>
      </c>
      <c r="ET258" s="56"/>
      <c r="EU258" s="135">
        <f t="shared" si="1791"/>
        <v>0</v>
      </c>
      <c r="EV258" s="135">
        <f t="shared" si="1792"/>
        <v>0</v>
      </c>
      <c r="EW258" s="56"/>
      <c r="EZ258" s="55">
        <f t="shared" si="1793"/>
        <v>46239</v>
      </c>
      <c r="FA258" s="56"/>
      <c r="FB258" s="175">
        <f>SUMPRODUCT(PRODUCE!$B259:$DY259,PRODUCE!$EB$24:$IY$24)</f>
        <v>0</v>
      </c>
      <c r="FC258" s="56"/>
      <c r="FD258" s="175">
        <f t="shared" si="1794"/>
        <v>0</v>
      </c>
      <c r="FE258" s="175">
        <f t="shared" si="1795"/>
        <v>0</v>
      </c>
      <c r="FF258" s="56"/>
      <c r="FI258" s="55">
        <f t="shared" si="1796"/>
        <v>46239</v>
      </c>
      <c r="FJ258" s="56"/>
      <c r="FK258" s="183">
        <f>SUMPRODUCT(PRODUCE!$B259:$DY259,PRODUCE!$EB$25:$IY$25)</f>
        <v>0</v>
      </c>
      <c r="FL258" s="56"/>
      <c r="FM258" s="183">
        <f t="shared" si="1797"/>
        <v>0</v>
      </c>
      <c r="FN258" s="183">
        <f t="shared" si="1798"/>
        <v>0</v>
      </c>
      <c r="FO258" s="56"/>
      <c r="FR258" s="55">
        <f t="shared" si="1799"/>
        <v>46239</v>
      </c>
      <c r="FS258" s="56"/>
      <c r="FT258" s="186">
        <f>SUMPRODUCT(PRODUCE!$B259:$DY259,PRODUCE!$EB$26:$IY$26)</f>
        <v>0</v>
      </c>
      <c r="FU258" s="56">
        <v>520</v>
      </c>
      <c r="FV258" s="186">
        <f t="shared" si="1800"/>
        <v>-520</v>
      </c>
      <c r="FW258" s="186">
        <f t="shared" si="1801"/>
        <v>20</v>
      </c>
      <c r="FX258" s="56">
        <f>FU258/20</f>
        <v>26</v>
      </c>
      <c r="GA258" s="55">
        <f t="shared" si="1802"/>
        <v>46239</v>
      </c>
      <c r="GB258" s="56"/>
      <c r="GC258" s="137">
        <f>SUMPRODUCT(PRODUCE!$B259:$DY259,PRODUCE!$EB$27:$IY$27)</f>
        <v>0</v>
      </c>
      <c r="GD258" s="56"/>
      <c r="GE258" s="137">
        <f t="shared" si="1803"/>
        <v>0</v>
      </c>
      <c r="GF258" s="137">
        <f t="shared" si="1804"/>
        <v>960</v>
      </c>
      <c r="GG258" s="56"/>
      <c r="GI258" s="23"/>
      <c r="GJ258" s="55">
        <f t="shared" si="1805"/>
        <v>46239</v>
      </c>
      <c r="GK258" s="56"/>
      <c r="GL258" s="199">
        <f>SUMPRODUCT(PRODUCE!$B259:$DY259,PRODUCE!$EB$28:$IY$28)</f>
        <v>0</v>
      </c>
      <c r="GM258" s="56"/>
      <c r="GN258" s="199">
        <f t="shared" si="1806"/>
        <v>0</v>
      </c>
      <c r="GO258" s="199">
        <f t="shared" si="1807"/>
        <v>1760</v>
      </c>
      <c r="GP258" s="56"/>
      <c r="GS258" s="55">
        <f t="shared" si="1808"/>
        <v>46239</v>
      </c>
      <c r="GT258" s="56"/>
      <c r="GU258" s="195">
        <f>SUMPRODUCT(PRODUCE!$B259:$DY259,PRODUCE!$EB$29:$IY$29)</f>
        <v>0</v>
      </c>
      <c r="GV258" s="56"/>
      <c r="GW258" s="195">
        <f t="shared" si="1809"/>
        <v>0</v>
      </c>
      <c r="GX258" s="195">
        <f t="shared" si="1810"/>
        <v>400</v>
      </c>
      <c r="GY258" s="56"/>
      <c r="HB258" s="55">
        <f t="shared" si="1811"/>
        <v>46239</v>
      </c>
      <c r="HC258" s="56"/>
      <c r="HD258" s="191">
        <f>SUMPRODUCT(PRODUCE!$B259:$DY259,PRODUCE!$EB$30:$IY$30)</f>
        <v>0</v>
      </c>
      <c r="HE258" s="56"/>
      <c r="HF258" s="191">
        <f t="shared" si="1812"/>
        <v>0</v>
      </c>
      <c r="HG258" s="191">
        <f t="shared" si="1813"/>
        <v>3600</v>
      </c>
      <c r="HH258" s="56"/>
      <c r="HK258" s="55">
        <f t="shared" si="1814"/>
        <v>46239</v>
      </c>
      <c r="HL258" s="56"/>
      <c r="HM258" s="63">
        <f>SUMPRODUCT(PRODUCE!$B259:$DY259,PRODUCE!$EB$31:$IY$31)</f>
        <v>0</v>
      </c>
      <c r="HN258" s="56"/>
      <c r="HO258" s="63">
        <f t="shared" si="1815"/>
        <v>0</v>
      </c>
      <c r="HP258" s="63">
        <f t="shared" si="1816"/>
        <v>0</v>
      </c>
      <c r="HQ258" s="56"/>
      <c r="HU258" s="55">
        <f t="shared" si="1817"/>
        <v>46239</v>
      </c>
      <c r="HV258" s="56"/>
      <c r="HW258" s="242">
        <f>SUMPRODUCT(PRODUCE!$B259:$DY259,PRODUCE!$EB$32:$IY$32)</f>
        <v>200</v>
      </c>
      <c r="HX258" s="56">
        <v>200</v>
      </c>
      <c r="HY258" s="242">
        <f t="shared" si="1818"/>
        <v>0</v>
      </c>
      <c r="HZ258" s="242">
        <f t="shared" si="1819"/>
        <v>5720</v>
      </c>
      <c r="IA258" s="56">
        <f t="shared" ref="IA258" si="1988">HX258/20</f>
        <v>10</v>
      </c>
      <c r="IB258" s="23" t="s">
        <v>300</v>
      </c>
      <c r="ID258" s="55">
        <f t="shared" si="1820"/>
        <v>46239</v>
      </c>
      <c r="IE258" s="56"/>
      <c r="IF258" s="242">
        <f>SUMPRODUCT(PRODUCE!$B259:$DY259,PRODUCE!$EB$33:$IY$33)</f>
        <v>0</v>
      </c>
      <c r="IG258" s="56"/>
      <c r="IH258" s="242">
        <f t="shared" si="1821"/>
        <v>0</v>
      </c>
      <c r="II258" s="242">
        <f t="shared" si="1822"/>
        <v>720</v>
      </c>
      <c r="IJ258" s="56"/>
      <c r="IM258" s="55">
        <f t="shared" si="1823"/>
        <v>46239</v>
      </c>
      <c r="IN258" s="56"/>
      <c r="IO258" s="242">
        <f>SUMPRODUCT(PRODUCE!$B259:$DY259,PRODUCE!$EB$34:$IY$34)</f>
        <v>0</v>
      </c>
      <c r="IP258" s="56">
        <v>400</v>
      </c>
      <c r="IQ258" s="242">
        <f t="shared" si="1824"/>
        <v>-400</v>
      </c>
      <c r="IR258" s="242">
        <f t="shared" si="1825"/>
        <v>1280</v>
      </c>
      <c r="IS258" s="56">
        <f>IP258/20</f>
        <v>20</v>
      </c>
      <c r="IV258" s="55">
        <f t="shared" si="1826"/>
        <v>46239</v>
      </c>
      <c r="IW258" s="56"/>
      <c r="IX258" s="242">
        <f>SUMPRODUCT(PRODUCE!$B259:$DY259,PRODUCE!$EB$35:$IY$35)</f>
        <v>0</v>
      </c>
      <c r="IY258" s="56"/>
      <c r="IZ258" s="242">
        <f t="shared" si="1827"/>
        <v>0</v>
      </c>
      <c r="JA258" s="242">
        <f t="shared" si="1828"/>
        <v>4960</v>
      </c>
      <c r="JB258" s="56"/>
      <c r="JE258" s="55">
        <f t="shared" si="1829"/>
        <v>46239</v>
      </c>
      <c r="JF258" s="56"/>
      <c r="JG258" s="242">
        <f>SUMPRODUCT(PRODUCE!$B259:$DY259,PRODUCE!$EB$36:$IY$36)</f>
        <v>0</v>
      </c>
      <c r="JH258" s="56"/>
      <c r="JI258" s="242">
        <f t="shared" si="1830"/>
        <v>0</v>
      </c>
      <c r="JJ258" s="242">
        <f t="shared" si="1831"/>
        <v>0</v>
      </c>
      <c r="JK258" s="56"/>
      <c r="JN258" s="55">
        <f t="shared" si="1832"/>
        <v>46239</v>
      </c>
      <c r="JO258" s="56"/>
      <c r="JP258" s="242">
        <f>SUMPRODUCT(PRODUCE!$B259:$DY259,PRODUCE!$EB$37:$IY$37)</f>
        <v>0</v>
      </c>
      <c r="JQ258" s="56"/>
      <c r="JR258" s="242">
        <f t="shared" si="1833"/>
        <v>0</v>
      </c>
      <c r="JS258" s="242">
        <f t="shared" si="1834"/>
        <v>0</v>
      </c>
      <c r="JT258" s="56"/>
      <c r="JW258" s="55">
        <f t="shared" si="1835"/>
        <v>46239</v>
      </c>
      <c r="JX258" s="56"/>
      <c r="JY258" s="242">
        <f>SUMPRODUCT(PRODUCE!$B259:$DY259,PRODUCE!$EB$38:$IY$38)</f>
        <v>0</v>
      </c>
      <c r="JZ258" s="56"/>
      <c r="KA258" s="242">
        <f t="shared" si="1836"/>
        <v>0</v>
      </c>
      <c r="KB258" s="242">
        <f t="shared" si="1837"/>
        <v>2540</v>
      </c>
      <c r="KC258" s="56"/>
      <c r="KF258" s="55">
        <f t="shared" si="1838"/>
        <v>46239</v>
      </c>
      <c r="KG258" s="56"/>
      <c r="KH258" s="242">
        <f>SUMPRODUCT(PRODUCE!$B259:$DY259,PRODUCE!$EB$39:$IY$39)</f>
        <v>0</v>
      </c>
      <c r="KI258" s="56"/>
      <c r="KJ258" s="242">
        <f t="shared" si="1839"/>
        <v>0</v>
      </c>
      <c r="KK258" s="242">
        <f t="shared" si="1840"/>
        <v>2359.5</v>
      </c>
      <c r="KL258" s="56"/>
      <c r="KO258" s="55">
        <f t="shared" si="1841"/>
        <v>46239</v>
      </c>
      <c r="KP258" s="56"/>
      <c r="KQ258" s="242">
        <f>SUMPRODUCT(PRODUCE!$B259:$DY259,PRODUCE!$EB$40:$IY$40)</f>
        <v>0</v>
      </c>
      <c r="KR258" s="56"/>
      <c r="KS258" s="242">
        <f t="shared" si="1842"/>
        <v>0</v>
      </c>
      <c r="KT258" s="242">
        <f t="shared" si="1843"/>
        <v>1890</v>
      </c>
      <c r="KU258" s="56"/>
      <c r="KW258" s="23"/>
      <c r="KX258" s="55">
        <f t="shared" si="1844"/>
        <v>46239</v>
      </c>
      <c r="KY258" s="56"/>
      <c r="KZ258" s="242">
        <f>SUMPRODUCT(PRODUCE!$B259:$DY259,PRODUCE!$EB$41:$IY$41)</f>
        <v>0</v>
      </c>
      <c r="LA258" s="56"/>
      <c r="LB258" s="242">
        <f t="shared" si="1845"/>
        <v>0</v>
      </c>
      <c r="LC258" s="242">
        <f t="shared" si="1846"/>
        <v>3690</v>
      </c>
      <c r="LD258" s="56"/>
      <c r="LG258" s="55">
        <f t="shared" si="1847"/>
        <v>46239</v>
      </c>
      <c r="LH258" s="56"/>
      <c r="LI258" s="242">
        <f>SUMPRODUCT(PRODUCE!$B259:$DY259,PRODUCE!$EB$42:$IY$42)</f>
        <v>0</v>
      </c>
      <c r="LJ258" s="56"/>
      <c r="LK258" s="242">
        <f t="shared" si="1848"/>
        <v>0</v>
      </c>
      <c r="LL258" s="242">
        <f t="shared" si="1849"/>
        <v>4000</v>
      </c>
      <c r="LM258" s="56"/>
      <c r="LP258" s="55">
        <f t="shared" si="1850"/>
        <v>46239</v>
      </c>
      <c r="LQ258" s="56"/>
      <c r="LR258" s="242">
        <f>SUMPRODUCT(PRODUCE!$B273:$DY273,PRODUCE!$EB$43:$IY$43)</f>
        <v>0</v>
      </c>
      <c r="LS258" s="56"/>
      <c r="LT258" s="242">
        <f t="shared" si="1851"/>
        <v>0</v>
      </c>
      <c r="LU258" s="242">
        <f t="shared" si="1852"/>
        <v>0</v>
      </c>
      <c r="LV258" s="56"/>
      <c r="LY258" s="55">
        <f t="shared" si="1853"/>
        <v>46239</v>
      </c>
      <c r="LZ258" s="56"/>
      <c r="MA258" s="242">
        <f>SUMPRODUCT(PRODUCE!$B259:$DY259,PRODUCE!$EB$44:$IY$44)</f>
        <v>0</v>
      </c>
      <c r="MB258" s="56"/>
      <c r="MC258" s="242">
        <f t="shared" si="1854"/>
        <v>0</v>
      </c>
      <c r="MD258" s="242">
        <f t="shared" si="1855"/>
        <v>0</v>
      </c>
      <c r="ME258" s="56"/>
      <c r="MH258" s="55">
        <f t="shared" si="1856"/>
        <v>46239</v>
      </c>
      <c r="MI258" s="56"/>
      <c r="MJ258" s="242">
        <f>SUMPRODUCT(PRODUCE!$B259:$DY259,PRODUCE!$EB$45:$IY$45)</f>
        <v>0</v>
      </c>
      <c r="MK258" s="56"/>
      <c r="ML258" s="242">
        <f t="shared" si="1857"/>
        <v>0</v>
      </c>
      <c r="MM258" s="242">
        <f t="shared" si="1858"/>
        <v>0</v>
      </c>
      <c r="MN258" s="56"/>
      <c r="MQ258" s="55">
        <f t="shared" si="1859"/>
        <v>46239</v>
      </c>
      <c r="MR258" s="56"/>
      <c r="MS258" s="242">
        <f>SUMPRODUCT(PRODUCE!$B259:$DY259,PRODUCE!$EB$46:$IY$46)</f>
        <v>5</v>
      </c>
      <c r="MT258" s="56">
        <f>10+13+10+20</f>
        <v>53</v>
      </c>
      <c r="MU258" s="242">
        <f t="shared" si="1860"/>
        <v>-48</v>
      </c>
      <c r="MV258" s="242">
        <f t="shared" si="1861"/>
        <v>2149</v>
      </c>
      <c r="MW258" s="56"/>
      <c r="MZ258" s="55">
        <f t="shared" si="1862"/>
        <v>46239</v>
      </c>
      <c r="NA258" s="56"/>
      <c r="NB258" s="242">
        <f>SUMPRODUCT(PRODUCE!$B259:$DY259,PRODUCE!$EB$47:$IY$47)</f>
        <v>30</v>
      </c>
      <c r="NC258" s="56"/>
      <c r="ND258" s="242">
        <f t="shared" si="1863"/>
        <v>30</v>
      </c>
      <c r="NE258" s="242">
        <f t="shared" si="1864"/>
        <v>0</v>
      </c>
      <c r="NF258" s="56"/>
      <c r="NI258" s="55">
        <f t="shared" si="1865"/>
        <v>46239</v>
      </c>
      <c r="NJ258" s="56"/>
      <c r="NK258" s="242">
        <f>SUMPRODUCT(PRODUCE!$B259:$DY259,PRODUCE!$EB$48:$IY$48)</f>
        <v>0</v>
      </c>
      <c r="NL258" s="56"/>
      <c r="NM258" s="242">
        <f t="shared" si="1866"/>
        <v>0</v>
      </c>
      <c r="NN258" s="242">
        <f t="shared" si="1867"/>
        <v>1127</v>
      </c>
      <c r="NO258" s="56"/>
      <c r="NR258" s="55">
        <f t="shared" si="1868"/>
        <v>46239</v>
      </c>
      <c r="NS258" s="56"/>
      <c r="NT258" s="242">
        <f>SUMPRODUCT(PRODUCE!$B259:$DY259,PRODUCE!$EB$49:$IY$49)</f>
        <v>0</v>
      </c>
      <c r="NU258" s="56"/>
      <c r="NV258" s="242">
        <f t="shared" si="1869"/>
        <v>0</v>
      </c>
      <c r="NW258" s="242">
        <f t="shared" si="1870"/>
        <v>3111.9999999999995</v>
      </c>
      <c r="NX258" s="56"/>
      <c r="OA258" s="55">
        <f t="shared" si="1871"/>
        <v>46239</v>
      </c>
      <c r="OB258" s="56"/>
      <c r="OC258" s="242">
        <f>SUMPRODUCT(PRODUCE!$B259:$DY259,PRODUCE!$EB$50:$IY$50)</f>
        <v>0</v>
      </c>
      <c r="OD258" s="56"/>
      <c r="OE258" s="242">
        <f t="shared" si="1872"/>
        <v>0</v>
      </c>
      <c r="OF258" s="242">
        <f t="shared" si="1873"/>
        <v>1680.5</v>
      </c>
      <c r="OG258" s="56"/>
      <c r="OJ258" s="55">
        <f t="shared" si="1874"/>
        <v>46239</v>
      </c>
      <c r="OK258" s="56"/>
      <c r="OL258" s="242">
        <f>SUMPRODUCT(PRODUCE!$B259:$DY259,PRODUCE!$EB$51:$IY$51)</f>
        <v>0</v>
      </c>
      <c r="OM258" s="56"/>
      <c r="ON258" s="242">
        <f t="shared" si="1875"/>
        <v>0</v>
      </c>
      <c r="OO258" s="242">
        <f t="shared" si="1876"/>
        <v>0</v>
      </c>
      <c r="OP258" s="56"/>
      <c r="OS258" s="55">
        <f t="shared" si="1877"/>
        <v>46239</v>
      </c>
      <c r="OT258" s="56"/>
      <c r="OU258" s="242">
        <f>SUMPRODUCT(PRODUCE!$B259:$DY259,PRODUCE!$EB$52:$IY$52)</f>
        <v>0</v>
      </c>
      <c r="OV258" s="56"/>
      <c r="OW258" s="242">
        <f t="shared" si="1878"/>
        <v>0</v>
      </c>
      <c r="OX258" s="242">
        <f t="shared" si="1879"/>
        <v>1482</v>
      </c>
      <c r="OY258" s="56"/>
      <c r="PB258" s="55">
        <f t="shared" si="1880"/>
        <v>46239</v>
      </c>
      <c r="PC258" s="56"/>
      <c r="PD258" s="242">
        <f>SUMPRODUCT(PRODUCE!$B259:$DY259,PRODUCE!$EB$53:$IY$53)</f>
        <v>0</v>
      </c>
      <c r="PE258" s="56"/>
      <c r="PF258" s="242">
        <f t="shared" si="1881"/>
        <v>0</v>
      </c>
      <c r="PG258" s="242">
        <f t="shared" si="1882"/>
        <v>0</v>
      </c>
      <c r="PH258" s="56"/>
      <c r="PK258" s="55">
        <f t="shared" si="1883"/>
        <v>46239</v>
      </c>
      <c r="PL258" s="56"/>
      <c r="PM258" s="242">
        <f>SUMPRODUCT(PRODUCE!$B259:$DY259,PRODUCE!$EB$54:$IY$54)</f>
        <v>0</v>
      </c>
      <c r="PN258" s="56"/>
      <c r="PO258" s="242">
        <f t="shared" si="1884"/>
        <v>0</v>
      </c>
      <c r="PP258" s="242">
        <f t="shared" si="1885"/>
        <v>100</v>
      </c>
      <c r="PQ258" s="56"/>
      <c r="PT258" s="55">
        <f t="shared" si="1886"/>
        <v>46239</v>
      </c>
      <c r="PU258" s="56"/>
      <c r="PV258" s="242">
        <f>SUMPRODUCT(PRODUCE!$B259:$DY259,PRODUCE!$EB$55:$IY$55)</f>
        <v>0</v>
      </c>
      <c r="PW258" s="56"/>
      <c r="PX258" s="242">
        <f t="shared" si="1887"/>
        <v>0</v>
      </c>
      <c r="PY258" s="242">
        <f t="shared" si="1888"/>
        <v>13.960000000000036</v>
      </c>
      <c r="PZ258" s="56"/>
      <c r="QC258" s="55">
        <f t="shared" si="1889"/>
        <v>46239</v>
      </c>
      <c r="QD258" s="56"/>
      <c r="QE258" s="242">
        <f>SUMPRODUCT(PRODUCE!$B259:$DY259,PRODUCE!$EB$56:$IY$56)</f>
        <v>0</v>
      </c>
      <c r="QF258" s="56">
        <v>80</v>
      </c>
      <c r="QG258" s="242">
        <f t="shared" si="1890"/>
        <v>-80</v>
      </c>
      <c r="QH258" s="242">
        <f t="shared" si="1891"/>
        <v>1204</v>
      </c>
      <c r="QI258" s="56"/>
      <c r="QL258" s="55">
        <f t="shared" si="1892"/>
        <v>46239</v>
      </c>
      <c r="QM258" s="56"/>
      <c r="QN258" s="242">
        <f>SUMPRODUCT(PRODUCE!$B259:$DY259,PRODUCE!$EB$57:$IY$57)</f>
        <v>0</v>
      </c>
      <c r="QO258" s="56"/>
      <c r="QP258" s="242">
        <f t="shared" si="1893"/>
        <v>0</v>
      </c>
      <c r="QQ258" s="242">
        <f t="shared" si="1894"/>
        <v>0</v>
      </c>
      <c r="QR258" s="56"/>
      <c r="QU258" s="55">
        <f t="shared" si="1895"/>
        <v>46239</v>
      </c>
      <c r="QV258" s="56"/>
      <c r="QW258" s="242">
        <f>SUMPRODUCT(PRODUCE!$B259:$DY259,PRODUCE!$EB$57:$IY$57)</f>
        <v>0</v>
      </c>
      <c r="QX258" s="56"/>
      <c r="QY258" s="242">
        <f t="shared" si="1896"/>
        <v>0</v>
      </c>
      <c r="QZ258" s="242">
        <f t="shared" si="1897"/>
        <v>207.6</v>
      </c>
      <c r="RA258" s="56"/>
      <c r="RD258" s="55">
        <f t="shared" si="1898"/>
        <v>46239</v>
      </c>
      <c r="RE258" s="56"/>
      <c r="RF258" s="242">
        <f>SUMPRODUCT(PRODUCE!$B259:$DY259,PRODUCE!$EB$58:$IY$58)</f>
        <v>0</v>
      </c>
      <c r="RG258" s="56"/>
      <c r="RH258" s="242">
        <f t="shared" si="1899"/>
        <v>0</v>
      </c>
      <c r="RI258" s="242">
        <f t="shared" si="1900"/>
        <v>147.04000000000002</v>
      </c>
      <c r="RJ258" s="56"/>
      <c r="RM258" s="55">
        <f t="shared" si="1901"/>
        <v>46239</v>
      </c>
      <c r="RN258" s="56"/>
      <c r="RO258" s="242">
        <f>SUMPRODUCT(PRODUCE!$B259:$DY259,PRODUCE!$EB$59:$IY$59)</f>
        <v>0</v>
      </c>
      <c r="RP258" s="56"/>
      <c r="RQ258" s="242">
        <f t="shared" si="1902"/>
        <v>0</v>
      </c>
      <c r="RR258" s="242">
        <f t="shared" si="1903"/>
        <v>46.8</v>
      </c>
      <c r="RS258" s="56"/>
      <c r="RV258" s="55">
        <f t="shared" si="1904"/>
        <v>46239</v>
      </c>
      <c r="RW258" s="56"/>
      <c r="RX258" s="242">
        <f>SUMPRODUCT(PRODUCE!$B259:$DY259,PRODUCE!$EB$57:$IY$57)</f>
        <v>0</v>
      </c>
      <c r="RY258" s="56"/>
      <c r="RZ258" s="242">
        <f t="shared" si="1905"/>
        <v>0</v>
      </c>
      <c r="SA258" s="242">
        <f t="shared" si="1906"/>
        <v>0</v>
      </c>
      <c r="SB258" s="56"/>
      <c r="SE258" s="55">
        <f t="shared" si="1907"/>
        <v>46239</v>
      </c>
      <c r="SF258" s="56"/>
      <c r="SG258" s="242">
        <f>SUMPRODUCT(PRODUCE!$B259:$DY259,PRODUCE!$EB$61:$IY$61)</f>
        <v>0</v>
      </c>
      <c r="SH258" s="56"/>
      <c r="SI258" s="242">
        <f t="shared" si="1908"/>
        <v>0</v>
      </c>
      <c r="SJ258" s="242">
        <f t="shared" si="1909"/>
        <v>24.200000000000003</v>
      </c>
      <c r="SK258" s="56"/>
      <c r="SN258" s="55">
        <f t="shared" si="1910"/>
        <v>46239</v>
      </c>
      <c r="SO258" s="56"/>
      <c r="SP258" s="242">
        <f>SUMPRODUCT(PRODUCE!$B259:$DY259,PRODUCE!$EB$62:$IY$62)</f>
        <v>0</v>
      </c>
      <c r="SQ258" s="56"/>
      <c r="SR258" s="242">
        <f t="shared" si="1911"/>
        <v>0</v>
      </c>
      <c r="SS258" s="242">
        <f t="shared" si="1912"/>
        <v>32</v>
      </c>
      <c r="ST258" s="56"/>
      <c r="SW258" s="55">
        <f t="shared" si="1913"/>
        <v>46239</v>
      </c>
      <c r="SX258" s="56"/>
      <c r="SY258" s="242">
        <f>SUMPRODUCT(PRODUCE!$B259:$DY259,PRODUCE!$EB$57:$IY$57)</f>
        <v>0</v>
      </c>
      <c r="SZ258" s="56"/>
      <c r="TA258" s="242">
        <f t="shared" si="1914"/>
        <v>0</v>
      </c>
      <c r="TB258" s="242">
        <f t="shared" si="1915"/>
        <v>0</v>
      </c>
      <c r="TC258" s="56"/>
      <c r="TF258" s="55">
        <f t="shared" si="1916"/>
        <v>46239</v>
      </c>
      <c r="TG258" s="56"/>
      <c r="TH258" s="242">
        <f>SUMPRODUCT(PRODUCE!$B259:$DY259,PRODUCE!$EB$57:$IY$57)</f>
        <v>0</v>
      </c>
      <c r="TI258" s="56"/>
      <c r="TJ258" s="242">
        <f t="shared" si="1917"/>
        <v>0</v>
      </c>
      <c r="TK258" s="242">
        <f t="shared" si="1918"/>
        <v>0</v>
      </c>
      <c r="TL258" s="56"/>
      <c r="TO258" s="55">
        <f t="shared" si="1919"/>
        <v>46239</v>
      </c>
      <c r="TP258" s="56"/>
      <c r="TQ258" s="242">
        <f>SUMPRODUCT(PRODUCE!$B259:$DY259,PRODUCE!$EB$57:$IY$57)</f>
        <v>0</v>
      </c>
      <c r="TR258" s="56">
        <v>10.4</v>
      </c>
      <c r="TS258" s="242">
        <f t="shared" si="1920"/>
        <v>-10.4</v>
      </c>
      <c r="TT258" s="242">
        <f t="shared" si="1921"/>
        <v>0</v>
      </c>
      <c r="TU258" s="56"/>
      <c r="TX258" s="55">
        <f t="shared" si="1922"/>
        <v>46239</v>
      </c>
      <c r="TY258" s="56"/>
      <c r="TZ258" s="242">
        <f>SUMPRODUCT(PRODUCE!$B259:$DY259,PRODUCE!$EB$57:$IY$57)</f>
        <v>0</v>
      </c>
      <c r="UA258" s="56"/>
      <c r="UB258" s="242">
        <f t="shared" si="1923"/>
        <v>0</v>
      </c>
      <c r="UC258" s="242">
        <f t="shared" si="1924"/>
        <v>46.799999999999983</v>
      </c>
      <c r="UD258" s="56"/>
      <c r="UG258" s="55">
        <f t="shared" si="1925"/>
        <v>46239</v>
      </c>
      <c r="UH258" s="56"/>
      <c r="UI258" s="242">
        <f>SUMPRODUCT(PRODUCE!$B259:$DY259,PRODUCE!$EB$57:$IY$57)</f>
        <v>0</v>
      </c>
      <c r="UJ258" s="56"/>
      <c r="UK258" s="242">
        <f t="shared" si="1926"/>
        <v>0</v>
      </c>
      <c r="UL258" s="242">
        <f t="shared" si="1927"/>
        <v>204</v>
      </c>
      <c r="UM258" s="56"/>
      <c r="UP258" s="55">
        <f t="shared" si="1928"/>
        <v>46239</v>
      </c>
      <c r="UQ258" s="56"/>
      <c r="UR258" s="242">
        <f>SUMPRODUCT(PRODUCE!$B259:$DY259,PRODUCE!$EB$57:$IY$57)</f>
        <v>0</v>
      </c>
      <c r="US258" s="56"/>
      <c r="UT258" s="242">
        <f t="shared" si="1929"/>
        <v>0</v>
      </c>
      <c r="UU258" s="242">
        <f t="shared" si="1930"/>
        <v>202.5</v>
      </c>
      <c r="UV258" s="56"/>
      <c r="UY258" s="55">
        <f t="shared" si="1931"/>
        <v>46239</v>
      </c>
      <c r="UZ258" s="56"/>
      <c r="VA258" s="242">
        <f>SUMPRODUCT(PRODUCE!$B259:$DY259,PRODUCE!$EB$57:$IY$57)</f>
        <v>0</v>
      </c>
      <c r="VB258" s="56"/>
      <c r="VC258" s="242">
        <f t="shared" si="1932"/>
        <v>0</v>
      </c>
      <c r="VD258" s="242">
        <f t="shared" si="1933"/>
        <v>41.600000000000023</v>
      </c>
      <c r="VE258" s="56"/>
      <c r="VH258" s="55">
        <f t="shared" si="1934"/>
        <v>46239</v>
      </c>
      <c r="VI258" s="56"/>
      <c r="VJ258" s="242">
        <f>SUMPRODUCT(PRODUCE!$B259:$DY259,PRODUCE!$EB$57:$IY$57)</f>
        <v>0</v>
      </c>
      <c r="VK258" s="56"/>
      <c r="VL258" s="242">
        <f t="shared" si="1935"/>
        <v>0</v>
      </c>
      <c r="VM258" s="242">
        <f t="shared" si="1936"/>
        <v>210</v>
      </c>
      <c r="VN258" s="56"/>
      <c r="VQ258" s="55">
        <f t="shared" si="1937"/>
        <v>46239</v>
      </c>
      <c r="VR258" s="56"/>
      <c r="VS258" s="242">
        <f>SUMPRODUCT(PRODUCE!$B259:$DY259,PRODUCE!$EB$57:$IY$57)</f>
        <v>0</v>
      </c>
      <c r="VT258" s="56"/>
      <c r="VU258" s="242">
        <f t="shared" si="1938"/>
        <v>0</v>
      </c>
      <c r="VV258" s="242">
        <f t="shared" si="1939"/>
        <v>0</v>
      </c>
      <c r="VW258" s="56"/>
      <c r="VZ258" s="55">
        <f t="shared" si="1940"/>
        <v>46239</v>
      </c>
      <c r="WA258" s="56"/>
      <c r="WB258" s="242">
        <f>SUMPRODUCT(PRODUCE!$B259:$DY259,PRODUCE!$EB$57:$IY$57)</f>
        <v>0</v>
      </c>
      <c r="WC258" s="56"/>
      <c r="WD258" s="242">
        <f t="shared" si="1941"/>
        <v>0</v>
      </c>
      <c r="WE258" s="242">
        <f t="shared" si="1942"/>
        <v>0</v>
      </c>
      <c r="WF258" s="56"/>
      <c r="WI258" s="55">
        <f t="shared" si="1943"/>
        <v>46239</v>
      </c>
      <c r="WJ258" s="56"/>
      <c r="WK258" s="242">
        <f>SUMPRODUCT(PRODUCE!$B259:$DY259,PRODUCE!$EB$57:$IY$57)</f>
        <v>0</v>
      </c>
      <c r="WL258" s="56"/>
      <c r="WM258" s="242">
        <f t="shared" si="1944"/>
        <v>0</v>
      </c>
      <c r="WN258" s="242">
        <f t="shared" si="1945"/>
        <v>1057</v>
      </c>
      <c r="WO258" s="56"/>
      <c r="WR258" s="55">
        <f t="shared" si="1946"/>
        <v>46239</v>
      </c>
      <c r="WS258" s="56"/>
      <c r="WT258" s="242">
        <f>SUMPRODUCT(PRODUCE!$B259:$DY259,PRODUCE!$EB$57:$IY$57)</f>
        <v>0</v>
      </c>
      <c r="WU258" s="56"/>
      <c r="WV258" s="242">
        <f t="shared" si="1947"/>
        <v>0</v>
      </c>
      <c r="WW258" s="242">
        <f t="shared" si="1948"/>
        <v>0</v>
      </c>
      <c r="WX258" s="56"/>
      <c r="XA258" s="55">
        <f t="shared" si="1949"/>
        <v>46239</v>
      </c>
      <c r="XB258" s="56"/>
      <c r="XC258" s="242">
        <f>SUMPRODUCT(PRODUCE!$B259:$DY259,PRODUCE!$EB$57:$IY$57)</f>
        <v>0</v>
      </c>
      <c r="XD258" s="56"/>
      <c r="XE258" s="242">
        <f t="shared" si="1950"/>
        <v>0</v>
      </c>
      <c r="XF258" s="242">
        <f t="shared" si="1951"/>
        <v>7507</v>
      </c>
      <c r="XG258" s="56"/>
      <c r="XJ258" s="55">
        <f t="shared" si="1952"/>
        <v>46239</v>
      </c>
      <c r="XK258" s="56"/>
      <c r="XL258" s="242">
        <f>SUMPRODUCT(PRODUCE!$B259:$DY259,PRODUCE!$EB$57:$IY$57)</f>
        <v>0</v>
      </c>
      <c r="XM258" s="56"/>
      <c r="XN258" s="242">
        <f t="shared" si="1953"/>
        <v>0</v>
      </c>
      <c r="XO258" s="242">
        <f t="shared" si="1954"/>
        <v>4252</v>
      </c>
      <c r="XP258" s="56"/>
      <c r="XS258" s="55">
        <f t="shared" si="1955"/>
        <v>46239</v>
      </c>
      <c r="XT258" s="56"/>
      <c r="XU258" s="242">
        <f>SUMPRODUCT(PRODUCE!$B259:$DY259,PRODUCE!$EB$57:$IY$57)</f>
        <v>0</v>
      </c>
      <c r="XV258" s="56"/>
      <c r="XW258" s="242">
        <f t="shared" si="1956"/>
        <v>0</v>
      </c>
      <c r="XX258" s="242">
        <f t="shared" si="1957"/>
        <v>2179</v>
      </c>
      <c r="XY258" s="56"/>
      <c r="YB258" s="55">
        <f t="shared" si="1958"/>
        <v>46239</v>
      </c>
      <c r="YC258" s="56"/>
      <c r="YD258" s="242">
        <f>SUMPRODUCT(PRODUCE!$B259:$DY259,PRODUCE!$EB$57:$IY$57)</f>
        <v>0</v>
      </c>
      <c r="YE258" s="56"/>
      <c r="YF258" s="242">
        <f t="shared" si="1959"/>
        <v>0</v>
      </c>
      <c r="YG258" s="242">
        <f t="shared" si="1960"/>
        <v>4019</v>
      </c>
      <c r="YH258" s="56"/>
      <c r="YK258" s="55">
        <f t="shared" si="1961"/>
        <v>46239</v>
      </c>
      <c r="YL258" s="56"/>
      <c r="YM258" s="242">
        <f>SUMPRODUCT(PRODUCE!$B259:$DY259,PRODUCE!$EB$57:$IY$57)</f>
        <v>0</v>
      </c>
      <c r="YN258" s="56"/>
      <c r="YO258" s="242">
        <f t="shared" si="1962"/>
        <v>0</v>
      </c>
      <c r="YP258" s="242">
        <f t="shared" si="1963"/>
        <v>-218</v>
      </c>
      <c r="YQ258" s="56"/>
      <c r="YT258" s="55">
        <f t="shared" si="1964"/>
        <v>46239</v>
      </c>
      <c r="YU258" s="56"/>
      <c r="YV258" s="242">
        <f>SUMPRODUCT(PRODUCE!$B259:$DY259,PRODUCE!$EB$57:$IY$57)</f>
        <v>0</v>
      </c>
      <c r="YW258" s="56"/>
      <c r="YX258" s="242">
        <f t="shared" si="1965"/>
        <v>0</v>
      </c>
      <c r="YY258" s="242">
        <f t="shared" si="1966"/>
        <v>0</v>
      </c>
      <c r="YZ258" s="56"/>
      <c r="ZC258" s="55">
        <f t="shared" si="1967"/>
        <v>46239</v>
      </c>
      <c r="ZD258" s="56"/>
      <c r="ZE258" s="242">
        <f>SUMPRODUCT(PRODUCE!$B259:$DY259,PRODUCE!$EB$57:$IY$57)</f>
        <v>0</v>
      </c>
      <c r="ZF258" s="56"/>
      <c r="ZG258" s="242">
        <f t="shared" si="1968"/>
        <v>0</v>
      </c>
      <c r="ZH258" s="242">
        <f t="shared" si="1969"/>
        <v>0</v>
      </c>
      <c r="ZI258" s="56"/>
      <c r="ZL258" s="55">
        <f t="shared" si="1970"/>
        <v>46239</v>
      </c>
      <c r="ZM258" s="56"/>
      <c r="ZN258" s="242">
        <f>SUMPRODUCT(PRODUCE!$B259:$DY259,PRODUCE!$EB$57:$IY$57)</f>
        <v>0</v>
      </c>
      <c r="ZO258" s="56"/>
      <c r="ZP258" s="242">
        <f t="shared" si="1971"/>
        <v>0</v>
      </c>
      <c r="ZQ258" s="242">
        <f t="shared" si="1972"/>
        <v>0</v>
      </c>
      <c r="ZR258" s="56"/>
      <c r="ZU258" s="55">
        <f t="shared" si="1973"/>
        <v>46239</v>
      </c>
      <c r="ZV258" s="56"/>
      <c r="ZW258" s="242">
        <f>SUMPRODUCT(PRODUCE!$B259:$DY259,PRODUCE!$EB$57:$IY$57)</f>
        <v>0</v>
      </c>
      <c r="ZX258" s="56"/>
      <c r="ZY258" s="242">
        <f t="shared" si="1974"/>
        <v>0</v>
      </c>
      <c r="ZZ258" s="242">
        <f t="shared" si="1975"/>
        <v>0</v>
      </c>
      <c r="AAA258" s="56"/>
      <c r="AAD258" s="55">
        <f t="shared" si="1976"/>
        <v>46239</v>
      </c>
      <c r="AAE258" s="56"/>
      <c r="AAF258" s="242">
        <f>SUMPRODUCT(PRODUCE!$B259:$DY259,PRODUCE!$EB$57:$IY$57)</f>
        <v>0</v>
      </c>
      <c r="AAG258" s="56"/>
      <c r="AAH258" s="242">
        <f t="shared" si="1977"/>
        <v>0</v>
      </c>
      <c r="AAI258" s="242">
        <f t="shared" si="1978"/>
        <v>0</v>
      </c>
      <c r="AAJ258" s="56"/>
      <c r="AAM258" s="55">
        <f t="shared" si="1979"/>
        <v>46239</v>
      </c>
      <c r="AAN258" s="56"/>
      <c r="AAO258" s="242">
        <f>SUMPRODUCT(PRODUCE!$B259:$DY259,PRODUCE!$EB$57:$IY$57)</f>
        <v>0</v>
      </c>
      <c r="AAP258" s="56"/>
      <c r="AAQ258" s="242">
        <f t="shared" si="1980"/>
        <v>0</v>
      </c>
      <c r="AAR258" s="242">
        <f t="shared" si="1981"/>
        <v>0</v>
      </c>
      <c r="AAS258" s="56"/>
      <c r="AAV258" s="55">
        <f t="shared" si="1982"/>
        <v>46239</v>
      </c>
      <c r="AAW258" s="56"/>
      <c r="AAX258" s="242">
        <f>SUMPRODUCT(PRODUCE!$B259:$DY259,PRODUCE!$EB$57:$IY$57)</f>
        <v>0</v>
      </c>
      <c r="AAY258" s="56"/>
      <c r="AAZ258" s="242">
        <f t="shared" si="1983"/>
        <v>0</v>
      </c>
      <c r="ABA258" s="242">
        <f t="shared" si="1984"/>
        <v>0</v>
      </c>
      <c r="ABB258" s="56"/>
      <c r="ABE258" s="55">
        <f t="shared" si="1985"/>
        <v>46239</v>
      </c>
      <c r="ABF258" s="56"/>
      <c r="ABG258" s="242">
        <f>SUMPRODUCT(PRODUCE!$B259:$DY259,PRODUCE!$EB$57:$IY$57)</f>
        <v>0</v>
      </c>
      <c r="ABH258" s="56"/>
      <c r="ABI258" s="242">
        <f t="shared" si="1986"/>
        <v>0</v>
      </c>
      <c r="ABJ258" s="242">
        <f t="shared" si="1987"/>
        <v>0</v>
      </c>
      <c r="ABK258" s="56"/>
    </row>
    <row r="259" spans="2:739" s="54" customFormat="1" ht="15" customHeight="1" outlineLevel="1">
      <c r="B259" s="478"/>
      <c r="C259" s="55">
        <v>46240</v>
      </c>
      <c r="D259" s="56"/>
      <c r="E259" s="57">
        <f>SUMPRODUCT(PRODUCE!$B260:$DY260,PRODUCE!$EB$7:$IY$7)</f>
        <v>0</v>
      </c>
      <c r="F259" s="56"/>
      <c r="G259" s="57">
        <f t="shared" si="1743"/>
        <v>0</v>
      </c>
      <c r="H259" s="57">
        <f t="shared" si="1744"/>
        <v>201934.6</v>
      </c>
      <c r="I259" s="289"/>
      <c r="L259" s="55">
        <f t="shared" si="1745"/>
        <v>46240</v>
      </c>
      <c r="M259" s="56"/>
      <c r="N259" s="59">
        <f>SUMPRODUCT(PRODUCE!$B260:$DY260,PRODUCE!$EB$8:$IY$8)</f>
        <v>0</v>
      </c>
      <c r="O259" s="56"/>
      <c r="P259" s="59">
        <f t="shared" si="1746"/>
        <v>0</v>
      </c>
      <c r="Q259" s="59">
        <f t="shared" si="1747"/>
        <v>53017.600000000071</v>
      </c>
      <c r="R259" s="56"/>
      <c r="U259" s="55">
        <f t="shared" si="1748"/>
        <v>46240</v>
      </c>
      <c r="V259" s="56"/>
      <c r="W259" s="60">
        <f>SUMPRODUCT(PRODUCE!$B260:$DY260,PRODUCE!$EB$9:$IY$9)</f>
        <v>0</v>
      </c>
      <c r="X259" s="56"/>
      <c r="Y259" s="60">
        <f t="shared" si="1749"/>
        <v>0</v>
      </c>
      <c r="Z259" s="60">
        <f t="shared" si="1750"/>
        <v>42674.199999999968</v>
      </c>
      <c r="AA259" s="56"/>
      <c r="AD259" s="55">
        <f t="shared" si="1751"/>
        <v>46240</v>
      </c>
      <c r="AE259" s="56"/>
      <c r="AF259" s="61">
        <f>SUMPRODUCT(PRODUCE!$B260:$DY260,PRODUCE!$EB$10:$IY$10)</f>
        <v>0</v>
      </c>
      <c r="AG259" s="56"/>
      <c r="AH259" s="61">
        <f t="shared" si="1752"/>
        <v>0</v>
      </c>
      <c r="AI259" s="61">
        <f t="shared" si="1753"/>
        <v>4522.2000000000189</v>
      </c>
      <c r="AJ259" s="56"/>
      <c r="AM259" s="55">
        <f t="shared" si="1754"/>
        <v>46240</v>
      </c>
      <c r="AN259" s="422"/>
      <c r="AO259" s="444">
        <f>SUMPRODUCT(PRODUCE!$B260:$DY260,PRODUCE!$EB$11:$IY$11)</f>
        <v>0</v>
      </c>
      <c r="AP259" s="422"/>
      <c r="AQ259" s="444">
        <f t="shared" si="1755"/>
        <v>0</v>
      </c>
      <c r="AR259" s="444">
        <f t="shared" si="1756"/>
        <v>0</v>
      </c>
      <c r="AS259" s="56"/>
      <c r="AV259" s="55">
        <f t="shared" si="1757"/>
        <v>46240</v>
      </c>
      <c r="AW259" s="56"/>
      <c r="AX259" s="62">
        <f>SUMPRODUCT(PRODUCE!$B260:$DY260,PRODUCE!$EB$12:$IY$12)</f>
        <v>0</v>
      </c>
      <c r="AY259" s="56"/>
      <c r="AZ259" s="62">
        <f t="shared" si="1758"/>
        <v>0</v>
      </c>
      <c r="BA259" s="62">
        <f t="shared" si="1759"/>
        <v>124.99999999999523</v>
      </c>
      <c r="BB259" s="56"/>
      <c r="BE259" s="55">
        <f t="shared" si="1760"/>
        <v>46240</v>
      </c>
      <c r="BF259" s="56"/>
      <c r="BG259" s="63">
        <f>SUMPRODUCT(PRODUCE!$B260:$DY260,PRODUCE!$EB$13:$IY$13)</f>
        <v>0</v>
      </c>
      <c r="BH259" s="56"/>
      <c r="BI259" s="63">
        <f t="shared" si="1761"/>
        <v>0</v>
      </c>
      <c r="BJ259" s="63">
        <f t="shared" si="1762"/>
        <v>26151.899999999998</v>
      </c>
      <c r="BK259" s="56"/>
      <c r="BN259" s="55">
        <f t="shared" si="1763"/>
        <v>46240</v>
      </c>
      <c r="BO259" s="56"/>
      <c r="BP259" s="64">
        <f>SUMPRODUCT(PRODUCE!$B260:$DY260,PRODUCE!$EB$14:$IY$14)</f>
        <v>0</v>
      </c>
      <c r="BQ259" s="56"/>
      <c r="BR259" s="64">
        <f t="shared" si="1764"/>
        <v>0</v>
      </c>
      <c r="BS259" s="64">
        <f t="shared" si="1765"/>
        <v>0</v>
      </c>
      <c r="BT259" s="56"/>
      <c r="BW259" s="55">
        <f t="shared" si="1766"/>
        <v>46240</v>
      </c>
      <c r="BX259" s="56"/>
      <c r="BY259" s="65">
        <f>SUMPRODUCT(PRODUCE!$B260:$DY260,PRODUCE!$EB$15:$IY$15)</f>
        <v>0</v>
      </c>
      <c r="BZ259" s="56"/>
      <c r="CA259" s="65">
        <f>BY259-BZ259</f>
        <v>0</v>
      </c>
      <c r="CB259" s="65">
        <f>CB258+BX259-BZ259</f>
        <v>3143.4699999999989</v>
      </c>
      <c r="CC259" s="56"/>
      <c r="CF259" s="55">
        <f t="shared" si="1769"/>
        <v>46240</v>
      </c>
      <c r="CG259" s="56"/>
      <c r="CH259" s="66">
        <f>SUMPRODUCT(PRODUCE!$B260:$DY260,PRODUCE!$EB$16:$IY$16)</f>
        <v>0</v>
      </c>
      <c r="CI259" s="56"/>
      <c r="CJ259" s="66">
        <f t="shared" si="1770"/>
        <v>0</v>
      </c>
      <c r="CK259" s="66">
        <f t="shared" si="1771"/>
        <v>-10277.079999999998</v>
      </c>
      <c r="CL259" s="56"/>
      <c r="CO259" s="55">
        <f t="shared" si="1772"/>
        <v>46240</v>
      </c>
      <c r="CP259" s="422"/>
      <c r="CQ259" s="470">
        <f>SUMPRODUCT(PRODUCE!$B260:$DY260,PRODUCE!$EB$17:$IY$17)</f>
        <v>0</v>
      </c>
      <c r="CR259" s="422"/>
      <c r="CS259" s="470">
        <f t="shared" si="1773"/>
        <v>0</v>
      </c>
      <c r="CT259" s="470">
        <f t="shared" si="1774"/>
        <v>0</v>
      </c>
      <c r="CU259" s="56"/>
      <c r="CX259" s="55">
        <f t="shared" si="1775"/>
        <v>46240</v>
      </c>
      <c r="CY259" s="56"/>
      <c r="CZ259" s="133">
        <f>SUMPRODUCT(PRODUCE!$B260:$DY260,PRODUCE!$EB$18:$IY$18)</f>
        <v>0</v>
      </c>
      <c r="DA259" s="56"/>
      <c r="DB259" s="133">
        <f t="shared" si="1776"/>
        <v>0</v>
      </c>
      <c r="DC259" s="133">
        <f t="shared" si="1777"/>
        <v>27438.200000000012</v>
      </c>
      <c r="DD259" s="56"/>
      <c r="DG259" s="55">
        <f t="shared" si="1778"/>
        <v>46240</v>
      </c>
      <c r="DH259" s="56"/>
      <c r="DI259" s="147">
        <f>SUMPRODUCT(PRODUCE!$B260:$DY260,PRODUCE!$EB$19:$IY$19)</f>
        <v>0</v>
      </c>
      <c r="DJ259" s="56"/>
      <c r="DK259" s="147">
        <f t="shared" si="1779"/>
        <v>0</v>
      </c>
      <c r="DL259" s="147">
        <f t="shared" si="1780"/>
        <v>18782.299999999981</v>
      </c>
      <c r="DM259" s="56"/>
      <c r="DP259" s="55">
        <f t="shared" si="1781"/>
        <v>46240</v>
      </c>
      <c r="DQ259" s="56"/>
      <c r="DR259" s="57">
        <f>SUMPRODUCT(PRODUCE!$B260:$DY260,PRODUCE!$EB$20:$IY$20)</f>
        <v>0</v>
      </c>
      <c r="DS259" s="56"/>
      <c r="DT259" s="57">
        <f t="shared" si="1782"/>
        <v>0</v>
      </c>
      <c r="DU259" s="57">
        <f t="shared" si="1783"/>
        <v>5800</v>
      </c>
      <c r="DV259" s="56"/>
      <c r="DY259" s="55">
        <f t="shared" si="1784"/>
        <v>46240</v>
      </c>
      <c r="DZ259" s="56"/>
      <c r="EA259" s="157">
        <f>SUMPRODUCT(PRODUCE!$B260:$DY260,PRODUCE!$EB$21:$IY$21)</f>
        <v>0</v>
      </c>
      <c r="EB259" s="56"/>
      <c r="EC259" s="157">
        <f t="shared" si="1785"/>
        <v>0</v>
      </c>
      <c r="ED259" s="157">
        <f t="shared" si="1786"/>
        <v>0</v>
      </c>
      <c r="EE259" s="56"/>
      <c r="EH259" s="55">
        <f t="shared" si="1787"/>
        <v>46240</v>
      </c>
      <c r="EI259" s="56"/>
      <c r="EJ259" s="162">
        <f>SUMPRODUCT(PRODUCE!$B260:$DY260,PRODUCE!$EB$22:$IY$22)</f>
        <v>0</v>
      </c>
      <c r="EK259" s="56"/>
      <c r="EL259" s="162">
        <f t="shared" si="1788"/>
        <v>0</v>
      </c>
      <c r="EM259" s="162">
        <f t="shared" si="1789"/>
        <v>0</v>
      </c>
      <c r="EN259" s="56"/>
      <c r="EQ259" s="55">
        <f t="shared" si="1790"/>
        <v>46240</v>
      </c>
      <c r="ER259" s="56"/>
      <c r="ES259" s="135">
        <f>SUMPRODUCT(PRODUCE!$B260:$DY260,PRODUCE!$EB$23:$IY$23)</f>
        <v>0</v>
      </c>
      <c r="ET259" s="56"/>
      <c r="EU259" s="135">
        <f t="shared" si="1791"/>
        <v>0</v>
      </c>
      <c r="EV259" s="135">
        <f t="shared" si="1792"/>
        <v>0</v>
      </c>
      <c r="EW259" s="56"/>
      <c r="EZ259" s="55">
        <f t="shared" si="1793"/>
        <v>46240</v>
      </c>
      <c r="FA259" s="56"/>
      <c r="FB259" s="175">
        <f>SUMPRODUCT(PRODUCE!$B260:$DY260,PRODUCE!$EB$24:$IY$24)</f>
        <v>0</v>
      </c>
      <c r="FC259" s="56"/>
      <c r="FD259" s="175">
        <f t="shared" si="1794"/>
        <v>0</v>
      </c>
      <c r="FE259" s="175">
        <f t="shared" si="1795"/>
        <v>0</v>
      </c>
      <c r="FF259" s="56"/>
      <c r="FI259" s="55">
        <f t="shared" si="1796"/>
        <v>46240</v>
      </c>
      <c r="FJ259" s="56"/>
      <c r="FK259" s="183">
        <f>SUMPRODUCT(PRODUCE!$B260:$DY260,PRODUCE!$EB$25:$IY$25)</f>
        <v>0</v>
      </c>
      <c r="FL259" s="56"/>
      <c r="FM259" s="183">
        <f t="shared" si="1797"/>
        <v>0</v>
      </c>
      <c r="FN259" s="183">
        <f t="shared" si="1798"/>
        <v>0</v>
      </c>
      <c r="FO259" s="56"/>
      <c r="FR259" s="55">
        <f t="shared" si="1799"/>
        <v>46240</v>
      </c>
      <c r="FS259" s="56"/>
      <c r="FT259" s="186">
        <f>SUMPRODUCT(PRODUCE!$B260:$DY260,PRODUCE!$EB$26:$IY$26)</f>
        <v>0</v>
      </c>
      <c r="FU259" s="56"/>
      <c r="FV259" s="186">
        <f t="shared" si="1800"/>
        <v>0</v>
      </c>
      <c r="FW259" s="186">
        <f t="shared" si="1801"/>
        <v>20</v>
      </c>
      <c r="FX259" s="56"/>
      <c r="GA259" s="55">
        <f t="shared" si="1802"/>
        <v>46240</v>
      </c>
      <c r="GB259" s="56"/>
      <c r="GC259" s="137">
        <f>SUMPRODUCT(PRODUCE!$B260:$DY260,PRODUCE!$EB$27:$IY$27)</f>
        <v>0</v>
      </c>
      <c r="GD259" s="56"/>
      <c r="GE259" s="137">
        <f t="shared" si="1803"/>
        <v>0</v>
      </c>
      <c r="GF259" s="137">
        <f t="shared" si="1804"/>
        <v>960</v>
      </c>
      <c r="GG259" s="56"/>
      <c r="GI259" s="23"/>
      <c r="GJ259" s="55">
        <f t="shared" si="1805"/>
        <v>46240</v>
      </c>
      <c r="GK259" s="56"/>
      <c r="GL259" s="199">
        <f>SUMPRODUCT(PRODUCE!$B260:$DY260,PRODUCE!$EB$28:$IY$28)</f>
        <v>0</v>
      </c>
      <c r="GM259" s="56"/>
      <c r="GN259" s="199">
        <f t="shared" si="1806"/>
        <v>0</v>
      </c>
      <c r="GO259" s="199">
        <f t="shared" si="1807"/>
        <v>1760</v>
      </c>
      <c r="GP259" s="56"/>
      <c r="GS259" s="55">
        <f t="shared" si="1808"/>
        <v>46240</v>
      </c>
      <c r="GT259" s="56"/>
      <c r="GU259" s="195">
        <f>SUMPRODUCT(PRODUCE!$B260:$DY260,PRODUCE!$EB$29:$IY$29)</f>
        <v>0</v>
      </c>
      <c r="GV259" s="56"/>
      <c r="GW259" s="195">
        <f t="shared" si="1809"/>
        <v>0</v>
      </c>
      <c r="GX259" s="195">
        <f t="shared" si="1810"/>
        <v>400</v>
      </c>
      <c r="GY259" s="56"/>
      <c r="HB259" s="55">
        <f t="shared" si="1811"/>
        <v>46240</v>
      </c>
      <c r="HC259" s="56"/>
      <c r="HD259" s="191">
        <f>SUMPRODUCT(PRODUCE!$B260:$DY260,PRODUCE!$EB$30:$IY$30)</f>
        <v>0</v>
      </c>
      <c r="HE259" s="56"/>
      <c r="HF259" s="191">
        <f t="shared" si="1812"/>
        <v>0</v>
      </c>
      <c r="HG259" s="191">
        <f t="shared" si="1813"/>
        <v>3600</v>
      </c>
      <c r="HH259" s="56"/>
      <c r="HK259" s="55">
        <f t="shared" si="1814"/>
        <v>46240</v>
      </c>
      <c r="HL259" s="56"/>
      <c r="HM259" s="63">
        <f>SUMPRODUCT(PRODUCE!$B260:$DY260,PRODUCE!$EB$31:$IY$31)</f>
        <v>0</v>
      </c>
      <c r="HN259" s="56"/>
      <c r="HO259" s="63">
        <f t="shared" si="1815"/>
        <v>0</v>
      </c>
      <c r="HP259" s="63">
        <f t="shared" si="1816"/>
        <v>0</v>
      </c>
      <c r="HQ259" s="56"/>
      <c r="HU259" s="55">
        <f t="shared" si="1817"/>
        <v>46240</v>
      </c>
      <c r="HV259" s="56"/>
      <c r="HW259" s="242">
        <f>SUMPRODUCT(PRODUCE!$B260:$DY260,PRODUCE!$EB$32:$IY$32)</f>
        <v>0</v>
      </c>
      <c r="HX259" s="56"/>
      <c r="HY259" s="242">
        <f t="shared" si="1818"/>
        <v>0</v>
      </c>
      <c r="HZ259" s="242">
        <f t="shared" si="1819"/>
        <v>5720</v>
      </c>
      <c r="IA259" s="56"/>
      <c r="ID259" s="55">
        <f t="shared" si="1820"/>
        <v>46240</v>
      </c>
      <c r="IE259" s="56"/>
      <c r="IF259" s="242">
        <f>SUMPRODUCT(PRODUCE!$B260:$DY260,PRODUCE!$EB$33:$IY$33)</f>
        <v>0</v>
      </c>
      <c r="IG259" s="56"/>
      <c r="IH259" s="242">
        <f t="shared" si="1821"/>
        <v>0</v>
      </c>
      <c r="II259" s="242">
        <f t="shared" si="1822"/>
        <v>720</v>
      </c>
      <c r="IJ259" s="56"/>
      <c r="IM259" s="55">
        <f t="shared" si="1823"/>
        <v>46240</v>
      </c>
      <c r="IN259" s="56"/>
      <c r="IO259" s="242">
        <f>SUMPRODUCT(PRODUCE!$B260:$DY260,PRODUCE!$EB$34:$IY$34)</f>
        <v>0</v>
      </c>
      <c r="IP259" s="56"/>
      <c r="IQ259" s="242">
        <f t="shared" si="1824"/>
        <v>0</v>
      </c>
      <c r="IR259" s="242">
        <f t="shared" si="1825"/>
        <v>1280</v>
      </c>
      <c r="IS259" s="56"/>
      <c r="IV259" s="55">
        <f t="shared" si="1826"/>
        <v>46240</v>
      </c>
      <c r="IW259" s="56"/>
      <c r="IX259" s="242">
        <f>SUMPRODUCT(PRODUCE!$B260:$DY260,PRODUCE!$EB$35:$IY$35)</f>
        <v>0</v>
      </c>
      <c r="IY259" s="56"/>
      <c r="IZ259" s="242">
        <f t="shared" si="1827"/>
        <v>0</v>
      </c>
      <c r="JA259" s="242">
        <f t="shared" si="1828"/>
        <v>4960</v>
      </c>
      <c r="JB259" s="56"/>
      <c r="JE259" s="55">
        <f t="shared" si="1829"/>
        <v>46240</v>
      </c>
      <c r="JF259" s="56"/>
      <c r="JG259" s="242">
        <f>SUMPRODUCT(PRODUCE!$B260:$DY260,PRODUCE!$EB$36:$IY$36)</f>
        <v>0</v>
      </c>
      <c r="JH259" s="56"/>
      <c r="JI259" s="242">
        <f t="shared" si="1830"/>
        <v>0</v>
      </c>
      <c r="JJ259" s="242">
        <f t="shared" si="1831"/>
        <v>0</v>
      </c>
      <c r="JK259" s="56"/>
      <c r="JN259" s="55">
        <f t="shared" si="1832"/>
        <v>46240</v>
      </c>
      <c r="JO259" s="56"/>
      <c r="JP259" s="242">
        <f>SUMPRODUCT(PRODUCE!$B260:$DY260,PRODUCE!$EB$37:$IY$37)</f>
        <v>0</v>
      </c>
      <c r="JQ259" s="56"/>
      <c r="JR259" s="242">
        <f t="shared" si="1833"/>
        <v>0</v>
      </c>
      <c r="JS259" s="242">
        <f t="shared" si="1834"/>
        <v>0</v>
      </c>
      <c r="JT259" s="56"/>
      <c r="JW259" s="55">
        <f t="shared" si="1835"/>
        <v>46240</v>
      </c>
      <c r="JX259" s="56"/>
      <c r="JY259" s="242">
        <f>SUMPRODUCT(PRODUCE!$B260:$DY260,PRODUCE!$EB$38:$IY$38)</f>
        <v>0</v>
      </c>
      <c r="JZ259" s="56"/>
      <c r="KA259" s="242">
        <f t="shared" si="1836"/>
        <v>0</v>
      </c>
      <c r="KB259" s="242">
        <f t="shared" si="1837"/>
        <v>2540</v>
      </c>
      <c r="KC259" s="56"/>
      <c r="KF259" s="55">
        <f t="shared" si="1838"/>
        <v>46240</v>
      </c>
      <c r="KG259" s="56"/>
      <c r="KH259" s="242">
        <f>SUMPRODUCT(PRODUCE!$B260:$DY260,PRODUCE!$EB$39:$IY$39)</f>
        <v>0</v>
      </c>
      <c r="KI259" s="56"/>
      <c r="KJ259" s="242">
        <f t="shared" si="1839"/>
        <v>0</v>
      </c>
      <c r="KK259" s="242">
        <f t="shared" si="1840"/>
        <v>2359.5</v>
      </c>
      <c r="KL259" s="56"/>
      <c r="KO259" s="55">
        <f t="shared" si="1841"/>
        <v>46240</v>
      </c>
      <c r="KP259" s="56"/>
      <c r="KQ259" s="242">
        <f>SUMPRODUCT(PRODUCE!$B260:$DY260,PRODUCE!$EB$40:$IY$40)</f>
        <v>0</v>
      </c>
      <c r="KR259" s="56"/>
      <c r="KS259" s="242">
        <f t="shared" si="1842"/>
        <v>0</v>
      </c>
      <c r="KT259" s="242">
        <f t="shared" si="1843"/>
        <v>1890</v>
      </c>
      <c r="KU259" s="56"/>
      <c r="KW259" s="23"/>
      <c r="KX259" s="55">
        <f t="shared" si="1844"/>
        <v>46240</v>
      </c>
      <c r="KY259" s="56"/>
      <c r="KZ259" s="242">
        <f>SUMPRODUCT(PRODUCE!$B260:$DY260,PRODUCE!$EB$41:$IY$41)</f>
        <v>0</v>
      </c>
      <c r="LA259" s="56"/>
      <c r="LB259" s="242">
        <f t="shared" si="1845"/>
        <v>0</v>
      </c>
      <c r="LC259" s="242">
        <f t="shared" si="1846"/>
        <v>3690</v>
      </c>
      <c r="LD259" s="56"/>
      <c r="LG259" s="55">
        <f t="shared" si="1847"/>
        <v>46240</v>
      </c>
      <c r="LH259" s="56"/>
      <c r="LI259" s="242">
        <f>SUMPRODUCT(PRODUCE!$B260:$DY260,PRODUCE!$EB$42:$IY$42)</f>
        <v>0</v>
      </c>
      <c r="LJ259" s="56"/>
      <c r="LK259" s="242">
        <f t="shared" si="1848"/>
        <v>0</v>
      </c>
      <c r="LL259" s="242">
        <f t="shared" si="1849"/>
        <v>4000</v>
      </c>
      <c r="LM259" s="56"/>
      <c r="LP259" s="55">
        <f t="shared" si="1850"/>
        <v>46240</v>
      </c>
      <c r="LQ259" s="56"/>
      <c r="LR259" s="242">
        <f>SUMPRODUCT(PRODUCE!$B274:$DY274,PRODUCE!$EB$43:$IY$43)</f>
        <v>0</v>
      </c>
      <c r="LS259" s="56"/>
      <c r="LT259" s="242">
        <f t="shared" si="1851"/>
        <v>0</v>
      </c>
      <c r="LU259" s="242">
        <f t="shared" si="1852"/>
        <v>0</v>
      </c>
      <c r="LV259" s="56"/>
      <c r="LY259" s="55">
        <f t="shared" si="1853"/>
        <v>46240</v>
      </c>
      <c r="LZ259" s="56"/>
      <c r="MA259" s="242">
        <f>SUMPRODUCT(PRODUCE!$B260:$DY260,PRODUCE!$EB$44:$IY$44)</f>
        <v>0</v>
      </c>
      <c r="MB259" s="56"/>
      <c r="MC259" s="242">
        <f t="shared" si="1854"/>
        <v>0</v>
      </c>
      <c r="MD259" s="242">
        <f t="shared" si="1855"/>
        <v>0</v>
      </c>
      <c r="ME259" s="56"/>
      <c r="MH259" s="55">
        <f t="shared" si="1856"/>
        <v>46240</v>
      </c>
      <c r="MI259" s="56"/>
      <c r="MJ259" s="242">
        <f>SUMPRODUCT(PRODUCE!$B260:$DY260,PRODUCE!$EB$45:$IY$45)</f>
        <v>0</v>
      </c>
      <c r="MK259" s="56"/>
      <c r="ML259" s="242">
        <f t="shared" si="1857"/>
        <v>0</v>
      </c>
      <c r="MM259" s="242">
        <f t="shared" si="1858"/>
        <v>0</v>
      </c>
      <c r="MN259" s="56"/>
      <c r="MQ259" s="55">
        <f t="shared" si="1859"/>
        <v>46240</v>
      </c>
      <c r="MR259" s="56"/>
      <c r="MS259" s="242">
        <f>SUMPRODUCT(PRODUCE!$B260:$DY260,PRODUCE!$EB$46:$IY$46)</f>
        <v>0</v>
      </c>
      <c r="MT259" s="56"/>
      <c r="MU259" s="242">
        <f t="shared" si="1860"/>
        <v>0</v>
      </c>
      <c r="MV259" s="242">
        <f t="shared" si="1861"/>
        <v>2149</v>
      </c>
      <c r="MW259" s="56"/>
      <c r="MZ259" s="55">
        <f t="shared" si="1862"/>
        <v>46240</v>
      </c>
      <c r="NA259" s="56"/>
      <c r="NB259" s="242">
        <f>SUMPRODUCT(PRODUCE!$B260:$DY260,PRODUCE!$EB$47:$IY$47)</f>
        <v>0</v>
      </c>
      <c r="NC259" s="56"/>
      <c r="ND259" s="242">
        <f t="shared" si="1863"/>
        <v>0</v>
      </c>
      <c r="NE259" s="242">
        <f t="shared" si="1864"/>
        <v>0</v>
      </c>
      <c r="NF259" s="56"/>
      <c r="NI259" s="55">
        <f t="shared" si="1865"/>
        <v>46240</v>
      </c>
      <c r="NJ259" s="56"/>
      <c r="NK259" s="242">
        <f>SUMPRODUCT(PRODUCE!$B260:$DY260,PRODUCE!$EB$48:$IY$48)</f>
        <v>0</v>
      </c>
      <c r="NL259" s="56"/>
      <c r="NM259" s="242">
        <f t="shared" si="1866"/>
        <v>0</v>
      </c>
      <c r="NN259" s="242">
        <f t="shared" si="1867"/>
        <v>1127</v>
      </c>
      <c r="NO259" s="56"/>
      <c r="NR259" s="55">
        <f t="shared" si="1868"/>
        <v>46240</v>
      </c>
      <c r="NS259" s="56"/>
      <c r="NT259" s="242">
        <f>SUMPRODUCT(PRODUCE!$B260:$DY260,PRODUCE!$EB$49:$IY$49)</f>
        <v>0</v>
      </c>
      <c r="NU259" s="56"/>
      <c r="NV259" s="242">
        <f t="shared" si="1869"/>
        <v>0</v>
      </c>
      <c r="NW259" s="242">
        <f t="shared" si="1870"/>
        <v>3111.9999999999995</v>
      </c>
      <c r="NX259" s="56"/>
      <c r="OA259" s="55">
        <f t="shared" si="1871"/>
        <v>46240</v>
      </c>
      <c r="OB259" s="56"/>
      <c r="OC259" s="242">
        <f>SUMPRODUCT(PRODUCE!$B260:$DY260,PRODUCE!$EB$50:$IY$50)</f>
        <v>0</v>
      </c>
      <c r="OD259" s="56"/>
      <c r="OE259" s="242">
        <f t="shared" si="1872"/>
        <v>0</v>
      </c>
      <c r="OF259" s="242">
        <f t="shared" si="1873"/>
        <v>1680.5</v>
      </c>
      <c r="OG259" s="56"/>
      <c r="OJ259" s="55">
        <f t="shared" si="1874"/>
        <v>46240</v>
      </c>
      <c r="OK259" s="56"/>
      <c r="OL259" s="242">
        <f>SUMPRODUCT(PRODUCE!$B260:$DY260,PRODUCE!$EB$51:$IY$51)</f>
        <v>0</v>
      </c>
      <c r="OM259" s="56"/>
      <c r="ON259" s="242">
        <f t="shared" si="1875"/>
        <v>0</v>
      </c>
      <c r="OO259" s="242">
        <f t="shared" si="1876"/>
        <v>0</v>
      </c>
      <c r="OP259" s="56"/>
      <c r="OS259" s="55">
        <f t="shared" si="1877"/>
        <v>46240</v>
      </c>
      <c r="OT259" s="56"/>
      <c r="OU259" s="242">
        <f>SUMPRODUCT(PRODUCE!$B260:$DY260,PRODUCE!$EB$52:$IY$52)</f>
        <v>0</v>
      </c>
      <c r="OV259" s="56"/>
      <c r="OW259" s="242">
        <f t="shared" si="1878"/>
        <v>0</v>
      </c>
      <c r="OX259" s="242">
        <f t="shared" si="1879"/>
        <v>1482</v>
      </c>
      <c r="OY259" s="56"/>
      <c r="PB259" s="55">
        <f t="shared" si="1880"/>
        <v>46240</v>
      </c>
      <c r="PC259" s="56"/>
      <c r="PD259" s="242">
        <f>SUMPRODUCT(PRODUCE!$B260:$DY260,PRODUCE!$EB$53:$IY$53)</f>
        <v>0</v>
      </c>
      <c r="PE259" s="56"/>
      <c r="PF259" s="242">
        <f t="shared" si="1881"/>
        <v>0</v>
      </c>
      <c r="PG259" s="242">
        <f t="shared" si="1882"/>
        <v>0</v>
      </c>
      <c r="PH259" s="56"/>
      <c r="PK259" s="55">
        <f t="shared" si="1883"/>
        <v>46240</v>
      </c>
      <c r="PL259" s="56"/>
      <c r="PM259" s="242">
        <f>SUMPRODUCT(PRODUCE!$B260:$DY260,PRODUCE!$EB$54:$IY$54)</f>
        <v>0</v>
      </c>
      <c r="PN259" s="56"/>
      <c r="PO259" s="242">
        <f t="shared" si="1884"/>
        <v>0</v>
      </c>
      <c r="PP259" s="242">
        <f t="shared" si="1885"/>
        <v>100</v>
      </c>
      <c r="PQ259" s="56"/>
      <c r="PT259" s="55">
        <f t="shared" si="1886"/>
        <v>46240</v>
      </c>
      <c r="PU259" s="56"/>
      <c r="PV259" s="242">
        <f>SUMPRODUCT(PRODUCE!$B260:$DY260,PRODUCE!$EB$55:$IY$55)</f>
        <v>0</v>
      </c>
      <c r="PW259" s="56"/>
      <c r="PX259" s="242">
        <f t="shared" si="1887"/>
        <v>0</v>
      </c>
      <c r="PY259" s="242">
        <f t="shared" si="1888"/>
        <v>13.960000000000036</v>
      </c>
      <c r="PZ259" s="56"/>
      <c r="QC259" s="55">
        <f t="shared" si="1889"/>
        <v>46240</v>
      </c>
      <c r="QD259" s="56"/>
      <c r="QE259" s="242">
        <f>SUMPRODUCT(PRODUCE!$B260:$DY260,PRODUCE!$EB$56:$IY$56)</f>
        <v>0</v>
      </c>
      <c r="QF259" s="56"/>
      <c r="QG259" s="242">
        <f t="shared" si="1890"/>
        <v>0</v>
      </c>
      <c r="QH259" s="242">
        <f t="shared" si="1891"/>
        <v>1204</v>
      </c>
      <c r="QI259" s="56"/>
      <c r="QL259" s="55">
        <f t="shared" si="1892"/>
        <v>46240</v>
      </c>
      <c r="QM259" s="56"/>
      <c r="QN259" s="242">
        <f>SUMPRODUCT(PRODUCE!$B260:$DY260,PRODUCE!$EB$57:$IY$57)</f>
        <v>0</v>
      </c>
      <c r="QO259" s="56"/>
      <c r="QP259" s="242">
        <f t="shared" si="1893"/>
        <v>0</v>
      </c>
      <c r="QQ259" s="242">
        <f t="shared" si="1894"/>
        <v>0</v>
      </c>
      <c r="QR259" s="56"/>
      <c r="QU259" s="55">
        <f t="shared" si="1895"/>
        <v>46240</v>
      </c>
      <c r="QV259" s="56"/>
      <c r="QW259" s="242">
        <f>SUMPRODUCT(PRODUCE!$B260:$DY260,PRODUCE!$EB$57:$IY$57)</f>
        <v>0</v>
      </c>
      <c r="QX259" s="56"/>
      <c r="QY259" s="242">
        <f t="shared" si="1896"/>
        <v>0</v>
      </c>
      <c r="QZ259" s="242">
        <f t="shared" si="1897"/>
        <v>207.6</v>
      </c>
      <c r="RA259" s="56"/>
      <c r="RD259" s="55">
        <f t="shared" si="1898"/>
        <v>46240</v>
      </c>
      <c r="RE259" s="56"/>
      <c r="RF259" s="242">
        <f>SUMPRODUCT(PRODUCE!$B260:$DY260,PRODUCE!$EB$58:$IY$58)</f>
        <v>0</v>
      </c>
      <c r="RG259" s="56"/>
      <c r="RH259" s="242">
        <f t="shared" si="1899"/>
        <v>0</v>
      </c>
      <c r="RI259" s="242">
        <f t="shared" si="1900"/>
        <v>147.04000000000002</v>
      </c>
      <c r="RJ259" s="56"/>
      <c r="RM259" s="55">
        <f t="shared" si="1901"/>
        <v>46240</v>
      </c>
      <c r="RN259" s="56"/>
      <c r="RO259" s="242">
        <f>SUMPRODUCT(PRODUCE!$B260:$DY260,PRODUCE!$EB$59:$IY$59)</f>
        <v>0</v>
      </c>
      <c r="RP259" s="56"/>
      <c r="RQ259" s="242">
        <f t="shared" si="1902"/>
        <v>0</v>
      </c>
      <c r="RR259" s="242">
        <f t="shared" si="1903"/>
        <v>46.8</v>
      </c>
      <c r="RS259" s="56"/>
      <c r="RV259" s="55">
        <f t="shared" si="1904"/>
        <v>46240</v>
      </c>
      <c r="RW259" s="56"/>
      <c r="RX259" s="242">
        <f>SUMPRODUCT(PRODUCE!$B260:$DY260,PRODUCE!$EB$57:$IY$57)</f>
        <v>0</v>
      </c>
      <c r="RY259" s="56"/>
      <c r="RZ259" s="242">
        <f t="shared" si="1905"/>
        <v>0</v>
      </c>
      <c r="SA259" s="242">
        <f t="shared" si="1906"/>
        <v>0</v>
      </c>
      <c r="SB259" s="56"/>
      <c r="SE259" s="55">
        <f t="shared" si="1907"/>
        <v>46240</v>
      </c>
      <c r="SF259" s="56"/>
      <c r="SG259" s="242">
        <f>SUMPRODUCT(PRODUCE!$B260:$DY260,PRODUCE!$EB$61:$IY$61)</f>
        <v>0</v>
      </c>
      <c r="SH259" s="56"/>
      <c r="SI259" s="242">
        <f t="shared" si="1908"/>
        <v>0</v>
      </c>
      <c r="SJ259" s="242">
        <f t="shared" si="1909"/>
        <v>24.200000000000003</v>
      </c>
      <c r="SK259" s="56"/>
      <c r="SN259" s="55">
        <f t="shared" si="1910"/>
        <v>46240</v>
      </c>
      <c r="SO259" s="56"/>
      <c r="SP259" s="242">
        <f>SUMPRODUCT(PRODUCE!$B260:$DY260,PRODUCE!$EB$62:$IY$62)</f>
        <v>0</v>
      </c>
      <c r="SQ259" s="56"/>
      <c r="SR259" s="242">
        <f t="shared" si="1911"/>
        <v>0</v>
      </c>
      <c r="SS259" s="242">
        <f t="shared" si="1912"/>
        <v>32</v>
      </c>
      <c r="ST259" s="56"/>
      <c r="SW259" s="55">
        <f t="shared" si="1913"/>
        <v>46240</v>
      </c>
      <c r="SX259" s="56"/>
      <c r="SY259" s="242">
        <f>SUMPRODUCT(PRODUCE!$B260:$DY260,PRODUCE!$EB$57:$IY$57)</f>
        <v>0</v>
      </c>
      <c r="SZ259" s="56"/>
      <c r="TA259" s="242">
        <f t="shared" si="1914"/>
        <v>0</v>
      </c>
      <c r="TB259" s="242">
        <f t="shared" si="1915"/>
        <v>0</v>
      </c>
      <c r="TC259" s="56"/>
      <c r="TF259" s="55">
        <f t="shared" si="1916"/>
        <v>46240</v>
      </c>
      <c r="TG259" s="56"/>
      <c r="TH259" s="242">
        <f>SUMPRODUCT(PRODUCE!$B260:$DY260,PRODUCE!$EB$57:$IY$57)</f>
        <v>0</v>
      </c>
      <c r="TI259" s="56"/>
      <c r="TJ259" s="242">
        <f t="shared" si="1917"/>
        <v>0</v>
      </c>
      <c r="TK259" s="242">
        <f t="shared" si="1918"/>
        <v>0</v>
      </c>
      <c r="TL259" s="56"/>
      <c r="TO259" s="55">
        <f t="shared" si="1919"/>
        <v>46240</v>
      </c>
      <c r="TP259" s="56"/>
      <c r="TQ259" s="242">
        <f>SUMPRODUCT(PRODUCE!$B260:$DY260,PRODUCE!$EB$57:$IY$57)</f>
        <v>0</v>
      </c>
      <c r="TR259" s="56"/>
      <c r="TS259" s="242">
        <f t="shared" si="1920"/>
        <v>0</v>
      </c>
      <c r="TT259" s="242">
        <f t="shared" si="1921"/>
        <v>0</v>
      </c>
      <c r="TU259" s="56"/>
      <c r="TX259" s="55">
        <f t="shared" si="1922"/>
        <v>46240</v>
      </c>
      <c r="TY259" s="56"/>
      <c r="TZ259" s="242">
        <f>SUMPRODUCT(PRODUCE!$B260:$DY260,PRODUCE!$EB$57:$IY$57)</f>
        <v>0</v>
      </c>
      <c r="UA259" s="56"/>
      <c r="UB259" s="242">
        <f t="shared" si="1923"/>
        <v>0</v>
      </c>
      <c r="UC259" s="242">
        <f t="shared" si="1924"/>
        <v>46.799999999999983</v>
      </c>
      <c r="UD259" s="56"/>
      <c r="UG259" s="55">
        <f t="shared" si="1925"/>
        <v>46240</v>
      </c>
      <c r="UH259" s="56"/>
      <c r="UI259" s="242">
        <f>SUMPRODUCT(PRODUCE!$B260:$DY260,PRODUCE!$EB$57:$IY$57)</f>
        <v>0</v>
      </c>
      <c r="UJ259" s="56"/>
      <c r="UK259" s="242">
        <f t="shared" si="1926"/>
        <v>0</v>
      </c>
      <c r="UL259" s="242">
        <f t="shared" si="1927"/>
        <v>204</v>
      </c>
      <c r="UM259" s="56"/>
      <c r="UP259" s="55">
        <f t="shared" si="1928"/>
        <v>46240</v>
      </c>
      <c r="UQ259" s="56"/>
      <c r="UR259" s="242">
        <f>SUMPRODUCT(PRODUCE!$B260:$DY260,PRODUCE!$EB$57:$IY$57)</f>
        <v>0</v>
      </c>
      <c r="US259" s="56"/>
      <c r="UT259" s="242">
        <f t="shared" si="1929"/>
        <v>0</v>
      </c>
      <c r="UU259" s="242">
        <f t="shared" si="1930"/>
        <v>202.5</v>
      </c>
      <c r="UV259" s="56"/>
      <c r="UY259" s="55">
        <f t="shared" si="1931"/>
        <v>46240</v>
      </c>
      <c r="UZ259" s="56"/>
      <c r="VA259" s="242">
        <f>SUMPRODUCT(PRODUCE!$B260:$DY260,PRODUCE!$EB$57:$IY$57)</f>
        <v>0</v>
      </c>
      <c r="VB259" s="56"/>
      <c r="VC259" s="242">
        <f t="shared" si="1932"/>
        <v>0</v>
      </c>
      <c r="VD259" s="242">
        <f t="shared" si="1933"/>
        <v>41.600000000000023</v>
      </c>
      <c r="VE259" s="56"/>
      <c r="VH259" s="55">
        <f t="shared" si="1934"/>
        <v>46240</v>
      </c>
      <c r="VI259" s="56"/>
      <c r="VJ259" s="242">
        <f>SUMPRODUCT(PRODUCE!$B260:$DY260,PRODUCE!$EB$57:$IY$57)</f>
        <v>0</v>
      </c>
      <c r="VK259" s="56"/>
      <c r="VL259" s="242">
        <f t="shared" si="1935"/>
        <v>0</v>
      </c>
      <c r="VM259" s="242">
        <f t="shared" si="1936"/>
        <v>210</v>
      </c>
      <c r="VN259" s="56"/>
      <c r="VQ259" s="55">
        <f t="shared" si="1937"/>
        <v>46240</v>
      </c>
      <c r="VR259" s="56"/>
      <c r="VS259" s="242">
        <f>SUMPRODUCT(PRODUCE!$B260:$DY260,PRODUCE!$EB$57:$IY$57)</f>
        <v>0</v>
      </c>
      <c r="VT259" s="56"/>
      <c r="VU259" s="242">
        <f t="shared" si="1938"/>
        <v>0</v>
      </c>
      <c r="VV259" s="242">
        <f t="shared" si="1939"/>
        <v>0</v>
      </c>
      <c r="VW259" s="56"/>
      <c r="VZ259" s="55">
        <f t="shared" si="1940"/>
        <v>46240</v>
      </c>
      <c r="WA259" s="56"/>
      <c r="WB259" s="242">
        <f>SUMPRODUCT(PRODUCE!$B260:$DY260,PRODUCE!$EB$57:$IY$57)</f>
        <v>0</v>
      </c>
      <c r="WC259" s="56"/>
      <c r="WD259" s="242">
        <f t="shared" si="1941"/>
        <v>0</v>
      </c>
      <c r="WE259" s="242">
        <f t="shared" si="1942"/>
        <v>0</v>
      </c>
      <c r="WF259" s="56"/>
      <c r="WI259" s="55">
        <f t="shared" si="1943"/>
        <v>46240</v>
      </c>
      <c r="WJ259" s="56"/>
      <c r="WK259" s="242">
        <f>SUMPRODUCT(PRODUCE!$B260:$DY260,PRODUCE!$EB$57:$IY$57)</f>
        <v>0</v>
      </c>
      <c r="WL259" s="56"/>
      <c r="WM259" s="242">
        <f t="shared" si="1944"/>
        <v>0</v>
      </c>
      <c r="WN259" s="242">
        <f t="shared" si="1945"/>
        <v>1057</v>
      </c>
      <c r="WO259" s="56"/>
      <c r="WR259" s="55">
        <f t="shared" si="1946"/>
        <v>46240</v>
      </c>
      <c r="WS259" s="56"/>
      <c r="WT259" s="242">
        <f>SUMPRODUCT(PRODUCE!$B260:$DY260,PRODUCE!$EB$57:$IY$57)</f>
        <v>0</v>
      </c>
      <c r="WU259" s="56"/>
      <c r="WV259" s="242">
        <f t="shared" si="1947"/>
        <v>0</v>
      </c>
      <c r="WW259" s="242">
        <f t="shared" si="1948"/>
        <v>0</v>
      </c>
      <c r="WX259" s="56"/>
      <c r="XA259" s="55">
        <f t="shared" si="1949"/>
        <v>46240</v>
      </c>
      <c r="XB259" s="56"/>
      <c r="XC259" s="242">
        <f>SUMPRODUCT(PRODUCE!$B260:$DY260,PRODUCE!$EB$57:$IY$57)</f>
        <v>0</v>
      </c>
      <c r="XD259" s="56"/>
      <c r="XE259" s="242">
        <f t="shared" si="1950"/>
        <v>0</v>
      </c>
      <c r="XF259" s="242">
        <f t="shared" si="1951"/>
        <v>7507</v>
      </c>
      <c r="XG259" s="56"/>
      <c r="XJ259" s="55">
        <f t="shared" si="1952"/>
        <v>46240</v>
      </c>
      <c r="XK259" s="56"/>
      <c r="XL259" s="242">
        <f>SUMPRODUCT(PRODUCE!$B260:$DY260,PRODUCE!$EB$57:$IY$57)</f>
        <v>0</v>
      </c>
      <c r="XM259" s="56"/>
      <c r="XN259" s="242">
        <f t="shared" si="1953"/>
        <v>0</v>
      </c>
      <c r="XO259" s="242">
        <f t="shared" si="1954"/>
        <v>4252</v>
      </c>
      <c r="XP259" s="56"/>
      <c r="XS259" s="55">
        <f t="shared" si="1955"/>
        <v>46240</v>
      </c>
      <c r="XT259" s="56"/>
      <c r="XU259" s="242">
        <f>SUMPRODUCT(PRODUCE!$B260:$DY260,PRODUCE!$EB$57:$IY$57)</f>
        <v>0</v>
      </c>
      <c r="XV259" s="56"/>
      <c r="XW259" s="242">
        <f t="shared" si="1956"/>
        <v>0</v>
      </c>
      <c r="XX259" s="242">
        <f t="shared" si="1957"/>
        <v>2179</v>
      </c>
      <c r="XY259" s="56"/>
      <c r="YB259" s="55">
        <f t="shared" si="1958"/>
        <v>46240</v>
      </c>
      <c r="YC259" s="56"/>
      <c r="YD259" s="242">
        <f>SUMPRODUCT(PRODUCE!$B260:$DY260,PRODUCE!$EB$57:$IY$57)</f>
        <v>0</v>
      </c>
      <c r="YE259" s="56"/>
      <c r="YF259" s="242">
        <f t="shared" si="1959"/>
        <v>0</v>
      </c>
      <c r="YG259" s="242">
        <f t="shared" si="1960"/>
        <v>4019</v>
      </c>
      <c r="YH259" s="56"/>
      <c r="YK259" s="55">
        <f t="shared" si="1961"/>
        <v>46240</v>
      </c>
      <c r="YL259" s="56"/>
      <c r="YM259" s="242">
        <f>SUMPRODUCT(PRODUCE!$B260:$DY260,PRODUCE!$EB$57:$IY$57)</f>
        <v>0</v>
      </c>
      <c r="YN259" s="56"/>
      <c r="YO259" s="242">
        <f t="shared" si="1962"/>
        <v>0</v>
      </c>
      <c r="YP259" s="242">
        <f t="shared" si="1963"/>
        <v>-218</v>
      </c>
      <c r="YQ259" s="56"/>
      <c r="YT259" s="55">
        <f t="shared" si="1964"/>
        <v>46240</v>
      </c>
      <c r="YU259" s="56"/>
      <c r="YV259" s="242">
        <f>SUMPRODUCT(PRODUCE!$B260:$DY260,PRODUCE!$EB$57:$IY$57)</f>
        <v>0</v>
      </c>
      <c r="YW259" s="56"/>
      <c r="YX259" s="242">
        <f t="shared" si="1965"/>
        <v>0</v>
      </c>
      <c r="YY259" s="242">
        <f t="shared" si="1966"/>
        <v>0</v>
      </c>
      <c r="YZ259" s="56"/>
      <c r="ZC259" s="55">
        <f t="shared" si="1967"/>
        <v>46240</v>
      </c>
      <c r="ZD259" s="56"/>
      <c r="ZE259" s="242">
        <f>SUMPRODUCT(PRODUCE!$B260:$DY260,PRODUCE!$EB$57:$IY$57)</f>
        <v>0</v>
      </c>
      <c r="ZF259" s="56"/>
      <c r="ZG259" s="242">
        <f t="shared" si="1968"/>
        <v>0</v>
      </c>
      <c r="ZH259" s="242">
        <f t="shared" si="1969"/>
        <v>0</v>
      </c>
      <c r="ZI259" s="56"/>
      <c r="ZL259" s="55">
        <f t="shared" si="1970"/>
        <v>46240</v>
      </c>
      <c r="ZM259" s="56"/>
      <c r="ZN259" s="242">
        <f>SUMPRODUCT(PRODUCE!$B260:$DY260,PRODUCE!$EB$57:$IY$57)</f>
        <v>0</v>
      </c>
      <c r="ZO259" s="56"/>
      <c r="ZP259" s="242">
        <f t="shared" si="1971"/>
        <v>0</v>
      </c>
      <c r="ZQ259" s="242">
        <f t="shared" si="1972"/>
        <v>0</v>
      </c>
      <c r="ZR259" s="56"/>
      <c r="ZU259" s="55">
        <f t="shared" si="1973"/>
        <v>46240</v>
      </c>
      <c r="ZV259" s="56"/>
      <c r="ZW259" s="242">
        <f>SUMPRODUCT(PRODUCE!$B260:$DY260,PRODUCE!$EB$57:$IY$57)</f>
        <v>0</v>
      </c>
      <c r="ZX259" s="56"/>
      <c r="ZY259" s="242">
        <f t="shared" si="1974"/>
        <v>0</v>
      </c>
      <c r="ZZ259" s="242">
        <f t="shared" si="1975"/>
        <v>0</v>
      </c>
      <c r="AAA259" s="56"/>
      <c r="AAD259" s="55">
        <f t="shared" si="1976"/>
        <v>46240</v>
      </c>
      <c r="AAE259" s="56"/>
      <c r="AAF259" s="242">
        <f>SUMPRODUCT(PRODUCE!$B260:$DY260,PRODUCE!$EB$57:$IY$57)</f>
        <v>0</v>
      </c>
      <c r="AAG259" s="56"/>
      <c r="AAH259" s="242">
        <f t="shared" si="1977"/>
        <v>0</v>
      </c>
      <c r="AAI259" s="242">
        <f t="shared" si="1978"/>
        <v>0</v>
      </c>
      <c r="AAJ259" s="56"/>
      <c r="AAM259" s="55">
        <f t="shared" si="1979"/>
        <v>46240</v>
      </c>
      <c r="AAN259" s="56"/>
      <c r="AAO259" s="242">
        <f>SUMPRODUCT(PRODUCE!$B260:$DY260,PRODUCE!$EB$57:$IY$57)</f>
        <v>0</v>
      </c>
      <c r="AAP259" s="56"/>
      <c r="AAQ259" s="242">
        <f t="shared" si="1980"/>
        <v>0</v>
      </c>
      <c r="AAR259" s="242">
        <f t="shared" si="1981"/>
        <v>0</v>
      </c>
      <c r="AAS259" s="56"/>
      <c r="AAV259" s="55">
        <f t="shared" si="1982"/>
        <v>46240</v>
      </c>
      <c r="AAW259" s="56"/>
      <c r="AAX259" s="242">
        <f>SUMPRODUCT(PRODUCE!$B260:$DY260,PRODUCE!$EB$57:$IY$57)</f>
        <v>0</v>
      </c>
      <c r="AAY259" s="56"/>
      <c r="AAZ259" s="242">
        <f t="shared" si="1983"/>
        <v>0</v>
      </c>
      <c r="ABA259" s="242">
        <f t="shared" si="1984"/>
        <v>0</v>
      </c>
      <c r="ABB259" s="56"/>
      <c r="ABE259" s="55">
        <f t="shared" si="1985"/>
        <v>46240</v>
      </c>
      <c r="ABF259" s="56"/>
      <c r="ABG259" s="242">
        <f>SUMPRODUCT(PRODUCE!$B260:$DY260,PRODUCE!$EB$57:$IY$57)</f>
        <v>0</v>
      </c>
      <c r="ABH259" s="56"/>
      <c r="ABI259" s="242">
        <f t="shared" si="1986"/>
        <v>0</v>
      </c>
      <c r="ABJ259" s="242">
        <f t="shared" si="1987"/>
        <v>0</v>
      </c>
      <c r="ABK259" s="56"/>
    </row>
    <row r="260" spans="2:739" s="54" customFormat="1" ht="15" customHeight="1" outlineLevel="1">
      <c r="B260" s="478"/>
      <c r="C260" s="55">
        <v>46241</v>
      </c>
      <c r="D260" s="56"/>
      <c r="E260" s="57">
        <f>SUMPRODUCT(PRODUCE!$B261:$DY261,PRODUCE!$EB$7:$IY$7)</f>
        <v>16318.500000000002</v>
      </c>
      <c r="F260" s="56"/>
      <c r="G260" s="57">
        <f t="shared" si="1743"/>
        <v>16318.500000000002</v>
      </c>
      <c r="H260" s="57">
        <f t="shared" si="1744"/>
        <v>201934.6</v>
      </c>
      <c r="I260" s="289"/>
      <c r="L260" s="55">
        <f t="shared" si="1745"/>
        <v>46241</v>
      </c>
      <c r="M260" s="56"/>
      <c r="N260" s="59">
        <f>SUMPRODUCT(PRODUCE!$B261:$DY261,PRODUCE!$EB$8:$IY$8)</f>
        <v>8925</v>
      </c>
      <c r="O260" s="56"/>
      <c r="P260" s="59">
        <f t="shared" si="1746"/>
        <v>8925</v>
      </c>
      <c r="Q260" s="59">
        <f t="shared" si="1747"/>
        <v>53017.600000000071</v>
      </c>
      <c r="R260" s="56"/>
      <c r="U260" s="55">
        <f t="shared" si="1748"/>
        <v>46241</v>
      </c>
      <c r="V260" s="56"/>
      <c r="W260" s="60">
        <f>SUMPRODUCT(PRODUCE!$B261:$DY261,PRODUCE!$EB$9:$IY$9)</f>
        <v>1800</v>
      </c>
      <c r="X260" s="56"/>
      <c r="Y260" s="60">
        <f t="shared" si="1749"/>
        <v>1800</v>
      </c>
      <c r="Z260" s="60">
        <f t="shared" si="1750"/>
        <v>42674.199999999968</v>
      </c>
      <c r="AA260" s="56"/>
      <c r="AD260" s="55">
        <f t="shared" si="1751"/>
        <v>46241</v>
      </c>
      <c r="AE260" s="56"/>
      <c r="AF260" s="61">
        <f>SUMPRODUCT(PRODUCE!$B261:$DY261,PRODUCE!$EB$10:$IY$10)</f>
        <v>0</v>
      </c>
      <c r="AG260" s="56"/>
      <c r="AH260" s="61">
        <f t="shared" si="1752"/>
        <v>0</v>
      </c>
      <c r="AI260" s="61">
        <f t="shared" si="1753"/>
        <v>4522.2000000000189</v>
      </c>
      <c r="AJ260" s="56"/>
      <c r="AM260" s="55">
        <f t="shared" si="1754"/>
        <v>46241</v>
      </c>
      <c r="AN260" s="422"/>
      <c r="AO260" s="444">
        <f>SUMPRODUCT(PRODUCE!$B261:$DY261,PRODUCE!$EB$11:$IY$11)</f>
        <v>0</v>
      </c>
      <c r="AP260" s="422"/>
      <c r="AQ260" s="444">
        <f t="shared" si="1755"/>
        <v>0</v>
      </c>
      <c r="AR260" s="444">
        <f t="shared" si="1756"/>
        <v>0</v>
      </c>
      <c r="AS260" s="56"/>
      <c r="AV260" s="55">
        <f t="shared" si="1757"/>
        <v>46241</v>
      </c>
      <c r="AW260" s="56"/>
      <c r="AX260" s="62">
        <f>SUMPRODUCT(PRODUCE!$B261:$DY261,PRODUCE!$EB$12:$IY$12)</f>
        <v>0</v>
      </c>
      <c r="AY260" s="56"/>
      <c r="AZ260" s="62">
        <f t="shared" si="1758"/>
        <v>0</v>
      </c>
      <c r="BA260" s="62">
        <f t="shared" si="1759"/>
        <v>124.99999999999523</v>
      </c>
      <c r="BB260" s="56"/>
      <c r="BE260" s="55">
        <f t="shared" si="1760"/>
        <v>46241</v>
      </c>
      <c r="BF260" s="56"/>
      <c r="BG260" s="63">
        <f>SUMPRODUCT(PRODUCE!$B261:$DY261,PRODUCE!$EB$13:$IY$13)</f>
        <v>0</v>
      </c>
      <c r="BH260" s="56"/>
      <c r="BI260" s="63">
        <f t="shared" si="1761"/>
        <v>0</v>
      </c>
      <c r="BJ260" s="63">
        <f t="shared" si="1762"/>
        <v>26151.899999999998</v>
      </c>
      <c r="BK260" s="56"/>
      <c r="BN260" s="55">
        <f t="shared" si="1763"/>
        <v>46241</v>
      </c>
      <c r="BO260" s="56"/>
      <c r="BP260" s="64">
        <f>SUMPRODUCT(PRODUCE!$B261:$DY261,PRODUCE!$EB$14:$IY$14)</f>
        <v>150</v>
      </c>
      <c r="BQ260" s="56"/>
      <c r="BR260" s="64">
        <f t="shared" si="1764"/>
        <v>150</v>
      </c>
      <c r="BS260" s="64">
        <f t="shared" si="1765"/>
        <v>0</v>
      </c>
      <c r="BT260" s="56"/>
      <c r="BW260" s="55">
        <f t="shared" si="1766"/>
        <v>46241</v>
      </c>
      <c r="BX260" s="56"/>
      <c r="BY260" s="65">
        <f>SUMPRODUCT(PRODUCE!$B261:$DY261,PRODUCE!$EB$15:$IY$15)</f>
        <v>220.65</v>
      </c>
      <c r="BZ260" s="56">
        <f>45+149.5+426.59+353.25</f>
        <v>974.33999999999992</v>
      </c>
      <c r="CA260" s="65">
        <f>BY260-BZ260</f>
        <v>-753.68999999999994</v>
      </c>
      <c r="CB260" s="65">
        <f>CB259+BX260-BZ260</f>
        <v>2169.1299999999992</v>
      </c>
      <c r="CC260" s="56"/>
      <c r="CF260" s="55">
        <f t="shared" si="1769"/>
        <v>46241</v>
      </c>
      <c r="CG260" s="56"/>
      <c r="CH260" s="66">
        <f>SUMPRODUCT(PRODUCE!$B261:$DY261,PRODUCE!$EB$16:$IY$16)</f>
        <v>0</v>
      </c>
      <c r="CI260" s="56"/>
      <c r="CJ260" s="66">
        <f t="shared" si="1770"/>
        <v>0</v>
      </c>
      <c r="CK260" s="66">
        <f t="shared" si="1771"/>
        <v>-10277.079999999998</v>
      </c>
      <c r="CL260" s="56"/>
      <c r="CO260" s="55">
        <f t="shared" si="1772"/>
        <v>46241</v>
      </c>
      <c r="CP260" s="422"/>
      <c r="CQ260" s="470">
        <f>SUMPRODUCT(PRODUCE!$B261:$DY261,PRODUCE!$EB$17:$IY$17)</f>
        <v>0</v>
      </c>
      <c r="CR260" s="422"/>
      <c r="CS260" s="470">
        <f t="shared" si="1773"/>
        <v>0</v>
      </c>
      <c r="CT260" s="470">
        <f t="shared" si="1774"/>
        <v>0</v>
      </c>
      <c r="CU260" s="56"/>
      <c r="CX260" s="55">
        <f t="shared" si="1775"/>
        <v>46241</v>
      </c>
      <c r="CY260" s="56"/>
      <c r="CZ260" s="133">
        <f>SUMPRODUCT(PRODUCE!$B261:$DY261,PRODUCE!$EB$18:$IY$18)</f>
        <v>600</v>
      </c>
      <c r="DA260" s="56"/>
      <c r="DB260" s="133">
        <f t="shared" si="1776"/>
        <v>600</v>
      </c>
      <c r="DC260" s="133">
        <f t="shared" si="1777"/>
        <v>27438.200000000012</v>
      </c>
      <c r="DD260" s="56"/>
      <c r="DG260" s="55">
        <f t="shared" si="1778"/>
        <v>46241</v>
      </c>
      <c r="DH260" s="56"/>
      <c r="DI260" s="147">
        <f>SUMPRODUCT(PRODUCE!$B261:$DY261,PRODUCE!$EB$19:$IY$19)</f>
        <v>0</v>
      </c>
      <c r="DJ260" s="56"/>
      <c r="DK260" s="147">
        <f t="shared" si="1779"/>
        <v>0</v>
      </c>
      <c r="DL260" s="147">
        <f t="shared" si="1780"/>
        <v>18782.299999999981</v>
      </c>
      <c r="DM260" s="56"/>
      <c r="DP260" s="55">
        <f t="shared" si="1781"/>
        <v>46241</v>
      </c>
      <c r="DQ260" s="56"/>
      <c r="DR260" s="57">
        <f>SUMPRODUCT(PRODUCE!$B261:$DY261,PRODUCE!$EB$20:$IY$20)</f>
        <v>0</v>
      </c>
      <c r="DS260" s="56"/>
      <c r="DT260" s="57">
        <f t="shared" si="1782"/>
        <v>0</v>
      </c>
      <c r="DU260" s="57">
        <f t="shared" si="1783"/>
        <v>5800</v>
      </c>
      <c r="DV260" s="56"/>
      <c r="DY260" s="55">
        <f t="shared" si="1784"/>
        <v>46241</v>
      </c>
      <c r="DZ260" s="56"/>
      <c r="EA260" s="157">
        <f>SUMPRODUCT(PRODUCE!$B261:$DY261,PRODUCE!$EB$21:$IY$21)</f>
        <v>0</v>
      </c>
      <c r="EB260" s="56"/>
      <c r="EC260" s="157">
        <f t="shared" si="1785"/>
        <v>0</v>
      </c>
      <c r="ED260" s="157">
        <f t="shared" si="1786"/>
        <v>0</v>
      </c>
      <c r="EE260" s="56"/>
      <c r="EH260" s="55">
        <f t="shared" si="1787"/>
        <v>46241</v>
      </c>
      <c r="EI260" s="56"/>
      <c r="EJ260" s="162">
        <f>SUMPRODUCT(PRODUCE!$B261:$DY261,PRODUCE!$EB$22:$IY$22)</f>
        <v>0</v>
      </c>
      <c r="EK260" s="56"/>
      <c r="EL260" s="162">
        <f t="shared" si="1788"/>
        <v>0</v>
      </c>
      <c r="EM260" s="162">
        <f t="shared" si="1789"/>
        <v>0</v>
      </c>
      <c r="EN260" s="56"/>
      <c r="EQ260" s="55">
        <f t="shared" si="1790"/>
        <v>46241</v>
      </c>
      <c r="ER260" s="56"/>
      <c r="ES260" s="135">
        <f>SUMPRODUCT(PRODUCE!$B261:$DY261,PRODUCE!$EB$23:$IY$23)</f>
        <v>0</v>
      </c>
      <c r="ET260" s="56"/>
      <c r="EU260" s="135">
        <f t="shared" si="1791"/>
        <v>0</v>
      </c>
      <c r="EV260" s="135">
        <f t="shared" si="1792"/>
        <v>0</v>
      </c>
      <c r="EW260" s="56"/>
      <c r="EZ260" s="55">
        <f t="shared" si="1793"/>
        <v>46241</v>
      </c>
      <c r="FA260" s="56"/>
      <c r="FB260" s="175">
        <f>SUMPRODUCT(PRODUCE!$B261:$DY261,PRODUCE!$EB$24:$IY$24)</f>
        <v>0</v>
      </c>
      <c r="FC260" s="56"/>
      <c r="FD260" s="175">
        <f t="shared" si="1794"/>
        <v>0</v>
      </c>
      <c r="FE260" s="175">
        <f t="shared" si="1795"/>
        <v>0</v>
      </c>
      <c r="FF260" s="56"/>
      <c r="FI260" s="55">
        <f t="shared" si="1796"/>
        <v>46241</v>
      </c>
      <c r="FJ260" s="56"/>
      <c r="FK260" s="183">
        <f>SUMPRODUCT(PRODUCE!$B261:$DY261,PRODUCE!$EB$25:$IY$25)</f>
        <v>0</v>
      </c>
      <c r="FL260" s="56"/>
      <c r="FM260" s="183">
        <f t="shared" si="1797"/>
        <v>0</v>
      </c>
      <c r="FN260" s="183">
        <f t="shared" si="1798"/>
        <v>0</v>
      </c>
      <c r="FO260" s="56"/>
      <c r="FR260" s="55">
        <f t="shared" si="1799"/>
        <v>46241</v>
      </c>
      <c r="FS260" s="56"/>
      <c r="FT260" s="186">
        <f>SUMPRODUCT(PRODUCE!$B261:$DY261,PRODUCE!$EB$26:$IY$26)</f>
        <v>0</v>
      </c>
      <c r="FU260" s="56"/>
      <c r="FV260" s="186">
        <f t="shared" si="1800"/>
        <v>0</v>
      </c>
      <c r="FW260" s="186">
        <f t="shared" si="1801"/>
        <v>20</v>
      </c>
      <c r="FX260" s="56"/>
      <c r="GA260" s="55">
        <f t="shared" si="1802"/>
        <v>46241</v>
      </c>
      <c r="GB260" s="56"/>
      <c r="GC260" s="137">
        <f>SUMPRODUCT(PRODUCE!$B261:$DY261,PRODUCE!$EB$27:$IY$27)</f>
        <v>0</v>
      </c>
      <c r="GD260" s="56"/>
      <c r="GE260" s="137">
        <f t="shared" si="1803"/>
        <v>0</v>
      </c>
      <c r="GF260" s="137">
        <f t="shared" si="1804"/>
        <v>960</v>
      </c>
      <c r="GG260" s="56"/>
      <c r="GI260" s="23"/>
      <c r="GJ260" s="55">
        <f t="shared" si="1805"/>
        <v>46241</v>
      </c>
      <c r="GK260" s="56"/>
      <c r="GL260" s="199">
        <f>SUMPRODUCT(PRODUCE!$B261:$DY261,PRODUCE!$EB$28:$IY$28)</f>
        <v>0</v>
      </c>
      <c r="GM260" s="56"/>
      <c r="GN260" s="199">
        <f t="shared" si="1806"/>
        <v>0</v>
      </c>
      <c r="GO260" s="199">
        <f t="shared" si="1807"/>
        <v>1760</v>
      </c>
      <c r="GP260" s="56"/>
      <c r="GS260" s="55">
        <f t="shared" si="1808"/>
        <v>46241</v>
      </c>
      <c r="GT260" s="56"/>
      <c r="GU260" s="195">
        <f>SUMPRODUCT(PRODUCE!$B261:$DY261,PRODUCE!$EB$29:$IY$29)</f>
        <v>0</v>
      </c>
      <c r="GV260" s="56"/>
      <c r="GW260" s="195">
        <f t="shared" si="1809"/>
        <v>0</v>
      </c>
      <c r="GX260" s="195">
        <f t="shared" si="1810"/>
        <v>400</v>
      </c>
      <c r="GY260" s="56"/>
      <c r="HB260" s="55">
        <f t="shared" si="1811"/>
        <v>46241</v>
      </c>
      <c r="HC260" s="56"/>
      <c r="HD260" s="191">
        <f>SUMPRODUCT(PRODUCE!$B261:$DY261,PRODUCE!$EB$30:$IY$30)</f>
        <v>0</v>
      </c>
      <c r="HE260" s="56"/>
      <c r="HF260" s="191">
        <f t="shared" si="1812"/>
        <v>0</v>
      </c>
      <c r="HG260" s="191">
        <f t="shared" si="1813"/>
        <v>3600</v>
      </c>
      <c r="HH260" s="56"/>
      <c r="HK260" s="55">
        <f t="shared" si="1814"/>
        <v>46241</v>
      </c>
      <c r="HL260" s="56"/>
      <c r="HM260" s="63">
        <f>SUMPRODUCT(PRODUCE!$B261:$DY261,PRODUCE!$EB$31:$IY$31)</f>
        <v>0</v>
      </c>
      <c r="HN260" s="56"/>
      <c r="HO260" s="63">
        <f t="shared" si="1815"/>
        <v>0</v>
      </c>
      <c r="HP260" s="63">
        <f t="shared" si="1816"/>
        <v>0</v>
      </c>
      <c r="HQ260" s="56"/>
      <c r="HU260" s="55">
        <f t="shared" si="1817"/>
        <v>46241</v>
      </c>
      <c r="HV260" s="56"/>
      <c r="HW260" s="242">
        <f>SUMPRODUCT(PRODUCE!$B261:$DY261,PRODUCE!$EB$32:$IY$32)</f>
        <v>0</v>
      </c>
      <c r="HX260" s="56">
        <v>600</v>
      </c>
      <c r="HY260" s="242">
        <f t="shared" si="1818"/>
        <v>-600</v>
      </c>
      <c r="HZ260" s="242">
        <f t="shared" si="1819"/>
        <v>5120</v>
      </c>
      <c r="IA260" s="56">
        <f t="shared" ref="IA260" si="1989">HX260/20</f>
        <v>30</v>
      </c>
      <c r="IB260" s="23" t="s">
        <v>300</v>
      </c>
      <c r="ID260" s="55">
        <f t="shared" si="1820"/>
        <v>46241</v>
      </c>
      <c r="IE260" s="56"/>
      <c r="IF260" s="242">
        <f>SUMPRODUCT(PRODUCE!$B261:$DY261,PRODUCE!$EB$33:$IY$33)</f>
        <v>0</v>
      </c>
      <c r="IG260" s="56"/>
      <c r="IH260" s="242">
        <f t="shared" si="1821"/>
        <v>0</v>
      </c>
      <c r="II260" s="242">
        <f t="shared" si="1822"/>
        <v>720</v>
      </c>
      <c r="IJ260" s="56"/>
      <c r="IM260" s="55">
        <f t="shared" si="1823"/>
        <v>46241</v>
      </c>
      <c r="IN260" s="56"/>
      <c r="IO260" s="242">
        <f>SUMPRODUCT(PRODUCE!$B261:$DY261,PRODUCE!$EB$34:$IY$34)</f>
        <v>0</v>
      </c>
      <c r="IP260" s="56">
        <v>1280</v>
      </c>
      <c r="IQ260" s="242">
        <f t="shared" si="1824"/>
        <v>-1280</v>
      </c>
      <c r="IR260" s="242">
        <f t="shared" si="1825"/>
        <v>0</v>
      </c>
      <c r="IS260" s="56">
        <f>IP260/20</f>
        <v>64</v>
      </c>
      <c r="IV260" s="55">
        <f t="shared" si="1826"/>
        <v>46241</v>
      </c>
      <c r="IW260" s="56"/>
      <c r="IX260" s="242">
        <f>SUMPRODUCT(PRODUCE!$B261:$DY261,PRODUCE!$EB$35:$IY$35)</f>
        <v>0</v>
      </c>
      <c r="IY260" s="56"/>
      <c r="IZ260" s="242">
        <f t="shared" si="1827"/>
        <v>0</v>
      </c>
      <c r="JA260" s="242">
        <f t="shared" si="1828"/>
        <v>4960</v>
      </c>
      <c r="JB260" s="56"/>
      <c r="JE260" s="55">
        <f t="shared" si="1829"/>
        <v>46241</v>
      </c>
      <c r="JF260" s="56"/>
      <c r="JG260" s="242">
        <f>SUMPRODUCT(PRODUCE!$B261:$DY261,PRODUCE!$EB$36:$IY$36)</f>
        <v>0</v>
      </c>
      <c r="JH260" s="56"/>
      <c r="JI260" s="242">
        <f t="shared" si="1830"/>
        <v>0</v>
      </c>
      <c r="JJ260" s="242">
        <f t="shared" si="1831"/>
        <v>0</v>
      </c>
      <c r="JK260" s="56"/>
      <c r="JN260" s="55">
        <f t="shared" si="1832"/>
        <v>46241</v>
      </c>
      <c r="JO260" s="56"/>
      <c r="JP260" s="242">
        <f>SUMPRODUCT(PRODUCE!$B261:$DY261,PRODUCE!$EB$37:$IY$37)</f>
        <v>0</v>
      </c>
      <c r="JQ260" s="56"/>
      <c r="JR260" s="242">
        <f t="shared" si="1833"/>
        <v>0</v>
      </c>
      <c r="JS260" s="242">
        <f t="shared" si="1834"/>
        <v>0</v>
      </c>
      <c r="JT260" s="56"/>
      <c r="JW260" s="55">
        <f t="shared" si="1835"/>
        <v>46241</v>
      </c>
      <c r="JX260" s="56"/>
      <c r="JY260" s="242">
        <f>SUMPRODUCT(PRODUCE!$B261:$DY261,PRODUCE!$EB$38:$IY$38)</f>
        <v>0</v>
      </c>
      <c r="JZ260" s="56"/>
      <c r="KA260" s="242">
        <f t="shared" si="1836"/>
        <v>0</v>
      </c>
      <c r="KB260" s="242">
        <f t="shared" si="1837"/>
        <v>2540</v>
      </c>
      <c r="KC260" s="56"/>
      <c r="KF260" s="55">
        <f t="shared" si="1838"/>
        <v>46241</v>
      </c>
      <c r="KG260" s="56"/>
      <c r="KH260" s="242">
        <f>SUMPRODUCT(PRODUCE!$B261:$DY261,PRODUCE!$EB$39:$IY$39)</f>
        <v>0</v>
      </c>
      <c r="KI260" s="56"/>
      <c r="KJ260" s="242">
        <f t="shared" si="1839"/>
        <v>0</v>
      </c>
      <c r="KK260" s="242">
        <f t="shared" si="1840"/>
        <v>2359.5</v>
      </c>
      <c r="KL260" s="56"/>
      <c r="KO260" s="55">
        <f t="shared" si="1841"/>
        <v>46241</v>
      </c>
      <c r="KP260" s="56"/>
      <c r="KQ260" s="242">
        <f>SUMPRODUCT(PRODUCE!$B261:$DY261,PRODUCE!$EB$40:$IY$40)</f>
        <v>0</v>
      </c>
      <c r="KR260" s="56"/>
      <c r="KS260" s="242">
        <f t="shared" si="1842"/>
        <v>0</v>
      </c>
      <c r="KT260" s="242">
        <f t="shared" si="1843"/>
        <v>1890</v>
      </c>
      <c r="KU260" s="56"/>
      <c r="KW260" s="23"/>
      <c r="KX260" s="55">
        <f t="shared" si="1844"/>
        <v>46241</v>
      </c>
      <c r="KY260" s="56"/>
      <c r="KZ260" s="242">
        <f>SUMPRODUCT(PRODUCE!$B261:$DY261,PRODUCE!$EB$41:$IY$41)</f>
        <v>0</v>
      </c>
      <c r="LA260" s="56"/>
      <c r="LB260" s="242">
        <f t="shared" si="1845"/>
        <v>0</v>
      </c>
      <c r="LC260" s="242">
        <f t="shared" si="1846"/>
        <v>3690</v>
      </c>
      <c r="LD260" s="56"/>
      <c r="LG260" s="55">
        <f t="shared" si="1847"/>
        <v>46241</v>
      </c>
      <c r="LH260" s="56"/>
      <c r="LI260" s="242">
        <f>SUMPRODUCT(PRODUCE!$B261:$DY261,PRODUCE!$EB$42:$IY$42)</f>
        <v>0</v>
      </c>
      <c r="LJ260" s="56"/>
      <c r="LK260" s="242">
        <f t="shared" si="1848"/>
        <v>0</v>
      </c>
      <c r="LL260" s="242">
        <f t="shared" si="1849"/>
        <v>4000</v>
      </c>
      <c r="LM260" s="56"/>
      <c r="LP260" s="55">
        <f t="shared" si="1850"/>
        <v>46241</v>
      </c>
      <c r="LQ260" s="56"/>
      <c r="LR260" s="242">
        <f>SUMPRODUCT(PRODUCE!$B275:$DY275,PRODUCE!$EB$43:$IY$43)</f>
        <v>0</v>
      </c>
      <c r="LS260" s="56"/>
      <c r="LT260" s="242">
        <f t="shared" si="1851"/>
        <v>0</v>
      </c>
      <c r="LU260" s="242">
        <f t="shared" si="1852"/>
        <v>0</v>
      </c>
      <c r="LV260" s="56"/>
      <c r="LY260" s="55">
        <f t="shared" si="1853"/>
        <v>46241</v>
      </c>
      <c r="LZ260" s="56"/>
      <c r="MA260" s="242">
        <f>SUMPRODUCT(PRODUCE!$B261:$DY261,PRODUCE!$EB$44:$IY$44)</f>
        <v>0</v>
      </c>
      <c r="MB260" s="56"/>
      <c r="MC260" s="242">
        <f t="shared" si="1854"/>
        <v>0</v>
      </c>
      <c r="MD260" s="242">
        <f t="shared" si="1855"/>
        <v>0</v>
      </c>
      <c r="ME260" s="56"/>
      <c r="MH260" s="55">
        <f t="shared" si="1856"/>
        <v>46241</v>
      </c>
      <c r="MI260" s="56"/>
      <c r="MJ260" s="242">
        <f>SUMPRODUCT(PRODUCE!$B261:$DY261,PRODUCE!$EB$45:$IY$45)</f>
        <v>0</v>
      </c>
      <c r="MK260" s="56"/>
      <c r="ML260" s="242">
        <f t="shared" si="1857"/>
        <v>0</v>
      </c>
      <c r="MM260" s="242">
        <f t="shared" si="1858"/>
        <v>0</v>
      </c>
      <c r="MN260" s="56"/>
      <c r="MQ260" s="55">
        <f t="shared" si="1859"/>
        <v>46241</v>
      </c>
      <c r="MR260" s="56"/>
      <c r="MS260" s="242">
        <f>SUMPRODUCT(PRODUCE!$B261:$DY261,PRODUCE!$EB$46:$IY$46)</f>
        <v>0</v>
      </c>
      <c r="MT260" s="56">
        <f>64+30+34+58+30</f>
        <v>216</v>
      </c>
      <c r="MU260" s="242">
        <f t="shared" si="1860"/>
        <v>-216</v>
      </c>
      <c r="MV260" s="242">
        <f t="shared" si="1861"/>
        <v>1933</v>
      </c>
      <c r="MW260" s="56"/>
      <c r="MZ260" s="55">
        <f t="shared" si="1862"/>
        <v>46241</v>
      </c>
      <c r="NA260" s="56"/>
      <c r="NB260" s="242">
        <f>SUMPRODUCT(PRODUCE!$B261:$DY261,PRODUCE!$EB$47:$IY$47)</f>
        <v>0</v>
      </c>
      <c r="NC260" s="56"/>
      <c r="ND260" s="242">
        <f t="shared" si="1863"/>
        <v>0</v>
      </c>
      <c r="NE260" s="242">
        <f t="shared" si="1864"/>
        <v>0</v>
      </c>
      <c r="NF260" s="56"/>
      <c r="NI260" s="55">
        <f t="shared" si="1865"/>
        <v>46241</v>
      </c>
      <c r="NJ260" s="56"/>
      <c r="NK260" s="242">
        <f>SUMPRODUCT(PRODUCE!$B261:$DY261,PRODUCE!$EB$48:$IY$48)</f>
        <v>0</v>
      </c>
      <c r="NL260" s="56"/>
      <c r="NM260" s="242">
        <f t="shared" si="1866"/>
        <v>0</v>
      </c>
      <c r="NN260" s="242">
        <f t="shared" si="1867"/>
        <v>1127</v>
      </c>
      <c r="NO260" s="56"/>
      <c r="NR260" s="55">
        <f t="shared" si="1868"/>
        <v>46241</v>
      </c>
      <c r="NS260" s="56"/>
      <c r="NT260" s="242">
        <f>SUMPRODUCT(PRODUCE!$B261:$DY261,PRODUCE!$EB$49:$IY$49)</f>
        <v>0</v>
      </c>
      <c r="NU260" s="56"/>
      <c r="NV260" s="242">
        <f t="shared" si="1869"/>
        <v>0</v>
      </c>
      <c r="NW260" s="242">
        <f t="shared" si="1870"/>
        <v>3111.9999999999995</v>
      </c>
      <c r="NX260" s="56"/>
      <c r="OA260" s="55">
        <f t="shared" si="1871"/>
        <v>46241</v>
      </c>
      <c r="OB260" s="56"/>
      <c r="OC260" s="242">
        <f>SUMPRODUCT(PRODUCE!$B261:$DY261,PRODUCE!$EB$50:$IY$50)</f>
        <v>0</v>
      </c>
      <c r="OD260" s="56"/>
      <c r="OE260" s="242">
        <f t="shared" si="1872"/>
        <v>0</v>
      </c>
      <c r="OF260" s="242">
        <f t="shared" si="1873"/>
        <v>1680.5</v>
      </c>
      <c r="OG260" s="56"/>
      <c r="OJ260" s="55">
        <f t="shared" si="1874"/>
        <v>46241</v>
      </c>
      <c r="OK260" s="56"/>
      <c r="OL260" s="242">
        <f>SUMPRODUCT(PRODUCE!$B261:$DY261,PRODUCE!$EB$51:$IY$51)</f>
        <v>0</v>
      </c>
      <c r="OM260" s="56"/>
      <c r="ON260" s="242">
        <f t="shared" si="1875"/>
        <v>0</v>
      </c>
      <c r="OO260" s="242">
        <f t="shared" si="1876"/>
        <v>0</v>
      </c>
      <c r="OP260" s="56"/>
      <c r="OS260" s="55">
        <f t="shared" si="1877"/>
        <v>46241</v>
      </c>
      <c r="OT260" s="56"/>
      <c r="OU260" s="242">
        <f>SUMPRODUCT(PRODUCE!$B261:$DY261,PRODUCE!$EB$52:$IY$52)</f>
        <v>0</v>
      </c>
      <c r="OV260" s="56"/>
      <c r="OW260" s="242">
        <f t="shared" si="1878"/>
        <v>0</v>
      </c>
      <c r="OX260" s="242">
        <f t="shared" si="1879"/>
        <v>1482</v>
      </c>
      <c r="OY260" s="56"/>
      <c r="PB260" s="55">
        <f t="shared" si="1880"/>
        <v>46241</v>
      </c>
      <c r="PC260" s="56"/>
      <c r="PD260" s="242">
        <f>SUMPRODUCT(PRODUCE!$B261:$DY261,PRODUCE!$EB$53:$IY$53)</f>
        <v>0</v>
      </c>
      <c r="PE260" s="56"/>
      <c r="PF260" s="242">
        <f t="shared" si="1881"/>
        <v>0</v>
      </c>
      <c r="PG260" s="242">
        <f t="shared" si="1882"/>
        <v>0</v>
      </c>
      <c r="PH260" s="56"/>
      <c r="PK260" s="55">
        <f t="shared" si="1883"/>
        <v>46241</v>
      </c>
      <c r="PL260" s="56"/>
      <c r="PM260" s="242">
        <f>SUMPRODUCT(PRODUCE!$B261:$DY261,PRODUCE!$EB$54:$IY$54)</f>
        <v>0</v>
      </c>
      <c r="PN260" s="56"/>
      <c r="PO260" s="242">
        <f t="shared" si="1884"/>
        <v>0</v>
      </c>
      <c r="PP260" s="242">
        <f t="shared" si="1885"/>
        <v>100</v>
      </c>
      <c r="PQ260" s="56"/>
      <c r="PT260" s="55">
        <f t="shared" si="1886"/>
        <v>46241</v>
      </c>
      <c r="PU260" s="56"/>
      <c r="PV260" s="242">
        <f>SUMPRODUCT(PRODUCE!$B261:$DY261,PRODUCE!$EB$55:$IY$55)</f>
        <v>0</v>
      </c>
      <c r="PW260" s="56"/>
      <c r="PX260" s="242">
        <f t="shared" si="1887"/>
        <v>0</v>
      </c>
      <c r="PY260" s="242">
        <f t="shared" si="1888"/>
        <v>13.960000000000036</v>
      </c>
      <c r="PZ260" s="56"/>
      <c r="QC260" s="55">
        <f t="shared" si="1889"/>
        <v>46241</v>
      </c>
      <c r="QD260" s="56"/>
      <c r="QE260" s="242">
        <f>SUMPRODUCT(PRODUCE!$B261:$DY261,PRODUCE!$EB$56:$IY$56)</f>
        <v>0</v>
      </c>
      <c r="QF260" s="56">
        <v>256</v>
      </c>
      <c r="QG260" s="242">
        <f t="shared" si="1890"/>
        <v>-256</v>
      </c>
      <c r="QH260" s="242">
        <f t="shared" si="1891"/>
        <v>948</v>
      </c>
      <c r="QI260" s="56"/>
      <c r="QL260" s="55">
        <f t="shared" si="1892"/>
        <v>46241</v>
      </c>
      <c r="QM260" s="56"/>
      <c r="QN260" s="242">
        <f>SUMPRODUCT(PRODUCE!$B261:$DY261,PRODUCE!$EB$57:$IY$57)</f>
        <v>0</v>
      </c>
      <c r="QO260" s="56"/>
      <c r="QP260" s="242">
        <f t="shared" si="1893"/>
        <v>0</v>
      </c>
      <c r="QQ260" s="242">
        <f t="shared" si="1894"/>
        <v>0</v>
      </c>
      <c r="QR260" s="56"/>
      <c r="QU260" s="55">
        <f t="shared" si="1895"/>
        <v>46241</v>
      </c>
      <c r="QV260" s="56"/>
      <c r="QW260" s="242">
        <f>SUMPRODUCT(PRODUCE!$B261:$DY261,PRODUCE!$EB$57:$IY$57)</f>
        <v>0</v>
      </c>
      <c r="QX260" s="56"/>
      <c r="QY260" s="242">
        <f t="shared" si="1896"/>
        <v>0</v>
      </c>
      <c r="QZ260" s="242">
        <f t="shared" si="1897"/>
        <v>207.6</v>
      </c>
      <c r="RA260" s="56"/>
      <c r="RD260" s="55">
        <f t="shared" si="1898"/>
        <v>46241</v>
      </c>
      <c r="RE260" s="56"/>
      <c r="RF260" s="242">
        <f>SUMPRODUCT(PRODUCE!$B261:$DY261,PRODUCE!$EB$58:$IY$58)</f>
        <v>0</v>
      </c>
      <c r="RG260" s="56"/>
      <c r="RH260" s="242">
        <f t="shared" si="1899"/>
        <v>0</v>
      </c>
      <c r="RI260" s="242">
        <f t="shared" si="1900"/>
        <v>147.04000000000002</v>
      </c>
      <c r="RJ260" s="56"/>
      <c r="RM260" s="55">
        <f t="shared" si="1901"/>
        <v>46241</v>
      </c>
      <c r="RN260" s="56"/>
      <c r="RO260" s="242">
        <f>SUMPRODUCT(PRODUCE!$B261:$DY261,PRODUCE!$EB$59:$IY$59)</f>
        <v>0</v>
      </c>
      <c r="RP260" s="56"/>
      <c r="RQ260" s="242">
        <f t="shared" si="1902"/>
        <v>0</v>
      </c>
      <c r="RR260" s="242">
        <f t="shared" si="1903"/>
        <v>46.8</v>
      </c>
      <c r="RS260" s="56"/>
      <c r="RV260" s="55">
        <f t="shared" si="1904"/>
        <v>46241</v>
      </c>
      <c r="RW260" s="56"/>
      <c r="RX260" s="242">
        <f>SUMPRODUCT(PRODUCE!$B261:$DY261,PRODUCE!$EB$57:$IY$57)</f>
        <v>0</v>
      </c>
      <c r="RY260" s="56"/>
      <c r="RZ260" s="242">
        <f t="shared" si="1905"/>
        <v>0</v>
      </c>
      <c r="SA260" s="242">
        <f t="shared" si="1906"/>
        <v>0</v>
      </c>
      <c r="SB260" s="56"/>
      <c r="SE260" s="55">
        <f t="shared" si="1907"/>
        <v>46241</v>
      </c>
      <c r="SF260" s="56"/>
      <c r="SG260" s="242">
        <f>SUMPRODUCT(PRODUCE!$B261:$DY261,PRODUCE!$EB$61:$IY$61)</f>
        <v>0</v>
      </c>
      <c r="SH260" s="56"/>
      <c r="SI260" s="242">
        <f t="shared" si="1908"/>
        <v>0</v>
      </c>
      <c r="SJ260" s="242">
        <f t="shared" si="1909"/>
        <v>24.200000000000003</v>
      </c>
      <c r="SK260" s="56"/>
      <c r="SN260" s="55">
        <f t="shared" si="1910"/>
        <v>46241</v>
      </c>
      <c r="SO260" s="56"/>
      <c r="SP260" s="242">
        <f>SUMPRODUCT(PRODUCE!$B261:$DY261,PRODUCE!$EB$62:$IY$62)</f>
        <v>0</v>
      </c>
      <c r="SQ260" s="56"/>
      <c r="SR260" s="242">
        <f t="shared" si="1911"/>
        <v>0</v>
      </c>
      <c r="SS260" s="242">
        <f t="shared" si="1912"/>
        <v>32</v>
      </c>
      <c r="ST260" s="56"/>
      <c r="SW260" s="55">
        <f t="shared" si="1913"/>
        <v>46241</v>
      </c>
      <c r="SX260" s="56"/>
      <c r="SY260" s="242">
        <f>SUMPRODUCT(PRODUCE!$B261:$DY261,PRODUCE!$EB$57:$IY$57)</f>
        <v>0</v>
      </c>
      <c r="SZ260" s="56"/>
      <c r="TA260" s="242">
        <f t="shared" si="1914"/>
        <v>0</v>
      </c>
      <c r="TB260" s="242">
        <f t="shared" si="1915"/>
        <v>0</v>
      </c>
      <c r="TC260" s="56"/>
      <c r="TF260" s="55">
        <f t="shared" si="1916"/>
        <v>46241</v>
      </c>
      <c r="TG260" s="56"/>
      <c r="TH260" s="242">
        <f>SUMPRODUCT(PRODUCE!$B261:$DY261,PRODUCE!$EB$57:$IY$57)</f>
        <v>0</v>
      </c>
      <c r="TI260" s="56"/>
      <c r="TJ260" s="242">
        <f t="shared" si="1917"/>
        <v>0</v>
      </c>
      <c r="TK260" s="242">
        <f t="shared" si="1918"/>
        <v>0</v>
      </c>
      <c r="TL260" s="56"/>
      <c r="TO260" s="55">
        <f t="shared" si="1919"/>
        <v>46241</v>
      </c>
      <c r="TP260" s="56"/>
      <c r="TQ260" s="242">
        <f>SUMPRODUCT(PRODUCE!$B261:$DY261,PRODUCE!$EB$57:$IY$57)</f>
        <v>0</v>
      </c>
      <c r="TR260" s="56"/>
      <c r="TS260" s="242">
        <f t="shared" si="1920"/>
        <v>0</v>
      </c>
      <c r="TT260" s="242">
        <f t="shared" si="1921"/>
        <v>0</v>
      </c>
      <c r="TU260" s="56"/>
      <c r="TX260" s="55">
        <f t="shared" si="1922"/>
        <v>46241</v>
      </c>
      <c r="TY260" s="56"/>
      <c r="TZ260" s="242">
        <f>SUMPRODUCT(PRODUCE!$B261:$DY261,PRODUCE!$EB$57:$IY$57)</f>
        <v>0</v>
      </c>
      <c r="UA260" s="56"/>
      <c r="UB260" s="242">
        <f t="shared" si="1923"/>
        <v>0</v>
      </c>
      <c r="UC260" s="242">
        <f t="shared" si="1924"/>
        <v>46.799999999999983</v>
      </c>
      <c r="UD260" s="56"/>
      <c r="UG260" s="55">
        <f t="shared" si="1925"/>
        <v>46241</v>
      </c>
      <c r="UH260" s="56"/>
      <c r="UI260" s="242">
        <f>SUMPRODUCT(PRODUCE!$B261:$DY261,PRODUCE!$EB$57:$IY$57)</f>
        <v>0</v>
      </c>
      <c r="UJ260" s="56"/>
      <c r="UK260" s="242">
        <f t="shared" si="1926"/>
        <v>0</v>
      </c>
      <c r="UL260" s="242">
        <f t="shared" si="1927"/>
        <v>204</v>
      </c>
      <c r="UM260" s="56"/>
      <c r="UP260" s="55">
        <f t="shared" si="1928"/>
        <v>46241</v>
      </c>
      <c r="UQ260" s="56"/>
      <c r="UR260" s="242">
        <f>SUMPRODUCT(PRODUCE!$B261:$DY261,PRODUCE!$EB$57:$IY$57)</f>
        <v>0</v>
      </c>
      <c r="US260" s="56"/>
      <c r="UT260" s="242">
        <f t="shared" si="1929"/>
        <v>0</v>
      </c>
      <c r="UU260" s="242">
        <f t="shared" si="1930"/>
        <v>202.5</v>
      </c>
      <c r="UV260" s="56"/>
      <c r="UY260" s="55">
        <f t="shared" si="1931"/>
        <v>46241</v>
      </c>
      <c r="UZ260" s="56"/>
      <c r="VA260" s="242">
        <f>SUMPRODUCT(PRODUCE!$B261:$DY261,PRODUCE!$EB$57:$IY$57)</f>
        <v>0</v>
      </c>
      <c r="VB260" s="56"/>
      <c r="VC260" s="242">
        <f t="shared" si="1932"/>
        <v>0</v>
      </c>
      <c r="VD260" s="242">
        <f t="shared" si="1933"/>
        <v>41.600000000000023</v>
      </c>
      <c r="VE260" s="56"/>
      <c r="VH260" s="55">
        <f t="shared" si="1934"/>
        <v>46241</v>
      </c>
      <c r="VI260" s="56"/>
      <c r="VJ260" s="242">
        <f>SUMPRODUCT(PRODUCE!$B261:$DY261,PRODUCE!$EB$57:$IY$57)</f>
        <v>0</v>
      </c>
      <c r="VK260" s="56"/>
      <c r="VL260" s="242">
        <f t="shared" si="1935"/>
        <v>0</v>
      </c>
      <c r="VM260" s="242">
        <f t="shared" si="1936"/>
        <v>210</v>
      </c>
      <c r="VN260" s="56"/>
      <c r="VQ260" s="55">
        <f t="shared" si="1937"/>
        <v>46241</v>
      </c>
      <c r="VR260" s="56"/>
      <c r="VS260" s="242">
        <f>SUMPRODUCT(PRODUCE!$B261:$DY261,PRODUCE!$EB$57:$IY$57)</f>
        <v>0</v>
      </c>
      <c r="VT260" s="56"/>
      <c r="VU260" s="242">
        <f t="shared" si="1938"/>
        <v>0</v>
      </c>
      <c r="VV260" s="242">
        <f t="shared" si="1939"/>
        <v>0</v>
      </c>
      <c r="VW260" s="56"/>
      <c r="VZ260" s="55">
        <f t="shared" si="1940"/>
        <v>46241</v>
      </c>
      <c r="WA260" s="56"/>
      <c r="WB260" s="242">
        <f>SUMPRODUCT(PRODUCE!$B261:$DY261,PRODUCE!$EB$57:$IY$57)</f>
        <v>0</v>
      </c>
      <c r="WC260" s="56"/>
      <c r="WD260" s="242">
        <f t="shared" si="1941"/>
        <v>0</v>
      </c>
      <c r="WE260" s="242">
        <f t="shared" si="1942"/>
        <v>0</v>
      </c>
      <c r="WF260" s="56"/>
      <c r="WI260" s="55">
        <f t="shared" si="1943"/>
        <v>46241</v>
      </c>
      <c r="WJ260" s="56"/>
      <c r="WK260" s="242">
        <f>SUMPRODUCT(PRODUCE!$B261:$DY261,PRODUCE!$EB$57:$IY$57)</f>
        <v>0</v>
      </c>
      <c r="WL260" s="56"/>
      <c r="WM260" s="242">
        <f t="shared" si="1944"/>
        <v>0</v>
      </c>
      <c r="WN260" s="242">
        <f t="shared" si="1945"/>
        <v>1057</v>
      </c>
      <c r="WO260" s="56"/>
      <c r="WR260" s="55">
        <f t="shared" si="1946"/>
        <v>46241</v>
      </c>
      <c r="WS260" s="56"/>
      <c r="WT260" s="242">
        <f>SUMPRODUCT(PRODUCE!$B261:$DY261,PRODUCE!$EB$57:$IY$57)</f>
        <v>0</v>
      </c>
      <c r="WU260" s="56"/>
      <c r="WV260" s="242">
        <f t="shared" si="1947"/>
        <v>0</v>
      </c>
      <c r="WW260" s="242">
        <f t="shared" si="1948"/>
        <v>0</v>
      </c>
      <c r="WX260" s="56"/>
      <c r="XA260" s="55">
        <f t="shared" si="1949"/>
        <v>46241</v>
      </c>
      <c r="XB260" s="56"/>
      <c r="XC260" s="242">
        <f>SUMPRODUCT(PRODUCE!$B261:$DY261,PRODUCE!$EB$57:$IY$57)</f>
        <v>0</v>
      </c>
      <c r="XD260" s="56"/>
      <c r="XE260" s="242">
        <f t="shared" si="1950"/>
        <v>0</v>
      </c>
      <c r="XF260" s="242">
        <f t="shared" si="1951"/>
        <v>7507</v>
      </c>
      <c r="XG260" s="56"/>
      <c r="XJ260" s="55">
        <f t="shared" si="1952"/>
        <v>46241</v>
      </c>
      <c r="XK260" s="56"/>
      <c r="XL260" s="242">
        <f>SUMPRODUCT(PRODUCE!$B261:$DY261,PRODUCE!$EB$57:$IY$57)</f>
        <v>0</v>
      </c>
      <c r="XM260" s="56"/>
      <c r="XN260" s="242">
        <f t="shared" si="1953"/>
        <v>0</v>
      </c>
      <c r="XO260" s="242">
        <f t="shared" si="1954"/>
        <v>4252</v>
      </c>
      <c r="XP260" s="56"/>
      <c r="XS260" s="55">
        <f t="shared" si="1955"/>
        <v>46241</v>
      </c>
      <c r="XT260" s="56"/>
      <c r="XU260" s="242">
        <f>SUMPRODUCT(PRODUCE!$B261:$DY261,PRODUCE!$EB$57:$IY$57)</f>
        <v>0</v>
      </c>
      <c r="XV260" s="56"/>
      <c r="XW260" s="242">
        <f t="shared" si="1956"/>
        <v>0</v>
      </c>
      <c r="XX260" s="242">
        <f t="shared" si="1957"/>
        <v>2179</v>
      </c>
      <c r="XY260" s="56"/>
      <c r="YB260" s="55">
        <f t="shared" si="1958"/>
        <v>46241</v>
      </c>
      <c r="YC260" s="56"/>
      <c r="YD260" s="242">
        <f>SUMPRODUCT(PRODUCE!$B261:$DY261,PRODUCE!$EB$57:$IY$57)</f>
        <v>0</v>
      </c>
      <c r="YE260" s="56"/>
      <c r="YF260" s="242">
        <f t="shared" si="1959"/>
        <v>0</v>
      </c>
      <c r="YG260" s="242">
        <f t="shared" si="1960"/>
        <v>4019</v>
      </c>
      <c r="YH260" s="56"/>
      <c r="YK260" s="55">
        <f t="shared" si="1961"/>
        <v>46241</v>
      </c>
      <c r="YL260" s="56"/>
      <c r="YM260" s="242">
        <f>SUMPRODUCT(PRODUCE!$B261:$DY261,PRODUCE!$EB$57:$IY$57)</f>
        <v>0</v>
      </c>
      <c r="YN260" s="56"/>
      <c r="YO260" s="242">
        <f t="shared" si="1962"/>
        <v>0</v>
      </c>
      <c r="YP260" s="242">
        <f t="shared" si="1963"/>
        <v>-218</v>
      </c>
      <c r="YQ260" s="56"/>
      <c r="YT260" s="55">
        <f t="shared" si="1964"/>
        <v>46241</v>
      </c>
      <c r="YU260" s="56"/>
      <c r="YV260" s="242">
        <f>SUMPRODUCT(PRODUCE!$B261:$DY261,PRODUCE!$EB$57:$IY$57)</f>
        <v>0</v>
      </c>
      <c r="YW260" s="56"/>
      <c r="YX260" s="242">
        <f t="shared" si="1965"/>
        <v>0</v>
      </c>
      <c r="YY260" s="242">
        <f t="shared" si="1966"/>
        <v>0</v>
      </c>
      <c r="YZ260" s="56"/>
      <c r="ZC260" s="55">
        <f t="shared" si="1967"/>
        <v>46241</v>
      </c>
      <c r="ZD260" s="56"/>
      <c r="ZE260" s="242">
        <f>SUMPRODUCT(PRODUCE!$B261:$DY261,PRODUCE!$EB$57:$IY$57)</f>
        <v>0</v>
      </c>
      <c r="ZF260" s="56"/>
      <c r="ZG260" s="242">
        <f t="shared" si="1968"/>
        <v>0</v>
      </c>
      <c r="ZH260" s="242">
        <f t="shared" si="1969"/>
        <v>0</v>
      </c>
      <c r="ZI260" s="56"/>
      <c r="ZL260" s="55">
        <f t="shared" si="1970"/>
        <v>46241</v>
      </c>
      <c r="ZM260" s="56"/>
      <c r="ZN260" s="242">
        <f>SUMPRODUCT(PRODUCE!$B261:$DY261,PRODUCE!$EB$57:$IY$57)</f>
        <v>0</v>
      </c>
      <c r="ZO260" s="56"/>
      <c r="ZP260" s="242">
        <f t="shared" si="1971"/>
        <v>0</v>
      </c>
      <c r="ZQ260" s="242">
        <f t="shared" si="1972"/>
        <v>0</v>
      </c>
      <c r="ZR260" s="56"/>
      <c r="ZU260" s="55">
        <f t="shared" si="1973"/>
        <v>46241</v>
      </c>
      <c r="ZV260" s="56"/>
      <c r="ZW260" s="242">
        <f>SUMPRODUCT(PRODUCE!$B261:$DY261,PRODUCE!$EB$57:$IY$57)</f>
        <v>0</v>
      </c>
      <c r="ZX260" s="56"/>
      <c r="ZY260" s="242">
        <f t="shared" si="1974"/>
        <v>0</v>
      </c>
      <c r="ZZ260" s="242">
        <f t="shared" si="1975"/>
        <v>0</v>
      </c>
      <c r="AAA260" s="56"/>
      <c r="AAD260" s="55">
        <f t="shared" si="1976"/>
        <v>46241</v>
      </c>
      <c r="AAE260" s="56"/>
      <c r="AAF260" s="242">
        <f>SUMPRODUCT(PRODUCE!$B261:$DY261,PRODUCE!$EB$57:$IY$57)</f>
        <v>0</v>
      </c>
      <c r="AAG260" s="56"/>
      <c r="AAH260" s="242">
        <f t="shared" si="1977"/>
        <v>0</v>
      </c>
      <c r="AAI260" s="242">
        <f t="shared" si="1978"/>
        <v>0</v>
      </c>
      <c r="AAJ260" s="56"/>
      <c r="AAM260" s="55">
        <f t="shared" si="1979"/>
        <v>46241</v>
      </c>
      <c r="AAN260" s="56"/>
      <c r="AAO260" s="242">
        <f>SUMPRODUCT(PRODUCE!$B261:$DY261,PRODUCE!$EB$57:$IY$57)</f>
        <v>0</v>
      </c>
      <c r="AAP260" s="56"/>
      <c r="AAQ260" s="242">
        <f t="shared" si="1980"/>
        <v>0</v>
      </c>
      <c r="AAR260" s="242">
        <f t="shared" si="1981"/>
        <v>0</v>
      </c>
      <c r="AAS260" s="56"/>
      <c r="AAV260" s="55">
        <f t="shared" si="1982"/>
        <v>46241</v>
      </c>
      <c r="AAW260" s="56"/>
      <c r="AAX260" s="242">
        <f>SUMPRODUCT(PRODUCE!$B261:$DY261,PRODUCE!$EB$57:$IY$57)</f>
        <v>0</v>
      </c>
      <c r="AAY260" s="56"/>
      <c r="AAZ260" s="242">
        <f t="shared" si="1983"/>
        <v>0</v>
      </c>
      <c r="ABA260" s="242">
        <f t="shared" si="1984"/>
        <v>0</v>
      </c>
      <c r="ABB260" s="56"/>
      <c r="ABE260" s="55">
        <f t="shared" si="1985"/>
        <v>46241</v>
      </c>
      <c r="ABF260" s="56"/>
      <c r="ABG260" s="242">
        <f>SUMPRODUCT(PRODUCE!$B261:$DY261,PRODUCE!$EB$57:$IY$57)</f>
        <v>0</v>
      </c>
      <c r="ABH260" s="56"/>
      <c r="ABI260" s="242">
        <f t="shared" si="1986"/>
        <v>0</v>
      </c>
      <c r="ABJ260" s="242">
        <f t="shared" si="1987"/>
        <v>0</v>
      </c>
      <c r="ABK260" s="56"/>
    </row>
    <row r="261" spans="2:739" s="54" customFormat="1" ht="15" customHeight="1" outlineLevel="1">
      <c r="B261" s="478"/>
      <c r="C261" s="55">
        <v>46242</v>
      </c>
      <c r="D261" s="56"/>
      <c r="E261" s="57">
        <f>SUMPRODUCT(PRODUCE!$B262:$DY262,PRODUCE!$EB$7:$IY$7)</f>
        <v>30314.820000000007</v>
      </c>
      <c r="F261" s="56"/>
      <c r="G261" s="57">
        <f t="shared" si="1743"/>
        <v>30314.820000000007</v>
      </c>
      <c r="H261" s="57">
        <f t="shared" si="1744"/>
        <v>201934.6</v>
      </c>
      <c r="I261" s="289"/>
      <c r="L261" s="55">
        <f t="shared" si="1745"/>
        <v>46242</v>
      </c>
      <c r="M261" s="56"/>
      <c r="N261" s="59">
        <f>SUMPRODUCT(PRODUCE!$B262:$DY262,PRODUCE!$EB$8:$IY$8)</f>
        <v>16350.6</v>
      </c>
      <c r="O261" s="56"/>
      <c r="P261" s="59">
        <f t="shared" si="1746"/>
        <v>16350.6</v>
      </c>
      <c r="Q261" s="59">
        <f t="shared" si="1747"/>
        <v>53017.600000000071</v>
      </c>
      <c r="R261" s="56"/>
      <c r="U261" s="55">
        <f t="shared" si="1748"/>
        <v>46242</v>
      </c>
      <c r="V261" s="56"/>
      <c r="W261" s="60">
        <f>SUMPRODUCT(PRODUCE!$B262:$DY262,PRODUCE!$EB$9:$IY$9)</f>
        <v>3100</v>
      </c>
      <c r="X261" s="56"/>
      <c r="Y261" s="60">
        <f t="shared" si="1749"/>
        <v>3100</v>
      </c>
      <c r="Z261" s="60">
        <f t="shared" si="1750"/>
        <v>42674.199999999968</v>
      </c>
      <c r="AA261" s="56"/>
      <c r="AD261" s="55">
        <f t="shared" si="1751"/>
        <v>46242</v>
      </c>
      <c r="AE261" s="56"/>
      <c r="AF261" s="61">
        <f>SUMPRODUCT(PRODUCE!$B262:$DY262,PRODUCE!$EB$10:$IY$10)</f>
        <v>0</v>
      </c>
      <c r="AG261" s="56"/>
      <c r="AH261" s="61">
        <f t="shared" si="1752"/>
        <v>0</v>
      </c>
      <c r="AI261" s="61">
        <f t="shared" si="1753"/>
        <v>4522.2000000000189</v>
      </c>
      <c r="AJ261" s="56"/>
      <c r="AM261" s="55">
        <f t="shared" si="1754"/>
        <v>46242</v>
      </c>
      <c r="AN261" s="422"/>
      <c r="AO261" s="444">
        <f>SUMPRODUCT(PRODUCE!$B262:$DY262,PRODUCE!$EB$11:$IY$11)</f>
        <v>0</v>
      </c>
      <c r="AP261" s="422"/>
      <c r="AQ261" s="444">
        <f t="shared" si="1755"/>
        <v>0</v>
      </c>
      <c r="AR261" s="444">
        <f t="shared" si="1756"/>
        <v>0</v>
      </c>
      <c r="AS261" s="56"/>
      <c r="AV261" s="55">
        <f t="shared" si="1757"/>
        <v>46242</v>
      </c>
      <c r="AW261" s="56"/>
      <c r="AX261" s="62">
        <f>SUMPRODUCT(PRODUCE!$B262:$DY262,PRODUCE!$EB$12:$IY$12)</f>
        <v>520</v>
      </c>
      <c r="AY261" s="56"/>
      <c r="AZ261" s="62">
        <f t="shared" si="1758"/>
        <v>520</v>
      </c>
      <c r="BA261" s="62">
        <f t="shared" si="1759"/>
        <v>124.99999999999523</v>
      </c>
      <c r="BB261" s="56"/>
      <c r="BE261" s="55">
        <f t="shared" si="1760"/>
        <v>46242</v>
      </c>
      <c r="BF261" s="56"/>
      <c r="BG261" s="63">
        <f>SUMPRODUCT(PRODUCE!$B262:$DY262,PRODUCE!$EB$13:$IY$13)</f>
        <v>390</v>
      </c>
      <c r="BH261" s="56"/>
      <c r="BI261" s="63">
        <f t="shared" si="1761"/>
        <v>390</v>
      </c>
      <c r="BJ261" s="63">
        <f t="shared" si="1762"/>
        <v>26151.899999999998</v>
      </c>
      <c r="BK261" s="56"/>
      <c r="BN261" s="55">
        <f t="shared" si="1763"/>
        <v>46242</v>
      </c>
      <c r="BO261" s="56"/>
      <c r="BP261" s="64">
        <f>SUMPRODUCT(PRODUCE!$B262:$DY262,PRODUCE!$EB$14:$IY$14)</f>
        <v>410</v>
      </c>
      <c r="BQ261" s="56"/>
      <c r="BR261" s="64">
        <f t="shared" si="1764"/>
        <v>410</v>
      </c>
      <c r="BS261" s="64">
        <f t="shared" si="1765"/>
        <v>0</v>
      </c>
      <c r="BT261" s="56"/>
      <c r="BW261" s="55">
        <f t="shared" si="1766"/>
        <v>46242</v>
      </c>
      <c r="BX261" s="56"/>
      <c r="BY261" s="65">
        <f>SUMPRODUCT(PRODUCE!$B262:$DY262,PRODUCE!$EB$15:$IY$15)</f>
        <v>259.64999999999998</v>
      </c>
      <c r="BZ261" s="56"/>
      <c r="CA261" s="65">
        <f t="shared" si="1767"/>
        <v>259.64999999999998</v>
      </c>
      <c r="CB261" s="65">
        <f t="shared" si="1768"/>
        <v>2169.1299999999992</v>
      </c>
      <c r="CC261" s="56"/>
      <c r="CF261" s="55">
        <f t="shared" si="1769"/>
        <v>46242</v>
      </c>
      <c r="CG261" s="56"/>
      <c r="CH261" s="66">
        <f>SUMPRODUCT(PRODUCE!$B262:$DY262,PRODUCE!$EB$16:$IY$16)</f>
        <v>158.07999999999998</v>
      </c>
      <c r="CI261" s="56"/>
      <c r="CJ261" s="66">
        <f t="shared" si="1770"/>
        <v>158.07999999999998</v>
      </c>
      <c r="CK261" s="66">
        <f t="shared" si="1771"/>
        <v>-10277.079999999998</v>
      </c>
      <c r="CL261" s="56"/>
      <c r="CO261" s="55">
        <f t="shared" si="1772"/>
        <v>46242</v>
      </c>
      <c r="CP261" s="422"/>
      <c r="CQ261" s="470">
        <f>SUMPRODUCT(PRODUCE!$B262:$DY262,PRODUCE!$EB$17:$IY$17)</f>
        <v>0</v>
      </c>
      <c r="CR261" s="422"/>
      <c r="CS261" s="470">
        <f t="shared" si="1773"/>
        <v>0</v>
      </c>
      <c r="CT261" s="470">
        <f t="shared" si="1774"/>
        <v>0</v>
      </c>
      <c r="CU261" s="56"/>
      <c r="CX261" s="55">
        <f t="shared" si="1775"/>
        <v>46242</v>
      </c>
      <c r="CY261" s="56"/>
      <c r="CZ261" s="133">
        <f>SUMPRODUCT(PRODUCE!$B262:$DY262,PRODUCE!$EB$18:$IY$18)</f>
        <v>600</v>
      </c>
      <c r="DA261" s="56"/>
      <c r="DB261" s="133">
        <f t="shared" si="1776"/>
        <v>600</v>
      </c>
      <c r="DC261" s="133">
        <f t="shared" si="1777"/>
        <v>27438.200000000012</v>
      </c>
      <c r="DD261" s="56"/>
      <c r="DG261" s="55">
        <f t="shared" si="1778"/>
        <v>46242</v>
      </c>
      <c r="DH261" s="56"/>
      <c r="DI261" s="147">
        <f>SUMPRODUCT(PRODUCE!$B262:$DY262,PRODUCE!$EB$19:$IY$19)</f>
        <v>1300</v>
      </c>
      <c r="DJ261" s="56"/>
      <c r="DK261" s="147">
        <f t="shared" si="1779"/>
        <v>1300</v>
      </c>
      <c r="DL261" s="147">
        <f t="shared" si="1780"/>
        <v>18782.299999999981</v>
      </c>
      <c r="DM261" s="56"/>
      <c r="DP261" s="55">
        <f t="shared" si="1781"/>
        <v>46242</v>
      </c>
      <c r="DQ261" s="56"/>
      <c r="DR261" s="57">
        <f>SUMPRODUCT(PRODUCE!$B262:$DY262,PRODUCE!$EB$20:$IY$20)</f>
        <v>0</v>
      </c>
      <c r="DS261" s="56"/>
      <c r="DT261" s="57">
        <f t="shared" si="1782"/>
        <v>0</v>
      </c>
      <c r="DU261" s="57">
        <f t="shared" si="1783"/>
        <v>5800</v>
      </c>
      <c r="DV261" s="56"/>
      <c r="DY261" s="55">
        <f t="shared" si="1784"/>
        <v>46242</v>
      </c>
      <c r="DZ261" s="56"/>
      <c r="EA261" s="157">
        <f>SUMPRODUCT(PRODUCE!$B262:$DY262,PRODUCE!$EB$21:$IY$21)</f>
        <v>0</v>
      </c>
      <c r="EB261" s="56"/>
      <c r="EC261" s="157">
        <f t="shared" si="1785"/>
        <v>0</v>
      </c>
      <c r="ED261" s="157">
        <f t="shared" si="1786"/>
        <v>0</v>
      </c>
      <c r="EE261" s="56"/>
      <c r="EH261" s="55">
        <f t="shared" si="1787"/>
        <v>46242</v>
      </c>
      <c r="EI261" s="56"/>
      <c r="EJ261" s="162">
        <f>SUMPRODUCT(PRODUCE!$B262:$DY262,PRODUCE!$EB$22:$IY$22)</f>
        <v>0</v>
      </c>
      <c r="EK261" s="56"/>
      <c r="EL261" s="162">
        <f t="shared" si="1788"/>
        <v>0</v>
      </c>
      <c r="EM261" s="162">
        <f t="shared" si="1789"/>
        <v>0</v>
      </c>
      <c r="EN261" s="56"/>
      <c r="EQ261" s="55">
        <f t="shared" si="1790"/>
        <v>46242</v>
      </c>
      <c r="ER261" s="56"/>
      <c r="ES261" s="135">
        <f>SUMPRODUCT(PRODUCE!$B262:$DY262,PRODUCE!$EB$23:$IY$23)</f>
        <v>0</v>
      </c>
      <c r="ET261" s="56"/>
      <c r="EU261" s="135">
        <f t="shared" si="1791"/>
        <v>0</v>
      </c>
      <c r="EV261" s="135">
        <f t="shared" si="1792"/>
        <v>0</v>
      </c>
      <c r="EW261" s="56"/>
      <c r="EZ261" s="55">
        <f t="shared" si="1793"/>
        <v>46242</v>
      </c>
      <c r="FA261" s="56"/>
      <c r="FB261" s="175">
        <f>SUMPRODUCT(PRODUCE!$B262:$DY262,PRODUCE!$EB$24:$IY$24)</f>
        <v>0</v>
      </c>
      <c r="FC261" s="56"/>
      <c r="FD261" s="175">
        <f t="shared" si="1794"/>
        <v>0</v>
      </c>
      <c r="FE261" s="175">
        <f t="shared" si="1795"/>
        <v>0</v>
      </c>
      <c r="FF261" s="56"/>
      <c r="FI261" s="55">
        <f t="shared" si="1796"/>
        <v>46242</v>
      </c>
      <c r="FJ261" s="56"/>
      <c r="FK261" s="183">
        <f>SUMPRODUCT(PRODUCE!$B262:$DY262,PRODUCE!$EB$25:$IY$25)</f>
        <v>0</v>
      </c>
      <c r="FL261" s="56"/>
      <c r="FM261" s="183">
        <f t="shared" si="1797"/>
        <v>0</v>
      </c>
      <c r="FN261" s="183">
        <f t="shared" si="1798"/>
        <v>0</v>
      </c>
      <c r="FO261" s="56"/>
      <c r="FR261" s="55">
        <f t="shared" si="1799"/>
        <v>46242</v>
      </c>
      <c r="FS261" s="56"/>
      <c r="FT261" s="186">
        <f>SUMPRODUCT(PRODUCE!$B262:$DY262,PRODUCE!$EB$26:$IY$26)</f>
        <v>0</v>
      </c>
      <c r="FU261" s="56"/>
      <c r="FV261" s="186">
        <f t="shared" si="1800"/>
        <v>0</v>
      </c>
      <c r="FW261" s="186">
        <f t="shared" si="1801"/>
        <v>20</v>
      </c>
      <c r="FX261" s="56"/>
      <c r="GA261" s="55">
        <f t="shared" si="1802"/>
        <v>46242</v>
      </c>
      <c r="GB261" s="56"/>
      <c r="GC261" s="137">
        <f>SUMPRODUCT(PRODUCE!$B262:$DY262,PRODUCE!$EB$27:$IY$27)</f>
        <v>0</v>
      </c>
      <c r="GD261" s="56"/>
      <c r="GE261" s="137">
        <f t="shared" si="1803"/>
        <v>0</v>
      </c>
      <c r="GF261" s="137">
        <f t="shared" si="1804"/>
        <v>960</v>
      </c>
      <c r="GG261" s="56"/>
      <c r="GI261" s="23"/>
      <c r="GJ261" s="55">
        <f t="shared" si="1805"/>
        <v>46242</v>
      </c>
      <c r="GK261" s="56"/>
      <c r="GL261" s="199">
        <f>SUMPRODUCT(PRODUCE!$B262:$DY262,PRODUCE!$EB$28:$IY$28)</f>
        <v>0</v>
      </c>
      <c r="GM261" s="56"/>
      <c r="GN261" s="199">
        <f t="shared" si="1806"/>
        <v>0</v>
      </c>
      <c r="GO261" s="199">
        <f t="shared" si="1807"/>
        <v>1760</v>
      </c>
      <c r="GP261" s="56"/>
      <c r="GS261" s="55">
        <f t="shared" si="1808"/>
        <v>46242</v>
      </c>
      <c r="GT261" s="56"/>
      <c r="GU261" s="195">
        <f>SUMPRODUCT(PRODUCE!$B262:$DY262,PRODUCE!$EB$29:$IY$29)</f>
        <v>0</v>
      </c>
      <c r="GV261" s="56"/>
      <c r="GW261" s="195">
        <f t="shared" si="1809"/>
        <v>0</v>
      </c>
      <c r="GX261" s="195">
        <f t="shared" si="1810"/>
        <v>400</v>
      </c>
      <c r="GY261" s="56"/>
      <c r="HB261" s="55">
        <f t="shared" si="1811"/>
        <v>46242</v>
      </c>
      <c r="HC261" s="56"/>
      <c r="HD261" s="191">
        <f>SUMPRODUCT(PRODUCE!$B262:$DY262,PRODUCE!$EB$30:$IY$30)</f>
        <v>0</v>
      </c>
      <c r="HE261" s="56"/>
      <c r="HF261" s="191">
        <f t="shared" si="1812"/>
        <v>0</v>
      </c>
      <c r="HG261" s="191">
        <f t="shared" si="1813"/>
        <v>3600</v>
      </c>
      <c r="HH261" s="56"/>
      <c r="HK261" s="55">
        <f t="shared" si="1814"/>
        <v>46242</v>
      </c>
      <c r="HL261" s="56"/>
      <c r="HM261" s="63">
        <f>SUMPRODUCT(PRODUCE!$B262:$DY262,PRODUCE!$EB$31:$IY$31)</f>
        <v>0</v>
      </c>
      <c r="HN261" s="56"/>
      <c r="HO261" s="63">
        <f t="shared" si="1815"/>
        <v>0</v>
      </c>
      <c r="HP261" s="63">
        <f t="shared" si="1816"/>
        <v>0</v>
      </c>
      <c r="HQ261" s="56"/>
      <c r="HU261" s="55">
        <f t="shared" si="1817"/>
        <v>46242</v>
      </c>
      <c r="HV261" s="56"/>
      <c r="HW261" s="242">
        <f>SUMPRODUCT(PRODUCE!$B262:$DY262,PRODUCE!$EB$32:$IY$32)</f>
        <v>520</v>
      </c>
      <c r="HX261" s="56"/>
      <c r="HY261" s="242">
        <f t="shared" si="1818"/>
        <v>520</v>
      </c>
      <c r="HZ261" s="242">
        <f t="shared" si="1819"/>
        <v>5120</v>
      </c>
      <c r="IA261" s="56"/>
      <c r="ID261" s="55">
        <f t="shared" si="1820"/>
        <v>46242</v>
      </c>
      <c r="IE261" s="56"/>
      <c r="IF261" s="242">
        <f>SUMPRODUCT(PRODUCE!$B262:$DY262,PRODUCE!$EB$33:$IY$33)</f>
        <v>0</v>
      </c>
      <c r="IG261" s="56"/>
      <c r="IH261" s="242">
        <f t="shared" si="1821"/>
        <v>0</v>
      </c>
      <c r="II261" s="242">
        <f t="shared" si="1822"/>
        <v>720</v>
      </c>
      <c r="IJ261" s="56"/>
      <c r="IM261" s="55">
        <f t="shared" si="1823"/>
        <v>46242</v>
      </c>
      <c r="IN261" s="56"/>
      <c r="IO261" s="242">
        <f>SUMPRODUCT(PRODUCE!$B262:$DY262,PRODUCE!$EB$34:$IY$34)</f>
        <v>0</v>
      </c>
      <c r="IP261" s="56"/>
      <c r="IQ261" s="242">
        <f t="shared" si="1824"/>
        <v>0</v>
      </c>
      <c r="IR261" s="242">
        <f t="shared" si="1825"/>
        <v>0</v>
      </c>
      <c r="IS261" s="56"/>
      <c r="IV261" s="55">
        <f t="shared" si="1826"/>
        <v>46242</v>
      </c>
      <c r="IW261" s="56"/>
      <c r="IX261" s="242">
        <f>SUMPRODUCT(PRODUCE!$B262:$DY262,PRODUCE!$EB$35:$IY$35)</f>
        <v>0</v>
      </c>
      <c r="IY261" s="56"/>
      <c r="IZ261" s="242">
        <f t="shared" si="1827"/>
        <v>0</v>
      </c>
      <c r="JA261" s="242">
        <f t="shared" si="1828"/>
        <v>4960</v>
      </c>
      <c r="JB261" s="56"/>
      <c r="JE261" s="55">
        <f t="shared" si="1829"/>
        <v>46242</v>
      </c>
      <c r="JF261" s="56"/>
      <c r="JG261" s="242">
        <f>SUMPRODUCT(PRODUCE!$B262:$DY262,PRODUCE!$EB$36:$IY$36)</f>
        <v>0</v>
      </c>
      <c r="JH261" s="56"/>
      <c r="JI261" s="242">
        <f t="shared" si="1830"/>
        <v>0</v>
      </c>
      <c r="JJ261" s="242">
        <f t="shared" si="1831"/>
        <v>0</v>
      </c>
      <c r="JK261" s="56"/>
      <c r="JN261" s="55">
        <f t="shared" si="1832"/>
        <v>46242</v>
      </c>
      <c r="JO261" s="56"/>
      <c r="JP261" s="242">
        <f>SUMPRODUCT(PRODUCE!$B262:$DY262,PRODUCE!$EB$37:$IY$37)</f>
        <v>0</v>
      </c>
      <c r="JQ261" s="56"/>
      <c r="JR261" s="242">
        <f t="shared" si="1833"/>
        <v>0</v>
      </c>
      <c r="JS261" s="242">
        <f t="shared" si="1834"/>
        <v>0</v>
      </c>
      <c r="JT261" s="56"/>
      <c r="JW261" s="55">
        <f t="shared" si="1835"/>
        <v>46242</v>
      </c>
      <c r="JX261" s="56"/>
      <c r="JY261" s="242">
        <f>SUMPRODUCT(PRODUCE!$B262:$DY262,PRODUCE!$EB$38:$IY$38)</f>
        <v>0</v>
      </c>
      <c r="JZ261" s="56"/>
      <c r="KA261" s="242">
        <f t="shared" si="1836"/>
        <v>0</v>
      </c>
      <c r="KB261" s="242">
        <f t="shared" si="1837"/>
        <v>2540</v>
      </c>
      <c r="KC261" s="56"/>
      <c r="KF261" s="55">
        <f t="shared" si="1838"/>
        <v>46242</v>
      </c>
      <c r="KG261" s="56"/>
      <c r="KH261" s="242">
        <f>SUMPRODUCT(PRODUCE!$B262:$DY262,PRODUCE!$EB$39:$IY$39)</f>
        <v>0</v>
      </c>
      <c r="KI261" s="56"/>
      <c r="KJ261" s="242">
        <f t="shared" si="1839"/>
        <v>0</v>
      </c>
      <c r="KK261" s="242">
        <f t="shared" si="1840"/>
        <v>2359.5</v>
      </c>
      <c r="KL261" s="56"/>
      <c r="KO261" s="55">
        <f t="shared" si="1841"/>
        <v>46242</v>
      </c>
      <c r="KP261" s="56"/>
      <c r="KQ261" s="242">
        <f>SUMPRODUCT(PRODUCE!$B262:$DY262,PRODUCE!$EB$40:$IY$40)</f>
        <v>0</v>
      </c>
      <c r="KR261" s="56"/>
      <c r="KS261" s="242">
        <f t="shared" si="1842"/>
        <v>0</v>
      </c>
      <c r="KT261" s="242">
        <f t="shared" si="1843"/>
        <v>1890</v>
      </c>
      <c r="KU261" s="56"/>
      <c r="KW261" s="23"/>
      <c r="KX261" s="55">
        <f t="shared" si="1844"/>
        <v>46242</v>
      </c>
      <c r="KY261" s="56"/>
      <c r="KZ261" s="242">
        <f>SUMPRODUCT(PRODUCE!$B262:$DY262,PRODUCE!$EB$41:$IY$41)</f>
        <v>0</v>
      </c>
      <c r="LA261" s="56"/>
      <c r="LB261" s="242">
        <f t="shared" si="1845"/>
        <v>0</v>
      </c>
      <c r="LC261" s="242">
        <f t="shared" si="1846"/>
        <v>3690</v>
      </c>
      <c r="LD261" s="56"/>
      <c r="LG261" s="55">
        <f t="shared" si="1847"/>
        <v>46242</v>
      </c>
      <c r="LH261" s="56"/>
      <c r="LI261" s="242">
        <f>SUMPRODUCT(PRODUCE!$B262:$DY262,PRODUCE!$EB$42:$IY$42)</f>
        <v>0</v>
      </c>
      <c r="LJ261" s="56"/>
      <c r="LK261" s="242">
        <f t="shared" si="1848"/>
        <v>0</v>
      </c>
      <c r="LL261" s="242">
        <f t="shared" si="1849"/>
        <v>4000</v>
      </c>
      <c r="LM261" s="56"/>
      <c r="LP261" s="55">
        <f t="shared" si="1850"/>
        <v>46242</v>
      </c>
      <c r="LQ261" s="56"/>
      <c r="LR261" s="242">
        <f>SUMPRODUCT(PRODUCE!$B276:$DY276,PRODUCE!$EB$43:$IY$43)</f>
        <v>0</v>
      </c>
      <c r="LS261" s="56"/>
      <c r="LT261" s="242">
        <f t="shared" si="1851"/>
        <v>0</v>
      </c>
      <c r="LU261" s="242">
        <f t="shared" si="1852"/>
        <v>0</v>
      </c>
      <c r="LV261" s="56"/>
      <c r="LY261" s="55">
        <f t="shared" si="1853"/>
        <v>46242</v>
      </c>
      <c r="LZ261" s="56"/>
      <c r="MA261" s="242">
        <f>SUMPRODUCT(PRODUCE!$B262:$DY262,PRODUCE!$EB$44:$IY$44)</f>
        <v>0</v>
      </c>
      <c r="MB261" s="56"/>
      <c r="MC261" s="242">
        <f t="shared" si="1854"/>
        <v>0</v>
      </c>
      <c r="MD261" s="242">
        <f t="shared" si="1855"/>
        <v>0</v>
      </c>
      <c r="ME261" s="56"/>
      <c r="MH261" s="55">
        <f t="shared" si="1856"/>
        <v>46242</v>
      </c>
      <c r="MI261" s="56"/>
      <c r="MJ261" s="242">
        <f>SUMPRODUCT(PRODUCE!$B262:$DY262,PRODUCE!$EB$45:$IY$45)</f>
        <v>0</v>
      </c>
      <c r="MK261" s="56"/>
      <c r="ML261" s="242">
        <f t="shared" si="1857"/>
        <v>0</v>
      </c>
      <c r="MM261" s="242">
        <f t="shared" si="1858"/>
        <v>0</v>
      </c>
      <c r="MN261" s="56"/>
      <c r="MQ261" s="55">
        <f t="shared" si="1859"/>
        <v>46242</v>
      </c>
      <c r="MR261" s="56"/>
      <c r="MS261" s="242">
        <f>SUMPRODUCT(PRODUCE!$B262:$DY262,PRODUCE!$EB$46:$IY$46)</f>
        <v>13</v>
      </c>
      <c r="MT261" s="56"/>
      <c r="MU261" s="242">
        <f t="shared" si="1860"/>
        <v>13</v>
      </c>
      <c r="MV261" s="242">
        <f t="shared" si="1861"/>
        <v>1933</v>
      </c>
      <c r="MW261" s="56"/>
      <c r="MZ261" s="55">
        <f t="shared" si="1862"/>
        <v>46242</v>
      </c>
      <c r="NA261" s="56"/>
      <c r="NB261" s="242">
        <f>SUMPRODUCT(PRODUCE!$B262:$DY262,PRODUCE!$EB$47:$IY$47)</f>
        <v>78</v>
      </c>
      <c r="NC261" s="56"/>
      <c r="ND261" s="242">
        <f t="shared" si="1863"/>
        <v>78</v>
      </c>
      <c r="NE261" s="242">
        <f t="shared" si="1864"/>
        <v>0</v>
      </c>
      <c r="NF261" s="56"/>
      <c r="NI261" s="55">
        <f t="shared" si="1865"/>
        <v>46242</v>
      </c>
      <c r="NJ261" s="56"/>
      <c r="NK261" s="242">
        <f>SUMPRODUCT(PRODUCE!$B262:$DY262,PRODUCE!$EB$48:$IY$48)</f>
        <v>0</v>
      </c>
      <c r="NL261" s="56"/>
      <c r="NM261" s="242">
        <f t="shared" si="1866"/>
        <v>0</v>
      </c>
      <c r="NN261" s="242">
        <f t="shared" si="1867"/>
        <v>1127</v>
      </c>
      <c r="NO261" s="56"/>
      <c r="NR261" s="55">
        <f t="shared" si="1868"/>
        <v>46242</v>
      </c>
      <c r="NS261" s="56"/>
      <c r="NT261" s="242">
        <f>SUMPRODUCT(PRODUCE!$B262:$DY262,PRODUCE!$EB$49:$IY$49)</f>
        <v>0</v>
      </c>
      <c r="NU261" s="56"/>
      <c r="NV261" s="242">
        <f t="shared" si="1869"/>
        <v>0</v>
      </c>
      <c r="NW261" s="242">
        <f t="shared" si="1870"/>
        <v>3111.9999999999995</v>
      </c>
      <c r="NX261" s="56"/>
      <c r="OA261" s="55">
        <f t="shared" si="1871"/>
        <v>46242</v>
      </c>
      <c r="OB261" s="56"/>
      <c r="OC261" s="242">
        <f>SUMPRODUCT(PRODUCE!$B262:$DY262,PRODUCE!$EB$50:$IY$50)</f>
        <v>0</v>
      </c>
      <c r="OD261" s="56"/>
      <c r="OE261" s="242">
        <f t="shared" si="1872"/>
        <v>0</v>
      </c>
      <c r="OF261" s="242">
        <f t="shared" si="1873"/>
        <v>1680.5</v>
      </c>
      <c r="OG261" s="56"/>
      <c r="OJ261" s="55">
        <f t="shared" si="1874"/>
        <v>46242</v>
      </c>
      <c r="OK261" s="56"/>
      <c r="OL261" s="242">
        <f>SUMPRODUCT(PRODUCE!$B262:$DY262,PRODUCE!$EB$51:$IY$51)</f>
        <v>0</v>
      </c>
      <c r="OM261" s="56"/>
      <c r="ON261" s="242">
        <f t="shared" si="1875"/>
        <v>0</v>
      </c>
      <c r="OO261" s="242">
        <f t="shared" si="1876"/>
        <v>0</v>
      </c>
      <c r="OP261" s="56"/>
      <c r="OS261" s="55">
        <f t="shared" si="1877"/>
        <v>46242</v>
      </c>
      <c r="OT261" s="56"/>
      <c r="OU261" s="242">
        <f>SUMPRODUCT(PRODUCE!$B262:$DY262,PRODUCE!$EB$52:$IY$52)</f>
        <v>0</v>
      </c>
      <c r="OV261" s="56"/>
      <c r="OW261" s="242">
        <f t="shared" si="1878"/>
        <v>0</v>
      </c>
      <c r="OX261" s="242">
        <f t="shared" si="1879"/>
        <v>1482</v>
      </c>
      <c r="OY261" s="56"/>
      <c r="PB261" s="55">
        <f t="shared" si="1880"/>
        <v>46242</v>
      </c>
      <c r="PC261" s="56"/>
      <c r="PD261" s="242">
        <f>SUMPRODUCT(PRODUCE!$B262:$DY262,PRODUCE!$EB$53:$IY$53)</f>
        <v>0</v>
      </c>
      <c r="PE261" s="56"/>
      <c r="PF261" s="242">
        <f t="shared" si="1881"/>
        <v>0</v>
      </c>
      <c r="PG261" s="242">
        <f t="shared" si="1882"/>
        <v>0</v>
      </c>
      <c r="PH261" s="56"/>
      <c r="PK261" s="55">
        <f t="shared" si="1883"/>
        <v>46242</v>
      </c>
      <c r="PL261" s="56"/>
      <c r="PM261" s="242">
        <f>SUMPRODUCT(PRODUCE!$B262:$DY262,PRODUCE!$EB$54:$IY$54)</f>
        <v>0</v>
      </c>
      <c r="PN261" s="56"/>
      <c r="PO261" s="242">
        <f t="shared" si="1884"/>
        <v>0</v>
      </c>
      <c r="PP261" s="242">
        <f t="shared" si="1885"/>
        <v>100</v>
      </c>
      <c r="PQ261" s="56"/>
      <c r="PT261" s="55">
        <f t="shared" si="1886"/>
        <v>46242</v>
      </c>
      <c r="PU261" s="56"/>
      <c r="PV261" s="242">
        <f>SUMPRODUCT(PRODUCE!$B262:$DY262,PRODUCE!$EB$55:$IY$55)</f>
        <v>0</v>
      </c>
      <c r="PW261" s="56"/>
      <c r="PX261" s="242">
        <f t="shared" si="1887"/>
        <v>0</v>
      </c>
      <c r="PY261" s="242">
        <f t="shared" si="1888"/>
        <v>13.960000000000036</v>
      </c>
      <c r="PZ261" s="56"/>
      <c r="QC261" s="55">
        <f t="shared" si="1889"/>
        <v>46242</v>
      </c>
      <c r="QD261" s="56"/>
      <c r="QE261" s="242">
        <f>SUMPRODUCT(PRODUCE!$B262:$DY262,PRODUCE!$EB$56:$IY$56)</f>
        <v>0</v>
      </c>
      <c r="QF261" s="56"/>
      <c r="QG261" s="242">
        <f t="shared" si="1890"/>
        <v>0</v>
      </c>
      <c r="QH261" s="242">
        <f t="shared" si="1891"/>
        <v>948</v>
      </c>
      <c r="QI261" s="56"/>
      <c r="QL261" s="55">
        <f t="shared" si="1892"/>
        <v>46242</v>
      </c>
      <c r="QM261" s="56"/>
      <c r="QN261" s="242">
        <f>SUMPRODUCT(PRODUCE!$B262:$DY262,PRODUCE!$EB$57:$IY$57)</f>
        <v>0</v>
      </c>
      <c r="QO261" s="56"/>
      <c r="QP261" s="242">
        <f t="shared" si="1893"/>
        <v>0</v>
      </c>
      <c r="QQ261" s="242">
        <f t="shared" si="1894"/>
        <v>0</v>
      </c>
      <c r="QR261" s="56"/>
      <c r="QU261" s="55">
        <f t="shared" si="1895"/>
        <v>46242</v>
      </c>
      <c r="QV261" s="56"/>
      <c r="QW261" s="242">
        <f>SUMPRODUCT(PRODUCE!$B262:$DY262,PRODUCE!$EB$57:$IY$57)</f>
        <v>0</v>
      </c>
      <c r="QX261" s="56"/>
      <c r="QY261" s="242">
        <f t="shared" si="1896"/>
        <v>0</v>
      </c>
      <c r="QZ261" s="242">
        <f t="shared" si="1897"/>
        <v>207.6</v>
      </c>
      <c r="RA261" s="56"/>
      <c r="RD261" s="55">
        <f t="shared" si="1898"/>
        <v>46242</v>
      </c>
      <c r="RE261" s="56"/>
      <c r="RF261" s="242">
        <f>SUMPRODUCT(PRODUCE!$B262:$DY262,PRODUCE!$EB$58:$IY$58)</f>
        <v>0</v>
      </c>
      <c r="RG261" s="56"/>
      <c r="RH261" s="242">
        <f t="shared" si="1899"/>
        <v>0</v>
      </c>
      <c r="RI261" s="242">
        <f t="shared" si="1900"/>
        <v>147.04000000000002</v>
      </c>
      <c r="RJ261" s="56"/>
      <c r="RM261" s="55">
        <f t="shared" si="1901"/>
        <v>46242</v>
      </c>
      <c r="RN261" s="56"/>
      <c r="RO261" s="242">
        <f>SUMPRODUCT(PRODUCE!$B262:$DY262,PRODUCE!$EB$59:$IY$59)</f>
        <v>0</v>
      </c>
      <c r="RP261" s="56"/>
      <c r="RQ261" s="242">
        <f t="shared" si="1902"/>
        <v>0</v>
      </c>
      <c r="RR261" s="242">
        <f t="shared" si="1903"/>
        <v>46.8</v>
      </c>
      <c r="RS261" s="56"/>
      <c r="RV261" s="55">
        <f t="shared" si="1904"/>
        <v>46242</v>
      </c>
      <c r="RW261" s="56"/>
      <c r="RX261" s="242">
        <f>SUMPRODUCT(PRODUCE!$B262:$DY262,PRODUCE!$EB$57:$IY$57)</f>
        <v>0</v>
      </c>
      <c r="RY261" s="56"/>
      <c r="RZ261" s="242">
        <f t="shared" si="1905"/>
        <v>0</v>
      </c>
      <c r="SA261" s="242">
        <f t="shared" si="1906"/>
        <v>0</v>
      </c>
      <c r="SB261" s="56"/>
      <c r="SE261" s="55">
        <f t="shared" si="1907"/>
        <v>46242</v>
      </c>
      <c r="SF261" s="56"/>
      <c r="SG261" s="242">
        <f>SUMPRODUCT(PRODUCE!$B262:$DY262,PRODUCE!$EB$61:$IY$61)</f>
        <v>0</v>
      </c>
      <c r="SH261" s="56"/>
      <c r="SI261" s="242">
        <f t="shared" si="1908"/>
        <v>0</v>
      </c>
      <c r="SJ261" s="242">
        <f t="shared" si="1909"/>
        <v>24.200000000000003</v>
      </c>
      <c r="SK261" s="56"/>
      <c r="SN261" s="55">
        <f t="shared" si="1910"/>
        <v>46242</v>
      </c>
      <c r="SO261" s="56"/>
      <c r="SP261" s="242">
        <f>SUMPRODUCT(PRODUCE!$B262:$DY262,PRODUCE!$EB$62:$IY$62)</f>
        <v>0</v>
      </c>
      <c r="SQ261" s="56"/>
      <c r="SR261" s="242">
        <f t="shared" si="1911"/>
        <v>0</v>
      </c>
      <c r="SS261" s="242">
        <f t="shared" si="1912"/>
        <v>32</v>
      </c>
      <c r="ST261" s="56"/>
      <c r="SW261" s="55">
        <f t="shared" si="1913"/>
        <v>46242</v>
      </c>
      <c r="SX261" s="56"/>
      <c r="SY261" s="242">
        <f>SUMPRODUCT(PRODUCE!$B262:$DY262,PRODUCE!$EB$57:$IY$57)</f>
        <v>0</v>
      </c>
      <c r="SZ261" s="56"/>
      <c r="TA261" s="242">
        <f t="shared" si="1914"/>
        <v>0</v>
      </c>
      <c r="TB261" s="242">
        <f t="shared" si="1915"/>
        <v>0</v>
      </c>
      <c r="TC261" s="56"/>
      <c r="TF261" s="55">
        <f t="shared" si="1916"/>
        <v>46242</v>
      </c>
      <c r="TG261" s="56"/>
      <c r="TH261" s="242">
        <f>SUMPRODUCT(PRODUCE!$B262:$DY262,PRODUCE!$EB$57:$IY$57)</f>
        <v>0</v>
      </c>
      <c r="TI261" s="56"/>
      <c r="TJ261" s="242">
        <f t="shared" si="1917"/>
        <v>0</v>
      </c>
      <c r="TK261" s="242">
        <f t="shared" si="1918"/>
        <v>0</v>
      </c>
      <c r="TL261" s="56"/>
      <c r="TO261" s="55">
        <f t="shared" si="1919"/>
        <v>46242</v>
      </c>
      <c r="TP261" s="56"/>
      <c r="TQ261" s="242">
        <f>SUMPRODUCT(PRODUCE!$B262:$DY262,PRODUCE!$EB$57:$IY$57)</f>
        <v>0</v>
      </c>
      <c r="TR261" s="56"/>
      <c r="TS261" s="242">
        <f t="shared" si="1920"/>
        <v>0</v>
      </c>
      <c r="TT261" s="242">
        <f t="shared" si="1921"/>
        <v>0</v>
      </c>
      <c r="TU261" s="56"/>
      <c r="TX261" s="55">
        <f t="shared" si="1922"/>
        <v>46242</v>
      </c>
      <c r="TY261" s="56"/>
      <c r="TZ261" s="242">
        <f>SUMPRODUCT(PRODUCE!$B262:$DY262,PRODUCE!$EB$57:$IY$57)</f>
        <v>0</v>
      </c>
      <c r="UA261" s="56"/>
      <c r="UB261" s="242">
        <f t="shared" si="1923"/>
        <v>0</v>
      </c>
      <c r="UC261" s="242">
        <f t="shared" si="1924"/>
        <v>46.799999999999983</v>
      </c>
      <c r="UD261" s="56"/>
      <c r="UG261" s="55">
        <f t="shared" si="1925"/>
        <v>46242</v>
      </c>
      <c r="UH261" s="56"/>
      <c r="UI261" s="242">
        <f>SUMPRODUCT(PRODUCE!$B262:$DY262,PRODUCE!$EB$57:$IY$57)</f>
        <v>0</v>
      </c>
      <c r="UJ261" s="56"/>
      <c r="UK261" s="242">
        <f t="shared" si="1926"/>
        <v>0</v>
      </c>
      <c r="UL261" s="242">
        <f t="shared" si="1927"/>
        <v>204</v>
      </c>
      <c r="UM261" s="56"/>
      <c r="UP261" s="55">
        <f t="shared" si="1928"/>
        <v>46242</v>
      </c>
      <c r="UQ261" s="56"/>
      <c r="UR261" s="242">
        <f>SUMPRODUCT(PRODUCE!$B262:$DY262,PRODUCE!$EB$57:$IY$57)</f>
        <v>0</v>
      </c>
      <c r="US261" s="56"/>
      <c r="UT261" s="242">
        <f t="shared" si="1929"/>
        <v>0</v>
      </c>
      <c r="UU261" s="242">
        <f t="shared" si="1930"/>
        <v>202.5</v>
      </c>
      <c r="UV261" s="56"/>
      <c r="UY261" s="55">
        <f t="shared" si="1931"/>
        <v>46242</v>
      </c>
      <c r="UZ261" s="56"/>
      <c r="VA261" s="242">
        <f>SUMPRODUCT(PRODUCE!$B262:$DY262,PRODUCE!$EB$57:$IY$57)</f>
        <v>0</v>
      </c>
      <c r="VB261" s="56"/>
      <c r="VC261" s="242">
        <f t="shared" si="1932"/>
        <v>0</v>
      </c>
      <c r="VD261" s="242">
        <f t="shared" si="1933"/>
        <v>41.600000000000023</v>
      </c>
      <c r="VE261" s="56"/>
      <c r="VH261" s="55">
        <f t="shared" si="1934"/>
        <v>46242</v>
      </c>
      <c r="VI261" s="56"/>
      <c r="VJ261" s="242">
        <f>SUMPRODUCT(PRODUCE!$B262:$DY262,PRODUCE!$EB$57:$IY$57)</f>
        <v>0</v>
      </c>
      <c r="VK261" s="56"/>
      <c r="VL261" s="242">
        <f t="shared" si="1935"/>
        <v>0</v>
      </c>
      <c r="VM261" s="242">
        <f t="shared" si="1936"/>
        <v>210</v>
      </c>
      <c r="VN261" s="56"/>
      <c r="VQ261" s="55">
        <f t="shared" si="1937"/>
        <v>46242</v>
      </c>
      <c r="VR261" s="56"/>
      <c r="VS261" s="242">
        <f>SUMPRODUCT(PRODUCE!$B262:$DY262,PRODUCE!$EB$57:$IY$57)</f>
        <v>0</v>
      </c>
      <c r="VT261" s="56"/>
      <c r="VU261" s="242">
        <f t="shared" si="1938"/>
        <v>0</v>
      </c>
      <c r="VV261" s="242">
        <f t="shared" si="1939"/>
        <v>0</v>
      </c>
      <c r="VW261" s="56"/>
      <c r="VZ261" s="55">
        <f t="shared" si="1940"/>
        <v>46242</v>
      </c>
      <c r="WA261" s="56"/>
      <c r="WB261" s="242">
        <f>SUMPRODUCT(PRODUCE!$B262:$DY262,PRODUCE!$EB$57:$IY$57)</f>
        <v>0</v>
      </c>
      <c r="WC261" s="56"/>
      <c r="WD261" s="242">
        <f t="shared" si="1941"/>
        <v>0</v>
      </c>
      <c r="WE261" s="242">
        <f t="shared" si="1942"/>
        <v>0</v>
      </c>
      <c r="WF261" s="56"/>
      <c r="WI261" s="55">
        <f t="shared" si="1943"/>
        <v>46242</v>
      </c>
      <c r="WJ261" s="56"/>
      <c r="WK261" s="242">
        <f>SUMPRODUCT(PRODUCE!$B262:$DY262,PRODUCE!$EB$57:$IY$57)</f>
        <v>0</v>
      </c>
      <c r="WL261" s="56"/>
      <c r="WM261" s="242">
        <f t="shared" si="1944"/>
        <v>0</v>
      </c>
      <c r="WN261" s="242">
        <f t="shared" si="1945"/>
        <v>1057</v>
      </c>
      <c r="WO261" s="56"/>
      <c r="WR261" s="55">
        <f t="shared" si="1946"/>
        <v>46242</v>
      </c>
      <c r="WS261" s="56"/>
      <c r="WT261" s="242">
        <f>SUMPRODUCT(PRODUCE!$B262:$DY262,PRODUCE!$EB$57:$IY$57)</f>
        <v>0</v>
      </c>
      <c r="WU261" s="56"/>
      <c r="WV261" s="242">
        <f t="shared" si="1947"/>
        <v>0</v>
      </c>
      <c r="WW261" s="242">
        <f t="shared" si="1948"/>
        <v>0</v>
      </c>
      <c r="WX261" s="56"/>
      <c r="XA261" s="55">
        <f t="shared" si="1949"/>
        <v>46242</v>
      </c>
      <c r="XB261" s="56"/>
      <c r="XC261" s="242">
        <f>SUMPRODUCT(PRODUCE!$B262:$DY262,PRODUCE!$EB$57:$IY$57)</f>
        <v>0</v>
      </c>
      <c r="XD261" s="56"/>
      <c r="XE261" s="242">
        <f t="shared" si="1950"/>
        <v>0</v>
      </c>
      <c r="XF261" s="242">
        <f t="shared" si="1951"/>
        <v>7507</v>
      </c>
      <c r="XG261" s="56"/>
      <c r="XJ261" s="55">
        <f t="shared" si="1952"/>
        <v>46242</v>
      </c>
      <c r="XK261" s="56"/>
      <c r="XL261" s="242">
        <f>SUMPRODUCT(PRODUCE!$B262:$DY262,PRODUCE!$EB$57:$IY$57)</f>
        <v>0</v>
      </c>
      <c r="XM261" s="56"/>
      <c r="XN261" s="242">
        <f t="shared" si="1953"/>
        <v>0</v>
      </c>
      <c r="XO261" s="242">
        <f t="shared" si="1954"/>
        <v>4252</v>
      </c>
      <c r="XP261" s="56"/>
      <c r="XS261" s="55">
        <f t="shared" si="1955"/>
        <v>46242</v>
      </c>
      <c r="XT261" s="56"/>
      <c r="XU261" s="242">
        <f>SUMPRODUCT(PRODUCE!$B262:$DY262,PRODUCE!$EB$57:$IY$57)</f>
        <v>0</v>
      </c>
      <c r="XV261" s="56"/>
      <c r="XW261" s="242">
        <f t="shared" si="1956"/>
        <v>0</v>
      </c>
      <c r="XX261" s="242">
        <f t="shared" si="1957"/>
        <v>2179</v>
      </c>
      <c r="XY261" s="56"/>
      <c r="YB261" s="55">
        <f t="shared" si="1958"/>
        <v>46242</v>
      </c>
      <c r="YC261" s="56"/>
      <c r="YD261" s="242">
        <f>SUMPRODUCT(PRODUCE!$B262:$DY262,PRODUCE!$EB$57:$IY$57)</f>
        <v>0</v>
      </c>
      <c r="YE261" s="56"/>
      <c r="YF261" s="242">
        <f t="shared" si="1959"/>
        <v>0</v>
      </c>
      <c r="YG261" s="242">
        <f t="shared" si="1960"/>
        <v>4019</v>
      </c>
      <c r="YH261" s="56"/>
      <c r="YK261" s="55">
        <f t="shared" si="1961"/>
        <v>46242</v>
      </c>
      <c r="YL261" s="56"/>
      <c r="YM261" s="242">
        <f>SUMPRODUCT(PRODUCE!$B262:$DY262,PRODUCE!$EB$57:$IY$57)</f>
        <v>0</v>
      </c>
      <c r="YN261" s="56"/>
      <c r="YO261" s="242">
        <f t="shared" si="1962"/>
        <v>0</v>
      </c>
      <c r="YP261" s="242">
        <f t="shared" si="1963"/>
        <v>-218</v>
      </c>
      <c r="YQ261" s="56"/>
      <c r="YT261" s="55">
        <f t="shared" si="1964"/>
        <v>46242</v>
      </c>
      <c r="YU261" s="56"/>
      <c r="YV261" s="242">
        <f>SUMPRODUCT(PRODUCE!$B262:$DY262,PRODUCE!$EB$57:$IY$57)</f>
        <v>0</v>
      </c>
      <c r="YW261" s="56"/>
      <c r="YX261" s="242">
        <f t="shared" si="1965"/>
        <v>0</v>
      </c>
      <c r="YY261" s="242">
        <f t="shared" si="1966"/>
        <v>0</v>
      </c>
      <c r="YZ261" s="56"/>
      <c r="ZC261" s="55">
        <f t="shared" si="1967"/>
        <v>46242</v>
      </c>
      <c r="ZD261" s="56"/>
      <c r="ZE261" s="242">
        <f>SUMPRODUCT(PRODUCE!$B262:$DY262,PRODUCE!$EB$57:$IY$57)</f>
        <v>0</v>
      </c>
      <c r="ZF261" s="56"/>
      <c r="ZG261" s="242">
        <f t="shared" si="1968"/>
        <v>0</v>
      </c>
      <c r="ZH261" s="242">
        <f t="shared" si="1969"/>
        <v>0</v>
      </c>
      <c r="ZI261" s="56"/>
      <c r="ZL261" s="55">
        <f t="shared" si="1970"/>
        <v>46242</v>
      </c>
      <c r="ZM261" s="56"/>
      <c r="ZN261" s="242">
        <f>SUMPRODUCT(PRODUCE!$B262:$DY262,PRODUCE!$EB$57:$IY$57)</f>
        <v>0</v>
      </c>
      <c r="ZO261" s="56"/>
      <c r="ZP261" s="242">
        <f t="shared" si="1971"/>
        <v>0</v>
      </c>
      <c r="ZQ261" s="242">
        <f t="shared" si="1972"/>
        <v>0</v>
      </c>
      <c r="ZR261" s="56"/>
      <c r="ZU261" s="55">
        <f t="shared" si="1973"/>
        <v>46242</v>
      </c>
      <c r="ZV261" s="56"/>
      <c r="ZW261" s="242">
        <f>SUMPRODUCT(PRODUCE!$B262:$DY262,PRODUCE!$EB$57:$IY$57)</f>
        <v>0</v>
      </c>
      <c r="ZX261" s="56"/>
      <c r="ZY261" s="242">
        <f t="shared" si="1974"/>
        <v>0</v>
      </c>
      <c r="ZZ261" s="242">
        <f t="shared" si="1975"/>
        <v>0</v>
      </c>
      <c r="AAA261" s="56"/>
      <c r="AAD261" s="55">
        <f t="shared" si="1976"/>
        <v>46242</v>
      </c>
      <c r="AAE261" s="56"/>
      <c r="AAF261" s="242">
        <f>SUMPRODUCT(PRODUCE!$B262:$DY262,PRODUCE!$EB$57:$IY$57)</f>
        <v>0</v>
      </c>
      <c r="AAG261" s="56"/>
      <c r="AAH261" s="242">
        <f t="shared" si="1977"/>
        <v>0</v>
      </c>
      <c r="AAI261" s="242">
        <f t="shared" si="1978"/>
        <v>0</v>
      </c>
      <c r="AAJ261" s="56"/>
      <c r="AAM261" s="55">
        <f t="shared" si="1979"/>
        <v>46242</v>
      </c>
      <c r="AAN261" s="56"/>
      <c r="AAO261" s="242">
        <f>SUMPRODUCT(PRODUCE!$B262:$DY262,PRODUCE!$EB$57:$IY$57)</f>
        <v>0</v>
      </c>
      <c r="AAP261" s="56"/>
      <c r="AAQ261" s="242">
        <f t="shared" si="1980"/>
        <v>0</v>
      </c>
      <c r="AAR261" s="242">
        <f t="shared" si="1981"/>
        <v>0</v>
      </c>
      <c r="AAS261" s="56"/>
      <c r="AAV261" s="55">
        <f t="shared" si="1982"/>
        <v>46242</v>
      </c>
      <c r="AAW261" s="56"/>
      <c r="AAX261" s="242">
        <f>SUMPRODUCT(PRODUCE!$B262:$DY262,PRODUCE!$EB$57:$IY$57)</f>
        <v>0</v>
      </c>
      <c r="AAY261" s="56"/>
      <c r="AAZ261" s="242">
        <f t="shared" si="1983"/>
        <v>0</v>
      </c>
      <c r="ABA261" s="242">
        <f t="shared" si="1984"/>
        <v>0</v>
      </c>
      <c r="ABB261" s="56"/>
      <c r="ABE261" s="55">
        <f t="shared" si="1985"/>
        <v>46242</v>
      </c>
      <c r="ABF261" s="56"/>
      <c r="ABG261" s="242">
        <f>SUMPRODUCT(PRODUCE!$B262:$DY262,PRODUCE!$EB$57:$IY$57)</f>
        <v>0</v>
      </c>
      <c r="ABH261" s="56"/>
      <c r="ABI261" s="242">
        <f t="shared" si="1986"/>
        <v>0</v>
      </c>
      <c r="ABJ261" s="242">
        <f t="shared" si="1987"/>
        <v>0</v>
      </c>
      <c r="ABK261" s="56"/>
    </row>
    <row r="262" spans="2:739" s="54" customFormat="1" ht="15" customHeight="1" outlineLevel="1">
      <c r="B262" s="478"/>
      <c r="C262" s="55">
        <v>46243</v>
      </c>
      <c r="D262" s="56"/>
      <c r="E262" s="57">
        <f>SUMPRODUCT(PRODUCE!$B263:$DY263,PRODUCE!$EB$7:$IY$7)</f>
        <v>0</v>
      </c>
      <c r="F262" s="56"/>
      <c r="G262" s="57">
        <f t="shared" si="1743"/>
        <v>0</v>
      </c>
      <c r="H262" s="57">
        <f t="shared" si="1744"/>
        <v>201934.6</v>
      </c>
      <c r="I262" s="289"/>
      <c r="L262" s="55">
        <f t="shared" si="1745"/>
        <v>46243</v>
      </c>
      <c r="M262" s="56"/>
      <c r="N262" s="59">
        <f>SUMPRODUCT(PRODUCE!$B263:$DY263,PRODUCE!$EB$8:$IY$8)</f>
        <v>0</v>
      </c>
      <c r="O262" s="56"/>
      <c r="P262" s="59">
        <f t="shared" si="1746"/>
        <v>0</v>
      </c>
      <c r="Q262" s="59">
        <f t="shared" si="1747"/>
        <v>53017.600000000071</v>
      </c>
      <c r="R262" s="56"/>
      <c r="U262" s="55">
        <f t="shared" si="1748"/>
        <v>46243</v>
      </c>
      <c r="V262" s="56"/>
      <c r="W262" s="60">
        <f>SUMPRODUCT(PRODUCE!$B263:$DY263,PRODUCE!$EB$9:$IY$9)</f>
        <v>0</v>
      </c>
      <c r="X262" s="56"/>
      <c r="Y262" s="60">
        <f t="shared" si="1749"/>
        <v>0</v>
      </c>
      <c r="Z262" s="60">
        <f t="shared" si="1750"/>
        <v>42674.199999999968</v>
      </c>
      <c r="AA262" s="56"/>
      <c r="AD262" s="55">
        <f t="shared" si="1751"/>
        <v>46243</v>
      </c>
      <c r="AE262" s="56"/>
      <c r="AF262" s="61">
        <f>SUMPRODUCT(PRODUCE!$B263:$DY263,PRODUCE!$EB$10:$IY$10)</f>
        <v>0</v>
      </c>
      <c r="AG262" s="56"/>
      <c r="AH262" s="61">
        <f t="shared" si="1752"/>
        <v>0</v>
      </c>
      <c r="AI262" s="61">
        <f t="shared" si="1753"/>
        <v>4522.2000000000189</v>
      </c>
      <c r="AJ262" s="56"/>
      <c r="AM262" s="55">
        <f t="shared" si="1754"/>
        <v>46243</v>
      </c>
      <c r="AN262" s="422"/>
      <c r="AO262" s="444">
        <f>SUMPRODUCT(PRODUCE!$B263:$DY263,PRODUCE!$EB$11:$IY$11)</f>
        <v>0</v>
      </c>
      <c r="AP262" s="422"/>
      <c r="AQ262" s="444">
        <f t="shared" si="1755"/>
        <v>0</v>
      </c>
      <c r="AR262" s="444">
        <f t="shared" si="1756"/>
        <v>0</v>
      </c>
      <c r="AS262" s="56"/>
      <c r="AV262" s="55">
        <f t="shared" si="1757"/>
        <v>46243</v>
      </c>
      <c r="AW262" s="56"/>
      <c r="AX262" s="62">
        <f>SUMPRODUCT(PRODUCE!$B263:$DY263,PRODUCE!$EB$12:$IY$12)</f>
        <v>0</v>
      </c>
      <c r="AY262" s="56"/>
      <c r="AZ262" s="62">
        <f t="shared" si="1758"/>
        <v>0</v>
      </c>
      <c r="BA262" s="62">
        <f t="shared" si="1759"/>
        <v>124.99999999999523</v>
      </c>
      <c r="BB262" s="56"/>
      <c r="BE262" s="55">
        <f t="shared" si="1760"/>
        <v>46243</v>
      </c>
      <c r="BF262" s="56"/>
      <c r="BG262" s="63">
        <f>SUMPRODUCT(PRODUCE!$B263:$DY263,PRODUCE!$EB$13:$IY$13)</f>
        <v>0</v>
      </c>
      <c r="BH262" s="56"/>
      <c r="BI262" s="63">
        <f t="shared" si="1761"/>
        <v>0</v>
      </c>
      <c r="BJ262" s="63">
        <f t="shared" si="1762"/>
        <v>26151.899999999998</v>
      </c>
      <c r="BK262" s="56"/>
      <c r="BN262" s="55">
        <f t="shared" si="1763"/>
        <v>46243</v>
      </c>
      <c r="BO262" s="56"/>
      <c r="BP262" s="64">
        <f>SUMPRODUCT(PRODUCE!$B263:$DY263,PRODUCE!$EB$14:$IY$14)</f>
        <v>0</v>
      </c>
      <c r="BQ262" s="56"/>
      <c r="BR262" s="64">
        <f t="shared" si="1764"/>
        <v>0</v>
      </c>
      <c r="BS262" s="64">
        <f t="shared" si="1765"/>
        <v>0</v>
      </c>
      <c r="BT262" s="56"/>
      <c r="BW262" s="55">
        <f t="shared" si="1766"/>
        <v>46243</v>
      </c>
      <c r="BX262" s="56"/>
      <c r="BY262" s="65">
        <f>SUMPRODUCT(PRODUCE!$B263:$DY263,PRODUCE!$EB$15:$IY$15)</f>
        <v>0</v>
      </c>
      <c r="BZ262" s="56"/>
      <c r="CA262" s="65">
        <f t="shared" si="1767"/>
        <v>0</v>
      </c>
      <c r="CB262" s="65">
        <f t="shared" si="1768"/>
        <v>2169.1299999999992</v>
      </c>
      <c r="CC262" s="56"/>
      <c r="CF262" s="55">
        <f t="shared" si="1769"/>
        <v>46243</v>
      </c>
      <c r="CG262" s="56"/>
      <c r="CH262" s="66">
        <f>SUMPRODUCT(PRODUCE!$B263:$DY263,PRODUCE!$EB$16:$IY$16)</f>
        <v>0</v>
      </c>
      <c r="CI262" s="56"/>
      <c r="CJ262" s="66">
        <f t="shared" si="1770"/>
        <v>0</v>
      </c>
      <c r="CK262" s="66">
        <f t="shared" si="1771"/>
        <v>-10277.079999999998</v>
      </c>
      <c r="CL262" s="56"/>
      <c r="CO262" s="55">
        <f t="shared" si="1772"/>
        <v>46243</v>
      </c>
      <c r="CP262" s="422"/>
      <c r="CQ262" s="470">
        <f>SUMPRODUCT(PRODUCE!$B263:$DY263,PRODUCE!$EB$17:$IY$17)</f>
        <v>0</v>
      </c>
      <c r="CR262" s="422"/>
      <c r="CS262" s="470">
        <f t="shared" si="1773"/>
        <v>0</v>
      </c>
      <c r="CT262" s="470">
        <f t="shared" si="1774"/>
        <v>0</v>
      </c>
      <c r="CU262" s="56"/>
      <c r="CX262" s="55">
        <f t="shared" si="1775"/>
        <v>46243</v>
      </c>
      <c r="CY262" s="56"/>
      <c r="CZ262" s="133">
        <f>SUMPRODUCT(PRODUCE!$B263:$DY263,PRODUCE!$EB$18:$IY$18)</f>
        <v>0</v>
      </c>
      <c r="DA262" s="56"/>
      <c r="DB262" s="133">
        <f t="shared" si="1776"/>
        <v>0</v>
      </c>
      <c r="DC262" s="133">
        <f t="shared" si="1777"/>
        <v>27438.200000000012</v>
      </c>
      <c r="DD262" s="56"/>
      <c r="DG262" s="55">
        <f t="shared" si="1778"/>
        <v>46243</v>
      </c>
      <c r="DH262" s="56"/>
      <c r="DI262" s="147">
        <f>SUMPRODUCT(PRODUCE!$B263:$DY263,PRODUCE!$EB$19:$IY$19)</f>
        <v>0</v>
      </c>
      <c r="DJ262" s="56"/>
      <c r="DK262" s="147">
        <f t="shared" si="1779"/>
        <v>0</v>
      </c>
      <c r="DL262" s="147">
        <f t="shared" si="1780"/>
        <v>18782.299999999981</v>
      </c>
      <c r="DM262" s="56"/>
      <c r="DP262" s="55">
        <f t="shared" si="1781"/>
        <v>46243</v>
      </c>
      <c r="DQ262" s="56"/>
      <c r="DR262" s="57">
        <f>SUMPRODUCT(PRODUCE!$B263:$DY263,PRODUCE!$EB$20:$IY$20)</f>
        <v>0</v>
      </c>
      <c r="DS262" s="56"/>
      <c r="DT262" s="57">
        <f t="shared" si="1782"/>
        <v>0</v>
      </c>
      <c r="DU262" s="57">
        <f t="shared" si="1783"/>
        <v>5800</v>
      </c>
      <c r="DV262" s="56"/>
      <c r="DY262" s="55">
        <f t="shared" si="1784"/>
        <v>46243</v>
      </c>
      <c r="DZ262" s="56"/>
      <c r="EA262" s="157">
        <f>SUMPRODUCT(PRODUCE!$B263:$DY263,PRODUCE!$EB$21:$IY$21)</f>
        <v>0</v>
      </c>
      <c r="EB262" s="56"/>
      <c r="EC262" s="157">
        <f t="shared" si="1785"/>
        <v>0</v>
      </c>
      <c r="ED262" s="157">
        <f t="shared" si="1786"/>
        <v>0</v>
      </c>
      <c r="EE262" s="56"/>
      <c r="EH262" s="55">
        <f t="shared" si="1787"/>
        <v>46243</v>
      </c>
      <c r="EI262" s="56"/>
      <c r="EJ262" s="162">
        <f>SUMPRODUCT(PRODUCE!$B263:$DY263,PRODUCE!$EB$22:$IY$22)</f>
        <v>0</v>
      </c>
      <c r="EK262" s="56"/>
      <c r="EL262" s="162">
        <f t="shared" si="1788"/>
        <v>0</v>
      </c>
      <c r="EM262" s="162">
        <f t="shared" si="1789"/>
        <v>0</v>
      </c>
      <c r="EN262" s="56"/>
      <c r="EQ262" s="55">
        <f t="shared" si="1790"/>
        <v>46243</v>
      </c>
      <c r="ER262" s="56"/>
      <c r="ES262" s="135">
        <f>SUMPRODUCT(PRODUCE!$B263:$DY263,PRODUCE!$EB$23:$IY$23)</f>
        <v>0</v>
      </c>
      <c r="ET262" s="56"/>
      <c r="EU262" s="135">
        <f t="shared" si="1791"/>
        <v>0</v>
      </c>
      <c r="EV262" s="135">
        <f t="shared" si="1792"/>
        <v>0</v>
      </c>
      <c r="EW262" s="56"/>
      <c r="EZ262" s="55">
        <f t="shared" si="1793"/>
        <v>46243</v>
      </c>
      <c r="FA262" s="56"/>
      <c r="FB262" s="175">
        <f>SUMPRODUCT(PRODUCE!$B263:$DY263,PRODUCE!$EB$24:$IY$24)</f>
        <v>0</v>
      </c>
      <c r="FC262" s="56"/>
      <c r="FD262" s="175">
        <f t="shared" si="1794"/>
        <v>0</v>
      </c>
      <c r="FE262" s="175">
        <f t="shared" si="1795"/>
        <v>0</v>
      </c>
      <c r="FF262" s="56"/>
      <c r="FI262" s="55">
        <f t="shared" si="1796"/>
        <v>46243</v>
      </c>
      <c r="FJ262" s="56"/>
      <c r="FK262" s="183">
        <f>SUMPRODUCT(PRODUCE!$B263:$DY263,PRODUCE!$EB$25:$IY$25)</f>
        <v>0</v>
      </c>
      <c r="FL262" s="56"/>
      <c r="FM262" s="183">
        <f t="shared" si="1797"/>
        <v>0</v>
      </c>
      <c r="FN262" s="183">
        <f t="shared" si="1798"/>
        <v>0</v>
      </c>
      <c r="FO262" s="56"/>
      <c r="FR262" s="55">
        <f t="shared" si="1799"/>
        <v>46243</v>
      </c>
      <c r="FS262" s="56"/>
      <c r="FT262" s="186">
        <f>SUMPRODUCT(PRODUCE!$B263:$DY263,PRODUCE!$EB$26:$IY$26)</f>
        <v>0</v>
      </c>
      <c r="FU262" s="56"/>
      <c r="FV262" s="186">
        <f t="shared" si="1800"/>
        <v>0</v>
      </c>
      <c r="FW262" s="186">
        <f t="shared" si="1801"/>
        <v>20</v>
      </c>
      <c r="FX262" s="56"/>
      <c r="GA262" s="55">
        <f t="shared" si="1802"/>
        <v>46243</v>
      </c>
      <c r="GB262" s="56"/>
      <c r="GC262" s="137">
        <f>SUMPRODUCT(PRODUCE!$B263:$DY263,PRODUCE!$EB$27:$IY$27)</f>
        <v>0</v>
      </c>
      <c r="GD262" s="56"/>
      <c r="GE262" s="137">
        <f t="shared" si="1803"/>
        <v>0</v>
      </c>
      <c r="GF262" s="137">
        <f t="shared" si="1804"/>
        <v>960</v>
      </c>
      <c r="GG262" s="56"/>
      <c r="GI262" s="23"/>
      <c r="GJ262" s="55">
        <f t="shared" si="1805"/>
        <v>46243</v>
      </c>
      <c r="GK262" s="56"/>
      <c r="GL262" s="199">
        <f>SUMPRODUCT(PRODUCE!$B263:$DY263,PRODUCE!$EB$28:$IY$28)</f>
        <v>0</v>
      </c>
      <c r="GM262" s="56"/>
      <c r="GN262" s="199">
        <f t="shared" si="1806"/>
        <v>0</v>
      </c>
      <c r="GO262" s="199">
        <f t="shared" si="1807"/>
        <v>1760</v>
      </c>
      <c r="GP262" s="56"/>
      <c r="GS262" s="55">
        <f t="shared" si="1808"/>
        <v>46243</v>
      </c>
      <c r="GT262" s="56"/>
      <c r="GU262" s="195">
        <f>SUMPRODUCT(PRODUCE!$B263:$DY263,PRODUCE!$EB$29:$IY$29)</f>
        <v>0</v>
      </c>
      <c r="GV262" s="56"/>
      <c r="GW262" s="195">
        <f t="shared" si="1809"/>
        <v>0</v>
      </c>
      <c r="GX262" s="195">
        <f t="shared" si="1810"/>
        <v>400</v>
      </c>
      <c r="GY262" s="56"/>
      <c r="HB262" s="55">
        <f t="shared" si="1811"/>
        <v>46243</v>
      </c>
      <c r="HC262" s="56"/>
      <c r="HD262" s="191">
        <f>SUMPRODUCT(PRODUCE!$B263:$DY263,PRODUCE!$EB$30:$IY$30)</f>
        <v>0</v>
      </c>
      <c r="HE262" s="56"/>
      <c r="HF262" s="191">
        <f t="shared" si="1812"/>
        <v>0</v>
      </c>
      <c r="HG262" s="191">
        <f t="shared" si="1813"/>
        <v>3600</v>
      </c>
      <c r="HH262" s="56"/>
      <c r="HK262" s="55">
        <f t="shared" si="1814"/>
        <v>46243</v>
      </c>
      <c r="HL262" s="56"/>
      <c r="HM262" s="63">
        <f>SUMPRODUCT(PRODUCE!$B263:$DY263,PRODUCE!$EB$31:$IY$31)</f>
        <v>0</v>
      </c>
      <c r="HN262" s="56"/>
      <c r="HO262" s="63">
        <f t="shared" si="1815"/>
        <v>0</v>
      </c>
      <c r="HP262" s="63">
        <f t="shared" si="1816"/>
        <v>0</v>
      </c>
      <c r="HQ262" s="56"/>
      <c r="HU262" s="55">
        <f t="shared" si="1817"/>
        <v>46243</v>
      </c>
      <c r="HV262" s="56"/>
      <c r="HW262" s="242">
        <f>SUMPRODUCT(PRODUCE!$B263:$DY263,PRODUCE!$EB$32:$IY$32)</f>
        <v>0</v>
      </c>
      <c r="HX262" s="56"/>
      <c r="HY262" s="242">
        <f t="shared" si="1818"/>
        <v>0</v>
      </c>
      <c r="HZ262" s="242">
        <f t="shared" si="1819"/>
        <v>5120</v>
      </c>
      <c r="IA262" s="56"/>
      <c r="ID262" s="55">
        <f t="shared" si="1820"/>
        <v>46243</v>
      </c>
      <c r="IE262" s="56"/>
      <c r="IF262" s="242">
        <f>SUMPRODUCT(PRODUCE!$B263:$DY263,PRODUCE!$EB$33:$IY$33)</f>
        <v>0</v>
      </c>
      <c r="IG262" s="56"/>
      <c r="IH262" s="242">
        <f t="shared" si="1821"/>
        <v>0</v>
      </c>
      <c r="II262" s="242">
        <f t="shared" si="1822"/>
        <v>720</v>
      </c>
      <c r="IJ262" s="56"/>
      <c r="IM262" s="55">
        <f t="shared" si="1823"/>
        <v>46243</v>
      </c>
      <c r="IN262" s="56"/>
      <c r="IO262" s="242">
        <f>SUMPRODUCT(PRODUCE!$B263:$DY263,PRODUCE!$EB$34:$IY$34)</f>
        <v>0</v>
      </c>
      <c r="IP262" s="56"/>
      <c r="IQ262" s="242">
        <f t="shared" si="1824"/>
        <v>0</v>
      </c>
      <c r="IR262" s="242">
        <f t="shared" si="1825"/>
        <v>0</v>
      </c>
      <c r="IS262" s="56"/>
      <c r="IV262" s="55">
        <f t="shared" si="1826"/>
        <v>46243</v>
      </c>
      <c r="IW262" s="56"/>
      <c r="IX262" s="242">
        <f>SUMPRODUCT(PRODUCE!$B263:$DY263,PRODUCE!$EB$35:$IY$35)</f>
        <v>0</v>
      </c>
      <c r="IY262" s="56"/>
      <c r="IZ262" s="242">
        <f t="shared" si="1827"/>
        <v>0</v>
      </c>
      <c r="JA262" s="242">
        <f t="shared" si="1828"/>
        <v>4960</v>
      </c>
      <c r="JB262" s="56"/>
      <c r="JE262" s="55">
        <f t="shared" si="1829"/>
        <v>46243</v>
      </c>
      <c r="JF262" s="56"/>
      <c r="JG262" s="242">
        <f>SUMPRODUCT(PRODUCE!$B263:$DY263,PRODUCE!$EB$36:$IY$36)</f>
        <v>0</v>
      </c>
      <c r="JH262" s="56"/>
      <c r="JI262" s="242">
        <f t="shared" si="1830"/>
        <v>0</v>
      </c>
      <c r="JJ262" s="242">
        <f t="shared" si="1831"/>
        <v>0</v>
      </c>
      <c r="JK262" s="56"/>
      <c r="JN262" s="55">
        <f t="shared" si="1832"/>
        <v>46243</v>
      </c>
      <c r="JO262" s="56"/>
      <c r="JP262" s="242">
        <f>SUMPRODUCT(PRODUCE!$B263:$DY263,PRODUCE!$EB$37:$IY$37)</f>
        <v>0</v>
      </c>
      <c r="JQ262" s="56"/>
      <c r="JR262" s="242">
        <f t="shared" si="1833"/>
        <v>0</v>
      </c>
      <c r="JS262" s="242">
        <f t="shared" si="1834"/>
        <v>0</v>
      </c>
      <c r="JT262" s="56"/>
      <c r="JW262" s="55">
        <f t="shared" si="1835"/>
        <v>46243</v>
      </c>
      <c r="JX262" s="56"/>
      <c r="JY262" s="242">
        <f>SUMPRODUCT(PRODUCE!$B263:$DY263,PRODUCE!$EB$38:$IY$38)</f>
        <v>0</v>
      </c>
      <c r="JZ262" s="56"/>
      <c r="KA262" s="242">
        <f t="shared" si="1836"/>
        <v>0</v>
      </c>
      <c r="KB262" s="242">
        <f t="shared" si="1837"/>
        <v>2540</v>
      </c>
      <c r="KC262" s="56"/>
      <c r="KF262" s="55">
        <f t="shared" si="1838"/>
        <v>46243</v>
      </c>
      <c r="KG262" s="56"/>
      <c r="KH262" s="242">
        <f>SUMPRODUCT(PRODUCE!$B263:$DY263,PRODUCE!$EB$39:$IY$39)</f>
        <v>0</v>
      </c>
      <c r="KI262" s="56"/>
      <c r="KJ262" s="242">
        <f t="shared" si="1839"/>
        <v>0</v>
      </c>
      <c r="KK262" s="242">
        <f t="shared" si="1840"/>
        <v>2359.5</v>
      </c>
      <c r="KL262" s="56"/>
      <c r="KO262" s="55">
        <f t="shared" si="1841"/>
        <v>46243</v>
      </c>
      <c r="KP262" s="56"/>
      <c r="KQ262" s="242">
        <f>SUMPRODUCT(PRODUCE!$B263:$DY263,PRODUCE!$EB$40:$IY$40)</f>
        <v>0</v>
      </c>
      <c r="KR262" s="56"/>
      <c r="KS262" s="242">
        <f t="shared" si="1842"/>
        <v>0</v>
      </c>
      <c r="KT262" s="242">
        <f t="shared" si="1843"/>
        <v>1890</v>
      </c>
      <c r="KU262" s="56"/>
      <c r="KW262" s="23"/>
      <c r="KX262" s="55">
        <f t="shared" si="1844"/>
        <v>46243</v>
      </c>
      <c r="KY262" s="56"/>
      <c r="KZ262" s="242">
        <f>SUMPRODUCT(PRODUCE!$B263:$DY263,PRODUCE!$EB$41:$IY$41)</f>
        <v>0</v>
      </c>
      <c r="LA262" s="56"/>
      <c r="LB262" s="242">
        <f t="shared" si="1845"/>
        <v>0</v>
      </c>
      <c r="LC262" s="242">
        <f t="shared" si="1846"/>
        <v>3690</v>
      </c>
      <c r="LD262" s="56"/>
      <c r="LG262" s="55">
        <f t="shared" si="1847"/>
        <v>46243</v>
      </c>
      <c r="LH262" s="56"/>
      <c r="LI262" s="242">
        <f>SUMPRODUCT(PRODUCE!$B263:$DY263,PRODUCE!$EB$42:$IY$42)</f>
        <v>0</v>
      </c>
      <c r="LJ262" s="56"/>
      <c r="LK262" s="242">
        <f t="shared" si="1848"/>
        <v>0</v>
      </c>
      <c r="LL262" s="242">
        <f t="shared" si="1849"/>
        <v>4000</v>
      </c>
      <c r="LM262" s="56"/>
      <c r="LP262" s="55">
        <f t="shared" si="1850"/>
        <v>46243</v>
      </c>
      <c r="LQ262" s="56"/>
      <c r="LR262" s="242">
        <f>SUMPRODUCT(PRODUCE!$B277:$DY277,PRODUCE!$EB$43:$IY$43)</f>
        <v>0</v>
      </c>
      <c r="LS262" s="56"/>
      <c r="LT262" s="242">
        <f t="shared" si="1851"/>
        <v>0</v>
      </c>
      <c r="LU262" s="242">
        <f t="shared" si="1852"/>
        <v>0</v>
      </c>
      <c r="LV262" s="56"/>
      <c r="LY262" s="55">
        <f t="shared" si="1853"/>
        <v>46243</v>
      </c>
      <c r="LZ262" s="56"/>
      <c r="MA262" s="242">
        <f>SUMPRODUCT(PRODUCE!$B263:$DY263,PRODUCE!$EB$44:$IY$44)</f>
        <v>0</v>
      </c>
      <c r="MB262" s="56"/>
      <c r="MC262" s="242">
        <f t="shared" si="1854"/>
        <v>0</v>
      </c>
      <c r="MD262" s="242">
        <f t="shared" si="1855"/>
        <v>0</v>
      </c>
      <c r="ME262" s="56"/>
      <c r="MH262" s="55">
        <f t="shared" si="1856"/>
        <v>46243</v>
      </c>
      <c r="MI262" s="56"/>
      <c r="MJ262" s="242">
        <f>SUMPRODUCT(PRODUCE!$B263:$DY263,PRODUCE!$EB$45:$IY$45)</f>
        <v>0</v>
      </c>
      <c r="MK262" s="56"/>
      <c r="ML262" s="242">
        <f t="shared" si="1857"/>
        <v>0</v>
      </c>
      <c r="MM262" s="242">
        <f t="shared" si="1858"/>
        <v>0</v>
      </c>
      <c r="MN262" s="56"/>
      <c r="MQ262" s="55">
        <f t="shared" si="1859"/>
        <v>46243</v>
      </c>
      <c r="MR262" s="56"/>
      <c r="MS262" s="242">
        <f>SUMPRODUCT(PRODUCE!$B263:$DY263,PRODUCE!$EB$46:$IY$46)</f>
        <v>0</v>
      </c>
      <c r="MT262" s="56"/>
      <c r="MU262" s="242">
        <f t="shared" si="1860"/>
        <v>0</v>
      </c>
      <c r="MV262" s="242">
        <f t="shared" si="1861"/>
        <v>1933</v>
      </c>
      <c r="MW262" s="56"/>
      <c r="MZ262" s="55">
        <f t="shared" si="1862"/>
        <v>46243</v>
      </c>
      <c r="NA262" s="56"/>
      <c r="NB262" s="242">
        <f>SUMPRODUCT(PRODUCE!$B263:$DY263,PRODUCE!$EB$47:$IY$47)</f>
        <v>0</v>
      </c>
      <c r="NC262" s="56"/>
      <c r="ND262" s="242">
        <f t="shared" si="1863"/>
        <v>0</v>
      </c>
      <c r="NE262" s="242">
        <f t="shared" si="1864"/>
        <v>0</v>
      </c>
      <c r="NF262" s="56"/>
      <c r="NI262" s="55">
        <f t="shared" si="1865"/>
        <v>46243</v>
      </c>
      <c r="NJ262" s="56"/>
      <c r="NK262" s="242">
        <f>SUMPRODUCT(PRODUCE!$B263:$DY263,PRODUCE!$EB$48:$IY$48)</f>
        <v>0</v>
      </c>
      <c r="NL262" s="56"/>
      <c r="NM262" s="242">
        <f t="shared" si="1866"/>
        <v>0</v>
      </c>
      <c r="NN262" s="242">
        <f t="shared" si="1867"/>
        <v>1127</v>
      </c>
      <c r="NO262" s="56"/>
      <c r="NR262" s="55">
        <f t="shared" si="1868"/>
        <v>46243</v>
      </c>
      <c r="NS262" s="56"/>
      <c r="NT262" s="242">
        <f>SUMPRODUCT(PRODUCE!$B263:$DY263,PRODUCE!$EB$49:$IY$49)</f>
        <v>0</v>
      </c>
      <c r="NU262" s="56"/>
      <c r="NV262" s="242">
        <f t="shared" si="1869"/>
        <v>0</v>
      </c>
      <c r="NW262" s="242">
        <f t="shared" si="1870"/>
        <v>3111.9999999999995</v>
      </c>
      <c r="NX262" s="56"/>
      <c r="OA262" s="55">
        <f t="shared" si="1871"/>
        <v>46243</v>
      </c>
      <c r="OB262" s="56"/>
      <c r="OC262" s="242">
        <f>SUMPRODUCT(PRODUCE!$B263:$DY263,PRODUCE!$EB$50:$IY$50)</f>
        <v>0</v>
      </c>
      <c r="OD262" s="56"/>
      <c r="OE262" s="242">
        <f t="shared" si="1872"/>
        <v>0</v>
      </c>
      <c r="OF262" s="242">
        <f t="shared" si="1873"/>
        <v>1680.5</v>
      </c>
      <c r="OG262" s="56"/>
      <c r="OJ262" s="55">
        <f t="shared" si="1874"/>
        <v>46243</v>
      </c>
      <c r="OK262" s="56"/>
      <c r="OL262" s="242">
        <f>SUMPRODUCT(PRODUCE!$B263:$DY263,PRODUCE!$EB$51:$IY$51)</f>
        <v>0</v>
      </c>
      <c r="OM262" s="56"/>
      <c r="ON262" s="242">
        <f t="shared" si="1875"/>
        <v>0</v>
      </c>
      <c r="OO262" s="242">
        <f t="shared" si="1876"/>
        <v>0</v>
      </c>
      <c r="OP262" s="56"/>
      <c r="OS262" s="55">
        <f t="shared" si="1877"/>
        <v>46243</v>
      </c>
      <c r="OT262" s="56"/>
      <c r="OU262" s="242">
        <f>SUMPRODUCT(PRODUCE!$B263:$DY263,PRODUCE!$EB$52:$IY$52)</f>
        <v>0</v>
      </c>
      <c r="OV262" s="56"/>
      <c r="OW262" s="242">
        <f t="shared" si="1878"/>
        <v>0</v>
      </c>
      <c r="OX262" s="242">
        <f t="shared" si="1879"/>
        <v>1482</v>
      </c>
      <c r="OY262" s="56"/>
      <c r="PB262" s="55">
        <f t="shared" si="1880"/>
        <v>46243</v>
      </c>
      <c r="PC262" s="56"/>
      <c r="PD262" s="242">
        <f>SUMPRODUCT(PRODUCE!$B263:$DY263,PRODUCE!$EB$53:$IY$53)</f>
        <v>0</v>
      </c>
      <c r="PE262" s="56"/>
      <c r="PF262" s="242">
        <f t="shared" si="1881"/>
        <v>0</v>
      </c>
      <c r="PG262" s="242">
        <f t="shared" si="1882"/>
        <v>0</v>
      </c>
      <c r="PH262" s="56"/>
      <c r="PK262" s="55">
        <f t="shared" si="1883"/>
        <v>46243</v>
      </c>
      <c r="PL262" s="56"/>
      <c r="PM262" s="242">
        <f>SUMPRODUCT(PRODUCE!$B263:$DY263,PRODUCE!$EB$54:$IY$54)</f>
        <v>0</v>
      </c>
      <c r="PN262" s="56"/>
      <c r="PO262" s="242">
        <f t="shared" si="1884"/>
        <v>0</v>
      </c>
      <c r="PP262" s="242">
        <f t="shared" si="1885"/>
        <v>100</v>
      </c>
      <c r="PQ262" s="56"/>
      <c r="PT262" s="55">
        <f t="shared" si="1886"/>
        <v>46243</v>
      </c>
      <c r="PU262" s="56"/>
      <c r="PV262" s="242">
        <f>SUMPRODUCT(PRODUCE!$B263:$DY263,PRODUCE!$EB$55:$IY$55)</f>
        <v>0</v>
      </c>
      <c r="PW262" s="56"/>
      <c r="PX262" s="242">
        <f t="shared" si="1887"/>
        <v>0</v>
      </c>
      <c r="PY262" s="242">
        <f t="shared" si="1888"/>
        <v>13.960000000000036</v>
      </c>
      <c r="PZ262" s="56"/>
      <c r="QC262" s="55">
        <f t="shared" si="1889"/>
        <v>46243</v>
      </c>
      <c r="QD262" s="56"/>
      <c r="QE262" s="242">
        <f>SUMPRODUCT(PRODUCE!$B263:$DY263,PRODUCE!$EB$56:$IY$56)</f>
        <v>0</v>
      </c>
      <c r="QF262" s="56"/>
      <c r="QG262" s="242">
        <f t="shared" si="1890"/>
        <v>0</v>
      </c>
      <c r="QH262" s="242">
        <f t="shared" si="1891"/>
        <v>948</v>
      </c>
      <c r="QI262" s="56"/>
      <c r="QL262" s="55">
        <f t="shared" si="1892"/>
        <v>46243</v>
      </c>
      <c r="QM262" s="56"/>
      <c r="QN262" s="242">
        <f>SUMPRODUCT(PRODUCE!$B263:$DY263,PRODUCE!$EB$57:$IY$57)</f>
        <v>0</v>
      </c>
      <c r="QO262" s="56"/>
      <c r="QP262" s="242">
        <f t="shared" si="1893"/>
        <v>0</v>
      </c>
      <c r="QQ262" s="242">
        <f t="shared" si="1894"/>
        <v>0</v>
      </c>
      <c r="QR262" s="56"/>
      <c r="QU262" s="55">
        <f t="shared" si="1895"/>
        <v>46243</v>
      </c>
      <c r="QV262" s="56"/>
      <c r="QW262" s="242">
        <f>SUMPRODUCT(PRODUCE!$B263:$DY263,PRODUCE!$EB$57:$IY$57)</f>
        <v>0</v>
      </c>
      <c r="QX262" s="56"/>
      <c r="QY262" s="242">
        <f t="shared" si="1896"/>
        <v>0</v>
      </c>
      <c r="QZ262" s="242">
        <f t="shared" si="1897"/>
        <v>207.6</v>
      </c>
      <c r="RA262" s="56"/>
      <c r="RD262" s="55">
        <f t="shared" si="1898"/>
        <v>46243</v>
      </c>
      <c r="RE262" s="56"/>
      <c r="RF262" s="242">
        <f>SUMPRODUCT(PRODUCE!$B263:$DY263,PRODUCE!$EB$58:$IY$58)</f>
        <v>0</v>
      </c>
      <c r="RG262" s="56"/>
      <c r="RH262" s="242">
        <f t="shared" si="1899"/>
        <v>0</v>
      </c>
      <c r="RI262" s="242">
        <f t="shared" si="1900"/>
        <v>147.04000000000002</v>
      </c>
      <c r="RJ262" s="56"/>
      <c r="RM262" s="55">
        <f t="shared" si="1901"/>
        <v>46243</v>
      </c>
      <c r="RN262" s="56"/>
      <c r="RO262" s="242">
        <f>SUMPRODUCT(PRODUCE!$B263:$DY263,PRODUCE!$EB$59:$IY$59)</f>
        <v>0</v>
      </c>
      <c r="RP262" s="56"/>
      <c r="RQ262" s="242">
        <f t="shared" si="1902"/>
        <v>0</v>
      </c>
      <c r="RR262" s="242">
        <f t="shared" si="1903"/>
        <v>46.8</v>
      </c>
      <c r="RS262" s="56"/>
      <c r="RV262" s="55">
        <f t="shared" si="1904"/>
        <v>46243</v>
      </c>
      <c r="RW262" s="56"/>
      <c r="RX262" s="242">
        <f>SUMPRODUCT(PRODUCE!$B263:$DY263,PRODUCE!$EB$57:$IY$57)</f>
        <v>0</v>
      </c>
      <c r="RY262" s="56"/>
      <c r="RZ262" s="242">
        <f t="shared" si="1905"/>
        <v>0</v>
      </c>
      <c r="SA262" s="242">
        <f t="shared" si="1906"/>
        <v>0</v>
      </c>
      <c r="SB262" s="56"/>
      <c r="SE262" s="55">
        <f t="shared" si="1907"/>
        <v>46243</v>
      </c>
      <c r="SF262" s="56"/>
      <c r="SG262" s="242">
        <f>SUMPRODUCT(PRODUCE!$B263:$DY263,PRODUCE!$EB$61:$IY$61)</f>
        <v>0</v>
      </c>
      <c r="SH262" s="56"/>
      <c r="SI262" s="242">
        <f t="shared" si="1908"/>
        <v>0</v>
      </c>
      <c r="SJ262" s="242">
        <f t="shared" si="1909"/>
        <v>24.200000000000003</v>
      </c>
      <c r="SK262" s="56"/>
      <c r="SN262" s="55">
        <f t="shared" si="1910"/>
        <v>46243</v>
      </c>
      <c r="SO262" s="56"/>
      <c r="SP262" s="242">
        <f>SUMPRODUCT(PRODUCE!$B263:$DY263,PRODUCE!$EB$62:$IY$62)</f>
        <v>0</v>
      </c>
      <c r="SQ262" s="56"/>
      <c r="SR262" s="242">
        <f t="shared" si="1911"/>
        <v>0</v>
      </c>
      <c r="SS262" s="242">
        <f t="shared" si="1912"/>
        <v>32</v>
      </c>
      <c r="ST262" s="56"/>
      <c r="SW262" s="55">
        <f t="shared" si="1913"/>
        <v>46243</v>
      </c>
      <c r="SX262" s="56"/>
      <c r="SY262" s="242">
        <f>SUMPRODUCT(PRODUCE!$B263:$DY263,PRODUCE!$EB$57:$IY$57)</f>
        <v>0</v>
      </c>
      <c r="SZ262" s="56"/>
      <c r="TA262" s="242">
        <f t="shared" si="1914"/>
        <v>0</v>
      </c>
      <c r="TB262" s="242">
        <f t="shared" si="1915"/>
        <v>0</v>
      </c>
      <c r="TC262" s="56"/>
      <c r="TF262" s="55">
        <f t="shared" si="1916"/>
        <v>46243</v>
      </c>
      <c r="TG262" s="56"/>
      <c r="TH262" s="242">
        <f>SUMPRODUCT(PRODUCE!$B263:$DY263,PRODUCE!$EB$57:$IY$57)</f>
        <v>0</v>
      </c>
      <c r="TI262" s="56"/>
      <c r="TJ262" s="242">
        <f t="shared" si="1917"/>
        <v>0</v>
      </c>
      <c r="TK262" s="242">
        <f t="shared" si="1918"/>
        <v>0</v>
      </c>
      <c r="TL262" s="56"/>
      <c r="TO262" s="55">
        <f t="shared" si="1919"/>
        <v>46243</v>
      </c>
      <c r="TP262" s="56"/>
      <c r="TQ262" s="242">
        <f>SUMPRODUCT(PRODUCE!$B263:$DY263,PRODUCE!$EB$57:$IY$57)</f>
        <v>0</v>
      </c>
      <c r="TR262" s="56"/>
      <c r="TS262" s="242">
        <f t="shared" si="1920"/>
        <v>0</v>
      </c>
      <c r="TT262" s="242">
        <f t="shared" si="1921"/>
        <v>0</v>
      </c>
      <c r="TU262" s="56"/>
      <c r="TX262" s="55">
        <f t="shared" si="1922"/>
        <v>46243</v>
      </c>
      <c r="TY262" s="56"/>
      <c r="TZ262" s="242">
        <f>SUMPRODUCT(PRODUCE!$B263:$DY263,PRODUCE!$EB$57:$IY$57)</f>
        <v>0</v>
      </c>
      <c r="UA262" s="56"/>
      <c r="UB262" s="242">
        <f t="shared" si="1923"/>
        <v>0</v>
      </c>
      <c r="UC262" s="242">
        <f t="shared" si="1924"/>
        <v>46.799999999999983</v>
      </c>
      <c r="UD262" s="56"/>
      <c r="UG262" s="55">
        <f t="shared" si="1925"/>
        <v>46243</v>
      </c>
      <c r="UH262" s="56"/>
      <c r="UI262" s="242">
        <f>SUMPRODUCT(PRODUCE!$B263:$DY263,PRODUCE!$EB$57:$IY$57)</f>
        <v>0</v>
      </c>
      <c r="UJ262" s="56"/>
      <c r="UK262" s="242">
        <f t="shared" si="1926"/>
        <v>0</v>
      </c>
      <c r="UL262" s="242">
        <f t="shared" si="1927"/>
        <v>204</v>
      </c>
      <c r="UM262" s="56"/>
      <c r="UP262" s="55">
        <f t="shared" si="1928"/>
        <v>46243</v>
      </c>
      <c r="UQ262" s="56"/>
      <c r="UR262" s="242">
        <f>SUMPRODUCT(PRODUCE!$B263:$DY263,PRODUCE!$EB$57:$IY$57)</f>
        <v>0</v>
      </c>
      <c r="US262" s="56"/>
      <c r="UT262" s="242">
        <f t="shared" si="1929"/>
        <v>0</v>
      </c>
      <c r="UU262" s="242">
        <f t="shared" si="1930"/>
        <v>202.5</v>
      </c>
      <c r="UV262" s="56"/>
      <c r="UY262" s="55">
        <f t="shared" si="1931"/>
        <v>46243</v>
      </c>
      <c r="UZ262" s="56"/>
      <c r="VA262" s="242">
        <f>SUMPRODUCT(PRODUCE!$B263:$DY263,PRODUCE!$EB$57:$IY$57)</f>
        <v>0</v>
      </c>
      <c r="VB262" s="56"/>
      <c r="VC262" s="242">
        <f t="shared" si="1932"/>
        <v>0</v>
      </c>
      <c r="VD262" s="242">
        <f t="shared" si="1933"/>
        <v>41.600000000000023</v>
      </c>
      <c r="VE262" s="56"/>
      <c r="VH262" s="55">
        <f t="shared" si="1934"/>
        <v>46243</v>
      </c>
      <c r="VI262" s="56"/>
      <c r="VJ262" s="242">
        <f>SUMPRODUCT(PRODUCE!$B263:$DY263,PRODUCE!$EB$57:$IY$57)</f>
        <v>0</v>
      </c>
      <c r="VK262" s="56"/>
      <c r="VL262" s="242">
        <f t="shared" si="1935"/>
        <v>0</v>
      </c>
      <c r="VM262" s="242">
        <f t="shared" si="1936"/>
        <v>210</v>
      </c>
      <c r="VN262" s="56"/>
      <c r="VQ262" s="55">
        <f t="shared" si="1937"/>
        <v>46243</v>
      </c>
      <c r="VR262" s="56"/>
      <c r="VS262" s="242">
        <f>SUMPRODUCT(PRODUCE!$B263:$DY263,PRODUCE!$EB$57:$IY$57)</f>
        <v>0</v>
      </c>
      <c r="VT262" s="56"/>
      <c r="VU262" s="242">
        <f t="shared" si="1938"/>
        <v>0</v>
      </c>
      <c r="VV262" s="242">
        <f t="shared" si="1939"/>
        <v>0</v>
      </c>
      <c r="VW262" s="56"/>
      <c r="VZ262" s="55">
        <f t="shared" si="1940"/>
        <v>46243</v>
      </c>
      <c r="WA262" s="56"/>
      <c r="WB262" s="242">
        <f>SUMPRODUCT(PRODUCE!$B263:$DY263,PRODUCE!$EB$57:$IY$57)</f>
        <v>0</v>
      </c>
      <c r="WC262" s="56"/>
      <c r="WD262" s="242">
        <f t="shared" si="1941"/>
        <v>0</v>
      </c>
      <c r="WE262" s="242">
        <f t="shared" si="1942"/>
        <v>0</v>
      </c>
      <c r="WF262" s="56"/>
      <c r="WI262" s="55">
        <f t="shared" si="1943"/>
        <v>46243</v>
      </c>
      <c r="WJ262" s="56"/>
      <c r="WK262" s="242">
        <f>SUMPRODUCT(PRODUCE!$B263:$DY263,PRODUCE!$EB$57:$IY$57)</f>
        <v>0</v>
      </c>
      <c r="WL262" s="56"/>
      <c r="WM262" s="242">
        <f t="shared" si="1944"/>
        <v>0</v>
      </c>
      <c r="WN262" s="242">
        <f t="shared" si="1945"/>
        <v>1057</v>
      </c>
      <c r="WO262" s="56"/>
      <c r="WR262" s="55">
        <f t="shared" si="1946"/>
        <v>46243</v>
      </c>
      <c r="WS262" s="56"/>
      <c r="WT262" s="242">
        <f>SUMPRODUCT(PRODUCE!$B263:$DY263,PRODUCE!$EB$57:$IY$57)</f>
        <v>0</v>
      </c>
      <c r="WU262" s="56"/>
      <c r="WV262" s="242">
        <f t="shared" si="1947"/>
        <v>0</v>
      </c>
      <c r="WW262" s="242">
        <f t="shared" si="1948"/>
        <v>0</v>
      </c>
      <c r="WX262" s="56"/>
      <c r="XA262" s="55">
        <f t="shared" si="1949"/>
        <v>46243</v>
      </c>
      <c r="XB262" s="56"/>
      <c r="XC262" s="242">
        <f>SUMPRODUCT(PRODUCE!$B263:$DY263,PRODUCE!$EB$57:$IY$57)</f>
        <v>0</v>
      </c>
      <c r="XD262" s="56"/>
      <c r="XE262" s="242">
        <f t="shared" si="1950"/>
        <v>0</v>
      </c>
      <c r="XF262" s="242">
        <f t="shared" si="1951"/>
        <v>7507</v>
      </c>
      <c r="XG262" s="56"/>
      <c r="XJ262" s="55">
        <f t="shared" si="1952"/>
        <v>46243</v>
      </c>
      <c r="XK262" s="56"/>
      <c r="XL262" s="242">
        <f>SUMPRODUCT(PRODUCE!$B263:$DY263,PRODUCE!$EB$57:$IY$57)</f>
        <v>0</v>
      </c>
      <c r="XM262" s="56"/>
      <c r="XN262" s="242">
        <f t="shared" si="1953"/>
        <v>0</v>
      </c>
      <c r="XO262" s="242">
        <f t="shared" si="1954"/>
        <v>4252</v>
      </c>
      <c r="XP262" s="56"/>
      <c r="XS262" s="55">
        <f t="shared" si="1955"/>
        <v>46243</v>
      </c>
      <c r="XT262" s="56"/>
      <c r="XU262" s="242">
        <f>SUMPRODUCT(PRODUCE!$B263:$DY263,PRODUCE!$EB$57:$IY$57)</f>
        <v>0</v>
      </c>
      <c r="XV262" s="56"/>
      <c r="XW262" s="242">
        <f t="shared" si="1956"/>
        <v>0</v>
      </c>
      <c r="XX262" s="242">
        <f t="shared" si="1957"/>
        <v>2179</v>
      </c>
      <c r="XY262" s="56"/>
      <c r="YB262" s="55">
        <f t="shared" si="1958"/>
        <v>46243</v>
      </c>
      <c r="YC262" s="56"/>
      <c r="YD262" s="242">
        <f>SUMPRODUCT(PRODUCE!$B263:$DY263,PRODUCE!$EB$57:$IY$57)</f>
        <v>0</v>
      </c>
      <c r="YE262" s="56"/>
      <c r="YF262" s="242">
        <f t="shared" si="1959"/>
        <v>0</v>
      </c>
      <c r="YG262" s="242">
        <f t="shared" si="1960"/>
        <v>4019</v>
      </c>
      <c r="YH262" s="56"/>
      <c r="YK262" s="55">
        <f t="shared" si="1961"/>
        <v>46243</v>
      </c>
      <c r="YL262" s="56"/>
      <c r="YM262" s="242">
        <f>SUMPRODUCT(PRODUCE!$B263:$DY263,PRODUCE!$EB$57:$IY$57)</f>
        <v>0</v>
      </c>
      <c r="YN262" s="56"/>
      <c r="YO262" s="242">
        <f t="shared" si="1962"/>
        <v>0</v>
      </c>
      <c r="YP262" s="242">
        <f t="shared" si="1963"/>
        <v>-218</v>
      </c>
      <c r="YQ262" s="56"/>
      <c r="YT262" s="55">
        <f t="shared" si="1964"/>
        <v>46243</v>
      </c>
      <c r="YU262" s="56"/>
      <c r="YV262" s="242">
        <f>SUMPRODUCT(PRODUCE!$B263:$DY263,PRODUCE!$EB$57:$IY$57)</f>
        <v>0</v>
      </c>
      <c r="YW262" s="56"/>
      <c r="YX262" s="242">
        <f t="shared" si="1965"/>
        <v>0</v>
      </c>
      <c r="YY262" s="242">
        <f t="shared" si="1966"/>
        <v>0</v>
      </c>
      <c r="YZ262" s="56"/>
      <c r="ZC262" s="55">
        <f t="shared" si="1967"/>
        <v>46243</v>
      </c>
      <c r="ZD262" s="56"/>
      <c r="ZE262" s="242">
        <f>SUMPRODUCT(PRODUCE!$B263:$DY263,PRODUCE!$EB$57:$IY$57)</f>
        <v>0</v>
      </c>
      <c r="ZF262" s="56"/>
      <c r="ZG262" s="242">
        <f t="shared" si="1968"/>
        <v>0</v>
      </c>
      <c r="ZH262" s="242">
        <f t="shared" si="1969"/>
        <v>0</v>
      </c>
      <c r="ZI262" s="56"/>
      <c r="ZL262" s="55">
        <f t="shared" si="1970"/>
        <v>46243</v>
      </c>
      <c r="ZM262" s="56"/>
      <c r="ZN262" s="242">
        <f>SUMPRODUCT(PRODUCE!$B263:$DY263,PRODUCE!$EB$57:$IY$57)</f>
        <v>0</v>
      </c>
      <c r="ZO262" s="56"/>
      <c r="ZP262" s="242">
        <f t="shared" si="1971"/>
        <v>0</v>
      </c>
      <c r="ZQ262" s="242">
        <f t="shared" si="1972"/>
        <v>0</v>
      </c>
      <c r="ZR262" s="56"/>
      <c r="ZU262" s="55">
        <f t="shared" si="1973"/>
        <v>46243</v>
      </c>
      <c r="ZV262" s="56"/>
      <c r="ZW262" s="242">
        <f>SUMPRODUCT(PRODUCE!$B263:$DY263,PRODUCE!$EB$57:$IY$57)</f>
        <v>0</v>
      </c>
      <c r="ZX262" s="56"/>
      <c r="ZY262" s="242">
        <f t="shared" si="1974"/>
        <v>0</v>
      </c>
      <c r="ZZ262" s="242">
        <f t="shared" si="1975"/>
        <v>0</v>
      </c>
      <c r="AAA262" s="56"/>
      <c r="AAD262" s="55">
        <f t="shared" si="1976"/>
        <v>46243</v>
      </c>
      <c r="AAE262" s="56"/>
      <c r="AAF262" s="242">
        <f>SUMPRODUCT(PRODUCE!$B263:$DY263,PRODUCE!$EB$57:$IY$57)</f>
        <v>0</v>
      </c>
      <c r="AAG262" s="56"/>
      <c r="AAH262" s="242">
        <f t="shared" si="1977"/>
        <v>0</v>
      </c>
      <c r="AAI262" s="242">
        <f t="shared" si="1978"/>
        <v>0</v>
      </c>
      <c r="AAJ262" s="56"/>
      <c r="AAM262" s="55">
        <f t="shared" si="1979"/>
        <v>46243</v>
      </c>
      <c r="AAN262" s="56"/>
      <c r="AAO262" s="242">
        <f>SUMPRODUCT(PRODUCE!$B263:$DY263,PRODUCE!$EB$57:$IY$57)</f>
        <v>0</v>
      </c>
      <c r="AAP262" s="56"/>
      <c r="AAQ262" s="242">
        <f t="shared" si="1980"/>
        <v>0</v>
      </c>
      <c r="AAR262" s="242">
        <f t="shared" si="1981"/>
        <v>0</v>
      </c>
      <c r="AAS262" s="56"/>
      <c r="AAV262" s="55">
        <f t="shared" si="1982"/>
        <v>46243</v>
      </c>
      <c r="AAW262" s="56"/>
      <c r="AAX262" s="242">
        <f>SUMPRODUCT(PRODUCE!$B263:$DY263,PRODUCE!$EB$57:$IY$57)</f>
        <v>0</v>
      </c>
      <c r="AAY262" s="56"/>
      <c r="AAZ262" s="242">
        <f t="shared" si="1983"/>
        <v>0</v>
      </c>
      <c r="ABA262" s="242">
        <f t="shared" si="1984"/>
        <v>0</v>
      </c>
      <c r="ABB262" s="56"/>
      <c r="ABE262" s="55">
        <f t="shared" si="1985"/>
        <v>46243</v>
      </c>
      <c r="ABF262" s="56"/>
      <c r="ABG262" s="242">
        <f>SUMPRODUCT(PRODUCE!$B263:$DY263,PRODUCE!$EB$57:$IY$57)</f>
        <v>0</v>
      </c>
      <c r="ABH262" s="56"/>
      <c r="ABI262" s="242">
        <f t="shared" si="1986"/>
        <v>0</v>
      </c>
      <c r="ABJ262" s="242">
        <f t="shared" si="1987"/>
        <v>0</v>
      </c>
      <c r="ABK262" s="56"/>
    </row>
    <row r="263" spans="2:739" s="54" customFormat="1" ht="15" customHeight="1" outlineLevel="1">
      <c r="B263" s="478"/>
      <c r="C263" s="55">
        <v>46244</v>
      </c>
      <c r="D263" s="56"/>
      <c r="E263" s="57">
        <f>SUMPRODUCT(PRODUCE!$B264:$DY264,PRODUCE!$EB$7:$IY$7)</f>
        <v>0</v>
      </c>
      <c r="F263" s="56"/>
      <c r="G263" s="57">
        <f t="shared" si="1743"/>
        <v>0</v>
      </c>
      <c r="H263" s="57">
        <f t="shared" si="1744"/>
        <v>201934.6</v>
      </c>
      <c r="I263" s="289"/>
      <c r="L263" s="55">
        <f t="shared" si="1745"/>
        <v>46244</v>
      </c>
      <c r="M263" s="56"/>
      <c r="N263" s="59">
        <f>SUMPRODUCT(PRODUCE!$B264:$DY264,PRODUCE!$EB$8:$IY$8)</f>
        <v>0</v>
      </c>
      <c r="O263" s="56"/>
      <c r="P263" s="59">
        <f t="shared" si="1746"/>
        <v>0</v>
      </c>
      <c r="Q263" s="59">
        <f t="shared" si="1747"/>
        <v>53017.600000000071</v>
      </c>
      <c r="R263" s="56"/>
      <c r="U263" s="55">
        <f t="shared" si="1748"/>
        <v>46244</v>
      </c>
      <c r="V263" s="56"/>
      <c r="W263" s="60">
        <f>SUMPRODUCT(PRODUCE!$B264:$DY264,PRODUCE!$EB$9:$IY$9)</f>
        <v>0</v>
      </c>
      <c r="X263" s="56"/>
      <c r="Y263" s="60">
        <f t="shared" si="1749"/>
        <v>0</v>
      </c>
      <c r="Z263" s="60">
        <f t="shared" si="1750"/>
        <v>42674.199999999968</v>
      </c>
      <c r="AA263" s="56"/>
      <c r="AD263" s="55">
        <f t="shared" si="1751"/>
        <v>46244</v>
      </c>
      <c r="AE263" s="56"/>
      <c r="AF263" s="61">
        <f>SUMPRODUCT(PRODUCE!$B264:$DY264,PRODUCE!$EB$10:$IY$10)</f>
        <v>0</v>
      </c>
      <c r="AG263" s="56"/>
      <c r="AH263" s="61">
        <f t="shared" si="1752"/>
        <v>0</v>
      </c>
      <c r="AI263" s="61">
        <f t="shared" si="1753"/>
        <v>4522.2000000000189</v>
      </c>
      <c r="AJ263" s="56"/>
      <c r="AM263" s="55">
        <f t="shared" si="1754"/>
        <v>46244</v>
      </c>
      <c r="AN263" s="422"/>
      <c r="AO263" s="444">
        <f>SUMPRODUCT(PRODUCE!$B264:$DY264,PRODUCE!$EB$11:$IY$11)</f>
        <v>0</v>
      </c>
      <c r="AP263" s="422"/>
      <c r="AQ263" s="444">
        <f t="shared" si="1755"/>
        <v>0</v>
      </c>
      <c r="AR263" s="444">
        <f t="shared" si="1756"/>
        <v>0</v>
      </c>
      <c r="AS263" s="56"/>
      <c r="AV263" s="55">
        <f t="shared" si="1757"/>
        <v>46244</v>
      </c>
      <c r="AW263" s="56"/>
      <c r="AX263" s="62">
        <f>SUMPRODUCT(PRODUCE!$B264:$DY264,PRODUCE!$EB$12:$IY$12)</f>
        <v>0</v>
      </c>
      <c r="AY263" s="56"/>
      <c r="AZ263" s="62">
        <f t="shared" si="1758"/>
        <v>0</v>
      </c>
      <c r="BA263" s="62">
        <f t="shared" si="1759"/>
        <v>124.99999999999523</v>
      </c>
      <c r="BB263" s="56"/>
      <c r="BE263" s="55">
        <f t="shared" si="1760"/>
        <v>46244</v>
      </c>
      <c r="BF263" s="56"/>
      <c r="BG263" s="63">
        <f>SUMPRODUCT(PRODUCE!$B264:$DY264,PRODUCE!$EB$13:$IY$13)</f>
        <v>0</v>
      </c>
      <c r="BH263" s="56"/>
      <c r="BI263" s="63">
        <f t="shared" si="1761"/>
        <v>0</v>
      </c>
      <c r="BJ263" s="63">
        <f t="shared" si="1762"/>
        <v>26151.899999999998</v>
      </c>
      <c r="BK263" s="56"/>
      <c r="BN263" s="55">
        <f t="shared" si="1763"/>
        <v>46244</v>
      </c>
      <c r="BO263" s="56"/>
      <c r="BP263" s="64">
        <f>SUMPRODUCT(PRODUCE!$B264:$DY264,PRODUCE!$EB$14:$IY$14)</f>
        <v>0</v>
      </c>
      <c r="BQ263" s="56"/>
      <c r="BR263" s="64">
        <f t="shared" si="1764"/>
        <v>0</v>
      </c>
      <c r="BS263" s="64">
        <f t="shared" si="1765"/>
        <v>0</v>
      </c>
      <c r="BT263" s="56"/>
      <c r="BW263" s="55">
        <f t="shared" si="1766"/>
        <v>46244</v>
      </c>
      <c r="BX263" s="56"/>
      <c r="BY263" s="65">
        <f>SUMPRODUCT(PRODUCE!$B264:$DY264,PRODUCE!$EB$15:$IY$15)</f>
        <v>0</v>
      </c>
      <c r="BZ263" s="56"/>
      <c r="CA263" s="65">
        <f t="shared" si="1767"/>
        <v>0</v>
      </c>
      <c r="CB263" s="65">
        <f t="shared" si="1768"/>
        <v>2169.1299999999992</v>
      </c>
      <c r="CC263" s="56"/>
      <c r="CF263" s="55">
        <f t="shared" si="1769"/>
        <v>46244</v>
      </c>
      <c r="CG263" s="56"/>
      <c r="CH263" s="66">
        <f>SUMPRODUCT(PRODUCE!$B264:$DY264,PRODUCE!$EB$16:$IY$16)</f>
        <v>0</v>
      </c>
      <c r="CI263" s="56"/>
      <c r="CJ263" s="66">
        <f t="shared" si="1770"/>
        <v>0</v>
      </c>
      <c r="CK263" s="66">
        <f t="shared" si="1771"/>
        <v>-10277.079999999998</v>
      </c>
      <c r="CL263" s="56"/>
      <c r="CO263" s="55">
        <f t="shared" si="1772"/>
        <v>46244</v>
      </c>
      <c r="CP263" s="422"/>
      <c r="CQ263" s="470">
        <f>SUMPRODUCT(PRODUCE!$B264:$DY264,PRODUCE!$EB$17:$IY$17)</f>
        <v>0</v>
      </c>
      <c r="CR263" s="422"/>
      <c r="CS263" s="470">
        <f t="shared" si="1773"/>
        <v>0</v>
      </c>
      <c r="CT263" s="470">
        <f t="shared" si="1774"/>
        <v>0</v>
      </c>
      <c r="CU263" s="56"/>
      <c r="CX263" s="55">
        <f t="shared" si="1775"/>
        <v>46244</v>
      </c>
      <c r="CY263" s="56"/>
      <c r="CZ263" s="133">
        <f>SUMPRODUCT(PRODUCE!$B264:$DY264,PRODUCE!$EB$18:$IY$18)</f>
        <v>0</v>
      </c>
      <c r="DA263" s="56"/>
      <c r="DB263" s="133">
        <f t="shared" si="1776"/>
        <v>0</v>
      </c>
      <c r="DC263" s="133">
        <f t="shared" si="1777"/>
        <v>27438.200000000012</v>
      </c>
      <c r="DD263" s="56"/>
      <c r="DG263" s="55">
        <f t="shared" si="1778"/>
        <v>46244</v>
      </c>
      <c r="DH263" s="56"/>
      <c r="DI263" s="147">
        <f>SUMPRODUCT(PRODUCE!$B264:$DY264,PRODUCE!$EB$19:$IY$19)</f>
        <v>0</v>
      </c>
      <c r="DJ263" s="56"/>
      <c r="DK263" s="147">
        <f t="shared" si="1779"/>
        <v>0</v>
      </c>
      <c r="DL263" s="147">
        <f t="shared" si="1780"/>
        <v>18782.299999999981</v>
      </c>
      <c r="DM263" s="56"/>
      <c r="DP263" s="55">
        <f t="shared" si="1781"/>
        <v>46244</v>
      </c>
      <c r="DQ263" s="56"/>
      <c r="DR263" s="57">
        <f>SUMPRODUCT(PRODUCE!$B264:$DY264,PRODUCE!$EB$20:$IY$20)</f>
        <v>0</v>
      </c>
      <c r="DS263" s="56"/>
      <c r="DT263" s="57">
        <f t="shared" si="1782"/>
        <v>0</v>
      </c>
      <c r="DU263" s="57">
        <f t="shared" si="1783"/>
        <v>5800</v>
      </c>
      <c r="DV263" s="56"/>
      <c r="DY263" s="55">
        <f t="shared" si="1784"/>
        <v>46244</v>
      </c>
      <c r="DZ263" s="56"/>
      <c r="EA263" s="157">
        <f>SUMPRODUCT(PRODUCE!$B264:$DY264,PRODUCE!$EB$21:$IY$21)</f>
        <v>0</v>
      </c>
      <c r="EB263" s="56"/>
      <c r="EC263" s="157">
        <f t="shared" si="1785"/>
        <v>0</v>
      </c>
      <c r="ED263" s="157">
        <f t="shared" si="1786"/>
        <v>0</v>
      </c>
      <c r="EE263" s="56"/>
      <c r="EH263" s="55">
        <f t="shared" si="1787"/>
        <v>46244</v>
      </c>
      <c r="EI263" s="56"/>
      <c r="EJ263" s="162">
        <f>SUMPRODUCT(PRODUCE!$B264:$DY264,PRODUCE!$EB$22:$IY$22)</f>
        <v>0</v>
      </c>
      <c r="EK263" s="56"/>
      <c r="EL263" s="162">
        <f t="shared" si="1788"/>
        <v>0</v>
      </c>
      <c r="EM263" s="162">
        <f t="shared" si="1789"/>
        <v>0</v>
      </c>
      <c r="EN263" s="56"/>
      <c r="EQ263" s="55">
        <f t="shared" si="1790"/>
        <v>46244</v>
      </c>
      <c r="ER263" s="56"/>
      <c r="ES263" s="135">
        <f>SUMPRODUCT(PRODUCE!$B264:$DY264,PRODUCE!$EB$23:$IY$23)</f>
        <v>0</v>
      </c>
      <c r="ET263" s="56"/>
      <c r="EU263" s="135">
        <f t="shared" si="1791"/>
        <v>0</v>
      </c>
      <c r="EV263" s="135">
        <f t="shared" si="1792"/>
        <v>0</v>
      </c>
      <c r="EW263" s="56"/>
      <c r="EZ263" s="55">
        <f t="shared" si="1793"/>
        <v>46244</v>
      </c>
      <c r="FA263" s="56"/>
      <c r="FB263" s="175">
        <f>SUMPRODUCT(PRODUCE!$B264:$DY264,PRODUCE!$EB$24:$IY$24)</f>
        <v>0</v>
      </c>
      <c r="FC263" s="56"/>
      <c r="FD263" s="175">
        <f t="shared" si="1794"/>
        <v>0</v>
      </c>
      <c r="FE263" s="175">
        <f t="shared" si="1795"/>
        <v>0</v>
      </c>
      <c r="FF263" s="56"/>
      <c r="FI263" s="55">
        <f t="shared" si="1796"/>
        <v>46244</v>
      </c>
      <c r="FJ263" s="56"/>
      <c r="FK263" s="183">
        <f>SUMPRODUCT(PRODUCE!$B264:$DY264,PRODUCE!$EB$25:$IY$25)</f>
        <v>0</v>
      </c>
      <c r="FL263" s="56"/>
      <c r="FM263" s="183">
        <f t="shared" si="1797"/>
        <v>0</v>
      </c>
      <c r="FN263" s="183">
        <f t="shared" si="1798"/>
        <v>0</v>
      </c>
      <c r="FO263" s="56"/>
      <c r="FR263" s="55">
        <f t="shared" si="1799"/>
        <v>46244</v>
      </c>
      <c r="FS263" s="56"/>
      <c r="FT263" s="186">
        <f>SUMPRODUCT(PRODUCE!$B264:$DY264,PRODUCE!$EB$26:$IY$26)</f>
        <v>0</v>
      </c>
      <c r="FU263" s="56"/>
      <c r="FV263" s="186">
        <f t="shared" si="1800"/>
        <v>0</v>
      </c>
      <c r="FW263" s="186">
        <f t="shared" si="1801"/>
        <v>20</v>
      </c>
      <c r="FX263" s="56"/>
      <c r="GA263" s="55">
        <f t="shared" si="1802"/>
        <v>46244</v>
      </c>
      <c r="GB263" s="56"/>
      <c r="GC263" s="137">
        <f>SUMPRODUCT(PRODUCE!$B264:$DY264,PRODUCE!$EB$27:$IY$27)</f>
        <v>0</v>
      </c>
      <c r="GD263" s="56"/>
      <c r="GE263" s="137">
        <f t="shared" si="1803"/>
        <v>0</v>
      </c>
      <c r="GF263" s="137">
        <f t="shared" si="1804"/>
        <v>960</v>
      </c>
      <c r="GG263" s="56"/>
      <c r="GI263" s="23"/>
      <c r="GJ263" s="55">
        <f t="shared" si="1805"/>
        <v>46244</v>
      </c>
      <c r="GK263" s="56"/>
      <c r="GL263" s="199">
        <f>SUMPRODUCT(PRODUCE!$B264:$DY264,PRODUCE!$EB$28:$IY$28)</f>
        <v>0</v>
      </c>
      <c r="GM263" s="56"/>
      <c r="GN263" s="199">
        <f t="shared" si="1806"/>
        <v>0</v>
      </c>
      <c r="GO263" s="199">
        <f t="shared" si="1807"/>
        <v>1760</v>
      </c>
      <c r="GP263" s="56"/>
      <c r="GS263" s="55">
        <f t="shared" si="1808"/>
        <v>46244</v>
      </c>
      <c r="GT263" s="56"/>
      <c r="GU263" s="195">
        <f>SUMPRODUCT(PRODUCE!$B264:$DY264,PRODUCE!$EB$29:$IY$29)</f>
        <v>0</v>
      </c>
      <c r="GV263" s="56"/>
      <c r="GW263" s="195">
        <f t="shared" si="1809"/>
        <v>0</v>
      </c>
      <c r="GX263" s="195">
        <f t="shared" si="1810"/>
        <v>400</v>
      </c>
      <c r="GY263" s="56"/>
      <c r="HB263" s="55">
        <f t="shared" si="1811"/>
        <v>46244</v>
      </c>
      <c r="HC263" s="56"/>
      <c r="HD263" s="191">
        <f>SUMPRODUCT(PRODUCE!$B264:$DY264,PRODUCE!$EB$30:$IY$30)</f>
        <v>0</v>
      </c>
      <c r="HE263" s="56"/>
      <c r="HF263" s="191">
        <f t="shared" si="1812"/>
        <v>0</v>
      </c>
      <c r="HG263" s="191">
        <f t="shared" si="1813"/>
        <v>3600</v>
      </c>
      <c r="HH263" s="56"/>
      <c r="HK263" s="55">
        <f t="shared" si="1814"/>
        <v>46244</v>
      </c>
      <c r="HL263" s="56"/>
      <c r="HM263" s="63">
        <f>SUMPRODUCT(PRODUCE!$B264:$DY264,PRODUCE!$EB$31:$IY$31)</f>
        <v>0</v>
      </c>
      <c r="HN263" s="56"/>
      <c r="HO263" s="63">
        <f t="shared" si="1815"/>
        <v>0</v>
      </c>
      <c r="HP263" s="63">
        <f t="shared" si="1816"/>
        <v>0</v>
      </c>
      <c r="HQ263" s="56"/>
      <c r="HU263" s="55">
        <f t="shared" si="1817"/>
        <v>46244</v>
      </c>
      <c r="HV263" s="56"/>
      <c r="HW263" s="242">
        <f>SUMPRODUCT(PRODUCE!$B264:$DY264,PRODUCE!$EB$32:$IY$32)</f>
        <v>0</v>
      </c>
      <c r="HX263" s="56"/>
      <c r="HY263" s="242">
        <f t="shared" si="1818"/>
        <v>0</v>
      </c>
      <c r="HZ263" s="242">
        <f t="shared" si="1819"/>
        <v>5120</v>
      </c>
      <c r="IA263" s="56"/>
      <c r="ID263" s="55">
        <f t="shared" si="1820"/>
        <v>46244</v>
      </c>
      <c r="IE263" s="56"/>
      <c r="IF263" s="242">
        <f>SUMPRODUCT(PRODUCE!$B264:$DY264,PRODUCE!$EB$33:$IY$33)</f>
        <v>0</v>
      </c>
      <c r="IG263" s="56"/>
      <c r="IH263" s="242">
        <f t="shared" si="1821"/>
        <v>0</v>
      </c>
      <c r="II263" s="242">
        <f t="shared" si="1822"/>
        <v>720</v>
      </c>
      <c r="IJ263" s="56"/>
      <c r="IM263" s="55">
        <f t="shared" si="1823"/>
        <v>46244</v>
      </c>
      <c r="IN263" s="56"/>
      <c r="IO263" s="242">
        <f>SUMPRODUCT(PRODUCE!$B264:$DY264,PRODUCE!$EB$34:$IY$34)</f>
        <v>0</v>
      </c>
      <c r="IP263" s="56"/>
      <c r="IQ263" s="242">
        <f t="shared" si="1824"/>
        <v>0</v>
      </c>
      <c r="IR263" s="242">
        <f t="shared" si="1825"/>
        <v>0</v>
      </c>
      <c r="IS263" s="56"/>
      <c r="IV263" s="55">
        <f t="shared" si="1826"/>
        <v>46244</v>
      </c>
      <c r="IW263" s="56"/>
      <c r="IX263" s="242">
        <f>SUMPRODUCT(PRODUCE!$B264:$DY264,PRODUCE!$EB$35:$IY$35)</f>
        <v>0</v>
      </c>
      <c r="IY263" s="56"/>
      <c r="IZ263" s="242">
        <f t="shared" si="1827"/>
        <v>0</v>
      </c>
      <c r="JA263" s="242">
        <f t="shared" si="1828"/>
        <v>4960</v>
      </c>
      <c r="JB263" s="56"/>
      <c r="JE263" s="55">
        <f t="shared" si="1829"/>
        <v>46244</v>
      </c>
      <c r="JF263" s="56"/>
      <c r="JG263" s="242">
        <f>SUMPRODUCT(PRODUCE!$B264:$DY264,PRODUCE!$EB$36:$IY$36)</f>
        <v>0</v>
      </c>
      <c r="JH263" s="56"/>
      <c r="JI263" s="242">
        <f t="shared" si="1830"/>
        <v>0</v>
      </c>
      <c r="JJ263" s="242">
        <f t="shared" si="1831"/>
        <v>0</v>
      </c>
      <c r="JK263" s="56"/>
      <c r="JN263" s="55">
        <f t="shared" si="1832"/>
        <v>46244</v>
      </c>
      <c r="JO263" s="56"/>
      <c r="JP263" s="242">
        <f>SUMPRODUCT(PRODUCE!$B264:$DY264,PRODUCE!$EB$37:$IY$37)</f>
        <v>0</v>
      </c>
      <c r="JQ263" s="56"/>
      <c r="JR263" s="242">
        <f t="shared" si="1833"/>
        <v>0</v>
      </c>
      <c r="JS263" s="242">
        <f t="shared" si="1834"/>
        <v>0</v>
      </c>
      <c r="JT263" s="56"/>
      <c r="JW263" s="55">
        <f t="shared" si="1835"/>
        <v>46244</v>
      </c>
      <c r="JX263" s="56"/>
      <c r="JY263" s="242">
        <f>SUMPRODUCT(PRODUCE!$B264:$DY264,PRODUCE!$EB$38:$IY$38)</f>
        <v>0</v>
      </c>
      <c r="JZ263" s="56"/>
      <c r="KA263" s="242">
        <f t="shared" si="1836"/>
        <v>0</v>
      </c>
      <c r="KB263" s="242">
        <f t="shared" si="1837"/>
        <v>2540</v>
      </c>
      <c r="KC263" s="56"/>
      <c r="KF263" s="55">
        <f t="shared" si="1838"/>
        <v>46244</v>
      </c>
      <c r="KG263" s="56"/>
      <c r="KH263" s="242">
        <f>SUMPRODUCT(PRODUCE!$B264:$DY264,PRODUCE!$EB$39:$IY$39)</f>
        <v>0</v>
      </c>
      <c r="KI263" s="56"/>
      <c r="KJ263" s="242">
        <f t="shared" si="1839"/>
        <v>0</v>
      </c>
      <c r="KK263" s="242">
        <f t="shared" si="1840"/>
        <v>2359.5</v>
      </c>
      <c r="KL263" s="56"/>
      <c r="KO263" s="55">
        <f t="shared" si="1841"/>
        <v>46244</v>
      </c>
      <c r="KP263" s="56"/>
      <c r="KQ263" s="242">
        <f>SUMPRODUCT(PRODUCE!$B264:$DY264,PRODUCE!$EB$40:$IY$40)</f>
        <v>0</v>
      </c>
      <c r="KR263" s="56"/>
      <c r="KS263" s="242">
        <f t="shared" si="1842"/>
        <v>0</v>
      </c>
      <c r="KT263" s="242">
        <f t="shared" si="1843"/>
        <v>1890</v>
      </c>
      <c r="KU263" s="56"/>
      <c r="KW263" s="23"/>
      <c r="KX263" s="55">
        <f t="shared" si="1844"/>
        <v>46244</v>
      </c>
      <c r="KY263" s="56"/>
      <c r="KZ263" s="242">
        <f>SUMPRODUCT(PRODUCE!$B264:$DY264,PRODUCE!$EB$41:$IY$41)</f>
        <v>0</v>
      </c>
      <c r="LA263" s="56"/>
      <c r="LB263" s="242">
        <f t="shared" si="1845"/>
        <v>0</v>
      </c>
      <c r="LC263" s="242">
        <f t="shared" si="1846"/>
        <v>3690</v>
      </c>
      <c r="LD263" s="56"/>
      <c r="LG263" s="55">
        <f t="shared" si="1847"/>
        <v>46244</v>
      </c>
      <c r="LH263" s="56"/>
      <c r="LI263" s="242">
        <f>SUMPRODUCT(PRODUCE!$B264:$DY264,PRODUCE!$EB$42:$IY$42)</f>
        <v>0</v>
      </c>
      <c r="LJ263" s="56"/>
      <c r="LK263" s="242">
        <f t="shared" si="1848"/>
        <v>0</v>
      </c>
      <c r="LL263" s="242">
        <f t="shared" si="1849"/>
        <v>4000</v>
      </c>
      <c r="LM263" s="56"/>
      <c r="LP263" s="55">
        <f t="shared" si="1850"/>
        <v>46244</v>
      </c>
      <c r="LQ263" s="56"/>
      <c r="LR263" s="242">
        <f>SUMPRODUCT(PRODUCE!$B278:$DY278,PRODUCE!$EB$43:$IY$43)</f>
        <v>0</v>
      </c>
      <c r="LS263" s="56"/>
      <c r="LT263" s="242">
        <f t="shared" si="1851"/>
        <v>0</v>
      </c>
      <c r="LU263" s="242">
        <f t="shared" si="1852"/>
        <v>0</v>
      </c>
      <c r="LV263" s="56"/>
      <c r="LY263" s="55">
        <f t="shared" si="1853"/>
        <v>46244</v>
      </c>
      <c r="LZ263" s="56"/>
      <c r="MA263" s="242">
        <f>SUMPRODUCT(PRODUCE!$B264:$DY264,PRODUCE!$EB$44:$IY$44)</f>
        <v>0</v>
      </c>
      <c r="MB263" s="56"/>
      <c r="MC263" s="242">
        <f t="shared" si="1854"/>
        <v>0</v>
      </c>
      <c r="MD263" s="242">
        <f t="shared" si="1855"/>
        <v>0</v>
      </c>
      <c r="ME263" s="56"/>
      <c r="MH263" s="55">
        <f t="shared" si="1856"/>
        <v>46244</v>
      </c>
      <c r="MI263" s="56"/>
      <c r="MJ263" s="242">
        <f>SUMPRODUCT(PRODUCE!$B264:$DY264,PRODUCE!$EB$45:$IY$45)</f>
        <v>0</v>
      </c>
      <c r="MK263" s="56"/>
      <c r="ML263" s="242">
        <f t="shared" si="1857"/>
        <v>0</v>
      </c>
      <c r="MM263" s="242">
        <f t="shared" si="1858"/>
        <v>0</v>
      </c>
      <c r="MN263" s="56"/>
      <c r="MQ263" s="55">
        <f t="shared" si="1859"/>
        <v>46244</v>
      </c>
      <c r="MR263" s="56"/>
      <c r="MS263" s="242">
        <f>SUMPRODUCT(PRODUCE!$B264:$DY264,PRODUCE!$EB$46:$IY$46)</f>
        <v>0</v>
      </c>
      <c r="MT263" s="56"/>
      <c r="MU263" s="242">
        <f t="shared" si="1860"/>
        <v>0</v>
      </c>
      <c r="MV263" s="242">
        <f t="shared" si="1861"/>
        <v>1933</v>
      </c>
      <c r="MW263" s="56"/>
      <c r="MZ263" s="55">
        <f t="shared" si="1862"/>
        <v>46244</v>
      </c>
      <c r="NA263" s="56"/>
      <c r="NB263" s="242">
        <f>SUMPRODUCT(PRODUCE!$B264:$DY264,PRODUCE!$EB$47:$IY$47)</f>
        <v>0</v>
      </c>
      <c r="NC263" s="56"/>
      <c r="ND263" s="242">
        <f t="shared" si="1863"/>
        <v>0</v>
      </c>
      <c r="NE263" s="242">
        <f t="shared" si="1864"/>
        <v>0</v>
      </c>
      <c r="NF263" s="56"/>
      <c r="NI263" s="55">
        <f t="shared" si="1865"/>
        <v>46244</v>
      </c>
      <c r="NJ263" s="56"/>
      <c r="NK263" s="242">
        <f>SUMPRODUCT(PRODUCE!$B264:$DY264,PRODUCE!$EB$48:$IY$48)</f>
        <v>0</v>
      </c>
      <c r="NL263" s="56"/>
      <c r="NM263" s="242">
        <f t="shared" si="1866"/>
        <v>0</v>
      </c>
      <c r="NN263" s="242">
        <f t="shared" si="1867"/>
        <v>1127</v>
      </c>
      <c r="NO263" s="56"/>
      <c r="NR263" s="55">
        <f t="shared" si="1868"/>
        <v>46244</v>
      </c>
      <c r="NS263" s="56"/>
      <c r="NT263" s="242">
        <f>SUMPRODUCT(PRODUCE!$B264:$DY264,PRODUCE!$EB$49:$IY$49)</f>
        <v>0</v>
      </c>
      <c r="NU263" s="56"/>
      <c r="NV263" s="242">
        <f t="shared" si="1869"/>
        <v>0</v>
      </c>
      <c r="NW263" s="242">
        <f t="shared" si="1870"/>
        <v>3111.9999999999995</v>
      </c>
      <c r="NX263" s="56"/>
      <c r="OA263" s="55">
        <f t="shared" si="1871"/>
        <v>46244</v>
      </c>
      <c r="OB263" s="56"/>
      <c r="OC263" s="242">
        <f>SUMPRODUCT(PRODUCE!$B264:$DY264,PRODUCE!$EB$50:$IY$50)</f>
        <v>0</v>
      </c>
      <c r="OD263" s="56"/>
      <c r="OE263" s="242">
        <f t="shared" si="1872"/>
        <v>0</v>
      </c>
      <c r="OF263" s="242">
        <f t="shared" si="1873"/>
        <v>1680.5</v>
      </c>
      <c r="OG263" s="56"/>
      <c r="OJ263" s="55">
        <f t="shared" si="1874"/>
        <v>46244</v>
      </c>
      <c r="OK263" s="56"/>
      <c r="OL263" s="242">
        <f>SUMPRODUCT(PRODUCE!$B264:$DY264,PRODUCE!$EB$51:$IY$51)</f>
        <v>0</v>
      </c>
      <c r="OM263" s="56"/>
      <c r="ON263" s="242">
        <f t="shared" si="1875"/>
        <v>0</v>
      </c>
      <c r="OO263" s="242">
        <f t="shared" si="1876"/>
        <v>0</v>
      </c>
      <c r="OP263" s="56"/>
      <c r="OS263" s="55">
        <f t="shared" si="1877"/>
        <v>46244</v>
      </c>
      <c r="OT263" s="56"/>
      <c r="OU263" s="242">
        <f>SUMPRODUCT(PRODUCE!$B264:$DY264,PRODUCE!$EB$52:$IY$52)</f>
        <v>0</v>
      </c>
      <c r="OV263" s="56"/>
      <c r="OW263" s="242">
        <f t="shared" si="1878"/>
        <v>0</v>
      </c>
      <c r="OX263" s="242">
        <f t="shared" si="1879"/>
        <v>1482</v>
      </c>
      <c r="OY263" s="56"/>
      <c r="PB263" s="55">
        <f t="shared" si="1880"/>
        <v>46244</v>
      </c>
      <c r="PC263" s="56"/>
      <c r="PD263" s="242">
        <f>SUMPRODUCT(PRODUCE!$B264:$DY264,PRODUCE!$EB$53:$IY$53)</f>
        <v>0</v>
      </c>
      <c r="PE263" s="56"/>
      <c r="PF263" s="242">
        <f t="shared" si="1881"/>
        <v>0</v>
      </c>
      <c r="PG263" s="242">
        <f t="shared" si="1882"/>
        <v>0</v>
      </c>
      <c r="PH263" s="56"/>
      <c r="PK263" s="55">
        <f t="shared" si="1883"/>
        <v>46244</v>
      </c>
      <c r="PL263" s="56"/>
      <c r="PM263" s="242">
        <f>SUMPRODUCT(PRODUCE!$B264:$DY264,PRODUCE!$EB$54:$IY$54)</f>
        <v>0</v>
      </c>
      <c r="PN263" s="56"/>
      <c r="PO263" s="242">
        <f t="shared" si="1884"/>
        <v>0</v>
      </c>
      <c r="PP263" s="242">
        <f t="shared" si="1885"/>
        <v>100</v>
      </c>
      <c r="PQ263" s="56"/>
      <c r="PT263" s="55">
        <f t="shared" si="1886"/>
        <v>46244</v>
      </c>
      <c r="PU263" s="56"/>
      <c r="PV263" s="242">
        <f>SUMPRODUCT(PRODUCE!$B264:$DY264,PRODUCE!$EB$55:$IY$55)</f>
        <v>0</v>
      </c>
      <c r="PW263" s="56"/>
      <c r="PX263" s="242">
        <f t="shared" si="1887"/>
        <v>0</v>
      </c>
      <c r="PY263" s="242">
        <f t="shared" si="1888"/>
        <v>13.960000000000036</v>
      </c>
      <c r="PZ263" s="56"/>
      <c r="QC263" s="55">
        <f t="shared" si="1889"/>
        <v>46244</v>
      </c>
      <c r="QD263" s="56"/>
      <c r="QE263" s="242">
        <f>SUMPRODUCT(PRODUCE!$B264:$DY264,PRODUCE!$EB$56:$IY$56)</f>
        <v>0</v>
      </c>
      <c r="QF263" s="56"/>
      <c r="QG263" s="242">
        <f t="shared" si="1890"/>
        <v>0</v>
      </c>
      <c r="QH263" s="242">
        <f t="shared" si="1891"/>
        <v>948</v>
      </c>
      <c r="QI263" s="56"/>
      <c r="QL263" s="55">
        <f t="shared" si="1892"/>
        <v>46244</v>
      </c>
      <c r="QM263" s="56"/>
      <c r="QN263" s="242">
        <f>SUMPRODUCT(PRODUCE!$B264:$DY264,PRODUCE!$EB$57:$IY$57)</f>
        <v>0</v>
      </c>
      <c r="QO263" s="56"/>
      <c r="QP263" s="242">
        <f t="shared" si="1893"/>
        <v>0</v>
      </c>
      <c r="QQ263" s="242">
        <f t="shared" si="1894"/>
        <v>0</v>
      </c>
      <c r="QR263" s="56"/>
      <c r="QU263" s="55">
        <f t="shared" si="1895"/>
        <v>46244</v>
      </c>
      <c r="QV263" s="56"/>
      <c r="QW263" s="242">
        <f>SUMPRODUCT(PRODUCE!$B264:$DY264,PRODUCE!$EB$57:$IY$57)</f>
        <v>0</v>
      </c>
      <c r="QX263" s="56"/>
      <c r="QY263" s="242">
        <f t="shared" si="1896"/>
        <v>0</v>
      </c>
      <c r="QZ263" s="242">
        <f t="shared" si="1897"/>
        <v>207.6</v>
      </c>
      <c r="RA263" s="56"/>
      <c r="RD263" s="55">
        <f t="shared" si="1898"/>
        <v>46244</v>
      </c>
      <c r="RE263" s="56"/>
      <c r="RF263" s="242">
        <f>SUMPRODUCT(PRODUCE!$B264:$DY264,PRODUCE!$EB$58:$IY$58)</f>
        <v>0</v>
      </c>
      <c r="RG263" s="56"/>
      <c r="RH263" s="242">
        <f t="shared" si="1899"/>
        <v>0</v>
      </c>
      <c r="RI263" s="242">
        <f t="shared" si="1900"/>
        <v>147.04000000000002</v>
      </c>
      <c r="RJ263" s="56"/>
      <c r="RM263" s="55">
        <f t="shared" si="1901"/>
        <v>46244</v>
      </c>
      <c r="RN263" s="56"/>
      <c r="RO263" s="242">
        <f>SUMPRODUCT(PRODUCE!$B264:$DY264,PRODUCE!$EB$59:$IY$59)</f>
        <v>0</v>
      </c>
      <c r="RP263" s="56"/>
      <c r="RQ263" s="242">
        <f t="shared" si="1902"/>
        <v>0</v>
      </c>
      <c r="RR263" s="242">
        <f t="shared" si="1903"/>
        <v>46.8</v>
      </c>
      <c r="RS263" s="56"/>
      <c r="RV263" s="55">
        <f t="shared" si="1904"/>
        <v>46244</v>
      </c>
      <c r="RW263" s="56"/>
      <c r="RX263" s="242">
        <f>SUMPRODUCT(PRODUCE!$B264:$DY264,PRODUCE!$EB$57:$IY$57)</f>
        <v>0</v>
      </c>
      <c r="RY263" s="56"/>
      <c r="RZ263" s="242">
        <f t="shared" si="1905"/>
        <v>0</v>
      </c>
      <c r="SA263" s="242">
        <f t="shared" si="1906"/>
        <v>0</v>
      </c>
      <c r="SB263" s="56"/>
      <c r="SE263" s="55">
        <f t="shared" si="1907"/>
        <v>46244</v>
      </c>
      <c r="SF263" s="56"/>
      <c r="SG263" s="242">
        <f>SUMPRODUCT(PRODUCE!$B264:$DY264,PRODUCE!$EB$61:$IY$61)</f>
        <v>0</v>
      </c>
      <c r="SH263" s="56"/>
      <c r="SI263" s="242">
        <f t="shared" si="1908"/>
        <v>0</v>
      </c>
      <c r="SJ263" s="242">
        <f t="shared" si="1909"/>
        <v>24.200000000000003</v>
      </c>
      <c r="SK263" s="56"/>
      <c r="SN263" s="55">
        <f t="shared" si="1910"/>
        <v>46244</v>
      </c>
      <c r="SO263" s="56"/>
      <c r="SP263" s="242">
        <f>SUMPRODUCT(PRODUCE!$B264:$DY264,PRODUCE!$EB$62:$IY$62)</f>
        <v>0</v>
      </c>
      <c r="SQ263" s="56"/>
      <c r="SR263" s="242">
        <f t="shared" si="1911"/>
        <v>0</v>
      </c>
      <c r="SS263" s="242">
        <f t="shared" si="1912"/>
        <v>32</v>
      </c>
      <c r="ST263" s="56"/>
      <c r="SW263" s="55">
        <f t="shared" si="1913"/>
        <v>46244</v>
      </c>
      <c r="SX263" s="56"/>
      <c r="SY263" s="242">
        <f>SUMPRODUCT(PRODUCE!$B264:$DY264,PRODUCE!$EB$57:$IY$57)</f>
        <v>0</v>
      </c>
      <c r="SZ263" s="56"/>
      <c r="TA263" s="242">
        <f t="shared" si="1914"/>
        <v>0</v>
      </c>
      <c r="TB263" s="242">
        <f t="shared" si="1915"/>
        <v>0</v>
      </c>
      <c r="TC263" s="56"/>
      <c r="TF263" s="55">
        <f t="shared" si="1916"/>
        <v>46244</v>
      </c>
      <c r="TG263" s="56"/>
      <c r="TH263" s="242">
        <f>SUMPRODUCT(PRODUCE!$B264:$DY264,PRODUCE!$EB$57:$IY$57)</f>
        <v>0</v>
      </c>
      <c r="TI263" s="56"/>
      <c r="TJ263" s="242">
        <f t="shared" si="1917"/>
        <v>0</v>
      </c>
      <c r="TK263" s="242">
        <f t="shared" si="1918"/>
        <v>0</v>
      </c>
      <c r="TL263" s="56"/>
      <c r="TO263" s="55">
        <f t="shared" si="1919"/>
        <v>46244</v>
      </c>
      <c r="TP263" s="56"/>
      <c r="TQ263" s="242">
        <f>SUMPRODUCT(PRODUCE!$B264:$DY264,PRODUCE!$EB$57:$IY$57)</f>
        <v>0</v>
      </c>
      <c r="TR263" s="56"/>
      <c r="TS263" s="242">
        <f t="shared" si="1920"/>
        <v>0</v>
      </c>
      <c r="TT263" s="242">
        <f t="shared" si="1921"/>
        <v>0</v>
      </c>
      <c r="TU263" s="56"/>
      <c r="TX263" s="55">
        <f t="shared" si="1922"/>
        <v>46244</v>
      </c>
      <c r="TY263" s="56"/>
      <c r="TZ263" s="242">
        <f>SUMPRODUCT(PRODUCE!$B264:$DY264,PRODUCE!$EB$57:$IY$57)</f>
        <v>0</v>
      </c>
      <c r="UA263" s="56"/>
      <c r="UB263" s="242">
        <f t="shared" si="1923"/>
        <v>0</v>
      </c>
      <c r="UC263" s="242">
        <f t="shared" si="1924"/>
        <v>46.799999999999983</v>
      </c>
      <c r="UD263" s="56"/>
      <c r="UG263" s="55">
        <f t="shared" si="1925"/>
        <v>46244</v>
      </c>
      <c r="UH263" s="56"/>
      <c r="UI263" s="242">
        <f>SUMPRODUCT(PRODUCE!$B264:$DY264,PRODUCE!$EB$57:$IY$57)</f>
        <v>0</v>
      </c>
      <c r="UJ263" s="56"/>
      <c r="UK263" s="242">
        <f t="shared" si="1926"/>
        <v>0</v>
      </c>
      <c r="UL263" s="242">
        <f t="shared" si="1927"/>
        <v>204</v>
      </c>
      <c r="UM263" s="56"/>
      <c r="UP263" s="55">
        <f t="shared" si="1928"/>
        <v>46244</v>
      </c>
      <c r="UQ263" s="56"/>
      <c r="UR263" s="242">
        <f>SUMPRODUCT(PRODUCE!$B264:$DY264,PRODUCE!$EB$57:$IY$57)</f>
        <v>0</v>
      </c>
      <c r="US263" s="56"/>
      <c r="UT263" s="242">
        <f t="shared" si="1929"/>
        <v>0</v>
      </c>
      <c r="UU263" s="242">
        <f t="shared" si="1930"/>
        <v>202.5</v>
      </c>
      <c r="UV263" s="56"/>
      <c r="UY263" s="55">
        <f t="shared" si="1931"/>
        <v>46244</v>
      </c>
      <c r="UZ263" s="56"/>
      <c r="VA263" s="242">
        <f>SUMPRODUCT(PRODUCE!$B264:$DY264,PRODUCE!$EB$57:$IY$57)</f>
        <v>0</v>
      </c>
      <c r="VB263" s="56"/>
      <c r="VC263" s="242">
        <f t="shared" si="1932"/>
        <v>0</v>
      </c>
      <c r="VD263" s="242">
        <f t="shared" si="1933"/>
        <v>41.600000000000023</v>
      </c>
      <c r="VE263" s="56"/>
      <c r="VH263" s="55">
        <f t="shared" si="1934"/>
        <v>46244</v>
      </c>
      <c r="VI263" s="56"/>
      <c r="VJ263" s="242">
        <f>SUMPRODUCT(PRODUCE!$B264:$DY264,PRODUCE!$EB$57:$IY$57)</f>
        <v>0</v>
      </c>
      <c r="VK263" s="56"/>
      <c r="VL263" s="242">
        <f t="shared" si="1935"/>
        <v>0</v>
      </c>
      <c r="VM263" s="242">
        <f t="shared" si="1936"/>
        <v>210</v>
      </c>
      <c r="VN263" s="56"/>
      <c r="VQ263" s="55">
        <f t="shared" si="1937"/>
        <v>46244</v>
      </c>
      <c r="VR263" s="56"/>
      <c r="VS263" s="242">
        <f>SUMPRODUCT(PRODUCE!$B264:$DY264,PRODUCE!$EB$57:$IY$57)</f>
        <v>0</v>
      </c>
      <c r="VT263" s="56"/>
      <c r="VU263" s="242">
        <f t="shared" si="1938"/>
        <v>0</v>
      </c>
      <c r="VV263" s="242">
        <f t="shared" si="1939"/>
        <v>0</v>
      </c>
      <c r="VW263" s="56"/>
      <c r="VZ263" s="55">
        <f t="shared" si="1940"/>
        <v>46244</v>
      </c>
      <c r="WA263" s="56"/>
      <c r="WB263" s="242">
        <f>SUMPRODUCT(PRODUCE!$B264:$DY264,PRODUCE!$EB$57:$IY$57)</f>
        <v>0</v>
      </c>
      <c r="WC263" s="56"/>
      <c r="WD263" s="242">
        <f t="shared" si="1941"/>
        <v>0</v>
      </c>
      <c r="WE263" s="242">
        <f t="shared" si="1942"/>
        <v>0</v>
      </c>
      <c r="WF263" s="56"/>
      <c r="WI263" s="55">
        <f t="shared" si="1943"/>
        <v>46244</v>
      </c>
      <c r="WJ263" s="56"/>
      <c r="WK263" s="242">
        <f>SUMPRODUCT(PRODUCE!$B264:$DY264,PRODUCE!$EB$57:$IY$57)</f>
        <v>0</v>
      </c>
      <c r="WL263" s="56"/>
      <c r="WM263" s="242">
        <f t="shared" si="1944"/>
        <v>0</v>
      </c>
      <c r="WN263" s="242">
        <f t="shared" si="1945"/>
        <v>1057</v>
      </c>
      <c r="WO263" s="56"/>
      <c r="WR263" s="55">
        <f t="shared" si="1946"/>
        <v>46244</v>
      </c>
      <c r="WS263" s="56"/>
      <c r="WT263" s="242">
        <f>SUMPRODUCT(PRODUCE!$B264:$DY264,PRODUCE!$EB$57:$IY$57)</f>
        <v>0</v>
      </c>
      <c r="WU263" s="56"/>
      <c r="WV263" s="242">
        <f t="shared" si="1947"/>
        <v>0</v>
      </c>
      <c r="WW263" s="242">
        <f t="shared" si="1948"/>
        <v>0</v>
      </c>
      <c r="WX263" s="56"/>
      <c r="XA263" s="55">
        <f t="shared" si="1949"/>
        <v>46244</v>
      </c>
      <c r="XB263" s="56"/>
      <c r="XC263" s="242">
        <f>SUMPRODUCT(PRODUCE!$B264:$DY264,PRODUCE!$EB$57:$IY$57)</f>
        <v>0</v>
      </c>
      <c r="XD263" s="56"/>
      <c r="XE263" s="242">
        <f t="shared" si="1950"/>
        <v>0</v>
      </c>
      <c r="XF263" s="242">
        <f t="shared" si="1951"/>
        <v>7507</v>
      </c>
      <c r="XG263" s="56"/>
      <c r="XJ263" s="55">
        <f t="shared" si="1952"/>
        <v>46244</v>
      </c>
      <c r="XK263" s="56"/>
      <c r="XL263" s="242">
        <f>SUMPRODUCT(PRODUCE!$B264:$DY264,PRODUCE!$EB$57:$IY$57)</f>
        <v>0</v>
      </c>
      <c r="XM263" s="56"/>
      <c r="XN263" s="242">
        <f t="shared" si="1953"/>
        <v>0</v>
      </c>
      <c r="XO263" s="242">
        <f t="shared" si="1954"/>
        <v>4252</v>
      </c>
      <c r="XP263" s="56"/>
      <c r="XS263" s="55">
        <f t="shared" si="1955"/>
        <v>46244</v>
      </c>
      <c r="XT263" s="56"/>
      <c r="XU263" s="242">
        <f>SUMPRODUCT(PRODUCE!$B264:$DY264,PRODUCE!$EB$57:$IY$57)</f>
        <v>0</v>
      </c>
      <c r="XV263" s="56"/>
      <c r="XW263" s="242">
        <f t="shared" si="1956"/>
        <v>0</v>
      </c>
      <c r="XX263" s="242">
        <f t="shared" si="1957"/>
        <v>2179</v>
      </c>
      <c r="XY263" s="56"/>
      <c r="YB263" s="55">
        <f t="shared" si="1958"/>
        <v>46244</v>
      </c>
      <c r="YC263" s="56"/>
      <c r="YD263" s="242">
        <f>SUMPRODUCT(PRODUCE!$B264:$DY264,PRODUCE!$EB$57:$IY$57)</f>
        <v>0</v>
      </c>
      <c r="YE263" s="56"/>
      <c r="YF263" s="242">
        <f t="shared" si="1959"/>
        <v>0</v>
      </c>
      <c r="YG263" s="242">
        <f t="shared" si="1960"/>
        <v>4019</v>
      </c>
      <c r="YH263" s="56"/>
      <c r="YK263" s="55">
        <f t="shared" si="1961"/>
        <v>46244</v>
      </c>
      <c r="YL263" s="56"/>
      <c r="YM263" s="242">
        <f>SUMPRODUCT(PRODUCE!$B264:$DY264,PRODUCE!$EB$57:$IY$57)</f>
        <v>0</v>
      </c>
      <c r="YN263" s="56"/>
      <c r="YO263" s="242">
        <f t="shared" si="1962"/>
        <v>0</v>
      </c>
      <c r="YP263" s="242">
        <f t="shared" si="1963"/>
        <v>-218</v>
      </c>
      <c r="YQ263" s="56"/>
      <c r="YT263" s="55">
        <f t="shared" si="1964"/>
        <v>46244</v>
      </c>
      <c r="YU263" s="56"/>
      <c r="YV263" s="242">
        <f>SUMPRODUCT(PRODUCE!$B264:$DY264,PRODUCE!$EB$57:$IY$57)</f>
        <v>0</v>
      </c>
      <c r="YW263" s="56"/>
      <c r="YX263" s="242">
        <f t="shared" si="1965"/>
        <v>0</v>
      </c>
      <c r="YY263" s="242">
        <f t="shared" si="1966"/>
        <v>0</v>
      </c>
      <c r="YZ263" s="56"/>
      <c r="ZC263" s="55">
        <f t="shared" si="1967"/>
        <v>46244</v>
      </c>
      <c r="ZD263" s="56"/>
      <c r="ZE263" s="242">
        <f>SUMPRODUCT(PRODUCE!$B264:$DY264,PRODUCE!$EB$57:$IY$57)</f>
        <v>0</v>
      </c>
      <c r="ZF263" s="56"/>
      <c r="ZG263" s="242">
        <f t="shared" si="1968"/>
        <v>0</v>
      </c>
      <c r="ZH263" s="242">
        <f t="shared" si="1969"/>
        <v>0</v>
      </c>
      <c r="ZI263" s="56"/>
      <c r="ZL263" s="55">
        <f t="shared" si="1970"/>
        <v>46244</v>
      </c>
      <c r="ZM263" s="56"/>
      <c r="ZN263" s="242">
        <f>SUMPRODUCT(PRODUCE!$B264:$DY264,PRODUCE!$EB$57:$IY$57)</f>
        <v>0</v>
      </c>
      <c r="ZO263" s="56"/>
      <c r="ZP263" s="242">
        <f t="shared" si="1971"/>
        <v>0</v>
      </c>
      <c r="ZQ263" s="242">
        <f t="shared" si="1972"/>
        <v>0</v>
      </c>
      <c r="ZR263" s="56"/>
      <c r="ZU263" s="55">
        <f t="shared" si="1973"/>
        <v>46244</v>
      </c>
      <c r="ZV263" s="56"/>
      <c r="ZW263" s="242">
        <f>SUMPRODUCT(PRODUCE!$B264:$DY264,PRODUCE!$EB$57:$IY$57)</f>
        <v>0</v>
      </c>
      <c r="ZX263" s="56"/>
      <c r="ZY263" s="242">
        <f t="shared" si="1974"/>
        <v>0</v>
      </c>
      <c r="ZZ263" s="242">
        <f t="shared" si="1975"/>
        <v>0</v>
      </c>
      <c r="AAA263" s="56"/>
      <c r="AAD263" s="55">
        <f t="shared" si="1976"/>
        <v>46244</v>
      </c>
      <c r="AAE263" s="56"/>
      <c r="AAF263" s="242">
        <f>SUMPRODUCT(PRODUCE!$B264:$DY264,PRODUCE!$EB$57:$IY$57)</f>
        <v>0</v>
      </c>
      <c r="AAG263" s="56"/>
      <c r="AAH263" s="242">
        <f t="shared" si="1977"/>
        <v>0</v>
      </c>
      <c r="AAI263" s="242">
        <f t="shared" si="1978"/>
        <v>0</v>
      </c>
      <c r="AAJ263" s="56"/>
      <c r="AAM263" s="55">
        <f t="shared" si="1979"/>
        <v>46244</v>
      </c>
      <c r="AAN263" s="56"/>
      <c r="AAO263" s="242">
        <f>SUMPRODUCT(PRODUCE!$B264:$DY264,PRODUCE!$EB$57:$IY$57)</f>
        <v>0</v>
      </c>
      <c r="AAP263" s="56"/>
      <c r="AAQ263" s="242">
        <f t="shared" si="1980"/>
        <v>0</v>
      </c>
      <c r="AAR263" s="242">
        <f t="shared" si="1981"/>
        <v>0</v>
      </c>
      <c r="AAS263" s="56"/>
      <c r="AAV263" s="55">
        <f t="shared" si="1982"/>
        <v>46244</v>
      </c>
      <c r="AAW263" s="56"/>
      <c r="AAX263" s="242">
        <f>SUMPRODUCT(PRODUCE!$B264:$DY264,PRODUCE!$EB$57:$IY$57)</f>
        <v>0</v>
      </c>
      <c r="AAY263" s="56"/>
      <c r="AAZ263" s="242">
        <f t="shared" si="1983"/>
        <v>0</v>
      </c>
      <c r="ABA263" s="242">
        <f t="shared" si="1984"/>
        <v>0</v>
      </c>
      <c r="ABB263" s="56"/>
      <c r="ABE263" s="55">
        <f t="shared" si="1985"/>
        <v>46244</v>
      </c>
      <c r="ABF263" s="56"/>
      <c r="ABG263" s="242">
        <f>SUMPRODUCT(PRODUCE!$B264:$DY264,PRODUCE!$EB$57:$IY$57)</f>
        <v>0</v>
      </c>
      <c r="ABH263" s="56"/>
      <c r="ABI263" s="242">
        <f t="shared" si="1986"/>
        <v>0</v>
      </c>
      <c r="ABJ263" s="242">
        <f t="shared" si="1987"/>
        <v>0</v>
      </c>
      <c r="ABK263" s="56"/>
    </row>
    <row r="264" spans="2:739" s="54" customFormat="1" ht="15" customHeight="1" outlineLevel="1">
      <c r="B264" s="478"/>
      <c r="C264" s="55">
        <v>46245</v>
      </c>
      <c r="D264" s="56"/>
      <c r="E264" s="57">
        <f>SUMPRODUCT(PRODUCE!$B265:$DY265,PRODUCE!$EB$7:$IY$7)</f>
        <v>16318.500000000002</v>
      </c>
      <c r="F264" s="56"/>
      <c r="G264" s="57">
        <f t="shared" si="1743"/>
        <v>16318.500000000002</v>
      </c>
      <c r="H264" s="57">
        <f t="shared" si="1744"/>
        <v>201934.6</v>
      </c>
      <c r="I264" s="289"/>
      <c r="L264" s="55">
        <f t="shared" si="1745"/>
        <v>46245</v>
      </c>
      <c r="M264" s="56"/>
      <c r="N264" s="59">
        <f>SUMPRODUCT(PRODUCE!$B265:$DY265,PRODUCE!$EB$8:$IY$8)</f>
        <v>8925</v>
      </c>
      <c r="O264" s="56"/>
      <c r="P264" s="59">
        <f t="shared" si="1746"/>
        <v>8925</v>
      </c>
      <c r="Q264" s="59">
        <f t="shared" si="1747"/>
        <v>53017.600000000071</v>
      </c>
      <c r="R264" s="56"/>
      <c r="U264" s="55">
        <f t="shared" si="1748"/>
        <v>46245</v>
      </c>
      <c r="V264" s="56"/>
      <c r="W264" s="60">
        <f>SUMPRODUCT(PRODUCE!$B265:$DY265,PRODUCE!$EB$9:$IY$9)</f>
        <v>1800</v>
      </c>
      <c r="X264" s="56"/>
      <c r="Y264" s="60">
        <f t="shared" si="1749"/>
        <v>1800</v>
      </c>
      <c r="Z264" s="60">
        <f t="shared" si="1750"/>
        <v>42674.199999999968</v>
      </c>
      <c r="AA264" s="56"/>
      <c r="AD264" s="55">
        <f t="shared" si="1751"/>
        <v>46245</v>
      </c>
      <c r="AE264" s="56"/>
      <c r="AF264" s="61">
        <f>SUMPRODUCT(PRODUCE!$B265:$DY265,PRODUCE!$EB$10:$IY$10)</f>
        <v>0</v>
      </c>
      <c r="AG264" s="56"/>
      <c r="AH264" s="61">
        <f t="shared" si="1752"/>
        <v>0</v>
      </c>
      <c r="AI264" s="61">
        <f t="shared" si="1753"/>
        <v>4522.2000000000189</v>
      </c>
      <c r="AJ264" s="56"/>
      <c r="AM264" s="55">
        <f t="shared" si="1754"/>
        <v>46245</v>
      </c>
      <c r="AN264" s="422"/>
      <c r="AO264" s="444">
        <f>SUMPRODUCT(PRODUCE!$B265:$DY265,PRODUCE!$EB$11:$IY$11)</f>
        <v>0</v>
      </c>
      <c r="AP264" s="422"/>
      <c r="AQ264" s="444">
        <f t="shared" si="1755"/>
        <v>0</v>
      </c>
      <c r="AR264" s="444">
        <f t="shared" si="1756"/>
        <v>0</v>
      </c>
      <c r="AS264" s="56"/>
      <c r="AV264" s="55">
        <f t="shared" si="1757"/>
        <v>46245</v>
      </c>
      <c r="AW264" s="56"/>
      <c r="AX264" s="62">
        <f>SUMPRODUCT(PRODUCE!$B265:$DY265,PRODUCE!$EB$12:$IY$12)</f>
        <v>0</v>
      </c>
      <c r="AY264" s="56"/>
      <c r="AZ264" s="62">
        <f t="shared" si="1758"/>
        <v>0</v>
      </c>
      <c r="BA264" s="62">
        <f t="shared" si="1759"/>
        <v>124.99999999999523</v>
      </c>
      <c r="BB264" s="56"/>
      <c r="BE264" s="55">
        <f t="shared" si="1760"/>
        <v>46245</v>
      </c>
      <c r="BF264" s="56"/>
      <c r="BG264" s="63">
        <f>SUMPRODUCT(PRODUCE!$B265:$DY265,PRODUCE!$EB$13:$IY$13)</f>
        <v>0</v>
      </c>
      <c r="BH264" s="56"/>
      <c r="BI264" s="63">
        <f t="shared" si="1761"/>
        <v>0</v>
      </c>
      <c r="BJ264" s="63">
        <f t="shared" si="1762"/>
        <v>26151.899999999998</v>
      </c>
      <c r="BK264" s="56"/>
      <c r="BN264" s="55">
        <f t="shared" si="1763"/>
        <v>46245</v>
      </c>
      <c r="BO264" s="56"/>
      <c r="BP264" s="64">
        <f>SUMPRODUCT(PRODUCE!$B265:$DY265,PRODUCE!$EB$14:$IY$14)</f>
        <v>150</v>
      </c>
      <c r="BQ264" s="56"/>
      <c r="BR264" s="64">
        <f t="shared" si="1764"/>
        <v>150</v>
      </c>
      <c r="BS264" s="64">
        <f t="shared" si="1765"/>
        <v>0</v>
      </c>
      <c r="BT264" s="56"/>
      <c r="BW264" s="55">
        <f t="shared" si="1766"/>
        <v>46245</v>
      </c>
      <c r="BX264" s="56"/>
      <c r="BY264" s="65">
        <f>SUMPRODUCT(PRODUCE!$B265:$DY265,PRODUCE!$EB$15:$IY$15)</f>
        <v>220.65</v>
      </c>
      <c r="BZ264" s="56">
        <v>8.7899999999999991</v>
      </c>
      <c r="CA264" s="65">
        <f t="shared" si="1767"/>
        <v>211.86</v>
      </c>
      <c r="CB264" s="65">
        <f t="shared" si="1768"/>
        <v>2160.3399999999992</v>
      </c>
      <c r="CC264" s="56"/>
      <c r="CF264" s="55">
        <f t="shared" si="1769"/>
        <v>46245</v>
      </c>
      <c r="CG264" s="56"/>
      <c r="CH264" s="66">
        <f>SUMPRODUCT(PRODUCE!$B265:$DY265,PRODUCE!$EB$16:$IY$16)</f>
        <v>0</v>
      </c>
      <c r="CI264" s="56"/>
      <c r="CJ264" s="66">
        <f t="shared" si="1770"/>
        <v>0</v>
      </c>
      <c r="CK264" s="66">
        <f t="shared" si="1771"/>
        <v>-10277.079999999998</v>
      </c>
      <c r="CL264" s="56"/>
      <c r="CO264" s="55">
        <f t="shared" si="1772"/>
        <v>46245</v>
      </c>
      <c r="CP264" s="422"/>
      <c r="CQ264" s="470">
        <f>SUMPRODUCT(PRODUCE!$B265:$DY265,PRODUCE!$EB$17:$IY$17)</f>
        <v>0</v>
      </c>
      <c r="CR264" s="422"/>
      <c r="CS264" s="470">
        <f t="shared" si="1773"/>
        <v>0</v>
      </c>
      <c r="CT264" s="470">
        <f t="shared" si="1774"/>
        <v>0</v>
      </c>
      <c r="CU264" s="56"/>
      <c r="CX264" s="55">
        <f t="shared" si="1775"/>
        <v>46245</v>
      </c>
      <c r="CY264" s="56"/>
      <c r="CZ264" s="133">
        <f>SUMPRODUCT(PRODUCE!$B265:$DY265,PRODUCE!$EB$18:$IY$18)</f>
        <v>600</v>
      </c>
      <c r="DA264" s="56"/>
      <c r="DB264" s="133">
        <f t="shared" si="1776"/>
        <v>600</v>
      </c>
      <c r="DC264" s="133">
        <f t="shared" si="1777"/>
        <v>27438.200000000012</v>
      </c>
      <c r="DD264" s="56"/>
      <c r="DG264" s="55">
        <f t="shared" si="1778"/>
        <v>46245</v>
      </c>
      <c r="DH264" s="56"/>
      <c r="DI264" s="147">
        <f>SUMPRODUCT(PRODUCE!$B265:$DY265,PRODUCE!$EB$19:$IY$19)</f>
        <v>0</v>
      </c>
      <c r="DJ264" s="56"/>
      <c r="DK264" s="147">
        <f t="shared" si="1779"/>
        <v>0</v>
      </c>
      <c r="DL264" s="147">
        <f t="shared" si="1780"/>
        <v>18782.299999999981</v>
      </c>
      <c r="DM264" s="56"/>
      <c r="DP264" s="55">
        <f t="shared" si="1781"/>
        <v>46245</v>
      </c>
      <c r="DQ264" s="56"/>
      <c r="DR264" s="57">
        <f>SUMPRODUCT(PRODUCE!$B265:$DY265,PRODUCE!$EB$20:$IY$20)</f>
        <v>0</v>
      </c>
      <c r="DS264" s="56"/>
      <c r="DT264" s="57">
        <f t="shared" si="1782"/>
        <v>0</v>
      </c>
      <c r="DU264" s="57">
        <f t="shared" si="1783"/>
        <v>5800</v>
      </c>
      <c r="DV264" s="56"/>
      <c r="DY264" s="55">
        <f t="shared" si="1784"/>
        <v>46245</v>
      </c>
      <c r="DZ264" s="56"/>
      <c r="EA264" s="157">
        <f>SUMPRODUCT(PRODUCE!$B265:$DY265,PRODUCE!$EB$21:$IY$21)</f>
        <v>0</v>
      </c>
      <c r="EB264" s="56"/>
      <c r="EC264" s="157">
        <f t="shared" si="1785"/>
        <v>0</v>
      </c>
      <c r="ED264" s="157">
        <f t="shared" si="1786"/>
        <v>0</v>
      </c>
      <c r="EE264" s="56"/>
      <c r="EH264" s="55">
        <f t="shared" si="1787"/>
        <v>46245</v>
      </c>
      <c r="EI264" s="56"/>
      <c r="EJ264" s="162">
        <f>SUMPRODUCT(PRODUCE!$B265:$DY265,PRODUCE!$EB$22:$IY$22)</f>
        <v>0</v>
      </c>
      <c r="EK264" s="56"/>
      <c r="EL264" s="162">
        <f t="shared" si="1788"/>
        <v>0</v>
      </c>
      <c r="EM264" s="162">
        <f t="shared" si="1789"/>
        <v>0</v>
      </c>
      <c r="EN264" s="56"/>
      <c r="EQ264" s="55">
        <f t="shared" si="1790"/>
        <v>46245</v>
      </c>
      <c r="ER264" s="56"/>
      <c r="ES264" s="135">
        <f>SUMPRODUCT(PRODUCE!$B265:$DY265,PRODUCE!$EB$23:$IY$23)</f>
        <v>0</v>
      </c>
      <c r="ET264" s="56"/>
      <c r="EU264" s="135">
        <f t="shared" si="1791"/>
        <v>0</v>
      </c>
      <c r="EV264" s="135">
        <f t="shared" si="1792"/>
        <v>0</v>
      </c>
      <c r="EW264" s="56"/>
      <c r="EZ264" s="55">
        <f t="shared" si="1793"/>
        <v>46245</v>
      </c>
      <c r="FA264" s="56"/>
      <c r="FB264" s="175">
        <f>SUMPRODUCT(PRODUCE!$B265:$DY265,PRODUCE!$EB$24:$IY$24)</f>
        <v>0</v>
      </c>
      <c r="FC264" s="56"/>
      <c r="FD264" s="175">
        <f t="shared" si="1794"/>
        <v>0</v>
      </c>
      <c r="FE264" s="175">
        <f t="shared" si="1795"/>
        <v>0</v>
      </c>
      <c r="FF264" s="56"/>
      <c r="FI264" s="55">
        <f t="shared" si="1796"/>
        <v>46245</v>
      </c>
      <c r="FJ264" s="56"/>
      <c r="FK264" s="183">
        <f>SUMPRODUCT(PRODUCE!$B265:$DY265,PRODUCE!$EB$25:$IY$25)</f>
        <v>0</v>
      </c>
      <c r="FL264" s="56"/>
      <c r="FM264" s="183">
        <f t="shared" si="1797"/>
        <v>0</v>
      </c>
      <c r="FN264" s="183">
        <f t="shared" si="1798"/>
        <v>0</v>
      </c>
      <c r="FO264" s="56"/>
      <c r="FR264" s="55">
        <f t="shared" si="1799"/>
        <v>46245</v>
      </c>
      <c r="FS264" s="56"/>
      <c r="FT264" s="186">
        <f>SUMPRODUCT(PRODUCE!$B265:$DY265,PRODUCE!$EB$26:$IY$26)</f>
        <v>0</v>
      </c>
      <c r="FU264" s="56"/>
      <c r="FV264" s="186">
        <f t="shared" si="1800"/>
        <v>0</v>
      </c>
      <c r="FW264" s="186">
        <f t="shared" si="1801"/>
        <v>20</v>
      </c>
      <c r="FX264" s="56"/>
      <c r="GA264" s="55">
        <f t="shared" si="1802"/>
        <v>46245</v>
      </c>
      <c r="GB264" s="56"/>
      <c r="GC264" s="137">
        <f>SUMPRODUCT(PRODUCE!$B265:$DY265,PRODUCE!$EB$27:$IY$27)</f>
        <v>0</v>
      </c>
      <c r="GD264" s="56"/>
      <c r="GE264" s="137">
        <f t="shared" si="1803"/>
        <v>0</v>
      </c>
      <c r="GF264" s="137">
        <f t="shared" si="1804"/>
        <v>960</v>
      </c>
      <c r="GG264" s="56"/>
      <c r="GI264" s="23"/>
      <c r="GJ264" s="55">
        <f t="shared" si="1805"/>
        <v>46245</v>
      </c>
      <c r="GK264" s="56"/>
      <c r="GL264" s="199">
        <f>SUMPRODUCT(PRODUCE!$B265:$DY265,PRODUCE!$EB$28:$IY$28)</f>
        <v>0</v>
      </c>
      <c r="GM264" s="56"/>
      <c r="GN264" s="199">
        <f t="shared" si="1806"/>
        <v>0</v>
      </c>
      <c r="GO264" s="199">
        <f t="shared" si="1807"/>
        <v>1760</v>
      </c>
      <c r="GP264" s="56"/>
      <c r="GS264" s="55">
        <f t="shared" si="1808"/>
        <v>46245</v>
      </c>
      <c r="GT264" s="56"/>
      <c r="GU264" s="195">
        <f>SUMPRODUCT(PRODUCE!$B265:$DY265,PRODUCE!$EB$29:$IY$29)</f>
        <v>0</v>
      </c>
      <c r="GV264" s="56"/>
      <c r="GW264" s="195">
        <f t="shared" si="1809"/>
        <v>0</v>
      </c>
      <c r="GX264" s="195">
        <f t="shared" si="1810"/>
        <v>400</v>
      </c>
      <c r="GY264" s="56"/>
      <c r="HB264" s="55">
        <f t="shared" si="1811"/>
        <v>46245</v>
      </c>
      <c r="HC264" s="56"/>
      <c r="HD264" s="191">
        <f>SUMPRODUCT(PRODUCE!$B265:$DY265,PRODUCE!$EB$30:$IY$30)</f>
        <v>0</v>
      </c>
      <c r="HE264" s="56"/>
      <c r="HF264" s="191">
        <f t="shared" si="1812"/>
        <v>0</v>
      </c>
      <c r="HG264" s="191">
        <f t="shared" si="1813"/>
        <v>3600</v>
      </c>
      <c r="HH264" s="56"/>
      <c r="HK264" s="55">
        <f t="shared" si="1814"/>
        <v>46245</v>
      </c>
      <c r="HL264" s="56"/>
      <c r="HM264" s="63">
        <f>SUMPRODUCT(PRODUCE!$B265:$DY265,PRODUCE!$EB$31:$IY$31)</f>
        <v>0</v>
      </c>
      <c r="HN264" s="56"/>
      <c r="HO264" s="63">
        <f t="shared" si="1815"/>
        <v>0</v>
      </c>
      <c r="HP264" s="63">
        <f t="shared" si="1816"/>
        <v>0</v>
      </c>
      <c r="HQ264" s="56"/>
      <c r="HU264" s="55">
        <f t="shared" si="1817"/>
        <v>46245</v>
      </c>
      <c r="HV264" s="56"/>
      <c r="HW264" s="242">
        <f>SUMPRODUCT(PRODUCE!$B265:$DY265,PRODUCE!$EB$32:$IY$32)</f>
        <v>0</v>
      </c>
      <c r="HX264" s="56"/>
      <c r="HY264" s="242">
        <f t="shared" si="1818"/>
        <v>0</v>
      </c>
      <c r="HZ264" s="242">
        <f t="shared" si="1819"/>
        <v>5120</v>
      </c>
      <c r="IA264" s="56"/>
      <c r="ID264" s="55">
        <f t="shared" si="1820"/>
        <v>46245</v>
      </c>
      <c r="IE264" s="56"/>
      <c r="IF264" s="242">
        <f>SUMPRODUCT(PRODUCE!$B265:$DY265,PRODUCE!$EB$33:$IY$33)</f>
        <v>0</v>
      </c>
      <c r="IG264" s="56"/>
      <c r="IH264" s="242">
        <f t="shared" si="1821"/>
        <v>0</v>
      </c>
      <c r="II264" s="242">
        <f t="shared" si="1822"/>
        <v>720</v>
      </c>
      <c r="IJ264" s="56"/>
      <c r="IM264" s="55">
        <f t="shared" si="1823"/>
        <v>46245</v>
      </c>
      <c r="IN264" s="56"/>
      <c r="IO264" s="242">
        <f>SUMPRODUCT(PRODUCE!$B265:$DY265,PRODUCE!$EB$34:$IY$34)</f>
        <v>0</v>
      </c>
      <c r="IP264" s="56"/>
      <c r="IQ264" s="242">
        <f t="shared" si="1824"/>
        <v>0</v>
      </c>
      <c r="IR264" s="242">
        <f t="shared" si="1825"/>
        <v>0</v>
      </c>
      <c r="IS264" s="56"/>
      <c r="IV264" s="55">
        <f t="shared" si="1826"/>
        <v>46245</v>
      </c>
      <c r="IW264" s="56"/>
      <c r="IX264" s="242">
        <f>SUMPRODUCT(PRODUCE!$B265:$DY265,PRODUCE!$EB$35:$IY$35)</f>
        <v>0</v>
      </c>
      <c r="IY264" s="56"/>
      <c r="IZ264" s="242">
        <f t="shared" si="1827"/>
        <v>0</v>
      </c>
      <c r="JA264" s="242">
        <f t="shared" si="1828"/>
        <v>4960</v>
      </c>
      <c r="JB264" s="56"/>
      <c r="JE264" s="55">
        <f t="shared" si="1829"/>
        <v>46245</v>
      </c>
      <c r="JF264" s="56"/>
      <c r="JG264" s="242">
        <f>SUMPRODUCT(PRODUCE!$B265:$DY265,PRODUCE!$EB$36:$IY$36)</f>
        <v>0</v>
      </c>
      <c r="JH264" s="56"/>
      <c r="JI264" s="242">
        <f t="shared" si="1830"/>
        <v>0</v>
      </c>
      <c r="JJ264" s="242">
        <f t="shared" si="1831"/>
        <v>0</v>
      </c>
      <c r="JK264" s="56"/>
      <c r="JN264" s="55">
        <f t="shared" si="1832"/>
        <v>46245</v>
      </c>
      <c r="JO264" s="56"/>
      <c r="JP264" s="242">
        <f>SUMPRODUCT(PRODUCE!$B265:$DY265,PRODUCE!$EB$37:$IY$37)</f>
        <v>0</v>
      </c>
      <c r="JQ264" s="56"/>
      <c r="JR264" s="242">
        <f t="shared" si="1833"/>
        <v>0</v>
      </c>
      <c r="JS264" s="242">
        <f t="shared" si="1834"/>
        <v>0</v>
      </c>
      <c r="JT264" s="56"/>
      <c r="JW264" s="55">
        <f t="shared" si="1835"/>
        <v>46245</v>
      </c>
      <c r="JX264" s="56"/>
      <c r="JY264" s="242">
        <f>SUMPRODUCT(PRODUCE!$B265:$DY265,PRODUCE!$EB$38:$IY$38)</f>
        <v>0</v>
      </c>
      <c r="JZ264" s="56"/>
      <c r="KA264" s="242">
        <f t="shared" si="1836"/>
        <v>0</v>
      </c>
      <c r="KB264" s="242">
        <f t="shared" si="1837"/>
        <v>2540</v>
      </c>
      <c r="KC264" s="56"/>
      <c r="KF264" s="55">
        <f t="shared" si="1838"/>
        <v>46245</v>
      </c>
      <c r="KG264" s="56"/>
      <c r="KH264" s="242">
        <f>SUMPRODUCT(PRODUCE!$B265:$DY265,PRODUCE!$EB$39:$IY$39)</f>
        <v>0</v>
      </c>
      <c r="KI264" s="56"/>
      <c r="KJ264" s="242">
        <f t="shared" si="1839"/>
        <v>0</v>
      </c>
      <c r="KK264" s="242">
        <f t="shared" si="1840"/>
        <v>2359.5</v>
      </c>
      <c r="KL264" s="56"/>
      <c r="KO264" s="55">
        <f t="shared" si="1841"/>
        <v>46245</v>
      </c>
      <c r="KP264" s="56"/>
      <c r="KQ264" s="242">
        <f>SUMPRODUCT(PRODUCE!$B265:$DY265,PRODUCE!$EB$40:$IY$40)</f>
        <v>0</v>
      </c>
      <c r="KR264" s="56"/>
      <c r="KS264" s="242">
        <f t="shared" si="1842"/>
        <v>0</v>
      </c>
      <c r="KT264" s="242">
        <f t="shared" si="1843"/>
        <v>1890</v>
      </c>
      <c r="KU264" s="56"/>
      <c r="KW264" s="23"/>
      <c r="KX264" s="55">
        <f t="shared" si="1844"/>
        <v>46245</v>
      </c>
      <c r="KY264" s="56"/>
      <c r="KZ264" s="242">
        <f>SUMPRODUCT(PRODUCE!$B265:$DY265,PRODUCE!$EB$41:$IY$41)</f>
        <v>0</v>
      </c>
      <c r="LA264" s="56"/>
      <c r="LB264" s="242">
        <f t="shared" si="1845"/>
        <v>0</v>
      </c>
      <c r="LC264" s="242">
        <f t="shared" si="1846"/>
        <v>3690</v>
      </c>
      <c r="LD264" s="56"/>
      <c r="LG264" s="55">
        <f t="shared" si="1847"/>
        <v>46245</v>
      </c>
      <c r="LH264" s="56"/>
      <c r="LI264" s="242">
        <f>SUMPRODUCT(PRODUCE!$B265:$DY265,PRODUCE!$EB$42:$IY$42)</f>
        <v>0</v>
      </c>
      <c r="LJ264" s="56"/>
      <c r="LK264" s="242">
        <f t="shared" si="1848"/>
        <v>0</v>
      </c>
      <c r="LL264" s="242">
        <f t="shared" si="1849"/>
        <v>4000</v>
      </c>
      <c r="LM264" s="56"/>
      <c r="LP264" s="55">
        <f t="shared" si="1850"/>
        <v>46245</v>
      </c>
      <c r="LQ264" s="56"/>
      <c r="LR264" s="242">
        <f>SUMPRODUCT(PRODUCE!$B279:$DY279,PRODUCE!$EB$43:$IY$43)</f>
        <v>0</v>
      </c>
      <c r="LS264" s="56"/>
      <c r="LT264" s="242">
        <f t="shared" si="1851"/>
        <v>0</v>
      </c>
      <c r="LU264" s="242">
        <f t="shared" si="1852"/>
        <v>0</v>
      </c>
      <c r="LV264" s="56"/>
      <c r="LY264" s="55">
        <f t="shared" si="1853"/>
        <v>46245</v>
      </c>
      <c r="LZ264" s="56"/>
      <c r="MA264" s="242">
        <f>SUMPRODUCT(PRODUCE!$B265:$DY265,PRODUCE!$EB$44:$IY$44)</f>
        <v>0</v>
      </c>
      <c r="MB264" s="56"/>
      <c r="MC264" s="242">
        <f t="shared" si="1854"/>
        <v>0</v>
      </c>
      <c r="MD264" s="242">
        <f t="shared" si="1855"/>
        <v>0</v>
      </c>
      <c r="ME264" s="56"/>
      <c r="MH264" s="55">
        <f t="shared" si="1856"/>
        <v>46245</v>
      </c>
      <c r="MI264" s="56"/>
      <c r="MJ264" s="242">
        <f>SUMPRODUCT(PRODUCE!$B265:$DY265,PRODUCE!$EB$45:$IY$45)</f>
        <v>0</v>
      </c>
      <c r="MK264" s="56"/>
      <c r="ML264" s="242">
        <f t="shared" si="1857"/>
        <v>0</v>
      </c>
      <c r="MM264" s="242">
        <f t="shared" si="1858"/>
        <v>0</v>
      </c>
      <c r="MN264" s="56"/>
      <c r="MQ264" s="55">
        <f t="shared" si="1859"/>
        <v>46245</v>
      </c>
      <c r="MR264" s="56"/>
      <c r="MS264" s="242">
        <f>SUMPRODUCT(PRODUCE!$B265:$DY265,PRODUCE!$EB$46:$IY$46)</f>
        <v>0</v>
      </c>
      <c r="MT264" s="56">
        <v>2</v>
      </c>
      <c r="MU264" s="242">
        <f t="shared" si="1860"/>
        <v>-2</v>
      </c>
      <c r="MV264" s="242">
        <f t="shared" si="1861"/>
        <v>1931</v>
      </c>
      <c r="MW264" s="56"/>
      <c r="MZ264" s="55">
        <f t="shared" si="1862"/>
        <v>46245</v>
      </c>
      <c r="NA264" s="56"/>
      <c r="NB264" s="242">
        <f>SUMPRODUCT(PRODUCE!$B265:$DY265,PRODUCE!$EB$47:$IY$47)</f>
        <v>0</v>
      </c>
      <c r="NC264" s="56"/>
      <c r="ND264" s="242">
        <f t="shared" si="1863"/>
        <v>0</v>
      </c>
      <c r="NE264" s="242">
        <f t="shared" si="1864"/>
        <v>0</v>
      </c>
      <c r="NF264" s="56"/>
      <c r="NI264" s="55">
        <f t="shared" si="1865"/>
        <v>46245</v>
      </c>
      <c r="NJ264" s="56"/>
      <c r="NK264" s="242">
        <f>SUMPRODUCT(PRODUCE!$B265:$DY265,PRODUCE!$EB$48:$IY$48)</f>
        <v>0</v>
      </c>
      <c r="NL264" s="56"/>
      <c r="NM264" s="242">
        <f t="shared" si="1866"/>
        <v>0</v>
      </c>
      <c r="NN264" s="242">
        <f t="shared" si="1867"/>
        <v>1127</v>
      </c>
      <c r="NO264" s="56"/>
      <c r="NR264" s="55">
        <f t="shared" si="1868"/>
        <v>46245</v>
      </c>
      <c r="NS264" s="56"/>
      <c r="NT264" s="242">
        <f>SUMPRODUCT(PRODUCE!$B265:$DY265,PRODUCE!$EB$49:$IY$49)</f>
        <v>0</v>
      </c>
      <c r="NU264" s="56"/>
      <c r="NV264" s="242">
        <f t="shared" si="1869"/>
        <v>0</v>
      </c>
      <c r="NW264" s="242">
        <f t="shared" si="1870"/>
        <v>3111.9999999999995</v>
      </c>
      <c r="NX264" s="56"/>
      <c r="OA264" s="55">
        <f t="shared" si="1871"/>
        <v>46245</v>
      </c>
      <c r="OB264" s="56"/>
      <c r="OC264" s="242">
        <f>SUMPRODUCT(PRODUCE!$B265:$DY265,PRODUCE!$EB$50:$IY$50)</f>
        <v>0</v>
      </c>
      <c r="OD264" s="56"/>
      <c r="OE264" s="242">
        <f t="shared" si="1872"/>
        <v>0</v>
      </c>
      <c r="OF264" s="242">
        <f t="shared" si="1873"/>
        <v>1680.5</v>
      </c>
      <c r="OG264" s="56"/>
      <c r="OJ264" s="55">
        <f t="shared" si="1874"/>
        <v>46245</v>
      </c>
      <c r="OK264" s="56"/>
      <c r="OL264" s="242">
        <f>SUMPRODUCT(PRODUCE!$B265:$DY265,PRODUCE!$EB$51:$IY$51)</f>
        <v>0</v>
      </c>
      <c r="OM264" s="56"/>
      <c r="ON264" s="242">
        <f t="shared" si="1875"/>
        <v>0</v>
      </c>
      <c r="OO264" s="242">
        <f t="shared" si="1876"/>
        <v>0</v>
      </c>
      <c r="OP264" s="56"/>
      <c r="OS264" s="55">
        <f t="shared" si="1877"/>
        <v>46245</v>
      </c>
      <c r="OT264" s="56"/>
      <c r="OU264" s="242">
        <f>SUMPRODUCT(PRODUCE!$B265:$DY265,PRODUCE!$EB$52:$IY$52)</f>
        <v>0</v>
      </c>
      <c r="OV264" s="56"/>
      <c r="OW264" s="242">
        <f t="shared" si="1878"/>
        <v>0</v>
      </c>
      <c r="OX264" s="242">
        <f t="shared" si="1879"/>
        <v>1482</v>
      </c>
      <c r="OY264" s="56"/>
      <c r="PB264" s="55">
        <f t="shared" si="1880"/>
        <v>46245</v>
      </c>
      <c r="PC264" s="56"/>
      <c r="PD264" s="242">
        <f>SUMPRODUCT(PRODUCE!$B265:$DY265,PRODUCE!$EB$53:$IY$53)</f>
        <v>0</v>
      </c>
      <c r="PE264" s="56"/>
      <c r="PF264" s="242">
        <f t="shared" si="1881"/>
        <v>0</v>
      </c>
      <c r="PG264" s="242">
        <f t="shared" si="1882"/>
        <v>0</v>
      </c>
      <c r="PH264" s="56"/>
      <c r="PK264" s="55">
        <f t="shared" si="1883"/>
        <v>46245</v>
      </c>
      <c r="PL264" s="56"/>
      <c r="PM264" s="242">
        <f>SUMPRODUCT(PRODUCE!$B265:$DY265,PRODUCE!$EB$54:$IY$54)</f>
        <v>0</v>
      </c>
      <c r="PN264" s="56"/>
      <c r="PO264" s="242">
        <f t="shared" si="1884"/>
        <v>0</v>
      </c>
      <c r="PP264" s="242">
        <f t="shared" si="1885"/>
        <v>100</v>
      </c>
      <c r="PQ264" s="56"/>
      <c r="PT264" s="55">
        <f t="shared" si="1886"/>
        <v>46245</v>
      </c>
      <c r="PU264" s="56"/>
      <c r="PV264" s="242">
        <f>SUMPRODUCT(PRODUCE!$B265:$DY265,PRODUCE!$EB$55:$IY$55)</f>
        <v>0</v>
      </c>
      <c r="PW264" s="56"/>
      <c r="PX264" s="242">
        <f t="shared" si="1887"/>
        <v>0</v>
      </c>
      <c r="PY264" s="242">
        <f t="shared" si="1888"/>
        <v>13.960000000000036</v>
      </c>
      <c r="PZ264" s="56"/>
      <c r="QC264" s="55">
        <f t="shared" si="1889"/>
        <v>46245</v>
      </c>
      <c r="QD264" s="56"/>
      <c r="QE264" s="242">
        <f>SUMPRODUCT(PRODUCE!$B265:$DY265,PRODUCE!$EB$56:$IY$56)</f>
        <v>0</v>
      </c>
      <c r="QF264" s="56"/>
      <c r="QG264" s="242">
        <f t="shared" si="1890"/>
        <v>0</v>
      </c>
      <c r="QH264" s="242">
        <f t="shared" si="1891"/>
        <v>948</v>
      </c>
      <c r="QI264" s="56"/>
      <c r="QL264" s="55">
        <f t="shared" si="1892"/>
        <v>46245</v>
      </c>
      <c r="QM264" s="56"/>
      <c r="QN264" s="242">
        <f>SUMPRODUCT(PRODUCE!$B265:$DY265,PRODUCE!$EB$57:$IY$57)</f>
        <v>0</v>
      </c>
      <c r="QO264" s="56"/>
      <c r="QP264" s="242">
        <f t="shared" si="1893"/>
        <v>0</v>
      </c>
      <c r="QQ264" s="242">
        <f t="shared" si="1894"/>
        <v>0</v>
      </c>
      <c r="QR264" s="56"/>
      <c r="QU264" s="55">
        <f t="shared" si="1895"/>
        <v>46245</v>
      </c>
      <c r="QV264" s="56"/>
      <c r="QW264" s="242">
        <f>SUMPRODUCT(PRODUCE!$B265:$DY265,PRODUCE!$EB$57:$IY$57)</f>
        <v>0</v>
      </c>
      <c r="QX264" s="56"/>
      <c r="QY264" s="242">
        <f t="shared" si="1896"/>
        <v>0</v>
      </c>
      <c r="QZ264" s="242">
        <f t="shared" si="1897"/>
        <v>207.6</v>
      </c>
      <c r="RA264" s="56"/>
      <c r="RD264" s="55">
        <f t="shared" si="1898"/>
        <v>46245</v>
      </c>
      <c r="RE264" s="56"/>
      <c r="RF264" s="242">
        <f>SUMPRODUCT(PRODUCE!$B265:$DY265,PRODUCE!$EB$58:$IY$58)</f>
        <v>0</v>
      </c>
      <c r="RG264" s="56"/>
      <c r="RH264" s="242">
        <f t="shared" si="1899"/>
        <v>0</v>
      </c>
      <c r="RI264" s="242">
        <f t="shared" si="1900"/>
        <v>147.04000000000002</v>
      </c>
      <c r="RJ264" s="56"/>
      <c r="RM264" s="55">
        <f t="shared" si="1901"/>
        <v>46245</v>
      </c>
      <c r="RN264" s="56"/>
      <c r="RO264" s="242">
        <f>SUMPRODUCT(PRODUCE!$B265:$DY265,PRODUCE!$EB$59:$IY$59)</f>
        <v>0</v>
      </c>
      <c r="RP264" s="56"/>
      <c r="RQ264" s="242">
        <f t="shared" si="1902"/>
        <v>0</v>
      </c>
      <c r="RR264" s="242">
        <f t="shared" si="1903"/>
        <v>46.8</v>
      </c>
      <c r="RS264" s="56"/>
      <c r="RV264" s="55">
        <f t="shared" si="1904"/>
        <v>46245</v>
      </c>
      <c r="RW264" s="56"/>
      <c r="RX264" s="242">
        <f>SUMPRODUCT(PRODUCE!$B265:$DY265,PRODUCE!$EB$57:$IY$57)</f>
        <v>0</v>
      </c>
      <c r="RY264" s="56"/>
      <c r="RZ264" s="242">
        <f t="shared" si="1905"/>
        <v>0</v>
      </c>
      <c r="SA264" s="242">
        <f t="shared" si="1906"/>
        <v>0</v>
      </c>
      <c r="SB264" s="56"/>
      <c r="SE264" s="55">
        <f t="shared" si="1907"/>
        <v>46245</v>
      </c>
      <c r="SF264" s="56"/>
      <c r="SG264" s="242">
        <f>SUMPRODUCT(PRODUCE!$B265:$DY265,PRODUCE!$EB$61:$IY$61)</f>
        <v>0</v>
      </c>
      <c r="SH264" s="56"/>
      <c r="SI264" s="242">
        <f t="shared" si="1908"/>
        <v>0</v>
      </c>
      <c r="SJ264" s="242">
        <f t="shared" si="1909"/>
        <v>24.200000000000003</v>
      </c>
      <c r="SK264" s="56"/>
      <c r="SN264" s="55">
        <f t="shared" si="1910"/>
        <v>46245</v>
      </c>
      <c r="SO264" s="56"/>
      <c r="SP264" s="242">
        <f>SUMPRODUCT(PRODUCE!$B265:$DY265,PRODUCE!$EB$62:$IY$62)</f>
        <v>0</v>
      </c>
      <c r="SQ264" s="56"/>
      <c r="SR264" s="242">
        <f t="shared" si="1911"/>
        <v>0</v>
      </c>
      <c r="SS264" s="242">
        <f t="shared" si="1912"/>
        <v>32</v>
      </c>
      <c r="ST264" s="56"/>
      <c r="SW264" s="55">
        <f t="shared" si="1913"/>
        <v>46245</v>
      </c>
      <c r="SX264" s="56"/>
      <c r="SY264" s="242">
        <f>SUMPRODUCT(PRODUCE!$B265:$DY265,PRODUCE!$EB$57:$IY$57)</f>
        <v>0</v>
      </c>
      <c r="SZ264" s="56"/>
      <c r="TA264" s="242">
        <f t="shared" si="1914"/>
        <v>0</v>
      </c>
      <c r="TB264" s="242">
        <f t="shared" si="1915"/>
        <v>0</v>
      </c>
      <c r="TC264" s="56"/>
      <c r="TF264" s="55">
        <f t="shared" si="1916"/>
        <v>46245</v>
      </c>
      <c r="TG264" s="56"/>
      <c r="TH264" s="242">
        <f>SUMPRODUCT(PRODUCE!$B265:$DY265,PRODUCE!$EB$57:$IY$57)</f>
        <v>0</v>
      </c>
      <c r="TI264" s="56"/>
      <c r="TJ264" s="242">
        <f t="shared" si="1917"/>
        <v>0</v>
      </c>
      <c r="TK264" s="242">
        <f t="shared" si="1918"/>
        <v>0</v>
      </c>
      <c r="TL264" s="56"/>
      <c r="TO264" s="55">
        <f t="shared" si="1919"/>
        <v>46245</v>
      </c>
      <c r="TP264" s="56"/>
      <c r="TQ264" s="242">
        <f>SUMPRODUCT(PRODUCE!$B265:$DY265,PRODUCE!$EB$57:$IY$57)</f>
        <v>0</v>
      </c>
      <c r="TR264" s="56"/>
      <c r="TS264" s="242">
        <f t="shared" si="1920"/>
        <v>0</v>
      </c>
      <c r="TT264" s="242">
        <f t="shared" si="1921"/>
        <v>0</v>
      </c>
      <c r="TU264" s="56"/>
      <c r="TX264" s="55">
        <f t="shared" si="1922"/>
        <v>46245</v>
      </c>
      <c r="TY264" s="56"/>
      <c r="TZ264" s="242">
        <f>SUMPRODUCT(PRODUCE!$B265:$DY265,PRODUCE!$EB$57:$IY$57)</f>
        <v>0</v>
      </c>
      <c r="UA264" s="56"/>
      <c r="UB264" s="242">
        <f t="shared" si="1923"/>
        <v>0</v>
      </c>
      <c r="UC264" s="242">
        <f t="shared" si="1924"/>
        <v>46.799999999999983</v>
      </c>
      <c r="UD264" s="56"/>
      <c r="UG264" s="55">
        <f t="shared" si="1925"/>
        <v>46245</v>
      </c>
      <c r="UH264" s="56"/>
      <c r="UI264" s="242">
        <f>SUMPRODUCT(PRODUCE!$B265:$DY265,PRODUCE!$EB$57:$IY$57)</f>
        <v>0</v>
      </c>
      <c r="UJ264" s="56"/>
      <c r="UK264" s="242">
        <f t="shared" si="1926"/>
        <v>0</v>
      </c>
      <c r="UL264" s="242">
        <f t="shared" si="1927"/>
        <v>204</v>
      </c>
      <c r="UM264" s="56"/>
      <c r="UP264" s="55">
        <f t="shared" si="1928"/>
        <v>46245</v>
      </c>
      <c r="UQ264" s="56"/>
      <c r="UR264" s="242">
        <f>SUMPRODUCT(PRODUCE!$B265:$DY265,PRODUCE!$EB$57:$IY$57)</f>
        <v>0</v>
      </c>
      <c r="US264" s="56"/>
      <c r="UT264" s="242">
        <f t="shared" si="1929"/>
        <v>0</v>
      </c>
      <c r="UU264" s="242">
        <f t="shared" si="1930"/>
        <v>202.5</v>
      </c>
      <c r="UV264" s="56"/>
      <c r="UY264" s="55">
        <f t="shared" si="1931"/>
        <v>46245</v>
      </c>
      <c r="UZ264" s="56"/>
      <c r="VA264" s="242">
        <f>SUMPRODUCT(PRODUCE!$B265:$DY265,PRODUCE!$EB$57:$IY$57)</f>
        <v>0</v>
      </c>
      <c r="VB264" s="56"/>
      <c r="VC264" s="242">
        <f t="shared" si="1932"/>
        <v>0</v>
      </c>
      <c r="VD264" s="242">
        <f t="shared" si="1933"/>
        <v>41.600000000000023</v>
      </c>
      <c r="VE264" s="56"/>
      <c r="VH264" s="55">
        <f t="shared" si="1934"/>
        <v>46245</v>
      </c>
      <c r="VI264" s="56"/>
      <c r="VJ264" s="242">
        <f>SUMPRODUCT(PRODUCE!$B265:$DY265,PRODUCE!$EB$57:$IY$57)</f>
        <v>0</v>
      </c>
      <c r="VK264" s="56"/>
      <c r="VL264" s="242">
        <f t="shared" si="1935"/>
        <v>0</v>
      </c>
      <c r="VM264" s="242">
        <f t="shared" si="1936"/>
        <v>210</v>
      </c>
      <c r="VN264" s="56"/>
      <c r="VQ264" s="55">
        <f t="shared" si="1937"/>
        <v>46245</v>
      </c>
      <c r="VR264" s="56"/>
      <c r="VS264" s="242">
        <f>SUMPRODUCT(PRODUCE!$B265:$DY265,PRODUCE!$EB$57:$IY$57)</f>
        <v>0</v>
      </c>
      <c r="VT264" s="56"/>
      <c r="VU264" s="242">
        <f t="shared" si="1938"/>
        <v>0</v>
      </c>
      <c r="VV264" s="242">
        <f t="shared" si="1939"/>
        <v>0</v>
      </c>
      <c r="VW264" s="56"/>
      <c r="VZ264" s="55">
        <f t="shared" si="1940"/>
        <v>46245</v>
      </c>
      <c r="WA264" s="56"/>
      <c r="WB264" s="242">
        <f>SUMPRODUCT(PRODUCE!$B265:$DY265,PRODUCE!$EB$57:$IY$57)</f>
        <v>0</v>
      </c>
      <c r="WC264" s="56"/>
      <c r="WD264" s="242">
        <f t="shared" si="1941"/>
        <v>0</v>
      </c>
      <c r="WE264" s="242">
        <f t="shared" si="1942"/>
        <v>0</v>
      </c>
      <c r="WF264" s="56"/>
      <c r="WI264" s="55">
        <f t="shared" si="1943"/>
        <v>46245</v>
      </c>
      <c r="WJ264" s="56"/>
      <c r="WK264" s="242">
        <f>SUMPRODUCT(PRODUCE!$B265:$DY265,PRODUCE!$EB$57:$IY$57)</f>
        <v>0</v>
      </c>
      <c r="WL264" s="56"/>
      <c r="WM264" s="242">
        <f t="shared" si="1944"/>
        <v>0</v>
      </c>
      <c r="WN264" s="242">
        <f t="shared" si="1945"/>
        <v>1057</v>
      </c>
      <c r="WO264" s="56"/>
      <c r="WR264" s="55">
        <f t="shared" si="1946"/>
        <v>46245</v>
      </c>
      <c r="WS264" s="56"/>
      <c r="WT264" s="242">
        <f>SUMPRODUCT(PRODUCE!$B265:$DY265,PRODUCE!$EB$57:$IY$57)</f>
        <v>0</v>
      </c>
      <c r="WU264" s="56"/>
      <c r="WV264" s="242">
        <f t="shared" si="1947"/>
        <v>0</v>
      </c>
      <c r="WW264" s="242">
        <f t="shared" si="1948"/>
        <v>0</v>
      </c>
      <c r="WX264" s="56"/>
      <c r="XA264" s="55">
        <f t="shared" si="1949"/>
        <v>46245</v>
      </c>
      <c r="XB264" s="56"/>
      <c r="XC264" s="242">
        <f>SUMPRODUCT(PRODUCE!$B265:$DY265,PRODUCE!$EB$57:$IY$57)</f>
        <v>0</v>
      </c>
      <c r="XD264" s="56"/>
      <c r="XE264" s="242">
        <f t="shared" si="1950"/>
        <v>0</v>
      </c>
      <c r="XF264" s="242">
        <f t="shared" si="1951"/>
        <v>7507</v>
      </c>
      <c r="XG264" s="56"/>
      <c r="XJ264" s="55">
        <f t="shared" si="1952"/>
        <v>46245</v>
      </c>
      <c r="XK264" s="56"/>
      <c r="XL264" s="242">
        <f>SUMPRODUCT(PRODUCE!$B265:$DY265,PRODUCE!$EB$57:$IY$57)</f>
        <v>0</v>
      </c>
      <c r="XM264" s="56"/>
      <c r="XN264" s="242">
        <f t="shared" si="1953"/>
        <v>0</v>
      </c>
      <c r="XO264" s="242">
        <f t="shared" si="1954"/>
        <v>4252</v>
      </c>
      <c r="XP264" s="56"/>
      <c r="XS264" s="55">
        <f t="shared" si="1955"/>
        <v>46245</v>
      </c>
      <c r="XT264" s="56"/>
      <c r="XU264" s="242">
        <f>SUMPRODUCT(PRODUCE!$B265:$DY265,PRODUCE!$EB$57:$IY$57)</f>
        <v>0</v>
      </c>
      <c r="XV264" s="56"/>
      <c r="XW264" s="242">
        <f t="shared" si="1956"/>
        <v>0</v>
      </c>
      <c r="XX264" s="242">
        <f t="shared" si="1957"/>
        <v>2179</v>
      </c>
      <c r="XY264" s="56"/>
      <c r="YB264" s="55">
        <f t="shared" si="1958"/>
        <v>46245</v>
      </c>
      <c r="YC264" s="56"/>
      <c r="YD264" s="242">
        <f>SUMPRODUCT(PRODUCE!$B265:$DY265,PRODUCE!$EB$57:$IY$57)</f>
        <v>0</v>
      </c>
      <c r="YE264" s="56"/>
      <c r="YF264" s="242">
        <f t="shared" si="1959"/>
        <v>0</v>
      </c>
      <c r="YG264" s="242">
        <f t="shared" si="1960"/>
        <v>4019</v>
      </c>
      <c r="YH264" s="56"/>
      <c r="YK264" s="55">
        <f t="shared" si="1961"/>
        <v>46245</v>
      </c>
      <c r="YL264" s="56"/>
      <c r="YM264" s="242">
        <f>SUMPRODUCT(PRODUCE!$B265:$DY265,PRODUCE!$EB$57:$IY$57)</f>
        <v>0</v>
      </c>
      <c r="YN264" s="56"/>
      <c r="YO264" s="242">
        <f t="shared" si="1962"/>
        <v>0</v>
      </c>
      <c r="YP264" s="242">
        <f t="shared" si="1963"/>
        <v>-218</v>
      </c>
      <c r="YQ264" s="56"/>
      <c r="YT264" s="55">
        <f t="shared" si="1964"/>
        <v>46245</v>
      </c>
      <c r="YU264" s="56"/>
      <c r="YV264" s="242">
        <f>SUMPRODUCT(PRODUCE!$B265:$DY265,PRODUCE!$EB$57:$IY$57)</f>
        <v>0</v>
      </c>
      <c r="YW264" s="56"/>
      <c r="YX264" s="242">
        <f t="shared" si="1965"/>
        <v>0</v>
      </c>
      <c r="YY264" s="242">
        <f t="shared" si="1966"/>
        <v>0</v>
      </c>
      <c r="YZ264" s="56"/>
      <c r="ZC264" s="55">
        <f t="shared" si="1967"/>
        <v>46245</v>
      </c>
      <c r="ZD264" s="56"/>
      <c r="ZE264" s="242">
        <f>SUMPRODUCT(PRODUCE!$B265:$DY265,PRODUCE!$EB$57:$IY$57)</f>
        <v>0</v>
      </c>
      <c r="ZF264" s="56"/>
      <c r="ZG264" s="242">
        <f t="shared" si="1968"/>
        <v>0</v>
      </c>
      <c r="ZH264" s="242">
        <f t="shared" si="1969"/>
        <v>0</v>
      </c>
      <c r="ZI264" s="56"/>
      <c r="ZL264" s="55">
        <f t="shared" si="1970"/>
        <v>46245</v>
      </c>
      <c r="ZM264" s="56"/>
      <c r="ZN264" s="242">
        <f>SUMPRODUCT(PRODUCE!$B265:$DY265,PRODUCE!$EB$57:$IY$57)</f>
        <v>0</v>
      </c>
      <c r="ZO264" s="56"/>
      <c r="ZP264" s="242">
        <f t="shared" si="1971"/>
        <v>0</v>
      </c>
      <c r="ZQ264" s="242">
        <f t="shared" si="1972"/>
        <v>0</v>
      </c>
      <c r="ZR264" s="56"/>
      <c r="ZU264" s="55">
        <f t="shared" si="1973"/>
        <v>46245</v>
      </c>
      <c r="ZV264" s="56"/>
      <c r="ZW264" s="242">
        <f>SUMPRODUCT(PRODUCE!$B265:$DY265,PRODUCE!$EB$57:$IY$57)</f>
        <v>0</v>
      </c>
      <c r="ZX264" s="56"/>
      <c r="ZY264" s="242">
        <f t="shared" si="1974"/>
        <v>0</v>
      </c>
      <c r="ZZ264" s="242">
        <f t="shared" si="1975"/>
        <v>0</v>
      </c>
      <c r="AAA264" s="56"/>
      <c r="AAD264" s="55">
        <f t="shared" si="1976"/>
        <v>46245</v>
      </c>
      <c r="AAE264" s="56"/>
      <c r="AAF264" s="242">
        <f>SUMPRODUCT(PRODUCE!$B265:$DY265,PRODUCE!$EB$57:$IY$57)</f>
        <v>0</v>
      </c>
      <c r="AAG264" s="56"/>
      <c r="AAH264" s="242">
        <f t="shared" si="1977"/>
        <v>0</v>
      </c>
      <c r="AAI264" s="242">
        <f t="shared" si="1978"/>
        <v>0</v>
      </c>
      <c r="AAJ264" s="56"/>
      <c r="AAM264" s="55">
        <f t="shared" si="1979"/>
        <v>46245</v>
      </c>
      <c r="AAN264" s="56"/>
      <c r="AAO264" s="242">
        <f>SUMPRODUCT(PRODUCE!$B265:$DY265,PRODUCE!$EB$57:$IY$57)</f>
        <v>0</v>
      </c>
      <c r="AAP264" s="56"/>
      <c r="AAQ264" s="242">
        <f t="shared" si="1980"/>
        <v>0</v>
      </c>
      <c r="AAR264" s="242">
        <f t="shared" si="1981"/>
        <v>0</v>
      </c>
      <c r="AAS264" s="56"/>
      <c r="AAV264" s="55">
        <f t="shared" si="1982"/>
        <v>46245</v>
      </c>
      <c r="AAW264" s="56"/>
      <c r="AAX264" s="242">
        <f>SUMPRODUCT(PRODUCE!$B265:$DY265,PRODUCE!$EB$57:$IY$57)</f>
        <v>0</v>
      </c>
      <c r="AAY264" s="56"/>
      <c r="AAZ264" s="242">
        <f t="shared" si="1983"/>
        <v>0</v>
      </c>
      <c r="ABA264" s="242">
        <f t="shared" si="1984"/>
        <v>0</v>
      </c>
      <c r="ABB264" s="56"/>
      <c r="ABE264" s="55">
        <f t="shared" si="1985"/>
        <v>46245</v>
      </c>
      <c r="ABF264" s="56"/>
      <c r="ABG264" s="242">
        <f>SUMPRODUCT(PRODUCE!$B265:$DY265,PRODUCE!$EB$57:$IY$57)</f>
        <v>0</v>
      </c>
      <c r="ABH264" s="56"/>
      <c r="ABI264" s="242">
        <f t="shared" si="1986"/>
        <v>0</v>
      </c>
      <c r="ABJ264" s="242">
        <f t="shared" si="1987"/>
        <v>0</v>
      </c>
      <c r="ABK264" s="56"/>
    </row>
    <row r="265" spans="2:739" s="54" customFormat="1" ht="15" customHeight="1" outlineLevel="1">
      <c r="B265" s="478"/>
      <c r="C265" s="55">
        <v>46246</v>
      </c>
      <c r="D265" s="56"/>
      <c r="E265" s="57">
        <f>SUMPRODUCT(PRODUCE!$B266:$DY266,PRODUCE!$EB$7:$IY$7)</f>
        <v>4306.5600000000013</v>
      </c>
      <c r="F265" s="56"/>
      <c r="G265" s="57">
        <f t="shared" si="1743"/>
        <v>4306.5600000000013</v>
      </c>
      <c r="H265" s="57">
        <f t="shared" si="1744"/>
        <v>201934.6</v>
      </c>
      <c r="I265" s="289"/>
      <c r="L265" s="55">
        <f t="shared" si="1745"/>
        <v>46246</v>
      </c>
      <c r="M265" s="56"/>
      <c r="N265" s="59">
        <f>SUMPRODUCT(PRODUCE!$B266:$DY266,PRODUCE!$EB$8:$IY$8)</f>
        <v>2284.8000000000002</v>
      </c>
      <c r="O265" s="56"/>
      <c r="P265" s="59">
        <f t="shared" si="1746"/>
        <v>2284.8000000000002</v>
      </c>
      <c r="Q265" s="59">
        <f t="shared" si="1747"/>
        <v>53017.600000000071</v>
      </c>
      <c r="R265" s="56"/>
      <c r="U265" s="55">
        <f t="shared" si="1748"/>
        <v>46246</v>
      </c>
      <c r="V265" s="56"/>
      <c r="W265" s="60">
        <f>SUMPRODUCT(PRODUCE!$B266:$DY266,PRODUCE!$EB$9:$IY$9)</f>
        <v>400</v>
      </c>
      <c r="X265" s="56"/>
      <c r="Y265" s="60">
        <f t="shared" si="1749"/>
        <v>400</v>
      </c>
      <c r="Z265" s="60">
        <f t="shared" si="1750"/>
        <v>42674.199999999968</v>
      </c>
      <c r="AA265" s="56"/>
      <c r="AD265" s="55">
        <f t="shared" si="1751"/>
        <v>46246</v>
      </c>
      <c r="AE265" s="56"/>
      <c r="AF265" s="61">
        <f>SUMPRODUCT(PRODUCE!$B266:$DY266,PRODUCE!$EB$10:$IY$10)</f>
        <v>0</v>
      </c>
      <c r="AG265" s="56"/>
      <c r="AH265" s="61">
        <f t="shared" si="1752"/>
        <v>0</v>
      </c>
      <c r="AI265" s="61">
        <f t="shared" si="1753"/>
        <v>4522.2000000000189</v>
      </c>
      <c r="AJ265" s="56"/>
      <c r="AM265" s="55">
        <f t="shared" si="1754"/>
        <v>46246</v>
      </c>
      <c r="AN265" s="422"/>
      <c r="AO265" s="444">
        <f>SUMPRODUCT(PRODUCE!$B266:$DY266,PRODUCE!$EB$11:$IY$11)</f>
        <v>0</v>
      </c>
      <c r="AP265" s="422"/>
      <c r="AQ265" s="444">
        <f t="shared" si="1755"/>
        <v>0</v>
      </c>
      <c r="AR265" s="444">
        <f t="shared" si="1756"/>
        <v>0</v>
      </c>
      <c r="AS265" s="56"/>
      <c r="AV265" s="55">
        <f t="shared" si="1757"/>
        <v>46246</v>
      </c>
      <c r="AW265" s="56"/>
      <c r="AX265" s="62">
        <f>SUMPRODUCT(PRODUCE!$B266:$DY266,PRODUCE!$EB$12:$IY$12)</f>
        <v>160</v>
      </c>
      <c r="AY265" s="56"/>
      <c r="AZ265" s="62">
        <f t="shared" si="1758"/>
        <v>160</v>
      </c>
      <c r="BA265" s="62">
        <f t="shared" si="1759"/>
        <v>124.99999999999523</v>
      </c>
      <c r="BB265" s="56"/>
      <c r="BE265" s="55">
        <f t="shared" si="1760"/>
        <v>46246</v>
      </c>
      <c r="BF265" s="56"/>
      <c r="BG265" s="63">
        <f>SUMPRODUCT(PRODUCE!$B266:$DY266,PRODUCE!$EB$13:$IY$13)</f>
        <v>120</v>
      </c>
      <c r="BH265" s="56"/>
      <c r="BI265" s="63">
        <f t="shared" si="1761"/>
        <v>120</v>
      </c>
      <c r="BJ265" s="63">
        <f t="shared" si="1762"/>
        <v>26151.899999999998</v>
      </c>
      <c r="BK265" s="56"/>
      <c r="BN265" s="55">
        <f t="shared" si="1763"/>
        <v>46246</v>
      </c>
      <c r="BO265" s="56"/>
      <c r="BP265" s="64">
        <f>SUMPRODUCT(PRODUCE!$B266:$DY266,PRODUCE!$EB$14:$IY$14)</f>
        <v>80</v>
      </c>
      <c r="BQ265" s="56"/>
      <c r="BR265" s="64">
        <f t="shared" si="1764"/>
        <v>80</v>
      </c>
      <c r="BS265" s="64">
        <f t="shared" si="1765"/>
        <v>0</v>
      </c>
      <c r="BT265" s="56"/>
      <c r="BW265" s="55">
        <f t="shared" si="1766"/>
        <v>46246</v>
      </c>
      <c r="BX265" s="56"/>
      <c r="BY265" s="65">
        <f>SUMPRODUCT(PRODUCE!$B266:$DY266,PRODUCE!$EB$15:$IY$15)</f>
        <v>12</v>
      </c>
      <c r="BZ265" s="56">
        <f>6+57</f>
        <v>63</v>
      </c>
      <c r="CA265" s="65">
        <f t="shared" si="1767"/>
        <v>-51</v>
      </c>
      <c r="CB265" s="65">
        <f t="shared" si="1768"/>
        <v>2097.3399999999992</v>
      </c>
      <c r="CC265" s="56"/>
      <c r="CF265" s="55">
        <f t="shared" si="1769"/>
        <v>46246</v>
      </c>
      <c r="CG265" s="56"/>
      <c r="CH265" s="66">
        <f>SUMPRODUCT(PRODUCE!$B266:$DY266,PRODUCE!$EB$16:$IY$16)</f>
        <v>48.639999999999993</v>
      </c>
      <c r="CI265" s="56"/>
      <c r="CJ265" s="66">
        <f t="shared" si="1770"/>
        <v>48.639999999999993</v>
      </c>
      <c r="CK265" s="66">
        <f t="shared" si="1771"/>
        <v>-10277.079999999998</v>
      </c>
      <c r="CL265" s="56"/>
      <c r="CO265" s="55">
        <f t="shared" si="1772"/>
        <v>46246</v>
      </c>
      <c r="CP265" s="422"/>
      <c r="CQ265" s="470">
        <f>SUMPRODUCT(PRODUCE!$B266:$DY266,PRODUCE!$EB$17:$IY$17)</f>
        <v>0</v>
      </c>
      <c r="CR265" s="422"/>
      <c r="CS265" s="470">
        <f t="shared" si="1773"/>
        <v>0</v>
      </c>
      <c r="CT265" s="470">
        <f t="shared" si="1774"/>
        <v>0</v>
      </c>
      <c r="CU265" s="56"/>
      <c r="CX265" s="55">
        <f t="shared" si="1775"/>
        <v>46246</v>
      </c>
      <c r="CY265" s="56"/>
      <c r="CZ265" s="133">
        <f>SUMPRODUCT(PRODUCE!$B266:$DY266,PRODUCE!$EB$18:$IY$18)</f>
        <v>0</v>
      </c>
      <c r="DA265" s="56"/>
      <c r="DB265" s="133">
        <f t="shared" si="1776"/>
        <v>0</v>
      </c>
      <c r="DC265" s="133">
        <f t="shared" si="1777"/>
        <v>27438.200000000012</v>
      </c>
      <c r="DD265" s="56"/>
      <c r="DG265" s="55">
        <f t="shared" si="1778"/>
        <v>46246</v>
      </c>
      <c r="DH265" s="56"/>
      <c r="DI265" s="147">
        <f>SUMPRODUCT(PRODUCE!$B266:$DY266,PRODUCE!$EB$19:$IY$19)</f>
        <v>400</v>
      </c>
      <c r="DJ265" s="56"/>
      <c r="DK265" s="147">
        <f t="shared" si="1779"/>
        <v>400</v>
      </c>
      <c r="DL265" s="147">
        <f t="shared" si="1780"/>
        <v>18782.299999999981</v>
      </c>
      <c r="DM265" s="56"/>
      <c r="DP265" s="55">
        <f t="shared" si="1781"/>
        <v>46246</v>
      </c>
      <c r="DQ265" s="56"/>
      <c r="DR265" s="57">
        <f>SUMPRODUCT(PRODUCE!$B266:$DY266,PRODUCE!$EB$20:$IY$20)</f>
        <v>0</v>
      </c>
      <c r="DS265" s="56"/>
      <c r="DT265" s="57">
        <f t="shared" si="1782"/>
        <v>0</v>
      </c>
      <c r="DU265" s="57">
        <f t="shared" si="1783"/>
        <v>5800</v>
      </c>
      <c r="DV265" s="56"/>
      <c r="DY265" s="55">
        <f t="shared" si="1784"/>
        <v>46246</v>
      </c>
      <c r="DZ265" s="56"/>
      <c r="EA265" s="157">
        <f>SUMPRODUCT(PRODUCE!$B266:$DY266,PRODUCE!$EB$21:$IY$21)</f>
        <v>0</v>
      </c>
      <c r="EB265" s="56"/>
      <c r="EC265" s="157">
        <f t="shared" si="1785"/>
        <v>0</v>
      </c>
      <c r="ED265" s="157">
        <f t="shared" si="1786"/>
        <v>0</v>
      </c>
      <c r="EE265" s="56"/>
      <c r="EH265" s="55">
        <f t="shared" si="1787"/>
        <v>46246</v>
      </c>
      <c r="EI265" s="56"/>
      <c r="EJ265" s="162">
        <f>SUMPRODUCT(PRODUCE!$B266:$DY266,PRODUCE!$EB$22:$IY$22)</f>
        <v>0</v>
      </c>
      <c r="EK265" s="56"/>
      <c r="EL265" s="162">
        <f t="shared" si="1788"/>
        <v>0</v>
      </c>
      <c r="EM265" s="162">
        <f t="shared" si="1789"/>
        <v>0</v>
      </c>
      <c r="EN265" s="56"/>
      <c r="EQ265" s="55">
        <f t="shared" si="1790"/>
        <v>46246</v>
      </c>
      <c r="ER265" s="56"/>
      <c r="ES265" s="135">
        <f>SUMPRODUCT(PRODUCE!$B266:$DY266,PRODUCE!$EB$23:$IY$23)</f>
        <v>0</v>
      </c>
      <c r="ET265" s="56"/>
      <c r="EU265" s="135">
        <f t="shared" si="1791"/>
        <v>0</v>
      </c>
      <c r="EV265" s="135">
        <f t="shared" si="1792"/>
        <v>0</v>
      </c>
      <c r="EW265" s="56"/>
      <c r="EZ265" s="55">
        <f t="shared" si="1793"/>
        <v>46246</v>
      </c>
      <c r="FA265" s="56"/>
      <c r="FB265" s="175">
        <f>SUMPRODUCT(PRODUCE!$B266:$DY266,PRODUCE!$EB$24:$IY$24)</f>
        <v>0</v>
      </c>
      <c r="FC265" s="56"/>
      <c r="FD265" s="175">
        <f t="shared" si="1794"/>
        <v>0</v>
      </c>
      <c r="FE265" s="175">
        <f t="shared" si="1795"/>
        <v>0</v>
      </c>
      <c r="FF265" s="56"/>
      <c r="FI265" s="55">
        <f t="shared" si="1796"/>
        <v>46246</v>
      </c>
      <c r="FJ265" s="56"/>
      <c r="FK265" s="183">
        <f>SUMPRODUCT(PRODUCE!$B266:$DY266,PRODUCE!$EB$25:$IY$25)</f>
        <v>0</v>
      </c>
      <c r="FL265" s="56"/>
      <c r="FM265" s="183">
        <f t="shared" si="1797"/>
        <v>0</v>
      </c>
      <c r="FN265" s="183">
        <f t="shared" si="1798"/>
        <v>0</v>
      </c>
      <c r="FO265" s="56"/>
      <c r="FR265" s="55">
        <f t="shared" si="1799"/>
        <v>46246</v>
      </c>
      <c r="FS265" s="56"/>
      <c r="FT265" s="186">
        <f>SUMPRODUCT(PRODUCE!$B266:$DY266,PRODUCE!$EB$26:$IY$26)</f>
        <v>0</v>
      </c>
      <c r="FU265" s="56"/>
      <c r="FV265" s="186">
        <f t="shared" si="1800"/>
        <v>0</v>
      </c>
      <c r="FW265" s="186">
        <f t="shared" si="1801"/>
        <v>20</v>
      </c>
      <c r="FX265" s="56"/>
      <c r="GA265" s="55">
        <f t="shared" si="1802"/>
        <v>46246</v>
      </c>
      <c r="GB265" s="56"/>
      <c r="GC265" s="137">
        <f>SUMPRODUCT(PRODUCE!$B266:$DY266,PRODUCE!$EB$27:$IY$27)</f>
        <v>0</v>
      </c>
      <c r="GD265" s="56"/>
      <c r="GE265" s="137">
        <f t="shared" si="1803"/>
        <v>0</v>
      </c>
      <c r="GF265" s="137">
        <f t="shared" si="1804"/>
        <v>960</v>
      </c>
      <c r="GG265" s="56"/>
      <c r="GI265" s="23"/>
      <c r="GJ265" s="55">
        <f t="shared" si="1805"/>
        <v>46246</v>
      </c>
      <c r="GK265" s="56"/>
      <c r="GL265" s="199">
        <f>SUMPRODUCT(PRODUCE!$B266:$DY266,PRODUCE!$EB$28:$IY$28)</f>
        <v>0</v>
      </c>
      <c r="GM265" s="56"/>
      <c r="GN265" s="199">
        <f t="shared" si="1806"/>
        <v>0</v>
      </c>
      <c r="GO265" s="199">
        <f t="shared" si="1807"/>
        <v>1760</v>
      </c>
      <c r="GP265" s="56"/>
      <c r="GS265" s="55">
        <f t="shared" si="1808"/>
        <v>46246</v>
      </c>
      <c r="GT265" s="56"/>
      <c r="GU265" s="195">
        <f>SUMPRODUCT(PRODUCE!$B266:$DY266,PRODUCE!$EB$29:$IY$29)</f>
        <v>0</v>
      </c>
      <c r="GV265" s="56"/>
      <c r="GW265" s="195">
        <f t="shared" si="1809"/>
        <v>0</v>
      </c>
      <c r="GX265" s="195">
        <f t="shared" si="1810"/>
        <v>400</v>
      </c>
      <c r="GY265" s="56"/>
      <c r="HB265" s="55">
        <f t="shared" si="1811"/>
        <v>46246</v>
      </c>
      <c r="HC265" s="56"/>
      <c r="HD265" s="191">
        <f>SUMPRODUCT(PRODUCE!$B266:$DY266,PRODUCE!$EB$30:$IY$30)</f>
        <v>0</v>
      </c>
      <c r="HE265" s="56"/>
      <c r="HF265" s="191">
        <f t="shared" si="1812"/>
        <v>0</v>
      </c>
      <c r="HG265" s="191">
        <f t="shared" si="1813"/>
        <v>3600</v>
      </c>
      <c r="HH265" s="56"/>
      <c r="HK265" s="55">
        <f t="shared" si="1814"/>
        <v>46246</v>
      </c>
      <c r="HL265" s="56"/>
      <c r="HM265" s="63">
        <f>SUMPRODUCT(PRODUCE!$B266:$DY266,PRODUCE!$EB$31:$IY$31)</f>
        <v>0</v>
      </c>
      <c r="HN265" s="56"/>
      <c r="HO265" s="63">
        <f t="shared" si="1815"/>
        <v>0</v>
      </c>
      <c r="HP265" s="63">
        <f t="shared" si="1816"/>
        <v>0</v>
      </c>
      <c r="HQ265" s="56"/>
      <c r="HU265" s="55">
        <f t="shared" si="1817"/>
        <v>46246</v>
      </c>
      <c r="HV265" s="56"/>
      <c r="HW265" s="242">
        <f>SUMPRODUCT(PRODUCE!$B266:$DY266,PRODUCE!$EB$32:$IY$32)</f>
        <v>160</v>
      </c>
      <c r="HX265" s="56">
        <f>80+760</f>
        <v>840</v>
      </c>
      <c r="HY265" s="242">
        <f t="shared" si="1818"/>
        <v>-680</v>
      </c>
      <c r="HZ265" s="242">
        <f t="shared" si="1819"/>
        <v>4280</v>
      </c>
      <c r="IA265" s="56">
        <f t="shared" ref="IA265" si="1990">HX265/20</f>
        <v>42</v>
      </c>
      <c r="IB265" s="464" t="s">
        <v>301</v>
      </c>
      <c r="ID265" s="55">
        <f t="shared" si="1820"/>
        <v>46246</v>
      </c>
      <c r="IE265" s="56"/>
      <c r="IF265" s="242">
        <f>SUMPRODUCT(PRODUCE!$B266:$DY266,PRODUCE!$EB$33:$IY$33)</f>
        <v>0</v>
      </c>
      <c r="IG265" s="56">
        <v>660</v>
      </c>
      <c r="IH265" s="242">
        <f t="shared" si="1821"/>
        <v>-660</v>
      </c>
      <c r="II265" s="242">
        <f t="shared" si="1822"/>
        <v>60</v>
      </c>
      <c r="IJ265" s="56">
        <f>IG265/20</f>
        <v>33</v>
      </c>
      <c r="IM265" s="55">
        <f t="shared" si="1823"/>
        <v>46246</v>
      </c>
      <c r="IN265" s="56"/>
      <c r="IO265" s="242">
        <f>SUMPRODUCT(PRODUCE!$B266:$DY266,PRODUCE!$EB$34:$IY$34)</f>
        <v>0</v>
      </c>
      <c r="IP265" s="56"/>
      <c r="IQ265" s="242">
        <f t="shared" si="1824"/>
        <v>0</v>
      </c>
      <c r="IR265" s="242">
        <f t="shared" si="1825"/>
        <v>0</v>
      </c>
      <c r="IS265" s="56"/>
      <c r="IV265" s="55">
        <f t="shared" si="1826"/>
        <v>46246</v>
      </c>
      <c r="IW265" s="56"/>
      <c r="IX265" s="242">
        <f>SUMPRODUCT(PRODUCE!$B266:$DY266,PRODUCE!$EB$35:$IY$35)</f>
        <v>0</v>
      </c>
      <c r="IY265" s="56">
        <f>680+1320</f>
        <v>2000</v>
      </c>
      <c r="IZ265" s="242">
        <f t="shared" si="1827"/>
        <v>-2000</v>
      </c>
      <c r="JA265" s="242">
        <f t="shared" si="1828"/>
        <v>2960</v>
      </c>
      <c r="JB265" s="56">
        <f>IY265/20</f>
        <v>100</v>
      </c>
      <c r="JE265" s="55">
        <f t="shared" si="1829"/>
        <v>46246</v>
      </c>
      <c r="JF265" s="56"/>
      <c r="JG265" s="242">
        <f>SUMPRODUCT(PRODUCE!$B266:$DY266,PRODUCE!$EB$36:$IY$36)</f>
        <v>0</v>
      </c>
      <c r="JH265" s="56"/>
      <c r="JI265" s="242">
        <f t="shared" si="1830"/>
        <v>0</v>
      </c>
      <c r="JJ265" s="242">
        <f t="shared" si="1831"/>
        <v>0</v>
      </c>
      <c r="JK265" s="56"/>
      <c r="JN265" s="55">
        <f t="shared" si="1832"/>
        <v>46246</v>
      </c>
      <c r="JO265" s="56"/>
      <c r="JP265" s="242">
        <f>SUMPRODUCT(PRODUCE!$B266:$DY266,PRODUCE!$EB$37:$IY$37)</f>
        <v>0</v>
      </c>
      <c r="JQ265" s="56"/>
      <c r="JR265" s="242">
        <f t="shared" si="1833"/>
        <v>0</v>
      </c>
      <c r="JS265" s="242">
        <f t="shared" si="1834"/>
        <v>0</v>
      </c>
      <c r="JT265" s="56"/>
      <c r="JW265" s="55">
        <f t="shared" si="1835"/>
        <v>46246</v>
      </c>
      <c r="JX265" s="56"/>
      <c r="JY265" s="242">
        <f>SUMPRODUCT(PRODUCE!$B266:$DY266,PRODUCE!$EB$38:$IY$38)</f>
        <v>0</v>
      </c>
      <c r="JZ265" s="56"/>
      <c r="KA265" s="242">
        <f t="shared" si="1836"/>
        <v>0</v>
      </c>
      <c r="KB265" s="242">
        <f t="shared" si="1837"/>
        <v>2540</v>
      </c>
      <c r="KC265" s="56"/>
      <c r="KF265" s="55">
        <f t="shared" si="1838"/>
        <v>46246</v>
      </c>
      <c r="KG265" s="56"/>
      <c r="KH265" s="242">
        <f>SUMPRODUCT(PRODUCE!$B266:$DY266,PRODUCE!$EB$39:$IY$39)</f>
        <v>0</v>
      </c>
      <c r="KI265" s="56"/>
      <c r="KJ265" s="242">
        <f t="shared" si="1839"/>
        <v>0</v>
      </c>
      <c r="KK265" s="242">
        <f t="shared" si="1840"/>
        <v>2359.5</v>
      </c>
      <c r="KL265" s="56"/>
      <c r="KO265" s="55">
        <f t="shared" si="1841"/>
        <v>46246</v>
      </c>
      <c r="KP265" s="56"/>
      <c r="KQ265" s="242">
        <f>SUMPRODUCT(PRODUCE!$B266:$DY266,PRODUCE!$EB$40:$IY$40)</f>
        <v>0</v>
      </c>
      <c r="KR265" s="56"/>
      <c r="KS265" s="242">
        <f t="shared" si="1842"/>
        <v>0</v>
      </c>
      <c r="KT265" s="242">
        <f t="shared" si="1843"/>
        <v>1890</v>
      </c>
      <c r="KU265" s="56"/>
      <c r="KW265" s="23"/>
      <c r="KX265" s="55">
        <f t="shared" si="1844"/>
        <v>46246</v>
      </c>
      <c r="KY265" s="56"/>
      <c r="KZ265" s="242">
        <f>SUMPRODUCT(PRODUCE!$B266:$DY266,PRODUCE!$EB$41:$IY$41)</f>
        <v>0</v>
      </c>
      <c r="LA265" s="56"/>
      <c r="LB265" s="242">
        <f t="shared" si="1845"/>
        <v>0</v>
      </c>
      <c r="LC265" s="242">
        <f t="shared" si="1846"/>
        <v>3690</v>
      </c>
      <c r="LD265" s="56"/>
      <c r="LG265" s="55">
        <f t="shared" si="1847"/>
        <v>46246</v>
      </c>
      <c r="LH265" s="56"/>
      <c r="LI265" s="242">
        <f>SUMPRODUCT(PRODUCE!$B266:$DY266,PRODUCE!$EB$42:$IY$42)</f>
        <v>0</v>
      </c>
      <c r="LJ265" s="56"/>
      <c r="LK265" s="242">
        <f t="shared" si="1848"/>
        <v>0</v>
      </c>
      <c r="LL265" s="242">
        <f t="shared" si="1849"/>
        <v>4000</v>
      </c>
      <c r="LM265" s="56"/>
      <c r="LP265" s="55">
        <f t="shared" si="1850"/>
        <v>46246</v>
      </c>
      <c r="LQ265" s="56"/>
      <c r="LR265" s="242">
        <f>SUMPRODUCT(PRODUCE!$B280:$DY280,PRODUCE!$EB$43:$IY$43)</f>
        <v>0</v>
      </c>
      <c r="LS265" s="56"/>
      <c r="LT265" s="242">
        <f t="shared" si="1851"/>
        <v>0</v>
      </c>
      <c r="LU265" s="242">
        <f t="shared" si="1852"/>
        <v>0</v>
      </c>
      <c r="LV265" s="56"/>
      <c r="LY265" s="55">
        <f t="shared" si="1853"/>
        <v>46246</v>
      </c>
      <c r="LZ265" s="56"/>
      <c r="MA265" s="242">
        <f>SUMPRODUCT(PRODUCE!$B266:$DY266,PRODUCE!$EB$44:$IY$44)</f>
        <v>0</v>
      </c>
      <c r="MB265" s="56"/>
      <c r="MC265" s="242">
        <f t="shared" si="1854"/>
        <v>0</v>
      </c>
      <c r="MD265" s="242">
        <f t="shared" si="1855"/>
        <v>0</v>
      </c>
      <c r="ME265" s="56"/>
      <c r="MH265" s="55">
        <f t="shared" si="1856"/>
        <v>46246</v>
      </c>
      <c r="MI265" s="56"/>
      <c r="MJ265" s="242">
        <f>SUMPRODUCT(PRODUCE!$B266:$DY266,PRODUCE!$EB$45:$IY$45)</f>
        <v>0</v>
      </c>
      <c r="MK265" s="56"/>
      <c r="ML265" s="242">
        <f t="shared" si="1857"/>
        <v>0</v>
      </c>
      <c r="MM265" s="242">
        <f t="shared" si="1858"/>
        <v>0</v>
      </c>
      <c r="MN265" s="56"/>
      <c r="MQ265" s="55">
        <f t="shared" si="1859"/>
        <v>46246</v>
      </c>
      <c r="MR265" s="56"/>
      <c r="MS265" s="242">
        <f>SUMPRODUCT(PRODUCE!$B266:$DY266,PRODUCE!$EB$46:$IY$46)</f>
        <v>4</v>
      </c>
      <c r="MT265" s="56">
        <f>4+38+34+66</f>
        <v>142</v>
      </c>
      <c r="MU265" s="242">
        <f t="shared" si="1860"/>
        <v>-138</v>
      </c>
      <c r="MV265" s="242">
        <f t="shared" si="1861"/>
        <v>1789</v>
      </c>
      <c r="MW265" s="56"/>
      <c r="MZ265" s="55">
        <f t="shared" si="1862"/>
        <v>46246</v>
      </c>
      <c r="NA265" s="56"/>
      <c r="NB265" s="242">
        <f>SUMPRODUCT(PRODUCE!$B266:$DY266,PRODUCE!$EB$47:$IY$47)</f>
        <v>24</v>
      </c>
      <c r="NC265" s="56"/>
      <c r="ND265" s="242">
        <f t="shared" si="1863"/>
        <v>24</v>
      </c>
      <c r="NE265" s="242">
        <f t="shared" si="1864"/>
        <v>0</v>
      </c>
      <c r="NF265" s="56"/>
      <c r="NI265" s="55">
        <f t="shared" si="1865"/>
        <v>46246</v>
      </c>
      <c r="NJ265" s="56"/>
      <c r="NK265" s="242">
        <f>SUMPRODUCT(PRODUCE!$B266:$DY266,PRODUCE!$EB$48:$IY$48)</f>
        <v>0</v>
      </c>
      <c r="NL265" s="56"/>
      <c r="NM265" s="242">
        <f t="shared" si="1866"/>
        <v>0</v>
      </c>
      <c r="NN265" s="242">
        <f t="shared" si="1867"/>
        <v>1127</v>
      </c>
      <c r="NO265" s="56"/>
      <c r="NR265" s="55">
        <f t="shared" si="1868"/>
        <v>46246</v>
      </c>
      <c r="NS265" s="56"/>
      <c r="NT265" s="242">
        <f>SUMPRODUCT(PRODUCE!$B266:$DY266,PRODUCE!$EB$49:$IY$49)</f>
        <v>0</v>
      </c>
      <c r="NU265" s="56"/>
      <c r="NV265" s="242">
        <f t="shared" si="1869"/>
        <v>0</v>
      </c>
      <c r="NW265" s="242">
        <f t="shared" si="1870"/>
        <v>3111.9999999999995</v>
      </c>
      <c r="NX265" s="56"/>
      <c r="OA265" s="55">
        <f t="shared" si="1871"/>
        <v>46246</v>
      </c>
      <c r="OB265" s="56"/>
      <c r="OC265" s="242">
        <f>SUMPRODUCT(PRODUCE!$B266:$DY266,PRODUCE!$EB$50:$IY$50)</f>
        <v>0</v>
      </c>
      <c r="OD265" s="56"/>
      <c r="OE265" s="242">
        <f t="shared" si="1872"/>
        <v>0</v>
      </c>
      <c r="OF265" s="242">
        <f t="shared" si="1873"/>
        <v>1680.5</v>
      </c>
      <c r="OG265" s="56"/>
      <c r="OJ265" s="55">
        <f t="shared" si="1874"/>
        <v>46246</v>
      </c>
      <c r="OK265" s="56"/>
      <c r="OL265" s="242">
        <f>SUMPRODUCT(PRODUCE!$B266:$DY266,PRODUCE!$EB$51:$IY$51)</f>
        <v>0</v>
      </c>
      <c r="OM265" s="56"/>
      <c r="ON265" s="242">
        <f t="shared" si="1875"/>
        <v>0</v>
      </c>
      <c r="OO265" s="242">
        <f t="shared" si="1876"/>
        <v>0</v>
      </c>
      <c r="OP265" s="56"/>
      <c r="OS265" s="55">
        <f t="shared" si="1877"/>
        <v>46246</v>
      </c>
      <c r="OT265" s="56"/>
      <c r="OU265" s="242">
        <f>SUMPRODUCT(PRODUCE!$B266:$DY266,PRODUCE!$EB$52:$IY$52)</f>
        <v>0</v>
      </c>
      <c r="OV265" s="56"/>
      <c r="OW265" s="242">
        <f t="shared" si="1878"/>
        <v>0</v>
      </c>
      <c r="OX265" s="242">
        <f t="shared" si="1879"/>
        <v>1482</v>
      </c>
      <c r="OY265" s="56"/>
      <c r="PB265" s="55">
        <f t="shared" si="1880"/>
        <v>46246</v>
      </c>
      <c r="PC265" s="56"/>
      <c r="PD265" s="242">
        <f>SUMPRODUCT(PRODUCE!$B266:$DY266,PRODUCE!$EB$53:$IY$53)</f>
        <v>0</v>
      </c>
      <c r="PE265" s="56"/>
      <c r="PF265" s="242">
        <f t="shared" si="1881"/>
        <v>0</v>
      </c>
      <c r="PG265" s="242">
        <f t="shared" si="1882"/>
        <v>0</v>
      </c>
      <c r="PH265" s="56"/>
      <c r="PK265" s="55">
        <f t="shared" si="1883"/>
        <v>46246</v>
      </c>
      <c r="PL265" s="56"/>
      <c r="PM265" s="242">
        <f>SUMPRODUCT(PRODUCE!$B266:$DY266,PRODUCE!$EB$54:$IY$54)</f>
        <v>0</v>
      </c>
      <c r="PN265" s="56"/>
      <c r="PO265" s="242">
        <f t="shared" si="1884"/>
        <v>0</v>
      </c>
      <c r="PP265" s="242">
        <f t="shared" si="1885"/>
        <v>100</v>
      </c>
      <c r="PQ265" s="56"/>
      <c r="PT265" s="55">
        <f t="shared" si="1886"/>
        <v>46246</v>
      </c>
      <c r="PU265" s="56"/>
      <c r="PV265" s="242">
        <f>SUMPRODUCT(PRODUCE!$B266:$DY266,PRODUCE!$EB$55:$IY$55)</f>
        <v>0</v>
      </c>
      <c r="PW265" s="56"/>
      <c r="PX265" s="242">
        <f t="shared" si="1887"/>
        <v>0</v>
      </c>
      <c r="PY265" s="242">
        <f t="shared" si="1888"/>
        <v>13.960000000000036</v>
      </c>
      <c r="PZ265" s="56"/>
      <c r="QC265" s="55">
        <f t="shared" si="1889"/>
        <v>46246</v>
      </c>
      <c r="QD265" s="56"/>
      <c r="QE265" s="242">
        <f>SUMPRODUCT(PRODUCE!$B266:$DY266,PRODUCE!$EB$56:$IY$56)</f>
        <v>0</v>
      </c>
      <c r="QF265" s="56">
        <f>136+264</f>
        <v>400</v>
      </c>
      <c r="QG265" s="242">
        <f t="shared" si="1890"/>
        <v>-400</v>
      </c>
      <c r="QH265" s="242">
        <f t="shared" si="1891"/>
        <v>548</v>
      </c>
      <c r="QI265" s="56"/>
      <c r="QL265" s="55">
        <f t="shared" si="1892"/>
        <v>46246</v>
      </c>
      <c r="QM265" s="56"/>
      <c r="QN265" s="242">
        <f>SUMPRODUCT(PRODUCE!$B266:$DY266,PRODUCE!$EB$57:$IY$57)</f>
        <v>0</v>
      </c>
      <c r="QO265" s="56"/>
      <c r="QP265" s="242">
        <f t="shared" si="1893"/>
        <v>0</v>
      </c>
      <c r="QQ265" s="242">
        <f t="shared" si="1894"/>
        <v>0</v>
      </c>
      <c r="QR265" s="56"/>
      <c r="QU265" s="55">
        <f t="shared" si="1895"/>
        <v>46246</v>
      </c>
      <c r="QV265" s="56"/>
      <c r="QW265" s="242">
        <f>SUMPRODUCT(PRODUCE!$B266:$DY266,PRODUCE!$EB$57:$IY$57)</f>
        <v>0</v>
      </c>
      <c r="QX265" s="56"/>
      <c r="QY265" s="242">
        <f t="shared" si="1896"/>
        <v>0</v>
      </c>
      <c r="QZ265" s="242">
        <f t="shared" si="1897"/>
        <v>207.6</v>
      </c>
      <c r="RA265" s="56"/>
      <c r="RD265" s="55">
        <f t="shared" si="1898"/>
        <v>46246</v>
      </c>
      <c r="RE265" s="56"/>
      <c r="RF265" s="242">
        <f>SUMPRODUCT(PRODUCE!$B266:$DY266,PRODUCE!$EB$58:$IY$58)</f>
        <v>0</v>
      </c>
      <c r="RG265" s="56"/>
      <c r="RH265" s="242">
        <f t="shared" si="1899"/>
        <v>0</v>
      </c>
      <c r="RI265" s="242">
        <f t="shared" si="1900"/>
        <v>147.04000000000002</v>
      </c>
      <c r="RJ265" s="56"/>
      <c r="RM265" s="55">
        <f t="shared" si="1901"/>
        <v>46246</v>
      </c>
      <c r="RN265" s="56"/>
      <c r="RO265" s="242">
        <f>SUMPRODUCT(PRODUCE!$B266:$DY266,PRODUCE!$EB$59:$IY$59)</f>
        <v>0</v>
      </c>
      <c r="RP265" s="56"/>
      <c r="RQ265" s="242">
        <f t="shared" si="1902"/>
        <v>0</v>
      </c>
      <c r="RR265" s="242">
        <f t="shared" si="1903"/>
        <v>46.8</v>
      </c>
      <c r="RS265" s="56"/>
      <c r="RV265" s="55">
        <f t="shared" si="1904"/>
        <v>46246</v>
      </c>
      <c r="RW265" s="56"/>
      <c r="RX265" s="242">
        <f>SUMPRODUCT(PRODUCE!$B266:$DY266,PRODUCE!$EB$57:$IY$57)</f>
        <v>0</v>
      </c>
      <c r="RY265" s="56"/>
      <c r="RZ265" s="242">
        <f t="shared" si="1905"/>
        <v>0</v>
      </c>
      <c r="SA265" s="242">
        <f t="shared" si="1906"/>
        <v>0</v>
      </c>
      <c r="SB265" s="56"/>
      <c r="SE265" s="55">
        <f t="shared" si="1907"/>
        <v>46246</v>
      </c>
      <c r="SF265" s="56"/>
      <c r="SG265" s="242">
        <f>SUMPRODUCT(PRODUCE!$B266:$DY266,PRODUCE!$EB$61:$IY$61)</f>
        <v>0</v>
      </c>
      <c r="SH265" s="56"/>
      <c r="SI265" s="242">
        <f t="shared" si="1908"/>
        <v>0</v>
      </c>
      <c r="SJ265" s="242">
        <f t="shared" si="1909"/>
        <v>24.200000000000003</v>
      </c>
      <c r="SK265" s="56"/>
      <c r="SN265" s="55">
        <f t="shared" si="1910"/>
        <v>46246</v>
      </c>
      <c r="SO265" s="56"/>
      <c r="SP265" s="242">
        <f>SUMPRODUCT(PRODUCE!$B266:$DY266,PRODUCE!$EB$62:$IY$62)</f>
        <v>0</v>
      </c>
      <c r="SQ265" s="56"/>
      <c r="SR265" s="242">
        <f t="shared" si="1911"/>
        <v>0</v>
      </c>
      <c r="SS265" s="242">
        <f t="shared" si="1912"/>
        <v>32</v>
      </c>
      <c r="ST265" s="56"/>
      <c r="SW265" s="55">
        <f t="shared" si="1913"/>
        <v>46246</v>
      </c>
      <c r="SX265" s="56"/>
      <c r="SY265" s="242">
        <f>SUMPRODUCT(PRODUCE!$B266:$DY266,PRODUCE!$EB$57:$IY$57)</f>
        <v>0</v>
      </c>
      <c r="SZ265" s="56"/>
      <c r="TA265" s="242">
        <f t="shared" si="1914"/>
        <v>0</v>
      </c>
      <c r="TB265" s="242">
        <f t="shared" si="1915"/>
        <v>0</v>
      </c>
      <c r="TC265" s="56"/>
      <c r="TF265" s="55">
        <f t="shared" si="1916"/>
        <v>46246</v>
      </c>
      <c r="TG265" s="56"/>
      <c r="TH265" s="242">
        <f>SUMPRODUCT(PRODUCE!$B266:$DY266,PRODUCE!$EB$57:$IY$57)</f>
        <v>0</v>
      </c>
      <c r="TI265" s="56"/>
      <c r="TJ265" s="242">
        <f t="shared" si="1917"/>
        <v>0</v>
      </c>
      <c r="TK265" s="242">
        <f t="shared" si="1918"/>
        <v>0</v>
      </c>
      <c r="TL265" s="56"/>
      <c r="TO265" s="55">
        <f t="shared" si="1919"/>
        <v>46246</v>
      </c>
      <c r="TP265" s="56"/>
      <c r="TQ265" s="242">
        <f>SUMPRODUCT(PRODUCE!$B266:$DY266,PRODUCE!$EB$57:$IY$57)</f>
        <v>0</v>
      </c>
      <c r="TR265" s="56"/>
      <c r="TS265" s="242">
        <f t="shared" si="1920"/>
        <v>0</v>
      </c>
      <c r="TT265" s="242">
        <f t="shared" si="1921"/>
        <v>0</v>
      </c>
      <c r="TU265" s="56"/>
      <c r="TX265" s="55">
        <f t="shared" si="1922"/>
        <v>46246</v>
      </c>
      <c r="TY265" s="56"/>
      <c r="TZ265" s="242">
        <f>SUMPRODUCT(PRODUCE!$B266:$DY266,PRODUCE!$EB$57:$IY$57)</f>
        <v>0</v>
      </c>
      <c r="UA265" s="56"/>
      <c r="UB265" s="242">
        <f t="shared" si="1923"/>
        <v>0</v>
      </c>
      <c r="UC265" s="242">
        <f t="shared" si="1924"/>
        <v>46.799999999999983</v>
      </c>
      <c r="UD265" s="56"/>
      <c r="UG265" s="55">
        <f t="shared" si="1925"/>
        <v>46246</v>
      </c>
      <c r="UH265" s="56"/>
      <c r="UI265" s="242">
        <f>SUMPRODUCT(PRODUCE!$B266:$DY266,PRODUCE!$EB$57:$IY$57)</f>
        <v>0</v>
      </c>
      <c r="UJ265" s="56"/>
      <c r="UK265" s="242">
        <f t="shared" si="1926"/>
        <v>0</v>
      </c>
      <c r="UL265" s="242">
        <f t="shared" si="1927"/>
        <v>204</v>
      </c>
      <c r="UM265" s="56"/>
      <c r="UP265" s="55">
        <f t="shared" si="1928"/>
        <v>46246</v>
      </c>
      <c r="UQ265" s="56"/>
      <c r="UR265" s="242">
        <f>SUMPRODUCT(PRODUCE!$B266:$DY266,PRODUCE!$EB$57:$IY$57)</f>
        <v>0</v>
      </c>
      <c r="US265" s="56"/>
      <c r="UT265" s="242">
        <f t="shared" si="1929"/>
        <v>0</v>
      </c>
      <c r="UU265" s="242">
        <f t="shared" si="1930"/>
        <v>202.5</v>
      </c>
      <c r="UV265" s="56"/>
      <c r="UY265" s="55">
        <f t="shared" si="1931"/>
        <v>46246</v>
      </c>
      <c r="UZ265" s="56"/>
      <c r="VA265" s="242">
        <f>SUMPRODUCT(PRODUCE!$B266:$DY266,PRODUCE!$EB$57:$IY$57)</f>
        <v>0</v>
      </c>
      <c r="VB265" s="56"/>
      <c r="VC265" s="242">
        <f t="shared" si="1932"/>
        <v>0</v>
      </c>
      <c r="VD265" s="242">
        <f t="shared" si="1933"/>
        <v>41.600000000000023</v>
      </c>
      <c r="VE265" s="56"/>
      <c r="VH265" s="55">
        <f t="shared" si="1934"/>
        <v>46246</v>
      </c>
      <c r="VI265" s="56"/>
      <c r="VJ265" s="242">
        <f>SUMPRODUCT(PRODUCE!$B266:$DY266,PRODUCE!$EB$57:$IY$57)</f>
        <v>0</v>
      </c>
      <c r="VK265" s="56"/>
      <c r="VL265" s="242">
        <f t="shared" si="1935"/>
        <v>0</v>
      </c>
      <c r="VM265" s="242">
        <f t="shared" si="1936"/>
        <v>210</v>
      </c>
      <c r="VN265" s="56"/>
      <c r="VQ265" s="55">
        <f t="shared" si="1937"/>
        <v>46246</v>
      </c>
      <c r="VR265" s="56"/>
      <c r="VS265" s="242">
        <f>SUMPRODUCT(PRODUCE!$B266:$DY266,PRODUCE!$EB$57:$IY$57)</f>
        <v>0</v>
      </c>
      <c r="VT265" s="56"/>
      <c r="VU265" s="242">
        <f t="shared" si="1938"/>
        <v>0</v>
      </c>
      <c r="VV265" s="242">
        <f t="shared" si="1939"/>
        <v>0</v>
      </c>
      <c r="VW265" s="56"/>
      <c r="VZ265" s="55">
        <f t="shared" si="1940"/>
        <v>46246</v>
      </c>
      <c r="WA265" s="56"/>
      <c r="WB265" s="242">
        <f>SUMPRODUCT(PRODUCE!$B266:$DY266,PRODUCE!$EB$57:$IY$57)</f>
        <v>0</v>
      </c>
      <c r="WC265" s="56"/>
      <c r="WD265" s="242">
        <f t="shared" si="1941"/>
        <v>0</v>
      </c>
      <c r="WE265" s="242">
        <f t="shared" si="1942"/>
        <v>0</v>
      </c>
      <c r="WF265" s="56"/>
      <c r="WI265" s="55">
        <f t="shared" si="1943"/>
        <v>46246</v>
      </c>
      <c r="WJ265" s="56"/>
      <c r="WK265" s="242">
        <f>SUMPRODUCT(PRODUCE!$B266:$DY266,PRODUCE!$EB$57:$IY$57)</f>
        <v>0</v>
      </c>
      <c r="WL265" s="56"/>
      <c r="WM265" s="242">
        <f t="shared" si="1944"/>
        <v>0</v>
      </c>
      <c r="WN265" s="242">
        <f t="shared" si="1945"/>
        <v>1057</v>
      </c>
      <c r="WO265" s="56"/>
      <c r="WR265" s="55">
        <f t="shared" si="1946"/>
        <v>46246</v>
      </c>
      <c r="WS265" s="56"/>
      <c r="WT265" s="242">
        <f>SUMPRODUCT(PRODUCE!$B266:$DY266,PRODUCE!$EB$57:$IY$57)</f>
        <v>0</v>
      </c>
      <c r="WU265" s="56"/>
      <c r="WV265" s="242">
        <f t="shared" si="1947"/>
        <v>0</v>
      </c>
      <c r="WW265" s="242">
        <f t="shared" si="1948"/>
        <v>0</v>
      </c>
      <c r="WX265" s="56"/>
      <c r="XA265" s="55">
        <f t="shared" si="1949"/>
        <v>46246</v>
      </c>
      <c r="XB265" s="56"/>
      <c r="XC265" s="242">
        <f>SUMPRODUCT(PRODUCE!$B266:$DY266,PRODUCE!$EB$57:$IY$57)</f>
        <v>0</v>
      </c>
      <c r="XD265" s="56"/>
      <c r="XE265" s="242">
        <f t="shared" si="1950"/>
        <v>0</v>
      </c>
      <c r="XF265" s="242">
        <f t="shared" si="1951"/>
        <v>7507</v>
      </c>
      <c r="XG265" s="56"/>
      <c r="XJ265" s="55">
        <f t="shared" si="1952"/>
        <v>46246</v>
      </c>
      <c r="XK265" s="56"/>
      <c r="XL265" s="242">
        <f>SUMPRODUCT(PRODUCE!$B266:$DY266,PRODUCE!$EB$57:$IY$57)</f>
        <v>0</v>
      </c>
      <c r="XM265" s="56"/>
      <c r="XN265" s="242">
        <f t="shared" si="1953"/>
        <v>0</v>
      </c>
      <c r="XO265" s="242">
        <f t="shared" si="1954"/>
        <v>4252</v>
      </c>
      <c r="XP265" s="56"/>
      <c r="XS265" s="55">
        <f t="shared" si="1955"/>
        <v>46246</v>
      </c>
      <c r="XT265" s="56"/>
      <c r="XU265" s="242">
        <f>SUMPRODUCT(PRODUCE!$B266:$DY266,PRODUCE!$EB$57:$IY$57)</f>
        <v>0</v>
      </c>
      <c r="XV265" s="56"/>
      <c r="XW265" s="242">
        <f t="shared" si="1956"/>
        <v>0</v>
      </c>
      <c r="XX265" s="242">
        <f t="shared" si="1957"/>
        <v>2179</v>
      </c>
      <c r="XY265" s="56"/>
      <c r="YB265" s="55">
        <f t="shared" si="1958"/>
        <v>46246</v>
      </c>
      <c r="YC265" s="56"/>
      <c r="YD265" s="242">
        <f>SUMPRODUCT(PRODUCE!$B266:$DY266,PRODUCE!$EB$57:$IY$57)</f>
        <v>0</v>
      </c>
      <c r="YE265" s="56"/>
      <c r="YF265" s="242">
        <f t="shared" si="1959"/>
        <v>0</v>
      </c>
      <c r="YG265" s="242">
        <f t="shared" si="1960"/>
        <v>4019</v>
      </c>
      <c r="YH265" s="56"/>
      <c r="YK265" s="55">
        <f t="shared" si="1961"/>
        <v>46246</v>
      </c>
      <c r="YL265" s="56"/>
      <c r="YM265" s="242">
        <f>SUMPRODUCT(PRODUCE!$B266:$DY266,PRODUCE!$EB$57:$IY$57)</f>
        <v>0</v>
      </c>
      <c r="YN265" s="56"/>
      <c r="YO265" s="242">
        <f t="shared" si="1962"/>
        <v>0</v>
      </c>
      <c r="YP265" s="242">
        <f t="shared" si="1963"/>
        <v>-218</v>
      </c>
      <c r="YQ265" s="56"/>
      <c r="YT265" s="55">
        <f t="shared" si="1964"/>
        <v>46246</v>
      </c>
      <c r="YU265" s="56"/>
      <c r="YV265" s="242">
        <f>SUMPRODUCT(PRODUCE!$B266:$DY266,PRODUCE!$EB$57:$IY$57)</f>
        <v>0</v>
      </c>
      <c r="YW265" s="56"/>
      <c r="YX265" s="242">
        <f t="shared" si="1965"/>
        <v>0</v>
      </c>
      <c r="YY265" s="242">
        <f t="shared" si="1966"/>
        <v>0</v>
      </c>
      <c r="YZ265" s="56"/>
      <c r="ZC265" s="55">
        <f t="shared" si="1967"/>
        <v>46246</v>
      </c>
      <c r="ZD265" s="56"/>
      <c r="ZE265" s="242">
        <f>SUMPRODUCT(PRODUCE!$B266:$DY266,PRODUCE!$EB$57:$IY$57)</f>
        <v>0</v>
      </c>
      <c r="ZF265" s="56"/>
      <c r="ZG265" s="242">
        <f t="shared" si="1968"/>
        <v>0</v>
      </c>
      <c r="ZH265" s="242">
        <f t="shared" si="1969"/>
        <v>0</v>
      </c>
      <c r="ZI265" s="56"/>
      <c r="ZL265" s="55">
        <f t="shared" si="1970"/>
        <v>46246</v>
      </c>
      <c r="ZM265" s="56"/>
      <c r="ZN265" s="242">
        <f>SUMPRODUCT(PRODUCE!$B266:$DY266,PRODUCE!$EB$57:$IY$57)</f>
        <v>0</v>
      </c>
      <c r="ZO265" s="56"/>
      <c r="ZP265" s="242">
        <f t="shared" si="1971"/>
        <v>0</v>
      </c>
      <c r="ZQ265" s="242">
        <f t="shared" si="1972"/>
        <v>0</v>
      </c>
      <c r="ZR265" s="56"/>
      <c r="ZU265" s="55">
        <f t="shared" si="1973"/>
        <v>46246</v>
      </c>
      <c r="ZV265" s="56"/>
      <c r="ZW265" s="242">
        <f>SUMPRODUCT(PRODUCE!$B266:$DY266,PRODUCE!$EB$57:$IY$57)</f>
        <v>0</v>
      </c>
      <c r="ZX265" s="56"/>
      <c r="ZY265" s="242">
        <f t="shared" si="1974"/>
        <v>0</v>
      </c>
      <c r="ZZ265" s="242">
        <f t="shared" si="1975"/>
        <v>0</v>
      </c>
      <c r="AAA265" s="56"/>
      <c r="AAD265" s="55">
        <f t="shared" si="1976"/>
        <v>46246</v>
      </c>
      <c r="AAE265" s="56"/>
      <c r="AAF265" s="242">
        <f>SUMPRODUCT(PRODUCE!$B266:$DY266,PRODUCE!$EB$57:$IY$57)</f>
        <v>0</v>
      </c>
      <c r="AAG265" s="56"/>
      <c r="AAH265" s="242">
        <f t="shared" si="1977"/>
        <v>0</v>
      </c>
      <c r="AAI265" s="242">
        <f t="shared" si="1978"/>
        <v>0</v>
      </c>
      <c r="AAJ265" s="56"/>
      <c r="AAM265" s="55">
        <f t="shared" si="1979"/>
        <v>46246</v>
      </c>
      <c r="AAN265" s="56"/>
      <c r="AAO265" s="242">
        <f>SUMPRODUCT(PRODUCE!$B266:$DY266,PRODUCE!$EB$57:$IY$57)</f>
        <v>0</v>
      </c>
      <c r="AAP265" s="56"/>
      <c r="AAQ265" s="242">
        <f t="shared" si="1980"/>
        <v>0</v>
      </c>
      <c r="AAR265" s="242">
        <f t="shared" si="1981"/>
        <v>0</v>
      </c>
      <c r="AAS265" s="56"/>
      <c r="AAV265" s="55">
        <f t="shared" si="1982"/>
        <v>46246</v>
      </c>
      <c r="AAW265" s="56"/>
      <c r="AAX265" s="242">
        <f>SUMPRODUCT(PRODUCE!$B266:$DY266,PRODUCE!$EB$57:$IY$57)</f>
        <v>0</v>
      </c>
      <c r="AAY265" s="56"/>
      <c r="AAZ265" s="242">
        <f t="shared" si="1983"/>
        <v>0</v>
      </c>
      <c r="ABA265" s="242">
        <f t="shared" si="1984"/>
        <v>0</v>
      </c>
      <c r="ABB265" s="56"/>
      <c r="ABE265" s="55">
        <f t="shared" si="1985"/>
        <v>46246</v>
      </c>
      <c r="ABF265" s="56"/>
      <c r="ABG265" s="242">
        <f>SUMPRODUCT(PRODUCE!$B266:$DY266,PRODUCE!$EB$57:$IY$57)</f>
        <v>0</v>
      </c>
      <c r="ABH265" s="56"/>
      <c r="ABI265" s="242">
        <f t="shared" si="1986"/>
        <v>0</v>
      </c>
      <c r="ABJ265" s="242">
        <f t="shared" si="1987"/>
        <v>0</v>
      </c>
      <c r="ABK265" s="56"/>
    </row>
    <row r="266" spans="2:739" s="54" customFormat="1" ht="15" customHeight="1" outlineLevel="1">
      <c r="B266" s="478"/>
      <c r="C266" s="55">
        <v>46247</v>
      </c>
      <c r="D266" s="56">
        <v>35002</v>
      </c>
      <c r="E266" s="57">
        <f>SUMPRODUCT(PRODUCE!$B267:$DY267,PRODUCE!$EB$7:$IY$7)</f>
        <v>10702</v>
      </c>
      <c r="F266" s="56"/>
      <c r="G266" s="57">
        <f t="shared" si="1743"/>
        <v>10702</v>
      </c>
      <c r="H266" s="57">
        <f t="shared" si="1744"/>
        <v>236936.6</v>
      </c>
      <c r="I266" s="361"/>
      <c r="L266" s="55">
        <f t="shared" si="1745"/>
        <v>46247</v>
      </c>
      <c r="M266" s="56"/>
      <c r="N266" s="59">
        <f>SUMPRODUCT(PRODUCE!$B267:$DY267,PRODUCE!$EB$8:$IY$8)</f>
        <v>6525</v>
      </c>
      <c r="O266" s="56"/>
      <c r="P266" s="59">
        <f t="shared" si="1746"/>
        <v>6525</v>
      </c>
      <c r="Q266" s="59">
        <f t="shared" si="1747"/>
        <v>53017.600000000071</v>
      </c>
      <c r="R266" s="56"/>
      <c r="U266" s="55">
        <f t="shared" si="1748"/>
        <v>46247</v>
      </c>
      <c r="V266" s="56"/>
      <c r="W266" s="60">
        <f>SUMPRODUCT(PRODUCE!$B267:$DY267,PRODUCE!$EB$9:$IY$9)</f>
        <v>500</v>
      </c>
      <c r="X266" s="56"/>
      <c r="Y266" s="60">
        <f t="shared" si="1749"/>
        <v>500</v>
      </c>
      <c r="Z266" s="60">
        <f t="shared" si="1750"/>
        <v>42674.199999999968</v>
      </c>
      <c r="AA266" s="56"/>
      <c r="AD266" s="55">
        <f t="shared" si="1751"/>
        <v>46247</v>
      </c>
      <c r="AE266" s="56"/>
      <c r="AF266" s="61">
        <f>SUMPRODUCT(PRODUCE!$B267:$DY267,PRODUCE!$EB$10:$IY$10)</f>
        <v>1000</v>
      </c>
      <c r="AG266" s="56"/>
      <c r="AH266" s="61">
        <f t="shared" si="1752"/>
        <v>1000</v>
      </c>
      <c r="AI266" s="61">
        <f>AI265+AE266-AG266</f>
        <v>4522.2000000000189</v>
      </c>
      <c r="AJ266" s="56"/>
      <c r="AM266" s="55">
        <f t="shared" si="1754"/>
        <v>46247</v>
      </c>
      <c r="AN266" s="422"/>
      <c r="AO266" s="444">
        <f>SUMPRODUCT(PRODUCE!$B267:$DY267,PRODUCE!$EB$11:$IY$11)</f>
        <v>0</v>
      </c>
      <c r="AP266" s="422"/>
      <c r="AQ266" s="444">
        <f t="shared" si="1755"/>
        <v>0</v>
      </c>
      <c r="AR266" s="444">
        <f t="shared" si="1756"/>
        <v>0</v>
      </c>
      <c r="AS266" s="56"/>
      <c r="AV266" s="55">
        <f t="shared" si="1757"/>
        <v>46247</v>
      </c>
      <c r="AW266" s="56"/>
      <c r="AX266" s="62">
        <f>SUMPRODUCT(PRODUCE!$B267:$DY267,PRODUCE!$EB$12:$IY$12)</f>
        <v>400</v>
      </c>
      <c r="AY266" s="56"/>
      <c r="AZ266" s="62">
        <f t="shared" si="1758"/>
        <v>400</v>
      </c>
      <c r="BA266" s="62">
        <f t="shared" si="1759"/>
        <v>124.99999999999523</v>
      </c>
      <c r="BB266" s="56"/>
      <c r="BE266" s="55">
        <f t="shared" si="1760"/>
        <v>46247</v>
      </c>
      <c r="BF266" s="56"/>
      <c r="BG266" s="63">
        <f>SUMPRODUCT(PRODUCE!$B267:$DY267,PRODUCE!$EB$13:$IY$13)</f>
        <v>0</v>
      </c>
      <c r="BH266" s="56"/>
      <c r="BI266" s="63">
        <f t="shared" si="1761"/>
        <v>0</v>
      </c>
      <c r="BJ266" s="63">
        <f t="shared" si="1762"/>
        <v>26151.899999999998</v>
      </c>
      <c r="BK266" s="56"/>
      <c r="BN266" s="55">
        <f t="shared" si="1763"/>
        <v>46247</v>
      </c>
      <c r="BO266" s="56"/>
      <c r="BP266" s="64">
        <f>SUMPRODUCT(PRODUCE!$B267:$DY267,PRODUCE!$EB$14:$IY$14)</f>
        <v>400</v>
      </c>
      <c r="BQ266" s="56"/>
      <c r="BR266" s="64">
        <f t="shared" si="1764"/>
        <v>400</v>
      </c>
      <c r="BS266" s="64">
        <f t="shared" si="1765"/>
        <v>0</v>
      </c>
      <c r="BT266" s="56"/>
      <c r="BW266" s="55">
        <f t="shared" si="1766"/>
        <v>46247</v>
      </c>
      <c r="BX266" s="56"/>
      <c r="BY266" s="65">
        <f>SUMPRODUCT(PRODUCE!$B267:$DY267,PRODUCE!$EB$15:$IY$15)</f>
        <v>45.000000000000007</v>
      </c>
      <c r="BZ266" s="56"/>
      <c r="CA266" s="65">
        <f t="shared" si="1767"/>
        <v>45.000000000000007</v>
      </c>
      <c r="CB266" s="65">
        <f t="shared" si="1768"/>
        <v>2097.3399999999992</v>
      </c>
      <c r="CC266" s="56"/>
      <c r="CF266" s="55">
        <f t="shared" si="1769"/>
        <v>46247</v>
      </c>
      <c r="CG266" s="56"/>
      <c r="CH266" s="66">
        <f>SUMPRODUCT(PRODUCE!$B267:$DY267,PRODUCE!$EB$16:$IY$16)</f>
        <v>18</v>
      </c>
      <c r="CI266" s="56"/>
      <c r="CJ266" s="66">
        <f t="shared" si="1770"/>
        <v>18</v>
      </c>
      <c r="CK266" s="66">
        <f t="shared" si="1771"/>
        <v>-10277.079999999998</v>
      </c>
      <c r="CL266" s="56"/>
      <c r="CO266" s="55">
        <f t="shared" si="1772"/>
        <v>46247</v>
      </c>
      <c r="CP266" s="422"/>
      <c r="CQ266" s="470">
        <f>SUMPRODUCT(PRODUCE!$B267:$DY267,PRODUCE!$EB$17:$IY$17)</f>
        <v>0</v>
      </c>
      <c r="CR266" s="422"/>
      <c r="CS266" s="470">
        <f t="shared" si="1773"/>
        <v>0</v>
      </c>
      <c r="CT266" s="470">
        <f>CT265+CP266-CR266</f>
        <v>0</v>
      </c>
      <c r="CU266" s="56"/>
      <c r="CX266" s="55">
        <f t="shared" si="1775"/>
        <v>46247</v>
      </c>
      <c r="CY266" s="56"/>
      <c r="CZ266" s="133">
        <f>SUMPRODUCT(PRODUCE!$B267:$DY267,PRODUCE!$EB$18:$IY$18)</f>
        <v>0</v>
      </c>
      <c r="DA266" s="56"/>
      <c r="DB266" s="133">
        <f t="shared" si="1776"/>
        <v>0</v>
      </c>
      <c r="DC266" s="133">
        <f t="shared" si="1777"/>
        <v>27438.200000000012</v>
      </c>
      <c r="DD266" s="56"/>
      <c r="DG266" s="55">
        <f t="shared" si="1778"/>
        <v>46247</v>
      </c>
      <c r="DH266" s="56"/>
      <c r="DI266" s="147">
        <f>SUMPRODUCT(PRODUCE!$B267:$DY267,PRODUCE!$EB$19:$IY$19)</f>
        <v>0</v>
      </c>
      <c r="DJ266" s="56"/>
      <c r="DK266" s="147">
        <f t="shared" si="1779"/>
        <v>0</v>
      </c>
      <c r="DL266" s="147">
        <f t="shared" si="1780"/>
        <v>18782.299999999981</v>
      </c>
      <c r="DM266" s="56"/>
      <c r="DP266" s="55">
        <f t="shared" si="1781"/>
        <v>46247</v>
      </c>
      <c r="DQ266" s="56"/>
      <c r="DR266" s="57">
        <f>SUMPRODUCT(PRODUCE!$B267:$DY267,PRODUCE!$EB$20:$IY$20)</f>
        <v>0</v>
      </c>
      <c r="DS266" s="56"/>
      <c r="DT266" s="57">
        <f t="shared" si="1782"/>
        <v>0</v>
      </c>
      <c r="DU266" s="57">
        <f t="shared" si="1783"/>
        <v>5800</v>
      </c>
      <c r="DV266" s="56"/>
      <c r="DY266" s="55">
        <f t="shared" si="1784"/>
        <v>46247</v>
      </c>
      <c r="DZ266" s="56"/>
      <c r="EA266" s="157">
        <f>SUMPRODUCT(PRODUCE!$B267:$DY267,PRODUCE!$EB$21:$IY$21)</f>
        <v>0</v>
      </c>
      <c r="EB266" s="56"/>
      <c r="EC266" s="157">
        <f t="shared" si="1785"/>
        <v>0</v>
      </c>
      <c r="ED266" s="157">
        <f t="shared" si="1786"/>
        <v>0</v>
      </c>
      <c r="EE266" s="56"/>
      <c r="EH266" s="55">
        <f t="shared" si="1787"/>
        <v>46247</v>
      </c>
      <c r="EI266" s="56"/>
      <c r="EJ266" s="162">
        <f>SUMPRODUCT(PRODUCE!$B267:$DY267,PRODUCE!$EB$22:$IY$22)</f>
        <v>0</v>
      </c>
      <c r="EK266" s="56"/>
      <c r="EL266" s="162">
        <f t="shared" si="1788"/>
        <v>0</v>
      </c>
      <c r="EM266" s="162">
        <f t="shared" si="1789"/>
        <v>0</v>
      </c>
      <c r="EN266" s="56"/>
      <c r="EQ266" s="55">
        <f t="shared" si="1790"/>
        <v>46247</v>
      </c>
      <c r="ER266" s="56"/>
      <c r="ES266" s="135">
        <f>SUMPRODUCT(PRODUCE!$B267:$DY267,PRODUCE!$EB$23:$IY$23)</f>
        <v>0</v>
      </c>
      <c r="ET266" s="56"/>
      <c r="EU266" s="135">
        <f t="shared" si="1791"/>
        <v>0</v>
      </c>
      <c r="EV266" s="135">
        <f t="shared" si="1792"/>
        <v>0</v>
      </c>
      <c r="EW266" s="56"/>
      <c r="EZ266" s="55">
        <f t="shared" si="1793"/>
        <v>46247</v>
      </c>
      <c r="FA266" s="56"/>
      <c r="FB266" s="175">
        <f>SUMPRODUCT(PRODUCE!$B267:$DY267,PRODUCE!$EB$24:$IY$24)</f>
        <v>0</v>
      </c>
      <c r="FC266" s="56"/>
      <c r="FD266" s="175">
        <f t="shared" si="1794"/>
        <v>0</v>
      </c>
      <c r="FE266" s="175">
        <f t="shared" si="1795"/>
        <v>0</v>
      </c>
      <c r="FF266" s="56"/>
      <c r="FI266" s="55">
        <f t="shared" si="1796"/>
        <v>46247</v>
      </c>
      <c r="FJ266" s="56"/>
      <c r="FK266" s="183">
        <f>SUMPRODUCT(PRODUCE!$B267:$DY267,PRODUCE!$EB$25:$IY$25)</f>
        <v>0</v>
      </c>
      <c r="FL266" s="56"/>
      <c r="FM266" s="183">
        <f t="shared" si="1797"/>
        <v>0</v>
      </c>
      <c r="FN266" s="183">
        <f t="shared" si="1798"/>
        <v>0</v>
      </c>
      <c r="FO266" s="56"/>
      <c r="FR266" s="55">
        <f t="shared" si="1799"/>
        <v>46247</v>
      </c>
      <c r="FS266" s="56"/>
      <c r="FT266" s="186">
        <f>SUMPRODUCT(PRODUCE!$B267:$DY267,PRODUCE!$EB$26:$IY$26)</f>
        <v>400</v>
      </c>
      <c r="FU266" s="56"/>
      <c r="FV266" s="186">
        <f t="shared" si="1800"/>
        <v>400</v>
      </c>
      <c r="FW266" s="186">
        <f t="shared" si="1801"/>
        <v>20</v>
      </c>
      <c r="FX266" s="56"/>
      <c r="GA266" s="55">
        <f t="shared" si="1802"/>
        <v>46247</v>
      </c>
      <c r="GB266" s="56"/>
      <c r="GC266" s="137">
        <f>SUMPRODUCT(PRODUCE!$B267:$DY267,PRODUCE!$EB$27:$IY$27)</f>
        <v>0</v>
      </c>
      <c r="GD266" s="56"/>
      <c r="GE266" s="137">
        <f t="shared" si="1803"/>
        <v>0</v>
      </c>
      <c r="GF266" s="137">
        <f t="shared" si="1804"/>
        <v>960</v>
      </c>
      <c r="GG266" s="56"/>
      <c r="GI266" s="23"/>
      <c r="GJ266" s="55">
        <f t="shared" si="1805"/>
        <v>46247</v>
      </c>
      <c r="GK266" s="56"/>
      <c r="GL266" s="199">
        <f>SUMPRODUCT(PRODUCE!$B267:$DY267,PRODUCE!$EB$28:$IY$28)</f>
        <v>0</v>
      </c>
      <c r="GM266" s="56"/>
      <c r="GN266" s="199">
        <f t="shared" si="1806"/>
        <v>0</v>
      </c>
      <c r="GO266" s="199">
        <f t="shared" si="1807"/>
        <v>1760</v>
      </c>
      <c r="GP266" s="56"/>
      <c r="GS266" s="55">
        <f t="shared" si="1808"/>
        <v>46247</v>
      </c>
      <c r="GT266" s="56"/>
      <c r="GU266" s="195">
        <f>SUMPRODUCT(PRODUCE!$B267:$DY267,PRODUCE!$EB$29:$IY$29)</f>
        <v>0</v>
      </c>
      <c r="GV266" s="56"/>
      <c r="GW266" s="195">
        <f t="shared" si="1809"/>
        <v>0</v>
      </c>
      <c r="GX266" s="195">
        <f t="shared" si="1810"/>
        <v>400</v>
      </c>
      <c r="GY266" s="56"/>
      <c r="HB266" s="55">
        <f t="shared" si="1811"/>
        <v>46247</v>
      </c>
      <c r="HC266" s="56"/>
      <c r="HD266" s="191">
        <f>SUMPRODUCT(PRODUCE!$B267:$DY267,PRODUCE!$EB$30:$IY$30)</f>
        <v>0</v>
      </c>
      <c r="HE266" s="56"/>
      <c r="HF266" s="191">
        <f t="shared" si="1812"/>
        <v>0</v>
      </c>
      <c r="HG266" s="191">
        <f t="shared" si="1813"/>
        <v>3600</v>
      </c>
      <c r="HH266" s="56"/>
      <c r="HK266" s="55">
        <f t="shared" si="1814"/>
        <v>46247</v>
      </c>
      <c r="HL266" s="56"/>
      <c r="HM266" s="63">
        <f>SUMPRODUCT(PRODUCE!$B267:$DY267,PRODUCE!$EB$31:$IY$31)</f>
        <v>0</v>
      </c>
      <c r="HN266" s="56"/>
      <c r="HO266" s="63">
        <f t="shared" si="1815"/>
        <v>0</v>
      </c>
      <c r="HP266" s="63">
        <f t="shared" si="1816"/>
        <v>0</v>
      </c>
      <c r="HQ266" s="56"/>
      <c r="HU266" s="55">
        <f t="shared" si="1817"/>
        <v>46247</v>
      </c>
      <c r="HV266" s="56"/>
      <c r="HW266" s="242">
        <f>SUMPRODUCT(PRODUCE!$B267:$DY267,PRODUCE!$EB$32:$IY$32)</f>
        <v>0</v>
      </c>
      <c r="HX266" s="56"/>
      <c r="HY266" s="242">
        <f t="shared" si="1818"/>
        <v>0</v>
      </c>
      <c r="HZ266" s="242">
        <f t="shared" si="1819"/>
        <v>4280</v>
      </c>
      <c r="IA266" s="56"/>
      <c r="ID266" s="55">
        <f t="shared" si="1820"/>
        <v>46247</v>
      </c>
      <c r="IE266" s="56"/>
      <c r="IF266" s="242">
        <f>SUMPRODUCT(PRODUCE!$B267:$DY267,PRODUCE!$EB$33:$IY$33)</f>
        <v>0</v>
      </c>
      <c r="IG266" s="56"/>
      <c r="IH266" s="242">
        <f t="shared" si="1821"/>
        <v>0</v>
      </c>
      <c r="II266" s="242">
        <f t="shared" si="1822"/>
        <v>60</v>
      </c>
      <c r="IJ266" s="56"/>
      <c r="IM266" s="55">
        <f t="shared" si="1823"/>
        <v>46247</v>
      </c>
      <c r="IN266" s="56"/>
      <c r="IO266" s="242">
        <f>SUMPRODUCT(PRODUCE!$B267:$DY267,PRODUCE!$EB$34:$IY$34)</f>
        <v>0</v>
      </c>
      <c r="IP266" s="56"/>
      <c r="IQ266" s="242">
        <f t="shared" si="1824"/>
        <v>0</v>
      </c>
      <c r="IR266" s="242">
        <f t="shared" si="1825"/>
        <v>0</v>
      </c>
      <c r="IS266" s="56"/>
      <c r="IV266" s="55">
        <f t="shared" si="1826"/>
        <v>46247</v>
      </c>
      <c r="IW266" s="56"/>
      <c r="IX266" s="242">
        <f>SUMPRODUCT(PRODUCE!$B267:$DY267,PRODUCE!$EB$35:$IY$35)</f>
        <v>0</v>
      </c>
      <c r="IY266" s="56"/>
      <c r="IZ266" s="242">
        <f t="shared" si="1827"/>
        <v>0</v>
      </c>
      <c r="JA266" s="242">
        <f t="shared" si="1828"/>
        <v>2960</v>
      </c>
      <c r="JB266" s="56"/>
      <c r="JE266" s="55">
        <f t="shared" si="1829"/>
        <v>46247</v>
      </c>
      <c r="JF266" s="56"/>
      <c r="JG266" s="242">
        <f>SUMPRODUCT(PRODUCE!$B267:$DY267,PRODUCE!$EB$36:$IY$36)</f>
        <v>0</v>
      </c>
      <c r="JH266" s="56"/>
      <c r="JI266" s="242">
        <f t="shared" si="1830"/>
        <v>0</v>
      </c>
      <c r="JJ266" s="242">
        <f t="shared" si="1831"/>
        <v>0</v>
      </c>
      <c r="JK266" s="56"/>
      <c r="JN266" s="55">
        <f t="shared" si="1832"/>
        <v>46247</v>
      </c>
      <c r="JO266" s="56"/>
      <c r="JP266" s="242">
        <f>SUMPRODUCT(PRODUCE!$B267:$DY267,PRODUCE!$EB$37:$IY$37)</f>
        <v>0</v>
      </c>
      <c r="JQ266" s="56"/>
      <c r="JR266" s="242">
        <f t="shared" si="1833"/>
        <v>0</v>
      </c>
      <c r="JS266" s="242">
        <f t="shared" si="1834"/>
        <v>0</v>
      </c>
      <c r="JT266" s="56"/>
      <c r="JW266" s="55">
        <f t="shared" si="1835"/>
        <v>46247</v>
      </c>
      <c r="JX266" s="56"/>
      <c r="JY266" s="242">
        <f>SUMPRODUCT(PRODUCE!$B267:$DY267,PRODUCE!$EB$38:$IY$38)</f>
        <v>0</v>
      </c>
      <c r="JZ266" s="56"/>
      <c r="KA266" s="242">
        <f t="shared" si="1836"/>
        <v>0</v>
      </c>
      <c r="KB266" s="242">
        <f t="shared" si="1837"/>
        <v>2540</v>
      </c>
      <c r="KC266" s="56"/>
      <c r="KF266" s="55">
        <f t="shared" si="1838"/>
        <v>46247</v>
      </c>
      <c r="KG266" s="56"/>
      <c r="KH266" s="242">
        <f>SUMPRODUCT(PRODUCE!$B267:$DY267,PRODUCE!$EB$39:$IY$39)</f>
        <v>0</v>
      </c>
      <c r="KI266" s="56"/>
      <c r="KJ266" s="242">
        <f t="shared" si="1839"/>
        <v>0</v>
      </c>
      <c r="KK266" s="242">
        <f t="shared" si="1840"/>
        <v>2359.5</v>
      </c>
      <c r="KL266" s="56"/>
      <c r="KO266" s="55">
        <f t="shared" si="1841"/>
        <v>46247</v>
      </c>
      <c r="KP266" s="56"/>
      <c r="KQ266" s="242">
        <f>SUMPRODUCT(PRODUCE!$B267:$DY267,PRODUCE!$EB$40:$IY$40)</f>
        <v>0</v>
      </c>
      <c r="KR266" s="56"/>
      <c r="KS266" s="242">
        <f t="shared" si="1842"/>
        <v>0</v>
      </c>
      <c r="KT266" s="242">
        <f t="shared" si="1843"/>
        <v>1890</v>
      </c>
      <c r="KU266" s="56"/>
      <c r="KW266" s="23"/>
      <c r="KX266" s="55">
        <f t="shared" si="1844"/>
        <v>46247</v>
      </c>
      <c r="KY266" s="56"/>
      <c r="KZ266" s="242">
        <f>SUMPRODUCT(PRODUCE!$B267:$DY267,PRODUCE!$EB$41:$IY$41)</f>
        <v>0</v>
      </c>
      <c r="LA266" s="56"/>
      <c r="LB266" s="242">
        <f t="shared" si="1845"/>
        <v>0</v>
      </c>
      <c r="LC266" s="242">
        <f t="shared" si="1846"/>
        <v>3690</v>
      </c>
      <c r="LD266" s="56"/>
      <c r="LG266" s="55">
        <f t="shared" si="1847"/>
        <v>46247</v>
      </c>
      <c r="LH266" s="56"/>
      <c r="LI266" s="242">
        <f>SUMPRODUCT(PRODUCE!$B267:$DY267,PRODUCE!$EB$42:$IY$42)</f>
        <v>0</v>
      </c>
      <c r="LJ266" s="56"/>
      <c r="LK266" s="242">
        <f t="shared" si="1848"/>
        <v>0</v>
      </c>
      <c r="LL266" s="242">
        <f t="shared" si="1849"/>
        <v>4000</v>
      </c>
      <c r="LM266" s="56"/>
      <c r="LP266" s="55">
        <f t="shared" si="1850"/>
        <v>46247</v>
      </c>
      <c r="LQ266" s="56"/>
      <c r="LR266" s="242">
        <f>SUMPRODUCT(PRODUCE!$B281:$DY281,PRODUCE!$EB$43:$IY$43)</f>
        <v>0</v>
      </c>
      <c r="LS266" s="56"/>
      <c r="LT266" s="242">
        <f t="shared" si="1851"/>
        <v>0</v>
      </c>
      <c r="LU266" s="242">
        <f t="shared" si="1852"/>
        <v>0</v>
      </c>
      <c r="LV266" s="56"/>
      <c r="LY266" s="55">
        <f t="shared" si="1853"/>
        <v>46247</v>
      </c>
      <c r="LZ266" s="56"/>
      <c r="MA266" s="242">
        <f>SUMPRODUCT(PRODUCE!$B267:$DY267,PRODUCE!$EB$44:$IY$44)</f>
        <v>0</v>
      </c>
      <c r="MB266" s="56"/>
      <c r="MC266" s="242">
        <f t="shared" si="1854"/>
        <v>0</v>
      </c>
      <c r="MD266" s="242">
        <f t="shared" si="1855"/>
        <v>0</v>
      </c>
      <c r="ME266" s="56"/>
      <c r="MH266" s="55">
        <f t="shared" si="1856"/>
        <v>46247</v>
      </c>
      <c r="MI266" s="56"/>
      <c r="MJ266" s="242">
        <f>SUMPRODUCT(PRODUCE!$B267:$DY267,PRODUCE!$EB$45:$IY$45)</f>
        <v>0</v>
      </c>
      <c r="MK266" s="56"/>
      <c r="ML266" s="242">
        <f t="shared" si="1857"/>
        <v>0</v>
      </c>
      <c r="MM266" s="242">
        <f t="shared" si="1858"/>
        <v>0</v>
      </c>
      <c r="MN266" s="56"/>
      <c r="MQ266" s="55">
        <f t="shared" si="1859"/>
        <v>46247</v>
      </c>
      <c r="MR266" s="56"/>
      <c r="MS266" s="242">
        <f>SUMPRODUCT(PRODUCE!$B267:$DY267,PRODUCE!$EB$46:$IY$46)</f>
        <v>10</v>
      </c>
      <c r="MT266" s="56">
        <f>116+28+20</f>
        <v>164</v>
      </c>
      <c r="MU266" s="242">
        <f t="shared" si="1860"/>
        <v>-154</v>
      </c>
      <c r="MV266" s="242">
        <f t="shared" si="1861"/>
        <v>1625</v>
      </c>
      <c r="MW266" s="56"/>
      <c r="MZ266" s="55">
        <f t="shared" si="1862"/>
        <v>46247</v>
      </c>
      <c r="NA266" s="56"/>
      <c r="NB266" s="242">
        <f>SUMPRODUCT(PRODUCE!$B267:$DY267,PRODUCE!$EB$47:$IY$47)</f>
        <v>0</v>
      </c>
      <c r="NC266" s="56"/>
      <c r="ND266" s="242">
        <f t="shared" si="1863"/>
        <v>0</v>
      </c>
      <c r="NE266" s="242">
        <f t="shared" si="1864"/>
        <v>0</v>
      </c>
      <c r="NF266" s="56"/>
      <c r="NI266" s="55">
        <f t="shared" si="1865"/>
        <v>46247</v>
      </c>
      <c r="NJ266" s="56"/>
      <c r="NK266" s="242">
        <f>SUMPRODUCT(PRODUCE!$B267:$DY267,PRODUCE!$EB$48:$IY$48)</f>
        <v>0</v>
      </c>
      <c r="NL266" s="56"/>
      <c r="NM266" s="242">
        <f t="shared" si="1866"/>
        <v>0</v>
      </c>
      <c r="NN266" s="242">
        <f t="shared" si="1867"/>
        <v>1127</v>
      </c>
      <c r="NO266" s="56"/>
      <c r="NR266" s="55">
        <f t="shared" si="1868"/>
        <v>46247</v>
      </c>
      <c r="NS266" s="56"/>
      <c r="NT266" s="242">
        <f>SUMPRODUCT(PRODUCE!$B267:$DY267,PRODUCE!$EB$49:$IY$49)</f>
        <v>0</v>
      </c>
      <c r="NU266" s="56"/>
      <c r="NV266" s="242">
        <f t="shared" si="1869"/>
        <v>0</v>
      </c>
      <c r="NW266" s="242">
        <f t="shared" si="1870"/>
        <v>3111.9999999999995</v>
      </c>
      <c r="NX266" s="56"/>
      <c r="OA266" s="55">
        <f t="shared" si="1871"/>
        <v>46247</v>
      </c>
      <c r="OB266" s="56"/>
      <c r="OC266" s="242">
        <f>SUMPRODUCT(PRODUCE!$B267:$DY267,PRODUCE!$EB$50:$IY$50)</f>
        <v>0</v>
      </c>
      <c r="OD266" s="56"/>
      <c r="OE266" s="242">
        <f t="shared" si="1872"/>
        <v>0</v>
      </c>
      <c r="OF266" s="242">
        <f t="shared" si="1873"/>
        <v>1680.5</v>
      </c>
      <c r="OG266" s="56"/>
      <c r="OJ266" s="55">
        <f t="shared" si="1874"/>
        <v>46247</v>
      </c>
      <c r="OK266" s="56"/>
      <c r="OL266" s="242">
        <f>SUMPRODUCT(PRODUCE!$B267:$DY267,PRODUCE!$EB$51:$IY$51)</f>
        <v>0</v>
      </c>
      <c r="OM266" s="56"/>
      <c r="ON266" s="242">
        <f t="shared" si="1875"/>
        <v>0</v>
      </c>
      <c r="OO266" s="242">
        <f t="shared" si="1876"/>
        <v>0</v>
      </c>
      <c r="OP266" s="56"/>
      <c r="OS266" s="55">
        <f t="shared" si="1877"/>
        <v>46247</v>
      </c>
      <c r="OT266" s="56"/>
      <c r="OU266" s="242">
        <f>SUMPRODUCT(PRODUCE!$B267:$DY267,PRODUCE!$EB$52:$IY$52)</f>
        <v>0</v>
      </c>
      <c r="OV266" s="56"/>
      <c r="OW266" s="242">
        <f t="shared" si="1878"/>
        <v>0</v>
      </c>
      <c r="OX266" s="242">
        <f t="shared" si="1879"/>
        <v>1482</v>
      </c>
      <c r="OY266" s="56"/>
      <c r="PB266" s="55">
        <f t="shared" si="1880"/>
        <v>46247</v>
      </c>
      <c r="PC266" s="56"/>
      <c r="PD266" s="242">
        <f>SUMPRODUCT(PRODUCE!$B267:$DY267,PRODUCE!$EB$53:$IY$53)</f>
        <v>0</v>
      </c>
      <c r="PE266" s="56"/>
      <c r="PF266" s="242">
        <f t="shared" si="1881"/>
        <v>0</v>
      </c>
      <c r="PG266" s="242">
        <f t="shared" si="1882"/>
        <v>0</v>
      </c>
      <c r="PH266" s="56"/>
      <c r="PK266" s="55">
        <f t="shared" si="1883"/>
        <v>46247</v>
      </c>
      <c r="PL266" s="56"/>
      <c r="PM266" s="242">
        <f>SUMPRODUCT(PRODUCE!$B267:$DY267,PRODUCE!$EB$54:$IY$54)</f>
        <v>0</v>
      </c>
      <c r="PN266" s="56"/>
      <c r="PO266" s="242">
        <f t="shared" si="1884"/>
        <v>0</v>
      </c>
      <c r="PP266" s="242">
        <f t="shared" si="1885"/>
        <v>100</v>
      </c>
      <c r="PQ266" s="56"/>
      <c r="PT266" s="55">
        <f t="shared" si="1886"/>
        <v>46247</v>
      </c>
      <c r="PU266" s="56"/>
      <c r="PV266" s="242">
        <f>SUMPRODUCT(PRODUCE!$B267:$DY267,PRODUCE!$EB$55:$IY$55)</f>
        <v>0</v>
      </c>
      <c r="PW266" s="56"/>
      <c r="PX266" s="242">
        <f t="shared" si="1887"/>
        <v>0</v>
      </c>
      <c r="PY266" s="242">
        <f t="shared" si="1888"/>
        <v>13.960000000000036</v>
      </c>
      <c r="PZ266" s="56"/>
      <c r="QC266" s="55">
        <f t="shared" si="1889"/>
        <v>46247</v>
      </c>
      <c r="QD266" s="56"/>
      <c r="QE266" s="242">
        <f>SUMPRODUCT(PRODUCE!$B267:$DY267,PRODUCE!$EB$56:$IY$56)</f>
        <v>0</v>
      </c>
      <c r="QF266" s="56"/>
      <c r="QG266" s="242">
        <f t="shared" si="1890"/>
        <v>0</v>
      </c>
      <c r="QH266" s="242">
        <f t="shared" si="1891"/>
        <v>548</v>
      </c>
      <c r="QI266" s="56"/>
      <c r="QL266" s="55">
        <f t="shared" si="1892"/>
        <v>46247</v>
      </c>
      <c r="QM266" s="56"/>
      <c r="QN266" s="242">
        <f>SUMPRODUCT(PRODUCE!$B267:$DY267,PRODUCE!$EB$57:$IY$57)</f>
        <v>0</v>
      </c>
      <c r="QO266" s="56"/>
      <c r="QP266" s="242">
        <f t="shared" si="1893"/>
        <v>0</v>
      </c>
      <c r="QQ266" s="242">
        <f t="shared" si="1894"/>
        <v>0</v>
      </c>
      <c r="QR266" s="56"/>
      <c r="QU266" s="55">
        <f t="shared" si="1895"/>
        <v>46247</v>
      </c>
      <c r="QV266" s="56"/>
      <c r="QW266" s="242">
        <f>SUMPRODUCT(PRODUCE!$B267:$DY267,PRODUCE!$EB$57:$IY$57)</f>
        <v>0</v>
      </c>
      <c r="QX266" s="56">
        <f>10+180.54+17.06</f>
        <v>207.6</v>
      </c>
      <c r="QY266" s="242">
        <f t="shared" si="1896"/>
        <v>-207.6</v>
      </c>
      <c r="QZ266" s="242">
        <f t="shared" si="1897"/>
        <v>0</v>
      </c>
      <c r="RA266" s="56"/>
      <c r="RD266" s="55">
        <f t="shared" si="1898"/>
        <v>46247</v>
      </c>
      <c r="RE266" s="56"/>
      <c r="RF266" s="242">
        <f>SUMPRODUCT(PRODUCE!$B267:$DY267,PRODUCE!$EB$58:$IY$58)</f>
        <v>0</v>
      </c>
      <c r="RG266" s="56"/>
      <c r="RH266" s="242">
        <f t="shared" si="1899"/>
        <v>0</v>
      </c>
      <c r="RI266" s="242">
        <f t="shared" si="1900"/>
        <v>147.04000000000002</v>
      </c>
      <c r="RJ266" s="56"/>
      <c r="RM266" s="55">
        <f t="shared" si="1901"/>
        <v>46247</v>
      </c>
      <c r="RN266" s="56"/>
      <c r="RO266" s="242">
        <f>SUMPRODUCT(PRODUCE!$B267:$DY267,PRODUCE!$EB$59:$IY$59)</f>
        <v>0</v>
      </c>
      <c r="RP266" s="56"/>
      <c r="RQ266" s="242">
        <f t="shared" si="1902"/>
        <v>0</v>
      </c>
      <c r="RR266" s="242">
        <f t="shared" si="1903"/>
        <v>46.8</v>
      </c>
      <c r="RS266" s="56"/>
      <c r="RV266" s="55">
        <f t="shared" si="1904"/>
        <v>46247</v>
      </c>
      <c r="RW266" s="56"/>
      <c r="RX266" s="242">
        <f>SUMPRODUCT(PRODUCE!$B267:$DY267,PRODUCE!$EB$57:$IY$57)</f>
        <v>0</v>
      </c>
      <c r="RY266" s="56"/>
      <c r="RZ266" s="242">
        <f t="shared" si="1905"/>
        <v>0</v>
      </c>
      <c r="SA266" s="242">
        <f t="shared" si="1906"/>
        <v>0</v>
      </c>
      <c r="SB266" s="56"/>
      <c r="SE266" s="55">
        <f t="shared" si="1907"/>
        <v>46247</v>
      </c>
      <c r="SF266" s="56"/>
      <c r="SG266" s="242">
        <f>SUMPRODUCT(PRODUCE!$B267:$DY267,PRODUCE!$EB$61:$IY$61)</f>
        <v>0</v>
      </c>
      <c r="SH266" s="56"/>
      <c r="SI266" s="242">
        <f t="shared" si="1908"/>
        <v>0</v>
      </c>
      <c r="SJ266" s="242">
        <f t="shared" si="1909"/>
        <v>24.200000000000003</v>
      </c>
      <c r="SK266" s="56"/>
      <c r="SN266" s="55">
        <f t="shared" si="1910"/>
        <v>46247</v>
      </c>
      <c r="SO266" s="56"/>
      <c r="SP266" s="242">
        <f>SUMPRODUCT(PRODUCE!$B267:$DY267,PRODUCE!$EB$62:$IY$62)</f>
        <v>0</v>
      </c>
      <c r="SQ266" s="56"/>
      <c r="SR266" s="242">
        <f t="shared" si="1911"/>
        <v>0</v>
      </c>
      <c r="SS266" s="242">
        <f t="shared" si="1912"/>
        <v>32</v>
      </c>
      <c r="ST266" s="56"/>
      <c r="SW266" s="55">
        <f t="shared" si="1913"/>
        <v>46247</v>
      </c>
      <c r="SX266" s="56"/>
      <c r="SY266" s="242">
        <f>SUMPRODUCT(PRODUCE!$B267:$DY267,PRODUCE!$EB$57:$IY$57)</f>
        <v>0</v>
      </c>
      <c r="SZ266" s="56"/>
      <c r="TA266" s="242">
        <f t="shared" si="1914"/>
        <v>0</v>
      </c>
      <c r="TB266" s="242">
        <f t="shared" si="1915"/>
        <v>0</v>
      </c>
      <c r="TC266" s="56"/>
      <c r="TF266" s="55">
        <f t="shared" si="1916"/>
        <v>46247</v>
      </c>
      <c r="TG266" s="56"/>
      <c r="TH266" s="242">
        <f>SUMPRODUCT(PRODUCE!$B267:$DY267,PRODUCE!$EB$57:$IY$57)</f>
        <v>0</v>
      </c>
      <c r="TI266" s="56"/>
      <c r="TJ266" s="242">
        <f t="shared" si="1917"/>
        <v>0</v>
      </c>
      <c r="TK266" s="242">
        <f t="shared" si="1918"/>
        <v>0</v>
      </c>
      <c r="TL266" s="56"/>
      <c r="TO266" s="55">
        <f t="shared" si="1919"/>
        <v>46247</v>
      </c>
      <c r="TP266" s="56"/>
      <c r="TQ266" s="242">
        <f>SUMPRODUCT(PRODUCE!$B267:$DY267,PRODUCE!$EB$57:$IY$57)</f>
        <v>0</v>
      </c>
      <c r="TR266" s="56"/>
      <c r="TS266" s="242">
        <f t="shared" si="1920"/>
        <v>0</v>
      </c>
      <c r="TT266" s="242">
        <f t="shared" si="1921"/>
        <v>0</v>
      </c>
      <c r="TU266" s="56"/>
      <c r="TX266" s="55">
        <f t="shared" si="1922"/>
        <v>46247</v>
      </c>
      <c r="TY266" s="56"/>
      <c r="TZ266" s="242">
        <f>SUMPRODUCT(PRODUCE!$B267:$DY267,PRODUCE!$EB$57:$IY$57)</f>
        <v>0</v>
      </c>
      <c r="UA266" s="56"/>
      <c r="UB266" s="242">
        <f t="shared" si="1923"/>
        <v>0</v>
      </c>
      <c r="UC266" s="242">
        <f t="shared" si="1924"/>
        <v>46.799999999999983</v>
      </c>
      <c r="UD266" s="56"/>
      <c r="UG266" s="55">
        <f t="shared" si="1925"/>
        <v>46247</v>
      </c>
      <c r="UH266" s="56"/>
      <c r="UI266" s="242">
        <f>SUMPRODUCT(PRODUCE!$B267:$DY267,PRODUCE!$EB$57:$IY$57)</f>
        <v>0</v>
      </c>
      <c r="UJ266" s="56"/>
      <c r="UK266" s="242">
        <f t="shared" si="1926"/>
        <v>0</v>
      </c>
      <c r="UL266" s="242">
        <f t="shared" si="1927"/>
        <v>204</v>
      </c>
      <c r="UM266" s="56"/>
      <c r="UP266" s="55">
        <f t="shared" si="1928"/>
        <v>46247</v>
      </c>
      <c r="UQ266" s="56"/>
      <c r="UR266" s="242">
        <f>SUMPRODUCT(PRODUCE!$B267:$DY267,PRODUCE!$EB$57:$IY$57)</f>
        <v>0</v>
      </c>
      <c r="US266" s="56"/>
      <c r="UT266" s="242">
        <f t="shared" si="1929"/>
        <v>0</v>
      </c>
      <c r="UU266" s="242">
        <f t="shared" si="1930"/>
        <v>202.5</v>
      </c>
      <c r="UV266" s="56"/>
      <c r="UY266" s="55">
        <f t="shared" si="1931"/>
        <v>46247</v>
      </c>
      <c r="UZ266" s="56"/>
      <c r="VA266" s="242">
        <f>SUMPRODUCT(PRODUCE!$B267:$DY267,PRODUCE!$EB$57:$IY$57)</f>
        <v>0</v>
      </c>
      <c r="VB266" s="56"/>
      <c r="VC266" s="242">
        <f t="shared" si="1932"/>
        <v>0</v>
      </c>
      <c r="VD266" s="242">
        <f t="shared" si="1933"/>
        <v>41.600000000000023</v>
      </c>
      <c r="VE266" s="56"/>
      <c r="VH266" s="55">
        <f t="shared" si="1934"/>
        <v>46247</v>
      </c>
      <c r="VI266" s="56"/>
      <c r="VJ266" s="242">
        <f>SUMPRODUCT(PRODUCE!$B267:$DY267,PRODUCE!$EB$57:$IY$57)</f>
        <v>0</v>
      </c>
      <c r="VK266" s="56"/>
      <c r="VL266" s="242">
        <f t="shared" si="1935"/>
        <v>0</v>
      </c>
      <c r="VM266" s="242">
        <f t="shared" si="1936"/>
        <v>210</v>
      </c>
      <c r="VN266" s="56"/>
      <c r="VQ266" s="55">
        <f t="shared" si="1937"/>
        <v>46247</v>
      </c>
      <c r="VR266" s="56"/>
      <c r="VS266" s="242">
        <f>SUMPRODUCT(PRODUCE!$B267:$DY267,PRODUCE!$EB$57:$IY$57)</f>
        <v>0</v>
      </c>
      <c r="VT266" s="56"/>
      <c r="VU266" s="242">
        <f t="shared" si="1938"/>
        <v>0</v>
      </c>
      <c r="VV266" s="242">
        <f t="shared" si="1939"/>
        <v>0</v>
      </c>
      <c r="VW266" s="56"/>
      <c r="VZ266" s="55">
        <f t="shared" si="1940"/>
        <v>46247</v>
      </c>
      <c r="WA266" s="56"/>
      <c r="WB266" s="242">
        <f>SUMPRODUCT(PRODUCE!$B267:$DY267,PRODUCE!$EB$57:$IY$57)</f>
        <v>0</v>
      </c>
      <c r="WC266" s="56"/>
      <c r="WD266" s="242">
        <f t="shared" si="1941"/>
        <v>0</v>
      </c>
      <c r="WE266" s="242">
        <f t="shared" si="1942"/>
        <v>0</v>
      </c>
      <c r="WF266" s="56"/>
      <c r="WI266" s="55">
        <f t="shared" si="1943"/>
        <v>46247</v>
      </c>
      <c r="WJ266" s="56"/>
      <c r="WK266" s="242">
        <f>SUMPRODUCT(PRODUCE!$B267:$DY267,PRODUCE!$EB$57:$IY$57)</f>
        <v>0</v>
      </c>
      <c r="WL266" s="56"/>
      <c r="WM266" s="242">
        <f t="shared" si="1944"/>
        <v>0</v>
      </c>
      <c r="WN266" s="242">
        <f t="shared" si="1945"/>
        <v>1057</v>
      </c>
      <c r="WO266" s="56"/>
      <c r="WR266" s="55">
        <f t="shared" si="1946"/>
        <v>46247</v>
      </c>
      <c r="WS266" s="56"/>
      <c r="WT266" s="242">
        <f>SUMPRODUCT(PRODUCE!$B267:$DY267,PRODUCE!$EB$57:$IY$57)</f>
        <v>0</v>
      </c>
      <c r="WU266" s="56"/>
      <c r="WV266" s="242">
        <f t="shared" si="1947"/>
        <v>0</v>
      </c>
      <c r="WW266" s="242">
        <f t="shared" si="1948"/>
        <v>0</v>
      </c>
      <c r="WX266" s="56"/>
      <c r="XA266" s="55">
        <f t="shared" si="1949"/>
        <v>46247</v>
      </c>
      <c r="XB266" s="56"/>
      <c r="XC266" s="242">
        <f>SUMPRODUCT(PRODUCE!$B267:$DY267,PRODUCE!$EB$57:$IY$57)</f>
        <v>0</v>
      </c>
      <c r="XD266" s="56"/>
      <c r="XE266" s="242">
        <f t="shared" si="1950"/>
        <v>0</v>
      </c>
      <c r="XF266" s="242">
        <f t="shared" si="1951"/>
        <v>7507</v>
      </c>
      <c r="XG266" s="56"/>
      <c r="XJ266" s="55">
        <f t="shared" si="1952"/>
        <v>46247</v>
      </c>
      <c r="XK266" s="56"/>
      <c r="XL266" s="242">
        <f>SUMPRODUCT(PRODUCE!$B267:$DY267,PRODUCE!$EB$57:$IY$57)</f>
        <v>0</v>
      </c>
      <c r="XM266" s="56"/>
      <c r="XN266" s="242">
        <f t="shared" si="1953"/>
        <v>0</v>
      </c>
      <c r="XO266" s="242">
        <f t="shared" si="1954"/>
        <v>4252</v>
      </c>
      <c r="XP266" s="56"/>
      <c r="XS266" s="55">
        <f t="shared" si="1955"/>
        <v>46247</v>
      </c>
      <c r="XT266" s="56"/>
      <c r="XU266" s="242">
        <f>SUMPRODUCT(PRODUCE!$B267:$DY267,PRODUCE!$EB$57:$IY$57)</f>
        <v>0</v>
      </c>
      <c r="XV266" s="56"/>
      <c r="XW266" s="242">
        <f t="shared" si="1956"/>
        <v>0</v>
      </c>
      <c r="XX266" s="242">
        <f t="shared" si="1957"/>
        <v>2179</v>
      </c>
      <c r="XY266" s="56"/>
      <c r="YB266" s="55">
        <f t="shared" si="1958"/>
        <v>46247</v>
      </c>
      <c r="YC266" s="56"/>
      <c r="YD266" s="242">
        <f>SUMPRODUCT(PRODUCE!$B267:$DY267,PRODUCE!$EB$57:$IY$57)</f>
        <v>0</v>
      </c>
      <c r="YE266" s="56"/>
      <c r="YF266" s="242">
        <f t="shared" si="1959"/>
        <v>0</v>
      </c>
      <c r="YG266" s="242">
        <f t="shared" si="1960"/>
        <v>4019</v>
      </c>
      <c r="YH266" s="56"/>
      <c r="YK266" s="55">
        <f t="shared" si="1961"/>
        <v>46247</v>
      </c>
      <c r="YL266" s="56"/>
      <c r="YM266" s="242">
        <f>SUMPRODUCT(PRODUCE!$B267:$DY267,PRODUCE!$EB$57:$IY$57)</f>
        <v>0</v>
      </c>
      <c r="YN266" s="56"/>
      <c r="YO266" s="242">
        <f t="shared" si="1962"/>
        <v>0</v>
      </c>
      <c r="YP266" s="242">
        <f t="shared" si="1963"/>
        <v>-218</v>
      </c>
      <c r="YQ266" s="56"/>
      <c r="YT266" s="55">
        <f t="shared" si="1964"/>
        <v>46247</v>
      </c>
      <c r="YU266" s="56"/>
      <c r="YV266" s="242">
        <f>SUMPRODUCT(PRODUCE!$B267:$DY267,PRODUCE!$EB$57:$IY$57)</f>
        <v>0</v>
      </c>
      <c r="YW266" s="56"/>
      <c r="YX266" s="242">
        <f t="shared" si="1965"/>
        <v>0</v>
      </c>
      <c r="YY266" s="242">
        <f t="shared" si="1966"/>
        <v>0</v>
      </c>
      <c r="YZ266" s="56"/>
      <c r="ZC266" s="55">
        <f t="shared" si="1967"/>
        <v>46247</v>
      </c>
      <c r="ZD266" s="56"/>
      <c r="ZE266" s="242">
        <f>SUMPRODUCT(PRODUCE!$B267:$DY267,PRODUCE!$EB$57:$IY$57)</f>
        <v>0</v>
      </c>
      <c r="ZF266" s="56"/>
      <c r="ZG266" s="242">
        <f t="shared" si="1968"/>
        <v>0</v>
      </c>
      <c r="ZH266" s="242">
        <f t="shared" si="1969"/>
        <v>0</v>
      </c>
      <c r="ZI266" s="56"/>
      <c r="ZL266" s="55">
        <f t="shared" si="1970"/>
        <v>46247</v>
      </c>
      <c r="ZM266" s="56"/>
      <c r="ZN266" s="242">
        <f>SUMPRODUCT(PRODUCE!$B267:$DY267,PRODUCE!$EB$57:$IY$57)</f>
        <v>0</v>
      </c>
      <c r="ZO266" s="56"/>
      <c r="ZP266" s="242">
        <f t="shared" si="1971"/>
        <v>0</v>
      </c>
      <c r="ZQ266" s="242">
        <f t="shared" si="1972"/>
        <v>0</v>
      </c>
      <c r="ZR266" s="56"/>
      <c r="ZU266" s="55">
        <f t="shared" si="1973"/>
        <v>46247</v>
      </c>
      <c r="ZV266" s="56"/>
      <c r="ZW266" s="242">
        <f>SUMPRODUCT(PRODUCE!$B267:$DY267,PRODUCE!$EB$57:$IY$57)</f>
        <v>0</v>
      </c>
      <c r="ZX266" s="56"/>
      <c r="ZY266" s="242">
        <f t="shared" si="1974"/>
        <v>0</v>
      </c>
      <c r="ZZ266" s="242">
        <f t="shared" si="1975"/>
        <v>0</v>
      </c>
      <c r="AAA266" s="56"/>
      <c r="AAD266" s="55">
        <f t="shared" si="1976"/>
        <v>46247</v>
      </c>
      <c r="AAE266" s="56"/>
      <c r="AAF266" s="242">
        <f>SUMPRODUCT(PRODUCE!$B267:$DY267,PRODUCE!$EB$57:$IY$57)</f>
        <v>0</v>
      </c>
      <c r="AAG266" s="56"/>
      <c r="AAH266" s="242">
        <f t="shared" si="1977"/>
        <v>0</v>
      </c>
      <c r="AAI266" s="242">
        <f t="shared" si="1978"/>
        <v>0</v>
      </c>
      <c r="AAJ266" s="56"/>
      <c r="AAM266" s="55">
        <f t="shared" si="1979"/>
        <v>46247</v>
      </c>
      <c r="AAN266" s="56"/>
      <c r="AAO266" s="242">
        <f>SUMPRODUCT(PRODUCE!$B267:$DY267,PRODUCE!$EB$57:$IY$57)</f>
        <v>0</v>
      </c>
      <c r="AAP266" s="56"/>
      <c r="AAQ266" s="242">
        <f t="shared" si="1980"/>
        <v>0</v>
      </c>
      <c r="AAR266" s="242">
        <f t="shared" si="1981"/>
        <v>0</v>
      </c>
      <c r="AAS266" s="56"/>
      <c r="AAV266" s="55">
        <f t="shared" si="1982"/>
        <v>46247</v>
      </c>
      <c r="AAW266" s="56"/>
      <c r="AAX266" s="242">
        <f>SUMPRODUCT(PRODUCE!$B267:$DY267,PRODUCE!$EB$57:$IY$57)</f>
        <v>0</v>
      </c>
      <c r="AAY266" s="56"/>
      <c r="AAZ266" s="242">
        <f t="shared" si="1983"/>
        <v>0</v>
      </c>
      <c r="ABA266" s="242">
        <f t="shared" si="1984"/>
        <v>0</v>
      </c>
      <c r="ABB266" s="56"/>
      <c r="ABE266" s="55">
        <f t="shared" si="1985"/>
        <v>46247</v>
      </c>
      <c r="ABF266" s="56"/>
      <c r="ABG266" s="242">
        <f>SUMPRODUCT(PRODUCE!$B267:$DY267,PRODUCE!$EB$57:$IY$57)</f>
        <v>0</v>
      </c>
      <c r="ABH266" s="56"/>
      <c r="ABI266" s="242">
        <f t="shared" si="1986"/>
        <v>0</v>
      </c>
      <c r="ABJ266" s="242">
        <f t="shared" si="1987"/>
        <v>0</v>
      </c>
      <c r="ABK266" s="56"/>
    </row>
    <row r="267" spans="2:739" s="54" customFormat="1" ht="15" customHeight="1" outlineLevel="1">
      <c r="B267" s="478"/>
      <c r="C267" s="55">
        <v>46248</v>
      </c>
      <c r="D267" s="56"/>
      <c r="E267" s="57">
        <f>SUMPRODUCT(PRODUCE!$B268:$DY268,PRODUCE!$EB$7:$IY$7)</f>
        <v>10879</v>
      </c>
      <c r="F267" s="56"/>
      <c r="G267" s="57">
        <f t="shared" si="1743"/>
        <v>10879</v>
      </c>
      <c r="H267" s="57">
        <f t="shared" si="1744"/>
        <v>236936.6</v>
      </c>
      <c r="I267" s="289"/>
      <c r="L267" s="55">
        <f t="shared" si="1745"/>
        <v>46248</v>
      </c>
      <c r="M267" s="56"/>
      <c r="N267" s="59">
        <f>SUMPRODUCT(PRODUCE!$B268:$DY268,PRODUCE!$EB$8:$IY$8)</f>
        <v>5950</v>
      </c>
      <c r="O267" s="56"/>
      <c r="P267" s="59">
        <f t="shared" si="1746"/>
        <v>5950</v>
      </c>
      <c r="Q267" s="59">
        <f t="shared" si="1747"/>
        <v>53017.600000000071</v>
      </c>
      <c r="R267" s="56"/>
      <c r="U267" s="55">
        <f t="shared" si="1748"/>
        <v>46248</v>
      </c>
      <c r="V267" s="56"/>
      <c r="W267" s="60">
        <f>SUMPRODUCT(PRODUCE!$B268:$DY268,PRODUCE!$EB$9:$IY$9)</f>
        <v>1200</v>
      </c>
      <c r="X267" s="56"/>
      <c r="Y267" s="60">
        <f t="shared" si="1749"/>
        <v>1200</v>
      </c>
      <c r="Z267" s="60">
        <f t="shared" si="1750"/>
        <v>42674.199999999968</v>
      </c>
      <c r="AA267" s="56"/>
      <c r="AD267" s="55">
        <f t="shared" si="1751"/>
        <v>46248</v>
      </c>
      <c r="AE267" s="56"/>
      <c r="AF267" s="61">
        <f>SUMPRODUCT(PRODUCE!$B268:$DY268,PRODUCE!$EB$10:$IY$10)</f>
        <v>0</v>
      </c>
      <c r="AG267" s="56"/>
      <c r="AH267" s="61">
        <f t="shared" si="1752"/>
        <v>0</v>
      </c>
      <c r="AI267" s="61">
        <f t="shared" si="1753"/>
        <v>4522.2000000000189</v>
      </c>
      <c r="AJ267" s="56"/>
      <c r="AM267" s="55">
        <f t="shared" si="1754"/>
        <v>46248</v>
      </c>
      <c r="AN267" s="422"/>
      <c r="AO267" s="444">
        <f>SUMPRODUCT(PRODUCE!$B268:$DY268,PRODUCE!$EB$11:$IY$11)</f>
        <v>0</v>
      </c>
      <c r="AP267" s="422"/>
      <c r="AQ267" s="444">
        <f t="shared" si="1755"/>
        <v>0</v>
      </c>
      <c r="AR267" s="444">
        <f t="shared" si="1756"/>
        <v>0</v>
      </c>
      <c r="AS267" s="56"/>
      <c r="AV267" s="55">
        <f t="shared" si="1757"/>
        <v>46248</v>
      </c>
      <c r="AW267" s="56"/>
      <c r="AX267" s="62">
        <f>SUMPRODUCT(PRODUCE!$B268:$DY268,PRODUCE!$EB$12:$IY$12)</f>
        <v>0</v>
      </c>
      <c r="AY267" s="56"/>
      <c r="AZ267" s="62">
        <f t="shared" si="1758"/>
        <v>0</v>
      </c>
      <c r="BA267" s="62">
        <f t="shared" si="1759"/>
        <v>124.99999999999523</v>
      </c>
      <c r="BB267" s="56"/>
      <c r="BE267" s="55">
        <f t="shared" si="1760"/>
        <v>46248</v>
      </c>
      <c r="BF267" s="56"/>
      <c r="BG267" s="63">
        <f>SUMPRODUCT(PRODUCE!$B268:$DY268,PRODUCE!$EB$13:$IY$13)</f>
        <v>0</v>
      </c>
      <c r="BH267" s="56"/>
      <c r="BI267" s="63">
        <f t="shared" si="1761"/>
        <v>0</v>
      </c>
      <c r="BJ267" s="63">
        <f t="shared" si="1762"/>
        <v>26151.899999999998</v>
      </c>
      <c r="BK267" s="56"/>
      <c r="BN267" s="55">
        <f t="shared" si="1763"/>
        <v>46248</v>
      </c>
      <c r="BO267" s="56"/>
      <c r="BP267" s="64">
        <f>SUMPRODUCT(PRODUCE!$B268:$DY268,PRODUCE!$EB$14:$IY$14)</f>
        <v>100</v>
      </c>
      <c r="BQ267" s="56"/>
      <c r="BR267" s="64">
        <f t="shared" si="1764"/>
        <v>100</v>
      </c>
      <c r="BS267" s="64">
        <f t="shared" si="1765"/>
        <v>0</v>
      </c>
      <c r="BT267" s="56"/>
      <c r="BW267" s="55">
        <f t="shared" si="1766"/>
        <v>46248</v>
      </c>
      <c r="BX267" s="56"/>
      <c r="BY267" s="65">
        <f>SUMPRODUCT(PRODUCE!$B268:$DY268,PRODUCE!$EB$15:$IY$15)</f>
        <v>147.10000000000002</v>
      </c>
      <c r="BZ267" s="56"/>
      <c r="CA267" s="65">
        <f t="shared" si="1767"/>
        <v>147.10000000000002</v>
      </c>
      <c r="CB267" s="65">
        <f t="shared" si="1768"/>
        <v>2097.3399999999992</v>
      </c>
      <c r="CC267" s="56"/>
      <c r="CF267" s="55">
        <f t="shared" si="1769"/>
        <v>46248</v>
      </c>
      <c r="CG267" s="56"/>
      <c r="CH267" s="66">
        <f>SUMPRODUCT(PRODUCE!$B268:$DY268,PRODUCE!$EB$16:$IY$16)</f>
        <v>0</v>
      </c>
      <c r="CI267" s="56"/>
      <c r="CJ267" s="66">
        <f t="shared" si="1770"/>
        <v>0</v>
      </c>
      <c r="CK267" s="66">
        <f t="shared" si="1771"/>
        <v>-10277.079999999998</v>
      </c>
      <c r="CL267" s="56"/>
      <c r="CO267" s="55">
        <f t="shared" si="1772"/>
        <v>46248</v>
      </c>
      <c r="CP267" s="422"/>
      <c r="CQ267" s="470">
        <f>SUMPRODUCT(PRODUCE!$B268:$DY268,PRODUCE!$EB$17:$IY$17)</f>
        <v>0</v>
      </c>
      <c r="CR267" s="422"/>
      <c r="CS267" s="470">
        <f t="shared" si="1773"/>
        <v>0</v>
      </c>
      <c r="CT267" s="470">
        <f t="shared" si="1774"/>
        <v>0</v>
      </c>
      <c r="CU267" s="56"/>
      <c r="CX267" s="55">
        <f t="shared" si="1775"/>
        <v>46248</v>
      </c>
      <c r="CY267" s="56"/>
      <c r="CZ267" s="133">
        <f>SUMPRODUCT(PRODUCE!$B268:$DY268,PRODUCE!$EB$18:$IY$18)</f>
        <v>400</v>
      </c>
      <c r="DA267" s="56"/>
      <c r="DB267" s="133">
        <f t="shared" si="1776"/>
        <v>400</v>
      </c>
      <c r="DC267" s="133">
        <f t="shared" si="1777"/>
        <v>27438.200000000012</v>
      </c>
      <c r="DD267" s="56"/>
      <c r="DG267" s="55">
        <f t="shared" si="1778"/>
        <v>46248</v>
      </c>
      <c r="DH267" s="56"/>
      <c r="DI267" s="147">
        <f>SUMPRODUCT(PRODUCE!$B268:$DY268,PRODUCE!$EB$19:$IY$19)</f>
        <v>0</v>
      </c>
      <c r="DJ267" s="56"/>
      <c r="DK267" s="147">
        <f t="shared" si="1779"/>
        <v>0</v>
      </c>
      <c r="DL267" s="147">
        <f t="shared" si="1780"/>
        <v>18782.299999999981</v>
      </c>
      <c r="DM267" s="56"/>
      <c r="DP267" s="55">
        <f t="shared" si="1781"/>
        <v>46248</v>
      </c>
      <c r="DQ267" s="56"/>
      <c r="DR267" s="57">
        <f>SUMPRODUCT(PRODUCE!$B268:$DY268,PRODUCE!$EB$20:$IY$20)</f>
        <v>0</v>
      </c>
      <c r="DS267" s="56"/>
      <c r="DT267" s="57">
        <f t="shared" si="1782"/>
        <v>0</v>
      </c>
      <c r="DU267" s="57">
        <f t="shared" si="1783"/>
        <v>5800</v>
      </c>
      <c r="DV267" s="56"/>
      <c r="DY267" s="55">
        <f t="shared" si="1784"/>
        <v>46248</v>
      </c>
      <c r="DZ267" s="56"/>
      <c r="EA267" s="157">
        <f>SUMPRODUCT(PRODUCE!$B268:$DY268,PRODUCE!$EB$21:$IY$21)</f>
        <v>0</v>
      </c>
      <c r="EB267" s="56"/>
      <c r="EC267" s="157">
        <f t="shared" si="1785"/>
        <v>0</v>
      </c>
      <c r="ED267" s="157">
        <f t="shared" si="1786"/>
        <v>0</v>
      </c>
      <c r="EE267" s="56"/>
      <c r="EH267" s="55">
        <f t="shared" si="1787"/>
        <v>46248</v>
      </c>
      <c r="EI267" s="56"/>
      <c r="EJ267" s="162">
        <f>SUMPRODUCT(PRODUCE!$B268:$DY268,PRODUCE!$EB$22:$IY$22)</f>
        <v>0</v>
      </c>
      <c r="EK267" s="56"/>
      <c r="EL267" s="162">
        <f t="shared" si="1788"/>
        <v>0</v>
      </c>
      <c r="EM267" s="162">
        <f t="shared" si="1789"/>
        <v>0</v>
      </c>
      <c r="EN267" s="56"/>
      <c r="EQ267" s="55">
        <f t="shared" si="1790"/>
        <v>46248</v>
      </c>
      <c r="ER267" s="56"/>
      <c r="ES267" s="135">
        <f>SUMPRODUCT(PRODUCE!$B268:$DY268,PRODUCE!$EB$23:$IY$23)</f>
        <v>0</v>
      </c>
      <c r="ET267" s="56"/>
      <c r="EU267" s="135">
        <f t="shared" si="1791"/>
        <v>0</v>
      </c>
      <c r="EV267" s="135">
        <f t="shared" si="1792"/>
        <v>0</v>
      </c>
      <c r="EW267" s="56"/>
      <c r="EZ267" s="55">
        <f t="shared" si="1793"/>
        <v>46248</v>
      </c>
      <c r="FA267" s="56"/>
      <c r="FB267" s="175">
        <f>SUMPRODUCT(PRODUCE!$B268:$DY268,PRODUCE!$EB$24:$IY$24)</f>
        <v>0</v>
      </c>
      <c r="FC267" s="56"/>
      <c r="FD267" s="175">
        <f t="shared" si="1794"/>
        <v>0</v>
      </c>
      <c r="FE267" s="175">
        <f t="shared" si="1795"/>
        <v>0</v>
      </c>
      <c r="FF267" s="56"/>
      <c r="FI267" s="55">
        <f t="shared" si="1796"/>
        <v>46248</v>
      </c>
      <c r="FJ267" s="56"/>
      <c r="FK267" s="183">
        <f>SUMPRODUCT(PRODUCE!$B268:$DY268,PRODUCE!$EB$25:$IY$25)</f>
        <v>0</v>
      </c>
      <c r="FL267" s="56"/>
      <c r="FM267" s="183">
        <f t="shared" si="1797"/>
        <v>0</v>
      </c>
      <c r="FN267" s="183">
        <f t="shared" si="1798"/>
        <v>0</v>
      </c>
      <c r="FO267" s="56"/>
      <c r="FR267" s="55">
        <f t="shared" si="1799"/>
        <v>46248</v>
      </c>
      <c r="FS267" s="56"/>
      <c r="FT267" s="186">
        <f>SUMPRODUCT(PRODUCE!$B268:$DY268,PRODUCE!$EB$26:$IY$26)</f>
        <v>0</v>
      </c>
      <c r="FU267" s="56"/>
      <c r="FV267" s="186">
        <f t="shared" si="1800"/>
        <v>0</v>
      </c>
      <c r="FW267" s="186">
        <f t="shared" si="1801"/>
        <v>20</v>
      </c>
      <c r="FX267" s="56"/>
      <c r="GA267" s="55">
        <f t="shared" si="1802"/>
        <v>46248</v>
      </c>
      <c r="GB267" s="56"/>
      <c r="GC267" s="137">
        <f>SUMPRODUCT(PRODUCE!$B268:$DY268,PRODUCE!$EB$27:$IY$27)</f>
        <v>0</v>
      </c>
      <c r="GD267" s="56"/>
      <c r="GE267" s="137">
        <f t="shared" si="1803"/>
        <v>0</v>
      </c>
      <c r="GF267" s="137">
        <f t="shared" si="1804"/>
        <v>960</v>
      </c>
      <c r="GG267" s="56"/>
      <c r="GI267" s="23"/>
      <c r="GJ267" s="55">
        <f t="shared" si="1805"/>
        <v>46248</v>
      </c>
      <c r="GK267" s="56"/>
      <c r="GL267" s="199">
        <f>SUMPRODUCT(PRODUCE!$B268:$DY268,PRODUCE!$EB$28:$IY$28)</f>
        <v>0</v>
      </c>
      <c r="GM267" s="56"/>
      <c r="GN267" s="199">
        <f t="shared" si="1806"/>
        <v>0</v>
      </c>
      <c r="GO267" s="199">
        <f t="shared" si="1807"/>
        <v>1760</v>
      </c>
      <c r="GP267" s="56"/>
      <c r="GS267" s="55">
        <f t="shared" si="1808"/>
        <v>46248</v>
      </c>
      <c r="GT267" s="56"/>
      <c r="GU267" s="195">
        <f>SUMPRODUCT(PRODUCE!$B268:$DY268,PRODUCE!$EB$29:$IY$29)</f>
        <v>0</v>
      </c>
      <c r="GV267" s="56"/>
      <c r="GW267" s="195">
        <f t="shared" si="1809"/>
        <v>0</v>
      </c>
      <c r="GX267" s="195">
        <f t="shared" si="1810"/>
        <v>400</v>
      </c>
      <c r="GY267" s="56"/>
      <c r="HB267" s="55">
        <f t="shared" si="1811"/>
        <v>46248</v>
      </c>
      <c r="HC267" s="56"/>
      <c r="HD267" s="191">
        <f>SUMPRODUCT(PRODUCE!$B268:$DY268,PRODUCE!$EB$30:$IY$30)</f>
        <v>0</v>
      </c>
      <c r="HE267" s="56"/>
      <c r="HF267" s="191">
        <f t="shared" si="1812"/>
        <v>0</v>
      </c>
      <c r="HG267" s="191">
        <f t="shared" si="1813"/>
        <v>3600</v>
      </c>
      <c r="HH267" s="56"/>
      <c r="HK267" s="55">
        <f t="shared" si="1814"/>
        <v>46248</v>
      </c>
      <c r="HL267" s="56"/>
      <c r="HM267" s="63">
        <f>SUMPRODUCT(PRODUCE!$B268:$DY268,PRODUCE!$EB$31:$IY$31)</f>
        <v>0</v>
      </c>
      <c r="HN267" s="56"/>
      <c r="HO267" s="63">
        <f t="shared" si="1815"/>
        <v>0</v>
      </c>
      <c r="HP267" s="63">
        <f t="shared" si="1816"/>
        <v>0</v>
      </c>
      <c r="HQ267" s="56"/>
      <c r="HU267" s="55">
        <f t="shared" si="1817"/>
        <v>46248</v>
      </c>
      <c r="HV267" s="56"/>
      <c r="HW267" s="242">
        <f>SUMPRODUCT(PRODUCE!$B268:$DY268,PRODUCE!$EB$32:$IY$32)</f>
        <v>0</v>
      </c>
      <c r="HX267" s="56"/>
      <c r="HY267" s="242">
        <f t="shared" si="1818"/>
        <v>0</v>
      </c>
      <c r="HZ267" s="242">
        <f t="shared" si="1819"/>
        <v>4280</v>
      </c>
      <c r="IA267" s="56"/>
      <c r="ID267" s="55">
        <f t="shared" si="1820"/>
        <v>46248</v>
      </c>
      <c r="IE267" s="56"/>
      <c r="IF267" s="242">
        <f>SUMPRODUCT(PRODUCE!$B268:$DY268,PRODUCE!$EB$33:$IY$33)</f>
        <v>0</v>
      </c>
      <c r="IG267" s="56"/>
      <c r="IH267" s="242">
        <f t="shared" si="1821"/>
        <v>0</v>
      </c>
      <c r="II267" s="242">
        <f t="shared" si="1822"/>
        <v>60</v>
      </c>
      <c r="IJ267" s="56"/>
      <c r="IM267" s="55">
        <f t="shared" si="1823"/>
        <v>46248</v>
      </c>
      <c r="IN267" s="56"/>
      <c r="IO267" s="242">
        <f>SUMPRODUCT(PRODUCE!$B268:$DY268,PRODUCE!$EB$34:$IY$34)</f>
        <v>0</v>
      </c>
      <c r="IP267" s="56"/>
      <c r="IQ267" s="242">
        <f t="shared" si="1824"/>
        <v>0</v>
      </c>
      <c r="IR267" s="242">
        <f t="shared" si="1825"/>
        <v>0</v>
      </c>
      <c r="IS267" s="56"/>
      <c r="IV267" s="55">
        <f t="shared" si="1826"/>
        <v>46248</v>
      </c>
      <c r="IW267" s="56"/>
      <c r="IX267" s="242">
        <f>SUMPRODUCT(PRODUCE!$B268:$DY268,PRODUCE!$EB$35:$IY$35)</f>
        <v>0</v>
      </c>
      <c r="IY267" s="56"/>
      <c r="IZ267" s="242">
        <f t="shared" si="1827"/>
        <v>0</v>
      </c>
      <c r="JA267" s="242">
        <f t="shared" si="1828"/>
        <v>2960</v>
      </c>
      <c r="JB267" s="56"/>
      <c r="JE267" s="55">
        <f t="shared" si="1829"/>
        <v>46248</v>
      </c>
      <c r="JF267" s="56"/>
      <c r="JG267" s="242">
        <f>SUMPRODUCT(PRODUCE!$B268:$DY268,PRODUCE!$EB$36:$IY$36)</f>
        <v>0</v>
      </c>
      <c r="JH267" s="56"/>
      <c r="JI267" s="242">
        <f t="shared" si="1830"/>
        <v>0</v>
      </c>
      <c r="JJ267" s="242">
        <f t="shared" si="1831"/>
        <v>0</v>
      </c>
      <c r="JK267" s="56"/>
      <c r="JN267" s="55">
        <f t="shared" si="1832"/>
        <v>46248</v>
      </c>
      <c r="JO267" s="56"/>
      <c r="JP267" s="242">
        <f>SUMPRODUCT(PRODUCE!$B268:$DY268,PRODUCE!$EB$37:$IY$37)</f>
        <v>0</v>
      </c>
      <c r="JQ267" s="56"/>
      <c r="JR267" s="242">
        <f t="shared" si="1833"/>
        <v>0</v>
      </c>
      <c r="JS267" s="242">
        <f t="shared" si="1834"/>
        <v>0</v>
      </c>
      <c r="JT267" s="56"/>
      <c r="JW267" s="55">
        <f t="shared" si="1835"/>
        <v>46248</v>
      </c>
      <c r="JX267" s="56"/>
      <c r="JY267" s="242">
        <f>SUMPRODUCT(PRODUCE!$B268:$DY268,PRODUCE!$EB$38:$IY$38)</f>
        <v>0</v>
      </c>
      <c r="JZ267" s="56"/>
      <c r="KA267" s="242">
        <f t="shared" si="1836"/>
        <v>0</v>
      </c>
      <c r="KB267" s="242">
        <f t="shared" si="1837"/>
        <v>2540</v>
      </c>
      <c r="KC267" s="56"/>
      <c r="KF267" s="55">
        <f t="shared" si="1838"/>
        <v>46248</v>
      </c>
      <c r="KG267" s="56"/>
      <c r="KH267" s="242">
        <f>SUMPRODUCT(PRODUCE!$B268:$DY268,PRODUCE!$EB$39:$IY$39)</f>
        <v>0</v>
      </c>
      <c r="KI267" s="56"/>
      <c r="KJ267" s="242">
        <f t="shared" si="1839"/>
        <v>0</v>
      </c>
      <c r="KK267" s="242">
        <f t="shared" si="1840"/>
        <v>2359.5</v>
      </c>
      <c r="KL267" s="56"/>
      <c r="KO267" s="55">
        <f t="shared" si="1841"/>
        <v>46248</v>
      </c>
      <c r="KP267" s="56"/>
      <c r="KQ267" s="242">
        <f>SUMPRODUCT(PRODUCE!$B268:$DY268,PRODUCE!$EB$40:$IY$40)</f>
        <v>0</v>
      </c>
      <c r="KR267" s="56"/>
      <c r="KS267" s="242">
        <f t="shared" si="1842"/>
        <v>0</v>
      </c>
      <c r="KT267" s="242">
        <f t="shared" si="1843"/>
        <v>1890</v>
      </c>
      <c r="KU267" s="56"/>
      <c r="KW267" s="23"/>
      <c r="KX267" s="55">
        <f t="shared" si="1844"/>
        <v>46248</v>
      </c>
      <c r="KY267" s="56"/>
      <c r="KZ267" s="242">
        <f>SUMPRODUCT(PRODUCE!$B268:$DY268,PRODUCE!$EB$41:$IY$41)</f>
        <v>0</v>
      </c>
      <c r="LA267" s="56"/>
      <c r="LB267" s="242">
        <f t="shared" si="1845"/>
        <v>0</v>
      </c>
      <c r="LC267" s="242">
        <f t="shared" si="1846"/>
        <v>3690</v>
      </c>
      <c r="LD267" s="56"/>
      <c r="LG267" s="55">
        <f t="shared" si="1847"/>
        <v>46248</v>
      </c>
      <c r="LH267" s="56"/>
      <c r="LI267" s="242">
        <f>SUMPRODUCT(PRODUCE!$B268:$DY268,PRODUCE!$EB$42:$IY$42)</f>
        <v>0</v>
      </c>
      <c r="LJ267" s="56"/>
      <c r="LK267" s="242">
        <f t="shared" si="1848"/>
        <v>0</v>
      </c>
      <c r="LL267" s="242">
        <f t="shared" si="1849"/>
        <v>4000</v>
      </c>
      <c r="LM267" s="56"/>
      <c r="LP267" s="55">
        <f t="shared" si="1850"/>
        <v>46248</v>
      </c>
      <c r="LQ267" s="56"/>
      <c r="LR267" s="242">
        <f>SUMPRODUCT(PRODUCE!$B282:$DY282,PRODUCE!$EB$43:$IY$43)</f>
        <v>0</v>
      </c>
      <c r="LS267" s="56"/>
      <c r="LT267" s="242">
        <f t="shared" si="1851"/>
        <v>0</v>
      </c>
      <c r="LU267" s="242">
        <f t="shared" si="1852"/>
        <v>0</v>
      </c>
      <c r="LV267" s="56"/>
      <c r="LY267" s="55">
        <f t="shared" si="1853"/>
        <v>46248</v>
      </c>
      <c r="LZ267" s="56"/>
      <c r="MA267" s="242">
        <f>SUMPRODUCT(PRODUCE!$B268:$DY268,PRODUCE!$EB$44:$IY$44)</f>
        <v>0</v>
      </c>
      <c r="MB267" s="56"/>
      <c r="MC267" s="242">
        <f t="shared" si="1854"/>
        <v>0</v>
      </c>
      <c r="MD267" s="242">
        <f t="shared" si="1855"/>
        <v>0</v>
      </c>
      <c r="ME267" s="56"/>
      <c r="MH267" s="55">
        <f t="shared" si="1856"/>
        <v>46248</v>
      </c>
      <c r="MI267" s="56"/>
      <c r="MJ267" s="242">
        <f>SUMPRODUCT(PRODUCE!$B268:$DY268,PRODUCE!$EB$45:$IY$45)</f>
        <v>0</v>
      </c>
      <c r="MK267" s="56"/>
      <c r="ML267" s="242">
        <f t="shared" si="1857"/>
        <v>0</v>
      </c>
      <c r="MM267" s="242">
        <f t="shared" si="1858"/>
        <v>0</v>
      </c>
      <c r="MN267" s="56"/>
      <c r="MQ267" s="55">
        <f t="shared" si="1859"/>
        <v>46248</v>
      </c>
      <c r="MR267" s="56"/>
      <c r="MS267" s="242">
        <f>SUMPRODUCT(PRODUCE!$B268:$DY268,PRODUCE!$EB$46:$IY$46)</f>
        <v>0</v>
      </c>
      <c r="MT267" s="56"/>
      <c r="MU267" s="242">
        <f t="shared" si="1860"/>
        <v>0</v>
      </c>
      <c r="MV267" s="242">
        <f t="shared" si="1861"/>
        <v>1625</v>
      </c>
      <c r="MW267" s="56"/>
      <c r="MZ267" s="55">
        <f t="shared" si="1862"/>
        <v>46248</v>
      </c>
      <c r="NA267" s="56"/>
      <c r="NB267" s="242">
        <f>SUMPRODUCT(PRODUCE!$B268:$DY268,PRODUCE!$EB$47:$IY$47)</f>
        <v>0</v>
      </c>
      <c r="NC267" s="56"/>
      <c r="ND267" s="242">
        <f t="shared" si="1863"/>
        <v>0</v>
      </c>
      <c r="NE267" s="242">
        <f t="shared" si="1864"/>
        <v>0</v>
      </c>
      <c r="NF267" s="56"/>
      <c r="NI267" s="55">
        <f t="shared" si="1865"/>
        <v>46248</v>
      </c>
      <c r="NJ267" s="56"/>
      <c r="NK267" s="242">
        <f>SUMPRODUCT(PRODUCE!$B268:$DY268,PRODUCE!$EB$48:$IY$48)</f>
        <v>0</v>
      </c>
      <c r="NL267" s="56"/>
      <c r="NM267" s="242">
        <f t="shared" si="1866"/>
        <v>0</v>
      </c>
      <c r="NN267" s="242">
        <f t="shared" si="1867"/>
        <v>1127</v>
      </c>
      <c r="NO267" s="56"/>
      <c r="NR267" s="55">
        <f t="shared" si="1868"/>
        <v>46248</v>
      </c>
      <c r="NS267" s="56"/>
      <c r="NT267" s="242">
        <f>SUMPRODUCT(PRODUCE!$B268:$DY268,PRODUCE!$EB$49:$IY$49)</f>
        <v>0</v>
      </c>
      <c r="NU267" s="56"/>
      <c r="NV267" s="242">
        <f t="shared" si="1869"/>
        <v>0</v>
      </c>
      <c r="NW267" s="242">
        <f t="shared" si="1870"/>
        <v>3111.9999999999995</v>
      </c>
      <c r="NX267" s="56"/>
      <c r="OA267" s="55">
        <f t="shared" si="1871"/>
        <v>46248</v>
      </c>
      <c r="OB267" s="56"/>
      <c r="OC267" s="242">
        <f>SUMPRODUCT(PRODUCE!$B268:$DY268,PRODUCE!$EB$50:$IY$50)</f>
        <v>0</v>
      </c>
      <c r="OD267" s="56"/>
      <c r="OE267" s="242">
        <f t="shared" si="1872"/>
        <v>0</v>
      </c>
      <c r="OF267" s="242">
        <f t="shared" si="1873"/>
        <v>1680.5</v>
      </c>
      <c r="OG267" s="56"/>
      <c r="OJ267" s="55">
        <f t="shared" si="1874"/>
        <v>46248</v>
      </c>
      <c r="OK267" s="56"/>
      <c r="OL267" s="242">
        <f>SUMPRODUCT(PRODUCE!$B268:$DY268,PRODUCE!$EB$51:$IY$51)</f>
        <v>0</v>
      </c>
      <c r="OM267" s="56"/>
      <c r="ON267" s="242">
        <f t="shared" si="1875"/>
        <v>0</v>
      </c>
      <c r="OO267" s="242">
        <f t="shared" si="1876"/>
        <v>0</v>
      </c>
      <c r="OP267" s="56"/>
      <c r="OS267" s="55">
        <f t="shared" si="1877"/>
        <v>46248</v>
      </c>
      <c r="OT267" s="56"/>
      <c r="OU267" s="242">
        <f>SUMPRODUCT(PRODUCE!$B268:$DY268,PRODUCE!$EB$52:$IY$52)</f>
        <v>0</v>
      </c>
      <c r="OV267" s="56"/>
      <c r="OW267" s="242">
        <f t="shared" si="1878"/>
        <v>0</v>
      </c>
      <c r="OX267" s="242">
        <f t="shared" si="1879"/>
        <v>1482</v>
      </c>
      <c r="OY267" s="56"/>
      <c r="PB267" s="55">
        <f t="shared" si="1880"/>
        <v>46248</v>
      </c>
      <c r="PC267" s="56"/>
      <c r="PD267" s="242">
        <f>SUMPRODUCT(PRODUCE!$B268:$DY268,PRODUCE!$EB$53:$IY$53)</f>
        <v>0</v>
      </c>
      <c r="PE267" s="56"/>
      <c r="PF267" s="242">
        <f t="shared" si="1881"/>
        <v>0</v>
      </c>
      <c r="PG267" s="242">
        <f t="shared" si="1882"/>
        <v>0</v>
      </c>
      <c r="PH267" s="56"/>
      <c r="PK267" s="55">
        <f t="shared" si="1883"/>
        <v>46248</v>
      </c>
      <c r="PL267" s="56"/>
      <c r="PM267" s="242">
        <f>SUMPRODUCT(PRODUCE!$B268:$DY268,PRODUCE!$EB$54:$IY$54)</f>
        <v>0</v>
      </c>
      <c r="PN267" s="56"/>
      <c r="PO267" s="242">
        <f t="shared" si="1884"/>
        <v>0</v>
      </c>
      <c r="PP267" s="242">
        <f t="shared" si="1885"/>
        <v>100</v>
      </c>
      <c r="PQ267" s="56"/>
      <c r="PT267" s="55">
        <f t="shared" si="1886"/>
        <v>46248</v>
      </c>
      <c r="PU267" s="56"/>
      <c r="PV267" s="242">
        <f>SUMPRODUCT(PRODUCE!$B268:$DY268,PRODUCE!$EB$55:$IY$55)</f>
        <v>0</v>
      </c>
      <c r="PW267" s="56"/>
      <c r="PX267" s="242">
        <f t="shared" si="1887"/>
        <v>0</v>
      </c>
      <c r="PY267" s="242">
        <f t="shared" si="1888"/>
        <v>13.960000000000036</v>
      </c>
      <c r="PZ267" s="56"/>
      <c r="QC267" s="55">
        <f t="shared" si="1889"/>
        <v>46248</v>
      </c>
      <c r="QD267" s="56"/>
      <c r="QE267" s="242">
        <f>SUMPRODUCT(PRODUCE!$B268:$DY268,PRODUCE!$EB$56:$IY$56)</f>
        <v>0</v>
      </c>
      <c r="QF267" s="56"/>
      <c r="QG267" s="242">
        <f t="shared" si="1890"/>
        <v>0</v>
      </c>
      <c r="QH267" s="242">
        <f t="shared" si="1891"/>
        <v>548</v>
      </c>
      <c r="QI267" s="56"/>
      <c r="QL267" s="55">
        <f t="shared" si="1892"/>
        <v>46248</v>
      </c>
      <c r="QM267" s="56"/>
      <c r="QN267" s="242">
        <f>SUMPRODUCT(PRODUCE!$B268:$DY268,PRODUCE!$EB$57:$IY$57)</f>
        <v>0</v>
      </c>
      <c r="QO267" s="56"/>
      <c r="QP267" s="242">
        <f t="shared" si="1893"/>
        <v>0</v>
      </c>
      <c r="QQ267" s="242">
        <f t="shared" si="1894"/>
        <v>0</v>
      </c>
      <c r="QR267" s="56"/>
      <c r="QU267" s="55">
        <f t="shared" si="1895"/>
        <v>46248</v>
      </c>
      <c r="QV267" s="56"/>
      <c r="QW267" s="242">
        <f>SUMPRODUCT(PRODUCE!$B268:$DY268,PRODUCE!$EB$57:$IY$57)</f>
        <v>0</v>
      </c>
      <c r="QX267" s="56"/>
      <c r="QY267" s="242">
        <f t="shared" si="1896"/>
        <v>0</v>
      </c>
      <c r="QZ267" s="242">
        <f t="shared" si="1897"/>
        <v>0</v>
      </c>
      <c r="RA267" s="56"/>
      <c r="RD267" s="55">
        <f t="shared" si="1898"/>
        <v>46248</v>
      </c>
      <c r="RE267" s="56"/>
      <c r="RF267" s="242">
        <f>SUMPRODUCT(PRODUCE!$B268:$DY268,PRODUCE!$EB$58:$IY$58)</f>
        <v>0</v>
      </c>
      <c r="RG267" s="56"/>
      <c r="RH267" s="242">
        <f t="shared" si="1899"/>
        <v>0</v>
      </c>
      <c r="RI267" s="242">
        <f t="shared" si="1900"/>
        <v>147.04000000000002</v>
      </c>
      <c r="RJ267" s="56"/>
      <c r="RM267" s="55">
        <f t="shared" si="1901"/>
        <v>46248</v>
      </c>
      <c r="RN267" s="56"/>
      <c r="RO267" s="242">
        <f>SUMPRODUCT(PRODUCE!$B268:$DY268,PRODUCE!$EB$59:$IY$59)</f>
        <v>0</v>
      </c>
      <c r="RP267" s="56"/>
      <c r="RQ267" s="242">
        <f t="shared" si="1902"/>
        <v>0</v>
      </c>
      <c r="RR267" s="242">
        <f t="shared" si="1903"/>
        <v>46.8</v>
      </c>
      <c r="RS267" s="56"/>
      <c r="RV267" s="55">
        <f t="shared" si="1904"/>
        <v>46248</v>
      </c>
      <c r="RW267" s="56"/>
      <c r="RX267" s="242">
        <f>SUMPRODUCT(PRODUCE!$B268:$DY268,PRODUCE!$EB$57:$IY$57)</f>
        <v>0</v>
      </c>
      <c r="RY267" s="56"/>
      <c r="RZ267" s="242">
        <f t="shared" si="1905"/>
        <v>0</v>
      </c>
      <c r="SA267" s="242">
        <f t="shared" si="1906"/>
        <v>0</v>
      </c>
      <c r="SB267" s="56"/>
      <c r="SE267" s="55">
        <f t="shared" si="1907"/>
        <v>46248</v>
      </c>
      <c r="SF267" s="56"/>
      <c r="SG267" s="242">
        <f>SUMPRODUCT(PRODUCE!$B268:$DY268,PRODUCE!$EB$61:$IY$61)</f>
        <v>0</v>
      </c>
      <c r="SH267" s="56"/>
      <c r="SI267" s="242">
        <f t="shared" si="1908"/>
        <v>0</v>
      </c>
      <c r="SJ267" s="242">
        <f t="shared" si="1909"/>
        <v>24.200000000000003</v>
      </c>
      <c r="SK267" s="56"/>
      <c r="SN267" s="55">
        <f t="shared" si="1910"/>
        <v>46248</v>
      </c>
      <c r="SO267" s="56"/>
      <c r="SP267" s="242">
        <f>SUMPRODUCT(PRODUCE!$B268:$DY268,PRODUCE!$EB$62:$IY$62)</f>
        <v>0</v>
      </c>
      <c r="SQ267" s="56"/>
      <c r="SR267" s="242">
        <f t="shared" si="1911"/>
        <v>0</v>
      </c>
      <c r="SS267" s="242">
        <f t="shared" si="1912"/>
        <v>32</v>
      </c>
      <c r="ST267" s="56"/>
      <c r="SW267" s="55">
        <f t="shared" si="1913"/>
        <v>46248</v>
      </c>
      <c r="SX267" s="56"/>
      <c r="SY267" s="242">
        <f>SUMPRODUCT(PRODUCE!$B268:$DY268,PRODUCE!$EB$57:$IY$57)</f>
        <v>0</v>
      </c>
      <c r="SZ267" s="56"/>
      <c r="TA267" s="242">
        <f t="shared" si="1914"/>
        <v>0</v>
      </c>
      <c r="TB267" s="242">
        <f t="shared" si="1915"/>
        <v>0</v>
      </c>
      <c r="TC267" s="56"/>
      <c r="TF267" s="55">
        <f t="shared" si="1916"/>
        <v>46248</v>
      </c>
      <c r="TG267" s="56"/>
      <c r="TH267" s="242">
        <f>SUMPRODUCT(PRODUCE!$B268:$DY268,PRODUCE!$EB$57:$IY$57)</f>
        <v>0</v>
      </c>
      <c r="TI267" s="56"/>
      <c r="TJ267" s="242">
        <f t="shared" si="1917"/>
        <v>0</v>
      </c>
      <c r="TK267" s="242">
        <f t="shared" si="1918"/>
        <v>0</v>
      </c>
      <c r="TL267" s="56"/>
      <c r="TO267" s="55">
        <f t="shared" si="1919"/>
        <v>46248</v>
      </c>
      <c r="TP267" s="56"/>
      <c r="TQ267" s="242">
        <f>SUMPRODUCT(PRODUCE!$B268:$DY268,PRODUCE!$EB$57:$IY$57)</f>
        <v>0</v>
      </c>
      <c r="TR267" s="56"/>
      <c r="TS267" s="242">
        <f t="shared" si="1920"/>
        <v>0</v>
      </c>
      <c r="TT267" s="242">
        <f t="shared" si="1921"/>
        <v>0</v>
      </c>
      <c r="TU267" s="56"/>
      <c r="TX267" s="55">
        <f t="shared" si="1922"/>
        <v>46248</v>
      </c>
      <c r="TY267" s="56"/>
      <c r="TZ267" s="242">
        <f>SUMPRODUCT(PRODUCE!$B268:$DY268,PRODUCE!$EB$57:$IY$57)</f>
        <v>0</v>
      </c>
      <c r="UA267" s="56"/>
      <c r="UB267" s="242">
        <f t="shared" si="1923"/>
        <v>0</v>
      </c>
      <c r="UC267" s="242">
        <f t="shared" si="1924"/>
        <v>46.799999999999983</v>
      </c>
      <c r="UD267" s="56"/>
      <c r="UG267" s="55">
        <f t="shared" si="1925"/>
        <v>46248</v>
      </c>
      <c r="UH267" s="56"/>
      <c r="UI267" s="242">
        <f>SUMPRODUCT(PRODUCE!$B268:$DY268,PRODUCE!$EB$57:$IY$57)</f>
        <v>0</v>
      </c>
      <c r="UJ267" s="56"/>
      <c r="UK267" s="242">
        <f t="shared" si="1926"/>
        <v>0</v>
      </c>
      <c r="UL267" s="242">
        <f t="shared" si="1927"/>
        <v>204</v>
      </c>
      <c r="UM267" s="56"/>
      <c r="UP267" s="55">
        <f t="shared" si="1928"/>
        <v>46248</v>
      </c>
      <c r="UQ267" s="56"/>
      <c r="UR267" s="242">
        <f>SUMPRODUCT(PRODUCE!$B268:$DY268,PRODUCE!$EB$57:$IY$57)</f>
        <v>0</v>
      </c>
      <c r="US267" s="56"/>
      <c r="UT267" s="242">
        <f t="shared" si="1929"/>
        <v>0</v>
      </c>
      <c r="UU267" s="242">
        <f t="shared" si="1930"/>
        <v>202.5</v>
      </c>
      <c r="UV267" s="56"/>
      <c r="UY267" s="55">
        <f t="shared" si="1931"/>
        <v>46248</v>
      </c>
      <c r="UZ267" s="56"/>
      <c r="VA267" s="242">
        <f>SUMPRODUCT(PRODUCE!$B268:$DY268,PRODUCE!$EB$57:$IY$57)</f>
        <v>0</v>
      </c>
      <c r="VB267" s="56"/>
      <c r="VC267" s="242">
        <f t="shared" si="1932"/>
        <v>0</v>
      </c>
      <c r="VD267" s="242">
        <f t="shared" si="1933"/>
        <v>41.600000000000023</v>
      </c>
      <c r="VE267" s="56"/>
      <c r="VH267" s="55">
        <f t="shared" si="1934"/>
        <v>46248</v>
      </c>
      <c r="VI267" s="56"/>
      <c r="VJ267" s="242">
        <f>SUMPRODUCT(PRODUCE!$B268:$DY268,PRODUCE!$EB$57:$IY$57)</f>
        <v>0</v>
      </c>
      <c r="VK267" s="56"/>
      <c r="VL267" s="242">
        <f t="shared" si="1935"/>
        <v>0</v>
      </c>
      <c r="VM267" s="242">
        <f t="shared" si="1936"/>
        <v>210</v>
      </c>
      <c r="VN267" s="56"/>
      <c r="VQ267" s="55">
        <f t="shared" si="1937"/>
        <v>46248</v>
      </c>
      <c r="VR267" s="56"/>
      <c r="VS267" s="242">
        <f>SUMPRODUCT(PRODUCE!$B268:$DY268,PRODUCE!$EB$57:$IY$57)</f>
        <v>0</v>
      </c>
      <c r="VT267" s="56"/>
      <c r="VU267" s="242">
        <f t="shared" si="1938"/>
        <v>0</v>
      </c>
      <c r="VV267" s="242">
        <f t="shared" si="1939"/>
        <v>0</v>
      </c>
      <c r="VW267" s="56"/>
      <c r="VZ267" s="55">
        <f t="shared" si="1940"/>
        <v>46248</v>
      </c>
      <c r="WA267" s="56"/>
      <c r="WB267" s="242">
        <f>SUMPRODUCT(PRODUCE!$B268:$DY268,PRODUCE!$EB$57:$IY$57)</f>
        <v>0</v>
      </c>
      <c r="WC267" s="56"/>
      <c r="WD267" s="242">
        <f t="shared" si="1941"/>
        <v>0</v>
      </c>
      <c r="WE267" s="242">
        <f t="shared" si="1942"/>
        <v>0</v>
      </c>
      <c r="WF267" s="56"/>
      <c r="WI267" s="55">
        <f t="shared" si="1943"/>
        <v>46248</v>
      </c>
      <c r="WJ267" s="56"/>
      <c r="WK267" s="242">
        <f>SUMPRODUCT(PRODUCE!$B268:$DY268,PRODUCE!$EB$57:$IY$57)</f>
        <v>0</v>
      </c>
      <c r="WL267" s="56"/>
      <c r="WM267" s="242">
        <f t="shared" si="1944"/>
        <v>0</v>
      </c>
      <c r="WN267" s="242">
        <f t="shared" si="1945"/>
        <v>1057</v>
      </c>
      <c r="WO267" s="56"/>
      <c r="WR267" s="55">
        <f t="shared" si="1946"/>
        <v>46248</v>
      </c>
      <c r="WS267" s="56"/>
      <c r="WT267" s="242">
        <f>SUMPRODUCT(PRODUCE!$B268:$DY268,PRODUCE!$EB$57:$IY$57)</f>
        <v>0</v>
      </c>
      <c r="WU267" s="56"/>
      <c r="WV267" s="242">
        <f t="shared" si="1947"/>
        <v>0</v>
      </c>
      <c r="WW267" s="242">
        <f t="shared" si="1948"/>
        <v>0</v>
      </c>
      <c r="WX267" s="56"/>
      <c r="XA267" s="55">
        <f t="shared" si="1949"/>
        <v>46248</v>
      </c>
      <c r="XB267" s="56"/>
      <c r="XC267" s="242">
        <f>SUMPRODUCT(PRODUCE!$B268:$DY268,PRODUCE!$EB$57:$IY$57)</f>
        <v>0</v>
      </c>
      <c r="XD267" s="56"/>
      <c r="XE267" s="242">
        <f t="shared" si="1950"/>
        <v>0</v>
      </c>
      <c r="XF267" s="242">
        <f t="shared" si="1951"/>
        <v>7507</v>
      </c>
      <c r="XG267" s="56"/>
      <c r="XJ267" s="55">
        <f t="shared" si="1952"/>
        <v>46248</v>
      </c>
      <c r="XK267" s="56"/>
      <c r="XL267" s="242">
        <f>SUMPRODUCT(PRODUCE!$B268:$DY268,PRODUCE!$EB$57:$IY$57)</f>
        <v>0</v>
      </c>
      <c r="XM267" s="56"/>
      <c r="XN267" s="242">
        <f t="shared" si="1953"/>
        <v>0</v>
      </c>
      <c r="XO267" s="242">
        <f t="shared" si="1954"/>
        <v>4252</v>
      </c>
      <c r="XP267" s="56"/>
      <c r="XS267" s="55">
        <f t="shared" si="1955"/>
        <v>46248</v>
      </c>
      <c r="XT267" s="56"/>
      <c r="XU267" s="242">
        <f>SUMPRODUCT(PRODUCE!$B268:$DY268,PRODUCE!$EB$57:$IY$57)</f>
        <v>0</v>
      </c>
      <c r="XV267" s="56"/>
      <c r="XW267" s="242">
        <f t="shared" si="1956"/>
        <v>0</v>
      </c>
      <c r="XX267" s="242">
        <f t="shared" si="1957"/>
        <v>2179</v>
      </c>
      <c r="XY267" s="56"/>
      <c r="YB267" s="55">
        <f t="shared" si="1958"/>
        <v>46248</v>
      </c>
      <c r="YC267" s="56"/>
      <c r="YD267" s="242">
        <f>SUMPRODUCT(PRODUCE!$B268:$DY268,PRODUCE!$EB$57:$IY$57)</f>
        <v>0</v>
      </c>
      <c r="YE267" s="56"/>
      <c r="YF267" s="242">
        <f t="shared" si="1959"/>
        <v>0</v>
      </c>
      <c r="YG267" s="242">
        <f t="shared" si="1960"/>
        <v>4019</v>
      </c>
      <c r="YH267" s="56"/>
      <c r="YK267" s="55">
        <f t="shared" si="1961"/>
        <v>46248</v>
      </c>
      <c r="YL267" s="56"/>
      <c r="YM267" s="242">
        <f>SUMPRODUCT(PRODUCE!$B268:$DY268,PRODUCE!$EB$57:$IY$57)</f>
        <v>0</v>
      </c>
      <c r="YN267" s="56"/>
      <c r="YO267" s="242">
        <f t="shared" si="1962"/>
        <v>0</v>
      </c>
      <c r="YP267" s="242">
        <f t="shared" si="1963"/>
        <v>-218</v>
      </c>
      <c r="YQ267" s="56"/>
      <c r="YT267" s="55">
        <f t="shared" si="1964"/>
        <v>46248</v>
      </c>
      <c r="YU267" s="56"/>
      <c r="YV267" s="242">
        <f>SUMPRODUCT(PRODUCE!$B268:$DY268,PRODUCE!$EB$57:$IY$57)</f>
        <v>0</v>
      </c>
      <c r="YW267" s="56"/>
      <c r="YX267" s="242">
        <f t="shared" si="1965"/>
        <v>0</v>
      </c>
      <c r="YY267" s="242">
        <f t="shared" si="1966"/>
        <v>0</v>
      </c>
      <c r="YZ267" s="56"/>
      <c r="ZC267" s="55">
        <f t="shared" si="1967"/>
        <v>46248</v>
      </c>
      <c r="ZD267" s="56"/>
      <c r="ZE267" s="242">
        <f>SUMPRODUCT(PRODUCE!$B268:$DY268,PRODUCE!$EB$57:$IY$57)</f>
        <v>0</v>
      </c>
      <c r="ZF267" s="56"/>
      <c r="ZG267" s="242">
        <f t="shared" si="1968"/>
        <v>0</v>
      </c>
      <c r="ZH267" s="242">
        <f t="shared" si="1969"/>
        <v>0</v>
      </c>
      <c r="ZI267" s="56"/>
      <c r="ZL267" s="55">
        <f t="shared" si="1970"/>
        <v>46248</v>
      </c>
      <c r="ZM267" s="56"/>
      <c r="ZN267" s="242">
        <f>SUMPRODUCT(PRODUCE!$B268:$DY268,PRODUCE!$EB$57:$IY$57)</f>
        <v>0</v>
      </c>
      <c r="ZO267" s="56"/>
      <c r="ZP267" s="242">
        <f t="shared" si="1971"/>
        <v>0</v>
      </c>
      <c r="ZQ267" s="242">
        <f t="shared" si="1972"/>
        <v>0</v>
      </c>
      <c r="ZR267" s="56"/>
      <c r="ZU267" s="55">
        <f t="shared" si="1973"/>
        <v>46248</v>
      </c>
      <c r="ZV267" s="56"/>
      <c r="ZW267" s="242">
        <f>SUMPRODUCT(PRODUCE!$B268:$DY268,PRODUCE!$EB$57:$IY$57)</f>
        <v>0</v>
      </c>
      <c r="ZX267" s="56"/>
      <c r="ZY267" s="242">
        <f t="shared" si="1974"/>
        <v>0</v>
      </c>
      <c r="ZZ267" s="242">
        <f t="shared" si="1975"/>
        <v>0</v>
      </c>
      <c r="AAA267" s="56"/>
      <c r="AAD267" s="55">
        <f t="shared" si="1976"/>
        <v>46248</v>
      </c>
      <c r="AAE267" s="56"/>
      <c r="AAF267" s="242">
        <f>SUMPRODUCT(PRODUCE!$B268:$DY268,PRODUCE!$EB$57:$IY$57)</f>
        <v>0</v>
      </c>
      <c r="AAG267" s="56"/>
      <c r="AAH267" s="242">
        <f t="shared" si="1977"/>
        <v>0</v>
      </c>
      <c r="AAI267" s="242">
        <f t="shared" si="1978"/>
        <v>0</v>
      </c>
      <c r="AAJ267" s="56"/>
      <c r="AAM267" s="55">
        <f t="shared" si="1979"/>
        <v>46248</v>
      </c>
      <c r="AAN267" s="56"/>
      <c r="AAO267" s="242">
        <f>SUMPRODUCT(PRODUCE!$B268:$DY268,PRODUCE!$EB$57:$IY$57)</f>
        <v>0</v>
      </c>
      <c r="AAP267" s="56"/>
      <c r="AAQ267" s="242">
        <f t="shared" si="1980"/>
        <v>0</v>
      </c>
      <c r="AAR267" s="242">
        <f t="shared" si="1981"/>
        <v>0</v>
      </c>
      <c r="AAS267" s="56"/>
      <c r="AAV267" s="55">
        <f t="shared" si="1982"/>
        <v>46248</v>
      </c>
      <c r="AAW267" s="56"/>
      <c r="AAX267" s="242">
        <f>SUMPRODUCT(PRODUCE!$B268:$DY268,PRODUCE!$EB$57:$IY$57)</f>
        <v>0</v>
      </c>
      <c r="AAY267" s="56"/>
      <c r="AAZ267" s="242">
        <f t="shared" si="1983"/>
        <v>0</v>
      </c>
      <c r="ABA267" s="242">
        <f t="shared" si="1984"/>
        <v>0</v>
      </c>
      <c r="ABB267" s="56"/>
      <c r="ABE267" s="55">
        <f t="shared" si="1985"/>
        <v>46248</v>
      </c>
      <c r="ABF267" s="56"/>
      <c r="ABG267" s="242">
        <f>SUMPRODUCT(PRODUCE!$B268:$DY268,PRODUCE!$EB$57:$IY$57)</f>
        <v>0</v>
      </c>
      <c r="ABH267" s="56"/>
      <c r="ABI267" s="242">
        <f t="shared" si="1986"/>
        <v>0</v>
      </c>
      <c r="ABJ267" s="242">
        <f t="shared" si="1987"/>
        <v>0</v>
      </c>
      <c r="ABK267" s="56"/>
    </row>
    <row r="268" spans="2:739" s="54" customFormat="1" ht="15" customHeight="1" outlineLevel="1">
      <c r="B268" s="478"/>
      <c r="C268" s="55">
        <v>46249</v>
      </c>
      <c r="D268" s="56"/>
      <c r="E268" s="57">
        <f>SUMPRODUCT(PRODUCE!$B269:$DY269,PRODUCE!$EB$7:$IY$7)</f>
        <v>0</v>
      </c>
      <c r="F268" s="56"/>
      <c r="G268" s="57">
        <f t="shared" si="1743"/>
        <v>0</v>
      </c>
      <c r="H268" s="57">
        <f t="shared" si="1744"/>
        <v>236936.6</v>
      </c>
      <c r="I268" s="289"/>
      <c r="L268" s="55">
        <f t="shared" si="1745"/>
        <v>46249</v>
      </c>
      <c r="M268" s="56"/>
      <c r="N268" s="59">
        <f>SUMPRODUCT(PRODUCE!$B269:$DY269,PRODUCE!$EB$8:$IY$8)</f>
        <v>0</v>
      </c>
      <c r="O268" s="56"/>
      <c r="P268" s="59">
        <f t="shared" si="1746"/>
        <v>0</v>
      </c>
      <c r="Q268" s="59">
        <f t="shared" si="1747"/>
        <v>53017.600000000071</v>
      </c>
      <c r="R268" s="56"/>
      <c r="U268" s="55">
        <f t="shared" si="1748"/>
        <v>46249</v>
      </c>
      <c r="V268" s="56"/>
      <c r="W268" s="60">
        <f>SUMPRODUCT(PRODUCE!$B269:$DY269,PRODUCE!$EB$9:$IY$9)</f>
        <v>0</v>
      </c>
      <c r="X268" s="56"/>
      <c r="Y268" s="60">
        <f t="shared" si="1749"/>
        <v>0</v>
      </c>
      <c r="Z268" s="60">
        <f t="shared" si="1750"/>
        <v>42674.199999999968</v>
      </c>
      <c r="AA268" s="56"/>
      <c r="AD268" s="55">
        <f t="shared" si="1751"/>
        <v>46249</v>
      </c>
      <c r="AE268" s="56"/>
      <c r="AF268" s="61">
        <f>SUMPRODUCT(PRODUCE!$B269:$DY269,PRODUCE!$EB$10:$IY$10)</f>
        <v>0</v>
      </c>
      <c r="AG268" s="56"/>
      <c r="AH268" s="61">
        <f t="shared" si="1752"/>
        <v>0</v>
      </c>
      <c r="AI268" s="61">
        <f t="shared" si="1753"/>
        <v>4522.2000000000189</v>
      </c>
      <c r="AJ268" s="56"/>
      <c r="AM268" s="55">
        <f t="shared" si="1754"/>
        <v>46249</v>
      </c>
      <c r="AN268" s="422"/>
      <c r="AO268" s="444">
        <f>SUMPRODUCT(PRODUCE!$B269:$DY269,PRODUCE!$EB$11:$IY$11)</f>
        <v>0</v>
      </c>
      <c r="AP268" s="422"/>
      <c r="AQ268" s="444">
        <f t="shared" si="1755"/>
        <v>0</v>
      </c>
      <c r="AR268" s="444">
        <f t="shared" si="1756"/>
        <v>0</v>
      </c>
      <c r="AS268" s="56"/>
      <c r="AV268" s="55">
        <f t="shared" si="1757"/>
        <v>46249</v>
      </c>
      <c r="AW268" s="56"/>
      <c r="AX268" s="62">
        <f>SUMPRODUCT(PRODUCE!$B269:$DY269,PRODUCE!$EB$12:$IY$12)</f>
        <v>0</v>
      </c>
      <c r="AY268" s="56"/>
      <c r="AZ268" s="62">
        <f t="shared" si="1758"/>
        <v>0</v>
      </c>
      <c r="BA268" s="62">
        <f t="shared" si="1759"/>
        <v>124.99999999999523</v>
      </c>
      <c r="BB268" s="56"/>
      <c r="BE268" s="55">
        <f t="shared" si="1760"/>
        <v>46249</v>
      </c>
      <c r="BF268" s="56"/>
      <c r="BG268" s="63">
        <f>SUMPRODUCT(PRODUCE!$B269:$DY269,PRODUCE!$EB$13:$IY$13)</f>
        <v>0</v>
      </c>
      <c r="BH268" s="56"/>
      <c r="BI268" s="63">
        <f t="shared" si="1761"/>
        <v>0</v>
      </c>
      <c r="BJ268" s="63">
        <f t="shared" si="1762"/>
        <v>26151.899999999998</v>
      </c>
      <c r="BK268" s="56"/>
      <c r="BN268" s="55">
        <f t="shared" si="1763"/>
        <v>46249</v>
      </c>
      <c r="BO268" s="56"/>
      <c r="BP268" s="64">
        <f>SUMPRODUCT(PRODUCE!$B269:$DY269,PRODUCE!$EB$14:$IY$14)</f>
        <v>0</v>
      </c>
      <c r="BQ268" s="56"/>
      <c r="BR268" s="64">
        <f t="shared" si="1764"/>
        <v>0</v>
      </c>
      <c r="BS268" s="64">
        <f t="shared" si="1765"/>
        <v>0</v>
      </c>
      <c r="BT268" s="56"/>
      <c r="BW268" s="55">
        <f t="shared" si="1766"/>
        <v>46249</v>
      </c>
      <c r="BX268" s="56"/>
      <c r="BY268" s="65">
        <f>SUMPRODUCT(PRODUCE!$B269:$DY269,PRODUCE!$EB$15:$IY$15)</f>
        <v>0</v>
      </c>
      <c r="BZ268" s="56"/>
      <c r="CA268" s="65">
        <f t="shared" si="1767"/>
        <v>0</v>
      </c>
      <c r="CB268" s="65">
        <f t="shared" si="1768"/>
        <v>2097.3399999999992</v>
      </c>
      <c r="CC268" s="56"/>
      <c r="CF268" s="55">
        <f t="shared" si="1769"/>
        <v>46249</v>
      </c>
      <c r="CG268" s="56"/>
      <c r="CH268" s="66">
        <f>SUMPRODUCT(PRODUCE!$B269:$DY269,PRODUCE!$EB$16:$IY$16)</f>
        <v>0</v>
      </c>
      <c r="CI268" s="56"/>
      <c r="CJ268" s="66">
        <f t="shared" si="1770"/>
        <v>0</v>
      </c>
      <c r="CK268" s="66">
        <f t="shared" si="1771"/>
        <v>-10277.079999999998</v>
      </c>
      <c r="CL268" s="56"/>
      <c r="CO268" s="55">
        <f t="shared" si="1772"/>
        <v>46249</v>
      </c>
      <c r="CP268" s="422"/>
      <c r="CQ268" s="470">
        <f>SUMPRODUCT(PRODUCE!$B269:$DY269,PRODUCE!$EB$17:$IY$17)</f>
        <v>0</v>
      </c>
      <c r="CR268" s="422"/>
      <c r="CS268" s="470">
        <f t="shared" si="1773"/>
        <v>0</v>
      </c>
      <c r="CT268" s="470">
        <f t="shared" si="1774"/>
        <v>0</v>
      </c>
      <c r="CU268" s="56"/>
      <c r="CX268" s="55">
        <f t="shared" si="1775"/>
        <v>46249</v>
      </c>
      <c r="CY268" s="56"/>
      <c r="CZ268" s="133">
        <f>SUMPRODUCT(PRODUCE!$B269:$DY269,PRODUCE!$EB$18:$IY$18)</f>
        <v>0</v>
      </c>
      <c r="DA268" s="56"/>
      <c r="DB268" s="133">
        <f t="shared" si="1776"/>
        <v>0</v>
      </c>
      <c r="DC268" s="133">
        <f t="shared" si="1777"/>
        <v>27438.200000000012</v>
      </c>
      <c r="DD268" s="56"/>
      <c r="DG268" s="55">
        <f t="shared" si="1778"/>
        <v>46249</v>
      </c>
      <c r="DH268" s="56"/>
      <c r="DI268" s="147">
        <f>SUMPRODUCT(PRODUCE!$B269:$DY269,PRODUCE!$EB$19:$IY$19)</f>
        <v>0</v>
      </c>
      <c r="DJ268" s="56"/>
      <c r="DK268" s="147">
        <f t="shared" si="1779"/>
        <v>0</v>
      </c>
      <c r="DL268" s="147">
        <f t="shared" si="1780"/>
        <v>18782.299999999981</v>
      </c>
      <c r="DM268" s="56"/>
      <c r="DP268" s="55">
        <f t="shared" si="1781"/>
        <v>46249</v>
      </c>
      <c r="DQ268" s="56"/>
      <c r="DR268" s="57">
        <f>SUMPRODUCT(PRODUCE!$B269:$DY269,PRODUCE!$EB$20:$IY$20)</f>
        <v>0</v>
      </c>
      <c r="DS268" s="56"/>
      <c r="DT268" s="57">
        <f t="shared" si="1782"/>
        <v>0</v>
      </c>
      <c r="DU268" s="57">
        <f t="shared" si="1783"/>
        <v>5800</v>
      </c>
      <c r="DV268" s="56"/>
      <c r="DY268" s="55">
        <f t="shared" si="1784"/>
        <v>46249</v>
      </c>
      <c r="DZ268" s="56"/>
      <c r="EA268" s="157">
        <f>SUMPRODUCT(PRODUCE!$B269:$DY269,PRODUCE!$EB$21:$IY$21)</f>
        <v>0</v>
      </c>
      <c r="EB268" s="56"/>
      <c r="EC268" s="157">
        <f t="shared" si="1785"/>
        <v>0</v>
      </c>
      <c r="ED268" s="157">
        <f t="shared" si="1786"/>
        <v>0</v>
      </c>
      <c r="EE268" s="56"/>
      <c r="EH268" s="55">
        <f t="shared" si="1787"/>
        <v>46249</v>
      </c>
      <c r="EI268" s="56"/>
      <c r="EJ268" s="162">
        <f>SUMPRODUCT(PRODUCE!$B269:$DY269,PRODUCE!$EB$22:$IY$22)</f>
        <v>0</v>
      </c>
      <c r="EK268" s="56"/>
      <c r="EL268" s="162">
        <f t="shared" si="1788"/>
        <v>0</v>
      </c>
      <c r="EM268" s="162">
        <f t="shared" si="1789"/>
        <v>0</v>
      </c>
      <c r="EN268" s="56"/>
      <c r="EQ268" s="55">
        <f t="shared" si="1790"/>
        <v>46249</v>
      </c>
      <c r="ER268" s="56"/>
      <c r="ES268" s="135">
        <f>SUMPRODUCT(PRODUCE!$B269:$DY269,PRODUCE!$EB$23:$IY$23)</f>
        <v>0</v>
      </c>
      <c r="ET268" s="56"/>
      <c r="EU268" s="135">
        <f t="shared" si="1791"/>
        <v>0</v>
      </c>
      <c r="EV268" s="135">
        <f t="shared" si="1792"/>
        <v>0</v>
      </c>
      <c r="EW268" s="56"/>
      <c r="EZ268" s="55">
        <f t="shared" si="1793"/>
        <v>46249</v>
      </c>
      <c r="FA268" s="56"/>
      <c r="FB268" s="175">
        <f>SUMPRODUCT(PRODUCE!$B269:$DY269,PRODUCE!$EB$24:$IY$24)</f>
        <v>0</v>
      </c>
      <c r="FC268" s="56"/>
      <c r="FD268" s="175">
        <f t="shared" si="1794"/>
        <v>0</v>
      </c>
      <c r="FE268" s="175">
        <f t="shared" si="1795"/>
        <v>0</v>
      </c>
      <c r="FF268" s="56"/>
      <c r="FI268" s="55">
        <f t="shared" si="1796"/>
        <v>46249</v>
      </c>
      <c r="FJ268" s="56"/>
      <c r="FK268" s="183">
        <f>SUMPRODUCT(PRODUCE!$B269:$DY269,PRODUCE!$EB$25:$IY$25)</f>
        <v>0</v>
      </c>
      <c r="FL268" s="56"/>
      <c r="FM268" s="183">
        <f t="shared" si="1797"/>
        <v>0</v>
      </c>
      <c r="FN268" s="183">
        <f t="shared" si="1798"/>
        <v>0</v>
      </c>
      <c r="FO268" s="56"/>
      <c r="FR268" s="55">
        <f t="shared" si="1799"/>
        <v>46249</v>
      </c>
      <c r="FS268" s="56"/>
      <c r="FT268" s="186">
        <f>SUMPRODUCT(PRODUCE!$B269:$DY269,PRODUCE!$EB$26:$IY$26)</f>
        <v>0</v>
      </c>
      <c r="FU268" s="56"/>
      <c r="FV268" s="186">
        <f t="shared" si="1800"/>
        <v>0</v>
      </c>
      <c r="FW268" s="186">
        <f t="shared" si="1801"/>
        <v>20</v>
      </c>
      <c r="FX268" s="56"/>
      <c r="GA268" s="55">
        <f t="shared" si="1802"/>
        <v>46249</v>
      </c>
      <c r="GB268" s="56"/>
      <c r="GC268" s="137">
        <f>SUMPRODUCT(PRODUCE!$B269:$DY269,PRODUCE!$EB$27:$IY$27)</f>
        <v>0</v>
      </c>
      <c r="GD268" s="56"/>
      <c r="GE268" s="137">
        <f t="shared" si="1803"/>
        <v>0</v>
      </c>
      <c r="GF268" s="137">
        <f t="shared" si="1804"/>
        <v>960</v>
      </c>
      <c r="GG268" s="56"/>
      <c r="GI268" s="23"/>
      <c r="GJ268" s="55">
        <f t="shared" si="1805"/>
        <v>46249</v>
      </c>
      <c r="GK268" s="56"/>
      <c r="GL268" s="199">
        <f>SUMPRODUCT(PRODUCE!$B269:$DY269,PRODUCE!$EB$28:$IY$28)</f>
        <v>0</v>
      </c>
      <c r="GM268" s="56"/>
      <c r="GN268" s="199">
        <f t="shared" si="1806"/>
        <v>0</v>
      </c>
      <c r="GO268" s="199">
        <f t="shared" si="1807"/>
        <v>1760</v>
      </c>
      <c r="GP268" s="56"/>
      <c r="GS268" s="55">
        <f t="shared" si="1808"/>
        <v>46249</v>
      </c>
      <c r="GT268" s="56"/>
      <c r="GU268" s="195">
        <f>SUMPRODUCT(PRODUCE!$B269:$DY269,PRODUCE!$EB$29:$IY$29)</f>
        <v>0</v>
      </c>
      <c r="GV268" s="56"/>
      <c r="GW268" s="195">
        <f t="shared" si="1809"/>
        <v>0</v>
      </c>
      <c r="GX268" s="195">
        <f t="shared" si="1810"/>
        <v>400</v>
      </c>
      <c r="GY268" s="56"/>
      <c r="HB268" s="55">
        <f t="shared" si="1811"/>
        <v>46249</v>
      </c>
      <c r="HC268" s="56"/>
      <c r="HD268" s="191">
        <f>SUMPRODUCT(PRODUCE!$B269:$DY269,PRODUCE!$EB$30:$IY$30)</f>
        <v>0</v>
      </c>
      <c r="HE268" s="56"/>
      <c r="HF268" s="191">
        <f t="shared" si="1812"/>
        <v>0</v>
      </c>
      <c r="HG268" s="191">
        <f t="shared" si="1813"/>
        <v>3600</v>
      </c>
      <c r="HH268" s="56"/>
      <c r="HK268" s="55">
        <f t="shared" si="1814"/>
        <v>46249</v>
      </c>
      <c r="HL268" s="56"/>
      <c r="HM268" s="63">
        <f>SUMPRODUCT(PRODUCE!$B269:$DY269,PRODUCE!$EB$31:$IY$31)</f>
        <v>0</v>
      </c>
      <c r="HN268" s="56"/>
      <c r="HO268" s="63">
        <f t="shared" si="1815"/>
        <v>0</v>
      </c>
      <c r="HP268" s="63">
        <f t="shared" si="1816"/>
        <v>0</v>
      </c>
      <c r="HQ268" s="56"/>
      <c r="HU268" s="55">
        <f t="shared" si="1817"/>
        <v>46249</v>
      </c>
      <c r="HV268" s="56"/>
      <c r="HW268" s="242">
        <f>SUMPRODUCT(PRODUCE!$B269:$DY269,PRODUCE!$EB$32:$IY$32)</f>
        <v>0</v>
      </c>
      <c r="HX268" s="56"/>
      <c r="HY268" s="242">
        <f t="shared" si="1818"/>
        <v>0</v>
      </c>
      <c r="HZ268" s="242">
        <f t="shared" si="1819"/>
        <v>4280</v>
      </c>
      <c r="IA268" s="56"/>
      <c r="ID268" s="55">
        <f t="shared" si="1820"/>
        <v>46249</v>
      </c>
      <c r="IE268" s="56"/>
      <c r="IF268" s="242">
        <f>SUMPRODUCT(PRODUCE!$B269:$DY269,PRODUCE!$EB$33:$IY$33)</f>
        <v>0</v>
      </c>
      <c r="IG268" s="56"/>
      <c r="IH268" s="242">
        <f t="shared" si="1821"/>
        <v>0</v>
      </c>
      <c r="II268" s="242">
        <f t="shared" si="1822"/>
        <v>60</v>
      </c>
      <c r="IJ268" s="56"/>
      <c r="IM268" s="55">
        <f t="shared" si="1823"/>
        <v>46249</v>
      </c>
      <c r="IN268" s="56"/>
      <c r="IO268" s="242">
        <f>SUMPRODUCT(PRODUCE!$B269:$DY269,PRODUCE!$EB$34:$IY$34)</f>
        <v>0</v>
      </c>
      <c r="IP268" s="56"/>
      <c r="IQ268" s="242">
        <f t="shared" si="1824"/>
        <v>0</v>
      </c>
      <c r="IR268" s="242">
        <f t="shared" si="1825"/>
        <v>0</v>
      </c>
      <c r="IS268" s="56"/>
      <c r="IV268" s="55">
        <f t="shared" si="1826"/>
        <v>46249</v>
      </c>
      <c r="IW268" s="56"/>
      <c r="IX268" s="242">
        <f>SUMPRODUCT(PRODUCE!$B269:$DY269,PRODUCE!$EB$35:$IY$35)</f>
        <v>0</v>
      </c>
      <c r="IY268" s="56"/>
      <c r="IZ268" s="242">
        <f t="shared" si="1827"/>
        <v>0</v>
      </c>
      <c r="JA268" s="242">
        <f t="shared" si="1828"/>
        <v>2960</v>
      </c>
      <c r="JB268" s="56"/>
      <c r="JE268" s="55">
        <f t="shared" si="1829"/>
        <v>46249</v>
      </c>
      <c r="JF268" s="56"/>
      <c r="JG268" s="242">
        <f>SUMPRODUCT(PRODUCE!$B269:$DY269,PRODUCE!$EB$36:$IY$36)</f>
        <v>0</v>
      </c>
      <c r="JH268" s="56"/>
      <c r="JI268" s="242">
        <f t="shared" si="1830"/>
        <v>0</v>
      </c>
      <c r="JJ268" s="242">
        <f t="shared" si="1831"/>
        <v>0</v>
      </c>
      <c r="JK268" s="56"/>
      <c r="JN268" s="55">
        <f t="shared" si="1832"/>
        <v>46249</v>
      </c>
      <c r="JO268" s="56"/>
      <c r="JP268" s="242">
        <f>SUMPRODUCT(PRODUCE!$B269:$DY269,PRODUCE!$EB$37:$IY$37)</f>
        <v>0</v>
      </c>
      <c r="JQ268" s="56"/>
      <c r="JR268" s="242">
        <f t="shared" si="1833"/>
        <v>0</v>
      </c>
      <c r="JS268" s="242">
        <f t="shared" si="1834"/>
        <v>0</v>
      </c>
      <c r="JT268" s="56"/>
      <c r="JW268" s="55">
        <f t="shared" si="1835"/>
        <v>46249</v>
      </c>
      <c r="JX268" s="56"/>
      <c r="JY268" s="242">
        <f>SUMPRODUCT(PRODUCE!$B269:$DY269,PRODUCE!$EB$38:$IY$38)</f>
        <v>0</v>
      </c>
      <c r="JZ268" s="56"/>
      <c r="KA268" s="242">
        <f t="shared" si="1836"/>
        <v>0</v>
      </c>
      <c r="KB268" s="242">
        <f t="shared" si="1837"/>
        <v>2540</v>
      </c>
      <c r="KC268" s="56"/>
      <c r="KF268" s="55">
        <f t="shared" si="1838"/>
        <v>46249</v>
      </c>
      <c r="KG268" s="56"/>
      <c r="KH268" s="242">
        <f>SUMPRODUCT(PRODUCE!$B269:$DY269,PRODUCE!$EB$39:$IY$39)</f>
        <v>0</v>
      </c>
      <c r="KI268" s="56"/>
      <c r="KJ268" s="242">
        <f t="shared" si="1839"/>
        <v>0</v>
      </c>
      <c r="KK268" s="242">
        <f t="shared" si="1840"/>
        <v>2359.5</v>
      </c>
      <c r="KL268" s="56"/>
      <c r="KO268" s="55">
        <f t="shared" si="1841"/>
        <v>46249</v>
      </c>
      <c r="KP268" s="56"/>
      <c r="KQ268" s="242">
        <f>SUMPRODUCT(PRODUCE!$B269:$DY269,PRODUCE!$EB$40:$IY$40)</f>
        <v>0</v>
      </c>
      <c r="KR268" s="56"/>
      <c r="KS268" s="242">
        <f t="shared" si="1842"/>
        <v>0</v>
      </c>
      <c r="KT268" s="242">
        <f t="shared" si="1843"/>
        <v>1890</v>
      </c>
      <c r="KU268" s="56"/>
      <c r="KW268" s="23"/>
      <c r="KX268" s="55">
        <f t="shared" si="1844"/>
        <v>46249</v>
      </c>
      <c r="KY268" s="56"/>
      <c r="KZ268" s="242">
        <f>SUMPRODUCT(PRODUCE!$B269:$DY269,PRODUCE!$EB$41:$IY$41)</f>
        <v>0</v>
      </c>
      <c r="LA268" s="56"/>
      <c r="LB268" s="242">
        <f t="shared" si="1845"/>
        <v>0</v>
      </c>
      <c r="LC268" s="242">
        <f t="shared" si="1846"/>
        <v>3690</v>
      </c>
      <c r="LD268" s="56"/>
      <c r="LG268" s="55">
        <f t="shared" si="1847"/>
        <v>46249</v>
      </c>
      <c r="LH268" s="56"/>
      <c r="LI268" s="242">
        <f>SUMPRODUCT(PRODUCE!$B269:$DY269,PRODUCE!$EB$42:$IY$42)</f>
        <v>0</v>
      </c>
      <c r="LJ268" s="56"/>
      <c r="LK268" s="242">
        <f t="shared" si="1848"/>
        <v>0</v>
      </c>
      <c r="LL268" s="242">
        <f t="shared" si="1849"/>
        <v>4000</v>
      </c>
      <c r="LM268" s="56"/>
      <c r="LP268" s="55">
        <f t="shared" si="1850"/>
        <v>46249</v>
      </c>
      <c r="LQ268" s="56"/>
      <c r="LR268" s="242">
        <f>SUMPRODUCT(PRODUCE!$B283:$DY283,PRODUCE!$EB$43:$IY$43)</f>
        <v>0</v>
      </c>
      <c r="LS268" s="56"/>
      <c r="LT268" s="242">
        <f t="shared" si="1851"/>
        <v>0</v>
      </c>
      <c r="LU268" s="242">
        <f t="shared" si="1852"/>
        <v>0</v>
      </c>
      <c r="LV268" s="56"/>
      <c r="LY268" s="55">
        <f t="shared" si="1853"/>
        <v>46249</v>
      </c>
      <c r="LZ268" s="56"/>
      <c r="MA268" s="242">
        <f>SUMPRODUCT(PRODUCE!$B269:$DY269,PRODUCE!$EB$44:$IY$44)</f>
        <v>0</v>
      </c>
      <c r="MB268" s="56"/>
      <c r="MC268" s="242">
        <f t="shared" si="1854"/>
        <v>0</v>
      </c>
      <c r="MD268" s="242">
        <f t="shared" si="1855"/>
        <v>0</v>
      </c>
      <c r="ME268" s="56"/>
      <c r="MH268" s="55">
        <f t="shared" si="1856"/>
        <v>46249</v>
      </c>
      <c r="MI268" s="56"/>
      <c r="MJ268" s="242">
        <f>SUMPRODUCT(PRODUCE!$B269:$DY269,PRODUCE!$EB$45:$IY$45)</f>
        <v>0</v>
      </c>
      <c r="MK268" s="56"/>
      <c r="ML268" s="242">
        <f t="shared" si="1857"/>
        <v>0</v>
      </c>
      <c r="MM268" s="242">
        <f t="shared" si="1858"/>
        <v>0</v>
      </c>
      <c r="MN268" s="56"/>
      <c r="MQ268" s="55">
        <f t="shared" si="1859"/>
        <v>46249</v>
      </c>
      <c r="MR268" s="56"/>
      <c r="MS268" s="242">
        <f>SUMPRODUCT(PRODUCE!$B269:$DY269,PRODUCE!$EB$46:$IY$46)</f>
        <v>0</v>
      </c>
      <c r="MT268" s="56"/>
      <c r="MU268" s="242">
        <f t="shared" si="1860"/>
        <v>0</v>
      </c>
      <c r="MV268" s="242">
        <f t="shared" si="1861"/>
        <v>1625</v>
      </c>
      <c r="MW268" s="56"/>
      <c r="MZ268" s="55">
        <f t="shared" si="1862"/>
        <v>46249</v>
      </c>
      <c r="NA268" s="56"/>
      <c r="NB268" s="242">
        <f>SUMPRODUCT(PRODUCE!$B269:$DY269,PRODUCE!$EB$47:$IY$47)</f>
        <v>0</v>
      </c>
      <c r="NC268" s="56"/>
      <c r="ND268" s="242">
        <f t="shared" si="1863"/>
        <v>0</v>
      </c>
      <c r="NE268" s="242">
        <f t="shared" si="1864"/>
        <v>0</v>
      </c>
      <c r="NF268" s="56"/>
      <c r="NI268" s="55">
        <f t="shared" si="1865"/>
        <v>46249</v>
      </c>
      <c r="NJ268" s="56"/>
      <c r="NK268" s="242">
        <f>SUMPRODUCT(PRODUCE!$B269:$DY269,PRODUCE!$EB$48:$IY$48)</f>
        <v>0</v>
      </c>
      <c r="NL268" s="56"/>
      <c r="NM268" s="242">
        <f t="shared" si="1866"/>
        <v>0</v>
      </c>
      <c r="NN268" s="242">
        <f t="shared" si="1867"/>
        <v>1127</v>
      </c>
      <c r="NO268" s="56"/>
      <c r="NR268" s="55">
        <f t="shared" si="1868"/>
        <v>46249</v>
      </c>
      <c r="NS268" s="56"/>
      <c r="NT268" s="242">
        <f>SUMPRODUCT(PRODUCE!$B269:$DY269,PRODUCE!$EB$49:$IY$49)</f>
        <v>0</v>
      </c>
      <c r="NU268" s="56"/>
      <c r="NV268" s="242">
        <f t="shared" si="1869"/>
        <v>0</v>
      </c>
      <c r="NW268" s="242">
        <f t="shared" si="1870"/>
        <v>3111.9999999999995</v>
      </c>
      <c r="NX268" s="56"/>
      <c r="OA268" s="55">
        <f t="shared" si="1871"/>
        <v>46249</v>
      </c>
      <c r="OB268" s="56"/>
      <c r="OC268" s="242">
        <f>SUMPRODUCT(PRODUCE!$B269:$DY269,PRODUCE!$EB$50:$IY$50)</f>
        <v>0</v>
      </c>
      <c r="OD268" s="56"/>
      <c r="OE268" s="242">
        <f t="shared" si="1872"/>
        <v>0</v>
      </c>
      <c r="OF268" s="242">
        <f t="shared" si="1873"/>
        <v>1680.5</v>
      </c>
      <c r="OG268" s="56"/>
      <c r="OJ268" s="55">
        <f t="shared" si="1874"/>
        <v>46249</v>
      </c>
      <c r="OK268" s="56"/>
      <c r="OL268" s="242">
        <f>SUMPRODUCT(PRODUCE!$B269:$DY269,PRODUCE!$EB$51:$IY$51)</f>
        <v>0</v>
      </c>
      <c r="OM268" s="56"/>
      <c r="ON268" s="242">
        <f t="shared" si="1875"/>
        <v>0</v>
      </c>
      <c r="OO268" s="242">
        <f t="shared" si="1876"/>
        <v>0</v>
      </c>
      <c r="OP268" s="56"/>
      <c r="OS268" s="55">
        <f t="shared" si="1877"/>
        <v>46249</v>
      </c>
      <c r="OT268" s="56"/>
      <c r="OU268" s="242">
        <f>SUMPRODUCT(PRODUCE!$B269:$DY269,PRODUCE!$EB$52:$IY$52)</f>
        <v>0</v>
      </c>
      <c r="OV268" s="56"/>
      <c r="OW268" s="242">
        <f t="shared" si="1878"/>
        <v>0</v>
      </c>
      <c r="OX268" s="242">
        <f t="shared" si="1879"/>
        <v>1482</v>
      </c>
      <c r="OY268" s="56"/>
      <c r="PB268" s="55">
        <f t="shared" si="1880"/>
        <v>46249</v>
      </c>
      <c r="PC268" s="56"/>
      <c r="PD268" s="242">
        <f>SUMPRODUCT(PRODUCE!$B269:$DY269,PRODUCE!$EB$53:$IY$53)</f>
        <v>0</v>
      </c>
      <c r="PE268" s="56"/>
      <c r="PF268" s="242">
        <f t="shared" si="1881"/>
        <v>0</v>
      </c>
      <c r="PG268" s="242">
        <f t="shared" si="1882"/>
        <v>0</v>
      </c>
      <c r="PH268" s="56"/>
      <c r="PK268" s="55">
        <f t="shared" si="1883"/>
        <v>46249</v>
      </c>
      <c r="PL268" s="56"/>
      <c r="PM268" s="242">
        <f>SUMPRODUCT(PRODUCE!$B269:$DY269,PRODUCE!$EB$54:$IY$54)</f>
        <v>0</v>
      </c>
      <c r="PN268" s="56"/>
      <c r="PO268" s="242">
        <f t="shared" si="1884"/>
        <v>0</v>
      </c>
      <c r="PP268" s="242">
        <f t="shared" si="1885"/>
        <v>100</v>
      </c>
      <c r="PQ268" s="56"/>
      <c r="PT268" s="55">
        <f t="shared" si="1886"/>
        <v>46249</v>
      </c>
      <c r="PU268" s="56"/>
      <c r="PV268" s="242">
        <f>SUMPRODUCT(PRODUCE!$B269:$DY269,PRODUCE!$EB$55:$IY$55)</f>
        <v>0</v>
      </c>
      <c r="PW268" s="56"/>
      <c r="PX268" s="242">
        <f t="shared" si="1887"/>
        <v>0</v>
      </c>
      <c r="PY268" s="242">
        <f t="shared" si="1888"/>
        <v>13.960000000000036</v>
      </c>
      <c r="PZ268" s="56"/>
      <c r="QC268" s="55">
        <f t="shared" si="1889"/>
        <v>46249</v>
      </c>
      <c r="QD268" s="56"/>
      <c r="QE268" s="242">
        <f>SUMPRODUCT(PRODUCE!$B269:$DY269,PRODUCE!$EB$56:$IY$56)</f>
        <v>0</v>
      </c>
      <c r="QF268" s="56"/>
      <c r="QG268" s="242">
        <f t="shared" si="1890"/>
        <v>0</v>
      </c>
      <c r="QH268" s="242">
        <f t="shared" si="1891"/>
        <v>548</v>
      </c>
      <c r="QI268" s="56"/>
      <c r="QL268" s="55">
        <f t="shared" si="1892"/>
        <v>46249</v>
      </c>
      <c r="QM268" s="56"/>
      <c r="QN268" s="242">
        <f>SUMPRODUCT(PRODUCE!$B269:$DY269,PRODUCE!$EB$57:$IY$57)</f>
        <v>0</v>
      </c>
      <c r="QO268" s="56"/>
      <c r="QP268" s="242">
        <f t="shared" si="1893"/>
        <v>0</v>
      </c>
      <c r="QQ268" s="242">
        <f t="shared" si="1894"/>
        <v>0</v>
      </c>
      <c r="QR268" s="56"/>
      <c r="QU268" s="55">
        <f t="shared" si="1895"/>
        <v>46249</v>
      </c>
      <c r="QV268" s="56"/>
      <c r="QW268" s="242">
        <f>SUMPRODUCT(PRODUCE!$B269:$DY269,PRODUCE!$EB$57:$IY$57)</f>
        <v>0</v>
      </c>
      <c r="QX268" s="56"/>
      <c r="QY268" s="242">
        <f t="shared" si="1896"/>
        <v>0</v>
      </c>
      <c r="QZ268" s="242">
        <f t="shared" si="1897"/>
        <v>0</v>
      </c>
      <c r="RA268" s="56"/>
      <c r="RD268" s="55">
        <f t="shared" si="1898"/>
        <v>46249</v>
      </c>
      <c r="RE268" s="56"/>
      <c r="RF268" s="242">
        <f>SUMPRODUCT(PRODUCE!$B269:$DY269,PRODUCE!$EB$58:$IY$58)</f>
        <v>0</v>
      </c>
      <c r="RG268" s="56"/>
      <c r="RH268" s="242">
        <f t="shared" si="1899"/>
        <v>0</v>
      </c>
      <c r="RI268" s="242">
        <f t="shared" si="1900"/>
        <v>147.04000000000002</v>
      </c>
      <c r="RJ268" s="56"/>
      <c r="RM268" s="55">
        <f t="shared" si="1901"/>
        <v>46249</v>
      </c>
      <c r="RN268" s="56"/>
      <c r="RO268" s="242">
        <f>SUMPRODUCT(PRODUCE!$B269:$DY269,PRODUCE!$EB$59:$IY$59)</f>
        <v>0</v>
      </c>
      <c r="RP268" s="56"/>
      <c r="RQ268" s="242">
        <f t="shared" si="1902"/>
        <v>0</v>
      </c>
      <c r="RR268" s="242">
        <f t="shared" si="1903"/>
        <v>46.8</v>
      </c>
      <c r="RS268" s="56"/>
      <c r="RV268" s="55">
        <f t="shared" si="1904"/>
        <v>46249</v>
      </c>
      <c r="RW268" s="56"/>
      <c r="RX268" s="242">
        <f>SUMPRODUCT(PRODUCE!$B269:$DY269,PRODUCE!$EB$57:$IY$57)</f>
        <v>0</v>
      </c>
      <c r="RY268" s="56"/>
      <c r="RZ268" s="242">
        <f t="shared" si="1905"/>
        <v>0</v>
      </c>
      <c r="SA268" s="242">
        <f t="shared" si="1906"/>
        <v>0</v>
      </c>
      <c r="SB268" s="56"/>
      <c r="SE268" s="55">
        <f t="shared" si="1907"/>
        <v>46249</v>
      </c>
      <c r="SF268" s="56"/>
      <c r="SG268" s="242">
        <f>SUMPRODUCT(PRODUCE!$B269:$DY269,PRODUCE!$EB$61:$IY$61)</f>
        <v>0</v>
      </c>
      <c r="SH268" s="56"/>
      <c r="SI268" s="242">
        <f t="shared" si="1908"/>
        <v>0</v>
      </c>
      <c r="SJ268" s="242">
        <f t="shared" si="1909"/>
        <v>24.200000000000003</v>
      </c>
      <c r="SK268" s="56"/>
      <c r="SN268" s="55">
        <f t="shared" si="1910"/>
        <v>46249</v>
      </c>
      <c r="SO268" s="56"/>
      <c r="SP268" s="242">
        <f>SUMPRODUCT(PRODUCE!$B269:$DY269,PRODUCE!$EB$62:$IY$62)</f>
        <v>0</v>
      </c>
      <c r="SQ268" s="56"/>
      <c r="SR268" s="242">
        <f t="shared" si="1911"/>
        <v>0</v>
      </c>
      <c r="SS268" s="242">
        <f t="shared" si="1912"/>
        <v>32</v>
      </c>
      <c r="ST268" s="56"/>
      <c r="SW268" s="55">
        <f t="shared" si="1913"/>
        <v>46249</v>
      </c>
      <c r="SX268" s="56"/>
      <c r="SY268" s="242">
        <f>SUMPRODUCT(PRODUCE!$B269:$DY269,PRODUCE!$EB$57:$IY$57)</f>
        <v>0</v>
      </c>
      <c r="SZ268" s="56"/>
      <c r="TA268" s="242">
        <f t="shared" si="1914"/>
        <v>0</v>
      </c>
      <c r="TB268" s="242">
        <f t="shared" si="1915"/>
        <v>0</v>
      </c>
      <c r="TC268" s="56"/>
      <c r="TF268" s="55">
        <f t="shared" si="1916"/>
        <v>46249</v>
      </c>
      <c r="TG268" s="56"/>
      <c r="TH268" s="242">
        <f>SUMPRODUCT(PRODUCE!$B269:$DY269,PRODUCE!$EB$57:$IY$57)</f>
        <v>0</v>
      </c>
      <c r="TI268" s="56"/>
      <c r="TJ268" s="242">
        <f t="shared" si="1917"/>
        <v>0</v>
      </c>
      <c r="TK268" s="242">
        <f t="shared" si="1918"/>
        <v>0</v>
      </c>
      <c r="TL268" s="56"/>
      <c r="TO268" s="55">
        <f t="shared" si="1919"/>
        <v>46249</v>
      </c>
      <c r="TP268" s="56"/>
      <c r="TQ268" s="242">
        <f>SUMPRODUCT(PRODUCE!$B269:$DY269,PRODUCE!$EB$57:$IY$57)</f>
        <v>0</v>
      </c>
      <c r="TR268" s="56"/>
      <c r="TS268" s="242">
        <f t="shared" si="1920"/>
        <v>0</v>
      </c>
      <c r="TT268" s="242">
        <f t="shared" si="1921"/>
        <v>0</v>
      </c>
      <c r="TU268" s="56"/>
      <c r="TX268" s="55">
        <f t="shared" si="1922"/>
        <v>46249</v>
      </c>
      <c r="TY268" s="56"/>
      <c r="TZ268" s="242">
        <f>SUMPRODUCT(PRODUCE!$B269:$DY269,PRODUCE!$EB$57:$IY$57)</f>
        <v>0</v>
      </c>
      <c r="UA268" s="56"/>
      <c r="UB268" s="242">
        <f t="shared" si="1923"/>
        <v>0</v>
      </c>
      <c r="UC268" s="242">
        <f t="shared" si="1924"/>
        <v>46.799999999999983</v>
      </c>
      <c r="UD268" s="56"/>
      <c r="UG268" s="55">
        <f t="shared" si="1925"/>
        <v>46249</v>
      </c>
      <c r="UH268" s="56"/>
      <c r="UI268" s="242">
        <f>SUMPRODUCT(PRODUCE!$B269:$DY269,PRODUCE!$EB$57:$IY$57)</f>
        <v>0</v>
      </c>
      <c r="UJ268" s="56"/>
      <c r="UK268" s="242">
        <f t="shared" si="1926"/>
        <v>0</v>
      </c>
      <c r="UL268" s="242">
        <f t="shared" si="1927"/>
        <v>204</v>
      </c>
      <c r="UM268" s="56"/>
      <c r="UP268" s="55">
        <f t="shared" si="1928"/>
        <v>46249</v>
      </c>
      <c r="UQ268" s="56"/>
      <c r="UR268" s="242">
        <f>SUMPRODUCT(PRODUCE!$B269:$DY269,PRODUCE!$EB$57:$IY$57)</f>
        <v>0</v>
      </c>
      <c r="US268" s="56"/>
      <c r="UT268" s="242">
        <f t="shared" si="1929"/>
        <v>0</v>
      </c>
      <c r="UU268" s="242">
        <f t="shared" si="1930"/>
        <v>202.5</v>
      </c>
      <c r="UV268" s="56"/>
      <c r="UY268" s="55">
        <f t="shared" si="1931"/>
        <v>46249</v>
      </c>
      <c r="UZ268" s="56"/>
      <c r="VA268" s="242">
        <f>SUMPRODUCT(PRODUCE!$B269:$DY269,PRODUCE!$EB$57:$IY$57)</f>
        <v>0</v>
      </c>
      <c r="VB268" s="56"/>
      <c r="VC268" s="242">
        <f t="shared" si="1932"/>
        <v>0</v>
      </c>
      <c r="VD268" s="242">
        <f t="shared" si="1933"/>
        <v>41.600000000000023</v>
      </c>
      <c r="VE268" s="56"/>
      <c r="VH268" s="55">
        <f t="shared" si="1934"/>
        <v>46249</v>
      </c>
      <c r="VI268" s="56"/>
      <c r="VJ268" s="242">
        <f>SUMPRODUCT(PRODUCE!$B269:$DY269,PRODUCE!$EB$57:$IY$57)</f>
        <v>0</v>
      </c>
      <c r="VK268" s="56"/>
      <c r="VL268" s="242">
        <f t="shared" si="1935"/>
        <v>0</v>
      </c>
      <c r="VM268" s="242">
        <f t="shared" si="1936"/>
        <v>210</v>
      </c>
      <c r="VN268" s="56"/>
      <c r="VQ268" s="55">
        <f t="shared" si="1937"/>
        <v>46249</v>
      </c>
      <c r="VR268" s="56"/>
      <c r="VS268" s="242">
        <f>SUMPRODUCT(PRODUCE!$B269:$DY269,PRODUCE!$EB$57:$IY$57)</f>
        <v>0</v>
      </c>
      <c r="VT268" s="56"/>
      <c r="VU268" s="242">
        <f t="shared" si="1938"/>
        <v>0</v>
      </c>
      <c r="VV268" s="242">
        <f t="shared" si="1939"/>
        <v>0</v>
      </c>
      <c r="VW268" s="56"/>
      <c r="VZ268" s="55">
        <f t="shared" si="1940"/>
        <v>46249</v>
      </c>
      <c r="WA268" s="56"/>
      <c r="WB268" s="242">
        <f>SUMPRODUCT(PRODUCE!$B269:$DY269,PRODUCE!$EB$57:$IY$57)</f>
        <v>0</v>
      </c>
      <c r="WC268" s="56"/>
      <c r="WD268" s="242">
        <f t="shared" si="1941"/>
        <v>0</v>
      </c>
      <c r="WE268" s="242">
        <f t="shared" si="1942"/>
        <v>0</v>
      </c>
      <c r="WF268" s="56"/>
      <c r="WI268" s="55">
        <f t="shared" si="1943"/>
        <v>46249</v>
      </c>
      <c r="WJ268" s="56"/>
      <c r="WK268" s="242">
        <f>SUMPRODUCT(PRODUCE!$B269:$DY269,PRODUCE!$EB$57:$IY$57)</f>
        <v>0</v>
      </c>
      <c r="WL268" s="56"/>
      <c r="WM268" s="242">
        <f t="shared" si="1944"/>
        <v>0</v>
      </c>
      <c r="WN268" s="242">
        <f t="shared" si="1945"/>
        <v>1057</v>
      </c>
      <c r="WO268" s="56"/>
      <c r="WR268" s="55">
        <f t="shared" si="1946"/>
        <v>46249</v>
      </c>
      <c r="WS268" s="56"/>
      <c r="WT268" s="242">
        <f>SUMPRODUCT(PRODUCE!$B269:$DY269,PRODUCE!$EB$57:$IY$57)</f>
        <v>0</v>
      </c>
      <c r="WU268" s="56"/>
      <c r="WV268" s="242">
        <f t="shared" si="1947"/>
        <v>0</v>
      </c>
      <c r="WW268" s="242">
        <f t="shared" si="1948"/>
        <v>0</v>
      </c>
      <c r="WX268" s="56"/>
      <c r="XA268" s="55">
        <f t="shared" si="1949"/>
        <v>46249</v>
      </c>
      <c r="XB268" s="56"/>
      <c r="XC268" s="242">
        <f>SUMPRODUCT(PRODUCE!$B269:$DY269,PRODUCE!$EB$57:$IY$57)</f>
        <v>0</v>
      </c>
      <c r="XD268" s="56"/>
      <c r="XE268" s="242">
        <f t="shared" si="1950"/>
        <v>0</v>
      </c>
      <c r="XF268" s="242">
        <f t="shared" si="1951"/>
        <v>7507</v>
      </c>
      <c r="XG268" s="56"/>
      <c r="XJ268" s="55">
        <f t="shared" si="1952"/>
        <v>46249</v>
      </c>
      <c r="XK268" s="56"/>
      <c r="XL268" s="242">
        <f>SUMPRODUCT(PRODUCE!$B269:$DY269,PRODUCE!$EB$57:$IY$57)</f>
        <v>0</v>
      </c>
      <c r="XM268" s="56"/>
      <c r="XN268" s="242">
        <f t="shared" si="1953"/>
        <v>0</v>
      </c>
      <c r="XO268" s="242">
        <f t="shared" si="1954"/>
        <v>4252</v>
      </c>
      <c r="XP268" s="56"/>
      <c r="XS268" s="55">
        <f t="shared" si="1955"/>
        <v>46249</v>
      </c>
      <c r="XT268" s="56"/>
      <c r="XU268" s="242">
        <f>SUMPRODUCT(PRODUCE!$B269:$DY269,PRODUCE!$EB$57:$IY$57)</f>
        <v>0</v>
      </c>
      <c r="XV268" s="56"/>
      <c r="XW268" s="242">
        <f t="shared" si="1956"/>
        <v>0</v>
      </c>
      <c r="XX268" s="242">
        <f t="shared" si="1957"/>
        <v>2179</v>
      </c>
      <c r="XY268" s="56"/>
      <c r="YB268" s="55">
        <f t="shared" si="1958"/>
        <v>46249</v>
      </c>
      <c r="YC268" s="56"/>
      <c r="YD268" s="242">
        <f>SUMPRODUCT(PRODUCE!$B269:$DY269,PRODUCE!$EB$57:$IY$57)</f>
        <v>0</v>
      </c>
      <c r="YE268" s="56"/>
      <c r="YF268" s="242">
        <f t="shared" si="1959"/>
        <v>0</v>
      </c>
      <c r="YG268" s="242">
        <f t="shared" si="1960"/>
        <v>4019</v>
      </c>
      <c r="YH268" s="56"/>
      <c r="YK268" s="55">
        <f t="shared" si="1961"/>
        <v>46249</v>
      </c>
      <c r="YL268" s="56"/>
      <c r="YM268" s="242">
        <f>SUMPRODUCT(PRODUCE!$B269:$DY269,PRODUCE!$EB$57:$IY$57)</f>
        <v>0</v>
      </c>
      <c r="YN268" s="56"/>
      <c r="YO268" s="242">
        <f t="shared" si="1962"/>
        <v>0</v>
      </c>
      <c r="YP268" s="242">
        <f t="shared" si="1963"/>
        <v>-218</v>
      </c>
      <c r="YQ268" s="56"/>
      <c r="YT268" s="55">
        <f t="shared" si="1964"/>
        <v>46249</v>
      </c>
      <c r="YU268" s="56"/>
      <c r="YV268" s="242">
        <f>SUMPRODUCT(PRODUCE!$B269:$DY269,PRODUCE!$EB$57:$IY$57)</f>
        <v>0</v>
      </c>
      <c r="YW268" s="56"/>
      <c r="YX268" s="242">
        <f t="shared" si="1965"/>
        <v>0</v>
      </c>
      <c r="YY268" s="242">
        <f t="shared" si="1966"/>
        <v>0</v>
      </c>
      <c r="YZ268" s="56"/>
      <c r="ZC268" s="55">
        <f t="shared" si="1967"/>
        <v>46249</v>
      </c>
      <c r="ZD268" s="56"/>
      <c r="ZE268" s="242">
        <f>SUMPRODUCT(PRODUCE!$B269:$DY269,PRODUCE!$EB$57:$IY$57)</f>
        <v>0</v>
      </c>
      <c r="ZF268" s="56"/>
      <c r="ZG268" s="242">
        <f t="shared" si="1968"/>
        <v>0</v>
      </c>
      <c r="ZH268" s="242">
        <f t="shared" si="1969"/>
        <v>0</v>
      </c>
      <c r="ZI268" s="56"/>
      <c r="ZL268" s="55">
        <f t="shared" si="1970"/>
        <v>46249</v>
      </c>
      <c r="ZM268" s="56"/>
      <c r="ZN268" s="242">
        <f>SUMPRODUCT(PRODUCE!$B269:$DY269,PRODUCE!$EB$57:$IY$57)</f>
        <v>0</v>
      </c>
      <c r="ZO268" s="56"/>
      <c r="ZP268" s="242">
        <f t="shared" si="1971"/>
        <v>0</v>
      </c>
      <c r="ZQ268" s="242">
        <f t="shared" si="1972"/>
        <v>0</v>
      </c>
      <c r="ZR268" s="56"/>
      <c r="ZU268" s="55">
        <f t="shared" si="1973"/>
        <v>46249</v>
      </c>
      <c r="ZV268" s="56"/>
      <c r="ZW268" s="242">
        <f>SUMPRODUCT(PRODUCE!$B269:$DY269,PRODUCE!$EB$57:$IY$57)</f>
        <v>0</v>
      </c>
      <c r="ZX268" s="56"/>
      <c r="ZY268" s="242">
        <f t="shared" si="1974"/>
        <v>0</v>
      </c>
      <c r="ZZ268" s="242">
        <f t="shared" si="1975"/>
        <v>0</v>
      </c>
      <c r="AAA268" s="56"/>
      <c r="AAD268" s="55">
        <f t="shared" si="1976"/>
        <v>46249</v>
      </c>
      <c r="AAE268" s="56"/>
      <c r="AAF268" s="242">
        <f>SUMPRODUCT(PRODUCE!$B269:$DY269,PRODUCE!$EB$57:$IY$57)</f>
        <v>0</v>
      </c>
      <c r="AAG268" s="56"/>
      <c r="AAH268" s="242">
        <f t="shared" si="1977"/>
        <v>0</v>
      </c>
      <c r="AAI268" s="242">
        <f t="shared" si="1978"/>
        <v>0</v>
      </c>
      <c r="AAJ268" s="56"/>
      <c r="AAM268" s="55">
        <f t="shared" si="1979"/>
        <v>46249</v>
      </c>
      <c r="AAN268" s="56"/>
      <c r="AAO268" s="242">
        <f>SUMPRODUCT(PRODUCE!$B269:$DY269,PRODUCE!$EB$57:$IY$57)</f>
        <v>0</v>
      </c>
      <c r="AAP268" s="56"/>
      <c r="AAQ268" s="242">
        <f t="shared" si="1980"/>
        <v>0</v>
      </c>
      <c r="AAR268" s="242">
        <f t="shared" si="1981"/>
        <v>0</v>
      </c>
      <c r="AAS268" s="56"/>
      <c r="AAV268" s="55">
        <f t="shared" si="1982"/>
        <v>46249</v>
      </c>
      <c r="AAW268" s="56"/>
      <c r="AAX268" s="242">
        <f>SUMPRODUCT(PRODUCE!$B269:$DY269,PRODUCE!$EB$57:$IY$57)</f>
        <v>0</v>
      </c>
      <c r="AAY268" s="56"/>
      <c r="AAZ268" s="242">
        <f t="shared" si="1983"/>
        <v>0</v>
      </c>
      <c r="ABA268" s="242">
        <f t="shared" si="1984"/>
        <v>0</v>
      </c>
      <c r="ABB268" s="56"/>
      <c r="ABE268" s="55">
        <f t="shared" si="1985"/>
        <v>46249</v>
      </c>
      <c r="ABF268" s="56"/>
      <c r="ABG268" s="242">
        <f>SUMPRODUCT(PRODUCE!$B269:$DY269,PRODUCE!$EB$57:$IY$57)</f>
        <v>0</v>
      </c>
      <c r="ABH268" s="56"/>
      <c r="ABI268" s="242">
        <f t="shared" si="1986"/>
        <v>0</v>
      </c>
      <c r="ABJ268" s="242">
        <f t="shared" si="1987"/>
        <v>0</v>
      </c>
      <c r="ABK268" s="56"/>
    </row>
    <row r="269" spans="2:739" s="54" customFormat="1" ht="15" customHeight="1" outlineLevel="1">
      <c r="B269" s="478"/>
      <c r="C269" s="55">
        <v>46250</v>
      </c>
      <c r="D269" s="56"/>
      <c r="E269" s="57">
        <f>SUMPRODUCT(PRODUCE!$B270:$DY270,PRODUCE!$EB$7:$IY$7)</f>
        <v>0</v>
      </c>
      <c r="F269" s="56"/>
      <c r="G269" s="57">
        <f t="shared" si="1743"/>
        <v>0</v>
      </c>
      <c r="H269" s="57">
        <f t="shared" si="1744"/>
        <v>236936.6</v>
      </c>
      <c r="I269" s="289"/>
      <c r="L269" s="55">
        <f t="shared" si="1745"/>
        <v>46250</v>
      </c>
      <c r="M269" s="56"/>
      <c r="N269" s="59">
        <f>SUMPRODUCT(PRODUCE!$B270:$DY270,PRODUCE!$EB$8:$IY$8)</f>
        <v>0</v>
      </c>
      <c r="O269" s="56"/>
      <c r="P269" s="59">
        <f t="shared" si="1746"/>
        <v>0</v>
      </c>
      <c r="Q269" s="59">
        <f t="shared" si="1747"/>
        <v>53017.600000000071</v>
      </c>
      <c r="R269" s="56"/>
      <c r="U269" s="55">
        <f t="shared" si="1748"/>
        <v>46250</v>
      </c>
      <c r="V269" s="56"/>
      <c r="W269" s="60">
        <f>SUMPRODUCT(PRODUCE!$B270:$DY270,PRODUCE!$EB$9:$IY$9)</f>
        <v>0</v>
      </c>
      <c r="X269" s="56"/>
      <c r="Y269" s="60">
        <f t="shared" si="1749"/>
        <v>0</v>
      </c>
      <c r="Z269" s="60">
        <f t="shared" si="1750"/>
        <v>42674.199999999968</v>
      </c>
      <c r="AA269" s="56"/>
      <c r="AD269" s="55">
        <f t="shared" si="1751"/>
        <v>46250</v>
      </c>
      <c r="AE269" s="56"/>
      <c r="AF269" s="61">
        <f>SUMPRODUCT(PRODUCE!$B270:$DY270,PRODUCE!$EB$10:$IY$10)</f>
        <v>0</v>
      </c>
      <c r="AG269" s="56"/>
      <c r="AH269" s="61">
        <f t="shared" si="1752"/>
        <v>0</v>
      </c>
      <c r="AI269" s="61">
        <f t="shared" si="1753"/>
        <v>4522.2000000000189</v>
      </c>
      <c r="AJ269" s="56"/>
      <c r="AM269" s="55">
        <f t="shared" si="1754"/>
        <v>46250</v>
      </c>
      <c r="AN269" s="422"/>
      <c r="AO269" s="444">
        <f>SUMPRODUCT(PRODUCE!$B270:$DY270,PRODUCE!$EB$11:$IY$11)</f>
        <v>0</v>
      </c>
      <c r="AP269" s="422"/>
      <c r="AQ269" s="444">
        <f t="shared" si="1755"/>
        <v>0</v>
      </c>
      <c r="AR269" s="444">
        <f t="shared" si="1756"/>
        <v>0</v>
      </c>
      <c r="AS269" s="56"/>
      <c r="AV269" s="55">
        <f t="shared" si="1757"/>
        <v>46250</v>
      </c>
      <c r="AW269" s="56"/>
      <c r="AX269" s="62">
        <f>SUMPRODUCT(PRODUCE!$B270:$DY270,PRODUCE!$EB$12:$IY$12)</f>
        <v>0</v>
      </c>
      <c r="AY269" s="56"/>
      <c r="AZ269" s="62">
        <f t="shared" si="1758"/>
        <v>0</v>
      </c>
      <c r="BA269" s="62">
        <f t="shared" si="1759"/>
        <v>124.99999999999523</v>
      </c>
      <c r="BB269" s="56"/>
      <c r="BE269" s="55">
        <f t="shared" si="1760"/>
        <v>46250</v>
      </c>
      <c r="BF269" s="56"/>
      <c r="BG269" s="63">
        <f>SUMPRODUCT(PRODUCE!$B270:$DY270,PRODUCE!$EB$13:$IY$13)</f>
        <v>0</v>
      </c>
      <c r="BH269" s="56"/>
      <c r="BI269" s="63">
        <f t="shared" si="1761"/>
        <v>0</v>
      </c>
      <c r="BJ269" s="63">
        <f t="shared" si="1762"/>
        <v>26151.899999999998</v>
      </c>
      <c r="BK269" s="56"/>
      <c r="BN269" s="55">
        <f t="shared" si="1763"/>
        <v>46250</v>
      </c>
      <c r="BO269" s="56"/>
      <c r="BP269" s="64">
        <f>SUMPRODUCT(PRODUCE!$B270:$DY270,PRODUCE!$EB$14:$IY$14)</f>
        <v>0</v>
      </c>
      <c r="BQ269" s="56"/>
      <c r="BR269" s="64">
        <f t="shared" si="1764"/>
        <v>0</v>
      </c>
      <c r="BS269" s="64">
        <f t="shared" si="1765"/>
        <v>0</v>
      </c>
      <c r="BT269" s="56"/>
      <c r="BW269" s="55">
        <f t="shared" si="1766"/>
        <v>46250</v>
      </c>
      <c r="BX269" s="56"/>
      <c r="BY269" s="65">
        <f>SUMPRODUCT(PRODUCE!$B270:$DY270,PRODUCE!$EB$15:$IY$15)</f>
        <v>0</v>
      </c>
      <c r="BZ269" s="56"/>
      <c r="CA269" s="65">
        <f t="shared" si="1767"/>
        <v>0</v>
      </c>
      <c r="CB269" s="65">
        <f t="shared" si="1768"/>
        <v>2097.3399999999992</v>
      </c>
      <c r="CC269" s="56"/>
      <c r="CF269" s="55">
        <f t="shared" si="1769"/>
        <v>46250</v>
      </c>
      <c r="CG269" s="56"/>
      <c r="CH269" s="66">
        <f>SUMPRODUCT(PRODUCE!$B270:$DY270,PRODUCE!$EB$16:$IY$16)</f>
        <v>0</v>
      </c>
      <c r="CI269" s="56"/>
      <c r="CJ269" s="66">
        <f t="shared" si="1770"/>
        <v>0</v>
      </c>
      <c r="CK269" s="66">
        <f t="shared" si="1771"/>
        <v>-10277.079999999998</v>
      </c>
      <c r="CL269" s="56"/>
      <c r="CO269" s="55">
        <f t="shared" si="1772"/>
        <v>46250</v>
      </c>
      <c r="CP269" s="422"/>
      <c r="CQ269" s="470">
        <f>SUMPRODUCT(PRODUCE!$B270:$DY270,PRODUCE!$EB$17:$IY$17)</f>
        <v>0</v>
      </c>
      <c r="CR269" s="422"/>
      <c r="CS269" s="470">
        <f t="shared" si="1773"/>
        <v>0</v>
      </c>
      <c r="CT269" s="470">
        <f t="shared" si="1774"/>
        <v>0</v>
      </c>
      <c r="CU269" s="56"/>
      <c r="CX269" s="55">
        <f t="shared" si="1775"/>
        <v>46250</v>
      </c>
      <c r="CY269" s="56"/>
      <c r="CZ269" s="133">
        <f>SUMPRODUCT(PRODUCE!$B270:$DY270,PRODUCE!$EB$18:$IY$18)</f>
        <v>0</v>
      </c>
      <c r="DA269" s="56"/>
      <c r="DB269" s="133">
        <f t="shared" si="1776"/>
        <v>0</v>
      </c>
      <c r="DC269" s="133">
        <f t="shared" si="1777"/>
        <v>27438.200000000012</v>
      </c>
      <c r="DD269" s="56"/>
      <c r="DG269" s="55">
        <f t="shared" si="1778"/>
        <v>46250</v>
      </c>
      <c r="DH269" s="56"/>
      <c r="DI269" s="147">
        <f>SUMPRODUCT(PRODUCE!$B270:$DY270,PRODUCE!$EB$19:$IY$19)</f>
        <v>0</v>
      </c>
      <c r="DJ269" s="56"/>
      <c r="DK269" s="147">
        <f t="shared" si="1779"/>
        <v>0</v>
      </c>
      <c r="DL269" s="147">
        <f t="shared" si="1780"/>
        <v>18782.299999999981</v>
      </c>
      <c r="DM269" s="56"/>
      <c r="DP269" s="55">
        <f t="shared" si="1781"/>
        <v>46250</v>
      </c>
      <c r="DQ269" s="56"/>
      <c r="DR269" s="57">
        <f>SUMPRODUCT(PRODUCE!$B270:$DY270,PRODUCE!$EB$20:$IY$20)</f>
        <v>0</v>
      </c>
      <c r="DS269" s="56"/>
      <c r="DT269" s="57">
        <f t="shared" si="1782"/>
        <v>0</v>
      </c>
      <c r="DU269" s="57">
        <f t="shared" si="1783"/>
        <v>5800</v>
      </c>
      <c r="DV269" s="56"/>
      <c r="DY269" s="55">
        <f t="shared" si="1784"/>
        <v>46250</v>
      </c>
      <c r="DZ269" s="56"/>
      <c r="EA269" s="157">
        <f>SUMPRODUCT(PRODUCE!$B270:$DY270,PRODUCE!$EB$21:$IY$21)</f>
        <v>0</v>
      </c>
      <c r="EB269" s="56"/>
      <c r="EC269" s="157">
        <f t="shared" si="1785"/>
        <v>0</v>
      </c>
      <c r="ED269" s="157">
        <f t="shared" si="1786"/>
        <v>0</v>
      </c>
      <c r="EE269" s="56"/>
      <c r="EH269" s="55">
        <f t="shared" si="1787"/>
        <v>46250</v>
      </c>
      <c r="EI269" s="56"/>
      <c r="EJ269" s="162">
        <f>SUMPRODUCT(PRODUCE!$B270:$DY270,PRODUCE!$EB$22:$IY$22)</f>
        <v>0</v>
      </c>
      <c r="EK269" s="56"/>
      <c r="EL269" s="162">
        <f t="shared" si="1788"/>
        <v>0</v>
      </c>
      <c r="EM269" s="162">
        <f t="shared" si="1789"/>
        <v>0</v>
      </c>
      <c r="EN269" s="56"/>
      <c r="EQ269" s="55">
        <f t="shared" si="1790"/>
        <v>46250</v>
      </c>
      <c r="ER269" s="56"/>
      <c r="ES269" s="135">
        <f>SUMPRODUCT(PRODUCE!$B270:$DY270,PRODUCE!$EB$23:$IY$23)</f>
        <v>0</v>
      </c>
      <c r="ET269" s="56"/>
      <c r="EU269" s="135">
        <f t="shared" si="1791"/>
        <v>0</v>
      </c>
      <c r="EV269" s="135">
        <f t="shared" si="1792"/>
        <v>0</v>
      </c>
      <c r="EW269" s="56"/>
      <c r="EZ269" s="55">
        <f t="shared" si="1793"/>
        <v>46250</v>
      </c>
      <c r="FA269" s="56"/>
      <c r="FB269" s="175">
        <f>SUMPRODUCT(PRODUCE!$B270:$DY270,PRODUCE!$EB$24:$IY$24)</f>
        <v>0</v>
      </c>
      <c r="FC269" s="56"/>
      <c r="FD269" s="175">
        <f t="shared" si="1794"/>
        <v>0</v>
      </c>
      <c r="FE269" s="175">
        <f t="shared" si="1795"/>
        <v>0</v>
      </c>
      <c r="FF269" s="56"/>
      <c r="FI269" s="55">
        <f t="shared" si="1796"/>
        <v>46250</v>
      </c>
      <c r="FJ269" s="56"/>
      <c r="FK269" s="183">
        <f>SUMPRODUCT(PRODUCE!$B270:$DY270,PRODUCE!$EB$25:$IY$25)</f>
        <v>0</v>
      </c>
      <c r="FL269" s="56"/>
      <c r="FM269" s="183">
        <f t="shared" si="1797"/>
        <v>0</v>
      </c>
      <c r="FN269" s="183">
        <f t="shared" si="1798"/>
        <v>0</v>
      </c>
      <c r="FO269" s="56"/>
      <c r="FR269" s="55">
        <f t="shared" si="1799"/>
        <v>46250</v>
      </c>
      <c r="FS269" s="56"/>
      <c r="FT269" s="186">
        <f>SUMPRODUCT(PRODUCE!$B270:$DY270,PRODUCE!$EB$26:$IY$26)</f>
        <v>0</v>
      </c>
      <c r="FU269" s="56"/>
      <c r="FV269" s="186">
        <f t="shared" si="1800"/>
        <v>0</v>
      </c>
      <c r="FW269" s="186">
        <f t="shared" si="1801"/>
        <v>20</v>
      </c>
      <c r="FX269" s="56"/>
      <c r="GA269" s="55">
        <f t="shared" si="1802"/>
        <v>46250</v>
      </c>
      <c r="GB269" s="56"/>
      <c r="GC269" s="137">
        <f>SUMPRODUCT(PRODUCE!$B270:$DY270,PRODUCE!$EB$27:$IY$27)</f>
        <v>0</v>
      </c>
      <c r="GD269" s="56"/>
      <c r="GE269" s="137">
        <f t="shared" si="1803"/>
        <v>0</v>
      </c>
      <c r="GF269" s="137">
        <f t="shared" si="1804"/>
        <v>960</v>
      </c>
      <c r="GG269" s="56"/>
      <c r="GI269" s="23"/>
      <c r="GJ269" s="55">
        <f t="shared" si="1805"/>
        <v>46250</v>
      </c>
      <c r="GK269" s="56"/>
      <c r="GL269" s="199">
        <f>SUMPRODUCT(PRODUCE!$B270:$DY270,PRODUCE!$EB$28:$IY$28)</f>
        <v>0</v>
      </c>
      <c r="GM269" s="56"/>
      <c r="GN269" s="199">
        <f t="shared" si="1806"/>
        <v>0</v>
      </c>
      <c r="GO269" s="199">
        <f t="shared" si="1807"/>
        <v>1760</v>
      </c>
      <c r="GP269" s="56"/>
      <c r="GS269" s="55">
        <f t="shared" si="1808"/>
        <v>46250</v>
      </c>
      <c r="GT269" s="56"/>
      <c r="GU269" s="195">
        <f>SUMPRODUCT(PRODUCE!$B270:$DY270,PRODUCE!$EB$29:$IY$29)</f>
        <v>0</v>
      </c>
      <c r="GV269" s="56"/>
      <c r="GW269" s="195">
        <f t="shared" si="1809"/>
        <v>0</v>
      </c>
      <c r="GX269" s="195">
        <f t="shared" si="1810"/>
        <v>400</v>
      </c>
      <c r="GY269" s="56"/>
      <c r="HB269" s="55">
        <f t="shared" si="1811"/>
        <v>46250</v>
      </c>
      <c r="HC269" s="56"/>
      <c r="HD269" s="191">
        <f>SUMPRODUCT(PRODUCE!$B270:$DY270,PRODUCE!$EB$30:$IY$30)</f>
        <v>0</v>
      </c>
      <c r="HE269" s="56"/>
      <c r="HF269" s="191">
        <f t="shared" si="1812"/>
        <v>0</v>
      </c>
      <c r="HG269" s="191">
        <f t="shared" si="1813"/>
        <v>3600</v>
      </c>
      <c r="HH269" s="56"/>
      <c r="HK269" s="55">
        <f t="shared" si="1814"/>
        <v>46250</v>
      </c>
      <c r="HL269" s="56"/>
      <c r="HM269" s="63">
        <f>SUMPRODUCT(PRODUCE!$B270:$DY270,PRODUCE!$EB$31:$IY$31)</f>
        <v>0</v>
      </c>
      <c r="HN269" s="56"/>
      <c r="HO269" s="63">
        <f t="shared" si="1815"/>
        <v>0</v>
      </c>
      <c r="HP269" s="63">
        <f t="shared" si="1816"/>
        <v>0</v>
      </c>
      <c r="HQ269" s="56"/>
      <c r="HU269" s="55">
        <f t="shared" si="1817"/>
        <v>46250</v>
      </c>
      <c r="HV269" s="56"/>
      <c r="HW269" s="242">
        <f>SUMPRODUCT(PRODUCE!$B270:$DY270,PRODUCE!$EB$32:$IY$32)</f>
        <v>0</v>
      </c>
      <c r="HX269" s="56">
        <f>8*20</f>
        <v>160</v>
      </c>
      <c r="HY269" s="242">
        <f t="shared" si="1818"/>
        <v>-160</v>
      </c>
      <c r="HZ269" s="242">
        <f t="shared" si="1819"/>
        <v>4120</v>
      </c>
      <c r="IA269" s="56">
        <f t="shared" ref="IA269" si="1991">HX269/20</f>
        <v>8</v>
      </c>
      <c r="IB269" s="23" t="s">
        <v>302</v>
      </c>
      <c r="ID269" s="55">
        <f t="shared" si="1820"/>
        <v>46250</v>
      </c>
      <c r="IE269" s="56"/>
      <c r="IF269" s="242">
        <f>SUMPRODUCT(PRODUCE!$B270:$DY270,PRODUCE!$EB$33:$IY$33)</f>
        <v>0</v>
      </c>
      <c r="IG269" s="56"/>
      <c r="IH269" s="242">
        <f t="shared" si="1821"/>
        <v>0</v>
      </c>
      <c r="II269" s="242">
        <f t="shared" si="1822"/>
        <v>60</v>
      </c>
      <c r="IJ269" s="56"/>
      <c r="IM269" s="55">
        <f t="shared" si="1823"/>
        <v>46250</v>
      </c>
      <c r="IN269" s="56"/>
      <c r="IO269" s="242">
        <f>SUMPRODUCT(PRODUCE!$B270:$DY270,PRODUCE!$EB$34:$IY$34)</f>
        <v>0</v>
      </c>
      <c r="IP269" s="56"/>
      <c r="IQ269" s="242">
        <f t="shared" si="1824"/>
        <v>0</v>
      </c>
      <c r="IR269" s="242">
        <f t="shared" si="1825"/>
        <v>0</v>
      </c>
      <c r="IS269" s="56"/>
      <c r="IV269" s="55">
        <f t="shared" si="1826"/>
        <v>46250</v>
      </c>
      <c r="IW269" s="56"/>
      <c r="IX269" s="242">
        <f>SUMPRODUCT(PRODUCE!$B270:$DY270,PRODUCE!$EB$35:$IY$35)</f>
        <v>0</v>
      </c>
      <c r="IY269" s="56"/>
      <c r="IZ269" s="242">
        <f t="shared" si="1827"/>
        <v>0</v>
      </c>
      <c r="JA269" s="242">
        <f t="shared" si="1828"/>
        <v>2960</v>
      </c>
      <c r="JB269" s="56"/>
      <c r="JE269" s="55">
        <f t="shared" si="1829"/>
        <v>46250</v>
      </c>
      <c r="JF269" s="56"/>
      <c r="JG269" s="242">
        <f>SUMPRODUCT(PRODUCE!$B270:$DY270,PRODUCE!$EB$36:$IY$36)</f>
        <v>0</v>
      </c>
      <c r="JH269" s="56"/>
      <c r="JI269" s="242">
        <f t="shared" si="1830"/>
        <v>0</v>
      </c>
      <c r="JJ269" s="242">
        <f t="shared" si="1831"/>
        <v>0</v>
      </c>
      <c r="JK269" s="56"/>
      <c r="JN269" s="55">
        <f t="shared" si="1832"/>
        <v>46250</v>
      </c>
      <c r="JO269" s="56"/>
      <c r="JP269" s="242">
        <f>SUMPRODUCT(PRODUCE!$B270:$DY270,PRODUCE!$EB$37:$IY$37)</f>
        <v>0</v>
      </c>
      <c r="JQ269" s="56"/>
      <c r="JR269" s="242">
        <f t="shared" si="1833"/>
        <v>0</v>
      </c>
      <c r="JS269" s="242">
        <f t="shared" si="1834"/>
        <v>0</v>
      </c>
      <c r="JT269" s="56"/>
      <c r="JW269" s="55">
        <f t="shared" si="1835"/>
        <v>46250</v>
      </c>
      <c r="JX269" s="56"/>
      <c r="JY269" s="242">
        <f>SUMPRODUCT(PRODUCE!$B270:$DY270,PRODUCE!$EB$38:$IY$38)</f>
        <v>0</v>
      </c>
      <c r="JZ269" s="56"/>
      <c r="KA269" s="242">
        <f t="shared" si="1836"/>
        <v>0</v>
      </c>
      <c r="KB269" s="242">
        <f t="shared" si="1837"/>
        <v>2540</v>
      </c>
      <c r="KC269" s="56"/>
      <c r="KF269" s="55">
        <f t="shared" si="1838"/>
        <v>46250</v>
      </c>
      <c r="KG269" s="56"/>
      <c r="KH269" s="242">
        <f>SUMPRODUCT(PRODUCE!$B270:$DY270,PRODUCE!$EB$39:$IY$39)</f>
        <v>0</v>
      </c>
      <c r="KI269" s="56"/>
      <c r="KJ269" s="242">
        <f t="shared" si="1839"/>
        <v>0</v>
      </c>
      <c r="KK269" s="242">
        <f t="shared" si="1840"/>
        <v>2359.5</v>
      </c>
      <c r="KL269" s="56"/>
      <c r="KO269" s="55">
        <f t="shared" si="1841"/>
        <v>46250</v>
      </c>
      <c r="KP269" s="56"/>
      <c r="KQ269" s="242">
        <f>SUMPRODUCT(PRODUCE!$B270:$DY270,PRODUCE!$EB$40:$IY$40)</f>
        <v>0</v>
      </c>
      <c r="KR269" s="56"/>
      <c r="KS269" s="242">
        <f t="shared" si="1842"/>
        <v>0</v>
      </c>
      <c r="KT269" s="242">
        <f t="shared" si="1843"/>
        <v>1890</v>
      </c>
      <c r="KU269" s="56"/>
      <c r="KW269" s="23"/>
      <c r="KX269" s="55">
        <f t="shared" si="1844"/>
        <v>46250</v>
      </c>
      <c r="KY269" s="56"/>
      <c r="KZ269" s="242">
        <f>SUMPRODUCT(PRODUCE!$B270:$DY270,PRODUCE!$EB$41:$IY$41)</f>
        <v>0</v>
      </c>
      <c r="LA269" s="56"/>
      <c r="LB269" s="242">
        <f t="shared" si="1845"/>
        <v>0</v>
      </c>
      <c r="LC269" s="242">
        <f t="shared" si="1846"/>
        <v>3690</v>
      </c>
      <c r="LD269" s="56"/>
      <c r="LG269" s="55">
        <f t="shared" si="1847"/>
        <v>46250</v>
      </c>
      <c r="LH269" s="56"/>
      <c r="LI269" s="242">
        <f>SUMPRODUCT(PRODUCE!$B270:$DY270,PRODUCE!$EB$42:$IY$42)</f>
        <v>0</v>
      </c>
      <c r="LJ269" s="56"/>
      <c r="LK269" s="242">
        <f t="shared" si="1848"/>
        <v>0</v>
      </c>
      <c r="LL269" s="242">
        <f t="shared" si="1849"/>
        <v>4000</v>
      </c>
      <c r="LM269" s="56"/>
      <c r="LP269" s="55">
        <f t="shared" si="1850"/>
        <v>46250</v>
      </c>
      <c r="LQ269" s="56"/>
      <c r="LR269" s="242">
        <f>SUMPRODUCT(PRODUCE!$B284:$DY284,PRODUCE!$EB$43:$IY$43)</f>
        <v>0</v>
      </c>
      <c r="LS269" s="56"/>
      <c r="LT269" s="242">
        <f t="shared" si="1851"/>
        <v>0</v>
      </c>
      <c r="LU269" s="242">
        <f t="shared" si="1852"/>
        <v>0</v>
      </c>
      <c r="LV269" s="56"/>
      <c r="LY269" s="55">
        <f t="shared" si="1853"/>
        <v>46250</v>
      </c>
      <c r="LZ269" s="56"/>
      <c r="MA269" s="242">
        <f>SUMPRODUCT(PRODUCE!$B270:$DY270,PRODUCE!$EB$44:$IY$44)</f>
        <v>0</v>
      </c>
      <c r="MB269" s="56"/>
      <c r="MC269" s="242">
        <f t="shared" si="1854"/>
        <v>0</v>
      </c>
      <c r="MD269" s="242">
        <f t="shared" si="1855"/>
        <v>0</v>
      </c>
      <c r="ME269" s="56"/>
      <c r="MH269" s="55">
        <f t="shared" si="1856"/>
        <v>46250</v>
      </c>
      <c r="MI269" s="56"/>
      <c r="MJ269" s="242">
        <f>SUMPRODUCT(PRODUCE!$B270:$DY270,PRODUCE!$EB$45:$IY$45)</f>
        <v>0</v>
      </c>
      <c r="MK269" s="56"/>
      <c r="ML269" s="242">
        <f t="shared" si="1857"/>
        <v>0</v>
      </c>
      <c r="MM269" s="242">
        <f t="shared" si="1858"/>
        <v>0</v>
      </c>
      <c r="MN269" s="56"/>
      <c r="MQ269" s="55">
        <f t="shared" si="1859"/>
        <v>46250</v>
      </c>
      <c r="MR269" s="56"/>
      <c r="MS269" s="242">
        <f>SUMPRODUCT(PRODUCE!$B270:$DY270,PRODUCE!$EB$46:$IY$46)</f>
        <v>0</v>
      </c>
      <c r="MT269" s="56"/>
      <c r="MU269" s="242">
        <f t="shared" si="1860"/>
        <v>0</v>
      </c>
      <c r="MV269" s="242">
        <f t="shared" si="1861"/>
        <v>1625</v>
      </c>
      <c r="MW269" s="56"/>
      <c r="MZ269" s="55">
        <f t="shared" si="1862"/>
        <v>46250</v>
      </c>
      <c r="NA269" s="56"/>
      <c r="NB269" s="242">
        <f>SUMPRODUCT(PRODUCE!$B270:$DY270,PRODUCE!$EB$47:$IY$47)</f>
        <v>0</v>
      </c>
      <c r="NC269" s="56"/>
      <c r="ND269" s="242">
        <f t="shared" si="1863"/>
        <v>0</v>
      </c>
      <c r="NE269" s="242">
        <f t="shared" si="1864"/>
        <v>0</v>
      </c>
      <c r="NF269" s="56"/>
      <c r="NI269" s="55">
        <f t="shared" si="1865"/>
        <v>46250</v>
      </c>
      <c r="NJ269" s="56"/>
      <c r="NK269" s="242">
        <f>SUMPRODUCT(PRODUCE!$B270:$DY270,PRODUCE!$EB$48:$IY$48)</f>
        <v>0</v>
      </c>
      <c r="NL269" s="56"/>
      <c r="NM269" s="242">
        <f t="shared" si="1866"/>
        <v>0</v>
      </c>
      <c r="NN269" s="242">
        <f t="shared" si="1867"/>
        <v>1127</v>
      </c>
      <c r="NO269" s="56"/>
      <c r="NR269" s="55">
        <f t="shared" si="1868"/>
        <v>46250</v>
      </c>
      <c r="NS269" s="56"/>
      <c r="NT269" s="242">
        <f>SUMPRODUCT(PRODUCE!$B270:$DY270,PRODUCE!$EB$49:$IY$49)</f>
        <v>0</v>
      </c>
      <c r="NU269" s="56"/>
      <c r="NV269" s="242">
        <f t="shared" si="1869"/>
        <v>0</v>
      </c>
      <c r="NW269" s="242">
        <f t="shared" si="1870"/>
        <v>3111.9999999999995</v>
      </c>
      <c r="NX269" s="56"/>
      <c r="OA269" s="55">
        <f t="shared" si="1871"/>
        <v>46250</v>
      </c>
      <c r="OB269" s="56"/>
      <c r="OC269" s="242">
        <f>SUMPRODUCT(PRODUCE!$B270:$DY270,PRODUCE!$EB$50:$IY$50)</f>
        <v>0</v>
      </c>
      <c r="OD269" s="56"/>
      <c r="OE269" s="242">
        <f t="shared" si="1872"/>
        <v>0</v>
      </c>
      <c r="OF269" s="242">
        <f t="shared" si="1873"/>
        <v>1680.5</v>
      </c>
      <c r="OG269" s="56"/>
      <c r="OJ269" s="55">
        <f t="shared" si="1874"/>
        <v>46250</v>
      </c>
      <c r="OK269" s="56"/>
      <c r="OL269" s="242">
        <f>SUMPRODUCT(PRODUCE!$B270:$DY270,PRODUCE!$EB$51:$IY$51)</f>
        <v>0</v>
      </c>
      <c r="OM269" s="56"/>
      <c r="ON269" s="242">
        <f t="shared" si="1875"/>
        <v>0</v>
      </c>
      <c r="OO269" s="242">
        <f t="shared" si="1876"/>
        <v>0</v>
      </c>
      <c r="OP269" s="56"/>
      <c r="OS269" s="55">
        <f t="shared" si="1877"/>
        <v>46250</v>
      </c>
      <c r="OT269" s="56"/>
      <c r="OU269" s="242">
        <f>SUMPRODUCT(PRODUCE!$B270:$DY270,PRODUCE!$EB$52:$IY$52)</f>
        <v>0</v>
      </c>
      <c r="OV269" s="56"/>
      <c r="OW269" s="242">
        <f t="shared" si="1878"/>
        <v>0</v>
      </c>
      <c r="OX269" s="242">
        <f t="shared" si="1879"/>
        <v>1482</v>
      </c>
      <c r="OY269" s="56"/>
      <c r="PB269" s="55">
        <f t="shared" si="1880"/>
        <v>46250</v>
      </c>
      <c r="PC269" s="56"/>
      <c r="PD269" s="242">
        <f>SUMPRODUCT(PRODUCE!$B270:$DY270,PRODUCE!$EB$53:$IY$53)</f>
        <v>0</v>
      </c>
      <c r="PE269" s="56"/>
      <c r="PF269" s="242">
        <f t="shared" si="1881"/>
        <v>0</v>
      </c>
      <c r="PG269" s="242">
        <f t="shared" si="1882"/>
        <v>0</v>
      </c>
      <c r="PH269" s="56"/>
      <c r="PK269" s="55">
        <f t="shared" si="1883"/>
        <v>46250</v>
      </c>
      <c r="PL269" s="56"/>
      <c r="PM269" s="242">
        <f>SUMPRODUCT(PRODUCE!$B270:$DY270,PRODUCE!$EB$54:$IY$54)</f>
        <v>0</v>
      </c>
      <c r="PN269" s="56"/>
      <c r="PO269" s="242">
        <f t="shared" si="1884"/>
        <v>0</v>
      </c>
      <c r="PP269" s="242">
        <f t="shared" si="1885"/>
        <v>100</v>
      </c>
      <c r="PQ269" s="56"/>
      <c r="PT269" s="55">
        <f t="shared" si="1886"/>
        <v>46250</v>
      </c>
      <c r="PU269" s="56"/>
      <c r="PV269" s="242">
        <f>SUMPRODUCT(PRODUCE!$B270:$DY270,PRODUCE!$EB$55:$IY$55)</f>
        <v>0</v>
      </c>
      <c r="PW269" s="56"/>
      <c r="PX269" s="242">
        <f t="shared" si="1887"/>
        <v>0</v>
      </c>
      <c r="PY269" s="242">
        <f t="shared" si="1888"/>
        <v>13.960000000000036</v>
      </c>
      <c r="PZ269" s="56"/>
      <c r="QC269" s="55">
        <f t="shared" si="1889"/>
        <v>46250</v>
      </c>
      <c r="QD269" s="56"/>
      <c r="QE269" s="242">
        <f>SUMPRODUCT(PRODUCE!$B270:$DY270,PRODUCE!$EB$56:$IY$56)</f>
        <v>0</v>
      </c>
      <c r="QF269" s="56"/>
      <c r="QG269" s="242">
        <f t="shared" si="1890"/>
        <v>0</v>
      </c>
      <c r="QH269" s="242">
        <f t="shared" si="1891"/>
        <v>548</v>
      </c>
      <c r="QI269" s="56"/>
      <c r="QL269" s="55">
        <f t="shared" si="1892"/>
        <v>46250</v>
      </c>
      <c r="QM269" s="56"/>
      <c r="QN269" s="242">
        <f>SUMPRODUCT(PRODUCE!$B270:$DY270,PRODUCE!$EB$57:$IY$57)</f>
        <v>0</v>
      </c>
      <c r="QO269" s="56"/>
      <c r="QP269" s="242">
        <f t="shared" si="1893"/>
        <v>0</v>
      </c>
      <c r="QQ269" s="242">
        <f t="shared" si="1894"/>
        <v>0</v>
      </c>
      <c r="QR269" s="56"/>
      <c r="QU269" s="55">
        <f t="shared" si="1895"/>
        <v>46250</v>
      </c>
      <c r="QV269" s="56"/>
      <c r="QW269" s="242">
        <f>SUMPRODUCT(PRODUCE!$B270:$DY270,PRODUCE!$EB$57:$IY$57)</f>
        <v>0</v>
      </c>
      <c r="QX269" s="56"/>
      <c r="QY269" s="242">
        <f t="shared" si="1896"/>
        <v>0</v>
      </c>
      <c r="QZ269" s="242">
        <f t="shared" si="1897"/>
        <v>0</v>
      </c>
      <c r="RA269" s="56"/>
      <c r="RD269" s="55">
        <f t="shared" si="1898"/>
        <v>46250</v>
      </c>
      <c r="RE269" s="56"/>
      <c r="RF269" s="242">
        <f>SUMPRODUCT(PRODUCE!$B270:$DY270,PRODUCE!$EB$58:$IY$58)</f>
        <v>0</v>
      </c>
      <c r="RG269" s="56"/>
      <c r="RH269" s="242">
        <f t="shared" si="1899"/>
        <v>0</v>
      </c>
      <c r="RI269" s="242">
        <f t="shared" si="1900"/>
        <v>147.04000000000002</v>
      </c>
      <c r="RJ269" s="56"/>
      <c r="RM269" s="55">
        <f t="shared" si="1901"/>
        <v>46250</v>
      </c>
      <c r="RN269" s="56"/>
      <c r="RO269" s="242">
        <f>SUMPRODUCT(PRODUCE!$B270:$DY270,PRODUCE!$EB$59:$IY$59)</f>
        <v>0</v>
      </c>
      <c r="RP269" s="56"/>
      <c r="RQ269" s="242">
        <f t="shared" si="1902"/>
        <v>0</v>
      </c>
      <c r="RR269" s="242">
        <f t="shared" si="1903"/>
        <v>46.8</v>
      </c>
      <c r="RS269" s="56"/>
      <c r="RV269" s="55">
        <f t="shared" si="1904"/>
        <v>46250</v>
      </c>
      <c r="RW269" s="56"/>
      <c r="RX269" s="242">
        <f>SUMPRODUCT(PRODUCE!$B270:$DY270,PRODUCE!$EB$57:$IY$57)</f>
        <v>0</v>
      </c>
      <c r="RY269" s="56"/>
      <c r="RZ269" s="242">
        <f t="shared" si="1905"/>
        <v>0</v>
      </c>
      <c r="SA269" s="242">
        <f t="shared" si="1906"/>
        <v>0</v>
      </c>
      <c r="SB269" s="56"/>
      <c r="SE269" s="55">
        <f t="shared" si="1907"/>
        <v>46250</v>
      </c>
      <c r="SF269" s="56"/>
      <c r="SG269" s="242">
        <f>SUMPRODUCT(PRODUCE!$B270:$DY270,PRODUCE!$EB$61:$IY$61)</f>
        <v>0</v>
      </c>
      <c r="SH269" s="56"/>
      <c r="SI269" s="242">
        <f t="shared" si="1908"/>
        <v>0</v>
      </c>
      <c r="SJ269" s="242">
        <f t="shared" si="1909"/>
        <v>24.200000000000003</v>
      </c>
      <c r="SK269" s="56"/>
      <c r="SN269" s="55">
        <f t="shared" si="1910"/>
        <v>46250</v>
      </c>
      <c r="SO269" s="56"/>
      <c r="SP269" s="242">
        <f>SUMPRODUCT(PRODUCE!$B270:$DY270,PRODUCE!$EB$62:$IY$62)</f>
        <v>0</v>
      </c>
      <c r="SQ269" s="56"/>
      <c r="SR269" s="242">
        <f t="shared" si="1911"/>
        <v>0</v>
      </c>
      <c r="SS269" s="242">
        <f t="shared" si="1912"/>
        <v>32</v>
      </c>
      <c r="ST269" s="56"/>
      <c r="SW269" s="55">
        <f t="shared" si="1913"/>
        <v>46250</v>
      </c>
      <c r="SX269" s="56"/>
      <c r="SY269" s="242">
        <f>SUMPRODUCT(PRODUCE!$B270:$DY270,PRODUCE!$EB$57:$IY$57)</f>
        <v>0</v>
      </c>
      <c r="SZ269" s="56"/>
      <c r="TA269" s="242">
        <f t="shared" si="1914"/>
        <v>0</v>
      </c>
      <c r="TB269" s="242">
        <f t="shared" si="1915"/>
        <v>0</v>
      </c>
      <c r="TC269" s="56"/>
      <c r="TF269" s="55">
        <f t="shared" si="1916"/>
        <v>46250</v>
      </c>
      <c r="TG269" s="56"/>
      <c r="TH269" s="242">
        <f>SUMPRODUCT(PRODUCE!$B270:$DY270,PRODUCE!$EB$57:$IY$57)</f>
        <v>0</v>
      </c>
      <c r="TI269" s="56"/>
      <c r="TJ269" s="242">
        <f t="shared" si="1917"/>
        <v>0</v>
      </c>
      <c r="TK269" s="242">
        <f t="shared" si="1918"/>
        <v>0</v>
      </c>
      <c r="TL269" s="56"/>
      <c r="TO269" s="55">
        <f t="shared" si="1919"/>
        <v>46250</v>
      </c>
      <c r="TP269" s="56"/>
      <c r="TQ269" s="242">
        <f>SUMPRODUCT(PRODUCE!$B270:$DY270,PRODUCE!$EB$57:$IY$57)</f>
        <v>0</v>
      </c>
      <c r="TR269" s="56"/>
      <c r="TS269" s="242">
        <f t="shared" si="1920"/>
        <v>0</v>
      </c>
      <c r="TT269" s="242">
        <f t="shared" si="1921"/>
        <v>0</v>
      </c>
      <c r="TU269" s="56"/>
      <c r="TX269" s="55">
        <f t="shared" si="1922"/>
        <v>46250</v>
      </c>
      <c r="TY269" s="56"/>
      <c r="TZ269" s="242">
        <f>SUMPRODUCT(PRODUCE!$B270:$DY270,PRODUCE!$EB$57:$IY$57)</f>
        <v>0</v>
      </c>
      <c r="UA269" s="56"/>
      <c r="UB269" s="242">
        <f t="shared" si="1923"/>
        <v>0</v>
      </c>
      <c r="UC269" s="242">
        <f t="shared" si="1924"/>
        <v>46.799999999999983</v>
      </c>
      <c r="UD269" s="56"/>
      <c r="UG269" s="55">
        <f t="shared" si="1925"/>
        <v>46250</v>
      </c>
      <c r="UH269" s="56"/>
      <c r="UI269" s="242">
        <f>SUMPRODUCT(PRODUCE!$B270:$DY270,PRODUCE!$EB$57:$IY$57)</f>
        <v>0</v>
      </c>
      <c r="UJ269" s="56"/>
      <c r="UK269" s="242">
        <f t="shared" si="1926"/>
        <v>0</v>
      </c>
      <c r="UL269" s="242">
        <f t="shared" si="1927"/>
        <v>204</v>
      </c>
      <c r="UM269" s="56"/>
      <c r="UP269" s="55">
        <f t="shared" si="1928"/>
        <v>46250</v>
      </c>
      <c r="UQ269" s="56"/>
      <c r="UR269" s="242">
        <f>SUMPRODUCT(PRODUCE!$B270:$DY270,PRODUCE!$EB$57:$IY$57)</f>
        <v>0</v>
      </c>
      <c r="US269" s="56"/>
      <c r="UT269" s="242">
        <f t="shared" si="1929"/>
        <v>0</v>
      </c>
      <c r="UU269" s="242">
        <f t="shared" si="1930"/>
        <v>202.5</v>
      </c>
      <c r="UV269" s="56"/>
      <c r="UY269" s="55">
        <f t="shared" si="1931"/>
        <v>46250</v>
      </c>
      <c r="UZ269" s="56"/>
      <c r="VA269" s="242">
        <f>SUMPRODUCT(PRODUCE!$B270:$DY270,PRODUCE!$EB$57:$IY$57)</f>
        <v>0</v>
      </c>
      <c r="VB269" s="56"/>
      <c r="VC269" s="242">
        <f t="shared" si="1932"/>
        <v>0</v>
      </c>
      <c r="VD269" s="242">
        <f t="shared" si="1933"/>
        <v>41.600000000000023</v>
      </c>
      <c r="VE269" s="56"/>
      <c r="VH269" s="55">
        <f t="shared" si="1934"/>
        <v>46250</v>
      </c>
      <c r="VI269" s="56"/>
      <c r="VJ269" s="242">
        <f>SUMPRODUCT(PRODUCE!$B270:$DY270,PRODUCE!$EB$57:$IY$57)</f>
        <v>0</v>
      </c>
      <c r="VK269" s="56"/>
      <c r="VL269" s="242">
        <f t="shared" si="1935"/>
        <v>0</v>
      </c>
      <c r="VM269" s="242">
        <f t="shared" si="1936"/>
        <v>210</v>
      </c>
      <c r="VN269" s="56"/>
      <c r="VQ269" s="55">
        <f t="shared" si="1937"/>
        <v>46250</v>
      </c>
      <c r="VR269" s="56"/>
      <c r="VS269" s="242">
        <f>SUMPRODUCT(PRODUCE!$B270:$DY270,PRODUCE!$EB$57:$IY$57)</f>
        <v>0</v>
      </c>
      <c r="VT269" s="56"/>
      <c r="VU269" s="242">
        <f t="shared" si="1938"/>
        <v>0</v>
      </c>
      <c r="VV269" s="242">
        <f t="shared" si="1939"/>
        <v>0</v>
      </c>
      <c r="VW269" s="56"/>
      <c r="VZ269" s="55">
        <f t="shared" si="1940"/>
        <v>46250</v>
      </c>
      <c r="WA269" s="56"/>
      <c r="WB269" s="242">
        <f>SUMPRODUCT(PRODUCE!$B270:$DY270,PRODUCE!$EB$57:$IY$57)</f>
        <v>0</v>
      </c>
      <c r="WC269" s="56"/>
      <c r="WD269" s="242">
        <f t="shared" si="1941"/>
        <v>0</v>
      </c>
      <c r="WE269" s="242">
        <f t="shared" si="1942"/>
        <v>0</v>
      </c>
      <c r="WF269" s="56"/>
      <c r="WI269" s="55">
        <f t="shared" si="1943"/>
        <v>46250</v>
      </c>
      <c r="WJ269" s="56"/>
      <c r="WK269" s="242">
        <f>SUMPRODUCT(PRODUCE!$B270:$DY270,PRODUCE!$EB$57:$IY$57)</f>
        <v>0</v>
      </c>
      <c r="WL269" s="56"/>
      <c r="WM269" s="242">
        <f t="shared" si="1944"/>
        <v>0</v>
      </c>
      <c r="WN269" s="242">
        <f t="shared" si="1945"/>
        <v>1057</v>
      </c>
      <c r="WO269" s="56"/>
      <c r="WR269" s="55">
        <f t="shared" si="1946"/>
        <v>46250</v>
      </c>
      <c r="WS269" s="56"/>
      <c r="WT269" s="242">
        <f>SUMPRODUCT(PRODUCE!$B270:$DY270,PRODUCE!$EB$57:$IY$57)</f>
        <v>0</v>
      </c>
      <c r="WU269" s="56"/>
      <c r="WV269" s="242">
        <f t="shared" si="1947"/>
        <v>0</v>
      </c>
      <c r="WW269" s="242">
        <f t="shared" si="1948"/>
        <v>0</v>
      </c>
      <c r="WX269" s="56"/>
      <c r="XA269" s="55">
        <f t="shared" si="1949"/>
        <v>46250</v>
      </c>
      <c r="XB269" s="56"/>
      <c r="XC269" s="242">
        <f>SUMPRODUCT(PRODUCE!$B270:$DY270,PRODUCE!$EB$57:$IY$57)</f>
        <v>0</v>
      </c>
      <c r="XD269" s="56"/>
      <c r="XE269" s="242">
        <f t="shared" si="1950"/>
        <v>0</v>
      </c>
      <c r="XF269" s="242">
        <f t="shared" si="1951"/>
        <v>7507</v>
      </c>
      <c r="XG269" s="56"/>
      <c r="XJ269" s="55">
        <f t="shared" si="1952"/>
        <v>46250</v>
      </c>
      <c r="XK269" s="56"/>
      <c r="XL269" s="242">
        <f>SUMPRODUCT(PRODUCE!$B270:$DY270,PRODUCE!$EB$57:$IY$57)</f>
        <v>0</v>
      </c>
      <c r="XM269" s="56"/>
      <c r="XN269" s="242">
        <f t="shared" si="1953"/>
        <v>0</v>
      </c>
      <c r="XO269" s="242">
        <f t="shared" si="1954"/>
        <v>4252</v>
      </c>
      <c r="XP269" s="56"/>
      <c r="XS269" s="55">
        <f t="shared" si="1955"/>
        <v>46250</v>
      </c>
      <c r="XT269" s="56"/>
      <c r="XU269" s="242">
        <f>SUMPRODUCT(PRODUCE!$B270:$DY270,PRODUCE!$EB$57:$IY$57)</f>
        <v>0</v>
      </c>
      <c r="XV269" s="56"/>
      <c r="XW269" s="242">
        <f t="shared" si="1956"/>
        <v>0</v>
      </c>
      <c r="XX269" s="242">
        <f t="shared" si="1957"/>
        <v>2179</v>
      </c>
      <c r="XY269" s="56"/>
      <c r="YB269" s="55">
        <f t="shared" si="1958"/>
        <v>46250</v>
      </c>
      <c r="YC269" s="56"/>
      <c r="YD269" s="242">
        <f>SUMPRODUCT(PRODUCE!$B270:$DY270,PRODUCE!$EB$57:$IY$57)</f>
        <v>0</v>
      </c>
      <c r="YE269" s="56"/>
      <c r="YF269" s="242">
        <f t="shared" si="1959"/>
        <v>0</v>
      </c>
      <c r="YG269" s="242">
        <f t="shared" si="1960"/>
        <v>4019</v>
      </c>
      <c r="YH269" s="56"/>
      <c r="YK269" s="55">
        <f t="shared" si="1961"/>
        <v>46250</v>
      </c>
      <c r="YL269" s="56"/>
      <c r="YM269" s="242">
        <f>SUMPRODUCT(PRODUCE!$B270:$DY270,PRODUCE!$EB$57:$IY$57)</f>
        <v>0</v>
      </c>
      <c r="YN269" s="56"/>
      <c r="YO269" s="242">
        <f t="shared" si="1962"/>
        <v>0</v>
      </c>
      <c r="YP269" s="242">
        <f t="shared" si="1963"/>
        <v>-218</v>
      </c>
      <c r="YQ269" s="56"/>
      <c r="YT269" s="55">
        <f t="shared" si="1964"/>
        <v>46250</v>
      </c>
      <c r="YU269" s="56"/>
      <c r="YV269" s="242">
        <f>SUMPRODUCT(PRODUCE!$B270:$DY270,PRODUCE!$EB$57:$IY$57)</f>
        <v>0</v>
      </c>
      <c r="YW269" s="56"/>
      <c r="YX269" s="242">
        <f t="shared" si="1965"/>
        <v>0</v>
      </c>
      <c r="YY269" s="242">
        <f t="shared" si="1966"/>
        <v>0</v>
      </c>
      <c r="YZ269" s="56"/>
      <c r="ZC269" s="55">
        <f t="shared" si="1967"/>
        <v>46250</v>
      </c>
      <c r="ZD269" s="56"/>
      <c r="ZE269" s="242">
        <f>SUMPRODUCT(PRODUCE!$B270:$DY270,PRODUCE!$EB$57:$IY$57)</f>
        <v>0</v>
      </c>
      <c r="ZF269" s="56"/>
      <c r="ZG269" s="242">
        <f t="shared" si="1968"/>
        <v>0</v>
      </c>
      <c r="ZH269" s="242">
        <f t="shared" si="1969"/>
        <v>0</v>
      </c>
      <c r="ZI269" s="56"/>
      <c r="ZL269" s="55">
        <f t="shared" si="1970"/>
        <v>46250</v>
      </c>
      <c r="ZM269" s="56"/>
      <c r="ZN269" s="242">
        <f>SUMPRODUCT(PRODUCE!$B270:$DY270,PRODUCE!$EB$57:$IY$57)</f>
        <v>0</v>
      </c>
      <c r="ZO269" s="56"/>
      <c r="ZP269" s="242">
        <f t="shared" si="1971"/>
        <v>0</v>
      </c>
      <c r="ZQ269" s="242">
        <f t="shared" si="1972"/>
        <v>0</v>
      </c>
      <c r="ZR269" s="56"/>
      <c r="ZU269" s="55">
        <f t="shared" si="1973"/>
        <v>46250</v>
      </c>
      <c r="ZV269" s="56"/>
      <c r="ZW269" s="242">
        <f>SUMPRODUCT(PRODUCE!$B270:$DY270,PRODUCE!$EB$57:$IY$57)</f>
        <v>0</v>
      </c>
      <c r="ZX269" s="56"/>
      <c r="ZY269" s="242">
        <f t="shared" si="1974"/>
        <v>0</v>
      </c>
      <c r="ZZ269" s="242">
        <f t="shared" si="1975"/>
        <v>0</v>
      </c>
      <c r="AAA269" s="56"/>
      <c r="AAD269" s="55">
        <f t="shared" si="1976"/>
        <v>46250</v>
      </c>
      <c r="AAE269" s="56"/>
      <c r="AAF269" s="242">
        <f>SUMPRODUCT(PRODUCE!$B270:$DY270,PRODUCE!$EB$57:$IY$57)</f>
        <v>0</v>
      </c>
      <c r="AAG269" s="56"/>
      <c r="AAH269" s="242">
        <f t="shared" si="1977"/>
        <v>0</v>
      </c>
      <c r="AAI269" s="242">
        <f t="shared" si="1978"/>
        <v>0</v>
      </c>
      <c r="AAJ269" s="56"/>
      <c r="AAM269" s="55">
        <f t="shared" si="1979"/>
        <v>46250</v>
      </c>
      <c r="AAN269" s="56"/>
      <c r="AAO269" s="242">
        <f>SUMPRODUCT(PRODUCE!$B270:$DY270,PRODUCE!$EB$57:$IY$57)</f>
        <v>0</v>
      </c>
      <c r="AAP269" s="56"/>
      <c r="AAQ269" s="242">
        <f t="shared" si="1980"/>
        <v>0</v>
      </c>
      <c r="AAR269" s="242">
        <f t="shared" si="1981"/>
        <v>0</v>
      </c>
      <c r="AAS269" s="56"/>
      <c r="AAV269" s="55">
        <f t="shared" si="1982"/>
        <v>46250</v>
      </c>
      <c r="AAW269" s="56"/>
      <c r="AAX269" s="242">
        <f>SUMPRODUCT(PRODUCE!$B270:$DY270,PRODUCE!$EB$57:$IY$57)</f>
        <v>0</v>
      </c>
      <c r="AAY269" s="56"/>
      <c r="AAZ269" s="242">
        <f t="shared" si="1983"/>
        <v>0</v>
      </c>
      <c r="ABA269" s="242">
        <f t="shared" si="1984"/>
        <v>0</v>
      </c>
      <c r="ABB269" s="56"/>
      <c r="ABE269" s="55">
        <f t="shared" si="1985"/>
        <v>46250</v>
      </c>
      <c r="ABF269" s="56"/>
      <c r="ABG269" s="242">
        <f>SUMPRODUCT(PRODUCE!$B270:$DY270,PRODUCE!$EB$57:$IY$57)</f>
        <v>0</v>
      </c>
      <c r="ABH269" s="56"/>
      <c r="ABI269" s="242">
        <f t="shared" si="1986"/>
        <v>0</v>
      </c>
      <c r="ABJ269" s="242">
        <f t="shared" si="1987"/>
        <v>0</v>
      </c>
      <c r="ABK269" s="56"/>
    </row>
    <row r="270" spans="2:739" s="54" customFormat="1" ht="15" customHeight="1" outlineLevel="1">
      <c r="B270" s="478"/>
      <c r="C270" s="55">
        <v>46251</v>
      </c>
      <c r="D270" s="56"/>
      <c r="E270" s="57">
        <f>SUMPRODUCT(PRODUCE!$B271:$DY271,PRODUCE!$EB$7:$IY$7)</f>
        <v>0</v>
      </c>
      <c r="F270" s="56"/>
      <c r="G270" s="57">
        <f t="shared" si="1743"/>
        <v>0</v>
      </c>
      <c r="H270" s="57">
        <f t="shared" si="1744"/>
        <v>236936.6</v>
      </c>
      <c r="I270" s="289"/>
      <c r="L270" s="55">
        <f t="shared" si="1745"/>
        <v>46251</v>
      </c>
      <c r="M270" s="56"/>
      <c r="N270" s="59">
        <f>SUMPRODUCT(PRODUCE!$B271:$DY271,PRODUCE!$EB$8:$IY$8)</f>
        <v>0</v>
      </c>
      <c r="O270" s="56"/>
      <c r="P270" s="59">
        <f t="shared" si="1746"/>
        <v>0</v>
      </c>
      <c r="Q270" s="59">
        <f t="shared" si="1747"/>
        <v>53017.600000000071</v>
      </c>
      <c r="R270" s="56"/>
      <c r="U270" s="55">
        <f t="shared" si="1748"/>
        <v>46251</v>
      </c>
      <c r="V270" s="56"/>
      <c r="W270" s="60">
        <f>SUMPRODUCT(PRODUCE!$B271:$DY271,PRODUCE!$EB$9:$IY$9)</f>
        <v>0</v>
      </c>
      <c r="X270" s="56"/>
      <c r="Y270" s="60">
        <f t="shared" si="1749"/>
        <v>0</v>
      </c>
      <c r="Z270" s="60">
        <f t="shared" si="1750"/>
        <v>42674.199999999968</v>
      </c>
      <c r="AA270" s="56"/>
      <c r="AD270" s="55">
        <f t="shared" si="1751"/>
        <v>46251</v>
      </c>
      <c r="AE270" s="56"/>
      <c r="AF270" s="61">
        <f>SUMPRODUCT(PRODUCE!$B271:$DY271,PRODUCE!$EB$10:$IY$10)</f>
        <v>0</v>
      </c>
      <c r="AG270" s="56"/>
      <c r="AH270" s="61">
        <f t="shared" si="1752"/>
        <v>0</v>
      </c>
      <c r="AI270" s="61">
        <f t="shared" si="1753"/>
        <v>4522.2000000000189</v>
      </c>
      <c r="AJ270" s="56"/>
      <c r="AM270" s="55">
        <f t="shared" si="1754"/>
        <v>46251</v>
      </c>
      <c r="AN270" s="422"/>
      <c r="AO270" s="444">
        <f>SUMPRODUCT(PRODUCE!$B271:$DY271,PRODUCE!$EB$11:$IY$11)</f>
        <v>0</v>
      </c>
      <c r="AP270" s="422"/>
      <c r="AQ270" s="444">
        <f t="shared" si="1755"/>
        <v>0</v>
      </c>
      <c r="AR270" s="444">
        <f t="shared" si="1756"/>
        <v>0</v>
      </c>
      <c r="AS270" s="56"/>
      <c r="AV270" s="55">
        <f t="shared" si="1757"/>
        <v>46251</v>
      </c>
      <c r="AW270" s="56"/>
      <c r="AX270" s="62">
        <f>SUMPRODUCT(PRODUCE!$B271:$DY271,PRODUCE!$EB$12:$IY$12)</f>
        <v>0</v>
      </c>
      <c r="AY270" s="56"/>
      <c r="AZ270" s="62">
        <f t="shared" si="1758"/>
        <v>0</v>
      </c>
      <c r="BA270" s="62">
        <f t="shared" si="1759"/>
        <v>124.99999999999523</v>
      </c>
      <c r="BB270" s="56"/>
      <c r="BE270" s="55">
        <f t="shared" si="1760"/>
        <v>46251</v>
      </c>
      <c r="BF270" s="56"/>
      <c r="BG270" s="63">
        <f>SUMPRODUCT(PRODUCE!$B271:$DY271,PRODUCE!$EB$13:$IY$13)</f>
        <v>0</v>
      </c>
      <c r="BH270" s="56"/>
      <c r="BI270" s="63">
        <f t="shared" si="1761"/>
        <v>0</v>
      </c>
      <c r="BJ270" s="63">
        <f t="shared" si="1762"/>
        <v>26151.899999999998</v>
      </c>
      <c r="BK270" s="56"/>
      <c r="BN270" s="55">
        <f t="shared" si="1763"/>
        <v>46251</v>
      </c>
      <c r="BO270" s="56"/>
      <c r="BP270" s="64">
        <f>SUMPRODUCT(PRODUCE!$B271:$DY271,PRODUCE!$EB$14:$IY$14)</f>
        <v>0</v>
      </c>
      <c r="BQ270" s="56"/>
      <c r="BR270" s="64">
        <f t="shared" si="1764"/>
        <v>0</v>
      </c>
      <c r="BS270" s="64">
        <f t="shared" si="1765"/>
        <v>0</v>
      </c>
      <c r="BT270" s="56"/>
      <c r="BW270" s="55">
        <f t="shared" si="1766"/>
        <v>46251</v>
      </c>
      <c r="BX270" s="56"/>
      <c r="BY270" s="65">
        <f>SUMPRODUCT(PRODUCE!$B271:$DY271,PRODUCE!$EB$15:$IY$15)</f>
        <v>0</v>
      </c>
      <c r="BZ270" s="56"/>
      <c r="CA270" s="65">
        <f t="shared" si="1767"/>
        <v>0</v>
      </c>
      <c r="CB270" s="65">
        <f t="shared" si="1768"/>
        <v>2097.3399999999992</v>
      </c>
      <c r="CC270" s="56"/>
      <c r="CF270" s="55">
        <f t="shared" si="1769"/>
        <v>46251</v>
      </c>
      <c r="CG270" s="56"/>
      <c r="CH270" s="66">
        <f>SUMPRODUCT(PRODUCE!$B271:$DY271,PRODUCE!$EB$16:$IY$16)</f>
        <v>0</v>
      </c>
      <c r="CI270" s="56"/>
      <c r="CJ270" s="66">
        <f t="shared" si="1770"/>
        <v>0</v>
      </c>
      <c r="CK270" s="66">
        <f t="shared" si="1771"/>
        <v>-10277.079999999998</v>
      </c>
      <c r="CL270" s="56"/>
      <c r="CO270" s="55">
        <f t="shared" si="1772"/>
        <v>46251</v>
      </c>
      <c r="CP270" s="422"/>
      <c r="CQ270" s="470">
        <f>SUMPRODUCT(PRODUCE!$B271:$DY271,PRODUCE!$EB$17:$IY$17)</f>
        <v>0</v>
      </c>
      <c r="CR270" s="422"/>
      <c r="CS270" s="470">
        <f t="shared" si="1773"/>
        <v>0</v>
      </c>
      <c r="CT270" s="470">
        <f t="shared" si="1774"/>
        <v>0</v>
      </c>
      <c r="CU270" s="56"/>
      <c r="CX270" s="55">
        <f t="shared" si="1775"/>
        <v>46251</v>
      </c>
      <c r="CY270" s="56"/>
      <c r="CZ270" s="133">
        <f>SUMPRODUCT(PRODUCE!$B271:$DY271,PRODUCE!$EB$18:$IY$18)</f>
        <v>0</v>
      </c>
      <c r="DA270" s="56"/>
      <c r="DB270" s="133">
        <f t="shared" si="1776"/>
        <v>0</v>
      </c>
      <c r="DC270" s="133">
        <f t="shared" si="1777"/>
        <v>27438.200000000012</v>
      </c>
      <c r="DD270" s="56"/>
      <c r="DG270" s="55">
        <f t="shared" si="1778"/>
        <v>46251</v>
      </c>
      <c r="DH270" s="56"/>
      <c r="DI270" s="147">
        <f>SUMPRODUCT(PRODUCE!$B271:$DY271,PRODUCE!$EB$19:$IY$19)</f>
        <v>0</v>
      </c>
      <c r="DJ270" s="56"/>
      <c r="DK270" s="147">
        <f t="shared" si="1779"/>
        <v>0</v>
      </c>
      <c r="DL270" s="147">
        <f t="shared" si="1780"/>
        <v>18782.299999999981</v>
      </c>
      <c r="DM270" s="56"/>
      <c r="DP270" s="55">
        <f t="shared" si="1781"/>
        <v>46251</v>
      </c>
      <c r="DQ270" s="56"/>
      <c r="DR270" s="57">
        <f>SUMPRODUCT(PRODUCE!$B271:$DY271,PRODUCE!$EB$20:$IY$20)</f>
        <v>0</v>
      </c>
      <c r="DS270" s="56"/>
      <c r="DT270" s="57">
        <f t="shared" si="1782"/>
        <v>0</v>
      </c>
      <c r="DU270" s="57">
        <f t="shared" si="1783"/>
        <v>5800</v>
      </c>
      <c r="DV270" s="56"/>
      <c r="DY270" s="55">
        <f t="shared" si="1784"/>
        <v>46251</v>
      </c>
      <c r="DZ270" s="56"/>
      <c r="EA270" s="157">
        <f>SUMPRODUCT(PRODUCE!$B271:$DY271,PRODUCE!$EB$21:$IY$21)</f>
        <v>0</v>
      </c>
      <c r="EB270" s="56"/>
      <c r="EC270" s="157">
        <f t="shared" si="1785"/>
        <v>0</v>
      </c>
      <c r="ED270" s="157">
        <f t="shared" si="1786"/>
        <v>0</v>
      </c>
      <c r="EE270" s="56"/>
      <c r="EH270" s="55">
        <f t="shared" si="1787"/>
        <v>46251</v>
      </c>
      <c r="EI270" s="56"/>
      <c r="EJ270" s="162">
        <f>SUMPRODUCT(PRODUCE!$B271:$DY271,PRODUCE!$EB$22:$IY$22)</f>
        <v>0</v>
      </c>
      <c r="EK270" s="56"/>
      <c r="EL270" s="162">
        <f t="shared" si="1788"/>
        <v>0</v>
      </c>
      <c r="EM270" s="162">
        <f t="shared" si="1789"/>
        <v>0</v>
      </c>
      <c r="EN270" s="56"/>
      <c r="EQ270" s="55">
        <f t="shared" si="1790"/>
        <v>46251</v>
      </c>
      <c r="ER270" s="56"/>
      <c r="ES270" s="135">
        <f>SUMPRODUCT(PRODUCE!$B271:$DY271,PRODUCE!$EB$23:$IY$23)</f>
        <v>0</v>
      </c>
      <c r="ET270" s="56"/>
      <c r="EU270" s="135">
        <f t="shared" si="1791"/>
        <v>0</v>
      </c>
      <c r="EV270" s="135">
        <f t="shared" si="1792"/>
        <v>0</v>
      </c>
      <c r="EW270" s="56"/>
      <c r="EZ270" s="55">
        <f t="shared" si="1793"/>
        <v>46251</v>
      </c>
      <c r="FA270" s="56"/>
      <c r="FB270" s="175">
        <f>SUMPRODUCT(PRODUCE!$B271:$DY271,PRODUCE!$EB$24:$IY$24)</f>
        <v>0</v>
      </c>
      <c r="FC270" s="56"/>
      <c r="FD270" s="175">
        <f t="shared" si="1794"/>
        <v>0</v>
      </c>
      <c r="FE270" s="175">
        <f t="shared" si="1795"/>
        <v>0</v>
      </c>
      <c r="FF270" s="56"/>
      <c r="FI270" s="55">
        <f t="shared" si="1796"/>
        <v>46251</v>
      </c>
      <c r="FJ270" s="56"/>
      <c r="FK270" s="183">
        <f>SUMPRODUCT(PRODUCE!$B271:$DY271,PRODUCE!$EB$25:$IY$25)</f>
        <v>0</v>
      </c>
      <c r="FL270" s="56"/>
      <c r="FM270" s="183">
        <f t="shared" si="1797"/>
        <v>0</v>
      </c>
      <c r="FN270" s="183">
        <f t="shared" si="1798"/>
        <v>0</v>
      </c>
      <c r="FO270" s="56"/>
      <c r="FR270" s="55">
        <f t="shared" si="1799"/>
        <v>46251</v>
      </c>
      <c r="FS270" s="56">
        <v>2000</v>
      </c>
      <c r="FT270" s="186">
        <f>SUMPRODUCT(PRODUCE!$B271:$DY271,PRODUCE!$EB$26:$IY$26)</f>
        <v>0</v>
      </c>
      <c r="FU270" s="56"/>
      <c r="FV270" s="186">
        <f t="shared" si="1800"/>
        <v>0</v>
      </c>
      <c r="FW270" s="186">
        <f t="shared" si="1801"/>
        <v>2020</v>
      </c>
      <c r="FX270" s="56"/>
      <c r="GA270" s="55">
        <f t="shared" si="1802"/>
        <v>46251</v>
      </c>
      <c r="GB270" s="56"/>
      <c r="GC270" s="137">
        <f>SUMPRODUCT(PRODUCE!$B271:$DY271,PRODUCE!$EB$27:$IY$27)</f>
        <v>0</v>
      </c>
      <c r="GD270" s="56"/>
      <c r="GE270" s="137">
        <f t="shared" si="1803"/>
        <v>0</v>
      </c>
      <c r="GF270" s="137">
        <f t="shared" si="1804"/>
        <v>960</v>
      </c>
      <c r="GG270" s="56"/>
      <c r="GI270" s="23"/>
      <c r="GJ270" s="55">
        <f t="shared" si="1805"/>
        <v>46251</v>
      </c>
      <c r="GK270" s="56"/>
      <c r="GL270" s="199">
        <f>SUMPRODUCT(PRODUCE!$B271:$DY271,PRODUCE!$EB$28:$IY$28)</f>
        <v>0</v>
      </c>
      <c r="GM270" s="56"/>
      <c r="GN270" s="199">
        <f t="shared" si="1806"/>
        <v>0</v>
      </c>
      <c r="GO270" s="199">
        <f t="shared" si="1807"/>
        <v>1760</v>
      </c>
      <c r="GP270" s="56"/>
      <c r="GS270" s="55">
        <f t="shared" si="1808"/>
        <v>46251</v>
      </c>
      <c r="GT270" s="56"/>
      <c r="GU270" s="195">
        <f>SUMPRODUCT(PRODUCE!$B271:$DY271,PRODUCE!$EB$29:$IY$29)</f>
        <v>0</v>
      </c>
      <c r="GV270" s="56"/>
      <c r="GW270" s="195">
        <f t="shared" si="1809"/>
        <v>0</v>
      </c>
      <c r="GX270" s="195">
        <f t="shared" si="1810"/>
        <v>400</v>
      </c>
      <c r="GY270" s="56"/>
      <c r="HB270" s="55">
        <f t="shared" si="1811"/>
        <v>46251</v>
      </c>
      <c r="HC270" s="56"/>
      <c r="HD270" s="191">
        <f>SUMPRODUCT(PRODUCE!$B271:$DY271,PRODUCE!$EB$30:$IY$30)</f>
        <v>0</v>
      </c>
      <c r="HE270" s="56"/>
      <c r="HF270" s="191">
        <f t="shared" si="1812"/>
        <v>0</v>
      </c>
      <c r="HG270" s="191">
        <f t="shared" si="1813"/>
        <v>3600</v>
      </c>
      <c r="HH270" s="56"/>
      <c r="HK270" s="55">
        <f t="shared" si="1814"/>
        <v>46251</v>
      </c>
      <c r="HL270" s="56"/>
      <c r="HM270" s="63">
        <f>SUMPRODUCT(PRODUCE!$B271:$DY271,PRODUCE!$EB$31:$IY$31)</f>
        <v>0</v>
      </c>
      <c r="HN270" s="56"/>
      <c r="HO270" s="63">
        <f t="shared" si="1815"/>
        <v>0</v>
      </c>
      <c r="HP270" s="63">
        <f t="shared" si="1816"/>
        <v>0</v>
      </c>
      <c r="HQ270" s="56"/>
      <c r="HU270" s="55">
        <f t="shared" si="1817"/>
        <v>46251</v>
      </c>
      <c r="HV270" s="56">
        <v>2000</v>
      </c>
      <c r="HW270" s="242">
        <f>SUMPRODUCT(PRODUCE!$B271:$DY271,PRODUCE!$EB$32:$IY$32)</f>
        <v>0</v>
      </c>
      <c r="HX270" s="56"/>
      <c r="HY270" s="242">
        <f t="shared" si="1818"/>
        <v>0</v>
      </c>
      <c r="HZ270" s="242">
        <f t="shared" si="1819"/>
        <v>6120</v>
      </c>
      <c r="IA270" s="56"/>
      <c r="ID270" s="55">
        <f t="shared" si="1820"/>
        <v>46251</v>
      </c>
      <c r="IE270" s="56"/>
      <c r="IF270" s="242">
        <f>SUMPRODUCT(PRODUCE!$B271:$DY271,PRODUCE!$EB$33:$IY$33)</f>
        <v>0</v>
      </c>
      <c r="IG270" s="56"/>
      <c r="IH270" s="242">
        <f t="shared" si="1821"/>
        <v>0</v>
      </c>
      <c r="II270" s="242">
        <f t="shared" si="1822"/>
        <v>60</v>
      </c>
      <c r="IJ270" s="56"/>
      <c r="IM270" s="55">
        <f t="shared" si="1823"/>
        <v>46251</v>
      </c>
      <c r="IN270" s="56"/>
      <c r="IO270" s="242">
        <f>SUMPRODUCT(PRODUCE!$B271:$DY271,PRODUCE!$EB$34:$IY$34)</f>
        <v>0</v>
      </c>
      <c r="IP270" s="56"/>
      <c r="IQ270" s="242">
        <f t="shared" si="1824"/>
        <v>0</v>
      </c>
      <c r="IR270" s="242">
        <f t="shared" si="1825"/>
        <v>0</v>
      </c>
      <c r="IS270" s="56"/>
      <c r="IV270" s="55">
        <f t="shared" si="1826"/>
        <v>46251</v>
      </c>
      <c r="IW270" s="56"/>
      <c r="IX270" s="242">
        <f>SUMPRODUCT(PRODUCE!$B271:$DY271,PRODUCE!$EB$35:$IY$35)</f>
        <v>0</v>
      </c>
      <c r="IY270" s="56"/>
      <c r="IZ270" s="242">
        <f t="shared" si="1827"/>
        <v>0</v>
      </c>
      <c r="JA270" s="242">
        <f t="shared" si="1828"/>
        <v>2960</v>
      </c>
      <c r="JB270" s="56"/>
      <c r="JE270" s="55">
        <f t="shared" si="1829"/>
        <v>46251</v>
      </c>
      <c r="JF270" s="56"/>
      <c r="JG270" s="242">
        <f>SUMPRODUCT(PRODUCE!$B271:$DY271,PRODUCE!$EB$36:$IY$36)</f>
        <v>0</v>
      </c>
      <c r="JH270" s="56"/>
      <c r="JI270" s="242">
        <f t="shared" si="1830"/>
        <v>0</v>
      </c>
      <c r="JJ270" s="242">
        <f t="shared" si="1831"/>
        <v>0</v>
      </c>
      <c r="JK270" s="56"/>
      <c r="JN270" s="55">
        <f t="shared" si="1832"/>
        <v>46251</v>
      </c>
      <c r="JO270" s="56"/>
      <c r="JP270" s="242">
        <f>SUMPRODUCT(PRODUCE!$B271:$DY271,PRODUCE!$EB$37:$IY$37)</f>
        <v>0</v>
      </c>
      <c r="JQ270" s="56"/>
      <c r="JR270" s="242">
        <f t="shared" si="1833"/>
        <v>0</v>
      </c>
      <c r="JS270" s="242">
        <f t="shared" si="1834"/>
        <v>0</v>
      </c>
      <c r="JT270" s="56"/>
      <c r="JW270" s="55">
        <f t="shared" si="1835"/>
        <v>46251</v>
      </c>
      <c r="JX270" s="56"/>
      <c r="JY270" s="242">
        <f>SUMPRODUCT(PRODUCE!$B271:$DY271,PRODUCE!$EB$38:$IY$38)</f>
        <v>0</v>
      </c>
      <c r="JZ270" s="56"/>
      <c r="KA270" s="242">
        <f t="shared" si="1836"/>
        <v>0</v>
      </c>
      <c r="KB270" s="242">
        <f t="shared" si="1837"/>
        <v>2540</v>
      </c>
      <c r="KC270" s="56"/>
      <c r="KF270" s="55">
        <f t="shared" si="1838"/>
        <v>46251</v>
      </c>
      <c r="KG270" s="56"/>
      <c r="KH270" s="242">
        <f>SUMPRODUCT(PRODUCE!$B271:$DY271,PRODUCE!$EB$39:$IY$39)</f>
        <v>0</v>
      </c>
      <c r="KI270" s="56"/>
      <c r="KJ270" s="242">
        <f t="shared" si="1839"/>
        <v>0</v>
      </c>
      <c r="KK270" s="242">
        <f t="shared" si="1840"/>
        <v>2359.5</v>
      </c>
      <c r="KL270" s="56"/>
      <c r="KO270" s="55">
        <f t="shared" si="1841"/>
        <v>46251</v>
      </c>
      <c r="KP270" s="56"/>
      <c r="KQ270" s="242">
        <f>SUMPRODUCT(PRODUCE!$B271:$DY271,PRODUCE!$EB$40:$IY$40)</f>
        <v>0</v>
      </c>
      <c r="KR270" s="56"/>
      <c r="KS270" s="242">
        <f t="shared" si="1842"/>
        <v>0</v>
      </c>
      <c r="KT270" s="242">
        <f t="shared" si="1843"/>
        <v>1890</v>
      </c>
      <c r="KU270" s="56"/>
      <c r="KW270" s="23"/>
      <c r="KX270" s="55">
        <f t="shared" si="1844"/>
        <v>46251</v>
      </c>
      <c r="KY270" s="56"/>
      <c r="KZ270" s="242">
        <f>SUMPRODUCT(PRODUCE!$B271:$DY271,PRODUCE!$EB$41:$IY$41)</f>
        <v>0</v>
      </c>
      <c r="LA270" s="56"/>
      <c r="LB270" s="242">
        <f t="shared" si="1845"/>
        <v>0</v>
      </c>
      <c r="LC270" s="242">
        <f t="shared" si="1846"/>
        <v>3690</v>
      </c>
      <c r="LD270" s="56"/>
      <c r="LG270" s="55">
        <f t="shared" si="1847"/>
        <v>46251</v>
      </c>
      <c r="LH270" s="56"/>
      <c r="LI270" s="242">
        <f>SUMPRODUCT(PRODUCE!$B271:$DY271,PRODUCE!$EB$42:$IY$42)</f>
        <v>0</v>
      </c>
      <c r="LJ270" s="56"/>
      <c r="LK270" s="242">
        <f t="shared" si="1848"/>
        <v>0</v>
      </c>
      <c r="LL270" s="242">
        <f t="shared" si="1849"/>
        <v>4000</v>
      </c>
      <c r="LM270" s="56"/>
      <c r="LP270" s="55">
        <f t="shared" si="1850"/>
        <v>46251</v>
      </c>
      <c r="LQ270" s="56"/>
      <c r="LR270" s="242">
        <f>SUMPRODUCT(PRODUCE!$B285:$DY285,PRODUCE!$EB$43:$IY$43)</f>
        <v>0</v>
      </c>
      <c r="LS270" s="56"/>
      <c r="LT270" s="242">
        <f t="shared" si="1851"/>
        <v>0</v>
      </c>
      <c r="LU270" s="242">
        <f t="shared" si="1852"/>
        <v>0</v>
      </c>
      <c r="LV270" s="56"/>
      <c r="LY270" s="55">
        <f t="shared" si="1853"/>
        <v>46251</v>
      </c>
      <c r="LZ270" s="56"/>
      <c r="MA270" s="242">
        <f>SUMPRODUCT(PRODUCE!$B271:$DY271,PRODUCE!$EB$44:$IY$44)</f>
        <v>0</v>
      </c>
      <c r="MB270" s="56"/>
      <c r="MC270" s="242">
        <f t="shared" si="1854"/>
        <v>0</v>
      </c>
      <c r="MD270" s="242">
        <f t="shared" si="1855"/>
        <v>0</v>
      </c>
      <c r="ME270" s="56"/>
      <c r="MH270" s="55">
        <f t="shared" si="1856"/>
        <v>46251</v>
      </c>
      <c r="MI270" s="56"/>
      <c r="MJ270" s="242">
        <f>SUMPRODUCT(PRODUCE!$B271:$DY271,PRODUCE!$EB$45:$IY$45)</f>
        <v>0</v>
      </c>
      <c r="MK270" s="56"/>
      <c r="ML270" s="242">
        <f t="shared" si="1857"/>
        <v>0</v>
      </c>
      <c r="MM270" s="242">
        <f t="shared" si="1858"/>
        <v>0</v>
      </c>
      <c r="MN270" s="56"/>
      <c r="MQ270" s="55">
        <f t="shared" si="1859"/>
        <v>46251</v>
      </c>
      <c r="MR270" s="56"/>
      <c r="MS270" s="242">
        <f>SUMPRODUCT(PRODUCE!$B271:$DY271,PRODUCE!$EB$46:$IY$46)</f>
        <v>0</v>
      </c>
      <c r="MT270" s="56"/>
      <c r="MU270" s="242">
        <f t="shared" si="1860"/>
        <v>0</v>
      </c>
      <c r="MV270" s="242">
        <f t="shared" si="1861"/>
        <v>1625</v>
      </c>
      <c r="MW270" s="56"/>
      <c r="MZ270" s="55">
        <f t="shared" si="1862"/>
        <v>46251</v>
      </c>
      <c r="NA270" s="56"/>
      <c r="NB270" s="242">
        <f>SUMPRODUCT(PRODUCE!$B271:$DY271,PRODUCE!$EB$47:$IY$47)</f>
        <v>0</v>
      </c>
      <c r="NC270" s="56"/>
      <c r="ND270" s="242">
        <f t="shared" si="1863"/>
        <v>0</v>
      </c>
      <c r="NE270" s="242">
        <f t="shared" si="1864"/>
        <v>0</v>
      </c>
      <c r="NF270" s="56"/>
      <c r="NI270" s="55">
        <f t="shared" si="1865"/>
        <v>46251</v>
      </c>
      <c r="NJ270" s="56"/>
      <c r="NK270" s="242">
        <f>SUMPRODUCT(PRODUCE!$B271:$DY271,PRODUCE!$EB$48:$IY$48)</f>
        <v>0</v>
      </c>
      <c r="NL270" s="56"/>
      <c r="NM270" s="242">
        <f t="shared" si="1866"/>
        <v>0</v>
      </c>
      <c r="NN270" s="242">
        <f t="shared" si="1867"/>
        <v>1127</v>
      </c>
      <c r="NO270" s="56"/>
      <c r="NR270" s="55">
        <f t="shared" si="1868"/>
        <v>46251</v>
      </c>
      <c r="NS270" s="56"/>
      <c r="NT270" s="242">
        <f>SUMPRODUCT(PRODUCE!$B271:$DY271,PRODUCE!$EB$49:$IY$49)</f>
        <v>0</v>
      </c>
      <c r="NU270" s="56"/>
      <c r="NV270" s="242">
        <f t="shared" si="1869"/>
        <v>0</v>
      </c>
      <c r="NW270" s="242">
        <f t="shared" si="1870"/>
        <v>3111.9999999999995</v>
      </c>
      <c r="NX270" s="56"/>
      <c r="OA270" s="55">
        <f t="shared" si="1871"/>
        <v>46251</v>
      </c>
      <c r="OB270" s="56"/>
      <c r="OC270" s="242">
        <f>SUMPRODUCT(PRODUCE!$B271:$DY271,PRODUCE!$EB$50:$IY$50)</f>
        <v>0</v>
      </c>
      <c r="OD270" s="56"/>
      <c r="OE270" s="242">
        <f t="shared" si="1872"/>
        <v>0</v>
      </c>
      <c r="OF270" s="242">
        <f t="shared" si="1873"/>
        <v>1680.5</v>
      </c>
      <c r="OG270" s="56"/>
      <c r="OJ270" s="55">
        <f t="shared" si="1874"/>
        <v>46251</v>
      </c>
      <c r="OK270" s="56"/>
      <c r="OL270" s="242">
        <f>SUMPRODUCT(PRODUCE!$B271:$DY271,PRODUCE!$EB$51:$IY$51)</f>
        <v>0</v>
      </c>
      <c r="OM270" s="56"/>
      <c r="ON270" s="242">
        <f t="shared" si="1875"/>
        <v>0</v>
      </c>
      <c r="OO270" s="242">
        <f t="shared" si="1876"/>
        <v>0</v>
      </c>
      <c r="OP270" s="56"/>
      <c r="OS270" s="55">
        <f t="shared" si="1877"/>
        <v>46251</v>
      </c>
      <c r="OT270" s="56"/>
      <c r="OU270" s="242">
        <f>SUMPRODUCT(PRODUCE!$B271:$DY271,PRODUCE!$EB$52:$IY$52)</f>
        <v>0</v>
      </c>
      <c r="OV270" s="56"/>
      <c r="OW270" s="242">
        <f t="shared" si="1878"/>
        <v>0</v>
      </c>
      <c r="OX270" s="242">
        <f t="shared" si="1879"/>
        <v>1482</v>
      </c>
      <c r="OY270" s="56"/>
      <c r="PB270" s="55">
        <f t="shared" si="1880"/>
        <v>46251</v>
      </c>
      <c r="PC270" s="56"/>
      <c r="PD270" s="242">
        <f>SUMPRODUCT(PRODUCE!$B271:$DY271,PRODUCE!$EB$53:$IY$53)</f>
        <v>0</v>
      </c>
      <c r="PE270" s="56"/>
      <c r="PF270" s="242">
        <f t="shared" si="1881"/>
        <v>0</v>
      </c>
      <c r="PG270" s="242">
        <f t="shared" si="1882"/>
        <v>0</v>
      </c>
      <c r="PH270" s="56"/>
      <c r="PK270" s="55">
        <f t="shared" si="1883"/>
        <v>46251</v>
      </c>
      <c r="PL270" s="56"/>
      <c r="PM270" s="242">
        <f>SUMPRODUCT(PRODUCE!$B271:$DY271,PRODUCE!$EB$54:$IY$54)</f>
        <v>0</v>
      </c>
      <c r="PN270" s="56"/>
      <c r="PO270" s="242">
        <f t="shared" si="1884"/>
        <v>0</v>
      </c>
      <c r="PP270" s="242">
        <f t="shared" si="1885"/>
        <v>100</v>
      </c>
      <c r="PQ270" s="56"/>
      <c r="PT270" s="55">
        <f t="shared" si="1886"/>
        <v>46251</v>
      </c>
      <c r="PU270" s="56"/>
      <c r="PV270" s="242">
        <f>SUMPRODUCT(PRODUCE!$B271:$DY271,PRODUCE!$EB$55:$IY$55)</f>
        <v>0</v>
      </c>
      <c r="PW270" s="56"/>
      <c r="PX270" s="242">
        <f t="shared" si="1887"/>
        <v>0</v>
      </c>
      <c r="PY270" s="242">
        <f t="shared" si="1888"/>
        <v>13.960000000000036</v>
      </c>
      <c r="PZ270" s="56"/>
      <c r="QC270" s="55">
        <f t="shared" si="1889"/>
        <v>46251</v>
      </c>
      <c r="QD270" s="56"/>
      <c r="QE270" s="242">
        <f>SUMPRODUCT(PRODUCE!$B271:$DY271,PRODUCE!$EB$56:$IY$56)</f>
        <v>0</v>
      </c>
      <c r="QF270" s="56"/>
      <c r="QG270" s="242">
        <f t="shared" si="1890"/>
        <v>0</v>
      </c>
      <c r="QH270" s="242">
        <f t="shared" si="1891"/>
        <v>548</v>
      </c>
      <c r="QI270" s="56"/>
      <c r="QL270" s="55">
        <f t="shared" si="1892"/>
        <v>46251</v>
      </c>
      <c r="QM270" s="56"/>
      <c r="QN270" s="242">
        <f>SUMPRODUCT(PRODUCE!$B271:$DY271,PRODUCE!$EB$57:$IY$57)</f>
        <v>0</v>
      </c>
      <c r="QO270" s="56"/>
      <c r="QP270" s="242">
        <f t="shared" si="1893"/>
        <v>0</v>
      </c>
      <c r="QQ270" s="242">
        <f t="shared" si="1894"/>
        <v>0</v>
      </c>
      <c r="QR270" s="56"/>
      <c r="QU270" s="55">
        <f t="shared" si="1895"/>
        <v>46251</v>
      </c>
      <c r="QV270" s="56"/>
      <c r="QW270" s="242">
        <f>SUMPRODUCT(PRODUCE!$B271:$DY271,PRODUCE!$EB$57:$IY$57)</f>
        <v>0</v>
      </c>
      <c r="QX270" s="56"/>
      <c r="QY270" s="242">
        <f t="shared" si="1896"/>
        <v>0</v>
      </c>
      <c r="QZ270" s="242">
        <f t="shared" si="1897"/>
        <v>0</v>
      </c>
      <c r="RA270" s="56"/>
      <c r="RD270" s="55">
        <f t="shared" si="1898"/>
        <v>46251</v>
      </c>
      <c r="RE270" s="56"/>
      <c r="RF270" s="242">
        <f>SUMPRODUCT(PRODUCE!$B271:$DY271,PRODUCE!$EB$58:$IY$58)</f>
        <v>0</v>
      </c>
      <c r="RG270" s="56"/>
      <c r="RH270" s="242">
        <f t="shared" si="1899"/>
        <v>0</v>
      </c>
      <c r="RI270" s="242">
        <f t="shared" si="1900"/>
        <v>147.04000000000002</v>
      </c>
      <c r="RJ270" s="56"/>
      <c r="RM270" s="55">
        <f t="shared" si="1901"/>
        <v>46251</v>
      </c>
      <c r="RN270" s="56"/>
      <c r="RO270" s="242">
        <f>SUMPRODUCT(PRODUCE!$B271:$DY271,PRODUCE!$EB$59:$IY$59)</f>
        <v>0</v>
      </c>
      <c r="RP270" s="56"/>
      <c r="RQ270" s="242">
        <f t="shared" si="1902"/>
        <v>0</v>
      </c>
      <c r="RR270" s="242">
        <f t="shared" si="1903"/>
        <v>46.8</v>
      </c>
      <c r="RS270" s="56"/>
      <c r="RV270" s="55">
        <f t="shared" si="1904"/>
        <v>46251</v>
      </c>
      <c r="RW270" s="56"/>
      <c r="RX270" s="242">
        <f>SUMPRODUCT(PRODUCE!$B271:$DY271,PRODUCE!$EB$57:$IY$57)</f>
        <v>0</v>
      </c>
      <c r="RY270" s="56"/>
      <c r="RZ270" s="242">
        <f t="shared" si="1905"/>
        <v>0</v>
      </c>
      <c r="SA270" s="242">
        <f t="shared" si="1906"/>
        <v>0</v>
      </c>
      <c r="SB270" s="56"/>
      <c r="SE270" s="55">
        <f t="shared" si="1907"/>
        <v>46251</v>
      </c>
      <c r="SF270" s="56"/>
      <c r="SG270" s="242">
        <f>SUMPRODUCT(PRODUCE!$B271:$DY271,PRODUCE!$EB$61:$IY$61)</f>
        <v>0</v>
      </c>
      <c r="SH270" s="56"/>
      <c r="SI270" s="242">
        <f t="shared" si="1908"/>
        <v>0</v>
      </c>
      <c r="SJ270" s="242">
        <f t="shared" si="1909"/>
        <v>24.200000000000003</v>
      </c>
      <c r="SK270" s="56"/>
      <c r="SN270" s="55">
        <f t="shared" si="1910"/>
        <v>46251</v>
      </c>
      <c r="SO270" s="56"/>
      <c r="SP270" s="242">
        <f>SUMPRODUCT(PRODUCE!$B271:$DY271,PRODUCE!$EB$62:$IY$62)</f>
        <v>0</v>
      </c>
      <c r="SQ270" s="56"/>
      <c r="SR270" s="242">
        <f t="shared" si="1911"/>
        <v>0</v>
      </c>
      <c r="SS270" s="242">
        <f t="shared" si="1912"/>
        <v>32</v>
      </c>
      <c r="ST270" s="56"/>
      <c r="SW270" s="55">
        <f t="shared" si="1913"/>
        <v>46251</v>
      </c>
      <c r="SX270" s="56"/>
      <c r="SY270" s="242">
        <f>SUMPRODUCT(PRODUCE!$B271:$DY271,PRODUCE!$EB$57:$IY$57)</f>
        <v>0</v>
      </c>
      <c r="SZ270" s="56"/>
      <c r="TA270" s="242">
        <f t="shared" si="1914"/>
        <v>0</v>
      </c>
      <c r="TB270" s="242">
        <f t="shared" si="1915"/>
        <v>0</v>
      </c>
      <c r="TC270" s="56"/>
      <c r="TF270" s="55">
        <f t="shared" si="1916"/>
        <v>46251</v>
      </c>
      <c r="TG270" s="56"/>
      <c r="TH270" s="242">
        <f>SUMPRODUCT(PRODUCE!$B271:$DY271,PRODUCE!$EB$57:$IY$57)</f>
        <v>0</v>
      </c>
      <c r="TI270" s="56"/>
      <c r="TJ270" s="242">
        <f t="shared" si="1917"/>
        <v>0</v>
      </c>
      <c r="TK270" s="242">
        <f t="shared" si="1918"/>
        <v>0</v>
      </c>
      <c r="TL270" s="56"/>
      <c r="TO270" s="55">
        <f t="shared" si="1919"/>
        <v>46251</v>
      </c>
      <c r="TP270" s="56"/>
      <c r="TQ270" s="242">
        <f>SUMPRODUCT(PRODUCE!$B271:$DY271,PRODUCE!$EB$57:$IY$57)</f>
        <v>0</v>
      </c>
      <c r="TR270" s="56"/>
      <c r="TS270" s="242">
        <f t="shared" si="1920"/>
        <v>0</v>
      </c>
      <c r="TT270" s="242">
        <f t="shared" si="1921"/>
        <v>0</v>
      </c>
      <c r="TU270" s="56"/>
      <c r="TX270" s="55">
        <f t="shared" si="1922"/>
        <v>46251</v>
      </c>
      <c r="TY270" s="56"/>
      <c r="TZ270" s="242">
        <f>SUMPRODUCT(PRODUCE!$B271:$DY271,PRODUCE!$EB$57:$IY$57)</f>
        <v>0</v>
      </c>
      <c r="UA270" s="56"/>
      <c r="UB270" s="242">
        <f t="shared" si="1923"/>
        <v>0</v>
      </c>
      <c r="UC270" s="242">
        <f t="shared" si="1924"/>
        <v>46.799999999999983</v>
      </c>
      <c r="UD270" s="56"/>
      <c r="UG270" s="55">
        <f t="shared" si="1925"/>
        <v>46251</v>
      </c>
      <c r="UH270" s="56"/>
      <c r="UI270" s="242">
        <f>SUMPRODUCT(PRODUCE!$B271:$DY271,PRODUCE!$EB$57:$IY$57)</f>
        <v>0</v>
      </c>
      <c r="UJ270" s="56"/>
      <c r="UK270" s="242">
        <f t="shared" si="1926"/>
        <v>0</v>
      </c>
      <c r="UL270" s="242">
        <f t="shared" si="1927"/>
        <v>204</v>
      </c>
      <c r="UM270" s="56"/>
      <c r="UP270" s="55">
        <f t="shared" si="1928"/>
        <v>46251</v>
      </c>
      <c r="UQ270" s="56"/>
      <c r="UR270" s="242">
        <f>SUMPRODUCT(PRODUCE!$B271:$DY271,PRODUCE!$EB$57:$IY$57)</f>
        <v>0</v>
      </c>
      <c r="US270" s="56"/>
      <c r="UT270" s="242">
        <f t="shared" si="1929"/>
        <v>0</v>
      </c>
      <c r="UU270" s="242">
        <f t="shared" si="1930"/>
        <v>202.5</v>
      </c>
      <c r="UV270" s="56"/>
      <c r="UY270" s="55">
        <f t="shared" si="1931"/>
        <v>46251</v>
      </c>
      <c r="UZ270" s="56"/>
      <c r="VA270" s="242">
        <f>SUMPRODUCT(PRODUCE!$B271:$DY271,PRODUCE!$EB$57:$IY$57)</f>
        <v>0</v>
      </c>
      <c r="VB270" s="56"/>
      <c r="VC270" s="242">
        <f t="shared" si="1932"/>
        <v>0</v>
      </c>
      <c r="VD270" s="242">
        <f t="shared" si="1933"/>
        <v>41.600000000000023</v>
      </c>
      <c r="VE270" s="56"/>
      <c r="VH270" s="55">
        <f t="shared" si="1934"/>
        <v>46251</v>
      </c>
      <c r="VI270" s="56"/>
      <c r="VJ270" s="242">
        <f>SUMPRODUCT(PRODUCE!$B271:$DY271,PRODUCE!$EB$57:$IY$57)</f>
        <v>0</v>
      </c>
      <c r="VK270" s="56"/>
      <c r="VL270" s="242">
        <f t="shared" si="1935"/>
        <v>0</v>
      </c>
      <c r="VM270" s="242">
        <f t="shared" si="1936"/>
        <v>210</v>
      </c>
      <c r="VN270" s="56"/>
      <c r="VQ270" s="55">
        <f t="shared" si="1937"/>
        <v>46251</v>
      </c>
      <c r="VR270" s="56"/>
      <c r="VS270" s="242">
        <f>SUMPRODUCT(PRODUCE!$B271:$DY271,PRODUCE!$EB$57:$IY$57)</f>
        <v>0</v>
      </c>
      <c r="VT270" s="56"/>
      <c r="VU270" s="242">
        <f t="shared" si="1938"/>
        <v>0</v>
      </c>
      <c r="VV270" s="242">
        <f t="shared" si="1939"/>
        <v>0</v>
      </c>
      <c r="VW270" s="56"/>
      <c r="VZ270" s="55">
        <f t="shared" si="1940"/>
        <v>46251</v>
      </c>
      <c r="WA270" s="56"/>
      <c r="WB270" s="242">
        <f>SUMPRODUCT(PRODUCE!$B271:$DY271,PRODUCE!$EB$57:$IY$57)</f>
        <v>0</v>
      </c>
      <c r="WC270" s="56"/>
      <c r="WD270" s="242">
        <f t="shared" si="1941"/>
        <v>0</v>
      </c>
      <c r="WE270" s="242">
        <f t="shared" si="1942"/>
        <v>0</v>
      </c>
      <c r="WF270" s="56"/>
      <c r="WI270" s="55">
        <f t="shared" si="1943"/>
        <v>46251</v>
      </c>
      <c r="WJ270" s="56"/>
      <c r="WK270" s="242">
        <f>SUMPRODUCT(PRODUCE!$B271:$DY271,PRODUCE!$EB$57:$IY$57)</f>
        <v>0</v>
      </c>
      <c r="WL270" s="56"/>
      <c r="WM270" s="242">
        <f t="shared" si="1944"/>
        <v>0</v>
      </c>
      <c r="WN270" s="242">
        <f t="shared" si="1945"/>
        <v>1057</v>
      </c>
      <c r="WO270" s="56"/>
      <c r="WR270" s="55">
        <f t="shared" si="1946"/>
        <v>46251</v>
      </c>
      <c r="WS270" s="56"/>
      <c r="WT270" s="242">
        <f>SUMPRODUCT(PRODUCE!$B271:$DY271,PRODUCE!$EB$57:$IY$57)</f>
        <v>0</v>
      </c>
      <c r="WU270" s="56"/>
      <c r="WV270" s="242">
        <f t="shared" si="1947"/>
        <v>0</v>
      </c>
      <c r="WW270" s="242">
        <f t="shared" si="1948"/>
        <v>0</v>
      </c>
      <c r="WX270" s="56"/>
      <c r="XA270" s="55">
        <f t="shared" si="1949"/>
        <v>46251</v>
      </c>
      <c r="XB270" s="56"/>
      <c r="XC270" s="242">
        <f>SUMPRODUCT(PRODUCE!$B271:$DY271,PRODUCE!$EB$57:$IY$57)</f>
        <v>0</v>
      </c>
      <c r="XD270" s="56"/>
      <c r="XE270" s="242">
        <f t="shared" si="1950"/>
        <v>0</v>
      </c>
      <c r="XF270" s="242">
        <f t="shared" si="1951"/>
        <v>7507</v>
      </c>
      <c r="XG270" s="56"/>
      <c r="XJ270" s="55">
        <f t="shared" si="1952"/>
        <v>46251</v>
      </c>
      <c r="XK270" s="56"/>
      <c r="XL270" s="242">
        <f>SUMPRODUCT(PRODUCE!$B271:$DY271,PRODUCE!$EB$57:$IY$57)</f>
        <v>0</v>
      </c>
      <c r="XM270" s="56"/>
      <c r="XN270" s="242">
        <f t="shared" si="1953"/>
        <v>0</v>
      </c>
      <c r="XO270" s="242">
        <f t="shared" si="1954"/>
        <v>4252</v>
      </c>
      <c r="XP270" s="56"/>
      <c r="XS270" s="55">
        <f t="shared" si="1955"/>
        <v>46251</v>
      </c>
      <c r="XT270" s="56"/>
      <c r="XU270" s="242">
        <f>SUMPRODUCT(PRODUCE!$B271:$DY271,PRODUCE!$EB$57:$IY$57)</f>
        <v>0</v>
      </c>
      <c r="XV270" s="56"/>
      <c r="XW270" s="242">
        <f t="shared" si="1956"/>
        <v>0</v>
      </c>
      <c r="XX270" s="242">
        <f t="shared" si="1957"/>
        <v>2179</v>
      </c>
      <c r="XY270" s="56"/>
      <c r="YB270" s="55">
        <f t="shared" si="1958"/>
        <v>46251</v>
      </c>
      <c r="YC270" s="56"/>
      <c r="YD270" s="242">
        <f>SUMPRODUCT(PRODUCE!$B271:$DY271,PRODUCE!$EB$57:$IY$57)</f>
        <v>0</v>
      </c>
      <c r="YE270" s="56"/>
      <c r="YF270" s="242">
        <f t="shared" si="1959"/>
        <v>0</v>
      </c>
      <c r="YG270" s="242">
        <f t="shared" si="1960"/>
        <v>4019</v>
      </c>
      <c r="YH270" s="56"/>
      <c r="YK270" s="55">
        <f t="shared" si="1961"/>
        <v>46251</v>
      </c>
      <c r="YL270" s="56"/>
      <c r="YM270" s="242">
        <f>SUMPRODUCT(PRODUCE!$B271:$DY271,PRODUCE!$EB$57:$IY$57)</f>
        <v>0</v>
      </c>
      <c r="YN270" s="56"/>
      <c r="YO270" s="242">
        <f t="shared" si="1962"/>
        <v>0</v>
      </c>
      <c r="YP270" s="242">
        <f t="shared" si="1963"/>
        <v>-218</v>
      </c>
      <c r="YQ270" s="56"/>
      <c r="YT270" s="55">
        <f t="shared" si="1964"/>
        <v>46251</v>
      </c>
      <c r="YU270" s="56"/>
      <c r="YV270" s="242">
        <f>SUMPRODUCT(PRODUCE!$B271:$DY271,PRODUCE!$EB$57:$IY$57)</f>
        <v>0</v>
      </c>
      <c r="YW270" s="56"/>
      <c r="YX270" s="242">
        <f t="shared" si="1965"/>
        <v>0</v>
      </c>
      <c r="YY270" s="242">
        <f t="shared" si="1966"/>
        <v>0</v>
      </c>
      <c r="YZ270" s="56"/>
      <c r="ZC270" s="55">
        <f t="shared" si="1967"/>
        <v>46251</v>
      </c>
      <c r="ZD270" s="56"/>
      <c r="ZE270" s="242">
        <f>SUMPRODUCT(PRODUCE!$B271:$DY271,PRODUCE!$EB$57:$IY$57)</f>
        <v>0</v>
      </c>
      <c r="ZF270" s="56"/>
      <c r="ZG270" s="242">
        <f t="shared" si="1968"/>
        <v>0</v>
      </c>
      <c r="ZH270" s="242">
        <f t="shared" si="1969"/>
        <v>0</v>
      </c>
      <c r="ZI270" s="56"/>
      <c r="ZL270" s="55">
        <f t="shared" si="1970"/>
        <v>46251</v>
      </c>
      <c r="ZM270" s="56"/>
      <c r="ZN270" s="242">
        <f>SUMPRODUCT(PRODUCE!$B271:$DY271,PRODUCE!$EB$57:$IY$57)</f>
        <v>0</v>
      </c>
      <c r="ZO270" s="56"/>
      <c r="ZP270" s="242">
        <f t="shared" si="1971"/>
        <v>0</v>
      </c>
      <c r="ZQ270" s="242">
        <f t="shared" si="1972"/>
        <v>0</v>
      </c>
      <c r="ZR270" s="56"/>
      <c r="ZU270" s="55">
        <f t="shared" si="1973"/>
        <v>46251</v>
      </c>
      <c r="ZV270" s="56"/>
      <c r="ZW270" s="242">
        <f>SUMPRODUCT(PRODUCE!$B271:$DY271,PRODUCE!$EB$57:$IY$57)</f>
        <v>0</v>
      </c>
      <c r="ZX270" s="56"/>
      <c r="ZY270" s="242">
        <f t="shared" si="1974"/>
        <v>0</v>
      </c>
      <c r="ZZ270" s="242">
        <f t="shared" si="1975"/>
        <v>0</v>
      </c>
      <c r="AAA270" s="56"/>
      <c r="AAD270" s="55">
        <f t="shared" si="1976"/>
        <v>46251</v>
      </c>
      <c r="AAE270" s="56"/>
      <c r="AAF270" s="242">
        <f>SUMPRODUCT(PRODUCE!$B271:$DY271,PRODUCE!$EB$57:$IY$57)</f>
        <v>0</v>
      </c>
      <c r="AAG270" s="56"/>
      <c r="AAH270" s="242">
        <f t="shared" si="1977"/>
        <v>0</v>
      </c>
      <c r="AAI270" s="242">
        <f t="shared" si="1978"/>
        <v>0</v>
      </c>
      <c r="AAJ270" s="56"/>
      <c r="AAM270" s="55">
        <f t="shared" si="1979"/>
        <v>46251</v>
      </c>
      <c r="AAN270" s="56"/>
      <c r="AAO270" s="242">
        <f>SUMPRODUCT(PRODUCE!$B271:$DY271,PRODUCE!$EB$57:$IY$57)</f>
        <v>0</v>
      </c>
      <c r="AAP270" s="56"/>
      <c r="AAQ270" s="242">
        <f t="shared" si="1980"/>
        <v>0</v>
      </c>
      <c r="AAR270" s="242">
        <f t="shared" si="1981"/>
        <v>0</v>
      </c>
      <c r="AAS270" s="56"/>
      <c r="AAV270" s="55">
        <f t="shared" si="1982"/>
        <v>46251</v>
      </c>
      <c r="AAW270" s="56"/>
      <c r="AAX270" s="242">
        <f>SUMPRODUCT(PRODUCE!$B271:$DY271,PRODUCE!$EB$57:$IY$57)</f>
        <v>0</v>
      </c>
      <c r="AAY270" s="56"/>
      <c r="AAZ270" s="242">
        <f t="shared" si="1983"/>
        <v>0</v>
      </c>
      <c r="ABA270" s="242">
        <f t="shared" si="1984"/>
        <v>0</v>
      </c>
      <c r="ABB270" s="56"/>
      <c r="ABE270" s="55">
        <f t="shared" si="1985"/>
        <v>46251</v>
      </c>
      <c r="ABF270" s="56"/>
      <c r="ABG270" s="242">
        <f>SUMPRODUCT(PRODUCE!$B271:$DY271,PRODUCE!$EB$57:$IY$57)</f>
        <v>0</v>
      </c>
      <c r="ABH270" s="56"/>
      <c r="ABI270" s="242">
        <f t="shared" si="1986"/>
        <v>0</v>
      </c>
      <c r="ABJ270" s="242">
        <f t="shared" si="1987"/>
        <v>0</v>
      </c>
      <c r="ABK270" s="56"/>
    </row>
    <row r="271" spans="2:739" s="54" customFormat="1" ht="15" customHeight="1" outlineLevel="1">
      <c r="B271" s="478"/>
      <c r="C271" s="55">
        <v>46252</v>
      </c>
      <c r="D271" s="56"/>
      <c r="E271" s="57">
        <f>SUMPRODUCT(PRODUCE!$B272:$DY272,PRODUCE!$EB$7:$IY$7)</f>
        <v>0</v>
      </c>
      <c r="F271" s="56"/>
      <c r="G271" s="57">
        <f t="shared" si="1743"/>
        <v>0</v>
      </c>
      <c r="H271" s="57">
        <f t="shared" si="1744"/>
        <v>236936.6</v>
      </c>
      <c r="I271" s="289"/>
      <c r="L271" s="55">
        <f t="shared" si="1745"/>
        <v>46252</v>
      </c>
      <c r="M271" s="56"/>
      <c r="N271" s="59">
        <f>SUMPRODUCT(PRODUCE!$B272:$DY272,PRODUCE!$EB$8:$IY$8)</f>
        <v>0</v>
      </c>
      <c r="O271" s="56"/>
      <c r="P271" s="59">
        <f t="shared" si="1746"/>
        <v>0</v>
      </c>
      <c r="Q271" s="59">
        <f t="shared" si="1747"/>
        <v>53017.600000000071</v>
      </c>
      <c r="R271" s="56"/>
      <c r="U271" s="55">
        <f t="shared" si="1748"/>
        <v>46252</v>
      </c>
      <c r="V271" s="56"/>
      <c r="W271" s="60">
        <f>SUMPRODUCT(PRODUCE!$B272:$DY272,PRODUCE!$EB$9:$IY$9)</f>
        <v>0</v>
      </c>
      <c r="X271" s="56"/>
      <c r="Y271" s="60">
        <f t="shared" si="1749"/>
        <v>0</v>
      </c>
      <c r="Z271" s="60">
        <f t="shared" si="1750"/>
        <v>42674.199999999968</v>
      </c>
      <c r="AA271" s="56"/>
      <c r="AD271" s="55">
        <f t="shared" si="1751"/>
        <v>46252</v>
      </c>
      <c r="AE271" s="56"/>
      <c r="AF271" s="61">
        <f>SUMPRODUCT(PRODUCE!$B272:$DY272,PRODUCE!$EB$10:$IY$10)</f>
        <v>0</v>
      </c>
      <c r="AG271" s="56"/>
      <c r="AH271" s="61">
        <f t="shared" si="1752"/>
        <v>0</v>
      </c>
      <c r="AI271" s="61">
        <f t="shared" si="1753"/>
        <v>4522.2000000000189</v>
      </c>
      <c r="AJ271" s="56"/>
      <c r="AM271" s="55">
        <f t="shared" si="1754"/>
        <v>46252</v>
      </c>
      <c r="AN271" s="422"/>
      <c r="AO271" s="444">
        <f>SUMPRODUCT(PRODUCE!$B272:$DY272,PRODUCE!$EB$11:$IY$11)</f>
        <v>0</v>
      </c>
      <c r="AP271" s="422"/>
      <c r="AQ271" s="444">
        <f t="shared" si="1755"/>
        <v>0</v>
      </c>
      <c r="AR271" s="444">
        <f t="shared" si="1756"/>
        <v>0</v>
      </c>
      <c r="AS271" s="56"/>
      <c r="AV271" s="55">
        <f t="shared" si="1757"/>
        <v>46252</v>
      </c>
      <c r="AW271" s="56"/>
      <c r="AX271" s="62">
        <f>SUMPRODUCT(PRODUCE!$B272:$DY272,PRODUCE!$EB$12:$IY$12)</f>
        <v>0</v>
      </c>
      <c r="AY271" s="56"/>
      <c r="AZ271" s="62">
        <f t="shared" si="1758"/>
        <v>0</v>
      </c>
      <c r="BA271" s="62">
        <f t="shared" si="1759"/>
        <v>124.99999999999523</v>
      </c>
      <c r="BB271" s="56"/>
      <c r="BE271" s="55">
        <f t="shared" si="1760"/>
        <v>46252</v>
      </c>
      <c r="BF271" s="56"/>
      <c r="BG271" s="63">
        <f>SUMPRODUCT(PRODUCE!$B272:$DY272,PRODUCE!$EB$13:$IY$13)</f>
        <v>0</v>
      </c>
      <c r="BH271" s="56"/>
      <c r="BI271" s="63">
        <f t="shared" si="1761"/>
        <v>0</v>
      </c>
      <c r="BJ271" s="63">
        <f t="shared" si="1762"/>
        <v>26151.899999999998</v>
      </c>
      <c r="BK271" s="56"/>
      <c r="BN271" s="55">
        <f t="shared" si="1763"/>
        <v>46252</v>
      </c>
      <c r="BO271" s="56"/>
      <c r="BP271" s="64">
        <f>SUMPRODUCT(PRODUCE!$B272:$DY272,PRODUCE!$EB$14:$IY$14)</f>
        <v>0</v>
      </c>
      <c r="BQ271" s="56"/>
      <c r="BR271" s="64">
        <f t="shared" si="1764"/>
        <v>0</v>
      </c>
      <c r="BS271" s="64">
        <f t="shared" si="1765"/>
        <v>0</v>
      </c>
      <c r="BT271" s="56"/>
      <c r="BW271" s="55">
        <f t="shared" si="1766"/>
        <v>46252</v>
      </c>
      <c r="BX271" s="56"/>
      <c r="BY271" s="65">
        <f>SUMPRODUCT(PRODUCE!$B272:$DY272,PRODUCE!$EB$15:$IY$15)</f>
        <v>0</v>
      </c>
      <c r="BZ271" s="56"/>
      <c r="CA271" s="65">
        <f t="shared" si="1767"/>
        <v>0</v>
      </c>
      <c r="CB271" s="65">
        <f t="shared" si="1768"/>
        <v>2097.3399999999992</v>
      </c>
      <c r="CC271" s="56"/>
      <c r="CF271" s="55">
        <f t="shared" si="1769"/>
        <v>46252</v>
      </c>
      <c r="CG271" s="56"/>
      <c r="CH271" s="66">
        <f>SUMPRODUCT(PRODUCE!$B272:$DY272,PRODUCE!$EB$16:$IY$16)</f>
        <v>0</v>
      </c>
      <c r="CI271" s="56"/>
      <c r="CJ271" s="66">
        <f t="shared" si="1770"/>
        <v>0</v>
      </c>
      <c r="CK271" s="66">
        <f t="shared" si="1771"/>
        <v>-10277.079999999998</v>
      </c>
      <c r="CL271" s="56"/>
      <c r="CO271" s="55">
        <f t="shared" si="1772"/>
        <v>46252</v>
      </c>
      <c r="CP271" s="422"/>
      <c r="CQ271" s="470">
        <f>SUMPRODUCT(PRODUCE!$B272:$DY272,PRODUCE!$EB$17:$IY$17)</f>
        <v>0</v>
      </c>
      <c r="CR271" s="422"/>
      <c r="CS271" s="470">
        <f t="shared" si="1773"/>
        <v>0</v>
      </c>
      <c r="CT271" s="470">
        <f t="shared" si="1774"/>
        <v>0</v>
      </c>
      <c r="CU271" s="56"/>
      <c r="CX271" s="55">
        <f t="shared" si="1775"/>
        <v>46252</v>
      </c>
      <c r="CY271" s="56"/>
      <c r="CZ271" s="133">
        <f>SUMPRODUCT(PRODUCE!$B272:$DY272,PRODUCE!$EB$18:$IY$18)</f>
        <v>0</v>
      </c>
      <c r="DA271" s="56"/>
      <c r="DB271" s="133">
        <f t="shared" si="1776"/>
        <v>0</v>
      </c>
      <c r="DC271" s="133">
        <f t="shared" si="1777"/>
        <v>27438.200000000012</v>
      </c>
      <c r="DD271" s="56"/>
      <c r="DG271" s="55">
        <f t="shared" si="1778"/>
        <v>46252</v>
      </c>
      <c r="DH271" s="56"/>
      <c r="DI271" s="147">
        <f>SUMPRODUCT(PRODUCE!$B272:$DY272,PRODUCE!$EB$19:$IY$19)</f>
        <v>0</v>
      </c>
      <c r="DJ271" s="56"/>
      <c r="DK271" s="147">
        <f t="shared" si="1779"/>
        <v>0</v>
      </c>
      <c r="DL271" s="147">
        <f t="shared" si="1780"/>
        <v>18782.299999999981</v>
      </c>
      <c r="DM271" s="56"/>
      <c r="DP271" s="55">
        <f t="shared" si="1781"/>
        <v>46252</v>
      </c>
      <c r="DQ271" s="56"/>
      <c r="DR271" s="57">
        <f>SUMPRODUCT(PRODUCE!$B272:$DY272,PRODUCE!$EB$20:$IY$20)</f>
        <v>0</v>
      </c>
      <c r="DS271" s="56"/>
      <c r="DT271" s="57">
        <f t="shared" si="1782"/>
        <v>0</v>
      </c>
      <c r="DU271" s="57">
        <f t="shared" si="1783"/>
        <v>5800</v>
      </c>
      <c r="DV271" s="56"/>
      <c r="DY271" s="55">
        <f t="shared" si="1784"/>
        <v>46252</v>
      </c>
      <c r="DZ271" s="56"/>
      <c r="EA271" s="157">
        <f>SUMPRODUCT(PRODUCE!$B272:$DY272,PRODUCE!$EB$21:$IY$21)</f>
        <v>0</v>
      </c>
      <c r="EB271" s="56"/>
      <c r="EC271" s="157">
        <f t="shared" si="1785"/>
        <v>0</v>
      </c>
      <c r="ED271" s="157">
        <f t="shared" si="1786"/>
        <v>0</v>
      </c>
      <c r="EE271" s="56"/>
      <c r="EH271" s="55">
        <f t="shared" si="1787"/>
        <v>46252</v>
      </c>
      <c r="EI271" s="56"/>
      <c r="EJ271" s="162">
        <f>SUMPRODUCT(PRODUCE!$B272:$DY272,PRODUCE!$EB$22:$IY$22)</f>
        <v>0</v>
      </c>
      <c r="EK271" s="56"/>
      <c r="EL271" s="162">
        <f t="shared" si="1788"/>
        <v>0</v>
      </c>
      <c r="EM271" s="162">
        <f t="shared" si="1789"/>
        <v>0</v>
      </c>
      <c r="EN271" s="56"/>
      <c r="EQ271" s="55">
        <f t="shared" si="1790"/>
        <v>46252</v>
      </c>
      <c r="ER271" s="56"/>
      <c r="ES271" s="135">
        <f>SUMPRODUCT(PRODUCE!$B272:$DY272,PRODUCE!$EB$23:$IY$23)</f>
        <v>0</v>
      </c>
      <c r="ET271" s="56"/>
      <c r="EU271" s="135">
        <f t="shared" si="1791"/>
        <v>0</v>
      </c>
      <c r="EV271" s="135">
        <f t="shared" si="1792"/>
        <v>0</v>
      </c>
      <c r="EW271" s="56"/>
      <c r="EZ271" s="55">
        <f t="shared" si="1793"/>
        <v>46252</v>
      </c>
      <c r="FA271" s="56"/>
      <c r="FB271" s="175">
        <f>SUMPRODUCT(PRODUCE!$B272:$DY272,PRODUCE!$EB$24:$IY$24)</f>
        <v>0</v>
      </c>
      <c r="FC271" s="56"/>
      <c r="FD271" s="175">
        <f t="shared" si="1794"/>
        <v>0</v>
      </c>
      <c r="FE271" s="175">
        <f t="shared" si="1795"/>
        <v>0</v>
      </c>
      <c r="FF271" s="56"/>
      <c r="FI271" s="55">
        <f t="shared" si="1796"/>
        <v>46252</v>
      </c>
      <c r="FJ271" s="56"/>
      <c r="FK271" s="183">
        <f>SUMPRODUCT(PRODUCE!$B272:$DY272,PRODUCE!$EB$25:$IY$25)</f>
        <v>0</v>
      </c>
      <c r="FL271" s="56"/>
      <c r="FM271" s="183">
        <f t="shared" si="1797"/>
        <v>0</v>
      </c>
      <c r="FN271" s="183">
        <f t="shared" si="1798"/>
        <v>0</v>
      </c>
      <c r="FO271" s="56"/>
      <c r="FR271" s="55">
        <f t="shared" si="1799"/>
        <v>46252</v>
      </c>
      <c r="FS271" s="56"/>
      <c r="FT271" s="186">
        <f>SUMPRODUCT(PRODUCE!$B272:$DY272,PRODUCE!$EB$26:$IY$26)</f>
        <v>0</v>
      </c>
      <c r="FU271" s="56"/>
      <c r="FV271" s="186">
        <f t="shared" si="1800"/>
        <v>0</v>
      </c>
      <c r="FW271" s="186">
        <f t="shared" si="1801"/>
        <v>2020</v>
      </c>
      <c r="FX271" s="56"/>
      <c r="GA271" s="55">
        <f t="shared" si="1802"/>
        <v>46252</v>
      </c>
      <c r="GB271" s="56"/>
      <c r="GC271" s="137">
        <f>SUMPRODUCT(PRODUCE!$B272:$DY272,PRODUCE!$EB$27:$IY$27)</f>
        <v>0</v>
      </c>
      <c r="GD271" s="56"/>
      <c r="GE271" s="137">
        <f t="shared" si="1803"/>
        <v>0</v>
      </c>
      <c r="GF271" s="137">
        <f t="shared" si="1804"/>
        <v>960</v>
      </c>
      <c r="GG271" s="56"/>
      <c r="GI271" s="23"/>
      <c r="GJ271" s="55">
        <f t="shared" si="1805"/>
        <v>46252</v>
      </c>
      <c r="GK271" s="56"/>
      <c r="GL271" s="199">
        <f>SUMPRODUCT(PRODUCE!$B272:$DY272,PRODUCE!$EB$28:$IY$28)</f>
        <v>0</v>
      </c>
      <c r="GM271" s="56"/>
      <c r="GN271" s="199">
        <f t="shared" si="1806"/>
        <v>0</v>
      </c>
      <c r="GO271" s="199">
        <f t="shared" si="1807"/>
        <v>1760</v>
      </c>
      <c r="GP271" s="56"/>
      <c r="GS271" s="55">
        <f t="shared" si="1808"/>
        <v>46252</v>
      </c>
      <c r="GT271" s="56"/>
      <c r="GU271" s="195">
        <f>SUMPRODUCT(PRODUCE!$B272:$DY272,PRODUCE!$EB$29:$IY$29)</f>
        <v>0</v>
      </c>
      <c r="GV271" s="56"/>
      <c r="GW271" s="195">
        <f t="shared" si="1809"/>
        <v>0</v>
      </c>
      <c r="GX271" s="195">
        <f t="shared" si="1810"/>
        <v>400</v>
      </c>
      <c r="GY271" s="56"/>
      <c r="HB271" s="55">
        <f t="shared" si="1811"/>
        <v>46252</v>
      </c>
      <c r="HC271" s="56"/>
      <c r="HD271" s="191">
        <f>SUMPRODUCT(PRODUCE!$B272:$DY272,PRODUCE!$EB$30:$IY$30)</f>
        <v>0</v>
      </c>
      <c r="HE271" s="56"/>
      <c r="HF271" s="191">
        <f t="shared" si="1812"/>
        <v>0</v>
      </c>
      <c r="HG271" s="191">
        <f t="shared" si="1813"/>
        <v>3600</v>
      </c>
      <c r="HH271" s="56"/>
      <c r="HI271" s="549"/>
      <c r="HJ271" s="549"/>
      <c r="HK271" s="550">
        <f t="shared" si="1814"/>
        <v>46252</v>
      </c>
      <c r="HL271" s="551"/>
      <c r="HM271" s="552">
        <f>SUMPRODUCT(PRODUCE!$B272:$DY272,PRODUCE!$EB$31:$IY$31)</f>
        <v>0</v>
      </c>
      <c r="HN271" s="551"/>
      <c r="HO271" s="552">
        <f t="shared" si="1815"/>
        <v>0</v>
      </c>
      <c r="HP271" s="552">
        <f t="shared" si="1816"/>
        <v>0</v>
      </c>
      <c r="HQ271" s="551"/>
      <c r="HR271" s="549"/>
      <c r="HS271" s="549"/>
      <c r="HT271" s="549" t="s">
        <v>303</v>
      </c>
      <c r="HU271" s="55">
        <f t="shared" si="1817"/>
        <v>46252</v>
      </c>
      <c r="HV271" s="56"/>
      <c r="HW271" s="242">
        <f>SUMPRODUCT(PRODUCE!$B272:$DY272,PRODUCE!$EB$32:$IY$32)</f>
        <v>0</v>
      </c>
      <c r="HX271" s="56"/>
      <c r="HY271" s="242">
        <f t="shared" si="1818"/>
        <v>0</v>
      </c>
      <c r="HZ271" s="242">
        <f t="shared" si="1819"/>
        <v>6120</v>
      </c>
      <c r="IA271" s="56"/>
      <c r="ID271" s="55">
        <f t="shared" si="1820"/>
        <v>46252</v>
      </c>
      <c r="IE271" s="56"/>
      <c r="IF271" s="242">
        <f>SUMPRODUCT(PRODUCE!$B272:$DY272,PRODUCE!$EB$33:$IY$33)</f>
        <v>0</v>
      </c>
      <c r="IG271" s="56"/>
      <c r="IH271" s="242">
        <f t="shared" si="1821"/>
        <v>0</v>
      </c>
      <c r="II271" s="242">
        <f t="shared" si="1822"/>
        <v>60</v>
      </c>
      <c r="IJ271" s="56"/>
      <c r="IM271" s="55">
        <f t="shared" si="1823"/>
        <v>46252</v>
      </c>
      <c r="IN271" s="56"/>
      <c r="IO271" s="242">
        <f>SUMPRODUCT(PRODUCE!$B272:$DY272,PRODUCE!$EB$34:$IY$34)</f>
        <v>0</v>
      </c>
      <c r="IP271" s="56"/>
      <c r="IQ271" s="242">
        <f t="shared" si="1824"/>
        <v>0</v>
      </c>
      <c r="IR271" s="242">
        <f t="shared" si="1825"/>
        <v>0</v>
      </c>
      <c r="IS271" s="56"/>
      <c r="IV271" s="55">
        <f t="shared" si="1826"/>
        <v>46252</v>
      </c>
      <c r="IW271" s="56"/>
      <c r="IX271" s="242">
        <f>SUMPRODUCT(PRODUCE!$B272:$DY272,PRODUCE!$EB$35:$IY$35)</f>
        <v>0</v>
      </c>
      <c r="IY271" s="56"/>
      <c r="IZ271" s="242">
        <f t="shared" si="1827"/>
        <v>0</v>
      </c>
      <c r="JA271" s="242">
        <f t="shared" si="1828"/>
        <v>2960</v>
      </c>
      <c r="JB271" s="56"/>
      <c r="JE271" s="55">
        <f t="shared" si="1829"/>
        <v>46252</v>
      </c>
      <c r="JF271" s="56"/>
      <c r="JG271" s="242">
        <f>SUMPRODUCT(PRODUCE!$B272:$DY272,PRODUCE!$EB$36:$IY$36)</f>
        <v>0</v>
      </c>
      <c r="JH271" s="56"/>
      <c r="JI271" s="242">
        <f t="shared" si="1830"/>
        <v>0</v>
      </c>
      <c r="JJ271" s="242">
        <f t="shared" si="1831"/>
        <v>0</v>
      </c>
      <c r="JK271" s="56"/>
      <c r="JN271" s="55">
        <f t="shared" si="1832"/>
        <v>46252</v>
      </c>
      <c r="JO271" s="56"/>
      <c r="JP271" s="242">
        <f>SUMPRODUCT(PRODUCE!$B272:$DY272,PRODUCE!$EB$37:$IY$37)</f>
        <v>0</v>
      </c>
      <c r="JQ271" s="56"/>
      <c r="JR271" s="242">
        <f t="shared" si="1833"/>
        <v>0</v>
      </c>
      <c r="JS271" s="242">
        <f t="shared" si="1834"/>
        <v>0</v>
      </c>
      <c r="JT271" s="56"/>
      <c r="JW271" s="55">
        <f t="shared" si="1835"/>
        <v>46252</v>
      </c>
      <c r="JX271" s="56"/>
      <c r="JY271" s="242">
        <f>SUMPRODUCT(PRODUCE!$B272:$DY272,PRODUCE!$EB$38:$IY$38)</f>
        <v>0</v>
      </c>
      <c r="JZ271" s="56"/>
      <c r="KA271" s="242">
        <f t="shared" si="1836"/>
        <v>0</v>
      </c>
      <c r="KB271" s="242">
        <f t="shared" si="1837"/>
        <v>2540</v>
      </c>
      <c r="KC271" s="56"/>
      <c r="KF271" s="55">
        <f t="shared" si="1838"/>
        <v>46252</v>
      </c>
      <c r="KG271" s="56"/>
      <c r="KH271" s="242">
        <f>SUMPRODUCT(PRODUCE!$B272:$DY272,PRODUCE!$EB$39:$IY$39)</f>
        <v>0</v>
      </c>
      <c r="KI271" s="56"/>
      <c r="KJ271" s="242">
        <f t="shared" si="1839"/>
        <v>0</v>
      </c>
      <c r="KK271" s="242">
        <f t="shared" si="1840"/>
        <v>2359.5</v>
      </c>
      <c r="KL271" s="56"/>
      <c r="KO271" s="55">
        <f t="shared" si="1841"/>
        <v>46252</v>
      </c>
      <c r="KP271" s="56"/>
      <c r="KQ271" s="242">
        <f>SUMPRODUCT(PRODUCE!$B272:$DY272,PRODUCE!$EB$40:$IY$40)</f>
        <v>0</v>
      </c>
      <c r="KR271" s="56"/>
      <c r="KS271" s="242">
        <f t="shared" si="1842"/>
        <v>0</v>
      </c>
      <c r="KT271" s="242">
        <f t="shared" si="1843"/>
        <v>1890</v>
      </c>
      <c r="KU271" s="56"/>
      <c r="KW271" s="23"/>
      <c r="KX271" s="55">
        <f t="shared" si="1844"/>
        <v>46252</v>
      </c>
      <c r="KY271" s="56"/>
      <c r="KZ271" s="242">
        <f>SUMPRODUCT(PRODUCE!$B272:$DY272,PRODUCE!$EB$41:$IY$41)</f>
        <v>0</v>
      </c>
      <c r="LA271" s="56"/>
      <c r="LB271" s="242">
        <f t="shared" si="1845"/>
        <v>0</v>
      </c>
      <c r="LC271" s="242">
        <f t="shared" si="1846"/>
        <v>3690</v>
      </c>
      <c r="LD271" s="56"/>
      <c r="LG271" s="55">
        <f t="shared" si="1847"/>
        <v>46252</v>
      </c>
      <c r="LH271" s="56"/>
      <c r="LI271" s="242">
        <f>SUMPRODUCT(PRODUCE!$B272:$DY272,PRODUCE!$EB$42:$IY$42)</f>
        <v>0</v>
      </c>
      <c r="LJ271" s="56"/>
      <c r="LK271" s="242">
        <f t="shared" si="1848"/>
        <v>0</v>
      </c>
      <c r="LL271" s="242">
        <f t="shared" si="1849"/>
        <v>4000</v>
      </c>
      <c r="LM271" s="56"/>
      <c r="LP271" s="55">
        <f t="shared" si="1850"/>
        <v>46252</v>
      </c>
      <c r="LQ271" s="56"/>
      <c r="LR271" s="242">
        <f>SUMPRODUCT(PRODUCE!$B286:$DY286,PRODUCE!$EB$43:$IY$43)</f>
        <v>0</v>
      </c>
      <c r="LS271" s="56"/>
      <c r="LT271" s="242">
        <f t="shared" si="1851"/>
        <v>0</v>
      </c>
      <c r="LU271" s="242">
        <f t="shared" si="1852"/>
        <v>0</v>
      </c>
      <c r="LV271" s="56"/>
      <c r="LY271" s="55">
        <f t="shared" si="1853"/>
        <v>46252</v>
      </c>
      <c r="LZ271" s="56"/>
      <c r="MA271" s="242">
        <f>SUMPRODUCT(PRODUCE!$B272:$DY272,PRODUCE!$EB$44:$IY$44)</f>
        <v>0</v>
      </c>
      <c r="MB271" s="56"/>
      <c r="MC271" s="242">
        <f t="shared" si="1854"/>
        <v>0</v>
      </c>
      <c r="MD271" s="242">
        <f t="shared" si="1855"/>
        <v>0</v>
      </c>
      <c r="ME271" s="56"/>
      <c r="MH271" s="55">
        <f t="shared" si="1856"/>
        <v>46252</v>
      </c>
      <c r="MI271" s="56"/>
      <c r="MJ271" s="242">
        <f>SUMPRODUCT(PRODUCE!$B272:$DY272,PRODUCE!$EB$45:$IY$45)</f>
        <v>0</v>
      </c>
      <c r="MK271" s="56"/>
      <c r="ML271" s="242">
        <f t="shared" si="1857"/>
        <v>0</v>
      </c>
      <c r="MM271" s="242">
        <f t="shared" si="1858"/>
        <v>0</v>
      </c>
      <c r="MN271" s="56"/>
      <c r="MQ271" s="55">
        <f t="shared" si="1859"/>
        <v>46252</v>
      </c>
      <c r="MR271" s="56"/>
      <c r="MS271" s="242">
        <f>SUMPRODUCT(PRODUCE!$B272:$DY272,PRODUCE!$EB$46:$IY$46)</f>
        <v>0</v>
      </c>
      <c r="MT271" s="56"/>
      <c r="MU271" s="242">
        <f t="shared" si="1860"/>
        <v>0</v>
      </c>
      <c r="MV271" s="242">
        <f t="shared" si="1861"/>
        <v>1625</v>
      </c>
      <c r="MW271" s="56"/>
      <c r="MZ271" s="55">
        <f t="shared" si="1862"/>
        <v>46252</v>
      </c>
      <c r="NA271" s="56"/>
      <c r="NB271" s="242">
        <f>SUMPRODUCT(PRODUCE!$B272:$DY272,PRODUCE!$EB$47:$IY$47)</f>
        <v>0</v>
      </c>
      <c r="NC271" s="56"/>
      <c r="ND271" s="242">
        <f t="shared" si="1863"/>
        <v>0</v>
      </c>
      <c r="NE271" s="242">
        <f t="shared" si="1864"/>
        <v>0</v>
      </c>
      <c r="NF271" s="56"/>
      <c r="NI271" s="55">
        <f t="shared" si="1865"/>
        <v>46252</v>
      </c>
      <c r="NJ271" s="56"/>
      <c r="NK271" s="242">
        <f>SUMPRODUCT(PRODUCE!$B272:$DY272,PRODUCE!$EB$48:$IY$48)</f>
        <v>0</v>
      </c>
      <c r="NL271" s="56"/>
      <c r="NM271" s="242">
        <f t="shared" si="1866"/>
        <v>0</v>
      </c>
      <c r="NN271" s="242">
        <f t="shared" si="1867"/>
        <v>1127</v>
      </c>
      <c r="NO271" s="56"/>
      <c r="NR271" s="55">
        <f t="shared" si="1868"/>
        <v>46252</v>
      </c>
      <c r="NS271" s="56"/>
      <c r="NT271" s="242">
        <f>SUMPRODUCT(PRODUCE!$B272:$DY272,PRODUCE!$EB$49:$IY$49)</f>
        <v>0</v>
      </c>
      <c r="NU271" s="56"/>
      <c r="NV271" s="242">
        <f t="shared" si="1869"/>
        <v>0</v>
      </c>
      <c r="NW271" s="242">
        <f t="shared" si="1870"/>
        <v>3111.9999999999995</v>
      </c>
      <c r="NX271" s="56"/>
      <c r="OA271" s="55">
        <f t="shared" si="1871"/>
        <v>46252</v>
      </c>
      <c r="OB271" s="56"/>
      <c r="OC271" s="242">
        <f>SUMPRODUCT(PRODUCE!$B272:$DY272,PRODUCE!$EB$50:$IY$50)</f>
        <v>0</v>
      </c>
      <c r="OD271" s="56"/>
      <c r="OE271" s="242">
        <f t="shared" si="1872"/>
        <v>0</v>
      </c>
      <c r="OF271" s="242">
        <f t="shared" si="1873"/>
        <v>1680.5</v>
      </c>
      <c r="OG271" s="56"/>
      <c r="OJ271" s="55">
        <f t="shared" si="1874"/>
        <v>46252</v>
      </c>
      <c r="OK271" s="56"/>
      <c r="OL271" s="242">
        <f>SUMPRODUCT(PRODUCE!$B272:$DY272,PRODUCE!$EB$51:$IY$51)</f>
        <v>0</v>
      </c>
      <c r="OM271" s="56"/>
      <c r="ON271" s="242">
        <f t="shared" si="1875"/>
        <v>0</v>
      </c>
      <c r="OO271" s="242">
        <f t="shared" si="1876"/>
        <v>0</v>
      </c>
      <c r="OP271" s="56"/>
      <c r="OS271" s="55">
        <f t="shared" si="1877"/>
        <v>46252</v>
      </c>
      <c r="OT271" s="56"/>
      <c r="OU271" s="242">
        <f>SUMPRODUCT(PRODUCE!$B272:$DY272,PRODUCE!$EB$52:$IY$52)</f>
        <v>0</v>
      </c>
      <c r="OV271" s="56"/>
      <c r="OW271" s="242">
        <f t="shared" si="1878"/>
        <v>0</v>
      </c>
      <c r="OX271" s="242">
        <f t="shared" si="1879"/>
        <v>1482</v>
      </c>
      <c r="OY271" s="56"/>
      <c r="PB271" s="55">
        <f t="shared" si="1880"/>
        <v>46252</v>
      </c>
      <c r="PC271" s="56"/>
      <c r="PD271" s="242">
        <f>SUMPRODUCT(PRODUCE!$B272:$DY272,PRODUCE!$EB$53:$IY$53)</f>
        <v>0</v>
      </c>
      <c r="PE271" s="56"/>
      <c r="PF271" s="242">
        <f t="shared" si="1881"/>
        <v>0</v>
      </c>
      <c r="PG271" s="242">
        <f t="shared" si="1882"/>
        <v>0</v>
      </c>
      <c r="PH271" s="56"/>
      <c r="PK271" s="55">
        <f t="shared" si="1883"/>
        <v>46252</v>
      </c>
      <c r="PL271" s="56"/>
      <c r="PM271" s="242">
        <f>SUMPRODUCT(PRODUCE!$B272:$DY272,PRODUCE!$EB$54:$IY$54)</f>
        <v>0</v>
      </c>
      <c r="PN271" s="56"/>
      <c r="PO271" s="242">
        <f t="shared" si="1884"/>
        <v>0</v>
      </c>
      <c r="PP271" s="242">
        <f t="shared" si="1885"/>
        <v>100</v>
      </c>
      <c r="PQ271" s="56"/>
      <c r="PT271" s="55">
        <f t="shared" si="1886"/>
        <v>46252</v>
      </c>
      <c r="PU271" s="56"/>
      <c r="PV271" s="242">
        <f>SUMPRODUCT(PRODUCE!$B272:$DY272,PRODUCE!$EB$55:$IY$55)</f>
        <v>0</v>
      </c>
      <c r="PW271" s="56"/>
      <c r="PX271" s="242">
        <f t="shared" si="1887"/>
        <v>0</v>
      </c>
      <c r="PY271" s="242">
        <f t="shared" si="1888"/>
        <v>13.960000000000036</v>
      </c>
      <c r="PZ271" s="56"/>
      <c r="QC271" s="55">
        <f t="shared" si="1889"/>
        <v>46252</v>
      </c>
      <c r="QD271" s="56"/>
      <c r="QE271" s="242">
        <f>SUMPRODUCT(PRODUCE!$B272:$DY272,PRODUCE!$EB$56:$IY$56)</f>
        <v>0</v>
      </c>
      <c r="QF271" s="56"/>
      <c r="QG271" s="242">
        <f t="shared" si="1890"/>
        <v>0</v>
      </c>
      <c r="QH271" s="242">
        <f t="shared" si="1891"/>
        <v>548</v>
      </c>
      <c r="QI271" s="56"/>
      <c r="QL271" s="55">
        <f t="shared" si="1892"/>
        <v>46252</v>
      </c>
      <c r="QM271" s="56"/>
      <c r="QN271" s="242">
        <f>SUMPRODUCT(PRODUCE!$B272:$DY272,PRODUCE!$EB$57:$IY$57)</f>
        <v>0</v>
      </c>
      <c r="QO271" s="56"/>
      <c r="QP271" s="242">
        <f t="shared" si="1893"/>
        <v>0</v>
      </c>
      <c r="QQ271" s="242">
        <f t="shared" si="1894"/>
        <v>0</v>
      </c>
      <c r="QR271" s="56"/>
      <c r="QU271" s="55">
        <f t="shared" si="1895"/>
        <v>46252</v>
      </c>
      <c r="QV271" s="56"/>
      <c r="QW271" s="242">
        <f>SUMPRODUCT(PRODUCE!$B272:$DY272,PRODUCE!$EB$57:$IY$57)</f>
        <v>0</v>
      </c>
      <c r="QX271" s="56"/>
      <c r="QY271" s="242">
        <f t="shared" si="1896"/>
        <v>0</v>
      </c>
      <c r="QZ271" s="242">
        <f t="shared" si="1897"/>
        <v>0</v>
      </c>
      <c r="RA271" s="56"/>
      <c r="RD271" s="55">
        <f t="shared" si="1898"/>
        <v>46252</v>
      </c>
      <c r="RE271" s="56"/>
      <c r="RF271" s="242">
        <f>SUMPRODUCT(PRODUCE!$B272:$DY272,PRODUCE!$EB$58:$IY$58)</f>
        <v>0</v>
      </c>
      <c r="RG271" s="56"/>
      <c r="RH271" s="242">
        <f t="shared" si="1899"/>
        <v>0</v>
      </c>
      <c r="RI271" s="242">
        <f t="shared" si="1900"/>
        <v>147.04000000000002</v>
      </c>
      <c r="RJ271" s="56"/>
      <c r="RM271" s="55">
        <f t="shared" si="1901"/>
        <v>46252</v>
      </c>
      <c r="RN271" s="56"/>
      <c r="RO271" s="242">
        <f>SUMPRODUCT(PRODUCE!$B272:$DY272,PRODUCE!$EB$59:$IY$59)</f>
        <v>0</v>
      </c>
      <c r="RP271" s="56"/>
      <c r="RQ271" s="242">
        <f t="shared" si="1902"/>
        <v>0</v>
      </c>
      <c r="RR271" s="242">
        <f t="shared" si="1903"/>
        <v>46.8</v>
      </c>
      <c r="RS271" s="56"/>
      <c r="RV271" s="55">
        <f t="shared" si="1904"/>
        <v>46252</v>
      </c>
      <c r="RW271" s="56"/>
      <c r="RX271" s="242">
        <f>SUMPRODUCT(PRODUCE!$B272:$DY272,PRODUCE!$EB$57:$IY$57)</f>
        <v>0</v>
      </c>
      <c r="RY271" s="56"/>
      <c r="RZ271" s="242">
        <f t="shared" si="1905"/>
        <v>0</v>
      </c>
      <c r="SA271" s="242">
        <f t="shared" si="1906"/>
        <v>0</v>
      </c>
      <c r="SB271" s="56"/>
      <c r="SE271" s="55">
        <f t="shared" si="1907"/>
        <v>46252</v>
      </c>
      <c r="SF271" s="56"/>
      <c r="SG271" s="242">
        <f>SUMPRODUCT(PRODUCE!$B272:$DY272,PRODUCE!$EB$61:$IY$61)</f>
        <v>0</v>
      </c>
      <c r="SH271" s="56"/>
      <c r="SI271" s="242">
        <f t="shared" si="1908"/>
        <v>0</v>
      </c>
      <c r="SJ271" s="242">
        <f t="shared" si="1909"/>
        <v>24.200000000000003</v>
      </c>
      <c r="SK271" s="56"/>
      <c r="SN271" s="55">
        <f t="shared" si="1910"/>
        <v>46252</v>
      </c>
      <c r="SO271" s="56"/>
      <c r="SP271" s="242">
        <f>SUMPRODUCT(PRODUCE!$B272:$DY272,PRODUCE!$EB$62:$IY$62)</f>
        <v>0</v>
      </c>
      <c r="SQ271" s="56"/>
      <c r="SR271" s="242">
        <f t="shared" si="1911"/>
        <v>0</v>
      </c>
      <c r="SS271" s="242">
        <f t="shared" si="1912"/>
        <v>32</v>
      </c>
      <c r="ST271" s="56"/>
      <c r="SW271" s="55">
        <f t="shared" si="1913"/>
        <v>46252</v>
      </c>
      <c r="SX271" s="56"/>
      <c r="SY271" s="242">
        <f>SUMPRODUCT(PRODUCE!$B272:$DY272,PRODUCE!$EB$57:$IY$57)</f>
        <v>0</v>
      </c>
      <c r="SZ271" s="56"/>
      <c r="TA271" s="242">
        <f t="shared" si="1914"/>
        <v>0</v>
      </c>
      <c r="TB271" s="242">
        <f t="shared" si="1915"/>
        <v>0</v>
      </c>
      <c r="TC271" s="56"/>
      <c r="TF271" s="55">
        <f t="shared" si="1916"/>
        <v>46252</v>
      </c>
      <c r="TG271" s="56"/>
      <c r="TH271" s="242">
        <f>SUMPRODUCT(PRODUCE!$B272:$DY272,PRODUCE!$EB$57:$IY$57)</f>
        <v>0</v>
      </c>
      <c r="TI271" s="56"/>
      <c r="TJ271" s="242">
        <f t="shared" si="1917"/>
        <v>0</v>
      </c>
      <c r="TK271" s="242">
        <f t="shared" si="1918"/>
        <v>0</v>
      </c>
      <c r="TL271" s="56"/>
      <c r="TO271" s="55">
        <f t="shared" si="1919"/>
        <v>46252</v>
      </c>
      <c r="TP271" s="56"/>
      <c r="TQ271" s="242">
        <f>SUMPRODUCT(PRODUCE!$B272:$DY272,PRODUCE!$EB$57:$IY$57)</f>
        <v>0</v>
      </c>
      <c r="TR271" s="56"/>
      <c r="TS271" s="242">
        <f t="shared" si="1920"/>
        <v>0</v>
      </c>
      <c r="TT271" s="242">
        <f t="shared" si="1921"/>
        <v>0</v>
      </c>
      <c r="TU271" s="56"/>
      <c r="TX271" s="55">
        <f t="shared" si="1922"/>
        <v>46252</v>
      </c>
      <c r="TY271" s="56"/>
      <c r="TZ271" s="242">
        <f>SUMPRODUCT(PRODUCE!$B272:$DY272,PRODUCE!$EB$57:$IY$57)</f>
        <v>0</v>
      </c>
      <c r="UA271" s="56"/>
      <c r="UB271" s="242">
        <f t="shared" si="1923"/>
        <v>0</v>
      </c>
      <c r="UC271" s="242">
        <f t="shared" si="1924"/>
        <v>46.799999999999983</v>
      </c>
      <c r="UD271" s="56"/>
      <c r="UG271" s="55">
        <f t="shared" si="1925"/>
        <v>46252</v>
      </c>
      <c r="UH271" s="56"/>
      <c r="UI271" s="242">
        <f>SUMPRODUCT(PRODUCE!$B272:$DY272,PRODUCE!$EB$57:$IY$57)</f>
        <v>0</v>
      </c>
      <c r="UJ271" s="56"/>
      <c r="UK271" s="242">
        <f t="shared" si="1926"/>
        <v>0</v>
      </c>
      <c r="UL271" s="242">
        <f t="shared" si="1927"/>
        <v>204</v>
      </c>
      <c r="UM271" s="56"/>
      <c r="UP271" s="55">
        <f t="shared" si="1928"/>
        <v>46252</v>
      </c>
      <c r="UQ271" s="56"/>
      <c r="UR271" s="242">
        <f>SUMPRODUCT(PRODUCE!$B272:$DY272,PRODUCE!$EB$57:$IY$57)</f>
        <v>0</v>
      </c>
      <c r="US271" s="56"/>
      <c r="UT271" s="242">
        <f t="shared" si="1929"/>
        <v>0</v>
      </c>
      <c r="UU271" s="242">
        <f t="shared" si="1930"/>
        <v>202.5</v>
      </c>
      <c r="UV271" s="56"/>
      <c r="UY271" s="55">
        <f t="shared" si="1931"/>
        <v>46252</v>
      </c>
      <c r="UZ271" s="56"/>
      <c r="VA271" s="242">
        <f>SUMPRODUCT(PRODUCE!$B272:$DY272,PRODUCE!$EB$57:$IY$57)</f>
        <v>0</v>
      </c>
      <c r="VB271" s="56"/>
      <c r="VC271" s="242">
        <f t="shared" si="1932"/>
        <v>0</v>
      </c>
      <c r="VD271" s="242">
        <f t="shared" si="1933"/>
        <v>41.600000000000023</v>
      </c>
      <c r="VE271" s="56"/>
      <c r="VH271" s="55">
        <f t="shared" si="1934"/>
        <v>46252</v>
      </c>
      <c r="VI271" s="56"/>
      <c r="VJ271" s="242">
        <f>SUMPRODUCT(PRODUCE!$B272:$DY272,PRODUCE!$EB$57:$IY$57)</f>
        <v>0</v>
      </c>
      <c r="VK271" s="56"/>
      <c r="VL271" s="242">
        <f t="shared" si="1935"/>
        <v>0</v>
      </c>
      <c r="VM271" s="242">
        <f t="shared" si="1936"/>
        <v>210</v>
      </c>
      <c r="VN271" s="56"/>
      <c r="VQ271" s="55">
        <f t="shared" si="1937"/>
        <v>46252</v>
      </c>
      <c r="VR271" s="56"/>
      <c r="VS271" s="242">
        <f>SUMPRODUCT(PRODUCE!$B272:$DY272,PRODUCE!$EB$57:$IY$57)</f>
        <v>0</v>
      </c>
      <c r="VT271" s="56"/>
      <c r="VU271" s="242">
        <f t="shared" si="1938"/>
        <v>0</v>
      </c>
      <c r="VV271" s="242">
        <f t="shared" si="1939"/>
        <v>0</v>
      </c>
      <c r="VW271" s="56"/>
      <c r="VZ271" s="55">
        <f t="shared" si="1940"/>
        <v>46252</v>
      </c>
      <c r="WA271" s="56"/>
      <c r="WB271" s="242">
        <f>SUMPRODUCT(PRODUCE!$B272:$DY272,PRODUCE!$EB$57:$IY$57)</f>
        <v>0</v>
      </c>
      <c r="WC271" s="56"/>
      <c r="WD271" s="242">
        <f t="shared" si="1941"/>
        <v>0</v>
      </c>
      <c r="WE271" s="242">
        <f t="shared" si="1942"/>
        <v>0</v>
      </c>
      <c r="WF271" s="56"/>
      <c r="WI271" s="55">
        <f t="shared" si="1943"/>
        <v>46252</v>
      </c>
      <c r="WJ271" s="56"/>
      <c r="WK271" s="242">
        <f>SUMPRODUCT(PRODUCE!$B272:$DY272,PRODUCE!$EB$57:$IY$57)</f>
        <v>0</v>
      </c>
      <c r="WL271" s="56"/>
      <c r="WM271" s="242">
        <f t="shared" si="1944"/>
        <v>0</v>
      </c>
      <c r="WN271" s="242">
        <f t="shared" si="1945"/>
        <v>1057</v>
      </c>
      <c r="WO271" s="56"/>
      <c r="WR271" s="55">
        <f t="shared" si="1946"/>
        <v>46252</v>
      </c>
      <c r="WS271" s="56"/>
      <c r="WT271" s="242">
        <f>SUMPRODUCT(PRODUCE!$B272:$DY272,PRODUCE!$EB$57:$IY$57)</f>
        <v>0</v>
      </c>
      <c r="WU271" s="56"/>
      <c r="WV271" s="242">
        <f t="shared" si="1947"/>
        <v>0</v>
      </c>
      <c r="WW271" s="242">
        <f t="shared" si="1948"/>
        <v>0</v>
      </c>
      <c r="WX271" s="56"/>
      <c r="XA271" s="55">
        <f t="shared" si="1949"/>
        <v>46252</v>
      </c>
      <c r="XB271" s="56"/>
      <c r="XC271" s="242">
        <f>SUMPRODUCT(PRODUCE!$B272:$DY272,PRODUCE!$EB$57:$IY$57)</f>
        <v>0</v>
      </c>
      <c r="XD271" s="56"/>
      <c r="XE271" s="242">
        <f t="shared" si="1950"/>
        <v>0</v>
      </c>
      <c r="XF271" s="242">
        <f t="shared" si="1951"/>
        <v>7507</v>
      </c>
      <c r="XG271" s="56"/>
      <c r="XJ271" s="55">
        <f t="shared" si="1952"/>
        <v>46252</v>
      </c>
      <c r="XK271" s="56"/>
      <c r="XL271" s="242">
        <f>SUMPRODUCT(PRODUCE!$B272:$DY272,PRODUCE!$EB$57:$IY$57)</f>
        <v>0</v>
      </c>
      <c r="XM271" s="56"/>
      <c r="XN271" s="242">
        <f t="shared" si="1953"/>
        <v>0</v>
      </c>
      <c r="XO271" s="242">
        <f t="shared" si="1954"/>
        <v>4252</v>
      </c>
      <c r="XP271" s="56"/>
      <c r="XS271" s="55">
        <f t="shared" si="1955"/>
        <v>46252</v>
      </c>
      <c r="XT271" s="56"/>
      <c r="XU271" s="242">
        <f>SUMPRODUCT(PRODUCE!$B272:$DY272,PRODUCE!$EB$57:$IY$57)</f>
        <v>0</v>
      </c>
      <c r="XV271" s="56"/>
      <c r="XW271" s="242">
        <f t="shared" si="1956"/>
        <v>0</v>
      </c>
      <c r="XX271" s="242">
        <f t="shared" si="1957"/>
        <v>2179</v>
      </c>
      <c r="XY271" s="56"/>
      <c r="YB271" s="55">
        <f t="shared" si="1958"/>
        <v>46252</v>
      </c>
      <c r="YC271" s="56"/>
      <c r="YD271" s="242">
        <f>SUMPRODUCT(PRODUCE!$B272:$DY272,PRODUCE!$EB$57:$IY$57)</f>
        <v>0</v>
      </c>
      <c r="YE271" s="56"/>
      <c r="YF271" s="242">
        <f t="shared" si="1959"/>
        <v>0</v>
      </c>
      <c r="YG271" s="242">
        <f t="shared" si="1960"/>
        <v>4019</v>
      </c>
      <c r="YH271" s="56"/>
      <c r="YK271" s="55">
        <f t="shared" si="1961"/>
        <v>46252</v>
      </c>
      <c r="YL271" s="56"/>
      <c r="YM271" s="242">
        <f>SUMPRODUCT(PRODUCE!$B272:$DY272,PRODUCE!$EB$57:$IY$57)</f>
        <v>0</v>
      </c>
      <c r="YN271" s="56"/>
      <c r="YO271" s="242">
        <f t="shared" si="1962"/>
        <v>0</v>
      </c>
      <c r="YP271" s="242">
        <f t="shared" si="1963"/>
        <v>-218</v>
      </c>
      <c r="YQ271" s="56"/>
      <c r="YT271" s="55">
        <f t="shared" si="1964"/>
        <v>46252</v>
      </c>
      <c r="YU271" s="56"/>
      <c r="YV271" s="242">
        <f>SUMPRODUCT(PRODUCE!$B272:$DY272,PRODUCE!$EB$57:$IY$57)</f>
        <v>0</v>
      </c>
      <c r="YW271" s="56"/>
      <c r="YX271" s="242">
        <f t="shared" si="1965"/>
        <v>0</v>
      </c>
      <c r="YY271" s="242">
        <f t="shared" si="1966"/>
        <v>0</v>
      </c>
      <c r="YZ271" s="56"/>
      <c r="ZC271" s="55">
        <f t="shared" si="1967"/>
        <v>46252</v>
      </c>
      <c r="ZD271" s="56"/>
      <c r="ZE271" s="242">
        <f>SUMPRODUCT(PRODUCE!$B272:$DY272,PRODUCE!$EB$57:$IY$57)</f>
        <v>0</v>
      </c>
      <c r="ZF271" s="56"/>
      <c r="ZG271" s="242">
        <f t="shared" si="1968"/>
        <v>0</v>
      </c>
      <c r="ZH271" s="242">
        <f t="shared" si="1969"/>
        <v>0</v>
      </c>
      <c r="ZI271" s="56"/>
      <c r="ZL271" s="55">
        <f t="shared" si="1970"/>
        <v>46252</v>
      </c>
      <c r="ZM271" s="56"/>
      <c r="ZN271" s="242">
        <f>SUMPRODUCT(PRODUCE!$B272:$DY272,PRODUCE!$EB$57:$IY$57)</f>
        <v>0</v>
      </c>
      <c r="ZO271" s="56"/>
      <c r="ZP271" s="242">
        <f t="shared" si="1971"/>
        <v>0</v>
      </c>
      <c r="ZQ271" s="242">
        <f t="shared" si="1972"/>
        <v>0</v>
      </c>
      <c r="ZR271" s="56"/>
      <c r="ZU271" s="55">
        <f t="shared" si="1973"/>
        <v>46252</v>
      </c>
      <c r="ZV271" s="56"/>
      <c r="ZW271" s="242">
        <f>SUMPRODUCT(PRODUCE!$B272:$DY272,PRODUCE!$EB$57:$IY$57)</f>
        <v>0</v>
      </c>
      <c r="ZX271" s="56"/>
      <c r="ZY271" s="242">
        <f t="shared" si="1974"/>
        <v>0</v>
      </c>
      <c r="ZZ271" s="242">
        <f t="shared" si="1975"/>
        <v>0</v>
      </c>
      <c r="AAA271" s="56"/>
      <c r="AAD271" s="55">
        <f t="shared" si="1976"/>
        <v>46252</v>
      </c>
      <c r="AAE271" s="56"/>
      <c r="AAF271" s="242">
        <f>SUMPRODUCT(PRODUCE!$B272:$DY272,PRODUCE!$EB$57:$IY$57)</f>
        <v>0</v>
      </c>
      <c r="AAG271" s="56"/>
      <c r="AAH271" s="242">
        <f t="shared" si="1977"/>
        <v>0</v>
      </c>
      <c r="AAI271" s="242">
        <f t="shared" si="1978"/>
        <v>0</v>
      </c>
      <c r="AAJ271" s="56"/>
      <c r="AAM271" s="55">
        <f t="shared" si="1979"/>
        <v>46252</v>
      </c>
      <c r="AAN271" s="56"/>
      <c r="AAO271" s="242">
        <f>SUMPRODUCT(PRODUCE!$B272:$DY272,PRODUCE!$EB$57:$IY$57)</f>
        <v>0</v>
      </c>
      <c r="AAP271" s="56"/>
      <c r="AAQ271" s="242">
        <f t="shared" si="1980"/>
        <v>0</v>
      </c>
      <c r="AAR271" s="242">
        <f t="shared" si="1981"/>
        <v>0</v>
      </c>
      <c r="AAS271" s="56"/>
      <c r="AAV271" s="55">
        <f t="shared" si="1982"/>
        <v>46252</v>
      </c>
      <c r="AAW271" s="56"/>
      <c r="AAX271" s="242">
        <f>SUMPRODUCT(PRODUCE!$B272:$DY272,PRODUCE!$EB$57:$IY$57)</f>
        <v>0</v>
      </c>
      <c r="AAY271" s="56"/>
      <c r="AAZ271" s="242">
        <f t="shared" si="1983"/>
        <v>0</v>
      </c>
      <c r="ABA271" s="242">
        <f t="shared" si="1984"/>
        <v>0</v>
      </c>
      <c r="ABB271" s="56"/>
      <c r="ABE271" s="55">
        <f t="shared" si="1985"/>
        <v>46252</v>
      </c>
      <c r="ABF271" s="56"/>
      <c r="ABG271" s="242">
        <f>SUMPRODUCT(PRODUCE!$B272:$DY272,PRODUCE!$EB$57:$IY$57)</f>
        <v>0</v>
      </c>
      <c r="ABH271" s="56"/>
      <c r="ABI271" s="242">
        <f t="shared" si="1986"/>
        <v>0</v>
      </c>
      <c r="ABJ271" s="242">
        <f t="shared" si="1987"/>
        <v>0</v>
      </c>
      <c r="ABK271" s="56"/>
    </row>
    <row r="272" spans="2:739" s="54" customFormat="1" ht="15" customHeight="1" outlineLevel="1">
      <c r="B272" s="478"/>
      <c r="C272" s="55">
        <v>46253</v>
      </c>
      <c r="D272" s="56"/>
      <c r="E272" s="57">
        <f>SUMPRODUCT(PRODUCE!$B273:$DY273,PRODUCE!$EB$7:$IY$7)</f>
        <v>19476</v>
      </c>
      <c r="F272" s="56"/>
      <c r="G272" s="57">
        <f t="shared" si="1743"/>
        <v>19476</v>
      </c>
      <c r="H272" s="57">
        <f t="shared" si="1744"/>
        <v>236936.6</v>
      </c>
      <c r="I272" s="289"/>
      <c r="L272" s="55">
        <f t="shared" si="1745"/>
        <v>46253</v>
      </c>
      <c r="M272" s="56"/>
      <c r="N272" s="59">
        <f>SUMPRODUCT(PRODUCE!$B273:$DY273,PRODUCE!$EB$8:$IY$8)</f>
        <v>4846.5</v>
      </c>
      <c r="O272" s="56"/>
      <c r="P272" s="59">
        <f t="shared" si="1746"/>
        <v>4846.5</v>
      </c>
      <c r="Q272" s="59">
        <f t="shared" si="1747"/>
        <v>53017.600000000071</v>
      </c>
      <c r="R272" s="56"/>
      <c r="U272" s="55">
        <f t="shared" si="1748"/>
        <v>46253</v>
      </c>
      <c r="V272" s="56"/>
      <c r="W272" s="60">
        <f>SUMPRODUCT(PRODUCE!$B273:$DY273,PRODUCE!$EB$9:$IY$9)</f>
        <v>2250</v>
      </c>
      <c r="X272" s="56"/>
      <c r="Y272" s="60">
        <f t="shared" si="1749"/>
        <v>2250</v>
      </c>
      <c r="Z272" s="60">
        <f t="shared" si="1750"/>
        <v>42674.199999999968</v>
      </c>
      <c r="AA272" s="56"/>
      <c r="AD272" s="55">
        <f t="shared" si="1751"/>
        <v>46253</v>
      </c>
      <c r="AE272" s="56"/>
      <c r="AF272" s="61">
        <f>SUMPRODUCT(PRODUCE!$B273:$DY273,PRODUCE!$EB$10:$IY$10)</f>
        <v>0</v>
      </c>
      <c r="AG272" s="56"/>
      <c r="AH272" s="61">
        <f t="shared" si="1752"/>
        <v>0</v>
      </c>
      <c r="AI272" s="61">
        <f t="shared" si="1753"/>
        <v>4522.2000000000189</v>
      </c>
      <c r="AJ272" s="56"/>
      <c r="AM272" s="55">
        <f t="shared" si="1754"/>
        <v>46253</v>
      </c>
      <c r="AN272" s="422"/>
      <c r="AO272" s="444">
        <f>SUMPRODUCT(PRODUCE!$B273:$DY273,PRODUCE!$EB$11:$IY$11)</f>
        <v>0</v>
      </c>
      <c r="AP272" s="422"/>
      <c r="AQ272" s="444">
        <f t="shared" si="1755"/>
        <v>0</v>
      </c>
      <c r="AR272" s="444">
        <f t="shared" si="1756"/>
        <v>0</v>
      </c>
      <c r="AS272" s="56"/>
      <c r="AV272" s="55">
        <f t="shared" si="1757"/>
        <v>46253</v>
      </c>
      <c r="AW272" s="56"/>
      <c r="AX272" s="62">
        <f>SUMPRODUCT(PRODUCE!$B273:$DY273,PRODUCE!$EB$12:$IY$12)</f>
        <v>450</v>
      </c>
      <c r="AY272" s="56"/>
      <c r="AZ272" s="62">
        <f t="shared" si="1758"/>
        <v>450</v>
      </c>
      <c r="BA272" s="62">
        <f t="shared" si="1759"/>
        <v>124.99999999999523</v>
      </c>
      <c r="BB272" s="56"/>
      <c r="BE272" s="55">
        <f t="shared" si="1760"/>
        <v>46253</v>
      </c>
      <c r="BF272" s="56"/>
      <c r="BG272" s="63">
        <f>SUMPRODUCT(PRODUCE!$B273:$DY273,PRODUCE!$EB$13:$IY$13)</f>
        <v>600</v>
      </c>
      <c r="BH272" s="56"/>
      <c r="BI272" s="63">
        <f t="shared" si="1761"/>
        <v>600</v>
      </c>
      <c r="BJ272" s="63">
        <f t="shared" si="1762"/>
        <v>26151.899999999998</v>
      </c>
      <c r="BK272" s="56"/>
      <c r="BN272" s="55">
        <f t="shared" si="1763"/>
        <v>46253</v>
      </c>
      <c r="BO272" s="56"/>
      <c r="BP272" s="64">
        <f>SUMPRODUCT(PRODUCE!$B273:$DY273,PRODUCE!$EB$14:$IY$14)</f>
        <v>810.00000000000011</v>
      </c>
      <c r="BQ272" s="56"/>
      <c r="BR272" s="64">
        <f t="shared" si="1764"/>
        <v>810.00000000000011</v>
      </c>
      <c r="BS272" s="64">
        <f t="shared" si="1765"/>
        <v>0</v>
      </c>
      <c r="BT272" s="56"/>
      <c r="BW272" s="55">
        <f t="shared" si="1766"/>
        <v>46253</v>
      </c>
      <c r="BX272" s="56"/>
      <c r="BY272" s="65">
        <f>SUMPRODUCT(PRODUCE!$B273:$DY273,PRODUCE!$EB$15:$IY$15)</f>
        <v>0</v>
      </c>
      <c r="BZ272" s="56"/>
      <c r="CA272" s="65">
        <f t="shared" si="1767"/>
        <v>0</v>
      </c>
      <c r="CB272" s="65">
        <f t="shared" si="1768"/>
        <v>2097.3399999999992</v>
      </c>
      <c r="CC272" s="56"/>
      <c r="CF272" s="55">
        <f t="shared" si="1769"/>
        <v>46253</v>
      </c>
      <c r="CG272" s="56"/>
      <c r="CH272" s="66">
        <f>SUMPRODUCT(PRODUCE!$B273:$DY273,PRODUCE!$EB$16:$IY$16)</f>
        <v>7.5</v>
      </c>
      <c r="CI272" s="56"/>
      <c r="CJ272" s="66">
        <f t="shared" si="1770"/>
        <v>7.5</v>
      </c>
      <c r="CK272" s="66">
        <f t="shared" si="1771"/>
        <v>-10277.079999999998</v>
      </c>
      <c r="CL272" s="56"/>
      <c r="CO272" s="55">
        <f t="shared" si="1772"/>
        <v>46253</v>
      </c>
      <c r="CP272" s="422"/>
      <c r="CQ272" s="470">
        <f>SUMPRODUCT(PRODUCE!$B273:$DY273,PRODUCE!$EB$17:$IY$17)</f>
        <v>0</v>
      </c>
      <c r="CR272" s="422"/>
      <c r="CS272" s="470">
        <f t="shared" si="1773"/>
        <v>0</v>
      </c>
      <c r="CT272" s="470">
        <f t="shared" si="1774"/>
        <v>0</v>
      </c>
      <c r="CU272" s="56"/>
      <c r="CX272" s="55">
        <f t="shared" si="1775"/>
        <v>46253</v>
      </c>
      <c r="CY272" s="56"/>
      <c r="CZ272" s="133">
        <f>SUMPRODUCT(PRODUCE!$B273:$DY273,PRODUCE!$EB$18:$IY$18)</f>
        <v>0</v>
      </c>
      <c r="DA272" s="56"/>
      <c r="DB272" s="133">
        <f t="shared" si="1776"/>
        <v>0</v>
      </c>
      <c r="DC272" s="133">
        <f t="shared" si="1777"/>
        <v>27438.200000000012</v>
      </c>
      <c r="DD272" s="56"/>
      <c r="DG272" s="55">
        <f t="shared" si="1778"/>
        <v>46253</v>
      </c>
      <c r="DH272" s="56"/>
      <c r="DI272" s="147">
        <f>SUMPRODUCT(PRODUCE!$B273:$DY273,PRODUCE!$EB$19:$IY$19)</f>
        <v>900</v>
      </c>
      <c r="DJ272" s="56"/>
      <c r="DK272" s="147">
        <f t="shared" si="1779"/>
        <v>900</v>
      </c>
      <c r="DL272" s="147">
        <f t="shared" si="1780"/>
        <v>18782.299999999981</v>
      </c>
      <c r="DM272" s="56"/>
      <c r="DP272" s="55">
        <f t="shared" si="1781"/>
        <v>46253</v>
      </c>
      <c r="DQ272" s="56"/>
      <c r="DR272" s="57">
        <f>SUMPRODUCT(PRODUCE!$B273:$DY273,PRODUCE!$EB$20:$IY$20)</f>
        <v>0</v>
      </c>
      <c r="DS272" s="56"/>
      <c r="DT272" s="57">
        <f t="shared" si="1782"/>
        <v>0</v>
      </c>
      <c r="DU272" s="57">
        <f t="shared" si="1783"/>
        <v>5800</v>
      </c>
      <c r="DV272" s="56"/>
      <c r="DY272" s="55">
        <f t="shared" si="1784"/>
        <v>46253</v>
      </c>
      <c r="DZ272" s="56"/>
      <c r="EA272" s="157">
        <f>SUMPRODUCT(PRODUCE!$B273:$DY273,PRODUCE!$EB$21:$IY$21)</f>
        <v>0</v>
      </c>
      <c r="EB272" s="56"/>
      <c r="EC272" s="157">
        <f t="shared" si="1785"/>
        <v>0</v>
      </c>
      <c r="ED272" s="157">
        <f t="shared" si="1786"/>
        <v>0</v>
      </c>
      <c r="EE272" s="56"/>
      <c r="EH272" s="55">
        <f t="shared" si="1787"/>
        <v>46253</v>
      </c>
      <c r="EI272" s="56"/>
      <c r="EJ272" s="162">
        <f>SUMPRODUCT(PRODUCE!$B273:$DY273,PRODUCE!$EB$22:$IY$22)</f>
        <v>0</v>
      </c>
      <c r="EK272" s="56"/>
      <c r="EL272" s="162">
        <f t="shared" si="1788"/>
        <v>0</v>
      </c>
      <c r="EM272" s="162">
        <f t="shared" si="1789"/>
        <v>0</v>
      </c>
      <c r="EN272" s="56"/>
      <c r="EQ272" s="55">
        <f t="shared" si="1790"/>
        <v>46253</v>
      </c>
      <c r="ER272" s="56"/>
      <c r="ES272" s="135">
        <f>SUMPRODUCT(PRODUCE!$B273:$DY273,PRODUCE!$EB$23:$IY$23)</f>
        <v>0</v>
      </c>
      <c r="ET272" s="56"/>
      <c r="EU272" s="135">
        <f t="shared" si="1791"/>
        <v>0</v>
      </c>
      <c r="EV272" s="135">
        <f t="shared" si="1792"/>
        <v>0</v>
      </c>
      <c r="EW272" s="56"/>
      <c r="EZ272" s="55">
        <f t="shared" si="1793"/>
        <v>46253</v>
      </c>
      <c r="FA272" s="56"/>
      <c r="FB272" s="175">
        <f>SUMPRODUCT(PRODUCE!$B273:$DY273,PRODUCE!$EB$24:$IY$24)</f>
        <v>0</v>
      </c>
      <c r="FC272" s="56"/>
      <c r="FD272" s="175">
        <f t="shared" si="1794"/>
        <v>0</v>
      </c>
      <c r="FE272" s="175">
        <f t="shared" si="1795"/>
        <v>0</v>
      </c>
      <c r="FF272" s="56"/>
      <c r="FI272" s="55">
        <f t="shared" si="1796"/>
        <v>46253</v>
      </c>
      <c r="FJ272" s="56"/>
      <c r="FK272" s="183">
        <f>SUMPRODUCT(PRODUCE!$B273:$DY273,PRODUCE!$EB$25:$IY$25)</f>
        <v>0</v>
      </c>
      <c r="FL272" s="56"/>
      <c r="FM272" s="183">
        <f t="shared" si="1797"/>
        <v>0</v>
      </c>
      <c r="FN272" s="183">
        <f t="shared" si="1798"/>
        <v>0</v>
      </c>
      <c r="FO272" s="56"/>
      <c r="FR272" s="55">
        <f t="shared" si="1799"/>
        <v>46253</v>
      </c>
      <c r="FS272" s="56"/>
      <c r="FT272" s="186">
        <f>SUMPRODUCT(PRODUCE!$B273:$DY273,PRODUCE!$EB$26:$IY$26)</f>
        <v>0</v>
      </c>
      <c r="FU272" s="56"/>
      <c r="FV272" s="186">
        <f t="shared" si="1800"/>
        <v>0</v>
      </c>
      <c r="FW272" s="186">
        <f t="shared" si="1801"/>
        <v>2020</v>
      </c>
      <c r="FX272" s="56"/>
      <c r="GA272" s="55">
        <f t="shared" si="1802"/>
        <v>46253</v>
      </c>
      <c r="GB272" s="56"/>
      <c r="GC272" s="137">
        <f>SUMPRODUCT(PRODUCE!$B273:$DY273,PRODUCE!$EB$27:$IY$27)</f>
        <v>0</v>
      </c>
      <c r="GD272" s="56"/>
      <c r="GE272" s="137">
        <f t="shared" si="1803"/>
        <v>0</v>
      </c>
      <c r="GF272" s="137">
        <f t="shared" si="1804"/>
        <v>960</v>
      </c>
      <c r="GG272" s="56"/>
      <c r="GI272" s="23"/>
      <c r="GJ272" s="55">
        <f t="shared" si="1805"/>
        <v>46253</v>
      </c>
      <c r="GK272" s="56"/>
      <c r="GL272" s="199">
        <f>SUMPRODUCT(PRODUCE!$B273:$DY273,PRODUCE!$EB$28:$IY$28)</f>
        <v>600</v>
      </c>
      <c r="GM272" s="56"/>
      <c r="GN272" s="199">
        <f t="shared" si="1806"/>
        <v>600</v>
      </c>
      <c r="GO272" s="199">
        <f t="shared" si="1807"/>
        <v>1760</v>
      </c>
      <c r="GP272" s="56"/>
      <c r="GS272" s="55">
        <f t="shared" si="1808"/>
        <v>46253</v>
      </c>
      <c r="GT272" s="56"/>
      <c r="GU272" s="195">
        <f>SUMPRODUCT(PRODUCE!$B273:$DY273,PRODUCE!$EB$29:$IY$29)</f>
        <v>0</v>
      </c>
      <c r="GV272" s="56"/>
      <c r="GW272" s="195">
        <f t="shared" si="1809"/>
        <v>0</v>
      </c>
      <c r="GX272" s="195">
        <f t="shared" si="1810"/>
        <v>400</v>
      </c>
      <c r="GY272" s="56"/>
      <c r="HB272" s="55">
        <f t="shared" si="1811"/>
        <v>46253</v>
      </c>
      <c r="HC272" s="56"/>
      <c r="HD272" s="191">
        <f>SUMPRODUCT(PRODUCE!$B273:$DY273,PRODUCE!$EB$30:$IY$30)</f>
        <v>0</v>
      </c>
      <c r="HE272" s="56"/>
      <c r="HF272" s="191">
        <f t="shared" si="1812"/>
        <v>0</v>
      </c>
      <c r="HG272" s="191">
        <f t="shared" si="1813"/>
        <v>3600</v>
      </c>
      <c r="HH272" s="56"/>
      <c r="HK272" s="55">
        <f t="shared" si="1814"/>
        <v>46253</v>
      </c>
      <c r="HL272" s="56"/>
      <c r="HM272" s="63">
        <f>SUMPRODUCT(PRODUCE!$B273:$DY273,PRODUCE!$EB$31:$IY$31)</f>
        <v>0</v>
      </c>
      <c r="HN272" s="56"/>
      <c r="HO272" s="63">
        <f t="shared" si="1815"/>
        <v>0</v>
      </c>
      <c r="HP272" s="63">
        <f t="shared" si="1816"/>
        <v>0</v>
      </c>
      <c r="HQ272" s="56"/>
      <c r="HT272" s="54" t="s">
        <v>304</v>
      </c>
      <c r="HU272" s="55">
        <f t="shared" si="1817"/>
        <v>46253</v>
      </c>
      <c r="HV272" s="56"/>
      <c r="HW272" s="242">
        <f>SUMPRODUCT(PRODUCE!$B273:$DY273,PRODUCE!$EB$32:$IY$32)</f>
        <v>0</v>
      </c>
      <c r="HX272" s="56"/>
      <c r="HY272" s="242">
        <f t="shared" si="1818"/>
        <v>0</v>
      </c>
      <c r="HZ272" s="242">
        <f t="shared" si="1819"/>
        <v>6120</v>
      </c>
      <c r="IA272" s="56"/>
      <c r="ID272" s="55">
        <f t="shared" si="1820"/>
        <v>46253</v>
      </c>
      <c r="IE272" s="56"/>
      <c r="IF272" s="242">
        <f>SUMPRODUCT(PRODUCE!$B273:$DY273,PRODUCE!$EB$33:$IY$33)</f>
        <v>0</v>
      </c>
      <c r="IG272" s="56"/>
      <c r="IH272" s="242">
        <f t="shared" si="1821"/>
        <v>0</v>
      </c>
      <c r="II272" s="242">
        <f t="shared" si="1822"/>
        <v>60</v>
      </c>
      <c r="IJ272" s="56"/>
      <c r="IM272" s="55">
        <f t="shared" si="1823"/>
        <v>46253</v>
      </c>
      <c r="IN272" s="56"/>
      <c r="IO272" s="242">
        <f>SUMPRODUCT(PRODUCE!$B273:$DY273,PRODUCE!$EB$34:$IY$34)</f>
        <v>0</v>
      </c>
      <c r="IP272" s="56"/>
      <c r="IQ272" s="242">
        <f t="shared" si="1824"/>
        <v>0</v>
      </c>
      <c r="IR272" s="242">
        <f t="shared" si="1825"/>
        <v>0</v>
      </c>
      <c r="IS272" s="56"/>
      <c r="IV272" s="55">
        <f t="shared" si="1826"/>
        <v>46253</v>
      </c>
      <c r="IW272" s="56"/>
      <c r="IX272" s="242">
        <f>SUMPRODUCT(PRODUCE!$B273:$DY273,PRODUCE!$EB$35:$IY$35)</f>
        <v>0</v>
      </c>
      <c r="IY272" s="56">
        <v>140</v>
      </c>
      <c r="IZ272" s="242">
        <f t="shared" si="1827"/>
        <v>-140</v>
      </c>
      <c r="JA272" s="242">
        <f t="shared" si="1828"/>
        <v>2820</v>
      </c>
      <c r="JB272" s="56">
        <f>IY272/20</f>
        <v>7</v>
      </c>
      <c r="JE272" s="55">
        <f t="shared" si="1829"/>
        <v>46253</v>
      </c>
      <c r="JF272" s="56"/>
      <c r="JG272" s="242">
        <f>SUMPRODUCT(PRODUCE!$B273:$DY273,PRODUCE!$EB$36:$IY$36)</f>
        <v>0</v>
      </c>
      <c r="JH272" s="56"/>
      <c r="JI272" s="242">
        <f t="shared" si="1830"/>
        <v>0</v>
      </c>
      <c r="JJ272" s="242">
        <f t="shared" si="1831"/>
        <v>0</v>
      </c>
      <c r="JK272" s="56"/>
      <c r="JN272" s="55">
        <f t="shared" si="1832"/>
        <v>46253</v>
      </c>
      <c r="JO272" s="56"/>
      <c r="JP272" s="242">
        <f>SUMPRODUCT(PRODUCE!$B273:$DY273,PRODUCE!$EB$37:$IY$37)</f>
        <v>0</v>
      </c>
      <c r="JQ272" s="56"/>
      <c r="JR272" s="242">
        <f t="shared" si="1833"/>
        <v>0</v>
      </c>
      <c r="JS272" s="242">
        <f t="shared" si="1834"/>
        <v>0</v>
      </c>
      <c r="JT272" s="56"/>
      <c r="JW272" s="55">
        <f t="shared" si="1835"/>
        <v>46253</v>
      </c>
      <c r="JX272" s="56"/>
      <c r="JY272" s="242">
        <f>SUMPRODUCT(PRODUCE!$B273:$DY273,PRODUCE!$EB$38:$IY$38)</f>
        <v>0</v>
      </c>
      <c r="JZ272" s="56"/>
      <c r="KA272" s="242">
        <f t="shared" si="1836"/>
        <v>0</v>
      </c>
      <c r="KB272" s="242">
        <f t="shared" si="1837"/>
        <v>2540</v>
      </c>
      <c r="KC272" s="56"/>
      <c r="KF272" s="55">
        <f t="shared" si="1838"/>
        <v>46253</v>
      </c>
      <c r="KG272" s="56"/>
      <c r="KH272" s="242">
        <f>SUMPRODUCT(PRODUCE!$B273:$DY273,PRODUCE!$EB$39:$IY$39)</f>
        <v>0</v>
      </c>
      <c r="KI272" s="56"/>
      <c r="KJ272" s="242">
        <f t="shared" si="1839"/>
        <v>0</v>
      </c>
      <c r="KK272" s="242">
        <f t="shared" si="1840"/>
        <v>2359.5</v>
      </c>
      <c r="KL272" s="56"/>
      <c r="KO272" s="55">
        <f t="shared" si="1841"/>
        <v>46253</v>
      </c>
      <c r="KP272" s="56"/>
      <c r="KQ272" s="242">
        <f>SUMPRODUCT(PRODUCE!$B273:$DY273,PRODUCE!$EB$40:$IY$40)</f>
        <v>0</v>
      </c>
      <c r="KR272" s="56"/>
      <c r="KS272" s="242">
        <f t="shared" si="1842"/>
        <v>0</v>
      </c>
      <c r="KT272" s="242">
        <f t="shared" si="1843"/>
        <v>1890</v>
      </c>
      <c r="KU272" s="56"/>
      <c r="KW272" s="23"/>
      <c r="KX272" s="55">
        <f t="shared" si="1844"/>
        <v>46253</v>
      </c>
      <c r="KY272" s="56"/>
      <c r="KZ272" s="242">
        <f>SUMPRODUCT(PRODUCE!$B273:$DY273,PRODUCE!$EB$41:$IY$41)</f>
        <v>0</v>
      </c>
      <c r="LA272" s="56"/>
      <c r="LB272" s="242">
        <f t="shared" si="1845"/>
        <v>0</v>
      </c>
      <c r="LC272" s="242">
        <f t="shared" si="1846"/>
        <v>3690</v>
      </c>
      <c r="LD272" s="56"/>
      <c r="LG272" s="55">
        <f t="shared" si="1847"/>
        <v>46253</v>
      </c>
      <c r="LH272" s="56"/>
      <c r="LI272" s="242">
        <f>SUMPRODUCT(PRODUCE!$B273:$DY273,PRODUCE!$EB$42:$IY$42)</f>
        <v>0</v>
      </c>
      <c r="LJ272" s="56"/>
      <c r="LK272" s="242">
        <f t="shared" si="1848"/>
        <v>0</v>
      </c>
      <c r="LL272" s="242">
        <f t="shared" si="1849"/>
        <v>4000</v>
      </c>
      <c r="LM272" s="56"/>
      <c r="LP272" s="55">
        <f t="shared" si="1850"/>
        <v>46253</v>
      </c>
      <c r="LQ272" s="56"/>
      <c r="LR272" s="242">
        <f>SUMPRODUCT(PRODUCE!$B287:$DY287,PRODUCE!$EB$43:$IY$43)</f>
        <v>0</v>
      </c>
      <c r="LS272" s="56"/>
      <c r="LT272" s="242">
        <f t="shared" si="1851"/>
        <v>0</v>
      </c>
      <c r="LU272" s="242">
        <f t="shared" si="1852"/>
        <v>0</v>
      </c>
      <c r="LV272" s="56"/>
      <c r="LY272" s="55">
        <f t="shared" si="1853"/>
        <v>46253</v>
      </c>
      <c r="LZ272" s="56"/>
      <c r="MA272" s="242">
        <f>SUMPRODUCT(PRODUCE!$B273:$DY273,PRODUCE!$EB$44:$IY$44)</f>
        <v>0</v>
      </c>
      <c r="MB272" s="56"/>
      <c r="MC272" s="242">
        <f t="shared" si="1854"/>
        <v>0</v>
      </c>
      <c r="MD272" s="242">
        <f t="shared" si="1855"/>
        <v>0</v>
      </c>
      <c r="ME272" s="56"/>
      <c r="MH272" s="55">
        <f t="shared" si="1856"/>
        <v>46253</v>
      </c>
      <c r="MI272" s="56"/>
      <c r="MJ272" s="242">
        <f>SUMPRODUCT(PRODUCE!$B273:$DY273,PRODUCE!$EB$45:$IY$45)</f>
        <v>0</v>
      </c>
      <c r="MK272" s="56"/>
      <c r="ML272" s="242">
        <f t="shared" si="1857"/>
        <v>0</v>
      </c>
      <c r="MM272" s="242">
        <f t="shared" si="1858"/>
        <v>0</v>
      </c>
      <c r="MN272" s="56"/>
      <c r="MQ272" s="55">
        <f t="shared" si="1859"/>
        <v>46253</v>
      </c>
      <c r="MR272" s="56"/>
      <c r="MS272" s="242">
        <f>SUMPRODUCT(PRODUCE!$B273:$DY273,PRODUCE!$EB$46:$IY$46)</f>
        <v>0</v>
      </c>
      <c r="MT272" s="56"/>
      <c r="MU272" s="242">
        <f t="shared" si="1860"/>
        <v>0</v>
      </c>
      <c r="MV272" s="242">
        <f t="shared" si="1861"/>
        <v>1625</v>
      </c>
      <c r="MW272" s="56"/>
      <c r="MZ272" s="55">
        <f t="shared" si="1862"/>
        <v>46253</v>
      </c>
      <c r="NA272" s="56"/>
      <c r="NB272" s="242">
        <f>SUMPRODUCT(PRODUCE!$B273:$DY273,PRODUCE!$EB$47:$IY$47)</f>
        <v>0</v>
      </c>
      <c r="NC272" s="56"/>
      <c r="ND272" s="242">
        <f t="shared" si="1863"/>
        <v>0</v>
      </c>
      <c r="NE272" s="242">
        <f t="shared" si="1864"/>
        <v>0</v>
      </c>
      <c r="NF272" s="56"/>
      <c r="NI272" s="55">
        <f t="shared" si="1865"/>
        <v>46253</v>
      </c>
      <c r="NJ272" s="56"/>
      <c r="NK272" s="242">
        <f>SUMPRODUCT(PRODUCE!$B273:$DY273,PRODUCE!$EB$48:$IY$48)</f>
        <v>0</v>
      </c>
      <c r="NL272" s="56"/>
      <c r="NM272" s="242">
        <f t="shared" si="1866"/>
        <v>0</v>
      </c>
      <c r="NN272" s="242">
        <f t="shared" si="1867"/>
        <v>1127</v>
      </c>
      <c r="NO272" s="56"/>
      <c r="NR272" s="55">
        <f t="shared" si="1868"/>
        <v>46253</v>
      </c>
      <c r="NS272" s="56"/>
      <c r="NT272" s="242">
        <f>SUMPRODUCT(PRODUCE!$B273:$DY273,PRODUCE!$EB$49:$IY$49)</f>
        <v>0</v>
      </c>
      <c r="NU272" s="56"/>
      <c r="NV272" s="242">
        <f t="shared" si="1869"/>
        <v>0</v>
      </c>
      <c r="NW272" s="242">
        <f t="shared" si="1870"/>
        <v>3111.9999999999995</v>
      </c>
      <c r="NX272" s="56"/>
      <c r="OA272" s="55">
        <f t="shared" si="1871"/>
        <v>46253</v>
      </c>
      <c r="OB272" s="56"/>
      <c r="OC272" s="242">
        <f>SUMPRODUCT(PRODUCE!$B273:$DY273,PRODUCE!$EB$50:$IY$50)</f>
        <v>0</v>
      </c>
      <c r="OD272" s="56"/>
      <c r="OE272" s="242">
        <f t="shared" si="1872"/>
        <v>0</v>
      </c>
      <c r="OF272" s="242">
        <f t="shared" si="1873"/>
        <v>1680.5</v>
      </c>
      <c r="OG272" s="56"/>
      <c r="OJ272" s="55">
        <f t="shared" si="1874"/>
        <v>46253</v>
      </c>
      <c r="OK272" s="56"/>
      <c r="OL272" s="242">
        <f>SUMPRODUCT(PRODUCE!$B273:$DY273,PRODUCE!$EB$51:$IY$51)</f>
        <v>0</v>
      </c>
      <c r="OM272" s="56"/>
      <c r="ON272" s="242">
        <f t="shared" si="1875"/>
        <v>0</v>
      </c>
      <c r="OO272" s="242">
        <f t="shared" si="1876"/>
        <v>0</v>
      </c>
      <c r="OP272" s="56"/>
      <c r="OS272" s="55">
        <f t="shared" si="1877"/>
        <v>46253</v>
      </c>
      <c r="OT272" s="56"/>
      <c r="OU272" s="242">
        <f>SUMPRODUCT(PRODUCE!$B273:$DY273,PRODUCE!$EB$52:$IY$52)</f>
        <v>0</v>
      </c>
      <c r="OV272" s="56"/>
      <c r="OW272" s="242">
        <f t="shared" si="1878"/>
        <v>0</v>
      </c>
      <c r="OX272" s="242">
        <f t="shared" si="1879"/>
        <v>1482</v>
      </c>
      <c r="OY272" s="56"/>
      <c r="PB272" s="55">
        <f t="shared" si="1880"/>
        <v>46253</v>
      </c>
      <c r="PC272" s="56"/>
      <c r="PD272" s="242">
        <f>SUMPRODUCT(PRODUCE!$B273:$DY273,PRODUCE!$EB$53:$IY$53)</f>
        <v>0</v>
      </c>
      <c r="PE272" s="56"/>
      <c r="PF272" s="242">
        <f t="shared" si="1881"/>
        <v>0</v>
      </c>
      <c r="PG272" s="242">
        <f t="shared" si="1882"/>
        <v>0</v>
      </c>
      <c r="PH272" s="56"/>
      <c r="PK272" s="55">
        <f t="shared" si="1883"/>
        <v>46253</v>
      </c>
      <c r="PL272" s="56"/>
      <c r="PM272" s="242">
        <f>SUMPRODUCT(PRODUCE!$B273:$DY273,PRODUCE!$EB$54:$IY$54)</f>
        <v>0</v>
      </c>
      <c r="PN272" s="56"/>
      <c r="PO272" s="242">
        <f t="shared" si="1884"/>
        <v>0</v>
      </c>
      <c r="PP272" s="242">
        <f t="shared" si="1885"/>
        <v>100</v>
      </c>
      <c r="PQ272" s="56"/>
      <c r="PT272" s="55">
        <f t="shared" si="1886"/>
        <v>46253</v>
      </c>
      <c r="PU272" s="56"/>
      <c r="PV272" s="242">
        <f>SUMPRODUCT(PRODUCE!$B273:$DY273,PRODUCE!$EB$55:$IY$55)</f>
        <v>0</v>
      </c>
      <c r="PW272" s="56"/>
      <c r="PX272" s="242">
        <f t="shared" si="1887"/>
        <v>0</v>
      </c>
      <c r="PY272" s="242">
        <f t="shared" si="1888"/>
        <v>13.960000000000036</v>
      </c>
      <c r="PZ272" s="56"/>
      <c r="QC272" s="55">
        <f t="shared" si="1889"/>
        <v>46253</v>
      </c>
      <c r="QD272" s="56"/>
      <c r="QE272" s="242">
        <f>SUMPRODUCT(PRODUCE!$B273:$DY273,PRODUCE!$EB$56:$IY$56)</f>
        <v>0</v>
      </c>
      <c r="QF272" s="56"/>
      <c r="QG272" s="242">
        <f t="shared" si="1890"/>
        <v>0</v>
      </c>
      <c r="QH272" s="242">
        <f t="shared" si="1891"/>
        <v>548</v>
      </c>
      <c r="QI272" s="56"/>
      <c r="QL272" s="55">
        <f t="shared" si="1892"/>
        <v>46253</v>
      </c>
      <c r="QM272" s="56"/>
      <c r="QN272" s="242">
        <f>SUMPRODUCT(PRODUCE!$B273:$DY273,PRODUCE!$EB$57:$IY$57)</f>
        <v>0</v>
      </c>
      <c r="QO272" s="56"/>
      <c r="QP272" s="242">
        <f t="shared" si="1893"/>
        <v>0</v>
      </c>
      <c r="QQ272" s="242">
        <f t="shared" si="1894"/>
        <v>0</v>
      </c>
      <c r="QR272" s="56"/>
      <c r="QU272" s="55">
        <f t="shared" si="1895"/>
        <v>46253</v>
      </c>
      <c r="QV272" s="56"/>
      <c r="QW272" s="242">
        <f>SUMPRODUCT(PRODUCE!$B273:$DY273,PRODUCE!$EB$57:$IY$57)</f>
        <v>0</v>
      </c>
      <c r="QX272" s="56"/>
      <c r="QY272" s="242">
        <f t="shared" si="1896"/>
        <v>0</v>
      </c>
      <c r="QZ272" s="242">
        <f t="shared" si="1897"/>
        <v>0</v>
      </c>
      <c r="RA272" s="56"/>
      <c r="RD272" s="55">
        <f t="shared" si="1898"/>
        <v>46253</v>
      </c>
      <c r="RE272" s="56"/>
      <c r="RF272" s="242">
        <f>SUMPRODUCT(PRODUCE!$B273:$DY273,PRODUCE!$EB$58:$IY$58)</f>
        <v>0</v>
      </c>
      <c r="RG272" s="56"/>
      <c r="RH272" s="242">
        <f t="shared" si="1899"/>
        <v>0</v>
      </c>
      <c r="RI272" s="242">
        <f t="shared" si="1900"/>
        <v>147.04000000000002</v>
      </c>
      <c r="RJ272" s="56"/>
      <c r="RM272" s="55">
        <f t="shared" si="1901"/>
        <v>46253</v>
      </c>
      <c r="RN272" s="56"/>
      <c r="RO272" s="242">
        <f>SUMPRODUCT(PRODUCE!$B273:$DY273,PRODUCE!$EB$59:$IY$59)</f>
        <v>0</v>
      </c>
      <c r="RP272" s="56"/>
      <c r="RQ272" s="242">
        <f t="shared" si="1902"/>
        <v>0</v>
      </c>
      <c r="RR272" s="242">
        <f t="shared" si="1903"/>
        <v>46.8</v>
      </c>
      <c r="RS272" s="56"/>
      <c r="RV272" s="55">
        <f t="shared" si="1904"/>
        <v>46253</v>
      </c>
      <c r="RW272" s="56"/>
      <c r="RX272" s="242">
        <f>SUMPRODUCT(PRODUCE!$B273:$DY273,PRODUCE!$EB$57:$IY$57)</f>
        <v>0</v>
      </c>
      <c r="RY272" s="56"/>
      <c r="RZ272" s="242">
        <f t="shared" si="1905"/>
        <v>0</v>
      </c>
      <c r="SA272" s="242">
        <f t="shared" si="1906"/>
        <v>0</v>
      </c>
      <c r="SB272" s="56"/>
      <c r="SE272" s="55">
        <f t="shared" si="1907"/>
        <v>46253</v>
      </c>
      <c r="SF272" s="56"/>
      <c r="SG272" s="242">
        <f>SUMPRODUCT(PRODUCE!$B273:$DY273,PRODUCE!$EB$61:$IY$61)</f>
        <v>0</v>
      </c>
      <c r="SH272" s="56"/>
      <c r="SI272" s="242">
        <f t="shared" si="1908"/>
        <v>0</v>
      </c>
      <c r="SJ272" s="242">
        <f t="shared" si="1909"/>
        <v>24.200000000000003</v>
      </c>
      <c r="SK272" s="56"/>
      <c r="SN272" s="55">
        <f t="shared" si="1910"/>
        <v>46253</v>
      </c>
      <c r="SO272" s="56"/>
      <c r="SP272" s="242">
        <f>SUMPRODUCT(PRODUCE!$B273:$DY273,PRODUCE!$EB$62:$IY$62)</f>
        <v>0</v>
      </c>
      <c r="SQ272" s="56"/>
      <c r="SR272" s="242">
        <f t="shared" si="1911"/>
        <v>0</v>
      </c>
      <c r="SS272" s="242">
        <f t="shared" si="1912"/>
        <v>32</v>
      </c>
      <c r="ST272" s="56"/>
      <c r="SW272" s="55">
        <f t="shared" si="1913"/>
        <v>46253</v>
      </c>
      <c r="SX272" s="56"/>
      <c r="SY272" s="242">
        <f>SUMPRODUCT(PRODUCE!$B273:$DY273,PRODUCE!$EB$57:$IY$57)</f>
        <v>0</v>
      </c>
      <c r="SZ272" s="56"/>
      <c r="TA272" s="242">
        <f t="shared" si="1914"/>
        <v>0</v>
      </c>
      <c r="TB272" s="242">
        <f t="shared" si="1915"/>
        <v>0</v>
      </c>
      <c r="TC272" s="56"/>
      <c r="TF272" s="55">
        <f t="shared" si="1916"/>
        <v>46253</v>
      </c>
      <c r="TG272" s="56"/>
      <c r="TH272" s="242">
        <f>SUMPRODUCT(PRODUCE!$B273:$DY273,PRODUCE!$EB$57:$IY$57)</f>
        <v>0</v>
      </c>
      <c r="TI272" s="56"/>
      <c r="TJ272" s="242">
        <f t="shared" si="1917"/>
        <v>0</v>
      </c>
      <c r="TK272" s="242">
        <f t="shared" si="1918"/>
        <v>0</v>
      </c>
      <c r="TL272" s="56"/>
      <c r="TO272" s="55">
        <f t="shared" si="1919"/>
        <v>46253</v>
      </c>
      <c r="TP272" s="56"/>
      <c r="TQ272" s="242">
        <f>SUMPRODUCT(PRODUCE!$B273:$DY273,PRODUCE!$EB$57:$IY$57)</f>
        <v>0</v>
      </c>
      <c r="TR272" s="56"/>
      <c r="TS272" s="242">
        <f t="shared" si="1920"/>
        <v>0</v>
      </c>
      <c r="TT272" s="242">
        <f t="shared" si="1921"/>
        <v>0</v>
      </c>
      <c r="TU272" s="56"/>
      <c r="TX272" s="55">
        <f t="shared" si="1922"/>
        <v>46253</v>
      </c>
      <c r="TY272" s="56"/>
      <c r="TZ272" s="242">
        <f>SUMPRODUCT(PRODUCE!$B273:$DY273,PRODUCE!$EB$57:$IY$57)</f>
        <v>0</v>
      </c>
      <c r="UA272" s="56"/>
      <c r="UB272" s="242">
        <f t="shared" si="1923"/>
        <v>0</v>
      </c>
      <c r="UC272" s="242">
        <f t="shared" si="1924"/>
        <v>46.799999999999983</v>
      </c>
      <c r="UD272" s="56"/>
      <c r="UG272" s="55">
        <f t="shared" si="1925"/>
        <v>46253</v>
      </c>
      <c r="UH272" s="56"/>
      <c r="UI272" s="242">
        <f>SUMPRODUCT(PRODUCE!$B273:$DY273,PRODUCE!$EB$57:$IY$57)</f>
        <v>0</v>
      </c>
      <c r="UJ272" s="56"/>
      <c r="UK272" s="242">
        <f t="shared" si="1926"/>
        <v>0</v>
      </c>
      <c r="UL272" s="242">
        <f t="shared" si="1927"/>
        <v>204</v>
      </c>
      <c r="UM272" s="56"/>
      <c r="UP272" s="55">
        <f t="shared" si="1928"/>
        <v>46253</v>
      </c>
      <c r="UQ272" s="56"/>
      <c r="UR272" s="242">
        <f>SUMPRODUCT(PRODUCE!$B273:$DY273,PRODUCE!$EB$57:$IY$57)</f>
        <v>0</v>
      </c>
      <c r="US272" s="56"/>
      <c r="UT272" s="242">
        <f t="shared" si="1929"/>
        <v>0</v>
      </c>
      <c r="UU272" s="242">
        <f t="shared" si="1930"/>
        <v>202.5</v>
      </c>
      <c r="UV272" s="56"/>
      <c r="UY272" s="55">
        <f t="shared" si="1931"/>
        <v>46253</v>
      </c>
      <c r="UZ272" s="56"/>
      <c r="VA272" s="242">
        <f>SUMPRODUCT(PRODUCE!$B273:$DY273,PRODUCE!$EB$57:$IY$57)</f>
        <v>0</v>
      </c>
      <c r="VB272" s="56"/>
      <c r="VC272" s="242">
        <f t="shared" si="1932"/>
        <v>0</v>
      </c>
      <c r="VD272" s="242">
        <f t="shared" si="1933"/>
        <v>41.600000000000023</v>
      </c>
      <c r="VE272" s="56"/>
      <c r="VH272" s="55">
        <f t="shared" si="1934"/>
        <v>46253</v>
      </c>
      <c r="VI272" s="56"/>
      <c r="VJ272" s="242">
        <f>SUMPRODUCT(PRODUCE!$B273:$DY273,PRODUCE!$EB$57:$IY$57)</f>
        <v>0</v>
      </c>
      <c r="VK272" s="56"/>
      <c r="VL272" s="242">
        <f t="shared" si="1935"/>
        <v>0</v>
      </c>
      <c r="VM272" s="242">
        <f t="shared" si="1936"/>
        <v>210</v>
      </c>
      <c r="VN272" s="56"/>
      <c r="VQ272" s="55">
        <f t="shared" si="1937"/>
        <v>46253</v>
      </c>
      <c r="VR272" s="56"/>
      <c r="VS272" s="242">
        <f>SUMPRODUCT(PRODUCE!$B273:$DY273,PRODUCE!$EB$57:$IY$57)</f>
        <v>0</v>
      </c>
      <c r="VT272" s="56"/>
      <c r="VU272" s="242">
        <f t="shared" si="1938"/>
        <v>0</v>
      </c>
      <c r="VV272" s="242">
        <f t="shared" si="1939"/>
        <v>0</v>
      </c>
      <c r="VW272" s="56"/>
      <c r="VZ272" s="55">
        <f t="shared" si="1940"/>
        <v>46253</v>
      </c>
      <c r="WA272" s="56"/>
      <c r="WB272" s="242">
        <f>SUMPRODUCT(PRODUCE!$B273:$DY273,PRODUCE!$EB$57:$IY$57)</f>
        <v>0</v>
      </c>
      <c r="WC272" s="56"/>
      <c r="WD272" s="242">
        <f t="shared" si="1941"/>
        <v>0</v>
      </c>
      <c r="WE272" s="242">
        <f t="shared" si="1942"/>
        <v>0</v>
      </c>
      <c r="WF272" s="56"/>
      <c r="WI272" s="55">
        <f t="shared" si="1943"/>
        <v>46253</v>
      </c>
      <c r="WJ272" s="56"/>
      <c r="WK272" s="242">
        <f>SUMPRODUCT(PRODUCE!$B273:$DY273,PRODUCE!$EB$57:$IY$57)</f>
        <v>0</v>
      </c>
      <c r="WL272" s="56"/>
      <c r="WM272" s="242">
        <f t="shared" si="1944"/>
        <v>0</v>
      </c>
      <c r="WN272" s="242">
        <f t="shared" si="1945"/>
        <v>1057</v>
      </c>
      <c r="WO272" s="56"/>
      <c r="WR272" s="55">
        <f t="shared" si="1946"/>
        <v>46253</v>
      </c>
      <c r="WS272" s="56"/>
      <c r="WT272" s="242">
        <f>SUMPRODUCT(PRODUCE!$B273:$DY273,PRODUCE!$EB$57:$IY$57)</f>
        <v>0</v>
      </c>
      <c r="WU272" s="56"/>
      <c r="WV272" s="242">
        <f t="shared" si="1947"/>
        <v>0</v>
      </c>
      <c r="WW272" s="242">
        <f t="shared" si="1948"/>
        <v>0</v>
      </c>
      <c r="WX272" s="56"/>
      <c r="XA272" s="55">
        <f t="shared" si="1949"/>
        <v>46253</v>
      </c>
      <c r="XB272" s="56"/>
      <c r="XC272" s="242">
        <f>SUMPRODUCT(PRODUCE!$B273:$DY273,PRODUCE!$EB$57:$IY$57)</f>
        <v>0</v>
      </c>
      <c r="XD272" s="56"/>
      <c r="XE272" s="242">
        <f t="shared" si="1950"/>
        <v>0</v>
      </c>
      <c r="XF272" s="242">
        <f t="shared" si="1951"/>
        <v>7507</v>
      </c>
      <c r="XG272" s="56"/>
      <c r="XJ272" s="55">
        <f t="shared" si="1952"/>
        <v>46253</v>
      </c>
      <c r="XK272" s="56"/>
      <c r="XL272" s="242">
        <f>SUMPRODUCT(PRODUCE!$B273:$DY273,PRODUCE!$EB$57:$IY$57)</f>
        <v>0</v>
      </c>
      <c r="XM272" s="56"/>
      <c r="XN272" s="242">
        <f t="shared" si="1953"/>
        <v>0</v>
      </c>
      <c r="XO272" s="242">
        <f t="shared" si="1954"/>
        <v>4252</v>
      </c>
      <c r="XP272" s="56"/>
      <c r="XS272" s="55">
        <f t="shared" si="1955"/>
        <v>46253</v>
      </c>
      <c r="XT272" s="56"/>
      <c r="XU272" s="242">
        <f>SUMPRODUCT(PRODUCE!$B273:$DY273,PRODUCE!$EB$57:$IY$57)</f>
        <v>0</v>
      </c>
      <c r="XV272" s="56"/>
      <c r="XW272" s="242">
        <f t="shared" si="1956"/>
        <v>0</v>
      </c>
      <c r="XX272" s="242">
        <f t="shared" si="1957"/>
        <v>2179</v>
      </c>
      <c r="XY272" s="56"/>
      <c r="YB272" s="55">
        <f t="shared" si="1958"/>
        <v>46253</v>
      </c>
      <c r="YC272" s="56"/>
      <c r="YD272" s="242">
        <f>SUMPRODUCT(PRODUCE!$B273:$DY273,PRODUCE!$EB$57:$IY$57)</f>
        <v>0</v>
      </c>
      <c r="YE272" s="56"/>
      <c r="YF272" s="242">
        <f t="shared" si="1959"/>
        <v>0</v>
      </c>
      <c r="YG272" s="242">
        <f t="shared" si="1960"/>
        <v>4019</v>
      </c>
      <c r="YH272" s="56"/>
      <c r="YK272" s="55">
        <f t="shared" si="1961"/>
        <v>46253</v>
      </c>
      <c r="YL272" s="56"/>
      <c r="YM272" s="242">
        <f>SUMPRODUCT(PRODUCE!$B273:$DY273,PRODUCE!$EB$57:$IY$57)</f>
        <v>0</v>
      </c>
      <c r="YN272" s="56"/>
      <c r="YO272" s="242">
        <f t="shared" si="1962"/>
        <v>0</v>
      </c>
      <c r="YP272" s="242">
        <f t="shared" si="1963"/>
        <v>-218</v>
      </c>
      <c r="YQ272" s="56"/>
      <c r="YT272" s="55">
        <f t="shared" si="1964"/>
        <v>46253</v>
      </c>
      <c r="YU272" s="56"/>
      <c r="YV272" s="242">
        <f>SUMPRODUCT(PRODUCE!$B273:$DY273,PRODUCE!$EB$57:$IY$57)</f>
        <v>0</v>
      </c>
      <c r="YW272" s="56"/>
      <c r="YX272" s="242">
        <f t="shared" si="1965"/>
        <v>0</v>
      </c>
      <c r="YY272" s="242">
        <f t="shared" si="1966"/>
        <v>0</v>
      </c>
      <c r="YZ272" s="56"/>
      <c r="ZC272" s="55">
        <f t="shared" si="1967"/>
        <v>46253</v>
      </c>
      <c r="ZD272" s="56"/>
      <c r="ZE272" s="242">
        <f>SUMPRODUCT(PRODUCE!$B273:$DY273,PRODUCE!$EB$57:$IY$57)</f>
        <v>0</v>
      </c>
      <c r="ZF272" s="56"/>
      <c r="ZG272" s="242">
        <f t="shared" si="1968"/>
        <v>0</v>
      </c>
      <c r="ZH272" s="242">
        <f t="shared" si="1969"/>
        <v>0</v>
      </c>
      <c r="ZI272" s="56"/>
      <c r="ZL272" s="55">
        <f t="shared" si="1970"/>
        <v>46253</v>
      </c>
      <c r="ZM272" s="56"/>
      <c r="ZN272" s="242">
        <f>SUMPRODUCT(PRODUCE!$B273:$DY273,PRODUCE!$EB$57:$IY$57)</f>
        <v>0</v>
      </c>
      <c r="ZO272" s="56"/>
      <c r="ZP272" s="242">
        <f t="shared" si="1971"/>
        <v>0</v>
      </c>
      <c r="ZQ272" s="242">
        <f t="shared" si="1972"/>
        <v>0</v>
      </c>
      <c r="ZR272" s="56"/>
      <c r="ZU272" s="55">
        <f t="shared" si="1973"/>
        <v>46253</v>
      </c>
      <c r="ZV272" s="56"/>
      <c r="ZW272" s="242">
        <f>SUMPRODUCT(PRODUCE!$B273:$DY273,PRODUCE!$EB$57:$IY$57)</f>
        <v>0</v>
      </c>
      <c r="ZX272" s="56"/>
      <c r="ZY272" s="242">
        <f t="shared" si="1974"/>
        <v>0</v>
      </c>
      <c r="ZZ272" s="242">
        <f t="shared" si="1975"/>
        <v>0</v>
      </c>
      <c r="AAA272" s="56"/>
      <c r="AAD272" s="55">
        <f t="shared" si="1976"/>
        <v>46253</v>
      </c>
      <c r="AAE272" s="56"/>
      <c r="AAF272" s="242">
        <f>SUMPRODUCT(PRODUCE!$B273:$DY273,PRODUCE!$EB$57:$IY$57)</f>
        <v>0</v>
      </c>
      <c r="AAG272" s="56"/>
      <c r="AAH272" s="242">
        <f t="shared" si="1977"/>
        <v>0</v>
      </c>
      <c r="AAI272" s="242">
        <f t="shared" si="1978"/>
        <v>0</v>
      </c>
      <c r="AAJ272" s="56"/>
      <c r="AAM272" s="55">
        <f t="shared" si="1979"/>
        <v>46253</v>
      </c>
      <c r="AAN272" s="56"/>
      <c r="AAO272" s="242">
        <f>SUMPRODUCT(PRODUCE!$B273:$DY273,PRODUCE!$EB$57:$IY$57)</f>
        <v>0</v>
      </c>
      <c r="AAP272" s="56"/>
      <c r="AAQ272" s="242">
        <f t="shared" si="1980"/>
        <v>0</v>
      </c>
      <c r="AAR272" s="242">
        <f t="shared" si="1981"/>
        <v>0</v>
      </c>
      <c r="AAS272" s="56"/>
      <c r="AAV272" s="55">
        <f t="shared" si="1982"/>
        <v>46253</v>
      </c>
      <c r="AAW272" s="56"/>
      <c r="AAX272" s="242">
        <f>SUMPRODUCT(PRODUCE!$B273:$DY273,PRODUCE!$EB$57:$IY$57)</f>
        <v>0</v>
      </c>
      <c r="AAY272" s="56"/>
      <c r="AAZ272" s="242">
        <f t="shared" si="1983"/>
        <v>0</v>
      </c>
      <c r="ABA272" s="242">
        <f t="shared" si="1984"/>
        <v>0</v>
      </c>
      <c r="ABB272" s="56"/>
      <c r="ABE272" s="55">
        <f t="shared" si="1985"/>
        <v>46253</v>
      </c>
      <c r="ABF272" s="56"/>
      <c r="ABG272" s="242">
        <f>SUMPRODUCT(PRODUCE!$B273:$DY273,PRODUCE!$EB$57:$IY$57)</f>
        <v>0</v>
      </c>
      <c r="ABH272" s="56"/>
      <c r="ABI272" s="242">
        <f t="shared" si="1986"/>
        <v>0</v>
      </c>
      <c r="ABJ272" s="242">
        <f t="shared" si="1987"/>
        <v>0</v>
      </c>
      <c r="ABK272" s="56"/>
    </row>
    <row r="273" spans="1:739" s="54" customFormat="1" ht="15" customHeight="1" outlineLevel="1">
      <c r="B273" s="478"/>
      <c r="C273" s="55">
        <v>46254</v>
      </c>
      <c r="D273" s="56"/>
      <c r="E273" s="57">
        <f>SUMPRODUCT(PRODUCE!$B274:$DY274,PRODUCE!$EB$7:$IY$7)</f>
        <v>0</v>
      </c>
      <c r="F273" s="56"/>
      <c r="G273" s="57">
        <f t="shared" si="1743"/>
        <v>0</v>
      </c>
      <c r="H273" s="57">
        <f t="shared" si="1744"/>
        <v>236936.6</v>
      </c>
      <c r="I273" s="289"/>
      <c r="L273" s="55">
        <f t="shared" si="1745"/>
        <v>46254</v>
      </c>
      <c r="M273" s="56"/>
      <c r="N273" s="59">
        <f>SUMPRODUCT(PRODUCE!$B274:$DY274,PRODUCE!$EB$8:$IY$8)</f>
        <v>0</v>
      </c>
      <c r="O273" s="56"/>
      <c r="P273" s="59">
        <f t="shared" si="1746"/>
        <v>0</v>
      </c>
      <c r="Q273" s="59">
        <f t="shared" si="1747"/>
        <v>53017.600000000071</v>
      </c>
      <c r="R273" s="56"/>
      <c r="U273" s="55">
        <f t="shared" si="1748"/>
        <v>46254</v>
      </c>
      <c r="V273" s="56"/>
      <c r="W273" s="60">
        <f>SUMPRODUCT(PRODUCE!$B274:$DY274,PRODUCE!$EB$9:$IY$9)</f>
        <v>0</v>
      </c>
      <c r="X273" s="56"/>
      <c r="Y273" s="60">
        <f t="shared" si="1749"/>
        <v>0</v>
      </c>
      <c r="Z273" s="60">
        <f t="shared" si="1750"/>
        <v>42674.199999999968</v>
      </c>
      <c r="AA273" s="56"/>
      <c r="AD273" s="55">
        <f t="shared" si="1751"/>
        <v>46254</v>
      </c>
      <c r="AE273" s="56"/>
      <c r="AF273" s="61">
        <f>SUMPRODUCT(PRODUCE!$B274:$DY274,PRODUCE!$EB$10:$IY$10)</f>
        <v>0</v>
      </c>
      <c r="AG273" s="56"/>
      <c r="AH273" s="61">
        <f t="shared" si="1752"/>
        <v>0</v>
      </c>
      <c r="AI273" s="61">
        <f t="shared" si="1753"/>
        <v>4522.2000000000189</v>
      </c>
      <c r="AJ273" s="56"/>
      <c r="AM273" s="55">
        <f t="shared" si="1754"/>
        <v>46254</v>
      </c>
      <c r="AN273" s="422"/>
      <c r="AO273" s="444">
        <f>SUMPRODUCT(PRODUCE!$B274:$DY274,PRODUCE!$EB$11:$IY$11)</f>
        <v>0</v>
      </c>
      <c r="AP273" s="422"/>
      <c r="AQ273" s="444">
        <f t="shared" si="1755"/>
        <v>0</v>
      </c>
      <c r="AR273" s="444">
        <f t="shared" si="1756"/>
        <v>0</v>
      </c>
      <c r="AS273" s="56"/>
      <c r="AV273" s="55">
        <f t="shared" si="1757"/>
        <v>46254</v>
      </c>
      <c r="AW273" s="56"/>
      <c r="AX273" s="62">
        <f>SUMPRODUCT(PRODUCE!$B274:$DY274,PRODUCE!$EB$12:$IY$12)</f>
        <v>0</v>
      </c>
      <c r="AY273" s="56"/>
      <c r="AZ273" s="62">
        <f t="shared" si="1758"/>
        <v>0</v>
      </c>
      <c r="BA273" s="62">
        <f t="shared" si="1759"/>
        <v>124.99999999999523</v>
      </c>
      <c r="BB273" s="56"/>
      <c r="BE273" s="55">
        <f t="shared" si="1760"/>
        <v>46254</v>
      </c>
      <c r="BF273" s="56"/>
      <c r="BG273" s="63">
        <f>SUMPRODUCT(PRODUCE!$B274:$DY274,PRODUCE!$EB$13:$IY$13)</f>
        <v>0</v>
      </c>
      <c r="BH273" s="56"/>
      <c r="BI273" s="63">
        <f t="shared" si="1761"/>
        <v>0</v>
      </c>
      <c r="BJ273" s="63">
        <f t="shared" si="1762"/>
        <v>26151.899999999998</v>
      </c>
      <c r="BK273" s="56"/>
      <c r="BN273" s="55">
        <f t="shared" si="1763"/>
        <v>46254</v>
      </c>
      <c r="BO273" s="56"/>
      <c r="BP273" s="64">
        <f>SUMPRODUCT(PRODUCE!$B274:$DY274,PRODUCE!$EB$14:$IY$14)</f>
        <v>0</v>
      </c>
      <c r="BQ273" s="56"/>
      <c r="BR273" s="64">
        <f t="shared" si="1764"/>
        <v>0</v>
      </c>
      <c r="BS273" s="64">
        <f t="shared" si="1765"/>
        <v>0</v>
      </c>
      <c r="BT273" s="56"/>
      <c r="BW273" s="55">
        <f t="shared" si="1766"/>
        <v>46254</v>
      </c>
      <c r="BX273" s="56"/>
      <c r="BY273" s="65">
        <f>SUMPRODUCT(PRODUCE!$B274:$DY274,PRODUCE!$EB$15:$IY$15)</f>
        <v>0</v>
      </c>
      <c r="BZ273" s="56"/>
      <c r="CA273" s="65">
        <f t="shared" si="1767"/>
        <v>0</v>
      </c>
      <c r="CB273" s="65">
        <f t="shared" si="1768"/>
        <v>2097.3399999999992</v>
      </c>
      <c r="CC273" s="56"/>
      <c r="CF273" s="55">
        <f t="shared" si="1769"/>
        <v>46254</v>
      </c>
      <c r="CG273" s="56"/>
      <c r="CH273" s="66">
        <f>SUMPRODUCT(PRODUCE!$B274:$DY274,PRODUCE!$EB$16:$IY$16)</f>
        <v>0</v>
      </c>
      <c r="CI273" s="56"/>
      <c r="CJ273" s="66">
        <f t="shared" si="1770"/>
        <v>0</v>
      </c>
      <c r="CK273" s="66">
        <f t="shared" si="1771"/>
        <v>-10277.079999999998</v>
      </c>
      <c r="CL273" s="56"/>
      <c r="CO273" s="55">
        <f t="shared" si="1772"/>
        <v>46254</v>
      </c>
      <c r="CP273" s="422"/>
      <c r="CQ273" s="470">
        <f>SUMPRODUCT(PRODUCE!$B274:$DY274,PRODUCE!$EB$17:$IY$17)</f>
        <v>0</v>
      </c>
      <c r="CR273" s="422"/>
      <c r="CS273" s="470">
        <f t="shared" si="1773"/>
        <v>0</v>
      </c>
      <c r="CT273" s="470">
        <f t="shared" si="1774"/>
        <v>0</v>
      </c>
      <c r="CU273" s="56"/>
      <c r="CX273" s="55">
        <f t="shared" si="1775"/>
        <v>46254</v>
      </c>
      <c r="CY273" s="56"/>
      <c r="CZ273" s="133">
        <f>SUMPRODUCT(PRODUCE!$B274:$DY274,PRODUCE!$EB$18:$IY$18)</f>
        <v>0</v>
      </c>
      <c r="DA273" s="56"/>
      <c r="DB273" s="133">
        <f t="shared" si="1776"/>
        <v>0</v>
      </c>
      <c r="DC273" s="133">
        <f t="shared" si="1777"/>
        <v>27438.200000000012</v>
      </c>
      <c r="DD273" s="56"/>
      <c r="DG273" s="55">
        <f t="shared" si="1778"/>
        <v>46254</v>
      </c>
      <c r="DH273" s="56"/>
      <c r="DI273" s="147">
        <f>SUMPRODUCT(PRODUCE!$B274:$DY274,PRODUCE!$EB$19:$IY$19)</f>
        <v>0</v>
      </c>
      <c r="DJ273" s="56"/>
      <c r="DK273" s="147">
        <f t="shared" si="1779"/>
        <v>0</v>
      </c>
      <c r="DL273" s="147">
        <f t="shared" si="1780"/>
        <v>18782.299999999981</v>
      </c>
      <c r="DM273" s="56"/>
      <c r="DP273" s="55">
        <f t="shared" si="1781"/>
        <v>46254</v>
      </c>
      <c r="DQ273" s="56"/>
      <c r="DR273" s="57">
        <f>SUMPRODUCT(PRODUCE!$B274:$DY274,PRODUCE!$EB$20:$IY$20)</f>
        <v>0</v>
      </c>
      <c r="DS273" s="56"/>
      <c r="DT273" s="57">
        <f t="shared" si="1782"/>
        <v>0</v>
      </c>
      <c r="DU273" s="57">
        <f t="shared" si="1783"/>
        <v>5800</v>
      </c>
      <c r="DV273" s="56"/>
      <c r="DY273" s="55">
        <f t="shared" si="1784"/>
        <v>46254</v>
      </c>
      <c r="DZ273" s="56"/>
      <c r="EA273" s="157">
        <f>SUMPRODUCT(PRODUCE!$B274:$DY274,PRODUCE!$EB$21:$IY$21)</f>
        <v>0</v>
      </c>
      <c r="EB273" s="56"/>
      <c r="EC273" s="157">
        <f t="shared" si="1785"/>
        <v>0</v>
      </c>
      <c r="ED273" s="157">
        <f t="shared" si="1786"/>
        <v>0</v>
      </c>
      <c r="EE273" s="56"/>
      <c r="EH273" s="55">
        <f t="shared" si="1787"/>
        <v>46254</v>
      </c>
      <c r="EI273" s="56"/>
      <c r="EJ273" s="162">
        <f>SUMPRODUCT(PRODUCE!$B274:$DY274,PRODUCE!$EB$22:$IY$22)</f>
        <v>0</v>
      </c>
      <c r="EK273" s="56"/>
      <c r="EL273" s="162">
        <f t="shared" si="1788"/>
        <v>0</v>
      </c>
      <c r="EM273" s="162">
        <f t="shared" si="1789"/>
        <v>0</v>
      </c>
      <c r="EN273" s="56"/>
      <c r="EQ273" s="55">
        <f t="shared" si="1790"/>
        <v>46254</v>
      </c>
      <c r="ER273" s="56"/>
      <c r="ES273" s="135">
        <f>SUMPRODUCT(PRODUCE!$B274:$DY274,PRODUCE!$EB$23:$IY$23)</f>
        <v>0</v>
      </c>
      <c r="ET273" s="56"/>
      <c r="EU273" s="135">
        <f t="shared" si="1791"/>
        <v>0</v>
      </c>
      <c r="EV273" s="135">
        <f t="shared" si="1792"/>
        <v>0</v>
      </c>
      <c r="EW273" s="56"/>
      <c r="EZ273" s="55">
        <f t="shared" si="1793"/>
        <v>46254</v>
      </c>
      <c r="FA273" s="56"/>
      <c r="FB273" s="175">
        <f>SUMPRODUCT(PRODUCE!$B274:$DY274,PRODUCE!$EB$24:$IY$24)</f>
        <v>0</v>
      </c>
      <c r="FC273" s="56"/>
      <c r="FD273" s="175">
        <f t="shared" si="1794"/>
        <v>0</v>
      </c>
      <c r="FE273" s="175">
        <f t="shared" si="1795"/>
        <v>0</v>
      </c>
      <c r="FF273" s="56"/>
      <c r="FI273" s="55">
        <f t="shared" si="1796"/>
        <v>46254</v>
      </c>
      <c r="FJ273" s="56"/>
      <c r="FK273" s="183">
        <f>SUMPRODUCT(PRODUCE!$B274:$DY274,PRODUCE!$EB$25:$IY$25)</f>
        <v>0</v>
      </c>
      <c r="FL273" s="56"/>
      <c r="FM273" s="183">
        <f t="shared" si="1797"/>
        <v>0</v>
      </c>
      <c r="FN273" s="183">
        <f t="shared" si="1798"/>
        <v>0</v>
      </c>
      <c r="FO273" s="56"/>
      <c r="FR273" s="55">
        <f t="shared" si="1799"/>
        <v>46254</v>
      </c>
      <c r="FS273" s="56"/>
      <c r="FT273" s="186">
        <f>SUMPRODUCT(PRODUCE!$B274:$DY274,PRODUCE!$EB$26:$IY$26)</f>
        <v>0</v>
      </c>
      <c r="FU273" s="56"/>
      <c r="FV273" s="186">
        <f t="shared" si="1800"/>
        <v>0</v>
      </c>
      <c r="FW273" s="186">
        <f t="shared" si="1801"/>
        <v>2020</v>
      </c>
      <c r="FX273" s="56"/>
      <c r="GA273" s="55">
        <f t="shared" si="1802"/>
        <v>46254</v>
      </c>
      <c r="GB273" s="56"/>
      <c r="GC273" s="137">
        <f>SUMPRODUCT(PRODUCE!$B274:$DY274,PRODUCE!$EB$27:$IY$27)</f>
        <v>0</v>
      </c>
      <c r="GD273" s="56"/>
      <c r="GE273" s="137">
        <f t="shared" si="1803"/>
        <v>0</v>
      </c>
      <c r="GF273" s="137">
        <f t="shared" si="1804"/>
        <v>960</v>
      </c>
      <c r="GG273" s="56"/>
      <c r="GI273" s="23"/>
      <c r="GJ273" s="55">
        <f t="shared" si="1805"/>
        <v>46254</v>
      </c>
      <c r="GK273" s="56"/>
      <c r="GL273" s="199">
        <f>SUMPRODUCT(PRODUCE!$B274:$DY274,PRODUCE!$EB$28:$IY$28)</f>
        <v>0</v>
      </c>
      <c r="GM273" s="56"/>
      <c r="GN273" s="199">
        <f t="shared" si="1806"/>
        <v>0</v>
      </c>
      <c r="GO273" s="199">
        <f t="shared" si="1807"/>
        <v>1760</v>
      </c>
      <c r="GP273" s="56"/>
      <c r="GS273" s="55">
        <f t="shared" si="1808"/>
        <v>46254</v>
      </c>
      <c r="GT273" s="56"/>
      <c r="GU273" s="195">
        <f>SUMPRODUCT(PRODUCE!$B274:$DY274,PRODUCE!$EB$29:$IY$29)</f>
        <v>0</v>
      </c>
      <c r="GV273" s="56"/>
      <c r="GW273" s="195">
        <f t="shared" si="1809"/>
        <v>0</v>
      </c>
      <c r="GX273" s="195">
        <f t="shared" si="1810"/>
        <v>400</v>
      </c>
      <c r="GY273" s="56"/>
      <c r="HB273" s="55">
        <f t="shared" si="1811"/>
        <v>46254</v>
      </c>
      <c r="HC273" s="56"/>
      <c r="HD273" s="191">
        <f>SUMPRODUCT(PRODUCE!$B274:$DY274,PRODUCE!$EB$30:$IY$30)</f>
        <v>0</v>
      </c>
      <c r="HE273" s="56"/>
      <c r="HF273" s="191">
        <f t="shared" si="1812"/>
        <v>0</v>
      </c>
      <c r="HG273" s="191">
        <f t="shared" si="1813"/>
        <v>3600</v>
      </c>
      <c r="HH273" s="56"/>
      <c r="HK273" s="55">
        <f t="shared" si="1814"/>
        <v>46254</v>
      </c>
      <c r="HL273" s="56"/>
      <c r="HM273" s="63">
        <f>SUMPRODUCT(PRODUCE!$B274:$DY274,PRODUCE!$EB$31:$IY$31)</f>
        <v>0</v>
      </c>
      <c r="HN273" s="56"/>
      <c r="HO273" s="63">
        <f t="shared" si="1815"/>
        <v>0</v>
      </c>
      <c r="HP273" s="63">
        <f t="shared" si="1816"/>
        <v>0</v>
      </c>
      <c r="HQ273" s="56"/>
      <c r="HT273" s="54" t="s">
        <v>305</v>
      </c>
      <c r="HU273" s="55">
        <f t="shared" si="1817"/>
        <v>46254</v>
      </c>
      <c r="HV273" s="56"/>
      <c r="HW273" s="242">
        <f>SUMPRODUCT(PRODUCE!$B274:$DY274,PRODUCE!$EB$32:$IY$32)</f>
        <v>0</v>
      </c>
      <c r="HX273" s="56"/>
      <c r="HY273" s="242">
        <f t="shared" si="1818"/>
        <v>0</v>
      </c>
      <c r="HZ273" s="242">
        <f t="shared" si="1819"/>
        <v>6120</v>
      </c>
      <c r="IA273" s="56"/>
      <c r="ID273" s="55">
        <f t="shared" si="1820"/>
        <v>46254</v>
      </c>
      <c r="IE273" s="56"/>
      <c r="IF273" s="242">
        <f>SUMPRODUCT(PRODUCE!$B274:$DY274,PRODUCE!$EB$33:$IY$33)</f>
        <v>0</v>
      </c>
      <c r="IG273" s="56">
        <v>60</v>
      </c>
      <c r="IH273" s="242">
        <f t="shared" si="1821"/>
        <v>-60</v>
      </c>
      <c r="II273" s="242">
        <f t="shared" si="1822"/>
        <v>0</v>
      </c>
      <c r="IJ273" s="56">
        <f>IG273/20</f>
        <v>3</v>
      </c>
      <c r="IM273" s="55">
        <f t="shared" si="1823"/>
        <v>46254</v>
      </c>
      <c r="IN273" s="56"/>
      <c r="IO273" s="242">
        <f>SUMPRODUCT(PRODUCE!$B274:$DY274,PRODUCE!$EB$34:$IY$34)</f>
        <v>0</v>
      </c>
      <c r="IP273" s="56"/>
      <c r="IQ273" s="242">
        <f t="shared" si="1824"/>
        <v>0</v>
      </c>
      <c r="IR273" s="242">
        <f t="shared" si="1825"/>
        <v>0</v>
      </c>
      <c r="IS273" s="56"/>
      <c r="IV273" s="55">
        <f t="shared" si="1826"/>
        <v>46254</v>
      </c>
      <c r="IW273" s="56"/>
      <c r="IX273" s="242">
        <f>SUMPRODUCT(PRODUCE!$B274:$DY274,PRODUCE!$EB$35:$IY$35)</f>
        <v>0</v>
      </c>
      <c r="IY273" s="56"/>
      <c r="IZ273" s="242">
        <f t="shared" si="1827"/>
        <v>0</v>
      </c>
      <c r="JA273" s="242">
        <f t="shared" si="1828"/>
        <v>2820</v>
      </c>
      <c r="JB273" s="56"/>
      <c r="JE273" s="55">
        <f t="shared" si="1829"/>
        <v>46254</v>
      </c>
      <c r="JF273" s="56"/>
      <c r="JG273" s="242">
        <f>SUMPRODUCT(PRODUCE!$B274:$DY274,PRODUCE!$EB$36:$IY$36)</f>
        <v>0</v>
      </c>
      <c r="JH273" s="56"/>
      <c r="JI273" s="242">
        <f t="shared" si="1830"/>
        <v>0</v>
      </c>
      <c r="JJ273" s="242">
        <f t="shared" si="1831"/>
        <v>0</v>
      </c>
      <c r="JK273" s="56"/>
      <c r="JN273" s="55">
        <f t="shared" si="1832"/>
        <v>46254</v>
      </c>
      <c r="JO273" s="56"/>
      <c r="JP273" s="242">
        <f>SUMPRODUCT(PRODUCE!$B274:$DY274,PRODUCE!$EB$37:$IY$37)</f>
        <v>0</v>
      </c>
      <c r="JQ273" s="56"/>
      <c r="JR273" s="242">
        <f t="shared" si="1833"/>
        <v>0</v>
      </c>
      <c r="JS273" s="242">
        <f t="shared" si="1834"/>
        <v>0</v>
      </c>
      <c r="JT273" s="56"/>
      <c r="JW273" s="55">
        <f t="shared" si="1835"/>
        <v>46254</v>
      </c>
      <c r="JX273" s="56"/>
      <c r="JY273" s="242">
        <f>SUMPRODUCT(PRODUCE!$B274:$DY274,PRODUCE!$EB$38:$IY$38)</f>
        <v>0</v>
      </c>
      <c r="JZ273" s="56"/>
      <c r="KA273" s="242">
        <f t="shared" si="1836"/>
        <v>0</v>
      </c>
      <c r="KB273" s="242">
        <f t="shared" si="1837"/>
        <v>2540</v>
      </c>
      <c r="KC273" s="56"/>
      <c r="KF273" s="55">
        <f t="shared" si="1838"/>
        <v>46254</v>
      </c>
      <c r="KG273" s="56"/>
      <c r="KH273" s="242">
        <f>SUMPRODUCT(PRODUCE!$B274:$DY274,PRODUCE!$EB$39:$IY$39)</f>
        <v>0</v>
      </c>
      <c r="KI273" s="56"/>
      <c r="KJ273" s="242">
        <f t="shared" si="1839"/>
        <v>0</v>
      </c>
      <c r="KK273" s="242">
        <f t="shared" si="1840"/>
        <v>2359.5</v>
      </c>
      <c r="KL273" s="56"/>
      <c r="KO273" s="55">
        <f t="shared" si="1841"/>
        <v>46254</v>
      </c>
      <c r="KP273" s="56"/>
      <c r="KQ273" s="242">
        <f>SUMPRODUCT(PRODUCE!$B274:$DY274,PRODUCE!$EB$40:$IY$40)</f>
        <v>0</v>
      </c>
      <c r="KR273" s="56"/>
      <c r="KS273" s="242">
        <f t="shared" si="1842"/>
        <v>0</v>
      </c>
      <c r="KT273" s="242">
        <f t="shared" si="1843"/>
        <v>1890</v>
      </c>
      <c r="KU273" s="56"/>
      <c r="KW273" s="23"/>
      <c r="KX273" s="55">
        <f t="shared" si="1844"/>
        <v>46254</v>
      </c>
      <c r="KY273" s="56"/>
      <c r="KZ273" s="242">
        <f>SUMPRODUCT(PRODUCE!$B274:$DY274,PRODUCE!$EB$41:$IY$41)</f>
        <v>0</v>
      </c>
      <c r="LA273" s="56"/>
      <c r="LB273" s="242">
        <f t="shared" si="1845"/>
        <v>0</v>
      </c>
      <c r="LC273" s="242">
        <f t="shared" si="1846"/>
        <v>3690</v>
      </c>
      <c r="LD273" s="56"/>
      <c r="LG273" s="55">
        <f t="shared" si="1847"/>
        <v>46254</v>
      </c>
      <c r="LH273" s="56"/>
      <c r="LI273" s="242">
        <f>SUMPRODUCT(PRODUCE!$B274:$DY274,PRODUCE!$EB$42:$IY$42)</f>
        <v>0</v>
      </c>
      <c r="LJ273" s="56"/>
      <c r="LK273" s="242">
        <f t="shared" si="1848"/>
        <v>0</v>
      </c>
      <c r="LL273" s="242">
        <f t="shared" si="1849"/>
        <v>4000</v>
      </c>
      <c r="LM273" s="56"/>
      <c r="LP273" s="55">
        <f t="shared" si="1850"/>
        <v>46254</v>
      </c>
      <c r="LQ273" s="56"/>
      <c r="LR273" s="242">
        <f>SUMPRODUCT(PRODUCE!$B288:$DY288,PRODUCE!$EB$43:$IY$43)</f>
        <v>0</v>
      </c>
      <c r="LS273" s="56"/>
      <c r="LT273" s="242">
        <f t="shared" si="1851"/>
        <v>0</v>
      </c>
      <c r="LU273" s="242">
        <f t="shared" si="1852"/>
        <v>0</v>
      </c>
      <c r="LV273" s="56"/>
      <c r="LY273" s="55">
        <f t="shared" si="1853"/>
        <v>46254</v>
      </c>
      <c r="LZ273" s="56"/>
      <c r="MA273" s="242">
        <f>SUMPRODUCT(PRODUCE!$B274:$DY274,PRODUCE!$EB$44:$IY$44)</f>
        <v>0</v>
      </c>
      <c r="MB273" s="56"/>
      <c r="MC273" s="242">
        <f t="shared" si="1854"/>
        <v>0</v>
      </c>
      <c r="MD273" s="242">
        <f t="shared" si="1855"/>
        <v>0</v>
      </c>
      <c r="ME273" s="56"/>
      <c r="MH273" s="55">
        <f t="shared" si="1856"/>
        <v>46254</v>
      </c>
      <c r="MI273" s="56"/>
      <c r="MJ273" s="242">
        <f>SUMPRODUCT(PRODUCE!$B274:$DY274,PRODUCE!$EB$45:$IY$45)</f>
        <v>0</v>
      </c>
      <c r="MK273" s="56"/>
      <c r="ML273" s="242">
        <f t="shared" si="1857"/>
        <v>0</v>
      </c>
      <c r="MM273" s="242">
        <f t="shared" si="1858"/>
        <v>0</v>
      </c>
      <c r="MN273" s="56"/>
      <c r="MQ273" s="55">
        <f t="shared" si="1859"/>
        <v>46254</v>
      </c>
      <c r="MR273" s="56"/>
      <c r="MS273" s="242">
        <f>SUMPRODUCT(PRODUCE!$B274:$DY274,PRODUCE!$EB$46:$IY$46)</f>
        <v>0</v>
      </c>
      <c r="MT273" s="56"/>
      <c r="MU273" s="242">
        <f t="shared" si="1860"/>
        <v>0</v>
      </c>
      <c r="MV273" s="242">
        <f t="shared" si="1861"/>
        <v>1625</v>
      </c>
      <c r="MW273" s="56"/>
      <c r="MZ273" s="55">
        <f t="shared" si="1862"/>
        <v>46254</v>
      </c>
      <c r="NA273" s="56"/>
      <c r="NB273" s="242">
        <f>SUMPRODUCT(PRODUCE!$B274:$DY274,PRODUCE!$EB$47:$IY$47)</f>
        <v>0</v>
      </c>
      <c r="NC273" s="56"/>
      <c r="ND273" s="242">
        <f t="shared" si="1863"/>
        <v>0</v>
      </c>
      <c r="NE273" s="242">
        <f t="shared" si="1864"/>
        <v>0</v>
      </c>
      <c r="NF273" s="56"/>
      <c r="NI273" s="55">
        <f t="shared" si="1865"/>
        <v>46254</v>
      </c>
      <c r="NJ273" s="56"/>
      <c r="NK273" s="242">
        <f>SUMPRODUCT(PRODUCE!$B274:$DY274,PRODUCE!$EB$48:$IY$48)</f>
        <v>0</v>
      </c>
      <c r="NL273" s="56"/>
      <c r="NM273" s="242">
        <f t="shared" si="1866"/>
        <v>0</v>
      </c>
      <c r="NN273" s="242">
        <f t="shared" si="1867"/>
        <v>1127</v>
      </c>
      <c r="NO273" s="56"/>
      <c r="NR273" s="55">
        <f t="shared" si="1868"/>
        <v>46254</v>
      </c>
      <c r="NS273" s="56"/>
      <c r="NT273" s="242">
        <f>SUMPRODUCT(PRODUCE!$B274:$DY274,PRODUCE!$EB$49:$IY$49)</f>
        <v>0</v>
      </c>
      <c r="NU273" s="56"/>
      <c r="NV273" s="242">
        <f t="shared" si="1869"/>
        <v>0</v>
      </c>
      <c r="NW273" s="242">
        <f t="shared" si="1870"/>
        <v>3111.9999999999995</v>
      </c>
      <c r="NX273" s="56"/>
      <c r="OA273" s="55">
        <f t="shared" si="1871"/>
        <v>46254</v>
      </c>
      <c r="OB273" s="56"/>
      <c r="OC273" s="242">
        <f>SUMPRODUCT(PRODUCE!$B274:$DY274,PRODUCE!$EB$50:$IY$50)</f>
        <v>0</v>
      </c>
      <c r="OD273" s="56"/>
      <c r="OE273" s="242">
        <f t="shared" si="1872"/>
        <v>0</v>
      </c>
      <c r="OF273" s="242">
        <f t="shared" si="1873"/>
        <v>1680.5</v>
      </c>
      <c r="OG273" s="56"/>
      <c r="OJ273" s="55">
        <f t="shared" si="1874"/>
        <v>46254</v>
      </c>
      <c r="OK273" s="56"/>
      <c r="OL273" s="242">
        <f>SUMPRODUCT(PRODUCE!$B274:$DY274,PRODUCE!$EB$51:$IY$51)</f>
        <v>0</v>
      </c>
      <c r="OM273" s="56"/>
      <c r="ON273" s="242">
        <f t="shared" si="1875"/>
        <v>0</v>
      </c>
      <c r="OO273" s="242">
        <f t="shared" si="1876"/>
        <v>0</v>
      </c>
      <c r="OP273" s="56"/>
      <c r="OS273" s="55">
        <f t="shared" si="1877"/>
        <v>46254</v>
      </c>
      <c r="OT273" s="56"/>
      <c r="OU273" s="242">
        <f>SUMPRODUCT(PRODUCE!$B274:$DY274,PRODUCE!$EB$52:$IY$52)</f>
        <v>0</v>
      </c>
      <c r="OV273" s="56"/>
      <c r="OW273" s="242">
        <f t="shared" si="1878"/>
        <v>0</v>
      </c>
      <c r="OX273" s="242">
        <f t="shared" si="1879"/>
        <v>1482</v>
      </c>
      <c r="OY273" s="56"/>
      <c r="PB273" s="55">
        <f t="shared" si="1880"/>
        <v>46254</v>
      </c>
      <c r="PC273" s="56"/>
      <c r="PD273" s="242">
        <f>SUMPRODUCT(PRODUCE!$B274:$DY274,PRODUCE!$EB$53:$IY$53)</f>
        <v>0</v>
      </c>
      <c r="PE273" s="56"/>
      <c r="PF273" s="242">
        <f t="shared" si="1881"/>
        <v>0</v>
      </c>
      <c r="PG273" s="242">
        <f t="shared" si="1882"/>
        <v>0</v>
      </c>
      <c r="PH273" s="56"/>
      <c r="PK273" s="55">
        <f t="shared" si="1883"/>
        <v>46254</v>
      </c>
      <c r="PL273" s="56"/>
      <c r="PM273" s="242">
        <f>SUMPRODUCT(PRODUCE!$B274:$DY274,PRODUCE!$EB$54:$IY$54)</f>
        <v>0</v>
      </c>
      <c r="PN273" s="56"/>
      <c r="PO273" s="242">
        <f t="shared" si="1884"/>
        <v>0</v>
      </c>
      <c r="PP273" s="242">
        <f t="shared" si="1885"/>
        <v>100</v>
      </c>
      <c r="PQ273" s="56"/>
      <c r="PT273" s="55">
        <f t="shared" si="1886"/>
        <v>46254</v>
      </c>
      <c r="PU273" s="56"/>
      <c r="PV273" s="242">
        <f>SUMPRODUCT(PRODUCE!$B274:$DY274,PRODUCE!$EB$55:$IY$55)</f>
        <v>0</v>
      </c>
      <c r="PW273" s="56"/>
      <c r="PX273" s="242">
        <f t="shared" si="1887"/>
        <v>0</v>
      </c>
      <c r="PY273" s="242">
        <f t="shared" si="1888"/>
        <v>13.960000000000036</v>
      </c>
      <c r="PZ273" s="56"/>
      <c r="QC273" s="55">
        <f t="shared" si="1889"/>
        <v>46254</v>
      </c>
      <c r="QD273" s="56"/>
      <c r="QE273" s="242">
        <f>SUMPRODUCT(PRODUCE!$B274:$DY274,PRODUCE!$EB$56:$IY$56)</f>
        <v>0</v>
      </c>
      <c r="QF273" s="56"/>
      <c r="QG273" s="242">
        <f t="shared" si="1890"/>
        <v>0</v>
      </c>
      <c r="QH273" s="242">
        <f t="shared" si="1891"/>
        <v>548</v>
      </c>
      <c r="QI273" s="56"/>
      <c r="QL273" s="55">
        <f t="shared" si="1892"/>
        <v>46254</v>
      </c>
      <c r="QM273" s="56"/>
      <c r="QN273" s="242">
        <f>SUMPRODUCT(PRODUCE!$B274:$DY274,PRODUCE!$EB$57:$IY$57)</f>
        <v>0</v>
      </c>
      <c r="QO273" s="56"/>
      <c r="QP273" s="242">
        <f t="shared" si="1893"/>
        <v>0</v>
      </c>
      <c r="QQ273" s="242">
        <f t="shared" si="1894"/>
        <v>0</v>
      </c>
      <c r="QR273" s="56"/>
      <c r="QU273" s="55">
        <f t="shared" si="1895"/>
        <v>46254</v>
      </c>
      <c r="QV273" s="56"/>
      <c r="QW273" s="242">
        <f>SUMPRODUCT(PRODUCE!$B274:$DY274,PRODUCE!$EB$57:$IY$57)</f>
        <v>0</v>
      </c>
      <c r="QX273" s="56"/>
      <c r="QY273" s="242">
        <f t="shared" si="1896"/>
        <v>0</v>
      </c>
      <c r="QZ273" s="242">
        <f t="shared" si="1897"/>
        <v>0</v>
      </c>
      <c r="RA273" s="56"/>
      <c r="RD273" s="55">
        <f t="shared" si="1898"/>
        <v>46254</v>
      </c>
      <c r="RE273" s="56"/>
      <c r="RF273" s="242">
        <f>SUMPRODUCT(PRODUCE!$B274:$DY274,PRODUCE!$EB$58:$IY$58)</f>
        <v>0</v>
      </c>
      <c r="RG273" s="56"/>
      <c r="RH273" s="242">
        <f t="shared" si="1899"/>
        <v>0</v>
      </c>
      <c r="RI273" s="242">
        <f t="shared" si="1900"/>
        <v>147.04000000000002</v>
      </c>
      <c r="RJ273" s="56"/>
      <c r="RM273" s="55">
        <f t="shared" si="1901"/>
        <v>46254</v>
      </c>
      <c r="RN273" s="56"/>
      <c r="RO273" s="242">
        <f>SUMPRODUCT(PRODUCE!$B274:$DY274,PRODUCE!$EB$59:$IY$59)</f>
        <v>0</v>
      </c>
      <c r="RP273" s="56"/>
      <c r="RQ273" s="242">
        <f t="shared" si="1902"/>
        <v>0</v>
      </c>
      <c r="RR273" s="242">
        <f t="shared" si="1903"/>
        <v>46.8</v>
      </c>
      <c r="RS273" s="56"/>
      <c r="RV273" s="55">
        <f t="shared" si="1904"/>
        <v>46254</v>
      </c>
      <c r="RW273" s="56"/>
      <c r="RX273" s="242">
        <f>SUMPRODUCT(PRODUCE!$B274:$DY274,PRODUCE!$EB$57:$IY$57)</f>
        <v>0</v>
      </c>
      <c r="RY273" s="56"/>
      <c r="RZ273" s="242">
        <f t="shared" si="1905"/>
        <v>0</v>
      </c>
      <c r="SA273" s="242">
        <f t="shared" si="1906"/>
        <v>0</v>
      </c>
      <c r="SB273" s="56"/>
      <c r="SE273" s="55">
        <f t="shared" si="1907"/>
        <v>46254</v>
      </c>
      <c r="SF273" s="56"/>
      <c r="SG273" s="242">
        <f>SUMPRODUCT(PRODUCE!$B274:$DY274,PRODUCE!$EB$61:$IY$61)</f>
        <v>0</v>
      </c>
      <c r="SH273" s="56"/>
      <c r="SI273" s="242">
        <f t="shared" si="1908"/>
        <v>0</v>
      </c>
      <c r="SJ273" s="242">
        <f t="shared" si="1909"/>
        <v>24.200000000000003</v>
      </c>
      <c r="SK273" s="56"/>
      <c r="SN273" s="55">
        <f t="shared" si="1910"/>
        <v>46254</v>
      </c>
      <c r="SO273" s="56"/>
      <c r="SP273" s="242">
        <f>SUMPRODUCT(PRODUCE!$B274:$DY274,PRODUCE!$EB$62:$IY$62)</f>
        <v>0</v>
      </c>
      <c r="SQ273" s="56"/>
      <c r="SR273" s="242">
        <f t="shared" si="1911"/>
        <v>0</v>
      </c>
      <c r="SS273" s="242">
        <f t="shared" si="1912"/>
        <v>32</v>
      </c>
      <c r="ST273" s="56"/>
      <c r="SW273" s="55">
        <f t="shared" si="1913"/>
        <v>46254</v>
      </c>
      <c r="SX273" s="56"/>
      <c r="SY273" s="242">
        <f>SUMPRODUCT(PRODUCE!$B274:$DY274,PRODUCE!$EB$57:$IY$57)</f>
        <v>0</v>
      </c>
      <c r="SZ273" s="56"/>
      <c r="TA273" s="242">
        <f t="shared" si="1914"/>
        <v>0</v>
      </c>
      <c r="TB273" s="242">
        <f t="shared" si="1915"/>
        <v>0</v>
      </c>
      <c r="TC273" s="56"/>
      <c r="TF273" s="55">
        <f t="shared" si="1916"/>
        <v>46254</v>
      </c>
      <c r="TG273" s="56"/>
      <c r="TH273" s="242">
        <f>SUMPRODUCT(PRODUCE!$B274:$DY274,PRODUCE!$EB$57:$IY$57)</f>
        <v>0</v>
      </c>
      <c r="TI273" s="56"/>
      <c r="TJ273" s="242">
        <f t="shared" si="1917"/>
        <v>0</v>
      </c>
      <c r="TK273" s="242">
        <f t="shared" si="1918"/>
        <v>0</v>
      </c>
      <c r="TL273" s="56"/>
      <c r="TO273" s="55">
        <f t="shared" si="1919"/>
        <v>46254</v>
      </c>
      <c r="TP273" s="56"/>
      <c r="TQ273" s="242">
        <f>SUMPRODUCT(PRODUCE!$B274:$DY274,PRODUCE!$EB$57:$IY$57)</f>
        <v>0</v>
      </c>
      <c r="TR273" s="56"/>
      <c r="TS273" s="242">
        <f t="shared" si="1920"/>
        <v>0</v>
      </c>
      <c r="TT273" s="242">
        <f t="shared" si="1921"/>
        <v>0</v>
      </c>
      <c r="TU273" s="56"/>
      <c r="TX273" s="55">
        <f t="shared" si="1922"/>
        <v>46254</v>
      </c>
      <c r="TY273" s="56"/>
      <c r="TZ273" s="242">
        <f>SUMPRODUCT(PRODUCE!$B274:$DY274,PRODUCE!$EB$57:$IY$57)</f>
        <v>0</v>
      </c>
      <c r="UA273" s="56"/>
      <c r="UB273" s="242">
        <f t="shared" si="1923"/>
        <v>0</v>
      </c>
      <c r="UC273" s="242">
        <f t="shared" si="1924"/>
        <v>46.799999999999983</v>
      </c>
      <c r="UD273" s="56"/>
      <c r="UG273" s="55">
        <f t="shared" si="1925"/>
        <v>46254</v>
      </c>
      <c r="UH273" s="56"/>
      <c r="UI273" s="242">
        <f>SUMPRODUCT(PRODUCE!$B274:$DY274,PRODUCE!$EB$57:$IY$57)</f>
        <v>0</v>
      </c>
      <c r="UJ273" s="56"/>
      <c r="UK273" s="242">
        <f t="shared" si="1926"/>
        <v>0</v>
      </c>
      <c r="UL273" s="242">
        <f t="shared" si="1927"/>
        <v>204</v>
      </c>
      <c r="UM273" s="56"/>
      <c r="UP273" s="55">
        <f t="shared" si="1928"/>
        <v>46254</v>
      </c>
      <c r="UQ273" s="56"/>
      <c r="UR273" s="242">
        <f>SUMPRODUCT(PRODUCE!$B274:$DY274,PRODUCE!$EB$57:$IY$57)</f>
        <v>0</v>
      </c>
      <c r="US273" s="56"/>
      <c r="UT273" s="242">
        <f t="shared" si="1929"/>
        <v>0</v>
      </c>
      <c r="UU273" s="242">
        <f t="shared" si="1930"/>
        <v>202.5</v>
      </c>
      <c r="UV273" s="56"/>
      <c r="UY273" s="55">
        <f t="shared" si="1931"/>
        <v>46254</v>
      </c>
      <c r="UZ273" s="56"/>
      <c r="VA273" s="242">
        <f>SUMPRODUCT(PRODUCE!$B274:$DY274,PRODUCE!$EB$57:$IY$57)</f>
        <v>0</v>
      </c>
      <c r="VB273" s="56"/>
      <c r="VC273" s="242">
        <f t="shared" si="1932"/>
        <v>0</v>
      </c>
      <c r="VD273" s="242">
        <f t="shared" si="1933"/>
        <v>41.600000000000023</v>
      </c>
      <c r="VE273" s="56"/>
      <c r="VH273" s="55">
        <f t="shared" si="1934"/>
        <v>46254</v>
      </c>
      <c r="VI273" s="56"/>
      <c r="VJ273" s="242">
        <f>SUMPRODUCT(PRODUCE!$B274:$DY274,PRODUCE!$EB$57:$IY$57)</f>
        <v>0</v>
      </c>
      <c r="VK273" s="56"/>
      <c r="VL273" s="242">
        <f t="shared" si="1935"/>
        <v>0</v>
      </c>
      <c r="VM273" s="242">
        <f t="shared" si="1936"/>
        <v>210</v>
      </c>
      <c r="VN273" s="56"/>
      <c r="VQ273" s="55">
        <f t="shared" si="1937"/>
        <v>46254</v>
      </c>
      <c r="VR273" s="56"/>
      <c r="VS273" s="242">
        <f>SUMPRODUCT(PRODUCE!$B274:$DY274,PRODUCE!$EB$57:$IY$57)</f>
        <v>0</v>
      </c>
      <c r="VT273" s="56"/>
      <c r="VU273" s="242">
        <f t="shared" si="1938"/>
        <v>0</v>
      </c>
      <c r="VV273" s="242">
        <f t="shared" si="1939"/>
        <v>0</v>
      </c>
      <c r="VW273" s="56"/>
      <c r="VZ273" s="55">
        <f t="shared" si="1940"/>
        <v>46254</v>
      </c>
      <c r="WA273" s="56"/>
      <c r="WB273" s="242">
        <f>SUMPRODUCT(PRODUCE!$B274:$DY274,PRODUCE!$EB$57:$IY$57)</f>
        <v>0</v>
      </c>
      <c r="WC273" s="56"/>
      <c r="WD273" s="242">
        <f t="shared" si="1941"/>
        <v>0</v>
      </c>
      <c r="WE273" s="242">
        <f t="shared" si="1942"/>
        <v>0</v>
      </c>
      <c r="WF273" s="56"/>
      <c r="WI273" s="55">
        <f t="shared" si="1943"/>
        <v>46254</v>
      </c>
      <c r="WJ273" s="56"/>
      <c r="WK273" s="242">
        <f>SUMPRODUCT(PRODUCE!$B274:$DY274,PRODUCE!$EB$57:$IY$57)</f>
        <v>0</v>
      </c>
      <c r="WL273" s="56"/>
      <c r="WM273" s="242">
        <f t="shared" si="1944"/>
        <v>0</v>
      </c>
      <c r="WN273" s="242">
        <f t="shared" si="1945"/>
        <v>1057</v>
      </c>
      <c r="WO273" s="56"/>
      <c r="WR273" s="55">
        <f t="shared" si="1946"/>
        <v>46254</v>
      </c>
      <c r="WS273" s="56"/>
      <c r="WT273" s="242">
        <f>SUMPRODUCT(PRODUCE!$B274:$DY274,PRODUCE!$EB$57:$IY$57)</f>
        <v>0</v>
      </c>
      <c r="WU273" s="56"/>
      <c r="WV273" s="242">
        <f t="shared" si="1947"/>
        <v>0</v>
      </c>
      <c r="WW273" s="242">
        <f t="shared" si="1948"/>
        <v>0</v>
      </c>
      <c r="WX273" s="56"/>
      <c r="XA273" s="55">
        <f t="shared" si="1949"/>
        <v>46254</v>
      </c>
      <c r="XB273" s="56"/>
      <c r="XC273" s="242">
        <f>SUMPRODUCT(PRODUCE!$B274:$DY274,PRODUCE!$EB$57:$IY$57)</f>
        <v>0</v>
      </c>
      <c r="XD273" s="56"/>
      <c r="XE273" s="242">
        <f t="shared" si="1950"/>
        <v>0</v>
      </c>
      <c r="XF273" s="242">
        <f t="shared" si="1951"/>
        <v>7507</v>
      </c>
      <c r="XG273" s="56"/>
      <c r="XJ273" s="55">
        <f t="shared" si="1952"/>
        <v>46254</v>
      </c>
      <c r="XK273" s="56"/>
      <c r="XL273" s="242">
        <f>SUMPRODUCT(PRODUCE!$B274:$DY274,PRODUCE!$EB$57:$IY$57)</f>
        <v>0</v>
      </c>
      <c r="XM273" s="56"/>
      <c r="XN273" s="242">
        <f t="shared" si="1953"/>
        <v>0</v>
      </c>
      <c r="XO273" s="242">
        <f t="shared" si="1954"/>
        <v>4252</v>
      </c>
      <c r="XP273" s="56"/>
      <c r="XS273" s="55">
        <f t="shared" si="1955"/>
        <v>46254</v>
      </c>
      <c r="XT273" s="56"/>
      <c r="XU273" s="242">
        <f>SUMPRODUCT(PRODUCE!$B274:$DY274,PRODUCE!$EB$57:$IY$57)</f>
        <v>0</v>
      </c>
      <c r="XV273" s="56"/>
      <c r="XW273" s="242">
        <f t="shared" si="1956"/>
        <v>0</v>
      </c>
      <c r="XX273" s="242">
        <f t="shared" si="1957"/>
        <v>2179</v>
      </c>
      <c r="XY273" s="56"/>
      <c r="YB273" s="55">
        <f t="shared" si="1958"/>
        <v>46254</v>
      </c>
      <c r="YC273" s="56"/>
      <c r="YD273" s="242">
        <f>SUMPRODUCT(PRODUCE!$B274:$DY274,PRODUCE!$EB$57:$IY$57)</f>
        <v>0</v>
      </c>
      <c r="YE273" s="56"/>
      <c r="YF273" s="242">
        <f t="shared" si="1959"/>
        <v>0</v>
      </c>
      <c r="YG273" s="242">
        <f t="shared" si="1960"/>
        <v>4019</v>
      </c>
      <c r="YH273" s="56"/>
      <c r="YK273" s="55">
        <f t="shared" si="1961"/>
        <v>46254</v>
      </c>
      <c r="YL273" s="56"/>
      <c r="YM273" s="242">
        <f>SUMPRODUCT(PRODUCE!$B274:$DY274,PRODUCE!$EB$57:$IY$57)</f>
        <v>0</v>
      </c>
      <c r="YN273" s="56"/>
      <c r="YO273" s="242">
        <f t="shared" si="1962"/>
        <v>0</v>
      </c>
      <c r="YP273" s="242">
        <f t="shared" si="1963"/>
        <v>-218</v>
      </c>
      <c r="YQ273" s="56"/>
      <c r="YT273" s="55">
        <f t="shared" si="1964"/>
        <v>46254</v>
      </c>
      <c r="YU273" s="56"/>
      <c r="YV273" s="242">
        <f>SUMPRODUCT(PRODUCE!$B274:$DY274,PRODUCE!$EB$57:$IY$57)</f>
        <v>0</v>
      </c>
      <c r="YW273" s="56"/>
      <c r="YX273" s="242">
        <f t="shared" si="1965"/>
        <v>0</v>
      </c>
      <c r="YY273" s="242">
        <f t="shared" si="1966"/>
        <v>0</v>
      </c>
      <c r="YZ273" s="56"/>
      <c r="ZC273" s="55">
        <f t="shared" si="1967"/>
        <v>46254</v>
      </c>
      <c r="ZD273" s="56"/>
      <c r="ZE273" s="242">
        <f>SUMPRODUCT(PRODUCE!$B274:$DY274,PRODUCE!$EB$57:$IY$57)</f>
        <v>0</v>
      </c>
      <c r="ZF273" s="56"/>
      <c r="ZG273" s="242">
        <f t="shared" si="1968"/>
        <v>0</v>
      </c>
      <c r="ZH273" s="242">
        <f t="shared" si="1969"/>
        <v>0</v>
      </c>
      <c r="ZI273" s="56"/>
      <c r="ZL273" s="55">
        <f t="shared" si="1970"/>
        <v>46254</v>
      </c>
      <c r="ZM273" s="56"/>
      <c r="ZN273" s="242">
        <f>SUMPRODUCT(PRODUCE!$B274:$DY274,PRODUCE!$EB$57:$IY$57)</f>
        <v>0</v>
      </c>
      <c r="ZO273" s="56"/>
      <c r="ZP273" s="242">
        <f t="shared" si="1971"/>
        <v>0</v>
      </c>
      <c r="ZQ273" s="242">
        <f t="shared" si="1972"/>
        <v>0</v>
      </c>
      <c r="ZR273" s="56"/>
      <c r="ZU273" s="55">
        <f t="shared" si="1973"/>
        <v>46254</v>
      </c>
      <c r="ZV273" s="56"/>
      <c r="ZW273" s="242">
        <f>SUMPRODUCT(PRODUCE!$B274:$DY274,PRODUCE!$EB$57:$IY$57)</f>
        <v>0</v>
      </c>
      <c r="ZX273" s="56"/>
      <c r="ZY273" s="242">
        <f t="shared" si="1974"/>
        <v>0</v>
      </c>
      <c r="ZZ273" s="242">
        <f t="shared" si="1975"/>
        <v>0</v>
      </c>
      <c r="AAA273" s="56"/>
      <c r="AAD273" s="55">
        <f t="shared" si="1976"/>
        <v>46254</v>
      </c>
      <c r="AAE273" s="56"/>
      <c r="AAF273" s="242">
        <f>SUMPRODUCT(PRODUCE!$B274:$DY274,PRODUCE!$EB$57:$IY$57)</f>
        <v>0</v>
      </c>
      <c r="AAG273" s="56"/>
      <c r="AAH273" s="242">
        <f t="shared" si="1977"/>
        <v>0</v>
      </c>
      <c r="AAI273" s="242">
        <f t="shared" si="1978"/>
        <v>0</v>
      </c>
      <c r="AAJ273" s="56"/>
      <c r="AAM273" s="55">
        <f t="shared" si="1979"/>
        <v>46254</v>
      </c>
      <c r="AAN273" s="56"/>
      <c r="AAO273" s="242">
        <f>SUMPRODUCT(PRODUCE!$B274:$DY274,PRODUCE!$EB$57:$IY$57)</f>
        <v>0</v>
      </c>
      <c r="AAP273" s="56"/>
      <c r="AAQ273" s="242">
        <f t="shared" si="1980"/>
        <v>0</v>
      </c>
      <c r="AAR273" s="242">
        <f t="shared" si="1981"/>
        <v>0</v>
      </c>
      <c r="AAS273" s="56"/>
      <c r="AAV273" s="55">
        <f t="shared" si="1982"/>
        <v>46254</v>
      </c>
      <c r="AAW273" s="56"/>
      <c r="AAX273" s="242">
        <f>SUMPRODUCT(PRODUCE!$B274:$DY274,PRODUCE!$EB$57:$IY$57)</f>
        <v>0</v>
      </c>
      <c r="AAY273" s="56"/>
      <c r="AAZ273" s="242">
        <f t="shared" si="1983"/>
        <v>0</v>
      </c>
      <c r="ABA273" s="242">
        <f t="shared" si="1984"/>
        <v>0</v>
      </c>
      <c r="ABB273" s="56"/>
      <c r="ABE273" s="55">
        <f t="shared" si="1985"/>
        <v>46254</v>
      </c>
      <c r="ABF273" s="56"/>
      <c r="ABG273" s="242">
        <f>SUMPRODUCT(PRODUCE!$B274:$DY274,PRODUCE!$EB$57:$IY$57)</f>
        <v>0</v>
      </c>
      <c r="ABH273" s="56"/>
      <c r="ABI273" s="242">
        <f t="shared" si="1986"/>
        <v>0</v>
      </c>
      <c r="ABJ273" s="242">
        <f t="shared" si="1987"/>
        <v>0</v>
      </c>
      <c r="ABK273" s="56"/>
    </row>
    <row r="274" spans="1:739" s="54" customFormat="1" ht="15" customHeight="1" outlineLevel="1">
      <c r="B274" s="478"/>
      <c r="C274" s="55">
        <v>46255</v>
      </c>
      <c r="D274" s="56"/>
      <c r="E274" s="57">
        <f>SUMPRODUCT(PRODUCE!$B275:$DY275,PRODUCE!$EB$7:$IY$7)</f>
        <v>0</v>
      </c>
      <c r="F274" s="56"/>
      <c r="G274" s="57">
        <f t="shared" si="1743"/>
        <v>0</v>
      </c>
      <c r="H274" s="57">
        <f t="shared" si="1744"/>
        <v>236936.6</v>
      </c>
      <c r="I274" s="289"/>
      <c r="L274" s="55">
        <f t="shared" si="1745"/>
        <v>46255</v>
      </c>
      <c r="M274" s="56"/>
      <c r="N274" s="59">
        <f>SUMPRODUCT(PRODUCE!$B275:$DY275,PRODUCE!$EB$8:$IY$8)</f>
        <v>0</v>
      </c>
      <c r="O274" s="56"/>
      <c r="P274" s="59">
        <f t="shared" si="1746"/>
        <v>0</v>
      </c>
      <c r="Q274" s="59">
        <f t="shared" si="1747"/>
        <v>53017.600000000071</v>
      </c>
      <c r="R274" s="56"/>
      <c r="U274" s="55">
        <f t="shared" si="1748"/>
        <v>46255</v>
      </c>
      <c r="V274" s="56"/>
      <c r="W274" s="60">
        <f>SUMPRODUCT(PRODUCE!$B275:$DY275,PRODUCE!$EB$9:$IY$9)</f>
        <v>0</v>
      </c>
      <c r="X274" s="56"/>
      <c r="Y274" s="60">
        <f t="shared" si="1749"/>
        <v>0</v>
      </c>
      <c r="Z274" s="60">
        <f t="shared" si="1750"/>
        <v>42674.199999999968</v>
      </c>
      <c r="AA274" s="56"/>
      <c r="AD274" s="55">
        <f t="shared" si="1751"/>
        <v>46255</v>
      </c>
      <c r="AE274" s="56"/>
      <c r="AF274" s="61">
        <f>SUMPRODUCT(PRODUCE!$B275:$DY275,PRODUCE!$EB$10:$IY$10)</f>
        <v>0</v>
      </c>
      <c r="AG274" s="56"/>
      <c r="AH274" s="61">
        <f t="shared" si="1752"/>
        <v>0</v>
      </c>
      <c r="AI274" s="61">
        <f t="shared" si="1753"/>
        <v>4522.2000000000189</v>
      </c>
      <c r="AJ274" s="56"/>
      <c r="AM274" s="55">
        <f t="shared" si="1754"/>
        <v>46255</v>
      </c>
      <c r="AN274" s="422"/>
      <c r="AO274" s="444">
        <f>SUMPRODUCT(PRODUCE!$B275:$DY275,PRODUCE!$EB$11:$IY$11)</f>
        <v>0</v>
      </c>
      <c r="AP274" s="422"/>
      <c r="AQ274" s="444">
        <f t="shared" si="1755"/>
        <v>0</v>
      </c>
      <c r="AR274" s="444">
        <f t="shared" si="1756"/>
        <v>0</v>
      </c>
      <c r="AS274" s="56"/>
      <c r="AV274" s="55">
        <f t="shared" si="1757"/>
        <v>46255</v>
      </c>
      <c r="AW274" s="56"/>
      <c r="AX274" s="62">
        <f>SUMPRODUCT(PRODUCE!$B275:$DY275,PRODUCE!$EB$12:$IY$12)</f>
        <v>0</v>
      </c>
      <c r="AY274" s="56"/>
      <c r="AZ274" s="62">
        <f t="shared" si="1758"/>
        <v>0</v>
      </c>
      <c r="BA274" s="62">
        <f t="shared" si="1759"/>
        <v>124.99999999999523</v>
      </c>
      <c r="BB274" s="56"/>
      <c r="BE274" s="55">
        <f t="shared" si="1760"/>
        <v>46255</v>
      </c>
      <c r="BF274" s="56"/>
      <c r="BG274" s="63">
        <f>SUMPRODUCT(PRODUCE!$B275:$DY275,PRODUCE!$EB$13:$IY$13)</f>
        <v>0</v>
      </c>
      <c r="BH274" s="56"/>
      <c r="BI274" s="63">
        <f t="shared" si="1761"/>
        <v>0</v>
      </c>
      <c r="BJ274" s="63">
        <f t="shared" si="1762"/>
        <v>26151.899999999998</v>
      </c>
      <c r="BK274" s="56"/>
      <c r="BN274" s="55">
        <f t="shared" si="1763"/>
        <v>46255</v>
      </c>
      <c r="BO274" s="56"/>
      <c r="BP274" s="64">
        <f>SUMPRODUCT(PRODUCE!$B275:$DY275,PRODUCE!$EB$14:$IY$14)</f>
        <v>0</v>
      </c>
      <c r="BQ274" s="56"/>
      <c r="BR274" s="64">
        <f t="shared" si="1764"/>
        <v>0</v>
      </c>
      <c r="BS274" s="64">
        <f t="shared" si="1765"/>
        <v>0</v>
      </c>
      <c r="BT274" s="56"/>
      <c r="BW274" s="55">
        <f t="shared" si="1766"/>
        <v>46255</v>
      </c>
      <c r="BX274" s="56"/>
      <c r="BY274" s="65">
        <f>SUMPRODUCT(PRODUCE!$B275:$DY275,PRODUCE!$EB$15:$IY$15)</f>
        <v>0</v>
      </c>
      <c r="BZ274" s="56"/>
      <c r="CA274" s="65">
        <f t="shared" si="1767"/>
        <v>0</v>
      </c>
      <c r="CB274" s="65">
        <f t="shared" si="1768"/>
        <v>2097.3399999999992</v>
      </c>
      <c r="CC274" s="56"/>
      <c r="CF274" s="55">
        <f t="shared" si="1769"/>
        <v>46255</v>
      </c>
      <c r="CG274" s="56"/>
      <c r="CH274" s="66">
        <f>SUMPRODUCT(PRODUCE!$B275:$DY275,PRODUCE!$EB$16:$IY$16)</f>
        <v>0</v>
      </c>
      <c r="CI274" s="56"/>
      <c r="CJ274" s="66">
        <f t="shared" si="1770"/>
        <v>0</v>
      </c>
      <c r="CK274" s="66">
        <f t="shared" si="1771"/>
        <v>-10277.079999999998</v>
      </c>
      <c r="CL274" s="56"/>
      <c r="CO274" s="55">
        <f t="shared" si="1772"/>
        <v>46255</v>
      </c>
      <c r="CP274" s="422"/>
      <c r="CQ274" s="470">
        <f>SUMPRODUCT(PRODUCE!$B275:$DY275,PRODUCE!$EB$17:$IY$17)</f>
        <v>0</v>
      </c>
      <c r="CR274" s="422"/>
      <c r="CS274" s="470">
        <f t="shared" si="1773"/>
        <v>0</v>
      </c>
      <c r="CT274" s="470">
        <f t="shared" si="1774"/>
        <v>0</v>
      </c>
      <c r="CU274" s="56"/>
      <c r="CX274" s="55">
        <f t="shared" si="1775"/>
        <v>46255</v>
      </c>
      <c r="CY274" s="56"/>
      <c r="CZ274" s="133">
        <f>SUMPRODUCT(PRODUCE!$B275:$DY275,PRODUCE!$EB$18:$IY$18)</f>
        <v>0</v>
      </c>
      <c r="DA274" s="56"/>
      <c r="DB274" s="133">
        <f t="shared" si="1776"/>
        <v>0</v>
      </c>
      <c r="DC274" s="133">
        <f t="shared" si="1777"/>
        <v>27438.200000000012</v>
      </c>
      <c r="DD274" s="56"/>
      <c r="DG274" s="55">
        <f t="shared" si="1778"/>
        <v>46255</v>
      </c>
      <c r="DH274" s="56"/>
      <c r="DI274" s="147">
        <f>SUMPRODUCT(PRODUCE!$B275:$DY275,PRODUCE!$EB$19:$IY$19)</f>
        <v>0</v>
      </c>
      <c r="DJ274" s="56"/>
      <c r="DK274" s="147">
        <f t="shared" si="1779"/>
        <v>0</v>
      </c>
      <c r="DL274" s="147">
        <f t="shared" si="1780"/>
        <v>18782.299999999981</v>
      </c>
      <c r="DM274" s="56"/>
      <c r="DP274" s="55">
        <f t="shared" si="1781"/>
        <v>46255</v>
      </c>
      <c r="DQ274" s="56"/>
      <c r="DR274" s="57">
        <f>SUMPRODUCT(PRODUCE!$B275:$DY275,PRODUCE!$EB$20:$IY$20)</f>
        <v>0</v>
      </c>
      <c r="DS274" s="56"/>
      <c r="DT274" s="57">
        <f t="shared" si="1782"/>
        <v>0</v>
      </c>
      <c r="DU274" s="57">
        <f t="shared" si="1783"/>
        <v>5800</v>
      </c>
      <c r="DV274" s="56"/>
      <c r="DY274" s="55">
        <f t="shared" si="1784"/>
        <v>46255</v>
      </c>
      <c r="DZ274" s="56"/>
      <c r="EA274" s="157">
        <f>SUMPRODUCT(PRODUCE!$B275:$DY275,PRODUCE!$EB$21:$IY$21)</f>
        <v>0</v>
      </c>
      <c r="EB274" s="56"/>
      <c r="EC274" s="157">
        <f t="shared" si="1785"/>
        <v>0</v>
      </c>
      <c r="ED274" s="157">
        <f t="shared" si="1786"/>
        <v>0</v>
      </c>
      <c r="EE274" s="56"/>
      <c r="EH274" s="55">
        <f t="shared" si="1787"/>
        <v>46255</v>
      </c>
      <c r="EI274" s="56"/>
      <c r="EJ274" s="162">
        <f>SUMPRODUCT(PRODUCE!$B275:$DY275,PRODUCE!$EB$22:$IY$22)</f>
        <v>0</v>
      </c>
      <c r="EK274" s="56"/>
      <c r="EL274" s="162">
        <f t="shared" si="1788"/>
        <v>0</v>
      </c>
      <c r="EM274" s="162">
        <f t="shared" si="1789"/>
        <v>0</v>
      </c>
      <c r="EN274" s="56"/>
      <c r="EQ274" s="55">
        <f t="shared" si="1790"/>
        <v>46255</v>
      </c>
      <c r="ER274" s="56"/>
      <c r="ES274" s="135">
        <f>SUMPRODUCT(PRODUCE!$B275:$DY275,PRODUCE!$EB$23:$IY$23)</f>
        <v>0</v>
      </c>
      <c r="ET274" s="56"/>
      <c r="EU274" s="135">
        <f t="shared" si="1791"/>
        <v>0</v>
      </c>
      <c r="EV274" s="135">
        <f t="shared" si="1792"/>
        <v>0</v>
      </c>
      <c r="EW274" s="56"/>
      <c r="EZ274" s="55">
        <f t="shared" si="1793"/>
        <v>46255</v>
      </c>
      <c r="FA274" s="56"/>
      <c r="FB274" s="175">
        <f>SUMPRODUCT(PRODUCE!$B275:$DY275,PRODUCE!$EB$24:$IY$24)</f>
        <v>0</v>
      </c>
      <c r="FC274" s="56"/>
      <c r="FD274" s="175">
        <f t="shared" si="1794"/>
        <v>0</v>
      </c>
      <c r="FE274" s="175">
        <f t="shared" si="1795"/>
        <v>0</v>
      </c>
      <c r="FF274" s="56"/>
      <c r="FI274" s="55">
        <f t="shared" si="1796"/>
        <v>46255</v>
      </c>
      <c r="FJ274" s="56"/>
      <c r="FK274" s="183">
        <f>SUMPRODUCT(PRODUCE!$B275:$DY275,PRODUCE!$EB$25:$IY$25)</f>
        <v>0</v>
      </c>
      <c r="FL274" s="56"/>
      <c r="FM274" s="183">
        <f t="shared" si="1797"/>
        <v>0</v>
      </c>
      <c r="FN274" s="183">
        <f t="shared" si="1798"/>
        <v>0</v>
      </c>
      <c r="FO274" s="56"/>
      <c r="FR274" s="55">
        <f t="shared" si="1799"/>
        <v>46255</v>
      </c>
      <c r="FS274" s="56"/>
      <c r="FT274" s="186">
        <f>SUMPRODUCT(PRODUCE!$B275:$DY275,PRODUCE!$EB$26:$IY$26)</f>
        <v>0</v>
      </c>
      <c r="FU274" s="56"/>
      <c r="FV274" s="186">
        <f t="shared" si="1800"/>
        <v>0</v>
      </c>
      <c r="FW274" s="186">
        <f t="shared" si="1801"/>
        <v>2020</v>
      </c>
      <c r="FX274" s="56"/>
      <c r="GA274" s="55">
        <f t="shared" si="1802"/>
        <v>46255</v>
      </c>
      <c r="GB274" s="56"/>
      <c r="GC274" s="137">
        <f>SUMPRODUCT(PRODUCE!$B275:$DY275,PRODUCE!$EB$27:$IY$27)</f>
        <v>0</v>
      </c>
      <c r="GD274" s="56"/>
      <c r="GE274" s="137">
        <f t="shared" si="1803"/>
        <v>0</v>
      </c>
      <c r="GF274" s="137">
        <f t="shared" si="1804"/>
        <v>960</v>
      </c>
      <c r="GG274" s="56"/>
      <c r="GI274" s="23"/>
      <c r="GJ274" s="55">
        <f t="shared" si="1805"/>
        <v>46255</v>
      </c>
      <c r="GK274" s="56"/>
      <c r="GL274" s="199">
        <f>SUMPRODUCT(PRODUCE!$B275:$DY275,PRODUCE!$EB$28:$IY$28)</f>
        <v>0</v>
      </c>
      <c r="GM274" s="56"/>
      <c r="GN274" s="199">
        <f t="shared" si="1806"/>
        <v>0</v>
      </c>
      <c r="GO274" s="199">
        <f t="shared" si="1807"/>
        <v>1760</v>
      </c>
      <c r="GP274" s="56"/>
      <c r="GS274" s="55">
        <f t="shared" si="1808"/>
        <v>46255</v>
      </c>
      <c r="GT274" s="56"/>
      <c r="GU274" s="195">
        <f>SUMPRODUCT(PRODUCE!$B275:$DY275,PRODUCE!$EB$29:$IY$29)</f>
        <v>0</v>
      </c>
      <c r="GV274" s="56"/>
      <c r="GW274" s="195">
        <f t="shared" si="1809"/>
        <v>0</v>
      </c>
      <c r="GX274" s="195">
        <f t="shared" si="1810"/>
        <v>400</v>
      </c>
      <c r="GY274" s="56"/>
      <c r="HB274" s="55">
        <f t="shared" si="1811"/>
        <v>46255</v>
      </c>
      <c r="HC274" s="56"/>
      <c r="HD274" s="191">
        <f>SUMPRODUCT(PRODUCE!$B275:$DY275,PRODUCE!$EB$30:$IY$30)</f>
        <v>0</v>
      </c>
      <c r="HE274" s="56"/>
      <c r="HF274" s="191">
        <f t="shared" si="1812"/>
        <v>0</v>
      </c>
      <c r="HG274" s="191">
        <f t="shared" si="1813"/>
        <v>3600</v>
      </c>
      <c r="HH274" s="56"/>
      <c r="HK274" s="55">
        <f t="shared" si="1814"/>
        <v>46255</v>
      </c>
      <c r="HL274" s="56"/>
      <c r="HM274" s="63">
        <f>SUMPRODUCT(PRODUCE!$B275:$DY275,PRODUCE!$EB$31:$IY$31)</f>
        <v>0</v>
      </c>
      <c r="HN274" s="56"/>
      <c r="HO274" s="63">
        <f t="shared" si="1815"/>
        <v>0</v>
      </c>
      <c r="HP274" s="63">
        <f t="shared" si="1816"/>
        <v>0</v>
      </c>
      <c r="HQ274" s="56"/>
      <c r="HU274" s="55">
        <f t="shared" si="1817"/>
        <v>46255</v>
      </c>
      <c r="HV274" s="56"/>
      <c r="HW274" s="242">
        <f>SUMPRODUCT(PRODUCE!$B275:$DY275,PRODUCE!$EB$32:$IY$32)</f>
        <v>0</v>
      </c>
      <c r="HX274" s="56"/>
      <c r="HY274" s="242">
        <f t="shared" si="1818"/>
        <v>0</v>
      </c>
      <c r="HZ274" s="242">
        <f t="shared" si="1819"/>
        <v>6120</v>
      </c>
      <c r="IA274" s="56"/>
      <c r="ID274" s="55">
        <f t="shared" si="1820"/>
        <v>46255</v>
      </c>
      <c r="IE274" s="56"/>
      <c r="IF274" s="242">
        <f>SUMPRODUCT(PRODUCE!$B275:$DY275,PRODUCE!$EB$33:$IY$33)</f>
        <v>0</v>
      </c>
      <c r="IG274" s="56"/>
      <c r="IH274" s="242">
        <f t="shared" si="1821"/>
        <v>0</v>
      </c>
      <c r="II274" s="242">
        <f t="shared" si="1822"/>
        <v>0</v>
      </c>
      <c r="IJ274" s="56"/>
      <c r="IM274" s="55">
        <f t="shared" si="1823"/>
        <v>46255</v>
      </c>
      <c r="IN274" s="56"/>
      <c r="IO274" s="242">
        <f>SUMPRODUCT(PRODUCE!$B275:$DY275,PRODUCE!$EB$34:$IY$34)</f>
        <v>0</v>
      </c>
      <c r="IP274" s="56"/>
      <c r="IQ274" s="242">
        <f t="shared" si="1824"/>
        <v>0</v>
      </c>
      <c r="IR274" s="242">
        <f t="shared" si="1825"/>
        <v>0</v>
      </c>
      <c r="IS274" s="56"/>
      <c r="IV274" s="55">
        <f t="shared" si="1826"/>
        <v>46255</v>
      </c>
      <c r="IW274" s="56"/>
      <c r="IX274" s="242">
        <f>SUMPRODUCT(PRODUCE!$B275:$DY275,PRODUCE!$EB$35:$IY$35)</f>
        <v>0</v>
      </c>
      <c r="IY274" s="56"/>
      <c r="IZ274" s="242">
        <f t="shared" si="1827"/>
        <v>0</v>
      </c>
      <c r="JA274" s="242">
        <f t="shared" si="1828"/>
        <v>2820</v>
      </c>
      <c r="JB274" s="56"/>
      <c r="JE274" s="55">
        <f t="shared" si="1829"/>
        <v>46255</v>
      </c>
      <c r="JF274" s="56"/>
      <c r="JG274" s="242">
        <f>SUMPRODUCT(PRODUCE!$B275:$DY275,PRODUCE!$EB$36:$IY$36)</f>
        <v>0</v>
      </c>
      <c r="JH274" s="56"/>
      <c r="JI274" s="242">
        <f t="shared" si="1830"/>
        <v>0</v>
      </c>
      <c r="JJ274" s="242">
        <f t="shared" si="1831"/>
        <v>0</v>
      </c>
      <c r="JK274" s="56"/>
      <c r="JN274" s="55">
        <f t="shared" si="1832"/>
        <v>46255</v>
      </c>
      <c r="JO274" s="56"/>
      <c r="JP274" s="242">
        <f>SUMPRODUCT(PRODUCE!$B275:$DY275,PRODUCE!$EB$37:$IY$37)</f>
        <v>0</v>
      </c>
      <c r="JQ274" s="56"/>
      <c r="JR274" s="242">
        <f t="shared" si="1833"/>
        <v>0</v>
      </c>
      <c r="JS274" s="242">
        <f t="shared" si="1834"/>
        <v>0</v>
      </c>
      <c r="JT274" s="56"/>
      <c r="JW274" s="55">
        <f t="shared" si="1835"/>
        <v>46255</v>
      </c>
      <c r="JX274" s="56"/>
      <c r="JY274" s="242">
        <f>SUMPRODUCT(PRODUCE!$B275:$DY275,PRODUCE!$EB$38:$IY$38)</f>
        <v>0</v>
      </c>
      <c r="JZ274" s="56"/>
      <c r="KA274" s="242">
        <f t="shared" si="1836"/>
        <v>0</v>
      </c>
      <c r="KB274" s="242">
        <f t="shared" si="1837"/>
        <v>2540</v>
      </c>
      <c r="KC274" s="56"/>
      <c r="KF274" s="55">
        <f t="shared" si="1838"/>
        <v>46255</v>
      </c>
      <c r="KG274" s="56"/>
      <c r="KH274" s="242">
        <f>SUMPRODUCT(PRODUCE!$B275:$DY275,PRODUCE!$EB$39:$IY$39)</f>
        <v>0</v>
      </c>
      <c r="KI274" s="56"/>
      <c r="KJ274" s="242">
        <f t="shared" si="1839"/>
        <v>0</v>
      </c>
      <c r="KK274" s="242">
        <f t="shared" si="1840"/>
        <v>2359.5</v>
      </c>
      <c r="KL274" s="56"/>
      <c r="KO274" s="55">
        <f t="shared" si="1841"/>
        <v>46255</v>
      </c>
      <c r="KP274" s="56"/>
      <c r="KQ274" s="242">
        <f>SUMPRODUCT(PRODUCE!$B275:$DY275,PRODUCE!$EB$40:$IY$40)</f>
        <v>0</v>
      </c>
      <c r="KR274" s="56"/>
      <c r="KS274" s="242">
        <f t="shared" si="1842"/>
        <v>0</v>
      </c>
      <c r="KT274" s="242">
        <f t="shared" si="1843"/>
        <v>1890</v>
      </c>
      <c r="KU274" s="56"/>
      <c r="KW274" s="23"/>
      <c r="KX274" s="55">
        <f t="shared" si="1844"/>
        <v>46255</v>
      </c>
      <c r="KY274" s="56"/>
      <c r="KZ274" s="242">
        <f>SUMPRODUCT(PRODUCE!$B275:$DY275,PRODUCE!$EB$41:$IY$41)</f>
        <v>0</v>
      </c>
      <c r="LA274" s="56"/>
      <c r="LB274" s="242">
        <f t="shared" si="1845"/>
        <v>0</v>
      </c>
      <c r="LC274" s="242">
        <f t="shared" si="1846"/>
        <v>3690</v>
      </c>
      <c r="LD274" s="56"/>
      <c r="LG274" s="55">
        <f t="shared" si="1847"/>
        <v>46255</v>
      </c>
      <c r="LH274" s="56"/>
      <c r="LI274" s="242">
        <f>SUMPRODUCT(PRODUCE!$B275:$DY275,PRODUCE!$EB$42:$IY$42)</f>
        <v>0</v>
      </c>
      <c r="LJ274" s="56"/>
      <c r="LK274" s="242">
        <f t="shared" si="1848"/>
        <v>0</v>
      </c>
      <c r="LL274" s="242">
        <f t="shared" si="1849"/>
        <v>4000</v>
      </c>
      <c r="LM274" s="56"/>
      <c r="LP274" s="55">
        <f t="shared" si="1850"/>
        <v>46255</v>
      </c>
      <c r="LQ274" s="56"/>
      <c r="LR274" s="242">
        <f>SUMPRODUCT(PRODUCE!$B289:$DY289,PRODUCE!$EB$43:$IY$43)</f>
        <v>0</v>
      </c>
      <c r="LS274" s="56"/>
      <c r="LT274" s="242">
        <f t="shared" si="1851"/>
        <v>0</v>
      </c>
      <c r="LU274" s="242">
        <f t="shared" si="1852"/>
        <v>0</v>
      </c>
      <c r="LV274" s="56"/>
      <c r="LY274" s="55">
        <f t="shared" si="1853"/>
        <v>46255</v>
      </c>
      <c r="LZ274" s="56"/>
      <c r="MA274" s="242">
        <f>SUMPRODUCT(PRODUCE!$B275:$DY275,PRODUCE!$EB$44:$IY$44)</f>
        <v>0</v>
      </c>
      <c r="MB274" s="56"/>
      <c r="MC274" s="242">
        <f t="shared" si="1854"/>
        <v>0</v>
      </c>
      <c r="MD274" s="242">
        <f t="shared" si="1855"/>
        <v>0</v>
      </c>
      <c r="ME274" s="56"/>
      <c r="MH274" s="55">
        <f t="shared" si="1856"/>
        <v>46255</v>
      </c>
      <c r="MI274" s="56"/>
      <c r="MJ274" s="242">
        <f>SUMPRODUCT(PRODUCE!$B275:$DY275,PRODUCE!$EB$45:$IY$45)</f>
        <v>0</v>
      </c>
      <c r="MK274" s="56"/>
      <c r="ML274" s="242">
        <f t="shared" si="1857"/>
        <v>0</v>
      </c>
      <c r="MM274" s="242">
        <f t="shared" si="1858"/>
        <v>0</v>
      </c>
      <c r="MN274" s="56"/>
      <c r="MQ274" s="55">
        <f t="shared" si="1859"/>
        <v>46255</v>
      </c>
      <c r="MR274" s="56"/>
      <c r="MS274" s="242">
        <f>SUMPRODUCT(PRODUCE!$B275:$DY275,PRODUCE!$EB$46:$IY$46)</f>
        <v>0</v>
      </c>
      <c r="MT274" s="56"/>
      <c r="MU274" s="242">
        <f t="shared" si="1860"/>
        <v>0</v>
      </c>
      <c r="MV274" s="242">
        <f t="shared" si="1861"/>
        <v>1625</v>
      </c>
      <c r="MW274" s="56"/>
      <c r="MZ274" s="55">
        <f t="shared" si="1862"/>
        <v>46255</v>
      </c>
      <c r="NA274" s="56"/>
      <c r="NB274" s="242">
        <f>SUMPRODUCT(PRODUCE!$B275:$DY275,PRODUCE!$EB$47:$IY$47)</f>
        <v>0</v>
      </c>
      <c r="NC274" s="56"/>
      <c r="ND274" s="242">
        <f t="shared" si="1863"/>
        <v>0</v>
      </c>
      <c r="NE274" s="242">
        <f t="shared" si="1864"/>
        <v>0</v>
      </c>
      <c r="NF274" s="56"/>
      <c r="NI274" s="55">
        <f t="shared" si="1865"/>
        <v>46255</v>
      </c>
      <c r="NJ274" s="56"/>
      <c r="NK274" s="242">
        <f>SUMPRODUCT(PRODUCE!$B275:$DY275,PRODUCE!$EB$48:$IY$48)</f>
        <v>0</v>
      </c>
      <c r="NL274" s="56"/>
      <c r="NM274" s="242">
        <f t="shared" si="1866"/>
        <v>0</v>
      </c>
      <c r="NN274" s="242">
        <f t="shared" si="1867"/>
        <v>1127</v>
      </c>
      <c r="NO274" s="56"/>
      <c r="NR274" s="55">
        <f t="shared" si="1868"/>
        <v>46255</v>
      </c>
      <c r="NS274" s="56"/>
      <c r="NT274" s="242">
        <f>SUMPRODUCT(PRODUCE!$B275:$DY275,PRODUCE!$EB$49:$IY$49)</f>
        <v>0</v>
      </c>
      <c r="NU274" s="56"/>
      <c r="NV274" s="242">
        <f t="shared" si="1869"/>
        <v>0</v>
      </c>
      <c r="NW274" s="242">
        <f t="shared" si="1870"/>
        <v>3111.9999999999995</v>
      </c>
      <c r="NX274" s="56"/>
      <c r="OA274" s="55">
        <f t="shared" si="1871"/>
        <v>46255</v>
      </c>
      <c r="OB274" s="56"/>
      <c r="OC274" s="242">
        <f>SUMPRODUCT(PRODUCE!$B275:$DY275,PRODUCE!$EB$50:$IY$50)</f>
        <v>0</v>
      </c>
      <c r="OD274" s="56"/>
      <c r="OE274" s="242">
        <f t="shared" si="1872"/>
        <v>0</v>
      </c>
      <c r="OF274" s="242">
        <f t="shared" si="1873"/>
        <v>1680.5</v>
      </c>
      <c r="OG274" s="56"/>
      <c r="OJ274" s="55">
        <f t="shared" si="1874"/>
        <v>46255</v>
      </c>
      <c r="OK274" s="56"/>
      <c r="OL274" s="242">
        <f>SUMPRODUCT(PRODUCE!$B275:$DY275,PRODUCE!$EB$51:$IY$51)</f>
        <v>0</v>
      </c>
      <c r="OM274" s="56"/>
      <c r="ON274" s="242">
        <f t="shared" si="1875"/>
        <v>0</v>
      </c>
      <c r="OO274" s="242">
        <f t="shared" si="1876"/>
        <v>0</v>
      </c>
      <c r="OP274" s="56"/>
      <c r="OS274" s="55">
        <f t="shared" si="1877"/>
        <v>46255</v>
      </c>
      <c r="OT274" s="56"/>
      <c r="OU274" s="242">
        <f>SUMPRODUCT(PRODUCE!$B275:$DY275,PRODUCE!$EB$52:$IY$52)</f>
        <v>0</v>
      </c>
      <c r="OV274" s="56"/>
      <c r="OW274" s="242">
        <f t="shared" si="1878"/>
        <v>0</v>
      </c>
      <c r="OX274" s="242">
        <f t="shared" si="1879"/>
        <v>1482</v>
      </c>
      <c r="OY274" s="56"/>
      <c r="PB274" s="55">
        <f t="shared" si="1880"/>
        <v>46255</v>
      </c>
      <c r="PC274" s="56"/>
      <c r="PD274" s="242">
        <f>SUMPRODUCT(PRODUCE!$B275:$DY275,PRODUCE!$EB$53:$IY$53)</f>
        <v>0</v>
      </c>
      <c r="PE274" s="56"/>
      <c r="PF274" s="242">
        <f t="shared" si="1881"/>
        <v>0</v>
      </c>
      <c r="PG274" s="242">
        <f t="shared" si="1882"/>
        <v>0</v>
      </c>
      <c r="PH274" s="56"/>
      <c r="PK274" s="55">
        <f t="shared" si="1883"/>
        <v>46255</v>
      </c>
      <c r="PL274" s="56"/>
      <c r="PM274" s="242">
        <f>SUMPRODUCT(PRODUCE!$B275:$DY275,PRODUCE!$EB$54:$IY$54)</f>
        <v>0</v>
      </c>
      <c r="PN274" s="56"/>
      <c r="PO274" s="242">
        <f t="shared" si="1884"/>
        <v>0</v>
      </c>
      <c r="PP274" s="242">
        <f t="shared" si="1885"/>
        <v>100</v>
      </c>
      <c r="PQ274" s="56"/>
      <c r="PT274" s="55">
        <f t="shared" si="1886"/>
        <v>46255</v>
      </c>
      <c r="PU274" s="56"/>
      <c r="PV274" s="242">
        <f>SUMPRODUCT(PRODUCE!$B275:$DY275,PRODUCE!$EB$55:$IY$55)</f>
        <v>0</v>
      </c>
      <c r="PW274" s="56"/>
      <c r="PX274" s="242">
        <f t="shared" si="1887"/>
        <v>0</v>
      </c>
      <c r="PY274" s="242">
        <f t="shared" si="1888"/>
        <v>13.960000000000036</v>
      </c>
      <c r="PZ274" s="56"/>
      <c r="QC274" s="55">
        <f t="shared" si="1889"/>
        <v>46255</v>
      </c>
      <c r="QD274" s="56"/>
      <c r="QE274" s="242">
        <f>SUMPRODUCT(PRODUCE!$B275:$DY275,PRODUCE!$EB$56:$IY$56)</f>
        <v>0</v>
      </c>
      <c r="QF274" s="56"/>
      <c r="QG274" s="242">
        <f t="shared" si="1890"/>
        <v>0</v>
      </c>
      <c r="QH274" s="242">
        <f t="shared" si="1891"/>
        <v>548</v>
      </c>
      <c r="QI274" s="56"/>
      <c r="QL274" s="55">
        <f t="shared" si="1892"/>
        <v>46255</v>
      </c>
      <c r="QM274" s="56"/>
      <c r="QN274" s="242">
        <f>SUMPRODUCT(PRODUCE!$B275:$DY275,PRODUCE!$EB$57:$IY$57)</f>
        <v>0</v>
      </c>
      <c r="QO274" s="56"/>
      <c r="QP274" s="242">
        <f t="shared" si="1893"/>
        <v>0</v>
      </c>
      <c r="QQ274" s="242">
        <f t="shared" si="1894"/>
        <v>0</v>
      </c>
      <c r="QR274" s="56"/>
      <c r="QU274" s="55">
        <f t="shared" si="1895"/>
        <v>46255</v>
      </c>
      <c r="QV274" s="56"/>
      <c r="QW274" s="242">
        <f>SUMPRODUCT(PRODUCE!$B275:$DY275,PRODUCE!$EB$57:$IY$57)</f>
        <v>0</v>
      </c>
      <c r="QX274" s="56"/>
      <c r="QY274" s="242">
        <f t="shared" si="1896"/>
        <v>0</v>
      </c>
      <c r="QZ274" s="242">
        <f t="shared" si="1897"/>
        <v>0</v>
      </c>
      <c r="RA274" s="56"/>
      <c r="RD274" s="55">
        <f t="shared" si="1898"/>
        <v>46255</v>
      </c>
      <c r="RE274" s="56"/>
      <c r="RF274" s="242">
        <f>SUMPRODUCT(PRODUCE!$B275:$DY275,PRODUCE!$EB$58:$IY$58)</f>
        <v>0</v>
      </c>
      <c r="RG274" s="56"/>
      <c r="RH274" s="242">
        <f t="shared" si="1899"/>
        <v>0</v>
      </c>
      <c r="RI274" s="242">
        <f t="shared" si="1900"/>
        <v>147.04000000000002</v>
      </c>
      <c r="RJ274" s="56"/>
      <c r="RM274" s="55">
        <f t="shared" si="1901"/>
        <v>46255</v>
      </c>
      <c r="RN274" s="56"/>
      <c r="RO274" s="242">
        <f>SUMPRODUCT(PRODUCE!$B275:$DY275,PRODUCE!$EB$59:$IY$59)</f>
        <v>0</v>
      </c>
      <c r="RP274" s="56"/>
      <c r="RQ274" s="242">
        <f t="shared" si="1902"/>
        <v>0</v>
      </c>
      <c r="RR274" s="242">
        <f t="shared" si="1903"/>
        <v>46.8</v>
      </c>
      <c r="RS274" s="56"/>
      <c r="RV274" s="55">
        <f t="shared" si="1904"/>
        <v>46255</v>
      </c>
      <c r="RW274" s="56"/>
      <c r="RX274" s="242">
        <f>SUMPRODUCT(PRODUCE!$B275:$DY275,PRODUCE!$EB$57:$IY$57)</f>
        <v>0</v>
      </c>
      <c r="RY274" s="56"/>
      <c r="RZ274" s="242">
        <f t="shared" si="1905"/>
        <v>0</v>
      </c>
      <c r="SA274" s="242">
        <f t="shared" si="1906"/>
        <v>0</v>
      </c>
      <c r="SB274" s="56"/>
      <c r="SE274" s="55">
        <f t="shared" si="1907"/>
        <v>46255</v>
      </c>
      <c r="SF274" s="56"/>
      <c r="SG274" s="242">
        <f>SUMPRODUCT(PRODUCE!$B275:$DY275,PRODUCE!$EB$61:$IY$61)</f>
        <v>0</v>
      </c>
      <c r="SH274" s="56"/>
      <c r="SI274" s="242">
        <f t="shared" si="1908"/>
        <v>0</v>
      </c>
      <c r="SJ274" s="242">
        <f t="shared" si="1909"/>
        <v>24.200000000000003</v>
      </c>
      <c r="SK274" s="56"/>
      <c r="SN274" s="55">
        <f t="shared" si="1910"/>
        <v>46255</v>
      </c>
      <c r="SO274" s="56"/>
      <c r="SP274" s="242">
        <f>SUMPRODUCT(PRODUCE!$B275:$DY275,PRODUCE!$EB$62:$IY$62)</f>
        <v>0</v>
      </c>
      <c r="SQ274" s="56"/>
      <c r="SR274" s="242">
        <f t="shared" si="1911"/>
        <v>0</v>
      </c>
      <c r="SS274" s="242">
        <f t="shared" si="1912"/>
        <v>32</v>
      </c>
      <c r="ST274" s="56"/>
      <c r="SW274" s="55">
        <f t="shared" si="1913"/>
        <v>46255</v>
      </c>
      <c r="SX274" s="56"/>
      <c r="SY274" s="242">
        <f>SUMPRODUCT(PRODUCE!$B275:$DY275,PRODUCE!$EB$57:$IY$57)</f>
        <v>0</v>
      </c>
      <c r="SZ274" s="56"/>
      <c r="TA274" s="242">
        <f t="shared" si="1914"/>
        <v>0</v>
      </c>
      <c r="TB274" s="242">
        <f t="shared" si="1915"/>
        <v>0</v>
      </c>
      <c r="TC274" s="56"/>
      <c r="TF274" s="55">
        <f t="shared" si="1916"/>
        <v>46255</v>
      </c>
      <c r="TG274" s="56"/>
      <c r="TH274" s="242">
        <f>SUMPRODUCT(PRODUCE!$B275:$DY275,PRODUCE!$EB$57:$IY$57)</f>
        <v>0</v>
      </c>
      <c r="TI274" s="56"/>
      <c r="TJ274" s="242">
        <f t="shared" si="1917"/>
        <v>0</v>
      </c>
      <c r="TK274" s="242">
        <f t="shared" si="1918"/>
        <v>0</v>
      </c>
      <c r="TL274" s="56"/>
      <c r="TO274" s="55">
        <f t="shared" si="1919"/>
        <v>46255</v>
      </c>
      <c r="TP274" s="56"/>
      <c r="TQ274" s="242">
        <f>SUMPRODUCT(PRODUCE!$B275:$DY275,PRODUCE!$EB$57:$IY$57)</f>
        <v>0</v>
      </c>
      <c r="TR274" s="56"/>
      <c r="TS274" s="242">
        <f t="shared" si="1920"/>
        <v>0</v>
      </c>
      <c r="TT274" s="242">
        <f t="shared" si="1921"/>
        <v>0</v>
      </c>
      <c r="TU274" s="56"/>
      <c r="TX274" s="55">
        <f t="shared" si="1922"/>
        <v>46255</v>
      </c>
      <c r="TY274" s="56"/>
      <c r="TZ274" s="242">
        <f>SUMPRODUCT(PRODUCE!$B275:$DY275,PRODUCE!$EB$57:$IY$57)</f>
        <v>0</v>
      </c>
      <c r="UA274" s="56"/>
      <c r="UB274" s="242">
        <f t="shared" si="1923"/>
        <v>0</v>
      </c>
      <c r="UC274" s="242">
        <f t="shared" si="1924"/>
        <v>46.799999999999983</v>
      </c>
      <c r="UD274" s="56"/>
      <c r="UG274" s="55">
        <f t="shared" si="1925"/>
        <v>46255</v>
      </c>
      <c r="UH274" s="56"/>
      <c r="UI274" s="242">
        <f>SUMPRODUCT(PRODUCE!$B275:$DY275,PRODUCE!$EB$57:$IY$57)</f>
        <v>0</v>
      </c>
      <c r="UJ274" s="56"/>
      <c r="UK274" s="242">
        <f t="shared" si="1926"/>
        <v>0</v>
      </c>
      <c r="UL274" s="242">
        <f t="shared" si="1927"/>
        <v>204</v>
      </c>
      <c r="UM274" s="56"/>
      <c r="UP274" s="55">
        <f t="shared" si="1928"/>
        <v>46255</v>
      </c>
      <c r="UQ274" s="56"/>
      <c r="UR274" s="242">
        <f>SUMPRODUCT(PRODUCE!$B275:$DY275,PRODUCE!$EB$57:$IY$57)</f>
        <v>0</v>
      </c>
      <c r="US274" s="56"/>
      <c r="UT274" s="242">
        <f t="shared" si="1929"/>
        <v>0</v>
      </c>
      <c r="UU274" s="242">
        <f t="shared" si="1930"/>
        <v>202.5</v>
      </c>
      <c r="UV274" s="56"/>
      <c r="UY274" s="55">
        <f t="shared" si="1931"/>
        <v>46255</v>
      </c>
      <c r="UZ274" s="56"/>
      <c r="VA274" s="242">
        <f>SUMPRODUCT(PRODUCE!$B275:$DY275,PRODUCE!$EB$57:$IY$57)</f>
        <v>0</v>
      </c>
      <c r="VB274" s="56"/>
      <c r="VC274" s="242">
        <f t="shared" si="1932"/>
        <v>0</v>
      </c>
      <c r="VD274" s="242">
        <f t="shared" si="1933"/>
        <v>41.600000000000023</v>
      </c>
      <c r="VE274" s="56"/>
      <c r="VH274" s="55">
        <f t="shared" si="1934"/>
        <v>46255</v>
      </c>
      <c r="VI274" s="56"/>
      <c r="VJ274" s="242">
        <f>SUMPRODUCT(PRODUCE!$B275:$DY275,PRODUCE!$EB$57:$IY$57)</f>
        <v>0</v>
      </c>
      <c r="VK274" s="56"/>
      <c r="VL274" s="242">
        <f t="shared" si="1935"/>
        <v>0</v>
      </c>
      <c r="VM274" s="242">
        <f t="shared" si="1936"/>
        <v>210</v>
      </c>
      <c r="VN274" s="56"/>
      <c r="VQ274" s="55">
        <f t="shared" si="1937"/>
        <v>46255</v>
      </c>
      <c r="VR274" s="56"/>
      <c r="VS274" s="242">
        <f>SUMPRODUCT(PRODUCE!$B275:$DY275,PRODUCE!$EB$57:$IY$57)</f>
        <v>0</v>
      </c>
      <c r="VT274" s="56"/>
      <c r="VU274" s="242">
        <f t="shared" si="1938"/>
        <v>0</v>
      </c>
      <c r="VV274" s="242">
        <f t="shared" si="1939"/>
        <v>0</v>
      </c>
      <c r="VW274" s="56"/>
      <c r="VZ274" s="55">
        <f t="shared" si="1940"/>
        <v>46255</v>
      </c>
      <c r="WA274" s="56"/>
      <c r="WB274" s="242">
        <f>SUMPRODUCT(PRODUCE!$B275:$DY275,PRODUCE!$EB$57:$IY$57)</f>
        <v>0</v>
      </c>
      <c r="WC274" s="56"/>
      <c r="WD274" s="242">
        <f t="shared" si="1941"/>
        <v>0</v>
      </c>
      <c r="WE274" s="242">
        <f t="shared" si="1942"/>
        <v>0</v>
      </c>
      <c r="WF274" s="56"/>
      <c r="WI274" s="55">
        <f t="shared" si="1943"/>
        <v>46255</v>
      </c>
      <c r="WJ274" s="56"/>
      <c r="WK274" s="242">
        <f>SUMPRODUCT(PRODUCE!$B275:$DY275,PRODUCE!$EB$57:$IY$57)</f>
        <v>0</v>
      </c>
      <c r="WL274" s="56"/>
      <c r="WM274" s="242">
        <f t="shared" si="1944"/>
        <v>0</v>
      </c>
      <c r="WN274" s="242">
        <f t="shared" si="1945"/>
        <v>1057</v>
      </c>
      <c r="WO274" s="56"/>
      <c r="WR274" s="55">
        <f t="shared" si="1946"/>
        <v>46255</v>
      </c>
      <c r="WS274" s="56"/>
      <c r="WT274" s="242">
        <f>SUMPRODUCT(PRODUCE!$B275:$DY275,PRODUCE!$EB$57:$IY$57)</f>
        <v>0</v>
      </c>
      <c r="WU274" s="56"/>
      <c r="WV274" s="242">
        <f t="shared" si="1947"/>
        <v>0</v>
      </c>
      <c r="WW274" s="242">
        <f t="shared" si="1948"/>
        <v>0</v>
      </c>
      <c r="WX274" s="56"/>
      <c r="XA274" s="55">
        <f t="shared" si="1949"/>
        <v>46255</v>
      </c>
      <c r="XB274" s="56"/>
      <c r="XC274" s="242">
        <f>SUMPRODUCT(PRODUCE!$B275:$DY275,PRODUCE!$EB$57:$IY$57)</f>
        <v>0</v>
      </c>
      <c r="XD274" s="56"/>
      <c r="XE274" s="242">
        <f t="shared" si="1950"/>
        <v>0</v>
      </c>
      <c r="XF274" s="242">
        <f t="shared" si="1951"/>
        <v>7507</v>
      </c>
      <c r="XG274" s="56"/>
      <c r="XJ274" s="55">
        <f t="shared" si="1952"/>
        <v>46255</v>
      </c>
      <c r="XK274" s="56"/>
      <c r="XL274" s="242">
        <f>SUMPRODUCT(PRODUCE!$B275:$DY275,PRODUCE!$EB$57:$IY$57)</f>
        <v>0</v>
      </c>
      <c r="XM274" s="56"/>
      <c r="XN274" s="242">
        <f t="shared" si="1953"/>
        <v>0</v>
      </c>
      <c r="XO274" s="242">
        <f t="shared" si="1954"/>
        <v>4252</v>
      </c>
      <c r="XP274" s="56"/>
      <c r="XS274" s="55">
        <f t="shared" si="1955"/>
        <v>46255</v>
      </c>
      <c r="XT274" s="56"/>
      <c r="XU274" s="242">
        <f>SUMPRODUCT(PRODUCE!$B275:$DY275,PRODUCE!$EB$57:$IY$57)</f>
        <v>0</v>
      </c>
      <c r="XV274" s="56"/>
      <c r="XW274" s="242">
        <f t="shared" si="1956"/>
        <v>0</v>
      </c>
      <c r="XX274" s="242">
        <f t="shared" si="1957"/>
        <v>2179</v>
      </c>
      <c r="XY274" s="56"/>
      <c r="YB274" s="55">
        <f t="shared" si="1958"/>
        <v>46255</v>
      </c>
      <c r="YC274" s="56"/>
      <c r="YD274" s="242">
        <f>SUMPRODUCT(PRODUCE!$B275:$DY275,PRODUCE!$EB$57:$IY$57)</f>
        <v>0</v>
      </c>
      <c r="YE274" s="56"/>
      <c r="YF274" s="242">
        <f t="shared" si="1959"/>
        <v>0</v>
      </c>
      <c r="YG274" s="242">
        <f t="shared" si="1960"/>
        <v>4019</v>
      </c>
      <c r="YH274" s="56"/>
      <c r="YK274" s="55">
        <f t="shared" si="1961"/>
        <v>46255</v>
      </c>
      <c r="YL274" s="56"/>
      <c r="YM274" s="242">
        <f>SUMPRODUCT(PRODUCE!$B275:$DY275,PRODUCE!$EB$57:$IY$57)</f>
        <v>0</v>
      </c>
      <c r="YN274" s="56"/>
      <c r="YO274" s="242">
        <f t="shared" si="1962"/>
        <v>0</v>
      </c>
      <c r="YP274" s="242">
        <f t="shared" si="1963"/>
        <v>-218</v>
      </c>
      <c r="YQ274" s="56"/>
      <c r="YT274" s="55">
        <f t="shared" si="1964"/>
        <v>46255</v>
      </c>
      <c r="YU274" s="56"/>
      <c r="YV274" s="242">
        <f>SUMPRODUCT(PRODUCE!$B275:$DY275,PRODUCE!$EB$57:$IY$57)</f>
        <v>0</v>
      </c>
      <c r="YW274" s="56"/>
      <c r="YX274" s="242">
        <f t="shared" si="1965"/>
        <v>0</v>
      </c>
      <c r="YY274" s="242">
        <f t="shared" si="1966"/>
        <v>0</v>
      </c>
      <c r="YZ274" s="56"/>
      <c r="ZC274" s="55">
        <f t="shared" si="1967"/>
        <v>46255</v>
      </c>
      <c r="ZD274" s="56"/>
      <c r="ZE274" s="242">
        <f>SUMPRODUCT(PRODUCE!$B275:$DY275,PRODUCE!$EB$57:$IY$57)</f>
        <v>0</v>
      </c>
      <c r="ZF274" s="56"/>
      <c r="ZG274" s="242">
        <f t="shared" si="1968"/>
        <v>0</v>
      </c>
      <c r="ZH274" s="242">
        <f t="shared" si="1969"/>
        <v>0</v>
      </c>
      <c r="ZI274" s="56"/>
      <c r="ZL274" s="55">
        <f t="shared" si="1970"/>
        <v>46255</v>
      </c>
      <c r="ZM274" s="56"/>
      <c r="ZN274" s="242">
        <f>SUMPRODUCT(PRODUCE!$B275:$DY275,PRODUCE!$EB$57:$IY$57)</f>
        <v>0</v>
      </c>
      <c r="ZO274" s="56"/>
      <c r="ZP274" s="242">
        <f t="shared" si="1971"/>
        <v>0</v>
      </c>
      <c r="ZQ274" s="242">
        <f t="shared" si="1972"/>
        <v>0</v>
      </c>
      <c r="ZR274" s="56"/>
      <c r="ZU274" s="55">
        <f t="shared" si="1973"/>
        <v>46255</v>
      </c>
      <c r="ZV274" s="56"/>
      <c r="ZW274" s="242">
        <f>SUMPRODUCT(PRODUCE!$B275:$DY275,PRODUCE!$EB$57:$IY$57)</f>
        <v>0</v>
      </c>
      <c r="ZX274" s="56"/>
      <c r="ZY274" s="242">
        <f t="shared" si="1974"/>
        <v>0</v>
      </c>
      <c r="ZZ274" s="242">
        <f t="shared" si="1975"/>
        <v>0</v>
      </c>
      <c r="AAA274" s="56"/>
      <c r="AAD274" s="55">
        <f t="shared" si="1976"/>
        <v>46255</v>
      </c>
      <c r="AAE274" s="56"/>
      <c r="AAF274" s="242">
        <f>SUMPRODUCT(PRODUCE!$B275:$DY275,PRODUCE!$EB$57:$IY$57)</f>
        <v>0</v>
      </c>
      <c r="AAG274" s="56"/>
      <c r="AAH274" s="242">
        <f t="shared" si="1977"/>
        <v>0</v>
      </c>
      <c r="AAI274" s="242">
        <f t="shared" si="1978"/>
        <v>0</v>
      </c>
      <c r="AAJ274" s="56"/>
      <c r="AAM274" s="55">
        <f t="shared" si="1979"/>
        <v>46255</v>
      </c>
      <c r="AAN274" s="56"/>
      <c r="AAO274" s="242">
        <f>SUMPRODUCT(PRODUCE!$B275:$DY275,PRODUCE!$EB$57:$IY$57)</f>
        <v>0</v>
      </c>
      <c r="AAP274" s="56"/>
      <c r="AAQ274" s="242">
        <f t="shared" si="1980"/>
        <v>0</v>
      </c>
      <c r="AAR274" s="242">
        <f t="shared" si="1981"/>
        <v>0</v>
      </c>
      <c r="AAS274" s="56"/>
      <c r="AAV274" s="55">
        <f t="shared" si="1982"/>
        <v>46255</v>
      </c>
      <c r="AAW274" s="56"/>
      <c r="AAX274" s="242">
        <f>SUMPRODUCT(PRODUCE!$B275:$DY275,PRODUCE!$EB$57:$IY$57)</f>
        <v>0</v>
      </c>
      <c r="AAY274" s="56"/>
      <c r="AAZ274" s="242">
        <f t="shared" si="1983"/>
        <v>0</v>
      </c>
      <c r="ABA274" s="242">
        <f t="shared" si="1984"/>
        <v>0</v>
      </c>
      <c r="ABB274" s="56"/>
      <c r="ABE274" s="55">
        <f t="shared" si="1985"/>
        <v>46255</v>
      </c>
      <c r="ABF274" s="56"/>
      <c r="ABG274" s="242">
        <f>SUMPRODUCT(PRODUCE!$B275:$DY275,PRODUCE!$EB$57:$IY$57)</f>
        <v>0</v>
      </c>
      <c r="ABH274" s="56"/>
      <c r="ABI274" s="242">
        <f t="shared" si="1986"/>
        <v>0</v>
      </c>
      <c r="ABJ274" s="242">
        <f t="shared" si="1987"/>
        <v>0</v>
      </c>
      <c r="ABK274" s="56"/>
    </row>
    <row r="275" spans="1:739" s="54" customFormat="1" ht="15" customHeight="1" outlineLevel="1">
      <c r="B275" s="478"/>
      <c r="C275" s="55">
        <v>46256</v>
      </c>
      <c r="D275" s="56"/>
      <c r="E275" s="57">
        <f>SUMPRODUCT(PRODUCE!$B276:$DY276,PRODUCE!$EB$7:$IY$7)</f>
        <v>0</v>
      </c>
      <c r="F275" s="56"/>
      <c r="G275" s="57">
        <f t="shared" si="1743"/>
        <v>0</v>
      </c>
      <c r="H275" s="57">
        <f t="shared" si="1744"/>
        <v>236936.6</v>
      </c>
      <c r="I275" s="289"/>
      <c r="L275" s="55">
        <f t="shared" si="1745"/>
        <v>46256</v>
      </c>
      <c r="M275" s="56"/>
      <c r="N275" s="59">
        <f>SUMPRODUCT(PRODUCE!$B276:$DY276,PRODUCE!$EB$8:$IY$8)</f>
        <v>0</v>
      </c>
      <c r="O275" s="56"/>
      <c r="P275" s="59">
        <f t="shared" si="1746"/>
        <v>0</v>
      </c>
      <c r="Q275" s="59">
        <f t="shared" si="1747"/>
        <v>53017.600000000071</v>
      </c>
      <c r="R275" s="56"/>
      <c r="U275" s="55">
        <f t="shared" si="1748"/>
        <v>46256</v>
      </c>
      <c r="V275" s="56"/>
      <c r="W275" s="60">
        <f>SUMPRODUCT(PRODUCE!$B276:$DY276,PRODUCE!$EB$9:$IY$9)</f>
        <v>0</v>
      </c>
      <c r="X275" s="56"/>
      <c r="Y275" s="60">
        <f t="shared" si="1749"/>
        <v>0</v>
      </c>
      <c r="Z275" s="60">
        <f t="shared" si="1750"/>
        <v>42674.199999999968</v>
      </c>
      <c r="AA275" s="56"/>
      <c r="AD275" s="55">
        <f t="shared" si="1751"/>
        <v>46256</v>
      </c>
      <c r="AE275" s="56"/>
      <c r="AF275" s="61">
        <f>SUMPRODUCT(PRODUCE!$B276:$DY276,PRODUCE!$EB$10:$IY$10)</f>
        <v>0</v>
      </c>
      <c r="AG275" s="56"/>
      <c r="AH275" s="61">
        <f t="shared" si="1752"/>
        <v>0</v>
      </c>
      <c r="AI275" s="61">
        <f t="shared" si="1753"/>
        <v>4522.2000000000189</v>
      </c>
      <c r="AJ275" s="56"/>
      <c r="AM275" s="55">
        <f t="shared" si="1754"/>
        <v>46256</v>
      </c>
      <c r="AN275" s="422"/>
      <c r="AO275" s="444">
        <f>SUMPRODUCT(PRODUCE!$B276:$DY276,PRODUCE!$EB$11:$IY$11)</f>
        <v>0</v>
      </c>
      <c r="AP275" s="422"/>
      <c r="AQ275" s="444">
        <f t="shared" si="1755"/>
        <v>0</v>
      </c>
      <c r="AR275" s="444">
        <f t="shared" si="1756"/>
        <v>0</v>
      </c>
      <c r="AS275" s="56"/>
      <c r="AV275" s="55">
        <f t="shared" si="1757"/>
        <v>46256</v>
      </c>
      <c r="AW275" s="56"/>
      <c r="AX275" s="62">
        <f>SUMPRODUCT(PRODUCE!$B276:$DY276,PRODUCE!$EB$12:$IY$12)</f>
        <v>0</v>
      </c>
      <c r="AY275" s="56"/>
      <c r="AZ275" s="62">
        <f t="shared" si="1758"/>
        <v>0</v>
      </c>
      <c r="BA275" s="62">
        <f t="shared" si="1759"/>
        <v>124.99999999999523</v>
      </c>
      <c r="BB275" s="56"/>
      <c r="BE275" s="55">
        <f t="shared" si="1760"/>
        <v>46256</v>
      </c>
      <c r="BF275" s="56"/>
      <c r="BG275" s="63">
        <f>SUMPRODUCT(PRODUCE!$B276:$DY276,PRODUCE!$EB$13:$IY$13)</f>
        <v>0</v>
      </c>
      <c r="BH275" s="56"/>
      <c r="BI275" s="63">
        <f t="shared" si="1761"/>
        <v>0</v>
      </c>
      <c r="BJ275" s="63">
        <f t="shared" si="1762"/>
        <v>26151.899999999998</v>
      </c>
      <c r="BK275" s="56"/>
      <c r="BN275" s="55">
        <f t="shared" si="1763"/>
        <v>46256</v>
      </c>
      <c r="BO275" s="56"/>
      <c r="BP275" s="64">
        <f>SUMPRODUCT(PRODUCE!$B276:$DY276,PRODUCE!$EB$14:$IY$14)</f>
        <v>0</v>
      </c>
      <c r="BQ275" s="56"/>
      <c r="BR275" s="64">
        <f t="shared" si="1764"/>
        <v>0</v>
      </c>
      <c r="BS275" s="64">
        <f t="shared" si="1765"/>
        <v>0</v>
      </c>
      <c r="BT275" s="56"/>
      <c r="BW275" s="55">
        <f t="shared" si="1766"/>
        <v>46256</v>
      </c>
      <c r="BX275" s="56"/>
      <c r="BY275" s="65">
        <f>SUMPRODUCT(PRODUCE!$B276:$DY276,PRODUCE!$EB$15:$IY$15)</f>
        <v>0</v>
      </c>
      <c r="BZ275" s="56"/>
      <c r="CA275" s="65">
        <f t="shared" si="1767"/>
        <v>0</v>
      </c>
      <c r="CB275" s="65">
        <f t="shared" si="1768"/>
        <v>2097.3399999999992</v>
      </c>
      <c r="CC275" s="56"/>
      <c r="CF275" s="55">
        <f t="shared" si="1769"/>
        <v>46256</v>
      </c>
      <c r="CG275" s="56"/>
      <c r="CH275" s="66">
        <f>SUMPRODUCT(PRODUCE!$B276:$DY276,PRODUCE!$EB$16:$IY$16)</f>
        <v>0</v>
      </c>
      <c r="CI275" s="56"/>
      <c r="CJ275" s="66">
        <f t="shared" si="1770"/>
        <v>0</v>
      </c>
      <c r="CK275" s="66">
        <f t="shared" si="1771"/>
        <v>-10277.079999999998</v>
      </c>
      <c r="CL275" s="56"/>
      <c r="CO275" s="55">
        <f t="shared" si="1772"/>
        <v>46256</v>
      </c>
      <c r="CP275" s="422"/>
      <c r="CQ275" s="470">
        <f>SUMPRODUCT(PRODUCE!$B276:$DY276,PRODUCE!$EB$17:$IY$17)</f>
        <v>0</v>
      </c>
      <c r="CR275" s="422"/>
      <c r="CS275" s="470">
        <f t="shared" si="1773"/>
        <v>0</v>
      </c>
      <c r="CT275" s="470">
        <f t="shared" si="1774"/>
        <v>0</v>
      </c>
      <c r="CU275" s="56"/>
      <c r="CX275" s="55">
        <f t="shared" si="1775"/>
        <v>46256</v>
      </c>
      <c r="CY275" s="56"/>
      <c r="CZ275" s="133">
        <f>SUMPRODUCT(PRODUCE!$B276:$DY276,PRODUCE!$EB$18:$IY$18)</f>
        <v>0</v>
      </c>
      <c r="DA275" s="56"/>
      <c r="DB275" s="133">
        <f t="shared" si="1776"/>
        <v>0</v>
      </c>
      <c r="DC275" s="133">
        <f t="shared" si="1777"/>
        <v>27438.200000000012</v>
      </c>
      <c r="DD275" s="56"/>
      <c r="DG275" s="55">
        <f t="shared" si="1778"/>
        <v>46256</v>
      </c>
      <c r="DH275" s="56"/>
      <c r="DI275" s="147">
        <f>SUMPRODUCT(PRODUCE!$B276:$DY276,PRODUCE!$EB$19:$IY$19)</f>
        <v>0</v>
      </c>
      <c r="DJ275" s="56"/>
      <c r="DK275" s="147">
        <f t="shared" si="1779"/>
        <v>0</v>
      </c>
      <c r="DL275" s="147">
        <f t="shared" si="1780"/>
        <v>18782.299999999981</v>
      </c>
      <c r="DM275" s="56"/>
      <c r="DP275" s="55">
        <f t="shared" si="1781"/>
        <v>46256</v>
      </c>
      <c r="DQ275" s="56"/>
      <c r="DR275" s="57">
        <f>SUMPRODUCT(PRODUCE!$B276:$DY276,PRODUCE!$EB$20:$IY$20)</f>
        <v>0</v>
      </c>
      <c r="DS275" s="56"/>
      <c r="DT275" s="57">
        <f t="shared" si="1782"/>
        <v>0</v>
      </c>
      <c r="DU275" s="57">
        <f t="shared" si="1783"/>
        <v>5800</v>
      </c>
      <c r="DV275" s="56"/>
      <c r="DY275" s="55">
        <f t="shared" si="1784"/>
        <v>46256</v>
      </c>
      <c r="DZ275" s="56"/>
      <c r="EA275" s="157">
        <f>SUMPRODUCT(PRODUCE!$B276:$DY276,PRODUCE!$EB$21:$IY$21)</f>
        <v>0</v>
      </c>
      <c r="EB275" s="56"/>
      <c r="EC275" s="157">
        <f t="shared" si="1785"/>
        <v>0</v>
      </c>
      <c r="ED275" s="157">
        <f t="shared" si="1786"/>
        <v>0</v>
      </c>
      <c r="EE275" s="56"/>
      <c r="EH275" s="55">
        <f t="shared" si="1787"/>
        <v>46256</v>
      </c>
      <c r="EI275" s="56"/>
      <c r="EJ275" s="162">
        <f>SUMPRODUCT(PRODUCE!$B276:$DY276,PRODUCE!$EB$22:$IY$22)</f>
        <v>0</v>
      </c>
      <c r="EK275" s="56"/>
      <c r="EL275" s="162">
        <f t="shared" si="1788"/>
        <v>0</v>
      </c>
      <c r="EM275" s="162">
        <f t="shared" si="1789"/>
        <v>0</v>
      </c>
      <c r="EN275" s="56"/>
      <c r="EQ275" s="55">
        <f t="shared" si="1790"/>
        <v>46256</v>
      </c>
      <c r="ER275" s="56"/>
      <c r="ES275" s="135">
        <f>SUMPRODUCT(PRODUCE!$B276:$DY276,PRODUCE!$EB$23:$IY$23)</f>
        <v>0</v>
      </c>
      <c r="ET275" s="56"/>
      <c r="EU275" s="135">
        <f t="shared" si="1791"/>
        <v>0</v>
      </c>
      <c r="EV275" s="135">
        <f t="shared" si="1792"/>
        <v>0</v>
      </c>
      <c r="EW275" s="56"/>
      <c r="EZ275" s="55">
        <f t="shared" si="1793"/>
        <v>46256</v>
      </c>
      <c r="FA275" s="56"/>
      <c r="FB275" s="175">
        <f>SUMPRODUCT(PRODUCE!$B276:$DY276,PRODUCE!$EB$24:$IY$24)</f>
        <v>0</v>
      </c>
      <c r="FC275" s="56"/>
      <c r="FD275" s="175">
        <f t="shared" si="1794"/>
        <v>0</v>
      </c>
      <c r="FE275" s="175">
        <f t="shared" si="1795"/>
        <v>0</v>
      </c>
      <c r="FF275" s="56"/>
      <c r="FI275" s="55">
        <f t="shared" si="1796"/>
        <v>46256</v>
      </c>
      <c r="FJ275" s="56"/>
      <c r="FK275" s="183">
        <f>SUMPRODUCT(PRODUCE!$B276:$DY276,PRODUCE!$EB$25:$IY$25)</f>
        <v>0</v>
      </c>
      <c r="FL275" s="56"/>
      <c r="FM275" s="183">
        <f t="shared" si="1797"/>
        <v>0</v>
      </c>
      <c r="FN275" s="183">
        <f t="shared" si="1798"/>
        <v>0</v>
      </c>
      <c r="FO275" s="56"/>
      <c r="FR275" s="55">
        <f t="shared" si="1799"/>
        <v>46256</v>
      </c>
      <c r="FS275" s="56"/>
      <c r="FT275" s="186">
        <f>SUMPRODUCT(PRODUCE!$B276:$DY276,PRODUCE!$EB$26:$IY$26)</f>
        <v>0</v>
      </c>
      <c r="FU275" s="56"/>
      <c r="FV275" s="186">
        <f t="shared" si="1800"/>
        <v>0</v>
      </c>
      <c r="FW275" s="186">
        <f>FW274+FS275-FU275</f>
        <v>2020</v>
      </c>
      <c r="FX275" s="56"/>
      <c r="GA275" s="55">
        <f t="shared" si="1802"/>
        <v>46256</v>
      </c>
      <c r="GB275" s="56"/>
      <c r="GC275" s="137">
        <f>SUMPRODUCT(PRODUCE!$B276:$DY276,PRODUCE!$EB$27:$IY$27)</f>
        <v>0</v>
      </c>
      <c r="GD275" s="56"/>
      <c r="GE275" s="137">
        <f t="shared" si="1803"/>
        <v>0</v>
      </c>
      <c r="GF275" s="137">
        <f t="shared" si="1804"/>
        <v>960</v>
      </c>
      <c r="GG275" s="56"/>
      <c r="GI275" s="23"/>
      <c r="GJ275" s="55">
        <f t="shared" si="1805"/>
        <v>46256</v>
      </c>
      <c r="GK275" s="56"/>
      <c r="GL275" s="199">
        <f>SUMPRODUCT(PRODUCE!$B276:$DY276,PRODUCE!$EB$28:$IY$28)</f>
        <v>0</v>
      </c>
      <c r="GM275" s="56"/>
      <c r="GN275" s="199">
        <f t="shared" si="1806"/>
        <v>0</v>
      </c>
      <c r="GO275" s="199">
        <f t="shared" si="1807"/>
        <v>1760</v>
      </c>
      <c r="GP275" s="56"/>
      <c r="GS275" s="55">
        <f t="shared" si="1808"/>
        <v>46256</v>
      </c>
      <c r="GT275" s="56"/>
      <c r="GU275" s="195">
        <f>SUMPRODUCT(PRODUCE!$B276:$DY276,PRODUCE!$EB$29:$IY$29)</f>
        <v>0</v>
      </c>
      <c r="GV275" s="56"/>
      <c r="GW275" s="195">
        <f t="shared" si="1809"/>
        <v>0</v>
      </c>
      <c r="GX275" s="195">
        <f t="shared" si="1810"/>
        <v>400</v>
      </c>
      <c r="GY275" s="56"/>
      <c r="HB275" s="55">
        <f t="shared" si="1811"/>
        <v>46256</v>
      </c>
      <c r="HC275" s="56"/>
      <c r="HD275" s="191">
        <f>SUMPRODUCT(PRODUCE!$B276:$DY276,PRODUCE!$EB$30:$IY$30)</f>
        <v>0</v>
      </c>
      <c r="HE275" s="56"/>
      <c r="HF275" s="191">
        <f t="shared" si="1812"/>
        <v>0</v>
      </c>
      <c r="HG275" s="191">
        <f t="shared" si="1813"/>
        <v>3600</v>
      </c>
      <c r="HH275" s="56"/>
      <c r="HK275" s="55">
        <f t="shared" si="1814"/>
        <v>46256</v>
      </c>
      <c r="HL275" s="56"/>
      <c r="HM275" s="63">
        <f>SUMPRODUCT(PRODUCE!$B276:$DY276,PRODUCE!$EB$31:$IY$31)</f>
        <v>0</v>
      </c>
      <c r="HN275" s="56"/>
      <c r="HO275" s="63">
        <f t="shared" si="1815"/>
        <v>0</v>
      </c>
      <c r="HP275" s="63">
        <f t="shared" si="1816"/>
        <v>0</v>
      </c>
      <c r="HQ275" s="56"/>
      <c r="HU275" s="55">
        <f t="shared" si="1817"/>
        <v>46256</v>
      </c>
      <c r="HV275" s="56"/>
      <c r="HW275" s="242">
        <f>SUMPRODUCT(PRODUCE!$B276:$DY276,PRODUCE!$EB$32:$IY$32)</f>
        <v>0</v>
      </c>
      <c r="HX275" s="56"/>
      <c r="HY275" s="242">
        <f t="shared" si="1818"/>
        <v>0</v>
      </c>
      <c r="HZ275" s="242">
        <f t="shared" si="1819"/>
        <v>6120</v>
      </c>
      <c r="IA275" s="56"/>
      <c r="ID275" s="55">
        <f t="shared" si="1820"/>
        <v>46256</v>
      </c>
      <c r="IE275" s="56"/>
      <c r="IF275" s="242">
        <f>SUMPRODUCT(PRODUCE!$B276:$DY276,PRODUCE!$EB$33:$IY$33)</f>
        <v>0</v>
      </c>
      <c r="IG275" s="56"/>
      <c r="IH275" s="242">
        <f t="shared" si="1821"/>
        <v>0</v>
      </c>
      <c r="II275" s="242">
        <f t="shared" si="1822"/>
        <v>0</v>
      </c>
      <c r="IJ275" s="56"/>
      <c r="IM275" s="55">
        <f t="shared" si="1823"/>
        <v>46256</v>
      </c>
      <c r="IN275" s="56"/>
      <c r="IO275" s="242">
        <f>SUMPRODUCT(PRODUCE!$B276:$DY276,PRODUCE!$EB$34:$IY$34)</f>
        <v>0</v>
      </c>
      <c r="IP275" s="56"/>
      <c r="IQ275" s="242">
        <f t="shared" si="1824"/>
        <v>0</v>
      </c>
      <c r="IR275" s="242">
        <f t="shared" si="1825"/>
        <v>0</v>
      </c>
      <c r="IS275" s="56"/>
      <c r="IV275" s="55">
        <f t="shared" si="1826"/>
        <v>46256</v>
      </c>
      <c r="IW275" s="56"/>
      <c r="IX275" s="242">
        <f>SUMPRODUCT(PRODUCE!$B276:$DY276,PRODUCE!$EB$35:$IY$35)</f>
        <v>0</v>
      </c>
      <c r="IY275" s="56"/>
      <c r="IZ275" s="242">
        <f t="shared" si="1827"/>
        <v>0</v>
      </c>
      <c r="JA275" s="242">
        <f t="shared" si="1828"/>
        <v>2820</v>
      </c>
      <c r="JB275" s="56"/>
      <c r="JE275" s="55">
        <f t="shared" si="1829"/>
        <v>46256</v>
      </c>
      <c r="JF275" s="56"/>
      <c r="JG275" s="242">
        <f>SUMPRODUCT(PRODUCE!$B276:$DY276,PRODUCE!$EB$36:$IY$36)</f>
        <v>0</v>
      </c>
      <c r="JH275" s="56"/>
      <c r="JI275" s="242">
        <f t="shared" si="1830"/>
        <v>0</v>
      </c>
      <c r="JJ275" s="242">
        <f t="shared" si="1831"/>
        <v>0</v>
      </c>
      <c r="JK275" s="56"/>
      <c r="JN275" s="55">
        <f t="shared" si="1832"/>
        <v>46256</v>
      </c>
      <c r="JO275" s="56"/>
      <c r="JP275" s="242">
        <f>SUMPRODUCT(PRODUCE!$B276:$DY276,PRODUCE!$EB$37:$IY$37)</f>
        <v>0</v>
      </c>
      <c r="JQ275" s="56"/>
      <c r="JR275" s="242">
        <f t="shared" si="1833"/>
        <v>0</v>
      </c>
      <c r="JS275" s="242">
        <f t="shared" si="1834"/>
        <v>0</v>
      </c>
      <c r="JT275" s="56"/>
      <c r="JW275" s="55">
        <f t="shared" si="1835"/>
        <v>46256</v>
      </c>
      <c r="JX275" s="56"/>
      <c r="JY275" s="242">
        <f>SUMPRODUCT(PRODUCE!$B276:$DY276,PRODUCE!$EB$38:$IY$38)</f>
        <v>0</v>
      </c>
      <c r="JZ275" s="56"/>
      <c r="KA275" s="242">
        <f t="shared" si="1836"/>
        <v>0</v>
      </c>
      <c r="KB275" s="242">
        <f t="shared" si="1837"/>
        <v>2540</v>
      </c>
      <c r="KC275" s="56"/>
      <c r="KF275" s="55">
        <f t="shared" si="1838"/>
        <v>46256</v>
      </c>
      <c r="KG275" s="56"/>
      <c r="KH275" s="242">
        <f>SUMPRODUCT(PRODUCE!$B276:$DY276,PRODUCE!$EB$39:$IY$39)</f>
        <v>0</v>
      </c>
      <c r="KI275" s="56"/>
      <c r="KJ275" s="242">
        <f t="shared" si="1839"/>
        <v>0</v>
      </c>
      <c r="KK275" s="242">
        <f t="shared" si="1840"/>
        <v>2359.5</v>
      </c>
      <c r="KL275" s="56"/>
      <c r="KO275" s="55">
        <f t="shared" si="1841"/>
        <v>46256</v>
      </c>
      <c r="KP275" s="56"/>
      <c r="KQ275" s="242">
        <f>SUMPRODUCT(PRODUCE!$B276:$DY276,PRODUCE!$EB$40:$IY$40)</f>
        <v>0</v>
      </c>
      <c r="KR275" s="56"/>
      <c r="KS275" s="242">
        <f t="shared" si="1842"/>
        <v>0</v>
      </c>
      <c r="KT275" s="242">
        <f t="shared" si="1843"/>
        <v>1890</v>
      </c>
      <c r="KU275" s="56"/>
      <c r="KW275" s="23"/>
      <c r="KX275" s="55">
        <f t="shared" si="1844"/>
        <v>46256</v>
      </c>
      <c r="KY275" s="56"/>
      <c r="KZ275" s="242">
        <f>SUMPRODUCT(PRODUCE!$B276:$DY276,PRODUCE!$EB$41:$IY$41)</f>
        <v>0</v>
      </c>
      <c r="LA275" s="56"/>
      <c r="LB275" s="242">
        <f t="shared" si="1845"/>
        <v>0</v>
      </c>
      <c r="LC275" s="242">
        <f t="shared" si="1846"/>
        <v>3690</v>
      </c>
      <c r="LD275" s="56"/>
      <c r="LG275" s="55">
        <f t="shared" si="1847"/>
        <v>46256</v>
      </c>
      <c r="LH275" s="56"/>
      <c r="LI275" s="242">
        <f>SUMPRODUCT(PRODUCE!$B276:$DY276,PRODUCE!$EB$42:$IY$42)</f>
        <v>0</v>
      </c>
      <c r="LJ275" s="56"/>
      <c r="LK275" s="242">
        <f t="shared" si="1848"/>
        <v>0</v>
      </c>
      <c r="LL275" s="242">
        <f t="shared" si="1849"/>
        <v>4000</v>
      </c>
      <c r="LM275" s="56"/>
      <c r="LP275" s="55">
        <f t="shared" si="1850"/>
        <v>46256</v>
      </c>
      <c r="LQ275" s="56"/>
      <c r="LR275" s="242">
        <f>SUMPRODUCT(PRODUCE!$B290:$DY290,PRODUCE!$EB$43:$IY$43)</f>
        <v>0</v>
      </c>
      <c r="LS275" s="56"/>
      <c r="LT275" s="242">
        <f t="shared" si="1851"/>
        <v>0</v>
      </c>
      <c r="LU275" s="242">
        <f t="shared" si="1852"/>
        <v>0</v>
      </c>
      <c r="LV275" s="56"/>
      <c r="LY275" s="55">
        <f t="shared" si="1853"/>
        <v>46256</v>
      </c>
      <c r="LZ275" s="56"/>
      <c r="MA275" s="242">
        <f>SUMPRODUCT(PRODUCE!$B276:$DY276,PRODUCE!$EB$44:$IY$44)</f>
        <v>0</v>
      </c>
      <c r="MB275" s="56"/>
      <c r="MC275" s="242">
        <f t="shared" si="1854"/>
        <v>0</v>
      </c>
      <c r="MD275" s="242">
        <f t="shared" si="1855"/>
        <v>0</v>
      </c>
      <c r="ME275" s="56"/>
      <c r="MH275" s="55">
        <f t="shared" si="1856"/>
        <v>46256</v>
      </c>
      <c r="MI275" s="56"/>
      <c r="MJ275" s="242">
        <f>SUMPRODUCT(PRODUCE!$B276:$DY276,PRODUCE!$EB$45:$IY$45)</f>
        <v>0</v>
      </c>
      <c r="MK275" s="56"/>
      <c r="ML275" s="242">
        <f t="shared" si="1857"/>
        <v>0</v>
      </c>
      <c r="MM275" s="242">
        <f t="shared" si="1858"/>
        <v>0</v>
      </c>
      <c r="MN275" s="56"/>
      <c r="MQ275" s="55">
        <f t="shared" si="1859"/>
        <v>46256</v>
      </c>
      <c r="MR275" s="56"/>
      <c r="MS275" s="242">
        <f>SUMPRODUCT(PRODUCE!$B276:$DY276,PRODUCE!$EB$46:$IY$46)</f>
        <v>0</v>
      </c>
      <c r="MT275" s="56"/>
      <c r="MU275" s="242">
        <f t="shared" si="1860"/>
        <v>0</v>
      </c>
      <c r="MV275" s="242">
        <f t="shared" si="1861"/>
        <v>1625</v>
      </c>
      <c r="MW275" s="56"/>
      <c r="MZ275" s="55">
        <f t="shared" si="1862"/>
        <v>46256</v>
      </c>
      <c r="NA275" s="56"/>
      <c r="NB275" s="242">
        <f>SUMPRODUCT(PRODUCE!$B276:$DY276,PRODUCE!$EB$47:$IY$47)</f>
        <v>0</v>
      </c>
      <c r="NC275" s="56"/>
      <c r="ND275" s="242">
        <f t="shared" si="1863"/>
        <v>0</v>
      </c>
      <c r="NE275" s="242">
        <f t="shared" si="1864"/>
        <v>0</v>
      </c>
      <c r="NF275" s="56"/>
      <c r="NI275" s="55">
        <f t="shared" si="1865"/>
        <v>46256</v>
      </c>
      <c r="NJ275" s="56"/>
      <c r="NK275" s="242">
        <f>SUMPRODUCT(PRODUCE!$B276:$DY276,PRODUCE!$EB$48:$IY$48)</f>
        <v>0</v>
      </c>
      <c r="NL275" s="56"/>
      <c r="NM275" s="242">
        <f t="shared" si="1866"/>
        <v>0</v>
      </c>
      <c r="NN275" s="242">
        <f t="shared" si="1867"/>
        <v>1127</v>
      </c>
      <c r="NO275" s="56"/>
      <c r="NR275" s="55">
        <f t="shared" si="1868"/>
        <v>46256</v>
      </c>
      <c r="NS275" s="56"/>
      <c r="NT275" s="242">
        <f>SUMPRODUCT(PRODUCE!$B276:$DY276,PRODUCE!$EB$49:$IY$49)</f>
        <v>0</v>
      </c>
      <c r="NU275" s="56"/>
      <c r="NV275" s="242">
        <f t="shared" si="1869"/>
        <v>0</v>
      </c>
      <c r="NW275" s="242">
        <f t="shared" si="1870"/>
        <v>3111.9999999999995</v>
      </c>
      <c r="NX275" s="56"/>
      <c r="OA275" s="55">
        <f t="shared" si="1871"/>
        <v>46256</v>
      </c>
      <c r="OB275" s="56"/>
      <c r="OC275" s="242">
        <f>SUMPRODUCT(PRODUCE!$B276:$DY276,PRODUCE!$EB$50:$IY$50)</f>
        <v>0</v>
      </c>
      <c r="OD275" s="56"/>
      <c r="OE275" s="242">
        <f t="shared" si="1872"/>
        <v>0</v>
      </c>
      <c r="OF275" s="242">
        <f t="shared" si="1873"/>
        <v>1680.5</v>
      </c>
      <c r="OG275" s="56" t="s">
        <v>306</v>
      </c>
      <c r="OJ275" s="55">
        <f t="shared" si="1874"/>
        <v>46256</v>
      </c>
      <c r="OK275" s="56"/>
      <c r="OL275" s="242">
        <f>SUMPRODUCT(PRODUCE!$B276:$DY276,PRODUCE!$EB$51:$IY$51)</f>
        <v>0</v>
      </c>
      <c r="OM275" s="56"/>
      <c r="ON275" s="242">
        <f t="shared" si="1875"/>
        <v>0</v>
      </c>
      <c r="OO275" s="242">
        <f t="shared" si="1876"/>
        <v>0</v>
      </c>
      <c r="OP275" s="56"/>
      <c r="OS275" s="55">
        <f t="shared" si="1877"/>
        <v>46256</v>
      </c>
      <c r="OT275" s="56"/>
      <c r="OU275" s="242">
        <f>SUMPRODUCT(PRODUCE!$B276:$DY276,PRODUCE!$EB$52:$IY$52)</f>
        <v>0</v>
      </c>
      <c r="OV275" s="56"/>
      <c r="OW275" s="242">
        <f t="shared" si="1878"/>
        <v>0</v>
      </c>
      <c r="OX275" s="242">
        <f t="shared" si="1879"/>
        <v>1482</v>
      </c>
      <c r="OY275" s="56"/>
      <c r="PB275" s="55">
        <f t="shared" si="1880"/>
        <v>46256</v>
      </c>
      <c r="PC275" s="56"/>
      <c r="PD275" s="242">
        <f>SUMPRODUCT(PRODUCE!$B276:$DY276,PRODUCE!$EB$53:$IY$53)</f>
        <v>0</v>
      </c>
      <c r="PE275" s="56"/>
      <c r="PF275" s="242">
        <f t="shared" si="1881"/>
        <v>0</v>
      </c>
      <c r="PG275" s="242">
        <f t="shared" si="1882"/>
        <v>0</v>
      </c>
      <c r="PH275" s="56"/>
      <c r="PK275" s="55">
        <f t="shared" si="1883"/>
        <v>46256</v>
      </c>
      <c r="PL275" s="56"/>
      <c r="PM275" s="242">
        <f>SUMPRODUCT(PRODUCE!$B276:$DY276,PRODUCE!$EB$54:$IY$54)</f>
        <v>0</v>
      </c>
      <c r="PN275" s="56"/>
      <c r="PO275" s="242">
        <f t="shared" si="1884"/>
        <v>0</v>
      </c>
      <c r="PP275" s="242">
        <f t="shared" si="1885"/>
        <v>100</v>
      </c>
      <c r="PQ275" s="56"/>
      <c r="PT275" s="55">
        <f t="shared" si="1886"/>
        <v>46256</v>
      </c>
      <c r="PU275" s="56"/>
      <c r="PV275" s="242">
        <f>SUMPRODUCT(PRODUCE!$B276:$DY276,PRODUCE!$EB$55:$IY$55)</f>
        <v>0</v>
      </c>
      <c r="PW275" s="56"/>
      <c r="PX275" s="242">
        <f t="shared" si="1887"/>
        <v>0</v>
      </c>
      <c r="PY275" s="242">
        <f t="shared" si="1888"/>
        <v>13.960000000000036</v>
      </c>
      <c r="PZ275" s="56"/>
      <c r="QC275" s="55">
        <f t="shared" si="1889"/>
        <v>46256</v>
      </c>
      <c r="QD275" s="56"/>
      <c r="QE275" s="242">
        <f>SUMPRODUCT(PRODUCE!$B276:$DY276,PRODUCE!$EB$56:$IY$56)</f>
        <v>0</v>
      </c>
      <c r="QF275" s="56"/>
      <c r="QG275" s="242">
        <f t="shared" si="1890"/>
        <v>0</v>
      </c>
      <c r="QH275" s="242">
        <f t="shared" si="1891"/>
        <v>548</v>
      </c>
      <c r="QI275" s="56"/>
      <c r="QL275" s="55">
        <f t="shared" si="1892"/>
        <v>46256</v>
      </c>
      <c r="QM275" s="56"/>
      <c r="QN275" s="242">
        <f>SUMPRODUCT(PRODUCE!$B276:$DY276,PRODUCE!$EB$57:$IY$57)</f>
        <v>0</v>
      </c>
      <c r="QO275" s="56"/>
      <c r="QP275" s="242">
        <f t="shared" si="1893"/>
        <v>0</v>
      </c>
      <c r="QQ275" s="242">
        <f t="shared" si="1894"/>
        <v>0</v>
      </c>
      <c r="QR275" s="56"/>
      <c r="QU275" s="55">
        <f t="shared" si="1895"/>
        <v>46256</v>
      </c>
      <c r="QV275" s="56"/>
      <c r="QW275" s="242">
        <f>SUMPRODUCT(PRODUCE!$B276:$DY276,PRODUCE!$EB$57:$IY$57)</f>
        <v>0</v>
      </c>
      <c r="QX275" s="56"/>
      <c r="QY275" s="242">
        <f t="shared" si="1896"/>
        <v>0</v>
      </c>
      <c r="QZ275" s="242">
        <f t="shared" si="1897"/>
        <v>0</v>
      </c>
      <c r="RA275" s="56"/>
      <c r="RD275" s="55">
        <f t="shared" si="1898"/>
        <v>46256</v>
      </c>
      <c r="RE275" s="56"/>
      <c r="RF275" s="242">
        <f>SUMPRODUCT(PRODUCE!$B276:$DY276,PRODUCE!$EB$58:$IY$58)</f>
        <v>0</v>
      </c>
      <c r="RG275" s="56"/>
      <c r="RH275" s="242">
        <f t="shared" si="1899"/>
        <v>0</v>
      </c>
      <c r="RI275" s="242">
        <f t="shared" si="1900"/>
        <v>147.04000000000002</v>
      </c>
      <c r="RJ275" s="56"/>
      <c r="RM275" s="55">
        <f t="shared" si="1901"/>
        <v>46256</v>
      </c>
      <c r="RN275" s="56"/>
      <c r="RO275" s="242">
        <f>SUMPRODUCT(PRODUCE!$B276:$DY276,PRODUCE!$EB$59:$IY$59)</f>
        <v>0</v>
      </c>
      <c r="RP275" s="56"/>
      <c r="RQ275" s="242">
        <f t="shared" si="1902"/>
        <v>0</v>
      </c>
      <c r="RR275" s="242">
        <f t="shared" si="1903"/>
        <v>46.8</v>
      </c>
      <c r="RS275" s="56"/>
      <c r="RV275" s="55">
        <f t="shared" si="1904"/>
        <v>46256</v>
      </c>
      <c r="RW275" s="56"/>
      <c r="RX275" s="242">
        <f>SUMPRODUCT(PRODUCE!$B276:$DY276,PRODUCE!$EB$57:$IY$57)</f>
        <v>0</v>
      </c>
      <c r="RY275" s="56"/>
      <c r="RZ275" s="242">
        <f t="shared" si="1905"/>
        <v>0</v>
      </c>
      <c r="SA275" s="242">
        <f t="shared" si="1906"/>
        <v>0</v>
      </c>
      <c r="SB275" s="56"/>
      <c r="SE275" s="55">
        <f t="shared" si="1907"/>
        <v>46256</v>
      </c>
      <c r="SF275" s="56"/>
      <c r="SG275" s="242">
        <f>SUMPRODUCT(PRODUCE!$B276:$DY276,PRODUCE!$EB$61:$IY$61)</f>
        <v>0</v>
      </c>
      <c r="SH275" s="56"/>
      <c r="SI275" s="242">
        <f t="shared" si="1908"/>
        <v>0</v>
      </c>
      <c r="SJ275" s="242">
        <f t="shared" si="1909"/>
        <v>24.200000000000003</v>
      </c>
      <c r="SK275" s="56"/>
      <c r="SN275" s="55">
        <f t="shared" si="1910"/>
        <v>46256</v>
      </c>
      <c r="SO275" s="56"/>
      <c r="SP275" s="242">
        <f>SUMPRODUCT(PRODUCE!$B276:$DY276,PRODUCE!$EB$62:$IY$62)</f>
        <v>0</v>
      </c>
      <c r="SQ275" s="56"/>
      <c r="SR275" s="242">
        <f t="shared" si="1911"/>
        <v>0</v>
      </c>
      <c r="SS275" s="242">
        <f t="shared" si="1912"/>
        <v>32</v>
      </c>
      <c r="ST275" s="56"/>
      <c r="SW275" s="55">
        <f t="shared" si="1913"/>
        <v>46256</v>
      </c>
      <c r="SX275" s="56"/>
      <c r="SY275" s="242">
        <f>SUMPRODUCT(PRODUCE!$B276:$DY276,PRODUCE!$EB$57:$IY$57)</f>
        <v>0</v>
      </c>
      <c r="SZ275" s="56"/>
      <c r="TA275" s="242">
        <f t="shared" si="1914"/>
        <v>0</v>
      </c>
      <c r="TB275" s="242">
        <f t="shared" si="1915"/>
        <v>0</v>
      </c>
      <c r="TC275" s="56"/>
      <c r="TF275" s="55">
        <f t="shared" si="1916"/>
        <v>46256</v>
      </c>
      <c r="TG275" s="56"/>
      <c r="TH275" s="242">
        <f>SUMPRODUCT(PRODUCE!$B276:$DY276,PRODUCE!$EB$57:$IY$57)</f>
        <v>0</v>
      </c>
      <c r="TI275" s="56"/>
      <c r="TJ275" s="242">
        <f t="shared" si="1917"/>
        <v>0</v>
      </c>
      <c r="TK275" s="242">
        <f t="shared" si="1918"/>
        <v>0</v>
      </c>
      <c r="TL275" s="56"/>
      <c r="TO275" s="55">
        <f t="shared" si="1919"/>
        <v>46256</v>
      </c>
      <c r="TP275" s="56"/>
      <c r="TQ275" s="242">
        <f>SUMPRODUCT(PRODUCE!$B276:$DY276,PRODUCE!$EB$57:$IY$57)</f>
        <v>0</v>
      </c>
      <c r="TR275" s="56"/>
      <c r="TS275" s="242">
        <f t="shared" si="1920"/>
        <v>0</v>
      </c>
      <c r="TT275" s="242">
        <f t="shared" si="1921"/>
        <v>0</v>
      </c>
      <c r="TU275" s="56"/>
      <c r="TX275" s="55">
        <f t="shared" si="1922"/>
        <v>46256</v>
      </c>
      <c r="TY275" s="56"/>
      <c r="TZ275" s="242">
        <f>SUMPRODUCT(PRODUCE!$B276:$DY276,PRODUCE!$EB$57:$IY$57)</f>
        <v>0</v>
      </c>
      <c r="UA275" s="56"/>
      <c r="UB275" s="242">
        <f t="shared" si="1923"/>
        <v>0</v>
      </c>
      <c r="UC275" s="242">
        <f t="shared" si="1924"/>
        <v>46.799999999999983</v>
      </c>
      <c r="UD275" s="56"/>
      <c r="UG275" s="55">
        <f t="shared" si="1925"/>
        <v>46256</v>
      </c>
      <c r="UH275" s="56"/>
      <c r="UI275" s="242">
        <f>SUMPRODUCT(PRODUCE!$B276:$DY276,PRODUCE!$EB$57:$IY$57)</f>
        <v>0</v>
      </c>
      <c r="UJ275" s="56"/>
      <c r="UK275" s="242">
        <f t="shared" si="1926"/>
        <v>0</v>
      </c>
      <c r="UL275" s="242">
        <f t="shared" si="1927"/>
        <v>204</v>
      </c>
      <c r="UM275" s="56"/>
      <c r="UP275" s="55">
        <f t="shared" si="1928"/>
        <v>46256</v>
      </c>
      <c r="UQ275" s="56"/>
      <c r="UR275" s="242">
        <f>SUMPRODUCT(PRODUCE!$B276:$DY276,PRODUCE!$EB$57:$IY$57)</f>
        <v>0</v>
      </c>
      <c r="US275" s="56"/>
      <c r="UT275" s="242">
        <f t="shared" si="1929"/>
        <v>0</v>
      </c>
      <c r="UU275" s="242">
        <f t="shared" si="1930"/>
        <v>202.5</v>
      </c>
      <c r="UV275" s="56"/>
      <c r="UY275" s="55">
        <f t="shared" si="1931"/>
        <v>46256</v>
      </c>
      <c r="UZ275" s="56"/>
      <c r="VA275" s="242">
        <f>SUMPRODUCT(PRODUCE!$B276:$DY276,PRODUCE!$EB$57:$IY$57)</f>
        <v>0</v>
      </c>
      <c r="VB275" s="56"/>
      <c r="VC275" s="242">
        <f t="shared" si="1932"/>
        <v>0</v>
      </c>
      <c r="VD275" s="242">
        <f t="shared" si="1933"/>
        <v>41.600000000000023</v>
      </c>
      <c r="VE275" s="56"/>
      <c r="VH275" s="55">
        <f t="shared" si="1934"/>
        <v>46256</v>
      </c>
      <c r="VI275" s="56"/>
      <c r="VJ275" s="242">
        <f>SUMPRODUCT(PRODUCE!$B276:$DY276,PRODUCE!$EB$57:$IY$57)</f>
        <v>0</v>
      </c>
      <c r="VK275" s="56"/>
      <c r="VL275" s="242">
        <f t="shared" si="1935"/>
        <v>0</v>
      </c>
      <c r="VM275" s="242">
        <f t="shared" si="1936"/>
        <v>210</v>
      </c>
      <c r="VN275" s="56"/>
      <c r="VQ275" s="55">
        <f t="shared" si="1937"/>
        <v>46256</v>
      </c>
      <c r="VR275" s="56"/>
      <c r="VS275" s="242">
        <f>SUMPRODUCT(PRODUCE!$B276:$DY276,PRODUCE!$EB$57:$IY$57)</f>
        <v>0</v>
      </c>
      <c r="VT275" s="56"/>
      <c r="VU275" s="242">
        <f t="shared" si="1938"/>
        <v>0</v>
      </c>
      <c r="VV275" s="242">
        <f t="shared" si="1939"/>
        <v>0</v>
      </c>
      <c r="VW275" s="56"/>
      <c r="VZ275" s="55">
        <f t="shared" si="1940"/>
        <v>46256</v>
      </c>
      <c r="WA275" s="56"/>
      <c r="WB275" s="242">
        <f>SUMPRODUCT(PRODUCE!$B276:$DY276,PRODUCE!$EB$57:$IY$57)</f>
        <v>0</v>
      </c>
      <c r="WC275" s="56"/>
      <c r="WD275" s="242">
        <f t="shared" si="1941"/>
        <v>0</v>
      </c>
      <c r="WE275" s="242">
        <f t="shared" si="1942"/>
        <v>0</v>
      </c>
      <c r="WF275" s="56"/>
      <c r="WI275" s="55">
        <f t="shared" si="1943"/>
        <v>46256</v>
      </c>
      <c r="WJ275" s="56"/>
      <c r="WK275" s="242">
        <f>SUMPRODUCT(PRODUCE!$B276:$DY276,PRODUCE!$EB$57:$IY$57)</f>
        <v>0</v>
      </c>
      <c r="WL275" s="56"/>
      <c r="WM275" s="242">
        <f t="shared" si="1944"/>
        <v>0</v>
      </c>
      <c r="WN275" s="242">
        <f t="shared" si="1945"/>
        <v>1057</v>
      </c>
      <c r="WO275" s="56"/>
      <c r="WR275" s="55">
        <f t="shared" si="1946"/>
        <v>46256</v>
      </c>
      <c r="WS275" s="56"/>
      <c r="WT275" s="242">
        <f>SUMPRODUCT(PRODUCE!$B276:$DY276,PRODUCE!$EB$57:$IY$57)</f>
        <v>0</v>
      </c>
      <c r="WU275" s="56"/>
      <c r="WV275" s="242">
        <f t="shared" si="1947"/>
        <v>0</v>
      </c>
      <c r="WW275" s="242">
        <f t="shared" si="1948"/>
        <v>0</v>
      </c>
      <c r="WX275" s="56"/>
      <c r="XA275" s="55">
        <f t="shared" si="1949"/>
        <v>46256</v>
      </c>
      <c r="XB275" s="56"/>
      <c r="XC275" s="242">
        <f>SUMPRODUCT(PRODUCE!$B276:$DY276,PRODUCE!$EB$57:$IY$57)</f>
        <v>0</v>
      </c>
      <c r="XD275" s="56"/>
      <c r="XE275" s="242">
        <f t="shared" si="1950"/>
        <v>0</v>
      </c>
      <c r="XF275" s="242">
        <f t="shared" si="1951"/>
        <v>7507</v>
      </c>
      <c r="XG275" s="56"/>
      <c r="XJ275" s="55">
        <f t="shared" si="1952"/>
        <v>46256</v>
      </c>
      <c r="XK275" s="56"/>
      <c r="XL275" s="242">
        <f>SUMPRODUCT(PRODUCE!$B276:$DY276,PRODUCE!$EB$57:$IY$57)</f>
        <v>0</v>
      </c>
      <c r="XM275" s="56"/>
      <c r="XN275" s="242">
        <f t="shared" si="1953"/>
        <v>0</v>
      </c>
      <c r="XO275" s="242">
        <f t="shared" si="1954"/>
        <v>4252</v>
      </c>
      <c r="XP275" s="56"/>
      <c r="XS275" s="55">
        <f t="shared" si="1955"/>
        <v>46256</v>
      </c>
      <c r="XT275" s="56"/>
      <c r="XU275" s="242">
        <f>SUMPRODUCT(PRODUCE!$B276:$DY276,PRODUCE!$EB$57:$IY$57)</f>
        <v>0</v>
      </c>
      <c r="XV275" s="56"/>
      <c r="XW275" s="242">
        <f t="shared" si="1956"/>
        <v>0</v>
      </c>
      <c r="XX275" s="242">
        <f t="shared" si="1957"/>
        <v>2179</v>
      </c>
      <c r="XY275" s="56"/>
      <c r="YB275" s="55">
        <f t="shared" si="1958"/>
        <v>46256</v>
      </c>
      <c r="YC275" s="56"/>
      <c r="YD275" s="242">
        <f>SUMPRODUCT(PRODUCE!$B276:$DY276,PRODUCE!$EB$57:$IY$57)</f>
        <v>0</v>
      </c>
      <c r="YE275" s="56"/>
      <c r="YF275" s="242">
        <f t="shared" si="1959"/>
        <v>0</v>
      </c>
      <c r="YG275" s="242">
        <f t="shared" si="1960"/>
        <v>4019</v>
      </c>
      <c r="YH275" s="56"/>
      <c r="YK275" s="55">
        <f t="shared" si="1961"/>
        <v>46256</v>
      </c>
      <c r="YL275" s="56"/>
      <c r="YM275" s="242">
        <f>SUMPRODUCT(PRODUCE!$B276:$DY276,PRODUCE!$EB$57:$IY$57)</f>
        <v>0</v>
      </c>
      <c r="YN275" s="56"/>
      <c r="YO275" s="242">
        <f t="shared" si="1962"/>
        <v>0</v>
      </c>
      <c r="YP275" s="242">
        <f t="shared" si="1963"/>
        <v>-218</v>
      </c>
      <c r="YQ275" s="56"/>
      <c r="YT275" s="55">
        <f t="shared" si="1964"/>
        <v>46256</v>
      </c>
      <c r="YU275" s="56"/>
      <c r="YV275" s="242">
        <f>SUMPRODUCT(PRODUCE!$B276:$DY276,PRODUCE!$EB$57:$IY$57)</f>
        <v>0</v>
      </c>
      <c r="YW275" s="56"/>
      <c r="YX275" s="242">
        <f t="shared" si="1965"/>
        <v>0</v>
      </c>
      <c r="YY275" s="242">
        <f t="shared" si="1966"/>
        <v>0</v>
      </c>
      <c r="YZ275" s="56"/>
      <c r="ZC275" s="55">
        <f t="shared" si="1967"/>
        <v>46256</v>
      </c>
      <c r="ZD275" s="56"/>
      <c r="ZE275" s="242">
        <f>SUMPRODUCT(PRODUCE!$B276:$DY276,PRODUCE!$EB$57:$IY$57)</f>
        <v>0</v>
      </c>
      <c r="ZF275" s="56"/>
      <c r="ZG275" s="242">
        <f t="shared" si="1968"/>
        <v>0</v>
      </c>
      <c r="ZH275" s="242">
        <f t="shared" si="1969"/>
        <v>0</v>
      </c>
      <c r="ZI275" s="56"/>
      <c r="ZL275" s="55">
        <f t="shared" si="1970"/>
        <v>46256</v>
      </c>
      <c r="ZM275" s="56"/>
      <c r="ZN275" s="242">
        <f>SUMPRODUCT(PRODUCE!$B276:$DY276,PRODUCE!$EB$57:$IY$57)</f>
        <v>0</v>
      </c>
      <c r="ZO275" s="56"/>
      <c r="ZP275" s="242">
        <f t="shared" si="1971"/>
        <v>0</v>
      </c>
      <c r="ZQ275" s="242">
        <f t="shared" si="1972"/>
        <v>0</v>
      </c>
      <c r="ZR275" s="56"/>
      <c r="ZU275" s="55">
        <f t="shared" si="1973"/>
        <v>46256</v>
      </c>
      <c r="ZV275" s="56"/>
      <c r="ZW275" s="242">
        <f>SUMPRODUCT(PRODUCE!$B276:$DY276,PRODUCE!$EB$57:$IY$57)</f>
        <v>0</v>
      </c>
      <c r="ZX275" s="56"/>
      <c r="ZY275" s="242">
        <f t="shared" si="1974"/>
        <v>0</v>
      </c>
      <c r="ZZ275" s="242">
        <f t="shared" si="1975"/>
        <v>0</v>
      </c>
      <c r="AAA275" s="56"/>
      <c r="AAD275" s="55">
        <f t="shared" si="1976"/>
        <v>46256</v>
      </c>
      <c r="AAE275" s="56"/>
      <c r="AAF275" s="242">
        <f>SUMPRODUCT(PRODUCE!$B276:$DY276,PRODUCE!$EB$57:$IY$57)</f>
        <v>0</v>
      </c>
      <c r="AAG275" s="56"/>
      <c r="AAH275" s="242">
        <f t="shared" si="1977"/>
        <v>0</v>
      </c>
      <c r="AAI275" s="242">
        <f t="shared" si="1978"/>
        <v>0</v>
      </c>
      <c r="AAJ275" s="56"/>
      <c r="AAM275" s="55">
        <f t="shared" si="1979"/>
        <v>46256</v>
      </c>
      <c r="AAN275" s="56"/>
      <c r="AAO275" s="242">
        <f>SUMPRODUCT(PRODUCE!$B276:$DY276,PRODUCE!$EB$57:$IY$57)</f>
        <v>0</v>
      </c>
      <c r="AAP275" s="56"/>
      <c r="AAQ275" s="242">
        <f t="shared" si="1980"/>
        <v>0</v>
      </c>
      <c r="AAR275" s="242">
        <f t="shared" si="1981"/>
        <v>0</v>
      </c>
      <c r="AAS275" s="56"/>
      <c r="AAV275" s="55">
        <f t="shared" si="1982"/>
        <v>46256</v>
      </c>
      <c r="AAW275" s="56"/>
      <c r="AAX275" s="242">
        <f>SUMPRODUCT(PRODUCE!$B276:$DY276,PRODUCE!$EB$57:$IY$57)</f>
        <v>0</v>
      </c>
      <c r="AAY275" s="56"/>
      <c r="AAZ275" s="242">
        <f t="shared" si="1983"/>
        <v>0</v>
      </c>
      <c r="ABA275" s="242">
        <f t="shared" si="1984"/>
        <v>0</v>
      </c>
      <c r="ABB275" s="56"/>
      <c r="ABE275" s="55">
        <f t="shared" si="1985"/>
        <v>46256</v>
      </c>
      <c r="ABF275" s="56"/>
      <c r="ABG275" s="242">
        <f>SUMPRODUCT(PRODUCE!$B276:$DY276,PRODUCE!$EB$57:$IY$57)</f>
        <v>0</v>
      </c>
      <c r="ABH275" s="56"/>
      <c r="ABI275" s="242">
        <f t="shared" si="1986"/>
        <v>0</v>
      </c>
      <c r="ABJ275" s="242">
        <f t="shared" si="1987"/>
        <v>0</v>
      </c>
      <c r="ABK275" s="56"/>
    </row>
    <row r="276" spans="1:739" s="54" customFormat="1" ht="15" customHeight="1" outlineLevel="1">
      <c r="B276" s="478"/>
      <c r="C276" s="55">
        <v>46257</v>
      </c>
      <c r="D276" s="56"/>
      <c r="E276" s="57">
        <f>SUMPRODUCT(PRODUCE!$B277:$DY277,PRODUCE!$EB$7:$IY$7)</f>
        <v>0</v>
      </c>
      <c r="F276" s="56"/>
      <c r="G276" s="57">
        <f t="shared" si="1743"/>
        <v>0</v>
      </c>
      <c r="H276" s="57">
        <f t="shared" si="1744"/>
        <v>236936.6</v>
      </c>
      <c r="I276" s="289"/>
      <c r="L276" s="55">
        <f t="shared" si="1745"/>
        <v>46257</v>
      </c>
      <c r="M276" s="56"/>
      <c r="N276" s="59">
        <f>SUMPRODUCT(PRODUCE!$B277:$DY277,PRODUCE!$EB$8:$IY$8)</f>
        <v>0</v>
      </c>
      <c r="O276" s="56"/>
      <c r="P276" s="59">
        <f t="shared" si="1746"/>
        <v>0</v>
      </c>
      <c r="Q276" s="59">
        <f t="shared" si="1747"/>
        <v>53017.600000000071</v>
      </c>
      <c r="R276" s="56"/>
      <c r="U276" s="55">
        <f t="shared" si="1748"/>
        <v>46257</v>
      </c>
      <c r="V276" s="56"/>
      <c r="W276" s="60">
        <f>SUMPRODUCT(PRODUCE!$B277:$DY277,PRODUCE!$EB$9:$IY$9)</f>
        <v>0</v>
      </c>
      <c r="X276" s="56"/>
      <c r="Y276" s="60">
        <f t="shared" si="1749"/>
        <v>0</v>
      </c>
      <c r="Z276" s="60">
        <f t="shared" si="1750"/>
        <v>42674.199999999968</v>
      </c>
      <c r="AA276" s="56"/>
      <c r="AD276" s="55">
        <f t="shared" si="1751"/>
        <v>46257</v>
      </c>
      <c r="AE276" s="56"/>
      <c r="AF276" s="61">
        <f>SUMPRODUCT(PRODUCE!$B277:$DY277,PRODUCE!$EB$10:$IY$10)</f>
        <v>0</v>
      </c>
      <c r="AG276" s="56"/>
      <c r="AH276" s="61">
        <f t="shared" si="1752"/>
        <v>0</v>
      </c>
      <c r="AI276" s="61">
        <f t="shared" si="1753"/>
        <v>4522.2000000000189</v>
      </c>
      <c r="AJ276" s="56"/>
      <c r="AM276" s="55">
        <f t="shared" si="1754"/>
        <v>46257</v>
      </c>
      <c r="AN276" s="422"/>
      <c r="AO276" s="444">
        <f>SUMPRODUCT(PRODUCE!$B277:$DY277,PRODUCE!$EB$11:$IY$11)</f>
        <v>0</v>
      </c>
      <c r="AP276" s="422"/>
      <c r="AQ276" s="444">
        <f t="shared" si="1755"/>
        <v>0</v>
      </c>
      <c r="AR276" s="444">
        <f t="shared" si="1756"/>
        <v>0</v>
      </c>
      <c r="AS276" s="56"/>
      <c r="AV276" s="55">
        <f t="shared" si="1757"/>
        <v>46257</v>
      </c>
      <c r="AW276" s="56"/>
      <c r="AX276" s="62">
        <f>SUMPRODUCT(PRODUCE!$B277:$DY277,PRODUCE!$EB$12:$IY$12)</f>
        <v>0</v>
      </c>
      <c r="AY276" s="56"/>
      <c r="AZ276" s="62">
        <f t="shared" si="1758"/>
        <v>0</v>
      </c>
      <c r="BA276" s="62">
        <f t="shared" si="1759"/>
        <v>124.99999999999523</v>
      </c>
      <c r="BB276" s="56"/>
      <c r="BE276" s="55">
        <f t="shared" si="1760"/>
        <v>46257</v>
      </c>
      <c r="BF276" s="56"/>
      <c r="BG276" s="63">
        <f>SUMPRODUCT(PRODUCE!$B277:$DY277,PRODUCE!$EB$13:$IY$13)</f>
        <v>0</v>
      </c>
      <c r="BH276" s="56"/>
      <c r="BI276" s="63">
        <f t="shared" si="1761"/>
        <v>0</v>
      </c>
      <c r="BJ276" s="63">
        <f t="shared" si="1762"/>
        <v>26151.899999999998</v>
      </c>
      <c r="BK276" s="56"/>
      <c r="BN276" s="55">
        <f t="shared" si="1763"/>
        <v>46257</v>
      </c>
      <c r="BO276" s="56"/>
      <c r="BP276" s="64">
        <f>SUMPRODUCT(PRODUCE!$B277:$DY277,PRODUCE!$EB$14:$IY$14)</f>
        <v>0</v>
      </c>
      <c r="BQ276" s="56"/>
      <c r="BR276" s="64">
        <f t="shared" si="1764"/>
        <v>0</v>
      </c>
      <c r="BS276" s="64">
        <f t="shared" si="1765"/>
        <v>0</v>
      </c>
      <c r="BT276" s="56"/>
      <c r="BW276" s="55">
        <f t="shared" si="1766"/>
        <v>46257</v>
      </c>
      <c r="BX276" s="56"/>
      <c r="BY276" s="65">
        <f>SUMPRODUCT(PRODUCE!$B277:$DY277,PRODUCE!$EB$15:$IY$15)</f>
        <v>0</v>
      </c>
      <c r="BZ276" s="56"/>
      <c r="CA276" s="65">
        <f t="shared" si="1767"/>
        <v>0</v>
      </c>
      <c r="CB276" s="65">
        <f t="shared" si="1768"/>
        <v>2097.3399999999992</v>
      </c>
      <c r="CC276" s="56"/>
      <c r="CF276" s="55">
        <f t="shared" si="1769"/>
        <v>46257</v>
      </c>
      <c r="CG276" s="56"/>
      <c r="CH276" s="66">
        <f>SUMPRODUCT(PRODUCE!$B277:$DY277,PRODUCE!$EB$16:$IY$16)</f>
        <v>0</v>
      </c>
      <c r="CI276" s="56"/>
      <c r="CJ276" s="66">
        <f t="shared" si="1770"/>
        <v>0</v>
      </c>
      <c r="CK276" s="66">
        <f t="shared" si="1771"/>
        <v>-10277.079999999998</v>
      </c>
      <c r="CL276" s="56"/>
      <c r="CO276" s="55">
        <f t="shared" si="1772"/>
        <v>46257</v>
      </c>
      <c r="CP276" s="422"/>
      <c r="CQ276" s="470">
        <f>SUMPRODUCT(PRODUCE!$B277:$DY277,PRODUCE!$EB$17:$IY$17)</f>
        <v>0</v>
      </c>
      <c r="CR276" s="422"/>
      <c r="CS276" s="470">
        <f t="shared" si="1773"/>
        <v>0</v>
      </c>
      <c r="CT276" s="470">
        <f t="shared" si="1774"/>
        <v>0</v>
      </c>
      <c r="CU276" s="56"/>
      <c r="CX276" s="55">
        <f t="shared" si="1775"/>
        <v>46257</v>
      </c>
      <c r="CY276" s="56"/>
      <c r="CZ276" s="133">
        <f>SUMPRODUCT(PRODUCE!$B277:$DY277,PRODUCE!$EB$18:$IY$18)</f>
        <v>0</v>
      </c>
      <c r="DA276" s="56"/>
      <c r="DB276" s="133">
        <f t="shared" si="1776"/>
        <v>0</v>
      </c>
      <c r="DC276" s="133">
        <f t="shared" si="1777"/>
        <v>27438.200000000012</v>
      </c>
      <c r="DD276" s="56"/>
      <c r="DG276" s="55">
        <f t="shared" si="1778"/>
        <v>46257</v>
      </c>
      <c r="DH276" s="56"/>
      <c r="DI276" s="147">
        <f>SUMPRODUCT(PRODUCE!$B277:$DY277,PRODUCE!$EB$19:$IY$19)</f>
        <v>0</v>
      </c>
      <c r="DJ276" s="56"/>
      <c r="DK276" s="147">
        <f t="shared" si="1779"/>
        <v>0</v>
      </c>
      <c r="DL276" s="147">
        <f t="shared" si="1780"/>
        <v>18782.299999999981</v>
      </c>
      <c r="DM276" s="56"/>
      <c r="DP276" s="55">
        <f t="shared" si="1781"/>
        <v>46257</v>
      </c>
      <c r="DQ276" s="56"/>
      <c r="DR276" s="57">
        <f>SUMPRODUCT(PRODUCE!$B277:$DY277,PRODUCE!$EB$20:$IY$20)</f>
        <v>0</v>
      </c>
      <c r="DS276" s="56"/>
      <c r="DT276" s="57">
        <f t="shared" si="1782"/>
        <v>0</v>
      </c>
      <c r="DU276" s="57">
        <f t="shared" si="1783"/>
        <v>5800</v>
      </c>
      <c r="DV276" s="56"/>
      <c r="DY276" s="55">
        <f t="shared" si="1784"/>
        <v>46257</v>
      </c>
      <c r="DZ276" s="56"/>
      <c r="EA276" s="157">
        <f>SUMPRODUCT(PRODUCE!$B277:$DY277,PRODUCE!$EB$21:$IY$21)</f>
        <v>0</v>
      </c>
      <c r="EB276" s="56"/>
      <c r="EC276" s="157">
        <f t="shared" si="1785"/>
        <v>0</v>
      </c>
      <c r="ED276" s="157">
        <f t="shared" si="1786"/>
        <v>0</v>
      </c>
      <c r="EE276" s="56"/>
      <c r="EH276" s="55">
        <f t="shared" si="1787"/>
        <v>46257</v>
      </c>
      <c r="EI276" s="56"/>
      <c r="EJ276" s="162">
        <f>SUMPRODUCT(PRODUCE!$B277:$DY277,PRODUCE!$EB$22:$IY$22)</f>
        <v>0</v>
      </c>
      <c r="EK276" s="56"/>
      <c r="EL276" s="162">
        <f t="shared" si="1788"/>
        <v>0</v>
      </c>
      <c r="EM276" s="162">
        <f t="shared" si="1789"/>
        <v>0</v>
      </c>
      <c r="EN276" s="56"/>
      <c r="EQ276" s="55">
        <f t="shared" si="1790"/>
        <v>46257</v>
      </c>
      <c r="ER276" s="56"/>
      <c r="ES276" s="135">
        <f>SUMPRODUCT(PRODUCE!$B277:$DY277,PRODUCE!$EB$23:$IY$23)</f>
        <v>0</v>
      </c>
      <c r="ET276" s="56"/>
      <c r="EU276" s="135">
        <f t="shared" si="1791"/>
        <v>0</v>
      </c>
      <c r="EV276" s="135">
        <f t="shared" si="1792"/>
        <v>0</v>
      </c>
      <c r="EW276" s="56"/>
      <c r="EZ276" s="55">
        <f t="shared" si="1793"/>
        <v>46257</v>
      </c>
      <c r="FA276" s="56"/>
      <c r="FB276" s="175">
        <f>SUMPRODUCT(PRODUCE!$B277:$DY277,PRODUCE!$EB$24:$IY$24)</f>
        <v>0</v>
      </c>
      <c r="FC276" s="56"/>
      <c r="FD276" s="175">
        <f t="shared" si="1794"/>
        <v>0</v>
      </c>
      <c r="FE276" s="175">
        <f t="shared" si="1795"/>
        <v>0</v>
      </c>
      <c r="FF276" s="56"/>
      <c r="FI276" s="55">
        <f t="shared" si="1796"/>
        <v>46257</v>
      </c>
      <c r="FJ276" s="56"/>
      <c r="FK276" s="183">
        <f>SUMPRODUCT(PRODUCE!$B277:$DY277,PRODUCE!$EB$25:$IY$25)</f>
        <v>0</v>
      </c>
      <c r="FL276" s="56"/>
      <c r="FM276" s="183">
        <f t="shared" si="1797"/>
        <v>0</v>
      </c>
      <c r="FN276" s="183">
        <f t="shared" si="1798"/>
        <v>0</v>
      </c>
      <c r="FO276" s="56"/>
      <c r="FR276" s="55">
        <f t="shared" si="1799"/>
        <v>46257</v>
      </c>
      <c r="FS276" s="56"/>
      <c r="FT276" s="186">
        <f>SUMPRODUCT(PRODUCE!$B277:$DY277,PRODUCE!$EB$26:$IY$26)</f>
        <v>0</v>
      </c>
      <c r="FU276" s="56"/>
      <c r="FV276" s="186">
        <f t="shared" si="1800"/>
        <v>0</v>
      </c>
      <c r="FW276" s="186">
        <f t="shared" si="1801"/>
        <v>2020</v>
      </c>
      <c r="FX276" s="56"/>
      <c r="GA276" s="55">
        <f t="shared" si="1802"/>
        <v>46257</v>
      </c>
      <c r="GB276" s="56"/>
      <c r="GC276" s="137">
        <f>SUMPRODUCT(PRODUCE!$B277:$DY277,PRODUCE!$EB$27:$IY$27)</f>
        <v>0</v>
      </c>
      <c r="GD276" s="56"/>
      <c r="GE276" s="137">
        <f t="shared" si="1803"/>
        <v>0</v>
      </c>
      <c r="GF276" s="137">
        <f t="shared" si="1804"/>
        <v>960</v>
      </c>
      <c r="GG276" s="56"/>
      <c r="GI276" s="23"/>
      <c r="GJ276" s="55">
        <f t="shared" si="1805"/>
        <v>46257</v>
      </c>
      <c r="GK276" s="56"/>
      <c r="GL276" s="199">
        <f>SUMPRODUCT(PRODUCE!$B277:$DY277,PRODUCE!$EB$28:$IY$28)</f>
        <v>0</v>
      </c>
      <c r="GM276" s="56"/>
      <c r="GN276" s="199">
        <f t="shared" si="1806"/>
        <v>0</v>
      </c>
      <c r="GO276" s="199">
        <f t="shared" si="1807"/>
        <v>1760</v>
      </c>
      <c r="GP276" s="56"/>
      <c r="GS276" s="55">
        <f t="shared" si="1808"/>
        <v>46257</v>
      </c>
      <c r="GT276" s="56"/>
      <c r="GU276" s="195">
        <f>SUMPRODUCT(PRODUCE!$B277:$DY277,PRODUCE!$EB$29:$IY$29)</f>
        <v>0</v>
      </c>
      <c r="GV276" s="56"/>
      <c r="GW276" s="195">
        <f t="shared" si="1809"/>
        <v>0</v>
      </c>
      <c r="GX276" s="195">
        <f t="shared" si="1810"/>
        <v>400</v>
      </c>
      <c r="GY276" s="56"/>
      <c r="HB276" s="55">
        <f t="shared" si="1811"/>
        <v>46257</v>
      </c>
      <c r="HC276" s="56"/>
      <c r="HD276" s="191">
        <f>SUMPRODUCT(PRODUCE!$B277:$DY277,PRODUCE!$EB$30:$IY$30)</f>
        <v>0</v>
      </c>
      <c r="HE276" s="56"/>
      <c r="HF276" s="191">
        <f t="shared" si="1812"/>
        <v>0</v>
      </c>
      <c r="HG276" s="191">
        <f t="shared" si="1813"/>
        <v>3600</v>
      </c>
      <c r="HH276" s="56"/>
      <c r="HK276" s="55">
        <f t="shared" si="1814"/>
        <v>46257</v>
      </c>
      <c r="HL276" s="56"/>
      <c r="HM276" s="63">
        <f>SUMPRODUCT(PRODUCE!$B277:$DY277,PRODUCE!$EB$31:$IY$31)</f>
        <v>0</v>
      </c>
      <c r="HN276" s="56"/>
      <c r="HO276" s="63">
        <f t="shared" si="1815"/>
        <v>0</v>
      </c>
      <c r="HP276" s="63">
        <f t="shared" si="1816"/>
        <v>0</v>
      </c>
      <c r="HQ276" s="56"/>
      <c r="HU276" s="55">
        <f t="shared" si="1817"/>
        <v>46257</v>
      </c>
      <c r="HV276" s="56"/>
      <c r="HW276" s="242">
        <f>SUMPRODUCT(PRODUCE!$B277:$DY277,PRODUCE!$EB$32:$IY$32)</f>
        <v>0</v>
      </c>
      <c r="HX276" s="56"/>
      <c r="HY276" s="242">
        <f t="shared" si="1818"/>
        <v>0</v>
      </c>
      <c r="HZ276" s="242">
        <f t="shared" si="1819"/>
        <v>6120</v>
      </c>
      <c r="IA276" s="56"/>
      <c r="ID276" s="55">
        <f t="shared" si="1820"/>
        <v>46257</v>
      </c>
      <c r="IE276" s="56"/>
      <c r="IF276" s="242">
        <f>SUMPRODUCT(PRODUCE!$B277:$DY277,PRODUCE!$EB$33:$IY$33)</f>
        <v>0</v>
      </c>
      <c r="IG276" s="56"/>
      <c r="IH276" s="242">
        <f t="shared" si="1821"/>
        <v>0</v>
      </c>
      <c r="II276" s="242">
        <f t="shared" si="1822"/>
        <v>0</v>
      </c>
      <c r="IJ276" s="56"/>
      <c r="IM276" s="55">
        <f t="shared" si="1823"/>
        <v>46257</v>
      </c>
      <c r="IN276" s="56"/>
      <c r="IO276" s="242">
        <f>SUMPRODUCT(PRODUCE!$B277:$DY277,PRODUCE!$EB$34:$IY$34)</f>
        <v>0</v>
      </c>
      <c r="IP276" s="56"/>
      <c r="IQ276" s="242">
        <f t="shared" si="1824"/>
        <v>0</v>
      </c>
      <c r="IR276" s="242">
        <f t="shared" si="1825"/>
        <v>0</v>
      </c>
      <c r="IS276" s="56"/>
      <c r="IV276" s="55">
        <f t="shared" si="1826"/>
        <v>46257</v>
      </c>
      <c r="IW276" s="56"/>
      <c r="IX276" s="242">
        <f>SUMPRODUCT(PRODUCE!$B277:$DY277,PRODUCE!$EB$35:$IY$35)</f>
        <v>0</v>
      </c>
      <c r="IY276" s="56"/>
      <c r="IZ276" s="242">
        <f t="shared" si="1827"/>
        <v>0</v>
      </c>
      <c r="JA276" s="242">
        <f t="shared" si="1828"/>
        <v>2820</v>
      </c>
      <c r="JB276" s="56"/>
      <c r="JE276" s="55">
        <f t="shared" si="1829"/>
        <v>46257</v>
      </c>
      <c r="JF276" s="56"/>
      <c r="JG276" s="242">
        <f>SUMPRODUCT(PRODUCE!$B277:$DY277,PRODUCE!$EB$36:$IY$36)</f>
        <v>0</v>
      </c>
      <c r="JH276" s="56"/>
      <c r="JI276" s="242">
        <f t="shared" si="1830"/>
        <v>0</v>
      </c>
      <c r="JJ276" s="242">
        <f t="shared" si="1831"/>
        <v>0</v>
      </c>
      <c r="JK276" s="56"/>
      <c r="JN276" s="55">
        <f t="shared" si="1832"/>
        <v>46257</v>
      </c>
      <c r="JO276" s="56"/>
      <c r="JP276" s="242">
        <f>SUMPRODUCT(PRODUCE!$B277:$DY277,PRODUCE!$EB$37:$IY$37)</f>
        <v>0</v>
      </c>
      <c r="JQ276" s="56"/>
      <c r="JR276" s="242">
        <f t="shared" si="1833"/>
        <v>0</v>
      </c>
      <c r="JS276" s="242">
        <f t="shared" si="1834"/>
        <v>0</v>
      </c>
      <c r="JT276" s="56"/>
      <c r="JW276" s="55">
        <f t="shared" si="1835"/>
        <v>46257</v>
      </c>
      <c r="JX276" s="56"/>
      <c r="JY276" s="242">
        <f>SUMPRODUCT(PRODUCE!$B277:$DY277,PRODUCE!$EB$38:$IY$38)</f>
        <v>0</v>
      </c>
      <c r="JZ276" s="56"/>
      <c r="KA276" s="242">
        <f t="shared" si="1836"/>
        <v>0</v>
      </c>
      <c r="KB276" s="242">
        <f t="shared" si="1837"/>
        <v>2540</v>
      </c>
      <c r="KC276" s="56"/>
      <c r="KF276" s="55">
        <f t="shared" si="1838"/>
        <v>46257</v>
      </c>
      <c r="KG276" s="56"/>
      <c r="KH276" s="242">
        <f>SUMPRODUCT(PRODUCE!$B277:$DY277,PRODUCE!$EB$39:$IY$39)</f>
        <v>0</v>
      </c>
      <c r="KI276" s="56"/>
      <c r="KJ276" s="242">
        <f t="shared" si="1839"/>
        <v>0</v>
      </c>
      <c r="KK276" s="242">
        <f t="shared" si="1840"/>
        <v>2359.5</v>
      </c>
      <c r="KL276" s="56"/>
      <c r="KO276" s="55">
        <f t="shared" si="1841"/>
        <v>46257</v>
      </c>
      <c r="KP276" s="56"/>
      <c r="KQ276" s="242">
        <f>SUMPRODUCT(PRODUCE!$B277:$DY277,PRODUCE!$EB$40:$IY$40)</f>
        <v>0</v>
      </c>
      <c r="KR276" s="56"/>
      <c r="KS276" s="242">
        <f t="shared" si="1842"/>
        <v>0</v>
      </c>
      <c r="KT276" s="242">
        <f t="shared" si="1843"/>
        <v>1890</v>
      </c>
      <c r="KU276" s="56"/>
      <c r="KW276" s="23"/>
      <c r="KX276" s="55">
        <f t="shared" si="1844"/>
        <v>46257</v>
      </c>
      <c r="KY276" s="56"/>
      <c r="KZ276" s="242">
        <f>SUMPRODUCT(PRODUCE!$B277:$DY277,PRODUCE!$EB$41:$IY$41)</f>
        <v>0</v>
      </c>
      <c r="LA276" s="56"/>
      <c r="LB276" s="242">
        <f t="shared" si="1845"/>
        <v>0</v>
      </c>
      <c r="LC276" s="242">
        <f t="shared" si="1846"/>
        <v>3690</v>
      </c>
      <c r="LD276" s="56"/>
      <c r="LG276" s="55">
        <f t="shared" si="1847"/>
        <v>46257</v>
      </c>
      <c r="LH276" s="56"/>
      <c r="LI276" s="242">
        <f>SUMPRODUCT(PRODUCE!$B277:$DY277,PRODUCE!$EB$42:$IY$42)</f>
        <v>0</v>
      </c>
      <c r="LJ276" s="56"/>
      <c r="LK276" s="242">
        <f t="shared" si="1848"/>
        <v>0</v>
      </c>
      <c r="LL276" s="242">
        <f t="shared" si="1849"/>
        <v>4000</v>
      </c>
      <c r="LM276" s="56"/>
      <c r="LP276" s="55">
        <f t="shared" si="1850"/>
        <v>46257</v>
      </c>
      <c r="LQ276" s="56"/>
      <c r="LR276" s="242">
        <f>SUMPRODUCT(PRODUCE!$B291:$DY291,PRODUCE!$EB$43:$IY$43)</f>
        <v>0</v>
      </c>
      <c r="LS276" s="56"/>
      <c r="LT276" s="242">
        <f t="shared" si="1851"/>
        <v>0</v>
      </c>
      <c r="LU276" s="242">
        <f t="shared" si="1852"/>
        <v>0</v>
      </c>
      <c r="LV276" s="56"/>
      <c r="LY276" s="55">
        <f t="shared" si="1853"/>
        <v>46257</v>
      </c>
      <c r="LZ276" s="56"/>
      <c r="MA276" s="242">
        <f>SUMPRODUCT(PRODUCE!$B277:$DY277,PRODUCE!$EB$44:$IY$44)</f>
        <v>0</v>
      </c>
      <c r="MB276" s="56"/>
      <c r="MC276" s="242">
        <f t="shared" si="1854"/>
        <v>0</v>
      </c>
      <c r="MD276" s="242">
        <f t="shared" si="1855"/>
        <v>0</v>
      </c>
      <c r="ME276" s="56"/>
      <c r="MH276" s="55">
        <f t="shared" si="1856"/>
        <v>46257</v>
      </c>
      <c r="MI276" s="56"/>
      <c r="MJ276" s="242">
        <f>SUMPRODUCT(PRODUCE!$B277:$DY277,PRODUCE!$EB$45:$IY$45)</f>
        <v>0</v>
      </c>
      <c r="MK276" s="56"/>
      <c r="ML276" s="242">
        <f t="shared" si="1857"/>
        <v>0</v>
      </c>
      <c r="MM276" s="242">
        <f t="shared" si="1858"/>
        <v>0</v>
      </c>
      <c r="MN276" s="56"/>
      <c r="MQ276" s="55">
        <f t="shared" si="1859"/>
        <v>46257</v>
      </c>
      <c r="MR276" s="56"/>
      <c r="MS276" s="242">
        <f>SUMPRODUCT(PRODUCE!$B277:$DY277,PRODUCE!$EB$46:$IY$46)</f>
        <v>0</v>
      </c>
      <c r="MT276" s="56"/>
      <c r="MU276" s="242">
        <f t="shared" si="1860"/>
        <v>0</v>
      </c>
      <c r="MV276" s="242">
        <f t="shared" si="1861"/>
        <v>1625</v>
      </c>
      <c r="MW276" s="56"/>
      <c r="MZ276" s="55">
        <f t="shared" si="1862"/>
        <v>46257</v>
      </c>
      <c r="NA276" s="56"/>
      <c r="NB276" s="242">
        <f>SUMPRODUCT(PRODUCE!$B277:$DY277,PRODUCE!$EB$47:$IY$47)</f>
        <v>0</v>
      </c>
      <c r="NC276" s="56"/>
      <c r="ND276" s="242">
        <f t="shared" si="1863"/>
        <v>0</v>
      </c>
      <c r="NE276" s="242">
        <f t="shared" si="1864"/>
        <v>0</v>
      </c>
      <c r="NF276" s="56"/>
      <c r="NI276" s="55">
        <f t="shared" si="1865"/>
        <v>46257</v>
      </c>
      <c r="NJ276" s="56"/>
      <c r="NK276" s="242">
        <f>SUMPRODUCT(PRODUCE!$B277:$DY277,PRODUCE!$EB$48:$IY$48)</f>
        <v>0</v>
      </c>
      <c r="NL276" s="56"/>
      <c r="NM276" s="242">
        <f t="shared" si="1866"/>
        <v>0</v>
      </c>
      <c r="NN276" s="242">
        <f t="shared" si="1867"/>
        <v>1127</v>
      </c>
      <c r="NO276" s="56"/>
      <c r="NR276" s="55">
        <f t="shared" si="1868"/>
        <v>46257</v>
      </c>
      <c r="NS276" s="56"/>
      <c r="NT276" s="242">
        <f>SUMPRODUCT(PRODUCE!$B277:$DY277,PRODUCE!$EB$49:$IY$49)</f>
        <v>0</v>
      </c>
      <c r="NU276" s="56"/>
      <c r="NV276" s="242">
        <f t="shared" si="1869"/>
        <v>0</v>
      </c>
      <c r="NW276" s="242">
        <f t="shared" si="1870"/>
        <v>3111.9999999999995</v>
      </c>
      <c r="NX276" s="56"/>
      <c r="OA276" s="55">
        <f t="shared" si="1871"/>
        <v>46257</v>
      </c>
      <c r="OB276" s="56"/>
      <c r="OC276" s="242">
        <f>SUMPRODUCT(PRODUCE!$B277:$DY277,PRODUCE!$EB$50:$IY$50)</f>
        <v>0</v>
      </c>
      <c r="OD276" s="56"/>
      <c r="OE276" s="242">
        <f t="shared" si="1872"/>
        <v>0</v>
      </c>
      <c r="OF276" s="242">
        <f t="shared" si="1873"/>
        <v>1680.5</v>
      </c>
      <c r="OG276" s="56"/>
      <c r="OJ276" s="55">
        <f t="shared" si="1874"/>
        <v>46257</v>
      </c>
      <c r="OK276" s="56"/>
      <c r="OL276" s="242">
        <f>SUMPRODUCT(PRODUCE!$B277:$DY277,PRODUCE!$EB$51:$IY$51)</f>
        <v>0</v>
      </c>
      <c r="OM276" s="56"/>
      <c r="ON276" s="242">
        <f t="shared" si="1875"/>
        <v>0</v>
      </c>
      <c r="OO276" s="242">
        <f t="shared" si="1876"/>
        <v>0</v>
      </c>
      <c r="OP276" s="56"/>
      <c r="OS276" s="55">
        <f t="shared" si="1877"/>
        <v>46257</v>
      </c>
      <c r="OT276" s="56"/>
      <c r="OU276" s="242">
        <f>SUMPRODUCT(PRODUCE!$B277:$DY277,PRODUCE!$EB$52:$IY$52)</f>
        <v>0</v>
      </c>
      <c r="OV276" s="56"/>
      <c r="OW276" s="242">
        <f t="shared" si="1878"/>
        <v>0</v>
      </c>
      <c r="OX276" s="242">
        <f t="shared" si="1879"/>
        <v>1482</v>
      </c>
      <c r="OY276" s="56"/>
      <c r="PB276" s="55">
        <f t="shared" si="1880"/>
        <v>46257</v>
      </c>
      <c r="PC276" s="56"/>
      <c r="PD276" s="242">
        <f>SUMPRODUCT(PRODUCE!$B277:$DY277,PRODUCE!$EB$53:$IY$53)</f>
        <v>0</v>
      </c>
      <c r="PE276" s="56"/>
      <c r="PF276" s="242">
        <f t="shared" si="1881"/>
        <v>0</v>
      </c>
      <c r="PG276" s="242">
        <f t="shared" si="1882"/>
        <v>0</v>
      </c>
      <c r="PH276" s="56"/>
      <c r="PK276" s="55">
        <f t="shared" si="1883"/>
        <v>46257</v>
      </c>
      <c r="PL276" s="56"/>
      <c r="PM276" s="242">
        <f>SUMPRODUCT(PRODUCE!$B277:$DY277,PRODUCE!$EB$54:$IY$54)</f>
        <v>0</v>
      </c>
      <c r="PN276" s="56"/>
      <c r="PO276" s="242">
        <f t="shared" si="1884"/>
        <v>0</v>
      </c>
      <c r="PP276" s="242">
        <f t="shared" si="1885"/>
        <v>100</v>
      </c>
      <c r="PQ276" s="56"/>
      <c r="PT276" s="55">
        <f t="shared" si="1886"/>
        <v>46257</v>
      </c>
      <c r="PU276" s="56"/>
      <c r="PV276" s="242">
        <f>SUMPRODUCT(PRODUCE!$B277:$DY277,PRODUCE!$EB$55:$IY$55)</f>
        <v>0</v>
      </c>
      <c r="PW276" s="56"/>
      <c r="PX276" s="242">
        <f t="shared" si="1887"/>
        <v>0</v>
      </c>
      <c r="PY276" s="242">
        <f t="shared" si="1888"/>
        <v>13.960000000000036</v>
      </c>
      <c r="PZ276" s="56"/>
      <c r="QC276" s="55">
        <f t="shared" si="1889"/>
        <v>46257</v>
      </c>
      <c r="QD276" s="56"/>
      <c r="QE276" s="242">
        <f>SUMPRODUCT(PRODUCE!$B277:$DY277,PRODUCE!$EB$56:$IY$56)</f>
        <v>0</v>
      </c>
      <c r="QF276" s="56"/>
      <c r="QG276" s="242">
        <f t="shared" si="1890"/>
        <v>0</v>
      </c>
      <c r="QH276" s="242">
        <f t="shared" si="1891"/>
        <v>548</v>
      </c>
      <c r="QI276" s="56"/>
      <c r="QL276" s="55">
        <f t="shared" si="1892"/>
        <v>46257</v>
      </c>
      <c r="QM276" s="56"/>
      <c r="QN276" s="242">
        <f>SUMPRODUCT(PRODUCE!$B277:$DY277,PRODUCE!$EB$57:$IY$57)</f>
        <v>0</v>
      </c>
      <c r="QO276" s="56"/>
      <c r="QP276" s="242">
        <f t="shared" si="1893"/>
        <v>0</v>
      </c>
      <c r="QQ276" s="242">
        <f t="shared" si="1894"/>
        <v>0</v>
      </c>
      <c r="QR276" s="56"/>
      <c r="QU276" s="55">
        <f t="shared" si="1895"/>
        <v>46257</v>
      </c>
      <c r="QV276" s="56"/>
      <c r="QW276" s="242">
        <f>SUMPRODUCT(PRODUCE!$B277:$DY277,PRODUCE!$EB$57:$IY$57)</f>
        <v>0</v>
      </c>
      <c r="QX276" s="56"/>
      <c r="QY276" s="242">
        <f t="shared" si="1896"/>
        <v>0</v>
      </c>
      <c r="QZ276" s="242">
        <f t="shared" si="1897"/>
        <v>0</v>
      </c>
      <c r="RA276" s="56"/>
      <c r="RD276" s="55">
        <f t="shared" si="1898"/>
        <v>46257</v>
      </c>
      <c r="RE276" s="56"/>
      <c r="RF276" s="242">
        <f>SUMPRODUCT(PRODUCE!$B277:$DY277,PRODUCE!$EB$58:$IY$58)</f>
        <v>0</v>
      </c>
      <c r="RG276" s="56"/>
      <c r="RH276" s="242">
        <f t="shared" si="1899"/>
        <v>0</v>
      </c>
      <c r="RI276" s="242">
        <f t="shared" si="1900"/>
        <v>147.04000000000002</v>
      </c>
      <c r="RJ276" s="56"/>
      <c r="RM276" s="55">
        <f t="shared" si="1901"/>
        <v>46257</v>
      </c>
      <c r="RN276" s="56"/>
      <c r="RO276" s="242">
        <f>SUMPRODUCT(PRODUCE!$B277:$DY277,PRODUCE!$EB$59:$IY$59)</f>
        <v>0</v>
      </c>
      <c r="RP276" s="56"/>
      <c r="RQ276" s="242">
        <f t="shared" si="1902"/>
        <v>0</v>
      </c>
      <c r="RR276" s="242">
        <f t="shared" si="1903"/>
        <v>46.8</v>
      </c>
      <c r="RS276" s="56"/>
      <c r="RV276" s="55">
        <f t="shared" si="1904"/>
        <v>46257</v>
      </c>
      <c r="RW276" s="56"/>
      <c r="RX276" s="242">
        <f>SUMPRODUCT(PRODUCE!$B277:$DY277,PRODUCE!$EB$57:$IY$57)</f>
        <v>0</v>
      </c>
      <c r="RY276" s="56"/>
      <c r="RZ276" s="242">
        <f t="shared" si="1905"/>
        <v>0</v>
      </c>
      <c r="SA276" s="242">
        <f t="shared" si="1906"/>
        <v>0</v>
      </c>
      <c r="SB276" s="56"/>
      <c r="SE276" s="55">
        <f t="shared" si="1907"/>
        <v>46257</v>
      </c>
      <c r="SF276" s="56"/>
      <c r="SG276" s="242">
        <f>SUMPRODUCT(PRODUCE!$B277:$DY277,PRODUCE!$EB$61:$IY$61)</f>
        <v>0</v>
      </c>
      <c r="SH276" s="56"/>
      <c r="SI276" s="242">
        <f t="shared" si="1908"/>
        <v>0</v>
      </c>
      <c r="SJ276" s="242">
        <f t="shared" si="1909"/>
        <v>24.200000000000003</v>
      </c>
      <c r="SK276" s="56"/>
      <c r="SN276" s="55">
        <f t="shared" si="1910"/>
        <v>46257</v>
      </c>
      <c r="SO276" s="56"/>
      <c r="SP276" s="242">
        <f>SUMPRODUCT(PRODUCE!$B277:$DY277,PRODUCE!$EB$62:$IY$62)</f>
        <v>0</v>
      </c>
      <c r="SQ276" s="56"/>
      <c r="SR276" s="242">
        <f t="shared" si="1911"/>
        <v>0</v>
      </c>
      <c r="SS276" s="242">
        <f t="shared" si="1912"/>
        <v>32</v>
      </c>
      <c r="ST276" s="56"/>
      <c r="SW276" s="55">
        <f t="shared" si="1913"/>
        <v>46257</v>
      </c>
      <c r="SX276" s="56"/>
      <c r="SY276" s="242">
        <f>SUMPRODUCT(PRODUCE!$B277:$DY277,PRODUCE!$EB$57:$IY$57)</f>
        <v>0</v>
      </c>
      <c r="SZ276" s="56"/>
      <c r="TA276" s="242">
        <f t="shared" si="1914"/>
        <v>0</v>
      </c>
      <c r="TB276" s="242">
        <f t="shared" si="1915"/>
        <v>0</v>
      </c>
      <c r="TC276" s="56"/>
      <c r="TF276" s="55">
        <f t="shared" si="1916"/>
        <v>46257</v>
      </c>
      <c r="TG276" s="56"/>
      <c r="TH276" s="242">
        <f>SUMPRODUCT(PRODUCE!$B277:$DY277,PRODUCE!$EB$57:$IY$57)</f>
        <v>0</v>
      </c>
      <c r="TI276" s="56"/>
      <c r="TJ276" s="242">
        <f t="shared" si="1917"/>
        <v>0</v>
      </c>
      <c r="TK276" s="242">
        <f t="shared" si="1918"/>
        <v>0</v>
      </c>
      <c r="TL276" s="56"/>
      <c r="TO276" s="55">
        <f t="shared" si="1919"/>
        <v>46257</v>
      </c>
      <c r="TP276" s="56"/>
      <c r="TQ276" s="242">
        <f>SUMPRODUCT(PRODUCE!$B277:$DY277,PRODUCE!$EB$57:$IY$57)</f>
        <v>0</v>
      </c>
      <c r="TR276" s="56"/>
      <c r="TS276" s="242">
        <f t="shared" si="1920"/>
        <v>0</v>
      </c>
      <c r="TT276" s="242">
        <f t="shared" si="1921"/>
        <v>0</v>
      </c>
      <c r="TU276" s="56"/>
      <c r="TX276" s="55">
        <f t="shared" si="1922"/>
        <v>46257</v>
      </c>
      <c r="TY276" s="56"/>
      <c r="TZ276" s="242">
        <f>SUMPRODUCT(PRODUCE!$B277:$DY277,PRODUCE!$EB$57:$IY$57)</f>
        <v>0</v>
      </c>
      <c r="UA276" s="56"/>
      <c r="UB276" s="242">
        <f t="shared" si="1923"/>
        <v>0</v>
      </c>
      <c r="UC276" s="242">
        <f t="shared" si="1924"/>
        <v>46.799999999999983</v>
      </c>
      <c r="UD276" s="56"/>
      <c r="UG276" s="55">
        <f t="shared" si="1925"/>
        <v>46257</v>
      </c>
      <c r="UH276" s="56"/>
      <c r="UI276" s="242">
        <f>SUMPRODUCT(PRODUCE!$B277:$DY277,PRODUCE!$EB$57:$IY$57)</f>
        <v>0</v>
      </c>
      <c r="UJ276" s="56"/>
      <c r="UK276" s="242">
        <f t="shared" si="1926"/>
        <v>0</v>
      </c>
      <c r="UL276" s="242">
        <f t="shared" si="1927"/>
        <v>204</v>
      </c>
      <c r="UM276" s="56"/>
      <c r="UP276" s="55">
        <f t="shared" si="1928"/>
        <v>46257</v>
      </c>
      <c r="UQ276" s="56"/>
      <c r="UR276" s="242">
        <f>SUMPRODUCT(PRODUCE!$B277:$DY277,PRODUCE!$EB$57:$IY$57)</f>
        <v>0</v>
      </c>
      <c r="US276" s="56"/>
      <c r="UT276" s="242">
        <f t="shared" si="1929"/>
        <v>0</v>
      </c>
      <c r="UU276" s="242">
        <f t="shared" si="1930"/>
        <v>202.5</v>
      </c>
      <c r="UV276" s="56"/>
      <c r="UY276" s="55">
        <f t="shared" si="1931"/>
        <v>46257</v>
      </c>
      <c r="UZ276" s="56"/>
      <c r="VA276" s="242">
        <f>SUMPRODUCT(PRODUCE!$B277:$DY277,PRODUCE!$EB$57:$IY$57)</f>
        <v>0</v>
      </c>
      <c r="VB276" s="56"/>
      <c r="VC276" s="242">
        <f t="shared" si="1932"/>
        <v>0</v>
      </c>
      <c r="VD276" s="242">
        <f t="shared" si="1933"/>
        <v>41.600000000000023</v>
      </c>
      <c r="VE276" s="56"/>
      <c r="VH276" s="55">
        <f t="shared" si="1934"/>
        <v>46257</v>
      </c>
      <c r="VI276" s="56"/>
      <c r="VJ276" s="242">
        <f>SUMPRODUCT(PRODUCE!$B277:$DY277,PRODUCE!$EB$57:$IY$57)</f>
        <v>0</v>
      </c>
      <c r="VK276" s="56"/>
      <c r="VL276" s="242">
        <f t="shared" si="1935"/>
        <v>0</v>
      </c>
      <c r="VM276" s="242">
        <f t="shared" si="1936"/>
        <v>210</v>
      </c>
      <c r="VN276" s="56"/>
      <c r="VQ276" s="55">
        <f t="shared" si="1937"/>
        <v>46257</v>
      </c>
      <c r="VR276" s="56"/>
      <c r="VS276" s="242">
        <f>SUMPRODUCT(PRODUCE!$B277:$DY277,PRODUCE!$EB$57:$IY$57)</f>
        <v>0</v>
      </c>
      <c r="VT276" s="56"/>
      <c r="VU276" s="242">
        <f t="shared" si="1938"/>
        <v>0</v>
      </c>
      <c r="VV276" s="242">
        <f t="shared" si="1939"/>
        <v>0</v>
      </c>
      <c r="VW276" s="56"/>
      <c r="VZ276" s="55">
        <f t="shared" si="1940"/>
        <v>46257</v>
      </c>
      <c r="WA276" s="56"/>
      <c r="WB276" s="242">
        <f>SUMPRODUCT(PRODUCE!$B277:$DY277,PRODUCE!$EB$57:$IY$57)</f>
        <v>0</v>
      </c>
      <c r="WC276" s="56"/>
      <c r="WD276" s="242">
        <f t="shared" si="1941"/>
        <v>0</v>
      </c>
      <c r="WE276" s="242">
        <f t="shared" si="1942"/>
        <v>0</v>
      </c>
      <c r="WF276" s="56"/>
      <c r="WI276" s="55">
        <f t="shared" si="1943"/>
        <v>46257</v>
      </c>
      <c r="WJ276" s="56"/>
      <c r="WK276" s="242">
        <f>SUMPRODUCT(PRODUCE!$B277:$DY277,PRODUCE!$EB$57:$IY$57)</f>
        <v>0</v>
      </c>
      <c r="WL276" s="56"/>
      <c r="WM276" s="242">
        <f t="shared" si="1944"/>
        <v>0</v>
      </c>
      <c r="WN276" s="242">
        <f t="shared" si="1945"/>
        <v>1057</v>
      </c>
      <c r="WO276" s="56"/>
      <c r="WR276" s="55">
        <f t="shared" si="1946"/>
        <v>46257</v>
      </c>
      <c r="WS276" s="56"/>
      <c r="WT276" s="242">
        <f>SUMPRODUCT(PRODUCE!$B277:$DY277,PRODUCE!$EB$57:$IY$57)</f>
        <v>0</v>
      </c>
      <c r="WU276" s="56"/>
      <c r="WV276" s="242">
        <f t="shared" si="1947"/>
        <v>0</v>
      </c>
      <c r="WW276" s="242">
        <f t="shared" si="1948"/>
        <v>0</v>
      </c>
      <c r="WX276" s="56"/>
      <c r="XA276" s="55">
        <f t="shared" si="1949"/>
        <v>46257</v>
      </c>
      <c r="XB276" s="56"/>
      <c r="XC276" s="242">
        <f>SUMPRODUCT(PRODUCE!$B277:$DY277,PRODUCE!$EB$57:$IY$57)</f>
        <v>0</v>
      </c>
      <c r="XD276" s="56"/>
      <c r="XE276" s="242">
        <f t="shared" si="1950"/>
        <v>0</v>
      </c>
      <c r="XF276" s="242">
        <f t="shared" si="1951"/>
        <v>7507</v>
      </c>
      <c r="XG276" s="56"/>
      <c r="XJ276" s="55">
        <f t="shared" si="1952"/>
        <v>46257</v>
      </c>
      <c r="XK276" s="56"/>
      <c r="XL276" s="242">
        <f>SUMPRODUCT(PRODUCE!$B277:$DY277,PRODUCE!$EB$57:$IY$57)</f>
        <v>0</v>
      </c>
      <c r="XM276" s="56"/>
      <c r="XN276" s="242">
        <f t="shared" si="1953"/>
        <v>0</v>
      </c>
      <c r="XO276" s="242">
        <f t="shared" si="1954"/>
        <v>4252</v>
      </c>
      <c r="XP276" s="56"/>
      <c r="XS276" s="55">
        <f t="shared" si="1955"/>
        <v>46257</v>
      </c>
      <c r="XT276" s="56"/>
      <c r="XU276" s="242">
        <f>SUMPRODUCT(PRODUCE!$B277:$DY277,PRODUCE!$EB$57:$IY$57)</f>
        <v>0</v>
      </c>
      <c r="XV276" s="56"/>
      <c r="XW276" s="242">
        <f t="shared" si="1956"/>
        <v>0</v>
      </c>
      <c r="XX276" s="242">
        <f t="shared" si="1957"/>
        <v>2179</v>
      </c>
      <c r="XY276" s="56"/>
      <c r="YB276" s="55">
        <f t="shared" si="1958"/>
        <v>46257</v>
      </c>
      <c r="YC276" s="56"/>
      <c r="YD276" s="242">
        <f>SUMPRODUCT(PRODUCE!$B277:$DY277,PRODUCE!$EB$57:$IY$57)</f>
        <v>0</v>
      </c>
      <c r="YE276" s="56"/>
      <c r="YF276" s="242">
        <f t="shared" si="1959"/>
        <v>0</v>
      </c>
      <c r="YG276" s="242">
        <f t="shared" si="1960"/>
        <v>4019</v>
      </c>
      <c r="YH276" s="56"/>
      <c r="YK276" s="55">
        <f t="shared" si="1961"/>
        <v>46257</v>
      </c>
      <c r="YL276" s="56"/>
      <c r="YM276" s="242">
        <f>SUMPRODUCT(PRODUCE!$B277:$DY277,PRODUCE!$EB$57:$IY$57)</f>
        <v>0</v>
      </c>
      <c r="YN276" s="56"/>
      <c r="YO276" s="242">
        <f t="shared" si="1962"/>
        <v>0</v>
      </c>
      <c r="YP276" s="242">
        <f t="shared" si="1963"/>
        <v>-218</v>
      </c>
      <c r="YQ276" s="56"/>
      <c r="YT276" s="55">
        <f t="shared" si="1964"/>
        <v>46257</v>
      </c>
      <c r="YU276" s="56"/>
      <c r="YV276" s="242">
        <f>SUMPRODUCT(PRODUCE!$B277:$DY277,PRODUCE!$EB$57:$IY$57)</f>
        <v>0</v>
      </c>
      <c r="YW276" s="56"/>
      <c r="YX276" s="242">
        <f t="shared" si="1965"/>
        <v>0</v>
      </c>
      <c r="YY276" s="242">
        <f t="shared" si="1966"/>
        <v>0</v>
      </c>
      <c r="YZ276" s="56"/>
      <c r="ZC276" s="55">
        <f t="shared" si="1967"/>
        <v>46257</v>
      </c>
      <c r="ZD276" s="56"/>
      <c r="ZE276" s="242">
        <f>SUMPRODUCT(PRODUCE!$B277:$DY277,PRODUCE!$EB$57:$IY$57)</f>
        <v>0</v>
      </c>
      <c r="ZF276" s="56"/>
      <c r="ZG276" s="242">
        <f t="shared" si="1968"/>
        <v>0</v>
      </c>
      <c r="ZH276" s="242">
        <f t="shared" si="1969"/>
        <v>0</v>
      </c>
      <c r="ZI276" s="56"/>
      <c r="ZL276" s="55">
        <f t="shared" si="1970"/>
        <v>46257</v>
      </c>
      <c r="ZM276" s="56"/>
      <c r="ZN276" s="242">
        <f>SUMPRODUCT(PRODUCE!$B277:$DY277,PRODUCE!$EB$57:$IY$57)</f>
        <v>0</v>
      </c>
      <c r="ZO276" s="56"/>
      <c r="ZP276" s="242">
        <f t="shared" si="1971"/>
        <v>0</v>
      </c>
      <c r="ZQ276" s="242">
        <f t="shared" si="1972"/>
        <v>0</v>
      </c>
      <c r="ZR276" s="56"/>
      <c r="ZU276" s="55">
        <f t="shared" si="1973"/>
        <v>46257</v>
      </c>
      <c r="ZV276" s="56"/>
      <c r="ZW276" s="242">
        <f>SUMPRODUCT(PRODUCE!$B277:$DY277,PRODUCE!$EB$57:$IY$57)</f>
        <v>0</v>
      </c>
      <c r="ZX276" s="56"/>
      <c r="ZY276" s="242">
        <f t="shared" si="1974"/>
        <v>0</v>
      </c>
      <c r="ZZ276" s="242">
        <f t="shared" si="1975"/>
        <v>0</v>
      </c>
      <c r="AAA276" s="56"/>
      <c r="AAD276" s="55">
        <f t="shared" si="1976"/>
        <v>46257</v>
      </c>
      <c r="AAE276" s="56"/>
      <c r="AAF276" s="242">
        <f>SUMPRODUCT(PRODUCE!$B277:$DY277,PRODUCE!$EB$57:$IY$57)</f>
        <v>0</v>
      </c>
      <c r="AAG276" s="56"/>
      <c r="AAH276" s="242">
        <f t="shared" si="1977"/>
        <v>0</v>
      </c>
      <c r="AAI276" s="242">
        <f t="shared" si="1978"/>
        <v>0</v>
      </c>
      <c r="AAJ276" s="56"/>
      <c r="AAM276" s="55">
        <f t="shared" si="1979"/>
        <v>46257</v>
      </c>
      <c r="AAN276" s="56"/>
      <c r="AAO276" s="242">
        <f>SUMPRODUCT(PRODUCE!$B277:$DY277,PRODUCE!$EB$57:$IY$57)</f>
        <v>0</v>
      </c>
      <c r="AAP276" s="56"/>
      <c r="AAQ276" s="242">
        <f t="shared" si="1980"/>
        <v>0</v>
      </c>
      <c r="AAR276" s="242">
        <f t="shared" si="1981"/>
        <v>0</v>
      </c>
      <c r="AAS276" s="56"/>
      <c r="AAV276" s="55">
        <f t="shared" si="1982"/>
        <v>46257</v>
      </c>
      <c r="AAW276" s="56"/>
      <c r="AAX276" s="242">
        <f>SUMPRODUCT(PRODUCE!$B277:$DY277,PRODUCE!$EB$57:$IY$57)</f>
        <v>0</v>
      </c>
      <c r="AAY276" s="56"/>
      <c r="AAZ276" s="242">
        <f t="shared" si="1983"/>
        <v>0</v>
      </c>
      <c r="ABA276" s="242">
        <f t="shared" si="1984"/>
        <v>0</v>
      </c>
      <c r="ABB276" s="56"/>
      <c r="ABE276" s="55">
        <f t="shared" si="1985"/>
        <v>46257</v>
      </c>
      <c r="ABF276" s="56"/>
      <c r="ABG276" s="242">
        <f>SUMPRODUCT(PRODUCE!$B277:$DY277,PRODUCE!$EB$57:$IY$57)</f>
        <v>0</v>
      </c>
      <c r="ABH276" s="56"/>
      <c r="ABI276" s="242">
        <f t="shared" si="1986"/>
        <v>0</v>
      </c>
      <c r="ABJ276" s="242">
        <f t="shared" si="1987"/>
        <v>0</v>
      </c>
      <c r="ABK276" s="56"/>
    </row>
    <row r="277" spans="1:739" s="54" customFormat="1" ht="15" customHeight="1" outlineLevel="1">
      <c r="B277" s="478"/>
      <c r="C277" s="55">
        <v>46258</v>
      </c>
      <c r="D277" s="56"/>
      <c r="E277" s="57">
        <f>SUMPRODUCT(PRODUCE!$B278:$DY278,PRODUCE!$EB$7:$IY$7)</f>
        <v>0</v>
      </c>
      <c r="F277" s="56"/>
      <c r="G277" s="57">
        <f t="shared" si="1743"/>
        <v>0</v>
      </c>
      <c r="H277" s="57">
        <f t="shared" si="1744"/>
        <v>236936.6</v>
      </c>
      <c r="I277" s="289"/>
      <c r="L277" s="55">
        <f t="shared" si="1745"/>
        <v>46258</v>
      </c>
      <c r="M277" s="56"/>
      <c r="N277" s="59">
        <f>SUMPRODUCT(PRODUCE!$B278:$DY278,PRODUCE!$EB$8:$IY$8)</f>
        <v>0</v>
      </c>
      <c r="O277" s="56"/>
      <c r="P277" s="59">
        <f t="shared" si="1746"/>
        <v>0</v>
      </c>
      <c r="Q277" s="59">
        <f t="shared" si="1747"/>
        <v>53017.600000000071</v>
      </c>
      <c r="R277" s="56"/>
      <c r="U277" s="55">
        <f t="shared" si="1748"/>
        <v>46258</v>
      </c>
      <c r="V277" s="56"/>
      <c r="W277" s="60">
        <f>SUMPRODUCT(PRODUCE!$B278:$DY278,PRODUCE!$EB$9:$IY$9)</f>
        <v>0</v>
      </c>
      <c r="X277" s="56"/>
      <c r="Y277" s="60">
        <f t="shared" si="1749"/>
        <v>0</v>
      </c>
      <c r="Z277" s="60">
        <f t="shared" si="1750"/>
        <v>42674.199999999968</v>
      </c>
      <c r="AA277" s="56"/>
      <c r="AD277" s="55">
        <f t="shared" si="1751"/>
        <v>46258</v>
      </c>
      <c r="AE277" s="56"/>
      <c r="AF277" s="61">
        <f>SUMPRODUCT(PRODUCE!$B278:$DY278,PRODUCE!$EB$10:$IY$10)</f>
        <v>0</v>
      </c>
      <c r="AG277" s="56"/>
      <c r="AH277" s="61">
        <f t="shared" si="1752"/>
        <v>0</v>
      </c>
      <c r="AI277" s="61">
        <f t="shared" si="1753"/>
        <v>4522.2000000000189</v>
      </c>
      <c r="AJ277" s="56"/>
      <c r="AM277" s="55">
        <f t="shared" si="1754"/>
        <v>46258</v>
      </c>
      <c r="AN277" s="422"/>
      <c r="AO277" s="444">
        <f>SUMPRODUCT(PRODUCE!$B278:$DY278,PRODUCE!$EB$11:$IY$11)</f>
        <v>0</v>
      </c>
      <c r="AP277" s="422"/>
      <c r="AQ277" s="444">
        <f t="shared" si="1755"/>
        <v>0</v>
      </c>
      <c r="AR277" s="444">
        <f t="shared" si="1756"/>
        <v>0</v>
      </c>
      <c r="AS277" s="56"/>
      <c r="AV277" s="55">
        <f t="shared" si="1757"/>
        <v>46258</v>
      </c>
      <c r="AW277" s="56"/>
      <c r="AX277" s="62">
        <f>SUMPRODUCT(PRODUCE!$B278:$DY278,PRODUCE!$EB$12:$IY$12)</f>
        <v>0</v>
      </c>
      <c r="AY277" s="56"/>
      <c r="AZ277" s="62">
        <f t="shared" si="1758"/>
        <v>0</v>
      </c>
      <c r="BA277" s="62">
        <f t="shared" si="1759"/>
        <v>124.99999999999523</v>
      </c>
      <c r="BB277" s="56"/>
      <c r="BE277" s="55">
        <f t="shared" si="1760"/>
        <v>46258</v>
      </c>
      <c r="BF277" s="56"/>
      <c r="BG277" s="63">
        <f>SUMPRODUCT(PRODUCE!$B278:$DY278,PRODUCE!$EB$13:$IY$13)</f>
        <v>0</v>
      </c>
      <c r="BH277" s="56"/>
      <c r="BI277" s="63">
        <f t="shared" si="1761"/>
        <v>0</v>
      </c>
      <c r="BJ277" s="63">
        <f t="shared" si="1762"/>
        <v>26151.899999999998</v>
      </c>
      <c r="BK277" s="56"/>
      <c r="BN277" s="55">
        <f t="shared" si="1763"/>
        <v>46258</v>
      </c>
      <c r="BO277" s="56"/>
      <c r="BP277" s="64">
        <f>SUMPRODUCT(PRODUCE!$B278:$DY278,PRODUCE!$EB$14:$IY$14)</f>
        <v>0</v>
      </c>
      <c r="BQ277" s="56"/>
      <c r="BR277" s="64">
        <f t="shared" si="1764"/>
        <v>0</v>
      </c>
      <c r="BS277" s="64">
        <f t="shared" si="1765"/>
        <v>0</v>
      </c>
      <c r="BT277" s="56"/>
      <c r="BW277" s="55">
        <f t="shared" si="1766"/>
        <v>46258</v>
      </c>
      <c r="BX277" s="56"/>
      <c r="BY277" s="65">
        <f>SUMPRODUCT(PRODUCE!$B278:$DY278,PRODUCE!$EB$15:$IY$15)</f>
        <v>0</v>
      </c>
      <c r="BZ277" s="56"/>
      <c r="CA277" s="65">
        <f t="shared" si="1767"/>
        <v>0</v>
      </c>
      <c r="CB277" s="65">
        <f>CB276+BX277-BZ277</f>
        <v>2097.3399999999992</v>
      </c>
      <c r="CC277" s="56"/>
      <c r="CF277" s="55">
        <f t="shared" si="1769"/>
        <v>46258</v>
      </c>
      <c r="CG277" s="56"/>
      <c r="CH277" s="66">
        <f>SUMPRODUCT(PRODUCE!$B278:$DY278,PRODUCE!$EB$16:$IY$16)</f>
        <v>0</v>
      </c>
      <c r="CI277" s="56"/>
      <c r="CJ277" s="66">
        <f t="shared" si="1770"/>
        <v>0</v>
      </c>
      <c r="CK277" s="66">
        <f t="shared" si="1771"/>
        <v>-10277.079999999998</v>
      </c>
      <c r="CL277" s="56"/>
      <c r="CO277" s="55">
        <f t="shared" si="1772"/>
        <v>46258</v>
      </c>
      <c r="CP277" s="422"/>
      <c r="CQ277" s="470">
        <f>SUMPRODUCT(PRODUCE!$B278:$DY278,PRODUCE!$EB$17:$IY$17)</f>
        <v>0</v>
      </c>
      <c r="CR277" s="422"/>
      <c r="CS277" s="470">
        <f t="shared" si="1773"/>
        <v>0</v>
      </c>
      <c r="CT277" s="470">
        <f t="shared" si="1774"/>
        <v>0</v>
      </c>
      <c r="CU277" s="56"/>
      <c r="CX277" s="55">
        <f t="shared" si="1775"/>
        <v>46258</v>
      </c>
      <c r="CY277" s="56"/>
      <c r="CZ277" s="133">
        <f>SUMPRODUCT(PRODUCE!$B278:$DY278,PRODUCE!$EB$18:$IY$18)</f>
        <v>0</v>
      </c>
      <c r="DA277" s="56"/>
      <c r="DB277" s="133">
        <f t="shared" si="1776"/>
        <v>0</v>
      </c>
      <c r="DC277" s="133">
        <f t="shared" si="1777"/>
        <v>27438.200000000012</v>
      </c>
      <c r="DD277" s="56"/>
      <c r="DG277" s="55">
        <f t="shared" si="1778"/>
        <v>46258</v>
      </c>
      <c r="DH277" s="56"/>
      <c r="DI277" s="147">
        <f>SUMPRODUCT(PRODUCE!$B278:$DY278,PRODUCE!$EB$19:$IY$19)</f>
        <v>0</v>
      </c>
      <c r="DJ277" s="56"/>
      <c r="DK277" s="147">
        <f t="shared" si="1779"/>
        <v>0</v>
      </c>
      <c r="DL277" s="147">
        <f t="shared" si="1780"/>
        <v>18782.299999999981</v>
      </c>
      <c r="DM277" s="56"/>
      <c r="DP277" s="55">
        <f t="shared" si="1781"/>
        <v>46258</v>
      </c>
      <c r="DQ277" s="56"/>
      <c r="DR277" s="57">
        <f>SUMPRODUCT(PRODUCE!$B278:$DY278,PRODUCE!$EB$20:$IY$20)</f>
        <v>0</v>
      </c>
      <c r="DS277" s="56"/>
      <c r="DT277" s="57">
        <f t="shared" si="1782"/>
        <v>0</v>
      </c>
      <c r="DU277" s="57">
        <f t="shared" si="1783"/>
        <v>5800</v>
      </c>
      <c r="DV277" s="56"/>
      <c r="DY277" s="55">
        <f t="shared" si="1784"/>
        <v>46258</v>
      </c>
      <c r="DZ277" s="56"/>
      <c r="EA277" s="157">
        <f>SUMPRODUCT(PRODUCE!$B278:$DY278,PRODUCE!$EB$21:$IY$21)</f>
        <v>0</v>
      </c>
      <c r="EB277" s="56"/>
      <c r="EC277" s="157">
        <f t="shared" si="1785"/>
        <v>0</v>
      </c>
      <c r="ED277" s="157">
        <f t="shared" si="1786"/>
        <v>0</v>
      </c>
      <c r="EE277" s="56"/>
      <c r="EH277" s="55">
        <f t="shared" si="1787"/>
        <v>46258</v>
      </c>
      <c r="EI277" s="56"/>
      <c r="EJ277" s="162">
        <f>SUMPRODUCT(PRODUCE!$B278:$DY278,PRODUCE!$EB$22:$IY$22)</f>
        <v>0</v>
      </c>
      <c r="EK277" s="56"/>
      <c r="EL277" s="162">
        <f t="shared" si="1788"/>
        <v>0</v>
      </c>
      <c r="EM277" s="162">
        <f t="shared" si="1789"/>
        <v>0</v>
      </c>
      <c r="EN277" s="56"/>
      <c r="EQ277" s="55">
        <f t="shared" si="1790"/>
        <v>46258</v>
      </c>
      <c r="ER277" s="56"/>
      <c r="ES277" s="135">
        <f>SUMPRODUCT(PRODUCE!$B278:$DY278,PRODUCE!$EB$23:$IY$23)</f>
        <v>0</v>
      </c>
      <c r="ET277" s="56"/>
      <c r="EU277" s="135">
        <f t="shared" si="1791"/>
        <v>0</v>
      </c>
      <c r="EV277" s="135">
        <f t="shared" si="1792"/>
        <v>0</v>
      </c>
      <c r="EW277" s="56"/>
      <c r="EZ277" s="55">
        <f t="shared" si="1793"/>
        <v>46258</v>
      </c>
      <c r="FA277" s="56"/>
      <c r="FB277" s="175">
        <f>SUMPRODUCT(PRODUCE!$B278:$DY278,PRODUCE!$EB$24:$IY$24)</f>
        <v>0</v>
      </c>
      <c r="FC277" s="56"/>
      <c r="FD277" s="175">
        <f t="shared" si="1794"/>
        <v>0</v>
      </c>
      <c r="FE277" s="175">
        <f t="shared" si="1795"/>
        <v>0</v>
      </c>
      <c r="FF277" s="56"/>
      <c r="FI277" s="55">
        <f t="shared" si="1796"/>
        <v>46258</v>
      </c>
      <c r="FJ277" s="56"/>
      <c r="FK277" s="183">
        <f>SUMPRODUCT(PRODUCE!$B278:$DY278,PRODUCE!$EB$25:$IY$25)</f>
        <v>0</v>
      </c>
      <c r="FL277" s="56"/>
      <c r="FM277" s="183">
        <f t="shared" si="1797"/>
        <v>0</v>
      </c>
      <c r="FN277" s="183">
        <f t="shared" si="1798"/>
        <v>0</v>
      </c>
      <c r="FO277" s="56"/>
      <c r="FR277" s="55">
        <f t="shared" si="1799"/>
        <v>46258</v>
      </c>
      <c r="FS277" s="56"/>
      <c r="FT277" s="186">
        <f>SUMPRODUCT(PRODUCE!$B278:$DY278,PRODUCE!$EB$26:$IY$26)</f>
        <v>0</v>
      </c>
      <c r="FU277" s="56"/>
      <c r="FV277" s="186">
        <f t="shared" si="1800"/>
        <v>0</v>
      </c>
      <c r="FW277" s="186">
        <f t="shared" si="1801"/>
        <v>2020</v>
      </c>
      <c r="FX277" s="56"/>
      <c r="GA277" s="55">
        <f t="shared" si="1802"/>
        <v>46258</v>
      </c>
      <c r="GB277" s="56"/>
      <c r="GC277" s="137">
        <f>SUMPRODUCT(PRODUCE!$B278:$DY278,PRODUCE!$EB$27:$IY$27)</f>
        <v>0</v>
      </c>
      <c r="GD277" s="56"/>
      <c r="GE277" s="137">
        <f t="shared" si="1803"/>
        <v>0</v>
      </c>
      <c r="GF277" s="137">
        <f t="shared" si="1804"/>
        <v>960</v>
      </c>
      <c r="GG277" s="56"/>
      <c r="GI277" s="23"/>
      <c r="GJ277" s="55">
        <f t="shared" si="1805"/>
        <v>46258</v>
      </c>
      <c r="GK277" s="56"/>
      <c r="GL277" s="199">
        <f>SUMPRODUCT(PRODUCE!$B278:$DY278,PRODUCE!$EB$28:$IY$28)</f>
        <v>0</v>
      </c>
      <c r="GM277" s="56"/>
      <c r="GN277" s="199">
        <f t="shared" si="1806"/>
        <v>0</v>
      </c>
      <c r="GO277" s="199">
        <f t="shared" si="1807"/>
        <v>1760</v>
      </c>
      <c r="GP277" s="56"/>
      <c r="GS277" s="55">
        <f t="shared" si="1808"/>
        <v>46258</v>
      </c>
      <c r="GT277" s="56"/>
      <c r="GU277" s="195">
        <f>SUMPRODUCT(PRODUCE!$B278:$DY278,PRODUCE!$EB$29:$IY$29)</f>
        <v>0</v>
      </c>
      <c r="GV277" s="56"/>
      <c r="GW277" s="195">
        <f t="shared" si="1809"/>
        <v>0</v>
      </c>
      <c r="GX277" s="195">
        <f t="shared" si="1810"/>
        <v>400</v>
      </c>
      <c r="GY277" s="56"/>
      <c r="HB277" s="55">
        <f t="shared" si="1811"/>
        <v>46258</v>
      </c>
      <c r="HC277" s="56"/>
      <c r="HD277" s="191">
        <f>SUMPRODUCT(PRODUCE!$B278:$DY278,PRODUCE!$EB$30:$IY$30)</f>
        <v>0</v>
      </c>
      <c r="HE277" s="56"/>
      <c r="HF277" s="191">
        <f t="shared" si="1812"/>
        <v>0</v>
      </c>
      <c r="HG277" s="191">
        <f t="shared" si="1813"/>
        <v>3600</v>
      </c>
      <c r="HH277" s="56"/>
      <c r="HK277" s="55">
        <f t="shared" si="1814"/>
        <v>46258</v>
      </c>
      <c r="HL277" s="56"/>
      <c r="HM277" s="63">
        <f>SUMPRODUCT(PRODUCE!$B278:$DY278,PRODUCE!$EB$31:$IY$31)</f>
        <v>0</v>
      </c>
      <c r="HN277" s="56"/>
      <c r="HO277" s="63">
        <f t="shared" si="1815"/>
        <v>0</v>
      </c>
      <c r="HP277" s="63">
        <f t="shared" si="1816"/>
        <v>0</v>
      </c>
      <c r="HQ277" s="56"/>
      <c r="HU277" s="55">
        <f t="shared" si="1817"/>
        <v>46258</v>
      </c>
      <c r="HV277" s="56"/>
      <c r="HW277" s="242">
        <f>SUMPRODUCT(PRODUCE!$B278:$DY278,PRODUCE!$EB$32:$IY$32)</f>
        <v>0</v>
      </c>
      <c r="HX277" s="56"/>
      <c r="HY277" s="242">
        <f t="shared" si="1818"/>
        <v>0</v>
      </c>
      <c r="HZ277" s="242">
        <f t="shared" si="1819"/>
        <v>6120</v>
      </c>
      <c r="IA277" s="56"/>
      <c r="ID277" s="55">
        <f t="shared" si="1820"/>
        <v>46258</v>
      </c>
      <c r="IE277" s="56"/>
      <c r="IF277" s="242">
        <f>SUMPRODUCT(PRODUCE!$B278:$DY278,PRODUCE!$EB$33:$IY$33)</f>
        <v>0</v>
      </c>
      <c r="IG277" s="56"/>
      <c r="IH277" s="242">
        <f t="shared" si="1821"/>
        <v>0</v>
      </c>
      <c r="II277" s="242">
        <f t="shared" si="1822"/>
        <v>0</v>
      </c>
      <c r="IJ277" s="56"/>
      <c r="IM277" s="55">
        <f t="shared" si="1823"/>
        <v>46258</v>
      </c>
      <c r="IN277" s="56"/>
      <c r="IO277" s="242">
        <f>SUMPRODUCT(PRODUCE!$B278:$DY278,PRODUCE!$EB$34:$IY$34)</f>
        <v>0</v>
      </c>
      <c r="IP277" s="56"/>
      <c r="IQ277" s="242">
        <f t="shared" si="1824"/>
        <v>0</v>
      </c>
      <c r="IR277" s="242">
        <f t="shared" si="1825"/>
        <v>0</v>
      </c>
      <c r="IS277" s="56"/>
      <c r="IV277" s="55">
        <f t="shared" si="1826"/>
        <v>46258</v>
      </c>
      <c r="IW277" s="56"/>
      <c r="IX277" s="242">
        <f>SUMPRODUCT(PRODUCE!$B278:$DY278,PRODUCE!$EB$35:$IY$35)</f>
        <v>0</v>
      </c>
      <c r="IY277" s="56"/>
      <c r="IZ277" s="242">
        <f t="shared" si="1827"/>
        <v>0</v>
      </c>
      <c r="JA277" s="242">
        <f t="shared" si="1828"/>
        <v>2820</v>
      </c>
      <c r="JB277" s="56"/>
      <c r="JE277" s="55">
        <f t="shared" si="1829"/>
        <v>46258</v>
      </c>
      <c r="JF277" s="56"/>
      <c r="JG277" s="242">
        <f>SUMPRODUCT(PRODUCE!$B278:$DY278,PRODUCE!$EB$36:$IY$36)</f>
        <v>0</v>
      </c>
      <c r="JH277" s="56"/>
      <c r="JI277" s="242">
        <f t="shared" si="1830"/>
        <v>0</v>
      </c>
      <c r="JJ277" s="242">
        <f t="shared" si="1831"/>
        <v>0</v>
      </c>
      <c r="JK277" s="56"/>
      <c r="JN277" s="55">
        <f t="shared" si="1832"/>
        <v>46258</v>
      </c>
      <c r="JO277" s="56"/>
      <c r="JP277" s="242">
        <f>SUMPRODUCT(PRODUCE!$B278:$DY278,PRODUCE!$EB$37:$IY$37)</f>
        <v>0</v>
      </c>
      <c r="JQ277" s="56"/>
      <c r="JR277" s="242">
        <f t="shared" si="1833"/>
        <v>0</v>
      </c>
      <c r="JS277" s="242">
        <f t="shared" si="1834"/>
        <v>0</v>
      </c>
      <c r="JT277" s="56"/>
      <c r="JW277" s="55">
        <f t="shared" si="1835"/>
        <v>46258</v>
      </c>
      <c r="JX277" s="56"/>
      <c r="JY277" s="242">
        <f>SUMPRODUCT(PRODUCE!$B278:$DY278,PRODUCE!$EB$38:$IY$38)</f>
        <v>0</v>
      </c>
      <c r="JZ277" s="56"/>
      <c r="KA277" s="242">
        <f t="shared" si="1836"/>
        <v>0</v>
      </c>
      <c r="KB277" s="242">
        <f t="shared" si="1837"/>
        <v>2540</v>
      </c>
      <c r="KC277" s="56"/>
      <c r="KF277" s="55">
        <f t="shared" si="1838"/>
        <v>46258</v>
      </c>
      <c r="KG277" s="56"/>
      <c r="KH277" s="242">
        <f>SUMPRODUCT(PRODUCE!$B278:$DY278,PRODUCE!$EB$39:$IY$39)</f>
        <v>0</v>
      </c>
      <c r="KI277" s="56"/>
      <c r="KJ277" s="242">
        <f t="shared" si="1839"/>
        <v>0</v>
      </c>
      <c r="KK277" s="242">
        <f t="shared" si="1840"/>
        <v>2359.5</v>
      </c>
      <c r="KL277" s="56"/>
      <c r="KO277" s="55">
        <f t="shared" si="1841"/>
        <v>46258</v>
      </c>
      <c r="KP277" s="56"/>
      <c r="KQ277" s="242">
        <f>SUMPRODUCT(PRODUCE!$B278:$DY278,PRODUCE!$EB$40:$IY$40)</f>
        <v>0</v>
      </c>
      <c r="KR277" s="56"/>
      <c r="KS277" s="242">
        <f t="shared" si="1842"/>
        <v>0</v>
      </c>
      <c r="KT277" s="242">
        <f t="shared" si="1843"/>
        <v>1890</v>
      </c>
      <c r="KU277" s="56"/>
      <c r="KW277" s="23"/>
      <c r="KX277" s="55">
        <f t="shared" si="1844"/>
        <v>46258</v>
      </c>
      <c r="KY277" s="56"/>
      <c r="KZ277" s="242">
        <f>SUMPRODUCT(PRODUCE!$B278:$DY278,PRODUCE!$EB$41:$IY$41)</f>
        <v>0</v>
      </c>
      <c r="LA277" s="56"/>
      <c r="LB277" s="242">
        <f t="shared" si="1845"/>
        <v>0</v>
      </c>
      <c r="LC277" s="242">
        <f t="shared" si="1846"/>
        <v>3690</v>
      </c>
      <c r="LD277" s="56"/>
      <c r="LG277" s="55">
        <f t="shared" si="1847"/>
        <v>46258</v>
      </c>
      <c r="LH277" s="56"/>
      <c r="LI277" s="242">
        <f>SUMPRODUCT(PRODUCE!$B278:$DY278,PRODUCE!$EB$42:$IY$42)</f>
        <v>0</v>
      </c>
      <c r="LJ277" s="56"/>
      <c r="LK277" s="242">
        <f t="shared" si="1848"/>
        <v>0</v>
      </c>
      <c r="LL277" s="242">
        <f t="shared" si="1849"/>
        <v>4000</v>
      </c>
      <c r="LM277" s="56"/>
      <c r="LP277" s="55">
        <f t="shared" si="1850"/>
        <v>46258</v>
      </c>
      <c r="LQ277" s="56"/>
      <c r="LR277" s="242">
        <f>SUMPRODUCT(PRODUCE!$B292:$DY292,PRODUCE!$EB$43:$IY$43)</f>
        <v>0</v>
      </c>
      <c r="LS277" s="56"/>
      <c r="LT277" s="242">
        <f t="shared" si="1851"/>
        <v>0</v>
      </c>
      <c r="LU277" s="242">
        <f t="shared" si="1852"/>
        <v>0</v>
      </c>
      <c r="LV277" s="56"/>
      <c r="LY277" s="55">
        <f t="shared" si="1853"/>
        <v>46258</v>
      </c>
      <c r="LZ277" s="56"/>
      <c r="MA277" s="242">
        <f>SUMPRODUCT(PRODUCE!$B278:$DY278,PRODUCE!$EB$44:$IY$44)</f>
        <v>0</v>
      </c>
      <c r="MB277" s="56"/>
      <c r="MC277" s="242">
        <f t="shared" si="1854"/>
        <v>0</v>
      </c>
      <c r="MD277" s="242">
        <f t="shared" si="1855"/>
        <v>0</v>
      </c>
      <c r="ME277" s="56"/>
      <c r="MH277" s="55">
        <f t="shared" si="1856"/>
        <v>46258</v>
      </c>
      <c r="MI277" s="56"/>
      <c r="MJ277" s="242">
        <f>SUMPRODUCT(PRODUCE!$B278:$DY278,PRODUCE!$EB$45:$IY$45)</f>
        <v>0</v>
      </c>
      <c r="MK277" s="56"/>
      <c r="ML277" s="242">
        <f t="shared" si="1857"/>
        <v>0</v>
      </c>
      <c r="MM277" s="242">
        <f t="shared" si="1858"/>
        <v>0</v>
      </c>
      <c r="MN277" s="56"/>
      <c r="MQ277" s="55">
        <f t="shared" si="1859"/>
        <v>46258</v>
      </c>
      <c r="MR277" s="56"/>
      <c r="MS277" s="242">
        <f>SUMPRODUCT(PRODUCE!$B278:$DY278,PRODUCE!$EB$46:$IY$46)</f>
        <v>0</v>
      </c>
      <c r="MT277" s="56"/>
      <c r="MU277" s="242">
        <f t="shared" si="1860"/>
        <v>0</v>
      </c>
      <c r="MV277" s="242">
        <f t="shared" si="1861"/>
        <v>1625</v>
      </c>
      <c r="MW277" s="56"/>
      <c r="MZ277" s="55">
        <f t="shared" si="1862"/>
        <v>46258</v>
      </c>
      <c r="NA277" s="56"/>
      <c r="NB277" s="242">
        <f>SUMPRODUCT(PRODUCE!$B278:$DY278,PRODUCE!$EB$47:$IY$47)</f>
        <v>0</v>
      </c>
      <c r="NC277" s="56"/>
      <c r="ND277" s="242">
        <f t="shared" si="1863"/>
        <v>0</v>
      </c>
      <c r="NE277" s="242">
        <f t="shared" si="1864"/>
        <v>0</v>
      </c>
      <c r="NF277" s="56"/>
      <c r="NI277" s="55">
        <f t="shared" si="1865"/>
        <v>46258</v>
      </c>
      <c r="NJ277" s="56"/>
      <c r="NK277" s="242">
        <f>SUMPRODUCT(PRODUCE!$B278:$DY278,PRODUCE!$EB$48:$IY$48)</f>
        <v>0</v>
      </c>
      <c r="NL277" s="56"/>
      <c r="NM277" s="242">
        <f t="shared" si="1866"/>
        <v>0</v>
      </c>
      <c r="NN277" s="242">
        <f t="shared" si="1867"/>
        <v>1127</v>
      </c>
      <c r="NO277" s="56"/>
      <c r="NR277" s="55">
        <f t="shared" si="1868"/>
        <v>46258</v>
      </c>
      <c r="NS277" s="56"/>
      <c r="NT277" s="242">
        <f>SUMPRODUCT(PRODUCE!$B278:$DY278,PRODUCE!$EB$49:$IY$49)</f>
        <v>0</v>
      </c>
      <c r="NU277" s="56"/>
      <c r="NV277" s="242">
        <f t="shared" si="1869"/>
        <v>0</v>
      </c>
      <c r="NW277" s="242">
        <f t="shared" si="1870"/>
        <v>3111.9999999999995</v>
      </c>
      <c r="NX277" s="56"/>
      <c r="OA277" s="55">
        <f t="shared" si="1871"/>
        <v>46258</v>
      </c>
      <c r="OB277" s="56"/>
      <c r="OC277" s="242">
        <f>SUMPRODUCT(PRODUCE!$B278:$DY278,PRODUCE!$EB$50:$IY$50)</f>
        <v>0</v>
      </c>
      <c r="OD277" s="56"/>
      <c r="OE277" s="242">
        <f t="shared" si="1872"/>
        <v>0</v>
      </c>
      <c r="OF277" s="242">
        <f t="shared" si="1873"/>
        <v>1680.5</v>
      </c>
      <c r="OG277" s="56"/>
      <c r="OJ277" s="55">
        <f t="shared" si="1874"/>
        <v>46258</v>
      </c>
      <c r="OK277" s="56"/>
      <c r="OL277" s="242">
        <f>SUMPRODUCT(PRODUCE!$B278:$DY278,PRODUCE!$EB$51:$IY$51)</f>
        <v>0</v>
      </c>
      <c r="OM277" s="56"/>
      <c r="ON277" s="242">
        <f t="shared" si="1875"/>
        <v>0</v>
      </c>
      <c r="OO277" s="242">
        <f t="shared" si="1876"/>
        <v>0</v>
      </c>
      <c r="OP277" s="56"/>
      <c r="OS277" s="55">
        <f t="shared" si="1877"/>
        <v>46258</v>
      </c>
      <c r="OT277" s="56"/>
      <c r="OU277" s="242">
        <f>SUMPRODUCT(PRODUCE!$B278:$DY278,PRODUCE!$EB$52:$IY$52)</f>
        <v>0</v>
      </c>
      <c r="OV277" s="56"/>
      <c r="OW277" s="242">
        <f t="shared" si="1878"/>
        <v>0</v>
      </c>
      <c r="OX277" s="242">
        <f t="shared" si="1879"/>
        <v>1482</v>
      </c>
      <c r="OY277" s="56"/>
      <c r="PB277" s="55">
        <f t="shared" si="1880"/>
        <v>46258</v>
      </c>
      <c r="PC277" s="56"/>
      <c r="PD277" s="242">
        <f>SUMPRODUCT(PRODUCE!$B278:$DY278,PRODUCE!$EB$53:$IY$53)</f>
        <v>0</v>
      </c>
      <c r="PE277" s="56"/>
      <c r="PF277" s="242">
        <f t="shared" si="1881"/>
        <v>0</v>
      </c>
      <c r="PG277" s="242">
        <f t="shared" si="1882"/>
        <v>0</v>
      </c>
      <c r="PH277" s="56"/>
      <c r="PK277" s="55">
        <f t="shared" si="1883"/>
        <v>46258</v>
      </c>
      <c r="PL277" s="56"/>
      <c r="PM277" s="242">
        <f>SUMPRODUCT(PRODUCE!$B278:$DY278,PRODUCE!$EB$54:$IY$54)</f>
        <v>0</v>
      </c>
      <c r="PN277" s="56"/>
      <c r="PO277" s="242">
        <f t="shared" si="1884"/>
        <v>0</v>
      </c>
      <c r="PP277" s="242">
        <f t="shared" si="1885"/>
        <v>100</v>
      </c>
      <c r="PQ277" s="56"/>
      <c r="PT277" s="55">
        <f t="shared" si="1886"/>
        <v>46258</v>
      </c>
      <c r="PU277" s="56"/>
      <c r="PV277" s="242">
        <f>SUMPRODUCT(PRODUCE!$B278:$DY278,PRODUCE!$EB$55:$IY$55)</f>
        <v>0</v>
      </c>
      <c r="PW277" s="56"/>
      <c r="PX277" s="242">
        <f t="shared" si="1887"/>
        <v>0</v>
      </c>
      <c r="PY277" s="242">
        <f t="shared" si="1888"/>
        <v>13.960000000000036</v>
      </c>
      <c r="PZ277" s="56"/>
      <c r="QC277" s="55">
        <f t="shared" si="1889"/>
        <v>46258</v>
      </c>
      <c r="QD277" s="56"/>
      <c r="QE277" s="242">
        <f>SUMPRODUCT(PRODUCE!$B278:$DY278,PRODUCE!$EB$56:$IY$56)</f>
        <v>0</v>
      </c>
      <c r="QF277" s="56"/>
      <c r="QG277" s="242">
        <f t="shared" si="1890"/>
        <v>0</v>
      </c>
      <c r="QH277" s="242">
        <f t="shared" si="1891"/>
        <v>548</v>
      </c>
      <c r="QI277" s="56"/>
      <c r="QL277" s="55">
        <f t="shared" si="1892"/>
        <v>46258</v>
      </c>
      <c r="QM277" s="56"/>
      <c r="QN277" s="242">
        <f>SUMPRODUCT(PRODUCE!$B278:$DY278,PRODUCE!$EB$57:$IY$57)</f>
        <v>0</v>
      </c>
      <c r="QO277" s="56"/>
      <c r="QP277" s="242">
        <f t="shared" si="1893"/>
        <v>0</v>
      </c>
      <c r="QQ277" s="242">
        <f t="shared" si="1894"/>
        <v>0</v>
      </c>
      <c r="QR277" s="56"/>
      <c r="QU277" s="55">
        <f t="shared" si="1895"/>
        <v>46258</v>
      </c>
      <c r="QV277" s="56"/>
      <c r="QW277" s="242">
        <f>SUMPRODUCT(PRODUCE!$B278:$DY278,PRODUCE!$EB$57:$IY$57)</f>
        <v>0</v>
      </c>
      <c r="QX277" s="56"/>
      <c r="QY277" s="242">
        <f t="shared" si="1896"/>
        <v>0</v>
      </c>
      <c r="QZ277" s="242">
        <f t="shared" si="1897"/>
        <v>0</v>
      </c>
      <c r="RA277" s="56"/>
      <c r="RD277" s="55">
        <f t="shared" si="1898"/>
        <v>46258</v>
      </c>
      <c r="RE277" s="56"/>
      <c r="RF277" s="242">
        <f>SUMPRODUCT(PRODUCE!$B278:$DY278,PRODUCE!$EB$58:$IY$58)</f>
        <v>0</v>
      </c>
      <c r="RG277" s="56"/>
      <c r="RH277" s="242">
        <f t="shared" si="1899"/>
        <v>0</v>
      </c>
      <c r="RI277" s="242">
        <f t="shared" si="1900"/>
        <v>147.04000000000002</v>
      </c>
      <c r="RJ277" s="56"/>
      <c r="RM277" s="55">
        <f t="shared" si="1901"/>
        <v>46258</v>
      </c>
      <c r="RN277" s="56"/>
      <c r="RO277" s="242">
        <f>SUMPRODUCT(PRODUCE!$B278:$DY278,PRODUCE!$EB$59:$IY$59)</f>
        <v>0</v>
      </c>
      <c r="RP277" s="56"/>
      <c r="RQ277" s="242">
        <f t="shared" si="1902"/>
        <v>0</v>
      </c>
      <c r="RR277" s="242">
        <f t="shared" si="1903"/>
        <v>46.8</v>
      </c>
      <c r="RS277" s="56"/>
      <c r="RV277" s="55">
        <f t="shared" si="1904"/>
        <v>46258</v>
      </c>
      <c r="RW277" s="56"/>
      <c r="RX277" s="242">
        <f>SUMPRODUCT(PRODUCE!$B278:$DY278,PRODUCE!$EB$57:$IY$57)</f>
        <v>0</v>
      </c>
      <c r="RY277" s="56"/>
      <c r="RZ277" s="242">
        <f t="shared" si="1905"/>
        <v>0</v>
      </c>
      <c r="SA277" s="242">
        <f t="shared" si="1906"/>
        <v>0</v>
      </c>
      <c r="SB277" s="56"/>
      <c r="SE277" s="55">
        <f t="shared" si="1907"/>
        <v>46258</v>
      </c>
      <c r="SF277" s="56"/>
      <c r="SG277" s="242">
        <f>SUMPRODUCT(PRODUCE!$B278:$DY278,PRODUCE!$EB$61:$IY$61)</f>
        <v>0</v>
      </c>
      <c r="SH277" s="56"/>
      <c r="SI277" s="242">
        <f t="shared" si="1908"/>
        <v>0</v>
      </c>
      <c r="SJ277" s="242">
        <f t="shared" si="1909"/>
        <v>24.200000000000003</v>
      </c>
      <c r="SK277" s="56"/>
      <c r="SN277" s="55">
        <f t="shared" si="1910"/>
        <v>46258</v>
      </c>
      <c r="SO277" s="56"/>
      <c r="SP277" s="242">
        <f>SUMPRODUCT(PRODUCE!$B278:$DY278,PRODUCE!$EB$62:$IY$62)</f>
        <v>0</v>
      </c>
      <c r="SQ277" s="56"/>
      <c r="SR277" s="242">
        <f t="shared" si="1911"/>
        <v>0</v>
      </c>
      <c r="SS277" s="242">
        <f t="shared" si="1912"/>
        <v>32</v>
      </c>
      <c r="ST277" s="56"/>
      <c r="SW277" s="55">
        <f t="shared" si="1913"/>
        <v>46258</v>
      </c>
      <c r="SX277" s="56"/>
      <c r="SY277" s="242">
        <f>SUMPRODUCT(PRODUCE!$B278:$DY278,PRODUCE!$EB$57:$IY$57)</f>
        <v>0</v>
      </c>
      <c r="SZ277" s="56"/>
      <c r="TA277" s="242">
        <f t="shared" si="1914"/>
        <v>0</v>
      </c>
      <c r="TB277" s="242">
        <f t="shared" si="1915"/>
        <v>0</v>
      </c>
      <c r="TC277" s="56"/>
      <c r="TF277" s="55">
        <f t="shared" si="1916"/>
        <v>46258</v>
      </c>
      <c r="TG277" s="56"/>
      <c r="TH277" s="242">
        <f>SUMPRODUCT(PRODUCE!$B278:$DY278,PRODUCE!$EB$57:$IY$57)</f>
        <v>0</v>
      </c>
      <c r="TI277" s="56"/>
      <c r="TJ277" s="242">
        <f t="shared" si="1917"/>
        <v>0</v>
      </c>
      <c r="TK277" s="242">
        <f t="shared" si="1918"/>
        <v>0</v>
      </c>
      <c r="TL277" s="56"/>
      <c r="TO277" s="55">
        <f t="shared" si="1919"/>
        <v>46258</v>
      </c>
      <c r="TP277" s="56"/>
      <c r="TQ277" s="242">
        <f>SUMPRODUCT(PRODUCE!$B278:$DY278,PRODUCE!$EB$57:$IY$57)</f>
        <v>0</v>
      </c>
      <c r="TR277" s="56"/>
      <c r="TS277" s="242">
        <f t="shared" si="1920"/>
        <v>0</v>
      </c>
      <c r="TT277" s="242">
        <f t="shared" si="1921"/>
        <v>0</v>
      </c>
      <c r="TU277" s="56"/>
      <c r="TX277" s="55">
        <f t="shared" si="1922"/>
        <v>46258</v>
      </c>
      <c r="TY277" s="56"/>
      <c r="TZ277" s="242">
        <f>SUMPRODUCT(PRODUCE!$B278:$DY278,PRODUCE!$EB$57:$IY$57)</f>
        <v>0</v>
      </c>
      <c r="UA277" s="56"/>
      <c r="UB277" s="242">
        <f t="shared" si="1923"/>
        <v>0</v>
      </c>
      <c r="UC277" s="242">
        <f t="shared" si="1924"/>
        <v>46.799999999999983</v>
      </c>
      <c r="UD277" s="56"/>
      <c r="UG277" s="55">
        <f t="shared" si="1925"/>
        <v>46258</v>
      </c>
      <c r="UH277" s="56"/>
      <c r="UI277" s="242">
        <f>SUMPRODUCT(PRODUCE!$B278:$DY278,PRODUCE!$EB$57:$IY$57)</f>
        <v>0</v>
      </c>
      <c r="UJ277" s="56"/>
      <c r="UK277" s="242">
        <f t="shared" si="1926"/>
        <v>0</v>
      </c>
      <c r="UL277" s="242">
        <f t="shared" si="1927"/>
        <v>204</v>
      </c>
      <c r="UM277" s="56"/>
      <c r="UP277" s="55">
        <f t="shared" si="1928"/>
        <v>46258</v>
      </c>
      <c r="UQ277" s="56"/>
      <c r="UR277" s="242">
        <f>SUMPRODUCT(PRODUCE!$B278:$DY278,PRODUCE!$EB$57:$IY$57)</f>
        <v>0</v>
      </c>
      <c r="US277" s="56"/>
      <c r="UT277" s="242">
        <f t="shared" si="1929"/>
        <v>0</v>
      </c>
      <c r="UU277" s="242">
        <f t="shared" si="1930"/>
        <v>202.5</v>
      </c>
      <c r="UV277" s="56"/>
      <c r="UY277" s="55">
        <f t="shared" si="1931"/>
        <v>46258</v>
      </c>
      <c r="UZ277" s="56"/>
      <c r="VA277" s="242">
        <f>SUMPRODUCT(PRODUCE!$B278:$DY278,PRODUCE!$EB$57:$IY$57)</f>
        <v>0</v>
      </c>
      <c r="VB277" s="56"/>
      <c r="VC277" s="242">
        <f t="shared" si="1932"/>
        <v>0</v>
      </c>
      <c r="VD277" s="242">
        <f t="shared" si="1933"/>
        <v>41.600000000000023</v>
      </c>
      <c r="VE277" s="56"/>
      <c r="VH277" s="55">
        <f t="shared" si="1934"/>
        <v>46258</v>
      </c>
      <c r="VI277" s="56"/>
      <c r="VJ277" s="242">
        <f>SUMPRODUCT(PRODUCE!$B278:$DY278,PRODUCE!$EB$57:$IY$57)</f>
        <v>0</v>
      </c>
      <c r="VK277" s="56"/>
      <c r="VL277" s="242">
        <f t="shared" si="1935"/>
        <v>0</v>
      </c>
      <c r="VM277" s="242">
        <f t="shared" si="1936"/>
        <v>210</v>
      </c>
      <c r="VN277" s="56"/>
      <c r="VQ277" s="55">
        <f t="shared" si="1937"/>
        <v>46258</v>
      </c>
      <c r="VR277" s="56"/>
      <c r="VS277" s="242">
        <f>SUMPRODUCT(PRODUCE!$B278:$DY278,PRODUCE!$EB$57:$IY$57)</f>
        <v>0</v>
      </c>
      <c r="VT277" s="56"/>
      <c r="VU277" s="242">
        <f t="shared" si="1938"/>
        <v>0</v>
      </c>
      <c r="VV277" s="242">
        <f t="shared" si="1939"/>
        <v>0</v>
      </c>
      <c r="VW277" s="56"/>
      <c r="VZ277" s="55">
        <f t="shared" si="1940"/>
        <v>46258</v>
      </c>
      <c r="WA277" s="56"/>
      <c r="WB277" s="242">
        <f>SUMPRODUCT(PRODUCE!$B278:$DY278,PRODUCE!$EB$57:$IY$57)</f>
        <v>0</v>
      </c>
      <c r="WC277" s="56"/>
      <c r="WD277" s="242">
        <f t="shared" si="1941"/>
        <v>0</v>
      </c>
      <c r="WE277" s="242">
        <f t="shared" si="1942"/>
        <v>0</v>
      </c>
      <c r="WF277" s="56"/>
      <c r="WI277" s="55">
        <f t="shared" si="1943"/>
        <v>46258</v>
      </c>
      <c r="WJ277" s="56"/>
      <c r="WK277" s="242">
        <f>SUMPRODUCT(PRODUCE!$B278:$DY278,PRODUCE!$EB$57:$IY$57)</f>
        <v>0</v>
      </c>
      <c r="WL277" s="56"/>
      <c r="WM277" s="242">
        <f t="shared" si="1944"/>
        <v>0</v>
      </c>
      <c r="WN277" s="242">
        <f t="shared" si="1945"/>
        <v>1057</v>
      </c>
      <c r="WO277" s="56"/>
      <c r="WR277" s="55">
        <f t="shared" si="1946"/>
        <v>46258</v>
      </c>
      <c r="WS277" s="56"/>
      <c r="WT277" s="242">
        <f>SUMPRODUCT(PRODUCE!$B278:$DY278,PRODUCE!$EB$57:$IY$57)</f>
        <v>0</v>
      </c>
      <c r="WU277" s="56"/>
      <c r="WV277" s="242">
        <f t="shared" si="1947"/>
        <v>0</v>
      </c>
      <c r="WW277" s="242">
        <f t="shared" si="1948"/>
        <v>0</v>
      </c>
      <c r="WX277" s="56"/>
      <c r="XA277" s="55">
        <f t="shared" si="1949"/>
        <v>46258</v>
      </c>
      <c r="XB277" s="56"/>
      <c r="XC277" s="242">
        <f>SUMPRODUCT(PRODUCE!$B278:$DY278,PRODUCE!$EB$57:$IY$57)</f>
        <v>0</v>
      </c>
      <c r="XD277" s="56"/>
      <c r="XE277" s="242">
        <f t="shared" si="1950"/>
        <v>0</v>
      </c>
      <c r="XF277" s="242">
        <f t="shared" si="1951"/>
        <v>7507</v>
      </c>
      <c r="XG277" s="56"/>
      <c r="XJ277" s="55">
        <f t="shared" si="1952"/>
        <v>46258</v>
      </c>
      <c r="XK277" s="56"/>
      <c r="XL277" s="242">
        <f>SUMPRODUCT(PRODUCE!$B278:$DY278,PRODUCE!$EB$57:$IY$57)</f>
        <v>0</v>
      </c>
      <c r="XM277" s="56"/>
      <c r="XN277" s="242">
        <f t="shared" si="1953"/>
        <v>0</v>
      </c>
      <c r="XO277" s="242">
        <f t="shared" si="1954"/>
        <v>4252</v>
      </c>
      <c r="XP277" s="56"/>
      <c r="XS277" s="55">
        <f t="shared" si="1955"/>
        <v>46258</v>
      </c>
      <c r="XT277" s="56"/>
      <c r="XU277" s="242">
        <f>SUMPRODUCT(PRODUCE!$B278:$DY278,PRODUCE!$EB$57:$IY$57)</f>
        <v>0</v>
      </c>
      <c r="XV277" s="56"/>
      <c r="XW277" s="242">
        <f t="shared" si="1956"/>
        <v>0</v>
      </c>
      <c r="XX277" s="242">
        <f t="shared" si="1957"/>
        <v>2179</v>
      </c>
      <c r="XY277" s="56"/>
      <c r="YB277" s="55">
        <f t="shared" si="1958"/>
        <v>46258</v>
      </c>
      <c r="YC277" s="56"/>
      <c r="YD277" s="242">
        <f>SUMPRODUCT(PRODUCE!$B278:$DY278,PRODUCE!$EB$57:$IY$57)</f>
        <v>0</v>
      </c>
      <c r="YE277" s="56"/>
      <c r="YF277" s="242">
        <f t="shared" si="1959"/>
        <v>0</v>
      </c>
      <c r="YG277" s="242">
        <f t="shared" si="1960"/>
        <v>4019</v>
      </c>
      <c r="YH277" s="56"/>
      <c r="YK277" s="55">
        <f t="shared" si="1961"/>
        <v>46258</v>
      </c>
      <c r="YL277" s="56"/>
      <c r="YM277" s="242">
        <f>SUMPRODUCT(PRODUCE!$B278:$DY278,PRODUCE!$EB$57:$IY$57)</f>
        <v>0</v>
      </c>
      <c r="YN277" s="56"/>
      <c r="YO277" s="242">
        <f t="shared" si="1962"/>
        <v>0</v>
      </c>
      <c r="YP277" s="242">
        <f t="shared" si="1963"/>
        <v>-218</v>
      </c>
      <c r="YQ277" s="56"/>
      <c r="YT277" s="55">
        <f t="shared" si="1964"/>
        <v>46258</v>
      </c>
      <c r="YU277" s="56"/>
      <c r="YV277" s="242">
        <f>SUMPRODUCT(PRODUCE!$B278:$DY278,PRODUCE!$EB$57:$IY$57)</f>
        <v>0</v>
      </c>
      <c r="YW277" s="56"/>
      <c r="YX277" s="242">
        <f t="shared" si="1965"/>
        <v>0</v>
      </c>
      <c r="YY277" s="242">
        <f t="shared" si="1966"/>
        <v>0</v>
      </c>
      <c r="YZ277" s="56"/>
      <c r="ZC277" s="55">
        <f t="shared" si="1967"/>
        <v>46258</v>
      </c>
      <c r="ZD277" s="56"/>
      <c r="ZE277" s="242">
        <f>SUMPRODUCT(PRODUCE!$B278:$DY278,PRODUCE!$EB$57:$IY$57)</f>
        <v>0</v>
      </c>
      <c r="ZF277" s="56"/>
      <c r="ZG277" s="242">
        <f t="shared" si="1968"/>
        <v>0</v>
      </c>
      <c r="ZH277" s="242">
        <f t="shared" si="1969"/>
        <v>0</v>
      </c>
      <c r="ZI277" s="56"/>
      <c r="ZL277" s="55">
        <f t="shared" si="1970"/>
        <v>46258</v>
      </c>
      <c r="ZM277" s="56"/>
      <c r="ZN277" s="242">
        <f>SUMPRODUCT(PRODUCE!$B278:$DY278,PRODUCE!$EB$57:$IY$57)</f>
        <v>0</v>
      </c>
      <c r="ZO277" s="56"/>
      <c r="ZP277" s="242">
        <f t="shared" si="1971"/>
        <v>0</v>
      </c>
      <c r="ZQ277" s="242">
        <f t="shared" si="1972"/>
        <v>0</v>
      </c>
      <c r="ZR277" s="56"/>
      <c r="ZU277" s="55">
        <f t="shared" si="1973"/>
        <v>46258</v>
      </c>
      <c r="ZV277" s="56"/>
      <c r="ZW277" s="242">
        <f>SUMPRODUCT(PRODUCE!$B278:$DY278,PRODUCE!$EB$57:$IY$57)</f>
        <v>0</v>
      </c>
      <c r="ZX277" s="56"/>
      <c r="ZY277" s="242">
        <f t="shared" si="1974"/>
        <v>0</v>
      </c>
      <c r="ZZ277" s="242">
        <f t="shared" si="1975"/>
        <v>0</v>
      </c>
      <c r="AAA277" s="56"/>
      <c r="AAD277" s="55">
        <f t="shared" si="1976"/>
        <v>46258</v>
      </c>
      <c r="AAE277" s="56"/>
      <c r="AAF277" s="242">
        <f>SUMPRODUCT(PRODUCE!$B278:$DY278,PRODUCE!$EB$57:$IY$57)</f>
        <v>0</v>
      </c>
      <c r="AAG277" s="56"/>
      <c r="AAH277" s="242">
        <f t="shared" si="1977"/>
        <v>0</v>
      </c>
      <c r="AAI277" s="242">
        <f t="shared" si="1978"/>
        <v>0</v>
      </c>
      <c r="AAJ277" s="56"/>
      <c r="AAM277" s="55">
        <f t="shared" si="1979"/>
        <v>46258</v>
      </c>
      <c r="AAN277" s="56"/>
      <c r="AAO277" s="242">
        <f>SUMPRODUCT(PRODUCE!$B278:$DY278,PRODUCE!$EB$57:$IY$57)</f>
        <v>0</v>
      </c>
      <c r="AAP277" s="56"/>
      <c r="AAQ277" s="242">
        <f t="shared" si="1980"/>
        <v>0</v>
      </c>
      <c r="AAR277" s="242">
        <f t="shared" si="1981"/>
        <v>0</v>
      </c>
      <c r="AAS277" s="56"/>
      <c r="AAV277" s="55">
        <f t="shared" si="1982"/>
        <v>46258</v>
      </c>
      <c r="AAW277" s="56"/>
      <c r="AAX277" s="242">
        <f>SUMPRODUCT(PRODUCE!$B278:$DY278,PRODUCE!$EB$57:$IY$57)</f>
        <v>0</v>
      </c>
      <c r="AAY277" s="56"/>
      <c r="AAZ277" s="242">
        <f t="shared" si="1983"/>
        <v>0</v>
      </c>
      <c r="ABA277" s="242">
        <f t="shared" si="1984"/>
        <v>0</v>
      </c>
      <c r="ABB277" s="56"/>
      <c r="ABE277" s="55">
        <f t="shared" si="1985"/>
        <v>46258</v>
      </c>
      <c r="ABF277" s="56"/>
      <c r="ABG277" s="242">
        <f>SUMPRODUCT(PRODUCE!$B278:$DY278,PRODUCE!$EB$57:$IY$57)</f>
        <v>0</v>
      </c>
      <c r="ABH277" s="56"/>
      <c r="ABI277" s="242">
        <f t="shared" si="1986"/>
        <v>0</v>
      </c>
      <c r="ABJ277" s="242">
        <f t="shared" si="1987"/>
        <v>0</v>
      </c>
      <c r="ABK277" s="56"/>
    </row>
    <row r="278" spans="1:739" s="54" customFormat="1" ht="15" customHeight="1" outlineLevel="1">
      <c r="B278" s="478"/>
      <c r="C278" s="55">
        <v>46259</v>
      </c>
      <c r="D278" s="56"/>
      <c r="E278" s="57">
        <f>SUMPRODUCT(PRODUCE!$B279:$DY279,PRODUCE!$EB$7:$IY$7)</f>
        <v>0</v>
      </c>
      <c r="F278" s="56"/>
      <c r="G278" s="57">
        <f t="shared" si="1743"/>
        <v>0</v>
      </c>
      <c r="H278" s="57">
        <f t="shared" si="1744"/>
        <v>236936.6</v>
      </c>
      <c r="I278" s="289"/>
      <c r="L278" s="55">
        <f t="shared" si="1745"/>
        <v>46259</v>
      </c>
      <c r="M278" s="56"/>
      <c r="N278" s="59">
        <f>SUMPRODUCT(PRODUCE!$B279:$DY279,PRODUCE!$EB$8:$IY$8)</f>
        <v>0</v>
      </c>
      <c r="O278" s="56"/>
      <c r="P278" s="59">
        <f t="shared" si="1746"/>
        <v>0</v>
      </c>
      <c r="Q278" s="59">
        <f t="shared" si="1747"/>
        <v>53017.600000000071</v>
      </c>
      <c r="R278" s="56"/>
      <c r="U278" s="55">
        <f t="shared" si="1748"/>
        <v>46259</v>
      </c>
      <c r="V278" s="56"/>
      <c r="W278" s="60">
        <f>SUMPRODUCT(PRODUCE!$B279:$DY279,PRODUCE!$EB$9:$IY$9)</f>
        <v>0</v>
      </c>
      <c r="X278" s="56"/>
      <c r="Y278" s="60">
        <f t="shared" si="1749"/>
        <v>0</v>
      </c>
      <c r="Z278" s="60">
        <f t="shared" si="1750"/>
        <v>42674.199999999968</v>
      </c>
      <c r="AA278" s="56"/>
      <c r="AD278" s="55">
        <f t="shared" si="1751"/>
        <v>46259</v>
      </c>
      <c r="AE278" s="56"/>
      <c r="AF278" s="61">
        <f>SUMPRODUCT(PRODUCE!$B279:$DY279,PRODUCE!$EB$10:$IY$10)</f>
        <v>0</v>
      </c>
      <c r="AG278" s="56"/>
      <c r="AH278" s="61">
        <f t="shared" si="1752"/>
        <v>0</v>
      </c>
      <c r="AI278" s="61">
        <f t="shared" si="1753"/>
        <v>4522.2000000000189</v>
      </c>
      <c r="AJ278" s="56"/>
      <c r="AM278" s="55">
        <f t="shared" si="1754"/>
        <v>46259</v>
      </c>
      <c r="AN278" s="422"/>
      <c r="AO278" s="444">
        <f>SUMPRODUCT(PRODUCE!$B279:$DY279,PRODUCE!$EB$11:$IY$11)</f>
        <v>0</v>
      </c>
      <c r="AP278" s="422"/>
      <c r="AQ278" s="444">
        <f t="shared" si="1755"/>
        <v>0</v>
      </c>
      <c r="AR278" s="444">
        <f t="shared" si="1756"/>
        <v>0</v>
      </c>
      <c r="AS278" s="56"/>
      <c r="AV278" s="55">
        <f t="shared" si="1757"/>
        <v>46259</v>
      </c>
      <c r="AW278" s="56"/>
      <c r="AX278" s="62">
        <f>SUMPRODUCT(PRODUCE!$B279:$DY279,PRODUCE!$EB$12:$IY$12)</f>
        <v>0</v>
      </c>
      <c r="AY278" s="56"/>
      <c r="AZ278" s="62">
        <f t="shared" si="1758"/>
        <v>0</v>
      </c>
      <c r="BA278" s="62">
        <f t="shared" si="1759"/>
        <v>124.99999999999523</v>
      </c>
      <c r="BB278" s="56"/>
      <c r="BE278" s="55">
        <f t="shared" si="1760"/>
        <v>46259</v>
      </c>
      <c r="BF278" s="56"/>
      <c r="BG278" s="63">
        <f>SUMPRODUCT(PRODUCE!$B279:$DY279,PRODUCE!$EB$13:$IY$13)</f>
        <v>0</v>
      </c>
      <c r="BH278" s="56"/>
      <c r="BI278" s="63">
        <f t="shared" si="1761"/>
        <v>0</v>
      </c>
      <c r="BJ278" s="63">
        <f t="shared" si="1762"/>
        <v>26151.899999999998</v>
      </c>
      <c r="BK278" s="56"/>
      <c r="BN278" s="55">
        <f t="shared" si="1763"/>
        <v>46259</v>
      </c>
      <c r="BO278" s="56"/>
      <c r="BP278" s="64">
        <f>SUMPRODUCT(PRODUCE!$B279:$DY279,PRODUCE!$EB$14:$IY$14)</f>
        <v>0</v>
      </c>
      <c r="BQ278" s="56"/>
      <c r="BR278" s="64">
        <f t="shared" si="1764"/>
        <v>0</v>
      </c>
      <c r="BS278" s="64">
        <f t="shared" si="1765"/>
        <v>0</v>
      </c>
      <c r="BT278" s="56"/>
      <c r="BW278" s="55">
        <f t="shared" si="1766"/>
        <v>46259</v>
      </c>
      <c r="BX278" s="56"/>
      <c r="BY278" s="65">
        <f>SUMPRODUCT(PRODUCE!$B279:$DY279,PRODUCE!$EB$15:$IY$15)</f>
        <v>0</v>
      </c>
      <c r="BZ278" s="56"/>
      <c r="CA278" s="65">
        <f t="shared" si="1767"/>
        <v>0</v>
      </c>
      <c r="CB278" s="65">
        <f t="shared" si="1768"/>
        <v>2097.3399999999992</v>
      </c>
      <c r="CC278" s="56"/>
      <c r="CF278" s="55">
        <f t="shared" si="1769"/>
        <v>46259</v>
      </c>
      <c r="CG278" s="56"/>
      <c r="CH278" s="66">
        <f>SUMPRODUCT(PRODUCE!$B279:$DY279,PRODUCE!$EB$16:$IY$16)</f>
        <v>0</v>
      </c>
      <c r="CI278" s="56"/>
      <c r="CJ278" s="66">
        <f t="shared" si="1770"/>
        <v>0</v>
      </c>
      <c r="CK278" s="66">
        <f t="shared" si="1771"/>
        <v>-10277.079999999998</v>
      </c>
      <c r="CL278" s="56"/>
      <c r="CO278" s="55">
        <f t="shared" si="1772"/>
        <v>46259</v>
      </c>
      <c r="CP278" s="422"/>
      <c r="CQ278" s="470">
        <f>SUMPRODUCT(PRODUCE!$B279:$DY279,PRODUCE!$EB$17:$IY$17)</f>
        <v>0</v>
      </c>
      <c r="CR278" s="422"/>
      <c r="CS278" s="470">
        <f t="shared" si="1773"/>
        <v>0</v>
      </c>
      <c r="CT278" s="470">
        <f t="shared" si="1774"/>
        <v>0</v>
      </c>
      <c r="CU278" s="56"/>
      <c r="CX278" s="55">
        <f t="shared" si="1775"/>
        <v>46259</v>
      </c>
      <c r="CY278" s="56"/>
      <c r="CZ278" s="133">
        <f>SUMPRODUCT(PRODUCE!$B279:$DY279,PRODUCE!$EB$18:$IY$18)</f>
        <v>0</v>
      </c>
      <c r="DA278" s="56"/>
      <c r="DB278" s="133">
        <f t="shared" si="1776"/>
        <v>0</v>
      </c>
      <c r="DC278" s="133">
        <f t="shared" si="1777"/>
        <v>27438.200000000012</v>
      </c>
      <c r="DD278" s="56"/>
      <c r="DG278" s="55">
        <f t="shared" si="1778"/>
        <v>46259</v>
      </c>
      <c r="DH278" s="56"/>
      <c r="DI278" s="147">
        <f>SUMPRODUCT(PRODUCE!$B279:$DY279,PRODUCE!$EB$19:$IY$19)</f>
        <v>0</v>
      </c>
      <c r="DJ278" s="56"/>
      <c r="DK278" s="147">
        <f t="shared" si="1779"/>
        <v>0</v>
      </c>
      <c r="DL278" s="147">
        <f t="shared" si="1780"/>
        <v>18782.299999999981</v>
      </c>
      <c r="DM278" s="56"/>
      <c r="DP278" s="55">
        <f t="shared" si="1781"/>
        <v>46259</v>
      </c>
      <c r="DQ278" s="56"/>
      <c r="DR278" s="57">
        <f>SUMPRODUCT(PRODUCE!$B279:$DY279,PRODUCE!$EB$20:$IY$20)</f>
        <v>0</v>
      </c>
      <c r="DS278" s="56"/>
      <c r="DT278" s="57">
        <f t="shared" si="1782"/>
        <v>0</v>
      </c>
      <c r="DU278" s="57">
        <f t="shared" si="1783"/>
        <v>5800</v>
      </c>
      <c r="DV278" s="56"/>
      <c r="DY278" s="55">
        <f t="shared" si="1784"/>
        <v>46259</v>
      </c>
      <c r="DZ278" s="56"/>
      <c r="EA278" s="157">
        <f>SUMPRODUCT(PRODUCE!$B279:$DY279,PRODUCE!$EB$21:$IY$21)</f>
        <v>0</v>
      </c>
      <c r="EB278" s="56"/>
      <c r="EC278" s="157">
        <f t="shared" si="1785"/>
        <v>0</v>
      </c>
      <c r="ED278" s="157">
        <f t="shared" si="1786"/>
        <v>0</v>
      </c>
      <c r="EE278" s="56"/>
      <c r="EH278" s="55">
        <f t="shared" si="1787"/>
        <v>46259</v>
      </c>
      <c r="EI278" s="56"/>
      <c r="EJ278" s="162">
        <f>SUMPRODUCT(PRODUCE!$B279:$DY279,PRODUCE!$EB$22:$IY$22)</f>
        <v>0</v>
      </c>
      <c r="EK278" s="56"/>
      <c r="EL278" s="162">
        <f t="shared" si="1788"/>
        <v>0</v>
      </c>
      <c r="EM278" s="162">
        <f t="shared" si="1789"/>
        <v>0</v>
      </c>
      <c r="EN278" s="56"/>
      <c r="EQ278" s="55">
        <f t="shared" si="1790"/>
        <v>46259</v>
      </c>
      <c r="ER278" s="56"/>
      <c r="ES278" s="135">
        <f>SUMPRODUCT(PRODUCE!$B279:$DY279,PRODUCE!$EB$23:$IY$23)</f>
        <v>0</v>
      </c>
      <c r="ET278" s="56"/>
      <c r="EU278" s="135">
        <f t="shared" si="1791"/>
        <v>0</v>
      </c>
      <c r="EV278" s="135">
        <f t="shared" si="1792"/>
        <v>0</v>
      </c>
      <c r="EW278" s="56"/>
      <c r="EZ278" s="55">
        <f t="shared" si="1793"/>
        <v>46259</v>
      </c>
      <c r="FA278" s="56"/>
      <c r="FB278" s="175">
        <f>SUMPRODUCT(PRODUCE!$B279:$DY279,PRODUCE!$EB$24:$IY$24)</f>
        <v>0</v>
      </c>
      <c r="FC278" s="56"/>
      <c r="FD278" s="175">
        <f t="shared" si="1794"/>
        <v>0</v>
      </c>
      <c r="FE278" s="175">
        <f t="shared" si="1795"/>
        <v>0</v>
      </c>
      <c r="FF278" s="56"/>
      <c r="FI278" s="55">
        <f t="shared" si="1796"/>
        <v>46259</v>
      </c>
      <c r="FJ278" s="56"/>
      <c r="FK278" s="183">
        <f>SUMPRODUCT(PRODUCE!$B279:$DY279,PRODUCE!$EB$25:$IY$25)</f>
        <v>0</v>
      </c>
      <c r="FL278" s="56"/>
      <c r="FM278" s="183">
        <f t="shared" si="1797"/>
        <v>0</v>
      </c>
      <c r="FN278" s="183">
        <f t="shared" si="1798"/>
        <v>0</v>
      </c>
      <c r="FO278" s="56"/>
      <c r="FR278" s="55">
        <f t="shared" si="1799"/>
        <v>46259</v>
      </c>
      <c r="FS278" s="56"/>
      <c r="FT278" s="186">
        <f>SUMPRODUCT(PRODUCE!$B279:$DY279,PRODUCE!$EB$26:$IY$26)</f>
        <v>0</v>
      </c>
      <c r="FU278" s="56"/>
      <c r="FV278" s="186">
        <f t="shared" si="1800"/>
        <v>0</v>
      </c>
      <c r="FW278" s="186">
        <f t="shared" si="1801"/>
        <v>2020</v>
      </c>
      <c r="FX278" s="56"/>
      <c r="GA278" s="55">
        <f t="shared" si="1802"/>
        <v>46259</v>
      </c>
      <c r="GB278" s="56"/>
      <c r="GC278" s="137">
        <f>SUMPRODUCT(PRODUCE!$B279:$DY279,PRODUCE!$EB$27:$IY$27)</f>
        <v>0</v>
      </c>
      <c r="GD278" s="56"/>
      <c r="GE278" s="137">
        <f t="shared" si="1803"/>
        <v>0</v>
      </c>
      <c r="GF278" s="137">
        <f t="shared" si="1804"/>
        <v>960</v>
      </c>
      <c r="GG278" s="56"/>
      <c r="GI278" s="23"/>
      <c r="GJ278" s="55">
        <f t="shared" si="1805"/>
        <v>46259</v>
      </c>
      <c r="GK278" s="56"/>
      <c r="GL278" s="199">
        <f>SUMPRODUCT(PRODUCE!$B279:$DY279,PRODUCE!$EB$28:$IY$28)</f>
        <v>0</v>
      </c>
      <c r="GM278" s="56"/>
      <c r="GN278" s="199">
        <f t="shared" si="1806"/>
        <v>0</v>
      </c>
      <c r="GO278" s="199">
        <f t="shared" si="1807"/>
        <v>1760</v>
      </c>
      <c r="GP278" s="56"/>
      <c r="GS278" s="55">
        <f t="shared" si="1808"/>
        <v>46259</v>
      </c>
      <c r="GT278" s="56"/>
      <c r="GU278" s="195">
        <f>SUMPRODUCT(PRODUCE!$B279:$DY279,PRODUCE!$EB$29:$IY$29)</f>
        <v>0</v>
      </c>
      <c r="GV278" s="56"/>
      <c r="GW278" s="195">
        <f t="shared" si="1809"/>
        <v>0</v>
      </c>
      <c r="GX278" s="195">
        <f t="shared" si="1810"/>
        <v>400</v>
      </c>
      <c r="GY278" s="56"/>
      <c r="HB278" s="55">
        <f t="shared" si="1811"/>
        <v>46259</v>
      </c>
      <c r="HC278" s="56"/>
      <c r="HD278" s="191">
        <f>SUMPRODUCT(PRODUCE!$B279:$DY279,PRODUCE!$EB$30:$IY$30)</f>
        <v>0</v>
      </c>
      <c r="HE278" s="56"/>
      <c r="HF278" s="191">
        <f t="shared" si="1812"/>
        <v>0</v>
      </c>
      <c r="HG278" s="191">
        <f t="shared" si="1813"/>
        <v>3600</v>
      </c>
      <c r="HH278" s="56"/>
      <c r="HK278" s="55">
        <f t="shared" si="1814"/>
        <v>46259</v>
      </c>
      <c r="HL278" s="56"/>
      <c r="HM278" s="63">
        <f>SUMPRODUCT(PRODUCE!$B279:$DY279,PRODUCE!$EB$31:$IY$31)</f>
        <v>0</v>
      </c>
      <c r="HN278" s="56"/>
      <c r="HO278" s="63">
        <f t="shared" si="1815"/>
        <v>0</v>
      </c>
      <c r="HP278" s="63">
        <f t="shared" si="1816"/>
        <v>0</v>
      </c>
      <c r="HQ278" s="56"/>
      <c r="HU278" s="55">
        <f t="shared" si="1817"/>
        <v>46259</v>
      </c>
      <c r="HV278" s="56"/>
      <c r="HW278" s="242">
        <f>SUMPRODUCT(PRODUCE!$B279:$DY279,PRODUCE!$EB$32:$IY$32)</f>
        <v>0</v>
      </c>
      <c r="HX278" s="56"/>
      <c r="HY278" s="242">
        <f t="shared" si="1818"/>
        <v>0</v>
      </c>
      <c r="HZ278" s="242">
        <f t="shared" si="1819"/>
        <v>6120</v>
      </c>
      <c r="IA278" s="56"/>
      <c r="ID278" s="55">
        <f t="shared" si="1820"/>
        <v>46259</v>
      </c>
      <c r="IE278" s="56"/>
      <c r="IF278" s="242">
        <f>SUMPRODUCT(PRODUCE!$B279:$DY279,PRODUCE!$EB$33:$IY$33)</f>
        <v>0</v>
      </c>
      <c r="IG278" s="56"/>
      <c r="IH278" s="242">
        <f t="shared" si="1821"/>
        <v>0</v>
      </c>
      <c r="II278" s="242">
        <f t="shared" si="1822"/>
        <v>0</v>
      </c>
      <c r="IJ278" s="56"/>
      <c r="IM278" s="55">
        <f t="shared" si="1823"/>
        <v>46259</v>
      </c>
      <c r="IN278" s="56"/>
      <c r="IO278" s="242">
        <f>SUMPRODUCT(PRODUCE!$B279:$DY279,PRODUCE!$EB$34:$IY$34)</f>
        <v>0</v>
      </c>
      <c r="IP278" s="56"/>
      <c r="IQ278" s="242">
        <f t="shared" si="1824"/>
        <v>0</v>
      </c>
      <c r="IR278" s="242">
        <f t="shared" si="1825"/>
        <v>0</v>
      </c>
      <c r="IS278" s="56"/>
      <c r="IV278" s="55">
        <f t="shared" si="1826"/>
        <v>46259</v>
      </c>
      <c r="IW278" s="56"/>
      <c r="IX278" s="242">
        <f>SUMPRODUCT(PRODUCE!$B279:$DY279,PRODUCE!$EB$35:$IY$35)</f>
        <v>0</v>
      </c>
      <c r="IY278" s="56"/>
      <c r="IZ278" s="242">
        <f t="shared" si="1827"/>
        <v>0</v>
      </c>
      <c r="JA278" s="242">
        <f t="shared" si="1828"/>
        <v>2820</v>
      </c>
      <c r="JB278" s="56"/>
      <c r="JE278" s="55">
        <f t="shared" si="1829"/>
        <v>46259</v>
      </c>
      <c r="JF278" s="56"/>
      <c r="JG278" s="242">
        <f>SUMPRODUCT(PRODUCE!$B279:$DY279,PRODUCE!$EB$36:$IY$36)</f>
        <v>0</v>
      </c>
      <c r="JH278" s="56"/>
      <c r="JI278" s="242">
        <f t="shared" si="1830"/>
        <v>0</v>
      </c>
      <c r="JJ278" s="242">
        <f t="shared" si="1831"/>
        <v>0</v>
      </c>
      <c r="JK278" s="56"/>
      <c r="JN278" s="55">
        <f t="shared" si="1832"/>
        <v>46259</v>
      </c>
      <c r="JO278" s="56"/>
      <c r="JP278" s="242">
        <f>SUMPRODUCT(PRODUCE!$B279:$DY279,PRODUCE!$EB$37:$IY$37)</f>
        <v>0</v>
      </c>
      <c r="JQ278" s="56"/>
      <c r="JR278" s="242">
        <f t="shared" si="1833"/>
        <v>0</v>
      </c>
      <c r="JS278" s="242">
        <f t="shared" si="1834"/>
        <v>0</v>
      </c>
      <c r="JT278" s="56"/>
      <c r="JW278" s="55">
        <f t="shared" si="1835"/>
        <v>46259</v>
      </c>
      <c r="JX278" s="56"/>
      <c r="JY278" s="242">
        <f>SUMPRODUCT(PRODUCE!$B279:$DY279,PRODUCE!$EB$38:$IY$38)</f>
        <v>0</v>
      </c>
      <c r="JZ278" s="56"/>
      <c r="KA278" s="242">
        <f t="shared" si="1836"/>
        <v>0</v>
      </c>
      <c r="KB278" s="242">
        <f t="shared" si="1837"/>
        <v>2540</v>
      </c>
      <c r="KC278" s="56"/>
      <c r="KF278" s="55">
        <f t="shared" si="1838"/>
        <v>46259</v>
      </c>
      <c r="KG278" s="56"/>
      <c r="KH278" s="242">
        <f>SUMPRODUCT(PRODUCE!$B279:$DY279,PRODUCE!$EB$39:$IY$39)</f>
        <v>0</v>
      </c>
      <c r="KI278" s="56"/>
      <c r="KJ278" s="242">
        <f t="shared" si="1839"/>
        <v>0</v>
      </c>
      <c r="KK278" s="242">
        <f t="shared" si="1840"/>
        <v>2359.5</v>
      </c>
      <c r="KL278" s="56"/>
      <c r="KO278" s="55">
        <f t="shared" si="1841"/>
        <v>46259</v>
      </c>
      <c r="KP278" s="56"/>
      <c r="KQ278" s="242">
        <f>SUMPRODUCT(PRODUCE!$B279:$DY279,PRODUCE!$EB$40:$IY$40)</f>
        <v>0</v>
      </c>
      <c r="KR278" s="56"/>
      <c r="KS278" s="242">
        <f t="shared" si="1842"/>
        <v>0</v>
      </c>
      <c r="KT278" s="242">
        <f t="shared" si="1843"/>
        <v>1890</v>
      </c>
      <c r="KU278" s="56"/>
      <c r="KW278" s="23"/>
      <c r="KX278" s="55">
        <f t="shared" si="1844"/>
        <v>46259</v>
      </c>
      <c r="KY278" s="56"/>
      <c r="KZ278" s="242">
        <f>SUMPRODUCT(PRODUCE!$B279:$DY279,PRODUCE!$EB$41:$IY$41)</f>
        <v>0</v>
      </c>
      <c r="LA278" s="56"/>
      <c r="LB278" s="242">
        <f t="shared" si="1845"/>
        <v>0</v>
      </c>
      <c r="LC278" s="242">
        <f t="shared" si="1846"/>
        <v>3690</v>
      </c>
      <c r="LD278" s="56"/>
      <c r="LG278" s="55">
        <f t="shared" si="1847"/>
        <v>46259</v>
      </c>
      <c r="LH278" s="56"/>
      <c r="LI278" s="242">
        <f>SUMPRODUCT(PRODUCE!$B279:$DY279,PRODUCE!$EB$42:$IY$42)</f>
        <v>0</v>
      </c>
      <c r="LJ278" s="56"/>
      <c r="LK278" s="242">
        <f t="shared" si="1848"/>
        <v>0</v>
      </c>
      <c r="LL278" s="242">
        <f t="shared" si="1849"/>
        <v>4000</v>
      </c>
      <c r="LM278" s="56"/>
      <c r="LP278" s="55">
        <f t="shared" si="1850"/>
        <v>46259</v>
      </c>
      <c r="LQ278" s="56"/>
      <c r="LR278" s="242">
        <f>SUMPRODUCT(PRODUCE!$B293:$DY293,PRODUCE!$EB$43:$IY$43)</f>
        <v>0</v>
      </c>
      <c r="LS278" s="56"/>
      <c r="LT278" s="242">
        <f t="shared" si="1851"/>
        <v>0</v>
      </c>
      <c r="LU278" s="242">
        <f t="shared" si="1852"/>
        <v>0</v>
      </c>
      <c r="LV278" s="56"/>
      <c r="LY278" s="55">
        <f t="shared" si="1853"/>
        <v>46259</v>
      </c>
      <c r="LZ278" s="56"/>
      <c r="MA278" s="242">
        <f>SUMPRODUCT(PRODUCE!$B279:$DY279,PRODUCE!$EB$44:$IY$44)</f>
        <v>0</v>
      </c>
      <c r="MB278" s="56"/>
      <c r="MC278" s="242">
        <f t="shared" si="1854"/>
        <v>0</v>
      </c>
      <c r="MD278" s="242">
        <f t="shared" si="1855"/>
        <v>0</v>
      </c>
      <c r="ME278" s="56"/>
      <c r="MH278" s="55">
        <f t="shared" si="1856"/>
        <v>46259</v>
      </c>
      <c r="MI278" s="56"/>
      <c r="MJ278" s="242">
        <f>SUMPRODUCT(PRODUCE!$B279:$DY279,PRODUCE!$EB$45:$IY$45)</f>
        <v>0</v>
      </c>
      <c r="MK278" s="56"/>
      <c r="ML278" s="242">
        <f t="shared" si="1857"/>
        <v>0</v>
      </c>
      <c r="MM278" s="242">
        <f t="shared" si="1858"/>
        <v>0</v>
      </c>
      <c r="MN278" s="56"/>
      <c r="MQ278" s="55">
        <f t="shared" si="1859"/>
        <v>46259</v>
      </c>
      <c r="MR278" s="56"/>
      <c r="MS278" s="242">
        <f>SUMPRODUCT(PRODUCE!$B279:$DY279,PRODUCE!$EB$46:$IY$46)</f>
        <v>0</v>
      </c>
      <c r="MT278" s="56"/>
      <c r="MU278" s="242">
        <f t="shared" si="1860"/>
        <v>0</v>
      </c>
      <c r="MV278" s="242">
        <f t="shared" si="1861"/>
        <v>1625</v>
      </c>
      <c r="MW278" s="56"/>
      <c r="MZ278" s="55">
        <f t="shared" si="1862"/>
        <v>46259</v>
      </c>
      <c r="NA278" s="56"/>
      <c r="NB278" s="242">
        <f>SUMPRODUCT(PRODUCE!$B279:$DY279,PRODUCE!$EB$47:$IY$47)</f>
        <v>0</v>
      </c>
      <c r="NC278" s="56"/>
      <c r="ND278" s="242">
        <f t="shared" si="1863"/>
        <v>0</v>
      </c>
      <c r="NE278" s="242">
        <f t="shared" si="1864"/>
        <v>0</v>
      </c>
      <c r="NF278" s="56"/>
      <c r="NI278" s="55">
        <f t="shared" si="1865"/>
        <v>46259</v>
      </c>
      <c r="NJ278" s="56"/>
      <c r="NK278" s="242">
        <f>SUMPRODUCT(PRODUCE!$B279:$DY279,PRODUCE!$EB$48:$IY$48)</f>
        <v>0</v>
      </c>
      <c r="NL278" s="56"/>
      <c r="NM278" s="242">
        <f t="shared" si="1866"/>
        <v>0</v>
      </c>
      <c r="NN278" s="242">
        <f t="shared" si="1867"/>
        <v>1127</v>
      </c>
      <c r="NO278" s="56"/>
      <c r="NR278" s="55">
        <f t="shared" si="1868"/>
        <v>46259</v>
      </c>
      <c r="NS278" s="56"/>
      <c r="NT278" s="242">
        <f>SUMPRODUCT(PRODUCE!$B279:$DY279,PRODUCE!$EB$49:$IY$49)</f>
        <v>0</v>
      </c>
      <c r="NU278" s="56"/>
      <c r="NV278" s="242">
        <f t="shared" si="1869"/>
        <v>0</v>
      </c>
      <c r="NW278" s="242">
        <f t="shared" si="1870"/>
        <v>3111.9999999999995</v>
      </c>
      <c r="NX278" s="56"/>
      <c r="OA278" s="55">
        <f t="shared" si="1871"/>
        <v>46259</v>
      </c>
      <c r="OB278" s="56"/>
      <c r="OC278" s="242">
        <f>SUMPRODUCT(PRODUCE!$B279:$DY279,PRODUCE!$EB$50:$IY$50)</f>
        <v>0</v>
      </c>
      <c r="OD278" s="56"/>
      <c r="OE278" s="242">
        <f t="shared" si="1872"/>
        <v>0</v>
      </c>
      <c r="OF278" s="242">
        <f t="shared" si="1873"/>
        <v>1680.5</v>
      </c>
      <c r="OG278" s="56"/>
      <c r="OJ278" s="55">
        <f t="shared" si="1874"/>
        <v>46259</v>
      </c>
      <c r="OK278" s="56"/>
      <c r="OL278" s="242">
        <f>SUMPRODUCT(PRODUCE!$B279:$DY279,PRODUCE!$EB$51:$IY$51)</f>
        <v>0</v>
      </c>
      <c r="OM278" s="56"/>
      <c r="ON278" s="242">
        <f t="shared" si="1875"/>
        <v>0</v>
      </c>
      <c r="OO278" s="242">
        <f t="shared" si="1876"/>
        <v>0</v>
      </c>
      <c r="OP278" s="56"/>
      <c r="OS278" s="55">
        <f t="shared" si="1877"/>
        <v>46259</v>
      </c>
      <c r="OT278" s="56"/>
      <c r="OU278" s="242">
        <f>SUMPRODUCT(PRODUCE!$B279:$DY279,PRODUCE!$EB$52:$IY$52)</f>
        <v>0</v>
      </c>
      <c r="OV278" s="56"/>
      <c r="OW278" s="242">
        <f t="shared" si="1878"/>
        <v>0</v>
      </c>
      <c r="OX278" s="242">
        <f t="shared" si="1879"/>
        <v>1482</v>
      </c>
      <c r="OY278" s="56"/>
      <c r="PB278" s="55">
        <f t="shared" si="1880"/>
        <v>46259</v>
      </c>
      <c r="PC278" s="56"/>
      <c r="PD278" s="242">
        <f>SUMPRODUCT(PRODUCE!$B279:$DY279,PRODUCE!$EB$53:$IY$53)</f>
        <v>0</v>
      </c>
      <c r="PE278" s="56"/>
      <c r="PF278" s="242">
        <f t="shared" si="1881"/>
        <v>0</v>
      </c>
      <c r="PG278" s="242">
        <f t="shared" si="1882"/>
        <v>0</v>
      </c>
      <c r="PH278" s="56"/>
      <c r="PK278" s="55">
        <f t="shared" si="1883"/>
        <v>46259</v>
      </c>
      <c r="PL278" s="56"/>
      <c r="PM278" s="242">
        <f>SUMPRODUCT(PRODUCE!$B279:$DY279,PRODUCE!$EB$54:$IY$54)</f>
        <v>0</v>
      </c>
      <c r="PN278" s="56"/>
      <c r="PO278" s="242">
        <f t="shared" si="1884"/>
        <v>0</v>
      </c>
      <c r="PP278" s="242">
        <f t="shared" si="1885"/>
        <v>100</v>
      </c>
      <c r="PQ278" s="56"/>
      <c r="PT278" s="55">
        <f t="shared" si="1886"/>
        <v>46259</v>
      </c>
      <c r="PU278" s="56"/>
      <c r="PV278" s="242">
        <f>SUMPRODUCT(PRODUCE!$B279:$DY279,PRODUCE!$EB$55:$IY$55)</f>
        <v>0</v>
      </c>
      <c r="PW278" s="56"/>
      <c r="PX278" s="242">
        <f t="shared" si="1887"/>
        <v>0</v>
      </c>
      <c r="PY278" s="242">
        <f t="shared" si="1888"/>
        <v>13.960000000000036</v>
      </c>
      <c r="PZ278" s="56"/>
      <c r="QC278" s="55">
        <f t="shared" si="1889"/>
        <v>46259</v>
      </c>
      <c r="QD278" s="56"/>
      <c r="QE278" s="242">
        <f>SUMPRODUCT(PRODUCE!$B279:$DY279,PRODUCE!$EB$56:$IY$56)</f>
        <v>0</v>
      </c>
      <c r="QF278" s="56"/>
      <c r="QG278" s="242">
        <f t="shared" si="1890"/>
        <v>0</v>
      </c>
      <c r="QH278" s="242">
        <f t="shared" si="1891"/>
        <v>548</v>
      </c>
      <c r="QI278" s="56"/>
      <c r="QL278" s="55">
        <f t="shared" si="1892"/>
        <v>46259</v>
      </c>
      <c r="QM278" s="56"/>
      <c r="QN278" s="242">
        <f>SUMPRODUCT(PRODUCE!$B279:$DY279,PRODUCE!$EB$57:$IY$57)</f>
        <v>0</v>
      </c>
      <c r="QO278" s="56"/>
      <c r="QP278" s="242">
        <f t="shared" si="1893"/>
        <v>0</v>
      </c>
      <c r="QQ278" s="242">
        <f t="shared" si="1894"/>
        <v>0</v>
      </c>
      <c r="QR278" s="56"/>
      <c r="QU278" s="55">
        <f t="shared" si="1895"/>
        <v>46259</v>
      </c>
      <c r="QV278" s="56"/>
      <c r="QW278" s="242">
        <f>SUMPRODUCT(PRODUCE!$B279:$DY279,PRODUCE!$EB$57:$IY$57)</f>
        <v>0</v>
      </c>
      <c r="QX278" s="56"/>
      <c r="QY278" s="242">
        <f t="shared" si="1896"/>
        <v>0</v>
      </c>
      <c r="QZ278" s="242">
        <f t="shared" si="1897"/>
        <v>0</v>
      </c>
      <c r="RA278" s="56"/>
      <c r="RD278" s="55">
        <f t="shared" si="1898"/>
        <v>46259</v>
      </c>
      <c r="RE278" s="56"/>
      <c r="RF278" s="242">
        <f>SUMPRODUCT(PRODUCE!$B279:$DY279,PRODUCE!$EB$58:$IY$58)</f>
        <v>0</v>
      </c>
      <c r="RG278" s="56"/>
      <c r="RH278" s="242">
        <f t="shared" si="1899"/>
        <v>0</v>
      </c>
      <c r="RI278" s="242">
        <f t="shared" si="1900"/>
        <v>147.04000000000002</v>
      </c>
      <c r="RJ278" s="56"/>
      <c r="RM278" s="55">
        <f t="shared" si="1901"/>
        <v>46259</v>
      </c>
      <c r="RN278" s="56"/>
      <c r="RO278" s="242">
        <f>SUMPRODUCT(PRODUCE!$B279:$DY279,PRODUCE!$EB$59:$IY$59)</f>
        <v>0</v>
      </c>
      <c r="RP278" s="56"/>
      <c r="RQ278" s="242">
        <f t="shared" si="1902"/>
        <v>0</v>
      </c>
      <c r="RR278" s="242">
        <f t="shared" si="1903"/>
        <v>46.8</v>
      </c>
      <c r="RS278" s="56"/>
      <c r="RV278" s="55">
        <f t="shared" si="1904"/>
        <v>46259</v>
      </c>
      <c r="RW278" s="56"/>
      <c r="RX278" s="242">
        <f>SUMPRODUCT(PRODUCE!$B279:$DY279,PRODUCE!$EB$57:$IY$57)</f>
        <v>0</v>
      </c>
      <c r="RY278" s="56"/>
      <c r="RZ278" s="242">
        <f t="shared" si="1905"/>
        <v>0</v>
      </c>
      <c r="SA278" s="242">
        <f t="shared" si="1906"/>
        <v>0</v>
      </c>
      <c r="SB278" s="56"/>
      <c r="SE278" s="55">
        <f t="shared" si="1907"/>
        <v>46259</v>
      </c>
      <c r="SF278" s="56"/>
      <c r="SG278" s="242">
        <f>SUMPRODUCT(PRODUCE!$B279:$DY279,PRODUCE!$EB$61:$IY$61)</f>
        <v>0</v>
      </c>
      <c r="SH278" s="56"/>
      <c r="SI278" s="242">
        <f t="shared" si="1908"/>
        <v>0</v>
      </c>
      <c r="SJ278" s="242">
        <f t="shared" si="1909"/>
        <v>24.200000000000003</v>
      </c>
      <c r="SK278" s="56"/>
      <c r="SN278" s="55">
        <f t="shared" si="1910"/>
        <v>46259</v>
      </c>
      <c r="SO278" s="56"/>
      <c r="SP278" s="242">
        <f>SUMPRODUCT(PRODUCE!$B279:$DY279,PRODUCE!$EB$62:$IY$62)</f>
        <v>0</v>
      </c>
      <c r="SQ278" s="56"/>
      <c r="SR278" s="242">
        <f t="shared" si="1911"/>
        <v>0</v>
      </c>
      <c r="SS278" s="242">
        <f t="shared" si="1912"/>
        <v>32</v>
      </c>
      <c r="ST278" s="56"/>
      <c r="SW278" s="55">
        <f t="shared" si="1913"/>
        <v>46259</v>
      </c>
      <c r="SX278" s="56"/>
      <c r="SY278" s="242">
        <f>SUMPRODUCT(PRODUCE!$B279:$DY279,PRODUCE!$EB$57:$IY$57)</f>
        <v>0</v>
      </c>
      <c r="SZ278" s="56"/>
      <c r="TA278" s="242">
        <f t="shared" si="1914"/>
        <v>0</v>
      </c>
      <c r="TB278" s="242">
        <f t="shared" si="1915"/>
        <v>0</v>
      </c>
      <c r="TC278" s="56"/>
      <c r="TF278" s="55">
        <f t="shared" si="1916"/>
        <v>46259</v>
      </c>
      <c r="TG278" s="56"/>
      <c r="TH278" s="242">
        <f>SUMPRODUCT(PRODUCE!$B279:$DY279,PRODUCE!$EB$57:$IY$57)</f>
        <v>0</v>
      </c>
      <c r="TI278" s="56"/>
      <c r="TJ278" s="242">
        <f t="shared" si="1917"/>
        <v>0</v>
      </c>
      <c r="TK278" s="242">
        <f t="shared" si="1918"/>
        <v>0</v>
      </c>
      <c r="TL278" s="56"/>
      <c r="TO278" s="55">
        <f t="shared" si="1919"/>
        <v>46259</v>
      </c>
      <c r="TP278" s="56"/>
      <c r="TQ278" s="242">
        <f>SUMPRODUCT(PRODUCE!$B279:$DY279,PRODUCE!$EB$57:$IY$57)</f>
        <v>0</v>
      </c>
      <c r="TR278" s="56"/>
      <c r="TS278" s="242">
        <f t="shared" si="1920"/>
        <v>0</v>
      </c>
      <c r="TT278" s="242">
        <f t="shared" si="1921"/>
        <v>0</v>
      </c>
      <c r="TU278" s="56"/>
      <c r="TX278" s="55">
        <f t="shared" si="1922"/>
        <v>46259</v>
      </c>
      <c r="TY278" s="56"/>
      <c r="TZ278" s="242">
        <f>SUMPRODUCT(PRODUCE!$B279:$DY279,PRODUCE!$EB$57:$IY$57)</f>
        <v>0</v>
      </c>
      <c r="UA278" s="56"/>
      <c r="UB278" s="242">
        <f t="shared" si="1923"/>
        <v>0</v>
      </c>
      <c r="UC278" s="242">
        <f t="shared" si="1924"/>
        <v>46.799999999999983</v>
      </c>
      <c r="UD278" s="56"/>
      <c r="UG278" s="55">
        <f t="shared" si="1925"/>
        <v>46259</v>
      </c>
      <c r="UH278" s="56"/>
      <c r="UI278" s="242">
        <f>SUMPRODUCT(PRODUCE!$B279:$DY279,PRODUCE!$EB$57:$IY$57)</f>
        <v>0</v>
      </c>
      <c r="UJ278" s="56"/>
      <c r="UK278" s="242">
        <f t="shared" si="1926"/>
        <v>0</v>
      </c>
      <c r="UL278" s="242">
        <f t="shared" si="1927"/>
        <v>204</v>
      </c>
      <c r="UM278" s="56"/>
      <c r="UP278" s="55">
        <f t="shared" si="1928"/>
        <v>46259</v>
      </c>
      <c r="UQ278" s="56"/>
      <c r="UR278" s="242">
        <f>SUMPRODUCT(PRODUCE!$B279:$DY279,PRODUCE!$EB$57:$IY$57)</f>
        <v>0</v>
      </c>
      <c r="US278" s="56"/>
      <c r="UT278" s="242">
        <f t="shared" si="1929"/>
        <v>0</v>
      </c>
      <c r="UU278" s="242">
        <f t="shared" si="1930"/>
        <v>202.5</v>
      </c>
      <c r="UV278" s="56"/>
      <c r="UY278" s="55">
        <f t="shared" si="1931"/>
        <v>46259</v>
      </c>
      <c r="UZ278" s="56"/>
      <c r="VA278" s="242">
        <f>SUMPRODUCT(PRODUCE!$B279:$DY279,PRODUCE!$EB$57:$IY$57)</f>
        <v>0</v>
      </c>
      <c r="VB278" s="56"/>
      <c r="VC278" s="242">
        <f t="shared" si="1932"/>
        <v>0</v>
      </c>
      <c r="VD278" s="242">
        <f t="shared" si="1933"/>
        <v>41.600000000000023</v>
      </c>
      <c r="VE278" s="56"/>
      <c r="VH278" s="55">
        <f t="shared" si="1934"/>
        <v>46259</v>
      </c>
      <c r="VI278" s="56"/>
      <c r="VJ278" s="242">
        <f>SUMPRODUCT(PRODUCE!$B279:$DY279,PRODUCE!$EB$57:$IY$57)</f>
        <v>0</v>
      </c>
      <c r="VK278" s="56"/>
      <c r="VL278" s="242">
        <f t="shared" si="1935"/>
        <v>0</v>
      </c>
      <c r="VM278" s="242">
        <f t="shared" si="1936"/>
        <v>210</v>
      </c>
      <c r="VN278" s="56"/>
      <c r="VQ278" s="55">
        <f t="shared" si="1937"/>
        <v>46259</v>
      </c>
      <c r="VR278" s="56"/>
      <c r="VS278" s="242">
        <f>SUMPRODUCT(PRODUCE!$B279:$DY279,PRODUCE!$EB$57:$IY$57)</f>
        <v>0</v>
      </c>
      <c r="VT278" s="56"/>
      <c r="VU278" s="242">
        <f t="shared" si="1938"/>
        <v>0</v>
      </c>
      <c r="VV278" s="242">
        <f t="shared" si="1939"/>
        <v>0</v>
      </c>
      <c r="VW278" s="56"/>
      <c r="VZ278" s="55">
        <f t="shared" si="1940"/>
        <v>46259</v>
      </c>
      <c r="WA278" s="56"/>
      <c r="WB278" s="242">
        <f>SUMPRODUCT(PRODUCE!$B279:$DY279,PRODUCE!$EB$57:$IY$57)</f>
        <v>0</v>
      </c>
      <c r="WC278" s="56"/>
      <c r="WD278" s="242">
        <f t="shared" si="1941"/>
        <v>0</v>
      </c>
      <c r="WE278" s="242">
        <f t="shared" si="1942"/>
        <v>0</v>
      </c>
      <c r="WF278" s="56"/>
      <c r="WI278" s="55">
        <f t="shared" si="1943"/>
        <v>46259</v>
      </c>
      <c r="WJ278" s="56"/>
      <c r="WK278" s="242">
        <f>SUMPRODUCT(PRODUCE!$B279:$DY279,PRODUCE!$EB$57:$IY$57)</f>
        <v>0</v>
      </c>
      <c r="WL278" s="56"/>
      <c r="WM278" s="242">
        <f t="shared" si="1944"/>
        <v>0</v>
      </c>
      <c r="WN278" s="242">
        <f t="shared" si="1945"/>
        <v>1057</v>
      </c>
      <c r="WO278" s="56"/>
      <c r="WR278" s="55">
        <f t="shared" si="1946"/>
        <v>46259</v>
      </c>
      <c r="WS278" s="56"/>
      <c r="WT278" s="242">
        <f>SUMPRODUCT(PRODUCE!$B279:$DY279,PRODUCE!$EB$57:$IY$57)</f>
        <v>0</v>
      </c>
      <c r="WU278" s="56"/>
      <c r="WV278" s="242">
        <f t="shared" si="1947"/>
        <v>0</v>
      </c>
      <c r="WW278" s="242">
        <f t="shared" si="1948"/>
        <v>0</v>
      </c>
      <c r="WX278" s="56"/>
      <c r="XA278" s="55">
        <f t="shared" si="1949"/>
        <v>46259</v>
      </c>
      <c r="XB278" s="56"/>
      <c r="XC278" s="242">
        <f>SUMPRODUCT(PRODUCE!$B279:$DY279,PRODUCE!$EB$57:$IY$57)</f>
        <v>0</v>
      </c>
      <c r="XD278" s="56"/>
      <c r="XE278" s="242">
        <f t="shared" si="1950"/>
        <v>0</v>
      </c>
      <c r="XF278" s="242">
        <f t="shared" si="1951"/>
        <v>7507</v>
      </c>
      <c r="XG278" s="56"/>
      <c r="XJ278" s="55">
        <f t="shared" si="1952"/>
        <v>46259</v>
      </c>
      <c r="XK278" s="56"/>
      <c r="XL278" s="242">
        <f>SUMPRODUCT(PRODUCE!$B279:$DY279,PRODUCE!$EB$57:$IY$57)</f>
        <v>0</v>
      </c>
      <c r="XM278" s="56"/>
      <c r="XN278" s="242">
        <f t="shared" si="1953"/>
        <v>0</v>
      </c>
      <c r="XO278" s="242">
        <f t="shared" si="1954"/>
        <v>4252</v>
      </c>
      <c r="XP278" s="56"/>
      <c r="XS278" s="55">
        <f t="shared" si="1955"/>
        <v>46259</v>
      </c>
      <c r="XT278" s="56"/>
      <c r="XU278" s="242">
        <f>SUMPRODUCT(PRODUCE!$B279:$DY279,PRODUCE!$EB$57:$IY$57)</f>
        <v>0</v>
      </c>
      <c r="XV278" s="56"/>
      <c r="XW278" s="242">
        <f t="shared" si="1956"/>
        <v>0</v>
      </c>
      <c r="XX278" s="242">
        <f t="shared" si="1957"/>
        <v>2179</v>
      </c>
      <c r="XY278" s="56"/>
      <c r="YB278" s="55">
        <f t="shared" si="1958"/>
        <v>46259</v>
      </c>
      <c r="YC278" s="56"/>
      <c r="YD278" s="242">
        <f>SUMPRODUCT(PRODUCE!$B279:$DY279,PRODUCE!$EB$57:$IY$57)</f>
        <v>0</v>
      </c>
      <c r="YE278" s="56"/>
      <c r="YF278" s="242">
        <f t="shared" si="1959"/>
        <v>0</v>
      </c>
      <c r="YG278" s="242">
        <f t="shared" si="1960"/>
        <v>4019</v>
      </c>
      <c r="YH278" s="56"/>
      <c r="YK278" s="55">
        <f t="shared" si="1961"/>
        <v>46259</v>
      </c>
      <c r="YL278" s="56"/>
      <c r="YM278" s="242">
        <f>SUMPRODUCT(PRODUCE!$B279:$DY279,PRODUCE!$EB$57:$IY$57)</f>
        <v>0</v>
      </c>
      <c r="YN278" s="56"/>
      <c r="YO278" s="242">
        <f t="shared" si="1962"/>
        <v>0</v>
      </c>
      <c r="YP278" s="242">
        <f t="shared" si="1963"/>
        <v>-218</v>
      </c>
      <c r="YQ278" s="56"/>
      <c r="YT278" s="55">
        <f t="shared" si="1964"/>
        <v>46259</v>
      </c>
      <c r="YU278" s="56"/>
      <c r="YV278" s="242">
        <f>SUMPRODUCT(PRODUCE!$B279:$DY279,PRODUCE!$EB$57:$IY$57)</f>
        <v>0</v>
      </c>
      <c r="YW278" s="56"/>
      <c r="YX278" s="242">
        <f t="shared" si="1965"/>
        <v>0</v>
      </c>
      <c r="YY278" s="242">
        <f t="shared" si="1966"/>
        <v>0</v>
      </c>
      <c r="YZ278" s="56"/>
      <c r="ZC278" s="55">
        <f t="shared" si="1967"/>
        <v>46259</v>
      </c>
      <c r="ZD278" s="56"/>
      <c r="ZE278" s="242">
        <f>SUMPRODUCT(PRODUCE!$B279:$DY279,PRODUCE!$EB$57:$IY$57)</f>
        <v>0</v>
      </c>
      <c r="ZF278" s="56"/>
      <c r="ZG278" s="242">
        <f t="shared" si="1968"/>
        <v>0</v>
      </c>
      <c r="ZH278" s="242">
        <f t="shared" si="1969"/>
        <v>0</v>
      </c>
      <c r="ZI278" s="56"/>
      <c r="ZL278" s="55">
        <f t="shared" si="1970"/>
        <v>46259</v>
      </c>
      <c r="ZM278" s="56"/>
      <c r="ZN278" s="242">
        <f>SUMPRODUCT(PRODUCE!$B279:$DY279,PRODUCE!$EB$57:$IY$57)</f>
        <v>0</v>
      </c>
      <c r="ZO278" s="56"/>
      <c r="ZP278" s="242">
        <f t="shared" si="1971"/>
        <v>0</v>
      </c>
      <c r="ZQ278" s="242">
        <f t="shared" si="1972"/>
        <v>0</v>
      </c>
      <c r="ZR278" s="56"/>
      <c r="ZU278" s="55">
        <f t="shared" si="1973"/>
        <v>46259</v>
      </c>
      <c r="ZV278" s="56"/>
      <c r="ZW278" s="242">
        <f>SUMPRODUCT(PRODUCE!$B279:$DY279,PRODUCE!$EB$57:$IY$57)</f>
        <v>0</v>
      </c>
      <c r="ZX278" s="56"/>
      <c r="ZY278" s="242">
        <f t="shared" si="1974"/>
        <v>0</v>
      </c>
      <c r="ZZ278" s="242">
        <f t="shared" si="1975"/>
        <v>0</v>
      </c>
      <c r="AAA278" s="56"/>
      <c r="AAD278" s="55">
        <f t="shared" si="1976"/>
        <v>46259</v>
      </c>
      <c r="AAE278" s="56"/>
      <c r="AAF278" s="242">
        <f>SUMPRODUCT(PRODUCE!$B279:$DY279,PRODUCE!$EB$57:$IY$57)</f>
        <v>0</v>
      </c>
      <c r="AAG278" s="56"/>
      <c r="AAH278" s="242">
        <f t="shared" si="1977"/>
        <v>0</v>
      </c>
      <c r="AAI278" s="242">
        <f t="shared" si="1978"/>
        <v>0</v>
      </c>
      <c r="AAJ278" s="56"/>
      <c r="AAM278" s="55">
        <f t="shared" si="1979"/>
        <v>46259</v>
      </c>
      <c r="AAN278" s="56"/>
      <c r="AAO278" s="242">
        <f>SUMPRODUCT(PRODUCE!$B279:$DY279,PRODUCE!$EB$57:$IY$57)</f>
        <v>0</v>
      </c>
      <c r="AAP278" s="56"/>
      <c r="AAQ278" s="242">
        <f t="shared" si="1980"/>
        <v>0</v>
      </c>
      <c r="AAR278" s="242">
        <f t="shared" si="1981"/>
        <v>0</v>
      </c>
      <c r="AAS278" s="56"/>
      <c r="AAV278" s="55">
        <f t="shared" si="1982"/>
        <v>46259</v>
      </c>
      <c r="AAW278" s="56"/>
      <c r="AAX278" s="242">
        <f>SUMPRODUCT(PRODUCE!$B279:$DY279,PRODUCE!$EB$57:$IY$57)</f>
        <v>0</v>
      </c>
      <c r="AAY278" s="56"/>
      <c r="AAZ278" s="242">
        <f t="shared" si="1983"/>
        <v>0</v>
      </c>
      <c r="ABA278" s="242">
        <f t="shared" si="1984"/>
        <v>0</v>
      </c>
      <c r="ABB278" s="56"/>
      <c r="ABE278" s="55">
        <f t="shared" si="1985"/>
        <v>46259</v>
      </c>
      <c r="ABF278" s="56"/>
      <c r="ABG278" s="242">
        <f>SUMPRODUCT(PRODUCE!$B279:$DY279,PRODUCE!$EB$57:$IY$57)</f>
        <v>0</v>
      </c>
      <c r="ABH278" s="56"/>
      <c r="ABI278" s="242">
        <f t="shared" si="1986"/>
        <v>0</v>
      </c>
      <c r="ABJ278" s="242">
        <f t="shared" si="1987"/>
        <v>0</v>
      </c>
      <c r="ABK278" s="56"/>
    </row>
    <row r="279" spans="1:739" s="54" customFormat="1" ht="15" customHeight="1" outlineLevel="1">
      <c r="B279" s="478"/>
      <c r="C279" s="55">
        <v>46260</v>
      </c>
      <c r="D279" s="56"/>
      <c r="E279" s="57">
        <f>SUMPRODUCT(PRODUCE!$B280:$DY280,PRODUCE!$EB$7:$IY$7)</f>
        <v>0</v>
      </c>
      <c r="F279" s="56"/>
      <c r="G279" s="57">
        <f t="shared" si="1743"/>
        <v>0</v>
      </c>
      <c r="H279" s="57">
        <f t="shared" si="1744"/>
        <v>236936.6</v>
      </c>
      <c r="I279" s="289"/>
      <c r="L279" s="55">
        <f t="shared" si="1745"/>
        <v>46260</v>
      </c>
      <c r="M279" s="56"/>
      <c r="N279" s="59">
        <f>SUMPRODUCT(PRODUCE!$B280:$DY280,PRODUCE!$EB$8:$IY$8)</f>
        <v>0</v>
      </c>
      <c r="O279" s="56"/>
      <c r="P279" s="59">
        <f t="shared" si="1746"/>
        <v>0</v>
      </c>
      <c r="Q279" s="59">
        <f t="shared" si="1747"/>
        <v>53017.600000000071</v>
      </c>
      <c r="R279" s="56"/>
      <c r="U279" s="55">
        <f t="shared" si="1748"/>
        <v>46260</v>
      </c>
      <c r="V279" s="56"/>
      <c r="W279" s="60">
        <f>SUMPRODUCT(PRODUCE!$B280:$DY280,PRODUCE!$EB$9:$IY$9)</f>
        <v>0</v>
      </c>
      <c r="X279" s="56"/>
      <c r="Y279" s="60">
        <f t="shared" si="1749"/>
        <v>0</v>
      </c>
      <c r="Z279" s="60">
        <f t="shared" si="1750"/>
        <v>42674.199999999968</v>
      </c>
      <c r="AA279" s="56"/>
      <c r="AD279" s="55">
        <f t="shared" si="1751"/>
        <v>46260</v>
      </c>
      <c r="AE279" s="56"/>
      <c r="AF279" s="61">
        <f>SUMPRODUCT(PRODUCE!$B280:$DY280,PRODUCE!$EB$10:$IY$10)</f>
        <v>0</v>
      </c>
      <c r="AG279" s="56"/>
      <c r="AH279" s="61">
        <f t="shared" si="1752"/>
        <v>0</v>
      </c>
      <c r="AI279" s="61">
        <f t="shared" si="1753"/>
        <v>4522.2000000000189</v>
      </c>
      <c r="AJ279" s="56"/>
      <c r="AM279" s="55">
        <f t="shared" si="1754"/>
        <v>46260</v>
      </c>
      <c r="AN279" s="422"/>
      <c r="AO279" s="444">
        <f>SUMPRODUCT(PRODUCE!$B280:$DY280,PRODUCE!$EB$11:$IY$11)</f>
        <v>0</v>
      </c>
      <c r="AP279" s="422"/>
      <c r="AQ279" s="444">
        <f t="shared" si="1755"/>
        <v>0</v>
      </c>
      <c r="AR279" s="444">
        <f t="shared" si="1756"/>
        <v>0</v>
      </c>
      <c r="AS279" s="56"/>
      <c r="AV279" s="55">
        <f t="shared" si="1757"/>
        <v>46260</v>
      </c>
      <c r="AW279" s="56"/>
      <c r="AX279" s="62">
        <f>SUMPRODUCT(PRODUCE!$B280:$DY280,PRODUCE!$EB$12:$IY$12)</f>
        <v>0</v>
      </c>
      <c r="AY279" s="56"/>
      <c r="AZ279" s="62">
        <f t="shared" si="1758"/>
        <v>0</v>
      </c>
      <c r="BA279" s="62">
        <f t="shared" si="1759"/>
        <v>124.99999999999523</v>
      </c>
      <c r="BB279" s="56"/>
      <c r="BE279" s="55">
        <f t="shared" si="1760"/>
        <v>46260</v>
      </c>
      <c r="BF279" s="56"/>
      <c r="BG279" s="63">
        <f>SUMPRODUCT(PRODUCE!$B280:$DY280,PRODUCE!$EB$13:$IY$13)</f>
        <v>0</v>
      </c>
      <c r="BH279" s="56"/>
      <c r="BI279" s="63">
        <f t="shared" si="1761"/>
        <v>0</v>
      </c>
      <c r="BJ279" s="63">
        <f t="shared" si="1762"/>
        <v>26151.899999999998</v>
      </c>
      <c r="BK279" s="56"/>
      <c r="BN279" s="55">
        <f t="shared" si="1763"/>
        <v>46260</v>
      </c>
      <c r="BO279" s="56"/>
      <c r="BP279" s="64">
        <f>SUMPRODUCT(PRODUCE!$B280:$DY280,PRODUCE!$EB$14:$IY$14)</f>
        <v>0</v>
      </c>
      <c r="BQ279" s="56"/>
      <c r="BR279" s="64">
        <f t="shared" si="1764"/>
        <v>0</v>
      </c>
      <c r="BS279" s="64">
        <f t="shared" si="1765"/>
        <v>0</v>
      </c>
      <c r="BT279" s="56"/>
      <c r="BW279" s="55">
        <f t="shared" si="1766"/>
        <v>46260</v>
      </c>
      <c r="BX279" s="56"/>
      <c r="BY279" s="65">
        <f>SUMPRODUCT(PRODUCE!$B280:$DY280,PRODUCE!$EB$15:$IY$15)</f>
        <v>0</v>
      </c>
      <c r="BZ279" s="56"/>
      <c r="CA279" s="65">
        <f t="shared" si="1767"/>
        <v>0</v>
      </c>
      <c r="CB279" s="65">
        <f t="shared" si="1768"/>
        <v>2097.3399999999992</v>
      </c>
      <c r="CC279" s="56"/>
      <c r="CF279" s="55">
        <f t="shared" si="1769"/>
        <v>46260</v>
      </c>
      <c r="CG279" s="56"/>
      <c r="CH279" s="66">
        <f>SUMPRODUCT(PRODUCE!$B280:$DY280,PRODUCE!$EB$16:$IY$16)</f>
        <v>0</v>
      </c>
      <c r="CI279" s="56"/>
      <c r="CJ279" s="66">
        <f t="shared" si="1770"/>
        <v>0</v>
      </c>
      <c r="CK279" s="66">
        <f t="shared" si="1771"/>
        <v>-10277.079999999998</v>
      </c>
      <c r="CL279" s="56"/>
      <c r="CO279" s="55">
        <f t="shared" si="1772"/>
        <v>46260</v>
      </c>
      <c r="CP279" s="422"/>
      <c r="CQ279" s="470">
        <f>SUMPRODUCT(PRODUCE!$B280:$DY280,PRODUCE!$EB$17:$IY$17)</f>
        <v>0</v>
      </c>
      <c r="CR279" s="422"/>
      <c r="CS279" s="470">
        <f t="shared" si="1773"/>
        <v>0</v>
      </c>
      <c r="CT279" s="470">
        <f t="shared" si="1774"/>
        <v>0</v>
      </c>
      <c r="CU279" s="56"/>
      <c r="CX279" s="55">
        <f t="shared" si="1775"/>
        <v>46260</v>
      </c>
      <c r="CY279" s="56"/>
      <c r="CZ279" s="133">
        <f>SUMPRODUCT(PRODUCE!$B280:$DY280,PRODUCE!$EB$18:$IY$18)</f>
        <v>0</v>
      </c>
      <c r="DA279" s="56"/>
      <c r="DB279" s="133">
        <f t="shared" si="1776"/>
        <v>0</v>
      </c>
      <c r="DC279" s="133">
        <f t="shared" si="1777"/>
        <v>27438.200000000012</v>
      </c>
      <c r="DD279" s="56"/>
      <c r="DG279" s="55">
        <f t="shared" si="1778"/>
        <v>46260</v>
      </c>
      <c r="DH279" s="56"/>
      <c r="DI279" s="147">
        <f>SUMPRODUCT(PRODUCE!$B280:$DY280,PRODUCE!$EB$19:$IY$19)</f>
        <v>0</v>
      </c>
      <c r="DJ279" s="56"/>
      <c r="DK279" s="147">
        <f t="shared" si="1779"/>
        <v>0</v>
      </c>
      <c r="DL279" s="147">
        <f t="shared" si="1780"/>
        <v>18782.299999999981</v>
      </c>
      <c r="DM279" s="56"/>
      <c r="DP279" s="55">
        <f t="shared" si="1781"/>
        <v>46260</v>
      </c>
      <c r="DQ279" s="56"/>
      <c r="DR279" s="57">
        <f>SUMPRODUCT(PRODUCE!$B280:$DY280,PRODUCE!$EB$20:$IY$20)</f>
        <v>0</v>
      </c>
      <c r="DS279" s="56"/>
      <c r="DT279" s="57">
        <f t="shared" si="1782"/>
        <v>0</v>
      </c>
      <c r="DU279" s="57">
        <f t="shared" si="1783"/>
        <v>5800</v>
      </c>
      <c r="DV279" s="56"/>
      <c r="DY279" s="55">
        <f t="shared" si="1784"/>
        <v>46260</v>
      </c>
      <c r="DZ279" s="56"/>
      <c r="EA279" s="157">
        <f>SUMPRODUCT(PRODUCE!$B280:$DY280,PRODUCE!$EB$21:$IY$21)</f>
        <v>0</v>
      </c>
      <c r="EB279" s="56"/>
      <c r="EC279" s="157">
        <f t="shared" si="1785"/>
        <v>0</v>
      </c>
      <c r="ED279" s="157">
        <f t="shared" si="1786"/>
        <v>0</v>
      </c>
      <c r="EE279" s="56"/>
      <c r="EH279" s="55">
        <f t="shared" si="1787"/>
        <v>46260</v>
      </c>
      <c r="EI279" s="56"/>
      <c r="EJ279" s="162">
        <f>SUMPRODUCT(PRODUCE!$B280:$DY280,PRODUCE!$EB$22:$IY$22)</f>
        <v>0</v>
      </c>
      <c r="EK279" s="56"/>
      <c r="EL279" s="162">
        <f t="shared" si="1788"/>
        <v>0</v>
      </c>
      <c r="EM279" s="162">
        <f t="shared" si="1789"/>
        <v>0</v>
      </c>
      <c r="EN279" s="56"/>
      <c r="EQ279" s="55">
        <f t="shared" si="1790"/>
        <v>46260</v>
      </c>
      <c r="ER279" s="56"/>
      <c r="ES279" s="135">
        <f>SUMPRODUCT(PRODUCE!$B280:$DY280,PRODUCE!$EB$23:$IY$23)</f>
        <v>0</v>
      </c>
      <c r="ET279" s="56"/>
      <c r="EU279" s="135">
        <f t="shared" si="1791"/>
        <v>0</v>
      </c>
      <c r="EV279" s="135">
        <f t="shared" si="1792"/>
        <v>0</v>
      </c>
      <c r="EW279" s="56"/>
      <c r="EZ279" s="55">
        <f t="shared" si="1793"/>
        <v>46260</v>
      </c>
      <c r="FA279" s="56"/>
      <c r="FB279" s="175">
        <f>SUMPRODUCT(PRODUCE!$B280:$DY280,PRODUCE!$EB$24:$IY$24)</f>
        <v>0</v>
      </c>
      <c r="FC279" s="56"/>
      <c r="FD279" s="175">
        <f t="shared" si="1794"/>
        <v>0</v>
      </c>
      <c r="FE279" s="175">
        <f t="shared" si="1795"/>
        <v>0</v>
      </c>
      <c r="FF279" s="56"/>
      <c r="FI279" s="55">
        <f t="shared" si="1796"/>
        <v>46260</v>
      </c>
      <c r="FJ279" s="56"/>
      <c r="FK279" s="183">
        <f>SUMPRODUCT(PRODUCE!$B280:$DY280,PRODUCE!$EB$25:$IY$25)</f>
        <v>0</v>
      </c>
      <c r="FL279" s="56"/>
      <c r="FM279" s="183">
        <f t="shared" si="1797"/>
        <v>0</v>
      </c>
      <c r="FN279" s="183">
        <f t="shared" si="1798"/>
        <v>0</v>
      </c>
      <c r="FO279" s="56"/>
      <c r="FR279" s="55">
        <f t="shared" si="1799"/>
        <v>46260</v>
      </c>
      <c r="FS279" s="56"/>
      <c r="FT279" s="186">
        <f>SUMPRODUCT(PRODUCE!$B280:$DY280,PRODUCE!$EB$26:$IY$26)</f>
        <v>0</v>
      </c>
      <c r="FU279" s="56"/>
      <c r="FV279" s="186">
        <f t="shared" si="1800"/>
        <v>0</v>
      </c>
      <c r="FW279" s="186">
        <f t="shared" si="1801"/>
        <v>2020</v>
      </c>
      <c r="FX279" s="56"/>
      <c r="GA279" s="55">
        <f t="shared" si="1802"/>
        <v>46260</v>
      </c>
      <c r="GB279" s="56"/>
      <c r="GC279" s="137">
        <f>SUMPRODUCT(PRODUCE!$B280:$DY280,PRODUCE!$EB$27:$IY$27)</f>
        <v>0</v>
      </c>
      <c r="GD279" s="56"/>
      <c r="GE279" s="137">
        <f t="shared" si="1803"/>
        <v>0</v>
      </c>
      <c r="GF279" s="137">
        <f t="shared" si="1804"/>
        <v>960</v>
      </c>
      <c r="GG279" s="56"/>
      <c r="GI279" s="23"/>
      <c r="GJ279" s="55">
        <f t="shared" si="1805"/>
        <v>46260</v>
      </c>
      <c r="GK279" s="56"/>
      <c r="GL279" s="199">
        <f>SUMPRODUCT(PRODUCE!$B280:$DY280,PRODUCE!$EB$28:$IY$28)</f>
        <v>0</v>
      </c>
      <c r="GM279" s="56"/>
      <c r="GN279" s="199">
        <f t="shared" si="1806"/>
        <v>0</v>
      </c>
      <c r="GO279" s="199">
        <f t="shared" si="1807"/>
        <v>1760</v>
      </c>
      <c r="GP279" s="56"/>
      <c r="GS279" s="55">
        <f t="shared" si="1808"/>
        <v>46260</v>
      </c>
      <c r="GT279" s="56"/>
      <c r="GU279" s="195">
        <f>SUMPRODUCT(PRODUCE!$B280:$DY280,PRODUCE!$EB$29:$IY$29)</f>
        <v>0</v>
      </c>
      <c r="GV279" s="56"/>
      <c r="GW279" s="195">
        <f t="shared" si="1809"/>
        <v>0</v>
      </c>
      <c r="GX279" s="195">
        <f t="shared" si="1810"/>
        <v>400</v>
      </c>
      <c r="GY279" s="56"/>
      <c r="HB279" s="55">
        <f t="shared" si="1811"/>
        <v>46260</v>
      </c>
      <c r="HC279" s="56"/>
      <c r="HD279" s="191">
        <f>SUMPRODUCT(PRODUCE!$B280:$DY280,PRODUCE!$EB$30:$IY$30)</f>
        <v>0</v>
      </c>
      <c r="HE279" s="56"/>
      <c r="HF279" s="191">
        <f t="shared" si="1812"/>
        <v>0</v>
      </c>
      <c r="HG279" s="191">
        <f t="shared" si="1813"/>
        <v>3600</v>
      </c>
      <c r="HH279" s="56"/>
      <c r="HK279" s="55">
        <f t="shared" si="1814"/>
        <v>46260</v>
      </c>
      <c r="HL279" s="56"/>
      <c r="HM279" s="63">
        <f>SUMPRODUCT(PRODUCE!$B280:$DY280,PRODUCE!$EB$31:$IY$31)</f>
        <v>0</v>
      </c>
      <c r="HN279" s="56"/>
      <c r="HO279" s="63">
        <f t="shared" si="1815"/>
        <v>0</v>
      </c>
      <c r="HP279" s="63">
        <f t="shared" si="1816"/>
        <v>0</v>
      </c>
      <c r="HQ279" s="56"/>
      <c r="HU279" s="55">
        <f t="shared" si="1817"/>
        <v>46260</v>
      </c>
      <c r="HV279" s="56"/>
      <c r="HW279" s="242">
        <f>SUMPRODUCT(PRODUCE!$B280:$DY280,PRODUCE!$EB$32:$IY$32)</f>
        <v>0</v>
      </c>
      <c r="HX279" s="56"/>
      <c r="HY279" s="242">
        <f t="shared" si="1818"/>
        <v>0</v>
      </c>
      <c r="HZ279" s="242">
        <f t="shared" si="1819"/>
        <v>6120</v>
      </c>
      <c r="IA279" s="56"/>
      <c r="ID279" s="55">
        <f t="shared" si="1820"/>
        <v>46260</v>
      </c>
      <c r="IE279" s="56"/>
      <c r="IF279" s="242">
        <f>SUMPRODUCT(PRODUCE!$B280:$DY280,PRODUCE!$EB$33:$IY$33)</f>
        <v>0</v>
      </c>
      <c r="IG279" s="56"/>
      <c r="IH279" s="242">
        <f t="shared" si="1821"/>
        <v>0</v>
      </c>
      <c r="II279" s="242">
        <f t="shared" si="1822"/>
        <v>0</v>
      </c>
      <c r="IJ279" s="56"/>
      <c r="IM279" s="55">
        <f t="shared" si="1823"/>
        <v>46260</v>
      </c>
      <c r="IN279" s="56"/>
      <c r="IO279" s="242">
        <f>SUMPRODUCT(PRODUCE!$B280:$DY280,PRODUCE!$EB$34:$IY$34)</f>
        <v>0</v>
      </c>
      <c r="IP279" s="56"/>
      <c r="IQ279" s="242">
        <f t="shared" si="1824"/>
        <v>0</v>
      </c>
      <c r="IR279" s="242">
        <f t="shared" si="1825"/>
        <v>0</v>
      </c>
      <c r="IS279" s="56"/>
      <c r="IV279" s="55">
        <f t="shared" si="1826"/>
        <v>46260</v>
      </c>
      <c r="IW279" s="56"/>
      <c r="IX279" s="242">
        <f>SUMPRODUCT(PRODUCE!$B280:$DY280,PRODUCE!$EB$35:$IY$35)</f>
        <v>0</v>
      </c>
      <c r="IY279" s="56"/>
      <c r="IZ279" s="242">
        <f t="shared" si="1827"/>
        <v>0</v>
      </c>
      <c r="JA279" s="242">
        <f t="shared" si="1828"/>
        <v>2820</v>
      </c>
      <c r="JB279" s="56"/>
      <c r="JE279" s="55">
        <f t="shared" si="1829"/>
        <v>46260</v>
      </c>
      <c r="JF279" s="56"/>
      <c r="JG279" s="242">
        <f>SUMPRODUCT(PRODUCE!$B280:$DY280,PRODUCE!$EB$36:$IY$36)</f>
        <v>0</v>
      </c>
      <c r="JH279" s="56"/>
      <c r="JI279" s="242">
        <f t="shared" si="1830"/>
        <v>0</v>
      </c>
      <c r="JJ279" s="242">
        <f t="shared" si="1831"/>
        <v>0</v>
      </c>
      <c r="JK279" s="56"/>
      <c r="JN279" s="55">
        <f t="shared" si="1832"/>
        <v>46260</v>
      </c>
      <c r="JO279" s="56"/>
      <c r="JP279" s="242">
        <f>SUMPRODUCT(PRODUCE!$B280:$DY280,PRODUCE!$EB$37:$IY$37)</f>
        <v>0</v>
      </c>
      <c r="JQ279" s="56"/>
      <c r="JR279" s="242">
        <f t="shared" si="1833"/>
        <v>0</v>
      </c>
      <c r="JS279" s="242">
        <f t="shared" si="1834"/>
        <v>0</v>
      </c>
      <c r="JT279" s="56"/>
      <c r="JW279" s="55">
        <f t="shared" si="1835"/>
        <v>46260</v>
      </c>
      <c r="JX279" s="56"/>
      <c r="JY279" s="242">
        <f>SUMPRODUCT(PRODUCE!$B280:$DY280,PRODUCE!$EB$38:$IY$38)</f>
        <v>0</v>
      </c>
      <c r="JZ279" s="56"/>
      <c r="KA279" s="242">
        <f t="shared" si="1836"/>
        <v>0</v>
      </c>
      <c r="KB279" s="242">
        <f t="shared" si="1837"/>
        <v>2540</v>
      </c>
      <c r="KC279" s="56"/>
      <c r="KF279" s="55">
        <f t="shared" si="1838"/>
        <v>46260</v>
      </c>
      <c r="KG279" s="56"/>
      <c r="KH279" s="242">
        <f>SUMPRODUCT(PRODUCE!$B280:$DY280,PRODUCE!$EB$39:$IY$39)</f>
        <v>0</v>
      </c>
      <c r="KI279" s="56"/>
      <c r="KJ279" s="242">
        <f t="shared" si="1839"/>
        <v>0</v>
      </c>
      <c r="KK279" s="242">
        <f t="shared" si="1840"/>
        <v>2359.5</v>
      </c>
      <c r="KL279" s="56"/>
      <c r="KO279" s="55">
        <f t="shared" si="1841"/>
        <v>46260</v>
      </c>
      <c r="KP279" s="56"/>
      <c r="KQ279" s="242">
        <f>SUMPRODUCT(PRODUCE!$B280:$DY280,PRODUCE!$EB$40:$IY$40)</f>
        <v>0</v>
      </c>
      <c r="KR279" s="56"/>
      <c r="KS279" s="242">
        <f t="shared" si="1842"/>
        <v>0</v>
      </c>
      <c r="KT279" s="242">
        <f t="shared" si="1843"/>
        <v>1890</v>
      </c>
      <c r="KU279" s="56"/>
      <c r="KW279" s="23"/>
      <c r="KX279" s="55">
        <f t="shared" si="1844"/>
        <v>46260</v>
      </c>
      <c r="KY279" s="56"/>
      <c r="KZ279" s="242">
        <f>SUMPRODUCT(PRODUCE!$B280:$DY280,PRODUCE!$EB$41:$IY$41)</f>
        <v>0</v>
      </c>
      <c r="LA279" s="56"/>
      <c r="LB279" s="242">
        <f t="shared" si="1845"/>
        <v>0</v>
      </c>
      <c r="LC279" s="242">
        <f t="shared" si="1846"/>
        <v>3690</v>
      </c>
      <c r="LD279" s="56"/>
      <c r="LG279" s="55">
        <f t="shared" si="1847"/>
        <v>46260</v>
      </c>
      <c r="LH279" s="56"/>
      <c r="LI279" s="242">
        <f>SUMPRODUCT(PRODUCE!$B280:$DY280,PRODUCE!$EB$42:$IY$42)</f>
        <v>0</v>
      </c>
      <c r="LJ279" s="56"/>
      <c r="LK279" s="242">
        <f t="shared" si="1848"/>
        <v>0</v>
      </c>
      <c r="LL279" s="242">
        <f t="shared" si="1849"/>
        <v>4000</v>
      </c>
      <c r="LM279" s="56"/>
      <c r="LP279" s="55">
        <f t="shared" si="1850"/>
        <v>46260</v>
      </c>
      <c r="LQ279" s="56"/>
      <c r="LR279" s="242">
        <f>SUMPRODUCT(PRODUCE!$B294:$DY294,PRODUCE!$EB$43:$IY$43)</f>
        <v>0</v>
      </c>
      <c r="LS279" s="56"/>
      <c r="LT279" s="242">
        <f t="shared" si="1851"/>
        <v>0</v>
      </c>
      <c r="LU279" s="242">
        <f t="shared" si="1852"/>
        <v>0</v>
      </c>
      <c r="LV279" s="56"/>
      <c r="LY279" s="55">
        <f t="shared" si="1853"/>
        <v>46260</v>
      </c>
      <c r="LZ279" s="56"/>
      <c r="MA279" s="242">
        <f>SUMPRODUCT(PRODUCE!$B280:$DY280,PRODUCE!$EB$44:$IY$44)</f>
        <v>0</v>
      </c>
      <c r="MB279" s="56"/>
      <c r="MC279" s="242">
        <f t="shared" si="1854"/>
        <v>0</v>
      </c>
      <c r="MD279" s="242">
        <f t="shared" si="1855"/>
        <v>0</v>
      </c>
      <c r="ME279" s="56"/>
      <c r="MH279" s="55">
        <f t="shared" si="1856"/>
        <v>46260</v>
      </c>
      <c r="MI279" s="56"/>
      <c r="MJ279" s="242">
        <f>SUMPRODUCT(PRODUCE!$B280:$DY280,PRODUCE!$EB$45:$IY$45)</f>
        <v>0</v>
      </c>
      <c r="MK279" s="56"/>
      <c r="ML279" s="242">
        <f t="shared" si="1857"/>
        <v>0</v>
      </c>
      <c r="MM279" s="242">
        <f t="shared" si="1858"/>
        <v>0</v>
      </c>
      <c r="MN279" s="56"/>
      <c r="MQ279" s="55">
        <f t="shared" si="1859"/>
        <v>46260</v>
      </c>
      <c r="MR279" s="56"/>
      <c r="MS279" s="242">
        <f>SUMPRODUCT(PRODUCE!$B280:$DY280,PRODUCE!$EB$46:$IY$46)</f>
        <v>0</v>
      </c>
      <c r="MT279" s="56"/>
      <c r="MU279" s="242">
        <f t="shared" si="1860"/>
        <v>0</v>
      </c>
      <c r="MV279" s="242">
        <f t="shared" si="1861"/>
        <v>1625</v>
      </c>
      <c r="MW279" s="56"/>
      <c r="MZ279" s="55">
        <f t="shared" si="1862"/>
        <v>46260</v>
      </c>
      <c r="NA279" s="56"/>
      <c r="NB279" s="242">
        <f>SUMPRODUCT(PRODUCE!$B280:$DY280,PRODUCE!$EB$47:$IY$47)</f>
        <v>0</v>
      </c>
      <c r="NC279" s="56"/>
      <c r="ND279" s="242">
        <f t="shared" si="1863"/>
        <v>0</v>
      </c>
      <c r="NE279" s="242">
        <f t="shared" si="1864"/>
        <v>0</v>
      </c>
      <c r="NF279" s="56"/>
      <c r="NI279" s="55">
        <f t="shared" si="1865"/>
        <v>46260</v>
      </c>
      <c r="NJ279" s="56"/>
      <c r="NK279" s="242">
        <f>SUMPRODUCT(PRODUCE!$B280:$DY280,PRODUCE!$EB$48:$IY$48)</f>
        <v>0</v>
      </c>
      <c r="NL279" s="56"/>
      <c r="NM279" s="242">
        <f t="shared" si="1866"/>
        <v>0</v>
      </c>
      <c r="NN279" s="242">
        <f t="shared" si="1867"/>
        <v>1127</v>
      </c>
      <c r="NO279" s="56"/>
      <c r="NR279" s="55">
        <f t="shared" si="1868"/>
        <v>46260</v>
      </c>
      <c r="NS279" s="56"/>
      <c r="NT279" s="242">
        <f>SUMPRODUCT(PRODUCE!$B280:$DY280,PRODUCE!$EB$49:$IY$49)</f>
        <v>0</v>
      </c>
      <c r="NU279" s="56"/>
      <c r="NV279" s="242">
        <f t="shared" si="1869"/>
        <v>0</v>
      </c>
      <c r="NW279" s="242">
        <f t="shared" si="1870"/>
        <v>3111.9999999999995</v>
      </c>
      <c r="NX279" s="56"/>
      <c r="OA279" s="55">
        <f t="shared" si="1871"/>
        <v>46260</v>
      </c>
      <c r="OB279" s="56"/>
      <c r="OC279" s="242">
        <f>SUMPRODUCT(PRODUCE!$B280:$DY280,PRODUCE!$EB$50:$IY$50)</f>
        <v>0</v>
      </c>
      <c r="OD279" s="56"/>
      <c r="OE279" s="242">
        <f t="shared" si="1872"/>
        <v>0</v>
      </c>
      <c r="OF279" s="242">
        <f>OF278+OB279-OD279</f>
        <v>1680.5</v>
      </c>
      <c r="OG279" s="56"/>
      <c r="OJ279" s="55">
        <f t="shared" si="1874"/>
        <v>46260</v>
      </c>
      <c r="OK279" s="56"/>
      <c r="OL279" s="242">
        <f>SUMPRODUCT(PRODUCE!$B280:$DY280,PRODUCE!$EB$51:$IY$51)</f>
        <v>0</v>
      </c>
      <c r="OM279" s="56"/>
      <c r="ON279" s="242">
        <f t="shared" si="1875"/>
        <v>0</v>
      </c>
      <c r="OO279" s="242">
        <f t="shared" si="1876"/>
        <v>0</v>
      </c>
      <c r="OP279" s="56"/>
      <c r="OS279" s="55">
        <f t="shared" si="1877"/>
        <v>46260</v>
      </c>
      <c r="OT279" s="56"/>
      <c r="OU279" s="242">
        <f>SUMPRODUCT(PRODUCE!$B280:$DY280,PRODUCE!$EB$52:$IY$52)</f>
        <v>0</v>
      </c>
      <c r="OV279" s="56"/>
      <c r="OW279" s="242">
        <f t="shared" si="1878"/>
        <v>0</v>
      </c>
      <c r="OX279" s="242">
        <f t="shared" si="1879"/>
        <v>1482</v>
      </c>
      <c r="OY279" s="56"/>
      <c r="PB279" s="55">
        <f t="shared" si="1880"/>
        <v>46260</v>
      </c>
      <c r="PC279" s="56"/>
      <c r="PD279" s="242">
        <f>SUMPRODUCT(PRODUCE!$B280:$DY280,PRODUCE!$EB$53:$IY$53)</f>
        <v>0</v>
      </c>
      <c r="PE279" s="56"/>
      <c r="PF279" s="242">
        <f t="shared" si="1881"/>
        <v>0</v>
      </c>
      <c r="PG279" s="242">
        <f t="shared" si="1882"/>
        <v>0</v>
      </c>
      <c r="PH279" s="56"/>
      <c r="PK279" s="55">
        <f t="shared" si="1883"/>
        <v>46260</v>
      </c>
      <c r="PL279" s="56"/>
      <c r="PM279" s="242">
        <f>SUMPRODUCT(PRODUCE!$B280:$DY280,PRODUCE!$EB$54:$IY$54)</f>
        <v>0</v>
      </c>
      <c r="PN279" s="56"/>
      <c r="PO279" s="242">
        <f t="shared" si="1884"/>
        <v>0</v>
      </c>
      <c r="PP279" s="242">
        <f t="shared" si="1885"/>
        <v>100</v>
      </c>
      <c r="PQ279" s="56"/>
      <c r="PT279" s="55">
        <f t="shared" si="1886"/>
        <v>46260</v>
      </c>
      <c r="PU279" s="56"/>
      <c r="PV279" s="242">
        <f>SUMPRODUCT(PRODUCE!$B280:$DY280,PRODUCE!$EB$55:$IY$55)</f>
        <v>0</v>
      </c>
      <c r="PW279" s="56"/>
      <c r="PX279" s="242">
        <f t="shared" si="1887"/>
        <v>0</v>
      </c>
      <c r="PY279" s="242">
        <f t="shared" si="1888"/>
        <v>13.960000000000036</v>
      </c>
      <c r="PZ279" s="56"/>
      <c r="QC279" s="55">
        <f t="shared" si="1889"/>
        <v>46260</v>
      </c>
      <c r="QD279" s="56"/>
      <c r="QE279" s="242">
        <f>SUMPRODUCT(PRODUCE!$B280:$DY280,PRODUCE!$EB$56:$IY$56)</f>
        <v>0</v>
      </c>
      <c r="QF279" s="56"/>
      <c r="QG279" s="242">
        <f t="shared" si="1890"/>
        <v>0</v>
      </c>
      <c r="QH279" s="242">
        <f t="shared" si="1891"/>
        <v>548</v>
      </c>
      <c r="QI279" s="56"/>
      <c r="QL279" s="55">
        <f t="shared" si="1892"/>
        <v>46260</v>
      </c>
      <c r="QM279" s="56"/>
      <c r="QN279" s="242">
        <f>SUMPRODUCT(PRODUCE!$B280:$DY280,PRODUCE!$EB$57:$IY$57)</f>
        <v>0</v>
      </c>
      <c r="QO279" s="56"/>
      <c r="QP279" s="242">
        <f t="shared" si="1893"/>
        <v>0</v>
      </c>
      <c r="QQ279" s="242">
        <f t="shared" si="1894"/>
        <v>0</v>
      </c>
      <c r="QR279" s="56"/>
      <c r="QU279" s="55">
        <f t="shared" si="1895"/>
        <v>46260</v>
      </c>
      <c r="QV279" s="56"/>
      <c r="QW279" s="242">
        <f>SUMPRODUCT(PRODUCE!$B280:$DY280,PRODUCE!$EB$57:$IY$57)</f>
        <v>0</v>
      </c>
      <c r="QX279" s="56"/>
      <c r="QY279" s="242">
        <f t="shared" si="1896"/>
        <v>0</v>
      </c>
      <c r="QZ279" s="242">
        <f t="shared" si="1897"/>
        <v>0</v>
      </c>
      <c r="RA279" s="56"/>
      <c r="RD279" s="55">
        <f t="shared" si="1898"/>
        <v>46260</v>
      </c>
      <c r="RE279" s="56"/>
      <c r="RF279" s="242">
        <f>SUMPRODUCT(PRODUCE!$B280:$DY280,PRODUCE!$EB$58:$IY$58)</f>
        <v>0</v>
      </c>
      <c r="RG279" s="56"/>
      <c r="RH279" s="242">
        <f t="shared" si="1899"/>
        <v>0</v>
      </c>
      <c r="RI279" s="242">
        <f t="shared" si="1900"/>
        <v>147.04000000000002</v>
      </c>
      <c r="RJ279" s="56"/>
      <c r="RM279" s="55">
        <f t="shared" si="1901"/>
        <v>46260</v>
      </c>
      <c r="RN279" s="56"/>
      <c r="RO279" s="242">
        <f>SUMPRODUCT(PRODUCE!$B280:$DY280,PRODUCE!$EB$59:$IY$59)</f>
        <v>0</v>
      </c>
      <c r="RP279" s="56"/>
      <c r="RQ279" s="242">
        <f t="shared" si="1902"/>
        <v>0</v>
      </c>
      <c r="RR279" s="242">
        <f t="shared" si="1903"/>
        <v>46.8</v>
      </c>
      <c r="RS279" s="56"/>
      <c r="RV279" s="55">
        <f t="shared" si="1904"/>
        <v>46260</v>
      </c>
      <c r="RW279" s="56"/>
      <c r="RX279" s="242">
        <f>SUMPRODUCT(PRODUCE!$B280:$DY280,PRODUCE!$EB$57:$IY$57)</f>
        <v>0</v>
      </c>
      <c r="RY279" s="56"/>
      <c r="RZ279" s="242">
        <f t="shared" si="1905"/>
        <v>0</v>
      </c>
      <c r="SA279" s="242">
        <f t="shared" si="1906"/>
        <v>0</v>
      </c>
      <c r="SB279" s="56"/>
      <c r="SE279" s="55">
        <f t="shared" si="1907"/>
        <v>46260</v>
      </c>
      <c r="SF279" s="56"/>
      <c r="SG279" s="242">
        <f>SUMPRODUCT(PRODUCE!$B280:$DY280,PRODUCE!$EB$61:$IY$61)</f>
        <v>0</v>
      </c>
      <c r="SH279" s="56"/>
      <c r="SI279" s="242">
        <f t="shared" si="1908"/>
        <v>0</v>
      </c>
      <c r="SJ279" s="242">
        <f t="shared" si="1909"/>
        <v>24.200000000000003</v>
      </c>
      <c r="SK279" s="56"/>
      <c r="SN279" s="55">
        <f t="shared" si="1910"/>
        <v>46260</v>
      </c>
      <c r="SO279" s="56"/>
      <c r="SP279" s="242">
        <f>SUMPRODUCT(PRODUCE!$B280:$DY280,PRODUCE!$EB$62:$IY$62)</f>
        <v>0</v>
      </c>
      <c r="SQ279" s="56"/>
      <c r="SR279" s="242">
        <f t="shared" si="1911"/>
        <v>0</v>
      </c>
      <c r="SS279" s="242">
        <f t="shared" si="1912"/>
        <v>32</v>
      </c>
      <c r="ST279" s="56"/>
      <c r="SW279" s="55">
        <f t="shared" si="1913"/>
        <v>46260</v>
      </c>
      <c r="SX279" s="56"/>
      <c r="SY279" s="242">
        <f>SUMPRODUCT(PRODUCE!$B280:$DY280,PRODUCE!$EB$57:$IY$57)</f>
        <v>0</v>
      </c>
      <c r="SZ279" s="56"/>
      <c r="TA279" s="242">
        <f t="shared" si="1914"/>
        <v>0</v>
      </c>
      <c r="TB279" s="242">
        <f t="shared" si="1915"/>
        <v>0</v>
      </c>
      <c r="TC279" s="56"/>
      <c r="TF279" s="55">
        <f t="shared" si="1916"/>
        <v>46260</v>
      </c>
      <c r="TG279" s="56"/>
      <c r="TH279" s="242">
        <f>SUMPRODUCT(PRODUCE!$B280:$DY280,PRODUCE!$EB$57:$IY$57)</f>
        <v>0</v>
      </c>
      <c r="TI279" s="56"/>
      <c r="TJ279" s="242">
        <f t="shared" si="1917"/>
        <v>0</v>
      </c>
      <c r="TK279" s="242">
        <f t="shared" si="1918"/>
        <v>0</v>
      </c>
      <c r="TL279" s="56"/>
      <c r="TO279" s="55">
        <f t="shared" si="1919"/>
        <v>46260</v>
      </c>
      <c r="TP279" s="56"/>
      <c r="TQ279" s="242">
        <f>SUMPRODUCT(PRODUCE!$B280:$DY280,PRODUCE!$EB$57:$IY$57)</f>
        <v>0</v>
      </c>
      <c r="TR279" s="56"/>
      <c r="TS279" s="242">
        <f t="shared" si="1920"/>
        <v>0</v>
      </c>
      <c r="TT279" s="242">
        <f t="shared" si="1921"/>
        <v>0</v>
      </c>
      <c r="TU279" s="56"/>
      <c r="TX279" s="55">
        <f t="shared" si="1922"/>
        <v>46260</v>
      </c>
      <c r="TY279" s="56"/>
      <c r="TZ279" s="242">
        <f>SUMPRODUCT(PRODUCE!$B280:$DY280,PRODUCE!$EB$57:$IY$57)</f>
        <v>0</v>
      </c>
      <c r="UA279" s="56"/>
      <c r="UB279" s="242">
        <f t="shared" si="1923"/>
        <v>0</v>
      </c>
      <c r="UC279" s="242">
        <f t="shared" si="1924"/>
        <v>46.799999999999983</v>
      </c>
      <c r="UD279" s="56"/>
      <c r="UG279" s="55">
        <f t="shared" si="1925"/>
        <v>46260</v>
      </c>
      <c r="UH279" s="56"/>
      <c r="UI279" s="242">
        <f>SUMPRODUCT(PRODUCE!$B280:$DY280,PRODUCE!$EB$57:$IY$57)</f>
        <v>0</v>
      </c>
      <c r="UJ279" s="56"/>
      <c r="UK279" s="242">
        <f t="shared" si="1926"/>
        <v>0</v>
      </c>
      <c r="UL279" s="242">
        <f t="shared" si="1927"/>
        <v>204</v>
      </c>
      <c r="UM279" s="56"/>
      <c r="UP279" s="55">
        <f t="shared" si="1928"/>
        <v>46260</v>
      </c>
      <c r="UQ279" s="56"/>
      <c r="UR279" s="242">
        <f>SUMPRODUCT(PRODUCE!$B280:$DY280,PRODUCE!$EB$57:$IY$57)</f>
        <v>0</v>
      </c>
      <c r="US279" s="56"/>
      <c r="UT279" s="242">
        <f t="shared" si="1929"/>
        <v>0</v>
      </c>
      <c r="UU279" s="242">
        <f t="shared" si="1930"/>
        <v>202.5</v>
      </c>
      <c r="UV279" s="56"/>
      <c r="UY279" s="55">
        <f t="shared" si="1931"/>
        <v>46260</v>
      </c>
      <c r="UZ279" s="56"/>
      <c r="VA279" s="242">
        <f>SUMPRODUCT(PRODUCE!$B280:$DY280,PRODUCE!$EB$57:$IY$57)</f>
        <v>0</v>
      </c>
      <c r="VB279" s="56"/>
      <c r="VC279" s="242">
        <f t="shared" si="1932"/>
        <v>0</v>
      </c>
      <c r="VD279" s="242">
        <f t="shared" si="1933"/>
        <v>41.600000000000023</v>
      </c>
      <c r="VE279" s="56"/>
      <c r="VH279" s="55">
        <f t="shared" si="1934"/>
        <v>46260</v>
      </c>
      <c r="VI279" s="56"/>
      <c r="VJ279" s="242">
        <f>SUMPRODUCT(PRODUCE!$B280:$DY280,PRODUCE!$EB$57:$IY$57)</f>
        <v>0</v>
      </c>
      <c r="VK279" s="56"/>
      <c r="VL279" s="242">
        <f t="shared" si="1935"/>
        <v>0</v>
      </c>
      <c r="VM279" s="242">
        <f t="shared" si="1936"/>
        <v>210</v>
      </c>
      <c r="VN279" s="56"/>
      <c r="VQ279" s="55">
        <f t="shared" si="1937"/>
        <v>46260</v>
      </c>
      <c r="VR279" s="56"/>
      <c r="VS279" s="242">
        <f>SUMPRODUCT(PRODUCE!$B280:$DY280,PRODUCE!$EB$57:$IY$57)</f>
        <v>0</v>
      </c>
      <c r="VT279" s="56"/>
      <c r="VU279" s="242">
        <f t="shared" si="1938"/>
        <v>0</v>
      </c>
      <c r="VV279" s="242">
        <f t="shared" si="1939"/>
        <v>0</v>
      </c>
      <c r="VW279" s="56"/>
      <c r="VZ279" s="55">
        <f t="shared" si="1940"/>
        <v>46260</v>
      </c>
      <c r="WA279" s="56"/>
      <c r="WB279" s="242">
        <f>SUMPRODUCT(PRODUCE!$B280:$DY280,PRODUCE!$EB$57:$IY$57)</f>
        <v>0</v>
      </c>
      <c r="WC279" s="56"/>
      <c r="WD279" s="242">
        <f t="shared" si="1941"/>
        <v>0</v>
      </c>
      <c r="WE279" s="242">
        <f t="shared" si="1942"/>
        <v>0</v>
      </c>
      <c r="WF279" s="56"/>
      <c r="WI279" s="55">
        <f t="shared" si="1943"/>
        <v>46260</v>
      </c>
      <c r="WJ279" s="56"/>
      <c r="WK279" s="242">
        <f>SUMPRODUCT(PRODUCE!$B280:$DY280,PRODUCE!$EB$57:$IY$57)</f>
        <v>0</v>
      </c>
      <c r="WL279" s="56"/>
      <c r="WM279" s="242">
        <f t="shared" si="1944"/>
        <v>0</v>
      </c>
      <c r="WN279" s="242">
        <f t="shared" si="1945"/>
        <v>1057</v>
      </c>
      <c r="WO279" s="56"/>
      <c r="WR279" s="55">
        <f t="shared" si="1946"/>
        <v>46260</v>
      </c>
      <c r="WS279" s="56"/>
      <c r="WT279" s="242">
        <f>SUMPRODUCT(PRODUCE!$B280:$DY280,PRODUCE!$EB$57:$IY$57)</f>
        <v>0</v>
      </c>
      <c r="WU279" s="56"/>
      <c r="WV279" s="242">
        <f t="shared" si="1947"/>
        <v>0</v>
      </c>
      <c r="WW279" s="242">
        <f t="shared" si="1948"/>
        <v>0</v>
      </c>
      <c r="WX279" s="56"/>
      <c r="XA279" s="55">
        <f t="shared" si="1949"/>
        <v>46260</v>
      </c>
      <c r="XB279" s="56"/>
      <c r="XC279" s="242">
        <f>SUMPRODUCT(PRODUCE!$B280:$DY280,PRODUCE!$EB$57:$IY$57)</f>
        <v>0</v>
      </c>
      <c r="XD279" s="56"/>
      <c r="XE279" s="242">
        <f t="shared" si="1950"/>
        <v>0</v>
      </c>
      <c r="XF279" s="242">
        <f t="shared" si="1951"/>
        <v>7507</v>
      </c>
      <c r="XG279" s="56"/>
      <c r="XJ279" s="55">
        <f t="shared" si="1952"/>
        <v>46260</v>
      </c>
      <c r="XK279" s="56"/>
      <c r="XL279" s="242">
        <f>SUMPRODUCT(PRODUCE!$B280:$DY280,PRODUCE!$EB$57:$IY$57)</f>
        <v>0</v>
      </c>
      <c r="XM279" s="56"/>
      <c r="XN279" s="242">
        <f t="shared" si="1953"/>
        <v>0</v>
      </c>
      <c r="XO279" s="242">
        <f t="shared" si="1954"/>
        <v>4252</v>
      </c>
      <c r="XP279" s="56"/>
      <c r="XS279" s="55">
        <f t="shared" si="1955"/>
        <v>46260</v>
      </c>
      <c r="XT279" s="56"/>
      <c r="XU279" s="242">
        <f>SUMPRODUCT(PRODUCE!$B280:$DY280,PRODUCE!$EB$57:$IY$57)</f>
        <v>0</v>
      </c>
      <c r="XV279" s="56"/>
      <c r="XW279" s="242">
        <f t="shared" si="1956"/>
        <v>0</v>
      </c>
      <c r="XX279" s="242">
        <f t="shared" si="1957"/>
        <v>2179</v>
      </c>
      <c r="XY279" s="56"/>
      <c r="YB279" s="55">
        <f t="shared" si="1958"/>
        <v>46260</v>
      </c>
      <c r="YC279" s="56"/>
      <c r="YD279" s="242">
        <f>SUMPRODUCT(PRODUCE!$B280:$DY280,PRODUCE!$EB$57:$IY$57)</f>
        <v>0</v>
      </c>
      <c r="YE279" s="56"/>
      <c r="YF279" s="242">
        <f t="shared" si="1959"/>
        <v>0</v>
      </c>
      <c r="YG279" s="242">
        <f t="shared" si="1960"/>
        <v>4019</v>
      </c>
      <c r="YH279" s="56"/>
      <c r="YK279" s="55">
        <f t="shared" si="1961"/>
        <v>46260</v>
      </c>
      <c r="YL279" s="56"/>
      <c r="YM279" s="242">
        <f>SUMPRODUCT(PRODUCE!$B280:$DY280,PRODUCE!$EB$57:$IY$57)</f>
        <v>0</v>
      </c>
      <c r="YN279" s="56"/>
      <c r="YO279" s="242">
        <f t="shared" si="1962"/>
        <v>0</v>
      </c>
      <c r="YP279" s="242">
        <f t="shared" si="1963"/>
        <v>-218</v>
      </c>
      <c r="YQ279" s="56"/>
      <c r="YT279" s="55">
        <f t="shared" si="1964"/>
        <v>46260</v>
      </c>
      <c r="YU279" s="56"/>
      <c r="YV279" s="242">
        <f>SUMPRODUCT(PRODUCE!$B280:$DY280,PRODUCE!$EB$57:$IY$57)</f>
        <v>0</v>
      </c>
      <c r="YW279" s="56"/>
      <c r="YX279" s="242">
        <f t="shared" si="1965"/>
        <v>0</v>
      </c>
      <c r="YY279" s="242">
        <f t="shared" si="1966"/>
        <v>0</v>
      </c>
      <c r="YZ279" s="56"/>
      <c r="ZC279" s="55">
        <f t="shared" si="1967"/>
        <v>46260</v>
      </c>
      <c r="ZD279" s="56"/>
      <c r="ZE279" s="242">
        <f>SUMPRODUCT(PRODUCE!$B280:$DY280,PRODUCE!$EB$57:$IY$57)</f>
        <v>0</v>
      </c>
      <c r="ZF279" s="56"/>
      <c r="ZG279" s="242">
        <f t="shared" si="1968"/>
        <v>0</v>
      </c>
      <c r="ZH279" s="242">
        <f t="shared" si="1969"/>
        <v>0</v>
      </c>
      <c r="ZI279" s="56"/>
      <c r="ZL279" s="55">
        <f t="shared" si="1970"/>
        <v>46260</v>
      </c>
      <c r="ZM279" s="56"/>
      <c r="ZN279" s="242">
        <f>SUMPRODUCT(PRODUCE!$B280:$DY280,PRODUCE!$EB$57:$IY$57)</f>
        <v>0</v>
      </c>
      <c r="ZO279" s="56"/>
      <c r="ZP279" s="242">
        <f t="shared" si="1971"/>
        <v>0</v>
      </c>
      <c r="ZQ279" s="242">
        <f t="shared" si="1972"/>
        <v>0</v>
      </c>
      <c r="ZR279" s="56"/>
      <c r="ZU279" s="55">
        <f t="shared" si="1973"/>
        <v>46260</v>
      </c>
      <c r="ZV279" s="56"/>
      <c r="ZW279" s="242">
        <f>SUMPRODUCT(PRODUCE!$B280:$DY280,PRODUCE!$EB$57:$IY$57)</f>
        <v>0</v>
      </c>
      <c r="ZX279" s="56"/>
      <c r="ZY279" s="242">
        <f t="shared" si="1974"/>
        <v>0</v>
      </c>
      <c r="ZZ279" s="242">
        <f t="shared" si="1975"/>
        <v>0</v>
      </c>
      <c r="AAA279" s="56"/>
      <c r="AAD279" s="55">
        <f t="shared" si="1976"/>
        <v>46260</v>
      </c>
      <c r="AAE279" s="56"/>
      <c r="AAF279" s="242">
        <f>SUMPRODUCT(PRODUCE!$B280:$DY280,PRODUCE!$EB$57:$IY$57)</f>
        <v>0</v>
      </c>
      <c r="AAG279" s="56"/>
      <c r="AAH279" s="242">
        <f t="shared" si="1977"/>
        <v>0</v>
      </c>
      <c r="AAI279" s="242">
        <f t="shared" si="1978"/>
        <v>0</v>
      </c>
      <c r="AAJ279" s="56"/>
      <c r="AAM279" s="55">
        <f t="shared" si="1979"/>
        <v>46260</v>
      </c>
      <c r="AAN279" s="56"/>
      <c r="AAO279" s="242">
        <f>SUMPRODUCT(PRODUCE!$B280:$DY280,PRODUCE!$EB$57:$IY$57)</f>
        <v>0</v>
      </c>
      <c r="AAP279" s="56"/>
      <c r="AAQ279" s="242">
        <f t="shared" si="1980"/>
        <v>0</v>
      </c>
      <c r="AAR279" s="242">
        <f t="shared" si="1981"/>
        <v>0</v>
      </c>
      <c r="AAS279" s="56"/>
      <c r="AAV279" s="55">
        <f t="shared" si="1982"/>
        <v>46260</v>
      </c>
      <c r="AAW279" s="56"/>
      <c r="AAX279" s="242">
        <f>SUMPRODUCT(PRODUCE!$B280:$DY280,PRODUCE!$EB$57:$IY$57)</f>
        <v>0</v>
      </c>
      <c r="AAY279" s="56"/>
      <c r="AAZ279" s="242">
        <f t="shared" si="1983"/>
        <v>0</v>
      </c>
      <c r="ABA279" s="242">
        <f t="shared" si="1984"/>
        <v>0</v>
      </c>
      <c r="ABB279" s="56"/>
      <c r="ABE279" s="55">
        <f t="shared" si="1985"/>
        <v>46260</v>
      </c>
      <c r="ABF279" s="56"/>
      <c r="ABG279" s="242">
        <f>SUMPRODUCT(PRODUCE!$B280:$DY280,PRODUCE!$EB$57:$IY$57)</f>
        <v>0</v>
      </c>
      <c r="ABH279" s="56"/>
      <c r="ABI279" s="242">
        <f t="shared" si="1986"/>
        <v>0</v>
      </c>
      <c r="ABJ279" s="242">
        <f t="shared" si="1987"/>
        <v>0</v>
      </c>
      <c r="ABK279" s="56"/>
    </row>
    <row r="280" spans="1:739" s="54" customFormat="1" ht="15" customHeight="1" outlineLevel="1">
      <c r="B280" s="478"/>
      <c r="C280" s="55">
        <v>46261</v>
      </c>
      <c r="D280" s="56"/>
      <c r="E280" s="57">
        <f>SUMPRODUCT(PRODUCE!$B281:$DY281,PRODUCE!$EB$7:$IY$7)</f>
        <v>0</v>
      </c>
      <c r="F280" s="56"/>
      <c r="G280" s="57">
        <f t="shared" si="1743"/>
        <v>0</v>
      </c>
      <c r="H280" s="57">
        <f t="shared" si="1744"/>
        <v>236936.6</v>
      </c>
      <c r="I280" s="289"/>
      <c r="L280" s="55">
        <f t="shared" si="1745"/>
        <v>46261</v>
      </c>
      <c r="M280" s="56"/>
      <c r="N280" s="59">
        <f>SUMPRODUCT(PRODUCE!$B281:$DY281,PRODUCE!$EB$8:$IY$8)</f>
        <v>0</v>
      </c>
      <c r="O280" s="56"/>
      <c r="P280" s="59">
        <f t="shared" si="1746"/>
        <v>0</v>
      </c>
      <c r="Q280" s="59">
        <f t="shared" si="1747"/>
        <v>53017.600000000071</v>
      </c>
      <c r="R280" s="56"/>
      <c r="U280" s="55">
        <f t="shared" si="1748"/>
        <v>46261</v>
      </c>
      <c r="V280" s="56"/>
      <c r="W280" s="60">
        <f>SUMPRODUCT(PRODUCE!$B281:$DY281,PRODUCE!$EB$9:$IY$9)</f>
        <v>0</v>
      </c>
      <c r="X280" s="56"/>
      <c r="Y280" s="60">
        <f t="shared" si="1749"/>
        <v>0</v>
      </c>
      <c r="Z280" s="60">
        <f t="shared" si="1750"/>
        <v>42674.199999999968</v>
      </c>
      <c r="AA280" s="56"/>
      <c r="AD280" s="55">
        <f t="shared" si="1751"/>
        <v>46261</v>
      </c>
      <c r="AE280" s="56"/>
      <c r="AF280" s="61">
        <f>SUMPRODUCT(PRODUCE!$B281:$DY281,PRODUCE!$EB$10:$IY$10)</f>
        <v>0</v>
      </c>
      <c r="AG280" s="56"/>
      <c r="AH280" s="61">
        <f t="shared" si="1752"/>
        <v>0</v>
      </c>
      <c r="AI280" s="61">
        <f t="shared" si="1753"/>
        <v>4522.2000000000189</v>
      </c>
      <c r="AJ280" s="56"/>
      <c r="AM280" s="55">
        <f t="shared" si="1754"/>
        <v>46261</v>
      </c>
      <c r="AN280" s="422"/>
      <c r="AO280" s="444">
        <f>SUMPRODUCT(PRODUCE!$B281:$DY281,PRODUCE!$EB$11:$IY$11)</f>
        <v>0</v>
      </c>
      <c r="AP280" s="422"/>
      <c r="AQ280" s="444">
        <f t="shared" si="1755"/>
        <v>0</v>
      </c>
      <c r="AR280" s="444">
        <f t="shared" si="1756"/>
        <v>0</v>
      </c>
      <c r="AS280" s="56"/>
      <c r="AV280" s="55">
        <f t="shared" si="1757"/>
        <v>46261</v>
      </c>
      <c r="AW280" s="56"/>
      <c r="AX280" s="62">
        <f>SUMPRODUCT(PRODUCE!$B281:$DY281,PRODUCE!$EB$12:$IY$12)</f>
        <v>0</v>
      </c>
      <c r="AY280" s="56"/>
      <c r="AZ280" s="62">
        <f t="shared" si="1758"/>
        <v>0</v>
      </c>
      <c r="BA280" s="62">
        <f t="shared" si="1759"/>
        <v>124.99999999999523</v>
      </c>
      <c r="BB280" s="56"/>
      <c r="BE280" s="55">
        <f t="shared" si="1760"/>
        <v>46261</v>
      </c>
      <c r="BF280" s="56"/>
      <c r="BG280" s="63">
        <f>SUMPRODUCT(PRODUCE!$B281:$DY281,PRODUCE!$EB$13:$IY$13)</f>
        <v>0</v>
      </c>
      <c r="BH280" s="56"/>
      <c r="BI280" s="63">
        <f t="shared" si="1761"/>
        <v>0</v>
      </c>
      <c r="BJ280" s="63">
        <f t="shared" si="1762"/>
        <v>26151.899999999998</v>
      </c>
      <c r="BK280" s="56"/>
      <c r="BN280" s="55">
        <f t="shared" si="1763"/>
        <v>46261</v>
      </c>
      <c r="BO280" s="56"/>
      <c r="BP280" s="64">
        <f>SUMPRODUCT(PRODUCE!$B281:$DY281,PRODUCE!$EB$14:$IY$14)</f>
        <v>0</v>
      </c>
      <c r="BQ280" s="56"/>
      <c r="BR280" s="64">
        <f t="shared" si="1764"/>
        <v>0</v>
      </c>
      <c r="BS280" s="64">
        <f t="shared" si="1765"/>
        <v>0</v>
      </c>
      <c r="BT280" s="56"/>
      <c r="BW280" s="55">
        <f t="shared" si="1766"/>
        <v>46261</v>
      </c>
      <c r="BX280" s="56"/>
      <c r="BY280" s="65">
        <f>SUMPRODUCT(PRODUCE!$B281:$DY281,PRODUCE!$EB$15:$IY$15)</f>
        <v>0</v>
      </c>
      <c r="BZ280" s="56"/>
      <c r="CA280" s="65">
        <f t="shared" si="1767"/>
        <v>0</v>
      </c>
      <c r="CB280" s="65">
        <f t="shared" si="1768"/>
        <v>2097.3399999999992</v>
      </c>
      <c r="CC280" s="56"/>
      <c r="CF280" s="55">
        <f t="shared" si="1769"/>
        <v>46261</v>
      </c>
      <c r="CG280" s="56"/>
      <c r="CH280" s="66">
        <f>SUMPRODUCT(PRODUCE!$B281:$DY281,PRODUCE!$EB$16:$IY$16)</f>
        <v>0</v>
      </c>
      <c r="CI280" s="56"/>
      <c r="CJ280" s="66">
        <f t="shared" si="1770"/>
        <v>0</v>
      </c>
      <c r="CK280" s="66">
        <f t="shared" si="1771"/>
        <v>-10277.079999999998</v>
      </c>
      <c r="CL280" s="56"/>
      <c r="CO280" s="55">
        <f t="shared" si="1772"/>
        <v>46261</v>
      </c>
      <c r="CP280" s="422"/>
      <c r="CQ280" s="470">
        <f>SUMPRODUCT(PRODUCE!$B281:$DY281,PRODUCE!$EB$17:$IY$17)</f>
        <v>0</v>
      </c>
      <c r="CR280" s="422"/>
      <c r="CS280" s="470">
        <f t="shared" si="1773"/>
        <v>0</v>
      </c>
      <c r="CT280" s="470">
        <f t="shared" si="1774"/>
        <v>0</v>
      </c>
      <c r="CU280" s="56"/>
      <c r="CX280" s="55">
        <f t="shared" si="1775"/>
        <v>46261</v>
      </c>
      <c r="CY280" s="56"/>
      <c r="CZ280" s="133">
        <f>SUMPRODUCT(PRODUCE!$B281:$DY281,PRODUCE!$EB$18:$IY$18)</f>
        <v>0</v>
      </c>
      <c r="DA280" s="56"/>
      <c r="DB280" s="133">
        <f t="shared" si="1776"/>
        <v>0</v>
      </c>
      <c r="DC280" s="133">
        <f t="shared" si="1777"/>
        <v>27438.200000000012</v>
      </c>
      <c r="DD280" s="56"/>
      <c r="DG280" s="55">
        <f t="shared" si="1778"/>
        <v>46261</v>
      </c>
      <c r="DH280" s="56"/>
      <c r="DI280" s="147">
        <f>SUMPRODUCT(PRODUCE!$B281:$DY281,PRODUCE!$EB$19:$IY$19)</f>
        <v>0</v>
      </c>
      <c r="DJ280" s="56"/>
      <c r="DK280" s="147">
        <f t="shared" si="1779"/>
        <v>0</v>
      </c>
      <c r="DL280" s="147">
        <f t="shared" si="1780"/>
        <v>18782.299999999981</v>
      </c>
      <c r="DM280" s="56"/>
      <c r="DP280" s="55">
        <f t="shared" si="1781"/>
        <v>46261</v>
      </c>
      <c r="DQ280" s="56"/>
      <c r="DR280" s="57">
        <f>SUMPRODUCT(PRODUCE!$B281:$DY281,PRODUCE!$EB$20:$IY$20)</f>
        <v>0</v>
      </c>
      <c r="DS280" s="56"/>
      <c r="DT280" s="57">
        <f t="shared" si="1782"/>
        <v>0</v>
      </c>
      <c r="DU280" s="57">
        <f t="shared" si="1783"/>
        <v>5800</v>
      </c>
      <c r="DV280" s="56"/>
      <c r="DY280" s="55">
        <f t="shared" si="1784"/>
        <v>46261</v>
      </c>
      <c r="DZ280" s="56"/>
      <c r="EA280" s="157">
        <f>SUMPRODUCT(PRODUCE!$B281:$DY281,PRODUCE!$EB$21:$IY$21)</f>
        <v>0</v>
      </c>
      <c r="EB280" s="56"/>
      <c r="EC280" s="157">
        <f t="shared" si="1785"/>
        <v>0</v>
      </c>
      <c r="ED280" s="157">
        <f t="shared" si="1786"/>
        <v>0</v>
      </c>
      <c r="EE280" s="56"/>
      <c r="EH280" s="55">
        <f t="shared" si="1787"/>
        <v>46261</v>
      </c>
      <c r="EI280" s="56"/>
      <c r="EJ280" s="162">
        <f>SUMPRODUCT(PRODUCE!$B281:$DY281,PRODUCE!$EB$22:$IY$22)</f>
        <v>0</v>
      </c>
      <c r="EK280" s="56"/>
      <c r="EL280" s="162">
        <f t="shared" si="1788"/>
        <v>0</v>
      </c>
      <c r="EM280" s="162">
        <f t="shared" si="1789"/>
        <v>0</v>
      </c>
      <c r="EN280" s="56"/>
      <c r="EQ280" s="55">
        <f t="shared" si="1790"/>
        <v>46261</v>
      </c>
      <c r="ER280" s="56"/>
      <c r="ES280" s="135">
        <f>SUMPRODUCT(PRODUCE!$B281:$DY281,PRODUCE!$EB$23:$IY$23)</f>
        <v>0</v>
      </c>
      <c r="ET280" s="56"/>
      <c r="EU280" s="135">
        <f t="shared" si="1791"/>
        <v>0</v>
      </c>
      <c r="EV280" s="135">
        <f t="shared" si="1792"/>
        <v>0</v>
      </c>
      <c r="EW280" s="56"/>
      <c r="EZ280" s="55">
        <f t="shared" si="1793"/>
        <v>46261</v>
      </c>
      <c r="FA280" s="56"/>
      <c r="FB280" s="175">
        <f>SUMPRODUCT(PRODUCE!$B281:$DY281,PRODUCE!$EB$24:$IY$24)</f>
        <v>0</v>
      </c>
      <c r="FC280" s="56"/>
      <c r="FD280" s="175">
        <f t="shared" si="1794"/>
        <v>0</v>
      </c>
      <c r="FE280" s="175">
        <f t="shared" si="1795"/>
        <v>0</v>
      </c>
      <c r="FF280" s="56"/>
      <c r="FI280" s="55">
        <f t="shared" si="1796"/>
        <v>46261</v>
      </c>
      <c r="FJ280" s="56"/>
      <c r="FK280" s="183">
        <f>SUMPRODUCT(PRODUCE!$B281:$DY281,PRODUCE!$EB$25:$IY$25)</f>
        <v>0</v>
      </c>
      <c r="FL280" s="56"/>
      <c r="FM280" s="183">
        <f t="shared" si="1797"/>
        <v>0</v>
      </c>
      <c r="FN280" s="183">
        <f t="shared" si="1798"/>
        <v>0</v>
      </c>
      <c r="FO280" s="56"/>
      <c r="FR280" s="55">
        <f t="shared" si="1799"/>
        <v>46261</v>
      </c>
      <c r="FS280" s="56"/>
      <c r="FT280" s="186">
        <f>SUMPRODUCT(PRODUCE!$B281:$DY281,PRODUCE!$EB$26:$IY$26)</f>
        <v>0</v>
      </c>
      <c r="FU280" s="56"/>
      <c r="FV280" s="186">
        <f t="shared" si="1800"/>
        <v>0</v>
      </c>
      <c r="FW280" s="186">
        <f t="shared" si="1801"/>
        <v>2020</v>
      </c>
      <c r="FX280" s="56"/>
      <c r="GA280" s="55">
        <f t="shared" si="1802"/>
        <v>46261</v>
      </c>
      <c r="GB280" s="56"/>
      <c r="GC280" s="137">
        <f>SUMPRODUCT(PRODUCE!$B281:$DY281,PRODUCE!$EB$27:$IY$27)</f>
        <v>0</v>
      </c>
      <c r="GD280" s="56"/>
      <c r="GE280" s="137">
        <f t="shared" si="1803"/>
        <v>0</v>
      </c>
      <c r="GF280" s="137">
        <f t="shared" si="1804"/>
        <v>960</v>
      </c>
      <c r="GG280" s="56"/>
      <c r="GI280" s="23"/>
      <c r="GJ280" s="55">
        <f t="shared" si="1805"/>
        <v>46261</v>
      </c>
      <c r="GK280" s="56"/>
      <c r="GL280" s="199">
        <f>SUMPRODUCT(PRODUCE!$B281:$DY281,PRODUCE!$EB$28:$IY$28)</f>
        <v>0</v>
      </c>
      <c r="GM280" s="56"/>
      <c r="GN280" s="199">
        <f t="shared" si="1806"/>
        <v>0</v>
      </c>
      <c r="GO280" s="199">
        <f t="shared" si="1807"/>
        <v>1760</v>
      </c>
      <c r="GP280" s="56"/>
      <c r="GS280" s="55">
        <f t="shared" si="1808"/>
        <v>46261</v>
      </c>
      <c r="GT280" s="56"/>
      <c r="GU280" s="195">
        <f>SUMPRODUCT(PRODUCE!$B281:$DY281,PRODUCE!$EB$29:$IY$29)</f>
        <v>0</v>
      </c>
      <c r="GV280" s="56"/>
      <c r="GW280" s="195">
        <f t="shared" si="1809"/>
        <v>0</v>
      </c>
      <c r="GX280" s="195">
        <f t="shared" si="1810"/>
        <v>400</v>
      </c>
      <c r="GY280" s="56"/>
      <c r="HB280" s="55">
        <f t="shared" si="1811"/>
        <v>46261</v>
      </c>
      <c r="HC280" s="56"/>
      <c r="HD280" s="191">
        <f>SUMPRODUCT(PRODUCE!$B281:$DY281,PRODUCE!$EB$30:$IY$30)</f>
        <v>0</v>
      </c>
      <c r="HE280" s="56"/>
      <c r="HF280" s="191">
        <f t="shared" si="1812"/>
        <v>0</v>
      </c>
      <c r="HG280" s="191">
        <f t="shared" si="1813"/>
        <v>3600</v>
      </c>
      <c r="HH280" s="56"/>
      <c r="HK280" s="55">
        <f t="shared" si="1814"/>
        <v>46261</v>
      </c>
      <c r="HL280" s="56"/>
      <c r="HM280" s="63">
        <f>SUMPRODUCT(PRODUCE!$B281:$DY281,PRODUCE!$EB$31:$IY$31)</f>
        <v>0</v>
      </c>
      <c r="HN280" s="56"/>
      <c r="HO280" s="63">
        <f t="shared" si="1815"/>
        <v>0</v>
      </c>
      <c r="HP280" s="63">
        <f t="shared" si="1816"/>
        <v>0</v>
      </c>
      <c r="HQ280" s="56"/>
      <c r="HU280" s="55">
        <f t="shared" si="1817"/>
        <v>46261</v>
      </c>
      <c r="HV280" s="56"/>
      <c r="HW280" s="242">
        <f>SUMPRODUCT(PRODUCE!$B281:$DY281,PRODUCE!$EB$32:$IY$32)</f>
        <v>0</v>
      </c>
      <c r="HX280" s="56"/>
      <c r="HY280" s="242">
        <f t="shared" si="1818"/>
        <v>0</v>
      </c>
      <c r="HZ280" s="242">
        <f t="shared" si="1819"/>
        <v>6120</v>
      </c>
      <c r="IA280" s="56"/>
      <c r="ID280" s="55">
        <f t="shared" si="1820"/>
        <v>46261</v>
      </c>
      <c r="IE280" s="56"/>
      <c r="IF280" s="242">
        <f>SUMPRODUCT(PRODUCE!$B281:$DY281,PRODUCE!$EB$33:$IY$33)</f>
        <v>0</v>
      </c>
      <c r="IG280" s="56"/>
      <c r="IH280" s="242">
        <f t="shared" si="1821"/>
        <v>0</v>
      </c>
      <c r="II280" s="242">
        <f t="shared" si="1822"/>
        <v>0</v>
      </c>
      <c r="IJ280" s="56"/>
      <c r="IM280" s="55">
        <f t="shared" si="1823"/>
        <v>46261</v>
      </c>
      <c r="IN280" s="56"/>
      <c r="IO280" s="242">
        <f>SUMPRODUCT(PRODUCE!$B281:$DY281,PRODUCE!$EB$34:$IY$34)</f>
        <v>0</v>
      </c>
      <c r="IP280" s="56"/>
      <c r="IQ280" s="242">
        <f t="shared" si="1824"/>
        <v>0</v>
      </c>
      <c r="IR280" s="242">
        <f t="shared" si="1825"/>
        <v>0</v>
      </c>
      <c r="IS280" s="56"/>
      <c r="IV280" s="55">
        <f t="shared" si="1826"/>
        <v>46261</v>
      </c>
      <c r="IW280" s="56"/>
      <c r="IX280" s="242">
        <f>SUMPRODUCT(PRODUCE!$B281:$DY281,PRODUCE!$EB$35:$IY$35)</f>
        <v>0</v>
      </c>
      <c r="IY280" s="56"/>
      <c r="IZ280" s="242">
        <f t="shared" si="1827"/>
        <v>0</v>
      </c>
      <c r="JA280" s="242">
        <f t="shared" si="1828"/>
        <v>2820</v>
      </c>
      <c r="JB280" s="56"/>
      <c r="JE280" s="55">
        <f t="shared" si="1829"/>
        <v>46261</v>
      </c>
      <c r="JF280" s="56"/>
      <c r="JG280" s="242">
        <f>SUMPRODUCT(PRODUCE!$B281:$DY281,PRODUCE!$EB$36:$IY$36)</f>
        <v>0</v>
      </c>
      <c r="JH280" s="56"/>
      <c r="JI280" s="242">
        <f t="shared" si="1830"/>
        <v>0</v>
      </c>
      <c r="JJ280" s="242">
        <f t="shared" si="1831"/>
        <v>0</v>
      </c>
      <c r="JK280" s="56"/>
      <c r="JN280" s="55">
        <f t="shared" si="1832"/>
        <v>46261</v>
      </c>
      <c r="JO280" s="56"/>
      <c r="JP280" s="242">
        <f>SUMPRODUCT(PRODUCE!$B281:$DY281,PRODUCE!$EB$37:$IY$37)</f>
        <v>0</v>
      </c>
      <c r="JQ280" s="56"/>
      <c r="JR280" s="242">
        <f t="shared" si="1833"/>
        <v>0</v>
      </c>
      <c r="JS280" s="242">
        <f t="shared" si="1834"/>
        <v>0</v>
      </c>
      <c r="JT280" s="56"/>
      <c r="JW280" s="55">
        <f t="shared" si="1835"/>
        <v>46261</v>
      </c>
      <c r="JX280" s="56"/>
      <c r="JY280" s="242">
        <f>SUMPRODUCT(PRODUCE!$B281:$DY281,PRODUCE!$EB$38:$IY$38)</f>
        <v>0</v>
      </c>
      <c r="JZ280" s="56"/>
      <c r="KA280" s="242">
        <f t="shared" si="1836"/>
        <v>0</v>
      </c>
      <c r="KB280" s="242">
        <f t="shared" si="1837"/>
        <v>2540</v>
      </c>
      <c r="KC280" s="56"/>
      <c r="KF280" s="55">
        <f t="shared" si="1838"/>
        <v>46261</v>
      </c>
      <c r="KG280" s="56"/>
      <c r="KH280" s="242">
        <f>SUMPRODUCT(PRODUCE!$B281:$DY281,PRODUCE!$EB$39:$IY$39)</f>
        <v>0</v>
      </c>
      <c r="KI280" s="56"/>
      <c r="KJ280" s="242">
        <f t="shared" si="1839"/>
        <v>0</v>
      </c>
      <c r="KK280" s="242">
        <f t="shared" si="1840"/>
        <v>2359.5</v>
      </c>
      <c r="KL280" s="56"/>
      <c r="KO280" s="55">
        <f t="shared" si="1841"/>
        <v>46261</v>
      </c>
      <c r="KP280" s="56"/>
      <c r="KQ280" s="242">
        <f>SUMPRODUCT(PRODUCE!$B281:$DY281,PRODUCE!$EB$40:$IY$40)</f>
        <v>0</v>
      </c>
      <c r="KR280" s="56"/>
      <c r="KS280" s="242">
        <f t="shared" si="1842"/>
        <v>0</v>
      </c>
      <c r="KT280" s="242">
        <f t="shared" si="1843"/>
        <v>1890</v>
      </c>
      <c r="KU280" s="56"/>
      <c r="KW280" s="23"/>
      <c r="KX280" s="55">
        <f t="shared" si="1844"/>
        <v>46261</v>
      </c>
      <c r="KY280" s="56"/>
      <c r="KZ280" s="242">
        <f>SUMPRODUCT(PRODUCE!$B281:$DY281,PRODUCE!$EB$41:$IY$41)</f>
        <v>0</v>
      </c>
      <c r="LA280" s="56"/>
      <c r="LB280" s="242">
        <f t="shared" si="1845"/>
        <v>0</v>
      </c>
      <c r="LC280" s="242">
        <f t="shared" si="1846"/>
        <v>3690</v>
      </c>
      <c r="LD280" s="56"/>
      <c r="LG280" s="55">
        <f t="shared" si="1847"/>
        <v>46261</v>
      </c>
      <c r="LH280" s="56"/>
      <c r="LI280" s="242">
        <f>SUMPRODUCT(PRODUCE!$B281:$DY281,PRODUCE!$EB$42:$IY$42)</f>
        <v>0</v>
      </c>
      <c r="LJ280" s="56"/>
      <c r="LK280" s="242">
        <f t="shared" si="1848"/>
        <v>0</v>
      </c>
      <c r="LL280" s="242">
        <f t="shared" si="1849"/>
        <v>4000</v>
      </c>
      <c r="LM280" s="56"/>
      <c r="LP280" s="55">
        <f t="shared" si="1850"/>
        <v>46261</v>
      </c>
      <c r="LQ280" s="56"/>
      <c r="LR280" s="242">
        <f>SUMPRODUCT(PRODUCE!$B295:$DY295,PRODUCE!$EB$43:$IY$43)</f>
        <v>0</v>
      </c>
      <c r="LS280" s="56"/>
      <c r="LT280" s="242">
        <f t="shared" si="1851"/>
        <v>0</v>
      </c>
      <c r="LU280" s="242">
        <f t="shared" si="1852"/>
        <v>0</v>
      </c>
      <c r="LV280" s="56"/>
      <c r="LY280" s="55">
        <f t="shared" si="1853"/>
        <v>46261</v>
      </c>
      <c r="LZ280" s="56"/>
      <c r="MA280" s="242">
        <f>SUMPRODUCT(PRODUCE!$B281:$DY281,PRODUCE!$EB$44:$IY$44)</f>
        <v>0</v>
      </c>
      <c r="MB280" s="56"/>
      <c r="MC280" s="242">
        <f t="shared" si="1854"/>
        <v>0</v>
      </c>
      <c r="MD280" s="242">
        <f t="shared" si="1855"/>
        <v>0</v>
      </c>
      <c r="ME280" s="56"/>
      <c r="MH280" s="55">
        <f t="shared" si="1856"/>
        <v>46261</v>
      </c>
      <c r="MI280" s="56"/>
      <c r="MJ280" s="242">
        <f>SUMPRODUCT(PRODUCE!$B281:$DY281,PRODUCE!$EB$45:$IY$45)</f>
        <v>0</v>
      </c>
      <c r="MK280" s="56"/>
      <c r="ML280" s="242">
        <f t="shared" si="1857"/>
        <v>0</v>
      </c>
      <c r="MM280" s="242">
        <f t="shared" si="1858"/>
        <v>0</v>
      </c>
      <c r="MN280" s="56"/>
      <c r="MQ280" s="55">
        <f t="shared" si="1859"/>
        <v>46261</v>
      </c>
      <c r="MR280" s="56"/>
      <c r="MS280" s="242">
        <f>SUMPRODUCT(PRODUCE!$B281:$DY281,PRODUCE!$EB$46:$IY$46)</f>
        <v>0</v>
      </c>
      <c r="MT280" s="56"/>
      <c r="MU280" s="242">
        <f t="shared" si="1860"/>
        <v>0</v>
      </c>
      <c r="MV280" s="242">
        <f t="shared" si="1861"/>
        <v>1625</v>
      </c>
      <c r="MW280" s="56"/>
      <c r="MZ280" s="55">
        <f t="shared" si="1862"/>
        <v>46261</v>
      </c>
      <c r="NA280" s="56"/>
      <c r="NB280" s="242">
        <f>SUMPRODUCT(PRODUCE!$B281:$DY281,PRODUCE!$EB$47:$IY$47)</f>
        <v>0</v>
      </c>
      <c r="NC280" s="56"/>
      <c r="ND280" s="242">
        <f t="shared" si="1863"/>
        <v>0</v>
      </c>
      <c r="NE280" s="242">
        <f t="shared" si="1864"/>
        <v>0</v>
      </c>
      <c r="NF280" s="56"/>
      <c r="NI280" s="55">
        <f t="shared" si="1865"/>
        <v>46261</v>
      </c>
      <c r="NJ280" s="56"/>
      <c r="NK280" s="242">
        <f>SUMPRODUCT(PRODUCE!$B281:$DY281,PRODUCE!$EB$48:$IY$48)</f>
        <v>0</v>
      </c>
      <c r="NL280" s="56"/>
      <c r="NM280" s="242">
        <f t="shared" si="1866"/>
        <v>0</v>
      </c>
      <c r="NN280" s="242">
        <f t="shared" si="1867"/>
        <v>1127</v>
      </c>
      <c r="NO280" s="56"/>
      <c r="NR280" s="55">
        <f t="shared" si="1868"/>
        <v>46261</v>
      </c>
      <c r="NS280" s="56"/>
      <c r="NT280" s="242">
        <f>SUMPRODUCT(PRODUCE!$B281:$DY281,PRODUCE!$EB$49:$IY$49)</f>
        <v>0</v>
      </c>
      <c r="NU280" s="56"/>
      <c r="NV280" s="242">
        <f t="shared" si="1869"/>
        <v>0</v>
      </c>
      <c r="NW280" s="242">
        <f t="shared" si="1870"/>
        <v>3111.9999999999995</v>
      </c>
      <c r="NX280" s="56"/>
      <c r="OA280" s="55">
        <f t="shared" si="1871"/>
        <v>46261</v>
      </c>
      <c r="OB280" s="56"/>
      <c r="OC280" s="242">
        <f>SUMPRODUCT(PRODUCE!$B281:$DY281,PRODUCE!$EB$50:$IY$50)</f>
        <v>0</v>
      </c>
      <c r="OD280" s="56"/>
      <c r="OE280" s="242">
        <f t="shared" si="1872"/>
        <v>0</v>
      </c>
      <c r="OF280" s="242">
        <f t="shared" si="1873"/>
        <v>1680.5</v>
      </c>
      <c r="OG280" s="56"/>
      <c r="OJ280" s="55">
        <f t="shared" si="1874"/>
        <v>46261</v>
      </c>
      <c r="OK280" s="56"/>
      <c r="OL280" s="242">
        <f>SUMPRODUCT(PRODUCE!$B281:$DY281,PRODUCE!$EB$51:$IY$51)</f>
        <v>0</v>
      </c>
      <c r="OM280" s="56"/>
      <c r="ON280" s="242">
        <f t="shared" si="1875"/>
        <v>0</v>
      </c>
      <c r="OO280" s="242">
        <f t="shared" si="1876"/>
        <v>0</v>
      </c>
      <c r="OP280" s="56"/>
      <c r="OS280" s="55">
        <f t="shared" si="1877"/>
        <v>46261</v>
      </c>
      <c r="OT280" s="56"/>
      <c r="OU280" s="242">
        <f>SUMPRODUCT(PRODUCE!$B281:$DY281,PRODUCE!$EB$52:$IY$52)</f>
        <v>0</v>
      </c>
      <c r="OV280" s="56"/>
      <c r="OW280" s="242">
        <f t="shared" si="1878"/>
        <v>0</v>
      </c>
      <c r="OX280" s="242">
        <f t="shared" si="1879"/>
        <v>1482</v>
      </c>
      <c r="OY280" s="56"/>
      <c r="PB280" s="55">
        <f t="shared" si="1880"/>
        <v>46261</v>
      </c>
      <c r="PC280" s="56"/>
      <c r="PD280" s="242">
        <f>SUMPRODUCT(PRODUCE!$B281:$DY281,PRODUCE!$EB$53:$IY$53)</f>
        <v>0</v>
      </c>
      <c r="PE280" s="56"/>
      <c r="PF280" s="242">
        <f t="shared" si="1881"/>
        <v>0</v>
      </c>
      <c r="PG280" s="242">
        <f t="shared" si="1882"/>
        <v>0</v>
      </c>
      <c r="PH280" s="56"/>
      <c r="PK280" s="55">
        <f t="shared" si="1883"/>
        <v>46261</v>
      </c>
      <c r="PL280" s="56"/>
      <c r="PM280" s="242">
        <f>SUMPRODUCT(PRODUCE!$B281:$DY281,PRODUCE!$EB$54:$IY$54)</f>
        <v>0</v>
      </c>
      <c r="PN280" s="56"/>
      <c r="PO280" s="242">
        <f t="shared" si="1884"/>
        <v>0</v>
      </c>
      <c r="PP280" s="242">
        <f t="shared" si="1885"/>
        <v>100</v>
      </c>
      <c r="PQ280" s="56"/>
      <c r="PT280" s="55">
        <f t="shared" si="1886"/>
        <v>46261</v>
      </c>
      <c r="PU280" s="56"/>
      <c r="PV280" s="242">
        <f>SUMPRODUCT(PRODUCE!$B281:$DY281,PRODUCE!$EB$55:$IY$55)</f>
        <v>0</v>
      </c>
      <c r="PW280" s="56"/>
      <c r="PX280" s="242">
        <f t="shared" si="1887"/>
        <v>0</v>
      </c>
      <c r="PY280" s="242">
        <f t="shared" si="1888"/>
        <v>13.960000000000036</v>
      </c>
      <c r="PZ280" s="56"/>
      <c r="QC280" s="55">
        <f t="shared" si="1889"/>
        <v>46261</v>
      </c>
      <c r="QD280" s="56"/>
      <c r="QE280" s="242">
        <f>SUMPRODUCT(PRODUCE!$B281:$DY281,PRODUCE!$EB$56:$IY$56)</f>
        <v>0</v>
      </c>
      <c r="QF280" s="56"/>
      <c r="QG280" s="242">
        <f t="shared" si="1890"/>
        <v>0</v>
      </c>
      <c r="QH280" s="242">
        <f t="shared" si="1891"/>
        <v>548</v>
      </c>
      <c r="QI280" s="56"/>
      <c r="QL280" s="55">
        <f t="shared" si="1892"/>
        <v>46261</v>
      </c>
      <c r="QM280" s="56"/>
      <c r="QN280" s="242">
        <f>SUMPRODUCT(PRODUCE!$B281:$DY281,PRODUCE!$EB$57:$IY$57)</f>
        <v>0</v>
      </c>
      <c r="QO280" s="56"/>
      <c r="QP280" s="242">
        <f t="shared" si="1893"/>
        <v>0</v>
      </c>
      <c r="QQ280" s="242">
        <f t="shared" si="1894"/>
        <v>0</v>
      </c>
      <c r="QR280" s="56"/>
      <c r="QU280" s="55">
        <f t="shared" si="1895"/>
        <v>46261</v>
      </c>
      <c r="QV280" s="56"/>
      <c r="QW280" s="242">
        <f>SUMPRODUCT(PRODUCE!$B281:$DY281,PRODUCE!$EB$57:$IY$57)</f>
        <v>0</v>
      </c>
      <c r="QX280" s="56"/>
      <c r="QY280" s="242">
        <f t="shared" si="1896"/>
        <v>0</v>
      </c>
      <c r="QZ280" s="242">
        <f t="shared" si="1897"/>
        <v>0</v>
      </c>
      <c r="RA280" s="56"/>
      <c r="RD280" s="55">
        <f t="shared" si="1898"/>
        <v>46261</v>
      </c>
      <c r="RE280" s="56"/>
      <c r="RF280" s="242">
        <f>SUMPRODUCT(PRODUCE!$B281:$DY281,PRODUCE!$EB$58:$IY$58)</f>
        <v>0</v>
      </c>
      <c r="RG280" s="56"/>
      <c r="RH280" s="242">
        <f t="shared" si="1899"/>
        <v>0</v>
      </c>
      <c r="RI280" s="242">
        <f t="shared" si="1900"/>
        <v>147.04000000000002</v>
      </c>
      <c r="RJ280" s="56"/>
      <c r="RM280" s="55">
        <f t="shared" si="1901"/>
        <v>46261</v>
      </c>
      <c r="RN280" s="56"/>
      <c r="RO280" s="242">
        <f>SUMPRODUCT(PRODUCE!$B281:$DY281,PRODUCE!$EB$59:$IY$59)</f>
        <v>0</v>
      </c>
      <c r="RP280" s="56"/>
      <c r="RQ280" s="242">
        <f t="shared" si="1902"/>
        <v>0</v>
      </c>
      <c r="RR280" s="242">
        <f t="shared" si="1903"/>
        <v>46.8</v>
      </c>
      <c r="RS280" s="56"/>
      <c r="RV280" s="55">
        <f t="shared" si="1904"/>
        <v>46261</v>
      </c>
      <c r="RW280" s="56"/>
      <c r="RX280" s="242">
        <f>SUMPRODUCT(PRODUCE!$B281:$DY281,PRODUCE!$EB$57:$IY$57)</f>
        <v>0</v>
      </c>
      <c r="RY280" s="56"/>
      <c r="RZ280" s="242">
        <f t="shared" si="1905"/>
        <v>0</v>
      </c>
      <c r="SA280" s="242">
        <f t="shared" si="1906"/>
        <v>0</v>
      </c>
      <c r="SB280" s="56"/>
      <c r="SE280" s="55">
        <f t="shared" si="1907"/>
        <v>46261</v>
      </c>
      <c r="SF280" s="56"/>
      <c r="SG280" s="242">
        <f>SUMPRODUCT(PRODUCE!$B281:$DY281,PRODUCE!$EB$61:$IY$61)</f>
        <v>0</v>
      </c>
      <c r="SH280" s="56"/>
      <c r="SI280" s="242">
        <f t="shared" si="1908"/>
        <v>0</v>
      </c>
      <c r="SJ280" s="242">
        <f t="shared" si="1909"/>
        <v>24.200000000000003</v>
      </c>
      <c r="SK280" s="56"/>
      <c r="SN280" s="55">
        <f t="shared" si="1910"/>
        <v>46261</v>
      </c>
      <c r="SO280" s="56"/>
      <c r="SP280" s="242">
        <f>SUMPRODUCT(PRODUCE!$B281:$DY281,PRODUCE!$EB$62:$IY$62)</f>
        <v>0</v>
      </c>
      <c r="SQ280" s="56"/>
      <c r="SR280" s="242">
        <f t="shared" si="1911"/>
        <v>0</v>
      </c>
      <c r="SS280" s="242">
        <f t="shared" si="1912"/>
        <v>32</v>
      </c>
      <c r="ST280" s="56"/>
      <c r="SW280" s="55">
        <f t="shared" si="1913"/>
        <v>46261</v>
      </c>
      <c r="SX280" s="56"/>
      <c r="SY280" s="242">
        <f>SUMPRODUCT(PRODUCE!$B281:$DY281,PRODUCE!$EB$57:$IY$57)</f>
        <v>0</v>
      </c>
      <c r="SZ280" s="56"/>
      <c r="TA280" s="242">
        <f t="shared" si="1914"/>
        <v>0</v>
      </c>
      <c r="TB280" s="242">
        <f t="shared" si="1915"/>
        <v>0</v>
      </c>
      <c r="TC280" s="56"/>
      <c r="TF280" s="55">
        <f t="shared" si="1916"/>
        <v>46261</v>
      </c>
      <c r="TG280" s="56"/>
      <c r="TH280" s="242">
        <f>SUMPRODUCT(PRODUCE!$B281:$DY281,PRODUCE!$EB$57:$IY$57)</f>
        <v>0</v>
      </c>
      <c r="TI280" s="56"/>
      <c r="TJ280" s="242">
        <f t="shared" si="1917"/>
        <v>0</v>
      </c>
      <c r="TK280" s="242">
        <f t="shared" si="1918"/>
        <v>0</v>
      </c>
      <c r="TL280" s="56"/>
      <c r="TO280" s="55">
        <f t="shared" si="1919"/>
        <v>46261</v>
      </c>
      <c r="TP280" s="56"/>
      <c r="TQ280" s="242">
        <f>SUMPRODUCT(PRODUCE!$B281:$DY281,PRODUCE!$EB$57:$IY$57)</f>
        <v>0</v>
      </c>
      <c r="TR280" s="56"/>
      <c r="TS280" s="242">
        <f t="shared" si="1920"/>
        <v>0</v>
      </c>
      <c r="TT280" s="242">
        <f t="shared" si="1921"/>
        <v>0</v>
      </c>
      <c r="TU280" s="56"/>
      <c r="TX280" s="55">
        <f t="shared" si="1922"/>
        <v>46261</v>
      </c>
      <c r="TY280" s="56"/>
      <c r="TZ280" s="242">
        <f>SUMPRODUCT(PRODUCE!$B281:$DY281,PRODUCE!$EB$57:$IY$57)</f>
        <v>0</v>
      </c>
      <c r="UA280" s="56"/>
      <c r="UB280" s="242">
        <f t="shared" si="1923"/>
        <v>0</v>
      </c>
      <c r="UC280" s="242">
        <f t="shared" si="1924"/>
        <v>46.799999999999983</v>
      </c>
      <c r="UD280" s="56"/>
      <c r="UG280" s="55">
        <f t="shared" si="1925"/>
        <v>46261</v>
      </c>
      <c r="UH280" s="56"/>
      <c r="UI280" s="242">
        <f>SUMPRODUCT(PRODUCE!$B281:$DY281,PRODUCE!$EB$57:$IY$57)</f>
        <v>0</v>
      </c>
      <c r="UJ280" s="56"/>
      <c r="UK280" s="242">
        <f t="shared" si="1926"/>
        <v>0</v>
      </c>
      <c r="UL280" s="242">
        <f t="shared" si="1927"/>
        <v>204</v>
      </c>
      <c r="UM280" s="56"/>
      <c r="UP280" s="55">
        <f t="shared" si="1928"/>
        <v>46261</v>
      </c>
      <c r="UQ280" s="56"/>
      <c r="UR280" s="242">
        <f>SUMPRODUCT(PRODUCE!$B281:$DY281,PRODUCE!$EB$57:$IY$57)</f>
        <v>0</v>
      </c>
      <c r="US280" s="56"/>
      <c r="UT280" s="242">
        <f t="shared" si="1929"/>
        <v>0</v>
      </c>
      <c r="UU280" s="242">
        <f t="shared" si="1930"/>
        <v>202.5</v>
      </c>
      <c r="UV280" s="56"/>
      <c r="UY280" s="55">
        <f t="shared" si="1931"/>
        <v>46261</v>
      </c>
      <c r="UZ280" s="56"/>
      <c r="VA280" s="242">
        <f>SUMPRODUCT(PRODUCE!$B281:$DY281,PRODUCE!$EB$57:$IY$57)</f>
        <v>0</v>
      </c>
      <c r="VB280" s="56"/>
      <c r="VC280" s="242">
        <f t="shared" si="1932"/>
        <v>0</v>
      </c>
      <c r="VD280" s="242">
        <f t="shared" si="1933"/>
        <v>41.600000000000023</v>
      </c>
      <c r="VE280" s="56"/>
      <c r="VH280" s="55">
        <f t="shared" si="1934"/>
        <v>46261</v>
      </c>
      <c r="VI280" s="56"/>
      <c r="VJ280" s="242">
        <f>SUMPRODUCT(PRODUCE!$B281:$DY281,PRODUCE!$EB$57:$IY$57)</f>
        <v>0</v>
      </c>
      <c r="VK280" s="56"/>
      <c r="VL280" s="242">
        <f t="shared" si="1935"/>
        <v>0</v>
      </c>
      <c r="VM280" s="242">
        <f t="shared" si="1936"/>
        <v>210</v>
      </c>
      <c r="VN280" s="56"/>
      <c r="VQ280" s="55">
        <f t="shared" si="1937"/>
        <v>46261</v>
      </c>
      <c r="VR280" s="56"/>
      <c r="VS280" s="242">
        <f>SUMPRODUCT(PRODUCE!$B281:$DY281,PRODUCE!$EB$57:$IY$57)</f>
        <v>0</v>
      </c>
      <c r="VT280" s="56"/>
      <c r="VU280" s="242">
        <f t="shared" si="1938"/>
        <v>0</v>
      </c>
      <c r="VV280" s="242">
        <f t="shared" si="1939"/>
        <v>0</v>
      </c>
      <c r="VW280" s="56"/>
      <c r="VZ280" s="55">
        <f t="shared" si="1940"/>
        <v>46261</v>
      </c>
      <c r="WA280" s="56"/>
      <c r="WB280" s="242">
        <f>SUMPRODUCT(PRODUCE!$B281:$DY281,PRODUCE!$EB$57:$IY$57)</f>
        <v>0</v>
      </c>
      <c r="WC280" s="56"/>
      <c r="WD280" s="242">
        <f t="shared" si="1941"/>
        <v>0</v>
      </c>
      <c r="WE280" s="242">
        <f t="shared" si="1942"/>
        <v>0</v>
      </c>
      <c r="WF280" s="56"/>
      <c r="WI280" s="55">
        <f t="shared" si="1943"/>
        <v>46261</v>
      </c>
      <c r="WJ280" s="56"/>
      <c r="WK280" s="242">
        <f>SUMPRODUCT(PRODUCE!$B281:$DY281,PRODUCE!$EB$57:$IY$57)</f>
        <v>0</v>
      </c>
      <c r="WL280" s="56"/>
      <c r="WM280" s="242">
        <f t="shared" si="1944"/>
        <v>0</v>
      </c>
      <c r="WN280" s="242">
        <f t="shared" si="1945"/>
        <v>1057</v>
      </c>
      <c r="WO280" s="56"/>
      <c r="WR280" s="55">
        <f t="shared" si="1946"/>
        <v>46261</v>
      </c>
      <c r="WS280" s="56"/>
      <c r="WT280" s="242">
        <f>SUMPRODUCT(PRODUCE!$B281:$DY281,PRODUCE!$EB$57:$IY$57)</f>
        <v>0</v>
      </c>
      <c r="WU280" s="56"/>
      <c r="WV280" s="242">
        <f t="shared" si="1947"/>
        <v>0</v>
      </c>
      <c r="WW280" s="242">
        <f t="shared" si="1948"/>
        <v>0</v>
      </c>
      <c r="WX280" s="56"/>
      <c r="XA280" s="55">
        <f t="shared" si="1949"/>
        <v>46261</v>
      </c>
      <c r="XB280" s="56"/>
      <c r="XC280" s="242">
        <f>SUMPRODUCT(PRODUCE!$B281:$DY281,PRODUCE!$EB$57:$IY$57)</f>
        <v>0</v>
      </c>
      <c r="XD280" s="56"/>
      <c r="XE280" s="242">
        <f t="shared" si="1950"/>
        <v>0</v>
      </c>
      <c r="XF280" s="242">
        <f t="shared" si="1951"/>
        <v>7507</v>
      </c>
      <c r="XG280" s="56"/>
      <c r="XJ280" s="55">
        <f t="shared" si="1952"/>
        <v>46261</v>
      </c>
      <c r="XK280" s="56"/>
      <c r="XL280" s="242">
        <f>SUMPRODUCT(PRODUCE!$B281:$DY281,PRODUCE!$EB$57:$IY$57)</f>
        <v>0</v>
      </c>
      <c r="XM280" s="56"/>
      <c r="XN280" s="242">
        <f t="shared" si="1953"/>
        <v>0</v>
      </c>
      <c r="XO280" s="242">
        <f t="shared" si="1954"/>
        <v>4252</v>
      </c>
      <c r="XP280" s="56"/>
      <c r="XS280" s="55">
        <f t="shared" si="1955"/>
        <v>46261</v>
      </c>
      <c r="XT280" s="56"/>
      <c r="XU280" s="242">
        <f>SUMPRODUCT(PRODUCE!$B281:$DY281,PRODUCE!$EB$57:$IY$57)</f>
        <v>0</v>
      </c>
      <c r="XV280" s="56"/>
      <c r="XW280" s="242">
        <f t="shared" si="1956"/>
        <v>0</v>
      </c>
      <c r="XX280" s="242">
        <f t="shared" si="1957"/>
        <v>2179</v>
      </c>
      <c r="XY280" s="56"/>
      <c r="YB280" s="55">
        <f t="shared" si="1958"/>
        <v>46261</v>
      </c>
      <c r="YC280" s="56"/>
      <c r="YD280" s="242">
        <f>SUMPRODUCT(PRODUCE!$B281:$DY281,PRODUCE!$EB$57:$IY$57)</f>
        <v>0</v>
      </c>
      <c r="YE280" s="56"/>
      <c r="YF280" s="242">
        <f t="shared" si="1959"/>
        <v>0</v>
      </c>
      <c r="YG280" s="242">
        <f t="shared" si="1960"/>
        <v>4019</v>
      </c>
      <c r="YH280" s="56"/>
      <c r="YK280" s="55">
        <f t="shared" si="1961"/>
        <v>46261</v>
      </c>
      <c r="YL280" s="56"/>
      <c r="YM280" s="242">
        <f>SUMPRODUCT(PRODUCE!$B281:$DY281,PRODUCE!$EB$57:$IY$57)</f>
        <v>0</v>
      </c>
      <c r="YN280" s="56"/>
      <c r="YO280" s="242">
        <f t="shared" si="1962"/>
        <v>0</v>
      </c>
      <c r="YP280" s="242">
        <f t="shared" si="1963"/>
        <v>-218</v>
      </c>
      <c r="YQ280" s="56"/>
      <c r="YT280" s="55">
        <f t="shared" si="1964"/>
        <v>46261</v>
      </c>
      <c r="YU280" s="56"/>
      <c r="YV280" s="242">
        <f>SUMPRODUCT(PRODUCE!$B281:$DY281,PRODUCE!$EB$57:$IY$57)</f>
        <v>0</v>
      </c>
      <c r="YW280" s="56"/>
      <c r="YX280" s="242">
        <f t="shared" si="1965"/>
        <v>0</v>
      </c>
      <c r="YY280" s="242">
        <f t="shared" si="1966"/>
        <v>0</v>
      </c>
      <c r="YZ280" s="56"/>
      <c r="ZC280" s="55">
        <f t="shared" si="1967"/>
        <v>46261</v>
      </c>
      <c r="ZD280" s="56"/>
      <c r="ZE280" s="242">
        <f>SUMPRODUCT(PRODUCE!$B281:$DY281,PRODUCE!$EB$57:$IY$57)</f>
        <v>0</v>
      </c>
      <c r="ZF280" s="56"/>
      <c r="ZG280" s="242">
        <f t="shared" si="1968"/>
        <v>0</v>
      </c>
      <c r="ZH280" s="242">
        <f t="shared" si="1969"/>
        <v>0</v>
      </c>
      <c r="ZI280" s="56"/>
      <c r="ZL280" s="55">
        <f t="shared" si="1970"/>
        <v>46261</v>
      </c>
      <c r="ZM280" s="56"/>
      <c r="ZN280" s="242">
        <f>SUMPRODUCT(PRODUCE!$B281:$DY281,PRODUCE!$EB$57:$IY$57)</f>
        <v>0</v>
      </c>
      <c r="ZO280" s="56"/>
      <c r="ZP280" s="242">
        <f t="shared" si="1971"/>
        <v>0</v>
      </c>
      <c r="ZQ280" s="242">
        <f t="shared" si="1972"/>
        <v>0</v>
      </c>
      <c r="ZR280" s="56"/>
      <c r="ZU280" s="55">
        <f t="shared" si="1973"/>
        <v>46261</v>
      </c>
      <c r="ZV280" s="56"/>
      <c r="ZW280" s="242">
        <f>SUMPRODUCT(PRODUCE!$B281:$DY281,PRODUCE!$EB$57:$IY$57)</f>
        <v>0</v>
      </c>
      <c r="ZX280" s="56"/>
      <c r="ZY280" s="242">
        <f t="shared" si="1974"/>
        <v>0</v>
      </c>
      <c r="ZZ280" s="242">
        <f t="shared" si="1975"/>
        <v>0</v>
      </c>
      <c r="AAA280" s="56"/>
      <c r="AAD280" s="55">
        <f t="shared" si="1976"/>
        <v>46261</v>
      </c>
      <c r="AAE280" s="56"/>
      <c r="AAF280" s="242">
        <f>SUMPRODUCT(PRODUCE!$B281:$DY281,PRODUCE!$EB$57:$IY$57)</f>
        <v>0</v>
      </c>
      <c r="AAG280" s="56"/>
      <c r="AAH280" s="242">
        <f t="shared" si="1977"/>
        <v>0</v>
      </c>
      <c r="AAI280" s="242">
        <f t="shared" si="1978"/>
        <v>0</v>
      </c>
      <c r="AAJ280" s="56"/>
      <c r="AAM280" s="55">
        <f t="shared" si="1979"/>
        <v>46261</v>
      </c>
      <c r="AAN280" s="56"/>
      <c r="AAO280" s="242">
        <f>SUMPRODUCT(PRODUCE!$B281:$DY281,PRODUCE!$EB$57:$IY$57)</f>
        <v>0</v>
      </c>
      <c r="AAP280" s="56"/>
      <c r="AAQ280" s="242">
        <f t="shared" si="1980"/>
        <v>0</v>
      </c>
      <c r="AAR280" s="242">
        <f t="shared" si="1981"/>
        <v>0</v>
      </c>
      <c r="AAS280" s="56"/>
      <c r="AAV280" s="55">
        <f t="shared" si="1982"/>
        <v>46261</v>
      </c>
      <c r="AAW280" s="56"/>
      <c r="AAX280" s="242">
        <f>SUMPRODUCT(PRODUCE!$B281:$DY281,PRODUCE!$EB$57:$IY$57)</f>
        <v>0</v>
      </c>
      <c r="AAY280" s="56"/>
      <c r="AAZ280" s="242">
        <f t="shared" si="1983"/>
        <v>0</v>
      </c>
      <c r="ABA280" s="242">
        <f t="shared" si="1984"/>
        <v>0</v>
      </c>
      <c r="ABB280" s="56"/>
      <c r="ABE280" s="55">
        <f t="shared" si="1985"/>
        <v>46261</v>
      </c>
      <c r="ABF280" s="56"/>
      <c r="ABG280" s="242">
        <f>SUMPRODUCT(PRODUCE!$B281:$DY281,PRODUCE!$EB$57:$IY$57)</f>
        <v>0</v>
      </c>
      <c r="ABH280" s="56"/>
      <c r="ABI280" s="242">
        <f t="shared" si="1986"/>
        <v>0</v>
      </c>
      <c r="ABJ280" s="242">
        <f t="shared" si="1987"/>
        <v>0</v>
      </c>
      <c r="ABK280" s="56"/>
    </row>
    <row r="281" spans="1:739" s="54" customFormat="1" ht="15" customHeight="1" outlineLevel="1">
      <c r="B281" s="478"/>
      <c r="C281" s="55">
        <v>46262</v>
      </c>
      <c r="D281" s="56"/>
      <c r="E281" s="57">
        <f>SUMPRODUCT(PRODUCE!$B282:$DY282,PRODUCE!$EB$7:$IY$7)</f>
        <v>0</v>
      </c>
      <c r="F281" s="56"/>
      <c r="G281" s="57">
        <f t="shared" si="1743"/>
        <v>0</v>
      </c>
      <c r="H281" s="57">
        <f t="shared" si="1744"/>
        <v>236936.6</v>
      </c>
      <c r="I281" s="289"/>
      <c r="L281" s="55">
        <f t="shared" si="1745"/>
        <v>46262</v>
      </c>
      <c r="M281" s="56"/>
      <c r="N281" s="59">
        <f>SUMPRODUCT(PRODUCE!$B282:$DY282,PRODUCE!$EB$8:$IY$8)</f>
        <v>0</v>
      </c>
      <c r="O281" s="56"/>
      <c r="P281" s="59">
        <f t="shared" si="1746"/>
        <v>0</v>
      </c>
      <c r="Q281" s="59">
        <f t="shared" si="1747"/>
        <v>53017.600000000071</v>
      </c>
      <c r="R281" s="56"/>
      <c r="U281" s="55">
        <f t="shared" si="1748"/>
        <v>46262</v>
      </c>
      <c r="V281" s="56"/>
      <c r="W281" s="60">
        <f>SUMPRODUCT(PRODUCE!$B282:$DY282,PRODUCE!$EB$9:$IY$9)</f>
        <v>0</v>
      </c>
      <c r="X281" s="56"/>
      <c r="Y281" s="60">
        <f t="shared" si="1749"/>
        <v>0</v>
      </c>
      <c r="Z281" s="60">
        <f t="shared" si="1750"/>
        <v>42674.199999999968</v>
      </c>
      <c r="AA281" s="56"/>
      <c r="AD281" s="55">
        <f t="shared" si="1751"/>
        <v>46262</v>
      </c>
      <c r="AE281" s="56"/>
      <c r="AF281" s="61">
        <f>SUMPRODUCT(PRODUCE!$B282:$DY282,PRODUCE!$EB$10:$IY$10)</f>
        <v>0</v>
      </c>
      <c r="AG281" s="56"/>
      <c r="AH281" s="61">
        <f t="shared" si="1752"/>
        <v>0</v>
      </c>
      <c r="AI281" s="61">
        <f t="shared" si="1753"/>
        <v>4522.2000000000189</v>
      </c>
      <c r="AJ281" s="56"/>
      <c r="AM281" s="55">
        <f t="shared" si="1754"/>
        <v>46262</v>
      </c>
      <c r="AN281" s="422"/>
      <c r="AO281" s="444">
        <f>SUMPRODUCT(PRODUCE!$B282:$DY282,PRODUCE!$EB$11:$IY$11)</f>
        <v>0</v>
      </c>
      <c r="AP281" s="422"/>
      <c r="AQ281" s="444">
        <f t="shared" si="1755"/>
        <v>0</v>
      </c>
      <c r="AR281" s="444">
        <f t="shared" si="1756"/>
        <v>0</v>
      </c>
      <c r="AS281" s="56"/>
      <c r="AV281" s="55">
        <f t="shared" si="1757"/>
        <v>46262</v>
      </c>
      <c r="AW281" s="56"/>
      <c r="AX281" s="62">
        <f>SUMPRODUCT(PRODUCE!$B282:$DY282,PRODUCE!$EB$12:$IY$12)</f>
        <v>0</v>
      </c>
      <c r="AY281" s="56"/>
      <c r="AZ281" s="62">
        <f t="shared" si="1758"/>
        <v>0</v>
      </c>
      <c r="BA281" s="62">
        <f t="shared" si="1759"/>
        <v>124.99999999999523</v>
      </c>
      <c r="BB281" s="56"/>
      <c r="BE281" s="55">
        <f t="shared" si="1760"/>
        <v>46262</v>
      </c>
      <c r="BF281" s="56"/>
      <c r="BG281" s="63">
        <f>SUMPRODUCT(PRODUCE!$B282:$DY282,PRODUCE!$EB$13:$IY$13)</f>
        <v>0</v>
      </c>
      <c r="BH281" s="56"/>
      <c r="BI281" s="63">
        <f t="shared" si="1761"/>
        <v>0</v>
      </c>
      <c r="BJ281" s="63">
        <f t="shared" si="1762"/>
        <v>26151.899999999998</v>
      </c>
      <c r="BK281" s="56"/>
      <c r="BN281" s="55">
        <f t="shared" si="1763"/>
        <v>46262</v>
      </c>
      <c r="BO281" s="56"/>
      <c r="BP281" s="64">
        <f>SUMPRODUCT(PRODUCE!$B282:$DY282,PRODUCE!$EB$14:$IY$14)</f>
        <v>0</v>
      </c>
      <c r="BQ281" s="56"/>
      <c r="BR281" s="64">
        <f t="shared" si="1764"/>
        <v>0</v>
      </c>
      <c r="BS281" s="64">
        <f t="shared" si="1765"/>
        <v>0</v>
      </c>
      <c r="BT281" s="56"/>
      <c r="BW281" s="55">
        <f t="shared" si="1766"/>
        <v>46262</v>
      </c>
      <c r="BX281" s="56"/>
      <c r="BY281" s="65">
        <f>SUMPRODUCT(PRODUCE!$B282:$DY282,PRODUCE!$EB$15:$IY$15)</f>
        <v>0</v>
      </c>
      <c r="BZ281" s="56"/>
      <c r="CA281" s="65">
        <f t="shared" si="1767"/>
        <v>0</v>
      </c>
      <c r="CB281" s="65">
        <f t="shared" si="1768"/>
        <v>2097.3399999999992</v>
      </c>
      <c r="CC281" s="56"/>
      <c r="CF281" s="55">
        <f t="shared" si="1769"/>
        <v>46262</v>
      </c>
      <c r="CG281" s="56"/>
      <c r="CH281" s="66">
        <f>SUMPRODUCT(PRODUCE!$B282:$DY282,PRODUCE!$EB$16:$IY$16)</f>
        <v>0</v>
      </c>
      <c r="CI281" s="56"/>
      <c r="CJ281" s="66">
        <f t="shared" si="1770"/>
        <v>0</v>
      </c>
      <c r="CK281" s="66">
        <f t="shared" si="1771"/>
        <v>-10277.079999999998</v>
      </c>
      <c r="CL281" s="56"/>
      <c r="CO281" s="55">
        <f t="shared" si="1772"/>
        <v>46262</v>
      </c>
      <c r="CP281" s="422"/>
      <c r="CQ281" s="470">
        <f>SUMPRODUCT(PRODUCE!$B282:$DY282,PRODUCE!$EB$17:$IY$17)</f>
        <v>0</v>
      </c>
      <c r="CR281" s="422"/>
      <c r="CS281" s="470">
        <f t="shared" si="1773"/>
        <v>0</v>
      </c>
      <c r="CT281" s="470">
        <f t="shared" si="1774"/>
        <v>0</v>
      </c>
      <c r="CU281" s="56"/>
      <c r="CX281" s="55">
        <f t="shared" si="1775"/>
        <v>46262</v>
      </c>
      <c r="CY281" s="56"/>
      <c r="CZ281" s="133">
        <f>SUMPRODUCT(PRODUCE!$B282:$DY282,PRODUCE!$EB$18:$IY$18)</f>
        <v>0</v>
      </c>
      <c r="DA281" s="56"/>
      <c r="DB281" s="133">
        <f t="shared" si="1776"/>
        <v>0</v>
      </c>
      <c r="DC281" s="133">
        <f t="shared" si="1777"/>
        <v>27438.200000000012</v>
      </c>
      <c r="DD281" s="56"/>
      <c r="DG281" s="55">
        <f t="shared" si="1778"/>
        <v>46262</v>
      </c>
      <c r="DH281" s="56"/>
      <c r="DI281" s="147">
        <f>SUMPRODUCT(PRODUCE!$B282:$DY282,PRODUCE!$EB$19:$IY$19)</f>
        <v>0</v>
      </c>
      <c r="DJ281" s="56"/>
      <c r="DK281" s="147">
        <f t="shared" si="1779"/>
        <v>0</v>
      </c>
      <c r="DL281" s="147">
        <f t="shared" si="1780"/>
        <v>18782.299999999981</v>
      </c>
      <c r="DM281" s="56"/>
      <c r="DP281" s="55">
        <f t="shared" si="1781"/>
        <v>46262</v>
      </c>
      <c r="DQ281" s="56"/>
      <c r="DR281" s="57">
        <f>SUMPRODUCT(PRODUCE!$B282:$DY282,PRODUCE!$EB$20:$IY$20)</f>
        <v>0</v>
      </c>
      <c r="DS281" s="56"/>
      <c r="DT281" s="57">
        <f t="shared" si="1782"/>
        <v>0</v>
      </c>
      <c r="DU281" s="57">
        <f t="shared" si="1783"/>
        <v>5800</v>
      </c>
      <c r="DV281" s="56"/>
      <c r="DY281" s="55">
        <f t="shared" si="1784"/>
        <v>46262</v>
      </c>
      <c r="DZ281" s="56"/>
      <c r="EA281" s="157">
        <f>SUMPRODUCT(PRODUCE!$B282:$DY282,PRODUCE!$EB$21:$IY$21)</f>
        <v>0</v>
      </c>
      <c r="EB281" s="56"/>
      <c r="EC281" s="157">
        <f t="shared" si="1785"/>
        <v>0</v>
      </c>
      <c r="ED281" s="157">
        <f t="shared" si="1786"/>
        <v>0</v>
      </c>
      <c r="EE281" s="56"/>
      <c r="EH281" s="55">
        <f t="shared" si="1787"/>
        <v>46262</v>
      </c>
      <c r="EI281" s="56"/>
      <c r="EJ281" s="162">
        <f>SUMPRODUCT(PRODUCE!$B282:$DY282,PRODUCE!$EB$22:$IY$22)</f>
        <v>0</v>
      </c>
      <c r="EK281" s="56"/>
      <c r="EL281" s="162">
        <f t="shared" si="1788"/>
        <v>0</v>
      </c>
      <c r="EM281" s="162">
        <f t="shared" si="1789"/>
        <v>0</v>
      </c>
      <c r="EN281" s="56"/>
      <c r="EQ281" s="55">
        <f t="shared" si="1790"/>
        <v>46262</v>
      </c>
      <c r="ER281" s="56"/>
      <c r="ES281" s="135">
        <f>SUMPRODUCT(PRODUCE!$B282:$DY282,PRODUCE!$EB$23:$IY$23)</f>
        <v>0</v>
      </c>
      <c r="ET281" s="56"/>
      <c r="EU281" s="135">
        <f t="shared" si="1791"/>
        <v>0</v>
      </c>
      <c r="EV281" s="135">
        <f t="shared" si="1792"/>
        <v>0</v>
      </c>
      <c r="EW281" s="56"/>
      <c r="EZ281" s="55">
        <f t="shared" si="1793"/>
        <v>46262</v>
      </c>
      <c r="FA281" s="56"/>
      <c r="FB281" s="175">
        <f>SUMPRODUCT(PRODUCE!$B282:$DY282,PRODUCE!$EB$24:$IY$24)</f>
        <v>0</v>
      </c>
      <c r="FC281" s="56"/>
      <c r="FD281" s="175">
        <f t="shared" si="1794"/>
        <v>0</v>
      </c>
      <c r="FE281" s="175">
        <f t="shared" si="1795"/>
        <v>0</v>
      </c>
      <c r="FF281" s="56"/>
      <c r="FI281" s="55">
        <f t="shared" si="1796"/>
        <v>46262</v>
      </c>
      <c r="FJ281" s="56"/>
      <c r="FK281" s="183">
        <f>SUMPRODUCT(PRODUCE!$B282:$DY282,PRODUCE!$EB$25:$IY$25)</f>
        <v>0</v>
      </c>
      <c r="FL281" s="56"/>
      <c r="FM281" s="183">
        <f t="shared" si="1797"/>
        <v>0</v>
      </c>
      <c r="FN281" s="183">
        <f t="shared" si="1798"/>
        <v>0</v>
      </c>
      <c r="FO281" s="56"/>
      <c r="FR281" s="55">
        <f t="shared" si="1799"/>
        <v>46262</v>
      </c>
      <c r="FS281" s="56"/>
      <c r="FT281" s="186">
        <f>SUMPRODUCT(PRODUCE!$B282:$DY282,PRODUCE!$EB$26:$IY$26)</f>
        <v>0</v>
      </c>
      <c r="FU281" s="56"/>
      <c r="FV281" s="186">
        <f t="shared" si="1800"/>
        <v>0</v>
      </c>
      <c r="FW281" s="186">
        <f t="shared" si="1801"/>
        <v>2020</v>
      </c>
      <c r="FX281" s="56"/>
      <c r="GA281" s="55">
        <f t="shared" si="1802"/>
        <v>46262</v>
      </c>
      <c r="GB281" s="56"/>
      <c r="GC281" s="137">
        <f>SUMPRODUCT(PRODUCE!$B282:$DY282,PRODUCE!$EB$27:$IY$27)</f>
        <v>0</v>
      </c>
      <c r="GD281" s="56"/>
      <c r="GE281" s="137">
        <f t="shared" si="1803"/>
        <v>0</v>
      </c>
      <c r="GF281" s="137">
        <f t="shared" si="1804"/>
        <v>960</v>
      </c>
      <c r="GG281" s="56"/>
      <c r="GI281" s="23"/>
      <c r="GJ281" s="55">
        <f t="shared" si="1805"/>
        <v>46262</v>
      </c>
      <c r="GK281" s="56"/>
      <c r="GL281" s="199">
        <f>SUMPRODUCT(PRODUCE!$B282:$DY282,PRODUCE!$EB$28:$IY$28)</f>
        <v>0</v>
      </c>
      <c r="GM281" s="56"/>
      <c r="GN281" s="199">
        <f t="shared" si="1806"/>
        <v>0</v>
      </c>
      <c r="GO281" s="199">
        <f t="shared" si="1807"/>
        <v>1760</v>
      </c>
      <c r="GP281" s="56"/>
      <c r="GS281" s="55">
        <f t="shared" si="1808"/>
        <v>46262</v>
      </c>
      <c r="GT281" s="56"/>
      <c r="GU281" s="195">
        <f>SUMPRODUCT(PRODUCE!$B282:$DY282,PRODUCE!$EB$29:$IY$29)</f>
        <v>0</v>
      </c>
      <c r="GV281" s="56"/>
      <c r="GW281" s="195">
        <f t="shared" si="1809"/>
        <v>0</v>
      </c>
      <c r="GX281" s="195">
        <f t="shared" si="1810"/>
        <v>400</v>
      </c>
      <c r="GY281" s="56"/>
      <c r="HB281" s="55">
        <f t="shared" si="1811"/>
        <v>46262</v>
      </c>
      <c r="HC281" s="56"/>
      <c r="HD281" s="191">
        <f>SUMPRODUCT(PRODUCE!$B282:$DY282,PRODUCE!$EB$30:$IY$30)</f>
        <v>0</v>
      </c>
      <c r="HE281" s="56"/>
      <c r="HF281" s="191">
        <f t="shared" si="1812"/>
        <v>0</v>
      </c>
      <c r="HG281" s="191">
        <f t="shared" si="1813"/>
        <v>3600</v>
      </c>
      <c r="HH281" s="56"/>
      <c r="HK281" s="55">
        <f t="shared" si="1814"/>
        <v>46262</v>
      </c>
      <c r="HL281" s="56"/>
      <c r="HM281" s="63">
        <f>SUMPRODUCT(PRODUCE!$B282:$DY282,PRODUCE!$EB$31:$IY$31)</f>
        <v>0</v>
      </c>
      <c r="HN281" s="56"/>
      <c r="HO281" s="63">
        <f t="shared" si="1815"/>
        <v>0</v>
      </c>
      <c r="HP281" s="63">
        <f t="shared" si="1816"/>
        <v>0</v>
      </c>
      <c r="HQ281" s="56"/>
      <c r="HU281" s="55">
        <f t="shared" si="1817"/>
        <v>46262</v>
      </c>
      <c r="HV281" s="56"/>
      <c r="HW281" s="242">
        <f>SUMPRODUCT(PRODUCE!$B282:$DY282,PRODUCE!$EB$32:$IY$32)</f>
        <v>0</v>
      </c>
      <c r="HX281" s="56"/>
      <c r="HY281" s="242">
        <f t="shared" si="1818"/>
        <v>0</v>
      </c>
      <c r="HZ281" s="242">
        <f t="shared" si="1819"/>
        <v>6120</v>
      </c>
      <c r="IA281" s="56"/>
      <c r="ID281" s="55">
        <f t="shared" si="1820"/>
        <v>46262</v>
      </c>
      <c r="IE281" s="56"/>
      <c r="IF281" s="242">
        <f>SUMPRODUCT(PRODUCE!$B282:$DY282,PRODUCE!$EB$33:$IY$33)</f>
        <v>0</v>
      </c>
      <c r="IG281" s="56"/>
      <c r="IH281" s="242">
        <f t="shared" si="1821"/>
        <v>0</v>
      </c>
      <c r="II281" s="242">
        <f t="shared" si="1822"/>
        <v>0</v>
      </c>
      <c r="IJ281" s="56"/>
      <c r="IM281" s="55">
        <f t="shared" si="1823"/>
        <v>46262</v>
      </c>
      <c r="IN281" s="56"/>
      <c r="IO281" s="242">
        <f>SUMPRODUCT(PRODUCE!$B282:$DY282,PRODUCE!$EB$34:$IY$34)</f>
        <v>0</v>
      </c>
      <c r="IP281" s="56"/>
      <c r="IQ281" s="242">
        <f t="shared" si="1824"/>
        <v>0</v>
      </c>
      <c r="IR281" s="242">
        <f t="shared" si="1825"/>
        <v>0</v>
      </c>
      <c r="IS281" s="56"/>
      <c r="IV281" s="55">
        <f t="shared" si="1826"/>
        <v>46262</v>
      </c>
      <c r="IW281" s="56"/>
      <c r="IX281" s="242">
        <f>SUMPRODUCT(PRODUCE!$B282:$DY282,PRODUCE!$EB$35:$IY$35)</f>
        <v>0</v>
      </c>
      <c r="IY281" s="56"/>
      <c r="IZ281" s="242">
        <f t="shared" si="1827"/>
        <v>0</v>
      </c>
      <c r="JA281" s="242">
        <f t="shared" si="1828"/>
        <v>2820</v>
      </c>
      <c r="JB281" s="56"/>
      <c r="JE281" s="55">
        <f t="shared" si="1829"/>
        <v>46262</v>
      </c>
      <c r="JF281" s="56"/>
      <c r="JG281" s="242">
        <f>SUMPRODUCT(PRODUCE!$B282:$DY282,PRODUCE!$EB$36:$IY$36)</f>
        <v>0</v>
      </c>
      <c r="JH281" s="56"/>
      <c r="JI281" s="242">
        <f t="shared" si="1830"/>
        <v>0</v>
      </c>
      <c r="JJ281" s="242">
        <f t="shared" si="1831"/>
        <v>0</v>
      </c>
      <c r="JK281" s="56"/>
      <c r="JN281" s="55">
        <f t="shared" si="1832"/>
        <v>46262</v>
      </c>
      <c r="JO281" s="56"/>
      <c r="JP281" s="242">
        <f>SUMPRODUCT(PRODUCE!$B282:$DY282,PRODUCE!$EB$37:$IY$37)</f>
        <v>0</v>
      </c>
      <c r="JQ281" s="56"/>
      <c r="JR281" s="242">
        <f t="shared" si="1833"/>
        <v>0</v>
      </c>
      <c r="JS281" s="242">
        <f t="shared" si="1834"/>
        <v>0</v>
      </c>
      <c r="JT281" s="56"/>
      <c r="JW281" s="55">
        <f t="shared" si="1835"/>
        <v>46262</v>
      </c>
      <c r="JX281" s="56"/>
      <c r="JY281" s="242">
        <f>SUMPRODUCT(PRODUCE!$B282:$DY282,PRODUCE!$EB$38:$IY$38)</f>
        <v>0</v>
      </c>
      <c r="JZ281" s="56"/>
      <c r="KA281" s="242">
        <f t="shared" si="1836"/>
        <v>0</v>
      </c>
      <c r="KB281" s="242">
        <f t="shared" si="1837"/>
        <v>2540</v>
      </c>
      <c r="KC281" s="56"/>
      <c r="KF281" s="55">
        <f t="shared" si="1838"/>
        <v>46262</v>
      </c>
      <c r="KG281" s="56"/>
      <c r="KH281" s="242">
        <f>SUMPRODUCT(PRODUCE!$B282:$DY282,PRODUCE!$EB$39:$IY$39)</f>
        <v>0</v>
      </c>
      <c r="KI281" s="56"/>
      <c r="KJ281" s="242">
        <f t="shared" si="1839"/>
        <v>0</v>
      </c>
      <c r="KK281" s="242">
        <f t="shared" si="1840"/>
        <v>2359.5</v>
      </c>
      <c r="KL281" s="56"/>
      <c r="KO281" s="55">
        <f t="shared" si="1841"/>
        <v>46262</v>
      </c>
      <c r="KP281" s="56"/>
      <c r="KQ281" s="242">
        <f>SUMPRODUCT(PRODUCE!$B282:$DY282,PRODUCE!$EB$40:$IY$40)</f>
        <v>0</v>
      </c>
      <c r="KR281" s="56"/>
      <c r="KS281" s="242">
        <f t="shared" si="1842"/>
        <v>0</v>
      </c>
      <c r="KT281" s="242">
        <f t="shared" si="1843"/>
        <v>1890</v>
      </c>
      <c r="KU281" s="56"/>
      <c r="KW281" s="23"/>
      <c r="KX281" s="55">
        <f t="shared" si="1844"/>
        <v>46262</v>
      </c>
      <c r="KY281" s="56"/>
      <c r="KZ281" s="242">
        <f>SUMPRODUCT(PRODUCE!$B282:$DY282,PRODUCE!$EB$41:$IY$41)</f>
        <v>0</v>
      </c>
      <c r="LA281" s="56"/>
      <c r="LB281" s="242">
        <f t="shared" si="1845"/>
        <v>0</v>
      </c>
      <c r="LC281" s="242">
        <f t="shared" si="1846"/>
        <v>3690</v>
      </c>
      <c r="LD281" s="56"/>
      <c r="LG281" s="55">
        <f t="shared" si="1847"/>
        <v>46262</v>
      </c>
      <c r="LH281" s="56"/>
      <c r="LI281" s="242">
        <f>SUMPRODUCT(PRODUCE!$B282:$DY282,PRODUCE!$EB$42:$IY$42)</f>
        <v>0</v>
      </c>
      <c r="LJ281" s="56"/>
      <c r="LK281" s="242">
        <f t="shared" si="1848"/>
        <v>0</v>
      </c>
      <c r="LL281" s="242">
        <f t="shared" si="1849"/>
        <v>4000</v>
      </c>
      <c r="LM281" s="56"/>
      <c r="LP281" s="55">
        <f t="shared" si="1850"/>
        <v>46262</v>
      </c>
      <c r="LQ281" s="56"/>
      <c r="LR281" s="242">
        <f>SUMPRODUCT(PRODUCE!$B296:$DY296,PRODUCE!$EB$43:$IY$43)</f>
        <v>0</v>
      </c>
      <c r="LS281" s="56"/>
      <c r="LT281" s="242">
        <f t="shared" si="1851"/>
        <v>0</v>
      </c>
      <c r="LU281" s="242">
        <f t="shared" si="1852"/>
        <v>0</v>
      </c>
      <c r="LV281" s="56"/>
      <c r="LY281" s="55">
        <f t="shared" si="1853"/>
        <v>46262</v>
      </c>
      <c r="LZ281" s="56"/>
      <c r="MA281" s="242">
        <f>SUMPRODUCT(PRODUCE!$B282:$DY282,PRODUCE!$EB$44:$IY$44)</f>
        <v>0</v>
      </c>
      <c r="MB281" s="56"/>
      <c r="MC281" s="242">
        <f t="shared" si="1854"/>
        <v>0</v>
      </c>
      <c r="MD281" s="242">
        <f t="shared" si="1855"/>
        <v>0</v>
      </c>
      <c r="ME281" s="56"/>
      <c r="MH281" s="55">
        <f t="shared" si="1856"/>
        <v>46262</v>
      </c>
      <c r="MI281" s="56"/>
      <c r="MJ281" s="242">
        <f>SUMPRODUCT(PRODUCE!$B282:$DY282,PRODUCE!$EB$45:$IY$45)</f>
        <v>0</v>
      </c>
      <c r="MK281" s="56"/>
      <c r="ML281" s="242">
        <f t="shared" si="1857"/>
        <v>0</v>
      </c>
      <c r="MM281" s="242">
        <f t="shared" si="1858"/>
        <v>0</v>
      </c>
      <c r="MN281" s="56"/>
      <c r="MQ281" s="55">
        <f t="shared" si="1859"/>
        <v>46262</v>
      </c>
      <c r="MR281" s="56"/>
      <c r="MS281" s="242">
        <f>SUMPRODUCT(PRODUCE!$B282:$DY282,PRODUCE!$EB$46:$IY$46)</f>
        <v>0</v>
      </c>
      <c r="MT281" s="56"/>
      <c r="MU281" s="242">
        <f t="shared" si="1860"/>
        <v>0</v>
      </c>
      <c r="MV281" s="242">
        <f t="shared" si="1861"/>
        <v>1625</v>
      </c>
      <c r="MW281" s="56"/>
      <c r="MZ281" s="55">
        <f t="shared" si="1862"/>
        <v>46262</v>
      </c>
      <c r="NA281" s="56"/>
      <c r="NB281" s="242">
        <f>SUMPRODUCT(PRODUCE!$B282:$DY282,PRODUCE!$EB$47:$IY$47)</f>
        <v>0</v>
      </c>
      <c r="NC281" s="56"/>
      <c r="ND281" s="242">
        <f t="shared" si="1863"/>
        <v>0</v>
      </c>
      <c r="NE281" s="242">
        <f t="shared" si="1864"/>
        <v>0</v>
      </c>
      <c r="NF281" s="56"/>
      <c r="NI281" s="55">
        <f t="shared" si="1865"/>
        <v>46262</v>
      </c>
      <c r="NJ281" s="56"/>
      <c r="NK281" s="242">
        <f>SUMPRODUCT(PRODUCE!$B282:$DY282,PRODUCE!$EB$48:$IY$48)</f>
        <v>0</v>
      </c>
      <c r="NL281" s="56"/>
      <c r="NM281" s="242">
        <f t="shared" si="1866"/>
        <v>0</v>
      </c>
      <c r="NN281" s="242">
        <f t="shared" si="1867"/>
        <v>1127</v>
      </c>
      <c r="NO281" s="56"/>
      <c r="NR281" s="55">
        <f t="shared" si="1868"/>
        <v>46262</v>
      </c>
      <c r="NS281" s="56"/>
      <c r="NT281" s="242">
        <f>SUMPRODUCT(PRODUCE!$B282:$DY282,PRODUCE!$EB$49:$IY$49)</f>
        <v>0</v>
      </c>
      <c r="NU281" s="56"/>
      <c r="NV281" s="242">
        <f t="shared" si="1869"/>
        <v>0</v>
      </c>
      <c r="NW281" s="242">
        <f t="shared" si="1870"/>
        <v>3111.9999999999995</v>
      </c>
      <c r="NX281" s="56"/>
      <c r="OA281" s="55">
        <f t="shared" si="1871"/>
        <v>46262</v>
      </c>
      <c r="OB281" s="56"/>
      <c r="OC281" s="242">
        <f>SUMPRODUCT(PRODUCE!$B282:$DY282,PRODUCE!$EB$50:$IY$50)</f>
        <v>0</v>
      </c>
      <c r="OD281" s="56"/>
      <c r="OE281" s="242">
        <f t="shared" si="1872"/>
        <v>0</v>
      </c>
      <c r="OF281" s="242">
        <f t="shared" si="1873"/>
        <v>1680.5</v>
      </c>
      <c r="OG281" s="56"/>
      <c r="OJ281" s="55">
        <f t="shared" si="1874"/>
        <v>46262</v>
      </c>
      <c r="OK281" s="56"/>
      <c r="OL281" s="242">
        <f>SUMPRODUCT(PRODUCE!$B282:$DY282,PRODUCE!$EB$51:$IY$51)</f>
        <v>0</v>
      </c>
      <c r="OM281" s="56"/>
      <c r="ON281" s="242">
        <f t="shared" si="1875"/>
        <v>0</v>
      </c>
      <c r="OO281" s="242">
        <f t="shared" si="1876"/>
        <v>0</v>
      </c>
      <c r="OP281" s="56"/>
      <c r="OS281" s="55">
        <f t="shared" si="1877"/>
        <v>46262</v>
      </c>
      <c r="OT281" s="56"/>
      <c r="OU281" s="242">
        <f>SUMPRODUCT(PRODUCE!$B282:$DY282,PRODUCE!$EB$52:$IY$52)</f>
        <v>0</v>
      </c>
      <c r="OV281" s="56"/>
      <c r="OW281" s="242">
        <f t="shared" si="1878"/>
        <v>0</v>
      </c>
      <c r="OX281" s="242">
        <f t="shared" si="1879"/>
        <v>1482</v>
      </c>
      <c r="OY281" s="56"/>
      <c r="PB281" s="55">
        <f t="shared" si="1880"/>
        <v>46262</v>
      </c>
      <c r="PC281" s="56"/>
      <c r="PD281" s="242">
        <f>SUMPRODUCT(PRODUCE!$B282:$DY282,PRODUCE!$EB$53:$IY$53)</f>
        <v>0</v>
      </c>
      <c r="PE281" s="56"/>
      <c r="PF281" s="242">
        <f t="shared" si="1881"/>
        <v>0</v>
      </c>
      <c r="PG281" s="242">
        <f t="shared" si="1882"/>
        <v>0</v>
      </c>
      <c r="PH281" s="56"/>
      <c r="PK281" s="55">
        <f t="shared" si="1883"/>
        <v>46262</v>
      </c>
      <c r="PL281" s="56"/>
      <c r="PM281" s="242">
        <f>SUMPRODUCT(PRODUCE!$B282:$DY282,PRODUCE!$EB$54:$IY$54)</f>
        <v>0</v>
      </c>
      <c r="PN281" s="56"/>
      <c r="PO281" s="242">
        <f t="shared" si="1884"/>
        <v>0</v>
      </c>
      <c r="PP281" s="242">
        <f t="shared" si="1885"/>
        <v>100</v>
      </c>
      <c r="PQ281" s="56"/>
      <c r="PT281" s="55">
        <f t="shared" si="1886"/>
        <v>46262</v>
      </c>
      <c r="PU281" s="56"/>
      <c r="PV281" s="242">
        <f>SUMPRODUCT(PRODUCE!$B282:$DY282,PRODUCE!$EB$55:$IY$55)</f>
        <v>0</v>
      </c>
      <c r="PW281" s="56"/>
      <c r="PX281" s="242">
        <f t="shared" si="1887"/>
        <v>0</v>
      </c>
      <c r="PY281" s="242">
        <f t="shared" si="1888"/>
        <v>13.960000000000036</v>
      </c>
      <c r="PZ281" s="56"/>
      <c r="QC281" s="55">
        <f t="shared" si="1889"/>
        <v>46262</v>
      </c>
      <c r="QD281" s="56"/>
      <c r="QE281" s="242">
        <f>SUMPRODUCT(PRODUCE!$B282:$DY282,PRODUCE!$EB$56:$IY$56)</f>
        <v>0</v>
      </c>
      <c r="QF281" s="56"/>
      <c r="QG281" s="242">
        <f t="shared" si="1890"/>
        <v>0</v>
      </c>
      <c r="QH281" s="242">
        <f t="shared" si="1891"/>
        <v>548</v>
      </c>
      <c r="QI281" s="56"/>
      <c r="QL281" s="55">
        <f t="shared" si="1892"/>
        <v>46262</v>
      </c>
      <c r="QM281" s="56"/>
      <c r="QN281" s="242">
        <f>SUMPRODUCT(PRODUCE!$B282:$DY282,PRODUCE!$EB$57:$IY$57)</f>
        <v>0</v>
      </c>
      <c r="QO281" s="56"/>
      <c r="QP281" s="242">
        <f t="shared" si="1893"/>
        <v>0</v>
      </c>
      <c r="QQ281" s="242">
        <f t="shared" si="1894"/>
        <v>0</v>
      </c>
      <c r="QR281" s="56"/>
      <c r="QU281" s="55">
        <f t="shared" si="1895"/>
        <v>46262</v>
      </c>
      <c r="QV281" s="56"/>
      <c r="QW281" s="242">
        <f>SUMPRODUCT(PRODUCE!$B282:$DY282,PRODUCE!$EB$57:$IY$57)</f>
        <v>0</v>
      </c>
      <c r="QX281" s="56"/>
      <c r="QY281" s="242">
        <f t="shared" si="1896"/>
        <v>0</v>
      </c>
      <c r="QZ281" s="242">
        <f t="shared" si="1897"/>
        <v>0</v>
      </c>
      <c r="RA281" s="56"/>
      <c r="RD281" s="55">
        <f t="shared" si="1898"/>
        <v>46262</v>
      </c>
      <c r="RE281" s="56"/>
      <c r="RF281" s="242">
        <f>SUMPRODUCT(PRODUCE!$B282:$DY282,PRODUCE!$EB$58:$IY$58)</f>
        <v>0</v>
      </c>
      <c r="RG281" s="56"/>
      <c r="RH281" s="242">
        <f t="shared" si="1899"/>
        <v>0</v>
      </c>
      <c r="RI281" s="242">
        <f t="shared" si="1900"/>
        <v>147.04000000000002</v>
      </c>
      <c r="RJ281" s="56"/>
      <c r="RM281" s="55">
        <f t="shared" si="1901"/>
        <v>46262</v>
      </c>
      <c r="RN281" s="56"/>
      <c r="RO281" s="242">
        <f>SUMPRODUCT(PRODUCE!$B282:$DY282,PRODUCE!$EB$59:$IY$59)</f>
        <v>0</v>
      </c>
      <c r="RP281" s="56"/>
      <c r="RQ281" s="242">
        <f t="shared" si="1902"/>
        <v>0</v>
      </c>
      <c r="RR281" s="242">
        <f t="shared" si="1903"/>
        <v>46.8</v>
      </c>
      <c r="RS281" s="56"/>
      <c r="RV281" s="55">
        <f t="shared" si="1904"/>
        <v>46262</v>
      </c>
      <c r="RW281" s="56"/>
      <c r="RX281" s="242">
        <f>SUMPRODUCT(PRODUCE!$B282:$DY282,PRODUCE!$EB$57:$IY$57)</f>
        <v>0</v>
      </c>
      <c r="RY281" s="56"/>
      <c r="RZ281" s="242">
        <f t="shared" si="1905"/>
        <v>0</v>
      </c>
      <c r="SA281" s="242">
        <f t="shared" si="1906"/>
        <v>0</v>
      </c>
      <c r="SB281" s="56"/>
      <c r="SE281" s="55">
        <f t="shared" si="1907"/>
        <v>46262</v>
      </c>
      <c r="SF281" s="56"/>
      <c r="SG281" s="242">
        <f>SUMPRODUCT(PRODUCE!$B282:$DY282,PRODUCE!$EB$61:$IY$61)</f>
        <v>0</v>
      </c>
      <c r="SH281" s="56"/>
      <c r="SI281" s="242">
        <f t="shared" si="1908"/>
        <v>0</v>
      </c>
      <c r="SJ281" s="242">
        <f t="shared" si="1909"/>
        <v>24.200000000000003</v>
      </c>
      <c r="SK281" s="56"/>
      <c r="SN281" s="55">
        <f t="shared" si="1910"/>
        <v>46262</v>
      </c>
      <c r="SO281" s="56"/>
      <c r="SP281" s="242">
        <f>SUMPRODUCT(PRODUCE!$B282:$DY282,PRODUCE!$EB$62:$IY$62)</f>
        <v>0</v>
      </c>
      <c r="SQ281" s="56"/>
      <c r="SR281" s="242">
        <f t="shared" si="1911"/>
        <v>0</v>
      </c>
      <c r="SS281" s="242">
        <f t="shared" si="1912"/>
        <v>32</v>
      </c>
      <c r="ST281" s="56"/>
      <c r="SW281" s="55">
        <f t="shared" si="1913"/>
        <v>46262</v>
      </c>
      <c r="SX281" s="56"/>
      <c r="SY281" s="242">
        <f>SUMPRODUCT(PRODUCE!$B282:$DY282,PRODUCE!$EB$57:$IY$57)</f>
        <v>0</v>
      </c>
      <c r="SZ281" s="56"/>
      <c r="TA281" s="242">
        <f t="shared" si="1914"/>
        <v>0</v>
      </c>
      <c r="TB281" s="242">
        <f t="shared" si="1915"/>
        <v>0</v>
      </c>
      <c r="TC281" s="56"/>
      <c r="TF281" s="55">
        <f t="shared" si="1916"/>
        <v>46262</v>
      </c>
      <c r="TG281" s="56"/>
      <c r="TH281" s="242">
        <f>SUMPRODUCT(PRODUCE!$B282:$DY282,PRODUCE!$EB$57:$IY$57)</f>
        <v>0</v>
      </c>
      <c r="TI281" s="56"/>
      <c r="TJ281" s="242">
        <f t="shared" si="1917"/>
        <v>0</v>
      </c>
      <c r="TK281" s="242">
        <f t="shared" si="1918"/>
        <v>0</v>
      </c>
      <c r="TL281" s="56"/>
      <c r="TO281" s="55">
        <f t="shared" si="1919"/>
        <v>46262</v>
      </c>
      <c r="TP281" s="56"/>
      <c r="TQ281" s="242">
        <f>SUMPRODUCT(PRODUCE!$B282:$DY282,PRODUCE!$EB$57:$IY$57)</f>
        <v>0</v>
      </c>
      <c r="TR281" s="56"/>
      <c r="TS281" s="242">
        <f t="shared" si="1920"/>
        <v>0</v>
      </c>
      <c r="TT281" s="242">
        <f t="shared" si="1921"/>
        <v>0</v>
      </c>
      <c r="TU281" s="56"/>
      <c r="TX281" s="55">
        <f t="shared" si="1922"/>
        <v>46262</v>
      </c>
      <c r="TY281" s="56"/>
      <c r="TZ281" s="242">
        <f>SUMPRODUCT(PRODUCE!$B282:$DY282,PRODUCE!$EB$57:$IY$57)</f>
        <v>0</v>
      </c>
      <c r="UA281" s="56"/>
      <c r="UB281" s="242">
        <f t="shared" si="1923"/>
        <v>0</v>
      </c>
      <c r="UC281" s="242">
        <f t="shared" si="1924"/>
        <v>46.799999999999983</v>
      </c>
      <c r="UD281" s="56"/>
      <c r="UG281" s="55">
        <f t="shared" si="1925"/>
        <v>46262</v>
      </c>
      <c r="UH281" s="56"/>
      <c r="UI281" s="242">
        <f>SUMPRODUCT(PRODUCE!$B282:$DY282,PRODUCE!$EB$57:$IY$57)</f>
        <v>0</v>
      </c>
      <c r="UJ281" s="56"/>
      <c r="UK281" s="242">
        <f t="shared" si="1926"/>
        <v>0</v>
      </c>
      <c r="UL281" s="242">
        <f t="shared" si="1927"/>
        <v>204</v>
      </c>
      <c r="UM281" s="56"/>
      <c r="UP281" s="55">
        <f t="shared" si="1928"/>
        <v>46262</v>
      </c>
      <c r="UQ281" s="56"/>
      <c r="UR281" s="242">
        <f>SUMPRODUCT(PRODUCE!$B282:$DY282,PRODUCE!$EB$57:$IY$57)</f>
        <v>0</v>
      </c>
      <c r="US281" s="56"/>
      <c r="UT281" s="242">
        <f t="shared" si="1929"/>
        <v>0</v>
      </c>
      <c r="UU281" s="242">
        <f t="shared" si="1930"/>
        <v>202.5</v>
      </c>
      <c r="UV281" s="56"/>
      <c r="UY281" s="55">
        <f t="shared" si="1931"/>
        <v>46262</v>
      </c>
      <c r="UZ281" s="56"/>
      <c r="VA281" s="242">
        <f>SUMPRODUCT(PRODUCE!$B282:$DY282,PRODUCE!$EB$57:$IY$57)</f>
        <v>0</v>
      </c>
      <c r="VB281" s="56"/>
      <c r="VC281" s="242">
        <f t="shared" si="1932"/>
        <v>0</v>
      </c>
      <c r="VD281" s="242">
        <f t="shared" si="1933"/>
        <v>41.600000000000023</v>
      </c>
      <c r="VE281" s="56"/>
      <c r="VH281" s="55">
        <f t="shared" si="1934"/>
        <v>46262</v>
      </c>
      <c r="VI281" s="56"/>
      <c r="VJ281" s="242">
        <f>SUMPRODUCT(PRODUCE!$B282:$DY282,PRODUCE!$EB$57:$IY$57)</f>
        <v>0</v>
      </c>
      <c r="VK281" s="56"/>
      <c r="VL281" s="242">
        <f t="shared" si="1935"/>
        <v>0</v>
      </c>
      <c r="VM281" s="242">
        <f t="shared" si="1936"/>
        <v>210</v>
      </c>
      <c r="VN281" s="56"/>
      <c r="VQ281" s="55">
        <f t="shared" si="1937"/>
        <v>46262</v>
      </c>
      <c r="VR281" s="56"/>
      <c r="VS281" s="242">
        <f>SUMPRODUCT(PRODUCE!$B282:$DY282,PRODUCE!$EB$57:$IY$57)</f>
        <v>0</v>
      </c>
      <c r="VT281" s="56"/>
      <c r="VU281" s="242">
        <f t="shared" si="1938"/>
        <v>0</v>
      </c>
      <c r="VV281" s="242">
        <f t="shared" si="1939"/>
        <v>0</v>
      </c>
      <c r="VW281" s="56"/>
      <c r="VZ281" s="55">
        <f t="shared" si="1940"/>
        <v>46262</v>
      </c>
      <c r="WA281" s="56"/>
      <c r="WB281" s="242">
        <f>SUMPRODUCT(PRODUCE!$B282:$DY282,PRODUCE!$EB$57:$IY$57)</f>
        <v>0</v>
      </c>
      <c r="WC281" s="56"/>
      <c r="WD281" s="242">
        <f t="shared" si="1941"/>
        <v>0</v>
      </c>
      <c r="WE281" s="242">
        <f t="shared" si="1942"/>
        <v>0</v>
      </c>
      <c r="WF281" s="56"/>
      <c r="WI281" s="55">
        <f t="shared" si="1943"/>
        <v>46262</v>
      </c>
      <c r="WJ281" s="56"/>
      <c r="WK281" s="242">
        <f>SUMPRODUCT(PRODUCE!$B282:$DY282,PRODUCE!$EB$57:$IY$57)</f>
        <v>0</v>
      </c>
      <c r="WL281" s="56"/>
      <c r="WM281" s="242">
        <f t="shared" si="1944"/>
        <v>0</v>
      </c>
      <c r="WN281" s="242">
        <f t="shared" si="1945"/>
        <v>1057</v>
      </c>
      <c r="WO281" s="56"/>
      <c r="WR281" s="55">
        <f t="shared" si="1946"/>
        <v>46262</v>
      </c>
      <c r="WS281" s="56"/>
      <c r="WT281" s="242">
        <f>SUMPRODUCT(PRODUCE!$B282:$DY282,PRODUCE!$EB$57:$IY$57)</f>
        <v>0</v>
      </c>
      <c r="WU281" s="56"/>
      <c r="WV281" s="242">
        <f t="shared" si="1947"/>
        <v>0</v>
      </c>
      <c r="WW281" s="242">
        <f t="shared" si="1948"/>
        <v>0</v>
      </c>
      <c r="WX281" s="56"/>
      <c r="XA281" s="55">
        <f t="shared" si="1949"/>
        <v>46262</v>
      </c>
      <c r="XB281" s="56"/>
      <c r="XC281" s="242">
        <f>SUMPRODUCT(PRODUCE!$B282:$DY282,PRODUCE!$EB$57:$IY$57)</f>
        <v>0</v>
      </c>
      <c r="XD281" s="56"/>
      <c r="XE281" s="242">
        <f t="shared" si="1950"/>
        <v>0</v>
      </c>
      <c r="XF281" s="242">
        <f t="shared" si="1951"/>
        <v>7507</v>
      </c>
      <c r="XG281" s="56"/>
      <c r="XJ281" s="55">
        <f t="shared" si="1952"/>
        <v>46262</v>
      </c>
      <c r="XK281" s="56"/>
      <c r="XL281" s="242">
        <f>SUMPRODUCT(PRODUCE!$B282:$DY282,PRODUCE!$EB$57:$IY$57)</f>
        <v>0</v>
      </c>
      <c r="XM281" s="56"/>
      <c r="XN281" s="242">
        <f t="shared" si="1953"/>
        <v>0</v>
      </c>
      <c r="XO281" s="242">
        <f t="shared" si="1954"/>
        <v>4252</v>
      </c>
      <c r="XP281" s="56"/>
      <c r="XS281" s="55">
        <f t="shared" si="1955"/>
        <v>46262</v>
      </c>
      <c r="XT281" s="56"/>
      <c r="XU281" s="242">
        <f>SUMPRODUCT(PRODUCE!$B282:$DY282,PRODUCE!$EB$57:$IY$57)</f>
        <v>0</v>
      </c>
      <c r="XV281" s="56"/>
      <c r="XW281" s="242">
        <f t="shared" si="1956"/>
        <v>0</v>
      </c>
      <c r="XX281" s="242">
        <f t="shared" si="1957"/>
        <v>2179</v>
      </c>
      <c r="XY281" s="56"/>
      <c r="YB281" s="55">
        <f t="shared" si="1958"/>
        <v>46262</v>
      </c>
      <c r="YC281" s="56"/>
      <c r="YD281" s="242">
        <f>SUMPRODUCT(PRODUCE!$B282:$DY282,PRODUCE!$EB$57:$IY$57)</f>
        <v>0</v>
      </c>
      <c r="YE281" s="56"/>
      <c r="YF281" s="242">
        <f t="shared" si="1959"/>
        <v>0</v>
      </c>
      <c r="YG281" s="242">
        <f t="shared" si="1960"/>
        <v>4019</v>
      </c>
      <c r="YH281" s="56"/>
      <c r="YK281" s="55">
        <f t="shared" si="1961"/>
        <v>46262</v>
      </c>
      <c r="YL281" s="56"/>
      <c r="YM281" s="242">
        <f>SUMPRODUCT(PRODUCE!$B282:$DY282,PRODUCE!$EB$57:$IY$57)</f>
        <v>0</v>
      </c>
      <c r="YN281" s="56"/>
      <c r="YO281" s="242">
        <f t="shared" si="1962"/>
        <v>0</v>
      </c>
      <c r="YP281" s="242">
        <f t="shared" si="1963"/>
        <v>-218</v>
      </c>
      <c r="YQ281" s="56"/>
      <c r="YT281" s="55">
        <f t="shared" si="1964"/>
        <v>46262</v>
      </c>
      <c r="YU281" s="56"/>
      <c r="YV281" s="242">
        <f>SUMPRODUCT(PRODUCE!$B282:$DY282,PRODUCE!$EB$57:$IY$57)</f>
        <v>0</v>
      </c>
      <c r="YW281" s="56"/>
      <c r="YX281" s="242">
        <f t="shared" si="1965"/>
        <v>0</v>
      </c>
      <c r="YY281" s="242">
        <f t="shared" si="1966"/>
        <v>0</v>
      </c>
      <c r="YZ281" s="56"/>
      <c r="ZC281" s="55">
        <f t="shared" si="1967"/>
        <v>46262</v>
      </c>
      <c r="ZD281" s="56"/>
      <c r="ZE281" s="242">
        <f>SUMPRODUCT(PRODUCE!$B282:$DY282,PRODUCE!$EB$57:$IY$57)</f>
        <v>0</v>
      </c>
      <c r="ZF281" s="56"/>
      <c r="ZG281" s="242">
        <f t="shared" si="1968"/>
        <v>0</v>
      </c>
      <c r="ZH281" s="242">
        <f t="shared" si="1969"/>
        <v>0</v>
      </c>
      <c r="ZI281" s="56"/>
      <c r="ZL281" s="55">
        <f t="shared" si="1970"/>
        <v>46262</v>
      </c>
      <c r="ZM281" s="56"/>
      <c r="ZN281" s="242">
        <f>SUMPRODUCT(PRODUCE!$B282:$DY282,PRODUCE!$EB$57:$IY$57)</f>
        <v>0</v>
      </c>
      <c r="ZO281" s="56"/>
      <c r="ZP281" s="242">
        <f t="shared" si="1971"/>
        <v>0</v>
      </c>
      <c r="ZQ281" s="242">
        <f t="shared" si="1972"/>
        <v>0</v>
      </c>
      <c r="ZR281" s="56"/>
      <c r="ZU281" s="55">
        <f t="shared" si="1973"/>
        <v>46262</v>
      </c>
      <c r="ZV281" s="56"/>
      <c r="ZW281" s="242">
        <f>SUMPRODUCT(PRODUCE!$B282:$DY282,PRODUCE!$EB$57:$IY$57)</f>
        <v>0</v>
      </c>
      <c r="ZX281" s="56"/>
      <c r="ZY281" s="242">
        <f t="shared" si="1974"/>
        <v>0</v>
      </c>
      <c r="ZZ281" s="242">
        <f t="shared" si="1975"/>
        <v>0</v>
      </c>
      <c r="AAA281" s="56"/>
      <c r="AAD281" s="55">
        <f t="shared" si="1976"/>
        <v>46262</v>
      </c>
      <c r="AAE281" s="56"/>
      <c r="AAF281" s="242">
        <f>SUMPRODUCT(PRODUCE!$B282:$DY282,PRODUCE!$EB$57:$IY$57)</f>
        <v>0</v>
      </c>
      <c r="AAG281" s="56"/>
      <c r="AAH281" s="242">
        <f t="shared" si="1977"/>
        <v>0</v>
      </c>
      <c r="AAI281" s="242">
        <f t="shared" si="1978"/>
        <v>0</v>
      </c>
      <c r="AAJ281" s="56"/>
      <c r="AAM281" s="55">
        <f t="shared" si="1979"/>
        <v>46262</v>
      </c>
      <c r="AAN281" s="56"/>
      <c r="AAO281" s="242">
        <f>SUMPRODUCT(PRODUCE!$B282:$DY282,PRODUCE!$EB$57:$IY$57)</f>
        <v>0</v>
      </c>
      <c r="AAP281" s="56"/>
      <c r="AAQ281" s="242">
        <f t="shared" si="1980"/>
        <v>0</v>
      </c>
      <c r="AAR281" s="242">
        <f t="shared" si="1981"/>
        <v>0</v>
      </c>
      <c r="AAS281" s="56"/>
      <c r="AAV281" s="55">
        <f t="shared" si="1982"/>
        <v>46262</v>
      </c>
      <c r="AAW281" s="56"/>
      <c r="AAX281" s="242">
        <f>SUMPRODUCT(PRODUCE!$B282:$DY282,PRODUCE!$EB$57:$IY$57)</f>
        <v>0</v>
      </c>
      <c r="AAY281" s="56"/>
      <c r="AAZ281" s="242">
        <f t="shared" si="1983"/>
        <v>0</v>
      </c>
      <c r="ABA281" s="242">
        <f t="shared" si="1984"/>
        <v>0</v>
      </c>
      <c r="ABB281" s="56"/>
      <c r="ABE281" s="55">
        <f t="shared" si="1985"/>
        <v>46262</v>
      </c>
      <c r="ABF281" s="56"/>
      <c r="ABG281" s="242">
        <f>SUMPRODUCT(PRODUCE!$B282:$DY282,PRODUCE!$EB$57:$IY$57)</f>
        <v>0</v>
      </c>
      <c r="ABH281" s="56"/>
      <c r="ABI281" s="242">
        <f t="shared" si="1986"/>
        <v>0</v>
      </c>
      <c r="ABJ281" s="242">
        <f t="shared" si="1987"/>
        <v>0</v>
      </c>
      <c r="ABK281" s="56"/>
    </row>
    <row r="282" spans="1:739" s="54" customFormat="1" ht="15" customHeight="1" outlineLevel="1">
      <c r="B282" s="478"/>
      <c r="C282" s="55">
        <v>46263</v>
      </c>
      <c r="D282" s="56"/>
      <c r="E282" s="57">
        <f>SUMPRODUCT(PRODUCE!$B283:$DY283,PRODUCE!$EB$7:$IY$7)</f>
        <v>0</v>
      </c>
      <c r="F282" s="56"/>
      <c r="G282" s="57">
        <f t="shared" si="1743"/>
        <v>0</v>
      </c>
      <c r="H282" s="57">
        <f t="shared" si="1744"/>
        <v>236936.6</v>
      </c>
      <c r="I282" s="289"/>
      <c r="L282" s="55">
        <f t="shared" si="1745"/>
        <v>46263</v>
      </c>
      <c r="M282" s="56"/>
      <c r="N282" s="59">
        <f>SUMPRODUCT(PRODUCE!$B283:$DY283,PRODUCE!$EB$8:$IY$8)</f>
        <v>0</v>
      </c>
      <c r="O282" s="56"/>
      <c r="P282" s="59">
        <f t="shared" si="1746"/>
        <v>0</v>
      </c>
      <c r="Q282" s="59">
        <f t="shared" si="1747"/>
        <v>53017.600000000071</v>
      </c>
      <c r="R282" s="56"/>
      <c r="U282" s="55">
        <f t="shared" si="1748"/>
        <v>46263</v>
      </c>
      <c r="V282" s="56"/>
      <c r="W282" s="60">
        <f>SUMPRODUCT(PRODUCE!$B283:$DY283,PRODUCE!$EB$9:$IY$9)</f>
        <v>0</v>
      </c>
      <c r="X282" s="56"/>
      <c r="Y282" s="60">
        <f t="shared" si="1749"/>
        <v>0</v>
      </c>
      <c r="Z282" s="60">
        <f t="shared" si="1750"/>
        <v>42674.199999999968</v>
      </c>
      <c r="AA282" s="56"/>
      <c r="AD282" s="55">
        <f t="shared" si="1751"/>
        <v>46263</v>
      </c>
      <c r="AE282" s="56"/>
      <c r="AF282" s="61">
        <f>SUMPRODUCT(PRODUCE!$B283:$DY283,PRODUCE!$EB$10:$IY$10)</f>
        <v>0</v>
      </c>
      <c r="AG282" s="56"/>
      <c r="AH282" s="61">
        <f t="shared" si="1752"/>
        <v>0</v>
      </c>
      <c r="AI282" s="61">
        <f t="shared" si="1753"/>
        <v>4522.2000000000189</v>
      </c>
      <c r="AJ282" s="56"/>
      <c r="AM282" s="55">
        <f t="shared" si="1754"/>
        <v>46263</v>
      </c>
      <c r="AN282" s="422"/>
      <c r="AO282" s="444">
        <f>SUMPRODUCT(PRODUCE!$B283:$DY283,PRODUCE!$EB$11:$IY$11)</f>
        <v>0</v>
      </c>
      <c r="AP282" s="422"/>
      <c r="AQ282" s="444">
        <f t="shared" si="1755"/>
        <v>0</v>
      </c>
      <c r="AR282" s="444">
        <f t="shared" si="1756"/>
        <v>0</v>
      </c>
      <c r="AS282" s="56"/>
      <c r="AV282" s="55">
        <f t="shared" si="1757"/>
        <v>46263</v>
      </c>
      <c r="AW282" s="56"/>
      <c r="AX282" s="62">
        <f>SUMPRODUCT(PRODUCE!$B283:$DY283,PRODUCE!$EB$12:$IY$12)</f>
        <v>0</v>
      </c>
      <c r="AY282" s="56"/>
      <c r="AZ282" s="62">
        <f t="shared" si="1758"/>
        <v>0</v>
      </c>
      <c r="BA282" s="62">
        <f t="shared" si="1759"/>
        <v>124.99999999999523</v>
      </c>
      <c r="BB282" s="56"/>
      <c r="BE282" s="55">
        <f t="shared" si="1760"/>
        <v>46263</v>
      </c>
      <c r="BF282" s="56"/>
      <c r="BG282" s="63">
        <f>SUMPRODUCT(PRODUCE!$B283:$DY283,PRODUCE!$EB$13:$IY$13)</f>
        <v>0</v>
      </c>
      <c r="BH282" s="56"/>
      <c r="BI282" s="63">
        <f t="shared" si="1761"/>
        <v>0</v>
      </c>
      <c r="BJ282" s="63">
        <f t="shared" si="1762"/>
        <v>26151.899999999998</v>
      </c>
      <c r="BK282" s="56"/>
      <c r="BN282" s="55">
        <f t="shared" si="1763"/>
        <v>46263</v>
      </c>
      <c r="BO282" s="56"/>
      <c r="BP282" s="64">
        <f>SUMPRODUCT(PRODUCE!$B283:$DY283,PRODUCE!$EB$14:$IY$14)</f>
        <v>0</v>
      </c>
      <c r="BQ282" s="56"/>
      <c r="BR282" s="64">
        <f t="shared" si="1764"/>
        <v>0</v>
      </c>
      <c r="BS282" s="64">
        <f t="shared" si="1765"/>
        <v>0</v>
      </c>
      <c r="BT282" s="56"/>
      <c r="BW282" s="55">
        <f t="shared" si="1766"/>
        <v>46263</v>
      </c>
      <c r="BX282" s="56"/>
      <c r="BY282" s="65">
        <f>SUMPRODUCT(PRODUCE!$B283:$DY283,PRODUCE!$EB$15:$IY$15)</f>
        <v>0</v>
      </c>
      <c r="BZ282" s="56"/>
      <c r="CA282" s="65">
        <f t="shared" si="1767"/>
        <v>0</v>
      </c>
      <c r="CB282" s="65">
        <f t="shared" si="1768"/>
        <v>2097.3399999999992</v>
      </c>
      <c r="CC282" s="56"/>
      <c r="CF282" s="55">
        <f t="shared" si="1769"/>
        <v>46263</v>
      </c>
      <c r="CG282" s="56"/>
      <c r="CH282" s="66">
        <f>SUMPRODUCT(PRODUCE!$B283:$DY283,PRODUCE!$EB$16:$IY$16)</f>
        <v>0</v>
      </c>
      <c r="CI282" s="56"/>
      <c r="CJ282" s="66">
        <f t="shared" si="1770"/>
        <v>0</v>
      </c>
      <c r="CK282" s="66">
        <f t="shared" si="1771"/>
        <v>-10277.079999999998</v>
      </c>
      <c r="CL282" s="56"/>
      <c r="CO282" s="55">
        <f t="shared" si="1772"/>
        <v>46263</v>
      </c>
      <c r="CP282" s="422"/>
      <c r="CQ282" s="470">
        <f>SUMPRODUCT(PRODUCE!$B283:$DY283,PRODUCE!$EB$17:$IY$17)</f>
        <v>0</v>
      </c>
      <c r="CR282" s="422"/>
      <c r="CS282" s="470">
        <f t="shared" si="1773"/>
        <v>0</v>
      </c>
      <c r="CT282" s="470">
        <f t="shared" si="1774"/>
        <v>0</v>
      </c>
      <c r="CU282" s="56"/>
      <c r="CX282" s="55">
        <f t="shared" si="1775"/>
        <v>46263</v>
      </c>
      <c r="CY282" s="56"/>
      <c r="CZ282" s="133">
        <f>SUMPRODUCT(PRODUCE!$B283:$DY283,PRODUCE!$EB$18:$IY$18)</f>
        <v>0</v>
      </c>
      <c r="DA282" s="56"/>
      <c r="DB282" s="133">
        <f t="shared" si="1776"/>
        <v>0</v>
      </c>
      <c r="DC282" s="133">
        <f t="shared" si="1777"/>
        <v>27438.200000000012</v>
      </c>
      <c r="DD282" s="56"/>
      <c r="DG282" s="55">
        <f t="shared" si="1778"/>
        <v>46263</v>
      </c>
      <c r="DH282" s="56"/>
      <c r="DI282" s="147">
        <f>SUMPRODUCT(PRODUCE!$B283:$DY283,PRODUCE!$EB$19:$IY$19)</f>
        <v>0</v>
      </c>
      <c r="DJ282" s="56"/>
      <c r="DK282" s="147">
        <f t="shared" si="1779"/>
        <v>0</v>
      </c>
      <c r="DL282" s="147">
        <f t="shared" si="1780"/>
        <v>18782.299999999981</v>
      </c>
      <c r="DM282" s="56"/>
      <c r="DP282" s="55">
        <f t="shared" si="1781"/>
        <v>46263</v>
      </c>
      <c r="DQ282" s="56"/>
      <c r="DR282" s="57">
        <f>SUMPRODUCT(PRODUCE!$B283:$DY283,PRODUCE!$EB$20:$IY$20)</f>
        <v>0</v>
      </c>
      <c r="DS282" s="56"/>
      <c r="DT282" s="57">
        <f t="shared" si="1782"/>
        <v>0</v>
      </c>
      <c r="DU282" s="57">
        <f t="shared" si="1783"/>
        <v>5800</v>
      </c>
      <c r="DV282" s="56"/>
      <c r="DY282" s="55">
        <f t="shared" si="1784"/>
        <v>46263</v>
      </c>
      <c r="DZ282" s="56"/>
      <c r="EA282" s="157">
        <f>SUMPRODUCT(PRODUCE!$B283:$DY283,PRODUCE!$EB$21:$IY$21)</f>
        <v>0</v>
      </c>
      <c r="EB282" s="56"/>
      <c r="EC282" s="157">
        <f t="shared" si="1785"/>
        <v>0</v>
      </c>
      <c r="ED282" s="157">
        <f t="shared" si="1786"/>
        <v>0</v>
      </c>
      <c r="EE282" s="56"/>
      <c r="EH282" s="55">
        <f t="shared" si="1787"/>
        <v>46263</v>
      </c>
      <c r="EI282" s="56"/>
      <c r="EJ282" s="162">
        <f>SUMPRODUCT(PRODUCE!$B283:$DY283,PRODUCE!$EB$22:$IY$22)</f>
        <v>0</v>
      </c>
      <c r="EK282" s="56"/>
      <c r="EL282" s="162">
        <f t="shared" si="1788"/>
        <v>0</v>
      </c>
      <c r="EM282" s="162">
        <f t="shared" si="1789"/>
        <v>0</v>
      </c>
      <c r="EN282" s="56"/>
      <c r="EQ282" s="55">
        <f t="shared" si="1790"/>
        <v>46263</v>
      </c>
      <c r="ER282" s="56"/>
      <c r="ES282" s="135">
        <f>SUMPRODUCT(PRODUCE!$B283:$DY283,PRODUCE!$EB$23:$IY$23)</f>
        <v>0</v>
      </c>
      <c r="ET282" s="56"/>
      <c r="EU282" s="135">
        <f t="shared" si="1791"/>
        <v>0</v>
      </c>
      <c r="EV282" s="135">
        <f t="shared" si="1792"/>
        <v>0</v>
      </c>
      <c r="EW282" s="56"/>
      <c r="EZ282" s="55">
        <f t="shared" si="1793"/>
        <v>46263</v>
      </c>
      <c r="FA282" s="56"/>
      <c r="FB282" s="175">
        <f>SUMPRODUCT(PRODUCE!$B283:$DY283,PRODUCE!$EB$24:$IY$24)</f>
        <v>0</v>
      </c>
      <c r="FC282" s="56"/>
      <c r="FD282" s="175">
        <f t="shared" si="1794"/>
        <v>0</v>
      </c>
      <c r="FE282" s="175">
        <f t="shared" si="1795"/>
        <v>0</v>
      </c>
      <c r="FF282" s="56"/>
      <c r="FI282" s="55">
        <f t="shared" si="1796"/>
        <v>46263</v>
      </c>
      <c r="FJ282" s="56"/>
      <c r="FK282" s="183">
        <f>SUMPRODUCT(PRODUCE!$B283:$DY283,PRODUCE!$EB$25:$IY$25)</f>
        <v>0</v>
      </c>
      <c r="FL282" s="56"/>
      <c r="FM282" s="183">
        <f t="shared" si="1797"/>
        <v>0</v>
      </c>
      <c r="FN282" s="183">
        <f t="shared" si="1798"/>
        <v>0</v>
      </c>
      <c r="FO282" s="56"/>
      <c r="FR282" s="55">
        <f t="shared" si="1799"/>
        <v>46263</v>
      </c>
      <c r="FS282" s="56"/>
      <c r="FT282" s="186">
        <f>SUMPRODUCT(PRODUCE!$B283:$DY283,PRODUCE!$EB$26:$IY$26)</f>
        <v>0</v>
      </c>
      <c r="FU282" s="56"/>
      <c r="FV282" s="186">
        <f t="shared" si="1800"/>
        <v>0</v>
      </c>
      <c r="FW282" s="186">
        <f t="shared" si="1801"/>
        <v>2020</v>
      </c>
      <c r="FX282" s="56"/>
      <c r="GA282" s="55">
        <f t="shared" si="1802"/>
        <v>46263</v>
      </c>
      <c r="GB282" s="56"/>
      <c r="GC282" s="137">
        <f>SUMPRODUCT(PRODUCE!$B283:$DY283,PRODUCE!$EB$27:$IY$27)</f>
        <v>0</v>
      </c>
      <c r="GD282" s="56"/>
      <c r="GE282" s="137">
        <f t="shared" si="1803"/>
        <v>0</v>
      </c>
      <c r="GF282" s="137">
        <f t="shared" si="1804"/>
        <v>960</v>
      </c>
      <c r="GG282" s="56"/>
      <c r="GI282" s="23"/>
      <c r="GJ282" s="55">
        <f t="shared" si="1805"/>
        <v>46263</v>
      </c>
      <c r="GK282" s="56"/>
      <c r="GL282" s="199">
        <f>SUMPRODUCT(PRODUCE!$B283:$DY283,PRODUCE!$EB$28:$IY$28)</f>
        <v>0</v>
      </c>
      <c r="GM282" s="56"/>
      <c r="GN282" s="199">
        <f t="shared" si="1806"/>
        <v>0</v>
      </c>
      <c r="GO282" s="199">
        <f t="shared" si="1807"/>
        <v>1760</v>
      </c>
      <c r="GP282" s="56"/>
      <c r="GS282" s="55">
        <f t="shared" si="1808"/>
        <v>46263</v>
      </c>
      <c r="GT282" s="56"/>
      <c r="GU282" s="195">
        <f>SUMPRODUCT(PRODUCE!$B283:$DY283,PRODUCE!$EB$29:$IY$29)</f>
        <v>0</v>
      </c>
      <c r="GV282" s="56"/>
      <c r="GW282" s="195">
        <f t="shared" si="1809"/>
        <v>0</v>
      </c>
      <c r="GX282" s="195">
        <f t="shared" si="1810"/>
        <v>400</v>
      </c>
      <c r="GY282" s="56"/>
      <c r="HB282" s="55">
        <f t="shared" si="1811"/>
        <v>46263</v>
      </c>
      <c r="HC282" s="56"/>
      <c r="HD282" s="191">
        <f>SUMPRODUCT(PRODUCE!$B283:$DY283,PRODUCE!$EB$30:$IY$30)</f>
        <v>0</v>
      </c>
      <c r="HE282" s="56"/>
      <c r="HF282" s="191">
        <f t="shared" si="1812"/>
        <v>0</v>
      </c>
      <c r="HG282" s="191">
        <f t="shared" si="1813"/>
        <v>3600</v>
      </c>
      <c r="HH282" s="56"/>
      <c r="HK282" s="55">
        <f t="shared" si="1814"/>
        <v>46263</v>
      </c>
      <c r="HL282" s="56"/>
      <c r="HM282" s="63">
        <f>SUMPRODUCT(PRODUCE!$B283:$DY283,PRODUCE!$EB$31:$IY$31)</f>
        <v>0</v>
      </c>
      <c r="HN282" s="56"/>
      <c r="HO282" s="63">
        <f t="shared" si="1815"/>
        <v>0</v>
      </c>
      <c r="HP282" s="63">
        <f t="shared" si="1816"/>
        <v>0</v>
      </c>
      <c r="HQ282" s="56"/>
      <c r="HU282" s="55">
        <f t="shared" si="1817"/>
        <v>46263</v>
      </c>
      <c r="HV282" s="56"/>
      <c r="HW282" s="242">
        <f>SUMPRODUCT(PRODUCE!$B283:$DY283,PRODUCE!$EB$32:$IY$32)</f>
        <v>0</v>
      </c>
      <c r="HX282" s="56"/>
      <c r="HY282" s="242">
        <f t="shared" si="1818"/>
        <v>0</v>
      </c>
      <c r="HZ282" s="242">
        <f t="shared" si="1819"/>
        <v>6120</v>
      </c>
      <c r="IA282" s="56"/>
      <c r="ID282" s="55">
        <f t="shared" si="1820"/>
        <v>46263</v>
      </c>
      <c r="IE282" s="56"/>
      <c r="IF282" s="242">
        <f>SUMPRODUCT(PRODUCE!$B283:$DY283,PRODUCE!$EB$33:$IY$33)</f>
        <v>0</v>
      </c>
      <c r="IG282" s="56"/>
      <c r="IH282" s="242">
        <f t="shared" si="1821"/>
        <v>0</v>
      </c>
      <c r="II282" s="242">
        <f t="shared" si="1822"/>
        <v>0</v>
      </c>
      <c r="IJ282" s="56"/>
      <c r="IM282" s="55">
        <f t="shared" si="1823"/>
        <v>46263</v>
      </c>
      <c r="IN282" s="56"/>
      <c r="IO282" s="242">
        <f>SUMPRODUCT(PRODUCE!$B283:$DY283,PRODUCE!$EB$34:$IY$34)</f>
        <v>0</v>
      </c>
      <c r="IP282" s="56"/>
      <c r="IQ282" s="242">
        <f t="shared" si="1824"/>
        <v>0</v>
      </c>
      <c r="IR282" s="242">
        <f t="shared" si="1825"/>
        <v>0</v>
      </c>
      <c r="IS282" s="56"/>
      <c r="IV282" s="55">
        <f t="shared" si="1826"/>
        <v>46263</v>
      </c>
      <c r="IW282" s="56"/>
      <c r="IX282" s="242">
        <f>SUMPRODUCT(PRODUCE!$B283:$DY283,PRODUCE!$EB$35:$IY$35)</f>
        <v>0</v>
      </c>
      <c r="IY282" s="56"/>
      <c r="IZ282" s="242">
        <f t="shared" si="1827"/>
        <v>0</v>
      </c>
      <c r="JA282" s="242">
        <f t="shared" si="1828"/>
        <v>2820</v>
      </c>
      <c r="JB282" s="56"/>
      <c r="JE282" s="55">
        <f t="shared" si="1829"/>
        <v>46263</v>
      </c>
      <c r="JF282" s="56"/>
      <c r="JG282" s="242">
        <f>SUMPRODUCT(PRODUCE!$B283:$DY283,PRODUCE!$EB$36:$IY$36)</f>
        <v>0</v>
      </c>
      <c r="JH282" s="56"/>
      <c r="JI282" s="242">
        <f t="shared" si="1830"/>
        <v>0</v>
      </c>
      <c r="JJ282" s="242">
        <f t="shared" si="1831"/>
        <v>0</v>
      </c>
      <c r="JK282" s="56"/>
      <c r="JN282" s="55">
        <f t="shared" si="1832"/>
        <v>46263</v>
      </c>
      <c r="JO282" s="56"/>
      <c r="JP282" s="242">
        <f>SUMPRODUCT(PRODUCE!$B283:$DY283,PRODUCE!$EB$37:$IY$37)</f>
        <v>0</v>
      </c>
      <c r="JQ282" s="56"/>
      <c r="JR282" s="242">
        <f t="shared" si="1833"/>
        <v>0</v>
      </c>
      <c r="JS282" s="242">
        <f t="shared" si="1834"/>
        <v>0</v>
      </c>
      <c r="JT282" s="56"/>
      <c r="JW282" s="55">
        <f t="shared" si="1835"/>
        <v>46263</v>
      </c>
      <c r="JX282" s="56"/>
      <c r="JY282" s="242">
        <f>SUMPRODUCT(PRODUCE!$B283:$DY283,PRODUCE!$EB$38:$IY$38)</f>
        <v>0</v>
      </c>
      <c r="JZ282" s="56"/>
      <c r="KA282" s="242">
        <f t="shared" si="1836"/>
        <v>0</v>
      </c>
      <c r="KB282" s="242">
        <f t="shared" si="1837"/>
        <v>2540</v>
      </c>
      <c r="KC282" s="56"/>
      <c r="KF282" s="55">
        <f t="shared" si="1838"/>
        <v>46263</v>
      </c>
      <c r="KG282" s="56"/>
      <c r="KH282" s="242">
        <f>SUMPRODUCT(PRODUCE!$B283:$DY283,PRODUCE!$EB$39:$IY$39)</f>
        <v>0</v>
      </c>
      <c r="KI282" s="56"/>
      <c r="KJ282" s="242">
        <f t="shared" si="1839"/>
        <v>0</v>
      </c>
      <c r="KK282" s="242">
        <f t="shared" si="1840"/>
        <v>2359.5</v>
      </c>
      <c r="KL282" s="56"/>
      <c r="KO282" s="55">
        <f t="shared" si="1841"/>
        <v>46263</v>
      </c>
      <c r="KP282" s="56"/>
      <c r="KQ282" s="242">
        <f>SUMPRODUCT(PRODUCE!$B283:$DY283,PRODUCE!$EB$40:$IY$40)</f>
        <v>0</v>
      </c>
      <c r="KR282" s="56"/>
      <c r="KS282" s="242">
        <f t="shared" si="1842"/>
        <v>0</v>
      </c>
      <c r="KT282" s="242">
        <f t="shared" si="1843"/>
        <v>1890</v>
      </c>
      <c r="KU282" s="56"/>
      <c r="KW282" s="23"/>
      <c r="KX282" s="55">
        <f t="shared" si="1844"/>
        <v>46263</v>
      </c>
      <c r="KY282" s="56"/>
      <c r="KZ282" s="242">
        <f>SUMPRODUCT(PRODUCE!$B283:$DY283,PRODUCE!$EB$41:$IY$41)</f>
        <v>0</v>
      </c>
      <c r="LA282" s="56"/>
      <c r="LB282" s="242">
        <f t="shared" si="1845"/>
        <v>0</v>
      </c>
      <c r="LC282" s="242">
        <f t="shared" si="1846"/>
        <v>3690</v>
      </c>
      <c r="LD282" s="56"/>
      <c r="LG282" s="55">
        <f t="shared" si="1847"/>
        <v>46263</v>
      </c>
      <c r="LH282" s="56"/>
      <c r="LI282" s="242">
        <f>SUMPRODUCT(PRODUCE!$B283:$DY283,PRODUCE!$EB$42:$IY$42)</f>
        <v>0</v>
      </c>
      <c r="LJ282" s="56"/>
      <c r="LK282" s="242">
        <f t="shared" si="1848"/>
        <v>0</v>
      </c>
      <c r="LL282" s="242">
        <f t="shared" si="1849"/>
        <v>4000</v>
      </c>
      <c r="LM282" s="56"/>
      <c r="LP282" s="55">
        <f t="shared" si="1850"/>
        <v>46263</v>
      </c>
      <c r="LQ282" s="56"/>
      <c r="LR282" s="242">
        <f>SUMPRODUCT(PRODUCE!$B297:$DY297,PRODUCE!$EB$43:$IY$43)</f>
        <v>0</v>
      </c>
      <c r="LS282" s="56"/>
      <c r="LT282" s="242">
        <f t="shared" si="1851"/>
        <v>0</v>
      </c>
      <c r="LU282" s="242">
        <f t="shared" si="1852"/>
        <v>0</v>
      </c>
      <c r="LV282" s="56"/>
      <c r="LY282" s="55">
        <f t="shared" si="1853"/>
        <v>46263</v>
      </c>
      <c r="LZ282" s="56"/>
      <c r="MA282" s="242">
        <f>SUMPRODUCT(PRODUCE!$B283:$DY283,PRODUCE!$EB$44:$IY$44)</f>
        <v>0</v>
      </c>
      <c r="MB282" s="56"/>
      <c r="MC282" s="242">
        <f t="shared" si="1854"/>
        <v>0</v>
      </c>
      <c r="MD282" s="242">
        <f t="shared" si="1855"/>
        <v>0</v>
      </c>
      <c r="ME282" s="56"/>
      <c r="MH282" s="55">
        <f t="shared" si="1856"/>
        <v>46263</v>
      </c>
      <c r="MI282" s="56"/>
      <c r="MJ282" s="242">
        <f>SUMPRODUCT(PRODUCE!$B283:$DY283,PRODUCE!$EB$45:$IY$45)</f>
        <v>0</v>
      </c>
      <c r="MK282" s="56"/>
      <c r="ML282" s="242">
        <f t="shared" si="1857"/>
        <v>0</v>
      </c>
      <c r="MM282" s="242">
        <f t="shared" si="1858"/>
        <v>0</v>
      </c>
      <c r="MN282" s="56"/>
      <c r="MQ282" s="55">
        <f t="shared" si="1859"/>
        <v>46263</v>
      </c>
      <c r="MR282" s="56"/>
      <c r="MS282" s="242">
        <f>SUMPRODUCT(PRODUCE!$B283:$DY283,PRODUCE!$EB$46:$IY$46)</f>
        <v>0</v>
      </c>
      <c r="MT282" s="56"/>
      <c r="MU282" s="242">
        <f t="shared" si="1860"/>
        <v>0</v>
      </c>
      <c r="MV282" s="242">
        <f t="shared" si="1861"/>
        <v>1625</v>
      </c>
      <c r="MW282" s="56"/>
      <c r="MZ282" s="55">
        <f t="shared" si="1862"/>
        <v>46263</v>
      </c>
      <c r="NA282" s="56"/>
      <c r="NB282" s="242">
        <f>SUMPRODUCT(PRODUCE!$B283:$DY283,PRODUCE!$EB$47:$IY$47)</f>
        <v>0</v>
      </c>
      <c r="NC282" s="56"/>
      <c r="ND282" s="242">
        <f t="shared" si="1863"/>
        <v>0</v>
      </c>
      <c r="NE282" s="242">
        <f t="shared" si="1864"/>
        <v>0</v>
      </c>
      <c r="NF282" s="56"/>
      <c r="NI282" s="55">
        <f t="shared" si="1865"/>
        <v>46263</v>
      </c>
      <c r="NJ282" s="56"/>
      <c r="NK282" s="242">
        <f>SUMPRODUCT(PRODUCE!$B283:$DY283,PRODUCE!$EB$48:$IY$48)</f>
        <v>0</v>
      </c>
      <c r="NL282" s="56"/>
      <c r="NM282" s="242">
        <f t="shared" si="1866"/>
        <v>0</v>
      </c>
      <c r="NN282" s="242">
        <f t="shared" si="1867"/>
        <v>1127</v>
      </c>
      <c r="NO282" s="56"/>
      <c r="NR282" s="55">
        <f t="shared" si="1868"/>
        <v>46263</v>
      </c>
      <c r="NS282" s="56"/>
      <c r="NT282" s="242">
        <f>SUMPRODUCT(PRODUCE!$B283:$DY283,PRODUCE!$EB$49:$IY$49)</f>
        <v>0</v>
      </c>
      <c r="NU282" s="56"/>
      <c r="NV282" s="242">
        <f t="shared" si="1869"/>
        <v>0</v>
      </c>
      <c r="NW282" s="242">
        <f t="shared" si="1870"/>
        <v>3111.9999999999995</v>
      </c>
      <c r="NX282" s="56"/>
      <c r="OA282" s="55">
        <f t="shared" si="1871"/>
        <v>46263</v>
      </c>
      <c r="OB282" s="56"/>
      <c r="OC282" s="242">
        <f>SUMPRODUCT(PRODUCE!$B283:$DY283,PRODUCE!$EB$50:$IY$50)</f>
        <v>0</v>
      </c>
      <c r="OD282" s="56"/>
      <c r="OE282" s="242">
        <f t="shared" si="1872"/>
        <v>0</v>
      </c>
      <c r="OF282" s="242">
        <f t="shared" si="1873"/>
        <v>1680.5</v>
      </c>
      <c r="OG282" s="56"/>
      <c r="OJ282" s="55">
        <f t="shared" si="1874"/>
        <v>46263</v>
      </c>
      <c r="OK282" s="56"/>
      <c r="OL282" s="242">
        <f>SUMPRODUCT(PRODUCE!$B283:$DY283,PRODUCE!$EB$51:$IY$51)</f>
        <v>0</v>
      </c>
      <c r="OM282" s="56"/>
      <c r="ON282" s="242">
        <f t="shared" si="1875"/>
        <v>0</v>
      </c>
      <c r="OO282" s="242">
        <f t="shared" si="1876"/>
        <v>0</v>
      </c>
      <c r="OP282" s="56"/>
      <c r="OS282" s="55">
        <f t="shared" si="1877"/>
        <v>46263</v>
      </c>
      <c r="OT282" s="56"/>
      <c r="OU282" s="242">
        <f>SUMPRODUCT(PRODUCE!$B283:$DY283,PRODUCE!$EB$52:$IY$52)</f>
        <v>0</v>
      </c>
      <c r="OV282" s="56"/>
      <c r="OW282" s="242">
        <f t="shared" si="1878"/>
        <v>0</v>
      </c>
      <c r="OX282" s="242">
        <f t="shared" si="1879"/>
        <v>1482</v>
      </c>
      <c r="OY282" s="56"/>
      <c r="PB282" s="55">
        <f t="shared" si="1880"/>
        <v>46263</v>
      </c>
      <c r="PC282" s="56"/>
      <c r="PD282" s="242">
        <f>SUMPRODUCT(PRODUCE!$B283:$DY283,PRODUCE!$EB$53:$IY$53)</f>
        <v>0</v>
      </c>
      <c r="PE282" s="56"/>
      <c r="PF282" s="242">
        <f t="shared" si="1881"/>
        <v>0</v>
      </c>
      <c r="PG282" s="242">
        <f t="shared" si="1882"/>
        <v>0</v>
      </c>
      <c r="PH282" s="56"/>
      <c r="PK282" s="55">
        <f t="shared" si="1883"/>
        <v>46263</v>
      </c>
      <c r="PL282" s="56"/>
      <c r="PM282" s="242">
        <f>SUMPRODUCT(PRODUCE!$B283:$DY283,PRODUCE!$EB$54:$IY$54)</f>
        <v>0</v>
      </c>
      <c r="PN282" s="56"/>
      <c r="PO282" s="242">
        <f t="shared" si="1884"/>
        <v>0</v>
      </c>
      <c r="PP282" s="242">
        <f t="shared" si="1885"/>
        <v>100</v>
      </c>
      <c r="PQ282" s="56"/>
      <c r="PT282" s="55">
        <f t="shared" si="1886"/>
        <v>46263</v>
      </c>
      <c r="PU282" s="56"/>
      <c r="PV282" s="242">
        <f>SUMPRODUCT(PRODUCE!$B283:$DY283,PRODUCE!$EB$55:$IY$55)</f>
        <v>0</v>
      </c>
      <c r="PW282" s="56"/>
      <c r="PX282" s="242">
        <f t="shared" si="1887"/>
        <v>0</v>
      </c>
      <c r="PY282" s="242">
        <f t="shared" si="1888"/>
        <v>13.960000000000036</v>
      </c>
      <c r="PZ282" s="56"/>
      <c r="QC282" s="55">
        <f t="shared" si="1889"/>
        <v>46263</v>
      </c>
      <c r="QD282" s="56"/>
      <c r="QE282" s="242">
        <f>SUMPRODUCT(PRODUCE!$B283:$DY283,PRODUCE!$EB$56:$IY$56)</f>
        <v>0</v>
      </c>
      <c r="QF282" s="56"/>
      <c r="QG282" s="242">
        <f t="shared" si="1890"/>
        <v>0</v>
      </c>
      <c r="QH282" s="242">
        <f t="shared" si="1891"/>
        <v>548</v>
      </c>
      <c r="QI282" s="56"/>
      <c r="QL282" s="55">
        <f t="shared" si="1892"/>
        <v>46263</v>
      </c>
      <c r="QM282" s="56"/>
      <c r="QN282" s="242">
        <f>SUMPRODUCT(PRODUCE!$B283:$DY283,PRODUCE!$EB$57:$IY$57)</f>
        <v>0</v>
      </c>
      <c r="QO282" s="56"/>
      <c r="QP282" s="242">
        <f t="shared" si="1893"/>
        <v>0</v>
      </c>
      <c r="QQ282" s="242">
        <f t="shared" si="1894"/>
        <v>0</v>
      </c>
      <c r="QR282" s="56"/>
      <c r="QU282" s="55">
        <f t="shared" si="1895"/>
        <v>46263</v>
      </c>
      <c r="QV282" s="56"/>
      <c r="QW282" s="242">
        <f>SUMPRODUCT(PRODUCE!$B283:$DY283,PRODUCE!$EB$57:$IY$57)</f>
        <v>0</v>
      </c>
      <c r="QX282" s="56"/>
      <c r="QY282" s="242">
        <f t="shared" si="1896"/>
        <v>0</v>
      </c>
      <c r="QZ282" s="242">
        <f t="shared" si="1897"/>
        <v>0</v>
      </c>
      <c r="RA282" s="56"/>
      <c r="RD282" s="55">
        <f t="shared" si="1898"/>
        <v>46263</v>
      </c>
      <c r="RE282" s="56"/>
      <c r="RF282" s="242">
        <f>SUMPRODUCT(PRODUCE!$B283:$DY283,PRODUCE!$EB$58:$IY$58)</f>
        <v>0</v>
      </c>
      <c r="RG282" s="56"/>
      <c r="RH282" s="242">
        <f t="shared" si="1899"/>
        <v>0</v>
      </c>
      <c r="RI282" s="242">
        <f t="shared" si="1900"/>
        <v>147.04000000000002</v>
      </c>
      <c r="RJ282" s="56"/>
      <c r="RM282" s="55">
        <f t="shared" si="1901"/>
        <v>46263</v>
      </c>
      <c r="RN282" s="56"/>
      <c r="RO282" s="242">
        <f>SUMPRODUCT(PRODUCE!$B283:$DY283,PRODUCE!$EB$59:$IY$59)</f>
        <v>0</v>
      </c>
      <c r="RP282" s="56"/>
      <c r="RQ282" s="242">
        <f t="shared" si="1902"/>
        <v>0</v>
      </c>
      <c r="RR282" s="242">
        <f t="shared" si="1903"/>
        <v>46.8</v>
      </c>
      <c r="RS282" s="56"/>
      <c r="RV282" s="55">
        <f t="shared" si="1904"/>
        <v>46263</v>
      </c>
      <c r="RW282" s="56"/>
      <c r="RX282" s="242">
        <f>SUMPRODUCT(PRODUCE!$B283:$DY283,PRODUCE!$EB$57:$IY$57)</f>
        <v>0</v>
      </c>
      <c r="RY282" s="56"/>
      <c r="RZ282" s="242">
        <f t="shared" si="1905"/>
        <v>0</v>
      </c>
      <c r="SA282" s="242">
        <f t="shared" si="1906"/>
        <v>0</v>
      </c>
      <c r="SB282" s="56"/>
      <c r="SE282" s="55">
        <f t="shared" si="1907"/>
        <v>46263</v>
      </c>
      <c r="SF282" s="56"/>
      <c r="SG282" s="242">
        <f>SUMPRODUCT(PRODUCE!$B283:$DY283,PRODUCE!$EB$61:$IY$61)</f>
        <v>0</v>
      </c>
      <c r="SH282" s="56"/>
      <c r="SI282" s="242">
        <f t="shared" si="1908"/>
        <v>0</v>
      </c>
      <c r="SJ282" s="242">
        <f t="shared" si="1909"/>
        <v>24.200000000000003</v>
      </c>
      <c r="SK282" s="56"/>
      <c r="SN282" s="55">
        <f t="shared" si="1910"/>
        <v>46263</v>
      </c>
      <c r="SO282" s="56"/>
      <c r="SP282" s="242">
        <f>SUMPRODUCT(PRODUCE!$B283:$DY283,PRODUCE!$EB$62:$IY$62)</f>
        <v>0</v>
      </c>
      <c r="SQ282" s="56"/>
      <c r="SR282" s="242">
        <f t="shared" si="1911"/>
        <v>0</v>
      </c>
      <c r="SS282" s="242">
        <f t="shared" si="1912"/>
        <v>32</v>
      </c>
      <c r="ST282" s="56"/>
      <c r="SW282" s="55">
        <f t="shared" si="1913"/>
        <v>46263</v>
      </c>
      <c r="SX282" s="56"/>
      <c r="SY282" s="242">
        <f>SUMPRODUCT(PRODUCE!$B283:$DY283,PRODUCE!$EB$57:$IY$57)</f>
        <v>0</v>
      </c>
      <c r="SZ282" s="56"/>
      <c r="TA282" s="242">
        <f t="shared" si="1914"/>
        <v>0</v>
      </c>
      <c r="TB282" s="242">
        <f t="shared" si="1915"/>
        <v>0</v>
      </c>
      <c r="TC282" s="56"/>
      <c r="TF282" s="55">
        <f t="shared" si="1916"/>
        <v>46263</v>
      </c>
      <c r="TG282" s="56"/>
      <c r="TH282" s="242">
        <f>SUMPRODUCT(PRODUCE!$B283:$DY283,PRODUCE!$EB$57:$IY$57)</f>
        <v>0</v>
      </c>
      <c r="TI282" s="56"/>
      <c r="TJ282" s="242">
        <f t="shared" si="1917"/>
        <v>0</v>
      </c>
      <c r="TK282" s="242">
        <f t="shared" si="1918"/>
        <v>0</v>
      </c>
      <c r="TL282" s="56"/>
      <c r="TO282" s="55">
        <f t="shared" si="1919"/>
        <v>46263</v>
      </c>
      <c r="TP282" s="56"/>
      <c r="TQ282" s="242">
        <f>SUMPRODUCT(PRODUCE!$B283:$DY283,PRODUCE!$EB$57:$IY$57)</f>
        <v>0</v>
      </c>
      <c r="TR282" s="56"/>
      <c r="TS282" s="242">
        <f t="shared" si="1920"/>
        <v>0</v>
      </c>
      <c r="TT282" s="242">
        <f t="shared" si="1921"/>
        <v>0</v>
      </c>
      <c r="TU282" s="56"/>
      <c r="TX282" s="55">
        <f t="shared" si="1922"/>
        <v>46263</v>
      </c>
      <c r="TY282" s="56"/>
      <c r="TZ282" s="242">
        <f>SUMPRODUCT(PRODUCE!$B283:$DY283,PRODUCE!$EB$57:$IY$57)</f>
        <v>0</v>
      </c>
      <c r="UA282" s="56"/>
      <c r="UB282" s="242">
        <f t="shared" si="1923"/>
        <v>0</v>
      </c>
      <c r="UC282" s="242">
        <f t="shared" si="1924"/>
        <v>46.799999999999983</v>
      </c>
      <c r="UD282" s="56"/>
      <c r="UG282" s="55">
        <f t="shared" si="1925"/>
        <v>46263</v>
      </c>
      <c r="UH282" s="56"/>
      <c r="UI282" s="242">
        <f>SUMPRODUCT(PRODUCE!$B283:$DY283,PRODUCE!$EB$57:$IY$57)</f>
        <v>0</v>
      </c>
      <c r="UJ282" s="56"/>
      <c r="UK282" s="242">
        <f t="shared" si="1926"/>
        <v>0</v>
      </c>
      <c r="UL282" s="242">
        <f t="shared" si="1927"/>
        <v>204</v>
      </c>
      <c r="UM282" s="56"/>
      <c r="UP282" s="55">
        <f t="shared" si="1928"/>
        <v>46263</v>
      </c>
      <c r="UQ282" s="56"/>
      <c r="UR282" s="242">
        <f>SUMPRODUCT(PRODUCE!$B283:$DY283,PRODUCE!$EB$57:$IY$57)</f>
        <v>0</v>
      </c>
      <c r="US282" s="56"/>
      <c r="UT282" s="242">
        <f t="shared" si="1929"/>
        <v>0</v>
      </c>
      <c r="UU282" s="242">
        <f t="shared" si="1930"/>
        <v>202.5</v>
      </c>
      <c r="UV282" s="56"/>
      <c r="UY282" s="55">
        <f t="shared" si="1931"/>
        <v>46263</v>
      </c>
      <c r="UZ282" s="56"/>
      <c r="VA282" s="242">
        <f>SUMPRODUCT(PRODUCE!$B283:$DY283,PRODUCE!$EB$57:$IY$57)</f>
        <v>0</v>
      </c>
      <c r="VB282" s="56"/>
      <c r="VC282" s="242">
        <f t="shared" si="1932"/>
        <v>0</v>
      </c>
      <c r="VD282" s="242">
        <f t="shared" si="1933"/>
        <v>41.600000000000023</v>
      </c>
      <c r="VE282" s="56"/>
      <c r="VH282" s="55">
        <f t="shared" si="1934"/>
        <v>46263</v>
      </c>
      <c r="VI282" s="56"/>
      <c r="VJ282" s="242">
        <f>SUMPRODUCT(PRODUCE!$B283:$DY283,PRODUCE!$EB$57:$IY$57)</f>
        <v>0</v>
      </c>
      <c r="VK282" s="56"/>
      <c r="VL282" s="242">
        <f t="shared" si="1935"/>
        <v>0</v>
      </c>
      <c r="VM282" s="242">
        <f t="shared" si="1936"/>
        <v>210</v>
      </c>
      <c r="VN282" s="56"/>
      <c r="VQ282" s="55">
        <f t="shared" si="1937"/>
        <v>46263</v>
      </c>
      <c r="VR282" s="56"/>
      <c r="VS282" s="242">
        <f>SUMPRODUCT(PRODUCE!$B283:$DY283,PRODUCE!$EB$57:$IY$57)</f>
        <v>0</v>
      </c>
      <c r="VT282" s="56"/>
      <c r="VU282" s="242">
        <f t="shared" si="1938"/>
        <v>0</v>
      </c>
      <c r="VV282" s="242">
        <f t="shared" si="1939"/>
        <v>0</v>
      </c>
      <c r="VW282" s="56"/>
      <c r="VZ282" s="55">
        <f t="shared" si="1940"/>
        <v>46263</v>
      </c>
      <c r="WA282" s="56"/>
      <c r="WB282" s="242">
        <f>SUMPRODUCT(PRODUCE!$B283:$DY283,PRODUCE!$EB$57:$IY$57)</f>
        <v>0</v>
      </c>
      <c r="WC282" s="56"/>
      <c r="WD282" s="242">
        <f t="shared" si="1941"/>
        <v>0</v>
      </c>
      <c r="WE282" s="242">
        <f t="shared" si="1942"/>
        <v>0</v>
      </c>
      <c r="WF282" s="56"/>
      <c r="WI282" s="55">
        <f t="shared" si="1943"/>
        <v>46263</v>
      </c>
      <c r="WJ282" s="56"/>
      <c r="WK282" s="242">
        <f>SUMPRODUCT(PRODUCE!$B283:$DY283,PRODUCE!$EB$57:$IY$57)</f>
        <v>0</v>
      </c>
      <c r="WL282" s="56"/>
      <c r="WM282" s="242">
        <f t="shared" si="1944"/>
        <v>0</v>
      </c>
      <c r="WN282" s="242">
        <f t="shared" si="1945"/>
        <v>1057</v>
      </c>
      <c r="WO282" s="56"/>
      <c r="WR282" s="55">
        <f t="shared" si="1946"/>
        <v>46263</v>
      </c>
      <c r="WS282" s="56"/>
      <c r="WT282" s="242">
        <f>SUMPRODUCT(PRODUCE!$B283:$DY283,PRODUCE!$EB$57:$IY$57)</f>
        <v>0</v>
      </c>
      <c r="WU282" s="56"/>
      <c r="WV282" s="242">
        <f t="shared" si="1947"/>
        <v>0</v>
      </c>
      <c r="WW282" s="242">
        <f t="shared" si="1948"/>
        <v>0</v>
      </c>
      <c r="WX282" s="56"/>
      <c r="XA282" s="55">
        <f t="shared" si="1949"/>
        <v>46263</v>
      </c>
      <c r="XB282" s="56"/>
      <c r="XC282" s="242">
        <f>SUMPRODUCT(PRODUCE!$B283:$DY283,PRODUCE!$EB$57:$IY$57)</f>
        <v>0</v>
      </c>
      <c r="XD282" s="56"/>
      <c r="XE282" s="242">
        <f t="shared" si="1950"/>
        <v>0</v>
      </c>
      <c r="XF282" s="242">
        <f t="shared" si="1951"/>
        <v>7507</v>
      </c>
      <c r="XG282" s="56"/>
      <c r="XJ282" s="55">
        <f t="shared" si="1952"/>
        <v>46263</v>
      </c>
      <c r="XK282" s="56"/>
      <c r="XL282" s="242">
        <f>SUMPRODUCT(PRODUCE!$B283:$DY283,PRODUCE!$EB$57:$IY$57)</f>
        <v>0</v>
      </c>
      <c r="XM282" s="56"/>
      <c r="XN282" s="242">
        <f t="shared" si="1953"/>
        <v>0</v>
      </c>
      <c r="XO282" s="242">
        <f t="shared" si="1954"/>
        <v>4252</v>
      </c>
      <c r="XP282" s="56"/>
      <c r="XS282" s="55">
        <f t="shared" si="1955"/>
        <v>46263</v>
      </c>
      <c r="XT282" s="56"/>
      <c r="XU282" s="242">
        <f>SUMPRODUCT(PRODUCE!$B283:$DY283,PRODUCE!$EB$57:$IY$57)</f>
        <v>0</v>
      </c>
      <c r="XV282" s="56"/>
      <c r="XW282" s="242">
        <f t="shared" si="1956"/>
        <v>0</v>
      </c>
      <c r="XX282" s="242">
        <f t="shared" si="1957"/>
        <v>2179</v>
      </c>
      <c r="XY282" s="56"/>
      <c r="YB282" s="55">
        <f t="shared" si="1958"/>
        <v>46263</v>
      </c>
      <c r="YC282" s="56"/>
      <c r="YD282" s="242">
        <f>SUMPRODUCT(PRODUCE!$B283:$DY283,PRODUCE!$EB$57:$IY$57)</f>
        <v>0</v>
      </c>
      <c r="YE282" s="56"/>
      <c r="YF282" s="242">
        <f t="shared" si="1959"/>
        <v>0</v>
      </c>
      <c r="YG282" s="242">
        <f t="shared" si="1960"/>
        <v>4019</v>
      </c>
      <c r="YH282" s="56"/>
      <c r="YK282" s="55">
        <f t="shared" si="1961"/>
        <v>46263</v>
      </c>
      <c r="YL282" s="56"/>
      <c r="YM282" s="242">
        <f>SUMPRODUCT(PRODUCE!$B283:$DY283,PRODUCE!$EB$57:$IY$57)</f>
        <v>0</v>
      </c>
      <c r="YN282" s="56"/>
      <c r="YO282" s="242">
        <f t="shared" si="1962"/>
        <v>0</v>
      </c>
      <c r="YP282" s="242">
        <f t="shared" si="1963"/>
        <v>-218</v>
      </c>
      <c r="YQ282" s="56"/>
      <c r="YT282" s="55">
        <f t="shared" si="1964"/>
        <v>46263</v>
      </c>
      <c r="YU282" s="56"/>
      <c r="YV282" s="242">
        <f>SUMPRODUCT(PRODUCE!$B283:$DY283,PRODUCE!$EB$57:$IY$57)</f>
        <v>0</v>
      </c>
      <c r="YW282" s="56"/>
      <c r="YX282" s="242">
        <f t="shared" si="1965"/>
        <v>0</v>
      </c>
      <c r="YY282" s="242">
        <f t="shared" si="1966"/>
        <v>0</v>
      </c>
      <c r="YZ282" s="56"/>
      <c r="ZC282" s="55">
        <f t="shared" si="1967"/>
        <v>46263</v>
      </c>
      <c r="ZD282" s="56"/>
      <c r="ZE282" s="242">
        <f>SUMPRODUCT(PRODUCE!$B283:$DY283,PRODUCE!$EB$57:$IY$57)</f>
        <v>0</v>
      </c>
      <c r="ZF282" s="56"/>
      <c r="ZG282" s="242">
        <f t="shared" si="1968"/>
        <v>0</v>
      </c>
      <c r="ZH282" s="242">
        <f t="shared" si="1969"/>
        <v>0</v>
      </c>
      <c r="ZI282" s="56"/>
      <c r="ZL282" s="55">
        <f t="shared" si="1970"/>
        <v>46263</v>
      </c>
      <c r="ZM282" s="56"/>
      <c r="ZN282" s="242">
        <f>SUMPRODUCT(PRODUCE!$B283:$DY283,PRODUCE!$EB$57:$IY$57)</f>
        <v>0</v>
      </c>
      <c r="ZO282" s="56"/>
      <c r="ZP282" s="242">
        <f t="shared" si="1971"/>
        <v>0</v>
      </c>
      <c r="ZQ282" s="242">
        <f t="shared" si="1972"/>
        <v>0</v>
      </c>
      <c r="ZR282" s="56"/>
      <c r="ZU282" s="55">
        <f t="shared" si="1973"/>
        <v>46263</v>
      </c>
      <c r="ZV282" s="56"/>
      <c r="ZW282" s="242">
        <f>SUMPRODUCT(PRODUCE!$B283:$DY283,PRODUCE!$EB$57:$IY$57)</f>
        <v>0</v>
      </c>
      <c r="ZX282" s="56"/>
      <c r="ZY282" s="242">
        <f t="shared" si="1974"/>
        <v>0</v>
      </c>
      <c r="ZZ282" s="242">
        <f t="shared" si="1975"/>
        <v>0</v>
      </c>
      <c r="AAA282" s="56"/>
      <c r="AAD282" s="55">
        <f t="shared" si="1976"/>
        <v>46263</v>
      </c>
      <c r="AAE282" s="56"/>
      <c r="AAF282" s="242">
        <f>SUMPRODUCT(PRODUCE!$B283:$DY283,PRODUCE!$EB$57:$IY$57)</f>
        <v>0</v>
      </c>
      <c r="AAG282" s="56"/>
      <c r="AAH282" s="242">
        <f t="shared" si="1977"/>
        <v>0</v>
      </c>
      <c r="AAI282" s="242">
        <f t="shared" si="1978"/>
        <v>0</v>
      </c>
      <c r="AAJ282" s="56"/>
      <c r="AAM282" s="55">
        <f t="shared" si="1979"/>
        <v>46263</v>
      </c>
      <c r="AAN282" s="56"/>
      <c r="AAO282" s="242">
        <f>SUMPRODUCT(PRODUCE!$B283:$DY283,PRODUCE!$EB$57:$IY$57)</f>
        <v>0</v>
      </c>
      <c r="AAP282" s="56"/>
      <c r="AAQ282" s="242">
        <f t="shared" si="1980"/>
        <v>0</v>
      </c>
      <c r="AAR282" s="242">
        <f t="shared" si="1981"/>
        <v>0</v>
      </c>
      <c r="AAS282" s="56"/>
      <c r="AAV282" s="55">
        <f t="shared" si="1982"/>
        <v>46263</v>
      </c>
      <c r="AAW282" s="56"/>
      <c r="AAX282" s="242">
        <f>SUMPRODUCT(PRODUCE!$B283:$DY283,PRODUCE!$EB$57:$IY$57)</f>
        <v>0</v>
      </c>
      <c r="AAY282" s="56"/>
      <c r="AAZ282" s="242">
        <f t="shared" si="1983"/>
        <v>0</v>
      </c>
      <c r="ABA282" s="242">
        <f t="shared" si="1984"/>
        <v>0</v>
      </c>
      <c r="ABB282" s="56"/>
      <c r="ABE282" s="55">
        <f t="shared" si="1985"/>
        <v>46263</v>
      </c>
      <c r="ABF282" s="56"/>
      <c r="ABG282" s="242">
        <f>SUMPRODUCT(PRODUCE!$B283:$DY283,PRODUCE!$EB$57:$IY$57)</f>
        <v>0</v>
      </c>
      <c r="ABH282" s="56"/>
      <c r="ABI282" s="242">
        <f t="shared" si="1986"/>
        <v>0</v>
      </c>
      <c r="ABJ282" s="242">
        <f t="shared" si="1987"/>
        <v>0</v>
      </c>
      <c r="ABK282" s="56"/>
    </row>
    <row r="283" spans="1:739" s="54" customFormat="1" ht="15" customHeight="1" outlineLevel="1">
      <c r="B283" s="478"/>
      <c r="C283" s="55">
        <v>46264</v>
      </c>
      <c r="D283" s="56"/>
      <c r="E283" s="57">
        <f>SUMPRODUCT(PRODUCE!$B284:$DY284,PRODUCE!$EB$7:$IY$7)</f>
        <v>0</v>
      </c>
      <c r="F283" s="56"/>
      <c r="G283" s="57">
        <f t="shared" si="1743"/>
        <v>0</v>
      </c>
      <c r="H283" s="57">
        <f t="shared" si="1744"/>
        <v>236936.6</v>
      </c>
      <c r="I283" s="289"/>
      <c r="L283" s="55">
        <f t="shared" si="1745"/>
        <v>46264</v>
      </c>
      <c r="M283" s="56"/>
      <c r="N283" s="59">
        <f>SUMPRODUCT(PRODUCE!$B284:$DY284,PRODUCE!$EB$8:$IY$8)</f>
        <v>0</v>
      </c>
      <c r="O283" s="56"/>
      <c r="P283" s="59">
        <f t="shared" si="1746"/>
        <v>0</v>
      </c>
      <c r="Q283" s="59">
        <f t="shared" si="1747"/>
        <v>53017.600000000071</v>
      </c>
      <c r="R283" s="56"/>
      <c r="U283" s="55">
        <f t="shared" si="1748"/>
        <v>46264</v>
      </c>
      <c r="V283" s="56"/>
      <c r="W283" s="60">
        <f>SUMPRODUCT(PRODUCE!$B284:$DY284,PRODUCE!$EB$9:$IY$9)</f>
        <v>0</v>
      </c>
      <c r="X283" s="56"/>
      <c r="Y283" s="60">
        <f t="shared" si="1749"/>
        <v>0</v>
      </c>
      <c r="Z283" s="60">
        <f t="shared" si="1750"/>
        <v>42674.199999999968</v>
      </c>
      <c r="AA283" s="56"/>
      <c r="AD283" s="55">
        <f t="shared" si="1751"/>
        <v>46264</v>
      </c>
      <c r="AE283" s="56"/>
      <c r="AF283" s="61">
        <f>SUMPRODUCT(PRODUCE!$B284:$DY284,PRODUCE!$EB$10:$IY$10)</f>
        <v>0</v>
      </c>
      <c r="AG283" s="56"/>
      <c r="AH283" s="61">
        <f t="shared" si="1752"/>
        <v>0</v>
      </c>
      <c r="AI283" s="61">
        <f t="shared" si="1753"/>
        <v>4522.2000000000189</v>
      </c>
      <c r="AJ283" s="56"/>
      <c r="AM283" s="55">
        <f t="shared" si="1754"/>
        <v>46264</v>
      </c>
      <c r="AN283" s="422"/>
      <c r="AO283" s="444">
        <f>SUMPRODUCT(PRODUCE!$B284:$DY284,PRODUCE!$EB$11:$IY$11)</f>
        <v>0</v>
      </c>
      <c r="AP283" s="422"/>
      <c r="AQ283" s="444">
        <f t="shared" si="1755"/>
        <v>0</v>
      </c>
      <c r="AR283" s="444">
        <f t="shared" si="1756"/>
        <v>0</v>
      </c>
      <c r="AS283" s="56"/>
      <c r="AV283" s="55">
        <f t="shared" si="1757"/>
        <v>46264</v>
      </c>
      <c r="AW283" s="56"/>
      <c r="AX283" s="62">
        <f>SUMPRODUCT(PRODUCE!$B284:$DY284,PRODUCE!$EB$12:$IY$12)</f>
        <v>0</v>
      </c>
      <c r="AY283" s="56"/>
      <c r="AZ283" s="62">
        <f t="shared" si="1758"/>
        <v>0</v>
      </c>
      <c r="BA283" s="62">
        <f t="shared" si="1759"/>
        <v>124.99999999999523</v>
      </c>
      <c r="BB283" s="56"/>
      <c r="BE283" s="55">
        <f t="shared" si="1760"/>
        <v>46264</v>
      </c>
      <c r="BF283" s="56"/>
      <c r="BG283" s="63">
        <f>SUMPRODUCT(PRODUCE!$B284:$DY284,PRODUCE!$EB$13:$IY$13)</f>
        <v>0</v>
      </c>
      <c r="BH283" s="56"/>
      <c r="BI283" s="63">
        <f t="shared" si="1761"/>
        <v>0</v>
      </c>
      <c r="BJ283" s="63">
        <f t="shared" si="1762"/>
        <v>26151.899999999998</v>
      </c>
      <c r="BK283" s="56"/>
      <c r="BN283" s="55">
        <f t="shared" si="1763"/>
        <v>46264</v>
      </c>
      <c r="BO283" s="56"/>
      <c r="BP283" s="64">
        <f>SUMPRODUCT(PRODUCE!$B284:$DY284,PRODUCE!$EB$14:$IY$14)</f>
        <v>0</v>
      </c>
      <c r="BQ283" s="56"/>
      <c r="BR283" s="64">
        <f t="shared" si="1764"/>
        <v>0</v>
      </c>
      <c r="BS283" s="64">
        <f t="shared" si="1765"/>
        <v>0</v>
      </c>
      <c r="BT283" s="56"/>
      <c r="BW283" s="55">
        <f t="shared" si="1766"/>
        <v>46264</v>
      </c>
      <c r="BX283" s="56"/>
      <c r="BY283" s="65">
        <f>SUMPRODUCT(PRODUCE!$B284:$DY284,PRODUCE!$EB$15:$IY$15)</f>
        <v>0</v>
      </c>
      <c r="BZ283" s="56"/>
      <c r="CA283" s="65">
        <f t="shared" si="1767"/>
        <v>0</v>
      </c>
      <c r="CB283" s="65">
        <f t="shared" si="1768"/>
        <v>2097.3399999999992</v>
      </c>
      <c r="CC283" s="56"/>
      <c r="CF283" s="55">
        <f t="shared" si="1769"/>
        <v>46264</v>
      </c>
      <c r="CG283" s="56"/>
      <c r="CH283" s="66">
        <f>SUMPRODUCT(PRODUCE!$B284:$DY284,PRODUCE!$EB$16:$IY$16)</f>
        <v>0</v>
      </c>
      <c r="CI283" s="56"/>
      <c r="CJ283" s="66">
        <f t="shared" si="1770"/>
        <v>0</v>
      </c>
      <c r="CK283" s="66">
        <f t="shared" si="1771"/>
        <v>-10277.079999999998</v>
      </c>
      <c r="CL283" s="56"/>
      <c r="CO283" s="55">
        <f t="shared" si="1772"/>
        <v>46264</v>
      </c>
      <c r="CP283" s="422"/>
      <c r="CQ283" s="470">
        <f>SUMPRODUCT(PRODUCE!$B284:$DY284,PRODUCE!$EB$17:$IY$17)</f>
        <v>0</v>
      </c>
      <c r="CR283" s="422"/>
      <c r="CS283" s="470">
        <f t="shared" si="1773"/>
        <v>0</v>
      </c>
      <c r="CT283" s="470">
        <f t="shared" si="1774"/>
        <v>0</v>
      </c>
      <c r="CU283" s="56"/>
      <c r="CX283" s="55">
        <f t="shared" si="1775"/>
        <v>46264</v>
      </c>
      <c r="CY283" s="56"/>
      <c r="CZ283" s="133">
        <f>SUMPRODUCT(PRODUCE!$B284:$DY284,PRODUCE!$EB$18:$IY$18)</f>
        <v>0</v>
      </c>
      <c r="DA283" s="56"/>
      <c r="DB283" s="133">
        <f t="shared" si="1776"/>
        <v>0</v>
      </c>
      <c r="DC283" s="133">
        <f t="shared" si="1777"/>
        <v>27438.200000000012</v>
      </c>
      <c r="DD283" s="56"/>
      <c r="DG283" s="55">
        <f t="shared" si="1778"/>
        <v>46264</v>
      </c>
      <c r="DH283" s="56"/>
      <c r="DI283" s="147">
        <f>SUMPRODUCT(PRODUCE!$B284:$DY284,PRODUCE!$EB$19:$IY$19)</f>
        <v>0</v>
      </c>
      <c r="DJ283" s="56"/>
      <c r="DK283" s="147">
        <f t="shared" si="1779"/>
        <v>0</v>
      </c>
      <c r="DL283" s="147">
        <f t="shared" si="1780"/>
        <v>18782.299999999981</v>
      </c>
      <c r="DM283" s="56"/>
      <c r="DP283" s="55">
        <f t="shared" si="1781"/>
        <v>46264</v>
      </c>
      <c r="DQ283" s="56"/>
      <c r="DR283" s="57">
        <f>SUMPRODUCT(PRODUCE!$B284:$DY284,PRODUCE!$EB$20:$IY$20)</f>
        <v>0</v>
      </c>
      <c r="DS283" s="56"/>
      <c r="DT283" s="57">
        <f t="shared" si="1782"/>
        <v>0</v>
      </c>
      <c r="DU283" s="57">
        <f t="shared" si="1783"/>
        <v>5800</v>
      </c>
      <c r="DV283" s="56"/>
      <c r="DY283" s="55">
        <f t="shared" si="1784"/>
        <v>46264</v>
      </c>
      <c r="DZ283" s="56"/>
      <c r="EA283" s="157">
        <f>SUMPRODUCT(PRODUCE!$B284:$DY284,PRODUCE!$EB$21:$IY$21)</f>
        <v>0</v>
      </c>
      <c r="EB283" s="56"/>
      <c r="EC283" s="157">
        <f t="shared" si="1785"/>
        <v>0</v>
      </c>
      <c r="ED283" s="157">
        <f t="shared" si="1786"/>
        <v>0</v>
      </c>
      <c r="EE283" s="56"/>
      <c r="EH283" s="55">
        <f t="shared" si="1787"/>
        <v>46264</v>
      </c>
      <c r="EI283" s="56"/>
      <c r="EJ283" s="162">
        <f>SUMPRODUCT(PRODUCE!$B284:$DY284,PRODUCE!$EB$22:$IY$22)</f>
        <v>0</v>
      </c>
      <c r="EK283" s="56"/>
      <c r="EL283" s="162">
        <f t="shared" si="1788"/>
        <v>0</v>
      </c>
      <c r="EM283" s="162">
        <f t="shared" si="1789"/>
        <v>0</v>
      </c>
      <c r="EN283" s="56"/>
      <c r="EQ283" s="55">
        <f t="shared" si="1790"/>
        <v>46264</v>
      </c>
      <c r="ER283" s="56"/>
      <c r="ES283" s="135">
        <f>SUMPRODUCT(PRODUCE!$B284:$DY284,PRODUCE!$EB$23:$IY$23)</f>
        <v>0</v>
      </c>
      <c r="ET283" s="56"/>
      <c r="EU283" s="135">
        <f t="shared" si="1791"/>
        <v>0</v>
      </c>
      <c r="EV283" s="135">
        <f t="shared" si="1792"/>
        <v>0</v>
      </c>
      <c r="EW283" s="56"/>
      <c r="EZ283" s="55">
        <f t="shared" si="1793"/>
        <v>46264</v>
      </c>
      <c r="FA283" s="56"/>
      <c r="FB283" s="175">
        <f>SUMPRODUCT(PRODUCE!$B284:$DY284,PRODUCE!$EB$24:$IY$24)</f>
        <v>0</v>
      </c>
      <c r="FC283" s="56"/>
      <c r="FD283" s="175">
        <f t="shared" si="1794"/>
        <v>0</v>
      </c>
      <c r="FE283" s="175">
        <f t="shared" si="1795"/>
        <v>0</v>
      </c>
      <c r="FF283" s="56"/>
      <c r="FI283" s="55">
        <f t="shared" si="1796"/>
        <v>46264</v>
      </c>
      <c r="FJ283" s="56"/>
      <c r="FK283" s="183">
        <f>SUMPRODUCT(PRODUCE!$B284:$DY284,PRODUCE!$EB$25:$IY$25)</f>
        <v>0</v>
      </c>
      <c r="FL283" s="56"/>
      <c r="FM283" s="183">
        <f t="shared" si="1797"/>
        <v>0</v>
      </c>
      <c r="FN283" s="183">
        <f t="shared" si="1798"/>
        <v>0</v>
      </c>
      <c r="FO283" s="56"/>
      <c r="FR283" s="55">
        <f t="shared" si="1799"/>
        <v>46264</v>
      </c>
      <c r="FS283" s="56"/>
      <c r="FT283" s="186">
        <f>SUMPRODUCT(PRODUCE!$B284:$DY284,PRODUCE!$EB$26:$IY$26)</f>
        <v>0</v>
      </c>
      <c r="FU283" s="56"/>
      <c r="FV283" s="186">
        <f t="shared" si="1800"/>
        <v>0</v>
      </c>
      <c r="FW283" s="186">
        <f t="shared" si="1801"/>
        <v>2020</v>
      </c>
      <c r="FX283" s="56"/>
      <c r="GA283" s="55">
        <f t="shared" si="1802"/>
        <v>46264</v>
      </c>
      <c r="GB283" s="56"/>
      <c r="GC283" s="137">
        <f>SUMPRODUCT(PRODUCE!$B284:$DY284,PRODUCE!$EB$27:$IY$27)</f>
        <v>0</v>
      </c>
      <c r="GD283" s="56"/>
      <c r="GE283" s="137">
        <f t="shared" si="1803"/>
        <v>0</v>
      </c>
      <c r="GF283" s="137">
        <f t="shared" si="1804"/>
        <v>960</v>
      </c>
      <c r="GG283" s="56"/>
      <c r="GI283" s="23"/>
      <c r="GJ283" s="55">
        <f t="shared" si="1805"/>
        <v>46264</v>
      </c>
      <c r="GK283" s="56"/>
      <c r="GL283" s="199">
        <f>SUMPRODUCT(PRODUCE!$B284:$DY284,PRODUCE!$EB$28:$IY$28)</f>
        <v>0</v>
      </c>
      <c r="GM283" s="56"/>
      <c r="GN283" s="199">
        <f t="shared" si="1806"/>
        <v>0</v>
      </c>
      <c r="GO283" s="199">
        <f t="shared" si="1807"/>
        <v>1760</v>
      </c>
      <c r="GP283" s="56"/>
      <c r="GS283" s="55">
        <f t="shared" si="1808"/>
        <v>46264</v>
      </c>
      <c r="GT283" s="56"/>
      <c r="GU283" s="195">
        <f>SUMPRODUCT(PRODUCE!$B284:$DY284,PRODUCE!$EB$29:$IY$29)</f>
        <v>0</v>
      </c>
      <c r="GV283" s="56"/>
      <c r="GW283" s="195">
        <f t="shared" si="1809"/>
        <v>0</v>
      </c>
      <c r="GX283" s="195">
        <f t="shared" si="1810"/>
        <v>400</v>
      </c>
      <c r="GY283" s="56"/>
      <c r="HB283" s="55">
        <f t="shared" si="1811"/>
        <v>46264</v>
      </c>
      <c r="HC283" s="56"/>
      <c r="HD283" s="191">
        <f>SUMPRODUCT(PRODUCE!$B284:$DY284,PRODUCE!$EB$30:$IY$30)</f>
        <v>0</v>
      </c>
      <c r="HE283" s="56"/>
      <c r="HF283" s="191">
        <f t="shared" si="1812"/>
        <v>0</v>
      </c>
      <c r="HG283" s="191">
        <f t="shared" si="1813"/>
        <v>3600</v>
      </c>
      <c r="HH283" s="56"/>
      <c r="HK283" s="55">
        <f t="shared" si="1814"/>
        <v>46264</v>
      </c>
      <c r="HL283" s="56"/>
      <c r="HM283" s="63">
        <f>SUMPRODUCT(PRODUCE!$B284:$DY284,PRODUCE!$EB$31:$IY$31)</f>
        <v>0</v>
      </c>
      <c r="HN283" s="56"/>
      <c r="HO283" s="63">
        <f t="shared" si="1815"/>
        <v>0</v>
      </c>
      <c r="HP283" s="63">
        <f t="shared" si="1816"/>
        <v>0</v>
      </c>
      <c r="HQ283" s="56"/>
      <c r="HU283" s="55">
        <f t="shared" si="1817"/>
        <v>46264</v>
      </c>
      <c r="HV283" s="56"/>
      <c r="HW283" s="242">
        <f>SUMPRODUCT(PRODUCE!$B284:$DY284,PRODUCE!$EB$32:$IY$32)</f>
        <v>0</v>
      </c>
      <c r="HX283" s="56"/>
      <c r="HY283" s="242">
        <f t="shared" si="1818"/>
        <v>0</v>
      </c>
      <c r="HZ283" s="242">
        <f t="shared" si="1819"/>
        <v>6120</v>
      </c>
      <c r="IA283" s="56"/>
      <c r="ID283" s="55">
        <f t="shared" si="1820"/>
        <v>46264</v>
      </c>
      <c r="IE283" s="56"/>
      <c r="IF283" s="242">
        <f>SUMPRODUCT(PRODUCE!$B284:$DY284,PRODUCE!$EB$33:$IY$33)</f>
        <v>0</v>
      </c>
      <c r="IG283" s="56"/>
      <c r="IH283" s="242">
        <f t="shared" si="1821"/>
        <v>0</v>
      </c>
      <c r="II283" s="242">
        <f t="shared" si="1822"/>
        <v>0</v>
      </c>
      <c r="IJ283" s="56"/>
      <c r="IM283" s="55">
        <f t="shared" si="1823"/>
        <v>46264</v>
      </c>
      <c r="IN283" s="56"/>
      <c r="IO283" s="242">
        <f>SUMPRODUCT(PRODUCE!$B284:$DY284,PRODUCE!$EB$34:$IY$34)</f>
        <v>0</v>
      </c>
      <c r="IP283" s="56"/>
      <c r="IQ283" s="242">
        <f t="shared" si="1824"/>
        <v>0</v>
      </c>
      <c r="IR283" s="242">
        <f t="shared" si="1825"/>
        <v>0</v>
      </c>
      <c r="IS283" s="56"/>
      <c r="IV283" s="55">
        <f t="shared" si="1826"/>
        <v>46264</v>
      </c>
      <c r="IW283" s="56"/>
      <c r="IX283" s="242">
        <f>SUMPRODUCT(PRODUCE!$B284:$DY284,PRODUCE!$EB$35:$IY$35)</f>
        <v>0</v>
      </c>
      <c r="IY283" s="56"/>
      <c r="IZ283" s="242">
        <f t="shared" si="1827"/>
        <v>0</v>
      </c>
      <c r="JA283" s="242">
        <f t="shared" si="1828"/>
        <v>2820</v>
      </c>
      <c r="JB283" s="56"/>
      <c r="JE283" s="55">
        <f t="shared" si="1829"/>
        <v>46264</v>
      </c>
      <c r="JF283" s="56"/>
      <c r="JG283" s="242">
        <f>SUMPRODUCT(PRODUCE!$B284:$DY284,PRODUCE!$EB$36:$IY$36)</f>
        <v>0</v>
      </c>
      <c r="JH283" s="56"/>
      <c r="JI283" s="242">
        <f t="shared" si="1830"/>
        <v>0</v>
      </c>
      <c r="JJ283" s="242">
        <f t="shared" si="1831"/>
        <v>0</v>
      </c>
      <c r="JK283" s="56"/>
      <c r="JN283" s="55">
        <f t="shared" si="1832"/>
        <v>46264</v>
      </c>
      <c r="JO283" s="56"/>
      <c r="JP283" s="242">
        <f>SUMPRODUCT(PRODUCE!$B284:$DY284,PRODUCE!$EB$37:$IY$37)</f>
        <v>0</v>
      </c>
      <c r="JQ283" s="56"/>
      <c r="JR283" s="242">
        <f t="shared" si="1833"/>
        <v>0</v>
      </c>
      <c r="JS283" s="242">
        <f t="shared" si="1834"/>
        <v>0</v>
      </c>
      <c r="JT283" s="56"/>
      <c r="JW283" s="55">
        <f t="shared" si="1835"/>
        <v>46264</v>
      </c>
      <c r="JX283" s="56"/>
      <c r="JY283" s="242">
        <f>SUMPRODUCT(PRODUCE!$B284:$DY284,PRODUCE!$EB$38:$IY$38)</f>
        <v>0</v>
      </c>
      <c r="JZ283" s="56"/>
      <c r="KA283" s="242">
        <f t="shared" si="1836"/>
        <v>0</v>
      </c>
      <c r="KB283" s="242">
        <f t="shared" si="1837"/>
        <v>2540</v>
      </c>
      <c r="KC283" s="56"/>
      <c r="KF283" s="55">
        <f t="shared" si="1838"/>
        <v>46264</v>
      </c>
      <c r="KG283" s="56"/>
      <c r="KH283" s="242">
        <f>SUMPRODUCT(PRODUCE!$B284:$DY284,PRODUCE!$EB$39:$IY$39)</f>
        <v>0</v>
      </c>
      <c r="KI283" s="56"/>
      <c r="KJ283" s="242">
        <f t="shared" si="1839"/>
        <v>0</v>
      </c>
      <c r="KK283" s="242">
        <f t="shared" si="1840"/>
        <v>2359.5</v>
      </c>
      <c r="KL283" s="56"/>
      <c r="KO283" s="55">
        <f t="shared" si="1841"/>
        <v>46264</v>
      </c>
      <c r="KP283" s="56"/>
      <c r="KQ283" s="242">
        <f>SUMPRODUCT(PRODUCE!$B284:$DY284,PRODUCE!$EB$40:$IY$40)</f>
        <v>0</v>
      </c>
      <c r="KR283" s="56"/>
      <c r="KS283" s="242">
        <f t="shared" si="1842"/>
        <v>0</v>
      </c>
      <c r="KT283" s="242">
        <f t="shared" si="1843"/>
        <v>1890</v>
      </c>
      <c r="KU283" s="56"/>
      <c r="KW283" s="23"/>
      <c r="KX283" s="55">
        <f t="shared" si="1844"/>
        <v>46264</v>
      </c>
      <c r="KY283" s="56"/>
      <c r="KZ283" s="242">
        <f>SUMPRODUCT(PRODUCE!$B284:$DY284,PRODUCE!$EB$41:$IY$41)</f>
        <v>0</v>
      </c>
      <c r="LA283" s="56"/>
      <c r="LB283" s="242">
        <f t="shared" si="1845"/>
        <v>0</v>
      </c>
      <c r="LC283" s="242">
        <f t="shared" si="1846"/>
        <v>3690</v>
      </c>
      <c r="LD283" s="56"/>
      <c r="LG283" s="55">
        <f t="shared" si="1847"/>
        <v>46264</v>
      </c>
      <c r="LH283" s="56"/>
      <c r="LI283" s="242">
        <f>SUMPRODUCT(PRODUCE!$B284:$DY284,PRODUCE!$EB$42:$IY$42)</f>
        <v>0</v>
      </c>
      <c r="LJ283" s="56"/>
      <c r="LK283" s="242">
        <f t="shared" si="1848"/>
        <v>0</v>
      </c>
      <c r="LL283" s="242">
        <f t="shared" si="1849"/>
        <v>4000</v>
      </c>
      <c r="LM283" s="56"/>
      <c r="LP283" s="55">
        <f t="shared" si="1850"/>
        <v>46264</v>
      </c>
      <c r="LQ283" s="56"/>
      <c r="LR283" s="242">
        <f>SUMPRODUCT(PRODUCE!$B298:$DY298,PRODUCE!$EB$43:$IY$43)</f>
        <v>0</v>
      </c>
      <c r="LS283" s="56"/>
      <c r="LT283" s="242">
        <f t="shared" si="1851"/>
        <v>0</v>
      </c>
      <c r="LU283" s="242">
        <f t="shared" si="1852"/>
        <v>0</v>
      </c>
      <c r="LV283" s="56"/>
      <c r="LY283" s="55">
        <f t="shared" si="1853"/>
        <v>46264</v>
      </c>
      <c r="LZ283" s="56"/>
      <c r="MA283" s="242">
        <f>SUMPRODUCT(PRODUCE!$B284:$DY284,PRODUCE!$EB$44:$IY$44)</f>
        <v>0</v>
      </c>
      <c r="MB283" s="56"/>
      <c r="MC283" s="242">
        <f t="shared" si="1854"/>
        <v>0</v>
      </c>
      <c r="MD283" s="242">
        <f t="shared" si="1855"/>
        <v>0</v>
      </c>
      <c r="ME283" s="56"/>
      <c r="MH283" s="55">
        <f t="shared" si="1856"/>
        <v>46264</v>
      </c>
      <c r="MI283" s="56"/>
      <c r="MJ283" s="242">
        <f>SUMPRODUCT(PRODUCE!$B284:$DY284,PRODUCE!$EB$45:$IY$45)</f>
        <v>0</v>
      </c>
      <c r="MK283" s="56"/>
      <c r="ML283" s="242">
        <f t="shared" si="1857"/>
        <v>0</v>
      </c>
      <c r="MM283" s="242">
        <f t="shared" si="1858"/>
        <v>0</v>
      </c>
      <c r="MN283" s="56"/>
      <c r="MQ283" s="55">
        <f t="shared" si="1859"/>
        <v>46264</v>
      </c>
      <c r="MR283" s="56"/>
      <c r="MS283" s="242">
        <f>SUMPRODUCT(PRODUCE!$B284:$DY284,PRODUCE!$EB$46:$IY$46)</f>
        <v>0</v>
      </c>
      <c r="MT283" s="56"/>
      <c r="MU283" s="242">
        <f t="shared" si="1860"/>
        <v>0</v>
      </c>
      <c r="MV283" s="242">
        <f t="shared" si="1861"/>
        <v>1625</v>
      </c>
      <c r="MW283" s="56"/>
      <c r="MZ283" s="55">
        <f t="shared" si="1862"/>
        <v>46264</v>
      </c>
      <c r="NA283" s="56"/>
      <c r="NB283" s="242">
        <f>SUMPRODUCT(PRODUCE!$B284:$DY284,PRODUCE!$EB$47:$IY$47)</f>
        <v>0</v>
      </c>
      <c r="NC283" s="56"/>
      <c r="ND283" s="242">
        <f t="shared" si="1863"/>
        <v>0</v>
      </c>
      <c r="NE283" s="242">
        <f t="shared" si="1864"/>
        <v>0</v>
      </c>
      <c r="NF283" s="56"/>
      <c r="NI283" s="55">
        <f t="shared" si="1865"/>
        <v>46264</v>
      </c>
      <c r="NJ283" s="56"/>
      <c r="NK283" s="242">
        <f>SUMPRODUCT(PRODUCE!$B284:$DY284,PRODUCE!$EB$48:$IY$48)</f>
        <v>0</v>
      </c>
      <c r="NL283" s="56"/>
      <c r="NM283" s="242">
        <f t="shared" si="1866"/>
        <v>0</v>
      </c>
      <c r="NN283" s="242">
        <f t="shared" si="1867"/>
        <v>1127</v>
      </c>
      <c r="NO283" s="56"/>
      <c r="NR283" s="55">
        <f t="shared" si="1868"/>
        <v>46264</v>
      </c>
      <c r="NS283" s="56"/>
      <c r="NT283" s="242">
        <f>SUMPRODUCT(PRODUCE!$B284:$DY284,PRODUCE!$EB$49:$IY$49)</f>
        <v>0</v>
      </c>
      <c r="NU283" s="56"/>
      <c r="NV283" s="242">
        <f t="shared" si="1869"/>
        <v>0</v>
      </c>
      <c r="NW283" s="242">
        <f t="shared" si="1870"/>
        <v>3111.9999999999995</v>
      </c>
      <c r="NX283" s="56"/>
      <c r="OA283" s="55">
        <f t="shared" si="1871"/>
        <v>46264</v>
      </c>
      <c r="OB283" s="56"/>
      <c r="OC283" s="242">
        <f>SUMPRODUCT(PRODUCE!$B284:$DY284,PRODUCE!$EB$50:$IY$50)</f>
        <v>0</v>
      </c>
      <c r="OD283" s="56"/>
      <c r="OE283" s="242">
        <f t="shared" si="1872"/>
        <v>0</v>
      </c>
      <c r="OF283" s="242">
        <f t="shared" si="1873"/>
        <v>1680.5</v>
      </c>
      <c r="OG283" s="56"/>
      <c r="OJ283" s="55">
        <f t="shared" si="1874"/>
        <v>46264</v>
      </c>
      <c r="OK283" s="56"/>
      <c r="OL283" s="242">
        <f>SUMPRODUCT(PRODUCE!$B284:$DY284,PRODUCE!$EB$51:$IY$51)</f>
        <v>0</v>
      </c>
      <c r="OM283" s="56"/>
      <c r="ON283" s="242">
        <f t="shared" si="1875"/>
        <v>0</v>
      </c>
      <c r="OO283" s="242">
        <f t="shared" si="1876"/>
        <v>0</v>
      </c>
      <c r="OP283" s="56"/>
      <c r="OS283" s="55">
        <f t="shared" si="1877"/>
        <v>46264</v>
      </c>
      <c r="OT283" s="56"/>
      <c r="OU283" s="242">
        <f>SUMPRODUCT(PRODUCE!$B284:$DY284,PRODUCE!$EB$52:$IY$52)</f>
        <v>0</v>
      </c>
      <c r="OV283" s="56"/>
      <c r="OW283" s="242">
        <f t="shared" si="1878"/>
        <v>0</v>
      </c>
      <c r="OX283" s="242">
        <f t="shared" si="1879"/>
        <v>1482</v>
      </c>
      <c r="OY283" s="56"/>
      <c r="PB283" s="55">
        <f t="shared" si="1880"/>
        <v>46264</v>
      </c>
      <c r="PC283" s="56"/>
      <c r="PD283" s="242">
        <f>SUMPRODUCT(PRODUCE!$B284:$DY284,PRODUCE!$EB$53:$IY$53)</f>
        <v>0</v>
      </c>
      <c r="PE283" s="56"/>
      <c r="PF283" s="242">
        <f t="shared" si="1881"/>
        <v>0</v>
      </c>
      <c r="PG283" s="242">
        <f t="shared" si="1882"/>
        <v>0</v>
      </c>
      <c r="PH283" s="56"/>
      <c r="PK283" s="55">
        <f t="shared" si="1883"/>
        <v>46264</v>
      </c>
      <c r="PL283" s="56"/>
      <c r="PM283" s="242">
        <f>SUMPRODUCT(PRODUCE!$B284:$DY284,PRODUCE!$EB$54:$IY$54)</f>
        <v>0</v>
      </c>
      <c r="PN283" s="56"/>
      <c r="PO283" s="242">
        <f t="shared" si="1884"/>
        <v>0</v>
      </c>
      <c r="PP283" s="242">
        <f t="shared" si="1885"/>
        <v>100</v>
      </c>
      <c r="PQ283" s="56"/>
      <c r="PT283" s="55">
        <f t="shared" si="1886"/>
        <v>46264</v>
      </c>
      <c r="PU283" s="56"/>
      <c r="PV283" s="242">
        <f>SUMPRODUCT(PRODUCE!$B284:$DY284,PRODUCE!$EB$55:$IY$55)</f>
        <v>0</v>
      </c>
      <c r="PW283" s="56"/>
      <c r="PX283" s="242">
        <f t="shared" si="1887"/>
        <v>0</v>
      </c>
      <c r="PY283" s="242">
        <f t="shared" si="1888"/>
        <v>13.960000000000036</v>
      </c>
      <c r="PZ283" s="56"/>
      <c r="QC283" s="55">
        <f t="shared" si="1889"/>
        <v>46264</v>
      </c>
      <c r="QD283" s="56"/>
      <c r="QE283" s="242">
        <f>SUMPRODUCT(PRODUCE!$B284:$DY284,PRODUCE!$EB$56:$IY$56)</f>
        <v>0</v>
      </c>
      <c r="QF283" s="56"/>
      <c r="QG283" s="242">
        <f t="shared" si="1890"/>
        <v>0</v>
      </c>
      <c r="QH283" s="242">
        <f t="shared" si="1891"/>
        <v>548</v>
      </c>
      <c r="QI283" s="56"/>
      <c r="QL283" s="55">
        <f t="shared" si="1892"/>
        <v>46264</v>
      </c>
      <c r="QM283" s="56"/>
      <c r="QN283" s="242">
        <f>SUMPRODUCT(PRODUCE!$B284:$DY284,PRODUCE!$EB$57:$IY$57)</f>
        <v>0</v>
      </c>
      <c r="QO283" s="56"/>
      <c r="QP283" s="242">
        <f t="shared" si="1893"/>
        <v>0</v>
      </c>
      <c r="QQ283" s="242">
        <f t="shared" si="1894"/>
        <v>0</v>
      </c>
      <c r="QR283" s="56"/>
      <c r="QU283" s="55">
        <f t="shared" si="1895"/>
        <v>46264</v>
      </c>
      <c r="QV283" s="56"/>
      <c r="QW283" s="242">
        <f>SUMPRODUCT(PRODUCE!$B284:$DY284,PRODUCE!$EB$57:$IY$57)</f>
        <v>0</v>
      </c>
      <c r="QX283" s="56"/>
      <c r="QY283" s="242">
        <f t="shared" si="1896"/>
        <v>0</v>
      </c>
      <c r="QZ283" s="242">
        <f t="shared" si="1897"/>
        <v>0</v>
      </c>
      <c r="RA283" s="56"/>
      <c r="RD283" s="55">
        <f t="shared" si="1898"/>
        <v>46264</v>
      </c>
      <c r="RE283" s="56"/>
      <c r="RF283" s="242">
        <f>SUMPRODUCT(PRODUCE!$B284:$DY284,PRODUCE!$EB$58:$IY$58)</f>
        <v>0</v>
      </c>
      <c r="RG283" s="56"/>
      <c r="RH283" s="242">
        <f t="shared" si="1899"/>
        <v>0</v>
      </c>
      <c r="RI283" s="242">
        <f t="shared" si="1900"/>
        <v>147.04000000000002</v>
      </c>
      <c r="RJ283" s="56"/>
      <c r="RM283" s="55">
        <f t="shared" si="1901"/>
        <v>46264</v>
      </c>
      <c r="RN283" s="56"/>
      <c r="RO283" s="242">
        <f>SUMPRODUCT(PRODUCE!$B284:$DY284,PRODUCE!$EB$59:$IY$59)</f>
        <v>0</v>
      </c>
      <c r="RP283" s="56"/>
      <c r="RQ283" s="242">
        <f t="shared" si="1902"/>
        <v>0</v>
      </c>
      <c r="RR283" s="242">
        <f t="shared" si="1903"/>
        <v>46.8</v>
      </c>
      <c r="RS283" s="56"/>
      <c r="RV283" s="55">
        <f t="shared" si="1904"/>
        <v>46264</v>
      </c>
      <c r="RW283" s="56"/>
      <c r="RX283" s="242">
        <f>SUMPRODUCT(PRODUCE!$B284:$DY284,PRODUCE!$EB$57:$IY$57)</f>
        <v>0</v>
      </c>
      <c r="RY283" s="56"/>
      <c r="RZ283" s="242">
        <f t="shared" si="1905"/>
        <v>0</v>
      </c>
      <c r="SA283" s="242">
        <f t="shared" si="1906"/>
        <v>0</v>
      </c>
      <c r="SB283" s="56"/>
      <c r="SE283" s="55">
        <f t="shared" si="1907"/>
        <v>46264</v>
      </c>
      <c r="SF283" s="56"/>
      <c r="SG283" s="242">
        <f>SUMPRODUCT(PRODUCE!$B284:$DY284,PRODUCE!$EB$61:$IY$61)</f>
        <v>0</v>
      </c>
      <c r="SH283" s="56"/>
      <c r="SI283" s="242">
        <f t="shared" si="1908"/>
        <v>0</v>
      </c>
      <c r="SJ283" s="242">
        <f t="shared" si="1909"/>
        <v>24.200000000000003</v>
      </c>
      <c r="SK283" s="56"/>
      <c r="SN283" s="55">
        <f t="shared" si="1910"/>
        <v>46264</v>
      </c>
      <c r="SO283" s="56"/>
      <c r="SP283" s="242">
        <f>SUMPRODUCT(PRODUCE!$B284:$DY284,PRODUCE!$EB$62:$IY$62)</f>
        <v>0</v>
      </c>
      <c r="SQ283" s="56"/>
      <c r="SR283" s="242">
        <f t="shared" si="1911"/>
        <v>0</v>
      </c>
      <c r="SS283" s="242">
        <f t="shared" si="1912"/>
        <v>32</v>
      </c>
      <c r="ST283" s="56"/>
      <c r="SW283" s="55">
        <f t="shared" si="1913"/>
        <v>46264</v>
      </c>
      <c r="SX283" s="56"/>
      <c r="SY283" s="242">
        <f>SUMPRODUCT(PRODUCE!$B284:$DY284,PRODUCE!$EB$57:$IY$57)</f>
        <v>0</v>
      </c>
      <c r="SZ283" s="56"/>
      <c r="TA283" s="242">
        <f t="shared" si="1914"/>
        <v>0</v>
      </c>
      <c r="TB283" s="242">
        <f t="shared" si="1915"/>
        <v>0</v>
      </c>
      <c r="TC283" s="56"/>
      <c r="TF283" s="55">
        <f t="shared" si="1916"/>
        <v>46264</v>
      </c>
      <c r="TG283" s="56"/>
      <c r="TH283" s="242">
        <f>SUMPRODUCT(PRODUCE!$B284:$DY284,PRODUCE!$EB$57:$IY$57)</f>
        <v>0</v>
      </c>
      <c r="TI283" s="56"/>
      <c r="TJ283" s="242">
        <f t="shared" si="1917"/>
        <v>0</v>
      </c>
      <c r="TK283" s="242">
        <f t="shared" si="1918"/>
        <v>0</v>
      </c>
      <c r="TL283" s="56"/>
      <c r="TO283" s="55">
        <f t="shared" si="1919"/>
        <v>46264</v>
      </c>
      <c r="TP283" s="56"/>
      <c r="TQ283" s="242">
        <f>SUMPRODUCT(PRODUCE!$B284:$DY284,PRODUCE!$EB$57:$IY$57)</f>
        <v>0</v>
      </c>
      <c r="TR283" s="56"/>
      <c r="TS283" s="242">
        <f t="shared" si="1920"/>
        <v>0</v>
      </c>
      <c r="TT283" s="242">
        <f t="shared" si="1921"/>
        <v>0</v>
      </c>
      <c r="TU283" s="56"/>
      <c r="TX283" s="55">
        <f t="shared" si="1922"/>
        <v>46264</v>
      </c>
      <c r="TY283" s="56"/>
      <c r="TZ283" s="242">
        <f>SUMPRODUCT(PRODUCE!$B284:$DY284,PRODUCE!$EB$57:$IY$57)</f>
        <v>0</v>
      </c>
      <c r="UA283" s="56"/>
      <c r="UB283" s="242">
        <f t="shared" si="1923"/>
        <v>0</v>
      </c>
      <c r="UC283" s="242">
        <f t="shared" si="1924"/>
        <v>46.799999999999983</v>
      </c>
      <c r="UD283" s="56"/>
      <c r="UG283" s="55">
        <f t="shared" si="1925"/>
        <v>46264</v>
      </c>
      <c r="UH283" s="56"/>
      <c r="UI283" s="242">
        <f>SUMPRODUCT(PRODUCE!$B284:$DY284,PRODUCE!$EB$57:$IY$57)</f>
        <v>0</v>
      </c>
      <c r="UJ283" s="56"/>
      <c r="UK283" s="242">
        <f t="shared" si="1926"/>
        <v>0</v>
      </c>
      <c r="UL283" s="242">
        <f t="shared" si="1927"/>
        <v>204</v>
      </c>
      <c r="UM283" s="56"/>
      <c r="UP283" s="55">
        <f t="shared" si="1928"/>
        <v>46264</v>
      </c>
      <c r="UQ283" s="56"/>
      <c r="UR283" s="242">
        <f>SUMPRODUCT(PRODUCE!$B284:$DY284,PRODUCE!$EB$57:$IY$57)</f>
        <v>0</v>
      </c>
      <c r="US283" s="56"/>
      <c r="UT283" s="242">
        <f t="shared" si="1929"/>
        <v>0</v>
      </c>
      <c r="UU283" s="242">
        <f t="shared" si="1930"/>
        <v>202.5</v>
      </c>
      <c r="UV283" s="56"/>
      <c r="UY283" s="55">
        <f t="shared" si="1931"/>
        <v>46264</v>
      </c>
      <c r="UZ283" s="56"/>
      <c r="VA283" s="242">
        <f>SUMPRODUCT(PRODUCE!$B284:$DY284,PRODUCE!$EB$57:$IY$57)</f>
        <v>0</v>
      </c>
      <c r="VB283" s="56"/>
      <c r="VC283" s="242">
        <f t="shared" si="1932"/>
        <v>0</v>
      </c>
      <c r="VD283" s="242">
        <f t="shared" si="1933"/>
        <v>41.600000000000023</v>
      </c>
      <c r="VE283" s="56"/>
      <c r="VH283" s="55">
        <f t="shared" si="1934"/>
        <v>46264</v>
      </c>
      <c r="VI283" s="56"/>
      <c r="VJ283" s="242">
        <f>SUMPRODUCT(PRODUCE!$B284:$DY284,PRODUCE!$EB$57:$IY$57)</f>
        <v>0</v>
      </c>
      <c r="VK283" s="56"/>
      <c r="VL283" s="242">
        <f t="shared" si="1935"/>
        <v>0</v>
      </c>
      <c r="VM283" s="242">
        <f t="shared" si="1936"/>
        <v>210</v>
      </c>
      <c r="VN283" s="56"/>
      <c r="VQ283" s="55">
        <f t="shared" si="1937"/>
        <v>46264</v>
      </c>
      <c r="VR283" s="56"/>
      <c r="VS283" s="242">
        <f>SUMPRODUCT(PRODUCE!$B284:$DY284,PRODUCE!$EB$57:$IY$57)</f>
        <v>0</v>
      </c>
      <c r="VT283" s="56"/>
      <c r="VU283" s="242">
        <f t="shared" si="1938"/>
        <v>0</v>
      </c>
      <c r="VV283" s="242">
        <f t="shared" si="1939"/>
        <v>0</v>
      </c>
      <c r="VW283" s="56"/>
      <c r="VZ283" s="55">
        <f t="shared" si="1940"/>
        <v>46264</v>
      </c>
      <c r="WA283" s="56"/>
      <c r="WB283" s="242">
        <f>SUMPRODUCT(PRODUCE!$B284:$DY284,PRODUCE!$EB$57:$IY$57)</f>
        <v>0</v>
      </c>
      <c r="WC283" s="56"/>
      <c r="WD283" s="242">
        <f t="shared" si="1941"/>
        <v>0</v>
      </c>
      <c r="WE283" s="242">
        <f t="shared" si="1942"/>
        <v>0</v>
      </c>
      <c r="WF283" s="56"/>
      <c r="WI283" s="55">
        <f t="shared" si="1943"/>
        <v>46264</v>
      </c>
      <c r="WJ283" s="56"/>
      <c r="WK283" s="242">
        <f>SUMPRODUCT(PRODUCE!$B284:$DY284,PRODUCE!$EB$57:$IY$57)</f>
        <v>0</v>
      </c>
      <c r="WL283" s="56"/>
      <c r="WM283" s="242">
        <f t="shared" si="1944"/>
        <v>0</v>
      </c>
      <c r="WN283" s="242">
        <f t="shared" si="1945"/>
        <v>1057</v>
      </c>
      <c r="WO283" s="56"/>
      <c r="WR283" s="55">
        <f t="shared" si="1946"/>
        <v>46264</v>
      </c>
      <c r="WS283" s="56"/>
      <c r="WT283" s="242">
        <f>SUMPRODUCT(PRODUCE!$B284:$DY284,PRODUCE!$EB$57:$IY$57)</f>
        <v>0</v>
      </c>
      <c r="WU283" s="56"/>
      <c r="WV283" s="242">
        <f t="shared" si="1947"/>
        <v>0</v>
      </c>
      <c r="WW283" s="242">
        <f t="shared" si="1948"/>
        <v>0</v>
      </c>
      <c r="WX283" s="56"/>
      <c r="XA283" s="55">
        <f t="shared" si="1949"/>
        <v>46264</v>
      </c>
      <c r="XB283" s="56"/>
      <c r="XC283" s="242">
        <f>SUMPRODUCT(PRODUCE!$B284:$DY284,PRODUCE!$EB$57:$IY$57)</f>
        <v>0</v>
      </c>
      <c r="XD283" s="56"/>
      <c r="XE283" s="242">
        <f t="shared" si="1950"/>
        <v>0</v>
      </c>
      <c r="XF283" s="242">
        <f t="shared" si="1951"/>
        <v>7507</v>
      </c>
      <c r="XG283" s="56"/>
      <c r="XJ283" s="55">
        <f t="shared" si="1952"/>
        <v>46264</v>
      </c>
      <c r="XK283" s="56"/>
      <c r="XL283" s="242">
        <f>SUMPRODUCT(PRODUCE!$B284:$DY284,PRODUCE!$EB$57:$IY$57)</f>
        <v>0</v>
      </c>
      <c r="XM283" s="56"/>
      <c r="XN283" s="242">
        <f t="shared" si="1953"/>
        <v>0</v>
      </c>
      <c r="XO283" s="242">
        <f t="shared" si="1954"/>
        <v>4252</v>
      </c>
      <c r="XP283" s="56"/>
      <c r="XS283" s="55">
        <f t="shared" si="1955"/>
        <v>46264</v>
      </c>
      <c r="XT283" s="56"/>
      <c r="XU283" s="242">
        <f>SUMPRODUCT(PRODUCE!$B284:$DY284,PRODUCE!$EB$57:$IY$57)</f>
        <v>0</v>
      </c>
      <c r="XV283" s="56"/>
      <c r="XW283" s="242">
        <f t="shared" si="1956"/>
        <v>0</v>
      </c>
      <c r="XX283" s="242">
        <f t="shared" si="1957"/>
        <v>2179</v>
      </c>
      <c r="XY283" s="56"/>
      <c r="YB283" s="55">
        <f t="shared" si="1958"/>
        <v>46264</v>
      </c>
      <c r="YC283" s="56"/>
      <c r="YD283" s="242">
        <f>SUMPRODUCT(PRODUCE!$B284:$DY284,PRODUCE!$EB$57:$IY$57)</f>
        <v>0</v>
      </c>
      <c r="YE283" s="56"/>
      <c r="YF283" s="242">
        <f t="shared" si="1959"/>
        <v>0</v>
      </c>
      <c r="YG283" s="242">
        <f t="shared" si="1960"/>
        <v>4019</v>
      </c>
      <c r="YH283" s="56"/>
      <c r="YK283" s="55">
        <f t="shared" si="1961"/>
        <v>46264</v>
      </c>
      <c r="YL283" s="56"/>
      <c r="YM283" s="242">
        <f>SUMPRODUCT(PRODUCE!$B284:$DY284,PRODUCE!$EB$57:$IY$57)</f>
        <v>0</v>
      </c>
      <c r="YN283" s="56"/>
      <c r="YO283" s="242">
        <f t="shared" si="1962"/>
        <v>0</v>
      </c>
      <c r="YP283" s="242">
        <f t="shared" si="1963"/>
        <v>-218</v>
      </c>
      <c r="YQ283" s="56"/>
      <c r="YT283" s="55">
        <f t="shared" si="1964"/>
        <v>46264</v>
      </c>
      <c r="YU283" s="56"/>
      <c r="YV283" s="242">
        <f>SUMPRODUCT(PRODUCE!$B284:$DY284,PRODUCE!$EB$57:$IY$57)</f>
        <v>0</v>
      </c>
      <c r="YW283" s="56"/>
      <c r="YX283" s="242">
        <f t="shared" si="1965"/>
        <v>0</v>
      </c>
      <c r="YY283" s="242">
        <f t="shared" si="1966"/>
        <v>0</v>
      </c>
      <c r="YZ283" s="56"/>
      <c r="ZC283" s="55">
        <f t="shared" si="1967"/>
        <v>46264</v>
      </c>
      <c r="ZD283" s="56"/>
      <c r="ZE283" s="242">
        <f>SUMPRODUCT(PRODUCE!$B284:$DY284,PRODUCE!$EB$57:$IY$57)</f>
        <v>0</v>
      </c>
      <c r="ZF283" s="56"/>
      <c r="ZG283" s="242">
        <f t="shared" si="1968"/>
        <v>0</v>
      </c>
      <c r="ZH283" s="242">
        <f t="shared" si="1969"/>
        <v>0</v>
      </c>
      <c r="ZI283" s="56"/>
      <c r="ZL283" s="55">
        <f t="shared" si="1970"/>
        <v>46264</v>
      </c>
      <c r="ZM283" s="56"/>
      <c r="ZN283" s="242">
        <f>SUMPRODUCT(PRODUCE!$B284:$DY284,PRODUCE!$EB$57:$IY$57)</f>
        <v>0</v>
      </c>
      <c r="ZO283" s="56"/>
      <c r="ZP283" s="242">
        <f t="shared" si="1971"/>
        <v>0</v>
      </c>
      <c r="ZQ283" s="242">
        <f t="shared" si="1972"/>
        <v>0</v>
      </c>
      <c r="ZR283" s="56"/>
      <c r="ZU283" s="55">
        <f t="shared" si="1973"/>
        <v>46264</v>
      </c>
      <c r="ZV283" s="56"/>
      <c r="ZW283" s="242">
        <f>SUMPRODUCT(PRODUCE!$B284:$DY284,PRODUCE!$EB$57:$IY$57)</f>
        <v>0</v>
      </c>
      <c r="ZX283" s="56"/>
      <c r="ZY283" s="242">
        <f t="shared" si="1974"/>
        <v>0</v>
      </c>
      <c r="ZZ283" s="242">
        <f t="shared" si="1975"/>
        <v>0</v>
      </c>
      <c r="AAA283" s="56"/>
      <c r="AAD283" s="55">
        <f t="shared" si="1976"/>
        <v>46264</v>
      </c>
      <c r="AAE283" s="56"/>
      <c r="AAF283" s="242">
        <f>SUMPRODUCT(PRODUCE!$B284:$DY284,PRODUCE!$EB$57:$IY$57)</f>
        <v>0</v>
      </c>
      <c r="AAG283" s="56"/>
      <c r="AAH283" s="242">
        <f t="shared" si="1977"/>
        <v>0</v>
      </c>
      <c r="AAI283" s="242">
        <f t="shared" si="1978"/>
        <v>0</v>
      </c>
      <c r="AAJ283" s="56"/>
      <c r="AAM283" s="55">
        <f t="shared" si="1979"/>
        <v>46264</v>
      </c>
      <c r="AAN283" s="56"/>
      <c r="AAO283" s="242">
        <f>SUMPRODUCT(PRODUCE!$B284:$DY284,PRODUCE!$EB$57:$IY$57)</f>
        <v>0</v>
      </c>
      <c r="AAP283" s="56"/>
      <c r="AAQ283" s="242">
        <f t="shared" si="1980"/>
        <v>0</v>
      </c>
      <c r="AAR283" s="242">
        <f t="shared" si="1981"/>
        <v>0</v>
      </c>
      <c r="AAS283" s="56"/>
      <c r="AAV283" s="55">
        <f t="shared" si="1982"/>
        <v>46264</v>
      </c>
      <c r="AAW283" s="56"/>
      <c r="AAX283" s="242">
        <f>SUMPRODUCT(PRODUCE!$B284:$DY284,PRODUCE!$EB$57:$IY$57)</f>
        <v>0</v>
      </c>
      <c r="AAY283" s="56"/>
      <c r="AAZ283" s="242">
        <f t="shared" si="1983"/>
        <v>0</v>
      </c>
      <c r="ABA283" s="242">
        <f t="shared" si="1984"/>
        <v>0</v>
      </c>
      <c r="ABB283" s="56"/>
      <c r="ABE283" s="55">
        <f t="shared" si="1985"/>
        <v>46264</v>
      </c>
      <c r="ABF283" s="56"/>
      <c r="ABG283" s="242">
        <f>SUMPRODUCT(PRODUCE!$B284:$DY284,PRODUCE!$EB$57:$IY$57)</f>
        <v>0</v>
      </c>
      <c r="ABH283" s="56"/>
      <c r="ABI283" s="242">
        <f t="shared" si="1986"/>
        <v>0</v>
      </c>
      <c r="ABJ283" s="242">
        <f t="shared" si="1987"/>
        <v>0</v>
      </c>
      <c r="ABK283" s="56"/>
    </row>
    <row r="284" spans="1:739" s="54" customFormat="1" ht="15" customHeight="1" outlineLevel="1" thickBot="1">
      <c r="B284" s="478"/>
      <c r="C284" s="55">
        <v>46265</v>
      </c>
      <c r="D284" s="67"/>
      <c r="E284" s="57">
        <f>SUMPRODUCT(PRODUCE!$B285:$DY285,PRODUCE!$EB$7:$IY$7)</f>
        <v>0</v>
      </c>
      <c r="F284" s="67"/>
      <c r="G284" s="57">
        <f t="shared" si="1743"/>
        <v>0</v>
      </c>
      <c r="H284" s="57">
        <f t="shared" si="1744"/>
        <v>236936.6</v>
      </c>
      <c r="I284" s="289"/>
      <c r="L284" s="55">
        <f t="shared" si="1745"/>
        <v>46265</v>
      </c>
      <c r="M284" s="67"/>
      <c r="N284" s="59">
        <f>SUMPRODUCT(PRODUCE!$B285:$DY285,PRODUCE!$EB$8:$IY$8)</f>
        <v>0</v>
      </c>
      <c r="O284" s="67"/>
      <c r="P284" s="59">
        <f t="shared" si="1746"/>
        <v>0</v>
      </c>
      <c r="Q284" s="59">
        <f t="shared" si="1747"/>
        <v>53017.600000000071</v>
      </c>
      <c r="R284" s="56"/>
      <c r="U284" s="55">
        <f t="shared" si="1748"/>
        <v>46265</v>
      </c>
      <c r="V284" s="67"/>
      <c r="W284" s="60">
        <f>SUMPRODUCT(PRODUCE!$B285:$DY285,PRODUCE!$EB$9:$IY$9)</f>
        <v>0</v>
      </c>
      <c r="X284" s="67"/>
      <c r="Y284" s="60">
        <f t="shared" si="1749"/>
        <v>0</v>
      </c>
      <c r="Z284" s="60">
        <f t="shared" si="1750"/>
        <v>42674.199999999968</v>
      </c>
      <c r="AA284" s="56"/>
      <c r="AD284" s="55">
        <f t="shared" si="1751"/>
        <v>46265</v>
      </c>
      <c r="AE284" s="67"/>
      <c r="AF284" s="61">
        <f>SUMPRODUCT(PRODUCE!$B285:$DY285,PRODUCE!$EB$10:$IY$10)</f>
        <v>0</v>
      </c>
      <c r="AG284" s="67"/>
      <c r="AH284" s="61">
        <f t="shared" si="1752"/>
        <v>0</v>
      </c>
      <c r="AI284" s="61">
        <f t="shared" si="1753"/>
        <v>4522.2000000000189</v>
      </c>
      <c r="AJ284" s="56"/>
      <c r="AM284" s="55">
        <f t="shared" si="1754"/>
        <v>46265</v>
      </c>
      <c r="AN284" s="425"/>
      <c r="AO284" s="444">
        <f>SUMPRODUCT(PRODUCE!$B285:$DY285,PRODUCE!$EB$11:$IY$11)</f>
        <v>0</v>
      </c>
      <c r="AP284" s="425"/>
      <c r="AQ284" s="444">
        <f t="shared" si="1755"/>
        <v>0</v>
      </c>
      <c r="AR284" s="444">
        <f t="shared" si="1756"/>
        <v>0</v>
      </c>
      <c r="AS284" s="56"/>
      <c r="AV284" s="55">
        <f t="shared" si="1757"/>
        <v>46265</v>
      </c>
      <c r="AW284" s="67"/>
      <c r="AX284" s="62">
        <f>SUMPRODUCT(PRODUCE!$B285:$DY285,PRODUCE!$EB$12:$IY$12)</f>
        <v>0</v>
      </c>
      <c r="AY284" s="67"/>
      <c r="AZ284" s="62">
        <f t="shared" si="1758"/>
        <v>0</v>
      </c>
      <c r="BA284" s="62">
        <f t="shared" si="1759"/>
        <v>124.99999999999523</v>
      </c>
      <c r="BB284" s="56"/>
      <c r="BE284" s="55">
        <f t="shared" si="1760"/>
        <v>46265</v>
      </c>
      <c r="BF284" s="67"/>
      <c r="BG284" s="63">
        <f>SUMPRODUCT(PRODUCE!$B285:$DY285,PRODUCE!$EB$13:$IY$13)</f>
        <v>0</v>
      </c>
      <c r="BH284" s="67"/>
      <c r="BI284" s="63">
        <f t="shared" si="1761"/>
        <v>0</v>
      </c>
      <c r="BJ284" s="63">
        <f t="shared" si="1762"/>
        <v>26151.899999999998</v>
      </c>
      <c r="BK284" s="56"/>
      <c r="BN284" s="55">
        <f t="shared" si="1763"/>
        <v>46265</v>
      </c>
      <c r="BO284" s="67"/>
      <c r="BP284" s="64">
        <f>SUMPRODUCT(PRODUCE!$B285:$DY285,PRODUCE!$EB$14:$IY$14)</f>
        <v>0</v>
      </c>
      <c r="BQ284" s="67"/>
      <c r="BR284" s="64">
        <f t="shared" si="1764"/>
        <v>0</v>
      </c>
      <c r="BS284" s="64">
        <f t="shared" si="1765"/>
        <v>0</v>
      </c>
      <c r="BT284" s="56"/>
      <c r="BW284" s="55">
        <f t="shared" si="1766"/>
        <v>46265</v>
      </c>
      <c r="BX284" s="67"/>
      <c r="BY284" s="65">
        <f>SUMPRODUCT(PRODUCE!$B285:$DY285,PRODUCE!$EB$15:$IY$15)</f>
        <v>0</v>
      </c>
      <c r="BZ284" s="67"/>
      <c r="CA284" s="65">
        <f t="shared" si="1767"/>
        <v>0</v>
      </c>
      <c r="CB284" s="65">
        <f t="shared" si="1768"/>
        <v>2097.3399999999992</v>
      </c>
      <c r="CC284" s="56"/>
      <c r="CF284" s="55">
        <f t="shared" si="1769"/>
        <v>46265</v>
      </c>
      <c r="CG284" s="67"/>
      <c r="CH284" s="66">
        <f>SUMPRODUCT(PRODUCE!$B285:$DY285,PRODUCE!$EB$16:$IY$16)</f>
        <v>0</v>
      </c>
      <c r="CI284" s="67"/>
      <c r="CJ284" s="66">
        <f t="shared" si="1770"/>
        <v>0</v>
      </c>
      <c r="CK284" s="66">
        <f t="shared" si="1771"/>
        <v>-10277.079999999998</v>
      </c>
      <c r="CL284" s="56"/>
      <c r="CO284" s="55">
        <f t="shared" si="1772"/>
        <v>46265</v>
      </c>
      <c r="CP284" s="425"/>
      <c r="CQ284" s="470">
        <f>SUMPRODUCT(PRODUCE!$B285:$DY285,PRODUCE!$EB$17:$IY$17)</f>
        <v>0</v>
      </c>
      <c r="CR284" s="425"/>
      <c r="CS284" s="470">
        <f t="shared" si="1773"/>
        <v>0</v>
      </c>
      <c r="CT284" s="470">
        <f t="shared" si="1774"/>
        <v>0</v>
      </c>
      <c r="CU284" s="56"/>
      <c r="CX284" s="55">
        <f t="shared" si="1775"/>
        <v>46265</v>
      </c>
      <c r="CY284" s="67"/>
      <c r="CZ284" s="133">
        <f>SUMPRODUCT(PRODUCE!$B285:$DY285,PRODUCE!$EB$18:$IY$18)</f>
        <v>0</v>
      </c>
      <c r="DA284" s="67"/>
      <c r="DB284" s="133">
        <f t="shared" si="1776"/>
        <v>0</v>
      </c>
      <c r="DC284" s="133">
        <f t="shared" si="1777"/>
        <v>27438.200000000012</v>
      </c>
      <c r="DD284" s="56"/>
      <c r="DG284" s="55">
        <f t="shared" si="1778"/>
        <v>46265</v>
      </c>
      <c r="DH284" s="67"/>
      <c r="DI284" s="147">
        <f>SUMPRODUCT(PRODUCE!$B285:$DY285,PRODUCE!$EB$19:$IY$19)</f>
        <v>0</v>
      </c>
      <c r="DJ284" s="67"/>
      <c r="DK284" s="147">
        <f t="shared" si="1779"/>
        <v>0</v>
      </c>
      <c r="DL284" s="147">
        <f t="shared" si="1780"/>
        <v>18782.299999999981</v>
      </c>
      <c r="DM284" s="56"/>
      <c r="DP284" s="55">
        <f t="shared" si="1781"/>
        <v>46265</v>
      </c>
      <c r="DQ284" s="67"/>
      <c r="DR284" s="57">
        <f>SUMPRODUCT(PRODUCE!$B285:$DY285,PRODUCE!$EB$20:$IY$20)</f>
        <v>0</v>
      </c>
      <c r="DS284" s="67"/>
      <c r="DT284" s="57">
        <f t="shared" si="1782"/>
        <v>0</v>
      </c>
      <c r="DU284" s="57">
        <f t="shared" si="1783"/>
        <v>5800</v>
      </c>
      <c r="DV284" s="56"/>
      <c r="DY284" s="55">
        <f t="shared" si="1784"/>
        <v>46265</v>
      </c>
      <c r="DZ284" s="67"/>
      <c r="EA284" s="157">
        <f>SUMPRODUCT(PRODUCE!$B285:$DY285,PRODUCE!$EB$21:$IY$21)</f>
        <v>0</v>
      </c>
      <c r="EB284" s="67"/>
      <c r="EC284" s="157">
        <f t="shared" si="1785"/>
        <v>0</v>
      </c>
      <c r="ED284" s="157">
        <f t="shared" si="1786"/>
        <v>0</v>
      </c>
      <c r="EE284" s="56"/>
      <c r="EH284" s="55">
        <f t="shared" si="1787"/>
        <v>46265</v>
      </c>
      <c r="EI284" s="67"/>
      <c r="EJ284" s="162">
        <f>SUMPRODUCT(PRODUCE!$B285:$DY285,PRODUCE!$EB$22:$IY$22)</f>
        <v>0</v>
      </c>
      <c r="EK284" s="67"/>
      <c r="EL284" s="162">
        <f t="shared" si="1788"/>
        <v>0</v>
      </c>
      <c r="EM284" s="162">
        <f t="shared" si="1789"/>
        <v>0</v>
      </c>
      <c r="EN284" s="56"/>
      <c r="EQ284" s="55">
        <f t="shared" si="1790"/>
        <v>46265</v>
      </c>
      <c r="ER284" s="67"/>
      <c r="ES284" s="135">
        <f>SUMPRODUCT(PRODUCE!$B285:$DY285,PRODUCE!$EB$23:$IY$23)</f>
        <v>0</v>
      </c>
      <c r="ET284" s="67"/>
      <c r="EU284" s="135">
        <f t="shared" si="1791"/>
        <v>0</v>
      </c>
      <c r="EV284" s="135">
        <f t="shared" si="1792"/>
        <v>0</v>
      </c>
      <c r="EW284" s="56"/>
      <c r="EZ284" s="55">
        <f t="shared" si="1793"/>
        <v>46265</v>
      </c>
      <c r="FA284" s="67"/>
      <c r="FB284" s="175">
        <f>SUMPRODUCT(PRODUCE!$B285:$DY285,PRODUCE!$EB$24:$IY$24)</f>
        <v>0</v>
      </c>
      <c r="FC284" s="67"/>
      <c r="FD284" s="175">
        <f t="shared" si="1794"/>
        <v>0</v>
      </c>
      <c r="FE284" s="175">
        <f t="shared" si="1795"/>
        <v>0</v>
      </c>
      <c r="FF284" s="56"/>
      <c r="FI284" s="55">
        <f t="shared" si="1796"/>
        <v>46265</v>
      </c>
      <c r="FJ284" s="67"/>
      <c r="FK284" s="183">
        <f>SUMPRODUCT(PRODUCE!$B285:$DY285,PRODUCE!$EB$25:$IY$25)</f>
        <v>0</v>
      </c>
      <c r="FL284" s="67"/>
      <c r="FM284" s="183">
        <f t="shared" si="1797"/>
        <v>0</v>
      </c>
      <c r="FN284" s="183">
        <f t="shared" si="1798"/>
        <v>0</v>
      </c>
      <c r="FO284" s="56"/>
      <c r="FR284" s="55">
        <f t="shared" si="1799"/>
        <v>46265</v>
      </c>
      <c r="FS284" s="67"/>
      <c r="FT284" s="186">
        <f>SUMPRODUCT(PRODUCE!$B285:$DY285,PRODUCE!$EB$26:$IY$26)</f>
        <v>0</v>
      </c>
      <c r="FU284" s="67"/>
      <c r="FV284" s="186">
        <f t="shared" si="1800"/>
        <v>0</v>
      </c>
      <c r="FW284" s="186">
        <f t="shared" si="1801"/>
        <v>2020</v>
      </c>
      <c r="FX284" s="56"/>
      <c r="GA284" s="55">
        <f t="shared" si="1802"/>
        <v>46265</v>
      </c>
      <c r="GB284" s="67"/>
      <c r="GC284" s="137">
        <f>SUMPRODUCT(PRODUCE!$B285:$DY285,PRODUCE!$EB$27:$IY$27)</f>
        <v>0</v>
      </c>
      <c r="GD284" s="67"/>
      <c r="GE284" s="137">
        <f t="shared" si="1803"/>
        <v>0</v>
      </c>
      <c r="GF284" s="137">
        <f t="shared" si="1804"/>
        <v>960</v>
      </c>
      <c r="GG284" s="56"/>
      <c r="GI284" s="23"/>
      <c r="GJ284" s="55">
        <f t="shared" si="1805"/>
        <v>46265</v>
      </c>
      <c r="GK284" s="67"/>
      <c r="GL284" s="199">
        <f>SUMPRODUCT(PRODUCE!$B285:$DY285,PRODUCE!$EB$28:$IY$28)</f>
        <v>0</v>
      </c>
      <c r="GM284" s="67"/>
      <c r="GN284" s="199">
        <f t="shared" si="1806"/>
        <v>0</v>
      </c>
      <c r="GO284" s="199">
        <f t="shared" si="1807"/>
        <v>1760</v>
      </c>
      <c r="GP284" s="56"/>
      <c r="GS284" s="55">
        <f t="shared" si="1808"/>
        <v>46265</v>
      </c>
      <c r="GT284" s="67"/>
      <c r="GU284" s="195">
        <f>SUMPRODUCT(PRODUCE!$B285:$DY285,PRODUCE!$EB$29:$IY$29)</f>
        <v>0</v>
      </c>
      <c r="GV284" s="67"/>
      <c r="GW284" s="195">
        <f t="shared" si="1809"/>
        <v>0</v>
      </c>
      <c r="GX284" s="195">
        <f t="shared" si="1810"/>
        <v>400</v>
      </c>
      <c r="GY284" s="56"/>
      <c r="HB284" s="55">
        <f t="shared" si="1811"/>
        <v>46265</v>
      </c>
      <c r="HC284" s="67"/>
      <c r="HD284" s="191">
        <f>SUMPRODUCT(PRODUCE!$B285:$DY285,PRODUCE!$EB$30:$IY$30)</f>
        <v>0</v>
      </c>
      <c r="HE284" s="67"/>
      <c r="HF284" s="191">
        <f t="shared" si="1812"/>
        <v>0</v>
      </c>
      <c r="HG284" s="191">
        <f t="shared" si="1813"/>
        <v>3600</v>
      </c>
      <c r="HH284" s="56"/>
      <c r="HK284" s="55">
        <f t="shared" si="1814"/>
        <v>46265</v>
      </c>
      <c r="HL284" s="67"/>
      <c r="HM284" s="63">
        <f>SUMPRODUCT(PRODUCE!$B285:$DY285,PRODUCE!$EB$31:$IY$31)</f>
        <v>0</v>
      </c>
      <c r="HN284" s="67"/>
      <c r="HO284" s="63">
        <f t="shared" si="1815"/>
        <v>0</v>
      </c>
      <c r="HP284" s="63">
        <f t="shared" si="1816"/>
        <v>0</v>
      </c>
      <c r="HQ284" s="56"/>
      <c r="HU284" s="55">
        <f t="shared" si="1817"/>
        <v>46265</v>
      </c>
      <c r="HV284" s="67"/>
      <c r="HW284" s="242">
        <f>SUMPRODUCT(PRODUCE!$B285:$DY285,PRODUCE!$EB$32:$IY$32)</f>
        <v>0</v>
      </c>
      <c r="HX284" s="67"/>
      <c r="HY284" s="242">
        <f t="shared" si="1818"/>
        <v>0</v>
      </c>
      <c r="HZ284" s="242">
        <f t="shared" si="1819"/>
        <v>6120</v>
      </c>
      <c r="IA284" s="56"/>
      <c r="ID284" s="55">
        <f t="shared" si="1820"/>
        <v>46265</v>
      </c>
      <c r="IE284" s="67"/>
      <c r="IF284" s="242">
        <f>SUMPRODUCT(PRODUCE!$B285:$DY285,PRODUCE!$EB$33:$IY$33)</f>
        <v>0</v>
      </c>
      <c r="IG284" s="67"/>
      <c r="IH284" s="242">
        <f t="shared" si="1821"/>
        <v>0</v>
      </c>
      <c r="II284" s="242">
        <f t="shared" si="1822"/>
        <v>0</v>
      </c>
      <c r="IJ284" s="56"/>
      <c r="IM284" s="55">
        <f t="shared" si="1823"/>
        <v>46265</v>
      </c>
      <c r="IN284" s="67"/>
      <c r="IO284" s="242">
        <f>SUMPRODUCT(PRODUCE!$B285:$DY285,PRODUCE!$EB$34:$IY$34)</f>
        <v>0</v>
      </c>
      <c r="IP284" s="67"/>
      <c r="IQ284" s="242">
        <f t="shared" si="1824"/>
        <v>0</v>
      </c>
      <c r="IR284" s="242">
        <f t="shared" si="1825"/>
        <v>0</v>
      </c>
      <c r="IS284" s="56"/>
      <c r="IV284" s="55">
        <f t="shared" si="1826"/>
        <v>46265</v>
      </c>
      <c r="IW284" s="67"/>
      <c r="IX284" s="242">
        <f>SUMPRODUCT(PRODUCE!$B285:$DY285,PRODUCE!$EB$35:$IY$35)</f>
        <v>0</v>
      </c>
      <c r="IY284" s="67"/>
      <c r="IZ284" s="242">
        <f t="shared" si="1827"/>
        <v>0</v>
      </c>
      <c r="JA284" s="242">
        <f t="shared" si="1828"/>
        <v>2820</v>
      </c>
      <c r="JB284" s="56"/>
      <c r="JE284" s="55">
        <f t="shared" si="1829"/>
        <v>46265</v>
      </c>
      <c r="JF284" s="67"/>
      <c r="JG284" s="242">
        <f>SUMPRODUCT(PRODUCE!$B285:$DY285,PRODUCE!$EB$36:$IY$36)</f>
        <v>0</v>
      </c>
      <c r="JH284" s="67"/>
      <c r="JI284" s="242">
        <f t="shared" si="1830"/>
        <v>0</v>
      </c>
      <c r="JJ284" s="242">
        <f t="shared" si="1831"/>
        <v>0</v>
      </c>
      <c r="JK284" s="56"/>
      <c r="JN284" s="55">
        <f t="shared" si="1832"/>
        <v>46265</v>
      </c>
      <c r="JO284" s="67"/>
      <c r="JP284" s="242">
        <f>SUMPRODUCT(PRODUCE!$B285:$DY285,PRODUCE!$EB$37:$IY$37)</f>
        <v>0</v>
      </c>
      <c r="JQ284" s="67"/>
      <c r="JR284" s="242">
        <f t="shared" si="1833"/>
        <v>0</v>
      </c>
      <c r="JS284" s="242">
        <f t="shared" si="1834"/>
        <v>0</v>
      </c>
      <c r="JT284" s="56"/>
      <c r="JW284" s="55">
        <f t="shared" si="1835"/>
        <v>46265</v>
      </c>
      <c r="JX284" s="67"/>
      <c r="JY284" s="242">
        <f>SUMPRODUCT(PRODUCE!$B285:$DY285,PRODUCE!$EB$38:$IY$38)</f>
        <v>0</v>
      </c>
      <c r="JZ284" s="67"/>
      <c r="KA284" s="242">
        <f t="shared" si="1836"/>
        <v>0</v>
      </c>
      <c r="KB284" s="242">
        <f t="shared" si="1837"/>
        <v>2540</v>
      </c>
      <c r="KC284" s="56"/>
      <c r="KF284" s="55">
        <f t="shared" si="1838"/>
        <v>46265</v>
      </c>
      <c r="KG284" s="67"/>
      <c r="KH284" s="242">
        <f>SUMPRODUCT(PRODUCE!$B285:$DY285,PRODUCE!$EB$39:$IY$39)</f>
        <v>0</v>
      </c>
      <c r="KI284" s="67"/>
      <c r="KJ284" s="242">
        <f t="shared" si="1839"/>
        <v>0</v>
      </c>
      <c r="KK284" s="242">
        <f t="shared" si="1840"/>
        <v>2359.5</v>
      </c>
      <c r="KL284" s="56"/>
      <c r="KO284" s="55">
        <f t="shared" si="1841"/>
        <v>46265</v>
      </c>
      <c r="KP284" s="67"/>
      <c r="KQ284" s="242">
        <f>SUMPRODUCT(PRODUCE!$B285:$DY285,PRODUCE!$EB$40:$IY$40)</f>
        <v>0</v>
      </c>
      <c r="KR284" s="67"/>
      <c r="KS284" s="242">
        <f t="shared" si="1842"/>
        <v>0</v>
      </c>
      <c r="KT284" s="242">
        <f t="shared" si="1843"/>
        <v>1890</v>
      </c>
      <c r="KU284" s="56"/>
      <c r="KW284" s="23"/>
      <c r="KX284" s="55">
        <f t="shared" si="1844"/>
        <v>46265</v>
      </c>
      <c r="KY284" s="67"/>
      <c r="KZ284" s="242">
        <f>SUMPRODUCT(PRODUCE!$B285:$DY285,PRODUCE!$EB$41:$IY$41)</f>
        <v>0</v>
      </c>
      <c r="LA284" s="67"/>
      <c r="LB284" s="242">
        <f t="shared" si="1845"/>
        <v>0</v>
      </c>
      <c r="LC284" s="242">
        <f t="shared" si="1846"/>
        <v>3690</v>
      </c>
      <c r="LD284" s="56"/>
      <c r="LG284" s="55">
        <f t="shared" si="1847"/>
        <v>46265</v>
      </c>
      <c r="LH284" s="67"/>
      <c r="LI284" s="242">
        <f>SUMPRODUCT(PRODUCE!$B285:$DY285,PRODUCE!$EB$42:$IY$42)</f>
        <v>0</v>
      </c>
      <c r="LJ284" s="67"/>
      <c r="LK284" s="242">
        <f t="shared" si="1848"/>
        <v>0</v>
      </c>
      <c r="LL284" s="242">
        <f t="shared" si="1849"/>
        <v>4000</v>
      </c>
      <c r="LM284" s="56"/>
      <c r="LP284" s="55">
        <f t="shared" si="1850"/>
        <v>46265</v>
      </c>
      <c r="LQ284" s="67"/>
      <c r="LR284" s="242">
        <f>SUMPRODUCT(PRODUCE!$B299:$DY299,PRODUCE!$EB$43:$IY$43)</f>
        <v>0</v>
      </c>
      <c r="LS284" s="67"/>
      <c r="LT284" s="242">
        <f t="shared" si="1851"/>
        <v>0</v>
      </c>
      <c r="LU284" s="242">
        <f t="shared" si="1852"/>
        <v>0</v>
      </c>
      <c r="LV284" s="56"/>
      <c r="LY284" s="55">
        <f t="shared" si="1853"/>
        <v>46265</v>
      </c>
      <c r="LZ284" s="67"/>
      <c r="MA284" s="242">
        <f>SUMPRODUCT(PRODUCE!$B285:$DY285,PRODUCE!$EB$44:$IY$44)</f>
        <v>0</v>
      </c>
      <c r="MB284" s="67"/>
      <c r="MC284" s="242">
        <f t="shared" si="1854"/>
        <v>0</v>
      </c>
      <c r="MD284" s="242">
        <f t="shared" si="1855"/>
        <v>0</v>
      </c>
      <c r="ME284" s="56"/>
      <c r="MH284" s="55">
        <f t="shared" si="1856"/>
        <v>46265</v>
      </c>
      <c r="MI284" s="67"/>
      <c r="MJ284" s="242">
        <f>SUMPRODUCT(PRODUCE!$B285:$DY285,PRODUCE!$EB$45:$IY$45)</f>
        <v>0</v>
      </c>
      <c r="MK284" s="67"/>
      <c r="ML284" s="242">
        <f t="shared" si="1857"/>
        <v>0</v>
      </c>
      <c r="MM284" s="242">
        <f t="shared" si="1858"/>
        <v>0</v>
      </c>
      <c r="MN284" s="56"/>
      <c r="MQ284" s="55">
        <f t="shared" si="1859"/>
        <v>46265</v>
      </c>
      <c r="MR284" s="67"/>
      <c r="MS284" s="242">
        <f>SUMPRODUCT(PRODUCE!$B285:$DY285,PRODUCE!$EB$46:$IY$46)</f>
        <v>0</v>
      </c>
      <c r="MT284" s="67"/>
      <c r="MU284" s="242">
        <f t="shared" si="1860"/>
        <v>0</v>
      </c>
      <c r="MV284" s="242">
        <f t="shared" si="1861"/>
        <v>1625</v>
      </c>
      <c r="MW284" s="56"/>
      <c r="MZ284" s="55">
        <f t="shared" si="1862"/>
        <v>46265</v>
      </c>
      <c r="NA284" s="67"/>
      <c r="NB284" s="242">
        <f>SUMPRODUCT(PRODUCE!$B285:$DY285,PRODUCE!$EB$47:$IY$47)</f>
        <v>0</v>
      </c>
      <c r="NC284" s="67"/>
      <c r="ND284" s="242">
        <f t="shared" si="1863"/>
        <v>0</v>
      </c>
      <c r="NE284" s="242">
        <f t="shared" si="1864"/>
        <v>0</v>
      </c>
      <c r="NF284" s="56"/>
      <c r="NI284" s="55">
        <f t="shared" si="1865"/>
        <v>46265</v>
      </c>
      <c r="NJ284" s="67"/>
      <c r="NK284" s="242">
        <f>SUMPRODUCT(PRODUCE!$B285:$DY285,PRODUCE!$EB$48:$IY$48)</f>
        <v>0</v>
      </c>
      <c r="NL284" s="67"/>
      <c r="NM284" s="242">
        <f t="shared" si="1866"/>
        <v>0</v>
      </c>
      <c r="NN284" s="242">
        <f t="shared" si="1867"/>
        <v>1127</v>
      </c>
      <c r="NO284" s="56"/>
      <c r="NR284" s="55">
        <f t="shared" si="1868"/>
        <v>46265</v>
      </c>
      <c r="NS284" s="67"/>
      <c r="NT284" s="242">
        <f>SUMPRODUCT(PRODUCE!$B285:$DY285,PRODUCE!$EB$49:$IY$49)</f>
        <v>0</v>
      </c>
      <c r="NU284" s="67"/>
      <c r="NV284" s="242">
        <f t="shared" si="1869"/>
        <v>0</v>
      </c>
      <c r="NW284" s="242">
        <f t="shared" si="1870"/>
        <v>3111.9999999999995</v>
      </c>
      <c r="NX284" s="56"/>
      <c r="OA284" s="55">
        <f t="shared" si="1871"/>
        <v>46265</v>
      </c>
      <c r="OB284" s="67"/>
      <c r="OC284" s="242">
        <f>SUMPRODUCT(PRODUCE!$B285:$DY285,PRODUCE!$EB$50:$IY$50)</f>
        <v>0</v>
      </c>
      <c r="OD284" s="67"/>
      <c r="OE284" s="242">
        <f t="shared" si="1872"/>
        <v>0</v>
      </c>
      <c r="OF284" s="242">
        <f t="shared" si="1873"/>
        <v>1680.5</v>
      </c>
      <c r="OG284" s="56"/>
      <c r="OJ284" s="55">
        <f t="shared" si="1874"/>
        <v>46265</v>
      </c>
      <c r="OK284" s="67"/>
      <c r="OL284" s="242">
        <f>SUMPRODUCT(PRODUCE!$B285:$DY285,PRODUCE!$EB$51:$IY$51)</f>
        <v>0</v>
      </c>
      <c r="OM284" s="67"/>
      <c r="ON284" s="242">
        <f t="shared" si="1875"/>
        <v>0</v>
      </c>
      <c r="OO284" s="242">
        <f t="shared" si="1876"/>
        <v>0</v>
      </c>
      <c r="OP284" s="56"/>
      <c r="OS284" s="55">
        <f t="shared" si="1877"/>
        <v>46265</v>
      </c>
      <c r="OT284" s="67"/>
      <c r="OU284" s="242">
        <f>SUMPRODUCT(PRODUCE!$B285:$DY285,PRODUCE!$EB$52:$IY$52)</f>
        <v>0</v>
      </c>
      <c r="OV284" s="67"/>
      <c r="OW284" s="242">
        <f t="shared" si="1878"/>
        <v>0</v>
      </c>
      <c r="OX284" s="242">
        <f t="shared" si="1879"/>
        <v>1482</v>
      </c>
      <c r="OY284" s="56"/>
      <c r="PB284" s="55">
        <f t="shared" si="1880"/>
        <v>46265</v>
      </c>
      <c r="PC284" s="67"/>
      <c r="PD284" s="242">
        <f>SUMPRODUCT(PRODUCE!$B285:$DY285,PRODUCE!$EB$53:$IY$53)</f>
        <v>0</v>
      </c>
      <c r="PE284" s="67"/>
      <c r="PF284" s="242">
        <f t="shared" si="1881"/>
        <v>0</v>
      </c>
      <c r="PG284" s="242">
        <f t="shared" si="1882"/>
        <v>0</v>
      </c>
      <c r="PH284" s="56"/>
      <c r="PK284" s="55">
        <f t="shared" si="1883"/>
        <v>46265</v>
      </c>
      <c r="PL284" s="67"/>
      <c r="PM284" s="242">
        <f>SUMPRODUCT(PRODUCE!$B285:$DY285,PRODUCE!$EB$54:$IY$54)</f>
        <v>0</v>
      </c>
      <c r="PN284" s="67"/>
      <c r="PO284" s="242">
        <f t="shared" si="1884"/>
        <v>0</v>
      </c>
      <c r="PP284" s="242">
        <f t="shared" si="1885"/>
        <v>100</v>
      </c>
      <c r="PQ284" s="56"/>
      <c r="PT284" s="55">
        <f t="shared" si="1886"/>
        <v>46265</v>
      </c>
      <c r="PU284" s="67"/>
      <c r="PV284" s="242">
        <f>SUMPRODUCT(PRODUCE!$B285:$DY285,PRODUCE!$EB$55:$IY$55)</f>
        <v>0</v>
      </c>
      <c r="PW284" s="67"/>
      <c r="PX284" s="242">
        <f t="shared" si="1887"/>
        <v>0</v>
      </c>
      <c r="PY284" s="242">
        <f t="shared" si="1888"/>
        <v>13.960000000000036</v>
      </c>
      <c r="PZ284" s="56"/>
      <c r="QC284" s="55">
        <f t="shared" si="1889"/>
        <v>46265</v>
      </c>
      <c r="QD284" s="67"/>
      <c r="QE284" s="242">
        <f>SUMPRODUCT(PRODUCE!$B285:$DY285,PRODUCE!$EB$56:$IY$56)</f>
        <v>0</v>
      </c>
      <c r="QF284" s="67"/>
      <c r="QG284" s="242">
        <f t="shared" si="1890"/>
        <v>0</v>
      </c>
      <c r="QH284" s="242">
        <f t="shared" si="1891"/>
        <v>548</v>
      </c>
      <c r="QI284" s="56"/>
      <c r="QL284" s="55">
        <f t="shared" si="1892"/>
        <v>46265</v>
      </c>
      <c r="QM284" s="67"/>
      <c r="QN284" s="242">
        <f>SUMPRODUCT(PRODUCE!$B285:$DY285,PRODUCE!$EB$57:$IY$57)</f>
        <v>0</v>
      </c>
      <c r="QO284" s="67"/>
      <c r="QP284" s="242">
        <f t="shared" si="1893"/>
        <v>0</v>
      </c>
      <c r="QQ284" s="242">
        <f t="shared" si="1894"/>
        <v>0</v>
      </c>
      <c r="QR284" s="56"/>
      <c r="QU284" s="55">
        <f t="shared" si="1895"/>
        <v>46265</v>
      </c>
      <c r="QV284" s="67"/>
      <c r="QW284" s="242">
        <f>SUMPRODUCT(PRODUCE!$B285:$DY285,PRODUCE!$EB$57:$IY$57)</f>
        <v>0</v>
      </c>
      <c r="QX284" s="67"/>
      <c r="QY284" s="242">
        <f t="shared" si="1896"/>
        <v>0</v>
      </c>
      <c r="QZ284" s="242">
        <f t="shared" si="1897"/>
        <v>0</v>
      </c>
      <c r="RA284" s="56"/>
      <c r="RD284" s="55">
        <f t="shared" si="1898"/>
        <v>46265</v>
      </c>
      <c r="RE284" s="67"/>
      <c r="RF284" s="242">
        <f>SUMPRODUCT(PRODUCE!$B285:$DY285,PRODUCE!$EB$58:$IY$58)</f>
        <v>0</v>
      </c>
      <c r="RG284" s="67"/>
      <c r="RH284" s="242">
        <f t="shared" si="1899"/>
        <v>0</v>
      </c>
      <c r="RI284" s="242">
        <f t="shared" si="1900"/>
        <v>147.04000000000002</v>
      </c>
      <c r="RJ284" s="56"/>
      <c r="RM284" s="55">
        <f t="shared" si="1901"/>
        <v>46265</v>
      </c>
      <c r="RN284" s="67"/>
      <c r="RO284" s="242">
        <f>SUMPRODUCT(PRODUCE!$B285:$DY285,PRODUCE!$EB$59:$IY$59)</f>
        <v>0</v>
      </c>
      <c r="RP284" s="67"/>
      <c r="RQ284" s="242">
        <f t="shared" si="1902"/>
        <v>0</v>
      </c>
      <c r="RR284" s="242">
        <f t="shared" si="1903"/>
        <v>46.8</v>
      </c>
      <c r="RS284" s="56"/>
      <c r="RV284" s="55">
        <f t="shared" si="1904"/>
        <v>46265</v>
      </c>
      <c r="RW284" s="67"/>
      <c r="RX284" s="242">
        <f>SUMPRODUCT(PRODUCE!$B285:$DY285,PRODUCE!$EB$57:$IY$57)</f>
        <v>0</v>
      </c>
      <c r="RY284" s="67"/>
      <c r="RZ284" s="242">
        <f t="shared" si="1905"/>
        <v>0</v>
      </c>
      <c r="SA284" s="242">
        <f t="shared" si="1906"/>
        <v>0</v>
      </c>
      <c r="SB284" s="56"/>
      <c r="SE284" s="55">
        <f t="shared" si="1907"/>
        <v>46265</v>
      </c>
      <c r="SF284" s="67"/>
      <c r="SG284" s="242">
        <f>SUMPRODUCT(PRODUCE!$B285:$DY285,PRODUCE!$EB$61:$IY$61)</f>
        <v>0</v>
      </c>
      <c r="SH284" s="67"/>
      <c r="SI284" s="242">
        <f t="shared" si="1908"/>
        <v>0</v>
      </c>
      <c r="SJ284" s="242">
        <f t="shared" si="1909"/>
        <v>24.200000000000003</v>
      </c>
      <c r="SK284" s="56"/>
      <c r="SN284" s="55">
        <f t="shared" si="1910"/>
        <v>46265</v>
      </c>
      <c r="SO284" s="67"/>
      <c r="SP284" s="242">
        <f>SUMPRODUCT(PRODUCE!$B285:$DY285,PRODUCE!$EB$62:$IY$62)</f>
        <v>0</v>
      </c>
      <c r="SQ284" s="67"/>
      <c r="SR284" s="242">
        <f t="shared" si="1911"/>
        <v>0</v>
      </c>
      <c r="SS284" s="242">
        <f t="shared" si="1912"/>
        <v>32</v>
      </c>
      <c r="ST284" s="56"/>
      <c r="SW284" s="55">
        <f t="shared" si="1913"/>
        <v>46265</v>
      </c>
      <c r="SX284" s="67"/>
      <c r="SY284" s="242">
        <f>SUMPRODUCT(PRODUCE!$B285:$DY285,PRODUCE!$EB$57:$IY$57)</f>
        <v>0</v>
      </c>
      <c r="SZ284" s="67"/>
      <c r="TA284" s="242">
        <f t="shared" si="1914"/>
        <v>0</v>
      </c>
      <c r="TB284" s="242">
        <f t="shared" si="1915"/>
        <v>0</v>
      </c>
      <c r="TC284" s="56"/>
      <c r="TF284" s="55">
        <f t="shared" si="1916"/>
        <v>46265</v>
      </c>
      <c r="TG284" s="67"/>
      <c r="TH284" s="242">
        <f>SUMPRODUCT(PRODUCE!$B285:$DY285,PRODUCE!$EB$57:$IY$57)</f>
        <v>0</v>
      </c>
      <c r="TI284" s="67"/>
      <c r="TJ284" s="242">
        <f t="shared" si="1917"/>
        <v>0</v>
      </c>
      <c r="TK284" s="242">
        <f t="shared" si="1918"/>
        <v>0</v>
      </c>
      <c r="TL284" s="56"/>
      <c r="TO284" s="55">
        <f t="shared" si="1919"/>
        <v>46265</v>
      </c>
      <c r="TP284" s="67"/>
      <c r="TQ284" s="242">
        <f>SUMPRODUCT(PRODUCE!$B285:$DY285,PRODUCE!$EB$57:$IY$57)</f>
        <v>0</v>
      </c>
      <c r="TR284" s="67"/>
      <c r="TS284" s="242">
        <f t="shared" si="1920"/>
        <v>0</v>
      </c>
      <c r="TT284" s="242">
        <f t="shared" si="1921"/>
        <v>0</v>
      </c>
      <c r="TU284" s="56"/>
      <c r="TX284" s="55">
        <f t="shared" si="1922"/>
        <v>46265</v>
      </c>
      <c r="TY284" s="67"/>
      <c r="TZ284" s="242">
        <f>SUMPRODUCT(PRODUCE!$B285:$DY285,PRODUCE!$EB$57:$IY$57)</f>
        <v>0</v>
      </c>
      <c r="UA284" s="67"/>
      <c r="UB284" s="242">
        <f t="shared" si="1923"/>
        <v>0</v>
      </c>
      <c r="UC284" s="242">
        <f t="shared" si="1924"/>
        <v>46.799999999999983</v>
      </c>
      <c r="UD284" s="56"/>
      <c r="UG284" s="55">
        <f t="shared" si="1925"/>
        <v>46265</v>
      </c>
      <c r="UH284" s="67"/>
      <c r="UI284" s="242">
        <f>SUMPRODUCT(PRODUCE!$B285:$DY285,PRODUCE!$EB$57:$IY$57)</f>
        <v>0</v>
      </c>
      <c r="UJ284" s="67"/>
      <c r="UK284" s="242">
        <f t="shared" si="1926"/>
        <v>0</v>
      </c>
      <c r="UL284" s="242">
        <f t="shared" si="1927"/>
        <v>204</v>
      </c>
      <c r="UM284" s="56"/>
      <c r="UP284" s="55">
        <f t="shared" si="1928"/>
        <v>46265</v>
      </c>
      <c r="UQ284" s="67"/>
      <c r="UR284" s="242">
        <f>SUMPRODUCT(PRODUCE!$B285:$DY285,PRODUCE!$EB$57:$IY$57)</f>
        <v>0</v>
      </c>
      <c r="US284" s="67"/>
      <c r="UT284" s="242">
        <f t="shared" si="1929"/>
        <v>0</v>
      </c>
      <c r="UU284" s="242">
        <f t="shared" si="1930"/>
        <v>202.5</v>
      </c>
      <c r="UV284" s="56"/>
      <c r="UY284" s="55">
        <f t="shared" si="1931"/>
        <v>46265</v>
      </c>
      <c r="UZ284" s="67"/>
      <c r="VA284" s="242">
        <f>SUMPRODUCT(PRODUCE!$B285:$DY285,PRODUCE!$EB$57:$IY$57)</f>
        <v>0</v>
      </c>
      <c r="VB284" s="67"/>
      <c r="VC284" s="242">
        <f t="shared" si="1932"/>
        <v>0</v>
      </c>
      <c r="VD284" s="242">
        <f t="shared" si="1933"/>
        <v>41.600000000000023</v>
      </c>
      <c r="VE284" s="56"/>
      <c r="VH284" s="55">
        <f t="shared" si="1934"/>
        <v>46265</v>
      </c>
      <c r="VI284" s="67"/>
      <c r="VJ284" s="242">
        <f>SUMPRODUCT(PRODUCE!$B285:$DY285,PRODUCE!$EB$57:$IY$57)</f>
        <v>0</v>
      </c>
      <c r="VK284" s="67"/>
      <c r="VL284" s="242">
        <f t="shared" si="1935"/>
        <v>0</v>
      </c>
      <c r="VM284" s="242">
        <f t="shared" si="1936"/>
        <v>210</v>
      </c>
      <c r="VN284" s="56"/>
      <c r="VQ284" s="55">
        <f t="shared" si="1937"/>
        <v>46265</v>
      </c>
      <c r="VR284" s="67"/>
      <c r="VS284" s="242">
        <f>SUMPRODUCT(PRODUCE!$B285:$DY285,PRODUCE!$EB$57:$IY$57)</f>
        <v>0</v>
      </c>
      <c r="VT284" s="67"/>
      <c r="VU284" s="242">
        <f t="shared" si="1938"/>
        <v>0</v>
      </c>
      <c r="VV284" s="242">
        <f t="shared" si="1939"/>
        <v>0</v>
      </c>
      <c r="VW284" s="56"/>
      <c r="VZ284" s="55">
        <f t="shared" si="1940"/>
        <v>46265</v>
      </c>
      <c r="WA284" s="67"/>
      <c r="WB284" s="242">
        <f>SUMPRODUCT(PRODUCE!$B285:$DY285,PRODUCE!$EB$57:$IY$57)</f>
        <v>0</v>
      </c>
      <c r="WC284" s="67"/>
      <c r="WD284" s="242">
        <f t="shared" si="1941"/>
        <v>0</v>
      </c>
      <c r="WE284" s="242">
        <f t="shared" si="1942"/>
        <v>0</v>
      </c>
      <c r="WF284" s="56"/>
      <c r="WI284" s="55">
        <f t="shared" si="1943"/>
        <v>46265</v>
      </c>
      <c r="WJ284" s="67"/>
      <c r="WK284" s="242">
        <f>SUMPRODUCT(PRODUCE!$B285:$DY285,PRODUCE!$EB$57:$IY$57)</f>
        <v>0</v>
      </c>
      <c r="WL284" s="67"/>
      <c r="WM284" s="242">
        <f t="shared" si="1944"/>
        <v>0</v>
      </c>
      <c r="WN284" s="242">
        <f t="shared" si="1945"/>
        <v>1057</v>
      </c>
      <c r="WO284" s="56"/>
      <c r="WR284" s="55">
        <f t="shared" si="1946"/>
        <v>46265</v>
      </c>
      <c r="WS284" s="67"/>
      <c r="WT284" s="242">
        <f>SUMPRODUCT(PRODUCE!$B285:$DY285,PRODUCE!$EB$57:$IY$57)</f>
        <v>0</v>
      </c>
      <c r="WU284" s="67"/>
      <c r="WV284" s="242">
        <f t="shared" si="1947"/>
        <v>0</v>
      </c>
      <c r="WW284" s="242">
        <f t="shared" si="1948"/>
        <v>0</v>
      </c>
      <c r="WX284" s="56"/>
      <c r="XA284" s="55">
        <f t="shared" si="1949"/>
        <v>46265</v>
      </c>
      <c r="XB284" s="67"/>
      <c r="XC284" s="242">
        <f>SUMPRODUCT(PRODUCE!$B285:$DY285,PRODUCE!$EB$57:$IY$57)</f>
        <v>0</v>
      </c>
      <c r="XD284" s="67"/>
      <c r="XE284" s="242">
        <f t="shared" si="1950"/>
        <v>0</v>
      </c>
      <c r="XF284" s="242">
        <f t="shared" si="1951"/>
        <v>7507</v>
      </c>
      <c r="XG284" s="56"/>
      <c r="XJ284" s="55">
        <f t="shared" si="1952"/>
        <v>46265</v>
      </c>
      <c r="XK284" s="67"/>
      <c r="XL284" s="242">
        <f>SUMPRODUCT(PRODUCE!$B285:$DY285,PRODUCE!$EB$57:$IY$57)</f>
        <v>0</v>
      </c>
      <c r="XM284" s="67"/>
      <c r="XN284" s="242">
        <f t="shared" si="1953"/>
        <v>0</v>
      </c>
      <c r="XO284" s="242">
        <f t="shared" si="1954"/>
        <v>4252</v>
      </c>
      <c r="XP284" s="56"/>
      <c r="XS284" s="55">
        <f t="shared" si="1955"/>
        <v>46265</v>
      </c>
      <c r="XT284" s="67"/>
      <c r="XU284" s="242">
        <f>SUMPRODUCT(PRODUCE!$B285:$DY285,PRODUCE!$EB$57:$IY$57)</f>
        <v>0</v>
      </c>
      <c r="XV284" s="67"/>
      <c r="XW284" s="242">
        <f t="shared" si="1956"/>
        <v>0</v>
      </c>
      <c r="XX284" s="242">
        <f t="shared" si="1957"/>
        <v>2179</v>
      </c>
      <c r="XY284" s="56"/>
      <c r="YB284" s="55">
        <f t="shared" si="1958"/>
        <v>46265</v>
      </c>
      <c r="YC284" s="67"/>
      <c r="YD284" s="242">
        <f>SUMPRODUCT(PRODUCE!$B285:$DY285,PRODUCE!$EB$57:$IY$57)</f>
        <v>0</v>
      </c>
      <c r="YE284" s="67"/>
      <c r="YF284" s="242">
        <f t="shared" si="1959"/>
        <v>0</v>
      </c>
      <c r="YG284" s="242">
        <f t="shared" si="1960"/>
        <v>4019</v>
      </c>
      <c r="YH284" s="56"/>
      <c r="YK284" s="55">
        <f t="shared" si="1961"/>
        <v>46265</v>
      </c>
      <c r="YL284" s="67"/>
      <c r="YM284" s="242">
        <f>SUMPRODUCT(PRODUCE!$B285:$DY285,PRODUCE!$EB$57:$IY$57)</f>
        <v>0</v>
      </c>
      <c r="YN284" s="67"/>
      <c r="YO284" s="242">
        <f t="shared" si="1962"/>
        <v>0</v>
      </c>
      <c r="YP284" s="242">
        <f t="shared" si="1963"/>
        <v>-218</v>
      </c>
      <c r="YQ284" s="56"/>
      <c r="YT284" s="55">
        <f t="shared" si="1964"/>
        <v>46265</v>
      </c>
      <c r="YU284" s="67"/>
      <c r="YV284" s="242">
        <f>SUMPRODUCT(PRODUCE!$B285:$DY285,PRODUCE!$EB$57:$IY$57)</f>
        <v>0</v>
      </c>
      <c r="YW284" s="67"/>
      <c r="YX284" s="242">
        <f t="shared" si="1965"/>
        <v>0</v>
      </c>
      <c r="YY284" s="242">
        <f t="shared" si="1966"/>
        <v>0</v>
      </c>
      <c r="YZ284" s="56"/>
      <c r="ZC284" s="55">
        <f t="shared" si="1967"/>
        <v>46265</v>
      </c>
      <c r="ZD284" s="67"/>
      <c r="ZE284" s="242">
        <f>SUMPRODUCT(PRODUCE!$B285:$DY285,PRODUCE!$EB$57:$IY$57)</f>
        <v>0</v>
      </c>
      <c r="ZF284" s="67"/>
      <c r="ZG284" s="242">
        <f t="shared" si="1968"/>
        <v>0</v>
      </c>
      <c r="ZH284" s="242">
        <f t="shared" si="1969"/>
        <v>0</v>
      </c>
      <c r="ZI284" s="56"/>
      <c r="ZL284" s="55">
        <f t="shared" si="1970"/>
        <v>46265</v>
      </c>
      <c r="ZM284" s="67"/>
      <c r="ZN284" s="242">
        <f>SUMPRODUCT(PRODUCE!$B285:$DY285,PRODUCE!$EB$57:$IY$57)</f>
        <v>0</v>
      </c>
      <c r="ZO284" s="67"/>
      <c r="ZP284" s="242">
        <f t="shared" si="1971"/>
        <v>0</v>
      </c>
      <c r="ZQ284" s="242">
        <f t="shared" si="1972"/>
        <v>0</v>
      </c>
      <c r="ZR284" s="56"/>
      <c r="ZU284" s="55">
        <f t="shared" si="1973"/>
        <v>46265</v>
      </c>
      <c r="ZV284" s="67"/>
      <c r="ZW284" s="242">
        <f>SUMPRODUCT(PRODUCE!$B285:$DY285,PRODUCE!$EB$57:$IY$57)</f>
        <v>0</v>
      </c>
      <c r="ZX284" s="67"/>
      <c r="ZY284" s="242">
        <f t="shared" si="1974"/>
        <v>0</v>
      </c>
      <c r="ZZ284" s="242">
        <f t="shared" si="1975"/>
        <v>0</v>
      </c>
      <c r="AAA284" s="56"/>
      <c r="AAD284" s="55">
        <f t="shared" si="1976"/>
        <v>46265</v>
      </c>
      <c r="AAE284" s="67"/>
      <c r="AAF284" s="242">
        <f>SUMPRODUCT(PRODUCE!$B285:$DY285,PRODUCE!$EB$57:$IY$57)</f>
        <v>0</v>
      </c>
      <c r="AAG284" s="67"/>
      <c r="AAH284" s="242">
        <f t="shared" si="1977"/>
        <v>0</v>
      </c>
      <c r="AAI284" s="242">
        <f t="shared" si="1978"/>
        <v>0</v>
      </c>
      <c r="AAJ284" s="56"/>
      <c r="AAM284" s="55">
        <f t="shared" si="1979"/>
        <v>46265</v>
      </c>
      <c r="AAN284" s="67"/>
      <c r="AAO284" s="242">
        <f>SUMPRODUCT(PRODUCE!$B285:$DY285,PRODUCE!$EB$57:$IY$57)</f>
        <v>0</v>
      </c>
      <c r="AAP284" s="67"/>
      <c r="AAQ284" s="242">
        <f t="shared" si="1980"/>
        <v>0</v>
      </c>
      <c r="AAR284" s="242">
        <f t="shared" si="1981"/>
        <v>0</v>
      </c>
      <c r="AAS284" s="56"/>
      <c r="AAV284" s="55">
        <f t="shared" si="1982"/>
        <v>46265</v>
      </c>
      <c r="AAW284" s="67"/>
      <c r="AAX284" s="242">
        <f>SUMPRODUCT(PRODUCE!$B285:$DY285,PRODUCE!$EB$57:$IY$57)</f>
        <v>0</v>
      </c>
      <c r="AAY284" s="67"/>
      <c r="AAZ284" s="242">
        <f t="shared" si="1983"/>
        <v>0</v>
      </c>
      <c r="ABA284" s="242">
        <f t="shared" si="1984"/>
        <v>0</v>
      </c>
      <c r="ABB284" s="56"/>
      <c r="ABE284" s="55">
        <f t="shared" si="1985"/>
        <v>46265</v>
      </c>
      <c r="ABF284" s="67"/>
      <c r="ABG284" s="242">
        <f>SUMPRODUCT(PRODUCE!$B285:$DY285,PRODUCE!$EB$57:$IY$57)</f>
        <v>0</v>
      </c>
      <c r="ABH284" s="67"/>
      <c r="ABI284" s="242">
        <f t="shared" si="1986"/>
        <v>0</v>
      </c>
      <c r="ABJ284" s="242">
        <f t="shared" si="1987"/>
        <v>0</v>
      </c>
      <c r="ABK284" s="56"/>
    </row>
    <row r="285" spans="1:739" ht="14.45" thickBot="1">
      <c r="B285" s="480">
        <f>SUM(B254:B284)</f>
        <v>800</v>
      </c>
      <c r="C285" s="68" t="s">
        <v>72</v>
      </c>
      <c r="D285" s="73">
        <f>SUM(D254:D284)</f>
        <v>98452</v>
      </c>
      <c r="E285" s="73">
        <f>SUM(E254:E284)</f>
        <v>139911.36000000002</v>
      </c>
      <c r="F285" s="73">
        <f>SUM(F254:F284)</f>
        <v>52464.800000000003</v>
      </c>
      <c r="G285" s="73">
        <f>SUM(G254:G284)</f>
        <v>87446.560000000012</v>
      </c>
      <c r="H285" s="70">
        <f>H284</f>
        <v>236936.6</v>
      </c>
      <c r="I285" s="289"/>
      <c r="L285" s="68" t="s">
        <v>72</v>
      </c>
      <c r="M285" s="73">
        <f>SUM(M254:M284)</f>
        <v>0</v>
      </c>
      <c r="N285" s="73">
        <f>SUM(N254:N284)</f>
        <v>71452.899999999994</v>
      </c>
      <c r="O285" s="73">
        <f>SUM(O254:O284)</f>
        <v>0</v>
      </c>
      <c r="P285" s="73">
        <f>SUM(P254:P284)</f>
        <v>71452.899999999994</v>
      </c>
      <c r="Q285" s="70">
        <f>Q284</f>
        <v>53017.600000000071</v>
      </c>
      <c r="R285" s="71"/>
      <c r="U285" s="68" t="s">
        <v>72</v>
      </c>
      <c r="V285" s="73">
        <f>SUM(V254:V284)</f>
        <v>0</v>
      </c>
      <c r="W285" s="73">
        <f>SUM(W254:W284)</f>
        <v>13450</v>
      </c>
      <c r="X285" s="73">
        <f>SUM(X254:X284)</f>
        <v>0</v>
      </c>
      <c r="Y285" s="73">
        <f>SUM(Y254:Y284)</f>
        <v>13450</v>
      </c>
      <c r="Z285" s="70">
        <f>Z284</f>
        <v>42674.199999999968</v>
      </c>
      <c r="AA285" s="71"/>
      <c r="AD285" s="68" t="s">
        <v>72</v>
      </c>
      <c r="AE285" s="73">
        <f>SUM(AE254:AE284)</f>
        <v>0</v>
      </c>
      <c r="AF285" s="73">
        <f>SUM(AF254:AF284)</f>
        <v>1000</v>
      </c>
      <c r="AG285" s="73">
        <f>SUM(AG254:AG284)</f>
        <v>0</v>
      </c>
      <c r="AH285" s="73">
        <f>SUM(AH254:AH284)</f>
        <v>1000</v>
      </c>
      <c r="AI285" s="70">
        <f>AI284</f>
        <v>4522.2000000000189</v>
      </c>
      <c r="AJ285" s="71"/>
      <c r="AM285" s="68" t="s">
        <v>72</v>
      </c>
      <c r="AN285" s="426">
        <f>SUM(AN254:AN284)</f>
        <v>0</v>
      </c>
      <c r="AO285" s="426">
        <f>SUM(AO254:AO284)</f>
        <v>0</v>
      </c>
      <c r="AP285" s="426">
        <f>SUM(AP254:AP284)</f>
        <v>0</v>
      </c>
      <c r="AQ285" s="426">
        <f>SUM(AQ254:AQ284)</f>
        <v>0</v>
      </c>
      <c r="AR285" s="428">
        <f>AR284</f>
        <v>0</v>
      </c>
      <c r="AS285" s="71"/>
      <c r="AV285" s="68" t="s">
        <v>72</v>
      </c>
      <c r="AW285" s="73">
        <f>SUM(AW254:AW284)</f>
        <v>0</v>
      </c>
      <c r="AX285" s="73">
        <f>SUM(AX254:AX284)</f>
        <v>2255.1999999999998</v>
      </c>
      <c r="AY285" s="73">
        <f>SUM(AY254:AY284)</f>
        <v>0</v>
      </c>
      <c r="AZ285" s="73">
        <f>SUM(AZ254:AZ284)</f>
        <v>2255.1999999999998</v>
      </c>
      <c r="BA285" s="70">
        <f>BA284</f>
        <v>124.99999999999523</v>
      </c>
      <c r="BB285" s="71"/>
      <c r="BE285" s="68" t="s">
        <v>72</v>
      </c>
      <c r="BF285" s="73">
        <f>SUM(BF254:BF284)</f>
        <v>0</v>
      </c>
      <c r="BG285" s="73">
        <f>SUM(BG254:BG284)</f>
        <v>1279.5</v>
      </c>
      <c r="BH285" s="73">
        <f>SUM(BH254:BH284)</f>
        <v>0</v>
      </c>
      <c r="BI285" s="73">
        <f>SUM(BI254:BI284)</f>
        <v>1279.5</v>
      </c>
      <c r="BJ285" s="70">
        <f>BJ284</f>
        <v>26151.899999999998</v>
      </c>
      <c r="BK285" s="71"/>
      <c r="BN285" s="68" t="s">
        <v>72</v>
      </c>
      <c r="BO285" s="73">
        <f>SUM(BO254:BO284)</f>
        <v>0</v>
      </c>
      <c r="BP285" s="73">
        <f>SUM(BP254:BP284)</f>
        <v>2622.5</v>
      </c>
      <c r="BQ285" s="73">
        <f>SUM(BQ254:BQ284)</f>
        <v>0</v>
      </c>
      <c r="BR285" s="73">
        <f>SUM(BR254:BR284)</f>
        <v>2622.5</v>
      </c>
      <c r="BS285" s="70">
        <f>BS284</f>
        <v>0</v>
      </c>
      <c r="BT285" s="71"/>
      <c r="BW285" s="68" t="s">
        <v>72</v>
      </c>
      <c r="BX285" s="73">
        <f>SUM(BX254:BX284)</f>
        <v>0</v>
      </c>
      <c r="BY285" s="73">
        <f>SUM(BY254:BY284)</f>
        <v>1067.1500000000001</v>
      </c>
      <c r="BZ285" s="73">
        <f>SUM(BZ254:BZ284)</f>
        <v>1225.1599999999999</v>
      </c>
      <c r="CA285" s="73">
        <f>SUM(CA254:CA284)</f>
        <v>-158.00999999999988</v>
      </c>
      <c r="CB285" s="70">
        <f>CB284</f>
        <v>2097.3399999999992</v>
      </c>
      <c r="CC285" s="71"/>
      <c r="CF285" s="68" t="s">
        <v>72</v>
      </c>
      <c r="CG285" s="73">
        <f>SUM(CG254:CG284)</f>
        <v>0</v>
      </c>
      <c r="CH285" s="73">
        <f>SUM(CH254:CH284)</f>
        <v>299.43999999999994</v>
      </c>
      <c r="CI285" s="73">
        <f>SUM(CI254:CI284)</f>
        <v>0</v>
      </c>
      <c r="CJ285" s="73">
        <f>SUM(CJ254:CJ284)</f>
        <v>299.43999999999994</v>
      </c>
      <c r="CK285" s="70">
        <f>CK284</f>
        <v>-10277.079999999998</v>
      </c>
      <c r="CL285" s="71"/>
      <c r="CO285" s="72" t="s">
        <v>72</v>
      </c>
      <c r="CP285" s="426">
        <f>SUM(CP254:CP284)</f>
        <v>0</v>
      </c>
      <c r="CQ285" s="426">
        <f>SUM(CQ254:CQ284)</f>
        <v>0</v>
      </c>
      <c r="CR285" s="426">
        <f>SUM(CR254:CR284)</f>
        <v>0</v>
      </c>
      <c r="CS285" s="426">
        <f>SUM(CS254:CS284)</f>
        <v>0</v>
      </c>
      <c r="CT285" s="428">
        <f>CT284</f>
        <v>0</v>
      </c>
      <c r="CU285" s="71"/>
      <c r="CX285" s="72" t="s">
        <v>72</v>
      </c>
      <c r="CY285" s="73">
        <f>SUM(CY254:CY284)</f>
        <v>0</v>
      </c>
      <c r="CZ285" s="73">
        <f>SUM(CZ254:CZ284)</f>
        <v>2600</v>
      </c>
      <c r="DA285" s="73">
        <f>SUM(DA254:DA284)</f>
        <v>0</v>
      </c>
      <c r="DB285" s="73">
        <f>SUM(DB254:DB284)</f>
        <v>2600</v>
      </c>
      <c r="DC285" s="70">
        <f>DC284</f>
        <v>27438.200000000012</v>
      </c>
      <c r="DD285" s="71"/>
      <c r="DG285" s="72" t="s">
        <v>72</v>
      </c>
      <c r="DH285" s="73">
        <f>SUM(DH254:DH284)</f>
        <v>0</v>
      </c>
      <c r="DI285" s="152">
        <f>SUM(DI254:DI284)</f>
        <v>3750</v>
      </c>
      <c r="DJ285" s="73">
        <f>SUM(DJ254:DJ284)</f>
        <v>0</v>
      </c>
      <c r="DK285" s="152">
        <f>SUM(DK254:DK284)</f>
        <v>3750</v>
      </c>
      <c r="DL285" s="154">
        <f>DL284</f>
        <v>18782.299999999981</v>
      </c>
      <c r="DM285" s="71"/>
      <c r="DP285" s="72" t="s">
        <v>72</v>
      </c>
      <c r="DQ285" s="73">
        <f>SUM(DQ254:DQ284)</f>
        <v>0</v>
      </c>
      <c r="DR285" s="73">
        <f>SUM(DR254:DR284)</f>
        <v>0</v>
      </c>
      <c r="DS285" s="73">
        <f>SUM(DS254:DS284)</f>
        <v>0</v>
      </c>
      <c r="DT285" s="73">
        <f>SUM(DT254:DT284)</f>
        <v>0</v>
      </c>
      <c r="DU285" s="70">
        <f>DU284</f>
        <v>5800</v>
      </c>
      <c r="DV285" s="71"/>
      <c r="DY285" s="72" t="s">
        <v>72</v>
      </c>
      <c r="DZ285" s="73">
        <f>SUM(DZ254:DZ284)</f>
        <v>0</v>
      </c>
      <c r="EA285" s="73">
        <f>SUM(EA254:EA284)</f>
        <v>0</v>
      </c>
      <c r="EB285" s="73">
        <f>SUM(EB254:EB284)</f>
        <v>0</v>
      </c>
      <c r="EC285" s="73">
        <f>SUM(EC254:EC284)</f>
        <v>0</v>
      </c>
      <c r="ED285" s="70">
        <f>ED284</f>
        <v>0</v>
      </c>
      <c r="EE285" s="71"/>
      <c r="EH285" s="72" t="s">
        <v>72</v>
      </c>
      <c r="EI285" s="73">
        <f>SUM(EI254:EI284)</f>
        <v>0</v>
      </c>
      <c r="EJ285" s="73">
        <f>SUM(EJ254:EJ284)</f>
        <v>0</v>
      </c>
      <c r="EK285" s="73">
        <f>SUM(EK254:EK284)</f>
        <v>0</v>
      </c>
      <c r="EL285" s="73">
        <f>SUM(EL254:EL284)</f>
        <v>0</v>
      </c>
      <c r="EM285" s="70">
        <f>EM284</f>
        <v>0</v>
      </c>
      <c r="EN285" s="71"/>
      <c r="EQ285" s="72" t="s">
        <v>72</v>
      </c>
      <c r="ER285" s="73">
        <f>SUM(ER254:ER284)</f>
        <v>0</v>
      </c>
      <c r="ES285" s="73">
        <f>SUM(ES254:ES284)</f>
        <v>0</v>
      </c>
      <c r="ET285" s="73">
        <f>SUM(ET254:ET284)</f>
        <v>0</v>
      </c>
      <c r="EU285" s="73">
        <f>SUM(EU254:EU284)</f>
        <v>0</v>
      </c>
      <c r="EV285" s="70">
        <f>EV284</f>
        <v>0</v>
      </c>
      <c r="EW285" s="71"/>
      <c r="EZ285" s="72" t="s">
        <v>72</v>
      </c>
      <c r="FA285" s="73">
        <f>SUM(FA254:FA284)</f>
        <v>0</v>
      </c>
      <c r="FB285" s="73">
        <f>SUM(FB254:FB284)</f>
        <v>0</v>
      </c>
      <c r="FC285" s="73">
        <f>SUM(FC254:FC284)</f>
        <v>0</v>
      </c>
      <c r="FD285" s="73">
        <f>SUM(FD254:FD284)</f>
        <v>0</v>
      </c>
      <c r="FE285" s="70">
        <f>FE284</f>
        <v>0</v>
      </c>
      <c r="FF285" s="71"/>
      <c r="FI285" s="72" t="s">
        <v>72</v>
      </c>
      <c r="FJ285" s="73">
        <f>SUM(FJ254:FJ284)</f>
        <v>0</v>
      </c>
      <c r="FK285" s="73">
        <f>SUM(FK254:FK284)</f>
        <v>0</v>
      </c>
      <c r="FL285" s="73">
        <f>SUM(FL254:FL284)</f>
        <v>0</v>
      </c>
      <c r="FM285" s="73">
        <f>SUM(FM254:FM284)</f>
        <v>0</v>
      </c>
      <c r="FN285" s="70">
        <f>FN284</f>
        <v>0</v>
      </c>
      <c r="FO285" s="71"/>
      <c r="FR285" s="72" t="s">
        <v>72</v>
      </c>
      <c r="FS285" s="73">
        <f>SUM(FS254:FS284)</f>
        <v>2000</v>
      </c>
      <c r="FT285" s="73">
        <f>SUM(FT254:FT284)</f>
        <v>400</v>
      </c>
      <c r="FU285" s="73">
        <f>SUM(FU254:FU284)</f>
        <v>520</v>
      </c>
      <c r="FV285" s="73">
        <f>SUM(FV254:FV284)</f>
        <v>-120</v>
      </c>
      <c r="FW285" s="70">
        <f>FW284</f>
        <v>2020</v>
      </c>
      <c r="FX285" s="459">
        <f>FW285/20</f>
        <v>101</v>
      </c>
      <c r="FY285" s="460" t="s">
        <v>173</v>
      </c>
      <c r="GA285" s="72" t="s">
        <v>72</v>
      </c>
      <c r="GB285" s="73">
        <f>SUM(GB254:GB284)</f>
        <v>0</v>
      </c>
      <c r="GC285" s="73">
        <f>SUM(GC254:GC284)</f>
        <v>0</v>
      </c>
      <c r="GD285" s="73">
        <f>SUM(GD254:GD284)</f>
        <v>0</v>
      </c>
      <c r="GE285" s="73">
        <f>SUM(GE254:GE284)</f>
        <v>0</v>
      </c>
      <c r="GF285" s="70">
        <f>GF284</f>
        <v>960</v>
      </c>
      <c r="GG285" s="461">
        <f>GF285/20</f>
        <v>48</v>
      </c>
      <c r="GH285" s="460" t="s">
        <v>173</v>
      </c>
      <c r="GJ285" s="72" t="s">
        <v>72</v>
      </c>
      <c r="GK285" s="73">
        <f>SUM(GK254:GK284)</f>
        <v>0</v>
      </c>
      <c r="GL285" s="73">
        <f>SUM(GL254:GL284)</f>
        <v>600</v>
      </c>
      <c r="GM285" s="73">
        <f>SUM(GM254:GM284)</f>
        <v>0</v>
      </c>
      <c r="GN285" s="73">
        <f>SUM(GN254:GN284)</f>
        <v>600</v>
      </c>
      <c r="GO285" s="70">
        <f>GO284</f>
        <v>1760</v>
      </c>
      <c r="GP285" s="459">
        <f>GO285/20</f>
        <v>88</v>
      </c>
      <c r="GQ285" s="460" t="s">
        <v>173</v>
      </c>
      <c r="GS285" s="72" t="s">
        <v>72</v>
      </c>
      <c r="GT285" s="73">
        <f>SUM(GT254:GT284)</f>
        <v>0</v>
      </c>
      <c r="GU285" s="73">
        <f>SUM(GU254:GU284)</f>
        <v>0</v>
      </c>
      <c r="GV285" s="73">
        <f>SUM(GV254:GV284)</f>
        <v>0</v>
      </c>
      <c r="GW285" s="73">
        <f>SUM(GW254:GW284)</f>
        <v>0</v>
      </c>
      <c r="GX285" s="70">
        <f>GX284</f>
        <v>400</v>
      </c>
      <c r="GY285" s="459">
        <f>GX285/20</f>
        <v>20</v>
      </c>
      <c r="GZ285" s="460" t="s">
        <v>173</v>
      </c>
      <c r="HB285" s="72" t="s">
        <v>72</v>
      </c>
      <c r="HC285" s="73">
        <f>SUM(HC254:HC284)</f>
        <v>0</v>
      </c>
      <c r="HD285" s="73">
        <f>SUM(HD254:HD284)</f>
        <v>0</v>
      </c>
      <c r="HE285" s="73">
        <f>SUM(HE254:HE284)</f>
        <v>0</v>
      </c>
      <c r="HF285" s="73">
        <f>SUM(HF254:HF284)</f>
        <v>0</v>
      </c>
      <c r="HG285" s="70">
        <f>HG284</f>
        <v>3600</v>
      </c>
      <c r="HH285" s="459">
        <f>HG285/20</f>
        <v>180</v>
      </c>
      <c r="HI285" s="460" t="s">
        <v>173</v>
      </c>
      <c r="HK285" s="72" t="s">
        <v>72</v>
      </c>
      <c r="HL285" s="73">
        <f>SUM(HL254:HL284)</f>
        <v>0</v>
      </c>
      <c r="HM285" s="73">
        <f>SUM(HM254:HM284)</f>
        <v>0</v>
      </c>
      <c r="HN285" s="73">
        <f>SUM(HN254:HN284)</f>
        <v>0</v>
      </c>
      <c r="HO285" s="73">
        <f>SUM(HO254:HO284)</f>
        <v>0</v>
      </c>
      <c r="HP285" s="70">
        <f>HP284</f>
        <v>0</v>
      </c>
      <c r="HQ285" s="71"/>
      <c r="HU285" s="72" t="s">
        <v>72</v>
      </c>
      <c r="HV285" s="73">
        <f>SUM(HV254:HV284)</f>
        <v>2000</v>
      </c>
      <c r="HW285" s="73">
        <f>SUM(HW254:HW284)</f>
        <v>880</v>
      </c>
      <c r="HX285" s="73">
        <f>SUM(HX254:HX284)</f>
        <v>1800</v>
      </c>
      <c r="HY285" s="73">
        <f>SUM(HY254:HY284)</f>
        <v>-920</v>
      </c>
      <c r="HZ285" s="70">
        <f>HZ284</f>
        <v>6120</v>
      </c>
      <c r="IA285" s="459">
        <f>HZ285/20</f>
        <v>306</v>
      </c>
      <c r="IB285" s="460" t="s">
        <v>173</v>
      </c>
      <c r="ID285" s="72" t="s">
        <v>72</v>
      </c>
      <c r="IE285" s="73">
        <f>SUM(IE254:IE284)</f>
        <v>0</v>
      </c>
      <c r="IF285" s="73">
        <f>SUM(IF254:IF284)</f>
        <v>0</v>
      </c>
      <c r="IG285" s="73">
        <f>SUM(IG254:IG284)</f>
        <v>720</v>
      </c>
      <c r="IH285" s="73">
        <f>SUM(IH254:IH284)</f>
        <v>-720</v>
      </c>
      <c r="II285" s="70">
        <f>II284</f>
        <v>0</v>
      </c>
      <c r="IJ285" s="459">
        <f>II285/20</f>
        <v>0</v>
      </c>
      <c r="IK285" s="460" t="s">
        <v>173</v>
      </c>
      <c r="IM285" s="72" t="s">
        <v>72</v>
      </c>
      <c r="IN285" s="73">
        <f>SUM(IN254:IN284)</f>
        <v>0</v>
      </c>
      <c r="IO285" s="73">
        <f>SUM(IO254:IO284)</f>
        <v>0</v>
      </c>
      <c r="IP285" s="73">
        <f>SUM(IP254:IP284)</f>
        <v>1680</v>
      </c>
      <c r="IQ285" s="73">
        <f>SUM(IQ254:IQ284)</f>
        <v>-1680</v>
      </c>
      <c r="IR285" s="70">
        <f>IR284</f>
        <v>0</v>
      </c>
      <c r="IS285" s="459">
        <f>IR285/20</f>
        <v>0</v>
      </c>
      <c r="IT285" s="460" t="s">
        <v>173</v>
      </c>
      <c r="IV285" s="72" t="s">
        <v>72</v>
      </c>
      <c r="IW285" s="73">
        <f>SUM(IW254:IW284)</f>
        <v>0</v>
      </c>
      <c r="IX285" s="73">
        <f>SUM(IX254:IX284)</f>
        <v>0</v>
      </c>
      <c r="IY285" s="73">
        <f>SUM(IY254:IY284)</f>
        <v>2140</v>
      </c>
      <c r="IZ285" s="73">
        <f>SUM(IZ254:IZ284)</f>
        <v>-2140</v>
      </c>
      <c r="JA285" s="70">
        <f>JA284</f>
        <v>2820</v>
      </c>
      <c r="JB285" s="459">
        <f>JA285/20</f>
        <v>141</v>
      </c>
      <c r="JC285" s="460" t="s">
        <v>173</v>
      </c>
      <c r="JE285" s="72" t="s">
        <v>72</v>
      </c>
      <c r="JF285" s="73">
        <f>SUM(JF254:JF284)</f>
        <v>0</v>
      </c>
      <c r="JG285" s="73">
        <f>SUM(JG254:JG284)</f>
        <v>20</v>
      </c>
      <c r="JH285" s="73">
        <f>SUM(JH254:JH284)</f>
        <v>0</v>
      </c>
      <c r="JI285" s="73">
        <f>SUM(JI254:JI284)</f>
        <v>20</v>
      </c>
      <c r="JJ285" s="70">
        <f>JJ284</f>
        <v>0</v>
      </c>
      <c r="JK285" s="71"/>
      <c r="JN285" s="72" t="s">
        <v>72</v>
      </c>
      <c r="JO285" s="73">
        <f>SUM(JO254:JO284)</f>
        <v>0</v>
      </c>
      <c r="JP285" s="73">
        <f>SUM(JP254:JP284)</f>
        <v>0</v>
      </c>
      <c r="JQ285" s="73">
        <f>SUM(JQ254:JQ284)</f>
        <v>0</v>
      </c>
      <c r="JR285" s="73">
        <f>SUM(JR254:JR284)</f>
        <v>0</v>
      </c>
      <c r="JS285" s="70">
        <f>JS284</f>
        <v>0</v>
      </c>
      <c r="JT285" s="71"/>
      <c r="JW285" s="72" t="s">
        <v>72</v>
      </c>
      <c r="JX285" s="73">
        <f>SUM(JX254:JX284)</f>
        <v>0</v>
      </c>
      <c r="JY285" s="73">
        <f>SUM(JY254:JY284)</f>
        <v>0</v>
      </c>
      <c r="JZ285" s="73">
        <f>SUM(JZ254:JZ284)</f>
        <v>0</v>
      </c>
      <c r="KA285" s="73">
        <f>SUM(KA254:KA284)</f>
        <v>0</v>
      </c>
      <c r="KB285" s="70">
        <f>KB284</f>
        <v>2540</v>
      </c>
      <c r="KC285" s="459">
        <f>KB285/20</f>
        <v>127</v>
      </c>
      <c r="KD285" s="460" t="s">
        <v>173</v>
      </c>
      <c r="KF285" s="72" t="s">
        <v>72</v>
      </c>
      <c r="KG285" s="73">
        <f>SUM(KG254:KG284)</f>
        <v>0</v>
      </c>
      <c r="KH285" s="73">
        <f>SUM(KH254:KH284)</f>
        <v>0</v>
      </c>
      <c r="KI285" s="73">
        <f>SUM(KI254:KI284)</f>
        <v>0</v>
      </c>
      <c r="KJ285" s="73">
        <f>SUM(KJ254:KJ284)</f>
        <v>0</v>
      </c>
      <c r="KK285" s="70">
        <f>KK284</f>
        <v>2359.5</v>
      </c>
      <c r="KL285" s="459">
        <f>KK285/19.5</f>
        <v>121</v>
      </c>
      <c r="KM285" s="460" t="s">
        <v>173</v>
      </c>
      <c r="KO285" s="72" t="s">
        <v>72</v>
      </c>
      <c r="KP285" s="73">
        <f>SUM(KP254:KP284)</f>
        <v>0</v>
      </c>
      <c r="KQ285" s="73">
        <f>SUM(KQ254:KQ284)</f>
        <v>0</v>
      </c>
      <c r="KR285" s="73">
        <f>SUM(KR254:KR284)</f>
        <v>0</v>
      </c>
      <c r="KS285" s="73">
        <f>SUM(KS254:KS284)</f>
        <v>0</v>
      </c>
      <c r="KT285" s="70">
        <f>KT284</f>
        <v>1890</v>
      </c>
      <c r="KU285" s="459">
        <f>KT285/18.9</f>
        <v>100.00000000000001</v>
      </c>
      <c r="KV285" s="460" t="s">
        <v>173</v>
      </c>
      <c r="KX285" s="72" t="s">
        <v>72</v>
      </c>
      <c r="KY285" s="73">
        <f>SUM(KY254:KY284)</f>
        <v>0</v>
      </c>
      <c r="KZ285" s="73">
        <f>SUM(KZ254:KZ284)</f>
        <v>0</v>
      </c>
      <c r="LA285" s="73">
        <f>SUM(LA254:LA284)</f>
        <v>0</v>
      </c>
      <c r="LB285" s="73">
        <f>SUM(LB254:LB284)</f>
        <v>0</v>
      </c>
      <c r="LC285" s="70">
        <f>LC284</f>
        <v>3690</v>
      </c>
      <c r="LD285" s="459">
        <f>LC285/20.5</f>
        <v>180</v>
      </c>
      <c r="LE285" s="460" t="s">
        <v>173</v>
      </c>
      <c r="LG285" s="72" t="s">
        <v>72</v>
      </c>
      <c r="LH285" s="73">
        <f>SUM(LH254:LH284)</f>
        <v>0</v>
      </c>
      <c r="LI285" s="73">
        <f>SUM(LI254:LI284)</f>
        <v>0</v>
      </c>
      <c r="LJ285" s="73">
        <f>SUM(LJ254:LJ284)</f>
        <v>0</v>
      </c>
      <c r="LK285" s="73">
        <f>SUM(LK254:LK284)</f>
        <v>0</v>
      </c>
      <c r="LL285" s="70">
        <f>LL284</f>
        <v>4000</v>
      </c>
      <c r="LM285" s="459">
        <f>LL285/20</f>
        <v>200</v>
      </c>
      <c r="LN285" s="460" t="s">
        <v>173</v>
      </c>
      <c r="LP285" s="72" t="s">
        <v>72</v>
      </c>
      <c r="LQ285" s="73">
        <f>SUM(LQ254:LQ284)</f>
        <v>0</v>
      </c>
      <c r="LR285" s="73">
        <f>SUM(LR254:LR284)</f>
        <v>0</v>
      </c>
      <c r="LS285" s="73">
        <f>SUM(LS254:LS284)</f>
        <v>0</v>
      </c>
      <c r="LT285" s="73">
        <f>SUM(LT254:LT284)</f>
        <v>0</v>
      </c>
      <c r="LU285" s="70">
        <f>LU284</f>
        <v>0</v>
      </c>
      <c r="LV285" s="71"/>
      <c r="LY285" s="72" t="s">
        <v>72</v>
      </c>
      <c r="LZ285" s="73">
        <f>SUM(LZ254:LZ284)</f>
        <v>0</v>
      </c>
      <c r="MA285" s="73">
        <f>SUM(MA254:MA284)</f>
        <v>0</v>
      </c>
      <c r="MB285" s="73">
        <f>SUM(MB254:MB284)</f>
        <v>0</v>
      </c>
      <c r="MC285" s="73">
        <f>SUM(MC254:MC284)</f>
        <v>0</v>
      </c>
      <c r="MD285" s="70">
        <f>MD284</f>
        <v>0</v>
      </c>
      <c r="ME285" s="71"/>
      <c r="MH285" s="72" t="s">
        <v>72</v>
      </c>
      <c r="MI285" s="73">
        <f>SUM(MI254:MI284)</f>
        <v>0</v>
      </c>
      <c r="MJ285" s="73">
        <f>SUM(MJ254:MJ284)</f>
        <v>0</v>
      </c>
      <c r="MK285" s="73">
        <f>SUM(MK254:MK284)</f>
        <v>0</v>
      </c>
      <c r="ML285" s="73">
        <f>SUM(ML254:ML284)</f>
        <v>0</v>
      </c>
      <c r="MM285" s="70">
        <f>MM284</f>
        <v>0</v>
      </c>
      <c r="MN285" s="71"/>
      <c r="MQ285" s="72" t="s">
        <v>72</v>
      </c>
      <c r="MR285" s="73">
        <f>SUM(MR254:MR284)</f>
        <v>0</v>
      </c>
      <c r="MS285" s="73">
        <f>SUM(MS254:MS284)</f>
        <v>32</v>
      </c>
      <c r="MT285" s="73">
        <f>SUM(MT254:MT284)</f>
        <v>591</v>
      </c>
      <c r="MU285" s="73">
        <f>SUM(MU254:MU284)</f>
        <v>-559</v>
      </c>
      <c r="MV285" s="70">
        <f>MV284</f>
        <v>1625</v>
      </c>
      <c r="MW285" s="71"/>
      <c r="MZ285" s="72" t="s">
        <v>72</v>
      </c>
      <c r="NA285" s="73">
        <f>SUM(NA254:NA284)</f>
        <v>0</v>
      </c>
      <c r="NB285" s="73">
        <f>SUM(NB254:NB284)</f>
        <v>135</v>
      </c>
      <c r="NC285" s="73">
        <f>SUM(NC254:NC284)</f>
        <v>0</v>
      </c>
      <c r="ND285" s="73">
        <f>SUM(ND254:ND284)</f>
        <v>135</v>
      </c>
      <c r="NE285" s="70">
        <f>NE284</f>
        <v>0</v>
      </c>
      <c r="NF285" s="71"/>
      <c r="NI285" s="72" t="s">
        <v>72</v>
      </c>
      <c r="NJ285" s="73">
        <f>SUM(NJ254:NJ284)</f>
        <v>0</v>
      </c>
      <c r="NK285" s="73">
        <f>SUM(NK254:NK284)</f>
        <v>0</v>
      </c>
      <c r="NL285" s="73">
        <f>SUM(NL254:NL284)</f>
        <v>0</v>
      </c>
      <c r="NM285" s="73">
        <f>SUM(NM254:NM284)</f>
        <v>0</v>
      </c>
      <c r="NN285" s="70">
        <f>NN284</f>
        <v>1127</v>
      </c>
      <c r="NO285" s="71"/>
      <c r="NR285" s="72" t="s">
        <v>72</v>
      </c>
      <c r="NS285" s="73">
        <f>SUM(NS254:NS284)</f>
        <v>0</v>
      </c>
      <c r="NT285" s="73">
        <f>SUM(NT254:NT284)</f>
        <v>0</v>
      </c>
      <c r="NU285" s="73">
        <f>SUM(NU254:NU284)</f>
        <v>0</v>
      </c>
      <c r="NV285" s="73">
        <f>SUM(NV254:NV284)</f>
        <v>0</v>
      </c>
      <c r="NW285" s="70">
        <f>NW284</f>
        <v>3111.9999999999995</v>
      </c>
      <c r="NX285" s="71"/>
      <c r="OA285" s="72" t="s">
        <v>72</v>
      </c>
      <c r="OB285" s="73">
        <f>SUM(OB254:OB284)</f>
        <v>0</v>
      </c>
      <c r="OC285" s="73">
        <f>SUM(OC254:OC284)</f>
        <v>0</v>
      </c>
      <c r="OD285" s="73">
        <f>SUM(OD254:OD284)</f>
        <v>0</v>
      </c>
      <c r="OE285" s="73">
        <f>SUM(OE254:OE284)</f>
        <v>0</v>
      </c>
      <c r="OF285" s="70">
        <f>OF284</f>
        <v>1680.5</v>
      </c>
      <c r="OG285" s="71"/>
      <c r="OJ285" s="72" t="s">
        <v>72</v>
      </c>
      <c r="OK285" s="73">
        <f>SUM(OK254:OK284)</f>
        <v>0</v>
      </c>
      <c r="OL285" s="73">
        <f>SUM(OL254:OL284)</f>
        <v>0</v>
      </c>
      <c r="OM285" s="73">
        <f>SUM(OM254:OM284)</f>
        <v>0</v>
      </c>
      <c r="ON285" s="73">
        <f>SUM(ON254:ON284)</f>
        <v>0</v>
      </c>
      <c r="OO285" s="70">
        <f>OO284</f>
        <v>0</v>
      </c>
      <c r="OP285" s="71"/>
      <c r="OS285" s="72" t="s">
        <v>72</v>
      </c>
      <c r="OT285" s="73">
        <f>SUM(OT254:OT284)</f>
        <v>0</v>
      </c>
      <c r="OU285" s="73">
        <f>SUM(OU254:OU284)</f>
        <v>1</v>
      </c>
      <c r="OV285" s="73">
        <f>SUM(OV254:OV284)</f>
        <v>0</v>
      </c>
      <c r="OW285" s="73">
        <f>SUM(OW254:OW284)</f>
        <v>1</v>
      </c>
      <c r="OX285" s="70">
        <f>OX284</f>
        <v>1482</v>
      </c>
      <c r="OY285" s="71"/>
      <c r="PB285" s="72" t="s">
        <v>72</v>
      </c>
      <c r="PC285" s="73">
        <f>SUM(PC254:PC284)</f>
        <v>0</v>
      </c>
      <c r="PD285" s="73">
        <f>SUM(PD254:PD284)</f>
        <v>0</v>
      </c>
      <c r="PE285" s="73">
        <f>SUM(PE254:PE284)</f>
        <v>0</v>
      </c>
      <c r="PF285" s="73">
        <f>SUM(PF254:PF284)</f>
        <v>0</v>
      </c>
      <c r="PG285" s="70">
        <f>PG284</f>
        <v>0</v>
      </c>
      <c r="PH285" s="71"/>
      <c r="PK285" s="72" t="s">
        <v>72</v>
      </c>
      <c r="PL285" s="73">
        <f>SUM(PL254:PL284)</f>
        <v>0</v>
      </c>
      <c r="PM285" s="73">
        <f>SUM(PM254:PM284)</f>
        <v>0</v>
      </c>
      <c r="PN285" s="73">
        <f>SUM(PN254:PN284)</f>
        <v>0</v>
      </c>
      <c r="PO285" s="73">
        <f>SUM(PO254:PO284)</f>
        <v>0</v>
      </c>
      <c r="PP285" s="70">
        <f>PP284</f>
        <v>100</v>
      </c>
      <c r="PQ285" s="71"/>
      <c r="PT285" s="72" t="s">
        <v>72</v>
      </c>
      <c r="PU285" s="73">
        <f>SUM(PU254:PU284)</f>
        <v>0</v>
      </c>
      <c r="PV285" s="73">
        <f>SUM(PV254:PV284)</f>
        <v>0</v>
      </c>
      <c r="PW285" s="73">
        <f>SUM(PW254:PW284)</f>
        <v>0</v>
      </c>
      <c r="PX285" s="73">
        <f>SUM(PX254:PX284)</f>
        <v>0</v>
      </c>
      <c r="PY285" s="70">
        <f>PY284</f>
        <v>13.960000000000036</v>
      </c>
      <c r="PZ285" s="71"/>
      <c r="QC285" s="72" t="s">
        <v>72</v>
      </c>
      <c r="QD285" s="73">
        <f>SUM(QD254:QD284)</f>
        <v>0</v>
      </c>
      <c r="QE285" s="73">
        <f>SUM(QE254:QE284)</f>
        <v>4</v>
      </c>
      <c r="QF285" s="73">
        <f>SUM(QF254:QF284)</f>
        <v>736</v>
      </c>
      <c r="QG285" s="73">
        <f>SUM(QG254:QG284)</f>
        <v>-732</v>
      </c>
      <c r="QH285" s="70">
        <f>QH284</f>
        <v>548</v>
      </c>
      <c r="QI285" s="71"/>
      <c r="QL285" s="72" t="s">
        <v>72</v>
      </c>
      <c r="QM285" s="73">
        <f>SUM(QM254:QM284)</f>
        <v>0</v>
      </c>
      <c r="QN285" s="73">
        <f>SUM(QN254:QN284)</f>
        <v>0</v>
      </c>
      <c r="QO285" s="73">
        <f>SUM(QO254:QO284)</f>
        <v>0</v>
      </c>
      <c r="QP285" s="73">
        <f>SUM(QP254:QP284)</f>
        <v>0</v>
      </c>
      <c r="QQ285" s="70">
        <f>QQ284</f>
        <v>0</v>
      </c>
      <c r="QR285" s="71"/>
      <c r="QU285" s="72" t="s">
        <v>72</v>
      </c>
      <c r="QV285" s="73">
        <f>SUM(QV254:QV284)</f>
        <v>0</v>
      </c>
      <c r="QW285" s="73">
        <f>SUM(QW254:QW284)</f>
        <v>0</v>
      </c>
      <c r="QX285" s="73">
        <f>SUM(QX254:QX284)</f>
        <v>207.6</v>
      </c>
      <c r="QY285" s="73">
        <f>SUM(QY254:QY284)</f>
        <v>-207.6</v>
      </c>
      <c r="QZ285" s="70">
        <f>QZ284</f>
        <v>0</v>
      </c>
      <c r="RA285" s="71"/>
      <c r="RD285" s="72" t="s">
        <v>72</v>
      </c>
      <c r="RE285" s="73">
        <f>SUM(RE254:RE284)</f>
        <v>0</v>
      </c>
      <c r="RF285" s="73">
        <f>SUM(RF254:RF284)</f>
        <v>0</v>
      </c>
      <c r="RG285" s="73">
        <f>SUM(RG254:RG284)</f>
        <v>0</v>
      </c>
      <c r="RH285" s="73">
        <f>SUM(RH254:RH284)</f>
        <v>0</v>
      </c>
      <c r="RI285" s="70">
        <f>RI284</f>
        <v>147.04000000000002</v>
      </c>
      <c r="RJ285" s="71"/>
      <c r="RM285" s="72" t="s">
        <v>72</v>
      </c>
      <c r="RN285" s="73">
        <f>SUM(RN254:RN284)</f>
        <v>0</v>
      </c>
      <c r="RO285" s="73">
        <f>SUM(RO254:RO284)</f>
        <v>0</v>
      </c>
      <c r="RP285" s="73">
        <f>SUM(RP254:RP284)</f>
        <v>0</v>
      </c>
      <c r="RQ285" s="73">
        <f>SUM(RQ254:RQ284)</f>
        <v>0</v>
      </c>
      <c r="RR285" s="70">
        <f>RR284</f>
        <v>46.8</v>
      </c>
      <c r="RS285" s="71"/>
      <c r="RV285" s="72" t="s">
        <v>72</v>
      </c>
      <c r="RW285" s="73">
        <f>SUM(RW254:RW284)</f>
        <v>0</v>
      </c>
      <c r="RX285" s="73">
        <f>SUM(RX254:RX284)</f>
        <v>0</v>
      </c>
      <c r="RY285" s="73">
        <f>SUM(RY254:RY284)</f>
        <v>0</v>
      </c>
      <c r="RZ285" s="73">
        <f>SUM(RZ254:RZ284)</f>
        <v>0</v>
      </c>
      <c r="SA285" s="70">
        <f>SA284</f>
        <v>0</v>
      </c>
      <c r="SB285" s="71"/>
      <c r="SE285" s="72" t="s">
        <v>72</v>
      </c>
      <c r="SF285" s="73">
        <f>SUM(SF254:SF284)</f>
        <v>0</v>
      </c>
      <c r="SG285" s="73">
        <f>SUM(SG254:SG284)</f>
        <v>0</v>
      </c>
      <c r="SH285" s="73">
        <f>SUM(SH254:SH284)</f>
        <v>0</v>
      </c>
      <c r="SI285" s="73">
        <f>SUM(SI254:SI284)</f>
        <v>0</v>
      </c>
      <c r="SJ285" s="70">
        <f>SJ284</f>
        <v>24.200000000000003</v>
      </c>
      <c r="SK285" s="71"/>
      <c r="SN285" s="72" t="s">
        <v>72</v>
      </c>
      <c r="SO285" s="73">
        <f>SUM(SO254:SO284)</f>
        <v>0</v>
      </c>
      <c r="SP285" s="73">
        <f>SUM(SP254:SP284)</f>
        <v>0</v>
      </c>
      <c r="SQ285" s="73">
        <f>SUM(SQ254:SQ284)</f>
        <v>0</v>
      </c>
      <c r="SR285" s="73">
        <f>SUM(SR254:SR284)</f>
        <v>0</v>
      </c>
      <c r="SS285" s="70">
        <f>SS284</f>
        <v>32</v>
      </c>
      <c r="ST285" s="71"/>
      <c r="SW285" s="72" t="s">
        <v>72</v>
      </c>
      <c r="SX285" s="73">
        <f>SUM(SX254:SX284)</f>
        <v>0</v>
      </c>
      <c r="SY285" s="73">
        <f>SUM(SY254:SY284)</f>
        <v>0</v>
      </c>
      <c r="SZ285" s="73">
        <f>SUM(SZ254:SZ284)</f>
        <v>0</v>
      </c>
      <c r="TA285" s="73">
        <f>SUM(TA254:TA284)</f>
        <v>0</v>
      </c>
      <c r="TB285" s="70">
        <f>TB284</f>
        <v>0</v>
      </c>
      <c r="TC285" s="71"/>
      <c r="TF285" s="72" t="s">
        <v>72</v>
      </c>
      <c r="TG285" s="73">
        <f>SUM(TG254:TG284)</f>
        <v>0</v>
      </c>
      <c r="TH285" s="73">
        <f>SUM(TH254:TH284)</f>
        <v>0</v>
      </c>
      <c r="TI285" s="73">
        <f>SUM(TI254:TI284)</f>
        <v>0</v>
      </c>
      <c r="TJ285" s="73">
        <f>SUM(TJ254:TJ284)</f>
        <v>0</v>
      </c>
      <c r="TK285" s="70">
        <f>TK284</f>
        <v>0</v>
      </c>
      <c r="TL285" s="71"/>
      <c r="TO285" s="72" t="s">
        <v>72</v>
      </c>
      <c r="TP285" s="73">
        <f>SUM(TP254:TP284)</f>
        <v>0</v>
      </c>
      <c r="TQ285" s="73">
        <f>SUM(TQ254:TQ284)</f>
        <v>0</v>
      </c>
      <c r="TR285" s="73">
        <f>SUM(TR254:TR284)</f>
        <v>10.4</v>
      </c>
      <c r="TS285" s="73">
        <f>SUM(TS254:TS284)</f>
        <v>-10.4</v>
      </c>
      <c r="TT285" s="70">
        <f>TT284</f>
        <v>0</v>
      </c>
      <c r="TU285" s="71"/>
      <c r="TX285" s="72" t="s">
        <v>72</v>
      </c>
      <c r="TY285" s="73">
        <f>SUM(TY254:TY284)</f>
        <v>0</v>
      </c>
      <c r="TZ285" s="73">
        <f>SUM(TZ254:TZ284)</f>
        <v>0</v>
      </c>
      <c r="UA285" s="73">
        <f>SUM(UA254:UA284)</f>
        <v>0</v>
      </c>
      <c r="UB285" s="73">
        <f>SUM(UB254:UB284)</f>
        <v>0</v>
      </c>
      <c r="UC285" s="70">
        <f>UC284</f>
        <v>46.799999999999983</v>
      </c>
      <c r="UD285" s="71"/>
      <c r="UG285" s="72" t="s">
        <v>72</v>
      </c>
      <c r="UH285" s="73">
        <f>SUM(UH254:UH284)</f>
        <v>0</v>
      </c>
      <c r="UI285" s="73">
        <f>SUM(UI254:UI284)</f>
        <v>0</v>
      </c>
      <c r="UJ285" s="73">
        <f>SUM(UJ254:UJ284)</f>
        <v>0</v>
      </c>
      <c r="UK285" s="73">
        <f>SUM(UK254:UK284)</f>
        <v>0</v>
      </c>
      <c r="UL285" s="70">
        <f>UL284</f>
        <v>204</v>
      </c>
      <c r="UM285" s="71"/>
      <c r="UP285" s="72" t="s">
        <v>72</v>
      </c>
      <c r="UQ285" s="73">
        <f>SUM(UQ254:UQ284)</f>
        <v>0</v>
      </c>
      <c r="UR285" s="73">
        <f>SUM(UR254:UR284)</f>
        <v>0</v>
      </c>
      <c r="US285" s="73">
        <f>SUM(US254:US284)</f>
        <v>0</v>
      </c>
      <c r="UT285" s="73">
        <f>SUM(UT254:UT284)</f>
        <v>0</v>
      </c>
      <c r="UU285" s="70">
        <f>UU284</f>
        <v>202.5</v>
      </c>
      <c r="UV285" s="71"/>
      <c r="UY285" s="72" t="s">
        <v>72</v>
      </c>
      <c r="UZ285" s="73">
        <f>SUM(UZ254:UZ284)</f>
        <v>0</v>
      </c>
      <c r="VA285" s="73">
        <f>SUM(VA254:VA284)</f>
        <v>0</v>
      </c>
      <c r="VB285" s="73">
        <f>SUM(VB254:VB284)</f>
        <v>0</v>
      </c>
      <c r="VC285" s="73">
        <f>SUM(VC254:VC284)</f>
        <v>0</v>
      </c>
      <c r="VD285" s="70">
        <f>VD284</f>
        <v>41.600000000000023</v>
      </c>
      <c r="VE285" s="71"/>
      <c r="VH285" s="72" t="s">
        <v>72</v>
      </c>
      <c r="VI285" s="73">
        <f>SUM(VI254:VI284)</f>
        <v>0</v>
      </c>
      <c r="VJ285" s="73">
        <f>SUM(VJ254:VJ284)</f>
        <v>0</v>
      </c>
      <c r="VK285" s="73">
        <f>SUM(VK254:VK284)</f>
        <v>0</v>
      </c>
      <c r="VL285" s="73">
        <f>SUM(VL254:VL284)</f>
        <v>0</v>
      </c>
      <c r="VM285" s="70">
        <f>VM284</f>
        <v>210</v>
      </c>
      <c r="VN285" s="71"/>
      <c r="VQ285" s="72" t="s">
        <v>72</v>
      </c>
      <c r="VR285" s="73">
        <f>SUM(VR254:VR284)</f>
        <v>0</v>
      </c>
      <c r="VS285" s="73">
        <f>SUM(VS254:VS284)</f>
        <v>0</v>
      </c>
      <c r="VT285" s="73">
        <f>SUM(VT254:VT284)</f>
        <v>0</v>
      </c>
      <c r="VU285" s="73">
        <f>SUM(VU254:VU284)</f>
        <v>0</v>
      </c>
      <c r="VV285" s="70">
        <f>VV284</f>
        <v>0</v>
      </c>
      <c r="VW285" s="71"/>
      <c r="VZ285" s="72" t="s">
        <v>72</v>
      </c>
      <c r="WA285" s="73">
        <f>SUM(WA254:WA284)</f>
        <v>0</v>
      </c>
      <c r="WB285" s="73">
        <f>SUM(WB254:WB284)</f>
        <v>0</v>
      </c>
      <c r="WC285" s="73">
        <f>SUM(WC254:WC284)</f>
        <v>0</v>
      </c>
      <c r="WD285" s="73">
        <f>SUM(WD254:WD284)</f>
        <v>0</v>
      </c>
      <c r="WE285" s="70">
        <f>WE284</f>
        <v>0</v>
      </c>
      <c r="WF285" s="71"/>
      <c r="WI285" s="72" t="s">
        <v>72</v>
      </c>
      <c r="WJ285" s="73">
        <f>SUM(WJ254:WJ284)</f>
        <v>0</v>
      </c>
      <c r="WK285" s="73">
        <f>SUM(WK254:WK284)</f>
        <v>0</v>
      </c>
      <c r="WL285" s="73">
        <f>SUM(WL254:WL284)</f>
        <v>0</v>
      </c>
      <c r="WM285" s="73">
        <f>SUM(WM254:WM284)</f>
        <v>0</v>
      </c>
      <c r="WN285" s="70">
        <f>WN284</f>
        <v>1057</v>
      </c>
      <c r="WO285" s="71"/>
      <c r="WR285" s="72" t="s">
        <v>72</v>
      </c>
      <c r="WS285" s="73">
        <f>SUM(WS254:WS284)</f>
        <v>0</v>
      </c>
      <c r="WT285" s="73">
        <f>SUM(WT254:WT284)</f>
        <v>0</v>
      </c>
      <c r="WU285" s="73">
        <f>SUM(WU254:WU284)</f>
        <v>0</v>
      </c>
      <c r="WV285" s="73">
        <f>SUM(WV254:WV284)</f>
        <v>0</v>
      </c>
      <c r="WW285" s="70">
        <f>WW284</f>
        <v>0</v>
      </c>
      <c r="WX285" s="71"/>
      <c r="XA285" s="72" t="s">
        <v>72</v>
      </c>
      <c r="XB285" s="73">
        <f>SUM(XB254:XB284)</f>
        <v>0</v>
      </c>
      <c r="XC285" s="73">
        <f>SUM(XC254:XC284)</f>
        <v>0</v>
      </c>
      <c r="XD285" s="73">
        <f>SUM(XD254:XD284)</f>
        <v>0</v>
      </c>
      <c r="XE285" s="73">
        <f>SUM(XE254:XE284)</f>
        <v>0</v>
      </c>
      <c r="XF285" s="70">
        <f>XF284</f>
        <v>7507</v>
      </c>
      <c r="XG285" s="71"/>
      <c r="XJ285" s="72" t="s">
        <v>72</v>
      </c>
      <c r="XK285" s="73">
        <f>SUM(XK254:XK284)</f>
        <v>0</v>
      </c>
      <c r="XL285" s="73">
        <f>SUM(XL254:XL284)</f>
        <v>0</v>
      </c>
      <c r="XM285" s="73">
        <f>SUM(XM254:XM284)</f>
        <v>0</v>
      </c>
      <c r="XN285" s="73">
        <f>SUM(XN254:XN284)</f>
        <v>0</v>
      </c>
      <c r="XO285" s="70">
        <f>XO284</f>
        <v>4252</v>
      </c>
      <c r="XP285" s="71"/>
      <c r="XS285" s="72" t="s">
        <v>72</v>
      </c>
      <c r="XT285" s="73">
        <f>SUM(XT254:XT284)</f>
        <v>0</v>
      </c>
      <c r="XU285" s="73">
        <f>SUM(XU254:XU284)</f>
        <v>0</v>
      </c>
      <c r="XV285" s="73">
        <f>SUM(XV254:XV284)</f>
        <v>0</v>
      </c>
      <c r="XW285" s="73">
        <f>SUM(XW254:XW284)</f>
        <v>0</v>
      </c>
      <c r="XX285" s="70">
        <f>XX284</f>
        <v>2179</v>
      </c>
      <c r="XY285" s="71"/>
      <c r="YB285" s="72" t="s">
        <v>72</v>
      </c>
      <c r="YC285" s="73">
        <f>SUM(YC254:YC284)</f>
        <v>0</v>
      </c>
      <c r="YD285" s="73">
        <f>SUM(YD254:YD284)</f>
        <v>0</v>
      </c>
      <c r="YE285" s="73">
        <f>SUM(YE254:YE284)</f>
        <v>0</v>
      </c>
      <c r="YF285" s="73">
        <f>SUM(YF254:YF284)</f>
        <v>0</v>
      </c>
      <c r="YG285" s="70">
        <f>YG284</f>
        <v>4019</v>
      </c>
      <c r="YH285" s="71"/>
      <c r="YK285" s="72" t="s">
        <v>72</v>
      </c>
      <c r="YL285" s="73">
        <f>SUM(YL254:YL284)</f>
        <v>0</v>
      </c>
      <c r="YM285" s="73">
        <f>SUM(YM254:YM284)</f>
        <v>0</v>
      </c>
      <c r="YN285" s="73">
        <f>SUM(YN254:YN284)</f>
        <v>218</v>
      </c>
      <c r="YO285" s="73">
        <f>SUM(YO254:YO284)</f>
        <v>-218</v>
      </c>
      <c r="YP285" s="70">
        <f>YP284</f>
        <v>-218</v>
      </c>
      <c r="YQ285" s="71"/>
      <c r="YT285" s="72" t="s">
        <v>72</v>
      </c>
      <c r="YU285" s="73">
        <f>SUM(YU254:YU284)</f>
        <v>0</v>
      </c>
      <c r="YV285" s="73">
        <f>SUM(YV254:YV284)</f>
        <v>0</v>
      </c>
      <c r="YW285" s="73">
        <f>SUM(YW254:YW284)</f>
        <v>0</v>
      </c>
      <c r="YX285" s="73">
        <f>SUM(YX254:YX284)</f>
        <v>0</v>
      </c>
      <c r="YY285" s="70">
        <f>YY284</f>
        <v>0</v>
      </c>
      <c r="YZ285" s="71"/>
      <c r="ZC285" s="72" t="s">
        <v>72</v>
      </c>
      <c r="ZD285" s="73">
        <f>SUM(ZD254:ZD284)</f>
        <v>0</v>
      </c>
      <c r="ZE285" s="73">
        <f>SUM(ZE254:ZE284)</f>
        <v>0</v>
      </c>
      <c r="ZF285" s="73">
        <f>SUM(ZF254:ZF284)</f>
        <v>0</v>
      </c>
      <c r="ZG285" s="73">
        <f>SUM(ZG254:ZG284)</f>
        <v>0</v>
      </c>
      <c r="ZH285" s="70">
        <f>ZH284</f>
        <v>0</v>
      </c>
      <c r="ZI285" s="71"/>
      <c r="ZL285" s="72" t="s">
        <v>72</v>
      </c>
      <c r="ZM285" s="73">
        <f>SUM(ZM254:ZM284)</f>
        <v>0</v>
      </c>
      <c r="ZN285" s="73">
        <f>SUM(ZN254:ZN284)</f>
        <v>0</v>
      </c>
      <c r="ZO285" s="73">
        <f>SUM(ZO254:ZO284)</f>
        <v>0</v>
      </c>
      <c r="ZP285" s="73">
        <f>SUM(ZP254:ZP284)</f>
        <v>0</v>
      </c>
      <c r="ZQ285" s="70">
        <f>ZQ284</f>
        <v>0</v>
      </c>
      <c r="ZR285" s="71"/>
      <c r="ZU285" s="72" t="s">
        <v>72</v>
      </c>
      <c r="ZV285" s="73">
        <f>SUM(ZV254:ZV284)</f>
        <v>0</v>
      </c>
      <c r="ZW285" s="73">
        <f>SUM(ZW254:ZW284)</f>
        <v>0</v>
      </c>
      <c r="ZX285" s="73">
        <f>SUM(ZX254:ZX284)</f>
        <v>0</v>
      </c>
      <c r="ZY285" s="73">
        <f>SUM(ZY254:ZY284)</f>
        <v>0</v>
      </c>
      <c r="ZZ285" s="70">
        <f>ZZ284</f>
        <v>0</v>
      </c>
      <c r="AAA285" s="71"/>
      <c r="AAD285" s="72" t="s">
        <v>72</v>
      </c>
      <c r="AAE285" s="73">
        <f>SUM(AAE254:AAE284)</f>
        <v>0</v>
      </c>
      <c r="AAF285" s="73">
        <f>SUM(AAF254:AAF284)</f>
        <v>0</v>
      </c>
      <c r="AAG285" s="73">
        <f>SUM(AAG254:AAG284)</f>
        <v>0</v>
      </c>
      <c r="AAH285" s="73">
        <f>SUM(AAH254:AAH284)</f>
        <v>0</v>
      </c>
      <c r="AAI285" s="70">
        <f>AAI284</f>
        <v>0</v>
      </c>
      <c r="AAJ285" s="71"/>
      <c r="AAM285" s="72" t="s">
        <v>72</v>
      </c>
      <c r="AAN285" s="73">
        <f>SUM(AAN254:AAN284)</f>
        <v>0</v>
      </c>
      <c r="AAO285" s="73">
        <f>SUM(AAO254:AAO284)</f>
        <v>0</v>
      </c>
      <c r="AAP285" s="73">
        <f>SUM(AAP254:AAP284)</f>
        <v>0</v>
      </c>
      <c r="AAQ285" s="73">
        <f>SUM(AAQ254:AAQ284)</f>
        <v>0</v>
      </c>
      <c r="AAR285" s="70">
        <f>AAR284</f>
        <v>0</v>
      </c>
      <c r="AAS285" s="71"/>
      <c r="AAV285" s="72" t="s">
        <v>72</v>
      </c>
      <c r="AAW285" s="73">
        <f>SUM(AAW254:AAW284)</f>
        <v>0</v>
      </c>
      <c r="AAX285" s="73">
        <f>SUM(AAX254:AAX284)</f>
        <v>0</v>
      </c>
      <c r="AAY285" s="73">
        <f>SUM(AAY254:AAY284)</f>
        <v>0</v>
      </c>
      <c r="AAZ285" s="73">
        <f>SUM(AAZ254:AAZ284)</f>
        <v>0</v>
      </c>
      <c r="ABA285" s="70">
        <f>ABA284</f>
        <v>0</v>
      </c>
      <c r="ABB285" s="71"/>
      <c r="ABE285" s="72" t="s">
        <v>72</v>
      </c>
      <c r="ABF285" s="73">
        <f>SUM(ABF254:ABF284)</f>
        <v>0</v>
      </c>
      <c r="ABG285" s="73">
        <f>SUM(ABG254:ABG284)</f>
        <v>0</v>
      </c>
      <c r="ABH285" s="73">
        <f>SUM(ABH254:ABH284)</f>
        <v>0</v>
      </c>
      <c r="ABI285" s="73">
        <f>SUM(ABI254:ABI284)</f>
        <v>0</v>
      </c>
      <c r="ABJ285" s="70">
        <f>ABJ284</f>
        <v>0</v>
      </c>
      <c r="ABK285" s="71"/>
    </row>
    <row r="286" spans="1:739" ht="14.45" thickBot="1">
      <c r="C286" s="75"/>
      <c r="L286" s="75"/>
      <c r="U286" s="75"/>
      <c r="AD286" s="75"/>
      <c r="AM286" s="75"/>
      <c r="AV286" s="75"/>
      <c r="BE286" s="75"/>
      <c r="BN286" s="75"/>
      <c r="BW286" s="75"/>
      <c r="CF286" s="75"/>
      <c r="CO286" s="75"/>
      <c r="CX286" s="75"/>
      <c r="DG286" s="75"/>
      <c r="DP286" s="75"/>
      <c r="DY286" s="75"/>
      <c r="EH286" s="75"/>
      <c r="EQ286" s="75"/>
      <c r="EZ286" s="75"/>
      <c r="FI286" s="75"/>
      <c r="FR286" s="75"/>
      <c r="GA286" s="75"/>
      <c r="GJ286" s="75"/>
      <c r="GS286" s="75"/>
      <c r="HB286" s="75"/>
      <c r="HK286" s="75"/>
      <c r="HU286" s="75"/>
      <c r="ID286" s="75"/>
      <c r="IM286" s="75"/>
      <c r="IV286" s="75"/>
      <c r="JE286" s="75"/>
      <c r="JN286" s="75"/>
      <c r="JW286" s="75"/>
      <c r="KF286" s="75"/>
      <c r="KO286" s="75"/>
      <c r="KX286" s="75"/>
      <c r="LG286" s="75"/>
      <c r="LP286" s="75"/>
      <c r="LY286" s="75"/>
      <c r="MH286" s="75"/>
      <c r="MQ286" s="75"/>
      <c r="MZ286" s="75"/>
      <c r="NI286" s="75"/>
      <c r="NR286" s="75"/>
      <c r="OA286" s="75"/>
      <c r="OJ286" s="75"/>
      <c r="OS286" s="75"/>
      <c r="PB286" s="75"/>
      <c r="PK286" s="75"/>
      <c r="PT286" s="75"/>
      <c r="QC286" s="75"/>
      <c r="QL286" s="75"/>
      <c r="QU286" s="75"/>
      <c r="RD286" s="75"/>
      <c r="RM286" s="75"/>
      <c r="RV286" s="75"/>
      <c r="SE286" s="75"/>
      <c r="SN286" s="75"/>
      <c r="SW286" s="75"/>
      <c r="TF286" s="75"/>
      <c r="TO286" s="75"/>
      <c r="TX286" s="75"/>
      <c r="UG286" s="75"/>
      <c r="UP286" s="75"/>
      <c r="UY286" s="75"/>
      <c r="VH286" s="75"/>
      <c r="VQ286" s="75"/>
      <c r="VZ286" s="75"/>
      <c r="WI286" s="75"/>
      <c r="WR286" s="75"/>
      <c r="XA286" s="75"/>
      <c r="XJ286" s="75"/>
      <c r="XS286" s="75"/>
      <c r="YB286" s="75"/>
      <c r="YK286" s="75"/>
      <c r="YT286" s="75"/>
      <c r="ZC286" s="75"/>
      <c r="ZL286" s="75"/>
      <c r="ZU286" s="75"/>
      <c r="AAD286" s="75"/>
      <c r="AAM286" s="75"/>
      <c r="AAV286" s="75"/>
      <c r="ABE286" s="75"/>
    </row>
    <row r="287" spans="1:739" ht="14.45" thickBot="1">
      <c r="A287" s="22" t="s">
        <v>307</v>
      </c>
      <c r="C287" s="569" t="s">
        <v>157</v>
      </c>
      <c r="D287" s="570"/>
      <c r="E287" s="570"/>
      <c r="F287" s="570"/>
      <c r="G287" s="570"/>
      <c r="H287" s="571"/>
      <c r="I287" s="321"/>
      <c r="J287" s="22" t="s">
        <v>307</v>
      </c>
      <c r="L287" s="569" t="s">
        <v>157</v>
      </c>
      <c r="M287" s="570"/>
      <c r="N287" s="570"/>
      <c r="O287" s="570"/>
      <c r="P287" s="570"/>
      <c r="Q287" s="571"/>
      <c r="R287" s="24"/>
      <c r="S287" s="22" t="s">
        <v>307</v>
      </c>
      <c r="U287" s="569" t="s">
        <v>157</v>
      </c>
      <c r="V287" s="570"/>
      <c r="W287" s="570"/>
      <c r="X287" s="570"/>
      <c r="Y287" s="570"/>
      <c r="Z287" s="571"/>
      <c r="AA287" s="24"/>
      <c r="AB287" s="22" t="s">
        <v>307</v>
      </c>
      <c r="AD287" s="569" t="s">
        <v>157</v>
      </c>
      <c r="AE287" s="570"/>
      <c r="AF287" s="570"/>
      <c r="AG287" s="570"/>
      <c r="AH287" s="570"/>
      <c r="AI287" s="571"/>
      <c r="AJ287" s="24"/>
      <c r="AK287" s="22" t="s">
        <v>307</v>
      </c>
      <c r="AM287" s="569" t="s">
        <v>157</v>
      </c>
      <c r="AN287" s="570"/>
      <c r="AO287" s="570"/>
      <c r="AP287" s="570"/>
      <c r="AQ287" s="570"/>
      <c r="AR287" s="571"/>
      <c r="AS287" s="24"/>
      <c r="AT287" s="22" t="s">
        <v>307</v>
      </c>
      <c r="AV287" s="569" t="s">
        <v>157</v>
      </c>
      <c r="AW287" s="570"/>
      <c r="AX287" s="570"/>
      <c r="AY287" s="570"/>
      <c r="AZ287" s="570"/>
      <c r="BA287" s="571"/>
      <c r="BB287" s="24"/>
      <c r="BC287" s="22" t="s">
        <v>307</v>
      </c>
      <c r="BE287" s="569" t="s">
        <v>157</v>
      </c>
      <c r="BF287" s="570"/>
      <c r="BG287" s="570"/>
      <c r="BH287" s="570"/>
      <c r="BI287" s="570"/>
      <c r="BJ287" s="571"/>
      <c r="BK287" s="24"/>
      <c r="BL287" s="22" t="s">
        <v>307</v>
      </c>
      <c r="BN287" s="569" t="s">
        <v>157</v>
      </c>
      <c r="BO287" s="570"/>
      <c r="BP287" s="570"/>
      <c r="BQ287" s="570"/>
      <c r="BR287" s="570"/>
      <c r="BS287" s="571"/>
      <c r="BT287" s="24"/>
      <c r="BU287" s="22" t="s">
        <v>307</v>
      </c>
      <c r="BW287" s="569" t="s">
        <v>157</v>
      </c>
      <c r="BX287" s="570"/>
      <c r="BY287" s="570"/>
      <c r="BZ287" s="570"/>
      <c r="CA287" s="570"/>
      <c r="CB287" s="571"/>
      <c r="CC287" s="24"/>
      <c r="CD287" s="22" t="s">
        <v>307</v>
      </c>
      <c r="CF287" s="569" t="s">
        <v>157</v>
      </c>
      <c r="CG287" s="570"/>
      <c r="CH287" s="570"/>
      <c r="CI287" s="570"/>
      <c r="CJ287" s="570"/>
      <c r="CK287" s="571"/>
      <c r="CL287" s="24"/>
      <c r="CM287" s="22" t="s">
        <v>307</v>
      </c>
      <c r="CO287" s="569" t="s">
        <v>157</v>
      </c>
      <c r="CP287" s="570"/>
      <c r="CQ287" s="570"/>
      <c r="CR287" s="570"/>
      <c r="CS287" s="570"/>
      <c r="CT287" s="571"/>
      <c r="CU287" s="24"/>
      <c r="CV287" s="22" t="s">
        <v>307</v>
      </c>
      <c r="CX287" s="569" t="s">
        <v>157</v>
      </c>
      <c r="CY287" s="570"/>
      <c r="CZ287" s="570"/>
      <c r="DA287" s="570"/>
      <c r="DB287" s="570"/>
      <c r="DC287" s="571"/>
      <c r="DD287" s="24"/>
      <c r="DE287" s="22" t="s">
        <v>307</v>
      </c>
      <c r="DG287" s="569" t="s">
        <v>157</v>
      </c>
      <c r="DH287" s="570"/>
      <c r="DI287" s="570"/>
      <c r="DJ287" s="570"/>
      <c r="DK287" s="570"/>
      <c r="DL287" s="571"/>
      <c r="DM287" s="24"/>
      <c r="DN287" s="22" t="s">
        <v>307</v>
      </c>
      <c r="DP287" s="569" t="s">
        <v>157</v>
      </c>
      <c r="DQ287" s="570"/>
      <c r="DR287" s="570"/>
      <c r="DS287" s="570"/>
      <c r="DT287" s="570"/>
      <c r="DU287" s="571"/>
      <c r="DV287" s="24"/>
      <c r="DW287" s="22" t="s">
        <v>307</v>
      </c>
      <c r="DY287" s="569" t="s">
        <v>157</v>
      </c>
      <c r="DZ287" s="570"/>
      <c r="EA287" s="570"/>
      <c r="EB287" s="570"/>
      <c r="EC287" s="570"/>
      <c r="ED287" s="571"/>
      <c r="EE287" s="24"/>
      <c r="EF287" s="22" t="s">
        <v>307</v>
      </c>
      <c r="EH287" s="569" t="s">
        <v>157</v>
      </c>
      <c r="EI287" s="570"/>
      <c r="EJ287" s="570"/>
      <c r="EK287" s="570"/>
      <c r="EL287" s="570"/>
      <c r="EM287" s="571"/>
      <c r="EN287" s="24"/>
      <c r="EO287" s="22" t="s">
        <v>307</v>
      </c>
      <c r="EQ287" s="569" t="s">
        <v>157</v>
      </c>
      <c r="ER287" s="570"/>
      <c r="ES287" s="570"/>
      <c r="ET287" s="570"/>
      <c r="EU287" s="570"/>
      <c r="EV287" s="571"/>
      <c r="EW287" s="24"/>
      <c r="EX287" s="22" t="s">
        <v>307</v>
      </c>
      <c r="EZ287" s="569" t="s">
        <v>157</v>
      </c>
      <c r="FA287" s="570"/>
      <c r="FB287" s="570"/>
      <c r="FC287" s="570"/>
      <c r="FD287" s="570"/>
      <c r="FE287" s="571"/>
      <c r="FF287" s="24"/>
      <c r="FG287" s="22" t="s">
        <v>307</v>
      </c>
      <c r="FI287" s="569" t="s">
        <v>157</v>
      </c>
      <c r="FJ287" s="570"/>
      <c r="FK287" s="570"/>
      <c r="FL287" s="570"/>
      <c r="FM287" s="570"/>
      <c r="FN287" s="571"/>
      <c r="FO287" s="24"/>
      <c r="FP287" s="22" t="s">
        <v>307</v>
      </c>
      <c r="FR287" s="569" t="s">
        <v>157</v>
      </c>
      <c r="FS287" s="570"/>
      <c r="FT287" s="570"/>
      <c r="FU287" s="570"/>
      <c r="FV287" s="570"/>
      <c r="FW287" s="571"/>
      <c r="FX287" s="24"/>
      <c r="FY287" s="22" t="s">
        <v>307</v>
      </c>
      <c r="GA287" s="569" t="s">
        <v>157</v>
      </c>
      <c r="GB287" s="570"/>
      <c r="GC287" s="570"/>
      <c r="GD287" s="570"/>
      <c r="GE287" s="570"/>
      <c r="GF287" s="571"/>
      <c r="GG287" s="24"/>
      <c r="GH287" s="22" t="s">
        <v>307</v>
      </c>
      <c r="GJ287" s="569" t="s">
        <v>157</v>
      </c>
      <c r="GK287" s="570"/>
      <c r="GL287" s="570"/>
      <c r="GM287" s="570"/>
      <c r="GN287" s="570"/>
      <c r="GO287" s="571"/>
      <c r="GP287" s="24"/>
      <c r="GQ287" s="22" t="s">
        <v>307</v>
      </c>
      <c r="GS287" s="569" t="s">
        <v>157</v>
      </c>
      <c r="GT287" s="570"/>
      <c r="GU287" s="570"/>
      <c r="GV287" s="570"/>
      <c r="GW287" s="570"/>
      <c r="GX287" s="571"/>
      <c r="GY287" s="24"/>
      <c r="GZ287" s="22" t="s">
        <v>307</v>
      </c>
      <c r="HB287" s="569" t="s">
        <v>157</v>
      </c>
      <c r="HC287" s="570"/>
      <c r="HD287" s="570"/>
      <c r="HE287" s="570"/>
      <c r="HF287" s="570"/>
      <c r="HG287" s="571"/>
      <c r="HH287" s="24"/>
      <c r="HI287" s="22" t="s">
        <v>307</v>
      </c>
      <c r="HK287" s="569" t="s">
        <v>157</v>
      </c>
      <c r="HL287" s="570"/>
      <c r="HM287" s="570"/>
      <c r="HN287" s="570"/>
      <c r="HO287" s="570"/>
      <c r="HP287" s="571"/>
      <c r="HQ287" s="24"/>
      <c r="HS287" s="22" t="s">
        <v>307</v>
      </c>
      <c r="HU287" s="569" t="s">
        <v>157</v>
      </c>
      <c r="HV287" s="570"/>
      <c r="HW287" s="570"/>
      <c r="HX287" s="570"/>
      <c r="HY287" s="570"/>
      <c r="HZ287" s="571"/>
      <c r="IA287" s="24"/>
      <c r="IB287" s="22" t="s">
        <v>307</v>
      </c>
      <c r="ID287" s="569" t="s">
        <v>157</v>
      </c>
      <c r="IE287" s="570"/>
      <c r="IF287" s="570"/>
      <c r="IG287" s="570"/>
      <c r="IH287" s="570"/>
      <c r="II287" s="571"/>
      <c r="IJ287" s="24"/>
      <c r="IK287" s="22" t="s">
        <v>307</v>
      </c>
      <c r="IM287" s="569" t="s">
        <v>157</v>
      </c>
      <c r="IN287" s="570"/>
      <c r="IO287" s="570"/>
      <c r="IP287" s="570"/>
      <c r="IQ287" s="570"/>
      <c r="IR287" s="571"/>
      <c r="IS287" s="24"/>
      <c r="IT287" s="22" t="s">
        <v>307</v>
      </c>
      <c r="IV287" s="569" t="s">
        <v>157</v>
      </c>
      <c r="IW287" s="570"/>
      <c r="IX287" s="570"/>
      <c r="IY287" s="570"/>
      <c r="IZ287" s="570"/>
      <c r="JA287" s="571"/>
      <c r="JB287" s="24"/>
      <c r="JC287" s="22" t="s">
        <v>307</v>
      </c>
      <c r="JE287" s="569" t="s">
        <v>157</v>
      </c>
      <c r="JF287" s="570"/>
      <c r="JG287" s="570"/>
      <c r="JH287" s="570"/>
      <c r="JI287" s="570"/>
      <c r="JJ287" s="571"/>
      <c r="JK287" s="24"/>
      <c r="JL287" s="22" t="s">
        <v>307</v>
      </c>
      <c r="JN287" s="569" t="s">
        <v>157</v>
      </c>
      <c r="JO287" s="570"/>
      <c r="JP287" s="570"/>
      <c r="JQ287" s="570"/>
      <c r="JR287" s="570"/>
      <c r="JS287" s="571"/>
      <c r="JT287" s="24"/>
      <c r="JU287" s="22" t="s">
        <v>307</v>
      </c>
      <c r="JW287" s="569" t="s">
        <v>157</v>
      </c>
      <c r="JX287" s="570"/>
      <c r="JY287" s="570"/>
      <c r="JZ287" s="570"/>
      <c r="KA287" s="570"/>
      <c r="KB287" s="571"/>
      <c r="KC287" s="24"/>
      <c r="KD287" s="22" t="s">
        <v>307</v>
      </c>
      <c r="KF287" s="569" t="s">
        <v>157</v>
      </c>
      <c r="KG287" s="570"/>
      <c r="KH287" s="570"/>
      <c r="KI287" s="570"/>
      <c r="KJ287" s="570"/>
      <c r="KK287" s="571"/>
      <c r="KL287" s="24"/>
      <c r="KM287" s="22" t="s">
        <v>307</v>
      </c>
      <c r="KO287" s="569" t="s">
        <v>157</v>
      </c>
      <c r="KP287" s="570"/>
      <c r="KQ287" s="570"/>
      <c r="KR287" s="570"/>
      <c r="KS287" s="570"/>
      <c r="KT287" s="571"/>
      <c r="KU287" s="24"/>
      <c r="KV287" s="22" t="s">
        <v>307</v>
      </c>
      <c r="KX287" s="569" t="s">
        <v>157</v>
      </c>
      <c r="KY287" s="570"/>
      <c r="KZ287" s="570"/>
      <c r="LA287" s="570"/>
      <c r="LB287" s="570"/>
      <c r="LC287" s="571"/>
      <c r="LD287" s="24"/>
      <c r="LE287" s="22" t="s">
        <v>307</v>
      </c>
      <c r="LG287" s="569" t="s">
        <v>157</v>
      </c>
      <c r="LH287" s="570"/>
      <c r="LI287" s="570"/>
      <c r="LJ287" s="570"/>
      <c r="LK287" s="570"/>
      <c r="LL287" s="571"/>
      <c r="LM287" s="24"/>
      <c r="LN287" s="22" t="s">
        <v>307</v>
      </c>
      <c r="LP287" s="569" t="s">
        <v>157</v>
      </c>
      <c r="LQ287" s="570"/>
      <c r="LR287" s="570"/>
      <c r="LS287" s="570"/>
      <c r="LT287" s="570"/>
      <c r="LU287" s="571"/>
      <c r="LV287" s="24"/>
      <c r="LW287" s="22" t="s">
        <v>307</v>
      </c>
      <c r="LY287" s="569" t="s">
        <v>157</v>
      </c>
      <c r="LZ287" s="570"/>
      <c r="MA287" s="570"/>
      <c r="MB287" s="570"/>
      <c r="MC287" s="570"/>
      <c r="MD287" s="571"/>
      <c r="ME287" s="24"/>
      <c r="MF287" s="22" t="s">
        <v>307</v>
      </c>
      <c r="MH287" s="569" t="s">
        <v>157</v>
      </c>
      <c r="MI287" s="570"/>
      <c r="MJ287" s="570"/>
      <c r="MK287" s="570"/>
      <c r="ML287" s="570"/>
      <c r="MM287" s="571"/>
      <c r="MN287" s="24"/>
      <c r="MO287" s="22" t="s">
        <v>307</v>
      </c>
      <c r="MQ287" s="569" t="s">
        <v>157</v>
      </c>
      <c r="MR287" s="570"/>
      <c r="MS287" s="570"/>
      <c r="MT287" s="570"/>
      <c r="MU287" s="570"/>
      <c r="MV287" s="571"/>
      <c r="MW287" s="24"/>
      <c r="MX287" s="22" t="s">
        <v>307</v>
      </c>
      <c r="MZ287" s="569" t="s">
        <v>157</v>
      </c>
      <c r="NA287" s="570"/>
      <c r="NB287" s="570"/>
      <c r="NC287" s="570"/>
      <c r="ND287" s="570"/>
      <c r="NE287" s="571"/>
      <c r="NF287" s="24"/>
      <c r="NG287" s="22" t="s">
        <v>307</v>
      </c>
      <c r="NI287" s="569" t="s">
        <v>157</v>
      </c>
      <c r="NJ287" s="570"/>
      <c r="NK287" s="570"/>
      <c r="NL287" s="570"/>
      <c r="NM287" s="570"/>
      <c r="NN287" s="571"/>
      <c r="NO287" s="24"/>
      <c r="NP287" s="22" t="s">
        <v>307</v>
      </c>
      <c r="NR287" s="569" t="s">
        <v>157</v>
      </c>
      <c r="NS287" s="570"/>
      <c r="NT287" s="570"/>
      <c r="NU287" s="570"/>
      <c r="NV287" s="570"/>
      <c r="NW287" s="571"/>
      <c r="NX287" s="24"/>
      <c r="NY287" s="22" t="s">
        <v>307</v>
      </c>
      <c r="OA287" s="589" t="s">
        <v>157</v>
      </c>
      <c r="OB287" s="590"/>
      <c r="OC287" s="590"/>
      <c r="OD287" s="590"/>
      <c r="OE287" s="590"/>
      <c r="OF287" s="591"/>
      <c r="OG287" s="24"/>
      <c r="OH287" s="22" t="s">
        <v>307</v>
      </c>
      <c r="OJ287" s="589" t="s">
        <v>157</v>
      </c>
      <c r="OK287" s="590"/>
      <c r="OL287" s="590"/>
      <c r="OM287" s="590"/>
      <c r="ON287" s="590"/>
      <c r="OO287" s="591"/>
      <c r="OP287" s="24"/>
      <c r="OQ287" s="22" t="s">
        <v>307</v>
      </c>
      <c r="OS287" s="589" t="s">
        <v>157</v>
      </c>
      <c r="OT287" s="590"/>
      <c r="OU287" s="590"/>
      <c r="OV287" s="590"/>
      <c r="OW287" s="590"/>
      <c r="OX287" s="591"/>
      <c r="OY287" s="24"/>
      <c r="OZ287" s="22" t="s">
        <v>307</v>
      </c>
      <c r="PB287" s="569" t="s">
        <v>157</v>
      </c>
      <c r="PC287" s="570"/>
      <c r="PD287" s="570"/>
      <c r="PE287" s="570"/>
      <c r="PF287" s="570"/>
      <c r="PG287" s="571"/>
      <c r="PH287" s="24"/>
      <c r="PI287" s="22" t="s">
        <v>307</v>
      </c>
      <c r="PK287" s="569" t="s">
        <v>157</v>
      </c>
      <c r="PL287" s="570"/>
      <c r="PM287" s="570"/>
      <c r="PN287" s="570"/>
      <c r="PO287" s="570"/>
      <c r="PP287" s="571"/>
      <c r="PQ287" s="24"/>
      <c r="PR287" s="22" t="s">
        <v>307</v>
      </c>
      <c r="PT287" s="569" t="s">
        <v>157</v>
      </c>
      <c r="PU287" s="570"/>
      <c r="PV287" s="570"/>
      <c r="PW287" s="570"/>
      <c r="PX287" s="570"/>
      <c r="PY287" s="571"/>
      <c r="PZ287" s="24"/>
      <c r="QA287" s="22" t="s">
        <v>307</v>
      </c>
      <c r="QC287" s="569" t="s">
        <v>157</v>
      </c>
      <c r="QD287" s="570"/>
      <c r="QE287" s="570"/>
      <c r="QF287" s="570"/>
      <c r="QG287" s="570"/>
      <c r="QH287" s="571"/>
      <c r="QI287" s="24"/>
      <c r="QJ287" s="22" t="s">
        <v>307</v>
      </c>
      <c r="QL287" s="569" t="s">
        <v>157</v>
      </c>
      <c r="QM287" s="570"/>
      <c r="QN287" s="570"/>
      <c r="QO287" s="570"/>
      <c r="QP287" s="570"/>
      <c r="QQ287" s="571"/>
      <c r="QR287" s="24"/>
      <c r="QS287" s="22" t="s">
        <v>307</v>
      </c>
      <c r="QU287" s="569" t="s">
        <v>157</v>
      </c>
      <c r="QV287" s="570"/>
      <c r="QW287" s="570"/>
      <c r="QX287" s="570"/>
      <c r="QY287" s="570"/>
      <c r="QZ287" s="571"/>
      <c r="RA287" s="24"/>
      <c r="RB287" s="22" t="s">
        <v>307</v>
      </c>
      <c r="RD287" s="569" t="s">
        <v>157</v>
      </c>
      <c r="RE287" s="570"/>
      <c r="RF287" s="570"/>
      <c r="RG287" s="570"/>
      <c r="RH287" s="570"/>
      <c r="RI287" s="571"/>
      <c r="RJ287" s="24"/>
      <c r="RK287" s="22" t="s">
        <v>307</v>
      </c>
      <c r="RM287" s="569" t="s">
        <v>157</v>
      </c>
      <c r="RN287" s="570"/>
      <c r="RO287" s="570"/>
      <c r="RP287" s="570"/>
      <c r="RQ287" s="570"/>
      <c r="RR287" s="571"/>
      <c r="RS287" s="24"/>
      <c r="RT287" s="22" t="s">
        <v>307</v>
      </c>
      <c r="RV287" s="569" t="s">
        <v>157</v>
      </c>
      <c r="RW287" s="570"/>
      <c r="RX287" s="570"/>
      <c r="RY287" s="570"/>
      <c r="RZ287" s="570"/>
      <c r="SA287" s="571"/>
      <c r="SB287" s="24"/>
      <c r="SC287" s="22" t="s">
        <v>307</v>
      </c>
      <c r="SE287" s="569" t="s">
        <v>157</v>
      </c>
      <c r="SF287" s="570"/>
      <c r="SG287" s="570"/>
      <c r="SH287" s="570"/>
      <c r="SI287" s="570"/>
      <c r="SJ287" s="571"/>
      <c r="SK287" s="24"/>
      <c r="SL287" s="22" t="s">
        <v>307</v>
      </c>
      <c r="SN287" s="569" t="s">
        <v>157</v>
      </c>
      <c r="SO287" s="570"/>
      <c r="SP287" s="570"/>
      <c r="SQ287" s="570"/>
      <c r="SR287" s="570"/>
      <c r="SS287" s="571"/>
      <c r="ST287" s="24"/>
      <c r="SU287" s="22" t="s">
        <v>307</v>
      </c>
      <c r="SW287" s="569" t="s">
        <v>157</v>
      </c>
      <c r="SX287" s="570"/>
      <c r="SY287" s="570"/>
      <c r="SZ287" s="570"/>
      <c r="TA287" s="570"/>
      <c r="TB287" s="571"/>
      <c r="TC287" s="24"/>
      <c r="TD287" s="22" t="s">
        <v>307</v>
      </c>
      <c r="TF287" s="569" t="s">
        <v>157</v>
      </c>
      <c r="TG287" s="570"/>
      <c r="TH287" s="570"/>
      <c r="TI287" s="570"/>
      <c r="TJ287" s="570"/>
      <c r="TK287" s="571"/>
      <c r="TL287" s="24"/>
      <c r="TM287" s="22" t="s">
        <v>307</v>
      </c>
      <c r="TO287" s="569" t="s">
        <v>157</v>
      </c>
      <c r="TP287" s="570"/>
      <c r="TQ287" s="570"/>
      <c r="TR287" s="570"/>
      <c r="TS287" s="570"/>
      <c r="TT287" s="571"/>
      <c r="TU287" s="24"/>
      <c r="TV287" s="22" t="s">
        <v>307</v>
      </c>
      <c r="TX287" s="569" t="s">
        <v>157</v>
      </c>
      <c r="TY287" s="570"/>
      <c r="TZ287" s="570"/>
      <c r="UA287" s="570"/>
      <c r="UB287" s="570"/>
      <c r="UC287" s="571"/>
      <c r="UD287" s="24"/>
      <c r="UE287" s="22" t="s">
        <v>307</v>
      </c>
      <c r="UG287" s="569" t="s">
        <v>157</v>
      </c>
      <c r="UH287" s="570"/>
      <c r="UI287" s="570"/>
      <c r="UJ287" s="570"/>
      <c r="UK287" s="570"/>
      <c r="UL287" s="571"/>
      <c r="UM287" s="24"/>
      <c r="UN287" s="22" t="s">
        <v>307</v>
      </c>
      <c r="UP287" s="569" t="s">
        <v>157</v>
      </c>
      <c r="UQ287" s="570"/>
      <c r="UR287" s="570"/>
      <c r="US287" s="570"/>
      <c r="UT287" s="570"/>
      <c r="UU287" s="571"/>
      <c r="UV287" s="24"/>
      <c r="UW287" s="22" t="s">
        <v>307</v>
      </c>
      <c r="UY287" s="569" t="s">
        <v>157</v>
      </c>
      <c r="UZ287" s="570"/>
      <c r="VA287" s="570"/>
      <c r="VB287" s="570"/>
      <c r="VC287" s="570"/>
      <c r="VD287" s="571"/>
      <c r="VE287" s="24"/>
      <c r="VF287" s="22" t="s">
        <v>307</v>
      </c>
      <c r="VH287" s="569" t="s">
        <v>157</v>
      </c>
      <c r="VI287" s="570"/>
      <c r="VJ287" s="570"/>
      <c r="VK287" s="570"/>
      <c r="VL287" s="570"/>
      <c r="VM287" s="571"/>
      <c r="VN287" s="24"/>
      <c r="VO287" s="22" t="s">
        <v>307</v>
      </c>
      <c r="VQ287" s="569" t="s">
        <v>157</v>
      </c>
      <c r="VR287" s="570"/>
      <c r="VS287" s="570"/>
      <c r="VT287" s="570"/>
      <c r="VU287" s="570"/>
      <c r="VV287" s="571"/>
      <c r="VW287" s="24"/>
      <c r="VX287" s="22" t="s">
        <v>307</v>
      </c>
      <c r="VZ287" s="569" t="s">
        <v>157</v>
      </c>
      <c r="WA287" s="570"/>
      <c r="WB287" s="570"/>
      <c r="WC287" s="570"/>
      <c r="WD287" s="570"/>
      <c r="WE287" s="571"/>
      <c r="WF287" s="24"/>
      <c r="WG287" s="22" t="s">
        <v>307</v>
      </c>
      <c r="WI287" s="569" t="s">
        <v>157</v>
      </c>
      <c r="WJ287" s="570"/>
      <c r="WK287" s="570"/>
      <c r="WL287" s="570"/>
      <c r="WM287" s="570"/>
      <c r="WN287" s="571"/>
      <c r="WO287" s="24"/>
      <c r="WP287" s="22" t="s">
        <v>307</v>
      </c>
      <c r="WR287" s="569" t="s">
        <v>157</v>
      </c>
      <c r="WS287" s="570"/>
      <c r="WT287" s="570"/>
      <c r="WU287" s="570"/>
      <c r="WV287" s="570"/>
      <c r="WW287" s="571"/>
      <c r="WX287" s="24"/>
      <c r="WY287" s="22" t="s">
        <v>307</v>
      </c>
      <c r="XA287" s="569" t="s">
        <v>157</v>
      </c>
      <c r="XB287" s="570"/>
      <c r="XC287" s="570"/>
      <c r="XD287" s="570"/>
      <c r="XE287" s="570"/>
      <c r="XF287" s="571"/>
      <c r="XG287" s="24"/>
      <c r="XH287" s="22" t="s">
        <v>307</v>
      </c>
      <c r="XJ287" s="569" t="s">
        <v>157</v>
      </c>
      <c r="XK287" s="570"/>
      <c r="XL287" s="570"/>
      <c r="XM287" s="570"/>
      <c r="XN287" s="570"/>
      <c r="XO287" s="571"/>
      <c r="XP287" s="24"/>
      <c r="XQ287" s="22" t="s">
        <v>307</v>
      </c>
      <c r="XS287" s="569" t="s">
        <v>157</v>
      </c>
      <c r="XT287" s="570"/>
      <c r="XU287" s="570"/>
      <c r="XV287" s="570"/>
      <c r="XW287" s="570"/>
      <c r="XX287" s="571"/>
      <c r="XY287" s="24"/>
      <c r="XZ287" s="22" t="s">
        <v>307</v>
      </c>
      <c r="YB287" s="569" t="s">
        <v>157</v>
      </c>
      <c r="YC287" s="570"/>
      <c r="YD287" s="570"/>
      <c r="YE287" s="570"/>
      <c r="YF287" s="570"/>
      <c r="YG287" s="571"/>
      <c r="YH287" s="24"/>
      <c r="YI287" s="22" t="s">
        <v>307</v>
      </c>
      <c r="YK287" s="569" t="s">
        <v>157</v>
      </c>
      <c r="YL287" s="570"/>
      <c r="YM287" s="570"/>
      <c r="YN287" s="570"/>
      <c r="YO287" s="570"/>
      <c r="YP287" s="571"/>
      <c r="YQ287" s="24"/>
      <c r="YR287" s="22" t="s">
        <v>307</v>
      </c>
      <c r="YT287" s="569" t="s">
        <v>157</v>
      </c>
      <c r="YU287" s="570"/>
      <c r="YV287" s="570"/>
      <c r="YW287" s="570"/>
      <c r="YX287" s="570"/>
      <c r="YY287" s="571"/>
      <c r="YZ287" s="24"/>
      <c r="ZA287" s="22" t="s">
        <v>307</v>
      </c>
      <c r="ZC287" s="569" t="s">
        <v>157</v>
      </c>
      <c r="ZD287" s="570"/>
      <c r="ZE287" s="570"/>
      <c r="ZF287" s="570"/>
      <c r="ZG287" s="570"/>
      <c r="ZH287" s="571"/>
      <c r="ZI287" s="24"/>
      <c r="ZJ287" s="22" t="s">
        <v>307</v>
      </c>
      <c r="ZL287" s="569" t="s">
        <v>157</v>
      </c>
      <c r="ZM287" s="570"/>
      <c r="ZN287" s="570"/>
      <c r="ZO287" s="570"/>
      <c r="ZP287" s="570"/>
      <c r="ZQ287" s="571"/>
      <c r="ZR287" s="24"/>
      <c r="ZS287" s="22" t="s">
        <v>307</v>
      </c>
      <c r="ZU287" s="569" t="s">
        <v>157</v>
      </c>
      <c r="ZV287" s="570"/>
      <c r="ZW287" s="570"/>
      <c r="ZX287" s="570"/>
      <c r="ZY287" s="570"/>
      <c r="ZZ287" s="571"/>
      <c r="AAA287" s="24"/>
      <c r="AAB287" s="22" t="s">
        <v>307</v>
      </c>
      <c r="AAD287" s="569" t="s">
        <v>157</v>
      </c>
      <c r="AAE287" s="570"/>
      <c r="AAF287" s="570"/>
      <c r="AAG287" s="570"/>
      <c r="AAH287" s="570"/>
      <c r="AAI287" s="571"/>
      <c r="AAJ287" s="24"/>
      <c r="AAK287" s="22" t="s">
        <v>307</v>
      </c>
      <c r="AAM287" s="569" t="s">
        <v>157</v>
      </c>
      <c r="AAN287" s="570"/>
      <c r="AAO287" s="570"/>
      <c r="AAP287" s="570"/>
      <c r="AAQ287" s="570"/>
      <c r="AAR287" s="571"/>
      <c r="AAS287" s="24"/>
      <c r="AAT287" s="22" t="s">
        <v>307</v>
      </c>
      <c r="AAV287" s="569" t="s">
        <v>157</v>
      </c>
      <c r="AAW287" s="570"/>
      <c r="AAX287" s="570"/>
      <c r="AAY287" s="570"/>
      <c r="AAZ287" s="570"/>
      <c r="ABA287" s="571"/>
      <c r="ABB287" s="24"/>
      <c r="ABC287" s="22" t="s">
        <v>307</v>
      </c>
      <c r="ABE287" s="569" t="s">
        <v>157</v>
      </c>
      <c r="ABF287" s="570"/>
      <c r="ABG287" s="570"/>
      <c r="ABH287" s="570"/>
      <c r="ABI287" s="570"/>
      <c r="ABJ287" s="571"/>
      <c r="ABK287" s="24"/>
    </row>
    <row r="288" spans="1:739" ht="14.45" thickBot="1">
      <c r="C288" s="30" t="s">
        <v>164</v>
      </c>
      <c r="D288" s="77" t="s">
        <v>165</v>
      </c>
      <c r="E288" s="27" t="s">
        <v>166</v>
      </c>
      <c r="F288" s="26" t="s">
        <v>167</v>
      </c>
      <c r="G288" s="27" t="s">
        <v>168</v>
      </c>
      <c r="H288" s="28" t="s">
        <v>169</v>
      </c>
      <c r="I288" s="327" t="s">
        <v>170</v>
      </c>
      <c r="L288" s="30" t="s">
        <v>164</v>
      </c>
      <c r="M288" s="77" t="s">
        <v>165</v>
      </c>
      <c r="N288" s="31" t="s">
        <v>166</v>
      </c>
      <c r="O288" s="26" t="s">
        <v>167</v>
      </c>
      <c r="P288" s="31" t="s">
        <v>168</v>
      </c>
      <c r="Q288" s="83" t="s">
        <v>169</v>
      </c>
      <c r="R288" s="79" t="s">
        <v>170</v>
      </c>
      <c r="U288" s="30" t="s">
        <v>164</v>
      </c>
      <c r="V288" s="77" t="s">
        <v>165</v>
      </c>
      <c r="W288" s="33" t="s">
        <v>166</v>
      </c>
      <c r="X288" s="26" t="s">
        <v>167</v>
      </c>
      <c r="Y288" s="33" t="s">
        <v>168</v>
      </c>
      <c r="Z288" s="84" t="s">
        <v>169</v>
      </c>
      <c r="AA288" s="79" t="s">
        <v>170</v>
      </c>
      <c r="AD288" s="30" t="s">
        <v>164</v>
      </c>
      <c r="AE288" s="77" t="s">
        <v>165</v>
      </c>
      <c r="AF288" s="35" t="s">
        <v>166</v>
      </c>
      <c r="AG288" s="26" t="s">
        <v>167</v>
      </c>
      <c r="AH288" s="35" t="s">
        <v>168</v>
      </c>
      <c r="AI288" s="36" t="s">
        <v>169</v>
      </c>
      <c r="AJ288" s="79" t="s">
        <v>170</v>
      </c>
      <c r="AM288" s="30" t="s">
        <v>164</v>
      </c>
      <c r="AN288" s="77" t="s">
        <v>165</v>
      </c>
      <c r="AO288" s="37" t="s">
        <v>166</v>
      </c>
      <c r="AP288" s="26" t="s">
        <v>167</v>
      </c>
      <c r="AQ288" s="37" t="s">
        <v>168</v>
      </c>
      <c r="AR288" s="38" t="s">
        <v>169</v>
      </c>
      <c r="AS288" s="79" t="s">
        <v>170</v>
      </c>
      <c r="AV288" s="30" t="s">
        <v>164</v>
      </c>
      <c r="AW288" s="77" t="s">
        <v>165</v>
      </c>
      <c r="AX288" s="39" t="s">
        <v>166</v>
      </c>
      <c r="AY288" s="26" t="s">
        <v>167</v>
      </c>
      <c r="AZ288" s="39" t="s">
        <v>168</v>
      </c>
      <c r="BA288" s="40" t="s">
        <v>169</v>
      </c>
      <c r="BB288" s="79" t="s">
        <v>170</v>
      </c>
      <c r="BE288" s="30" t="s">
        <v>164</v>
      </c>
      <c r="BF288" s="77" t="s">
        <v>165</v>
      </c>
      <c r="BG288" s="41" t="s">
        <v>166</v>
      </c>
      <c r="BH288" s="26" t="s">
        <v>167</v>
      </c>
      <c r="BI288" s="41" t="s">
        <v>168</v>
      </c>
      <c r="BJ288" s="42" t="s">
        <v>169</v>
      </c>
      <c r="BK288" s="79" t="s">
        <v>170</v>
      </c>
      <c r="BN288" s="30" t="s">
        <v>164</v>
      </c>
      <c r="BO288" s="77" t="s">
        <v>165</v>
      </c>
      <c r="BP288" s="43" t="s">
        <v>166</v>
      </c>
      <c r="BQ288" s="26" t="s">
        <v>167</v>
      </c>
      <c r="BR288" s="43" t="s">
        <v>168</v>
      </c>
      <c r="BS288" s="44" t="s">
        <v>169</v>
      </c>
      <c r="BT288" s="79" t="s">
        <v>170</v>
      </c>
      <c r="BW288" s="30" t="s">
        <v>164</v>
      </c>
      <c r="BX288" s="77" t="s">
        <v>165</v>
      </c>
      <c r="BY288" s="45" t="s">
        <v>166</v>
      </c>
      <c r="BZ288" s="26" t="s">
        <v>167</v>
      </c>
      <c r="CA288" s="45" t="s">
        <v>168</v>
      </c>
      <c r="CB288" s="46" t="s">
        <v>169</v>
      </c>
      <c r="CC288" s="79" t="s">
        <v>170</v>
      </c>
      <c r="CF288" s="30" t="s">
        <v>164</v>
      </c>
      <c r="CG288" s="77" t="s">
        <v>165</v>
      </c>
      <c r="CH288" s="47" t="s">
        <v>166</v>
      </c>
      <c r="CI288" s="26" t="s">
        <v>167</v>
      </c>
      <c r="CJ288" s="47" t="s">
        <v>168</v>
      </c>
      <c r="CK288" s="48" t="s">
        <v>169</v>
      </c>
      <c r="CL288" s="79" t="s">
        <v>170</v>
      </c>
      <c r="CO288" s="30" t="s">
        <v>164</v>
      </c>
      <c r="CP288" s="77" t="s">
        <v>165</v>
      </c>
      <c r="CQ288" s="129" t="s">
        <v>166</v>
      </c>
      <c r="CR288" s="26" t="s">
        <v>167</v>
      </c>
      <c r="CS288" s="129" t="s">
        <v>168</v>
      </c>
      <c r="CT288" s="130" t="s">
        <v>169</v>
      </c>
      <c r="CU288" s="79" t="s">
        <v>170</v>
      </c>
      <c r="CX288" s="30" t="s">
        <v>164</v>
      </c>
      <c r="CY288" s="77" t="s">
        <v>165</v>
      </c>
      <c r="CZ288" s="132" t="s">
        <v>166</v>
      </c>
      <c r="DA288" s="26" t="s">
        <v>167</v>
      </c>
      <c r="DB288" s="132" t="s">
        <v>168</v>
      </c>
      <c r="DC288" s="134" t="s">
        <v>169</v>
      </c>
      <c r="DD288" s="79" t="s">
        <v>170</v>
      </c>
      <c r="DG288" s="30" t="s">
        <v>164</v>
      </c>
      <c r="DH288" s="77" t="s">
        <v>165</v>
      </c>
      <c r="DI288" s="146" t="s">
        <v>166</v>
      </c>
      <c r="DJ288" s="26" t="s">
        <v>167</v>
      </c>
      <c r="DK288" s="146" t="s">
        <v>168</v>
      </c>
      <c r="DL288" s="153" t="s">
        <v>169</v>
      </c>
      <c r="DM288" s="79" t="s">
        <v>170</v>
      </c>
      <c r="DP288" s="30" t="s">
        <v>164</v>
      </c>
      <c r="DQ288" s="77" t="s">
        <v>165</v>
      </c>
      <c r="DR288" s="27" t="s">
        <v>166</v>
      </c>
      <c r="DS288" s="26" t="s">
        <v>167</v>
      </c>
      <c r="DT288" s="27" t="s">
        <v>168</v>
      </c>
      <c r="DU288" s="28" t="s">
        <v>169</v>
      </c>
      <c r="DV288" s="79" t="s">
        <v>170</v>
      </c>
      <c r="DY288" s="30" t="s">
        <v>164</v>
      </c>
      <c r="DZ288" s="77" t="s">
        <v>165</v>
      </c>
      <c r="EA288" s="156" t="s">
        <v>166</v>
      </c>
      <c r="EB288" s="26" t="s">
        <v>167</v>
      </c>
      <c r="EC288" s="156" t="s">
        <v>168</v>
      </c>
      <c r="ED288" s="158" t="s">
        <v>169</v>
      </c>
      <c r="EE288" s="79" t="s">
        <v>170</v>
      </c>
      <c r="EH288" s="30" t="s">
        <v>164</v>
      </c>
      <c r="EI288" s="77" t="s">
        <v>165</v>
      </c>
      <c r="EJ288" s="161" t="s">
        <v>166</v>
      </c>
      <c r="EK288" s="26" t="s">
        <v>167</v>
      </c>
      <c r="EL288" s="161" t="s">
        <v>168</v>
      </c>
      <c r="EM288" s="163" t="s">
        <v>169</v>
      </c>
      <c r="EN288" s="79" t="s">
        <v>170</v>
      </c>
      <c r="EQ288" s="30" t="s">
        <v>164</v>
      </c>
      <c r="ER288" s="77" t="s">
        <v>165</v>
      </c>
      <c r="ES288" s="167" t="s">
        <v>166</v>
      </c>
      <c r="ET288" s="26" t="s">
        <v>167</v>
      </c>
      <c r="EU288" s="167" t="s">
        <v>168</v>
      </c>
      <c r="EV288" s="169" t="s">
        <v>169</v>
      </c>
      <c r="EW288" s="79" t="s">
        <v>170</v>
      </c>
      <c r="EZ288" s="30" t="s">
        <v>164</v>
      </c>
      <c r="FA288" s="77" t="s">
        <v>165</v>
      </c>
      <c r="FB288" s="176" t="s">
        <v>166</v>
      </c>
      <c r="FC288" s="26" t="s">
        <v>167</v>
      </c>
      <c r="FD288" s="176" t="s">
        <v>168</v>
      </c>
      <c r="FE288" s="177" t="s">
        <v>169</v>
      </c>
      <c r="FF288" s="79" t="s">
        <v>170</v>
      </c>
      <c r="FI288" s="30" t="s">
        <v>164</v>
      </c>
      <c r="FJ288" s="77" t="s">
        <v>165</v>
      </c>
      <c r="FK288" s="181" t="s">
        <v>166</v>
      </c>
      <c r="FL288" s="26" t="s">
        <v>167</v>
      </c>
      <c r="FM288" s="181" t="s">
        <v>168</v>
      </c>
      <c r="FN288" s="182" t="s">
        <v>169</v>
      </c>
      <c r="FO288" s="79" t="s">
        <v>170</v>
      </c>
      <c r="FR288" s="30" t="s">
        <v>164</v>
      </c>
      <c r="FS288" s="77" t="s">
        <v>165</v>
      </c>
      <c r="FT288" s="185" t="s">
        <v>166</v>
      </c>
      <c r="FU288" s="26" t="s">
        <v>167</v>
      </c>
      <c r="FV288" s="185" t="s">
        <v>168</v>
      </c>
      <c r="FW288" s="187" t="s">
        <v>169</v>
      </c>
      <c r="FX288" s="79" t="s">
        <v>170</v>
      </c>
      <c r="GA288" s="30" t="s">
        <v>164</v>
      </c>
      <c r="GB288" s="77" t="s">
        <v>165</v>
      </c>
      <c r="GC288" s="128" t="s">
        <v>166</v>
      </c>
      <c r="GD288" s="26" t="s">
        <v>167</v>
      </c>
      <c r="GE288" s="128" t="s">
        <v>168</v>
      </c>
      <c r="GF288" s="200" t="s">
        <v>169</v>
      </c>
      <c r="GG288" s="79" t="s">
        <v>170</v>
      </c>
      <c r="GJ288" s="30" t="s">
        <v>164</v>
      </c>
      <c r="GK288" s="77" t="s">
        <v>165</v>
      </c>
      <c r="GL288" s="197" t="s">
        <v>166</v>
      </c>
      <c r="GM288" s="26" t="s">
        <v>167</v>
      </c>
      <c r="GN288" s="197" t="s">
        <v>168</v>
      </c>
      <c r="GO288" s="198" t="s">
        <v>169</v>
      </c>
      <c r="GP288" s="79" t="s">
        <v>170</v>
      </c>
      <c r="GS288" s="30" t="s">
        <v>164</v>
      </c>
      <c r="GT288" s="77" t="s">
        <v>165</v>
      </c>
      <c r="GU288" s="193" t="s">
        <v>166</v>
      </c>
      <c r="GV288" s="26" t="s">
        <v>167</v>
      </c>
      <c r="GW288" s="193" t="s">
        <v>168</v>
      </c>
      <c r="GX288" s="194" t="s">
        <v>169</v>
      </c>
      <c r="GY288" s="79" t="s">
        <v>170</v>
      </c>
      <c r="HB288" s="30" t="s">
        <v>164</v>
      </c>
      <c r="HC288" s="77" t="s">
        <v>165</v>
      </c>
      <c r="HD288" s="189" t="s">
        <v>166</v>
      </c>
      <c r="HE288" s="26" t="s">
        <v>167</v>
      </c>
      <c r="HF288" s="189" t="s">
        <v>168</v>
      </c>
      <c r="HG288" s="190" t="s">
        <v>169</v>
      </c>
      <c r="HH288" s="79" t="s">
        <v>170</v>
      </c>
      <c r="HK288" s="30" t="s">
        <v>164</v>
      </c>
      <c r="HL288" s="77" t="s">
        <v>165</v>
      </c>
      <c r="HM288" s="41" t="s">
        <v>166</v>
      </c>
      <c r="HN288" s="26" t="s">
        <v>167</v>
      </c>
      <c r="HO288" s="41" t="s">
        <v>168</v>
      </c>
      <c r="HP288" s="42" t="s">
        <v>169</v>
      </c>
      <c r="HQ288" s="79" t="s">
        <v>170</v>
      </c>
      <c r="HU288" s="30" t="s">
        <v>164</v>
      </c>
      <c r="HV288" s="77" t="s">
        <v>165</v>
      </c>
      <c r="HW288" s="241" t="s">
        <v>166</v>
      </c>
      <c r="HX288" s="26" t="s">
        <v>167</v>
      </c>
      <c r="HY288" s="241" t="s">
        <v>168</v>
      </c>
      <c r="HZ288" s="243" t="s">
        <v>169</v>
      </c>
      <c r="IA288" s="79" t="s">
        <v>170</v>
      </c>
      <c r="ID288" s="30" t="s">
        <v>164</v>
      </c>
      <c r="IE288" s="77" t="s">
        <v>165</v>
      </c>
      <c r="IF288" s="241" t="s">
        <v>166</v>
      </c>
      <c r="IG288" s="26" t="s">
        <v>167</v>
      </c>
      <c r="IH288" s="241" t="s">
        <v>168</v>
      </c>
      <c r="II288" s="243" t="s">
        <v>169</v>
      </c>
      <c r="IJ288" s="79" t="s">
        <v>170</v>
      </c>
      <c r="IM288" s="30" t="s">
        <v>164</v>
      </c>
      <c r="IN288" s="77" t="s">
        <v>165</v>
      </c>
      <c r="IO288" s="241" t="s">
        <v>166</v>
      </c>
      <c r="IP288" s="26" t="s">
        <v>167</v>
      </c>
      <c r="IQ288" s="241" t="s">
        <v>168</v>
      </c>
      <c r="IR288" s="243" t="s">
        <v>169</v>
      </c>
      <c r="IS288" s="79" t="s">
        <v>170</v>
      </c>
      <c r="IV288" s="30" t="s">
        <v>164</v>
      </c>
      <c r="IW288" s="77" t="s">
        <v>165</v>
      </c>
      <c r="IX288" s="241" t="s">
        <v>166</v>
      </c>
      <c r="IY288" s="26" t="s">
        <v>167</v>
      </c>
      <c r="IZ288" s="241" t="s">
        <v>168</v>
      </c>
      <c r="JA288" s="243" t="s">
        <v>169</v>
      </c>
      <c r="JB288" s="79" t="s">
        <v>170</v>
      </c>
      <c r="JE288" s="30" t="s">
        <v>164</v>
      </c>
      <c r="JF288" s="77" t="s">
        <v>165</v>
      </c>
      <c r="JG288" s="241" t="s">
        <v>166</v>
      </c>
      <c r="JH288" s="26" t="s">
        <v>167</v>
      </c>
      <c r="JI288" s="241" t="s">
        <v>168</v>
      </c>
      <c r="JJ288" s="243" t="s">
        <v>169</v>
      </c>
      <c r="JK288" s="79" t="s">
        <v>170</v>
      </c>
      <c r="JN288" s="30" t="s">
        <v>164</v>
      </c>
      <c r="JO288" s="77" t="s">
        <v>165</v>
      </c>
      <c r="JP288" s="241" t="s">
        <v>166</v>
      </c>
      <c r="JQ288" s="26" t="s">
        <v>167</v>
      </c>
      <c r="JR288" s="241" t="s">
        <v>168</v>
      </c>
      <c r="JS288" s="243" t="s">
        <v>169</v>
      </c>
      <c r="JT288" s="79" t="s">
        <v>170</v>
      </c>
      <c r="JW288" s="30" t="s">
        <v>164</v>
      </c>
      <c r="JX288" s="77" t="s">
        <v>165</v>
      </c>
      <c r="JY288" s="241" t="s">
        <v>166</v>
      </c>
      <c r="JZ288" s="26" t="s">
        <v>167</v>
      </c>
      <c r="KA288" s="241" t="s">
        <v>168</v>
      </c>
      <c r="KB288" s="243" t="s">
        <v>169</v>
      </c>
      <c r="KC288" s="79" t="s">
        <v>170</v>
      </c>
      <c r="KF288" s="30" t="s">
        <v>164</v>
      </c>
      <c r="KG288" s="77" t="s">
        <v>165</v>
      </c>
      <c r="KH288" s="241" t="s">
        <v>166</v>
      </c>
      <c r="KI288" s="26" t="s">
        <v>167</v>
      </c>
      <c r="KJ288" s="241" t="s">
        <v>168</v>
      </c>
      <c r="KK288" s="243" t="s">
        <v>169</v>
      </c>
      <c r="KL288" s="79" t="s">
        <v>170</v>
      </c>
      <c r="KO288" s="30" t="s">
        <v>164</v>
      </c>
      <c r="KP288" s="77" t="s">
        <v>165</v>
      </c>
      <c r="KQ288" s="241" t="s">
        <v>166</v>
      </c>
      <c r="KR288" s="26" t="s">
        <v>167</v>
      </c>
      <c r="KS288" s="241" t="s">
        <v>168</v>
      </c>
      <c r="KT288" s="243" t="s">
        <v>169</v>
      </c>
      <c r="KU288" s="79" t="s">
        <v>170</v>
      </c>
      <c r="KX288" s="30" t="s">
        <v>164</v>
      </c>
      <c r="KY288" s="77" t="s">
        <v>165</v>
      </c>
      <c r="KZ288" s="241" t="s">
        <v>166</v>
      </c>
      <c r="LA288" s="26" t="s">
        <v>167</v>
      </c>
      <c r="LB288" s="241" t="s">
        <v>168</v>
      </c>
      <c r="LC288" s="243" t="s">
        <v>169</v>
      </c>
      <c r="LD288" s="79" t="s">
        <v>170</v>
      </c>
      <c r="LG288" s="30" t="s">
        <v>164</v>
      </c>
      <c r="LH288" s="77" t="s">
        <v>165</v>
      </c>
      <c r="LI288" s="241" t="s">
        <v>166</v>
      </c>
      <c r="LJ288" s="26" t="s">
        <v>167</v>
      </c>
      <c r="LK288" s="241" t="s">
        <v>168</v>
      </c>
      <c r="LL288" s="243" t="s">
        <v>169</v>
      </c>
      <c r="LM288" s="79" t="s">
        <v>170</v>
      </c>
      <c r="LP288" s="30" t="s">
        <v>164</v>
      </c>
      <c r="LQ288" s="77" t="s">
        <v>165</v>
      </c>
      <c r="LR288" s="241" t="s">
        <v>166</v>
      </c>
      <c r="LS288" s="26" t="s">
        <v>167</v>
      </c>
      <c r="LT288" s="241" t="s">
        <v>168</v>
      </c>
      <c r="LU288" s="243" t="s">
        <v>169</v>
      </c>
      <c r="LV288" s="79" t="s">
        <v>170</v>
      </c>
      <c r="LY288" s="30" t="s">
        <v>164</v>
      </c>
      <c r="LZ288" s="77" t="s">
        <v>165</v>
      </c>
      <c r="MA288" s="241" t="s">
        <v>166</v>
      </c>
      <c r="MB288" s="26" t="s">
        <v>167</v>
      </c>
      <c r="MC288" s="241" t="s">
        <v>168</v>
      </c>
      <c r="MD288" s="243" t="s">
        <v>169</v>
      </c>
      <c r="ME288" s="79" t="s">
        <v>170</v>
      </c>
      <c r="MH288" s="30" t="s">
        <v>164</v>
      </c>
      <c r="MI288" s="77" t="s">
        <v>165</v>
      </c>
      <c r="MJ288" s="241" t="s">
        <v>166</v>
      </c>
      <c r="MK288" s="26" t="s">
        <v>167</v>
      </c>
      <c r="ML288" s="241" t="s">
        <v>168</v>
      </c>
      <c r="MM288" s="243" t="s">
        <v>169</v>
      </c>
      <c r="MN288" s="79" t="s">
        <v>170</v>
      </c>
      <c r="MQ288" s="30" t="s">
        <v>164</v>
      </c>
      <c r="MR288" s="77" t="s">
        <v>165</v>
      </c>
      <c r="MS288" s="241" t="s">
        <v>166</v>
      </c>
      <c r="MT288" s="26" t="s">
        <v>167</v>
      </c>
      <c r="MU288" s="241" t="s">
        <v>168</v>
      </c>
      <c r="MV288" s="243" t="s">
        <v>169</v>
      </c>
      <c r="MW288" s="79" t="s">
        <v>170</v>
      </c>
      <c r="MZ288" s="30" t="s">
        <v>164</v>
      </c>
      <c r="NA288" s="77" t="s">
        <v>165</v>
      </c>
      <c r="NB288" s="241" t="s">
        <v>166</v>
      </c>
      <c r="NC288" s="26" t="s">
        <v>167</v>
      </c>
      <c r="ND288" s="241" t="s">
        <v>168</v>
      </c>
      <c r="NE288" s="243" t="s">
        <v>169</v>
      </c>
      <c r="NF288" s="79" t="s">
        <v>170</v>
      </c>
      <c r="NI288" s="30" t="s">
        <v>164</v>
      </c>
      <c r="NJ288" s="77" t="s">
        <v>165</v>
      </c>
      <c r="NK288" s="241" t="s">
        <v>166</v>
      </c>
      <c r="NL288" s="26" t="s">
        <v>167</v>
      </c>
      <c r="NM288" s="241" t="s">
        <v>168</v>
      </c>
      <c r="NN288" s="243" t="s">
        <v>169</v>
      </c>
      <c r="NO288" s="79" t="s">
        <v>170</v>
      </c>
      <c r="NR288" s="30" t="s">
        <v>164</v>
      </c>
      <c r="NS288" s="77" t="s">
        <v>165</v>
      </c>
      <c r="NT288" s="241" t="s">
        <v>166</v>
      </c>
      <c r="NU288" s="26" t="s">
        <v>167</v>
      </c>
      <c r="NV288" s="241" t="s">
        <v>168</v>
      </c>
      <c r="NW288" s="243" t="s">
        <v>169</v>
      </c>
      <c r="NX288" s="79" t="s">
        <v>170</v>
      </c>
      <c r="OA288" s="30" t="s">
        <v>164</v>
      </c>
      <c r="OB288" s="77" t="s">
        <v>165</v>
      </c>
      <c r="OC288" s="241" t="s">
        <v>166</v>
      </c>
      <c r="OD288" s="26" t="s">
        <v>167</v>
      </c>
      <c r="OE288" s="241" t="s">
        <v>168</v>
      </c>
      <c r="OF288" s="243" t="s">
        <v>169</v>
      </c>
      <c r="OG288" s="79" t="s">
        <v>170</v>
      </c>
      <c r="OJ288" s="30" t="s">
        <v>164</v>
      </c>
      <c r="OK288" s="77" t="s">
        <v>165</v>
      </c>
      <c r="OL288" s="241" t="s">
        <v>166</v>
      </c>
      <c r="OM288" s="26" t="s">
        <v>167</v>
      </c>
      <c r="ON288" s="241" t="s">
        <v>168</v>
      </c>
      <c r="OO288" s="243" t="s">
        <v>169</v>
      </c>
      <c r="OP288" s="79" t="s">
        <v>170</v>
      </c>
      <c r="OS288" s="30" t="s">
        <v>164</v>
      </c>
      <c r="OT288" s="77" t="s">
        <v>165</v>
      </c>
      <c r="OU288" s="241" t="s">
        <v>166</v>
      </c>
      <c r="OV288" s="26" t="s">
        <v>167</v>
      </c>
      <c r="OW288" s="241" t="s">
        <v>168</v>
      </c>
      <c r="OX288" s="243" t="s">
        <v>169</v>
      </c>
      <c r="OY288" s="79" t="s">
        <v>170</v>
      </c>
      <c r="PB288" s="30" t="s">
        <v>164</v>
      </c>
      <c r="PC288" s="77" t="s">
        <v>165</v>
      </c>
      <c r="PD288" s="241" t="s">
        <v>166</v>
      </c>
      <c r="PE288" s="26" t="s">
        <v>167</v>
      </c>
      <c r="PF288" s="241" t="s">
        <v>168</v>
      </c>
      <c r="PG288" s="243" t="s">
        <v>169</v>
      </c>
      <c r="PH288" s="79" t="s">
        <v>170</v>
      </c>
      <c r="PK288" s="30" t="s">
        <v>164</v>
      </c>
      <c r="PL288" s="77" t="s">
        <v>165</v>
      </c>
      <c r="PM288" s="241" t="s">
        <v>166</v>
      </c>
      <c r="PN288" s="26" t="s">
        <v>167</v>
      </c>
      <c r="PO288" s="241" t="s">
        <v>168</v>
      </c>
      <c r="PP288" s="243" t="s">
        <v>169</v>
      </c>
      <c r="PQ288" s="79" t="s">
        <v>170</v>
      </c>
      <c r="PT288" s="30" t="s">
        <v>164</v>
      </c>
      <c r="PU288" s="77" t="s">
        <v>165</v>
      </c>
      <c r="PV288" s="241" t="s">
        <v>166</v>
      </c>
      <c r="PW288" s="26" t="s">
        <v>167</v>
      </c>
      <c r="PX288" s="241" t="s">
        <v>168</v>
      </c>
      <c r="PY288" s="243" t="s">
        <v>169</v>
      </c>
      <c r="PZ288" s="79" t="s">
        <v>170</v>
      </c>
      <c r="QC288" s="30" t="s">
        <v>164</v>
      </c>
      <c r="QD288" s="77" t="s">
        <v>165</v>
      </c>
      <c r="QE288" s="241" t="s">
        <v>166</v>
      </c>
      <c r="QF288" s="26" t="s">
        <v>167</v>
      </c>
      <c r="QG288" s="241" t="s">
        <v>168</v>
      </c>
      <c r="QH288" s="243" t="s">
        <v>169</v>
      </c>
      <c r="QI288" s="79" t="s">
        <v>170</v>
      </c>
      <c r="QL288" s="30" t="s">
        <v>164</v>
      </c>
      <c r="QM288" s="77" t="s">
        <v>165</v>
      </c>
      <c r="QN288" s="241" t="s">
        <v>166</v>
      </c>
      <c r="QO288" s="26" t="s">
        <v>167</v>
      </c>
      <c r="QP288" s="241" t="s">
        <v>168</v>
      </c>
      <c r="QQ288" s="243" t="s">
        <v>169</v>
      </c>
      <c r="QR288" s="79" t="s">
        <v>170</v>
      </c>
      <c r="QU288" s="30" t="s">
        <v>164</v>
      </c>
      <c r="QV288" s="77" t="s">
        <v>165</v>
      </c>
      <c r="QW288" s="241" t="s">
        <v>166</v>
      </c>
      <c r="QX288" s="26" t="s">
        <v>167</v>
      </c>
      <c r="QY288" s="241" t="s">
        <v>168</v>
      </c>
      <c r="QZ288" s="243" t="s">
        <v>169</v>
      </c>
      <c r="RA288" s="79" t="s">
        <v>170</v>
      </c>
      <c r="RD288" s="30" t="s">
        <v>164</v>
      </c>
      <c r="RE288" s="77" t="s">
        <v>165</v>
      </c>
      <c r="RF288" s="241" t="s">
        <v>166</v>
      </c>
      <c r="RG288" s="26" t="s">
        <v>167</v>
      </c>
      <c r="RH288" s="241" t="s">
        <v>168</v>
      </c>
      <c r="RI288" s="243" t="s">
        <v>169</v>
      </c>
      <c r="RJ288" s="79" t="s">
        <v>170</v>
      </c>
      <c r="RM288" s="30" t="s">
        <v>164</v>
      </c>
      <c r="RN288" s="77" t="s">
        <v>165</v>
      </c>
      <c r="RO288" s="241" t="s">
        <v>166</v>
      </c>
      <c r="RP288" s="26" t="s">
        <v>167</v>
      </c>
      <c r="RQ288" s="241" t="s">
        <v>168</v>
      </c>
      <c r="RR288" s="243" t="s">
        <v>169</v>
      </c>
      <c r="RS288" s="79" t="s">
        <v>170</v>
      </c>
      <c r="RV288" s="30" t="s">
        <v>164</v>
      </c>
      <c r="RW288" s="77" t="s">
        <v>165</v>
      </c>
      <c r="RX288" s="241" t="s">
        <v>166</v>
      </c>
      <c r="RY288" s="26" t="s">
        <v>167</v>
      </c>
      <c r="RZ288" s="241" t="s">
        <v>168</v>
      </c>
      <c r="SA288" s="243" t="s">
        <v>169</v>
      </c>
      <c r="SB288" s="79" t="s">
        <v>170</v>
      </c>
      <c r="SE288" s="30" t="s">
        <v>164</v>
      </c>
      <c r="SF288" s="77" t="s">
        <v>165</v>
      </c>
      <c r="SG288" s="241" t="s">
        <v>166</v>
      </c>
      <c r="SH288" s="26" t="s">
        <v>167</v>
      </c>
      <c r="SI288" s="241" t="s">
        <v>168</v>
      </c>
      <c r="SJ288" s="243" t="s">
        <v>169</v>
      </c>
      <c r="SK288" s="79" t="s">
        <v>170</v>
      </c>
      <c r="SN288" s="30" t="s">
        <v>164</v>
      </c>
      <c r="SO288" s="77" t="s">
        <v>165</v>
      </c>
      <c r="SP288" s="241" t="s">
        <v>166</v>
      </c>
      <c r="SQ288" s="26" t="s">
        <v>167</v>
      </c>
      <c r="SR288" s="241" t="s">
        <v>168</v>
      </c>
      <c r="SS288" s="243" t="s">
        <v>169</v>
      </c>
      <c r="ST288" s="79" t="s">
        <v>170</v>
      </c>
      <c r="SW288" s="30" t="s">
        <v>164</v>
      </c>
      <c r="SX288" s="77" t="s">
        <v>165</v>
      </c>
      <c r="SY288" s="241" t="s">
        <v>166</v>
      </c>
      <c r="SZ288" s="26" t="s">
        <v>167</v>
      </c>
      <c r="TA288" s="241" t="s">
        <v>168</v>
      </c>
      <c r="TB288" s="243" t="s">
        <v>169</v>
      </c>
      <c r="TC288" s="79" t="s">
        <v>170</v>
      </c>
      <c r="TF288" s="30" t="s">
        <v>164</v>
      </c>
      <c r="TG288" s="77" t="s">
        <v>165</v>
      </c>
      <c r="TH288" s="241" t="s">
        <v>166</v>
      </c>
      <c r="TI288" s="26" t="s">
        <v>167</v>
      </c>
      <c r="TJ288" s="241" t="s">
        <v>168</v>
      </c>
      <c r="TK288" s="243" t="s">
        <v>169</v>
      </c>
      <c r="TL288" s="79" t="s">
        <v>170</v>
      </c>
      <c r="TO288" s="30" t="s">
        <v>164</v>
      </c>
      <c r="TP288" s="77" t="s">
        <v>165</v>
      </c>
      <c r="TQ288" s="241" t="s">
        <v>166</v>
      </c>
      <c r="TR288" s="26" t="s">
        <v>167</v>
      </c>
      <c r="TS288" s="241" t="s">
        <v>168</v>
      </c>
      <c r="TT288" s="243" t="s">
        <v>169</v>
      </c>
      <c r="TU288" s="79" t="s">
        <v>170</v>
      </c>
      <c r="TX288" s="30" t="s">
        <v>164</v>
      </c>
      <c r="TY288" s="77" t="s">
        <v>165</v>
      </c>
      <c r="TZ288" s="241" t="s">
        <v>166</v>
      </c>
      <c r="UA288" s="26" t="s">
        <v>167</v>
      </c>
      <c r="UB288" s="241" t="s">
        <v>168</v>
      </c>
      <c r="UC288" s="243" t="s">
        <v>169</v>
      </c>
      <c r="UD288" s="79" t="s">
        <v>170</v>
      </c>
      <c r="UG288" s="30" t="s">
        <v>164</v>
      </c>
      <c r="UH288" s="77" t="s">
        <v>165</v>
      </c>
      <c r="UI288" s="241" t="s">
        <v>166</v>
      </c>
      <c r="UJ288" s="26" t="s">
        <v>167</v>
      </c>
      <c r="UK288" s="241" t="s">
        <v>168</v>
      </c>
      <c r="UL288" s="243" t="s">
        <v>169</v>
      </c>
      <c r="UM288" s="79" t="s">
        <v>170</v>
      </c>
      <c r="UP288" s="30" t="s">
        <v>164</v>
      </c>
      <c r="UQ288" s="77" t="s">
        <v>165</v>
      </c>
      <c r="UR288" s="241" t="s">
        <v>166</v>
      </c>
      <c r="US288" s="26" t="s">
        <v>167</v>
      </c>
      <c r="UT288" s="241" t="s">
        <v>168</v>
      </c>
      <c r="UU288" s="243" t="s">
        <v>169</v>
      </c>
      <c r="UV288" s="79" t="s">
        <v>170</v>
      </c>
      <c r="UY288" s="30" t="s">
        <v>164</v>
      </c>
      <c r="UZ288" s="77" t="s">
        <v>165</v>
      </c>
      <c r="VA288" s="241" t="s">
        <v>166</v>
      </c>
      <c r="VB288" s="26" t="s">
        <v>167</v>
      </c>
      <c r="VC288" s="241" t="s">
        <v>168</v>
      </c>
      <c r="VD288" s="243" t="s">
        <v>169</v>
      </c>
      <c r="VE288" s="79" t="s">
        <v>170</v>
      </c>
      <c r="VH288" s="30" t="s">
        <v>164</v>
      </c>
      <c r="VI288" s="77" t="s">
        <v>165</v>
      </c>
      <c r="VJ288" s="241" t="s">
        <v>166</v>
      </c>
      <c r="VK288" s="26" t="s">
        <v>167</v>
      </c>
      <c r="VL288" s="241" t="s">
        <v>168</v>
      </c>
      <c r="VM288" s="243" t="s">
        <v>169</v>
      </c>
      <c r="VN288" s="79" t="s">
        <v>170</v>
      </c>
      <c r="VQ288" s="30" t="s">
        <v>164</v>
      </c>
      <c r="VR288" s="77" t="s">
        <v>165</v>
      </c>
      <c r="VS288" s="241" t="s">
        <v>166</v>
      </c>
      <c r="VT288" s="26" t="s">
        <v>167</v>
      </c>
      <c r="VU288" s="241" t="s">
        <v>168</v>
      </c>
      <c r="VV288" s="243" t="s">
        <v>169</v>
      </c>
      <c r="VW288" s="79" t="s">
        <v>170</v>
      </c>
      <c r="VZ288" s="30" t="s">
        <v>164</v>
      </c>
      <c r="WA288" s="77" t="s">
        <v>165</v>
      </c>
      <c r="WB288" s="241" t="s">
        <v>166</v>
      </c>
      <c r="WC288" s="26" t="s">
        <v>167</v>
      </c>
      <c r="WD288" s="241" t="s">
        <v>168</v>
      </c>
      <c r="WE288" s="243" t="s">
        <v>169</v>
      </c>
      <c r="WF288" s="79" t="s">
        <v>170</v>
      </c>
      <c r="WI288" s="30" t="s">
        <v>164</v>
      </c>
      <c r="WJ288" s="77" t="s">
        <v>165</v>
      </c>
      <c r="WK288" s="241" t="s">
        <v>166</v>
      </c>
      <c r="WL288" s="26" t="s">
        <v>167</v>
      </c>
      <c r="WM288" s="241" t="s">
        <v>168</v>
      </c>
      <c r="WN288" s="243" t="s">
        <v>169</v>
      </c>
      <c r="WO288" s="79" t="s">
        <v>170</v>
      </c>
      <c r="WR288" s="30" t="s">
        <v>164</v>
      </c>
      <c r="WS288" s="77" t="s">
        <v>165</v>
      </c>
      <c r="WT288" s="241" t="s">
        <v>166</v>
      </c>
      <c r="WU288" s="26" t="s">
        <v>167</v>
      </c>
      <c r="WV288" s="241" t="s">
        <v>168</v>
      </c>
      <c r="WW288" s="243" t="s">
        <v>169</v>
      </c>
      <c r="WX288" s="79" t="s">
        <v>170</v>
      </c>
      <c r="XA288" s="30" t="s">
        <v>164</v>
      </c>
      <c r="XB288" s="77" t="s">
        <v>165</v>
      </c>
      <c r="XC288" s="241" t="s">
        <v>166</v>
      </c>
      <c r="XD288" s="26" t="s">
        <v>167</v>
      </c>
      <c r="XE288" s="241" t="s">
        <v>168</v>
      </c>
      <c r="XF288" s="243" t="s">
        <v>169</v>
      </c>
      <c r="XG288" s="79" t="s">
        <v>170</v>
      </c>
      <c r="XJ288" s="30" t="s">
        <v>164</v>
      </c>
      <c r="XK288" s="77" t="s">
        <v>165</v>
      </c>
      <c r="XL288" s="241" t="s">
        <v>166</v>
      </c>
      <c r="XM288" s="26" t="s">
        <v>167</v>
      </c>
      <c r="XN288" s="241" t="s">
        <v>168</v>
      </c>
      <c r="XO288" s="243" t="s">
        <v>169</v>
      </c>
      <c r="XP288" s="79" t="s">
        <v>170</v>
      </c>
      <c r="XS288" s="30" t="s">
        <v>164</v>
      </c>
      <c r="XT288" s="77" t="s">
        <v>165</v>
      </c>
      <c r="XU288" s="241" t="s">
        <v>166</v>
      </c>
      <c r="XV288" s="26" t="s">
        <v>167</v>
      </c>
      <c r="XW288" s="241" t="s">
        <v>168</v>
      </c>
      <c r="XX288" s="243" t="s">
        <v>169</v>
      </c>
      <c r="XY288" s="79" t="s">
        <v>170</v>
      </c>
      <c r="YB288" s="30" t="s">
        <v>164</v>
      </c>
      <c r="YC288" s="77" t="s">
        <v>165</v>
      </c>
      <c r="YD288" s="241" t="s">
        <v>166</v>
      </c>
      <c r="YE288" s="26" t="s">
        <v>167</v>
      </c>
      <c r="YF288" s="241" t="s">
        <v>168</v>
      </c>
      <c r="YG288" s="243" t="s">
        <v>169</v>
      </c>
      <c r="YH288" s="79" t="s">
        <v>170</v>
      </c>
      <c r="YK288" s="30" t="s">
        <v>164</v>
      </c>
      <c r="YL288" s="77" t="s">
        <v>165</v>
      </c>
      <c r="YM288" s="241" t="s">
        <v>166</v>
      </c>
      <c r="YN288" s="26" t="s">
        <v>167</v>
      </c>
      <c r="YO288" s="241" t="s">
        <v>168</v>
      </c>
      <c r="YP288" s="243" t="s">
        <v>169</v>
      </c>
      <c r="YQ288" s="79" t="s">
        <v>170</v>
      </c>
      <c r="YT288" s="30" t="s">
        <v>164</v>
      </c>
      <c r="YU288" s="77" t="s">
        <v>165</v>
      </c>
      <c r="YV288" s="241" t="s">
        <v>166</v>
      </c>
      <c r="YW288" s="26" t="s">
        <v>167</v>
      </c>
      <c r="YX288" s="241" t="s">
        <v>168</v>
      </c>
      <c r="YY288" s="243" t="s">
        <v>169</v>
      </c>
      <c r="YZ288" s="79" t="s">
        <v>170</v>
      </c>
      <c r="ZC288" s="30" t="s">
        <v>164</v>
      </c>
      <c r="ZD288" s="77" t="s">
        <v>165</v>
      </c>
      <c r="ZE288" s="241" t="s">
        <v>166</v>
      </c>
      <c r="ZF288" s="26" t="s">
        <v>167</v>
      </c>
      <c r="ZG288" s="241" t="s">
        <v>168</v>
      </c>
      <c r="ZH288" s="243" t="s">
        <v>169</v>
      </c>
      <c r="ZI288" s="79" t="s">
        <v>170</v>
      </c>
      <c r="ZL288" s="30" t="s">
        <v>164</v>
      </c>
      <c r="ZM288" s="77" t="s">
        <v>165</v>
      </c>
      <c r="ZN288" s="241" t="s">
        <v>166</v>
      </c>
      <c r="ZO288" s="26" t="s">
        <v>167</v>
      </c>
      <c r="ZP288" s="241" t="s">
        <v>168</v>
      </c>
      <c r="ZQ288" s="243" t="s">
        <v>169</v>
      </c>
      <c r="ZR288" s="79" t="s">
        <v>170</v>
      </c>
      <c r="ZU288" s="30" t="s">
        <v>164</v>
      </c>
      <c r="ZV288" s="77" t="s">
        <v>165</v>
      </c>
      <c r="ZW288" s="241" t="s">
        <v>166</v>
      </c>
      <c r="ZX288" s="26" t="s">
        <v>167</v>
      </c>
      <c r="ZY288" s="241" t="s">
        <v>168</v>
      </c>
      <c r="ZZ288" s="243" t="s">
        <v>169</v>
      </c>
      <c r="AAA288" s="79" t="s">
        <v>170</v>
      </c>
      <c r="AAD288" s="30" t="s">
        <v>164</v>
      </c>
      <c r="AAE288" s="77" t="s">
        <v>165</v>
      </c>
      <c r="AAF288" s="241" t="s">
        <v>166</v>
      </c>
      <c r="AAG288" s="26" t="s">
        <v>167</v>
      </c>
      <c r="AAH288" s="241" t="s">
        <v>168</v>
      </c>
      <c r="AAI288" s="243" t="s">
        <v>169</v>
      </c>
      <c r="AAJ288" s="79" t="s">
        <v>170</v>
      </c>
      <c r="AAM288" s="30" t="s">
        <v>164</v>
      </c>
      <c r="AAN288" s="77" t="s">
        <v>165</v>
      </c>
      <c r="AAO288" s="241" t="s">
        <v>166</v>
      </c>
      <c r="AAP288" s="26" t="s">
        <v>167</v>
      </c>
      <c r="AAQ288" s="241" t="s">
        <v>168</v>
      </c>
      <c r="AAR288" s="243" t="s">
        <v>169</v>
      </c>
      <c r="AAS288" s="79" t="s">
        <v>170</v>
      </c>
      <c r="AAV288" s="30" t="s">
        <v>164</v>
      </c>
      <c r="AAW288" s="77" t="s">
        <v>165</v>
      </c>
      <c r="AAX288" s="241" t="s">
        <v>166</v>
      </c>
      <c r="AAY288" s="26" t="s">
        <v>167</v>
      </c>
      <c r="AAZ288" s="241" t="s">
        <v>168</v>
      </c>
      <c r="ABA288" s="243" t="s">
        <v>169</v>
      </c>
      <c r="ABB288" s="79" t="s">
        <v>170</v>
      </c>
      <c r="ABE288" s="30" t="s">
        <v>164</v>
      </c>
      <c r="ABF288" s="77" t="s">
        <v>165</v>
      </c>
      <c r="ABG288" s="241" t="s">
        <v>166</v>
      </c>
      <c r="ABH288" s="26" t="s">
        <v>167</v>
      </c>
      <c r="ABI288" s="241" t="s">
        <v>168</v>
      </c>
      <c r="ABJ288" s="243" t="s">
        <v>169</v>
      </c>
      <c r="ABK288" s="79" t="s">
        <v>170</v>
      </c>
    </row>
    <row r="289" spans="2:739" s="6" customFormat="1" ht="15" customHeight="1" outlineLevel="1" thickBot="1">
      <c r="B289" s="480"/>
      <c r="C289" s="49" t="s">
        <v>171</v>
      </c>
      <c r="D289" s="50" t="s">
        <v>172</v>
      </c>
      <c r="E289" s="50" t="s">
        <v>172</v>
      </c>
      <c r="F289" s="50" t="s">
        <v>172</v>
      </c>
      <c r="G289" s="51" t="s">
        <v>172</v>
      </c>
      <c r="H289" s="52">
        <f>H285</f>
        <v>236936.6</v>
      </c>
      <c r="I289" s="328"/>
      <c r="L289" s="49" t="s">
        <v>171</v>
      </c>
      <c r="M289" s="50" t="s">
        <v>172</v>
      </c>
      <c r="N289" s="50" t="s">
        <v>172</v>
      </c>
      <c r="O289" s="50" t="s">
        <v>172</v>
      </c>
      <c r="P289" s="51" t="s">
        <v>172</v>
      </c>
      <c r="Q289" s="52">
        <f>Q285</f>
        <v>53017.600000000071</v>
      </c>
      <c r="R289" s="53"/>
      <c r="U289" s="49" t="s">
        <v>171</v>
      </c>
      <c r="V289" s="50" t="s">
        <v>172</v>
      </c>
      <c r="W289" s="50" t="s">
        <v>172</v>
      </c>
      <c r="X289" s="50" t="s">
        <v>172</v>
      </c>
      <c r="Y289" s="51" t="s">
        <v>172</v>
      </c>
      <c r="Z289" s="52">
        <f>Z285</f>
        <v>42674.199999999968</v>
      </c>
      <c r="AA289" s="53"/>
      <c r="AD289" s="49" t="s">
        <v>171</v>
      </c>
      <c r="AE289" s="50" t="s">
        <v>172</v>
      </c>
      <c r="AF289" s="50" t="s">
        <v>172</v>
      </c>
      <c r="AG289" s="50" t="s">
        <v>172</v>
      </c>
      <c r="AH289" s="51" t="s">
        <v>172</v>
      </c>
      <c r="AI289" s="52">
        <f>AI285</f>
        <v>4522.2000000000189</v>
      </c>
      <c r="AJ289" s="53"/>
      <c r="AM289" s="49" t="s">
        <v>171</v>
      </c>
      <c r="AN289" s="429" t="s">
        <v>172</v>
      </c>
      <c r="AO289" s="429" t="s">
        <v>172</v>
      </c>
      <c r="AP289" s="429" t="s">
        <v>172</v>
      </c>
      <c r="AQ289" s="430" t="s">
        <v>172</v>
      </c>
      <c r="AR289" s="431">
        <f>AR285</f>
        <v>0</v>
      </c>
      <c r="AS289" s="53"/>
      <c r="AV289" s="49" t="s">
        <v>171</v>
      </c>
      <c r="AW289" s="50" t="s">
        <v>172</v>
      </c>
      <c r="AX289" s="50" t="s">
        <v>172</v>
      </c>
      <c r="AY289" s="50" t="s">
        <v>172</v>
      </c>
      <c r="AZ289" s="51" t="s">
        <v>172</v>
      </c>
      <c r="BA289" s="52">
        <f>BA285</f>
        <v>124.99999999999523</v>
      </c>
      <c r="BB289" s="53"/>
      <c r="BE289" s="49" t="s">
        <v>171</v>
      </c>
      <c r="BF289" s="50" t="s">
        <v>172</v>
      </c>
      <c r="BG289" s="50" t="s">
        <v>172</v>
      </c>
      <c r="BH289" s="50" t="s">
        <v>172</v>
      </c>
      <c r="BI289" s="51" t="s">
        <v>172</v>
      </c>
      <c r="BJ289" s="52">
        <f>BJ285</f>
        <v>26151.899999999998</v>
      </c>
      <c r="BK289" s="53"/>
      <c r="BN289" s="49" t="s">
        <v>171</v>
      </c>
      <c r="BO289" s="50" t="s">
        <v>172</v>
      </c>
      <c r="BP289" s="50" t="s">
        <v>172</v>
      </c>
      <c r="BQ289" s="50" t="s">
        <v>172</v>
      </c>
      <c r="BR289" s="51" t="s">
        <v>172</v>
      </c>
      <c r="BS289" s="52">
        <f>BS285</f>
        <v>0</v>
      </c>
      <c r="BT289" s="53"/>
      <c r="BW289" s="49" t="s">
        <v>171</v>
      </c>
      <c r="BX289" s="50" t="s">
        <v>172</v>
      </c>
      <c r="BY289" s="50" t="s">
        <v>172</v>
      </c>
      <c r="BZ289" s="50" t="s">
        <v>172</v>
      </c>
      <c r="CA289" s="51" t="s">
        <v>172</v>
      </c>
      <c r="CB289" s="52">
        <f>CB285</f>
        <v>2097.3399999999992</v>
      </c>
      <c r="CC289" s="53"/>
      <c r="CF289" s="49" t="s">
        <v>171</v>
      </c>
      <c r="CG289" s="50" t="s">
        <v>172</v>
      </c>
      <c r="CH289" s="50" t="s">
        <v>172</v>
      </c>
      <c r="CI289" s="50" t="s">
        <v>172</v>
      </c>
      <c r="CJ289" s="51" t="s">
        <v>172</v>
      </c>
      <c r="CK289" s="52">
        <f>CK285</f>
        <v>-10277.079999999998</v>
      </c>
      <c r="CL289" s="53"/>
      <c r="CO289" s="49" t="s">
        <v>171</v>
      </c>
      <c r="CP289" s="429" t="s">
        <v>172</v>
      </c>
      <c r="CQ289" s="429" t="s">
        <v>172</v>
      </c>
      <c r="CR289" s="429" t="s">
        <v>172</v>
      </c>
      <c r="CS289" s="430" t="s">
        <v>172</v>
      </c>
      <c r="CT289" s="431">
        <f>CT285</f>
        <v>0</v>
      </c>
      <c r="CU289" s="53"/>
      <c r="CX289" s="49" t="s">
        <v>171</v>
      </c>
      <c r="CY289" s="50" t="s">
        <v>172</v>
      </c>
      <c r="CZ289" s="50" t="s">
        <v>172</v>
      </c>
      <c r="DA289" s="50" t="s">
        <v>172</v>
      </c>
      <c r="DB289" s="51" t="s">
        <v>172</v>
      </c>
      <c r="DC289" s="52">
        <f>DC285</f>
        <v>27438.200000000012</v>
      </c>
      <c r="DD289" s="53"/>
      <c r="DG289" s="49" t="s">
        <v>171</v>
      </c>
      <c r="DH289" s="50" t="s">
        <v>172</v>
      </c>
      <c r="DI289" s="142" t="s">
        <v>172</v>
      </c>
      <c r="DJ289" s="50" t="s">
        <v>172</v>
      </c>
      <c r="DK289" s="143" t="s">
        <v>172</v>
      </c>
      <c r="DL289" s="144">
        <f>DL285</f>
        <v>18782.299999999981</v>
      </c>
      <c r="DM289" s="53"/>
      <c r="DP289" s="49" t="s">
        <v>171</v>
      </c>
      <c r="DQ289" s="50" t="s">
        <v>172</v>
      </c>
      <c r="DR289" s="50" t="s">
        <v>172</v>
      </c>
      <c r="DS289" s="50" t="s">
        <v>172</v>
      </c>
      <c r="DT289" s="51" t="s">
        <v>172</v>
      </c>
      <c r="DU289" s="52">
        <f>DU285</f>
        <v>5800</v>
      </c>
      <c r="DV289" s="53"/>
      <c r="DY289" s="49" t="s">
        <v>171</v>
      </c>
      <c r="DZ289" s="50" t="s">
        <v>172</v>
      </c>
      <c r="EA289" s="50" t="s">
        <v>172</v>
      </c>
      <c r="EB289" s="50" t="s">
        <v>172</v>
      </c>
      <c r="EC289" s="143" t="s">
        <v>172</v>
      </c>
      <c r="ED289" s="144">
        <f>ED285</f>
        <v>0</v>
      </c>
      <c r="EE289" s="53"/>
      <c r="EH289" s="49" t="s">
        <v>171</v>
      </c>
      <c r="EI289" s="50" t="s">
        <v>172</v>
      </c>
      <c r="EJ289" s="50" t="s">
        <v>172</v>
      </c>
      <c r="EK289" s="50" t="s">
        <v>172</v>
      </c>
      <c r="EL289" s="143" t="s">
        <v>172</v>
      </c>
      <c r="EM289" s="144">
        <f>EM285</f>
        <v>0</v>
      </c>
      <c r="EN289" s="53"/>
      <c r="EQ289" s="49" t="s">
        <v>171</v>
      </c>
      <c r="ER289" s="50" t="s">
        <v>172</v>
      </c>
      <c r="ES289" s="50" t="s">
        <v>172</v>
      </c>
      <c r="ET289" s="50" t="s">
        <v>172</v>
      </c>
      <c r="EU289" s="51" t="s">
        <v>172</v>
      </c>
      <c r="EV289" s="52">
        <f>EV285</f>
        <v>0</v>
      </c>
      <c r="EW289" s="53"/>
      <c r="EZ289" s="49" t="s">
        <v>171</v>
      </c>
      <c r="FA289" s="50" t="s">
        <v>172</v>
      </c>
      <c r="FB289" s="50" t="s">
        <v>172</v>
      </c>
      <c r="FC289" s="50" t="s">
        <v>172</v>
      </c>
      <c r="FD289" s="143" t="s">
        <v>172</v>
      </c>
      <c r="FE289" s="144">
        <f>FE285</f>
        <v>0</v>
      </c>
      <c r="FF289" s="53"/>
      <c r="FI289" s="49" t="s">
        <v>171</v>
      </c>
      <c r="FJ289" s="50" t="s">
        <v>172</v>
      </c>
      <c r="FK289" s="50" t="s">
        <v>172</v>
      </c>
      <c r="FL289" s="50" t="s">
        <v>172</v>
      </c>
      <c r="FM289" s="143" t="s">
        <v>172</v>
      </c>
      <c r="FN289" s="144">
        <f>FN285</f>
        <v>0</v>
      </c>
      <c r="FO289" s="53"/>
      <c r="FR289" s="49" t="s">
        <v>171</v>
      </c>
      <c r="FS289" s="50" t="s">
        <v>172</v>
      </c>
      <c r="FT289" s="50" t="s">
        <v>172</v>
      </c>
      <c r="FU289" s="50" t="s">
        <v>172</v>
      </c>
      <c r="FV289" s="143" t="s">
        <v>172</v>
      </c>
      <c r="FW289" s="144">
        <f>FW285</f>
        <v>2020</v>
      </c>
      <c r="FX289" s="53"/>
      <c r="GA289" s="49" t="s">
        <v>171</v>
      </c>
      <c r="GB289" s="50" t="s">
        <v>172</v>
      </c>
      <c r="GC289" s="50" t="s">
        <v>172</v>
      </c>
      <c r="GD289" s="50" t="s">
        <v>172</v>
      </c>
      <c r="GE289" s="143" t="s">
        <v>172</v>
      </c>
      <c r="GF289" s="144">
        <f>GF285</f>
        <v>960</v>
      </c>
      <c r="GG289" s="53"/>
      <c r="GI289" s="22"/>
      <c r="GJ289" s="49" t="s">
        <v>171</v>
      </c>
      <c r="GK289" s="50" t="s">
        <v>172</v>
      </c>
      <c r="GL289" s="50" t="s">
        <v>172</v>
      </c>
      <c r="GM289" s="50" t="s">
        <v>172</v>
      </c>
      <c r="GN289" s="143" t="s">
        <v>172</v>
      </c>
      <c r="GO289" s="144">
        <f>GO285</f>
        <v>1760</v>
      </c>
      <c r="GP289" s="53"/>
      <c r="GS289" s="49" t="s">
        <v>171</v>
      </c>
      <c r="GT289" s="50" t="s">
        <v>172</v>
      </c>
      <c r="GU289" s="50" t="s">
        <v>172</v>
      </c>
      <c r="GV289" s="50" t="s">
        <v>172</v>
      </c>
      <c r="GW289" s="143" t="s">
        <v>172</v>
      </c>
      <c r="GX289" s="144">
        <f>GX285</f>
        <v>400</v>
      </c>
      <c r="GY289" s="53"/>
      <c r="HB289" s="49" t="s">
        <v>171</v>
      </c>
      <c r="HC289" s="50" t="s">
        <v>172</v>
      </c>
      <c r="HD289" s="50" t="s">
        <v>172</v>
      </c>
      <c r="HE289" s="50" t="s">
        <v>172</v>
      </c>
      <c r="HF289" s="143" t="s">
        <v>172</v>
      </c>
      <c r="HG289" s="144">
        <f>HG285</f>
        <v>3600</v>
      </c>
      <c r="HH289" s="53"/>
      <c r="HK289" s="49" t="s">
        <v>171</v>
      </c>
      <c r="HL289" s="50" t="s">
        <v>172</v>
      </c>
      <c r="HM289" s="50" t="s">
        <v>172</v>
      </c>
      <c r="HN289" s="50" t="s">
        <v>172</v>
      </c>
      <c r="HO289" s="143" t="s">
        <v>172</v>
      </c>
      <c r="HP289" s="144">
        <f>HP285</f>
        <v>0</v>
      </c>
      <c r="HQ289" s="53"/>
      <c r="HU289" s="49" t="s">
        <v>171</v>
      </c>
      <c r="HV289" s="50" t="s">
        <v>172</v>
      </c>
      <c r="HW289" s="142" t="s">
        <v>172</v>
      </c>
      <c r="HX289" s="50" t="s">
        <v>172</v>
      </c>
      <c r="HY289" s="143" t="s">
        <v>172</v>
      </c>
      <c r="HZ289" s="144">
        <f>HZ285</f>
        <v>6120</v>
      </c>
      <c r="IA289" s="53"/>
      <c r="ID289" s="49" t="s">
        <v>171</v>
      </c>
      <c r="IE289" s="50" t="s">
        <v>172</v>
      </c>
      <c r="IF289" s="142" t="s">
        <v>172</v>
      </c>
      <c r="IG289" s="50" t="s">
        <v>172</v>
      </c>
      <c r="IH289" s="143" t="s">
        <v>172</v>
      </c>
      <c r="II289" s="144">
        <f>II285</f>
        <v>0</v>
      </c>
      <c r="IJ289" s="53"/>
      <c r="IM289" s="49" t="s">
        <v>171</v>
      </c>
      <c r="IN289" s="50" t="s">
        <v>172</v>
      </c>
      <c r="IO289" s="142" t="s">
        <v>172</v>
      </c>
      <c r="IP289" s="50" t="s">
        <v>172</v>
      </c>
      <c r="IQ289" s="143" t="s">
        <v>172</v>
      </c>
      <c r="IR289" s="144">
        <f>IR285</f>
        <v>0</v>
      </c>
      <c r="IS289" s="53"/>
      <c r="IV289" s="49" t="s">
        <v>171</v>
      </c>
      <c r="IW289" s="50" t="s">
        <v>172</v>
      </c>
      <c r="IX289" s="142" t="s">
        <v>172</v>
      </c>
      <c r="IY289" s="142" t="s">
        <v>172</v>
      </c>
      <c r="IZ289" s="143" t="s">
        <v>172</v>
      </c>
      <c r="JA289" s="144">
        <f>JA285</f>
        <v>2820</v>
      </c>
      <c r="JB289" s="53"/>
      <c r="JE289" s="49" t="s">
        <v>171</v>
      </c>
      <c r="JF289" s="50" t="s">
        <v>172</v>
      </c>
      <c r="JG289" s="142" t="s">
        <v>172</v>
      </c>
      <c r="JH289" s="142" t="s">
        <v>172</v>
      </c>
      <c r="JI289" s="143" t="s">
        <v>172</v>
      </c>
      <c r="JJ289" s="144">
        <f>JJ285</f>
        <v>0</v>
      </c>
      <c r="JK289" s="53"/>
      <c r="JN289" s="49" t="s">
        <v>171</v>
      </c>
      <c r="JO289" s="50" t="s">
        <v>172</v>
      </c>
      <c r="JP289" s="142" t="s">
        <v>172</v>
      </c>
      <c r="JQ289" s="142" t="s">
        <v>172</v>
      </c>
      <c r="JR289" s="143" t="s">
        <v>172</v>
      </c>
      <c r="JS289" s="144">
        <f>JS285</f>
        <v>0</v>
      </c>
      <c r="JT289" s="53"/>
      <c r="JW289" s="49" t="s">
        <v>171</v>
      </c>
      <c r="JX289" s="50" t="s">
        <v>172</v>
      </c>
      <c r="JY289" s="142" t="s">
        <v>172</v>
      </c>
      <c r="JZ289" s="142" t="s">
        <v>172</v>
      </c>
      <c r="KA289" s="143" t="s">
        <v>172</v>
      </c>
      <c r="KB289" s="144">
        <f>KB285</f>
        <v>2540</v>
      </c>
      <c r="KC289" s="53"/>
      <c r="KF289" s="49" t="s">
        <v>171</v>
      </c>
      <c r="KG289" s="50" t="s">
        <v>172</v>
      </c>
      <c r="KH289" s="142" t="s">
        <v>172</v>
      </c>
      <c r="KI289" s="50" t="s">
        <v>172</v>
      </c>
      <c r="KJ289" s="143" t="s">
        <v>172</v>
      </c>
      <c r="KK289" s="144">
        <f>KK285</f>
        <v>2359.5</v>
      </c>
      <c r="KL289" s="53"/>
      <c r="KO289" s="49" t="s">
        <v>171</v>
      </c>
      <c r="KP289" s="50" t="s">
        <v>172</v>
      </c>
      <c r="KQ289" s="142" t="s">
        <v>172</v>
      </c>
      <c r="KR289" s="50" t="s">
        <v>172</v>
      </c>
      <c r="KS289" s="143" t="s">
        <v>172</v>
      </c>
      <c r="KT289" s="144">
        <f>KT285</f>
        <v>1890</v>
      </c>
      <c r="KU289" s="53"/>
      <c r="KW289" s="22"/>
      <c r="KX289" s="49" t="s">
        <v>171</v>
      </c>
      <c r="KY289" s="50" t="s">
        <v>172</v>
      </c>
      <c r="KZ289" s="142" t="s">
        <v>172</v>
      </c>
      <c r="LA289" s="50" t="s">
        <v>172</v>
      </c>
      <c r="LB289" s="143" t="s">
        <v>172</v>
      </c>
      <c r="LC289" s="144">
        <f>LC285</f>
        <v>3690</v>
      </c>
      <c r="LD289" s="53"/>
      <c r="LG289" s="49" t="s">
        <v>171</v>
      </c>
      <c r="LH289" s="50" t="s">
        <v>172</v>
      </c>
      <c r="LI289" s="142" t="s">
        <v>172</v>
      </c>
      <c r="LJ289" s="142" t="s">
        <v>172</v>
      </c>
      <c r="LK289" s="143" t="s">
        <v>172</v>
      </c>
      <c r="LL289" s="144">
        <f>LL285</f>
        <v>4000</v>
      </c>
      <c r="LM289" s="53"/>
      <c r="LP289" s="49" t="s">
        <v>171</v>
      </c>
      <c r="LQ289" s="50" t="s">
        <v>172</v>
      </c>
      <c r="LR289" s="142" t="s">
        <v>172</v>
      </c>
      <c r="LS289" s="50" t="s">
        <v>172</v>
      </c>
      <c r="LT289" s="143" t="s">
        <v>172</v>
      </c>
      <c r="LU289" s="144">
        <f>LU285</f>
        <v>0</v>
      </c>
      <c r="LV289" s="53"/>
      <c r="LY289" s="49" t="s">
        <v>171</v>
      </c>
      <c r="LZ289" s="50" t="s">
        <v>172</v>
      </c>
      <c r="MA289" s="142" t="s">
        <v>172</v>
      </c>
      <c r="MB289" s="142" t="s">
        <v>172</v>
      </c>
      <c r="MC289" s="143" t="s">
        <v>172</v>
      </c>
      <c r="MD289" s="144">
        <f>MD285</f>
        <v>0</v>
      </c>
      <c r="ME289" s="53"/>
      <c r="MH289" s="49" t="s">
        <v>171</v>
      </c>
      <c r="MI289" s="50" t="s">
        <v>172</v>
      </c>
      <c r="MJ289" s="142" t="s">
        <v>172</v>
      </c>
      <c r="MK289" s="142" t="s">
        <v>172</v>
      </c>
      <c r="ML289" s="143" t="s">
        <v>172</v>
      </c>
      <c r="MM289" s="144">
        <f>MM285</f>
        <v>0</v>
      </c>
      <c r="MN289" s="53"/>
      <c r="MQ289" s="49" t="s">
        <v>171</v>
      </c>
      <c r="MR289" s="50" t="s">
        <v>172</v>
      </c>
      <c r="MS289" s="142" t="s">
        <v>172</v>
      </c>
      <c r="MT289" s="142" t="s">
        <v>172</v>
      </c>
      <c r="MU289" s="143" t="s">
        <v>172</v>
      </c>
      <c r="MV289" s="144">
        <f>MV285</f>
        <v>1625</v>
      </c>
      <c r="MW289" s="53"/>
      <c r="MZ289" s="49" t="s">
        <v>171</v>
      </c>
      <c r="NA289" s="50" t="s">
        <v>172</v>
      </c>
      <c r="NB289" s="142" t="s">
        <v>172</v>
      </c>
      <c r="NC289" s="142" t="s">
        <v>172</v>
      </c>
      <c r="ND289" s="143" t="s">
        <v>172</v>
      </c>
      <c r="NE289" s="144">
        <f>NE285</f>
        <v>0</v>
      </c>
      <c r="NF289" s="53"/>
      <c r="NI289" s="49" t="s">
        <v>171</v>
      </c>
      <c r="NJ289" s="50" t="s">
        <v>172</v>
      </c>
      <c r="NK289" s="142" t="s">
        <v>172</v>
      </c>
      <c r="NL289" s="50" t="s">
        <v>172</v>
      </c>
      <c r="NM289" s="143" t="s">
        <v>172</v>
      </c>
      <c r="NN289" s="144">
        <f>NN285</f>
        <v>1127</v>
      </c>
      <c r="NO289" s="53"/>
      <c r="NR289" s="49" t="s">
        <v>171</v>
      </c>
      <c r="NS289" s="50" t="s">
        <v>172</v>
      </c>
      <c r="NT289" s="142" t="s">
        <v>172</v>
      </c>
      <c r="NU289" s="50" t="s">
        <v>172</v>
      </c>
      <c r="NV289" s="143" t="s">
        <v>172</v>
      </c>
      <c r="NW289" s="144">
        <f>NW285</f>
        <v>3111.9999999999995</v>
      </c>
      <c r="NX289" s="53"/>
      <c r="OA289" s="49" t="s">
        <v>171</v>
      </c>
      <c r="OB289" s="50" t="s">
        <v>172</v>
      </c>
      <c r="OC289" s="142" t="s">
        <v>172</v>
      </c>
      <c r="OD289" s="142" t="s">
        <v>172</v>
      </c>
      <c r="OE289" s="143" t="s">
        <v>172</v>
      </c>
      <c r="OF289" s="144">
        <f>OF285</f>
        <v>1680.5</v>
      </c>
      <c r="OG289" s="53"/>
      <c r="OJ289" s="49" t="s">
        <v>171</v>
      </c>
      <c r="OK289" s="50" t="s">
        <v>172</v>
      </c>
      <c r="OL289" s="142" t="s">
        <v>172</v>
      </c>
      <c r="OM289" s="142" t="s">
        <v>172</v>
      </c>
      <c r="ON289" s="143" t="s">
        <v>172</v>
      </c>
      <c r="OO289" s="144">
        <f>OO285</f>
        <v>0</v>
      </c>
      <c r="OP289" s="53"/>
      <c r="OS289" s="49" t="s">
        <v>171</v>
      </c>
      <c r="OT289" s="50" t="s">
        <v>172</v>
      </c>
      <c r="OU289" s="142" t="s">
        <v>172</v>
      </c>
      <c r="OV289" s="142" t="s">
        <v>172</v>
      </c>
      <c r="OW289" s="143" t="s">
        <v>172</v>
      </c>
      <c r="OX289" s="144">
        <f>OX285</f>
        <v>1482</v>
      </c>
      <c r="OY289" s="53"/>
      <c r="PB289" s="49" t="s">
        <v>171</v>
      </c>
      <c r="PC289" s="50" t="s">
        <v>172</v>
      </c>
      <c r="PD289" s="142" t="s">
        <v>172</v>
      </c>
      <c r="PE289" s="142" t="s">
        <v>172</v>
      </c>
      <c r="PF289" s="143" t="s">
        <v>172</v>
      </c>
      <c r="PG289" s="144">
        <f>PG285</f>
        <v>0</v>
      </c>
      <c r="PH289" s="53"/>
      <c r="PK289" s="49" t="s">
        <v>171</v>
      </c>
      <c r="PL289" s="50" t="s">
        <v>172</v>
      </c>
      <c r="PM289" s="142" t="s">
        <v>172</v>
      </c>
      <c r="PN289" s="142" t="s">
        <v>172</v>
      </c>
      <c r="PO289" s="143" t="s">
        <v>172</v>
      </c>
      <c r="PP289" s="144">
        <f>PP285</f>
        <v>100</v>
      </c>
      <c r="PQ289" s="53"/>
      <c r="PT289" s="49" t="s">
        <v>171</v>
      </c>
      <c r="PU289" s="50" t="s">
        <v>172</v>
      </c>
      <c r="PV289" s="142" t="s">
        <v>172</v>
      </c>
      <c r="PW289" s="142" t="s">
        <v>172</v>
      </c>
      <c r="PX289" s="143" t="s">
        <v>172</v>
      </c>
      <c r="PY289" s="144">
        <f>PY285</f>
        <v>13.960000000000036</v>
      </c>
      <c r="PZ289" s="53"/>
      <c r="QC289" s="49" t="s">
        <v>171</v>
      </c>
      <c r="QD289" s="50" t="s">
        <v>172</v>
      </c>
      <c r="QE289" s="142" t="s">
        <v>172</v>
      </c>
      <c r="QF289" s="142" t="s">
        <v>172</v>
      </c>
      <c r="QG289" s="143" t="s">
        <v>172</v>
      </c>
      <c r="QH289" s="144">
        <f>QH285</f>
        <v>548</v>
      </c>
      <c r="QI289" s="53"/>
      <c r="QL289" s="49" t="s">
        <v>171</v>
      </c>
      <c r="QM289" s="50" t="s">
        <v>172</v>
      </c>
      <c r="QN289" s="142" t="s">
        <v>172</v>
      </c>
      <c r="QO289" s="142" t="s">
        <v>172</v>
      </c>
      <c r="QP289" s="143" t="s">
        <v>172</v>
      </c>
      <c r="QQ289" s="144">
        <f>QQ285</f>
        <v>0</v>
      </c>
      <c r="QR289" s="53"/>
      <c r="QU289" s="49" t="s">
        <v>171</v>
      </c>
      <c r="QV289" s="50" t="s">
        <v>172</v>
      </c>
      <c r="QW289" s="142" t="s">
        <v>172</v>
      </c>
      <c r="QX289" s="142" t="s">
        <v>172</v>
      </c>
      <c r="QY289" s="143" t="s">
        <v>172</v>
      </c>
      <c r="QZ289" s="144">
        <f>QZ285</f>
        <v>0</v>
      </c>
      <c r="RA289" s="53"/>
      <c r="RD289" s="49" t="s">
        <v>171</v>
      </c>
      <c r="RE289" s="50" t="s">
        <v>172</v>
      </c>
      <c r="RF289" s="142" t="s">
        <v>172</v>
      </c>
      <c r="RG289" s="142" t="s">
        <v>172</v>
      </c>
      <c r="RH289" s="143" t="s">
        <v>172</v>
      </c>
      <c r="RI289" s="144">
        <f>RI285</f>
        <v>147.04000000000002</v>
      </c>
      <c r="RJ289" s="53"/>
      <c r="RM289" s="49" t="s">
        <v>171</v>
      </c>
      <c r="RN289" s="50" t="s">
        <v>172</v>
      </c>
      <c r="RO289" s="142" t="s">
        <v>172</v>
      </c>
      <c r="RP289" s="142" t="s">
        <v>172</v>
      </c>
      <c r="RQ289" s="143" t="s">
        <v>172</v>
      </c>
      <c r="RR289" s="144">
        <f>RR285</f>
        <v>46.8</v>
      </c>
      <c r="RS289" s="53"/>
      <c r="RV289" s="49" t="s">
        <v>171</v>
      </c>
      <c r="RW289" s="50" t="s">
        <v>172</v>
      </c>
      <c r="RX289" s="142" t="s">
        <v>172</v>
      </c>
      <c r="RY289" s="142" t="s">
        <v>172</v>
      </c>
      <c r="RZ289" s="143" t="s">
        <v>172</v>
      </c>
      <c r="SA289" s="144">
        <f>SA285</f>
        <v>0</v>
      </c>
      <c r="SB289" s="53"/>
      <c r="SE289" s="49" t="s">
        <v>171</v>
      </c>
      <c r="SF289" s="50" t="s">
        <v>172</v>
      </c>
      <c r="SG289" s="142" t="s">
        <v>172</v>
      </c>
      <c r="SH289" s="142" t="s">
        <v>172</v>
      </c>
      <c r="SI289" s="143" t="s">
        <v>172</v>
      </c>
      <c r="SJ289" s="144">
        <f>SJ285</f>
        <v>24.200000000000003</v>
      </c>
      <c r="SK289" s="53"/>
      <c r="SN289" s="49" t="s">
        <v>171</v>
      </c>
      <c r="SO289" s="50" t="s">
        <v>172</v>
      </c>
      <c r="SP289" s="142" t="s">
        <v>172</v>
      </c>
      <c r="SQ289" s="142" t="s">
        <v>172</v>
      </c>
      <c r="SR289" s="143" t="s">
        <v>172</v>
      </c>
      <c r="SS289" s="144">
        <f>SS285</f>
        <v>32</v>
      </c>
      <c r="ST289" s="53"/>
      <c r="SW289" s="49" t="s">
        <v>171</v>
      </c>
      <c r="SX289" s="50" t="s">
        <v>172</v>
      </c>
      <c r="SY289" s="142" t="s">
        <v>172</v>
      </c>
      <c r="SZ289" s="142" t="s">
        <v>172</v>
      </c>
      <c r="TA289" s="143" t="s">
        <v>172</v>
      </c>
      <c r="TB289" s="144">
        <f>TB285</f>
        <v>0</v>
      </c>
      <c r="TC289" s="53"/>
      <c r="TF289" s="49" t="s">
        <v>171</v>
      </c>
      <c r="TG289" s="50" t="s">
        <v>172</v>
      </c>
      <c r="TH289" s="142" t="s">
        <v>172</v>
      </c>
      <c r="TI289" s="142" t="s">
        <v>172</v>
      </c>
      <c r="TJ289" s="143" t="s">
        <v>172</v>
      </c>
      <c r="TK289" s="144">
        <f>TK285</f>
        <v>0</v>
      </c>
      <c r="TL289" s="53"/>
      <c r="TO289" s="49" t="s">
        <v>171</v>
      </c>
      <c r="TP289" s="50" t="s">
        <v>172</v>
      </c>
      <c r="TQ289" s="142" t="s">
        <v>172</v>
      </c>
      <c r="TR289" s="142" t="s">
        <v>172</v>
      </c>
      <c r="TS289" s="143" t="s">
        <v>172</v>
      </c>
      <c r="TT289" s="144">
        <f>TT285</f>
        <v>0</v>
      </c>
      <c r="TU289" s="53"/>
      <c r="TX289" s="49" t="s">
        <v>171</v>
      </c>
      <c r="TY289" s="50" t="s">
        <v>172</v>
      </c>
      <c r="TZ289" s="142" t="s">
        <v>172</v>
      </c>
      <c r="UA289" s="142" t="s">
        <v>172</v>
      </c>
      <c r="UB289" s="143" t="s">
        <v>172</v>
      </c>
      <c r="UC289" s="144">
        <f>UC285</f>
        <v>46.799999999999983</v>
      </c>
      <c r="UD289" s="53"/>
      <c r="UG289" s="49" t="s">
        <v>171</v>
      </c>
      <c r="UH289" s="50" t="s">
        <v>172</v>
      </c>
      <c r="UI289" s="142" t="s">
        <v>172</v>
      </c>
      <c r="UJ289" s="142" t="s">
        <v>172</v>
      </c>
      <c r="UK289" s="143" t="s">
        <v>172</v>
      </c>
      <c r="UL289" s="144">
        <f>UL285</f>
        <v>204</v>
      </c>
      <c r="UM289" s="53"/>
      <c r="UP289" s="49" t="s">
        <v>171</v>
      </c>
      <c r="UQ289" s="50" t="s">
        <v>172</v>
      </c>
      <c r="UR289" s="142" t="s">
        <v>172</v>
      </c>
      <c r="US289" s="142" t="s">
        <v>172</v>
      </c>
      <c r="UT289" s="143" t="s">
        <v>172</v>
      </c>
      <c r="UU289" s="144">
        <f>UU285</f>
        <v>202.5</v>
      </c>
      <c r="UV289" s="53"/>
      <c r="UY289" s="49" t="s">
        <v>171</v>
      </c>
      <c r="UZ289" s="50" t="s">
        <v>172</v>
      </c>
      <c r="VA289" s="142" t="s">
        <v>172</v>
      </c>
      <c r="VB289" s="142" t="s">
        <v>172</v>
      </c>
      <c r="VC289" s="143" t="s">
        <v>172</v>
      </c>
      <c r="VD289" s="144">
        <f>VD285</f>
        <v>41.600000000000023</v>
      </c>
      <c r="VE289" s="53"/>
      <c r="VH289" s="49" t="s">
        <v>171</v>
      </c>
      <c r="VI289" s="50" t="s">
        <v>172</v>
      </c>
      <c r="VJ289" s="142" t="s">
        <v>172</v>
      </c>
      <c r="VK289" s="142" t="s">
        <v>172</v>
      </c>
      <c r="VL289" s="143" t="s">
        <v>172</v>
      </c>
      <c r="VM289" s="144">
        <f>VM285</f>
        <v>210</v>
      </c>
      <c r="VN289" s="53"/>
      <c r="VQ289" s="49" t="s">
        <v>171</v>
      </c>
      <c r="VR289" s="50" t="s">
        <v>172</v>
      </c>
      <c r="VS289" s="142" t="s">
        <v>172</v>
      </c>
      <c r="VT289" s="142" t="s">
        <v>172</v>
      </c>
      <c r="VU289" s="143" t="s">
        <v>172</v>
      </c>
      <c r="VV289" s="144">
        <f>VV285</f>
        <v>0</v>
      </c>
      <c r="VW289" s="53"/>
      <c r="VZ289" s="49" t="s">
        <v>171</v>
      </c>
      <c r="WA289" s="50" t="s">
        <v>172</v>
      </c>
      <c r="WB289" s="142" t="s">
        <v>172</v>
      </c>
      <c r="WC289" s="142" t="s">
        <v>172</v>
      </c>
      <c r="WD289" s="143" t="s">
        <v>172</v>
      </c>
      <c r="WE289" s="144">
        <f>WE285</f>
        <v>0</v>
      </c>
      <c r="WF289" s="53"/>
      <c r="WI289" s="49" t="s">
        <v>171</v>
      </c>
      <c r="WJ289" s="50" t="s">
        <v>172</v>
      </c>
      <c r="WK289" s="142" t="s">
        <v>172</v>
      </c>
      <c r="WL289" s="142" t="s">
        <v>172</v>
      </c>
      <c r="WM289" s="143" t="s">
        <v>172</v>
      </c>
      <c r="WN289" s="144">
        <f>WN285</f>
        <v>1057</v>
      </c>
      <c r="WO289" s="53"/>
      <c r="WR289" s="49" t="s">
        <v>171</v>
      </c>
      <c r="WS289" s="50" t="s">
        <v>172</v>
      </c>
      <c r="WT289" s="142" t="s">
        <v>172</v>
      </c>
      <c r="WU289" s="142" t="s">
        <v>172</v>
      </c>
      <c r="WV289" s="143" t="s">
        <v>172</v>
      </c>
      <c r="WW289" s="144">
        <f>WW285</f>
        <v>0</v>
      </c>
      <c r="WX289" s="53"/>
      <c r="XA289" s="49" t="s">
        <v>171</v>
      </c>
      <c r="XB289" s="50" t="s">
        <v>172</v>
      </c>
      <c r="XC289" s="142" t="s">
        <v>172</v>
      </c>
      <c r="XD289" s="142" t="s">
        <v>172</v>
      </c>
      <c r="XE289" s="143" t="s">
        <v>172</v>
      </c>
      <c r="XF289" s="144">
        <f>XF285</f>
        <v>7507</v>
      </c>
      <c r="XG289" s="53"/>
      <c r="XJ289" s="49" t="s">
        <v>171</v>
      </c>
      <c r="XK289" s="50" t="s">
        <v>172</v>
      </c>
      <c r="XL289" s="142" t="s">
        <v>172</v>
      </c>
      <c r="XM289" s="142" t="s">
        <v>172</v>
      </c>
      <c r="XN289" s="143" t="s">
        <v>172</v>
      </c>
      <c r="XO289" s="144">
        <f>XO285</f>
        <v>4252</v>
      </c>
      <c r="XP289" s="53"/>
      <c r="XS289" s="49" t="s">
        <v>171</v>
      </c>
      <c r="XT289" s="50" t="s">
        <v>172</v>
      </c>
      <c r="XU289" s="142" t="s">
        <v>172</v>
      </c>
      <c r="XV289" s="142" t="s">
        <v>172</v>
      </c>
      <c r="XW289" s="143" t="s">
        <v>172</v>
      </c>
      <c r="XX289" s="144">
        <f>XX285</f>
        <v>2179</v>
      </c>
      <c r="XY289" s="53"/>
      <c r="YB289" s="49" t="s">
        <v>171</v>
      </c>
      <c r="YC289" s="50" t="s">
        <v>172</v>
      </c>
      <c r="YD289" s="142" t="s">
        <v>172</v>
      </c>
      <c r="YE289" s="142" t="s">
        <v>172</v>
      </c>
      <c r="YF289" s="143" t="s">
        <v>172</v>
      </c>
      <c r="YG289" s="144">
        <f>YG285</f>
        <v>4019</v>
      </c>
      <c r="YH289" s="53"/>
      <c r="YK289" s="49" t="s">
        <v>171</v>
      </c>
      <c r="YL289" s="50" t="s">
        <v>172</v>
      </c>
      <c r="YM289" s="142" t="s">
        <v>172</v>
      </c>
      <c r="YN289" s="142" t="s">
        <v>172</v>
      </c>
      <c r="YO289" s="143" t="s">
        <v>172</v>
      </c>
      <c r="YP289" s="144">
        <f>YP285</f>
        <v>-218</v>
      </c>
      <c r="YQ289" s="53"/>
      <c r="YT289" s="49" t="s">
        <v>171</v>
      </c>
      <c r="YU289" s="50" t="s">
        <v>172</v>
      </c>
      <c r="YV289" s="142" t="s">
        <v>172</v>
      </c>
      <c r="YW289" s="142" t="s">
        <v>172</v>
      </c>
      <c r="YX289" s="143" t="s">
        <v>172</v>
      </c>
      <c r="YY289" s="144">
        <f>YY285</f>
        <v>0</v>
      </c>
      <c r="YZ289" s="53"/>
      <c r="ZC289" s="49" t="s">
        <v>171</v>
      </c>
      <c r="ZD289" s="50" t="s">
        <v>172</v>
      </c>
      <c r="ZE289" s="142" t="s">
        <v>172</v>
      </c>
      <c r="ZF289" s="142" t="s">
        <v>172</v>
      </c>
      <c r="ZG289" s="143" t="s">
        <v>172</v>
      </c>
      <c r="ZH289" s="144">
        <f>ZH285</f>
        <v>0</v>
      </c>
      <c r="ZI289" s="53"/>
      <c r="ZL289" s="49" t="s">
        <v>171</v>
      </c>
      <c r="ZM289" s="50" t="s">
        <v>172</v>
      </c>
      <c r="ZN289" s="142" t="s">
        <v>172</v>
      </c>
      <c r="ZO289" s="142" t="s">
        <v>172</v>
      </c>
      <c r="ZP289" s="143" t="s">
        <v>172</v>
      </c>
      <c r="ZQ289" s="144">
        <f>ZQ285</f>
        <v>0</v>
      </c>
      <c r="ZR289" s="53"/>
      <c r="ZU289" s="49" t="s">
        <v>171</v>
      </c>
      <c r="ZV289" s="50" t="s">
        <v>172</v>
      </c>
      <c r="ZW289" s="142" t="s">
        <v>172</v>
      </c>
      <c r="ZX289" s="142" t="s">
        <v>172</v>
      </c>
      <c r="ZY289" s="143" t="s">
        <v>172</v>
      </c>
      <c r="ZZ289" s="144">
        <f>ZZ285</f>
        <v>0</v>
      </c>
      <c r="AAA289" s="53"/>
      <c r="AAD289" s="49" t="s">
        <v>171</v>
      </c>
      <c r="AAE289" s="50" t="s">
        <v>172</v>
      </c>
      <c r="AAF289" s="142" t="s">
        <v>172</v>
      </c>
      <c r="AAG289" s="142" t="s">
        <v>172</v>
      </c>
      <c r="AAH289" s="143" t="s">
        <v>172</v>
      </c>
      <c r="AAI289" s="144">
        <f>AAI285</f>
        <v>0</v>
      </c>
      <c r="AAJ289" s="53"/>
      <c r="AAM289" s="49" t="s">
        <v>171</v>
      </c>
      <c r="AAN289" s="50" t="s">
        <v>172</v>
      </c>
      <c r="AAO289" s="142" t="s">
        <v>172</v>
      </c>
      <c r="AAP289" s="142" t="s">
        <v>172</v>
      </c>
      <c r="AAQ289" s="143" t="s">
        <v>172</v>
      </c>
      <c r="AAR289" s="144">
        <f>AAR285</f>
        <v>0</v>
      </c>
      <c r="AAS289" s="53"/>
      <c r="AAV289" s="49" t="s">
        <v>171</v>
      </c>
      <c r="AAW289" s="50" t="s">
        <v>172</v>
      </c>
      <c r="AAX289" s="142" t="s">
        <v>172</v>
      </c>
      <c r="AAY289" s="142" t="s">
        <v>172</v>
      </c>
      <c r="AAZ289" s="143" t="s">
        <v>172</v>
      </c>
      <c r="ABA289" s="144">
        <f>ABA285</f>
        <v>0</v>
      </c>
      <c r="ABB289" s="53"/>
      <c r="ABE289" s="49" t="s">
        <v>171</v>
      </c>
      <c r="ABF289" s="50" t="s">
        <v>172</v>
      </c>
      <c r="ABG289" s="142" t="s">
        <v>172</v>
      </c>
      <c r="ABH289" s="142" t="s">
        <v>172</v>
      </c>
      <c r="ABI289" s="143" t="s">
        <v>172</v>
      </c>
      <c r="ABJ289" s="144">
        <f>ABJ285</f>
        <v>0</v>
      </c>
      <c r="ABK289" s="53"/>
    </row>
    <row r="290" spans="2:739" s="54" customFormat="1" ht="15" customHeight="1" outlineLevel="1">
      <c r="B290" s="478"/>
      <c r="C290" s="55">
        <v>46266</v>
      </c>
      <c r="D290" s="56"/>
      <c r="E290" s="57">
        <f>SUMPRODUCT(PRODUCE!$B289:$DY289,PRODUCE!$EB$7:$IY$7)</f>
        <v>0</v>
      </c>
      <c r="F290" s="56"/>
      <c r="G290" s="57">
        <f>E290-F290</f>
        <v>0</v>
      </c>
      <c r="H290" s="57">
        <f>H289+D290-F290</f>
        <v>236936.6</v>
      </c>
      <c r="I290" s="289"/>
      <c r="L290" s="55">
        <f>C290</f>
        <v>46266</v>
      </c>
      <c r="M290" s="56"/>
      <c r="N290" s="59">
        <f>SUMPRODUCT(PRODUCE!$B289:$DY289,PRODUCE!$EB$8:$IY$8)</f>
        <v>0</v>
      </c>
      <c r="O290" s="56"/>
      <c r="P290" s="59">
        <f>N290-O290</f>
        <v>0</v>
      </c>
      <c r="Q290" s="59">
        <f>Q289+M290-O290</f>
        <v>53017.600000000071</v>
      </c>
      <c r="R290" s="56"/>
      <c r="U290" s="55">
        <f>L290</f>
        <v>46266</v>
      </c>
      <c r="V290" s="56"/>
      <c r="W290" s="60">
        <f>SUMPRODUCT(PRODUCE!$B289:$DY289,PRODUCE!$EB$9:$IY$9)</f>
        <v>0</v>
      </c>
      <c r="X290" s="56"/>
      <c r="Y290" s="60">
        <f>W290-X290</f>
        <v>0</v>
      </c>
      <c r="Z290" s="60">
        <f>Z289+V290-X290</f>
        <v>42674.199999999968</v>
      </c>
      <c r="AA290" s="56"/>
      <c r="AD290" s="55">
        <f>U290</f>
        <v>46266</v>
      </c>
      <c r="AE290" s="56"/>
      <c r="AF290" s="61">
        <f>SUMPRODUCT(PRODUCE!$B289:$DY289,PRODUCE!$EB$10:$IY$10)</f>
        <v>0</v>
      </c>
      <c r="AG290" s="56"/>
      <c r="AH290" s="61">
        <f>AF290-AG290</f>
        <v>0</v>
      </c>
      <c r="AI290" s="61">
        <f>AI289+AE290-AG290</f>
        <v>4522.2000000000189</v>
      </c>
      <c r="AJ290" s="56"/>
      <c r="AM290" s="55">
        <f>AD290</f>
        <v>46266</v>
      </c>
      <c r="AN290" s="422"/>
      <c r="AO290" s="444">
        <f>SUMPRODUCT(PRODUCE!$B289:$DY289,PRODUCE!$EB$11:$IY$11)</f>
        <v>0</v>
      </c>
      <c r="AP290" s="422"/>
      <c r="AQ290" s="444">
        <f>AO290-AP290</f>
        <v>0</v>
      </c>
      <c r="AR290" s="444">
        <f>AR289+AN290-AP290</f>
        <v>0</v>
      </c>
      <c r="AS290" s="56"/>
      <c r="AV290" s="55">
        <f>AM290</f>
        <v>46266</v>
      </c>
      <c r="AW290" s="56"/>
      <c r="AX290" s="62">
        <f>SUMPRODUCT(PRODUCE!$B289:$DY289,PRODUCE!$EB$12:$IY$12)</f>
        <v>0</v>
      </c>
      <c r="AY290" s="56"/>
      <c r="AZ290" s="62">
        <f>AX290-AY290</f>
        <v>0</v>
      </c>
      <c r="BA290" s="62">
        <f>BA289+AW290-AY290</f>
        <v>124.99999999999523</v>
      </c>
      <c r="BB290" s="56"/>
      <c r="BE290" s="55">
        <f>AV290</f>
        <v>46266</v>
      </c>
      <c r="BF290" s="56"/>
      <c r="BG290" s="63">
        <f>SUMPRODUCT(PRODUCE!$B289:$DY289,PRODUCE!$EB$13:$IY$13)</f>
        <v>0</v>
      </c>
      <c r="BH290" s="56"/>
      <c r="BI290" s="63">
        <f>BG290-BH290</f>
        <v>0</v>
      </c>
      <c r="BJ290" s="63">
        <f>BJ289+BF290-BH290</f>
        <v>26151.899999999998</v>
      </c>
      <c r="BK290" s="56"/>
      <c r="BN290" s="55">
        <f>BE290</f>
        <v>46266</v>
      </c>
      <c r="BO290" s="56"/>
      <c r="BP290" s="64">
        <f>SUMPRODUCT(PRODUCE!$B289:$DY289,PRODUCE!$EB$14:$IY$14)</f>
        <v>0</v>
      </c>
      <c r="BQ290" s="56"/>
      <c r="BR290" s="64">
        <f>BP290-BQ290</f>
        <v>0</v>
      </c>
      <c r="BS290" s="64">
        <f>BS289+BO290-BQ290</f>
        <v>0</v>
      </c>
      <c r="BT290" s="56"/>
      <c r="BW290" s="55">
        <f>BN290</f>
        <v>46266</v>
      </c>
      <c r="BX290" s="56"/>
      <c r="BY290" s="65">
        <f>SUMPRODUCT(PRODUCE!$B289:$DY289,PRODUCE!$EB$15:$IY$15)</f>
        <v>0</v>
      </c>
      <c r="BZ290" s="56"/>
      <c r="CA290" s="65">
        <f>BY290-BZ290</f>
        <v>0</v>
      </c>
      <c r="CB290" s="65">
        <f>CB289+BX290-BZ290</f>
        <v>2097.3399999999992</v>
      </c>
      <c r="CC290" s="56"/>
      <c r="CF290" s="55">
        <f>BW290</f>
        <v>46266</v>
      </c>
      <c r="CG290" s="56"/>
      <c r="CH290" s="66">
        <f>SUMPRODUCT(PRODUCE!$B289:$DY289,PRODUCE!$EB$16:$IY$16)</f>
        <v>0</v>
      </c>
      <c r="CI290" s="56"/>
      <c r="CJ290" s="66">
        <f>CH290-CI290</f>
        <v>0</v>
      </c>
      <c r="CK290" s="66">
        <f>CK289+CG290-CI290</f>
        <v>-10277.079999999998</v>
      </c>
      <c r="CL290" s="56"/>
      <c r="CO290" s="55">
        <f>CF290</f>
        <v>46266</v>
      </c>
      <c r="CP290" s="422"/>
      <c r="CQ290" s="470">
        <f>SUMPRODUCT(PRODUCE!$B289:$DY289,PRODUCE!$EB$17:$IY$17)</f>
        <v>0</v>
      </c>
      <c r="CR290" s="422"/>
      <c r="CS290" s="470">
        <f>CQ290-CR290</f>
        <v>0</v>
      </c>
      <c r="CT290" s="470">
        <f>CT289+CP290-CR290</f>
        <v>0</v>
      </c>
      <c r="CU290" s="56"/>
      <c r="CX290" s="55">
        <f>CO290</f>
        <v>46266</v>
      </c>
      <c r="CY290" s="56"/>
      <c r="CZ290" s="133">
        <f>SUMPRODUCT(PRODUCE!$B289:$DY289,PRODUCE!$EB$18:$IY$18)</f>
        <v>0</v>
      </c>
      <c r="DA290" s="56"/>
      <c r="DB290" s="133">
        <f>CZ290-DA290</f>
        <v>0</v>
      </c>
      <c r="DC290" s="133">
        <f>DC289+CY290-DA290</f>
        <v>27438.200000000012</v>
      </c>
      <c r="DD290" s="56"/>
      <c r="DG290" s="55">
        <f>CX290</f>
        <v>46266</v>
      </c>
      <c r="DH290" s="56"/>
      <c r="DI290" s="147">
        <f>SUMPRODUCT(PRODUCE!$B289:$DY289,PRODUCE!$EB$19:$IY$19)</f>
        <v>0</v>
      </c>
      <c r="DJ290" s="56"/>
      <c r="DK290" s="147">
        <f>DI290-DJ290</f>
        <v>0</v>
      </c>
      <c r="DL290" s="147">
        <f>DL289+DH290-DJ290</f>
        <v>18782.299999999981</v>
      </c>
      <c r="DM290" s="56"/>
      <c r="DP290" s="55">
        <f>DG290</f>
        <v>46266</v>
      </c>
      <c r="DQ290" s="56"/>
      <c r="DR290" s="57">
        <f>SUMPRODUCT(PRODUCE!$B289:$DY289,PRODUCE!$EB$20:$IY$20)</f>
        <v>0</v>
      </c>
      <c r="DS290" s="56"/>
      <c r="DT290" s="57">
        <f>DR290-DS290</f>
        <v>0</v>
      </c>
      <c r="DU290" s="57">
        <f>DU289+DQ290-DS290</f>
        <v>5800</v>
      </c>
      <c r="DV290" s="56"/>
      <c r="DY290" s="55">
        <f>DP290</f>
        <v>46266</v>
      </c>
      <c r="DZ290" s="56"/>
      <c r="EA290" s="157">
        <f>SUMPRODUCT(PRODUCE!$B289:$DY289,PRODUCE!$EB$21:$IY$21)</f>
        <v>0</v>
      </c>
      <c r="EB290" s="56"/>
      <c r="EC290" s="157">
        <f>EA290-EB290</f>
        <v>0</v>
      </c>
      <c r="ED290" s="157">
        <f>ED289+DZ290-EB290</f>
        <v>0</v>
      </c>
      <c r="EE290" s="56"/>
      <c r="EH290" s="55">
        <f>DY290</f>
        <v>46266</v>
      </c>
      <c r="EI290" s="56"/>
      <c r="EJ290" s="162">
        <f>SUMPRODUCT(PRODUCE!$B289:$DY289,PRODUCE!$EB$22:$IY$22)</f>
        <v>0</v>
      </c>
      <c r="EK290" s="56"/>
      <c r="EL290" s="162">
        <f>EJ290-EK290</f>
        <v>0</v>
      </c>
      <c r="EM290" s="162">
        <f>EM289+EI290-EK290</f>
        <v>0</v>
      </c>
      <c r="EN290" s="56"/>
      <c r="EQ290" s="55">
        <f>EH290</f>
        <v>46266</v>
      </c>
      <c r="ER290" s="56"/>
      <c r="ES290" s="135">
        <f>SUMPRODUCT(PRODUCE!$B289:$DY289,PRODUCE!$EB$23:$IY$23)</f>
        <v>0</v>
      </c>
      <c r="ET290" s="56"/>
      <c r="EU290" s="135">
        <f>ES290-ET290</f>
        <v>0</v>
      </c>
      <c r="EV290" s="135">
        <f>EV289+ER290-ET290</f>
        <v>0</v>
      </c>
      <c r="EW290" s="56"/>
      <c r="EZ290" s="55">
        <f>EQ290</f>
        <v>46266</v>
      </c>
      <c r="FA290" s="56"/>
      <c r="FB290" s="175">
        <f>SUMPRODUCT(PRODUCE!$B289:$DY289,PRODUCE!$EB$24:$IY$24)</f>
        <v>0</v>
      </c>
      <c r="FC290" s="56"/>
      <c r="FD290" s="175">
        <f>FB290-FC290</f>
        <v>0</v>
      </c>
      <c r="FE290" s="175">
        <f>FE289+FA290-FC290</f>
        <v>0</v>
      </c>
      <c r="FF290" s="56"/>
      <c r="FI290" s="55">
        <f>EZ290</f>
        <v>46266</v>
      </c>
      <c r="FJ290" s="56"/>
      <c r="FK290" s="183">
        <f>SUMPRODUCT(PRODUCE!$B289:$DY289,PRODUCE!$EB$25:$IY$25)</f>
        <v>0</v>
      </c>
      <c r="FL290" s="56"/>
      <c r="FM290" s="183">
        <f>FK290-FL290</f>
        <v>0</v>
      </c>
      <c r="FN290" s="183">
        <f>FN289+FJ290-FL290</f>
        <v>0</v>
      </c>
      <c r="FO290" s="56"/>
      <c r="FR290" s="55">
        <f>FI290</f>
        <v>46266</v>
      </c>
      <c r="FS290" s="56"/>
      <c r="FT290" s="186">
        <f>SUMPRODUCT(PRODUCE!$B289:$DY289,PRODUCE!$EB$26:$IY$26)</f>
        <v>0</v>
      </c>
      <c r="FU290" s="56"/>
      <c r="FV290" s="186">
        <f>FT290-FU290</f>
        <v>0</v>
      </c>
      <c r="FW290" s="186">
        <f>FW289+FS290-FU290</f>
        <v>2020</v>
      </c>
      <c r="FX290" s="56"/>
      <c r="GA290" s="55">
        <f>FR290</f>
        <v>46266</v>
      </c>
      <c r="GB290" s="56"/>
      <c r="GC290" s="137">
        <f>SUMPRODUCT(PRODUCE!$B289:$DY289,PRODUCE!$EB$27:$IY$27)</f>
        <v>0</v>
      </c>
      <c r="GD290" s="56"/>
      <c r="GE290" s="137">
        <f>GC290-GD290</f>
        <v>0</v>
      </c>
      <c r="GF290" s="137">
        <f>GF289+GB290-GD290</f>
        <v>960</v>
      </c>
      <c r="GG290" s="56"/>
      <c r="GI290" s="23"/>
      <c r="GJ290" s="55">
        <f>GA290</f>
        <v>46266</v>
      </c>
      <c r="GK290" s="56"/>
      <c r="GL290" s="199">
        <f>SUMPRODUCT(PRODUCE!$B289:$DY289,PRODUCE!$EB$28:$IY$28)</f>
        <v>0</v>
      </c>
      <c r="GM290" s="56"/>
      <c r="GN290" s="199">
        <f>GL290-GM290</f>
        <v>0</v>
      </c>
      <c r="GO290" s="199">
        <f>GO289+GK290-GM290</f>
        <v>1760</v>
      </c>
      <c r="GP290" s="56"/>
      <c r="GS290" s="55">
        <f>GJ290</f>
        <v>46266</v>
      </c>
      <c r="GT290" s="56"/>
      <c r="GU290" s="195">
        <f>SUMPRODUCT(PRODUCE!$B289:$DY289,PRODUCE!$EB$29:$IY$29)</f>
        <v>0</v>
      </c>
      <c r="GV290" s="56"/>
      <c r="GW290" s="195">
        <f>GU290-GV290</f>
        <v>0</v>
      </c>
      <c r="GX290" s="195">
        <f>GX289+GT290-GV290</f>
        <v>400</v>
      </c>
      <c r="GY290" s="56"/>
      <c r="HB290" s="55">
        <f>GS290</f>
        <v>46266</v>
      </c>
      <c r="HC290" s="56"/>
      <c r="HD290" s="191">
        <f>SUMPRODUCT(PRODUCE!$B289:$DY289,PRODUCE!$EB$30:$IY$30)</f>
        <v>0</v>
      </c>
      <c r="HE290" s="56"/>
      <c r="HF290" s="191">
        <f>HD290-HE290</f>
        <v>0</v>
      </c>
      <c r="HG290" s="191">
        <f>HG289+HC290-HE290</f>
        <v>3600</v>
      </c>
      <c r="HH290" s="56"/>
      <c r="HK290" s="55">
        <f>HB290</f>
        <v>46266</v>
      </c>
      <c r="HL290" s="56"/>
      <c r="HM290" s="63">
        <f>SUMPRODUCT(PRODUCE!$B289:$DY289,PRODUCE!$EB$31:$IY$31)</f>
        <v>0</v>
      </c>
      <c r="HN290" s="56"/>
      <c r="HO290" s="63">
        <f>HM290-HN290</f>
        <v>0</v>
      </c>
      <c r="HP290" s="63">
        <f>HP289+HL290-HN290</f>
        <v>0</v>
      </c>
      <c r="HQ290" s="56"/>
      <c r="HU290" s="55">
        <f>HK290</f>
        <v>46266</v>
      </c>
      <c r="HV290" s="56"/>
      <c r="HW290" s="242">
        <f>SUMPRODUCT(PRODUCE!$B289:$DY289,PRODUCE!$EB$32:$IY$32)</f>
        <v>0</v>
      </c>
      <c r="HX290" s="56"/>
      <c r="HY290" s="242">
        <f>HW290-HX290</f>
        <v>0</v>
      </c>
      <c r="HZ290" s="242">
        <f>HZ289+HV290-HX290</f>
        <v>6120</v>
      </c>
      <c r="IA290" s="56"/>
      <c r="ID290" s="55">
        <f>HU290</f>
        <v>46266</v>
      </c>
      <c r="IE290" s="56"/>
      <c r="IF290" s="242">
        <f>SUMPRODUCT(PRODUCE!$B289:$DY289,PRODUCE!$EB$33:$IY$33)</f>
        <v>0</v>
      </c>
      <c r="IG290" s="56"/>
      <c r="IH290" s="242">
        <f>IF290-IG290</f>
        <v>0</v>
      </c>
      <c r="II290" s="242">
        <f>II289+IE290-IG290</f>
        <v>0</v>
      </c>
      <c r="IJ290" s="56"/>
      <c r="IM290" s="55">
        <f>ID290</f>
        <v>46266</v>
      </c>
      <c r="IN290" s="56"/>
      <c r="IO290" s="242">
        <f>SUMPRODUCT(PRODUCE!$B289:$DY289,PRODUCE!$EB$34:$IY$34)</f>
        <v>0</v>
      </c>
      <c r="IP290" s="56"/>
      <c r="IQ290" s="242">
        <f>IO290-IP290</f>
        <v>0</v>
      </c>
      <c r="IR290" s="242">
        <f>IR289+IN290-IP290</f>
        <v>0</v>
      </c>
      <c r="IS290" s="56"/>
      <c r="IV290" s="55">
        <f>IM290</f>
        <v>46266</v>
      </c>
      <c r="IW290" s="56"/>
      <c r="IX290" s="242">
        <f>SUMPRODUCT(PRODUCE!$B289:$DY289,PRODUCE!$EB$35:$IY$35)</f>
        <v>0</v>
      </c>
      <c r="IY290" s="56"/>
      <c r="IZ290" s="242">
        <f>IX290-IY290</f>
        <v>0</v>
      </c>
      <c r="JA290" s="242">
        <f>JA289+IW290-IY290</f>
        <v>2820</v>
      </c>
      <c r="JB290" s="56"/>
      <c r="JE290" s="55">
        <f>IV290</f>
        <v>46266</v>
      </c>
      <c r="JF290" s="56"/>
      <c r="JG290" s="242">
        <f>SUMPRODUCT(PRODUCE!$B289:$DY289,PRODUCE!$EB$36:$IY$36)</f>
        <v>0</v>
      </c>
      <c r="JH290" s="56"/>
      <c r="JI290" s="242">
        <f>JG290-JH290</f>
        <v>0</v>
      </c>
      <c r="JJ290" s="242">
        <f>JJ289+JF290-JH290</f>
        <v>0</v>
      </c>
      <c r="JK290" s="56"/>
      <c r="JN290" s="55">
        <f>JE290</f>
        <v>46266</v>
      </c>
      <c r="JO290" s="56"/>
      <c r="JP290" s="242">
        <f>SUMPRODUCT(PRODUCE!$B289:$DY289,PRODUCE!$EB$37:$IY$37)</f>
        <v>0</v>
      </c>
      <c r="JQ290" s="56"/>
      <c r="JR290" s="242">
        <f>JP290-JQ290</f>
        <v>0</v>
      </c>
      <c r="JS290" s="242">
        <f>JS289+JO290-JQ290</f>
        <v>0</v>
      </c>
      <c r="JT290" s="56"/>
      <c r="JW290" s="55">
        <f>JN290</f>
        <v>46266</v>
      </c>
      <c r="JX290" s="56"/>
      <c r="JY290" s="242">
        <f>SUMPRODUCT(PRODUCE!$B289:$DY289,PRODUCE!$EB$38:$IY$38)</f>
        <v>0</v>
      </c>
      <c r="JZ290" s="56"/>
      <c r="KA290" s="242">
        <f>JY290-JZ290</f>
        <v>0</v>
      </c>
      <c r="KB290" s="242">
        <f>KB289+JX290-JZ290</f>
        <v>2540</v>
      </c>
      <c r="KC290" s="56"/>
      <c r="KF290" s="55">
        <f>JW290</f>
        <v>46266</v>
      </c>
      <c r="KG290" s="56"/>
      <c r="KH290" s="242">
        <f>SUMPRODUCT(PRODUCE!$B289:$DY289,PRODUCE!$EB$39:$IY$39)</f>
        <v>0</v>
      </c>
      <c r="KI290" s="56"/>
      <c r="KJ290" s="242">
        <f>KH290-KI290</f>
        <v>0</v>
      </c>
      <c r="KK290" s="242">
        <f>KK289+KG290-KI290</f>
        <v>2359.5</v>
      </c>
      <c r="KL290" s="56"/>
      <c r="KO290" s="55">
        <f>KF290</f>
        <v>46266</v>
      </c>
      <c r="KP290" s="56"/>
      <c r="KQ290" s="242">
        <f>SUMPRODUCT(PRODUCE!$B289:$DY289,PRODUCE!$EB$40:$IY$40)</f>
        <v>0</v>
      </c>
      <c r="KR290" s="56"/>
      <c r="KS290" s="242">
        <f>KQ290-KR290</f>
        <v>0</v>
      </c>
      <c r="KT290" s="242">
        <f>KT289+KP290-KR290</f>
        <v>1890</v>
      </c>
      <c r="KU290" s="56"/>
      <c r="KW290" s="23"/>
      <c r="KX290" s="55">
        <f>KO290</f>
        <v>46266</v>
      </c>
      <c r="KY290" s="56"/>
      <c r="KZ290" s="242">
        <f>SUMPRODUCT(PRODUCE!$B289:$DY289,PRODUCE!$EB$41:$IY$41)</f>
        <v>0</v>
      </c>
      <c r="LA290" s="56"/>
      <c r="LB290" s="242">
        <f>KZ290-LA290</f>
        <v>0</v>
      </c>
      <c r="LC290" s="242">
        <f>LC289+KY290-LA290</f>
        <v>3690</v>
      </c>
      <c r="LD290" s="56"/>
      <c r="LG290" s="55">
        <f>KX290</f>
        <v>46266</v>
      </c>
      <c r="LH290" s="56"/>
      <c r="LI290" s="242">
        <f>SUMPRODUCT(PRODUCE!$B289:$DY289,PRODUCE!$EB$42:$IY$42)</f>
        <v>0</v>
      </c>
      <c r="LJ290" s="56"/>
      <c r="LK290" s="242">
        <f>LI290-LJ290</f>
        <v>0</v>
      </c>
      <c r="LL290" s="242">
        <f>LL289+LH290-LJ290</f>
        <v>4000</v>
      </c>
      <c r="LM290" s="56"/>
      <c r="LP290" s="55">
        <f>LG290</f>
        <v>46266</v>
      </c>
      <c r="LQ290" s="56"/>
      <c r="LR290" s="242">
        <f>SUMPRODUCT(PRODUCE!$B305:$DY305,PRODUCE!$EB$43:$IY$43)</f>
        <v>0</v>
      </c>
      <c r="LS290" s="56"/>
      <c r="LT290" s="242">
        <f>LR290-LS290</f>
        <v>0</v>
      </c>
      <c r="LU290" s="242">
        <f>LU289+LQ290-LS290</f>
        <v>0</v>
      </c>
      <c r="LV290" s="56"/>
      <c r="LY290" s="55">
        <f>LP290</f>
        <v>46266</v>
      </c>
      <c r="LZ290" s="56"/>
      <c r="MA290" s="242">
        <f>SUMPRODUCT(PRODUCE!$B289:$DY289,PRODUCE!$EB$44:$IY$44)</f>
        <v>0</v>
      </c>
      <c r="MB290" s="56"/>
      <c r="MC290" s="242">
        <f>MA290-MB290</f>
        <v>0</v>
      </c>
      <c r="MD290" s="242">
        <f>MD289+LZ290-MB290</f>
        <v>0</v>
      </c>
      <c r="ME290" s="56"/>
      <c r="MH290" s="55">
        <f>LY290</f>
        <v>46266</v>
      </c>
      <c r="MI290" s="56"/>
      <c r="MJ290" s="242">
        <f>SUMPRODUCT(PRODUCE!$B289:$DY289,PRODUCE!$EB$45:$IY$45)</f>
        <v>0</v>
      </c>
      <c r="MK290" s="56"/>
      <c r="ML290" s="242">
        <f>MJ290-MK290</f>
        <v>0</v>
      </c>
      <c r="MM290" s="242">
        <f>MM289+MI290-MK290</f>
        <v>0</v>
      </c>
      <c r="MN290" s="56"/>
      <c r="MQ290" s="55">
        <f>MH290</f>
        <v>46266</v>
      </c>
      <c r="MR290" s="56"/>
      <c r="MS290" s="242">
        <f>SUMPRODUCT(PRODUCE!$B289:$DY289,PRODUCE!$EB$46:$IY$46)</f>
        <v>0</v>
      </c>
      <c r="MT290" s="56"/>
      <c r="MU290" s="242">
        <f>MS290-MT290</f>
        <v>0</v>
      </c>
      <c r="MV290" s="242">
        <f>MV289+MR290-MT290</f>
        <v>1625</v>
      </c>
      <c r="MW290" s="56"/>
      <c r="MZ290" s="55">
        <f>MQ290</f>
        <v>46266</v>
      </c>
      <c r="NA290" s="56"/>
      <c r="NB290" s="242">
        <f>SUMPRODUCT(PRODUCE!$B289:$DY289,PRODUCE!$EB$47:$IY$47)</f>
        <v>0</v>
      </c>
      <c r="NC290" s="56"/>
      <c r="ND290" s="242">
        <f>NB290-NC290</f>
        <v>0</v>
      </c>
      <c r="NE290" s="242">
        <f>NE289+NA290-NC290</f>
        <v>0</v>
      </c>
      <c r="NF290" s="56"/>
      <c r="NI290" s="55">
        <f>MZ290</f>
        <v>46266</v>
      </c>
      <c r="NJ290" s="56"/>
      <c r="NK290" s="242">
        <f>SUMPRODUCT(PRODUCE!$B289:$DY289,PRODUCE!$EB$48:$IY$48)</f>
        <v>0</v>
      </c>
      <c r="NL290" s="56"/>
      <c r="NM290" s="242">
        <f>NK290-NL290</f>
        <v>0</v>
      </c>
      <c r="NN290" s="242">
        <f>NN289+NJ290-NL290</f>
        <v>1127</v>
      </c>
      <c r="NO290" s="56"/>
      <c r="NR290" s="55">
        <f>MZ290</f>
        <v>46266</v>
      </c>
      <c r="NS290" s="56"/>
      <c r="NT290" s="242">
        <f>SUMPRODUCT(PRODUCE!$B289:$DY289,PRODUCE!$EB$49:$IY$49)</f>
        <v>0</v>
      </c>
      <c r="NU290" s="56"/>
      <c r="NV290" s="242">
        <f>NT290-NU290</f>
        <v>0</v>
      </c>
      <c r="NW290" s="242">
        <f>NW289+NS290-NU290</f>
        <v>3111.9999999999995</v>
      </c>
      <c r="NX290" s="56"/>
      <c r="OA290" s="55">
        <f>NR290</f>
        <v>46266</v>
      </c>
      <c r="OB290" s="56"/>
      <c r="OC290" s="242">
        <f>SUMPRODUCT(PRODUCE!$B289:$DY289,PRODUCE!$EB$50:$IY$50)</f>
        <v>0</v>
      </c>
      <c r="OD290" s="56"/>
      <c r="OE290" s="242">
        <f>OC290-OD290</f>
        <v>0</v>
      </c>
      <c r="OF290" s="242">
        <f>OF289+OB290-OD290</f>
        <v>1680.5</v>
      </c>
      <c r="OG290" s="56"/>
      <c r="OJ290" s="55">
        <f>OA290</f>
        <v>46266</v>
      </c>
      <c r="OK290" s="56"/>
      <c r="OL290" s="242">
        <f>SUMPRODUCT(PRODUCE!$B289:$DY289,PRODUCE!$EB$51:$IY$51)</f>
        <v>0</v>
      </c>
      <c r="OM290" s="56"/>
      <c r="ON290" s="242">
        <f>OL290-OM290</f>
        <v>0</v>
      </c>
      <c r="OO290" s="242">
        <f>OO289+OK290-OM290</f>
        <v>0</v>
      </c>
      <c r="OP290" s="56"/>
      <c r="OS290" s="55">
        <f>OJ290</f>
        <v>46266</v>
      </c>
      <c r="OT290" s="56"/>
      <c r="OU290" s="242">
        <f>SUMPRODUCT(PRODUCE!$B289:$DY289,PRODUCE!$EB$52:$IY$52)</f>
        <v>0</v>
      </c>
      <c r="OV290" s="56"/>
      <c r="OW290" s="242">
        <f>OU290-OV290</f>
        <v>0</v>
      </c>
      <c r="OX290" s="242">
        <f>OX289+OT290-OV290</f>
        <v>1482</v>
      </c>
      <c r="OY290" s="56"/>
      <c r="PB290" s="55">
        <f>OS290</f>
        <v>46266</v>
      </c>
      <c r="PC290" s="56"/>
      <c r="PD290" s="242">
        <f>SUMPRODUCT(PRODUCE!$B289:$DY289,PRODUCE!$EB$53:$IY$53)</f>
        <v>0</v>
      </c>
      <c r="PE290" s="56"/>
      <c r="PF290" s="242">
        <f>PD290-PE290</f>
        <v>0</v>
      </c>
      <c r="PG290" s="242">
        <f>PG289+PC290-PE290</f>
        <v>0</v>
      </c>
      <c r="PH290" s="56"/>
      <c r="PK290" s="55">
        <f>PB290</f>
        <v>46266</v>
      </c>
      <c r="PL290" s="56"/>
      <c r="PM290" s="242">
        <f>SUMPRODUCT(PRODUCE!$B289:$DY289,PRODUCE!$EB$54:$IY$54)</f>
        <v>0</v>
      </c>
      <c r="PN290" s="56"/>
      <c r="PO290" s="242">
        <f>PM290-PN290</f>
        <v>0</v>
      </c>
      <c r="PP290" s="242">
        <f>PP289+PL290-PN290</f>
        <v>100</v>
      </c>
      <c r="PQ290" s="56"/>
      <c r="PT290" s="55">
        <f>PK290</f>
        <v>46266</v>
      </c>
      <c r="PU290" s="56"/>
      <c r="PV290" s="242">
        <f>SUMPRODUCT(PRODUCE!$B289:$DY289,PRODUCE!$EB$55:$IY$55)</f>
        <v>0</v>
      </c>
      <c r="PW290" s="56"/>
      <c r="PX290" s="242">
        <f>PV290-PW290</f>
        <v>0</v>
      </c>
      <c r="PY290" s="242">
        <f>PY289+PU290-PW290</f>
        <v>13.960000000000036</v>
      </c>
      <c r="PZ290" s="56"/>
      <c r="QC290" s="55">
        <f>PT290</f>
        <v>46266</v>
      </c>
      <c r="QD290" s="56"/>
      <c r="QE290" s="242">
        <f>SUMPRODUCT(PRODUCE!$B289:$DY289,PRODUCE!$EB$56:$IY$56)</f>
        <v>0</v>
      </c>
      <c r="QF290" s="56"/>
      <c r="QG290" s="242">
        <f>QE290-QF290</f>
        <v>0</v>
      </c>
      <c r="QH290" s="242">
        <f>QH289+QD290-QF290</f>
        <v>548</v>
      </c>
      <c r="QI290" s="56"/>
      <c r="QL290" s="55">
        <f>QC290</f>
        <v>46266</v>
      </c>
      <c r="QM290" s="56"/>
      <c r="QN290" s="242">
        <f>SUMPRODUCT(PRODUCE!$B289:$DY289,PRODUCE!$EB$57:$IY$57)</f>
        <v>0</v>
      </c>
      <c r="QO290" s="56"/>
      <c r="QP290" s="242">
        <f>QN290-QO290</f>
        <v>0</v>
      </c>
      <c r="QQ290" s="242">
        <f>QQ289+QM290-QO290</f>
        <v>0</v>
      </c>
      <c r="QR290" s="56"/>
      <c r="QU290" s="55">
        <f>QL290</f>
        <v>46266</v>
      </c>
      <c r="QV290" s="56"/>
      <c r="QW290" s="242">
        <f>SUMPRODUCT(PRODUCE!$B289:$DY289,PRODUCE!$EB$57:$IY$57)</f>
        <v>0</v>
      </c>
      <c r="QX290" s="56"/>
      <c r="QY290" s="242">
        <f>QW290-QX290</f>
        <v>0</v>
      </c>
      <c r="QZ290" s="242">
        <f>QZ289+QV290-QX290</f>
        <v>0</v>
      </c>
      <c r="RA290" s="56"/>
      <c r="RD290" s="55">
        <f>QU290</f>
        <v>46266</v>
      </c>
      <c r="RE290" s="56"/>
      <c r="RF290" s="242">
        <f>SUMPRODUCT(PRODUCE!$B289:$DY289,PRODUCE!$EB$58:$IY$58)</f>
        <v>0</v>
      </c>
      <c r="RG290" s="56"/>
      <c r="RH290" s="242">
        <f>RF290-RG290</f>
        <v>0</v>
      </c>
      <c r="RI290" s="242">
        <f>RI289+RE290-RG290</f>
        <v>147.04000000000002</v>
      </c>
      <c r="RJ290" s="56"/>
      <c r="RM290" s="55">
        <f>RD290</f>
        <v>46266</v>
      </c>
      <c r="RN290" s="56"/>
      <c r="RO290" s="242">
        <f>SUMPRODUCT(PRODUCE!$B289:$DY289,PRODUCE!$EB$59:$IY$59)</f>
        <v>0</v>
      </c>
      <c r="RP290" s="56"/>
      <c r="RQ290" s="242">
        <f>RO290-RP290</f>
        <v>0</v>
      </c>
      <c r="RR290" s="242">
        <f>RR289+RN290-RP290</f>
        <v>46.8</v>
      </c>
      <c r="RS290" s="56"/>
      <c r="RV290" s="55">
        <f>RM290</f>
        <v>46266</v>
      </c>
      <c r="RW290" s="56"/>
      <c r="RX290" s="242">
        <f>SUMPRODUCT(PRODUCE!$B289:$DY289,PRODUCE!$EB$57:$IY$57)</f>
        <v>0</v>
      </c>
      <c r="RY290" s="56"/>
      <c r="RZ290" s="242">
        <f>RX290-RY290</f>
        <v>0</v>
      </c>
      <c r="SA290" s="242">
        <f>SA289+RW290-RY290</f>
        <v>0</v>
      </c>
      <c r="SB290" s="56"/>
      <c r="SE290" s="55">
        <f>RV290</f>
        <v>46266</v>
      </c>
      <c r="SF290" s="56"/>
      <c r="SG290" s="242">
        <f>SUMPRODUCT(PRODUCE!$B289:$DY289,PRODUCE!$EB$61:$IY$61)</f>
        <v>0</v>
      </c>
      <c r="SH290" s="56"/>
      <c r="SI290" s="242">
        <f>SG290-SH290</f>
        <v>0</v>
      </c>
      <c r="SJ290" s="242">
        <f>SJ289+SF290-SH290</f>
        <v>24.200000000000003</v>
      </c>
      <c r="SK290" s="56"/>
      <c r="SN290" s="55">
        <f>SE290</f>
        <v>46266</v>
      </c>
      <c r="SO290" s="56"/>
      <c r="SP290" s="242">
        <f>SUMPRODUCT(PRODUCE!$B289:$DY289,PRODUCE!$EB$57:$IY$57)</f>
        <v>0</v>
      </c>
      <c r="SQ290" s="56"/>
      <c r="SR290" s="242">
        <f>SP290-SQ290</f>
        <v>0</v>
      </c>
      <c r="SS290" s="242">
        <f>SS289+SO290-SQ290</f>
        <v>32</v>
      </c>
      <c r="ST290" s="56"/>
      <c r="SW290" s="55">
        <f>SN290</f>
        <v>46266</v>
      </c>
      <c r="SX290" s="56"/>
      <c r="SY290" s="242">
        <f>SUMPRODUCT(PRODUCE!$B289:$DY289,PRODUCE!$EB$57:$IY$57)</f>
        <v>0</v>
      </c>
      <c r="SZ290" s="56"/>
      <c r="TA290" s="242">
        <f>SY290-SZ290</f>
        <v>0</v>
      </c>
      <c r="TB290" s="242">
        <f>TB289+SX290-SZ290</f>
        <v>0</v>
      </c>
      <c r="TC290" s="56"/>
      <c r="TF290" s="55">
        <f>SW290</f>
        <v>46266</v>
      </c>
      <c r="TG290" s="56"/>
      <c r="TH290" s="242">
        <f>SUMPRODUCT(PRODUCE!$B289:$DY289,PRODUCE!$EB$57:$IY$57)</f>
        <v>0</v>
      </c>
      <c r="TI290" s="56"/>
      <c r="TJ290" s="242">
        <f>TH290-TI290</f>
        <v>0</v>
      </c>
      <c r="TK290" s="242">
        <f>TK289+TG290-TI290</f>
        <v>0</v>
      </c>
      <c r="TL290" s="56"/>
      <c r="TO290" s="55">
        <f>TF290</f>
        <v>46266</v>
      </c>
      <c r="TP290" s="56"/>
      <c r="TQ290" s="242">
        <f>SUMPRODUCT(PRODUCE!$B289:$DY289,PRODUCE!$EB$57:$IY$57)</f>
        <v>0</v>
      </c>
      <c r="TR290" s="56"/>
      <c r="TS290" s="242">
        <f>TQ290-TR290</f>
        <v>0</v>
      </c>
      <c r="TT290" s="242">
        <f>TT289+TP290-TR290</f>
        <v>0</v>
      </c>
      <c r="TU290" s="56"/>
      <c r="TX290" s="55">
        <f>TO290</f>
        <v>46266</v>
      </c>
      <c r="TY290" s="56"/>
      <c r="TZ290" s="242">
        <f>SUMPRODUCT(PRODUCE!$B289:$DY289,PRODUCE!$EB$57:$IY$57)</f>
        <v>0</v>
      </c>
      <c r="UA290" s="56"/>
      <c r="UB290" s="242">
        <f>TZ290-UA290</f>
        <v>0</v>
      </c>
      <c r="UC290" s="242">
        <f>UC289+TY290-UA290</f>
        <v>46.799999999999983</v>
      </c>
      <c r="UD290" s="56"/>
      <c r="UG290" s="55">
        <f>TX290</f>
        <v>46266</v>
      </c>
      <c r="UH290" s="56"/>
      <c r="UI290" s="242">
        <f>SUMPRODUCT(PRODUCE!$B289:$DY289,PRODUCE!$EB$57:$IY$57)</f>
        <v>0</v>
      </c>
      <c r="UJ290" s="56"/>
      <c r="UK290" s="242">
        <f>UI290-UJ290</f>
        <v>0</v>
      </c>
      <c r="UL290" s="242">
        <f>UL289+UH290-UJ290</f>
        <v>204</v>
      </c>
      <c r="UM290" s="56"/>
      <c r="UP290" s="55">
        <f>UG290</f>
        <v>46266</v>
      </c>
      <c r="UQ290" s="56"/>
      <c r="UR290" s="242">
        <f>SUMPRODUCT(PRODUCE!$B289:$DY289,PRODUCE!$EB$57:$IY$57)</f>
        <v>0</v>
      </c>
      <c r="US290" s="56"/>
      <c r="UT290" s="242">
        <f>UR290-US290</f>
        <v>0</v>
      </c>
      <c r="UU290" s="242">
        <f>UU289+UQ290-US290</f>
        <v>202.5</v>
      </c>
      <c r="UV290" s="56"/>
      <c r="UY290" s="55">
        <f>UP290</f>
        <v>46266</v>
      </c>
      <c r="UZ290" s="56"/>
      <c r="VA290" s="242">
        <f>SUMPRODUCT(PRODUCE!$B289:$DY289,PRODUCE!$EB$57:$IY$57)</f>
        <v>0</v>
      </c>
      <c r="VB290" s="56"/>
      <c r="VC290" s="242">
        <f>VA290-VB290</f>
        <v>0</v>
      </c>
      <c r="VD290" s="242">
        <f>VD289+UZ290-VB290</f>
        <v>41.600000000000023</v>
      </c>
      <c r="VE290" s="56"/>
      <c r="VH290" s="55">
        <f>UY290</f>
        <v>46266</v>
      </c>
      <c r="VI290" s="56"/>
      <c r="VJ290" s="242">
        <f>SUMPRODUCT(PRODUCE!$B289:$DY289,PRODUCE!$EB$57:$IY$57)</f>
        <v>0</v>
      </c>
      <c r="VK290" s="56"/>
      <c r="VL290" s="242">
        <f>VJ290-VK290</f>
        <v>0</v>
      </c>
      <c r="VM290" s="242">
        <f>VM289+VI290-VK290</f>
        <v>210</v>
      </c>
      <c r="VN290" s="56"/>
      <c r="VQ290" s="55">
        <f>VH290</f>
        <v>46266</v>
      </c>
      <c r="VR290" s="56"/>
      <c r="VS290" s="242">
        <f>SUMPRODUCT(PRODUCE!$B289:$DY289,PRODUCE!$EB$57:$IY$57)</f>
        <v>0</v>
      </c>
      <c r="VT290" s="56"/>
      <c r="VU290" s="242">
        <f>VS290-VT290</f>
        <v>0</v>
      </c>
      <c r="VV290" s="242">
        <f>VV289+VR290-VT290</f>
        <v>0</v>
      </c>
      <c r="VW290" s="56"/>
      <c r="VZ290" s="55">
        <f>VQ290</f>
        <v>46266</v>
      </c>
      <c r="WA290" s="56"/>
      <c r="WB290" s="242">
        <f>SUMPRODUCT(PRODUCE!$B289:$DY289,PRODUCE!$EB$57:$IY$57)</f>
        <v>0</v>
      </c>
      <c r="WC290" s="56"/>
      <c r="WD290" s="242">
        <f>WB290-WC290</f>
        <v>0</v>
      </c>
      <c r="WE290" s="242">
        <f>WE289+WA290-WC290</f>
        <v>0</v>
      </c>
      <c r="WF290" s="56"/>
      <c r="WI290" s="55">
        <f>VZ290</f>
        <v>46266</v>
      </c>
      <c r="WJ290" s="56"/>
      <c r="WK290" s="242">
        <f>SUMPRODUCT(PRODUCE!$B289:$DY289,PRODUCE!$EB$57:$IY$57)</f>
        <v>0</v>
      </c>
      <c r="WL290" s="56"/>
      <c r="WM290" s="242">
        <f>WK290-WL290</f>
        <v>0</v>
      </c>
      <c r="WN290" s="242">
        <f>WN289+WJ290-WL290</f>
        <v>1057</v>
      </c>
      <c r="WO290" s="56"/>
      <c r="WR290" s="55">
        <f>WI290</f>
        <v>46266</v>
      </c>
      <c r="WS290" s="56"/>
      <c r="WT290" s="242">
        <f>SUMPRODUCT(PRODUCE!$B289:$DY289,PRODUCE!$EB$57:$IY$57)</f>
        <v>0</v>
      </c>
      <c r="WU290" s="56"/>
      <c r="WV290" s="242">
        <f>WT290-WU290</f>
        <v>0</v>
      </c>
      <c r="WW290" s="242">
        <f>WW289+WS290-WU290</f>
        <v>0</v>
      </c>
      <c r="WX290" s="56"/>
      <c r="XA290" s="55">
        <f>WR290</f>
        <v>46266</v>
      </c>
      <c r="XB290" s="56"/>
      <c r="XC290" s="242">
        <f>SUMPRODUCT(PRODUCE!$B289:$DY289,PRODUCE!$EB$57:$IY$57)</f>
        <v>0</v>
      </c>
      <c r="XD290" s="56"/>
      <c r="XE290" s="242">
        <f>XC290-XD290</f>
        <v>0</v>
      </c>
      <c r="XF290" s="242">
        <f>XF289+XB290-XD290</f>
        <v>7507</v>
      </c>
      <c r="XG290" s="56"/>
      <c r="XJ290" s="55">
        <f>XA290</f>
        <v>46266</v>
      </c>
      <c r="XK290" s="56"/>
      <c r="XL290" s="242">
        <f>SUMPRODUCT(PRODUCE!$B289:$DY289,PRODUCE!$EB$57:$IY$57)</f>
        <v>0</v>
      </c>
      <c r="XM290" s="56"/>
      <c r="XN290" s="242">
        <f>XL290-XM290</f>
        <v>0</v>
      </c>
      <c r="XO290" s="242">
        <f>XO289+XK290-XM290</f>
        <v>4252</v>
      </c>
      <c r="XP290" s="56"/>
      <c r="XS290" s="55">
        <f>XJ290</f>
        <v>46266</v>
      </c>
      <c r="XT290" s="56"/>
      <c r="XU290" s="242">
        <f>SUMPRODUCT(PRODUCE!$B289:$DY289,PRODUCE!$EB$57:$IY$57)</f>
        <v>0</v>
      </c>
      <c r="XV290" s="56"/>
      <c r="XW290" s="242">
        <f>XU290-XV290</f>
        <v>0</v>
      </c>
      <c r="XX290" s="242">
        <f>XX289+XT290-XV290</f>
        <v>2179</v>
      </c>
      <c r="XY290" s="56"/>
      <c r="YB290" s="55">
        <f>XS290</f>
        <v>46266</v>
      </c>
      <c r="YC290" s="56"/>
      <c r="YD290" s="242">
        <f>SUMPRODUCT(PRODUCE!$B289:$DY289,PRODUCE!$EB$57:$IY$57)</f>
        <v>0</v>
      </c>
      <c r="YE290" s="56"/>
      <c r="YF290" s="242">
        <f>YD290-YE290</f>
        <v>0</v>
      </c>
      <c r="YG290" s="242">
        <f>YG289+YC290-YE290</f>
        <v>4019</v>
      </c>
      <c r="YH290" s="56"/>
      <c r="YK290" s="55">
        <f>YB290</f>
        <v>46266</v>
      </c>
      <c r="YL290" s="56"/>
      <c r="YM290" s="242">
        <f>SUMPRODUCT(PRODUCE!$B289:$DY289,PRODUCE!$EB$57:$IY$57)</f>
        <v>0</v>
      </c>
      <c r="YN290" s="56"/>
      <c r="YO290" s="242">
        <f>YM290-YN290</f>
        <v>0</v>
      </c>
      <c r="YP290" s="242">
        <f>YP289+YL290-YN290</f>
        <v>-218</v>
      </c>
      <c r="YQ290" s="56"/>
      <c r="YT290" s="55">
        <f>YK290</f>
        <v>46266</v>
      </c>
      <c r="YU290" s="56"/>
      <c r="YV290" s="242">
        <f>SUMPRODUCT(PRODUCE!$B289:$DY289,PRODUCE!$EB$57:$IY$57)</f>
        <v>0</v>
      </c>
      <c r="YW290" s="56"/>
      <c r="YX290" s="242">
        <f>YV290-YW290</f>
        <v>0</v>
      </c>
      <c r="YY290" s="242">
        <f>YY289+YU290-YW290</f>
        <v>0</v>
      </c>
      <c r="YZ290" s="56"/>
      <c r="ZC290" s="55">
        <f>YT290</f>
        <v>46266</v>
      </c>
      <c r="ZD290" s="56"/>
      <c r="ZE290" s="242">
        <f>SUMPRODUCT(PRODUCE!$B289:$DY289,PRODUCE!$EB$57:$IY$57)</f>
        <v>0</v>
      </c>
      <c r="ZF290" s="56"/>
      <c r="ZG290" s="242">
        <f>ZE290-ZF290</f>
        <v>0</v>
      </c>
      <c r="ZH290" s="242">
        <f>ZH289+ZD290-ZF290</f>
        <v>0</v>
      </c>
      <c r="ZI290" s="56"/>
      <c r="ZL290" s="55">
        <f>ZC290</f>
        <v>46266</v>
      </c>
      <c r="ZM290" s="56"/>
      <c r="ZN290" s="242">
        <f>SUMPRODUCT(PRODUCE!$B289:$DY289,PRODUCE!$EB$57:$IY$57)</f>
        <v>0</v>
      </c>
      <c r="ZO290" s="56"/>
      <c r="ZP290" s="242">
        <f>ZN290-ZO290</f>
        <v>0</v>
      </c>
      <c r="ZQ290" s="242">
        <f>ZQ289+ZM290-ZO290</f>
        <v>0</v>
      </c>
      <c r="ZR290" s="56"/>
      <c r="ZU290" s="55">
        <f>ZL290</f>
        <v>46266</v>
      </c>
      <c r="ZV290" s="56"/>
      <c r="ZW290" s="242">
        <f>SUMPRODUCT(PRODUCE!$B289:$DY289,PRODUCE!$EB$57:$IY$57)</f>
        <v>0</v>
      </c>
      <c r="ZX290" s="56"/>
      <c r="ZY290" s="242">
        <f>ZW290-ZX290</f>
        <v>0</v>
      </c>
      <c r="ZZ290" s="242">
        <f>ZZ289+ZV290-ZX290</f>
        <v>0</v>
      </c>
      <c r="AAA290" s="56"/>
      <c r="AAD290" s="55">
        <f>ZU290</f>
        <v>46266</v>
      </c>
      <c r="AAE290" s="56"/>
      <c r="AAF290" s="242">
        <f>SUMPRODUCT(PRODUCE!$B289:$DY289,PRODUCE!$EB$57:$IY$57)</f>
        <v>0</v>
      </c>
      <c r="AAG290" s="56"/>
      <c r="AAH290" s="242">
        <f>AAF290-AAG290</f>
        <v>0</v>
      </c>
      <c r="AAI290" s="242">
        <f>AAI289+AAE290-AAG290</f>
        <v>0</v>
      </c>
      <c r="AAJ290" s="56"/>
      <c r="AAM290" s="55">
        <f>AAD290</f>
        <v>46266</v>
      </c>
      <c r="AAN290" s="56"/>
      <c r="AAO290" s="242">
        <f>SUMPRODUCT(PRODUCE!$B289:$DY289,PRODUCE!$EB$57:$IY$57)</f>
        <v>0</v>
      </c>
      <c r="AAP290" s="56"/>
      <c r="AAQ290" s="242">
        <f>AAO290-AAP290</f>
        <v>0</v>
      </c>
      <c r="AAR290" s="242">
        <f>AAR289+AAN290-AAP290</f>
        <v>0</v>
      </c>
      <c r="AAS290" s="56"/>
      <c r="AAV290" s="55">
        <f>AAM290</f>
        <v>46266</v>
      </c>
      <c r="AAW290" s="56"/>
      <c r="AAX290" s="242">
        <f>SUMPRODUCT(PRODUCE!$B289:$DY289,PRODUCE!$EB$57:$IY$57)</f>
        <v>0</v>
      </c>
      <c r="AAY290" s="56"/>
      <c r="AAZ290" s="242">
        <f>AAX290-AAY290</f>
        <v>0</v>
      </c>
      <c r="ABA290" s="242">
        <f>ABA289+AAW290-AAY290</f>
        <v>0</v>
      </c>
      <c r="ABB290" s="56"/>
      <c r="ABE290" s="55">
        <f>AAV290</f>
        <v>46266</v>
      </c>
      <c r="ABF290" s="56"/>
      <c r="ABG290" s="242">
        <f>SUMPRODUCT(PRODUCE!$B289:$DY289,PRODUCE!$EB$57:$IY$57)</f>
        <v>0</v>
      </c>
      <c r="ABH290" s="56"/>
      <c r="ABI290" s="242">
        <f>ABG290-ABH290</f>
        <v>0</v>
      </c>
      <c r="ABJ290" s="242">
        <f>ABJ289+ABF290-ABH290</f>
        <v>0</v>
      </c>
      <c r="ABK290" s="56"/>
    </row>
    <row r="291" spans="2:739" s="54" customFormat="1" ht="15" customHeight="1" outlineLevel="1">
      <c r="B291" s="478"/>
      <c r="C291" s="55">
        <v>46267</v>
      </c>
      <c r="D291" s="56"/>
      <c r="E291" s="57">
        <f>SUMPRODUCT(PRODUCE!$B290:$DY290,PRODUCE!$EB$7:$IY$7)</f>
        <v>0</v>
      </c>
      <c r="F291" s="56"/>
      <c r="G291" s="57">
        <f t="shared" ref="G291:G319" si="1992">E291-F291</f>
        <v>0</v>
      </c>
      <c r="H291" s="57">
        <f t="shared" ref="H291:H319" si="1993">H290+D291-F291</f>
        <v>236936.6</v>
      </c>
      <c r="I291" s="289"/>
      <c r="L291" s="55">
        <f t="shared" ref="L291:L319" si="1994">C291</f>
        <v>46267</v>
      </c>
      <c r="M291" s="56"/>
      <c r="N291" s="59">
        <f>SUMPRODUCT(PRODUCE!$B290:$DY290,PRODUCE!$EB$8:$IY$8)</f>
        <v>0</v>
      </c>
      <c r="O291" s="56"/>
      <c r="P291" s="59">
        <f t="shared" ref="P291:P319" si="1995">N291-O291</f>
        <v>0</v>
      </c>
      <c r="Q291" s="59">
        <f t="shared" ref="Q291:Q319" si="1996">Q290+M291-O291</f>
        <v>53017.600000000071</v>
      </c>
      <c r="R291" s="56"/>
      <c r="U291" s="55">
        <f t="shared" ref="U291:U319" si="1997">L291</f>
        <v>46267</v>
      </c>
      <c r="V291" s="56"/>
      <c r="W291" s="60">
        <f>SUMPRODUCT(PRODUCE!$B290:$DY290,PRODUCE!$EB$9:$IY$9)</f>
        <v>0</v>
      </c>
      <c r="X291" s="56"/>
      <c r="Y291" s="60">
        <f t="shared" ref="Y291:Y319" si="1998">W291-X291</f>
        <v>0</v>
      </c>
      <c r="Z291" s="60">
        <f t="shared" ref="Z291:Z319" si="1999">Z290+V291-X291</f>
        <v>42674.199999999968</v>
      </c>
      <c r="AA291" s="56"/>
      <c r="AD291" s="55">
        <f t="shared" ref="AD291:AD319" si="2000">U291</f>
        <v>46267</v>
      </c>
      <c r="AE291" s="56"/>
      <c r="AF291" s="61">
        <f>SUMPRODUCT(PRODUCE!$B290:$DY290,PRODUCE!$EB$10:$IY$10)</f>
        <v>0</v>
      </c>
      <c r="AG291" s="56"/>
      <c r="AH291" s="61">
        <f t="shared" ref="AH291:AH319" si="2001">AF291-AG291</f>
        <v>0</v>
      </c>
      <c r="AI291" s="61">
        <f t="shared" ref="AI291:AI319" si="2002">AI290+AE291-AG291</f>
        <v>4522.2000000000189</v>
      </c>
      <c r="AJ291" s="56"/>
      <c r="AM291" s="55">
        <f t="shared" ref="AM291:AM319" si="2003">AD291</f>
        <v>46267</v>
      </c>
      <c r="AN291" s="422"/>
      <c r="AO291" s="444">
        <f>SUMPRODUCT(PRODUCE!$B290:$DY290,PRODUCE!$EB$11:$IY$11)</f>
        <v>0</v>
      </c>
      <c r="AP291" s="422"/>
      <c r="AQ291" s="444">
        <f t="shared" ref="AQ291:AQ319" si="2004">AO291-AP291</f>
        <v>0</v>
      </c>
      <c r="AR291" s="444">
        <f t="shared" ref="AR291:AR319" si="2005">AR290+AN291-AP291</f>
        <v>0</v>
      </c>
      <c r="AS291" s="56"/>
      <c r="AV291" s="55">
        <f t="shared" ref="AV291:AV319" si="2006">AM291</f>
        <v>46267</v>
      </c>
      <c r="AW291" s="56"/>
      <c r="AX291" s="62">
        <f>SUMPRODUCT(PRODUCE!$B290:$DY290,PRODUCE!$EB$12:$IY$12)</f>
        <v>0</v>
      </c>
      <c r="AY291" s="56"/>
      <c r="AZ291" s="62">
        <f t="shared" ref="AZ291:AZ319" si="2007">AX291-AY291</f>
        <v>0</v>
      </c>
      <c r="BA291" s="62">
        <f t="shared" ref="BA291:BA319" si="2008">BA290+AW291-AY291</f>
        <v>124.99999999999523</v>
      </c>
      <c r="BB291" s="56"/>
      <c r="BE291" s="55">
        <f t="shared" ref="BE291:BE319" si="2009">AV291</f>
        <v>46267</v>
      </c>
      <c r="BF291" s="56"/>
      <c r="BG291" s="63">
        <f>SUMPRODUCT(PRODUCE!$B290:$DY290,PRODUCE!$EB$13:$IY$13)</f>
        <v>0</v>
      </c>
      <c r="BH291" s="56"/>
      <c r="BI291" s="63">
        <f t="shared" ref="BI291:BI319" si="2010">BG291-BH291</f>
        <v>0</v>
      </c>
      <c r="BJ291" s="63">
        <f t="shared" ref="BJ291:BJ319" si="2011">BJ290+BF291-BH291</f>
        <v>26151.899999999998</v>
      </c>
      <c r="BK291" s="56"/>
      <c r="BN291" s="55">
        <f t="shared" ref="BN291:BN319" si="2012">BE291</f>
        <v>46267</v>
      </c>
      <c r="BO291" s="56"/>
      <c r="BP291" s="64">
        <f>SUMPRODUCT(PRODUCE!$B290:$DY290,PRODUCE!$EB$14:$IY$14)</f>
        <v>0</v>
      </c>
      <c r="BQ291" s="56"/>
      <c r="BR291" s="64">
        <f t="shared" ref="BR291:BR319" si="2013">BP291-BQ291</f>
        <v>0</v>
      </c>
      <c r="BS291" s="64">
        <f t="shared" ref="BS291:BS319" si="2014">BS290+BO291-BQ291</f>
        <v>0</v>
      </c>
      <c r="BT291" s="56"/>
      <c r="BW291" s="55">
        <f t="shared" ref="BW291:BW319" si="2015">BN291</f>
        <v>46267</v>
      </c>
      <c r="BX291" s="56"/>
      <c r="BY291" s="65">
        <f>SUMPRODUCT(PRODUCE!$B290:$DY290,PRODUCE!$EB$15:$IY$15)</f>
        <v>0</v>
      </c>
      <c r="BZ291" s="56"/>
      <c r="CA291" s="65">
        <f t="shared" ref="CA291:CA319" si="2016">BY291-BZ291</f>
        <v>0</v>
      </c>
      <c r="CB291" s="65">
        <f t="shared" ref="CB291:CB319" si="2017">CB290+BX291-BZ291</f>
        <v>2097.3399999999992</v>
      </c>
      <c r="CC291" s="56"/>
      <c r="CF291" s="55">
        <f t="shared" ref="CF291:CF319" si="2018">BW291</f>
        <v>46267</v>
      </c>
      <c r="CG291" s="56"/>
      <c r="CH291" s="66">
        <f>SUMPRODUCT(PRODUCE!$B290:$DY290,PRODUCE!$EB$16:$IY$16)</f>
        <v>0</v>
      </c>
      <c r="CI291" s="56"/>
      <c r="CJ291" s="66">
        <f t="shared" ref="CJ291:CJ319" si="2019">CH291-CI291</f>
        <v>0</v>
      </c>
      <c r="CK291" s="66">
        <f t="shared" ref="CK291:CK319" si="2020">CK290+CG291-CI291</f>
        <v>-10277.079999999998</v>
      </c>
      <c r="CL291" s="56"/>
      <c r="CO291" s="55">
        <f t="shared" ref="CO291:CO319" si="2021">CF291</f>
        <v>46267</v>
      </c>
      <c r="CP291" s="422"/>
      <c r="CQ291" s="470">
        <f>SUMPRODUCT(PRODUCE!$B290:$DY290,PRODUCE!$EB$17:$IY$17)</f>
        <v>0</v>
      </c>
      <c r="CR291" s="422"/>
      <c r="CS291" s="470">
        <f t="shared" ref="CS291:CS319" si="2022">CQ291-CR291</f>
        <v>0</v>
      </c>
      <c r="CT291" s="470">
        <f t="shared" ref="CT291:CT319" si="2023">CT290+CP291-CR291</f>
        <v>0</v>
      </c>
      <c r="CU291" s="56"/>
      <c r="CX291" s="55">
        <f t="shared" ref="CX291:CX319" si="2024">CO291</f>
        <v>46267</v>
      </c>
      <c r="CY291" s="56"/>
      <c r="CZ291" s="133">
        <f>SUMPRODUCT(PRODUCE!$B290:$DY290,PRODUCE!$EB$18:$IY$18)</f>
        <v>0</v>
      </c>
      <c r="DA291" s="56"/>
      <c r="DB291" s="133">
        <f t="shared" ref="DB291:DB319" si="2025">CZ291-DA291</f>
        <v>0</v>
      </c>
      <c r="DC291" s="133">
        <f t="shared" ref="DC291:DC319" si="2026">DC290+CY291-DA291</f>
        <v>27438.200000000012</v>
      </c>
      <c r="DD291" s="56"/>
      <c r="DG291" s="55">
        <f t="shared" ref="DG291:DG319" si="2027">CX291</f>
        <v>46267</v>
      </c>
      <c r="DH291" s="56"/>
      <c r="DI291" s="147">
        <f>SUMPRODUCT(PRODUCE!$B290:$DY290,PRODUCE!$EB$19:$IY$19)</f>
        <v>0</v>
      </c>
      <c r="DJ291" s="56"/>
      <c r="DK291" s="147">
        <f t="shared" ref="DK291:DK319" si="2028">DI291-DJ291</f>
        <v>0</v>
      </c>
      <c r="DL291" s="147">
        <f t="shared" ref="DL291:DL319" si="2029">DL290+DH291-DJ291</f>
        <v>18782.299999999981</v>
      </c>
      <c r="DM291" s="56"/>
      <c r="DP291" s="55">
        <f t="shared" ref="DP291:DP319" si="2030">DG291</f>
        <v>46267</v>
      </c>
      <c r="DQ291" s="56"/>
      <c r="DR291" s="57">
        <f>SUMPRODUCT(PRODUCE!$B290:$DY290,PRODUCE!$EB$20:$IY$20)</f>
        <v>0</v>
      </c>
      <c r="DS291" s="56"/>
      <c r="DT291" s="57">
        <f t="shared" ref="DT291:DT319" si="2031">DR291-DS291</f>
        <v>0</v>
      </c>
      <c r="DU291" s="57">
        <f t="shared" ref="DU291:DU319" si="2032">DU290+DQ291-DS291</f>
        <v>5800</v>
      </c>
      <c r="DV291" s="56"/>
      <c r="DY291" s="55">
        <f t="shared" ref="DY291:DY319" si="2033">DP291</f>
        <v>46267</v>
      </c>
      <c r="DZ291" s="56"/>
      <c r="EA291" s="157">
        <f>SUMPRODUCT(PRODUCE!$B290:$DY290,PRODUCE!$EB$21:$IY$21)</f>
        <v>0</v>
      </c>
      <c r="EB291" s="56"/>
      <c r="EC291" s="157">
        <f t="shared" ref="EC291:EC319" si="2034">EA291-EB291</f>
        <v>0</v>
      </c>
      <c r="ED291" s="157">
        <f t="shared" ref="ED291:ED319" si="2035">ED290+DZ291-EB291</f>
        <v>0</v>
      </c>
      <c r="EE291" s="56"/>
      <c r="EH291" s="55">
        <f t="shared" ref="EH291:EH319" si="2036">DY291</f>
        <v>46267</v>
      </c>
      <c r="EI291" s="56"/>
      <c r="EJ291" s="162">
        <f>SUMPRODUCT(PRODUCE!$B290:$DY290,PRODUCE!$EB$22:$IY$22)</f>
        <v>0</v>
      </c>
      <c r="EK291" s="56"/>
      <c r="EL291" s="162">
        <f t="shared" ref="EL291:EL319" si="2037">EJ291-EK291</f>
        <v>0</v>
      </c>
      <c r="EM291" s="162">
        <f t="shared" ref="EM291:EM319" si="2038">EM290+EI291-EK291</f>
        <v>0</v>
      </c>
      <c r="EN291" s="56"/>
      <c r="EQ291" s="55">
        <f t="shared" ref="EQ291:EQ319" si="2039">EH291</f>
        <v>46267</v>
      </c>
      <c r="ER291" s="56"/>
      <c r="ES291" s="135">
        <f>SUMPRODUCT(PRODUCE!$B290:$DY290,PRODUCE!$EB$23:$IY$23)</f>
        <v>0</v>
      </c>
      <c r="ET291" s="56"/>
      <c r="EU291" s="135">
        <f t="shared" ref="EU291:EU319" si="2040">ES291-ET291</f>
        <v>0</v>
      </c>
      <c r="EV291" s="135">
        <f t="shared" ref="EV291:EV319" si="2041">EV290+ER291-ET291</f>
        <v>0</v>
      </c>
      <c r="EW291" s="56"/>
      <c r="EZ291" s="55">
        <f t="shared" ref="EZ291:EZ319" si="2042">EQ291</f>
        <v>46267</v>
      </c>
      <c r="FA291" s="56"/>
      <c r="FB291" s="175">
        <f>SUMPRODUCT(PRODUCE!$B290:$DY290,PRODUCE!$EB$24:$IY$24)</f>
        <v>0</v>
      </c>
      <c r="FC291" s="56"/>
      <c r="FD291" s="175">
        <f t="shared" ref="FD291:FD319" si="2043">FB291-FC291</f>
        <v>0</v>
      </c>
      <c r="FE291" s="175">
        <f t="shared" ref="FE291:FE319" si="2044">FE290+FA291-FC291</f>
        <v>0</v>
      </c>
      <c r="FF291" s="56"/>
      <c r="FI291" s="55">
        <f t="shared" ref="FI291:FI319" si="2045">EZ291</f>
        <v>46267</v>
      </c>
      <c r="FJ291" s="56"/>
      <c r="FK291" s="183">
        <f>SUMPRODUCT(PRODUCE!$B290:$DY290,PRODUCE!$EB$25:$IY$25)</f>
        <v>0</v>
      </c>
      <c r="FL291" s="56"/>
      <c r="FM291" s="183">
        <f t="shared" ref="FM291:FM319" si="2046">FK291-FL291</f>
        <v>0</v>
      </c>
      <c r="FN291" s="183">
        <f t="shared" ref="FN291:FN319" si="2047">FN290+FJ291-FL291</f>
        <v>0</v>
      </c>
      <c r="FO291" s="56"/>
      <c r="FR291" s="55">
        <f t="shared" ref="FR291:FR319" si="2048">FI291</f>
        <v>46267</v>
      </c>
      <c r="FS291" s="56"/>
      <c r="FT291" s="186">
        <f>SUMPRODUCT(PRODUCE!$B290:$DY290,PRODUCE!$EB$26:$IY$26)</f>
        <v>0</v>
      </c>
      <c r="FU291" s="56"/>
      <c r="FV291" s="186">
        <f t="shared" ref="FV291:FV319" si="2049">FT291-FU291</f>
        <v>0</v>
      </c>
      <c r="FW291" s="186">
        <f t="shared" ref="FW291:FW319" si="2050">FW290+FS291-FU291</f>
        <v>2020</v>
      </c>
      <c r="FX291" s="56"/>
      <c r="GA291" s="55">
        <f t="shared" ref="GA291:GA319" si="2051">FR291</f>
        <v>46267</v>
      </c>
      <c r="GB291" s="56"/>
      <c r="GC291" s="137">
        <f>SUMPRODUCT(PRODUCE!$B290:$DY290,PRODUCE!$EB$27:$IY$27)</f>
        <v>0</v>
      </c>
      <c r="GD291" s="56"/>
      <c r="GE291" s="137">
        <f t="shared" ref="GE291:GE319" si="2052">GC291-GD291</f>
        <v>0</v>
      </c>
      <c r="GF291" s="137">
        <f t="shared" ref="GF291:GF319" si="2053">GF290+GB291-GD291</f>
        <v>960</v>
      </c>
      <c r="GG291" s="56"/>
      <c r="GI291" s="23"/>
      <c r="GJ291" s="55">
        <f t="shared" ref="GJ291:GJ319" si="2054">GA291</f>
        <v>46267</v>
      </c>
      <c r="GK291" s="56"/>
      <c r="GL291" s="199">
        <f>SUMPRODUCT(PRODUCE!$B290:$DY290,PRODUCE!$EB$28:$IY$28)</f>
        <v>0</v>
      </c>
      <c r="GM291" s="56"/>
      <c r="GN291" s="199">
        <f t="shared" ref="GN291:GN319" si="2055">GL291-GM291</f>
        <v>0</v>
      </c>
      <c r="GO291" s="199">
        <f t="shared" ref="GO291:GO319" si="2056">GO290+GK291-GM291</f>
        <v>1760</v>
      </c>
      <c r="GP291" s="56"/>
      <c r="GS291" s="55">
        <f t="shared" ref="GS291:GS319" si="2057">GJ291</f>
        <v>46267</v>
      </c>
      <c r="GT291" s="56"/>
      <c r="GU291" s="195">
        <f>SUMPRODUCT(PRODUCE!$B290:$DY290,PRODUCE!$EB$29:$IY$29)</f>
        <v>0</v>
      </c>
      <c r="GV291" s="56"/>
      <c r="GW291" s="195">
        <f t="shared" ref="GW291:GW319" si="2058">GU291-GV291</f>
        <v>0</v>
      </c>
      <c r="GX291" s="195">
        <f t="shared" ref="GX291:GX319" si="2059">GX290+GT291-GV291</f>
        <v>400</v>
      </c>
      <c r="GY291" s="56"/>
      <c r="HB291" s="55">
        <f t="shared" ref="HB291:HB319" si="2060">GS291</f>
        <v>46267</v>
      </c>
      <c r="HC291" s="56"/>
      <c r="HD291" s="191">
        <f>SUMPRODUCT(PRODUCE!$B290:$DY290,PRODUCE!$EB$30:$IY$30)</f>
        <v>0</v>
      </c>
      <c r="HE291" s="56"/>
      <c r="HF291" s="191">
        <f t="shared" ref="HF291:HF319" si="2061">HD291-HE291</f>
        <v>0</v>
      </c>
      <c r="HG291" s="191">
        <f t="shared" ref="HG291:HG319" si="2062">HG290+HC291-HE291</f>
        <v>3600</v>
      </c>
      <c r="HH291" s="56"/>
      <c r="HK291" s="55">
        <f t="shared" ref="HK291:HK319" si="2063">HB291</f>
        <v>46267</v>
      </c>
      <c r="HL291" s="56"/>
      <c r="HM291" s="63">
        <f>SUMPRODUCT(PRODUCE!$B290:$DY290,PRODUCE!$EB$31:$IY$31)</f>
        <v>0</v>
      </c>
      <c r="HN291" s="56"/>
      <c r="HO291" s="63">
        <f t="shared" ref="HO291:HO319" si="2064">HM291-HN291</f>
        <v>0</v>
      </c>
      <c r="HP291" s="63">
        <f t="shared" ref="HP291:HP319" si="2065">HP290+HL291-HN291</f>
        <v>0</v>
      </c>
      <c r="HQ291" s="56"/>
      <c r="HU291" s="55">
        <f t="shared" ref="HU291:HU319" si="2066">HK291</f>
        <v>46267</v>
      </c>
      <c r="HV291" s="56"/>
      <c r="HW291" s="242">
        <f>SUMPRODUCT(PRODUCE!$B290:$DY290,PRODUCE!$EB$32:$IY$32)</f>
        <v>0</v>
      </c>
      <c r="HX291" s="56"/>
      <c r="HY291" s="242">
        <v>0</v>
      </c>
      <c r="HZ291" s="242">
        <f t="shared" ref="HZ291:HZ319" si="2067">HZ290+HV291-HX291</f>
        <v>6120</v>
      </c>
      <c r="IA291" s="56"/>
      <c r="ID291" s="55">
        <f t="shared" ref="ID291:ID319" si="2068">HU291</f>
        <v>46267</v>
      </c>
      <c r="IE291" s="56"/>
      <c r="IF291" s="242">
        <f>SUMPRODUCT(PRODUCE!$B290:$DY290,PRODUCE!$EB$33:$IY$33)</f>
        <v>0</v>
      </c>
      <c r="IG291" s="56"/>
      <c r="IH291" s="242">
        <f t="shared" ref="IH291:IH319" si="2069">IF291-IG291</f>
        <v>0</v>
      </c>
      <c r="II291" s="242">
        <f t="shared" ref="II291:II319" si="2070">II290+IE291-IG291</f>
        <v>0</v>
      </c>
      <c r="IJ291" s="56"/>
      <c r="IM291" s="55">
        <f t="shared" ref="IM291:IM319" si="2071">ID291</f>
        <v>46267</v>
      </c>
      <c r="IN291" s="56"/>
      <c r="IO291" s="242">
        <f>SUMPRODUCT(PRODUCE!$B290:$DY290,PRODUCE!$EB$34:$IY$34)</f>
        <v>0</v>
      </c>
      <c r="IP291" s="56"/>
      <c r="IQ291" s="242">
        <f t="shared" ref="IQ291:IQ319" si="2072">IO291-IP291</f>
        <v>0</v>
      </c>
      <c r="IR291" s="242">
        <f t="shared" ref="IR291:IR319" si="2073">IR290+IN291-IP291</f>
        <v>0</v>
      </c>
      <c r="IS291" s="56"/>
      <c r="IV291" s="55">
        <f t="shared" ref="IV291:IV319" si="2074">IM291</f>
        <v>46267</v>
      </c>
      <c r="IW291" s="56"/>
      <c r="IX291" s="242">
        <f>SUMPRODUCT(PRODUCE!$B290:$DY290,PRODUCE!$EB$35:$IY$35)</f>
        <v>0</v>
      </c>
      <c r="IY291" s="56"/>
      <c r="IZ291" s="242">
        <f t="shared" ref="IZ291:IZ319" si="2075">IX291-IY291</f>
        <v>0</v>
      </c>
      <c r="JA291" s="242">
        <f t="shared" ref="JA291:JA319" si="2076">JA290+IW291-IY291</f>
        <v>2820</v>
      </c>
      <c r="JB291" s="56"/>
      <c r="JE291" s="55">
        <f t="shared" ref="JE291:JE319" si="2077">IV291</f>
        <v>46267</v>
      </c>
      <c r="JF291" s="56"/>
      <c r="JG291" s="242">
        <f>SUMPRODUCT(PRODUCE!$B290:$DY290,PRODUCE!$EB$36:$IY$36)</f>
        <v>0</v>
      </c>
      <c r="JH291" s="56"/>
      <c r="JI291" s="242">
        <f t="shared" ref="JI291:JI319" si="2078">JG291-JH291</f>
        <v>0</v>
      </c>
      <c r="JJ291" s="242">
        <f t="shared" ref="JJ291:JJ319" si="2079">JJ290+JF291-JH291</f>
        <v>0</v>
      </c>
      <c r="JK291" s="56"/>
      <c r="JN291" s="55">
        <f t="shared" ref="JN291:JN319" si="2080">JE291</f>
        <v>46267</v>
      </c>
      <c r="JO291" s="56"/>
      <c r="JP291" s="242">
        <f>SUMPRODUCT(PRODUCE!$B290:$DY290,PRODUCE!$EB$37:$IY$37)</f>
        <v>0</v>
      </c>
      <c r="JQ291" s="56"/>
      <c r="JR291" s="242">
        <f t="shared" ref="JR291:JR319" si="2081">JP291-JQ291</f>
        <v>0</v>
      </c>
      <c r="JS291" s="242">
        <f t="shared" ref="JS291:JS319" si="2082">JS290+JO291-JQ291</f>
        <v>0</v>
      </c>
      <c r="JT291" s="56"/>
      <c r="JW291" s="55">
        <f t="shared" ref="JW291:JW319" si="2083">JN291</f>
        <v>46267</v>
      </c>
      <c r="JX291" s="56"/>
      <c r="JY291" s="242">
        <f>SUMPRODUCT(PRODUCE!$B290:$DY290,PRODUCE!$EB$38:$IY$38)</f>
        <v>0</v>
      </c>
      <c r="JZ291" s="56"/>
      <c r="KA291" s="242">
        <f t="shared" ref="KA291:KA319" si="2084">JY291-JZ291</f>
        <v>0</v>
      </c>
      <c r="KB291" s="242">
        <f t="shared" ref="KB291:KB319" si="2085">KB290+JX291-JZ291</f>
        <v>2540</v>
      </c>
      <c r="KC291" s="56"/>
      <c r="KF291" s="55">
        <f t="shared" ref="KF291:KF319" si="2086">JW291</f>
        <v>46267</v>
      </c>
      <c r="KG291" s="56"/>
      <c r="KH291" s="242">
        <f>SUMPRODUCT(PRODUCE!$B290:$DY290,PRODUCE!$EB$39:$IY$39)</f>
        <v>0</v>
      </c>
      <c r="KI291" s="56"/>
      <c r="KJ291" s="242">
        <f t="shared" ref="KJ291:KJ319" si="2087">KH291-KI291</f>
        <v>0</v>
      </c>
      <c r="KK291" s="242">
        <f t="shared" ref="KK291:KK319" si="2088">KK290+KG291-KI291</f>
        <v>2359.5</v>
      </c>
      <c r="KL291" s="56"/>
      <c r="KO291" s="55">
        <f t="shared" ref="KO291:KO319" si="2089">KF291</f>
        <v>46267</v>
      </c>
      <c r="KP291" s="56"/>
      <c r="KQ291" s="242">
        <f>SUMPRODUCT(PRODUCE!$B290:$DY290,PRODUCE!$EB$40:$IY$40)</f>
        <v>0</v>
      </c>
      <c r="KR291" s="56"/>
      <c r="KS291" s="242">
        <f t="shared" ref="KS291:KS319" si="2090">KQ291-KR291</f>
        <v>0</v>
      </c>
      <c r="KT291" s="242">
        <f t="shared" ref="KT291:KT319" si="2091">KT290+KP291-KR291</f>
        <v>1890</v>
      </c>
      <c r="KU291" s="56"/>
      <c r="KW291" s="23"/>
      <c r="KX291" s="55">
        <f t="shared" ref="KX291:KX319" si="2092">KO291</f>
        <v>46267</v>
      </c>
      <c r="KY291" s="56"/>
      <c r="KZ291" s="242">
        <f>SUMPRODUCT(PRODUCE!$B290:$DY290,PRODUCE!$EB$41:$IY$41)</f>
        <v>0</v>
      </c>
      <c r="LA291" s="56"/>
      <c r="LB291" s="242">
        <f t="shared" ref="LB291:LB319" si="2093">KZ291-LA291</f>
        <v>0</v>
      </c>
      <c r="LC291" s="242">
        <f t="shared" ref="LC291:LC319" si="2094">LC290+KY291-LA291</f>
        <v>3690</v>
      </c>
      <c r="LD291" s="56"/>
      <c r="LG291" s="55">
        <f t="shared" ref="LG291:LG319" si="2095">KX291</f>
        <v>46267</v>
      </c>
      <c r="LH291" s="56"/>
      <c r="LI291" s="242">
        <f>SUMPRODUCT(PRODUCE!$B290:$DY290,PRODUCE!$EB$42:$IY$42)</f>
        <v>0</v>
      </c>
      <c r="LJ291" s="56"/>
      <c r="LK291" s="242">
        <f t="shared" ref="LK291:LK319" si="2096">LI291-LJ291</f>
        <v>0</v>
      </c>
      <c r="LL291" s="242">
        <f t="shared" ref="LL291:LL319" si="2097">LL290+LH291-LJ291</f>
        <v>4000</v>
      </c>
      <c r="LM291" s="56"/>
      <c r="LP291" s="55">
        <f t="shared" ref="LP291:LP319" si="2098">LG291</f>
        <v>46267</v>
      </c>
      <c r="LQ291" s="56"/>
      <c r="LR291" s="242">
        <f>SUMPRODUCT(PRODUCE!$B306:$DY306,PRODUCE!$EB$43:$IY$43)</f>
        <v>0</v>
      </c>
      <c r="LS291" s="56"/>
      <c r="LT291" s="242">
        <f t="shared" ref="LT291:LT319" si="2099">LR291-LS291</f>
        <v>0</v>
      </c>
      <c r="LU291" s="242">
        <f t="shared" ref="LU291:LU319" si="2100">LU290+LQ291-LS291</f>
        <v>0</v>
      </c>
      <c r="LV291" s="56"/>
      <c r="LY291" s="55">
        <f t="shared" ref="LY291:LY319" si="2101">LP291</f>
        <v>46267</v>
      </c>
      <c r="LZ291" s="56"/>
      <c r="MA291" s="242">
        <f>SUMPRODUCT(PRODUCE!$B290:$DY290,PRODUCE!$EB$44:$IY$44)</f>
        <v>0</v>
      </c>
      <c r="MB291" s="56"/>
      <c r="MC291" s="242">
        <f t="shared" ref="MC291:MC319" si="2102">MA291-MB291</f>
        <v>0</v>
      </c>
      <c r="MD291" s="242">
        <f t="shared" ref="MD291:MD319" si="2103">MD290+LZ291-MB291</f>
        <v>0</v>
      </c>
      <c r="ME291" s="56"/>
      <c r="MH291" s="55">
        <f t="shared" ref="MH291:MH319" si="2104">LY291</f>
        <v>46267</v>
      </c>
      <c r="MI291" s="56"/>
      <c r="MJ291" s="242">
        <f>SUMPRODUCT(PRODUCE!$B290:$DY290,PRODUCE!$EB$45:$IY$45)</f>
        <v>0</v>
      </c>
      <c r="MK291" s="56"/>
      <c r="ML291" s="242">
        <f t="shared" ref="ML291:ML319" si="2105">MJ291-MK291</f>
        <v>0</v>
      </c>
      <c r="MM291" s="242">
        <f t="shared" ref="MM291:MM319" si="2106">MM290+MI291-MK291</f>
        <v>0</v>
      </c>
      <c r="MN291" s="56"/>
      <c r="MQ291" s="55">
        <f t="shared" ref="MQ291:MQ319" si="2107">MH291</f>
        <v>46267</v>
      </c>
      <c r="MR291" s="56"/>
      <c r="MS291" s="242">
        <f>SUMPRODUCT(PRODUCE!$B290:$DY290,PRODUCE!$EB$46:$IY$46)</f>
        <v>0</v>
      </c>
      <c r="MT291" s="56"/>
      <c r="MU291" s="242">
        <f t="shared" ref="MU291:MU319" si="2108">MS291-MT291</f>
        <v>0</v>
      </c>
      <c r="MV291" s="242">
        <f t="shared" ref="MV291:MV319" si="2109">MV290+MR291-MT291</f>
        <v>1625</v>
      </c>
      <c r="MW291" s="56"/>
      <c r="MZ291" s="55">
        <f t="shared" ref="MZ291:MZ319" si="2110">MQ291</f>
        <v>46267</v>
      </c>
      <c r="NA291" s="56"/>
      <c r="NB291" s="242">
        <f>SUMPRODUCT(PRODUCE!$B290:$DY290,PRODUCE!$EB$47:$IY$47)</f>
        <v>0</v>
      </c>
      <c r="NC291" s="56"/>
      <c r="ND291" s="242">
        <f t="shared" ref="ND291:ND319" si="2111">NB291-NC291</f>
        <v>0</v>
      </c>
      <c r="NE291" s="242">
        <f t="shared" ref="NE291:NE319" si="2112">NE290+NA291-NC291</f>
        <v>0</v>
      </c>
      <c r="NF291" s="56"/>
      <c r="NI291" s="55">
        <f t="shared" ref="NI291:NI319" si="2113">MZ291</f>
        <v>46267</v>
      </c>
      <c r="NJ291" s="56"/>
      <c r="NK291" s="242">
        <f>SUMPRODUCT(PRODUCE!$B290:$DY290,PRODUCE!$EB$48:$IY$48)</f>
        <v>0</v>
      </c>
      <c r="NL291" s="56"/>
      <c r="NM291" s="242">
        <f t="shared" ref="NM291:NM319" si="2114">NK291-NL291</f>
        <v>0</v>
      </c>
      <c r="NN291" s="242">
        <f t="shared" ref="NN291:NN319" si="2115">NN290+NJ291-NL291</f>
        <v>1127</v>
      </c>
      <c r="NO291" s="56"/>
      <c r="NR291" s="55">
        <f t="shared" ref="NR291:NR319" si="2116">MZ291</f>
        <v>46267</v>
      </c>
      <c r="NS291" s="56"/>
      <c r="NT291" s="242">
        <f>SUMPRODUCT(PRODUCE!$B290:$DY290,PRODUCE!$EB$49:$IY$49)</f>
        <v>0</v>
      </c>
      <c r="NU291" s="56"/>
      <c r="NV291" s="242">
        <f t="shared" ref="NV291:NV319" si="2117">NT291-NU291</f>
        <v>0</v>
      </c>
      <c r="NW291" s="242">
        <f t="shared" ref="NW291:NW319" si="2118">NW290+NS291-NU291</f>
        <v>3111.9999999999995</v>
      </c>
      <c r="NX291" s="56"/>
      <c r="OA291" s="55">
        <f t="shared" ref="OA291:OA319" si="2119">NR291</f>
        <v>46267</v>
      </c>
      <c r="OB291" s="56"/>
      <c r="OC291" s="242">
        <f>SUMPRODUCT(PRODUCE!$B290:$DY290,PRODUCE!$EB$50:$IY$50)</f>
        <v>0</v>
      </c>
      <c r="OD291" s="56"/>
      <c r="OE291" s="242">
        <f t="shared" ref="OE291:OE319" si="2120">OC291-OD291</f>
        <v>0</v>
      </c>
      <c r="OF291" s="242">
        <f t="shared" ref="OF291:OF319" si="2121">OF290+OB291-OD291</f>
        <v>1680.5</v>
      </c>
      <c r="OG291" s="56"/>
      <c r="OJ291" s="55">
        <f t="shared" ref="OJ291:OJ319" si="2122">OA291</f>
        <v>46267</v>
      </c>
      <c r="OK291" s="56"/>
      <c r="OL291" s="242">
        <f>SUMPRODUCT(PRODUCE!$B290:$DY290,PRODUCE!$EB$51:$IY$51)</f>
        <v>0</v>
      </c>
      <c r="OM291" s="56"/>
      <c r="ON291" s="242">
        <f t="shared" ref="ON291:ON319" si="2123">OL291-OM291</f>
        <v>0</v>
      </c>
      <c r="OO291" s="242">
        <f t="shared" ref="OO291:OO319" si="2124">OO290+OK291-OM291</f>
        <v>0</v>
      </c>
      <c r="OP291" s="56"/>
      <c r="OS291" s="55">
        <f t="shared" ref="OS291:OS319" si="2125">OJ291</f>
        <v>46267</v>
      </c>
      <c r="OT291" s="56"/>
      <c r="OU291" s="242">
        <f>SUMPRODUCT(PRODUCE!$B290:$DY290,PRODUCE!$EB$52:$IY$52)</f>
        <v>0</v>
      </c>
      <c r="OV291" s="56"/>
      <c r="OW291" s="242">
        <f t="shared" ref="OW291:OW319" si="2126">OU291-OV291</f>
        <v>0</v>
      </c>
      <c r="OX291" s="242">
        <f t="shared" ref="OX291:OX319" si="2127">OX290+OT291-OV291</f>
        <v>1482</v>
      </c>
      <c r="OY291" s="56"/>
      <c r="PB291" s="55">
        <f t="shared" ref="PB291:PB319" si="2128">OS291</f>
        <v>46267</v>
      </c>
      <c r="PC291" s="56"/>
      <c r="PD291" s="242">
        <f>SUMPRODUCT(PRODUCE!$B290:$DY290,PRODUCE!$EB$53:$IY$53)</f>
        <v>0</v>
      </c>
      <c r="PE291" s="56"/>
      <c r="PF291" s="242">
        <f t="shared" ref="PF291:PF319" si="2129">PD291-PE291</f>
        <v>0</v>
      </c>
      <c r="PG291" s="242">
        <f t="shared" ref="PG291:PG319" si="2130">PG290+PC291-PE291</f>
        <v>0</v>
      </c>
      <c r="PH291" s="56"/>
      <c r="PK291" s="55">
        <f t="shared" ref="PK291:PK319" si="2131">PB291</f>
        <v>46267</v>
      </c>
      <c r="PL291" s="56"/>
      <c r="PM291" s="242">
        <f>SUMPRODUCT(PRODUCE!$B290:$DY290,PRODUCE!$EB$54:$IY$54)</f>
        <v>0</v>
      </c>
      <c r="PN291" s="56"/>
      <c r="PO291" s="242">
        <f t="shared" ref="PO291:PO319" si="2132">PM291-PN291</f>
        <v>0</v>
      </c>
      <c r="PP291" s="242">
        <f t="shared" ref="PP291:PP319" si="2133">PP290+PL291-PN291</f>
        <v>100</v>
      </c>
      <c r="PQ291" s="56"/>
      <c r="PT291" s="55">
        <f t="shared" ref="PT291:PT319" si="2134">PK291</f>
        <v>46267</v>
      </c>
      <c r="PU291" s="56"/>
      <c r="PV291" s="242">
        <f>SUMPRODUCT(PRODUCE!$B290:$DY290,PRODUCE!$EB$55:$IY$55)</f>
        <v>0</v>
      </c>
      <c r="PW291" s="56"/>
      <c r="PX291" s="242">
        <f t="shared" ref="PX291:PX319" si="2135">PV291-PW291</f>
        <v>0</v>
      </c>
      <c r="PY291" s="242">
        <f t="shared" ref="PY291:PY319" si="2136">PY290+PU291-PW291</f>
        <v>13.960000000000036</v>
      </c>
      <c r="PZ291" s="56"/>
      <c r="QC291" s="55">
        <f t="shared" ref="QC291:QC319" si="2137">PT291</f>
        <v>46267</v>
      </c>
      <c r="QD291" s="56"/>
      <c r="QE291" s="242">
        <f>SUMPRODUCT(PRODUCE!$B290:$DY290,PRODUCE!$EB$56:$IY$56)</f>
        <v>0</v>
      </c>
      <c r="QF291" s="56"/>
      <c r="QG291" s="242">
        <f t="shared" ref="QG291:QG319" si="2138">QE291-QF291</f>
        <v>0</v>
      </c>
      <c r="QH291" s="242">
        <f t="shared" ref="QH291:QH319" si="2139">QH290+QD291-QF291</f>
        <v>548</v>
      </c>
      <c r="QI291" s="56"/>
      <c r="QL291" s="55">
        <f t="shared" ref="QL291:QL319" si="2140">QC291</f>
        <v>46267</v>
      </c>
      <c r="QM291" s="56"/>
      <c r="QN291" s="242">
        <f>SUMPRODUCT(PRODUCE!$B290:$DY290,PRODUCE!$EB$57:$IY$57)</f>
        <v>0</v>
      </c>
      <c r="QO291" s="56"/>
      <c r="QP291" s="242">
        <f t="shared" ref="QP291:QP319" si="2141">QN291-QO291</f>
        <v>0</v>
      </c>
      <c r="QQ291" s="242">
        <f t="shared" ref="QQ291:QQ319" si="2142">QQ290+QM291-QO291</f>
        <v>0</v>
      </c>
      <c r="QR291" s="56"/>
      <c r="QU291" s="55">
        <f t="shared" ref="QU291:QU319" si="2143">QL291</f>
        <v>46267</v>
      </c>
      <c r="QV291" s="56"/>
      <c r="QW291" s="242">
        <f>SUMPRODUCT(PRODUCE!$B290:$DY290,PRODUCE!$EB$57:$IY$57)</f>
        <v>0</v>
      </c>
      <c r="QX291" s="56"/>
      <c r="QY291" s="242">
        <f t="shared" ref="QY291:QY319" si="2144">QW291-QX291</f>
        <v>0</v>
      </c>
      <c r="QZ291" s="242">
        <f t="shared" ref="QZ291:QZ319" si="2145">QZ290+QV291-QX291</f>
        <v>0</v>
      </c>
      <c r="RA291" s="56"/>
      <c r="RD291" s="55">
        <f t="shared" ref="RD291:RD319" si="2146">QU291</f>
        <v>46267</v>
      </c>
      <c r="RE291" s="56"/>
      <c r="RF291" s="242">
        <f>SUMPRODUCT(PRODUCE!$B290:$DY290,PRODUCE!$EB$58:$IY$58)</f>
        <v>0</v>
      </c>
      <c r="RG291" s="56"/>
      <c r="RH291" s="242">
        <f t="shared" ref="RH291:RH319" si="2147">RF291-RG291</f>
        <v>0</v>
      </c>
      <c r="RI291" s="242">
        <f t="shared" ref="RI291:RI319" si="2148">RI290+RE291-RG291</f>
        <v>147.04000000000002</v>
      </c>
      <c r="RJ291" s="56"/>
      <c r="RM291" s="55">
        <f t="shared" ref="RM291:RM319" si="2149">RD291</f>
        <v>46267</v>
      </c>
      <c r="RN291" s="56"/>
      <c r="RO291" s="242">
        <f>SUMPRODUCT(PRODUCE!$B290:$DY290,PRODUCE!$EB$59:$IY$59)</f>
        <v>0</v>
      </c>
      <c r="RP291" s="56"/>
      <c r="RQ291" s="242">
        <f t="shared" ref="RQ291:RQ319" si="2150">RO291-RP291</f>
        <v>0</v>
      </c>
      <c r="RR291" s="242">
        <f t="shared" ref="RR291:RR319" si="2151">RR290+RN291-RP291</f>
        <v>46.8</v>
      </c>
      <c r="RS291" s="56"/>
      <c r="RV291" s="55">
        <f t="shared" ref="RV291:RV319" si="2152">RM291</f>
        <v>46267</v>
      </c>
      <c r="RW291" s="56"/>
      <c r="RX291" s="242">
        <f>SUMPRODUCT(PRODUCE!$B290:$DY290,PRODUCE!$EB$57:$IY$57)</f>
        <v>0</v>
      </c>
      <c r="RY291" s="56"/>
      <c r="RZ291" s="242">
        <f t="shared" ref="RZ291:RZ319" si="2153">RX291-RY291</f>
        <v>0</v>
      </c>
      <c r="SA291" s="242">
        <f t="shared" ref="SA291:SA319" si="2154">SA290+RW291-RY291</f>
        <v>0</v>
      </c>
      <c r="SB291" s="56"/>
      <c r="SE291" s="55">
        <f t="shared" ref="SE291:SE319" si="2155">RV291</f>
        <v>46267</v>
      </c>
      <c r="SF291" s="56"/>
      <c r="SG291" s="242">
        <f>SUMPRODUCT(PRODUCE!$B290:$DY290,PRODUCE!$EB$61:$IY$61)</f>
        <v>0</v>
      </c>
      <c r="SH291" s="56"/>
      <c r="SI291" s="242">
        <f t="shared" ref="SI291:SI319" si="2156">SG291-SH291</f>
        <v>0</v>
      </c>
      <c r="SJ291" s="242">
        <f t="shared" ref="SJ291:SJ319" si="2157">SJ290+SF291-SH291</f>
        <v>24.200000000000003</v>
      </c>
      <c r="SK291" s="56"/>
      <c r="SN291" s="55">
        <f t="shared" ref="SN291:SN319" si="2158">SE291</f>
        <v>46267</v>
      </c>
      <c r="SO291" s="56"/>
      <c r="SP291" s="242">
        <f>SUMPRODUCT(PRODUCE!$B290:$DY290,PRODUCE!$EB$57:$IY$57)</f>
        <v>0</v>
      </c>
      <c r="SQ291" s="56"/>
      <c r="SR291" s="242">
        <f t="shared" ref="SR291:SR319" si="2159">SP291-SQ291</f>
        <v>0</v>
      </c>
      <c r="SS291" s="242">
        <f t="shared" ref="SS291:SS319" si="2160">SS290+SO291-SQ291</f>
        <v>32</v>
      </c>
      <c r="ST291" s="56"/>
      <c r="SW291" s="55">
        <f t="shared" ref="SW291:SW319" si="2161">SN291</f>
        <v>46267</v>
      </c>
      <c r="SX291" s="56"/>
      <c r="SY291" s="242">
        <f>SUMPRODUCT(PRODUCE!$B290:$DY290,PRODUCE!$EB$57:$IY$57)</f>
        <v>0</v>
      </c>
      <c r="SZ291" s="56"/>
      <c r="TA291" s="242">
        <f t="shared" ref="TA291:TA319" si="2162">SY291-SZ291</f>
        <v>0</v>
      </c>
      <c r="TB291" s="242">
        <f t="shared" ref="TB291:TB319" si="2163">TB290+SX291-SZ291</f>
        <v>0</v>
      </c>
      <c r="TC291" s="56"/>
      <c r="TF291" s="55">
        <f t="shared" ref="TF291:TF319" si="2164">SW291</f>
        <v>46267</v>
      </c>
      <c r="TG291" s="56"/>
      <c r="TH291" s="242">
        <f>SUMPRODUCT(PRODUCE!$B290:$DY290,PRODUCE!$EB$57:$IY$57)</f>
        <v>0</v>
      </c>
      <c r="TI291" s="56"/>
      <c r="TJ291" s="242">
        <f t="shared" ref="TJ291:TJ319" si="2165">TH291-TI291</f>
        <v>0</v>
      </c>
      <c r="TK291" s="242">
        <f t="shared" ref="TK291:TK319" si="2166">TK290+TG291-TI291</f>
        <v>0</v>
      </c>
      <c r="TL291" s="56"/>
      <c r="TO291" s="55">
        <f t="shared" ref="TO291:TO319" si="2167">TF291</f>
        <v>46267</v>
      </c>
      <c r="TP291" s="56"/>
      <c r="TQ291" s="242">
        <f>SUMPRODUCT(PRODUCE!$B290:$DY290,PRODUCE!$EB$57:$IY$57)</f>
        <v>0</v>
      </c>
      <c r="TR291" s="56"/>
      <c r="TS291" s="242">
        <f t="shared" ref="TS291:TS319" si="2168">TQ291-TR291</f>
        <v>0</v>
      </c>
      <c r="TT291" s="242">
        <f t="shared" ref="TT291:TT319" si="2169">TT290+TP291-TR291</f>
        <v>0</v>
      </c>
      <c r="TU291" s="56"/>
      <c r="TX291" s="55">
        <f t="shared" ref="TX291:TX319" si="2170">TO291</f>
        <v>46267</v>
      </c>
      <c r="TY291" s="56"/>
      <c r="TZ291" s="242">
        <f>SUMPRODUCT(PRODUCE!$B290:$DY290,PRODUCE!$EB$57:$IY$57)</f>
        <v>0</v>
      </c>
      <c r="UA291" s="56"/>
      <c r="UB291" s="242">
        <f t="shared" ref="UB291:UB319" si="2171">TZ291-UA291</f>
        <v>0</v>
      </c>
      <c r="UC291" s="242">
        <f t="shared" ref="UC291:UC319" si="2172">UC290+TY291-UA291</f>
        <v>46.799999999999983</v>
      </c>
      <c r="UD291" s="56"/>
      <c r="UG291" s="55">
        <f t="shared" ref="UG291:UG319" si="2173">TX291</f>
        <v>46267</v>
      </c>
      <c r="UH291" s="56"/>
      <c r="UI291" s="242">
        <f>SUMPRODUCT(PRODUCE!$B290:$DY290,PRODUCE!$EB$57:$IY$57)</f>
        <v>0</v>
      </c>
      <c r="UJ291" s="56"/>
      <c r="UK291" s="242">
        <f t="shared" ref="UK291:UK319" si="2174">UI291-UJ291</f>
        <v>0</v>
      </c>
      <c r="UL291" s="242">
        <f t="shared" ref="UL291:UL319" si="2175">UL290+UH291-UJ291</f>
        <v>204</v>
      </c>
      <c r="UM291" s="56"/>
      <c r="UP291" s="55">
        <f t="shared" ref="UP291:UP319" si="2176">UG291</f>
        <v>46267</v>
      </c>
      <c r="UQ291" s="56"/>
      <c r="UR291" s="242">
        <f>SUMPRODUCT(PRODUCE!$B290:$DY290,PRODUCE!$EB$57:$IY$57)</f>
        <v>0</v>
      </c>
      <c r="US291" s="56"/>
      <c r="UT291" s="242">
        <f t="shared" ref="UT291:UT319" si="2177">UR291-US291</f>
        <v>0</v>
      </c>
      <c r="UU291" s="242">
        <f t="shared" ref="UU291:UU319" si="2178">UU290+UQ291-US291</f>
        <v>202.5</v>
      </c>
      <c r="UV291" s="56"/>
      <c r="UY291" s="55">
        <f t="shared" ref="UY291:UY319" si="2179">UP291</f>
        <v>46267</v>
      </c>
      <c r="UZ291" s="56"/>
      <c r="VA291" s="242">
        <f>SUMPRODUCT(PRODUCE!$B290:$DY290,PRODUCE!$EB$57:$IY$57)</f>
        <v>0</v>
      </c>
      <c r="VB291" s="56"/>
      <c r="VC291" s="242">
        <f t="shared" ref="VC291:VC319" si="2180">VA291-VB291</f>
        <v>0</v>
      </c>
      <c r="VD291" s="242">
        <f t="shared" ref="VD291:VD319" si="2181">VD290+UZ291-VB291</f>
        <v>41.600000000000023</v>
      </c>
      <c r="VE291" s="56"/>
      <c r="VH291" s="55">
        <f t="shared" ref="VH291:VH319" si="2182">UY291</f>
        <v>46267</v>
      </c>
      <c r="VI291" s="56"/>
      <c r="VJ291" s="242">
        <f>SUMPRODUCT(PRODUCE!$B290:$DY290,PRODUCE!$EB$57:$IY$57)</f>
        <v>0</v>
      </c>
      <c r="VK291" s="56"/>
      <c r="VL291" s="242">
        <f t="shared" ref="VL291:VL319" si="2183">VJ291-VK291</f>
        <v>0</v>
      </c>
      <c r="VM291" s="242">
        <f t="shared" ref="VM291:VM319" si="2184">VM290+VI291-VK291</f>
        <v>210</v>
      </c>
      <c r="VN291" s="56"/>
      <c r="VQ291" s="55">
        <f t="shared" ref="VQ291:VQ319" si="2185">VH291</f>
        <v>46267</v>
      </c>
      <c r="VR291" s="56"/>
      <c r="VS291" s="242">
        <f>SUMPRODUCT(PRODUCE!$B290:$DY290,PRODUCE!$EB$57:$IY$57)</f>
        <v>0</v>
      </c>
      <c r="VT291" s="56"/>
      <c r="VU291" s="242">
        <f t="shared" ref="VU291:VU319" si="2186">VS291-VT291</f>
        <v>0</v>
      </c>
      <c r="VV291" s="242">
        <f t="shared" ref="VV291:VV319" si="2187">VV290+VR291-VT291</f>
        <v>0</v>
      </c>
      <c r="VW291" s="56"/>
      <c r="VZ291" s="55">
        <f t="shared" ref="VZ291:VZ319" si="2188">VQ291</f>
        <v>46267</v>
      </c>
      <c r="WA291" s="56"/>
      <c r="WB291" s="242">
        <f>SUMPRODUCT(PRODUCE!$B290:$DY290,PRODUCE!$EB$57:$IY$57)</f>
        <v>0</v>
      </c>
      <c r="WC291" s="56"/>
      <c r="WD291" s="242">
        <f t="shared" ref="WD291:WD319" si="2189">WB291-WC291</f>
        <v>0</v>
      </c>
      <c r="WE291" s="242">
        <f t="shared" ref="WE291:WE319" si="2190">WE290+WA291-WC291</f>
        <v>0</v>
      </c>
      <c r="WF291" s="56"/>
      <c r="WI291" s="55">
        <f t="shared" ref="WI291:WI319" si="2191">VZ291</f>
        <v>46267</v>
      </c>
      <c r="WJ291" s="56"/>
      <c r="WK291" s="242">
        <f>SUMPRODUCT(PRODUCE!$B290:$DY290,PRODUCE!$EB$57:$IY$57)</f>
        <v>0</v>
      </c>
      <c r="WL291" s="56"/>
      <c r="WM291" s="242">
        <f t="shared" ref="WM291:WM319" si="2192">WK291-WL291</f>
        <v>0</v>
      </c>
      <c r="WN291" s="242">
        <f t="shared" ref="WN291:WN319" si="2193">WN290+WJ291-WL291</f>
        <v>1057</v>
      </c>
      <c r="WO291" s="56"/>
      <c r="WR291" s="55">
        <f t="shared" ref="WR291:WR319" si="2194">WI291</f>
        <v>46267</v>
      </c>
      <c r="WS291" s="56"/>
      <c r="WT291" s="242">
        <f>SUMPRODUCT(PRODUCE!$B290:$DY290,PRODUCE!$EB$57:$IY$57)</f>
        <v>0</v>
      </c>
      <c r="WU291" s="56"/>
      <c r="WV291" s="242">
        <f t="shared" ref="WV291:WV319" si="2195">WT291-WU291</f>
        <v>0</v>
      </c>
      <c r="WW291" s="242">
        <f t="shared" ref="WW291:WW319" si="2196">WW290+WS291-WU291</f>
        <v>0</v>
      </c>
      <c r="WX291" s="56"/>
      <c r="XA291" s="55">
        <f t="shared" ref="XA291:XA319" si="2197">WR291</f>
        <v>46267</v>
      </c>
      <c r="XB291" s="56"/>
      <c r="XC291" s="242">
        <f>SUMPRODUCT(PRODUCE!$B290:$DY290,PRODUCE!$EB$57:$IY$57)</f>
        <v>0</v>
      </c>
      <c r="XD291" s="56"/>
      <c r="XE291" s="242">
        <f t="shared" ref="XE291:XE319" si="2198">XC291-XD291</f>
        <v>0</v>
      </c>
      <c r="XF291" s="242">
        <f t="shared" ref="XF291:XF319" si="2199">XF290+XB291-XD291</f>
        <v>7507</v>
      </c>
      <c r="XG291" s="56"/>
      <c r="XJ291" s="55">
        <f t="shared" ref="XJ291:XJ319" si="2200">XA291</f>
        <v>46267</v>
      </c>
      <c r="XK291" s="56"/>
      <c r="XL291" s="242">
        <f>SUMPRODUCT(PRODUCE!$B290:$DY290,PRODUCE!$EB$57:$IY$57)</f>
        <v>0</v>
      </c>
      <c r="XM291" s="56"/>
      <c r="XN291" s="242">
        <f t="shared" ref="XN291:XN319" si="2201">XL291-XM291</f>
        <v>0</v>
      </c>
      <c r="XO291" s="242">
        <f t="shared" ref="XO291:XO319" si="2202">XO290+XK291-XM291</f>
        <v>4252</v>
      </c>
      <c r="XP291" s="56"/>
      <c r="XS291" s="55">
        <f t="shared" ref="XS291:XS319" si="2203">XJ291</f>
        <v>46267</v>
      </c>
      <c r="XT291" s="56"/>
      <c r="XU291" s="242">
        <f>SUMPRODUCT(PRODUCE!$B290:$DY290,PRODUCE!$EB$57:$IY$57)</f>
        <v>0</v>
      </c>
      <c r="XV291" s="56"/>
      <c r="XW291" s="242">
        <f t="shared" ref="XW291:XW319" si="2204">XU291-XV291</f>
        <v>0</v>
      </c>
      <c r="XX291" s="242">
        <f t="shared" ref="XX291:XX319" si="2205">XX290+XT291-XV291</f>
        <v>2179</v>
      </c>
      <c r="XY291" s="56"/>
      <c r="YB291" s="55">
        <f t="shared" ref="YB291:YB319" si="2206">XS291</f>
        <v>46267</v>
      </c>
      <c r="YC291" s="56"/>
      <c r="YD291" s="242">
        <f>SUMPRODUCT(PRODUCE!$B290:$DY290,PRODUCE!$EB$57:$IY$57)</f>
        <v>0</v>
      </c>
      <c r="YE291" s="56"/>
      <c r="YF291" s="242">
        <f t="shared" ref="YF291:YF319" si="2207">YD291-YE291</f>
        <v>0</v>
      </c>
      <c r="YG291" s="242">
        <f t="shared" ref="YG291:YG319" si="2208">YG290+YC291-YE291</f>
        <v>4019</v>
      </c>
      <c r="YH291" s="56"/>
      <c r="YK291" s="55">
        <f t="shared" ref="YK291:YK319" si="2209">YB291</f>
        <v>46267</v>
      </c>
      <c r="YL291" s="56"/>
      <c r="YM291" s="242">
        <f>SUMPRODUCT(PRODUCE!$B290:$DY290,PRODUCE!$EB$57:$IY$57)</f>
        <v>0</v>
      </c>
      <c r="YN291" s="56"/>
      <c r="YO291" s="242">
        <f t="shared" ref="YO291:YO319" si="2210">YM291-YN291</f>
        <v>0</v>
      </c>
      <c r="YP291" s="242">
        <f t="shared" ref="YP291:YP319" si="2211">YP290+YL291-YN291</f>
        <v>-218</v>
      </c>
      <c r="YQ291" s="56"/>
      <c r="YT291" s="55">
        <f t="shared" ref="YT291:YT319" si="2212">YK291</f>
        <v>46267</v>
      </c>
      <c r="YU291" s="56"/>
      <c r="YV291" s="242">
        <f>SUMPRODUCT(PRODUCE!$B290:$DY290,PRODUCE!$EB$57:$IY$57)</f>
        <v>0</v>
      </c>
      <c r="YW291" s="56"/>
      <c r="YX291" s="242">
        <f t="shared" ref="YX291:YX319" si="2213">YV291-YW291</f>
        <v>0</v>
      </c>
      <c r="YY291" s="242">
        <f t="shared" ref="YY291:YY319" si="2214">YY290+YU291-YW291</f>
        <v>0</v>
      </c>
      <c r="YZ291" s="56"/>
      <c r="ZC291" s="55">
        <f t="shared" ref="ZC291:ZC319" si="2215">YT291</f>
        <v>46267</v>
      </c>
      <c r="ZD291" s="56"/>
      <c r="ZE291" s="242">
        <f>SUMPRODUCT(PRODUCE!$B290:$DY290,PRODUCE!$EB$57:$IY$57)</f>
        <v>0</v>
      </c>
      <c r="ZF291" s="56"/>
      <c r="ZG291" s="242">
        <f t="shared" ref="ZG291:ZG319" si="2216">ZE291-ZF291</f>
        <v>0</v>
      </c>
      <c r="ZH291" s="242">
        <f t="shared" ref="ZH291:ZH319" si="2217">ZH290+ZD291-ZF291</f>
        <v>0</v>
      </c>
      <c r="ZI291" s="56"/>
      <c r="ZL291" s="55">
        <f t="shared" ref="ZL291:ZL319" si="2218">ZC291</f>
        <v>46267</v>
      </c>
      <c r="ZM291" s="56"/>
      <c r="ZN291" s="242">
        <f>SUMPRODUCT(PRODUCE!$B290:$DY290,PRODUCE!$EB$57:$IY$57)</f>
        <v>0</v>
      </c>
      <c r="ZO291" s="56"/>
      <c r="ZP291" s="242">
        <f t="shared" ref="ZP291:ZP319" si="2219">ZN291-ZO291</f>
        <v>0</v>
      </c>
      <c r="ZQ291" s="242">
        <f t="shared" ref="ZQ291:ZQ319" si="2220">ZQ290+ZM291-ZO291</f>
        <v>0</v>
      </c>
      <c r="ZR291" s="56"/>
      <c r="ZU291" s="55">
        <f t="shared" ref="ZU291:ZU319" si="2221">ZL291</f>
        <v>46267</v>
      </c>
      <c r="ZV291" s="56"/>
      <c r="ZW291" s="242">
        <f>SUMPRODUCT(PRODUCE!$B290:$DY290,PRODUCE!$EB$57:$IY$57)</f>
        <v>0</v>
      </c>
      <c r="ZX291" s="56"/>
      <c r="ZY291" s="242">
        <f t="shared" ref="ZY291:ZY319" si="2222">ZW291-ZX291</f>
        <v>0</v>
      </c>
      <c r="ZZ291" s="242">
        <f t="shared" ref="ZZ291:ZZ319" si="2223">ZZ290+ZV291-ZX291</f>
        <v>0</v>
      </c>
      <c r="AAA291" s="56"/>
      <c r="AAD291" s="55">
        <f t="shared" ref="AAD291:AAD319" si="2224">ZU291</f>
        <v>46267</v>
      </c>
      <c r="AAE291" s="56"/>
      <c r="AAF291" s="242">
        <f>SUMPRODUCT(PRODUCE!$B290:$DY290,PRODUCE!$EB$57:$IY$57)</f>
        <v>0</v>
      </c>
      <c r="AAG291" s="56"/>
      <c r="AAH291" s="242">
        <f t="shared" ref="AAH291:AAH319" si="2225">AAF291-AAG291</f>
        <v>0</v>
      </c>
      <c r="AAI291" s="242">
        <f t="shared" ref="AAI291:AAI319" si="2226">AAI290+AAE291-AAG291</f>
        <v>0</v>
      </c>
      <c r="AAJ291" s="56"/>
      <c r="AAM291" s="55">
        <f t="shared" ref="AAM291:AAM319" si="2227">AAD291</f>
        <v>46267</v>
      </c>
      <c r="AAN291" s="56"/>
      <c r="AAO291" s="242">
        <f>SUMPRODUCT(PRODUCE!$B290:$DY290,PRODUCE!$EB$57:$IY$57)</f>
        <v>0</v>
      </c>
      <c r="AAP291" s="56"/>
      <c r="AAQ291" s="242">
        <f t="shared" ref="AAQ291:AAQ319" si="2228">AAO291-AAP291</f>
        <v>0</v>
      </c>
      <c r="AAR291" s="242">
        <f t="shared" ref="AAR291:AAR319" si="2229">AAR290+AAN291-AAP291</f>
        <v>0</v>
      </c>
      <c r="AAS291" s="56"/>
      <c r="AAV291" s="55">
        <f t="shared" ref="AAV291:AAV319" si="2230">AAM291</f>
        <v>46267</v>
      </c>
      <c r="AAW291" s="56"/>
      <c r="AAX291" s="242">
        <f>SUMPRODUCT(PRODUCE!$B290:$DY290,PRODUCE!$EB$57:$IY$57)</f>
        <v>0</v>
      </c>
      <c r="AAY291" s="56"/>
      <c r="AAZ291" s="242">
        <f t="shared" ref="AAZ291:AAZ319" si="2231">AAX291-AAY291</f>
        <v>0</v>
      </c>
      <c r="ABA291" s="242">
        <f t="shared" ref="ABA291:ABA319" si="2232">ABA290+AAW291-AAY291</f>
        <v>0</v>
      </c>
      <c r="ABB291" s="56"/>
      <c r="ABE291" s="55">
        <f t="shared" ref="ABE291:ABE319" si="2233">AAV291</f>
        <v>46267</v>
      </c>
      <c r="ABF291" s="56"/>
      <c r="ABG291" s="242">
        <f>SUMPRODUCT(PRODUCE!$B290:$DY290,PRODUCE!$EB$57:$IY$57)</f>
        <v>0</v>
      </c>
      <c r="ABH291" s="56"/>
      <c r="ABI291" s="242">
        <f t="shared" ref="ABI291:ABI319" si="2234">ABG291-ABH291</f>
        <v>0</v>
      </c>
      <c r="ABJ291" s="242">
        <f t="shared" ref="ABJ291:ABJ319" si="2235">ABJ290+ABF291-ABH291</f>
        <v>0</v>
      </c>
      <c r="ABK291" s="56"/>
    </row>
    <row r="292" spans="2:739" s="54" customFormat="1" ht="15" customHeight="1" outlineLevel="1">
      <c r="B292" s="478"/>
      <c r="C292" s="55">
        <v>46268</v>
      </c>
      <c r="D292" s="56"/>
      <c r="E292" s="57">
        <f>SUMPRODUCT(PRODUCE!$B291:$DY291,PRODUCE!$EB$7:$IY$7)</f>
        <v>0</v>
      </c>
      <c r="F292" s="56"/>
      <c r="G292" s="57">
        <f t="shared" si="1992"/>
        <v>0</v>
      </c>
      <c r="H292" s="57">
        <f t="shared" si="1993"/>
        <v>236936.6</v>
      </c>
      <c r="I292" s="289"/>
      <c r="L292" s="55">
        <f t="shared" si="1994"/>
        <v>46268</v>
      </c>
      <c r="M292" s="56"/>
      <c r="N292" s="59">
        <f>SUMPRODUCT(PRODUCE!$B291:$DY291,PRODUCE!$EB$8:$IY$8)</f>
        <v>0</v>
      </c>
      <c r="O292" s="56"/>
      <c r="P292" s="59">
        <f t="shared" si="1995"/>
        <v>0</v>
      </c>
      <c r="Q292" s="59">
        <f t="shared" si="1996"/>
        <v>53017.600000000071</v>
      </c>
      <c r="R292" s="56"/>
      <c r="U292" s="55">
        <f t="shared" si="1997"/>
        <v>46268</v>
      </c>
      <c r="V292" s="56"/>
      <c r="W292" s="60">
        <f>SUMPRODUCT(PRODUCE!$B291:$DY291,PRODUCE!$EB$9:$IY$9)</f>
        <v>0</v>
      </c>
      <c r="X292" s="56"/>
      <c r="Y292" s="60">
        <f t="shared" si="1998"/>
        <v>0</v>
      </c>
      <c r="Z292" s="60">
        <f t="shared" si="1999"/>
        <v>42674.199999999968</v>
      </c>
      <c r="AA292" s="56"/>
      <c r="AD292" s="55">
        <f t="shared" si="2000"/>
        <v>46268</v>
      </c>
      <c r="AE292" s="56"/>
      <c r="AF292" s="61">
        <f>SUMPRODUCT(PRODUCE!$B291:$DY291,PRODUCE!$EB$10:$IY$10)</f>
        <v>0</v>
      </c>
      <c r="AG292" s="56"/>
      <c r="AH292" s="61">
        <f t="shared" si="2001"/>
        <v>0</v>
      </c>
      <c r="AI292" s="61">
        <f t="shared" si="2002"/>
        <v>4522.2000000000189</v>
      </c>
      <c r="AJ292" s="56"/>
      <c r="AM292" s="55">
        <f t="shared" si="2003"/>
        <v>46268</v>
      </c>
      <c r="AN292" s="422"/>
      <c r="AO292" s="444">
        <f>SUMPRODUCT(PRODUCE!$B291:$DY291,PRODUCE!$EB$11:$IY$11)</f>
        <v>0</v>
      </c>
      <c r="AP292" s="422"/>
      <c r="AQ292" s="444">
        <f t="shared" si="2004"/>
        <v>0</v>
      </c>
      <c r="AR292" s="444">
        <f t="shared" si="2005"/>
        <v>0</v>
      </c>
      <c r="AS292" s="56"/>
      <c r="AV292" s="55">
        <f t="shared" si="2006"/>
        <v>46268</v>
      </c>
      <c r="AW292" s="56"/>
      <c r="AX292" s="62">
        <f>SUMPRODUCT(PRODUCE!$B291:$DY291,PRODUCE!$EB$12:$IY$12)</f>
        <v>0</v>
      </c>
      <c r="AY292" s="56"/>
      <c r="AZ292" s="62">
        <f t="shared" si="2007"/>
        <v>0</v>
      </c>
      <c r="BA292" s="62">
        <f t="shared" si="2008"/>
        <v>124.99999999999523</v>
      </c>
      <c r="BB292" s="56"/>
      <c r="BE292" s="55">
        <f t="shared" si="2009"/>
        <v>46268</v>
      </c>
      <c r="BF292" s="56"/>
      <c r="BG292" s="63">
        <f>SUMPRODUCT(PRODUCE!$B291:$DY291,PRODUCE!$EB$13:$IY$13)</f>
        <v>0</v>
      </c>
      <c r="BH292" s="56"/>
      <c r="BI292" s="63">
        <f t="shared" si="2010"/>
        <v>0</v>
      </c>
      <c r="BJ292" s="63">
        <f t="shared" si="2011"/>
        <v>26151.899999999998</v>
      </c>
      <c r="BK292" s="56"/>
      <c r="BN292" s="55">
        <f t="shared" si="2012"/>
        <v>46268</v>
      </c>
      <c r="BO292" s="56"/>
      <c r="BP292" s="64">
        <f>SUMPRODUCT(PRODUCE!$B291:$DY291,PRODUCE!$EB$14:$IY$14)</f>
        <v>0</v>
      </c>
      <c r="BQ292" s="56"/>
      <c r="BR292" s="64">
        <f t="shared" si="2013"/>
        <v>0</v>
      </c>
      <c r="BS292" s="64">
        <f t="shared" si="2014"/>
        <v>0</v>
      </c>
      <c r="BT292" s="56"/>
      <c r="BW292" s="55">
        <f t="shared" si="2015"/>
        <v>46268</v>
      </c>
      <c r="BX292" s="56"/>
      <c r="BY292" s="65">
        <f>SUMPRODUCT(PRODUCE!$B291:$DY291,PRODUCE!$EB$15:$IY$15)</f>
        <v>0</v>
      </c>
      <c r="BZ292" s="56"/>
      <c r="CA292" s="65">
        <f t="shared" si="2016"/>
        <v>0</v>
      </c>
      <c r="CB292" s="65">
        <f t="shared" si="2017"/>
        <v>2097.3399999999992</v>
      </c>
      <c r="CC292" s="56"/>
      <c r="CF292" s="55">
        <f t="shared" si="2018"/>
        <v>46268</v>
      </c>
      <c r="CG292" s="56"/>
      <c r="CH292" s="66">
        <f>SUMPRODUCT(PRODUCE!$B291:$DY291,PRODUCE!$EB$16:$IY$16)</f>
        <v>0</v>
      </c>
      <c r="CI292" s="56"/>
      <c r="CJ292" s="66">
        <f t="shared" si="2019"/>
        <v>0</v>
      </c>
      <c r="CK292" s="66">
        <f t="shared" si="2020"/>
        <v>-10277.079999999998</v>
      </c>
      <c r="CL292" s="56"/>
      <c r="CO292" s="55">
        <f t="shared" si="2021"/>
        <v>46268</v>
      </c>
      <c r="CP292" s="422"/>
      <c r="CQ292" s="470">
        <f>SUMPRODUCT(PRODUCE!$B291:$DY291,PRODUCE!$EB$17:$IY$17)</f>
        <v>0</v>
      </c>
      <c r="CR292" s="422"/>
      <c r="CS292" s="470">
        <f t="shared" si="2022"/>
        <v>0</v>
      </c>
      <c r="CT292" s="470">
        <f t="shared" si="2023"/>
        <v>0</v>
      </c>
      <c r="CU292" s="56"/>
      <c r="CX292" s="55">
        <f t="shared" si="2024"/>
        <v>46268</v>
      </c>
      <c r="CY292" s="56"/>
      <c r="CZ292" s="133">
        <f>SUMPRODUCT(PRODUCE!$B291:$DY291,PRODUCE!$EB$18:$IY$18)</f>
        <v>0</v>
      </c>
      <c r="DA292" s="56"/>
      <c r="DB292" s="133">
        <f t="shared" si="2025"/>
        <v>0</v>
      </c>
      <c r="DC292" s="133">
        <f t="shared" si="2026"/>
        <v>27438.200000000012</v>
      </c>
      <c r="DD292" s="56"/>
      <c r="DG292" s="55">
        <f t="shared" si="2027"/>
        <v>46268</v>
      </c>
      <c r="DH292" s="56"/>
      <c r="DI292" s="147">
        <f>SUMPRODUCT(PRODUCE!$B291:$DY291,PRODUCE!$EB$19:$IY$19)</f>
        <v>0</v>
      </c>
      <c r="DJ292" s="56"/>
      <c r="DK292" s="147">
        <f t="shared" si="2028"/>
        <v>0</v>
      </c>
      <c r="DL292" s="147">
        <f t="shared" si="2029"/>
        <v>18782.299999999981</v>
      </c>
      <c r="DM292" s="56"/>
      <c r="DP292" s="55">
        <f t="shared" si="2030"/>
        <v>46268</v>
      </c>
      <c r="DQ292" s="56"/>
      <c r="DR292" s="57">
        <f>SUMPRODUCT(PRODUCE!$B291:$DY291,PRODUCE!$EB$20:$IY$20)</f>
        <v>0</v>
      </c>
      <c r="DS292" s="56"/>
      <c r="DT292" s="57">
        <f t="shared" si="2031"/>
        <v>0</v>
      </c>
      <c r="DU292" s="57">
        <f t="shared" si="2032"/>
        <v>5800</v>
      </c>
      <c r="DV292" s="56"/>
      <c r="DY292" s="55">
        <f t="shared" si="2033"/>
        <v>46268</v>
      </c>
      <c r="DZ292" s="56"/>
      <c r="EA292" s="157">
        <f>SUMPRODUCT(PRODUCE!$B291:$DY291,PRODUCE!$EB$21:$IY$21)</f>
        <v>0</v>
      </c>
      <c r="EB292" s="56"/>
      <c r="EC292" s="157">
        <f t="shared" si="2034"/>
        <v>0</v>
      </c>
      <c r="ED292" s="157">
        <f t="shared" si="2035"/>
        <v>0</v>
      </c>
      <c r="EE292" s="56"/>
      <c r="EH292" s="55">
        <f t="shared" si="2036"/>
        <v>46268</v>
      </c>
      <c r="EI292" s="56"/>
      <c r="EJ292" s="162">
        <f>SUMPRODUCT(PRODUCE!$B291:$DY291,PRODUCE!$EB$22:$IY$22)</f>
        <v>0</v>
      </c>
      <c r="EK292" s="56"/>
      <c r="EL292" s="162">
        <f t="shared" si="2037"/>
        <v>0</v>
      </c>
      <c r="EM292" s="162">
        <f t="shared" si="2038"/>
        <v>0</v>
      </c>
      <c r="EN292" s="56"/>
      <c r="EQ292" s="55">
        <f t="shared" si="2039"/>
        <v>46268</v>
      </c>
      <c r="ER292" s="56"/>
      <c r="ES292" s="135">
        <f>SUMPRODUCT(PRODUCE!$B291:$DY291,PRODUCE!$EB$23:$IY$23)</f>
        <v>0</v>
      </c>
      <c r="ET292" s="56"/>
      <c r="EU292" s="135">
        <f t="shared" si="2040"/>
        <v>0</v>
      </c>
      <c r="EV292" s="135">
        <f t="shared" si="2041"/>
        <v>0</v>
      </c>
      <c r="EW292" s="56"/>
      <c r="EZ292" s="55">
        <f t="shared" si="2042"/>
        <v>46268</v>
      </c>
      <c r="FA292" s="56"/>
      <c r="FB292" s="175">
        <f>SUMPRODUCT(PRODUCE!$B291:$DY291,PRODUCE!$EB$24:$IY$24)</f>
        <v>0</v>
      </c>
      <c r="FC292" s="56"/>
      <c r="FD292" s="175">
        <f t="shared" si="2043"/>
        <v>0</v>
      </c>
      <c r="FE292" s="175">
        <f t="shared" si="2044"/>
        <v>0</v>
      </c>
      <c r="FF292" s="56"/>
      <c r="FI292" s="55">
        <f t="shared" si="2045"/>
        <v>46268</v>
      </c>
      <c r="FJ292" s="56"/>
      <c r="FK292" s="183">
        <f>SUMPRODUCT(PRODUCE!$B291:$DY291,PRODUCE!$EB$25:$IY$25)</f>
        <v>0</v>
      </c>
      <c r="FL292" s="56"/>
      <c r="FM292" s="183">
        <f t="shared" si="2046"/>
        <v>0</v>
      </c>
      <c r="FN292" s="183">
        <f t="shared" si="2047"/>
        <v>0</v>
      </c>
      <c r="FO292" s="56"/>
      <c r="FR292" s="55">
        <f t="shared" si="2048"/>
        <v>46268</v>
      </c>
      <c r="FS292" s="56"/>
      <c r="FT292" s="186">
        <f>SUMPRODUCT(PRODUCE!$B291:$DY291,PRODUCE!$EB$26:$IY$26)</f>
        <v>0</v>
      </c>
      <c r="FU292" s="56"/>
      <c r="FV292" s="186">
        <f t="shared" si="2049"/>
        <v>0</v>
      </c>
      <c r="FW292" s="186">
        <f t="shared" si="2050"/>
        <v>2020</v>
      </c>
      <c r="FX292" s="56"/>
      <c r="GA292" s="55">
        <f t="shared" si="2051"/>
        <v>46268</v>
      </c>
      <c r="GB292" s="56"/>
      <c r="GC292" s="137">
        <f>SUMPRODUCT(PRODUCE!$B291:$DY291,PRODUCE!$EB$27:$IY$27)</f>
        <v>0</v>
      </c>
      <c r="GD292" s="56"/>
      <c r="GE292" s="137">
        <f t="shared" si="2052"/>
        <v>0</v>
      </c>
      <c r="GF292" s="137">
        <f t="shared" si="2053"/>
        <v>960</v>
      </c>
      <c r="GG292" s="56"/>
      <c r="GI292" s="23"/>
      <c r="GJ292" s="55">
        <f t="shared" si="2054"/>
        <v>46268</v>
      </c>
      <c r="GK292" s="56"/>
      <c r="GL292" s="199">
        <f>SUMPRODUCT(PRODUCE!$B291:$DY291,PRODUCE!$EB$28:$IY$28)</f>
        <v>0</v>
      </c>
      <c r="GM292" s="56"/>
      <c r="GN292" s="199">
        <f t="shared" si="2055"/>
        <v>0</v>
      </c>
      <c r="GO292" s="199">
        <f t="shared" si="2056"/>
        <v>1760</v>
      </c>
      <c r="GP292" s="56"/>
      <c r="GS292" s="55">
        <f t="shared" si="2057"/>
        <v>46268</v>
      </c>
      <c r="GT292" s="56"/>
      <c r="GU292" s="195">
        <f>SUMPRODUCT(PRODUCE!$B291:$DY291,PRODUCE!$EB$29:$IY$29)</f>
        <v>0</v>
      </c>
      <c r="GV292" s="56"/>
      <c r="GW292" s="195">
        <f t="shared" si="2058"/>
        <v>0</v>
      </c>
      <c r="GX292" s="195">
        <f t="shared" si="2059"/>
        <v>400</v>
      </c>
      <c r="GY292" s="56"/>
      <c r="HB292" s="55">
        <f t="shared" si="2060"/>
        <v>46268</v>
      </c>
      <c r="HC292" s="56"/>
      <c r="HD292" s="191">
        <f>SUMPRODUCT(PRODUCE!$B291:$DY291,PRODUCE!$EB$30:$IY$30)</f>
        <v>0</v>
      </c>
      <c r="HE292" s="56"/>
      <c r="HF292" s="191">
        <f t="shared" si="2061"/>
        <v>0</v>
      </c>
      <c r="HG292" s="191">
        <f t="shared" si="2062"/>
        <v>3600</v>
      </c>
      <c r="HH292" s="56"/>
      <c r="HK292" s="55">
        <f t="shared" si="2063"/>
        <v>46268</v>
      </c>
      <c r="HL292" s="56"/>
      <c r="HM292" s="63">
        <f>SUMPRODUCT(PRODUCE!$B291:$DY291,PRODUCE!$EB$31:$IY$31)</f>
        <v>0</v>
      </c>
      <c r="HN292" s="56"/>
      <c r="HO292" s="63">
        <f t="shared" si="2064"/>
        <v>0</v>
      </c>
      <c r="HP292" s="63">
        <f t="shared" si="2065"/>
        <v>0</v>
      </c>
      <c r="HQ292" s="56"/>
      <c r="HU292" s="55">
        <f t="shared" si="2066"/>
        <v>46268</v>
      </c>
      <c r="HV292" s="56"/>
      <c r="HW292" s="242">
        <f>SUMPRODUCT(PRODUCE!$B291:$DY291,PRODUCE!$EB$32:$IY$32)</f>
        <v>0</v>
      </c>
      <c r="HX292" s="56"/>
      <c r="HY292" s="242">
        <f t="shared" ref="HY292:HY319" si="2236">HW292-HX292</f>
        <v>0</v>
      </c>
      <c r="HZ292" s="242">
        <f t="shared" si="2067"/>
        <v>6120</v>
      </c>
      <c r="IA292" s="56"/>
      <c r="ID292" s="55">
        <f t="shared" si="2068"/>
        <v>46268</v>
      </c>
      <c r="IE292" s="56"/>
      <c r="IF292" s="242">
        <f>SUMPRODUCT(PRODUCE!$B291:$DY291,PRODUCE!$EB$33:$IY$33)</f>
        <v>0</v>
      </c>
      <c r="IG292" s="56"/>
      <c r="IH292" s="242">
        <f t="shared" si="2069"/>
        <v>0</v>
      </c>
      <c r="II292" s="242">
        <f t="shared" si="2070"/>
        <v>0</v>
      </c>
      <c r="IJ292" s="56"/>
      <c r="IM292" s="55">
        <f t="shared" si="2071"/>
        <v>46268</v>
      </c>
      <c r="IN292" s="56"/>
      <c r="IO292" s="242">
        <f>SUMPRODUCT(PRODUCE!$B291:$DY291,PRODUCE!$EB$34:$IY$34)</f>
        <v>0</v>
      </c>
      <c r="IP292" s="56"/>
      <c r="IQ292" s="242">
        <f t="shared" si="2072"/>
        <v>0</v>
      </c>
      <c r="IR292" s="242">
        <f t="shared" si="2073"/>
        <v>0</v>
      </c>
      <c r="IS292" s="56"/>
      <c r="IV292" s="55">
        <f t="shared" si="2074"/>
        <v>46268</v>
      </c>
      <c r="IW292" s="56"/>
      <c r="IX292" s="242">
        <f>SUMPRODUCT(PRODUCE!$B291:$DY291,PRODUCE!$EB$35:$IY$35)</f>
        <v>0</v>
      </c>
      <c r="IY292" s="56"/>
      <c r="IZ292" s="242">
        <f t="shared" si="2075"/>
        <v>0</v>
      </c>
      <c r="JA292" s="242">
        <f t="shared" si="2076"/>
        <v>2820</v>
      </c>
      <c r="JB292" s="56"/>
      <c r="JE292" s="55">
        <f t="shared" si="2077"/>
        <v>46268</v>
      </c>
      <c r="JF292" s="56"/>
      <c r="JG292" s="242">
        <f>SUMPRODUCT(PRODUCE!$B291:$DY291,PRODUCE!$EB$36:$IY$36)</f>
        <v>0</v>
      </c>
      <c r="JH292" s="56"/>
      <c r="JI292" s="242">
        <f t="shared" si="2078"/>
        <v>0</v>
      </c>
      <c r="JJ292" s="242">
        <f t="shared" si="2079"/>
        <v>0</v>
      </c>
      <c r="JK292" s="56"/>
      <c r="JN292" s="55">
        <f t="shared" si="2080"/>
        <v>46268</v>
      </c>
      <c r="JO292" s="56"/>
      <c r="JP292" s="242">
        <f>SUMPRODUCT(PRODUCE!$B291:$DY291,PRODUCE!$EB$37:$IY$37)</f>
        <v>0</v>
      </c>
      <c r="JQ292" s="56"/>
      <c r="JR292" s="242">
        <f t="shared" si="2081"/>
        <v>0</v>
      </c>
      <c r="JS292" s="242">
        <f t="shared" si="2082"/>
        <v>0</v>
      </c>
      <c r="JT292" s="56"/>
      <c r="JW292" s="55">
        <f t="shared" si="2083"/>
        <v>46268</v>
      </c>
      <c r="JX292" s="56"/>
      <c r="JY292" s="242">
        <f>SUMPRODUCT(PRODUCE!$B291:$DY291,PRODUCE!$EB$38:$IY$38)</f>
        <v>0</v>
      </c>
      <c r="JZ292" s="56"/>
      <c r="KA292" s="242">
        <f t="shared" si="2084"/>
        <v>0</v>
      </c>
      <c r="KB292" s="242">
        <f t="shared" si="2085"/>
        <v>2540</v>
      </c>
      <c r="KC292" s="56"/>
      <c r="KF292" s="55">
        <f t="shared" si="2086"/>
        <v>46268</v>
      </c>
      <c r="KG292" s="56"/>
      <c r="KH292" s="242">
        <f>SUMPRODUCT(PRODUCE!$B291:$DY291,PRODUCE!$EB$39:$IY$39)</f>
        <v>0</v>
      </c>
      <c r="KI292" s="56"/>
      <c r="KJ292" s="242">
        <f t="shared" si="2087"/>
        <v>0</v>
      </c>
      <c r="KK292" s="242">
        <f t="shared" si="2088"/>
        <v>2359.5</v>
      </c>
      <c r="KL292" s="56"/>
      <c r="KO292" s="55">
        <f t="shared" si="2089"/>
        <v>46268</v>
      </c>
      <c r="KP292" s="56"/>
      <c r="KQ292" s="242">
        <f>SUMPRODUCT(PRODUCE!$B291:$DY291,PRODUCE!$EB$40:$IY$40)</f>
        <v>0</v>
      </c>
      <c r="KR292" s="56"/>
      <c r="KS292" s="242">
        <f t="shared" si="2090"/>
        <v>0</v>
      </c>
      <c r="KT292" s="242">
        <f t="shared" si="2091"/>
        <v>1890</v>
      </c>
      <c r="KU292" s="56"/>
      <c r="KW292" s="23"/>
      <c r="KX292" s="55">
        <f t="shared" si="2092"/>
        <v>46268</v>
      </c>
      <c r="KY292" s="56"/>
      <c r="KZ292" s="242">
        <f>SUMPRODUCT(PRODUCE!$B291:$DY291,PRODUCE!$EB$41:$IY$41)</f>
        <v>0</v>
      </c>
      <c r="LA292" s="56"/>
      <c r="LB292" s="242">
        <f t="shared" si="2093"/>
        <v>0</v>
      </c>
      <c r="LC292" s="242">
        <f t="shared" si="2094"/>
        <v>3690</v>
      </c>
      <c r="LD292" s="56"/>
      <c r="LG292" s="55">
        <f t="shared" si="2095"/>
        <v>46268</v>
      </c>
      <c r="LH292" s="56"/>
      <c r="LI292" s="242">
        <f>SUMPRODUCT(PRODUCE!$B291:$DY291,PRODUCE!$EB$42:$IY$42)</f>
        <v>0</v>
      </c>
      <c r="LJ292" s="56"/>
      <c r="LK292" s="242">
        <f t="shared" si="2096"/>
        <v>0</v>
      </c>
      <c r="LL292" s="242">
        <f t="shared" si="2097"/>
        <v>4000</v>
      </c>
      <c r="LM292" s="56"/>
      <c r="LP292" s="55">
        <f t="shared" si="2098"/>
        <v>46268</v>
      </c>
      <c r="LQ292" s="56"/>
      <c r="LR292" s="242">
        <f>SUMPRODUCT(PRODUCE!$B307:$DY307,PRODUCE!$EB$43:$IY$43)</f>
        <v>0</v>
      </c>
      <c r="LS292" s="56"/>
      <c r="LT292" s="242">
        <f t="shared" si="2099"/>
        <v>0</v>
      </c>
      <c r="LU292" s="242">
        <f t="shared" si="2100"/>
        <v>0</v>
      </c>
      <c r="LV292" s="56"/>
      <c r="LY292" s="55">
        <f t="shared" si="2101"/>
        <v>46268</v>
      </c>
      <c r="LZ292" s="56"/>
      <c r="MA292" s="242">
        <f>SUMPRODUCT(PRODUCE!$B291:$DY291,PRODUCE!$EB$44:$IY$44)</f>
        <v>0</v>
      </c>
      <c r="MB292" s="56"/>
      <c r="MC292" s="242">
        <f t="shared" si="2102"/>
        <v>0</v>
      </c>
      <c r="MD292" s="242">
        <f t="shared" si="2103"/>
        <v>0</v>
      </c>
      <c r="ME292" s="56"/>
      <c r="MH292" s="55">
        <f t="shared" si="2104"/>
        <v>46268</v>
      </c>
      <c r="MI292" s="56"/>
      <c r="MJ292" s="242">
        <f>SUMPRODUCT(PRODUCE!$B291:$DY291,PRODUCE!$EB$45:$IY$45)</f>
        <v>0</v>
      </c>
      <c r="MK292" s="56"/>
      <c r="ML292" s="242">
        <f t="shared" si="2105"/>
        <v>0</v>
      </c>
      <c r="MM292" s="242">
        <f t="shared" si="2106"/>
        <v>0</v>
      </c>
      <c r="MN292" s="56"/>
      <c r="MQ292" s="55">
        <f t="shared" si="2107"/>
        <v>46268</v>
      </c>
      <c r="MR292" s="56"/>
      <c r="MS292" s="242">
        <f>SUMPRODUCT(PRODUCE!$B291:$DY291,PRODUCE!$EB$46:$IY$46)</f>
        <v>0</v>
      </c>
      <c r="MT292" s="56"/>
      <c r="MU292" s="242">
        <f t="shared" si="2108"/>
        <v>0</v>
      </c>
      <c r="MV292" s="242">
        <f t="shared" si="2109"/>
        <v>1625</v>
      </c>
      <c r="MW292" s="56"/>
      <c r="MZ292" s="55">
        <f t="shared" si="2110"/>
        <v>46268</v>
      </c>
      <c r="NA292" s="56"/>
      <c r="NB292" s="242">
        <f>SUMPRODUCT(PRODUCE!$B291:$DY291,PRODUCE!$EB$47:$IY$47)</f>
        <v>0</v>
      </c>
      <c r="NC292" s="56"/>
      <c r="ND292" s="242">
        <f t="shared" si="2111"/>
        <v>0</v>
      </c>
      <c r="NE292" s="242">
        <f t="shared" si="2112"/>
        <v>0</v>
      </c>
      <c r="NF292" s="56"/>
      <c r="NI292" s="55">
        <f t="shared" si="2113"/>
        <v>46268</v>
      </c>
      <c r="NJ292" s="56"/>
      <c r="NK292" s="242">
        <f>SUMPRODUCT(PRODUCE!$B291:$DY291,PRODUCE!$EB$48:$IY$48)</f>
        <v>0</v>
      </c>
      <c r="NL292" s="56"/>
      <c r="NM292" s="242">
        <f t="shared" si="2114"/>
        <v>0</v>
      </c>
      <c r="NN292" s="242">
        <f t="shared" si="2115"/>
        <v>1127</v>
      </c>
      <c r="NO292" s="56"/>
      <c r="NR292" s="55">
        <f t="shared" si="2116"/>
        <v>46268</v>
      </c>
      <c r="NS292" s="56"/>
      <c r="NT292" s="242">
        <f>SUMPRODUCT(PRODUCE!$B291:$DY291,PRODUCE!$EB$49:$IY$49)</f>
        <v>0</v>
      </c>
      <c r="NU292" s="56"/>
      <c r="NV292" s="242">
        <f t="shared" si="2117"/>
        <v>0</v>
      </c>
      <c r="NW292" s="242">
        <f t="shared" si="2118"/>
        <v>3111.9999999999995</v>
      </c>
      <c r="NX292" s="56"/>
      <c r="OA292" s="55">
        <f t="shared" si="2119"/>
        <v>46268</v>
      </c>
      <c r="OB292" s="56"/>
      <c r="OC292" s="242">
        <f>SUMPRODUCT(PRODUCE!$B291:$DY291,PRODUCE!$EB$50:$IY$50)</f>
        <v>0</v>
      </c>
      <c r="OD292" s="56"/>
      <c r="OE292" s="242">
        <f t="shared" si="2120"/>
        <v>0</v>
      </c>
      <c r="OF292" s="242">
        <f t="shared" si="2121"/>
        <v>1680.5</v>
      </c>
      <c r="OG292" s="56"/>
      <c r="OJ292" s="55">
        <f t="shared" si="2122"/>
        <v>46268</v>
      </c>
      <c r="OK292" s="56"/>
      <c r="OL292" s="242">
        <f>SUMPRODUCT(PRODUCE!$B291:$DY291,PRODUCE!$EB$51:$IY$51)</f>
        <v>0</v>
      </c>
      <c r="OM292" s="56"/>
      <c r="ON292" s="242">
        <f t="shared" si="2123"/>
        <v>0</v>
      </c>
      <c r="OO292" s="242">
        <f t="shared" si="2124"/>
        <v>0</v>
      </c>
      <c r="OP292" s="56"/>
      <c r="OS292" s="55">
        <f t="shared" si="2125"/>
        <v>46268</v>
      </c>
      <c r="OT292" s="56"/>
      <c r="OU292" s="242">
        <f>SUMPRODUCT(PRODUCE!$B291:$DY291,PRODUCE!$EB$52:$IY$52)</f>
        <v>0</v>
      </c>
      <c r="OV292" s="56"/>
      <c r="OW292" s="242">
        <f t="shared" si="2126"/>
        <v>0</v>
      </c>
      <c r="OX292" s="242">
        <f t="shared" si="2127"/>
        <v>1482</v>
      </c>
      <c r="OY292" s="56"/>
      <c r="PB292" s="55">
        <f t="shared" si="2128"/>
        <v>46268</v>
      </c>
      <c r="PC292" s="56"/>
      <c r="PD292" s="242">
        <f>SUMPRODUCT(PRODUCE!$B291:$DY291,PRODUCE!$EB$53:$IY$53)</f>
        <v>0</v>
      </c>
      <c r="PE292" s="56"/>
      <c r="PF292" s="242">
        <f t="shared" si="2129"/>
        <v>0</v>
      </c>
      <c r="PG292" s="242">
        <f t="shared" si="2130"/>
        <v>0</v>
      </c>
      <c r="PH292" s="56"/>
      <c r="PK292" s="55">
        <f t="shared" si="2131"/>
        <v>46268</v>
      </c>
      <c r="PL292" s="56"/>
      <c r="PM292" s="242">
        <f>SUMPRODUCT(PRODUCE!$B291:$DY291,PRODUCE!$EB$54:$IY$54)</f>
        <v>0</v>
      </c>
      <c r="PN292" s="56"/>
      <c r="PO292" s="242">
        <f t="shared" si="2132"/>
        <v>0</v>
      </c>
      <c r="PP292" s="242">
        <f t="shared" si="2133"/>
        <v>100</v>
      </c>
      <c r="PQ292" s="56"/>
      <c r="PT292" s="55">
        <f t="shared" si="2134"/>
        <v>46268</v>
      </c>
      <c r="PU292" s="56"/>
      <c r="PV292" s="242">
        <f>SUMPRODUCT(PRODUCE!$B291:$DY291,PRODUCE!$EB$55:$IY$55)</f>
        <v>0</v>
      </c>
      <c r="PW292" s="56"/>
      <c r="PX292" s="242">
        <f t="shared" si="2135"/>
        <v>0</v>
      </c>
      <c r="PY292" s="242">
        <f t="shared" si="2136"/>
        <v>13.960000000000036</v>
      </c>
      <c r="PZ292" s="56"/>
      <c r="QC292" s="55">
        <f t="shared" si="2137"/>
        <v>46268</v>
      </c>
      <c r="QD292" s="56"/>
      <c r="QE292" s="242">
        <f>SUMPRODUCT(PRODUCE!$B291:$DY291,PRODUCE!$EB$56:$IY$56)</f>
        <v>0</v>
      </c>
      <c r="QF292" s="56"/>
      <c r="QG292" s="242">
        <f t="shared" si="2138"/>
        <v>0</v>
      </c>
      <c r="QH292" s="242">
        <f t="shared" si="2139"/>
        <v>548</v>
      </c>
      <c r="QI292" s="56"/>
      <c r="QL292" s="55">
        <f t="shared" si="2140"/>
        <v>46268</v>
      </c>
      <c r="QM292" s="56"/>
      <c r="QN292" s="242">
        <f>SUMPRODUCT(PRODUCE!$B291:$DY291,PRODUCE!$EB$57:$IY$57)</f>
        <v>0</v>
      </c>
      <c r="QO292" s="56"/>
      <c r="QP292" s="242">
        <f t="shared" si="2141"/>
        <v>0</v>
      </c>
      <c r="QQ292" s="242">
        <f t="shared" si="2142"/>
        <v>0</v>
      </c>
      <c r="QR292" s="56"/>
      <c r="QU292" s="55">
        <f t="shared" si="2143"/>
        <v>46268</v>
      </c>
      <c r="QV292" s="56"/>
      <c r="QW292" s="242">
        <f>SUMPRODUCT(PRODUCE!$B291:$DY291,PRODUCE!$EB$57:$IY$57)</f>
        <v>0</v>
      </c>
      <c r="QX292" s="56"/>
      <c r="QY292" s="242">
        <f t="shared" si="2144"/>
        <v>0</v>
      </c>
      <c r="QZ292" s="242">
        <f t="shared" si="2145"/>
        <v>0</v>
      </c>
      <c r="RA292" s="56"/>
      <c r="RD292" s="55">
        <f t="shared" si="2146"/>
        <v>46268</v>
      </c>
      <c r="RE292" s="56"/>
      <c r="RF292" s="242">
        <f>SUMPRODUCT(PRODUCE!$B291:$DY291,PRODUCE!$EB$58:$IY$58)</f>
        <v>0</v>
      </c>
      <c r="RG292" s="56"/>
      <c r="RH292" s="242">
        <f t="shared" si="2147"/>
        <v>0</v>
      </c>
      <c r="RI292" s="242">
        <f t="shared" si="2148"/>
        <v>147.04000000000002</v>
      </c>
      <c r="RJ292" s="56"/>
      <c r="RM292" s="55">
        <f t="shared" si="2149"/>
        <v>46268</v>
      </c>
      <c r="RN292" s="56"/>
      <c r="RO292" s="242">
        <f>SUMPRODUCT(PRODUCE!$B291:$DY291,PRODUCE!$EB$59:$IY$59)</f>
        <v>0</v>
      </c>
      <c r="RP292" s="56"/>
      <c r="RQ292" s="242">
        <f t="shared" si="2150"/>
        <v>0</v>
      </c>
      <c r="RR292" s="242">
        <f t="shared" si="2151"/>
        <v>46.8</v>
      </c>
      <c r="RS292" s="56"/>
      <c r="RV292" s="55">
        <f t="shared" si="2152"/>
        <v>46268</v>
      </c>
      <c r="RW292" s="56"/>
      <c r="RX292" s="242">
        <f>SUMPRODUCT(PRODUCE!$B291:$DY291,PRODUCE!$EB$57:$IY$57)</f>
        <v>0</v>
      </c>
      <c r="RY292" s="56"/>
      <c r="RZ292" s="242">
        <f t="shared" si="2153"/>
        <v>0</v>
      </c>
      <c r="SA292" s="242">
        <f t="shared" si="2154"/>
        <v>0</v>
      </c>
      <c r="SB292" s="56"/>
      <c r="SE292" s="55">
        <f t="shared" si="2155"/>
        <v>46268</v>
      </c>
      <c r="SF292" s="56"/>
      <c r="SG292" s="242">
        <f>SUMPRODUCT(PRODUCE!$B291:$DY291,PRODUCE!$EB$61:$IY$61)</f>
        <v>0</v>
      </c>
      <c r="SH292" s="56"/>
      <c r="SI292" s="242">
        <f t="shared" si="2156"/>
        <v>0</v>
      </c>
      <c r="SJ292" s="242">
        <f t="shared" si="2157"/>
        <v>24.200000000000003</v>
      </c>
      <c r="SK292" s="56"/>
      <c r="SN292" s="55">
        <f t="shared" si="2158"/>
        <v>46268</v>
      </c>
      <c r="SO292" s="56"/>
      <c r="SP292" s="242">
        <f>SUMPRODUCT(PRODUCE!$B291:$DY291,PRODUCE!$EB$57:$IY$57)</f>
        <v>0</v>
      </c>
      <c r="SQ292" s="56"/>
      <c r="SR292" s="242">
        <f t="shared" si="2159"/>
        <v>0</v>
      </c>
      <c r="SS292" s="242">
        <f t="shared" si="2160"/>
        <v>32</v>
      </c>
      <c r="ST292" s="56"/>
      <c r="SW292" s="55">
        <f t="shared" si="2161"/>
        <v>46268</v>
      </c>
      <c r="SX292" s="56"/>
      <c r="SY292" s="242">
        <f>SUMPRODUCT(PRODUCE!$B291:$DY291,PRODUCE!$EB$57:$IY$57)</f>
        <v>0</v>
      </c>
      <c r="SZ292" s="56"/>
      <c r="TA292" s="242">
        <f t="shared" si="2162"/>
        <v>0</v>
      </c>
      <c r="TB292" s="242">
        <f t="shared" si="2163"/>
        <v>0</v>
      </c>
      <c r="TC292" s="56"/>
      <c r="TF292" s="55">
        <f t="shared" si="2164"/>
        <v>46268</v>
      </c>
      <c r="TG292" s="56"/>
      <c r="TH292" s="242">
        <f>SUMPRODUCT(PRODUCE!$B291:$DY291,PRODUCE!$EB$57:$IY$57)</f>
        <v>0</v>
      </c>
      <c r="TI292" s="56"/>
      <c r="TJ292" s="242">
        <f t="shared" si="2165"/>
        <v>0</v>
      </c>
      <c r="TK292" s="242">
        <f t="shared" si="2166"/>
        <v>0</v>
      </c>
      <c r="TL292" s="56"/>
      <c r="TO292" s="55">
        <f t="shared" si="2167"/>
        <v>46268</v>
      </c>
      <c r="TP292" s="56"/>
      <c r="TQ292" s="242">
        <f>SUMPRODUCT(PRODUCE!$B291:$DY291,PRODUCE!$EB$57:$IY$57)</f>
        <v>0</v>
      </c>
      <c r="TR292" s="56"/>
      <c r="TS292" s="242">
        <f t="shared" si="2168"/>
        <v>0</v>
      </c>
      <c r="TT292" s="242">
        <f t="shared" si="2169"/>
        <v>0</v>
      </c>
      <c r="TU292" s="56"/>
      <c r="TX292" s="55">
        <f t="shared" si="2170"/>
        <v>46268</v>
      </c>
      <c r="TY292" s="56"/>
      <c r="TZ292" s="242">
        <f>SUMPRODUCT(PRODUCE!$B291:$DY291,PRODUCE!$EB$57:$IY$57)</f>
        <v>0</v>
      </c>
      <c r="UA292" s="56"/>
      <c r="UB292" s="242">
        <f t="shared" si="2171"/>
        <v>0</v>
      </c>
      <c r="UC292" s="242">
        <f t="shared" si="2172"/>
        <v>46.799999999999983</v>
      </c>
      <c r="UD292" s="56"/>
      <c r="UG292" s="55">
        <f t="shared" si="2173"/>
        <v>46268</v>
      </c>
      <c r="UH292" s="56"/>
      <c r="UI292" s="242">
        <f>SUMPRODUCT(PRODUCE!$B291:$DY291,PRODUCE!$EB$57:$IY$57)</f>
        <v>0</v>
      </c>
      <c r="UJ292" s="56"/>
      <c r="UK292" s="242">
        <f t="shared" si="2174"/>
        <v>0</v>
      </c>
      <c r="UL292" s="242">
        <f t="shared" si="2175"/>
        <v>204</v>
      </c>
      <c r="UM292" s="56"/>
      <c r="UP292" s="55">
        <f t="shared" si="2176"/>
        <v>46268</v>
      </c>
      <c r="UQ292" s="56"/>
      <c r="UR292" s="242">
        <f>SUMPRODUCT(PRODUCE!$B291:$DY291,PRODUCE!$EB$57:$IY$57)</f>
        <v>0</v>
      </c>
      <c r="US292" s="56"/>
      <c r="UT292" s="242">
        <f t="shared" si="2177"/>
        <v>0</v>
      </c>
      <c r="UU292" s="242">
        <f t="shared" si="2178"/>
        <v>202.5</v>
      </c>
      <c r="UV292" s="56"/>
      <c r="UY292" s="55">
        <f t="shared" si="2179"/>
        <v>46268</v>
      </c>
      <c r="UZ292" s="56"/>
      <c r="VA292" s="242">
        <f>SUMPRODUCT(PRODUCE!$B291:$DY291,PRODUCE!$EB$57:$IY$57)</f>
        <v>0</v>
      </c>
      <c r="VB292" s="56"/>
      <c r="VC292" s="242">
        <f t="shared" si="2180"/>
        <v>0</v>
      </c>
      <c r="VD292" s="242">
        <f t="shared" si="2181"/>
        <v>41.600000000000023</v>
      </c>
      <c r="VE292" s="56"/>
      <c r="VH292" s="55">
        <f t="shared" si="2182"/>
        <v>46268</v>
      </c>
      <c r="VI292" s="56"/>
      <c r="VJ292" s="242">
        <f>SUMPRODUCT(PRODUCE!$B291:$DY291,PRODUCE!$EB$57:$IY$57)</f>
        <v>0</v>
      </c>
      <c r="VK292" s="56"/>
      <c r="VL292" s="242">
        <f t="shared" si="2183"/>
        <v>0</v>
      </c>
      <c r="VM292" s="242">
        <f t="shared" si="2184"/>
        <v>210</v>
      </c>
      <c r="VN292" s="56"/>
      <c r="VQ292" s="55">
        <f t="shared" si="2185"/>
        <v>46268</v>
      </c>
      <c r="VR292" s="56"/>
      <c r="VS292" s="242">
        <f>SUMPRODUCT(PRODUCE!$B291:$DY291,PRODUCE!$EB$57:$IY$57)</f>
        <v>0</v>
      </c>
      <c r="VT292" s="56"/>
      <c r="VU292" s="242">
        <f t="shared" si="2186"/>
        <v>0</v>
      </c>
      <c r="VV292" s="242">
        <f t="shared" si="2187"/>
        <v>0</v>
      </c>
      <c r="VW292" s="56"/>
      <c r="VZ292" s="55">
        <f t="shared" si="2188"/>
        <v>46268</v>
      </c>
      <c r="WA292" s="56"/>
      <c r="WB292" s="242">
        <f>SUMPRODUCT(PRODUCE!$B291:$DY291,PRODUCE!$EB$57:$IY$57)</f>
        <v>0</v>
      </c>
      <c r="WC292" s="56"/>
      <c r="WD292" s="242">
        <f t="shared" si="2189"/>
        <v>0</v>
      </c>
      <c r="WE292" s="242">
        <f t="shared" si="2190"/>
        <v>0</v>
      </c>
      <c r="WF292" s="56"/>
      <c r="WI292" s="55">
        <f t="shared" si="2191"/>
        <v>46268</v>
      </c>
      <c r="WJ292" s="56"/>
      <c r="WK292" s="242">
        <f>SUMPRODUCT(PRODUCE!$B291:$DY291,PRODUCE!$EB$57:$IY$57)</f>
        <v>0</v>
      </c>
      <c r="WL292" s="56"/>
      <c r="WM292" s="242">
        <f t="shared" si="2192"/>
        <v>0</v>
      </c>
      <c r="WN292" s="242">
        <f t="shared" si="2193"/>
        <v>1057</v>
      </c>
      <c r="WO292" s="56"/>
      <c r="WR292" s="55">
        <f t="shared" si="2194"/>
        <v>46268</v>
      </c>
      <c r="WS292" s="56"/>
      <c r="WT292" s="242">
        <f>SUMPRODUCT(PRODUCE!$B291:$DY291,PRODUCE!$EB$57:$IY$57)</f>
        <v>0</v>
      </c>
      <c r="WU292" s="56"/>
      <c r="WV292" s="242">
        <f t="shared" si="2195"/>
        <v>0</v>
      </c>
      <c r="WW292" s="242">
        <f t="shared" si="2196"/>
        <v>0</v>
      </c>
      <c r="WX292" s="56"/>
      <c r="XA292" s="55">
        <f t="shared" si="2197"/>
        <v>46268</v>
      </c>
      <c r="XB292" s="56"/>
      <c r="XC292" s="242">
        <f>SUMPRODUCT(PRODUCE!$B291:$DY291,PRODUCE!$EB$57:$IY$57)</f>
        <v>0</v>
      </c>
      <c r="XD292" s="56"/>
      <c r="XE292" s="242">
        <f t="shared" si="2198"/>
        <v>0</v>
      </c>
      <c r="XF292" s="242">
        <f t="shared" si="2199"/>
        <v>7507</v>
      </c>
      <c r="XG292" s="56"/>
      <c r="XJ292" s="55">
        <f t="shared" si="2200"/>
        <v>46268</v>
      </c>
      <c r="XK292" s="56"/>
      <c r="XL292" s="242">
        <f>SUMPRODUCT(PRODUCE!$B291:$DY291,PRODUCE!$EB$57:$IY$57)</f>
        <v>0</v>
      </c>
      <c r="XM292" s="56"/>
      <c r="XN292" s="242">
        <f t="shared" si="2201"/>
        <v>0</v>
      </c>
      <c r="XO292" s="242">
        <f t="shared" si="2202"/>
        <v>4252</v>
      </c>
      <c r="XP292" s="56"/>
      <c r="XS292" s="55">
        <f t="shared" si="2203"/>
        <v>46268</v>
      </c>
      <c r="XT292" s="56"/>
      <c r="XU292" s="242">
        <f>SUMPRODUCT(PRODUCE!$B291:$DY291,PRODUCE!$EB$57:$IY$57)</f>
        <v>0</v>
      </c>
      <c r="XV292" s="56"/>
      <c r="XW292" s="242">
        <f t="shared" si="2204"/>
        <v>0</v>
      </c>
      <c r="XX292" s="242">
        <f t="shared" si="2205"/>
        <v>2179</v>
      </c>
      <c r="XY292" s="56"/>
      <c r="YB292" s="55">
        <f t="shared" si="2206"/>
        <v>46268</v>
      </c>
      <c r="YC292" s="56"/>
      <c r="YD292" s="242">
        <f>SUMPRODUCT(PRODUCE!$B291:$DY291,PRODUCE!$EB$57:$IY$57)</f>
        <v>0</v>
      </c>
      <c r="YE292" s="56"/>
      <c r="YF292" s="242">
        <f t="shared" si="2207"/>
        <v>0</v>
      </c>
      <c r="YG292" s="242">
        <f t="shared" si="2208"/>
        <v>4019</v>
      </c>
      <c r="YH292" s="56"/>
      <c r="YK292" s="55">
        <f t="shared" si="2209"/>
        <v>46268</v>
      </c>
      <c r="YL292" s="56"/>
      <c r="YM292" s="242">
        <f>SUMPRODUCT(PRODUCE!$B291:$DY291,PRODUCE!$EB$57:$IY$57)</f>
        <v>0</v>
      </c>
      <c r="YN292" s="56"/>
      <c r="YO292" s="242">
        <f t="shared" si="2210"/>
        <v>0</v>
      </c>
      <c r="YP292" s="242">
        <f t="shared" si="2211"/>
        <v>-218</v>
      </c>
      <c r="YQ292" s="56"/>
      <c r="YT292" s="55">
        <f t="shared" si="2212"/>
        <v>46268</v>
      </c>
      <c r="YU292" s="56"/>
      <c r="YV292" s="242">
        <f>SUMPRODUCT(PRODUCE!$B291:$DY291,PRODUCE!$EB$57:$IY$57)</f>
        <v>0</v>
      </c>
      <c r="YW292" s="56"/>
      <c r="YX292" s="242">
        <f t="shared" si="2213"/>
        <v>0</v>
      </c>
      <c r="YY292" s="242">
        <f t="shared" si="2214"/>
        <v>0</v>
      </c>
      <c r="YZ292" s="56"/>
      <c r="ZC292" s="55">
        <f t="shared" si="2215"/>
        <v>46268</v>
      </c>
      <c r="ZD292" s="56"/>
      <c r="ZE292" s="242">
        <f>SUMPRODUCT(PRODUCE!$B291:$DY291,PRODUCE!$EB$57:$IY$57)</f>
        <v>0</v>
      </c>
      <c r="ZF292" s="56"/>
      <c r="ZG292" s="242">
        <f t="shared" si="2216"/>
        <v>0</v>
      </c>
      <c r="ZH292" s="242">
        <f t="shared" si="2217"/>
        <v>0</v>
      </c>
      <c r="ZI292" s="56"/>
      <c r="ZL292" s="55">
        <f t="shared" si="2218"/>
        <v>46268</v>
      </c>
      <c r="ZM292" s="56"/>
      <c r="ZN292" s="242">
        <f>SUMPRODUCT(PRODUCE!$B291:$DY291,PRODUCE!$EB$57:$IY$57)</f>
        <v>0</v>
      </c>
      <c r="ZO292" s="56"/>
      <c r="ZP292" s="242">
        <f t="shared" si="2219"/>
        <v>0</v>
      </c>
      <c r="ZQ292" s="242">
        <f t="shared" si="2220"/>
        <v>0</v>
      </c>
      <c r="ZR292" s="56"/>
      <c r="ZU292" s="55">
        <f t="shared" si="2221"/>
        <v>46268</v>
      </c>
      <c r="ZV292" s="56"/>
      <c r="ZW292" s="242">
        <f>SUMPRODUCT(PRODUCE!$B291:$DY291,PRODUCE!$EB$57:$IY$57)</f>
        <v>0</v>
      </c>
      <c r="ZX292" s="56"/>
      <c r="ZY292" s="242">
        <f t="shared" si="2222"/>
        <v>0</v>
      </c>
      <c r="ZZ292" s="242">
        <f t="shared" si="2223"/>
        <v>0</v>
      </c>
      <c r="AAA292" s="56"/>
      <c r="AAD292" s="55">
        <f t="shared" si="2224"/>
        <v>46268</v>
      </c>
      <c r="AAE292" s="56"/>
      <c r="AAF292" s="242">
        <f>SUMPRODUCT(PRODUCE!$B291:$DY291,PRODUCE!$EB$57:$IY$57)</f>
        <v>0</v>
      </c>
      <c r="AAG292" s="56"/>
      <c r="AAH292" s="242">
        <f t="shared" si="2225"/>
        <v>0</v>
      </c>
      <c r="AAI292" s="242">
        <f t="shared" si="2226"/>
        <v>0</v>
      </c>
      <c r="AAJ292" s="56"/>
      <c r="AAM292" s="55">
        <f t="shared" si="2227"/>
        <v>46268</v>
      </c>
      <c r="AAN292" s="56"/>
      <c r="AAO292" s="242">
        <f>SUMPRODUCT(PRODUCE!$B291:$DY291,PRODUCE!$EB$57:$IY$57)</f>
        <v>0</v>
      </c>
      <c r="AAP292" s="56"/>
      <c r="AAQ292" s="242">
        <f t="shared" si="2228"/>
        <v>0</v>
      </c>
      <c r="AAR292" s="242">
        <f t="shared" si="2229"/>
        <v>0</v>
      </c>
      <c r="AAS292" s="56"/>
      <c r="AAV292" s="55">
        <f t="shared" si="2230"/>
        <v>46268</v>
      </c>
      <c r="AAW292" s="56"/>
      <c r="AAX292" s="242">
        <f>SUMPRODUCT(PRODUCE!$B291:$DY291,PRODUCE!$EB$57:$IY$57)</f>
        <v>0</v>
      </c>
      <c r="AAY292" s="56"/>
      <c r="AAZ292" s="242">
        <f t="shared" si="2231"/>
        <v>0</v>
      </c>
      <c r="ABA292" s="242">
        <f t="shared" si="2232"/>
        <v>0</v>
      </c>
      <c r="ABB292" s="56"/>
      <c r="ABE292" s="55">
        <f t="shared" si="2233"/>
        <v>46268</v>
      </c>
      <c r="ABF292" s="56"/>
      <c r="ABG292" s="242">
        <f>SUMPRODUCT(PRODUCE!$B291:$DY291,PRODUCE!$EB$57:$IY$57)</f>
        <v>0</v>
      </c>
      <c r="ABH292" s="56"/>
      <c r="ABI292" s="242">
        <f t="shared" si="2234"/>
        <v>0</v>
      </c>
      <c r="ABJ292" s="242">
        <f t="shared" si="2235"/>
        <v>0</v>
      </c>
      <c r="ABK292" s="56"/>
    </row>
    <row r="293" spans="2:739" s="54" customFormat="1" ht="15" customHeight="1" outlineLevel="1">
      <c r="B293" s="478"/>
      <c r="C293" s="55">
        <v>46269</v>
      </c>
      <c r="D293" s="56"/>
      <c r="E293" s="57">
        <f>SUMPRODUCT(PRODUCE!$B292:$DY292,PRODUCE!$EB$7:$IY$7)</f>
        <v>0</v>
      </c>
      <c r="F293" s="56"/>
      <c r="G293" s="57">
        <f t="shared" si="1992"/>
        <v>0</v>
      </c>
      <c r="H293" s="57">
        <f t="shared" si="1993"/>
        <v>236936.6</v>
      </c>
      <c r="I293" s="289"/>
      <c r="L293" s="55">
        <f t="shared" si="1994"/>
        <v>46269</v>
      </c>
      <c r="M293" s="56"/>
      <c r="N293" s="59">
        <f>SUMPRODUCT(PRODUCE!$B292:$DY292,PRODUCE!$EB$8:$IY$8)</f>
        <v>0</v>
      </c>
      <c r="O293" s="56"/>
      <c r="P293" s="59">
        <f t="shared" si="1995"/>
        <v>0</v>
      </c>
      <c r="Q293" s="59">
        <f t="shared" si="1996"/>
        <v>53017.600000000071</v>
      </c>
      <c r="R293" s="56"/>
      <c r="U293" s="55">
        <f t="shared" si="1997"/>
        <v>46269</v>
      </c>
      <c r="V293" s="56"/>
      <c r="W293" s="60">
        <f>SUMPRODUCT(PRODUCE!$B292:$DY292,PRODUCE!$EB$9:$IY$9)</f>
        <v>0</v>
      </c>
      <c r="X293" s="56"/>
      <c r="Y293" s="60">
        <f t="shared" si="1998"/>
        <v>0</v>
      </c>
      <c r="Z293" s="60">
        <f t="shared" si="1999"/>
        <v>42674.199999999968</v>
      </c>
      <c r="AA293" s="56"/>
      <c r="AD293" s="55">
        <f t="shared" si="2000"/>
        <v>46269</v>
      </c>
      <c r="AE293" s="56"/>
      <c r="AF293" s="61">
        <f>SUMPRODUCT(PRODUCE!$B292:$DY292,PRODUCE!$EB$10:$IY$10)</f>
        <v>0</v>
      </c>
      <c r="AG293" s="56"/>
      <c r="AH293" s="61">
        <f t="shared" si="2001"/>
        <v>0</v>
      </c>
      <c r="AI293" s="61">
        <f t="shared" si="2002"/>
        <v>4522.2000000000189</v>
      </c>
      <c r="AJ293" s="56"/>
      <c r="AM293" s="55">
        <f t="shared" si="2003"/>
        <v>46269</v>
      </c>
      <c r="AN293" s="422"/>
      <c r="AO293" s="444">
        <f>SUMPRODUCT(PRODUCE!$B292:$DY292,PRODUCE!$EB$11:$IY$11)</f>
        <v>0</v>
      </c>
      <c r="AP293" s="422"/>
      <c r="AQ293" s="444">
        <f t="shared" si="2004"/>
        <v>0</v>
      </c>
      <c r="AR293" s="444">
        <f t="shared" si="2005"/>
        <v>0</v>
      </c>
      <c r="AS293" s="56"/>
      <c r="AV293" s="55">
        <f t="shared" si="2006"/>
        <v>46269</v>
      </c>
      <c r="AW293" s="56"/>
      <c r="AX293" s="62">
        <f>SUMPRODUCT(PRODUCE!$B292:$DY292,PRODUCE!$EB$12:$IY$12)</f>
        <v>0</v>
      </c>
      <c r="AY293" s="56"/>
      <c r="AZ293" s="62">
        <f t="shared" si="2007"/>
        <v>0</v>
      </c>
      <c r="BA293" s="62">
        <f t="shared" si="2008"/>
        <v>124.99999999999523</v>
      </c>
      <c r="BB293" s="56"/>
      <c r="BE293" s="55">
        <f t="shared" si="2009"/>
        <v>46269</v>
      </c>
      <c r="BF293" s="56"/>
      <c r="BG293" s="63">
        <f>SUMPRODUCT(PRODUCE!$B292:$DY292,PRODUCE!$EB$13:$IY$13)</f>
        <v>0</v>
      </c>
      <c r="BH293" s="56"/>
      <c r="BI293" s="63">
        <f t="shared" si="2010"/>
        <v>0</v>
      </c>
      <c r="BJ293" s="63">
        <f t="shared" si="2011"/>
        <v>26151.899999999998</v>
      </c>
      <c r="BK293" s="56"/>
      <c r="BN293" s="55">
        <f t="shared" si="2012"/>
        <v>46269</v>
      </c>
      <c r="BO293" s="56"/>
      <c r="BP293" s="64">
        <f>SUMPRODUCT(PRODUCE!$B292:$DY292,PRODUCE!$EB$14:$IY$14)</f>
        <v>0</v>
      </c>
      <c r="BQ293" s="56"/>
      <c r="BR293" s="64">
        <f t="shared" si="2013"/>
        <v>0</v>
      </c>
      <c r="BS293" s="64">
        <f t="shared" si="2014"/>
        <v>0</v>
      </c>
      <c r="BT293" s="56"/>
      <c r="BW293" s="55">
        <f t="shared" si="2015"/>
        <v>46269</v>
      </c>
      <c r="BX293" s="56"/>
      <c r="BY293" s="65">
        <f>SUMPRODUCT(PRODUCE!$B292:$DY292,PRODUCE!$EB$15:$IY$15)</f>
        <v>0</v>
      </c>
      <c r="BZ293" s="56"/>
      <c r="CA293" s="65">
        <f t="shared" si="2016"/>
        <v>0</v>
      </c>
      <c r="CB293" s="65">
        <f t="shared" si="2017"/>
        <v>2097.3399999999992</v>
      </c>
      <c r="CC293" s="56"/>
      <c r="CF293" s="55">
        <f t="shared" si="2018"/>
        <v>46269</v>
      </c>
      <c r="CG293" s="56"/>
      <c r="CH293" s="66">
        <f>SUMPRODUCT(PRODUCE!$B292:$DY292,PRODUCE!$EB$16:$IY$16)</f>
        <v>0</v>
      </c>
      <c r="CI293" s="56"/>
      <c r="CJ293" s="66">
        <f t="shared" si="2019"/>
        <v>0</v>
      </c>
      <c r="CK293" s="66">
        <f t="shared" si="2020"/>
        <v>-10277.079999999998</v>
      </c>
      <c r="CL293" s="56"/>
      <c r="CO293" s="55">
        <f t="shared" si="2021"/>
        <v>46269</v>
      </c>
      <c r="CP293" s="422"/>
      <c r="CQ293" s="470">
        <f>SUMPRODUCT(PRODUCE!$B292:$DY292,PRODUCE!$EB$17:$IY$17)</f>
        <v>0</v>
      </c>
      <c r="CR293" s="422"/>
      <c r="CS293" s="470">
        <f t="shared" si="2022"/>
        <v>0</v>
      </c>
      <c r="CT293" s="470">
        <f t="shared" si="2023"/>
        <v>0</v>
      </c>
      <c r="CU293" s="56"/>
      <c r="CX293" s="55">
        <f t="shared" si="2024"/>
        <v>46269</v>
      </c>
      <c r="CY293" s="56"/>
      <c r="CZ293" s="133">
        <f>SUMPRODUCT(PRODUCE!$B292:$DY292,PRODUCE!$EB$18:$IY$18)</f>
        <v>0</v>
      </c>
      <c r="DA293" s="56"/>
      <c r="DB293" s="133">
        <f t="shared" si="2025"/>
        <v>0</v>
      </c>
      <c r="DC293" s="133">
        <f t="shared" si="2026"/>
        <v>27438.200000000012</v>
      </c>
      <c r="DD293" s="56"/>
      <c r="DG293" s="55">
        <f t="shared" si="2027"/>
        <v>46269</v>
      </c>
      <c r="DH293" s="56"/>
      <c r="DI293" s="147">
        <f>SUMPRODUCT(PRODUCE!$B292:$DY292,PRODUCE!$EB$19:$IY$19)</f>
        <v>0</v>
      </c>
      <c r="DJ293" s="56"/>
      <c r="DK293" s="147">
        <f t="shared" si="2028"/>
        <v>0</v>
      </c>
      <c r="DL293" s="147">
        <f t="shared" si="2029"/>
        <v>18782.299999999981</v>
      </c>
      <c r="DM293" s="56"/>
      <c r="DP293" s="55">
        <f t="shared" si="2030"/>
        <v>46269</v>
      </c>
      <c r="DQ293" s="56"/>
      <c r="DR293" s="57">
        <f>SUMPRODUCT(PRODUCE!$B292:$DY292,PRODUCE!$EB$20:$IY$20)</f>
        <v>0</v>
      </c>
      <c r="DS293" s="56"/>
      <c r="DT293" s="57">
        <f t="shared" si="2031"/>
        <v>0</v>
      </c>
      <c r="DU293" s="57">
        <f t="shared" si="2032"/>
        <v>5800</v>
      </c>
      <c r="DV293" s="56"/>
      <c r="DY293" s="55">
        <f t="shared" si="2033"/>
        <v>46269</v>
      </c>
      <c r="DZ293" s="56"/>
      <c r="EA293" s="157">
        <f>SUMPRODUCT(PRODUCE!$B292:$DY292,PRODUCE!$EB$21:$IY$21)</f>
        <v>0</v>
      </c>
      <c r="EB293" s="56"/>
      <c r="EC293" s="157">
        <f t="shared" si="2034"/>
        <v>0</v>
      </c>
      <c r="ED293" s="157">
        <f t="shared" si="2035"/>
        <v>0</v>
      </c>
      <c r="EE293" s="56"/>
      <c r="EH293" s="55">
        <f t="shared" si="2036"/>
        <v>46269</v>
      </c>
      <c r="EI293" s="56"/>
      <c r="EJ293" s="162">
        <f>SUMPRODUCT(PRODUCE!$B292:$DY292,PRODUCE!$EB$22:$IY$22)</f>
        <v>0</v>
      </c>
      <c r="EK293" s="56"/>
      <c r="EL293" s="162">
        <f t="shared" si="2037"/>
        <v>0</v>
      </c>
      <c r="EM293" s="162">
        <f t="shared" si="2038"/>
        <v>0</v>
      </c>
      <c r="EN293" s="56"/>
      <c r="EQ293" s="55">
        <f t="shared" si="2039"/>
        <v>46269</v>
      </c>
      <c r="ER293" s="56"/>
      <c r="ES293" s="135">
        <f>SUMPRODUCT(PRODUCE!$B292:$DY292,PRODUCE!$EB$23:$IY$23)</f>
        <v>0</v>
      </c>
      <c r="ET293" s="56"/>
      <c r="EU293" s="135">
        <f t="shared" si="2040"/>
        <v>0</v>
      </c>
      <c r="EV293" s="135">
        <f t="shared" si="2041"/>
        <v>0</v>
      </c>
      <c r="EW293" s="56"/>
      <c r="EZ293" s="55">
        <f t="shared" si="2042"/>
        <v>46269</v>
      </c>
      <c r="FA293" s="56"/>
      <c r="FB293" s="175">
        <f>SUMPRODUCT(PRODUCE!$B292:$DY292,PRODUCE!$EB$24:$IY$24)</f>
        <v>0</v>
      </c>
      <c r="FC293" s="56"/>
      <c r="FD293" s="175">
        <f t="shared" si="2043"/>
        <v>0</v>
      </c>
      <c r="FE293" s="175">
        <f t="shared" si="2044"/>
        <v>0</v>
      </c>
      <c r="FF293" s="56"/>
      <c r="FI293" s="55">
        <f t="shared" si="2045"/>
        <v>46269</v>
      </c>
      <c r="FJ293" s="56"/>
      <c r="FK293" s="183">
        <f>SUMPRODUCT(PRODUCE!$B292:$DY292,PRODUCE!$EB$25:$IY$25)</f>
        <v>0</v>
      </c>
      <c r="FL293" s="56"/>
      <c r="FM293" s="183">
        <f t="shared" si="2046"/>
        <v>0</v>
      </c>
      <c r="FN293" s="183">
        <f t="shared" si="2047"/>
        <v>0</v>
      </c>
      <c r="FO293" s="56"/>
      <c r="FR293" s="55">
        <f t="shared" si="2048"/>
        <v>46269</v>
      </c>
      <c r="FS293" s="56"/>
      <c r="FT293" s="186">
        <f>SUMPRODUCT(PRODUCE!$B292:$DY292,PRODUCE!$EB$26:$IY$26)</f>
        <v>0</v>
      </c>
      <c r="FU293" s="56"/>
      <c r="FV293" s="186">
        <f t="shared" si="2049"/>
        <v>0</v>
      </c>
      <c r="FW293" s="186">
        <f t="shared" si="2050"/>
        <v>2020</v>
      </c>
      <c r="FX293" s="56"/>
      <c r="GA293" s="55">
        <f t="shared" si="2051"/>
        <v>46269</v>
      </c>
      <c r="GB293" s="56"/>
      <c r="GC293" s="137">
        <f>SUMPRODUCT(PRODUCE!$B292:$DY292,PRODUCE!$EB$27:$IY$27)</f>
        <v>0</v>
      </c>
      <c r="GD293" s="56"/>
      <c r="GE293" s="137">
        <f t="shared" si="2052"/>
        <v>0</v>
      </c>
      <c r="GF293" s="137">
        <f t="shared" si="2053"/>
        <v>960</v>
      </c>
      <c r="GG293" s="56"/>
      <c r="GI293" s="23"/>
      <c r="GJ293" s="55">
        <f t="shared" si="2054"/>
        <v>46269</v>
      </c>
      <c r="GK293" s="56"/>
      <c r="GL293" s="199">
        <f>SUMPRODUCT(PRODUCE!$B292:$DY292,PRODUCE!$EB$28:$IY$28)</f>
        <v>0</v>
      </c>
      <c r="GM293" s="56"/>
      <c r="GN293" s="199">
        <f t="shared" si="2055"/>
        <v>0</v>
      </c>
      <c r="GO293" s="199">
        <f t="shared" si="2056"/>
        <v>1760</v>
      </c>
      <c r="GP293" s="56"/>
      <c r="GS293" s="55">
        <f t="shared" si="2057"/>
        <v>46269</v>
      </c>
      <c r="GT293" s="56"/>
      <c r="GU293" s="195">
        <f>SUMPRODUCT(PRODUCE!$B292:$DY292,PRODUCE!$EB$29:$IY$29)</f>
        <v>0</v>
      </c>
      <c r="GV293" s="56"/>
      <c r="GW293" s="195">
        <f t="shared" si="2058"/>
        <v>0</v>
      </c>
      <c r="GX293" s="195">
        <f t="shared" si="2059"/>
        <v>400</v>
      </c>
      <c r="GY293" s="56"/>
      <c r="HB293" s="55">
        <f t="shared" si="2060"/>
        <v>46269</v>
      </c>
      <c r="HC293" s="56"/>
      <c r="HD293" s="191">
        <f>SUMPRODUCT(PRODUCE!$B292:$DY292,PRODUCE!$EB$30:$IY$30)</f>
        <v>0</v>
      </c>
      <c r="HE293" s="56"/>
      <c r="HF293" s="191">
        <f t="shared" si="2061"/>
        <v>0</v>
      </c>
      <c r="HG293" s="191">
        <f t="shared" si="2062"/>
        <v>3600</v>
      </c>
      <c r="HH293" s="56"/>
      <c r="HK293" s="55">
        <f t="shared" si="2063"/>
        <v>46269</v>
      </c>
      <c r="HL293" s="56"/>
      <c r="HM293" s="63">
        <f>SUMPRODUCT(PRODUCE!$B292:$DY292,PRODUCE!$EB$31:$IY$31)</f>
        <v>0</v>
      </c>
      <c r="HN293" s="56"/>
      <c r="HO293" s="63">
        <f t="shared" si="2064"/>
        <v>0</v>
      </c>
      <c r="HP293" s="63">
        <f t="shared" si="2065"/>
        <v>0</v>
      </c>
      <c r="HQ293" s="56"/>
      <c r="HU293" s="55">
        <f t="shared" si="2066"/>
        <v>46269</v>
      </c>
      <c r="HV293" s="56"/>
      <c r="HW293" s="242">
        <f>SUMPRODUCT(PRODUCE!$B292:$DY292,PRODUCE!$EB$32:$IY$32)</f>
        <v>0</v>
      </c>
      <c r="HX293" s="56"/>
      <c r="HY293" s="242">
        <f t="shared" si="2236"/>
        <v>0</v>
      </c>
      <c r="HZ293" s="242">
        <f t="shared" si="2067"/>
        <v>6120</v>
      </c>
      <c r="IA293" s="56"/>
      <c r="ID293" s="55">
        <f t="shared" si="2068"/>
        <v>46269</v>
      </c>
      <c r="IE293" s="56"/>
      <c r="IF293" s="242">
        <f>SUMPRODUCT(PRODUCE!$B292:$DY292,PRODUCE!$EB$33:$IY$33)</f>
        <v>0</v>
      </c>
      <c r="IG293" s="56"/>
      <c r="IH293" s="242">
        <f t="shared" si="2069"/>
        <v>0</v>
      </c>
      <c r="II293" s="242">
        <f t="shared" si="2070"/>
        <v>0</v>
      </c>
      <c r="IJ293" s="56"/>
      <c r="IM293" s="55">
        <f t="shared" si="2071"/>
        <v>46269</v>
      </c>
      <c r="IN293" s="56"/>
      <c r="IO293" s="242">
        <f>SUMPRODUCT(PRODUCE!$B292:$DY292,PRODUCE!$EB$34:$IY$34)</f>
        <v>0</v>
      </c>
      <c r="IP293" s="56"/>
      <c r="IQ293" s="242">
        <f t="shared" si="2072"/>
        <v>0</v>
      </c>
      <c r="IR293" s="242">
        <f t="shared" si="2073"/>
        <v>0</v>
      </c>
      <c r="IS293" s="56"/>
      <c r="IV293" s="55">
        <f t="shared" si="2074"/>
        <v>46269</v>
      </c>
      <c r="IW293" s="56"/>
      <c r="IX293" s="242">
        <f>SUMPRODUCT(PRODUCE!$B292:$DY292,PRODUCE!$EB$35:$IY$35)</f>
        <v>0</v>
      </c>
      <c r="IY293" s="56"/>
      <c r="IZ293" s="242">
        <f t="shared" si="2075"/>
        <v>0</v>
      </c>
      <c r="JA293" s="242">
        <f t="shared" si="2076"/>
        <v>2820</v>
      </c>
      <c r="JB293" s="56"/>
      <c r="JE293" s="55">
        <f t="shared" si="2077"/>
        <v>46269</v>
      </c>
      <c r="JF293" s="56"/>
      <c r="JG293" s="242">
        <f>SUMPRODUCT(PRODUCE!$B292:$DY292,PRODUCE!$EB$36:$IY$36)</f>
        <v>0</v>
      </c>
      <c r="JH293" s="56"/>
      <c r="JI293" s="242">
        <f t="shared" si="2078"/>
        <v>0</v>
      </c>
      <c r="JJ293" s="242">
        <f t="shared" si="2079"/>
        <v>0</v>
      </c>
      <c r="JK293" s="56"/>
      <c r="JN293" s="55">
        <f t="shared" si="2080"/>
        <v>46269</v>
      </c>
      <c r="JO293" s="56"/>
      <c r="JP293" s="242">
        <f>SUMPRODUCT(PRODUCE!$B292:$DY292,PRODUCE!$EB$37:$IY$37)</f>
        <v>0</v>
      </c>
      <c r="JQ293" s="56"/>
      <c r="JR293" s="242">
        <f t="shared" si="2081"/>
        <v>0</v>
      </c>
      <c r="JS293" s="242">
        <f t="shared" si="2082"/>
        <v>0</v>
      </c>
      <c r="JT293" s="56"/>
      <c r="JW293" s="55">
        <f t="shared" si="2083"/>
        <v>46269</v>
      </c>
      <c r="JX293" s="56"/>
      <c r="JY293" s="242">
        <f>SUMPRODUCT(PRODUCE!$B292:$DY292,PRODUCE!$EB$38:$IY$38)</f>
        <v>0</v>
      </c>
      <c r="JZ293" s="56"/>
      <c r="KA293" s="242">
        <f t="shared" si="2084"/>
        <v>0</v>
      </c>
      <c r="KB293" s="242">
        <f t="shared" si="2085"/>
        <v>2540</v>
      </c>
      <c r="KC293" s="56"/>
      <c r="KF293" s="55">
        <f t="shared" si="2086"/>
        <v>46269</v>
      </c>
      <c r="KG293" s="56"/>
      <c r="KH293" s="242">
        <f>SUMPRODUCT(PRODUCE!$B292:$DY292,PRODUCE!$EB$39:$IY$39)</f>
        <v>0</v>
      </c>
      <c r="KI293" s="56"/>
      <c r="KJ293" s="242">
        <f t="shared" si="2087"/>
        <v>0</v>
      </c>
      <c r="KK293" s="242">
        <f t="shared" si="2088"/>
        <v>2359.5</v>
      </c>
      <c r="KL293" s="56"/>
      <c r="KO293" s="55">
        <f t="shared" si="2089"/>
        <v>46269</v>
      </c>
      <c r="KP293" s="56"/>
      <c r="KQ293" s="242">
        <f>SUMPRODUCT(PRODUCE!$B292:$DY292,PRODUCE!$EB$40:$IY$40)</f>
        <v>0</v>
      </c>
      <c r="KR293" s="56"/>
      <c r="KS293" s="242">
        <f t="shared" si="2090"/>
        <v>0</v>
      </c>
      <c r="KT293" s="242">
        <f t="shared" si="2091"/>
        <v>1890</v>
      </c>
      <c r="KU293" s="56"/>
      <c r="KW293" s="23"/>
      <c r="KX293" s="55">
        <f t="shared" si="2092"/>
        <v>46269</v>
      </c>
      <c r="KY293" s="56"/>
      <c r="KZ293" s="242">
        <f>SUMPRODUCT(PRODUCE!$B292:$DY292,PRODUCE!$EB$41:$IY$41)</f>
        <v>0</v>
      </c>
      <c r="LA293" s="56"/>
      <c r="LB293" s="242">
        <f t="shared" si="2093"/>
        <v>0</v>
      </c>
      <c r="LC293" s="242">
        <f t="shared" si="2094"/>
        <v>3690</v>
      </c>
      <c r="LD293" s="56"/>
      <c r="LG293" s="55">
        <f t="shared" si="2095"/>
        <v>46269</v>
      </c>
      <c r="LH293" s="56"/>
      <c r="LI293" s="242">
        <f>SUMPRODUCT(PRODUCE!$B292:$DY292,PRODUCE!$EB$42:$IY$42)</f>
        <v>0</v>
      </c>
      <c r="LJ293" s="56"/>
      <c r="LK293" s="242">
        <f t="shared" si="2096"/>
        <v>0</v>
      </c>
      <c r="LL293" s="242">
        <f t="shared" si="2097"/>
        <v>4000</v>
      </c>
      <c r="LM293" s="56"/>
      <c r="LP293" s="55">
        <f t="shared" si="2098"/>
        <v>46269</v>
      </c>
      <c r="LQ293" s="56"/>
      <c r="LR293" s="242">
        <f>SUMPRODUCT(PRODUCE!$B308:$DY308,PRODUCE!$EB$43:$IY$43)</f>
        <v>0</v>
      </c>
      <c r="LS293" s="56"/>
      <c r="LT293" s="242">
        <f t="shared" si="2099"/>
        <v>0</v>
      </c>
      <c r="LU293" s="242">
        <f t="shared" si="2100"/>
        <v>0</v>
      </c>
      <c r="LV293" s="56"/>
      <c r="LY293" s="55">
        <f t="shared" si="2101"/>
        <v>46269</v>
      </c>
      <c r="LZ293" s="56"/>
      <c r="MA293" s="242">
        <f>SUMPRODUCT(PRODUCE!$B292:$DY292,PRODUCE!$EB$44:$IY$44)</f>
        <v>0</v>
      </c>
      <c r="MB293" s="56"/>
      <c r="MC293" s="242">
        <f t="shared" si="2102"/>
        <v>0</v>
      </c>
      <c r="MD293" s="242">
        <f t="shared" si="2103"/>
        <v>0</v>
      </c>
      <c r="ME293" s="56"/>
      <c r="MH293" s="55">
        <f t="shared" si="2104"/>
        <v>46269</v>
      </c>
      <c r="MI293" s="56"/>
      <c r="MJ293" s="242">
        <f>SUMPRODUCT(PRODUCE!$B292:$DY292,PRODUCE!$EB$45:$IY$45)</f>
        <v>0</v>
      </c>
      <c r="MK293" s="56"/>
      <c r="ML293" s="242">
        <f t="shared" si="2105"/>
        <v>0</v>
      </c>
      <c r="MM293" s="242">
        <f t="shared" si="2106"/>
        <v>0</v>
      </c>
      <c r="MN293" s="56"/>
      <c r="MQ293" s="55">
        <f t="shared" si="2107"/>
        <v>46269</v>
      </c>
      <c r="MR293" s="56"/>
      <c r="MS293" s="242">
        <f>SUMPRODUCT(PRODUCE!$B292:$DY292,PRODUCE!$EB$46:$IY$46)</f>
        <v>0</v>
      </c>
      <c r="MT293" s="56"/>
      <c r="MU293" s="242">
        <f t="shared" si="2108"/>
        <v>0</v>
      </c>
      <c r="MV293" s="242">
        <f t="shared" si="2109"/>
        <v>1625</v>
      </c>
      <c r="MW293" s="56"/>
      <c r="MZ293" s="55">
        <f t="shared" si="2110"/>
        <v>46269</v>
      </c>
      <c r="NA293" s="56"/>
      <c r="NB293" s="242">
        <f>SUMPRODUCT(PRODUCE!$B292:$DY292,PRODUCE!$EB$47:$IY$47)</f>
        <v>0</v>
      </c>
      <c r="NC293" s="56"/>
      <c r="ND293" s="242">
        <f t="shared" si="2111"/>
        <v>0</v>
      </c>
      <c r="NE293" s="242">
        <f t="shared" si="2112"/>
        <v>0</v>
      </c>
      <c r="NF293" s="56"/>
      <c r="NI293" s="55">
        <f t="shared" si="2113"/>
        <v>46269</v>
      </c>
      <c r="NJ293" s="56"/>
      <c r="NK293" s="242">
        <f>SUMPRODUCT(PRODUCE!$B292:$DY292,PRODUCE!$EB$48:$IY$48)</f>
        <v>0</v>
      </c>
      <c r="NL293" s="56"/>
      <c r="NM293" s="242">
        <f t="shared" si="2114"/>
        <v>0</v>
      </c>
      <c r="NN293" s="242">
        <f t="shared" si="2115"/>
        <v>1127</v>
      </c>
      <c r="NO293" s="56"/>
      <c r="NR293" s="55">
        <f t="shared" si="2116"/>
        <v>46269</v>
      </c>
      <c r="NS293" s="56"/>
      <c r="NT293" s="242">
        <f>SUMPRODUCT(PRODUCE!$B292:$DY292,PRODUCE!$EB$49:$IY$49)</f>
        <v>0</v>
      </c>
      <c r="NU293" s="56"/>
      <c r="NV293" s="242">
        <f t="shared" si="2117"/>
        <v>0</v>
      </c>
      <c r="NW293" s="242">
        <f t="shared" si="2118"/>
        <v>3111.9999999999995</v>
      </c>
      <c r="NX293" s="56"/>
      <c r="OA293" s="55">
        <f t="shared" si="2119"/>
        <v>46269</v>
      </c>
      <c r="OB293" s="56"/>
      <c r="OC293" s="242">
        <f>SUMPRODUCT(PRODUCE!$B292:$DY292,PRODUCE!$EB$50:$IY$50)</f>
        <v>0</v>
      </c>
      <c r="OD293" s="56"/>
      <c r="OE293" s="242">
        <f t="shared" si="2120"/>
        <v>0</v>
      </c>
      <c r="OF293" s="242">
        <f t="shared" si="2121"/>
        <v>1680.5</v>
      </c>
      <c r="OG293" s="56"/>
      <c r="OJ293" s="55">
        <f t="shared" si="2122"/>
        <v>46269</v>
      </c>
      <c r="OK293" s="56"/>
      <c r="OL293" s="242">
        <f>SUMPRODUCT(PRODUCE!$B292:$DY292,PRODUCE!$EB$51:$IY$51)</f>
        <v>0</v>
      </c>
      <c r="OM293" s="56"/>
      <c r="ON293" s="242">
        <f t="shared" si="2123"/>
        <v>0</v>
      </c>
      <c r="OO293" s="242">
        <f t="shared" si="2124"/>
        <v>0</v>
      </c>
      <c r="OP293" s="56"/>
      <c r="OS293" s="55">
        <f t="shared" si="2125"/>
        <v>46269</v>
      </c>
      <c r="OT293" s="56"/>
      <c r="OU293" s="242">
        <f>SUMPRODUCT(PRODUCE!$B292:$DY292,PRODUCE!$EB$52:$IY$52)</f>
        <v>0</v>
      </c>
      <c r="OV293" s="56"/>
      <c r="OW293" s="242">
        <f t="shared" si="2126"/>
        <v>0</v>
      </c>
      <c r="OX293" s="242">
        <f t="shared" si="2127"/>
        <v>1482</v>
      </c>
      <c r="OY293" s="56"/>
      <c r="PB293" s="55">
        <f t="shared" si="2128"/>
        <v>46269</v>
      </c>
      <c r="PC293" s="56"/>
      <c r="PD293" s="242">
        <f>SUMPRODUCT(PRODUCE!$B292:$DY292,PRODUCE!$EB$53:$IY$53)</f>
        <v>0</v>
      </c>
      <c r="PE293" s="56"/>
      <c r="PF293" s="242">
        <f t="shared" si="2129"/>
        <v>0</v>
      </c>
      <c r="PG293" s="242">
        <f t="shared" si="2130"/>
        <v>0</v>
      </c>
      <c r="PH293" s="56"/>
      <c r="PK293" s="55">
        <f t="shared" si="2131"/>
        <v>46269</v>
      </c>
      <c r="PL293" s="56"/>
      <c r="PM293" s="242">
        <f>SUMPRODUCT(PRODUCE!$B292:$DY292,PRODUCE!$EB$54:$IY$54)</f>
        <v>0</v>
      </c>
      <c r="PN293" s="56"/>
      <c r="PO293" s="242">
        <f t="shared" si="2132"/>
        <v>0</v>
      </c>
      <c r="PP293" s="242">
        <f t="shared" si="2133"/>
        <v>100</v>
      </c>
      <c r="PQ293" s="56"/>
      <c r="PT293" s="55">
        <f t="shared" si="2134"/>
        <v>46269</v>
      </c>
      <c r="PU293" s="56"/>
      <c r="PV293" s="242">
        <f>SUMPRODUCT(PRODUCE!$B292:$DY292,PRODUCE!$EB$55:$IY$55)</f>
        <v>0</v>
      </c>
      <c r="PW293" s="56"/>
      <c r="PX293" s="242">
        <f t="shared" si="2135"/>
        <v>0</v>
      </c>
      <c r="PY293" s="242">
        <f t="shared" si="2136"/>
        <v>13.960000000000036</v>
      </c>
      <c r="PZ293" s="56"/>
      <c r="QC293" s="55">
        <f t="shared" si="2137"/>
        <v>46269</v>
      </c>
      <c r="QD293" s="56"/>
      <c r="QE293" s="242">
        <f>SUMPRODUCT(PRODUCE!$B292:$DY292,PRODUCE!$EB$56:$IY$56)</f>
        <v>0</v>
      </c>
      <c r="QF293" s="56"/>
      <c r="QG293" s="242">
        <f t="shared" si="2138"/>
        <v>0</v>
      </c>
      <c r="QH293" s="242">
        <f t="shared" si="2139"/>
        <v>548</v>
      </c>
      <c r="QI293" s="56"/>
      <c r="QL293" s="55">
        <f t="shared" si="2140"/>
        <v>46269</v>
      </c>
      <c r="QM293" s="56"/>
      <c r="QN293" s="242">
        <f>SUMPRODUCT(PRODUCE!$B292:$DY292,PRODUCE!$EB$57:$IY$57)</f>
        <v>0</v>
      </c>
      <c r="QO293" s="56"/>
      <c r="QP293" s="242">
        <f t="shared" si="2141"/>
        <v>0</v>
      </c>
      <c r="QQ293" s="242">
        <f t="shared" si="2142"/>
        <v>0</v>
      </c>
      <c r="QR293" s="56"/>
      <c r="QU293" s="55">
        <f t="shared" si="2143"/>
        <v>46269</v>
      </c>
      <c r="QV293" s="56"/>
      <c r="QW293" s="242">
        <f>SUMPRODUCT(PRODUCE!$B292:$DY292,PRODUCE!$EB$57:$IY$57)</f>
        <v>0</v>
      </c>
      <c r="QX293" s="56"/>
      <c r="QY293" s="242">
        <f t="shared" si="2144"/>
        <v>0</v>
      </c>
      <c r="QZ293" s="242">
        <f t="shared" si="2145"/>
        <v>0</v>
      </c>
      <c r="RA293" s="56"/>
      <c r="RD293" s="55">
        <f t="shared" si="2146"/>
        <v>46269</v>
      </c>
      <c r="RE293" s="56"/>
      <c r="RF293" s="242">
        <f>SUMPRODUCT(PRODUCE!$B292:$DY292,PRODUCE!$EB$58:$IY$58)</f>
        <v>0</v>
      </c>
      <c r="RG293" s="56"/>
      <c r="RH293" s="242">
        <f t="shared" si="2147"/>
        <v>0</v>
      </c>
      <c r="RI293" s="242">
        <f t="shared" si="2148"/>
        <v>147.04000000000002</v>
      </c>
      <c r="RJ293" s="56"/>
      <c r="RM293" s="55">
        <f t="shared" si="2149"/>
        <v>46269</v>
      </c>
      <c r="RN293" s="56"/>
      <c r="RO293" s="242">
        <f>SUMPRODUCT(PRODUCE!$B292:$DY292,PRODUCE!$EB$59:$IY$59)</f>
        <v>0</v>
      </c>
      <c r="RP293" s="56"/>
      <c r="RQ293" s="242">
        <f t="shared" si="2150"/>
        <v>0</v>
      </c>
      <c r="RR293" s="242">
        <f t="shared" si="2151"/>
        <v>46.8</v>
      </c>
      <c r="RS293" s="56"/>
      <c r="RV293" s="55">
        <f t="shared" si="2152"/>
        <v>46269</v>
      </c>
      <c r="RW293" s="56"/>
      <c r="RX293" s="242">
        <f>SUMPRODUCT(PRODUCE!$B292:$DY292,PRODUCE!$EB$57:$IY$57)</f>
        <v>0</v>
      </c>
      <c r="RY293" s="56"/>
      <c r="RZ293" s="242">
        <f t="shared" si="2153"/>
        <v>0</v>
      </c>
      <c r="SA293" s="242">
        <f t="shared" si="2154"/>
        <v>0</v>
      </c>
      <c r="SB293" s="56"/>
      <c r="SE293" s="55">
        <f t="shared" si="2155"/>
        <v>46269</v>
      </c>
      <c r="SF293" s="56"/>
      <c r="SG293" s="242">
        <f>SUMPRODUCT(PRODUCE!$B292:$DY292,PRODUCE!$EB$61:$IY$61)</f>
        <v>0</v>
      </c>
      <c r="SH293" s="56"/>
      <c r="SI293" s="242">
        <f t="shared" si="2156"/>
        <v>0</v>
      </c>
      <c r="SJ293" s="242">
        <f t="shared" si="2157"/>
        <v>24.200000000000003</v>
      </c>
      <c r="SK293" s="56"/>
      <c r="SN293" s="55">
        <f t="shared" si="2158"/>
        <v>46269</v>
      </c>
      <c r="SO293" s="56"/>
      <c r="SP293" s="242">
        <f>SUMPRODUCT(PRODUCE!$B292:$DY292,PRODUCE!$EB$57:$IY$57)</f>
        <v>0</v>
      </c>
      <c r="SQ293" s="56"/>
      <c r="SR293" s="242">
        <f t="shared" si="2159"/>
        <v>0</v>
      </c>
      <c r="SS293" s="242">
        <f t="shared" si="2160"/>
        <v>32</v>
      </c>
      <c r="ST293" s="56"/>
      <c r="SW293" s="55">
        <f t="shared" si="2161"/>
        <v>46269</v>
      </c>
      <c r="SX293" s="56"/>
      <c r="SY293" s="242">
        <f>SUMPRODUCT(PRODUCE!$B292:$DY292,PRODUCE!$EB$57:$IY$57)</f>
        <v>0</v>
      </c>
      <c r="SZ293" s="56"/>
      <c r="TA293" s="242">
        <f t="shared" si="2162"/>
        <v>0</v>
      </c>
      <c r="TB293" s="242">
        <f t="shared" si="2163"/>
        <v>0</v>
      </c>
      <c r="TC293" s="56"/>
      <c r="TF293" s="55">
        <f t="shared" si="2164"/>
        <v>46269</v>
      </c>
      <c r="TG293" s="56"/>
      <c r="TH293" s="242">
        <f>SUMPRODUCT(PRODUCE!$B292:$DY292,PRODUCE!$EB$57:$IY$57)</f>
        <v>0</v>
      </c>
      <c r="TI293" s="56"/>
      <c r="TJ293" s="242">
        <f t="shared" si="2165"/>
        <v>0</v>
      </c>
      <c r="TK293" s="242">
        <f t="shared" si="2166"/>
        <v>0</v>
      </c>
      <c r="TL293" s="56"/>
      <c r="TO293" s="55">
        <f t="shared" si="2167"/>
        <v>46269</v>
      </c>
      <c r="TP293" s="56"/>
      <c r="TQ293" s="242">
        <f>SUMPRODUCT(PRODUCE!$B292:$DY292,PRODUCE!$EB$57:$IY$57)</f>
        <v>0</v>
      </c>
      <c r="TR293" s="56"/>
      <c r="TS293" s="242">
        <f t="shared" si="2168"/>
        <v>0</v>
      </c>
      <c r="TT293" s="242">
        <f t="shared" si="2169"/>
        <v>0</v>
      </c>
      <c r="TU293" s="56"/>
      <c r="TX293" s="55">
        <f t="shared" si="2170"/>
        <v>46269</v>
      </c>
      <c r="TY293" s="56"/>
      <c r="TZ293" s="242">
        <f>SUMPRODUCT(PRODUCE!$B292:$DY292,PRODUCE!$EB$57:$IY$57)</f>
        <v>0</v>
      </c>
      <c r="UA293" s="56"/>
      <c r="UB293" s="242">
        <f t="shared" si="2171"/>
        <v>0</v>
      </c>
      <c r="UC293" s="242">
        <f t="shared" si="2172"/>
        <v>46.799999999999983</v>
      </c>
      <c r="UD293" s="56"/>
      <c r="UG293" s="55">
        <f t="shared" si="2173"/>
        <v>46269</v>
      </c>
      <c r="UH293" s="56"/>
      <c r="UI293" s="242">
        <f>SUMPRODUCT(PRODUCE!$B292:$DY292,PRODUCE!$EB$57:$IY$57)</f>
        <v>0</v>
      </c>
      <c r="UJ293" s="56"/>
      <c r="UK293" s="242">
        <f t="shared" si="2174"/>
        <v>0</v>
      </c>
      <c r="UL293" s="242">
        <f t="shared" si="2175"/>
        <v>204</v>
      </c>
      <c r="UM293" s="56"/>
      <c r="UP293" s="55">
        <f t="shared" si="2176"/>
        <v>46269</v>
      </c>
      <c r="UQ293" s="56"/>
      <c r="UR293" s="242">
        <f>SUMPRODUCT(PRODUCE!$B292:$DY292,PRODUCE!$EB$57:$IY$57)</f>
        <v>0</v>
      </c>
      <c r="US293" s="56"/>
      <c r="UT293" s="242">
        <f t="shared" si="2177"/>
        <v>0</v>
      </c>
      <c r="UU293" s="242">
        <f t="shared" si="2178"/>
        <v>202.5</v>
      </c>
      <c r="UV293" s="56"/>
      <c r="UY293" s="55">
        <f t="shared" si="2179"/>
        <v>46269</v>
      </c>
      <c r="UZ293" s="56"/>
      <c r="VA293" s="242">
        <f>SUMPRODUCT(PRODUCE!$B292:$DY292,PRODUCE!$EB$57:$IY$57)</f>
        <v>0</v>
      </c>
      <c r="VB293" s="56"/>
      <c r="VC293" s="242">
        <f t="shared" si="2180"/>
        <v>0</v>
      </c>
      <c r="VD293" s="242">
        <f t="shared" si="2181"/>
        <v>41.600000000000023</v>
      </c>
      <c r="VE293" s="56"/>
      <c r="VH293" s="55">
        <f t="shared" si="2182"/>
        <v>46269</v>
      </c>
      <c r="VI293" s="56"/>
      <c r="VJ293" s="242">
        <f>SUMPRODUCT(PRODUCE!$B292:$DY292,PRODUCE!$EB$57:$IY$57)</f>
        <v>0</v>
      </c>
      <c r="VK293" s="56"/>
      <c r="VL293" s="242">
        <f t="shared" si="2183"/>
        <v>0</v>
      </c>
      <c r="VM293" s="242">
        <f t="shared" si="2184"/>
        <v>210</v>
      </c>
      <c r="VN293" s="56"/>
      <c r="VQ293" s="55">
        <f t="shared" si="2185"/>
        <v>46269</v>
      </c>
      <c r="VR293" s="56"/>
      <c r="VS293" s="242">
        <f>SUMPRODUCT(PRODUCE!$B292:$DY292,PRODUCE!$EB$57:$IY$57)</f>
        <v>0</v>
      </c>
      <c r="VT293" s="56"/>
      <c r="VU293" s="242">
        <f t="shared" si="2186"/>
        <v>0</v>
      </c>
      <c r="VV293" s="242">
        <f t="shared" si="2187"/>
        <v>0</v>
      </c>
      <c r="VW293" s="56"/>
      <c r="VZ293" s="55">
        <f t="shared" si="2188"/>
        <v>46269</v>
      </c>
      <c r="WA293" s="56"/>
      <c r="WB293" s="242">
        <f>SUMPRODUCT(PRODUCE!$B292:$DY292,PRODUCE!$EB$57:$IY$57)</f>
        <v>0</v>
      </c>
      <c r="WC293" s="56"/>
      <c r="WD293" s="242">
        <f t="shared" si="2189"/>
        <v>0</v>
      </c>
      <c r="WE293" s="242">
        <f t="shared" si="2190"/>
        <v>0</v>
      </c>
      <c r="WF293" s="56"/>
      <c r="WI293" s="55">
        <f t="shared" si="2191"/>
        <v>46269</v>
      </c>
      <c r="WJ293" s="56"/>
      <c r="WK293" s="242">
        <f>SUMPRODUCT(PRODUCE!$B292:$DY292,PRODUCE!$EB$57:$IY$57)</f>
        <v>0</v>
      </c>
      <c r="WL293" s="56"/>
      <c r="WM293" s="242">
        <f t="shared" si="2192"/>
        <v>0</v>
      </c>
      <c r="WN293" s="242">
        <f t="shared" si="2193"/>
        <v>1057</v>
      </c>
      <c r="WO293" s="56"/>
      <c r="WR293" s="55">
        <f t="shared" si="2194"/>
        <v>46269</v>
      </c>
      <c r="WS293" s="56"/>
      <c r="WT293" s="242">
        <f>SUMPRODUCT(PRODUCE!$B292:$DY292,PRODUCE!$EB$57:$IY$57)</f>
        <v>0</v>
      </c>
      <c r="WU293" s="56"/>
      <c r="WV293" s="242">
        <f t="shared" si="2195"/>
        <v>0</v>
      </c>
      <c r="WW293" s="242">
        <f t="shared" si="2196"/>
        <v>0</v>
      </c>
      <c r="WX293" s="56"/>
      <c r="XA293" s="55">
        <f t="shared" si="2197"/>
        <v>46269</v>
      </c>
      <c r="XB293" s="56"/>
      <c r="XC293" s="242">
        <f>SUMPRODUCT(PRODUCE!$B292:$DY292,PRODUCE!$EB$57:$IY$57)</f>
        <v>0</v>
      </c>
      <c r="XD293" s="56"/>
      <c r="XE293" s="242">
        <f t="shared" si="2198"/>
        <v>0</v>
      </c>
      <c r="XF293" s="242">
        <f t="shared" si="2199"/>
        <v>7507</v>
      </c>
      <c r="XG293" s="56"/>
      <c r="XJ293" s="55">
        <f t="shared" si="2200"/>
        <v>46269</v>
      </c>
      <c r="XK293" s="56"/>
      <c r="XL293" s="242">
        <f>SUMPRODUCT(PRODUCE!$B292:$DY292,PRODUCE!$EB$57:$IY$57)</f>
        <v>0</v>
      </c>
      <c r="XM293" s="56"/>
      <c r="XN293" s="242">
        <f t="shared" si="2201"/>
        <v>0</v>
      </c>
      <c r="XO293" s="242">
        <f t="shared" si="2202"/>
        <v>4252</v>
      </c>
      <c r="XP293" s="56"/>
      <c r="XS293" s="55">
        <f t="shared" si="2203"/>
        <v>46269</v>
      </c>
      <c r="XT293" s="56"/>
      <c r="XU293" s="242">
        <f>SUMPRODUCT(PRODUCE!$B292:$DY292,PRODUCE!$EB$57:$IY$57)</f>
        <v>0</v>
      </c>
      <c r="XV293" s="56"/>
      <c r="XW293" s="242">
        <f t="shared" si="2204"/>
        <v>0</v>
      </c>
      <c r="XX293" s="242">
        <f t="shared" si="2205"/>
        <v>2179</v>
      </c>
      <c r="XY293" s="56"/>
      <c r="YB293" s="55">
        <f t="shared" si="2206"/>
        <v>46269</v>
      </c>
      <c r="YC293" s="56"/>
      <c r="YD293" s="242">
        <f>SUMPRODUCT(PRODUCE!$B292:$DY292,PRODUCE!$EB$57:$IY$57)</f>
        <v>0</v>
      </c>
      <c r="YE293" s="56"/>
      <c r="YF293" s="242">
        <f t="shared" si="2207"/>
        <v>0</v>
      </c>
      <c r="YG293" s="242">
        <f t="shared" si="2208"/>
        <v>4019</v>
      </c>
      <c r="YH293" s="56"/>
      <c r="YK293" s="55">
        <f t="shared" si="2209"/>
        <v>46269</v>
      </c>
      <c r="YL293" s="56"/>
      <c r="YM293" s="242">
        <f>SUMPRODUCT(PRODUCE!$B292:$DY292,PRODUCE!$EB$57:$IY$57)</f>
        <v>0</v>
      </c>
      <c r="YN293" s="56"/>
      <c r="YO293" s="242">
        <f t="shared" si="2210"/>
        <v>0</v>
      </c>
      <c r="YP293" s="242">
        <f t="shared" si="2211"/>
        <v>-218</v>
      </c>
      <c r="YQ293" s="56"/>
      <c r="YT293" s="55">
        <f t="shared" si="2212"/>
        <v>46269</v>
      </c>
      <c r="YU293" s="56"/>
      <c r="YV293" s="242">
        <f>SUMPRODUCT(PRODUCE!$B292:$DY292,PRODUCE!$EB$57:$IY$57)</f>
        <v>0</v>
      </c>
      <c r="YW293" s="56"/>
      <c r="YX293" s="242">
        <f t="shared" si="2213"/>
        <v>0</v>
      </c>
      <c r="YY293" s="242">
        <f t="shared" si="2214"/>
        <v>0</v>
      </c>
      <c r="YZ293" s="56"/>
      <c r="ZC293" s="55">
        <f t="shared" si="2215"/>
        <v>46269</v>
      </c>
      <c r="ZD293" s="56"/>
      <c r="ZE293" s="242">
        <f>SUMPRODUCT(PRODUCE!$B292:$DY292,PRODUCE!$EB$57:$IY$57)</f>
        <v>0</v>
      </c>
      <c r="ZF293" s="56"/>
      <c r="ZG293" s="242">
        <f t="shared" si="2216"/>
        <v>0</v>
      </c>
      <c r="ZH293" s="242">
        <f t="shared" si="2217"/>
        <v>0</v>
      </c>
      <c r="ZI293" s="56"/>
      <c r="ZL293" s="55">
        <f t="shared" si="2218"/>
        <v>46269</v>
      </c>
      <c r="ZM293" s="56"/>
      <c r="ZN293" s="242">
        <f>SUMPRODUCT(PRODUCE!$B292:$DY292,PRODUCE!$EB$57:$IY$57)</f>
        <v>0</v>
      </c>
      <c r="ZO293" s="56"/>
      <c r="ZP293" s="242">
        <f t="shared" si="2219"/>
        <v>0</v>
      </c>
      <c r="ZQ293" s="242">
        <f t="shared" si="2220"/>
        <v>0</v>
      </c>
      <c r="ZR293" s="56"/>
      <c r="ZU293" s="55">
        <f t="shared" si="2221"/>
        <v>46269</v>
      </c>
      <c r="ZV293" s="56"/>
      <c r="ZW293" s="242">
        <f>SUMPRODUCT(PRODUCE!$B292:$DY292,PRODUCE!$EB$57:$IY$57)</f>
        <v>0</v>
      </c>
      <c r="ZX293" s="56"/>
      <c r="ZY293" s="242">
        <f t="shared" si="2222"/>
        <v>0</v>
      </c>
      <c r="ZZ293" s="242">
        <f t="shared" si="2223"/>
        <v>0</v>
      </c>
      <c r="AAA293" s="56"/>
      <c r="AAD293" s="55">
        <f t="shared" si="2224"/>
        <v>46269</v>
      </c>
      <c r="AAE293" s="56"/>
      <c r="AAF293" s="242">
        <f>SUMPRODUCT(PRODUCE!$B292:$DY292,PRODUCE!$EB$57:$IY$57)</f>
        <v>0</v>
      </c>
      <c r="AAG293" s="56"/>
      <c r="AAH293" s="242">
        <f t="shared" si="2225"/>
        <v>0</v>
      </c>
      <c r="AAI293" s="242">
        <f t="shared" si="2226"/>
        <v>0</v>
      </c>
      <c r="AAJ293" s="56"/>
      <c r="AAM293" s="55">
        <f t="shared" si="2227"/>
        <v>46269</v>
      </c>
      <c r="AAN293" s="56"/>
      <c r="AAO293" s="242">
        <f>SUMPRODUCT(PRODUCE!$B292:$DY292,PRODUCE!$EB$57:$IY$57)</f>
        <v>0</v>
      </c>
      <c r="AAP293" s="56"/>
      <c r="AAQ293" s="242">
        <f t="shared" si="2228"/>
        <v>0</v>
      </c>
      <c r="AAR293" s="242">
        <f t="shared" si="2229"/>
        <v>0</v>
      </c>
      <c r="AAS293" s="56"/>
      <c r="AAV293" s="55">
        <f t="shared" si="2230"/>
        <v>46269</v>
      </c>
      <c r="AAW293" s="56"/>
      <c r="AAX293" s="242">
        <f>SUMPRODUCT(PRODUCE!$B292:$DY292,PRODUCE!$EB$57:$IY$57)</f>
        <v>0</v>
      </c>
      <c r="AAY293" s="56"/>
      <c r="AAZ293" s="242">
        <f t="shared" si="2231"/>
        <v>0</v>
      </c>
      <c r="ABA293" s="242">
        <f t="shared" si="2232"/>
        <v>0</v>
      </c>
      <c r="ABB293" s="56"/>
      <c r="ABE293" s="55">
        <f t="shared" si="2233"/>
        <v>46269</v>
      </c>
      <c r="ABF293" s="56"/>
      <c r="ABG293" s="242">
        <f>SUMPRODUCT(PRODUCE!$B292:$DY292,PRODUCE!$EB$57:$IY$57)</f>
        <v>0</v>
      </c>
      <c r="ABH293" s="56"/>
      <c r="ABI293" s="242">
        <f t="shared" si="2234"/>
        <v>0</v>
      </c>
      <c r="ABJ293" s="242">
        <f t="shared" si="2235"/>
        <v>0</v>
      </c>
      <c r="ABK293" s="56"/>
    </row>
    <row r="294" spans="2:739" s="54" customFormat="1" ht="15" customHeight="1" outlineLevel="1">
      <c r="B294" s="478"/>
      <c r="C294" s="55">
        <v>46270</v>
      </c>
      <c r="D294" s="56"/>
      <c r="E294" s="57">
        <f>SUMPRODUCT(PRODUCE!$B293:$DY293,PRODUCE!$EB$7:$IY$7)</f>
        <v>0</v>
      </c>
      <c r="F294" s="56"/>
      <c r="G294" s="57">
        <f t="shared" si="1992"/>
        <v>0</v>
      </c>
      <c r="H294" s="57">
        <f t="shared" si="1993"/>
        <v>236936.6</v>
      </c>
      <c r="I294" s="289"/>
      <c r="L294" s="55">
        <f t="shared" si="1994"/>
        <v>46270</v>
      </c>
      <c r="M294" s="56"/>
      <c r="N294" s="59">
        <f>SUMPRODUCT(PRODUCE!$B293:$DY293,PRODUCE!$EB$8:$IY$8)</f>
        <v>0</v>
      </c>
      <c r="O294" s="56"/>
      <c r="P294" s="59">
        <f t="shared" si="1995"/>
        <v>0</v>
      </c>
      <c r="Q294" s="59">
        <f t="shared" si="1996"/>
        <v>53017.600000000071</v>
      </c>
      <c r="R294" s="56"/>
      <c r="U294" s="55">
        <f t="shared" si="1997"/>
        <v>46270</v>
      </c>
      <c r="V294" s="56"/>
      <c r="W294" s="60">
        <f>SUMPRODUCT(PRODUCE!$B293:$DY293,PRODUCE!$EB$9:$IY$9)</f>
        <v>0</v>
      </c>
      <c r="X294" s="56"/>
      <c r="Y294" s="60">
        <f t="shared" si="1998"/>
        <v>0</v>
      </c>
      <c r="Z294" s="60">
        <f t="shared" si="1999"/>
        <v>42674.199999999968</v>
      </c>
      <c r="AA294" s="56"/>
      <c r="AD294" s="55">
        <f t="shared" si="2000"/>
        <v>46270</v>
      </c>
      <c r="AE294" s="56"/>
      <c r="AF294" s="61">
        <f>SUMPRODUCT(PRODUCE!$B293:$DY293,PRODUCE!$EB$10:$IY$10)</f>
        <v>0</v>
      </c>
      <c r="AG294" s="56"/>
      <c r="AH294" s="61">
        <f t="shared" si="2001"/>
        <v>0</v>
      </c>
      <c r="AI294" s="61">
        <f t="shared" si="2002"/>
        <v>4522.2000000000189</v>
      </c>
      <c r="AJ294" s="56"/>
      <c r="AM294" s="55">
        <f t="shared" si="2003"/>
        <v>46270</v>
      </c>
      <c r="AN294" s="422"/>
      <c r="AO294" s="444">
        <f>SUMPRODUCT(PRODUCE!$B293:$DY293,PRODUCE!$EB$11:$IY$11)</f>
        <v>0</v>
      </c>
      <c r="AP294" s="422"/>
      <c r="AQ294" s="444">
        <f t="shared" si="2004"/>
        <v>0</v>
      </c>
      <c r="AR294" s="444">
        <f t="shared" si="2005"/>
        <v>0</v>
      </c>
      <c r="AS294" s="56"/>
      <c r="AV294" s="55">
        <f t="shared" si="2006"/>
        <v>46270</v>
      </c>
      <c r="AW294" s="56"/>
      <c r="AX294" s="62">
        <f>SUMPRODUCT(PRODUCE!$B293:$DY293,PRODUCE!$EB$12:$IY$12)</f>
        <v>0</v>
      </c>
      <c r="AY294" s="56"/>
      <c r="AZ294" s="62">
        <f t="shared" si="2007"/>
        <v>0</v>
      </c>
      <c r="BA294" s="62">
        <f t="shared" si="2008"/>
        <v>124.99999999999523</v>
      </c>
      <c r="BB294" s="56"/>
      <c r="BE294" s="55">
        <f t="shared" si="2009"/>
        <v>46270</v>
      </c>
      <c r="BF294" s="56"/>
      <c r="BG294" s="63">
        <f>SUMPRODUCT(PRODUCE!$B293:$DY293,PRODUCE!$EB$13:$IY$13)</f>
        <v>0</v>
      </c>
      <c r="BH294" s="56"/>
      <c r="BI294" s="63">
        <f t="shared" si="2010"/>
        <v>0</v>
      </c>
      <c r="BJ294" s="63">
        <f t="shared" si="2011"/>
        <v>26151.899999999998</v>
      </c>
      <c r="BK294" s="56"/>
      <c r="BN294" s="55">
        <f t="shared" si="2012"/>
        <v>46270</v>
      </c>
      <c r="BO294" s="56"/>
      <c r="BP294" s="64">
        <f>SUMPRODUCT(PRODUCE!$B293:$DY293,PRODUCE!$EB$14:$IY$14)</f>
        <v>0</v>
      </c>
      <c r="BQ294" s="56"/>
      <c r="BR294" s="64">
        <f t="shared" si="2013"/>
        <v>0</v>
      </c>
      <c r="BS294" s="64">
        <f t="shared" si="2014"/>
        <v>0</v>
      </c>
      <c r="BT294" s="56"/>
      <c r="BW294" s="55">
        <f t="shared" si="2015"/>
        <v>46270</v>
      </c>
      <c r="BX294" s="56"/>
      <c r="BY294" s="65">
        <f>SUMPRODUCT(PRODUCE!$B293:$DY293,PRODUCE!$EB$15:$IY$15)</f>
        <v>0</v>
      </c>
      <c r="BZ294" s="56"/>
      <c r="CA294" s="65">
        <f t="shared" si="2016"/>
        <v>0</v>
      </c>
      <c r="CB294" s="65">
        <f t="shared" si="2017"/>
        <v>2097.3399999999992</v>
      </c>
      <c r="CC294" s="56"/>
      <c r="CF294" s="55">
        <f t="shared" si="2018"/>
        <v>46270</v>
      </c>
      <c r="CG294" s="56"/>
      <c r="CH294" s="66">
        <f>SUMPRODUCT(PRODUCE!$B293:$DY293,PRODUCE!$EB$16:$IY$16)</f>
        <v>0</v>
      </c>
      <c r="CI294" s="56"/>
      <c r="CJ294" s="66">
        <f t="shared" si="2019"/>
        <v>0</v>
      </c>
      <c r="CK294" s="66">
        <f t="shared" si="2020"/>
        <v>-10277.079999999998</v>
      </c>
      <c r="CL294" s="56"/>
      <c r="CO294" s="55">
        <f t="shared" si="2021"/>
        <v>46270</v>
      </c>
      <c r="CP294" s="422"/>
      <c r="CQ294" s="470">
        <f>SUMPRODUCT(PRODUCE!$B293:$DY293,PRODUCE!$EB$17:$IY$17)</f>
        <v>0</v>
      </c>
      <c r="CR294" s="422"/>
      <c r="CS294" s="470">
        <f t="shared" si="2022"/>
        <v>0</v>
      </c>
      <c r="CT294" s="470">
        <f t="shared" si="2023"/>
        <v>0</v>
      </c>
      <c r="CU294" s="56"/>
      <c r="CX294" s="55">
        <f t="shared" si="2024"/>
        <v>46270</v>
      </c>
      <c r="CY294" s="56"/>
      <c r="CZ294" s="133">
        <f>SUMPRODUCT(PRODUCE!$B293:$DY293,PRODUCE!$EB$18:$IY$18)</f>
        <v>0</v>
      </c>
      <c r="DA294" s="56"/>
      <c r="DB294" s="133">
        <f t="shared" si="2025"/>
        <v>0</v>
      </c>
      <c r="DC294" s="133">
        <f t="shared" si="2026"/>
        <v>27438.200000000012</v>
      </c>
      <c r="DD294" s="56"/>
      <c r="DG294" s="55">
        <f t="shared" si="2027"/>
        <v>46270</v>
      </c>
      <c r="DH294" s="56"/>
      <c r="DI294" s="147">
        <f>SUMPRODUCT(PRODUCE!$B293:$DY293,PRODUCE!$EB$19:$IY$19)</f>
        <v>0</v>
      </c>
      <c r="DJ294" s="56"/>
      <c r="DK294" s="147">
        <f t="shared" si="2028"/>
        <v>0</v>
      </c>
      <c r="DL294" s="147">
        <f t="shared" si="2029"/>
        <v>18782.299999999981</v>
      </c>
      <c r="DM294" s="56"/>
      <c r="DP294" s="55">
        <f t="shared" si="2030"/>
        <v>46270</v>
      </c>
      <c r="DQ294" s="56"/>
      <c r="DR294" s="57">
        <f>SUMPRODUCT(PRODUCE!$B293:$DY293,PRODUCE!$EB$20:$IY$20)</f>
        <v>0</v>
      </c>
      <c r="DS294" s="56"/>
      <c r="DT294" s="57">
        <f t="shared" si="2031"/>
        <v>0</v>
      </c>
      <c r="DU294" s="57">
        <f t="shared" si="2032"/>
        <v>5800</v>
      </c>
      <c r="DV294" s="56"/>
      <c r="DY294" s="55">
        <f t="shared" si="2033"/>
        <v>46270</v>
      </c>
      <c r="DZ294" s="56"/>
      <c r="EA294" s="157">
        <f>SUMPRODUCT(PRODUCE!$B293:$DY293,PRODUCE!$EB$21:$IY$21)</f>
        <v>0</v>
      </c>
      <c r="EB294" s="56"/>
      <c r="EC294" s="157">
        <f t="shared" si="2034"/>
        <v>0</v>
      </c>
      <c r="ED294" s="157">
        <f t="shared" si="2035"/>
        <v>0</v>
      </c>
      <c r="EE294" s="56"/>
      <c r="EH294" s="55">
        <f t="shared" si="2036"/>
        <v>46270</v>
      </c>
      <c r="EI294" s="56"/>
      <c r="EJ294" s="162">
        <f>SUMPRODUCT(PRODUCE!$B293:$DY293,PRODUCE!$EB$22:$IY$22)</f>
        <v>0</v>
      </c>
      <c r="EK294" s="56"/>
      <c r="EL294" s="162">
        <f t="shared" si="2037"/>
        <v>0</v>
      </c>
      <c r="EM294" s="162">
        <f t="shared" si="2038"/>
        <v>0</v>
      </c>
      <c r="EN294" s="56"/>
      <c r="EQ294" s="55">
        <f t="shared" si="2039"/>
        <v>46270</v>
      </c>
      <c r="ER294" s="56"/>
      <c r="ES294" s="135">
        <f>SUMPRODUCT(PRODUCE!$B293:$DY293,PRODUCE!$EB$23:$IY$23)</f>
        <v>0</v>
      </c>
      <c r="ET294" s="56"/>
      <c r="EU294" s="135">
        <f t="shared" si="2040"/>
        <v>0</v>
      </c>
      <c r="EV294" s="135">
        <f t="shared" si="2041"/>
        <v>0</v>
      </c>
      <c r="EW294" s="56"/>
      <c r="EZ294" s="55">
        <f t="shared" si="2042"/>
        <v>46270</v>
      </c>
      <c r="FA294" s="56"/>
      <c r="FB294" s="175">
        <f>SUMPRODUCT(PRODUCE!$B293:$DY293,PRODUCE!$EB$24:$IY$24)</f>
        <v>0</v>
      </c>
      <c r="FC294" s="56"/>
      <c r="FD294" s="175">
        <f t="shared" si="2043"/>
        <v>0</v>
      </c>
      <c r="FE294" s="175">
        <f t="shared" si="2044"/>
        <v>0</v>
      </c>
      <c r="FF294" s="56"/>
      <c r="FI294" s="55">
        <f t="shared" si="2045"/>
        <v>46270</v>
      </c>
      <c r="FJ294" s="56"/>
      <c r="FK294" s="183">
        <f>SUMPRODUCT(PRODUCE!$B293:$DY293,PRODUCE!$EB$25:$IY$25)</f>
        <v>0</v>
      </c>
      <c r="FL294" s="56"/>
      <c r="FM294" s="183">
        <f t="shared" si="2046"/>
        <v>0</v>
      </c>
      <c r="FN294" s="183">
        <f t="shared" si="2047"/>
        <v>0</v>
      </c>
      <c r="FO294" s="56"/>
      <c r="FR294" s="55">
        <f t="shared" si="2048"/>
        <v>46270</v>
      </c>
      <c r="FS294" s="56"/>
      <c r="FT294" s="186">
        <f>SUMPRODUCT(PRODUCE!$B293:$DY293,PRODUCE!$EB$26:$IY$26)</f>
        <v>0</v>
      </c>
      <c r="FU294" s="56"/>
      <c r="FV294" s="186">
        <f t="shared" si="2049"/>
        <v>0</v>
      </c>
      <c r="FW294" s="186">
        <f t="shared" si="2050"/>
        <v>2020</v>
      </c>
      <c r="FX294" s="56"/>
      <c r="GA294" s="55">
        <f t="shared" si="2051"/>
        <v>46270</v>
      </c>
      <c r="GB294" s="56"/>
      <c r="GC294" s="137">
        <f>SUMPRODUCT(PRODUCE!$B293:$DY293,PRODUCE!$EB$27:$IY$27)</f>
        <v>0</v>
      </c>
      <c r="GD294" s="56"/>
      <c r="GE294" s="137">
        <f t="shared" si="2052"/>
        <v>0</v>
      </c>
      <c r="GF294" s="137">
        <f t="shared" si="2053"/>
        <v>960</v>
      </c>
      <c r="GG294" s="56"/>
      <c r="GI294" s="23"/>
      <c r="GJ294" s="55">
        <f t="shared" si="2054"/>
        <v>46270</v>
      </c>
      <c r="GK294" s="56"/>
      <c r="GL294" s="199">
        <f>SUMPRODUCT(PRODUCE!$B293:$DY293,PRODUCE!$EB$28:$IY$28)</f>
        <v>0</v>
      </c>
      <c r="GM294" s="56"/>
      <c r="GN294" s="199">
        <f t="shared" si="2055"/>
        <v>0</v>
      </c>
      <c r="GO294" s="199">
        <f t="shared" si="2056"/>
        <v>1760</v>
      </c>
      <c r="GP294" s="56"/>
      <c r="GS294" s="55">
        <f t="shared" si="2057"/>
        <v>46270</v>
      </c>
      <c r="GT294" s="56"/>
      <c r="GU294" s="195">
        <f>SUMPRODUCT(PRODUCE!$B293:$DY293,PRODUCE!$EB$29:$IY$29)</f>
        <v>0</v>
      </c>
      <c r="GV294" s="56"/>
      <c r="GW294" s="195">
        <f t="shared" si="2058"/>
        <v>0</v>
      </c>
      <c r="GX294" s="195">
        <f t="shared" si="2059"/>
        <v>400</v>
      </c>
      <c r="GY294" s="56"/>
      <c r="HB294" s="55">
        <f t="shared" si="2060"/>
        <v>46270</v>
      </c>
      <c r="HC294" s="56"/>
      <c r="HD294" s="191">
        <f>SUMPRODUCT(PRODUCE!$B293:$DY293,PRODUCE!$EB$30:$IY$30)</f>
        <v>0</v>
      </c>
      <c r="HE294" s="56"/>
      <c r="HF294" s="191">
        <f t="shared" si="2061"/>
        <v>0</v>
      </c>
      <c r="HG294" s="191">
        <f t="shared" si="2062"/>
        <v>3600</v>
      </c>
      <c r="HH294" s="56"/>
      <c r="HK294" s="55">
        <f t="shared" si="2063"/>
        <v>46270</v>
      </c>
      <c r="HL294" s="56"/>
      <c r="HM294" s="63">
        <f>SUMPRODUCT(PRODUCE!$B293:$DY293,PRODUCE!$EB$31:$IY$31)</f>
        <v>0</v>
      </c>
      <c r="HN294" s="56"/>
      <c r="HO294" s="63">
        <f t="shared" si="2064"/>
        <v>0</v>
      </c>
      <c r="HP294" s="63">
        <f t="shared" si="2065"/>
        <v>0</v>
      </c>
      <c r="HQ294" s="56"/>
      <c r="HU294" s="55">
        <f t="shared" si="2066"/>
        <v>46270</v>
      </c>
      <c r="HV294" s="56"/>
      <c r="HW294" s="242">
        <f>SUMPRODUCT(PRODUCE!$B293:$DY293,PRODUCE!$EB$32:$IY$32)</f>
        <v>0</v>
      </c>
      <c r="HX294" s="56"/>
      <c r="HY294" s="242">
        <f t="shared" si="2236"/>
        <v>0</v>
      </c>
      <c r="HZ294" s="242">
        <f t="shared" si="2067"/>
        <v>6120</v>
      </c>
      <c r="IA294" s="56"/>
      <c r="ID294" s="55">
        <f t="shared" si="2068"/>
        <v>46270</v>
      </c>
      <c r="IE294" s="56"/>
      <c r="IF294" s="242">
        <f>SUMPRODUCT(PRODUCE!$B293:$DY293,PRODUCE!$EB$33:$IY$33)</f>
        <v>0</v>
      </c>
      <c r="IG294" s="56"/>
      <c r="IH294" s="242">
        <f t="shared" si="2069"/>
        <v>0</v>
      </c>
      <c r="II294" s="242">
        <f t="shared" si="2070"/>
        <v>0</v>
      </c>
      <c r="IJ294" s="56"/>
      <c r="IM294" s="55">
        <f t="shared" si="2071"/>
        <v>46270</v>
      </c>
      <c r="IN294" s="56"/>
      <c r="IO294" s="242">
        <f>SUMPRODUCT(PRODUCE!$B293:$DY293,PRODUCE!$EB$34:$IY$34)</f>
        <v>0</v>
      </c>
      <c r="IP294" s="56"/>
      <c r="IQ294" s="242">
        <f t="shared" si="2072"/>
        <v>0</v>
      </c>
      <c r="IR294" s="242">
        <f t="shared" si="2073"/>
        <v>0</v>
      </c>
      <c r="IS294" s="56"/>
      <c r="IV294" s="55">
        <f t="shared" si="2074"/>
        <v>46270</v>
      </c>
      <c r="IW294" s="56"/>
      <c r="IX294" s="242">
        <f>SUMPRODUCT(PRODUCE!$B293:$DY293,PRODUCE!$EB$35:$IY$35)</f>
        <v>0</v>
      </c>
      <c r="IY294" s="56"/>
      <c r="IZ294" s="242">
        <f t="shared" si="2075"/>
        <v>0</v>
      </c>
      <c r="JA294" s="242">
        <f t="shared" si="2076"/>
        <v>2820</v>
      </c>
      <c r="JB294" s="56"/>
      <c r="JE294" s="55">
        <f t="shared" si="2077"/>
        <v>46270</v>
      </c>
      <c r="JF294" s="56"/>
      <c r="JG294" s="242">
        <f>SUMPRODUCT(PRODUCE!$B293:$DY293,PRODUCE!$EB$36:$IY$36)</f>
        <v>0</v>
      </c>
      <c r="JH294" s="56"/>
      <c r="JI294" s="242">
        <f t="shared" si="2078"/>
        <v>0</v>
      </c>
      <c r="JJ294" s="242">
        <f t="shared" si="2079"/>
        <v>0</v>
      </c>
      <c r="JK294" s="56"/>
      <c r="JN294" s="55">
        <f t="shared" si="2080"/>
        <v>46270</v>
      </c>
      <c r="JO294" s="56"/>
      <c r="JP294" s="242">
        <f>SUMPRODUCT(PRODUCE!$B293:$DY293,PRODUCE!$EB$37:$IY$37)</f>
        <v>0</v>
      </c>
      <c r="JQ294" s="56"/>
      <c r="JR294" s="242">
        <f t="shared" si="2081"/>
        <v>0</v>
      </c>
      <c r="JS294" s="242">
        <f t="shared" si="2082"/>
        <v>0</v>
      </c>
      <c r="JT294" s="56"/>
      <c r="JW294" s="55">
        <f t="shared" si="2083"/>
        <v>46270</v>
      </c>
      <c r="JX294" s="56"/>
      <c r="JY294" s="242">
        <f>SUMPRODUCT(PRODUCE!$B293:$DY293,PRODUCE!$EB$38:$IY$38)</f>
        <v>0</v>
      </c>
      <c r="JZ294" s="56"/>
      <c r="KA294" s="242">
        <f t="shared" si="2084"/>
        <v>0</v>
      </c>
      <c r="KB294" s="242">
        <f t="shared" si="2085"/>
        <v>2540</v>
      </c>
      <c r="KC294" s="56"/>
      <c r="KF294" s="55">
        <f t="shared" si="2086"/>
        <v>46270</v>
      </c>
      <c r="KG294" s="56"/>
      <c r="KH294" s="242">
        <f>SUMPRODUCT(PRODUCE!$B293:$DY293,PRODUCE!$EB$39:$IY$39)</f>
        <v>0</v>
      </c>
      <c r="KI294" s="56"/>
      <c r="KJ294" s="242">
        <f t="shared" si="2087"/>
        <v>0</v>
      </c>
      <c r="KK294" s="242">
        <f t="shared" si="2088"/>
        <v>2359.5</v>
      </c>
      <c r="KL294" s="56"/>
      <c r="KO294" s="55">
        <f t="shared" si="2089"/>
        <v>46270</v>
      </c>
      <c r="KP294" s="56"/>
      <c r="KQ294" s="242">
        <f>SUMPRODUCT(PRODUCE!$B293:$DY293,PRODUCE!$EB$40:$IY$40)</f>
        <v>0</v>
      </c>
      <c r="KR294" s="56"/>
      <c r="KS294" s="242">
        <f t="shared" si="2090"/>
        <v>0</v>
      </c>
      <c r="KT294" s="242">
        <f t="shared" si="2091"/>
        <v>1890</v>
      </c>
      <c r="KU294" s="56"/>
      <c r="KW294" s="23"/>
      <c r="KX294" s="55">
        <f t="shared" si="2092"/>
        <v>46270</v>
      </c>
      <c r="KY294" s="56"/>
      <c r="KZ294" s="242">
        <f>SUMPRODUCT(PRODUCE!$B293:$DY293,PRODUCE!$EB$41:$IY$41)</f>
        <v>0</v>
      </c>
      <c r="LA294" s="56"/>
      <c r="LB294" s="242">
        <f t="shared" si="2093"/>
        <v>0</v>
      </c>
      <c r="LC294" s="242">
        <f t="shared" si="2094"/>
        <v>3690</v>
      </c>
      <c r="LD294" s="56"/>
      <c r="LG294" s="55">
        <f t="shared" si="2095"/>
        <v>46270</v>
      </c>
      <c r="LH294" s="56"/>
      <c r="LI294" s="242">
        <f>SUMPRODUCT(PRODUCE!$B293:$DY293,PRODUCE!$EB$42:$IY$42)</f>
        <v>0</v>
      </c>
      <c r="LJ294" s="56"/>
      <c r="LK294" s="242">
        <f t="shared" si="2096"/>
        <v>0</v>
      </c>
      <c r="LL294" s="242">
        <f t="shared" si="2097"/>
        <v>4000</v>
      </c>
      <c r="LM294" s="56"/>
      <c r="LP294" s="55">
        <f t="shared" si="2098"/>
        <v>46270</v>
      </c>
      <c r="LQ294" s="56"/>
      <c r="LR294" s="242">
        <f>SUMPRODUCT(PRODUCE!$B309:$DY309,PRODUCE!$EB$43:$IY$43)</f>
        <v>0</v>
      </c>
      <c r="LS294" s="56"/>
      <c r="LT294" s="242">
        <f t="shared" si="2099"/>
        <v>0</v>
      </c>
      <c r="LU294" s="242">
        <f t="shared" si="2100"/>
        <v>0</v>
      </c>
      <c r="LV294" s="56"/>
      <c r="LY294" s="55">
        <f t="shared" si="2101"/>
        <v>46270</v>
      </c>
      <c r="LZ294" s="56"/>
      <c r="MA294" s="242">
        <f>SUMPRODUCT(PRODUCE!$B293:$DY293,PRODUCE!$EB$44:$IY$44)</f>
        <v>0</v>
      </c>
      <c r="MB294" s="56"/>
      <c r="MC294" s="242">
        <f t="shared" si="2102"/>
        <v>0</v>
      </c>
      <c r="MD294" s="242">
        <f t="shared" si="2103"/>
        <v>0</v>
      </c>
      <c r="ME294" s="56"/>
      <c r="MH294" s="55">
        <f t="shared" si="2104"/>
        <v>46270</v>
      </c>
      <c r="MI294" s="56"/>
      <c r="MJ294" s="242">
        <f>SUMPRODUCT(PRODUCE!$B293:$DY293,PRODUCE!$EB$45:$IY$45)</f>
        <v>0</v>
      </c>
      <c r="MK294" s="56"/>
      <c r="ML294" s="242">
        <f t="shared" si="2105"/>
        <v>0</v>
      </c>
      <c r="MM294" s="242">
        <f t="shared" si="2106"/>
        <v>0</v>
      </c>
      <c r="MN294" s="56"/>
      <c r="MQ294" s="55">
        <f t="shared" si="2107"/>
        <v>46270</v>
      </c>
      <c r="MR294" s="56"/>
      <c r="MS294" s="242">
        <f>SUMPRODUCT(PRODUCE!$B293:$DY293,PRODUCE!$EB$46:$IY$46)</f>
        <v>0</v>
      </c>
      <c r="MT294" s="56"/>
      <c r="MU294" s="242">
        <f t="shared" si="2108"/>
        <v>0</v>
      </c>
      <c r="MV294" s="242">
        <f t="shared" si="2109"/>
        <v>1625</v>
      </c>
      <c r="MW294" s="56"/>
      <c r="MZ294" s="55">
        <f t="shared" si="2110"/>
        <v>46270</v>
      </c>
      <c r="NA294" s="56"/>
      <c r="NB294" s="242">
        <f>SUMPRODUCT(PRODUCE!$B293:$DY293,PRODUCE!$EB$47:$IY$47)</f>
        <v>0</v>
      </c>
      <c r="NC294" s="56"/>
      <c r="ND294" s="242">
        <f t="shared" si="2111"/>
        <v>0</v>
      </c>
      <c r="NE294" s="242">
        <f t="shared" si="2112"/>
        <v>0</v>
      </c>
      <c r="NF294" s="56"/>
      <c r="NI294" s="55">
        <f t="shared" si="2113"/>
        <v>46270</v>
      </c>
      <c r="NJ294" s="56"/>
      <c r="NK294" s="242">
        <f>SUMPRODUCT(PRODUCE!$B293:$DY293,PRODUCE!$EB$48:$IY$48)</f>
        <v>0</v>
      </c>
      <c r="NL294" s="56"/>
      <c r="NM294" s="242">
        <f t="shared" si="2114"/>
        <v>0</v>
      </c>
      <c r="NN294" s="242">
        <f t="shared" si="2115"/>
        <v>1127</v>
      </c>
      <c r="NO294" s="56"/>
      <c r="NR294" s="55">
        <f t="shared" si="2116"/>
        <v>46270</v>
      </c>
      <c r="NS294" s="56"/>
      <c r="NT294" s="242">
        <f>SUMPRODUCT(PRODUCE!$B293:$DY293,PRODUCE!$EB$49:$IY$49)</f>
        <v>0</v>
      </c>
      <c r="NU294" s="56"/>
      <c r="NV294" s="242">
        <f t="shared" si="2117"/>
        <v>0</v>
      </c>
      <c r="NW294" s="242">
        <f t="shared" si="2118"/>
        <v>3111.9999999999995</v>
      </c>
      <c r="NX294" s="56"/>
      <c r="OA294" s="55">
        <f t="shared" si="2119"/>
        <v>46270</v>
      </c>
      <c r="OB294" s="56"/>
      <c r="OC294" s="242">
        <f>SUMPRODUCT(PRODUCE!$B293:$DY293,PRODUCE!$EB$50:$IY$50)</f>
        <v>0</v>
      </c>
      <c r="OD294" s="56"/>
      <c r="OE294" s="242">
        <f t="shared" si="2120"/>
        <v>0</v>
      </c>
      <c r="OF294" s="242">
        <f t="shared" si="2121"/>
        <v>1680.5</v>
      </c>
      <c r="OG294" s="56"/>
      <c r="OJ294" s="55">
        <f t="shared" si="2122"/>
        <v>46270</v>
      </c>
      <c r="OK294" s="56"/>
      <c r="OL294" s="242">
        <f>SUMPRODUCT(PRODUCE!$B293:$DY293,PRODUCE!$EB$51:$IY$51)</f>
        <v>0</v>
      </c>
      <c r="OM294" s="56"/>
      <c r="ON294" s="242">
        <f t="shared" si="2123"/>
        <v>0</v>
      </c>
      <c r="OO294" s="242">
        <f t="shared" si="2124"/>
        <v>0</v>
      </c>
      <c r="OP294" s="56"/>
      <c r="OS294" s="55">
        <f t="shared" si="2125"/>
        <v>46270</v>
      </c>
      <c r="OT294" s="56"/>
      <c r="OU294" s="242">
        <f>SUMPRODUCT(PRODUCE!$B293:$DY293,PRODUCE!$EB$52:$IY$52)</f>
        <v>0</v>
      </c>
      <c r="OV294" s="56"/>
      <c r="OW294" s="242">
        <f t="shared" si="2126"/>
        <v>0</v>
      </c>
      <c r="OX294" s="242">
        <f t="shared" si="2127"/>
        <v>1482</v>
      </c>
      <c r="OY294" s="56"/>
      <c r="PB294" s="55">
        <f t="shared" si="2128"/>
        <v>46270</v>
      </c>
      <c r="PC294" s="56"/>
      <c r="PD294" s="242">
        <f>SUMPRODUCT(PRODUCE!$B293:$DY293,PRODUCE!$EB$53:$IY$53)</f>
        <v>0</v>
      </c>
      <c r="PE294" s="56"/>
      <c r="PF294" s="242">
        <f t="shared" si="2129"/>
        <v>0</v>
      </c>
      <c r="PG294" s="242">
        <f t="shared" si="2130"/>
        <v>0</v>
      </c>
      <c r="PH294" s="56"/>
      <c r="PK294" s="55">
        <f t="shared" si="2131"/>
        <v>46270</v>
      </c>
      <c r="PL294" s="56"/>
      <c r="PM294" s="242">
        <f>SUMPRODUCT(PRODUCE!$B293:$DY293,PRODUCE!$EB$54:$IY$54)</f>
        <v>0</v>
      </c>
      <c r="PN294" s="56"/>
      <c r="PO294" s="242">
        <f t="shared" si="2132"/>
        <v>0</v>
      </c>
      <c r="PP294" s="242">
        <f t="shared" si="2133"/>
        <v>100</v>
      </c>
      <c r="PQ294" s="56"/>
      <c r="PT294" s="55">
        <f t="shared" si="2134"/>
        <v>46270</v>
      </c>
      <c r="PU294" s="56"/>
      <c r="PV294" s="242">
        <f>SUMPRODUCT(PRODUCE!$B293:$DY293,PRODUCE!$EB$55:$IY$55)</f>
        <v>0</v>
      </c>
      <c r="PW294" s="56"/>
      <c r="PX294" s="242">
        <f t="shared" si="2135"/>
        <v>0</v>
      </c>
      <c r="PY294" s="242">
        <f t="shared" si="2136"/>
        <v>13.960000000000036</v>
      </c>
      <c r="PZ294" s="56"/>
      <c r="QC294" s="55">
        <f t="shared" si="2137"/>
        <v>46270</v>
      </c>
      <c r="QD294" s="56"/>
      <c r="QE294" s="242">
        <f>SUMPRODUCT(PRODUCE!$B293:$DY293,PRODUCE!$EB$56:$IY$56)</f>
        <v>0</v>
      </c>
      <c r="QF294" s="56"/>
      <c r="QG294" s="242">
        <f t="shared" si="2138"/>
        <v>0</v>
      </c>
      <c r="QH294" s="242">
        <f t="shared" si="2139"/>
        <v>548</v>
      </c>
      <c r="QI294" s="56"/>
      <c r="QL294" s="55">
        <f t="shared" si="2140"/>
        <v>46270</v>
      </c>
      <c r="QM294" s="56"/>
      <c r="QN294" s="242">
        <f>SUMPRODUCT(PRODUCE!$B293:$DY293,PRODUCE!$EB$57:$IY$57)</f>
        <v>0</v>
      </c>
      <c r="QO294" s="56"/>
      <c r="QP294" s="242">
        <f t="shared" si="2141"/>
        <v>0</v>
      </c>
      <c r="QQ294" s="242">
        <f t="shared" si="2142"/>
        <v>0</v>
      </c>
      <c r="QR294" s="56"/>
      <c r="QU294" s="55">
        <f t="shared" si="2143"/>
        <v>46270</v>
      </c>
      <c r="QV294" s="56"/>
      <c r="QW294" s="242">
        <f>SUMPRODUCT(PRODUCE!$B293:$DY293,PRODUCE!$EB$57:$IY$57)</f>
        <v>0</v>
      </c>
      <c r="QX294" s="56"/>
      <c r="QY294" s="242">
        <f t="shared" si="2144"/>
        <v>0</v>
      </c>
      <c r="QZ294" s="242">
        <f t="shared" si="2145"/>
        <v>0</v>
      </c>
      <c r="RA294" s="56"/>
      <c r="RD294" s="55">
        <f t="shared" si="2146"/>
        <v>46270</v>
      </c>
      <c r="RE294" s="56"/>
      <c r="RF294" s="242">
        <f>SUMPRODUCT(PRODUCE!$B293:$DY293,PRODUCE!$EB$58:$IY$58)</f>
        <v>0</v>
      </c>
      <c r="RG294" s="56"/>
      <c r="RH294" s="242">
        <f t="shared" si="2147"/>
        <v>0</v>
      </c>
      <c r="RI294" s="242">
        <f t="shared" si="2148"/>
        <v>147.04000000000002</v>
      </c>
      <c r="RJ294" s="56"/>
      <c r="RM294" s="55">
        <f t="shared" si="2149"/>
        <v>46270</v>
      </c>
      <c r="RN294" s="56"/>
      <c r="RO294" s="242">
        <f>SUMPRODUCT(PRODUCE!$B293:$DY293,PRODUCE!$EB$59:$IY$59)</f>
        <v>0</v>
      </c>
      <c r="RP294" s="56"/>
      <c r="RQ294" s="242">
        <f t="shared" si="2150"/>
        <v>0</v>
      </c>
      <c r="RR294" s="242">
        <f t="shared" si="2151"/>
        <v>46.8</v>
      </c>
      <c r="RS294" s="56"/>
      <c r="RV294" s="55">
        <f t="shared" si="2152"/>
        <v>46270</v>
      </c>
      <c r="RW294" s="56"/>
      <c r="RX294" s="242">
        <f>SUMPRODUCT(PRODUCE!$B293:$DY293,PRODUCE!$EB$57:$IY$57)</f>
        <v>0</v>
      </c>
      <c r="RY294" s="56"/>
      <c r="RZ294" s="242">
        <f t="shared" si="2153"/>
        <v>0</v>
      </c>
      <c r="SA294" s="242">
        <f t="shared" si="2154"/>
        <v>0</v>
      </c>
      <c r="SB294" s="56"/>
      <c r="SE294" s="55">
        <f t="shared" si="2155"/>
        <v>46270</v>
      </c>
      <c r="SF294" s="56"/>
      <c r="SG294" s="242">
        <f>SUMPRODUCT(PRODUCE!$B293:$DY293,PRODUCE!$EB$61:$IY$61)</f>
        <v>0</v>
      </c>
      <c r="SH294" s="56"/>
      <c r="SI294" s="242">
        <f t="shared" si="2156"/>
        <v>0</v>
      </c>
      <c r="SJ294" s="242">
        <f t="shared" si="2157"/>
        <v>24.200000000000003</v>
      </c>
      <c r="SK294" s="56"/>
      <c r="SN294" s="55">
        <f t="shared" si="2158"/>
        <v>46270</v>
      </c>
      <c r="SO294" s="56"/>
      <c r="SP294" s="242">
        <f>SUMPRODUCT(PRODUCE!$B293:$DY293,PRODUCE!$EB$57:$IY$57)</f>
        <v>0</v>
      </c>
      <c r="SQ294" s="56"/>
      <c r="SR294" s="242">
        <f t="shared" si="2159"/>
        <v>0</v>
      </c>
      <c r="SS294" s="242">
        <f t="shared" si="2160"/>
        <v>32</v>
      </c>
      <c r="ST294" s="56"/>
      <c r="SW294" s="55">
        <f t="shared" si="2161"/>
        <v>46270</v>
      </c>
      <c r="SX294" s="56"/>
      <c r="SY294" s="242">
        <f>SUMPRODUCT(PRODUCE!$B293:$DY293,PRODUCE!$EB$57:$IY$57)</f>
        <v>0</v>
      </c>
      <c r="SZ294" s="56"/>
      <c r="TA294" s="242">
        <f t="shared" si="2162"/>
        <v>0</v>
      </c>
      <c r="TB294" s="242">
        <f t="shared" si="2163"/>
        <v>0</v>
      </c>
      <c r="TC294" s="56"/>
      <c r="TF294" s="55">
        <f t="shared" si="2164"/>
        <v>46270</v>
      </c>
      <c r="TG294" s="56"/>
      <c r="TH294" s="242">
        <f>SUMPRODUCT(PRODUCE!$B293:$DY293,PRODUCE!$EB$57:$IY$57)</f>
        <v>0</v>
      </c>
      <c r="TI294" s="56"/>
      <c r="TJ294" s="242">
        <f t="shared" si="2165"/>
        <v>0</v>
      </c>
      <c r="TK294" s="242">
        <f t="shared" si="2166"/>
        <v>0</v>
      </c>
      <c r="TL294" s="56"/>
      <c r="TO294" s="55">
        <f t="shared" si="2167"/>
        <v>46270</v>
      </c>
      <c r="TP294" s="56"/>
      <c r="TQ294" s="242">
        <f>SUMPRODUCT(PRODUCE!$B293:$DY293,PRODUCE!$EB$57:$IY$57)</f>
        <v>0</v>
      </c>
      <c r="TR294" s="56"/>
      <c r="TS294" s="242">
        <f t="shared" si="2168"/>
        <v>0</v>
      </c>
      <c r="TT294" s="242">
        <f t="shared" si="2169"/>
        <v>0</v>
      </c>
      <c r="TU294" s="56"/>
      <c r="TX294" s="55">
        <f t="shared" si="2170"/>
        <v>46270</v>
      </c>
      <c r="TY294" s="56"/>
      <c r="TZ294" s="242">
        <f>SUMPRODUCT(PRODUCE!$B293:$DY293,PRODUCE!$EB$57:$IY$57)</f>
        <v>0</v>
      </c>
      <c r="UA294" s="56"/>
      <c r="UB294" s="242">
        <f t="shared" si="2171"/>
        <v>0</v>
      </c>
      <c r="UC294" s="242">
        <f t="shared" si="2172"/>
        <v>46.799999999999983</v>
      </c>
      <c r="UD294" s="56"/>
      <c r="UG294" s="55">
        <f t="shared" si="2173"/>
        <v>46270</v>
      </c>
      <c r="UH294" s="56"/>
      <c r="UI294" s="242">
        <f>SUMPRODUCT(PRODUCE!$B293:$DY293,PRODUCE!$EB$57:$IY$57)</f>
        <v>0</v>
      </c>
      <c r="UJ294" s="56"/>
      <c r="UK294" s="242">
        <f t="shared" si="2174"/>
        <v>0</v>
      </c>
      <c r="UL294" s="242">
        <f t="shared" si="2175"/>
        <v>204</v>
      </c>
      <c r="UM294" s="56"/>
      <c r="UP294" s="55">
        <f t="shared" si="2176"/>
        <v>46270</v>
      </c>
      <c r="UQ294" s="56"/>
      <c r="UR294" s="242">
        <f>SUMPRODUCT(PRODUCE!$B293:$DY293,PRODUCE!$EB$57:$IY$57)</f>
        <v>0</v>
      </c>
      <c r="US294" s="56"/>
      <c r="UT294" s="242">
        <f t="shared" si="2177"/>
        <v>0</v>
      </c>
      <c r="UU294" s="242">
        <f t="shared" si="2178"/>
        <v>202.5</v>
      </c>
      <c r="UV294" s="56"/>
      <c r="UY294" s="55">
        <f t="shared" si="2179"/>
        <v>46270</v>
      </c>
      <c r="UZ294" s="56"/>
      <c r="VA294" s="242">
        <f>SUMPRODUCT(PRODUCE!$B293:$DY293,PRODUCE!$EB$57:$IY$57)</f>
        <v>0</v>
      </c>
      <c r="VB294" s="56"/>
      <c r="VC294" s="242">
        <f t="shared" si="2180"/>
        <v>0</v>
      </c>
      <c r="VD294" s="242">
        <f t="shared" si="2181"/>
        <v>41.600000000000023</v>
      </c>
      <c r="VE294" s="56"/>
      <c r="VH294" s="55">
        <f t="shared" si="2182"/>
        <v>46270</v>
      </c>
      <c r="VI294" s="56"/>
      <c r="VJ294" s="242">
        <f>SUMPRODUCT(PRODUCE!$B293:$DY293,PRODUCE!$EB$57:$IY$57)</f>
        <v>0</v>
      </c>
      <c r="VK294" s="56"/>
      <c r="VL294" s="242">
        <f t="shared" si="2183"/>
        <v>0</v>
      </c>
      <c r="VM294" s="242">
        <f t="shared" si="2184"/>
        <v>210</v>
      </c>
      <c r="VN294" s="56"/>
      <c r="VQ294" s="55">
        <f t="shared" si="2185"/>
        <v>46270</v>
      </c>
      <c r="VR294" s="56"/>
      <c r="VS294" s="242">
        <f>SUMPRODUCT(PRODUCE!$B293:$DY293,PRODUCE!$EB$57:$IY$57)</f>
        <v>0</v>
      </c>
      <c r="VT294" s="56"/>
      <c r="VU294" s="242">
        <f t="shared" si="2186"/>
        <v>0</v>
      </c>
      <c r="VV294" s="242">
        <f t="shared" si="2187"/>
        <v>0</v>
      </c>
      <c r="VW294" s="56"/>
      <c r="VZ294" s="55">
        <f t="shared" si="2188"/>
        <v>46270</v>
      </c>
      <c r="WA294" s="56"/>
      <c r="WB294" s="242">
        <f>SUMPRODUCT(PRODUCE!$B293:$DY293,PRODUCE!$EB$57:$IY$57)</f>
        <v>0</v>
      </c>
      <c r="WC294" s="56"/>
      <c r="WD294" s="242">
        <f t="shared" si="2189"/>
        <v>0</v>
      </c>
      <c r="WE294" s="242">
        <f t="shared" si="2190"/>
        <v>0</v>
      </c>
      <c r="WF294" s="56"/>
      <c r="WI294" s="55">
        <f t="shared" si="2191"/>
        <v>46270</v>
      </c>
      <c r="WJ294" s="56"/>
      <c r="WK294" s="242">
        <f>SUMPRODUCT(PRODUCE!$B293:$DY293,PRODUCE!$EB$57:$IY$57)</f>
        <v>0</v>
      </c>
      <c r="WL294" s="56"/>
      <c r="WM294" s="242">
        <f t="shared" si="2192"/>
        <v>0</v>
      </c>
      <c r="WN294" s="242">
        <f t="shared" si="2193"/>
        <v>1057</v>
      </c>
      <c r="WO294" s="56"/>
      <c r="WR294" s="55">
        <f t="shared" si="2194"/>
        <v>46270</v>
      </c>
      <c r="WS294" s="56"/>
      <c r="WT294" s="242">
        <f>SUMPRODUCT(PRODUCE!$B293:$DY293,PRODUCE!$EB$57:$IY$57)</f>
        <v>0</v>
      </c>
      <c r="WU294" s="56"/>
      <c r="WV294" s="242">
        <f t="shared" si="2195"/>
        <v>0</v>
      </c>
      <c r="WW294" s="242">
        <f t="shared" si="2196"/>
        <v>0</v>
      </c>
      <c r="WX294" s="56"/>
      <c r="XA294" s="55">
        <f t="shared" si="2197"/>
        <v>46270</v>
      </c>
      <c r="XB294" s="56"/>
      <c r="XC294" s="242">
        <f>SUMPRODUCT(PRODUCE!$B293:$DY293,PRODUCE!$EB$57:$IY$57)</f>
        <v>0</v>
      </c>
      <c r="XD294" s="56"/>
      <c r="XE294" s="242">
        <f t="shared" si="2198"/>
        <v>0</v>
      </c>
      <c r="XF294" s="242">
        <f t="shared" si="2199"/>
        <v>7507</v>
      </c>
      <c r="XG294" s="56"/>
      <c r="XJ294" s="55">
        <f t="shared" si="2200"/>
        <v>46270</v>
      </c>
      <c r="XK294" s="56"/>
      <c r="XL294" s="242">
        <f>SUMPRODUCT(PRODUCE!$B293:$DY293,PRODUCE!$EB$57:$IY$57)</f>
        <v>0</v>
      </c>
      <c r="XM294" s="56"/>
      <c r="XN294" s="242">
        <f t="shared" si="2201"/>
        <v>0</v>
      </c>
      <c r="XO294" s="242">
        <f t="shared" si="2202"/>
        <v>4252</v>
      </c>
      <c r="XP294" s="56"/>
      <c r="XS294" s="55">
        <f t="shared" si="2203"/>
        <v>46270</v>
      </c>
      <c r="XT294" s="56"/>
      <c r="XU294" s="242">
        <f>SUMPRODUCT(PRODUCE!$B293:$DY293,PRODUCE!$EB$57:$IY$57)</f>
        <v>0</v>
      </c>
      <c r="XV294" s="56"/>
      <c r="XW294" s="242">
        <f t="shared" si="2204"/>
        <v>0</v>
      </c>
      <c r="XX294" s="242">
        <f t="shared" si="2205"/>
        <v>2179</v>
      </c>
      <c r="XY294" s="56"/>
      <c r="YB294" s="55">
        <f t="shared" si="2206"/>
        <v>46270</v>
      </c>
      <c r="YC294" s="56"/>
      <c r="YD294" s="242">
        <f>SUMPRODUCT(PRODUCE!$B293:$DY293,PRODUCE!$EB$57:$IY$57)</f>
        <v>0</v>
      </c>
      <c r="YE294" s="56"/>
      <c r="YF294" s="242">
        <f t="shared" si="2207"/>
        <v>0</v>
      </c>
      <c r="YG294" s="242">
        <f t="shared" si="2208"/>
        <v>4019</v>
      </c>
      <c r="YH294" s="56"/>
      <c r="YK294" s="55">
        <f t="shared" si="2209"/>
        <v>46270</v>
      </c>
      <c r="YL294" s="56"/>
      <c r="YM294" s="242">
        <f>SUMPRODUCT(PRODUCE!$B293:$DY293,PRODUCE!$EB$57:$IY$57)</f>
        <v>0</v>
      </c>
      <c r="YN294" s="56"/>
      <c r="YO294" s="242">
        <f t="shared" si="2210"/>
        <v>0</v>
      </c>
      <c r="YP294" s="242">
        <f t="shared" si="2211"/>
        <v>-218</v>
      </c>
      <c r="YQ294" s="56"/>
      <c r="YT294" s="55">
        <f t="shared" si="2212"/>
        <v>46270</v>
      </c>
      <c r="YU294" s="56"/>
      <c r="YV294" s="242">
        <f>SUMPRODUCT(PRODUCE!$B293:$DY293,PRODUCE!$EB$57:$IY$57)</f>
        <v>0</v>
      </c>
      <c r="YW294" s="56"/>
      <c r="YX294" s="242">
        <f t="shared" si="2213"/>
        <v>0</v>
      </c>
      <c r="YY294" s="242">
        <f t="shared" si="2214"/>
        <v>0</v>
      </c>
      <c r="YZ294" s="56"/>
      <c r="ZC294" s="55">
        <f t="shared" si="2215"/>
        <v>46270</v>
      </c>
      <c r="ZD294" s="56"/>
      <c r="ZE294" s="242">
        <f>SUMPRODUCT(PRODUCE!$B293:$DY293,PRODUCE!$EB$57:$IY$57)</f>
        <v>0</v>
      </c>
      <c r="ZF294" s="56"/>
      <c r="ZG294" s="242">
        <f t="shared" si="2216"/>
        <v>0</v>
      </c>
      <c r="ZH294" s="242">
        <f t="shared" si="2217"/>
        <v>0</v>
      </c>
      <c r="ZI294" s="56"/>
      <c r="ZL294" s="55">
        <f t="shared" si="2218"/>
        <v>46270</v>
      </c>
      <c r="ZM294" s="56"/>
      <c r="ZN294" s="242">
        <f>SUMPRODUCT(PRODUCE!$B293:$DY293,PRODUCE!$EB$57:$IY$57)</f>
        <v>0</v>
      </c>
      <c r="ZO294" s="56"/>
      <c r="ZP294" s="242">
        <f t="shared" si="2219"/>
        <v>0</v>
      </c>
      <c r="ZQ294" s="242">
        <f t="shared" si="2220"/>
        <v>0</v>
      </c>
      <c r="ZR294" s="56"/>
      <c r="ZU294" s="55">
        <f t="shared" si="2221"/>
        <v>46270</v>
      </c>
      <c r="ZV294" s="56"/>
      <c r="ZW294" s="242">
        <f>SUMPRODUCT(PRODUCE!$B293:$DY293,PRODUCE!$EB$57:$IY$57)</f>
        <v>0</v>
      </c>
      <c r="ZX294" s="56"/>
      <c r="ZY294" s="242">
        <f t="shared" si="2222"/>
        <v>0</v>
      </c>
      <c r="ZZ294" s="242">
        <f t="shared" si="2223"/>
        <v>0</v>
      </c>
      <c r="AAA294" s="56"/>
      <c r="AAD294" s="55">
        <f t="shared" si="2224"/>
        <v>46270</v>
      </c>
      <c r="AAE294" s="56"/>
      <c r="AAF294" s="242">
        <f>SUMPRODUCT(PRODUCE!$B293:$DY293,PRODUCE!$EB$57:$IY$57)</f>
        <v>0</v>
      </c>
      <c r="AAG294" s="56"/>
      <c r="AAH294" s="242">
        <f t="shared" si="2225"/>
        <v>0</v>
      </c>
      <c r="AAI294" s="242">
        <f t="shared" si="2226"/>
        <v>0</v>
      </c>
      <c r="AAJ294" s="56"/>
      <c r="AAM294" s="55">
        <f t="shared" si="2227"/>
        <v>46270</v>
      </c>
      <c r="AAN294" s="56"/>
      <c r="AAO294" s="242">
        <f>SUMPRODUCT(PRODUCE!$B293:$DY293,PRODUCE!$EB$57:$IY$57)</f>
        <v>0</v>
      </c>
      <c r="AAP294" s="56"/>
      <c r="AAQ294" s="242">
        <f t="shared" si="2228"/>
        <v>0</v>
      </c>
      <c r="AAR294" s="242">
        <f t="shared" si="2229"/>
        <v>0</v>
      </c>
      <c r="AAS294" s="56"/>
      <c r="AAV294" s="55">
        <f t="shared" si="2230"/>
        <v>46270</v>
      </c>
      <c r="AAW294" s="56"/>
      <c r="AAX294" s="242">
        <f>SUMPRODUCT(PRODUCE!$B293:$DY293,PRODUCE!$EB$57:$IY$57)</f>
        <v>0</v>
      </c>
      <c r="AAY294" s="56"/>
      <c r="AAZ294" s="242">
        <f t="shared" si="2231"/>
        <v>0</v>
      </c>
      <c r="ABA294" s="242">
        <f t="shared" si="2232"/>
        <v>0</v>
      </c>
      <c r="ABB294" s="56"/>
      <c r="ABE294" s="55">
        <f t="shared" si="2233"/>
        <v>46270</v>
      </c>
      <c r="ABF294" s="56"/>
      <c r="ABG294" s="242">
        <f>SUMPRODUCT(PRODUCE!$B293:$DY293,PRODUCE!$EB$57:$IY$57)</f>
        <v>0</v>
      </c>
      <c r="ABH294" s="56"/>
      <c r="ABI294" s="242">
        <f t="shared" si="2234"/>
        <v>0</v>
      </c>
      <c r="ABJ294" s="242">
        <f t="shared" si="2235"/>
        <v>0</v>
      </c>
      <c r="ABK294" s="56"/>
    </row>
    <row r="295" spans="2:739" s="54" customFormat="1" ht="15" customHeight="1" outlineLevel="1">
      <c r="B295" s="478"/>
      <c r="C295" s="55">
        <v>46271</v>
      </c>
      <c r="D295" s="56"/>
      <c r="E295" s="57">
        <f>SUMPRODUCT(PRODUCE!$B294:$DY294,PRODUCE!$EB$7:$IY$7)</f>
        <v>0</v>
      </c>
      <c r="F295" s="56"/>
      <c r="G295" s="57">
        <f t="shared" si="1992"/>
        <v>0</v>
      </c>
      <c r="H295" s="57">
        <f t="shared" si="1993"/>
        <v>236936.6</v>
      </c>
      <c r="I295" s="289"/>
      <c r="L295" s="55">
        <f t="shared" si="1994"/>
        <v>46271</v>
      </c>
      <c r="M295" s="56"/>
      <c r="N295" s="59">
        <f>SUMPRODUCT(PRODUCE!$B294:$DY294,PRODUCE!$EB$8:$IY$8)</f>
        <v>0</v>
      </c>
      <c r="O295" s="56"/>
      <c r="P295" s="59">
        <f t="shared" si="1995"/>
        <v>0</v>
      </c>
      <c r="Q295" s="59">
        <f t="shared" si="1996"/>
        <v>53017.600000000071</v>
      </c>
      <c r="R295" s="56"/>
      <c r="U295" s="55">
        <f t="shared" si="1997"/>
        <v>46271</v>
      </c>
      <c r="V295" s="56"/>
      <c r="W295" s="60">
        <f>SUMPRODUCT(PRODUCE!$B294:$DY294,PRODUCE!$EB$9:$IY$9)</f>
        <v>0</v>
      </c>
      <c r="X295" s="56"/>
      <c r="Y295" s="60">
        <f t="shared" si="1998"/>
        <v>0</v>
      </c>
      <c r="Z295" s="60">
        <f t="shared" si="1999"/>
        <v>42674.199999999968</v>
      </c>
      <c r="AA295" s="56"/>
      <c r="AD295" s="55">
        <f t="shared" si="2000"/>
        <v>46271</v>
      </c>
      <c r="AE295" s="56"/>
      <c r="AF295" s="61">
        <f>SUMPRODUCT(PRODUCE!$B294:$DY294,PRODUCE!$EB$10:$IY$10)</f>
        <v>0</v>
      </c>
      <c r="AG295" s="56"/>
      <c r="AH295" s="61">
        <f t="shared" si="2001"/>
        <v>0</v>
      </c>
      <c r="AI295" s="61">
        <f t="shared" si="2002"/>
        <v>4522.2000000000189</v>
      </c>
      <c r="AJ295" s="56"/>
      <c r="AM295" s="55">
        <f t="shared" si="2003"/>
        <v>46271</v>
      </c>
      <c r="AN295" s="422"/>
      <c r="AO295" s="444">
        <f>SUMPRODUCT(PRODUCE!$B294:$DY294,PRODUCE!$EB$11:$IY$11)</f>
        <v>0</v>
      </c>
      <c r="AP295" s="422"/>
      <c r="AQ295" s="444">
        <f t="shared" si="2004"/>
        <v>0</v>
      </c>
      <c r="AR295" s="444">
        <f t="shared" si="2005"/>
        <v>0</v>
      </c>
      <c r="AS295" s="56"/>
      <c r="AV295" s="55">
        <f t="shared" si="2006"/>
        <v>46271</v>
      </c>
      <c r="AW295" s="56"/>
      <c r="AX295" s="62">
        <f>SUMPRODUCT(PRODUCE!$B294:$DY294,PRODUCE!$EB$12:$IY$12)</f>
        <v>0</v>
      </c>
      <c r="AY295" s="56"/>
      <c r="AZ295" s="62">
        <f t="shared" si="2007"/>
        <v>0</v>
      </c>
      <c r="BA295" s="62">
        <f t="shared" si="2008"/>
        <v>124.99999999999523</v>
      </c>
      <c r="BB295" s="56"/>
      <c r="BE295" s="55">
        <f t="shared" si="2009"/>
        <v>46271</v>
      </c>
      <c r="BF295" s="56"/>
      <c r="BG295" s="63">
        <f>SUMPRODUCT(PRODUCE!$B294:$DY294,PRODUCE!$EB$13:$IY$13)</f>
        <v>0</v>
      </c>
      <c r="BH295" s="56"/>
      <c r="BI295" s="63">
        <f t="shared" si="2010"/>
        <v>0</v>
      </c>
      <c r="BJ295" s="63">
        <f t="shared" si="2011"/>
        <v>26151.899999999998</v>
      </c>
      <c r="BK295" s="56"/>
      <c r="BN295" s="55">
        <f t="shared" si="2012"/>
        <v>46271</v>
      </c>
      <c r="BO295" s="56"/>
      <c r="BP295" s="64">
        <f>SUMPRODUCT(PRODUCE!$B294:$DY294,PRODUCE!$EB$14:$IY$14)</f>
        <v>0</v>
      </c>
      <c r="BQ295" s="56"/>
      <c r="BR295" s="64">
        <f t="shared" si="2013"/>
        <v>0</v>
      </c>
      <c r="BS295" s="64">
        <f t="shared" si="2014"/>
        <v>0</v>
      </c>
      <c r="BT295" s="56"/>
      <c r="BW295" s="55">
        <f t="shared" si="2015"/>
        <v>46271</v>
      </c>
      <c r="BX295" s="56"/>
      <c r="BY295" s="65">
        <f>SUMPRODUCT(PRODUCE!$B294:$DY294,PRODUCE!$EB$15:$IY$15)</f>
        <v>0</v>
      </c>
      <c r="BZ295" s="56"/>
      <c r="CA295" s="65">
        <f t="shared" si="2016"/>
        <v>0</v>
      </c>
      <c r="CB295" s="65">
        <f t="shared" si="2017"/>
        <v>2097.3399999999992</v>
      </c>
      <c r="CC295" s="56"/>
      <c r="CF295" s="55">
        <f t="shared" si="2018"/>
        <v>46271</v>
      </c>
      <c r="CG295" s="56"/>
      <c r="CH295" s="66">
        <f>SUMPRODUCT(PRODUCE!$B294:$DY294,PRODUCE!$EB$16:$IY$16)</f>
        <v>0</v>
      </c>
      <c r="CI295" s="56"/>
      <c r="CJ295" s="66">
        <f t="shared" si="2019"/>
        <v>0</v>
      </c>
      <c r="CK295" s="66">
        <f t="shared" si="2020"/>
        <v>-10277.079999999998</v>
      </c>
      <c r="CL295" s="56"/>
      <c r="CO295" s="55">
        <f t="shared" si="2021"/>
        <v>46271</v>
      </c>
      <c r="CP295" s="422"/>
      <c r="CQ295" s="470">
        <f>SUMPRODUCT(PRODUCE!$B294:$DY294,PRODUCE!$EB$17:$IY$17)</f>
        <v>0</v>
      </c>
      <c r="CR295" s="422"/>
      <c r="CS295" s="470">
        <f t="shared" si="2022"/>
        <v>0</v>
      </c>
      <c r="CT295" s="470">
        <f t="shared" si="2023"/>
        <v>0</v>
      </c>
      <c r="CU295" s="56"/>
      <c r="CX295" s="55">
        <f t="shared" si="2024"/>
        <v>46271</v>
      </c>
      <c r="CY295" s="56"/>
      <c r="CZ295" s="133">
        <f>SUMPRODUCT(PRODUCE!$B294:$DY294,PRODUCE!$EB$18:$IY$18)</f>
        <v>0</v>
      </c>
      <c r="DA295" s="56"/>
      <c r="DB295" s="133">
        <f t="shared" si="2025"/>
        <v>0</v>
      </c>
      <c r="DC295" s="133">
        <f t="shared" si="2026"/>
        <v>27438.200000000012</v>
      </c>
      <c r="DD295" s="56"/>
      <c r="DG295" s="55">
        <f t="shared" si="2027"/>
        <v>46271</v>
      </c>
      <c r="DH295" s="56"/>
      <c r="DI295" s="147">
        <f>SUMPRODUCT(PRODUCE!$B294:$DY294,PRODUCE!$EB$19:$IY$19)</f>
        <v>0</v>
      </c>
      <c r="DJ295" s="56"/>
      <c r="DK295" s="147">
        <f t="shared" si="2028"/>
        <v>0</v>
      </c>
      <c r="DL295" s="147">
        <f t="shared" si="2029"/>
        <v>18782.299999999981</v>
      </c>
      <c r="DM295" s="56"/>
      <c r="DP295" s="55">
        <f t="shared" si="2030"/>
        <v>46271</v>
      </c>
      <c r="DQ295" s="56"/>
      <c r="DR295" s="57">
        <f>SUMPRODUCT(PRODUCE!$B294:$DY294,PRODUCE!$EB$20:$IY$20)</f>
        <v>0</v>
      </c>
      <c r="DS295" s="56"/>
      <c r="DT295" s="57">
        <f t="shared" si="2031"/>
        <v>0</v>
      </c>
      <c r="DU295" s="57">
        <f t="shared" si="2032"/>
        <v>5800</v>
      </c>
      <c r="DV295" s="56"/>
      <c r="DY295" s="55">
        <f t="shared" si="2033"/>
        <v>46271</v>
      </c>
      <c r="DZ295" s="56"/>
      <c r="EA295" s="157">
        <f>SUMPRODUCT(PRODUCE!$B294:$DY294,PRODUCE!$EB$21:$IY$21)</f>
        <v>0</v>
      </c>
      <c r="EB295" s="56"/>
      <c r="EC295" s="157">
        <f t="shared" si="2034"/>
        <v>0</v>
      </c>
      <c r="ED295" s="157">
        <f t="shared" si="2035"/>
        <v>0</v>
      </c>
      <c r="EE295" s="56"/>
      <c r="EH295" s="55">
        <f t="shared" si="2036"/>
        <v>46271</v>
      </c>
      <c r="EI295" s="56"/>
      <c r="EJ295" s="162">
        <f>SUMPRODUCT(PRODUCE!$B294:$DY294,PRODUCE!$EB$22:$IY$22)</f>
        <v>0</v>
      </c>
      <c r="EK295" s="56"/>
      <c r="EL295" s="162">
        <f t="shared" si="2037"/>
        <v>0</v>
      </c>
      <c r="EM295" s="162">
        <f t="shared" si="2038"/>
        <v>0</v>
      </c>
      <c r="EN295" s="56"/>
      <c r="EQ295" s="55">
        <f t="shared" si="2039"/>
        <v>46271</v>
      </c>
      <c r="ER295" s="56"/>
      <c r="ES295" s="135">
        <f>SUMPRODUCT(PRODUCE!$B294:$DY294,PRODUCE!$EB$23:$IY$23)</f>
        <v>0</v>
      </c>
      <c r="ET295" s="56"/>
      <c r="EU295" s="135">
        <f t="shared" si="2040"/>
        <v>0</v>
      </c>
      <c r="EV295" s="135">
        <f t="shared" si="2041"/>
        <v>0</v>
      </c>
      <c r="EW295" s="56"/>
      <c r="EZ295" s="55">
        <f t="shared" si="2042"/>
        <v>46271</v>
      </c>
      <c r="FA295" s="56"/>
      <c r="FB295" s="175">
        <f>SUMPRODUCT(PRODUCE!$B294:$DY294,PRODUCE!$EB$24:$IY$24)</f>
        <v>0</v>
      </c>
      <c r="FC295" s="56"/>
      <c r="FD295" s="175">
        <f t="shared" si="2043"/>
        <v>0</v>
      </c>
      <c r="FE295" s="175">
        <f t="shared" si="2044"/>
        <v>0</v>
      </c>
      <c r="FF295" s="56"/>
      <c r="FI295" s="55">
        <f t="shared" si="2045"/>
        <v>46271</v>
      </c>
      <c r="FJ295" s="56"/>
      <c r="FK295" s="183">
        <f>SUMPRODUCT(PRODUCE!$B294:$DY294,PRODUCE!$EB$25:$IY$25)</f>
        <v>0</v>
      </c>
      <c r="FL295" s="56"/>
      <c r="FM295" s="183">
        <f t="shared" si="2046"/>
        <v>0</v>
      </c>
      <c r="FN295" s="183">
        <f t="shared" si="2047"/>
        <v>0</v>
      </c>
      <c r="FO295" s="56"/>
      <c r="FR295" s="55">
        <f t="shared" si="2048"/>
        <v>46271</v>
      </c>
      <c r="FS295" s="56"/>
      <c r="FT295" s="186">
        <f>SUMPRODUCT(PRODUCE!$B294:$DY294,PRODUCE!$EB$26:$IY$26)</f>
        <v>0</v>
      </c>
      <c r="FU295" s="56"/>
      <c r="FV295" s="186">
        <f t="shared" si="2049"/>
        <v>0</v>
      </c>
      <c r="FW295" s="186">
        <f t="shared" si="2050"/>
        <v>2020</v>
      </c>
      <c r="FX295" s="56"/>
      <c r="GA295" s="55">
        <f t="shared" si="2051"/>
        <v>46271</v>
      </c>
      <c r="GB295" s="56"/>
      <c r="GC295" s="137">
        <f>SUMPRODUCT(PRODUCE!$B294:$DY294,PRODUCE!$EB$27:$IY$27)</f>
        <v>0</v>
      </c>
      <c r="GD295" s="56"/>
      <c r="GE295" s="137">
        <f t="shared" si="2052"/>
        <v>0</v>
      </c>
      <c r="GF295" s="137">
        <f t="shared" si="2053"/>
        <v>960</v>
      </c>
      <c r="GG295" s="56"/>
      <c r="GI295" s="23"/>
      <c r="GJ295" s="55">
        <f t="shared" si="2054"/>
        <v>46271</v>
      </c>
      <c r="GK295" s="56"/>
      <c r="GL295" s="199">
        <f>SUMPRODUCT(PRODUCE!$B294:$DY294,PRODUCE!$EB$28:$IY$28)</f>
        <v>0</v>
      </c>
      <c r="GM295" s="56"/>
      <c r="GN295" s="199">
        <f t="shared" si="2055"/>
        <v>0</v>
      </c>
      <c r="GO295" s="199">
        <f t="shared" si="2056"/>
        <v>1760</v>
      </c>
      <c r="GP295" s="56"/>
      <c r="GS295" s="55">
        <f t="shared" si="2057"/>
        <v>46271</v>
      </c>
      <c r="GT295" s="56"/>
      <c r="GU295" s="195">
        <f>SUMPRODUCT(PRODUCE!$B294:$DY294,PRODUCE!$EB$29:$IY$29)</f>
        <v>0</v>
      </c>
      <c r="GV295" s="56"/>
      <c r="GW295" s="195">
        <f t="shared" si="2058"/>
        <v>0</v>
      </c>
      <c r="GX295" s="195">
        <f t="shared" si="2059"/>
        <v>400</v>
      </c>
      <c r="GY295" s="56"/>
      <c r="HB295" s="55">
        <f t="shared" si="2060"/>
        <v>46271</v>
      </c>
      <c r="HC295" s="56"/>
      <c r="HD295" s="191">
        <f>SUMPRODUCT(PRODUCE!$B294:$DY294,PRODUCE!$EB$30:$IY$30)</f>
        <v>0</v>
      </c>
      <c r="HE295" s="56"/>
      <c r="HF295" s="191">
        <f t="shared" si="2061"/>
        <v>0</v>
      </c>
      <c r="HG295" s="191">
        <f t="shared" si="2062"/>
        <v>3600</v>
      </c>
      <c r="HH295" s="56"/>
      <c r="HK295" s="55">
        <f t="shared" si="2063"/>
        <v>46271</v>
      </c>
      <c r="HL295" s="56"/>
      <c r="HM295" s="63">
        <f>SUMPRODUCT(PRODUCE!$B294:$DY294,PRODUCE!$EB$31:$IY$31)</f>
        <v>0</v>
      </c>
      <c r="HN295" s="56"/>
      <c r="HO295" s="63">
        <f t="shared" si="2064"/>
        <v>0</v>
      </c>
      <c r="HP295" s="63">
        <f t="shared" si="2065"/>
        <v>0</v>
      </c>
      <c r="HQ295" s="56"/>
      <c r="HU295" s="55">
        <f t="shared" si="2066"/>
        <v>46271</v>
      </c>
      <c r="HV295" s="56"/>
      <c r="HW295" s="242">
        <f>SUMPRODUCT(PRODUCE!$B294:$DY294,PRODUCE!$EB$32:$IY$32)</f>
        <v>0</v>
      </c>
      <c r="HX295" s="56"/>
      <c r="HY295" s="242">
        <f t="shared" si="2236"/>
        <v>0</v>
      </c>
      <c r="HZ295" s="242">
        <f t="shared" si="2067"/>
        <v>6120</v>
      </c>
      <c r="IA295" s="56"/>
      <c r="ID295" s="55">
        <f t="shared" si="2068"/>
        <v>46271</v>
      </c>
      <c r="IE295" s="56"/>
      <c r="IF295" s="242">
        <f>SUMPRODUCT(PRODUCE!$B294:$DY294,PRODUCE!$EB$33:$IY$33)</f>
        <v>0</v>
      </c>
      <c r="IG295" s="56"/>
      <c r="IH295" s="242">
        <f t="shared" si="2069"/>
        <v>0</v>
      </c>
      <c r="II295" s="242">
        <f t="shared" si="2070"/>
        <v>0</v>
      </c>
      <c r="IJ295" s="56"/>
      <c r="IM295" s="55">
        <f t="shared" si="2071"/>
        <v>46271</v>
      </c>
      <c r="IN295" s="56"/>
      <c r="IO295" s="242">
        <f>SUMPRODUCT(PRODUCE!$B294:$DY294,PRODUCE!$EB$34:$IY$34)</f>
        <v>0</v>
      </c>
      <c r="IP295" s="56"/>
      <c r="IQ295" s="242">
        <f t="shared" si="2072"/>
        <v>0</v>
      </c>
      <c r="IR295" s="242">
        <f t="shared" si="2073"/>
        <v>0</v>
      </c>
      <c r="IS295" s="56"/>
      <c r="IV295" s="55">
        <f t="shared" si="2074"/>
        <v>46271</v>
      </c>
      <c r="IW295" s="56"/>
      <c r="IX295" s="242">
        <f>SUMPRODUCT(PRODUCE!$B294:$DY294,PRODUCE!$EB$35:$IY$35)</f>
        <v>0</v>
      </c>
      <c r="IY295" s="56"/>
      <c r="IZ295" s="242">
        <f t="shared" si="2075"/>
        <v>0</v>
      </c>
      <c r="JA295" s="242">
        <f t="shared" si="2076"/>
        <v>2820</v>
      </c>
      <c r="JB295" s="56"/>
      <c r="JE295" s="55">
        <f t="shared" si="2077"/>
        <v>46271</v>
      </c>
      <c r="JF295" s="56"/>
      <c r="JG295" s="242">
        <f>SUMPRODUCT(PRODUCE!$B294:$DY294,PRODUCE!$EB$36:$IY$36)</f>
        <v>0</v>
      </c>
      <c r="JH295" s="56"/>
      <c r="JI295" s="242">
        <f t="shared" si="2078"/>
        <v>0</v>
      </c>
      <c r="JJ295" s="242">
        <f t="shared" si="2079"/>
        <v>0</v>
      </c>
      <c r="JK295" s="56"/>
      <c r="JN295" s="55">
        <f t="shared" si="2080"/>
        <v>46271</v>
      </c>
      <c r="JO295" s="56"/>
      <c r="JP295" s="242">
        <f>SUMPRODUCT(PRODUCE!$B294:$DY294,PRODUCE!$EB$37:$IY$37)</f>
        <v>0</v>
      </c>
      <c r="JQ295" s="56"/>
      <c r="JR295" s="242">
        <f t="shared" si="2081"/>
        <v>0</v>
      </c>
      <c r="JS295" s="242">
        <f t="shared" si="2082"/>
        <v>0</v>
      </c>
      <c r="JT295" s="56"/>
      <c r="JW295" s="55">
        <f t="shared" si="2083"/>
        <v>46271</v>
      </c>
      <c r="JX295" s="56"/>
      <c r="JY295" s="242">
        <f>SUMPRODUCT(PRODUCE!$B294:$DY294,PRODUCE!$EB$38:$IY$38)</f>
        <v>0</v>
      </c>
      <c r="JZ295" s="56"/>
      <c r="KA295" s="242">
        <f t="shared" si="2084"/>
        <v>0</v>
      </c>
      <c r="KB295" s="242">
        <f t="shared" si="2085"/>
        <v>2540</v>
      </c>
      <c r="KC295" s="56"/>
      <c r="KF295" s="55">
        <f t="shared" si="2086"/>
        <v>46271</v>
      </c>
      <c r="KG295" s="56"/>
      <c r="KH295" s="242">
        <f>SUMPRODUCT(PRODUCE!$B294:$DY294,PRODUCE!$EB$39:$IY$39)</f>
        <v>0</v>
      </c>
      <c r="KI295" s="56"/>
      <c r="KJ295" s="242">
        <f t="shared" si="2087"/>
        <v>0</v>
      </c>
      <c r="KK295" s="242">
        <f t="shared" si="2088"/>
        <v>2359.5</v>
      </c>
      <c r="KL295" s="56"/>
      <c r="KO295" s="55">
        <f t="shared" si="2089"/>
        <v>46271</v>
      </c>
      <c r="KP295" s="56"/>
      <c r="KQ295" s="242">
        <f>SUMPRODUCT(PRODUCE!$B294:$DY294,PRODUCE!$EB$40:$IY$40)</f>
        <v>0</v>
      </c>
      <c r="KR295" s="56"/>
      <c r="KS295" s="242">
        <f t="shared" si="2090"/>
        <v>0</v>
      </c>
      <c r="KT295" s="242">
        <f t="shared" si="2091"/>
        <v>1890</v>
      </c>
      <c r="KU295" s="56"/>
      <c r="KW295" s="23"/>
      <c r="KX295" s="55">
        <f t="shared" si="2092"/>
        <v>46271</v>
      </c>
      <c r="KY295" s="56"/>
      <c r="KZ295" s="242">
        <f>SUMPRODUCT(PRODUCE!$B294:$DY294,PRODUCE!$EB$41:$IY$41)</f>
        <v>0</v>
      </c>
      <c r="LA295" s="56"/>
      <c r="LB295" s="242">
        <f t="shared" si="2093"/>
        <v>0</v>
      </c>
      <c r="LC295" s="242">
        <f t="shared" si="2094"/>
        <v>3690</v>
      </c>
      <c r="LD295" s="56"/>
      <c r="LG295" s="55">
        <f t="shared" si="2095"/>
        <v>46271</v>
      </c>
      <c r="LH295" s="56"/>
      <c r="LI295" s="242">
        <f>SUMPRODUCT(PRODUCE!$B294:$DY294,PRODUCE!$EB$42:$IY$42)</f>
        <v>0</v>
      </c>
      <c r="LJ295" s="56"/>
      <c r="LK295" s="242">
        <f t="shared" si="2096"/>
        <v>0</v>
      </c>
      <c r="LL295" s="242">
        <f t="shared" si="2097"/>
        <v>4000</v>
      </c>
      <c r="LM295" s="56"/>
      <c r="LP295" s="55">
        <f t="shared" si="2098"/>
        <v>46271</v>
      </c>
      <c r="LQ295" s="56"/>
      <c r="LR295" s="242">
        <f>SUMPRODUCT(PRODUCE!$B310:$DY310,PRODUCE!$EB$43:$IY$43)</f>
        <v>0</v>
      </c>
      <c r="LS295" s="56"/>
      <c r="LT295" s="242">
        <f t="shared" si="2099"/>
        <v>0</v>
      </c>
      <c r="LU295" s="242">
        <f t="shared" si="2100"/>
        <v>0</v>
      </c>
      <c r="LV295" s="56"/>
      <c r="LY295" s="55">
        <f t="shared" si="2101"/>
        <v>46271</v>
      </c>
      <c r="LZ295" s="56"/>
      <c r="MA295" s="242">
        <f>SUMPRODUCT(PRODUCE!$B294:$DY294,PRODUCE!$EB$44:$IY$44)</f>
        <v>0</v>
      </c>
      <c r="MB295" s="56"/>
      <c r="MC295" s="242">
        <f t="shared" si="2102"/>
        <v>0</v>
      </c>
      <c r="MD295" s="242">
        <f t="shared" si="2103"/>
        <v>0</v>
      </c>
      <c r="ME295" s="56"/>
      <c r="MH295" s="55">
        <f t="shared" si="2104"/>
        <v>46271</v>
      </c>
      <c r="MI295" s="56"/>
      <c r="MJ295" s="242">
        <f>SUMPRODUCT(PRODUCE!$B294:$DY294,PRODUCE!$EB$45:$IY$45)</f>
        <v>0</v>
      </c>
      <c r="MK295" s="56"/>
      <c r="ML295" s="242">
        <f t="shared" si="2105"/>
        <v>0</v>
      </c>
      <c r="MM295" s="242">
        <f t="shared" si="2106"/>
        <v>0</v>
      </c>
      <c r="MN295" s="56"/>
      <c r="MQ295" s="55">
        <f t="shared" si="2107"/>
        <v>46271</v>
      </c>
      <c r="MR295" s="56"/>
      <c r="MS295" s="242">
        <f>SUMPRODUCT(PRODUCE!$B294:$DY294,PRODUCE!$EB$46:$IY$46)</f>
        <v>0</v>
      </c>
      <c r="MT295" s="56"/>
      <c r="MU295" s="242">
        <f t="shared" si="2108"/>
        <v>0</v>
      </c>
      <c r="MV295" s="242">
        <f t="shared" si="2109"/>
        <v>1625</v>
      </c>
      <c r="MW295" s="56"/>
      <c r="MZ295" s="55">
        <f t="shared" si="2110"/>
        <v>46271</v>
      </c>
      <c r="NA295" s="56"/>
      <c r="NB295" s="242">
        <f>SUMPRODUCT(PRODUCE!$B294:$DY294,PRODUCE!$EB$47:$IY$47)</f>
        <v>0</v>
      </c>
      <c r="NC295" s="56"/>
      <c r="ND295" s="242">
        <f t="shared" si="2111"/>
        <v>0</v>
      </c>
      <c r="NE295" s="242">
        <f t="shared" si="2112"/>
        <v>0</v>
      </c>
      <c r="NF295" s="56"/>
      <c r="NI295" s="55">
        <f t="shared" si="2113"/>
        <v>46271</v>
      </c>
      <c r="NJ295" s="56"/>
      <c r="NK295" s="242">
        <f>SUMPRODUCT(PRODUCE!$B294:$DY294,PRODUCE!$EB$48:$IY$48)</f>
        <v>0</v>
      </c>
      <c r="NL295" s="56"/>
      <c r="NM295" s="242">
        <f t="shared" si="2114"/>
        <v>0</v>
      </c>
      <c r="NN295" s="242">
        <f t="shared" si="2115"/>
        <v>1127</v>
      </c>
      <c r="NO295" s="56"/>
      <c r="NR295" s="55">
        <f t="shared" si="2116"/>
        <v>46271</v>
      </c>
      <c r="NS295" s="56"/>
      <c r="NT295" s="242">
        <f>SUMPRODUCT(PRODUCE!$B294:$DY294,PRODUCE!$EB$49:$IY$49)</f>
        <v>0</v>
      </c>
      <c r="NU295" s="56"/>
      <c r="NV295" s="242">
        <f t="shared" si="2117"/>
        <v>0</v>
      </c>
      <c r="NW295" s="242">
        <f t="shared" si="2118"/>
        <v>3111.9999999999995</v>
      </c>
      <c r="NX295" s="56"/>
      <c r="OA295" s="55">
        <f t="shared" si="2119"/>
        <v>46271</v>
      </c>
      <c r="OB295" s="56"/>
      <c r="OC295" s="242">
        <f>SUMPRODUCT(PRODUCE!$B294:$DY294,PRODUCE!$EB$50:$IY$50)</f>
        <v>0</v>
      </c>
      <c r="OD295" s="56"/>
      <c r="OE295" s="242">
        <f t="shared" si="2120"/>
        <v>0</v>
      </c>
      <c r="OF295" s="242">
        <f t="shared" si="2121"/>
        <v>1680.5</v>
      </c>
      <c r="OG295" s="56"/>
      <c r="OJ295" s="55">
        <f t="shared" si="2122"/>
        <v>46271</v>
      </c>
      <c r="OK295" s="56"/>
      <c r="OL295" s="242">
        <f>SUMPRODUCT(PRODUCE!$B294:$DY294,PRODUCE!$EB$51:$IY$51)</f>
        <v>0</v>
      </c>
      <c r="OM295" s="56"/>
      <c r="ON295" s="242">
        <f t="shared" si="2123"/>
        <v>0</v>
      </c>
      <c r="OO295" s="242">
        <f t="shared" si="2124"/>
        <v>0</v>
      </c>
      <c r="OP295" s="56"/>
      <c r="OS295" s="55">
        <f t="shared" si="2125"/>
        <v>46271</v>
      </c>
      <c r="OT295" s="56"/>
      <c r="OU295" s="242">
        <f>SUMPRODUCT(PRODUCE!$B294:$DY294,PRODUCE!$EB$52:$IY$52)</f>
        <v>0</v>
      </c>
      <c r="OV295" s="56"/>
      <c r="OW295" s="242">
        <f t="shared" si="2126"/>
        <v>0</v>
      </c>
      <c r="OX295" s="242">
        <f t="shared" si="2127"/>
        <v>1482</v>
      </c>
      <c r="OY295" s="56"/>
      <c r="PB295" s="55">
        <f t="shared" si="2128"/>
        <v>46271</v>
      </c>
      <c r="PC295" s="56"/>
      <c r="PD295" s="242">
        <f>SUMPRODUCT(PRODUCE!$B294:$DY294,PRODUCE!$EB$53:$IY$53)</f>
        <v>0</v>
      </c>
      <c r="PE295" s="56"/>
      <c r="PF295" s="242">
        <f t="shared" si="2129"/>
        <v>0</v>
      </c>
      <c r="PG295" s="242">
        <f t="shared" si="2130"/>
        <v>0</v>
      </c>
      <c r="PH295" s="56"/>
      <c r="PK295" s="55">
        <f t="shared" si="2131"/>
        <v>46271</v>
      </c>
      <c r="PL295" s="56"/>
      <c r="PM295" s="242">
        <f>SUMPRODUCT(PRODUCE!$B294:$DY294,PRODUCE!$EB$54:$IY$54)</f>
        <v>0</v>
      </c>
      <c r="PN295" s="56"/>
      <c r="PO295" s="242">
        <f t="shared" si="2132"/>
        <v>0</v>
      </c>
      <c r="PP295" s="242">
        <f t="shared" si="2133"/>
        <v>100</v>
      </c>
      <c r="PQ295" s="56"/>
      <c r="PT295" s="55">
        <f t="shared" si="2134"/>
        <v>46271</v>
      </c>
      <c r="PU295" s="56"/>
      <c r="PV295" s="242">
        <f>SUMPRODUCT(PRODUCE!$B294:$DY294,PRODUCE!$EB$55:$IY$55)</f>
        <v>0</v>
      </c>
      <c r="PW295" s="56"/>
      <c r="PX295" s="242">
        <f t="shared" si="2135"/>
        <v>0</v>
      </c>
      <c r="PY295" s="242">
        <f t="shared" si="2136"/>
        <v>13.960000000000036</v>
      </c>
      <c r="PZ295" s="56"/>
      <c r="QC295" s="55">
        <f t="shared" si="2137"/>
        <v>46271</v>
      </c>
      <c r="QD295" s="56"/>
      <c r="QE295" s="242">
        <f>SUMPRODUCT(PRODUCE!$B294:$DY294,PRODUCE!$EB$56:$IY$56)</f>
        <v>0</v>
      </c>
      <c r="QF295" s="56"/>
      <c r="QG295" s="242">
        <f t="shared" si="2138"/>
        <v>0</v>
      </c>
      <c r="QH295" s="242">
        <f t="shared" si="2139"/>
        <v>548</v>
      </c>
      <c r="QI295" s="56"/>
      <c r="QL295" s="55">
        <f t="shared" si="2140"/>
        <v>46271</v>
      </c>
      <c r="QM295" s="56"/>
      <c r="QN295" s="242">
        <f>SUMPRODUCT(PRODUCE!$B294:$DY294,PRODUCE!$EB$57:$IY$57)</f>
        <v>0</v>
      </c>
      <c r="QO295" s="56"/>
      <c r="QP295" s="242">
        <f t="shared" si="2141"/>
        <v>0</v>
      </c>
      <c r="QQ295" s="242">
        <f t="shared" si="2142"/>
        <v>0</v>
      </c>
      <c r="QR295" s="56"/>
      <c r="QU295" s="55">
        <f t="shared" si="2143"/>
        <v>46271</v>
      </c>
      <c r="QV295" s="56"/>
      <c r="QW295" s="242">
        <f>SUMPRODUCT(PRODUCE!$B294:$DY294,PRODUCE!$EB$57:$IY$57)</f>
        <v>0</v>
      </c>
      <c r="QX295" s="56"/>
      <c r="QY295" s="242">
        <f t="shared" si="2144"/>
        <v>0</v>
      </c>
      <c r="QZ295" s="242">
        <f t="shared" si="2145"/>
        <v>0</v>
      </c>
      <c r="RA295" s="56"/>
      <c r="RD295" s="55">
        <f t="shared" si="2146"/>
        <v>46271</v>
      </c>
      <c r="RE295" s="56"/>
      <c r="RF295" s="242">
        <f>SUMPRODUCT(PRODUCE!$B294:$DY294,PRODUCE!$EB$58:$IY$58)</f>
        <v>0</v>
      </c>
      <c r="RG295" s="56"/>
      <c r="RH295" s="242">
        <f t="shared" si="2147"/>
        <v>0</v>
      </c>
      <c r="RI295" s="242">
        <f t="shared" si="2148"/>
        <v>147.04000000000002</v>
      </c>
      <c r="RJ295" s="56"/>
      <c r="RM295" s="55">
        <f t="shared" si="2149"/>
        <v>46271</v>
      </c>
      <c r="RN295" s="56"/>
      <c r="RO295" s="242">
        <f>SUMPRODUCT(PRODUCE!$B294:$DY294,PRODUCE!$EB$59:$IY$59)</f>
        <v>0</v>
      </c>
      <c r="RP295" s="56"/>
      <c r="RQ295" s="242">
        <f t="shared" si="2150"/>
        <v>0</v>
      </c>
      <c r="RR295" s="242">
        <f t="shared" si="2151"/>
        <v>46.8</v>
      </c>
      <c r="RS295" s="56"/>
      <c r="RV295" s="55">
        <f t="shared" si="2152"/>
        <v>46271</v>
      </c>
      <c r="RW295" s="56"/>
      <c r="RX295" s="242">
        <f>SUMPRODUCT(PRODUCE!$B294:$DY294,PRODUCE!$EB$57:$IY$57)</f>
        <v>0</v>
      </c>
      <c r="RY295" s="56"/>
      <c r="RZ295" s="242">
        <f t="shared" si="2153"/>
        <v>0</v>
      </c>
      <c r="SA295" s="242">
        <f t="shared" si="2154"/>
        <v>0</v>
      </c>
      <c r="SB295" s="56"/>
      <c r="SE295" s="55">
        <f t="shared" si="2155"/>
        <v>46271</v>
      </c>
      <c r="SF295" s="56"/>
      <c r="SG295" s="242">
        <f>SUMPRODUCT(PRODUCE!$B294:$DY294,PRODUCE!$EB$61:$IY$61)</f>
        <v>0</v>
      </c>
      <c r="SH295" s="56"/>
      <c r="SI295" s="242">
        <f t="shared" si="2156"/>
        <v>0</v>
      </c>
      <c r="SJ295" s="242">
        <f t="shared" si="2157"/>
        <v>24.200000000000003</v>
      </c>
      <c r="SK295" s="56"/>
      <c r="SN295" s="55">
        <f t="shared" si="2158"/>
        <v>46271</v>
      </c>
      <c r="SO295" s="56"/>
      <c r="SP295" s="242">
        <f>SUMPRODUCT(PRODUCE!$B294:$DY294,PRODUCE!$EB$57:$IY$57)</f>
        <v>0</v>
      </c>
      <c r="SQ295" s="56"/>
      <c r="SR295" s="242">
        <f t="shared" si="2159"/>
        <v>0</v>
      </c>
      <c r="SS295" s="242">
        <f t="shared" si="2160"/>
        <v>32</v>
      </c>
      <c r="ST295" s="56"/>
      <c r="SW295" s="55">
        <f t="shared" si="2161"/>
        <v>46271</v>
      </c>
      <c r="SX295" s="56"/>
      <c r="SY295" s="242">
        <f>SUMPRODUCT(PRODUCE!$B294:$DY294,PRODUCE!$EB$57:$IY$57)</f>
        <v>0</v>
      </c>
      <c r="SZ295" s="56"/>
      <c r="TA295" s="242">
        <f t="shared" si="2162"/>
        <v>0</v>
      </c>
      <c r="TB295" s="242">
        <f t="shared" si="2163"/>
        <v>0</v>
      </c>
      <c r="TC295" s="56"/>
      <c r="TF295" s="55">
        <f t="shared" si="2164"/>
        <v>46271</v>
      </c>
      <c r="TG295" s="56"/>
      <c r="TH295" s="242">
        <f>SUMPRODUCT(PRODUCE!$B294:$DY294,PRODUCE!$EB$57:$IY$57)</f>
        <v>0</v>
      </c>
      <c r="TI295" s="56"/>
      <c r="TJ295" s="242">
        <f t="shared" si="2165"/>
        <v>0</v>
      </c>
      <c r="TK295" s="242">
        <f t="shared" si="2166"/>
        <v>0</v>
      </c>
      <c r="TL295" s="56"/>
      <c r="TO295" s="55">
        <f t="shared" si="2167"/>
        <v>46271</v>
      </c>
      <c r="TP295" s="56"/>
      <c r="TQ295" s="242">
        <f>SUMPRODUCT(PRODUCE!$B294:$DY294,PRODUCE!$EB$57:$IY$57)</f>
        <v>0</v>
      </c>
      <c r="TR295" s="56"/>
      <c r="TS295" s="242">
        <f t="shared" si="2168"/>
        <v>0</v>
      </c>
      <c r="TT295" s="242">
        <f t="shared" si="2169"/>
        <v>0</v>
      </c>
      <c r="TU295" s="56"/>
      <c r="TX295" s="55">
        <f t="shared" si="2170"/>
        <v>46271</v>
      </c>
      <c r="TY295" s="56"/>
      <c r="TZ295" s="242">
        <f>SUMPRODUCT(PRODUCE!$B294:$DY294,PRODUCE!$EB$57:$IY$57)</f>
        <v>0</v>
      </c>
      <c r="UA295" s="56"/>
      <c r="UB295" s="242">
        <f t="shared" si="2171"/>
        <v>0</v>
      </c>
      <c r="UC295" s="242">
        <f t="shared" si="2172"/>
        <v>46.799999999999983</v>
      </c>
      <c r="UD295" s="56"/>
      <c r="UG295" s="55">
        <f t="shared" si="2173"/>
        <v>46271</v>
      </c>
      <c r="UH295" s="56"/>
      <c r="UI295" s="242">
        <f>SUMPRODUCT(PRODUCE!$B294:$DY294,PRODUCE!$EB$57:$IY$57)</f>
        <v>0</v>
      </c>
      <c r="UJ295" s="56"/>
      <c r="UK295" s="242">
        <f t="shared" si="2174"/>
        <v>0</v>
      </c>
      <c r="UL295" s="242">
        <f t="shared" si="2175"/>
        <v>204</v>
      </c>
      <c r="UM295" s="56"/>
      <c r="UP295" s="55">
        <f t="shared" si="2176"/>
        <v>46271</v>
      </c>
      <c r="UQ295" s="56"/>
      <c r="UR295" s="242">
        <f>SUMPRODUCT(PRODUCE!$B294:$DY294,PRODUCE!$EB$57:$IY$57)</f>
        <v>0</v>
      </c>
      <c r="US295" s="56"/>
      <c r="UT295" s="242">
        <f t="shared" si="2177"/>
        <v>0</v>
      </c>
      <c r="UU295" s="242">
        <f t="shared" si="2178"/>
        <v>202.5</v>
      </c>
      <c r="UV295" s="56"/>
      <c r="UY295" s="55">
        <f t="shared" si="2179"/>
        <v>46271</v>
      </c>
      <c r="UZ295" s="56"/>
      <c r="VA295" s="242">
        <f>SUMPRODUCT(PRODUCE!$B294:$DY294,PRODUCE!$EB$57:$IY$57)</f>
        <v>0</v>
      </c>
      <c r="VB295" s="56"/>
      <c r="VC295" s="242">
        <f t="shared" si="2180"/>
        <v>0</v>
      </c>
      <c r="VD295" s="242">
        <f t="shared" si="2181"/>
        <v>41.600000000000023</v>
      </c>
      <c r="VE295" s="56"/>
      <c r="VH295" s="55">
        <f t="shared" si="2182"/>
        <v>46271</v>
      </c>
      <c r="VI295" s="56"/>
      <c r="VJ295" s="242">
        <f>SUMPRODUCT(PRODUCE!$B294:$DY294,PRODUCE!$EB$57:$IY$57)</f>
        <v>0</v>
      </c>
      <c r="VK295" s="56"/>
      <c r="VL295" s="242">
        <f t="shared" si="2183"/>
        <v>0</v>
      </c>
      <c r="VM295" s="242">
        <f t="shared" si="2184"/>
        <v>210</v>
      </c>
      <c r="VN295" s="56"/>
      <c r="VQ295" s="55">
        <f t="shared" si="2185"/>
        <v>46271</v>
      </c>
      <c r="VR295" s="56"/>
      <c r="VS295" s="242">
        <f>SUMPRODUCT(PRODUCE!$B294:$DY294,PRODUCE!$EB$57:$IY$57)</f>
        <v>0</v>
      </c>
      <c r="VT295" s="56"/>
      <c r="VU295" s="242">
        <f t="shared" si="2186"/>
        <v>0</v>
      </c>
      <c r="VV295" s="242">
        <f t="shared" si="2187"/>
        <v>0</v>
      </c>
      <c r="VW295" s="56"/>
      <c r="VZ295" s="55">
        <f t="shared" si="2188"/>
        <v>46271</v>
      </c>
      <c r="WA295" s="56"/>
      <c r="WB295" s="242">
        <f>SUMPRODUCT(PRODUCE!$B294:$DY294,PRODUCE!$EB$57:$IY$57)</f>
        <v>0</v>
      </c>
      <c r="WC295" s="56"/>
      <c r="WD295" s="242">
        <f t="shared" si="2189"/>
        <v>0</v>
      </c>
      <c r="WE295" s="242">
        <f t="shared" si="2190"/>
        <v>0</v>
      </c>
      <c r="WF295" s="56"/>
      <c r="WI295" s="55">
        <f t="shared" si="2191"/>
        <v>46271</v>
      </c>
      <c r="WJ295" s="56"/>
      <c r="WK295" s="242">
        <f>SUMPRODUCT(PRODUCE!$B294:$DY294,PRODUCE!$EB$57:$IY$57)</f>
        <v>0</v>
      </c>
      <c r="WL295" s="56"/>
      <c r="WM295" s="242">
        <f t="shared" si="2192"/>
        <v>0</v>
      </c>
      <c r="WN295" s="242">
        <f t="shared" si="2193"/>
        <v>1057</v>
      </c>
      <c r="WO295" s="56"/>
      <c r="WR295" s="55">
        <f t="shared" si="2194"/>
        <v>46271</v>
      </c>
      <c r="WS295" s="56"/>
      <c r="WT295" s="242">
        <f>SUMPRODUCT(PRODUCE!$B294:$DY294,PRODUCE!$EB$57:$IY$57)</f>
        <v>0</v>
      </c>
      <c r="WU295" s="56"/>
      <c r="WV295" s="242">
        <f t="shared" si="2195"/>
        <v>0</v>
      </c>
      <c r="WW295" s="242">
        <f t="shared" si="2196"/>
        <v>0</v>
      </c>
      <c r="WX295" s="56"/>
      <c r="XA295" s="55">
        <f t="shared" si="2197"/>
        <v>46271</v>
      </c>
      <c r="XB295" s="56"/>
      <c r="XC295" s="242">
        <f>SUMPRODUCT(PRODUCE!$B294:$DY294,PRODUCE!$EB$57:$IY$57)</f>
        <v>0</v>
      </c>
      <c r="XD295" s="56"/>
      <c r="XE295" s="242">
        <f t="shared" si="2198"/>
        <v>0</v>
      </c>
      <c r="XF295" s="242">
        <f t="shared" si="2199"/>
        <v>7507</v>
      </c>
      <c r="XG295" s="56"/>
      <c r="XJ295" s="55">
        <f t="shared" si="2200"/>
        <v>46271</v>
      </c>
      <c r="XK295" s="56"/>
      <c r="XL295" s="242">
        <f>SUMPRODUCT(PRODUCE!$B294:$DY294,PRODUCE!$EB$57:$IY$57)</f>
        <v>0</v>
      </c>
      <c r="XM295" s="56"/>
      <c r="XN295" s="242">
        <f t="shared" si="2201"/>
        <v>0</v>
      </c>
      <c r="XO295" s="242">
        <f t="shared" si="2202"/>
        <v>4252</v>
      </c>
      <c r="XP295" s="56"/>
      <c r="XS295" s="55">
        <f t="shared" si="2203"/>
        <v>46271</v>
      </c>
      <c r="XT295" s="56"/>
      <c r="XU295" s="242">
        <f>SUMPRODUCT(PRODUCE!$B294:$DY294,PRODUCE!$EB$57:$IY$57)</f>
        <v>0</v>
      </c>
      <c r="XV295" s="56"/>
      <c r="XW295" s="242">
        <f t="shared" si="2204"/>
        <v>0</v>
      </c>
      <c r="XX295" s="242">
        <f t="shared" si="2205"/>
        <v>2179</v>
      </c>
      <c r="XY295" s="56"/>
      <c r="YB295" s="55">
        <f t="shared" si="2206"/>
        <v>46271</v>
      </c>
      <c r="YC295" s="56"/>
      <c r="YD295" s="242">
        <f>SUMPRODUCT(PRODUCE!$B294:$DY294,PRODUCE!$EB$57:$IY$57)</f>
        <v>0</v>
      </c>
      <c r="YE295" s="56"/>
      <c r="YF295" s="242">
        <f t="shared" si="2207"/>
        <v>0</v>
      </c>
      <c r="YG295" s="242">
        <f t="shared" si="2208"/>
        <v>4019</v>
      </c>
      <c r="YH295" s="56"/>
      <c r="YK295" s="55">
        <f t="shared" si="2209"/>
        <v>46271</v>
      </c>
      <c r="YL295" s="56"/>
      <c r="YM295" s="242">
        <f>SUMPRODUCT(PRODUCE!$B294:$DY294,PRODUCE!$EB$57:$IY$57)</f>
        <v>0</v>
      </c>
      <c r="YN295" s="56"/>
      <c r="YO295" s="242">
        <f t="shared" si="2210"/>
        <v>0</v>
      </c>
      <c r="YP295" s="242">
        <f t="shared" si="2211"/>
        <v>-218</v>
      </c>
      <c r="YQ295" s="56"/>
      <c r="YT295" s="55">
        <f t="shared" si="2212"/>
        <v>46271</v>
      </c>
      <c r="YU295" s="56"/>
      <c r="YV295" s="242">
        <f>SUMPRODUCT(PRODUCE!$B294:$DY294,PRODUCE!$EB$57:$IY$57)</f>
        <v>0</v>
      </c>
      <c r="YW295" s="56"/>
      <c r="YX295" s="242">
        <f t="shared" si="2213"/>
        <v>0</v>
      </c>
      <c r="YY295" s="242">
        <f t="shared" si="2214"/>
        <v>0</v>
      </c>
      <c r="YZ295" s="56"/>
      <c r="ZC295" s="55">
        <f t="shared" si="2215"/>
        <v>46271</v>
      </c>
      <c r="ZD295" s="56"/>
      <c r="ZE295" s="242">
        <f>SUMPRODUCT(PRODUCE!$B294:$DY294,PRODUCE!$EB$57:$IY$57)</f>
        <v>0</v>
      </c>
      <c r="ZF295" s="56"/>
      <c r="ZG295" s="242">
        <f t="shared" si="2216"/>
        <v>0</v>
      </c>
      <c r="ZH295" s="242">
        <f t="shared" si="2217"/>
        <v>0</v>
      </c>
      <c r="ZI295" s="56"/>
      <c r="ZL295" s="55">
        <f t="shared" si="2218"/>
        <v>46271</v>
      </c>
      <c r="ZM295" s="56"/>
      <c r="ZN295" s="242">
        <f>SUMPRODUCT(PRODUCE!$B294:$DY294,PRODUCE!$EB$57:$IY$57)</f>
        <v>0</v>
      </c>
      <c r="ZO295" s="56"/>
      <c r="ZP295" s="242">
        <f t="shared" si="2219"/>
        <v>0</v>
      </c>
      <c r="ZQ295" s="242">
        <f t="shared" si="2220"/>
        <v>0</v>
      </c>
      <c r="ZR295" s="56"/>
      <c r="ZU295" s="55">
        <f t="shared" si="2221"/>
        <v>46271</v>
      </c>
      <c r="ZV295" s="56"/>
      <c r="ZW295" s="242">
        <f>SUMPRODUCT(PRODUCE!$B294:$DY294,PRODUCE!$EB$57:$IY$57)</f>
        <v>0</v>
      </c>
      <c r="ZX295" s="56"/>
      <c r="ZY295" s="242">
        <f t="shared" si="2222"/>
        <v>0</v>
      </c>
      <c r="ZZ295" s="242">
        <f t="shared" si="2223"/>
        <v>0</v>
      </c>
      <c r="AAA295" s="56"/>
      <c r="AAD295" s="55">
        <f t="shared" si="2224"/>
        <v>46271</v>
      </c>
      <c r="AAE295" s="56"/>
      <c r="AAF295" s="242">
        <f>SUMPRODUCT(PRODUCE!$B294:$DY294,PRODUCE!$EB$57:$IY$57)</f>
        <v>0</v>
      </c>
      <c r="AAG295" s="56"/>
      <c r="AAH295" s="242">
        <f t="shared" si="2225"/>
        <v>0</v>
      </c>
      <c r="AAI295" s="242">
        <f t="shared" si="2226"/>
        <v>0</v>
      </c>
      <c r="AAJ295" s="56"/>
      <c r="AAM295" s="55">
        <f t="shared" si="2227"/>
        <v>46271</v>
      </c>
      <c r="AAN295" s="56"/>
      <c r="AAO295" s="242">
        <f>SUMPRODUCT(PRODUCE!$B294:$DY294,PRODUCE!$EB$57:$IY$57)</f>
        <v>0</v>
      </c>
      <c r="AAP295" s="56"/>
      <c r="AAQ295" s="242">
        <f t="shared" si="2228"/>
        <v>0</v>
      </c>
      <c r="AAR295" s="242">
        <f t="shared" si="2229"/>
        <v>0</v>
      </c>
      <c r="AAS295" s="56"/>
      <c r="AAV295" s="55">
        <f t="shared" si="2230"/>
        <v>46271</v>
      </c>
      <c r="AAW295" s="56"/>
      <c r="AAX295" s="242">
        <f>SUMPRODUCT(PRODUCE!$B294:$DY294,PRODUCE!$EB$57:$IY$57)</f>
        <v>0</v>
      </c>
      <c r="AAY295" s="56"/>
      <c r="AAZ295" s="242">
        <f t="shared" si="2231"/>
        <v>0</v>
      </c>
      <c r="ABA295" s="242">
        <f t="shared" si="2232"/>
        <v>0</v>
      </c>
      <c r="ABB295" s="56"/>
      <c r="ABE295" s="55">
        <f t="shared" si="2233"/>
        <v>46271</v>
      </c>
      <c r="ABF295" s="56"/>
      <c r="ABG295" s="242">
        <f>SUMPRODUCT(PRODUCE!$B294:$DY294,PRODUCE!$EB$57:$IY$57)</f>
        <v>0</v>
      </c>
      <c r="ABH295" s="56"/>
      <c r="ABI295" s="242">
        <f t="shared" si="2234"/>
        <v>0</v>
      </c>
      <c r="ABJ295" s="242">
        <f t="shared" si="2235"/>
        <v>0</v>
      </c>
      <c r="ABK295" s="56"/>
    </row>
    <row r="296" spans="2:739" s="54" customFormat="1" ht="15" customHeight="1" outlineLevel="1">
      <c r="B296" s="478"/>
      <c r="C296" s="55">
        <v>46272</v>
      </c>
      <c r="D296" s="56"/>
      <c r="E296" s="57">
        <f>SUMPRODUCT(PRODUCE!$B295:$DY295,PRODUCE!$EB$7:$IY$7)</f>
        <v>0</v>
      </c>
      <c r="F296" s="56"/>
      <c r="G296" s="57">
        <f t="shared" si="1992"/>
        <v>0</v>
      </c>
      <c r="H296" s="57">
        <f t="shared" si="1993"/>
        <v>236936.6</v>
      </c>
      <c r="I296" s="289"/>
      <c r="L296" s="55">
        <f t="shared" si="1994"/>
        <v>46272</v>
      </c>
      <c r="M296" s="56"/>
      <c r="N296" s="59">
        <f>SUMPRODUCT(PRODUCE!$B295:$DY295,PRODUCE!$EB$8:$IY$8)</f>
        <v>0</v>
      </c>
      <c r="O296" s="56"/>
      <c r="P296" s="59">
        <f t="shared" si="1995"/>
        <v>0</v>
      </c>
      <c r="Q296" s="59">
        <f t="shared" si="1996"/>
        <v>53017.600000000071</v>
      </c>
      <c r="R296" s="56"/>
      <c r="U296" s="55">
        <f t="shared" si="1997"/>
        <v>46272</v>
      </c>
      <c r="V296" s="56"/>
      <c r="W296" s="60">
        <f>SUMPRODUCT(PRODUCE!$B295:$DY295,PRODUCE!$EB$9:$IY$9)</f>
        <v>0</v>
      </c>
      <c r="X296" s="56"/>
      <c r="Y296" s="60">
        <f t="shared" si="1998"/>
        <v>0</v>
      </c>
      <c r="Z296" s="60">
        <f t="shared" si="1999"/>
        <v>42674.199999999968</v>
      </c>
      <c r="AA296" s="56"/>
      <c r="AD296" s="55">
        <f t="shared" si="2000"/>
        <v>46272</v>
      </c>
      <c r="AE296" s="56"/>
      <c r="AF296" s="61">
        <f>SUMPRODUCT(PRODUCE!$B295:$DY295,PRODUCE!$EB$10:$IY$10)</f>
        <v>0</v>
      </c>
      <c r="AG296" s="56"/>
      <c r="AH296" s="61">
        <f t="shared" si="2001"/>
        <v>0</v>
      </c>
      <c r="AI296" s="61">
        <f t="shared" si="2002"/>
        <v>4522.2000000000189</v>
      </c>
      <c r="AJ296" s="56"/>
      <c r="AM296" s="55">
        <f t="shared" si="2003"/>
        <v>46272</v>
      </c>
      <c r="AN296" s="422"/>
      <c r="AO296" s="444">
        <f>SUMPRODUCT(PRODUCE!$B295:$DY295,PRODUCE!$EB$11:$IY$11)</f>
        <v>0</v>
      </c>
      <c r="AP296" s="422"/>
      <c r="AQ296" s="444">
        <f t="shared" si="2004"/>
        <v>0</v>
      </c>
      <c r="AR296" s="444">
        <f t="shared" si="2005"/>
        <v>0</v>
      </c>
      <c r="AS296" s="56"/>
      <c r="AV296" s="55">
        <f t="shared" si="2006"/>
        <v>46272</v>
      </c>
      <c r="AW296" s="56"/>
      <c r="AX296" s="62">
        <f>SUMPRODUCT(PRODUCE!$B295:$DY295,PRODUCE!$EB$12:$IY$12)</f>
        <v>0</v>
      </c>
      <c r="AY296" s="56"/>
      <c r="AZ296" s="62">
        <f t="shared" si="2007"/>
        <v>0</v>
      </c>
      <c r="BA296" s="62">
        <f t="shared" si="2008"/>
        <v>124.99999999999523</v>
      </c>
      <c r="BB296" s="56"/>
      <c r="BE296" s="55">
        <f t="shared" si="2009"/>
        <v>46272</v>
      </c>
      <c r="BF296" s="56"/>
      <c r="BG296" s="63">
        <f>SUMPRODUCT(PRODUCE!$B295:$DY295,PRODUCE!$EB$13:$IY$13)</f>
        <v>0</v>
      </c>
      <c r="BH296" s="56"/>
      <c r="BI296" s="63">
        <f t="shared" si="2010"/>
        <v>0</v>
      </c>
      <c r="BJ296" s="63">
        <f t="shared" si="2011"/>
        <v>26151.899999999998</v>
      </c>
      <c r="BK296" s="56"/>
      <c r="BN296" s="55">
        <f t="shared" si="2012"/>
        <v>46272</v>
      </c>
      <c r="BO296" s="56"/>
      <c r="BP296" s="64">
        <f>SUMPRODUCT(PRODUCE!$B295:$DY295,PRODUCE!$EB$14:$IY$14)</f>
        <v>0</v>
      </c>
      <c r="BQ296" s="56"/>
      <c r="BR296" s="64">
        <f t="shared" si="2013"/>
        <v>0</v>
      </c>
      <c r="BS296" s="64">
        <f t="shared" si="2014"/>
        <v>0</v>
      </c>
      <c r="BT296" s="56"/>
      <c r="BW296" s="55">
        <f t="shared" si="2015"/>
        <v>46272</v>
      </c>
      <c r="BX296" s="56"/>
      <c r="BY296" s="65">
        <f>SUMPRODUCT(PRODUCE!$B295:$DY295,PRODUCE!$EB$15:$IY$15)</f>
        <v>0</v>
      </c>
      <c r="BZ296" s="56"/>
      <c r="CA296" s="65">
        <f t="shared" si="2016"/>
        <v>0</v>
      </c>
      <c r="CB296" s="65">
        <f t="shared" si="2017"/>
        <v>2097.3399999999992</v>
      </c>
      <c r="CC296" s="56"/>
      <c r="CF296" s="55">
        <f t="shared" si="2018"/>
        <v>46272</v>
      </c>
      <c r="CG296" s="56"/>
      <c r="CH296" s="66">
        <f>SUMPRODUCT(PRODUCE!$B295:$DY295,PRODUCE!$EB$16:$IY$16)</f>
        <v>0</v>
      </c>
      <c r="CI296" s="56"/>
      <c r="CJ296" s="66">
        <f t="shared" si="2019"/>
        <v>0</v>
      </c>
      <c r="CK296" s="66">
        <f t="shared" si="2020"/>
        <v>-10277.079999999998</v>
      </c>
      <c r="CL296" s="56"/>
      <c r="CO296" s="55">
        <f t="shared" si="2021"/>
        <v>46272</v>
      </c>
      <c r="CP296" s="422"/>
      <c r="CQ296" s="470">
        <f>SUMPRODUCT(PRODUCE!$B295:$DY295,PRODUCE!$EB$17:$IY$17)</f>
        <v>0</v>
      </c>
      <c r="CR296" s="422"/>
      <c r="CS296" s="470">
        <f t="shared" si="2022"/>
        <v>0</v>
      </c>
      <c r="CT296" s="470">
        <f t="shared" si="2023"/>
        <v>0</v>
      </c>
      <c r="CU296" s="56"/>
      <c r="CX296" s="55">
        <f t="shared" si="2024"/>
        <v>46272</v>
      </c>
      <c r="CY296" s="56"/>
      <c r="CZ296" s="133">
        <f>SUMPRODUCT(PRODUCE!$B295:$DY295,PRODUCE!$EB$18:$IY$18)</f>
        <v>0</v>
      </c>
      <c r="DA296" s="56"/>
      <c r="DB296" s="133">
        <f t="shared" si="2025"/>
        <v>0</v>
      </c>
      <c r="DC296" s="133">
        <f t="shared" si="2026"/>
        <v>27438.200000000012</v>
      </c>
      <c r="DD296" s="56"/>
      <c r="DG296" s="55">
        <f t="shared" si="2027"/>
        <v>46272</v>
      </c>
      <c r="DH296" s="56"/>
      <c r="DI296" s="147">
        <f>SUMPRODUCT(PRODUCE!$B295:$DY295,PRODUCE!$EB$19:$IY$19)</f>
        <v>0</v>
      </c>
      <c r="DJ296" s="56"/>
      <c r="DK296" s="147">
        <f t="shared" si="2028"/>
        <v>0</v>
      </c>
      <c r="DL296" s="147">
        <f t="shared" si="2029"/>
        <v>18782.299999999981</v>
      </c>
      <c r="DM296" s="56"/>
      <c r="DP296" s="55">
        <f t="shared" si="2030"/>
        <v>46272</v>
      </c>
      <c r="DQ296" s="56"/>
      <c r="DR296" s="57">
        <f>SUMPRODUCT(PRODUCE!$B295:$DY295,PRODUCE!$EB$20:$IY$20)</f>
        <v>0</v>
      </c>
      <c r="DS296" s="56"/>
      <c r="DT296" s="57">
        <f t="shared" si="2031"/>
        <v>0</v>
      </c>
      <c r="DU296" s="57">
        <f t="shared" si="2032"/>
        <v>5800</v>
      </c>
      <c r="DV296" s="56"/>
      <c r="DY296" s="55">
        <f t="shared" si="2033"/>
        <v>46272</v>
      </c>
      <c r="DZ296" s="56"/>
      <c r="EA296" s="157">
        <f>SUMPRODUCT(PRODUCE!$B295:$DY295,PRODUCE!$EB$21:$IY$21)</f>
        <v>0</v>
      </c>
      <c r="EB296" s="56"/>
      <c r="EC296" s="157">
        <f t="shared" si="2034"/>
        <v>0</v>
      </c>
      <c r="ED296" s="157">
        <f t="shared" si="2035"/>
        <v>0</v>
      </c>
      <c r="EE296" s="56"/>
      <c r="EH296" s="55">
        <f t="shared" si="2036"/>
        <v>46272</v>
      </c>
      <c r="EI296" s="56"/>
      <c r="EJ296" s="162">
        <f>SUMPRODUCT(PRODUCE!$B295:$DY295,PRODUCE!$EB$22:$IY$22)</f>
        <v>0</v>
      </c>
      <c r="EK296" s="56"/>
      <c r="EL296" s="162">
        <f t="shared" si="2037"/>
        <v>0</v>
      </c>
      <c r="EM296" s="162">
        <f t="shared" si="2038"/>
        <v>0</v>
      </c>
      <c r="EN296" s="56"/>
      <c r="EQ296" s="55">
        <f t="shared" si="2039"/>
        <v>46272</v>
      </c>
      <c r="ER296" s="56"/>
      <c r="ES296" s="135">
        <f>SUMPRODUCT(PRODUCE!$B295:$DY295,PRODUCE!$EB$23:$IY$23)</f>
        <v>0</v>
      </c>
      <c r="ET296" s="56"/>
      <c r="EU296" s="135">
        <f t="shared" si="2040"/>
        <v>0</v>
      </c>
      <c r="EV296" s="135">
        <f t="shared" si="2041"/>
        <v>0</v>
      </c>
      <c r="EW296" s="56"/>
      <c r="EZ296" s="55">
        <f t="shared" si="2042"/>
        <v>46272</v>
      </c>
      <c r="FA296" s="56"/>
      <c r="FB296" s="175">
        <f>SUMPRODUCT(PRODUCE!$B295:$DY295,PRODUCE!$EB$24:$IY$24)</f>
        <v>0</v>
      </c>
      <c r="FC296" s="56"/>
      <c r="FD296" s="175">
        <f t="shared" si="2043"/>
        <v>0</v>
      </c>
      <c r="FE296" s="175">
        <f t="shared" si="2044"/>
        <v>0</v>
      </c>
      <c r="FF296" s="56"/>
      <c r="FI296" s="55">
        <f t="shared" si="2045"/>
        <v>46272</v>
      </c>
      <c r="FJ296" s="56"/>
      <c r="FK296" s="183">
        <f>SUMPRODUCT(PRODUCE!$B295:$DY295,PRODUCE!$EB$25:$IY$25)</f>
        <v>0</v>
      </c>
      <c r="FL296" s="56"/>
      <c r="FM296" s="183">
        <f t="shared" si="2046"/>
        <v>0</v>
      </c>
      <c r="FN296" s="183">
        <f t="shared" si="2047"/>
        <v>0</v>
      </c>
      <c r="FO296" s="56"/>
      <c r="FR296" s="55">
        <f t="shared" si="2048"/>
        <v>46272</v>
      </c>
      <c r="FS296" s="56"/>
      <c r="FT296" s="186">
        <f>SUMPRODUCT(PRODUCE!$B295:$DY295,PRODUCE!$EB$26:$IY$26)</f>
        <v>0</v>
      </c>
      <c r="FU296" s="56"/>
      <c r="FV296" s="186">
        <f t="shared" si="2049"/>
        <v>0</v>
      </c>
      <c r="FW296" s="186">
        <f t="shared" si="2050"/>
        <v>2020</v>
      </c>
      <c r="FX296" s="56"/>
      <c r="GA296" s="55">
        <f t="shared" si="2051"/>
        <v>46272</v>
      </c>
      <c r="GB296" s="56"/>
      <c r="GC296" s="137">
        <f>SUMPRODUCT(PRODUCE!$B295:$DY295,PRODUCE!$EB$27:$IY$27)</f>
        <v>0</v>
      </c>
      <c r="GD296" s="56"/>
      <c r="GE296" s="137">
        <f t="shared" si="2052"/>
        <v>0</v>
      </c>
      <c r="GF296" s="137">
        <f t="shared" si="2053"/>
        <v>960</v>
      </c>
      <c r="GG296" s="56"/>
      <c r="GI296" s="23"/>
      <c r="GJ296" s="55">
        <f t="shared" si="2054"/>
        <v>46272</v>
      </c>
      <c r="GK296" s="56"/>
      <c r="GL296" s="199">
        <f>SUMPRODUCT(PRODUCE!$B295:$DY295,PRODUCE!$EB$28:$IY$28)</f>
        <v>0</v>
      </c>
      <c r="GM296" s="56"/>
      <c r="GN296" s="199">
        <f t="shared" si="2055"/>
        <v>0</v>
      </c>
      <c r="GO296" s="199">
        <f t="shared" si="2056"/>
        <v>1760</v>
      </c>
      <c r="GP296" s="56"/>
      <c r="GS296" s="55">
        <f t="shared" si="2057"/>
        <v>46272</v>
      </c>
      <c r="GT296" s="56"/>
      <c r="GU296" s="195">
        <f>SUMPRODUCT(PRODUCE!$B295:$DY295,PRODUCE!$EB$29:$IY$29)</f>
        <v>0</v>
      </c>
      <c r="GV296" s="56"/>
      <c r="GW296" s="195">
        <f t="shared" si="2058"/>
        <v>0</v>
      </c>
      <c r="GX296" s="195">
        <f t="shared" si="2059"/>
        <v>400</v>
      </c>
      <c r="GY296" s="56"/>
      <c r="HB296" s="55">
        <f t="shared" si="2060"/>
        <v>46272</v>
      </c>
      <c r="HC296" s="56"/>
      <c r="HD296" s="191">
        <f>SUMPRODUCT(PRODUCE!$B295:$DY295,PRODUCE!$EB$30:$IY$30)</f>
        <v>0</v>
      </c>
      <c r="HE296" s="56"/>
      <c r="HF296" s="191">
        <f t="shared" si="2061"/>
        <v>0</v>
      </c>
      <c r="HG296" s="191">
        <f t="shared" si="2062"/>
        <v>3600</v>
      </c>
      <c r="HH296" s="56"/>
      <c r="HK296" s="55">
        <f t="shared" si="2063"/>
        <v>46272</v>
      </c>
      <c r="HL296" s="56"/>
      <c r="HM296" s="63">
        <f>SUMPRODUCT(PRODUCE!$B295:$DY295,PRODUCE!$EB$31:$IY$31)</f>
        <v>0</v>
      </c>
      <c r="HN296" s="56"/>
      <c r="HO296" s="63">
        <f t="shared" si="2064"/>
        <v>0</v>
      </c>
      <c r="HP296" s="63">
        <f t="shared" si="2065"/>
        <v>0</v>
      </c>
      <c r="HQ296" s="56"/>
      <c r="HU296" s="55">
        <f t="shared" si="2066"/>
        <v>46272</v>
      </c>
      <c r="HV296" s="56"/>
      <c r="HW296" s="242">
        <f>SUMPRODUCT(PRODUCE!$B295:$DY295,PRODUCE!$EB$32:$IY$32)</f>
        <v>0</v>
      </c>
      <c r="HX296" s="56"/>
      <c r="HY296" s="242">
        <f t="shared" si="2236"/>
        <v>0</v>
      </c>
      <c r="HZ296" s="242">
        <f t="shared" si="2067"/>
        <v>6120</v>
      </c>
      <c r="IA296" s="56"/>
      <c r="ID296" s="55">
        <f t="shared" si="2068"/>
        <v>46272</v>
      </c>
      <c r="IE296" s="56"/>
      <c r="IF296" s="242">
        <f>SUMPRODUCT(PRODUCE!$B295:$DY295,PRODUCE!$EB$33:$IY$33)</f>
        <v>0</v>
      </c>
      <c r="IG296" s="56"/>
      <c r="IH296" s="242">
        <f t="shared" si="2069"/>
        <v>0</v>
      </c>
      <c r="II296" s="242">
        <f t="shared" si="2070"/>
        <v>0</v>
      </c>
      <c r="IJ296" s="56"/>
      <c r="IM296" s="55">
        <f t="shared" si="2071"/>
        <v>46272</v>
      </c>
      <c r="IN296" s="56"/>
      <c r="IO296" s="242">
        <f>SUMPRODUCT(PRODUCE!$B295:$DY295,PRODUCE!$EB$34:$IY$34)</f>
        <v>0</v>
      </c>
      <c r="IP296" s="56"/>
      <c r="IQ296" s="242">
        <f t="shared" si="2072"/>
        <v>0</v>
      </c>
      <c r="IR296" s="242">
        <f t="shared" si="2073"/>
        <v>0</v>
      </c>
      <c r="IS296" s="56"/>
      <c r="IV296" s="55">
        <f t="shared" si="2074"/>
        <v>46272</v>
      </c>
      <c r="IW296" s="56"/>
      <c r="IX296" s="242">
        <f>SUMPRODUCT(PRODUCE!$B295:$DY295,PRODUCE!$EB$35:$IY$35)</f>
        <v>0</v>
      </c>
      <c r="IY296" s="56"/>
      <c r="IZ296" s="242">
        <f t="shared" si="2075"/>
        <v>0</v>
      </c>
      <c r="JA296" s="242">
        <f t="shared" si="2076"/>
        <v>2820</v>
      </c>
      <c r="JB296" s="56"/>
      <c r="JE296" s="55">
        <f t="shared" si="2077"/>
        <v>46272</v>
      </c>
      <c r="JF296" s="56"/>
      <c r="JG296" s="242">
        <f>SUMPRODUCT(PRODUCE!$B295:$DY295,PRODUCE!$EB$36:$IY$36)</f>
        <v>0</v>
      </c>
      <c r="JH296" s="56"/>
      <c r="JI296" s="242">
        <f t="shared" si="2078"/>
        <v>0</v>
      </c>
      <c r="JJ296" s="242">
        <f t="shared" si="2079"/>
        <v>0</v>
      </c>
      <c r="JK296" s="56"/>
      <c r="JN296" s="55">
        <f t="shared" si="2080"/>
        <v>46272</v>
      </c>
      <c r="JO296" s="56"/>
      <c r="JP296" s="242">
        <f>SUMPRODUCT(PRODUCE!$B295:$DY295,PRODUCE!$EB$37:$IY$37)</f>
        <v>0</v>
      </c>
      <c r="JQ296" s="56"/>
      <c r="JR296" s="242">
        <f t="shared" si="2081"/>
        <v>0</v>
      </c>
      <c r="JS296" s="242">
        <f t="shared" si="2082"/>
        <v>0</v>
      </c>
      <c r="JT296" s="56"/>
      <c r="JW296" s="55">
        <f t="shared" si="2083"/>
        <v>46272</v>
      </c>
      <c r="JX296" s="56"/>
      <c r="JY296" s="242">
        <f>SUMPRODUCT(PRODUCE!$B295:$DY295,PRODUCE!$EB$38:$IY$38)</f>
        <v>0</v>
      </c>
      <c r="JZ296" s="56"/>
      <c r="KA296" s="242">
        <f t="shared" si="2084"/>
        <v>0</v>
      </c>
      <c r="KB296" s="242">
        <f t="shared" si="2085"/>
        <v>2540</v>
      </c>
      <c r="KC296" s="56"/>
      <c r="KF296" s="55">
        <f t="shared" si="2086"/>
        <v>46272</v>
      </c>
      <c r="KG296" s="56"/>
      <c r="KH296" s="242">
        <f>SUMPRODUCT(PRODUCE!$B295:$DY295,PRODUCE!$EB$39:$IY$39)</f>
        <v>0</v>
      </c>
      <c r="KI296" s="56"/>
      <c r="KJ296" s="242">
        <f t="shared" si="2087"/>
        <v>0</v>
      </c>
      <c r="KK296" s="242">
        <f t="shared" si="2088"/>
        <v>2359.5</v>
      </c>
      <c r="KL296" s="56"/>
      <c r="KO296" s="55">
        <f t="shared" si="2089"/>
        <v>46272</v>
      </c>
      <c r="KP296" s="56"/>
      <c r="KQ296" s="242">
        <f>SUMPRODUCT(PRODUCE!$B295:$DY295,PRODUCE!$EB$40:$IY$40)</f>
        <v>0</v>
      </c>
      <c r="KR296" s="56"/>
      <c r="KS296" s="242">
        <f t="shared" si="2090"/>
        <v>0</v>
      </c>
      <c r="KT296" s="242">
        <f t="shared" si="2091"/>
        <v>1890</v>
      </c>
      <c r="KU296" s="56"/>
      <c r="KW296" s="23"/>
      <c r="KX296" s="55">
        <f t="shared" si="2092"/>
        <v>46272</v>
      </c>
      <c r="KY296" s="56"/>
      <c r="KZ296" s="242">
        <f>SUMPRODUCT(PRODUCE!$B295:$DY295,PRODUCE!$EB$41:$IY$41)</f>
        <v>0</v>
      </c>
      <c r="LA296" s="56"/>
      <c r="LB296" s="242">
        <f t="shared" si="2093"/>
        <v>0</v>
      </c>
      <c r="LC296" s="242">
        <f t="shared" si="2094"/>
        <v>3690</v>
      </c>
      <c r="LD296" s="56"/>
      <c r="LG296" s="55">
        <f t="shared" si="2095"/>
        <v>46272</v>
      </c>
      <c r="LH296" s="56"/>
      <c r="LI296" s="242">
        <f>SUMPRODUCT(PRODUCE!$B295:$DY295,PRODUCE!$EB$42:$IY$42)</f>
        <v>0</v>
      </c>
      <c r="LJ296" s="56"/>
      <c r="LK296" s="242">
        <f t="shared" si="2096"/>
        <v>0</v>
      </c>
      <c r="LL296" s="242">
        <f t="shared" si="2097"/>
        <v>4000</v>
      </c>
      <c r="LM296" s="56"/>
      <c r="LP296" s="55">
        <f t="shared" si="2098"/>
        <v>46272</v>
      </c>
      <c r="LQ296" s="56"/>
      <c r="LR296" s="242">
        <f>SUMPRODUCT(PRODUCE!$B311:$DY311,PRODUCE!$EB$43:$IY$43)</f>
        <v>0</v>
      </c>
      <c r="LS296" s="56"/>
      <c r="LT296" s="242">
        <f t="shared" si="2099"/>
        <v>0</v>
      </c>
      <c r="LU296" s="242">
        <f t="shared" si="2100"/>
        <v>0</v>
      </c>
      <c r="LV296" s="56"/>
      <c r="LY296" s="55">
        <f t="shared" si="2101"/>
        <v>46272</v>
      </c>
      <c r="LZ296" s="56"/>
      <c r="MA296" s="242">
        <f>SUMPRODUCT(PRODUCE!$B295:$DY295,PRODUCE!$EB$44:$IY$44)</f>
        <v>0</v>
      </c>
      <c r="MB296" s="56"/>
      <c r="MC296" s="242">
        <f t="shared" si="2102"/>
        <v>0</v>
      </c>
      <c r="MD296" s="242">
        <f t="shared" si="2103"/>
        <v>0</v>
      </c>
      <c r="ME296" s="56"/>
      <c r="MH296" s="55">
        <f t="shared" si="2104"/>
        <v>46272</v>
      </c>
      <c r="MI296" s="56"/>
      <c r="MJ296" s="242">
        <f>SUMPRODUCT(PRODUCE!$B295:$DY295,PRODUCE!$EB$45:$IY$45)</f>
        <v>0</v>
      </c>
      <c r="MK296" s="56"/>
      <c r="ML296" s="242">
        <f t="shared" si="2105"/>
        <v>0</v>
      </c>
      <c r="MM296" s="242">
        <f t="shared" si="2106"/>
        <v>0</v>
      </c>
      <c r="MN296" s="56"/>
      <c r="MQ296" s="55">
        <f t="shared" si="2107"/>
        <v>46272</v>
      </c>
      <c r="MR296" s="56"/>
      <c r="MS296" s="242">
        <f>SUMPRODUCT(PRODUCE!$B295:$DY295,PRODUCE!$EB$46:$IY$46)</f>
        <v>0</v>
      </c>
      <c r="MT296" s="56"/>
      <c r="MU296" s="242">
        <f t="shared" si="2108"/>
        <v>0</v>
      </c>
      <c r="MV296" s="242">
        <f t="shared" si="2109"/>
        <v>1625</v>
      </c>
      <c r="MW296" s="56"/>
      <c r="MZ296" s="55">
        <f t="shared" si="2110"/>
        <v>46272</v>
      </c>
      <c r="NA296" s="56"/>
      <c r="NB296" s="242">
        <f>SUMPRODUCT(PRODUCE!$B295:$DY295,PRODUCE!$EB$47:$IY$47)</f>
        <v>0</v>
      </c>
      <c r="NC296" s="56"/>
      <c r="ND296" s="242">
        <f t="shared" si="2111"/>
        <v>0</v>
      </c>
      <c r="NE296" s="242">
        <f t="shared" si="2112"/>
        <v>0</v>
      </c>
      <c r="NF296" s="56"/>
      <c r="NI296" s="55">
        <f t="shared" si="2113"/>
        <v>46272</v>
      </c>
      <c r="NJ296" s="56"/>
      <c r="NK296" s="242">
        <f>SUMPRODUCT(PRODUCE!$B295:$DY295,PRODUCE!$EB$48:$IY$48)</f>
        <v>0</v>
      </c>
      <c r="NL296" s="56"/>
      <c r="NM296" s="242">
        <f t="shared" si="2114"/>
        <v>0</v>
      </c>
      <c r="NN296" s="242">
        <f t="shared" si="2115"/>
        <v>1127</v>
      </c>
      <c r="NO296" s="56"/>
      <c r="NR296" s="55">
        <f t="shared" si="2116"/>
        <v>46272</v>
      </c>
      <c r="NS296" s="56"/>
      <c r="NT296" s="242">
        <f>SUMPRODUCT(PRODUCE!$B295:$DY295,PRODUCE!$EB$49:$IY$49)</f>
        <v>0</v>
      </c>
      <c r="NU296" s="56"/>
      <c r="NV296" s="242">
        <f t="shared" si="2117"/>
        <v>0</v>
      </c>
      <c r="NW296" s="242">
        <f t="shared" si="2118"/>
        <v>3111.9999999999995</v>
      </c>
      <c r="NX296" s="56"/>
      <c r="OA296" s="55">
        <f t="shared" si="2119"/>
        <v>46272</v>
      </c>
      <c r="OB296" s="56"/>
      <c r="OC296" s="242">
        <f>SUMPRODUCT(PRODUCE!$B295:$DY295,PRODUCE!$EB$50:$IY$50)</f>
        <v>0</v>
      </c>
      <c r="OD296" s="56"/>
      <c r="OE296" s="242">
        <f t="shared" si="2120"/>
        <v>0</v>
      </c>
      <c r="OF296" s="242">
        <f t="shared" si="2121"/>
        <v>1680.5</v>
      </c>
      <c r="OG296" s="56"/>
      <c r="OJ296" s="55">
        <f t="shared" si="2122"/>
        <v>46272</v>
      </c>
      <c r="OK296" s="56"/>
      <c r="OL296" s="242">
        <f>SUMPRODUCT(PRODUCE!$B295:$DY295,PRODUCE!$EB$51:$IY$51)</f>
        <v>0</v>
      </c>
      <c r="OM296" s="56"/>
      <c r="ON296" s="242">
        <f t="shared" si="2123"/>
        <v>0</v>
      </c>
      <c r="OO296" s="242">
        <f t="shared" si="2124"/>
        <v>0</v>
      </c>
      <c r="OP296" s="56"/>
      <c r="OS296" s="55">
        <f t="shared" si="2125"/>
        <v>46272</v>
      </c>
      <c r="OT296" s="56"/>
      <c r="OU296" s="242">
        <f>SUMPRODUCT(PRODUCE!$B295:$DY295,PRODUCE!$EB$52:$IY$52)</f>
        <v>0</v>
      </c>
      <c r="OV296" s="56"/>
      <c r="OW296" s="242">
        <f t="shared" si="2126"/>
        <v>0</v>
      </c>
      <c r="OX296" s="242">
        <f t="shared" si="2127"/>
        <v>1482</v>
      </c>
      <c r="OY296" s="56"/>
      <c r="PB296" s="55">
        <f t="shared" si="2128"/>
        <v>46272</v>
      </c>
      <c r="PC296" s="56"/>
      <c r="PD296" s="242">
        <f>SUMPRODUCT(PRODUCE!$B295:$DY295,PRODUCE!$EB$53:$IY$53)</f>
        <v>0</v>
      </c>
      <c r="PE296" s="56"/>
      <c r="PF296" s="242">
        <f t="shared" si="2129"/>
        <v>0</v>
      </c>
      <c r="PG296" s="242">
        <f t="shared" si="2130"/>
        <v>0</v>
      </c>
      <c r="PH296" s="56"/>
      <c r="PK296" s="55">
        <f t="shared" si="2131"/>
        <v>46272</v>
      </c>
      <c r="PL296" s="56"/>
      <c r="PM296" s="242">
        <f>SUMPRODUCT(PRODUCE!$B295:$DY295,PRODUCE!$EB$54:$IY$54)</f>
        <v>0</v>
      </c>
      <c r="PN296" s="56"/>
      <c r="PO296" s="242">
        <f t="shared" si="2132"/>
        <v>0</v>
      </c>
      <c r="PP296" s="242">
        <f t="shared" si="2133"/>
        <v>100</v>
      </c>
      <c r="PQ296" s="56"/>
      <c r="PT296" s="55">
        <f t="shared" si="2134"/>
        <v>46272</v>
      </c>
      <c r="PU296" s="56"/>
      <c r="PV296" s="242">
        <f>SUMPRODUCT(PRODUCE!$B295:$DY295,PRODUCE!$EB$55:$IY$55)</f>
        <v>0</v>
      </c>
      <c r="PW296" s="56"/>
      <c r="PX296" s="242">
        <f t="shared" si="2135"/>
        <v>0</v>
      </c>
      <c r="PY296" s="242">
        <f t="shared" si="2136"/>
        <v>13.960000000000036</v>
      </c>
      <c r="PZ296" s="56"/>
      <c r="QC296" s="55">
        <f t="shared" si="2137"/>
        <v>46272</v>
      </c>
      <c r="QD296" s="56"/>
      <c r="QE296" s="242">
        <f>SUMPRODUCT(PRODUCE!$B295:$DY295,PRODUCE!$EB$56:$IY$56)</f>
        <v>0</v>
      </c>
      <c r="QF296" s="56"/>
      <c r="QG296" s="242">
        <f t="shared" si="2138"/>
        <v>0</v>
      </c>
      <c r="QH296" s="242">
        <f t="shared" si="2139"/>
        <v>548</v>
      </c>
      <c r="QI296" s="56"/>
      <c r="QL296" s="55">
        <f t="shared" si="2140"/>
        <v>46272</v>
      </c>
      <c r="QM296" s="56"/>
      <c r="QN296" s="242">
        <f>SUMPRODUCT(PRODUCE!$B295:$DY295,PRODUCE!$EB$57:$IY$57)</f>
        <v>0</v>
      </c>
      <c r="QO296" s="56"/>
      <c r="QP296" s="242">
        <f t="shared" si="2141"/>
        <v>0</v>
      </c>
      <c r="QQ296" s="242">
        <f t="shared" si="2142"/>
        <v>0</v>
      </c>
      <c r="QR296" s="56"/>
      <c r="QU296" s="55">
        <f t="shared" si="2143"/>
        <v>46272</v>
      </c>
      <c r="QV296" s="56"/>
      <c r="QW296" s="242">
        <f>SUMPRODUCT(PRODUCE!$B295:$DY295,PRODUCE!$EB$57:$IY$57)</f>
        <v>0</v>
      </c>
      <c r="QX296" s="56"/>
      <c r="QY296" s="242">
        <f t="shared" si="2144"/>
        <v>0</v>
      </c>
      <c r="QZ296" s="242">
        <f t="shared" si="2145"/>
        <v>0</v>
      </c>
      <c r="RA296" s="56"/>
      <c r="RD296" s="55">
        <f t="shared" si="2146"/>
        <v>46272</v>
      </c>
      <c r="RE296" s="56"/>
      <c r="RF296" s="242">
        <f>SUMPRODUCT(PRODUCE!$B295:$DY295,PRODUCE!$EB$58:$IY$58)</f>
        <v>0</v>
      </c>
      <c r="RG296" s="56"/>
      <c r="RH296" s="242">
        <f t="shared" si="2147"/>
        <v>0</v>
      </c>
      <c r="RI296" s="242">
        <f t="shared" si="2148"/>
        <v>147.04000000000002</v>
      </c>
      <c r="RJ296" s="56"/>
      <c r="RM296" s="55">
        <f t="shared" si="2149"/>
        <v>46272</v>
      </c>
      <c r="RN296" s="56"/>
      <c r="RO296" s="242">
        <f>SUMPRODUCT(PRODUCE!$B295:$DY295,PRODUCE!$EB$59:$IY$59)</f>
        <v>0</v>
      </c>
      <c r="RP296" s="56"/>
      <c r="RQ296" s="242">
        <f t="shared" si="2150"/>
        <v>0</v>
      </c>
      <c r="RR296" s="242">
        <f t="shared" si="2151"/>
        <v>46.8</v>
      </c>
      <c r="RS296" s="56"/>
      <c r="RV296" s="55">
        <f t="shared" si="2152"/>
        <v>46272</v>
      </c>
      <c r="RW296" s="56"/>
      <c r="RX296" s="242">
        <f>SUMPRODUCT(PRODUCE!$B295:$DY295,PRODUCE!$EB$57:$IY$57)</f>
        <v>0</v>
      </c>
      <c r="RY296" s="56"/>
      <c r="RZ296" s="242">
        <f t="shared" si="2153"/>
        <v>0</v>
      </c>
      <c r="SA296" s="242">
        <f t="shared" si="2154"/>
        <v>0</v>
      </c>
      <c r="SB296" s="56"/>
      <c r="SE296" s="55">
        <f t="shared" si="2155"/>
        <v>46272</v>
      </c>
      <c r="SF296" s="56"/>
      <c r="SG296" s="242">
        <f>SUMPRODUCT(PRODUCE!$B295:$DY295,PRODUCE!$EB$61:$IY$61)</f>
        <v>0</v>
      </c>
      <c r="SH296" s="56"/>
      <c r="SI296" s="242">
        <f t="shared" si="2156"/>
        <v>0</v>
      </c>
      <c r="SJ296" s="242">
        <f t="shared" si="2157"/>
        <v>24.200000000000003</v>
      </c>
      <c r="SK296" s="56"/>
      <c r="SN296" s="55">
        <f t="shared" si="2158"/>
        <v>46272</v>
      </c>
      <c r="SO296" s="56"/>
      <c r="SP296" s="242">
        <f>SUMPRODUCT(PRODUCE!$B295:$DY295,PRODUCE!$EB$57:$IY$57)</f>
        <v>0</v>
      </c>
      <c r="SQ296" s="56"/>
      <c r="SR296" s="242">
        <f t="shared" si="2159"/>
        <v>0</v>
      </c>
      <c r="SS296" s="242">
        <f t="shared" si="2160"/>
        <v>32</v>
      </c>
      <c r="ST296" s="56"/>
      <c r="SW296" s="55">
        <f t="shared" si="2161"/>
        <v>46272</v>
      </c>
      <c r="SX296" s="56"/>
      <c r="SY296" s="242">
        <f>SUMPRODUCT(PRODUCE!$B295:$DY295,PRODUCE!$EB$57:$IY$57)</f>
        <v>0</v>
      </c>
      <c r="SZ296" s="56"/>
      <c r="TA296" s="242">
        <f t="shared" si="2162"/>
        <v>0</v>
      </c>
      <c r="TB296" s="242">
        <f t="shared" si="2163"/>
        <v>0</v>
      </c>
      <c r="TC296" s="56"/>
      <c r="TF296" s="55">
        <f t="shared" si="2164"/>
        <v>46272</v>
      </c>
      <c r="TG296" s="56"/>
      <c r="TH296" s="242">
        <f>SUMPRODUCT(PRODUCE!$B295:$DY295,PRODUCE!$EB$57:$IY$57)</f>
        <v>0</v>
      </c>
      <c r="TI296" s="56"/>
      <c r="TJ296" s="242">
        <f t="shared" si="2165"/>
        <v>0</v>
      </c>
      <c r="TK296" s="242">
        <f t="shared" si="2166"/>
        <v>0</v>
      </c>
      <c r="TL296" s="56"/>
      <c r="TO296" s="55">
        <f t="shared" si="2167"/>
        <v>46272</v>
      </c>
      <c r="TP296" s="56"/>
      <c r="TQ296" s="242">
        <f>SUMPRODUCT(PRODUCE!$B295:$DY295,PRODUCE!$EB$57:$IY$57)</f>
        <v>0</v>
      </c>
      <c r="TR296" s="56"/>
      <c r="TS296" s="242">
        <f t="shared" si="2168"/>
        <v>0</v>
      </c>
      <c r="TT296" s="242">
        <f t="shared" si="2169"/>
        <v>0</v>
      </c>
      <c r="TU296" s="56"/>
      <c r="TX296" s="55">
        <f t="shared" si="2170"/>
        <v>46272</v>
      </c>
      <c r="TY296" s="56"/>
      <c r="TZ296" s="242">
        <f>SUMPRODUCT(PRODUCE!$B295:$DY295,PRODUCE!$EB$57:$IY$57)</f>
        <v>0</v>
      </c>
      <c r="UA296" s="56"/>
      <c r="UB296" s="242">
        <f t="shared" si="2171"/>
        <v>0</v>
      </c>
      <c r="UC296" s="242">
        <f t="shared" si="2172"/>
        <v>46.799999999999983</v>
      </c>
      <c r="UD296" s="56"/>
      <c r="UG296" s="55">
        <f t="shared" si="2173"/>
        <v>46272</v>
      </c>
      <c r="UH296" s="56"/>
      <c r="UI296" s="242">
        <f>SUMPRODUCT(PRODUCE!$B295:$DY295,PRODUCE!$EB$57:$IY$57)</f>
        <v>0</v>
      </c>
      <c r="UJ296" s="56"/>
      <c r="UK296" s="242">
        <f t="shared" si="2174"/>
        <v>0</v>
      </c>
      <c r="UL296" s="242">
        <f t="shared" si="2175"/>
        <v>204</v>
      </c>
      <c r="UM296" s="56"/>
      <c r="UP296" s="55">
        <f t="shared" si="2176"/>
        <v>46272</v>
      </c>
      <c r="UQ296" s="56"/>
      <c r="UR296" s="242">
        <f>SUMPRODUCT(PRODUCE!$B295:$DY295,PRODUCE!$EB$57:$IY$57)</f>
        <v>0</v>
      </c>
      <c r="US296" s="56"/>
      <c r="UT296" s="242">
        <f t="shared" si="2177"/>
        <v>0</v>
      </c>
      <c r="UU296" s="242">
        <f t="shared" si="2178"/>
        <v>202.5</v>
      </c>
      <c r="UV296" s="56"/>
      <c r="UY296" s="55">
        <f t="shared" si="2179"/>
        <v>46272</v>
      </c>
      <c r="UZ296" s="56"/>
      <c r="VA296" s="242">
        <f>SUMPRODUCT(PRODUCE!$B295:$DY295,PRODUCE!$EB$57:$IY$57)</f>
        <v>0</v>
      </c>
      <c r="VB296" s="56"/>
      <c r="VC296" s="242">
        <f t="shared" si="2180"/>
        <v>0</v>
      </c>
      <c r="VD296" s="242">
        <f t="shared" si="2181"/>
        <v>41.600000000000023</v>
      </c>
      <c r="VE296" s="56"/>
      <c r="VH296" s="55">
        <f t="shared" si="2182"/>
        <v>46272</v>
      </c>
      <c r="VI296" s="56"/>
      <c r="VJ296" s="242">
        <f>SUMPRODUCT(PRODUCE!$B295:$DY295,PRODUCE!$EB$57:$IY$57)</f>
        <v>0</v>
      </c>
      <c r="VK296" s="56"/>
      <c r="VL296" s="242">
        <f t="shared" si="2183"/>
        <v>0</v>
      </c>
      <c r="VM296" s="242">
        <f t="shared" si="2184"/>
        <v>210</v>
      </c>
      <c r="VN296" s="56"/>
      <c r="VQ296" s="55">
        <f t="shared" si="2185"/>
        <v>46272</v>
      </c>
      <c r="VR296" s="56"/>
      <c r="VS296" s="242">
        <f>SUMPRODUCT(PRODUCE!$B295:$DY295,PRODUCE!$EB$57:$IY$57)</f>
        <v>0</v>
      </c>
      <c r="VT296" s="56"/>
      <c r="VU296" s="242">
        <f t="shared" si="2186"/>
        <v>0</v>
      </c>
      <c r="VV296" s="242">
        <f t="shared" si="2187"/>
        <v>0</v>
      </c>
      <c r="VW296" s="56"/>
      <c r="VZ296" s="55">
        <f t="shared" si="2188"/>
        <v>46272</v>
      </c>
      <c r="WA296" s="56"/>
      <c r="WB296" s="242">
        <f>SUMPRODUCT(PRODUCE!$B295:$DY295,PRODUCE!$EB$57:$IY$57)</f>
        <v>0</v>
      </c>
      <c r="WC296" s="56"/>
      <c r="WD296" s="242">
        <f t="shared" si="2189"/>
        <v>0</v>
      </c>
      <c r="WE296" s="242">
        <f t="shared" si="2190"/>
        <v>0</v>
      </c>
      <c r="WF296" s="56"/>
      <c r="WI296" s="55">
        <f t="shared" si="2191"/>
        <v>46272</v>
      </c>
      <c r="WJ296" s="56"/>
      <c r="WK296" s="242">
        <f>SUMPRODUCT(PRODUCE!$B295:$DY295,PRODUCE!$EB$57:$IY$57)</f>
        <v>0</v>
      </c>
      <c r="WL296" s="56"/>
      <c r="WM296" s="242">
        <f t="shared" si="2192"/>
        <v>0</v>
      </c>
      <c r="WN296" s="242">
        <f t="shared" si="2193"/>
        <v>1057</v>
      </c>
      <c r="WO296" s="56"/>
      <c r="WR296" s="55">
        <f t="shared" si="2194"/>
        <v>46272</v>
      </c>
      <c r="WS296" s="56"/>
      <c r="WT296" s="242">
        <f>SUMPRODUCT(PRODUCE!$B295:$DY295,PRODUCE!$EB$57:$IY$57)</f>
        <v>0</v>
      </c>
      <c r="WU296" s="56"/>
      <c r="WV296" s="242">
        <f t="shared" si="2195"/>
        <v>0</v>
      </c>
      <c r="WW296" s="242">
        <f t="shared" si="2196"/>
        <v>0</v>
      </c>
      <c r="WX296" s="56"/>
      <c r="XA296" s="55">
        <f t="shared" si="2197"/>
        <v>46272</v>
      </c>
      <c r="XB296" s="56"/>
      <c r="XC296" s="242">
        <f>SUMPRODUCT(PRODUCE!$B295:$DY295,PRODUCE!$EB$57:$IY$57)</f>
        <v>0</v>
      </c>
      <c r="XD296" s="56"/>
      <c r="XE296" s="242">
        <f t="shared" si="2198"/>
        <v>0</v>
      </c>
      <c r="XF296" s="242">
        <f t="shared" si="2199"/>
        <v>7507</v>
      </c>
      <c r="XG296" s="56"/>
      <c r="XJ296" s="55">
        <f t="shared" si="2200"/>
        <v>46272</v>
      </c>
      <c r="XK296" s="56"/>
      <c r="XL296" s="242">
        <f>SUMPRODUCT(PRODUCE!$B295:$DY295,PRODUCE!$EB$57:$IY$57)</f>
        <v>0</v>
      </c>
      <c r="XM296" s="56"/>
      <c r="XN296" s="242">
        <f t="shared" si="2201"/>
        <v>0</v>
      </c>
      <c r="XO296" s="242">
        <f t="shared" si="2202"/>
        <v>4252</v>
      </c>
      <c r="XP296" s="56"/>
      <c r="XS296" s="55">
        <f t="shared" si="2203"/>
        <v>46272</v>
      </c>
      <c r="XT296" s="56"/>
      <c r="XU296" s="242">
        <f>SUMPRODUCT(PRODUCE!$B295:$DY295,PRODUCE!$EB$57:$IY$57)</f>
        <v>0</v>
      </c>
      <c r="XV296" s="56"/>
      <c r="XW296" s="242">
        <f t="shared" si="2204"/>
        <v>0</v>
      </c>
      <c r="XX296" s="242">
        <f t="shared" si="2205"/>
        <v>2179</v>
      </c>
      <c r="XY296" s="56"/>
      <c r="YB296" s="55">
        <f t="shared" si="2206"/>
        <v>46272</v>
      </c>
      <c r="YC296" s="56"/>
      <c r="YD296" s="242">
        <f>SUMPRODUCT(PRODUCE!$B295:$DY295,PRODUCE!$EB$57:$IY$57)</f>
        <v>0</v>
      </c>
      <c r="YE296" s="56"/>
      <c r="YF296" s="242">
        <f t="shared" si="2207"/>
        <v>0</v>
      </c>
      <c r="YG296" s="242">
        <f t="shared" si="2208"/>
        <v>4019</v>
      </c>
      <c r="YH296" s="56"/>
      <c r="YK296" s="55">
        <f t="shared" si="2209"/>
        <v>46272</v>
      </c>
      <c r="YL296" s="56"/>
      <c r="YM296" s="242">
        <f>SUMPRODUCT(PRODUCE!$B295:$DY295,PRODUCE!$EB$57:$IY$57)</f>
        <v>0</v>
      </c>
      <c r="YN296" s="56"/>
      <c r="YO296" s="242">
        <f t="shared" si="2210"/>
        <v>0</v>
      </c>
      <c r="YP296" s="242">
        <f t="shared" si="2211"/>
        <v>-218</v>
      </c>
      <c r="YQ296" s="56"/>
      <c r="YT296" s="55">
        <f t="shared" si="2212"/>
        <v>46272</v>
      </c>
      <c r="YU296" s="56"/>
      <c r="YV296" s="242">
        <f>SUMPRODUCT(PRODUCE!$B295:$DY295,PRODUCE!$EB$57:$IY$57)</f>
        <v>0</v>
      </c>
      <c r="YW296" s="56"/>
      <c r="YX296" s="242">
        <f t="shared" si="2213"/>
        <v>0</v>
      </c>
      <c r="YY296" s="242">
        <f t="shared" si="2214"/>
        <v>0</v>
      </c>
      <c r="YZ296" s="56"/>
      <c r="ZC296" s="55">
        <f t="shared" si="2215"/>
        <v>46272</v>
      </c>
      <c r="ZD296" s="56"/>
      <c r="ZE296" s="242">
        <f>SUMPRODUCT(PRODUCE!$B295:$DY295,PRODUCE!$EB$57:$IY$57)</f>
        <v>0</v>
      </c>
      <c r="ZF296" s="56"/>
      <c r="ZG296" s="242">
        <f t="shared" si="2216"/>
        <v>0</v>
      </c>
      <c r="ZH296" s="242">
        <f t="shared" si="2217"/>
        <v>0</v>
      </c>
      <c r="ZI296" s="56"/>
      <c r="ZL296" s="55">
        <f t="shared" si="2218"/>
        <v>46272</v>
      </c>
      <c r="ZM296" s="56"/>
      <c r="ZN296" s="242">
        <f>SUMPRODUCT(PRODUCE!$B295:$DY295,PRODUCE!$EB$57:$IY$57)</f>
        <v>0</v>
      </c>
      <c r="ZO296" s="56"/>
      <c r="ZP296" s="242">
        <f t="shared" si="2219"/>
        <v>0</v>
      </c>
      <c r="ZQ296" s="242">
        <f t="shared" si="2220"/>
        <v>0</v>
      </c>
      <c r="ZR296" s="56"/>
      <c r="ZU296" s="55">
        <f t="shared" si="2221"/>
        <v>46272</v>
      </c>
      <c r="ZV296" s="56"/>
      <c r="ZW296" s="242">
        <f>SUMPRODUCT(PRODUCE!$B295:$DY295,PRODUCE!$EB$57:$IY$57)</f>
        <v>0</v>
      </c>
      <c r="ZX296" s="56"/>
      <c r="ZY296" s="242">
        <f t="shared" si="2222"/>
        <v>0</v>
      </c>
      <c r="ZZ296" s="242">
        <f t="shared" si="2223"/>
        <v>0</v>
      </c>
      <c r="AAA296" s="56"/>
      <c r="AAD296" s="55">
        <f t="shared" si="2224"/>
        <v>46272</v>
      </c>
      <c r="AAE296" s="56"/>
      <c r="AAF296" s="242">
        <f>SUMPRODUCT(PRODUCE!$B295:$DY295,PRODUCE!$EB$57:$IY$57)</f>
        <v>0</v>
      </c>
      <c r="AAG296" s="56"/>
      <c r="AAH296" s="242">
        <f t="shared" si="2225"/>
        <v>0</v>
      </c>
      <c r="AAI296" s="242">
        <f t="shared" si="2226"/>
        <v>0</v>
      </c>
      <c r="AAJ296" s="56"/>
      <c r="AAM296" s="55">
        <f t="shared" si="2227"/>
        <v>46272</v>
      </c>
      <c r="AAN296" s="56"/>
      <c r="AAO296" s="242">
        <f>SUMPRODUCT(PRODUCE!$B295:$DY295,PRODUCE!$EB$57:$IY$57)</f>
        <v>0</v>
      </c>
      <c r="AAP296" s="56"/>
      <c r="AAQ296" s="242">
        <f t="shared" si="2228"/>
        <v>0</v>
      </c>
      <c r="AAR296" s="242">
        <f t="shared" si="2229"/>
        <v>0</v>
      </c>
      <c r="AAS296" s="56"/>
      <c r="AAV296" s="55">
        <f t="shared" si="2230"/>
        <v>46272</v>
      </c>
      <c r="AAW296" s="56"/>
      <c r="AAX296" s="242">
        <f>SUMPRODUCT(PRODUCE!$B295:$DY295,PRODUCE!$EB$57:$IY$57)</f>
        <v>0</v>
      </c>
      <c r="AAY296" s="56"/>
      <c r="AAZ296" s="242">
        <f t="shared" si="2231"/>
        <v>0</v>
      </c>
      <c r="ABA296" s="242">
        <f t="shared" si="2232"/>
        <v>0</v>
      </c>
      <c r="ABB296" s="56"/>
      <c r="ABE296" s="55">
        <f t="shared" si="2233"/>
        <v>46272</v>
      </c>
      <c r="ABF296" s="56"/>
      <c r="ABG296" s="242">
        <f>SUMPRODUCT(PRODUCE!$B295:$DY295,PRODUCE!$EB$57:$IY$57)</f>
        <v>0</v>
      </c>
      <c r="ABH296" s="56"/>
      <c r="ABI296" s="242">
        <f t="shared" si="2234"/>
        <v>0</v>
      </c>
      <c r="ABJ296" s="242">
        <f t="shared" si="2235"/>
        <v>0</v>
      </c>
      <c r="ABK296" s="56"/>
    </row>
    <row r="297" spans="2:739" s="54" customFormat="1" ht="15" customHeight="1" outlineLevel="1">
      <c r="B297" s="478"/>
      <c r="C297" s="55">
        <v>46273</v>
      </c>
      <c r="D297" s="56"/>
      <c r="E297" s="57">
        <f>SUMPRODUCT(PRODUCE!$B296:$DY296,PRODUCE!$EB$7:$IY$7)</f>
        <v>0</v>
      </c>
      <c r="F297" s="56"/>
      <c r="G297" s="57">
        <f t="shared" si="1992"/>
        <v>0</v>
      </c>
      <c r="H297" s="57">
        <f t="shared" si="1993"/>
        <v>236936.6</v>
      </c>
      <c r="I297" s="289"/>
      <c r="L297" s="55">
        <f t="shared" si="1994"/>
        <v>46273</v>
      </c>
      <c r="M297" s="56"/>
      <c r="N297" s="59">
        <f>SUMPRODUCT(PRODUCE!$B296:$DY296,PRODUCE!$EB$8:$IY$8)</f>
        <v>0</v>
      </c>
      <c r="O297" s="56"/>
      <c r="P297" s="59">
        <f t="shared" si="1995"/>
        <v>0</v>
      </c>
      <c r="Q297" s="59">
        <f t="shared" si="1996"/>
        <v>53017.600000000071</v>
      </c>
      <c r="R297" s="56"/>
      <c r="U297" s="55">
        <f t="shared" si="1997"/>
        <v>46273</v>
      </c>
      <c r="V297" s="56"/>
      <c r="W297" s="60">
        <f>SUMPRODUCT(PRODUCE!$B296:$DY296,PRODUCE!$EB$9:$IY$9)</f>
        <v>0</v>
      </c>
      <c r="X297" s="56"/>
      <c r="Y297" s="60">
        <f t="shared" si="1998"/>
        <v>0</v>
      </c>
      <c r="Z297" s="60">
        <f t="shared" si="1999"/>
        <v>42674.199999999968</v>
      </c>
      <c r="AA297" s="56"/>
      <c r="AD297" s="55">
        <f t="shared" si="2000"/>
        <v>46273</v>
      </c>
      <c r="AE297" s="56"/>
      <c r="AF297" s="61">
        <f>SUMPRODUCT(PRODUCE!$B296:$DY296,PRODUCE!$EB$10:$IY$10)</f>
        <v>0</v>
      </c>
      <c r="AG297" s="56"/>
      <c r="AH297" s="61">
        <f t="shared" si="2001"/>
        <v>0</v>
      </c>
      <c r="AI297" s="61">
        <f t="shared" si="2002"/>
        <v>4522.2000000000189</v>
      </c>
      <c r="AJ297" s="56"/>
      <c r="AM297" s="55">
        <f t="shared" si="2003"/>
        <v>46273</v>
      </c>
      <c r="AN297" s="422"/>
      <c r="AO297" s="444">
        <f>SUMPRODUCT(PRODUCE!$B296:$DY296,PRODUCE!$EB$11:$IY$11)</f>
        <v>0</v>
      </c>
      <c r="AP297" s="422"/>
      <c r="AQ297" s="444">
        <f t="shared" si="2004"/>
        <v>0</v>
      </c>
      <c r="AR297" s="444">
        <f t="shared" si="2005"/>
        <v>0</v>
      </c>
      <c r="AS297" s="56"/>
      <c r="AV297" s="55">
        <f t="shared" si="2006"/>
        <v>46273</v>
      </c>
      <c r="AW297" s="56"/>
      <c r="AX297" s="62">
        <f>SUMPRODUCT(PRODUCE!$B296:$DY296,PRODUCE!$EB$12:$IY$12)</f>
        <v>0</v>
      </c>
      <c r="AY297" s="56"/>
      <c r="AZ297" s="62">
        <f t="shared" si="2007"/>
        <v>0</v>
      </c>
      <c r="BA297" s="62">
        <f t="shared" si="2008"/>
        <v>124.99999999999523</v>
      </c>
      <c r="BB297" s="56"/>
      <c r="BE297" s="55">
        <f t="shared" si="2009"/>
        <v>46273</v>
      </c>
      <c r="BF297" s="56"/>
      <c r="BG297" s="63">
        <f>SUMPRODUCT(PRODUCE!$B296:$DY296,PRODUCE!$EB$13:$IY$13)</f>
        <v>0</v>
      </c>
      <c r="BH297" s="56"/>
      <c r="BI297" s="63">
        <f t="shared" si="2010"/>
        <v>0</v>
      </c>
      <c r="BJ297" s="63">
        <f t="shared" si="2011"/>
        <v>26151.899999999998</v>
      </c>
      <c r="BK297" s="56"/>
      <c r="BN297" s="55">
        <f t="shared" si="2012"/>
        <v>46273</v>
      </c>
      <c r="BO297" s="56"/>
      <c r="BP297" s="64">
        <f>SUMPRODUCT(PRODUCE!$B296:$DY296,PRODUCE!$EB$14:$IY$14)</f>
        <v>0</v>
      </c>
      <c r="BQ297" s="56"/>
      <c r="BR297" s="64">
        <f t="shared" si="2013"/>
        <v>0</v>
      </c>
      <c r="BS297" s="64">
        <f t="shared" si="2014"/>
        <v>0</v>
      </c>
      <c r="BT297" s="56"/>
      <c r="BW297" s="55">
        <f t="shared" si="2015"/>
        <v>46273</v>
      </c>
      <c r="BX297" s="56"/>
      <c r="BY297" s="65">
        <f>SUMPRODUCT(PRODUCE!$B296:$DY296,PRODUCE!$EB$15:$IY$15)</f>
        <v>0</v>
      </c>
      <c r="BZ297" s="56"/>
      <c r="CA297" s="65">
        <f t="shared" si="2016"/>
        <v>0</v>
      </c>
      <c r="CB297" s="65">
        <f t="shared" si="2017"/>
        <v>2097.3399999999992</v>
      </c>
      <c r="CC297" s="56"/>
      <c r="CF297" s="55">
        <f t="shared" si="2018"/>
        <v>46273</v>
      </c>
      <c r="CG297" s="56"/>
      <c r="CH297" s="66">
        <f>SUMPRODUCT(PRODUCE!$B296:$DY296,PRODUCE!$EB$16:$IY$16)</f>
        <v>0</v>
      </c>
      <c r="CI297" s="56"/>
      <c r="CJ297" s="66">
        <f t="shared" si="2019"/>
        <v>0</v>
      </c>
      <c r="CK297" s="66">
        <f t="shared" si="2020"/>
        <v>-10277.079999999998</v>
      </c>
      <c r="CL297" s="56"/>
      <c r="CO297" s="55">
        <f t="shared" si="2021"/>
        <v>46273</v>
      </c>
      <c r="CP297" s="422"/>
      <c r="CQ297" s="470">
        <f>SUMPRODUCT(PRODUCE!$B296:$DY296,PRODUCE!$EB$17:$IY$17)</f>
        <v>0</v>
      </c>
      <c r="CR297" s="422"/>
      <c r="CS297" s="470">
        <f t="shared" si="2022"/>
        <v>0</v>
      </c>
      <c r="CT297" s="470">
        <f t="shared" si="2023"/>
        <v>0</v>
      </c>
      <c r="CU297" s="56"/>
      <c r="CX297" s="55">
        <f t="shared" si="2024"/>
        <v>46273</v>
      </c>
      <c r="CY297" s="56"/>
      <c r="CZ297" s="133">
        <f>SUMPRODUCT(PRODUCE!$B296:$DY296,PRODUCE!$EB$18:$IY$18)</f>
        <v>0</v>
      </c>
      <c r="DA297" s="56"/>
      <c r="DB297" s="133">
        <f t="shared" si="2025"/>
        <v>0</v>
      </c>
      <c r="DC297" s="133">
        <f t="shared" si="2026"/>
        <v>27438.200000000012</v>
      </c>
      <c r="DD297" s="56"/>
      <c r="DG297" s="55">
        <f t="shared" si="2027"/>
        <v>46273</v>
      </c>
      <c r="DH297" s="56"/>
      <c r="DI297" s="147">
        <f>SUMPRODUCT(PRODUCE!$B296:$DY296,PRODUCE!$EB$19:$IY$19)</f>
        <v>0</v>
      </c>
      <c r="DJ297" s="56"/>
      <c r="DK297" s="147">
        <f t="shared" si="2028"/>
        <v>0</v>
      </c>
      <c r="DL297" s="147">
        <f t="shared" si="2029"/>
        <v>18782.299999999981</v>
      </c>
      <c r="DM297" s="56"/>
      <c r="DP297" s="55">
        <f t="shared" si="2030"/>
        <v>46273</v>
      </c>
      <c r="DQ297" s="56"/>
      <c r="DR297" s="57">
        <f>SUMPRODUCT(PRODUCE!$B296:$DY296,PRODUCE!$EB$20:$IY$20)</f>
        <v>0</v>
      </c>
      <c r="DS297" s="56"/>
      <c r="DT297" s="57">
        <f t="shared" si="2031"/>
        <v>0</v>
      </c>
      <c r="DU297" s="57">
        <f t="shared" si="2032"/>
        <v>5800</v>
      </c>
      <c r="DV297" s="56"/>
      <c r="DY297" s="55">
        <f t="shared" si="2033"/>
        <v>46273</v>
      </c>
      <c r="DZ297" s="56"/>
      <c r="EA297" s="157">
        <f>SUMPRODUCT(PRODUCE!$B296:$DY296,PRODUCE!$EB$21:$IY$21)</f>
        <v>0</v>
      </c>
      <c r="EB297" s="56"/>
      <c r="EC297" s="157">
        <f t="shared" si="2034"/>
        <v>0</v>
      </c>
      <c r="ED297" s="157">
        <f t="shared" si="2035"/>
        <v>0</v>
      </c>
      <c r="EE297" s="56"/>
      <c r="EH297" s="55">
        <f t="shared" si="2036"/>
        <v>46273</v>
      </c>
      <c r="EI297" s="56"/>
      <c r="EJ297" s="162">
        <f>SUMPRODUCT(PRODUCE!$B296:$DY296,PRODUCE!$EB$22:$IY$22)</f>
        <v>0</v>
      </c>
      <c r="EK297" s="56"/>
      <c r="EL297" s="162">
        <f t="shared" si="2037"/>
        <v>0</v>
      </c>
      <c r="EM297" s="162">
        <f t="shared" si="2038"/>
        <v>0</v>
      </c>
      <c r="EN297" s="56"/>
      <c r="EQ297" s="55">
        <f t="shared" si="2039"/>
        <v>46273</v>
      </c>
      <c r="ER297" s="56"/>
      <c r="ES297" s="135">
        <f>SUMPRODUCT(PRODUCE!$B296:$DY296,PRODUCE!$EB$23:$IY$23)</f>
        <v>0</v>
      </c>
      <c r="ET297" s="56"/>
      <c r="EU297" s="135">
        <f t="shared" si="2040"/>
        <v>0</v>
      </c>
      <c r="EV297" s="135">
        <f t="shared" si="2041"/>
        <v>0</v>
      </c>
      <c r="EW297" s="56"/>
      <c r="EZ297" s="55">
        <f t="shared" si="2042"/>
        <v>46273</v>
      </c>
      <c r="FA297" s="56"/>
      <c r="FB297" s="175">
        <f>SUMPRODUCT(PRODUCE!$B296:$DY296,PRODUCE!$EB$24:$IY$24)</f>
        <v>0</v>
      </c>
      <c r="FC297" s="56"/>
      <c r="FD297" s="175">
        <f t="shared" si="2043"/>
        <v>0</v>
      </c>
      <c r="FE297" s="175">
        <f t="shared" si="2044"/>
        <v>0</v>
      </c>
      <c r="FF297" s="56"/>
      <c r="FI297" s="55">
        <f t="shared" si="2045"/>
        <v>46273</v>
      </c>
      <c r="FJ297" s="56"/>
      <c r="FK297" s="183">
        <f>SUMPRODUCT(PRODUCE!$B296:$DY296,PRODUCE!$EB$25:$IY$25)</f>
        <v>0</v>
      </c>
      <c r="FL297" s="56"/>
      <c r="FM297" s="183">
        <f t="shared" si="2046"/>
        <v>0</v>
      </c>
      <c r="FN297" s="183">
        <f t="shared" si="2047"/>
        <v>0</v>
      </c>
      <c r="FO297" s="56"/>
      <c r="FR297" s="55">
        <f t="shared" si="2048"/>
        <v>46273</v>
      </c>
      <c r="FS297" s="56"/>
      <c r="FT297" s="186">
        <f>SUMPRODUCT(PRODUCE!$B296:$DY296,PRODUCE!$EB$26:$IY$26)</f>
        <v>0</v>
      </c>
      <c r="FU297" s="56"/>
      <c r="FV297" s="186">
        <f t="shared" si="2049"/>
        <v>0</v>
      </c>
      <c r="FW297" s="186">
        <f t="shared" si="2050"/>
        <v>2020</v>
      </c>
      <c r="FX297" s="56"/>
      <c r="GA297" s="55">
        <f t="shared" si="2051"/>
        <v>46273</v>
      </c>
      <c r="GB297" s="56"/>
      <c r="GC297" s="137">
        <f>SUMPRODUCT(PRODUCE!$B296:$DY296,PRODUCE!$EB$27:$IY$27)</f>
        <v>0</v>
      </c>
      <c r="GD297" s="56"/>
      <c r="GE297" s="137">
        <f t="shared" si="2052"/>
        <v>0</v>
      </c>
      <c r="GF297" s="137">
        <f t="shared" si="2053"/>
        <v>960</v>
      </c>
      <c r="GG297" s="56"/>
      <c r="GI297" s="23"/>
      <c r="GJ297" s="55">
        <f t="shared" si="2054"/>
        <v>46273</v>
      </c>
      <c r="GK297" s="56"/>
      <c r="GL297" s="199">
        <f>SUMPRODUCT(PRODUCE!$B296:$DY296,PRODUCE!$EB$28:$IY$28)</f>
        <v>0</v>
      </c>
      <c r="GM297" s="56"/>
      <c r="GN297" s="199">
        <f t="shared" si="2055"/>
        <v>0</v>
      </c>
      <c r="GO297" s="199">
        <f t="shared" si="2056"/>
        <v>1760</v>
      </c>
      <c r="GP297" s="56"/>
      <c r="GS297" s="55">
        <f t="shared" si="2057"/>
        <v>46273</v>
      </c>
      <c r="GT297" s="56"/>
      <c r="GU297" s="195">
        <f>SUMPRODUCT(PRODUCE!$B296:$DY296,PRODUCE!$EB$29:$IY$29)</f>
        <v>0</v>
      </c>
      <c r="GV297" s="56"/>
      <c r="GW297" s="195">
        <f t="shared" si="2058"/>
        <v>0</v>
      </c>
      <c r="GX297" s="195">
        <f t="shared" si="2059"/>
        <v>400</v>
      </c>
      <c r="GY297" s="56"/>
      <c r="HB297" s="55">
        <f t="shared" si="2060"/>
        <v>46273</v>
      </c>
      <c r="HC297" s="56"/>
      <c r="HD297" s="191">
        <f>SUMPRODUCT(PRODUCE!$B296:$DY296,PRODUCE!$EB$30:$IY$30)</f>
        <v>0</v>
      </c>
      <c r="HE297" s="56"/>
      <c r="HF297" s="191">
        <f t="shared" si="2061"/>
        <v>0</v>
      </c>
      <c r="HG297" s="191">
        <f t="shared" si="2062"/>
        <v>3600</v>
      </c>
      <c r="HH297" s="56"/>
      <c r="HK297" s="55">
        <f t="shared" si="2063"/>
        <v>46273</v>
      </c>
      <c r="HL297" s="56"/>
      <c r="HM297" s="63">
        <f>SUMPRODUCT(PRODUCE!$B296:$DY296,PRODUCE!$EB$31:$IY$31)</f>
        <v>0</v>
      </c>
      <c r="HN297" s="56"/>
      <c r="HO297" s="63">
        <f t="shared" si="2064"/>
        <v>0</v>
      </c>
      <c r="HP297" s="63">
        <f t="shared" si="2065"/>
        <v>0</v>
      </c>
      <c r="HQ297" s="56"/>
      <c r="HU297" s="55">
        <f t="shared" si="2066"/>
        <v>46273</v>
      </c>
      <c r="HV297" s="56"/>
      <c r="HW297" s="242">
        <f>SUMPRODUCT(PRODUCE!$B296:$DY296,PRODUCE!$EB$32:$IY$32)</f>
        <v>0</v>
      </c>
      <c r="HX297" s="56"/>
      <c r="HY297" s="242">
        <f t="shared" si="2236"/>
        <v>0</v>
      </c>
      <c r="HZ297" s="242">
        <f t="shared" si="2067"/>
        <v>6120</v>
      </c>
      <c r="IA297" s="56"/>
      <c r="ID297" s="55">
        <f t="shared" si="2068"/>
        <v>46273</v>
      </c>
      <c r="IE297" s="56"/>
      <c r="IF297" s="242">
        <f>SUMPRODUCT(PRODUCE!$B296:$DY296,PRODUCE!$EB$33:$IY$33)</f>
        <v>0</v>
      </c>
      <c r="IG297" s="56"/>
      <c r="IH297" s="242">
        <f t="shared" si="2069"/>
        <v>0</v>
      </c>
      <c r="II297" s="242">
        <f t="shared" si="2070"/>
        <v>0</v>
      </c>
      <c r="IJ297" s="56"/>
      <c r="IM297" s="55">
        <f t="shared" si="2071"/>
        <v>46273</v>
      </c>
      <c r="IN297" s="56"/>
      <c r="IO297" s="242">
        <f>SUMPRODUCT(PRODUCE!$B296:$DY296,PRODUCE!$EB$34:$IY$34)</f>
        <v>0</v>
      </c>
      <c r="IP297" s="56"/>
      <c r="IQ297" s="242">
        <f t="shared" si="2072"/>
        <v>0</v>
      </c>
      <c r="IR297" s="242">
        <f t="shared" si="2073"/>
        <v>0</v>
      </c>
      <c r="IS297" s="56"/>
      <c r="IV297" s="55">
        <f t="shared" si="2074"/>
        <v>46273</v>
      </c>
      <c r="IW297" s="56"/>
      <c r="IX297" s="242">
        <f>SUMPRODUCT(PRODUCE!$B296:$DY296,PRODUCE!$EB$35:$IY$35)</f>
        <v>0</v>
      </c>
      <c r="IY297" s="56"/>
      <c r="IZ297" s="242">
        <f t="shared" si="2075"/>
        <v>0</v>
      </c>
      <c r="JA297" s="242">
        <f t="shared" si="2076"/>
        <v>2820</v>
      </c>
      <c r="JB297" s="56"/>
      <c r="JE297" s="55">
        <f t="shared" si="2077"/>
        <v>46273</v>
      </c>
      <c r="JF297" s="56"/>
      <c r="JG297" s="242">
        <f>SUMPRODUCT(PRODUCE!$B296:$DY296,PRODUCE!$EB$36:$IY$36)</f>
        <v>0</v>
      </c>
      <c r="JH297" s="56"/>
      <c r="JI297" s="242">
        <f t="shared" si="2078"/>
        <v>0</v>
      </c>
      <c r="JJ297" s="242">
        <f t="shared" si="2079"/>
        <v>0</v>
      </c>
      <c r="JK297" s="56"/>
      <c r="JN297" s="55">
        <f t="shared" si="2080"/>
        <v>46273</v>
      </c>
      <c r="JO297" s="56"/>
      <c r="JP297" s="242">
        <f>SUMPRODUCT(PRODUCE!$B296:$DY296,PRODUCE!$EB$37:$IY$37)</f>
        <v>0</v>
      </c>
      <c r="JQ297" s="56"/>
      <c r="JR297" s="242">
        <f t="shared" si="2081"/>
        <v>0</v>
      </c>
      <c r="JS297" s="242">
        <f t="shared" si="2082"/>
        <v>0</v>
      </c>
      <c r="JT297" s="56"/>
      <c r="JW297" s="55">
        <f t="shared" si="2083"/>
        <v>46273</v>
      </c>
      <c r="JX297" s="56"/>
      <c r="JY297" s="242">
        <f>SUMPRODUCT(PRODUCE!$B296:$DY296,PRODUCE!$EB$38:$IY$38)</f>
        <v>0</v>
      </c>
      <c r="JZ297" s="56"/>
      <c r="KA297" s="242">
        <f t="shared" si="2084"/>
        <v>0</v>
      </c>
      <c r="KB297" s="242">
        <f t="shared" si="2085"/>
        <v>2540</v>
      </c>
      <c r="KC297" s="56"/>
      <c r="KF297" s="55">
        <f t="shared" si="2086"/>
        <v>46273</v>
      </c>
      <c r="KG297" s="56"/>
      <c r="KH297" s="242">
        <f>SUMPRODUCT(PRODUCE!$B296:$DY296,PRODUCE!$EB$39:$IY$39)</f>
        <v>0</v>
      </c>
      <c r="KI297" s="56"/>
      <c r="KJ297" s="242">
        <f t="shared" si="2087"/>
        <v>0</v>
      </c>
      <c r="KK297" s="242">
        <f t="shared" si="2088"/>
        <v>2359.5</v>
      </c>
      <c r="KL297" s="56"/>
      <c r="KO297" s="55">
        <f t="shared" si="2089"/>
        <v>46273</v>
      </c>
      <c r="KP297" s="56"/>
      <c r="KQ297" s="242">
        <f>SUMPRODUCT(PRODUCE!$B296:$DY296,PRODUCE!$EB$40:$IY$40)</f>
        <v>0</v>
      </c>
      <c r="KR297" s="56"/>
      <c r="KS297" s="242">
        <f t="shared" si="2090"/>
        <v>0</v>
      </c>
      <c r="KT297" s="242">
        <f t="shared" si="2091"/>
        <v>1890</v>
      </c>
      <c r="KU297" s="56"/>
      <c r="KW297" s="23"/>
      <c r="KX297" s="55">
        <f t="shared" si="2092"/>
        <v>46273</v>
      </c>
      <c r="KY297" s="56"/>
      <c r="KZ297" s="242">
        <f>SUMPRODUCT(PRODUCE!$B296:$DY296,PRODUCE!$EB$41:$IY$41)</f>
        <v>0</v>
      </c>
      <c r="LA297" s="56"/>
      <c r="LB297" s="242">
        <f t="shared" si="2093"/>
        <v>0</v>
      </c>
      <c r="LC297" s="242">
        <f t="shared" si="2094"/>
        <v>3690</v>
      </c>
      <c r="LD297" s="56"/>
      <c r="LG297" s="55">
        <f t="shared" si="2095"/>
        <v>46273</v>
      </c>
      <c r="LH297" s="56"/>
      <c r="LI297" s="242">
        <f>SUMPRODUCT(PRODUCE!$B296:$DY296,PRODUCE!$EB$42:$IY$42)</f>
        <v>0</v>
      </c>
      <c r="LJ297" s="56"/>
      <c r="LK297" s="242">
        <f t="shared" si="2096"/>
        <v>0</v>
      </c>
      <c r="LL297" s="242">
        <f t="shared" si="2097"/>
        <v>4000</v>
      </c>
      <c r="LM297" s="56"/>
      <c r="LP297" s="55">
        <f t="shared" si="2098"/>
        <v>46273</v>
      </c>
      <c r="LQ297" s="56"/>
      <c r="LR297" s="242">
        <f>SUMPRODUCT(PRODUCE!$B312:$DY312,PRODUCE!$EB$43:$IY$43)</f>
        <v>0</v>
      </c>
      <c r="LS297" s="56"/>
      <c r="LT297" s="242">
        <f t="shared" si="2099"/>
        <v>0</v>
      </c>
      <c r="LU297" s="242">
        <f t="shared" si="2100"/>
        <v>0</v>
      </c>
      <c r="LV297" s="56"/>
      <c r="LY297" s="55">
        <f t="shared" si="2101"/>
        <v>46273</v>
      </c>
      <c r="LZ297" s="56"/>
      <c r="MA297" s="242">
        <f>SUMPRODUCT(PRODUCE!$B296:$DY296,PRODUCE!$EB$44:$IY$44)</f>
        <v>0</v>
      </c>
      <c r="MB297" s="56"/>
      <c r="MC297" s="242">
        <f t="shared" si="2102"/>
        <v>0</v>
      </c>
      <c r="MD297" s="242">
        <f t="shared" si="2103"/>
        <v>0</v>
      </c>
      <c r="ME297" s="56"/>
      <c r="MH297" s="55">
        <f t="shared" si="2104"/>
        <v>46273</v>
      </c>
      <c r="MI297" s="56"/>
      <c r="MJ297" s="242">
        <f>SUMPRODUCT(PRODUCE!$B296:$DY296,PRODUCE!$EB$45:$IY$45)</f>
        <v>0</v>
      </c>
      <c r="MK297" s="56"/>
      <c r="ML297" s="242">
        <f t="shared" si="2105"/>
        <v>0</v>
      </c>
      <c r="MM297" s="242">
        <f t="shared" si="2106"/>
        <v>0</v>
      </c>
      <c r="MN297" s="56"/>
      <c r="MQ297" s="55">
        <f t="shared" si="2107"/>
        <v>46273</v>
      </c>
      <c r="MR297" s="56"/>
      <c r="MS297" s="242">
        <f>SUMPRODUCT(PRODUCE!$B296:$DY296,PRODUCE!$EB$46:$IY$46)</f>
        <v>0</v>
      </c>
      <c r="MT297" s="56"/>
      <c r="MU297" s="242">
        <f t="shared" si="2108"/>
        <v>0</v>
      </c>
      <c r="MV297" s="242">
        <f t="shared" si="2109"/>
        <v>1625</v>
      </c>
      <c r="MW297" s="56"/>
      <c r="MZ297" s="55">
        <f t="shared" si="2110"/>
        <v>46273</v>
      </c>
      <c r="NA297" s="56"/>
      <c r="NB297" s="242">
        <f>SUMPRODUCT(PRODUCE!$B296:$DY296,PRODUCE!$EB$47:$IY$47)</f>
        <v>0</v>
      </c>
      <c r="NC297" s="56"/>
      <c r="ND297" s="242">
        <f t="shared" si="2111"/>
        <v>0</v>
      </c>
      <c r="NE297" s="242">
        <f t="shared" si="2112"/>
        <v>0</v>
      </c>
      <c r="NF297" s="56"/>
      <c r="NI297" s="55">
        <f t="shared" si="2113"/>
        <v>46273</v>
      </c>
      <c r="NJ297" s="56"/>
      <c r="NK297" s="242">
        <f>SUMPRODUCT(PRODUCE!$B296:$DY296,PRODUCE!$EB$48:$IY$48)</f>
        <v>0</v>
      </c>
      <c r="NL297" s="56"/>
      <c r="NM297" s="242">
        <f t="shared" si="2114"/>
        <v>0</v>
      </c>
      <c r="NN297" s="242">
        <f t="shared" si="2115"/>
        <v>1127</v>
      </c>
      <c r="NO297" s="56"/>
      <c r="NR297" s="55">
        <f t="shared" si="2116"/>
        <v>46273</v>
      </c>
      <c r="NS297" s="56"/>
      <c r="NT297" s="242">
        <f>SUMPRODUCT(PRODUCE!$B296:$DY296,PRODUCE!$EB$49:$IY$49)</f>
        <v>0</v>
      </c>
      <c r="NU297" s="56"/>
      <c r="NV297" s="242">
        <f t="shared" si="2117"/>
        <v>0</v>
      </c>
      <c r="NW297" s="242">
        <f t="shared" si="2118"/>
        <v>3111.9999999999995</v>
      </c>
      <c r="NX297" s="56"/>
      <c r="OA297" s="55">
        <f t="shared" si="2119"/>
        <v>46273</v>
      </c>
      <c r="OB297" s="56"/>
      <c r="OC297" s="242">
        <f>SUMPRODUCT(PRODUCE!$B296:$DY296,PRODUCE!$EB$50:$IY$50)</f>
        <v>0</v>
      </c>
      <c r="OD297" s="56"/>
      <c r="OE297" s="242">
        <f t="shared" si="2120"/>
        <v>0</v>
      </c>
      <c r="OF297" s="242">
        <f t="shared" si="2121"/>
        <v>1680.5</v>
      </c>
      <c r="OG297" s="56"/>
      <c r="OJ297" s="55">
        <f t="shared" si="2122"/>
        <v>46273</v>
      </c>
      <c r="OK297" s="56"/>
      <c r="OL297" s="242">
        <f>SUMPRODUCT(PRODUCE!$B296:$DY296,PRODUCE!$EB$51:$IY$51)</f>
        <v>0</v>
      </c>
      <c r="OM297" s="56"/>
      <c r="ON297" s="242">
        <f t="shared" si="2123"/>
        <v>0</v>
      </c>
      <c r="OO297" s="242">
        <f t="shared" si="2124"/>
        <v>0</v>
      </c>
      <c r="OP297" s="56"/>
      <c r="OS297" s="55">
        <f t="shared" si="2125"/>
        <v>46273</v>
      </c>
      <c r="OT297" s="56"/>
      <c r="OU297" s="242">
        <f>SUMPRODUCT(PRODUCE!$B296:$DY296,PRODUCE!$EB$52:$IY$52)</f>
        <v>0</v>
      </c>
      <c r="OV297" s="56"/>
      <c r="OW297" s="242">
        <f t="shared" si="2126"/>
        <v>0</v>
      </c>
      <c r="OX297" s="242">
        <f t="shared" si="2127"/>
        <v>1482</v>
      </c>
      <c r="OY297" s="56"/>
      <c r="PB297" s="55">
        <f t="shared" si="2128"/>
        <v>46273</v>
      </c>
      <c r="PC297" s="56"/>
      <c r="PD297" s="242">
        <f>SUMPRODUCT(PRODUCE!$B296:$DY296,PRODUCE!$EB$53:$IY$53)</f>
        <v>0</v>
      </c>
      <c r="PE297" s="56"/>
      <c r="PF297" s="242">
        <f t="shared" si="2129"/>
        <v>0</v>
      </c>
      <c r="PG297" s="242">
        <f t="shared" si="2130"/>
        <v>0</v>
      </c>
      <c r="PH297" s="56"/>
      <c r="PK297" s="55">
        <f t="shared" si="2131"/>
        <v>46273</v>
      </c>
      <c r="PL297" s="56"/>
      <c r="PM297" s="242">
        <f>SUMPRODUCT(PRODUCE!$B296:$DY296,PRODUCE!$EB$54:$IY$54)</f>
        <v>0</v>
      </c>
      <c r="PN297" s="56"/>
      <c r="PO297" s="242">
        <f t="shared" si="2132"/>
        <v>0</v>
      </c>
      <c r="PP297" s="242">
        <f t="shared" si="2133"/>
        <v>100</v>
      </c>
      <c r="PQ297" s="56"/>
      <c r="PT297" s="55">
        <f t="shared" si="2134"/>
        <v>46273</v>
      </c>
      <c r="PU297" s="56"/>
      <c r="PV297" s="242">
        <f>SUMPRODUCT(PRODUCE!$B296:$DY296,PRODUCE!$EB$55:$IY$55)</f>
        <v>0</v>
      </c>
      <c r="PW297" s="56"/>
      <c r="PX297" s="242">
        <f t="shared" si="2135"/>
        <v>0</v>
      </c>
      <c r="PY297" s="242">
        <f t="shared" si="2136"/>
        <v>13.960000000000036</v>
      </c>
      <c r="PZ297" s="56"/>
      <c r="QC297" s="55">
        <f t="shared" si="2137"/>
        <v>46273</v>
      </c>
      <c r="QD297" s="56"/>
      <c r="QE297" s="242">
        <f>SUMPRODUCT(PRODUCE!$B296:$DY296,PRODUCE!$EB$56:$IY$56)</f>
        <v>0</v>
      </c>
      <c r="QF297" s="56"/>
      <c r="QG297" s="242">
        <f t="shared" si="2138"/>
        <v>0</v>
      </c>
      <c r="QH297" s="242">
        <f t="shared" si="2139"/>
        <v>548</v>
      </c>
      <c r="QI297" s="56"/>
      <c r="QL297" s="55">
        <f t="shared" si="2140"/>
        <v>46273</v>
      </c>
      <c r="QM297" s="56"/>
      <c r="QN297" s="242">
        <f>SUMPRODUCT(PRODUCE!$B296:$DY296,PRODUCE!$EB$57:$IY$57)</f>
        <v>0</v>
      </c>
      <c r="QO297" s="56"/>
      <c r="QP297" s="242">
        <f t="shared" si="2141"/>
        <v>0</v>
      </c>
      <c r="QQ297" s="242">
        <f t="shared" si="2142"/>
        <v>0</v>
      </c>
      <c r="QR297" s="56"/>
      <c r="QU297" s="55">
        <f t="shared" si="2143"/>
        <v>46273</v>
      </c>
      <c r="QV297" s="56"/>
      <c r="QW297" s="242">
        <f>SUMPRODUCT(PRODUCE!$B296:$DY296,PRODUCE!$EB$57:$IY$57)</f>
        <v>0</v>
      </c>
      <c r="QX297" s="56"/>
      <c r="QY297" s="242">
        <f t="shared" si="2144"/>
        <v>0</v>
      </c>
      <c r="QZ297" s="242">
        <f t="shared" si="2145"/>
        <v>0</v>
      </c>
      <c r="RA297" s="56"/>
      <c r="RD297" s="55">
        <f t="shared" si="2146"/>
        <v>46273</v>
      </c>
      <c r="RE297" s="56"/>
      <c r="RF297" s="242">
        <f>SUMPRODUCT(PRODUCE!$B296:$DY296,PRODUCE!$EB$58:$IY$58)</f>
        <v>0</v>
      </c>
      <c r="RG297" s="56"/>
      <c r="RH297" s="242">
        <f t="shared" si="2147"/>
        <v>0</v>
      </c>
      <c r="RI297" s="242">
        <f t="shared" si="2148"/>
        <v>147.04000000000002</v>
      </c>
      <c r="RJ297" s="56"/>
      <c r="RM297" s="55">
        <f t="shared" si="2149"/>
        <v>46273</v>
      </c>
      <c r="RN297" s="56"/>
      <c r="RO297" s="242">
        <f>SUMPRODUCT(PRODUCE!$B296:$DY296,PRODUCE!$EB$59:$IY$59)</f>
        <v>0</v>
      </c>
      <c r="RP297" s="56"/>
      <c r="RQ297" s="242">
        <f t="shared" si="2150"/>
        <v>0</v>
      </c>
      <c r="RR297" s="242">
        <f t="shared" si="2151"/>
        <v>46.8</v>
      </c>
      <c r="RS297" s="56"/>
      <c r="RV297" s="55">
        <f t="shared" si="2152"/>
        <v>46273</v>
      </c>
      <c r="RW297" s="56"/>
      <c r="RX297" s="242">
        <f>SUMPRODUCT(PRODUCE!$B296:$DY296,PRODUCE!$EB$57:$IY$57)</f>
        <v>0</v>
      </c>
      <c r="RY297" s="56"/>
      <c r="RZ297" s="242">
        <f t="shared" si="2153"/>
        <v>0</v>
      </c>
      <c r="SA297" s="242">
        <f t="shared" si="2154"/>
        <v>0</v>
      </c>
      <c r="SB297" s="56"/>
      <c r="SE297" s="55">
        <f t="shared" si="2155"/>
        <v>46273</v>
      </c>
      <c r="SF297" s="56"/>
      <c r="SG297" s="242">
        <f>SUMPRODUCT(PRODUCE!$B296:$DY296,PRODUCE!$EB$61:$IY$61)</f>
        <v>0</v>
      </c>
      <c r="SH297" s="56"/>
      <c r="SI297" s="242">
        <f t="shared" si="2156"/>
        <v>0</v>
      </c>
      <c r="SJ297" s="242">
        <f t="shared" si="2157"/>
        <v>24.200000000000003</v>
      </c>
      <c r="SK297" s="56"/>
      <c r="SN297" s="55">
        <f t="shared" si="2158"/>
        <v>46273</v>
      </c>
      <c r="SO297" s="56"/>
      <c r="SP297" s="242">
        <f>SUMPRODUCT(PRODUCE!$B296:$DY296,PRODUCE!$EB$57:$IY$57)</f>
        <v>0</v>
      </c>
      <c r="SQ297" s="56"/>
      <c r="SR297" s="242">
        <f t="shared" si="2159"/>
        <v>0</v>
      </c>
      <c r="SS297" s="242">
        <f t="shared" si="2160"/>
        <v>32</v>
      </c>
      <c r="ST297" s="56"/>
      <c r="SW297" s="55">
        <f t="shared" si="2161"/>
        <v>46273</v>
      </c>
      <c r="SX297" s="56"/>
      <c r="SY297" s="242">
        <f>SUMPRODUCT(PRODUCE!$B296:$DY296,PRODUCE!$EB$57:$IY$57)</f>
        <v>0</v>
      </c>
      <c r="SZ297" s="56"/>
      <c r="TA297" s="242">
        <f t="shared" si="2162"/>
        <v>0</v>
      </c>
      <c r="TB297" s="242">
        <f t="shared" si="2163"/>
        <v>0</v>
      </c>
      <c r="TC297" s="56"/>
      <c r="TF297" s="55">
        <f t="shared" si="2164"/>
        <v>46273</v>
      </c>
      <c r="TG297" s="56"/>
      <c r="TH297" s="242">
        <f>SUMPRODUCT(PRODUCE!$B296:$DY296,PRODUCE!$EB$57:$IY$57)</f>
        <v>0</v>
      </c>
      <c r="TI297" s="56"/>
      <c r="TJ297" s="242">
        <f t="shared" si="2165"/>
        <v>0</v>
      </c>
      <c r="TK297" s="242">
        <f t="shared" si="2166"/>
        <v>0</v>
      </c>
      <c r="TL297" s="56"/>
      <c r="TO297" s="55">
        <f t="shared" si="2167"/>
        <v>46273</v>
      </c>
      <c r="TP297" s="56"/>
      <c r="TQ297" s="242">
        <f>SUMPRODUCT(PRODUCE!$B296:$DY296,PRODUCE!$EB$57:$IY$57)</f>
        <v>0</v>
      </c>
      <c r="TR297" s="56"/>
      <c r="TS297" s="242">
        <f t="shared" si="2168"/>
        <v>0</v>
      </c>
      <c r="TT297" s="242">
        <f t="shared" si="2169"/>
        <v>0</v>
      </c>
      <c r="TU297" s="56"/>
      <c r="TX297" s="55">
        <f t="shared" si="2170"/>
        <v>46273</v>
      </c>
      <c r="TY297" s="56"/>
      <c r="TZ297" s="242">
        <f>SUMPRODUCT(PRODUCE!$B296:$DY296,PRODUCE!$EB$57:$IY$57)</f>
        <v>0</v>
      </c>
      <c r="UA297" s="56"/>
      <c r="UB297" s="242">
        <f t="shared" si="2171"/>
        <v>0</v>
      </c>
      <c r="UC297" s="242">
        <f t="shared" si="2172"/>
        <v>46.799999999999983</v>
      </c>
      <c r="UD297" s="56"/>
      <c r="UG297" s="55">
        <f t="shared" si="2173"/>
        <v>46273</v>
      </c>
      <c r="UH297" s="56"/>
      <c r="UI297" s="242">
        <f>SUMPRODUCT(PRODUCE!$B296:$DY296,PRODUCE!$EB$57:$IY$57)</f>
        <v>0</v>
      </c>
      <c r="UJ297" s="56"/>
      <c r="UK297" s="242">
        <f t="shared" si="2174"/>
        <v>0</v>
      </c>
      <c r="UL297" s="242">
        <f t="shared" si="2175"/>
        <v>204</v>
      </c>
      <c r="UM297" s="56"/>
      <c r="UP297" s="55">
        <f t="shared" si="2176"/>
        <v>46273</v>
      </c>
      <c r="UQ297" s="56"/>
      <c r="UR297" s="242">
        <f>SUMPRODUCT(PRODUCE!$B296:$DY296,PRODUCE!$EB$57:$IY$57)</f>
        <v>0</v>
      </c>
      <c r="US297" s="56"/>
      <c r="UT297" s="242">
        <f t="shared" si="2177"/>
        <v>0</v>
      </c>
      <c r="UU297" s="242">
        <f t="shared" si="2178"/>
        <v>202.5</v>
      </c>
      <c r="UV297" s="56"/>
      <c r="UY297" s="55">
        <f t="shared" si="2179"/>
        <v>46273</v>
      </c>
      <c r="UZ297" s="56"/>
      <c r="VA297" s="242">
        <f>SUMPRODUCT(PRODUCE!$B296:$DY296,PRODUCE!$EB$57:$IY$57)</f>
        <v>0</v>
      </c>
      <c r="VB297" s="56"/>
      <c r="VC297" s="242">
        <f t="shared" si="2180"/>
        <v>0</v>
      </c>
      <c r="VD297" s="242">
        <f t="shared" si="2181"/>
        <v>41.600000000000023</v>
      </c>
      <c r="VE297" s="56"/>
      <c r="VH297" s="55">
        <f t="shared" si="2182"/>
        <v>46273</v>
      </c>
      <c r="VI297" s="56"/>
      <c r="VJ297" s="242">
        <f>SUMPRODUCT(PRODUCE!$B296:$DY296,PRODUCE!$EB$57:$IY$57)</f>
        <v>0</v>
      </c>
      <c r="VK297" s="56"/>
      <c r="VL297" s="242">
        <f t="shared" si="2183"/>
        <v>0</v>
      </c>
      <c r="VM297" s="242">
        <f t="shared" si="2184"/>
        <v>210</v>
      </c>
      <c r="VN297" s="56"/>
      <c r="VQ297" s="55">
        <f t="shared" si="2185"/>
        <v>46273</v>
      </c>
      <c r="VR297" s="56"/>
      <c r="VS297" s="242">
        <f>SUMPRODUCT(PRODUCE!$B296:$DY296,PRODUCE!$EB$57:$IY$57)</f>
        <v>0</v>
      </c>
      <c r="VT297" s="56"/>
      <c r="VU297" s="242">
        <f t="shared" si="2186"/>
        <v>0</v>
      </c>
      <c r="VV297" s="242">
        <f t="shared" si="2187"/>
        <v>0</v>
      </c>
      <c r="VW297" s="56"/>
      <c r="VZ297" s="55">
        <f t="shared" si="2188"/>
        <v>46273</v>
      </c>
      <c r="WA297" s="56"/>
      <c r="WB297" s="242">
        <f>SUMPRODUCT(PRODUCE!$B296:$DY296,PRODUCE!$EB$57:$IY$57)</f>
        <v>0</v>
      </c>
      <c r="WC297" s="56"/>
      <c r="WD297" s="242">
        <f t="shared" si="2189"/>
        <v>0</v>
      </c>
      <c r="WE297" s="242">
        <f t="shared" si="2190"/>
        <v>0</v>
      </c>
      <c r="WF297" s="56"/>
      <c r="WI297" s="55">
        <f t="shared" si="2191"/>
        <v>46273</v>
      </c>
      <c r="WJ297" s="56"/>
      <c r="WK297" s="242">
        <f>SUMPRODUCT(PRODUCE!$B296:$DY296,PRODUCE!$EB$57:$IY$57)</f>
        <v>0</v>
      </c>
      <c r="WL297" s="56"/>
      <c r="WM297" s="242">
        <f t="shared" si="2192"/>
        <v>0</v>
      </c>
      <c r="WN297" s="242">
        <f t="shared" si="2193"/>
        <v>1057</v>
      </c>
      <c r="WO297" s="56"/>
      <c r="WR297" s="55">
        <f t="shared" si="2194"/>
        <v>46273</v>
      </c>
      <c r="WS297" s="56"/>
      <c r="WT297" s="242">
        <f>SUMPRODUCT(PRODUCE!$B296:$DY296,PRODUCE!$EB$57:$IY$57)</f>
        <v>0</v>
      </c>
      <c r="WU297" s="56"/>
      <c r="WV297" s="242">
        <f t="shared" si="2195"/>
        <v>0</v>
      </c>
      <c r="WW297" s="242">
        <f t="shared" si="2196"/>
        <v>0</v>
      </c>
      <c r="WX297" s="56"/>
      <c r="XA297" s="55">
        <f t="shared" si="2197"/>
        <v>46273</v>
      </c>
      <c r="XB297" s="56"/>
      <c r="XC297" s="242">
        <f>SUMPRODUCT(PRODUCE!$B296:$DY296,PRODUCE!$EB$57:$IY$57)</f>
        <v>0</v>
      </c>
      <c r="XD297" s="56"/>
      <c r="XE297" s="242">
        <f t="shared" si="2198"/>
        <v>0</v>
      </c>
      <c r="XF297" s="242">
        <f t="shared" si="2199"/>
        <v>7507</v>
      </c>
      <c r="XG297" s="56"/>
      <c r="XJ297" s="55">
        <f t="shared" si="2200"/>
        <v>46273</v>
      </c>
      <c r="XK297" s="56"/>
      <c r="XL297" s="242">
        <f>SUMPRODUCT(PRODUCE!$B296:$DY296,PRODUCE!$EB$57:$IY$57)</f>
        <v>0</v>
      </c>
      <c r="XM297" s="56"/>
      <c r="XN297" s="242">
        <f t="shared" si="2201"/>
        <v>0</v>
      </c>
      <c r="XO297" s="242">
        <f t="shared" si="2202"/>
        <v>4252</v>
      </c>
      <c r="XP297" s="56"/>
      <c r="XS297" s="55">
        <f t="shared" si="2203"/>
        <v>46273</v>
      </c>
      <c r="XT297" s="56"/>
      <c r="XU297" s="242">
        <f>SUMPRODUCT(PRODUCE!$B296:$DY296,PRODUCE!$EB$57:$IY$57)</f>
        <v>0</v>
      </c>
      <c r="XV297" s="56"/>
      <c r="XW297" s="242">
        <f t="shared" si="2204"/>
        <v>0</v>
      </c>
      <c r="XX297" s="242">
        <f t="shared" si="2205"/>
        <v>2179</v>
      </c>
      <c r="XY297" s="56"/>
      <c r="YB297" s="55">
        <f t="shared" si="2206"/>
        <v>46273</v>
      </c>
      <c r="YC297" s="56"/>
      <c r="YD297" s="242">
        <f>SUMPRODUCT(PRODUCE!$B296:$DY296,PRODUCE!$EB$57:$IY$57)</f>
        <v>0</v>
      </c>
      <c r="YE297" s="56"/>
      <c r="YF297" s="242">
        <f t="shared" si="2207"/>
        <v>0</v>
      </c>
      <c r="YG297" s="242">
        <f t="shared" si="2208"/>
        <v>4019</v>
      </c>
      <c r="YH297" s="56"/>
      <c r="YK297" s="55">
        <f t="shared" si="2209"/>
        <v>46273</v>
      </c>
      <c r="YL297" s="56"/>
      <c r="YM297" s="242">
        <f>SUMPRODUCT(PRODUCE!$B296:$DY296,PRODUCE!$EB$57:$IY$57)</f>
        <v>0</v>
      </c>
      <c r="YN297" s="56"/>
      <c r="YO297" s="242">
        <f t="shared" si="2210"/>
        <v>0</v>
      </c>
      <c r="YP297" s="242">
        <f t="shared" si="2211"/>
        <v>-218</v>
      </c>
      <c r="YQ297" s="56"/>
      <c r="YT297" s="55">
        <f t="shared" si="2212"/>
        <v>46273</v>
      </c>
      <c r="YU297" s="56"/>
      <c r="YV297" s="242">
        <f>SUMPRODUCT(PRODUCE!$B296:$DY296,PRODUCE!$EB$57:$IY$57)</f>
        <v>0</v>
      </c>
      <c r="YW297" s="56"/>
      <c r="YX297" s="242">
        <f t="shared" si="2213"/>
        <v>0</v>
      </c>
      <c r="YY297" s="242">
        <f t="shared" si="2214"/>
        <v>0</v>
      </c>
      <c r="YZ297" s="56"/>
      <c r="ZC297" s="55">
        <f t="shared" si="2215"/>
        <v>46273</v>
      </c>
      <c r="ZD297" s="56"/>
      <c r="ZE297" s="242">
        <f>SUMPRODUCT(PRODUCE!$B296:$DY296,PRODUCE!$EB$57:$IY$57)</f>
        <v>0</v>
      </c>
      <c r="ZF297" s="56"/>
      <c r="ZG297" s="242">
        <f t="shared" si="2216"/>
        <v>0</v>
      </c>
      <c r="ZH297" s="242">
        <f t="shared" si="2217"/>
        <v>0</v>
      </c>
      <c r="ZI297" s="56"/>
      <c r="ZL297" s="55">
        <f t="shared" si="2218"/>
        <v>46273</v>
      </c>
      <c r="ZM297" s="56"/>
      <c r="ZN297" s="242">
        <f>SUMPRODUCT(PRODUCE!$B296:$DY296,PRODUCE!$EB$57:$IY$57)</f>
        <v>0</v>
      </c>
      <c r="ZO297" s="56"/>
      <c r="ZP297" s="242">
        <f t="shared" si="2219"/>
        <v>0</v>
      </c>
      <c r="ZQ297" s="242">
        <f t="shared" si="2220"/>
        <v>0</v>
      </c>
      <c r="ZR297" s="56"/>
      <c r="ZU297" s="55">
        <f t="shared" si="2221"/>
        <v>46273</v>
      </c>
      <c r="ZV297" s="56"/>
      <c r="ZW297" s="242">
        <f>SUMPRODUCT(PRODUCE!$B296:$DY296,PRODUCE!$EB$57:$IY$57)</f>
        <v>0</v>
      </c>
      <c r="ZX297" s="56"/>
      <c r="ZY297" s="242">
        <f t="shared" si="2222"/>
        <v>0</v>
      </c>
      <c r="ZZ297" s="242">
        <f t="shared" si="2223"/>
        <v>0</v>
      </c>
      <c r="AAA297" s="56"/>
      <c r="AAD297" s="55">
        <f t="shared" si="2224"/>
        <v>46273</v>
      </c>
      <c r="AAE297" s="56"/>
      <c r="AAF297" s="242">
        <f>SUMPRODUCT(PRODUCE!$B296:$DY296,PRODUCE!$EB$57:$IY$57)</f>
        <v>0</v>
      </c>
      <c r="AAG297" s="56"/>
      <c r="AAH297" s="242">
        <f t="shared" si="2225"/>
        <v>0</v>
      </c>
      <c r="AAI297" s="242">
        <f t="shared" si="2226"/>
        <v>0</v>
      </c>
      <c r="AAJ297" s="56"/>
      <c r="AAM297" s="55">
        <f t="shared" si="2227"/>
        <v>46273</v>
      </c>
      <c r="AAN297" s="56"/>
      <c r="AAO297" s="242">
        <f>SUMPRODUCT(PRODUCE!$B296:$DY296,PRODUCE!$EB$57:$IY$57)</f>
        <v>0</v>
      </c>
      <c r="AAP297" s="56"/>
      <c r="AAQ297" s="242">
        <f t="shared" si="2228"/>
        <v>0</v>
      </c>
      <c r="AAR297" s="242">
        <f t="shared" si="2229"/>
        <v>0</v>
      </c>
      <c r="AAS297" s="56"/>
      <c r="AAV297" s="55">
        <f t="shared" si="2230"/>
        <v>46273</v>
      </c>
      <c r="AAW297" s="56"/>
      <c r="AAX297" s="242">
        <f>SUMPRODUCT(PRODUCE!$B296:$DY296,PRODUCE!$EB$57:$IY$57)</f>
        <v>0</v>
      </c>
      <c r="AAY297" s="56"/>
      <c r="AAZ297" s="242">
        <f t="shared" si="2231"/>
        <v>0</v>
      </c>
      <c r="ABA297" s="242">
        <f t="shared" si="2232"/>
        <v>0</v>
      </c>
      <c r="ABB297" s="56"/>
      <c r="ABE297" s="55">
        <f t="shared" si="2233"/>
        <v>46273</v>
      </c>
      <c r="ABF297" s="56"/>
      <c r="ABG297" s="242">
        <f>SUMPRODUCT(PRODUCE!$B296:$DY296,PRODUCE!$EB$57:$IY$57)</f>
        <v>0</v>
      </c>
      <c r="ABH297" s="56"/>
      <c r="ABI297" s="242">
        <f t="shared" si="2234"/>
        <v>0</v>
      </c>
      <c r="ABJ297" s="242">
        <f t="shared" si="2235"/>
        <v>0</v>
      </c>
      <c r="ABK297" s="56"/>
    </row>
    <row r="298" spans="2:739" s="54" customFormat="1" ht="15" customHeight="1" outlineLevel="1">
      <c r="B298" s="478"/>
      <c r="C298" s="55">
        <v>46274</v>
      </c>
      <c r="D298" s="56"/>
      <c r="E298" s="57">
        <f>SUMPRODUCT(PRODUCE!$B297:$DY297,PRODUCE!$EB$7:$IY$7)</f>
        <v>0</v>
      </c>
      <c r="F298" s="56"/>
      <c r="G298" s="57">
        <f t="shared" si="1992"/>
        <v>0</v>
      </c>
      <c r="H298" s="57">
        <f t="shared" si="1993"/>
        <v>236936.6</v>
      </c>
      <c r="I298" s="289"/>
      <c r="L298" s="55">
        <f t="shared" si="1994"/>
        <v>46274</v>
      </c>
      <c r="M298" s="56"/>
      <c r="N298" s="59">
        <f>SUMPRODUCT(PRODUCE!$B297:$DY297,PRODUCE!$EB$8:$IY$8)</f>
        <v>0</v>
      </c>
      <c r="O298" s="56"/>
      <c r="P298" s="59">
        <f t="shared" si="1995"/>
        <v>0</v>
      </c>
      <c r="Q298" s="59">
        <f t="shared" si="1996"/>
        <v>53017.600000000071</v>
      </c>
      <c r="R298" s="56"/>
      <c r="U298" s="55">
        <f t="shared" si="1997"/>
        <v>46274</v>
      </c>
      <c r="V298" s="56"/>
      <c r="W298" s="60">
        <f>SUMPRODUCT(PRODUCE!$B297:$DY297,PRODUCE!$EB$9:$IY$9)</f>
        <v>0</v>
      </c>
      <c r="X298" s="56"/>
      <c r="Y298" s="60">
        <f t="shared" si="1998"/>
        <v>0</v>
      </c>
      <c r="Z298" s="60">
        <f t="shared" si="1999"/>
        <v>42674.199999999968</v>
      </c>
      <c r="AA298" s="56"/>
      <c r="AD298" s="55">
        <f t="shared" si="2000"/>
        <v>46274</v>
      </c>
      <c r="AE298" s="56"/>
      <c r="AF298" s="61">
        <f>SUMPRODUCT(PRODUCE!$B297:$DY297,PRODUCE!$EB$10:$IY$10)</f>
        <v>0</v>
      </c>
      <c r="AG298" s="56"/>
      <c r="AH298" s="61">
        <f t="shared" si="2001"/>
        <v>0</v>
      </c>
      <c r="AI298" s="61">
        <f t="shared" si="2002"/>
        <v>4522.2000000000189</v>
      </c>
      <c r="AJ298" s="56"/>
      <c r="AM298" s="55">
        <f t="shared" si="2003"/>
        <v>46274</v>
      </c>
      <c r="AN298" s="422"/>
      <c r="AO298" s="444">
        <f>SUMPRODUCT(PRODUCE!$B297:$DY297,PRODUCE!$EB$11:$IY$11)</f>
        <v>0</v>
      </c>
      <c r="AP298" s="422"/>
      <c r="AQ298" s="444">
        <f t="shared" si="2004"/>
        <v>0</v>
      </c>
      <c r="AR298" s="444">
        <f t="shared" si="2005"/>
        <v>0</v>
      </c>
      <c r="AS298" s="56"/>
      <c r="AV298" s="55">
        <f t="shared" si="2006"/>
        <v>46274</v>
      </c>
      <c r="AW298" s="56"/>
      <c r="AX298" s="62">
        <f>SUMPRODUCT(PRODUCE!$B297:$DY297,PRODUCE!$EB$12:$IY$12)</f>
        <v>0</v>
      </c>
      <c r="AY298" s="56"/>
      <c r="AZ298" s="62">
        <f t="shared" si="2007"/>
        <v>0</v>
      </c>
      <c r="BA298" s="62">
        <f t="shared" si="2008"/>
        <v>124.99999999999523</v>
      </c>
      <c r="BB298" s="56"/>
      <c r="BE298" s="55">
        <f t="shared" si="2009"/>
        <v>46274</v>
      </c>
      <c r="BF298" s="56"/>
      <c r="BG298" s="63">
        <f>SUMPRODUCT(PRODUCE!$B297:$DY297,PRODUCE!$EB$13:$IY$13)</f>
        <v>0</v>
      </c>
      <c r="BH298" s="56"/>
      <c r="BI298" s="63">
        <f t="shared" si="2010"/>
        <v>0</v>
      </c>
      <c r="BJ298" s="63">
        <f t="shared" si="2011"/>
        <v>26151.899999999998</v>
      </c>
      <c r="BK298" s="56"/>
      <c r="BN298" s="55">
        <f t="shared" si="2012"/>
        <v>46274</v>
      </c>
      <c r="BO298" s="56"/>
      <c r="BP298" s="64">
        <f>SUMPRODUCT(PRODUCE!$B297:$DY297,PRODUCE!$EB$14:$IY$14)</f>
        <v>0</v>
      </c>
      <c r="BQ298" s="56"/>
      <c r="BR298" s="64">
        <f t="shared" si="2013"/>
        <v>0</v>
      </c>
      <c r="BS298" s="64">
        <f t="shared" si="2014"/>
        <v>0</v>
      </c>
      <c r="BT298" s="56"/>
      <c r="BW298" s="55">
        <f t="shared" si="2015"/>
        <v>46274</v>
      </c>
      <c r="BX298" s="56"/>
      <c r="BY298" s="65">
        <f>SUMPRODUCT(PRODUCE!$B297:$DY297,PRODUCE!$EB$15:$IY$15)</f>
        <v>0</v>
      </c>
      <c r="BZ298" s="56"/>
      <c r="CA298" s="65">
        <f t="shared" si="2016"/>
        <v>0</v>
      </c>
      <c r="CB298" s="65">
        <f t="shared" si="2017"/>
        <v>2097.3399999999992</v>
      </c>
      <c r="CC298" s="56"/>
      <c r="CF298" s="55">
        <f t="shared" si="2018"/>
        <v>46274</v>
      </c>
      <c r="CG298" s="56"/>
      <c r="CH298" s="66">
        <f>SUMPRODUCT(PRODUCE!$B297:$DY297,PRODUCE!$EB$16:$IY$16)</f>
        <v>0</v>
      </c>
      <c r="CI298" s="56"/>
      <c r="CJ298" s="66">
        <f t="shared" si="2019"/>
        <v>0</v>
      </c>
      <c r="CK298" s="66">
        <f t="shared" si="2020"/>
        <v>-10277.079999999998</v>
      </c>
      <c r="CL298" s="56"/>
      <c r="CO298" s="55">
        <f t="shared" si="2021"/>
        <v>46274</v>
      </c>
      <c r="CP298" s="422"/>
      <c r="CQ298" s="470">
        <f>SUMPRODUCT(PRODUCE!$B297:$DY297,PRODUCE!$EB$17:$IY$17)</f>
        <v>0</v>
      </c>
      <c r="CR298" s="422"/>
      <c r="CS298" s="470">
        <f t="shared" si="2022"/>
        <v>0</v>
      </c>
      <c r="CT298" s="470">
        <f t="shared" si="2023"/>
        <v>0</v>
      </c>
      <c r="CU298" s="56"/>
      <c r="CX298" s="55">
        <f t="shared" si="2024"/>
        <v>46274</v>
      </c>
      <c r="CY298" s="56"/>
      <c r="CZ298" s="133">
        <f>SUMPRODUCT(PRODUCE!$B297:$DY297,PRODUCE!$EB$18:$IY$18)</f>
        <v>0</v>
      </c>
      <c r="DA298" s="56"/>
      <c r="DB298" s="133">
        <f t="shared" si="2025"/>
        <v>0</v>
      </c>
      <c r="DC298" s="133">
        <f t="shared" si="2026"/>
        <v>27438.200000000012</v>
      </c>
      <c r="DD298" s="56"/>
      <c r="DG298" s="55">
        <f t="shared" si="2027"/>
        <v>46274</v>
      </c>
      <c r="DH298" s="56"/>
      <c r="DI298" s="147">
        <f>SUMPRODUCT(PRODUCE!$B297:$DY297,PRODUCE!$EB$19:$IY$19)</f>
        <v>0</v>
      </c>
      <c r="DJ298" s="56"/>
      <c r="DK298" s="147">
        <f t="shared" si="2028"/>
        <v>0</v>
      </c>
      <c r="DL298" s="147">
        <f t="shared" si="2029"/>
        <v>18782.299999999981</v>
      </c>
      <c r="DM298" s="56"/>
      <c r="DP298" s="55">
        <f t="shared" si="2030"/>
        <v>46274</v>
      </c>
      <c r="DQ298" s="56"/>
      <c r="DR298" s="57">
        <f>SUMPRODUCT(PRODUCE!$B297:$DY297,PRODUCE!$EB$20:$IY$20)</f>
        <v>0</v>
      </c>
      <c r="DS298" s="56"/>
      <c r="DT298" s="57">
        <f t="shared" si="2031"/>
        <v>0</v>
      </c>
      <c r="DU298" s="57">
        <f t="shared" si="2032"/>
        <v>5800</v>
      </c>
      <c r="DV298" s="56"/>
      <c r="DY298" s="55">
        <f t="shared" si="2033"/>
        <v>46274</v>
      </c>
      <c r="DZ298" s="56"/>
      <c r="EA298" s="157">
        <f>SUMPRODUCT(PRODUCE!$B297:$DY297,PRODUCE!$EB$21:$IY$21)</f>
        <v>0</v>
      </c>
      <c r="EB298" s="56"/>
      <c r="EC298" s="157">
        <f t="shared" si="2034"/>
        <v>0</v>
      </c>
      <c r="ED298" s="157">
        <f t="shared" si="2035"/>
        <v>0</v>
      </c>
      <c r="EE298" s="56"/>
      <c r="EH298" s="55">
        <f t="shared" si="2036"/>
        <v>46274</v>
      </c>
      <c r="EI298" s="56"/>
      <c r="EJ298" s="162">
        <f>SUMPRODUCT(PRODUCE!$B297:$DY297,PRODUCE!$EB$22:$IY$22)</f>
        <v>0</v>
      </c>
      <c r="EK298" s="56"/>
      <c r="EL298" s="162">
        <f t="shared" si="2037"/>
        <v>0</v>
      </c>
      <c r="EM298" s="162">
        <f t="shared" si="2038"/>
        <v>0</v>
      </c>
      <c r="EN298" s="56"/>
      <c r="EQ298" s="55">
        <f t="shared" si="2039"/>
        <v>46274</v>
      </c>
      <c r="ER298" s="56"/>
      <c r="ES298" s="135">
        <f>SUMPRODUCT(PRODUCE!$B297:$DY297,PRODUCE!$EB$23:$IY$23)</f>
        <v>0</v>
      </c>
      <c r="ET298" s="56"/>
      <c r="EU298" s="135">
        <f t="shared" si="2040"/>
        <v>0</v>
      </c>
      <c r="EV298" s="135">
        <f t="shared" si="2041"/>
        <v>0</v>
      </c>
      <c r="EW298" s="56"/>
      <c r="EZ298" s="55">
        <f t="shared" si="2042"/>
        <v>46274</v>
      </c>
      <c r="FA298" s="56"/>
      <c r="FB298" s="175">
        <f>SUMPRODUCT(PRODUCE!$B297:$DY297,PRODUCE!$EB$24:$IY$24)</f>
        <v>0</v>
      </c>
      <c r="FC298" s="56"/>
      <c r="FD298" s="175">
        <f t="shared" si="2043"/>
        <v>0</v>
      </c>
      <c r="FE298" s="175">
        <f t="shared" si="2044"/>
        <v>0</v>
      </c>
      <c r="FF298" s="56"/>
      <c r="FI298" s="55">
        <f t="shared" si="2045"/>
        <v>46274</v>
      </c>
      <c r="FJ298" s="56"/>
      <c r="FK298" s="183">
        <f>SUMPRODUCT(PRODUCE!$B297:$DY297,PRODUCE!$EB$25:$IY$25)</f>
        <v>0</v>
      </c>
      <c r="FL298" s="56"/>
      <c r="FM298" s="183">
        <f t="shared" si="2046"/>
        <v>0</v>
      </c>
      <c r="FN298" s="183">
        <f t="shared" si="2047"/>
        <v>0</v>
      </c>
      <c r="FO298" s="56"/>
      <c r="FR298" s="55">
        <f t="shared" si="2048"/>
        <v>46274</v>
      </c>
      <c r="FS298" s="56"/>
      <c r="FT298" s="186">
        <f>SUMPRODUCT(PRODUCE!$B297:$DY297,PRODUCE!$EB$26:$IY$26)</f>
        <v>0</v>
      </c>
      <c r="FU298" s="56"/>
      <c r="FV298" s="186">
        <f t="shared" si="2049"/>
        <v>0</v>
      </c>
      <c r="FW298" s="186">
        <f t="shared" si="2050"/>
        <v>2020</v>
      </c>
      <c r="FX298" s="56"/>
      <c r="GA298" s="55">
        <f t="shared" si="2051"/>
        <v>46274</v>
      </c>
      <c r="GB298" s="56"/>
      <c r="GC298" s="137">
        <f>SUMPRODUCT(PRODUCE!$B297:$DY297,PRODUCE!$EB$27:$IY$27)</f>
        <v>0</v>
      </c>
      <c r="GD298" s="56"/>
      <c r="GE298" s="137">
        <f t="shared" si="2052"/>
        <v>0</v>
      </c>
      <c r="GF298" s="137">
        <f t="shared" si="2053"/>
        <v>960</v>
      </c>
      <c r="GG298" s="56"/>
      <c r="GI298" s="23"/>
      <c r="GJ298" s="55">
        <f t="shared" si="2054"/>
        <v>46274</v>
      </c>
      <c r="GK298" s="56"/>
      <c r="GL298" s="199">
        <f>SUMPRODUCT(PRODUCE!$B297:$DY297,PRODUCE!$EB$28:$IY$28)</f>
        <v>0</v>
      </c>
      <c r="GM298" s="56"/>
      <c r="GN298" s="199">
        <f t="shared" si="2055"/>
        <v>0</v>
      </c>
      <c r="GO298" s="199">
        <f t="shared" si="2056"/>
        <v>1760</v>
      </c>
      <c r="GP298" s="56"/>
      <c r="GS298" s="55">
        <f t="shared" si="2057"/>
        <v>46274</v>
      </c>
      <c r="GT298" s="56"/>
      <c r="GU298" s="195">
        <f>SUMPRODUCT(PRODUCE!$B297:$DY297,PRODUCE!$EB$29:$IY$29)</f>
        <v>0</v>
      </c>
      <c r="GV298" s="56"/>
      <c r="GW298" s="195">
        <f t="shared" si="2058"/>
        <v>0</v>
      </c>
      <c r="GX298" s="195">
        <f t="shared" si="2059"/>
        <v>400</v>
      </c>
      <c r="GY298" s="56"/>
      <c r="HB298" s="55">
        <f t="shared" si="2060"/>
        <v>46274</v>
      </c>
      <c r="HC298" s="56"/>
      <c r="HD298" s="191">
        <f>SUMPRODUCT(PRODUCE!$B297:$DY297,PRODUCE!$EB$30:$IY$30)</f>
        <v>0</v>
      </c>
      <c r="HE298" s="56"/>
      <c r="HF298" s="191">
        <f t="shared" si="2061"/>
        <v>0</v>
      </c>
      <c r="HG298" s="191">
        <f t="shared" si="2062"/>
        <v>3600</v>
      </c>
      <c r="HH298" s="56"/>
      <c r="HK298" s="55">
        <f t="shared" si="2063"/>
        <v>46274</v>
      </c>
      <c r="HL298" s="56"/>
      <c r="HM298" s="63">
        <f>SUMPRODUCT(PRODUCE!$B297:$DY297,PRODUCE!$EB$31:$IY$31)</f>
        <v>0</v>
      </c>
      <c r="HN298" s="56"/>
      <c r="HO298" s="63">
        <f t="shared" si="2064"/>
        <v>0</v>
      </c>
      <c r="HP298" s="63">
        <f t="shared" si="2065"/>
        <v>0</v>
      </c>
      <c r="HQ298" s="56"/>
      <c r="HU298" s="55">
        <f t="shared" si="2066"/>
        <v>46274</v>
      </c>
      <c r="HV298" s="56"/>
      <c r="HW298" s="242">
        <f>SUMPRODUCT(PRODUCE!$B297:$DY297,PRODUCE!$EB$32:$IY$32)</f>
        <v>0</v>
      </c>
      <c r="HX298" s="56"/>
      <c r="HY298" s="242">
        <f t="shared" si="2236"/>
        <v>0</v>
      </c>
      <c r="HZ298" s="242">
        <f t="shared" si="2067"/>
        <v>6120</v>
      </c>
      <c r="IA298" s="56"/>
      <c r="ID298" s="55">
        <f t="shared" si="2068"/>
        <v>46274</v>
      </c>
      <c r="IE298" s="56"/>
      <c r="IF298" s="242">
        <f>SUMPRODUCT(PRODUCE!$B297:$DY297,PRODUCE!$EB$33:$IY$33)</f>
        <v>0</v>
      </c>
      <c r="IG298" s="56"/>
      <c r="IH298" s="242">
        <f t="shared" si="2069"/>
        <v>0</v>
      </c>
      <c r="II298" s="242">
        <f t="shared" si="2070"/>
        <v>0</v>
      </c>
      <c r="IJ298" s="56"/>
      <c r="IM298" s="55">
        <f t="shared" si="2071"/>
        <v>46274</v>
      </c>
      <c r="IN298" s="56"/>
      <c r="IO298" s="242">
        <f>SUMPRODUCT(PRODUCE!$B297:$DY297,PRODUCE!$EB$34:$IY$34)</f>
        <v>0</v>
      </c>
      <c r="IP298" s="56"/>
      <c r="IQ298" s="242">
        <f t="shared" si="2072"/>
        <v>0</v>
      </c>
      <c r="IR298" s="242">
        <f t="shared" si="2073"/>
        <v>0</v>
      </c>
      <c r="IS298" s="56"/>
      <c r="IV298" s="55">
        <f t="shared" si="2074"/>
        <v>46274</v>
      </c>
      <c r="IW298" s="56"/>
      <c r="IX298" s="242">
        <f>SUMPRODUCT(PRODUCE!$B297:$DY297,PRODUCE!$EB$35:$IY$35)</f>
        <v>0</v>
      </c>
      <c r="IY298" s="56"/>
      <c r="IZ298" s="242">
        <f t="shared" si="2075"/>
        <v>0</v>
      </c>
      <c r="JA298" s="242">
        <f t="shared" si="2076"/>
        <v>2820</v>
      </c>
      <c r="JB298" s="56"/>
      <c r="JE298" s="55">
        <f t="shared" si="2077"/>
        <v>46274</v>
      </c>
      <c r="JF298" s="56"/>
      <c r="JG298" s="242">
        <f>SUMPRODUCT(PRODUCE!$B297:$DY297,PRODUCE!$EB$36:$IY$36)</f>
        <v>0</v>
      </c>
      <c r="JH298" s="56"/>
      <c r="JI298" s="242">
        <f t="shared" si="2078"/>
        <v>0</v>
      </c>
      <c r="JJ298" s="242">
        <f t="shared" si="2079"/>
        <v>0</v>
      </c>
      <c r="JK298" s="56"/>
      <c r="JN298" s="55">
        <f t="shared" si="2080"/>
        <v>46274</v>
      </c>
      <c r="JO298" s="56"/>
      <c r="JP298" s="242">
        <f>SUMPRODUCT(PRODUCE!$B297:$DY297,PRODUCE!$EB$37:$IY$37)</f>
        <v>0</v>
      </c>
      <c r="JQ298" s="56"/>
      <c r="JR298" s="242">
        <f t="shared" si="2081"/>
        <v>0</v>
      </c>
      <c r="JS298" s="242">
        <f t="shared" si="2082"/>
        <v>0</v>
      </c>
      <c r="JT298" s="56"/>
      <c r="JW298" s="55">
        <f t="shared" si="2083"/>
        <v>46274</v>
      </c>
      <c r="JX298" s="56"/>
      <c r="JY298" s="242">
        <f>SUMPRODUCT(PRODUCE!$B297:$DY297,PRODUCE!$EB$38:$IY$38)</f>
        <v>0</v>
      </c>
      <c r="JZ298" s="56"/>
      <c r="KA298" s="242">
        <f t="shared" si="2084"/>
        <v>0</v>
      </c>
      <c r="KB298" s="242">
        <f t="shared" si="2085"/>
        <v>2540</v>
      </c>
      <c r="KC298" s="56"/>
      <c r="KF298" s="55">
        <f t="shared" si="2086"/>
        <v>46274</v>
      </c>
      <c r="KG298" s="56"/>
      <c r="KH298" s="242">
        <f>SUMPRODUCT(PRODUCE!$B297:$DY297,PRODUCE!$EB$39:$IY$39)</f>
        <v>0</v>
      </c>
      <c r="KI298" s="56"/>
      <c r="KJ298" s="242">
        <f t="shared" si="2087"/>
        <v>0</v>
      </c>
      <c r="KK298" s="242">
        <f t="shared" si="2088"/>
        <v>2359.5</v>
      </c>
      <c r="KL298" s="56"/>
      <c r="KO298" s="55">
        <f t="shared" si="2089"/>
        <v>46274</v>
      </c>
      <c r="KP298" s="56"/>
      <c r="KQ298" s="242">
        <f>SUMPRODUCT(PRODUCE!$B297:$DY297,PRODUCE!$EB$40:$IY$40)</f>
        <v>0</v>
      </c>
      <c r="KR298" s="56"/>
      <c r="KS298" s="242">
        <f t="shared" si="2090"/>
        <v>0</v>
      </c>
      <c r="KT298" s="242">
        <f t="shared" si="2091"/>
        <v>1890</v>
      </c>
      <c r="KU298" s="56"/>
      <c r="KW298" s="23"/>
      <c r="KX298" s="55">
        <f t="shared" si="2092"/>
        <v>46274</v>
      </c>
      <c r="KY298" s="56"/>
      <c r="KZ298" s="242">
        <f>SUMPRODUCT(PRODUCE!$B297:$DY297,PRODUCE!$EB$41:$IY$41)</f>
        <v>0</v>
      </c>
      <c r="LA298" s="56"/>
      <c r="LB298" s="242">
        <f t="shared" si="2093"/>
        <v>0</v>
      </c>
      <c r="LC298" s="242">
        <f t="shared" si="2094"/>
        <v>3690</v>
      </c>
      <c r="LD298" s="56"/>
      <c r="LG298" s="55">
        <f t="shared" si="2095"/>
        <v>46274</v>
      </c>
      <c r="LH298" s="56"/>
      <c r="LI298" s="242">
        <f>SUMPRODUCT(PRODUCE!$B297:$DY297,PRODUCE!$EB$42:$IY$42)</f>
        <v>0</v>
      </c>
      <c r="LJ298" s="56"/>
      <c r="LK298" s="242">
        <f t="shared" si="2096"/>
        <v>0</v>
      </c>
      <c r="LL298" s="242">
        <f t="shared" si="2097"/>
        <v>4000</v>
      </c>
      <c r="LM298" s="56"/>
      <c r="LP298" s="55">
        <f t="shared" si="2098"/>
        <v>46274</v>
      </c>
      <c r="LQ298" s="56"/>
      <c r="LR298" s="242">
        <f>SUMPRODUCT(PRODUCE!$B313:$DY313,PRODUCE!$EB$43:$IY$43)</f>
        <v>0</v>
      </c>
      <c r="LS298" s="56"/>
      <c r="LT298" s="242">
        <f t="shared" si="2099"/>
        <v>0</v>
      </c>
      <c r="LU298" s="242">
        <f t="shared" si="2100"/>
        <v>0</v>
      </c>
      <c r="LV298" s="56"/>
      <c r="LY298" s="55">
        <f t="shared" si="2101"/>
        <v>46274</v>
      </c>
      <c r="LZ298" s="56"/>
      <c r="MA298" s="242">
        <f>SUMPRODUCT(PRODUCE!$B297:$DY297,PRODUCE!$EB$44:$IY$44)</f>
        <v>0</v>
      </c>
      <c r="MB298" s="56"/>
      <c r="MC298" s="242">
        <f t="shared" si="2102"/>
        <v>0</v>
      </c>
      <c r="MD298" s="242">
        <f t="shared" si="2103"/>
        <v>0</v>
      </c>
      <c r="ME298" s="56"/>
      <c r="MH298" s="55">
        <f t="shared" si="2104"/>
        <v>46274</v>
      </c>
      <c r="MI298" s="56"/>
      <c r="MJ298" s="242">
        <f>SUMPRODUCT(PRODUCE!$B297:$DY297,PRODUCE!$EB$45:$IY$45)</f>
        <v>0</v>
      </c>
      <c r="MK298" s="56"/>
      <c r="ML298" s="242">
        <f t="shared" si="2105"/>
        <v>0</v>
      </c>
      <c r="MM298" s="242">
        <f t="shared" si="2106"/>
        <v>0</v>
      </c>
      <c r="MN298" s="56"/>
      <c r="MQ298" s="55">
        <f t="shared" si="2107"/>
        <v>46274</v>
      </c>
      <c r="MR298" s="56"/>
      <c r="MS298" s="242">
        <f>SUMPRODUCT(PRODUCE!$B297:$DY297,PRODUCE!$EB$46:$IY$46)</f>
        <v>0</v>
      </c>
      <c r="MT298" s="56"/>
      <c r="MU298" s="242">
        <f t="shared" si="2108"/>
        <v>0</v>
      </c>
      <c r="MV298" s="242">
        <f t="shared" si="2109"/>
        <v>1625</v>
      </c>
      <c r="MW298" s="56"/>
      <c r="MZ298" s="55">
        <f t="shared" si="2110"/>
        <v>46274</v>
      </c>
      <c r="NA298" s="56"/>
      <c r="NB298" s="242">
        <f>SUMPRODUCT(PRODUCE!$B297:$DY297,PRODUCE!$EB$47:$IY$47)</f>
        <v>0</v>
      </c>
      <c r="NC298" s="56"/>
      <c r="ND298" s="242">
        <f t="shared" si="2111"/>
        <v>0</v>
      </c>
      <c r="NE298" s="242">
        <f t="shared" si="2112"/>
        <v>0</v>
      </c>
      <c r="NF298" s="56"/>
      <c r="NI298" s="55">
        <f t="shared" si="2113"/>
        <v>46274</v>
      </c>
      <c r="NJ298" s="56"/>
      <c r="NK298" s="242">
        <f>SUMPRODUCT(PRODUCE!$B297:$DY297,PRODUCE!$EB$48:$IY$48)</f>
        <v>0</v>
      </c>
      <c r="NL298" s="56"/>
      <c r="NM298" s="242">
        <f t="shared" si="2114"/>
        <v>0</v>
      </c>
      <c r="NN298" s="242">
        <f t="shared" si="2115"/>
        <v>1127</v>
      </c>
      <c r="NO298" s="56"/>
      <c r="NR298" s="55">
        <f t="shared" si="2116"/>
        <v>46274</v>
      </c>
      <c r="NS298" s="56"/>
      <c r="NT298" s="242">
        <f>SUMPRODUCT(PRODUCE!$B297:$DY297,PRODUCE!$EB$49:$IY$49)</f>
        <v>0</v>
      </c>
      <c r="NU298" s="56"/>
      <c r="NV298" s="242">
        <f t="shared" si="2117"/>
        <v>0</v>
      </c>
      <c r="NW298" s="242">
        <f t="shared" si="2118"/>
        <v>3111.9999999999995</v>
      </c>
      <c r="NX298" s="56"/>
      <c r="OA298" s="55">
        <f t="shared" si="2119"/>
        <v>46274</v>
      </c>
      <c r="OB298" s="56"/>
      <c r="OC298" s="242">
        <f>SUMPRODUCT(PRODUCE!$B297:$DY297,PRODUCE!$EB$50:$IY$50)</f>
        <v>0</v>
      </c>
      <c r="OD298" s="56"/>
      <c r="OE298" s="242">
        <f t="shared" si="2120"/>
        <v>0</v>
      </c>
      <c r="OF298" s="242">
        <f t="shared" si="2121"/>
        <v>1680.5</v>
      </c>
      <c r="OG298" s="56"/>
      <c r="OJ298" s="55">
        <f t="shared" si="2122"/>
        <v>46274</v>
      </c>
      <c r="OK298" s="56"/>
      <c r="OL298" s="242">
        <f>SUMPRODUCT(PRODUCE!$B297:$DY297,PRODUCE!$EB$51:$IY$51)</f>
        <v>0</v>
      </c>
      <c r="OM298" s="56"/>
      <c r="ON298" s="242">
        <f t="shared" si="2123"/>
        <v>0</v>
      </c>
      <c r="OO298" s="242">
        <f t="shared" si="2124"/>
        <v>0</v>
      </c>
      <c r="OP298" s="56"/>
      <c r="OS298" s="55">
        <f t="shared" si="2125"/>
        <v>46274</v>
      </c>
      <c r="OT298" s="56"/>
      <c r="OU298" s="242">
        <f>SUMPRODUCT(PRODUCE!$B297:$DY297,PRODUCE!$EB$52:$IY$52)</f>
        <v>0</v>
      </c>
      <c r="OV298" s="56"/>
      <c r="OW298" s="242">
        <f t="shared" si="2126"/>
        <v>0</v>
      </c>
      <c r="OX298" s="242">
        <f t="shared" si="2127"/>
        <v>1482</v>
      </c>
      <c r="OY298" s="56"/>
      <c r="PB298" s="55">
        <f t="shared" si="2128"/>
        <v>46274</v>
      </c>
      <c r="PC298" s="56"/>
      <c r="PD298" s="242">
        <f>SUMPRODUCT(PRODUCE!$B297:$DY297,PRODUCE!$EB$53:$IY$53)</f>
        <v>0</v>
      </c>
      <c r="PE298" s="56"/>
      <c r="PF298" s="242">
        <f t="shared" si="2129"/>
        <v>0</v>
      </c>
      <c r="PG298" s="242">
        <f t="shared" si="2130"/>
        <v>0</v>
      </c>
      <c r="PH298" s="56"/>
      <c r="PK298" s="55">
        <f t="shared" si="2131"/>
        <v>46274</v>
      </c>
      <c r="PL298" s="56"/>
      <c r="PM298" s="242">
        <f>SUMPRODUCT(PRODUCE!$B297:$DY297,PRODUCE!$EB$54:$IY$54)</f>
        <v>0</v>
      </c>
      <c r="PN298" s="56"/>
      <c r="PO298" s="242">
        <f t="shared" si="2132"/>
        <v>0</v>
      </c>
      <c r="PP298" s="242">
        <f t="shared" si="2133"/>
        <v>100</v>
      </c>
      <c r="PQ298" s="56"/>
      <c r="PT298" s="55">
        <f t="shared" si="2134"/>
        <v>46274</v>
      </c>
      <c r="PU298" s="56"/>
      <c r="PV298" s="242">
        <f>SUMPRODUCT(PRODUCE!$B297:$DY297,PRODUCE!$EB$55:$IY$55)</f>
        <v>0</v>
      </c>
      <c r="PW298" s="56"/>
      <c r="PX298" s="242">
        <f t="shared" si="2135"/>
        <v>0</v>
      </c>
      <c r="PY298" s="242">
        <f t="shared" si="2136"/>
        <v>13.960000000000036</v>
      </c>
      <c r="PZ298" s="56"/>
      <c r="QC298" s="55">
        <f t="shared" si="2137"/>
        <v>46274</v>
      </c>
      <c r="QD298" s="56"/>
      <c r="QE298" s="242">
        <f>SUMPRODUCT(PRODUCE!$B297:$DY297,PRODUCE!$EB$56:$IY$56)</f>
        <v>0</v>
      </c>
      <c r="QF298" s="56"/>
      <c r="QG298" s="242">
        <f t="shared" si="2138"/>
        <v>0</v>
      </c>
      <c r="QH298" s="242">
        <f t="shared" si="2139"/>
        <v>548</v>
      </c>
      <c r="QI298" s="56"/>
      <c r="QL298" s="55">
        <f t="shared" si="2140"/>
        <v>46274</v>
      </c>
      <c r="QM298" s="56"/>
      <c r="QN298" s="242">
        <f>SUMPRODUCT(PRODUCE!$B297:$DY297,PRODUCE!$EB$57:$IY$57)</f>
        <v>0</v>
      </c>
      <c r="QO298" s="56"/>
      <c r="QP298" s="242">
        <f t="shared" si="2141"/>
        <v>0</v>
      </c>
      <c r="QQ298" s="242">
        <f t="shared" si="2142"/>
        <v>0</v>
      </c>
      <c r="QR298" s="56"/>
      <c r="QU298" s="55">
        <f t="shared" si="2143"/>
        <v>46274</v>
      </c>
      <c r="QV298" s="56"/>
      <c r="QW298" s="242">
        <f>SUMPRODUCT(PRODUCE!$B297:$DY297,PRODUCE!$EB$57:$IY$57)</f>
        <v>0</v>
      </c>
      <c r="QX298" s="56"/>
      <c r="QY298" s="242">
        <f t="shared" si="2144"/>
        <v>0</v>
      </c>
      <c r="QZ298" s="242">
        <f t="shared" si="2145"/>
        <v>0</v>
      </c>
      <c r="RA298" s="56"/>
      <c r="RD298" s="55">
        <f t="shared" si="2146"/>
        <v>46274</v>
      </c>
      <c r="RE298" s="56"/>
      <c r="RF298" s="242">
        <f>SUMPRODUCT(PRODUCE!$B297:$DY297,PRODUCE!$EB$58:$IY$58)</f>
        <v>0</v>
      </c>
      <c r="RG298" s="56"/>
      <c r="RH298" s="242">
        <f t="shared" si="2147"/>
        <v>0</v>
      </c>
      <c r="RI298" s="242">
        <f t="shared" si="2148"/>
        <v>147.04000000000002</v>
      </c>
      <c r="RJ298" s="56"/>
      <c r="RM298" s="55">
        <f t="shared" si="2149"/>
        <v>46274</v>
      </c>
      <c r="RN298" s="56"/>
      <c r="RO298" s="242">
        <f>SUMPRODUCT(PRODUCE!$B297:$DY297,PRODUCE!$EB$59:$IY$59)</f>
        <v>0</v>
      </c>
      <c r="RP298" s="56"/>
      <c r="RQ298" s="242">
        <f t="shared" si="2150"/>
        <v>0</v>
      </c>
      <c r="RR298" s="242">
        <f t="shared" si="2151"/>
        <v>46.8</v>
      </c>
      <c r="RS298" s="56"/>
      <c r="RV298" s="55">
        <f t="shared" si="2152"/>
        <v>46274</v>
      </c>
      <c r="RW298" s="56"/>
      <c r="RX298" s="242">
        <f>SUMPRODUCT(PRODUCE!$B297:$DY297,PRODUCE!$EB$57:$IY$57)</f>
        <v>0</v>
      </c>
      <c r="RY298" s="56"/>
      <c r="RZ298" s="242">
        <f t="shared" si="2153"/>
        <v>0</v>
      </c>
      <c r="SA298" s="242">
        <f t="shared" si="2154"/>
        <v>0</v>
      </c>
      <c r="SB298" s="56"/>
      <c r="SE298" s="55">
        <f t="shared" si="2155"/>
        <v>46274</v>
      </c>
      <c r="SF298" s="56"/>
      <c r="SG298" s="242">
        <f>SUMPRODUCT(PRODUCE!$B297:$DY297,PRODUCE!$EB$61:$IY$61)</f>
        <v>0</v>
      </c>
      <c r="SH298" s="56"/>
      <c r="SI298" s="242">
        <f t="shared" si="2156"/>
        <v>0</v>
      </c>
      <c r="SJ298" s="242">
        <f t="shared" si="2157"/>
        <v>24.200000000000003</v>
      </c>
      <c r="SK298" s="56"/>
      <c r="SN298" s="55">
        <f t="shared" si="2158"/>
        <v>46274</v>
      </c>
      <c r="SO298" s="56"/>
      <c r="SP298" s="242">
        <f>SUMPRODUCT(PRODUCE!$B297:$DY297,PRODUCE!$EB$57:$IY$57)</f>
        <v>0</v>
      </c>
      <c r="SQ298" s="56"/>
      <c r="SR298" s="242">
        <f t="shared" si="2159"/>
        <v>0</v>
      </c>
      <c r="SS298" s="242">
        <f t="shared" si="2160"/>
        <v>32</v>
      </c>
      <c r="ST298" s="56"/>
      <c r="SW298" s="55">
        <f t="shared" si="2161"/>
        <v>46274</v>
      </c>
      <c r="SX298" s="56"/>
      <c r="SY298" s="242">
        <f>SUMPRODUCT(PRODUCE!$B297:$DY297,PRODUCE!$EB$57:$IY$57)</f>
        <v>0</v>
      </c>
      <c r="SZ298" s="56"/>
      <c r="TA298" s="242">
        <f t="shared" si="2162"/>
        <v>0</v>
      </c>
      <c r="TB298" s="242">
        <f t="shared" si="2163"/>
        <v>0</v>
      </c>
      <c r="TC298" s="56"/>
      <c r="TF298" s="55">
        <f t="shared" si="2164"/>
        <v>46274</v>
      </c>
      <c r="TG298" s="56"/>
      <c r="TH298" s="242">
        <f>SUMPRODUCT(PRODUCE!$B297:$DY297,PRODUCE!$EB$57:$IY$57)</f>
        <v>0</v>
      </c>
      <c r="TI298" s="56"/>
      <c r="TJ298" s="242">
        <f t="shared" si="2165"/>
        <v>0</v>
      </c>
      <c r="TK298" s="242">
        <f t="shared" si="2166"/>
        <v>0</v>
      </c>
      <c r="TL298" s="56"/>
      <c r="TO298" s="55">
        <f t="shared" si="2167"/>
        <v>46274</v>
      </c>
      <c r="TP298" s="56"/>
      <c r="TQ298" s="242">
        <f>SUMPRODUCT(PRODUCE!$B297:$DY297,PRODUCE!$EB$57:$IY$57)</f>
        <v>0</v>
      </c>
      <c r="TR298" s="56"/>
      <c r="TS298" s="242">
        <f t="shared" si="2168"/>
        <v>0</v>
      </c>
      <c r="TT298" s="242">
        <f t="shared" si="2169"/>
        <v>0</v>
      </c>
      <c r="TU298" s="56"/>
      <c r="TX298" s="55">
        <f t="shared" si="2170"/>
        <v>46274</v>
      </c>
      <c r="TY298" s="56"/>
      <c r="TZ298" s="242">
        <f>SUMPRODUCT(PRODUCE!$B297:$DY297,PRODUCE!$EB$57:$IY$57)</f>
        <v>0</v>
      </c>
      <c r="UA298" s="56"/>
      <c r="UB298" s="242">
        <f t="shared" si="2171"/>
        <v>0</v>
      </c>
      <c r="UC298" s="242">
        <f t="shared" si="2172"/>
        <v>46.799999999999983</v>
      </c>
      <c r="UD298" s="56"/>
      <c r="UG298" s="55">
        <f t="shared" si="2173"/>
        <v>46274</v>
      </c>
      <c r="UH298" s="56"/>
      <c r="UI298" s="242">
        <f>SUMPRODUCT(PRODUCE!$B297:$DY297,PRODUCE!$EB$57:$IY$57)</f>
        <v>0</v>
      </c>
      <c r="UJ298" s="56"/>
      <c r="UK298" s="242">
        <f t="shared" si="2174"/>
        <v>0</v>
      </c>
      <c r="UL298" s="242">
        <f t="shared" si="2175"/>
        <v>204</v>
      </c>
      <c r="UM298" s="56"/>
      <c r="UP298" s="55">
        <f t="shared" si="2176"/>
        <v>46274</v>
      </c>
      <c r="UQ298" s="56"/>
      <c r="UR298" s="242">
        <f>SUMPRODUCT(PRODUCE!$B297:$DY297,PRODUCE!$EB$57:$IY$57)</f>
        <v>0</v>
      </c>
      <c r="US298" s="56"/>
      <c r="UT298" s="242">
        <f t="shared" si="2177"/>
        <v>0</v>
      </c>
      <c r="UU298" s="242">
        <f t="shared" si="2178"/>
        <v>202.5</v>
      </c>
      <c r="UV298" s="56"/>
      <c r="UY298" s="55">
        <f t="shared" si="2179"/>
        <v>46274</v>
      </c>
      <c r="UZ298" s="56"/>
      <c r="VA298" s="242">
        <f>SUMPRODUCT(PRODUCE!$B297:$DY297,PRODUCE!$EB$57:$IY$57)</f>
        <v>0</v>
      </c>
      <c r="VB298" s="56"/>
      <c r="VC298" s="242">
        <f t="shared" si="2180"/>
        <v>0</v>
      </c>
      <c r="VD298" s="242">
        <f t="shared" si="2181"/>
        <v>41.600000000000023</v>
      </c>
      <c r="VE298" s="56"/>
      <c r="VH298" s="55">
        <f t="shared" si="2182"/>
        <v>46274</v>
      </c>
      <c r="VI298" s="56"/>
      <c r="VJ298" s="242">
        <f>SUMPRODUCT(PRODUCE!$B297:$DY297,PRODUCE!$EB$57:$IY$57)</f>
        <v>0</v>
      </c>
      <c r="VK298" s="56"/>
      <c r="VL298" s="242">
        <f t="shared" si="2183"/>
        <v>0</v>
      </c>
      <c r="VM298" s="242">
        <f t="shared" si="2184"/>
        <v>210</v>
      </c>
      <c r="VN298" s="56"/>
      <c r="VQ298" s="55">
        <f t="shared" si="2185"/>
        <v>46274</v>
      </c>
      <c r="VR298" s="56"/>
      <c r="VS298" s="242">
        <f>SUMPRODUCT(PRODUCE!$B297:$DY297,PRODUCE!$EB$57:$IY$57)</f>
        <v>0</v>
      </c>
      <c r="VT298" s="56"/>
      <c r="VU298" s="242">
        <f t="shared" si="2186"/>
        <v>0</v>
      </c>
      <c r="VV298" s="242">
        <f t="shared" si="2187"/>
        <v>0</v>
      </c>
      <c r="VW298" s="56"/>
      <c r="VZ298" s="55">
        <f t="shared" si="2188"/>
        <v>46274</v>
      </c>
      <c r="WA298" s="56"/>
      <c r="WB298" s="242">
        <f>SUMPRODUCT(PRODUCE!$B297:$DY297,PRODUCE!$EB$57:$IY$57)</f>
        <v>0</v>
      </c>
      <c r="WC298" s="56"/>
      <c r="WD298" s="242">
        <f t="shared" si="2189"/>
        <v>0</v>
      </c>
      <c r="WE298" s="242">
        <f t="shared" si="2190"/>
        <v>0</v>
      </c>
      <c r="WF298" s="56"/>
      <c r="WI298" s="55">
        <f t="shared" si="2191"/>
        <v>46274</v>
      </c>
      <c r="WJ298" s="56"/>
      <c r="WK298" s="242">
        <f>SUMPRODUCT(PRODUCE!$B297:$DY297,PRODUCE!$EB$57:$IY$57)</f>
        <v>0</v>
      </c>
      <c r="WL298" s="56"/>
      <c r="WM298" s="242">
        <f t="shared" si="2192"/>
        <v>0</v>
      </c>
      <c r="WN298" s="242">
        <f t="shared" si="2193"/>
        <v>1057</v>
      </c>
      <c r="WO298" s="56"/>
      <c r="WR298" s="55">
        <f t="shared" si="2194"/>
        <v>46274</v>
      </c>
      <c r="WS298" s="56"/>
      <c r="WT298" s="242">
        <f>SUMPRODUCT(PRODUCE!$B297:$DY297,PRODUCE!$EB$57:$IY$57)</f>
        <v>0</v>
      </c>
      <c r="WU298" s="56"/>
      <c r="WV298" s="242">
        <f t="shared" si="2195"/>
        <v>0</v>
      </c>
      <c r="WW298" s="242">
        <f t="shared" si="2196"/>
        <v>0</v>
      </c>
      <c r="WX298" s="56"/>
      <c r="XA298" s="55">
        <f t="shared" si="2197"/>
        <v>46274</v>
      </c>
      <c r="XB298" s="56"/>
      <c r="XC298" s="242">
        <f>SUMPRODUCT(PRODUCE!$B297:$DY297,PRODUCE!$EB$57:$IY$57)</f>
        <v>0</v>
      </c>
      <c r="XD298" s="56"/>
      <c r="XE298" s="242">
        <f t="shared" si="2198"/>
        <v>0</v>
      </c>
      <c r="XF298" s="242">
        <f t="shared" si="2199"/>
        <v>7507</v>
      </c>
      <c r="XG298" s="56"/>
      <c r="XJ298" s="55">
        <f t="shared" si="2200"/>
        <v>46274</v>
      </c>
      <c r="XK298" s="56"/>
      <c r="XL298" s="242">
        <f>SUMPRODUCT(PRODUCE!$B297:$DY297,PRODUCE!$EB$57:$IY$57)</f>
        <v>0</v>
      </c>
      <c r="XM298" s="56"/>
      <c r="XN298" s="242">
        <f t="shared" si="2201"/>
        <v>0</v>
      </c>
      <c r="XO298" s="242">
        <f t="shared" si="2202"/>
        <v>4252</v>
      </c>
      <c r="XP298" s="56"/>
      <c r="XS298" s="55">
        <f t="shared" si="2203"/>
        <v>46274</v>
      </c>
      <c r="XT298" s="56"/>
      <c r="XU298" s="242">
        <f>SUMPRODUCT(PRODUCE!$B297:$DY297,PRODUCE!$EB$57:$IY$57)</f>
        <v>0</v>
      </c>
      <c r="XV298" s="56"/>
      <c r="XW298" s="242">
        <f t="shared" si="2204"/>
        <v>0</v>
      </c>
      <c r="XX298" s="242">
        <f t="shared" si="2205"/>
        <v>2179</v>
      </c>
      <c r="XY298" s="56"/>
      <c r="YB298" s="55">
        <f t="shared" si="2206"/>
        <v>46274</v>
      </c>
      <c r="YC298" s="56"/>
      <c r="YD298" s="242">
        <f>SUMPRODUCT(PRODUCE!$B297:$DY297,PRODUCE!$EB$57:$IY$57)</f>
        <v>0</v>
      </c>
      <c r="YE298" s="56"/>
      <c r="YF298" s="242">
        <f t="shared" si="2207"/>
        <v>0</v>
      </c>
      <c r="YG298" s="242">
        <f t="shared" si="2208"/>
        <v>4019</v>
      </c>
      <c r="YH298" s="56"/>
      <c r="YK298" s="55">
        <f t="shared" si="2209"/>
        <v>46274</v>
      </c>
      <c r="YL298" s="56"/>
      <c r="YM298" s="242">
        <f>SUMPRODUCT(PRODUCE!$B297:$DY297,PRODUCE!$EB$57:$IY$57)</f>
        <v>0</v>
      </c>
      <c r="YN298" s="56"/>
      <c r="YO298" s="242">
        <f t="shared" si="2210"/>
        <v>0</v>
      </c>
      <c r="YP298" s="242">
        <f t="shared" si="2211"/>
        <v>-218</v>
      </c>
      <c r="YQ298" s="56"/>
      <c r="YT298" s="55">
        <f t="shared" si="2212"/>
        <v>46274</v>
      </c>
      <c r="YU298" s="56"/>
      <c r="YV298" s="242">
        <f>SUMPRODUCT(PRODUCE!$B297:$DY297,PRODUCE!$EB$57:$IY$57)</f>
        <v>0</v>
      </c>
      <c r="YW298" s="56"/>
      <c r="YX298" s="242">
        <f t="shared" si="2213"/>
        <v>0</v>
      </c>
      <c r="YY298" s="242">
        <f t="shared" si="2214"/>
        <v>0</v>
      </c>
      <c r="YZ298" s="56"/>
      <c r="ZC298" s="55">
        <f t="shared" si="2215"/>
        <v>46274</v>
      </c>
      <c r="ZD298" s="56"/>
      <c r="ZE298" s="242">
        <f>SUMPRODUCT(PRODUCE!$B297:$DY297,PRODUCE!$EB$57:$IY$57)</f>
        <v>0</v>
      </c>
      <c r="ZF298" s="56"/>
      <c r="ZG298" s="242">
        <f t="shared" si="2216"/>
        <v>0</v>
      </c>
      <c r="ZH298" s="242">
        <f t="shared" si="2217"/>
        <v>0</v>
      </c>
      <c r="ZI298" s="56"/>
      <c r="ZL298" s="55">
        <f t="shared" si="2218"/>
        <v>46274</v>
      </c>
      <c r="ZM298" s="56"/>
      <c r="ZN298" s="242">
        <f>SUMPRODUCT(PRODUCE!$B297:$DY297,PRODUCE!$EB$57:$IY$57)</f>
        <v>0</v>
      </c>
      <c r="ZO298" s="56"/>
      <c r="ZP298" s="242">
        <f t="shared" si="2219"/>
        <v>0</v>
      </c>
      <c r="ZQ298" s="242">
        <f t="shared" si="2220"/>
        <v>0</v>
      </c>
      <c r="ZR298" s="56"/>
      <c r="ZU298" s="55">
        <f t="shared" si="2221"/>
        <v>46274</v>
      </c>
      <c r="ZV298" s="56"/>
      <c r="ZW298" s="242">
        <f>SUMPRODUCT(PRODUCE!$B297:$DY297,PRODUCE!$EB$57:$IY$57)</f>
        <v>0</v>
      </c>
      <c r="ZX298" s="56"/>
      <c r="ZY298" s="242">
        <f t="shared" si="2222"/>
        <v>0</v>
      </c>
      <c r="ZZ298" s="242">
        <f t="shared" si="2223"/>
        <v>0</v>
      </c>
      <c r="AAA298" s="56"/>
      <c r="AAD298" s="55">
        <f t="shared" si="2224"/>
        <v>46274</v>
      </c>
      <c r="AAE298" s="56"/>
      <c r="AAF298" s="242">
        <f>SUMPRODUCT(PRODUCE!$B297:$DY297,PRODUCE!$EB$57:$IY$57)</f>
        <v>0</v>
      </c>
      <c r="AAG298" s="56"/>
      <c r="AAH298" s="242">
        <f t="shared" si="2225"/>
        <v>0</v>
      </c>
      <c r="AAI298" s="242">
        <f t="shared" si="2226"/>
        <v>0</v>
      </c>
      <c r="AAJ298" s="56"/>
      <c r="AAM298" s="55">
        <f t="shared" si="2227"/>
        <v>46274</v>
      </c>
      <c r="AAN298" s="56"/>
      <c r="AAO298" s="242">
        <f>SUMPRODUCT(PRODUCE!$B297:$DY297,PRODUCE!$EB$57:$IY$57)</f>
        <v>0</v>
      </c>
      <c r="AAP298" s="56"/>
      <c r="AAQ298" s="242">
        <f t="shared" si="2228"/>
        <v>0</v>
      </c>
      <c r="AAR298" s="242">
        <f t="shared" si="2229"/>
        <v>0</v>
      </c>
      <c r="AAS298" s="56"/>
      <c r="AAV298" s="55">
        <f t="shared" si="2230"/>
        <v>46274</v>
      </c>
      <c r="AAW298" s="56"/>
      <c r="AAX298" s="242">
        <f>SUMPRODUCT(PRODUCE!$B297:$DY297,PRODUCE!$EB$57:$IY$57)</f>
        <v>0</v>
      </c>
      <c r="AAY298" s="56"/>
      <c r="AAZ298" s="242">
        <f t="shared" si="2231"/>
        <v>0</v>
      </c>
      <c r="ABA298" s="242">
        <f t="shared" si="2232"/>
        <v>0</v>
      </c>
      <c r="ABB298" s="56"/>
      <c r="ABE298" s="55">
        <f t="shared" si="2233"/>
        <v>46274</v>
      </c>
      <c r="ABF298" s="56"/>
      <c r="ABG298" s="242">
        <f>SUMPRODUCT(PRODUCE!$B297:$DY297,PRODUCE!$EB$57:$IY$57)</f>
        <v>0</v>
      </c>
      <c r="ABH298" s="56"/>
      <c r="ABI298" s="242">
        <f t="shared" si="2234"/>
        <v>0</v>
      </c>
      <c r="ABJ298" s="242">
        <f t="shared" si="2235"/>
        <v>0</v>
      </c>
      <c r="ABK298" s="56"/>
    </row>
    <row r="299" spans="2:739" s="54" customFormat="1" ht="15" customHeight="1" outlineLevel="1">
      <c r="B299" s="478"/>
      <c r="C299" s="55">
        <v>46275</v>
      </c>
      <c r="D299" s="56"/>
      <c r="E299" s="57">
        <f>SUMPRODUCT(PRODUCE!$B298:$DY298,PRODUCE!$EB$7:$IY$7)</f>
        <v>0</v>
      </c>
      <c r="F299" s="56"/>
      <c r="G299" s="57">
        <f t="shared" si="1992"/>
        <v>0</v>
      </c>
      <c r="H299" s="57">
        <f t="shared" si="1993"/>
        <v>236936.6</v>
      </c>
      <c r="I299" s="289"/>
      <c r="L299" s="55">
        <f t="shared" si="1994"/>
        <v>46275</v>
      </c>
      <c r="M299" s="56"/>
      <c r="N299" s="59">
        <f>SUMPRODUCT(PRODUCE!$B298:$DY298,PRODUCE!$EB$8:$IY$8)</f>
        <v>0</v>
      </c>
      <c r="O299" s="56"/>
      <c r="P299" s="59">
        <f t="shared" si="1995"/>
        <v>0</v>
      </c>
      <c r="Q299" s="59">
        <f t="shared" si="1996"/>
        <v>53017.600000000071</v>
      </c>
      <c r="R299" s="56"/>
      <c r="U299" s="55">
        <f t="shared" si="1997"/>
        <v>46275</v>
      </c>
      <c r="V299" s="56"/>
      <c r="W299" s="60">
        <f>SUMPRODUCT(PRODUCE!$B298:$DY298,PRODUCE!$EB$9:$IY$9)</f>
        <v>0</v>
      </c>
      <c r="X299" s="56"/>
      <c r="Y299" s="60">
        <f t="shared" si="1998"/>
        <v>0</v>
      </c>
      <c r="Z299" s="60">
        <f t="shared" si="1999"/>
        <v>42674.199999999968</v>
      </c>
      <c r="AA299" s="56"/>
      <c r="AD299" s="55">
        <f t="shared" si="2000"/>
        <v>46275</v>
      </c>
      <c r="AE299" s="56"/>
      <c r="AF299" s="61">
        <f>SUMPRODUCT(PRODUCE!$B298:$DY298,PRODUCE!$EB$10:$IY$10)</f>
        <v>0</v>
      </c>
      <c r="AG299" s="56"/>
      <c r="AH299" s="61">
        <f t="shared" si="2001"/>
        <v>0</v>
      </c>
      <c r="AI299" s="61">
        <f t="shared" si="2002"/>
        <v>4522.2000000000189</v>
      </c>
      <c r="AJ299" s="56"/>
      <c r="AM299" s="55">
        <f t="shared" si="2003"/>
        <v>46275</v>
      </c>
      <c r="AN299" s="422"/>
      <c r="AO299" s="444">
        <f>SUMPRODUCT(PRODUCE!$B298:$DY298,PRODUCE!$EB$11:$IY$11)</f>
        <v>0</v>
      </c>
      <c r="AP299" s="422"/>
      <c r="AQ299" s="444">
        <f t="shared" si="2004"/>
        <v>0</v>
      </c>
      <c r="AR299" s="444">
        <f t="shared" si="2005"/>
        <v>0</v>
      </c>
      <c r="AS299" s="56"/>
      <c r="AV299" s="55">
        <f t="shared" si="2006"/>
        <v>46275</v>
      </c>
      <c r="AW299" s="56"/>
      <c r="AX299" s="62">
        <f>SUMPRODUCT(PRODUCE!$B298:$DY298,PRODUCE!$EB$12:$IY$12)</f>
        <v>0</v>
      </c>
      <c r="AY299" s="56"/>
      <c r="AZ299" s="62">
        <f t="shared" si="2007"/>
        <v>0</v>
      </c>
      <c r="BA299" s="62">
        <f t="shared" si="2008"/>
        <v>124.99999999999523</v>
      </c>
      <c r="BB299" s="56"/>
      <c r="BE299" s="55">
        <f t="shared" si="2009"/>
        <v>46275</v>
      </c>
      <c r="BF299" s="56"/>
      <c r="BG299" s="63">
        <f>SUMPRODUCT(PRODUCE!$B298:$DY298,PRODUCE!$EB$13:$IY$13)</f>
        <v>0</v>
      </c>
      <c r="BH299" s="56"/>
      <c r="BI299" s="63">
        <f t="shared" si="2010"/>
        <v>0</v>
      </c>
      <c r="BJ299" s="63">
        <f t="shared" si="2011"/>
        <v>26151.899999999998</v>
      </c>
      <c r="BK299" s="56"/>
      <c r="BN299" s="55">
        <f t="shared" si="2012"/>
        <v>46275</v>
      </c>
      <c r="BO299" s="56"/>
      <c r="BP299" s="64">
        <f>SUMPRODUCT(PRODUCE!$B298:$DY298,PRODUCE!$EB$14:$IY$14)</f>
        <v>0</v>
      </c>
      <c r="BQ299" s="56"/>
      <c r="BR299" s="64">
        <f t="shared" si="2013"/>
        <v>0</v>
      </c>
      <c r="BS299" s="64">
        <f t="shared" si="2014"/>
        <v>0</v>
      </c>
      <c r="BT299" s="56"/>
      <c r="BW299" s="55">
        <f t="shared" si="2015"/>
        <v>46275</v>
      </c>
      <c r="BX299" s="56"/>
      <c r="BY299" s="65">
        <f>SUMPRODUCT(PRODUCE!$B298:$DY298,PRODUCE!$EB$15:$IY$15)</f>
        <v>0</v>
      </c>
      <c r="BZ299" s="56"/>
      <c r="CA299" s="65">
        <f t="shared" si="2016"/>
        <v>0</v>
      </c>
      <c r="CB299" s="65">
        <f t="shared" si="2017"/>
        <v>2097.3399999999992</v>
      </c>
      <c r="CC299" s="56"/>
      <c r="CF299" s="55">
        <f t="shared" si="2018"/>
        <v>46275</v>
      </c>
      <c r="CG299" s="56"/>
      <c r="CH299" s="66">
        <f>SUMPRODUCT(PRODUCE!$B298:$DY298,PRODUCE!$EB$16:$IY$16)</f>
        <v>0</v>
      </c>
      <c r="CI299" s="56"/>
      <c r="CJ299" s="66">
        <f t="shared" si="2019"/>
        <v>0</v>
      </c>
      <c r="CK299" s="66">
        <f t="shared" si="2020"/>
        <v>-10277.079999999998</v>
      </c>
      <c r="CL299" s="56"/>
      <c r="CO299" s="55">
        <f t="shared" si="2021"/>
        <v>46275</v>
      </c>
      <c r="CP299" s="422"/>
      <c r="CQ299" s="470">
        <f>SUMPRODUCT(PRODUCE!$B298:$DY298,PRODUCE!$EB$17:$IY$17)</f>
        <v>0</v>
      </c>
      <c r="CR299" s="422"/>
      <c r="CS299" s="470">
        <f t="shared" si="2022"/>
        <v>0</v>
      </c>
      <c r="CT299" s="470">
        <f t="shared" si="2023"/>
        <v>0</v>
      </c>
      <c r="CU299" s="56"/>
      <c r="CX299" s="55">
        <f t="shared" si="2024"/>
        <v>46275</v>
      </c>
      <c r="CY299" s="56"/>
      <c r="CZ299" s="133">
        <f>SUMPRODUCT(PRODUCE!$B298:$DY298,PRODUCE!$EB$18:$IY$18)</f>
        <v>0</v>
      </c>
      <c r="DA299" s="56"/>
      <c r="DB299" s="133">
        <f t="shared" si="2025"/>
        <v>0</v>
      </c>
      <c r="DC299" s="133">
        <f t="shared" si="2026"/>
        <v>27438.200000000012</v>
      </c>
      <c r="DD299" s="56"/>
      <c r="DG299" s="55">
        <f t="shared" si="2027"/>
        <v>46275</v>
      </c>
      <c r="DH299" s="56"/>
      <c r="DI299" s="147">
        <f>SUMPRODUCT(PRODUCE!$B298:$DY298,PRODUCE!$EB$19:$IY$19)</f>
        <v>0</v>
      </c>
      <c r="DJ299" s="56"/>
      <c r="DK299" s="147">
        <f t="shared" si="2028"/>
        <v>0</v>
      </c>
      <c r="DL299" s="147">
        <f t="shared" si="2029"/>
        <v>18782.299999999981</v>
      </c>
      <c r="DM299" s="56"/>
      <c r="DP299" s="55">
        <f t="shared" si="2030"/>
        <v>46275</v>
      </c>
      <c r="DQ299" s="56"/>
      <c r="DR299" s="57">
        <f>SUMPRODUCT(PRODUCE!$B298:$DY298,PRODUCE!$EB$20:$IY$20)</f>
        <v>0</v>
      </c>
      <c r="DS299" s="56"/>
      <c r="DT299" s="57">
        <f t="shared" si="2031"/>
        <v>0</v>
      </c>
      <c r="DU299" s="57">
        <f t="shared" si="2032"/>
        <v>5800</v>
      </c>
      <c r="DV299" s="56"/>
      <c r="DY299" s="55">
        <f t="shared" si="2033"/>
        <v>46275</v>
      </c>
      <c r="DZ299" s="56"/>
      <c r="EA299" s="157">
        <f>SUMPRODUCT(PRODUCE!$B298:$DY298,PRODUCE!$EB$21:$IY$21)</f>
        <v>0</v>
      </c>
      <c r="EB299" s="56"/>
      <c r="EC299" s="157">
        <f t="shared" si="2034"/>
        <v>0</v>
      </c>
      <c r="ED299" s="157">
        <f t="shared" si="2035"/>
        <v>0</v>
      </c>
      <c r="EE299" s="56"/>
      <c r="EH299" s="55">
        <f t="shared" si="2036"/>
        <v>46275</v>
      </c>
      <c r="EI299" s="56"/>
      <c r="EJ299" s="162">
        <f>SUMPRODUCT(PRODUCE!$B298:$DY298,PRODUCE!$EB$22:$IY$22)</f>
        <v>0</v>
      </c>
      <c r="EK299" s="56"/>
      <c r="EL299" s="162">
        <f t="shared" si="2037"/>
        <v>0</v>
      </c>
      <c r="EM299" s="162">
        <f t="shared" si="2038"/>
        <v>0</v>
      </c>
      <c r="EN299" s="56"/>
      <c r="EQ299" s="55">
        <f t="shared" si="2039"/>
        <v>46275</v>
      </c>
      <c r="ER299" s="56"/>
      <c r="ES299" s="135">
        <f>SUMPRODUCT(PRODUCE!$B298:$DY298,PRODUCE!$EB$23:$IY$23)</f>
        <v>0</v>
      </c>
      <c r="ET299" s="56"/>
      <c r="EU299" s="135">
        <f t="shared" si="2040"/>
        <v>0</v>
      </c>
      <c r="EV299" s="135">
        <f t="shared" si="2041"/>
        <v>0</v>
      </c>
      <c r="EW299" s="56"/>
      <c r="EZ299" s="55">
        <f t="shared" si="2042"/>
        <v>46275</v>
      </c>
      <c r="FA299" s="56"/>
      <c r="FB299" s="175">
        <f>SUMPRODUCT(PRODUCE!$B298:$DY298,PRODUCE!$EB$24:$IY$24)</f>
        <v>0</v>
      </c>
      <c r="FC299" s="56"/>
      <c r="FD299" s="175">
        <f t="shared" si="2043"/>
        <v>0</v>
      </c>
      <c r="FE299" s="175">
        <f t="shared" si="2044"/>
        <v>0</v>
      </c>
      <c r="FF299" s="56"/>
      <c r="FI299" s="55">
        <f t="shared" si="2045"/>
        <v>46275</v>
      </c>
      <c r="FJ299" s="56"/>
      <c r="FK299" s="183">
        <f>SUMPRODUCT(PRODUCE!$B298:$DY298,PRODUCE!$EB$25:$IY$25)</f>
        <v>0</v>
      </c>
      <c r="FL299" s="56"/>
      <c r="FM299" s="183">
        <f t="shared" si="2046"/>
        <v>0</v>
      </c>
      <c r="FN299" s="183">
        <f t="shared" si="2047"/>
        <v>0</v>
      </c>
      <c r="FO299" s="56"/>
      <c r="FR299" s="55">
        <f t="shared" si="2048"/>
        <v>46275</v>
      </c>
      <c r="FS299" s="56"/>
      <c r="FT299" s="186">
        <f>SUMPRODUCT(PRODUCE!$B298:$DY298,PRODUCE!$EB$26:$IY$26)</f>
        <v>0</v>
      </c>
      <c r="FU299" s="56"/>
      <c r="FV299" s="186">
        <f t="shared" si="2049"/>
        <v>0</v>
      </c>
      <c r="FW299" s="186">
        <f t="shared" si="2050"/>
        <v>2020</v>
      </c>
      <c r="FX299" s="56"/>
      <c r="GA299" s="55">
        <f t="shared" si="2051"/>
        <v>46275</v>
      </c>
      <c r="GB299" s="56"/>
      <c r="GC299" s="137">
        <f>SUMPRODUCT(PRODUCE!$B298:$DY298,PRODUCE!$EB$27:$IY$27)</f>
        <v>0</v>
      </c>
      <c r="GD299" s="56"/>
      <c r="GE299" s="137">
        <f t="shared" si="2052"/>
        <v>0</v>
      </c>
      <c r="GF299" s="137">
        <f t="shared" si="2053"/>
        <v>960</v>
      </c>
      <c r="GG299" s="56"/>
      <c r="GI299" s="23"/>
      <c r="GJ299" s="55">
        <f t="shared" si="2054"/>
        <v>46275</v>
      </c>
      <c r="GK299" s="56"/>
      <c r="GL299" s="199">
        <f>SUMPRODUCT(PRODUCE!$B298:$DY298,PRODUCE!$EB$28:$IY$28)</f>
        <v>0</v>
      </c>
      <c r="GM299" s="56"/>
      <c r="GN299" s="199">
        <f t="shared" si="2055"/>
        <v>0</v>
      </c>
      <c r="GO299" s="199">
        <f t="shared" si="2056"/>
        <v>1760</v>
      </c>
      <c r="GP299" s="56"/>
      <c r="GS299" s="55">
        <f t="shared" si="2057"/>
        <v>46275</v>
      </c>
      <c r="GT299" s="56"/>
      <c r="GU299" s="195">
        <f>SUMPRODUCT(PRODUCE!$B298:$DY298,PRODUCE!$EB$29:$IY$29)</f>
        <v>0</v>
      </c>
      <c r="GV299" s="56"/>
      <c r="GW299" s="195">
        <f t="shared" si="2058"/>
        <v>0</v>
      </c>
      <c r="GX299" s="195">
        <f t="shared" si="2059"/>
        <v>400</v>
      </c>
      <c r="GY299" s="56"/>
      <c r="HB299" s="55">
        <f t="shared" si="2060"/>
        <v>46275</v>
      </c>
      <c r="HC299" s="56"/>
      <c r="HD299" s="191">
        <f>SUMPRODUCT(PRODUCE!$B298:$DY298,PRODUCE!$EB$30:$IY$30)</f>
        <v>0</v>
      </c>
      <c r="HE299" s="56"/>
      <c r="HF299" s="191">
        <f t="shared" si="2061"/>
        <v>0</v>
      </c>
      <c r="HG299" s="191">
        <f t="shared" si="2062"/>
        <v>3600</v>
      </c>
      <c r="HH299" s="56"/>
      <c r="HK299" s="55">
        <f t="shared" si="2063"/>
        <v>46275</v>
      </c>
      <c r="HL299" s="56"/>
      <c r="HM299" s="63">
        <f>SUMPRODUCT(PRODUCE!$B298:$DY298,PRODUCE!$EB$31:$IY$31)</f>
        <v>0</v>
      </c>
      <c r="HN299" s="56"/>
      <c r="HO299" s="63">
        <f t="shared" si="2064"/>
        <v>0</v>
      </c>
      <c r="HP299" s="63">
        <f t="shared" si="2065"/>
        <v>0</v>
      </c>
      <c r="HQ299" s="56"/>
      <c r="HU299" s="55">
        <f t="shared" si="2066"/>
        <v>46275</v>
      </c>
      <c r="HV299" s="56"/>
      <c r="HW299" s="242">
        <f>SUMPRODUCT(PRODUCE!$B298:$DY298,PRODUCE!$EB$32:$IY$32)</f>
        <v>0</v>
      </c>
      <c r="HX299" s="56"/>
      <c r="HY299" s="242">
        <f t="shared" si="2236"/>
        <v>0</v>
      </c>
      <c r="HZ299" s="242">
        <f t="shared" si="2067"/>
        <v>6120</v>
      </c>
      <c r="IA299" s="56"/>
      <c r="ID299" s="55">
        <f t="shared" si="2068"/>
        <v>46275</v>
      </c>
      <c r="IE299" s="56"/>
      <c r="IF299" s="242">
        <f>SUMPRODUCT(PRODUCE!$B298:$DY298,PRODUCE!$EB$33:$IY$33)</f>
        <v>0</v>
      </c>
      <c r="IG299" s="56"/>
      <c r="IH299" s="242">
        <f t="shared" si="2069"/>
        <v>0</v>
      </c>
      <c r="II299" s="242">
        <f t="shared" si="2070"/>
        <v>0</v>
      </c>
      <c r="IJ299" s="56"/>
      <c r="IM299" s="55">
        <f t="shared" si="2071"/>
        <v>46275</v>
      </c>
      <c r="IN299" s="56"/>
      <c r="IO299" s="242">
        <f>SUMPRODUCT(PRODUCE!$B298:$DY298,PRODUCE!$EB$34:$IY$34)</f>
        <v>0</v>
      </c>
      <c r="IP299" s="56"/>
      <c r="IQ299" s="242">
        <f t="shared" si="2072"/>
        <v>0</v>
      </c>
      <c r="IR299" s="242">
        <f t="shared" si="2073"/>
        <v>0</v>
      </c>
      <c r="IS299" s="56"/>
      <c r="IV299" s="55">
        <f t="shared" si="2074"/>
        <v>46275</v>
      </c>
      <c r="IW299" s="56"/>
      <c r="IX299" s="242">
        <f>SUMPRODUCT(PRODUCE!$B298:$DY298,PRODUCE!$EB$35:$IY$35)</f>
        <v>0</v>
      </c>
      <c r="IY299" s="56"/>
      <c r="IZ299" s="242">
        <f t="shared" si="2075"/>
        <v>0</v>
      </c>
      <c r="JA299" s="242">
        <f t="shared" si="2076"/>
        <v>2820</v>
      </c>
      <c r="JB299" s="56"/>
      <c r="JE299" s="55">
        <f t="shared" si="2077"/>
        <v>46275</v>
      </c>
      <c r="JF299" s="56"/>
      <c r="JG299" s="242">
        <f>SUMPRODUCT(PRODUCE!$B298:$DY298,PRODUCE!$EB$36:$IY$36)</f>
        <v>0</v>
      </c>
      <c r="JH299" s="56"/>
      <c r="JI299" s="242">
        <f t="shared" si="2078"/>
        <v>0</v>
      </c>
      <c r="JJ299" s="242">
        <f t="shared" si="2079"/>
        <v>0</v>
      </c>
      <c r="JK299" s="56"/>
      <c r="JN299" s="55">
        <f t="shared" si="2080"/>
        <v>46275</v>
      </c>
      <c r="JO299" s="56"/>
      <c r="JP299" s="242">
        <f>SUMPRODUCT(PRODUCE!$B298:$DY298,PRODUCE!$EB$37:$IY$37)</f>
        <v>0</v>
      </c>
      <c r="JQ299" s="56"/>
      <c r="JR299" s="242">
        <f t="shared" si="2081"/>
        <v>0</v>
      </c>
      <c r="JS299" s="242">
        <f t="shared" si="2082"/>
        <v>0</v>
      </c>
      <c r="JT299" s="56"/>
      <c r="JW299" s="55">
        <f t="shared" si="2083"/>
        <v>46275</v>
      </c>
      <c r="JX299" s="56"/>
      <c r="JY299" s="242">
        <f>SUMPRODUCT(PRODUCE!$B298:$DY298,PRODUCE!$EB$38:$IY$38)</f>
        <v>0</v>
      </c>
      <c r="JZ299" s="56"/>
      <c r="KA299" s="242">
        <f t="shared" si="2084"/>
        <v>0</v>
      </c>
      <c r="KB299" s="242">
        <f t="shared" si="2085"/>
        <v>2540</v>
      </c>
      <c r="KC299" s="56"/>
      <c r="KF299" s="55">
        <f t="shared" si="2086"/>
        <v>46275</v>
      </c>
      <c r="KG299" s="56"/>
      <c r="KH299" s="242">
        <f>SUMPRODUCT(PRODUCE!$B298:$DY298,PRODUCE!$EB$39:$IY$39)</f>
        <v>0</v>
      </c>
      <c r="KI299" s="56"/>
      <c r="KJ299" s="242">
        <f t="shared" si="2087"/>
        <v>0</v>
      </c>
      <c r="KK299" s="242">
        <f t="shared" si="2088"/>
        <v>2359.5</v>
      </c>
      <c r="KL299" s="56"/>
      <c r="KO299" s="55">
        <f t="shared" si="2089"/>
        <v>46275</v>
      </c>
      <c r="KP299" s="56"/>
      <c r="KQ299" s="242">
        <f>SUMPRODUCT(PRODUCE!$B298:$DY298,PRODUCE!$EB$40:$IY$40)</f>
        <v>0</v>
      </c>
      <c r="KR299" s="56"/>
      <c r="KS299" s="242">
        <f t="shared" si="2090"/>
        <v>0</v>
      </c>
      <c r="KT299" s="242">
        <f t="shared" si="2091"/>
        <v>1890</v>
      </c>
      <c r="KU299" s="56"/>
      <c r="KW299" s="23"/>
      <c r="KX299" s="55">
        <f t="shared" si="2092"/>
        <v>46275</v>
      </c>
      <c r="KY299" s="56"/>
      <c r="KZ299" s="242">
        <f>SUMPRODUCT(PRODUCE!$B298:$DY298,PRODUCE!$EB$41:$IY$41)</f>
        <v>0</v>
      </c>
      <c r="LA299" s="56"/>
      <c r="LB299" s="242">
        <f t="shared" si="2093"/>
        <v>0</v>
      </c>
      <c r="LC299" s="242">
        <f t="shared" si="2094"/>
        <v>3690</v>
      </c>
      <c r="LD299" s="56"/>
      <c r="LG299" s="55">
        <f t="shared" si="2095"/>
        <v>46275</v>
      </c>
      <c r="LH299" s="56"/>
      <c r="LI299" s="242">
        <f>SUMPRODUCT(PRODUCE!$B298:$DY298,PRODUCE!$EB$42:$IY$42)</f>
        <v>0</v>
      </c>
      <c r="LJ299" s="56"/>
      <c r="LK299" s="242">
        <f t="shared" si="2096"/>
        <v>0</v>
      </c>
      <c r="LL299" s="242">
        <f t="shared" si="2097"/>
        <v>4000</v>
      </c>
      <c r="LM299" s="56"/>
      <c r="LP299" s="55">
        <f t="shared" si="2098"/>
        <v>46275</v>
      </c>
      <c r="LQ299" s="56"/>
      <c r="LR299" s="242">
        <f>SUMPRODUCT(PRODUCE!$B314:$DY314,PRODUCE!$EB$43:$IY$43)</f>
        <v>0</v>
      </c>
      <c r="LS299" s="56"/>
      <c r="LT299" s="242">
        <f t="shared" si="2099"/>
        <v>0</v>
      </c>
      <c r="LU299" s="242">
        <f t="shared" si="2100"/>
        <v>0</v>
      </c>
      <c r="LV299" s="56"/>
      <c r="LY299" s="55">
        <f t="shared" si="2101"/>
        <v>46275</v>
      </c>
      <c r="LZ299" s="56"/>
      <c r="MA299" s="242">
        <f>SUMPRODUCT(PRODUCE!$B298:$DY298,PRODUCE!$EB$44:$IY$44)</f>
        <v>0</v>
      </c>
      <c r="MB299" s="56"/>
      <c r="MC299" s="242">
        <f t="shared" si="2102"/>
        <v>0</v>
      </c>
      <c r="MD299" s="242">
        <f t="shared" si="2103"/>
        <v>0</v>
      </c>
      <c r="ME299" s="56"/>
      <c r="MH299" s="55">
        <f t="shared" si="2104"/>
        <v>46275</v>
      </c>
      <c r="MI299" s="56"/>
      <c r="MJ299" s="242">
        <f>SUMPRODUCT(PRODUCE!$B298:$DY298,PRODUCE!$EB$45:$IY$45)</f>
        <v>0</v>
      </c>
      <c r="MK299" s="56"/>
      <c r="ML299" s="242">
        <f t="shared" si="2105"/>
        <v>0</v>
      </c>
      <c r="MM299" s="242">
        <f t="shared" si="2106"/>
        <v>0</v>
      </c>
      <c r="MN299" s="56"/>
      <c r="MQ299" s="55">
        <f t="shared" si="2107"/>
        <v>46275</v>
      </c>
      <c r="MR299" s="56"/>
      <c r="MS299" s="242">
        <f>SUMPRODUCT(PRODUCE!$B298:$DY298,PRODUCE!$EB$46:$IY$46)</f>
        <v>0</v>
      </c>
      <c r="MT299" s="56"/>
      <c r="MU299" s="242">
        <f t="shared" si="2108"/>
        <v>0</v>
      </c>
      <c r="MV299" s="242">
        <f t="shared" si="2109"/>
        <v>1625</v>
      </c>
      <c r="MW299" s="56"/>
      <c r="MZ299" s="55">
        <f t="shared" si="2110"/>
        <v>46275</v>
      </c>
      <c r="NA299" s="56"/>
      <c r="NB299" s="242">
        <f>SUMPRODUCT(PRODUCE!$B298:$DY298,PRODUCE!$EB$47:$IY$47)</f>
        <v>0</v>
      </c>
      <c r="NC299" s="56"/>
      <c r="ND299" s="242">
        <f t="shared" si="2111"/>
        <v>0</v>
      </c>
      <c r="NE299" s="242">
        <f t="shared" si="2112"/>
        <v>0</v>
      </c>
      <c r="NF299" s="56"/>
      <c r="NI299" s="55">
        <f t="shared" si="2113"/>
        <v>46275</v>
      </c>
      <c r="NJ299" s="56"/>
      <c r="NK299" s="242">
        <f>SUMPRODUCT(PRODUCE!$B298:$DY298,PRODUCE!$EB$48:$IY$48)</f>
        <v>0</v>
      </c>
      <c r="NL299" s="56"/>
      <c r="NM299" s="242">
        <f t="shared" si="2114"/>
        <v>0</v>
      </c>
      <c r="NN299" s="242">
        <f t="shared" si="2115"/>
        <v>1127</v>
      </c>
      <c r="NO299" s="56"/>
      <c r="NR299" s="55">
        <f t="shared" si="2116"/>
        <v>46275</v>
      </c>
      <c r="NS299" s="56"/>
      <c r="NT299" s="242">
        <f>SUMPRODUCT(PRODUCE!$B298:$DY298,PRODUCE!$EB$49:$IY$49)</f>
        <v>0</v>
      </c>
      <c r="NU299" s="56"/>
      <c r="NV299" s="242">
        <f t="shared" si="2117"/>
        <v>0</v>
      </c>
      <c r="NW299" s="242">
        <f t="shared" si="2118"/>
        <v>3111.9999999999995</v>
      </c>
      <c r="NX299" s="56"/>
      <c r="OA299" s="55">
        <f t="shared" si="2119"/>
        <v>46275</v>
      </c>
      <c r="OB299" s="56"/>
      <c r="OC299" s="242">
        <f>SUMPRODUCT(PRODUCE!$B298:$DY298,PRODUCE!$EB$50:$IY$50)</f>
        <v>0</v>
      </c>
      <c r="OD299" s="56"/>
      <c r="OE299" s="242">
        <f t="shared" si="2120"/>
        <v>0</v>
      </c>
      <c r="OF299" s="242">
        <f t="shared" si="2121"/>
        <v>1680.5</v>
      </c>
      <c r="OG299" s="56"/>
      <c r="OJ299" s="55">
        <f t="shared" si="2122"/>
        <v>46275</v>
      </c>
      <c r="OK299" s="56"/>
      <c r="OL299" s="242">
        <f>SUMPRODUCT(PRODUCE!$B298:$DY298,PRODUCE!$EB$51:$IY$51)</f>
        <v>0</v>
      </c>
      <c r="OM299" s="56"/>
      <c r="ON299" s="242">
        <f t="shared" si="2123"/>
        <v>0</v>
      </c>
      <c r="OO299" s="242">
        <f t="shared" si="2124"/>
        <v>0</v>
      </c>
      <c r="OP299" s="56"/>
      <c r="OS299" s="55">
        <f t="shared" si="2125"/>
        <v>46275</v>
      </c>
      <c r="OT299" s="56"/>
      <c r="OU299" s="242">
        <f>SUMPRODUCT(PRODUCE!$B298:$DY298,PRODUCE!$EB$52:$IY$52)</f>
        <v>0</v>
      </c>
      <c r="OV299" s="56"/>
      <c r="OW299" s="242">
        <f t="shared" si="2126"/>
        <v>0</v>
      </c>
      <c r="OX299" s="242">
        <f t="shared" si="2127"/>
        <v>1482</v>
      </c>
      <c r="OY299" s="56"/>
      <c r="PB299" s="55">
        <f t="shared" si="2128"/>
        <v>46275</v>
      </c>
      <c r="PC299" s="56"/>
      <c r="PD299" s="242">
        <f>SUMPRODUCT(PRODUCE!$B298:$DY298,PRODUCE!$EB$53:$IY$53)</f>
        <v>0</v>
      </c>
      <c r="PE299" s="56"/>
      <c r="PF299" s="242">
        <f t="shared" si="2129"/>
        <v>0</v>
      </c>
      <c r="PG299" s="242">
        <f t="shared" si="2130"/>
        <v>0</v>
      </c>
      <c r="PH299" s="56"/>
      <c r="PK299" s="55">
        <f t="shared" si="2131"/>
        <v>46275</v>
      </c>
      <c r="PL299" s="56"/>
      <c r="PM299" s="242">
        <f>SUMPRODUCT(PRODUCE!$B298:$DY298,PRODUCE!$EB$54:$IY$54)</f>
        <v>0</v>
      </c>
      <c r="PN299" s="56"/>
      <c r="PO299" s="242">
        <f t="shared" si="2132"/>
        <v>0</v>
      </c>
      <c r="PP299" s="242">
        <f t="shared" si="2133"/>
        <v>100</v>
      </c>
      <c r="PQ299" s="56"/>
      <c r="PT299" s="55">
        <f t="shared" si="2134"/>
        <v>46275</v>
      </c>
      <c r="PU299" s="56"/>
      <c r="PV299" s="242">
        <f>SUMPRODUCT(PRODUCE!$B298:$DY298,PRODUCE!$EB$55:$IY$55)</f>
        <v>0</v>
      </c>
      <c r="PW299" s="56"/>
      <c r="PX299" s="242">
        <f t="shared" si="2135"/>
        <v>0</v>
      </c>
      <c r="PY299" s="242">
        <f t="shared" si="2136"/>
        <v>13.960000000000036</v>
      </c>
      <c r="PZ299" s="56"/>
      <c r="QC299" s="55">
        <f t="shared" si="2137"/>
        <v>46275</v>
      </c>
      <c r="QD299" s="56"/>
      <c r="QE299" s="242">
        <f>SUMPRODUCT(PRODUCE!$B298:$DY298,PRODUCE!$EB$56:$IY$56)</f>
        <v>0</v>
      </c>
      <c r="QF299" s="56"/>
      <c r="QG299" s="242">
        <f t="shared" si="2138"/>
        <v>0</v>
      </c>
      <c r="QH299" s="242">
        <f t="shared" si="2139"/>
        <v>548</v>
      </c>
      <c r="QI299" s="56"/>
      <c r="QL299" s="55">
        <f t="shared" si="2140"/>
        <v>46275</v>
      </c>
      <c r="QM299" s="56"/>
      <c r="QN299" s="242">
        <f>SUMPRODUCT(PRODUCE!$B298:$DY298,PRODUCE!$EB$57:$IY$57)</f>
        <v>0</v>
      </c>
      <c r="QO299" s="56"/>
      <c r="QP299" s="242">
        <f t="shared" si="2141"/>
        <v>0</v>
      </c>
      <c r="QQ299" s="242">
        <f t="shared" si="2142"/>
        <v>0</v>
      </c>
      <c r="QR299" s="56"/>
      <c r="QU299" s="55">
        <f t="shared" si="2143"/>
        <v>46275</v>
      </c>
      <c r="QV299" s="56"/>
      <c r="QW299" s="242">
        <f>SUMPRODUCT(PRODUCE!$B298:$DY298,PRODUCE!$EB$57:$IY$57)</f>
        <v>0</v>
      </c>
      <c r="QX299" s="56"/>
      <c r="QY299" s="242">
        <f t="shared" si="2144"/>
        <v>0</v>
      </c>
      <c r="QZ299" s="242">
        <f t="shared" si="2145"/>
        <v>0</v>
      </c>
      <c r="RA299" s="56"/>
      <c r="RD299" s="55">
        <f t="shared" si="2146"/>
        <v>46275</v>
      </c>
      <c r="RE299" s="56"/>
      <c r="RF299" s="242">
        <f>SUMPRODUCT(PRODUCE!$B298:$DY298,PRODUCE!$EB$58:$IY$58)</f>
        <v>0</v>
      </c>
      <c r="RG299" s="56"/>
      <c r="RH299" s="242">
        <f t="shared" si="2147"/>
        <v>0</v>
      </c>
      <c r="RI299" s="242">
        <f t="shared" si="2148"/>
        <v>147.04000000000002</v>
      </c>
      <c r="RJ299" s="56"/>
      <c r="RM299" s="55">
        <f t="shared" si="2149"/>
        <v>46275</v>
      </c>
      <c r="RN299" s="56"/>
      <c r="RO299" s="242">
        <f>SUMPRODUCT(PRODUCE!$B298:$DY298,PRODUCE!$EB$59:$IY$59)</f>
        <v>0</v>
      </c>
      <c r="RP299" s="56"/>
      <c r="RQ299" s="242">
        <f t="shared" si="2150"/>
        <v>0</v>
      </c>
      <c r="RR299" s="242">
        <f t="shared" si="2151"/>
        <v>46.8</v>
      </c>
      <c r="RS299" s="56"/>
      <c r="RV299" s="55">
        <f t="shared" si="2152"/>
        <v>46275</v>
      </c>
      <c r="RW299" s="56"/>
      <c r="RX299" s="242">
        <f>SUMPRODUCT(PRODUCE!$B298:$DY298,PRODUCE!$EB$57:$IY$57)</f>
        <v>0</v>
      </c>
      <c r="RY299" s="56"/>
      <c r="RZ299" s="242">
        <f t="shared" si="2153"/>
        <v>0</v>
      </c>
      <c r="SA299" s="242">
        <f t="shared" si="2154"/>
        <v>0</v>
      </c>
      <c r="SB299" s="56"/>
      <c r="SE299" s="55">
        <f t="shared" si="2155"/>
        <v>46275</v>
      </c>
      <c r="SF299" s="56"/>
      <c r="SG299" s="242">
        <f>SUMPRODUCT(PRODUCE!$B298:$DY298,PRODUCE!$EB$61:$IY$61)</f>
        <v>0</v>
      </c>
      <c r="SH299" s="56"/>
      <c r="SI299" s="242">
        <f t="shared" si="2156"/>
        <v>0</v>
      </c>
      <c r="SJ299" s="242">
        <f t="shared" si="2157"/>
        <v>24.200000000000003</v>
      </c>
      <c r="SK299" s="56"/>
      <c r="SN299" s="55">
        <f t="shared" si="2158"/>
        <v>46275</v>
      </c>
      <c r="SO299" s="56"/>
      <c r="SP299" s="242">
        <f>SUMPRODUCT(PRODUCE!$B298:$DY298,PRODUCE!$EB$57:$IY$57)</f>
        <v>0</v>
      </c>
      <c r="SQ299" s="56"/>
      <c r="SR299" s="242">
        <f t="shared" si="2159"/>
        <v>0</v>
      </c>
      <c r="SS299" s="242">
        <f t="shared" si="2160"/>
        <v>32</v>
      </c>
      <c r="ST299" s="56"/>
      <c r="SW299" s="55">
        <f t="shared" si="2161"/>
        <v>46275</v>
      </c>
      <c r="SX299" s="56"/>
      <c r="SY299" s="242">
        <f>SUMPRODUCT(PRODUCE!$B298:$DY298,PRODUCE!$EB$57:$IY$57)</f>
        <v>0</v>
      </c>
      <c r="SZ299" s="56"/>
      <c r="TA299" s="242">
        <f t="shared" si="2162"/>
        <v>0</v>
      </c>
      <c r="TB299" s="242">
        <f t="shared" si="2163"/>
        <v>0</v>
      </c>
      <c r="TC299" s="56"/>
      <c r="TF299" s="55">
        <f t="shared" si="2164"/>
        <v>46275</v>
      </c>
      <c r="TG299" s="56"/>
      <c r="TH299" s="242">
        <f>SUMPRODUCT(PRODUCE!$B298:$DY298,PRODUCE!$EB$57:$IY$57)</f>
        <v>0</v>
      </c>
      <c r="TI299" s="56"/>
      <c r="TJ299" s="242">
        <f t="shared" si="2165"/>
        <v>0</v>
      </c>
      <c r="TK299" s="242">
        <f t="shared" si="2166"/>
        <v>0</v>
      </c>
      <c r="TL299" s="56"/>
      <c r="TO299" s="55">
        <f t="shared" si="2167"/>
        <v>46275</v>
      </c>
      <c r="TP299" s="56"/>
      <c r="TQ299" s="242">
        <f>SUMPRODUCT(PRODUCE!$B298:$DY298,PRODUCE!$EB$57:$IY$57)</f>
        <v>0</v>
      </c>
      <c r="TR299" s="56"/>
      <c r="TS299" s="242">
        <f t="shared" si="2168"/>
        <v>0</v>
      </c>
      <c r="TT299" s="242">
        <f t="shared" si="2169"/>
        <v>0</v>
      </c>
      <c r="TU299" s="56"/>
      <c r="TX299" s="55">
        <f t="shared" si="2170"/>
        <v>46275</v>
      </c>
      <c r="TY299" s="56"/>
      <c r="TZ299" s="242">
        <f>SUMPRODUCT(PRODUCE!$B298:$DY298,PRODUCE!$EB$57:$IY$57)</f>
        <v>0</v>
      </c>
      <c r="UA299" s="56"/>
      <c r="UB299" s="242">
        <f t="shared" si="2171"/>
        <v>0</v>
      </c>
      <c r="UC299" s="242">
        <f t="shared" si="2172"/>
        <v>46.799999999999983</v>
      </c>
      <c r="UD299" s="56"/>
      <c r="UG299" s="55">
        <f t="shared" si="2173"/>
        <v>46275</v>
      </c>
      <c r="UH299" s="56"/>
      <c r="UI299" s="242">
        <f>SUMPRODUCT(PRODUCE!$B298:$DY298,PRODUCE!$EB$57:$IY$57)</f>
        <v>0</v>
      </c>
      <c r="UJ299" s="56"/>
      <c r="UK299" s="242">
        <f t="shared" si="2174"/>
        <v>0</v>
      </c>
      <c r="UL299" s="242">
        <f t="shared" si="2175"/>
        <v>204</v>
      </c>
      <c r="UM299" s="56"/>
      <c r="UP299" s="55">
        <f t="shared" si="2176"/>
        <v>46275</v>
      </c>
      <c r="UQ299" s="56"/>
      <c r="UR299" s="242">
        <f>SUMPRODUCT(PRODUCE!$B298:$DY298,PRODUCE!$EB$57:$IY$57)</f>
        <v>0</v>
      </c>
      <c r="US299" s="56"/>
      <c r="UT299" s="242">
        <f t="shared" si="2177"/>
        <v>0</v>
      </c>
      <c r="UU299" s="242">
        <f t="shared" si="2178"/>
        <v>202.5</v>
      </c>
      <c r="UV299" s="56"/>
      <c r="UY299" s="55">
        <f t="shared" si="2179"/>
        <v>46275</v>
      </c>
      <c r="UZ299" s="56"/>
      <c r="VA299" s="242">
        <f>SUMPRODUCT(PRODUCE!$B298:$DY298,PRODUCE!$EB$57:$IY$57)</f>
        <v>0</v>
      </c>
      <c r="VB299" s="56"/>
      <c r="VC299" s="242">
        <f t="shared" si="2180"/>
        <v>0</v>
      </c>
      <c r="VD299" s="242">
        <f t="shared" si="2181"/>
        <v>41.600000000000023</v>
      </c>
      <c r="VE299" s="56"/>
      <c r="VH299" s="55">
        <f t="shared" si="2182"/>
        <v>46275</v>
      </c>
      <c r="VI299" s="56"/>
      <c r="VJ299" s="242">
        <f>SUMPRODUCT(PRODUCE!$B298:$DY298,PRODUCE!$EB$57:$IY$57)</f>
        <v>0</v>
      </c>
      <c r="VK299" s="56"/>
      <c r="VL299" s="242">
        <f t="shared" si="2183"/>
        <v>0</v>
      </c>
      <c r="VM299" s="242">
        <f t="shared" si="2184"/>
        <v>210</v>
      </c>
      <c r="VN299" s="56"/>
      <c r="VQ299" s="55">
        <f t="shared" si="2185"/>
        <v>46275</v>
      </c>
      <c r="VR299" s="56"/>
      <c r="VS299" s="242">
        <f>SUMPRODUCT(PRODUCE!$B298:$DY298,PRODUCE!$EB$57:$IY$57)</f>
        <v>0</v>
      </c>
      <c r="VT299" s="56"/>
      <c r="VU299" s="242">
        <f t="shared" si="2186"/>
        <v>0</v>
      </c>
      <c r="VV299" s="242">
        <f t="shared" si="2187"/>
        <v>0</v>
      </c>
      <c r="VW299" s="56"/>
      <c r="VZ299" s="55">
        <f t="shared" si="2188"/>
        <v>46275</v>
      </c>
      <c r="WA299" s="56"/>
      <c r="WB299" s="242">
        <f>SUMPRODUCT(PRODUCE!$B298:$DY298,PRODUCE!$EB$57:$IY$57)</f>
        <v>0</v>
      </c>
      <c r="WC299" s="56"/>
      <c r="WD299" s="242">
        <f t="shared" si="2189"/>
        <v>0</v>
      </c>
      <c r="WE299" s="242">
        <f t="shared" si="2190"/>
        <v>0</v>
      </c>
      <c r="WF299" s="56"/>
      <c r="WI299" s="55">
        <f t="shared" si="2191"/>
        <v>46275</v>
      </c>
      <c r="WJ299" s="56"/>
      <c r="WK299" s="242">
        <f>SUMPRODUCT(PRODUCE!$B298:$DY298,PRODUCE!$EB$57:$IY$57)</f>
        <v>0</v>
      </c>
      <c r="WL299" s="56"/>
      <c r="WM299" s="242">
        <f t="shared" si="2192"/>
        <v>0</v>
      </c>
      <c r="WN299" s="242">
        <f t="shared" si="2193"/>
        <v>1057</v>
      </c>
      <c r="WO299" s="56"/>
      <c r="WR299" s="55">
        <f t="shared" si="2194"/>
        <v>46275</v>
      </c>
      <c r="WS299" s="56"/>
      <c r="WT299" s="242">
        <f>SUMPRODUCT(PRODUCE!$B298:$DY298,PRODUCE!$EB$57:$IY$57)</f>
        <v>0</v>
      </c>
      <c r="WU299" s="56"/>
      <c r="WV299" s="242">
        <f t="shared" si="2195"/>
        <v>0</v>
      </c>
      <c r="WW299" s="242">
        <f t="shared" si="2196"/>
        <v>0</v>
      </c>
      <c r="WX299" s="56"/>
      <c r="XA299" s="55">
        <f t="shared" si="2197"/>
        <v>46275</v>
      </c>
      <c r="XB299" s="56"/>
      <c r="XC299" s="242">
        <f>SUMPRODUCT(PRODUCE!$B298:$DY298,PRODUCE!$EB$57:$IY$57)</f>
        <v>0</v>
      </c>
      <c r="XD299" s="56"/>
      <c r="XE299" s="242">
        <f t="shared" si="2198"/>
        <v>0</v>
      </c>
      <c r="XF299" s="242">
        <f t="shared" si="2199"/>
        <v>7507</v>
      </c>
      <c r="XG299" s="56"/>
      <c r="XJ299" s="55">
        <f t="shared" si="2200"/>
        <v>46275</v>
      </c>
      <c r="XK299" s="56"/>
      <c r="XL299" s="242">
        <f>SUMPRODUCT(PRODUCE!$B298:$DY298,PRODUCE!$EB$57:$IY$57)</f>
        <v>0</v>
      </c>
      <c r="XM299" s="56"/>
      <c r="XN299" s="242">
        <f t="shared" si="2201"/>
        <v>0</v>
      </c>
      <c r="XO299" s="242">
        <f t="shared" si="2202"/>
        <v>4252</v>
      </c>
      <c r="XP299" s="56"/>
      <c r="XS299" s="55">
        <f t="shared" si="2203"/>
        <v>46275</v>
      </c>
      <c r="XT299" s="56"/>
      <c r="XU299" s="242">
        <f>SUMPRODUCT(PRODUCE!$B298:$DY298,PRODUCE!$EB$57:$IY$57)</f>
        <v>0</v>
      </c>
      <c r="XV299" s="56"/>
      <c r="XW299" s="242">
        <f t="shared" si="2204"/>
        <v>0</v>
      </c>
      <c r="XX299" s="242">
        <f t="shared" si="2205"/>
        <v>2179</v>
      </c>
      <c r="XY299" s="56"/>
      <c r="YB299" s="55">
        <f t="shared" si="2206"/>
        <v>46275</v>
      </c>
      <c r="YC299" s="56"/>
      <c r="YD299" s="242">
        <f>SUMPRODUCT(PRODUCE!$B298:$DY298,PRODUCE!$EB$57:$IY$57)</f>
        <v>0</v>
      </c>
      <c r="YE299" s="56"/>
      <c r="YF299" s="242">
        <f t="shared" si="2207"/>
        <v>0</v>
      </c>
      <c r="YG299" s="242">
        <f t="shared" si="2208"/>
        <v>4019</v>
      </c>
      <c r="YH299" s="56"/>
      <c r="YK299" s="55">
        <f t="shared" si="2209"/>
        <v>46275</v>
      </c>
      <c r="YL299" s="56"/>
      <c r="YM299" s="242">
        <f>SUMPRODUCT(PRODUCE!$B298:$DY298,PRODUCE!$EB$57:$IY$57)</f>
        <v>0</v>
      </c>
      <c r="YN299" s="56"/>
      <c r="YO299" s="242">
        <f t="shared" si="2210"/>
        <v>0</v>
      </c>
      <c r="YP299" s="242">
        <f t="shared" si="2211"/>
        <v>-218</v>
      </c>
      <c r="YQ299" s="56"/>
      <c r="YT299" s="55">
        <f t="shared" si="2212"/>
        <v>46275</v>
      </c>
      <c r="YU299" s="56"/>
      <c r="YV299" s="242">
        <f>SUMPRODUCT(PRODUCE!$B298:$DY298,PRODUCE!$EB$57:$IY$57)</f>
        <v>0</v>
      </c>
      <c r="YW299" s="56"/>
      <c r="YX299" s="242">
        <f t="shared" si="2213"/>
        <v>0</v>
      </c>
      <c r="YY299" s="242">
        <f t="shared" si="2214"/>
        <v>0</v>
      </c>
      <c r="YZ299" s="56"/>
      <c r="ZC299" s="55">
        <f t="shared" si="2215"/>
        <v>46275</v>
      </c>
      <c r="ZD299" s="56"/>
      <c r="ZE299" s="242">
        <f>SUMPRODUCT(PRODUCE!$B298:$DY298,PRODUCE!$EB$57:$IY$57)</f>
        <v>0</v>
      </c>
      <c r="ZF299" s="56"/>
      <c r="ZG299" s="242">
        <f t="shared" si="2216"/>
        <v>0</v>
      </c>
      <c r="ZH299" s="242">
        <f t="shared" si="2217"/>
        <v>0</v>
      </c>
      <c r="ZI299" s="56"/>
      <c r="ZL299" s="55">
        <f t="shared" si="2218"/>
        <v>46275</v>
      </c>
      <c r="ZM299" s="56"/>
      <c r="ZN299" s="242">
        <f>SUMPRODUCT(PRODUCE!$B298:$DY298,PRODUCE!$EB$57:$IY$57)</f>
        <v>0</v>
      </c>
      <c r="ZO299" s="56"/>
      <c r="ZP299" s="242">
        <f t="shared" si="2219"/>
        <v>0</v>
      </c>
      <c r="ZQ299" s="242">
        <f t="shared" si="2220"/>
        <v>0</v>
      </c>
      <c r="ZR299" s="56"/>
      <c r="ZU299" s="55">
        <f t="shared" si="2221"/>
        <v>46275</v>
      </c>
      <c r="ZV299" s="56"/>
      <c r="ZW299" s="242">
        <f>SUMPRODUCT(PRODUCE!$B298:$DY298,PRODUCE!$EB$57:$IY$57)</f>
        <v>0</v>
      </c>
      <c r="ZX299" s="56"/>
      <c r="ZY299" s="242">
        <f t="shared" si="2222"/>
        <v>0</v>
      </c>
      <c r="ZZ299" s="242">
        <f t="shared" si="2223"/>
        <v>0</v>
      </c>
      <c r="AAA299" s="56"/>
      <c r="AAD299" s="55">
        <f t="shared" si="2224"/>
        <v>46275</v>
      </c>
      <c r="AAE299" s="56"/>
      <c r="AAF299" s="242">
        <f>SUMPRODUCT(PRODUCE!$B298:$DY298,PRODUCE!$EB$57:$IY$57)</f>
        <v>0</v>
      </c>
      <c r="AAG299" s="56"/>
      <c r="AAH299" s="242">
        <f t="shared" si="2225"/>
        <v>0</v>
      </c>
      <c r="AAI299" s="242">
        <f t="shared" si="2226"/>
        <v>0</v>
      </c>
      <c r="AAJ299" s="56"/>
      <c r="AAM299" s="55">
        <f t="shared" si="2227"/>
        <v>46275</v>
      </c>
      <c r="AAN299" s="56"/>
      <c r="AAO299" s="242">
        <f>SUMPRODUCT(PRODUCE!$B298:$DY298,PRODUCE!$EB$57:$IY$57)</f>
        <v>0</v>
      </c>
      <c r="AAP299" s="56"/>
      <c r="AAQ299" s="242">
        <f t="shared" si="2228"/>
        <v>0</v>
      </c>
      <c r="AAR299" s="242">
        <f t="shared" si="2229"/>
        <v>0</v>
      </c>
      <c r="AAS299" s="56"/>
      <c r="AAV299" s="55">
        <f t="shared" si="2230"/>
        <v>46275</v>
      </c>
      <c r="AAW299" s="56"/>
      <c r="AAX299" s="242">
        <f>SUMPRODUCT(PRODUCE!$B298:$DY298,PRODUCE!$EB$57:$IY$57)</f>
        <v>0</v>
      </c>
      <c r="AAY299" s="56"/>
      <c r="AAZ299" s="242">
        <f t="shared" si="2231"/>
        <v>0</v>
      </c>
      <c r="ABA299" s="242">
        <f t="shared" si="2232"/>
        <v>0</v>
      </c>
      <c r="ABB299" s="56"/>
      <c r="ABE299" s="55">
        <f t="shared" si="2233"/>
        <v>46275</v>
      </c>
      <c r="ABF299" s="56"/>
      <c r="ABG299" s="242">
        <f>SUMPRODUCT(PRODUCE!$B298:$DY298,PRODUCE!$EB$57:$IY$57)</f>
        <v>0</v>
      </c>
      <c r="ABH299" s="56"/>
      <c r="ABI299" s="242">
        <f t="shared" si="2234"/>
        <v>0</v>
      </c>
      <c r="ABJ299" s="242">
        <f t="shared" si="2235"/>
        <v>0</v>
      </c>
      <c r="ABK299" s="56"/>
    </row>
    <row r="300" spans="2:739" s="54" customFormat="1" ht="15" customHeight="1" outlineLevel="1">
      <c r="B300" s="478"/>
      <c r="C300" s="55">
        <v>46276</v>
      </c>
      <c r="D300" s="56"/>
      <c r="E300" s="57">
        <f>SUMPRODUCT(PRODUCE!$B299:$DY299,PRODUCE!$EB$7:$IY$7)</f>
        <v>0</v>
      </c>
      <c r="F300" s="56"/>
      <c r="G300" s="57">
        <f t="shared" si="1992"/>
        <v>0</v>
      </c>
      <c r="H300" s="57">
        <f t="shared" si="1993"/>
        <v>236936.6</v>
      </c>
      <c r="I300" s="289"/>
      <c r="L300" s="55">
        <f t="shared" si="1994"/>
        <v>46276</v>
      </c>
      <c r="M300" s="56"/>
      <c r="N300" s="59">
        <f>SUMPRODUCT(PRODUCE!$B299:$DY299,PRODUCE!$EB$8:$IY$8)</f>
        <v>0</v>
      </c>
      <c r="O300" s="56"/>
      <c r="P300" s="59">
        <f t="shared" si="1995"/>
        <v>0</v>
      </c>
      <c r="Q300" s="59">
        <f t="shared" si="1996"/>
        <v>53017.600000000071</v>
      </c>
      <c r="R300" s="56"/>
      <c r="U300" s="55">
        <f t="shared" si="1997"/>
        <v>46276</v>
      </c>
      <c r="V300" s="56"/>
      <c r="W300" s="60">
        <f>SUMPRODUCT(PRODUCE!$B299:$DY299,PRODUCE!$EB$9:$IY$9)</f>
        <v>0</v>
      </c>
      <c r="X300" s="56"/>
      <c r="Y300" s="60">
        <f t="shared" si="1998"/>
        <v>0</v>
      </c>
      <c r="Z300" s="60">
        <f t="shared" si="1999"/>
        <v>42674.199999999968</v>
      </c>
      <c r="AA300" s="56"/>
      <c r="AD300" s="55">
        <f t="shared" si="2000"/>
        <v>46276</v>
      </c>
      <c r="AE300" s="56"/>
      <c r="AF300" s="61">
        <f>SUMPRODUCT(PRODUCE!$B299:$DY299,PRODUCE!$EB$10:$IY$10)</f>
        <v>0</v>
      </c>
      <c r="AG300" s="56"/>
      <c r="AH300" s="61">
        <f t="shared" si="2001"/>
        <v>0</v>
      </c>
      <c r="AI300" s="61">
        <f t="shared" si="2002"/>
        <v>4522.2000000000189</v>
      </c>
      <c r="AJ300" s="56"/>
      <c r="AM300" s="55">
        <f t="shared" si="2003"/>
        <v>46276</v>
      </c>
      <c r="AN300" s="422"/>
      <c r="AO300" s="444">
        <f>SUMPRODUCT(PRODUCE!$B299:$DY299,PRODUCE!$EB$11:$IY$11)</f>
        <v>0</v>
      </c>
      <c r="AP300" s="422"/>
      <c r="AQ300" s="444">
        <f t="shared" si="2004"/>
        <v>0</v>
      </c>
      <c r="AR300" s="444">
        <f t="shared" si="2005"/>
        <v>0</v>
      </c>
      <c r="AS300" s="56"/>
      <c r="AV300" s="55">
        <f t="shared" si="2006"/>
        <v>46276</v>
      </c>
      <c r="AW300" s="56"/>
      <c r="AX300" s="62">
        <f>SUMPRODUCT(PRODUCE!$B299:$DY299,PRODUCE!$EB$12:$IY$12)</f>
        <v>0</v>
      </c>
      <c r="AY300" s="56"/>
      <c r="AZ300" s="62">
        <f t="shared" si="2007"/>
        <v>0</v>
      </c>
      <c r="BA300" s="62">
        <f t="shared" si="2008"/>
        <v>124.99999999999523</v>
      </c>
      <c r="BB300" s="56"/>
      <c r="BE300" s="55">
        <f t="shared" si="2009"/>
        <v>46276</v>
      </c>
      <c r="BF300" s="56"/>
      <c r="BG300" s="63">
        <f>SUMPRODUCT(PRODUCE!$B299:$DY299,PRODUCE!$EB$13:$IY$13)</f>
        <v>0</v>
      </c>
      <c r="BH300" s="56"/>
      <c r="BI300" s="63">
        <f t="shared" si="2010"/>
        <v>0</v>
      </c>
      <c r="BJ300" s="63">
        <f t="shared" si="2011"/>
        <v>26151.899999999998</v>
      </c>
      <c r="BK300" s="56"/>
      <c r="BN300" s="55">
        <f t="shared" si="2012"/>
        <v>46276</v>
      </c>
      <c r="BO300" s="56"/>
      <c r="BP300" s="64">
        <f>SUMPRODUCT(PRODUCE!$B299:$DY299,PRODUCE!$EB$14:$IY$14)</f>
        <v>0</v>
      </c>
      <c r="BQ300" s="56"/>
      <c r="BR300" s="64">
        <f t="shared" si="2013"/>
        <v>0</v>
      </c>
      <c r="BS300" s="64">
        <f t="shared" si="2014"/>
        <v>0</v>
      </c>
      <c r="BT300" s="56"/>
      <c r="BW300" s="55">
        <f t="shared" si="2015"/>
        <v>46276</v>
      </c>
      <c r="BX300" s="56"/>
      <c r="BY300" s="65">
        <f>SUMPRODUCT(PRODUCE!$B299:$DY299,PRODUCE!$EB$15:$IY$15)</f>
        <v>0</v>
      </c>
      <c r="BZ300" s="56"/>
      <c r="CA300" s="65">
        <f t="shared" si="2016"/>
        <v>0</v>
      </c>
      <c r="CB300" s="65">
        <f t="shared" si="2017"/>
        <v>2097.3399999999992</v>
      </c>
      <c r="CC300" s="56"/>
      <c r="CF300" s="55">
        <f t="shared" si="2018"/>
        <v>46276</v>
      </c>
      <c r="CG300" s="56"/>
      <c r="CH300" s="66">
        <f>SUMPRODUCT(PRODUCE!$B299:$DY299,PRODUCE!$EB$16:$IY$16)</f>
        <v>0</v>
      </c>
      <c r="CI300" s="56"/>
      <c r="CJ300" s="66">
        <f t="shared" si="2019"/>
        <v>0</v>
      </c>
      <c r="CK300" s="66">
        <f t="shared" si="2020"/>
        <v>-10277.079999999998</v>
      </c>
      <c r="CL300" s="56"/>
      <c r="CO300" s="55">
        <f t="shared" si="2021"/>
        <v>46276</v>
      </c>
      <c r="CP300" s="422"/>
      <c r="CQ300" s="470">
        <f>SUMPRODUCT(PRODUCE!$B299:$DY299,PRODUCE!$EB$17:$IY$17)</f>
        <v>0</v>
      </c>
      <c r="CR300" s="422"/>
      <c r="CS300" s="470">
        <f t="shared" si="2022"/>
        <v>0</v>
      </c>
      <c r="CT300" s="470">
        <f t="shared" si="2023"/>
        <v>0</v>
      </c>
      <c r="CU300" s="56"/>
      <c r="CX300" s="55">
        <f t="shared" si="2024"/>
        <v>46276</v>
      </c>
      <c r="CY300" s="56"/>
      <c r="CZ300" s="133">
        <f>SUMPRODUCT(PRODUCE!$B299:$DY299,PRODUCE!$EB$18:$IY$18)</f>
        <v>0</v>
      </c>
      <c r="DA300" s="56"/>
      <c r="DB300" s="133">
        <f t="shared" si="2025"/>
        <v>0</v>
      </c>
      <c r="DC300" s="133">
        <f t="shared" si="2026"/>
        <v>27438.200000000012</v>
      </c>
      <c r="DD300" s="56"/>
      <c r="DG300" s="55">
        <f t="shared" si="2027"/>
        <v>46276</v>
      </c>
      <c r="DH300" s="56"/>
      <c r="DI300" s="147">
        <f>SUMPRODUCT(PRODUCE!$B299:$DY299,PRODUCE!$EB$19:$IY$19)</f>
        <v>0</v>
      </c>
      <c r="DJ300" s="56"/>
      <c r="DK300" s="147">
        <f t="shared" si="2028"/>
        <v>0</v>
      </c>
      <c r="DL300" s="147">
        <f t="shared" si="2029"/>
        <v>18782.299999999981</v>
      </c>
      <c r="DM300" s="56"/>
      <c r="DP300" s="55">
        <f t="shared" si="2030"/>
        <v>46276</v>
      </c>
      <c r="DQ300" s="56"/>
      <c r="DR300" s="57">
        <f>SUMPRODUCT(PRODUCE!$B299:$DY299,PRODUCE!$EB$20:$IY$20)</f>
        <v>0</v>
      </c>
      <c r="DS300" s="56"/>
      <c r="DT300" s="57">
        <f t="shared" si="2031"/>
        <v>0</v>
      </c>
      <c r="DU300" s="57">
        <f t="shared" si="2032"/>
        <v>5800</v>
      </c>
      <c r="DV300" s="56"/>
      <c r="DY300" s="55">
        <f t="shared" si="2033"/>
        <v>46276</v>
      </c>
      <c r="DZ300" s="56"/>
      <c r="EA300" s="157">
        <f>SUMPRODUCT(PRODUCE!$B299:$DY299,PRODUCE!$EB$21:$IY$21)</f>
        <v>0</v>
      </c>
      <c r="EB300" s="56"/>
      <c r="EC300" s="157">
        <f t="shared" si="2034"/>
        <v>0</v>
      </c>
      <c r="ED300" s="157">
        <f t="shared" si="2035"/>
        <v>0</v>
      </c>
      <c r="EE300" s="56"/>
      <c r="EH300" s="55">
        <f t="shared" si="2036"/>
        <v>46276</v>
      </c>
      <c r="EI300" s="56"/>
      <c r="EJ300" s="162">
        <f>SUMPRODUCT(PRODUCE!$B299:$DY299,PRODUCE!$EB$22:$IY$22)</f>
        <v>0</v>
      </c>
      <c r="EK300" s="56"/>
      <c r="EL300" s="162">
        <f t="shared" si="2037"/>
        <v>0</v>
      </c>
      <c r="EM300" s="162">
        <f t="shared" si="2038"/>
        <v>0</v>
      </c>
      <c r="EN300" s="56"/>
      <c r="EQ300" s="55">
        <f t="shared" si="2039"/>
        <v>46276</v>
      </c>
      <c r="ER300" s="56"/>
      <c r="ES300" s="135">
        <f>SUMPRODUCT(PRODUCE!$B299:$DY299,PRODUCE!$EB$23:$IY$23)</f>
        <v>0</v>
      </c>
      <c r="ET300" s="56"/>
      <c r="EU300" s="135">
        <f t="shared" si="2040"/>
        <v>0</v>
      </c>
      <c r="EV300" s="135">
        <f t="shared" si="2041"/>
        <v>0</v>
      </c>
      <c r="EW300" s="56"/>
      <c r="EZ300" s="55">
        <f t="shared" si="2042"/>
        <v>46276</v>
      </c>
      <c r="FA300" s="56"/>
      <c r="FB300" s="175">
        <f>SUMPRODUCT(PRODUCE!$B299:$DY299,PRODUCE!$EB$24:$IY$24)</f>
        <v>0</v>
      </c>
      <c r="FC300" s="56"/>
      <c r="FD300" s="175">
        <f t="shared" si="2043"/>
        <v>0</v>
      </c>
      <c r="FE300" s="175">
        <f t="shared" si="2044"/>
        <v>0</v>
      </c>
      <c r="FF300" s="56"/>
      <c r="FI300" s="55">
        <f t="shared" si="2045"/>
        <v>46276</v>
      </c>
      <c r="FJ300" s="56"/>
      <c r="FK300" s="183">
        <f>SUMPRODUCT(PRODUCE!$B299:$DY299,PRODUCE!$EB$25:$IY$25)</f>
        <v>0</v>
      </c>
      <c r="FL300" s="56"/>
      <c r="FM300" s="183">
        <f t="shared" si="2046"/>
        <v>0</v>
      </c>
      <c r="FN300" s="183">
        <f t="shared" si="2047"/>
        <v>0</v>
      </c>
      <c r="FO300" s="56"/>
      <c r="FR300" s="55">
        <f t="shared" si="2048"/>
        <v>46276</v>
      </c>
      <c r="FS300" s="56"/>
      <c r="FT300" s="186">
        <f>SUMPRODUCT(PRODUCE!$B299:$DY299,PRODUCE!$EB$26:$IY$26)</f>
        <v>0</v>
      </c>
      <c r="FU300" s="56"/>
      <c r="FV300" s="186">
        <f t="shared" si="2049"/>
        <v>0</v>
      </c>
      <c r="FW300" s="186">
        <f t="shared" si="2050"/>
        <v>2020</v>
      </c>
      <c r="FX300" s="56"/>
      <c r="GA300" s="55">
        <f t="shared" si="2051"/>
        <v>46276</v>
      </c>
      <c r="GB300" s="56"/>
      <c r="GC300" s="137">
        <f>SUMPRODUCT(PRODUCE!$B299:$DY299,PRODUCE!$EB$27:$IY$27)</f>
        <v>0</v>
      </c>
      <c r="GD300" s="56"/>
      <c r="GE300" s="137">
        <f t="shared" si="2052"/>
        <v>0</v>
      </c>
      <c r="GF300" s="137">
        <f t="shared" si="2053"/>
        <v>960</v>
      </c>
      <c r="GG300" s="56"/>
      <c r="GI300" s="23"/>
      <c r="GJ300" s="55">
        <f t="shared" si="2054"/>
        <v>46276</v>
      </c>
      <c r="GK300" s="56"/>
      <c r="GL300" s="199">
        <f>SUMPRODUCT(PRODUCE!$B299:$DY299,PRODUCE!$EB$28:$IY$28)</f>
        <v>0</v>
      </c>
      <c r="GM300" s="56"/>
      <c r="GN300" s="199">
        <f t="shared" si="2055"/>
        <v>0</v>
      </c>
      <c r="GO300" s="199">
        <f t="shared" si="2056"/>
        <v>1760</v>
      </c>
      <c r="GP300" s="56"/>
      <c r="GS300" s="55">
        <f t="shared" si="2057"/>
        <v>46276</v>
      </c>
      <c r="GT300" s="56"/>
      <c r="GU300" s="195">
        <f>SUMPRODUCT(PRODUCE!$B299:$DY299,PRODUCE!$EB$29:$IY$29)</f>
        <v>0</v>
      </c>
      <c r="GV300" s="56"/>
      <c r="GW300" s="195">
        <f t="shared" si="2058"/>
        <v>0</v>
      </c>
      <c r="GX300" s="195">
        <f t="shared" si="2059"/>
        <v>400</v>
      </c>
      <c r="GY300" s="56"/>
      <c r="HB300" s="55">
        <f t="shared" si="2060"/>
        <v>46276</v>
      </c>
      <c r="HC300" s="56"/>
      <c r="HD300" s="191">
        <f>SUMPRODUCT(PRODUCE!$B299:$DY299,PRODUCE!$EB$30:$IY$30)</f>
        <v>0</v>
      </c>
      <c r="HE300" s="56"/>
      <c r="HF300" s="191">
        <f t="shared" si="2061"/>
        <v>0</v>
      </c>
      <c r="HG300" s="191">
        <f t="shared" si="2062"/>
        <v>3600</v>
      </c>
      <c r="HH300" s="56"/>
      <c r="HK300" s="55">
        <f t="shared" si="2063"/>
        <v>46276</v>
      </c>
      <c r="HL300" s="56"/>
      <c r="HM300" s="63">
        <f>SUMPRODUCT(PRODUCE!$B299:$DY299,PRODUCE!$EB$31:$IY$31)</f>
        <v>0</v>
      </c>
      <c r="HN300" s="56"/>
      <c r="HO300" s="63">
        <f t="shared" si="2064"/>
        <v>0</v>
      </c>
      <c r="HP300" s="63">
        <f t="shared" si="2065"/>
        <v>0</v>
      </c>
      <c r="HQ300" s="56"/>
      <c r="HU300" s="55">
        <f t="shared" si="2066"/>
        <v>46276</v>
      </c>
      <c r="HV300" s="56"/>
      <c r="HW300" s="242">
        <f>SUMPRODUCT(PRODUCE!$B299:$DY299,PRODUCE!$EB$32:$IY$32)</f>
        <v>0</v>
      </c>
      <c r="HX300" s="56"/>
      <c r="HY300" s="242">
        <f t="shared" si="2236"/>
        <v>0</v>
      </c>
      <c r="HZ300" s="242">
        <f t="shared" si="2067"/>
        <v>6120</v>
      </c>
      <c r="IA300" s="56"/>
      <c r="ID300" s="55">
        <f t="shared" si="2068"/>
        <v>46276</v>
      </c>
      <c r="IE300" s="56"/>
      <c r="IF300" s="242">
        <f>SUMPRODUCT(PRODUCE!$B299:$DY299,PRODUCE!$EB$33:$IY$33)</f>
        <v>0</v>
      </c>
      <c r="IG300" s="56"/>
      <c r="IH300" s="242">
        <f t="shared" si="2069"/>
        <v>0</v>
      </c>
      <c r="II300" s="242">
        <f t="shared" si="2070"/>
        <v>0</v>
      </c>
      <c r="IJ300" s="56"/>
      <c r="IM300" s="55">
        <f t="shared" si="2071"/>
        <v>46276</v>
      </c>
      <c r="IN300" s="56"/>
      <c r="IO300" s="242">
        <f>SUMPRODUCT(PRODUCE!$B299:$DY299,PRODUCE!$EB$34:$IY$34)</f>
        <v>0</v>
      </c>
      <c r="IP300" s="56"/>
      <c r="IQ300" s="242">
        <f t="shared" si="2072"/>
        <v>0</v>
      </c>
      <c r="IR300" s="242">
        <f t="shared" si="2073"/>
        <v>0</v>
      </c>
      <c r="IS300" s="56"/>
      <c r="IV300" s="55">
        <f t="shared" si="2074"/>
        <v>46276</v>
      </c>
      <c r="IW300" s="56"/>
      <c r="IX300" s="242">
        <f>SUMPRODUCT(PRODUCE!$B299:$DY299,PRODUCE!$EB$35:$IY$35)</f>
        <v>0</v>
      </c>
      <c r="IY300" s="56"/>
      <c r="IZ300" s="242">
        <f t="shared" si="2075"/>
        <v>0</v>
      </c>
      <c r="JA300" s="242">
        <f t="shared" si="2076"/>
        <v>2820</v>
      </c>
      <c r="JB300" s="56"/>
      <c r="JE300" s="55">
        <f t="shared" si="2077"/>
        <v>46276</v>
      </c>
      <c r="JF300" s="56"/>
      <c r="JG300" s="242">
        <f>SUMPRODUCT(PRODUCE!$B299:$DY299,PRODUCE!$EB$36:$IY$36)</f>
        <v>0</v>
      </c>
      <c r="JH300" s="56"/>
      <c r="JI300" s="242">
        <f t="shared" si="2078"/>
        <v>0</v>
      </c>
      <c r="JJ300" s="242">
        <f t="shared" si="2079"/>
        <v>0</v>
      </c>
      <c r="JK300" s="56"/>
      <c r="JN300" s="55">
        <f t="shared" si="2080"/>
        <v>46276</v>
      </c>
      <c r="JO300" s="56"/>
      <c r="JP300" s="242">
        <f>SUMPRODUCT(PRODUCE!$B299:$DY299,PRODUCE!$EB$37:$IY$37)</f>
        <v>0</v>
      </c>
      <c r="JQ300" s="56"/>
      <c r="JR300" s="242">
        <f t="shared" si="2081"/>
        <v>0</v>
      </c>
      <c r="JS300" s="242">
        <f t="shared" si="2082"/>
        <v>0</v>
      </c>
      <c r="JT300" s="56"/>
      <c r="JW300" s="55">
        <f t="shared" si="2083"/>
        <v>46276</v>
      </c>
      <c r="JX300" s="56"/>
      <c r="JY300" s="242">
        <f>SUMPRODUCT(PRODUCE!$B299:$DY299,PRODUCE!$EB$38:$IY$38)</f>
        <v>0</v>
      </c>
      <c r="JZ300" s="56"/>
      <c r="KA300" s="242">
        <f t="shared" si="2084"/>
        <v>0</v>
      </c>
      <c r="KB300" s="242">
        <f t="shared" si="2085"/>
        <v>2540</v>
      </c>
      <c r="KC300" s="56"/>
      <c r="KF300" s="55">
        <f t="shared" si="2086"/>
        <v>46276</v>
      </c>
      <c r="KG300" s="56"/>
      <c r="KH300" s="242">
        <f>SUMPRODUCT(PRODUCE!$B299:$DY299,PRODUCE!$EB$39:$IY$39)</f>
        <v>0</v>
      </c>
      <c r="KI300" s="56"/>
      <c r="KJ300" s="242">
        <f t="shared" si="2087"/>
        <v>0</v>
      </c>
      <c r="KK300" s="242">
        <f t="shared" si="2088"/>
        <v>2359.5</v>
      </c>
      <c r="KL300" s="56"/>
      <c r="KO300" s="55">
        <f t="shared" si="2089"/>
        <v>46276</v>
      </c>
      <c r="KP300" s="56"/>
      <c r="KQ300" s="242">
        <f>SUMPRODUCT(PRODUCE!$B299:$DY299,PRODUCE!$EB$40:$IY$40)</f>
        <v>0</v>
      </c>
      <c r="KR300" s="56"/>
      <c r="KS300" s="242">
        <f t="shared" si="2090"/>
        <v>0</v>
      </c>
      <c r="KT300" s="242">
        <f t="shared" si="2091"/>
        <v>1890</v>
      </c>
      <c r="KU300" s="56"/>
      <c r="KW300" s="23"/>
      <c r="KX300" s="55">
        <f t="shared" si="2092"/>
        <v>46276</v>
      </c>
      <c r="KY300" s="56"/>
      <c r="KZ300" s="242">
        <f>SUMPRODUCT(PRODUCE!$B299:$DY299,PRODUCE!$EB$41:$IY$41)</f>
        <v>0</v>
      </c>
      <c r="LA300" s="56"/>
      <c r="LB300" s="242">
        <f t="shared" si="2093"/>
        <v>0</v>
      </c>
      <c r="LC300" s="242">
        <f t="shared" si="2094"/>
        <v>3690</v>
      </c>
      <c r="LD300" s="56"/>
      <c r="LG300" s="55">
        <f t="shared" si="2095"/>
        <v>46276</v>
      </c>
      <c r="LH300" s="56"/>
      <c r="LI300" s="242">
        <f>SUMPRODUCT(PRODUCE!$B299:$DY299,PRODUCE!$EB$42:$IY$42)</f>
        <v>0</v>
      </c>
      <c r="LJ300" s="56"/>
      <c r="LK300" s="242">
        <f t="shared" si="2096"/>
        <v>0</v>
      </c>
      <c r="LL300" s="242">
        <f t="shared" si="2097"/>
        <v>4000</v>
      </c>
      <c r="LM300" s="56"/>
      <c r="LP300" s="55">
        <f t="shared" si="2098"/>
        <v>46276</v>
      </c>
      <c r="LQ300" s="56"/>
      <c r="LR300" s="242">
        <f>SUMPRODUCT(PRODUCE!$B315:$DY315,PRODUCE!$EB$43:$IY$43)</f>
        <v>0</v>
      </c>
      <c r="LS300" s="56"/>
      <c r="LT300" s="242">
        <f t="shared" si="2099"/>
        <v>0</v>
      </c>
      <c r="LU300" s="242">
        <f t="shared" si="2100"/>
        <v>0</v>
      </c>
      <c r="LV300" s="56"/>
      <c r="LY300" s="55">
        <f t="shared" si="2101"/>
        <v>46276</v>
      </c>
      <c r="LZ300" s="56"/>
      <c r="MA300" s="242">
        <f>SUMPRODUCT(PRODUCE!$B299:$DY299,PRODUCE!$EB$44:$IY$44)</f>
        <v>0</v>
      </c>
      <c r="MB300" s="56"/>
      <c r="MC300" s="242">
        <f t="shared" si="2102"/>
        <v>0</v>
      </c>
      <c r="MD300" s="242">
        <f t="shared" si="2103"/>
        <v>0</v>
      </c>
      <c r="ME300" s="56"/>
      <c r="MH300" s="55">
        <f t="shared" si="2104"/>
        <v>46276</v>
      </c>
      <c r="MI300" s="56"/>
      <c r="MJ300" s="242">
        <f>SUMPRODUCT(PRODUCE!$B299:$DY299,PRODUCE!$EB$45:$IY$45)</f>
        <v>0</v>
      </c>
      <c r="MK300" s="56"/>
      <c r="ML300" s="242">
        <f t="shared" si="2105"/>
        <v>0</v>
      </c>
      <c r="MM300" s="242">
        <f t="shared" si="2106"/>
        <v>0</v>
      </c>
      <c r="MN300" s="56"/>
      <c r="MQ300" s="55">
        <f t="shared" si="2107"/>
        <v>46276</v>
      </c>
      <c r="MR300" s="56"/>
      <c r="MS300" s="242">
        <f>SUMPRODUCT(PRODUCE!$B299:$DY299,PRODUCE!$EB$46:$IY$46)</f>
        <v>0</v>
      </c>
      <c r="MT300" s="56"/>
      <c r="MU300" s="242">
        <f t="shared" si="2108"/>
        <v>0</v>
      </c>
      <c r="MV300" s="242">
        <f t="shared" si="2109"/>
        <v>1625</v>
      </c>
      <c r="MW300" s="56"/>
      <c r="MZ300" s="55">
        <f t="shared" si="2110"/>
        <v>46276</v>
      </c>
      <c r="NA300" s="56"/>
      <c r="NB300" s="242">
        <f>SUMPRODUCT(PRODUCE!$B299:$DY299,PRODUCE!$EB$47:$IY$47)</f>
        <v>0</v>
      </c>
      <c r="NC300" s="56"/>
      <c r="ND300" s="242">
        <f t="shared" si="2111"/>
        <v>0</v>
      </c>
      <c r="NE300" s="242">
        <f t="shared" si="2112"/>
        <v>0</v>
      </c>
      <c r="NF300" s="56"/>
      <c r="NI300" s="55">
        <f t="shared" si="2113"/>
        <v>46276</v>
      </c>
      <c r="NJ300" s="56"/>
      <c r="NK300" s="242">
        <f>SUMPRODUCT(PRODUCE!$B299:$DY299,PRODUCE!$EB$48:$IY$48)</f>
        <v>0</v>
      </c>
      <c r="NL300" s="56"/>
      <c r="NM300" s="242">
        <f t="shared" si="2114"/>
        <v>0</v>
      </c>
      <c r="NN300" s="242">
        <f t="shared" si="2115"/>
        <v>1127</v>
      </c>
      <c r="NO300" s="56"/>
      <c r="NR300" s="55">
        <f t="shared" si="2116"/>
        <v>46276</v>
      </c>
      <c r="NS300" s="56"/>
      <c r="NT300" s="242">
        <f>SUMPRODUCT(PRODUCE!$B299:$DY299,PRODUCE!$EB$49:$IY$49)</f>
        <v>0</v>
      </c>
      <c r="NU300" s="56"/>
      <c r="NV300" s="242">
        <f t="shared" si="2117"/>
        <v>0</v>
      </c>
      <c r="NW300" s="242">
        <f t="shared" si="2118"/>
        <v>3111.9999999999995</v>
      </c>
      <c r="NX300" s="56"/>
      <c r="OA300" s="55">
        <f t="shared" si="2119"/>
        <v>46276</v>
      </c>
      <c r="OB300" s="56"/>
      <c r="OC300" s="242">
        <f>SUMPRODUCT(PRODUCE!$B299:$DY299,PRODUCE!$EB$50:$IY$50)</f>
        <v>0</v>
      </c>
      <c r="OD300" s="56"/>
      <c r="OE300" s="242">
        <f t="shared" si="2120"/>
        <v>0</v>
      </c>
      <c r="OF300" s="242">
        <f t="shared" si="2121"/>
        <v>1680.5</v>
      </c>
      <c r="OG300" s="56"/>
      <c r="OJ300" s="55">
        <f t="shared" si="2122"/>
        <v>46276</v>
      </c>
      <c r="OK300" s="56"/>
      <c r="OL300" s="242">
        <f>SUMPRODUCT(PRODUCE!$B299:$DY299,PRODUCE!$EB$51:$IY$51)</f>
        <v>0</v>
      </c>
      <c r="OM300" s="56"/>
      <c r="ON300" s="242">
        <f t="shared" si="2123"/>
        <v>0</v>
      </c>
      <c r="OO300" s="242">
        <f t="shared" si="2124"/>
        <v>0</v>
      </c>
      <c r="OP300" s="56"/>
      <c r="OS300" s="55">
        <f t="shared" si="2125"/>
        <v>46276</v>
      </c>
      <c r="OT300" s="56"/>
      <c r="OU300" s="242">
        <f>SUMPRODUCT(PRODUCE!$B299:$DY299,PRODUCE!$EB$52:$IY$52)</f>
        <v>0</v>
      </c>
      <c r="OV300" s="56"/>
      <c r="OW300" s="242">
        <f t="shared" si="2126"/>
        <v>0</v>
      </c>
      <c r="OX300" s="242">
        <f t="shared" si="2127"/>
        <v>1482</v>
      </c>
      <c r="OY300" s="56"/>
      <c r="PB300" s="55">
        <f t="shared" si="2128"/>
        <v>46276</v>
      </c>
      <c r="PC300" s="56"/>
      <c r="PD300" s="242">
        <f>SUMPRODUCT(PRODUCE!$B299:$DY299,PRODUCE!$EB$53:$IY$53)</f>
        <v>0</v>
      </c>
      <c r="PE300" s="56"/>
      <c r="PF300" s="242">
        <f t="shared" si="2129"/>
        <v>0</v>
      </c>
      <c r="PG300" s="242">
        <f t="shared" si="2130"/>
        <v>0</v>
      </c>
      <c r="PH300" s="56"/>
      <c r="PK300" s="55">
        <f t="shared" si="2131"/>
        <v>46276</v>
      </c>
      <c r="PL300" s="56"/>
      <c r="PM300" s="242">
        <f>SUMPRODUCT(PRODUCE!$B299:$DY299,PRODUCE!$EB$54:$IY$54)</f>
        <v>0</v>
      </c>
      <c r="PN300" s="56"/>
      <c r="PO300" s="242">
        <f t="shared" si="2132"/>
        <v>0</v>
      </c>
      <c r="PP300" s="242">
        <f t="shared" si="2133"/>
        <v>100</v>
      </c>
      <c r="PQ300" s="56"/>
      <c r="PT300" s="55">
        <f t="shared" si="2134"/>
        <v>46276</v>
      </c>
      <c r="PU300" s="56"/>
      <c r="PV300" s="242">
        <f>SUMPRODUCT(PRODUCE!$B299:$DY299,PRODUCE!$EB$55:$IY$55)</f>
        <v>0</v>
      </c>
      <c r="PW300" s="56"/>
      <c r="PX300" s="242">
        <f t="shared" si="2135"/>
        <v>0</v>
      </c>
      <c r="PY300" s="242">
        <f t="shared" si="2136"/>
        <v>13.960000000000036</v>
      </c>
      <c r="PZ300" s="56"/>
      <c r="QC300" s="55">
        <f t="shared" si="2137"/>
        <v>46276</v>
      </c>
      <c r="QD300" s="56"/>
      <c r="QE300" s="242">
        <f>SUMPRODUCT(PRODUCE!$B299:$DY299,PRODUCE!$EB$56:$IY$56)</f>
        <v>0</v>
      </c>
      <c r="QF300" s="56"/>
      <c r="QG300" s="242">
        <f t="shared" si="2138"/>
        <v>0</v>
      </c>
      <c r="QH300" s="242">
        <f t="shared" si="2139"/>
        <v>548</v>
      </c>
      <c r="QI300" s="56"/>
      <c r="QL300" s="55">
        <f t="shared" si="2140"/>
        <v>46276</v>
      </c>
      <c r="QM300" s="56"/>
      <c r="QN300" s="242">
        <f>SUMPRODUCT(PRODUCE!$B299:$DY299,PRODUCE!$EB$57:$IY$57)</f>
        <v>0</v>
      </c>
      <c r="QO300" s="56"/>
      <c r="QP300" s="242">
        <f t="shared" si="2141"/>
        <v>0</v>
      </c>
      <c r="QQ300" s="242">
        <f t="shared" si="2142"/>
        <v>0</v>
      </c>
      <c r="QR300" s="56"/>
      <c r="QU300" s="55">
        <f t="shared" si="2143"/>
        <v>46276</v>
      </c>
      <c r="QV300" s="56"/>
      <c r="QW300" s="242">
        <f>SUMPRODUCT(PRODUCE!$B299:$DY299,PRODUCE!$EB$57:$IY$57)</f>
        <v>0</v>
      </c>
      <c r="QX300" s="56"/>
      <c r="QY300" s="242">
        <f t="shared" si="2144"/>
        <v>0</v>
      </c>
      <c r="QZ300" s="242">
        <f t="shared" si="2145"/>
        <v>0</v>
      </c>
      <c r="RA300" s="56"/>
      <c r="RD300" s="55">
        <f t="shared" si="2146"/>
        <v>46276</v>
      </c>
      <c r="RE300" s="56"/>
      <c r="RF300" s="242">
        <f>SUMPRODUCT(PRODUCE!$B299:$DY299,PRODUCE!$EB$58:$IY$58)</f>
        <v>0</v>
      </c>
      <c r="RG300" s="56"/>
      <c r="RH300" s="242">
        <f t="shared" si="2147"/>
        <v>0</v>
      </c>
      <c r="RI300" s="242">
        <f t="shared" si="2148"/>
        <v>147.04000000000002</v>
      </c>
      <c r="RJ300" s="56"/>
      <c r="RM300" s="55">
        <f t="shared" si="2149"/>
        <v>46276</v>
      </c>
      <c r="RN300" s="56"/>
      <c r="RO300" s="242">
        <f>SUMPRODUCT(PRODUCE!$B299:$DY299,PRODUCE!$EB$59:$IY$59)</f>
        <v>0</v>
      </c>
      <c r="RP300" s="56"/>
      <c r="RQ300" s="242">
        <f t="shared" si="2150"/>
        <v>0</v>
      </c>
      <c r="RR300" s="242">
        <f t="shared" si="2151"/>
        <v>46.8</v>
      </c>
      <c r="RS300" s="56"/>
      <c r="RV300" s="55">
        <f t="shared" si="2152"/>
        <v>46276</v>
      </c>
      <c r="RW300" s="56"/>
      <c r="RX300" s="242">
        <f>SUMPRODUCT(PRODUCE!$B299:$DY299,PRODUCE!$EB$57:$IY$57)</f>
        <v>0</v>
      </c>
      <c r="RY300" s="56"/>
      <c r="RZ300" s="242">
        <f t="shared" si="2153"/>
        <v>0</v>
      </c>
      <c r="SA300" s="242">
        <f t="shared" si="2154"/>
        <v>0</v>
      </c>
      <c r="SB300" s="56"/>
      <c r="SE300" s="55">
        <f t="shared" si="2155"/>
        <v>46276</v>
      </c>
      <c r="SF300" s="56"/>
      <c r="SG300" s="242">
        <f>SUMPRODUCT(PRODUCE!$B299:$DY299,PRODUCE!$EB$61:$IY$61)</f>
        <v>0</v>
      </c>
      <c r="SH300" s="56"/>
      <c r="SI300" s="242">
        <f t="shared" si="2156"/>
        <v>0</v>
      </c>
      <c r="SJ300" s="242">
        <f t="shared" si="2157"/>
        <v>24.200000000000003</v>
      </c>
      <c r="SK300" s="56"/>
      <c r="SN300" s="55">
        <f t="shared" si="2158"/>
        <v>46276</v>
      </c>
      <c r="SO300" s="56"/>
      <c r="SP300" s="242">
        <f>SUMPRODUCT(PRODUCE!$B299:$DY299,PRODUCE!$EB$57:$IY$57)</f>
        <v>0</v>
      </c>
      <c r="SQ300" s="56"/>
      <c r="SR300" s="242">
        <f t="shared" si="2159"/>
        <v>0</v>
      </c>
      <c r="SS300" s="242">
        <f t="shared" si="2160"/>
        <v>32</v>
      </c>
      <c r="ST300" s="56"/>
      <c r="SW300" s="55">
        <f t="shared" si="2161"/>
        <v>46276</v>
      </c>
      <c r="SX300" s="56"/>
      <c r="SY300" s="242">
        <f>SUMPRODUCT(PRODUCE!$B299:$DY299,PRODUCE!$EB$57:$IY$57)</f>
        <v>0</v>
      </c>
      <c r="SZ300" s="56"/>
      <c r="TA300" s="242">
        <f t="shared" si="2162"/>
        <v>0</v>
      </c>
      <c r="TB300" s="242">
        <f t="shared" si="2163"/>
        <v>0</v>
      </c>
      <c r="TC300" s="56"/>
      <c r="TF300" s="55">
        <f t="shared" si="2164"/>
        <v>46276</v>
      </c>
      <c r="TG300" s="56"/>
      <c r="TH300" s="242">
        <f>SUMPRODUCT(PRODUCE!$B299:$DY299,PRODUCE!$EB$57:$IY$57)</f>
        <v>0</v>
      </c>
      <c r="TI300" s="56"/>
      <c r="TJ300" s="242">
        <f t="shared" si="2165"/>
        <v>0</v>
      </c>
      <c r="TK300" s="242">
        <f t="shared" si="2166"/>
        <v>0</v>
      </c>
      <c r="TL300" s="56"/>
      <c r="TO300" s="55">
        <f t="shared" si="2167"/>
        <v>46276</v>
      </c>
      <c r="TP300" s="56"/>
      <c r="TQ300" s="242">
        <f>SUMPRODUCT(PRODUCE!$B299:$DY299,PRODUCE!$EB$57:$IY$57)</f>
        <v>0</v>
      </c>
      <c r="TR300" s="56"/>
      <c r="TS300" s="242">
        <f t="shared" si="2168"/>
        <v>0</v>
      </c>
      <c r="TT300" s="242">
        <f t="shared" si="2169"/>
        <v>0</v>
      </c>
      <c r="TU300" s="56"/>
      <c r="TX300" s="55">
        <f t="shared" si="2170"/>
        <v>46276</v>
      </c>
      <c r="TY300" s="56"/>
      <c r="TZ300" s="242">
        <f>SUMPRODUCT(PRODUCE!$B299:$DY299,PRODUCE!$EB$57:$IY$57)</f>
        <v>0</v>
      </c>
      <c r="UA300" s="56"/>
      <c r="UB300" s="242">
        <f t="shared" si="2171"/>
        <v>0</v>
      </c>
      <c r="UC300" s="242">
        <f t="shared" si="2172"/>
        <v>46.799999999999983</v>
      </c>
      <c r="UD300" s="56"/>
      <c r="UG300" s="55">
        <f t="shared" si="2173"/>
        <v>46276</v>
      </c>
      <c r="UH300" s="56"/>
      <c r="UI300" s="242">
        <f>SUMPRODUCT(PRODUCE!$B299:$DY299,PRODUCE!$EB$57:$IY$57)</f>
        <v>0</v>
      </c>
      <c r="UJ300" s="56"/>
      <c r="UK300" s="242">
        <f t="shared" si="2174"/>
        <v>0</v>
      </c>
      <c r="UL300" s="242">
        <f t="shared" si="2175"/>
        <v>204</v>
      </c>
      <c r="UM300" s="56"/>
      <c r="UP300" s="55">
        <f t="shared" si="2176"/>
        <v>46276</v>
      </c>
      <c r="UQ300" s="56"/>
      <c r="UR300" s="242">
        <f>SUMPRODUCT(PRODUCE!$B299:$DY299,PRODUCE!$EB$57:$IY$57)</f>
        <v>0</v>
      </c>
      <c r="US300" s="56"/>
      <c r="UT300" s="242">
        <f t="shared" si="2177"/>
        <v>0</v>
      </c>
      <c r="UU300" s="242">
        <f t="shared" si="2178"/>
        <v>202.5</v>
      </c>
      <c r="UV300" s="56"/>
      <c r="UY300" s="55">
        <f t="shared" si="2179"/>
        <v>46276</v>
      </c>
      <c r="UZ300" s="56"/>
      <c r="VA300" s="242">
        <f>SUMPRODUCT(PRODUCE!$B299:$DY299,PRODUCE!$EB$57:$IY$57)</f>
        <v>0</v>
      </c>
      <c r="VB300" s="56"/>
      <c r="VC300" s="242">
        <f t="shared" si="2180"/>
        <v>0</v>
      </c>
      <c r="VD300" s="242">
        <f t="shared" si="2181"/>
        <v>41.600000000000023</v>
      </c>
      <c r="VE300" s="56"/>
      <c r="VH300" s="55">
        <f t="shared" si="2182"/>
        <v>46276</v>
      </c>
      <c r="VI300" s="56"/>
      <c r="VJ300" s="242">
        <f>SUMPRODUCT(PRODUCE!$B299:$DY299,PRODUCE!$EB$57:$IY$57)</f>
        <v>0</v>
      </c>
      <c r="VK300" s="56"/>
      <c r="VL300" s="242">
        <f t="shared" si="2183"/>
        <v>0</v>
      </c>
      <c r="VM300" s="242">
        <f t="shared" si="2184"/>
        <v>210</v>
      </c>
      <c r="VN300" s="56"/>
      <c r="VQ300" s="55">
        <f t="shared" si="2185"/>
        <v>46276</v>
      </c>
      <c r="VR300" s="56"/>
      <c r="VS300" s="242">
        <f>SUMPRODUCT(PRODUCE!$B299:$DY299,PRODUCE!$EB$57:$IY$57)</f>
        <v>0</v>
      </c>
      <c r="VT300" s="56"/>
      <c r="VU300" s="242">
        <f t="shared" si="2186"/>
        <v>0</v>
      </c>
      <c r="VV300" s="242">
        <f t="shared" si="2187"/>
        <v>0</v>
      </c>
      <c r="VW300" s="56"/>
      <c r="VZ300" s="55">
        <f t="shared" si="2188"/>
        <v>46276</v>
      </c>
      <c r="WA300" s="56"/>
      <c r="WB300" s="242">
        <f>SUMPRODUCT(PRODUCE!$B299:$DY299,PRODUCE!$EB$57:$IY$57)</f>
        <v>0</v>
      </c>
      <c r="WC300" s="56"/>
      <c r="WD300" s="242">
        <f t="shared" si="2189"/>
        <v>0</v>
      </c>
      <c r="WE300" s="242">
        <f t="shared" si="2190"/>
        <v>0</v>
      </c>
      <c r="WF300" s="56"/>
      <c r="WI300" s="55">
        <f t="shared" si="2191"/>
        <v>46276</v>
      </c>
      <c r="WJ300" s="56"/>
      <c r="WK300" s="242">
        <f>SUMPRODUCT(PRODUCE!$B299:$DY299,PRODUCE!$EB$57:$IY$57)</f>
        <v>0</v>
      </c>
      <c r="WL300" s="56"/>
      <c r="WM300" s="242">
        <f t="shared" si="2192"/>
        <v>0</v>
      </c>
      <c r="WN300" s="242">
        <f t="shared" si="2193"/>
        <v>1057</v>
      </c>
      <c r="WO300" s="56"/>
      <c r="WR300" s="55">
        <f t="shared" si="2194"/>
        <v>46276</v>
      </c>
      <c r="WS300" s="56"/>
      <c r="WT300" s="242">
        <f>SUMPRODUCT(PRODUCE!$B299:$DY299,PRODUCE!$EB$57:$IY$57)</f>
        <v>0</v>
      </c>
      <c r="WU300" s="56"/>
      <c r="WV300" s="242">
        <f t="shared" si="2195"/>
        <v>0</v>
      </c>
      <c r="WW300" s="242">
        <f t="shared" si="2196"/>
        <v>0</v>
      </c>
      <c r="WX300" s="56"/>
      <c r="XA300" s="55">
        <f t="shared" si="2197"/>
        <v>46276</v>
      </c>
      <c r="XB300" s="56"/>
      <c r="XC300" s="242">
        <f>SUMPRODUCT(PRODUCE!$B299:$DY299,PRODUCE!$EB$57:$IY$57)</f>
        <v>0</v>
      </c>
      <c r="XD300" s="56"/>
      <c r="XE300" s="242">
        <f t="shared" si="2198"/>
        <v>0</v>
      </c>
      <c r="XF300" s="242">
        <f t="shared" si="2199"/>
        <v>7507</v>
      </c>
      <c r="XG300" s="56"/>
      <c r="XJ300" s="55">
        <f t="shared" si="2200"/>
        <v>46276</v>
      </c>
      <c r="XK300" s="56"/>
      <c r="XL300" s="242">
        <f>SUMPRODUCT(PRODUCE!$B299:$DY299,PRODUCE!$EB$57:$IY$57)</f>
        <v>0</v>
      </c>
      <c r="XM300" s="56"/>
      <c r="XN300" s="242">
        <f t="shared" si="2201"/>
        <v>0</v>
      </c>
      <c r="XO300" s="242">
        <f t="shared" si="2202"/>
        <v>4252</v>
      </c>
      <c r="XP300" s="56"/>
      <c r="XS300" s="55">
        <f t="shared" si="2203"/>
        <v>46276</v>
      </c>
      <c r="XT300" s="56"/>
      <c r="XU300" s="242">
        <f>SUMPRODUCT(PRODUCE!$B299:$DY299,PRODUCE!$EB$57:$IY$57)</f>
        <v>0</v>
      </c>
      <c r="XV300" s="56"/>
      <c r="XW300" s="242">
        <f t="shared" si="2204"/>
        <v>0</v>
      </c>
      <c r="XX300" s="242">
        <f t="shared" si="2205"/>
        <v>2179</v>
      </c>
      <c r="XY300" s="56"/>
      <c r="YB300" s="55">
        <f t="shared" si="2206"/>
        <v>46276</v>
      </c>
      <c r="YC300" s="56"/>
      <c r="YD300" s="242">
        <f>SUMPRODUCT(PRODUCE!$B299:$DY299,PRODUCE!$EB$57:$IY$57)</f>
        <v>0</v>
      </c>
      <c r="YE300" s="56"/>
      <c r="YF300" s="242">
        <f t="shared" si="2207"/>
        <v>0</v>
      </c>
      <c r="YG300" s="242">
        <f t="shared" si="2208"/>
        <v>4019</v>
      </c>
      <c r="YH300" s="56"/>
      <c r="YK300" s="55">
        <f t="shared" si="2209"/>
        <v>46276</v>
      </c>
      <c r="YL300" s="56"/>
      <c r="YM300" s="242">
        <f>SUMPRODUCT(PRODUCE!$B299:$DY299,PRODUCE!$EB$57:$IY$57)</f>
        <v>0</v>
      </c>
      <c r="YN300" s="56"/>
      <c r="YO300" s="242">
        <f t="shared" si="2210"/>
        <v>0</v>
      </c>
      <c r="YP300" s="242">
        <f t="shared" si="2211"/>
        <v>-218</v>
      </c>
      <c r="YQ300" s="56"/>
      <c r="YT300" s="55">
        <f t="shared" si="2212"/>
        <v>46276</v>
      </c>
      <c r="YU300" s="56"/>
      <c r="YV300" s="242">
        <f>SUMPRODUCT(PRODUCE!$B299:$DY299,PRODUCE!$EB$57:$IY$57)</f>
        <v>0</v>
      </c>
      <c r="YW300" s="56"/>
      <c r="YX300" s="242">
        <f t="shared" si="2213"/>
        <v>0</v>
      </c>
      <c r="YY300" s="242">
        <f t="shared" si="2214"/>
        <v>0</v>
      </c>
      <c r="YZ300" s="56"/>
      <c r="ZC300" s="55">
        <f t="shared" si="2215"/>
        <v>46276</v>
      </c>
      <c r="ZD300" s="56"/>
      <c r="ZE300" s="242">
        <f>SUMPRODUCT(PRODUCE!$B299:$DY299,PRODUCE!$EB$57:$IY$57)</f>
        <v>0</v>
      </c>
      <c r="ZF300" s="56"/>
      <c r="ZG300" s="242">
        <f t="shared" si="2216"/>
        <v>0</v>
      </c>
      <c r="ZH300" s="242">
        <f t="shared" si="2217"/>
        <v>0</v>
      </c>
      <c r="ZI300" s="56"/>
      <c r="ZL300" s="55">
        <f t="shared" si="2218"/>
        <v>46276</v>
      </c>
      <c r="ZM300" s="56"/>
      <c r="ZN300" s="242">
        <f>SUMPRODUCT(PRODUCE!$B299:$DY299,PRODUCE!$EB$57:$IY$57)</f>
        <v>0</v>
      </c>
      <c r="ZO300" s="56"/>
      <c r="ZP300" s="242">
        <f t="shared" si="2219"/>
        <v>0</v>
      </c>
      <c r="ZQ300" s="242">
        <f t="shared" si="2220"/>
        <v>0</v>
      </c>
      <c r="ZR300" s="56"/>
      <c r="ZU300" s="55">
        <f t="shared" si="2221"/>
        <v>46276</v>
      </c>
      <c r="ZV300" s="56"/>
      <c r="ZW300" s="242">
        <f>SUMPRODUCT(PRODUCE!$B299:$DY299,PRODUCE!$EB$57:$IY$57)</f>
        <v>0</v>
      </c>
      <c r="ZX300" s="56"/>
      <c r="ZY300" s="242">
        <f t="shared" si="2222"/>
        <v>0</v>
      </c>
      <c r="ZZ300" s="242">
        <f t="shared" si="2223"/>
        <v>0</v>
      </c>
      <c r="AAA300" s="56"/>
      <c r="AAD300" s="55">
        <f t="shared" si="2224"/>
        <v>46276</v>
      </c>
      <c r="AAE300" s="56"/>
      <c r="AAF300" s="242">
        <f>SUMPRODUCT(PRODUCE!$B299:$DY299,PRODUCE!$EB$57:$IY$57)</f>
        <v>0</v>
      </c>
      <c r="AAG300" s="56"/>
      <c r="AAH300" s="242">
        <f t="shared" si="2225"/>
        <v>0</v>
      </c>
      <c r="AAI300" s="242">
        <f t="shared" si="2226"/>
        <v>0</v>
      </c>
      <c r="AAJ300" s="56"/>
      <c r="AAM300" s="55">
        <f t="shared" si="2227"/>
        <v>46276</v>
      </c>
      <c r="AAN300" s="56"/>
      <c r="AAO300" s="242">
        <f>SUMPRODUCT(PRODUCE!$B299:$DY299,PRODUCE!$EB$57:$IY$57)</f>
        <v>0</v>
      </c>
      <c r="AAP300" s="56"/>
      <c r="AAQ300" s="242">
        <f t="shared" si="2228"/>
        <v>0</v>
      </c>
      <c r="AAR300" s="242">
        <f t="shared" si="2229"/>
        <v>0</v>
      </c>
      <c r="AAS300" s="56"/>
      <c r="AAV300" s="55">
        <f t="shared" si="2230"/>
        <v>46276</v>
      </c>
      <c r="AAW300" s="56"/>
      <c r="AAX300" s="242">
        <f>SUMPRODUCT(PRODUCE!$B299:$DY299,PRODUCE!$EB$57:$IY$57)</f>
        <v>0</v>
      </c>
      <c r="AAY300" s="56"/>
      <c r="AAZ300" s="242">
        <f t="shared" si="2231"/>
        <v>0</v>
      </c>
      <c r="ABA300" s="242">
        <f t="shared" si="2232"/>
        <v>0</v>
      </c>
      <c r="ABB300" s="56"/>
      <c r="ABE300" s="55">
        <f t="shared" si="2233"/>
        <v>46276</v>
      </c>
      <c r="ABF300" s="56"/>
      <c r="ABG300" s="242">
        <f>SUMPRODUCT(PRODUCE!$B299:$DY299,PRODUCE!$EB$57:$IY$57)</f>
        <v>0</v>
      </c>
      <c r="ABH300" s="56"/>
      <c r="ABI300" s="242">
        <f t="shared" si="2234"/>
        <v>0</v>
      </c>
      <c r="ABJ300" s="242">
        <f t="shared" si="2235"/>
        <v>0</v>
      </c>
      <c r="ABK300" s="56"/>
    </row>
    <row r="301" spans="2:739" s="54" customFormat="1" ht="15" customHeight="1" outlineLevel="1">
      <c r="B301" s="478"/>
      <c r="C301" s="55">
        <v>46277</v>
      </c>
      <c r="D301" s="56"/>
      <c r="E301" s="57">
        <f>SUMPRODUCT(PRODUCE!$B300:$DY300,PRODUCE!$EB$7:$IY$7)</f>
        <v>0</v>
      </c>
      <c r="F301" s="56"/>
      <c r="G301" s="57">
        <f t="shared" si="1992"/>
        <v>0</v>
      </c>
      <c r="H301" s="57">
        <f t="shared" si="1993"/>
        <v>236936.6</v>
      </c>
      <c r="I301" s="289"/>
      <c r="L301" s="55">
        <f t="shared" si="1994"/>
        <v>46277</v>
      </c>
      <c r="M301" s="56"/>
      <c r="N301" s="59">
        <f>SUMPRODUCT(PRODUCE!$B300:$DY300,PRODUCE!$EB$8:$IY$8)</f>
        <v>0</v>
      </c>
      <c r="O301" s="56"/>
      <c r="P301" s="59">
        <f t="shared" si="1995"/>
        <v>0</v>
      </c>
      <c r="Q301" s="59">
        <f t="shared" si="1996"/>
        <v>53017.600000000071</v>
      </c>
      <c r="R301" s="56"/>
      <c r="U301" s="55">
        <f t="shared" si="1997"/>
        <v>46277</v>
      </c>
      <c r="V301" s="56"/>
      <c r="W301" s="60">
        <f>SUMPRODUCT(PRODUCE!$B300:$DY300,PRODUCE!$EB$9:$IY$9)</f>
        <v>0</v>
      </c>
      <c r="X301" s="56"/>
      <c r="Y301" s="60">
        <f t="shared" si="1998"/>
        <v>0</v>
      </c>
      <c r="Z301" s="60">
        <f t="shared" si="1999"/>
        <v>42674.199999999968</v>
      </c>
      <c r="AA301" s="56"/>
      <c r="AD301" s="55">
        <f t="shared" si="2000"/>
        <v>46277</v>
      </c>
      <c r="AE301" s="56"/>
      <c r="AF301" s="61">
        <f>SUMPRODUCT(PRODUCE!$B300:$DY300,PRODUCE!$EB$10:$IY$10)</f>
        <v>0</v>
      </c>
      <c r="AG301" s="56"/>
      <c r="AH301" s="61">
        <f t="shared" si="2001"/>
        <v>0</v>
      </c>
      <c r="AI301" s="61">
        <f t="shared" si="2002"/>
        <v>4522.2000000000189</v>
      </c>
      <c r="AJ301" s="56"/>
      <c r="AM301" s="55">
        <f t="shared" si="2003"/>
        <v>46277</v>
      </c>
      <c r="AN301" s="422"/>
      <c r="AO301" s="444">
        <f>SUMPRODUCT(PRODUCE!$B300:$DY300,PRODUCE!$EB$11:$IY$11)</f>
        <v>0</v>
      </c>
      <c r="AP301" s="422"/>
      <c r="AQ301" s="444">
        <f t="shared" si="2004"/>
        <v>0</v>
      </c>
      <c r="AR301" s="444">
        <f t="shared" si="2005"/>
        <v>0</v>
      </c>
      <c r="AS301" s="56"/>
      <c r="AV301" s="55">
        <f t="shared" si="2006"/>
        <v>46277</v>
      </c>
      <c r="AW301" s="56"/>
      <c r="AX301" s="62">
        <f>SUMPRODUCT(PRODUCE!$B300:$DY300,PRODUCE!$EB$12:$IY$12)</f>
        <v>0</v>
      </c>
      <c r="AY301" s="56"/>
      <c r="AZ301" s="62">
        <f t="shared" si="2007"/>
        <v>0</v>
      </c>
      <c r="BA301" s="62">
        <f t="shared" si="2008"/>
        <v>124.99999999999523</v>
      </c>
      <c r="BB301" s="56"/>
      <c r="BE301" s="55">
        <f t="shared" si="2009"/>
        <v>46277</v>
      </c>
      <c r="BF301" s="56"/>
      <c r="BG301" s="63">
        <f>SUMPRODUCT(PRODUCE!$B300:$DY300,PRODUCE!$EB$13:$IY$13)</f>
        <v>0</v>
      </c>
      <c r="BH301" s="56"/>
      <c r="BI301" s="63">
        <f t="shared" si="2010"/>
        <v>0</v>
      </c>
      <c r="BJ301" s="63">
        <f t="shared" si="2011"/>
        <v>26151.899999999998</v>
      </c>
      <c r="BK301" s="56"/>
      <c r="BN301" s="55">
        <f t="shared" si="2012"/>
        <v>46277</v>
      </c>
      <c r="BO301" s="56"/>
      <c r="BP301" s="64">
        <f>SUMPRODUCT(PRODUCE!$B300:$DY300,PRODUCE!$EB$14:$IY$14)</f>
        <v>0</v>
      </c>
      <c r="BQ301" s="56"/>
      <c r="BR301" s="64">
        <f t="shared" si="2013"/>
        <v>0</v>
      </c>
      <c r="BS301" s="64">
        <f t="shared" si="2014"/>
        <v>0</v>
      </c>
      <c r="BT301" s="56"/>
      <c r="BW301" s="55">
        <f t="shared" si="2015"/>
        <v>46277</v>
      </c>
      <c r="BX301" s="56"/>
      <c r="BY301" s="65">
        <f>SUMPRODUCT(PRODUCE!$B300:$DY300,PRODUCE!$EB$15:$IY$15)</f>
        <v>0</v>
      </c>
      <c r="BZ301" s="56"/>
      <c r="CA301" s="65">
        <f t="shared" si="2016"/>
        <v>0</v>
      </c>
      <c r="CB301" s="65">
        <f t="shared" si="2017"/>
        <v>2097.3399999999992</v>
      </c>
      <c r="CC301" s="56"/>
      <c r="CF301" s="55">
        <f t="shared" si="2018"/>
        <v>46277</v>
      </c>
      <c r="CG301" s="56"/>
      <c r="CH301" s="66">
        <f>SUMPRODUCT(PRODUCE!$B300:$DY300,PRODUCE!$EB$16:$IY$16)</f>
        <v>0</v>
      </c>
      <c r="CI301" s="56"/>
      <c r="CJ301" s="66">
        <f t="shared" si="2019"/>
        <v>0</v>
      </c>
      <c r="CK301" s="66">
        <f t="shared" si="2020"/>
        <v>-10277.079999999998</v>
      </c>
      <c r="CL301" s="56"/>
      <c r="CO301" s="55">
        <f t="shared" si="2021"/>
        <v>46277</v>
      </c>
      <c r="CP301" s="422"/>
      <c r="CQ301" s="470">
        <f>SUMPRODUCT(PRODUCE!$B300:$DY300,PRODUCE!$EB$17:$IY$17)</f>
        <v>0</v>
      </c>
      <c r="CR301" s="422"/>
      <c r="CS301" s="470">
        <f t="shared" si="2022"/>
        <v>0</v>
      </c>
      <c r="CT301" s="470">
        <f t="shared" si="2023"/>
        <v>0</v>
      </c>
      <c r="CU301" s="56"/>
      <c r="CX301" s="55">
        <f t="shared" si="2024"/>
        <v>46277</v>
      </c>
      <c r="CY301" s="56"/>
      <c r="CZ301" s="133">
        <f>SUMPRODUCT(PRODUCE!$B300:$DY300,PRODUCE!$EB$18:$IY$18)</f>
        <v>0</v>
      </c>
      <c r="DA301" s="56"/>
      <c r="DB301" s="133">
        <f t="shared" si="2025"/>
        <v>0</v>
      </c>
      <c r="DC301" s="133">
        <f t="shared" si="2026"/>
        <v>27438.200000000012</v>
      </c>
      <c r="DD301" s="56"/>
      <c r="DG301" s="55">
        <f t="shared" si="2027"/>
        <v>46277</v>
      </c>
      <c r="DH301" s="56"/>
      <c r="DI301" s="147">
        <f>SUMPRODUCT(PRODUCE!$B300:$DY300,PRODUCE!$EB$19:$IY$19)</f>
        <v>0</v>
      </c>
      <c r="DJ301" s="56"/>
      <c r="DK301" s="147">
        <f t="shared" si="2028"/>
        <v>0</v>
      </c>
      <c r="DL301" s="147">
        <f t="shared" si="2029"/>
        <v>18782.299999999981</v>
      </c>
      <c r="DM301" s="56"/>
      <c r="DP301" s="55">
        <f t="shared" si="2030"/>
        <v>46277</v>
      </c>
      <c r="DQ301" s="56"/>
      <c r="DR301" s="57">
        <f>SUMPRODUCT(PRODUCE!$B300:$DY300,PRODUCE!$EB$20:$IY$20)</f>
        <v>0</v>
      </c>
      <c r="DS301" s="56"/>
      <c r="DT301" s="57">
        <f t="shared" si="2031"/>
        <v>0</v>
      </c>
      <c r="DU301" s="57">
        <f t="shared" si="2032"/>
        <v>5800</v>
      </c>
      <c r="DV301" s="56"/>
      <c r="DY301" s="55">
        <f t="shared" si="2033"/>
        <v>46277</v>
      </c>
      <c r="DZ301" s="56"/>
      <c r="EA301" s="157">
        <f>SUMPRODUCT(PRODUCE!$B300:$DY300,PRODUCE!$EB$21:$IY$21)</f>
        <v>0</v>
      </c>
      <c r="EB301" s="56"/>
      <c r="EC301" s="157">
        <f t="shared" si="2034"/>
        <v>0</v>
      </c>
      <c r="ED301" s="157">
        <f t="shared" si="2035"/>
        <v>0</v>
      </c>
      <c r="EE301" s="56"/>
      <c r="EH301" s="55">
        <f t="shared" si="2036"/>
        <v>46277</v>
      </c>
      <c r="EI301" s="56"/>
      <c r="EJ301" s="162">
        <f>SUMPRODUCT(PRODUCE!$B300:$DY300,PRODUCE!$EB$22:$IY$22)</f>
        <v>0</v>
      </c>
      <c r="EK301" s="56"/>
      <c r="EL301" s="162">
        <f t="shared" si="2037"/>
        <v>0</v>
      </c>
      <c r="EM301" s="162">
        <f t="shared" si="2038"/>
        <v>0</v>
      </c>
      <c r="EN301" s="56"/>
      <c r="EQ301" s="55">
        <f t="shared" si="2039"/>
        <v>46277</v>
      </c>
      <c r="ER301" s="56"/>
      <c r="ES301" s="135">
        <f>SUMPRODUCT(PRODUCE!$B300:$DY300,PRODUCE!$EB$23:$IY$23)</f>
        <v>0</v>
      </c>
      <c r="ET301" s="56"/>
      <c r="EU301" s="135">
        <f t="shared" si="2040"/>
        <v>0</v>
      </c>
      <c r="EV301" s="135">
        <f t="shared" si="2041"/>
        <v>0</v>
      </c>
      <c r="EW301" s="56"/>
      <c r="EZ301" s="55">
        <f t="shared" si="2042"/>
        <v>46277</v>
      </c>
      <c r="FA301" s="56"/>
      <c r="FB301" s="175">
        <f>SUMPRODUCT(PRODUCE!$B300:$DY300,PRODUCE!$EB$24:$IY$24)</f>
        <v>0</v>
      </c>
      <c r="FC301" s="56"/>
      <c r="FD301" s="175">
        <f t="shared" si="2043"/>
        <v>0</v>
      </c>
      <c r="FE301" s="175">
        <f t="shared" si="2044"/>
        <v>0</v>
      </c>
      <c r="FF301" s="56"/>
      <c r="FI301" s="55">
        <f t="shared" si="2045"/>
        <v>46277</v>
      </c>
      <c r="FJ301" s="56"/>
      <c r="FK301" s="183">
        <f>SUMPRODUCT(PRODUCE!$B300:$DY300,PRODUCE!$EB$25:$IY$25)</f>
        <v>0</v>
      </c>
      <c r="FL301" s="56"/>
      <c r="FM301" s="183">
        <f t="shared" si="2046"/>
        <v>0</v>
      </c>
      <c r="FN301" s="183">
        <f t="shared" si="2047"/>
        <v>0</v>
      </c>
      <c r="FO301" s="56"/>
      <c r="FR301" s="55">
        <f t="shared" si="2048"/>
        <v>46277</v>
      </c>
      <c r="FS301" s="56"/>
      <c r="FT301" s="186">
        <f>SUMPRODUCT(PRODUCE!$B300:$DY300,PRODUCE!$EB$26:$IY$26)</f>
        <v>0</v>
      </c>
      <c r="FU301" s="56"/>
      <c r="FV301" s="186">
        <f t="shared" si="2049"/>
        <v>0</v>
      </c>
      <c r="FW301" s="186">
        <f t="shared" si="2050"/>
        <v>2020</v>
      </c>
      <c r="FX301" s="56"/>
      <c r="GA301" s="55">
        <f t="shared" si="2051"/>
        <v>46277</v>
      </c>
      <c r="GB301" s="56"/>
      <c r="GC301" s="137">
        <f>SUMPRODUCT(PRODUCE!$B300:$DY300,PRODUCE!$EB$27:$IY$27)</f>
        <v>0</v>
      </c>
      <c r="GD301" s="56"/>
      <c r="GE301" s="137">
        <f t="shared" si="2052"/>
        <v>0</v>
      </c>
      <c r="GF301" s="137">
        <f t="shared" si="2053"/>
        <v>960</v>
      </c>
      <c r="GG301" s="56"/>
      <c r="GI301" s="23"/>
      <c r="GJ301" s="55">
        <f t="shared" si="2054"/>
        <v>46277</v>
      </c>
      <c r="GK301" s="56"/>
      <c r="GL301" s="199">
        <f>SUMPRODUCT(PRODUCE!$B300:$DY300,PRODUCE!$EB$28:$IY$28)</f>
        <v>0</v>
      </c>
      <c r="GM301" s="56"/>
      <c r="GN301" s="199">
        <f t="shared" si="2055"/>
        <v>0</v>
      </c>
      <c r="GO301" s="199">
        <f t="shared" si="2056"/>
        <v>1760</v>
      </c>
      <c r="GP301" s="56"/>
      <c r="GS301" s="55">
        <f t="shared" si="2057"/>
        <v>46277</v>
      </c>
      <c r="GT301" s="56"/>
      <c r="GU301" s="195">
        <f>SUMPRODUCT(PRODUCE!$B300:$DY300,PRODUCE!$EB$29:$IY$29)</f>
        <v>0</v>
      </c>
      <c r="GV301" s="56"/>
      <c r="GW301" s="195">
        <f t="shared" si="2058"/>
        <v>0</v>
      </c>
      <c r="GX301" s="195">
        <f t="shared" si="2059"/>
        <v>400</v>
      </c>
      <c r="GY301" s="56"/>
      <c r="HB301" s="55">
        <f t="shared" si="2060"/>
        <v>46277</v>
      </c>
      <c r="HC301" s="56"/>
      <c r="HD301" s="191">
        <f>SUMPRODUCT(PRODUCE!$B300:$DY300,PRODUCE!$EB$30:$IY$30)</f>
        <v>0</v>
      </c>
      <c r="HE301" s="56"/>
      <c r="HF301" s="191">
        <f t="shared" si="2061"/>
        <v>0</v>
      </c>
      <c r="HG301" s="191">
        <f t="shared" si="2062"/>
        <v>3600</v>
      </c>
      <c r="HH301" s="56"/>
      <c r="HK301" s="55">
        <f t="shared" si="2063"/>
        <v>46277</v>
      </c>
      <c r="HL301" s="56"/>
      <c r="HM301" s="63">
        <f>SUMPRODUCT(PRODUCE!$B300:$DY300,PRODUCE!$EB$31:$IY$31)</f>
        <v>0</v>
      </c>
      <c r="HN301" s="56"/>
      <c r="HO301" s="63">
        <f t="shared" si="2064"/>
        <v>0</v>
      </c>
      <c r="HP301" s="63">
        <f t="shared" si="2065"/>
        <v>0</v>
      </c>
      <c r="HQ301" s="56"/>
      <c r="HU301" s="55">
        <f t="shared" si="2066"/>
        <v>46277</v>
      </c>
      <c r="HV301" s="56"/>
      <c r="HW301" s="242">
        <f>SUMPRODUCT(PRODUCE!$B300:$DY300,PRODUCE!$EB$32:$IY$32)</f>
        <v>0</v>
      </c>
      <c r="HX301" s="56"/>
      <c r="HY301" s="242">
        <f t="shared" si="2236"/>
        <v>0</v>
      </c>
      <c r="HZ301" s="242">
        <f t="shared" si="2067"/>
        <v>6120</v>
      </c>
      <c r="IA301" s="56"/>
      <c r="ID301" s="55">
        <f t="shared" si="2068"/>
        <v>46277</v>
      </c>
      <c r="IE301" s="56"/>
      <c r="IF301" s="242">
        <f>SUMPRODUCT(PRODUCE!$B300:$DY300,PRODUCE!$EB$33:$IY$33)</f>
        <v>0</v>
      </c>
      <c r="IG301" s="56"/>
      <c r="IH301" s="242">
        <f t="shared" si="2069"/>
        <v>0</v>
      </c>
      <c r="II301" s="242">
        <f t="shared" si="2070"/>
        <v>0</v>
      </c>
      <c r="IJ301" s="56"/>
      <c r="IM301" s="55">
        <f t="shared" si="2071"/>
        <v>46277</v>
      </c>
      <c r="IN301" s="56"/>
      <c r="IO301" s="242">
        <f>SUMPRODUCT(PRODUCE!$B300:$DY300,PRODUCE!$EB$34:$IY$34)</f>
        <v>0</v>
      </c>
      <c r="IP301" s="56"/>
      <c r="IQ301" s="242">
        <f t="shared" si="2072"/>
        <v>0</v>
      </c>
      <c r="IR301" s="242">
        <f t="shared" si="2073"/>
        <v>0</v>
      </c>
      <c r="IS301" s="56"/>
      <c r="IV301" s="55">
        <f t="shared" si="2074"/>
        <v>46277</v>
      </c>
      <c r="IW301" s="56"/>
      <c r="IX301" s="242">
        <f>SUMPRODUCT(PRODUCE!$B300:$DY300,PRODUCE!$EB$35:$IY$35)</f>
        <v>0</v>
      </c>
      <c r="IY301" s="56"/>
      <c r="IZ301" s="242">
        <f t="shared" si="2075"/>
        <v>0</v>
      </c>
      <c r="JA301" s="242">
        <f t="shared" si="2076"/>
        <v>2820</v>
      </c>
      <c r="JB301" s="56"/>
      <c r="JE301" s="55">
        <f t="shared" si="2077"/>
        <v>46277</v>
      </c>
      <c r="JF301" s="56"/>
      <c r="JG301" s="242">
        <f>SUMPRODUCT(PRODUCE!$B300:$DY300,PRODUCE!$EB$36:$IY$36)</f>
        <v>0</v>
      </c>
      <c r="JH301" s="56"/>
      <c r="JI301" s="242">
        <f t="shared" si="2078"/>
        <v>0</v>
      </c>
      <c r="JJ301" s="242">
        <f t="shared" si="2079"/>
        <v>0</v>
      </c>
      <c r="JK301" s="56"/>
      <c r="JN301" s="55">
        <f t="shared" si="2080"/>
        <v>46277</v>
      </c>
      <c r="JO301" s="56"/>
      <c r="JP301" s="242">
        <f>SUMPRODUCT(PRODUCE!$B300:$DY300,PRODUCE!$EB$37:$IY$37)</f>
        <v>0</v>
      </c>
      <c r="JQ301" s="56"/>
      <c r="JR301" s="242">
        <f t="shared" si="2081"/>
        <v>0</v>
      </c>
      <c r="JS301" s="242">
        <f t="shared" si="2082"/>
        <v>0</v>
      </c>
      <c r="JT301" s="56"/>
      <c r="JW301" s="55">
        <f t="shared" si="2083"/>
        <v>46277</v>
      </c>
      <c r="JX301" s="56"/>
      <c r="JY301" s="242">
        <f>SUMPRODUCT(PRODUCE!$B300:$DY300,PRODUCE!$EB$38:$IY$38)</f>
        <v>0</v>
      </c>
      <c r="JZ301" s="56"/>
      <c r="KA301" s="242">
        <f t="shared" si="2084"/>
        <v>0</v>
      </c>
      <c r="KB301" s="242">
        <f t="shared" si="2085"/>
        <v>2540</v>
      </c>
      <c r="KC301" s="56"/>
      <c r="KF301" s="55">
        <f t="shared" si="2086"/>
        <v>46277</v>
      </c>
      <c r="KG301" s="56"/>
      <c r="KH301" s="242">
        <f>SUMPRODUCT(PRODUCE!$B300:$DY300,PRODUCE!$EB$39:$IY$39)</f>
        <v>0</v>
      </c>
      <c r="KI301" s="56"/>
      <c r="KJ301" s="242">
        <f t="shared" si="2087"/>
        <v>0</v>
      </c>
      <c r="KK301" s="242">
        <f t="shared" si="2088"/>
        <v>2359.5</v>
      </c>
      <c r="KL301" s="56"/>
      <c r="KO301" s="55">
        <f t="shared" si="2089"/>
        <v>46277</v>
      </c>
      <c r="KP301" s="56"/>
      <c r="KQ301" s="242">
        <f>SUMPRODUCT(PRODUCE!$B300:$DY300,PRODUCE!$EB$40:$IY$40)</f>
        <v>0</v>
      </c>
      <c r="KR301" s="56"/>
      <c r="KS301" s="242">
        <f t="shared" si="2090"/>
        <v>0</v>
      </c>
      <c r="KT301" s="242">
        <f t="shared" si="2091"/>
        <v>1890</v>
      </c>
      <c r="KU301" s="56"/>
      <c r="KW301" s="23"/>
      <c r="KX301" s="55">
        <f t="shared" si="2092"/>
        <v>46277</v>
      </c>
      <c r="KY301" s="56"/>
      <c r="KZ301" s="242">
        <f>SUMPRODUCT(PRODUCE!$B300:$DY300,PRODUCE!$EB$41:$IY$41)</f>
        <v>0</v>
      </c>
      <c r="LA301" s="56"/>
      <c r="LB301" s="242">
        <f t="shared" si="2093"/>
        <v>0</v>
      </c>
      <c r="LC301" s="242">
        <f t="shared" si="2094"/>
        <v>3690</v>
      </c>
      <c r="LD301" s="56"/>
      <c r="LG301" s="55">
        <f t="shared" si="2095"/>
        <v>46277</v>
      </c>
      <c r="LH301" s="56"/>
      <c r="LI301" s="242">
        <f>SUMPRODUCT(PRODUCE!$B300:$DY300,PRODUCE!$EB$42:$IY$42)</f>
        <v>0</v>
      </c>
      <c r="LJ301" s="56"/>
      <c r="LK301" s="242">
        <f t="shared" si="2096"/>
        <v>0</v>
      </c>
      <c r="LL301" s="242">
        <f t="shared" si="2097"/>
        <v>4000</v>
      </c>
      <c r="LM301" s="56"/>
      <c r="LP301" s="55">
        <f t="shared" si="2098"/>
        <v>46277</v>
      </c>
      <c r="LQ301" s="56"/>
      <c r="LR301" s="242">
        <f>SUMPRODUCT(PRODUCE!$B316:$DY316,PRODUCE!$EB$43:$IY$43)</f>
        <v>0</v>
      </c>
      <c r="LS301" s="56"/>
      <c r="LT301" s="242">
        <f t="shared" si="2099"/>
        <v>0</v>
      </c>
      <c r="LU301" s="242">
        <f t="shared" si="2100"/>
        <v>0</v>
      </c>
      <c r="LV301" s="56"/>
      <c r="LY301" s="55">
        <f t="shared" si="2101"/>
        <v>46277</v>
      </c>
      <c r="LZ301" s="56"/>
      <c r="MA301" s="242">
        <f>SUMPRODUCT(PRODUCE!$B300:$DY300,PRODUCE!$EB$44:$IY$44)</f>
        <v>0</v>
      </c>
      <c r="MB301" s="56"/>
      <c r="MC301" s="242">
        <f t="shared" si="2102"/>
        <v>0</v>
      </c>
      <c r="MD301" s="242">
        <f t="shared" si="2103"/>
        <v>0</v>
      </c>
      <c r="ME301" s="56"/>
      <c r="MH301" s="55">
        <f t="shared" si="2104"/>
        <v>46277</v>
      </c>
      <c r="MI301" s="56"/>
      <c r="MJ301" s="242">
        <f>SUMPRODUCT(PRODUCE!$B300:$DY300,PRODUCE!$EB$45:$IY$45)</f>
        <v>0</v>
      </c>
      <c r="MK301" s="56"/>
      <c r="ML301" s="242">
        <f t="shared" si="2105"/>
        <v>0</v>
      </c>
      <c r="MM301" s="242">
        <f t="shared" si="2106"/>
        <v>0</v>
      </c>
      <c r="MN301" s="56"/>
      <c r="MQ301" s="55">
        <f t="shared" si="2107"/>
        <v>46277</v>
      </c>
      <c r="MR301" s="56"/>
      <c r="MS301" s="242">
        <f>SUMPRODUCT(PRODUCE!$B300:$DY300,PRODUCE!$EB$46:$IY$46)</f>
        <v>0</v>
      </c>
      <c r="MT301" s="56"/>
      <c r="MU301" s="242">
        <f t="shared" si="2108"/>
        <v>0</v>
      </c>
      <c r="MV301" s="242">
        <f t="shared" si="2109"/>
        <v>1625</v>
      </c>
      <c r="MW301" s="56"/>
      <c r="MZ301" s="55">
        <f t="shared" si="2110"/>
        <v>46277</v>
      </c>
      <c r="NA301" s="56"/>
      <c r="NB301" s="242">
        <f>SUMPRODUCT(PRODUCE!$B300:$DY300,PRODUCE!$EB$47:$IY$47)</f>
        <v>0</v>
      </c>
      <c r="NC301" s="56"/>
      <c r="ND301" s="242">
        <f t="shared" si="2111"/>
        <v>0</v>
      </c>
      <c r="NE301" s="242">
        <f t="shared" si="2112"/>
        <v>0</v>
      </c>
      <c r="NF301" s="56"/>
      <c r="NI301" s="55">
        <f t="shared" si="2113"/>
        <v>46277</v>
      </c>
      <c r="NJ301" s="56"/>
      <c r="NK301" s="242">
        <f>SUMPRODUCT(PRODUCE!$B300:$DY300,PRODUCE!$EB$48:$IY$48)</f>
        <v>0</v>
      </c>
      <c r="NL301" s="56"/>
      <c r="NM301" s="242">
        <f t="shared" si="2114"/>
        <v>0</v>
      </c>
      <c r="NN301" s="242">
        <f t="shared" si="2115"/>
        <v>1127</v>
      </c>
      <c r="NO301" s="56"/>
      <c r="NR301" s="55">
        <f t="shared" si="2116"/>
        <v>46277</v>
      </c>
      <c r="NS301" s="56"/>
      <c r="NT301" s="242">
        <f>SUMPRODUCT(PRODUCE!$B300:$DY300,PRODUCE!$EB$49:$IY$49)</f>
        <v>0</v>
      </c>
      <c r="NU301" s="56"/>
      <c r="NV301" s="242">
        <f t="shared" si="2117"/>
        <v>0</v>
      </c>
      <c r="NW301" s="242">
        <f t="shared" si="2118"/>
        <v>3111.9999999999995</v>
      </c>
      <c r="NX301" s="56"/>
      <c r="OA301" s="55">
        <f t="shared" si="2119"/>
        <v>46277</v>
      </c>
      <c r="OB301" s="56"/>
      <c r="OC301" s="242">
        <f>SUMPRODUCT(PRODUCE!$B300:$DY300,PRODUCE!$EB$50:$IY$50)</f>
        <v>0</v>
      </c>
      <c r="OD301" s="56"/>
      <c r="OE301" s="242">
        <f t="shared" si="2120"/>
        <v>0</v>
      </c>
      <c r="OF301" s="242">
        <f t="shared" si="2121"/>
        <v>1680.5</v>
      </c>
      <c r="OG301" s="56"/>
      <c r="OJ301" s="55">
        <f t="shared" si="2122"/>
        <v>46277</v>
      </c>
      <c r="OK301" s="56"/>
      <c r="OL301" s="242">
        <f>SUMPRODUCT(PRODUCE!$B300:$DY300,PRODUCE!$EB$51:$IY$51)</f>
        <v>0</v>
      </c>
      <c r="OM301" s="56"/>
      <c r="ON301" s="242">
        <f t="shared" si="2123"/>
        <v>0</v>
      </c>
      <c r="OO301" s="242">
        <f t="shared" si="2124"/>
        <v>0</v>
      </c>
      <c r="OP301" s="56"/>
      <c r="OS301" s="55">
        <f t="shared" si="2125"/>
        <v>46277</v>
      </c>
      <c r="OT301" s="56"/>
      <c r="OU301" s="242">
        <f>SUMPRODUCT(PRODUCE!$B300:$DY300,PRODUCE!$EB$52:$IY$52)</f>
        <v>0</v>
      </c>
      <c r="OV301" s="56"/>
      <c r="OW301" s="242">
        <f t="shared" si="2126"/>
        <v>0</v>
      </c>
      <c r="OX301" s="242">
        <f t="shared" si="2127"/>
        <v>1482</v>
      </c>
      <c r="OY301" s="56"/>
      <c r="PB301" s="55">
        <f t="shared" si="2128"/>
        <v>46277</v>
      </c>
      <c r="PC301" s="56"/>
      <c r="PD301" s="242">
        <f>SUMPRODUCT(PRODUCE!$B300:$DY300,PRODUCE!$EB$53:$IY$53)</f>
        <v>0</v>
      </c>
      <c r="PE301" s="56"/>
      <c r="PF301" s="242">
        <f t="shared" si="2129"/>
        <v>0</v>
      </c>
      <c r="PG301" s="242">
        <f t="shared" si="2130"/>
        <v>0</v>
      </c>
      <c r="PH301" s="56"/>
      <c r="PK301" s="55">
        <f t="shared" si="2131"/>
        <v>46277</v>
      </c>
      <c r="PL301" s="56"/>
      <c r="PM301" s="242">
        <f>SUMPRODUCT(PRODUCE!$B300:$DY300,PRODUCE!$EB$54:$IY$54)</f>
        <v>0</v>
      </c>
      <c r="PN301" s="56"/>
      <c r="PO301" s="242">
        <f t="shared" si="2132"/>
        <v>0</v>
      </c>
      <c r="PP301" s="242">
        <f t="shared" si="2133"/>
        <v>100</v>
      </c>
      <c r="PQ301" s="56"/>
      <c r="PT301" s="55">
        <f t="shared" si="2134"/>
        <v>46277</v>
      </c>
      <c r="PU301" s="56"/>
      <c r="PV301" s="242">
        <f>SUMPRODUCT(PRODUCE!$B300:$DY300,PRODUCE!$EB$55:$IY$55)</f>
        <v>0</v>
      </c>
      <c r="PW301" s="56"/>
      <c r="PX301" s="242">
        <f t="shared" si="2135"/>
        <v>0</v>
      </c>
      <c r="PY301" s="242">
        <f t="shared" si="2136"/>
        <v>13.960000000000036</v>
      </c>
      <c r="PZ301" s="56"/>
      <c r="QC301" s="55">
        <f t="shared" si="2137"/>
        <v>46277</v>
      </c>
      <c r="QD301" s="56"/>
      <c r="QE301" s="242">
        <f>SUMPRODUCT(PRODUCE!$B300:$DY300,PRODUCE!$EB$56:$IY$56)</f>
        <v>0</v>
      </c>
      <c r="QF301" s="56"/>
      <c r="QG301" s="242">
        <f t="shared" si="2138"/>
        <v>0</v>
      </c>
      <c r="QH301" s="242">
        <f t="shared" si="2139"/>
        <v>548</v>
      </c>
      <c r="QI301" s="56"/>
      <c r="QL301" s="55">
        <f t="shared" si="2140"/>
        <v>46277</v>
      </c>
      <c r="QM301" s="56"/>
      <c r="QN301" s="242">
        <f>SUMPRODUCT(PRODUCE!$B300:$DY300,PRODUCE!$EB$57:$IY$57)</f>
        <v>0</v>
      </c>
      <c r="QO301" s="56"/>
      <c r="QP301" s="242">
        <f t="shared" si="2141"/>
        <v>0</v>
      </c>
      <c r="QQ301" s="242">
        <f t="shared" si="2142"/>
        <v>0</v>
      </c>
      <c r="QR301" s="56"/>
      <c r="QU301" s="55">
        <f t="shared" si="2143"/>
        <v>46277</v>
      </c>
      <c r="QV301" s="56"/>
      <c r="QW301" s="242">
        <f>SUMPRODUCT(PRODUCE!$B300:$DY300,PRODUCE!$EB$57:$IY$57)</f>
        <v>0</v>
      </c>
      <c r="QX301" s="56"/>
      <c r="QY301" s="242">
        <f t="shared" si="2144"/>
        <v>0</v>
      </c>
      <c r="QZ301" s="242">
        <f t="shared" si="2145"/>
        <v>0</v>
      </c>
      <c r="RA301" s="56"/>
      <c r="RD301" s="55">
        <f t="shared" si="2146"/>
        <v>46277</v>
      </c>
      <c r="RE301" s="56"/>
      <c r="RF301" s="242">
        <f>SUMPRODUCT(PRODUCE!$B300:$DY300,PRODUCE!$EB$58:$IY$58)</f>
        <v>0</v>
      </c>
      <c r="RG301" s="56"/>
      <c r="RH301" s="242">
        <f t="shared" si="2147"/>
        <v>0</v>
      </c>
      <c r="RI301" s="242">
        <f t="shared" si="2148"/>
        <v>147.04000000000002</v>
      </c>
      <c r="RJ301" s="56"/>
      <c r="RM301" s="55">
        <f t="shared" si="2149"/>
        <v>46277</v>
      </c>
      <c r="RN301" s="56"/>
      <c r="RO301" s="242">
        <f>SUMPRODUCT(PRODUCE!$B300:$DY300,PRODUCE!$EB$59:$IY$59)</f>
        <v>0</v>
      </c>
      <c r="RP301" s="56"/>
      <c r="RQ301" s="242">
        <f t="shared" si="2150"/>
        <v>0</v>
      </c>
      <c r="RR301" s="242">
        <f t="shared" si="2151"/>
        <v>46.8</v>
      </c>
      <c r="RS301" s="56"/>
      <c r="RV301" s="55">
        <f t="shared" si="2152"/>
        <v>46277</v>
      </c>
      <c r="RW301" s="56"/>
      <c r="RX301" s="242">
        <f>SUMPRODUCT(PRODUCE!$B300:$DY300,PRODUCE!$EB$57:$IY$57)</f>
        <v>0</v>
      </c>
      <c r="RY301" s="56"/>
      <c r="RZ301" s="242">
        <f t="shared" si="2153"/>
        <v>0</v>
      </c>
      <c r="SA301" s="242">
        <f t="shared" si="2154"/>
        <v>0</v>
      </c>
      <c r="SB301" s="56"/>
      <c r="SE301" s="55">
        <f t="shared" si="2155"/>
        <v>46277</v>
      </c>
      <c r="SF301" s="56"/>
      <c r="SG301" s="242">
        <f>SUMPRODUCT(PRODUCE!$B300:$DY300,PRODUCE!$EB$61:$IY$61)</f>
        <v>0</v>
      </c>
      <c r="SH301" s="56"/>
      <c r="SI301" s="242">
        <f t="shared" si="2156"/>
        <v>0</v>
      </c>
      <c r="SJ301" s="242">
        <f t="shared" si="2157"/>
        <v>24.200000000000003</v>
      </c>
      <c r="SK301" s="56"/>
      <c r="SN301" s="55">
        <f t="shared" si="2158"/>
        <v>46277</v>
      </c>
      <c r="SO301" s="56"/>
      <c r="SP301" s="242">
        <f>SUMPRODUCT(PRODUCE!$B300:$DY300,PRODUCE!$EB$57:$IY$57)</f>
        <v>0</v>
      </c>
      <c r="SQ301" s="56"/>
      <c r="SR301" s="242">
        <f t="shared" si="2159"/>
        <v>0</v>
      </c>
      <c r="SS301" s="242">
        <f t="shared" si="2160"/>
        <v>32</v>
      </c>
      <c r="ST301" s="56"/>
      <c r="SW301" s="55">
        <f t="shared" si="2161"/>
        <v>46277</v>
      </c>
      <c r="SX301" s="56"/>
      <c r="SY301" s="242">
        <f>SUMPRODUCT(PRODUCE!$B300:$DY300,PRODUCE!$EB$57:$IY$57)</f>
        <v>0</v>
      </c>
      <c r="SZ301" s="56"/>
      <c r="TA301" s="242">
        <f t="shared" si="2162"/>
        <v>0</v>
      </c>
      <c r="TB301" s="242">
        <f t="shared" si="2163"/>
        <v>0</v>
      </c>
      <c r="TC301" s="56"/>
      <c r="TF301" s="55">
        <f t="shared" si="2164"/>
        <v>46277</v>
      </c>
      <c r="TG301" s="56"/>
      <c r="TH301" s="242">
        <f>SUMPRODUCT(PRODUCE!$B300:$DY300,PRODUCE!$EB$57:$IY$57)</f>
        <v>0</v>
      </c>
      <c r="TI301" s="56"/>
      <c r="TJ301" s="242">
        <f t="shared" si="2165"/>
        <v>0</v>
      </c>
      <c r="TK301" s="242">
        <f t="shared" si="2166"/>
        <v>0</v>
      </c>
      <c r="TL301" s="56"/>
      <c r="TO301" s="55">
        <f t="shared" si="2167"/>
        <v>46277</v>
      </c>
      <c r="TP301" s="56"/>
      <c r="TQ301" s="242">
        <f>SUMPRODUCT(PRODUCE!$B300:$DY300,PRODUCE!$EB$57:$IY$57)</f>
        <v>0</v>
      </c>
      <c r="TR301" s="56"/>
      <c r="TS301" s="242">
        <f t="shared" si="2168"/>
        <v>0</v>
      </c>
      <c r="TT301" s="242">
        <f t="shared" si="2169"/>
        <v>0</v>
      </c>
      <c r="TU301" s="56"/>
      <c r="TX301" s="55">
        <f t="shared" si="2170"/>
        <v>46277</v>
      </c>
      <c r="TY301" s="56"/>
      <c r="TZ301" s="242">
        <f>SUMPRODUCT(PRODUCE!$B300:$DY300,PRODUCE!$EB$57:$IY$57)</f>
        <v>0</v>
      </c>
      <c r="UA301" s="56"/>
      <c r="UB301" s="242">
        <f t="shared" si="2171"/>
        <v>0</v>
      </c>
      <c r="UC301" s="242">
        <f t="shared" si="2172"/>
        <v>46.799999999999983</v>
      </c>
      <c r="UD301" s="56"/>
      <c r="UG301" s="55">
        <f t="shared" si="2173"/>
        <v>46277</v>
      </c>
      <c r="UH301" s="56"/>
      <c r="UI301" s="242">
        <f>SUMPRODUCT(PRODUCE!$B300:$DY300,PRODUCE!$EB$57:$IY$57)</f>
        <v>0</v>
      </c>
      <c r="UJ301" s="56"/>
      <c r="UK301" s="242">
        <f t="shared" si="2174"/>
        <v>0</v>
      </c>
      <c r="UL301" s="242">
        <f t="shared" si="2175"/>
        <v>204</v>
      </c>
      <c r="UM301" s="56"/>
      <c r="UP301" s="55">
        <f t="shared" si="2176"/>
        <v>46277</v>
      </c>
      <c r="UQ301" s="56"/>
      <c r="UR301" s="242">
        <f>SUMPRODUCT(PRODUCE!$B300:$DY300,PRODUCE!$EB$57:$IY$57)</f>
        <v>0</v>
      </c>
      <c r="US301" s="56"/>
      <c r="UT301" s="242">
        <f t="shared" si="2177"/>
        <v>0</v>
      </c>
      <c r="UU301" s="242">
        <f t="shared" si="2178"/>
        <v>202.5</v>
      </c>
      <c r="UV301" s="56"/>
      <c r="UY301" s="55">
        <f t="shared" si="2179"/>
        <v>46277</v>
      </c>
      <c r="UZ301" s="56"/>
      <c r="VA301" s="242">
        <f>SUMPRODUCT(PRODUCE!$B300:$DY300,PRODUCE!$EB$57:$IY$57)</f>
        <v>0</v>
      </c>
      <c r="VB301" s="56"/>
      <c r="VC301" s="242">
        <f t="shared" si="2180"/>
        <v>0</v>
      </c>
      <c r="VD301" s="242">
        <f t="shared" si="2181"/>
        <v>41.600000000000023</v>
      </c>
      <c r="VE301" s="56"/>
      <c r="VH301" s="55">
        <f t="shared" si="2182"/>
        <v>46277</v>
      </c>
      <c r="VI301" s="56"/>
      <c r="VJ301" s="242">
        <f>SUMPRODUCT(PRODUCE!$B300:$DY300,PRODUCE!$EB$57:$IY$57)</f>
        <v>0</v>
      </c>
      <c r="VK301" s="56"/>
      <c r="VL301" s="242">
        <f t="shared" si="2183"/>
        <v>0</v>
      </c>
      <c r="VM301" s="242">
        <f t="shared" si="2184"/>
        <v>210</v>
      </c>
      <c r="VN301" s="56"/>
      <c r="VQ301" s="55">
        <f t="shared" si="2185"/>
        <v>46277</v>
      </c>
      <c r="VR301" s="56"/>
      <c r="VS301" s="242">
        <f>SUMPRODUCT(PRODUCE!$B300:$DY300,PRODUCE!$EB$57:$IY$57)</f>
        <v>0</v>
      </c>
      <c r="VT301" s="56"/>
      <c r="VU301" s="242">
        <f t="shared" si="2186"/>
        <v>0</v>
      </c>
      <c r="VV301" s="242">
        <f t="shared" si="2187"/>
        <v>0</v>
      </c>
      <c r="VW301" s="56"/>
      <c r="VZ301" s="55">
        <f t="shared" si="2188"/>
        <v>46277</v>
      </c>
      <c r="WA301" s="56"/>
      <c r="WB301" s="242">
        <f>SUMPRODUCT(PRODUCE!$B300:$DY300,PRODUCE!$EB$57:$IY$57)</f>
        <v>0</v>
      </c>
      <c r="WC301" s="56"/>
      <c r="WD301" s="242">
        <f t="shared" si="2189"/>
        <v>0</v>
      </c>
      <c r="WE301" s="242">
        <f t="shared" si="2190"/>
        <v>0</v>
      </c>
      <c r="WF301" s="56"/>
      <c r="WI301" s="55">
        <f t="shared" si="2191"/>
        <v>46277</v>
      </c>
      <c r="WJ301" s="56"/>
      <c r="WK301" s="242">
        <f>SUMPRODUCT(PRODUCE!$B300:$DY300,PRODUCE!$EB$57:$IY$57)</f>
        <v>0</v>
      </c>
      <c r="WL301" s="56"/>
      <c r="WM301" s="242">
        <f t="shared" si="2192"/>
        <v>0</v>
      </c>
      <c r="WN301" s="242">
        <f t="shared" si="2193"/>
        <v>1057</v>
      </c>
      <c r="WO301" s="56"/>
      <c r="WR301" s="55">
        <f t="shared" si="2194"/>
        <v>46277</v>
      </c>
      <c r="WS301" s="56"/>
      <c r="WT301" s="242">
        <f>SUMPRODUCT(PRODUCE!$B300:$DY300,PRODUCE!$EB$57:$IY$57)</f>
        <v>0</v>
      </c>
      <c r="WU301" s="56"/>
      <c r="WV301" s="242">
        <f t="shared" si="2195"/>
        <v>0</v>
      </c>
      <c r="WW301" s="242">
        <f t="shared" si="2196"/>
        <v>0</v>
      </c>
      <c r="WX301" s="56"/>
      <c r="XA301" s="55">
        <f t="shared" si="2197"/>
        <v>46277</v>
      </c>
      <c r="XB301" s="56"/>
      <c r="XC301" s="242">
        <f>SUMPRODUCT(PRODUCE!$B300:$DY300,PRODUCE!$EB$57:$IY$57)</f>
        <v>0</v>
      </c>
      <c r="XD301" s="56"/>
      <c r="XE301" s="242">
        <f t="shared" si="2198"/>
        <v>0</v>
      </c>
      <c r="XF301" s="242">
        <f t="shared" si="2199"/>
        <v>7507</v>
      </c>
      <c r="XG301" s="56"/>
      <c r="XJ301" s="55">
        <f t="shared" si="2200"/>
        <v>46277</v>
      </c>
      <c r="XK301" s="56"/>
      <c r="XL301" s="242">
        <f>SUMPRODUCT(PRODUCE!$B300:$DY300,PRODUCE!$EB$57:$IY$57)</f>
        <v>0</v>
      </c>
      <c r="XM301" s="56"/>
      <c r="XN301" s="242">
        <f t="shared" si="2201"/>
        <v>0</v>
      </c>
      <c r="XO301" s="242">
        <f t="shared" si="2202"/>
        <v>4252</v>
      </c>
      <c r="XP301" s="56"/>
      <c r="XS301" s="55">
        <f t="shared" si="2203"/>
        <v>46277</v>
      </c>
      <c r="XT301" s="56"/>
      <c r="XU301" s="242">
        <f>SUMPRODUCT(PRODUCE!$B300:$DY300,PRODUCE!$EB$57:$IY$57)</f>
        <v>0</v>
      </c>
      <c r="XV301" s="56"/>
      <c r="XW301" s="242">
        <f t="shared" si="2204"/>
        <v>0</v>
      </c>
      <c r="XX301" s="242">
        <f t="shared" si="2205"/>
        <v>2179</v>
      </c>
      <c r="XY301" s="56"/>
      <c r="YB301" s="55">
        <f t="shared" si="2206"/>
        <v>46277</v>
      </c>
      <c r="YC301" s="56"/>
      <c r="YD301" s="242">
        <f>SUMPRODUCT(PRODUCE!$B300:$DY300,PRODUCE!$EB$57:$IY$57)</f>
        <v>0</v>
      </c>
      <c r="YE301" s="56"/>
      <c r="YF301" s="242">
        <f t="shared" si="2207"/>
        <v>0</v>
      </c>
      <c r="YG301" s="242">
        <f t="shared" si="2208"/>
        <v>4019</v>
      </c>
      <c r="YH301" s="56"/>
      <c r="YK301" s="55">
        <f t="shared" si="2209"/>
        <v>46277</v>
      </c>
      <c r="YL301" s="56"/>
      <c r="YM301" s="242">
        <f>SUMPRODUCT(PRODUCE!$B300:$DY300,PRODUCE!$EB$57:$IY$57)</f>
        <v>0</v>
      </c>
      <c r="YN301" s="56"/>
      <c r="YO301" s="242">
        <f t="shared" si="2210"/>
        <v>0</v>
      </c>
      <c r="YP301" s="242">
        <f t="shared" si="2211"/>
        <v>-218</v>
      </c>
      <c r="YQ301" s="56"/>
      <c r="YT301" s="55">
        <f t="shared" si="2212"/>
        <v>46277</v>
      </c>
      <c r="YU301" s="56"/>
      <c r="YV301" s="242">
        <f>SUMPRODUCT(PRODUCE!$B300:$DY300,PRODUCE!$EB$57:$IY$57)</f>
        <v>0</v>
      </c>
      <c r="YW301" s="56"/>
      <c r="YX301" s="242">
        <f t="shared" si="2213"/>
        <v>0</v>
      </c>
      <c r="YY301" s="242">
        <f t="shared" si="2214"/>
        <v>0</v>
      </c>
      <c r="YZ301" s="56"/>
      <c r="ZC301" s="55">
        <f t="shared" si="2215"/>
        <v>46277</v>
      </c>
      <c r="ZD301" s="56"/>
      <c r="ZE301" s="242">
        <f>SUMPRODUCT(PRODUCE!$B300:$DY300,PRODUCE!$EB$57:$IY$57)</f>
        <v>0</v>
      </c>
      <c r="ZF301" s="56"/>
      <c r="ZG301" s="242">
        <f t="shared" si="2216"/>
        <v>0</v>
      </c>
      <c r="ZH301" s="242">
        <f t="shared" si="2217"/>
        <v>0</v>
      </c>
      <c r="ZI301" s="56"/>
      <c r="ZL301" s="55">
        <f t="shared" si="2218"/>
        <v>46277</v>
      </c>
      <c r="ZM301" s="56"/>
      <c r="ZN301" s="242">
        <f>SUMPRODUCT(PRODUCE!$B300:$DY300,PRODUCE!$EB$57:$IY$57)</f>
        <v>0</v>
      </c>
      <c r="ZO301" s="56"/>
      <c r="ZP301" s="242">
        <f t="shared" si="2219"/>
        <v>0</v>
      </c>
      <c r="ZQ301" s="242">
        <f t="shared" si="2220"/>
        <v>0</v>
      </c>
      <c r="ZR301" s="56"/>
      <c r="ZU301" s="55">
        <f t="shared" si="2221"/>
        <v>46277</v>
      </c>
      <c r="ZV301" s="56"/>
      <c r="ZW301" s="242">
        <f>SUMPRODUCT(PRODUCE!$B300:$DY300,PRODUCE!$EB$57:$IY$57)</f>
        <v>0</v>
      </c>
      <c r="ZX301" s="56"/>
      <c r="ZY301" s="242">
        <f t="shared" si="2222"/>
        <v>0</v>
      </c>
      <c r="ZZ301" s="242">
        <f t="shared" si="2223"/>
        <v>0</v>
      </c>
      <c r="AAA301" s="56"/>
      <c r="AAD301" s="55">
        <f t="shared" si="2224"/>
        <v>46277</v>
      </c>
      <c r="AAE301" s="56"/>
      <c r="AAF301" s="242">
        <f>SUMPRODUCT(PRODUCE!$B300:$DY300,PRODUCE!$EB$57:$IY$57)</f>
        <v>0</v>
      </c>
      <c r="AAG301" s="56"/>
      <c r="AAH301" s="242">
        <f t="shared" si="2225"/>
        <v>0</v>
      </c>
      <c r="AAI301" s="242">
        <f t="shared" si="2226"/>
        <v>0</v>
      </c>
      <c r="AAJ301" s="56"/>
      <c r="AAM301" s="55">
        <f t="shared" si="2227"/>
        <v>46277</v>
      </c>
      <c r="AAN301" s="56"/>
      <c r="AAO301" s="242">
        <f>SUMPRODUCT(PRODUCE!$B300:$DY300,PRODUCE!$EB$57:$IY$57)</f>
        <v>0</v>
      </c>
      <c r="AAP301" s="56"/>
      <c r="AAQ301" s="242">
        <f t="shared" si="2228"/>
        <v>0</v>
      </c>
      <c r="AAR301" s="242">
        <f t="shared" si="2229"/>
        <v>0</v>
      </c>
      <c r="AAS301" s="56"/>
      <c r="AAV301" s="55">
        <f t="shared" si="2230"/>
        <v>46277</v>
      </c>
      <c r="AAW301" s="56"/>
      <c r="AAX301" s="242">
        <f>SUMPRODUCT(PRODUCE!$B300:$DY300,PRODUCE!$EB$57:$IY$57)</f>
        <v>0</v>
      </c>
      <c r="AAY301" s="56"/>
      <c r="AAZ301" s="242">
        <f t="shared" si="2231"/>
        <v>0</v>
      </c>
      <c r="ABA301" s="242">
        <f t="shared" si="2232"/>
        <v>0</v>
      </c>
      <c r="ABB301" s="56"/>
      <c r="ABE301" s="55">
        <f t="shared" si="2233"/>
        <v>46277</v>
      </c>
      <c r="ABF301" s="56"/>
      <c r="ABG301" s="242">
        <f>SUMPRODUCT(PRODUCE!$B300:$DY300,PRODUCE!$EB$57:$IY$57)</f>
        <v>0</v>
      </c>
      <c r="ABH301" s="56"/>
      <c r="ABI301" s="242">
        <f t="shared" si="2234"/>
        <v>0</v>
      </c>
      <c r="ABJ301" s="242">
        <f t="shared" si="2235"/>
        <v>0</v>
      </c>
      <c r="ABK301" s="56"/>
    </row>
    <row r="302" spans="2:739" s="54" customFormat="1" ht="15" customHeight="1" outlineLevel="1">
      <c r="B302" s="478"/>
      <c r="C302" s="55">
        <v>46278</v>
      </c>
      <c r="D302" s="56"/>
      <c r="E302" s="57">
        <f>SUMPRODUCT(PRODUCE!$B301:$DY301,PRODUCE!$EB$7:$IY$7)</f>
        <v>0</v>
      </c>
      <c r="F302" s="56"/>
      <c r="G302" s="57">
        <f t="shared" si="1992"/>
        <v>0</v>
      </c>
      <c r="H302" s="57">
        <f t="shared" si="1993"/>
        <v>236936.6</v>
      </c>
      <c r="I302" s="289"/>
      <c r="L302" s="55">
        <f t="shared" si="1994"/>
        <v>46278</v>
      </c>
      <c r="M302" s="56"/>
      <c r="N302" s="59">
        <f>SUMPRODUCT(PRODUCE!$B301:$DY301,PRODUCE!$EB$8:$IY$8)</f>
        <v>0</v>
      </c>
      <c r="O302" s="56"/>
      <c r="P302" s="59">
        <f t="shared" si="1995"/>
        <v>0</v>
      </c>
      <c r="Q302" s="59">
        <f t="shared" si="1996"/>
        <v>53017.600000000071</v>
      </c>
      <c r="R302" s="56"/>
      <c r="U302" s="55">
        <f t="shared" si="1997"/>
        <v>46278</v>
      </c>
      <c r="V302" s="56"/>
      <c r="W302" s="60">
        <f>SUMPRODUCT(PRODUCE!$B301:$DY301,PRODUCE!$EB$9:$IY$9)</f>
        <v>0</v>
      </c>
      <c r="X302" s="56"/>
      <c r="Y302" s="60">
        <f t="shared" si="1998"/>
        <v>0</v>
      </c>
      <c r="Z302" s="60">
        <f t="shared" si="1999"/>
        <v>42674.199999999968</v>
      </c>
      <c r="AA302" s="56"/>
      <c r="AD302" s="55">
        <f t="shared" si="2000"/>
        <v>46278</v>
      </c>
      <c r="AE302" s="56"/>
      <c r="AF302" s="61">
        <f>SUMPRODUCT(PRODUCE!$B301:$DY301,PRODUCE!$EB$10:$IY$10)</f>
        <v>0</v>
      </c>
      <c r="AG302" s="56"/>
      <c r="AH302" s="61">
        <f t="shared" si="2001"/>
        <v>0</v>
      </c>
      <c r="AI302" s="61">
        <f t="shared" si="2002"/>
        <v>4522.2000000000189</v>
      </c>
      <c r="AJ302" s="56"/>
      <c r="AM302" s="55">
        <f t="shared" si="2003"/>
        <v>46278</v>
      </c>
      <c r="AN302" s="422"/>
      <c r="AO302" s="444">
        <f>SUMPRODUCT(PRODUCE!$B301:$DY301,PRODUCE!$EB$11:$IY$11)</f>
        <v>0</v>
      </c>
      <c r="AP302" s="422"/>
      <c r="AQ302" s="444">
        <f t="shared" si="2004"/>
        <v>0</v>
      </c>
      <c r="AR302" s="444">
        <f t="shared" si="2005"/>
        <v>0</v>
      </c>
      <c r="AS302" s="56"/>
      <c r="AV302" s="55">
        <f t="shared" si="2006"/>
        <v>46278</v>
      </c>
      <c r="AW302" s="56"/>
      <c r="AX302" s="62">
        <f>SUMPRODUCT(PRODUCE!$B301:$DY301,PRODUCE!$EB$12:$IY$12)</f>
        <v>0</v>
      </c>
      <c r="AY302" s="56"/>
      <c r="AZ302" s="62">
        <f t="shared" si="2007"/>
        <v>0</v>
      </c>
      <c r="BA302" s="62">
        <f t="shared" si="2008"/>
        <v>124.99999999999523</v>
      </c>
      <c r="BB302" s="56"/>
      <c r="BE302" s="55">
        <f t="shared" si="2009"/>
        <v>46278</v>
      </c>
      <c r="BF302" s="56"/>
      <c r="BG302" s="63">
        <f>SUMPRODUCT(PRODUCE!$B301:$DY301,PRODUCE!$EB$13:$IY$13)</f>
        <v>0</v>
      </c>
      <c r="BH302" s="56"/>
      <c r="BI302" s="63">
        <f t="shared" si="2010"/>
        <v>0</v>
      </c>
      <c r="BJ302" s="63">
        <f t="shared" si="2011"/>
        <v>26151.899999999998</v>
      </c>
      <c r="BK302" s="56"/>
      <c r="BN302" s="55">
        <f t="shared" si="2012"/>
        <v>46278</v>
      </c>
      <c r="BO302" s="56"/>
      <c r="BP302" s="64">
        <f>SUMPRODUCT(PRODUCE!$B301:$DY301,PRODUCE!$EB$14:$IY$14)</f>
        <v>0</v>
      </c>
      <c r="BQ302" s="56"/>
      <c r="BR302" s="64">
        <f t="shared" si="2013"/>
        <v>0</v>
      </c>
      <c r="BS302" s="64">
        <f t="shared" si="2014"/>
        <v>0</v>
      </c>
      <c r="BT302" s="56"/>
      <c r="BW302" s="55">
        <f t="shared" si="2015"/>
        <v>46278</v>
      </c>
      <c r="BX302" s="56"/>
      <c r="BY302" s="65">
        <f>SUMPRODUCT(PRODUCE!$B301:$DY301,PRODUCE!$EB$15:$IY$15)</f>
        <v>0</v>
      </c>
      <c r="BZ302" s="56"/>
      <c r="CA302" s="65">
        <f t="shared" si="2016"/>
        <v>0</v>
      </c>
      <c r="CB302" s="65">
        <f t="shared" si="2017"/>
        <v>2097.3399999999992</v>
      </c>
      <c r="CC302" s="56"/>
      <c r="CF302" s="55">
        <f t="shared" si="2018"/>
        <v>46278</v>
      </c>
      <c r="CG302" s="56"/>
      <c r="CH302" s="66">
        <f>SUMPRODUCT(PRODUCE!$B301:$DY301,PRODUCE!$EB$16:$IY$16)</f>
        <v>0</v>
      </c>
      <c r="CI302" s="56"/>
      <c r="CJ302" s="66">
        <f t="shared" si="2019"/>
        <v>0</v>
      </c>
      <c r="CK302" s="66">
        <f t="shared" si="2020"/>
        <v>-10277.079999999998</v>
      </c>
      <c r="CL302" s="56"/>
      <c r="CO302" s="55">
        <f t="shared" si="2021"/>
        <v>46278</v>
      </c>
      <c r="CP302" s="422"/>
      <c r="CQ302" s="470">
        <f>SUMPRODUCT(PRODUCE!$B301:$DY301,PRODUCE!$EB$17:$IY$17)</f>
        <v>0</v>
      </c>
      <c r="CR302" s="422"/>
      <c r="CS302" s="470">
        <f t="shared" si="2022"/>
        <v>0</v>
      </c>
      <c r="CT302" s="470">
        <f t="shared" si="2023"/>
        <v>0</v>
      </c>
      <c r="CU302" s="56"/>
      <c r="CX302" s="55">
        <f t="shared" si="2024"/>
        <v>46278</v>
      </c>
      <c r="CY302" s="56"/>
      <c r="CZ302" s="133">
        <f>SUMPRODUCT(PRODUCE!$B301:$DY301,PRODUCE!$EB$18:$IY$18)</f>
        <v>0</v>
      </c>
      <c r="DA302" s="56"/>
      <c r="DB302" s="133">
        <f t="shared" si="2025"/>
        <v>0</v>
      </c>
      <c r="DC302" s="133">
        <f t="shared" si="2026"/>
        <v>27438.200000000012</v>
      </c>
      <c r="DD302" s="56"/>
      <c r="DG302" s="55">
        <f t="shared" si="2027"/>
        <v>46278</v>
      </c>
      <c r="DH302" s="56"/>
      <c r="DI302" s="147">
        <f>SUMPRODUCT(PRODUCE!$B301:$DY301,PRODUCE!$EB$19:$IY$19)</f>
        <v>0</v>
      </c>
      <c r="DJ302" s="56"/>
      <c r="DK302" s="147">
        <f t="shared" si="2028"/>
        <v>0</v>
      </c>
      <c r="DL302" s="147">
        <f t="shared" si="2029"/>
        <v>18782.299999999981</v>
      </c>
      <c r="DM302" s="56"/>
      <c r="DP302" s="55">
        <f t="shared" si="2030"/>
        <v>46278</v>
      </c>
      <c r="DQ302" s="56"/>
      <c r="DR302" s="57">
        <f>SUMPRODUCT(PRODUCE!$B301:$DY301,PRODUCE!$EB$20:$IY$20)</f>
        <v>0</v>
      </c>
      <c r="DS302" s="56"/>
      <c r="DT302" s="57">
        <f t="shared" si="2031"/>
        <v>0</v>
      </c>
      <c r="DU302" s="57">
        <f t="shared" si="2032"/>
        <v>5800</v>
      </c>
      <c r="DV302" s="56"/>
      <c r="DY302" s="55">
        <f t="shared" si="2033"/>
        <v>46278</v>
      </c>
      <c r="DZ302" s="56"/>
      <c r="EA302" s="157">
        <f>SUMPRODUCT(PRODUCE!$B301:$DY301,PRODUCE!$EB$21:$IY$21)</f>
        <v>0</v>
      </c>
      <c r="EB302" s="56"/>
      <c r="EC302" s="157">
        <f t="shared" si="2034"/>
        <v>0</v>
      </c>
      <c r="ED302" s="157">
        <f t="shared" si="2035"/>
        <v>0</v>
      </c>
      <c r="EE302" s="56"/>
      <c r="EH302" s="55">
        <f t="shared" si="2036"/>
        <v>46278</v>
      </c>
      <c r="EI302" s="56"/>
      <c r="EJ302" s="162">
        <f>SUMPRODUCT(PRODUCE!$B301:$DY301,PRODUCE!$EB$22:$IY$22)</f>
        <v>0</v>
      </c>
      <c r="EK302" s="56"/>
      <c r="EL302" s="162">
        <f t="shared" si="2037"/>
        <v>0</v>
      </c>
      <c r="EM302" s="162">
        <f t="shared" si="2038"/>
        <v>0</v>
      </c>
      <c r="EN302" s="56"/>
      <c r="EQ302" s="55">
        <f t="shared" si="2039"/>
        <v>46278</v>
      </c>
      <c r="ER302" s="56"/>
      <c r="ES302" s="135">
        <f>SUMPRODUCT(PRODUCE!$B301:$DY301,PRODUCE!$EB$23:$IY$23)</f>
        <v>0</v>
      </c>
      <c r="ET302" s="56"/>
      <c r="EU302" s="135">
        <f t="shared" si="2040"/>
        <v>0</v>
      </c>
      <c r="EV302" s="135">
        <f t="shared" si="2041"/>
        <v>0</v>
      </c>
      <c r="EW302" s="56"/>
      <c r="EZ302" s="55">
        <f t="shared" si="2042"/>
        <v>46278</v>
      </c>
      <c r="FA302" s="56"/>
      <c r="FB302" s="175">
        <f>SUMPRODUCT(PRODUCE!$B301:$DY301,PRODUCE!$EB$24:$IY$24)</f>
        <v>0</v>
      </c>
      <c r="FC302" s="56"/>
      <c r="FD302" s="175">
        <f t="shared" si="2043"/>
        <v>0</v>
      </c>
      <c r="FE302" s="175">
        <f t="shared" si="2044"/>
        <v>0</v>
      </c>
      <c r="FF302" s="56"/>
      <c r="FI302" s="55">
        <f t="shared" si="2045"/>
        <v>46278</v>
      </c>
      <c r="FJ302" s="56"/>
      <c r="FK302" s="183">
        <f>SUMPRODUCT(PRODUCE!$B301:$DY301,PRODUCE!$EB$25:$IY$25)</f>
        <v>0</v>
      </c>
      <c r="FL302" s="56"/>
      <c r="FM302" s="183">
        <f t="shared" si="2046"/>
        <v>0</v>
      </c>
      <c r="FN302" s="183">
        <f t="shared" si="2047"/>
        <v>0</v>
      </c>
      <c r="FO302" s="56"/>
      <c r="FR302" s="55">
        <f t="shared" si="2048"/>
        <v>46278</v>
      </c>
      <c r="FS302" s="56"/>
      <c r="FT302" s="186">
        <f>SUMPRODUCT(PRODUCE!$B301:$DY301,PRODUCE!$EB$26:$IY$26)</f>
        <v>0</v>
      </c>
      <c r="FU302" s="56"/>
      <c r="FV302" s="186">
        <f t="shared" si="2049"/>
        <v>0</v>
      </c>
      <c r="FW302" s="186">
        <f t="shared" si="2050"/>
        <v>2020</v>
      </c>
      <c r="FX302" s="56"/>
      <c r="GA302" s="55">
        <f t="shared" si="2051"/>
        <v>46278</v>
      </c>
      <c r="GB302" s="56"/>
      <c r="GC302" s="137">
        <f>SUMPRODUCT(PRODUCE!$B301:$DY301,PRODUCE!$EB$27:$IY$27)</f>
        <v>0</v>
      </c>
      <c r="GD302" s="56"/>
      <c r="GE302" s="137">
        <f t="shared" si="2052"/>
        <v>0</v>
      </c>
      <c r="GF302" s="137">
        <f t="shared" si="2053"/>
        <v>960</v>
      </c>
      <c r="GG302" s="56"/>
      <c r="GI302" s="23"/>
      <c r="GJ302" s="55">
        <f t="shared" si="2054"/>
        <v>46278</v>
      </c>
      <c r="GK302" s="56"/>
      <c r="GL302" s="199">
        <f>SUMPRODUCT(PRODUCE!$B301:$DY301,PRODUCE!$EB$28:$IY$28)</f>
        <v>0</v>
      </c>
      <c r="GM302" s="56"/>
      <c r="GN302" s="199">
        <f t="shared" si="2055"/>
        <v>0</v>
      </c>
      <c r="GO302" s="199">
        <f t="shared" si="2056"/>
        <v>1760</v>
      </c>
      <c r="GP302" s="56"/>
      <c r="GS302" s="55">
        <f t="shared" si="2057"/>
        <v>46278</v>
      </c>
      <c r="GT302" s="56"/>
      <c r="GU302" s="195">
        <f>SUMPRODUCT(PRODUCE!$B301:$DY301,PRODUCE!$EB$29:$IY$29)</f>
        <v>0</v>
      </c>
      <c r="GV302" s="56"/>
      <c r="GW302" s="195">
        <f t="shared" si="2058"/>
        <v>0</v>
      </c>
      <c r="GX302" s="195">
        <f t="shared" si="2059"/>
        <v>400</v>
      </c>
      <c r="GY302" s="56"/>
      <c r="HB302" s="55">
        <f t="shared" si="2060"/>
        <v>46278</v>
      </c>
      <c r="HC302" s="56"/>
      <c r="HD302" s="191">
        <f>SUMPRODUCT(PRODUCE!$B301:$DY301,PRODUCE!$EB$30:$IY$30)</f>
        <v>0</v>
      </c>
      <c r="HE302" s="56"/>
      <c r="HF302" s="191">
        <f t="shared" si="2061"/>
        <v>0</v>
      </c>
      <c r="HG302" s="191">
        <f t="shared" si="2062"/>
        <v>3600</v>
      </c>
      <c r="HH302" s="56"/>
      <c r="HK302" s="55">
        <f t="shared" si="2063"/>
        <v>46278</v>
      </c>
      <c r="HL302" s="56"/>
      <c r="HM302" s="63">
        <f>SUMPRODUCT(PRODUCE!$B301:$DY301,PRODUCE!$EB$31:$IY$31)</f>
        <v>0</v>
      </c>
      <c r="HN302" s="56"/>
      <c r="HO302" s="63">
        <f t="shared" si="2064"/>
        <v>0</v>
      </c>
      <c r="HP302" s="63">
        <f t="shared" si="2065"/>
        <v>0</v>
      </c>
      <c r="HQ302" s="56"/>
      <c r="HU302" s="55">
        <f t="shared" si="2066"/>
        <v>46278</v>
      </c>
      <c r="HV302" s="56"/>
      <c r="HW302" s="242">
        <f>SUMPRODUCT(PRODUCE!$B301:$DY301,PRODUCE!$EB$32:$IY$32)</f>
        <v>0</v>
      </c>
      <c r="HX302" s="56"/>
      <c r="HY302" s="242">
        <f t="shared" si="2236"/>
        <v>0</v>
      </c>
      <c r="HZ302" s="242">
        <f t="shared" si="2067"/>
        <v>6120</v>
      </c>
      <c r="IA302" s="56"/>
      <c r="ID302" s="55">
        <f t="shared" si="2068"/>
        <v>46278</v>
      </c>
      <c r="IE302" s="56"/>
      <c r="IF302" s="242">
        <f>SUMPRODUCT(PRODUCE!$B301:$DY301,PRODUCE!$EB$33:$IY$33)</f>
        <v>0</v>
      </c>
      <c r="IG302" s="56"/>
      <c r="IH302" s="242">
        <f t="shared" si="2069"/>
        <v>0</v>
      </c>
      <c r="II302" s="242">
        <f t="shared" si="2070"/>
        <v>0</v>
      </c>
      <c r="IJ302" s="56"/>
      <c r="IM302" s="55">
        <f t="shared" si="2071"/>
        <v>46278</v>
      </c>
      <c r="IN302" s="56"/>
      <c r="IO302" s="242">
        <f>SUMPRODUCT(PRODUCE!$B301:$DY301,PRODUCE!$EB$34:$IY$34)</f>
        <v>0</v>
      </c>
      <c r="IP302" s="56"/>
      <c r="IQ302" s="242">
        <f t="shared" si="2072"/>
        <v>0</v>
      </c>
      <c r="IR302" s="242">
        <f t="shared" si="2073"/>
        <v>0</v>
      </c>
      <c r="IS302" s="56"/>
      <c r="IV302" s="55">
        <f t="shared" si="2074"/>
        <v>46278</v>
      </c>
      <c r="IW302" s="56"/>
      <c r="IX302" s="242">
        <f>SUMPRODUCT(PRODUCE!$B301:$DY301,PRODUCE!$EB$35:$IY$35)</f>
        <v>0</v>
      </c>
      <c r="IY302" s="56"/>
      <c r="IZ302" s="242">
        <f t="shared" si="2075"/>
        <v>0</v>
      </c>
      <c r="JA302" s="242">
        <f t="shared" si="2076"/>
        <v>2820</v>
      </c>
      <c r="JB302" s="56"/>
      <c r="JE302" s="55">
        <f t="shared" si="2077"/>
        <v>46278</v>
      </c>
      <c r="JF302" s="56"/>
      <c r="JG302" s="242">
        <f>SUMPRODUCT(PRODUCE!$B301:$DY301,PRODUCE!$EB$36:$IY$36)</f>
        <v>0</v>
      </c>
      <c r="JH302" s="56"/>
      <c r="JI302" s="242">
        <f t="shared" si="2078"/>
        <v>0</v>
      </c>
      <c r="JJ302" s="242">
        <f t="shared" si="2079"/>
        <v>0</v>
      </c>
      <c r="JK302" s="56"/>
      <c r="JN302" s="55">
        <f t="shared" si="2080"/>
        <v>46278</v>
      </c>
      <c r="JO302" s="56"/>
      <c r="JP302" s="242">
        <f>SUMPRODUCT(PRODUCE!$B301:$DY301,PRODUCE!$EB$37:$IY$37)</f>
        <v>0</v>
      </c>
      <c r="JQ302" s="56"/>
      <c r="JR302" s="242">
        <f t="shared" si="2081"/>
        <v>0</v>
      </c>
      <c r="JS302" s="242">
        <f t="shared" si="2082"/>
        <v>0</v>
      </c>
      <c r="JT302" s="56"/>
      <c r="JW302" s="55">
        <f t="shared" si="2083"/>
        <v>46278</v>
      </c>
      <c r="JX302" s="56"/>
      <c r="JY302" s="242">
        <f>SUMPRODUCT(PRODUCE!$B301:$DY301,PRODUCE!$EB$38:$IY$38)</f>
        <v>0</v>
      </c>
      <c r="JZ302" s="56"/>
      <c r="KA302" s="242">
        <f t="shared" si="2084"/>
        <v>0</v>
      </c>
      <c r="KB302" s="242">
        <f t="shared" si="2085"/>
        <v>2540</v>
      </c>
      <c r="KC302" s="56"/>
      <c r="KF302" s="55">
        <f t="shared" si="2086"/>
        <v>46278</v>
      </c>
      <c r="KG302" s="56"/>
      <c r="KH302" s="242">
        <f>SUMPRODUCT(PRODUCE!$B301:$DY301,PRODUCE!$EB$39:$IY$39)</f>
        <v>0</v>
      </c>
      <c r="KI302" s="56"/>
      <c r="KJ302" s="242">
        <f t="shared" si="2087"/>
        <v>0</v>
      </c>
      <c r="KK302" s="242">
        <f t="shared" si="2088"/>
        <v>2359.5</v>
      </c>
      <c r="KL302" s="56"/>
      <c r="KO302" s="55">
        <f t="shared" si="2089"/>
        <v>46278</v>
      </c>
      <c r="KP302" s="56"/>
      <c r="KQ302" s="242">
        <f>SUMPRODUCT(PRODUCE!$B301:$DY301,PRODUCE!$EB$40:$IY$40)</f>
        <v>0</v>
      </c>
      <c r="KR302" s="56"/>
      <c r="KS302" s="242">
        <f t="shared" si="2090"/>
        <v>0</v>
      </c>
      <c r="KT302" s="242">
        <f t="shared" si="2091"/>
        <v>1890</v>
      </c>
      <c r="KU302" s="56"/>
      <c r="KW302" s="23"/>
      <c r="KX302" s="55">
        <f t="shared" si="2092"/>
        <v>46278</v>
      </c>
      <c r="KY302" s="56"/>
      <c r="KZ302" s="242">
        <f>SUMPRODUCT(PRODUCE!$B301:$DY301,PRODUCE!$EB$41:$IY$41)</f>
        <v>0</v>
      </c>
      <c r="LA302" s="56"/>
      <c r="LB302" s="242">
        <f t="shared" si="2093"/>
        <v>0</v>
      </c>
      <c r="LC302" s="242">
        <f t="shared" si="2094"/>
        <v>3690</v>
      </c>
      <c r="LD302" s="56"/>
      <c r="LG302" s="55">
        <f t="shared" si="2095"/>
        <v>46278</v>
      </c>
      <c r="LH302" s="56"/>
      <c r="LI302" s="242">
        <f>SUMPRODUCT(PRODUCE!$B301:$DY301,PRODUCE!$EB$42:$IY$42)</f>
        <v>0</v>
      </c>
      <c r="LJ302" s="56"/>
      <c r="LK302" s="242">
        <f t="shared" si="2096"/>
        <v>0</v>
      </c>
      <c r="LL302" s="242">
        <f t="shared" si="2097"/>
        <v>4000</v>
      </c>
      <c r="LM302" s="56"/>
      <c r="LP302" s="55">
        <f t="shared" si="2098"/>
        <v>46278</v>
      </c>
      <c r="LQ302" s="56"/>
      <c r="LR302" s="242">
        <f>SUMPRODUCT(PRODUCE!$B317:$DY317,PRODUCE!$EB$43:$IY$43)</f>
        <v>0</v>
      </c>
      <c r="LS302" s="56"/>
      <c r="LT302" s="242">
        <f t="shared" si="2099"/>
        <v>0</v>
      </c>
      <c r="LU302" s="242">
        <f t="shared" si="2100"/>
        <v>0</v>
      </c>
      <c r="LV302" s="56"/>
      <c r="LY302" s="55">
        <f t="shared" si="2101"/>
        <v>46278</v>
      </c>
      <c r="LZ302" s="56"/>
      <c r="MA302" s="242">
        <f>SUMPRODUCT(PRODUCE!$B301:$DY301,PRODUCE!$EB$44:$IY$44)</f>
        <v>0</v>
      </c>
      <c r="MB302" s="56"/>
      <c r="MC302" s="242">
        <f t="shared" si="2102"/>
        <v>0</v>
      </c>
      <c r="MD302" s="242">
        <f t="shared" si="2103"/>
        <v>0</v>
      </c>
      <c r="ME302" s="56"/>
      <c r="MH302" s="55">
        <f t="shared" si="2104"/>
        <v>46278</v>
      </c>
      <c r="MI302" s="56"/>
      <c r="MJ302" s="242">
        <f>SUMPRODUCT(PRODUCE!$B301:$DY301,PRODUCE!$EB$45:$IY$45)</f>
        <v>0</v>
      </c>
      <c r="MK302" s="56"/>
      <c r="ML302" s="242">
        <f t="shared" si="2105"/>
        <v>0</v>
      </c>
      <c r="MM302" s="242">
        <f t="shared" si="2106"/>
        <v>0</v>
      </c>
      <c r="MN302" s="56"/>
      <c r="MQ302" s="55">
        <f t="shared" si="2107"/>
        <v>46278</v>
      </c>
      <c r="MR302" s="56"/>
      <c r="MS302" s="242">
        <f>SUMPRODUCT(PRODUCE!$B301:$DY301,PRODUCE!$EB$46:$IY$46)</f>
        <v>0</v>
      </c>
      <c r="MT302" s="56"/>
      <c r="MU302" s="242">
        <f t="shared" si="2108"/>
        <v>0</v>
      </c>
      <c r="MV302" s="242">
        <f t="shared" si="2109"/>
        <v>1625</v>
      </c>
      <c r="MW302" s="56"/>
      <c r="MZ302" s="55">
        <f t="shared" si="2110"/>
        <v>46278</v>
      </c>
      <c r="NA302" s="56"/>
      <c r="NB302" s="242">
        <f>SUMPRODUCT(PRODUCE!$B301:$DY301,PRODUCE!$EB$47:$IY$47)</f>
        <v>0</v>
      </c>
      <c r="NC302" s="56"/>
      <c r="ND302" s="242">
        <f t="shared" si="2111"/>
        <v>0</v>
      </c>
      <c r="NE302" s="242">
        <f t="shared" si="2112"/>
        <v>0</v>
      </c>
      <c r="NF302" s="56"/>
      <c r="NI302" s="55">
        <f t="shared" si="2113"/>
        <v>46278</v>
      </c>
      <c r="NJ302" s="56"/>
      <c r="NK302" s="242">
        <f>SUMPRODUCT(PRODUCE!$B301:$DY301,PRODUCE!$EB$48:$IY$48)</f>
        <v>0</v>
      </c>
      <c r="NL302" s="56"/>
      <c r="NM302" s="242">
        <f t="shared" si="2114"/>
        <v>0</v>
      </c>
      <c r="NN302" s="242">
        <f t="shared" si="2115"/>
        <v>1127</v>
      </c>
      <c r="NO302" s="56"/>
      <c r="NR302" s="55">
        <f t="shared" si="2116"/>
        <v>46278</v>
      </c>
      <c r="NS302" s="56"/>
      <c r="NT302" s="242">
        <f>SUMPRODUCT(PRODUCE!$B301:$DY301,PRODUCE!$EB$49:$IY$49)</f>
        <v>0</v>
      </c>
      <c r="NU302" s="56"/>
      <c r="NV302" s="242">
        <f t="shared" si="2117"/>
        <v>0</v>
      </c>
      <c r="NW302" s="242">
        <f t="shared" si="2118"/>
        <v>3111.9999999999995</v>
      </c>
      <c r="NX302" s="56"/>
      <c r="OA302" s="55">
        <f t="shared" si="2119"/>
        <v>46278</v>
      </c>
      <c r="OB302" s="56"/>
      <c r="OC302" s="242">
        <f>SUMPRODUCT(PRODUCE!$B301:$DY301,PRODUCE!$EB$50:$IY$50)</f>
        <v>0</v>
      </c>
      <c r="OD302" s="56"/>
      <c r="OE302" s="242">
        <f t="shared" si="2120"/>
        <v>0</v>
      </c>
      <c r="OF302" s="242">
        <f t="shared" si="2121"/>
        <v>1680.5</v>
      </c>
      <c r="OG302" s="56"/>
      <c r="OJ302" s="55">
        <f t="shared" si="2122"/>
        <v>46278</v>
      </c>
      <c r="OK302" s="56"/>
      <c r="OL302" s="242">
        <f>SUMPRODUCT(PRODUCE!$B301:$DY301,PRODUCE!$EB$51:$IY$51)</f>
        <v>0</v>
      </c>
      <c r="OM302" s="56"/>
      <c r="ON302" s="242">
        <f t="shared" si="2123"/>
        <v>0</v>
      </c>
      <c r="OO302" s="242">
        <f t="shared" si="2124"/>
        <v>0</v>
      </c>
      <c r="OP302" s="56"/>
      <c r="OS302" s="55">
        <f t="shared" si="2125"/>
        <v>46278</v>
      </c>
      <c r="OT302" s="56"/>
      <c r="OU302" s="242">
        <f>SUMPRODUCT(PRODUCE!$B301:$DY301,PRODUCE!$EB$52:$IY$52)</f>
        <v>0</v>
      </c>
      <c r="OV302" s="56"/>
      <c r="OW302" s="242">
        <f t="shared" si="2126"/>
        <v>0</v>
      </c>
      <c r="OX302" s="242">
        <f t="shared" si="2127"/>
        <v>1482</v>
      </c>
      <c r="OY302" s="56"/>
      <c r="PB302" s="55">
        <f t="shared" si="2128"/>
        <v>46278</v>
      </c>
      <c r="PC302" s="56"/>
      <c r="PD302" s="242">
        <f>SUMPRODUCT(PRODUCE!$B301:$DY301,PRODUCE!$EB$53:$IY$53)</f>
        <v>0</v>
      </c>
      <c r="PE302" s="56"/>
      <c r="PF302" s="242">
        <f t="shared" si="2129"/>
        <v>0</v>
      </c>
      <c r="PG302" s="242">
        <f t="shared" si="2130"/>
        <v>0</v>
      </c>
      <c r="PH302" s="56"/>
      <c r="PK302" s="55">
        <f t="shared" si="2131"/>
        <v>46278</v>
      </c>
      <c r="PL302" s="56"/>
      <c r="PM302" s="242">
        <f>SUMPRODUCT(PRODUCE!$B301:$DY301,PRODUCE!$EB$54:$IY$54)</f>
        <v>0</v>
      </c>
      <c r="PN302" s="56"/>
      <c r="PO302" s="242">
        <f t="shared" si="2132"/>
        <v>0</v>
      </c>
      <c r="PP302" s="242">
        <f t="shared" si="2133"/>
        <v>100</v>
      </c>
      <c r="PQ302" s="56"/>
      <c r="PT302" s="55">
        <f t="shared" si="2134"/>
        <v>46278</v>
      </c>
      <c r="PU302" s="56"/>
      <c r="PV302" s="242">
        <f>SUMPRODUCT(PRODUCE!$B301:$DY301,PRODUCE!$EB$55:$IY$55)</f>
        <v>0</v>
      </c>
      <c r="PW302" s="56"/>
      <c r="PX302" s="242">
        <f t="shared" si="2135"/>
        <v>0</v>
      </c>
      <c r="PY302" s="242">
        <f t="shared" si="2136"/>
        <v>13.960000000000036</v>
      </c>
      <c r="PZ302" s="56"/>
      <c r="QC302" s="55">
        <f t="shared" si="2137"/>
        <v>46278</v>
      </c>
      <c r="QD302" s="56"/>
      <c r="QE302" s="242">
        <f>SUMPRODUCT(PRODUCE!$B301:$DY301,PRODUCE!$EB$56:$IY$56)</f>
        <v>0</v>
      </c>
      <c r="QF302" s="56"/>
      <c r="QG302" s="242">
        <f t="shared" si="2138"/>
        <v>0</v>
      </c>
      <c r="QH302" s="242">
        <f t="shared" si="2139"/>
        <v>548</v>
      </c>
      <c r="QI302" s="56"/>
      <c r="QL302" s="55">
        <f t="shared" si="2140"/>
        <v>46278</v>
      </c>
      <c r="QM302" s="56"/>
      <c r="QN302" s="242">
        <f>SUMPRODUCT(PRODUCE!$B301:$DY301,PRODUCE!$EB$57:$IY$57)</f>
        <v>0</v>
      </c>
      <c r="QO302" s="56"/>
      <c r="QP302" s="242">
        <f t="shared" si="2141"/>
        <v>0</v>
      </c>
      <c r="QQ302" s="242">
        <f t="shared" si="2142"/>
        <v>0</v>
      </c>
      <c r="QR302" s="56"/>
      <c r="QU302" s="55">
        <f t="shared" si="2143"/>
        <v>46278</v>
      </c>
      <c r="QV302" s="56"/>
      <c r="QW302" s="242">
        <f>SUMPRODUCT(PRODUCE!$B301:$DY301,PRODUCE!$EB$57:$IY$57)</f>
        <v>0</v>
      </c>
      <c r="QX302" s="56"/>
      <c r="QY302" s="242">
        <f t="shared" si="2144"/>
        <v>0</v>
      </c>
      <c r="QZ302" s="242">
        <f t="shared" si="2145"/>
        <v>0</v>
      </c>
      <c r="RA302" s="56"/>
      <c r="RD302" s="55">
        <f t="shared" si="2146"/>
        <v>46278</v>
      </c>
      <c r="RE302" s="56"/>
      <c r="RF302" s="242">
        <f>SUMPRODUCT(PRODUCE!$B301:$DY301,PRODUCE!$EB$58:$IY$58)</f>
        <v>0</v>
      </c>
      <c r="RG302" s="56"/>
      <c r="RH302" s="242">
        <f t="shared" si="2147"/>
        <v>0</v>
      </c>
      <c r="RI302" s="242">
        <f t="shared" si="2148"/>
        <v>147.04000000000002</v>
      </c>
      <c r="RJ302" s="56"/>
      <c r="RM302" s="55">
        <f t="shared" si="2149"/>
        <v>46278</v>
      </c>
      <c r="RN302" s="56"/>
      <c r="RO302" s="242">
        <f>SUMPRODUCT(PRODUCE!$B301:$DY301,PRODUCE!$EB$59:$IY$59)</f>
        <v>0</v>
      </c>
      <c r="RP302" s="56"/>
      <c r="RQ302" s="242">
        <f t="shared" si="2150"/>
        <v>0</v>
      </c>
      <c r="RR302" s="242">
        <f t="shared" si="2151"/>
        <v>46.8</v>
      </c>
      <c r="RS302" s="56"/>
      <c r="RV302" s="55">
        <f t="shared" si="2152"/>
        <v>46278</v>
      </c>
      <c r="RW302" s="56"/>
      <c r="RX302" s="242">
        <f>SUMPRODUCT(PRODUCE!$B301:$DY301,PRODUCE!$EB$57:$IY$57)</f>
        <v>0</v>
      </c>
      <c r="RY302" s="56"/>
      <c r="RZ302" s="242">
        <f t="shared" si="2153"/>
        <v>0</v>
      </c>
      <c r="SA302" s="242">
        <f t="shared" si="2154"/>
        <v>0</v>
      </c>
      <c r="SB302" s="56"/>
      <c r="SE302" s="55">
        <f t="shared" si="2155"/>
        <v>46278</v>
      </c>
      <c r="SF302" s="56"/>
      <c r="SG302" s="242">
        <f>SUMPRODUCT(PRODUCE!$B301:$DY301,PRODUCE!$EB$61:$IY$61)</f>
        <v>0</v>
      </c>
      <c r="SH302" s="56"/>
      <c r="SI302" s="242">
        <f t="shared" si="2156"/>
        <v>0</v>
      </c>
      <c r="SJ302" s="242">
        <f t="shared" si="2157"/>
        <v>24.200000000000003</v>
      </c>
      <c r="SK302" s="56"/>
      <c r="SN302" s="55">
        <f t="shared" si="2158"/>
        <v>46278</v>
      </c>
      <c r="SO302" s="56"/>
      <c r="SP302" s="242">
        <f>SUMPRODUCT(PRODUCE!$B301:$DY301,PRODUCE!$EB$57:$IY$57)</f>
        <v>0</v>
      </c>
      <c r="SQ302" s="56"/>
      <c r="SR302" s="242">
        <f t="shared" si="2159"/>
        <v>0</v>
      </c>
      <c r="SS302" s="242">
        <f t="shared" si="2160"/>
        <v>32</v>
      </c>
      <c r="ST302" s="56"/>
      <c r="SW302" s="55">
        <f t="shared" si="2161"/>
        <v>46278</v>
      </c>
      <c r="SX302" s="56"/>
      <c r="SY302" s="242">
        <f>SUMPRODUCT(PRODUCE!$B301:$DY301,PRODUCE!$EB$57:$IY$57)</f>
        <v>0</v>
      </c>
      <c r="SZ302" s="56"/>
      <c r="TA302" s="242">
        <f t="shared" si="2162"/>
        <v>0</v>
      </c>
      <c r="TB302" s="242">
        <f t="shared" si="2163"/>
        <v>0</v>
      </c>
      <c r="TC302" s="56"/>
      <c r="TF302" s="55">
        <f t="shared" si="2164"/>
        <v>46278</v>
      </c>
      <c r="TG302" s="56"/>
      <c r="TH302" s="242">
        <f>SUMPRODUCT(PRODUCE!$B301:$DY301,PRODUCE!$EB$57:$IY$57)</f>
        <v>0</v>
      </c>
      <c r="TI302" s="56"/>
      <c r="TJ302" s="242">
        <f t="shared" si="2165"/>
        <v>0</v>
      </c>
      <c r="TK302" s="242">
        <f t="shared" si="2166"/>
        <v>0</v>
      </c>
      <c r="TL302" s="56"/>
      <c r="TO302" s="55">
        <f t="shared" si="2167"/>
        <v>46278</v>
      </c>
      <c r="TP302" s="56"/>
      <c r="TQ302" s="242">
        <f>SUMPRODUCT(PRODUCE!$B301:$DY301,PRODUCE!$EB$57:$IY$57)</f>
        <v>0</v>
      </c>
      <c r="TR302" s="56"/>
      <c r="TS302" s="242">
        <f t="shared" si="2168"/>
        <v>0</v>
      </c>
      <c r="TT302" s="242">
        <f t="shared" si="2169"/>
        <v>0</v>
      </c>
      <c r="TU302" s="56"/>
      <c r="TX302" s="55">
        <f t="shared" si="2170"/>
        <v>46278</v>
      </c>
      <c r="TY302" s="56"/>
      <c r="TZ302" s="242">
        <f>SUMPRODUCT(PRODUCE!$B301:$DY301,PRODUCE!$EB$57:$IY$57)</f>
        <v>0</v>
      </c>
      <c r="UA302" s="56"/>
      <c r="UB302" s="242">
        <f t="shared" si="2171"/>
        <v>0</v>
      </c>
      <c r="UC302" s="242">
        <f t="shared" si="2172"/>
        <v>46.799999999999983</v>
      </c>
      <c r="UD302" s="56"/>
      <c r="UG302" s="55">
        <f t="shared" si="2173"/>
        <v>46278</v>
      </c>
      <c r="UH302" s="56"/>
      <c r="UI302" s="242">
        <f>SUMPRODUCT(PRODUCE!$B301:$DY301,PRODUCE!$EB$57:$IY$57)</f>
        <v>0</v>
      </c>
      <c r="UJ302" s="56"/>
      <c r="UK302" s="242">
        <f t="shared" si="2174"/>
        <v>0</v>
      </c>
      <c r="UL302" s="242">
        <f t="shared" si="2175"/>
        <v>204</v>
      </c>
      <c r="UM302" s="56"/>
      <c r="UP302" s="55">
        <f t="shared" si="2176"/>
        <v>46278</v>
      </c>
      <c r="UQ302" s="56"/>
      <c r="UR302" s="242">
        <f>SUMPRODUCT(PRODUCE!$B301:$DY301,PRODUCE!$EB$57:$IY$57)</f>
        <v>0</v>
      </c>
      <c r="US302" s="56"/>
      <c r="UT302" s="242">
        <f t="shared" si="2177"/>
        <v>0</v>
      </c>
      <c r="UU302" s="242">
        <f t="shared" si="2178"/>
        <v>202.5</v>
      </c>
      <c r="UV302" s="56"/>
      <c r="UY302" s="55">
        <f t="shared" si="2179"/>
        <v>46278</v>
      </c>
      <c r="UZ302" s="56"/>
      <c r="VA302" s="242">
        <f>SUMPRODUCT(PRODUCE!$B301:$DY301,PRODUCE!$EB$57:$IY$57)</f>
        <v>0</v>
      </c>
      <c r="VB302" s="56"/>
      <c r="VC302" s="242">
        <f t="shared" si="2180"/>
        <v>0</v>
      </c>
      <c r="VD302" s="242">
        <f t="shared" si="2181"/>
        <v>41.600000000000023</v>
      </c>
      <c r="VE302" s="56"/>
      <c r="VH302" s="55">
        <f t="shared" si="2182"/>
        <v>46278</v>
      </c>
      <c r="VI302" s="56"/>
      <c r="VJ302" s="242">
        <f>SUMPRODUCT(PRODUCE!$B301:$DY301,PRODUCE!$EB$57:$IY$57)</f>
        <v>0</v>
      </c>
      <c r="VK302" s="56"/>
      <c r="VL302" s="242">
        <f t="shared" si="2183"/>
        <v>0</v>
      </c>
      <c r="VM302" s="242">
        <f t="shared" si="2184"/>
        <v>210</v>
      </c>
      <c r="VN302" s="56"/>
      <c r="VQ302" s="55">
        <f t="shared" si="2185"/>
        <v>46278</v>
      </c>
      <c r="VR302" s="56"/>
      <c r="VS302" s="242">
        <f>SUMPRODUCT(PRODUCE!$B301:$DY301,PRODUCE!$EB$57:$IY$57)</f>
        <v>0</v>
      </c>
      <c r="VT302" s="56"/>
      <c r="VU302" s="242">
        <f t="shared" si="2186"/>
        <v>0</v>
      </c>
      <c r="VV302" s="242">
        <f t="shared" si="2187"/>
        <v>0</v>
      </c>
      <c r="VW302" s="56"/>
      <c r="VZ302" s="55">
        <f t="shared" si="2188"/>
        <v>46278</v>
      </c>
      <c r="WA302" s="56"/>
      <c r="WB302" s="242">
        <f>SUMPRODUCT(PRODUCE!$B301:$DY301,PRODUCE!$EB$57:$IY$57)</f>
        <v>0</v>
      </c>
      <c r="WC302" s="56"/>
      <c r="WD302" s="242">
        <f t="shared" si="2189"/>
        <v>0</v>
      </c>
      <c r="WE302" s="242">
        <f t="shared" si="2190"/>
        <v>0</v>
      </c>
      <c r="WF302" s="56"/>
      <c r="WI302" s="55">
        <f t="shared" si="2191"/>
        <v>46278</v>
      </c>
      <c r="WJ302" s="56"/>
      <c r="WK302" s="242">
        <f>SUMPRODUCT(PRODUCE!$B301:$DY301,PRODUCE!$EB$57:$IY$57)</f>
        <v>0</v>
      </c>
      <c r="WL302" s="56"/>
      <c r="WM302" s="242">
        <f t="shared" si="2192"/>
        <v>0</v>
      </c>
      <c r="WN302" s="242">
        <f t="shared" si="2193"/>
        <v>1057</v>
      </c>
      <c r="WO302" s="56"/>
      <c r="WR302" s="55">
        <f t="shared" si="2194"/>
        <v>46278</v>
      </c>
      <c r="WS302" s="56"/>
      <c r="WT302" s="242">
        <f>SUMPRODUCT(PRODUCE!$B301:$DY301,PRODUCE!$EB$57:$IY$57)</f>
        <v>0</v>
      </c>
      <c r="WU302" s="56"/>
      <c r="WV302" s="242">
        <f t="shared" si="2195"/>
        <v>0</v>
      </c>
      <c r="WW302" s="242">
        <f t="shared" si="2196"/>
        <v>0</v>
      </c>
      <c r="WX302" s="56"/>
      <c r="XA302" s="55">
        <f t="shared" si="2197"/>
        <v>46278</v>
      </c>
      <c r="XB302" s="56"/>
      <c r="XC302" s="242">
        <f>SUMPRODUCT(PRODUCE!$B301:$DY301,PRODUCE!$EB$57:$IY$57)</f>
        <v>0</v>
      </c>
      <c r="XD302" s="56"/>
      <c r="XE302" s="242">
        <f t="shared" si="2198"/>
        <v>0</v>
      </c>
      <c r="XF302" s="242">
        <f t="shared" si="2199"/>
        <v>7507</v>
      </c>
      <c r="XG302" s="56"/>
      <c r="XJ302" s="55">
        <f t="shared" si="2200"/>
        <v>46278</v>
      </c>
      <c r="XK302" s="56"/>
      <c r="XL302" s="242">
        <f>SUMPRODUCT(PRODUCE!$B301:$DY301,PRODUCE!$EB$57:$IY$57)</f>
        <v>0</v>
      </c>
      <c r="XM302" s="56"/>
      <c r="XN302" s="242">
        <f t="shared" si="2201"/>
        <v>0</v>
      </c>
      <c r="XO302" s="242">
        <f t="shared" si="2202"/>
        <v>4252</v>
      </c>
      <c r="XP302" s="56"/>
      <c r="XS302" s="55">
        <f t="shared" si="2203"/>
        <v>46278</v>
      </c>
      <c r="XT302" s="56"/>
      <c r="XU302" s="242">
        <f>SUMPRODUCT(PRODUCE!$B301:$DY301,PRODUCE!$EB$57:$IY$57)</f>
        <v>0</v>
      </c>
      <c r="XV302" s="56"/>
      <c r="XW302" s="242">
        <f t="shared" si="2204"/>
        <v>0</v>
      </c>
      <c r="XX302" s="242">
        <f t="shared" si="2205"/>
        <v>2179</v>
      </c>
      <c r="XY302" s="56"/>
      <c r="YB302" s="55">
        <f t="shared" si="2206"/>
        <v>46278</v>
      </c>
      <c r="YC302" s="56"/>
      <c r="YD302" s="242">
        <f>SUMPRODUCT(PRODUCE!$B301:$DY301,PRODUCE!$EB$57:$IY$57)</f>
        <v>0</v>
      </c>
      <c r="YE302" s="56"/>
      <c r="YF302" s="242">
        <f t="shared" si="2207"/>
        <v>0</v>
      </c>
      <c r="YG302" s="242">
        <f t="shared" si="2208"/>
        <v>4019</v>
      </c>
      <c r="YH302" s="56"/>
      <c r="YK302" s="55">
        <f t="shared" si="2209"/>
        <v>46278</v>
      </c>
      <c r="YL302" s="56"/>
      <c r="YM302" s="242">
        <f>SUMPRODUCT(PRODUCE!$B301:$DY301,PRODUCE!$EB$57:$IY$57)</f>
        <v>0</v>
      </c>
      <c r="YN302" s="56"/>
      <c r="YO302" s="242">
        <f t="shared" si="2210"/>
        <v>0</v>
      </c>
      <c r="YP302" s="242">
        <f t="shared" si="2211"/>
        <v>-218</v>
      </c>
      <c r="YQ302" s="56"/>
      <c r="YT302" s="55">
        <f t="shared" si="2212"/>
        <v>46278</v>
      </c>
      <c r="YU302" s="56"/>
      <c r="YV302" s="242">
        <f>SUMPRODUCT(PRODUCE!$B301:$DY301,PRODUCE!$EB$57:$IY$57)</f>
        <v>0</v>
      </c>
      <c r="YW302" s="56"/>
      <c r="YX302" s="242">
        <f t="shared" si="2213"/>
        <v>0</v>
      </c>
      <c r="YY302" s="242">
        <f t="shared" si="2214"/>
        <v>0</v>
      </c>
      <c r="YZ302" s="56"/>
      <c r="ZC302" s="55">
        <f t="shared" si="2215"/>
        <v>46278</v>
      </c>
      <c r="ZD302" s="56"/>
      <c r="ZE302" s="242">
        <f>SUMPRODUCT(PRODUCE!$B301:$DY301,PRODUCE!$EB$57:$IY$57)</f>
        <v>0</v>
      </c>
      <c r="ZF302" s="56"/>
      <c r="ZG302" s="242">
        <f t="shared" si="2216"/>
        <v>0</v>
      </c>
      <c r="ZH302" s="242">
        <f t="shared" si="2217"/>
        <v>0</v>
      </c>
      <c r="ZI302" s="56"/>
      <c r="ZL302" s="55">
        <f t="shared" si="2218"/>
        <v>46278</v>
      </c>
      <c r="ZM302" s="56"/>
      <c r="ZN302" s="242">
        <f>SUMPRODUCT(PRODUCE!$B301:$DY301,PRODUCE!$EB$57:$IY$57)</f>
        <v>0</v>
      </c>
      <c r="ZO302" s="56"/>
      <c r="ZP302" s="242">
        <f t="shared" si="2219"/>
        <v>0</v>
      </c>
      <c r="ZQ302" s="242">
        <f t="shared" si="2220"/>
        <v>0</v>
      </c>
      <c r="ZR302" s="56"/>
      <c r="ZU302" s="55">
        <f t="shared" si="2221"/>
        <v>46278</v>
      </c>
      <c r="ZV302" s="56"/>
      <c r="ZW302" s="242">
        <f>SUMPRODUCT(PRODUCE!$B301:$DY301,PRODUCE!$EB$57:$IY$57)</f>
        <v>0</v>
      </c>
      <c r="ZX302" s="56"/>
      <c r="ZY302" s="242">
        <f t="shared" si="2222"/>
        <v>0</v>
      </c>
      <c r="ZZ302" s="242">
        <f t="shared" si="2223"/>
        <v>0</v>
      </c>
      <c r="AAA302" s="56"/>
      <c r="AAD302" s="55">
        <f t="shared" si="2224"/>
        <v>46278</v>
      </c>
      <c r="AAE302" s="56"/>
      <c r="AAF302" s="242">
        <f>SUMPRODUCT(PRODUCE!$B301:$DY301,PRODUCE!$EB$57:$IY$57)</f>
        <v>0</v>
      </c>
      <c r="AAG302" s="56"/>
      <c r="AAH302" s="242">
        <f t="shared" si="2225"/>
        <v>0</v>
      </c>
      <c r="AAI302" s="242">
        <f t="shared" si="2226"/>
        <v>0</v>
      </c>
      <c r="AAJ302" s="56"/>
      <c r="AAM302" s="55">
        <f t="shared" si="2227"/>
        <v>46278</v>
      </c>
      <c r="AAN302" s="56"/>
      <c r="AAO302" s="242">
        <f>SUMPRODUCT(PRODUCE!$B301:$DY301,PRODUCE!$EB$57:$IY$57)</f>
        <v>0</v>
      </c>
      <c r="AAP302" s="56"/>
      <c r="AAQ302" s="242">
        <f t="shared" si="2228"/>
        <v>0</v>
      </c>
      <c r="AAR302" s="242">
        <f t="shared" si="2229"/>
        <v>0</v>
      </c>
      <c r="AAS302" s="56"/>
      <c r="AAV302" s="55">
        <f t="shared" si="2230"/>
        <v>46278</v>
      </c>
      <c r="AAW302" s="56"/>
      <c r="AAX302" s="242">
        <f>SUMPRODUCT(PRODUCE!$B301:$DY301,PRODUCE!$EB$57:$IY$57)</f>
        <v>0</v>
      </c>
      <c r="AAY302" s="56"/>
      <c r="AAZ302" s="242">
        <f t="shared" si="2231"/>
        <v>0</v>
      </c>
      <c r="ABA302" s="242">
        <f t="shared" si="2232"/>
        <v>0</v>
      </c>
      <c r="ABB302" s="56"/>
      <c r="ABE302" s="55">
        <f t="shared" si="2233"/>
        <v>46278</v>
      </c>
      <c r="ABF302" s="56"/>
      <c r="ABG302" s="242">
        <f>SUMPRODUCT(PRODUCE!$B301:$DY301,PRODUCE!$EB$57:$IY$57)</f>
        <v>0</v>
      </c>
      <c r="ABH302" s="56"/>
      <c r="ABI302" s="242">
        <f t="shared" si="2234"/>
        <v>0</v>
      </c>
      <c r="ABJ302" s="242">
        <f t="shared" si="2235"/>
        <v>0</v>
      </c>
      <c r="ABK302" s="56"/>
    </row>
    <row r="303" spans="2:739" s="54" customFormat="1" ht="15" customHeight="1" outlineLevel="1">
      <c r="B303" s="478"/>
      <c r="C303" s="55">
        <v>46279</v>
      </c>
      <c r="D303" s="56"/>
      <c r="E303" s="57">
        <f>SUMPRODUCT(PRODUCE!$B302:$DY302,PRODUCE!$EB$7:$IY$7)</f>
        <v>0</v>
      </c>
      <c r="F303" s="56"/>
      <c r="G303" s="57">
        <f t="shared" si="1992"/>
        <v>0</v>
      </c>
      <c r="H303" s="57">
        <f t="shared" si="1993"/>
        <v>236936.6</v>
      </c>
      <c r="I303" s="289"/>
      <c r="L303" s="55">
        <f t="shared" si="1994"/>
        <v>46279</v>
      </c>
      <c r="M303" s="56"/>
      <c r="N303" s="59">
        <f>SUMPRODUCT(PRODUCE!$B302:$DY302,PRODUCE!$EB$8:$IY$8)</f>
        <v>0</v>
      </c>
      <c r="O303" s="56"/>
      <c r="P303" s="59">
        <f t="shared" si="1995"/>
        <v>0</v>
      </c>
      <c r="Q303" s="59">
        <f t="shared" si="1996"/>
        <v>53017.600000000071</v>
      </c>
      <c r="R303" s="56"/>
      <c r="U303" s="55">
        <f t="shared" si="1997"/>
        <v>46279</v>
      </c>
      <c r="V303" s="56"/>
      <c r="W303" s="60">
        <f>SUMPRODUCT(PRODUCE!$B302:$DY302,PRODUCE!$EB$9:$IY$9)</f>
        <v>0</v>
      </c>
      <c r="X303" s="56"/>
      <c r="Y303" s="60">
        <f t="shared" si="1998"/>
        <v>0</v>
      </c>
      <c r="Z303" s="60">
        <f t="shared" si="1999"/>
        <v>42674.199999999968</v>
      </c>
      <c r="AA303" s="56"/>
      <c r="AD303" s="55">
        <f t="shared" si="2000"/>
        <v>46279</v>
      </c>
      <c r="AE303" s="56"/>
      <c r="AF303" s="61">
        <f>SUMPRODUCT(PRODUCE!$B302:$DY302,PRODUCE!$EB$10:$IY$10)</f>
        <v>0</v>
      </c>
      <c r="AG303" s="56"/>
      <c r="AH303" s="61">
        <f t="shared" si="2001"/>
        <v>0</v>
      </c>
      <c r="AI303" s="61">
        <f t="shared" si="2002"/>
        <v>4522.2000000000189</v>
      </c>
      <c r="AJ303" s="56"/>
      <c r="AM303" s="55">
        <f t="shared" si="2003"/>
        <v>46279</v>
      </c>
      <c r="AN303" s="422"/>
      <c r="AO303" s="444">
        <f>SUMPRODUCT(PRODUCE!$B302:$DY302,PRODUCE!$EB$11:$IY$11)</f>
        <v>0</v>
      </c>
      <c r="AP303" s="422"/>
      <c r="AQ303" s="444">
        <f t="shared" si="2004"/>
        <v>0</v>
      </c>
      <c r="AR303" s="444">
        <f t="shared" si="2005"/>
        <v>0</v>
      </c>
      <c r="AS303" s="56"/>
      <c r="AV303" s="55">
        <f t="shared" si="2006"/>
        <v>46279</v>
      </c>
      <c r="AW303" s="56"/>
      <c r="AX303" s="62">
        <f>SUMPRODUCT(PRODUCE!$B302:$DY302,PRODUCE!$EB$12:$IY$12)</f>
        <v>0</v>
      </c>
      <c r="AY303" s="56"/>
      <c r="AZ303" s="62">
        <f t="shared" si="2007"/>
        <v>0</v>
      </c>
      <c r="BA303" s="62">
        <f t="shared" si="2008"/>
        <v>124.99999999999523</v>
      </c>
      <c r="BB303" s="56"/>
      <c r="BE303" s="55">
        <f t="shared" si="2009"/>
        <v>46279</v>
      </c>
      <c r="BF303" s="56"/>
      <c r="BG303" s="63">
        <f>SUMPRODUCT(PRODUCE!$B302:$DY302,PRODUCE!$EB$13:$IY$13)</f>
        <v>0</v>
      </c>
      <c r="BH303" s="56"/>
      <c r="BI303" s="63">
        <f t="shared" si="2010"/>
        <v>0</v>
      </c>
      <c r="BJ303" s="63">
        <f t="shared" si="2011"/>
        <v>26151.899999999998</v>
      </c>
      <c r="BK303" s="56"/>
      <c r="BN303" s="55">
        <f t="shared" si="2012"/>
        <v>46279</v>
      </c>
      <c r="BO303" s="56"/>
      <c r="BP303" s="64">
        <f>SUMPRODUCT(PRODUCE!$B302:$DY302,PRODUCE!$EB$14:$IY$14)</f>
        <v>0</v>
      </c>
      <c r="BQ303" s="56"/>
      <c r="BR303" s="64">
        <f t="shared" si="2013"/>
        <v>0</v>
      </c>
      <c r="BS303" s="64">
        <f t="shared" si="2014"/>
        <v>0</v>
      </c>
      <c r="BT303" s="56"/>
      <c r="BW303" s="55">
        <f t="shared" si="2015"/>
        <v>46279</v>
      </c>
      <c r="BX303" s="56"/>
      <c r="BY303" s="65">
        <f>SUMPRODUCT(PRODUCE!$B302:$DY302,PRODUCE!$EB$15:$IY$15)</f>
        <v>0</v>
      </c>
      <c r="BZ303" s="56"/>
      <c r="CA303" s="65">
        <f t="shared" si="2016"/>
        <v>0</v>
      </c>
      <c r="CB303" s="65">
        <f t="shared" si="2017"/>
        <v>2097.3399999999992</v>
      </c>
      <c r="CC303" s="56"/>
      <c r="CF303" s="55">
        <f t="shared" si="2018"/>
        <v>46279</v>
      </c>
      <c r="CG303" s="56"/>
      <c r="CH303" s="66">
        <f>SUMPRODUCT(PRODUCE!$B302:$DY302,PRODUCE!$EB$16:$IY$16)</f>
        <v>0</v>
      </c>
      <c r="CI303" s="56"/>
      <c r="CJ303" s="66">
        <f t="shared" si="2019"/>
        <v>0</v>
      </c>
      <c r="CK303" s="66">
        <f t="shared" si="2020"/>
        <v>-10277.079999999998</v>
      </c>
      <c r="CL303" s="56"/>
      <c r="CO303" s="55">
        <f t="shared" si="2021"/>
        <v>46279</v>
      </c>
      <c r="CP303" s="422"/>
      <c r="CQ303" s="470">
        <f>SUMPRODUCT(PRODUCE!$B302:$DY302,PRODUCE!$EB$17:$IY$17)</f>
        <v>0</v>
      </c>
      <c r="CR303" s="422"/>
      <c r="CS303" s="470">
        <f t="shared" si="2022"/>
        <v>0</v>
      </c>
      <c r="CT303" s="470">
        <f t="shared" si="2023"/>
        <v>0</v>
      </c>
      <c r="CU303" s="56"/>
      <c r="CX303" s="55">
        <f t="shared" si="2024"/>
        <v>46279</v>
      </c>
      <c r="CY303" s="56"/>
      <c r="CZ303" s="133">
        <f>SUMPRODUCT(PRODUCE!$B302:$DY302,PRODUCE!$EB$18:$IY$18)</f>
        <v>0</v>
      </c>
      <c r="DA303" s="56"/>
      <c r="DB303" s="133">
        <f t="shared" si="2025"/>
        <v>0</v>
      </c>
      <c r="DC303" s="133">
        <f t="shared" si="2026"/>
        <v>27438.200000000012</v>
      </c>
      <c r="DD303" s="56"/>
      <c r="DG303" s="55">
        <f t="shared" si="2027"/>
        <v>46279</v>
      </c>
      <c r="DH303" s="56"/>
      <c r="DI303" s="147">
        <f>SUMPRODUCT(PRODUCE!$B302:$DY302,PRODUCE!$EB$19:$IY$19)</f>
        <v>0</v>
      </c>
      <c r="DJ303" s="56"/>
      <c r="DK303" s="147">
        <f t="shared" si="2028"/>
        <v>0</v>
      </c>
      <c r="DL303" s="147">
        <f t="shared" si="2029"/>
        <v>18782.299999999981</v>
      </c>
      <c r="DM303" s="56"/>
      <c r="DP303" s="55">
        <f t="shared" si="2030"/>
        <v>46279</v>
      </c>
      <c r="DQ303" s="56"/>
      <c r="DR303" s="57">
        <f>SUMPRODUCT(PRODUCE!$B302:$DY302,PRODUCE!$EB$20:$IY$20)</f>
        <v>0</v>
      </c>
      <c r="DS303" s="56"/>
      <c r="DT303" s="57">
        <f t="shared" si="2031"/>
        <v>0</v>
      </c>
      <c r="DU303" s="57">
        <f t="shared" si="2032"/>
        <v>5800</v>
      </c>
      <c r="DV303" s="56"/>
      <c r="DY303" s="55">
        <f t="shared" si="2033"/>
        <v>46279</v>
      </c>
      <c r="DZ303" s="56"/>
      <c r="EA303" s="157">
        <f>SUMPRODUCT(PRODUCE!$B302:$DY302,PRODUCE!$EB$21:$IY$21)</f>
        <v>0</v>
      </c>
      <c r="EB303" s="56"/>
      <c r="EC303" s="157">
        <f t="shared" si="2034"/>
        <v>0</v>
      </c>
      <c r="ED303" s="157">
        <f t="shared" si="2035"/>
        <v>0</v>
      </c>
      <c r="EE303" s="56"/>
      <c r="EH303" s="55">
        <f t="shared" si="2036"/>
        <v>46279</v>
      </c>
      <c r="EI303" s="56"/>
      <c r="EJ303" s="162">
        <f>SUMPRODUCT(PRODUCE!$B302:$DY302,PRODUCE!$EB$22:$IY$22)</f>
        <v>0</v>
      </c>
      <c r="EK303" s="56"/>
      <c r="EL303" s="162">
        <f t="shared" si="2037"/>
        <v>0</v>
      </c>
      <c r="EM303" s="162">
        <f t="shared" si="2038"/>
        <v>0</v>
      </c>
      <c r="EN303" s="56"/>
      <c r="EQ303" s="55">
        <f t="shared" si="2039"/>
        <v>46279</v>
      </c>
      <c r="ER303" s="56"/>
      <c r="ES303" s="135">
        <f>SUMPRODUCT(PRODUCE!$B302:$DY302,PRODUCE!$EB$23:$IY$23)</f>
        <v>0</v>
      </c>
      <c r="ET303" s="56"/>
      <c r="EU303" s="135">
        <f t="shared" si="2040"/>
        <v>0</v>
      </c>
      <c r="EV303" s="135">
        <f t="shared" si="2041"/>
        <v>0</v>
      </c>
      <c r="EW303" s="56"/>
      <c r="EZ303" s="55">
        <f t="shared" si="2042"/>
        <v>46279</v>
      </c>
      <c r="FA303" s="56"/>
      <c r="FB303" s="175">
        <f>SUMPRODUCT(PRODUCE!$B302:$DY302,PRODUCE!$EB$24:$IY$24)</f>
        <v>0</v>
      </c>
      <c r="FC303" s="56"/>
      <c r="FD303" s="175">
        <f t="shared" si="2043"/>
        <v>0</v>
      </c>
      <c r="FE303" s="175">
        <f t="shared" si="2044"/>
        <v>0</v>
      </c>
      <c r="FF303" s="56"/>
      <c r="FI303" s="55">
        <f t="shared" si="2045"/>
        <v>46279</v>
      </c>
      <c r="FJ303" s="56"/>
      <c r="FK303" s="183">
        <f>SUMPRODUCT(PRODUCE!$B302:$DY302,PRODUCE!$EB$25:$IY$25)</f>
        <v>0</v>
      </c>
      <c r="FL303" s="56"/>
      <c r="FM303" s="183">
        <f t="shared" si="2046"/>
        <v>0</v>
      </c>
      <c r="FN303" s="183">
        <f t="shared" si="2047"/>
        <v>0</v>
      </c>
      <c r="FO303" s="56"/>
      <c r="FR303" s="55">
        <f t="shared" si="2048"/>
        <v>46279</v>
      </c>
      <c r="FS303" s="56"/>
      <c r="FT303" s="186">
        <f>SUMPRODUCT(PRODUCE!$B302:$DY302,PRODUCE!$EB$26:$IY$26)</f>
        <v>0</v>
      </c>
      <c r="FU303" s="56"/>
      <c r="FV303" s="186">
        <f t="shared" si="2049"/>
        <v>0</v>
      </c>
      <c r="FW303" s="186">
        <f t="shared" si="2050"/>
        <v>2020</v>
      </c>
      <c r="FX303" s="56"/>
      <c r="GA303" s="55">
        <f t="shared" si="2051"/>
        <v>46279</v>
      </c>
      <c r="GB303" s="56"/>
      <c r="GC303" s="137">
        <f>SUMPRODUCT(PRODUCE!$B302:$DY302,PRODUCE!$EB$27:$IY$27)</f>
        <v>0</v>
      </c>
      <c r="GD303" s="56"/>
      <c r="GE303" s="137">
        <f t="shared" si="2052"/>
        <v>0</v>
      </c>
      <c r="GF303" s="137">
        <f t="shared" si="2053"/>
        <v>960</v>
      </c>
      <c r="GG303" s="56"/>
      <c r="GI303" s="23"/>
      <c r="GJ303" s="55">
        <f t="shared" si="2054"/>
        <v>46279</v>
      </c>
      <c r="GK303" s="56"/>
      <c r="GL303" s="199">
        <f>SUMPRODUCT(PRODUCE!$B302:$DY302,PRODUCE!$EB$28:$IY$28)</f>
        <v>0</v>
      </c>
      <c r="GM303" s="56"/>
      <c r="GN303" s="199">
        <f t="shared" si="2055"/>
        <v>0</v>
      </c>
      <c r="GO303" s="199">
        <f t="shared" si="2056"/>
        <v>1760</v>
      </c>
      <c r="GP303" s="56"/>
      <c r="GS303" s="55">
        <f t="shared" si="2057"/>
        <v>46279</v>
      </c>
      <c r="GT303" s="56"/>
      <c r="GU303" s="195">
        <f>SUMPRODUCT(PRODUCE!$B302:$DY302,PRODUCE!$EB$29:$IY$29)</f>
        <v>0</v>
      </c>
      <c r="GV303" s="56"/>
      <c r="GW303" s="195">
        <f t="shared" si="2058"/>
        <v>0</v>
      </c>
      <c r="GX303" s="195">
        <f t="shared" si="2059"/>
        <v>400</v>
      </c>
      <c r="GY303" s="56"/>
      <c r="HB303" s="55">
        <f t="shared" si="2060"/>
        <v>46279</v>
      </c>
      <c r="HC303" s="56"/>
      <c r="HD303" s="191">
        <f>SUMPRODUCT(PRODUCE!$B302:$DY302,PRODUCE!$EB$30:$IY$30)</f>
        <v>0</v>
      </c>
      <c r="HE303" s="56"/>
      <c r="HF303" s="191">
        <f t="shared" si="2061"/>
        <v>0</v>
      </c>
      <c r="HG303" s="191">
        <f t="shared" si="2062"/>
        <v>3600</v>
      </c>
      <c r="HH303" s="56"/>
      <c r="HK303" s="55">
        <f t="shared" si="2063"/>
        <v>46279</v>
      </c>
      <c r="HL303" s="56"/>
      <c r="HM303" s="63">
        <f>SUMPRODUCT(PRODUCE!$B302:$DY302,PRODUCE!$EB$31:$IY$31)</f>
        <v>0</v>
      </c>
      <c r="HN303" s="56"/>
      <c r="HO303" s="63">
        <f t="shared" si="2064"/>
        <v>0</v>
      </c>
      <c r="HP303" s="63">
        <f t="shared" si="2065"/>
        <v>0</v>
      </c>
      <c r="HQ303" s="56"/>
      <c r="HU303" s="55">
        <f t="shared" si="2066"/>
        <v>46279</v>
      </c>
      <c r="HV303" s="56"/>
      <c r="HW303" s="242">
        <f>SUMPRODUCT(PRODUCE!$B302:$DY302,PRODUCE!$EB$32:$IY$32)</f>
        <v>0</v>
      </c>
      <c r="HX303" s="56"/>
      <c r="HY303" s="242">
        <f t="shared" si="2236"/>
        <v>0</v>
      </c>
      <c r="HZ303" s="242">
        <f t="shared" si="2067"/>
        <v>6120</v>
      </c>
      <c r="IA303" s="56"/>
      <c r="ID303" s="55">
        <f t="shared" si="2068"/>
        <v>46279</v>
      </c>
      <c r="IE303" s="56"/>
      <c r="IF303" s="242">
        <f>SUMPRODUCT(PRODUCE!$B302:$DY302,PRODUCE!$EB$33:$IY$33)</f>
        <v>0</v>
      </c>
      <c r="IG303" s="56"/>
      <c r="IH303" s="242">
        <f t="shared" si="2069"/>
        <v>0</v>
      </c>
      <c r="II303" s="242">
        <f t="shared" si="2070"/>
        <v>0</v>
      </c>
      <c r="IJ303" s="56"/>
      <c r="IM303" s="55">
        <f t="shared" si="2071"/>
        <v>46279</v>
      </c>
      <c r="IN303" s="56"/>
      <c r="IO303" s="242">
        <f>SUMPRODUCT(PRODUCE!$B302:$DY302,PRODUCE!$EB$34:$IY$34)</f>
        <v>0</v>
      </c>
      <c r="IP303" s="56"/>
      <c r="IQ303" s="242">
        <f t="shared" si="2072"/>
        <v>0</v>
      </c>
      <c r="IR303" s="242">
        <f t="shared" si="2073"/>
        <v>0</v>
      </c>
      <c r="IS303" s="56"/>
      <c r="IV303" s="55">
        <f t="shared" si="2074"/>
        <v>46279</v>
      </c>
      <c r="IW303" s="56"/>
      <c r="IX303" s="242">
        <f>SUMPRODUCT(PRODUCE!$B302:$DY302,PRODUCE!$EB$35:$IY$35)</f>
        <v>0</v>
      </c>
      <c r="IY303" s="56"/>
      <c r="IZ303" s="242">
        <f t="shared" si="2075"/>
        <v>0</v>
      </c>
      <c r="JA303" s="242">
        <f t="shared" si="2076"/>
        <v>2820</v>
      </c>
      <c r="JB303" s="56"/>
      <c r="JE303" s="55">
        <f t="shared" si="2077"/>
        <v>46279</v>
      </c>
      <c r="JF303" s="56"/>
      <c r="JG303" s="242">
        <f>SUMPRODUCT(PRODUCE!$B302:$DY302,PRODUCE!$EB$36:$IY$36)</f>
        <v>0</v>
      </c>
      <c r="JH303" s="56"/>
      <c r="JI303" s="242">
        <f t="shared" si="2078"/>
        <v>0</v>
      </c>
      <c r="JJ303" s="242">
        <f t="shared" si="2079"/>
        <v>0</v>
      </c>
      <c r="JK303" s="56"/>
      <c r="JN303" s="55">
        <f t="shared" si="2080"/>
        <v>46279</v>
      </c>
      <c r="JO303" s="56"/>
      <c r="JP303" s="242">
        <f>SUMPRODUCT(PRODUCE!$B302:$DY302,PRODUCE!$EB$37:$IY$37)</f>
        <v>0</v>
      </c>
      <c r="JQ303" s="56"/>
      <c r="JR303" s="242">
        <f t="shared" si="2081"/>
        <v>0</v>
      </c>
      <c r="JS303" s="242">
        <f t="shared" si="2082"/>
        <v>0</v>
      </c>
      <c r="JT303" s="56"/>
      <c r="JW303" s="55">
        <f t="shared" si="2083"/>
        <v>46279</v>
      </c>
      <c r="JX303" s="56"/>
      <c r="JY303" s="242">
        <f>SUMPRODUCT(PRODUCE!$B302:$DY302,PRODUCE!$EB$38:$IY$38)</f>
        <v>0</v>
      </c>
      <c r="JZ303" s="56"/>
      <c r="KA303" s="242">
        <f t="shared" si="2084"/>
        <v>0</v>
      </c>
      <c r="KB303" s="242">
        <f t="shared" si="2085"/>
        <v>2540</v>
      </c>
      <c r="KC303" s="56"/>
      <c r="KF303" s="55">
        <f t="shared" si="2086"/>
        <v>46279</v>
      </c>
      <c r="KG303" s="56"/>
      <c r="KH303" s="242">
        <f>SUMPRODUCT(PRODUCE!$B302:$DY302,PRODUCE!$EB$39:$IY$39)</f>
        <v>0</v>
      </c>
      <c r="KI303" s="56"/>
      <c r="KJ303" s="242">
        <f t="shared" si="2087"/>
        <v>0</v>
      </c>
      <c r="KK303" s="242">
        <f t="shared" si="2088"/>
        <v>2359.5</v>
      </c>
      <c r="KL303" s="56"/>
      <c r="KO303" s="55">
        <f t="shared" si="2089"/>
        <v>46279</v>
      </c>
      <c r="KP303" s="56"/>
      <c r="KQ303" s="242">
        <f>SUMPRODUCT(PRODUCE!$B302:$DY302,PRODUCE!$EB$40:$IY$40)</f>
        <v>0</v>
      </c>
      <c r="KR303" s="56"/>
      <c r="KS303" s="242">
        <f t="shared" si="2090"/>
        <v>0</v>
      </c>
      <c r="KT303" s="242">
        <f t="shared" si="2091"/>
        <v>1890</v>
      </c>
      <c r="KU303" s="56"/>
      <c r="KW303" s="23"/>
      <c r="KX303" s="55">
        <f t="shared" si="2092"/>
        <v>46279</v>
      </c>
      <c r="KY303" s="56"/>
      <c r="KZ303" s="242">
        <f>SUMPRODUCT(PRODUCE!$B302:$DY302,PRODUCE!$EB$41:$IY$41)</f>
        <v>0</v>
      </c>
      <c r="LA303" s="56"/>
      <c r="LB303" s="242">
        <f t="shared" si="2093"/>
        <v>0</v>
      </c>
      <c r="LC303" s="242">
        <f t="shared" si="2094"/>
        <v>3690</v>
      </c>
      <c r="LD303" s="56"/>
      <c r="LG303" s="55">
        <f t="shared" si="2095"/>
        <v>46279</v>
      </c>
      <c r="LH303" s="56"/>
      <c r="LI303" s="242">
        <f>SUMPRODUCT(PRODUCE!$B302:$DY302,PRODUCE!$EB$42:$IY$42)</f>
        <v>0</v>
      </c>
      <c r="LJ303" s="56"/>
      <c r="LK303" s="242">
        <f t="shared" si="2096"/>
        <v>0</v>
      </c>
      <c r="LL303" s="242">
        <f t="shared" si="2097"/>
        <v>4000</v>
      </c>
      <c r="LM303" s="56"/>
      <c r="LP303" s="55">
        <f t="shared" si="2098"/>
        <v>46279</v>
      </c>
      <c r="LQ303" s="56"/>
      <c r="LR303" s="242">
        <f>SUMPRODUCT(PRODUCE!$B318:$DY318,PRODUCE!$EB$43:$IY$43)</f>
        <v>0</v>
      </c>
      <c r="LS303" s="56"/>
      <c r="LT303" s="242">
        <f t="shared" si="2099"/>
        <v>0</v>
      </c>
      <c r="LU303" s="242">
        <f t="shared" si="2100"/>
        <v>0</v>
      </c>
      <c r="LV303" s="56"/>
      <c r="LY303" s="55">
        <f t="shared" si="2101"/>
        <v>46279</v>
      </c>
      <c r="LZ303" s="56"/>
      <c r="MA303" s="242">
        <f>SUMPRODUCT(PRODUCE!$B302:$DY302,PRODUCE!$EB$44:$IY$44)</f>
        <v>0</v>
      </c>
      <c r="MB303" s="56"/>
      <c r="MC303" s="242">
        <f t="shared" si="2102"/>
        <v>0</v>
      </c>
      <c r="MD303" s="242">
        <f t="shared" si="2103"/>
        <v>0</v>
      </c>
      <c r="ME303" s="56"/>
      <c r="MH303" s="55">
        <f t="shared" si="2104"/>
        <v>46279</v>
      </c>
      <c r="MI303" s="56"/>
      <c r="MJ303" s="242">
        <f>SUMPRODUCT(PRODUCE!$B302:$DY302,PRODUCE!$EB$45:$IY$45)</f>
        <v>0</v>
      </c>
      <c r="MK303" s="56"/>
      <c r="ML303" s="242">
        <f t="shared" si="2105"/>
        <v>0</v>
      </c>
      <c r="MM303" s="242">
        <f t="shared" si="2106"/>
        <v>0</v>
      </c>
      <c r="MN303" s="56"/>
      <c r="MQ303" s="55">
        <f t="shared" si="2107"/>
        <v>46279</v>
      </c>
      <c r="MR303" s="56"/>
      <c r="MS303" s="242">
        <f>SUMPRODUCT(PRODUCE!$B302:$DY302,PRODUCE!$EB$46:$IY$46)</f>
        <v>0</v>
      </c>
      <c r="MT303" s="56"/>
      <c r="MU303" s="242">
        <f t="shared" si="2108"/>
        <v>0</v>
      </c>
      <c r="MV303" s="242">
        <f t="shared" si="2109"/>
        <v>1625</v>
      </c>
      <c r="MW303" s="56"/>
      <c r="MZ303" s="55">
        <f t="shared" si="2110"/>
        <v>46279</v>
      </c>
      <c r="NA303" s="56"/>
      <c r="NB303" s="242">
        <f>SUMPRODUCT(PRODUCE!$B302:$DY302,PRODUCE!$EB$47:$IY$47)</f>
        <v>0</v>
      </c>
      <c r="NC303" s="56"/>
      <c r="ND303" s="242">
        <f t="shared" si="2111"/>
        <v>0</v>
      </c>
      <c r="NE303" s="242">
        <f t="shared" si="2112"/>
        <v>0</v>
      </c>
      <c r="NF303" s="56"/>
      <c r="NI303" s="55">
        <f t="shared" si="2113"/>
        <v>46279</v>
      </c>
      <c r="NJ303" s="56"/>
      <c r="NK303" s="242">
        <f>SUMPRODUCT(PRODUCE!$B302:$DY302,PRODUCE!$EB$48:$IY$48)</f>
        <v>0</v>
      </c>
      <c r="NL303" s="56"/>
      <c r="NM303" s="242">
        <f t="shared" si="2114"/>
        <v>0</v>
      </c>
      <c r="NN303" s="242">
        <f t="shared" si="2115"/>
        <v>1127</v>
      </c>
      <c r="NO303" s="56"/>
      <c r="NR303" s="55">
        <f t="shared" si="2116"/>
        <v>46279</v>
      </c>
      <c r="NS303" s="56"/>
      <c r="NT303" s="242">
        <f>SUMPRODUCT(PRODUCE!$B302:$DY302,PRODUCE!$EB$49:$IY$49)</f>
        <v>0</v>
      </c>
      <c r="NU303" s="56"/>
      <c r="NV303" s="242">
        <f t="shared" si="2117"/>
        <v>0</v>
      </c>
      <c r="NW303" s="242">
        <f t="shared" si="2118"/>
        <v>3111.9999999999995</v>
      </c>
      <c r="NX303" s="56"/>
      <c r="OA303" s="55">
        <f t="shared" si="2119"/>
        <v>46279</v>
      </c>
      <c r="OB303" s="56"/>
      <c r="OC303" s="242">
        <f>SUMPRODUCT(PRODUCE!$B302:$DY302,PRODUCE!$EB$50:$IY$50)</f>
        <v>0</v>
      </c>
      <c r="OD303" s="56"/>
      <c r="OE303" s="242">
        <f t="shared" si="2120"/>
        <v>0</v>
      </c>
      <c r="OF303" s="242">
        <f t="shared" si="2121"/>
        <v>1680.5</v>
      </c>
      <c r="OG303" s="56"/>
      <c r="OJ303" s="55">
        <f t="shared" si="2122"/>
        <v>46279</v>
      </c>
      <c r="OK303" s="56"/>
      <c r="OL303" s="242">
        <f>SUMPRODUCT(PRODUCE!$B302:$DY302,PRODUCE!$EB$51:$IY$51)</f>
        <v>0</v>
      </c>
      <c r="OM303" s="56"/>
      <c r="ON303" s="242">
        <f t="shared" si="2123"/>
        <v>0</v>
      </c>
      <c r="OO303" s="242">
        <f t="shared" si="2124"/>
        <v>0</v>
      </c>
      <c r="OP303" s="56"/>
      <c r="OS303" s="55">
        <f t="shared" si="2125"/>
        <v>46279</v>
      </c>
      <c r="OT303" s="56"/>
      <c r="OU303" s="242">
        <f>SUMPRODUCT(PRODUCE!$B302:$DY302,PRODUCE!$EB$52:$IY$52)</f>
        <v>0</v>
      </c>
      <c r="OV303" s="56"/>
      <c r="OW303" s="242">
        <f t="shared" si="2126"/>
        <v>0</v>
      </c>
      <c r="OX303" s="242">
        <f t="shared" si="2127"/>
        <v>1482</v>
      </c>
      <c r="OY303" s="56"/>
      <c r="PB303" s="55">
        <f t="shared" si="2128"/>
        <v>46279</v>
      </c>
      <c r="PC303" s="56"/>
      <c r="PD303" s="242">
        <f>SUMPRODUCT(PRODUCE!$B302:$DY302,PRODUCE!$EB$53:$IY$53)</f>
        <v>0</v>
      </c>
      <c r="PE303" s="56"/>
      <c r="PF303" s="242">
        <f t="shared" si="2129"/>
        <v>0</v>
      </c>
      <c r="PG303" s="242">
        <f t="shared" si="2130"/>
        <v>0</v>
      </c>
      <c r="PH303" s="56"/>
      <c r="PK303" s="55">
        <f t="shared" si="2131"/>
        <v>46279</v>
      </c>
      <c r="PL303" s="56"/>
      <c r="PM303" s="242">
        <f>SUMPRODUCT(PRODUCE!$B302:$DY302,PRODUCE!$EB$54:$IY$54)</f>
        <v>0</v>
      </c>
      <c r="PN303" s="56"/>
      <c r="PO303" s="242">
        <f t="shared" si="2132"/>
        <v>0</v>
      </c>
      <c r="PP303" s="242">
        <f t="shared" si="2133"/>
        <v>100</v>
      </c>
      <c r="PQ303" s="56"/>
      <c r="PT303" s="55">
        <f t="shared" si="2134"/>
        <v>46279</v>
      </c>
      <c r="PU303" s="56"/>
      <c r="PV303" s="242">
        <f>SUMPRODUCT(PRODUCE!$B302:$DY302,PRODUCE!$EB$55:$IY$55)</f>
        <v>0</v>
      </c>
      <c r="PW303" s="56"/>
      <c r="PX303" s="242">
        <f t="shared" si="2135"/>
        <v>0</v>
      </c>
      <c r="PY303" s="242">
        <f t="shared" si="2136"/>
        <v>13.960000000000036</v>
      </c>
      <c r="PZ303" s="56"/>
      <c r="QC303" s="55">
        <f t="shared" si="2137"/>
        <v>46279</v>
      </c>
      <c r="QD303" s="56"/>
      <c r="QE303" s="242">
        <f>SUMPRODUCT(PRODUCE!$B302:$DY302,PRODUCE!$EB$56:$IY$56)</f>
        <v>0</v>
      </c>
      <c r="QF303" s="56"/>
      <c r="QG303" s="242">
        <f t="shared" si="2138"/>
        <v>0</v>
      </c>
      <c r="QH303" s="242">
        <f t="shared" si="2139"/>
        <v>548</v>
      </c>
      <c r="QI303" s="56"/>
      <c r="QL303" s="55">
        <f t="shared" si="2140"/>
        <v>46279</v>
      </c>
      <c r="QM303" s="56"/>
      <c r="QN303" s="242">
        <f>SUMPRODUCT(PRODUCE!$B302:$DY302,PRODUCE!$EB$57:$IY$57)</f>
        <v>0</v>
      </c>
      <c r="QO303" s="56"/>
      <c r="QP303" s="242">
        <f t="shared" si="2141"/>
        <v>0</v>
      </c>
      <c r="QQ303" s="242">
        <f t="shared" si="2142"/>
        <v>0</v>
      </c>
      <c r="QR303" s="56"/>
      <c r="QU303" s="55">
        <f t="shared" si="2143"/>
        <v>46279</v>
      </c>
      <c r="QV303" s="56"/>
      <c r="QW303" s="242">
        <f>SUMPRODUCT(PRODUCE!$B302:$DY302,PRODUCE!$EB$57:$IY$57)</f>
        <v>0</v>
      </c>
      <c r="QX303" s="56"/>
      <c r="QY303" s="242">
        <f t="shared" si="2144"/>
        <v>0</v>
      </c>
      <c r="QZ303" s="242">
        <f t="shared" si="2145"/>
        <v>0</v>
      </c>
      <c r="RA303" s="56"/>
      <c r="RD303" s="55">
        <f t="shared" si="2146"/>
        <v>46279</v>
      </c>
      <c r="RE303" s="56"/>
      <c r="RF303" s="242">
        <f>SUMPRODUCT(PRODUCE!$B302:$DY302,PRODUCE!$EB$58:$IY$58)</f>
        <v>0</v>
      </c>
      <c r="RG303" s="56"/>
      <c r="RH303" s="242">
        <f t="shared" si="2147"/>
        <v>0</v>
      </c>
      <c r="RI303" s="242">
        <f t="shared" si="2148"/>
        <v>147.04000000000002</v>
      </c>
      <c r="RJ303" s="56"/>
      <c r="RM303" s="55">
        <f t="shared" si="2149"/>
        <v>46279</v>
      </c>
      <c r="RN303" s="56"/>
      <c r="RO303" s="242">
        <f>SUMPRODUCT(PRODUCE!$B302:$DY302,PRODUCE!$EB$59:$IY$59)</f>
        <v>0</v>
      </c>
      <c r="RP303" s="56"/>
      <c r="RQ303" s="242">
        <f t="shared" si="2150"/>
        <v>0</v>
      </c>
      <c r="RR303" s="242">
        <f t="shared" si="2151"/>
        <v>46.8</v>
      </c>
      <c r="RS303" s="56"/>
      <c r="RV303" s="55">
        <f t="shared" si="2152"/>
        <v>46279</v>
      </c>
      <c r="RW303" s="56"/>
      <c r="RX303" s="242">
        <f>SUMPRODUCT(PRODUCE!$B302:$DY302,PRODUCE!$EB$57:$IY$57)</f>
        <v>0</v>
      </c>
      <c r="RY303" s="56"/>
      <c r="RZ303" s="242">
        <f t="shared" si="2153"/>
        <v>0</v>
      </c>
      <c r="SA303" s="242">
        <f t="shared" si="2154"/>
        <v>0</v>
      </c>
      <c r="SB303" s="56"/>
      <c r="SE303" s="55">
        <f t="shared" si="2155"/>
        <v>46279</v>
      </c>
      <c r="SF303" s="56"/>
      <c r="SG303" s="242">
        <f>SUMPRODUCT(PRODUCE!$B302:$DY302,PRODUCE!$EB$61:$IY$61)</f>
        <v>0</v>
      </c>
      <c r="SH303" s="56"/>
      <c r="SI303" s="242">
        <f t="shared" si="2156"/>
        <v>0</v>
      </c>
      <c r="SJ303" s="242">
        <f t="shared" si="2157"/>
        <v>24.200000000000003</v>
      </c>
      <c r="SK303" s="56"/>
      <c r="SN303" s="55">
        <f t="shared" si="2158"/>
        <v>46279</v>
      </c>
      <c r="SO303" s="56"/>
      <c r="SP303" s="242">
        <f>SUMPRODUCT(PRODUCE!$B302:$DY302,PRODUCE!$EB$57:$IY$57)</f>
        <v>0</v>
      </c>
      <c r="SQ303" s="56"/>
      <c r="SR303" s="242">
        <f t="shared" si="2159"/>
        <v>0</v>
      </c>
      <c r="SS303" s="242">
        <f t="shared" si="2160"/>
        <v>32</v>
      </c>
      <c r="ST303" s="56"/>
      <c r="SW303" s="55">
        <f t="shared" si="2161"/>
        <v>46279</v>
      </c>
      <c r="SX303" s="56"/>
      <c r="SY303" s="242">
        <f>SUMPRODUCT(PRODUCE!$B302:$DY302,PRODUCE!$EB$57:$IY$57)</f>
        <v>0</v>
      </c>
      <c r="SZ303" s="56"/>
      <c r="TA303" s="242">
        <f t="shared" si="2162"/>
        <v>0</v>
      </c>
      <c r="TB303" s="242">
        <f t="shared" si="2163"/>
        <v>0</v>
      </c>
      <c r="TC303" s="56"/>
      <c r="TF303" s="55">
        <f t="shared" si="2164"/>
        <v>46279</v>
      </c>
      <c r="TG303" s="56"/>
      <c r="TH303" s="242">
        <f>SUMPRODUCT(PRODUCE!$B302:$DY302,PRODUCE!$EB$57:$IY$57)</f>
        <v>0</v>
      </c>
      <c r="TI303" s="56"/>
      <c r="TJ303" s="242">
        <f t="shared" si="2165"/>
        <v>0</v>
      </c>
      <c r="TK303" s="242">
        <f t="shared" si="2166"/>
        <v>0</v>
      </c>
      <c r="TL303" s="56"/>
      <c r="TO303" s="55">
        <f t="shared" si="2167"/>
        <v>46279</v>
      </c>
      <c r="TP303" s="56"/>
      <c r="TQ303" s="242">
        <f>SUMPRODUCT(PRODUCE!$B302:$DY302,PRODUCE!$EB$57:$IY$57)</f>
        <v>0</v>
      </c>
      <c r="TR303" s="56"/>
      <c r="TS303" s="242">
        <f t="shared" si="2168"/>
        <v>0</v>
      </c>
      <c r="TT303" s="242">
        <f t="shared" si="2169"/>
        <v>0</v>
      </c>
      <c r="TU303" s="56"/>
      <c r="TX303" s="55">
        <f t="shared" si="2170"/>
        <v>46279</v>
      </c>
      <c r="TY303" s="56"/>
      <c r="TZ303" s="242">
        <f>SUMPRODUCT(PRODUCE!$B302:$DY302,PRODUCE!$EB$57:$IY$57)</f>
        <v>0</v>
      </c>
      <c r="UA303" s="56"/>
      <c r="UB303" s="242">
        <f t="shared" si="2171"/>
        <v>0</v>
      </c>
      <c r="UC303" s="242">
        <f t="shared" si="2172"/>
        <v>46.799999999999983</v>
      </c>
      <c r="UD303" s="56"/>
      <c r="UG303" s="55">
        <f t="shared" si="2173"/>
        <v>46279</v>
      </c>
      <c r="UH303" s="56"/>
      <c r="UI303" s="242">
        <f>SUMPRODUCT(PRODUCE!$B302:$DY302,PRODUCE!$EB$57:$IY$57)</f>
        <v>0</v>
      </c>
      <c r="UJ303" s="56"/>
      <c r="UK303" s="242">
        <f t="shared" si="2174"/>
        <v>0</v>
      </c>
      <c r="UL303" s="242">
        <f t="shared" si="2175"/>
        <v>204</v>
      </c>
      <c r="UM303" s="56"/>
      <c r="UP303" s="55">
        <f t="shared" si="2176"/>
        <v>46279</v>
      </c>
      <c r="UQ303" s="56"/>
      <c r="UR303" s="242">
        <f>SUMPRODUCT(PRODUCE!$B302:$DY302,PRODUCE!$EB$57:$IY$57)</f>
        <v>0</v>
      </c>
      <c r="US303" s="56"/>
      <c r="UT303" s="242">
        <f t="shared" si="2177"/>
        <v>0</v>
      </c>
      <c r="UU303" s="242">
        <f t="shared" si="2178"/>
        <v>202.5</v>
      </c>
      <c r="UV303" s="56"/>
      <c r="UY303" s="55">
        <f t="shared" si="2179"/>
        <v>46279</v>
      </c>
      <c r="UZ303" s="56"/>
      <c r="VA303" s="242">
        <f>SUMPRODUCT(PRODUCE!$B302:$DY302,PRODUCE!$EB$57:$IY$57)</f>
        <v>0</v>
      </c>
      <c r="VB303" s="56"/>
      <c r="VC303" s="242">
        <f t="shared" si="2180"/>
        <v>0</v>
      </c>
      <c r="VD303" s="242">
        <f t="shared" si="2181"/>
        <v>41.600000000000023</v>
      </c>
      <c r="VE303" s="56"/>
      <c r="VH303" s="55">
        <f t="shared" si="2182"/>
        <v>46279</v>
      </c>
      <c r="VI303" s="56"/>
      <c r="VJ303" s="242">
        <f>SUMPRODUCT(PRODUCE!$B302:$DY302,PRODUCE!$EB$57:$IY$57)</f>
        <v>0</v>
      </c>
      <c r="VK303" s="56"/>
      <c r="VL303" s="242">
        <f t="shared" si="2183"/>
        <v>0</v>
      </c>
      <c r="VM303" s="242">
        <f t="shared" si="2184"/>
        <v>210</v>
      </c>
      <c r="VN303" s="56"/>
      <c r="VQ303" s="55">
        <f t="shared" si="2185"/>
        <v>46279</v>
      </c>
      <c r="VR303" s="56"/>
      <c r="VS303" s="242">
        <f>SUMPRODUCT(PRODUCE!$B302:$DY302,PRODUCE!$EB$57:$IY$57)</f>
        <v>0</v>
      </c>
      <c r="VT303" s="56"/>
      <c r="VU303" s="242">
        <f t="shared" si="2186"/>
        <v>0</v>
      </c>
      <c r="VV303" s="242">
        <f t="shared" si="2187"/>
        <v>0</v>
      </c>
      <c r="VW303" s="56"/>
      <c r="VZ303" s="55">
        <f t="shared" si="2188"/>
        <v>46279</v>
      </c>
      <c r="WA303" s="56"/>
      <c r="WB303" s="242">
        <f>SUMPRODUCT(PRODUCE!$B302:$DY302,PRODUCE!$EB$57:$IY$57)</f>
        <v>0</v>
      </c>
      <c r="WC303" s="56"/>
      <c r="WD303" s="242">
        <f t="shared" si="2189"/>
        <v>0</v>
      </c>
      <c r="WE303" s="242">
        <f t="shared" si="2190"/>
        <v>0</v>
      </c>
      <c r="WF303" s="56"/>
      <c r="WI303" s="55">
        <f t="shared" si="2191"/>
        <v>46279</v>
      </c>
      <c r="WJ303" s="56"/>
      <c r="WK303" s="242">
        <f>SUMPRODUCT(PRODUCE!$B302:$DY302,PRODUCE!$EB$57:$IY$57)</f>
        <v>0</v>
      </c>
      <c r="WL303" s="56"/>
      <c r="WM303" s="242">
        <f t="shared" si="2192"/>
        <v>0</v>
      </c>
      <c r="WN303" s="242">
        <f t="shared" si="2193"/>
        <v>1057</v>
      </c>
      <c r="WO303" s="56"/>
      <c r="WR303" s="55">
        <f t="shared" si="2194"/>
        <v>46279</v>
      </c>
      <c r="WS303" s="56"/>
      <c r="WT303" s="242">
        <f>SUMPRODUCT(PRODUCE!$B302:$DY302,PRODUCE!$EB$57:$IY$57)</f>
        <v>0</v>
      </c>
      <c r="WU303" s="56"/>
      <c r="WV303" s="242">
        <f t="shared" si="2195"/>
        <v>0</v>
      </c>
      <c r="WW303" s="242">
        <f t="shared" si="2196"/>
        <v>0</v>
      </c>
      <c r="WX303" s="56"/>
      <c r="XA303" s="55">
        <f t="shared" si="2197"/>
        <v>46279</v>
      </c>
      <c r="XB303" s="56"/>
      <c r="XC303" s="242">
        <f>SUMPRODUCT(PRODUCE!$B302:$DY302,PRODUCE!$EB$57:$IY$57)</f>
        <v>0</v>
      </c>
      <c r="XD303" s="56"/>
      <c r="XE303" s="242">
        <f t="shared" si="2198"/>
        <v>0</v>
      </c>
      <c r="XF303" s="242">
        <f t="shared" si="2199"/>
        <v>7507</v>
      </c>
      <c r="XG303" s="56"/>
      <c r="XJ303" s="55">
        <f t="shared" si="2200"/>
        <v>46279</v>
      </c>
      <c r="XK303" s="56"/>
      <c r="XL303" s="242">
        <f>SUMPRODUCT(PRODUCE!$B302:$DY302,PRODUCE!$EB$57:$IY$57)</f>
        <v>0</v>
      </c>
      <c r="XM303" s="56"/>
      <c r="XN303" s="242">
        <f t="shared" si="2201"/>
        <v>0</v>
      </c>
      <c r="XO303" s="242">
        <f t="shared" si="2202"/>
        <v>4252</v>
      </c>
      <c r="XP303" s="56"/>
      <c r="XS303" s="55">
        <f t="shared" si="2203"/>
        <v>46279</v>
      </c>
      <c r="XT303" s="56"/>
      <c r="XU303" s="242">
        <f>SUMPRODUCT(PRODUCE!$B302:$DY302,PRODUCE!$EB$57:$IY$57)</f>
        <v>0</v>
      </c>
      <c r="XV303" s="56"/>
      <c r="XW303" s="242">
        <f t="shared" si="2204"/>
        <v>0</v>
      </c>
      <c r="XX303" s="242">
        <f t="shared" si="2205"/>
        <v>2179</v>
      </c>
      <c r="XY303" s="56"/>
      <c r="YB303" s="55">
        <f t="shared" si="2206"/>
        <v>46279</v>
      </c>
      <c r="YC303" s="56"/>
      <c r="YD303" s="242">
        <f>SUMPRODUCT(PRODUCE!$B302:$DY302,PRODUCE!$EB$57:$IY$57)</f>
        <v>0</v>
      </c>
      <c r="YE303" s="56"/>
      <c r="YF303" s="242">
        <f t="shared" si="2207"/>
        <v>0</v>
      </c>
      <c r="YG303" s="242">
        <f t="shared" si="2208"/>
        <v>4019</v>
      </c>
      <c r="YH303" s="56"/>
      <c r="YK303" s="55">
        <f t="shared" si="2209"/>
        <v>46279</v>
      </c>
      <c r="YL303" s="56"/>
      <c r="YM303" s="242">
        <f>SUMPRODUCT(PRODUCE!$B302:$DY302,PRODUCE!$EB$57:$IY$57)</f>
        <v>0</v>
      </c>
      <c r="YN303" s="56"/>
      <c r="YO303" s="242">
        <f t="shared" si="2210"/>
        <v>0</v>
      </c>
      <c r="YP303" s="242">
        <f t="shared" si="2211"/>
        <v>-218</v>
      </c>
      <c r="YQ303" s="56"/>
      <c r="YT303" s="55">
        <f t="shared" si="2212"/>
        <v>46279</v>
      </c>
      <c r="YU303" s="56"/>
      <c r="YV303" s="242">
        <f>SUMPRODUCT(PRODUCE!$B302:$DY302,PRODUCE!$EB$57:$IY$57)</f>
        <v>0</v>
      </c>
      <c r="YW303" s="56"/>
      <c r="YX303" s="242">
        <f t="shared" si="2213"/>
        <v>0</v>
      </c>
      <c r="YY303" s="242">
        <f t="shared" si="2214"/>
        <v>0</v>
      </c>
      <c r="YZ303" s="56"/>
      <c r="ZC303" s="55">
        <f t="shared" si="2215"/>
        <v>46279</v>
      </c>
      <c r="ZD303" s="56"/>
      <c r="ZE303" s="242">
        <f>SUMPRODUCT(PRODUCE!$B302:$DY302,PRODUCE!$EB$57:$IY$57)</f>
        <v>0</v>
      </c>
      <c r="ZF303" s="56"/>
      <c r="ZG303" s="242">
        <f t="shared" si="2216"/>
        <v>0</v>
      </c>
      <c r="ZH303" s="242">
        <f t="shared" si="2217"/>
        <v>0</v>
      </c>
      <c r="ZI303" s="56"/>
      <c r="ZL303" s="55">
        <f t="shared" si="2218"/>
        <v>46279</v>
      </c>
      <c r="ZM303" s="56"/>
      <c r="ZN303" s="242">
        <f>SUMPRODUCT(PRODUCE!$B302:$DY302,PRODUCE!$EB$57:$IY$57)</f>
        <v>0</v>
      </c>
      <c r="ZO303" s="56"/>
      <c r="ZP303" s="242">
        <f t="shared" si="2219"/>
        <v>0</v>
      </c>
      <c r="ZQ303" s="242">
        <f t="shared" si="2220"/>
        <v>0</v>
      </c>
      <c r="ZR303" s="56"/>
      <c r="ZU303" s="55">
        <f t="shared" si="2221"/>
        <v>46279</v>
      </c>
      <c r="ZV303" s="56"/>
      <c r="ZW303" s="242">
        <f>SUMPRODUCT(PRODUCE!$B302:$DY302,PRODUCE!$EB$57:$IY$57)</f>
        <v>0</v>
      </c>
      <c r="ZX303" s="56"/>
      <c r="ZY303" s="242">
        <f t="shared" si="2222"/>
        <v>0</v>
      </c>
      <c r="ZZ303" s="242">
        <f t="shared" si="2223"/>
        <v>0</v>
      </c>
      <c r="AAA303" s="56"/>
      <c r="AAD303" s="55">
        <f t="shared" si="2224"/>
        <v>46279</v>
      </c>
      <c r="AAE303" s="56"/>
      <c r="AAF303" s="242">
        <f>SUMPRODUCT(PRODUCE!$B302:$DY302,PRODUCE!$EB$57:$IY$57)</f>
        <v>0</v>
      </c>
      <c r="AAG303" s="56"/>
      <c r="AAH303" s="242">
        <f t="shared" si="2225"/>
        <v>0</v>
      </c>
      <c r="AAI303" s="242">
        <f t="shared" si="2226"/>
        <v>0</v>
      </c>
      <c r="AAJ303" s="56"/>
      <c r="AAM303" s="55">
        <f t="shared" si="2227"/>
        <v>46279</v>
      </c>
      <c r="AAN303" s="56"/>
      <c r="AAO303" s="242">
        <f>SUMPRODUCT(PRODUCE!$B302:$DY302,PRODUCE!$EB$57:$IY$57)</f>
        <v>0</v>
      </c>
      <c r="AAP303" s="56"/>
      <c r="AAQ303" s="242">
        <f t="shared" si="2228"/>
        <v>0</v>
      </c>
      <c r="AAR303" s="242">
        <f t="shared" si="2229"/>
        <v>0</v>
      </c>
      <c r="AAS303" s="56"/>
      <c r="AAV303" s="55">
        <f t="shared" si="2230"/>
        <v>46279</v>
      </c>
      <c r="AAW303" s="56"/>
      <c r="AAX303" s="242">
        <f>SUMPRODUCT(PRODUCE!$B302:$DY302,PRODUCE!$EB$57:$IY$57)</f>
        <v>0</v>
      </c>
      <c r="AAY303" s="56"/>
      <c r="AAZ303" s="242">
        <f t="shared" si="2231"/>
        <v>0</v>
      </c>
      <c r="ABA303" s="242">
        <f t="shared" si="2232"/>
        <v>0</v>
      </c>
      <c r="ABB303" s="56"/>
      <c r="ABE303" s="55">
        <f t="shared" si="2233"/>
        <v>46279</v>
      </c>
      <c r="ABF303" s="56"/>
      <c r="ABG303" s="242">
        <f>SUMPRODUCT(PRODUCE!$B302:$DY302,PRODUCE!$EB$57:$IY$57)</f>
        <v>0</v>
      </c>
      <c r="ABH303" s="56"/>
      <c r="ABI303" s="242">
        <f t="shared" si="2234"/>
        <v>0</v>
      </c>
      <c r="ABJ303" s="242">
        <f t="shared" si="2235"/>
        <v>0</v>
      </c>
      <c r="ABK303" s="56"/>
    </row>
    <row r="304" spans="2:739" s="54" customFormat="1" ht="15" customHeight="1" outlineLevel="1">
      <c r="B304" s="478"/>
      <c r="C304" s="55">
        <v>46280</v>
      </c>
      <c r="D304" s="56"/>
      <c r="E304" s="57">
        <f>SUMPRODUCT(PRODUCE!$B303:$DY303,PRODUCE!$EB$7:$IY$7)</f>
        <v>0</v>
      </c>
      <c r="F304" s="56"/>
      <c r="G304" s="57">
        <f t="shared" si="1992"/>
        <v>0</v>
      </c>
      <c r="H304" s="57">
        <f t="shared" si="1993"/>
        <v>236936.6</v>
      </c>
      <c r="I304" s="289"/>
      <c r="L304" s="55">
        <f t="shared" si="1994"/>
        <v>46280</v>
      </c>
      <c r="M304" s="56"/>
      <c r="N304" s="59">
        <f>SUMPRODUCT(PRODUCE!$B303:$DY303,PRODUCE!$EB$8:$IY$8)</f>
        <v>0</v>
      </c>
      <c r="O304" s="56"/>
      <c r="P304" s="59">
        <f t="shared" si="1995"/>
        <v>0</v>
      </c>
      <c r="Q304" s="59">
        <f t="shared" si="1996"/>
        <v>53017.600000000071</v>
      </c>
      <c r="R304" s="56"/>
      <c r="U304" s="55">
        <f t="shared" si="1997"/>
        <v>46280</v>
      </c>
      <c r="V304" s="56"/>
      <c r="W304" s="60">
        <f>SUMPRODUCT(PRODUCE!$B303:$DY303,PRODUCE!$EB$9:$IY$9)</f>
        <v>0</v>
      </c>
      <c r="X304" s="56"/>
      <c r="Y304" s="60">
        <f t="shared" si="1998"/>
        <v>0</v>
      </c>
      <c r="Z304" s="60">
        <f t="shared" si="1999"/>
        <v>42674.199999999968</v>
      </c>
      <c r="AA304" s="56"/>
      <c r="AD304" s="55">
        <f t="shared" si="2000"/>
        <v>46280</v>
      </c>
      <c r="AE304" s="56"/>
      <c r="AF304" s="61">
        <f>SUMPRODUCT(PRODUCE!$B303:$DY303,PRODUCE!$EB$10:$IY$10)</f>
        <v>0</v>
      </c>
      <c r="AG304" s="56"/>
      <c r="AH304" s="61">
        <f t="shared" si="2001"/>
        <v>0</v>
      </c>
      <c r="AI304" s="61">
        <f t="shared" si="2002"/>
        <v>4522.2000000000189</v>
      </c>
      <c r="AJ304" s="56"/>
      <c r="AM304" s="55">
        <f t="shared" si="2003"/>
        <v>46280</v>
      </c>
      <c r="AN304" s="422"/>
      <c r="AO304" s="444">
        <f>SUMPRODUCT(PRODUCE!$B303:$DY303,PRODUCE!$EB$11:$IY$11)</f>
        <v>0</v>
      </c>
      <c r="AP304" s="422"/>
      <c r="AQ304" s="444">
        <f t="shared" si="2004"/>
        <v>0</v>
      </c>
      <c r="AR304" s="444">
        <f t="shared" si="2005"/>
        <v>0</v>
      </c>
      <c r="AS304" s="56"/>
      <c r="AV304" s="55">
        <f t="shared" si="2006"/>
        <v>46280</v>
      </c>
      <c r="AW304" s="56"/>
      <c r="AX304" s="62">
        <f>SUMPRODUCT(PRODUCE!$B303:$DY303,PRODUCE!$EB$12:$IY$12)</f>
        <v>0</v>
      </c>
      <c r="AY304" s="56"/>
      <c r="AZ304" s="62">
        <f t="shared" si="2007"/>
        <v>0</v>
      </c>
      <c r="BA304" s="62">
        <f t="shared" si="2008"/>
        <v>124.99999999999523</v>
      </c>
      <c r="BB304" s="56"/>
      <c r="BE304" s="55">
        <f t="shared" si="2009"/>
        <v>46280</v>
      </c>
      <c r="BF304" s="56"/>
      <c r="BG304" s="63">
        <f>SUMPRODUCT(PRODUCE!$B303:$DY303,PRODUCE!$EB$13:$IY$13)</f>
        <v>0</v>
      </c>
      <c r="BH304" s="56"/>
      <c r="BI304" s="63">
        <f t="shared" si="2010"/>
        <v>0</v>
      </c>
      <c r="BJ304" s="63">
        <f t="shared" si="2011"/>
        <v>26151.899999999998</v>
      </c>
      <c r="BK304" s="56"/>
      <c r="BN304" s="55">
        <f t="shared" si="2012"/>
        <v>46280</v>
      </c>
      <c r="BO304" s="56"/>
      <c r="BP304" s="64">
        <f>SUMPRODUCT(PRODUCE!$B303:$DY303,PRODUCE!$EB$14:$IY$14)</f>
        <v>0</v>
      </c>
      <c r="BQ304" s="56"/>
      <c r="BR304" s="64">
        <f t="shared" si="2013"/>
        <v>0</v>
      </c>
      <c r="BS304" s="64">
        <f t="shared" si="2014"/>
        <v>0</v>
      </c>
      <c r="BT304" s="56"/>
      <c r="BW304" s="55">
        <f t="shared" si="2015"/>
        <v>46280</v>
      </c>
      <c r="BX304" s="56"/>
      <c r="BY304" s="65">
        <f>SUMPRODUCT(PRODUCE!$B303:$DY303,PRODUCE!$EB$15:$IY$15)</f>
        <v>0</v>
      </c>
      <c r="BZ304" s="56"/>
      <c r="CA304" s="65">
        <f t="shared" si="2016"/>
        <v>0</v>
      </c>
      <c r="CB304" s="65">
        <f t="shared" si="2017"/>
        <v>2097.3399999999992</v>
      </c>
      <c r="CC304" s="56"/>
      <c r="CF304" s="55">
        <f t="shared" si="2018"/>
        <v>46280</v>
      </c>
      <c r="CG304" s="56"/>
      <c r="CH304" s="66">
        <f>SUMPRODUCT(PRODUCE!$B303:$DY303,PRODUCE!$EB$16:$IY$16)</f>
        <v>0</v>
      </c>
      <c r="CI304" s="56"/>
      <c r="CJ304" s="66">
        <f t="shared" si="2019"/>
        <v>0</v>
      </c>
      <c r="CK304" s="66">
        <f t="shared" si="2020"/>
        <v>-10277.079999999998</v>
      </c>
      <c r="CL304" s="56"/>
      <c r="CO304" s="55">
        <f t="shared" si="2021"/>
        <v>46280</v>
      </c>
      <c r="CP304" s="422"/>
      <c r="CQ304" s="470">
        <f>SUMPRODUCT(PRODUCE!$B303:$DY303,PRODUCE!$EB$17:$IY$17)</f>
        <v>0</v>
      </c>
      <c r="CR304" s="422"/>
      <c r="CS304" s="470">
        <f t="shared" si="2022"/>
        <v>0</v>
      </c>
      <c r="CT304" s="470">
        <f t="shared" si="2023"/>
        <v>0</v>
      </c>
      <c r="CU304" s="56"/>
      <c r="CX304" s="55">
        <f t="shared" si="2024"/>
        <v>46280</v>
      </c>
      <c r="CY304" s="56"/>
      <c r="CZ304" s="133">
        <f>SUMPRODUCT(PRODUCE!$B303:$DY303,PRODUCE!$EB$18:$IY$18)</f>
        <v>0</v>
      </c>
      <c r="DA304" s="56"/>
      <c r="DB304" s="133">
        <f t="shared" si="2025"/>
        <v>0</v>
      </c>
      <c r="DC304" s="133">
        <f t="shared" si="2026"/>
        <v>27438.200000000012</v>
      </c>
      <c r="DD304" s="56"/>
      <c r="DG304" s="55">
        <f t="shared" si="2027"/>
        <v>46280</v>
      </c>
      <c r="DH304" s="56"/>
      <c r="DI304" s="147">
        <f>SUMPRODUCT(PRODUCE!$B303:$DY303,PRODUCE!$EB$19:$IY$19)</f>
        <v>0</v>
      </c>
      <c r="DJ304" s="56"/>
      <c r="DK304" s="147">
        <f t="shared" si="2028"/>
        <v>0</v>
      </c>
      <c r="DL304" s="147">
        <f t="shared" si="2029"/>
        <v>18782.299999999981</v>
      </c>
      <c r="DM304" s="56"/>
      <c r="DP304" s="55">
        <f t="shared" si="2030"/>
        <v>46280</v>
      </c>
      <c r="DQ304" s="56"/>
      <c r="DR304" s="57">
        <f>SUMPRODUCT(PRODUCE!$B303:$DY303,PRODUCE!$EB$20:$IY$20)</f>
        <v>0</v>
      </c>
      <c r="DS304" s="56"/>
      <c r="DT304" s="57">
        <f t="shared" si="2031"/>
        <v>0</v>
      </c>
      <c r="DU304" s="57">
        <f t="shared" si="2032"/>
        <v>5800</v>
      </c>
      <c r="DV304" s="56"/>
      <c r="DY304" s="55">
        <f t="shared" si="2033"/>
        <v>46280</v>
      </c>
      <c r="DZ304" s="56"/>
      <c r="EA304" s="157">
        <f>SUMPRODUCT(PRODUCE!$B303:$DY303,PRODUCE!$EB$21:$IY$21)</f>
        <v>0</v>
      </c>
      <c r="EB304" s="56"/>
      <c r="EC304" s="157">
        <f t="shared" si="2034"/>
        <v>0</v>
      </c>
      <c r="ED304" s="157">
        <f t="shared" si="2035"/>
        <v>0</v>
      </c>
      <c r="EE304" s="56"/>
      <c r="EH304" s="55">
        <f t="shared" si="2036"/>
        <v>46280</v>
      </c>
      <c r="EI304" s="56"/>
      <c r="EJ304" s="162">
        <f>SUMPRODUCT(PRODUCE!$B303:$DY303,PRODUCE!$EB$22:$IY$22)</f>
        <v>0</v>
      </c>
      <c r="EK304" s="56"/>
      <c r="EL304" s="162">
        <f t="shared" si="2037"/>
        <v>0</v>
      </c>
      <c r="EM304" s="162">
        <f t="shared" si="2038"/>
        <v>0</v>
      </c>
      <c r="EN304" s="56"/>
      <c r="EQ304" s="55">
        <f t="shared" si="2039"/>
        <v>46280</v>
      </c>
      <c r="ER304" s="56"/>
      <c r="ES304" s="135">
        <f>SUMPRODUCT(PRODUCE!$B303:$DY303,PRODUCE!$EB$23:$IY$23)</f>
        <v>0</v>
      </c>
      <c r="ET304" s="56"/>
      <c r="EU304" s="135">
        <f t="shared" si="2040"/>
        <v>0</v>
      </c>
      <c r="EV304" s="135">
        <f t="shared" si="2041"/>
        <v>0</v>
      </c>
      <c r="EW304" s="56"/>
      <c r="EZ304" s="55">
        <f t="shared" si="2042"/>
        <v>46280</v>
      </c>
      <c r="FA304" s="56"/>
      <c r="FB304" s="175">
        <f>SUMPRODUCT(PRODUCE!$B303:$DY303,PRODUCE!$EB$24:$IY$24)</f>
        <v>0</v>
      </c>
      <c r="FC304" s="56"/>
      <c r="FD304" s="175">
        <f t="shared" si="2043"/>
        <v>0</v>
      </c>
      <c r="FE304" s="175">
        <f t="shared" si="2044"/>
        <v>0</v>
      </c>
      <c r="FF304" s="56"/>
      <c r="FI304" s="55">
        <f t="shared" si="2045"/>
        <v>46280</v>
      </c>
      <c r="FJ304" s="56"/>
      <c r="FK304" s="183">
        <f>SUMPRODUCT(PRODUCE!$B303:$DY303,PRODUCE!$EB$25:$IY$25)</f>
        <v>0</v>
      </c>
      <c r="FL304" s="56"/>
      <c r="FM304" s="183">
        <f t="shared" si="2046"/>
        <v>0</v>
      </c>
      <c r="FN304" s="183">
        <f t="shared" si="2047"/>
        <v>0</v>
      </c>
      <c r="FO304" s="56"/>
      <c r="FR304" s="55">
        <f t="shared" si="2048"/>
        <v>46280</v>
      </c>
      <c r="FS304" s="56"/>
      <c r="FT304" s="186">
        <f>SUMPRODUCT(PRODUCE!$B303:$DY303,PRODUCE!$EB$26:$IY$26)</f>
        <v>0</v>
      </c>
      <c r="FU304" s="56"/>
      <c r="FV304" s="186">
        <f t="shared" si="2049"/>
        <v>0</v>
      </c>
      <c r="FW304" s="186">
        <f t="shared" si="2050"/>
        <v>2020</v>
      </c>
      <c r="FX304" s="56"/>
      <c r="GA304" s="55">
        <f t="shared" si="2051"/>
        <v>46280</v>
      </c>
      <c r="GB304" s="56"/>
      <c r="GC304" s="137">
        <f>SUMPRODUCT(PRODUCE!$B303:$DY303,PRODUCE!$EB$27:$IY$27)</f>
        <v>0</v>
      </c>
      <c r="GD304" s="56"/>
      <c r="GE304" s="137">
        <f t="shared" si="2052"/>
        <v>0</v>
      </c>
      <c r="GF304" s="137">
        <f t="shared" si="2053"/>
        <v>960</v>
      </c>
      <c r="GG304" s="56"/>
      <c r="GI304" s="23"/>
      <c r="GJ304" s="55">
        <f t="shared" si="2054"/>
        <v>46280</v>
      </c>
      <c r="GK304" s="56"/>
      <c r="GL304" s="199">
        <f>SUMPRODUCT(PRODUCE!$B303:$DY303,PRODUCE!$EB$28:$IY$28)</f>
        <v>0</v>
      </c>
      <c r="GM304" s="56"/>
      <c r="GN304" s="199">
        <f t="shared" si="2055"/>
        <v>0</v>
      </c>
      <c r="GO304" s="199">
        <f t="shared" si="2056"/>
        <v>1760</v>
      </c>
      <c r="GP304" s="56"/>
      <c r="GS304" s="55">
        <f t="shared" si="2057"/>
        <v>46280</v>
      </c>
      <c r="GT304" s="56"/>
      <c r="GU304" s="195">
        <f>SUMPRODUCT(PRODUCE!$B303:$DY303,PRODUCE!$EB$29:$IY$29)</f>
        <v>0</v>
      </c>
      <c r="GV304" s="56"/>
      <c r="GW304" s="195">
        <f t="shared" si="2058"/>
        <v>0</v>
      </c>
      <c r="GX304" s="195">
        <f t="shared" si="2059"/>
        <v>400</v>
      </c>
      <c r="GY304" s="56"/>
      <c r="HB304" s="55">
        <f t="shared" si="2060"/>
        <v>46280</v>
      </c>
      <c r="HC304" s="56"/>
      <c r="HD304" s="191">
        <f>SUMPRODUCT(PRODUCE!$B303:$DY303,PRODUCE!$EB$30:$IY$30)</f>
        <v>0</v>
      </c>
      <c r="HE304" s="56"/>
      <c r="HF304" s="191">
        <f t="shared" si="2061"/>
        <v>0</v>
      </c>
      <c r="HG304" s="191">
        <f t="shared" si="2062"/>
        <v>3600</v>
      </c>
      <c r="HH304" s="56"/>
      <c r="HK304" s="55">
        <f t="shared" si="2063"/>
        <v>46280</v>
      </c>
      <c r="HL304" s="56"/>
      <c r="HM304" s="63">
        <f>SUMPRODUCT(PRODUCE!$B303:$DY303,PRODUCE!$EB$31:$IY$31)</f>
        <v>0</v>
      </c>
      <c r="HN304" s="56"/>
      <c r="HO304" s="63">
        <f t="shared" si="2064"/>
        <v>0</v>
      </c>
      <c r="HP304" s="63">
        <f t="shared" si="2065"/>
        <v>0</v>
      </c>
      <c r="HQ304" s="56"/>
      <c r="HU304" s="55">
        <f t="shared" si="2066"/>
        <v>46280</v>
      </c>
      <c r="HV304" s="56"/>
      <c r="HW304" s="242">
        <f>SUMPRODUCT(PRODUCE!$B303:$DY303,PRODUCE!$EB$32:$IY$32)</f>
        <v>0</v>
      </c>
      <c r="HX304" s="56"/>
      <c r="HY304" s="242">
        <f t="shared" si="2236"/>
        <v>0</v>
      </c>
      <c r="HZ304" s="242">
        <f t="shared" si="2067"/>
        <v>6120</v>
      </c>
      <c r="IA304" s="56"/>
      <c r="ID304" s="55">
        <f t="shared" si="2068"/>
        <v>46280</v>
      </c>
      <c r="IE304" s="56"/>
      <c r="IF304" s="242">
        <f>SUMPRODUCT(PRODUCE!$B303:$DY303,PRODUCE!$EB$33:$IY$33)</f>
        <v>0</v>
      </c>
      <c r="IG304" s="56"/>
      <c r="IH304" s="242">
        <f t="shared" si="2069"/>
        <v>0</v>
      </c>
      <c r="II304" s="242">
        <f t="shared" si="2070"/>
        <v>0</v>
      </c>
      <c r="IJ304" s="56"/>
      <c r="IM304" s="55">
        <f t="shared" si="2071"/>
        <v>46280</v>
      </c>
      <c r="IN304" s="56"/>
      <c r="IO304" s="242">
        <f>SUMPRODUCT(PRODUCE!$B303:$DY303,PRODUCE!$EB$34:$IY$34)</f>
        <v>0</v>
      </c>
      <c r="IP304" s="56"/>
      <c r="IQ304" s="242">
        <f t="shared" si="2072"/>
        <v>0</v>
      </c>
      <c r="IR304" s="242">
        <f t="shared" si="2073"/>
        <v>0</v>
      </c>
      <c r="IS304" s="56"/>
      <c r="IV304" s="55">
        <f t="shared" si="2074"/>
        <v>46280</v>
      </c>
      <c r="IW304" s="56"/>
      <c r="IX304" s="242">
        <f>SUMPRODUCT(PRODUCE!$B303:$DY303,PRODUCE!$EB$35:$IY$35)</f>
        <v>0</v>
      </c>
      <c r="IY304" s="56"/>
      <c r="IZ304" s="242">
        <f t="shared" si="2075"/>
        <v>0</v>
      </c>
      <c r="JA304" s="242">
        <f t="shared" si="2076"/>
        <v>2820</v>
      </c>
      <c r="JB304" s="56"/>
      <c r="JE304" s="55">
        <f t="shared" si="2077"/>
        <v>46280</v>
      </c>
      <c r="JF304" s="56"/>
      <c r="JG304" s="242">
        <f>SUMPRODUCT(PRODUCE!$B303:$DY303,PRODUCE!$EB$36:$IY$36)</f>
        <v>0</v>
      </c>
      <c r="JH304" s="56"/>
      <c r="JI304" s="242">
        <f t="shared" si="2078"/>
        <v>0</v>
      </c>
      <c r="JJ304" s="242">
        <f t="shared" si="2079"/>
        <v>0</v>
      </c>
      <c r="JK304" s="56"/>
      <c r="JN304" s="55">
        <f t="shared" si="2080"/>
        <v>46280</v>
      </c>
      <c r="JO304" s="56"/>
      <c r="JP304" s="242">
        <f>SUMPRODUCT(PRODUCE!$B303:$DY303,PRODUCE!$EB$37:$IY$37)</f>
        <v>0</v>
      </c>
      <c r="JQ304" s="56"/>
      <c r="JR304" s="242">
        <f t="shared" si="2081"/>
        <v>0</v>
      </c>
      <c r="JS304" s="242">
        <f t="shared" si="2082"/>
        <v>0</v>
      </c>
      <c r="JT304" s="56"/>
      <c r="JW304" s="55">
        <f t="shared" si="2083"/>
        <v>46280</v>
      </c>
      <c r="JX304" s="56"/>
      <c r="JY304" s="242">
        <f>SUMPRODUCT(PRODUCE!$B303:$DY303,PRODUCE!$EB$38:$IY$38)</f>
        <v>0</v>
      </c>
      <c r="JZ304" s="56"/>
      <c r="KA304" s="242">
        <f t="shared" si="2084"/>
        <v>0</v>
      </c>
      <c r="KB304" s="242">
        <f t="shared" si="2085"/>
        <v>2540</v>
      </c>
      <c r="KC304" s="56"/>
      <c r="KF304" s="55">
        <f t="shared" si="2086"/>
        <v>46280</v>
      </c>
      <c r="KG304" s="56"/>
      <c r="KH304" s="242">
        <f>SUMPRODUCT(PRODUCE!$B303:$DY303,PRODUCE!$EB$39:$IY$39)</f>
        <v>0</v>
      </c>
      <c r="KI304" s="56"/>
      <c r="KJ304" s="242">
        <f t="shared" si="2087"/>
        <v>0</v>
      </c>
      <c r="KK304" s="242">
        <f t="shared" si="2088"/>
        <v>2359.5</v>
      </c>
      <c r="KL304" s="56"/>
      <c r="KO304" s="55">
        <f t="shared" si="2089"/>
        <v>46280</v>
      </c>
      <c r="KP304" s="56"/>
      <c r="KQ304" s="242">
        <f>SUMPRODUCT(PRODUCE!$B303:$DY303,PRODUCE!$EB$40:$IY$40)</f>
        <v>0</v>
      </c>
      <c r="KR304" s="56"/>
      <c r="KS304" s="242">
        <f t="shared" si="2090"/>
        <v>0</v>
      </c>
      <c r="KT304" s="242">
        <f t="shared" si="2091"/>
        <v>1890</v>
      </c>
      <c r="KU304" s="56"/>
      <c r="KW304" s="23"/>
      <c r="KX304" s="55">
        <f t="shared" si="2092"/>
        <v>46280</v>
      </c>
      <c r="KY304" s="56"/>
      <c r="KZ304" s="242">
        <f>SUMPRODUCT(PRODUCE!$B303:$DY303,PRODUCE!$EB$41:$IY$41)</f>
        <v>0</v>
      </c>
      <c r="LA304" s="56"/>
      <c r="LB304" s="242">
        <f t="shared" si="2093"/>
        <v>0</v>
      </c>
      <c r="LC304" s="242">
        <f t="shared" si="2094"/>
        <v>3690</v>
      </c>
      <c r="LD304" s="56"/>
      <c r="LG304" s="55">
        <f t="shared" si="2095"/>
        <v>46280</v>
      </c>
      <c r="LH304" s="56"/>
      <c r="LI304" s="242">
        <f>SUMPRODUCT(PRODUCE!$B303:$DY303,PRODUCE!$EB$42:$IY$42)</f>
        <v>0</v>
      </c>
      <c r="LJ304" s="56"/>
      <c r="LK304" s="242">
        <f t="shared" si="2096"/>
        <v>0</v>
      </c>
      <c r="LL304" s="242">
        <f t="shared" si="2097"/>
        <v>4000</v>
      </c>
      <c r="LM304" s="56"/>
      <c r="LP304" s="55">
        <f t="shared" si="2098"/>
        <v>46280</v>
      </c>
      <c r="LQ304" s="56"/>
      <c r="LR304" s="242">
        <f>SUMPRODUCT(PRODUCE!$B319:$DY319,PRODUCE!$EB$43:$IY$43)</f>
        <v>0</v>
      </c>
      <c r="LS304" s="56"/>
      <c r="LT304" s="242">
        <f t="shared" si="2099"/>
        <v>0</v>
      </c>
      <c r="LU304" s="242">
        <f t="shared" si="2100"/>
        <v>0</v>
      </c>
      <c r="LV304" s="56"/>
      <c r="LY304" s="55">
        <f t="shared" si="2101"/>
        <v>46280</v>
      </c>
      <c r="LZ304" s="56"/>
      <c r="MA304" s="242">
        <f>SUMPRODUCT(PRODUCE!$B303:$DY303,PRODUCE!$EB$44:$IY$44)</f>
        <v>0</v>
      </c>
      <c r="MB304" s="56"/>
      <c r="MC304" s="242">
        <f t="shared" si="2102"/>
        <v>0</v>
      </c>
      <c r="MD304" s="242">
        <f t="shared" si="2103"/>
        <v>0</v>
      </c>
      <c r="ME304" s="56"/>
      <c r="MH304" s="55">
        <f t="shared" si="2104"/>
        <v>46280</v>
      </c>
      <c r="MI304" s="56"/>
      <c r="MJ304" s="242">
        <f>SUMPRODUCT(PRODUCE!$B303:$DY303,PRODUCE!$EB$45:$IY$45)</f>
        <v>0</v>
      </c>
      <c r="MK304" s="56"/>
      <c r="ML304" s="242">
        <f t="shared" si="2105"/>
        <v>0</v>
      </c>
      <c r="MM304" s="242">
        <f t="shared" si="2106"/>
        <v>0</v>
      </c>
      <c r="MN304" s="56"/>
      <c r="MQ304" s="55">
        <f t="shared" si="2107"/>
        <v>46280</v>
      </c>
      <c r="MR304" s="56"/>
      <c r="MS304" s="242">
        <f>SUMPRODUCT(PRODUCE!$B303:$DY303,PRODUCE!$EB$46:$IY$46)</f>
        <v>0</v>
      </c>
      <c r="MT304" s="56"/>
      <c r="MU304" s="242">
        <f t="shared" si="2108"/>
        <v>0</v>
      </c>
      <c r="MV304" s="242">
        <f t="shared" si="2109"/>
        <v>1625</v>
      </c>
      <c r="MW304" s="56"/>
      <c r="MZ304" s="55">
        <f t="shared" si="2110"/>
        <v>46280</v>
      </c>
      <c r="NA304" s="56"/>
      <c r="NB304" s="242">
        <f>SUMPRODUCT(PRODUCE!$B303:$DY303,PRODUCE!$EB$47:$IY$47)</f>
        <v>0</v>
      </c>
      <c r="NC304" s="56"/>
      <c r="ND304" s="242">
        <f t="shared" si="2111"/>
        <v>0</v>
      </c>
      <c r="NE304" s="242">
        <f t="shared" si="2112"/>
        <v>0</v>
      </c>
      <c r="NF304" s="56"/>
      <c r="NI304" s="55">
        <f t="shared" si="2113"/>
        <v>46280</v>
      </c>
      <c r="NJ304" s="56"/>
      <c r="NK304" s="242">
        <f>SUMPRODUCT(PRODUCE!$B303:$DY303,PRODUCE!$EB$48:$IY$48)</f>
        <v>0</v>
      </c>
      <c r="NL304" s="56"/>
      <c r="NM304" s="242">
        <f t="shared" si="2114"/>
        <v>0</v>
      </c>
      <c r="NN304" s="242">
        <f t="shared" si="2115"/>
        <v>1127</v>
      </c>
      <c r="NO304" s="56"/>
      <c r="NR304" s="55">
        <f t="shared" si="2116"/>
        <v>46280</v>
      </c>
      <c r="NS304" s="56"/>
      <c r="NT304" s="242">
        <f>SUMPRODUCT(PRODUCE!$B303:$DY303,PRODUCE!$EB$49:$IY$49)</f>
        <v>0</v>
      </c>
      <c r="NU304" s="56"/>
      <c r="NV304" s="242">
        <f t="shared" si="2117"/>
        <v>0</v>
      </c>
      <c r="NW304" s="242">
        <f t="shared" si="2118"/>
        <v>3111.9999999999995</v>
      </c>
      <c r="NX304" s="56"/>
      <c r="OA304" s="55">
        <f t="shared" si="2119"/>
        <v>46280</v>
      </c>
      <c r="OB304" s="56"/>
      <c r="OC304" s="242">
        <f>SUMPRODUCT(PRODUCE!$B303:$DY303,PRODUCE!$EB$50:$IY$50)</f>
        <v>0</v>
      </c>
      <c r="OD304" s="56"/>
      <c r="OE304" s="242">
        <f t="shared" si="2120"/>
        <v>0</v>
      </c>
      <c r="OF304" s="242">
        <f t="shared" si="2121"/>
        <v>1680.5</v>
      </c>
      <c r="OG304" s="56"/>
      <c r="OJ304" s="55">
        <f t="shared" si="2122"/>
        <v>46280</v>
      </c>
      <c r="OK304" s="56"/>
      <c r="OL304" s="242">
        <f>SUMPRODUCT(PRODUCE!$B303:$DY303,PRODUCE!$EB$51:$IY$51)</f>
        <v>0</v>
      </c>
      <c r="OM304" s="56"/>
      <c r="ON304" s="242">
        <f t="shared" si="2123"/>
        <v>0</v>
      </c>
      <c r="OO304" s="242">
        <f t="shared" si="2124"/>
        <v>0</v>
      </c>
      <c r="OP304" s="56"/>
      <c r="OS304" s="55">
        <f t="shared" si="2125"/>
        <v>46280</v>
      </c>
      <c r="OT304" s="56"/>
      <c r="OU304" s="242">
        <f>SUMPRODUCT(PRODUCE!$B303:$DY303,PRODUCE!$EB$52:$IY$52)</f>
        <v>0</v>
      </c>
      <c r="OV304" s="56"/>
      <c r="OW304" s="242">
        <f t="shared" si="2126"/>
        <v>0</v>
      </c>
      <c r="OX304" s="242">
        <f t="shared" si="2127"/>
        <v>1482</v>
      </c>
      <c r="OY304" s="56"/>
      <c r="PB304" s="55">
        <f t="shared" si="2128"/>
        <v>46280</v>
      </c>
      <c r="PC304" s="56"/>
      <c r="PD304" s="242">
        <f>SUMPRODUCT(PRODUCE!$B303:$DY303,PRODUCE!$EB$53:$IY$53)</f>
        <v>0</v>
      </c>
      <c r="PE304" s="56"/>
      <c r="PF304" s="242">
        <f t="shared" si="2129"/>
        <v>0</v>
      </c>
      <c r="PG304" s="242">
        <f t="shared" si="2130"/>
        <v>0</v>
      </c>
      <c r="PH304" s="56"/>
      <c r="PK304" s="55">
        <f t="shared" si="2131"/>
        <v>46280</v>
      </c>
      <c r="PL304" s="56"/>
      <c r="PM304" s="242">
        <f>SUMPRODUCT(PRODUCE!$B303:$DY303,PRODUCE!$EB$54:$IY$54)</f>
        <v>0</v>
      </c>
      <c r="PN304" s="56"/>
      <c r="PO304" s="242">
        <f t="shared" si="2132"/>
        <v>0</v>
      </c>
      <c r="PP304" s="242">
        <f t="shared" si="2133"/>
        <v>100</v>
      </c>
      <c r="PQ304" s="56"/>
      <c r="PT304" s="55">
        <f t="shared" si="2134"/>
        <v>46280</v>
      </c>
      <c r="PU304" s="56"/>
      <c r="PV304" s="242">
        <f>SUMPRODUCT(PRODUCE!$B303:$DY303,PRODUCE!$EB$55:$IY$55)</f>
        <v>0</v>
      </c>
      <c r="PW304" s="56"/>
      <c r="PX304" s="242">
        <f t="shared" si="2135"/>
        <v>0</v>
      </c>
      <c r="PY304" s="242">
        <f t="shared" si="2136"/>
        <v>13.960000000000036</v>
      </c>
      <c r="PZ304" s="56"/>
      <c r="QC304" s="55">
        <f t="shared" si="2137"/>
        <v>46280</v>
      </c>
      <c r="QD304" s="56"/>
      <c r="QE304" s="242">
        <f>SUMPRODUCT(PRODUCE!$B303:$DY303,PRODUCE!$EB$56:$IY$56)</f>
        <v>0</v>
      </c>
      <c r="QF304" s="56"/>
      <c r="QG304" s="242">
        <f t="shared" si="2138"/>
        <v>0</v>
      </c>
      <c r="QH304" s="242">
        <f t="shared" si="2139"/>
        <v>548</v>
      </c>
      <c r="QI304" s="56"/>
      <c r="QL304" s="55">
        <f t="shared" si="2140"/>
        <v>46280</v>
      </c>
      <c r="QM304" s="56"/>
      <c r="QN304" s="242">
        <f>SUMPRODUCT(PRODUCE!$B303:$DY303,PRODUCE!$EB$57:$IY$57)</f>
        <v>0</v>
      </c>
      <c r="QO304" s="56"/>
      <c r="QP304" s="242">
        <f t="shared" si="2141"/>
        <v>0</v>
      </c>
      <c r="QQ304" s="242">
        <f t="shared" si="2142"/>
        <v>0</v>
      </c>
      <c r="QR304" s="56"/>
      <c r="QU304" s="55">
        <f t="shared" si="2143"/>
        <v>46280</v>
      </c>
      <c r="QV304" s="56"/>
      <c r="QW304" s="242">
        <f>SUMPRODUCT(PRODUCE!$B303:$DY303,PRODUCE!$EB$57:$IY$57)</f>
        <v>0</v>
      </c>
      <c r="QX304" s="56"/>
      <c r="QY304" s="242">
        <f t="shared" si="2144"/>
        <v>0</v>
      </c>
      <c r="QZ304" s="242">
        <f t="shared" si="2145"/>
        <v>0</v>
      </c>
      <c r="RA304" s="56"/>
      <c r="RD304" s="55">
        <f t="shared" si="2146"/>
        <v>46280</v>
      </c>
      <c r="RE304" s="56"/>
      <c r="RF304" s="242">
        <f>SUMPRODUCT(PRODUCE!$B303:$DY303,PRODUCE!$EB$58:$IY$58)</f>
        <v>0</v>
      </c>
      <c r="RG304" s="56"/>
      <c r="RH304" s="242">
        <f t="shared" si="2147"/>
        <v>0</v>
      </c>
      <c r="RI304" s="242">
        <f t="shared" si="2148"/>
        <v>147.04000000000002</v>
      </c>
      <c r="RJ304" s="56"/>
      <c r="RM304" s="55">
        <f t="shared" si="2149"/>
        <v>46280</v>
      </c>
      <c r="RN304" s="56"/>
      <c r="RO304" s="242">
        <f>SUMPRODUCT(PRODUCE!$B303:$DY303,PRODUCE!$EB$59:$IY$59)</f>
        <v>0</v>
      </c>
      <c r="RP304" s="56"/>
      <c r="RQ304" s="242">
        <f t="shared" si="2150"/>
        <v>0</v>
      </c>
      <c r="RR304" s="242">
        <f t="shared" si="2151"/>
        <v>46.8</v>
      </c>
      <c r="RS304" s="56"/>
      <c r="RV304" s="55">
        <f t="shared" si="2152"/>
        <v>46280</v>
      </c>
      <c r="RW304" s="56"/>
      <c r="RX304" s="242">
        <f>SUMPRODUCT(PRODUCE!$B303:$DY303,PRODUCE!$EB$57:$IY$57)</f>
        <v>0</v>
      </c>
      <c r="RY304" s="56"/>
      <c r="RZ304" s="242">
        <f t="shared" si="2153"/>
        <v>0</v>
      </c>
      <c r="SA304" s="242">
        <f t="shared" si="2154"/>
        <v>0</v>
      </c>
      <c r="SB304" s="56"/>
      <c r="SE304" s="55">
        <f t="shared" si="2155"/>
        <v>46280</v>
      </c>
      <c r="SF304" s="56"/>
      <c r="SG304" s="242">
        <f>SUMPRODUCT(PRODUCE!$B303:$DY303,PRODUCE!$EB$61:$IY$61)</f>
        <v>0</v>
      </c>
      <c r="SH304" s="56"/>
      <c r="SI304" s="242">
        <f t="shared" si="2156"/>
        <v>0</v>
      </c>
      <c r="SJ304" s="242">
        <f t="shared" si="2157"/>
        <v>24.200000000000003</v>
      </c>
      <c r="SK304" s="56"/>
      <c r="SN304" s="55">
        <f t="shared" si="2158"/>
        <v>46280</v>
      </c>
      <c r="SO304" s="56"/>
      <c r="SP304" s="242">
        <f>SUMPRODUCT(PRODUCE!$B303:$DY303,PRODUCE!$EB$57:$IY$57)</f>
        <v>0</v>
      </c>
      <c r="SQ304" s="56"/>
      <c r="SR304" s="242">
        <f t="shared" si="2159"/>
        <v>0</v>
      </c>
      <c r="SS304" s="242">
        <f t="shared" si="2160"/>
        <v>32</v>
      </c>
      <c r="ST304" s="56"/>
      <c r="SW304" s="55">
        <f t="shared" si="2161"/>
        <v>46280</v>
      </c>
      <c r="SX304" s="56"/>
      <c r="SY304" s="242">
        <f>SUMPRODUCT(PRODUCE!$B303:$DY303,PRODUCE!$EB$57:$IY$57)</f>
        <v>0</v>
      </c>
      <c r="SZ304" s="56"/>
      <c r="TA304" s="242">
        <f t="shared" si="2162"/>
        <v>0</v>
      </c>
      <c r="TB304" s="242">
        <f t="shared" si="2163"/>
        <v>0</v>
      </c>
      <c r="TC304" s="56"/>
      <c r="TF304" s="55">
        <f t="shared" si="2164"/>
        <v>46280</v>
      </c>
      <c r="TG304" s="56"/>
      <c r="TH304" s="242">
        <f>SUMPRODUCT(PRODUCE!$B303:$DY303,PRODUCE!$EB$57:$IY$57)</f>
        <v>0</v>
      </c>
      <c r="TI304" s="56"/>
      <c r="TJ304" s="242">
        <f t="shared" si="2165"/>
        <v>0</v>
      </c>
      <c r="TK304" s="242">
        <f t="shared" si="2166"/>
        <v>0</v>
      </c>
      <c r="TL304" s="56"/>
      <c r="TO304" s="55">
        <f t="shared" si="2167"/>
        <v>46280</v>
      </c>
      <c r="TP304" s="56"/>
      <c r="TQ304" s="242">
        <f>SUMPRODUCT(PRODUCE!$B303:$DY303,PRODUCE!$EB$57:$IY$57)</f>
        <v>0</v>
      </c>
      <c r="TR304" s="56"/>
      <c r="TS304" s="242">
        <f t="shared" si="2168"/>
        <v>0</v>
      </c>
      <c r="TT304" s="242">
        <f t="shared" si="2169"/>
        <v>0</v>
      </c>
      <c r="TU304" s="56"/>
      <c r="TX304" s="55">
        <f t="shared" si="2170"/>
        <v>46280</v>
      </c>
      <c r="TY304" s="56"/>
      <c r="TZ304" s="242">
        <f>SUMPRODUCT(PRODUCE!$B303:$DY303,PRODUCE!$EB$57:$IY$57)</f>
        <v>0</v>
      </c>
      <c r="UA304" s="56"/>
      <c r="UB304" s="242">
        <f t="shared" si="2171"/>
        <v>0</v>
      </c>
      <c r="UC304" s="242">
        <f t="shared" si="2172"/>
        <v>46.799999999999983</v>
      </c>
      <c r="UD304" s="56"/>
      <c r="UG304" s="55">
        <f t="shared" si="2173"/>
        <v>46280</v>
      </c>
      <c r="UH304" s="56"/>
      <c r="UI304" s="242">
        <f>SUMPRODUCT(PRODUCE!$B303:$DY303,PRODUCE!$EB$57:$IY$57)</f>
        <v>0</v>
      </c>
      <c r="UJ304" s="56"/>
      <c r="UK304" s="242">
        <f t="shared" si="2174"/>
        <v>0</v>
      </c>
      <c r="UL304" s="242">
        <f t="shared" si="2175"/>
        <v>204</v>
      </c>
      <c r="UM304" s="56"/>
      <c r="UP304" s="55">
        <f t="shared" si="2176"/>
        <v>46280</v>
      </c>
      <c r="UQ304" s="56"/>
      <c r="UR304" s="242">
        <f>SUMPRODUCT(PRODUCE!$B303:$DY303,PRODUCE!$EB$57:$IY$57)</f>
        <v>0</v>
      </c>
      <c r="US304" s="56"/>
      <c r="UT304" s="242">
        <f t="shared" si="2177"/>
        <v>0</v>
      </c>
      <c r="UU304" s="242">
        <f t="shared" si="2178"/>
        <v>202.5</v>
      </c>
      <c r="UV304" s="56"/>
      <c r="UY304" s="55">
        <f t="shared" si="2179"/>
        <v>46280</v>
      </c>
      <c r="UZ304" s="56"/>
      <c r="VA304" s="242">
        <f>SUMPRODUCT(PRODUCE!$B303:$DY303,PRODUCE!$EB$57:$IY$57)</f>
        <v>0</v>
      </c>
      <c r="VB304" s="56"/>
      <c r="VC304" s="242">
        <f t="shared" si="2180"/>
        <v>0</v>
      </c>
      <c r="VD304" s="242">
        <f t="shared" si="2181"/>
        <v>41.600000000000023</v>
      </c>
      <c r="VE304" s="56"/>
      <c r="VH304" s="55">
        <f t="shared" si="2182"/>
        <v>46280</v>
      </c>
      <c r="VI304" s="56"/>
      <c r="VJ304" s="242">
        <f>SUMPRODUCT(PRODUCE!$B303:$DY303,PRODUCE!$EB$57:$IY$57)</f>
        <v>0</v>
      </c>
      <c r="VK304" s="56"/>
      <c r="VL304" s="242">
        <f t="shared" si="2183"/>
        <v>0</v>
      </c>
      <c r="VM304" s="242">
        <f t="shared" si="2184"/>
        <v>210</v>
      </c>
      <c r="VN304" s="56"/>
      <c r="VQ304" s="55">
        <f t="shared" si="2185"/>
        <v>46280</v>
      </c>
      <c r="VR304" s="56"/>
      <c r="VS304" s="242">
        <f>SUMPRODUCT(PRODUCE!$B303:$DY303,PRODUCE!$EB$57:$IY$57)</f>
        <v>0</v>
      </c>
      <c r="VT304" s="56"/>
      <c r="VU304" s="242">
        <f t="shared" si="2186"/>
        <v>0</v>
      </c>
      <c r="VV304" s="242">
        <f t="shared" si="2187"/>
        <v>0</v>
      </c>
      <c r="VW304" s="56"/>
      <c r="VZ304" s="55">
        <f t="shared" si="2188"/>
        <v>46280</v>
      </c>
      <c r="WA304" s="56"/>
      <c r="WB304" s="242">
        <f>SUMPRODUCT(PRODUCE!$B303:$DY303,PRODUCE!$EB$57:$IY$57)</f>
        <v>0</v>
      </c>
      <c r="WC304" s="56"/>
      <c r="WD304" s="242">
        <f t="shared" si="2189"/>
        <v>0</v>
      </c>
      <c r="WE304" s="242">
        <f t="shared" si="2190"/>
        <v>0</v>
      </c>
      <c r="WF304" s="56"/>
      <c r="WI304" s="55">
        <f t="shared" si="2191"/>
        <v>46280</v>
      </c>
      <c r="WJ304" s="56"/>
      <c r="WK304" s="242">
        <f>SUMPRODUCT(PRODUCE!$B303:$DY303,PRODUCE!$EB$57:$IY$57)</f>
        <v>0</v>
      </c>
      <c r="WL304" s="56"/>
      <c r="WM304" s="242">
        <f t="shared" si="2192"/>
        <v>0</v>
      </c>
      <c r="WN304" s="242">
        <f t="shared" si="2193"/>
        <v>1057</v>
      </c>
      <c r="WO304" s="56"/>
      <c r="WR304" s="55">
        <f t="shared" si="2194"/>
        <v>46280</v>
      </c>
      <c r="WS304" s="56"/>
      <c r="WT304" s="242">
        <f>SUMPRODUCT(PRODUCE!$B303:$DY303,PRODUCE!$EB$57:$IY$57)</f>
        <v>0</v>
      </c>
      <c r="WU304" s="56"/>
      <c r="WV304" s="242">
        <f t="shared" si="2195"/>
        <v>0</v>
      </c>
      <c r="WW304" s="242">
        <f t="shared" si="2196"/>
        <v>0</v>
      </c>
      <c r="WX304" s="56"/>
      <c r="XA304" s="55">
        <f t="shared" si="2197"/>
        <v>46280</v>
      </c>
      <c r="XB304" s="56"/>
      <c r="XC304" s="242">
        <f>SUMPRODUCT(PRODUCE!$B303:$DY303,PRODUCE!$EB$57:$IY$57)</f>
        <v>0</v>
      </c>
      <c r="XD304" s="56"/>
      <c r="XE304" s="242">
        <f t="shared" si="2198"/>
        <v>0</v>
      </c>
      <c r="XF304" s="242">
        <f t="shared" si="2199"/>
        <v>7507</v>
      </c>
      <c r="XG304" s="56"/>
      <c r="XJ304" s="55">
        <f t="shared" si="2200"/>
        <v>46280</v>
      </c>
      <c r="XK304" s="56"/>
      <c r="XL304" s="242">
        <f>SUMPRODUCT(PRODUCE!$B303:$DY303,PRODUCE!$EB$57:$IY$57)</f>
        <v>0</v>
      </c>
      <c r="XM304" s="56"/>
      <c r="XN304" s="242">
        <f t="shared" si="2201"/>
        <v>0</v>
      </c>
      <c r="XO304" s="242">
        <f t="shared" si="2202"/>
        <v>4252</v>
      </c>
      <c r="XP304" s="56"/>
      <c r="XS304" s="55">
        <f t="shared" si="2203"/>
        <v>46280</v>
      </c>
      <c r="XT304" s="56"/>
      <c r="XU304" s="242">
        <f>SUMPRODUCT(PRODUCE!$B303:$DY303,PRODUCE!$EB$57:$IY$57)</f>
        <v>0</v>
      </c>
      <c r="XV304" s="56"/>
      <c r="XW304" s="242">
        <f t="shared" si="2204"/>
        <v>0</v>
      </c>
      <c r="XX304" s="242">
        <f t="shared" si="2205"/>
        <v>2179</v>
      </c>
      <c r="XY304" s="56"/>
      <c r="YB304" s="55">
        <f t="shared" si="2206"/>
        <v>46280</v>
      </c>
      <c r="YC304" s="56"/>
      <c r="YD304" s="242">
        <f>SUMPRODUCT(PRODUCE!$B303:$DY303,PRODUCE!$EB$57:$IY$57)</f>
        <v>0</v>
      </c>
      <c r="YE304" s="56"/>
      <c r="YF304" s="242">
        <f t="shared" si="2207"/>
        <v>0</v>
      </c>
      <c r="YG304" s="242">
        <f t="shared" si="2208"/>
        <v>4019</v>
      </c>
      <c r="YH304" s="56"/>
      <c r="YK304" s="55">
        <f t="shared" si="2209"/>
        <v>46280</v>
      </c>
      <c r="YL304" s="56"/>
      <c r="YM304" s="242">
        <f>SUMPRODUCT(PRODUCE!$B303:$DY303,PRODUCE!$EB$57:$IY$57)</f>
        <v>0</v>
      </c>
      <c r="YN304" s="56"/>
      <c r="YO304" s="242">
        <f t="shared" si="2210"/>
        <v>0</v>
      </c>
      <c r="YP304" s="242">
        <f t="shared" si="2211"/>
        <v>-218</v>
      </c>
      <c r="YQ304" s="56"/>
      <c r="YT304" s="55">
        <f t="shared" si="2212"/>
        <v>46280</v>
      </c>
      <c r="YU304" s="56"/>
      <c r="YV304" s="242">
        <f>SUMPRODUCT(PRODUCE!$B303:$DY303,PRODUCE!$EB$57:$IY$57)</f>
        <v>0</v>
      </c>
      <c r="YW304" s="56"/>
      <c r="YX304" s="242">
        <f t="shared" si="2213"/>
        <v>0</v>
      </c>
      <c r="YY304" s="242">
        <f t="shared" si="2214"/>
        <v>0</v>
      </c>
      <c r="YZ304" s="56"/>
      <c r="ZC304" s="55">
        <f t="shared" si="2215"/>
        <v>46280</v>
      </c>
      <c r="ZD304" s="56"/>
      <c r="ZE304" s="242">
        <f>SUMPRODUCT(PRODUCE!$B303:$DY303,PRODUCE!$EB$57:$IY$57)</f>
        <v>0</v>
      </c>
      <c r="ZF304" s="56"/>
      <c r="ZG304" s="242">
        <f t="shared" si="2216"/>
        <v>0</v>
      </c>
      <c r="ZH304" s="242">
        <f t="shared" si="2217"/>
        <v>0</v>
      </c>
      <c r="ZI304" s="56"/>
      <c r="ZL304" s="55">
        <f t="shared" si="2218"/>
        <v>46280</v>
      </c>
      <c r="ZM304" s="56"/>
      <c r="ZN304" s="242">
        <f>SUMPRODUCT(PRODUCE!$B303:$DY303,PRODUCE!$EB$57:$IY$57)</f>
        <v>0</v>
      </c>
      <c r="ZO304" s="56"/>
      <c r="ZP304" s="242">
        <f t="shared" si="2219"/>
        <v>0</v>
      </c>
      <c r="ZQ304" s="242">
        <f t="shared" si="2220"/>
        <v>0</v>
      </c>
      <c r="ZR304" s="56"/>
      <c r="ZU304" s="55">
        <f t="shared" si="2221"/>
        <v>46280</v>
      </c>
      <c r="ZV304" s="56"/>
      <c r="ZW304" s="242">
        <f>SUMPRODUCT(PRODUCE!$B303:$DY303,PRODUCE!$EB$57:$IY$57)</f>
        <v>0</v>
      </c>
      <c r="ZX304" s="56"/>
      <c r="ZY304" s="242">
        <f t="shared" si="2222"/>
        <v>0</v>
      </c>
      <c r="ZZ304" s="242">
        <f t="shared" si="2223"/>
        <v>0</v>
      </c>
      <c r="AAA304" s="56"/>
      <c r="AAD304" s="55">
        <f t="shared" si="2224"/>
        <v>46280</v>
      </c>
      <c r="AAE304" s="56"/>
      <c r="AAF304" s="242">
        <f>SUMPRODUCT(PRODUCE!$B303:$DY303,PRODUCE!$EB$57:$IY$57)</f>
        <v>0</v>
      </c>
      <c r="AAG304" s="56"/>
      <c r="AAH304" s="242">
        <f t="shared" si="2225"/>
        <v>0</v>
      </c>
      <c r="AAI304" s="242">
        <f t="shared" si="2226"/>
        <v>0</v>
      </c>
      <c r="AAJ304" s="56"/>
      <c r="AAM304" s="55">
        <f t="shared" si="2227"/>
        <v>46280</v>
      </c>
      <c r="AAN304" s="56"/>
      <c r="AAO304" s="242">
        <f>SUMPRODUCT(PRODUCE!$B303:$DY303,PRODUCE!$EB$57:$IY$57)</f>
        <v>0</v>
      </c>
      <c r="AAP304" s="56"/>
      <c r="AAQ304" s="242">
        <f t="shared" si="2228"/>
        <v>0</v>
      </c>
      <c r="AAR304" s="242">
        <f t="shared" si="2229"/>
        <v>0</v>
      </c>
      <c r="AAS304" s="56"/>
      <c r="AAV304" s="55">
        <f t="shared" si="2230"/>
        <v>46280</v>
      </c>
      <c r="AAW304" s="56"/>
      <c r="AAX304" s="242">
        <f>SUMPRODUCT(PRODUCE!$B303:$DY303,PRODUCE!$EB$57:$IY$57)</f>
        <v>0</v>
      </c>
      <c r="AAY304" s="56"/>
      <c r="AAZ304" s="242">
        <f t="shared" si="2231"/>
        <v>0</v>
      </c>
      <c r="ABA304" s="242">
        <f t="shared" si="2232"/>
        <v>0</v>
      </c>
      <c r="ABB304" s="56"/>
      <c r="ABE304" s="55">
        <f t="shared" si="2233"/>
        <v>46280</v>
      </c>
      <c r="ABF304" s="56"/>
      <c r="ABG304" s="242">
        <f>SUMPRODUCT(PRODUCE!$B303:$DY303,PRODUCE!$EB$57:$IY$57)</f>
        <v>0</v>
      </c>
      <c r="ABH304" s="56"/>
      <c r="ABI304" s="242">
        <f t="shared" si="2234"/>
        <v>0</v>
      </c>
      <c r="ABJ304" s="242">
        <f t="shared" si="2235"/>
        <v>0</v>
      </c>
      <c r="ABK304" s="56"/>
    </row>
    <row r="305" spans="2:739" s="54" customFormat="1" ht="15" customHeight="1" outlineLevel="1">
      <c r="B305" s="478"/>
      <c r="C305" s="55">
        <v>46281</v>
      </c>
      <c r="D305" s="56"/>
      <c r="E305" s="57">
        <f>SUMPRODUCT(PRODUCE!$B304:$DY304,PRODUCE!$EB$7:$IY$7)</f>
        <v>0</v>
      </c>
      <c r="F305" s="56"/>
      <c r="G305" s="57">
        <f t="shared" si="1992"/>
        <v>0</v>
      </c>
      <c r="H305" s="57">
        <f t="shared" si="1993"/>
        <v>236936.6</v>
      </c>
      <c r="I305" s="289"/>
      <c r="L305" s="55">
        <f t="shared" si="1994"/>
        <v>46281</v>
      </c>
      <c r="M305" s="56"/>
      <c r="N305" s="59">
        <f>SUMPRODUCT(PRODUCE!$B304:$DY304,PRODUCE!$EB$8:$IY$8)</f>
        <v>0</v>
      </c>
      <c r="O305" s="56"/>
      <c r="P305" s="59">
        <f t="shared" si="1995"/>
        <v>0</v>
      </c>
      <c r="Q305" s="59">
        <f t="shared" si="1996"/>
        <v>53017.600000000071</v>
      </c>
      <c r="R305" s="56"/>
      <c r="U305" s="55">
        <f t="shared" si="1997"/>
        <v>46281</v>
      </c>
      <c r="V305" s="56"/>
      <c r="W305" s="60">
        <f>SUMPRODUCT(PRODUCE!$B304:$DY304,PRODUCE!$EB$9:$IY$9)</f>
        <v>0</v>
      </c>
      <c r="X305" s="56"/>
      <c r="Y305" s="60">
        <f t="shared" si="1998"/>
        <v>0</v>
      </c>
      <c r="Z305" s="60">
        <f t="shared" si="1999"/>
        <v>42674.199999999968</v>
      </c>
      <c r="AA305" s="56"/>
      <c r="AD305" s="55">
        <f t="shared" si="2000"/>
        <v>46281</v>
      </c>
      <c r="AE305" s="56"/>
      <c r="AF305" s="61">
        <f>SUMPRODUCT(PRODUCE!$B304:$DY304,PRODUCE!$EB$10:$IY$10)</f>
        <v>0</v>
      </c>
      <c r="AG305" s="56"/>
      <c r="AH305" s="61">
        <f t="shared" si="2001"/>
        <v>0</v>
      </c>
      <c r="AI305" s="61">
        <f t="shared" si="2002"/>
        <v>4522.2000000000189</v>
      </c>
      <c r="AJ305" s="56"/>
      <c r="AM305" s="55">
        <f t="shared" si="2003"/>
        <v>46281</v>
      </c>
      <c r="AN305" s="422"/>
      <c r="AO305" s="444">
        <f>SUMPRODUCT(PRODUCE!$B304:$DY304,PRODUCE!$EB$11:$IY$11)</f>
        <v>0</v>
      </c>
      <c r="AP305" s="422"/>
      <c r="AQ305" s="444">
        <f t="shared" si="2004"/>
        <v>0</v>
      </c>
      <c r="AR305" s="444">
        <f t="shared" si="2005"/>
        <v>0</v>
      </c>
      <c r="AS305" s="56"/>
      <c r="AV305" s="55">
        <f t="shared" si="2006"/>
        <v>46281</v>
      </c>
      <c r="AW305" s="56"/>
      <c r="AX305" s="62">
        <f>SUMPRODUCT(PRODUCE!$B304:$DY304,PRODUCE!$EB$12:$IY$12)</f>
        <v>0</v>
      </c>
      <c r="AY305" s="56"/>
      <c r="AZ305" s="62">
        <f t="shared" si="2007"/>
        <v>0</v>
      </c>
      <c r="BA305" s="62">
        <f t="shared" si="2008"/>
        <v>124.99999999999523</v>
      </c>
      <c r="BB305" s="56"/>
      <c r="BE305" s="55">
        <f t="shared" si="2009"/>
        <v>46281</v>
      </c>
      <c r="BF305" s="56"/>
      <c r="BG305" s="63">
        <f>SUMPRODUCT(PRODUCE!$B304:$DY304,PRODUCE!$EB$13:$IY$13)</f>
        <v>0</v>
      </c>
      <c r="BH305" s="56"/>
      <c r="BI305" s="63">
        <f t="shared" si="2010"/>
        <v>0</v>
      </c>
      <c r="BJ305" s="63">
        <f t="shared" si="2011"/>
        <v>26151.899999999998</v>
      </c>
      <c r="BK305" s="56"/>
      <c r="BN305" s="55">
        <f t="shared" si="2012"/>
        <v>46281</v>
      </c>
      <c r="BO305" s="56"/>
      <c r="BP305" s="64">
        <f>SUMPRODUCT(PRODUCE!$B304:$DY304,PRODUCE!$EB$14:$IY$14)</f>
        <v>0</v>
      </c>
      <c r="BQ305" s="56"/>
      <c r="BR305" s="64">
        <f t="shared" si="2013"/>
        <v>0</v>
      </c>
      <c r="BS305" s="64">
        <f t="shared" si="2014"/>
        <v>0</v>
      </c>
      <c r="BT305" s="56"/>
      <c r="BW305" s="55">
        <f t="shared" si="2015"/>
        <v>46281</v>
      </c>
      <c r="BX305" s="56"/>
      <c r="BY305" s="65">
        <f>SUMPRODUCT(PRODUCE!$B304:$DY304,PRODUCE!$EB$15:$IY$15)</f>
        <v>0</v>
      </c>
      <c r="BZ305" s="56"/>
      <c r="CA305" s="65">
        <f t="shared" si="2016"/>
        <v>0</v>
      </c>
      <c r="CB305" s="65">
        <f t="shared" si="2017"/>
        <v>2097.3399999999992</v>
      </c>
      <c r="CC305" s="56"/>
      <c r="CF305" s="55">
        <f t="shared" si="2018"/>
        <v>46281</v>
      </c>
      <c r="CG305" s="56"/>
      <c r="CH305" s="66">
        <f>SUMPRODUCT(PRODUCE!$B304:$DY304,PRODUCE!$EB$16:$IY$16)</f>
        <v>0</v>
      </c>
      <c r="CI305" s="56"/>
      <c r="CJ305" s="66">
        <f t="shared" si="2019"/>
        <v>0</v>
      </c>
      <c r="CK305" s="66">
        <f t="shared" si="2020"/>
        <v>-10277.079999999998</v>
      </c>
      <c r="CL305" s="56"/>
      <c r="CO305" s="55">
        <f t="shared" si="2021"/>
        <v>46281</v>
      </c>
      <c r="CP305" s="422"/>
      <c r="CQ305" s="470">
        <f>SUMPRODUCT(PRODUCE!$B304:$DY304,PRODUCE!$EB$17:$IY$17)</f>
        <v>0</v>
      </c>
      <c r="CR305" s="422"/>
      <c r="CS305" s="470">
        <f t="shared" si="2022"/>
        <v>0</v>
      </c>
      <c r="CT305" s="470">
        <f t="shared" si="2023"/>
        <v>0</v>
      </c>
      <c r="CU305" s="56"/>
      <c r="CX305" s="55">
        <f t="shared" si="2024"/>
        <v>46281</v>
      </c>
      <c r="CY305" s="56"/>
      <c r="CZ305" s="133">
        <f>SUMPRODUCT(PRODUCE!$B304:$DY304,PRODUCE!$EB$18:$IY$18)</f>
        <v>0</v>
      </c>
      <c r="DA305" s="56"/>
      <c r="DB305" s="133">
        <f t="shared" si="2025"/>
        <v>0</v>
      </c>
      <c r="DC305" s="133">
        <f t="shared" si="2026"/>
        <v>27438.200000000012</v>
      </c>
      <c r="DD305" s="56"/>
      <c r="DG305" s="55">
        <f t="shared" si="2027"/>
        <v>46281</v>
      </c>
      <c r="DH305" s="56"/>
      <c r="DI305" s="147">
        <f>SUMPRODUCT(PRODUCE!$B304:$DY304,PRODUCE!$EB$19:$IY$19)</f>
        <v>0</v>
      </c>
      <c r="DJ305" s="56"/>
      <c r="DK305" s="147">
        <f t="shared" si="2028"/>
        <v>0</v>
      </c>
      <c r="DL305" s="147">
        <f t="shared" si="2029"/>
        <v>18782.299999999981</v>
      </c>
      <c r="DM305" s="56"/>
      <c r="DP305" s="55">
        <f t="shared" si="2030"/>
        <v>46281</v>
      </c>
      <c r="DQ305" s="56"/>
      <c r="DR305" s="57">
        <f>SUMPRODUCT(PRODUCE!$B304:$DY304,PRODUCE!$EB$20:$IY$20)</f>
        <v>0</v>
      </c>
      <c r="DS305" s="56"/>
      <c r="DT305" s="57">
        <f t="shared" si="2031"/>
        <v>0</v>
      </c>
      <c r="DU305" s="57">
        <f t="shared" si="2032"/>
        <v>5800</v>
      </c>
      <c r="DV305" s="56"/>
      <c r="DY305" s="55">
        <f t="shared" si="2033"/>
        <v>46281</v>
      </c>
      <c r="DZ305" s="56"/>
      <c r="EA305" s="157">
        <f>SUMPRODUCT(PRODUCE!$B304:$DY304,PRODUCE!$EB$21:$IY$21)</f>
        <v>0</v>
      </c>
      <c r="EB305" s="56"/>
      <c r="EC305" s="157">
        <f t="shared" si="2034"/>
        <v>0</v>
      </c>
      <c r="ED305" s="157">
        <f t="shared" si="2035"/>
        <v>0</v>
      </c>
      <c r="EE305" s="56"/>
      <c r="EH305" s="55">
        <f t="shared" si="2036"/>
        <v>46281</v>
      </c>
      <c r="EI305" s="56"/>
      <c r="EJ305" s="162">
        <f>SUMPRODUCT(PRODUCE!$B304:$DY304,PRODUCE!$EB$22:$IY$22)</f>
        <v>0</v>
      </c>
      <c r="EK305" s="56"/>
      <c r="EL305" s="162">
        <f t="shared" si="2037"/>
        <v>0</v>
      </c>
      <c r="EM305" s="162">
        <f t="shared" si="2038"/>
        <v>0</v>
      </c>
      <c r="EN305" s="56"/>
      <c r="EQ305" s="55">
        <f t="shared" si="2039"/>
        <v>46281</v>
      </c>
      <c r="ER305" s="56"/>
      <c r="ES305" s="135">
        <f>SUMPRODUCT(PRODUCE!$B304:$DY304,PRODUCE!$EB$23:$IY$23)</f>
        <v>0</v>
      </c>
      <c r="ET305" s="56"/>
      <c r="EU305" s="135">
        <f t="shared" si="2040"/>
        <v>0</v>
      </c>
      <c r="EV305" s="135">
        <f t="shared" si="2041"/>
        <v>0</v>
      </c>
      <c r="EW305" s="56"/>
      <c r="EZ305" s="55">
        <f t="shared" si="2042"/>
        <v>46281</v>
      </c>
      <c r="FA305" s="56"/>
      <c r="FB305" s="175">
        <f>SUMPRODUCT(PRODUCE!$B304:$DY304,PRODUCE!$EB$24:$IY$24)</f>
        <v>0</v>
      </c>
      <c r="FC305" s="56"/>
      <c r="FD305" s="175">
        <f t="shared" si="2043"/>
        <v>0</v>
      </c>
      <c r="FE305" s="175">
        <f t="shared" si="2044"/>
        <v>0</v>
      </c>
      <c r="FF305" s="56"/>
      <c r="FI305" s="55">
        <f t="shared" si="2045"/>
        <v>46281</v>
      </c>
      <c r="FJ305" s="56"/>
      <c r="FK305" s="183">
        <f>SUMPRODUCT(PRODUCE!$B304:$DY304,PRODUCE!$EB$25:$IY$25)</f>
        <v>0</v>
      </c>
      <c r="FL305" s="56"/>
      <c r="FM305" s="183">
        <f t="shared" si="2046"/>
        <v>0</v>
      </c>
      <c r="FN305" s="183">
        <f t="shared" si="2047"/>
        <v>0</v>
      </c>
      <c r="FO305" s="56"/>
      <c r="FR305" s="55">
        <f t="shared" si="2048"/>
        <v>46281</v>
      </c>
      <c r="FS305" s="56"/>
      <c r="FT305" s="186">
        <f>SUMPRODUCT(PRODUCE!$B304:$DY304,PRODUCE!$EB$26:$IY$26)</f>
        <v>0</v>
      </c>
      <c r="FU305" s="56"/>
      <c r="FV305" s="186">
        <f t="shared" si="2049"/>
        <v>0</v>
      </c>
      <c r="FW305" s="186">
        <f t="shared" si="2050"/>
        <v>2020</v>
      </c>
      <c r="FX305" s="56"/>
      <c r="GA305" s="55">
        <f t="shared" si="2051"/>
        <v>46281</v>
      </c>
      <c r="GB305" s="56"/>
      <c r="GC305" s="137">
        <f>SUMPRODUCT(PRODUCE!$B304:$DY304,PRODUCE!$EB$27:$IY$27)</f>
        <v>0</v>
      </c>
      <c r="GD305" s="56"/>
      <c r="GE305" s="137">
        <f t="shared" si="2052"/>
        <v>0</v>
      </c>
      <c r="GF305" s="137">
        <f t="shared" si="2053"/>
        <v>960</v>
      </c>
      <c r="GG305" s="56"/>
      <c r="GI305" s="23"/>
      <c r="GJ305" s="55">
        <f t="shared" si="2054"/>
        <v>46281</v>
      </c>
      <c r="GK305" s="56"/>
      <c r="GL305" s="199">
        <f>SUMPRODUCT(PRODUCE!$B304:$DY304,PRODUCE!$EB$28:$IY$28)</f>
        <v>0</v>
      </c>
      <c r="GM305" s="56"/>
      <c r="GN305" s="199">
        <f t="shared" si="2055"/>
        <v>0</v>
      </c>
      <c r="GO305" s="199">
        <f t="shared" si="2056"/>
        <v>1760</v>
      </c>
      <c r="GP305" s="56"/>
      <c r="GS305" s="55">
        <f t="shared" si="2057"/>
        <v>46281</v>
      </c>
      <c r="GT305" s="56"/>
      <c r="GU305" s="195">
        <f>SUMPRODUCT(PRODUCE!$B304:$DY304,PRODUCE!$EB$29:$IY$29)</f>
        <v>0</v>
      </c>
      <c r="GV305" s="56"/>
      <c r="GW305" s="195">
        <f t="shared" si="2058"/>
        <v>0</v>
      </c>
      <c r="GX305" s="195">
        <f t="shared" si="2059"/>
        <v>400</v>
      </c>
      <c r="GY305" s="56"/>
      <c r="HB305" s="55">
        <f t="shared" si="2060"/>
        <v>46281</v>
      </c>
      <c r="HC305" s="56"/>
      <c r="HD305" s="191">
        <f>SUMPRODUCT(PRODUCE!$B304:$DY304,PRODUCE!$EB$30:$IY$30)</f>
        <v>0</v>
      </c>
      <c r="HE305" s="56"/>
      <c r="HF305" s="191">
        <f t="shared" si="2061"/>
        <v>0</v>
      </c>
      <c r="HG305" s="191">
        <f t="shared" si="2062"/>
        <v>3600</v>
      </c>
      <c r="HH305" s="56"/>
      <c r="HK305" s="55">
        <f t="shared" si="2063"/>
        <v>46281</v>
      </c>
      <c r="HL305" s="56"/>
      <c r="HM305" s="63">
        <f>SUMPRODUCT(PRODUCE!$B304:$DY304,PRODUCE!$EB$31:$IY$31)</f>
        <v>0</v>
      </c>
      <c r="HN305" s="56"/>
      <c r="HO305" s="63">
        <f t="shared" si="2064"/>
        <v>0</v>
      </c>
      <c r="HP305" s="63">
        <f t="shared" si="2065"/>
        <v>0</v>
      </c>
      <c r="HQ305" s="56"/>
      <c r="HU305" s="55">
        <f t="shared" si="2066"/>
        <v>46281</v>
      </c>
      <c r="HV305" s="56"/>
      <c r="HW305" s="242">
        <f>SUMPRODUCT(PRODUCE!$B304:$DY304,PRODUCE!$EB$32:$IY$32)</f>
        <v>0</v>
      </c>
      <c r="HX305" s="56"/>
      <c r="HY305" s="242">
        <f t="shared" si="2236"/>
        <v>0</v>
      </c>
      <c r="HZ305" s="242">
        <f t="shared" si="2067"/>
        <v>6120</v>
      </c>
      <c r="IA305" s="56"/>
      <c r="ID305" s="55">
        <f t="shared" si="2068"/>
        <v>46281</v>
      </c>
      <c r="IE305" s="56"/>
      <c r="IF305" s="242">
        <f>SUMPRODUCT(PRODUCE!$B304:$DY304,PRODUCE!$EB$33:$IY$33)</f>
        <v>0</v>
      </c>
      <c r="IG305" s="56"/>
      <c r="IH305" s="242">
        <f t="shared" si="2069"/>
        <v>0</v>
      </c>
      <c r="II305" s="242">
        <f t="shared" si="2070"/>
        <v>0</v>
      </c>
      <c r="IJ305" s="56"/>
      <c r="IM305" s="55">
        <f t="shared" si="2071"/>
        <v>46281</v>
      </c>
      <c r="IN305" s="56"/>
      <c r="IO305" s="242">
        <f>SUMPRODUCT(PRODUCE!$B304:$DY304,PRODUCE!$EB$34:$IY$34)</f>
        <v>0</v>
      </c>
      <c r="IP305" s="56"/>
      <c r="IQ305" s="242">
        <f t="shared" si="2072"/>
        <v>0</v>
      </c>
      <c r="IR305" s="242">
        <f t="shared" si="2073"/>
        <v>0</v>
      </c>
      <c r="IS305" s="56"/>
      <c r="IV305" s="55">
        <f t="shared" si="2074"/>
        <v>46281</v>
      </c>
      <c r="IW305" s="56"/>
      <c r="IX305" s="242">
        <f>SUMPRODUCT(PRODUCE!$B304:$DY304,PRODUCE!$EB$35:$IY$35)</f>
        <v>0</v>
      </c>
      <c r="IY305" s="56"/>
      <c r="IZ305" s="242">
        <f t="shared" si="2075"/>
        <v>0</v>
      </c>
      <c r="JA305" s="242">
        <f t="shared" si="2076"/>
        <v>2820</v>
      </c>
      <c r="JB305" s="56"/>
      <c r="JE305" s="55">
        <f t="shared" si="2077"/>
        <v>46281</v>
      </c>
      <c r="JF305" s="56"/>
      <c r="JG305" s="242">
        <f>SUMPRODUCT(PRODUCE!$B304:$DY304,PRODUCE!$EB$36:$IY$36)</f>
        <v>0</v>
      </c>
      <c r="JH305" s="56"/>
      <c r="JI305" s="242">
        <f t="shared" si="2078"/>
        <v>0</v>
      </c>
      <c r="JJ305" s="242">
        <f t="shared" si="2079"/>
        <v>0</v>
      </c>
      <c r="JK305" s="56"/>
      <c r="JN305" s="55">
        <f t="shared" si="2080"/>
        <v>46281</v>
      </c>
      <c r="JO305" s="56"/>
      <c r="JP305" s="242">
        <f>SUMPRODUCT(PRODUCE!$B304:$DY304,PRODUCE!$EB$37:$IY$37)</f>
        <v>0</v>
      </c>
      <c r="JQ305" s="56"/>
      <c r="JR305" s="242">
        <f t="shared" si="2081"/>
        <v>0</v>
      </c>
      <c r="JS305" s="242">
        <f t="shared" si="2082"/>
        <v>0</v>
      </c>
      <c r="JT305" s="56"/>
      <c r="JW305" s="55">
        <f t="shared" si="2083"/>
        <v>46281</v>
      </c>
      <c r="JX305" s="56"/>
      <c r="JY305" s="242">
        <f>SUMPRODUCT(PRODUCE!$B304:$DY304,PRODUCE!$EB$38:$IY$38)</f>
        <v>0</v>
      </c>
      <c r="JZ305" s="56"/>
      <c r="KA305" s="242">
        <f t="shared" si="2084"/>
        <v>0</v>
      </c>
      <c r="KB305" s="242">
        <f t="shared" si="2085"/>
        <v>2540</v>
      </c>
      <c r="KC305" s="56"/>
      <c r="KF305" s="55">
        <f t="shared" si="2086"/>
        <v>46281</v>
      </c>
      <c r="KG305" s="56"/>
      <c r="KH305" s="242">
        <f>SUMPRODUCT(PRODUCE!$B304:$DY304,PRODUCE!$EB$39:$IY$39)</f>
        <v>0</v>
      </c>
      <c r="KI305" s="56"/>
      <c r="KJ305" s="242">
        <f t="shared" si="2087"/>
        <v>0</v>
      </c>
      <c r="KK305" s="242">
        <f t="shared" si="2088"/>
        <v>2359.5</v>
      </c>
      <c r="KL305" s="56"/>
      <c r="KO305" s="55">
        <f t="shared" si="2089"/>
        <v>46281</v>
      </c>
      <c r="KP305" s="56"/>
      <c r="KQ305" s="242">
        <f>SUMPRODUCT(PRODUCE!$B304:$DY304,PRODUCE!$EB$40:$IY$40)</f>
        <v>0</v>
      </c>
      <c r="KR305" s="56"/>
      <c r="KS305" s="242">
        <f t="shared" si="2090"/>
        <v>0</v>
      </c>
      <c r="KT305" s="242">
        <f t="shared" si="2091"/>
        <v>1890</v>
      </c>
      <c r="KU305" s="56"/>
      <c r="KW305" s="23"/>
      <c r="KX305" s="55">
        <f t="shared" si="2092"/>
        <v>46281</v>
      </c>
      <c r="KY305" s="56"/>
      <c r="KZ305" s="242">
        <f>SUMPRODUCT(PRODUCE!$B304:$DY304,PRODUCE!$EB$41:$IY$41)</f>
        <v>0</v>
      </c>
      <c r="LA305" s="56"/>
      <c r="LB305" s="242">
        <f t="shared" si="2093"/>
        <v>0</v>
      </c>
      <c r="LC305" s="242">
        <f t="shared" si="2094"/>
        <v>3690</v>
      </c>
      <c r="LD305" s="56"/>
      <c r="LG305" s="55">
        <f t="shared" si="2095"/>
        <v>46281</v>
      </c>
      <c r="LH305" s="56"/>
      <c r="LI305" s="242">
        <f>SUMPRODUCT(PRODUCE!$B304:$DY304,PRODUCE!$EB$42:$IY$42)</f>
        <v>0</v>
      </c>
      <c r="LJ305" s="56"/>
      <c r="LK305" s="242">
        <f t="shared" si="2096"/>
        <v>0</v>
      </c>
      <c r="LL305" s="242">
        <f t="shared" si="2097"/>
        <v>4000</v>
      </c>
      <c r="LM305" s="56"/>
      <c r="LP305" s="55">
        <f t="shared" si="2098"/>
        <v>46281</v>
      </c>
      <c r="LQ305" s="56"/>
      <c r="LR305" s="242">
        <f>SUMPRODUCT(PRODUCE!$B320:$DY320,PRODUCE!$EB$43:$IY$43)</f>
        <v>0</v>
      </c>
      <c r="LS305" s="56"/>
      <c r="LT305" s="242">
        <f t="shared" si="2099"/>
        <v>0</v>
      </c>
      <c r="LU305" s="242">
        <f t="shared" si="2100"/>
        <v>0</v>
      </c>
      <c r="LV305" s="56"/>
      <c r="LY305" s="55">
        <f t="shared" si="2101"/>
        <v>46281</v>
      </c>
      <c r="LZ305" s="56"/>
      <c r="MA305" s="242">
        <f>SUMPRODUCT(PRODUCE!$B304:$DY304,PRODUCE!$EB$44:$IY$44)</f>
        <v>0</v>
      </c>
      <c r="MB305" s="56"/>
      <c r="MC305" s="242">
        <f t="shared" si="2102"/>
        <v>0</v>
      </c>
      <c r="MD305" s="242">
        <f t="shared" si="2103"/>
        <v>0</v>
      </c>
      <c r="ME305" s="56"/>
      <c r="MH305" s="55">
        <f t="shared" si="2104"/>
        <v>46281</v>
      </c>
      <c r="MI305" s="56"/>
      <c r="MJ305" s="242">
        <f>SUMPRODUCT(PRODUCE!$B304:$DY304,PRODUCE!$EB$45:$IY$45)</f>
        <v>0</v>
      </c>
      <c r="MK305" s="56"/>
      <c r="ML305" s="242">
        <f t="shared" si="2105"/>
        <v>0</v>
      </c>
      <c r="MM305" s="242">
        <f t="shared" si="2106"/>
        <v>0</v>
      </c>
      <c r="MN305" s="56"/>
      <c r="MQ305" s="55">
        <f t="shared" si="2107"/>
        <v>46281</v>
      </c>
      <c r="MR305" s="56"/>
      <c r="MS305" s="242">
        <f>SUMPRODUCT(PRODUCE!$B304:$DY304,PRODUCE!$EB$46:$IY$46)</f>
        <v>0</v>
      </c>
      <c r="MT305" s="56"/>
      <c r="MU305" s="242">
        <f t="shared" si="2108"/>
        <v>0</v>
      </c>
      <c r="MV305" s="242">
        <f t="shared" si="2109"/>
        <v>1625</v>
      </c>
      <c r="MW305" s="56"/>
      <c r="MZ305" s="55">
        <f t="shared" si="2110"/>
        <v>46281</v>
      </c>
      <c r="NA305" s="56"/>
      <c r="NB305" s="242">
        <f>SUMPRODUCT(PRODUCE!$B304:$DY304,PRODUCE!$EB$47:$IY$47)</f>
        <v>0</v>
      </c>
      <c r="NC305" s="56"/>
      <c r="ND305" s="242">
        <f t="shared" si="2111"/>
        <v>0</v>
      </c>
      <c r="NE305" s="242">
        <f t="shared" si="2112"/>
        <v>0</v>
      </c>
      <c r="NF305" s="56"/>
      <c r="NI305" s="55">
        <f t="shared" si="2113"/>
        <v>46281</v>
      </c>
      <c r="NJ305" s="56"/>
      <c r="NK305" s="242">
        <f>SUMPRODUCT(PRODUCE!$B304:$DY304,PRODUCE!$EB$48:$IY$48)</f>
        <v>0</v>
      </c>
      <c r="NL305" s="56"/>
      <c r="NM305" s="242">
        <f t="shared" si="2114"/>
        <v>0</v>
      </c>
      <c r="NN305" s="242">
        <f t="shared" si="2115"/>
        <v>1127</v>
      </c>
      <c r="NO305" s="56"/>
      <c r="NR305" s="55">
        <f t="shared" si="2116"/>
        <v>46281</v>
      </c>
      <c r="NS305" s="56"/>
      <c r="NT305" s="242">
        <f>SUMPRODUCT(PRODUCE!$B304:$DY304,PRODUCE!$EB$49:$IY$49)</f>
        <v>0</v>
      </c>
      <c r="NU305" s="56"/>
      <c r="NV305" s="242">
        <f t="shared" si="2117"/>
        <v>0</v>
      </c>
      <c r="NW305" s="242">
        <f t="shared" si="2118"/>
        <v>3111.9999999999995</v>
      </c>
      <c r="NX305" s="56"/>
      <c r="OA305" s="55">
        <f t="shared" si="2119"/>
        <v>46281</v>
      </c>
      <c r="OB305" s="56"/>
      <c r="OC305" s="242">
        <f>SUMPRODUCT(PRODUCE!$B304:$DY304,PRODUCE!$EB$50:$IY$50)</f>
        <v>0</v>
      </c>
      <c r="OD305" s="56"/>
      <c r="OE305" s="242">
        <f t="shared" si="2120"/>
        <v>0</v>
      </c>
      <c r="OF305" s="242">
        <f t="shared" si="2121"/>
        <v>1680.5</v>
      </c>
      <c r="OG305" s="56"/>
      <c r="OJ305" s="55">
        <f t="shared" si="2122"/>
        <v>46281</v>
      </c>
      <c r="OK305" s="56"/>
      <c r="OL305" s="242">
        <f>SUMPRODUCT(PRODUCE!$B304:$DY304,PRODUCE!$EB$51:$IY$51)</f>
        <v>0</v>
      </c>
      <c r="OM305" s="56"/>
      <c r="ON305" s="242">
        <f t="shared" si="2123"/>
        <v>0</v>
      </c>
      <c r="OO305" s="242">
        <f t="shared" si="2124"/>
        <v>0</v>
      </c>
      <c r="OP305" s="56"/>
      <c r="OS305" s="55">
        <f t="shared" si="2125"/>
        <v>46281</v>
      </c>
      <c r="OT305" s="56"/>
      <c r="OU305" s="242">
        <f>SUMPRODUCT(PRODUCE!$B304:$DY304,PRODUCE!$EB$52:$IY$52)</f>
        <v>0</v>
      </c>
      <c r="OV305" s="56"/>
      <c r="OW305" s="242">
        <f t="shared" si="2126"/>
        <v>0</v>
      </c>
      <c r="OX305" s="242">
        <f t="shared" si="2127"/>
        <v>1482</v>
      </c>
      <c r="OY305" s="56"/>
      <c r="PB305" s="55">
        <f t="shared" si="2128"/>
        <v>46281</v>
      </c>
      <c r="PC305" s="56"/>
      <c r="PD305" s="242">
        <f>SUMPRODUCT(PRODUCE!$B304:$DY304,PRODUCE!$EB$53:$IY$53)</f>
        <v>0</v>
      </c>
      <c r="PE305" s="56"/>
      <c r="PF305" s="242">
        <f t="shared" si="2129"/>
        <v>0</v>
      </c>
      <c r="PG305" s="242">
        <f t="shared" si="2130"/>
        <v>0</v>
      </c>
      <c r="PH305" s="56"/>
      <c r="PK305" s="55">
        <f t="shared" si="2131"/>
        <v>46281</v>
      </c>
      <c r="PL305" s="56"/>
      <c r="PM305" s="242">
        <f>SUMPRODUCT(PRODUCE!$B304:$DY304,PRODUCE!$EB$54:$IY$54)</f>
        <v>0</v>
      </c>
      <c r="PN305" s="56"/>
      <c r="PO305" s="242">
        <f t="shared" si="2132"/>
        <v>0</v>
      </c>
      <c r="PP305" s="242">
        <f t="shared" si="2133"/>
        <v>100</v>
      </c>
      <c r="PQ305" s="56"/>
      <c r="PT305" s="55">
        <f t="shared" si="2134"/>
        <v>46281</v>
      </c>
      <c r="PU305" s="56"/>
      <c r="PV305" s="242">
        <f>SUMPRODUCT(PRODUCE!$B304:$DY304,PRODUCE!$EB$55:$IY$55)</f>
        <v>0</v>
      </c>
      <c r="PW305" s="56"/>
      <c r="PX305" s="242">
        <f t="shared" si="2135"/>
        <v>0</v>
      </c>
      <c r="PY305" s="242">
        <f t="shared" si="2136"/>
        <v>13.960000000000036</v>
      </c>
      <c r="PZ305" s="56"/>
      <c r="QC305" s="55">
        <f t="shared" si="2137"/>
        <v>46281</v>
      </c>
      <c r="QD305" s="56"/>
      <c r="QE305" s="242">
        <f>SUMPRODUCT(PRODUCE!$B304:$DY304,PRODUCE!$EB$56:$IY$56)</f>
        <v>0</v>
      </c>
      <c r="QF305" s="56"/>
      <c r="QG305" s="242">
        <f t="shared" si="2138"/>
        <v>0</v>
      </c>
      <c r="QH305" s="242">
        <f t="shared" si="2139"/>
        <v>548</v>
      </c>
      <c r="QI305" s="56"/>
      <c r="QL305" s="55">
        <f t="shared" si="2140"/>
        <v>46281</v>
      </c>
      <c r="QM305" s="56"/>
      <c r="QN305" s="242">
        <f>SUMPRODUCT(PRODUCE!$B304:$DY304,PRODUCE!$EB$57:$IY$57)</f>
        <v>0</v>
      </c>
      <c r="QO305" s="56"/>
      <c r="QP305" s="242">
        <f t="shared" si="2141"/>
        <v>0</v>
      </c>
      <c r="QQ305" s="242">
        <f t="shared" si="2142"/>
        <v>0</v>
      </c>
      <c r="QR305" s="56"/>
      <c r="QU305" s="55">
        <f t="shared" si="2143"/>
        <v>46281</v>
      </c>
      <c r="QV305" s="56"/>
      <c r="QW305" s="242">
        <f>SUMPRODUCT(PRODUCE!$B304:$DY304,PRODUCE!$EB$57:$IY$57)</f>
        <v>0</v>
      </c>
      <c r="QX305" s="56"/>
      <c r="QY305" s="242">
        <f t="shared" si="2144"/>
        <v>0</v>
      </c>
      <c r="QZ305" s="242">
        <f t="shared" si="2145"/>
        <v>0</v>
      </c>
      <c r="RA305" s="56"/>
      <c r="RD305" s="55">
        <f t="shared" si="2146"/>
        <v>46281</v>
      </c>
      <c r="RE305" s="56"/>
      <c r="RF305" s="242">
        <f>SUMPRODUCT(PRODUCE!$B304:$DY304,PRODUCE!$EB$58:$IY$58)</f>
        <v>0</v>
      </c>
      <c r="RG305" s="56"/>
      <c r="RH305" s="242">
        <f t="shared" si="2147"/>
        <v>0</v>
      </c>
      <c r="RI305" s="242">
        <f t="shared" si="2148"/>
        <v>147.04000000000002</v>
      </c>
      <c r="RJ305" s="56"/>
      <c r="RM305" s="55">
        <f t="shared" si="2149"/>
        <v>46281</v>
      </c>
      <c r="RN305" s="56"/>
      <c r="RO305" s="242">
        <f>SUMPRODUCT(PRODUCE!$B304:$DY304,PRODUCE!$EB$59:$IY$59)</f>
        <v>0</v>
      </c>
      <c r="RP305" s="56"/>
      <c r="RQ305" s="242">
        <f t="shared" si="2150"/>
        <v>0</v>
      </c>
      <c r="RR305" s="242">
        <f t="shared" si="2151"/>
        <v>46.8</v>
      </c>
      <c r="RS305" s="56"/>
      <c r="RV305" s="55">
        <f t="shared" si="2152"/>
        <v>46281</v>
      </c>
      <c r="RW305" s="56"/>
      <c r="RX305" s="242">
        <f>SUMPRODUCT(PRODUCE!$B304:$DY304,PRODUCE!$EB$57:$IY$57)</f>
        <v>0</v>
      </c>
      <c r="RY305" s="56"/>
      <c r="RZ305" s="242">
        <f t="shared" si="2153"/>
        <v>0</v>
      </c>
      <c r="SA305" s="242">
        <f t="shared" si="2154"/>
        <v>0</v>
      </c>
      <c r="SB305" s="56"/>
      <c r="SE305" s="55">
        <f t="shared" si="2155"/>
        <v>46281</v>
      </c>
      <c r="SF305" s="56"/>
      <c r="SG305" s="242">
        <f>SUMPRODUCT(PRODUCE!$B304:$DY304,PRODUCE!$EB$61:$IY$61)</f>
        <v>0</v>
      </c>
      <c r="SH305" s="56"/>
      <c r="SI305" s="242">
        <f t="shared" si="2156"/>
        <v>0</v>
      </c>
      <c r="SJ305" s="242">
        <f t="shared" si="2157"/>
        <v>24.200000000000003</v>
      </c>
      <c r="SK305" s="56"/>
      <c r="SN305" s="55">
        <f t="shared" si="2158"/>
        <v>46281</v>
      </c>
      <c r="SO305" s="56"/>
      <c r="SP305" s="242">
        <f>SUMPRODUCT(PRODUCE!$B304:$DY304,PRODUCE!$EB$57:$IY$57)</f>
        <v>0</v>
      </c>
      <c r="SQ305" s="56"/>
      <c r="SR305" s="242">
        <f t="shared" si="2159"/>
        <v>0</v>
      </c>
      <c r="SS305" s="242">
        <f t="shared" si="2160"/>
        <v>32</v>
      </c>
      <c r="ST305" s="56"/>
      <c r="SW305" s="55">
        <f t="shared" si="2161"/>
        <v>46281</v>
      </c>
      <c r="SX305" s="56"/>
      <c r="SY305" s="242">
        <f>SUMPRODUCT(PRODUCE!$B304:$DY304,PRODUCE!$EB$57:$IY$57)</f>
        <v>0</v>
      </c>
      <c r="SZ305" s="56"/>
      <c r="TA305" s="242">
        <f t="shared" si="2162"/>
        <v>0</v>
      </c>
      <c r="TB305" s="242">
        <f t="shared" si="2163"/>
        <v>0</v>
      </c>
      <c r="TC305" s="56"/>
      <c r="TF305" s="55">
        <f t="shared" si="2164"/>
        <v>46281</v>
      </c>
      <c r="TG305" s="56"/>
      <c r="TH305" s="242">
        <f>SUMPRODUCT(PRODUCE!$B304:$DY304,PRODUCE!$EB$57:$IY$57)</f>
        <v>0</v>
      </c>
      <c r="TI305" s="56"/>
      <c r="TJ305" s="242">
        <f t="shared" si="2165"/>
        <v>0</v>
      </c>
      <c r="TK305" s="242">
        <f t="shared" si="2166"/>
        <v>0</v>
      </c>
      <c r="TL305" s="56"/>
      <c r="TO305" s="55">
        <f t="shared" si="2167"/>
        <v>46281</v>
      </c>
      <c r="TP305" s="56"/>
      <c r="TQ305" s="242">
        <f>SUMPRODUCT(PRODUCE!$B304:$DY304,PRODUCE!$EB$57:$IY$57)</f>
        <v>0</v>
      </c>
      <c r="TR305" s="56"/>
      <c r="TS305" s="242">
        <f t="shared" si="2168"/>
        <v>0</v>
      </c>
      <c r="TT305" s="242">
        <f t="shared" si="2169"/>
        <v>0</v>
      </c>
      <c r="TU305" s="56"/>
      <c r="TX305" s="55">
        <f t="shared" si="2170"/>
        <v>46281</v>
      </c>
      <c r="TY305" s="56"/>
      <c r="TZ305" s="242">
        <f>SUMPRODUCT(PRODUCE!$B304:$DY304,PRODUCE!$EB$57:$IY$57)</f>
        <v>0</v>
      </c>
      <c r="UA305" s="56"/>
      <c r="UB305" s="242">
        <f t="shared" si="2171"/>
        <v>0</v>
      </c>
      <c r="UC305" s="242">
        <f t="shared" si="2172"/>
        <v>46.799999999999983</v>
      </c>
      <c r="UD305" s="56"/>
      <c r="UG305" s="55">
        <f t="shared" si="2173"/>
        <v>46281</v>
      </c>
      <c r="UH305" s="56"/>
      <c r="UI305" s="242">
        <f>SUMPRODUCT(PRODUCE!$B304:$DY304,PRODUCE!$EB$57:$IY$57)</f>
        <v>0</v>
      </c>
      <c r="UJ305" s="56"/>
      <c r="UK305" s="242">
        <f t="shared" si="2174"/>
        <v>0</v>
      </c>
      <c r="UL305" s="242">
        <f t="shared" si="2175"/>
        <v>204</v>
      </c>
      <c r="UM305" s="56"/>
      <c r="UP305" s="55">
        <f t="shared" si="2176"/>
        <v>46281</v>
      </c>
      <c r="UQ305" s="56"/>
      <c r="UR305" s="242">
        <f>SUMPRODUCT(PRODUCE!$B304:$DY304,PRODUCE!$EB$57:$IY$57)</f>
        <v>0</v>
      </c>
      <c r="US305" s="56"/>
      <c r="UT305" s="242">
        <f t="shared" si="2177"/>
        <v>0</v>
      </c>
      <c r="UU305" s="242">
        <f t="shared" si="2178"/>
        <v>202.5</v>
      </c>
      <c r="UV305" s="56"/>
      <c r="UY305" s="55">
        <f t="shared" si="2179"/>
        <v>46281</v>
      </c>
      <c r="UZ305" s="56"/>
      <c r="VA305" s="242">
        <f>SUMPRODUCT(PRODUCE!$B304:$DY304,PRODUCE!$EB$57:$IY$57)</f>
        <v>0</v>
      </c>
      <c r="VB305" s="56"/>
      <c r="VC305" s="242">
        <f t="shared" si="2180"/>
        <v>0</v>
      </c>
      <c r="VD305" s="242">
        <f t="shared" si="2181"/>
        <v>41.600000000000023</v>
      </c>
      <c r="VE305" s="56"/>
      <c r="VH305" s="55">
        <f t="shared" si="2182"/>
        <v>46281</v>
      </c>
      <c r="VI305" s="56"/>
      <c r="VJ305" s="242">
        <f>SUMPRODUCT(PRODUCE!$B304:$DY304,PRODUCE!$EB$57:$IY$57)</f>
        <v>0</v>
      </c>
      <c r="VK305" s="56"/>
      <c r="VL305" s="242">
        <f t="shared" si="2183"/>
        <v>0</v>
      </c>
      <c r="VM305" s="242">
        <f t="shared" si="2184"/>
        <v>210</v>
      </c>
      <c r="VN305" s="56"/>
      <c r="VQ305" s="55">
        <f t="shared" si="2185"/>
        <v>46281</v>
      </c>
      <c r="VR305" s="56"/>
      <c r="VS305" s="242">
        <f>SUMPRODUCT(PRODUCE!$B304:$DY304,PRODUCE!$EB$57:$IY$57)</f>
        <v>0</v>
      </c>
      <c r="VT305" s="56"/>
      <c r="VU305" s="242">
        <f t="shared" si="2186"/>
        <v>0</v>
      </c>
      <c r="VV305" s="242">
        <f t="shared" si="2187"/>
        <v>0</v>
      </c>
      <c r="VW305" s="56"/>
      <c r="VZ305" s="55">
        <f t="shared" si="2188"/>
        <v>46281</v>
      </c>
      <c r="WA305" s="56"/>
      <c r="WB305" s="242">
        <f>SUMPRODUCT(PRODUCE!$B304:$DY304,PRODUCE!$EB$57:$IY$57)</f>
        <v>0</v>
      </c>
      <c r="WC305" s="56"/>
      <c r="WD305" s="242">
        <f t="shared" si="2189"/>
        <v>0</v>
      </c>
      <c r="WE305" s="242">
        <f t="shared" si="2190"/>
        <v>0</v>
      </c>
      <c r="WF305" s="56"/>
      <c r="WI305" s="55">
        <f t="shared" si="2191"/>
        <v>46281</v>
      </c>
      <c r="WJ305" s="56"/>
      <c r="WK305" s="242">
        <f>SUMPRODUCT(PRODUCE!$B304:$DY304,PRODUCE!$EB$57:$IY$57)</f>
        <v>0</v>
      </c>
      <c r="WL305" s="56"/>
      <c r="WM305" s="242">
        <f t="shared" si="2192"/>
        <v>0</v>
      </c>
      <c r="WN305" s="242">
        <f t="shared" si="2193"/>
        <v>1057</v>
      </c>
      <c r="WO305" s="56"/>
      <c r="WR305" s="55">
        <f t="shared" si="2194"/>
        <v>46281</v>
      </c>
      <c r="WS305" s="56"/>
      <c r="WT305" s="242">
        <f>SUMPRODUCT(PRODUCE!$B304:$DY304,PRODUCE!$EB$57:$IY$57)</f>
        <v>0</v>
      </c>
      <c r="WU305" s="56"/>
      <c r="WV305" s="242">
        <f t="shared" si="2195"/>
        <v>0</v>
      </c>
      <c r="WW305" s="242">
        <f t="shared" si="2196"/>
        <v>0</v>
      </c>
      <c r="WX305" s="56"/>
      <c r="XA305" s="55">
        <f t="shared" si="2197"/>
        <v>46281</v>
      </c>
      <c r="XB305" s="56"/>
      <c r="XC305" s="242">
        <f>SUMPRODUCT(PRODUCE!$B304:$DY304,PRODUCE!$EB$57:$IY$57)</f>
        <v>0</v>
      </c>
      <c r="XD305" s="56"/>
      <c r="XE305" s="242">
        <f t="shared" si="2198"/>
        <v>0</v>
      </c>
      <c r="XF305" s="242">
        <f t="shared" si="2199"/>
        <v>7507</v>
      </c>
      <c r="XG305" s="56"/>
      <c r="XJ305" s="55">
        <f t="shared" si="2200"/>
        <v>46281</v>
      </c>
      <c r="XK305" s="56"/>
      <c r="XL305" s="242">
        <f>SUMPRODUCT(PRODUCE!$B304:$DY304,PRODUCE!$EB$57:$IY$57)</f>
        <v>0</v>
      </c>
      <c r="XM305" s="56"/>
      <c r="XN305" s="242">
        <f t="shared" si="2201"/>
        <v>0</v>
      </c>
      <c r="XO305" s="242">
        <f t="shared" si="2202"/>
        <v>4252</v>
      </c>
      <c r="XP305" s="56"/>
      <c r="XS305" s="55">
        <f t="shared" si="2203"/>
        <v>46281</v>
      </c>
      <c r="XT305" s="56"/>
      <c r="XU305" s="242">
        <f>SUMPRODUCT(PRODUCE!$B304:$DY304,PRODUCE!$EB$57:$IY$57)</f>
        <v>0</v>
      </c>
      <c r="XV305" s="56"/>
      <c r="XW305" s="242">
        <f t="shared" si="2204"/>
        <v>0</v>
      </c>
      <c r="XX305" s="242">
        <f t="shared" si="2205"/>
        <v>2179</v>
      </c>
      <c r="XY305" s="56"/>
      <c r="YB305" s="55">
        <f t="shared" si="2206"/>
        <v>46281</v>
      </c>
      <c r="YC305" s="56"/>
      <c r="YD305" s="242">
        <f>SUMPRODUCT(PRODUCE!$B304:$DY304,PRODUCE!$EB$57:$IY$57)</f>
        <v>0</v>
      </c>
      <c r="YE305" s="56"/>
      <c r="YF305" s="242">
        <f t="shared" si="2207"/>
        <v>0</v>
      </c>
      <c r="YG305" s="242">
        <f t="shared" si="2208"/>
        <v>4019</v>
      </c>
      <c r="YH305" s="56"/>
      <c r="YK305" s="55">
        <f t="shared" si="2209"/>
        <v>46281</v>
      </c>
      <c r="YL305" s="56"/>
      <c r="YM305" s="242">
        <f>SUMPRODUCT(PRODUCE!$B304:$DY304,PRODUCE!$EB$57:$IY$57)</f>
        <v>0</v>
      </c>
      <c r="YN305" s="56"/>
      <c r="YO305" s="242">
        <f t="shared" si="2210"/>
        <v>0</v>
      </c>
      <c r="YP305" s="242">
        <f t="shared" si="2211"/>
        <v>-218</v>
      </c>
      <c r="YQ305" s="56"/>
      <c r="YT305" s="55">
        <f t="shared" si="2212"/>
        <v>46281</v>
      </c>
      <c r="YU305" s="56"/>
      <c r="YV305" s="242">
        <f>SUMPRODUCT(PRODUCE!$B304:$DY304,PRODUCE!$EB$57:$IY$57)</f>
        <v>0</v>
      </c>
      <c r="YW305" s="56"/>
      <c r="YX305" s="242">
        <f t="shared" si="2213"/>
        <v>0</v>
      </c>
      <c r="YY305" s="242">
        <f t="shared" si="2214"/>
        <v>0</v>
      </c>
      <c r="YZ305" s="56"/>
      <c r="ZC305" s="55">
        <f t="shared" si="2215"/>
        <v>46281</v>
      </c>
      <c r="ZD305" s="56"/>
      <c r="ZE305" s="242">
        <f>SUMPRODUCT(PRODUCE!$B304:$DY304,PRODUCE!$EB$57:$IY$57)</f>
        <v>0</v>
      </c>
      <c r="ZF305" s="56"/>
      <c r="ZG305" s="242">
        <f t="shared" si="2216"/>
        <v>0</v>
      </c>
      <c r="ZH305" s="242">
        <f t="shared" si="2217"/>
        <v>0</v>
      </c>
      <c r="ZI305" s="56"/>
      <c r="ZL305" s="55">
        <f t="shared" si="2218"/>
        <v>46281</v>
      </c>
      <c r="ZM305" s="56"/>
      <c r="ZN305" s="242">
        <f>SUMPRODUCT(PRODUCE!$B304:$DY304,PRODUCE!$EB$57:$IY$57)</f>
        <v>0</v>
      </c>
      <c r="ZO305" s="56"/>
      <c r="ZP305" s="242">
        <f t="shared" si="2219"/>
        <v>0</v>
      </c>
      <c r="ZQ305" s="242">
        <f t="shared" si="2220"/>
        <v>0</v>
      </c>
      <c r="ZR305" s="56"/>
      <c r="ZU305" s="55">
        <f t="shared" si="2221"/>
        <v>46281</v>
      </c>
      <c r="ZV305" s="56"/>
      <c r="ZW305" s="242">
        <f>SUMPRODUCT(PRODUCE!$B304:$DY304,PRODUCE!$EB$57:$IY$57)</f>
        <v>0</v>
      </c>
      <c r="ZX305" s="56"/>
      <c r="ZY305" s="242">
        <f t="shared" si="2222"/>
        <v>0</v>
      </c>
      <c r="ZZ305" s="242">
        <f t="shared" si="2223"/>
        <v>0</v>
      </c>
      <c r="AAA305" s="56"/>
      <c r="AAD305" s="55">
        <f t="shared" si="2224"/>
        <v>46281</v>
      </c>
      <c r="AAE305" s="56"/>
      <c r="AAF305" s="242">
        <f>SUMPRODUCT(PRODUCE!$B304:$DY304,PRODUCE!$EB$57:$IY$57)</f>
        <v>0</v>
      </c>
      <c r="AAG305" s="56"/>
      <c r="AAH305" s="242">
        <f t="shared" si="2225"/>
        <v>0</v>
      </c>
      <c r="AAI305" s="242">
        <f t="shared" si="2226"/>
        <v>0</v>
      </c>
      <c r="AAJ305" s="56"/>
      <c r="AAM305" s="55">
        <f t="shared" si="2227"/>
        <v>46281</v>
      </c>
      <c r="AAN305" s="56"/>
      <c r="AAO305" s="242">
        <f>SUMPRODUCT(PRODUCE!$B304:$DY304,PRODUCE!$EB$57:$IY$57)</f>
        <v>0</v>
      </c>
      <c r="AAP305" s="56"/>
      <c r="AAQ305" s="242">
        <f t="shared" si="2228"/>
        <v>0</v>
      </c>
      <c r="AAR305" s="242">
        <f t="shared" si="2229"/>
        <v>0</v>
      </c>
      <c r="AAS305" s="56"/>
      <c r="AAV305" s="55">
        <f t="shared" si="2230"/>
        <v>46281</v>
      </c>
      <c r="AAW305" s="56"/>
      <c r="AAX305" s="242">
        <f>SUMPRODUCT(PRODUCE!$B304:$DY304,PRODUCE!$EB$57:$IY$57)</f>
        <v>0</v>
      </c>
      <c r="AAY305" s="56"/>
      <c r="AAZ305" s="242">
        <f t="shared" si="2231"/>
        <v>0</v>
      </c>
      <c r="ABA305" s="242">
        <f t="shared" si="2232"/>
        <v>0</v>
      </c>
      <c r="ABB305" s="56"/>
      <c r="ABE305" s="55">
        <f t="shared" si="2233"/>
        <v>46281</v>
      </c>
      <c r="ABF305" s="56"/>
      <c r="ABG305" s="242">
        <f>SUMPRODUCT(PRODUCE!$B304:$DY304,PRODUCE!$EB$57:$IY$57)</f>
        <v>0</v>
      </c>
      <c r="ABH305" s="56"/>
      <c r="ABI305" s="242">
        <f t="shared" si="2234"/>
        <v>0</v>
      </c>
      <c r="ABJ305" s="242">
        <f t="shared" si="2235"/>
        <v>0</v>
      </c>
      <c r="ABK305" s="56"/>
    </row>
    <row r="306" spans="2:739" s="54" customFormat="1" ht="15" customHeight="1" outlineLevel="1">
      <c r="B306" s="478"/>
      <c r="C306" s="55">
        <v>46282</v>
      </c>
      <c r="D306" s="56"/>
      <c r="E306" s="57">
        <f>SUMPRODUCT(PRODUCE!$B305:$DY305,PRODUCE!$EB$7:$IY$7)</f>
        <v>0</v>
      </c>
      <c r="F306" s="56"/>
      <c r="G306" s="57">
        <f t="shared" si="1992"/>
        <v>0</v>
      </c>
      <c r="H306" s="57">
        <f t="shared" si="1993"/>
        <v>236936.6</v>
      </c>
      <c r="I306" s="289"/>
      <c r="L306" s="55">
        <f t="shared" si="1994"/>
        <v>46282</v>
      </c>
      <c r="M306" s="56"/>
      <c r="N306" s="59">
        <f>SUMPRODUCT(PRODUCE!$B305:$DY305,PRODUCE!$EB$8:$IY$8)</f>
        <v>0</v>
      </c>
      <c r="O306" s="56"/>
      <c r="P306" s="59">
        <f t="shared" si="1995"/>
        <v>0</v>
      </c>
      <c r="Q306" s="59">
        <f t="shared" si="1996"/>
        <v>53017.600000000071</v>
      </c>
      <c r="R306" s="56"/>
      <c r="U306" s="55">
        <f t="shared" si="1997"/>
        <v>46282</v>
      </c>
      <c r="V306" s="56"/>
      <c r="W306" s="60">
        <f>SUMPRODUCT(PRODUCE!$B305:$DY305,PRODUCE!$EB$9:$IY$9)</f>
        <v>0</v>
      </c>
      <c r="X306" s="56"/>
      <c r="Y306" s="60">
        <f t="shared" si="1998"/>
        <v>0</v>
      </c>
      <c r="Z306" s="60">
        <f t="shared" si="1999"/>
        <v>42674.199999999968</v>
      </c>
      <c r="AA306" s="56"/>
      <c r="AD306" s="55">
        <f t="shared" si="2000"/>
        <v>46282</v>
      </c>
      <c r="AE306" s="56"/>
      <c r="AF306" s="61">
        <f>SUMPRODUCT(PRODUCE!$B305:$DY305,PRODUCE!$EB$10:$IY$10)</f>
        <v>0</v>
      </c>
      <c r="AG306" s="56"/>
      <c r="AH306" s="61">
        <f t="shared" si="2001"/>
        <v>0</v>
      </c>
      <c r="AI306" s="61">
        <f t="shared" si="2002"/>
        <v>4522.2000000000189</v>
      </c>
      <c r="AJ306" s="56"/>
      <c r="AM306" s="55">
        <f t="shared" si="2003"/>
        <v>46282</v>
      </c>
      <c r="AN306" s="422"/>
      <c r="AO306" s="444">
        <f>SUMPRODUCT(PRODUCE!$B305:$DY305,PRODUCE!$EB$11:$IY$11)</f>
        <v>0</v>
      </c>
      <c r="AP306" s="422"/>
      <c r="AQ306" s="444">
        <f t="shared" si="2004"/>
        <v>0</v>
      </c>
      <c r="AR306" s="444">
        <f t="shared" si="2005"/>
        <v>0</v>
      </c>
      <c r="AS306" s="56"/>
      <c r="AV306" s="55">
        <f t="shared" si="2006"/>
        <v>46282</v>
      </c>
      <c r="AW306" s="56"/>
      <c r="AX306" s="62">
        <f>SUMPRODUCT(PRODUCE!$B305:$DY305,PRODUCE!$EB$12:$IY$12)</f>
        <v>0</v>
      </c>
      <c r="AY306" s="56"/>
      <c r="AZ306" s="62">
        <f t="shared" si="2007"/>
        <v>0</v>
      </c>
      <c r="BA306" s="62">
        <f t="shared" si="2008"/>
        <v>124.99999999999523</v>
      </c>
      <c r="BB306" s="56"/>
      <c r="BE306" s="55">
        <f t="shared" si="2009"/>
        <v>46282</v>
      </c>
      <c r="BF306" s="56"/>
      <c r="BG306" s="63">
        <f>SUMPRODUCT(PRODUCE!$B305:$DY305,PRODUCE!$EB$13:$IY$13)</f>
        <v>0</v>
      </c>
      <c r="BH306" s="56"/>
      <c r="BI306" s="63">
        <f t="shared" si="2010"/>
        <v>0</v>
      </c>
      <c r="BJ306" s="63">
        <f t="shared" si="2011"/>
        <v>26151.899999999998</v>
      </c>
      <c r="BK306" s="56"/>
      <c r="BN306" s="55">
        <f t="shared" si="2012"/>
        <v>46282</v>
      </c>
      <c r="BO306" s="56"/>
      <c r="BP306" s="64">
        <f>SUMPRODUCT(PRODUCE!$B305:$DY305,PRODUCE!$EB$14:$IY$14)</f>
        <v>0</v>
      </c>
      <c r="BQ306" s="56"/>
      <c r="BR306" s="64">
        <f t="shared" si="2013"/>
        <v>0</v>
      </c>
      <c r="BS306" s="64">
        <f t="shared" si="2014"/>
        <v>0</v>
      </c>
      <c r="BT306" s="56"/>
      <c r="BW306" s="55">
        <f t="shared" si="2015"/>
        <v>46282</v>
      </c>
      <c r="BX306" s="56"/>
      <c r="BY306" s="65">
        <f>SUMPRODUCT(PRODUCE!$B305:$DY305,PRODUCE!$EB$15:$IY$15)</f>
        <v>0</v>
      </c>
      <c r="BZ306" s="56"/>
      <c r="CA306" s="65">
        <f t="shared" si="2016"/>
        <v>0</v>
      </c>
      <c r="CB306" s="65">
        <f t="shared" si="2017"/>
        <v>2097.3399999999992</v>
      </c>
      <c r="CC306" s="56"/>
      <c r="CF306" s="55">
        <f t="shared" si="2018"/>
        <v>46282</v>
      </c>
      <c r="CG306" s="56"/>
      <c r="CH306" s="66">
        <f>SUMPRODUCT(PRODUCE!$B305:$DY305,PRODUCE!$EB$16:$IY$16)</f>
        <v>0</v>
      </c>
      <c r="CI306" s="56"/>
      <c r="CJ306" s="66">
        <f t="shared" si="2019"/>
        <v>0</v>
      </c>
      <c r="CK306" s="66">
        <f t="shared" si="2020"/>
        <v>-10277.079999999998</v>
      </c>
      <c r="CL306" s="56"/>
      <c r="CO306" s="55">
        <f t="shared" si="2021"/>
        <v>46282</v>
      </c>
      <c r="CP306" s="422"/>
      <c r="CQ306" s="470">
        <f>SUMPRODUCT(PRODUCE!$B305:$DY305,PRODUCE!$EB$17:$IY$17)</f>
        <v>0</v>
      </c>
      <c r="CR306" s="422"/>
      <c r="CS306" s="470">
        <f t="shared" si="2022"/>
        <v>0</v>
      </c>
      <c r="CT306" s="470">
        <f t="shared" si="2023"/>
        <v>0</v>
      </c>
      <c r="CU306" s="56"/>
      <c r="CX306" s="55">
        <f t="shared" si="2024"/>
        <v>46282</v>
      </c>
      <c r="CY306" s="56"/>
      <c r="CZ306" s="133">
        <f>SUMPRODUCT(PRODUCE!$B305:$DY305,PRODUCE!$EB$18:$IY$18)</f>
        <v>0</v>
      </c>
      <c r="DA306" s="56"/>
      <c r="DB306" s="133">
        <f t="shared" si="2025"/>
        <v>0</v>
      </c>
      <c r="DC306" s="133">
        <f t="shared" si="2026"/>
        <v>27438.200000000012</v>
      </c>
      <c r="DD306" s="56"/>
      <c r="DG306" s="55">
        <f t="shared" si="2027"/>
        <v>46282</v>
      </c>
      <c r="DH306" s="56"/>
      <c r="DI306" s="147">
        <f>SUMPRODUCT(PRODUCE!$B305:$DY305,PRODUCE!$EB$19:$IY$19)</f>
        <v>0</v>
      </c>
      <c r="DJ306" s="56"/>
      <c r="DK306" s="147">
        <f t="shared" si="2028"/>
        <v>0</v>
      </c>
      <c r="DL306" s="147">
        <f t="shared" si="2029"/>
        <v>18782.299999999981</v>
      </c>
      <c r="DM306" s="56"/>
      <c r="DP306" s="55">
        <f t="shared" si="2030"/>
        <v>46282</v>
      </c>
      <c r="DQ306" s="56"/>
      <c r="DR306" s="57">
        <f>SUMPRODUCT(PRODUCE!$B305:$DY305,PRODUCE!$EB$20:$IY$20)</f>
        <v>0</v>
      </c>
      <c r="DS306" s="56"/>
      <c r="DT306" s="57">
        <f t="shared" si="2031"/>
        <v>0</v>
      </c>
      <c r="DU306" s="57">
        <f t="shared" si="2032"/>
        <v>5800</v>
      </c>
      <c r="DV306" s="56"/>
      <c r="DY306" s="55">
        <f t="shared" si="2033"/>
        <v>46282</v>
      </c>
      <c r="DZ306" s="56"/>
      <c r="EA306" s="157">
        <f>SUMPRODUCT(PRODUCE!$B305:$DY305,PRODUCE!$EB$21:$IY$21)</f>
        <v>0</v>
      </c>
      <c r="EB306" s="56"/>
      <c r="EC306" s="157">
        <f t="shared" si="2034"/>
        <v>0</v>
      </c>
      <c r="ED306" s="157">
        <f t="shared" si="2035"/>
        <v>0</v>
      </c>
      <c r="EE306" s="56"/>
      <c r="EH306" s="55">
        <f t="shared" si="2036"/>
        <v>46282</v>
      </c>
      <c r="EI306" s="56"/>
      <c r="EJ306" s="162">
        <f>SUMPRODUCT(PRODUCE!$B305:$DY305,PRODUCE!$EB$22:$IY$22)</f>
        <v>0</v>
      </c>
      <c r="EK306" s="56"/>
      <c r="EL306" s="162">
        <f t="shared" si="2037"/>
        <v>0</v>
      </c>
      <c r="EM306" s="162">
        <f t="shared" si="2038"/>
        <v>0</v>
      </c>
      <c r="EN306" s="56"/>
      <c r="EQ306" s="55">
        <f t="shared" si="2039"/>
        <v>46282</v>
      </c>
      <c r="ER306" s="56"/>
      <c r="ES306" s="135">
        <f>SUMPRODUCT(PRODUCE!$B305:$DY305,PRODUCE!$EB$23:$IY$23)</f>
        <v>0</v>
      </c>
      <c r="ET306" s="56"/>
      <c r="EU306" s="135">
        <f t="shared" si="2040"/>
        <v>0</v>
      </c>
      <c r="EV306" s="135">
        <f t="shared" si="2041"/>
        <v>0</v>
      </c>
      <c r="EW306" s="56"/>
      <c r="EZ306" s="55">
        <f t="shared" si="2042"/>
        <v>46282</v>
      </c>
      <c r="FA306" s="56"/>
      <c r="FB306" s="175">
        <f>SUMPRODUCT(PRODUCE!$B305:$DY305,PRODUCE!$EB$24:$IY$24)</f>
        <v>0</v>
      </c>
      <c r="FC306" s="56"/>
      <c r="FD306" s="175">
        <f t="shared" si="2043"/>
        <v>0</v>
      </c>
      <c r="FE306" s="175">
        <f t="shared" si="2044"/>
        <v>0</v>
      </c>
      <c r="FF306" s="56"/>
      <c r="FI306" s="55">
        <f t="shared" si="2045"/>
        <v>46282</v>
      </c>
      <c r="FJ306" s="56"/>
      <c r="FK306" s="183">
        <f>SUMPRODUCT(PRODUCE!$B305:$DY305,PRODUCE!$EB$25:$IY$25)</f>
        <v>0</v>
      </c>
      <c r="FL306" s="56"/>
      <c r="FM306" s="183">
        <f t="shared" si="2046"/>
        <v>0</v>
      </c>
      <c r="FN306" s="183">
        <f t="shared" si="2047"/>
        <v>0</v>
      </c>
      <c r="FO306" s="56"/>
      <c r="FR306" s="55">
        <f t="shared" si="2048"/>
        <v>46282</v>
      </c>
      <c r="FS306" s="56"/>
      <c r="FT306" s="186">
        <f>SUMPRODUCT(PRODUCE!$B305:$DY305,PRODUCE!$EB$26:$IY$26)</f>
        <v>0</v>
      </c>
      <c r="FU306" s="56"/>
      <c r="FV306" s="186">
        <f t="shared" si="2049"/>
        <v>0</v>
      </c>
      <c r="FW306" s="186">
        <f t="shared" si="2050"/>
        <v>2020</v>
      </c>
      <c r="FX306" s="56"/>
      <c r="GA306" s="55">
        <f t="shared" si="2051"/>
        <v>46282</v>
      </c>
      <c r="GB306" s="56"/>
      <c r="GC306" s="137">
        <f>SUMPRODUCT(PRODUCE!$B305:$DY305,PRODUCE!$EB$27:$IY$27)</f>
        <v>0</v>
      </c>
      <c r="GD306" s="56"/>
      <c r="GE306" s="137">
        <f t="shared" si="2052"/>
        <v>0</v>
      </c>
      <c r="GF306" s="137">
        <f t="shared" si="2053"/>
        <v>960</v>
      </c>
      <c r="GG306" s="56"/>
      <c r="GI306" s="23"/>
      <c r="GJ306" s="55">
        <f t="shared" si="2054"/>
        <v>46282</v>
      </c>
      <c r="GK306" s="56"/>
      <c r="GL306" s="199">
        <f>SUMPRODUCT(PRODUCE!$B305:$DY305,PRODUCE!$EB$28:$IY$28)</f>
        <v>0</v>
      </c>
      <c r="GM306" s="56"/>
      <c r="GN306" s="199">
        <f t="shared" si="2055"/>
        <v>0</v>
      </c>
      <c r="GO306" s="199">
        <f t="shared" si="2056"/>
        <v>1760</v>
      </c>
      <c r="GP306" s="56"/>
      <c r="GS306" s="55">
        <f t="shared" si="2057"/>
        <v>46282</v>
      </c>
      <c r="GT306" s="56"/>
      <c r="GU306" s="195">
        <f>SUMPRODUCT(PRODUCE!$B305:$DY305,PRODUCE!$EB$29:$IY$29)</f>
        <v>0</v>
      </c>
      <c r="GV306" s="56"/>
      <c r="GW306" s="195">
        <f t="shared" si="2058"/>
        <v>0</v>
      </c>
      <c r="GX306" s="195">
        <f t="shared" si="2059"/>
        <v>400</v>
      </c>
      <c r="GY306" s="56"/>
      <c r="HB306" s="55">
        <f t="shared" si="2060"/>
        <v>46282</v>
      </c>
      <c r="HC306" s="56"/>
      <c r="HD306" s="191">
        <f>SUMPRODUCT(PRODUCE!$B305:$DY305,PRODUCE!$EB$30:$IY$30)</f>
        <v>0</v>
      </c>
      <c r="HE306" s="56"/>
      <c r="HF306" s="191">
        <f t="shared" si="2061"/>
        <v>0</v>
      </c>
      <c r="HG306" s="191">
        <f t="shared" si="2062"/>
        <v>3600</v>
      </c>
      <c r="HH306" s="56"/>
      <c r="HK306" s="55">
        <f t="shared" si="2063"/>
        <v>46282</v>
      </c>
      <c r="HL306" s="56"/>
      <c r="HM306" s="63">
        <f>SUMPRODUCT(PRODUCE!$B305:$DY305,PRODUCE!$EB$31:$IY$31)</f>
        <v>0</v>
      </c>
      <c r="HN306" s="56"/>
      <c r="HO306" s="63">
        <f t="shared" si="2064"/>
        <v>0</v>
      </c>
      <c r="HP306" s="63">
        <f t="shared" si="2065"/>
        <v>0</v>
      </c>
      <c r="HQ306" s="56"/>
      <c r="HU306" s="55">
        <f t="shared" si="2066"/>
        <v>46282</v>
      </c>
      <c r="HV306" s="56"/>
      <c r="HW306" s="242">
        <f>SUMPRODUCT(PRODUCE!$B305:$DY305,PRODUCE!$EB$32:$IY$32)</f>
        <v>0</v>
      </c>
      <c r="HX306" s="56"/>
      <c r="HY306" s="242">
        <f t="shared" si="2236"/>
        <v>0</v>
      </c>
      <c r="HZ306" s="242">
        <f t="shared" si="2067"/>
        <v>6120</v>
      </c>
      <c r="IA306" s="56"/>
      <c r="ID306" s="55">
        <f t="shared" si="2068"/>
        <v>46282</v>
      </c>
      <c r="IE306" s="56"/>
      <c r="IF306" s="242">
        <f>SUMPRODUCT(PRODUCE!$B305:$DY305,PRODUCE!$EB$33:$IY$33)</f>
        <v>0</v>
      </c>
      <c r="IG306" s="56"/>
      <c r="IH306" s="242">
        <f t="shared" si="2069"/>
        <v>0</v>
      </c>
      <c r="II306" s="242">
        <f t="shared" si="2070"/>
        <v>0</v>
      </c>
      <c r="IJ306" s="56"/>
      <c r="IM306" s="55">
        <f t="shared" si="2071"/>
        <v>46282</v>
      </c>
      <c r="IN306" s="56"/>
      <c r="IO306" s="242">
        <f>SUMPRODUCT(PRODUCE!$B305:$DY305,PRODUCE!$EB$34:$IY$34)</f>
        <v>0</v>
      </c>
      <c r="IP306" s="56"/>
      <c r="IQ306" s="242">
        <f t="shared" si="2072"/>
        <v>0</v>
      </c>
      <c r="IR306" s="242">
        <f t="shared" si="2073"/>
        <v>0</v>
      </c>
      <c r="IS306" s="56"/>
      <c r="IV306" s="55">
        <f t="shared" si="2074"/>
        <v>46282</v>
      </c>
      <c r="IW306" s="56"/>
      <c r="IX306" s="242">
        <f>SUMPRODUCT(PRODUCE!$B305:$DY305,PRODUCE!$EB$35:$IY$35)</f>
        <v>0</v>
      </c>
      <c r="IY306" s="56"/>
      <c r="IZ306" s="242">
        <f t="shared" si="2075"/>
        <v>0</v>
      </c>
      <c r="JA306" s="242">
        <f t="shared" si="2076"/>
        <v>2820</v>
      </c>
      <c r="JB306" s="56"/>
      <c r="JE306" s="55">
        <f t="shared" si="2077"/>
        <v>46282</v>
      </c>
      <c r="JF306" s="56"/>
      <c r="JG306" s="242">
        <f>SUMPRODUCT(PRODUCE!$B305:$DY305,PRODUCE!$EB$36:$IY$36)</f>
        <v>0</v>
      </c>
      <c r="JH306" s="56"/>
      <c r="JI306" s="242">
        <f t="shared" si="2078"/>
        <v>0</v>
      </c>
      <c r="JJ306" s="242">
        <f t="shared" si="2079"/>
        <v>0</v>
      </c>
      <c r="JK306" s="56"/>
      <c r="JN306" s="55">
        <f t="shared" si="2080"/>
        <v>46282</v>
      </c>
      <c r="JO306" s="56"/>
      <c r="JP306" s="242">
        <f>SUMPRODUCT(PRODUCE!$B305:$DY305,PRODUCE!$EB$37:$IY$37)</f>
        <v>0</v>
      </c>
      <c r="JQ306" s="56"/>
      <c r="JR306" s="242">
        <f t="shared" si="2081"/>
        <v>0</v>
      </c>
      <c r="JS306" s="242">
        <f t="shared" si="2082"/>
        <v>0</v>
      </c>
      <c r="JT306" s="56"/>
      <c r="JW306" s="55">
        <f t="shared" si="2083"/>
        <v>46282</v>
      </c>
      <c r="JX306" s="56"/>
      <c r="JY306" s="242">
        <f>SUMPRODUCT(PRODUCE!$B305:$DY305,PRODUCE!$EB$38:$IY$38)</f>
        <v>0</v>
      </c>
      <c r="JZ306" s="56"/>
      <c r="KA306" s="242">
        <f t="shared" si="2084"/>
        <v>0</v>
      </c>
      <c r="KB306" s="242">
        <f t="shared" si="2085"/>
        <v>2540</v>
      </c>
      <c r="KC306" s="56"/>
      <c r="KF306" s="55">
        <f t="shared" si="2086"/>
        <v>46282</v>
      </c>
      <c r="KG306" s="56"/>
      <c r="KH306" s="242">
        <f>SUMPRODUCT(PRODUCE!$B305:$DY305,PRODUCE!$EB$39:$IY$39)</f>
        <v>0</v>
      </c>
      <c r="KI306" s="56"/>
      <c r="KJ306" s="242">
        <f t="shared" si="2087"/>
        <v>0</v>
      </c>
      <c r="KK306" s="242">
        <f t="shared" si="2088"/>
        <v>2359.5</v>
      </c>
      <c r="KL306" s="56"/>
      <c r="KO306" s="55">
        <f t="shared" si="2089"/>
        <v>46282</v>
      </c>
      <c r="KP306" s="56"/>
      <c r="KQ306" s="242">
        <f>SUMPRODUCT(PRODUCE!$B305:$DY305,PRODUCE!$EB$40:$IY$40)</f>
        <v>0</v>
      </c>
      <c r="KR306" s="56"/>
      <c r="KS306" s="242">
        <f t="shared" si="2090"/>
        <v>0</v>
      </c>
      <c r="KT306" s="242">
        <f t="shared" si="2091"/>
        <v>1890</v>
      </c>
      <c r="KU306" s="56"/>
      <c r="KW306" s="23"/>
      <c r="KX306" s="55">
        <f t="shared" si="2092"/>
        <v>46282</v>
      </c>
      <c r="KY306" s="56"/>
      <c r="KZ306" s="242">
        <f>SUMPRODUCT(PRODUCE!$B305:$DY305,PRODUCE!$EB$41:$IY$41)</f>
        <v>0</v>
      </c>
      <c r="LA306" s="56"/>
      <c r="LB306" s="242">
        <f t="shared" si="2093"/>
        <v>0</v>
      </c>
      <c r="LC306" s="242">
        <f t="shared" si="2094"/>
        <v>3690</v>
      </c>
      <c r="LD306" s="56"/>
      <c r="LG306" s="55">
        <f t="shared" si="2095"/>
        <v>46282</v>
      </c>
      <c r="LH306" s="56"/>
      <c r="LI306" s="242">
        <f>SUMPRODUCT(PRODUCE!$B305:$DY305,PRODUCE!$EB$42:$IY$42)</f>
        <v>0</v>
      </c>
      <c r="LJ306" s="56"/>
      <c r="LK306" s="242">
        <f t="shared" si="2096"/>
        <v>0</v>
      </c>
      <c r="LL306" s="242">
        <f t="shared" si="2097"/>
        <v>4000</v>
      </c>
      <c r="LM306" s="56"/>
      <c r="LP306" s="55">
        <f t="shared" si="2098"/>
        <v>46282</v>
      </c>
      <c r="LQ306" s="56"/>
      <c r="LR306" s="242">
        <f>SUMPRODUCT(PRODUCE!$B321:$DY321,PRODUCE!$EB$43:$IY$43)</f>
        <v>0</v>
      </c>
      <c r="LS306" s="56"/>
      <c r="LT306" s="242">
        <f t="shared" si="2099"/>
        <v>0</v>
      </c>
      <c r="LU306" s="242">
        <f t="shared" si="2100"/>
        <v>0</v>
      </c>
      <c r="LV306" s="56"/>
      <c r="LY306" s="55">
        <f t="shared" si="2101"/>
        <v>46282</v>
      </c>
      <c r="LZ306" s="56"/>
      <c r="MA306" s="242">
        <f>SUMPRODUCT(PRODUCE!$B305:$DY305,PRODUCE!$EB$44:$IY$44)</f>
        <v>0</v>
      </c>
      <c r="MB306" s="56"/>
      <c r="MC306" s="242">
        <f t="shared" si="2102"/>
        <v>0</v>
      </c>
      <c r="MD306" s="242">
        <f t="shared" si="2103"/>
        <v>0</v>
      </c>
      <c r="ME306" s="56"/>
      <c r="MH306" s="55">
        <f t="shared" si="2104"/>
        <v>46282</v>
      </c>
      <c r="MI306" s="56"/>
      <c r="MJ306" s="242">
        <f>SUMPRODUCT(PRODUCE!$B305:$DY305,PRODUCE!$EB$45:$IY$45)</f>
        <v>0</v>
      </c>
      <c r="MK306" s="56"/>
      <c r="ML306" s="242">
        <f t="shared" si="2105"/>
        <v>0</v>
      </c>
      <c r="MM306" s="242">
        <f t="shared" si="2106"/>
        <v>0</v>
      </c>
      <c r="MN306" s="56"/>
      <c r="MQ306" s="55">
        <f t="shared" si="2107"/>
        <v>46282</v>
      </c>
      <c r="MR306" s="56"/>
      <c r="MS306" s="242">
        <f>SUMPRODUCT(PRODUCE!$B305:$DY305,PRODUCE!$EB$46:$IY$46)</f>
        <v>0</v>
      </c>
      <c r="MT306" s="56"/>
      <c r="MU306" s="242">
        <f t="shared" si="2108"/>
        <v>0</v>
      </c>
      <c r="MV306" s="242">
        <f t="shared" si="2109"/>
        <v>1625</v>
      </c>
      <c r="MW306" s="56"/>
      <c r="MZ306" s="55">
        <f t="shared" si="2110"/>
        <v>46282</v>
      </c>
      <c r="NA306" s="56"/>
      <c r="NB306" s="242">
        <f>SUMPRODUCT(PRODUCE!$B305:$DY305,PRODUCE!$EB$47:$IY$47)</f>
        <v>0</v>
      </c>
      <c r="NC306" s="56"/>
      <c r="ND306" s="242">
        <f t="shared" si="2111"/>
        <v>0</v>
      </c>
      <c r="NE306" s="242">
        <f t="shared" si="2112"/>
        <v>0</v>
      </c>
      <c r="NF306" s="56"/>
      <c r="NI306" s="55">
        <f t="shared" si="2113"/>
        <v>46282</v>
      </c>
      <c r="NJ306" s="56"/>
      <c r="NK306" s="242">
        <f>SUMPRODUCT(PRODUCE!$B305:$DY305,PRODUCE!$EB$48:$IY$48)</f>
        <v>0</v>
      </c>
      <c r="NL306" s="56"/>
      <c r="NM306" s="242">
        <f t="shared" si="2114"/>
        <v>0</v>
      </c>
      <c r="NN306" s="242">
        <f t="shared" si="2115"/>
        <v>1127</v>
      </c>
      <c r="NO306" s="56"/>
      <c r="NR306" s="55">
        <f t="shared" si="2116"/>
        <v>46282</v>
      </c>
      <c r="NS306" s="56"/>
      <c r="NT306" s="242">
        <f>SUMPRODUCT(PRODUCE!$B305:$DY305,PRODUCE!$EB$49:$IY$49)</f>
        <v>0</v>
      </c>
      <c r="NU306" s="56"/>
      <c r="NV306" s="242">
        <f t="shared" si="2117"/>
        <v>0</v>
      </c>
      <c r="NW306" s="242">
        <f t="shared" si="2118"/>
        <v>3111.9999999999995</v>
      </c>
      <c r="NX306" s="56"/>
      <c r="OA306" s="55">
        <f t="shared" si="2119"/>
        <v>46282</v>
      </c>
      <c r="OB306" s="56"/>
      <c r="OC306" s="242">
        <f>SUMPRODUCT(PRODUCE!$B305:$DY305,PRODUCE!$EB$50:$IY$50)</f>
        <v>0</v>
      </c>
      <c r="OD306" s="56"/>
      <c r="OE306" s="242">
        <f t="shared" si="2120"/>
        <v>0</v>
      </c>
      <c r="OF306" s="242">
        <f t="shared" si="2121"/>
        <v>1680.5</v>
      </c>
      <c r="OG306" s="56"/>
      <c r="OJ306" s="55">
        <f t="shared" si="2122"/>
        <v>46282</v>
      </c>
      <c r="OK306" s="56"/>
      <c r="OL306" s="242">
        <f>SUMPRODUCT(PRODUCE!$B305:$DY305,PRODUCE!$EB$51:$IY$51)</f>
        <v>0</v>
      </c>
      <c r="OM306" s="56"/>
      <c r="ON306" s="242">
        <f t="shared" si="2123"/>
        <v>0</v>
      </c>
      <c r="OO306" s="242">
        <f t="shared" si="2124"/>
        <v>0</v>
      </c>
      <c r="OP306" s="56"/>
      <c r="OS306" s="55">
        <f t="shared" si="2125"/>
        <v>46282</v>
      </c>
      <c r="OT306" s="56"/>
      <c r="OU306" s="242">
        <f>SUMPRODUCT(PRODUCE!$B305:$DY305,PRODUCE!$EB$52:$IY$52)</f>
        <v>0</v>
      </c>
      <c r="OV306" s="56"/>
      <c r="OW306" s="242">
        <f t="shared" si="2126"/>
        <v>0</v>
      </c>
      <c r="OX306" s="242">
        <f t="shared" si="2127"/>
        <v>1482</v>
      </c>
      <c r="OY306" s="56"/>
      <c r="PB306" s="55">
        <f t="shared" si="2128"/>
        <v>46282</v>
      </c>
      <c r="PC306" s="56"/>
      <c r="PD306" s="242">
        <f>SUMPRODUCT(PRODUCE!$B305:$DY305,PRODUCE!$EB$53:$IY$53)</f>
        <v>0</v>
      </c>
      <c r="PE306" s="56"/>
      <c r="PF306" s="242">
        <f t="shared" si="2129"/>
        <v>0</v>
      </c>
      <c r="PG306" s="242">
        <f t="shared" si="2130"/>
        <v>0</v>
      </c>
      <c r="PH306" s="56"/>
      <c r="PK306" s="55">
        <f t="shared" si="2131"/>
        <v>46282</v>
      </c>
      <c r="PL306" s="56"/>
      <c r="PM306" s="242">
        <f>SUMPRODUCT(PRODUCE!$B305:$DY305,PRODUCE!$EB$54:$IY$54)</f>
        <v>0</v>
      </c>
      <c r="PN306" s="56"/>
      <c r="PO306" s="242">
        <f t="shared" si="2132"/>
        <v>0</v>
      </c>
      <c r="PP306" s="242">
        <f t="shared" si="2133"/>
        <v>100</v>
      </c>
      <c r="PQ306" s="56"/>
      <c r="PT306" s="55">
        <f t="shared" si="2134"/>
        <v>46282</v>
      </c>
      <c r="PU306" s="56"/>
      <c r="PV306" s="242">
        <f>SUMPRODUCT(PRODUCE!$B305:$DY305,PRODUCE!$EB$55:$IY$55)</f>
        <v>0</v>
      </c>
      <c r="PW306" s="56"/>
      <c r="PX306" s="242">
        <f t="shared" si="2135"/>
        <v>0</v>
      </c>
      <c r="PY306" s="242">
        <f t="shared" si="2136"/>
        <v>13.960000000000036</v>
      </c>
      <c r="PZ306" s="56"/>
      <c r="QC306" s="55">
        <f t="shared" si="2137"/>
        <v>46282</v>
      </c>
      <c r="QD306" s="56"/>
      <c r="QE306" s="242">
        <f>SUMPRODUCT(PRODUCE!$B305:$DY305,PRODUCE!$EB$56:$IY$56)</f>
        <v>0</v>
      </c>
      <c r="QF306" s="56"/>
      <c r="QG306" s="242">
        <f t="shared" si="2138"/>
        <v>0</v>
      </c>
      <c r="QH306" s="242">
        <f t="shared" si="2139"/>
        <v>548</v>
      </c>
      <c r="QI306" s="56"/>
      <c r="QL306" s="55">
        <f t="shared" si="2140"/>
        <v>46282</v>
      </c>
      <c r="QM306" s="56"/>
      <c r="QN306" s="242">
        <f>SUMPRODUCT(PRODUCE!$B305:$DY305,PRODUCE!$EB$57:$IY$57)</f>
        <v>0</v>
      </c>
      <c r="QO306" s="56"/>
      <c r="QP306" s="242">
        <f t="shared" si="2141"/>
        <v>0</v>
      </c>
      <c r="QQ306" s="242">
        <f t="shared" si="2142"/>
        <v>0</v>
      </c>
      <c r="QR306" s="56"/>
      <c r="QU306" s="55">
        <f t="shared" si="2143"/>
        <v>46282</v>
      </c>
      <c r="QV306" s="56"/>
      <c r="QW306" s="242">
        <f>SUMPRODUCT(PRODUCE!$B305:$DY305,PRODUCE!$EB$57:$IY$57)</f>
        <v>0</v>
      </c>
      <c r="QX306" s="56"/>
      <c r="QY306" s="242">
        <f t="shared" si="2144"/>
        <v>0</v>
      </c>
      <c r="QZ306" s="242">
        <f t="shared" si="2145"/>
        <v>0</v>
      </c>
      <c r="RA306" s="56"/>
      <c r="RD306" s="55">
        <f t="shared" si="2146"/>
        <v>46282</v>
      </c>
      <c r="RE306" s="56"/>
      <c r="RF306" s="242">
        <f>SUMPRODUCT(PRODUCE!$B305:$DY305,PRODUCE!$EB$58:$IY$58)</f>
        <v>0</v>
      </c>
      <c r="RG306" s="56"/>
      <c r="RH306" s="242">
        <f t="shared" si="2147"/>
        <v>0</v>
      </c>
      <c r="RI306" s="242">
        <f t="shared" si="2148"/>
        <v>147.04000000000002</v>
      </c>
      <c r="RJ306" s="56"/>
      <c r="RM306" s="55">
        <f t="shared" si="2149"/>
        <v>46282</v>
      </c>
      <c r="RN306" s="56"/>
      <c r="RO306" s="242">
        <f>SUMPRODUCT(PRODUCE!$B305:$DY305,PRODUCE!$EB$59:$IY$59)</f>
        <v>0</v>
      </c>
      <c r="RP306" s="56"/>
      <c r="RQ306" s="242">
        <f t="shared" si="2150"/>
        <v>0</v>
      </c>
      <c r="RR306" s="242">
        <f t="shared" si="2151"/>
        <v>46.8</v>
      </c>
      <c r="RS306" s="56"/>
      <c r="RV306" s="55">
        <f t="shared" si="2152"/>
        <v>46282</v>
      </c>
      <c r="RW306" s="56"/>
      <c r="RX306" s="242">
        <f>SUMPRODUCT(PRODUCE!$B305:$DY305,PRODUCE!$EB$57:$IY$57)</f>
        <v>0</v>
      </c>
      <c r="RY306" s="56"/>
      <c r="RZ306" s="242">
        <f t="shared" si="2153"/>
        <v>0</v>
      </c>
      <c r="SA306" s="242">
        <f t="shared" si="2154"/>
        <v>0</v>
      </c>
      <c r="SB306" s="56"/>
      <c r="SE306" s="55">
        <f t="shared" si="2155"/>
        <v>46282</v>
      </c>
      <c r="SF306" s="56"/>
      <c r="SG306" s="242">
        <f>SUMPRODUCT(PRODUCE!$B305:$DY305,PRODUCE!$EB$61:$IY$61)</f>
        <v>0</v>
      </c>
      <c r="SH306" s="56"/>
      <c r="SI306" s="242">
        <f t="shared" si="2156"/>
        <v>0</v>
      </c>
      <c r="SJ306" s="242">
        <f t="shared" si="2157"/>
        <v>24.200000000000003</v>
      </c>
      <c r="SK306" s="56"/>
      <c r="SN306" s="55">
        <f t="shared" si="2158"/>
        <v>46282</v>
      </c>
      <c r="SO306" s="56"/>
      <c r="SP306" s="242">
        <f>SUMPRODUCT(PRODUCE!$B305:$DY305,PRODUCE!$EB$57:$IY$57)</f>
        <v>0</v>
      </c>
      <c r="SQ306" s="56"/>
      <c r="SR306" s="242">
        <f t="shared" si="2159"/>
        <v>0</v>
      </c>
      <c r="SS306" s="242">
        <f t="shared" si="2160"/>
        <v>32</v>
      </c>
      <c r="ST306" s="56"/>
      <c r="SW306" s="55">
        <f t="shared" si="2161"/>
        <v>46282</v>
      </c>
      <c r="SX306" s="56"/>
      <c r="SY306" s="242">
        <f>SUMPRODUCT(PRODUCE!$B305:$DY305,PRODUCE!$EB$57:$IY$57)</f>
        <v>0</v>
      </c>
      <c r="SZ306" s="56"/>
      <c r="TA306" s="242">
        <f t="shared" si="2162"/>
        <v>0</v>
      </c>
      <c r="TB306" s="242">
        <f t="shared" si="2163"/>
        <v>0</v>
      </c>
      <c r="TC306" s="56"/>
      <c r="TF306" s="55">
        <f t="shared" si="2164"/>
        <v>46282</v>
      </c>
      <c r="TG306" s="56"/>
      <c r="TH306" s="242">
        <f>SUMPRODUCT(PRODUCE!$B305:$DY305,PRODUCE!$EB$57:$IY$57)</f>
        <v>0</v>
      </c>
      <c r="TI306" s="56"/>
      <c r="TJ306" s="242">
        <f t="shared" si="2165"/>
        <v>0</v>
      </c>
      <c r="TK306" s="242">
        <f t="shared" si="2166"/>
        <v>0</v>
      </c>
      <c r="TL306" s="56"/>
      <c r="TO306" s="55">
        <f t="shared" si="2167"/>
        <v>46282</v>
      </c>
      <c r="TP306" s="56"/>
      <c r="TQ306" s="242">
        <f>SUMPRODUCT(PRODUCE!$B305:$DY305,PRODUCE!$EB$57:$IY$57)</f>
        <v>0</v>
      </c>
      <c r="TR306" s="56"/>
      <c r="TS306" s="242">
        <f t="shared" si="2168"/>
        <v>0</v>
      </c>
      <c r="TT306" s="242">
        <f t="shared" si="2169"/>
        <v>0</v>
      </c>
      <c r="TU306" s="56"/>
      <c r="TX306" s="55">
        <f t="shared" si="2170"/>
        <v>46282</v>
      </c>
      <c r="TY306" s="56"/>
      <c r="TZ306" s="242">
        <f>SUMPRODUCT(PRODUCE!$B305:$DY305,PRODUCE!$EB$57:$IY$57)</f>
        <v>0</v>
      </c>
      <c r="UA306" s="56"/>
      <c r="UB306" s="242">
        <f t="shared" si="2171"/>
        <v>0</v>
      </c>
      <c r="UC306" s="242">
        <f t="shared" si="2172"/>
        <v>46.799999999999983</v>
      </c>
      <c r="UD306" s="56"/>
      <c r="UG306" s="55">
        <f t="shared" si="2173"/>
        <v>46282</v>
      </c>
      <c r="UH306" s="56"/>
      <c r="UI306" s="242">
        <f>SUMPRODUCT(PRODUCE!$B305:$DY305,PRODUCE!$EB$57:$IY$57)</f>
        <v>0</v>
      </c>
      <c r="UJ306" s="56"/>
      <c r="UK306" s="242">
        <f t="shared" si="2174"/>
        <v>0</v>
      </c>
      <c r="UL306" s="242">
        <f t="shared" si="2175"/>
        <v>204</v>
      </c>
      <c r="UM306" s="56"/>
      <c r="UP306" s="55">
        <f t="shared" si="2176"/>
        <v>46282</v>
      </c>
      <c r="UQ306" s="56"/>
      <c r="UR306" s="242">
        <f>SUMPRODUCT(PRODUCE!$B305:$DY305,PRODUCE!$EB$57:$IY$57)</f>
        <v>0</v>
      </c>
      <c r="US306" s="56"/>
      <c r="UT306" s="242">
        <f t="shared" si="2177"/>
        <v>0</v>
      </c>
      <c r="UU306" s="242">
        <f t="shared" si="2178"/>
        <v>202.5</v>
      </c>
      <c r="UV306" s="56"/>
      <c r="UY306" s="55">
        <f t="shared" si="2179"/>
        <v>46282</v>
      </c>
      <c r="UZ306" s="56"/>
      <c r="VA306" s="242">
        <f>SUMPRODUCT(PRODUCE!$B305:$DY305,PRODUCE!$EB$57:$IY$57)</f>
        <v>0</v>
      </c>
      <c r="VB306" s="56"/>
      <c r="VC306" s="242">
        <f t="shared" si="2180"/>
        <v>0</v>
      </c>
      <c r="VD306" s="242">
        <f t="shared" si="2181"/>
        <v>41.600000000000023</v>
      </c>
      <c r="VE306" s="56"/>
      <c r="VH306" s="55">
        <f t="shared" si="2182"/>
        <v>46282</v>
      </c>
      <c r="VI306" s="56"/>
      <c r="VJ306" s="242">
        <f>SUMPRODUCT(PRODUCE!$B305:$DY305,PRODUCE!$EB$57:$IY$57)</f>
        <v>0</v>
      </c>
      <c r="VK306" s="56"/>
      <c r="VL306" s="242">
        <f t="shared" si="2183"/>
        <v>0</v>
      </c>
      <c r="VM306" s="242">
        <f t="shared" si="2184"/>
        <v>210</v>
      </c>
      <c r="VN306" s="56"/>
      <c r="VQ306" s="55">
        <f t="shared" si="2185"/>
        <v>46282</v>
      </c>
      <c r="VR306" s="56"/>
      <c r="VS306" s="242">
        <f>SUMPRODUCT(PRODUCE!$B305:$DY305,PRODUCE!$EB$57:$IY$57)</f>
        <v>0</v>
      </c>
      <c r="VT306" s="56"/>
      <c r="VU306" s="242">
        <f t="shared" si="2186"/>
        <v>0</v>
      </c>
      <c r="VV306" s="242">
        <f t="shared" si="2187"/>
        <v>0</v>
      </c>
      <c r="VW306" s="56"/>
      <c r="VZ306" s="55">
        <f t="shared" si="2188"/>
        <v>46282</v>
      </c>
      <c r="WA306" s="56"/>
      <c r="WB306" s="242">
        <f>SUMPRODUCT(PRODUCE!$B305:$DY305,PRODUCE!$EB$57:$IY$57)</f>
        <v>0</v>
      </c>
      <c r="WC306" s="56"/>
      <c r="WD306" s="242">
        <f t="shared" si="2189"/>
        <v>0</v>
      </c>
      <c r="WE306" s="242">
        <f t="shared" si="2190"/>
        <v>0</v>
      </c>
      <c r="WF306" s="56"/>
      <c r="WI306" s="55">
        <f t="shared" si="2191"/>
        <v>46282</v>
      </c>
      <c r="WJ306" s="56"/>
      <c r="WK306" s="242">
        <f>SUMPRODUCT(PRODUCE!$B305:$DY305,PRODUCE!$EB$57:$IY$57)</f>
        <v>0</v>
      </c>
      <c r="WL306" s="56"/>
      <c r="WM306" s="242">
        <f t="shared" si="2192"/>
        <v>0</v>
      </c>
      <c r="WN306" s="242">
        <f t="shared" si="2193"/>
        <v>1057</v>
      </c>
      <c r="WO306" s="56"/>
      <c r="WR306" s="55">
        <f t="shared" si="2194"/>
        <v>46282</v>
      </c>
      <c r="WS306" s="56"/>
      <c r="WT306" s="242">
        <f>SUMPRODUCT(PRODUCE!$B305:$DY305,PRODUCE!$EB$57:$IY$57)</f>
        <v>0</v>
      </c>
      <c r="WU306" s="56"/>
      <c r="WV306" s="242">
        <f t="shared" si="2195"/>
        <v>0</v>
      </c>
      <c r="WW306" s="242">
        <f t="shared" si="2196"/>
        <v>0</v>
      </c>
      <c r="WX306" s="56"/>
      <c r="XA306" s="55">
        <f t="shared" si="2197"/>
        <v>46282</v>
      </c>
      <c r="XB306" s="56"/>
      <c r="XC306" s="242">
        <f>SUMPRODUCT(PRODUCE!$B305:$DY305,PRODUCE!$EB$57:$IY$57)</f>
        <v>0</v>
      </c>
      <c r="XD306" s="56"/>
      <c r="XE306" s="242">
        <f t="shared" si="2198"/>
        <v>0</v>
      </c>
      <c r="XF306" s="242">
        <f t="shared" si="2199"/>
        <v>7507</v>
      </c>
      <c r="XG306" s="56"/>
      <c r="XJ306" s="55">
        <f t="shared" si="2200"/>
        <v>46282</v>
      </c>
      <c r="XK306" s="56"/>
      <c r="XL306" s="242">
        <f>SUMPRODUCT(PRODUCE!$B305:$DY305,PRODUCE!$EB$57:$IY$57)</f>
        <v>0</v>
      </c>
      <c r="XM306" s="56"/>
      <c r="XN306" s="242">
        <f t="shared" si="2201"/>
        <v>0</v>
      </c>
      <c r="XO306" s="242">
        <f t="shared" si="2202"/>
        <v>4252</v>
      </c>
      <c r="XP306" s="56"/>
      <c r="XS306" s="55">
        <f t="shared" si="2203"/>
        <v>46282</v>
      </c>
      <c r="XT306" s="56"/>
      <c r="XU306" s="242">
        <f>SUMPRODUCT(PRODUCE!$B305:$DY305,PRODUCE!$EB$57:$IY$57)</f>
        <v>0</v>
      </c>
      <c r="XV306" s="56"/>
      <c r="XW306" s="242">
        <f t="shared" si="2204"/>
        <v>0</v>
      </c>
      <c r="XX306" s="242">
        <f t="shared" si="2205"/>
        <v>2179</v>
      </c>
      <c r="XY306" s="56"/>
      <c r="YB306" s="55">
        <f t="shared" si="2206"/>
        <v>46282</v>
      </c>
      <c r="YC306" s="56"/>
      <c r="YD306" s="242">
        <f>SUMPRODUCT(PRODUCE!$B305:$DY305,PRODUCE!$EB$57:$IY$57)</f>
        <v>0</v>
      </c>
      <c r="YE306" s="56"/>
      <c r="YF306" s="242">
        <f t="shared" si="2207"/>
        <v>0</v>
      </c>
      <c r="YG306" s="242">
        <f t="shared" si="2208"/>
        <v>4019</v>
      </c>
      <c r="YH306" s="56"/>
      <c r="YK306" s="55">
        <f t="shared" si="2209"/>
        <v>46282</v>
      </c>
      <c r="YL306" s="56"/>
      <c r="YM306" s="242">
        <f>SUMPRODUCT(PRODUCE!$B305:$DY305,PRODUCE!$EB$57:$IY$57)</f>
        <v>0</v>
      </c>
      <c r="YN306" s="56"/>
      <c r="YO306" s="242">
        <f t="shared" si="2210"/>
        <v>0</v>
      </c>
      <c r="YP306" s="242">
        <f t="shared" si="2211"/>
        <v>-218</v>
      </c>
      <c r="YQ306" s="56"/>
      <c r="YT306" s="55">
        <f t="shared" si="2212"/>
        <v>46282</v>
      </c>
      <c r="YU306" s="56"/>
      <c r="YV306" s="242">
        <f>SUMPRODUCT(PRODUCE!$B305:$DY305,PRODUCE!$EB$57:$IY$57)</f>
        <v>0</v>
      </c>
      <c r="YW306" s="56"/>
      <c r="YX306" s="242">
        <f t="shared" si="2213"/>
        <v>0</v>
      </c>
      <c r="YY306" s="242">
        <f t="shared" si="2214"/>
        <v>0</v>
      </c>
      <c r="YZ306" s="56"/>
      <c r="ZC306" s="55">
        <f t="shared" si="2215"/>
        <v>46282</v>
      </c>
      <c r="ZD306" s="56"/>
      <c r="ZE306" s="242">
        <f>SUMPRODUCT(PRODUCE!$B305:$DY305,PRODUCE!$EB$57:$IY$57)</f>
        <v>0</v>
      </c>
      <c r="ZF306" s="56"/>
      <c r="ZG306" s="242">
        <f t="shared" si="2216"/>
        <v>0</v>
      </c>
      <c r="ZH306" s="242">
        <f t="shared" si="2217"/>
        <v>0</v>
      </c>
      <c r="ZI306" s="56"/>
      <c r="ZL306" s="55">
        <f t="shared" si="2218"/>
        <v>46282</v>
      </c>
      <c r="ZM306" s="56"/>
      <c r="ZN306" s="242">
        <f>SUMPRODUCT(PRODUCE!$B305:$DY305,PRODUCE!$EB$57:$IY$57)</f>
        <v>0</v>
      </c>
      <c r="ZO306" s="56"/>
      <c r="ZP306" s="242">
        <f t="shared" si="2219"/>
        <v>0</v>
      </c>
      <c r="ZQ306" s="242">
        <f t="shared" si="2220"/>
        <v>0</v>
      </c>
      <c r="ZR306" s="56"/>
      <c r="ZU306" s="55">
        <f t="shared" si="2221"/>
        <v>46282</v>
      </c>
      <c r="ZV306" s="56"/>
      <c r="ZW306" s="242">
        <f>SUMPRODUCT(PRODUCE!$B305:$DY305,PRODUCE!$EB$57:$IY$57)</f>
        <v>0</v>
      </c>
      <c r="ZX306" s="56"/>
      <c r="ZY306" s="242">
        <f t="shared" si="2222"/>
        <v>0</v>
      </c>
      <c r="ZZ306" s="242">
        <f t="shared" si="2223"/>
        <v>0</v>
      </c>
      <c r="AAA306" s="56"/>
      <c r="AAD306" s="55">
        <f t="shared" si="2224"/>
        <v>46282</v>
      </c>
      <c r="AAE306" s="56"/>
      <c r="AAF306" s="242">
        <f>SUMPRODUCT(PRODUCE!$B305:$DY305,PRODUCE!$EB$57:$IY$57)</f>
        <v>0</v>
      </c>
      <c r="AAG306" s="56"/>
      <c r="AAH306" s="242">
        <f t="shared" si="2225"/>
        <v>0</v>
      </c>
      <c r="AAI306" s="242">
        <f t="shared" si="2226"/>
        <v>0</v>
      </c>
      <c r="AAJ306" s="56"/>
      <c r="AAM306" s="55">
        <f t="shared" si="2227"/>
        <v>46282</v>
      </c>
      <c r="AAN306" s="56"/>
      <c r="AAO306" s="242">
        <f>SUMPRODUCT(PRODUCE!$B305:$DY305,PRODUCE!$EB$57:$IY$57)</f>
        <v>0</v>
      </c>
      <c r="AAP306" s="56"/>
      <c r="AAQ306" s="242">
        <f t="shared" si="2228"/>
        <v>0</v>
      </c>
      <c r="AAR306" s="242">
        <f t="shared" si="2229"/>
        <v>0</v>
      </c>
      <c r="AAS306" s="56"/>
      <c r="AAV306" s="55">
        <f t="shared" si="2230"/>
        <v>46282</v>
      </c>
      <c r="AAW306" s="56"/>
      <c r="AAX306" s="242">
        <f>SUMPRODUCT(PRODUCE!$B305:$DY305,PRODUCE!$EB$57:$IY$57)</f>
        <v>0</v>
      </c>
      <c r="AAY306" s="56"/>
      <c r="AAZ306" s="242">
        <f t="shared" si="2231"/>
        <v>0</v>
      </c>
      <c r="ABA306" s="242">
        <f t="shared" si="2232"/>
        <v>0</v>
      </c>
      <c r="ABB306" s="56"/>
      <c r="ABE306" s="55">
        <f t="shared" si="2233"/>
        <v>46282</v>
      </c>
      <c r="ABF306" s="56"/>
      <c r="ABG306" s="242">
        <f>SUMPRODUCT(PRODUCE!$B305:$DY305,PRODUCE!$EB$57:$IY$57)</f>
        <v>0</v>
      </c>
      <c r="ABH306" s="56"/>
      <c r="ABI306" s="242">
        <f t="shared" si="2234"/>
        <v>0</v>
      </c>
      <c r="ABJ306" s="242">
        <f t="shared" si="2235"/>
        <v>0</v>
      </c>
      <c r="ABK306" s="56"/>
    </row>
    <row r="307" spans="2:739" s="54" customFormat="1" ht="15" customHeight="1" outlineLevel="1">
      <c r="B307" s="478"/>
      <c r="C307" s="55">
        <v>46283</v>
      </c>
      <c r="D307" s="56"/>
      <c r="E307" s="57">
        <f>SUMPRODUCT(PRODUCE!$B306:$DY306,PRODUCE!$EB$7:$IY$7)</f>
        <v>0</v>
      </c>
      <c r="F307" s="56"/>
      <c r="G307" s="57">
        <f t="shared" si="1992"/>
        <v>0</v>
      </c>
      <c r="H307" s="57">
        <f t="shared" si="1993"/>
        <v>236936.6</v>
      </c>
      <c r="I307" s="289"/>
      <c r="L307" s="55">
        <f t="shared" si="1994"/>
        <v>46283</v>
      </c>
      <c r="M307" s="56"/>
      <c r="N307" s="59">
        <f>SUMPRODUCT(PRODUCE!$B306:$DY306,PRODUCE!$EB$8:$IY$8)</f>
        <v>0</v>
      </c>
      <c r="O307" s="56"/>
      <c r="P307" s="59">
        <f t="shared" si="1995"/>
        <v>0</v>
      </c>
      <c r="Q307" s="59">
        <f t="shared" si="1996"/>
        <v>53017.600000000071</v>
      </c>
      <c r="R307" s="56"/>
      <c r="U307" s="55">
        <f t="shared" si="1997"/>
        <v>46283</v>
      </c>
      <c r="V307" s="56"/>
      <c r="W307" s="60">
        <f>SUMPRODUCT(PRODUCE!$B306:$DY306,PRODUCE!$EB$9:$IY$9)</f>
        <v>0</v>
      </c>
      <c r="X307" s="56"/>
      <c r="Y307" s="60">
        <f t="shared" si="1998"/>
        <v>0</v>
      </c>
      <c r="Z307" s="60">
        <f t="shared" si="1999"/>
        <v>42674.199999999968</v>
      </c>
      <c r="AA307" s="56"/>
      <c r="AD307" s="55">
        <f t="shared" si="2000"/>
        <v>46283</v>
      </c>
      <c r="AE307" s="56"/>
      <c r="AF307" s="61">
        <f>SUMPRODUCT(PRODUCE!$B306:$DY306,PRODUCE!$EB$10:$IY$10)</f>
        <v>0</v>
      </c>
      <c r="AG307" s="56"/>
      <c r="AH307" s="61">
        <f t="shared" si="2001"/>
        <v>0</v>
      </c>
      <c r="AI307" s="61">
        <f t="shared" si="2002"/>
        <v>4522.2000000000189</v>
      </c>
      <c r="AJ307" s="56"/>
      <c r="AM307" s="55">
        <f t="shared" si="2003"/>
        <v>46283</v>
      </c>
      <c r="AN307" s="422"/>
      <c r="AO307" s="444">
        <f>SUMPRODUCT(PRODUCE!$B306:$DY306,PRODUCE!$EB$11:$IY$11)</f>
        <v>0</v>
      </c>
      <c r="AP307" s="422"/>
      <c r="AQ307" s="444">
        <f t="shared" si="2004"/>
        <v>0</v>
      </c>
      <c r="AR307" s="444">
        <f t="shared" si="2005"/>
        <v>0</v>
      </c>
      <c r="AS307" s="56"/>
      <c r="AV307" s="55">
        <f t="shared" si="2006"/>
        <v>46283</v>
      </c>
      <c r="AW307" s="56"/>
      <c r="AX307" s="62">
        <f>SUMPRODUCT(PRODUCE!$B306:$DY306,PRODUCE!$EB$12:$IY$12)</f>
        <v>0</v>
      </c>
      <c r="AY307" s="56"/>
      <c r="AZ307" s="62">
        <f t="shared" si="2007"/>
        <v>0</v>
      </c>
      <c r="BA307" s="62">
        <f t="shared" si="2008"/>
        <v>124.99999999999523</v>
      </c>
      <c r="BB307" s="56"/>
      <c r="BE307" s="55">
        <f t="shared" si="2009"/>
        <v>46283</v>
      </c>
      <c r="BF307" s="56"/>
      <c r="BG307" s="63">
        <f>SUMPRODUCT(PRODUCE!$B306:$DY306,PRODUCE!$EB$13:$IY$13)</f>
        <v>0</v>
      </c>
      <c r="BH307" s="56"/>
      <c r="BI307" s="63">
        <f t="shared" si="2010"/>
        <v>0</v>
      </c>
      <c r="BJ307" s="63">
        <f t="shared" si="2011"/>
        <v>26151.899999999998</v>
      </c>
      <c r="BK307" s="56"/>
      <c r="BN307" s="55">
        <f t="shared" si="2012"/>
        <v>46283</v>
      </c>
      <c r="BO307" s="56"/>
      <c r="BP307" s="64">
        <f>SUMPRODUCT(PRODUCE!$B306:$DY306,PRODUCE!$EB$14:$IY$14)</f>
        <v>0</v>
      </c>
      <c r="BQ307" s="56"/>
      <c r="BR307" s="64">
        <f t="shared" si="2013"/>
        <v>0</v>
      </c>
      <c r="BS307" s="64">
        <f t="shared" si="2014"/>
        <v>0</v>
      </c>
      <c r="BT307" s="56"/>
      <c r="BW307" s="55">
        <f t="shared" si="2015"/>
        <v>46283</v>
      </c>
      <c r="BX307" s="56"/>
      <c r="BY307" s="65">
        <f>SUMPRODUCT(PRODUCE!$B306:$DY306,PRODUCE!$EB$15:$IY$15)</f>
        <v>0</v>
      </c>
      <c r="BZ307" s="56"/>
      <c r="CA307" s="65">
        <f t="shared" si="2016"/>
        <v>0</v>
      </c>
      <c r="CB307" s="65">
        <f t="shared" si="2017"/>
        <v>2097.3399999999992</v>
      </c>
      <c r="CC307" s="56"/>
      <c r="CF307" s="55">
        <f t="shared" si="2018"/>
        <v>46283</v>
      </c>
      <c r="CG307" s="56"/>
      <c r="CH307" s="66">
        <f>SUMPRODUCT(PRODUCE!$B306:$DY306,PRODUCE!$EB$16:$IY$16)</f>
        <v>0</v>
      </c>
      <c r="CI307" s="56"/>
      <c r="CJ307" s="66">
        <f t="shared" si="2019"/>
        <v>0</v>
      </c>
      <c r="CK307" s="66">
        <f t="shared" si="2020"/>
        <v>-10277.079999999998</v>
      </c>
      <c r="CL307" s="56"/>
      <c r="CO307" s="55">
        <f t="shared" si="2021"/>
        <v>46283</v>
      </c>
      <c r="CP307" s="422"/>
      <c r="CQ307" s="470">
        <f>SUMPRODUCT(PRODUCE!$B306:$DY306,PRODUCE!$EB$17:$IY$17)</f>
        <v>0</v>
      </c>
      <c r="CR307" s="422"/>
      <c r="CS307" s="470">
        <f t="shared" si="2022"/>
        <v>0</v>
      </c>
      <c r="CT307" s="470">
        <f t="shared" si="2023"/>
        <v>0</v>
      </c>
      <c r="CU307" s="56"/>
      <c r="CX307" s="55">
        <f t="shared" si="2024"/>
        <v>46283</v>
      </c>
      <c r="CY307" s="56"/>
      <c r="CZ307" s="133">
        <f>SUMPRODUCT(PRODUCE!$B306:$DY306,PRODUCE!$EB$18:$IY$18)</f>
        <v>0</v>
      </c>
      <c r="DA307" s="56"/>
      <c r="DB307" s="133">
        <f t="shared" si="2025"/>
        <v>0</v>
      </c>
      <c r="DC307" s="133">
        <f t="shared" si="2026"/>
        <v>27438.200000000012</v>
      </c>
      <c r="DD307" s="56"/>
      <c r="DG307" s="55">
        <f t="shared" si="2027"/>
        <v>46283</v>
      </c>
      <c r="DH307" s="56"/>
      <c r="DI307" s="147">
        <f>SUMPRODUCT(PRODUCE!$B306:$DY306,PRODUCE!$EB$19:$IY$19)</f>
        <v>0</v>
      </c>
      <c r="DJ307" s="56"/>
      <c r="DK307" s="147">
        <f t="shared" si="2028"/>
        <v>0</v>
      </c>
      <c r="DL307" s="147">
        <f t="shared" si="2029"/>
        <v>18782.299999999981</v>
      </c>
      <c r="DM307" s="56"/>
      <c r="DP307" s="55">
        <f t="shared" si="2030"/>
        <v>46283</v>
      </c>
      <c r="DQ307" s="56"/>
      <c r="DR307" s="57">
        <f>SUMPRODUCT(PRODUCE!$B306:$DY306,PRODUCE!$EB$20:$IY$20)</f>
        <v>0</v>
      </c>
      <c r="DS307" s="56"/>
      <c r="DT307" s="57">
        <f t="shared" si="2031"/>
        <v>0</v>
      </c>
      <c r="DU307" s="57">
        <f t="shared" si="2032"/>
        <v>5800</v>
      </c>
      <c r="DV307" s="56"/>
      <c r="DY307" s="55">
        <f t="shared" si="2033"/>
        <v>46283</v>
      </c>
      <c r="DZ307" s="56"/>
      <c r="EA307" s="157">
        <f>SUMPRODUCT(PRODUCE!$B306:$DY306,PRODUCE!$EB$21:$IY$21)</f>
        <v>0</v>
      </c>
      <c r="EB307" s="56"/>
      <c r="EC307" s="157">
        <f t="shared" si="2034"/>
        <v>0</v>
      </c>
      <c r="ED307" s="157">
        <f t="shared" si="2035"/>
        <v>0</v>
      </c>
      <c r="EE307" s="56"/>
      <c r="EH307" s="55">
        <f t="shared" si="2036"/>
        <v>46283</v>
      </c>
      <c r="EI307" s="56"/>
      <c r="EJ307" s="162">
        <f>SUMPRODUCT(PRODUCE!$B306:$DY306,PRODUCE!$EB$22:$IY$22)</f>
        <v>0</v>
      </c>
      <c r="EK307" s="56"/>
      <c r="EL307" s="162">
        <f t="shared" si="2037"/>
        <v>0</v>
      </c>
      <c r="EM307" s="162">
        <f t="shared" si="2038"/>
        <v>0</v>
      </c>
      <c r="EN307" s="56"/>
      <c r="EQ307" s="55">
        <f t="shared" si="2039"/>
        <v>46283</v>
      </c>
      <c r="ER307" s="56"/>
      <c r="ES307" s="135">
        <f>SUMPRODUCT(PRODUCE!$B306:$DY306,PRODUCE!$EB$23:$IY$23)</f>
        <v>0</v>
      </c>
      <c r="ET307" s="56"/>
      <c r="EU307" s="135">
        <f t="shared" si="2040"/>
        <v>0</v>
      </c>
      <c r="EV307" s="135">
        <f t="shared" si="2041"/>
        <v>0</v>
      </c>
      <c r="EW307" s="56"/>
      <c r="EZ307" s="55">
        <f t="shared" si="2042"/>
        <v>46283</v>
      </c>
      <c r="FA307" s="56"/>
      <c r="FB307" s="175">
        <f>SUMPRODUCT(PRODUCE!$B306:$DY306,PRODUCE!$EB$24:$IY$24)</f>
        <v>0</v>
      </c>
      <c r="FC307" s="56"/>
      <c r="FD307" s="175">
        <f t="shared" si="2043"/>
        <v>0</v>
      </c>
      <c r="FE307" s="175">
        <f t="shared" si="2044"/>
        <v>0</v>
      </c>
      <c r="FF307" s="56"/>
      <c r="FI307" s="55">
        <f t="shared" si="2045"/>
        <v>46283</v>
      </c>
      <c r="FJ307" s="56"/>
      <c r="FK307" s="183">
        <f>SUMPRODUCT(PRODUCE!$B306:$DY306,PRODUCE!$EB$25:$IY$25)</f>
        <v>0</v>
      </c>
      <c r="FL307" s="56"/>
      <c r="FM307" s="183">
        <f t="shared" si="2046"/>
        <v>0</v>
      </c>
      <c r="FN307" s="183">
        <f t="shared" si="2047"/>
        <v>0</v>
      </c>
      <c r="FO307" s="56"/>
      <c r="FR307" s="55">
        <f t="shared" si="2048"/>
        <v>46283</v>
      </c>
      <c r="FS307" s="56"/>
      <c r="FT307" s="186">
        <f>SUMPRODUCT(PRODUCE!$B306:$DY306,PRODUCE!$EB$26:$IY$26)</f>
        <v>0</v>
      </c>
      <c r="FU307" s="56"/>
      <c r="FV307" s="186">
        <f t="shared" si="2049"/>
        <v>0</v>
      </c>
      <c r="FW307" s="186">
        <f t="shared" si="2050"/>
        <v>2020</v>
      </c>
      <c r="FX307" s="56"/>
      <c r="GA307" s="55">
        <f t="shared" si="2051"/>
        <v>46283</v>
      </c>
      <c r="GB307" s="56"/>
      <c r="GC307" s="137">
        <f>SUMPRODUCT(PRODUCE!$B306:$DY306,PRODUCE!$EB$27:$IY$27)</f>
        <v>0</v>
      </c>
      <c r="GD307" s="56"/>
      <c r="GE307" s="137">
        <f t="shared" si="2052"/>
        <v>0</v>
      </c>
      <c r="GF307" s="137">
        <f t="shared" si="2053"/>
        <v>960</v>
      </c>
      <c r="GG307" s="56"/>
      <c r="GI307" s="23"/>
      <c r="GJ307" s="55">
        <f t="shared" si="2054"/>
        <v>46283</v>
      </c>
      <c r="GK307" s="56"/>
      <c r="GL307" s="199">
        <f>SUMPRODUCT(PRODUCE!$B306:$DY306,PRODUCE!$EB$28:$IY$28)</f>
        <v>0</v>
      </c>
      <c r="GM307" s="56"/>
      <c r="GN307" s="199">
        <f t="shared" si="2055"/>
        <v>0</v>
      </c>
      <c r="GO307" s="199">
        <f t="shared" si="2056"/>
        <v>1760</v>
      </c>
      <c r="GP307" s="56"/>
      <c r="GS307" s="55">
        <f t="shared" si="2057"/>
        <v>46283</v>
      </c>
      <c r="GT307" s="56"/>
      <c r="GU307" s="195">
        <f>SUMPRODUCT(PRODUCE!$B306:$DY306,PRODUCE!$EB$29:$IY$29)</f>
        <v>0</v>
      </c>
      <c r="GV307" s="56"/>
      <c r="GW307" s="195">
        <f t="shared" si="2058"/>
        <v>0</v>
      </c>
      <c r="GX307" s="195">
        <f t="shared" si="2059"/>
        <v>400</v>
      </c>
      <c r="GY307" s="56"/>
      <c r="HB307" s="55">
        <f t="shared" si="2060"/>
        <v>46283</v>
      </c>
      <c r="HC307" s="56"/>
      <c r="HD307" s="191">
        <f>SUMPRODUCT(PRODUCE!$B306:$DY306,PRODUCE!$EB$30:$IY$30)</f>
        <v>0</v>
      </c>
      <c r="HE307" s="56"/>
      <c r="HF307" s="191">
        <f t="shared" si="2061"/>
        <v>0</v>
      </c>
      <c r="HG307" s="191">
        <f t="shared" si="2062"/>
        <v>3600</v>
      </c>
      <c r="HH307" s="56"/>
      <c r="HK307" s="55">
        <f t="shared" si="2063"/>
        <v>46283</v>
      </c>
      <c r="HL307" s="56"/>
      <c r="HM307" s="63">
        <f>SUMPRODUCT(PRODUCE!$B306:$DY306,PRODUCE!$EB$31:$IY$31)</f>
        <v>0</v>
      </c>
      <c r="HN307" s="56"/>
      <c r="HO307" s="63">
        <f t="shared" si="2064"/>
        <v>0</v>
      </c>
      <c r="HP307" s="63">
        <f t="shared" si="2065"/>
        <v>0</v>
      </c>
      <c r="HQ307" s="56"/>
      <c r="HU307" s="55">
        <f t="shared" si="2066"/>
        <v>46283</v>
      </c>
      <c r="HV307" s="56"/>
      <c r="HW307" s="242">
        <f>SUMPRODUCT(PRODUCE!$B306:$DY306,PRODUCE!$EB$32:$IY$32)</f>
        <v>0</v>
      </c>
      <c r="HX307" s="56"/>
      <c r="HY307" s="242">
        <f t="shared" si="2236"/>
        <v>0</v>
      </c>
      <c r="HZ307" s="242">
        <f t="shared" si="2067"/>
        <v>6120</v>
      </c>
      <c r="IA307" s="56"/>
      <c r="ID307" s="55">
        <f t="shared" si="2068"/>
        <v>46283</v>
      </c>
      <c r="IE307" s="56"/>
      <c r="IF307" s="242">
        <f>SUMPRODUCT(PRODUCE!$B306:$DY306,PRODUCE!$EB$33:$IY$33)</f>
        <v>0</v>
      </c>
      <c r="IG307" s="56"/>
      <c r="IH307" s="242">
        <f t="shared" si="2069"/>
        <v>0</v>
      </c>
      <c r="II307" s="242">
        <f t="shared" si="2070"/>
        <v>0</v>
      </c>
      <c r="IJ307" s="56"/>
      <c r="IM307" s="55">
        <f t="shared" si="2071"/>
        <v>46283</v>
      </c>
      <c r="IN307" s="56"/>
      <c r="IO307" s="242">
        <f>SUMPRODUCT(PRODUCE!$B306:$DY306,PRODUCE!$EB$34:$IY$34)</f>
        <v>0</v>
      </c>
      <c r="IP307" s="56"/>
      <c r="IQ307" s="242">
        <f t="shared" si="2072"/>
        <v>0</v>
      </c>
      <c r="IR307" s="242">
        <f t="shared" si="2073"/>
        <v>0</v>
      </c>
      <c r="IS307" s="56"/>
      <c r="IV307" s="55">
        <f t="shared" si="2074"/>
        <v>46283</v>
      </c>
      <c r="IW307" s="56"/>
      <c r="IX307" s="242">
        <f>SUMPRODUCT(PRODUCE!$B306:$DY306,PRODUCE!$EB$35:$IY$35)</f>
        <v>0</v>
      </c>
      <c r="IY307" s="56"/>
      <c r="IZ307" s="242">
        <f t="shared" si="2075"/>
        <v>0</v>
      </c>
      <c r="JA307" s="242">
        <f t="shared" si="2076"/>
        <v>2820</v>
      </c>
      <c r="JB307" s="56"/>
      <c r="JE307" s="55">
        <f t="shared" si="2077"/>
        <v>46283</v>
      </c>
      <c r="JF307" s="56"/>
      <c r="JG307" s="242">
        <f>SUMPRODUCT(PRODUCE!$B306:$DY306,PRODUCE!$EB$36:$IY$36)</f>
        <v>0</v>
      </c>
      <c r="JH307" s="56"/>
      <c r="JI307" s="242">
        <f t="shared" si="2078"/>
        <v>0</v>
      </c>
      <c r="JJ307" s="242">
        <f t="shared" si="2079"/>
        <v>0</v>
      </c>
      <c r="JK307" s="56"/>
      <c r="JN307" s="55">
        <f t="shared" si="2080"/>
        <v>46283</v>
      </c>
      <c r="JO307" s="56"/>
      <c r="JP307" s="242">
        <f>SUMPRODUCT(PRODUCE!$B306:$DY306,PRODUCE!$EB$37:$IY$37)</f>
        <v>0</v>
      </c>
      <c r="JQ307" s="56"/>
      <c r="JR307" s="242">
        <f t="shared" si="2081"/>
        <v>0</v>
      </c>
      <c r="JS307" s="242">
        <f t="shared" si="2082"/>
        <v>0</v>
      </c>
      <c r="JT307" s="56"/>
      <c r="JW307" s="55">
        <f t="shared" si="2083"/>
        <v>46283</v>
      </c>
      <c r="JX307" s="56"/>
      <c r="JY307" s="242">
        <f>SUMPRODUCT(PRODUCE!$B306:$DY306,PRODUCE!$EB$38:$IY$38)</f>
        <v>0</v>
      </c>
      <c r="JZ307" s="56"/>
      <c r="KA307" s="242">
        <f t="shared" si="2084"/>
        <v>0</v>
      </c>
      <c r="KB307" s="242">
        <f t="shared" si="2085"/>
        <v>2540</v>
      </c>
      <c r="KC307" s="56"/>
      <c r="KF307" s="55">
        <f t="shared" si="2086"/>
        <v>46283</v>
      </c>
      <c r="KG307" s="56"/>
      <c r="KH307" s="242">
        <f>SUMPRODUCT(PRODUCE!$B306:$DY306,PRODUCE!$EB$39:$IY$39)</f>
        <v>0</v>
      </c>
      <c r="KI307" s="56"/>
      <c r="KJ307" s="242">
        <f t="shared" si="2087"/>
        <v>0</v>
      </c>
      <c r="KK307" s="242">
        <f t="shared" si="2088"/>
        <v>2359.5</v>
      </c>
      <c r="KL307" s="56"/>
      <c r="KO307" s="55">
        <f t="shared" si="2089"/>
        <v>46283</v>
      </c>
      <c r="KP307" s="56"/>
      <c r="KQ307" s="242">
        <f>SUMPRODUCT(PRODUCE!$B306:$DY306,PRODUCE!$EB$40:$IY$40)</f>
        <v>0</v>
      </c>
      <c r="KR307" s="56"/>
      <c r="KS307" s="242">
        <f t="shared" si="2090"/>
        <v>0</v>
      </c>
      <c r="KT307" s="242">
        <f t="shared" si="2091"/>
        <v>1890</v>
      </c>
      <c r="KU307" s="56"/>
      <c r="KW307" s="23"/>
      <c r="KX307" s="55">
        <f t="shared" si="2092"/>
        <v>46283</v>
      </c>
      <c r="KY307" s="56"/>
      <c r="KZ307" s="242">
        <f>SUMPRODUCT(PRODUCE!$B306:$DY306,PRODUCE!$EB$41:$IY$41)</f>
        <v>0</v>
      </c>
      <c r="LA307" s="56"/>
      <c r="LB307" s="242">
        <f t="shared" si="2093"/>
        <v>0</v>
      </c>
      <c r="LC307" s="242">
        <f t="shared" si="2094"/>
        <v>3690</v>
      </c>
      <c r="LD307" s="56"/>
      <c r="LG307" s="55">
        <f t="shared" si="2095"/>
        <v>46283</v>
      </c>
      <c r="LH307" s="56"/>
      <c r="LI307" s="242">
        <f>SUMPRODUCT(PRODUCE!$B306:$DY306,PRODUCE!$EB$42:$IY$42)</f>
        <v>0</v>
      </c>
      <c r="LJ307" s="56"/>
      <c r="LK307" s="242">
        <f t="shared" si="2096"/>
        <v>0</v>
      </c>
      <c r="LL307" s="242">
        <f t="shared" si="2097"/>
        <v>4000</v>
      </c>
      <c r="LM307" s="56"/>
      <c r="LP307" s="55">
        <f t="shared" si="2098"/>
        <v>46283</v>
      </c>
      <c r="LQ307" s="56"/>
      <c r="LR307" s="242">
        <f>SUMPRODUCT(PRODUCE!$B322:$DY322,PRODUCE!$EB$43:$IY$43)</f>
        <v>0</v>
      </c>
      <c r="LS307" s="56"/>
      <c r="LT307" s="242">
        <f t="shared" si="2099"/>
        <v>0</v>
      </c>
      <c r="LU307" s="242">
        <f t="shared" si="2100"/>
        <v>0</v>
      </c>
      <c r="LV307" s="56"/>
      <c r="LY307" s="55">
        <f t="shared" si="2101"/>
        <v>46283</v>
      </c>
      <c r="LZ307" s="56"/>
      <c r="MA307" s="242">
        <f>SUMPRODUCT(PRODUCE!$B306:$DY306,PRODUCE!$EB$44:$IY$44)</f>
        <v>0</v>
      </c>
      <c r="MB307" s="56"/>
      <c r="MC307" s="242">
        <f t="shared" si="2102"/>
        <v>0</v>
      </c>
      <c r="MD307" s="242">
        <f t="shared" si="2103"/>
        <v>0</v>
      </c>
      <c r="ME307" s="56"/>
      <c r="MH307" s="55">
        <f t="shared" si="2104"/>
        <v>46283</v>
      </c>
      <c r="MI307" s="56"/>
      <c r="MJ307" s="242">
        <f>SUMPRODUCT(PRODUCE!$B306:$DY306,PRODUCE!$EB$45:$IY$45)</f>
        <v>0</v>
      </c>
      <c r="MK307" s="56"/>
      <c r="ML307" s="242">
        <f t="shared" si="2105"/>
        <v>0</v>
      </c>
      <c r="MM307" s="242">
        <f t="shared" si="2106"/>
        <v>0</v>
      </c>
      <c r="MN307" s="56"/>
      <c r="MQ307" s="55">
        <f t="shared" si="2107"/>
        <v>46283</v>
      </c>
      <c r="MR307" s="56"/>
      <c r="MS307" s="242">
        <f>SUMPRODUCT(PRODUCE!$B306:$DY306,PRODUCE!$EB$46:$IY$46)</f>
        <v>0</v>
      </c>
      <c r="MT307" s="56"/>
      <c r="MU307" s="242">
        <f t="shared" si="2108"/>
        <v>0</v>
      </c>
      <c r="MV307" s="242">
        <f t="shared" si="2109"/>
        <v>1625</v>
      </c>
      <c r="MW307" s="56"/>
      <c r="MZ307" s="55">
        <f t="shared" si="2110"/>
        <v>46283</v>
      </c>
      <c r="NA307" s="56"/>
      <c r="NB307" s="242">
        <f>SUMPRODUCT(PRODUCE!$B306:$DY306,PRODUCE!$EB$47:$IY$47)</f>
        <v>0</v>
      </c>
      <c r="NC307" s="56"/>
      <c r="ND307" s="242">
        <f t="shared" si="2111"/>
        <v>0</v>
      </c>
      <c r="NE307" s="242">
        <f t="shared" si="2112"/>
        <v>0</v>
      </c>
      <c r="NF307" s="56"/>
      <c r="NI307" s="55">
        <f t="shared" si="2113"/>
        <v>46283</v>
      </c>
      <c r="NJ307" s="56"/>
      <c r="NK307" s="242">
        <f>SUMPRODUCT(PRODUCE!$B306:$DY306,PRODUCE!$EB$48:$IY$48)</f>
        <v>0</v>
      </c>
      <c r="NL307" s="56"/>
      <c r="NM307" s="242">
        <f t="shared" si="2114"/>
        <v>0</v>
      </c>
      <c r="NN307" s="242">
        <f t="shared" si="2115"/>
        <v>1127</v>
      </c>
      <c r="NO307" s="56"/>
      <c r="NR307" s="55">
        <f t="shared" si="2116"/>
        <v>46283</v>
      </c>
      <c r="NS307" s="56"/>
      <c r="NT307" s="242">
        <f>SUMPRODUCT(PRODUCE!$B306:$DY306,PRODUCE!$EB$49:$IY$49)</f>
        <v>0</v>
      </c>
      <c r="NU307" s="56"/>
      <c r="NV307" s="242">
        <f t="shared" si="2117"/>
        <v>0</v>
      </c>
      <c r="NW307" s="242">
        <f t="shared" si="2118"/>
        <v>3111.9999999999995</v>
      </c>
      <c r="NX307" s="56"/>
      <c r="OA307" s="55">
        <f t="shared" si="2119"/>
        <v>46283</v>
      </c>
      <c r="OB307" s="56"/>
      <c r="OC307" s="242">
        <f>SUMPRODUCT(PRODUCE!$B306:$DY306,PRODUCE!$EB$50:$IY$50)</f>
        <v>0</v>
      </c>
      <c r="OD307" s="56"/>
      <c r="OE307" s="242">
        <f t="shared" si="2120"/>
        <v>0</v>
      </c>
      <c r="OF307" s="242">
        <f t="shared" si="2121"/>
        <v>1680.5</v>
      </c>
      <c r="OG307" s="56"/>
      <c r="OJ307" s="55">
        <f t="shared" si="2122"/>
        <v>46283</v>
      </c>
      <c r="OK307" s="56"/>
      <c r="OL307" s="242">
        <f>SUMPRODUCT(PRODUCE!$B306:$DY306,PRODUCE!$EB$51:$IY$51)</f>
        <v>0</v>
      </c>
      <c r="OM307" s="56"/>
      <c r="ON307" s="242">
        <f t="shared" si="2123"/>
        <v>0</v>
      </c>
      <c r="OO307" s="242">
        <f t="shared" si="2124"/>
        <v>0</v>
      </c>
      <c r="OP307" s="56"/>
      <c r="OS307" s="55">
        <f t="shared" si="2125"/>
        <v>46283</v>
      </c>
      <c r="OT307" s="56"/>
      <c r="OU307" s="242">
        <f>SUMPRODUCT(PRODUCE!$B306:$DY306,PRODUCE!$EB$52:$IY$52)</f>
        <v>0</v>
      </c>
      <c r="OV307" s="56"/>
      <c r="OW307" s="242">
        <f t="shared" si="2126"/>
        <v>0</v>
      </c>
      <c r="OX307" s="242">
        <f t="shared" si="2127"/>
        <v>1482</v>
      </c>
      <c r="OY307" s="56"/>
      <c r="PB307" s="55">
        <f t="shared" si="2128"/>
        <v>46283</v>
      </c>
      <c r="PC307" s="56"/>
      <c r="PD307" s="242">
        <f>SUMPRODUCT(PRODUCE!$B306:$DY306,PRODUCE!$EB$53:$IY$53)</f>
        <v>0</v>
      </c>
      <c r="PE307" s="56"/>
      <c r="PF307" s="242">
        <f t="shared" si="2129"/>
        <v>0</v>
      </c>
      <c r="PG307" s="242">
        <f t="shared" si="2130"/>
        <v>0</v>
      </c>
      <c r="PH307" s="56"/>
      <c r="PK307" s="55">
        <f t="shared" si="2131"/>
        <v>46283</v>
      </c>
      <c r="PL307" s="56"/>
      <c r="PM307" s="242">
        <f>SUMPRODUCT(PRODUCE!$B306:$DY306,PRODUCE!$EB$54:$IY$54)</f>
        <v>0</v>
      </c>
      <c r="PN307" s="56"/>
      <c r="PO307" s="242">
        <f t="shared" si="2132"/>
        <v>0</v>
      </c>
      <c r="PP307" s="242">
        <f t="shared" si="2133"/>
        <v>100</v>
      </c>
      <c r="PQ307" s="56"/>
      <c r="PT307" s="55">
        <f t="shared" si="2134"/>
        <v>46283</v>
      </c>
      <c r="PU307" s="56"/>
      <c r="PV307" s="242">
        <f>SUMPRODUCT(PRODUCE!$B306:$DY306,PRODUCE!$EB$55:$IY$55)</f>
        <v>0</v>
      </c>
      <c r="PW307" s="56"/>
      <c r="PX307" s="242">
        <f t="shared" si="2135"/>
        <v>0</v>
      </c>
      <c r="PY307" s="242">
        <f t="shared" si="2136"/>
        <v>13.960000000000036</v>
      </c>
      <c r="PZ307" s="56"/>
      <c r="QC307" s="55">
        <f t="shared" si="2137"/>
        <v>46283</v>
      </c>
      <c r="QD307" s="56"/>
      <c r="QE307" s="242">
        <f>SUMPRODUCT(PRODUCE!$B306:$DY306,PRODUCE!$EB$56:$IY$56)</f>
        <v>0</v>
      </c>
      <c r="QF307" s="56"/>
      <c r="QG307" s="242">
        <f t="shared" si="2138"/>
        <v>0</v>
      </c>
      <c r="QH307" s="242">
        <f t="shared" si="2139"/>
        <v>548</v>
      </c>
      <c r="QI307" s="56"/>
      <c r="QL307" s="55">
        <f t="shared" si="2140"/>
        <v>46283</v>
      </c>
      <c r="QM307" s="56"/>
      <c r="QN307" s="242">
        <f>SUMPRODUCT(PRODUCE!$B306:$DY306,PRODUCE!$EB$57:$IY$57)</f>
        <v>0</v>
      </c>
      <c r="QO307" s="56"/>
      <c r="QP307" s="242">
        <f t="shared" si="2141"/>
        <v>0</v>
      </c>
      <c r="QQ307" s="242">
        <f t="shared" si="2142"/>
        <v>0</v>
      </c>
      <c r="QR307" s="56"/>
      <c r="QU307" s="55">
        <f t="shared" si="2143"/>
        <v>46283</v>
      </c>
      <c r="QV307" s="56"/>
      <c r="QW307" s="242">
        <f>SUMPRODUCT(PRODUCE!$B306:$DY306,PRODUCE!$EB$57:$IY$57)</f>
        <v>0</v>
      </c>
      <c r="QX307" s="56"/>
      <c r="QY307" s="242">
        <f t="shared" si="2144"/>
        <v>0</v>
      </c>
      <c r="QZ307" s="242">
        <f t="shared" si="2145"/>
        <v>0</v>
      </c>
      <c r="RA307" s="56"/>
      <c r="RD307" s="55">
        <f t="shared" si="2146"/>
        <v>46283</v>
      </c>
      <c r="RE307" s="56"/>
      <c r="RF307" s="242">
        <f>SUMPRODUCT(PRODUCE!$B306:$DY306,PRODUCE!$EB$58:$IY$58)</f>
        <v>0</v>
      </c>
      <c r="RG307" s="56"/>
      <c r="RH307" s="242">
        <f t="shared" si="2147"/>
        <v>0</v>
      </c>
      <c r="RI307" s="242">
        <f t="shared" si="2148"/>
        <v>147.04000000000002</v>
      </c>
      <c r="RJ307" s="56"/>
      <c r="RM307" s="55">
        <f t="shared" si="2149"/>
        <v>46283</v>
      </c>
      <c r="RN307" s="56"/>
      <c r="RO307" s="242">
        <f>SUMPRODUCT(PRODUCE!$B306:$DY306,PRODUCE!$EB$59:$IY$59)</f>
        <v>0</v>
      </c>
      <c r="RP307" s="56"/>
      <c r="RQ307" s="242">
        <f t="shared" si="2150"/>
        <v>0</v>
      </c>
      <c r="RR307" s="242">
        <f t="shared" si="2151"/>
        <v>46.8</v>
      </c>
      <c r="RS307" s="56"/>
      <c r="RV307" s="55">
        <f t="shared" si="2152"/>
        <v>46283</v>
      </c>
      <c r="RW307" s="56"/>
      <c r="RX307" s="242">
        <f>SUMPRODUCT(PRODUCE!$B306:$DY306,PRODUCE!$EB$57:$IY$57)</f>
        <v>0</v>
      </c>
      <c r="RY307" s="56"/>
      <c r="RZ307" s="242">
        <f t="shared" si="2153"/>
        <v>0</v>
      </c>
      <c r="SA307" s="242">
        <f t="shared" si="2154"/>
        <v>0</v>
      </c>
      <c r="SB307" s="56"/>
      <c r="SE307" s="55">
        <f t="shared" si="2155"/>
        <v>46283</v>
      </c>
      <c r="SF307" s="56"/>
      <c r="SG307" s="242">
        <f>SUMPRODUCT(PRODUCE!$B306:$DY306,PRODUCE!$EB$61:$IY$61)</f>
        <v>0</v>
      </c>
      <c r="SH307" s="56"/>
      <c r="SI307" s="242">
        <f t="shared" si="2156"/>
        <v>0</v>
      </c>
      <c r="SJ307" s="242">
        <f t="shared" si="2157"/>
        <v>24.200000000000003</v>
      </c>
      <c r="SK307" s="56"/>
      <c r="SN307" s="55">
        <f t="shared" si="2158"/>
        <v>46283</v>
      </c>
      <c r="SO307" s="56"/>
      <c r="SP307" s="242">
        <f>SUMPRODUCT(PRODUCE!$B306:$DY306,PRODUCE!$EB$57:$IY$57)</f>
        <v>0</v>
      </c>
      <c r="SQ307" s="56"/>
      <c r="SR307" s="242">
        <f t="shared" si="2159"/>
        <v>0</v>
      </c>
      <c r="SS307" s="242">
        <f t="shared" si="2160"/>
        <v>32</v>
      </c>
      <c r="ST307" s="56"/>
      <c r="SW307" s="55">
        <f t="shared" si="2161"/>
        <v>46283</v>
      </c>
      <c r="SX307" s="56"/>
      <c r="SY307" s="242">
        <f>SUMPRODUCT(PRODUCE!$B306:$DY306,PRODUCE!$EB$57:$IY$57)</f>
        <v>0</v>
      </c>
      <c r="SZ307" s="56"/>
      <c r="TA307" s="242">
        <f t="shared" si="2162"/>
        <v>0</v>
      </c>
      <c r="TB307" s="242">
        <f t="shared" si="2163"/>
        <v>0</v>
      </c>
      <c r="TC307" s="56"/>
      <c r="TF307" s="55">
        <f t="shared" si="2164"/>
        <v>46283</v>
      </c>
      <c r="TG307" s="56"/>
      <c r="TH307" s="242">
        <f>SUMPRODUCT(PRODUCE!$B306:$DY306,PRODUCE!$EB$57:$IY$57)</f>
        <v>0</v>
      </c>
      <c r="TI307" s="56"/>
      <c r="TJ307" s="242">
        <f t="shared" si="2165"/>
        <v>0</v>
      </c>
      <c r="TK307" s="242">
        <f t="shared" si="2166"/>
        <v>0</v>
      </c>
      <c r="TL307" s="56"/>
      <c r="TO307" s="55">
        <f t="shared" si="2167"/>
        <v>46283</v>
      </c>
      <c r="TP307" s="56"/>
      <c r="TQ307" s="242">
        <f>SUMPRODUCT(PRODUCE!$B306:$DY306,PRODUCE!$EB$57:$IY$57)</f>
        <v>0</v>
      </c>
      <c r="TR307" s="56"/>
      <c r="TS307" s="242">
        <f t="shared" si="2168"/>
        <v>0</v>
      </c>
      <c r="TT307" s="242">
        <f t="shared" si="2169"/>
        <v>0</v>
      </c>
      <c r="TU307" s="56"/>
      <c r="TX307" s="55">
        <f t="shared" si="2170"/>
        <v>46283</v>
      </c>
      <c r="TY307" s="56"/>
      <c r="TZ307" s="242">
        <f>SUMPRODUCT(PRODUCE!$B306:$DY306,PRODUCE!$EB$57:$IY$57)</f>
        <v>0</v>
      </c>
      <c r="UA307" s="56"/>
      <c r="UB307" s="242">
        <f t="shared" si="2171"/>
        <v>0</v>
      </c>
      <c r="UC307" s="242">
        <f t="shared" si="2172"/>
        <v>46.799999999999983</v>
      </c>
      <c r="UD307" s="56"/>
      <c r="UG307" s="55">
        <f t="shared" si="2173"/>
        <v>46283</v>
      </c>
      <c r="UH307" s="56"/>
      <c r="UI307" s="242">
        <f>SUMPRODUCT(PRODUCE!$B306:$DY306,PRODUCE!$EB$57:$IY$57)</f>
        <v>0</v>
      </c>
      <c r="UJ307" s="56"/>
      <c r="UK307" s="242">
        <f t="shared" si="2174"/>
        <v>0</v>
      </c>
      <c r="UL307" s="242">
        <f t="shared" si="2175"/>
        <v>204</v>
      </c>
      <c r="UM307" s="56"/>
      <c r="UP307" s="55">
        <f t="shared" si="2176"/>
        <v>46283</v>
      </c>
      <c r="UQ307" s="56"/>
      <c r="UR307" s="242">
        <f>SUMPRODUCT(PRODUCE!$B306:$DY306,PRODUCE!$EB$57:$IY$57)</f>
        <v>0</v>
      </c>
      <c r="US307" s="56"/>
      <c r="UT307" s="242">
        <f t="shared" si="2177"/>
        <v>0</v>
      </c>
      <c r="UU307" s="242">
        <f t="shared" si="2178"/>
        <v>202.5</v>
      </c>
      <c r="UV307" s="56"/>
      <c r="UY307" s="55">
        <f t="shared" si="2179"/>
        <v>46283</v>
      </c>
      <c r="UZ307" s="56"/>
      <c r="VA307" s="242">
        <f>SUMPRODUCT(PRODUCE!$B306:$DY306,PRODUCE!$EB$57:$IY$57)</f>
        <v>0</v>
      </c>
      <c r="VB307" s="56"/>
      <c r="VC307" s="242">
        <f t="shared" si="2180"/>
        <v>0</v>
      </c>
      <c r="VD307" s="242">
        <f t="shared" si="2181"/>
        <v>41.600000000000023</v>
      </c>
      <c r="VE307" s="56"/>
      <c r="VH307" s="55">
        <f t="shared" si="2182"/>
        <v>46283</v>
      </c>
      <c r="VI307" s="56"/>
      <c r="VJ307" s="242">
        <f>SUMPRODUCT(PRODUCE!$B306:$DY306,PRODUCE!$EB$57:$IY$57)</f>
        <v>0</v>
      </c>
      <c r="VK307" s="56"/>
      <c r="VL307" s="242">
        <f t="shared" si="2183"/>
        <v>0</v>
      </c>
      <c r="VM307" s="242">
        <f t="shared" si="2184"/>
        <v>210</v>
      </c>
      <c r="VN307" s="56"/>
      <c r="VQ307" s="55">
        <f t="shared" si="2185"/>
        <v>46283</v>
      </c>
      <c r="VR307" s="56"/>
      <c r="VS307" s="242">
        <f>SUMPRODUCT(PRODUCE!$B306:$DY306,PRODUCE!$EB$57:$IY$57)</f>
        <v>0</v>
      </c>
      <c r="VT307" s="56"/>
      <c r="VU307" s="242">
        <f t="shared" si="2186"/>
        <v>0</v>
      </c>
      <c r="VV307" s="242">
        <f t="shared" si="2187"/>
        <v>0</v>
      </c>
      <c r="VW307" s="56"/>
      <c r="VZ307" s="55">
        <f t="shared" si="2188"/>
        <v>46283</v>
      </c>
      <c r="WA307" s="56"/>
      <c r="WB307" s="242">
        <f>SUMPRODUCT(PRODUCE!$B306:$DY306,PRODUCE!$EB$57:$IY$57)</f>
        <v>0</v>
      </c>
      <c r="WC307" s="56"/>
      <c r="WD307" s="242">
        <f t="shared" si="2189"/>
        <v>0</v>
      </c>
      <c r="WE307" s="242">
        <f t="shared" si="2190"/>
        <v>0</v>
      </c>
      <c r="WF307" s="56"/>
      <c r="WI307" s="55">
        <f t="shared" si="2191"/>
        <v>46283</v>
      </c>
      <c r="WJ307" s="56"/>
      <c r="WK307" s="242">
        <f>SUMPRODUCT(PRODUCE!$B306:$DY306,PRODUCE!$EB$57:$IY$57)</f>
        <v>0</v>
      </c>
      <c r="WL307" s="56"/>
      <c r="WM307" s="242">
        <f t="shared" si="2192"/>
        <v>0</v>
      </c>
      <c r="WN307" s="242">
        <f t="shared" si="2193"/>
        <v>1057</v>
      </c>
      <c r="WO307" s="56"/>
      <c r="WR307" s="55">
        <f t="shared" si="2194"/>
        <v>46283</v>
      </c>
      <c r="WS307" s="56"/>
      <c r="WT307" s="242">
        <f>SUMPRODUCT(PRODUCE!$B306:$DY306,PRODUCE!$EB$57:$IY$57)</f>
        <v>0</v>
      </c>
      <c r="WU307" s="56"/>
      <c r="WV307" s="242">
        <f t="shared" si="2195"/>
        <v>0</v>
      </c>
      <c r="WW307" s="242">
        <f t="shared" si="2196"/>
        <v>0</v>
      </c>
      <c r="WX307" s="56"/>
      <c r="XA307" s="55">
        <f t="shared" si="2197"/>
        <v>46283</v>
      </c>
      <c r="XB307" s="56"/>
      <c r="XC307" s="242">
        <f>SUMPRODUCT(PRODUCE!$B306:$DY306,PRODUCE!$EB$57:$IY$57)</f>
        <v>0</v>
      </c>
      <c r="XD307" s="56"/>
      <c r="XE307" s="242">
        <f t="shared" si="2198"/>
        <v>0</v>
      </c>
      <c r="XF307" s="242">
        <f t="shared" si="2199"/>
        <v>7507</v>
      </c>
      <c r="XG307" s="56"/>
      <c r="XJ307" s="55">
        <f t="shared" si="2200"/>
        <v>46283</v>
      </c>
      <c r="XK307" s="56"/>
      <c r="XL307" s="242">
        <f>SUMPRODUCT(PRODUCE!$B306:$DY306,PRODUCE!$EB$57:$IY$57)</f>
        <v>0</v>
      </c>
      <c r="XM307" s="56"/>
      <c r="XN307" s="242">
        <f t="shared" si="2201"/>
        <v>0</v>
      </c>
      <c r="XO307" s="242">
        <f t="shared" si="2202"/>
        <v>4252</v>
      </c>
      <c r="XP307" s="56"/>
      <c r="XS307" s="55">
        <f t="shared" si="2203"/>
        <v>46283</v>
      </c>
      <c r="XT307" s="56"/>
      <c r="XU307" s="242">
        <f>SUMPRODUCT(PRODUCE!$B306:$DY306,PRODUCE!$EB$57:$IY$57)</f>
        <v>0</v>
      </c>
      <c r="XV307" s="56"/>
      <c r="XW307" s="242">
        <f t="shared" si="2204"/>
        <v>0</v>
      </c>
      <c r="XX307" s="242">
        <f t="shared" si="2205"/>
        <v>2179</v>
      </c>
      <c r="XY307" s="56"/>
      <c r="YB307" s="55">
        <f t="shared" si="2206"/>
        <v>46283</v>
      </c>
      <c r="YC307" s="56"/>
      <c r="YD307" s="242">
        <f>SUMPRODUCT(PRODUCE!$B306:$DY306,PRODUCE!$EB$57:$IY$57)</f>
        <v>0</v>
      </c>
      <c r="YE307" s="56"/>
      <c r="YF307" s="242">
        <f t="shared" si="2207"/>
        <v>0</v>
      </c>
      <c r="YG307" s="242">
        <f t="shared" si="2208"/>
        <v>4019</v>
      </c>
      <c r="YH307" s="56"/>
      <c r="YK307" s="55">
        <f t="shared" si="2209"/>
        <v>46283</v>
      </c>
      <c r="YL307" s="56"/>
      <c r="YM307" s="242">
        <f>SUMPRODUCT(PRODUCE!$B306:$DY306,PRODUCE!$EB$57:$IY$57)</f>
        <v>0</v>
      </c>
      <c r="YN307" s="56"/>
      <c r="YO307" s="242">
        <f t="shared" si="2210"/>
        <v>0</v>
      </c>
      <c r="YP307" s="242">
        <f t="shared" si="2211"/>
        <v>-218</v>
      </c>
      <c r="YQ307" s="56"/>
      <c r="YT307" s="55">
        <f t="shared" si="2212"/>
        <v>46283</v>
      </c>
      <c r="YU307" s="56"/>
      <c r="YV307" s="242">
        <f>SUMPRODUCT(PRODUCE!$B306:$DY306,PRODUCE!$EB$57:$IY$57)</f>
        <v>0</v>
      </c>
      <c r="YW307" s="56"/>
      <c r="YX307" s="242">
        <f t="shared" si="2213"/>
        <v>0</v>
      </c>
      <c r="YY307" s="242">
        <f t="shared" si="2214"/>
        <v>0</v>
      </c>
      <c r="YZ307" s="56"/>
      <c r="ZC307" s="55">
        <f t="shared" si="2215"/>
        <v>46283</v>
      </c>
      <c r="ZD307" s="56"/>
      <c r="ZE307" s="242">
        <f>SUMPRODUCT(PRODUCE!$B306:$DY306,PRODUCE!$EB$57:$IY$57)</f>
        <v>0</v>
      </c>
      <c r="ZF307" s="56"/>
      <c r="ZG307" s="242">
        <f t="shared" si="2216"/>
        <v>0</v>
      </c>
      <c r="ZH307" s="242">
        <f t="shared" si="2217"/>
        <v>0</v>
      </c>
      <c r="ZI307" s="56"/>
      <c r="ZL307" s="55">
        <f t="shared" si="2218"/>
        <v>46283</v>
      </c>
      <c r="ZM307" s="56"/>
      <c r="ZN307" s="242">
        <f>SUMPRODUCT(PRODUCE!$B306:$DY306,PRODUCE!$EB$57:$IY$57)</f>
        <v>0</v>
      </c>
      <c r="ZO307" s="56"/>
      <c r="ZP307" s="242">
        <f t="shared" si="2219"/>
        <v>0</v>
      </c>
      <c r="ZQ307" s="242">
        <f t="shared" si="2220"/>
        <v>0</v>
      </c>
      <c r="ZR307" s="56"/>
      <c r="ZU307" s="55">
        <f t="shared" si="2221"/>
        <v>46283</v>
      </c>
      <c r="ZV307" s="56"/>
      <c r="ZW307" s="242">
        <f>SUMPRODUCT(PRODUCE!$B306:$DY306,PRODUCE!$EB$57:$IY$57)</f>
        <v>0</v>
      </c>
      <c r="ZX307" s="56"/>
      <c r="ZY307" s="242">
        <f t="shared" si="2222"/>
        <v>0</v>
      </c>
      <c r="ZZ307" s="242">
        <f t="shared" si="2223"/>
        <v>0</v>
      </c>
      <c r="AAA307" s="56"/>
      <c r="AAD307" s="55">
        <f t="shared" si="2224"/>
        <v>46283</v>
      </c>
      <c r="AAE307" s="56"/>
      <c r="AAF307" s="242">
        <f>SUMPRODUCT(PRODUCE!$B306:$DY306,PRODUCE!$EB$57:$IY$57)</f>
        <v>0</v>
      </c>
      <c r="AAG307" s="56"/>
      <c r="AAH307" s="242">
        <f t="shared" si="2225"/>
        <v>0</v>
      </c>
      <c r="AAI307" s="242">
        <f t="shared" si="2226"/>
        <v>0</v>
      </c>
      <c r="AAJ307" s="56"/>
      <c r="AAM307" s="55">
        <f t="shared" si="2227"/>
        <v>46283</v>
      </c>
      <c r="AAN307" s="56"/>
      <c r="AAO307" s="242">
        <f>SUMPRODUCT(PRODUCE!$B306:$DY306,PRODUCE!$EB$57:$IY$57)</f>
        <v>0</v>
      </c>
      <c r="AAP307" s="56"/>
      <c r="AAQ307" s="242">
        <f t="shared" si="2228"/>
        <v>0</v>
      </c>
      <c r="AAR307" s="242">
        <f t="shared" si="2229"/>
        <v>0</v>
      </c>
      <c r="AAS307" s="56"/>
      <c r="AAV307" s="55">
        <f t="shared" si="2230"/>
        <v>46283</v>
      </c>
      <c r="AAW307" s="56"/>
      <c r="AAX307" s="242">
        <f>SUMPRODUCT(PRODUCE!$B306:$DY306,PRODUCE!$EB$57:$IY$57)</f>
        <v>0</v>
      </c>
      <c r="AAY307" s="56"/>
      <c r="AAZ307" s="242">
        <f t="shared" si="2231"/>
        <v>0</v>
      </c>
      <c r="ABA307" s="242">
        <f t="shared" si="2232"/>
        <v>0</v>
      </c>
      <c r="ABB307" s="56"/>
      <c r="ABE307" s="55">
        <f t="shared" si="2233"/>
        <v>46283</v>
      </c>
      <c r="ABF307" s="56"/>
      <c r="ABG307" s="242">
        <f>SUMPRODUCT(PRODUCE!$B306:$DY306,PRODUCE!$EB$57:$IY$57)</f>
        <v>0</v>
      </c>
      <c r="ABH307" s="56"/>
      <c r="ABI307" s="242">
        <f t="shared" si="2234"/>
        <v>0</v>
      </c>
      <c r="ABJ307" s="242">
        <f t="shared" si="2235"/>
        <v>0</v>
      </c>
      <c r="ABK307" s="56"/>
    </row>
    <row r="308" spans="2:739" s="54" customFormat="1" ht="15" customHeight="1" outlineLevel="1">
      <c r="B308" s="478"/>
      <c r="C308" s="55">
        <v>46284</v>
      </c>
      <c r="D308" s="56"/>
      <c r="E308" s="57">
        <f>SUMPRODUCT(PRODUCE!$B307:$DY307,PRODUCE!$EB$7:$IY$7)</f>
        <v>0</v>
      </c>
      <c r="F308" s="56"/>
      <c r="G308" s="57">
        <f t="shared" si="1992"/>
        <v>0</v>
      </c>
      <c r="H308" s="57">
        <f t="shared" si="1993"/>
        <v>236936.6</v>
      </c>
      <c r="I308" s="289"/>
      <c r="L308" s="55">
        <f t="shared" si="1994"/>
        <v>46284</v>
      </c>
      <c r="M308" s="56"/>
      <c r="N308" s="59">
        <f>SUMPRODUCT(PRODUCE!$B307:$DY307,PRODUCE!$EB$8:$IY$8)</f>
        <v>0</v>
      </c>
      <c r="O308" s="56"/>
      <c r="P308" s="59">
        <f t="shared" si="1995"/>
        <v>0</v>
      </c>
      <c r="Q308" s="59">
        <f t="shared" si="1996"/>
        <v>53017.600000000071</v>
      </c>
      <c r="R308" s="56"/>
      <c r="U308" s="55">
        <f t="shared" si="1997"/>
        <v>46284</v>
      </c>
      <c r="V308" s="56"/>
      <c r="W308" s="60">
        <f>SUMPRODUCT(PRODUCE!$B307:$DY307,PRODUCE!$EB$9:$IY$9)</f>
        <v>0</v>
      </c>
      <c r="X308" s="56"/>
      <c r="Y308" s="60">
        <f t="shared" si="1998"/>
        <v>0</v>
      </c>
      <c r="Z308" s="60">
        <f t="shared" si="1999"/>
        <v>42674.199999999968</v>
      </c>
      <c r="AA308" s="56"/>
      <c r="AD308" s="55">
        <f t="shared" si="2000"/>
        <v>46284</v>
      </c>
      <c r="AE308" s="56"/>
      <c r="AF308" s="61">
        <f>SUMPRODUCT(PRODUCE!$B307:$DY307,PRODUCE!$EB$10:$IY$10)</f>
        <v>0</v>
      </c>
      <c r="AG308" s="56"/>
      <c r="AH308" s="61">
        <f t="shared" si="2001"/>
        <v>0</v>
      </c>
      <c r="AI308" s="61">
        <f t="shared" si="2002"/>
        <v>4522.2000000000189</v>
      </c>
      <c r="AJ308" s="56"/>
      <c r="AM308" s="55">
        <f t="shared" si="2003"/>
        <v>46284</v>
      </c>
      <c r="AN308" s="422"/>
      <c r="AO308" s="444">
        <f>SUMPRODUCT(PRODUCE!$B307:$DY307,PRODUCE!$EB$11:$IY$11)</f>
        <v>0</v>
      </c>
      <c r="AP308" s="422"/>
      <c r="AQ308" s="444">
        <f t="shared" si="2004"/>
        <v>0</v>
      </c>
      <c r="AR308" s="444">
        <f t="shared" si="2005"/>
        <v>0</v>
      </c>
      <c r="AS308" s="56"/>
      <c r="AV308" s="55">
        <f t="shared" si="2006"/>
        <v>46284</v>
      </c>
      <c r="AW308" s="56"/>
      <c r="AX308" s="62">
        <f>SUMPRODUCT(PRODUCE!$B307:$DY307,PRODUCE!$EB$12:$IY$12)</f>
        <v>0</v>
      </c>
      <c r="AY308" s="56"/>
      <c r="AZ308" s="62">
        <f t="shared" si="2007"/>
        <v>0</v>
      </c>
      <c r="BA308" s="62">
        <f t="shared" si="2008"/>
        <v>124.99999999999523</v>
      </c>
      <c r="BB308" s="56"/>
      <c r="BE308" s="55">
        <f t="shared" si="2009"/>
        <v>46284</v>
      </c>
      <c r="BF308" s="56"/>
      <c r="BG308" s="63">
        <f>SUMPRODUCT(PRODUCE!$B307:$DY307,PRODUCE!$EB$13:$IY$13)</f>
        <v>0</v>
      </c>
      <c r="BH308" s="56"/>
      <c r="BI308" s="63">
        <f t="shared" si="2010"/>
        <v>0</v>
      </c>
      <c r="BJ308" s="63">
        <f t="shared" si="2011"/>
        <v>26151.899999999998</v>
      </c>
      <c r="BK308" s="56"/>
      <c r="BN308" s="55">
        <f t="shared" si="2012"/>
        <v>46284</v>
      </c>
      <c r="BO308" s="56"/>
      <c r="BP308" s="64">
        <f>SUMPRODUCT(PRODUCE!$B307:$DY307,PRODUCE!$EB$14:$IY$14)</f>
        <v>0</v>
      </c>
      <c r="BQ308" s="56"/>
      <c r="BR308" s="64">
        <f t="shared" si="2013"/>
        <v>0</v>
      </c>
      <c r="BS308" s="64">
        <f t="shared" si="2014"/>
        <v>0</v>
      </c>
      <c r="BT308" s="56"/>
      <c r="BW308" s="55">
        <f t="shared" si="2015"/>
        <v>46284</v>
      </c>
      <c r="BX308" s="56"/>
      <c r="BY308" s="65">
        <f>SUMPRODUCT(PRODUCE!$B307:$DY307,PRODUCE!$EB$15:$IY$15)</f>
        <v>0</v>
      </c>
      <c r="BZ308" s="56"/>
      <c r="CA308" s="65">
        <f t="shared" si="2016"/>
        <v>0</v>
      </c>
      <c r="CB308" s="65">
        <f t="shared" si="2017"/>
        <v>2097.3399999999992</v>
      </c>
      <c r="CC308" s="56"/>
      <c r="CF308" s="55">
        <f t="shared" si="2018"/>
        <v>46284</v>
      </c>
      <c r="CG308" s="56"/>
      <c r="CH308" s="66">
        <f>SUMPRODUCT(PRODUCE!$B307:$DY307,PRODUCE!$EB$16:$IY$16)</f>
        <v>0</v>
      </c>
      <c r="CI308" s="56"/>
      <c r="CJ308" s="66">
        <f t="shared" si="2019"/>
        <v>0</v>
      </c>
      <c r="CK308" s="66">
        <f t="shared" si="2020"/>
        <v>-10277.079999999998</v>
      </c>
      <c r="CL308" s="56"/>
      <c r="CO308" s="55">
        <f t="shared" si="2021"/>
        <v>46284</v>
      </c>
      <c r="CP308" s="422"/>
      <c r="CQ308" s="470">
        <f>SUMPRODUCT(PRODUCE!$B307:$DY307,PRODUCE!$EB$17:$IY$17)</f>
        <v>0</v>
      </c>
      <c r="CR308" s="422"/>
      <c r="CS308" s="470">
        <f t="shared" si="2022"/>
        <v>0</v>
      </c>
      <c r="CT308" s="470">
        <f t="shared" si="2023"/>
        <v>0</v>
      </c>
      <c r="CU308" s="56"/>
      <c r="CX308" s="55">
        <f t="shared" si="2024"/>
        <v>46284</v>
      </c>
      <c r="CY308" s="56"/>
      <c r="CZ308" s="133">
        <f>SUMPRODUCT(PRODUCE!$B307:$DY307,PRODUCE!$EB$18:$IY$18)</f>
        <v>0</v>
      </c>
      <c r="DA308" s="56"/>
      <c r="DB308" s="133">
        <f t="shared" si="2025"/>
        <v>0</v>
      </c>
      <c r="DC308" s="133">
        <f t="shared" si="2026"/>
        <v>27438.200000000012</v>
      </c>
      <c r="DD308" s="56"/>
      <c r="DG308" s="55">
        <f t="shared" si="2027"/>
        <v>46284</v>
      </c>
      <c r="DH308" s="56"/>
      <c r="DI308" s="147">
        <f>SUMPRODUCT(PRODUCE!$B307:$DY307,PRODUCE!$EB$19:$IY$19)</f>
        <v>0</v>
      </c>
      <c r="DJ308" s="56"/>
      <c r="DK308" s="147">
        <f t="shared" si="2028"/>
        <v>0</v>
      </c>
      <c r="DL308" s="147">
        <f t="shared" si="2029"/>
        <v>18782.299999999981</v>
      </c>
      <c r="DM308" s="56"/>
      <c r="DP308" s="55">
        <f t="shared" si="2030"/>
        <v>46284</v>
      </c>
      <c r="DQ308" s="56"/>
      <c r="DR308" s="57">
        <f>SUMPRODUCT(PRODUCE!$B307:$DY307,PRODUCE!$EB$20:$IY$20)</f>
        <v>0</v>
      </c>
      <c r="DS308" s="56"/>
      <c r="DT308" s="57">
        <f t="shared" si="2031"/>
        <v>0</v>
      </c>
      <c r="DU308" s="57">
        <f t="shared" si="2032"/>
        <v>5800</v>
      </c>
      <c r="DV308" s="56"/>
      <c r="DY308" s="55">
        <f t="shared" si="2033"/>
        <v>46284</v>
      </c>
      <c r="DZ308" s="56"/>
      <c r="EA308" s="157">
        <f>SUMPRODUCT(PRODUCE!$B307:$DY307,PRODUCE!$EB$21:$IY$21)</f>
        <v>0</v>
      </c>
      <c r="EB308" s="56"/>
      <c r="EC308" s="157">
        <f t="shared" si="2034"/>
        <v>0</v>
      </c>
      <c r="ED308" s="157">
        <f t="shared" si="2035"/>
        <v>0</v>
      </c>
      <c r="EE308" s="56"/>
      <c r="EH308" s="55">
        <f t="shared" si="2036"/>
        <v>46284</v>
      </c>
      <c r="EI308" s="56"/>
      <c r="EJ308" s="162">
        <f>SUMPRODUCT(PRODUCE!$B307:$DY307,PRODUCE!$EB$22:$IY$22)</f>
        <v>0</v>
      </c>
      <c r="EK308" s="56"/>
      <c r="EL308" s="162">
        <f t="shared" si="2037"/>
        <v>0</v>
      </c>
      <c r="EM308" s="162">
        <f t="shared" si="2038"/>
        <v>0</v>
      </c>
      <c r="EN308" s="56"/>
      <c r="EQ308" s="55">
        <f t="shared" si="2039"/>
        <v>46284</v>
      </c>
      <c r="ER308" s="56"/>
      <c r="ES308" s="135">
        <f>SUMPRODUCT(PRODUCE!$B307:$DY307,PRODUCE!$EB$23:$IY$23)</f>
        <v>0</v>
      </c>
      <c r="ET308" s="56"/>
      <c r="EU308" s="135">
        <f t="shared" si="2040"/>
        <v>0</v>
      </c>
      <c r="EV308" s="135">
        <f t="shared" si="2041"/>
        <v>0</v>
      </c>
      <c r="EW308" s="56"/>
      <c r="EZ308" s="55">
        <f t="shared" si="2042"/>
        <v>46284</v>
      </c>
      <c r="FA308" s="56"/>
      <c r="FB308" s="175">
        <f>SUMPRODUCT(PRODUCE!$B307:$DY307,PRODUCE!$EB$24:$IY$24)</f>
        <v>0</v>
      </c>
      <c r="FC308" s="56"/>
      <c r="FD308" s="175">
        <f t="shared" si="2043"/>
        <v>0</v>
      </c>
      <c r="FE308" s="175">
        <f t="shared" si="2044"/>
        <v>0</v>
      </c>
      <c r="FF308" s="56"/>
      <c r="FI308" s="55">
        <f t="shared" si="2045"/>
        <v>46284</v>
      </c>
      <c r="FJ308" s="56"/>
      <c r="FK308" s="183">
        <f>SUMPRODUCT(PRODUCE!$B307:$DY307,PRODUCE!$EB$25:$IY$25)</f>
        <v>0</v>
      </c>
      <c r="FL308" s="56"/>
      <c r="FM308" s="183">
        <f t="shared" si="2046"/>
        <v>0</v>
      </c>
      <c r="FN308" s="183">
        <f t="shared" si="2047"/>
        <v>0</v>
      </c>
      <c r="FO308" s="56"/>
      <c r="FR308" s="55">
        <f t="shared" si="2048"/>
        <v>46284</v>
      </c>
      <c r="FS308" s="56"/>
      <c r="FT308" s="186">
        <f>SUMPRODUCT(PRODUCE!$B307:$DY307,PRODUCE!$EB$26:$IY$26)</f>
        <v>0</v>
      </c>
      <c r="FU308" s="56"/>
      <c r="FV308" s="186">
        <f t="shared" si="2049"/>
        <v>0</v>
      </c>
      <c r="FW308" s="186">
        <f t="shared" si="2050"/>
        <v>2020</v>
      </c>
      <c r="FX308" s="56"/>
      <c r="GA308" s="55">
        <f t="shared" si="2051"/>
        <v>46284</v>
      </c>
      <c r="GB308" s="56"/>
      <c r="GC308" s="137">
        <f>SUMPRODUCT(PRODUCE!$B307:$DY307,PRODUCE!$EB$27:$IY$27)</f>
        <v>0</v>
      </c>
      <c r="GD308" s="56"/>
      <c r="GE308" s="137">
        <f t="shared" si="2052"/>
        <v>0</v>
      </c>
      <c r="GF308" s="137">
        <f t="shared" si="2053"/>
        <v>960</v>
      </c>
      <c r="GG308" s="56"/>
      <c r="GI308" s="23"/>
      <c r="GJ308" s="55">
        <f t="shared" si="2054"/>
        <v>46284</v>
      </c>
      <c r="GK308" s="56"/>
      <c r="GL308" s="199">
        <f>SUMPRODUCT(PRODUCE!$B307:$DY307,PRODUCE!$EB$28:$IY$28)</f>
        <v>0</v>
      </c>
      <c r="GM308" s="56"/>
      <c r="GN308" s="199">
        <f t="shared" si="2055"/>
        <v>0</v>
      </c>
      <c r="GO308" s="199">
        <f t="shared" si="2056"/>
        <v>1760</v>
      </c>
      <c r="GP308" s="56"/>
      <c r="GS308" s="55">
        <f t="shared" si="2057"/>
        <v>46284</v>
      </c>
      <c r="GT308" s="56"/>
      <c r="GU308" s="195">
        <f>SUMPRODUCT(PRODUCE!$B307:$DY307,PRODUCE!$EB$29:$IY$29)</f>
        <v>0</v>
      </c>
      <c r="GV308" s="56"/>
      <c r="GW308" s="195">
        <f t="shared" si="2058"/>
        <v>0</v>
      </c>
      <c r="GX308" s="195">
        <f t="shared" si="2059"/>
        <v>400</v>
      </c>
      <c r="GY308" s="56"/>
      <c r="HB308" s="55">
        <f t="shared" si="2060"/>
        <v>46284</v>
      </c>
      <c r="HC308" s="56"/>
      <c r="HD308" s="191">
        <f>SUMPRODUCT(PRODUCE!$B307:$DY307,PRODUCE!$EB$30:$IY$30)</f>
        <v>0</v>
      </c>
      <c r="HE308" s="56"/>
      <c r="HF308" s="191">
        <f t="shared" si="2061"/>
        <v>0</v>
      </c>
      <c r="HG308" s="191">
        <f t="shared" si="2062"/>
        <v>3600</v>
      </c>
      <c r="HH308" s="56"/>
      <c r="HK308" s="55">
        <f t="shared" si="2063"/>
        <v>46284</v>
      </c>
      <c r="HL308" s="56"/>
      <c r="HM308" s="63">
        <f>SUMPRODUCT(PRODUCE!$B307:$DY307,PRODUCE!$EB$31:$IY$31)</f>
        <v>0</v>
      </c>
      <c r="HN308" s="56"/>
      <c r="HO308" s="63">
        <f t="shared" si="2064"/>
        <v>0</v>
      </c>
      <c r="HP308" s="63">
        <f t="shared" si="2065"/>
        <v>0</v>
      </c>
      <c r="HQ308" s="56"/>
      <c r="HU308" s="55">
        <f t="shared" si="2066"/>
        <v>46284</v>
      </c>
      <c r="HV308" s="56"/>
      <c r="HW308" s="242">
        <f>SUMPRODUCT(PRODUCE!$B307:$DY307,PRODUCE!$EB$32:$IY$32)</f>
        <v>0</v>
      </c>
      <c r="HX308" s="56"/>
      <c r="HY308" s="242">
        <f t="shared" si="2236"/>
        <v>0</v>
      </c>
      <c r="HZ308" s="242">
        <f t="shared" si="2067"/>
        <v>6120</v>
      </c>
      <c r="IA308" s="56"/>
      <c r="ID308" s="55">
        <f t="shared" si="2068"/>
        <v>46284</v>
      </c>
      <c r="IE308" s="56"/>
      <c r="IF308" s="242">
        <f>SUMPRODUCT(PRODUCE!$B307:$DY307,PRODUCE!$EB$33:$IY$33)</f>
        <v>0</v>
      </c>
      <c r="IG308" s="56"/>
      <c r="IH308" s="242">
        <f t="shared" si="2069"/>
        <v>0</v>
      </c>
      <c r="II308" s="242">
        <f t="shared" si="2070"/>
        <v>0</v>
      </c>
      <c r="IJ308" s="56"/>
      <c r="IM308" s="55">
        <f t="shared" si="2071"/>
        <v>46284</v>
      </c>
      <c r="IN308" s="56"/>
      <c r="IO308" s="242">
        <f>SUMPRODUCT(PRODUCE!$B307:$DY307,PRODUCE!$EB$34:$IY$34)</f>
        <v>0</v>
      </c>
      <c r="IP308" s="56"/>
      <c r="IQ308" s="242">
        <f t="shared" si="2072"/>
        <v>0</v>
      </c>
      <c r="IR308" s="242">
        <f t="shared" si="2073"/>
        <v>0</v>
      </c>
      <c r="IS308" s="56"/>
      <c r="IV308" s="55">
        <f t="shared" si="2074"/>
        <v>46284</v>
      </c>
      <c r="IW308" s="56"/>
      <c r="IX308" s="242">
        <f>SUMPRODUCT(PRODUCE!$B307:$DY307,PRODUCE!$EB$35:$IY$35)</f>
        <v>0</v>
      </c>
      <c r="IY308" s="56"/>
      <c r="IZ308" s="242">
        <f t="shared" si="2075"/>
        <v>0</v>
      </c>
      <c r="JA308" s="242">
        <f t="shared" si="2076"/>
        <v>2820</v>
      </c>
      <c r="JB308" s="56"/>
      <c r="JE308" s="55">
        <f t="shared" si="2077"/>
        <v>46284</v>
      </c>
      <c r="JF308" s="56"/>
      <c r="JG308" s="242">
        <f>SUMPRODUCT(PRODUCE!$B307:$DY307,PRODUCE!$EB$36:$IY$36)</f>
        <v>0</v>
      </c>
      <c r="JH308" s="56"/>
      <c r="JI308" s="242">
        <f t="shared" si="2078"/>
        <v>0</v>
      </c>
      <c r="JJ308" s="242">
        <f t="shared" si="2079"/>
        <v>0</v>
      </c>
      <c r="JK308" s="56"/>
      <c r="JN308" s="55">
        <f t="shared" si="2080"/>
        <v>46284</v>
      </c>
      <c r="JO308" s="56"/>
      <c r="JP308" s="242">
        <f>SUMPRODUCT(PRODUCE!$B307:$DY307,PRODUCE!$EB$37:$IY$37)</f>
        <v>0</v>
      </c>
      <c r="JQ308" s="56"/>
      <c r="JR308" s="242">
        <f t="shared" si="2081"/>
        <v>0</v>
      </c>
      <c r="JS308" s="242">
        <f t="shared" si="2082"/>
        <v>0</v>
      </c>
      <c r="JT308" s="56"/>
      <c r="JW308" s="55">
        <f t="shared" si="2083"/>
        <v>46284</v>
      </c>
      <c r="JX308" s="56"/>
      <c r="JY308" s="242">
        <f>SUMPRODUCT(PRODUCE!$B307:$DY307,PRODUCE!$EB$38:$IY$38)</f>
        <v>0</v>
      </c>
      <c r="JZ308" s="56"/>
      <c r="KA308" s="242">
        <f t="shared" si="2084"/>
        <v>0</v>
      </c>
      <c r="KB308" s="242">
        <f t="shared" si="2085"/>
        <v>2540</v>
      </c>
      <c r="KC308" s="56"/>
      <c r="KF308" s="55">
        <f t="shared" si="2086"/>
        <v>46284</v>
      </c>
      <c r="KG308" s="56"/>
      <c r="KH308" s="242">
        <f>SUMPRODUCT(PRODUCE!$B307:$DY307,PRODUCE!$EB$39:$IY$39)</f>
        <v>0</v>
      </c>
      <c r="KI308" s="56"/>
      <c r="KJ308" s="242">
        <f t="shared" si="2087"/>
        <v>0</v>
      </c>
      <c r="KK308" s="242">
        <f t="shared" si="2088"/>
        <v>2359.5</v>
      </c>
      <c r="KL308" s="56"/>
      <c r="KO308" s="55">
        <f t="shared" si="2089"/>
        <v>46284</v>
      </c>
      <c r="KP308" s="56"/>
      <c r="KQ308" s="242">
        <f>SUMPRODUCT(PRODUCE!$B307:$DY307,PRODUCE!$EB$40:$IY$40)</f>
        <v>0</v>
      </c>
      <c r="KR308" s="56"/>
      <c r="KS308" s="242">
        <f t="shared" si="2090"/>
        <v>0</v>
      </c>
      <c r="KT308" s="242">
        <f t="shared" si="2091"/>
        <v>1890</v>
      </c>
      <c r="KU308" s="56"/>
      <c r="KW308" s="23"/>
      <c r="KX308" s="55">
        <f t="shared" si="2092"/>
        <v>46284</v>
      </c>
      <c r="KY308" s="56"/>
      <c r="KZ308" s="242">
        <f>SUMPRODUCT(PRODUCE!$B307:$DY307,PRODUCE!$EB$41:$IY$41)</f>
        <v>0</v>
      </c>
      <c r="LA308" s="56"/>
      <c r="LB308" s="242">
        <f t="shared" si="2093"/>
        <v>0</v>
      </c>
      <c r="LC308" s="242">
        <f t="shared" si="2094"/>
        <v>3690</v>
      </c>
      <c r="LD308" s="56"/>
      <c r="LG308" s="55">
        <f t="shared" si="2095"/>
        <v>46284</v>
      </c>
      <c r="LH308" s="56"/>
      <c r="LI308" s="242">
        <f>SUMPRODUCT(PRODUCE!$B307:$DY307,PRODUCE!$EB$42:$IY$42)</f>
        <v>0</v>
      </c>
      <c r="LJ308" s="56"/>
      <c r="LK308" s="242">
        <f t="shared" si="2096"/>
        <v>0</v>
      </c>
      <c r="LL308" s="242">
        <f t="shared" si="2097"/>
        <v>4000</v>
      </c>
      <c r="LM308" s="56"/>
      <c r="LP308" s="55">
        <f t="shared" si="2098"/>
        <v>46284</v>
      </c>
      <c r="LQ308" s="56"/>
      <c r="LR308" s="242">
        <f>SUMPRODUCT(PRODUCE!$B323:$DY323,PRODUCE!$EB$43:$IY$43)</f>
        <v>0</v>
      </c>
      <c r="LS308" s="56"/>
      <c r="LT308" s="242">
        <f t="shared" si="2099"/>
        <v>0</v>
      </c>
      <c r="LU308" s="242">
        <f t="shared" si="2100"/>
        <v>0</v>
      </c>
      <c r="LV308" s="56"/>
      <c r="LY308" s="55">
        <f t="shared" si="2101"/>
        <v>46284</v>
      </c>
      <c r="LZ308" s="56"/>
      <c r="MA308" s="242">
        <f>SUMPRODUCT(PRODUCE!$B307:$DY307,PRODUCE!$EB$44:$IY$44)</f>
        <v>0</v>
      </c>
      <c r="MB308" s="56"/>
      <c r="MC308" s="242">
        <f t="shared" si="2102"/>
        <v>0</v>
      </c>
      <c r="MD308" s="242">
        <f t="shared" si="2103"/>
        <v>0</v>
      </c>
      <c r="ME308" s="56"/>
      <c r="MH308" s="55">
        <f t="shared" si="2104"/>
        <v>46284</v>
      </c>
      <c r="MI308" s="56"/>
      <c r="MJ308" s="242">
        <f>SUMPRODUCT(PRODUCE!$B307:$DY307,PRODUCE!$EB$45:$IY$45)</f>
        <v>0</v>
      </c>
      <c r="MK308" s="56"/>
      <c r="ML308" s="242">
        <f t="shared" si="2105"/>
        <v>0</v>
      </c>
      <c r="MM308" s="242">
        <f t="shared" si="2106"/>
        <v>0</v>
      </c>
      <c r="MN308" s="56"/>
      <c r="MQ308" s="55">
        <f t="shared" si="2107"/>
        <v>46284</v>
      </c>
      <c r="MR308" s="56"/>
      <c r="MS308" s="242">
        <f>SUMPRODUCT(PRODUCE!$B307:$DY307,PRODUCE!$EB$46:$IY$46)</f>
        <v>0</v>
      </c>
      <c r="MT308" s="56"/>
      <c r="MU308" s="242">
        <f t="shared" si="2108"/>
        <v>0</v>
      </c>
      <c r="MV308" s="242">
        <f t="shared" si="2109"/>
        <v>1625</v>
      </c>
      <c r="MW308" s="56"/>
      <c r="MZ308" s="55">
        <f t="shared" si="2110"/>
        <v>46284</v>
      </c>
      <c r="NA308" s="56"/>
      <c r="NB308" s="242">
        <f>SUMPRODUCT(PRODUCE!$B307:$DY307,PRODUCE!$EB$47:$IY$47)</f>
        <v>0</v>
      </c>
      <c r="NC308" s="56"/>
      <c r="ND308" s="242">
        <f t="shared" si="2111"/>
        <v>0</v>
      </c>
      <c r="NE308" s="242">
        <f t="shared" si="2112"/>
        <v>0</v>
      </c>
      <c r="NF308" s="56"/>
      <c r="NI308" s="55">
        <f t="shared" si="2113"/>
        <v>46284</v>
      </c>
      <c r="NJ308" s="56"/>
      <c r="NK308" s="242">
        <f>SUMPRODUCT(PRODUCE!$B307:$DY307,PRODUCE!$EB$48:$IY$48)</f>
        <v>0</v>
      </c>
      <c r="NL308" s="56"/>
      <c r="NM308" s="242">
        <f t="shared" si="2114"/>
        <v>0</v>
      </c>
      <c r="NN308" s="242">
        <f t="shared" si="2115"/>
        <v>1127</v>
      </c>
      <c r="NO308" s="56"/>
      <c r="NR308" s="55">
        <f t="shared" si="2116"/>
        <v>46284</v>
      </c>
      <c r="NS308" s="56"/>
      <c r="NT308" s="242">
        <f>SUMPRODUCT(PRODUCE!$B307:$DY307,PRODUCE!$EB$49:$IY$49)</f>
        <v>0</v>
      </c>
      <c r="NU308" s="56"/>
      <c r="NV308" s="242">
        <f t="shared" si="2117"/>
        <v>0</v>
      </c>
      <c r="NW308" s="242">
        <f t="shared" si="2118"/>
        <v>3111.9999999999995</v>
      </c>
      <c r="NX308" s="56"/>
      <c r="OA308" s="55">
        <f t="shared" si="2119"/>
        <v>46284</v>
      </c>
      <c r="OB308" s="56"/>
      <c r="OC308" s="242">
        <f>SUMPRODUCT(PRODUCE!$B307:$DY307,PRODUCE!$EB$50:$IY$50)</f>
        <v>0</v>
      </c>
      <c r="OD308" s="56"/>
      <c r="OE308" s="242">
        <f t="shared" si="2120"/>
        <v>0</v>
      </c>
      <c r="OF308" s="242">
        <f t="shared" si="2121"/>
        <v>1680.5</v>
      </c>
      <c r="OG308" s="56"/>
      <c r="OJ308" s="55">
        <f t="shared" si="2122"/>
        <v>46284</v>
      </c>
      <c r="OK308" s="56"/>
      <c r="OL308" s="242">
        <f>SUMPRODUCT(PRODUCE!$B307:$DY307,PRODUCE!$EB$51:$IY$51)</f>
        <v>0</v>
      </c>
      <c r="OM308" s="56"/>
      <c r="ON308" s="242">
        <f t="shared" si="2123"/>
        <v>0</v>
      </c>
      <c r="OO308" s="242">
        <f t="shared" si="2124"/>
        <v>0</v>
      </c>
      <c r="OP308" s="56"/>
      <c r="OS308" s="55">
        <f t="shared" si="2125"/>
        <v>46284</v>
      </c>
      <c r="OT308" s="56"/>
      <c r="OU308" s="242">
        <f>SUMPRODUCT(PRODUCE!$B307:$DY307,PRODUCE!$EB$52:$IY$52)</f>
        <v>0</v>
      </c>
      <c r="OV308" s="56"/>
      <c r="OW308" s="242">
        <f t="shared" si="2126"/>
        <v>0</v>
      </c>
      <c r="OX308" s="242">
        <f t="shared" si="2127"/>
        <v>1482</v>
      </c>
      <c r="OY308" s="56"/>
      <c r="PB308" s="55">
        <f t="shared" si="2128"/>
        <v>46284</v>
      </c>
      <c r="PC308" s="56"/>
      <c r="PD308" s="242">
        <f>SUMPRODUCT(PRODUCE!$B307:$DY307,PRODUCE!$EB$53:$IY$53)</f>
        <v>0</v>
      </c>
      <c r="PE308" s="56"/>
      <c r="PF308" s="242">
        <f t="shared" si="2129"/>
        <v>0</v>
      </c>
      <c r="PG308" s="242">
        <f t="shared" si="2130"/>
        <v>0</v>
      </c>
      <c r="PH308" s="56"/>
      <c r="PK308" s="55">
        <f t="shared" si="2131"/>
        <v>46284</v>
      </c>
      <c r="PL308" s="56"/>
      <c r="PM308" s="242">
        <f>SUMPRODUCT(PRODUCE!$B307:$DY307,PRODUCE!$EB$54:$IY$54)</f>
        <v>0</v>
      </c>
      <c r="PN308" s="56"/>
      <c r="PO308" s="242">
        <f t="shared" si="2132"/>
        <v>0</v>
      </c>
      <c r="PP308" s="242">
        <f t="shared" si="2133"/>
        <v>100</v>
      </c>
      <c r="PQ308" s="56"/>
      <c r="PT308" s="55">
        <f t="shared" si="2134"/>
        <v>46284</v>
      </c>
      <c r="PU308" s="56"/>
      <c r="PV308" s="242">
        <f>SUMPRODUCT(PRODUCE!$B307:$DY307,PRODUCE!$EB$55:$IY$55)</f>
        <v>0</v>
      </c>
      <c r="PW308" s="56"/>
      <c r="PX308" s="242">
        <f t="shared" si="2135"/>
        <v>0</v>
      </c>
      <c r="PY308" s="242">
        <f t="shared" si="2136"/>
        <v>13.960000000000036</v>
      </c>
      <c r="PZ308" s="56"/>
      <c r="QC308" s="55">
        <f t="shared" si="2137"/>
        <v>46284</v>
      </c>
      <c r="QD308" s="56"/>
      <c r="QE308" s="242">
        <f>SUMPRODUCT(PRODUCE!$B307:$DY307,PRODUCE!$EB$56:$IY$56)</f>
        <v>0</v>
      </c>
      <c r="QF308" s="56"/>
      <c r="QG308" s="242">
        <f t="shared" si="2138"/>
        <v>0</v>
      </c>
      <c r="QH308" s="242">
        <f t="shared" si="2139"/>
        <v>548</v>
      </c>
      <c r="QI308" s="56"/>
      <c r="QL308" s="55">
        <f t="shared" si="2140"/>
        <v>46284</v>
      </c>
      <c r="QM308" s="56"/>
      <c r="QN308" s="242">
        <f>SUMPRODUCT(PRODUCE!$B307:$DY307,PRODUCE!$EB$57:$IY$57)</f>
        <v>0</v>
      </c>
      <c r="QO308" s="56"/>
      <c r="QP308" s="242">
        <f t="shared" si="2141"/>
        <v>0</v>
      </c>
      <c r="QQ308" s="242">
        <f t="shared" si="2142"/>
        <v>0</v>
      </c>
      <c r="QR308" s="56"/>
      <c r="QU308" s="55">
        <f t="shared" si="2143"/>
        <v>46284</v>
      </c>
      <c r="QV308" s="56"/>
      <c r="QW308" s="242">
        <f>SUMPRODUCT(PRODUCE!$B307:$DY307,PRODUCE!$EB$57:$IY$57)</f>
        <v>0</v>
      </c>
      <c r="QX308" s="56"/>
      <c r="QY308" s="242">
        <f t="shared" si="2144"/>
        <v>0</v>
      </c>
      <c r="QZ308" s="242">
        <f t="shared" si="2145"/>
        <v>0</v>
      </c>
      <c r="RA308" s="56"/>
      <c r="RD308" s="55">
        <f t="shared" si="2146"/>
        <v>46284</v>
      </c>
      <c r="RE308" s="56"/>
      <c r="RF308" s="242">
        <f>SUMPRODUCT(PRODUCE!$B307:$DY307,PRODUCE!$EB$58:$IY$58)</f>
        <v>0</v>
      </c>
      <c r="RG308" s="56"/>
      <c r="RH308" s="242">
        <f t="shared" si="2147"/>
        <v>0</v>
      </c>
      <c r="RI308" s="242">
        <f t="shared" si="2148"/>
        <v>147.04000000000002</v>
      </c>
      <c r="RJ308" s="56"/>
      <c r="RM308" s="55">
        <f t="shared" si="2149"/>
        <v>46284</v>
      </c>
      <c r="RN308" s="56"/>
      <c r="RO308" s="242">
        <f>SUMPRODUCT(PRODUCE!$B307:$DY307,PRODUCE!$EB$59:$IY$59)</f>
        <v>0</v>
      </c>
      <c r="RP308" s="56"/>
      <c r="RQ308" s="242">
        <f t="shared" si="2150"/>
        <v>0</v>
      </c>
      <c r="RR308" s="242">
        <f t="shared" si="2151"/>
        <v>46.8</v>
      </c>
      <c r="RS308" s="56"/>
      <c r="RV308" s="55">
        <f t="shared" si="2152"/>
        <v>46284</v>
      </c>
      <c r="RW308" s="56"/>
      <c r="RX308" s="242">
        <f>SUMPRODUCT(PRODUCE!$B307:$DY307,PRODUCE!$EB$57:$IY$57)</f>
        <v>0</v>
      </c>
      <c r="RY308" s="56"/>
      <c r="RZ308" s="242">
        <f t="shared" si="2153"/>
        <v>0</v>
      </c>
      <c r="SA308" s="242">
        <f t="shared" si="2154"/>
        <v>0</v>
      </c>
      <c r="SB308" s="56"/>
      <c r="SE308" s="55">
        <f t="shared" si="2155"/>
        <v>46284</v>
      </c>
      <c r="SF308" s="56"/>
      <c r="SG308" s="242">
        <f>SUMPRODUCT(PRODUCE!$B307:$DY307,PRODUCE!$EB$61:$IY$61)</f>
        <v>0</v>
      </c>
      <c r="SH308" s="56"/>
      <c r="SI308" s="242">
        <f t="shared" si="2156"/>
        <v>0</v>
      </c>
      <c r="SJ308" s="242">
        <f t="shared" si="2157"/>
        <v>24.200000000000003</v>
      </c>
      <c r="SK308" s="56"/>
      <c r="SN308" s="55">
        <f t="shared" si="2158"/>
        <v>46284</v>
      </c>
      <c r="SO308" s="56"/>
      <c r="SP308" s="242">
        <f>SUMPRODUCT(PRODUCE!$B307:$DY307,PRODUCE!$EB$57:$IY$57)</f>
        <v>0</v>
      </c>
      <c r="SQ308" s="56"/>
      <c r="SR308" s="242">
        <f t="shared" si="2159"/>
        <v>0</v>
      </c>
      <c r="SS308" s="242">
        <f t="shared" si="2160"/>
        <v>32</v>
      </c>
      <c r="ST308" s="56"/>
      <c r="SW308" s="55">
        <f t="shared" si="2161"/>
        <v>46284</v>
      </c>
      <c r="SX308" s="56"/>
      <c r="SY308" s="242">
        <f>SUMPRODUCT(PRODUCE!$B307:$DY307,PRODUCE!$EB$57:$IY$57)</f>
        <v>0</v>
      </c>
      <c r="SZ308" s="56"/>
      <c r="TA308" s="242">
        <f t="shared" si="2162"/>
        <v>0</v>
      </c>
      <c r="TB308" s="242">
        <f t="shared" si="2163"/>
        <v>0</v>
      </c>
      <c r="TC308" s="56"/>
      <c r="TF308" s="55">
        <f t="shared" si="2164"/>
        <v>46284</v>
      </c>
      <c r="TG308" s="56"/>
      <c r="TH308" s="242">
        <f>SUMPRODUCT(PRODUCE!$B307:$DY307,PRODUCE!$EB$57:$IY$57)</f>
        <v>0</v>
      </c>
      <c r="TI308" s="56"/>
      <c r="TJ308" s="242">
        <f t="shared" si="2165"/>
        <v>0</v>
      </c>
      <c r="TK308" s="242">
        <f t="shared" si="2166"/>
        <v>0</v>
      </c>
      <c r="TL308" s="56"/>
      <c r="TO308" s="55">
        <f t="shared" si="2167"/>
        <v>46284</v>
      </c>
      <c r="TP308" s="56"/>
      <c r="TQ308" s="242">
        <f>SUMPRODUCT(PRODUCE!$B307:$DY307,PRODUCE!$EB$57:$IY$57)</f>
        <v>0</v>
      </c>
      <c r="TR308" s="56"/>
      <c r="TS308" s="242">
        <f t="shared" si="2168"/>
        <v>0</v>
      </c>
      <c r="TT308" s="242">
        <f t="shared" si="2169"/>
        <v>0</v>
      </c>
      <c r="TU308" s="56"/>
      <c r="TX308" s="55">
        <f t="shared" si="2170"/>
        <v>46284</v>
      </c>
      <c r="TY308" s="56"/>
      <c r="TZ308" s="242">
        <f>SUMPRODUCT(PRODUCE!$B307:$DY307,PRODUCE!$EB$57:$IY$57)</f>
        <v>0</v>
      </c>
      <c r="UA308" s="56"/>
      <c r="UB308" s="242">
        <f t="shared" si="2171"/>
        <v>0</v>
      </c>
      <c r="UC308" s="242">
        <f t="shared" si="2172"/>
        <v>46.799999999999983</v>
      </c>
      <c r="UD308" s="56"/>
      <c r="UG308" s="55">
        <f t="shared" si="2173"/>
        <v>46284</v>
      </c>
      <c r="UH308" s="56"/>
      <c r="UI308" s="242">
        <f>SUMPRODUCT(PRODUCE!$B307:$DY307,PRODUCE!$EB$57:$IY$57)</f>
        <v>0</v>
      </c>
      <c r="UJ308" s="56"/>
      <c r="UK308" s="242">
        <f t="shared" si="2174"/>
        <v>0</v>
      </c>
      <c r="UL308" s="242">
        <f t="shared" si="2175"/>
        <v>204</v>
      </c>
      <c r="UM308" s="56"/>
      <c r="UP308" s="55">
        <f t="shared" si="2176"/>
        <v>46284</v>
      </c>
      <c r="UQ308" s="56"/>
      <c r="UR308" s="242">
        <f>SUMPRODUCT(PRODUCE!$B307:$DY307,PRODUCE!$EB$57:$IY$57)</f>
        <v>0</v>
      </c>
      <c r="US308" s="56"/>
      <c r="UT308" s="242">
        <f t="shared" si="2177"/>
        <v>0</v>
      </c>
      <c r="UU308" s="242">
        <f t="shared" si="2178"/>
        <v>202.5</v>
      </c>
      <c r="UV308" s="56"/>
      <c r="UY308" s="55">
        <f t="shared" si="2179"/>
        <v>46284</v>
      </c>
      <c r="UZ308" s="56"/>
      <c r="VA308" s="242">
        <f>SUMPRODUCT(PRODUCE!$B307:$DY307,PRODUCE!$EB$57:$IY$57)</f>
        <v>0</v>
      </c>
      <c r="VB308" s="56"/>
      <c r="VC308" s="242">
        <f t="shared" si="2180"/>
        <v>0</v>
      </c>
      <c r="VD308" s="242">
        <f t="shared" si="2181"/>
        <v>41.600000000000023</v>
      </c>
      <c r="VE308" s="56"/>
      <c r="VH308" s="55">
        <f t="shared" si="2182"/>
        <v>46284</v>
      </c>
      <c r="VI308" s="56"/>
      <c r="VJ308" s="242">
        <f>SUMPRODUCT(PRODUCE!$B307:$DY307,PRODUCE!$EB$57:$IY$57)</f>
        <v>0</v>
      </c>
      <c r="VK308" s="56"/>
      <c r="VL308" s="242">
        <f t="shared" si="2183"/>
        <v>0</v>
      </c>
      <c r="VM308" s="242">
        <f t="shared" si="2184"/>
        <v>210</v>
      </c>
      <c r="VN308" s="56"/>
      <c r="VQ308" s="55">
        <f t="shared" si="2185"/>
        <v>46284</v>
      </c>
      <c r="VR308" s="56"/>
      <c r="VS308" s="242">
        <f>SUMPRODUCT(PRODUCE!$B307:$DY307,PRODUCE!$EB$57:$IY$57)</f>
        <v>0</v>
      </c>
      <c r="VT308" s="56"/>
      <c r="VU308" s="242">
        <f t="shared" si="2186"/>
        <v>0</v>
      </c>
      <c r="VV308" s="242">
        <f t="shared" si="2187"/>
        <v>0</v>
      </c>
      <c r="VW308" s="56"/>
      <c r="VZ308" s="55">
        <f t="shared" si="2188"/>
        <v>46284</v>
      </c>
      <c r="WA308" s="56"/>
      <c r="WB308" s="242">
        <f>SUMPRODUCT(PRODUCE!$B307:$DY307,PRODUCE!$EB$57:$IY$57)</f>
        <v>0</v>
      </c>
      <c r="WC308" s="56"/>
      <c r="WD308" s="242">
        <f t="shared" si="2189"/>
        <v>0</v>
      </c>
      <c r="WE308" s="242">
        <f t="shared" si="2190"/>
        <v>0</v>
      </c>
      <c r="WF308" s="56"/>
      <c r="WI308" s="55">
        <f t="shared" si="2191"/>
        <v>46284</v>
      </c>
      <c r="WJ308" s="56"/>
      <c r="WK308" s="242">
        <f>SUMPRODUCT(PRODUCE!$B307:$DY307,PRODUCE!$EB$57:$IY$57)</f>
        <v>0</v>
      </c>
      <c r="WL308" s="56"/>
      <c r="WM308" s="242">
        <f t="shared" si="2192"/>
        <v>0</v>
      </c>
      <c r="WN308" s="242">
        <f t="shared" si="2193"/>
        <v>1057</v>
      </c>
      <c r="WO308" s="56"/>
      <c r="WR308" s="55">
        <f t="shared" si="2194"/>
        <v>46284</v>
      </c>
      <c r="WS308" s="56"/>
      <c r="WT308" s="242">
        <f>SUMPRODUCT(PRODUCE!$B307:$DY307,PRODUCE!$EB$57:$IY$57)</f>
        <v>0</v>
      </c>
      <c r="WU308" s="56"/>
      <c r="WV308" s="242">
        <f t="shared" si="2195"/>
        <v>0</v>
      </c>
      <c r="WW308" s="242">
        <f t="shared" si="2196"/>
        <v>0</v>
      </c>
      <c r="WX308" s="56"/>
      <c r="XA308" s="55">
        <f t="shared" si="2197"/>
        <v>46284</v>
      </c>
      <c r="XB308" s="56"/>
      <c r="XC308" s="242">
        <f>SUMPRODUCT(PRODUCE!$B307:$DY307,PRODUCE!$EB$57:$IY$57)</f>
        <v>0</v>
      </c>
      <c r="XD308" s="56"/>
      <c r="XE308" s="242">
        <f t="shared" si="2198"/>
        <v>0</v>
      </c>
      <c r="XF308" s="242">
        <f t="shared" si="2199"/>
        <v>7507</v>
      </c>
      <c r="XG308" s="56"/>
      <c r="XJ308" s="55">
        <f t="shared" si="2200"/>
        <v>46284</v>
      </c>
      <c r="XK308" s="56"/>
      <c r="XL308" s="242">
        <f>SUMPRODUCT(PRODUCE!$B307:$DY307,PRODUCE!$EB$57:$IY$57)</f>
        <v>0</v>
      </c>
      <c r="XM308" s="56"/>
      <c r="XN308" s="242">
        <f t="shared" si="2201"/>
        <v>0</v>
      </c>
      <c r="XO308" s="242">
        <f t="shared" si="2202"/>
        <v>4252</v>
      </c>
      <c r="XP308" s="56"/>
      <c r="XS308" s="55">
        <f t="shared" si="2203"/>
        <v>46284</v>
      </c>
      <c r="XT308" s="56"/>
      <c r="XU308" s="242">
        <f>SUMPRODUCT(PRODUCE!$B307:$DY307,PRODUCE!$EB$57:$IY$57)</f>
        <v>0</v>
      </c>
      <c r="XV308" s="56"/>
      <c r="XW308" s="242">
        <f t="shared" si="2204"/>
        <v>0</v>
      </c>
      <c r="XX308" s="242">
        <f t="shared" si="2205"/>
        <v>2179</v>
      </c>
      <c r="XY308" s="56"/>
      <c r="YB308" s="55">
        <f t="shared" si="2206"/>
        <v>46284</v>
      </c>
      <c r="YC308" s="56"/>
      <c r="YD308" s="242">
        <f>SUMPRODUCT(PRODUCE!$B307:$DY307,PRODUCE!$EB$57:$IY$57)</f>
        <v>0</v>
      </c>
      <c r="YE308" s="56"/>
      <c r="YF308" s="242">
        <f t="shared" si="2207"/>
        <v>0</v>
      </c>
      <c r="YG308" s="242">
        <f t="shared" si="2208"/>
        <v>4019</v>
      </c>
      <c r="YH308" s="56"/>
      <c r="YK308" s="55">
        <f t="shared" si="2209"/>
        <v>46284</v>
      </c>
      <c r="YL308" s="56"/>
      <c r="YM308" s="242">
        <f>SUMPRODUCT(PRODUCE!$B307:$DY307,PRODUCE!$EB$57:$IY$57)</f>
        <v>0</v>
      </c>
      <c r="YN308" s="56"/>
      <c r="YO308" s="242">
        <f t="shared" si="2210"/>
        <v>0</v>
      </c>
      <c r="YP308" s="242">
        <f t="shared" si="2211"/>
        <v>-218</v>
      </c>
      <c r="YQ308" s="56"/>
      <c r="YT308" s="55">
        <f t="shared" si="2212"/>
        <v>46284</v>
      </c>
      <c r="YU308" s="56"/>
      <c r="YV308" s="242">
        <f>SUMPRODUCT(PRODUCE!$B307:$DY307,PRODUCE!$EB$57:$IY$57)</f>
        <v>0</v>
      </c>
      <c r="YW308" s="56"/>
      <c r="YX308" s="242">
        <f t="shared" si="2213"/>
        <v>0</v>
      </c>
      <c r="YY308" s="242">
        <f t="shared" si="2214"/>
        <v>0</v>
      </c>
      <c r="YZ308" s="56"/>
      <c r="ZC308" s="55">
        <f t="shared" si="2215"/>
        <v>46284</v>
      </c>
      <c r="ZD308" s="56"/>
      <c r="ZE308" s="242">
        <f>SUMPRODUCT(PRODUCE!$B307:$DY307,PRODUCE!$EB$57:$IY$57)</f>
        <v>0</v>
      </c>
      <c r="ZF308" s="56"/>
      <c r="ZG308" s="242">
        <f t="shared" si="2216"/>
        <v>0</v>
      </c>
      <c r="ZH308" s="242">
        <f t="shared" si="2217"/>
        <v>0</v>
      </c>
      <c r="ZI308" s="56"/>
      <c r="ZL308" s="55">
        <f t="shared" si="2218"/>
        <v>46284</v>
      </c>
      <c r="ZM308" s="56"/>
      <c r="ZN308" s="242">
        <f>SUMPRODUCT(PRODUCE!$B307:$DY307,PRODUCE!$EB$57:$IY$57)</f>
        <v>0</v>
      </c>
      <c r="ZO308" s="56"/>
      <c r="ZP308" s="242">
        <f t="shared" si="2219"/>
        <v>0</v>
      </c>
      <c r="ZQ308" s="242">
        <f t="shared" si="2220"/>
        <v>0</v>
      </c>
      <c r="ZR308" s="56"/>
      <c r="ZU308" s="55">
        <f t="shared" si="2221"/>
        <v>46284</v>
      </c>
      <c r="ZV308" s="56"/>
      <c r="ZW308" s="242">
        <f>SUMPRODUCT(PRODUCE!$B307:$DY307,PRODUCE!$EB$57:$IY$57)</f>
        <v>0</v>
      </c>
      <c r="ZX308" s="56"/>
      <c r="ZY308" s="242">
        <f t="shared" si="2222"/>
        <v>0</v>
      </c>
      <c r="ZZ308" s="242">
        <f t="shared" si="2223"/>
        <v>0</v>
      </c>
      <c r="AAA308" s="56"/>
      <c r="AAD308" s="55">
        <f t="shared" si="2224"/>
        <v>46284</v>
      </c>
      <c r="AAE308" s="56"/>
      <c r="AAF308" s="242">
        <f>SUMPRODUCT(PRODUCE!$B307:$DY307,PRODUCE!$EB$57:$IY$57)</f>
        <v>0</v>
      </c>
      <c r="AAG308" s="56"/>
      <c r="AAH308" s="242">
        <f t="shared" si="2225"/>
        <v>0</v>
      </c>
      <c r="AAI308" s="242">
        <f t="shared" si="2226"/>
        <v>0</v>
      </c>
      <c r="AAJ308" s="56"/>
      <c r="AAM308" s="55">
        <f t="shared" si="2227"/>
        <v>46284</v>
      </c>
      <c r="AAN308" s="56"/>
      <c r="AAO308" s="242">
        <f>SUMPRODUCT(PRODUCE!$B307:$DY307,PRODUCE!$EB$57:$IY$57)</f>
        <v>0</v>
      </c>
      <c r="AAP308" s="56"/>
      <c r="AAQ308" s="242">
        <f t="shared" si="2228"/>
        <v>0</v>
      </c>
      <c r="AAR308" s="242">
        <f t="shared" si="2229"/>
        <v>0</v>
      </c>
      <c r="AAS308" s="56"/>
      <c r="AAV308" s="55">
        <f t="shared" si="2230"/>
        <v>46284</v>
      </c>
      <c r="AAW308" s="56"/>
      <c r="AAX308" s="242">
        <f>SUMPRODUCT(PRODUCE!$B307:$DY307,PRODUCE!$EB$57:$IY$57)</f>
        <v>0</v>
      </c>
      <c r="AAY308" s="56"/>
      <c r="AAZ308" s="242">
        <f t="shared" si="2231"/>
        <v>0</v>
      </c>
      <c r="ABA308" s="242">
        <f t="shared" si="2232"/>
        <v>0</v>
      </c>
      <c r="ABB308" s="56"/>
      <c r="ABE308" s="55">
        <f t="shared" si="2233"/>
        <v>46284</v>
      </c>
      <c r="ABF308" s="56"/>
      <c r="ABG308" s="242">
        <f>SUMPRODUCT(PRODUCE!$B307:$DY307,PRODUCE!$EB$57:$IY$57)</f>
        <v>0</v>
      </c>
      <c r="ABH308" s="56"/>
      <c r="ABI308" s="242">
        <f t="shared" si="2234"/>
        <v>0</v>
      </c>
      <c r="ABJ308" s="242">
        <f t="shared" si="2235"/>
        <v>0</v>
      </c>
      <c r="ABK308" s="56"/>
    </row>
    <row r="309" spans="2:739" s="54" customFormat="1" ht="15" customHeight="1" outlineLevel="1">
      <c r="B309" s="478"/>
      <c r="C309" s="55">
        <v>46285</v>
      </c>
      <c r="D309" s="56"/>
      <c r="E309" s="57">
        <f>SUMPRODUCT(PRODUCE!$B308:$DY308,PRODUCE!$EB$7:$IY$7)</f>
        <v>0</v>
      </c>
      <c r="F309" s="56"/>
      <c r="G309" s="57">
        <f t="shared" si="1992"/>
        <v>0</v>
      </c>
      <c r="H309" s="57">
        <f t="shared" si="1993"/>
        <v>236936.6</v>
      </c>
      <c r="I309" s="289"/>
      <c r="L309" s="55">
        <f t="shared" si="1994"/>
        <v>46285</v>
      </c>
      <c r="M309" s="56"/>
      <c r="N309" s="59">
        <f>SUMPRODUCT(PRODUCE!$B308:$DY308,PRODUCE!$EB$8:$IY$8)</f>
        <v>0</v>
      </c>
      <c r="O309" s="56"/>
      <c r="P309" s="59">
        <f t="shared" si="1995"/>
        <v>0</v>
      </c>
      <c r="Q309" s="59">
        <f t="shared" si="1996"/>
        <v>53017.600000000071</v>
      </c>
      <c r="R309" s="56"/>
      <c r="U309" s="55">
        <f t="shared" si="1997"/>
        <v>46285</v>
      </c>
      <c r="V309" s="56"/>
      <c r="W309" s="60">
        <f>SUMPRODUCT(PRODUCE!$B308:$DY308,PRODUCE!$EB$9:$IY$9)</f>
        <v>0</v>
      </c>
      <c r="X309" s="56"/>
      <c r="Y309" s="60">
        <f t="shared" si="1998"/>
        <v>0</v>
      </c>
      <c r="Z309" s="60">
        <f t="shared" si="1999"/>
        <v>42674.199999999968</v>
      </c>
      <c r="AA309" s="56"/>
      <c r="AD309" s="55">
        <f t="shared" si="2000"/>
        <v>46285</v>
      </c>
      <c r="AE309" s="56"/>
      <c r="AF309" s="61">
        <f>SUMPRODUCT(PRODUCE!$B308:$DY308,PRODUCE!$EB$10:$IY$10)</f>
        <v>0</v>
      </c>
      <c r="AG309" s="56"/>
      <c r="AH309" s="61">
        <f t="shared" si="2001"/>
        <v>0</v>
      </c>
      <c r="AI309" s="61">
        <f t="shared" si="2002"/>
        <v>4522.2000000000189</v>
      </c>
      <c r="AJ309" s="56"/>
      <c r="AM309" s="55">
        <f t="shared" si="2003"/>
        <v>46285</v>
      </c>
      <c r="AN309" s="422"/>
      <c r="AO309" s="444">
        <f>SUMPRODUCT(PRODUCE!$B308:$DY308,PRODUCE!$EB$11:$IY$11)</f>
        <v>0</v>
      </c>
      <c r="AP309" s="422"/>
      <c r="AQ309" s="444">
        <f t="shared" si="2004"/>
        <v>0</v>
      </c>
      <c r="AR309" s="444">
        <f t="shared" si="2005"/>
        <v>0</v>
      </c>
      <c r="AS309" s="56"/>
      <c r="AV309" s="55">
        <f t="shared" si="2006"/>
        <v>46285</v>
      </c>
      <c r="AW309" s="56"/>
      <c r="AX309" s="62">
        <f>SUMPRODUCT(PRODUCE!$B308:$DY308,PRODUCE!$EB$12:$IY$12)</f>
        <v>0</v>
      </c>
      <c r="AY309" s="56"/>
      <c r="AZ309" s="62">
        <f t="shared" si="2007"/>
        <v>0</v>
      </c>
      <c r="BA309" s="62">
        <f t="shared" si="2008"/>
        <v>124.99999999999523</v>
      </c>
      <c r="BB309" s="56"/>
      <c r="BE309" s="55">
        <f t="shared" si="2009"/>
        <v>46285</v>
      </c>
      <c r="BF309" s="56"/>
      <c r="BG309" s="63">
        <f>SUMPRODUCT(PRODUCE!$B308:$DY308,PRODUCE!$EB$13:$IY$13)</f>
        <v>0</v>
      </c>
      <c r="BH309" s="56"/>
      <c r="BI309" s="63">
        <f t="shared" si="2010"/>
        <v>0</v>
      </c>
      <c r="BJ309" s="63">
        <f t="shared" si="2011"/>
        <v>26151.899999999998</v>
      </c>
      <c r="BK309" s="56"/>
      <c r="BN309" s="55">
        <f t="shared" si="2012"/>
        <v>46285</v>
      </c>
      <c r="BO309" s="56"/>
      <c r="BP309" s="64">
        <f>SUMPRODUCT(PRODUCE!$B308:$DY308,PRODUCE!$EB$14:$IY$14)</f>
        <v>0</v>
      </c>
      <c r="BQ309" s="56"/>
      <c r="BR309" s="64">
        <f t="shared" si="2013"/>
        <v>0</v>
      </c>
      <c r="BS309" s="64">
        <f t="shared" si="2014"/>
        <v>0</v>
      </c>
      <c r="BT309" s="56"/>
      <c r="BW309" s="55">
        <f t="shared" si="2015"/>
        <v>46285</v>
      </c>
      <c r="BX309" s="56"/>
      <c r="BY309" s="65">
        <f>SUMPRODUCT(PRODUCE!$B308:$DY308,PRODUCE!$EB$15:$IY$15)</f>
        <v>0</v>
      </c>
      <c r="BZ309" s="56"/>
      <c r="CA309" s="65">
        <f t="shared" si="2016"/>
        <v>0</v>
      </c>
      <c r="CB309" s="65">
        <f t="shared" si="2017"/>
        <v>2097.3399999999992</v>
      </c>
      <c r="CC309" s="56"/>
      <c r="CF309" s="55">
        <f t="shared" si="2018"/>
        <v>46285</v>
      </c>
      <c r="CG309" s="56"/>
      <c r="CH309" s="66">
        <f>SUMPRODUCT(PRODUCE!$B308:$DY308,PRODUCE!$EB$16:$IY$16)</f>
        <v>0</v>
      </c>
      <c r="CI309" s="56"/>
      <c r="CJ309" s="66">
        <f t="shared" si="2019"/>
        <v>0</v>
      </c>
      <c r="CK309" s="66">
        <f t="shared" si="2020"/>
        <v>-10277.079999999998</v>
      </c>
      <c r="CL309" s="56"/>
      <c r="CO309" s="55">
        <f t="shared" si="2021"/>
        <v>46285</v>
      </c>
      <c r="CP309" s="422"/>
      <c r="CQ309" s="470">
        <f>SUMPRODUCT(PRODUCE!$B308:$DY308,PRODUCE!$EB$17:$IY$17)</f>
        <v>0</v>
      </c>
      <c r="CR309" s="422"/>
      <c r="CS309" s="470">
        <f t="shared" si="2022"/>
        <v>0</v>
      </c>
      <c r="CT309" s="470">
        <f t="shared" si="2023"/>
        <v>0</v>
      </c>
      <c r="CU309" s="56"/>
      <c r="CX309" s="55">
        <f t="shared" si="2024"/>
        <v>46285</v>
      </c>
      <c r="CY309" s="56"/>
      <c r="CZ309" s="133">
        <f>SUMPRODUCT(PRODUCE!$B308:$DY308,PRODUCE!$EB$18:$IY$18)</f>
        <v>0</v>
      </c>
      <c r="DA309" s="56"/>
      <c r="DB309" s="133">
        <f t="shared" si="2025"/>
        <v>0</v>
      </c>
      <c r="DC309" s="133">
        <f t="shared" si="2026"/>
        <v>27438.200000000012</v>
      </c>
      <c r="DD309" s="56"/>
      <c r="DG309" s="55">
        <f t="shared" si="2027"/>
        <v>46285</v>
      </c>
      <c r="DH309" s="56"/>
      <c r="DI309" s="147">
        <f>SUMPRODUCT(PRODUCE!$B308:$DY308,PRODUCE!$EB$19:$IY$19)</f>
        <v>0</v>
      </c>
      <c r="DJ309" s="56"/>
      <c r="DK309" s="147">
        <f t="shared" si="2028"/>
        <v>0</v>
      </c>
      <c r="DL309" s="147">
        <f t="shared" si="2029"/>
        <v>18782.299999999981</v>
      </c>
      <c r="DM309" s="56"/>
      <c r="DP309" s="55">
        <f t="shared" si="2030"/>
        <v>46285</v>
      </c>
      <c r="DQ309" s="56"/>
      <c r="DR309" s="57">
        <f>SUMPRODUCT(PRODUCE!$B308:$DY308,PRODUCE!$EB$20:$IY$20)</f>
        <v>0</v>
      </c>
      <c r="DS309" s="56"/>
      <c r="DT309" s="57">
        <f t="shared" si="2031"/>
        <v>0</v>
      </c>
      <c r="DU309" s="57">
        <f t="shared" si="2032"/>
        <v>5800</v>
      </c>
      <c r="DV309" s="56"/>
      <c r="DY309" s="55">
        <f t="shared" si="2033"/>
        <v>46285</v>
      </c>
      <c r="DZ309" s="56"/>
      <c r="EA309" s="157">
        <f>SUMPRODUCT(PRODUCE!$B308:$DY308,PRODUCE!$EB$21:$IY$21)</f>
        <v>0</v>
      </c>
      <c r="EB309" s="56"/>
      <c r="EC309" s="157">
        <f t="shared" si="2034"/>
        <v>0</v>
      </c>
      <c r="ED309" s="157">
        <f t="shared" si="2035"/>
        <v>0</v>
      </c>
      <c r="EE309" s="56"/>
      <c r="EH309" s="55">
        <f t="shared" si="2036"/>
        <v>46285</v>
      </c>
      <c r="EI309" s="56"/>
      <c r="EJ309" s="162">
        <f>SUMPRODUCT(PRODUCE!$B308:$DY308,PRODUCE!$EB$22:$IY$22)</f>
        <v>0</v>
      </c>
      <c r="EK309" s="56"/>
      <c r="EL309" s="162">
        <f t="shared" si="2037"/>
        <v>0</v>
      </c>
      <c r="EM309" s="162">
        <f t="shared" si="2038"/>
        <v>0</v>
      </c>
      <c r="EN309" s="56"/>
      <c r="EQ309" s="55">
        <f t="shared" si="2039"/>
        <v>46285</v>
      </c>
      <c r="ER309" s="56"/>
      <c r="ES309" s="135">
        <f>SUMPRODUCT(PRODUCE!$B308:$DY308,PRODUCE!$EB$23:$IY$23)</f>
        <v>0</v>
      </c>
      <c r="ET309" s="56"/>
      <c r="EU309" s="135">
        <f t="shared" si="2040"/>
        <v>0</v>
      </c>
      <c r="EV309" s="135">
        <f t="shared" si="2041"/>
        <v>0</v>
      </c>
      <c r="EW309" s="56"/>
      <c r="EZ309" s="55">
        <f t="shared" si="2042"/>
        <v>46285</v>
      </c>
      <c r="FA309" s="56"/>
      <c r="FB309" s="175">
        <f>SUMPRODUCT(PRODUCE!$B308:$DY308,PRODUCE!$EB$24:$IY$24)</f>
        <v>0</v>
      </c>
      <c r="FC309" s="56"/>
      <c r="FD309" s="175">
        <f t="shared" si="2043"/>
        <v>0</v>
      </c>
      <c r="FE309" s="175">
        <f t="shared" si="2044"/>
        <v>0</v>
      </c>
      <c r="FF309" s="56"/>
      <c r="FI309" s="55">
        <f t="shared" si="2045"/>
        <v>46285</v>
      </c>
      <c r="FJ309" s="56"/>
      <c r="FK309" s="183">
        <f>SUMPRODUCT(PRODUCE!$B308:$DY308,PRODUCE!$EB$25:$IY$25)</f>
        <v>0</v>
      </c>
      <c r="FL309" s="56"/>
      <c r="FM309" s="183">
        <f t="shared" si="2046"/>
        <v>0</v>
      </c>
      <c r="FN309" s="183">
        <f t="shared" si="2047"/>
        <v>0</v>
      </c>
      <c r="FO309" s="56"/>
      <c r="FR309" s="55">
        <f t="shared" si="2048"/>
        <v>46285</v>
      </c>
      <c r="FS309" s="56"/>
      <c r="FT309" s="186">
        <f>SUMPRODUCT(PRODUCE!$B308:$DY308,PRODUCE!$EB$26:$IY$26)</f>
        <v>0</v>
      </c>
      <c r="FU309" s="56"/>
      <c r="FV309" s="186">
        <f t="shared" si="2049"/>
        <v>0</v>
      </c>
      <c r="FW309" s="186">
        <f t="shared" si="2050"/>
        <v>2020</v>
      </c>
      <c r="FX309" s="56"/>
      <c r="GA309" s="55">
        <f t="shared" si="2051"/>
        <v>46285</v>
      </c>
      <c r="GB309" s="56"/>
      <c r="GC309" s="137">
        <f>SUMPRODUCT(PRODUCE!$B308:$DY308,PRODUCE!$EB$27:$IY$27)</f>
        <v>0</v>
      </c>
      <c r="GD309" s="56"/>
      <c r="GE309" s="137">
        <f t="shared" si="2052"/>
        <v>0</v>
      </c>
      <c r="GF309" s="137">
        <f t="shared" si="2053"/>
        <v>960</v>
      </c>
      <c r="GG309" s="56"/>
      <c r="GI309" s="23"/>
      <c r="GJ309" s="55">
        <f t="shared" si="2054"/>
        <v>46285</v>
      </c>
      <c r="GK309" s="56"/>
      <c r="GL309" s="199">
        <f>SUMPRODUCT(PRODUCE!$B308:$DY308,PRODUCE!$EB$28:$IY$28)</f>
        <v>0</v>
      </c>
      <c r="GM309" s="56"/>
      <c r="GN309" s="199">
        <f t="shared" si="2055"/>
        <v>0</v>
      </c>
      <c r="GO309" s="199">
        <f t="shared" si="2056"/>
        <v>1760</v>
      </c>
      <c r="GP309" s="56"/>
      <c r="GS309" s="55">
        <f t="shared" si="2057"/>
        <v>46285</v>
      </c>
      <c r="GT309" s="56"/>
      <c r="GU309" s="195">
        <f>SUMPRODUCT(PRODUCE!$B308:$DY308,PRODUCE!$EB$29:$IY$29)</f>
        <v>0</v>
      </c>
      <c r="GV309" s="56"/>
      <c r="GW309" s="195">
        <f t="shared" si="2058"/>
        <v>0</v>
      </c>
      <c r="GX309" s="195">
        <f t="shared" si="2059"/>
        <v>400</v>
      </c>
      <c r="GY309" s="56"/>
      <c r="HB309" s="55">
        <f t="shared" si="2060"/>
        <v>46285</v>
      </c>
      <c r="HC309" s="56"/>
      <c r="HD309" s="191">
        <f>SUMPRODUCT(PRODUCE!$B308:$DY308,PRODUCE!$EB$30:$IY$30)</f>
        <v>0</v>
      </c>
      <c r="HE309" s="56"/>
      <c r="HF309" s="191">
        <f t="shared" si="2061"/>
        <v>0</v>
      </c>
      <c r="HG309" s="191">
        <f t="shared" si="2062"/>
        <v>3600</v>
      </c>
      <c r="HH309" s="56"/>
      <c r="HK309" s="55">
        <f t="shared" si="2063"/>
        <v>46285</v>
      </c>
      <c r="HL309" s="56"/>
      <c r="HM309" s="63">
        <f>SUMPRODUCT(PRODUCE!$B308:$DY308,PRODUCE!$EB$31:$IY$31)</f>
        <v>0</v>
      </c>
      <c r="HN309" s="56"/>
      <c r="HO309" s="63">
        <f t="shared" si="2064"/>
        <v>0</v>
      </c>
      <c r="HP309" s="63">
        <f t="shared" si="2065"/>
        <v>0</v>
      </c>
      <c r="HQ309" s="56"/>
      <c r="HU309" s="55">
        <f t="shared" si="2066"/>
        <v>46285</v>
      </c>
      <c r="HV309" s="56"/>
      <c r="HW309" s="242">
        <f>SUMPRODUCT(PRODUCE!$B308:$DY308,PRODUCE!$EB$32:$IY$32)</f>
        <v>0</v>
      </c>
      <c r="HX309" s="56"/>
      <c r="HY309" s="242">
        <f t="shared" si="2236"/>
        <v>0</v>
      </c>
      <c r="HZ309" s="242">
        <f t="shared" si="2067"/>
        <v>6120</v>
      </c>
      <c r="IA309" s="56"/>
      <c r="ID309" s="55">
        <f t="shared" si="2068"/>
        <v>46285</v>
      </c>
      <c r="IE309" s="56"/>
      <c r="IF309" s="242">
        <f>SUMPRODUCT(PRODUCE!$B308:$DY308,PRODUCE!$EB$33:$IY$33)</f>
        <v>0</v>
      </c>
      <c r="IG309" s="56"/>
      <c r="IH309" s="242">
        <f t="shared" si="2069"/>
        <v>0</v>
      </c>
      <c r="II309" s="242">
        <f t="shared" si="2070"/>
        <v>0</v>
      </c>
      <c r="IJ309" s="56"/>
      <c r="IM309" s="55">
        <f t="shared" si="2071"/>
        <v>46285</v>
      </c>
      <c r="IN309" s="56"/>
      <c r="IO309" s="242">
        <f>SUMPRODUCT(PRODUCE!$B308:$DY308,PRODUCE!$EB$34:$IY$34)</f>
        <v>0</v>
      </c>
      <c r="IP309" s="56"/>
      <c r="IQ309" s="242">
        <f t="shared" si="2072"/>
        <v>0</v>
      </c>
      <c r="IR309" s="242">
        <f t="shared" si="2073"/>
        <v>0</v>
      </c>
      <c r="IS309" s="56"/>
      <c r="IV309" s="55">
        <f t="shared" si="2074"/>
        <v>46285</v>
      </c>
      <c r="IW309" s="56"/>
      <c r="IX309" s="242">
        <f>SUMPRODUCT(PRODUCE!$B308:$DY308,PRODUCE!$EB$35:$IY$35)</f>
        <v>0</v>
      </c>
      <c r="IY309" s="56"/>
      <c r="IZ309" s="242">
        <f t="shared" si="2075"/>
        <v>0</v>
      </c>
      <c r="JA309" s="242">
        <f t="shared" si="2076"/>
        <v>2820</v>
      </c>
      <c r="JB309" s="56"/>
      <c r="JE309" s="55">
        <f t="shared" si="2077"/>
        <v>46285</v>
      </c>
      <c r="JF309" s="56"/>
      <c r="JG309" s="242">
        <f>SUMPRODUCT(PRODUCE!$B308:$DY308,PRODUCE!$EB$36:$IY$36)</f>
        <v>0</v>
      </c>
      <c r="JH309" s="56"/>
      <c r="JI309" s="242">
        <f t="shared" si="2078"/>
        <v>0</v>
      </c>
      <c r="JJ309" s="242">
        <f t="shared" si="2079"/>
        <v>0</v>
      </c>
      <c r="JK309" s="56"/>
      <c r="JN309" s="55">
        <f t="shared" si="2080"/>
        <v>46285</v>
      </c>
      <c r="JO309" s="56"/>
      <c r="JP309" s="242">
        <f>SUMPRODUCT(PRODUCE!$B308:$DY308,PRODUCE!$EB$37:$IY$37)</f>
        <v>0</v>
      </c>
      <c r="JQ309" s="56"/>
      <c r="JR309" s="242">
        <f t="shared" si="2081"/>
        <v>0</v>
      </c>
      <c r="JS309" s="242">
        <f t="shared" si="2082"/>
        <v>0</v>
      </c>
      <c r="JT309" s="56"/>
      <c r="JW309" s="55">
        <f t="shared" si="2083"/>
        <v>46285</v>
      </c>
      <c r="JX309" s="56"/>
      <c r="JY309" s="242">
        <f>SUMPRODUCT(PRODUCE!$B308:$DY308,PRODUCE!$EB$38:$IY$38)</f>
        <v>0</v>
      </c>
      <c r="JZ309" s="56"/>
      <c r="KA309" s="242">
        <f t="shared" si="2084"/>
        <v>0</v>
      </c>
      <c r="KB309" s="242">
        <f t="shared" si="2085"/>
        <v>2540</v>
      </c>
      <c r="KC309" s="56"/>
      <c r="KF309" s="55">
        <f t="shared" si="2086"/>
        <v>46285</v>
      </c>
      <c r="KG309" s="56"/>
      <c r="KH309" s="242">
        <f>SUMPRODUCT(PRODUCE!$B308:$DY308,PRODUCE!$EB$39:$IY$39)</f>
        <v>0</v>
      </c>
      <c r="KI309" s="56"/>
      <c r="KJ309" s="242">
        <f t="shared" si="2087"/>
        <v>0</v>
      </c>
      <c r="KK309" s="242">
        <f t="shared" si="2088"/>
        <v>2359.5</v>
      </c>
      <c r="KL309" s="56"/>
      <c r="KO309" s="55">
        <f t="shared" si="2089"/>
        <v>46285</v>
      </c>
      <c r="KP309" s="56"/>
      <c r="KQ309" s="242">
        <f>SUMPRODUCT(PRODUCE!$B308:$DY308,PRODUCE!$EB$40:$IY$40)</f>
        <v>0</v>
      </c>
      <c r="KR309" s="56"/>
      <c r="KS309" s="242">
        <f t="shared" si="2090"/>
        <v>0</v>
      </c>
      <c r="KT309" s="242">
        <f t="shared" si="2091"/>
        <v>1890</v>
      </c>
      <c r="KU309" s="56"/>
      <c r="KW309" s="23"/>
      <c r="KX309" s="55">
        <f t="shared" si="2092"/>
        <v>46285</v>
      </c>
      <c r="KY309" s="56"/>
      <c r="KZ309" s="242">
        <f>SUMPRODUCT(PRODUCE!$B308:$DY308,PRODUCE!$EB$41:$IY$41)</f>
        <v>0</v>
      </c>
      <c r="LA309" s="56"/>
      <c r="LB309" s="242">
        <f t="shared" si="2093"/>
        <v>0</v>
      </c>
      <c r="LC309" s="242">
        <f t="shared" si="2094"/>
        <v>3690</v>
      </c>
      <c r="LD309" s="56"/>
      <c r="LG309" s="55">
        <f t="shared" si="2095"/>
        <v>46285</v>
      </c>
      <c r="LH309" s="56"/>
      <c r="LI309" s="242">
        <f>SUMPRODUCT(PRODUCE!$B308:$DY308,PRODUCE!$EB$42:$IY$42)</f>
        <v>0</v>
      </c>
      <c r="LJ309" s="56"/>
      <c r="LK309" s="242">
        <f t="shared" si="2096"/>
        <v>0</v>
      </c>
      <c r="LL309" s="242">
        <f t="shared" si="2097"/>
        <v>4000</v>
      </c>
      <c r="LM309" s="56"/>
      <c r="LP309" s="55">
        <f t="shared" si="2098"/>
        <v>46285</v>
      </c>
      <c r="LQ309" s="56"/>
      <c r="LR309" s="242">
        <f>SUMPRODUCT(PRODUCE!$B324:$DY324,PRODUCE!$EB$43:$IY$43)</f>
        <v>0</v>
      </c>
      <c r="LS309" s="56"/>
      <c r="LT309" s="242">
        <f t="shared" si="2099"/>
        <v>0</v>
      </c>
      <c r="LU309" s="242">
        <f t="shared" si="2100"/>
        <v>0</v>
      </c>
      <c r="LV309" s="56"/>
      <c r="LY309" s="55">
        <f t="shared" si="2101"/>
        <v>46285</v>
      </c>
      <c r="LZ309" s="56"/>
      <c r="MA309" s="242">
        <f>SUMPRODUCT(PRODUCE!$B308:$DY308,PRODUCE!$EB$44:$IY$44)</f>
        <v>0</v>
      </c>
      <c r="MB309" s="56"/>
      <c r="MC309" s="242">
        <f t="shared" si="2102"/>
        <v>0</v>
      </c>
      <c r="MD309" s="242">
        <f t="shared" si="2103"/>
        <v>0</v>
      </c>
      <c r="ME309" s="56"/>
      <c r="MH309" s="55">
        <f t="shared" si="2104"/>
        <v>46285</v>
      </c>
      <c r="MI309" s="56"/>
      <c r="MJ309" s="242">
        <f>SUMPRODUCT(PRODUCE!$B308:$DY308,PRODUCE!$EB$45:$IY$45)</f>
        <v>0</v>
      </c>
      <c r="MK309" s="56"/>
      <c r="ML309" s="242">
        <f t="shared" si="2105"/>
        <v>0</v>
      </c>
      <c r="MM309" s="242">
        <f t="shared" si="2106"/>
        <v>0</v>
      </c>
      <c r="MN309" s="56"/>
      <c r="MQ309" s="55">
        <f t="shared" si="2107"/>
        <v>46285</v>
      </c>
      <c r="MR309" s="56"/>
      <c r="MS309" s="242">
        <f>SUMPRODUCT(PRODUCE!$B308:$DY308,PRODUCE!$EB$46:$IY$46)</f>
        <v>0</v>
      </c>
      <c r="MT309" s="56"/>
      <c r="MU309" s="242">
        <f t="shared" si="2108"/>
        <v>0</v>
      </c>
      <c r="MV309" s="242">
        <f t="shared" si="2109"/>
        <v>1625</v>
      </c>
      <c r="MW309" s="56"/>
      <c r="MZ309" s="55">
        <f t="shared" si="2110"/>
        <v>46285</v>
      </c>
      <c r="NA309" s="56"/>
      <c r="NB309" s="242">
        <f>SUMPRODUCT(PRODUCE!$B308:$DY308,PRODUCE!$EB$47:$IY$47)</f>
        <v>0</v>
      </c>
      <c r="NC309" s="56"/>
      <c r="ND309" s="242">
        <f t="shared" si="2111"/>
        <v>0</v>
      </c>
      <c r="NE309" s="242">
        <f t="shared" si="2112"/>
        <v>0</v>
      </c>
      <c r="NF309" s="56"/>
      <c r="NI309" s="55">
        <f t="shared" si="2113"/>
        <v>46285</v>
      </c>
      <c r="NJ309" s="56"/>
      <c r="NK309" s="242">
        <f>SUMPRODUCT(PRODUCE!$B308:$DY308,PRODUCE!$EB$48:$IY$48)</f>
        <v>0</v>
      </c>
      <c r="NL309" s="56"/>
      <c r="NM309" s="242">
        <f t="shared" si="2114"/>
        <v>0</v>
      </c>
      <c r="NN309" s="242">
        <f t="shared" si="2115"/>
        <v>1127</v>
      </c>
      <c r="NO309" s="56"/>
      <c r="NR309" s="55">
        <f t="shared" si="2116"/>
        <v>46285</v>
      </c>
      <c r="NS309" s="56"/>
      <c r="NT309" s="242">
        <f>SUMPRODUCT(PRODUCE!$B308:$DY308,PRODUCE!$EB$49:$IY$49)</f>
        <v>0</v>
      </c>
      <c r="NU309" s="56"/>
      <c r="NV309" s="242">
        <f t="shared" si="2117"/>
        <v>0</v>
      </c>
      <c r="NW309" s="242">
        <f t="shared" si="2118"/>
        <v>3111.9999999999995</v>
      </c>
      <c r="NX309" s="56"/>
      <c r="OA309" s="55">
        <f t="shared" si="2119"/>
        <v>46285</v>
      </c>
      <c r="OB309" s="56"/>
      <c r="OC309" s="242">
        <f>SUMPRODUCT(PRODUCE!$B308:$DY308,PRODUCE!$EB$50:$IY$50)</f>
        <v>0</v>
      </c>
      <c r="OD309" s="56"/>
      <c r="OE309" s="242">
        <f t="shared" si="2120"/>
        <v>0</v>
      </c>
      <c r="OF309" s="242">
        <f t="shared" si="2121"/>
        <v>1680.5</v>
      </c>
      <c r="OG309" s="56"/>
      <c r="OJ309" s="55">
        <f t="shared" si="2122"/>
        <v>46285</v>
      </c>
      <c r="OK309" s="56"/>
      <c r="OL309" s="242">
        <f>SUMPRODUCT(PRODUCE!$B308:$DY308,PRODUCE!$EB$51:$IY$51)</f>
        <v>0</v>
      </c>
      <c r="OM309" s="56"/>
      <c r="ON309" s="242">
        <f t="shared" si="2123"/>
        <v>0</v>
      </c>
      <c r="OO309" s="242">
        <f t="shared" si="2124"/>
        <v>0</v>
      </c>
      <c r="OP309" s="56"/>
      <c r="OS309" s="55">
        <f t="shared" si="2125"/>
        <v>46285</v>
      </c>
      <c r="OT309" s="56"/>
      <c r="OU309" s="242">
        <f>SUMPRODUCT(PRODUCE!$B308:$DY308,PRODUCE!$EB$52:$IY$52)</f>
        <v>0</v>
      </c>
      <c r="OV309" s="56"/>
      <c r="OW309" s="242">
        <f t="shared" si="2126"/>
        <v>0</v>
      </c>
      <c r="OX309" s="242">
        <f t="shared" si="2127"/>
        <v>1482</v>
      </c>
      <c r="OY309" s="56"/>
      <c r="PB309" s="55">
        <f t="shared" si="2128"/>
        <v>46285</v>
      </c>
      <c r="PC309" s="56"/>
      <c r="PD309" s="242">
        <f>SUMPRODUCT(PRODUCE!$B308:$DY308,PRODUCE!$EB$53:$IY$53)</f>
        <v>0</v>
      </c>
      <c r="PE309" s="56"/>
      <c r="PF309" s="242">
        <f t="shared" si="2129"/>
        <v>0</v>
      </c>
      <c r="PG309" s="242">
        <f t="shared" si="2130"/>
        <v>0</v>
      </c>
      <c r="PH309" s="56"/>
      <c r="PK309" s="55">
        <f t="shared" si="2131"/>
        <v>46285</v>
      </c>
      <c r="PL309" s="56"/>
      <c r="PM309" s="242">
        <f>SUMPRODUCT(PRODUCE!$B308:$DY308,PRODUCE!$EB$54:$IY$54)</f>
        <v>0</v>
      </c>
      <c r="PN309" s="56"/>
      <c r="PO309" s="242">
        <f t="shared" si="2132"/>
        <v>0</v>
      </c>
      <c r="PP309" s="242">
        <f t="shared" si="2133"/>
        <v>100</v>
      </c>
      <c r="PQ309" s="56"/>
      <c r="PT309" s="55">
        <f t="shared" si="2134"/>
        <v>46285</v>
      </c>
      <c r="PU309" s="56"/>
      <c r="PV309" s="242">
        <f>SUMPRODUCT(PRODUCE!$B308:$DY308,PRODUCE!$EB$55:$IY$55)</f>
        <v>0</v>
      </c>
      <c r="PW309" s="56"/>
      <c r="PX309" s="242">
        <f t="shared" si="2135"/>
        <v>0</v>
      </c>
      <c r="PY309" s="242">
        <f t="shared" si="2136"/>
        <v>13.960000000000036</v>
      </c>
      <c r="PZ309" s="56"/>
      <c r="QC309" s="55">
        <f t="shared" si="2137"/>
        <v>46285</v>
      </c>
      <c r="QD309" s="56"/>
      <c r="QE309" s="242">
        <f>SUMPRODUCT(PRODUCE!$B308:$DY308,PRODUCE!$EB$56:$IY$56)</f>
        <v>0</v>
      </c>
      <c r="QF309" s="56"/>
      <c r="QG309" s="242">
        <f t="shared" si="2138"/>
        <v>0</v>
      </c>
      <c r="QH309" s="242">
        <f t="shared" si="2139"/>
        <v>548</v>
      </c>
      <c r="QI309" s="56"/>
      <c r="QL309" s="55">
        <f t="shared" si="2140"/>
        <v>46285</v>
      </c>
      <c r="QM309" s="56"/>
      <c r="QN309" s="242">
        <f>SUMPRODUCT(PRODUCE!$B308:$DY308,PRODUCE!$EB$57:$IY$57)</f>
        <v>0</v>
      </c>
      <c r="QO309" s="56"/>
      <c r="QP309" s="242">
        <f t="shared" si="2141"/>
        <v>0</v>
      </c>
      <c r="QQ309" s="242">
        <f t="shared" si="2142"/>
        <v>0</v>
      </c>
      <c r="QR309" s="56"/>
      <c r="QU309" s="55">
        <f t="shared" si="2143"/>
        <v>46285</v>
      </c>
      <c r="QV309" s="56"/>
      <c r="QW309" s="242">
        <f>SUMPRODUCT(PRODUCE!$B308:$DY308,PRODUCE!$EB$57:$IY$57)</f>
        <v>0</v>
      </c>
      <c r="QX309" s="56"/>
      <c r="QY309" s="242">
        <f t="shared" si="2144"/>
        <v>0</v>
      </c>
      <c r="QZ309" s="242">
        <f t="shared" si="2145"/>
        <v>0</v>
      </c>
      <c r="RA309" s="56"/>
      <c r="RD309" s="55">
        <f t="shared" si="2146"/>
        <v>46285</v>
      </c>
      <c r="RE309" s="56"/>
      <c r="RF309" s="242">
        <f>SUMPRODUCT(PRODUCE!$B308:$DY308,PRODUCE!$EB$58:$IY$58)</f>
        <v>0</v>
      </c>
      <c r="RG309" s="56"/>
      <c r="RH309" s="242">
        <f t="shared" si="2147"/>
        <v>0</v>
      </c>
      <c r="RI309" s="242">
        <f t="shared" si="2148"/>
        <v>147.04000000000002</v>
      </c>
      <c r="RJ309" s="56"/>
      <c r="RM309" s="55">
        <f t="shared" si="2149"/>
        <v>46285</v>
      </c>
      <c r="RN309" s="56"/>
      <c r="RO309" s="242">
        <f>SUMPRODUCT(PRODUCE!$B308:$DY308,PRODUCE!$EB$59:$IY$59)</f>
        <v>0</v>
      </c>
      <c r="RP309" s="56"/>
      <c r="RQ309" s="242">
        <f t="shared" si="2150"/>
        <v>0</v>
      </c>
      <c r="RR309" s="242">
        <f t="shared" si="2151"/>
        <v>46.8</v>
      </c>
      <c r="RS309" s="56"/>
      <c r="RV309" s="55">
        <f t="shared" si="2152"/>
        <v>46285</v>
      </c>
      <c r="RW309" s="56"/>
      <c r="RX309" s="242">
        <f>SUMPRODUCT(PRODUCE!$B308:$DY308,PRODUCE!$EB$57:$IY$57)</f>
        <v>0</v>
      </c>
      <c r="RY309" s="56"/>
      <c r="RZ309" s="242">
        <f t="shared" si="2153"/>
        <v>0</v>
      </c>
      <c r="SA309" s="242">
        <f t="shared" si="2154"/>
        <v>0</v>
      </c>
      <c r="SB309" s="56"/>
      <c r="SE309" s="55">
        <f t="shared" si="2155"/>
        <v>46285</v>
      </c>
      <c r="SF309" s="56"/>
      <c r="SG309" s="242">
        <f>SUMPRODUCT(PRODUCE!$B308:$DY308,PRODUCE!$EB$61:$IY$61)</f>
        <v>0</v>
      </c>
      <c r="SH309" s="56"/>
      <c r="SI309" s="242">
        <f t="shared" si="2156"/>
        <v>0</v>
      </c>
      <c r="SJ309" s="242">
        <f t="shared" si="2157"/>
        <v>24.200000000000003</v>
      </c>
      <c r="SK309" s="56"/>
      <c r="SN309" s="55">
        <f t="shared" si="2158"/>
        <v>46285</v>
      </c>
      <c r="SO309" s="56"/>
      <c r="SP309" s="242">
        <f>SUMPRODUCT(PRODUCE!$B308:$DY308,PRODUCE!$EB$57:$IY$57)</f>
        <v>0</v>
      </c>
      <c r="SQ309" s="56"/>
      <c r="SR309" s="242">
        <f t="shared" si="2159"/>
        <v>0</v>
      </c>
      <c r="SS309" s="242">
        <f t="shared" si="2160"/>
        <v>32</v>
      </c>
      <c r="ST309" s="56"/>
      <c r="SW309" s="55">
        <f t="shared" si="2161"/>
        <v>46285</v>
      </c>
      <c r="SX309" s="56"/>
      <c r="SY309" s="242">
        <f>SUMPRODUCT(PRODUCE!$B308:$DY308,PRODUCE!$EB$57:$IY$57)</f>
        <v>0</v>
      </c>
      <c r="SZ309" s="56"/>
      <c r="TA309" s="242">
        <f t="shared" si="2162"/>
        <v>0</v>
      </c>
      <c r="TB309" s="242">
        <f t="shared" si="2163"/>
        <v>0</v>
      </c>
      <c r="TC309" s="56"/>
      <c r="TF309" s="55">
        <f t="shared" si="2164"/>
        <v>46285</v>
      </c>
      <c r="TG309" s="56"/>
      <c r="TH309" s="242">
        <f>SUMPRODUCT(PRODUCE!$B308:$DY308,PRODUCE!$EB$57:$IY$57)</f>
        <v>0</v>
      </c>
      <c r="TI309" s="56"/>
      <c r="TJ309" s="242">
        <f t="shared" si="2165"/>
        <v>0</v>
      </c>
      <c r="TK309" s="242">
        <f t="shared" si="2166"/>
        <v>0</v>
      </c>
      <c r="TL309" s="56"/>
      <c r="TO309" s="55">
        <f t="shared" si="2167"/>
        <v>46285</v>
      </c>
      <c r="TP309" s="56"/>
      <c r="TQ309" s="242">
        <f>SUMPRODUCT(PRODUCE!$B308:$DY308,PRODUCE!$EB$57:$IY$57)</f>
        <v>0</v>
      </c>
      <c r="TR309" s="56"/>
      <c r="TS309" s="242">
        <f t="shared" si="2168"/>
        <v>0</v>
      </c>
      <c r="TT309" s="242">
        <f t="shared" si="2169"/>
        <v>0</v>
      </c>
      <c r="TU309" s="56"/>
      <c r="TX309" s="55">
        <f t="shared" si="2170"/>
        <v>46285</v>
      </c>
      <c r="TY309" s="56"/>
      <c r="TZ309" s="242">
        <f>SUMPRODUCT(PRODUCE!$B308:$DY308,PRODUCE!$EB$57:$IY$57)</f>
        <v>0</v>
      </c>
      <c r="UA309" s="56"/>
      <c r="UB309" s="242">
        <f t="shared" si="2171"/>
        <v>0</v>
      </c>
      <c r="UC309" s="242">
        <f t="shared" si="2172"/>
        <v>46.799999999999983</v>
      </c>
      <c r="UD309" s="56"/>
      <c r="UG309" s="55">
        <f t="shared" si="2173"/>
        <v>46285</v>
      </c>
      <c r="UH309" s="56"/>
      <c r="UI309" s="242">
        <f>SUMPRODUCT(PRODUCE!$B308:$DY308,PRODUCE!$EB$57:$IY$57)</f>
        <v>0</v>
      </c>
      <c r="UJ309" s="56"/>
      <c r="UK309" s="242">
        <f t="shared" si="2174"/>
        <v>0</v>
      </c>
      <c r="UL309" s="242">
        <f t="shared" si="2175"/>
        <v>204</v>
      </c>
      <c r="UM309" s="56"/>
      <c r="UP309" s="55">
        <f t="shared" si="2176"/>
        <v>46285</v>
      </c>
      <c r="UQ309" s="56"/>
      <c r="UR309" s="242">
        <f>SUMPRODUCT(PRODUCE!$B308:$DY308,PRODUCE!$EB$57:$IY$57)</f>
        <v>0</v>
      </c>
      <c r="US309" s="56"/>
      <c r="UT309" s="242">
        <f t="shared" si="2177"/>
        <v>0</v>
      </c>
      <c r="UU309" s="242">
        <f t="shared" si="2178"/>
        <v>202.5</v>
      </c>
      <c r="UV309" s="56"/>
      <c r="UY309" s="55">
        <f t="shared" si="2179"/>
        <v>46285</v>
      </c>
      <c r="UZ309" s="56"/>
      <c r="VA309" s="242">
        <f>SUMPRODUCT(PRODUCE!$B308:$DY308,PRODUCE!$EB$57:$IY$57)</f>
        <v>0</v>
      </c>
      <c r="VB309" s="56"/>
      <c r="VC309" s="242">
        <f t="shared" si="2180"/>
        <v>0</v>
      </c>
      <c r="VD309" s="242">
        <f t="shared" si="2181"/>
        <v>41.600000000000023</v>
      </c>
      <c r="VE309" s="56"/>
      <c r="VH309" s="55">
        <f t="shared" si="2182"/>
        <v>46285</v>
      </c>
      <c r="VI309" s="56"/>
      <c r="VJ309" s="242">
        <f>SUMPRODUCT(PRODUCE!$B308:$DY308,PRODUCE!$EB$57:$IY$57)</f>
        <v>0</v>
      </c>
      <c r="VK309" s="56"/>
      <c r="VL309" s="242">
        <f t="shared" si="2183"/>
        <v>0</v>
      </c>
      <c r="VM309" s="242">
        <f t="shared" si="2184"/>
        <v>210</v>
      </c>
      <c r="VN309" s="56"/>
      <c r="VQ309" s="55">
        <f t="shared" si="2185"/>
        <v>46285</v>
      </c>
      <c r="VR309" s="56"/>
      <c r="VS309" s="242">
        <f>SUMPRODUCT(PRODUCE!$B308:$DY308,PRODUCE!$EB$57:$IY$57)</f>
        <v>0</v>
      </c>
      <c r="VT309" s="56"/>
      <c r="VU309" s="242">
        <f t="shared" si="2186"/>
        <v>0</v>
      </c>
      <c r="VV309" s="242">
        <f t="shared" si="2187"/>
        <v>0</v>
      </c>
      <c r="VW309" s="56"/>
      <c r="VZ309" s="55">
        <f t="shared" si="2188"/>
        <v>46285</v>
      </c>
      <c r="WA309" s="56"/>
      <c r="WB309" s="242">
        <f>SUMPRODUCT(PRODUCE!$B308:$DY308,PRODUCE!$EB$57:$IY$57)</f>
        <v>0</v>
      </c>
      <c r="WC309" s="56"/>
      <c r="WD309" s="242">
        <f t="shared" si="2189"/>
        <v>0</v>
      </c>
      <c r="WE309" s="242">
        <f t="shared" si="2190"/>
        <v>0</v>
      </c>
      <c r="WF309" s="56"/>
      <c r="WI309" s="55">
        <f t="shared" si="2191"/>
        <v>46285</v>
      </c>
      <c r="WJ309" s="56"/>
      <c r="WK309" s="242">
        <f>SUMPRODUCT(PRODUCE!$B308:$DY308,PRODUCE!$EB$57:$IY$57)</f>
        <v>0</v>
      </c>
      <c r="WL309" s="56"/>
      <c r="WM309" s="242">
        <f t="shared" si="2192"/>
        <v>0</v>
      </c>
      <c r="WN309" s="242">
        <f t="shared" si="2193"/>
        <v>1057</v>
      </c>
      <c r="WO309" s="56"/>
      <c r="WR309" s="55">
        <f t="shared" si="2194"/>
        <v>46285</v>
      </c>
      <c r="WS309" s="56"/>
      <c r="WT309" s="242">
        <f>SUMPRODUCT(PRODUCE!$B308:$DY308,PRODUCE!$EB$57:$IY$57)</f>
        <v>0</v>
      </c>
      <c r="WU309" s="56"/>
      <c r="WV309" s="242">
        <f t="shared" si="2195"/>
        <v>0</v>
      </c>
      <c r="WW309" s="242">
        <f t="shared" si="2196"/>
        <v>0</v>
      </c>
      <c r="WX309" s="56"/>
      <c r="XA309" s="55">
        <f t="shared" si="2197"/>
        <v>46285</v>
      </c>
      <c r="XB309" s="56"/>
      <c r="XC309" s="242">
        <f>SUMPRODUCT(PRODUCE!$B308:$DY308,PRODUCE!$EB$57:$IY$57)</f>
        <v>0</v>
      </c>
      <c r="XD309" s="56"/>
      <c r="XE309" s="242">
        <f t="shared" si="2198"/>
        <v>0</v>
      </c>
      <c r="XF309" s="242">
        <f t="shared" si="2199"/>
        <v>7507</v>
      </c>
      <c r="XG309" s="56"/>
      <c r="XJ309" s="55">
        <f t="shared" si="2200"/>
        <v>46285</v>
      </c>
      <c r="XK309" s="56"/>
      <c r="XL309" s="242">
        <f>SUMPRODUCT(PRODUCE!$B308:$DY308,PRODUCE!$EB$57:$IY$57)</f>
        <v>0</v>
      </c>
      <c r="XM309" s="56"/>
      <c r="XN309" s="242">
        <f t="shared" si="2201"/>
        <v>0</v>
      </c>
      <c r="XO309" s="242">
        <f t="shared" si="2202"/>
        <v>4252</v>
      </c>
      <c r="XP309" s="56"/>
      <c r="XS309" s="55">
        <f t="shared" si="2203"/>
        <v>46285</v>
      </c>
      <c r="XT309" s="56"/>
      <c r="XU309" s="242">
        <f>SUMPRODUCT(PRODUCE!$B308:$DY308,PRODUCE!$EB$57:$IY$57)</f>
        <v>0</v>
      </c>
      <c r="XV309" s="56"/>
      <c r="XW309" s="242">
        <f t="shared" si="2204"/>
        <v>0</v>
      </c>
      <c r="XX309" s="242">
        <f t="shared" si="2205"/>
        <v>2179</v>
      </c>
      <c r="XY309" s="56"/>
      <c r="YB309" s="55">
        <f t="shared" si="2206"/>
        <v>46285</v>
      </c>
      <c r="YC309" s="56"/>
      <c r="YD309" s="242">
        <f>SUMPRODUCT(PRODUCE!$B308:$DY308,PRODUCE!$EB$57:$IY$57)</f>
        <v>0</v>
      </c>
      <c r="YE309" s="56"/>
      <c r="YF309" s="242">
        <f t="shared" si="2207"/>
        <v>0</v>
      </c>
      <c r="YG309" s="242">
        <f t="shared" si="2208"/>
        <v>4019</v>
      </c>
      <c r="YH309" s="56"/>
      <c r="YK309" s="55">
        <f t="shared" si="2209"/>
        <v>46285</v>
      </c>
      <c r="YL309" s="56"/>
      <c r="YM309" s="242">
        <f>SUMPRODUCT(PRODUCE!$B308:$DY308,PRODUCE!$EB$57:$IY$57)</f>
        <v>0</v>
      </c>
      <c r="YN309" s="56"/>
      <c r="YO309" s="242">
        <f t="shared" si="2210"/>
        <v>0</v>
      </c>
      <c r="YP309" s="242">
        <f t="shared" si="2211"/>
        <v>-218</v>
      </c>
      <c r="YQ309" s="56"/>
      <c r="YT309" s="55">
        <f t="shared" si="2212"/>
        <v>46285</v>
      </c>
      <c r="YU309" s="56"/>
      <c r="YV309" s="242">
        <f>SUMPRODUCT(PRODUCE!$B308:$DY308,PRODUCE!$EB$57:$IY$57)</f>
        <v>0</v>
      </c>
      <c r="YW309" s="56"/>
      <c r="YX309" s="242">
        <f t="shared" si="2213"/>
        <v>0</v>
      </c>
      <c r="YY309" s="242">
        <f t="shared" si="2214"/>
        <v>0</v>
      </c>
      <c r="YZ309" s="56"/>
      <c r="ZC309" s="55">
        <f t="shared" si="2215"/>
        <v>46285</v>
      </c>
      <c r="ZD309" s="56"/>
      <c r="ZE309" s="242">
        <f>SUMPRODUCT(PRODUCE!$B308:$DY308,PRODUCE!$EB$57:$IY$57)</f>
        <v>0</v>
      </c>
      <c r="ZF309" s="56"/>
      <c r="ZG309" s="242">
        <f t="shared" si="2216"/>
        <v>0</v>
      </c>
      <c r="ZH309" s="242">
        <f t="shared" si="2217"/>
        <v>0</v>
      </c>
      <c r="ZI309" s="56"/>
      <c r="ZL309" s="55">
        <f t="shared" si="2218"/>
        <v>46285</v>
      </c>
      <c r="ZM309" s="56"/>
      <c r="ZN309" s="242">
        <f>SUMPRODUCT(PRODUCE!$B308:$DY308,PRODUCE!$EB$57:$IY$57)</f>
        <v>0</v>
      </c>
      <c r="ZO309" s="56"/>
      <c r="ZP309" s="242">
        <f t="shared" si="2219"/>
        <v>0</v>
      </c>
      <c r="ZQ309" s="242">
        <f t="shared" si="2220"/>
        <v>0</v>
      </c>
      <c r="ZR309" s="56"/>
      <c r="ZU309" s="55">
        <f t="shared" si="2221"/>
        <v>46285</v>
      </c>
      <c r="ZV309" s="56"/>
      <c r="ZW309" s="242">
        <f>SUMPRODUCT(PRODUCE!$B308:$DY308,PRODUCE!$EB$57:$IY$57)</f>
        <v>0</v>
      </c>
      <c r="ZX309" s="56"/>
      <c r="ZY309" s="242">
        <f t="shared" si="2222"/>
        <v>0</v>
      </c>
      <c r="ZZ309" s="242">
        <f t="shared" si="2223"/>
        <v>0</v>
      </c>
      <c r="AAA309" s="56"/>
      <c r="AAD309" s="55">
        <f t="shared" si="2224"/>
        <v>46285</v>
      </c>
      <c r="AAE309" s="56"/>
      <c r="AAF309" s="242">
        <f>SUMPRODUCT(PRODUCE!$B308:$DY308,PRODUCE!$EB$57:$IY$57)</f>
        <v>0</v>
      </c>
      <c r="AAG309" s="56"/>
      <c r="AAH309" s="242">
        <f t="shared" si="2225"/>
        <v>0</v>
      </c>
      <c r="AAI309" s="242">
        <f t="shared" si="2226"/>
        <v>0</v>
      </c>
      <c r="AAJ309" s="56"/>
      <c r="AAM309" s="55">
        <f t="shared" si="2227"/>
        <v>46285</v>
      </c>
      <c r="AAN309" s="56"/>
      <c r="AAO309" s="242">
        <f>SUMPRODUCT(PRODUCE!$B308:$DY308,PRODUCE!$EB$57:$IY$57)</f>
        <v>0</v>
      </c>
      <c r="AAP309" s="56"/>
      <c r="AAQ309" s="242">
        <f t="shared" si="2228"/>
        <v>0</v>
      </c>
      <c r="AAR309" s="242">
        <f t="shared" si="2229"/>
        <v>0</v>
      </c>
      <c r="AAS309" s="56"/>
      <c r="AAV309" s="55">
        <f t="shared" si="2230"/>
        <v>46285</v>
      </c>
      <c r="AAW309" s="56"/>
      <c r="AAX309" s="242">
        <f>SUMPRODUCT(PRODUCE!$B308:$DY308,PRODUCE!$EB$57:$IY$57)</f>
        <v>0</v>
      </c>
      <c r="AAY309" s="56"/>
      <c r="AAZ309" s="242">
        <f t="shared" si="2231"/>
        <v>0</v>
      </c>
      <c r="ABA309" s="242">
        <f t="shared" si="2232"/>
        <v>0</v>
      </c>
      <c r="ABB309" s="56"/>
      <c r="ABE309" s="55">
        <f t="shared" si="2233"/>
        <v>46285</v>
      </c>
      <c r="ABF309" s="56"/>
      <c r="ABG309" s="242">
        <f>SUMPRODUCT(PRODUCE!$B308:$DY308,PRODUCE!$EB$57:$IY$57)</f>
        <v>0</v>
      </c>
      <c r="ABH309" s="56"/>
      <c r="ABI309" s="242">
        <f t="shared" si="2234"/>
        <v>0</v>
      </c>
      <c r="ABJ309" s="242">
        <f t="shared" si="2235"/>
        <v>0</v>
      </c>
      <c r="ABK309" s="56"/>
    </row>
    <row r="310" spans="2:739" s="54" customFormat="1" ht="15" customHeight="1" outlineLevel="1">
      <c r="B310" s="478"/>
      <c r="C310" s="55">
        <v>46286</v>
      </c>
      <c r="D310" s="56"/>
      <c r="E310" s="57">
        <f>SUMPRODUCT(PRODUCE!$B309:$DY309,PRODUCE!$EB$7:$IY$7)</f>
        <v>0</v>
      </c>
      <c r="F310" s="56"/>
      <c r="G310" s="57">
        <f t="shared" si="1992"/>
        <v>0</v>
      </c>
      <c r="H310" s="57">
        <f t="shared" si="1993"/>
        <v>236936.6</v>
      </c>
      <c r="I310" s="289"/>
      <c r="L310" s="55">
        <f t="shared" si="1994"/>
        <v>46286</v>
      </c>
      <c r="M310" s="56"/>
      <c r="N310" s="59">
        <f>SUMPRODUCT(PRODUCE!$B309:$DY309,PRODUCE!$EB$8:$IY$8)</f>
        <v>0</v>
      </c>
      <c r="O310" s="56"/>
      <c r="P310" s="59">
        <f t="shared" si="1995"/>
        <v>0</v>
      </c>
      <c r="Q310" s="59">
        <f t="shared" si="1996"/>
        <v>53017.600000000071</v>
      </c>
      <c r="R310" s="56"/>
      <c r="U310" s="55">
        <f t="shared" si="1997"/>
        <v>46286</v>
      </c>
      <c r="V310" s="56"/>
      <c r="W310" s="60">
        <f>SUMPRODUCT(PRODUCE!$B309:$DY309,PRODUCE!$EB$9:$IY$9)</f>
        <v>0</v>
      </c>
      <c r="X310" s="56"/>
      <c r="Y310" s="60">
        <f t="shared" si="1998"/>
        <v>0</v>
      </c>
      <c r="Z310" s="60">
        <f t="shared" si="1999"/>
        <v>42674.199999999968</v>
      </c>
      <c r="AA310" s="56"/>
      <c r="AD310" s="55">
        <f t="shared" si="2000"/>
        <v>46286</v>
      </c>
      <c r="AE310" s="56"/>
      <c r="AF310" s="61">
        <f>SUMPRODUCT(PRODUCE!$B309:$DY309,PRODUCE!$EB$10:$IY$10)</f>
        <v>0</v>
      </c>
      <c r="AG310" s="56"/>
      <c r="AH310" s="61">
        <f t="shared" si="2001"/>
        <v>0</v>
      </c>
      <c r="AI310" s="61">
        <f t="shared" si="2002"/>
        <v>4522.2000000000189</v>
      </c>
      <c r="AJ310" s="56"/>
      <c r="AM310" s="55">
        <f t="shared" si="2003"/>
        <v>46286</v>
      </c>
      <c r="AN310" s="422"/>
      <c r="AO310" s="444">
        <f>SUMPRODUCT(PRODUCE!$B309:$DY309,PRODUCE!$EB$11:$IY$11)</f>
        <v>0</v>
      </c>
      <c r="AP310" s="422"/>
      <c r="AQ310" s="444">
        <f t="shared" si="2004"/>
        <v>0</v>
      </c>
      <c r="AR310" s="444">
        <f t="shared" si="2005"/>
        <v>0</v>
      </c>
      <c r="AS310" s="56"/>
      <c r="AV310" s="55">
        <f t="shared" si="2006"/>
        <v>46286</v>
      </c>
      <c r="AW310" s="56"/>
      <c r="AX310" s="62">
        <f>SUMPRODUCT(PRODUCE!$B309:$DY309,PRODUCE!$EB$12:$IY$12)</f>
        <v>0</v>
      </c>
      <c r="AY310" s="56"/>
      <c r="AZ310" s="62">
        <f t="shared" si="2007"/>
        <v>0</v>
      </c>
      <c r="BA310" s="62">
        <f t="shared" si="2008"/>
        <v>124.99999999999523</v>
      </c>
      <c r="BB310" s="56"/>
      <c r="BE310" s="55">
        <f t="shared" si="2009"/>
        <v>46286</v>
      </c>
      <c r="BF310" s="56"/>
      <c r="BG310" s="63">
        <f>SUMPRODUCT(PRODUCE!$B309:$DY309,PRODUCE!$EB$13:$IY$13)</f>
        <v>0</v>
      </c>
      <c r="BH310" s="56"/>
      <c r="BI310" s="63">
        <f t="shared" si="2010"/>
        <v>0</v>
      </c>
      <c r="BJ310" s="63">
        <f t="shared" si="2011"/>
        <v>26151.899999999998</v>
      </c>
      <c r="BK310" s="56"/>
      <c r="BN310" s="55">
        <f t="shared" si="2012"/>
        <v>46286</v>
      </c>
      <c r="BO310" s="56"/>
      <c r="BP310" s="64">
        <f>SUMPRODUCT(PRODUCE!$B309:$DY309,PRODUCE!$EB$14:$IY$14)</f>
        <v>0</v>
      </c>
      <c r="BQ310" s="56"/>
      <c r="BR310" s="64">
        <f t="shared" si="2013"/>
        <v>0</v>
      </c>
      <c r="BS310" s="64">
        <f t="shared" si="2014"/>
        <v>0</v>
      </c>
      <c r="BT310" s="56"/>
      <c r="BW310" s="55">
        <f t="shared" si="2015"/>
        <v>46286</v>
      </c>
      <c r="BX310" s="56"/>
      <c r="BY310" s="65">
        <f>SUMPRODUCT(PRODUCE!$B309:$DY309,PRODUCE!$EB$15:$IY$15)</f>
        <v>0</v>
      </c>
      <c r="BZ310" s="56"/>
      <c r="CA310" s="65">
        <f t="shared" si="2016"/>
        <v>0</v>
      </c>
      <c r="CB310" s="65">
        <f t="shared" si="2017"/>
        <v>2097.3399999999992</v>
      </c>
      <c r="CC310" s="56"/>
      <c r="CF310" s="55">
        <f t="shared" si="2018"/>
        <v>46286</v>
      </c>
      <c r="CG310" s="56"/>
      <c r="CH310" s="66">
        <f>SUMPRODUCT(PRODUCE!$B309:$DY309,PRODUCE!$EB$16:$IY$16)</f>
        <v>0</v>
      </c>
      <c r="CI310" s="56"/>
      <c r="CJ310" s="66">
        <f t="shared" si="2019"/>
        <v>0</v>
      </c>
      <c r="CK310" s="66">
        <f t="shared" si="2020"/>
        <v>-10277.079999999998</v>
      </c>
      <c r="CL310" s="56"/>
      <c r="CO310" s="55">
        <f t="shared" si="2021"/>
        <v>46286</v>
      </c>
      <c r="CP310" s="422"/>
      <c r="CQ310" s="470">
        <f>SUMPRODUCT(PRODUCE!$B309:$DY309,PRODUCE!$EB$17:$IY$17)</f>
        <v>0</v>
      </c>
      <c r="CR310" s="422"/>
      <c r="CS310" s="470">
        <f t="shared" si="2022"/>
        <v>0</v>
      </c>
      <c r="CT310" s="470">
        <f t="shared" si="2023"/>
        <v>0</v>
      </c>
      <c r="CU310" s="56"/>
      <c r="CX310" s="55">
        <f t="shared" si="2024"/>
        <v>46286</v>
      </c>
      <c r="CY310" s="56"/>
      <c r="CZ310" s="133">
        <f>SUMPRODUCT(PRODUCE!$B309:$DY309,PRODUCE!$EB$18:$IY$18)</f>
        <v>0</v>
      </c>
      <c r="DA310" s="56"/>
      <c r="DB310" s="133">
        <f t="shared" si="2025"/>
        <v>0</v>
      </c>
      <c r="DC310" s="133">
        <f t="shared" si="2026"/>
        <v>27438.200000000012</v>
      </c>
      <c r="DD310" s="56"/>
      <c r="DG310" s="55">
        <f t="shared" si="2027"/>
        <v>46286</v>
      </c>
      <c r="DH310" s="56"/>
      <c r="DI310" s="147">
        <f>SUMPRODUCT(PRODUCE!$B309:$DY309,PRODUCE!$EB$19:$IY$19)</f>
        <v>0</v>
      </c>
      <c r="DJ310" s="56"/>
      <c r="DK310" s="147">
        <f t="shared" si="2028"/>
        <v>0</v>
      </c>
      <c r="DL310" s="147">
        <f t="shared" si="2029"/>
        <v>18782.299999999981</v>
      </c>
      <c r="DM310" s="56"/>
      <c r="DP310" s="55">
        <f t="shared" si="2030"/>
        <v>46286</v>
      </c>
      <c r="DQ310" s="56"/>
      <c r="DR310" s="57">
        <f>SUMPRODUCT(PRODUCE!$B309:$DY309,PRODUCE!$EB$20:$IY$20)</f>
        <v>0</v>
      </c>
      <c r="DS310" s="56"/>
      <c r="DT310" s="57">
        <f t="shared" si="2031"/>
        <v>0</v>
      </c>
      <c r="DU310" s="57">
        <f t="shared" si="2032"/>
        <v>5800</v>
      </c>
      <c r="DV310" s="56"/>
      <c r="DY310" s="55">
        <f t="shared" si="2033"/>
        <v>46286</v>
      </c>
      <c r="DZ310" s="56"/>
      <c r="EA310" s="157">
        <f>SUMPRODUCT(PRODUCE!$B309:$DY309,PRODUCE!$EB$21:$IY$21)</f>
        <v>0</v>
      </c>
      <c r="EB310" s="56"/>
      <c r="EC310" s="157">
        <f t="shared" si="2034"/>
        <v>0</v>
      </c>
      <c r="ED310" s="157">
        <f t="shared" si="2035"/>
        <v>0</v>
      </c>
      <c r="EE310" s="56"/>
      <c r="EH310" s="55">
        <f t="shared" si="2036"/>
        <v>46286</v>
      </c>
      <c r="EI310" s="56"/>
      <c r="EJ310" s="162">
        <f>SUMPRODUCT(PRODUCE!$B309:$DY309,PRODUCE!$EB$22:$IY$22)</f>
        <v>0</v>
      </c>
      <c r="EK310" s="56"/>
      <c r="EL310" s="162">
        <f t="shared" si="2037"/>
        <v>0</v>
      </c>
      <c r="EM310" s="162">
        <f t="shared" si="2038"/>
        <v>0</v>
      </c>
      <c r="EN310" s="56"/>
      <c r="EQ310" s="55">
        <f t="shared" si="2039"/>
        <v>46286</v>
      </c>
      <c r="ER310" s="56"/>
      <c r="ES310" s="135">
        <f>SUMPRODUCT(PRODUCE!$B309:$DY309,PRODUCE!$EB$23:$IY$23)</f>
        <v>0</v>
      </c>
      <c r="ET310" s="56"/>
      <c r="EU310" s="135">
        <f t="shared" si="2040"/>
        <v>0</v>
      </c>
      <c r="EV310" s="135">
        <f t="shared" si="2041"/>
        <v>0</v>
      </c>
      <c r="EW310" s="56"/>
      <c r="EZ310" s="55">
        <f t="shared" si="2042"/>
        <v>46286</v>
      </c>
      <c r="FA310" s="56"/>
      <c r="FB310" s="175">
        <f>SUMPRODUCT(PRODUCE!$B309:$DY309,PRODUCE!$EB$24:$IY$24)</f>
        <v>0</v>
      </c>
      <c r="FC310" s="56"/>
      <c r="FD310" s="175">
        <f t="shared" si="2043"/>
        <v>0</v>
      </c>
      <c r="FE310" s="175">
        <f t="shared" si="2044"/>
        <v>0</v>
      </c>
      <c r="FF310" s="56"/>
      <c r="FI310" s="55">
        <f t="shared" si="2045"/>
        <v>46286</v>
      </c>
      <c r="FJ310" s="56"/>
      <c r="FK310" s="183">
        <f>SUMPRODUCT(PRODUCE!$B309:$DY309,PRODUCE!$EB$25:$IY$25)</f>
        <v>0</v>
      </c>
      <c r="FL310" s="56"/>
      <c r="FM310" s="183">
        <f t="shared" si="2046"/>
        <v>0</v>
      </c>
      <c r="FN310" s="183">
        <f t="shared" si="2047"/>
        <v>0</v>
      </c>
      <c r="FO310" s="56"/>
      <c r="FR310" s="55">
        <f t="shared" si="2048"/>
        <v>46286</v>
      </c>
      <c r="FS310" s="56"/>
      <c r="FT310" s="186">
        <f>SUMPRODUCT(PRODUCE!$B309:$DY309,PRODUCE!$EB$26:$IY$26)</f>
        <v>0</v>
      </c>
      <c r="FU310" s="56"/>
      <c r="FV310" s="186">
        <f t="shared" si="2049"/>
        <v>0</v>
      </c>
      <c r="FW310" s="186">
        <f t="shared" si="2050"/>
        <v>2020</v>
      </c>
      <c r="FX310" s="56"/>
      <c r="GA310" s="55">
        <f t="shared" si="2051"/>
        <v>46286</v>
      </c>
      <c r="GB310" s="56"/>
      <c r="GC310" s="137">
        <f>SUMPRODUCT(PRODUCE!$B309:$DY309,PRODUCE!$EB$27:$IY$27)</f>
        <v>0</v>
      </c>
      <c r="GD310" s="56"/>
      <c r="GE310" s="137">
        <f t="shared" si="2052"/>
        <v>0</v>
      </c>
      <c r="GF310" s="137">
        <f t="shared" si="2053"/>
        <v>960</v>
      </c>
      <c r="GG310" s="56"/>
      <c r="GI310" s="23"/>
      <c r="GJ310" s="55">
        <f t="shared" si="2054"/>
        <v>46286</v>
      </c>
      <c r="GK310" s="56"/>
      <c r="GL310" s="199">
        <f>SUMPRODUCT(PRODUCE!$B309:$DY309,PRODUCE!$EB$28:$IY$28)</f>
        <v>0</v>
      </c>
      <c r="GM310" s="56"/>
      <c r="GN310" s="199">
        <f t="shared" si="2055"/>
        <v>0</v>
      </c>
      <c r="GO310" s="199">
        <f t="shared" si="2056"/>
        <v>1760</v>
      </c>
      <c r="GP310" s="56"/>
      <c r="GS310" s="55">
        <f t="shared" si="2057"/>
        <v>46286</v>
      </c>
      <c r="GT310" s="56"/>
      <c r="GU310" s="195">
        <f>SUMPRODUCT(PRODUCE!$B309:$DY309,PRODUCE!$EB$29:$IY$29)</f>
        <v>0</v>
      </c>
      <c r="GV310" s="56"/>
      <c r="GW310" s="195">
        <f t="shared" si="2058"/>
        <v>0</v>
      </c>
      <c r="GX310" s="195">
        <f t="shared" si="2059"/>
        <v>400</v>
      </c>
      <c r="GY310" s="56"/>
      <c r="HB310" s="55">
        <f t="shared" si="2060"/>
        <v>46286</v>
      </c>
      <c r="HC310" s="56"/>
      <c r="HD310" s="191">
        <f>SUMPRODUCT(PRODUCE!$B309:$DY309,PRODUCE!$EB$30:$IY$30)</f>
        <v>0</v>
      </c>
      <c r="HE310" s="56"/>
      <c r="HF310" s="191">
        <f t="shared" si="2061"/>
        <v>0</v>
      </c>
      <c r="HG310" s="191">
        <f t="shared" si="2062"/>
        <v>3600</v>
      </c>
      <c r="HH310" s="56"/>
      <c r="HK310" s="55">
        <f t="shared" si="2063"/>
        <v>46286</v>
      </c>
      <c r="HL310" s="56"/>
      <c r="HM310" s="63">
        <f>SUMPRODUCT(PRODUCE!$B309:$DY309,PRODUCE!$EB$31:$IY$31)</f>
        <v>0</v>
      </c>
      <c r="HN310" s="56"/>
      <c r="HO310" s="63">
        <f t="shared" si="2064"/>
        <v>0</v>
      </c>
      <c r="HP310" s="63">
        <f t="shared" si="2065"/>
        <v>0</v>
      </c>
      <c r="HQ310" s="56"/>
      <c r="HU310" s="55">
        <f t="shared" si="2066"/>
        <v>46286</v>
      </c>
      <c r="HV310" s="56"/>
      <c r="HW310" s="242">
        <f>SUMPRODUCT(PRODUCE!$B309:$DY309,PRODUCE!$EB$32:$IY$32)</f>
        <v>0</v>
      </c>
      <c r="HX310" s="56"/>
      <c r="HY310" s="242">
        <f t="shared" si="2236"/>
        <v>0</v>
      </c>
      <c r="HZ310" s="242">
        <f t="shared" si="2067"/>
        <v>6120</v>
      </c>
      <c r="IA310" s="56"/>
      <c r="ID310" s="55">
        <f t="shared" si="2068"/>
        <v>46286</v>
      </c>
      <c r="IE310" s="56"/>
      <c r="IF310" s="242">
        <f>SUMPRODUCT(PRODUCE!$B309:$DY309,PRODUCE!$EB$33:$IY$33)</f>
        <v>0</v>
      </c>
      <c r="IG310" s="56"/>
      <c r="IH310" s="242">
        <f t="shared" si="2069"/>
        <v>0</v>
      </c>
      <c r="II310" s="242">
        <f t="shared" si="2070"/>
        <v>0</v>
      </c>
      <c r="IJ310" s="56"/>
      <c r="IM310" s="55">
        <f t="shared" si="2071"/>
        <v>46286</v>
      </c>
      <c r="IN310" s="56"/>
      <c r="IO310" s="242">
        <f>SUMPRODUCT(PRODUCE!$B309:$DY309,PRODUCE!$EB$34:$IY$34)</f>
        <v>0</v>
      </c>
      <c r="IP310" s="56"/>
      <c r="IQ310" s="242">
        <f t="shared" si="2072"/>
        <v>0</v>
      </c>
      <c r="IR310" s="242">
        <f t="shared" si="2073"/>
        <v>0</v>
      </c>
      <c r="IS310" s="56"/>
      <c r="IV310" s="55">
        <f t="shared" si="2074"/>
        <v>46286</v>
      </c>
      <c r="IW310" s="56"/>
      <c r="IX310" s="242">
        <f>SUMPRODUCT(PRODUCE!$B309:$DY309,PRODUCE!$EB$35:$IY$35)</f>
        <v>0</v>
      </c>
      <c r="IY310" s="56"/>
      <c r="IZ310" s="242">
        <f t="shared" si="2075"/>
        <v>0</v>
      </c>
      <c r="JA310" s="242">
        <f t="shared" si="2076"/>
        <v>2820</v>
      </c>
      <c r="JB310" s="56"/>
      <c r="JE310" s="55">
        <f t="shared" si="2077"/>
        <v>46286</v>
      </c>
      <c r="JF310" s="56"/>
      <c r="JG310" s="242">
        <f>SUMPRODUCT(PRODUCE!$B309:$DY309,PRODUCE!$EB$36:$IY$36)</f>
        <v>0</v>
      </c>
      <c r="JH310" s="56"/>
      <c r="JI310" s="242">
        <f t="shared" si="2078"/>
        <v>0</v>
      </c>
      <c r="JJ310" s="242">
        <f t="shared" si="2079"/>
        <v>0</v>
      </c>
      <c r="JK310" s="56"/>
      <c r="JN310" s="55">
        <f t="shared" si="2080"/>
        <v>46286</v>
      </c>
      <c r="JO310" s="56"/>
      <c r="JP310" s="242">
        <f>SUMPRODUCT(PRODUCE!$B309:$DY309,PRODUCE!$EB$37:$IY$37)</f>
        <v>0</v>
      </c>
      <c r="JQ310" s="56"/>
      <c r="JR310" s="242">
        <f t="shared" si="2081"/>
        <v>0</v>
      </c>
      <c r="JS310" s="242">
        <f t="shared" si="2082"/>
        <v>0</v>
      </c>
      <c r="JT310" s="56"/>
      <c r="JW310" s="55">
        <f t="shared" si="2083"/>
        <v>46286</v>
      </c>
      <c r="JX310" s="56"/>
      <c r="JY310" s="242">
        <f>SUMPRODUCT(PRODUCE!$B309:$DY309,PRODUCE!$EB$38:$IY$38)</f>
        <v>0</v>
      </c>
      <c r="JZ310" s="56"/>
      <c r="KA310" s="242">
        <f t="shared" si="2084"/>
        <v>0</v>
      </c>
      <c r="KB310" s="242">
        <f t="shared" si="2085"/>
        <v>2540</v>
      </c>
      <c r="KC310" s="56"/>
      <c r="KF310" s="55">
        <f t="shared" si="2086"/>
        <v>46286</v>
      </c>
      <c r="KG310" s="56"/>
      <c r="KH310" s="242">
        <f>SUMPRODUCT(PRODUCE!$B309:$DY309,PRODUCE!$EB$39:$IY$39)</f>
        <v>0</v>
      </c>
      <c r="KI310" s="56"/>
      <c r="KJ310" s="242">
        <f t="shared" si="2087"/>
        <v>0</v>
      </c>
      <c r="KK310" s="242">
        <f t="shared" si="2088"/>
        <v>2359.5</v>
      </c>
      <c r="KL310" s="56"/>
      <c r="KO310" s="55">
        <f t="shared" si="2089"/>
        <v>46286</v>
      </c>
      <c r="KP310" s="56"/>
      <c r="KQ310" s="242">
        <f>SUMPRODUCT(PRODUCE!$B309:$DY309,PRODUCE!$EB$40:$IY$40)</f>
        <v>0</v>
      </c>
      <c r="KR310" s="56"/>
      <c r="KS310" s="242">
        <f t="shared" si="2090"/>
        <v>0</v>
      </c>
      <c r="KT310" s="242">
        <f t="shared" si="2091"/>
        <v>1890</v>
      </c>
      <c r="KU310" s="56"/>
      <c r="KW310" s="23"/>
      <c r="KX310" s="55">
        <f t="shared" si="2092"/>
        <v>46286</v>
      </c>
      <c r="KY310" s="56"/>
      <c r="KZ310" s="242">
        <f>SUMPRODUCT(PRODUCE!$B309:$DY309,PRODUCE!$EB$41:$IY$41)</f>
        <v>0</v>
      </c>
      <c r="LA310" s="56"/>
      <c r="LB310" s="242">
        <f t="shared" si="2093"/>
        <v>0</v>
      </c>
      <c r="LC310" s="242">
        <f t="shared" si="2094"/>
        <v>3690</v>
      </c>
      <c r="LD310" s="56"/>
      <c r="LG310" s="55">
        <f t="shared" si="2095"/>
        <v>46286</v>
      </c>
      <c r="LH310" s="56"/>
      <c r="LI310" s="242">
        <f>SUMPRODUCT(PRODUCE!$B309:$DY309,PRODUCE!$EB$42:$IY$42)</f>
        <v>0</v>
      </c>
      <c r="LJ310" s="56"/>
      <c r="LK310" s="242">
        <f t="shared" si="2096"/>
        <v>0</v>
      </c>
      <c r="LL310" s="242">
        <f t="shared" si="2097"/>
        <v>4000</v>
      </c>
      <c r="LM310" s="56"/>
      <c r="LP310" s="55">
        <f t="shared" si="2098"/>
        <v>46286</v>
      </c>
      <c r="LQ310" s="56"/>
      <c r="LR310" s="242">
        <f>SUMPRODUCT(PRODUCE!$B325:$DY325,PRODUCE!$EB$43:$IY$43)</f>
        <v>0</v>
      </c>
      <c r="LS310" s="56"/>
      <c r="LT310" s="242">
        <f t="shared" si="2099"/>
        <v>0</v>
      </c>
      <c r="LU310" s="242">
        <f t="shared" si="2100"/>
        <v>0</v>
      </c>
      <c r="LV310" s="56"/>
      <c r="LY310" s="55">
        <f t="shared" si="2101"/>
        <v>46286</v>
      </c>
      <c r="LZ310" s="56"/>
      <c r="MA310" s="242">
        <f>SUMPRODUCT(PRODUCE!$B309:$DY309,PRODUCE!$EB$44:$IY$44)</f>
        <v>0</v>
      </c>
      <c r="MB310" s="56"/>
      <c r="MC310" s="242">
        <f t="shared" si="2102"/>
        <v>0</v>
      </c>
      <c r="MD310" s="242">
        <f t="shared" si="2103"/>
        <v>0</v>
      </c>
      <c r="ME310" s="56"/>
      <c r="MH310" s="55">
        <f t="shared" si="2104"/>
        <v>46286</v>
      </c>
      <c r="MI310" s="56"/>
      <c r="MJ310" s="242">
        <f>SUMPRODUCT(PRODUCE!$B309:$DY309,PRODUCE!$EB$45:$IY$45)</f>
        <v>0</v>
      </c>
      <c r="MK310" s="56"/>
      <c r="ML310" s="242">
        <f t="shared" si="2105"/>
        <v>0</v>
      </c>
      <c r="MM310" s="242">
        <f t="shared" si="2106"/>
        <v>0</v>
      </c>
      <c r="MN310" s="56"/>
      <c r="MQ310" s="55">
        <f t="shared" si="2107"/>
        <v>46286</v>
      </c>
      <c r="MR310" s="56"/>
      <c r="MS310" s="242">
        <f>SUMPRODUCT(PRODUCE!$B309:$DY309,PRODUCE!$EB$46:$IY$46)</f>
        <v>0</v>
      </c>
      <c r="MT310" s="56"/>
      <c r="MU310" s="242">
        <f t="shared" si="2108"/>
        <v>0</v>
      </c>
      <c r="MV310" s="242">
        <f t="shared" si="2109"/>
        <v>1625</v>
      </c>
      <c r="MW310" s="56"/>
      <c r="MZ310" s="55">
        <f t="shared" si="2110"/>
        <v>46286</v>
      </c>
      <c r="NA310" s="56"/>
      <c r="NB310" s="242">
        <f>SUMPRODUCT(PRODUCE!$B309:$DY309,PRODUCE!$EB$47:$IY$47)</f>
        <v>0</v>
      </c>
      <c r="NC310" s="56"/>
      <c r="ND310" s="242">
        <f t="shared" si="2111"/>
        <v>0</v>
      </c>
      <c r="NE310" s="242">
        <f t="shared" si="2112"/>
        <v>0</v>
      </c>
      <c r="NF310" s="56"/>
      <c r="NI310" s="55">
        <f t="shared" si="2113"/>
        <v>46286</v>
      </c>
      <c r="NJ310" s="56"/>
      <c r="NK310" s="242">
        <f>SUMPRODUCT(PRODUCE!$B309:$DY309,PRODUCE!$EB$48:$IY$48)</f>
        <v>0</v>
      </c>
      <c r="NL310" s="56"/>
      <c r="NM310" s="242">
        <f t="shared" si="2114"/>
        <v>0</v>
      </c>
      <c r="NN310" s="242">
        <f t="shared" si="2115"/>
        <v>1127</v>
      </c>
      <c r="NO310" s="56"/>
      <c r="NR310" s="55">
        <f t="shared" si="2116"/>
        <v>46286</v>
      </c>
      <c r="NS310" s="56"/>
      <c r="NT310" s="242">
        <f>SUMPRODUCT(PRODUCE!$B309:$DY309,PRODUCE!$EB$49:$IY$49)</f>
        <v>0</v>
      </c>
      <c r="NU310" s="56"/>
      <c r="NV310" s="242">
        <f t="shared" si="2117"/>
        <v>0</v>
      </c>
      <c r="NW310" s="242">
        <f t="shared" si="2118"/>
        <v>3111.9999999999995</v>
      </c>
      <c r="NX310" s="56"/>
      <c r="OA310" s="55">
        <f t="shared" si="2119"/>
        <v>46286</v>
      </c>
      <c r="OB310" s="56"/>
      <c r="OC310" s="242">
        <f>SUMPRODUCT(PRODUCE!$B309:$DY309,PRODUCE!$EB$50:$IY$50)</f>
        <v>0</v>
      </c>
      <c r="OD310" s="56"/>
      <c r="OE310" s="242">
        <f t="shared" si="2120"/>
        <v>0</v>
      </c>
      <c r="OF310" s="242">
        <f t="shared" si="2121"/>
        <v>1680.5</v>
      </c>
      <c r="OG310" s="56"/>
      <c r="OJ310" s="55">
        <f t="shared" si="2122"/>
        <v>46286</v>
      </c>
      <c r="OK310" s="56"/>
      <c r="OL310" s="242">
        <f>SUMPRODUCT(PRODUCE!$B309:$DY309,PRODUCE!$EB$51:$IY$51)</f>
        <v>0</v>
      </c>
      <c r="OM310" s="56"/>
      <c r="ON310" s="242">
        <f t="shared" si="2123"/>
        <v>0</v>
      </c>
      <c r="OO310" s="242">
        <f t="shared" si="2124"/>
        <v>0</v>
      </c>
      <c r="OP310" s="56"/>
      <c r="OS310" s="55">
        <f t="shared" si="2125"/>
        <v>46286</v>
      </c>
      <c r="OT310" s="56"/>
      <c r="OU310" s="242">
        <f>SUMPRODUCT(PRODUCE!$B309:$DY309,PRODUCE!$EB$52:$IY$52)</f>
        <v>0</v>
      </c>
      <c r="OV310" s="56"/>
      <c r="OW310" s="242">
        <f t="shared" si="2126"/>
        <v>0</v>
      </c>
      <c r="OX310" s="242">
        <f t="shared" si="2127"/>
        <v>1482</v>
      </c>
      <c r="OY310" s="56"/>
      <c r="PB310" s="55">
        <f t="shared" si="2128"/>
        <v>46286</v>
      </c>
      <c r="PC310" s="56"/>
      <c r="PD310" s="242">
        <f>SUMPRODUCT(PRODUCE!$B309:$DY309,PRODUCE!$EB$53:$IY$53)</f>
        <v>0</v>
      </c>
      <c r="PE310" s="56"/>
      <c r="PF310" s="242">
        <f t="shared" si="2129"/>
        <v>0</v>
      </c>
      <c r="PG310" s="242">
        <f t="shared" si="2130"/>
        <v>0</v>
      </c>
      <c r="PH310" s="56"/>
      <c r="PK310" s="55">
        <f t="shared" si="2131"/>
        <v>46286</v>
      </c>
      <c r="PL310" s="56"/>
      <c r="PM310" s="242">
        <f>SUMPRODUCT(PRODUCE!$B309:$DY309,PRODUCE!$EB$54:$IY$54)</f>
        <v>0</v>
      </c>
      <c r="PN310" s="56"/>
      <c r="PO310" s="242">
        <f t="shared" si="2132"/>
        <v>0</v>
      </c>
      <c r="PP310" s="242">
        <f t="shared" si="2133"/>
        <v>100</v>
      </c>
      <c r="PQ310" s="56"/>
      <c r="PT310" s="55">
        <f t="shared" si="2134"/>
        <v>46286</v>
      </c>
      <c r="PU310" s="56"/>
      <c r="PV310" s="242">
        <f>SUMPRODUCT(PRODUCE!$B309:$DY309,PRODUCE!$EB$55:$IY$55)</f>
        <v>0</v>
      </c>
      <c r="PW310" s="56"/>
      <c r="PX310" s="242">
        <f t="shared" si="2135"/>
        <v>0</v>
      </c>
      <c r="PY310" s="242">
        <f t="shared" si="2136"/>
        <v>13.960000000000036</v>
      </c>
      <c r="PZ310" s="56"/>
      <c r="QC310" s="55">
        <f t="shared" si="2137"/>
        <v>46286</v>
      </c>
      <c r="QD310" s="56"/>
      <c r="QE310" s="242">
        <f>SUMPRODUCT(PRODUCE!$B309:$DY309,PRODUCE!$EB$56:$IY$56)</f>
        <v>0</v>
      </c>
      <c r="QF310" s="56"/>
      <c r="QG310" s="242">
        <f t="shared" si="2138"/>
        <v>0</v>
      </c>
      <c r="QH310" s="242">
        <f t="shared" si="2139"/>
        <v>548</v>
      </c>
      <c r="QI310" s="56"/>
      <c r="QL310" s="55">
        <f t="shared" si="2140"/>
        <v>46286</v>
      </c>
      <c r="QM310" s="56"/>
      <c r="QN310" s="242">
        <f>SUMPRODUCT(PRODUCE!$B309:$DY309,PRODUCE!$EB$57:$IY$57)</f>
        <v>0</v>
      </c>
      <c r="QO310" s="56"/>
      <c r="QP310" s="242">
        <f t="shared" si="2141"/>
        <v>0</v>
      </c>
      <c r="QQ310" s="242">
        <f t="shared" si="2142"/>
        <v>0</v>
      </c>
      <c r="QR310" s="56"/>
      <c r="QU310" s="55">
        <f t="shared" si="2143"/>
        <v>46286</v>
      </c>
      <c r="QV310" s="56"/>
      <c r="QW310" s="242">
        <f>SUMPRODUCT(PRODUCE!$B309:$DY309,PRODUCE!$EB$57:$IY$57)</f>
        <v>0</v>
      </c>
      <c r="QX310" s="56"/>
      <c r="QY310" s="242">
        <f t="shared" si="2144"/>
        <v>0</v>
      </c>
      <c r="QZ310" s="242">
        <f t="shared" si="2145"/>
        <v>0</v>
      </c>
      <c r="RA310" s="56"/>
      <c r="RD310" s="55">
        <f t="shared" si="2146"/>
        <v>46286</v>
      </c>
      <c r="RE310" s="56"/>
      <c r="RF310" s="242">
        <f>SUMPRODUCT(PRODUCE!$B309:$DY309,PRODUCE!$EB$58:$IY$58)</f>
        <v>0</v>
      </c>
      <c r="RG310" s="56"/>
      <c r="RH310" s="242">
        <f t="shared" si="2147"/>
        <v>0</v>
      </c>
      <c r="RI310" s="242">
        <f t="shared" si="2148"/>
        <v>147.04000000000002</v>
      </c>
      <c r="RJ310" s="56"/>
      <c r="RM310" s="55">
        <f t="shared" si="2149"/>
        <v>46286</v>
      </c>
      <c r="RN310" s="56"/>
      <c r="RO310" s="242">
        <f>SUMPRODUCT(PRODUCE!$B309:$DY309,PRODUCE!$EB$59:$IY$59)</f>
        <v>0</v>
      </c>
      <c r="RP310" s="56"/>
      <c r="RQ310" s="242">
        <f t="shared" si="2150"/>
        <v>0</v>
      </c>
      <c r="RR310" s="242">
        <f t="shared" si="2151"/>
        <v>46.8</v>
      </c>
      <c r="RS310" s="56"/>
      <c r="RV310" s="55">
        <f t="shared" si="2152"/>
        <v>46286</v>
      </c>
      <c r="RW310" s="56"/>
      <c r="RX310" s="242">
        <f>SUMPRODUCT(PRODUCE!$B309:$DY309,PRODUCE!$EB$57:$IY$57)</f>
        <v>0</v>
      </c>
      <c r="RY310" s="56"/>
      <c r="RZ310" s="242">
        <f t="shared" si="2153"/>
        <v>0</v>
      </c>
      <c r="SA310" s="242">
        <f t="shared" si="2154"/>
        <v>0</v>
      </c>
      <c r="SB310" s="56"/>
      <c r="SE310" s="55">
        <f t="shared" si="2155"/>
        <v>46286</v>
      </c>
      <c r="SF310" s="56"/>
      <c r="SG310" s="242">
        <f>SUMPRODUCT(PRODUCE!$B309:$DY309,PRODUCE!$EB$61:$IY$61)</f>
        <v>0</v>
      </c>
      <c r="SH310" s="56"/>
      <c r="SI310" s="242">
        <f t="shared" si="2156"/>
        <v>0</v>
      </c>
      <c r="SJ310" s="242">
        <f t="shared" si="2157"/>
        <v>24.200000000000003</v>
      </c>
      <c r="SK310" s="56"/>
      <c r="SN310" s="55">
        <f t="shared" si="2158"/>
        <v>46286</v>
      </c>
      <c r="SO310" s="56"/>
      <c r="SP310" s="242">
        <f>SUMPRODUCT(PRODUCE!$B309:$DY309,PRODUCE!$EB$57:$IY$57)</f>
        <v>0</v>
      </c>
      <c r="SQ310" s="56"/>
      <c r="SR310" s="242">
        <f t="shared" si="2159"/>
        <v>0</v>
      </c>
      <c r="SS310" s="242">
        <f t="shared" si="2160"/>
        <v>32</v>
      </c>
      <c r="ST310" s="56"/>
      <c r="SW310" s="55">
        <f t="shared" si="2161"/>
        <v>46286</v>
      </c>
      <c r="SX310" s="56"/>
      <c r="SY310" s="242">
        <f>SUMPRODUCT(PRODUCE!$B309:$DY309,PRODUCE!$EB$57:$IY$57)</f>
        <v>0</v>
      </c>
      <c r="SZ310" s="56"/>
      <c r="TA310" s="242">
        <f t="shared" si="2162"/>
        <v>0</v>
      </c>
      <c r="TB310" s="242">
        <f t="shared" si="2163"/>
        <v>0</v>
      </c>
      <c r="TC310" s="56"/>
      <c r="TF310" s="55">
        <f t="shared" si="2164"/>
        <v>46286</v>
      </c>
      <c r="TG310" s="56"/>
      <c r="TH310" s="242">
        <f>SUMPRODUCT(PRODUCE!$B309:$DY309,PRODUCE!$EB$57:$IY$57)</f>
        <v>0</v>
      </c>
      <c r="TI310" s="56"/>
      <c r="TJ310" s="242">
        <f t="shared" si="2165"/>
        <v>0</v>
      </c>
      <c r="TK310" s="242">
        <f t="shared" si="2166"/>
        <v>0</v>
      </c>
      <c r="TL310" s="56"/>
      <c r="TO310" s="55">
        <f t="shared" si="2167"/>
        <v>46286</v>
      </c>
      <c r="TP310" s="56"/>
      <c r="TQ310" s="242">
        <f>SUMPRODUCT(PRODUCE!$B309:$DY309,PRODUCE!$EB$57:$IY$57)</f>
        <v>0</v>
      </c>
      <c r="TR310" s="56"/>
      <c r="TS310" s="242">
        <f t="shared" si="2168"/>
        <v>0</v>
      </c>
      <c r="TT310" s="242">
        <f t="shared" si="2169"/>
        <v>0</v>
      </c>
      <c r="TU310" s="56"/>
      <c r="TX310" s="55">
        <f t="shared" si="2170"/>
        <v>46286</v>
      </c>
      <c r="TY310" s="56"/>
      <c r="TZ310" s="242">
        <f>SUMPRODUCT(PRODUCE!$B309:$DY309,PRODUCE!$EB$57:$IY$57)</f>
        <v>0</v>
      </c>
      <c r="UA310" s="56"/>
      <c r="UB310" s="242">
        <f t="shared" si="2171"/>
        <v>0</v>
      </c>
      <c r="UC310" s="242">
        <f t="shared" si="2172"/>
        <v>46.799999999999983</v>
      </c>
      <c r="UD310" s="56"/>
      <c r="UG310" s="55">
        <f t="shared" si="2173"/>
        <v>46286</v>
      </c>
      <c r="UH310" s="56"/>
      <c r="UI310" s="242">
        <f>SUMPRODUCT(PRODUCE!$B309:$DY309,PRODUCE!$EB$57:$IY$57)</f>
        <v>0</v>
      </c>
      <c r="UJ310" s="56"/>
      <c r="UK310" s="242">
        <f t="shared" si="2174"/>
        <v>0</v>
      </c>
      <c r="UL310" s="242">
        <f t="shared" si="2175"/>
        <v>204</v>
      </c>
      <c r="UM310" s="56"/>
      <c r="UP310" s="55">
        <f t="shared" si="2176"/>
        <v>46286</v>
      </c>
      <c r="UQ310" s="56"/>
      <c r="UR310" s="242">
        <f>SUMPRODUCT(PRODUCE!$B309:$DY309,PRODUCE!$EB$57:$IY$57)</f>
        <v>0</v>
      </c>
      <c r="US310" s="56"/>
      <c r="UT310" s="242">
        <f t="shared" si="2177"/>
        <v>0</v>
      </c>
      <c r="UU310" s="242">
        <f t="shared" si="2178"/>
        <v>202.5</v>
      </c>
      <c r="UV310" s="56"/>
      <c r="UY310" s="55">
        <f t="shared" si="2179"/>
        <v>46286</v>
      </c>
      <c r="UZ310" s="56"/>
      <c r="VA310" s="242">
        <f>SUMPRODUCT(PRODUCE!$B309:$DY309,PRODUCE!$EB$57:$IY$57)</f>
        <v>0</v>
      </c>
      <c r="VB310" s="56"/>
      <c r="VC310" s="242">
        <f t="shared" si="2180"/>
        <v>0</v>
      </c>
      <c r="VD310" s="242">
        <f t="shared" si="2181"/>
        <v>41.600000000000023</v>
      </c>
      <c r="VE310" s="56"/>
      <c r="VH310" s="55">
        <f t="shared" si="2182"/>
        <v>46286</v>
      </c>
      <c r="VI310" s="56"/>
      <c r="VJ310" s="242">
        <f>SUMPRODUCT(PRODUCE!$B309:$DY309,PRODUCE!$EB$57:$IY$57)</f>
        <v>0</v>
      </c>
      <c r="VK310" s="56"/>
      <c r="VL310" s="242">
        <f t="shared" si="2183"/>
        <v>0</v>
      </c>
      <c r="VM310" s="242">
        <f t="shared" si="2184"/>
        <v>210</v>
      </c>
      <c r="VN310" s="56"/>
      <c r="VQ310" s="55">
        <f t="shared" si="2185"/>
        <v>46286</v>
      </c>
      <c r="VR310" s="56"/>
      <c r="VS310" s="242">
        <f>SUMPRODUCT(PRODUCE!$B309:$DY309,PRODUCE!$EB$57:$IY$57)</f>
        <v>0</v>
      </c>
      <c r="VT310" s="56"/>
      <c r="VU310" s="242">
        <f t="shared" si="2186"/>
        <v>0</v>
      </c>
      <c r="VV310" s="242">
        <f t="shared" si="2187"/>
        <v>0</v>
      </c>
      <c r="VW310" s="56"/>
      <c r="VZ310" s="55">
        <f t="shared" si="2188"/>
        <v>46286</v>
      </c>
      <c r="WA310" s="56"/>
      <c r="WB310" s="242">
        <f>SUMPRODUCT(PRODUCE!$B309:$DY309,PRODUCE!$EB$57:$IY$57)</f>
        <v>0</v>
      </c>
      <c r="WC310" s="56"/>
      <c r="WD310" s="242">
        <f t="shared" si="2189"/>
        <v>0</v>
      </c>
      <c r="WE310" s="242">
        <f t="shared" si="2190"/>
        <v>0</v>
      </c>
      <c r="WF310" s="56"/>
      <c r="WI310" s="55">
        <f t="shared" si="2191"/>
        <v>46286</v>
      </c>
      <c r="WJ310" s="56"/>
      <c r="WK310" s="242">
        <f>SUMPRODUCT(PRODUCE!$B309:$DY309,PRODUCE!$EB$57:$IY$57)</f>
        <v>0</v>
      </c>
      <c r="WL310" s="56"/>
      <c r="WM310" s="242">
        <f t="shared" si="2192"/>
        <v>0</v>
      </c>
      <c r="WN310" s="242">
        <f t="shared" si="2193"/>
        <v>1057</v>
      </c>
      <c r="WO310" s="56"/>
      <c r="WR310" s="55">
        <f t="shared" si="2194"/>
        <v>46286</v>
      </c>
      <c r="WS310" s="56"/>
      <c r="WT310" s="242">
        <f>SUMPRODUCT(PRODUCE!$B309:$DY309,PRODUCE!$EB$57:$IY$57)</f>
        <v>0</v>
      </c>
      <c r="WU310" s="56"/>
      <c r="WV310" s="242">
        <f t="shared" si="2195"/>
        <v>0</v>
      </c>
      <c r="WW310" s="242">
        <f t="shared" si="2196"/>
        <v>0</v>
      </c>
      <c r="WX310" s="56"/>
      <c r="XA310" s="55">
        <f t="shared" si="2197"/>
        <v>46286</v>
      </c>
      <c r="XB310" s="56"/>
      <c r="XC310" s="242">
        <f>SUMPRODUCT(PRODUCE!$B309:$DY309,PRODUCE!$EB$57:$IY$57)</f>
        <v>0</v>
      </c>
      <c r="XD310" s="56"/>
      <c r="XE310" s="242">
        <f t="shared" si="2198"/>
        <v>0</v>
      </c>
      <c r="XF310" s="242">
        <f t="shared" si="2199"/>
        <v>7507</v>
      </c>
      <c r="XG310" s="56"/>
      <c r="XJ310" s="55">
        <f t="shared" si="2200"/>
        <v>46286</v>
      </c>
      <c r="XK310" s="56"/>
      <c r="XL310" s="242">
        <f>SUMPRODUCT(PRODUCE!$B309:$DY309,PRODUCE!$EB$57:$IY$57)</f>
        <v>0</v>
      </c>
      <c r="XM310" s="56"/>
      <c r="XN310" s="242">
        <f t="shared" si="2201"/>
        <v>0</v>
      </c>
      <c r="XO310" s="242">
        <f t="shared" si="2202"/>
        <v>4252</v>
      </c>
      <c r="XP310" s="56"/>
      <c r="XS310" s="55">
        <f t="shared" si="2203"/>
        <v>46286</v>
      </c>
      <c r="XT310" s="56"/>
      <c r="XU310" s="242">
        <f>SUMPRODUCT(PRODUCE!$B309:$DY309,PRODUCE!$EB$57:$IY$57)</f>
        <v>0</v>
      </c>
      <c r="XV310" s="56"/>
      <c r="XW310" s="242">
        <f t="shared" si="2204"/>
        <v>0</v>
      </c>
      <c r="XX310" s="242">
        <f t="shared" si="2205"/>
        <v>2179</v>
      </c>
      <c r="XY310" s="56"/>
      <c r="YB310" s="55">
        <f t="shared" si="2206"/>
        <v>46286</v>
      </c>
      <c r="YC310" s="56"/>
      <c r="YD310" s="242">
        <f>SUMPRODUCT(PRODUCE!$B309:$DY309,PRODUCE!$EB$57:$IY$57)</f>
        <v>0</v>
      </c>
      <c r="YE310" s="56"/>
      <c r="YF310" s="242">
        <f t="shared" si="2207"/>
        <v>0</v>
      </c>
      <c r="YG310" s="242">
        <f t="shared" si="2208"/>
        <v>4019</v>
      </c>
      <c r="YH310" s="56"/>
      <c r="YK310" s="55">
        <f t="shared" si="2209"/>
        <v>46286</v>
      </c>
      <c r="YL310" s="56"/>
      <c r="YM310" s="242">
        <f>SUMPRODUCT(PRODUCE!$B309:$DY309,PRODUCE!$EB$57:$IY$57)</f>
        <v>0</v>
      </c>
      <c r="YN310" s="56"/>
      <c r="YO310" s="242">
        <f t="shared" si="2210"/>
        <v>0</v>
      </c>
      <c r="YP310" s="242">
        <f t="shared" si="2211"/>
        <v>-218</v>
      </c>
      <c r="YQ310" s="56"/>
      <c r="YT310" s="55">
        <f t="shared" si="2212"/>
        <v>46286</v>
      </c>
      <c r="YU310" s="56"/>
      <c r="YV310" s="242">
        <f>SUMPRODUCT(PRODUCE!$B309:$DY309,PRODUCE!$EB$57:$IY$57)</f>
        <v>0</v>
      </c>
      <c r="YW310" s="56"/>
      <c r="YX310" s="242">
        <f t="shared" si="2213"/>
        <v>0</v>
      </c>
      <c r="YY310" s="242">
        <f t="shared" si="2214"/>
        <v>0</v>
      </c>
      <c r="YZ310" s="56"/>
      <c r="ZC310" s="55">
        <f t="shared" si="2215"/>
        <v>46286</v>
      </c>
      <c r="ZD310" s="56"/>
      <c r="ZE310" s="242">
        <f>SUMPRODUCT(PRODUCE!$B309:$DY309,PRODUCE!$EB$57:$IY$57)</f>
        <v>0</v>
      </c>
      <c r="ZF310" s="56"/>
      <c r="ZG310" s="242">
        <f t="shared" si="2216"/>
        <v>0</v>
      </c>
      <c r="ZH310" s="242">
        <f t="shared" si="2217"/>
        <v>0</v>
      </c>
      <c r="ZI310" s="56"/>
      <c r="ZL310" s="55">
        <f t="shared" si="2218"/>
        <v>46286</v>
      </c>
      <c r="ZM310" s="56"/>
      <c r="ZN310" s="242">
        <f>SUMPRODUCT(PRODUCE!$B309:$DY309,PRODUCE!$EB$57:$IY$57)</f>
        <v>0</v>
      </c>
      <c r="ZO310" s="56"/>
      <c r="ZP310" s="242">
        <f t="shared" si="2219"/>
        <v>0</v>
      </c>
      <c r="ZQ310" s="242">
        <f t="shared" si="2220"/>
        <v>0</v>
      </c>
      <c r="ZR310" s="56"/>
      <c r="ZU310" s="55">
        <f t="shared" si="2221"/>
        <v>46286</v>
      </c>
      <c r="ZV310" s="56"/>
      <c r="ZW310" s="242">
        <f>SUMPRODUCT(PRODUCE!$B309:$DY309,PRODUCE!$EB$57:$IY$57)</f>
        <v>0</v>
      </c>
      <c r="ZX310" s="56"/>
      <c r="ZY310" s="242">
        <f t="shared" si="2222"/>
        <v>0</v>
      </c>
      <c r="ZZ310" s="242">
        <f t="shared" si="2223"/>
        <v>0</v>
      </c>
      <c r="AAA310" s="56"/>
      <c r="AAD310" s="55">
        <f t="shared" si="2224"/>
        <v>46286</v>
      </c>
      <c r="AAE310" s="56"/>
      <c r="AAF310" s="242">
        <f>SUMPRODUCT(PRODUCE!$B309:$DY309,PRODUCE!$EB$57:$IY$57)</f>
        <v>0</v>
      </c>
      <c r="AAG310" s="56"/>
      <c r="AAH310" s="242">
        <f t="shared" si="2225"/>
        <v>0</v>
      </c>
      <c r="AAI310" s="242">
        <f t="shared" si="2226"/>
        <v>0</v>
      </c>
      <c r="AAJ310" s="56"/>
      <c r="AAM310" s="55">
        <f t="shared" si="2227"/>
        <v>46286</v>
      </c>
      <c r="AAN310" s="56"/>
      <c r="AAO310" s="242">
        <f>SUMPRODUCT(PRODUCE!$B309:$DY309,PRODUCE!$EB$57:$IY$57)</f>
        <v>0</v>
      </c>
      <c r="AAP310" s="56"/>
      <c r="AAQ310" s="242">
        <f t="shared" si="2228"/>
        <v>0</v>
      </c>
      <c r="AAR310" s="242">
        <f t="shared" si="2229"/>
        <v>0</v>
      </c>
      <c r="AAS310" s="56"/>
      <c r="AAV310" s="55">
        <f t="shared" si="2230"/>
        <v>46286</v>
      </c>
      <c r="AAW310" s="56"/>
      <c r="AAX310" s="242">
        <f>SUMPRODUCT(PRODUCE!$B309:$DY309,PRODUCE!$EB$57:$IY$57)</f>
        <v>0</v>
      </c>
      <c r="AAY310" s="56"/>
      <c r="AAZ310" s="242">
        <f t="shared" si="2231"/>
        <v>0</v>
      </c>
      <c r="ABA310" s="242">
        <f t="shared" si="2232"/>
        <v>0</v>
      </c>
      <c r="ABB310" s="56"/>
      <c r="ABE310" s="55">
        <f t="shared" si="2233"/>
        <v>46286</v>
      </c>
      <c r="ABF310" s="56"/>
      <c r="ABG310" s="242">
        <f>SUMPRODUCT(PRODUCE!$B309:$DY309,PRODUCE!$EB$57:$IY$57)</f>
        <v>0</v>
      </c>
      <c r="ABH310" s="56"/>
      <c r="ABI310" s="242">
        <f t="shared" si="2234"/>
        <v>0</v>
      </c>
      <c r="ABJ310" s="242">
        <f t="shared" si="2235"/>
        <v>0</v>
      </c>
      <c r="ABK310" s="56"/>
    </row>
    <row r="311" spans="2:739" s="54" customFormat="1" ht="15" customHeight="1" outlineLevel="1">
      <c r="B311" s="478"/>
      <c r="C311" s="55">
        <v>46287</v>
      </c>
      <c r="D311" s="56"/>
      <c r="E311" s="57">
        <f>SUMPRODUCT(PRODUCE!$B310:$DY310,PRODUCE!$EB$7:$IY$7)</f>
        <v>0</v>
      </c>
      <c r="F311" s="56"/>
      <c r="G311" s="57">
        <f t="shared" si="1992"/>
        <v>0</v>
      </c>
      <c r="H311" s="57">
        <f t="shared" si="1993"/>
        <v>236936.6</v>
      </c>
      <c r="I311" s="289"/>
      <c r="L311" s="55">
        <f t="shared" si="1994"/>
        <v>46287</v>
      </c>
      <c r="M311" s="56"/>
      <c r="N311" s="59">
        <f>SUMPRODUCT(PRODUCE!$B310:$DY310,PRODUCE!$EB$8:$IY$8)</f>
        <v>0</v>
      </c>
      <c r="O311" s="56"/>
      <c r="P311" s="59">
        <f t="shared" si="1995"/>
        <v>0</v>
      </c>
      <c r="Q311" s="59">
        <f t="shared" si="1996"/>
        <v>53017.600000000071</v>
      </c>
      <c r="R311" s="56"/>
      <c r="U311" s="55">
        <f t="shared" si="1997"/>
        <v>46287</v>
      </c>
      <c r="V311" s="56"/>
      <c r="W311" s="60">
        <f>SUMPRODUCT(PRODUCE!$B310:$DY310,PRODUCE!$EB$9:$IY$9)</f>
        <v>0</v>
      </c>
      <c r="X311" s="56"/>
      <c r="Y311" s="60">
        <f t="shared" si="1998"/>
        <v>0</v>
      </c>
      <c r="Z311" s="60">
        <f t="shared" si="1999"/>
        <v>42674.199999999968</v>
      </c>
      <c r="AA311" s="56"/>
      <c r="AD311" s="55">
        <f t="shared" si="2000"/>
        <v>46287</v>
      </c>
      <c r="AE311" s="56"/>
      <c r="AF311" s="61">
        <f>SUMPRODUCT(PRODUCE!$B310:$DY310,PRODUCE!$EB$10:$IY$10)</f>
        <v>0</v>
      </c>
      <c r="AG311" s="56"/>
      <c r="AH311" s="61">
        <f t="shared" si="2001"/>
        <v>0</v>
      </c>
      <c r="AI311" s="61">
        <f t="shared" si="2002"/>
        <v>4522.2000000000189</v>
      </c>
      <c r="AJ311" s="56"/>
      <c r="AM311" s="55">
        <f t="shared" si="2003"/>
        <v>46287</v>
      </c>
      <c r="AN311" s="422"/>
      <c r="AO311" s="444">
        <f>SUMPRODUCT(PRODUCE!$B310:$DY310,PRODUCE!$EB$11:$IY$11)</f>
        <v>0</v>
      </c>
      <c r="AP311" s="422"/>
      <c r="AQ311" s="444">
        <f t="shared" si="2004"/>
        <v>0</v>
      </c>
      <c r="AR311" s="444">
        <f t="shared" si="2005"/>
        <v>0</v>
      </c>
      <c r="AS311" s="56"/>
      <c r="AV311" s="55">
        <f t="shared" si="2006"/>
        <v>46287</v>
      </c>
      <c r="AW311" s="56"/>
      <c r="AX311" s="62">
        <f>SUMPRODUCT(PRODUCE!$B310:$DY310,PRODUCE!$EB$12:$IY$12)</f>
        <v>0</v>
      </c>
      <c r="AY311" s="56"/>
      <c r="AZ311" s="62">
        <f t="shared" si="2007"/>
        <v>0</v>
      </c>
      <c r="BA311" s="62">
        <f t="shared" si="2008"/>
        <v>124.99999999999523</v>
      </c>
      <c r="BB311" s="56"/>
      <c r="BE311" s="55">
        <f t="shared" si="2009"/>
        <v>46287</v>
      </c>
      <c r="BF311" s="56"/>
      <c r="BG311" s="63">
        <f>SUMPRODUCT(PRODUCE!$B310:$DY310,PRODUCE!$EB$13:$IY$13)</f>
        <v>0</v>
      </c>
      <c r="BH311" s="56"/>
      <c r="BI311" s="63">
        <f t="shared" si="2010"/>
        <v>0</v>
      </c>
      <c r="BJ311" s="63">
        <f t="shared" si="2011"/>
        <v>26151.899999999998</v>
      </c>
      <c r="BK311" s="56"/>
      <c r="BN311" s="55">
        <f t="shared" si="2012"/>
        <v>46287</v>
      </c>
      <c r="BO311" s="56"/>
      <c r="BP311" s="64">
        <f>SUMPRODUCT(PRODUCE!$B310:$DY310,PRODUCE!$EB$14:$IY$14)</f>
        <v>0</v>
      </c>
      <c r="BQ311" s="56"/>
      <c r="BR311" s="64">
        <f t="shared" si="2013"/>
        <v>0</v>
      </c>
      <c r="BS311" s="64">
        <f t="shared" si="2014"/>
        <v>0</v>
      </c>
      <c r="BT311" s="56"/>
      <c r="BW311" s="55">
        <f t="shared" si="2015"/>
        <v>46287</v>
      </c>
      <c r="BX311" s="56"/>
      <c r="BY311" s="65">
        <f>SUMPRODUCT(PRODUCE!$B310:$DY310,PRODUCE!$EB$15:$IY$15)</f>
        <v>0</v>
      </c>
      <c r="BZ311" s="56"/>
      <c r="CA311" s="65">
        <f t="shared" si="2016"/>
        <v>0</v>
      </c>
      <c r="CB311" s="65">
        <f t="shared" si="2017"/>
        <v>2097.3399999999992</v>
      </c>
      <c r="CC311" s="56"/>
      <c r="CF311" s="55">
        <f t="shared" si="2018"/>
        <v>46287</v>
      </c>
      <c r="CG311" s="56"/>
      <c r="CH311" s="66">
        <f>SUMPRODUCT(PRODUCE!$B310:$DY310,PRODUCE!$EB$16:$IY$16)</f>
        <v>0</v>
      </c>
      <c r="CI311" s="56"/>
      <c r="CJ311" s="66">
        <f t="shared" si="2019"/>
        <v>0</v>
      </c>
      <c r="CK311" s="66">
        <f t="shared" si="2020"/>
        <v>-10277.079999999998</v>
      </c>
      <c r="CL311" s="56"/>
      <c r="CO311" s="55">
        <f t="shared" si="2021"/>
        <v>46287</v>
      </c>
      <c r="CP311" s="422"/>
      <c r="CQ311" s="470">
        <f>SUMPRODUCT(PRODUCE!$B310:$DY310,PRODUCE!$EB$17:$IY$17)</f>
        <v>0</v>
      </c>
      <c r="CR311" s="422"/>
      <c r="CS311" s="470">
        <f t="shared" si="2022"/>
        <v>0</v>
      </c>
      <c r="CT311" s="470">
        <f t="shared" si="2023"/>
        <v>0</v>
      </c>
      <c r="CU311" s="56"/>
      <c r="CX311" s="55">
        <f t="shared" si="2024"/>
        <v>46287</v>
      </c>
      <c r="CY311" s="56"/>
      <c r="CZ311" s="133">
        <f>SUMPRODUCT(PRODUCE!$B310:$DY310,PRODUCE!$EB$18:$IY$18)</f>
        <v>0</v>
      </c>
      <c r="DA311" s="56"/>
      <c r="DB311" s="133">
        <f t="shared" si="2025"/>
        <v>0</v>
      </c>
      <c r="DC311" s="133">
        <f t="shared" si="2026"/>
        <v>27438.200000000012</v>
      </c>
      <c r="DD311" s="56"/>
      <c r="DG311" s="55">
        <f t="shared" si="2027"/>
        <v>46287</v>
      </c>
      <c r="DH311" s="56"/>
      <c r="DI311" s="147">
        <f>SUMPRODUCT(PRODUCE!$B310:$DY310,PRODUCE!$EB$19:$IY$19)</f>
        <v>0</v>
      </c>
      <c r="DJ311" s="56"/>
      <c r="DK311" s="147">
        <f t="shared" si="2028"/>
        <v>0</v>
      </c>
      <c r="DL311" s="147">
        <f t="shared" si="2029"/>
        <v>18782.299999999981</v>
      </c>
      <c r="DM311" s="56"/>
      <c r="DP311" s="55">
        <f t="shared" si="2030"/>
        <v>46287</v>
      </c>
      <c r="DQ311" s="56"/>
      <c r="DR311" s="57">
        <f>SUMPRODUCT(PRODUCE!$B310:$DY310,PRODUCE!$EB$20:$IY$20)</f>
        <v>0</v>
      </c>
      <c r="DS311" s="56"/>
      <c r="DT311" s="57">
        <f t="shared" si="2031"/>
        <v>0</v>
      </c>
      <c r="DU311" s="57">
        <f t="shared" si="2032"/>
        <v>5800</v>
      </c>
      <c r="DV311" s="56"/>
      <c r="DY311" s="55">
        <f t="shared" si="2033"/>
        <v>46287</v>
      </c>
      <c r="DZ311" s="56"/>
      <c r="EA311" s="157">
        <f>SUMPRODUCT(PRODUCE!$B310:$DY310,PRODUCE!$EB$21:$IY$21)</f>
        <v>0</v>
      </c>
      <c r="EB311" s="56"/>
      <c r="EC311" s="157">
        <f t="shared" si="2034"/>
        <v>0</v>
      </c>
      <c r="ED311" s="157">
        <f t="shared" si="2035"/>
        <v>0</v>
      </c>
      <c r="EE311" s="56"/>
      <c r="EH311" s="55">
        <f t="shared" si="2036"/>
        <v>46287</v>
      </c>
      <c r="EI311" s="56"/>
      <c r="EJ311" s="162">
        <f>SUMPRODUCT(PRODUCE!$B310:$DY310,PRODUCE!$EB$22:$IY$22)</f>
        <v>0</v>
      </c>
      <c r="EK311" s="56"/>
      <c r="EL311" s="162">
        <f t="shared" si="2037"/>
        <v>0</v>
      </c>
      <c r="EM311" s="162">
        <f t="shared" si="2038"/>
        <v>0</v>
      </c>
      <c r="EN311" s="56"/>
      <c r="EQ311" s="55">
        <f t="shared" si="2039"/>
        <v>46287</v>
      </c>
      <c r="ER311" s="56"/>
      <c r="ES311" s="135">
        <f>SUMPRODUCT(PRODUCE!$B310:$DY310,PRODUCE!$EB$23:$IY$23)</f>
        <v>0</v>
      </c>
      <c r="ET311" s="56"/>
      <c r="EU311" s="135">
        <f t="shared" si="2040"/>
        <v>0</v>
      </c>
      <c r="EV311" s="135">
        <f t="shared" si="2041"/>
        <v>0</v>
      </c>
      <c r="EW311" s="56"/>
      <c r="EZ311" s="55">
        <f t="shared" si="2042"/>
        <v>46287</v>
      </c>
      <c r="FA311" s="56"/>
      <c r="FB311" s="175">
        <f>SUMPRODUCT(PRODUCE!$B310:$DY310,PRODUCE!$EB$24:$IY$24)</f>
        <v>0</v>
      </c>
      <c r="FC311" s="56"/>
      <c r="FD311" s="175">
        <f t="shared" si="2043"/>
        <v>0</v>
      </c>
      <c r="FE311" s="175">
        <f t="shared" si="2044"/>
        <v>0</v>
      </c>
      <c r="FF311" s="56"/>
      <c r="FI311" s="55">
        <f t="shared" si="2045"/>
        <v>46287</v>
      </c>
      <c r="FJ311" s="56"/>
      <c r="FK311" s="183">
        <f>SUMPRODUCT(PRODUCE!$B310:$DY310,PRODUCE!$EB$25:$IY$25)</f>
        <v>0</v>
      </c>
      <c r="FL311" s="56"/>
      <c r="FM311" s="183">
        <f t="shared" si="2046"/>
        <v>0</v>
      </c>
      <c r="FN311" s="183">
        <f t="shared" si="2047"/>
        <v>0</v>
      </c>
      <c r="FO311" s="56"/>
      <c r="FR311" s="55">
        <f t="shared" si="2048"/>
        <v>46287</v>
      </c>
      <c r="FS311" s="56"/>
      <c r="FT311" s="186">
        <f>SUMPRODUCT(PRODUCE!$B310:$DY310,PRODUCE!$EB$26:$IY$26)</f>
        <v>0</v>
      </c>
      <c r="FU311" s="56"/>
      <c r="FV311" s="186">
        <f t="shared" si="2049"/>
        <v>0</v>
      </c>
      <c r="FW311" s="186">
        <f t="shared" si="2050"/>
        <v>2020</v>
      </c>
      <c r="FX311" s="56"/>
      <c r="GA311" s="55">
        <f t="shared" si="2051"/>
        <v>46287</v>
      </c>
      <c r="GB311" s="56"/>
      <c r="GC311" s="137">
        <f>SUMPRODUCT(PRODUCE!$B310:$DY310,PRODUCE!$EB$27:$IY$27)</f>
        <v>0</v>
      </c>
      <c r="GD311" s="56"/>
      <c r="GE311" s="137">
        <f t="shared" si="2052"/>
        <v>0</v>
      </c>
      <c r="GF311" s="137">
        <f t="shared" si="2053"/>
        <v>960</v>
      </c>
      <c r="GG311" s="56"/>
      <c r="GI311" s="23"/>
      <c r="GJ311" s="55">
        <f t="shared" si="2054"/>
        <v>46287</v>
      </c>
      <c r="GK311" s="56"/>
      <c r="GL311" s="199">
        <f>SUMPRODUCT(PRODUCE!$B310:$DY310,PRODUCE!$EB$28:$IY$28)</f>
        <v>0</v>
      </c>
      <c r="GM311" s="56"/>
      <c r="GN311" s="199">
        <f t="shared" si="2055"/>
        <v>0</v>
      </c>
      <c r="GO311" s="199">
        <f t="shared" si="2056"/>
        <v>1760</v>
      </c>
      <c r="GP311" s="56"/>
      <c r="GS311" s="55">
        <f t="shared" si="2057"/>
        <v>46287</v>
      </c>
      <c r="GT311" s="56"/>
      <c r="GU311" s="195">
        <f>SUMPRODUCT(PRODUCE!$B310:$DY310,PRODUCE!$EB$29:$IY$29)</f>
        <v>0</v>
      </c>
      <c r="GV311" s="56"/>
      <c r="GW311" s="195">
        <f t="shared" si="2058"/>
        <v>0</v>
      </c>
      <c r="GX311" s="195">
        <f t="shared" si="2059"/>
        <v>400</v>
      </c>
      <c r="GY311" s="56"/>
      <c r="HB311" s="55">
        <f t="shared" si="2060"/>
        <v>46287</v>
      </c>
      <c r="HC311" s="56"/>
      <c r="HD311" s="191">
        <f>SUMPRODUCT(PRODUCE!$B310:$DY310,PRODUCE!$EB$30:$IY$30)</f>
        <v>0</v>
      </c>
      <c r="HE311" s="56"/>
      <c r="HF311" s="191">
        <f t="shared" si="2061"/>
        <v>0</v>
      </c>
      <c r="HG311" s="191">
        <f t="shared" si="2062"/>
        <v>3600</v>
      </c>
      <c r="HH311" s="56"/>
      <c r="HK311" s="55">
        <f t="shared" si="2063"/>
        <v>46287</v>
      </c>
      <c r="HL311" s="56"/>
      <c r="HM311" s="63">
        <f>SUMPRODUCT(PRODUCE!$B310:$DY310,PRODUCE!$EB$31:$IY$31)</f>
        <v>0</v>
      </c>
      <c r="HN311" s="56"/>
      <c r="HO311" s="63">
        <f t="shared" si="2064"/>
        <v>0</v>
      </c>
      <c r="HP311" s="63">
        <f t="shared" si="2065"/>
        <v>0</v>
      </c>
      <c r="HQ311" s="56"/>
      <c r="HU311" s="55">
        <f t="shared" si="2066"/>
        <v>46287</v>
      </c>
      <c r="HV311" s="56"/>
      <c r="HW311" s="242">
        <f>SUMPRODUCT(PRODUCE!$B310:$DY310,PRODUCE!$EB$32:$IY$32)</f>
        <v>0</v>
      </c>
      <c r="HX311" s="56"/>
      <c r="HY311" s="242">
        <f t="shared" si="2236"/>
        <v>0</v>
      </c>
      <c r="HZ311" s="242">
        <f t="shared" si="2067"/>
        <v>6120</v>
      </c>
      <c r="IA311" s="56"/>
      <c r="ID311" s="55">
        <f t="shared" si="2068"/>
        <v>46287</v>
      </c>
      <c r="IE311" s="56"/>
      <c r="IF311" s="242">
        <f>SUMPRODUCT(PRODUCE!$B310:$DY310,PRODUCE!$EB$33:$IY$33)</f>
        <v>0</v>
      </c>
      <c r="IG311" s="56"/>
      <c r="IH311" s="242">
        <f t="shared" si="2069"/>
        <v>0</v>
      </c>
      <c r="II311" s="242">
        <f t="shared" si="2070"/>
        <v>0</v>
      </c>
      <c r="IJ311" s="56"/>
      <c r="IM311" s="55">
        <f t="shared" si="2071"/>
        <v>46287</v>
      </c>
      <c r="IN311" s="56"/>
      <c r="IO311" s="242">
        <f>SUMPRODUCT(PRODUCE!$B310:$DY310,PRODUCE!$EB$34:$IY$34)</f>
        <v>0</v>
      </c>
      <c r="IP311" s="56"/>
      <c r="IQ311" s="242">
        <f t="shared" si="2072"/>
        <v>0</v>
      </c>
      <c r="IR311" s="242">
        <f t="shared" si="2073"/>
        <v>0</v>
      </c>
      <c r="IS311" s="56"/>
      <c r="IV311" s="55">
        <f t="shared" si="2074"/>
        <v>46287</v>
      </c>
      <c r="IW311" s="56"/>
      <c r="IX311" s="242">
        <f>SUMPRODUCT(PRODUCE!$B310:$DY310,PRODUCE!$EB$35:$IY$35)</f>
        <v>0</v>
      </c>
      <c r="IY311" s="56"/>
      <c r="IZ311" s="242">
        <f t="shared" si="2075"/>
        <v>0</v>
      </c>
      <c r="JA311" s="242">
        <f t="shared" si="2076"/>
        <v>2820</v>
      </c>
      <c r="JB311" s="56"/>
      <c r="JE311" s="55">
        <f t="shared" si="2077"/>
        <v>46287</v>
      </c>
      <c r="JF311" s="56"/>
      <c r="JG311" s="242">
        <f>SUMPRODUCT(PRODUCE!$B310:$DY310,PRODUCE!$EB$36:$IY$36)</f>
        <v>0</v>
      </c>
      <c r="JH311" s="56"/>
      <c r="JI311" s="242">
        <f t="shared" si="2078"/>
        <v>0</v>
      </c>
      <c r="JJ311" s="242">
        <f t="shared" si="2079"/>
        <v>0</v>
      </c>
      <c r="JK311" s="56"/>
      <c r="JN311" s="55">
        <f t="shared" si="2080"/>
        <v>46287</v>
      </c>
      <c r="JO311" s="56"/>
      <c r="JP311" s="242">
        <f>SUMPRODUCT(PRODUCE!$B310:$DY310,PRODUCE!$EB$37:$IY$37)</f>
        <v>0</v>
      </c>
      <c r="JQ311" s="56"/>
      <c r="JR311" s="242">
        <f t="shared" si="2081"/>
        <v>0</v>
      </c>
      <c r="JS311" s="242">
        <f t="shared" si="2082"/>
        <v>0</v>
      </c>
      <c r="JT311" s="56"/>
      <c r="JW311" s="55">
        <f t="shared" si="2083"/>
        <v>46287</v>
      </c>
      <c r="JX311" s="56"/>
      <c r="JY311" s="242">
        <f>SUMPRODUCT(PRODUCE!$B310:$DY310,PRODUCE!$EB$38:$IY$38)</f>
        <v>0</v>
      </c>
      <c r="JZ311" s="56"/>
      <c r="KA311" s="242">
        <f t="shared" si="2084"/>
        <v>0</v>
      </c>
      <c r="KB311" s="242">
        <f t="shared" si="2085"/>
        <v>2540</v>
      </c>
      <c r="KC311" s="56"/>
      <c r="KF311" s="55">
        <f t="shared" si="2086"/>
        <v>46287</v>
      </c>
      <c r="KG311" s="56"/>
      <c r="KH311" s="242">
        <f>SUMPRODUCT(PRODUCE!$B310:$DY310,PRODUCE!$EB$39:$IY$39)</f>
        <v>0</v>
      </c>
      <c r="KI311" s="56"/>
      <c r="KJ311" s="242">
        <f t="shared" si="2087"/>
        <v>0</v>
      </c>
      <c r="KK311" s="242">
        <f t="shared" si="2088"/>
        <v>2359.5</v>
      </c>
      <c r="KL311" s="56"/>
      <c r="KO311" s="55">
        <f t="shared" si="2089"/>
        <v>46287</v>
      </c>
      <c r="KP311" s="56"/>
      <c r="KQ311" s="242">
        <f>SUMPRODUCT(PRODUCE!$B310:$DY310,PRODUCE!$EB$40:$IY$40)</f>
        <v>0</v>
      </c>
      <c r="KR311" s="56"/>
      <c r="KS311" s="242">
        <f t="shared" si="2090"/>
        <v>0</v>
      </c>
      <c r="KT311" s="242">
        <f t="shared" si="2091"/>
        <v>1890</v>
      </c>
      <c r="KU311" s="56"/>
      <c r="KW311" s="23"/>
      <c r="KX311" s="55">
        <f t="shared" si="2092"/>
        <v>46287</v>
      </c>
      <c r="KY311" s="56"/>
      <c r="KZ311" s="242">
        <f>SUMPRODUCT(PRODUCE!$B310:$DY310,PRODUCE!$EB$41:$IY$41)</f>
        <v>0</v>
      </c>
      <c r="LA311" s="56"/>
      <c r="LB311" s="242">
        <f t="shared" si="2093"/>
        <v>0</v>
      </c>
      <c r="LC311" s="242">
        <f t="shared" si="2094"/>
        <v>3690</v>
      </c>
      <c r="LD311" s="56"/>
      <c r="LG311" s="55">
        <f t="shared" si="2095"/>
        <v>46287</v>
      </c>
      <c r="LH311" s="56"/>
      <c r="LI311" s="242">
        <f>SUMPRODUCT(PRODUCE!$B310:$DY310,PRODUCE!$EB$42:$IY$42)</f>
        <v>0</v>
      </c>
      <c r="LJ311" s="56"/>
      <c r="LK311" s="242">
        <f t="shared" si="2096"/>
        <v>0</v>
      </c>
      <c r="LL311" s="242">
        <f t="shared" si="2097"/>
        <v>4000</v>
      </c>
      <c r="LM311" s="56"/>
      <c r="LP311" s="55">
        <f t="shared" si="2098"/>
        <v>46287</v>
      </c>
      <c r="LQ311" s="56"/>
      <c r="LR311" s="242">
        <f>SUMPRODUCT(PRODUCE!$B326:$DY326,PRODUCE!$EB$43:$IY$43)</f>
        <v>0</v>
      </c>
      <c r="LS311" s="56"/>
      <c r="LT311" s="242">
        <f t="shared" si="2099"/>
        <v>0</v>
      </c>
      <c r="LU311" s="242">
        <f t="shared" si="2100"/>
        <v>0</v>
      </c>
      <c r="LV311" s="56"/>
      <c r="LY311" s="55">
        <f t="shared" si="2101"/>
        <v>46287</v>
      </c>
      <c r="LZ311" s="56"/>
      <c r="MA311" s="242">
        <f>SUMPRODUCT(PRODUCE!$B310:$DY310,PRODUCE!$EB$44:$IY$44)</f>
        <v>0</v>
      </c>
      <c r="MB311" s="56"/>
      <c r="MC311" s="242">
        <f t="shared" si="2102"/>
        <v>0</v>
      </c>
      <c r="MD311" s="242">
        <f t="shared" si="2103"/>
        <v>0</v>
      </c>
      <c r="ME311" s="56"/>
      <c r="MH311" s="55">
        <f t="shared" si="2104"/>
        <v>46287</v>
      </c>
      <c r="MI311" s="56"/>
      <c r="MJ311" s="242">
        <f>SUMPRODUCT(PRODUCE!$B310:$DY310,PRODUCE!$EB$45:$IY$45)</f>
        <v>0</v>
      </c>
      <c r="MK311" s="56"/>
      <c r="ML311" s="242">
        <f t="shared" si="2105"/>
        <v>0</v>
      </c>
      <c r="MM311" s="242">
        <f t="shared" si="2106"/>
        <v>0</v>
      </c>
      <c r="MN311" s="56"/>
      <c r="MQ311" s="55">
        <f t="shared" si="2107"/>
        <v>46287</v>
      </c>
      <c r="MR311" s="56"/>
      <c r="MS311" s="242">
        <f>SUMPRODUCT(PRODUCE!$B310:$DY310,PRODUCE!$EB$46:$IY$46)</f>
        <v>0</v>
      </c>
      <c r="MT311" s="56"/>
      <c r="MU311" s="242">
        <f t="shared" si="2108"/>
        <v>0</v>
      </c>
      <c r="MV311" s="242">
        <f t="shared" si="2109"/>
        <v>1625</v>
      </c>
      <c r="MW311" s="56"/>
      <c r="MZ311" s="55">
        <f t="shared" si="2110"/>
        <v>46287</v>
      </c>
      <c r="NA311" s="56"/>
      <c r="NB311" s="242">
        <f>SUMPRODUCT(PRODUCE!$B310:$DY310,PRODUCE!$EB$47:$IY$47)</f>
        <v>0</v>
      </c>
      <c r="NC311" s="56"/>
      <c r="ND311" s="242">
        <f t="shared" si="2111"/>
        <v>0</v>
      </c>
      <c r="NE311" s="242">
        <f t="shared" si="2112"/>
        <v>0</v>
      </c>
      <c r="NF311" s="56"/>
      <c r="NI311" s="55">
        <f t="shared" si="2113"/>
        <v>46287</v>
      </c>
      <c r="NJ311" s="56"/>
      <c r="NK311" s="242">
        <f>SUMPRODUCT(PRODUCE!$B310:$DY310,PRODUCE!$EB$48:$IY$48)</f>
        <v>0</v>
      </c>
      <c r="NL311" s="56"/>
      <c r="NM311" s="242">
        <f t="shared" si="2114"/>
        <v>0</v>
      </c>
      <c r="NN311" s="242">
        <f t="shared" si="2115"/>
        <v>1127</v>
      </c>
      <c r="NO311" s="56"/>
      <c r="NR311" s="55">
        <f t="shared" si="2116"/>
        <v>46287</v>
      </c>
      <c r="NS311" s="56"/>
      <c r="NT311" s="242">
        <f>SUMPRODUCT(PRODUCE!$B310:$DY310,PRODUCE!$EB$49:$IY$49)</f>
        <v>0</v>
      </c>
      <c r="NU311" s="56"/>
      <c r="NV311" s="242">
        <f t="shared" si="2117"/>
        <v>0</v>
      </c>
      <c r="NW311" s="242">
        <f t="shared" si="2118"/>
        <v>3111.9999999999995</v>
      </c>
      <c r="NX311" s="56"/>
      <c r="OA311" s="55">
        <f t="shared" si="2119"/>
        <v>46287</v>
      </c>
      <c r="OB311" s="56"/>
      <c r="OC311" s="242">
        <f>SUMPRODUCT(PRODUCE!$B310:$DY310,PRODUCE!$EB$50:$IY$50)</f>
        <v>0</v>
      </c>
      <c r="OD311" s="56"/>
      <c r="OE311" s="242">
        <f t="shared" si="2120"/>
        <v>0</v>
      </c>
      <c r="OF311" s="242">
        <f t="shared" si="2121"/>
        <v>1680.5</v>
      </c>
      <c r="OG311" s="56"/>
      <c r="OJ311" s="55">
        <f t="shared" si="2122"/>
        <v>46287</v>
      </c>
      <c r="OK311" s="56"/>
      <c r="OL311" s="242">
        <f>SUMPRODUCT(PRODUCE!$B310:$DY310,PRODUCE!$EB$51:$IY$51)</f>
        <v>0</v>
      </c>
      <c r="OM311" s="56"/>
      <c r="ON311" s="242">
        <f t="shared" si="2123"/>
        <v>0</v>
      </c>
      <c r="OO311" s="242">
        <f t="shared" si="2124"/>
        <v>0</v>
      </c>
      <c r="OP311" s="56"/>
      <c r="OS311" s="55">
        <f t="shared" si="2125"/>
        <v>46287</v>
      </c>
      <c r="OT311" s="56"/>
      <c r="OU311" s="242">
        <f>SUMPRODUCT(PRODUCE!$B310:$DY310,PRODUCE!$EB$52:$IY$52)</f>
        <v>0</v>
      </c>
      <c r="OV311" s="56"/>
      <c r="OW311" s="242">
        <f t="shared" si="2126"/>
        <v>0</v>
      </c>
      <c r="OX311" s="242">
        <f t="shared" si="2127"/>
        <v>1482</v>
      </c>
      <c r="OY311" s="56"/>
      <c r="PB311" s="55">
        <f t="shared" si="2128"/>
        <v>46287</v>
      </c>
      <c r="PC311" s="56"/>
      <c r="PD311" s="242">
        <f>SUMPRODUCT(PRODUCE!$B310:$DY310,PRODUCE!$EB$53:$IY$53)</f>
        <v>0</v>
      </c>
      <c r="PE311" s="56"/>
      <c r="PF311" s="242">
        <f t="shared" si="2129"/>
        <v>0</v>
      </c>
      <c r="PG311" s="242">
        <f t="shared" si="2130"/>
        <v>0</v>
      </c>
      <c r="PH311" s="56"/>
      <c r="PK311" s="55">
        <f t="shared" si="2131"/>
        <v>46287</v>
      </c>
      <c r="PL311" s="56"/>
      <c r="PM311" s="242">
        <f>SUMPRODUCT(PRODUCE!$B310:$DY310,PRODUCE!$EB$54:$IY$54)</f>
        <v>0</v>
      </c>
      <c r="PN311" s="56"/>
      <c r="PO311" s="242">
        <f t="shared" si="2132"/>
        <v>0</v>
      </c>
      <c r="PP311" s="242">
        <f t="shared" si="2133"/>
        <v>100</v>
      </c>
      <c r="PQ311" s="56"/>
      <c r="PT311" s="55">
        <f t="shared" si="2134"/>
        <v>46287</v>
      </c>
      <c r="PU311" s="56"/>
      <c r="PV311" s="242">
        <f>SUMPRODUCT(PRODUCE!$B310:$DY310,PRODUCE!$EB$55:$IY$55)</f>
        <v>0</v>
      </c>
      <c r="PW311" s="56"/>
      <c r="PX311" s="242">
        <f t="shared" si="2135"/>
        <v>0</v>
      </c>
      <c r="PY311" s="242">
        <f t="shared" si="2136"/>
        <v>13.960000000000036</v>
      </c>
      <c r="PZ311" s="56"/>
      <c r="QC311" s="55">
        <f t="shared" si="2137"/>
        <v>46287</v>
      </c>
      <c r="QD311" s="56"/>
      <c r="QE311" s="242">
        <f>SUMPRODUCT(PRODUCE!$B310:$DY310,PRODUCE!$EB$56:$IY$56)</f>
        <v>0</v>
      </c>
      <c r="QF311" s="56"/>
      <c r="QG311" s="242">
        <f t="shared" si="2138"/>
        <v>0</v>
      </c>
      <c r="QH311" s="242">
        <f t="shared" si="2139"/>
        <v>548</v>
      </c>
      <c r="QI311" s="56"/>
      <c r="QL311" s="55">
        <f t="shared" si="2140"/>
        <v>46287</v>
      </c>
      <c r="QM311" s="56"/>
      <c r="QN311" s="242">
        <f>SUMPRODUCT(PRODUCE!$B310:$DY310,PRODUCE!$EB$57:$IY$57)</f>
        <v>0</v>
      </c>
      <c r="QO311" s="56"/>
      <c r="QP311" s="242">
        <f t="shared" si="2141"/>
        <v>0</v>
      </c>
      <c r="QQ311" s="242">
        <f t="shared" si="2142"/>
        <v>0</v>
      </c>
      <c r="QR311" s="56"/>
      <c r="QU311" s="55">
        <f t="shared" si="2143"/>
        <v>46287</v>
      </c>
      <c r="QV311" s="56"/>
      <c r="QW311" s="242">
        <f>SUMPRODUCT(PRODUCE!$B310:$DY310,PRODUCE!$EB$57:$IY$57)</f>
        <v>0</v>
      </c>
      <c r="QX311" s="56"/>
      <c r="QY311" s="242">
        <f t="shared" si="2144"/>
        <v>0</v>
      </c>
      <c r="QZ311" s="242">
        <f t="shared" si="2145"/>
        <v>0</v>
      </c>
      <c r="RA311" s="56"/>
      <c r="RD311" s="55">
        <f t="shared" si="2146"/>
        <v>46287</v>
      </c>
      <c r="RE311" s="56"/>
      <c r="RF311" s="242">
        <f>SUMPRODUCT(PRODUCE!$B310:$DY310,PRODUCE!$EB$58:$IY$58)</f>
        <v>0</v>
      </c>
      <c r="RG311" s="56"/>
      <c r="RH311" s="242">
        <f t="shared" si="2147"/>
        <v>0</v>
      </c>
      <c r="RI311" s="242">
        <f t="shared" si="2148"/>
        <v>147.04000000000002</v>
      </c>
      <c r="RJ311" s="56"/>
      <c r="RM311" s="55">
        <f t="shared" si="2149"/>
        <v>46287</v>
      </c>
      <c r="RN311" s="56"/>
      <c r="RO311" s="242">
        <f>SUMPRODUCT(PRODUCE!$B310:$DY310,PRODUCE!$EB$59:$IY$59)</f>
        <v>0</v>
      </c>
      <c r="RP311" s="56"/>
      <c r="RQ311" s="242">
        <f t="shared" si="2150"/>
        <v>0</v>
      </c>
      <c r="RR311" s="242">
        <f t="shared" si="2151"/>
        <v>46.8</v>
      </c>
      <c r="RS311" s="56"/>
      <c r="RV311" s="55">
        <f t="shared" si="2152"/>
        <v>46287</v>
      </c>
      <c r="RW311" s="56"/>
      <c r="RX311" s="242">
        <f>SUMPRODUCT(PRODUCE!$B310:$DY310,PRODUCE!$EB$57:$IY$57)</f>
        <v>0</v>
      </c>
      <c r="RY311" s="56"/>
      <c r="RZ311" s="242">
        <f t="shared" si="2153"/>
        <v>0</v>
      </c>
      <c r="SA311" s="242">
        <f t="shared" si="2154"/>
        <v>0</v>
      </c>
      <c r="SB311" s="56"/>
      <c r="SE311" s="55">
        <f t="shared" si="2155"/>
        <v>46287</v>
      </c>
      <c r="SF311" s="56"/>
      <c r="SG311" s="242">
        <f>SUMPRODUCT(PRODUCE!$B310:$DY310,PRODUCE!$EB$61:$IY$61)</f>
        <v>0</v>
      </c>
      <c r="SH311" s="56"/>
      <c r="SI311" s="242">
        <f t="shared" si="2156"/>
        <v>0</v>
      </c>
      <c r="SJ311" s="242">
        <f t="shared" si="2157"/>
        <v>24.200000000000003</v>
      </c>
      <c r="SK311" s="56"/>
      <c r="SN311" s="55">
        <f t="shared" si="2158"/>
        <v>46287</v>
      </c>
      <c r="SO311" s="56"/>
      <c r="SP311" s="242">
        <f>SUMPRODUCT(PRODUCE!$B310:$DY310,PRODUCE!$EB$57:$IY$57)</f>
        <v>0</v>
      </c>
      <c r="SQ311" s="56"/>
      <c r="SR311" s="242">
        <f t="shared" si="2159"/>
        <v>0</v>
      </c>
      <c r="SS311" s="242">
        <f t="shared" si="2160"/>
        <v>32</v>
      </c>
      <c r="ST311" s="56"/>
      <c r="SW311" s="55">
        <f t="shared" si="2161"/>
        <v>46287</v>
      </c>
      <c r="SX311" s="56"/>
      <c r="SY311" s="242">
        <f>SUMPRODUCT(PRODUCE!$B310:$DY310,PRODUCE!$EB$57:$IY$57)</f>
        <v>0</v>
      </c>
      <c r="SZ311" s="56"/>
      <c r="TA311" s="242">
        <f t="shared" si="2162"/>
        <v>0</v>
      </c>
      <c r="TB311" s="242">
        <f t="shared" si="2163"/>
        <v>0</v>
      </c>
      <c r="TC311" s="56"/>
      <c r="TF311" s="55">
        <f t="shared" si="2164"/>
        <v>46287</v>
      </c>
      <c r="TG311" s="56"/>
      <c r="TH311" s="242">
        <f>SUMPRODUCT(PRODUCE!$B310:$DY310,PRODUCE!$EB$57:$IY$57)</f>
        <v>0</v>
      </c>
      <c r="TI311" s="56"/>
      <c r="TJ311" s="242">
        <f t="shared" si="2165"/>
        <v>0</v>
      </c>
      <c r="TK311" s="242">
        <f t="shared" si="2166"/>
        <v>0</v>
      </c>
      <c r="TL311" s="56"/>
      <c r="TO311" s="55">
        <f t="shared" si="2167"/>
        <v>46287</v>
      </c>
      <c r="TP311" s="56"/>
      <c r="TQ311" s="242">
        <f>SUMPRODUCT(PRODUCE!$B310:$DY310,PRODUCE!$EB$57:$IY$57)</f>
        <v>0</v>
      </c>
      <c r="TR311" s="56"/>
      <c r="TS311" s="242">
        <f t="shared" si="2168"/>
        <v>0</v>
      </c>
      <c r="TT311" s="242">
        <f t="shared" si="2169"/>
        <v>0</v>
      </c>
      <c r="TU311" s="56"/>
      <c r="TX311" s="55">
        <f t="shared" si="2170"/>
        <v>46287</v>
      </c>
      <c r="TY311" s="56"/>
      <c r="TZ311" s="242">
        <f>SUMPRODUCT(PRODUCE!$B310:$DY310,PRODUCE!$EB$57:$IY$57)</f>
        <v>0</v>
      </c>
      <c r="UA311" s="56"/>
      <c r="UB311" s="242">
        <f t="shared" si="2171"/>
        <v>0</v>
      </c>
      <c r="UC311" s="242">
        <f t="shared" si="2172"/>
        <v>46.799999999999983</v>
      </c>
      <c r="UD311" s="56"/>
      <c r="UG311" s="55">
        <f t="shared" si="2173"/>
        <v>46287</v>
      </c>
      <c r="UH311" s="56"/>
      <c r="UI311" s="242">
        <f>SUMPRODUCT(PRODUCE!$B310:$DY310,PRODUCE!$EB$57:$IY$57)</f>
        <v>0</v>
      </c>
      <c r="UJ311" s="56"/>
      <c r="UK311" s="242">
        <f t="shared" si="2174"/>
        <v>0</v>
      </c>
      <c r="UL311" s="242">
        <f t="shared" si="2175"/>
        <v>204</v>
      </c>
      <c r="UM311" s="56"/>
      <c r="UP311" s="55">
        <f t="shared" si="2176"/>
        <v>46287</v>
      </c>
      <c r="UQ311" s="56"/>
      <c r="UR311" s="242">
        <f>SUMPRODUCT(PRODUCE!$B310:$DY310,PRODUCE!$EB$57:$IY$57)</f>
        <v>0</v>
      </c>
      <c r="US311" s="56"/>
      <c r="UT311" s="242">
        <f t="shared" si="2177"/>
        <v>0</v>
      </c>
      <c r="UU311" s="242">
        <f t="shared" si="2178"/>
        <v>202.5</v>
      </c>
      <c r="UV311" s="56"/>
      <c r="UY311" s="55">
        <f t="shared" si="2179"/>
        <v>46287</v>
      </c>
      <c r="UZ311" s="56"/>
      <c r="VA311" s="242">
        <f>SUMPRODUCT(PRODUCE!$B310:$DY310,PRODUCE!$EB$57:$IY$57)</f>
        <v>0</v>
      </c>
      <c r="VB311" s="56"/>
      <c r="VC311" s="242">
        <f t="shared" si="2180"/>
        <v>0</v>
      </c>
      <c r="VD311" s="242">
        <f t="shared" si="2181"/>
        <v>41.600000000000023</v>
      </c>
      <c r="VE311" s="56"/>
      <c r="VH311" s="55">
        <f t="shared" si="2182"/>
        <v>46287</v>
      </c>
      <c r="VI311" s="56"/>
      <c r="VJ311" s="242">
        <f>SUMPRODUCT(PRODUCE!$B310:$DY310,PRODUCE!$EB$57:$IY$57)</f>
        <v>0</v>
      </c>
      <c r="VK311" s="56"/>
      <c r="VL311" s="242">
        <f t="shared" si="2183"/>
        <v>0</v>
      </c>
      <c r="VM311" s="242">
        <f t="shared" si="2184"/>
        <v>210</v>
      </c>
      <c r="VN311" s="56"/>
      <c r="VQ311" s="55">
        <f t="shared" si="2185"/>
        <v>46287</v>
      </c>
      <c r="VR311" s="56"/>
      <c r="VS311" s="242">
        <f>SUMPRODUCT(PRODUCE!$B310:$DY310,PRODUCE!$EB$57:$IY$57)</f>
        <v>0</v>
      </c>
      <c r="VT311" s="56"/>
      <c r="VU311" s="242">
        <f t="shared" si="2186"/>
        <v>0</v>
      </c>
      <c r="VV311" s="242">
        <f t="shared" si="2187"/>
        <v>0</v>
      </c>
      <c r="VW311" s="56"/>
      <c r="VZ311" s="55">
        <f t="shared" si="2188"/>
        <v>46287</v>
      </c>
      <c r="WA311" s="56"/>
      <c r="WB311" s="242">
        <f>SUMPRODUCT(PRODUCE!$B310:$DY310,PRODUCE!$EB$57:$IY$57)</f>
        <v>0</v>
      </c>
      <c r="WC311" s="56"/>
      <c r="WD311" s="242">
        <f t="shared" si="2189"/>
        <v>0</v>
      </c>
      <c r="WE311" s="242">
        <f t="shared" si="2190"/>
        <v>0</v>
      </c>
      <c r="WF311" s="56"/>
      <c r="WI311" s="55">
        <f t="shared" si="2191"/>
        <v>46287</v>
      </c>
      <c r="WJ311" s="56"/>
      <c r="WK311" s="242">
        <f>SUMPRODUCT(PRODUCE!$B310:$DY310,PRODUCE!$EB$57:$IY$57)</f>
        <v>0</v>
      </c>
      <c r="WL311" s="56"/>
      <c r="WM311" s="242">
        <f t="shared" si="2192"/>
        <v>0</v>
      </c>
      <c r="WN311" s="242">
        <f t="shared" si="2193"/>
        <v>1057</v>
      </c>
      <c r="WO311" s="56"/>
      <c r="WR311" s="55">
        <f t="shared" si="2194"/>
        <v>46287</v>
      </c>
      <c r="WS311" s="56"/>
      <c r="WT311" s="242">
        <f>SUMPRODUCT(PRODUCE!$B310:$DY310,PRODUCE!$EB$57:$IY$57)</f>
        <v>0</v>
      </c>
      <c r="WU311" s="56"/>
      <c r="WV311" s="242">
        <f t="shared" si="2195"/>
        <v>0</v>
      </c>
      <c r="WW311" s="242">
        <f t="shared" si="2196"/>
        <v>0</v>
      </c>
      <c r="WX311" s="56"/>
      <c r="XA311" s="55">
        <f t="shared" si="2197"/>
        <v>46287</v>
      </c>
      <c r="XB311" s="56"/>
      <c r="XC311" s="242">
        <f>SUMPRODUCT(PRODUCE!$B310:$DY310,PRODUCE!$EB$57:$IY$57)</f>
        <v>0</v>
      </c>
      <c r="XD311" s="56"/>
      <c r="XE311" s="242">
        <f t="shared" si="2198"/>
        <v>0</v>
      </c>
      <c r="XF311" s="242">
        <f t="shared" si="2199"/>
        <v>7507</v>
      </c>
      <c r="XG311" s="56"/>
      <c r="XJ311" s="55">
        <f t="shared" si="2200"/>
        <v>46287</v>
      </c>
      <c r="XK311" s="56"/>
      <c r="XL311" s="242">
        <f>SUMPRODUCT(PRODUCE!$B310:$DY310,PRODUCE!$EB$57:$IY$57)</f>
        <v>0</v>
      </c>
      <c r="XM311" s="56"/>
      <c r="XN311" s="242">
        <f t="shared" si="2201"/>
        <v>0</v>
      </c>
      <c r="XO311" s="242">
        <f t="shared" si="2202"/>
        <v>4252</v>
      </c>
      <c r="XP311" s="56"/>
      <c r="XS311" s="55">
        <f t="shared" si="2203"/>
        <v>46287</v>
      </c>
      <c r="XT311" s="56"/>
      <c r="XU311" s="242">
        <f>SUMPRODUCT(PRODUCE!$B310:$DY310,PRODUCE!$EB$57:$IY$57)</f>
        <v>0</v>
      </c>
      <c r="XV311" s="56"/>
      <c r="XW311" s="242">
        <f t="shared" si="2204"/>
        <v>0</v>
      </c>
      <c r="XX311" s="242">
        <f t="shared" si="2205"/>
        <v>2179</v>
      </c>
      <c r="XY311" s="56"/>
      <c r="YB311" s="55">
        <f t="shared" si="2206"/>
        <v>46287</v>
      </c>
      <c r="YC311" s="56"/>
      <c r="YD311" s="242">
        <f>SUMPRODUCT(PRODUCE!$B310:$DY310,PRODUCE!$EB$57:$IY$57)</f>
        <v>0</v>
      </c>
      <c r="YE311" s="56"/>
      <c r="YF311" s="242">
        <f t="shared" si="2207"/>
        <v>0</v>
      </c>
      <c r="YG311" s="242">
        <f t="shared" si="2208"/>
        <v>4019</v>
      </c>
      <c r="YH311" s="56"/>
      <c r="YK311" s="55">
        <f t="shared" si="2209"/>
        <v>46287</v>
      </c>
      <c r="YL311" s="56"/>
      <c r="YM311" s="242">
        <f>SUMPRODUCT(PRODUCE!$B310:$DY310,PRODUCE!$EB$57:$IY$57)</f>
        <v>0</v>
      </c>
      <c r="YN311" s="56"/>
      <c r="YO311" s="242">
        <f t="shared" si="2210"/>
        <v>0</v>
      </c>
      <c r="YP311" s="242">
        <f t="shared" si="2211"/>
        <v>-218</v>
      </c>
      <c r="YQ311" s="56"/>
      <c r="YT311" s="55">
        <f t="shared" si="2212"/>
        <v>46287</v>
      </c>
      <c r="YU311" s="56"/>
      <c r="YV311" s="242">
        <f>SUMPRODUCT(PRODUCE!$B310:$DY310,PRODUCE!$EB$57:$IY$57)</f>
        <v>0</v>
      </c>
      <c r="YW311" s="56"/>
      <c r="YX311" s="242">
        <f t="shared" si="2213"/>
        <v>0</v>
      </c>
      <c r="YY311" s="242">
        <f t="shared" si="2214"/>
        <v>0</v>
      </c>
      <c r="YZ311" s="56"/>
      <c r="ZC311" s="55">
        <f t="shared" si="2215"/>
        <v>46287</v>
      </c>
      <c r="ZD311" s="56"/>
      <c r="ZE311" s="242">
        <f>SUMPRODUCT(PRODUCE!$B310:$DY310,PRODUCE!$EB$57:$IY$57)</f>
        <v>0</v>
      </c>
      <c r="ZF311" s="56"/>
      <c r="ZG311" s="242">
        <f t="shared" si="2216"/>
        <v>0</v>
      </c>
      <c r="ZH311" s="242">
        <f t="shared" si="2217"/>
        <v>0</v>
      </c>
      <c r="ZI311" s="56"/>
      <c r="ZL311" s="55">
        <f t="shared" si="2218"/>
        <v>46287</v>
      </c>
      <c r="ZM311" s="56"/>
      <c r="ZN311" s="242">
        <f>SUMPRODUCT(PRODUCE!$B310:$DY310,PRODUCE!$EB$57:$IY$57)</f>
        <v>0</v>
      </c>
      <c r="ZO311" s="56"/>
      <c r="ZP311" s="242">
        <f t="shared" si="2219"/>
        <v>0</v>
      </c>
      <c r="ZQ311" s="242">
        <f t="shared" si="2220"/>
        <v>0</v>
      </c>
      <c r="ZR311" s="56"/>
      <c r="ZU311" s="55">
        <f t="shared" si="2221"/>
        <v>46287</v>
      </c>
      <c r="ZV311" s="56"/>
      <c r="ZW311" s="242">
        <f>SUMPRODUCT(PRODUCE!$B310:$DY310,PRODUCE!$EB$57:$IY$57)</f>
        <v>0</v>
      </c>
      <c r="ZX311" s="56"/>
      <c r="ZY311" s="242">
        <f t="shared" si="2222"/>
        <v>0</v>
      </c>
      <c r="ZZ311" s="242">
        <f t="shared" si="2223"/>
        <v>0</v>
      </c>
      <c r="AAA311" s="56"/>
      <c r="AAD311" s="55">
        <f t="shared" si="2224"/>
        <v>46287</v>
      </c>
      <c r="AAE311" s="56"/>
      <c r="AAF311" s="242">
        <f>SUMPRODUCT(PRODUCE!$B310:$DY310,PRODUCE!$EB$57:$IY$57)</f>
        <v>0</v>
      </c>
      <c r="AAG311" s="56"/>
      <c r="AAH311" s="242">
        <f t="shared" si="2225"/>
        <v>0</v>
      </c>
      <c r="AAI311" s="242">
        <f t="shared" si="2226"/>
        <v>0</v>
      </c>
      <c r="AAJ311" s="56"/>
      <c r="AAM311" s="55">
        <f t="shared" si="2227"/>
        <v>46287</v>
      </c>
      <c r="AAN311" s="56"/>
      <c r="AAO311" s="242">
        <f>SUMPRODUCT(PRODUCE!$B310:$DY310,PRODUCE!$EB$57:$IY$57)</f>
        <v>0</v>
      </c>
      <c r="AAP311" s="56"/>
      <c r="AAQ311" s="242">
        <f t="shared" si="2228"/>
        <v>0</v>
      </c>
      <c r="AAR311" s="242">
        <f t="shared" si="2229"/>
        <v>0</v>
      </c>
      <c r="AAS311" s="56"/>
      <c r="AAV311" s="55">
        <f t="shared" si="2230"/>
        <v>46287</v>
      </c>
      <c r="AAW311" s="56"/>
      <c r="AAX311" s="242">
        <f>SUMPRODUCT(PRODUCE!$B310:$DY310,PRODUCE!$EB$57:$IY$57)</f>
        <v>0</v>
      </c>
      <c r="AAY311" s="56"/>
      <c r="AAZ311" s="242">
        <f t="shared" si="2231"/>
        <v>0</v>
      </c>
      <c r="ABA311" s="242">
        <f t="shared" si="2232"/>
        <v>0</v>
      </c>
      <c r="ABB311" s="56"/>
      <c r="ABE311" s="55">
        <f t="shared" si="2233"/>
        <v>46287</v>
      </c>
      <c r="ABF311" s="56"/>
      <c r="ABG311" s="242">
        <f>SUMPRODUCT(PRODUCE!$B310:$DY310,PRODUCE!$EB$57:$IY$57)</f>
        <v>0</v>
      </c>
      <c r="ABH311" s="56"/>
      <c r="ABI311" s="242">
        <f t="shared" si="2234"/>
        <v>0</v>
      </c>
      <c r="ABJ311" s="242">
        <f t="shared" si="2235"/>
        <v>0</v>
      </c>
      <c r="ABK311" s="56"/>
    </row>
    <row r="312" spans="2:739" s="54" customFormat="1" ht="15" customHeight="1" outlineLevel="1">
      <c r="B312" s="478"/>
      <c r="C312" s="55">
        <v>46288</v>
      </c>
      <c r="D312" s="56"/>
      <c r="E312" s="57">
        <f>SUMPRODUCT(PRODUCE!$B311:$DY311,PRODUCE!$EB$7:$IY$7)</f>
        <v>0</v>
      </c>
      <c r="F312" s="56"/>
      <c r="G312" s="57">
        <f t="shared" si="1992"/>
        <v>0</v>
      </c>
      <c r="H312" s="57">
        <f t="shared" si="1993"/>
        <v>236936.6</v>
      </c>
      <c r="I312" s="289"/>
      <c r="L312" s="55">
        <f t="shared" si="1994"/>
        <v>46288</v>
      </c>
      <c r="M312" s="56"/>
      <c r="N312" s="59">
        <f>SUMPRODUCT(PRODUCE!$B311:$DY311,PRODUCE!$EB$8:$IY$8)</f>
        <v>0</v>
      </c>
      <c r="O312" s="56"/>
      <c r="P312" s="59">
        <f t="shared" si="1995"/>
        <v>0</v>
      </c>
      <c r="Q312" s="59">
        <f t="shared" si="1996"/>
        <v>53017.600000000071</v>
      </c>
      <c r="R312" s="56"/>
      <c r="U312" s="55">
        <f t="shared" si="1997"/>
        <v>46288</v>
      </c>
      <c r="V312" s="56"/>
      <c r="W312" s="60">
        <f>SUMPRODUCT(PRODUCE!$B311:$DY311,PRODUCE!$EB$9:$IY$9)</f>
        <v>0</v>
      </c>
      <c r="X312" s="56"/>
      <c r="Y312" s="60">
        <f t="shared" si="1998"/>
        <v>0</v>
      </c>
      <c r="Z312" s="60">
        <f t="shared" si="1999"/>
        <v>42674.199999999968</v>
      </c>
      <c r="AA312" s="56"/>
      <c r="AD312" s="55">
        <f t="shared" si="2000"/>
        <v>46288</v>
      </c>
      <c r="AE312" s="56"/>
      <c r="AF312" s="61">
        <f>SUMPRODUCT(PRODUCE!$B311:$DY311,PRODUCE!$EB$10:$IY$10)</f>
        <v>0</v>
      </c>
      <c r="AG312" s="56"/>
      <c r="AH312" s="61">
        <f t="shared" si="2001"/>
        <v>0</v>
      </c>
      <c r="AI312" s="61">
        <f t="shared" si="2002"/>
        <v>4522.2000000000189</v>
      </c>
      <c r="AJ312" s="56"/>
      <c r="AM312" s="55">
        <f t="shared" si="2003"/>
        <v>46288</v>
      </c>
      <c r="AN312" s="422"/>
      <c r="AO312" s="444">
        <f>SUMPRODUCT(PRODUCE!$B311:$DY311,PRODUCE!$EB$11:$IY$11)</f>
        <v>0</v>
      </c>
      <c r="AP312" s="422"/>
      <c r="AQ312" s="444">
        <f t="shared" si="2004"/>
        <v>0</v>
      </c>
      <c r="AR312" s="444">
        <f t="shared" si="2005"/>
        <v>0</v>
      </c>
      <c r="AS312" s="56"/>
      <c r="AV312" s="55">
        <f t="shared" si="2006"/>
        <v>46288</v>
      </c>
      <c r="AW312" s="56"/>
      <c r="AX312" s="62">
        <f>SUMPRODUCT(PRODUCE!$B311:$DY311,PRODUCE!$EB$12:$IY$12)</f>
        <v>0</v>
      </c>
      <c r="AY312" s="56"/>
      <c r="AZ312" s="62">
        <f t="shared" si="2007"/>
        <v>0</v>
      </c>
      <c r="BA312" s="62">
        <f t="shared" si="2008"/>
        <v>124.99999999999523</v>
      </c>
      <c r="BB312" s="56"/>
      <c r="BE312" s="55">
        <f t="shared" si="2009"/>
        <v>46288</v>
      </c>
      <c r="BF312" s="56"/>
      <c r="BG312" s="63">
        <f>SUMPRODUCT(PRODUCE!$B311:$DY311,PRODUCE!$EB$13:$IY$13)</f>
        <v>0</v>
      </c>
      <c r="BH312" s="56"/>
      <c r="BI312" s="63">
        <f t="shared" si="2010"/>
        <v>0</v>
      </c>
      <c r="BJ312" s="63">
        <f t="shared" si="2011"/>
        <v>26151.899999999998</v>
      </c>
      <c r="BK312" s="56"/>
      <c r="BN312" s="55">
        <f t="shared" si="2012"/>
        <v>46288</v>
      </c>
      <c r="BO312" s="56"/>
      <c r="BP312" s="64">
        <f>SUMPRODUCT(PRODUCE!$B311:$DY311,PRODUCE!$EB$14:$IY$14)</f>
        <v>0</v>
      </c>
      <c r="BQ312" s="56"/>
      <c r="BR312" s="64">
        <f t="shared" si="2013"/>
        <v>0</v>
      </c>
      <c r="BS312" s="64">
        <f t="shared" si="2014"/>
        <v>0</v>
      </c>
      <c r="BT312" s="56"/>
      <c r="BW312" s="55">
        <f t="shared" si="2015"/>
        <v>46288</v>
      </c>
      <c r="BX312" s="56"/>
      <c r="BY312" s="65">
        <f>SUMPRODUCT(PRODUCE!$B311:$DY311,PRODUCE!$EB$15:$IY$15)</f>
        <v>0</v>
      </c>
      <c r="BZ312" s="56"/>
      <c r="CA312" s="65">
        <f t="shared" si="2016"/>
        <v>0</v>
      </c>
      <c r="CB312" s="65">
        <f t="shared" si="2017"/>
        <v>2097.3399999999992</v>
      </c>
      <c r="CC312" s="56"/>
      <c r="CF312" s="55">
        <f t="shared" si="2018"/>
        <v>46288</v>
      </c>
      <c r="CG312" s="56"/>
      <c r="CH312" s="66">
        <f>SUMPRODUCT(PRODUCE!$B311:$DY311,PRODUCE!$EB$16:$IY$16)</f>
        <v>0</v>
      </c>
      <c r="CI312" s="56"/>
      <c r="CJ312" s="66">
        <f t="shared" si="2019"/>
        <v>0</v>
      </c>
      <c r="CK312" s="66">
        <f t="shared" si="2020"/>
        <v>-10277.079999999998</v>
      </c>
      <c r="CL312" s="56"/>
      <c r="CO312" s="55">
        <f t="shared" si="2021"/>
        <v>46288</v>
      </c>
      <c r="CP312" s="422"/>
      <c r="CQ312" s="470">
        <f>SUMPRODUCT(PRODUCE!$B311:$DY311,PRODUCE!$EB$17:$IY$17)</f>
        <v>0</v>
      </c>
      <c r="CR312" s="422"/>
      <c r="CS312" s="470">
        <f t="shared" si="2022"/>
        <v>0</v>
      </c>
      <c r="CT312" s="470">
        <f t="shared" si="2023"/>
        <v>0</v>
      </c>
      <c r="CU312" s="56"/>
      <c r="CX312" s="55">
        <f t="shared" si="2024"/>
        <v>46288</v>
      </c>
      <c r="CY312" s="56"/>
      <c r="CZ312" s="133">
        <f>SUMPRODUCT(PRODUCE!$B311:$DY311,PRODUCE!$EB$18:$IY$18)</f>
        <v>0</v>
      </c>
      <c r="DA312" s="56"/>
      <c r="DB312" s="133">
        <f t="shared" si="2025"/>
        <v>0</v>
      </c>
      <c r="DC312" s="133">
        <f t="shared" si="2026"/>
        <v>27438.200000000012</v>
      </c>
      <c r="DD312" s="56"/>
      <c r="DG312" s="55">
        <f t="shared" si="2027"/>
        <v>46288</v>
      </c>
      <c r="DH312" s="56"/>
      <c r="DI312" s="147">
        <f>SUMPRODUCT(PRODUCE!$B311:$DY311,PRODUCE!$EB$19:$IY$19)</f>
        <v>0</v>
      </c>
      <c r="DJ312" s="56"/>
      <c r="DK312" s="147">
        <f t="shared" si="2028"/>
        <v>0</v>
      </c>
      <c r="DL312" s="147">
        <f t="shared" si="2029"/>
        <v>18782.299999999981</v>
      </c>
      <c r="DM312" s="56"/>
      <c r="DP312" s="55">
        <f t="shared" si="2030"/>
        <v>46288</v>
      </c>
      <c r="DQ312" s="56"/>
      <c r="DR312" s="57">
        <f>SUMPRODUCT(PRODUCE!$B311:$DY311,PRODUCE!$EB$20:$IY$20)</f>
        <v>0</v>
      </c>
      <c r="DS312" s="56"/>
      <c r="DT312" s="57">
        <f t="shared" si="2031"/>
        <v>0</v>
      </c>
      <c r="DU312" s="57">
        <f t="shared" si="2032"/>
        <v>5800</v>
      </c>
      <c r="DV312" s="56"/>
      <c r="DY312" s="55">
        <f t="shared" si="2033"/>
        <v>46288</v>
      </c>
      <c r="DZ312" s="56"/>
      <c r="EA312" s="157">
        <f>SUMPRODUCT(PRODUCE!$B311:$DY311,PRODUCE!$EB$21:$IY$21)</f>
        <v>0</v>
      </c>
      <c r="EB312" s="56"/>
      <c r="EC312" s="157">
        <f t="shared" si="2034"/>
        <v>0</v>
      </c>
      <c r="ED312" s="157">
        <f t="shared" si="2035"/>
        <v>0</v>
      </c>
      <c r="EE312" s="56"/>
      <c r="EH312" s="55">
        <f t="shared" si="2036"/>
        <v>46288</v>
      </c>
      <c r="EI312" s="56"/>
      <c r="EJ312" s="162">
        <f>SUMPRODUCT(PRODUCE!$B311:$DY311,PRODUCE!$EB$22:$IY$22)</f>
        <v>0</v>
      </c>
      <c r="EK312" s="56"/>
      <c r="EL312" s="162">
        <f t="shared" si="2037"/>
        <v>0</v>
      </c>
      <c r="EM312" s="162">
        <f t="shared" si="2038"/>
        <v>0</v>
      </c>
      <c r="EN312" s="56"/>
      <c r="EQ312" s="55">
        <f t="shared" si="2039"/>
        <v>46288</v>
      </c>
      <c r="ER312" s="56"/>
      <c r="ES312" s="135">
        <f>SUMPRODUCT(PRODUCE!$B311:$DY311,PRODUCE!$EB$23:$IY$23)</f>
        <v>0</v>
      </c>
      <c r="ET312" s="56"/>
      <c r="EU312" s="135">
        <f t="shared" si="2040"/>
        <v>0</v>
      </c>
      <c r="EV312" s="135">
        <f t="shared" si="2041"/>
        <v>0</v>
      </c>
      <c r="EW312" s="56"/>
      <c r="EZ312" s="55">
        <f t="shared" si="2042"/>
        <v>46288</v>
      </c>
      <c r="FA312" s="56"/>
      <c r="FB312" s="175">
        <f>SUMPRODUCT(PRODUCE!$B311:$DY311,PRODUCE!$EB$24:$IY$24)</f>
        <v>0</v>
      </c>
      <c r="FC312" s="56"/>
      <c r="FD312" s="175">
        <f t="shared" si="2043"/>
        <v>0</v>
      </c>
      <c r="FE312" s="175">
        <f t="shared" si="2044"/>
        <v>0</v>
      </c>
      <c r="FF312" s="56"/>
      <c r="FI312" s="55">
        <f t="shared" si="2045"/>
        <v>46288</v>
      </c>
      <c r="FJ312" s="56"/>
      <c r="FK312" s="183">
        <f>SUMPRODUCT(PRODUCE!$B311:$DY311,PRODUCE!$EB$25:$IY$25)</f>
        <v>0</v>
      </c>
      <c r="FL312" s="56"/>
      <c r="FM312" s="183">
        <f t="shared" si="2046"/>
        <v>0</v>
      </c>
      <c r="FN312" s="183">
        <f t="shared" si="2047"/>
        <v>0</v>
      </c>
      <c r="FO312" s="56"/>
      <c r="FR312" s="55">
        <f t="shared" si="2048"/>
        <v>46288</v>
      </c>
      <c r="FS312" s="56"/>
      <c r="FT312" s="186">
        <f>SUMPRODUCT(PRODUCE!$B311:$DY311,PRODUCE!$EB$26:$IY$26)</f>
        <v>0</v>
      </c>
      <c r="FU312" s="56"/>
      <c r="FV312" s="186">
        <f t="shared" si="2049"/>
        <v>0</v>
      </c>
      <c r="FW312" s="186">
        <f t="shared" si="2050"/>
        <v>2020</v>
      </c>
      <c r="FX312" s="56"/>
      <c r="GA312" s="55">
        <f t="shared" si="2051"/>
        <v>46288</v>
      </c>
      <c r="GB312" s="56"/>
      <c r="GC312" s="137">
        <f>SUMPRODUCT(PRODUCE!$B311:$DY311,PRODUCE!$EB$27:$IY$27)</f>
        <v>0</v>
      </c>
      <c r="GD312" s="56"/>
      <c r="GE312" s="137">
        <f t="shared" si="2052"/>
        <v>0</v>
      </c>
      <c r="GF312" s="137">
        <f t="shared" si="2053"/>
        <v>960</v>
      </c>
      <c r="GG312" s="56"/>
      <c r="GI312" s="23"/>
      <c r="GJ312" s="55">
        <f t="shared" si="2054"/>
        <v>46288</v>
      </c>
      <c r="GK312" s="56"/>
      <c r="GL312" s="199">
        <f>SUMPRODUCT(PRODUCE!$B311:$DY311,PRODUCE!$EB$28:$IY$28)</f>
        <v>0</v>
      </c>
      <c r="GM312" s="56"/>
      <c r="GN312" s="199">
        <f t="shared" si="2055"/>
        <v>0</v>
      </c>
      <c r="GO312" s="199">
        <f t="shared" si="2056"/>
        <v>1760</v>
      </c>
      <c r="GP312" s="56"/>
      <c r="GS312" s="55">
        <f t="shared" si="2057"/>
        <v>46288</v>
      </c>
      <c r="GT312" s="56"/>
      <c r="GU312" s="195">
        <f>SUMPRODUCT(PRODUCE!$B311:$DY311,PRODUCE!$EB$29:$IY$29)</f>
        <v>0</v>
      </c>
      <c r="GV312" s="56"/>
      <c r="GW312" s="195">
        <f t="shared" si="2058"/>
        <v>0</v>
      </c>
      <c r="GX312" s="195">
        <f t="shared" si="2059"/>
        <v>400</v>
      </c>
      <c r="GY312" s="56"/>
      <c r="HB312" s="55">
        <f t="shared" si="2060"/>
        <v>46288</v>
      </c>
      <c r="HC312" s="56"/>
      <c r="HD312" s="191">
        <f>SUMPRODUCT(PRODUCE!$B311:$DY311,PRODUCE!$EB$30:$IY$30)</f>
        <v>0</v>
      </c>
      <c r="HE312" s="56"/>
      <c r="HF312" s="191">
        <f t="shared" si="2061"/>
        <v>0</v>
      </c>
      <c r="HG312" s="191">
        <f t="shared" si="2062"/>
        <v>3600</v>
      </c>
      <c r="HH312" s="56"/>
      <c r="HK312" s="55">
        <f t="shared" si="2063"/>
        <v>46288</v>
      </c>
      <c r="HL312" s="56"/>
      <c r="HM312" s="63">
        <f>SUMPRODUCT(PRODUCE!$B311:$DY311,PRODUCE!$EB$31:$IY$31)</f>
        <v>0</v>
      </c>
      <c r="HN312" s="56"/>
      <c r="HO312" s="63">
        <f t="shared" si="2064"/>
        <v>0</v>
      </c>
      <c r="HP312" s="63">
        <f t="shared" si="2065"/>
        <v>0</v>
      </c>
      <c r="HQ312" s="56"/>
      <c r="HU312" s="55">
        <f t="shared" si="2066"/>
        <v>46288</v>
      </c>
      <c r="HV312" s="56"/>
      <c r="HW312" s="242">
        <f>SUMPRODUCT(PRODUCE!$B311:$DY311,PRODUCE!$EB$32:$IY$32)</f>
        <v>0</v>
      </c>
      <c r="HX312" s="56"/>
      <c r="HY312" s="242">
        <f t="shared" si="2236"/>
        <v>0</v>
      </c>
      <c r="HZ312" s="242">
        <f t="shared" si="2067"/>
        <v>6120</v>
      </c>
      <c r="IA312" s="56"/>
      <c r="ID312" s="55">
        <f t="shared" si="2068"/>
        <v>46288</v>
      </c>
      <c r="IE312" s="56"/>
      <c r="IF312" s="242">
        <f>SUMPRODUCT(PRODUCE!$B311:$DY311,PRODUCE!$EB$33:$IY$33)</f>
        <v>0</v>
      </c>
      <c r="IG312" s="56"/>
      <c r="IH312" s="242">
        <f t="shared" si="2069"/>
        <v>0</v>
      </c>
      <c r="II312" s="242">
        <f t="shared" si="2070"/>
        <v>0</v>
      </c>
      <c r="IJ312" s="56"/>
      <c r="IM312" s="55">
        <f t="shared" si="2071"/>
        <v>46288</v>
      </c>
      <c r="IN312" s="56"/>
      <c r="IO312" s="242">
        <f>SUMPRODUCT(PRODUCE!$B311:$DY311,PRODUCE!$EB$34:$IY$34)</f>
        <v>0</v>
      </c>
      <c r="IP312" s="56"/>
      <c r="IQ312" s="242">
        <f t="shared" si="2072"/>
        <v>0</v>
      </c>
      <c r="IR312" s="242">
        <f t="shared" si="2073"/>
        <v>0</v>
      </c>
      <c r="IS312" s="56"/>
      <c r="IV312" s="55">
        <f t="shared" si="2074"/>
        <v>46288</v>
      </c>
      <c r="IW312" s="56"/>
      <c r="IX312" s="242">
        <f>SUMPRODUCT(PRODUCE!$B311:$DY311,PRODUCE!$EB$35:$IY$35)</f>
        <v>0</v>
      </c>
      <c r="IY312" s="56"/>
      <c r="IZ312" s="242">
        <f t="shared" si="2075"/>
        <v>0</v>
      </c>
      <c r="JA312" s="242">
        <f t="shared" si="2076"/>
        <v>2820</v>
      </c>
      <c r="JB312" s="56"/>
      <c r="JE312" s="55">
        <f t="shared" si="2077"/>
        <v>46288</v>
      </c>
      <c r="JF312" s="56"/>
      <c r="JG312" s="242">
        <f>SUMPRODUCT(PRODUCE!$B311:$DY311,PRODUCE!$EB$36:$IY$36)</f>
        <v>0</v>
      </c>
      <c r="JH312" s="56"/>
      <c r="JI312" s="242">
        <f t="shared" si="2078"/>
        <v>0</v>
      </c>
      <c r="JJ312" s="242">
        <f t="shared" si="2079"/>
        <v>0</v>
      </c>
      <c r="JK312" s="56"/>
      <c r="JN312" s="55">
        <f t="shared" si="2080"/>
        <v>46288</v>
      </c>
      <c r="JO312" s="56"/>
      <c r="JP312" s="242">
        <f>SUMPRODUCT(PRODUCE!$B311:$DY311,PRODUCE!$EB$37:$IY$37)</f>
        <v>0</v>
      </c>
      <c r="JQ312" s="56"/>
      <c r="JR312" s="242">
        <f t="shared" si="2081"/>
        <v>0</v>
      </c>
      <c r="JS312" s="242">
        <f t="shared" si="2082"/>
        <v>0</v>
      </c>
      <c r="JT312" s="56"/>
      <c r="JW312" s="55">
        <f t="shared" si="2083"/>
        <v>46288</v>
      </c>
      <c r="JX312" s="56"/>
      <c r="JY312" s="242">
        <f>SUMPRODUCT(PRODUCE!$B311:$DY311,PRODUCE!$EB$38:$IY$38)</f>
        <v>0</v>
      </c>
      <c r="JZ312" s="56"/>
      <c r="KA312" s="242">
        <f t="shared" si="2084"/>
        <v>0</v>
      </c>
      <c r="KB312" s="242">
        <f t="shared" si="2085"/>
        <v>2540</v>
      </c>
      <c r="KC312" s="56"/>
      <c r="KF312" s="55">
        <f t="shared" si="2086"/>
        <v>46288</v>
      </c>
      <c r="KG312" s="56"/>
      <c r="KH312" s="242">
        <f>SUMPRODUCT(PRODUCE!$B311:$DY311,PRODUCE!$EB$39:$IY$39)</f>
        <v>0</v>
      </c>
      <c r="KI312" s="56"/>
      <c r="KJ312" s="242">
        <f t="shared" si="2087"/>
        <v>0</v>
      </c>
      <c r="KK312" s="242">
        <f t="shared" si="2088"/>
        <v>2359.5</v>
      </c>
      <c r="KL312" s="56"/>
      <c r="KO312" s="55">
        <f t="shared" si="2089"/>
        <v>46288</v>
      </c>
      <c r="KP312" s="56"/>
      <c r="KQ312" s="242">
        <f>SUMPRODUCT(PRODUCE!$B311:$DY311,PRODUCE!$EB$40:$IY$40)</f>
        <v>0</v>
      </c>
      <c r="KR312" s="56"/>
      <c r="KS312" s="242">
        <f t="shared" si="2090"/>
        <v>0</v>
      </c>
      <c r="KT312" s="242">
        <f t="shared" si="2091"/>
        <v>1890</v>
      </c>
      <c r="KU312" s="56"/>
      <c r="KW312" s="23"/>
      <c r="KX312" s="55">
        <f t="shared" si="2092"/>
        <v>46288</v>
      </c>
      <c r="KY312" s="56"/>
      <c r="KZ312" s="242">
        <f>SUMPRODUCT(PRODUCE!$B311:$DY311,PRODUCE!$EB$41:$IY$41)</f>
        <v>0</v>
      </c>
      <c r="LA312" s="56"/>
      <c r="LB312" s="242">
        <f t="shared" si="2093"/>
        <v>0</v>
      </c>
      <c r="LC312" s="242">
        <f t="shared" si="2094"/>
        <v>3690</v>
      </c>
      <c r="LD312" s="56"/>
      <c r="LG312" s="55">
        <f t="shared" si="2095"/>
        <v>46288</v>
      </c>
      <c r="LH312" s="56"/>
      <c r="LI312" s="242">
        <f>SUMPRODUCT(PRODUCE!$B311:$DY311,PRODUCE!$EB$42:$IY$42)</f>
        <v>0</v>
      </c>
      <c r="LJ312" s="56"/>
      <c r="LK312" s="242">
        <f t="shared" si="2096"/>
        <v>0</v>
      </c>
      <c r="LL312" s="242">
        <f t="shared" si="2097"/>
        <v>4000</v>
      </c>
      <c r="LM312" s="56"/>
      <c r="LP312" s="55">
        <f t="shared" si="2098"/>
        <v>46288</v>
      </c>
      <c r="LQ312" s="56"/>
      <c r="LR312" s="242">
        <f>SUMPRODUCT(PRODUCE!$B327:$DY327,PRODUCE!$EB$43:$IY$43)</f>
        <v>0</v>
      </c>
      <c r="LS312" s="56"/>
      <c r="LT312" s="242">
        <f t="shared" si="2099"/>
        <v>0</v>
      </c>
      <c r="LU312" s="242">
        <f t="shared" si="2100"/>
        <v>0</v>
      </c>
      <c r="LV312" s="56"/>
      <c r="LY312" s="55">
        <f t="shared" si="2101"/>
        <v>46288</v>
      </c>
      <c r="LZ312" s="56"/>
      <c r="MA312" s="242">
        <f>SUMPRODUCT(PRODUCE!$B311:$DY311,PRODUCE!$EB$44:$IY$44)</f>
        <v>0</v>
      </c>
      <c r="MB312" s="56"/>
      <c r="MC312" s="242">
        <f t="shared" si="2102"/>
        <v>0</v>
      </c>
      <c r="MD312" s="242">
        <f t="shared" si="2103"/>
        <v>0</v>
      </c>
      <c r="ME312" s="56"/>
      <c r="MH312" s="55">
        <f t="shared" si="2104"/>
        <v>46288</v>
      </c>
      <c r="MI312" s="56"/>
      <c r="MJ312" s="242">
        <f>SUMPRODUCT(PRODUCE!$B311:$DY311,PRODUCE!$EB$45:$IY$45)</f>
        <v>0</v>
      </c>
      <c r="MK312" s="56"/>
      <c r="ML312" s="242">
        <f t="shared" si="2105"/>
        <v>0</v>
      </c>
      <c r="MM312" s="242">
        <f t="shared" si="2106"/>
        <v>0</v>
      </c>
      <c r="MN312" s="56"/>
      <c r="MQ312" s="55">
        <f t="shared" si="2107"/>
        <v>46288</v>
      </c>
      <c r="MR312" s="56"/>
      <c r="MS312" s="242">
        <f>SUMPRODUCT(PRODUCE!$B311:$DY311,PRODUCE!$EB$46:$IY$46)</f>
        <v>0</v>
      </c>
      <c r="MT312" s="56"/>
      <c r="MU312" s="242">
        <f t="shared" si="2108"/>
        <v>0</v>
      </c>
      <c r="MV312" s="242">
        <f t="shared" si="2109"/>
        <v>1625</v>
      </c>
      <c r="MW312" s="56"/>
      <c r="MZ312" s="55">
        <f t="shared" si="2110"/>
        <v>46288</v>
      </c>
      <c r="NA312" s="56"/>
      <c r="NB312" s="242">
        <f>SUMPRODUCT(PRODUCE!$B311:$DY311,PRODUCE!$EB$47:$IY$47)</f>
        <v>0</v>
      </c>
      <c r="NC312" s="56"/>
      <c r="ND312" s="242">
        <f t="shared" si="2111"/>
        <v>0</v>
      </c>
      <c r="NE312" s="242">
        <f t="shared" si="2112"/>
        <v>0</v>
      </c>
      <c r="NF312" s="56"/>
      <c r="NI312" s="55">
        <f t="shared" si="2113"/>
        <v>46288</v>
      </c>
      <c r="NJ312" s="56"/>
      <c r="NK312" s="242">
        <f>SUMPRODUCT(PRODUCE!$B311:$DY311,PRODUCE!$EB$48:$IY$48)</f>
        <v>0</v>
      </c>
      <c r="NL312" s="56"/>
      <c r="NM312" s="242">
        <f t="shared" si="2114"/>
        <v>0</v>
      </c>
      <c r="NN312" s="242">
        <f t="shared" si="2115"/>
        <v>1127</v>
      </c>
      <c r="NO312" s="56"/>
      <c r="NR312" s="55">
        <f t="shared" si="2116"/>
        <v>46288</v>
      </c>
      <c r="NS312" s="56"/>
      <c r="NT312" s="242">
        <f>SUMPRODUCT(PRODUCE!$B311:$DY311,PRODUCE!$EB$49:$IY$49)</f>
        <v>0</v>
      </c>
      <c r="NU312" s="56"/>
      <c r="NV312" s="242">
        <f t="shared" si="2117"/>
        <v>0</v>
      </c>
      <c r="NW312" s="242">
        <f t="shared" si="2118"/>
        <v>3111.9999999999995</v>
      </c>
      <c r="NX312" s="56"/>
      <c r="OA312" s="55">
        <f t="shared" si="2119"/>
        <v>46288</v>
      </c>
      <c r="OB312" s="56"/>
      <c r="OC312" s="242">
        <f>SUMPRODUCT(PRODUCE!$B311:$DY311,PRODUCE!$EB$50:$IY$50)</f>
        <v>0</v>
      </c>
      <c r="OD312" s="56"/>
      <c r="OE312" s="242">
        <f t="shared" si="2120"/>
        <v>0</v>
      </c>
      <c r="OF312" s="242">
        <f t="shared" si="2121"/>
        <v>1680.5</v>
      </c>
      <c r="OG312" s="56"/>
      <c r="OJ312" s="55">
        <f t="shared" si="2122"/>
        <v>46288</v>
      </c>
      <c r="OK312" s="56"/>
      <c r="OL312" s="242">
        <f>SUMPRODUCT(PRODUCE!$B311:$DY311,PRODUCE!$EB$51:$IY$51)</f>
        <v>0</v>
      </c>
      <c r="OM312" s="56"/>
      <c r="ON312" s="242">
        <f t="shared" si="2123"/>
        <v>0</v>
      </c>
      <c r="OO312" s="242">
        <f t="shared" si="2124"/>
        <v>0</v>
      </c>
      <c r="OP312" s="56"/>
      <c r="OS312" s="55">
        <f t="shared" si="2125"/>
        <v>46288</v>
      </c>
      <c r="OT312" s="56"/>
      <c r="OU312" s="242">
        <f>SUMPRODUCT(PRODUCE!$B311:$DY311,PRODUCE!$EB$52:$IY$52)</f>
        <v>0</v>
      </c>
      <c r="OV312" s="56"/>
      <c r="OW312" s="242">
        <f t="shared" si="2126"/>
        <v>0</v>
      </c>
      <c r="OX312" s="242">
        <f t="shared" si="2127"/>
        <v>1482</v>
      </c>
      <c r="OY312" s="56"/>
      <c r="PB312" s="55">
        <f t="shared" si="2128"/>
        <v>46288</v>
      </c>
      <c r="PC312" s="56"/>
      <c r="PD312" s="242">
        <f>SUMPRODUCT(PRODUCE!$B311:$DY311,PRODUCE!$EB$53:$IY$53)</f>
        <v>0</v>
      </c>
      <c r="PE312" s="56"/>
      <c r="PF312" s="242">
        <f t="shared" si="2129"/>
        <v>0</v>
      </c>
      <c r="PG312" s="242">
        <f t="shared" si="2130"/>
        <v>0</v>
      </c>
      <c r="PH312" s="56"/>
      <c r="PK312" s="55">
        <f t="shared" si="2131"/>
        <v>46288</v>
      </c>
      <c r="PL312" s="56"/>
      <c r="PM312" s="242">
        <f>SUMPRODUCT(PRODUCE!$B311:$DY311,PRODUCE!$EB$54:$IY$54)</f>
        <v>0</v>
      </c>
      <c r="PN312" s="56"/>
      <c r="PO312" s="242">
        <f t="shared" si="2132"/>
        <v>0</v>
      </c>
      <c r="PP312" s="242">
        <f t="shared" si="2133"/>
        <v>100</v>
      </c>
      <c r="PQ312" s="56"/>
      <c r="PT312" s="55">
        <f t="shared" si="2134"/>
        <v>46288</v>
      </c>
      <c r="PU312" s="56"/>
      <c r="PV312" s="242">
        <f>SUMPRODUCT(PRODUCE!$B311:$DY311,PRODUCE!$EB$55:$IY$55)</f>
        <v>0</v>
      </c>
      <c r="PW312" s="56"/>
      <c r="PX312" s="242">
        <f t="shared" si="2135"/>
        <v>0</v>
      </c>
      <c r="PY312" s="242">
        <f t="shared" si="2136"/>
        <v>13.960000000000036</v>
      </c>
      <c r="PZ312" s="56"/>
      <c r="QC312" s="55">
        <f t="shared" si="2137"/>
        <v>46288</v>
      </c>
      <c r="QD312" s="56"/>
      <c r="QE312" s="242">
        <f>SUMPRODUCT(PRODUCE!$B311:$DY311,PRODUCE!$EB$56:$IY$56)</f>
        <v>0</v>
      </c>
      <c r="QF312" s="56"/>
      <c r="QG312" s="242">
        <f t="shared" si="2138"/>
        <v>0</v>
      </c>
      <c r="QH312" s="242">
        <f t="shared" si="2139"/>
        <v>548</v>
      </c>
      <c r="QI312" s="56"/>
      <c r="QL312" s="55">
        <f t="shared" si="2140"/>
        <v>46288</v>
      </c>
      <c r="QM312" s="56"/>
      <c r="QN312" s="242">
        <f>SUMPRODUCT(PRODUCE!$B311:$DY311,PRODUCE!$EB$57:$IY$57)</f>
        <v>0</v>
      </c>
      <c r="QO312" s="56"/>
      <c r="QP312" s="242">
        <f t="shared" si="2141"/>
        <v>0</v>
      </c>
      <c r="QQ312" s="242">
        <f t="shared" si="2142"/>
        <v>0</v>
      </c>
      <c r="QR312" s="56"/>
      <c r="QU312" s="55">
        <f t="shared" si="2143"/>
        <v>46288</v>
      </c>
      <c r="QV312" s="56"/>
      <c r="QW312" s="242">
        <f>SUMPRODUCT(PRODUCE!$B311:$DY311,PRODUCE!$EB$57:$IY$57)</f>
        <v>0</v>
      </c>
      <c r="QX312" s="56"/>
      <c r="QY312" s="242">
        <f t="shared" si="2144"/>
        <v>0</v>
      </c>
      <c r="QZ312" s="242">
        <f t="shared" si="2145"/>
        <v>0</v>
      </c>
      <c r="RA312" s="56"/>
      <c r="RD312" s="55">
        <f t="shared" si="2146"/>
        <v>46288</v>
      </c>
      <c r="RE312" s="56"/>
      <c r="RF312" s="242">
        <f>SUMPRODUCT(PRODUCE!$B311:$DY311,PRODUCE!$EB$58:$IY$58)</f>
        <v>0</v>
      </c>
      <c r="RG312" s="56"/>
      <c r="RH312" s="242">
        <f t="shared" si="2147"/>
        <v>0</v>
      </c>
      <c r="RI312" s="242">
        <f t="shared" si="2148"/>
        <v>147.04000000000002</v>
      </c>
      <c r="RJ312" s="56"/>
      <c r="RM312" s="55">
        <f t="shared" si="2149"/>
        <v>46288</v>
      </c>
      <c r="RN312" s="56"/>
      <c r="RO312" s="242">
        <f>SUMPRODUCT(PRODUCE!$B311:$DY311,PRODUCE!$EB$59:$IY$59)</f>
        <v>0</v>
      </c>
      <c r="RP312" s="56"/>
      <c r="RQ312" s="242">
        <f t="shared" si="2150"/>
        <v>0</v>
      </c>
      <c r="RR312" s="242">
        <f t="shared" si="2151"/>
        <v>46.8</v>
      </c>
      <c r="RS312" s="56"/>
      <c r="RV312" s="55">
        <f t="shared" si="2152"/>
        <v>46288</v>
      </c>
      <c r="RW312" s="56"/>
      <c r="RX312" s="242">
        <f>SUMPRODUCT(PRODUCE!$B311:$DY311,PRODUCE!$EB$57:$IY$57)</f>
        <v>0</v>
      </c>
      <c r="RY312" s="56"/>
      <c r="RZ312" s="242">
        <f t="shared" si="2153"/>
        <v>0</v>
      </c>
      <c r="SA312" s="242">
        <f t="shared" si="2154"/>
        <v>0</v>
      </c>
      <c r="SB312" s="56"/>
      <c r="SE312" s="55">
        <f t="shared" si="2155"/>
        <v>46288</v>
      </c>
      <c r="SF312" s="56"/>
      <c r="SG312" s="242">
        <f>SUMPRODUCT(PRODUCE!$B311:$DY311,PRODUCE!$EB$61:$IY$61)</f>
        <v>0</v>
      </c>
      <c r="SH312" s="56"/>
      <c r="SI312" s="242">
        <f t="shared" si="2156"/>
        <v>0</v>
      </c>
      <c r="SJ312" s="242">
        <f t="shared" si="2157"/>
        <v>24.200000000000003</v>
      </c>
      <c r="SK312" s="56"/>
      <c r="SN312" s="55">
        <f t="shared" si="2158"/>
        <v>46288</v>
      </c>
      <c r="SO312" s="56"/>
      <c r="SP312" s="242">
        <f>SUMPRODUCT(PRODUCE!$B311:$DY311,PRODUCE!$EB$57:$IY$57)</f>
        <v>0</v>
      </c>
      <c r="SQ312" s="56"/>
      <c r="SR312" s="242">
        <f t="shared" si="2159"/>
        <v>0</v>
      </c>
      <c r="SS312" s="242">
        <f t="shared" si="2160"/>
        <v>32</v>
      </c>
      <c r="ST312" s="56"/>
      <c r="SW312" s="55">
        <f t="shared" si="2161"/>
        <v>46288</v>
      </c>
      <c r="SX312" s="56"/>
      <c r="SY312" s="242">
        <f>SUMPRODUCT(PRODUCE!$B311:$DY311,PRODUCE!$EB$57:$IY$57)</f>
        <v>0</v>
      </c>
      <c r="SZ312" s="56"/>
      <c r="TA312" s="242">
        <f t="shared" si="2162"/>
        <v>0</v>
      </c>
      <c r="TB312" s="242">
        <f t="shared" si="2163"/>
        <v>0</v>
      </c>
      <c r="TC312" s="56"/>
      <c r="TF312" s="55">
        <f t="shared" si="2164"/>
        <v>46288</v>
      </c>
      <c r="TG312" s="56"/>
      <c r="TH312" s="242">
        <f>SUMPRODUCT(PRODUCE!$B311:$DY311,PRODUCE!$EB$57:$IY$57)</f>
        <v>0</v>
      </c>
      <c r="TI312" s="56"/>
      <c r="TJ312" s="242">
        <f t="shared" si="2165"/>
        <v>0</v>
      </c>
      <c r="TK312" s="242">
        <f t="shared" si="2166"/>
        <v>0</v>
      </c>
      <c r="TL312" s="56"/>
      <c r="TO312" s="55">
        <f t="shared" si="2167"/>
        <v>46288</v>
      </c>
      <c r="TP312" s="56"/>
      <c r="TQ312" s="242">
        <f>SUMPRODUCT(PRODUCE!$B311:$DY311,PRODUCE!$EB$57:$IY$57)</f>
        <v>0</v>
      </c>
      <c r="TR312" s="56"/>
      <c r="TS312" s="242">
        <f t="shared" si="2168"/>
        <v>0</v>
      </c>
      <c r="TT312" s="242">
        <f t="shared" si="2169"/>
        <v>0</v>
      </c>
      <c r="TU312" s="56"/>
      <c r="TX312" s="55">
        <f t="shared" si="2170"/>
        <v>46288</v>
      </c>
      <c r="TY312" s="56"/>
      <c r="TZ312" s="242">
        <f>SUMPRODUCT(PRODUCE!$B311:$DY311,PRODUCE!$EB$57:$IY$57)</f>
        <v>0</v>
      </c>
      <c r="UA312" s="56"/>
      <c r="UB312" s="242">
        <f t="shared" si="2171"/>
        <v>0</v>
      </c>
      <c r="UC312" s="242">
        <f t="shared" si="2172"/>
        <v>46.799999999999983</v>
      </c>
      <c r="UD312" s="56"/>
      <c r="UG312" s="55">
        <f t="shared" si="2173"/>
        <v>46288</v>
      </c>
      <c r="UH312" s="56"/>
      <c r="UI312" s="242">
        <f>SUMPRODUCT(PRODUCE!$B311:$DY311,PRODUCE!$EB$57:$IY$57)</f>
        <v>0</v>
      </c>
      <c r="UJ312" s="56"/>
      <c r="UK312" s="242">
        <f t="shared" si="2174"/>
        <v>0</v>
      </c>
      <c r="UL312" s="242">
        <f t="shared" si="2175"/>
        <v>204</v>
      </c>
      <c r="UM312" s="56"/>
      <c r="UP312" s="55">
        <f t="shared" si="2176"/>
        <v>46288</v>
      </c>
      <c r="UQ312" s="56"/>
      <c r="UR312" s="242">
        <f>SUMPRODUCT(PRODUCE!$B311:$DY311,PRODUCE!$EB$57:$IY$57)</f>
        <v>0</v>
      </c>
      <c r="US312" s="56"/>
      <c r="UT312" s="242">
        <f t="shared" si="2177"/>
        <v>0</v>
      </c>
      <c r="UU312" s="242">
        <f t="shared" si="2178"/>
        <v>202.5</v>
      </c>
      <c r="UV312" s="56"/>
      <c r="UY312" s="55">
        <f t="shared" si="2179"/>
        <v>46288</v>
      </c>
      <c r="UZ312" s="56"/>
      <c r="VA312" s="242">
        <f>SUMPRODUCT(PRODUCE!$B311:$DY311,PRODUCE!$EB$57:$IY$57)</f>
        <v>0</v>
      </c>
      <c r="VB312" s="56"/>
      <c r="VC312" s="242">
        <f t="shared" si="2180"/>
        <v>0</v>
      </c>
      <c r="VD312" s="242">
        <f t="shared" si="2181"/>
        <v>41.600000000000023</v>
      </c>
      <c r="VE312" s="56"/>
      <c r="VH312" s="55">
        <f t="shared" si="2182"/>
        <v>46288</v>
      </c>
      <c r="VI312" s="56"/>
      <c r="VJ312" s="242">
        <f>SUMPRODUCT(PRODUCE!$B311:$DY311,PRODUCE!$EB$57:$IY$57)</f>
        <v>0</v>
      </c>
      <c r="VK312" s="56"/>
      <c r="VL312" s="242">
        <f t="shared" si="2183"/>
        <v>0</v>
      </c>
      <c r="VM312" s="242">
        <f t="shared" si="2184"/>
        <v>210</v>
      </c>
      <c r="VN312" s="56"/>
      <c r="VQ312" s="55">
        <f t="shared" si="2185"/>
        <v>46288</v>
      </c>
      <c r="VR312" s="56"/>
      <c r="VS312" s="242">
        <f>SUMPRODUCT(PRODUCE!$B311:$DY311,PRODUCE!$EB$57:$IY$57)</f>
        <v>0</v>
      </c>
      <c r="VT312" s="56"/>
      <c r="VU312" s="242">
        <f t="shared" si="2186"/>
        <v>0</v>
      </c>
      <c r="VV312" s="242">
        <f t="shared" si="2187"/>
        <v>0</v>
      </c>
      <c r="VW312" s="56"/>
      <c r="VZ312" s="55">
        <f t="shared" si="2188"/>
        <v>46288</v>
      </c>
      <c r="WA312" s="56"/>
      <c r="WB312" s="242">
        <f>SUMPRODUCT(PRODUCE!$B311:$DY311,PRODUCE!$EB$57:$IY$57)</f>
        <v>0</v>
      </c>
      <c r="WC312" s="56"/>
      <c r="WD312" s="242">
        <f t="shared" si="2189"/>
        <v>0</v>
      </c>
      <c r="WE312" s="242">
        <f t="shared" si="2190"/>
        <v>0</v>
      </c>
      <c r="WF312" s="56"/>
      <c r="WI312" s="55">
        <f t="shared" si="2191"/>
        <v>46288</v>
      </c>
      <c r="WJ312" s="56"/>
      <c r="WK312" s="242">
        <f>SUMPRODUCT(PRODUCE!$B311:$DY311,PRODUCE!$EB$57:$IY$57)</f>
        <v>0</v>
      </c>
      <c r="WL312" s="56"/>
      <c r="WM312" s="242">
        <f t="shared" si="2192"/>
        <v>0</v>
      </c>
      <c r="WN312" s="242">
        <f t="shared" si="2193"/>
        <v>1057</v>
      </c>
      <c r="WO312" s="56"/>
      <c r="WR312" s="55">
        <f t="shared" si="2194"/>
        <v>46288</v>
      </c>
      <c r="WS312" s="56"/>
      <c r="WT312" s="242">
        <f>SUMPRODUCT(PRODUCE!$B311:$DY311,PRODUCE!$EB$57:$IY$57)</f>
        <v>0</v>
      </c>
      <c r="WU312" s="56"/>
      <c r="WV312" s="242">
        <f t="shared" si="2195"/>
        <v>0</v>
      </c>
      <c r="WW312" s="242">
        <f t="shared" si="2196"/>
        <v>0</v>
      </c>
      <c r="WX312" s="56"/>
      <c r="XA312" s="55">
        <f t="shared" si="2197"/>
        <v>46288</v>
      </c>
      <c r="XB312" s="56"/>
      <c r="XC312" s="242">
        <f>SUMPRODUCT(PRODUCE!$B311:$DY311,PRODUCE!$EB$57:$IY$57)</f>
        <v>0</v>
      </c>
      <c r="XD312" s="56"/>
      <c r="XE312" s="242">
        <f t="shared" si="2198"/>
        <v>0</v>
      </c>
      <c r="XF312" s="242">
        <f t="shared" si="2199"/>
        <v>7507</v>
      </c>
      <c r="XG312" s="56"/>
      <c r="XJ312" s="55">
        <f t="shared" si="2200"/>
        <v>46288</v>
      </c>
      <c r="XK312" s="56"/>
      <c r="XL312" s="242">
        <f>SUMPRODUCT(PRODUCE!$B311:$DY311,PRODUCE!$EB$57:$IY$57)</f>
        <v>0</v>
      </c>
      <c r="XM312" s="56"/>
      <c r="XN312" s="242">
        <f t="shared" si="2201"/>
        <v>0</v>
      </c>
      <c r="XO312" s="242">
        <f t="shared" si="2202"/>
        <v>4252</v>
      </c>
      <c r="XP312" s="56"/>
      <c r="XS312" s="55">
        <f t="shared" si="2203"/>
        <v>46288</v>
      </c>
      <c r="XT312" s="56"/>
      <c r="XU312" s="242">
        <f>SUMPRODUCT(PRODUCE!$B311:$DY311,PRODUCE!$EB$57:$IY$57)</f>
        <v>0</v>
      </c>
      <c r="XV312" s="56"/>
      <c r="XW312" s="242">
        <f t="shared" si="2204"/>
        <v>0</v>
      </c>
      <c r="XX312" s="242">
        <f t="shared" si="2205"/>
        <v>2179</v>
      </c>
      <c r="XY312" s="56"/>
      <c r="YB312" s="55">
        <f t="shared" si="2206"/>
        <v>46288</v>
      </c>
      <c r="YC312" s="56"/>
      <c r="YD312" s="242">
        <f>SUMPRODUCT(PRODUCE!$B311:$DY311,PRODUCE!$EB$57:$IY$57)</f>
        <v>0</v>
      </c>
      <c r="YE312" s="56"/>
      <c r="YF312" s="242">
        <f t="shared" si="2207"/>
        <v>0</v>
      </c>
      <c r="YG312" s="242">
        <f t="shared" si="2208"/>
        <v>4019</v>
      </c>
      <c r="YH312" s="56"/>
      <c r="YK312" s="55">
        <f t="shared" si="2209"/>
        <v>46288</v>
      </c>
      <c r="YL312" s="56"/>
      <c r="YM312" s="242">
        <f>SUMPRODUCT(PRODUCE!$B311:$DY311,PRODUCE!$EB$57:$IY$57)</f>
        <v>0</v>
      </c>
      <c r="YN312" s="56"/>
      <c r="YO312" s="242">
        <f t="shared" si="2210"/>
        <v>0</v>
      </c>
      <c r="YP312" s="242">
        <f t="shared" si="2211"/>
        <v>-218</v>
      </c>
      <c r="YQ312" s="56"/>
      <c r="YT312" s="55">
        <f t="shared" si="2212"/>
        <v>46288</v>
      </c>
      <c r="YU312" s="56"/>
      <c r="YV312" s="242">
        <f>SUMPRODUCT(PRODUCE!$B311:$DY311,PRODUCE!$EB$57:$IY$57)</f>
        <v>0</v>
      </c>
      <c r="YW312" s="56"/>
      <c r="YX312" s="242">
        <f t="shared" si="2213"/>
        <v>0</v>
      </c>
      <c r="YY312" s="242">
        <f t="shared" si="2214"/>
        <v>0</v>
      </c>
      <c r="YZ312" s="56"/>
      <c r="ZC312" s="55">
        <f t="shared" si="2215"/>
        <v>46288</v>
      </c>
      <c r="ZD312" s="56"/>
      <c r="ZE312" s="242">
        <f>SUMPRODUCT(PRODUCE!$B311:$DY311,PRODUCE!$EB$57:$IY$57)</f>
        <v>0</v>
      </c>
      <c r="ZF312" s="56"/>
      <c r="ZG312" s="242">
        <f t="shared" si="2216"/>
        <v>0</v>
      </c>
      <c r="ZH312" s="242">
        <f t="shared" si="2217"/>
        <v>0</v>
      </c>
      <c r="ZI312" s="56"/>
      <c r="ZL312" s="55">
        <f t="shared" si="2218"/>
        <v>46288</v>
      </c>
      <c r="ZM312" s="56"/>
      <c r="ZN312" s="242">
        <f>SUMPRODUCT(PRODUCE!$B311:$DY311,PRODUCE!$EB$57:$IY$57)</f>
        <v>0</v>
      </c>
      <c r="ZO312" s="56"/>
      <c r="ZP312" s="242">
        <f t="shared" si="2219"/>
        <v>0</v>
      </c>
      <c r="ZQ312" s="242">
        <f t="shared" si="2220"/>
        <v>0</v>
      </c>
      <c r="ZR312" s="56"/>
      <c r="ZU312" s="55">
        <f t="shared" si="2221"/>
        <v>46288</v>
      </c>
      <c r="ZV312" s="56"/>
      <c r="ZW312" s="242">
        <f>SUMPRODUCT(PRODUCE!$B311:$DY311,PRODUCE!$EB$57:$IY$57)</f>
        <v>0</v>
      </c>
      <c r="ZX312" s="56"/>
      <c r="ZY312" s="242">
        <f t="shared" si="2222"/>
        <v>0</v>
      </c>
      <c r="ZZ312" s="242">
        <f t="shared" si="2223"/>
        <v>0</v>
      </c>
      <c r="AAA312" s="56"/>
      <c r="AAD312" s="55">
        <f t="shared" si="2224"/>
        <v>46288</v>
      </c>
      <c r="AAE312" s="56"/>
      <c r="AAF312" s="242">
        <f>SUMPRODUCT(PRODUCE!$B311:$DY311,PRODUCE!$EB$57:$IY$57)</f>
        <v>0</v>
      </c>
      <c r="AAG312" s="56"/>
      <c r="AAH312" s="242">
        <f t="shared" si="2225"/>
        <v>0</v>
      </c>
      <c r="AAI312" s="242">
        <f t="shared" si="2226"/>
        <v>0</v>
      </c>
      <c r="AAJ312" s="56"/>
      <c r="AAM312" s="55">
        <f t="shared" si="2227"/>
        <v>46288</v>
      </c>
      <c r="AAN312" s="56"/>
      <c r="AAO312" s="242">
        <f>SUMPRODUCT(PRODUCE!$B311:$DY311,PRODUCE!$EB$57:$IY$57)</f>
        <v>0</v>
      </c>
      <c r="AAP312" s="56"/>
      <c r="AAQ312" s="242">
        <f t="shared" si="2228"/>
        <v>0</v>
      </c>
      <c r="AAR312" s="242">
        <f t="shared" si="2229"/>
        <v>0</v>
      </c>
      <c r="AAS312" s="56"/>
      <c r="AAV312" s="55">
        <f t="shared" si="2230"/>
        <v>46288</v>
      </c>
      <c r="AAW312" s="56"/>
      <c r="AAX312" s="242">
        <f>SUMPRODUCT(PRODUCE!$B311:$DY311,PRODUCE!$EB$57:$IY$57)</f>
        <v>0</v>
      </c>
      <c r="AAY312" s="56"/>
      <c r="AAZ312" s="242">
        <f t="shared" si="2231"/>
        <v>0</v>
      </c>
      <c r="ABA312" s="242">
        <f t="shared" si="2232"/>
        <v>0</v>
      </c>
      <c r="ABB312" s="56"/>
      <c r="ABE312" s="55">
        <f t="shared" si="2233"/>
        <v>46288</v>
      </c>
      <c r="ABF312" s="56"/>
      <c r="ABG312" s="242">
        <f>SUMPRODUCT(PRODUCE!$B311:$DY311,PRODUCE!$EB$57:$IY$57)</f>
        <v>0</v>
      </c>
      <c r="ABH312" s="56"/>
      <c r="ABI312" s="242">
        <f t="shared" si="2234"/>
        <v>0</v>
      </c>
      <c r="ABJ312" s="242">
        <f t="shared" si="2235"/>
        <v>0</v>
      </c>
      <c r="ABK312" s="56"/>
    </row>
    <row r="313" spans="2:739" s="54" customFormat="1" ht="15" customHeight="1" outlineLevel="1">
      <c r="B313" s="478"/>
      <c r="C313" s="55">
        <v>46289</v>
      </c>
      <c r="D313" s="56"/>
      <c r="E313" s="57">
        <f>SUMPRODUCT(PRODUCE!$B312:$DY312,PRODUCE!$EB$7:$IY$7)</f>
        <v>0</v>
      </c>
      <c r="F313" s="56"/>
      <c r="G313" s="57">
        <f t="shared" si="1992"/>
        <v>0</v>
      </c>
      <c r="H313" s="57">
        <f t="shared" si="1993"/>
        <v>236936.6</v>
      </c>
      <c r="I313" s="289"/>
      <c r="L313" s="55">
        <f t="shared" si="1994"/>
        <v>46289</v>
      </c>
      <c r="M313" s="56"/>
      <c r="N313" s="59">
        <f>SUMPRODUCT(PRODUCE!$B312:$DY312,PRODUCE!$EB$8:$IY$8)</f>
        <v>0</v>
      </c>
      <c r="O313" s="56"/>
      <c r="P313" s="59">
        <f t="shared" si="1995"/>
        <v>0</v>
      </c>
      <c r="Q313" s="59">
        <f t="shared" si="1996"/>
        <v>53017.600000000071</v>
      </c>
      <c r="R313" s="56"/>
      <c r="U313" s="55">
        <f t="shared" si="1997"/>
        <v>46289</v>
      </c>
      <c r="V313" s="56"/>
      <c r="W313" s="60">
        <f>SUMPRODUCT(PRODUCE!$B312:$DY312,PRODUCE!$EB$9:$IY$9)</f>
        <v>0</v>
      </c>
      <c r="X313" s="56"/>
      <c r="Y313" s="60">
        <f t="shared" si="1998"/>
        <v>0</v>
      </c>
      <c r="Z313" s="60">
        <f t="shared" si="1999"/>
        <v>42674.199999999968</v>
      </c>
      <c r="AA313" s="56"/>
      <c r="AD313" s="55">
        <f t="shared" si="2000"/>
        <v>46289</v>
      </c>
      <c r="AE313" s="56"/>
      <c r="AF313" s="61">
        <f>SUMPRODUCT(PRODUCE!$B312:$DY312,PRODUCE!$EB$10:$IY$10)</f>
        <v>0</v>
      </c>
      <c r="AG313" s="56"/>
      <c r="AH313" s="61">
        <f t="shared" si="2001"/>
        <v>0</v>
      </c>
      <c r="AI313" s="61">
        <f t="shared" si="2002"/>
        <v>4522.2000000000189</v>
      </c>
      <c r="AJ313" s="56"/>
      <c r="AM313" s="55">
        <f t="shared" si="2003"/>
        <v>46289</v>
      </c>
      <c r="AN313" s="422"/>
      <c r="AO313" s="444">
        <f>SUMPRODUCT(PRODUCE!$B312:$DY312,PRODUCE!$EB$11:$IY$11)</f>
        <v>0</v>
      </c>
      <c r="AP313" s="422"/>
      <c r="AQ313" s="444">
        <f t="shared" si="2004"/>
        <v>0</v>
      </c>
      <c r="AR313" s="444">
        <f t="shared" si="2005"/>
        <v>0</v>
      </c>
      <c r="AS313" s="56"/>
      <c r="AV313" s="55">
        <f t="shared" si="2006"/>
        <v>46289</v>
      </c>
      <c r="AW313" s="56"/>
      <c r="AX313" s="62">
        <f>SUMPRODUCT(PRODUCE!$B312:$DY312,PRODUCE!$EB$12:$IY$12)</f>
        <v>0</v>
      </c>
      <c r="AY313" s="56"/>
      <c r="AZ313" s="62">
        <f t="shared" si="2007"/>
        <v>0</v>
      </c>
      <c r="BA313" s="62">
        <f t="shared" si="2008"/>
        <v>124.99999999999523</v>
      </c>
      <c r="BB313" s="56"/>
      <c r="BE313" s="55">
        <f t="shared" si="2009"/>
        <v>46289</v>
      </c>
      <c r="BF313" s="56"/>
      <c r="BG313" s="63">
        <f>SUMPRODUCT(PRODUCE!$B312:$DY312,PRODUCE!$EB$13:$IY$13)</f>
        <v>0</v>
      </c>
      <c r="BH313" s="56"/>
      <c r="BI313" s="63">
        <f t="shared" si="2010"/>
        <v>0</v>
      </c>
      <c r="BJ313" s="63">
        <f t="shared" si="2011"/>
        <v>26151.899999999998</v>
      </c>
      <c r="BK313" s="56"/>
      <c r="BN313" s="55">
        <f t="shared" si="2012"/>
        <v>46289</v>
      </c>
      <c r="BO313" s="56"/>
      <c r="BP313" s="64">
        <f>SUMPRODUCT(PRODUCE!$B312:$DY312,PRODUCE!$EB$14:$IY$14)</f>
        <v>0</v>
      </c>
      <c r="BQ313" s="56"/>
      <c r="BR313" s="64">
        <f t="shared" si="2013"/>
        <v>0</v>
      </c>
      <c r="BS313" s="64">
        <f t="shared" si="2014"/>
        <v>0</v>
      </c>
      <c r="BT313" s="56"/>
      <c r="BW313" s="55">
        <f t="shared" si="2015"/>
        <v>46289</v>
      </c>
      <c r="BX313" s="56"/>
      <c r="BY313" s="65">
        <f>SUMPRODUCT(PRODUCE!$B312:$DY312,PRODUCE!$EB$15:$IY$15)</f>
        <v>0</v>
      </c>
      <c r="BZ313" s="56"/>
      <c r="CA313" s="65">
        <f t="shared" si="2016"/>
        <v>0</v>
      </c>
      <c r="CB313" s="65">
        <f t="shared" si="2017"/>
        <v>2097.3399999999992</v>
      </c>
      <c r="CC313" s="56"/>
      <c r="CF313" s="55">
        <f t="shared" si="2018"/>
        <v>46289</v>
      </c>
      <c r="CG313" s="56"/>
      <c r="CH313" s="66">
        <f>SUMPRODUCT(PRODUCE!$B312:$DY312,PRODUCE!$EB$16:$IY$16)</f>
        <v>0</v>
      </c>
      <c r="CI313" s="56"/>
      <c r="CJ313" s="66">
        <f t="shared" si="2019"/>
        <v>0</v>
      </c>
      <c r="CK313" s="66">
        <f t="shared" si="2020"/>
        <v>-10277.079999999998</v>
      </c>
      <c r="CL313" s="56"/>
      <c r="CO313" s="55">
        <f t="shared" si="2021"/>
        <v>46289</v>
      </c>
      <c r="CP313" s="422"/>
      <c r="CQ313" s="470">
        <f>SUMPRODUCT(PRODUCE!$B312:$DY312,PRODUCE!$EB$17:$IY$17)</f>
        <v>0</v>
      </c>
      <c r="CR313" s="422"/>
      <c r="CS313" s="470">
        <f t="shared" si="2022"/>
        <v>0</v>
      </c>
      <c r="CT313" s="470">
        <f t="shared" si="2023"/>
        <v>0</v>
      </c>
      <c r="CU313" s="56"/>
      <c r="CX313" s="55">
        <f t="shared" si="2024"/>
        <v>46289</v>
      </c>
      <c r="CY313" s="56"/>
      <c r="CZ313" s="133">
        <f>SUMPRODUCT(PRODUCE!$B312:$DY312,PRODUCE!$EB$18:$IY$18)</f>
        <v>0</v>
      </c>
      <c r="DA313" s="56"/>
      <c r="DB313" s="133">
        <f t="shared" si="2025"/>
        <v>0</v>
      </c>
      <c r="DC313" s="133">
        <f t="shared" si="2026"/>
        <v>27438.200000000012</v>
      </c>
      <c r="DD313" s="56"/>
      <c r="DG313" s="55">
        <f t="shared" si="2027"/>
        <v>46289</v>
      </c>
      <c r="DH313" s="56"/>
      <c r="DI313" s="147">
        <f>SUMPRODUCT(PRODUCE!$B312:$DY312,PRODUCE!$EB$19:$IY$19)</f>
        <v>0</v>
      </c>
      <c r="DJ313" s="56"/>
      <c r="DK313" s="147">
        <f t="shared" si="2028"/>
        <v>0</v>
      </c>
      <c r="DL313" s="147">
        <f t="shared" si="2029"/>
        <v>18782.299999999981</v>
      </c>
      <c r="DM313" s="56"/>
      <c r="DP313" s="55">
        <f t="shared" si="2030"/>
        <v>46289</v>
      </c>
      <c r="DQ313" s="56"/>
      <c r="DR313" s="57">
        <f>SUMPRODUCT(PRODUCE!$B312:$DY312,PRODUCE!$EB$20:$IY$20)</f>
        <v>0</v>
      </c>
      <c r="DS313" s="56"/>
      <c r="DT313" s="57">
        <f t="shared" si="2031"/>
        <v>0</v>
      </c>
      <c r="DU313" s="57">
        <f t="shared" si="2032"/>
        <v>5800</v>
      </c>
      <c r="DV313" s="56"/>
      <c r="DY313" s="55">
        <f t="shared" si="2033"/>
        <v>46289</v>
      </c>
      <c r="DZ313" s="56"/>
      <c r="EA313" s="157">
        <f>SUMPRODUCT(PRODUCE!$B312:$DY312,PRODUCE!$EB$21:$IY$21)</f>
        <v>0</v>
      </c>
      <c r="EB313" s="56"/>
      <c r="EC313" s="157">
        <f t="shared" si="2034"/>
        <v>0</v>
      </c>
      <c r="ED313" s="157">
        <f t="shared" si="2035"/>
        <v>0</v>
      </c>
      <c r="EE313" s="56"/>
      <c r="EH313" s="55">
        <f t="shared" si="2036"/>
        <v>46289</v>
      </c>
      <c r="EI313" s="56"/>
      <c r="EJ313" s="162">
        <f>SUMPRODUCT(PRODUCE!$B312:$DY312,PRODUCE!$EB$22:$IY$22)</f>
        <v>0</v>
      </c>
      <c r="EK313" s="56"/>
      <c r="EL313" s="162">
        <f t="shared" si="2037"/>
        <v>0</v>
      </c>
      <c r="EM313" s="162">
        <f t="shared" si="2038"/>
        <v>0</v>
      </c>
      <c r="EN313" s="56"/>
      <c r="EQ313" s="55">
        <f t="shared" si="2039"/>
        <v>46289</v>
      </c>
      <c r="ER313" s="56"/>
      <c r="ES313" s="135">
        <f>SUMPRODUCT(PRODUCE!$B312:$DY312,PRODUCE!$EB$23:$IY$23)</f>
        <v>0</v>
      </c>
      <c r="ET313" s="56"/>
      <c r="EU313" s="135">
        <f t="shared" si="2040"/>
        <v>0</v>
      </c>
      <c r="EV313" s="135">
        <f t="shared" si="2041"/>
        <v>0</v>
      </c>
      <c r="EW313" s="56"/>
      <c r="EZ313" s="55">
        <f t="shared" si="2042"/>
        <v>46289</v>
      </c>
      <c r="FA313" s="56"/>
      <c r="FB313" s="175">
        <f>SUMPRODUCT(PRODUCE!$B312:$DY312,PRODUCE!$EB$24:$IY$24)</f>
        <v>0</v>
      </c>
      <c r="FC313" s="56"/>
      <c r="FD313" s="175">
        <f t="shared" si="2043"/>
        <v>0</v>
      </c>
      <c r="FE313" s="175">
        <f t="shared" si="2044"/>
        <v>0</v>
      </c>
      <c r="FF313" s="56"/>
      <c r="FI313" s="55">
        <f t="shared" si="2045"/>
        <v>46289</v>
      </c>
      <c r="FJ313" s="56"/>
      <c r="FK313" s="183">
        <f>SUMPRODUCT(PRODUCE!$B312:$DY312,PRODUCE!$EB$25:$IY$25)</f>
        <v>0</v>
      </c>
      <c r="FL313" s="56"/>
      <c r="FM313" s="183">
        <f t="shared" si="2046"/>
        <v>0</v>
      </c>
      <c r="FN313" s="183">
        <f t="shared" si="2047"/>
        <v>0</v>
      </c>
      <c r="FO313" s="56"/>
      <c r="FR313" s="55">
        <f t="shared" si="2048"/>
        <v>46289</v>
      </c>
      <c r="FS313" s="56"/>
      <c r="FT313" s="186">
        <f>SUMPRODUCT(PRODUCE!$B312:$DY312,PRODUCE!$EB$26:$IY$26)</f>
        <v>0</v>
      </c>
      <c r="FU313" s="56"/>
      <c r="FV313" s="186">
        <f t="shared" si="2049"/>
        <v>0</v>
      </c>
      <c r="FW313" s="186">
        <f t="shared" si="2050"/>
        <v>2020</v>
      </c>
      <c r="FX313" s="56"/>
      <c r="GA313" s="55">
        <f t="shared" si="2051"/>
        <v>46289</v>
      </c>
      <c r="GB313" s="56"/>
      <c r="GC313" s="137">
        <f>SUMPRODUCT(PRODUCE!$B312:$DY312,PRODUCE!$EB$27:$IY$27)</f>
        <v>0</v>
      </c>
      <c r="GD313" s="56"/>
      <c r="GE313" s="137">
        <f t="shared" si="2052"/>
        <v>0</v>
      </c>
      <c r="GF313" s="137">
        <f t="shared" si="2053"/>
        <v>960</v>
      </c>
      <c r="GG313" s="56"/>
      <c r="GI313" s="23"/>
      <c r="GJ313" s="55">
        <f t="shared" si="2054"/>
        <v>46289</v>
      </c>
      <c r="GK313" s="56"/>
      <c r="GL313" s="199">
        <f>SUMPRODUCT(PRODUCE!$B312:$DY312,PRODUCE!$EB$28:$IY$28)</f>
        <v>0</v>
      </c>
      <c r="GM313" s="56"/>
      <c r="GN313" s="199">
        <f t="shared" si="2055"/>
        <v>0</v>
      </c>
      <c r="GO313" s="199">
        <f t="shared" si="2056"/>
        <v>1760</v>
      </c>
      <c r="GP313" s="56"/>
      <c r="GS313" s="55">
        <f t="shared" si="2057"/>
        <v>46289</v>
      </c>
      <c r="GT313" s="56"/>
      <c r="GU313" s="195">
        <f>SUMPRODUCT(PRODUCE!$B312:$DY312,PRODUCE!$EB$29:$IY$29)</f>
        <v>0</v>
      </c>
      <c r="GV313" s="56"/>
      <c r="GW313" s="195">
        <f t="shared" si="2058"/>
        <v>0</v>
      </c>
      <c r="GX313" s="195">
        <f t="shared" si="2059"/>
        <v>400</v>
      </c>
      <c r="GY313" s="56"/>
      <c r="HB313" s="55">
        <f t="shared" si="2060"/>
        <v>46289</v>
      </c>
      <c r="HC313" s="56"/>
      <c r="HD313" s="191">
        <f>SUMPRODUCT(PRODUCE!$B312:$DY312,PRODUCE!$EB$30:$IY$30)</f>
        <v>0</v>
      </c>
      <c r="HE313" s="56"/>
      <c r="HF313" s="191">
        <f t="shared" si="2061"/>
        <v>0</v>
      </c>
      <c r="HG313" s="191">
        <f t="shared" si="2062"/>
        <v>3600</v>
      </c>
      <c r="HH313" s="56"/>
      <c r="HK313" s="55">
        <f t="shared" si="2063"/>
        <v>46289</v>
      </c>
      <c r="HL313" s="56"/>
      <c r="HM313" s="63">
        <f>SUMPRODUCT(PRODUCE!$B312:$DY312,PRODUCE!$EB$31:$IY$31)</f>
        <v>0</v>
      </c>
      <c r="HN313" s="56"/>
      <c r="HO313" s="63">
        <f t="shared" si="2064"/>
        <v>0</v>
      </c>
      <c r="HP313" s="63">
        <f t="shared" si="2065"/>
        <v>0</v>
      </c>
      <c r="HQ313" s="56"/>
      <c r="HU313" s="55">
        <f t="shared" si="2066"/>
        <v>46289</v>
      </c>
      <c r="HV313" s="56"/>
      <c r="HW313" s="242">
        <f>SUMPRODUCT(PRODUCE!$B312:$DY312,PRODUCE!$EB$32:$IY$32)</f>
        <v>0</v>
      </c>
      <c r="HX313" s="56"/>
      <c r="HY313" s="242">
        <f t="shared" si="2236"/>
        <v>0</v>
      </c>
      <c r="HZ313" s="242">
        <f t="shared" si="2067"/>
        <v>6120</v>
      </c>
      <c r="IA313" s="56"/>
      <c r="ID313" s="55">
        <f t="shared" si="2068"/>
        <v>46289</v>
      </c>
      <c r="IE313" s="56"/>
      <c r="IF313" s="242">
        <f>SUMPRODUCT(PRODUCE!$B312:$DY312,PRODUCE!$EB$33:$IY$33)</f>
        <v>0</v>
      </c>
      <c r="IG313" s="56"/>
      <c r="IH313" s="242">
        <f t="shared" si="2069"/>
        <v>0</v>
      </c>
      <c r="II313" s="242">
        <f t="shared" si="2070"/>
        <v>0</v>
      </c>
      <c r="IJ313" s="56"/>
      <c r="IM313" s="55">
        <f t="shared" si="2071"/>
        <v>46289</v>
      </c>
      <c r="IN313" s="56"/>
      <c r="IO313" s="242">
        <f>SUMPRODUCT(PRODUCE!$B312:$DY312,PRODUCE!$EB$34:$IY$34)</f>
        <v>0</v>
      </c>
      <c r="IP313" s="56"/>
      <c r="IQ313" s="242">
        <f t="shared" si="2072"/>
        <v>0</v>
      </c>
      <c r="IR313" s="242">
        <f t="shared" si="2073"/>
        <v>0</v>
      </c>
      <c r="IS313" s="56"/>
      <c r="IV313" s="55">
        <f t="shared" si="2074"/>
        <v>46289</v>
      </c>
      <c r="IW313" s="56"/>
      <c r="IX313" s="242">
        <f>SUMPRODUCT(PRODUCE!$B312:$DY312,PRODUCE!$EB$35:$IY$35)</f>
        <v>0</v>
      </c>
      <c r="IY313" s="56"/>
      <c r="IZ313" s="242">
        <f t="shared" si="2075"/>
        <v>0</v>
      </c>
      <c r="JA313" s="242">
        <f t="shared" si="2076"/>
        <v>2820</v>
      </c>
      <c r="JB313" s="56"/>
      <c r="JE313" s="55">
        <f t="shared" si="2077"/>
        <v>46289</v>
      </c>
      <c r="JF313" s="56"/>
      <c r="JG313" s="242">
        <f>SUMPRODUCT(PRODUCE!$B312:$DY312,PRODUCE!$EB$36:$IY$36)</f>
        <v>0</v>
      </c>
      <c r="JH313" s="56"/>
      <c r="JI313" s="242">
        <f t="shared" si="2078"/>
        <v>0</v>
      </c>
      <c r="JJ313" s="242">
        <f t="shared" si="2079"/>
        <v>0</v>
      </c>
      <c r="JK313" s="56"/>
      <c r="JN313" s="55">
        <f t="shared" si="2080"/>
        <v>46289</v>
      </c>
      <c r="JO313" s="56"/>
      <c r="JP313" s="242">
        <f>SUMPRODUCT(PRODUCE!$B312:$DY312,PRODUCE!$EB$37:$IY$37)</f>
        <v>0</v>
      </c>
      <c r="JQ313" s="56"/>
      <c r="JR313" s="242">
        <f t="shared" si="2081"/>
        <v>0</v>
      </c>
      <c r="JS313" s="242">
        <f t="shared" si="2082"/>
        <v>0</v>
      </c>
      <c r="JT313" s="56"/>
      <c r="JW313" s="55">
        <f t="shared" si="2083"/>
        <v>46289</v>
      </c>
      <c r="JX313" s="56"/>
      <c r="JY313" s="242">
        <f>SUMPRODUCT(PRODUCE!$B312:$DY312,PRODUCE!$EB$38:$IY$38)</f>
        <v>0</v>
      </c>
      <c r="JZ313" s="56"/>
      <c r="KA313" s="242">
        <f t="shared" si="2084"/>
        <v>0</v>
      </c>
      <c r="KB313" s="242">
        <f t="shared" si="2085"/>
        <v>2540</v>
      </c>
      <c r="KC313" s="56"/>
      <c r="KF313" s="55">
        <f t="shared" si="2086"/>
        <v>46289</v>
      </c>
      <c r="KG313" s="56"/>
      <c r="KH313" s="242">
        <f>SUMPRODUCT(PRODUCE!$B312:$DY312,PRODUCE!$EB$39:$IY$39)</f>
        <v>0</v>
      </c>
      <c r="KI313" s="56"/>
      <c r="KJ313" s="242">
        <f t="shared" si="2087"/>
        <v>0</v>
      </c>
      <c r="KK313" s="242">
        <f t="shared" si="2088"/>
        <v>2359.5</v>
      </c>
      <c r="KL313" s="56"/>
      <c r="KO313" s="55">
        <f t="shared" si="2089"/>
        <v>46289</v>
      </c>
      <c r="KP313" s="56"/>
      <c r="KQ313" s="242">
        <f>SUMPRODUCT(PRODUCE!$B312:$DY312,PRODUCE!$EB$40:$IY$40)</f>
        <v>0</v>
      </c>
      <c r="KR313" s="56"/>
      <c r="KS313" s="242">
        <f t="shared" si="2090"/>
        <v>0</v>
      </c>
      <c r="KT313" s="242">
        <f t="shared" si="2091"/>
        <v>1890</v>
      </c>
      <c r="KU313" s="56"/>
      <c r="KW313" s="23"/>
      <c r="KX313" s="55">
        <f t="shared" si="2092"/>
        <v>46289</v>
      </c>
      <c r="KY313" s="56"/>
      <c r="KZ313" s="242">
        <f>SUMPRODUCT(PRODUCE!$B312:$DY312,PRODUCE!$EB$41:$IY$41)</f>
        <v>0</v>
      </c>
      <c r="LA313" s="56"/>
      <c r="LB313" s="242">
        <f t="shared" si="2093"/>
        <v>0</v>
      </c>
      <c r="LC313" s="242">
        <f t="shared" si="2094"/>
        <v>3690</v>
      </c>
      <c r="LD313" s="56"/>
      <c r="LG313" s="55">
        <f t="shared" si="2095"/>
        <v>46289</v>
      </c>
      <c r="LH313" s="56"/>
      <c r="LI313" s="242">
        <f>SUMPRODUCT(PRODUCE!$B312:$DY312,PRODUCE!$EB$42:$IY$42)</f>
        <v>0</v>
      </c>
      <c r="LJ313" s="56"/>
      <c r="LK313" s="242">
        <f t="shared" si="2096"/>
        <v>0</v>
      </c>
      <c r="LL313" s="242">
        <f t="shared" si="2097"/>
        <v>4000</v>
      </c>
      <c r="LM313" s="56"/>
      <c r="LP313" s="55">
        <f t="shared" si="2098"/>
        <v>46289</v>
      </c>
      <c r="LQ313" s="56"/>
      <c r="LR313" s="242">
        <f>SUMPRODUCT(PRODUCE!$B328:$DY328,PRODUCE!$EB$43:$IY$43)</f>
        <v>0</v>
      </c>
      <c r="LS313" s="56"/>
      <c r="LT313" s="242">
        <f t="shared" si="2099"/>
        <v>0</v>
      </c>
      <c r="LU313" s="242">
        <f t="shared" si="2100"/>
        <v>0</v>
      </c>
      <c r="LV313" s="56"/>
      <c r="LY313" s="55">
        <f t="shared" si="2101"/>
        <v>46289</v>
      </c>
      <c r="LZ313" s="56"/>
      <c r="MA313" s="242">
        <f>SUMPRODUCT(PRODUCE!$B312:$DY312,PRODUCE!$EB$44:$IY$44)</f>
        <v>0</v>
      </c>
      <c r="MB313" s="56"/>
      <c r="MC313" s="242">
        <f t="shared" si="2102"/>
        <v>0</v>
      </c>
      <c r="MD313" s="242">
        <f t="shared" si="2103"/>
        <v>0</v>
      </c>
      <c r="ME313" s="56"/>
      <c r="MH313" s="55">
        <f t="shared" si="2104"/>
        <v>46289</v>
      </c>
      <c r="MI313" s="56"/>
      <c r="MJ313" s="242">
        <f>SUMPRODUCT(PRODUCE!$B312:$DY312,PRODUCE!$EB$45:$IY$45)</f>
        <v>0</v>
      </c>
      <c r="MK313" s="56"/>
      <c r="ML313" s="242">
        <f t="shared" si="2105"/>
        <v>0</v>
      </c>
      <c r="MM313" s="242">
        <f t="shared" si="2106"/>
        <v>0</v>
      </c>
      <c r="MN313" s="56"/>
      <c r="MQ313" s="55">
        <f t="shared" si="2107"/>
        <v>46289</v>
      </c>
      <c r="MR313" s="56"/>
      <c r="MS313" s="242">
        <f>SUMPRODUCT(PRODUCE!$B312:$DY312,PRODUCE!$EB$46:$IY$46)</f>
        <v>0</v>
      </c>
      <c r="MT313" s="56"/>
      <c r="MU313" s="242">
        <f t="shared" si="2108"/>
        <v>0</v>
      </c>
      <c r="MV313" s="242">
        <f t="shared" si="2109"/>
        <v>1625</v>
      </c>
      <c r="MW313" s="56"/>
      <c r="MZ313" s="55">
        <f t="shared" si="2110"/>
        <v>46289</v>
      </c>
      <c r="NA313" s="56"/>
      <c r="NB313" s="242">
        <f>SUMPRODUCT(PRODUCE!$B312:$DY312,PRODUCE!$EB$47:$IY$47)</f>
        <v>0</v>
      </c>
      <c r="NC313" s="56"/>
      <c r="ND313" s="242">
        <f t="shared" si="2111"/>
        <v>0</v>
      </c>
      <c r="NE313" s="242">
        <f t="shared" si="2112"/>
        <v>0</v>
      </c>
      <c r="NF313" s="56"/>
      <c r="NI313" s="55">
        <f t="shared" si="2113"/>
        <v>46289</v>
      </c>
      <c r="NJ313" s="56"/>
      <c r="NK313" s="242">
        <f>SUMPRODUCT(PRODUCE!$B312:$DY312,PRODUCE!$EB$48:$IY$48)</f>
        <v>0</v>
      </c>
      <c r="NL313" s="56"/>
      <c r="NM313" s="242">
        <f t="shared" si="2114"/>
        <v>0</v>
      </c>
      <c r="NN313" s="242">
        <f t="shared" si="2115"/>
        <v>1127</v>
      </c>
      <c r="NO313" s="56"/>
      <c r="NR313" s="55">
        <f t="shared" si="2116"/>
        <v>46289</v>
      </c>
      <c r="NS313" s="56"/>
      <c r="NT313" s="242">
        <f>SUMPRODUCT(PRODUCE!$B312:$DY312,PRODUCE!$EB$49:$IY$49)</f>
        <v>0</v>
      </c>
      <c r="NU313" s="56"/>
      <c r="NV313" s="242">
        <f t="shared" si="2117"/>
        <v>0</v>
      </c>
      <c r="NW313" s="242">
        <f t="shared" si="2118"/>
        <v>3111.9999999999995</v>
      </c>
      <c r="NX313" s="56"/>
      <c r="OA313" s="55">
        <f t="shared" si="2119"/>
        <v>46289</v>
      </c>
      <c r="OB313" s="56"/>
      <c r="OC313" s="242">
        <f>SUMPRODUCT(PRODUCE!$B312:$DY312,PRODUCE!$EB$50:$IY$50)</f>
        <v>0</v>
      </c>
      <c r="OD313" s="56"/>
      <c r="OE313" s="242">
        <f t="shared" si="2120"/>
        <v>0</v>
      </c>
      <c r="OF313" s="242">
        <f t="shared" si="2121"/>
        <v>1680.5</v>
      </c>
      <c r="OG313" s="56"/>
      <c r="OJ313" s="55">
        <f t="shared" si="2122"/>
        <v>46289</v>
      </c>
      <c r="OK313" s="56"/>
      <c r="OL313" s="242">
        <f>SUMPRODUCT(PRODUCE!$B312:$DY312,PRODUCE!$EB$51:$IY$51)</f>
        <v>0</v>
      </c>
      <c r="OM313" s="56"/>
      <c r="ON313" s="242">
        <f t="shared" si="2123"/>
        <v>0</v>
      </c>
      <c r="OO313" s="242">
        <f t="shared" si="2124"/>
        <v>0</v>
      </c>
      <c r="OP313" s="56"/>
      <c r="OS313" s="55">
        <f t="shared" si="2125"/>
        <v>46289</v>
      </c>
      <c r="OT313" s="56"/>
      <c r="OU313" s="242">
        <f>SUMPRODUCT(PRODUCE!$B312:$DY312,PRODUCE!$EB$52:$IY$52)</f>
        <v>0</v>
      </c>
      <c r="OV313" s="56"/>
      <c r="OW313" s="242">
        <f t="shared" si="2126"/>
        <v>0</v>
      </c>
      <c r="OX313" s="242">
        <f t="shared" si="2127"/>
        <v>1482</v>
      </c>
      <c r="OY313" s="56"/>
      <c r="PB313" s="55">
        <f t="shared" si="2128"/>
        <v>46289</v>
      </c>
      <c r="PC313" s="56"/>
      <c r="PD313" s="242">
        <f>SUMPRODUCT(PRODUCE!$B312:$DY312,PRODUCE!$EB$53:$IY$53)</f>
        <v>0</v>
      </c>
      <c r="PE313" s="56"/>
      <c r="PF313" s="242">
        <f t="shared" si="2129"/>
        <v>0</v>
      </c>
      <c r="PG313" s="242">
        <f t="shared" si="2130"/>
        <v>0</v>
      </c>
      <c r="PH313" s="56"/>
      <c r="PK313" s="55">
        <f t="shared" si="2131"/>
        <v>46289</v>
      </c>
      <c r="PL313" s="56"/>
      <c r="PM313" s="242">
        <f>SUMPRODUCT(PRODUCE!$B312:$DY312,PRODUCE!$EB$54:$IY$54)</f>
        <v>0</v>
      </c>
      <c r="PN313" s="56"/>
      <c r="PO313" s="242">
        <f t="shared" si="2132"/>
        <v>0</v>
      </c>
      <c r="PP313" s="242">
        <f t="shared" si="2133"/>
        <v>100</v>
      </c>
      <c r="PQ313" s="56"/>
      <c r="PT313" s="55">
        <f t="shared" si="2134"/>
        <v>46289</v>
      </c>
      <c r="PU313" s="56"/>
      <c r="PV313" s="242">
        <f>SUMPRODUCT(PRODUCE!$B312:$DY312,PRODUCE!$EB$55:$IY$55)</f>
        <v>0</v>
      </c>
      <c r="PW313" s="56"/>
      <c r="PX313" s="242">
        <f t="shared" si="2135"/>
        <v>0</v>
      </c>
      <c r="PY313" s="242">
        <f t="shared" si="2136"/>
        <v>13.960000000000036</v>
      </c>
      <c r="PZ313" s="56"/>
      <c r="QC313" s="55">
        <f t="shared" si="2137"/>
        <v>46289</v>
      </c>
      <c r="QD313" s="56"/>
      <c r="QE313" s="242">
        <f>SUMPRODUCT(PRODUCE!$B312:$DY312,PRODUCE!$EB$56:$IY$56)</f>
        <v>0</v>
      </c>
      <c r="QF313" s="56"/>
      <c r="QG313" s="242">
        <f t="shared" si="2138"/>
        <v>0</v>
      </c>
      <c r="QH313" s="242">
        <f t="shared" si="2139"/>
        <v>548</v>
      </c>
      <c r="QI313" s="56"/>
      <c r="QL313" s="55">
        <f t="shared" si="2140"/>
        <v>46289</v>
      </c>
      <c r="QM313" s="56"/>
      <c r="QN313" s="242">
        <f>SUMPRODUCT(PRODUCE!$B312:$DY312,PRODUCE!$EB$57:$IY$57)</f>
        <v>0</v>
      </c>
      <c r="QO313" s="56"/>
      <c r="QP313" s="242">
        <f t="shared" si="2141"/>
        <v>0</v>
      </c>
      <c r="QQ313" s="242">
        <f t="shared" si="2142"/>
        <v>0</v>
      </c>
      <c r="QR313" s="56"/>
      <c r="QU313" s="55">
        <f t="shared" si="2143"/>
        <v>46289</v>
      </c>
      <c r="QV313" s="56"/>
      <c r="QW313" s="242">
        <f>SUMPRODUCT(PRODUCE!$B312:$DY312,PRODUCE!$EB$57:$IY$57)</f>
        <v>0</v>
      </c>
      <c r="QX313" s="56"/>
      <c r="QY313" s="242">
        <f t="shared" si="2144"/>
        <v>0</v>
      </c>
      <c r="QZ313" s="242">
        <f t="shared" si="2145"/>
        <v>0</v>
      </c>
      <c r="RA313" s="56"/>
      <c r="RD313" s="55">
        <f t="shared" si="2146"/>
        <v>46289</v>
      </c>
      <c r="RE313" s="56"/>
      <c r="RF313" s="242">
        <f>SUMPRODUCT(PRODUCE!$B312:$DY312,PRODUCE!$EB$58:$IY$58)</f>
        <v>0</v>
      </c>
      <c r="RG313" s="56"/>
      <c r="RH313" s="242">
        <f t="shared" si="2147"/>
        <v>0</v>
      </c>
      <c r="RI313" s="242">
        <f t="shared" si="2148"/>
        <v>147.04000000000002</v>
      </c>
      <c r="RJ313" s="56"/>
      <c r="RM313" s="55">
        <f t="shared" si="2149"/>
        <v>46289</v>
      </c>
      <c r="RN313" s="56"/>
      <c r="RO313" s="242">
        <f>SUMPRODUCT(PRODUCE!$B312:$DY312,PRODUCE!$EB$59:$IY$59)</f>
        <v>0</v>
      </c>
      <c r="RP313" s="56"/>
      <c r="RQ313" s="242">
        <f t="shared" si="2150"/>
        <v>0</v>
      </c>
      <c r="RR313" s="242">
        <f t="shared" si="2151"/>
        <v>46.8</v>
      </c>
      <c r="RS313" s="56"/>
      <c r="RV313" s="55">
        <f t="shared" si="2152"/>
        <v>46289</v>
      </c>
      <c r="RW313" s="56"/>
      <c r="RX313" s="242">
        <f>SUMPRODUCT(PRODUCE!$B312:$DY312,PRODUCE!$EB$57:$IY$57)</f>
        <v>0</v>
      </c>
      <c r="RY313" s="56"/>
      <c r="RZ313" s="242">
        <f t="shared" si="2153"/>
        <v>0</v>
      </c>
      <c r="SA313" s="242">
        <f t="shared" si="2154"/>
        <v>0</v>
      </c>
      <c r="SB313" s="56"/>
      <c r="SE313" s="55">
        <f t="shared" si="2155"/>
        <v>46289</v>
      </c>
      <c r="SF313" s="56"/>
      <c r="SG313" s="242">
        <f>SUMPRODUCT(PRODUCE!$B312:$DY312,PRODUCE!$EB$61:$IY$61)</f>
        <v>0</v>
      </c>
      <c r="SH313" s="56"/>
      <c r="SI313" s="242">
        <f t="shared" si="2156"/>
        <v>0</v>
      </c>
      <c r="SJ313" s="242">
        <f t="shared" si="2157"/>
        <v>24.200000000000003</v>
      </c>
      <c r="SK313" s="56"/>
      <c r="SN313" s="55">
        <f t="shared" si="2158"/>
        <v>46289</v>
      </c>
      <c r="SO313" s="56"/>
      <c r="SP313" s="242">
        <f>SUMPRODUCT(PRODUCE!$B312:$DY312,PRODUCE!$EB$57:$IY$57)</f>
        <v>0</v>
      </c>
      <c r="SQ313" s="56"/>
      <c r="SR313" s="242">
        <f t="shared" si="2159"/>
        <v>0</v>
      </c>
      <c r="SS313" s="242">
        <f t="shared" si="2160"/>
        <v>32</v>
      </c>
      <c r="ST313" s="56"/>
      <c r="SW313" s="55">
        <f t="shared" si="2161"/>
        <v>46289</v>
      </c>
      <c r="SX313" s="56"/>
      <c r="SY313" s="242">
        <f>SUMPRODUCT(PRODUCE!$B312:$DY312,PRODUCE!$EB$57:$IY$57)</f>
        <v>0</v>
      </c>
      <c r="SZ313" s="56"/>
      <c r="TA313" s="242">
        <f t="shared" si="2162"/>
        <v>0</v>
      </c>
      <c r="TB313" s="242">
        <f t="shared" si="2163"/>
        <v>0</v>
      </c>
      <c r="TC313" s="56"/>
      <c r="TF313" s="55">
        <f t="shared" si="2164"/>
        <v>46289</v>
      </c>
      <c r="TG313" s="56"/>
      <c r="TH313" s="242">
        <f>SUMPRODUCT(PRODUCE!$B312:$DY312,PRODUCE!$EB$57:$IY$57)</f>
        <v>0</v>
      </c>
      <c r="TI313" s="56"/>
      <c r="TJ313" s="242">
        <f t="shared" si="2165"/>
        <v>0</v>
      </c>
      <c r="TK313" s="242">
        <f t="shared" si="2166"/>
        <v>0</v>
      </c>
      <c r="TL313" s="56"/>
      <c r="TO313" s="55">
        <f t="shared" si="2167"/>
        <v>46289</v>
      </c>
      <c r="TP313" s="56"/>
      <c r="TQ313" s="242">
        <f>SUMPRODUCT(PRODUCE!$B312:$DY312,PRODUCE!$EB$57:$IY$57)</f>
        <v>0</v>
      </c>
      <c r="TR313" s="56"/>
      <c r="TS313" s="242">
        <f t="shared" si="2168"/>
        <v>0</v>
      </c>
      <c r="TT313" s="242">
        <f t="shared" si="2169"/>
        <v>0</v>
      </c>
      <c r="TU313" s="56"/>
      <c r="TX313" s="55">
        <f t="shared" si="2170"/>
        <v>46289</v>
      </c>
      <c r="TY313" s="56"/>
      <c r="TZ313" s="242">
        <f>SUMPRODUCT(PRODUCE!$B312:$DY312,PRODUCE!$EB$57:$IY$57)</f>
        <v>0</v>
      </c>
      <c r="UA313" s="56"/>
      <c r="UB313" s="242">
        <f t="shared" si="2171"/>
        <v>0</v>
      </c>
      <c r="UC313" s="242">
        <f t="shared" si="2172"/>
        <v>46.799999999999983</v>
      </c>
      <c r="UD313" s="56"/>
      <c r="UG313" s="55">
        <f t="shared" si="2173"/>
        <v>46289</v>
      </c>
      <c r="UH313" s="56"/>
      <c r="UI313" s="242">
        <f>SUMPRODUCT(PRODUCE!$B312:$DY312,PRODUCE!$EB$57:$IY$57)</f>
        <v>0</v>
      </c>
      <c r="UJ313" s="56"/>
      <c r="UK313" s="242">
        <f t="shared" si="2174"/>
        <v>0</v>
      </c>
      <c r="UL313" s="242">
        <f t="shared" si="2175"/>
        <v>204</v>
      </c>
      <c r="UM313" s="56"/>
      <c r="UP313" s="55">
        <f t="shared" si="2176"/>
        <v>46289</v>
      </c>
      <c r="UQ313" s="56"/>
      <c r="UR313" s="242">
        <f>SUMPRODUCT(PRODUCE!$B312:$DY312,PRODUCE!$EB$57:$IY$57)</f>
        <v>0</v>
      </c>
      <c r="US313" s="56"/>
      <c r="UT313" s="242">
        <f t="shared" si="2177"/>
        <v>0</v>
      </c>
      <c r="UU313" s="242">
        <f t="shared" si="2178"/>
        <v>202.5</v>
      </c>
      <c r="UV313" s="56"/>
      <c r="UY313" s="55">
        <f t="shared" si="2179"/>
        <v>46289</v>
      </c>
      <c r="UZ313" s="56"/>
      <c r="VA313" s="242">
        <f>SUMPRODUCT(PRODUCE!$B312:$DY312,PRODUCE!$EB$57:$IY$57)</f>
        <v>0</v>
      </c>
      <c r="VB313" s="56"/>
      <c r="VC313" s="242">
        <f t="shared" si="2180"/>
        <v>0</v>
      </c>
      <c r="VD313" s="242">
        <f t="shared" si="2181"/>
        <v>41.600000000000023</v>
      </c>
      <c r="VE313" s="56"/>
      <c r="VH313" s="55">
        <f t="shared" si="2182"/>
        <v>46289</v>
      </c>
      <c r="VI313" s="56"/>
      <c r="VJ313" s="242">
        <f>SUMPRODUCT(PRODUCE!$B312:$DY312,PRODUCE!$EB$57:$IY$57)</f>
        <v>0</v>
      </c>
      <c r="VK313" s="56"/>
      <c r="VL313" s="242">
        <f t="shared" si="2183"/>
        <v>0</v>
      </c>
      <c r="VM313" s="242">
        <f t="shared" si="2184"/>
        <v>210</v>
      </c>
      <c r="VN313" s="56"/>
      <c r="VQ313" s="55">
        <f t="shared" si="2185"/>
        <v>46289</v>
      </c>
      <c r="VR313" s="56"/>
      <c r="VS313" s="242">
        <f>SUMPRODUCT(PRODUCE!$B312:$DY312,PRODUCE!$EB$57:$IY$57)</f>
        <v>0</v>
      </c>
      <c r="VT313" s="56"/>
      <c r="VU313" s="242">
        <f t="shared" si="2186"/>
        <v>0</v>
      </c>
      <c r="VV313" s="242">
        <f t="shared" si="2187"/>
        <v>0</v>
      </c>
      <c r="VW313" s="56"/>
      <c r="VZ313" s="55">
        <f t="shared" si="2188"/>
        <v>46289</v>
      </c>
      <c r="WA313" s="56"/>
      <c r="WB313" s="242">
        <f>SUMPRODUCT(PRODUCE!$B312:$DY312,PRODUCE!$EB$57:$IY$57)</f>
        <v>0</v>
      </c>
      <c r="WC313" s="56"/>
      <c r="WD313" s="242">
        <f t="shared" si="2189"/>
        <v>0</v>
      </c>
      <c r="WE313" s="242">
        <f t="shared" si="2190"/>
        <v>0</v>
      </c>
      <c r="WF313" s="56"/>
      <c r="WI313" s="55">
        <f t="shared" si="2191"/>
        <v>46289</v>
      </c>
      <c r="WJ313" s="56"/>
      <c r="WK313" s="242">
        <f>SUMPRODUCT(PRODUCE!$B312:$DY312,PRODUCE!$EB$57:$IY$57)</f>
        <v>0</v>
      </c>
      <c r="WL313" s="56"/>
      <c r="WM313" s="242">
        <f t="shared" si="2192"/>
        <v>0</v>
      </c>
      <c r="WN313" s="242">
        <f t="shared" si="2193"/>
        <v>1057</v>
      </c>
      <c r="WO313" s="56"/>
      <c r="WR313" s="55">
        <f t="shared" si="2194"/>
        <v>46289</v>
      </c>
      <c r="WS313" s="56"/>
      <c r="WT313" s="242">
        <f>SUMPRODUCT(PRODUCE!$B312:$DY312,PRODUCE!$EB$57:$IY$57)</f>
        <v>0</v>
      </c>
      <c r="WU313" s="56"/>
      <c r="WV313" s="242">
        <f t="shared" si="2195"/>
        <v>0</v>
      </c>
      <c r="WW313" s="242">
        <f t="shared" si="2196"/>
        <v>0</v>
      </c>
      <c r="WX313" s="56"/>
      <c r="XA313" s="55">
        <f t="shared" si="2197"/>
        <v>46289</v>
      </c>
      <c r="XB313" s="56"/>
      <c r="XC313" s="242">
        <f>SUMPRODUCT(PRODUCE!$B312:$DY312,PRODUCE!$EB$57:$IY$57)</f>
        <v>0</v>
      </c>
      <c r="XD313" s="56"/>
      <c r="XE313" s="242">
        <f t="shared" si="2198"/>
        <v>0</v>
      </c>
      <c r="XF313" s="242">
        <f t="shared" si="2199"/>
        <v>7507</v>
      </c>
      <c r="XG313" s="56"/>
      <c r="XJ313" s="55">
        <f t="shared" si="2200"/>
        <v>46289</v>
      </c>
      <c r="XK313" s="56"/>
      <c r="XL313" s="242">
        <f>SUMPRODUCT(PRODUCE!$B312:$DY312,PRODUCE!$EB$57:$IY$57)</f>
        <v>0</v>
      </c>
      <c r="XM313" s="56"/>
      <c r="XN313" s="242">
        <f t="shared" si="2201"/>
        <v>0</v>
      </c>
      <c r="XO313" s="242">
        <f t="shared" si="2202"/>
        <v>4252</v>
      </c>
      <c r="XP313" s="56"/>
      <c r="XS313" s="55">
        <f t="shared" si="2203"/>
        <v>46289</v>
      </c>
      <c r="XT313" s="56"/>
      <c r="XU313" s="242">
        <f>SUMPRODUCT(PRODUCE!$B312:$DY312,PRODUCE!$EB$57:$IY$57)</f>
        <v>0</v>
      </c>
      <c r="XV313" s="56"/>
      <c r="XW313" s="242">
        <f t="shared" si="2204"/>
        <v>0</v>
      </c>
      <c r="XX313" s="242">
        <f t="shared" si="2205"/>
        <v>2179</v>
      </c>
      <c r="XY313" s="56"/>
      <c r="YB313" s="55">
        <f t="shared" si="2206"/>
        <v>46289</v>
      </c>
      <c r="YC313" s="56"/>
      <c r="YD313" s="242">
        <f>SUMPRODUCT(PRODUCE!$B312:$DY312,PRODUCE!$EB$57:$IY$57)</f>
        <v>0</v>
      </c>
      <c r="YE313" s="56"/>
      <c r="YF313" s="242">
        <f t="shared" si="2207"/>
        <v>0</v>
      </c>
      <c r="YG313" s="242">
        <f t="shared" si="2208"/>
        <v>4019</v>
      </c>
      <c r="YH313" s="56"/>
      <c r="YK313" s="55">
        <f t="shared" si="2209"/>
        <v>46289</v>
      </c>
      <c r="YL313" s="56"/>
      <c r="YM313" s="242">
        <f>SUMPRODUCT(PRODUCE!$B312:$DY312,PRODUCE!$EB$57:$IY$57)</f>
        <v>0</v>
      </c>
      <c r="YN313" s="56"/>
      <c r="YO313" s="242">
        <f t="shared" si="2210"/>
        <v>0</v>
      </c>
      <c r="YP313" s="242">
        <f t="shared" si="2211"/>
        <v>-218</v>
      </c>
      <c r="YQ313" s="56"/>
      <c r="YT313" s="55">
        <f t="shared" si="2212"/>
        <v>46289</v>
      </c>
      <c r="YU313" s="56"/>
      <c r="YV313" s="242">
        <f>SUMPRODUCT(PRODUCE!$B312:$DY312,PRODUCE!$EB$57:$IY$57)</f>
        <v>0</v>
      </c>
      <c r="YW313" s="56"/>
      <c r="YX313" s="242">
        <f t="shared" si="2213"/>
        <v>0</v>
      </c>
      <c r="YY313" s="242">
        <f t="shared" si="2214"/>
        <v>0</v>
      </c>
      <c r="YZ313" s="56"/>
      <c r="ZC313" s="55">
        <f t="shared" si="2215"/>
        <v>46289</v>
      </c>
      <c r="ZD313" s="56"/>
      <c r="ZE313" s="242">
        <f>SUMPRODUCT(PRODUCE!$B312:$DY312,PRODUCE!$EB$57:$IY$57)</f>
        <v>0</v>
      </c>
      <c r="ZF313" s="56"/>
      <c r="ZG313" s="242">
        <f t="shared" si="2216"/>
        <v>0</v>
      </c>
      <c r="ZH313" s="242">
        <f t="shared" si="2217"/>
        <v>0</v>
      </c>
      <c r="ZI313" s="56"/>
      <c r="ZL313" s="55">
        <f t="shared" si="2218"/>
        <v>46289</v>
      </c>
      <c r="ZM313" s="56"/>
      <c r="ZN313" s="242">
        <f>SUMPRODUCT(PRODUCE!$B312:$DY312,PRODUCE!$EB$57:$IY$57)</f>
        <v>0</v>
      </c>
      <c r="ZO313" s="56"/>
      <c r="ZP313" s="242">
        <f t="shared" si="2219"/>
        <v>0</v>
      </c>
      <c r="ZQ313" s="242">
        <f t="shared" si="2220"/>
        <v>0</v>
      </c>
      <c r="ZR313" s="56"/>
      <c r="ZU313" s="55">
        <f t="shared" si="2221"/>
        <v>46289</v>
      </c>
      <c r="ZV313" s="56"/>
      <c r="ZW313" s="242">
        <f>SUMPRODUCT(PRODUCE!$B312:$DY312,PRODUCE!$EB$57:$IY$57)</f>
        <v>0</v>
      </c>
      <c r="ZX313" s="56"/>
      <c r="ZY313" s="242">
        <f t="shared" si="2222"/>
        <v>0</v>
      </c>
      <c r="ZZ313" s="242">
        <f t="shared" si="2223"/>
        <v>0</v>
      </c>
      <c r="AAA313" s="56"/>
      <c r="AAD313" s="55">
        <f t="shared" si="2224"/>
        <v>46289</v>
      </c>
      <c r="AAE313" s="56"/>
      <c r="AAF313" s="242">
        <f>SUMPRODUCT(PRODUCE!$B312:$DY312,PRODUCE!$EB$57:$IY$57)</f>
        <v>0</v>
      </c>
      <c r="AAG313" s="56"/>
      <c r="AAH313" s="242">
        <f t="shared" si="2225"/>
        <v>0</v>
      </c>
      <c r="AAI313" s="242">
        <f t="shared" si="2226"/>
        <v>0</v>
      </c>
      <c r="AAJ313" s="56"/>
      <c r="AAM313" s="55">
        <f t="shared" si="2227"/>
        <v>46289</v>
      </c>
      <c r="AAN313" s="56"/>
      <c r="AAO313" s="242">
        <f>SUMPRODUCT(PRODUCE!$B312:$DY312,PRODUCE!$EB$57:$IY$57)</f>
        <v>0</v>
      </c>
      <c r="AAP313" s="56"/>
      <c r="AAQ313" s="242">
        <f t="shared" si="2228"/>
        <v>0</v>
      </c>
      <c r="AAR313" s="242">
        <f t="shared" si="2229"/>
        <v>0</v>
      </c>
      <c r="AAS313" s="56"/>
      <c r="AAV313" s="55">
        <f t="shared" si="2230"/>
        <v>46289</v>
      </c>
      <c r="AAW313" s="56"/>
      <c r="AAX313" s="242">
        <f>SUMPRODUCT(PRODUCE!$B312:$DY312,PRODUCE!$EB$57:$IY$57)</f>
        <v>0</v>
      </c>
      <c r="AAY313" s="56"/>
      <c r="AAZ313" s="242">
        <f t="shared" si="2231"/>
        <v>0</v>
      </c>
      <c r="ABA313" s="242">
        <f t="shared" si="2232"/>
        <v>0</v>
      </c>
      <c r="ABB313" s="56"/>
      <c r="ABE313" s="55">
        <f t="shared" si="2233"/>
        <v>46289</v>
      </c>
      <c r="ABF313" s="56"/>
      <c r="ABG313" s="242">
        <f>SUMPRODUCT(PRODUCE!$B312:$DY312,PRODUCE!$EB$57:$IY$57)</f>
        <v>0</v>
      </c>
      <c r="ABH313" s="56"/>
      <c r="ABI313" s="242">
        <f t="shared" si="2234"/>
        <v>0</v>
      </c>
      <c r="ABJ313" s="242">
        <f t="shared" si="2235"/>
        <v>0</v>
      </c>
      <c r="ABK313" s="56"/>
    </row>
    <row r="314" spans="2:739" s="54" customFormat="1" ht="15" customHeight="1" outlineLevel="1">
      <c r="B314" s="478"/>
      <c r="C314" s="55">
        <v>46290</v>
      </c>
      <c r="D314" s="56"/>
      <c r="E314" s="57">
        <f>SUMPRODUCT(PRODUCE!$B313:$DY313,PRODUCE!$EB$7:$IY$7)</f>
        <v>0</v>
      </c>
      <c r="F314" s="56"/>
      <c r="G314" s="57">
        <f t="shared" si="1992"/>
        <v>0</v>
      </c>
      <c r="H314" s="57">
        <f t="shared" si="1993"/>
        <v>236936.6</v>
      </c>
      <c r="I314" s="289"/>
      <c r="L314" s="55">
        <f t="shared" si="1994"/>
        <v>46290</v>
      </c>
      <c r="M314" s="56"/>
      <c r="N314" s="59">
        <f>SUMPRODUCT(PRODUCE!$B313:$DY313,PRODUCE!$EB$8:$IY$8)</f>
        <v>0</v>
      </c>
      <c r="O314" s="56"/>
      <c r="P314" s="59">
        <f t="shared" si="1995"/>
        <v>0</v>
      </c>
      <c r="Q314" s="59">
        <f t="shared" si="1996"/>
        <v>53017.600000000071</v>
      </c>
      <c r="R314" s="56"/>
      <c r="U314" s="55">
        <f t="shared" si="1997"/>
        <v>46290</v>
      </c>
      <c r="V314" s="56"/>
      <c r="W314" s="60">
        <f>SUMPRODUCT(PRODUCE!$B313:$DY313,PRODUCE!$EB$9:$IY$9)</f>
        <v>0</v>
      </c>
      <c r="X314" s="56"/>
      <c r="Y314" s="60">
        <f t="shared" si="1998"/>
        <v>0</v>
      </c>
      <c r="Z314" s="60">
        <f t="shared" si="1999"/>
        <v>42674.199999999968</v>
      </c>
      <c r="AA314" s="56"/>
      <c r="AD314" s="55">
        <f t="shared" si="2000"/>
        <v>46290</v>
      </c>
      <c r="AE314" s="56"/>
      <c r="AF314" s="61">
        <f>SUMPRODUCT(PRODUCE!$B313:$DY313,PRODUCE!$EB$10:$IY$10)</f>
        <v>0</v>
      </c>
      <c r="AG314" s="56"/>
      <c r="AH314" s="61">
        <f t="shared" si="2001"/>
        <v>0</v>
      </c>
      <c r="AI314" s="61">
        <f t="shared" si="2002"/>
        <v>4522.2000000000189</v>
      </c>
      <c r="AJ314" s="56"/>
      <c r="AM314" s="55">
        <f t="shared" si="2003"/>
        <v>46290</v>
      </c>
      <c r="AN314" s="422"/>
      <c r="AO314" s="444">
        <f>SUMPRODUCT(PRODUCE!$B313:$DY313,PRODUCE!$EB$11:$IY$11)</f>
        <v>0</v>
      </c>
      <c r="AP314" s="422"/>
      <c r="AQ314" s="444">
        <f t="shared" si="2004"/>
        <v>0</v>
      </c>
      <c r="AR314" s="444">
        <f t="shared" si="2005"/>
        <v>0</v>
      </c>
      <c r="AS314" s="56"/>
      <c r="AV314" s="55">
        <f t="shared" si="2006"/>
        <v>46290</v>
      </c>
      <c r="AW314" s="56"/>
      <c r="AX314" s="62">
        <f>SUMPRODUCT(PRODUCE!$B313:$DY313,PRODUCE!$EB$12:$IY$12)</f>
        <v>0</v>
      </c>
      <c r="AY314" s="56"/>
      <c r="AZ314" s="62">
        <f t="shared" si="2007"/>
        <v>0</v>
      </c>
      <c r="BA314" s="62">
        <f t="shared" si="2008"/>
        <v>124.99999999999523</v>
      </c>
      <c r="BB314" s="56"/>
      <c r="BE314" s="55">
        <f t="shared" si="2009"/>
        <v>46290</v>
      </c>
      <c r="BF314" s="56"/>
      <c r="BG314" s="63">
        <f>SUMPRODUCT(PRODUCE!$B313:$DY313,PRODUCE!$EB$13:$IY$13)</f>
        <v>0</v>
      </c>
      <c r="BH314" s="56"/>
      <c r="BI314" s="63">
        <f t="shared" si="2010"/>
        <v>0</v>
      </c>
      <c r="BJ314" s="63">
        <f t="shared" si="2011"/>
        <v>26151.899999999998</v>
      </c>
      <c r="BK314" s="56"/>
      <c r="BN314" s="55">
        <f t="shared" si="2012"/>
        <v>46290</v>
      </c>
      <c r="BO314" s="56"/>
      <c r="BP314" s="64">
        <f>SUMPRODUCT(PRODUCE!$B313:$DY313,PRODUCE!$EB$14:$IY$14)</f>
        <v>0</v>
      </c>
      <c r="BQ314" s="56"/>
      <c r="BR314" s="64">
        <f t="shared" si="2013"/>
        <v>0</v>
      </c>
      <c r="BS314" s="64">
        <f t="shared" si="2014"/>
        <v>0</v>
      </c>
      <c r="BT314" s="56"/>
      <c r="BW314" s="55">
        <f t="shared" si="2015"/>
        <v>46290</v>
      </c>
      <c r="BX314" s="56"/>
      <c r="BY314" s="65">
        <f>SUMPRODUCT(PRODUCE!$B313:$DY313,PRODUCE!$EB$15:$IY$15)</f>
        <v>0</v>
      </c>
      <c r="BZ314" s="56"/>
      <c r="CA314" s="65">
        <f t="shared" si="2016"/>
        <v>0</v>
      </c>
      <c r="CB314" s="65">
        <f t="shared" si="2017"/>
        <v>2097.3399999999992</v>
      </c>
      <c r="CC314" s="56"/>
      <c r="CF314" s="55">
        <f t="shared" si="2018"/>
        <v>46290</v>
      </c>
      <c r="CG314" s="56"/>
      <c r="CH314" s="66">
        <f>SUMPRODUCT(PRODUCE!$B313:$DY313,PRODUCE!$EB$16:$IY$16)</f>
        <v>0</v>
      </c>
      <c r="CI314" s="56"/>
      <c r="CJ314" s="66">
        <f t="shared" si="2019"/>
        <v>0</v>
      </c>
      <c r="CK314" s="66">
        <f t="shared" si="2020"/>
        <v>-10277.079999999998</v>
      </c>
      <c r="CL314" s="56"/>
      <c r="CO314" s="55">
        <f t="shared" si="2021"/>
        <v>46290</v>
      </c>
      <c r="CP314" s="422"/>
      <c r="CQ314" s="470">
        <f>SUMPRODUCT(PRODUCE!$B313:$DY313,PRODUCE!$EB$17:$IY$17)</f>
        <v>0</v>
      </c>
      <c r="CR314" s="422"/>
      <c r="CS314" s="470">
        <f t="shared" si="2022"/>
        <v>0</v>
      </c>
      <c r="CT314" s="470">
        <f t="shared" si="2023"/>
        <v>0</v>
      </c>
      <c r="CU314" s="56"/>
      <c r="CX314" s="55">
        <f t="shared" si="2024"/>
        <v>46290</v>
      </c>
      <c r="CY314" s="56"/>
      <c r="CZ314" s="133">
        <f>SUMPRODUCT(PRODUCE!$B313:$DY313,PRODUCE!$EB$18:$IY$18)</f>
        <v>0</v>
      </c>
      <c r="DA314" s="56"/>
      <c r="DB314" s="133">
        <f t="shared" si="2025"/>
        <v>0</v>
      </c>
      <c r="DC314" s="133">
        <f t="shared" si="2026"/>
        <v>27438.200000000012</v>
      </c>
      <c r="DD314" s="56"/>
      <c r="DG314" s="55">
        <f t="shared" si="2027"/>
        <v>46290</v>
      </c>
      <c r="DH314" s="56"/>
      <c r="DI314" s="147">
        <f>SUMPRODUCT(PRODUCE!$B313:$DY313,PRODUCE!$EB$19:$IY$19)</f>
        <v>0</v>
      </c>
      <c r="DJ314" s="56"/>
      <c r="DK314" s="147">
        <f t="shared" si="2028"/>
        <v>0</v>
      </c>
      <c r="DL314" s="147">
        <f t="shared" si="2029"/>
        <v>18782.299999999981</v>
      </c>
      <c r="DM314" s="56"/>
      <c r="DP314" s="55">
        <f t="shared" si="2030"/>
        <v>46290</v>
      </c>
      <c r="DQ314" s="56"/>
      <c r="DR314" s="57">
        <f>SUMPRODUCT(PRODUCE!$B313:$DY313,PRODUCE!$EB$20:$IY$20)</f>
        <v>0</v>
      </c>
      <c r="DS314" s="56"/>
      <c r="DT314" s="57">
        <f t="shared" si="2031"/>
        <v>0</v>
      </c>
      <c r="DU314" s="57">
        <f t="shared" si="2032"/>
        <v>5800</v>
      </c>
      <c r="DV314" s="56"/>
      <c r="DY314" s="55">
        <f t="shared" si="2033"/>
        <v>46290</v>
      </c>
      <c r="DZ314" s="56"/>
      <c r="EA314" s="157">
        <f>SUMPRODUCT(PRODUCE!$B313:$DY313,PRODUCE!$EB$21:$IY$21)</f>
        <v>0</v>
      </c>
      <c r="EB314" s="56"/>
      <c r="EC314" s="157">
        <f t="shared" si="2034"/>
        <v>0</v>
      </c>
      <c r="ED314" s="157">
        <f t="shared" si="2035"/>
        <v>0</v>
      </c>
      <c r="EE314" s="56"/>
      <c r="EH314" s="55">
        <f t="shared" si="2036"/>
        <v>46290</v>
      </c>
      <c r="EI314" s="56"/>
      <c r="EJ314" s="162">
        <f>SUMPRODUCT(PRODUCE!$B313:$DY313,PRODUCE!$EB$22:$IY$22)</f>
        <v>0</v>
      </c>
      <c r="EK314" s="56"/>
      <c r="EL314" s="162">
        <f t="shared" si="2037"/>
        <v>0</v>
      </c>
      <c r="EM314" s="162">
        <f t="shared" si="2038"/>
        <v>0</v>
      </c>
      <c r="EN314" s="56"/>
      <c r="EQ314" s="55">
        <f t="shared" si="2039"/>
        <v>46290</v>
      </c>
      <c r="ER314" s="56"/>
      <c r="ES314" s="135">
        <f>SUMPRODUCT(PRODUCE!$B313:$DY313,PRODUCE!$EB$23:$IY$23)</f>
        <v>0</v>
      </c>
      <c r="ET314" s="56"/>
      <c r="EU314" s="135">
        <f t="shared" si="2040"/>
        <v>0</v>
      </c>
      <c r="EV314" s="135">
        <f t="shared" si="2041"/>
        <v>0</v>
      </c>
      <c r="EW314" s="56"/>
      <c r="EZ314" s="55">
        <f t="shared" si="2042"/>
        <v>46290</v>
      </c>
      <c r="FA314" s="56"/>
      <c r="FB314" s="175">
        <f>SUMPRODUCT(PRODUCE!$B313:$DY313,PRODUCE!$EB$24:$IY$24)</f>
        <v>0</v>
      </c>
      <c r="FC314" s="56"/>
      <c r="FD314" s="175">
        <f t="shared" si="2043"/>
        <v>0</v>
      </c>
      <c r="FE314" s="175">
        <f t="shared" si="2044"/>
        <v>0</v>
      </c>
      <c r="FF314" s="56"/>
      <c r="FI314" s="55">
        <f t="shared" si="2045"/>
        <v>46290</v>
      </c>
      <c r="FJ314" s="56"/>
      <c r="FK314" s="183">
        <f>SUMPRODUCT(PRODUCE!$B313:$DY313,PRODUCE!$EB$25:$IY$25)</f>
        <v>0</v>
      </c>
      <c r="FL314" s="56"/>
      <c r="FM314" s="183">
        <f t="shared" si="2046"/>
        <v>0</v>
      </c>
      <c r="FN314" s="183">
        <f t="shared" si="2047"/>
        <v>0</v>
      </c>
      <c r="FO314" s="56"/>
      <c r="FR314" s="55">
        <f t="shared" si="2048"/>
        <v>46290</v>
      </c>
      <c r="FS314" s="56"/>
      <c r="FT314" s="186">
        <f>SUMPRODUCT(PRODUCE!$B313:$DY313,PRODUCE!$EB$26:$IY$26)</f>
        <v>0</v>
      </c>
      <c r="FU314" s="56"/>
      <c r="FV314" s="186">
        <f t="shared" si="2049"/>
        <v>0</v>
      </c>
      <c r="FW314" s="186">
        <f t="shared" si="2050"/>
        <v>2020</v>
      </c>
      <c r="FX314" s="56"/>
      <c r="GA314" s="55">
        <f t="shared" si="2051"/>
        <v>46290</v>
      </c>
      <c r="GB314" s="56"/>
      <c r="GC314" s="137">
        <f>SUMPRODUCT(PRODUCE!$B313:$DY313,PRODUCE!$EB$27:$IY$27)</f>
        <v>0</v>
      </c>
      <c r="GD314" s="56"/>
      <c r="GE314" s="137">
        <f t="shared" si="2052"/>
        <v>0</v>
      </c>
      <c r="GF314" s="137">
        <f t="shared" si="2053"/>
        <v>960</v>
      </c>
      <c r="GG314" s="56"/>
      <c r="GI314" s="23"/>
      <c r="GJ314" s="55">
        <f t="shared" si="2054"/>
        <v>46290</v>
      </c>
      <c r="GK314" s="56"/>
      <c r="GL314" s="199">
        <f>SUMPRODUCT(PRODUCE!$B313:$DY313,PRODUCE!$EB$28:$IY$28)</f>
        <v>0</v>
      </c>
      <c r="GM314" s="56"/>
      <c r="GN314" s="199">
        <f t="shared" si="2055"/>
        <v>0</v>
      </c>
      <c r="GO314" s="199">
        <f t="shared" si="2056"/>
        <v>1760</v>
      </c>
      <c r="GP314" s="56"/>
      <c r="GS314" s="55">
        <f t="shared" si="2057"/>
        <v>46290</v>
      </c>
      <c r="GT314" s="56"/>
      <c r="GU314" s="195">
        <f>SUMPRODUCT(PRODUCE!$B313:$DY313,PRODUCE!$EB$29:$IY$29)</f>
        <v>0</v>
      </c>
      <c r="GV314" s="56"/>
      <c r="GW314" s="195">
        <f t="shared" si="2058"/>
        <v>0</v>
      </c>
      <c r="GX314" s="195">
        <f t="shared" si="2059"/>
        <v>400</v>
      </c>
      <c r="GY314" s="56"/>
      <c r="HB314" s="55">
        <f t="shared" si="2060"/>
        <v>46290</v>
      </c>
      <c r="HC314" s="56"/>
      <c r="HD314" s="191">
        <f>SUMPRODUCT(PRODUCE!$B313:$DY313,PRODUCE!$EB$30:$IY$30)</f>
        <v>0</v>
      </c>
      <c r="HE314" s="56"/>
      <c r="HF314" s="191">
        <f t="shared" si="2061"/>
        <v>0</v>
      </c>
      <c r="HG314" s="191">
        <f t="shared" si="2062"/>
        <v>3600</v>
      </c>
      <c r="HH314" s="56"/>
      <c r="HK314" s="55">
        <f t="shared" si="2063"/>
        <v>46290</v>
      </c>
      <c r="HL314" s="56"/>
      <c r="HM314" s="63">
        <f>SUMPRODUCT(PRODUCE!$B313:$DY313,PRODUCE!$EB$31:$IY$31)</f>
        <v>0</v>
      </c>
      <c r="HN314" s="56"/>
      <c r="HO314" s="63">
        <f t="shared" si="2064"/>
        <v>0</v>
      </c>
      <c r="HP314" s="63">
        <f t="shared" si="2065"/>
        <v>0</v>
      </c>
      <c r="HQ314" s="56"/>
      <c r="HU314" s="55">
        <f t="shared" si="2066"/>
        <v>46290</v>
      </c>
      <c r="HV314" s="56"/>
      <c r="HW314" s="242">
        <f>SUMPRODUCT(PRODUCE!$B313:$DY313,PRODUCE!$EB$32:$IY$32)</f>
        <v>0</v>
      </c>
      <c r="HX314" s="56"/>
      <c r="HY314" s="242">
        <f t="shared" si="2236"/>
        <v>0</v>
      </c>
      <c r="HZ314" s="242">
        <f t="shared" si="2067"/>
        <v>6120</v>
      </c>
      <c r="IA314" s="56"/>
      <c r="ID314" s="55">
        <f t="shared" si="2068"/>
        <v>46290</v>
      </c>
      <c r="IE314" s="56"/>
      <c r="IF314" s="242">
        <f>SUMPRODUCT(PRODUCE!$B313:$DY313,PRODUCE!$EB$33:$IY$33)</f>
        <v>0</v>
      </c>
      <c r="IG314" s="56"/>
      <c r="IH314" s="242">
        <f t="shared" si="2069"/>
        <v>0</v>
      </c>
      <c r="II314" s="242">
        <f t="shared" si="2070"/>
        <v>0</v>
      </c>
      <c r="IJ314" s="56"/>
      <c r="IM314" s="55">
        <f t="shared" si="2071"/>
        <v>46290</v>
      </c>
      <c r="IN314" s="56"/>
      <c r="IO314" s="242">
        <f>SUMPRODUCT(PRODUCE!$B313:$DY313,PRODUCE!$EB$34:$IY$34)</f>
        <v>0</v>
      </c>
      <c r="IP314" s="56"/>
      <c r="IQ314" s="242">
        <f t="shared" si="2072"/>
        <v>0</v>
      </c>
      <c r="IR314" s="242">
        <f t="shared" si="2073"/>
        <v>0</v>
      </c>
      <c r="IS314" s="56"/>
      <c r="IV314" s="55">
        <f t="shared" si="2074"/>
        <v>46290</v>
      </c>
      <c r="IW314" s="56"/>
      <c r="IX314" s="242">
        <f>SUMPRODUCT(PRODUCE!$B313:$DY313,PRODUCE!$EB$35:$IY$35)</f>
        <v>0</v>
      </c>
      <c r="IY314" s="56"/>
      <c r="IZ314" s="242">
        <f t="shared" si="2075"/>
        <v>0</v>
      </c>
      <c r="JA314" s="242">
        <f t="shared" si="2076"/>
        <v>2820</v>
      </c>
      <c r="JB314" s="56"/>
      <c r="JE314" s="55">
        <f t="shared" si="2077"/>
        <v>46290</v>
      </c>
      <c r="JF314" s="56"/>
      <c r="JG314" s="242">
        <f>SUMPRODUCT(PRODUCE!$B313:$DY313,PRODUCE!$EB$36:$IY$36)</f>
        <v>0</v>
      </c>
      <c r="JH314" s="56"/>
      <c r="JI314" s="242">
        <f t="shared" si="2078"/>
        <v>0</v>
      </c>
      <c r="JJ314" s="242">
        <f t="shared" si="2079"/>
        <v>0</v>
      </c>
      <c r="JK314" s="56"/>
      <c r="JN314" s="55">
        <f t="shared" si="2080"/>
        <v>46290</v>
      </c>
      <c r="JO314" s="56"/>
      <c r="JP314" s="242">
        <f>SUMPRODUCT(PRODUCE!$B313:$DY313,PRODUCE!$EB$37:$IY$37)</f>
        <v>0</v>
      </c>
      <c r="JQ314" s="56"/>
      <c r="JR314" s="242">
        <f t="shared" si="2081"/>
        <v>0</v>
      </c>
      <c r="JS314" s="242">
        <f t="shared" si="2082"/>
        <v>0</v>
      </c>
      <c r="JT314" s="56"/>
      <c r="JW314" s="55">
        <f t="shared" si="2083"/>
        <v>46290</v>
      </c>
      <c r="JX314" s="56"/>
      <c r="JY314" s="242">
        <f>SUMPRODUCT(PRODUCE!$B313:$DY313,PRODUCE!$EB$38:$IY$38)</f>
        <v>0</v>
      </c>
      <c r="JZ314" s="56"/>
      <c r="KA314" s="242">
        <f t="shared" si="2084"/>
        <v>0</v>
      </c>
      <c r="KB314" s="242">
        <f t="shared" si="2085"/>
        <v>2540</v>
      </c>
      <c r="KC314" s="56"/>
      <c r="KF314" s="55">
        <f t="shared" si="2086"/>
        <v>46290</v>
      </c>
      <c r="KG314" s="56"/>
      <c r="KH314" s="242">
        <f>SUMPRODUCT(PRODUCE!$B313:$DY313,PRODUCE!$EB$39:$IY$39)</f>
        <v>0</v>
      </c>
      <c r="KI314" s="56"/>
      <c r="KJ314" s="242">
        <f t="shared" si="2087"/>
        <v>0</v>
      </c>
      <c r="KK314" s="242">
        <f t="shared" si="2088"/>
        <v>2359.5</v>
      </c>
      <c r="KL314" s="56"/>
      <c r="KO314" s="55">
        <f t="shared" si="2089"/>
        <v>46290</v>
      </c>
      <c r="KP314" s="56"/>
      <c r="KQ314" s="242">
        <f>SUMPRODUCT(PRODUCE!$B313:$DY313,PRODUCE!$EB$40:$IY$40)</f>
        <v>0</v>
      </c>
      <c r="KR314" s="56"/>
      <c r="KS314" s="242">
        <f t="shared" si="2090"/>
        <v>0</v>
      </c>
      <c r="KT314" s="242">
        <f t="shared" si="2091"/>
        <v>1890</v>
      </c>
      <c r="KU314" s="56"/>
      <c r="KW314" s="23"/>
      <c r="KX314" s="55">
        <f t="shared" si="2092"/>
        <v>46290</v>
      </c>
      <c r="KY314" s="56"/>
      <c r="KZ314" s="242">
        <f>SUMPRODUCT(PRODUCE!$B313:$DY313,PRODUCE!$EB$41:$IY$41)</f>
        <v>0</v>
      </c>
      <c r="LA314" s="56"/>
      <c r="LB314" s="242">
        <f t="shared" si="2093"/>
        <v>0</v>
      </c>
      <c r="LC314" s="242">
        <f t="shared" si="2094"/>
        <v>3690</v>
      </c>
      <c r="LD314" s="56"/>
      <c r="LG314" s="55">
        <f t="shared" si="2095"/>
        <v>46290</v>
      </c>
      <c r="LH314" s="56"/>
      <c r="LI314" s="242">
        <f>SUMPRODUCT(PRODUCE!$B313:$DY313,PRODUCE!$EB$42:$IY$42)</f>
        <v>0</v>
      </c>
      <c r="LJ314" s="56"/>
      <c r="LK314" s="242">
        <f t="shared" si="2096"/>
        <v>0</v>
      </c>
      <c r="LL314" s="242">
        <f t="shared" si="2097"/>
        <v>4000</v>
      </c>
      <c r="LM314" s="56"/>
      <c r="LP314" s="55">
        <f t="shared" si="2098"/>
        <v>46290</v>
      </c>
      <c r="LQ314" s="56"/>
      <c r="LR314" s="242">
        <f>SUMPRODUCT(PRODUCE!$B329:$DY329,PRODUCE!$EB$43:$IY$43)</f>
        <v>0</v>
      </c>
      <c r="LS314" s="56"/>
      <c r="LT314" s="242">
        <f t="shared" si="2099"/>
        <v>0</v>
      </c>
      <c r="LU314" s="242">
        <f t="shared" si="2100"/>
        <v>0</v>
      </c>
      <c r="LV314" s="56"/>
      <c r="LY314" s="55">
        <f t="shared" si="2101"/>
        <v>46290</v>
      </c>
      <c r="LZ314" s="56"/>
      <c r="MA314" s="242">
        <f>SUMPRODUCT(PRODUCE!$B313:$DY313,PRODUCE!$EB$44:$IY$44)</f>
        <v>0</v>
      </c>
      <c r="MB314" s="56"/>
      <c r="MC314" s="242">
        <f t="shared" si="2102"/>
        <v>0</v>
      </c>
      <c r="MD314" s="242">
        <f t="shared" si="2103"/>
        <v>0</v>
      </c>
      <c r="ME314" s="56"/>
      <c r="MH314" s="55">
        <f t="shared" si="2104"/>
        <v>46290</v>
      </c>
      <c r="MI314" s="56"/>
      <c r="MJ314" s="242">
        <f>SUMPRODUCT(PRODUCE!$B313:$DY313,PRODUCE!$EB$45:$IY$45)</f>
        <v>0</v>
      </c>
      <c r="MK314" s="56"/>
      <c r="ML314" s="242">
        <f t="shared" si="2105"/>
        <v>0</v>
      </c>
      <c r="MM314" s="242">
        <f t="shared" si="2106"/>
        <v>0</v>
      </c>
      <c r="MN314" s="56"/>
      <c r="MQ314" s="55">
        <f t="shared" si="2107"/>
        <v>46290</v>
      </c>
      <c r="MR314" s="56"/>
      <c r="MS314" s="242">
        <f>SUMPRODUCT(PRODUCE!$B313:$DY313,PRODUCE!$EB$46:$IY$46)</f>
        <v>0</v>
      </c>
      <c r="MT314" s="56"/>
      <c r="MU314" s="242">
        <f t="shared" si="2108"/>
        <v>0</v>
      </c>
      <c r="MV314" s="242">
        <f t="shared" si="2109"/>
        <v>1625</v>
      </c>
      <c r="MW314" s="56"/>
      <c r="MZ314" s="55">
        <f t="shared" si="2110"/>
        <v>46290</v>
      </c>
      <c r="NA314" s="56"/>
      <c r="NB314" s="242">
        <f>SUMPRODUCT(PRODUCE!$B313:$DY313,PRODUCE!$EB$47:$IY$47)</f>
        <v>0</v>
      </c>
      <c r="NC314" s="56"/>
      <c r="ND314" s="242">
        <f t="shared" si="2111"/>
        <v>0</v>
      </c>
      <c r="NE314" s="242">
        <f t="shared" si="2112"/>
        <v>0</v>
      </c>
      <c r="NF314" s="56"/>
      <c r="NI314" s="55">
        <f t="shared" si="2113"/>
        <v>46290</v>
      </c>
      <c r="NJ314" s="56"/>
      <c r="NK314" s="242">
        <f>SUMPRODUCT(PRODUCE!$B313:$DY313,PRODUCE!$EB$48:$IY$48)</f>
        <v>0</v>
      </c>
      <c r="NL314" s="56"/>
      <c r="NM314" s="242">
        <f t="shared" si="2114"/>
        <v>0</v>
      </c>
      <c r="NN314" s="242">
        <f t="shared" si="2115"/>
        <v>1127</v>
      </c>
      <c r="NO314" s="56"/>
      <c r="NR314" s="55">
        <f t="shared" si="2116"/>
        <v>46290</v>
      </c>
      <c r="NS314" s="56"/>
      <c r="NT314" s="242">
        <f>SUMPRODUCT(PRODUCE!$B313:$DY313,PRODUCE!$EB$49:$IY$49)</f>
        <v>0</v>
      </c>
      <c r="NU314" s="56"/>
      <c r="NV314" s="242">
        <f t="shared" si="2117"/>
        <v>0</v>
      </c>
      <c r="NW314" s="242">
        <f t="shared" si="2118"/>
        <v>3111.9999999999995</v>
      </c>
      <c r="NX314" s="56"/>
      <c r="OA314" s="55">
        <f t="shared" si="2119"/>
        <v>46290</v>
      </c>
      <c r="OB314" s="56"/>
      <c r="OC314" s="242">
        <f>SUMPRODUCT(PRODUCE!$B313:$DY313,PRODUCE!$EB$50:$IY$50)</f>
        <v>0</v>
      </c>
      <c r="OD314" s="56"/>
      <c r="OE314" s="242">
        <f t="shared" si="2120"/>
        <v>0</v>
      </c>
      <c r="OF314" s="242">
        <f t="shared" si="2121"/>
        <v>1680.5</v>
      </c>
      <c r="OG314" s="56"/>
      <c r="OJ314" s="55">
        <f t="shared" si="2122"/>
        <v>46290</v>
      </c>
      <c r="OK314" s="56"/>
      <c r="OL314" s="242">
        <f>SUMPRODUCT(PRODUCE!$B313:$DY313,PRODUCE!$EB$51:$IY$51)</f>
        <v>0</v>
      </c>
      <c r="OM314" s="56"/>
      <c r="ON314" s="242">
        <f t="shared" si="2123"/>
        <v>0</v>
      </c>
      <c r="OO314" s="242">
        <f t="shared" si="2124"/>
        <v>0</v>
      </c>
      <c r="OP314" s="56"/>
      <c r="OS314" s="55">
        <f t="shared" si="2125"/>
        <v>46290</v>
      </c>
      <c r="OT314" s="56"/>
      <c r="OU314" s="242">
        <f>SUMPRODUCT(PRODUCE!$B313:$DY313,PRODUCE!$EB$52:$IY$52)</f>
        <v>0</v>
      </c>
      <c r="OV314" s="56"/>
      <c r="OW314" s="242">
        <f t="shared" si="2126"/>
        <v>0</v>
      </c>
      <c r="OX314" s="242">
        <f t="shared" si="2127"/>
        <v>1482</v>
      </c>
      <c r="OY314" s="56"/>
      <c r="PB314" s="55">
        <f t="shared" si="2128"/>
        <v>46290</v>
      </c>
      <c r="PC314" s="56"/>
      <c r="PD314" s="242">
        <f>SUMPRODUCT(PRODUCE!$B313:$DY313,PRODUCE!$EB$53:$IY$53)</f>
        <v>0</v>
      </c>
      <c r="PE314" s="56"/>
      <c r="PF314" s="242">
        <f t="shared" si="2129"/>
        <v>0</v>
      </c>
      <c r="PG314" s="242">
        <f t="shared" si="2130"/>
        <v>0</v>
      </c>
      <c r="PH314" s="56"/>
      <c r="PK314" s="55">
        <f t="shared" si="2131"/>
        <v>46290</v>
      </c>
      <c r="PL314" s="56"/>
      <c r="PM314" s="242">
        <f>SUMPRODUCT(PRODUCE!$B313:$DY313,PRODUCE!$EB$54:$IY$54)</f>
        <v>0</v>
      </c>
      <c r="PN314" s="56"/>
      <c r="PO314" s="242">
        <f t="shared" si="2132"/>
        <v>0</v>
      </c>
      <c r="PP314" s="242">
        <f t="shared" si="2133"/>
        <v>100</v>
      </c>
      <c r="PQ314" s="56"/>
      <c r="PT314" s="55">
        <f t="shared" si="2134"/>
        <v>46290</v>
      </c>
      <c r="PU314" s="56"/>
      <c r="PV314" s="242">
        <f>SUMPRODUCT(PRODUCE!$B313:$DY313,PRODUCE!$EB$55:$IY$55)</f>
        <v>0</v>
      </c>
      <c r="PW314" s="56"/>
      <c r="PX314" s="242">
        <f t="shared" si="2135"/>
        <v>0</v>
      </c>
      <c r="PY314" s="242">
        <f t="shared" si="2136"/>
        <v>13.960000000000036</v>
      </c>
      <c r="PZ314" s="56"/>
      <c r="QC314" s="55">
        <f t="shared" si="2137"/>
        <v>46290</v>
      </c>
      <c r="QD314" s="56"/>
      <c r="QE314" s="242">
        <f>SUMPRODUCT(PRODUCE!$B313:$DY313,PRODUCE!$EB$56:$IY$56)</f>
        <v>0</v>
      </c>
      <c r="QF314" s="56"/>
      <c r="QG314" s="242">
        <f t="shared" si="2138"/>
        <v>0</v>
      </c>
      <c r="QH314" s="242">
        <f t="shared" si="2139"/>
        <v>548</v>
      </c>
      <c r="QI314" s="56"/>
      <c r="QL314" s="55">
        <f t="shared" si="2140"/>
        <v>46290</v>
      </c>
      <c r="QM314" s="56"/>
      <c r="QN314" s="242">
        <f>SUMPRODUCT(PRODUCE!$B313:$DY313,PRODUCE!$EB$57:$IY$57)</f>
        <v>0</v>
      </c>
      <c r="QO314" s="56"/>
      <c r="QP314" s="242">
        <f t="shared" si="2141"/>
        <v>0</v>
      </c>
      <c r="QQ314" s="242">
        <f t="shared" si="2142"/>
        <v>0</v>
      </c>
      <c r="QR314" s="56"/>
      <c r="QU314" s="55">
        <f t="shared" si="2143"/>
        <v>46290</v>
      </c>
      <c r="QV314" s="56"/>
      <c r="QW314" s="242">
        <f>SUMPRODUCT(PRODUCE!$B313:$DY313,PRODUCE!$EB$57:$IY$57)</f>
        <v>0</v>
      </c>
      <c r="QX314" s="56"/>
      <c r="QY314" s="242">
        <f t="shared" si="2144"/>
        <v>0</v>
      </c>
      <c r="QZ314" s="242">
        <f t="shared" si="2145"/>
        <v>0</v>
      </c>
      <c r="RA314" s="56"/>
      <c r="RD314" s="55">
        <f t="shared" si="2146"/>
        <v>46290</v>
      </c>
      <c r="RE314" s="56"/>
      <c r="RF314" s="242">
        <f>SUMPRODUCT(PRODUCE!$B313:$DY313,PRODUCE!$EB$58:$IY$58)</f>
        <v>0</v>
      </c>
      <c r="RG314" s="56"/>
      <c r="RH314" s="242">
        <f t="shared" si="2147"/>
        <v>0</v>
      </c>
      <c r="RI314" s="242">
        <f t="shared" si="2148"/>
        <v>147.04000000000002</v>
      </c>
      <c r="RJ314" s="56"/>
      <c r="RM314" s="55">
        <f t="shared" si="2149"/>
        <v>46290</v>
      </c>
      <c r="RN314" s="56"/>
      <c r="RO314" s="242">
        <f>SUMPRODUCT(PRODUCE!$B313:$DY313,PRODUCE!$EB$59:$IY$59)</f>
        <v>0</v>
      </c>
      <c r="RP314" s="56"/>
      <c r="RQ314" s="242">
        <f t="shared" si="2150"/>
        <v>0</v>
      </c>
      <c r="RR314" s="242">
        <f t="shared" si="2151"/>
        <v>46.8</v>
      </c>
      <c r="RS314" s="56"/>
      <c r="RV314" s="55">
        <f t="shared" si="2152"/>
        <v>46290</v>
      </c>
      <c r="RW314" s="56"/>
      <c r="RX314" s="242">
        <f>SUMPRODUCT(PRODUCE!$B313:$DY313,PRODUCE!$EB$57:$IY$57)</f>
        <v>0</v>
      </c>
      <c r="RY314" s="56"/>
      <c r="RZ314" s="242">
        <f t="shared" si="2153"/>
        <v>0</v>
      </c>
      <c r="SA314" s="242">
        <f t="shared" si="2154"/>
        <v>0</v>
      </c>
      <c r="SB314" s="56"/>
      <c r="SE314" s="55">
        <f t="shared" si="2155"/>
        <v>46290</v>
      </c>
      <c r="SF314" s="56"/>
      <c r="SG314" s="242">
        <f>SUMPRODUCT(PRODUCE!$B313:$DY313,PRODUCE!$EB$61:$IY$61)</f>
        <v>0</v>
      </c>
      <c r="SH314" s="56"/>
      <c r="SI314" s="242">
        <f t="shared" si="2156"/>
        <v>0</v>
      </c>
      <c r="SJ314" s="242">
        <f t="shared" si="2157"/>
        <v>24.200000000000003</v>
      </c>
      <c r="SK314" s="56"/>
      <c r="SN314" s="55">
        <f t="shared" si="2158"/>
        <v>46290</v>
      </c>
      <c r="SO314" s="56"/>
      <c r="SP314" s="242">
        <f>SUMPRODUCT(PRODUCE!$B313:$DY313,PRODUCE!$EB$57:$IY$57)</f>
        <v>0</v>
      </c>
      <c r="SQ314" s="56"/>
      <c r="SR314" s="242">
        <f t="shared" si="2159"/>
        <v>0</v>
      </c>
      <c r="SS314" s="242">
        <f t="shared" si="2160"/>
        <v>32</v>
      </c>
      <c r="ST314" s="56"/>
      <c r="SW314" s="55">
        <f t="shared" si="2161"/>
        <v>46290</v>
      </c>
      <c r="SX314" s="56"/>
      <c r="SY314" s="242">
        <f>SUMPRODUCT(PRODUCE!$B313:$DY313,PRODUCE!$EB$57:$IY$57)</f>
        <v>0</v>
      </c>
      <c r="SZ314" s="56"/>
      <c r="TA314" s="242">
        <f t="shared" si="2162"/>
        <v>0</v>
      </c>
      <c r="TB314" s="242">
        <f t="shared" si="2163"/>
        <v>0</v>
      </c>
      <c r="TC314" s="56"/>
      <c r="TF314" s="55">
        <f t="shared" si="2164"/>
        <v>46290</v>
      </c>
      <c r="TG314" s="56"/>
      <c r="TH314" s="242">
        <f>SUMPRODUCT(PRODUCE!$B313:$DY313,PRODUCE!$EB$57:$IY$57)</f>
        <v>0</v>
      </c>
      <c r="TI314" s="56"/>
      <c r="TJ314" s="242">
        <f t="shared" si="2165"/>
        <v>0</v>
      </c>
      <c r="TK314" s="242">
        <f t="shared" si="2166"/>
        <v>0</v>
      </c>
      <c r="TL314" s="56"/>
      <c r="TO314" s="55">
        <f t="shared" si="2167"/>
        <v>46290</v>
      </c>
      <c r="TP314" s="56"/>
      <c r="TQ314" s="242">
        <f>SUMPRODUCT(PRODUCE!$B313:$DY313,PRODUCE!$EB$57:$IY$57)</f>
        <v>0</v>
      </c>
      <c r="TR314" s="56"/>
      <c r="TS314" s="242">
        <f t="shared" si="2168"/>
        <v>0</v>
      </c>
      <c r="TT314" s="242">
        <f t="shared" si="2169"/>
        <v>0</v>
      </c>
      <c r="TU314" s="56"/>
      <c r="TX314" s="55">
        <f t="shared" si="2170"/>
        <v>46290</v>
      </c>
      <c r="TY314" s="56"/>
      <c r="TZ314" s="242">
        <f>SUMPRODUCT(PRODUCE!$B313:$DY313,PRODUCE!$EB$57:$IY$57)</f>
        <v>0</v>
      </c>
      <c r="UA314" s="56"/>
      <c r="UB314" s="242">
        <f t="shared" si="2171"/>
        <v>0</v>
      </c>
      <c r="UC314" s="242">
        <f t="shared" si="2172"/>
        <v>46.799999999999983</v>
      </c>
      <c r="UD314" s="56"/>
      <c r="UG314" s="55">
        <f t="shared" si="2173"/>
        <v>46290</v>
      </c>
      <c r="UH314" s="56"/>
      <c r="UI314" s="242">
        <f>SUMPRODUCT(PRODUCE!$B313:$DY313,PRODUCE!$EB$57:$IY$57)</f>
        <v>0</v>
      </c>
      <c r="UJ314" s="56"/>
      <c r="UK314" s="242">
        <f t="shared" si="2174"/>
        <v>0</v>
      </c>
      <c r="UL314" s="242">
        <f t="shared" si="2175"/>
        <v>204</v>
      </c>
      <c r="UM314" s="56"/>
      <c r="UP314" s="55">
        <f t="shared" si="2176"/>
        <v>46290</v>
      </c>
      <c r="UQ314" s="56"/>
      <c r="UR314" s="242">
        <f>SUMPRODUCT(PRODUCE!$B313:$DY313,PRODUCE!$EB$57:$IY$57)</f>
        <v>0</v>
      </c>
      <c r="US314" s="56"/>
      <c r="UT314" s="242">
        <f t="shared" si="2177"/>
        <v>0</v>
      </c>
      <c r="UU314" s="242">
        <f t="shared" si="2178"/>
        <v>202.5</v>
      </c>
      <c r="UV314" s="56"/>
      <c r="UY314" s="55">
        <f t="shared" si="2179"/>
        <v>46290</v>
      </c>
      <c r="UZ314" s="56"/>
      <c r="VA314" s="242">
        <f>SUMPRODUCT(PRODUCE!$B313:$DY313,PRODUCE!$EB$57:$IY$57)</f>
        <v>0</v>
      </c>
      <c r="VB314" s="56"/>
      <c r="VC314" s="242">
        <f t="shared" si="2180"/>
        <v>0</v>
      </c>
      <c r="VD314" s="242">
        <f t="shared" si="2181"/>
        <v>41.600000000000023</v>
      </c>
      <c r="VE314" s="56"/>
      <c r="VH314" s="55">
        <f t="shared" si="2182"/>
        <v>46290</v>
      </c>
      <c r="VI314" s="56"/>
      <c r="VJ314" s="242">
        <f>SUMPRODUCT(PRODUCE!$B313:$DY313,PRODUCE!$EB$57:$IY$57)</f>
        <v>0</v>
      </c>
      <c r="VK314" s="56"/>
      <c r="VL314" s="242">
        <f t="shared" si="2183"/>
        <v>0</v>
      </c>
      <c r="VM314" s="242">
        <f t="shared" si="2184"/>
        <v>210</v>
      </c>
      <c r="VN314" s="56"/>
      <c r="VQ314" s="55">
        <f t="shared" si="2185"/>
        <v>46290</v>
      </c>
      <c r="VR314" s="56"/>
      <c r="VS314" s="242">
        <f>SUMPRODUCT(PRODUCE!$B313:$DY313,PRODUCE!$EB$57:$IY$57)</f>
        <v>0</v>
      </c>
      <c r="VT314" s="56"/>
      <c r="VU314" s="242">
        <f t="shared" si="2186"/>
        <v>0</v>
      </c>
      <c r="VV314" s="242">
        <f t="shared" si="2187"/>
        <v>0</v>
      </c>
      <c r="VW314" s="56"/>
      <c r="VZ314" s="55">
        <f t="shared" si="2188"/>
        <v>46290</v>
      </c>
      <c r="WA314" s="56"/>
      <c r="WB314" s="242">
        <f>SUMPRODUCT(PRODUCE!$B313:$DY313,PRODUCE!$EB$57:$IY$57)</f>
        <v>0</v>
      </c>
      <c r="WC314" s="56"/>
      <c r="WD314" s="242">
        <f t="shared" si="2189"/>
        <v>0</v>
      </c>
      <c r="WE314" s="242">
        <f t="shared" si="2190"/>
        <v>0</v>
      </c>
      <c r="WF314" s="56"/>
      <c r="WI314" s="55">
        <f t="shared" si="2191"/>
        <v>46290</v>
      </c>
      <c r="WJ314" s="56"/>
      <c r="WK314" s="242">
        <f>SUMPRODUCT(PRODUCE!$B313:$DY313,PRODUCE!$EB$57:$IY$57)</f>
        <v>0</v>
      </c>
      <c r="WL314" s="56"/>
      <c r="WM314" s="242">
        <f t="shared" si="2192"/>
        <v>0</v>
      </c>
      <c r="WN314" s="242">
        <f t="shared" si="2193"/>
        <v>1057</v>
      </c>
      <c r="WO314" s="56"/>
      <c r="WR314" s="55">
        <f t="shared" si="2194"/>
        <v>46290</v>
      </c>
      <c r="WS314" s="56"/>
      <c r="WT314" s="242">
        <f>SUMPRODUCT(PRODUCE!$B313:$DY313,PRODUCE!$EB$57:$IY$57)</f>
        <v>0</v>
      </c>
      <c r="WU314" s="56"/>
      <c r="WV314" s="242">
        <f t="shared" si="2195"/>
        <v>0</v>
      </c>
      <c r="WW314" s="242">
        <f t="shared" si="2196"/>
        <v>0</v>
      </c>
      <c r="WX314" s="56"/>
      <c r="XA314" s="55">
        <f t="shared" si="2197"/>
        <v>46290</v>
      </c>
      <c r="XB314" s="56"/>
      <c r="XC314" s="242">
        <f>SUMPRODUCT(PRODUCE!$B313:$DY313,PRODUCE!$EB$57:$IY$57)</f>
        <v>0</v>
      </c>
      <c r="XD314" s="56"/>
      <c r="XE314" s="242">
        <f t="shared" si="2198"/>
        <v>0</v>
      </c>
      <c r="XF314" s="242">
        <f t="shared" si="2199"/>
        <v>7507</v>
      </c>
      <c r="XG314" s="56"/>
      <c r="XJ314" s="55">
        <f t="shared" si="2200"/>
        <v>46290</v>
      </c>
      <c r="XK314" s="56"/>
      <c r="XL314" s="242">
        <f>SUMPRODUCT(PRODUCE!$B313:$DY313,PRODUCE!$EB$57:$IY$57)</f>
        <v>0</v>
      </c>
      <c r="XM314" s="56"/>
      <c r="XN314" s="242">
        <f t="shared" si="2201"/>
        <v>0</v>
      </c>
      <c r="XO314" s="242">
        <f t="shared" si="2202"/>
        <v>4252</v>
      </c>
      <c r="XP314" s="56"/>
      <c r="XS314" s="55">
        <f t="shared" si="2203"/>
        <v>46290</v>
      </c>
      <c r="XT314" s="56"/>
      <c r="XU314" s="242">
        <f>SUMPRODUCT(PRODUCE!$B313:$DY313,PRODUCE!$EB$57:$IY$57)</f>
        <v>0</v>
      </c>
      <c r="XV314" s="56"/>
      <c r="XW314" s="242">
        <f t="shared" si="2204"/>
        <v>0</v>
      </c>
      <c r="XX314" s="242">
        <f t="shared" si="2205"/>
        <v>2179</v>
      </c>
      <c r="XY314" s="56"/>
      <c r="YB314" s="55">
        <f t="shared" si="2206"/>
        <v>46290</v>
      </c>
      <c r="YC314" s="56"/>
      <c r="YD314" s="242">
        <f>SUMPRODUCT(PRODUCE!$B313:$DY313,PRODUCE!$EB$57:$IY$57)</f>
        <v>0</v>
      </c>
      <c r="YE314" s="56"/>
      <c r="YF314" s="242">
        <f t="shared" si="2207"/>
        <v>0</v>
      </c>
      <c r="YG314" s="242">
        <f t="shared" si="2208"/>
        <v>4019</v>
      </c>
      <c r="YH314" s="56"/>
      <c r="YK314" s="55">
        <f t="shared" si="2209"/>
        <v>46290</v>
      </c>
      <c r="YL314" s="56"/>
      <c r="YM314" s="242">
        <f>SUMPRODUCT(PRODUCE!$B313:$DY313,PRODUCE!$EB$57:$IY$57)</f>
        <v>0</v>
      </c>
      <c r="YN314" s="56"/>
      <c r="YO314" s="242">
        <f t="shared" si="2210"/>
        <v>0</v>
      </c>
      <c r="YP314" s="242">
        <f t="shared" si="2211"/>
        <v>-218</v>
      </c>
      <c r="YQ314" s="56"/>
      <c r="YT314" s="55">
        <f t="shared" si="2212"/>
        <v>46290</v>
      </c>
      <c r="YU314" s="56"/>
      <c r="YV314" s="242">
        <f>SUMPRODUCT(PRODUCE!$B313:$DY313,PRODUCE!$EB$57:$IY$57)</f>
        <v>0</v>
      </c>
      <c r="YW314" s="56"/>
      <c r="YX314" s="242">
        <f t="shared" si="2213"/>
        <v>0</v>
      </c>
      <c r="YY314" s="242">
        <f t="shared" si="2214"/>
        <v>0</v>
      </c>
      <c r="YZ314" s="56"/>
      <c r="ZC314" s="55">
        <f t="shared" si="2215"/>
        <v>46290</v>
      </c>
      <c r="ZD314" s="56"/>
      <c r="ZE314" s="242">
        <f>SUMPRODUCT(PRODUCE!$B313:$DY313,PRODUCE!$EB$57:$IY$57)</f>
        <v>0</v>
      </c>
      <c r="ZF314" s="56"/>
      <c r="ZG314" s="242">
        <f t="shared" si="2216"/>
        <v>0</v>
      </c>
      <c r="ZH314" s="242">
        <f t="shared" si="2217"/>
        <v>0</v>
      </c>
      <c r="ZI314" s="56"/>
      <c r="ZL314" s="55">
        <f t="shared" si="2218"/>
        <v>46290</v>
      </c>
      <c r="ZM314" s="56"/>
      <c r="ZN314" s="242">
        <f>SUMPRODUCT(PRODUCE!$B313:$DY313,PRODUCE!$EB$57:$IY$57)</f>
        <v>0</v>
      </c>
      <c r="ZO314" s="56"/>
      <c r="ZP314" s="242">
        <f t="shared" si="2219"/>
        <v>0</v>
      </c>
      <c r="ZQ314" s="242">
        <f t="shared" si="2220"/>
        <v>0</v>
      </c>
      <c r="ZR314" s="56"/>
      <c r="ZU314" s="55">
        <f t="shared" si="2221"/>
        <v>46290</v>
      </c>
      <c r="ZV314" s="56"/>
      <c r="ZW314" s="242">
        <f>SUMPRODUCT(PRODUCE!$B313:$DY313,PRODUCE!$EB$57:$IY$57)</f>
        <v>0</v>
      </c>
      <c r="ZX314" s="56"/>
      <c r="ZY314" s="242">
        <f t="shared" si="2222"/>
        <v>0</v>
      </c>
      <c r="ZZ314" s="242">
        <f t="shared" si="2223"/>
        <v>0</v>
      </c>
      <c r="AAA314" s="56"/>
      <c r="AAD314" s="55">
        <f t="shared" si="2224"/>
        <v>46290</v>
      </c>
      <c r="AAE314" s="56"/>
      <c r="AAF314" s="242">
        <f>SUMPRODUCT(PRODUCE!$B313:$DY313,PRODUCE!$EB$57:$IY$57)</f>
        <v>0</v>
      </c>
      <c r="AAG314" s="56"/>
      <c r="AAH314" s="242">
        <f t="shared" si="2225"/>
        <v>0</v>
      </c>
      <c r="AAI314" s="242">
        <f t="shared" si="2226"/>
        <v>0</v>
      </c>
      <c r="AAJ314" s="56"/>
      <c r="AAM314" s="55">
        <f t="shared" si="2227"/>
        <v>46290</v>
      </c>
      <c r="AAN314" s="56"/>
      <c r="AAO314" s="242">
        <f>SUMPRODUCT(PRODUCE!$B313:$DY313,PRODUCE!$EB$57:$IY$57)</f>
        <v>0</v>
      </c>
      <c r="AAP314" s="56"/>
      <c r="AAQ314" s="242">
        <f t="shared" si="2228"/>
        <v>0</v>
      </c>
      <c r="AAR314" s="242">
        <f t="shared" si="2229"/>
        <v>0</v>
      </c>
      <c r="AAS314" s="56"/>
      <c r="AAV314" s="55">
        <f t="shared" si="2230"/>
        <v>46290</v>
      </c>
      <c r="AAW314" s="56"/>
      <c r="AAX314" s="242">
        <f>SUMPRODUCT(PRODUCE!$B313:$DY313,PRODUCE!$EB$57:$IY$57)</f>
        <v>0</v>
      </c>
      <c r="AAY314" s="56"/>
      <c r="AAZ314" s="242">
        <f t="shared" si="2231"/>
        <v>0</v>
      </c>
      <c r="ABA314" s="242">
        <f t="shared" si="2232"/>
        <v>0</v>
      </c>
      <c r="ABB314" s="56"/>
      <c r="ABE314" s="55">
        <f t="shared" si="2233"/>
        <v>46290</v>
      </c>
      <c r="ABF314" s="56"/>
      <c r="ABG314" s="242">
        <f>SUMPRODUCT(PRODUCE!$B313:$DY313,PRODUCE!$EB$57:$IY$57)</f>
        <v>0</v>
      </c>
      <c r="ABH314" s="56"/>
      <c r="ABI314" s="242">
        <f t="shared" si="2234"/>
        <v>0</v>
      </c>
      <c r="ABJ314" s="242">
        <f t="shared" si="2235"/>
        <v>0</v>
      </c>
      <c r="ABK314" s="56"/>
    </row>
    <row r="315" spans="2:739" s="54" customFormat="1" ht="15" customHeight="1" outlineLevel="1">
      <c r="B315" s="478"/>
      <c r="C315" s="55">
        <v>46291</v>
      </c>
      <c r="D315" s="56"/>
      <c r="E315" s="57">
        <f>SUMPRODUCT(PRODUCE!$B314:$DY314,PRODUCE!$EB$7:$IY$7)</f>
        <v>0</v>
      </c>
      <c r="F315" s="56"/>
      <c r="G315" s="57">
        <f t="shared" si="1992"/>
        <v>0</v>
      </c>
      <c r="H315" s="57">
        <f t="shared" si="1993"/>
        <v>236936.6</v>
      </c>
      <c r="I315" s="289"/>
      <c r="L315" s="55">
        <f t="shared" si="1994"/>
        <v>46291</v>
      </c>
      <c r="M315" s="56"/>
      <c r="N315" s="59">
        <f>SUMPRODUCT(PRODUCE!$B314:$DY314,PRODUCE!$EB$8:$IY$8)</f>
        <v>0</v>
      </c>
      <c r="O315" s="56"/>
      <c r="P315" s="59">
        <f t="shared" si="1995"/>
        <v>0</v>
      </c>
      <c r="Q315" s="59">
        <f t="shared" si="1996"/>
        <v>53017.600000000071</v>
      </c>
      <c r="R315" s="56"/>
      <c r="U315" s="55">
        <f t="shared" si="1997"/>
        <v>46291</v>
      </c>
      <c r="V315" s="56"/>
      <c r="W315" s="60">
        <f>SUMPRODUCT(PRODUCE!$B314:$DY314,PRODUCE!$EB$9:$IY$9)</f>
        <v>0</v>
      </c>
      <c r="X315" s="56"/>
      <c r="Y315" s="60">
        <f t="shared" si="1998"/>
        <v>0</v>
      </c>
      <c r="Z315" s="60">
        <f t="shared" si="1999"/>
        <v>42674.199999999968</v>
      </c>
      <c r="AA315" s="56"/>
      <c r="AD315" s="55">
        <f t="shared" si="2000"/>
        <v>46291</v>
      </c>
      <c r="AE315" s="56"/>
      <c r="AF315" s="61">
        <f>SUMPRODUCT(PRODUCE!$B314:$DY314,PRODUCE!$EB$10:$IY$10)</f>
        <v>0</v>
      </c>
      <c r="AG315" s="56"/>
      <c r="AH315" s="61">
        <f t="shared" si="2001"/>
        <v>0</v>
      </c>
      <c r="AI315" s="61">
        <f t="shared" si="2002"/>
        <v>4522.2000000000189</v>
      </c>
      <c r="AJ315" s="56"/>
      <c r="AM315" s="55">
        <f t="shared" si="2003"/>
        <v>46291</v>
      </c>
      <c r="AN315" s="422"/>
      <c r="AO315" s="444">
        <f>SUMPRODUCT(PRODUCE!$B314:$DY314,PRODUCE!$EB$11:$IY$11)</f>
        <v>0</v>
      </c>
      <c r="AP315" s="422"/>
      <c r="AQ315" s="444">
        <f t="shared" si="2004"/>
        <v>0</v>
      </c>
      <c r="AR315" s="444">
        <f t="shared" si="2005"/>
        <v>0</v>
      </c>
      <c r="AS315" s="56"/>
      <c r="AV315" s="55">
        <f t="shared" si="2006"/>
        <v>46291</v>
      </c>
      <c r="AW315" s="56"/>
      <c r="AX315" s="62">
        <f>SUMPRODUCT(PRODUCE!$B314:$DY314,PRODUCE!$EB$12:$IY$12)</f>
        <v>0</v>
      </c>
      <c r="AY315" s="56"/>
      <c r="AZ315" s="62">
        <f t="shared" si="2007"/>
        <v>0</v>
      </c>
      <c r="BA315" s="62">
        <f t="shared" si="2008"/>
        <v>124.99999999999523</v>
      </c>
      <c r="BB315" s="56"/>
      <c r="BE315" s="55">
        <f t="shared" si="2009"/>
        <v>46291</v>
      </c>
      <c r="BF315" s="56"/>
      <c r="BG315" s="63">
        <f>SUMPRODUCT(PRODUCE!$B314:$DY314,PRODUCE!$EB$13:$IY$13)</f>
        <v>0</v>
      </c>
      <c r="BH315" s="56"/>
      <c r="BI315" s="63">
        <f t="shared" si="2010"/>
        <v>0</v>
      </c>
      <c r="BJ315" s="63">
        <f t="shared" si="2011"/>
        <v>26151.899999999998</v>
      </c>
      <c r="BK315" s="56"/>
      <c r="BN315" s="55">
        <f t="shared" si="2012"/>
        <v>46291</v>
      </c>
      <c r="BO315" s="56"/>
      <c r="BP315" s="64">
        <f>SUMPRODUCT(PRODUCE!$B314:$DY314,PRODUCE!$EB$14:$IY$14)</f>
        <v>0</v>
      </c>
      <c r="BQ315" s="56"/>
      <c r="BR315" s="64">
        <f t="shared" si="2013"/>
        <v>0</v>
      </c>
      <c r="BS315" s="64">
        <f t="shared" si="2014"/>
        <v>0</v>
      </c>
      <c r="BT315" s="56"/>
      <c r="BW315" s="55">
        <f t="shared" si="2015"/>
        <v>46291</v>
      </c>
      <c r="BX315" s="56"/>
      <c r="BY315" s="65">
        <f>SUMPRODUCT(PRODUCE!$B314:$DY314,PRODUCE!$EB$15:$IY$15)</f>
        <v>0</v>
      </c>
      <c r="BZ315" s="56"/>
      <c r="CA315" s="65">
        <f t="shared" si="2016"/>
        <v>0</v>
      </c>
      <c r="CB315" s="65">
        <f t="shared" si="2017"/>
        <v>2097.3399999999992</v>
      </c>
      <c r="CC315" s="56"/>
      <c r="CF315" s="55">
        <f t="shared" si="2018"/>
        <v>46291</v>
      </c>
      <c r="CG315" s="56"/>
      <c r="CH315" s="66">
        <f>SUMPRODUCT(PRODUCE!$B314:$DY314,PRODUCE!$EB$16:$IY$16)</f>
        <v>0</v>
      </c>
      <c r="CI315" s="56"/>
      <c r="CJ315" s="66">
        <f t="shared" si="2019"/>
        <v>0</v>
      </c>
      <c r="CK315" s="66">
        <f t="shared" si="2020"/>
        <v>-10277.079999999998</v>
      </c>
      <c r="CL315" s="56"/>
      <c r="CO315" s="55">
        <f t="shared" si="2021"/>
        <v>46291</v>
      </c>
      <c r="CP315" s="422"/>
      <c r="CQ315" s="470">
        <f>SUMPRODUCT(PRODUCE!$B314:$DY314,PRODUCE!$EB$17:$IY$17)</f>
        <v>0</v>
      </c>
      <c r="CR315" s="422"/>
      <c r="CS315" s="470">
        <f t="shared" si="2022"/>
        <v>0</v>
      </c>
      <c r="CT315" s="470">
        <f t="shared" si="2023"/>
        <v>0</v>
      </c>
      <c r="CU315" s="56"/>
      <c r="CX315" s="55">
        <f t="shared" si="2024"/>
        <v>46291</v>
      </c>
      <c r="CY315" s="56"/>
      <c r="CZ315" s="133">
        <f>SUMPRODUCT(PRODUCE!$B314:$DY314,PRODUCE!$EB$18:$IY$18)</f>
        <v>0</v>
      </c>
      <c r="DA315" s="56"/>
      <c r="DB315" s="133">
        <f t="shared" si="2025"/>
        <v>0</v>
      </c>
      <c r="DC315" s="133">
        <f t="shared" si="2026"/>
        <v>27438.200000000012</v>
      </c>
      <c r="DD315" s="56"/>
      <c r="DG315" s="55">
        <f t="shared" si="2027"/>
        <v>46291</v>
      </c>
      <c r="DH315" s="56"/>
      <c r="DI315" s="147">
        <f>SUMPRODUCT(PRODUCE!$B314:$DY314,PRODUCE!$EB$19:$IY$19)</f>
        <v>0</v>
      </c>
      <c r="DJ315" s="56"/>
      <c r="DK315" s="147">
        <f t="shared" si="2028"/>
        <v>0</v>
      </c>
      <c r="DL315" s="147">
        <f t="shared" si="2029"/>
        <v>18782.299999999981</v>
      </c>
      <c r="DM315" s="56"/>
      <c r="DP315" s="55">
        <f t="shared" si="2030"/>
        <v>46291</v>
      </c>
      <c r="DQ315" s="56"/>
      <c r="DR315" s="57">
        <f>SUMPRODUCT(PRODUCE!$B314:$DY314,PRODUCE!$EB$20:$IY$20)</f>
        <v>0</v>
      </c>
      <c r="DS315" s="56"/>
      <c r="DT315" s="57">
        <f t="shared" si="2031"/>
        <v>0</v>
      </c>
      <c r="DU315" s="57">
        <f t="shared" si="2032"/>
        <v>5800</v>
      </c>
      <c r="DV315" s="56"/>
      <c r="DY315" s="55">
        <f t="shared" si="2033"/>
        <v>46291</v>
      </c>
      <c r="DZ315" s="56"/>
      <c r="EA315" s="157">
        <f>SUMPRODUCT(PRODUCE!$B314:$DY314,PRODUCE!$EB$21:$IY$21)</f>
        <v>0</v>
      </c>
      <c r="EB315" s="56"/>
      <c r="EC315" s="157">
        <f t="shared" si="2034"/>
        <v>0</v>
      </c>
      <c r="ED315" s="157">
        <f t="shared" si="2035"/>
        <v>0</v>
      </c>
      <c r="EE315" s="56"/>
      <c r="EH315" s="55">
        <f t="shared" si="2036"/>
        <v>46291</v>
      </c>
      <c r="EI315" s="56"/>
      <c r="EJ315" s="162">
        <f>SUMPRODUCT(PRODUCE!$B314:$DY314,PRODUCE!$EB$22:$IY$22)</f>
        <v>0</v>
      </c>
      <c r="EK315" s="56"/>
      <c r="EL315" s="162">
        <f t="shared" si="2037"/>
        <v>0</v>
      </c>
      <c r="EM315" s="162">
        <f t="shared" si="2038"/>
        <v>0</v>
      </c>
      <c r="EN315" s="56"/>
      <c r="EQ315" s="55">
        <f t="shared" si="2039"/>
        <v>46291</v>
      </c>
      <c r="ER315" s="56"/>
      <c r="ES315" s="135">
        <f>SUMPRODUCT(PRODUCE!$B314:$DY314,PRODUCE!$EB$23:$IY$23)</f>
        <v>0</v>
      </c>
      <c r="ET315" s="56"/>
      <c r="EU315" s="135">
        <f t="shared" si="2040"/>
        <v>0</v>
      </c>
      <c r="EV315" s="135">
        <f t="shared" si="2041"/>
        <v>0</v>
      </c>
      <c r="EW315" s="56"/>
      <c r="EZ315" s="55">
        <f t="shared" si="2042"/>
        <v>46291</v>
      </c>
      <c r="FA315" s="56"/>
      <c r="FB315" s="175">
        <f>SUMPRODUCT(PRODUCE!$B314:$DY314,PRODUCE!$EB$24:$IY$24)</f>
        <v>0</v>
      </c>
      <c r="FC315" s="56"/>
      <c r="FD315" s="175">
        <f t="shared" si="2043"/>
        <v>0</v>
      </c>
      <c r="FE315" s="175">
        <f t="shared" si="2044"/>
        <v>0</v>
      </c>
      <c r="FF315" s="56"/>
      <c r="FI315" s="55">
        <f t="shared" si="2045"/>
        <v>46291</v>
      </c>
      <c r="FJ315" s="56"/>
      <c r="FK315" s="183">
        <f>SUMPRODUCT(PRODUCE!$B314:$DY314,PRODUCE!$EB$25:$IY$25)</f>
        <v>0</v>
      </c>
      <c r="FL315" s="56"/>
      <c r="FM315" s="183">
        <f t="shared" si="2046"/>
        <v>0</v>
      </c>
      <c r="FN315" s="183">
        <f t="shared" si="2047"/>
        <v>0</v>
      </c>
      <c r="FO315" s="56"/>
      <c r="FR315" s="55">
        <f t="shared" si="2048"/>
        <v>46291</v>
      </c>
      <c r="FS315" s="56"/>
      <c r="FT315" s="186">
        <f>SUMPRODUCT(PRODUCE!$B314:$DY314,PRODUCE!$EB$26:$IY$26)</f>
        <v>0</v>
      </c>
      <c r="FU315" s="56"/>
      <c r="FV315" s="186">
        <f t="shared" si="2049"/>
        <v>0</v>
      </c>
      <c r="FW315" s="186">
        <f t="shared" si="2050"/>
        <v>2020</v>
      </c>
      <c r="FX315" s="56"/>
      <c r="GA315" s="55">
        <f t="shared" si="2051"/>
        <v>46291</v>
      </c>
      <c r="GB315" s="56"/>
      <c r="GC315" s="137">
        <f>SUMPRODUCT(PRODUCE!$B314:$DY314,PRODUCE!$EB$27:$IY$27)</f>
        <v>0</v>
      </c>
      <c r="GD315" s="56"/>
      <c r="GE315" s="137">
        <f t="shared" si="2052"/>
        <v>0</v>
      </c>
      <c r="GF315" s="137">
        <f t="shared" si="2053"/>
        <v>960</v>
      </c>
      <c r="GG315" s="56"/>
      <c r="GI315" s="23"/>
      <c r="GJ315" s="55">
        <f t="shared" si="2054"/>
        <v>46291</v>
      </c>
      <c r="GK315" s="56"/>
      <c r="GL315" s="199">
        <f>SUMPRODUCT(PRODUCE!$B314:$DY314,PRODUCE!$EB$28:$IY$28)</f>
        <v>0</v>
      </c>
      <c r="GM315" s="56"/>
      <c r="GN315" s="199">
        <f t="shared" si="2055"/>
        <v>0</v>
      </c>
      <c r="GO315" s="199">
        <f t="shared" si="2056"/>
        <v>1760</v>
      </c>
      <c r="GP315" s="56"/>
      <c r="GS315" s="55">
        <f t="shared" si="2057"/>
        <v>46291</v>
      </c>
      <c r="GT315" s="56"/>
      <c r="GU315" s="195">
        <f>SUMPRODUCT(PRODUCE!$B314:$DY314,PRODUCE!$EB$29:$IY$29)</f>
        <v>0</v>
      </c>
      <c r="GV315" s="56"/>
      <c r="GW315" s="195">
        <f t="shared" si="2058"/>
        <v>0</v>
      </c>
      <c r="GX315" s="195">
        <f t="shared" si="2059"/>
        <v>400</v>
      </c>
      <c r="GY315" s="56"/>
      <c r="HB315" s="55">
        <f t="shared" si="2060"/>
        <v>46291</v>
      </c>
      <c r="HC315" s="56"/>
      <c r="HD315" s="191">
        <f>SUMPRODUCT(PRODUCE!$B314:$DY314,PRODUCE!$EB$30:$IY$30)</f>
        <v>0</v>
      </c>
      <c r="HE315" s="56"/>
      <c r="HF315" s="191">
        <f t="shared" si="2061"/>
        <v>0</v>
      </c>
      <c r="HG315" s="191">
        <f t="shared" si="2062"/>
        <v>3600</v>
      </c>
      <c r="HH315" s="56"/>
      <c r="HK315" s="55">
        <f t="shared" si="2063"/>
        <v>46291</v>
      </c>
      <c r="HL315" s="56"/>
      <c r="HM315" s="63">
        <f>SUMPRODUCT(PRODUCE!$B314:$DY314,PRODUCE!$EB$31:$IY$31)</f>
        <v>0</v>
      </c>
      <c r="HN315" s="56"/>
      <c r="HO315" s="63">
        <f t="shared" si="2064"/>
        <v>0</v>
      </c>
      <c r="HP315" s="63">
        <f t="shared" si="2065"/>
        <v>0</v>
      </c>
      <c r="HQ315" s="56"/>
      <c r="HU315" s="55">
        <f t="shared" si="2066"/>
        <v>46291</v>
      </c>
      <c r="HV315" s="56"/>
      <c r="HW315" s="242">
        <f>SUMPRODUCT(PRODUCE!$B314:$DY314,PRODUCE!$EB$32:$IY$32)</f>
        <v>0</v>
      </c>
      <c r="HX315" s="56"/>
      <c r="HY315" s="242">
        <f t="shared" si="2236"/>
        <v>0</v>
      </c>
      <c r="HZ315" s="242">
        <f t="shared" si="2067"/>
        <v>6120</v>
      </c>
      <c r="IA315" s="56"/>
      <c r="ID315" s="55">
        <f t="shared" si="2068"/>
        <v>46291</v>
      </c>
      <c r="IE315" s="56"/>
      <c r="IF315" s="242">
        <f>SUMPRODUCT(PRODUCE!$B314:$DY314,PRODUCE!$EB$33:$IY$33)</f>
        <v>0</v>
      </c>
      <c r="IG315" s="56"/>
      <c r="IH315" s="242">
        <f t="shared" si="2069"/>
        <v>0</v>
      </c>
      <c r="II315" s="242">
        <f t="shared" si="2070"/>
        <v>0</v>
      </c>
      <c r="IJ315" s="56"/>
      <c r="IM315" s="55">
        <f t="shared" si="2071"/>
        <v>46291</v>
      </c>
      <c r="IN315" s="56"/>
      <c r="IO315" s="242">
        <f>SUMPRODUCT(PRODUCE!$B314:$DY314,PRODUCE!$EB$34:$IY$34)</f>
        <v>0</v>
      </c>
      <c r="IP315" s="56"/>
      <c r="IQ315" s="242">
        <f t="shared" si="2072"/>
        <v>0</v>
      </c>
      <c r="IR315" s="242">
        <f t="shared" si="2073"/>
        <v>0</v>
      </c>
      <c r="IS315" s="56"/>
      <c r="IV315" s="55">
        <f t="shared" si="2074"/>
        <v>46291</v>
      </c>
      <c r="IW315" s="56"/>
      <c r="IX315" s="242">
        <f>SUMPRODUCT(PRODUCE!$B314:$DY314,PRODUCE!$EB$35:$IY$35)</f>
        <v>0</v>
      </c>
      <c r="IY315" s="56"/>
      <c r="IZ315" s="242">
        <f t="shared" si="2075"/>
        <v>0</v>
      </c>
      <c r="JA315" s="242">
        <f t="shared" si="2076"/>
        <v>2820</v>
      </c>
      <c r="JB315" s="56"/>
      <c r="JE315" s="55">
        <f t="shared" si="2077"/>
        <v>46291</v>
      </c>
      <c r="JF315" s="56"/>
      <c r="JG315" s="242">
        <f>SUMPRODUCT(PRODUCE!$B314:$DY314,PRODUCE!$EB$36:$IY$36)</f>
        <v>0</v>
      </c>
      <c r="JH315" s="56"/>
      <c r="JI315" s="242">
        <f t="shared" si="2078"/>
        <v>0</v>
      </c>
      <c r="JJ315" s="242">
        <f t="shared" si="2079"/>
        <v>0</v>
      </c>
      <c r="JK315" s="56"/>
      <c r="JN315" s="55">
        <f t="shared" si="2080"/>
        <v>46291</v>
      </c>
      <c r="JO315" s="56"/>
      <c r="JP315" s="242">
        <f>SUMPRODUCT(PRODUCE!$B314:$DY314,PRODUCE!$EB$37:$IY$37)</f>
        <v>0</v>
      </c>
      <c r="JQ315" s="56"/>
      <c r="JR315" s="242">
        <f t="shared" si="2081"/>
        <v>0</v>
      </c>
      <c r="JS315" s="242">
        <f t="shared" si="2082"/>
        <v>0</v>
      </c>
      <c r="JT315" s="56"/>
      <c r="JW315" s="55">
        <f t="shared" si="2083"/>
        <v>46291</v>
      </c>
      <c r="JX315" s="56"/>
      <c r="JY315" s="242">
        <f>SUMPRODUCT(PRODUCE!$B314:$DY314,PRODUCE!$EB$38:$IY$38)</f>
        <v>0</v>
      </c>
      <c r="JZ315" s="56"/>
      <c r="KA315" s="242">
        <f t="shared" si="2084"/>
        <v>0</v>
      </c>
      <c r="KB315" s="242">
        <f t="shared" si="2085"/>
        <v>2540</v>
      </c>
      <c r="KC315" s="56"/>
      <c r="KF315" s="55">
        <f t="shared" si="2086"/>
        <v>46291</v>
      </c>
      <c r="KG315" s="56"/>
      <c r="KH315" s="242">
        <f>SUMPRODUCT(PRODUCE!$B314:$DY314,PRODUCE!$EB$39:$IY$39)</f>
        <v>0</v>
      </c>
      <c r="KI315" s="56"/>
      <c r="KJ315" s="242">
        <f t="shared" si="2087"/>
        <v>0</v>
      </c>
      <c r="KK315" s="242">
        <f t="shared" si="2088"/>
        <v>2359.5</v>
      </c>
      <c r="KL315" s="56"/>
      <c r="KO315" s="55">
        <f t="shared" si="2089"/>
        <v>46291</v>
      </c>
      <c r="KP315" s="56"/>
      <c r="KQ315" s="242">
        <f>SUMPRODUCT(PRODUCE!$B314:$DY314,PRODUCE!$EB$40:$IY$40)</f>
        <v>0</v>
      </c>
      <c r="KR315" s="56"/>
      <c r="KS315" s="242">
        <f t="shared" si="2090"/>
        <v>0</v>
      </c>
      <c r="KT315" s="242">
        <f t="shared" si="2091"/>
        <v>1890</v>
      </c>
      <c r="KU315" s="56"/>
      <c r="KW315" s="23"/>
      <c r="KX315" s="55">
        <f t="shared" si="2092"/>
        <v>46291</v>
      </c>
      <c r="KY315" s="56"/>
      <c r="KZ315" s="242">
        <f>SUMPRODUCT(PRODUCE!$B314:$DY314,PRODUCE!$EB$41:$IY$41)</f>
        <v>0</v>
      </c>
      <c r="LA315" s="56"/>
      <c r="LB315" s="242">
        <f t="shared" si="2093"/>
        <v>0</v>
      </c>
      <c r="LC315" s="242">
        <f t="shared" si="2094"/>
        <v>3690</v>
      </c>
      <c r="LD315" s="56"/>
      <c r="LG315" s="55">
        <f t="shared" si="2095"/>
        <v>46291</v>
      </c>
      <c r="LH315" s="56"/>
      <c r="LI315" s="242">
        <f>SUMPRODUCT(PRODUCE!$B314:$DY314,PRODUCE!$EB$42:$IY$42)</f>
        <v>0</v>
      </c>
      <c r="LJ315" s="56"/>
      <c r="LK315" s="242">
        <f t="shared" si="2096"/>
        <v>0</v>
      </c>
      <c r="LL315" s="242">
        <f t="shared" si="2097"/>
        <v>4000</v>
      </c>
      <c r="LM315" s="56"/>
      <c r="LP315" s="55">
        <f t="shared" si="2098"/>
        <v>46291</v>
      </c>
      <c r="LQ315" s="56"/>
      <c r="LR315" s="242">
        <f>SUMPRODUCT(PRODUCE!$B330:$DY330,PRODUCE!$EB$43:$IY$43)</f>
        <v>0</v>
      </c>
      <c r="LS315" s="56"/>
      <c r="LT315" s="242">
        <f t="shared" si="2099"/>
        <v>0</v>
      </c>
      <c r="LU315" s="242">
        <f t="shared" si="2100"/>
        <v>0</v>
      </c>
      <c r="LV315" s="56"/>
      <c r="LY315" s="55">
        <f t="shared" si="2101"/>
        <v>46291</v>
      </c>
      <c r="LZ315" s="56"/>
      <c r="MA315" s="242">
        <f>SUMPRODUCT(PRODUCE!$B314:$DY314,PRODUCE!$EB$44:$IY$44)</f>
        <v>0</v>
      </c>
      <c r="MB315" s="56"/>
      <c r="MC315" s="242">
        <f t="shared" si="2102"/>
        <v>0</v>
      </c>
      <c r="MD315" s="242">
        <f t="shared" si="2103"/>
        <v>0</v>
      </c>
      <c r="ME315" s="56"/>
      <c r="MH315" s="55">
        <f t="shared" si="2104"/>
        <v>46291</v>
      </c>
      <c r="MI315" s="56"/>
      <c r="MJ315" s="242">
        <f>SUMPRODUCT(PRODUCE!$B314:$DY314,PRODUCE!$EB$45:$IY$45)</f>
        <v>0</v>
      </c>
      <c r="MK315" s="56"/>
      <c r="ML315" s="242">
        <f t="shared" si="2105"/>
        <v>0</v>
      </c>
      <c r="MM315" s="242">
        <f t="shared" si="2106"/>
        <v>0</v>
      </c>
      <c r="MN315" s="56"/>
      <c r="MQ315" s="55">
        <f t="shared" si="2107"/>
        <v>46291</v>
      </c>
      <c r="MR315" s="56"/>
      <c r="MS315" s="242">
        <f>SUMPRODUCT(PRODUCE!$B314:$DY314,PRODUCE!$EB$46:$IY$46)</f>
        <v>0</v>
      </c>
      <c r="MT315" s="56"/>
      <c r="MU315" s="242">
        <f t="shared" si="2108"/>
        <v>0</v>
      </c>
      <c r="MV315" s="242">
        <f t="shared" si="2109"/>
        <v>1625</v>
      </c>
      <c r="MW315" s="56"/>
      <c r="MZ315" s="55">
        <f t="shared" si="2110"/>
        <v>46291</v>
      </c>
      <c r="NA315" s="56"/>
      <c r="NB315" s="242">
        <f>SUMPRODUCT(PRODUCE!$B314:$DY314,PRODUCE!$EB$47:$IY$47)</f>
        <v>0</v>
      </c>
      <c r="NC315" s="56"/>
      <c r="ND315" s="242">
        <f t="shared" si="2111"/>
        <v>0</v>
      </c>
      <c r="NE315" s="242">
        <f t="shared" si="2112"/>
        <v>0</v>
      </c>
      <c r="NF315" s="56"/>
      <c r="NI315" s="55">
        <f t="shared" si="2113"/>
        <v>46291</v>
      </c>
      <c r="NJ315" s="56"/>
      <c r="NK315" s="242">
        <f>SUMPRODUCT(PRODUCE!$B314:$DY314,PRODUCE!$EB$48:$IY$48)</f>
        <v>0</v>
      </c>
      <c r="NL315" s="56"/>
      <c r="NM315" s="242">
        <f t="shared" si="2114"/>
        <v>0</v>
      </c>
      <c r="NN315" s="242">
        <f t="shared" si="2115"/>
        <v>1127</v>
      </c>
      <c r="NO315" s="56"/>
      <c r="NR315" s="55">
        <f t="shared" si="2116"/>
        <v>46291</v>
      </c>
      <c r="NS315" s="56"/>
      <c r="NT315" s="242">
        <f>SUMPRODUCT(PRODUCE!$B314:$DY314,PRODUCE!$EB$49:$IY$49)</f>
        <v>0</v>
      </c>
      <c r="NU315" s="56"/>
      <c r="NV315" s="242">
        <f t="shared" si="2117"/>
        <v>0</v>
      </c>
      <c r="NW315" s="242">
        <f t="shared" si="2118"/>
        <v>3111.9999999999995</v>
      </c>
      <c r="NX315" s="56"/>
      <c r="OA315" s="55">
        <f t="shared" si="2119"/>
        <v>46291</v>
      </c>
      <c r="OB315" s="56"/>
      <c r="OC315" s="242">
        <f>SUMPRODUCT(PRODUCE!$B314:$DY314,PRODUCE!$EB$50:$IY$50)</f>
        <v>0</v>
      </c>
      <c r="OD315" s="56"/>
      <c r="OE315" s="242">
        <f t="shared" si="2120"/>
        <v>0</v>
      </c>
      <c r="OF315" s="242">
        <f t="shared" si="2121"/>
        <v>1680.5</v>
      </c>
      <c r="OG315" s="56"/>
      <c r="OJ315" s="55">
        <f t="shared" si="2122"/>
        <v>46291</v>
      </c>
      <c r="OK315" s="56"/>
      <c r="OL315" s="242">
        <f>SUMPRODUCT(PRODUCE!$B314:$DY314,PRODUCE!$EB$51:$IY$51)</f>
        <v>0</v>
      </c>
      <c r="OM315" s="56"/>
      <c r="ON315" s="242">
        <f t="shared" si="2123"/>
        <v>0</v>
      </c>
      <c r="OO315" s="242">
        <f t="shared" si="2124"/>
        <v>0</v>
      </c>
      <c r="OP315" s="56"/>
      <c r="OS315" s="55">
        <f t="shared" si="2125"/>
        <v>46291</v>
      </c>
      <c r="OT315" s="56"/>
      <c r="OU315" s="242">
        <f>SUMPRODUCT(PRODUCE!$B314:$DY314,PRODUCE!$EB$52:$IY$52)</f>
        <v>0</v>
      </c>
      <c r="OV315" s="56"/>
      <c r="OW315" s="242">
        <f t="shared" si="2126"/>
        <v>0</v>
      </c>
      <c r="OX315" s="242">
        <f t="shared" si="2127"/>
        <v>1482</v>
      </c>
      <c r="OY315" s="56"/>
      <c r="PB315" s="55">
        <f t="shared" si="2128"/>
        <v>46291</v>
      </c>
      <c r="PC315" s="56"/>
      <c r="PD315" s="242">
        <f>SUMPRODUCT(PRODUCE!$B314:$DY314,PRODUCE!$EB$53:$IY$53)</f>
        <v>0</v>
      </c>
      <c r="PE315" s="56"/>
      <c r="PF315" s="242">
        <f t="shared" si="2129"/>
        <v>0</v>
      </c>
      <c r="PG315" s="242">
        <f t="shared" si="2130"/>
        <v>0</v>
      </c>
      <c r="PH315" s="56"/>
      <c r="PK315" s="55">
        <f t="shared" si="2131"/>
        <v>46291</v>
      </c>
      <c r="PL315" s="56"/>
      <c r="PM315" s="242">
        <f>SUMPRODUCT(PRODUCE!$B314:$DY314,PRODUCE!$EB$54:$IY$54)</f>
        <v>0</v>
      </c>
      <c r="PN315" s="56"/>
      <c r="PO315" s="242">
        <f t="shared" si="2132"/>
        <v>0</v>
      </c>
      <c r="PP315" s="242">
        <f t="shared" si="2133"/>
        <v>100</v>
      </c>
      <c r="PQ315" s="56"/>
      <c r="PT315" s="55">
        <f t="shared" si="2134"/>
        <v>46291</v>
      </c>
      <c r="PU315" s="56"/>
      <c r="PV315" s="242">
        <f>SUMPRODUCT(PRODUCE!$B314:$DY314,PRODUCE!$EB$55:$IY$55)</f>
        <v>0</v>
      </c>
      <c r="PW315" s="56"/>
      <c r="PX315" s="242">
        <f t="shared" si="2135"/>
        <v>0</v>
      </c>
      <c r="PY315" s="242">
        <f t="shared" si="2136"/>
        <v>13.960000000000036</v>
      </c>
      <c r="PZ315" s="56"/>
      <c r="QC315" s="55">
        <f t="shared" si="2137"/>
        <v>46291</v>
      </c>
      <c r="QD315" s="56"/>
      <c r="QE315" s="242">
        <f>SUMPRODUCT(PRODUCE!$B314:$DY314,PRODUCE!$EB$56:$IY$56)</f>
        <v>0</v>
      </c>
      <c r="QF315" s="56"/>
      <c r="QG315" s="242">
        <f t="shared" si="2138"/>
        <v>0</v>
      </c>
      <c r="QH315" s="242">
        <f t="shared" si="2139"/>
        <v>548</v>
      </c>
      <c r="QI315" s="56"/>
      <c r="QL315" s="55">
        <f t="shared" si="2140"/>
        <v>46291</v>
      </c>
      <c r="QM315" s="56"/>
      <c r="QN315" s="242">
        <f>SUMPRODUCT(PRODUCE!$B314:$DY314,PRODUCE!$EB$57:$IY$57)</f>
        <v>0</v>
      </c>
      <c r="QO315" s="56"/>
      <c r="QP315" s="242">
        <f t="shared" si="2141"/>
        <v>0</v>
      </c>
      <c r="QQ315" s="242">
        <f t="shared" si="2142"/>
        <v>0</v>
      </c>
      <c r="QR315" s="56"/>
      <c r="QU315" s="55">
        <f t="shared" si="2143"/>
        <v>46291</v>
      </c>
      <c r="QV315" s="56"/>
      <c r="QW315" s="242">
        <f>SUMPRODUCT(PRODUCE!$B314:$DY314,PRODUCE!$EB$57:$IY$57)</f>
        <v>0</v>
      </c>
      <c r="QX315" s="56"/>
      <c r="QY315" s="242">
        <f t="shared" si="2144"/>
        <v>0</v>
      </c>
      <c r="QZ315" s="242">
        <f t="shared" si="2145"/>
        <v>0</v>
      </c>
      <c r="RA315" s="56"/>
      <c r="RD315" s="55">
        <f t="shared" si="2146"/>
        <v>46291</v>
      </c>
      <c r="RE315" s="56"/>
      <c r="RF315" s="242">
        <f>SUMPRODUCT(PRODUCE!$B314:$DY314,PRODUCE!$EB$58:$IY$58)</f>
        <v>0</v>
      </c>
      <c r="RG315" s="56"/>
      <c r="RH315" s="242">
        <f t="shared" si="2147"/>
        <v>0</v>
      </c>
      <c r="RI315" s="242">
        <f t="shared" si="2148"/>
        <v>147.04000000000002</v>
      </c>
      <c r="RJ315" s="56"/>
      <c r="RM315" s="55">
        <f t="shared" si="2149"/>
        <v>46291</v>
      </c>
      <c r="RN315" s="56"/>
      <c r="RO315" s="242">
        <f>SUMPRODUCT(PRODUCE!$B314:$DY314,PRODUCE!$EB$59:$IY$59)</f>
        <v>0</v>
      </c>
      <c r="RP315" s="56"/>
      <c r="RQ315" s="242">
        <f t="shared" si="2150"/>
        <v>0</v>
      </c>
      <c r="RR315" s="242">
        <f t="shared" si="2151"/>
        <v>46.8</v>
      </c>
      <c r="RS315" s="56"/>
      <c r="RV315" s="55">
        <f t="shared" si="2152"/>
        <v>46291</v>
      </c>
      <c r="RW315" s="56"/>
      <c r="RX315" s="242">
        <f>SUMPRODUCT(PRODUCE!$B314:$DY314,PRODUCE!$EB$57:$IY$57)</f>
        <v>0</v>
      </c>
      <c r="RY315" s="56"/>
      <c r="RZ315" s="242">
        <f t="shared" si="2153"/>
        <v>0</v>
      </c>
      <c r="SA315" s="242">
        <f t="shared" si="2154"/>
        <v>0</v>
      </c>
      <c r="SB315" s="56"/>
      <c r="SE315" s="55">
        <f t="shared" si="2155"/>
        <v>46291</v>
      </c>
      <c r="SF315" s="56"/>
      <c r="SG315" s="242">
        <f>SUMPRODUCT(PRODUCE!$B314:$DY314,PRODUCE!$EB$61:$IY$61)</f>
        <v>0</v>
      </c>
      <c r="SH315" s="56"/>
      <c r="SI315" s="242">
        <f t="shared" si="2156"/>
        <v>0</v>
      </c>
      <c r="SJ315" s="242">
        <f t="shared" si="2157"/>
        <v>24.200000000000003</v>
      </c>
      <c r="SK315" s="56"/>
      <c r="SN315" s="55">
        <f t="shared" si="2158"/>
        <v>46291</v>
      </c>
      <c r="SO315" s="56"/>
      <c r="SP315" s="242">
        <f>SUMPRODUCT(PRODUCE!$B314:$DY314,PRODUCE!$EB$57:$IY$57)</f>
        <v>0</v>
      </c>
      <c r="SQ315" s="56"/>
      <c r="SR315" s="242">
        <f t="shared" si="2159"/>
        <v>0</v>
      </c>
      <c r="SS315" s="242">
        <f t="shared" si="2160"/>
        <v>32</v>
      </c>
      <c r="ST315" s="56"/>
      <c r="SW315" s="55">
        <f t="shared" si="2161"/>
        <v>46291</v>
      </c>
      <c r="SX315" s="56"/>
      <c r="SY315" s="242">
        <f>SUMPRODUCT(PRODUCE!$B314:$DY314,PRODUCE!$EB$57:$IY$57)</f>
        <v>0</v>
      </c>
      <c r="SZ315" s="56"/>
      <c r="TA315" s="242">
        <f t="shared" si="2162"/>
        <v>0</v>
      </c>
      <c r="TB315" s="242">
        <f t="shared" si="2163"/>
        <v>0</v>
      </c>
      <c r="TC315" s="56"/>
      <c r="TF315" s="55">
        <f t="shared" si="2164"/>
        <v>46291</v>
      </c>
      <c r="TG315" s="56"/>
      <c r="TH315" s="242">
        <f>SUMPRODUCT(PRODUCE!$B314:$DY314,PRODUCE!$EB$57:$IY$57)</f>
        <v>0</v>
      </c>
      <c r="TI315" s="56"/>
      <c r="TJ315" s="242">
        <f t="shared" si="2165"/>
        <v>0</v>
      </c>
      <c r="TK315" s="242">
        <f t="shared" si="2166"/>
        <v>0</v>
      </c>
      <c r="TL315" s="56"/>
      <c r="TO315" s="55">
        <f t="shared" si="2167"/>
        <v>46291</v>
      </c>
      <c r="TP315" s="56"/>
      <c r="TQ315" s="242">
        <f>SUMPRODUCT(PRODUCE!$B314:$DY314,PRODUCE!$EB$57:$IY$57)</f>
        <v>0</v>
      </c>
      <c r="TR315" s="56"/>
      <c r="TS315" s="242">
        <f t="shared" si="2168"/>
        <v>0</v>
      </c>
      <c r="TT315" s="242">
        <f t="shared" si="2169"/>
        <v>0</v>
      </c>
      <c r="TU315" s="56"/>
      <c r="TX315" s="55">
        <f t="shared" si="2170"/>
        <v>46291</v>
      </c>
      <c r="TY315" s="56"/>
      <c r="TZ315" s="242">
        <f>SUMPRODUCT(PRODUCE!$B314:$DY314,PRODUCE!$EB$57:$IY$57)</f>
        <v>0</v>
      </c>
      <c r="UA315" s="56"/>
      <c r="UB315" s="242">
        <f t="shared" si="2171"/>
        <v>0</v>
      </c>
      <c r="UC315" s="242">
        <f t="shared" si="2172"/>
        <v>46.799999999999983</v>
      </c>
      <c r="UD315" s="56"/>
      <c r="UG315" s="55">
        <f t="shared" si="2173"/>
        <v>46291</v>
      </c>
      <c r="UH315" s="56"/>
      <c r="UI315" s="242">
        <f>SUMPRODUCT(PRODUCE!$B314:$DY314,PRODUCE!$EB$57:$IY$57)</f>
        <v>0</v>
      </c>
      <c r="UJ315" s="56"/>
      <c r="UK315" s="242">
        <f t="shared" si="2174"/>
        <v>0</v>
      </c>
      <c r="UL315" s="242">
        <f t="shared" si="2175"/>
        <v>204</v>
      </c>
      <c r="UM315" s="56"/>
      <c r="UP315" s="55">
        <f t="shared" si="2176"/>
        <v>46291</v>
      </c>
      <c r="UQ315" s="56"/>
      <c r="UR315" s="242">
        <f>SUMPRODUCT(PRODUCE!$B314:$DY314,PRODUCE!$EB$57:$IY$57)</f>
        <v>0</v>
      </c>
      <c r="US315" s="56"/>
      <c r="UT315" s="242">
        <f t="shared" si="2177"/>
        <v>0</v>
      </c>
      <c r="UU315" s="242">
        <f t="shared" si="2178"/>
        <v>202.5</v>
      </c>
      <c r="UV315" s="56"/>
      <c r="UY315" s="55">
        <f t="shared" si="2179"/>
        <v>46291</v>
      </c>
      <c r="UZ315" s="56"/>
      <c r="VA315" s="242">
        <f>SUMPRODUCT(PRODUCE!$B314:$DY314,PRODUCE!$EB$57:$IY$57)</f>
        <v>0</v>
      </c>
      <c r="VB315" s="56"/>
      <c r="VC315" s="242">
        <f t="shared" si="2180"/>
        <v>0</v>
      </c>
      <c r="VD315" s="242">
        <f t="shared" si="2181"/>
        <v>41.600000000000023</v>
      </c>
      <c r="VE315" s="56"/>
      <c r="VH315" s="55">
        <f t="shared" si="2182"/>
        <v>46291</v>
      </c>
      <c r="VI315" s="56"/>
      <c r="VJ315" s="242">
        <f>SUMPRODUCT(PRODUCE!$B314:$DY314,PRODUCE!$EB$57:$IY$57)</f>
        <v>0</v>
      </c>
      <c r="VK315" s="56"/>
      <c r="VL315" s="242">
        <f t="shared" si="2183"/>
        <v>0</v>
      </c>
      <c r="VM315" s="242">
        <f t="shared" si="2184"/>
        <v>210</v>
      </c>
      <c r="VN315" s="56"/>
      <c r="VQ315" s="55">
        <f t="shared" si="2185"/>
        <v>46291</v>
      </c>
      <c r="VR315" s="56"/>
      <c r="VS315" s="242">
        <f>SUMPRODUCT(PRODUCE!$B314:$DY314,PRODUCE!$EB$57:$IY$57)</f>
        <v>0</v>
      </c>
      <c r="VT315" s="56"/>
      <c r="VU315" s="242">
        <f t="shared" si="2186"/>
        <v>0</v>
      </c>
      <c r="VV315" s="242">
        <f t="shared" si="2187"/>
        <v>0</v>
      </c>
      <c r="VW315" s="56"/>
      <c r="VZ315" s="55">
        <f t="shared" si="2188"/>
        <v>46291</v>
      </c>
      <c r="WA315" s="56"/>
      <c r="WB315" s="242">
        <f>SUMPRODUCT(PRODUCE!$B314:$DY314,PRODUCE!$EB$57:$IY$57)</f>
        <v>0</v>
      </c>
      <c r="WC315" s="56"/>
      <c r="WD315" s="242">
        <f t="shared" si="2189"/>
        <v>0</v>
      </c>
      <c r="WE315" s="242">
        <f t="shared" si="2190"/>
        <v>0</v>
      </c>
      <c r="WF315" s="56"/>
      <c r="WI315" s="55">
        <f t="shared" si="2191"/>
        <v>46291</v>
      </c>
      <c r="WJ315" s="56"/>
      <c r="WK315" s="242">
        <f>SUMPRODUCT(PRODUCE!$B314:$DY314,PRODUCE!$EB$57:$IY$57)</f>
        <v>0</v>
      </c>
      <c r="WL315" s="56"/>
      <c r="WM315" s="242">
        <f t="shared" si="2192"/>
        <v>0</v>
      </c>
      <c r="WN315" s="242">
        <f t="shared" si="2193"/>
        <v>1057</v>
      </c>
      <c r="WO315" s="56"/>
      <c r="WR315" s="55">
        <f t="shared" si="2194"/>
        <v>46291</v>
      </c>
      <c r="WS315" s="56"/>
      <c r="WT315" s="242">
        <f>SUMPRODUCT(PRODUCE!$B314:$DY314,PRODUCE!$EB$57:$IY$57)</f>
        <v>0</v>
      </c>
      <c r="WU315" s="56"/>
      <c r="WV315" s="242">
        <f t="shared" si="2195"/>
        <v>0</v>
      </c>
      <c r="WW315" s="242">
        <f t="shared" si="2196"/>
        <v>0</v>
      </c>
      <c r="WX315" s="56"/>
      <c r="XA315" s="55">
        <f t="shared" si="2197"/>
        <v>46291</v>
      </c>
      <c r="XB315" s="56"/>
      <c r="XC315" s="242">
        <f>SUMPRODUCT(PRODUCE!$B314:$DY314,PRODUCE!$EB$57:$IY$57)</f>
        <v>0</v>
      </c>
      <c r="XD315" s="56"/>
      <c r="XE315" s="242">
        <f t="shared" si="2198"/>
        <v>0</v>
      </c>
      <c r="XF315" s="242">
        <f t="shared" si="2199"/>
        <v>7507</v>
      </c>
      <c r="XG315" s="56"/>
      <c r="XJ315" s="55">
        <f t="shared" si="2200"/>
        <v>46291</v>
      </c>
      <c r="XK315" s="56"/>
      <c r="XL315" s="242">
        <f>SUMPRODUCT(PRODUCE!$B314:$DY314,PRODUCE!$EB$57:$IY$57)</f>
        <v>0</v>
      </c>
      <c r="XM315" s="56"/>
      <c r="XN315" s="242">
        <f t="shared" si="2201"/>
        <v>0</v>
      </c>
      <c r="XO315" s="242">
        <f t="shared" si="2202"/>
        <v>4252</v>
      </c>
      <c r="XP315" s="56"/>
      <c r="XS315" s="55">
        <f t="shared" si="2203"/>
        <v>46291</v>
      </c>
      <c r="XT315" s="56"/>
      <c r="XU315" s="242">
        <f>SUMPRODUCT(PRODUCE!$B314:$DY314,PRODUCE!$EB$57:$IY$57)</f>
        <v>0</v>
      </c>
      <c r="XV315" s="56"/>
      <c r="XW315" s="242">
        <f t="shared" si="2204"/>
        <v>0</v>
      </c>
      <c r="XX315" s="242">
        <f t="shared" si="2205"/>
        <v>2179</v>
      </c>
      <c r="XY315" s="56"/>
      <c r="YB315" s="55">
        <f t="shared" si="2206"/>
        <v>46291</v>
      </c>
      <c r="YC315" s="56"/>
      <c r="YD315" s="242">
        <f>SUMPRODUCT(PRODUCE!$B314:$DY314,PRODUCE!$EB$57:$IY$57)</f>
        <v>0</v>
      </c>
      <c r="YE315" s="56"/>
      <c r="YF315" s="242">
        <f t="shared" si="2207"/>
        <v>0</v>
      </c>
      <c r="YG315" s="242">
        <f t="shared" si="2208"/>
        <v>4019</v>
      </c>
      <c r="YH315" s="56"/>
      <c r="YK315" s="55">
        <f t="shared" si="2209"/>
        <v>46291</v>
      </c>
      <c r="YL315" s="56"/>
      <c r="YM315" s="242">
        <f>SUMPRODUCT(PRODUCE!$B314:$DY314,PRODUCE!$EB$57:$IY$57)</f>
        <v>0</v>
      </c>
      <c r="YN315" s="56"/>
      <c r="YO315" s="242">
        <f t="shared" si="2210"/>
        <v>0</v>
      </c>
      <c r="YP315" s="242">
        <f t="shared" si="2211"/>
        <v>-218</v>
      </c>
      <c r="YQ315" s="56"/>
      <c r="YT315" s="55">
        <f t="shared" si="2212"/>
        <v>46291</v>
      </c>
      <c r="YU315" s="56"/>
      <c r="YV315" s="242">
        <f>SUMPRODUCT(PRODUCE!$B314:$DY314,PRODUCE!$EB$57:$IY$57)</f>
        <v>0</v>
      </c>
      <c r="YW315" s="56"/>
      <c r="YX315" s="242">
        <f t="shared" si="2213"/>
        <v>0</v>
      </c>
      <c r="YY315" s="242">
        <f t="shared" si="2214"/>
        <v>0</v>
      </c>
      <c r="YZ315" s="56"/>
      <c r="ZC315" s="55">
        <f t="shared" si="2215"/>
        <v>46291</v>
      </c>
      <c r="ZD315" s="56"/>
      <c r="ZE315" s="242">
        <f>SUMPRODUCT(PRODUCE!$B314:$DY314,PRODUCE!$EB$57:$IY$57)</f>
        <v>0</v>
      </c>
      <c r="ZF315" s="56"/>
      <c r="ZG315" s="242">
        <f t="shared" si="2216"/>
        <v>0</v>
      </c>
      <c r="ZH315" s="242">
        <f t="shared" si="2217"/>
        <v>0</v>
      </c>
      <c r="ZI315" s="56"/>
      <c r="ZL315" s="55">
        <f t="shared" si="2218"/>
        <v>46291</v>
      </c>
      <c r="ZM315" s="56"/>
      <c r="ZN315" s="242">
        <f>SUMPRODUCT(PRODUCE!$B314:$DY314,PRODUCE!$EB$57:$IY$57)</f>
        <v>0</v>
      </c>
      <c r="ZO315" s="56"/>
      <c r="ZP315" s="242">
        <f t="shared" si="2219"/>
        <v>0</v>
      </c>
      <c r="ZQ315" s="242">
        <f t="shared" si="2220"/>
        <v>0</v>
      </c>
      <c r="ZR315" s="56"/>
      <c r="ZU315" s="55">
        <f t="shared" si="2221"/>
        <v>46291</v>
      </c>
      <c r="ZV315" s="56"/>
      <c r="ZW315" s="242">
        <f>SUMPRODUCT(PRODUCE!$B314:$DY314,PRODUCE!$EB$57:$IY$57)</f>
        <v>0</v>
      </c>
      <c r="ZX315" s="56"/>
      <c r="ZY315" s="242">
        <f t="shared" si="2222"/>
        <v>0</v>
      </c>
      <c r="ZZ315" s="242">
        <f t="shared" si="2223"/>
        <v>0</v>
      </c>
      <c r="AAA315" s="56"/>
      <c r="AAD315" s="55">
        <f t="shared" si="2224"/>
        <v>46291</v>
      </c>
      <c r="AAE315" s="56"/>
      <c r="AAF315" s="242">
        <f>SUMPRODUCT(PRODUCE!$B314:$DY314,PRODUCE!$EB$57:$IY$57)</f>
        <v>0</v>
      </c>
      <c r="AAG315" s="56"/>
      <c r="AAH315" s="242">
        <f t="shared" si="2225"/>
        <v>0</v>
      </c>
      <c r="AAI315" s="242">
        <f t="shared" si="2226"/>
        <v>0</v>
      </c>
      <c r="AAJ315" s="56"/>
      <c r="AAM315" s="55">
        <f t="shared" si="2227"/>
        <v>46291</v>
      </c>
      <c r="AAN315" s="56"/>
      <c r="AAO315" s="242">
        <f>SUMPRODUCT(PRODUCE!$B314:$DY314,PRODUCE!$EB$57:$IY$57)</f>
        <v>0</v>
      </c>
      <c r="AAP315" s="56"/>
      <c r="AAQ315" s="242">
        <f t="shared" si="2228"/>
        <v>0</v>
      </c>
      <c r="AAR315" s="242">
        <f t="shared" si="2229"/>
        <v>0</v>
      </c>
      <c r="AAS315" s="56"/>
      <c r="AAV315" s="55">
        <f t="shared" si="2230"/>
        <v>46291</v>
      </c>
      <c r="AAW315" s="56"/>
      <c r="AAX315" s="242">
        <f>SUMPRODUCT(PRODUCE!$B314:$DY314,PRODUCE!$EB$57:$IY$57)</f>
        <v>0</v>
      </c>
      <c r="AAY315" s="56"/>
      <c r="AAZ315" s="242">
        <f t="shared" si="2231"/>
        <v>0</v>
      </c>
      <c r="ABA315" s="242">
        <f t="shared" si="2232"/>
        <v>0</v>
      </c>
      <c r="ABB315" s="56"/>
      <c r="ABE315" s="55">
        <f t="shared" si="2233"/>
        <v>46291</v>
      </c>
      <c r="ABF315" s="56"/>
      <c r="ABG315" s="242">
        <f>SUMPRODUCT(PRODUCE!$B314:$DY314,PRODUCE!$EB$57:$IY$57)</f>
        <v>0</v>
      </c>
      <c r="ABH315" s="56"/>
      <c r="ABI315" s="242">
        <f t="shared" si="2234"/>
        <v>0</v>
      </c>
      <c r="ABJ315" s="242">
        <f t="shared" si="2235"/>
        <v>0</v>
      </c>
      <c r="ABK315" s="56"/>
    </row>
    <row r="316" spans="2:739" s="54" customFormat="1" ht="15" customHeight="1" outlineLevel="1">
      <c r="B316" s="478"/>
      <c r="C316" s="55">
        <v>46292</v>
      </c>
      <c r="D316" s="56"/>
      <c r="E316" s="57">
        <f>SUMPRODUCT(PRODUCE!$B315:$DY315,PRODUCE!$EB$7:$IY$7)</f>
        <v>0</v>
      </c>
      <c r="F316" s="56"/>
      <c r="G316" s="57">
        <f t="shared" si="1992"/>
        <v>0</v>
      </c>
      <c r="H316" s="57">
        <f t="shared" si="1993"/>
        <v>236936.6</v>
      </c>
      <c r="I316" s="289"/>
      <c r="L316" s="55">
        <f t="shared" si="1994"/>
        <v>46292</v>
      </c>
      <c r="M316" s="56"/>
      <c r="N316" s="59">
        <f>SUMPRODUCT(PRODUCE!$B315:$DY315,PRODUCE!$EB$8:$IY$8)</f>
        <v>0</v>
      </c>
      <c r="O316" s="56"/>
      <c r="P316" s="59">
        <f t="shared" si="1995"/>
        <v>0</v>
      </c>
      <c r="Q316" s="59">
        <f t="shared" si="1996"/>
        <v>53017.600000000071</v>
      </c>
      <c r="R316" s="56"/>
      <c r="U316" s="55">
        <f t="shared" si="1997"/>
        <v>46292</v>
      </c>
      <c r="V316" s="56"/>
      <c r="W316" s="60">
        <f>SUMPRODUCT(PRODUCE!$B315:$DY315,PRODUCE!$EB$9:$IY$9)</f>
        <v>0</v>
      </c>
      <c r="X316" s="56"/>
      <c r="Y316" s="60">
        <f t="shared" si="1998"/>
        <v>0</v>
      </c>
      <c r="Z316" s="60">
        <f t="shared" si="1999"/>
        <v>42674.199999999968</v>
      </c>
      <c r="AA316" s="56"/>
      <c r="AD316" s="55">
        <f t="shared" si="2000"/>
        <v>46292</v>
      </c>
      <c r="AE316" s="56"/>
      <c r="AF316" s="61">
        <f>SUMPRODUCT(PRODUCE!$B315:$DY315,PRODUCE!$EB$10:$IY$10)</f>
        <v>0</v>
      </c>
      <c r="AG316" s="56"/>
      <c r="AH316" s="61">
        <f t="shared" si="2001"/>
        <v>0</v>
      </c>
      <c r="AI316" s="61">
        <f t="shared" si="2002"/>
        <v>4522.2000000000189</v>
      </c>
      <c r="AJ316" s="56"/>
      <c r="AM316" s="55">
        <f t="shared" si="2003"/>
        <v>46292</v>
      </c>
      <c r="AN316" s="422"/>
      <c r="AO316" s="444">
        <f>SUMPRODUCT(PRODUCE!$B315:$DY315,PRODUCE!$EB$11:$IY$11)</f>
        <v>0</v>
      </c>
      <c r="AP316" s="422"/>
      <c r="AQ316" s="444">
        <f t="shared" si="2004"/>
        <v>0</v>
      </c>
      <c r="AR316" s="444">
        <f t="shared" si="2005"/>
        <v>0</v>
      </c>
      <c r="AS316" s="56"/>
      <c r="AV316" s="55">
        <f t="shared" si="2006"/>
        <v>46292</v>
      </c>
      <c r="AW316" s="56"/>
      <c r="AX316" s="62">
        <f>SUMPRODUCT(PRODUCE!$B315:$DY315,PRODUCE!$EB$12:$IY$12)</f>
        <v>0</v>
      </c>
      <c r="AY316" s="56"/>
      <c r="AZ316" s="62">
        <f t="shared" si="2007"/>
        <v>0</v>
      </c>
      <c r="BA316" s="62">
        <f t="shared" si="2008"/>
        <v>124.99999999999523</v>
      </c>
      <c r="BB316" s="56"/>
      <c r="BE316" s="55">
        <f t="shared" si="2009"/>
        <v>46292</v>
      </c>
      <c r="BF316" s="56"/>
      <c r="BG316" s="63">
        <f>SUMPRODUCT(PRODUCE!$B315:$DY315,PRODUCE!$EB$13:$IY$13)</f>
        <v>0</v>
      </c>
      <c r="BH316" s="56"/>
      <c r="BI316" s="63">
        <f t="shared" si="2010"/>
        <v>0</v>
      </c>
      <c r="BJ316" s="63">
        <f t="shared" si="2011"/>
        <v>26151.899999999998</v>
      </c>
      <c r="BK316" s="56"/>
      <c r="BN316" s="55">
        <f t="shared" si="2012"/>
        <v>46292</v>
      </c>
      <c r="BO316" s="56"/>
      <c r="BP316" s="64">
        <f>SUMPRODUCT(PRODUCE!$B315:$DY315,PRODUCE!$EB$14:$IY$14)</f>
        <v>0</v>
      </c>
      <c r="BQ316" s="56"/>
      <c r="BR316" s="64">
        <f t="shared" si="2013"/>
        <v>0</v>
      </c>
      <c r="BS316" s="64">
        <f t="shared" si="2014"/>
        <v>0</v>
      </c>
      <c r="BT316" s="56"/>
      <c r="BW316" s="55">
        <f t="shared" si="2015"/>
        <v>46292</v>
      </c>
      <c r="BX316" s="56"/>
      <c r="BY316" s="65">
        <f>SUMPRODUCT(PRODUCE!$B315:$DY315,PRODUCE!$EB$15:$IY$15)</f>
        <v>0</v>
      </c>
      <c r="BZ316" s="56"/>
      <c r="CA316" s="65">
        <f t="shared" si="2016"/>
        <v>0</v>
      </c>
      <c r="CB316" s="65">
        <f t="shared" si="2017"/>
        <v>2097.3399999999992</v>
      </c>
      <c r="CC316" s="56"/>
      <c r="CF316" s="55">
        <f t="shared" si="2018"/>
        <v>46292</v>
      </c>
      <c r="CG316" s="56"/>
      <c r="CH316" s="66">
        <f>SUMPRODUCT(PRODUCE!$B315:$DY315,PRODUCE!$EB$16:$IY$16)</f>
        <v>0</v>
      </c>
      <c r="CI316" s="56"/>
      <c r="CJ316" s="66">
        <f t="shared" si="2019"/>
        <v>0</v>
      </c>
      <c r="CK316" s="66">
        <f t="shared" si="2020"/>
        <v>-10277.079999999998</v>
      </c>
      <c r="CL316" s="56"/>
      <c r="CO316" s="55">
        <f t="shared" si="2021"/>
        <v>46292</v>
      </c>
      <c r="CP316" s="422"/>
      <c r="CQ316" s="470">
        <f>SUMPRODUCT(PRODUCE!$B315:$DY315,PRODUCE!$EB$17:$IY$17)</f>
        <v>0</v>
      </c>
      <c r="CR316" s="422"/>
      <c r="CS316" s="470">
        <f t="shared" si="2022"/>
        <v>0</v>
      </c>
      <c r="CT316" s="470">
        <f t="shared" si="2023"/>
        <v>0</v>
      </c>
      <c r="CU316" s="56"/>
      <c r="CX316" s="55">
        <f t="shared" si="2024"/>
        <v>46292</v>
      </c>
      <c r="CY316" s="56"/>
      <c r="CZ316" s="133">
        <f>SUMPRODUCT(PRODUCE!$B315:$DY315,PRODUCE!$EB$18:$IY$18)</f>
        <v>0</v>
      </c>
      <c r="DA316" s="56"/>
      <c r="DB316" s="133">
        <f t="shared" si="2025"/>
        <v>0</v>
      </c>
      <c r="DC316" s="133">
        <f t="shared" si="2026"/>
        <v>27438.200000000012</v>
      </c>
      <c r="DD316" s="56"/>
      <c r="DG316" s="55">
        <f t="shared" si="2027"/>
        <v>46292</v>
      </c>
      <c r="DH316" s="56"/>
      <c r="DI316" s="147">
        <f>SUMPRODUCT(PRODUCE!$B315:$DY315,PRODUCE!$EB$19:$IY$19)</f>
        <v>0</v>
      </c>
      <c r="DJ316" s="56"/>
      <c r="DK316" s="147">
        <f t="shared" si="2028"/>
        <v>0</v>
      </c>
      <c r="DL316" s="147">
        <f t="shared" si="2029"/>
        <v>18782.299999999981</v>
      </c>
      <c r="DM316" s="56"/>
      <c r="DP316" s="55">
        <f t="shared" si="2030"/>
        <v>46292</v>
      </c>
      <c r="DQ316" s="56"/>
      <c r="DR316" s="57">
        <f>SUMPRODUCT(PRODUCE!$B315:$DY315,PRODUCE!$EB$20:$IY$20)</f>
        <v>0</v>
      </c>
      <c r="DS316" s="56"/>
      <c r="DT316" s="57">
        <f t="shared" si="2031"/>
        <v>0</v>
      </c>
      <c r="DU316" s="57">
        <f t="shared" si="2032"/>
        <v>5800</v>
      </c>
      <c r="DV316" s="56"/>
      <c r="DY316" s="55">
        <f t="shared" si="2033"/>
        <v>46292</v>
      </c>
      <c r="DZ316" s="56"/>
      <c r="EA316" s="157">
        <f>SUMPRODUCT(PRODUCE!$B315:$DY315,PRODUCE!$EB$21:$IY$21)</f>
        <v>0</v>
      </c>
      <c r="EB316" s="56"/>
      <c r="EC316" s="157">
        <f t="shared" si="2034"/>
        <v>0</v>
      </c>
      <c r="ED316" s="157">
        <f t="shared" si="2035"/>
        <v>0</v>
      </c>
      <c r="EE316" s="56"/>
      <c r="EH316" s="55">
        <f t="shared" si="2036"/>
        <v>46292</v>
      </c>
      <c r="EI316" s="56"/>
      <c r="EJ316" s="162">
        <f>SUMPRODUCT(PRODUCE!$B315:$DY315,PRODUCE!$EB$22:$IY$22)</f>
        <v>0</v>
      </c>
      <c r="EK316" s="56"/>
      <c r="EL316" s="162">
        <f t="shared" si="2037"/>
        <v>0</v>
      </c>
      <c r="EM316" s="162">
        <f t="shared" si="2038"/>
        <v>0</v>
      </c>
      <c r="EN316" s="56"/>
      <c r="EQ316" s="55">
        <f t="shared" si="2039"/>
        <v>46292</v>
      </c>
      <c r="ER316" s="56"/>
      <c r="ES316" s="135">
        <f>SUMPRODUCT(PRODUCE!$B315:$DY315,PRODUCE!$EB$23:$IY$23)</f>
        <v>0</v>
      </c>
      <c r="ET316" s="56"/>
      <c r="EU316" s="135">
        <f t="shared" si="2040"/>
        <v>0</v>
      </c>
      <c r="EV316" s="135">
        <f t="shared" si="2041"/>
        <v>0</v>
      </c>
      <c r="EW316" s="56"/>
      <c r="EZ316" s="55">
        <f t="shared" si="2042"/>
        <v>46292</v>
      </c>
      <c r="FA316" s="56"/>
      <c r="FB316" s="175">
        <f>SUMPRODUCT(PRODUCE!$B315:$DY315,PRODUCE!$EB$24:$IY$24)</f>
        <v>0</v>
      </c>
      <c r="FC316" s="56"/>
      <c r="FD316" s="175">
        <f t="shared" si="2043"/>
        <v>0</v>
      </c>
      <c r="FE316" s="175">
        <f t="shared" si="2044"/>
        <v>0</v>
      </c>
      <c r="FF316" s="56"/>
      <c r="FI316" s="55">
        <f t="shared" si="2045"/>
        <v>46292</v>
      </c>
      <c r="FJ316" s="56"/>
      <c r="FK316" s="183">
        <f>SUMPRODUCT(PRODUCE!$B315:$DY315,PRODUCE!$EB$25:$IY$25)</f>
        <v>0</v>
      </c>
      <c r="FL316" s="56"/>
      <c r="FM316" s="183">
        <f t="shared" si="2046"/>
        <v>0</v>
      </c>
      <c r="FN316" s="183">
        <f t="shared" si="2047"/>
        <v>0</v>
      </c>
      <c r="FO316" s="56"/>
      <c r="FR316" s="55">
        <f t="shared" si="2048"/>
        <v>46292</v>
      </c>
      <c r="FS316" s="56"/>
      <c r="FT316" s="186">
        <f>SUMPRODUCT(PRODUCE!$B315:$DY315,PRODUCE!$EB$26:$IY$26)</f>
        <v>0</v>
      </c>
      <c r="FU316" s="56"/>
      <c r="FV316" s="186">
        <f t="shared" si="2049"/>
        <v>0</v>
      </c>
      <c r="FW316" s="186">
        <f t="shared" si="2050"/>
        <v>2020</v>
      </c>
      <c r="FX316" s="56"/>
      <c r="GA316" s="55">
        <f t="shared" si="2051"/>
        <v>46292</v>
      </c>
      <c r="GB316" s="56"/>
      <c r="GC316" s="137">
        <f>SUMPRODUCT(PRODUCE!$B315:$DY315,PRODUCE!$EB$27:$IY$27)</f>
        <v>0</v>
      </c>
      <c r="GD316" s="56"/>
      <c r="GE316" s="137">
        <f t="shared" si="2052"/>
        <v>0</v>
      </c>
      <c r="GF316" s="137">
        <f t="shared" si="2053"/>
        <v>960</v>
      </c>
      <c r="GG316" s="56"/>
      <c r="GI316" s="23"/>
      <c r="GJ316" s="55">
        <f t="shared" si="2054"/>
        <v>46292</v>
      </c>
      <c r="GK316" s="56"/>
      <c r="GL316" s="199">
        <f>SUMPRODUCT(PRODUCE!$B315:$DY315,PRODUCE!$EB$28:$IY$28)</f>
        <v>0</v>
      </c>
      <c r="GM316" s="56"/>
      <c r="GN316" s="199">
        <f t="shared" si="2055"/>
        <v>0</v>
      </c>
      <c r="GO316" s="199">
        <f t="shared" si="2056"/>
        <v>1760</v>
      </c>
      <c r="GP316" s="56"/>
      <c r="GS316" s="55">
        <f t="shared" si="2057"/>
        <v>46292</v>
      </c>
      <c r="GT316" s="56"/>
      <c r="GU316" s="195">
        <f>SUMPRODUCT(PRODUCE!$B315:$DY315,PRODUCE!$EB$29:$IY$29)</f>
        <v>0</v>
      </c>
      <c r="GV316" s="56"/>
      <c r="GW316" s="195">
        <f t="shared" si="2058"/>
        <v>0</v>
      </c>
      <c r="GX316" s="195">
        <f t="shared" si="2059"/>
        <v>400</v>
      </c>
      <c r="GY316" s="56"/>
      <c r="HB316" s="55">
        <f t="shared" si="2060"/>
        <v>46292</v>
      </c>
      <c r="HC316" s="56"/>
      <c r="HD316" s="191">
        <f>SUMPRODUCT(PRODUCE!$B315:$DY315,PRODUCE!$EB$30:$IY$30)</f>
        <v>0</v>
      </c>
      <c r="HE316" s="56"/>
      <c r="HF316" s="191">
        <f t="shared" si="2061"/>
        <v>0</v>
      </c>
      <c r="HG316" s="191">
        <f t="shared" si="2062"/>
        <v>3600</v>
      </c>
      <c r="HH316" s="56"/>
      <c r="HK316" s="55">
        <f t="shared" si="2063"/>
        <v>46292</v>
      </c>
      <c r="HL316" s="56"/>
      <c r="HM316" s="63">
        <f>SUMPRODUCT(PRODUCE!$B315:$DY315,PRODUCE!$EB$31:$IY$31)</f>
        <v>0</v>
      </c>
      <c r="HN316" s="56"/>
      <c r="HO316" s="63">
        <f t="shared" si="2064"/>
        <v>0</v>
      </c>
      <c r="HP316" s="63">
        <f t="shared" si="2065"/>
        <v>0</v>
      </c>
      <c r="HQ316" s="56"/>
      <c r="HU316" s="55">
        <f t="shared" si="2066"/>
        <v>46292</v>
      </c>
      <c r="HV316" s="56"/>
      <c r="HW316" s="242">
        <f>SUMPRODUCT(PRODUCE!$B315:$DY315,PRODUCE!$EB$32:$IY$32)</f>
        <v>0</v>
      </c>
      <c r="HX316" s="56"/>
      <c r="HY316" s="242">
        <f t="shared" si="2236"/>
        <v>0</v>
      </c>
      <c r="HZ316" s="242">
        <f t="shared" si="2067"/>
        <v>6120</v>
      </c>
      <c r="IA316" s="56"/>
      <c r="ID316" s="55">
        <f t="shared" si="2068"/>
        <v>46292</v>
      </c>
      <c r="IE316" s="56"/>
      <c r="IF316" s="242">
        <f>SUMPRODUCT(PRODUCE!$B315:$DY315,PRODUCE!$EB$33:$IY$33)</f>
        <v>0</v>
      </c>
      <c r="IG316" s="56"/>
      <c r="IH316" s="242">
        <f t="shared" si="2069"/>
        <v>0</v>
      </c>
      <c r="II316" s="242">
        <f t="shared" si="2070"/>
        <v>0</v>
      </c>
      <c r="IJ316" s="56"/>
      <c r="IM316" s="55">
        <f t="shared" si="2071"/>
        <v>46292</v>
      </c>
      <c r="IN316" s="56"/>
      <c r="IO316" s="242">
        <f>SUMPRODUCT(PRODUCE!$B315:$DY315,PRODUCE!$EB$34:$IY$34)</f>
        <v>0</v>
      </c>
      <c r="IP316" s="56"/>
      <c r="IQ316" s="242">
        <f t="shared" si="2072"/>
        <v>0</v>
      </c>
      <c r="IR316" s="242">
        <f t="shared" si="2073"/>
        <v>0</v>
      </c>
      <c r="IS316" s="56"/>
      <c r="IV316" s="55">
        <f t="shared" si="2074"/>
        <v>46292</v>
      </c>
      <c r="IW316" s="56"/>
      <c r="IX316" s="242">
        <f>SUMPRODUCT(PRODUCE!$B315:$DY315,PRODUCE!$EB$35:$IY$35)</f>
        <v>0</v>
      </c>
      <c r="IY316" s="56"/>
      <c r="IZ316" s="242">
        <f t="shared" si="2075"/>
        <v>0</v>
      </c>
      <c r="JA316" s="242">
        <f t="shared" si="2076"/>
        <v>2820</v>
      </c>
      <c r="JB316" s="56"/>
      <c r="JE316" s="55">
        <f t="shared" si="2077"/>
        <v>46292</v>
      </c>
      <c r="JF316" s="56"/>
      <c r="JG316" s="242">
        <f>SUMPRODUCT(PRODUCE!$B315:$DY315,PRODUCE!$EB$36:$IY$36)</f>
        <v>0</v>
      </c>
      <c r="JH316" s="56"/>
      <c r="JI316" s="242">
        <f t="shared" si="2078"/>
        <v>0</v>
      </c>
      <c r="JJ316" s="242">
        <f t="shared" si="2079"/>
        <v>0</v>
      </c>
      <c r="JK316" s="56"/>
      <c r="JN316" s="55">
        <f t="shared" si="2080"/>
        <v>46292</v>
      </c>
      <c r="JO316" s="56"/>
      <c r="JP316" s="242">
        <f>SUMPRODUCT(PRODUCE!$B315:$DY315,PRODUCE!$EB$37:$IY$37)</f>
        <v>0</v>
      </c>
      <c r="JQ316" s="56"/>
      <c r="JR316" s="242">
        <f t="shared" si="2081"/>
        <v>0</v>
      </c>
      <c r="JS316" s="242">
        <f t="shared" si="2082"/>
        <v>0</v>
      </c>
      <c r="JT316" s="56"/>
      <c r="JW316" s="55">
        <f t="shared" si="2083"/>
        <v>46292</v>
      </c>
      <c r="JX316" s="56"/>
      <c r="JY316" s="242">
        <f>SUMPRODUCT(PRODUCE!$B315:$DY315,PRODUCE!$EB$38:$IY$38)</f>
        <v>0</v>
      </c>
      <c r="JZ316" s="56"/>
      <c r="KA316" s="242">
        <f t="shared" si="2084"/>
        <v>0</v>
      </c>
      <c r="KB316" s="242">
        <f t="shared" si="2085"/>
        <v>2540</v>
      </c>
      <c r="KC316" s="56"/>
      <c r="KF316" s="55">
        <f t="shared" si="2086"/>
        <v>46292</v>
      </c>
      <c r="KG316" s="56"/>
      <c r="KH316" s="242">
        <f>SUMPRODUCT(PRODUCE!$B315:$DY315,PRODUCE!$EB$39:$IY$39)</f>
        <v>0</v>
      </c>
      <c r="KI316" s="56"/>
      <c r="KJ316" s="242">
        <f t="shared" si="2087"/>
        <v>0</v>
      </c>
      <c r="KK316" s="242">
        <f t="shared" si="2088"/>
        <v>2359.5</v>
      </c>
      <c r="KL316" s="56"/>
      <c r="KO316" s="55">
        <f t="shared" si="2089"/>
        <v>46292</v>
      </c>
      <c r="KP316" s="56"/>
      <c r="KQ316" s="242">
        <f>SUMPRODUCT(PRODUCE!$B315:$DY315,PRODUCE!$EB$40:$IY$40)</f>
        <v>0</v>
      </c>
      <c r="KR316" s="56"/>
      <c r="KS316" s="242">
        <f t="shared" si="2090"/>
        <v>0</v>
      </c>
      <c r="KT316" s="242">
        <f t="shared" si="2091"/>
        <v>1890</v>
      </c>
      <c r="KU316" s="56"/>
      <c r="KW316" s="23"/>
      <c r="KX316" s="55">
        <f t="shared" si="2092"/>
        <v>46292</v>
      </c>
      <c r="KY316" s="56"/>
      <c r="KZ316" s="242">
        <f>SUMPRODUCT(PRODUCE!$B315:$DY315,PRODUCE!$EB$41:$IY$41)</f>
        <v>0</v>
      </c>
      <c r="LA316" s="56"/>
      <c r="LB316" s="242">
        <f t="shared" si="2093"/>
        <v>0</v>
      </c>
      <c r="LC316" s="242">
        <f t="shared" si="2094"/>
        <v>3690</v>
      </c>
      <c r="LD316" s="56"/>
      <c r="LG316" s="55">
        <f t="shared" si="2095"/>
        <v>46292</v>
      </c>
      <c r="LH316" s="56"/>
      <c r="LI316" s="242">
        <f>SUMPRODUCT(PRODUCE!$B315:$DY315,PRODUCE!$EB$42:$IY$42)</f>
        <v>0</v>
      </c>
      <c r="LJ316" s="56"/>
      <c r="LK316" s="242">
        <f t="shared" si="2096"/>
        <v>0</v>
      </c>
      <c r="LL316" s="242">
        <f t="shared" si="2097"/>
        <v>4000</v>
      </c>
      <c r="LM316" s="56"/>
      <c r="LP316" s="55">
        <f t="shared" si="2098"/>
        <v>46292</v>
      </c>
      <c r="LQ316" s="56"/>
      <c r="LR316" s="242">
        <f>SUMPRODUCT(PRODUCE!$B331:$DY331,PRODUCE!$EB$43:$IY$43)</f>
        <v>0</v>
      </c>
      <c r="LS316" s="56"/>
      <c r="LT316" s="242">
        <f t="shared" si="2099"/>
        <v>0</v>
      </c>
      <c r="LU316" s="242">
        <f t="shared" si="2100"/>
        <v>0</v>
      </c>
      <c r="LV316" s="56"/>
      <c r="LY316" s="55">
        <f t="shared" si="2101"/>
        <v>46292</v>
      </c>
      <c r="LZ316" s="56"/>
      <c r="MA316" s="242">
        <f>SUMPRODUCT(PRODUCE!$B315:$DY315,PRODUCE!$EB$44:$IY$44)</f>
        <v>0</v>
      </c>
      <c r="MB316" s="56"/>
      <c r="MC316" s="242">
        <f t="shared" si="2102"/>
        <v>0</v>
      </c>
      <c r="MD316" s="242">
        <f t="shared" si="2103"/>
        <v>0</v>
      </c>
      <c r="ME316" s="56"/>
      <c r="MH316" s="55">
        <f t="shared" si="2104"/>
        <v>46292</v>
      </c>
      <c r="MI316" s="56"/>
      <c r="MJ316" s="242">
        <f>SUMPRODUCT(PRODUCE!$B315:$DY315,PRODUCE!$EB$45:$IY$45)</f>
        <v>0</v>
      </c>
      <c r="MK316" s="56"/>
      <c r="ML316" s="242">
        <f t="shared" si="2105"/>
        <v>0</v>
      </c>
      <c r="MM316" s="242">
        <f t="shared" si="2106"/>
        <v>0</v>
      </c>
      <c r="MN316" s="56"/>
      <c r="MQ316" s="55">
        <f t="shared" si="2107"/>
        <v>46292</v>
      </c>
      <c r="MR316" s="56"/>
      <c r="MS316" s="242">
        <f>SUMPRODUCT(PRODUCE!$B315:$DY315,PRODUCE!$EB$46:$IY$46)</f>
        <v>0</v>
      </c>
      <c r="MT316" s="56"/>
      <c r="MU316" s="242">
        <f t="shared" si="2108"/>
        <v>0</v>
      </c>
      <c r="MV316" s="242">
        <f t="shared" si="2109"/>
        <v>1625</v>
      </c>
      <c r="MW316" s="56"/>
      <c r="MZ316" s="55">
        <f t="shared" si="2110"/>
        <v>46292</v>
      </c>
      <c r="NA316" s="56"/>
      <c r="NB316" s="242">
        <f>SUMPRODUCT(PRODUCE!$B315:$DY315,PRODUCE!$EB$47:$IY$47)</f>
        <v>0</v>
      </c>
      <c r="NC316" s="56"/>
      <c r="ND316" s="242">
        <f t="shared" si="2111"/>
        <v>0</v>
      </c>
      <c r="NE316" s="242">
        <f t="shared" si="2112"/>
        <v>0</v>
      </c>
      <c r="NF316" s="56"/>
      <c r="NI316" s="55">
        <f t="shared" si="2113"/>
        <v>46292</v>
      </c>
      <c r="NJ316" s="56"/>
      <c r="NK316" s="242">
        <f>SUMPRODUCT(PRODUCE!$B315:$DY315,PRODUCE!$EB$48:$IY$48)</f>
        <v>0</v>
      </c>
      <c r="NL316" s="56"/>
      <c r="NM316" s="242">
        <f t="shared" si="2114"/>
        <v>0</v>
      </c>
      <c r="NN316" s="242">
        <f t="shared" si="2115"/>
        <v>1127</v>
      </c>
      <c r="NO316" s="56"/>
      <c r="NR316" s="55">
        <f t="shared" si="2116"/>
        <v>46292</v>
      </c>
      <c r="NS316" s="56"/>
      <c r="NT316" s="242">
        <f>SUMPRODUCT(PRODUCE!$B315:$DY315,PRODUCE!$EB$49:$IY$49)</f>
        <v>0</v>
      </c>
      <c r="NU316" s="56"/>
      <c r="NV316" s="242">
        <f t="shared" si="2117"/>
        <v>0</v>
      </c>
      <c r="NW316" s="242">
        <f t="shared" si="2118"/>
        <v>3111.9999999999995</v>
      </c>
      <c r="NX316" s="56"/>
      <c r="OA316" s="55">
        <f t="shared" si="2119"/>
        <v>46292</v>
      </c>
      <c r="OB316" s="56"/>
      <c r="OC316" s="242">
        <f>SUMPRODUCT(PRODUCE!$B315:$DY315,PRODUCE!$EB$50:$IY$50)</f>
        <v>0</v>
      </c>
      <c r="OD316" s="56"/>
      <c r="OE316" s="242">
        <f t="shared" si="2120"/>
        <v>0</v>
      </c>
      <c r="OF316" s="242">
        <f t="shared" si="2121"/>
        <v>1680.5</v>
      </c>
      <c r="OG316" s="56"/>
      <c r="OJ316" s="55">
        <f t="shared" si="2122"/>
        <v>46292</v>
      </c>
      <c r="OK316" s="56"/>
      <c r="OL316" s="242">
        <f>SUMPRODUCT(PRODUCE!$B315:$DY315,PRODUCE!$EB$51:$IY$51)</f>
        <v>0</v>
      </c>
      <c r="OM316" s="56"/>
      <c r="ON316" s="242">
        <f t="shared" si="2123"/>
        <v>0</v>
      </c>
      <c r="OO316" s="242">
        <f t="shared" si="2124"/>
        <v>0</v>
      </c>
      <c r="OP316" s="56"/>
      <c r="OS316" s="55">
        <f t="shared" si="2125"/>
        <v>46292</v>
      </c>
      <c r="OT316" s="56"/>
      <c r="OU316" s="242">
        <f>SUMPRODUCT(PRODUCE!$B315:$DY315,PRODUCE!$EB$52:$IY$52)</f>
        <v>0</v>
      </c>
      <c r="OV316" s="56"/>
      <c r="OW316" s="242">
        <f t="shared" si="2126"/>
        <v>0</v>
      </c>
      <c r="OX316" s="242">
        <f t="shared" si="2127"/>
        <v>1482</v>
      </c>
      <c r="OY316" s="56"/>
      <c r="PB316" s="55">
        <f t="shared" si="2128"/>
        <v>46292</v>
      </c>
      <c r="PC316" s="56"/>
      <c r="PD316" s="242">
        <f>SUMPRODUCT(PRODUCE!$B315:$DY315,PRODUCE!$EB$53:$IY$53)</f>
        <v>0</v>
      </c>
      <c r="PE316" s="56"/>
      <c r="PF316" s="242">
        <f t="shared" si="2129"/>
        <v>0</v>
      </c>
      <c r="PG316" s="242">
        <f t="shared" si="2130"/>
        <v>0</v>
      </c>
      <c r="PH316" s="56"/>
      <c r="PK316" s="55">
        <f t="shared" si="2131"/>
        <v>46292</v>
      </c>
      <c r="PL316" s="56"/>
      <c r="PM316" s="242">
        <f>SUMPRODUCT(PRODUCE!$B315:$DY315,PRODUCE!$EB$54:$IY$54)</f>
        <v>0</v>
      </c>
      <c r="PN316" s="56"/>
      <c r="PO316" s="242">
        <f t="shared" si="2132"/>
        <v>0</v>
      </c>
      <c r="PP316" s="242">
        <f t="shared" si="2133"/>
        <v>100</v>
      </c>
      <c r="PQ316" s="56"/>
      <c r="PT316" s="55">
        <f t="shared" si="2134"/>
        <v>46292</v>
      </c>
      <c r="PU316" s="56"/>
      <c r="PV316" s="242">
        <f>SUMPRODUCT(PRODUCE!$B315:$DY315,PRODUCE!$EB$55:$IY$55)</f>
        <v>0</v>
      </c>
      <c r="PW316" s="56"/>
      <c r="PX316" s="242">
        <f t="shared" si="2135"/>
        <v>0</v>
      </c>
      <c r="PY316" s="242">
        <f t="shared" si="2136"/>
        <v>13.960000000000036</v>
      </c>
      <c r="PZ316" s="56"/>
      <c r="QC316" s="55">
        <f t="shared" si="2137"/>
        <v>46292</v>
      </c>
      <c r="QD316" s="56"/>
      <c r="QE316" s="242">
        <f>SUMPRODUCT(PRODUCE!$B315:$DY315,PRODUCE!$EB$56:$IY$56)</f>
        <v>0</v>
      </c>
      <c r="QF316" s="56"/>
      <c r="QG316" s="242">
        <f t="shared" si="2138"/>
        <v>0</v>
      </c>
      <c r="QH316" s="242">
        <f t="shared" si="2139"/>
        <v>548</v>
      </c>
      <c r="QI316" s="56"/>
      <c r="QL316" s="55">
        <f t="shared" si="2140"/>
        <v>46292</v>
      </c>
      <c r="QM316" s="56"/>
      <c r="QN316" s="242">
        <f>SUMPRODUCT(PRODUCE!$B315:$DY315,PRODUCE!$EB$57:$IY$57)</f>
        <v>0</v>
      </c>
      <c r="QO316" s="56"/>
      <c r="QP316" s="242">
        <f t="shared" si="2141"/>
        <v>0</v>
      </c>
      <c r="QQ316" s="242">
        <f t="shared" si="2142"/>
        <v>0</v>
      </c>
      <c r="QR316" s="56"/>
      <c r="QU316" s="55">
        <f t="shared" si="2143"/>
        <v>46292</v>
      </c>
      <c r="QV316" s="56"/>
      <c r="QW316" s="242">
        <f>SUMPRODUCT(PRODUCE!$B315:$DY315,PRODUCE!$EB$57:$IY$57)</f>
        <v>0</v>
      </c>
      <c r="QX316" s="56"/>
      <c r="QY316" s="242">
        <f t="shared" si="2144"/>
        <v>0</v>
      </c>
      <c r="QZ316" s="242">
        <f t="shared" si="2145"/>
        <v>0</v>
      </c>
      <c r="RA316" s="56"/>
      <c r="RD316" s="55">
        <f t="shared" si="2146"/>
        <v>46292</v>
      </c>
      <c r="RE316" s="56"/>
      <c r="RF316" s="242">
        <f>SUMPRODUCT(PRODUCE!$B315:$DY315,PRODUCE!$EB$58:$IY$58)</f>
        <v>0</v>
      </c>
      <c r="RG316" s="56"/>
      <c r="RH316" s="242">
        <f t="shared" si="2147"/>
        <v>0</v>
      </c>
      <c r="RI316" s="242">
        <f t="shared" si="2148"/>
        <v>147.04000000000002</v>
      </c>
      <c r="RJ316" s="56"/>
      <c r="RM316" s="55">
        <f t="shared" si="2149"/>
        <v>46292</v>
      </c>
      <c r="RN316" s="56"/>
      <c r="RO316" s="242">
        <f>SUMPRODUCT(PRODUCE!$B315:$DY315,PRODUCE!$EB$59:$IY$59)</f>
        <v>0</v>
      </c>
      <c r="RP316" s="56"/>
      <c r="RQ316" s="242">
        <f t="shared" si="2150"/>
        <v>0</v>
      </c>
      <c r="RR316" s="242">
        <f t="shared" si="2151"/>
        <v>46.8</v>
      </c>
      <c r="RS316" s="56"/>
      <c r="RV316" s="55">
        <f t="shared" si="2152"/>
        <v>46292</v>
      </c>
      <c r="RW316" s="56"/>
      <c r="RX316" s="242">
        <f>SUMPRODUCT(PRODUCE!$B315:$DY315,PRODUCE!$EB$57:$IY$57)</f>
        <v>0</v>
      </c>
      <c r="RY316" s="56"/>
      <c r="RZ316" s="242">
        <f t="shared" si="2153"/>
        <v>0</v>
      </c>
      <c r="SA316" s="242">
        <f t="shared" si="2154"/>
        <v>0</v>
      </c>
      <c r="SB316" s="56"/>
      <c r="SE316" s="55">
        <f t="shared" si="2155"/>
        <v>46292</v>
      </c>
      <c r="SF316" s="56"/>
      <c r="SG316" s="242">
        <f>SUMPRODUCT(PRODUCE!$B315:$DY315,PRODUCE!$EB$61:$IY$61)</f>
        <v>0</v>
      </c>
      <c r="SH316" s="56"/>
      <c r="SI316" s="242">
        <f t="shared" si="2156"/>
        <v>0</v>
      </c>
      <c r="SJ316" s="242">
        <f t="shared" si="2157"/>
        <v>24.200000000000003</v>
      </c>
      <c r="SK316" s="56"/>
      <c r="SN316" s="55">
        <f t="shared" si="2158"/>
        <v>46292</v>
      </c>
      <c r="SO316" s="56"/>
      <c r="SP316" s="242">
        <f>SUMPRODUCT(PRODUCE!$B315:$DY315,PRODUCE!$EB$57:$IY$57)</f>
        <v>0</v>
      </c>
      <c r="SQ316" s="56"/>
      <c r="SR316" s="242">
        <f t="shared" si="2159"/>
        <v>0</v>
      </c>
      <c r="SS316" s="242">
        <f t="shared" si="2160"/>
        <v>32</v>
      </c>
      <c r="ST316" s="56"/>
      <c r="SW316" s="55">
        <f t="shared" si="2161"/>
        <v>46292</v>
      </c>
      <c r="SX316" s="56"/>
      <c r="SY316" s="242">
        <f>SUMPRODUCT(PRODUCE!$B315:$DY315,PRODUCE!$EB$57:$IY$57)</f>
        <v>0</v>
      </c>
      <c r="SZ316" s="56"/>
      <c r="TA316" s="242">
        <f t="shared" si="2162"/>
        <v>0</v>
      </c>
      <c r="TB316" s="242">
        <f t="shared" si="2163"/>
        <v>0</v>
      </c>
      <c r="TC316" s="56"/>
      <c r="TF316" s="55">
        <f t="shared" si="2164"/>
        <v>46292</v>
      </c>
      <c r="TG316" s="56"/>
      <c r="TH316" s="242">
        <f>SUMPRODUCT(PRODUCE!$B315:$DY315,PRODUCE!$EB$57:$IY$57)</f>
        <v>0</v>
      </c>
      <c r="TI316" s="56"/>
      <c r="TJ316" s="242">
        <f t="shared" si="2165"/>
        <v>0</v>
      </c>
      <c r="TK316" s="242">
        <f t="shared" si="2166"/>
        <v>0</v>
      </c>
      <c r="TL316" s="56"/>
      <c r="TO316" s="55">
        <f t="shared" si="2167"/>
        <v>46292</v>
      </c>
      <c r="TP316" s="56"/>
      <c r="TQ316" s="242">
        <f>SUMPRODUCT(PRODUCE!$B315:$DY315,PRODUCE!$EB$57:$IY$57)</f>
        <v>0</v>
      </c>
      <c r="TR316" s="56"/>
      <c r="TS316" s="242">
        <f t="shared" si="2168"/>
        <v>0</v>
      </c>
      <c r="TT316" s="242">
        <f t="shared" si="2169"/>
        <v>0</v>
      </c>
      <c r="TU316" s="56"/>
      <c r="TX316" s="55">
        <f t="shared" si="2170"/>
        <v>46292</v>
      </c>
      <c r="TY316" s="56"/>
      <c r="TZ316" s="242">
        <f>SUMPRODUCT(PRODUCE!$B315:$DY315,PRODUCE!$EB$57:$IY$57)</f>
        <v>0</v>
      </c>
      <c r="UA316" s="56"/>
      <c r="UB316" s="242">
        <f t="shared" si="2171"/>
        <v>0</v>
      </c>
      <c r="UC316" s="242">
        <f t="shared" si="2172"/>
        <v>46.799999999999983</v>
      </c>
      <c r="UD316" s="56"/>
      <c r="UG316" s="55">
        <f t="shared" si="2173"/>
        <v>46292</v>
      </c>
      <c r="UH316" s="56"/>
      <c r="UI316" s="242">
        <f>SUMPRODUCT(PRODUCE!$B315:$DY315,PRODUCE!$EB$57:$IY$57)</f>
        <v>0</v>
      </c>
      <c r="UJ316" s="56"/>
      <c r="UK316" s="242">
        <f t="shared" si="2174"/>
        <v>0</v>
      </c>
      <c r="UL316" s="242">
        <f t="shared" si="2175"/>
        <v>204</v>
      </c>
      <c r="UM316" s="56"/>
      <c r="UP316" s="55">
        <f t="shared" si="2176"/>
        <v>46292</v>
      </c>
      <c r="UQ316" s="56"/>
      <c r="UR316" s="242">
        <f>SUMPRODUCT(PRODUCE!$B315:$DY315,PRODUCE!$EB$57:$IY$57)</f>
        <v>0</v>
      </c>
      <c r="US316" s="56"/>
      <c r="UT316" s="242">
        <f t="shared" si="2177"/>
        <v>0</v>
      </c>
      <c r="UU316" s="242">
        <f t="shared" si="2178"/>
        <v>202.5</v>
      </c>
      <c r="UV316" s="56"/>
      <c r="UY316" s="55">
        <f t="shared" si="2179"/>
        <v>46292</v>
      </c>
      <c r="UZ316" s="56"/>
      <c r="VA316" s="242">
        <f>SUMPRODUCT(PRODUCE!$B315:$DY315,PRODUCE!$EB$57:$IY$57)</f>
        <v>0</v>
      </c>
      <c r="VB316" s="56"/>
      <c r="VC316" s="242">
        <f t="shared" si="2180"/>
        <v>0</v>
      </c>
      <c r="VD316" s="242">
        <f t="shared" si="2181"/>
        <v>41.600000000000023</v>
      </c>
      <c r="VE316" s="56"/>
      <c r="VH316" s="55">
        <f t="shared" si="2182"/>
        <v>46292</v>
      </c>
      <c r="VI316" s="56"/>
      <c r="VJ316" s="242">
        <f>SUMPRODUCT(PRODUCE!$B315:$DY315,PRODUCE!$EB$57:$IY$57)</f>
        <v>0</v>
      </c>
      <c r="VK316" s="56"/>
      <c r="VL316" s="242">
        <f t="shared" si="2183"/>
        <v>0</v>
      </c>
      <c r="VM316" s="242">
        <f t="shared" si="2184"/>
        <v>210</v>
      </c>
      <c r="VN316" s="56"/>
      <c r="VQ316" s="55">
        <f t="shared" si="2185"/>
        <v>46292</v>
      </c>
      <c r="VR316" s="56"/>
      <c r="VS316" s="242">
        <f>SUMPRODUCT(PRODUCE!$B315:$DY315,PRODUCE!$EB$57:$IY$57)</f>
        <v>0</v>
      </c>
      <c r="VT316" s="56"/>
      <c r="VU316" s="242">
        <f t="shared" si="2186"/>
        <v>0</v>
      </c>
      <c r="VV316" s="242">
        <f t="shared" si="2187"/>
        <v>0</v>
      </c>
      <c r="VW316" s="56"/>
      <c r="VZ316" s="55">
        <f t="shared" si="2188"/>
        <v>46292</v>
      </c>
      <c r="WA316" s="56"/>
      <c r="WB316" s="242">
        <f>SUMPRODUCT(PRODUCE!$B315:$DY315,PRODUCE!$EB$57:$IY$57)</f>
        <v>0</v>
      </c>
      <c r="WC316" s="56"/>
      <c r="WD316" s="242">
        <f t="shared" si="2189"/>
        <v>0</v>
      </c>
      <c r="WE316" s="242">
        <f t="shared" si="2190"/>
        <v>0</v>
      </c>
      <c r="WF316" s="56"/>
      <c r="WI316" s="55">
        <f t="shared" si="2191"/>
        <v>46292</v>
      </c>
      <c r="WJ316" s="56"/>
      <c r="WK316" s="242">
        <f>SUMPRODUCT(PRODUCE!$B315:$DY315,PRODUCE!$EB$57:$IY$57)</f>
        <v>0</v>
      </c>
      <c r="WL316" s="56"/>
      <c r="WM316" s="242">
        <f t="shared" si="2192"/>
        <v>0</v>
      </c>
      <c r="WN316" s="242">
        <f t="shared" si="2193"/>
        <v>1057</v>
      </c>
      <c r="WO316" s="56"/>
      <c r="WR316" s="55">
        <f t="shared" si="2194"/>
        <v>46292</v>
      </c>
      <c r="WS316" s="56"/>
      <c r="WT316" s="242">
        <f>SUMPRODUCT(PRODUCE!$B315:$DY315,PRODUCE!$EB$57:$IY$57)</f>
        <v>0</v>
      </c>
      <c r="WU316" s="56"/>
      <c r="WV316" s="242">
        <f t="shared" si="2195"/>
        <v>0</v>
      </c>
      <c r="WW316" s="242">
        <f t="shared" si="2196"/>
        <v>0</v>
      </c>
      <c r="WX316" s="56"/>
      <c r="XA316" s="55">
        <f t="shared" si="2197"/>
        <v>46292</v>
      </c>
      <c r="XB316" s="56"/>
      <c r="XC316" s="242">
        <f>SUMPRODUCT(PRODUCE!$B315:$DY315,PRODUCE!$EB$57:$IY$57)</f>
        <v>0</v>
      </c>
      <c r="XD316" s="56"/>
      <c r="XE316" s="242">
        <f t="shared" si="2198"/>
        <v>0</v>
      </c>
      <c r="XF316" s="242">
        <f t="shared" si="2199"/>
        <v>7507</v>
      </c>
      <c r="XG316" s="56"/>
      <c r="XJ316" s="55">
        <f t="shared" si="2200"/>
        <v>46292</v>
      </c>
      <c r="XK316" s="56"/>
      <c r="XL316" s="242">
        <f>SUMPRODUCT(PRODUCE!$B315:$DY315,PRODUCE!$EB$57:$IY$57)</f>
        <v>0</v>
      </c>
      <c r="XM316" s="56"/>
      <c r="XN316" s="242">
        <f t="shared" si="2201"/>
        <v>0</v>
      </c>
      <c r="XO316" s="242">
        <f t="shared" si="2202"/>
        <v>4252</v>
      </c>
      <c r="XP316" s="56"/>
      <c r="XS316" s="55">
        <f t="shared" si="2203"/>
        <v>46292</v>
      </c>
      <c r="XT316" s="56"/>
      <c r="XU316" s="242">
        <f>SUMPRODUCT(PRODUCE!$B315:$DY315,PRODUCE!$EB$57:$IY$57)</f>
        <v>0</v>
      </c>
      <c r="XV316" s="56"/>
      <c r="XW316" s="242">
        <f t="shared" si="2204"/>
        <v>0</v>
      </c>
      <c r="XX316" s="242">
        <f t="shared" si="2205"/>
        <v>2179</v>
      </c>
      <c r="XY316" s="56"/>
      <c r="YB316" s="55">
        <f t="shared" si="2206"/>
        <v>46292</v>
      </c>
      <c r="YC316" s="56"/>
      <c r="YD316" s="242">
        <f>SUMPRODUCT(PRODUCE!$B315:$DY315,PRODUCE!$EB$57:$IY$57)</f>
        <v>0</v>
      </c>
      <c r="YE316" s="56"/>
      <c r="YF316" s="242">
        <f t="shared" si="2207"/>
        <v>0</v>
      </c>
      <c r="YG316" s="242">
        <f t="shared" si="2208"/>
        <v>4019</v>
      </c>
      <c r="YH316" s="56"/>
      <c r="YK316" s="55">
        <f t="shared" si="2209"/>
        <v>46292</v>
      </c>
      <c r="YL316" s="56"/>
      <c r="YM316" s="242">
        <f>SUMPRODUCT(PRODUCE!$B315:$DY315,PRODUCE!$EB$57:$IY$57)</f>
        <v>0</v>
      </c>
      <c r="YN316" s="56"/>
      <c r="YO316" s="242">
        <f t="shared" si="2210"/>
        <v>0</v>
      </c>
      <c r="YP316" s="242">
        <f t="shared" si="2211"/>
        <v>-218</v>
      </c>
      <c r="YQ316" s="56"/>
      <c r="YT316" s="55">
        <f t="shared" si="2212"/>
        <v>46292</v>
      </c>
      <c r="YU316" s="56"/>
      <c r="YV316" s="242">
        <f>SUMPRODUCT(PRODUCE!$B315:$DY315,PRODUCE!$EB$57:$IY$57)</f>
        <v>0</v>
      </c>
      <c r="YW316" s="56"/>
      <c r="YX316" s="242">
        <f t="shared" si="2213"/>
        <v>0</v>
      </c>
      <c r="YY316" s="242">
        <f t="shared" si="2214"/>
        <v>0</v>
      </c>
      <c r="YZ316" s="56"/>
      <c r="ZC316" s="55">
        <f t="shared" si="2215"/>
        <v>46292</v>
      </c>
      <c r="ZD316" s="56"/>
      <c r="ZE316" s="242">
        <f>SUMPRODUCT(PRODUCE!$B315:$DY315,PRODUCE!$EB$57:$IY$57)</f>
        <v>0</v>
      </c>
      <c r="ZF316" s="56"/>
      <c r="ZG316" s="242">
        <f t="shared" si="2216"/>
        <v>0</v>
      </c>
      <c r="ZH316" s="242">
        <f t="shared" si="2217"/>
        <v>0</v>
      </c>
      <c r="ZI316" s="56"/>
      <c r="ZL316" s="55">
        <f t="shared" si="2218"/>
        <v>46292</v>
      </c>
      <c r="ZM316" s="56"/>
      <c r="ZN316" s="242">
        <f>SUMPRODUCT(PRODUCE!$B315:$DY315,PRODUCE!$EB$57:$IY$57)</f>
        <v>0</v>
      </c>
      <c r="ZO316" s="56"/>
      <c r="ZP316" s="242">
        <f t="shared" si="2219"/>
        <v>0</v>
      </c>
      <c r="ZQ316" s="242">
        <f t="shared" si="2220"/>
        <v>0</v>
      </c>
      <c r="ZR316" s="56"/>
      <c r="ZU316" s="55">
        <f t="shared" si="2221"/>
        <v>46292</v>
      </c>
      <c r="ZV316" s="56"/>
      <c r="ZW316" s="242">
        <f>SUMPRODUCT(PRODUCE!$B315:$DY315,PRODUCE!$EB$57:$IY$57)</f>
        <v>0</v>
      </c>
      <c r="ZX316" s="56"/>
      <c r="ZY316" s="242">
        <f t="shared" si="2222"/>
        <v>0</v>
      </c>
      <c r="ZZ316" s="242">
        <f t="shared" si="2223"/>
        <v>0</v>
      </c>
      <c r="AAA316" s="56"/>
      <c r="AAD316" s="55">
        <f t="shared" si="2224"/>
        <v>46292</v>
      </c>
      <c r="AAE316" s="56"/>
      <c r="AAF316" s="242">
        <f>SUMPRODUCT(PRODUCE!$B315:$DY315,PRODUCE!$EB$57:$IY$57)</f>
        <v>0</v>
      </c>
      <c r="AAG316" s="56"/>
      <c r="AAH316" s="242">
        <f t="shared" si="2225"/>
        <v>0</v>
      </c>
      <c r="AAI316" s="242">
        <f t="shared" si="2226"/>
        <v>0</v>
      </c>
      <c r="AAJ316" s="56"/>
      <c r="AAM316" s="55">
        <f t="shared" si="2227"/>
        <v>46292</v>
      </c>
      <c r="AAN316" s="56"/>
      <c r="AAO316" s="242">
        <f>SUMPRODUCT(PRODUCE!$B315:$DY315,PRODUCE!$EB$57:$IY$57)</f>
        <v>0</v>
      </c>
      <c r="AAP316" s="56"/>
      <c r="AAQ316" s="242">
        <f t="shared" si="2228"/>
        <v>0</v>
      </c>
      <c r="AAR316" s="242">
        <f t="shared" si="2229"/>
        <v>0</v>
      </c>
      <c r="AAS316" s="56"/>
      <c r="AAV316" s="55">
        <f t="shared" si="2230"/>
        <v>46292</v>
      </c>
      <c r="AAW316" s="56"/>
      <c r="AAX316" s="242">
        <f>SUMPRODUCT(PRODUCE!$B315:$DY315,PRODUCE!$EB$57:$IY$57)</f>
        <v>0</v>
      </c>
      <c r="AAY316" s="56"/>
      <c r="AAZ316" s="242">
        <f t="shared" si="2231"/>
        <v>0</v>
      </c>
      <c r="ABA316" s="242">
        <f t="shared" si="2232"/>
        <v>0</v>
      </c>
      <c r="ABB316" s="56"/>
      <c r="ABE316" s="55">
        <f t="shared" si="2233"/>
        <v>46292</v>
      </c>
      <c r="ABF316" s="56"/>
      <c r="ABG316" s="242">
        <f>SUMPRODUCT(PRODUCE!$B315:$DY315,PRODUCE!$EB$57:$IY$57)</f>
        <v>0</v>
      </c>
      <c r="ABH316" s="56"/>
      <c r="ABI316" s="242">
        <f t="shared" si="2234"/>
        <v>0</v>
      </c>
      <c r="ABJ316" s="242">
        <f t="shared" si="2235"/>
        <v>0</v>
      </c>
      <c r="ABK316" s="56"/>
    </row>
    <row r="317" spans="2:739" s="54" customFormat="1" ht="15" customHeight="1" outlineLevel="1">
      <c r="B317" s="478"/>
      <c r="C317" s="55">
        <v>46293</v>
      </c>
      <c r="D317" s="56"/>
      <c r="E317" s="57">
        <f>SUMPRODUCT(PRODUCE!$B316:$DY316,PRODUCE!$EB$7:$IY$7)</f>
        <v>0</v>
      </c>
      <c r="F317" s="56"/>
      <c r="G317" s="57">
        <f t="shared" si="1992"/>
        <v>0</v>
      </c>
      <c r="H317" s="57">
        <f t="shared" si="1993"/>
        <v>236936.6</v>
      </c>
      <c r="I317" s="289"/>
      <c r="L317" s="55">
        <f t="shared" si="1994"/>
        <v>46293</v>
      </c>
      <c r="M317" s="56"/>
      <c r="N317" s="59">
        <f>SUMPRODUCT(PRODUCE!$B316:$DY316,PRODUCE!$EB$8:$IY$8)</f>
        <v>0</v>
      </c>
      <c r="O317" s="56"/>
      <c r="P317" s="59">
        <f t="shared" si="1995"/>
        <v>0</v>
      </c>
      <c r="Q317" s="59">
        <f t="shared" si="1996"/>
        <v>53017.600000000071</v>
      </c>
      <c r="R317" s="56"/>
      <c r="U317" s="55">
        <f t="shared" si="1997"/>
        <v>46293</v>
      </c>
      <c r="V317" s="56"/>
      <c r="W317" s="60">
        <f>SUMPRODUCT(PRODUCE!$B316:$DY316,PRODUCE!$EB$9:$IY$9)</f>
        <v>0</v>
      </c>
      <c r="X317" s="56"/>
      <c r="Y317" s="60">
        <f t="shared" si="1998"/>
        <v>0</v>
      </c>
      <c r="Z317" s="60">
        <f t="shared" si="1999"/>
        <v>42674.199999999968</v>
      </c>
      <c r="AA317" s="56"/>
      <c r="AD317" s="55">
        <f t="shared" si="2000"/>
        <v>46293</v>
      </c>
      <c r="AE317" s="56"/>
      <c r="AF317" s="61">
        <f>SUMPRODUCT(PRODUCE!$B316:$DY316,PRODUCE!$EB$10:$IY$10)</f>
        <v>0</v>
      </c>
      <c r="AG317" s="56"/>
      <c r="AH317" s="61">
        <f t="shared" si="2001"/>
        <v>0</v>
      </c>
      <c r="AI317" s="61">
        <f t="shared" si="2002"/>
        <v>4522.2000000000189</v>
      </c>
      <c r="AJ317" s="56"/>
      <c r="AM317" s="55">
        <f t="shared" si="2003"/>
        <v>46293</v>
      </c>
      <c r="AN317" s="422"/>
      <c r="AO317" s="444">
        <f>SUMPRODUCT(PRODUCE!$B316:$DY316,PRODUCE!$EB$11:$IY$11)</f>
        <v>0</v>
      </c>
      <c r="AP317" s="422"/>
      <c r="AQ317" s="444">
        <f t="shared" si="2004"/>
        <v>0</v>
      </c>
      <c r="AR317" s="444">
        <f t="shared" si="2005"/>
        <v>0</v>
      </c>
      <c r="AS317" s="56"/>
      <c r="AV317" s="55">
        <f t="shared" si="2006"/>
        <v>46293</v>
      </c>
      <c r="AW317" s="56"/>
      <c r="AX317" s="62">
        <f>SUMPRODUCT(PRODUCE!$B316:$DY316,PRODUCE!$EB$12:$IY$12)</f>
        <v>0</v>
      </c>
      <c r="AY317" s="56"/>
      <c r="AZ317" s="62">
        <f t="shared" si="2007"/>
        <v>0</v>
      </c>
      <c r="BA317" s="62">
        <f t="shared" si="2008"/>
        <v>124.99999999999523</v>
      </c>
      <c r="BB317" s="56"/>
      <c r="BE317" s="55">
        <f t="shared" si="2009"/>
        <v>46293</v>
      </c>
      <c r="BF317" s="56"/>
      <c r="BG317" s="63">
        <f>SUMPRODUCT(PRODUCE!$B316:$DY316,PRODUCE!$EB$13:$IY$13)</f>
        <v>0</v>
      </c>
      <c r="BH317" s="56"/>
      <c r="BI317" s="63">
        <f t="shared" si="2010"/>
        <v>0</v>
      </c>
      <c r="BJ317" s="63">
        <f t="shared" si="2011"/>
        <v>26151.899999999998</v>
      </c>
      <c r="BK317" s="56"/>
      <c r="BN317" s="55">
        <f t="shared" si="2012"/>
        <v>46293</v>
      </c>
      <c r="BO317" s="56"/>
      <c r="BP317" s="64">
        <f>SUMPRODUCT(PRODUCE!$B316:$DY316,PRODUCE!$EB$14:$IY$14)</f>
        <v>0</v>
      </c>
      <c r="BQ317" s="56"/>
      <c r="BR317" s="64">
        <f t="shared" si="2013"/>
        <v>0</v>
      </c>
      <c r="BS317" s="64">
        <f t="shared" si="2014"/>
        <v>0</v>
      </c>
      <c r="BT317" s="56"/>
      <c r="BW317" s="55">
        <f t="shared" si="2015"/>
        <v>46293</v>
      </c>
      <c r="BX317" s="56"/>
      <c r="BY317" s="65">
        <f>SUMPRODUCT(PRODUCE!$B316:$DY316,PRODUCE!$EB$15:$IY$15)</f>
        <v>0</v>
      </c>
      <c r="BZ317" s="56"/>
      <c r="CA317" s="65">
        <f t="shared" si="2016"/>
        <v>0</v>
      </c>
      <c r="CB317" s="65">
        <f t="shared" si="2017"/>
        <v>2097.3399999999992</v>
      </c>
      <c r="CC317" s="56"/>
      <c r="CF317" s="55">
        <f t="shared" si="2018"/>
        <v>46293</v>
      </c>
      <c r="CG317" s="56"/>
      <c r="CH317" s="66">
        <f>SUMPRODUCT(PRODUCE!$B316:$DY316,PRODUCE!$EB$16:$IY$16)</f>
        <v>0</v>
      </c>
      <c r="CI317" s="56"/>
      <c r="CJ317" s="66">
        <f t="shared" si="2019"/>
        <v>0</v>
      </c>
      <c r="CK317" s="66">
        <f t="shared" si="2020"/>
        <v>-10277.079999999998</v>
      </c>
      <c r="CL317" s="56"/>
      <c r="CO317" s="55">
        <f t="shared" si="2021"/>
        <v>46293</v>
      </c>
      <c r="CP317" s="422"/>
      <c r="CQ317" s="470">
        <f>SUMPRODUCT(PRODUCE!$B316:$DY316,PRODUCE!$EB$17:$IY$17)</f>
        <v>0</v>
      </c>
      <c r="CR317" s="422"/>
      <c r="CS317" s="470">
        <f t="shared" si="2022"/>
        <v>0</v>
      </c>
      <c r="CT317" s="470">
        <f t="shared" si="2023"/>
        <v>0</v>
      </c>
      <c r="CU317" s="56"/>
      <c r="CX317" s="55">
        <f t="shared" si="2024"/>
        <v>46293</v>
      </c>
      <c r="CY317" s="56"/>
      <c r="CZ317" s="133">
        <f>SUMPRODUCT(PRODUCE!$B316:$DY316,PRODUCE!$EB$18:$IY$18)</f>
        <v>0</v>
      </c>
      <c r="DA317" s="56"/>
      <c r="DB317" s="133">
        <f t="shared" si="2025"/>
        <v>0</v>
      </c>
      <c r="DC317" s="133">
        <f t="shared" si="2026"/>
        <v>27438.200000000012</v>
      </c>
      <c r="DD317" s="56"/>
      <c r="DG317" s="55">
        <f t="shared" si="2027"/>
        <v>46293</v>
      </c>
      <c r="DH317" s="56"/>
      <c r="DI317" s="147">
        <f>SUMPRODUCT(PRODUCE!$B316:$DY316,PRODUCE!$EB$19:$IY$19)</f>
        <v>0</v>
      </c>
      <c r="DJ317" s="56"/>
      <c r="DK317" s="147">
        <f t="shared" si="2028"/>
        <v>0</v>
      </c>
      <c r="DL317" s="147">
        <f t="shared" si="2029"/>
        <v>18782.299999999981</v>
      </c>
      <c r="DM317" s="56"/>
      <c r="DP317" s="55">
        <f t="shared" si="2030"/>
        <v>46293</v>
      </c>
      <c r="DQ317" s="56"/>
      <c r="DR317" s="57">
        <f>SUMPRODUCT(PRODUCE!$B316:$DY316,PRODUCE!$EB$20:$IY$20)</f>
        <v>0</v>
      </c>
      <c r="DS317" s="56"/>
      <c r="DT317" s="57">
        <f t="shared" si="2031"/>
        <v>0</v>
      </c>
      <c r="DU317" s="57">
        <f t="shared" si="2032"/>
        <v>5800</v>
      </c>
      <c r="DV317" s="56"/>
      <c r="DY317" s="55">
        <f t="shared" si="2033"/>
        <v>46293</v>
      </c>
      <c r="DZ317" s="56"/>
      <c r="EA317" s="157">
        <f>SUMPRODUCT(PRODUCE!$B316:$DY316,PRODUCE!$EB$21:$IY$21)</f>
        <v>0</v>
      </c>
      <c r="EB317" s="56"/>
      <c r="EC317" s="157">
        <f t="shared" si="2034"/>
        <v>0</v>
      </c>
      <c r="ED317" s="157">
        <f t="shared" si="2035"/>
        <v>0</v>
      </c>
      <c r="EE317" s="56"/>
      <c r="EH317" s="55">
        <f t="shared" si="2036"/>
        <v>46293</v>
      </c>
      <c r="EI317" s="56"/>
      <c r="EJ317" s="162">
        <f>SUMPRODUCT(PRODUCE!$B316:$DY316,PRODUCE!$EB$22:$IY$22)</f>
        <v>0</v>
      </c>
      <c r="EK317" s="56"/>
      <c r="EL317" s="162">
        <f t="shared" si="2037"/>
        <v>0</v>
      </c>
      <c r="EM317" s="162">
        <f t="shared" si="2038"/>
        <v>0</v>
      </c>
      <c r="EN317" s="56"/>
      <c r="EQ317" s="55">
        <f t="shared" si="2039"/>
        <v>46293</v>
      </c>
      <c r="ER317" s="56"/>
      <c r="ES317" s="135">
        <f>SUMPRODUCT(PRODUCE!$B316:$DY316,PRODUCE!$EB$23:$IY$23)</f>
        <v>0</v>
      </c>
      <c r="ET317" s="56"/>
      <c r="EU317" s="135">
        <f t="shared" si="2040"/>
        <v>0</v>
      </c>
      <c r="EV317" s="135">
        <f t="shared" si="2041"/>
        <v>0</v>
      </c>
      <c r="EW317" s="56"/>
      <c r="EZ317" s="55">
        <f t="shared" si="2042"/>
        <v>46293</v>
      </c>
      <c r="FA317" s="56"/>
      <c r="FB317" s="175">
        <f>SUMPRODUCT(PRODUCE!$B316:$DY316,PRODUCE!$EB$24:$IY$24)</f>
        <v>0</v>
      </c>
      <c r="FC317" s="56"/>
      <c r="FD317" s="175">
        <f t="shared" si="2043"/>
        <v>0</v>
      </c>
      <c r="FE317" s="175">
        <f t="shared" si="2044"/>
        <v>0</v>
      </c>
      <c r="FF317" s="56"/>
      <c r="FI317" s="55">
        <f t="shared" si="2045"/>
        <v>46293</v>
      </c>
      <c r="FJ317" s="56"/>
      <c r="FK317" s="183">
        <f>SUMPRODUCT(PRODUCE!$B316:$DY316,PRODUCE!$EB$25:$IY$25)</f>
        <v>0</v>
      </c>
      <c r="FL317" s="56"/>
      <c r="FM317" s="183">
        <f t="shared" si="2046"/>
        <v>0</v>
      </c>
      <c r="FN317" s="183">
        <f t="shared" si="2047"/>
        <v>0</v>
      </c>
      <c r="FO317" s="56"/>
      <c r="FR317" s="55">
        <f t="shared" si="2048"/>
        <v>46293</v>
      </c>
      <c r="FS317" s="56"/>
      <c r="FT317" s="186">
        <f>SUMPRODUCT(PRODUCE!$B316:$DY316,PRODUCE!$EB$26:$IY$26)</f>
        <v>0</v>
      </c>
      <c r="FU317" s="56"/>
      <c r="FV317" s="186">
        <f t="shared" si="2049"/>
        <v>0</v>
      </c>
      <c r="FW317" s="186">
        <f t="shared" si="2050"/>
        <v>2020</v>
      </c>
      <c r="FX317" s="56"/>
      <c r="GA317" s="55">
        <f t="shared" si="2051"/>
        <v>46293</v>
      </c>
      <c r="GB317" s="56"/>
      <c r="GC317" s="137">
        <f>SUMPRODUCT(PRODUCE!$B316:$DY316,PRODUCE!$EB$27:$IY$27)</f>
        <v>0</v>
      </c>
      <c r="GD317" s="56"/>
      <c r="GE317" s="137">
        <f t="shared" si="2052"/>
        <v>0</v>
      </c>
      <c r="GF317" s="137">
        <f t="shared" si="2053"/>
        <v>960</v>
      </c>
      <c r="GG317" s="56"/>
      <c r="GI317" s="23"/>
      <c r="GJ317" s="55">
        <f t="shared" si="2054"/>
        <v>46293</v>
      </c>
      <c r="GK317" s="56"/>
      <c r="GL317" s="199">
        <f>SUMPRODUCT(PRODUCE!$B316:$DY316,PRODUCE!$EB$28:$IY$28)</f>
        <v>0</v>
      </c>
      <c r="GM317" s="56"/>
      <c r="GN317" s="199">
        <f t="shared" si="2055"/>
        <v>0</v>
      </c>
      <c r="GO317" s="199">
        <f t="shared" si="2056"/>
        <v>1760</v>
      </c>
      <c r="GP317" s="56"/>
      <c r="GS317" s="55">
        <f t="shared" si="2057"/>
        <v>46293</v>
      </c>
      <c r="GT317" s="56"/>
      <c r="GU317" s="195">
        <f>SUMPRODUCT(PRODUCE!$B316:$DY316,PRODUCE!$EB$29:$IY$29)</f>
        <v>0</v>
      </c>
      <c r="GV317" s="56"/>
      <c r="GW317" s="195">
        <f t="shared" si="2058"/>
        <v>0</v>
      </c>
      <c r="GX317" s="195">
        <f t="shared" si="2059"/>
        <v>400</v>
      </c>
      <c r="GY317" s="56"/>
      <c r="HB317" s="55">
        <f t="shared" si="2060"/>
        <v>46293</v>
      </c>
      <c r="HC317" s="56"/>
      <c r="HD317" s="191">
        <f>SUMPRODUCT(PRODUCE!$B316:$DY316,PRODUCE!$EB$30:$IY$30)</f>
        <v>0</v>
      </c>
      <c r="HE317" s="56"/>
      <c r="HF317" s="191">
        <f t="shared" si="2061"/>
        <v>0</v>
      </c>
      <c r="HG317" s="191">
        <f t="shared" si="2062"/>
        <v>3600</v>
      </c>
      <c r="HH317" s="56"/>
      <c r="HK317" s="55">
        <f t="shared" si="2063"/>
        <v>46293</v>
      </c>
      <c r="HL317" s="56"/>
      <c r="HM317" s="63">
        <f>SUMPRODUCT(PRODUCE!$B316:$DY316,PRODUCE!$EB$31:$IY$31)</f>
        <v>0</v>
      </c>
      <c r="HN317" s="56"/>
      <c r="HO317" s="63">
        <f t="shared" si="2064"/>
        <v>0</v>
      </c>
      <c r="HP317" s="63">
        <f t="shared" si="2065"/>
        <v>0</v>
      </c>
      <c r="HQ317" s="56"/>
      <c r="HU317" s="55">
        <f t="shared" si="2066"/>
        <v>46293</v>
      </c>
      <c r="HV317" s="56"/>
      <c r="HW317" s="242">
        <f>SUMPRODUCT(PRODUCE!$B316:$DY316,PRODUCE!$EB$32:$IY$32)</f>
        <v>0</v>
      </c>
      <c r="HX317" s="56"/>
      <c r="HY317" s="242">
        <f t="shared" si="2236"/>
        <v>0</v>
      </c>
      <c r="HZ317" s="242">
        <f t="shared" si="2067"/>
        <v>6120</v>
      </c>
      <c r="IA317" s="56"/>
      <c r="ID317" s="55">
        <f t="shared" si="2068"/>
        <v>46293</v>
      </c>
      <c r="IE317" s="56"/>
      <c r="IF317" s="242">
        <f>SUMPRODUCT(PRODUCE!$B316:$DY316,PRODUCE!$EB$33:$IY$33)</f>
        <v>0</v>
      </c>
      <c r="IG317" s="56"/>
      <c r="IH317" s="242">
        <f t="shared" si="2069"/>
        <v>0</v>
      </c>
      <c r="II317" s="242">
        <f t="shared" si="2070"/>
        <v>0</v>
      </c>
      <c r="IJ317" s="56"/>
      <c r="IM317" s="55">
        <f t="shared" si="2071"/>
        <v>46293</v>
      </c>
      <c r="IN317" s="56"/>
      <c r="IO317" s="242">
        <f>SUMPRODUCT(PRODUCE!$B316:$DY316,PRODUCE!$EB$34:$IY$34)</f>
        <v>0</v>
      </c>
      <c r="IP317" s="56"/>
      <c r="IQ317" s="242">
        <f t="shared" si="2072"/>
        <v>0</v>
      </c>
      <c r="IR317" s="242">
        <f t="shared" si="2073"/>
        <v>0</v>
      </c>
      <c r="IS317" s="56"/>
      <c r="IV317" s="55">
        <f t="shared" si="2074"/>
        <v>46293</v>
      </c>
      <c r="IW317" s="56"/>
      <c r="IX317" s="242">
        <f>SUMPRODUCT(PRODUCE!$B316:$DY316,PRODUCE!$EB$35:$IY$35)</f>
        <v>0</v>
      </c>
      <c r="IY317" s="56"/>
      <c r="IZ317" s="242">
        <f t="shared" si="2075"/>
        <v>0</v>
      </c>
      <c r="JA317" s="242">
        <f t="shared" si="2076"/>
        <v>2820</v>
      </c>
      <c r="JB317" s="56"/>
      <c r="JE317" s="55">
        <f t="shared" si="2077"/>
        <v>46293</v>
      </c>
      <c r="JF317" s="56"/>
      <c r="JG317" s="242">
        <f>SUMPRODUCT(PRODUCE!$B316:$DY316,PRODUCE!$EB$36:$IY$36)</f>
        <v>0</v>
      </c>
      <c r="JH317" s="56"/>
      <c r="JI317" s="242">
        <f t="shared" si="2078"/>
        <v>0</v>
      </c>
      <c r="JJ317" s="242">
        <f t="shared" si="2079"/>
        <v>0</v>
      </c>
      <c r="JK317" s="56"/>
      <c r="JN317" s="55">
        <f t="shared" si="2080"/>
        <v>46293</v>
      </c>
      <c r="JO317" s="56"/>
      <c r="JP317" s="242">
        <f>SUMPRODUCT(PRODUCE!$B316:$DY316,PRODUCE!$EB$37:$IY$37)</f>
        <v>0</v>
      </c>
      <c r="JQ317" s="56"/>
      <c r="JR317" s="242">
        <f t="shared" si="2081"/>
        <v>0</v>
      </c>
      <c r="JS317" s="242">
        <f t="shared" si="2082"/>
        <v>0</v>
      </c>
      <c r="JT317" s="56"/>
      <c r="JW317" s="55">
        <f t="shared" si="2083"/>
        <v>46293</v>
      </c>
      <c r="JX317" s="56"/>
      <c r="JY317" s="242">
        <f>SUMPRODUCT(PRODUCE!$B316:$DY316,PRODUCE!$EB$38:$IY$38)</f>
        <v>0</v>
      </c>
      <c r="JZ317" s="56"/>
      <c r="KA317" s="242">
        <f t="shared" si="2084"/>
        <v>0</v>
      </c>
      <c r="KB317" s="242">
        <f t="shared" si="2085"/>
        <v>2540</v>
      </c>
      <c r="KC317" s="56"/>
      <c r="KF317" s="55">
        <f t="shared" si="2086"/>
        <v>46293</v>
      </c>
      <c r="KG317" s="56"/>
      <c r="KH317" s="242">
        <f>SUMPRODUCT(PRODUCE!$B316:$DY316,PRODUCE!$EB$39:$IY$39)</f>
        <v>0</v>
      </c>
      <c r="KI317" s="56"/>
      <c r="KJ317" s="242">
        <f t="shared" si="2087"/>
        <v>0</v>
      </c>
      <c r="KK317" s="242">
        <f t="shared" si="2088"/>
        <v>2359.5</v>
      </c>
      <c r="KL317" s="56"/>
      <c r="KO317" s="55">
        <f t="shared" si="2089"/>
        <v>46293</v>
      </c>
      <c r="KP317" s="56"/>
      <c r="KQ317" s="242">
        <f>SUMPRODUCT(PRODUCE!$B316:$DY316,PRODUCE!$EB$40:$IY$40)</f>
        <v>0</v>
      </c>
      <c r="KR317" s="56"/>
      <c r="KS317" s="242">
        <f t="shared" si="2090"/>
        <v>0</v>
      </c>
      <c r="KT317" s="242">
        <f t="shared" si="2091"/>
        <v>1890</v>
      </c>
      <c r="KU317" s="56"/>
      <c r="KW317" s="23"/>
      <c r="KX317" s="55">
        <f t="shared" si="2092"/>
        <v>46293</v>
      </c>
      <c r="KY317" s="56"/>
      <c r="KZ317" s="242">
        <f>SUMPRODUCT(PRODUCE!$B316:$DY316,PRODUCE!$EB$41:$IY$41)</f>
        <v>0</v>
      </c>
      <c r="LA317" s="56"/>
      <c r="LB317" s="242">
        <f t="shared" si="2093"/>
        <v>0</v>
      </c>
      <c r="LC317" s="242">
        <f t="shared" si="2094"/>
        <v>3690</v>
      </c>
      <c r="LD317" s="56"/>
      <c r="LG317" s="55">
        <f t="shared" si="2095"/>
        <v>46293</v>
      </c>
      <c r="LH317" s="56"/>
      <c r="LI317" s="242">
        <f>SUMPRODUCT(PRODUCE!$B316:$DY316,PRODUCE!$EB$42:$IY$42)</f>
        <v>0</v>
      </c>
      <c r="LJ317" s="56"/>
      <c r="LK317" s="242">
        <f t="shared" si="2096"/>
        <v>0</v>
      </c>
      <c r="LL317" s="242">
        <f t="shared" si="2097"/>
        <v>4000</v>
      </c>
      <c r="LM317" s="56"/>
      <c r="LP317" s="55">
        <f t="shared" si="2098"/>
        <v>46293</v>
      </c>
      <c r="LQ317" s="56"/>
      <c r="LR317" s="242">
        <f>SUMPRODUCT(PRODUCE!$B332:$DY332,PRODUCE!$EB$43:$IY$43)</f>
        <v>0</v>
      </c>
      <c r="LS317" s="56"/>
      <c r="LT317" s="242">
        <f t="shared" si="2099"/>
        <v>0</v>
      </c>
      <c r="LU317" s="242">
        <f t="shared" si="2100"/>
        <v>0</v>
      </c>
      <c r="LV317" s="56"/>
      <c r="LY317" s="55">
        <f t="shared" si="2101"/>
        <v>46293</v>
      </c>
      <c r="LZ317" s="56"/>
      <c r="MA317" s="242">
        <f>SUMPRODUCT(PRODUCE!$B316:$DY316,PRODUCE!$EB$44:$IY$44)</f>
        <v>0</v>
      </c>
      <c r="MB317" s="56"/>
      <c r="MC317" s="242">
        <f t="shared" si="2102"/>
        <v>0</v>
      </c>
      <c r="MD317" s="242">
        <f t="shared" si="2103"/>
        <v>0</v>
      </c>
      <c r="ME317" s="56"/>
      <c r="MH317" s="55">
        <f t="shared" si="2104"/>
        <v>46293</v>
      </c>
      <c r="MI317" s="56"/>
      <c r="MJ317" s="242">
        <f>SUMPRODUCT(PRODUCE!$B316:$DY316,PRODUCE!$EB$45:$IY$45)</f>
        <v>0</v>
      </c>
      <c r="MK317" s="56"/>
      <c r="ML317" s="242">
        <f t="shared" si="2105"/>
        <v>0</v>
      </c>
      <c r="MM317" s="242">
        <f t="shared" si="2106"/>
        <v>0</v>
      </c>
      <c r="MN317" s="56"/>
      <c r="MQ317" s="55">
        <f t="shared" si="2107"/>
        <v>46293</v>
      </c>
      <c r="MR317" s="56"/>
      <c r="MS317" s="242">
        <f>SUMPRODUCT(PRODUCE!$B316:$DY316,PRODUCE!$EB$46:$IY$46)</f>
        <v>0</v>
      </c>
      <c r="MT317" s="56"/>
      <c r="MU317" s="242">
        <f t="shared" si="2108"/>
        <v>0</v>
      </c>
      <c r="MV317" s="242">
        <f t="shared" si="2109"/>
        <v>1625</v>
      </c>
      <c r="MW317" s="56"/>
      <c r="MZ317" s="55">
        <f t="shared" si="2110"/>
        <v>46293</v>
      </c>
      <c r="NA317" s="56"/>
      <c r="NB317" s="242">
        <f>SUMPRODUCT(PRODUCE!$B316:$DY316,PRODUCE!$EB$47:$IY$47)</f>
        <v>0</v>
      </c>
      <c r="NC317" s="56"/>
      <c r="ND317" s="242">
        <f t="shared" si="2111"/>
        <v>0</v>
      </c>
      <c r="NE317" s="242">
        <f t="shared" si="2112"/>
        <v>0</v>
      </c>
      <c r="NF317" s="56"/>
      <c r="NI317" s="55">
        <f t="shared" si="2113"/>
        <v>46293</v>
      </c>
      <c r="NJ317" s="56"/>
      <c r="NK317" s="242">
        <f>SUMPRODUCT(PRODUCE!$B316:$DY316,PRODUCE!$EB$48:$IY$48)</f>
        <v>0</v>
      </c>
      <c r="NL317" s="56"/>
      <c r="NM317" s="242">
        <f t="shared" si="2114"/>
        <v>0</v>
      </c>
      <c r="NN317" s="242">
        <f t="shared" si="2115"/>
        <v>1127</v>
      </c>
      <c r="NO317" s="56"/>
      <c r="NR317" s="55">
        <f t="shared" si="2116"/>
        <v>46293</v>
      </c>
      <c r="NS317" s="56"/>
      <c r="NT317" s="242">
        <f>SUMPRODUCT(PRODUCE!$B316:$DY316,PRODUCE!$EB$49:$IY$49)</f>
        <v>0</v>
      </c>
      <c r="NU317" s="56"/>
      <c r="NV317" s="242">
        <f t="shared" si="2117"/>
        <v>0</v>
      </c>
      <c r="NW317" s="242">
        <f t="shared" si="2118"/>
        <v>3111.9999999999995</v>
      </c>
      <c r="NX317" s="56"/>
      <c r="OA317" s="55">
        <f t="shared" si="2119"/>
        <v>46293</v>
      </c>
      <c r="OB317" s="56"/>
      <c r="OC317" s="242">
        <f>SUMPRODUCT(PRODUCE!$B316:$DY316,PRODUCE!$EB$50:$IY$50)</f>
        <v>0</v>
      </c>
      <c r="OD317" s="56"/>
      <c r="OE317" s="242">
        <f t="shared" si="2120"/>
        <v>0</v>
      </c>
      <c r="OF317" s="242">
        <f t="shared" si="2121"/>
        <v>1680.5</v>
      </c>
      <c r="OG317" s="56"/>
      <c r="OJ317" s="55">
        <f t="shared" si="2122"/>
        <v>46293</v>
      </c>
      <c r="OK317" s="56"/>
      <c r="OL317" s="242">
        <f>SUMPRODUCT(PRODUCE!$B316:$DY316,PRODUCE!$EB$51:$IY$51)</f>
        <v>0</v>
      </c>
      <c r="OM317" s="56"/>
      <c r="ON317" s="242">
        <f t="shared" si="2123"/>
        <v>0</v>
      </c>
      <c r="OO317" s="242">
        <f t="shared" si="2124"/>
        <v>0</v>
      </c>
      <c r="OP317" s="56"/>
      <c r="OS317" s="55">
        <f t="shared" si="2125"/>
        <v>46293</v>
      </c>
      <c r="OT317" s="56"/>
      <c r="OU317" s="242">
        <f>SUMPRODUCT(PRODUCE!$B316:$DY316,PRODUCE!$EB$52:$IY$52)</f>
        <v>0</v>
      </c>
      <c r="OV317" s="56"/>
      <c r="OW317" s="242">
        <f t="shared" si="2126"/>
        <v>0</v>
      </c>
      <c r="OX317" s="242">
        <f t="shared" si="2127"/>
        <v>1482</v>
      </c>
      <c r="OY317" s="56"/>
      <c r="PB317" s="55">
        <f t="shared" si="2128"/>
        <v>46293</v>
      </c>
      <c r="PC317" s="56"/>
      <c r="PD317" s="242">
        <f>SUMPRODUCT(PRODUCE!$B316:$DY316,PRODUCE!$EB$53:$IY$53)</f>
        <v>0</v>
      </c>
      <c r="PE317" s="56"/>
      <c r="PF317" s="242">
        <f t="shared" si="2129"/>
        <v>0</v>
      </c>
      <c r="PG317" s="242">
        <f t="shared" si="2130"/>
        <v>0</v>
      </c>
      <c r="PH317" s="56"/>
      <c r="PK317" s="55">
        <f t="shared" si="2131"/>
        <v>46293</v>
      </c>
      <c r="PL317" s="56"/>
      <c r="PM317" s="242">
        <f>SUMPRODUCT(PRODUCE!$B316:$DY316,PRODUCE!$EB$54:$IY$54)</f>
        <v>0</v>
      </c>
      <c r="PN317" s="56"/>
      <c r="PO317" s="242">
        <f t="shared" si="2132"/>
        <v>0</v>
      </c>
      <c r="PP317" s="242">
        <f t="shared" si="2133"/>
        <v>100</v>
      </c>
      <c r="PQ317" s="56"/>
      <c r="PT317" s="55">
        <f t="shared" si="2134"/>
        <v>46293</v>
      </c>
      <c r="PU317" s="56"/>
      <c r="PV317" s="242">
        <f>SUMPRODUCT(PRODUCE!$B316:$DY316,PRODUCE!$EB$55:$IY$55)</f>
        <v>0</v>
      </c>
      <c r="PW317" s="56"/>
      <c r="PX317" s="242">
        <f t="shared" si="2135"/>
        <v>0</v>
      </c>
      <c r="PY317" s="242">
        <f t="shared" si="2136"/>
        <v>13.960000000000036</v>
      </c>
      <c r="PZ317" s="56"/>
      <c r="QC317" s="55">
        <f t="shared" si="2137"/>
        <v>46293</v>
      </c>
      <c r="QD317" s="56"/>
      <c r="QE317" s="242">
        <f>SUMPRODUCT(PRODUCE!$B316:$DY316,PRODUCE!$EB$56:$IY$56)</f>
        <v>0</v>
      </c>
      <c r="QF317" s="56"/>
      <c r="QG317" s="242">
        <f t="shared" si="2138"/>
        <v>0</v>
      </c>
      <c r="QH317" s="242">
        <f t="shared" si="2139"/>
        <v>548</v>
      </c>
      <c r="QI317" s="56"/>
      <c r="QL317" s="55">
        <f t="shared" si="2140"/>
        <v>46293</v>
      </c>
      <c r="QM317" s="56"/>
      <c r="QN317" s="242">
        <f>SUMPRODUCT(PRODUCE!$B316:$DY316,PRODUCE!$EB$57:$IY$57)</f>
        <v>0</v>
      </c>
      <c r="QO317" s="56"/>
      <c r="QP317" s="242">
        <f t="shared" si="2141"/>
        <v>0</v>
      </c>
      <c r="QQ317" s="242">
        <f t="shared" si="2142"/>
        <v>0</v>
      </c>
      <c r="QR317" s="56"/>
      <c r="QU317" s="55">
        <f t="shared" si="2143"/>
        <v>46293</v>
      </c>
      <c r="QV317" s="56"/>
      <c r="QW317" s="242">
        <f>SUMPRODUCT(PRODUCE!$B316:$DY316,PRODUCE!$EB$57:$IY$57)</f>
        <v>0</v>
      </c>
      <c r="QX317" s="56"/>
      <c r="QY317" s="242">
        <f t="shared" si="2144"/>
        <v>0</v>
      </c>
      <c r="QZ317" s="242">
        <f t="shared" si="2145"/>
        <v>0</v>
      </c>
      <c r="RA317" s="56"/>
      <c r="RD317" s="55">
        <f t="shared" si="2146"/>
        <v>46293</v>
      </c>
      <c r="RE317" s="56"/>
      <c r="RF317" s="242">
        <f>SUMPRODUCT(PRODUCE!$B316:$DY316,PRODUCE!$EB$58:$IY$58)</f>
        <v>0</v>
      </c>
      <c r="RG317" s="56"/>
      <c r="RH317" s="242">
        <f t="shared" si="2147"/>
        <v>0</v>
      </c>
      <c r="RI317" s="242">
        <f t="shared" si="2148"/>
        <v>147.04000000000002</v>
      </c>
      <c r="RJ317" s="56"/>
      <c r="RM317" s="55">
        <f t="shared" si="2149"/>
        <v>46293</v>
      </c>
      <c r="RN317" s="56"/>
      <c r="RO317" s="242">
        <f>SUMPRODUCT(PRODUCE!$B316:$DY316,PRODUCE!$EB$59:$IY$59)</f>
        <v>0</v>
      </c>
      <c r="RP317" s="56"/>
      <c r="RQ317" s="242">
        <f t="shared" si="2150"/>
        <v>0</v>
      </c>
      <c r="RR317" s="242">
        <f t="shared" si="2151"/>
        <v>46.8</v>
      </c>
      <c r="RS317" s="56"/>
      <c r="RV317" s="55">
        <f t="shared" si="2152"/>
        <v>46293</v>
      </c>
      <c r="RW317" s="56"/>
      <c r="RX317" s="242">
        <f>SUMPRODUCT(PRODUCE!$B316:$DY316,PRODUCE!$EB$57:$IY$57)</f>
        <v>0</v>
      </c>
      <c r="RY317" s="56"/>
      <c r="RZ317" s="242">
        <f t="shared" si="2153"/>
        <v>0</v>
      </c>
      <c r="SA317" s="242">
        <f t="shared" si="2154"/>
        <v>0</v>
      </c>
      <c r="SB317" s="56"/>
      <c r="SE317" s="55">
        <f t="shared" si="2155"/>
        <v>46293</v>
      </c>
      <c r="SF317" s="56"/>
      <c r="SG317" s="242">
        <f>SUMPRODUCT(PRODUCE!$B316:$DY316,PRODUCE!$EB$61:$IY$61)</f>
        <v>0</v>
      </c>
      <c r="SH317" s="56"/>
      <c r="SI317" s="242">
        <f t="shared" si="2156"/>
        <v>0</v>
      </c>
      <c r="SJ317" s="242">
        <f t="shared" si="2157"/>
        <v>24.200000000000003</v>
      </c>
      <c r="SK317" s="56"/>
      <c r="SN317" s="55">
        <f t="shared" si="2158"/>
        <v>46293</v>
      </c>
      <c r="SO317" s="56"/>
      <c r="SP317" s="242">
        <f>SUMPRODUCT(PRODUCE!$B316:$DY316,PRODUCE!$EB$57:$IY$57)</f>
        <v>0</v>
      </c>
      <c r="SQ317" s="56"/>
      <c r="SR317" s="242">
        <f t="shared" si="2159"/>
        <v>0</v>
      </c>
      <c r="SS317" s="242">
        <f t="shared" si="2160"/>
        <v>32</v>
      </c>
      <c r="ST317" s="56"/>
      <c r="SW317" s="55">
        <f t="shared" si="2161"/>
        <v>46293</v>
      </c>
      <c r="SX317" s="56"/>
      <c r="SY317" s="242">
        <f>SUMPRODUCT(PRODUCE!$B316:$DY316,PRODUCE!$EB$57:$IY$57)</f>
        <v>0</v>
      </c>
      <c r="SZ317" s="56"/>
      <c r="TA317" s="242">
        <f t="shared" si="2162"/>
        <v>0</v>
      </c>
      <c r="TB317" s="242">
        <f t="shared" si="2163"/>
        <v>0</v>
      </c>
      <c r="TC317" s="56"/>
      <c r="TF317" s="55">
        <f t="shared" si="2164"/>
        <v>46293</v>
      </c>
      <c r="TG317" s="56"/>
      <c r="TH317" s="242">
        <f>SUMPRODUCT(PRODUCE!$B316:$DY316,PRODUCE!$EB$57:$IY$57)</f>
        <v>0</v>
      </c>
      <c r="TI317" s="56"/>
      <c r="TJ317" s="242">
        <f t="shared" si="2165"/>
        <v>0</v>
      </c>
      <c r="TK317" s="242">
        <f t="shared" si="2166"/>
        <v>0</v>
      </c>
      <c r="TL317" s="56"/>
      <c r="TO317" s="55">
        <f t="shared" si="2167"/>
        <v>46293</v>
      </c>
      <c r="TP317" s="56"/>
      <c r="TQ317" s="242">
        <f>SUMPRODUCT(PRODUCE!$B316:$DY316,PRODUCE!$EB$57:$IY$57)</f>
        <v>0</v>
      </c>
      <c r="TR317" s="56"/>
      <c r="TS317" s="242">
        <f t="shared" si="2168"/>
        <v>0</v>
      </c>
      <c r="TT317" s="242">
        <f t="shared" si="2169"/>
        <v>0</v>
      </c>
      <c r="TU317" s="56"/>
      <c r="TX317" s="55">
        <f t="shared" si="2170"/>
        <v>46293</v>
      </c>
      <c r="TY317" s="56"/>
      <c r="TZ317" s="242">
        <f>SUMPRODUCT(PRODUCE!$B316:$DY316,PRODUCE!$EB$57:$IY$57)</f>
        <v>0</v>
      </c>
      <c r="UA317" s="56"/>
      <c r="UB317" s="242">
        <f t="shared" si="2171"/>
        <v>0</v>
      </c>
      <c r="UC317" s="242">
        <f t="shared" si="2172"/>
        <v>46.799999999999983</v>
      </c>
      <c r="UD317" s="56"/>
      <c r="UG317" s="55">
        <f t="shared" si="2173"/>
        <v>46293</v>
      </c>
      <c r="UH317" s="56"/>
      <c r="UI317" s="242">
        <f>SUMPRODUCT(PRODUCE!$B316:$DY316,PRODUCE!$EB$57:$IY$57)</f>
        <v>0</v>
      </c>
      <c r="UJ317" s="56"/>
      <c r="UK317" s="242">
        <f t="shared" si="2174"/>
        <v>0</v>
      </c>
      <c r="UL317" s="242">
        <f t="shared" si="2175"/>
        <v>204</v>
      </c>
      <c r="UM317" s="56"/>
      <c r="UP317" s="55">
        <f t="shared" si="2176"/>
        <v>46293</v>
      </c>
      <c r="UQ317" s="56"/>
      <c r="UR317" s="242">
        <f>SUMPRODUCT(PRODUCE!$B316:$DY316,PRODUCE!$EB$57:$IY$57)</f>
        <v>0</v>
      </c>
      <c r="US317" s="56"/>
      <c r="UT317" s="242">
        <f t="shared" si="2177"/>
        <v>0</v>
      </c>
      <c r="UU317" s="242">
        <f t="shared" si="2178"/>
        <v>202.5</v>
      </c>
      <c r="UV317" s="56"/>
      <c r="UY317" s="55">
        <f t="shared" si="2179"/>
        <v>46293</v>
      </c>
      <c r="UZ317" s="56"/>
      <c r="VA317" s="242">
        <f>SUMPRODUCT(PRODUCE!$B316:$DY316,PRODUCE!$EB$57:$IY$57)</f>
        <v>0</v>
      </c>
      <c r="VB317" s="56"/>
      <c r="VC317" s="242">
        <f t="shared" si="2180"/>
        <v>0</v>
      </c>
      <c r="VD317" s="242">
        <f t="shared" si="2181"/>
        <v>41.600000000000023</v>
      </c>
      <c r="VE317" s="56"/>
      <c r="VH317" s="55">
        <f t="shared" si="2182"/>
        <v>46293</v>
      </c>
      <c r="VI317" s="56"/>
      <c r="VJ317" s="242">
        <f>SUMPRODUCT(PRODUCE!$B316:$DY316,PRODUCE!$EB$57:$IY$57)</f>
        <v>0</v>
      </c>
      <c r="VK317" s="56"/>
      <c r="VL317" s="242">
        <f t="shared" si="2183"/>
        <v>0</v>
      </c>
      <c r="VM317" s="242">
        <f t="shared" si="2184"/>
        <v>210</v>
      </c>
      <c r="VN317" s="56"/>
      <c r="VQ317" s="55">
        <f t="shared" si="2185"/>
        <v>46293</v>
      </c>
      <c r="VR317" s="56"/>
      <c r="VS317" s="242">
        <f>SUMPRODUCT(PRODUCE!$B316:$DY316,PRODUCE!$EB$57:$IY$57)</f>
        <v>0</v>
      </c>
      <c r="VT317" s="56"/>
      <c r="VU317" s="242">
        <f t="shared" si="2186"/>
        <v>0</v>
      </c>
      <c r="VV317" s="242">
        <f t="shared" si="2187"/>
        <v>0</v>
      </c>
      <c r="VW317" s="56"/>
      <c r="VZ317" s="55">
        <f t="shared" si="2188"/>
        <v>46293</v>
      </c>
      <c r="WA317" s="56"/>
      <c r="WB317" s="242">
        <f>SUMPRODUCT(PRODUCE!$B316:$DY316,PRODUCE!$EB$57:$IY$57)</f>
        <v>0</v>
      </c>
      <c r="WC317" s="56"/>
      <c r="WD317" s="242">
        <f t="shared" si="2189"/>
        <v>0</v>
      </c>
      <c r="WE317" s="242">
        <f t="shared" si="2190"/>
        <v>0</v>
      </c>
      <c r="WF317" s="56"/>
      <c r="WI317" s="55">
        <f t="shared" si="2191"/>
        <v>46293</v>
      </c>
      <c r="WJ317" s="56"/>
      <c r="WK317" s="242">
        <f>SUMPRODUCT(PRODUCE!$B316:$DY316,PRODUCE!$EB$57:$IY$57)</f>
        <v>0</v>
      </c>
      <c r="WL317" s="56"/>
      <c r="WM317" s="242">
        <f t="shared" si="2192"/>
        <v>0</v>
      </c>
      <c r="WN317" s="242">
        <f t="shared" si="2193"/>
        <v>1057</v>
      </c>
      <c r="WO317" s="56"/>
      <c r="WR317" s="55">
        <f t="shared" si="2194"/>
        <v>46293</v>
      </c>
      <c r="WS317" s="56"/>
      <c r="WT317" s="242">
        <f>SUMPRODUCT(PRODUCE!$B316:$DY316,PRODUCE!$EB$57:$IY$57)</f>
        <v>0</v>
      </c>
      <c r="WU317" s="56"/>
      <c r="WV317" s="242">
        <f t="shared" si="2195"/>
        <v>0</v>
      </c>
      <c r="WW317" s="242">
        <f t="shared" si="2196"/>
        <v>0</v>
      </c>
      <c r="WX317" s="56"/>
      <c r="XA317" s="55">
        <f t="shared" si="2197"/>
        <v>46293</v>
      </c>
      <c r="XB317" s="56"/>
      <c r="XC317" s="242">
        <f>SUMPRODUCT(PRODUCE!$B316:$DY316,PRODUCE!$EB$57:$IY$57)</f>
        <v>0</v>
      </c>
      <c r="XD317" s="56"/>
      <c r="XE317" s="242">
        <f t="shared" si="2198"/>
        <v>0</v>
      </c>
      <c r="XF317" s="242">
        <f t="shared" si="2199"/>
        <v>7507</v>
      </c>
      <c r="XG317" s="56"/>
      <c r="XJ317" s="55">
        <f t="shared" si="2200"/>
        <v>46293</v>
      </c>
      <c r="XK317" s="56"/>
      <c r="XL317" s="242">
        <f>SUMPRODUCT(PRODUCE!$B316:$DY316,PRODUCE!$EB$57:$IY$57)</f>
        <v>0</v>
      </c>
      <c r="XM317" s="56"/>
      <c r="XN317" s="242">
        <f t="shared" si="2201"/>
        <v>0</v>
      </c>
      <c r="XO317" s="242">
        <f t="shared" si="2202"/>
        <v>4252</v>
      </c>
      <c r="XP317" s="56"/>
      <c r="XS317" s="55">
        <f t="shared" si="2203"/>
        <v>46293</v>
      </c>
      <c r="XT317" s="56"/>
      <c r="XU317" s="242">
        <f>SUMPRODUCT(PRODUCE!$B316:$DY316,PRODUCE!$EB$57:$IY$57)</f>
        <v>0</v>
      </c>
      <c r="XV317" s="56"/>
      <c r="XW317" s="242">
        <f t="shared" si="2204"/>
        <v>0</v>
      </c>
      <c r="XX317" s="242">
        <f t="shared" si="2205"/>
        <v>2179</v>
      </c>
      <c r="XY317" s="56"/>
      <c r="YB317" s="55">
        <f t="shared" si="2206"/>
        <v>46293</v>
      </c>
      <c r="YC317" s="56"/>
      <c r="YD317" s="242">
        <f>SUMPRODUCT(PRODUCE!$B316:$DY316,PRODUCE!$EB$57:$IY$57)</f>
        <v>0</v>
      </c>
      <c r="YE317" s="56"/>
      <c r="YF317" s="242">
        <f t="shared" si="2207"/>
        <v>0</v>
      </c>
      <c r="YG317" s="242">
        <f t="shared" si="2208"/>
        <v>4019</v>
      </c>
      <c r="YH317" s="56"/>
      <c r="YK317" s="55">
        <f t="shared" si="2209"/>
        <v>46293</v>
      </c>
      <c r="YL317" s="56"/>
      <c r="YM317" s="242">
        <f>SUMPRODUCT(PRODUCE!$B316:$DY316,PRODUCE!$EB$57:$IY$57)</f>
        <v>0</v>
      </c>
      <c r="YN317" s="56"/>
      <c r="YO317" s="242">
        <f t="shared" si="2210"/>
        <v>0</v>
      </c>
      <c r="YP317" s="242">
        <f t="shared" si="2211"/>
        <v>-218</v>
      </c>
      <c r="YQ317" s="56"/>
      <c r="YT317" s="55">
        <f t="shared" si="2212"/>
        <v>46293</v>
      </c>
      <c r="YU317" s="56"/>
      <c r="YV317" s="242">
        <f>SUMPRODUCT(PRODUCE!$B316:$DY316,PRODUCE!$EB$57:$IY$57)</f>
        <v>0</v>
      </c>
      <c r="YW317" s="56"/>
      <c r="YX317" s="242">
        <f t="shared" si="2213"/>
        <v>0</v>
      </c>
      <c r="YY317" s="242">
        <f t="shared" si="2214"/>
        <v>0</v>
      </c>
      <c r="YZ317" s="56"/>
      <c r="ZC317" s="55">
        <f t="shared" si="2215"/>
        <v>46293</v>
      </c>
      <c r="ZD317" s="56"/>
      <c r="ZE317" s="242">
        <f>SUMPRODUCT(PRODUCE!$B316:$DY316,PRODUCE!$EB$57:$IY$57)</f>
        <v>0</v>
      </c>
      <c r="ZF317" s="56"/>
      <c r="ZG317" s="242">
        <f t="shared" si="2216"/>
        <v>0</v>
      </c>
      <c r="ZH317" s="242">
        <f t="shared" si="2217"/>
        <v>0</v>
      </c>
      <c r="ZI317" s="56"/>
      <c r="ZL317" s="55">
        <f t="shared" si="2218"/>
        <v>46293</v>
      </c>
      <c r="ZM317" s="56"/>
      <c r="ZN317" s="242">
        <f>SUMPRODUCT(PRODUCE!$B316:$DY316,PRODUCE!$EB$57:$IY$57)</f>
        <v>0</v>
      </c>
      <c r="ZO317" s="56"/>
      <c r="ZP317" s="242">
        <f t="shared" si="2219"/>
        <v>0</v>
      </c>
      <c r="ZQ317" s="242">
        <f t="shared" si="2220"/>
        <v>0</v>
      </c>
      <c r="ZR317" s="56"/>
      <c r="ZU317" s="55">
        <f t="shared" si="2221"/>
        <v>46293</v>
      </c>
      <c r="ZV317" s="56"/>
      <c r="ZW317" s="242">
        <f>SUMPRODUCT(PRODUCE!$B316:$DY316,PRODUCE!$EB$57:$IY$57)</f>
        <v>0</v>
      </c>
      <c r="ZX317" s="56"/>
      <c r="ZY317" s="242">
        <f t="shared" si="2222"/>
        <v>0</v>
      </c>
      <c r="ZZ317" s="242">
        <f t="shared" si="2223"/>
        <v>0</v>
      </c>
      <c r="AAA317" s="56"/>
      <c r="AAD317" s="55">
        <f t="shared" si="2224"/>
        <v>46293</v>
      </c>
      <c r="AAE317" s="56"/>
      <c r="AAF317" s="242">
        <f>SUMPRODUCT(PRODUCE!$B316:$DY316,PRODUCE!$EB$57:$IY$57)</f>
        <v>0</v>
      </c>
      <c r="AAG317" s="56"/>
      <c r="AAH317" s="242">
        <f t="shared" si="2225"/>
        <v>0</v>
      </c>
      <c r="AAI317" s="242">
        <f t="shared" si="2226"/>
        <v>0</v>
      </c>
      <c r="AAJ317" s="56"/>
      <c r="AAM317" s="55">
        <f t="shared" si="2227"/>
        <v>46293</v>
      </c>
      <c r="AAN317" s="56"/>
      <c r="AAO317" s="242">
        <f>SUMPRODUCT(PRODUCE!$B316:$DY316,PRODUCE!$EB$57:$IY$57)</f>
        <v>0</v>
      </c>
      <c r="AAP317" s="56"/>
      <c r="AAQ317" s="242">
        <f t="shared" si="2228"/>
        <v>0</v>
      </c>
      <c r="AAR317" s="242">
        <f t="shared" si="2229"/>
        <v>0</v>
      </c>
      <c r="AAS317" s="56"/>
      <c r="AAV317" s="55">
        <f t="shared" si="2230"/>
        <v>46293</v>
      </c>
      <c r="AAW317" s="56"/>
      <c r="AAX317" s="242">
        <f>SUMPRODUCT(PRODUCE!$B316:$DY316,PRODUCE!$EB$57:$IY$57)</f>
        <v>0</v>
      </c>
      <c r="AAY317" s="56"/>
      <c r="AAZ317" s="242">
        <f t="shared" si="2231"/>
        <v>0</v>
      </c>
      <c r="ABA317" s="242">
        <f t="shared" si="2232"/>
        <v>0</v>
      </c>
      <c r="ABB317" s="56"/>
      <c r="ABE317" s="55">
        <f t="shared" si="2233"/>
        <v>46293</v>
      </c>
      <c r="ABF317" s="56"/>
      <c r="ABG317" s="242">
        <f>SUMPRODUCT(PRODUCE!$B316:$DY316,PRODUCE!$EB$57:$IY$57)</f>
        <v>0</v>
      </c>
      <c r="ABH317" s="56"/>
      <c r="ABI317" s="242">
        <f t="shared" si="2234"/>
        <v>0</v>
      </c>
      <c r="ABJ317" s="242">
        <f t="shared" si="2235"/>
        <v>0</v>
      </c>
      <c r="ABK317" s="56"/>
    </row>
    <row r="318" spans="2:739" s="54" customFormat="1" ht="15" customHeight="1" outlineLevel="1">
      <c r="B318" s="478"/>
      <c r="C318" s="55">
        <v>46294</v>
      </c>
      <c r="D318" s="56"/>
      <c r="E318" s="57">
        <f>SUMPRODUCT(PRODUCE!$B317:$DY317,PRODUCE!$EB$7:$IY$7)</f>
        <v>0</v>
      </c>
      <c r="F318" s="56"/>
      <c r="G318" s="57">
        <f t="shared" si="1992"/>
        <v>0</v>
      </c>
      <c r="H318" s="57">
        <f t="shared" si="1993"/>
        <v>236936.6</v>
      </c>
      <c r="I318" s="289"/>
      <c r="L318" s="55">
        <f t="shared" si="1994"/>
        <v>46294</v>
      </c>
      <c r="M318" s="56"/>
      <c r="N318" s="59">
        <f>SUMPRODUCT(PRODUCE!$B317:$DY317,PRODUCE!$EB$8:$IY$8)</f>
        <v>0</v>
      </c>
      <c r="O318" s="56"/>
      <c r="P318" s="59">
        <f t="shared" si="1995"/>
        <v>0</v>
      </c>
      <c r="Q318" s="59">
        <f t="shared" si="1996"/>
        <v>53017.600000000071</v>
      </c>
      <c r="R318" s="56"/>
      <c r="U318" s="55">
        <f t="shared" si="1997"/>
        <v>46294</v>
      </c>
      <c r="V318" s="56"/>
      <c r="W318" s="60">
        <f>SUMPRODUCT(PRODUCE!$B317:$DY317,PRODUCE!$EB$9:$IY$9)</f>
        <v>0</v>
      </c>
      <c r="X318" s="56"/>
      <c r="Y318" s="60">
        <f t="shared" si="1998"/>
        <v>0</v>
      </c>
      <c r="Z318" s="60">
        <f t="shared" si="1999"/>
        <v>42674.199999999968</v>
      </c>
      <c r="AA318" s="56"/>
      <c r="AD318" s="55">
        <f t="shared" si="2000"/>
        <v>46294</v>
      </c>
      <c r="AE318" s="56"/>
      <c r="AF318" s="61">
        <f>SUMPRODUCT(PRODUCE!$B317:$DY317,PRODUCE!$EB$10:$IY$10)</f>
        <v>0</v>
      </c>
      <c r="AG318" s="56"/>
      <c r="AH318" s="61">
        <f t="shared" si="2001"/>
        <v>0</v>
      </c>
      <c r="AI318" s="61">
        <f t="shared" si="2002"/>
        <v>4522.2000000000189</v>
      </c>
      <c r="AJ318" s="56"/>
      <c r="AM318" s="55">
        <f t="shared" si="2003"/>
        <v>46294</v>
      </c>
      <c r="AN318" s="422"/>
      <c r="AO318" s="444">
        <f>SUMPRODUCT(PRODUCE!$B317:$DY317,PRODUCE!$EB$11:$IY$11)</f>
        <v>0</v>
      </c>
      <c r="AP318" s="422"/>
      <c r="AQ318" s="444">
        <f t="shared" si="2004"/>
        <v>0</v>
      </c>
      <c r="AR318" s="444">
        <f t="shared" si="2005"/>
        <v>0</v>
      </c>
      <c r="AS318" s="56"/>
      <c r="AV318" s="55">
        <f t="shared" si="2006"/>
        <v>46294</v>
      </c>
      <c r="AW318" s="56"/>
      <c r="AX318" s="62">
        <f>SUMPRODUCT(PRODUCE!$B317:$DY317,PRODUCE!$EB$12:$IY$12)</f>
        <v>0</v>
      </c>
      <c r="AY318" s="56"/>
      <c r="AZ318" s="62">
        <f t="shared" si="2007"/>
        <v>0</v>
      </c>
      <c r="BA318" s="62">
        <f t="shared" si="2008"/>
        <v>124.99999999999523</v>
      </c>
      <c r="BB318" s="56"/>
      <c r="BE318" s="55">
        <f t="shared" si="2009"/>
        <v>46294</v>
      </c>
      <c r="BF318" s="56"/>
      <c r="BG318" s="63">
        <f>SUMPRODUCT(PRODUCE!$B317:$DY317,PRODUCE!$EB$13:$IY$13)</f>
        <v>0</v>
      </c>
      <c r="BH318" s="56"/>
      <c r="BI318" s="63">
        <f t="shared" si="2010"/>
        <v>0</v>
      </c>
      <c r="BJ318" s="63">
        <f t="shared" si="2011"/>
        <v>26151.899999999998</v>
      </c>
      <c r="BK318" s="56"/>
      <c r="BN318" s="55">
        <f t="shared" si="2012"/>
        <v>46294</v>
      </c>
      <c r="BO318" s="56"/>
      <c r="BP318" s="64">
        <f>SUMPRODUCT(PRODUCE!$B317:$DY317,PRODUCE!$EB$14:$IY$14)</f>
        <v>0</v>
      </c>
      <c r="BQ318" s="56"/>
      <c r="BR318" s="64">
        <f t="shared" si="2013"/>
        <v>0</v>
      </c>
      <c r="BS318" s="64">
        <f t="shared" si="2014"/>
        <v>0</v>
      </c>
      <c r="BT318" s="56"/>
      <c r="BW318" s="55">
        <f t="shared" si="2015"/>
        <v>46294</v>
      </c>
      <c r="BX318" s="56"/>
      <c r="BY318" s="65">
        <f>SUMPRODUCT(PRODUCE!$B317:$DY317,PRODUCE!$EB$15:$IY$15)</f>
        <v>0</v>
      </c>
      <c r="BZ318" s="56"/>
      <c r="CA318" s="65">
        <f t="shared" si="2016"/>
        <v>0</v>
      </c>
      <c r="CB318" s="65">
        <f t="shared" si="2017"/>
        <v>2097.3399999999992</v>
      </c>
      <c r="CC318" s="56"/>
      <c r="CF318" s="55">
        <f t="shared" si="2018"/>
        <v>46294</v>
      </c>
      <c r="CG318" s="56"/>
      <c r="CH318" s="66">
        <f>SUMPRODUCT(PRODUCE!$B317:$DY317,PRODUCE!$EB$16:$IY$16)</f>
        <v>0</v>
      </c>
      <c r="CI318" s="56"/>
      <c r="CJ318" s="66">
        <f t="shared" si="2019"/>
        <v>0</v>
      </c>
      <c r="CK318" s="66">
        <f t="shared" si="2020"/>
        <v>-10277.079999999998</v>
      </c>
      <c r="CL318" s="56"/>
      <c r="CO318" s="55">
        <f t="shared" si="2021"/>
        <v>46294</v>
      </c>
      <c r="CP318" s="422"/>
      <c r="CQ318" s="470">
        <f>SUMPRODUCT(PRODUCE!$B317:$DY317,PRODUCE!$EB$17:$IY$17)</f>
        <v>0</v>
      </c>
      <c r="CR318" s="422"/>
      <c r="CS318" s="470">
        <f t="shared" si="2022"/>
        <v>0</v>
      </c>
      <c r="CT318" s="470">
        <f t="shared" si="2023"/>
        <v>0</v>
      </c>
      <c r="CU318" s="56"/>
      <c r="CX318" s="55">
        <f t="shared" si="2024"/>
        <v>46294</v>
      </c>
      <c r="CY318" s="56"/>
      <c r="CZ318" s="133">
        <f>SUMPRODUCT(PRODUCE!$B317:$DY317,PRODUCE!$EB$18:$IY$18)</f>
        <v>0</v>
      </c>
      <c r="DA318" s="56"/>
      <c r="DB318" s="133">
        <f t="shared" si="2025"/>
        <v>0</v>
      </c>
      <c r="DC318" s="133">
        <f t="shared" si="2026"/>
        <v>27438.200000000012</v>
      </c>
      <c r="DD318" s="56"/>
      <c r="DG318" s="55">
        <f t="shared" si="2027"/>
        <v>46294</v>
      </c>
      <c r="DH318" s="56"/>
      <c r="DI318" s="147">
        <f>SUMPRODUCT(PRODUCE!$B317:$DY317,PRODUCE!$EB$19:$IY$19)</f>
        <v>0</v>
      </c>
      <c r="DJ318" s="56"/>
      <c r="DK318" s="147">
        <f t="shared" si="2028"/>
        <v>0</v>
      </c>
      <c r="DL318" s="147">
        <f t="shared" si="2029"/>
        <v>18782.299999999981</v>
      </c>
      <c r="DM318" s="56"/>
      <c r="DP318" s="55">
        <f t="shared" si="2030"/>
        <v>46294</v>
      </c>
      <c r="DQ318" s="56"/>
      <c r="DR318" s="57">
        <f>SUMPRODUCT(PRODUCE!$B317:$DY317,PRODUCE!$EB$20:$IY$20)</f>
        <v>0</v>
      </c>
      <c r="DS318" s="56"/>
      <c r="DT318" s="57">
        <f t="shared" si="2031"/>
        <v>0</v>
      </c>
      <c r="DU318" s="57">
        <f t="shared" si="2032"/>
        <v>5800</v>
      </c>
      <c r="DV318" s="56"/>
      <c r="DY318" s="55">
        <f t="shared" si="2033"/>
        <v>46294</v>
      </c>
      <c r="DZ318" s="56"/>
      <c r="EA318" s="157">
        <f>SUMPRODUCT(PRODUCE!$B317:$DY317,PRODUCE!$EB$21:$IY$21)</f>
        <v>0</v>
      </c>
      <c r="EB318" s="56"/>
      <c r="EC318" s="157">
        <f t="shared" si="2034"/>
        <v>0</v>
      </c>
      <c r="ED318" s="157">
        <f t="shared" si="2035"/>
        <v>0</v>
      </c>
      <c r="EE318" s="56"/>
      <c r="EH318" s="55">
        <f t="shared" si="2036"/>
        <v>46294</v>
      </c>
      <c r="EI318" s="56"/>
      <c r="EJ318" s="162">
        <f>SUMPRODUCT(PRODUCE!$B317:$DY317,PRODUCE!$EB$22:$IY$22)</f>
        <v>0</v>
      </c>
      <c r="EK318" s="56"/>
      <c r="EL318" s="162">
        <f t="shared" si="2037"/>
        <v>0</v>
      </c>
      <c r="EM318" s="162">
        <f t="shared" si="2038"/>
        <v>0</v>
      </c>
      <c r="EN318" s="56"/>
      <c r="EQ318" s="55">
        <f t="shared" si="2039"/>
        <v>46294</v>
      </c>
      <c r="ER318" s="56"/>
      <c r="ES318" s="135">
        <f>SUMPRODUCT(PRODUCE!$B317:$DY317,PRODUCE!$EB$23:$IY$23)</f>
        <v>0</v>
      </c>
      <c r="ET318" s="56"/>
      <c r="EU318" s="135">
        <f t="shared" si="2040"/>
        <v>0</v>
      </c>
      <c r="EV318" s="135">
        <f t="shared" si="2041"/>
        <v>0</v>
      </c>
      <c r="EW318" s="56"/>
      <c r="EZ318" s="55">
        <f t="shared" si="2042"/>
        <v>46294</v>
      </c>
      <c r="FA318" s="56"/>
      <c r="FB318" s="175">
        <f>SUMPRODUCT(PRODUCE!$B317:$DY317,PRODUCE!$EB$24:$IY$24)</f>
        <v>0</v>
      </c>
      <c r="FC318" s="56"/>
      <c r="FD318" s="175">
        <f t="shared" si="2043"/>
        <v>0</v>
      </c>
      <c r="FE318" s="175">
        <f t="shared" si="2044"/>
        <v>0</v>
      </c>
      <c r="FF318" s="56"/>
      <c r="FI318" s="55">
        <f t="shared" si="2045"/>
        <v>46294</v>
      </c>
      <c r="FJ318" s="56"/>
      <c r="FK318" s="183">
        <f>SUMPRODUCT(PRODUCE!$B317:$DY317,PRODUCE!$EB$25:$IY$25)</f>
        <v>0</v>
      </c>
      <c r="FL318" s="56"/>
      <c r="FM318" s="183">
        <f t="shared" si="2046"/>
        <v>0</v>
      </c>
      <c r="FN318" s="183">
        <f t="shared" si="2047"/>
        <v>0</v>
      </c>
      <c r="FO318" s="56"/>
      <c r="FR318" s="55">
        <f t="shared" si="2048"/>
        <v>46294</v>
      </c>
      <c r="FS318" s="56"/>
      <c r="FT318" s="186">
        <f>SUMPRODUCT(PRODUCE!$B317:$DY317,PRODUCE!$EB$26:$IY$26)</f>
        <v>0</v>
      </c>
      <c r="FU318" s="56"/>
      <c r="FV318" s="186">
        <f t="shared" si="2049"/>
        <v>0</v>
      </c>
      <c r="FW318" s="186">
        <f t="shared" si="2050"/>
        <v>2020</v>
      </c>
      <c r="FX318" s="56"/>
      <c r="GA318" s="55">
        <f t="shared" si="2051"/>
        <v>46294</v>
      </c>
      <c r="GB318" s="56"/>
      <c r="GC318" s="137">
        <f>SUMPRODUCT(PRODUCE!$B317:$DY317,PRODUCE!$EB$27:$IY$27)</f>
        <v>0</v>
      </c>
      <c r="GD318" s="56"/>
      <c r="GE318" s="137">
        <f t="shared" si="2052"/>
        <v>0</v>
      </c>
      <c r="GF318" s="137">
        <f t="shared" si="2053"/>
        <v>960</v>
      </c>
      <c r="GG318" s="56"/>
      <c r="GI318" s="23"/>
      <c r="GJ318" s="55">
        <f t="shared" si="2054"/>
        <v>46294</v>
      </c>
      <c r="GK318" s="56"/>
      <c r="GL318" s="199">
        <f>SUMPRODUCT(PRODUCE!$B317:$DY317,PRODUCE!$EB$28:$IY$28)</f>
        <v>0</v>
      </c>
      <c r="GM318" s="56"/>
      <c r="GN318" s="199">
        <f t="shared" si="2055"/>
        <v>0</v>
      </c>
      <c r="GO318" s="199">
        <f t="shared" si="2056"/>
        <v>1760</v>
      </c>
      <c r="GP318" s="56"/>
      <c r="GS318" s="55">
        <f t="shared" si="2057"/>
        <v>46294</v>
      </c>
      <c r="GT318" s="56"/>
      <c r="GU318" s="195">
        <f>SUMPRODUCT(PRODUCE!$B317:$DY317,PRODUCE!$EB$29:$IY$29)</f>
        <v>0</v>
      </c>
      <c r="GV318" s="56"/>
      <c r="GW318" s="195">
        <f t="shared" si="2058"/>
        <v>0</v>
      </c>
      <c r="GX318" s="195">
        <f t="shared" si="2059"/>
        <v>400</v>
      </c>
      <c r="GY318" s="56"/>
      <c r="HB318" s="55">
        <f t="shared" si="2060"/>
        <v>46294</v>
      </c>
      <c r="HC318" s="56"/>
      <c r="HD318" s="191">
        <f>SUMPRODUCT(PRODUCE!$B317:$DY317,PRODUCE!$EB$30:$IY$30)</f>
        <v>0</v>
      </c>
      <c r="HE318" s="56"/>
      <c r="HF318" s="191">
        <f t="shared" si="2061"/>
        <v>0</v>
      </c>
      <c r="HG318" s="191">
        <f t="shared" si="2062"/>
        <v>3600</v>
      </c>
      <c r="HH318" s="56"/>
      <c r="HK318" s="55">
        <f t="shared" si="2063"/>
        <v>46294</v>
      </c>
      <c r="HL318" s="56"/>
      <c r="HM318" s="63">
        <f>SUMPRODUCT(PRODUCE!$B317:$DY317,PRODUCE!$EB$31:$IY$31)</f>
        <v>0</v>
      </c>
      <c r="HN318" s="56"/>
      <c r="HO318" s="63">
        <f t="shared" si="2064"/>
        <v>0</v>
      </c>
      <c r="HP318" s="63">
        <f t="shared" si="2065"/>
        <v>0</v>
      </c>
      <c r="HQ318" s="56"/>
      <c r="HU318" s="55">
        <f t="shared" si="2066"/>
        <v>46294</v>
      </c>
      <c r="HV318" s="56"/>
      <c r="HW318" s="242">
        <f>SUMPRODUCT(PRODUCE!$B317:$DY317,PRODUCE!$EB$32:$IY$32)</f>
        <v>0</v>
      </c>
      <c r="HX318" s="56"/>
      <c r="HY318" s="242">
        <f t="shared" si="2236"/>
        <v>0</v>
      </c>
      <c r="HZ318" s="242">
        <f t="shared" si="2067"/>
        <v>6120</v>
      </c>
      <c r="IA318" s="56"/>
      <c r="ID318" s="55">
        <f t="shared" si="2068"/>
        <v>46294</v>
      </c>
      <c r="IE318" s="56"/>
      <c r="IF318" s="242">
        <f>SUMPRODUCT(PRODUCE!$B317:$DY317,PRODUCE!$EB$33:$IY$33)</f>
        <v>0</v>
      </c>
      <c r="IG318" s="56"/>
      <c r="IH318" s="242">
        <f t="shared" si="2069"/>
        <v>0</v>
      </c>
      <c r="II318" s="242">
        <f t="shared" si="2070"/>
        <v>0</v>
      </c>
      <c r="IJ318" s="56"/>
      <c r="IM318" s="55">
        <f t="shared" si="2071"/>
        <v>46294</v>
      </c>
      <c r="IN318" s="56"/>
      <c r="IO318" s="242">
        <f>SUMPRODUCT(PRODUCE!$B317:$DY317,PRODUCE!$EB$34:$IY$34)</f>
        <v>0</v>
      </c>
      <c r="IP318" s="56"/>
      <c r="IQ318" s="242">
        <f t="shared" si="2072"/>
        <v>0</v>
      </c>
      <c r="IR318" s="242">
        <f t="shared" si="2073"/>
        <v>0</v>
      </c>
      <c r="IS318" s="56"/>
      <c r="IV318" s="55">
        <f t="shared" si="2074"/>
        <v>46294</v>
      </c>
      <c r="IW318" s="56"/>
      <c r="IX318" s="242">
        <f>SUMPRODUCT(PRODUCE!$B317:$DY317,PRODUCE!$EB$35:$IY$35)</f>
        <v>0</v>
      </c>
      <c r="IY318" s="56"/>
      <c r="IZ318" s="242">
        <f t="shared" si="2075"/>
        <v>0</v>
      </c>
      <c r="JA318" s="242">
        <f t="shared" si="2076"/>
        <v>2820</v>
      </c>
      <c r="JB318" s="56"/>
      <c r="JE318" s="55">
        <f t="shared" si="2077"/>
        <v>46294</v>
      </c>
      <c r="JF318" s="56"/>
      <c r="JG318" s="242">
        <f>SUMPRODUCT(PRODUCE!$B317:$DY317,PRODUCE!$EB$36:$IY$36)</f>
        <v>0</v>
      </c>
      <c r="JH318" s="56"/>
      <c r="JI318" s="242">
        <f t="shared" si="2078"/>
        <v>0</v>
      </c>
      <c r="JJ318" s="242">
        <f t="shared" si="2079"/>
        <v>0</v>
      </c>
      <c r="JK318" s="56"/>
      <c r="JN318" s="55">
        <f t="shared" si="2080"/>
        <v>46294</v>
      </c>
      <c r="JO318" s="56"/>
      <c r="JP318" s="242">
        <f>SUMPRODUCT(PRODUCE!$B317:$DY317,PRODUCE!$EB$37:$IY$37)</f>
        <v>0</v>
      </c>
      <c r="JQ318" s="56"/>
      <c r="JR318" s="242">
        <f t="shared" si="2081"/>
        <v>0</v>
      </c>
      <c r="JS318" s="242">
        <f t="shared" si="2082"/>
        <v>0</v>
      </c>
      <c r="JT318" s="56"/>
      <c r="JW318" s="55">
        <f t="shared" si="2083"/>
        <v>46294</v>
      </c>
      <c r="JX318" s="56"/>
      <c r="JY318" s="242">
        <f>SUMPRODUCT(PRODUCE!$B317:$DY317,PRODUCE!$EB$38:$IY$38)</f>
        <v>0</v>
      </c>
      <c r="JZ318" s="56"/>
      <c r="KA318" s="242">
        <f t="shared" si="2084"/>
        <v>0</v>
      </c>
      <c r="KB318" s="242">
        <f t="shared" si="2085"/>
        <v>2540</v>
      </c>
      <c r="KC318" s="56"/>
      <c r="KF318" s="55">
        <f t="shared" si="2086"/>
        <v>46294</v>
      </c>
      <c r="KG318" s="56"/>
      <c r="KH318" s="242">
        <f>SUMPRODUCT(PRODUCE!$B317:$DY317,PRODUCE!$EB$39:$IY$39)</f>
        <v>0</v>
      </c>
      <c r="KI318" s="56"/>
      <c r="KJ318" s="242">
        <f t="shared" si="2087"/>
        <v>0</v>
      </c>
      <c r="KK318" s="242">
        <f t="shared" si="2088"/>
        <v>2359.5</v>
      </c>
      <c r="KL318" s="56"/>
      <c r="KO318" s="55">
        <f t="shared" si="2089"/>
        <v>46294</v>
      </c>
      <c r="KP318" s="56"/>
      <c r="KQ318" s="242">
        <f>SUMPRODUCT(PRODUCE!$B317:$DY317,PRODUCE!$EB$40:$IY$40)</f>
        <v>0</v>
      </c>
      <c r="KR318" s="56"/>
      <c r="KS318" s="242">
        <f t="shared" si="2090"/>
        <v>0</v>
      </c>
      <c r="KT318" s="242">
        <f t="shared" si="2091"/>
        <v>1890</v>
      </c>
      <c r="KU318" s="56"/>
      <c r="KW318" s="23"/>
      <c r="KX318" s="55">
        <f t="shared" si="2092"/>
        <v>46294</v>
      </c>
      <c r="KY318" s="56"/>
      <c r="KZ318" s="242">
        <f>SUMPRODUCT(PRODUCE!$B317:$DY317,PRODUCE!$EB$41:$IY$41)</f>
        <v>0</v>
      </c>
      <c r="LA318" s="56"/>
      <c r="LB318" s="242">
        <f t="shared" si="2093"/>
        <v>0</v>
      </c>
      <c r="LC318" s="242">
        <f t="shared" si="2094"/>
        <v>3690</v>
      </c>
      <c r="LD318" s="56"/>
      <c r="LG318" s="55">
        <f t="shared" si="2095"/>
        <v>46294</v>
      </c>
      <c r="LH318" s="56"/>
      <c r="LI318" s="242">
        <f>SUMPRODUCT(PRODUCE!$B317:$DY317,PRODUCE!$EB$42:$IY$42)</f>
        <v>0</v>
      </c>
      <c r="LJ318" s="56"/>
      <c r="LK318" s="242">
        <f t="shared" si="2096"/>
        <v>0</v>
      </c>
      <c r="LL318" s="242">
        <f t="shared" si="2097"/>
        <v>4000</v>
      </c>
      <c r="LM318" s="56"/>
      <c r="LP318" s="55">
        <f t="shared" si="2098"/>
        <v>46294</v>
      </c>
      <c r="LQ318" s="56"/>
      <c r="LR318" s="242">
        <f>SUMPRODUCT(PRODUCE!$B333:$DY333,PRODUCE!$EB$43:$IY$43)</f>
        <v>0</v>
      </c>
      <c r="LS318" s="56"/>
      <c r="LT318" s="242">
        <f t="shared" si="2099"/>
        <v>0</v>
      </c>
      <c r="LU318" s="242">
        <f t="shared" si="2100"/>
        <v>0</v>
      </c>
      <c r="LV318" s="56"/>
      <c r="LY318" s="55">
        <f t="shared" si="2101"/>
        <v>46294</v>
      </c>
      <c r="LZ318" s="56"/>
      <c r="MA318" s="242">
        <f>SUMPRODUCT(PRODUCE!$B317:$DY317,PRODUCE!$EB$44:$IY$44)</f>
        <v>0</v>
      </c>
      <c r="MB318" s="56"/>
      <c r="MC318" s="242">
        <f t="shared" si="2102"/>
        <v>0</v>
      </c>
      <c r="MD318" s="242">
        <f t="shared" si="2103"/>
        <v>0</v>
      </c>
      <c r="ME318" s="56"/>
      <c r="MH318" s="55">
        <f t="shared" si="2104"/>
        <v>46294</v>
      </c>
      <c r="MI318" s="56"/>
      <c r="MJ318" s="242">
        <f>SUMPRODUCT(PRODUCE!$B317:$DY317,PRODUCE!$EB$45:$IY$45)</f>
        <v>0</v>
      </c>
      <c r="MK318" s="56"/>
      <c r="ML318" s="242">
        <f t="shared" si="2105"/>
        <v>0</v>
      </c>
      <c r="MM318" s="242">
        <f t="shared" si="2106"/>
        <v>0</v>
      </c>
      <c r="MN318" s="56"/>
      <c r="MQ318" s="55">
        <f t="shared" si="2107"/>
        <v>46294</v>
      </c>
      <c r="MR318" s="56"/>
      <c r="MS318" s="242">
        <f>SUMPRODUCT(PRODUCE!$B317:$DY317,PRODUCE!$EB$46:$IY$46)</f>
        <v>0</v>
      </c>
      <c r="MT318" s="56"/>
      <c r="MU318" s="242">
        <f t="shared" si="2108"/>
        <v>0</v>
      </c>
      <c r="MV318" s="242">
        <f t="shared" si="2109"/>
        <v>1625</v>
      </c>
      <c r="MW318" s="56"/>
      <c r="MZ318" s="55">
        <f t="shared" si="2110"/>
        <v>46294</v>
      </c>
      <c r="NA318" s="56"/>
      <c r="NB318" s="242">
        <f>SUMPRODUCT(PRODUCE!$B317:$DY317,PRODUCE!$EB$47:$IY$47)</f>
        <v>0</v>
      </c>
      <c r="NC318" s="56"/>
      <c r="ND318" s="242">
        <f t="shared" si="2111"/>
        <v>0</v>
      </c>
      <c r="NE318" s="242">
        <f t="shared" si="2112"/>
        <v>0</v>
      </c>
      <c r="NF318" s="56"/>
      <c r="NI318" s="55">
        <f t="shared" si="2113"/>
        <v>46294</v>
      </c>
      <c r="NJ318" s="56"/>
      <c r="NK318" s="242">
        <f>SUMPRODUCT(PRODUCE!$B317:$DY317,PRODUCE!$EB$48:$IY$48)</f>
        <v>0</v>
      </c>
      <c r="NL318" s="56"/>
      <c r="NM318" s="242">
        <f t="shared" si="2114"/>
        <v>0</v>
      </c>
      <c r="NN318" s="242">
        <f t="shared" si="2115"/>
        <v>1127</v>
      </c>
      <c r="NO318" s="56"/>
      <c r="NR318" s="55">
        <f t="shared" si="2116"/>
        <v>46294</v>
      </c>
      <c r="NS318" s="56"/>
      <c r="NT318" s="242">
        <f>SUMPRODUCT(PRODUCE!$B317:$DY317,PRODUCE!$EB$49:$IY$49)</f>
        <v>0</v>
      </c>
      <c r="NU318" s="56"/>
      <c r="NV318" s="242">
        <f t="shared" si="2117"/>
        <v>0</v>
      </c>
      <c r="NW318" s="242">
        <f t="shared" si="2118"/>
        <v>3111.9999999999995</v>
      </c>
      <c r="NX318" s="56"/>
      <c r="OA318" s="55">
        <f t="shared" si="2119"/>
        <v>46294</v>
      </c>
      <c r="OB318" s="56"/>
      <c r="OC318" s="242">
        <f>SUMPRODUCT(PRODUCE!$B317:$DY317,PRODUCE!$EB$50:$IY$50)</f>
        <v>0</v>
      </c>
      <c r="OD318" s="56"/>
      <c r="OE318" s="242">
        <f t="shared" si="2120"/>
        <v>0</v>
      </c>
      <c r="OF318" s="242">
        <f t="shared" si="2121"/>
        <v>1680.5</v>
      </c>
      <c r="OG318" s="56"/>
      <c r="OJ318" s="55">
        <f t="shared" si="2122"/>
        <v>46294</v>
      </c>
      <c r="OK318" s="56"/>
      <c r="OL318" s="242">
        <f>SUMPRODUCT(PRODUCE!$B317:$DY317,PRODUCE!$EB$51:$IY$51)</f>
        <v>0</v>
      </c>
      <c r="OM318" s="56"/>
      <c r="ON318" s="242">
        <f t="shared" si="2123"/>
        <v>0</v>
      </c>
      <c r="OO318" s="242">
        <f t="shared" si="2124"/>
        <v>0</v>
      </c>
      <c r="OP318" s="56"/>
      <c r="OS318" s="55">
        <f t="shared" si="2125"/>
        <v>46294</v>
      </c>
      <c r="OT318" s="56"/>
      <c r="OU318" s="242">
        <f>SUMPRODUCT(PRODUCE!$B317:$DY317,PRODUCE!$EB$52:$IY$52)</f>
        <v>0</v>
      </c>
      <c r="OV318" s="56"/>
      <c r="OW318" s="242">
        <f t="shared" si="2126"/>
        <v>0</v>
      </c>
      <c r="OX318" s="242">
        <f t="shared" si="2127"/>
        <v>1482</v>
      </c>
      <c r="OY318" s="56"/>
      <c r="PB318" s="55">
        <f t="shared" si="2128"/>
        <v>46294</v>
      </c>
      <c r="PC318" s="56"/>
      <c r="PD318" s="242">
        <f>SUMPRODUCT(PRODUCE!$B317:$DY317,PRODUCE!$EB$53:$IY$53)</f>
        <v>0</v>
      </c>
      <c r="PE318" s="56"/>
      <c r="PF318" s="242">
        <f t="shared" si="2129"/>
        <v>0</v>
      </c>
      <c r="PG318" s="242">
        <f t="shared" si="2130"/>
        <v>0</v>
      </c>
      <c r="PH318" s="56"/>
      <c r="PK318" s="55">
        <f t="shared" si="2131"/>
        <v>46294</v>
      </c>
      <c r="PL318" s="56"/>
      <c r="PM318" s="242">
        <f>SUMPRODUCT(PRODUCE!$B317:$DY317,PRODUCE!$EB$54:$IY$54)</f>
        <v>0</v>
      </c>
      <c r="PN318" s="56"/>
      <c r="PO318" s="242">
        <f t="shared" si="2132"/>
        <v>0</v>
      </c>
      <c r="PP318" s="242">
        <f t="shared" si="2133"/>
        <v>100</v>
      </c>
      <c r="PQ318" s="56"/>
      <c r="PT318" s="55">
        <f t="shared" si="2134"/>
        <v>46294</v>
      </c>
      <c r="PU318" s="56"/>
      <c r="PV318" s="242">
        <f>SUMPRODUCT(PRODUCE!$B317:$DY317,PRODUCE!$EB$55:$IY$55)</f>
        <v>0</v>
      </c>
      <c r="PW318" s="56"/>
      <c r="PX318" s="242">
        <f t="shared" si="2135"/>
        <v>0</v>
      </c>
      <c r="PY318" s="242">
        <f t="shared" si="2136"/>
        <v>13.960000000000036</v>
      </c>
      <c r="PZ318" s="56"/>
      <c r="QC318" s="55">
        <f t="shared" si="2137"/>
        <v>46294</v>
      </c>
      <c r="QD318" s="56"/>
      <c r="QE318" s="242">
        <f>SUMPRODUCT(PRODUCE!$B317:$DY317,PRODUCE!$EB$56:$IY$56)</f>
        <v>0</v>
      </c>
      <c r="QF318" s="56"/>
      <c r="QG318" s="242">
        <f t="shared" si="2138"/>
        <v>0</v>
      </c>
      <c r="QH318" s="242">
        <f t="shared" si="2139"/>
        <v>548</v>
      </c>
      <c r="QI318" s="56"/>
      <c r="QL318" s="55">
        <f t="shared" si="2140"/>
        <v>46294</v>
      </c>
      <c r="QM318" s="56"/>
      <c r="QN318" s="242">
        <f>SUMPRODUCT(PRODUCE!$B317:$DY317,PRODUCE!$EB$57:$IY$57)</f>
        <v>0</v>
      </c>
      <c r="QO318" s="56"/>
      <c r="QP318" s="242">
        <f t="shared" si="2141"/>
        <v>0</v>
      </c>
      <c r="QQ318" s="242">
        <f t="shared" si="2142"/>
        <v>0</v>
      </c>
      <c r="QR318" s="56"/>
      <c r="QU318" s="55">
        <f t="shared" si="2143"/>
        <v>46294</v>
      </c>
      <c r="QV318" s="56"/>
      <c r="QW318" s="242">
        <f>SUMPRODUCT(PRODUCE!$B317:$DY317,PRODUCE!$EB$57:$IY$57)</f>
        <v>0</v>
      </c>
      <c r="QX318" s="56"/>
      <c r="QY318" s="242">
        <f t="shared" si="2144"/>
        <v>0</v>
      </c>
      <c r="QZ318" s="242">
        <f t="shared" si="2145"/>
        <v>0</v>
      </c>
      <c r="RA318" s="56"/>
      <c r="RD318" s="55">
        <f t="shared" si="2146"/>
        <v>46294</v>
      </c>
      <c r="RE318" s="56"/>
      <c r="RF318" s="242">
        <f>SUMPRODUCT(PRODUCE!$B317:$DY317,PRODUCE!$EB$58:$IY$58)</f>
        <v>0</v>
      </c>
      <c r="RG318" s="56"/>
      <c r="RH318" s="242">
        <f t="shared" si="2147"/>
        <v>0</v>
      </c>
      <c r="RI318" s="242">
        <f t="shared" si="2148"/>
        <v>147.04000000000002</v>
      </c>
      <c r="RJ318" s="56"/>
      <c r="RM318" s="55">
        <f t="shared" si="2149"/>
        <v>46294</v>
      </c>
      <c r="RN318" s="56"/>
      <c r="RO318" s="242">
        <f>SUMPRODUCT(PRODUCE!$B317:$DY317,PRODUCE!$EB$59:$IY$59)</f>
        <v>0</v>
      </c>
      <c r="RP318" s="56"/>
      <c r="RQ318" s="242">
        <f t="shared" si="2150"/>
        <v>0</v>
      </c>
      <c r="RR318" s="242">
        <f t="shared" si="2151"/>
        <v>46.8</v>
      </c>
      <c r="RS318" s="56"/>
      <c r="RV318" s="55">
        <f t="shared" si="2152"/>
        <v>46294</v>
      </c>
      <c r="RW318" s="56"/>
      <c r="RX318" s="242">
        <f>SUMPRODUCT(PRODUCE!$B317:$DY317,PRODUCE!$EB$57:$IY$57)</f>
        <v>0</v>
      </c>
      <c r="RY318" s="56"/>
      <c r="RZ318" s="242">
        <f t="shared" si="2153"/>
        <v>0</v>
      </c>
      <c r="SA318" s="242">
        <f t="shared" si="2154"/>
        <v>0</v>
      </c>
      <c r="SB318" s="56"/>
      <c r="SE318" s="55">
        <f t="shared" si="2155"/>
        <v>46294</v>
      </c>
      <c r="SF318" s="56"/>
      <c r="SG318" s="242">
        <f>SUMPRODUCT(PRODUCE!$B317:$DY317,PRODUCE!$EB$61:$IY$61)</f>
        <v>0</v>
      </c>
      <c r="SH318" s="56"/>
      <c r="SI318" s="242">
        <f t="shared" si="2156"/>
        <v>0</v>
      </c>
      <c r="SJ318" s="242">
        <f t="shared" si="2157"/>
        <v>24.200000000000003</v>
      </c>
      <c r="SK318" s="56"/>
      <c r="SN318" s="55">
        <f t="shared" si="2158"/>
        <v>46294</v>
      </c>
      <c r="SO318" s="56"/>
      <c r="SP318" s="242">
        <f>SUMPRODUCT(PRODUCE!$B317:$DY317,PRODUCE!$EB$57:$IY$57)</f>
        <v>0</v>
      </c>
      <c r="SQ318" s="56"/>
      <c r="SR318" s="242">
        <f t="shared" si="2159"/>
        <v>0</v>
      </c>
      <c r="SS318" s="242">
        <f t="shared" si="2160"/>
        <v>32</v>
      </c>
      <c r="ST318" s="56"/>
      <c r="SW318" s="55">
        <f t="shared" si="2161"/>
        <v>46294</v>
      </c>
      <c r="SX318" s="56"/>
      <c r="SY318" s="242">
        <f>SUMPRODUCT(PRODUCE!$B317:$DY317,PRODUCE!$EB$57:$IY$57)</f>
        <v>0</v>
      </c>
      <c r="SZ318" s="56"/>
      <c r="TA318" s="242">
        <f t="shared" si="2162"/>
        <v>0</v>
      </c>
      <c r="TB318" s="242">
        <f t="shared" si="2163"/>
        <v>0</v>
      </c>
      <c r="TC318" s="56"/>
      <c r="TF318" s="55">
        <f t="shared" si="2164"/>
        <v>46294</v>
      </c>
      <c r="TG318" s="56"/>
      <c r="TH318" s="242">
        <f>SUMPRODUCT(PRODUCE!$B317:$DY317,PRODUCE!$EB$57:$IY$57)</f>
        <v>0</v>
      </c>
      <c r="TI318" s="56"/>
      <c r="TJ318" s="242">
        <f t="shared" si="2165"/>
        <v>0</v>
      </c>
      <c r="TK318" s="242">
        <f t="shared" si="2166"/>
        <v>0</v>
      </c>
      <c r="TL318" s="56"/>
      <c r="TO318" s="55">
        <f t="shared" si="2167"/>
        <v>46294</v>
      </c>
      <c r="TP318" s="56"/>
      <c r="TQ318" s="242">
        <f>SUMPRODUCT(PRODUCE!$B317:$DY317,PRODUCE!$EB$57:$IY$57)</f>
        <v>0</v>
      </c>
      <c r="TR318" s="56"/>
      <c r="TS318" s="242">
        <f t="shared" si="2168"/>
        <v>0</v>
      </c>
      <c r="TT318" s="242">
        <f t="shared" si="2169"/>
        <v>0</v>
      </c>
      <c r="TU318" s="56"/>
      <c r="TX318" s="55">
        <f t="shared" si="2170"/>
        <v>46294</v>
      </c>
      <c r="TY318" s="56"/>
      <c r="TZ318" s="242">
        <f>SUMPRODUCT(PRODUCE!$B317:$DY317,PRODUCE!$EB$57:$IY$57)</f>
        <v>0</v>
      </c>
      <c r="UA318" s="56"/>
      <c r="UB318" s="242">
        <f t="shared" si="2171"/>
        <v>0</v>
      </c>
      <c r="UC318" s="242">
        <f t="shared" si="2172"/>
        <v>46.799999999999983</v>
      </c>
      <c r="UD318" s="56"/>
      <c r="UG318" s="55">
        <f t="shared" si="2173"/>
        <v>46294</v>
      </c>
      <c r="UH318" s="56"/>
      <c r="UI318" s="242">
        <f>SUMPRODUCT(PRODUCE!$B317:$DY317,PRODUCE!$EB$57:$IY$57)</f>
        <v>0</v>
      </c>
      <c r="UJ318" s="56"/>
      <c r="UK318" s="242">
        <f t="shared" si="2174"/>
        <v>0</v>
      </c>
      <c r="UL318" s="242">
        <f t="shared" si="2175"/>
        <v>204</v>
      </c>
      <c r="UM318" s="56"/>
      <c r="UP318" s="55">
        <f t="shared" si="2176"/>
        <v>46294</v>
      </c>
      <c r="UQ318" s="56"/>
      <c r="UR318" s="242">
        <f>SUMPRODUCT(PRODUCE!$B317:$DY317,PRODUCE!$EB$57:$IY$57)</f>
        <v>0</v>
      </c>
      <c r="US318" s="56"/>
      <c r="UT318" s="242">
        <f t="shared" si="2177"/>
        <v>0</v>
      </c>
      <c r="UU318" s="242">
        <f t="shared" si="2178"/>
        <v>202.5</v>
      </c>
      <c r="UV318" s="56"/>
      <c r="UY318" s="55">
        <f t="shared" si="2179"/>
        <v>46294</v>
      </c>
      <c r="UZ318" s="56"/>
      <c r="VA318" s="242">
        <f>SUMPRODUCT(PRODUCE!$B317:$DY317,PRODUCE!$EB$57:$IY$57)</f>
        <v>0</v>
      </c>
      <c r="VB318" s="56"/>
      <c r="VC318" s="242">
        <f t="shared" si="2180"/>
        <v>0</v>
      </c>
      <c r="VD318" s="242">
        <f t="shared" si="2181"/>
        <v>41.600000000000023</v>
      </c>
      <c r="VE318" s="56"/>
      <c r="VH318" s="55">
        <f t="shared" si="2182"/>
        <v>46294</v>
      </c>
      <c r="VI318" s="56"/>
      <c r="VJ318" s="242">
        <f>SUMPRODUCT(PRODUCE!$B317:$DY317,PRODUCE!$EB$57:$IY$57)</f>
        <v>0</v>
      </c>
      <c r="VK318" s="56"/>
      <c r="VL318" s="242">
        <f t="shared" si="2183"/>
        <v>0</v>
      </c>
      <c r="VM318" s="242">
        <f t="shared" si="2184"/>
        <v>210</v>
      </c>
      <c r="VN318" s="56"/>
      <c r="VQ318" s="55">
        <f t="shared" si="2185"/>
        <v>46294</v>
      </c>
      <c r="VR318" s="56"/>
      <c r="VS318" s="242">
        <f>SUMPRODUCT(PRODUCE!$B317:$DY317,PRODUCE!$EB$57:$IY$57)</f>
        <v>0</v>
      </c>
      <c r="VT318" s="56"/>
      <c r="VU318" s="242">
        <f t="shared" si="2186"/>
        <v>0</v>
      </c>
      <c r="VV318" s="242">
        <f t="shared" si="2187"/>
        <v>0</v>
      </c>
      <c r="VW318" s="56"/>
      <c r="VZ318" s="55">
        <f t="shared" si="2188"/>
        <v>46294</v>
      </c>
      <c r="WA318" s="56"/>
      <c r="WB318" s="242">
        <f>SUMPRODUCT(PRODUCE!$B317:$DY317,PRODUCE!$EB$57:$IY$57)</f>
        <v>0</v>
      </c>
      <c r="WC318" s="56"/>
      <c r="WD318" s="242">
        <f t="shared" si="2189"/>
        <v>0</v>
      </c>
      <c r="WE318" s="242">
        <f t="shared" si="2190"/>
        <v>0</v>
      </c>
      <c r="WF318" s="56"/>
      <c r="WI318" s="55">
        <f t="shared" si="2191"/>
        <v>46294</v>
      </c>
      <c r="WJ318" s="56"/>
      <c r="WK318" s="242">
        <f>SUMPRODUCT(PRODUCE!$B317:$DY317,PRODUCE!$EB$57:$IY$57)</f>
        <v>0</v>
      </c>
      <c r="WL318" s="56"/>
      <c r="WM318" s="242">
        <f t="shared" si="2192"/>
        <v>0</v>
      </c>
      <c r="WN318" s="242">
        <f t="shared" si="2193"/>
        <v>1057</v>
      </c>
      <c r="WO318" s="56"/>
      <c r="WR318" s="55">
        <f t="shared" si="2194"/>
        <v>46294</v>
      </c>
      <c r="WS318" s="56"/>
      <c r="WT318" s="242">
        <f>SUMPRODUCT(PRODUCE!$B317:$DY317,PRODUCE!$EB$57:$IY$57)</f>
        <v>0</v>
      </c>
      <c r="WU318" s="56"/>
      <c r="WV318" s="242">
        <f t="shared" si="2195"/>
        <v>0</v>
      </c>
      <c r="WW318" s="242">
        <f t="shared" si="2196"/>
        <v>0</v>
      </c>
      <c r="WX318" s="56"/>
      <c r="XA318" s="55">
        <f t="shared" si="2197"/>
        <v>46294</v>
      </c>
      <c r="XB318" s="56"/>
      <c r="XC318" s="242">
        <f>SUMPRODUCT(PRODUCE!$B317:$DY317,PRODUCE!$EB$57:$IY$57)</f>
        <v>0</v>
      </c>
      <c r="XD318" s="56"/>
      <c r="XE318" s="242">
        <f t="shared" si="2198"/>
        <v>0</v>
      </c>
      <c r="XF318" s="242">
        <f t="shared" si="2199"/>
        <v>7507</v>
      </c>
      <c r="XG318" s="56"/>
      <c r="XJ318" s="55">
        <f t="shared" si="2200"/>
        <v>46294</v>
      </c>
      <c r="XK318" s="56"/>
      <c r="XL318" s="242">
        <f>SUMPRODUCT(PRODUCE!$B317:$DY317,PRODUCE!$EB$57:$IY$57)</f>
        <v>0</v>
      </c>
      <c r="XM318" s="56"/>
      <c r="XN318" s="242">
        <f t="shared" si="2201"/>
        <v>0</v>
      </c>
      <c r="XO318" s="242">
        <f t="shared" si="2202"/>
        <v>4252</v>
      </c>
      <c r="XP318" s="56"/>
      <c r="XS318" s="55">
        <f t="shared" si="2203"/>
        <v>46294</v>
      </c>
      <c r="XT318" s="56"/>
      <c r="XU318" s="242">
        <f>SUMPRODUCT(PRODUCE!$B317:$DY317,PRODUCE!$EB$57:$IY$57)</f>
        <v>0</v>
      </c>
      <c r="XV318" s="56"/>
      <c r="XW318" s="242">
        <f t="shared" si="2204"/>
        <v>0</v>
      </c>
      <c r="XX318" s="242">
        <f t="shared" si="2205"/>
        <v>2179</v>
      </c>
      <c r="XY318" s="56"/>
      <c r="YB318" s="55">
        <f t="shared" si="2206"/>
        <v>46294</v>
      </c>
      <c r="YC318" s="56"/>
      <c r="YD318" s="242">
        <f>SUMPRODUCT(PRODUCE!$B317:$DY317,PRODUCE!$EB$57:$IY$57)</f>
        <v>0</v>
      </c>
      <c r="YE318" s="56"/>
      <c r="YF318" s="242">
        <f t="shared" si="2207"/>
        <v>0</v>
      </c>
      <c r="YG318" s="242">
        <f t="shared" si="2208"/>
        <v>4019</v>
      </c>
      <c r="YH318" s="56"/>
      <c r="YK318" s="55">
        <f t="shared" si="2209"/>
        <v>46294</v>
      </c>
      <c r="YL318" s="56"/>
      <c r="YM318" s="242">
        <f>SUMPRODUCT(PRODUCE!$B317:$DY317,PRODUCE!$EB$57:$IY$57)</f>
        <v>0</v>
      </c>
      <c r="YN318" s="56"/>
      <c r="YO318" s="242">
        <f t="shared" si="2210"/>
        <v>0</v>
      </c>
      <c r="YP318" s="242">
        <f t="shared" si="2211"/>
        <v>-218</v>
      </c>
      <c r="YQ318" s="56"/>
      <c r="YT318" s="55">
        <f t="shared" si="2212"/>
        <v>46294</v>
      </c>
      <c r="YU318" s="56"/>
      <c r="YV318" s="242">
        <f>SUMPRODUCT(PRODUCE!$B317:$DY317,PRODUCE!$EB$57:$IY$57)</f>
        <v>0</v>
      </c>
      <c r="YW318" s="56"/>
      <c r="YX318" s="242">
        <f t="shared" si="2213"/>
        <v>0</v>
      </c>
      <c r="YY318" s="242">
        <f t="shared" si="2214"/>
        <v>0</v>
      </c>
      <c r="YZ318" s="56"/>
      <c r="ZC318" s="55">
        <f t="shared" si="2215"/>
        <v>46294</v>
      </c>
      <c r="ZD318" s="56"/>
      <c r="ZE318" s="242">
        <f>SUMPRODUCT(PRODUCE!$B317:$DY317,PRODUCE!$EB$57:$IY$57)</f>
        <v>0</v>
      </c>
      <c r="ZF318" s="56"/>
      <c r="ZG318" s="242">
        <f t="shared" si="2216"/>
        <v>0</v>
      </c>
      <c r="ZH318" s="242">
        <f t="shared" si="2217"/>
        <v>0</v>
      </c>
      <c r="ZI318" s="56"/>
      <c r="ZL318" s="55">
        <f t="shared" si="2218"/>
        <v>46294</v>
      </c>
      <c r="ZM318" s="56"/>
      <c r="ZN318" s="242">
        <f>SUMPRODUCT(PRODUCE!$B317:$DY317,PRODUCE!$EB$57:$IY$57)</f>
        <v>0</v>
      </c>
      <c r="ZO318" s="56"/>
      <c r="ZP318" s="242">
        <f t="shared" si="2219"/>
        <v>0</v>
      </c>
      <c r="ZQ318" s="242">
        <f t="shared" si="2220"/>
        <v>0</v>
      </c>
      <c r="ZR318" s="56"/>
      <c r="ZU318" s="55">
        <f t="shared" si="2221"/>
        <v>46294</v>
      </c>
      <c r="ZV318" s="56"/>
      <c r="ZW318" s="242">
        <f>SUMPRODUCT(PRODUCE!$B317:$DY317,PRODUCE!$EB$57:$IY$57)</f>
        <v>0</v>
      </c>
      <c r="ZX318" s="56"/>
      <c r="ZY318" s="242">
        <f t="shared" si="2222"/>
        <v>0</v>
      </c>
      <c r="ZZ318" s="242">
        <f t="shared" si="2223"/>
        <v>0</v>
      </c>
      <c r="AAA318" s="56"/>
      <c r="AAD318" s="55">
        <f t="shared" si="2224"/>
        <v>46294</v>
      </c>
      <c r="AAE318" s="56"/>
      <c r="AAF318" s="242">
        <f>SUMPRODUCT(PRODUCE!$B317:$DY317,PRODUCE!$EB$57:$IY$57)</f>
        <v>0</v>
      </c>
      <c r="AAG318" s="56"/>
      <c r="AAH318" s="242">
        <f t="shared" si="2225"/>
        <v>0</v>
      </c>
      <c r="AAI318" s="242">
        <f t="shared" si="2226"/>
        <v>0</v>
      </c>
      <c r="AAJ318" s="56"/>
      <c r="AAM318" s="55">
        <f t="shared" si="2227"/>
        <v>46294</v>
      </c>
      <c r="AAN318" s="56"/>
      <c r="AAO318" s="242">
        <f>SUMPRODUCT(PRODUCE!$B317:$DY317,PRODUCE!$EB$57:$IY$57)</f>
        <v>0</v>
      </c>
      <c r="AAP318" s="56"/>
      <c r="AAQ318" s="242">
        <f t="shared" si="2228"/>
        <v>0</v>
      </c>
      <c r="AAR318" s="242">
        <f t="shared" si="2229"/>
        <v>0</v>
      </c>
      <c r="AAS318" s="56"/>
      <c r="AAV318" s="55">
        <f t="shared" si="2230"/>
        <v>46294</v>
      </c>
      <c r="AAW318" s="56"/>
      <c r="AAX318" s="242">
        <f>SUMPRODUCT(PRODUCE!$B317:$DY317,PRODUCE!$EB$57:$IY$57)</f>
        <v>0</v>
      </c>
      <c r="AAY318" s="56"/>
      <c r="AAZ318" s="242">
        <f t="shared" si="2231"/>
        <v>0</v>
      </c>
      <c r="ABA318" s="242">
        <f t="shared" si="2232"/>
        <v>0</v>
      </c>
      <c r="ABB318" s="56"/>
      <c r="ABE318" s="55">
        <f t="shared" si="2233"/>
        <v>46294</v>
      </c>
      <c r="ABF318" s="56"/>
      <c r="ABG318" s="242">
        <f>SUMPRODUCT(PRODUCE!$B317:$DY317,PRODUCE!$EB$57:$IY$57)</f>
        <v>0</v>
      </c>
      <c r="ABH318" s="56"/>
      <c r="ABI318" s="242">
        <f t="shared" si="2234"/>
        <v>0</v>
      </c>
      <c r="ABJ318" s="242">
        <f t="shared" si="2235"/>
        <v>0</v>
      </c>
      <c r="ABK318" s="56"/>
    </row>
    <row r="319" spans="2:739" s="54" customFormat="1" ht="15" customHeight="1" outlineLevel="1" thickBot="1">
      <c r="B319" s="478"/>
      <c r="C319" s="55">
        <v>46295</v>
      </c>
      <c r="D319" s="56"/>
      <c r="E319" s="57">
        <f>SUMPRODUCT(PRODUCE!$B318:$DY318,PRODUCE!$EB$7:$IY$7)</f>
        <v>0</v>
      </c>
      <c r="F319" s="56"/>
      <c r="G319" s="57">
        <f t="shared" si="1992"/>
        <v>0</v>
      </c>
      <c r="H319" s="57">
        <f t="shared" si="1993"/>
        <v>236936.6</v>
      </c>
      <c r="I319" s="289"/>
      <c r="L319" s="55">
        <f t="shared" si="1994"/>
        <v>46295</v>
      </c>
      <c r="M319" s="56"/>
      <c r="N319" s="59">
        <f>SUMPRODUCT(PRODUCE!$B318:$DY318,PRODUCE!$EB$8:$IY$8)</f>
        <v>0</v>
      </c>
      <c r="O319" s="56"/>
      <c r="P319" s="59">
        <f t="shared" si="1995"/>
        <v>0</v>
      </c>
      <c r="Q319" s="59">
        <f t="shared" si="1996"/>
        <v>53017.600000000071</v>
      </c>
      <c r="R319" s="56"/>
      <c r="U319" s="55">
        <f t="shared" si="1997"/>
        <v>46295</v>
      </c>
      <c r="V319" s="56"/>
      <c r="W319" s="60">
        <f>SUMPRODUCT(PRODUCE!$B318:$DY318,PRODUCE!$EB$9:$IY$9)</f>
        <v>0</v>
      </c>
      <c r="X319" s="56"/>
      <c r="Y319" s="60">
        <f t="shared" si="1998"/>
        <v>0</v>
      </c>
      <c r="Z319" s="60">
        <f t="shared" si="1999"/>
        <v>42674.199999999968</v>
      </c>
      <c r="AA319" s="56"/>
      <c r="AD319" s="55">
        <f t="shared" si="2000"/>
        <v>46295</v>
      </c>
      <c r="AE319" s="56"/>
      <c r="AF319" s="61">
        <f>SUMPRODUCT(PRODUCE!$B318:$DY318,PRODUCE!$EB$10:$IY$10)</f>
        <v>0</v>
      </c>
      <c r="AG319" s="56"/>
      <c r="AH319" s="61">
        <f t="shared" si="2001"/>
        <v>0</v>
      </c>
      <c r="AI319" s="61">
        <f t="shared" si="2002"/>
        <v>4522.2000000000189</v>
      </c>
      <c r="AJ319" s="56"/>
      <c r="AM319" s="55">
        <f t="shared" si="2003"/>
        <v>46295</v>
      </c>
      <c r="AN319" s="422"/>
      <c r="AO319" s="444">
        <f>SUMPRODUCT(PRODUCE!$B318:$DY318,PRODUCE!$EB$11:$IY$11)</f>
        <v>0</v>
      </c>
      <c r="AP319" s="422"/>
      <c r="AQ319" s="444">
        <f t="shared" si="2004"/>
        <v>0</v>
      </c>
      <c r="AR319" s="444">
        <f t="shared" si="2005"/>
        <v>0</v>
      </c>
      <c r="AS319" s="56"/>
      <c r="AV319" s="55">
        <f t="shared" si="2006"/>
        <v>46295</v>
      </c>
      <c r="AW319" s="56"/>
      <c r="AX319" s="62">
        <f>SUMPRODUCT(PRODUCE!$B318:$DY318,PRODUCE!$EB$12:$IY$12)</f>
        <v>0</v>
      </c>
      <c r="AY319" s="56"/>
      <c r="AZ319" s="62">
        <f t="shared" si="2007"/>
        <v>0</v>
      </c>
      <c r="BA319" s="62">
        <f t="shared" si="2008"/>
        <v>124.99999999999523</v>
      </c>
      <c r="BB319" s="56"/>
      <c r="BE319" s="55">
        <f t="shared" si="2009"/>
        <v>46295</v>
      </c>
      <c r="BF319" s="56"/>
      <c r="BG319" s="63">
        <f>SUMPRODUCT(PRODUCE!$B318:$DY318,PRODUCE!$EB$13:$IY$13)</f>
        <v>0</v>
      </c>
      <c r="BH319" s="56"/>
      <c r="BI319" s="63">
        <f t="shared" si="2010"/>
        <v>0</v>
      </c>
      <c r="BJ319" s="63">
        <f t="shared" si="2011"/>
        <v>26151.899999999998</v>
      </c>
      <c r="BK319" s="56"/>
      <c r="BN319" s="55">
        <f t="shared" si="2012"/>
        <v>46295</v>
      </c>
      <c r="BO319" s="56"/>
      <c r="BP319" s="64">
        <f>SUMPRODUCT(PRODUCE!$B318:$DY318,PRODUCE!$EB$14:$IY$14)</f>
        <v>0</v>
      </c>
      <c r="BQ319" s="56"/>
      <c r="BR319" s="64">
        <f t="shared" si="2013"/>
        <v>0</v>
      </c>
      <c r="BS319" s="64">
        <f t="shared" si="2014"/>
        <v>0</v>
      </c>
      <c r="BT319" s="56"/>
      <c r="BW319" s="55">
        <f t="shared" si="2015"/>
        <v>46295</v>
      </c>
      <c r="BX319" s="56"/>
      <c r="BY319" s="65">
        <f>SUMPRODUCT(PRODUCE!$B318:$DY318,PRODUCE!$EB$15:$IY$15)</f>
        <v>0</v>
      </c>
      <c r="BZ319" s="56"/>
      <c r="CA319" s="65">
        <f t="shared" si="2016"/>
        <v>0</v>
      </c>
      <c r="CB319" s="65">
        <f t="shared" si="2017"/>
        <v>2097.3399999999992</v>
      </c>
      <c r="CC319" s="56"/>
      <c r="CF319" s="55">
        <f t="shared" si="2018"/>
        <v>46295</v>
      </c>
      <c r="CG319" s="56"/>
      <c r="CH319" s="66">
        <f>SUMPRODUCT(PRODUCE!$B318:$DY318,PRODUCE!$EB$16:$IY$16)</f>
        <v>0</v>
      </c>
      <c r="CI319" s="56"/>
      <c r="CJ319" s="66">
        <f t="shared" si="2019"/>
        <v>0</v>
      </c>
      <c r="CK319" s="66">
        <f t="shared" si="2020"/>
        <v>-10277.079999999998</v>
      </c>
      <c r="CL319" s="56"/>
      <c r="CO319" s="55">
        <f t="shared" si="2021"/>
        <v>46295</v>
      </c>
      <c r="CP319" s="422"/>
      <c r="CQ319" s="470">
        <f>SUMPRODUCT(PRODUCE!$B318:$DY318,PRODUCE!$EB$17:$IY$17)</f>
        <v>0</v>
      </c>
      <c r="CR319" s="422"/>
      <c r="CS319" s="470">
        <f t="shared" si="2022"/>
        <v>0</v>
      </c>
      <c r="CT319" s="470">
        <f t="shared" si="2023"/>
        <v>0</v>
      </c>
      <c r="CU319" s="56"/>
      <c r="CX319" s="55">
        <f t="shared" si="2024"/>
        <v>46295</v>
      </c>
      <c r="CY319" s="56"/>
      <c r="CZ319" s="133">
        <f>SUMPRODUCT(PRODUCE!$B318:$DY318,PRODUCE!$EB$18:$IY$18)</f>
        <v>0</v>
      </c>
      <c r="DA319" s="56"/>
      <c r="DB319" s="133">
        <f t="shared" si="2025"/>
        <v>0</v>
      </c>
      <c r="DC319" s="133">
        <f t="shared" si="2026"/>
        <v>27438.200000000012</v>
      </c>
      <c r="DD319" s="56"/>
      <c r="DG319" s="55">
        <f t="shared" si="2027"/>
        <v>46295</v>
      </c>
      <c r="DH319" s="56"/>
      <c r="DI319" s="147">
        <f>SUMPRODUCT(PRODUCE!$B318:$DY318,PRODUCE!$EB$19:$IY$19)</f>
        <v>0</v>
      </c>
      <c r="DJ319" s="56"/>
      <c r="DK319" s="147">
        <f t="shared" si="2028"/>
        <v>0</v>
      </c>
      <c r="DL319" s="147">
        <f t="shared" si="2029"/>
        <v>18782.299999999981</v>
      </c>
      <c r="DM319" s="56"/>
      <c r="DP319" s="55">
        <f t="shared" si="2030"/>
        <v>46295</v>
      </c>
      <c r="DQ319" s="56"/>
      <c r="DR319" s="57">
        <f>SUMPRODUCT(PRODUCE!$B318:$DY318,PRODUCE!$EB$20:$IY$20)</f>
        <v>0</v>
      </c>
      <c r="DS319" s="56"/>
      <c r="DT319" s="57">
        <f t="shared" si="2031"/>
        <v>0</v>
      </c>
      <c r="DU319" s="57">
        <f t="shared" si="2032"/>
        <v>5800</v>
      </c>
      <c r="DV319" s="56"/>
      <c r="DY319" s="55">
        <f t="shared" si="2033"/>
        <v>46295</v>
      </c>
      <c r="DZ319" s="56"/>
      <c r="EA319" s="157">
        <f>SUMPRODUCT(PRODUCE!$B318:$DY318,PRODUCE!$EB$21:$IY$21)</f>
        <v>0</v>
      </c>
      <c r="EB319" s="56"/>
      <c r="EC319" s="157">
        <f t="shared" si="2034"/>
        <v>0</v>
      </c>
      <c r="ED319" s="157">
        <f t="shared" si="2035"/>
        <v>0</v>
      </c>
      <c r="EE319" s="56"/>
      <c r="EH319" s="55">
        <f t="shared" si="2036"/>
        <v>46295</v>
      </c>
      <c r="EI319" s="56"/>
      <c r="EJ319" s="162">
        <f>SUMPRODUCT(PRODUCE!$B318:$DY318,PRODUCE!$EB$22:$IY$22)</f>
        <v>0</v>
      </c>
      <c r="EK319" s="56"/>
      <c r="EL319" s="162">
        <f t="shared" si="2037"/>
        <v>0</v>
      </c>
      <c r="EM319" s="162">
        <f t="shared" si="2038"/>
        <v>0</v>
      </c>
      <c r="EN319" s="56"/>
      <c r="EQ319" s="55">
        <f t="shared" si="2039"/>
        <v>46295</v>
      </c>
      <c r="ER319" s="56"/>
      <c r="ES319" s="135">
        <f>SUMPRODUCT(PRODUCE!$B318:$DY318,PRODUCE!$EB$23:$IY$23)</f>
        <v>0</v>
      </c>
      <c r="ET319" s="56"/>
      <c r="EU319" s="135">
        <f t="shared" si="2040"/>
        <v>0</v>
      </c>
      <c r="EV319" s="135">
        <f t="shared" si="2041"/>
        <v>0</v>
      </c>
      <c r="EW319" s="56"/>
      <c r="EZ319" s="55">
        <f t="shared" si="2042"/>
        <v>46295</v>
      </c>
      <c r="FA319" s="56"/>
      <c r="FB319" s="175">
        <f>SUMPRODUCT(PRODUCE!$B318:$DY318,PRODUCE!$EB$24:$IY$24)</f>
        <v>0</v>
      </c>
      <c r="FC319" s="56"/>
      <c r="FD319" s="175">
        <f t="shared" si="2043"/>
        <v>0</v>
      </c>
      <c r="FE319" s="175">
        <f t="shared" si="2044"/>
        <v>0</v>
      </c>
      <c r="FF319" s="56"/>
      <c r="FI319" s="55">
        <f t="shared" si="2045"/>
        <v>46295</v>
      </c>
      <c r="FJ319" s="56"/>
      <c r="FK319" s="183">
        <f>SUMPRODUCT(PRODUCE!$B318:$DY318,PRODUCE!$EB$25:$IY$25)</f>
        <v>0</v>
      </c>
      <c r="FL319" s="56"/>
      <c r="FM319" s="183">
        <f t="shared" si="2046"/>
        <v>0</v>
      </c>
      <c r="FN319" s="183">
        <f t="shared" si="2047"/>
        <v>0</v>
      </c>
      <c r="FO319" s="56"/>
      <c r="FR319" s="55">
        <f t="shared" si="2048"/>
        <v>46295</v>
      </c>
      <c r="FS319" s="56"/>
      <c r="FT319" s="186">
        <f>SUMPRODUCT(PRODUCE!$B318:$DY318,PRODUCE!$EB$26:$IY$26)</f>
        <v>0</v>
      </c>
      <c r="FU319" s="56"/>
      <c r="FV319" s="186">
        <f t="shared" si="2049"/>
        <v>0</v>
      </c>
      <c r="FW319" s="186">
        <f t="shared" si="2050"/>
        <v>2020</v>
      </c>
      <c r="FX319" s="56"/>
      <c r="GA319" s="55">
        <f t="shared" si="2051"/>
        <v>46295</v>
      </c>
      <c r="GB319" s="56"/>
      <c r="GC319" s="137">
        <f>SUMPRODUCT(PRODUCE!$B318:$DY318,PRODUCE!$EB$27:$IY$27)</f>
        <v>0</v>
      </c>
      <c r="GD319" s="56"/>
      <c r="GE319" s="137">
        <f t="shared" si="2052"/>
        <v>0</v>
      </c>
      <c r="GF319" s="137">
        <f t="shared" si="2053"/>
        <v>960</v>
      </c>
      <c r="GG319" s="56"/>
      <c r="GI319" s="23"/>
      <c r="GJ319" s="55">
        <f t="shared" si="2054"/>
        <v>46295</v>
      </c>
      <c r="GK319" s="56"/>
      <c r="GL319" s="199">
        <f>SUMPRODUCT(PRODUCE!$B318:$DY318,PRODUCE!$EB$28:$IY$28)</f>
        <v>0</v>
      </c>
      <c r="GM319" s="56"/>
      <c r="GN319" s="199">
        <f t="shared" si="2055"/>
        <v>0</v>
      </c>
      <c r="GO319" s="199">
        <f t="shared" si="2056"/>
        <v>1760</v>
      </c>
      <c r="GP319" s="56"/>
      <c r="GS319" s="55">
        <f t="shared" si="2057"/>
        <v>46295</v>
      </c>
      <c r="GT319" s="56"/>
      <c r="GU319" s="195">
        <f>SUMPRODUCT(PRODUCE!$B318:$DY318,PRODUCE!$EB$29:$IY$29)</f>
        <v>0</v>
      </c>
      <c r="GV319" s="56"/>
      <c r="GW319" s="195">
        <f t="shared" si="2058"/>
        <v>0</v>
      </c>
      <c r="GX319" s="195">
        <f t="shared" si="2059"/>
        <v>400</v>
      </c>
      <c r="GY319" s="56"/>
      <c r="HB319" s="55">
        <f t="shared" si="2060"/>
        <v>46295</v>
      </c>
      <c r="HC319" s="56"/>
      <c r="HD319" s="191">
        <f>SUMPRODUCT(PRODUCE!$B318:$DY318,PRODUCE!$EB$30:$IY$30)</f>
        <v>0</v>
      </c>
      <c r="HE319" s="56"/>
      <c r="HF319" s="191">
        <f t="shared" si="2061"/>
        <v>0</v>
      </c>
      <c r="HG319" s="191">
        <f t="shared" si="2062"/>
        <v>3600</v>
      </c>
      <c r="HH319" s="56"/>
      <c r="HK319" s="55">
        <f t="shared" si="2063"/>
        <v>46295</v>
      </c>
      <c r="HL319" s="56"/>
      <c r="HM319" s="63">
        <f>SUMPRODUCT(PRODUCE!$B318:$DY318,PRODUCE!$EB$31:$IY$31)</f>
        <v>0</v>
      </c>
      <c r="HN319" s="56"/>
      <c r="HO319" s="63">
        <f t="shared" si="2064"/>
        <v>0</v>
      </c>
      <c r="HP319" s="63">
        <f t="shared" si="2065"/>
        <v>0</v>
      </c>
      <c r="HQ319" s="56"/>
      <c r="HU319" s="55">
        <f t="shared" si="2066"/>
        <v>46295</v>
      </c>
      <c r="HV319" s="56"/>
      <c r="HW319" s="242">
        <f>SUMPRODUCT(PRODUCE!$B318:$DY318,PRODUCE!$EB$32:$IY$32)</f>
        <v>0</v>
      </c>
      <c r="HX319" s="56"/>
      <c r="HY319" s="242">
        <f t="shared" si="2236"/>
        <v>0</v>
      </c>
      <c r="HZ319" s="242">
        <f t="shared" si="2067"/>
        <v>6120</v>
      </c>
      <c r="IA319" s="56"/>
      <c r="ID319" s="55">
        <f t="shared" si="2068"/>
        <v>46295</v>
      </c>
      <c r="IE319" s="56"/>
      <c r="IF319" s="242">
        <f>SUMPRODUCT(PRODUCE!$B318:$DY318,PRODUCE!$EB$33:$IY$33)</f>
        <v>0</v>
      </c>
      <c r="IG319" s="56"/>
      <c r="IH319" s="242">
        <f t="shared" si="2069"/>
        <v>0</v>
      </c>
      <c r="II319" s="242">
        <f t="shared" si="2070"/>
        <v>0</v>
      </c>
      <c r="IJ319" s="56"/>
      <c r="IM319" s="55">
        <f t="shared" si="2071"/>
        <v>46295</v>
      </c>
      <c r="IN319" s="56"/>
      <c r="IO319" s="242">
        <f>SUMPRODUCT(PRODUCE!$B318:$DY318,PRODUCE!$EB$34:$IY$34)</f>
        <v>0</v>
      </c>
      <c r="IP319" s="56"/>
      <c r="IQ319" s="242">
        <f t="shared" si="2072"/>
        <v>0</v>
      </c>
      <c r="IR319" s="242">
        <f t="shared" si="2073"/>
        <v>0</v>
      </c>
      <c r="IS319" s="56"/>
      <c r="IV319" s="55">
        <f t="shared" si="2074"/>
        <v>46295</v>
      </c>
      <c r="IW319" s="56"/>
      <c r="IX319" s="242">
        <f>SUMPRODUCT(PRODUCE!$B318:$DY318,PRODUCE!$EB$35:$IY$35)</f>
        <v>0</v>
      </c>
      <c r="IY319" s="56"/>
      <c r="IZ319" s="242">
        <f t="shared" si="2075"/>
        <v>0</v>
      </c>
      <c r="JA319" s="242">
        <f t="shared" si="2076"/>
        <v>2820</v>
      </c>
      <c r="JB319" s="56"/>
      <c r="JE319" s="55">
        <f t="shared" si="2077"/>
        <v>46295</v>
      </c>
      <c r="JF319" s="56"/>
      <c r="JG319" s="242">
        <f>SUMPRODUCT(PRODUCE!$B318:$DY318,PRODUCE!$EB$36:$IY$36)</f>
        <v>0</v>
      </c>
      <c r="JH319" s="56"/>
      <c r="JI319" s="242">
        <f t="shared" si="2078"/>
        <v>0</v>
      </c>
      <c r="JJ319" s="242">
        <f t="shared" si="2079"/>
        <v>0</v>
      </c>
      <c r="JK319" s="56"/>
      <c r="JN319" s="55">
        <f t="shared" si="2080"/>
        <v>46295</v>
      </c>
      <c r="JO319" s="56"/>
      <c r="JP319" s="242">
        <f>SUMPRODUCT(PRODUCE!$B318:$DY318,PRODUCE!$EB$37:$IY$37)</f>
        <v>0</v>
      </c>
      <c r="JQ319" s="56"/>
      <c r="JR319" s="242">
        <f t="shared" si="2081"/>
        <v>0</v>
      </c>
      <c r="JS319" s="242">
        <f t="shared" si="2082"/>
        <v>0</v>
      </c>
      <c r="JT319" s="56"/>
      <c r="JW319" s="55">
        <f t="shared" si="2083"/>
        <v>46295</v>
      </c>
      <c r="JX319" s="56"/>
      <c r="JY319" s="242">
        <f>SUMPRODUCT(PRODUCE!$B318:$DY318,PRODUCE!$EB$38:$IY$38)</f>
        <v>0</v>
      </c>
      <c r="JZ319" s="56"/>
      <c r="KA319" s="242">
        <f t="shared" si="2084"/>
        <v>0</v>
      </c>
      <c r="KB319" s="242">
        <f t="shared" si="2085"/>
        <v>2540</v>
      </c>
      <c r="KC319" s="56"/>
      <c r="KF319" s="55">
        <f t="shared" si="2086"/>
        <v>46295</v>
      </c>
      <c r="KG319" s="56"/>
      <c r="KH319" s="242">
        <f>SUMPRODUCT(PRODUCE!$B318:$DY318,PRODUCE!$EB$39:$IY$39)</f>
        <v>0</v>
      </c>
      <c r="KI319" s="56"/>
      <c r="KJ319" s="242">
        <f t="shared" si="2087"/>
        <v>0</v>
      </c>
      <c r="KK319" s="242">
        <f t="shared" si="2088"/>
        <v>2359.5</v>
      </c>
      <c r="KL319" s="56"/>
      <c r="KO319" s="55">
        <f t="shared" si="2089"/>
        <v>46295</v>
      </c>
      <c r="KP319" s="56"/>
      <c r="KQ319" s="242">
        <f>SUMPRODUCT(PRODUCE!$B318:$DY318,PRODUCE!$EB$40:$IY$40)</f>
        <v>0</v>
      </c>
      <c r="KR319" s="56"/>
      <c r="KS319" s="242">
        <f t="shared" si="2090"/>
        <v>0</v>
      </c>
      <c r="KT319" s="242">
        <f t="shared" si="2091"/>
        <v>1890</v>
      </c>
      <c r="KU319" s="56"/>
      <c r="KW319" s="23"/>
      <c r="KX319" s="55">
        <f t="shared" si="2092"/>
        <v>46295</v>
      </c>
      <c r="KY319" s="56"/>
      <c r="KZ319" s="242">
        <f>SUMPRODUCT(PRODUCE!$B318:$DY318,PRODUCE!$EB$41:$IY$41)</f>
        <v>0</v>
      </c>
      <c r="LA319" s="56"/>
      <c r="LB319" s="242">
        <f t="shared" si="2093"/>
        <v>0</v>
      </c>
      <c r="LC319" s="242">
        <f t="shared" si="2094"/>
        <v>3690</v>
      </c>
      <c r="LD319" s="56"/>
      <c r="LG319" s="55">
        <f t="shared" si="2095"/>
        <v>46295</v>
      </c>
      <c r="LH319" s="56"/>
      <c r="LI319" s="242">
        <f>SUMPRODUCT(PRODUCE!$B318:$DY318,PRODUCE!$EB$42:$IY$42)</f>
        <v>0</v>
      </c>
      <c r="LJ319" s="56"/>
      <c r="LK319" s="242">
        <f t="shared" si="2096"/>
        <v>0</v>
      </c>
      <c r="LL319" s="242">
        <f t="shared" si="2097"/>
        <v>4000</v>
      </c>
      <c r="LM319" s="56"/>
      <c r="LP319" s="55">
        <f t="shared" si="2098"/>
        <v>46295</v>
      </c>
      <c r="LQ319" s="56"/>
      <c r="LR319" s="242">
        <f>SUMPRODUCT(PRODUCE!$B334:$DY334,PRODUCE!$EB$43:$IY$43)</f>
        <v>0</v>
      </c>
      <c r="LS319" s="56"/>
      <c r="LT319" s="242">
        <f t="shared" si="2099"/>
        <v>0</v>
      </c>
      <c r="LU319" s="242">
        <f t="shared" si="2100"/>
        <v>0</v>
      </c>
      <c r="LV319" s="56"/>
      <c r="LY319" s="55">
        <f t="shared" si="2101"/>
        <v>46295</v>
      </c>
      <c r="LZ319" s="56"/>
      <c r="MA319" s="242">
        <f>SUMPRODUCT(PRODUCE!$B318:$DY318,PRODUCE!$EB$44:$IY$44)</f>
        <v>0</v>
      </c>
      <c r="MB319" s="56"/>
      <c r="MC319" s="242">
        <f t="shared" si="2102"/>
        <v>0</v>
      </c>
      <c r="MD319" s="242">
        <f t="shared" si="2103"/>
        <v>0</v>
      </c>
      <c r="ME319" s="56"/>
      <c r="MH319" s="55">
        <f t="shared" si="2104"/>
        <v>46295</v>
      </c>
      <c r="MI319" s="56"/>
      <c r="MJ319" s="242">
        <f>SUMPRODUCT(PRODUCE!$B318:$DY318,PRODUCE!$EB$45:$IY$45)</f>
        <v>0</v>
      </c>
      <c r="MK319" s="56"/>
      <c r="ML319" s="242">
        <f t="shared" si="2105"/>
        <v>0</v>
      </c>
      <c r="MM319" s="242">
        <f t="shared" si="2106"/>
        <v>0</v>
      </c>
      <c r="MN319" s="56"/>
      <c r="MQ319" s="55">
        <f t="shared" si="2107"/>
        <v>46295</v>
      </c>
      <c r="MR319" s="56"/>
      <c r="MS319" s="242">
        <f>SUMPRODUCT(PRODUCE!$B318:$DY318,PRODUCE!$EB$46:$IY$46)</f>
        <v>0</v>
      </c>
      <c r="MT319" s="56"/>
      <c r="MU319" s="242">
        <f t="shared" si="2108"/>
        <v>0</v>
      </c>
      <c r="MV319" s="242">
        <f t="shared" si="2109"/>
        <v>1625</v>
      </c>
      <c r="MW319" s="56"/>
      <c r="MZ319" s="55">
        <f t="shared" si="2110"/>
        <v>46295</v>
      </c>
      <c r="NA319" s="56"/>
      <c r="NB319" s="242">
        <f>SUMPRODUCT(PRODUCE!$B318:$DY318,PRODUCE!$EB$47:$IY$47)</f>
        <v>0</v>
      </c>
      <c r="NC319" s="56"/>
      <c r="ND319" s="242">
        <f t="shared" si="2111"/>
        <v>0</v>
      </c>
      <c r="NE319" s="242">
        <f t="shared" si="2112"/>
        <v>0</v>
      </c>
      <c r="NF319" s="56"/>
      <c r="NI319" s="55">
        <f t="shared" si="2113"/>
        <v>46295</v>
      </c>
      <c r="NJ319" s="56"/>
      <c r="NK319" s="242">
        <f>SUMPRODUCT(PRODUCE!$B318:$DY318,PRODUCE!$EB$48:$IY$48)</f>
        <v>0</v>
      </c>
      <c r="NL319" s="56"/>
      <c r="NM319" s="242">
        <f t="shared" si="2114"/>
        <v>0</v>
      </c>
      <c r="NN319" s="242">
        <f t="shared" si="2115"/>
        <v>1127</v>
      </c>
      <c r="NO319" s="56"/>
      <c r="NR319" s="55">
        <f t="shared" si="2116"/>
        <v>46295</v>
      </c>
      <c r="NS319" s="56"/>
      <c r="NT319" s="242">
        <f>SUMPRODUCT(PRODUCE!$B318:$DY318,PRODUCE!$EB$49:$IY$49)</f>
        <v>0</v>
      </c>
      <c r="NU319" s="56"/>
      <c r="NV319" s="242">
        <f t="shared" si="2117"/>
        <v>0</v>
      </c>
      <c r="NW319" s="242">
        <f t="shared" si="2118"/>
        <v>3111.9999999999995</v>
      </c>
      <c r="NX319" s="56"/>
      <c r="OA319" s="55">
        <f t="shared" si="2119"/>
        <v>46295</v>
      </c>
      <c r="OB319" s="56"/>
      <c r="OC319" s="242">
        <f>SUMPRODUCT(PRODUCE!$B318:$DY318,PRODUCE!$EB$50:$IY$50)</f>
        <v>0</v>
      </c>
      <c r="OD319" s="56"/>
      <c r="OE319" s="242">
        <f t="shared" si="2120"/>
        <v>0</v>
      </c>
      <c r="OF319" s="242">
        <f t="shared" si="2121"/>
        <v>1680.5</v>
      </c>
      <c r="OG319" s="56"/>
      <c r="OJ319" s="55">
        <f t="shared" si="2122"/>
        <v>46295</v>
      </c>
      <c r="OK319" s="56"/>
      <c r="OL319" s="242">
        <f>SUMPRODUCT(PRODUCE!$B318:$DY318,PRODUCE!$EB$51:$IY$51)</f>
        <v>0</v>
      </c>
      <c r="OM319" s="56"/>
      <c r="ON319" s="242">
        <f t="shared" si="2123"/>
        <v>0</v>
      </c>
      <c r="OO319" s="242">
        <f t="shared" si="2124"/>
        <v>0</v>
      </c>
      <c r="OP319" s="56"/>
      <c r="OS319" s="55">
        <f t="shared" si="2125"/>
        <v>46295</v>
      </c>
      <c r="OT319" s="56"/>
      <c r="OU319" s="242">
        <f>SUMPRODUCT(PRODUCE!$B318:$DY318,PRODUCE!$EB$52:$IY$52)</f>
        <v>0</v>
      </c>
      <c r="OV319" s="56"/>
      <c r="OW319" s="242">
        <f t="shared" si="2126"/>
        <v>0</v>
      </c>
      <c r="OX319" s="242">
        <f t="shared" si="2127"/>
        <v>1482</v>
      </c>
      <c r="OY319" s="56"/>
      <c r="PB319" s="55">
        <f t="shared" si="2128"/>
        <v>46295</v>
      </c>
      <c r="PC319" s="56"/>
      <c r="PD319" s="242">
        <f>SUMPRODUCT(PRODUCE!$B318:$DY318,PRODUCE!$EB$53:$IY$53)</f>
        <v>0</v>
      </c>
      <c r="PE319" s="56"/>
      <c r="PF319" s="242">
        <f t="shared" si="2129"/>
        <v>0</v>
      </c>
      <c r="PG319" s="242">
        <f t="shared" si="2130"/>
        <v>0</v>
      </c>
      <c r="PH319" s="56"/>
      <c r="PK319" s="55">
        <f t="shared" si="2131"/>
        <v>46295</v>
      </c>
      <c r="PL319" s="56"/>
      <c r="PM319" s="242">
        <f>SUMPRODUCT(PRODUCE!$B318:$DY318,PRODUCE!$EB$54:$IY$54)</f>
        <v>0</v>
      </c>
      <c r="PN319" s="56"/>
      <c r="PO319" s="242">
        <f t="shared" si="2132"/>
        <v>0</v>
      </c>
      <c r="PP319" s="242">
        <f t="shared" si="2133"/>
        <v>100</v>
      </c>
      <c r="PQ319" s="56"/>
      <c r="PT319" s="55">
        <f t="shared" si="2134"/>
        <v>46295</v>
      </c>
      <c r="PU319" s="56"/>
      <c r="PV319" s="242">
        <f>SUMPRODUCT(PRODUCE!$B318:$DY318,PRODUCE!$EB$55:$IY$55)</f>
        <v>0</v>
      </c>
      <c r="PW319" s="56"/>
      <c r="PX319" s="242">
        <f t="shared" si="2135"/>
        <v>0</v>
      </c>
      <c r="PY319" s="242">
        <f t="shared" si="2136"/>
        <v>13.960000000000036</v>
      </c>
      <c r="PZ319" s="56"/>
      <c r="QC319" s="55">
        <f t="shared" si="2137"/>
        <v>46295</v>
      </c>
      <c r="QD319" s="56"/>
      <c r="QE319" s="242">
        <f>SUMPRODUCT(PRODUCE!$B318:$DY318,PRODUCE!$EB$56:$IY$56)</f>
        <v>0</v>
      </c>
      <c r="QF319" s="56"/>
      <c r="QG319" s="242">
        <f t="shared" si="2138"/>
        <v>0</v>
      </c>
      <c r="QH319" s="242">
        <f t="shared" si="2139"/>
        <v>548</v>
      </c>
      <c r="QI319" s="56"/>
      <c r="QL319" s="55">
        <f t="shared" si="2140"/>
        <v>46295</v>
      </c>
      <c r="QM319" s="56"/>
      <c r="QN319" s="242">
        <f>SUMPRODUCT(PRODUCE!$B318:$DY318,PRODUCE!$EB$57:$IY$57)</f>
        <v>0</v>
      </c>
      <c r="QO319" s="56"/>
      <c r="QP319" s="242">
        <f t="shared" si="2141"/>
        <v>0</v>
      </c>
      <c r="QQ319" s="242">
        <f t="shared" si="2142"/>
        <v>0</v>
      </c>
      <c r="QR319" s="56"/>
      <c r="QU319" s="55">
        <f t="shared" si="2143"/>
        <v>46295</v>
      </c>
      <c r="QV319" s="56"/>
      <c r="QW319" s="242">
        <f>SUMPRODUCT(PRODUCE!$B318:$DY318,PRODUCE!$EB$57:$IY$57)</f>
        <v>0</v>
      </c>
      <c r="QX319" s="56"/>
      <c r="QY319" s="242">
        <f t="shared" si="2144"/>
        <v>0</v>
      </c>
      <c r="QZ319" s="242">
        <f t="shared" si="2145"/>
        <v>0</v>
      </c>
      <c r="RA319" s="56"/>
      <c r="RD319" s="55">
        <f t="shared" si="2146"/>
        <v>46295</v>
      </c>
      <c r="RE319" s="56"/>
      <c r="RF319" s="242">
        <f>SUMPRODUCT(PRODUCE!$B318:$DY318,PRODUCE!$EB$58:$IY$58)</f>
        <v>0</v>
      </c>
      <c r="RG319" s="56"/>
      <c r="RH319" s="242">
        <f t="shared" si="2147"/>
        <v>0</v>
      </c>
      <c r="RI319" s="242">
        <f t="shared" si="2148"/>
        <v>147.04000000000002</v>
      </c>
      <c r="RJ319" s="56"/>
      <c r="RM319" s="55">
        <f t="shared" si="2149"/>
        <v>46295</v>
      </c>
      <c r="RN319" s="56"/>
      <c r="RO319" s="242">
        <f>SUMPRODUCT(PRODUCE!$B318:$DY318,PRODUCE!$EB$59:$IY$59)</f>
        <v>0</v>
      </c>
      <c r="RP319" s="56"/>
      <c r="RQ319" s="242">
        <f t="shared" si="2150"/>
        <v>0</v>
      </c>
      <c r="RR319" s="242">
        <f t="shared" si="2151"/>
        <v>46.8</v>
      </c>
      <c r="RS319" s="56"/>
      <c r="RV319" s="55">
        <f t="shared" si="2152"/>
        <v>46295</v>
      </c>
      <c r="RW319" s="56"/>
      <c r="RX319" s="242">
        <f>SUMPRODUCT(PRODUCE!$B318:$DY318,PRODUCE!$EB$57:$IY$57)</f>
        <v>0</v>
      </c>
      <c r="RY319" s="56"/>
      <c r="RZ319" s="242">
        <f t="shared" si="2153"/>
        <v>0</v>
      </c>
      <c r="SA319" s="242">
        <f t="shared" si="2154"/>
        <v>0</v>
      </c>
      <c r="SB319" s="56"/>
      <c r="SE319" s="55">
        <f t="shared" si="2155"/>
        <v>46295</v>
      </c>
      <c r="SF319" s="56"/>
      <c r="SG319" s="242">
        <f>SUMPRODUCT(PRODUCE!$B318:$DY318,PRODUCE!$EB$61:$IY$61)</f>
        <v>0</v>
      </c>
      <c r="SH319" s="56"/>
      <c r="SI319" s="242">
        <f t="shared" si="2156"/>
        <v>0</v>
      </c>
      <c r="SJ319" s="242">
        <f t="shared" si="2157"/>
        <v>24.200000000000003</v>
      </c>
      <c r="SK319" s="56"/>
      <c r="SN319" s="55">
        <f t="shared" si="2158"/>
        <v>46295</v>
      </c>
      <c r="SO319" s="56"/>
      <c r="SP319" s="242">
        <f>SUMPRODUCT(PRODUCE!$B318:$DY318,PRODUCE!$EB$57:$IY$57)</f>
        <v>0</v>
      </c>
      <c r="SQ319" s="56"/>
      <c r="SR319" s="242">
        <f t="shared" si="2159"/>
        <v>0</v>
      </c>
      <c r="SS319" s="242">
        <f t="shared" si="2160"/>
        <v>32</v>
      </c>
      <c r="ST319" s="56"/>
      <c r="SW319" s="55">
        <f t="shared" si="2161"/>
        <v>46295</v>
      </c>
      <c r="SX319" s="56"/>
      <c r="SY319" s="242">
        <f>SUMPRODUCT(PRODUCE!$B318:$DY318,PRODUCE!$EB$57:$IY$57)</f>
        <v>0</v>
      </c>
      <c r="SZ319" s="56"/>
      <c r="TA319" s="242">
        <f t="shared" si="2162"/>
        <v>0</v>
      </c>
      <c r="TB319" s="242">
        <f t="shared" si="2163"/>
        <v>0</v>
      </c>
      <c r="TC319" s="56"/>
      <c r="TF319" s="55">
        <f t="shared" si="2164"/>
        <v>46295</v>
      </c>
      <c r="TG319" s="56"/>
      <c r="TH319" s="242">
        <f>SUMPRODUCT(PRODUCE!$B318:$DY318,PRODUCE!$EB$57:$IY$57)</f>
        <v>0</v>
      </c>
      <c r="TI319" s="56"/>
      <c r="TJ319" s="242">
        <f t="shared" si="2165"/>
        <v>0</v>
      </c>
      <c r="TK319" s="242">
        <f t="shared" si="2166"/>
        <v>0</v>
      </c>
      <c r="TL319" s="56"/>
      <c r="TO319" s="55">
        <f t="shared" si="2167"/>
        <v>46295</v>
      </c>
      <c r="TP319" s="56"/>
      <c r="TQ319" s="242">
        <f>SUMPRODUCT(PRODUCE!$B318:$DY318,PRODUCE!$EB$57:$IY$57)</f>
        <v>0</v>
      </c>
      <c r="TR319" s="56"/>
      <c r="TS319" s="242">
        <f t="shared" si="2168"/>
        <v>0</v>
      </c>
      <c r="TT319" s="242">
        <f t="shared" si="2169"/>
        <v>0</v>
      </c>
      <c r="TU319" s="56"/>
      <c r="TX319" s="55">
        <f t="shared" si="2170"/>
        <v>46295</v>
      </c>
      <c r="TY319" s="56"/>
      <c r="TZ319" s="242">
        <f>SUMPRODUCT(PRODUCE!$B318:$DY318,PRODUCE!$EB$57:$IY$57)</f>
        <v>0</v>
      </c>
      <c r="UA319" s="56"/>
      <c r="UB319" s="242">
        <f t="shared" si="2171"/>
        <v>0</v>
      </c>
      <c r="UC319" s="242">
        <f t="shared" si="2172"/>
        <v>46.799999999999983</v>
      </c>
      <c r="UD319" s="56"/>
      <c r="UG319" s="55">
        <f t="shared" si="2173"/>
        <v>46295</v>
      </c>
      <c r="UH319" s="56"/>
      <c r="UI319" s="242">
        <f>SUMPRODUCT(PRODUCE!$B318:$DY318,PRODUCE!$EB$57:$IY$57)</f>
        <v>0</v>
      </c>
      <c r="UJ319" s="56"/>
      <c r="UK319" s="242">
        <f t="shared" si="2174"/>
        <v>0</v>
      </c>
      <c r="UL319" s="242">
        <f t="shared" si="2175"/>
        <v>204</v>
      </c>
      <c r="UM319" s="56"/>
      <c r="UP319" s="55">
        <f t="shared" si="2176"/>
        <v>46295</v>
      </c>
      <c r="UQ319" s="56"/>
      <c r="UR319" s="242">
        <f>SUMPRODUCT(PRODUCE!$B318:$DY318,PRODUCE!$EB$57:$IY$57)</f>
        <v>0</v>
      </c>
      <c r="US319" s="56"/>
      <c r="UT319" s="242">
        <f t="shared" si="2177"/>
        <v>0</v>
      </c>
      <c r="UU319" s="242">
        <f t="shared" si="2178"/>
        <v>202.5</v>
      </c>
      <c r="UV319" s="56"/>
      <c r="UY319" s="55">
        <f t="shared" si="2179"/>
        <v>46295</v>
      </c>
      <c r="UZ319" s="56"/>
      <c r="VA319" s="242">
        <f>SUMPRODUCT(PRODUCE!$B318:$DY318,PRODUCE!$EB$57:$IY$57)</f>
        <v>0</v>
      </c>
      <c r="VB319" s="56"/>
      <c r="VC319" s="242">
        <f t="shared" si="2180"/>
        <v>0</v>
      </c>
      <c r="VD319" s="242">
        <f t="shared" si="2181"/>
        <v>41.600000000000023</v>
      </c>
      <c r="VE319" s="56"/>
      <c r="VH319" s="55">
        <f t="shared" si="2182"/>
        <v>46295</v>
      </c>
      <c r="VI319" s="56"/>
      <c r="VJ319" s="242">
        <f>SUMPRODUCT(PRODUCE!$B318:$DY318,PRODUCE!$EB$57:$IY$57)</f>
        <v>0</v>
      </c>
      <c r="VK319" s="56"/>
      <c r="VL319" s="242">
        <f t="shared" si="2183"/>
        <v>0</v>
      </c>
      <c r="VM319" s="242">
        <f t="shared" si="2184"/>
        <v>210</v>
      </c>
      <c r="VN319" s="56"/>
      <c r="VQ319" s="55">
        <f t="shared" si="2185"/>
        <v>46295</v>
      </c>
      <c r="VR319" s="56"/>
      <c r="VS319" s="242">
        <f>SUMPRODUCT(PRODUCE!$B318:$DY318,PRODUCE!$EB$57:$IY$57)</f>
        <v>0</v>
      </c>
      <c r="VT319" s="56"/>
      <c r="VU319" s="242">
        <f t="shared" si="2186"/>
        <v>0</v>
      </c>
      <c r="VV319" s="242">
        <f t="shared" si="2187"/>
        <v>0</v>
      </c>
      <c r="VW319" s="56"/>
      <c r="VZ319" s="55">
        <f t="shared" si="2188"/>
        <v>46295</v>
      </c>
      <c r="WA319" s="56"/>
      <c r="WB319" s="242">
        <f>SUMPRODUCT(PRODUCE!$B318:$DY318,PRODUCE!$EB$57:$IY$57)</f>
        <v>0</v>
      </c>
      <c r="WC319" s="56"/>
      <c r="WD319" s="242">
        <f t="shared" si="2189"/>
        <v>0</v>
      </c>
      <c r="WE319" s="242">
        <f t="shared" si="2190"/>
        <v>0</v>
      </c>
      <c r="WF319" s="56"/>
      <c r="WI319" s="55">
        <f t="shared" si="2191"/>
        <v>46295</v>
      </c>
      <c r="WJ319" s="56"/>
      <c r="WK319" s="242">
        <f>SUMPRODUCT(PRODUCE!$B318:$DY318,PRODUCE!$EB$57:$IY$57)</f>
        <v>0</v>
      </c>
      <c r="WL319" s="56"/>
      <c r="WM319" s="242">
        <f t="shared" si="2192"/>
        <v>0</v>
      </c>
      <c r="WN319" s="242">
        <f t="shared" si="2193"/>
        <v>1057</v>
      </c>
      <c r="WO319" s="56"/>
      <c r="WR319" s="55">
        <f t="shared" si="2194"/>
        <v>46295</v>
      </c>
      <c r="WS319" s="56"/>
      <c r="WT319" s="242">
        <f>SUMPRODUCT(PRODUCE!$B318:$DY318,PRODUCE!$EB$57:$IY$57)</f>
        <v>0</v>
      </c>
      <c r="WU319" s="56"/>
      <c r="WV319" s="242">
        <f t="shared" si="2195"/>
        <v>0</v>
      </c>
      <c r="WW319" s="242">
        <f t="shared" si="2196"/>
        <v>0</v>
      </c>
      <c r="WX319" s="56"/>
      <c r="XA319" s="55">
        <f t="shared" si="2197"/>
        <v>46295</v>
      </c>
      <c r="XB319" s="56"/>
      <c r="XC319" s="242">
        <f>SUMPRODUCT(PRODUCE!$B318:$DY318,PRODUCE!$EB$57:$IY$57)</f>
        <v>0</v>
      </c>
      <c r="XD319" s="56"/>
      <c r="XE319" s="242">
        <f t="shared" si="2198"/>
        <v>0</v>
      </c>
      <c r="XF319" s="242">
        <f t="shared" si="2199"/>
        <v>7507</v>
      </c>
      <c r="XG319" s="56"/>
      <c r="XJ319" s="55">
        <f t="shared" si="2200"/>
        <v>46295</v>
      </c>
      <c r="XK319" s="56"/>
      <c r="XL319" s="242">
        <f>SUMPRODUCT(PRODUCE!$B318:$DY318,PRODUCE!$EB$57:$IY$57)</f>
        <v>0</v>
      </c>
      <c r="XM319" s="56"/>
      <c r="XN319" s="242">
        <f t="shared" si="2201"/>
        <v>0</v>
      </c>
      <c r="XO319" s="242">
        <f t="shared" si="2202"/>
        <v>4252</v>
      </c>
      <c r="XP319" s="56"/>
      <c r="XS319" s="55">
        <f t="shared" si="2203"/>
        <v>46295</v>
      </c>
      <c r="XT319" s="56"/>
      <c r="XU319" s="242">
        <f>SUMPRODUCT(PRODUCE!$B318:$DY318,PRODUCE!$EB$57:$IY$57)</f>
        <v>0</v>
      </c>
      <c r="XV319" s="56"/>
      <c r="XW319" s="242">
        <f t="shared" si="2204"/>
        <v>0</v>
      </c>
      <c r="XX319" s="242">
        <f t="shared" si="2205"/>
        <v>2179</v>
      </c>
      <c r="XY319" s="56"/>
      <c r="YB319" s="55">
        <f t="shared" si="2206"/>
        <v>46295</v>
      </c>
      <c r="YC319" s="56"/>
      <c r="YD319" s="242">
        <f>SUMPRODUCT(PRODUCE!$B318:$DY318,PRODUCE!$EB$57:$IY$57)</f>
        <v>0</v>
      </c>
      <c r="YE319" s="56"/>
      <c r="YF319" s="242">
        <f t="shared" si="2207"/>
        <v>0</v>
      </c>
      <c r="YG319" s="242">
        <f t="shared" si="2208"/>
        <v>4019</v>
      </c>
      <c r="YH319" s="56"/>
      <c r="YK319" s="55">
        <f t="shared" si="2209"/>
        <v>46295</v>
      </c>
      <c r="YL319" s="56"/>
      <c r="YM319" s="242">
        <f>SUMPRODUCT(PRODUCE!$B318:$DY318,PRODUCE!$EB$57:$IY$57)</f>
        <v>0</v>
      </c>
      <c r="YN319" s="56"/>
      <c r="YO319" s="242">
        <f t="shared" si="2210"/>
        <v>0</v>
      </c>
      <c r="YP319" s="242">
        <f t="shared" si="2211"/>
        <v>-218</v>
      </c>
      <c r="YQ319" s="56"/>
      <c r="YT319" s="55">
        <f t="shared" si="2212"/>
        <v>46295</v>
      </c>
      <c r="YU319" s="56"/>
      <c r="YV319" s="242">
        <f>SUMPRODUCT(PRODUCE!$B318:$DY318,PRODUCE!$EB$57:$IY$57)</f>
        <v>0</v>
      </c>
      <c r="YW319" s="56"/>
      <c r="YX319" s="242">
        <f t="shared" si="2213"/>
        <v>0</v>
      </c>
      <c r="YY319" s="242">
        <f t="shared" si="2214"/>
        <v>0</v>
      </c>
      <c r="YZ319" s="56"/>
      <c r="ZC319" s="55">
        <f t="shared" si="2215"/>
        <v>46295</v>
      </c>
      <c r="ZD319" s="56"/>
      <c r="ZE319" s="242">
        <f>SUMPRODUCT(PRODUCE!$B318:$DY318,PRODUCE!$EB$57:$IY$57)</f>
        <v>0</v>
      </c>
      <c r="ZF319" s="56"/>
      <c r="ZG319" s="242">
        <f t="shared" si="2216"/>
        <v>0</v>
      </c>
      <c r="ZH319" s="242">
        <f t="shared" si="2217"/>
        <v>0</v>
      </c>
      <c r="ZI319" s="56"/>
      <c r="ZL319" s="55">
        <f t="shared" si="2218"/>
        <v>46295</v>
      </c>
      <c r="ZM319" s="56"/>
      <c r="ZN319" s="242">
        <f>SUMPRODUCT(PRODUCE!$B318:$DY318,PRODUCE!$EB$57:$IY$57)</f>
        <v>0</v>
      </c>
      <c r="ZO319" s="56"/>
      <c r="ZP319" s="242">
        <f t="shared" si="2219"/>
        <v>0</v>
      </c>
      <c r="ZQ319" s="242">
        <f t="shared" si="2220"/>
        <v>0</v>
      </c>
      <c r="ZR319" s="56"/>
      <c r="ZU319" s="55">
        <f t="shared" si="2221"/>
        <v>46295</v>
      </c>
      <c r="ZV319" s="56"/>
      <c r="ZW319" s="242">
        <f>SUMPRODUCT(PRODUCE!$B318:$DY318,PRODUCE!$EB$57:$IY$57)</f>
        <v>0</v>
      </c>
      <c r="ZX319" s="56"/>
      <c r="ZY319" s="242">
        <f t="shared" si="2222"/>
        <v>0</v>
      </c>
      <c r="ZZ319" s="242">
        <f t="shared" si="2223"/>
        <v>0</v>
      </c>
      <c r="AAA319" s="56"/>
      <c r="AAD319" s="55">
        <f t="shared" si="2224"/>
        <v>46295</v>
      </c>
      <c r="AAE319" s="56"/>
      <c r="AAF319" s="242">
        <f>SUMPRODUCT(PRODUCE!$B318:$DY318,PRODUCE!$EB$57:$IY$57)</f>
        <v>0</v>
      </c>
      <c r="AAG319" s="56"/>
      <c r="AAH319" s="242">
        <f t="shared" si="2225"/>
        <v>0</v>
      </c>
      <c r="AAI319" s="242">
        <f t="shared" si="2226"/>
        <v>0</v>
      </c>
      <c r="AAJ319" s="56"/>
      <c r="AAM319" s="55">
        <f t="shared" si="2227"/>
        <v>46295</v>
      </c>
      <c r="AAN319" s="56"/>
      <c r="AAO319" s="242">
        <f>SUMPRODUCT(PRODUCE!$B318:$DY318,PRODUCE!$EB$57:$IY$57)</f>
        <v>0</v>
      </c>
      <c r="AAP319" s="56"/>
      <c r="AAQ319" s="242">
        <f t="shared" si="2228"/>
        <v>0</v>
      </c>
      <c r="AAR319" s="242">
        <f t="shared" si="2229"/>
        <v>0</v>
      </c>
      <c r="AAS319" s="56"/>
      <c r="AAV319" s="55">
        <f t="shared" si="2230"/>
        <v>46295</v>
      </c>
      <c r="AAW319" s="56"/>
      <c r="AAX319" s="242">
        <f>SUMPRODUCT(PRODUCE!$B318:$DY318,PRODUCE!$EB$57:$IY$57)</f>
        <v>0</v>
      </c>
      <c r="AAY319" s="56"/>
      <c r="AAZ319" s="242">
        <f t="shared" si="2231"/>
        <v>0</v>
      </c>
      <c r="ABA319" s="242">
        <f t="shared" si="2232"/>
        <v>0</v>
      </c>
      <c r="ABB319" s="56"/>
      <c r="ABE319" s="55">
        <f t="shared" si="2233"/>
        <v>46295</v>
      </c>
      <c r="ABF319" s="56"/>
      <c r="ABG319" s="242">
        <f>SUMPRODUCT(PRODUCE!$B318:$DY318,PRODUCE!$EB$57:$IY$57)</f>
        <v>0</v>
      </c>
      <c r="ABH319" s="56"/>
      <c r="ABI319" s="242">
        <f t="shared" si="2234"/>
        <v>0</v>
      </c>
      <c r="ABJ319" s="242">
        <f t="shared" si="2235"/>
        <v>0</v>
      </c>
      <c r="ABK319" s="56"/>
    </row>
    <row r="320" spans="2:739" ht="14.45" thickBot="1">
      <c r="B320" s="480">
        <f>SUM(B289:B319)</f>
        <v>0</v>
      </c>
      <c r="C320" s="68" t="s">
        <v>72</v>
      </c>
      <c r="D320" s="73">
        <f>SUM(D290:D319)</f>
        <v>0</v>
      </c>
      <c r="E320" s="69">
        <f>SUM(E290:E319)</f>
        <v>0</v>
      </c>
      <c r="F320" s="69">
        <f>SUM(F290:F319)</f>
        <v>0</v>
      </c>
      <c r="G320" s="69">
        <f>SUM(G290:G319)</f>
        <v>0</v>
      </c>
      <c r="H320" s="70">
        <f>H319</f>
        <v>236936.6</v>
      </c>
      <c r="I320" s="289"/>
      <c r="L320" s="68" t="s">
        <v>72</v>
      </c>
      <c r="M320" s="73">
        <f>SUM(M290:M319)</f>
        <v>0</v>
      </c>
      <c r="N320" s="69">
        <f>SUM(N290:N319)</f>
        <v>0</v>
      </c>
      <c r="O320" s="69">
        <f>SUM(O290:O319)</f>
        <v>0</v>
      </c>
      <c r="P320" s="69">
        <f>SUM(P290:P319)</f>
        <v>0</v>
      </c>
      <c r="Q320" s="70">
        <f>Q319</f>
        <v>53017.600000000071</v>
      </c>
      <c r="R320" s="71"/>
      <c r="U320" s="68" t="s">
        <v>72</v>
      </c>
      <c r="V320" s="73">
        <f>SUM(V290:V319)</f>
        <v>0</v>
      </c>
      <c r="W320" s="69">
        <f>SUM(W290:W319)</f>
        <v>0</v>
      </c>
      <c r="X320" s="69">
        <f>SUM(X290:X319)</f>
        <v>0</v>
      </c>
      <c r="Y320" s="69">
        <f>SUM(Y290:Y319)</f>
        <v>0</v>
      </c>
      <c r="Z320" s="70">
        <f>Z319</f>
        <v>42674.199999999968</v>
      </c>
      <c r="AA320" s="71"/>
      <c r="AD320" s="68" t="s">
        <v>72</v>
      </c>
      <c r="AE320" s="73">
        <f>SUM(AE290:AE319)</f>
        <v>0</v>
      </c>
      <c r="AF320" s="69">
        <f>SUM(AF290:AF319)</f>
        <v>0</v>
      </c>
      <c r="AG320" s="69">
        <f>SUM(AG290:AG319)</f>
        <v>0</v>
      </c>
      <c r="AH320" s="69">
        <f>SUM(AH290:AH319)</f>
        <v>0</v>
      </c>
      <c r="AI320" s="70">
        <f>AI319</f>
        <v>4522.2000000000189</v>
      </c>
      <c r="AJ320" s="71"/>
      <c r="AM320" s="68" t="s">
        <v>72</v>
      </c>
      <c r="AN320" s="426">
        <f>SUM(AN290:AN319)</f>
        <v>0</v>
      </c>
      <c r="AO320" s="427">
        <f>SUM(AO290:AO319)</f>
        <v>0</v>
      </c>
      <c r="AP320" s="427">
        <f>SUM(AP290:AP319)</f>
        <v>0</v>
      </c>
      <c r="AQ320" s="427">
        <f>SUM(AQ290:AQ319)</f>
        <v>0</v>
      </c>
      <c r="AR320" s="428">
        <f>AR319</f>
        <v>0</v>
      </c>
      <c r="AS320" s="71"/>
      <c r="AV320" s="68" t="s">
        <v>72</v>
      </c>
      <c r="AW320" s="73">
        <f>SUM(AW290:AW319)</f>
        <v>0</v>
      </c>
      <c r="AX320" s="69">
        <f>SUM(AX290:AX319)</f>
        <v>0</v>
      </c>
      <c r="AY320" s="69">
        <f>SUM(AY290:AY319)</f>
        <v>0</v>
      </c>
      <c r="AZ320" s="69">
        <f>SUM(AZ290:AZ319)</f>
        <v>0</v>
      </c>
      <c r="BA320" s="70">
        <f>BA319</f>
        <v>124.99999999999523</v>
      </c>
      <c r="BB320" s="71"/>
      <c r="BE320" s="68" t="s">
        <v>72</v>
      </c>
      <c r="BF320" s="73">
        <f>SUM(BF290:BF319)</f>
        <v>0</v>
      </c>
      <c r="BG320" s="69">
        <f>SUM(BG290:BG319)</f>
        <v>0</v>
      </c>
      <c r="BH320" s="69">
        <f>SUM(BH290:BH319)</f>
        <v>0</v>
      </c>
      <c r="BI320" s="69">
        <f>SUM(BI290:BI319)</f>
        <v>0</v>
      </c>
      <c r="BJ320" s="70">
        <f>BJ319</f>
        <v>26151.899999999998</v>
      </c>
      <c r="BK320" s="71"/>
      <c r="BN320" s="68" t="s">
        <v>72</v>
      </c>
      <c r="BO320" s="73">
        <f>SUM(BO290:BO319)</f>
        <v>0</v>
      </c>
      <c r="BP320" s="69">
        <f>SUM(BP290:BP319)</f>
        <v>0</v>
      </c>
      <c r="BQ320" s="69">
        <f>SUM(BQ290:BQ319)</f>
        <v>0</v>
      </c>
      <c r="BR320" s="69">
        <f>SUM(BR290:BR319)</f>
        <v>0</v>
      </c>
      <c r="BS320" s="70">
        <f>BS319</f>
        <v>0</v>
      </c>
      <c r="BT320" s="71"/>
      <c r="BW320" s="68" t="s">
        <v>72</v>
      </c>
      <c r="BX320" s="73">
        <f>SUM(BX290:BX319)</f>
        <v>0</v>
      </c>
      <c r="BY320" s="69">
        <f>SUM(BY290:BY319)</f>
        <v>0</v>
      </c>
      <c r="BZ320" s="69">
        <f>SUM(BZ290:BZ319)</f>
        <v>0</v>
      </c>
      <c r="CA320" s="69">
        <f>SUM(CA290:CA319)</f>
        <v>0</v>
      </c>
      <c r="CB320" s="70">
        <f>CB319</f>
        <v>2097.3399999999992</v>
      </c>
      <c r="CC320" s="71"/>
      <c r="CF320" s="68" t="s">
        <v>72</v>
      </c>
      <c r="CG320" s="73">
        <f>SUM(CG290:CG319)</f>
        <v>0</v>
      </c>
      <c r="CH320" s="69">
        <f>SUM(CH290:CH319)</f>
        <v>0</v>
      </c>
      <c r="CI320" s="69">
        <f>SUM(CI290:CI319)</f>
        <v>0</v>
      </c>
      <c r="CJ320" s="69">
        <f>SUM(CJ290:CJ319)</f>
        <v>0</v>
      </c>
      <c r="CK320" s="70">
        <f>CK319</f>
        <v>-10277.079999999998</v>
      </c>
      <c r="CL320" s="71"/>
      <c r="CO320" s="72" t="s">
        <v>72</v>
      </c>
      <c r="CP320" s="426">
        <f>SUM(CP290:CP319)</f>
        <v>0</v>
      </c>
      <c r="CQ320" s="427">
        <f>SUM(CQ290:CQ319)</f>
        <v>0</v>
      </c>
      <c r="CR320" s="427">
        <f>SUM(CR290:CR319)</f>
        <v>0</v>
      </c>
      <c r="CS320" s="427">
        <f>SUM(CS290:CS319)</f>
        <v>0</v>
      </c>
      <c r="CT320" s="428">
        <f>CT319</f>
        <v>0</v>
      </c>
      <c r="CU320" s="71"/>
      <c r="CX320" s="72" t="s">
        <v>72</v>
      </c>
      <c r="CY320" s="73">
        <f>SUM(CY290:CY319)</f>
        <v>0</v>
      </c>
      <c r="CZ320" s="69">
        <f>SUM(CZ290:CZ319)</f>
        <v>0</v>
      </c>
      <c r="DA320" s="69">
        <f>SUM(DA290:DA319)</f>
        <v>0</v>
      </c>
      <c r="DB320" s="69">
        <f>SUM(DB290:DB319)</f>
        <v>0</v>
      </c>
      <c r="DC320" s="70">
        <f>DC319</f>
        <v>27438.200000000012</v>
      </c>
      <c r="DD320" s="71"/>
      <c r="DG320" s="72" t="s">
        <v>72</v>
      </c>
      <c r="DH320" s="73">
        <f>SUM(DH290:DH319)</f>
        <v>0</v>
      </c>
      <c r="DI320" s="148">
        <f>SUM(DI290:DI319)</f>
        <v>0</v>
      </c>
      <c r="DJ320" s="69">
        <f>SUM(DJ290:DJ319)</f>
        <v>0</v>
      </c>
      <c r="DK320" s="148">
        <f>SUM(DK290:DK319)</f>
        <v>0</v>
      </c>
      <c r="DL320" s="154">
        <f>DL319</f>
        <v>18782.299999999981</v>
      </c>
      <c r="DM320" s="71"/>
      <c r="DP320" s="72" t="s">
        <v>72</v>
      </c>
      <c r="DQ320" s="73">
        <f>SUM(DQ290:DQ319)</f>
        <v>0</v>
      </c>
      <c r="DR320" s="69">
        <f>SUM(DR290:DR319)</f>
        <v>0</v>
      </c>
      <c r="DS320" s="69">
        <f>SUM(DS290:DS319)</f>
        <v>0</v>
      </c>
      <c r="DT320" s="69">
        <f>SUM(DT290:DT319)</f>
        <v>0</v>
      </c>
      <c r="DU320" s="70">
        <f>DU319</f>
        <v>5800</v>
      </c>
      <c r="DV320" s="71"/>
      <c r="DY320" s="72" t="s">
        <v>72</v>
      </c>
      <c r="DZ320" s="73">
        <f>SUM(DZ290:DZ319)</f>
        <v>0</v>
      </c>
      <c r="EA320" s="69">
        <f>SUM(EA290:EA319)</f>
        <v>0</v>
      </c>
      <c r="EB320" s="69">
        <f>SUM(EB290:EB319)</f>
        <v>0</v>
      </c>
      <c r="EC320" s="69">
        <f>SUM(EC290:EC319)</f>
        <v>0</v>
      </c>
      <c r="ED320" s="70">
        <f>ED319</f>
        <v>0</v>
      </c>
      <c r="EE320" s="71"/>
      <c r="EH320" s="72" t="s">
        <v>72</v>
      </c>
      <c r="EI320" s="73">
        <f>SUM(EI290:EI319)</f>
        <v>0</v>
      </c>
      <c r="EJ320" s="69">
        <f>SUM(EJ290:EJ319)</f>
        <v>0</v>
      </c>
      <c r="EK320" s="69">
        <f>SUM(EK290:EK319)</f>
        <v>0</v>
      </c>
      <c r="EL320" s="69">
        <f>SUM(EL290:EL319)</f>
        <v>0</v>
      </c>
      <c r="EM320" s="70">
        <f>EM319</f>
        <v>0</v>
      </c>
      <c r="EN320" s="71"/>
      <c r="EQ320" s="72" t="s">
        <v>72</v>
      </c>
      <c r="ER320" s="73">
        <f>SUM(ER290:ER319)</f>
        <v>0</v>
      </c>
      <c r="ES320" s="69">
        <f>SUM(ES290:ES319)</f>
        <v>0</v>
      </c>
      <c r="ET320" s="69">
        <f>SUM(ET290:ET319)</f>
        <v>0</v>
      </c>
      <c r="EU320" s="69">
        <f>SUM(EU290:EU319)</f>
        <v>0</v>
      </c>
      <c r="EV320" s="70">
        <f>EV319</f>
        <v>0</v>
      </c>
      <c r="EW320" s="71"/>
      <c r="EZ320" s="72" t="s">
        <v>72</v>
      </c>
      <c r="FA320" s="73">
        <f>SUM(FA290:FA319)</f>
        <v>0</v>
      </c>
      <c r="FB320" s="69">
        <f>SUM(FB290:FB319)</f>
        <v>0</v>
      </c>
      <c r="FC320" s="69">
        <f>SUM(FC290:FC319)</f>
        <v>0</v>
      </c>
      <c r="FD320" s="69">
        <f>SUM(FD290:FD319)</f>
        <v>0</v>
      </c>
      <c r="FE320" s="70">
        <f>FE319</f>
        <v>0</v>
      </c>
      <c r="FF320" s="71"/>
      <c r="FI320" s="72" t="s">
        <v>72</v>
      </c>
      <c r="FJ320" s="73">
        <f>SUM(FJ290:FJ319)</f>
        <v>0</v>
      </c>
      <c r="FK320" s="69">
        <f>SUM(FK290:FK319)</f>
        <v>0</v>
      </c>
      <c r="FL320" s="69">
        <f>SUM(FL290:FL319)</f>
        <v>0</v>
      </c>
      <c r="FM320" s="69">
        <f>SUM(FM290:FM319)</f>
        <v>0</v>
      </c>
      <c r="FN320" s="70">
        <f>FN319</f>
        <v>0</v>
      </c>
      <c r="FO320" s="71"/>
      <c r="FR320" s="72" t="s">
        <v>72</v>
      </c>
      <c r="FS320" s="73">
        <f>SUM(FS290:FS319)</f>
        <v>0</v>
      </c>
      <c r="FT320" s="69">
        <f>SUM(FT290:FT319)</f>
        <v>0</v>
      </c>
      <c r="FU320" s="69">
        <f>SUM(FU290:FU319)</f>
        <v>0</v>
      </c>
      <c r="FV320" s="69">
        <f>SUM(FV290:FV319)</f>
        <v>0</v>
      </c>
      <c r="FW320" s="70">
        <f>FW319</f>
        <v>2020</v>
      </c>
      <c r="FX320" s="71"/>
      <c r="GA320" s="72" t="s">
        <v>72</v>
      </c>
      <c r="GB320" s="73">
        <f>SUM(GB290:GB319)</f>
        <v>0</v>
      </c>
      <c r="GC320" s="69">
        <f>SUM(GC290:GC319)</f>
        <v>0</v>
      </c>
      <c r="GD320" s="69">
        <f>SUM(GD290:GD319)</f>
        <v>0</v>
      </c>
      <c r="GE320" s="69">
        <f>SUM(GE290:GE319)</f>
        <v>0</v>
      </c>
      <c r="GF320" s="70">
        <f>GF319</f>
        <v>960</v>
      </c>
      <c r="GG320" s="71"/>
      <c r="GJ320" s="72" t="s">
        <v>72</v>
      </c>
      <c r="GK320" s="73">
        <f>SUM(GK290:GK319)</f>
        <v>0</v>
      </c>
      <c r="GL320" s="69">
        <f>SUM(GL290:GL319)</f>
        <v>0</v>
      </c>
      <c r="GM320" s="69">
        <f>SUM(GM290:GM319)</f>
        <v>0</v>
      </c>
      <c r="GN320" s="69">
        <f>SUM(GN290:GN319)</f>
        <v>0</v>
      </c>
      <c r="GO320" s="70">
        <f>GO319</f>
        <v>1760</v>
      </c>
      <c r="GP320" s="71"/>
      <c r="GS320" s="72" t="s">
        <v>72</v>
      </c>
      <c r="GT320" s="73">
        <f>SUM(GT290:GT319)</f>
        <v>0</v>
      </c>
      <c r="GU320" s="69">
        <f>SUM(GU290:GU319)</f>
        <v>0</v>
      </c>
      <c r="GV320" s="69">
        <f>SUM(GV290:GV319)</f>
        <v>0</v>
      </c>
      <c r="GW320" s="69">
        <f>SUM(GW290:GW319)</f>
        <v>0</v>
      </c>
      <c r="GX320" s="70">
        <f>GX319</f>
        <v>400</v>
      </c>
      <c r="GY320" s="71"/>
      <c r="HB320" s="72" t="s">
        <v>72</v>
      </c>
      <c r="HC320" s="73">
        <f>SUM(HC290:HC319)</f>
        <v>0</v>
      </c>
      <c r="HD320" s="69">
        <f>SUM(HD290:HD319)</f>
        <v>0</v>
      </c>
      <c r="HE320" s="69">
        <f>SUM(HE290:HE319)</f>
        <v>0</v>
      </c>
      <c r="HF320" s="69">
        <f>SUM(HF290:HF319)</f>
        <v>0</v>
      </c>
      <c r="HG320" s="70">
        <f>HG319</f>
        <v>3600</v>
      </c>
      <c r="HH320" s="71"/>
      <c r="HK320" s="72" t="s">
        <v>72</v>
      </c>
      <c r="HL320" s="73">
        <f>SUM(HL290:HL319)</f>
        <v>0</v>
      </c>
      <c r="HM320" s="69">
        <f>SUM(HM290:HM319)</f>
        <v>0</v>
      </c>
      <c r="HN320" s="69">
        <f>SUM(HN290:HN319)</f>
        <v>0</v>
      </c>
      <c r="HO320" s="69">
        <f>SUM(HO290:HO319)</f>
        <v>0</v>
      </c>
      <c r="HP320" s="70">
        <f>HP319</f>
        <v>0</v>
      </c>
      <c r="HQ320" s="71"/>
      <c r="HU320" s="72" t="s">
        <v>72</v>
      </c>
      <c r="HV320" s="73">
        <f>SUM(HV290:HV319)</f>
        <v>0</v>
      </c>
      <c r="HW320" s="69">
        <f>SUM(HW290:HW319)</f>
        <v>0</v>
      </c>
      <c r="HX320" s="69">
        <f>SUM(HX290:HX319)</f>
        <v>0</v>
      </c>
      <c r="HY320" s="69">
        <f>SUM(HY290:HY319)</f>
        <v>0</v>
      </c>
      <c r="HZ320" s="70">
        <f>HZ319</f>
        <v>6120</v>
      </c>
      <c r="IA320" s="71"/>
      <c r="ID320" s="72" t="s">
        <v>72</v>
      </c>
      <c r="IE320" s="73">
        <f>SUM(IE290:IE319)</f>
        <v>0</v>
      </c>
      <c r="IF320" s="69">
        <f>SUM(IF290:IF319)</f>
        <v>0</v>
      </c>
      <c r="IG320" s="69">
        <f>SUM(IG290:IG319)</f>
        <v>0</v>
      </c>
      <c r="IH320" s="69">
        <f>SUM(IH290:IH319)</f>
        <v>0</v>
      </c>
      <c r="II320" s="70">
        <f>II319</f>
        <v>0</v>
      </c>
      <c r="IJ320" s="71"/>
      <c r="IM320" s="72" t="s">
        <v>72</v>
      </c>
      <c r="IN320" s="73">
        <f>SUM(IN290:IN319)</f>
        <v>0</v>
      </c>
      <c r="IO320" s="69">
        <f>SUM(IO290:IO319)</f>
        <v>0</v>
      </c>
      <c r="IP320" s="69">
        <f>SUM(IP290:IP319)</f>
        <v>0</v>
      </c>
      <c r="IQ320" s="69">
        <f>SUM(IQ290:IQ319)</f>
        <v>0</v>
      </c>
      <c r="IR320" s="70">
        <f>IR319</f>
        <v>0</v>
      </c>
      <c r="IS320" s="71"/>
      <c r="IV320" s="72" t="s">
        <v>72</v>
      </c>
      <c r="IW320" s="73">
        <f>SUM(IW290:IW319)</f>
        <v>0</v>
      </c>
      <c r="IX320" s="69">
        <f>SUM(IX290:IX319)</f>
        <v>0</v>
      </c>
      <c r="IY320" s="69">
        <f>SUM(IY290:IY319)</f>
        <v>0</v>
      </c>
      <c r="IZ320" s="69">
        <f>SUM(IZ290:IZ319)</f>
        <v>0</v>
      </c>
      <c r="JA320" s="70">
        <f>JA319</f>
        <v>2820</v>
      </c>
      <c r="JB320" s="71"/>
      <c r="JE320" s="72" t="s">
        <v>72</v>
      </c>
      <c r="JF320" s="73">
        <f>SUM(JF290:JF319)</f>
        <v>0</v>
      </c>
      <c r="JG320" s="69">
        <f>SUM(JG290:JG319)</f>
        <v>0</v>
      </c>
      <c r="JH320" s="69">
        <f>SUM(JH290:JH319)</f>
        <v>0</v>
      </c>
      <c r="JI320" s="69">
        <f>SUM(JI290:JI319)</f>
        <v>0</v>
      </c>
      <c r="JJ320" s="70">
        <f>JJ319</f>
        <v>0</v>
      </c>
      <c r="JK320" s="71"/>
      <c r="JN320" s="72" t="s">
        <v>72</v>
      </c>
      <c r="JO320" s="73">
        <f>SUM(JO290:JO319)</f>
        <v>0</v>
      </c>
      <c r="JP320" s="69">
        <f>SUM(JP290:JP319)</f>
        <v>0</v>
      </c>
      <c r="JQ320" s="69">
        <f>SUM(JQ290:JQ319)</f>
        <v>0</v>
      </c>
      <c r="JR320" s="69">
        <f>SUM(JR290:JR319)</f>
        <v>0</v>
      </c>
      <c r="JS320" s="70">
        <f>JS319</f>
        <v>0</v>
      </c>
      <c r="JT320" s="71"/>
      <c r="JW320" s="72" t="s">
        <v>72</v>
      </c>
      <c r="JX320" s="73">
        <f>SUM(JX290:JX319)</f>
        <v>0</v>
      </c>
      <c r="JY320" s="69">
        <f>SUM(JY290:JY319)</f>
        <v>0</v>
      </c>
      <c r="JZ320" s="69">
        <f>SUM(JZ290:JZ319)</f>
        <v>0</v>
      </c>
      <c r="KA320" s="69">
        <f>SUM(KA290:KA319)</f>
        <v>0</v>
      </c>
      <c r="KB320" s="70">
        <f>KB319</f>
        <v>2540</v>
      </c>
      <c r="KC320" s="71"/>
      <c r="KF320" s="72" t="s">
        <v>72</v>
      </c>
      <c r="KG320" s="73">
        <f>SUM(KG290:KG319)</f>
        <v>0</v>
      </c>
      <c r="KH320" s="69">
        <f>SUM(KH290:KH319)</f>
        <v>0</v>
      </c>
      <c r="KI320" s="69">
        <f>SUM(KI290:KI319)</f>
        <v>0</v>
      </c>
      <c r="KJ320" s="69">
        <f>SUM(KJ290:KJ319)</f>
        <v>0</v>
      </c>
      <c r="KK320" s="70">
        <f>KK319</f>
        <v>2359.5</v>
      </c>
      <c r="KL320" s="71"/>
      <c r="KO320" s="72" t="s">
        <v>72</v>
      </c>
      <c r="KP320" s="73">
        <f>SUM(KP290:KP319)</f>
        <v>0</v>
      </c>
      <c r="KQ320" s="69">
        <f>SUM(KQ290:KQ319)</f>
        <v>0</v>
      </c>
      <c r="KR320" s="69">
        <f>SUM(KR290:KR319)</f>
        <v>0</v>
      </c>
      <c r="KS320" s="69">
        <f>SUM(KS290:KS319)</f>
        <v>0</v>
      </c>
      <c r="KT320" s="70">
        <f>KT319</f>
        <v>1890</v>
      </c>
      <c r="KU320" s="71"/>
      <c r="KX320" s="72" t="s">
        <v>72</v>
      </c>
      <c r="KY320" s="73">
        <f>SUM(KY290:KY319)</f>
        <v>0</v>
      </c>
      <c r="KZ320" s="69">
        <f>SUM(KZ290:KZ319)</f>
        <v>0</v>
      </c>
      <c r="LA320" s="69">
        <f>SUM(LA290:LA319)</f>
        <v>0</v>
      </c>
      <c r="LB320" s="69">
        <f>SUM(LB290:LB319)</f>
        <v>0</v>
      </c>
      <c r="LC320" s="70">
        <f>LC319</f>
        <v>3690</v>
      </c>
      <c r="LD320" s="71"/>
      <c r="LG320" s="72" t="s">
        <v>72</v>
      </c>
      <c r="LH320" s="73">
        <f>SUM(LH290:LH319)</f>
        <v>0</v>
      </c>
      <c r="LI320" s="69">
        <f>SUM(LI290:LI319)</f>
        <v>0</v>
      </c>
      <c r="LJ320" s="69">
        <f>SUM(LJ290:LJ319)</f>
        <v>0</v>
      </c>
      <c r="LK320" s="69">
        <f>SUM(LK290:LK319)</f>
        <v>0</v>
      </c>
      <c r="LL320" s="70">
        <f>LL319</f>
        <v>4000</v>
      </c>
      <c r="LM320" s="71"/>
      <c r="LP320" s="72" t="s">
        <v>72</v>
      </c>
      <c r="LQ320" s="73">
        <f>SUM(LQ290:LQ319)</f>
        <v>0</v>
      </c>
      <c r="LR320" s="69">
        <f>SUM(LR290:LR319)</f>
        <v>0</v>
      </c>
      <c r="LS320" s="69">
        <f>SUM(LS290:LS319)</f>
        <v>0</v>
      </c>
      <c r="LT320" s="69">
        <f>SUM(LT290:LT319)</f>
        <v>0</v>
      </c>
      <c r="LU320" s="70">
        <f>LU319</f>
        <v>0</v>
      </c>
      <c r="LV320" s="71"/>
      <c r="LY320" s="72" t="s">
        <v>72</v>
      </c>
      <c r="LZ320" s="73">
        <f>SUM(LZ290:LZ319)</f>
        <v>0</v>
      </c>
      <c r="MA320" s="69">
        <f>SUM(MA290:MA319)</f>
        <v>0</v>
      </c>
      <c r="MB320" s="69">
        <f>SUM(MB290:MB319)</f>
        <v>0</v>
      </c>
      <c r="MC320" s="69">
        <f>SUM(MC290:MC319)</f>
        <v>0</v>
      </c>
      <c r="MD320" s="70">
        <f>MD319</f>
        <v>0</v>
      </c>
      <c r="ME320" s="71"/>
      <c r="MH320" s="72" t="s">
        <v>72</v>
      </c>
      <c r="MI320" s="73">
        <f>SUM(MI290:MI319)</f>
        <v>0</v>
      </c>
      <c r="MJ320" s="69">
        <f>SUM(MJ290:MJ319)</f>
        <v>0</v>
      </c>
      <c r="MK320" s="69">
        <f>SUM(MK290:MK319)</f>
        <v>0</v>
      </c>
      <c r="ML320" s="69">
        <f>SUM(ML290:ML319)</f>
        <v>0</v>
      </c>
      <c r="MM320" s="70">
        <f>MM319</f>
        <v>0</v>
      </c>
      <c r="MN320" s="71"/>
      <c r="MQ320" s="72" t="s">
        <v>72</v>
      </c>
      <c r="MR320" s="73">
        <f>SUM(MR290:MR319)</f>
        <v>0</v>
      </c>
      <c r="MS320" s="69">
        <f>SUM(MS290:MS319)</f>
        <v>0</v>
      </c>
      <c r="MT320" s="69">
        <f>SUM(MT290:MT319)</f>
        <v>0</v>
      </c>
      <c r="MU320" s="69">
        <f>SUM(MU290:MU319)</f>
        <v>0</v>
      </c>
      <c r="MV320" s="70">
        <f>MV319</f>
        <v>1625</v>
      </c>
      <c r="MW320" s="71"/>
      <c r="MZ320" s="72" t="s">
        <v>72</v>
      </c>
      <c r="NA320" s="73">
        <f>SUM(NA290:NA319)</f>
        <v>0</v>
      </c>
      <c r="NB320" s="69">
        <f>SUM(NB290:NB319)</f>
        <v>0</v>
      </c>
      <c r="NC320" s="69">
        <f>SUM(NC290:NC319)</f>
        <v>0</v>
      </c>
      <c r="ND320" s="69">
        <f>SUM(ND290:ND319)</f>
        <v>0</v>
      </c>
      <c r="NE320" s="70">
        <f>NE319</f>
        <v>0</v>
      </c>
      <c r="NF320" s="71"/>
      <c r="NI320" s="72" t="s">
        <v>72</v>
      </c>
      <c r="NJ320" s="73">
        <f>SUM(NJ290:NJ319)</f>
        <v>0</v>
      </c>
      <c r="NK320" s="69">
        <f>SUM(NK290:NK319)</f>
        <v>0</v>
      </c>
      <c r="NL320" s="69">
        <f>SUM(NL290:NL319)</f>
        <v>0</v>
      </c>
      <c r="NM320" s="69">
        <f>SUM(NM290:NM319)</f>
        <v>0</v>
      </c>
      <c r="NN320" s="70">
        <f>NN319</f>
        <v>1127</v>
      </c>
      <c r="NO320" s="71"/>
      <c r="NR320" s="72" t="s">
        <v>72</v>
      </c>
      <c r="NS320" s="73">
        <f>SUM(NS290:NS319)</f>
        <v>0</v>
      </c>
      <c r="NT320" s="69">
        <f>SUM(NT290:NT319)</f>
        <v>0</v>
      </c>
      <c r="NU320" s="69">
        <f>SUM(NU290:NU319)</f>
        <v>0</v>
      </c>
      <c r="NV320" s="69">
        <f>SUM(NV290:NV319)</f>
        <v>0</v>
      </c>
      <c r="NW320" s="70">
        <f>NW319</f>
        <v>3111.9999999999995</v>
      </c>
      <c r="NX320" s="71"/>
      <c r="OA320" s="72" t="s">
        <v>72</v>
      </c>
      <c r="OB320" s="73">
        <f>SUM(OB290:OB319)</f>
        <v>0</v>
      </c>
      <c r="OC320" s="69">
        <f>SUM(OC290:OC319)</f>
        <v>0</v>
      </c>
      <c r="OD320" s="69">
        <f>SUM(OD290:OD319)</f>
        <v>0</v>
      </c>
      <c r="OE320" s="69">
        <f>SUM(OE290:OE319)</f>
        <v>0</v>
      </c>
      <c r="OF320" s="70">
        <f>OF319</f>
        <v>1680.5</v>
      </c>
      <c r="OG320" s="71"/>
      <c r="OJ320" s="72" t="s">
        <v>72</v>
      </c>
      <c r="OK320" s="73">
        <f>SUM(OK290:OK319)</f>
        <v>0</v>
      </c>
      <c r="OL320" s="69">
        <f>SUM(OL290:OL319)</f>
        <v>0</v>
      </c>
      <c r="OM320" s="69">
        <f>SUM(OM290:OM319)</f>
        <v>0</v>
      </c>
      <c r="ON320" s="69">
        <f>SUM(ON290:ON319)</f>
        <v>0</v>
      </c>
      <c r="OO320" s="70">
        <f>OO319</f>
        <v>0</v>
      </c>
      <c r="OP320" s="71"/>
      <c r="OS320" s="72" t="s">
        <v>72</v>
      </c>
      <c r="OT320" s="73">
        <f>SUM(OT290:OT319)</f>
        <v>0</v>
      </c>
      <c r="OU320" s="69">
        <f>SUM(OU290:OU319)</f>
        <v>0</v>
      </c>
      <c r="OV320" s="69">
        <f>SUM(OV290:OV319)</f>
        <v>0</v>
      </c>
      <c r="OW320" s="69">
        <f>SUM(OW290:OW319)</f>
        <v>0</v>
      </c>
      <c r="OX320" s="70">
        <f>OX319</f>
        <v>1482</v>
      </c>
      <c r="OY320" s="71"/>
      <c r="PB320" s="72" t="s">
        <v>72</v>
      </c>
      <c r="PC320" s="73">
        <f>SUM(PC290:PC319)</f>
        <v>0</v>
      </c>
      <c r="PD320" s="69">
        <f>SUM(PD290:PD319)</f>
        <v>0</v>
      </c>
      <c r="PE320" s="69">
        <f>SUM(PE290:PE319)</f>
        <v>0</v>
      </c>
      <c r="PF320" s="69">
        <f>SUM(PF290:PF319)</f>
        <v>0</v>
      </c>
      <c r="PG320" s="70">
        <f>PG319</f>
        <v>0</v>
      </c>
      <c r="PH320" s="71"/>
      <c r="PK320" s="72" t="s">
        <v>72</v>
      </c>
      <c r="PL320" s="73">
        <f>SUM(PL290:PL319)</f>
        <v>0</v>
      </c>
      <c r="PM320" s="69">
        <f>SUM(PM290:PM319)</f>
        <v>0</v>
      </c>
      <c r="PN320" s="69">
        <f>SUM(PN290:PN319)</f>
        <v>0</v>
      </c>
      <c r="PO320" s="69">
        <f>SUM(PO290:PO319)</f>
        <v>0</v>
      </c>
      <c r="PP320" s="70">
        <f>PP319</f>
        <v>100</v>
      </c>
      <c r="PQ320" s="71"/>
      <c r="PT320" s="72" t="s">
        <v>72</v>
      </c>
      <c r="PU320" s="73">
        <f>SUM(PU290:PU319)</f>
        <v>0</v>
      </c>
      <c r="PV320" s="69">
        <f>SUM(PV290:PV319)</f>
        <v>0</v>
      </c>
      <c r="PW320" s="69">
        <f>SUM(PW290:PW319)</f>
        <v>0</v>
      </c>
      <c r="PX320" s="69">
        <f>SUM(PX290:PX319)</f>
        <v>0</v>
      </c>
      <c r="PY320" s="70">
        <f>PY319</f>
        <v>13.960000000000036</v>
      </c>
      <c r="PZ320" s="71"/>
      <c r="QC320" s="72" t="s">
        <v>72</v>
      </c>
      <c r="QD320" s="73">
        <f>SUM(QD290:QD319)</f>
        <v>0</v>
      </c>
      <c r="QE320" s="69">
        <f>SUM(QE290:QE319)</f>
        <v>0</v>
      </c>
      <c r="QF320" s="69">
        <f>SUM(QF290:QF319)</f>
        <v>0</v>
      </c>
      <c r="QG320" s="69">
        <f>SUM(QG290:QG319)</f>
        <v>0</v>
      </c>
      <c r="QH320" s="70">
        <f>QH319</f>
        <v>548</v>
      </c>
      <c r="QI320" s="71"/>
      <c r="QL320" s="72" t="s">
        <v>72</v>
      </c>
      <c r="QM320" s="73">
        <f>SUM(QM290:QM319)</f>
        <v>0</v>
      </c>
      <c r="QN320" s="69">
        <f>SUM(QN290:QN319)</f>
        <v>0</v>
      </c>
      <c r="QO320" s="69">
        <f>SUM(QO290:QO319)</f>
        <v>0</v>
      </c>
      <c r="QP320" s="69">
        <f>SUM(QP290:QP319)</f>
        <v>0</v>
      </c>
      <c r="QQ320" s="70">
        <f>QQ319</f>
        <v>0</v>
      </c>
      <c r="QR320" s="71"/>
      <c r="QU320" s="72" t="s">
        <v>72</v>
      </c>
      <c r="QV320" s="73">
        <f>SUM(QV290:QV319)</f>
        <v>0</v>
      </c>
      <c r="QW320" s="69">
        <f>SUM(QW290:QW319)</f>
        <v>0</v>
      </c>
      <c r="QX320" s="69">
        <f>SUM(QX290:QX319)</f>
        <v>0</v>
      </c>
      <c r="QY320" s="69">
        <f>SUM(QY290:QY319)</f>
        <v>0</v>
      </c>
      <c r="QZ320" s="70">
        <f>QZ319</f>
        <v>0</v>
      </c>
      <c r="RA320" s="71"/>
      <c r="RD320" s="72" t="s">
        <v>72</v>
      </c>
      <c r="RE320" s="73">
        <f>SUM(RE290:RE319)</f>
        <v>0</v>
      </c>
      <c r="RF320" s="69">
        <f>SUM(RF290:RF319)</f>
        <v>0</v>
      </c>
      <c r="RG320" s="69">
        <f>SUM(RG290:RG319)</f>
        <v>0</v>
      </c>
      <c r="RH320" s="69">
        <f>SUM(RH290:RH319)</f>
        <v>0</v>
      </c>
      <c r="RI320" s="70">
        <f>RI319</f>
        <v>147.04000000000002</v>
      </c>
      <c r="RJ320" s="71"/>
      <c r="RM320" s="72" t="s">
        <v>72</v>
      </c>
      <c r="RN320" s="73">
        <f>SUM(RN290:RN319)</f>
        <v>0</v>
      </c>
      <c r="RO320" s="69">
        <f>SUM(RO290:RO319)</f>
        <v>0</v>
      </c>
      <c r="RP320" s="69">
        <f>SUM(RP290:RP319)</f>
        <v>0</v>
      </c>
      <c r="RQ320" s="69">
        <f>SUM(RQ290:RQ319)</f>
        <v>0</v>
      </c>
      <c r="RR320" s="70">
        <f>RR319</f>
        <v>46.8</v>
      </c>
      <c r="RS320" s="71"/>
      <c r="RV320" s="72" t="s">
        <v>72</v>
      </c>
      <c r="RW320" s="73">
        <f>SUM(RW290:RW319)</f>
        <v>0</v>
      </c>
      <c r="RX320" s="69">
        <f>SUM(RX290:RX319)</f>
        <v>0</v>
      </c>
      <c r="RY320" s="69">
        <f>SUM(RY290:RY319)</f>
        <v>0</v>
      </c>
      <c r="RZ320" s="69">
        <f>SUM(RZ290:RZ319)</f>
        <v>0</v>
      </c>
      <c r="SA320" s="70">
        <f>SA319</f>
        <v>0</v>
      </c>
      <c r="SB320" s="71"/>
      <c r="SE320" s="72" t="s">
        <v>72</v>
      </c>
      <c r="SF320" s="73">
        <f>SUM(SF290:SF319)</f>
        <v>0</v>
      </c>
      <c r="SG320" s="69">
        <f>SUM(SG290:SG319)</f>
        <v>0</v>
      </c>
      <c r="SH320" s="69">
        <f>SUM(SH290:SH319)</f>
        <v>0</v>
      </c>
      <c r="SI320" s="69">
        <f>SUM(SI290:SI319)</f>
        <v>0</v>
      </c>
      <c r="SJ320" s="70">
        <f>SJ319</f>
        <v>24.200000000000003</v>
      </c>
      <c r="SK320" s="71"/>
      <c r="SN320" s="72" t="s">
        <v>72</v>
      </c>
      <c r="SO320" s="73">
        <f>SUM(SO290:SO319)</f>
        <v>0</v>
      </c>
      <c r="SP320" s="69">
        <f>SUM(SP290:SP319)</f>
        <v>0</v>
      </c>
      <c r="SQ320" s="69">
        <f>SUM(SQ290:SQ319)</f>
        <v>0</v>
      </c>
      <c r="SR320" s="69">
        <f>SUM(SR290:SR319)</f>
        <v>0</v>
      </c>
      <c r="SS320" s="70">
        <f>SS319</f>
        <v>32</v>
      </c>
      <c r="ST320" s="71"/>
      <c r="SW320" s="72" t="s">
        <v>72</v>
      </c>
      <c r="SX320" s="73">
        <f>SUM(SX290:SX319)</f>
        <v>0</v>
      </c>
      <c r="SY320" s="69">
        <f>SUM(SY290:SY319)</f>
        <v>0</v>
      </c>
      <c r="SZ320" s="69">
        <f>SUM(SZ290:SZ319)</f>
        <v>0</v>
      </c>
      <c r="TA320" s="69">
        <f>SUM(TA290:TA319)</f>
        <v>0</v>
      </c>
      <c r="TB320" s="70">
        <f>TB319</f>
        <v>0</v>
      </c>
      <c r="TC320" s="71"/>
      <c r="TF320" s="72" t="s">
        <v>72</v>
      </c>
      <c r="TG320" s="73">
        <f>SUM(TG290:TG319)</f>
        <v>0</v>
      </c>
      <c r="TH320" s="69">
        <f>SUM(TH290:TH319)</f>
        <v>0</v>
      </c>
      <c r="TI320" s="69">
        <f>SUM(TI290:TI319)</f>
        <v>0</v>
      </c>
      <c r="TJ320" s="69">
        <f>SUM(TJ290:TJ319)</f>
        <v>0</v>
      </c>
      <c r="TK320" s="70">
        <f>TK319</f>
        <v>0</v>
      </c>
      <c r="TL320" s="71"/>
      <c r="TO320" s="72" t="s">
        <v>72</v>
      </c>
      <c r="TP320" s="73">
        <f>SUM(TP290:TP319)</f>
        <v>0</v>
      </c>
      <c r="TQ320" s="69">
        <f>SUM(TQ290:TQ319)</f>
        <v>0</v>
      </c>
      <c r="TR320" s="69">
        <f>SUM(TR290:TR319)</f>
        <v>0</v>
      </c>
      <c r="TS320" s="69">
        <f>SUM(TS290:TS319)</f>
        <v>0</v>
      </c>
      <c r="TT320" s="70">
        <f>TT319</f>
        <v>0</v>
      </c>
      <c r="TU320" s="71"/>
      <c r="TX320" s="72" t="s">
        <v>72</v>
      </c>
      <c r="TY320" s="73">
        <f>SUM(TY290:TY319)</f>
        <v>0</v>
      </c>
      <c r="TZ320" s="69">
        <f>SUM(TZ290:TZ319)</f>
        <v>0</v>
      </c>
      <c r="UA320" s="69">
        <f>SUM(UA290:UA319)</f>
        <v>0</v>
      </c>
      <c r="UB320" s="69">
        <f>SUM(UB290:UB319)</f>
        <v>0</v>
      </c>
      <c r="UC320" s="70">
        <f>UC319</f>
        <v>46.799999999999983</v>
      </c>
      <c r="UD320" s="71"/>
      <c r="UG320" s="72" t="s">
        <v>72</v>
      </c>
      <c r="UH320" s="73">
        <f>SUM(UH290:UH319)</f>
        <v>0</v>
      </c>
      <c r="UI320" s="69">
        <f>SUM(UI290:UI319)</f>
        <v>0</v>
      </c>
      <c r="UJ320" s="69">
        <f>SUM(UJ290:UJ319)</f>
        <v>0</v>
      </c>
      <c r="UK320" s="69">
        <f>SUM(UK290:UK319)</f>
        <v>0</v>
      </c>
      <c r="UL320" s="70">
        <f>UL319</f>
        <v>204</v>
      </c>
      <c r="UM320" s="71"/>
      <c r="UP320" s="72" t="s">
        <v>72</v>
      </c>
      <c r="UQ320" s="73">
        <f>SUM(UQ290:UQ319)</f>
        <v>0</v>
      </c>
      <c r="UR320" s="69">
        <f>SUM(UR290:UR319)</f>
        <v>0</v>
      </c>
      <c r="US320" s="69">
        <f>SUM(US290:US319)</f>
        <v>0</v>
      </c>
      <c r="UT320" s="69">
        <f>SUM(UT290:UT319)</f>
        <v>0</v>
      </c>
      <c r="UU320" s="70">
        <f>UU319</f>
        <v>202.5</v>
      </c>
      <c r="UV320" s="71"/>
      <c r="UY320" s="72" t="s">
        <v>72</v>
      </c>
      <c r="UZ320" s="73">
        <f>SUM(UZ290:UZ319)</f>
        <v>0</v>
      </c>
      <c r="VA320" s="69">
        <f>SUM(VA290:VA319)</f>
        <v>0</v>
      </c>
      <c r="VB320" s="69">
        <f>SUM(VB290:VB319)</f>
        <v>0</v>
      </c>
      <c r="VC320" s="69">
        <f>SUM(VC290:VC319)</f>
        <v>0</v>
      </c>
      <c r="VD320" s="70">
        <f>VD319</f>
        <v>41.600000000000023</v>
      </c>
      <c r="VE320" s="71"/>
      <c r="VH320" s="72" t="s">
        <v>72</v>
      </c>
      <c r="VI320" s="73">
        <f>SUM(VI290:VI319)</f>
        <v>0</v>
      </c>
      <c r="VJ320" s="69">
        <f>SUM(VJ290:VJ319)</f>
        <v>0</v>
      </c>
      <c r="VK320" s="69">
        <f>SUM(VK290:VK319)</f>
        <v>0</v>
      </c>
      <c r="VL320" s="69">
        <f>SUM(VL290:VL319)</f>
        <v>0</v>
      </c>
      <c r="VM320" s="70">
        <f>VM319</f>
        <v>210</v>
      </c>
      <c r="VN320" s="71"/>
      <c r="VQ320" s="72" t="s">
        <v>72</v>
      </c>
      <c r="VR320" s="73">
        <f>SUM(VR290:VR319)</f>
        <v>0</v>
      </c>
      <c r="VS320" s="69">
        <f>SUM(VS290:VS319)</f>
        <v>0</v>
      </c>
      <c r="VT320" s="69">
        <f>SUM(VT290:VT319)</f>
        <v>0</v>
      </c>
      <c r="VU320" s="69">
        <f>SUM(VU290:VU319)</f>
        <v>0</v>
      </c>
      <c r="VV320" s="70">
        <f>VV319</f>
        <v>0</v>
      </c>
      <c r="VW320" s="71"/>
      <c r="VZ320" s="72" t="s">
        <v>72</v>
      </c>
      <c r="WA320" s="73">
        <f>SUM(WA290:WA319)</f>
        <v>0</v>
      </c>
      <c r="WB320" s="69">
        <f>SUM(WB290:WB319)</f>
        <v>0</v>
      </c>
      <c r="WC320" s="69">
        <f>SUM(WC290:WC319)</f>
        <v>0</v>
      </c>
      <c r="WD320" s="69">
        <f>SUM(WD290:WD319)</f>
        <v>0</v>
      </c>
      <c r="WE320" s="70">
        <f>WE319</f>
        <v>0</v>
      </c>
      <c r="WF320" s="71"/>
      <c r="WI320" s="72" t="s">
        <v>72</v>
      </c>
      <c r="WJ320" s="73">
        <f>SUM(WJ290:WJ319)</f>
        <v>0</v>
      </c>
      <c r="WK320" s="69">
        <f>SUM(WK290:WK319)</f>
        <v>0</v>
      </c>
      <c r="WL320" s="69">
        <f>SUM(WL290:WL319)</f>
        <v>0</v>
      </c>
      <c r="WM320" s="69">
        <f>SUM(WM290:WM319)</f>
        <v>0</v>
      </c>
      <c r="WN320" s="70">
        <f>WN319</f>
        <v>1057</v>
      </c>
      <c r="WO320" s="71"/>
      <c r="WR320" s="72" t="s">
        <v>72</v>
      </c>
      <c r="WS320" s="73">
        <f>SUM(WS290:WS319)</f>
        <v>0</v>
      </c>
      <c r="WT320" s="69">
        <f>SUM(WT290:WT319)</f>
        <v>0</v>
      </c>
      <c r="WU320" s="69">
        <f>SUM(WU290:WU319)</f>
        <v>0</v>
      </c>
      <c r="WV320" s="69">
        <f>SUM(WV290:WV319)</f>
        <v>0</v>
      </c>
      <c r="WW320" s="70">
        <f>WW319</f>
        <v>0</v>
      </c>
      <c r="WX320" s="71"/>
      <c r="XA320" s="72" t="s">
        <v>72</v>
      </c>
      <c r="XB320" s="73">
        <f>SUM(XB290:XB319)</f>
        <v>0</v>
      </c>
      <c r="XC320" s="69">
        <f>SUM(XC290:XC319)</f>
        <v>0</v>
      </c>
      <c r="XD320" s="69">
        <f>SUM(XD290:XD319)</f>
        <v>0</v>
      </c>
      <c r="XE320" s="69">
        <f>SUM(XE290:XE319)</f>
        <v>0</v>
      </c>
      <c r="XF320" s="70">
        <f>XF319</f>
        <v>7507</v>
      </c>
      <c r="XG320" s="71"/>
      <c r="XJ320" s="72" t="s">
        <v>72</v>
      </c>
      <c r="XK320" s="73">
        <f>SUM(XK290:XK319)</f>
        <v>0</v>
      </c>
      <c r="XL320" s="69">
        <f>SUM(XL290:XL319)</f>
        <v>0</v>
      </c>
      <c r="XM320" s="69">
        <f>SUM(XM290:XM319)</f>
        <v>0</v>
      </c>
      <c r="XN320" s="69">
        <f>SUM(XN290:XN319)</f>
        <v>0</v>
      </c>
      <c r="XO320" s="70">
        <f>XO319</f>
        <v>4252</v>
      </c>
      <c r="XP320" s="71"/>
      <c r="XS320" s="72" t="s">
        <v>72</v>
      </c>
      <c r="XT320" s="73">
        <f>SUM(XT290:XT319)</f>
        <v>0</v>
      </c>
      <c r="XU320" s="69">
        <f>SUM(XU290:XU319)</f>
        <v>0</v>
      </c>
      <c r="XV320" s="69">
        <f>SUM(XV290:XV319)</f>
        <v>0</v>
      </c>
      <c r="XW320" s="69">
        <f>SUM(XW290:XW319)</f>
        <v>0</v>
      </c>
      <c r="XX320" s="70">
        <f>XX319</f>
        <v>2179</v>
      </c>
      <c r="XY320" s="71"/>
      <c r="YB320" s="72" t="s">
        <v>72</v>
      </c>
      <c r="YC320" s="73">
        <f>SUM(YC290:YC319)</f>
        <v>0</v>
      </c>
      <c r="YD320" s="69">
        <f>SUM(YD290:YD319)</f>
        <v>0</v>
      </c>
      <c r="YE320" s="69">
        <f>SUM(YE290:YE319)</f>
        <v>0</v>
      </c>
      <c r="YF320" s="69">
        <f>SUM(YF290:YF319)</f>
        <v>0</v>
      </c>
      <c r="YG320" s="70">
        <f>YG319</f>
        <v>4019</v>
      </c>
      <c r="YH320" s="71"/>
      <c r="YK320" s="72" t="s">
        <v>72</v>
      </c>
      <c r="YL320" s="73">
        <f>SUM(YL290:YL319)</f>
        <v>0</v>
      </c>
      <c r="YM320" s="69">
        <f>SUM(YM290:YM319)</f>
        <v>0</v>
      </c>
      <c r="YN320" s="69">
        <f>SUM(YN290:YN319)</f>
        <v>0</v>
      </c>
      <c r="YO320" s="69">
        <f>SUM(YO290:YO319)</f>
        <v>0</v>
      </c>
      <c r="YP320" s="70">
        <f>YP319</f>
        <v>-218</v>
      </c>
      <c r="YQ320" s="71"/>
      <c r="YT320" s="72" t="s">
        <v>72</v>
      </c>
      <c r="YU320" s="73">
        <f>SUM(YU290:YU319)</f>
        <v>0</v>
      </c>
      <c r="YV320" s="69">
        <f>SUM(YV290:YV319)</f>
        <v>0</v>
      </c>
      <c r="YW320" s="69">
        <f>SUM(YW290:YW319)</f>
        <v>0</v>
      </c>
      <c r="YX320" s="69">
        <f>SUM(YX290:YX319)</f>
        <v>0</v>
      </c>
      <c r="YY320" s="70">
        <f>YY319</f>
        <v>0</v>
      </c>
      <c r="YZ320" s="71"/>
      <c r="ZC320" s="72" t="s">
        <v>72</v>
      </c>
      <c r="ZD320" s="73">
        <f>SUM(ZD290:ZD319)</f>
        <v>0</v>
      </c>
      <c r="ZE320" s="69">
        <f>SUM(ZE290:ZE319)</f>
        <v>0</v>
      </c>
      <c r="ZF320" s="69">
        <f>SUM(ZF290:ZF319)</f>
        <v>0</v>
      </c>
      <c r="ZG320" s="69">
        <f>SUM(ZG290:ZG319)</f>
        <v>0</v>
      </c>
      <c r="ZH320" s="70">
        <f>ZH319</f>
        <v>0</v>
      </c>
      <c r="ZI320" s="71"/>
      <c r="ZL320" s="72" t="s">
        <v>72</v>
      </c>
      <c r="ZM320" s="73">
        <f>SUM(ZM290:ZM319)</f>
        <v>0</v>
      </c>
      <c r="ZN320" s="69">
        <f>SUM(ZN290:ZN319)</f>
        <v>0</v>
      </c>
      <c r="ZO320" s="69">
        <f>SUM(ZO290:ZO319)</f>
        <v>0</v>
      </c>
      <c r="ZP320" s="69">
        <f>SUM(ZP290:ZP319)</f>
        <v>0</v>
      </c>
      <c r="ZQ320" s="70">
        <f>ZQ319</f>
        <v>0</v>
      </c>
      <c r="ZR320" s="71"/>
      <c r="ZU320" s="72" t="s">
        <v>72</v>
      </c>
      <c r="ZV320" s="73">
        <f>SUM(ZV290:ZV319)</f>
        <v>0</v>
      </c>
      <c r="ZW320" s="69">
        <f>SUM(ZW290:ZW319)</f>
        <v>0</v>
      </c>
      <c r="ZX320" s="69">
        <f>SUM(ZX290:ZX319)</f>
        <v>0</v>
      </c>
      <c r="ZY320" s="69">
        <f>SUM(ZY290:ZY319)</f>
        <v>0</v>
      </c>
      <c r="ZZ320" s="70">
        <f>ZZ319</f>
        <v>0</v>
      </c>
      <c r="AAA320" s="71"/>
      <c r="AAD320" s="72" t="s">
        <v>72</v>
      </c>
      <c r="AAE320" s="73">
        <f>SUM(AAE290:AAE319)</f>
        <v>0</v>
      </c>
      <c r="AAF320" s="69">
        <f>SUM(AAF290:AAF319)</f>
        <v>0</v>
      </c>
      <c r="AAG320" s="69">
        <f>SUM(AAG290:AAG319)</f>
        <v>0</v>
      </c>
      <c r="AAH320" s="69">
        <f>SUM(AAH290:AAH319)</f>
        <v>0</v>
      </c>
      <c r="AAI320" s="70">
        <f>AAI319</f>
        <v>0</v>
      </c>
      <c r="AAJ320" s="71"/>
      <c r="AAM320" s="72" t="s">
        <v>72</v>
      </c>
      <c r="AAN320" s="73">
        <f>SUM(AAN290:AAN319)</f>
        <v>0</v>
      </c>
      <c r="AAO320" s="69">
        <f>SUM(AAO290:AAO319)</f>
        <v>0</v>
      </c>
      <c r="AAP320" s="69">
        <f>SUM(AAP290:AAP319)</f>
        <v>0</v>
      </c>
      <c r="AAQ320" s="69">
        <f>SUM(AAQ290:AAQ319)</f>
        <v>0</v>
      </c>
      <c r="AAR320" s="70">
        <f>AAR319</f>
        <v>0</v>
      </c>
      <c r="AAS320" s="71"/>
      <c r="AAV320" s="72" t="s">
        <v>72</v>
      </c>
      <c r="AAW320" s="73">
        <f>SUM(AAW290:AAW319)</f>
        <v>0</v>
      </c>
      <c r="AAX320" s="69">
        <f>SUM(AAX290:AAX319)</f>
        <v>0</v>
      </c>
      <c r="AAY320" s="69">
        <f>SUM(AAY290:AAY319)</f>
        <v>0</v>
      </c>
      <c r="AAZ320" s="69">
        <f>SUM(AAZ290:AAZ319)</f>
        <v>0</v>
      </c>
      <c r="ABA320" s="70">
        <f>ABA319</f>
        <v>0</v>
      </c>
      <c r="ABB320" s="71"/>
      <c r="ABE320" s="72" t="s">
        <v>72</v>
      </c>
      <c r="ABF320" s="73">
        <f>SUM(ABF290:ABF319)</f>
        <v>0</v>
      </c>
      <c r="ABG320" s="69">
        <f>SUM(ABG290:ABG319)</f>
        <v>0</v>
      </c>
      <c r="ABH320" s="69">
        <f>SUM(ABH290:ABH319)</f>
        <v>0</v>
      </c>
      <c r="ABI320" s="69">
        <f>SUM(ABI290:ABI319)</f>
        <v>0</v>
      </c>
      <c r="ABJ320" s="70">
        <f>ABJ319</f>
        <v>0</v>
      </c>
      <c r="ABK320" s="71"/>
    </row>
    <row r="321" spans="1:739" ht="14.45" thickBot="1">
      <c r="C321" s="75"/>
      <c r="L321" s="75"/>
      <c r="U321" s="75"/>
      <c r="AD321" s="75"/>
      <c r="AM321" s="75"/>
      <c r="AV321" s="75"/>
      <c r="BE321" s="75"/>
      <c r="BN321" s="75"/>
      <c r="BP321" s="85"/>
      <c r="BR321" s="85"/>
      <c r="BS321" s="85"/>
      <c r="BW321" s="75"/>
      <c r="CF321" s="75"/>
      <c r="CO321" s="75"/>
      <c r="CX321" s="75"/>
      <c r="DG321" s="75"/>
      <c r="DP321" s="75"/>
      <c r="DY321" s="75"/>
      <c r="EH321" s="75"/>
      <c r="EQ321" s="75"/>
      <c r="EZ321" s="75"/>
      <c r="FI321" s="75"/>
      <c r="FR321" s="75"/>
      <c r="GA321" s="75"/>
      <c r="GJ321" s="75"/>
      <c r="GS321" s="75"/>
      <c r="HB321" s="75"/>
      <c r="HK321" s="75"/>
      <c r="HU321" s="75"/>
      <c r="ID321" s="75"/>
      <c r="IM321" s="75"/>
      <c r="IV321" s="75"/>
      <c r="JE321" s="75"/>
      <c r="JN321" s="75"/>
      <c r="JW321" s="75"/>
      <c r="KF321" s="75"/>
      <c r="KO321" s="75"/>
      <c r="KX321" s="75"/>
      <c r="LG321" s="75"/>
      <c r="LP321" s="75"/>
      <c r="LY321" s="75"/>
      <c r="MH321" s="75"/>
      <c r="MQ321" s="75"/>
      <c r="MZ321" s="75"/>
      <c r="NI321" s="75"/>
      <c r="NR321" s="75"/>
      <c r="OA321" s="75"/>
      <c r="OJ321" s="75"/>
      <c r="OS321" s="75"/>
      <c r="PB321" s="75"/>
      <c r="PK321" s="75"/>
      <c r="PT321" s="75"/>
      <c r="QC321" s="75"/>
      <c r="QL321" s="75"/>
      <c r="QU321" s="75"/>
      <c r="RD321" s="75"/>
      <c r="RM321" s="75"/>
      <c r="RV321" s="75"/>
      <c r="SE321" s="75"/>
      <c r="SN321" s="75"/>
      <c r="SW321" s="75"/>
      <c r="TF321" s="75"/>
      <c r="TO321" s="75"/>
      <c r="TX321" s="75"/>
      <c r="UG321" s="75"/>
      <c r="UP321" s="75"/>
      <c r="UY321" s="75"/>
      <c r="VH321" s="75"/>
      <c r="VQ321" s="75"/>
      <c r="VZ321" s="75"/>
      <c r="WI321" s="75"/>
      <c r="WR321" s="75"/>
      <c r="XA321" s="75"/>
      <c r="XJ321" s="75"/>
      <c r="XS321" s="75"/>
      <c r="YB321" s="75"/>
      <c r="YK321" s="75"/>
      <c r="YT321" s="75"/>
      <c r="ZC321" s="75"/>
      <c r="ZL321" s="75"/>
      <c r="ZU321" s="75"/>
      <c r="AAD321" s="75"/>
      <c r="AAM321" s="75"/>
      <c r="AAV321" s="75"/>
      <c r="ABE321" s="75"/>
    </row>
    <row r="322" spans="1:739" ht="14.45" thickBot="1">
      <c r="A322" s="22" t="s">
        <v>308</v>
      </c>
      <c r="C322" s="569" t="s">
        <v>158</v>
      </c>
      <c r="D322" s="570"/>
      <c r="E322" s="570"/>
      <c r="F322" s="570"/>
      <c r="G322" s="570"/>
      <c r="H322" s="571"/>
      <c r="I322" s="321"/>
      <c r="J322" s="22" t="s">
        <v>308</v>
      </c>
      <c r="L322" s="569" t="s">
        <v>158</v>
      </c>
      <c r="M322" s="570"/>
      <c r="N322" s="570"/>
      <c r="O322" s="570"/>
      <c r="P322" s="570"/>
      <c r="Q322" s="571"/>
      <c r="R322" s="24"/>
      <c r="S322" s="22" t="s">
        <v>308</v>
      </c>
      <c r="U322" s="569" t="s">
        <v>158</v>
      </c>
      <c r="V322" s="570"/>
      <c r="W322" s="570"/>
      <c r="X322" s="570"/>
      <c r="Y322" s="570"/>
      <c r="Z322" s="571"/>
      <c r="AA322" s="24"/>
      <c r="AB322" s="22" t="s">
        <v>308</v>
      </c>
      <c r="AD322" s="569" t="s">
        <v>158</v>
      </c>
      <c r="AE322" s="570"/>
      <c r="AF322" s="570"/>
      <c r="AG322" s="570"/>
      <c r="AH322" s="570"/>
      <c r="AI322" s="571"/>
      <c r="AJ322" s="24"/>
      <c r="AK322" s="22" t="s">
        <v>308</v>
      </c>
      <c r="AM322" s="569" t="s">
        <v>158</v>
      </c>
      <c r="AN322" s="570"/>
      <c r="AO322" s="570"/>
      <c r="AP322" s="570"/>
      <c r="AQ322" s="570"/>
      <c r="AR322" s="571"/>
      <c r="AS322" s="24"/>
      <c r="AT322" s="22" t="s">
        <v>308</v>
      </c>
      <c r="AV322" s="569" t="s">
        <v>158</v>
      </c>
      <c r="AW322" s="570"/>
      <c r="AX322" s="570"/>
      <c r="AY322" s="570"/>
      <c r="AZ322" s="570"/>
      <c r="BA322" s="571"/>
      <c r="BB322" s="24"/>
      <c r="BC322" s="22" t="s">
        <v>308</v>
      </c>
      <c r="BE322" s="569" t="s">
        <v>158</v>
      </c>
      <c r="BF322" s="570"/>
      <c r="BG322" s="570"/>
      <c r="BH322" s="570"/>
      <c r="BI322" s="570"/>
      <c r="BJ322" s="571"/>
      <c r="BK322" s="24"/>
      <c r="BL322" s="22" t="s">
        <v>308</v>
      </c>
      <c r="BN322" s="569" t="s">
        <v>158</v>
      </c>
      <c r="BO322" s="570"/>
      <c r="BP322" s="570"/>
      <c r="BQ322" s="570"/>
      <c r="BR322" s="570"/>
      <c r="BS322" s="571"/>
      <c r="BT322" s="24"/>
      <c r="BU322" s="22" t="s">
        <v>308</v>
      </c>
      <c r="BW322" s="569" t="s">
        <v>158</v>
      </c>
      <c r="BX322" s="570"/>
      <c r="BY322" s="570"/>
      <c r="BZ322" s="570"/>
      <c r="CA322" s="570"/>
      <c r="CB322" s="571"/>
      <c r="CC322" s="24"/>
      <c r="CD322" s="22" t="s">
        <v>308</v>
      </c>
      <c r="CF322" s="569" t="s">
        <v>158</v>
      </c>
      <c r="CG322" s="570"/>
      <c r="CH322" s="570"/>
      <c r="CI322" s="570"/>
      <c r="CJ322" s="570"/>
      <c r="CK322" s="571"/>
      <c r="CL322" s="24"/>
      <c r="CM322" s="22" t="s">
        <v>308</v>
      </c>
      <c r="CO322" s="569" t="s">
        <v>158</v>
      </c>
      <c r="CP322" s="570"/>
      <c r="CQ322" s="570"/>
      <c r="CR322" s="570"/>
      <c r="CS322" s="570"/>
      <c r="CT322" s="571"/>
      <c r="CU322" s="24"/>
      <c r="CV322" s="22" t="s">
        <v>308</v>
      </c>
      <c r="CX322" s="569" t="s">
        <v>158</v>
      </c>
      <c r="CY322" s="570"/>
      <c r="CZ322" s="570"/>
      <c r="DA322" s="570"/>
      <c r="DB322" s="570"/>
      <c r="DC322" s="571"/>
      <c r="DD322" s="24"/>
      <c r="DE322" s="22" t="s">
        <v>308</v>
      </c>
      <c r="DG322" s="569" t="s">
        <v>158</v>
      </c>
      <c r="DH322" s="570"/>
      <c r="DI322" s="570"/>
      <c r="DJ322" s="570"/>
      <c r="DK322" s="570"/>
      <c r="DL322" s="571"/>
      <c r="DM322" s="24"/>
      <c r="DN322" s="22" t="s">
        <v>308</v>
      </c>
      <c r="DP322" s="569" t="s">
        <v>158</v>
      </c>
      <c r="DQ322" s="570"/>
      <c r="DR322" s="570"/>
      <c r="DS322" s="570"/>
      <c r="DT322" s="570"/>
      <c r="DU322" s="571"/>
      <c r="DV322" s="24"/>
      <c r="DW322" s="22" t="s">
        <v>308</v>
      </c>
      <c r="DY322" s="569" t="s">
        <v>158</v>
      </c>
      <c r="DZ322" s="570"/>
      <c r="EA322" s="570"/>
      <c r="EB322" s="570"/>
      <c r="EC322" s="570"/>
      <c r="ED322" s="571"/>
      <c r="EE322" s="24"/>
      <c r="EF322" s="22" t="s">
        <v>308</v>
      </c>
      <c r="EH322" s="569" t="s">
        <v>158</v>
      </c>
      <c r="EI322" s="570"/>
      <c r="EJ322" s="570"/>
      <c r="EK322" s="570"/>
      <c r="EL322" s="570"/>
      <c r="EM322" s="571"/>
      <c r="EN322" s="24"/>
      <c r="EO322" s="22" t="s">
        <v>308</v>
      </c>
      <c r="EQ322" s="569" t="s">
        <v>158</v>
      </c>
      <c r="ER322" s="570"/>
      <c r="ES322" s="570"/>
      <c r="ET322" s="570"/>
      <c r="EU322" s="570"/>
      <c r="EV322" s="571"/>
      <c r="EW322" s="24"/>
      <c r="EX322" s="22" t="s">
        <v>308</v>
      </c>
      <c r="EZ322" s="569" t="s">
        <v>158</v>
      </c>
      <c r="FA322" s="570"/>
      <c r="FB322" s="570"/>
      <c r="FC322" s="570"/>
      <c r="FD322" s="570"/>
      <c r="FE322" s="571"/>
      <c r="FF322" s="24"/>
      <c r="FG322" s="22" t="s">
        <v>308</v>
      </c>
      <c r="FI322" s="569" t="s">
        <v>158</v>
      </c>
      <c r="FJ322" s="570"/>
      <c r="FK322" s="570"/>
      <c r="FL322" s="570"/>
      <c r="FM322" s="570"/>
      <c r="FN322" s="571"/>
      <c r="FO322" s="24"/>
      <c r="FP322" s="22" t="s">
        <v>308</v>
      </c>
      <c r="FR322" s="569" t="s">
        <v>158</v>
      </c>
      <c r="FS322" s="570"/>
      <c r="FT322" s="570"/>
      <c r="FU322" s="570"/>
      <c r="FV322" s="570"/>
      <c r="FW322" s="571"/>
      <c r="FX322" s="24"/>
      <c r="FY322" s="22" t="s">
        <v>308</v>
      </c>
      <c r="GA322" s="569" t="s">
        <v>158</v>
      </c>
      <c r="GB322" s="570"/>
      <c r="GC322" s="570"/>
      <c r="GD322" s="570"/>
      <c r="GE322" s="570"/>
      <c r="GF322" s="571"/>
      <c r="GG322" s="24"/>
      <c r="GH322" s="22" t="s">
        <v>308</v>
      </c>
      <c r="GJ322" s="569" t="s">
        <v>158</v>
      </c>
      <c r="GK322" s="570"/>
      <c r="GL322" s="570"/>
      <c r="GM322" s="570"/>
      <c r="GN322" s="570"/>
      <c r="GO322" s="571"/>
      <c r="GP322" s="24"/>
      <c r="GQ322" s="22" t="s">
        <v>308</v>
      </c>
      <c r="GS322" s="569" t="s">
        <v>158</v>
      </c>
      <c r="GT322" s="570"/>
      <c r="GU322" s="570"/>
      <c r="GV322" s="570"/>
      <c r="GW322" s="570"/>
      <c r="GX322" s="571"/>
      <c r="GY322" s="24"/>
      <c r="GZ322" s="22" t="s">
        <v>308</v>
      </c>
      <c r="HB322" s="569" t="s">
        <v>158</v>
      </c>
      <c r="HC322" s="570"/>
      <c r="HD322" s="570"/>
      <c r="HE322" s="570"/>
      <c r="HF322" s="570"/>
      <c r="HG322" s="571"/>
      <c r="HH322" s="24"/>
      <c r="HI322" s="22" t="s">
        <v>308</v>
      </c>
      <c r="HK322" s="569" t="s">
        <v>158</v>
      </c>
      <c r="HL322" s="570"/>
      <c r="HM322" s="570"/>
      <c r="HN322" s="570"/>
      <c r="HO322" s="570"/>
      <c r="HP322" s="571"/>
      <c r="HQ322" s="24"/>
      <c r="HS322" s="22" t="s">
        <v>308</v>
      </c>
      <c r="HU322" s="569" t="s">
        <v>158</v>
      </c>
      <c r="HV322" s="570"/>
      <c r="HW322" s="570"/>
      <c r="HX322" s="570"/>
      <c r="HY322" s="570"/>
      <c r="HZ322" s="571"/>
      <c r="IA322" s="24"/>
      <c r="IB322" s="22" t="s">
        <v>308</v>
      </c>
      <c r="ID322" s="569" t="s">
        <v>158</v>
      </c>
      <c r="IE322" s="570"/>
      <c r="IF322" s="570"/>
      <c r="IG322" s="570"/>
      <c r="IH322" s="570"/>
      <c r="II322" s="571"/>
      <c r="IJ322" s="24"/>
      <c r="IK322" s="22" t="s">
        <v>308</v>
      </c>
      <c r="IM322" s="569" t="s">
        <v>158</v>
      </c>
      <c r="IN322" s="570"/>
      <c r="IO322" s="570"/>
      <c r="IP322" s="570"/>
      <c r="IQ322" s="570"/>
      <c r="IR322" s="571"/>
      <c r="IS322" s="24"/>
      <c r="IT322" s="22" t="s">
        <v>308</v>
      </c>
      <c r="IV322" s="569" t="s">
        <v>158</v>
      </c>
      <c r="IW322" s="570"/>
      <c r="IX322" s="570"/>
      <c r="IY322" s="570"/>
      <c r="IZ322" s="570"/>
      <c r="JA322" s="571"/>
      <c r="JB322" s="24"/>
      <c r="JC322" s="22" t="s">
        <v>308</v>
      </c>
      <c r="JE322" s="569" t="s">
        <v>158</v>
      </c>
      <c r="JF322" s="570"/>
      <c r="JG322" s="570"/>
      <c r="JH322" s="570"/>
      <c r="JI322" s="570"/>
      <c r="JJ322" s="571"/>
      <c r="JK322" s="24"/>
      <c r="JL322" s="22" t="s">
        <v>308</v>
      </c>
      <c r="JN322" s="569" t="s">
        <v>158</v>
      </c>
      <c r="JO322" s="570"/>
      <c r="JP322" s="570"/>
      <c r="JQ322" s="570"/>
      <c r="JR322" s="570"/>
      <c r="JS322" s="571"/>
      <c r="JT322" s="24"/>
      <c r="JU322" s="22" t="s">
        <v>308</v>
      </c>
      <c r="JW322" s="569" t="s">
        <v>158</v>
      </c>
      <c r="JX322" s="570"/>
      <c r="JY322" s="570"/>
      <c r="JZ322" s="570"/>
      <c r="KA322" s="570"/>
      <c r="KB322" s="571"/>
      <c r="KC322" s="24"/>
      <c r="KD322" s="22" t="s">
        <v>308</v>
      </c>
      <c r="KF322" s="569" t="s">
        <v>158</v>
      </c>
      <c r="KG322" s="570"/>
      <c r="KH322" s="570"/>
      <c r="KI322" s="570"/>
      <c r="KJ322" s="570"/>
      <c r="KK322" s="571"/>
      <c r="KL322" s="24"/>
      <c r="KM322" s="22" t="s">
        <v>308</v>
      </c>
      <c r="KO322" s="569" t="s">
        <v>158</v>
      </c>
      <c r="KP322" s="570"/>
      <c r="KQ322" s="570"/>
      <c r="KR322" s="570"/>
      <c r="KS322" s="570"/>
      <c r="KT322" s="571"/>
      <c r="KU322" s="24"/>
      <c r="KV322" s="22" t="s">
        <v>308</v>
      </c>
      <c r="KX322" s="569" t="s">
        <v>158</v>
      </c>
      <c r="KY322" s="570"/>
      <c r="KZ322" s="570"/>
      <c r="LA322" s="570"/>
      <c r="LB322" s="570"/>
      <c r="LC322" s="571"/>
      <c r="LD322" s="24"/>
      <c r="LE322" s="22" t="s">
        <v>308</v>
      </c>
      <c r="LG322" s="569" t="s">
        <v>158</v>
      </c>
      <c r="LH322" s="570"/>
      <c r="LI322" s="570"/>
      <c r="LJ322" s="570"/>
      <c r="LK322" s="570"/>
      <c r="LL322" s="571"/>
      <c r="LM322" s="24"/>
      <c r="LN322" s="22" t="s">
        <v>308</v>
      </c>
      <c r="LP322" s="569" t="s">
        <v>158</v>
      </c>
      <c r="LQ322" s="570"/>
      <c r="LR322" s="570"/>
      <c r="LS322" s="570"/>
      <c r="LT322" s="570"/>
      <c r="LU322" s="571"/>
      <c r="LV322" s="24"/>
      <c r="LW322" s="22" t="s">
        <v>308</v>
      </c>
      <c r="LY322" s="569" t="s">
        <v>158</v>
      </c>
      <c r="LZ322" s="570"/>
      <c r="MA322" s="570"/>
      <c r="MB322" s="570"/>
      <c r="MC322" s="570"/>
      <c r="MD322" s="571"/>
      <c r="ME322" s="24"/>
      <c r="MF322" s="22" t="s">
        <v>308</v>
      </c>
      <c r="MH322" s="569" t="s">
        <v>158</v>
      </c>
      <c r="MI322" s="570"/>
      <c r="MJ322" s="570"/>
      <c r="MK322" s="570"/>
      <c r="ML322" s="570"/>
      <c r="MM322" s="571"/>
      <c r="MN322" s="24"/>
      <c r="MO322" s="22" t="s">
        <v>308</v>
      </c>
      <c r="MQ322" s="569" t="s">
        <v>158</v>
      </c>
      <c r="MR322" s="570"/>
      <c r="MS322" s="570"/>
      <c r="MT322" s="570"/>
      <c r="MU322" s="570"/>
      <c r="MV322" s="571"/>
      <c r="MW322" s="24"/>
      <c r="MX322" s="22" t="s">
        <v>308</v>
      </c>
      <c r="MZ322" s="569" t="s">
        <v>158</v>
      </c>
      <c r="NA322" s="570"/>
      <c r="NB322" s="570"/>
      <c r="NC322" s="570"/>
      <c r="ND322" s="570"/>
      <c r="NE322" s="571"/>
      <c r="NF322" s="24"/>
      <c r="NG322" s="22" t="s">
        <v>308</v>
      </c>
      <c r="NI322" s="569" t="s">
        <v>158</v>
      </c>
      <c r="NJ322" s="570"/>
      <c r="NK322" s="570"/>
      <c r="NL322" s="570"/>
      <c r="NM322" s="570"/>
      <c r="NN322" s="571"/>
      <c r="NO322" s="24"/>
      <c r="NP322" s="22" t="s">
        <v>308</v>
      </c>
      <c r="NR322" s="569" t="s">
        <v>158</v>
      </c>
      <c r="NS322" s="570"/>
      <c r="NT322" s="570"/>
      <c r="NU322" s="570"/>
      <c r="NV322" s="570"/>
      <c r="NW322" s="571"/>
      <c r="NX322" s="24"/>
      <c r="NY322" s="22" t="s">
        <v>308</v>
      </c>
      <c r="OA322" s="589" t="s">
        <v>158</v>
      </c>
      <c r="OB322" s="590"/>
      <c r="OC322" s="590"/>
      <c r="OD322" s="590"/>
      <c r="OE322" s="590"/>
      <c r="OF322" s="591"/>
      <c r="OG322" s="24"/>
      <c r="OH322" s="22" t="s">
        <v>308</v>
      </c>
      <c r="OJ322" s="589" t="s">
        <v>158</v>
      </c>
      <c r="OK322" s="590"/>
      <c r="OL322" s="590"/>
      <c r="OM322" s="590"/>
      <c r="ON322" s="590"/>
      <c r="OO322" s="591"/>
      <c r="OP322" s="24"/>
      <c r="OQ322" s="22" t="s">
        <v>308</v>
      </c>
      <c r="OS322" s="589" t="s">
        <v>158</v>
      </c>
      <c r="OT322" s="590"/>
      <c r="OU322" s="590"/>
      <c r="OV322" s="590"/>
      <c r="OW322" s="590"/>
      <c r="OX322" s="591"/>
      <c r="OY322" s="24"/>
      <c r="OZ322" s="22" t="s">
        <v>308</v>
      </c>
      <c r="PB322" s="569" t="s">
        <v>158</v>
      </c>
      <c r="PC322" s="570"/>
      <c r="PD322" s="570"/>
      <c r="PE322" s="570"/>
      <c r="PF322" s="570"/>
      <c r="PG322" s="571"/>
      <c r="PH322" s="24"/>
      <c r="PI322" s="22" t="s">
        <v>308</v>
      </c>
      <c r="PK322" s="569" t="s">
        <v>158</v>
      </c>
      <c r="PL322" s="570"/>
      <c r="PM322" s="570"/>
      <c r="PN322" s="570"/>
      <c r="PO322" s="570"/>
      <c r="PP322" s="571"/>
      <c r="PQ322" s="24"/>
      <c r="PR322" s="22" t="s">
        <v>308</v>
      </c>
      <c r="PT322" s="569" t="s">
        <v>158</v>
      </c>
      <c r="PU322" s="570"/>
      <c r="PV322" s="570"/>
      <c r="PW322" s="570"/>
      <c r="PX322" s="570"/>
      <c r="PY322" s="571"/>
      <c r="PZ322" s="24"/>
      <c r="QA322" s="22" t="s">
        <v>308</v>
      </c>
      <c r="QC322" s="569" t="s">
        <v>158</v>
      </c>
      <c r="QD322" s="570"/>
      <c r="QE322" s="570"/>
      <c r="QF322" s="570"/>
      <c r="QG322" s="570"/>
      <c r="QH322" s="571"/>
      <c r="QI322" s="24"/>
      <c r="QJ322" s="22" t="s">
        <v>308</v>
      </c>
      <c r="QL322" s="569" t="s">
        <v>158</v>
      </c>
      <c r="QM322" s="570"/>
      <c r="QN322" s="570"/>
      <c r="QO322" s="570"/>
      <c r="QP322" s="570"/>
      <c r="QQ322" s="571"/>
      <c r="QR322" s="24"/>
      <c r="QS322" s="22" t="s">
        <v>308</v>
      </c>
      <c r="QU322" s="569" t="s">
        <v>158</v>
      </c>
      <c r="QV322" s="570"/>
      <c r="QW322" s="570"/>
      <c r="QX322" s="570"/>
      <c r="QY322" s="570"/>
      <c r="QZ322" s="571"/>
      <c r="RA322" s="24"/>
      <c r="RB322" s="22" t="s">
        <v>308</v>
      </c>
      <c r="RD322" s="569" t="s">
        <v>158</v>
      </c>
      <c r="RE322" s="570"/>
      <c r="RF322" s="570"/>
      <c r="RG322" s="570"/>
      <c r="RH322" s="570"/>
      <c r="RI322" s="571"/>
      <c r="RJ322" s="24"/>
      <c r="RK322" s="22" t="s">
        <v>308</v>
      </c>
      <c r="RM322" s="569" t="s">
        <v>158</v>
      </c>
      <c r="RN322" s="570"/>
      <c r="RO322" s="570"/>
      <c r="RP322" s="570"/>
      <c r="RQ322" s="570"/>
      <c r="RR322" s="571"/>
      <c r="RS322" s="24"/>
      <c r="RT322" s="22" t="s">
        <v>308</v>
      </c>
      <c r="RV322" s="569" t="s">
        <v>158</v>
      </c>
      <c r="RW322" s="570"/>
      <c r="RX322" s="570"/>
      <c r="RY322" s="570"/>
      <c r="RZ322" s="570"/>
      <c r="SA322" s="571"/>
      <c r="SB322" s="24"/>
      <c r="SC322" s="22" t="s">
        <v>308</v>
      </c>
      <c r="SE322" s="569" t="s">
        <v>158</v>
      </c>
      <c r="SF322" s="570"/>
      <c r="SG322" s="570"/>
      <c r="SH322" s="570"/>
      <c r="SI322" s="570"/>
      <c r="SJ322" s="571"/>
      <c r="SK322" s="24"/>
      <c r="SL322" s="22" t="s">
        <v>308</v>
      </c>
      <c r="SN322" s="569" t="s">
        <v>158</v>
      </c>
      <c r="SO322" s="570"/>
      <c r="SP322" s="570"/>
      <c r="SQ322" s="570"/>
      <c r="SR322" s="570"/>
      <c r="SS322" s="571"/>
      <c r="ST322" s="24"/>
      <c r="SU322" s="22" t="s">
        <v>308</v>
      </c>
      <c r="SW322" s="569" t="s">
        <v>158</v>
      </c>
      <c r="SX322" s="570"/>
      <c r="SY322" s="570"/>
      <c r="SZ322" s="570"/>
      <c r="TA322" s="570"/>
      <c r="TB322" s="571"/>
      <c r="TC322" s="24"/>
      <c r="TD322" s="22" t="s">
        <v>308</v>
      </c>
      <c r="TF322" s="569" t="s">
        <v>158</v>
      </c>
      <c r="TG322" s="570"/>
      <c r="TH322" s="570"/>
      <c r="TI322" s="570"/>
      <c r="TJ322" s="570"/>
      <c r="TK322" s="571"/>
      <c r="TL322" s="24"/>
      <c r="TM322" s="22" t="s">
        <v>308</v>
      </c>
      <c r="TO322" s="569" t="s">
        <v>158</v>
      </c>
      <c r="TP322" s="570"/>
      <c r="TQ322" s="570"/>
      <c r="TR322" s="570"/>
      <c r="TS322" s="570"/>
      <c r="TT322" s="571"/>
      <c r="TU322" s="24"/>
      <c r="TV322" s="22" t="s">
        <v>308</v>
      </c>
      <c r="TX322" s="569" t="s">
        <v>158</v>
      </c>
      <c r="TY322" s="570"/>
      <c r="TZ322" s="570"/>
      <c r="UA322" s="570"/>
      <c r="UB322" s="570"/>
      <c r="UC322" s="571"/>
      <c r="UD322" s="24"/>
      <c r="UE322" s="22" t="s">
        <v>308</v>
      </c>
      <c r="UG322" s="569" t="s">
        <v>158</v>
      </c>
      <c r="UH322" s="570"/>
      <c r="UI322" s="570"/>
      <c r="UJ322" s="570"/>
      <c r="UK322" s="570"/>
      <c r="UL322" s="571"/>
      <c r="UM322" s="24"/>
      <c r="UN322" s="22" t="s">
        <v>308</v>
      </c>
      <c r="UP322" s="569" t="s">
        <v>158</v>
      </c>
      <c r="UQ322" s="570"/>
      <c r="UR322" s="570"/>
      <c r="US322" s="570"/>
      <c r="UT322" s="570"/>
      <c r="UU322" s="571"/>
      <c r="UV322" s="24"/>
      <c r="UW322" s="22" t="s">
        <v>308</v>
      </c>
      <c r="UY322" s="569" t="s">
        <v>158</v>
      </c>
      <c r="UZ322" s="570"/>
      <c r="VA322" s="570"/>
      <c r="VB322" s="570"/>
      <c r="VC322" s="570"/>
      <c r="VD322" s="571"/>
      <c r="VE322" s="24"/>
      <c r="VF322" s="22" t="s">
        <v>308</v>
      </c>
      <c r="VH322" s="569" t="s">
        <v>158</v>
      </c>
      <c r="VI322" s="570"/>
      <c r="VJ322" s="570"/>
      <c r="VK322" s="570"/>
      <c r="VL322" s="570"/>
      <c r="VM322" s="571"/>
      <c r="VN322" s="24"/>
      <c r="VO322" s="22" t="s">
        <v>308</v>
      </c>
      <c r="VQ322" s="569" t="s">
        <v>158</v>
      </c>
      <c r="VR322" s="570"/>
      <c r="VS322" s="570"/>
      <c r="VT322" s="570"/>
      <c r="VU322" s="570"/>
      <c r="VV322" s="571"/>
      <c r="VW322" s="24"/>
      <c r="VX322" s="22" t="s">
        <v>308</v>
      </c>
      <c r="VZ322" s="569" t="s">
        <v>158</v>
      </c>
      <c r="WA322" s="570"/>
      <c r="WB322" s="570"/>
      <c r="WC322" s="570"/>
      <c r="WD322" s="570"/>
      <c r="WE322" s="571"/>
      <c r="WF322" s="24"/>
      <c r="WG322" s="22" t="s">
        <v>308</v>
      </c>
      <c r="WI322" s="569" t="s">
        <v>158</v>
      </c>
      <c r="WJ322" s="570"/>
      <c r="WK322" s="570"/>
      <c r="WL322" s="570"/>
      <c r="WM322" s="570"/>
      <c r="WN322" s="571"/>
      <c r="WO322" s="24"/>
      <c r="WP322" s="22" t="s">
        <v>308</v>
      </c>
      <c r="WR322" s="569" t="s">
        <v>158</v>
      </c>
      <c r="WS322" s="570"/>
      <c r="WT322" s="570"/>
      <c r="WU322" s="570"/>
      <c r="WV322" s="570"/>
      <c r="WW322" s="571"/>
      <c r="WX322" s="24"/>
      <c r="WY322" s="22" t="s">
        <v>308</v>
      </c>
      <c r="XA322" s="569" t="s">
        <v>158</v>
      </c>
      <c r="XB322" s="570"/>
      <c r="XC322" s="570"/>
      <c r="XD322" s="570"/>
      <c r="XE322" s="570"/>
      <c r="XF322" s="571"/>
      <c r="XG322" s="24"/>
      <c r="XH322" s="22" t="s">
        <v>308</v>
      </c>
      <c r="XJ322" s="569" t="s">
        <v>158</v>
      </c>
      <c r="XK322" s="570"/>
      <c r="XL322" s="570"/>
      <c r="XM322" s="570"/>
      <c r="XN322" s="570"/>
      <c r="XO322" s="571"/>
      <c r="XP322" s="24"/>
      <c r="XQ322" s="22" t="s">
        <v>308</v>
      </c>
      <c r="XS322" s="569" t="s">
        <v>158</v>
      </c>
      <c r="XT322" s="570"/>
      <c r="XU322" s="570"/>
      <c r="XV322" s="570"/>
      <c r="XW322" s="570"/>
      <c r="XX322" s="571"/>
      <c r="XY322" s="24"/>
      <c r="XZ322" s="22" t="s">
        <v>308</v>
      </c>
      <c r="YB322" s="569" t="s">
        <v>158</v>
      </c>
      <c r="YC322" s="570"/>
      <c r="YD322" s="570"/>
      <c r="YE322" s="570"/>
      <c r="YF322" s="570"/>
      <c r="YG322" s="571"/>
      <c r="YH322" s="24"/>
      <c r="YI322" s="22" t="s">
        <v>308</v>
      </c>
      <c r="YK322" s="569" t="s">
        <v>158</v>
      </c>
      <c r="YL322" s="570"/>
      <c r="YM322" s="570"/>
      <c r="YN322" s="570"/>
      <c r="YO322" s="570"/>
      <c r="YP322" s="571"/>
      <c r="YQ322" s="24"/>
      <c r="YR322" s="22" t="s">
        <v>308</v>
      </c>
      <c r="YT322" s="569" t="s">
        <v>158</v>
      </c>
      <c r="YU322" s="570"/>
      <c r="YV322" s="570"/>
      <c r="YW322" s="570"/>
      <c r="YX322" s="570"/>
      <c r="YY322" s="571"/>
      <c r="YZ322" s="24"/>
      <c r="ZA322" s="22" t="s">
        <v>308</v>
      </c>
      <c r="ZC322" s="569" t="s">
        <v>158</v>
      </c>
      <c r="ZD322" s="570"/>
      <c r="ZE322" s="570"/>
      <c r="ZF322" s="570"/>
      <c r="ZG322" s="570"/>
      <c r="ZH322" s="571"/>
      <c r="ZI322" s="24"/>
      <c r="ZJ322" s="22" t="s">
        <v>308</v>
      </c>
      <c r="ZL322" s="569" t="s">
        <v>158</v>
      </c>
      <c r="ZM322" s="570"/>
      <c r="ZN322" s="570"/>
      <c r="ZO322" s="570"/>
      <c r="ZP322" s="570"/>
      <c r="ZQ322" s="571"/>
      <c r="ZR322" s="24"/>
      <c r="ZS322" s="22" t="s">
        <v>308</v>
      </c>
      <c r="ZU322" s="569" t="s">
        <v>158</v>
      </c>
      <c r="ZV322" s="570"/>
      <c r="ZW322" s="570"/>
      <c r="ZX322" s="570"/>
      <c r="ZY322" s="570"/>
      <c r="ZZ322" s="571"/>
      <c r="AAA322" s="24"/>
      <c r="AAB322" s="22" t="s">
        <v>308</v>
      </c>
      <c r="AAD322" s="569" t="s">
        <v>158</v>
      </c>
      <c r="AAE322" s="570"/>
      <c r="AAF322" s="570"/>
      <c r="AAG322" s="570"/>
      <c r="AAH322" s="570"/>
      <c r="AAI322" s="571"/>
      <c r="AAJ322" s="24"/>
      <c r="AAK322" s="22" t="s">
        <v>308</v>
      </c>
      <c r="AAM322" s="569" t="s">
        <v>158</v>
      </c>
      <c r="AAN322" s="570"/>
      <c r="AAO322" s="570"/>
      <c r="AAP322" s="570"/>
      <c r="AAQ322" s="570"/>
      <c r="AAR322" s="571"/>
      <c r="AAS322" s="24"/>
      <c r="AAT322" s="22" t="s">
        <v>308</v>
      </c>
      <c r="AAV322" s="569" t="s">
        <v>158</v>
      </c>
      <c r="AAW322" s="570"/>
      <c r="AAX322" s="570"/>
      <c r="AAY322" s="570"/>
      <c r="AAZ322" s="570"/>
      <c r="ABA322" s="571"/>
      <c r="ABB322" s="24"/>
      <c r="ABC322" s="22" t="s">
        <v>308</v>
      </c>
      <c r="ABE322" s="569" t="s">
        <v>158</v>
      </c>
      <c r="ABF322" s="570"/>
      <c r="ABG322" s="570"/>
      <c r="ABH322" s="570"/>
      <c r="ABI322" s="570"/>
      <c r="ABJ322" s="571"/>
      <c r="ABK322" s="24"/>
    </row>
    <row r="323" spans="1:739" ht="14.45" thickBot="1">
      <c r="C323" s="30" t="s">
        <v>164</v>
      </c>
      <c r="D323" s="77" t="s">
        <v>165</v>
      </c>
      <c r="E323" s="27" t="s">
        <v>166</v>
      </c>
      <c r="F323" s="26" t="s">
        <v>167</v>
      </c>
      <c r="G323" s="27" t="s">
        <v>168</v>
      </c>
      <c r="H323" s="28" t="s">
        <v>169</v>
      </c>
      <c r="I323" s="327" t="s">
        <v>170</v>
      </c>
      <c r="L323" s="30" t="s">
        <v>164</v>
      </c>
      <c r="M323" s="77" t="s">
        <v>165</v>
      </c>
      <c r="N323" s="31" t="s">
        <v>166</v>
      </c>
      <c r="O323" s="26" t="s">
        <v>167</v>
      </c>
      <c r="P323" s="31" t="s">
        <v>168</v>
      </c>
      <c r="Q323" s="83" t="s">
        <v>169</v>
      </c>
      <c r="R323" s="79" t="s">
        <v>170</v>
      </c>
      <c r="U323" s="30" t="s">
        <v>164</v>
      </c>
      <c r="V323" s="77" t="s">
        <v>165</v>
      </c>
      <c r="W323" s="33" t="s">
        <v>166</v>
      </c>
      <c r="X323" s="26" t="s">
        <v>167</v>
      </c>
      <c r="Y323" s="33" t="s">
        <v>168</v>
      </c>
      <c r="Z323" s="84" t="s">
        <v>169</v>
      </c>
      <c r="AA323" s="79" t="s">
        <v>170</v>
      </c>
      <c r="AD323" s="30" t="s">
        <v>164</v>
      </c>
      <c r="AE323" s="77" t="s">
        <v>165</v>
      </c>
      <c r="AF323" s="35" t="s">
        <v>166</v>
      </c>
      <c r="AG323" s="26" t="s">
        <v>167</v>
      </c>
      <c r="AH323" s="35" t="s">
        <v>168</v>
      </c>
      <c r="AI323" s="36" t="s">
        <v>169</v>
      </c>
      <c r="AJ323" s="79" t="s">
        <v>170</v>
      </c>
      <c r="AM323" s="30" t="s">
        <v>164</v>
      </c>
      <c r="AN323" s="77" t="s">
        <v>165</v>
      </c>
      <c r="AO323" s="37" t="s">
        <v>166</v>
      </c>
      <c r="AP323" s="26" t="s">
        <v>167</v>
      </c>
      <c r="AQ323" s="37" t="s">
        <v>168</v>
      </c>
      <c r="AR323" s="38" t="s">
        <v>169</v>
      </c>
      <c r="AS323" s="79" t="s">
        <v>170</v>
      </c>
      <c r="AV323" s="30" t="s">
        <v>164</v>
      </c>
      <c r="AW323" s="77" t="s">
        <v>165</v>
      </c>
      <c r="AX323" s="39" t="s">
        <v>166</v>
      </c>
      <c r="AY323" s="26" t="s">
        <v>167</v>
      </c>
      <c r="AZ323" s="39" t="s">
        <v>168</v>
      </c>
      <c r="BA323" s="40" t="s">
        <v>169</v>
      </c>
      <c r="BB323" s="79" t="s">
        <v>170</v>
      </c>
      <c r="BE323" s="30" t="s">
        <v>164</v>
      </c>
      <c r="BF323" s="77" t="s">
        <v>165</v>
      </c>
      <c r="BG323" s="41" t="s">
        <v>166</v>
      </c>
      <c r="BH323" s="26" t="s">
        <v>167</v>
      </c>
      <c r="BI323" s="41" t="s">
        <v>168</v>
      </c>
      <c r="BJ323" s="42" t="s">
        <v>169</v>
      </c>
      <c r="BK323" s="79" t="s">
        <v>170</v>
      </c>
      <c r="BN323" s="30" t="s">
        <v>164</v>
      </c>
      <c r="BO323" s="77" t="s">
        <v>165</v>
      </c>
      <c r="BP323" s="43" t="s">
        <v>166</v>
      </c>
      <c r="BQ323" s="26" t="s">
        <v>167</v>
      </c>
      <c r="BR323" s="43" t="s">
        <v>168</v>
      </c>
      <c r="BS323" s="44" t="s">
        <v>169</v>
      </c>
      <c r="BT323" s="79" t="s">
        <v>170</v>
      </c>
      <c r="BW323" s="30" t="s">
        <v>164</v>
      </c>
      <c r="BX323" s="77" t="s">
        <v>165</v>
      </c>
      <c r="BY323" s="45" t="s">
        <v>166</v>
      </c>
      <c r="BZ323" s="26" t="s">
        <v>167</v>
      </c>
      <c r="CA323" s="45" t="s">
        <v>168</v>
      </c>
      <c r="CB323" s="46" t="s">
        <v>169</v>
      </c>
      <c r="CC323" s="79" t="s">
        <v>170</v>
      </c>
      <c r="CF323" s="30" t="s">
        <v>164</v>
      </c>
      <c r="CG323" s="77" t="s">
        <v>165</v>
      </c>
      <c r="CH323" s="47" t="s">
        <v>166</v>
      </c>
      <c r="CI323" s="26" t="s">
        <v>167</v>
      </c>
      <c r="CJ323" s="47" t="s">
        <v>168</v>
      </c>
      <c r="CK323" s="48" t="s">
        <v>169</v>
      </c>
      <c r="CL323" s="79" t="s">
        <v>170</v>
      </c>
      <c r="CO323" s="30" t="s">
        <v>164</v>
      </c>
      <c r="CP323" s="77" t="s">
        <v>165</v>
      </c>
      <c r="CQ323" s="129" t="s">
        <v>166</v>
      </c>
      <c r="CR323" s="26" t="s">
        <v>167</v>
      </c>
      <c r="CS323" s="129" t="s">
        <v>168</v>
      </c>
      <c r="CT323" s="130" t="s">
        <v>169</v>
      </c>
      <c r="CU323" s="79" t="s">
        <v>170</v>
      </c>
      <c r="CX323" s="30" t="s">
        <v>164</v>
      </c>
      <c r="CY323" s="77" t="s">
        <v>165</v>
      </c>
      <c r="CZ323" s="132" t="s">
        <v>166</v>
      </c>
      <c r="DA323" s="26" t="s">
        <v>167</v>
      </c>
      <c r="DB323" s="132" t="s">
        <v>168</v>
      </c>
      <c r="DC323" s="134" t="s">
        <v>169</v>
      </c>
      <c r="DD323" s="79" t="s">
        <v>170</v>
      </c>
      <c r="DG323" s="30" t="s">
        <v>164</v>
      </c>
      <c r="DH323" s="77" t="s">
        <v>165</v>
      </c>
      <c r="DI323" s="146" t="s">
        <v>166</v>
      </c>
      <c r="DJ323" s="26" t="s">
        <v>167</v>
      </c>
      <c r="DK323" s="146" t="s">
        <v>168</v>
      </c>
      <c r="DL323" s="153" t="s">
        <v>169</v>
      </c>
      <c r="DM323" s="79" t="s">
        <v>170</v>
      </c>
      <c r="DP323" s="30" t="s">
        <v>164</v>
      </c>
      <c r="DQ323" s="77" t="s">
        <v>165</v>
      </c>
      <c r="DR323" s="27" t="s">
        <v>166</v>
      </c>
      <c r="DS323" s="26" t="s">
        <v>167</v>
      </c>
      <c r="DT323" s="27" t="s">
        <v>168</v>
      </c>
      <c r="DU323" s="28" t="s">
        <v>169</v>
      </c>
      <c r="DV323" s="79" t="s">
        <v>170</v>
      </c>
      <c r="DY323" s="30" t="s">
        <v>164</v>
      </c>
      <c r="DZ323" s="77" t="s">
        <v>165</v>
      </c>
      <c r="EA323" s="156" t="s">
        <v>166</v>
      </c>
      <c r="EB323" s="26" t="s">
        <v>167</v>
      </c>
      <c r="EC323" s="156" t="s">
        <v>168</v>
      </c>
      <c r="ED323" s="158" t="s">
        <v>169</v>
      </c>
      <c r="EE323" s="79" t="s">
        <v>170</v>
      </c>
      <c r="EH323" s="30" t="s">
        <v>164</v>
      </c>
      <c r="EI323" s="77" t="s">
        <v>165</v>
      </c>
      <c r="EJ323" s="161" t="s">
        <v>166</v>
      </c>
      <c r="EK323" s="26" t="s">
        <v>167</v>
      </c>
      <c r="EL323" s="161" t="s">
        <v>168</v>
      </c>
      <c r="EM323" s="163" t="s">
        <v>169</v>
      </c>
      <c r="EN323" s="79" t="s">
        <v>170</v>
      </c>
      <c r="EQ323" s="30" t="s">
        <v>164</v>
      </c>
      <c r="ER323" s="77" t="s">
        <v>165</v>
      </c>
      <c r="ES323" s="167" t="s">
        <v>166</v>
      </c>
      <c r="ET323" s="26" t="s">
        <v>167</v>
      </c>
      <c r="EU323" s="167" t="s">
        <v>168</v>
      </c>
      <c r="EV323" s="169" t="s">
        <v>169</v>
      </c>
      <c r="EW323" s="79" t="s">
        <v>170</v>
      </c>
      <c r="EZ323" s="30" t="s">
        <v>164</v>
      </c>
      <c r="FA323" s="77" t="s">
        <v>165</v>
      </c>
      <c r="FB323" s="176" t="s">
        <v>166</v>
      </c>
      <c r="FC323" s="26" t="s">
        <v>167</v>
      </c>
      <c r="FD323" s="176" t="s">
        <v>168</v>
      </c>
      <c r="FE323" s="177" t="s">
        <v>169</v>
      </c>
      <c r="FF323" s="79" t="s">
        <v>170</v>
      </c>
      <c r="FI323" s="30" t="s">
        <v>164</v>
      </c>
      <c r="FJ323" s="77" t="s">
        <v>165</v>
      </c>
      <c r="FK323" s="181" t="s">
        <v>166</v>
      </c>
      <c r="FL323" s="26" t="s">
        <v>167</v>
      </c>
      <c r="FM323" s="181" t="s">
        <v>168</v>
      </c>
      <c r="FN323" s="182" t="s">
        <v>169</v>
      </c>
      <c r="FO323" s="79" t="s">
        <v>170</v>
      </c>
      <c r="FR323" s="30" t="s">
        <v>164</v>
      </c>
      <c r="FS323" s="77" t="s">
        <v>165</v>
      </c>
      <c r="FT323" s="185" t="s">
        <v>166</v>
      </c>
      <c r="FU323" s="26" t="s">
        <v>167</v>
      </c>
      <c r="FV323" s="185" t="s">
        <v>168</v>
      </c>
      <c r="FW323" s="187" t="s">
        <v>169</v>
      </c>
      <c r="FX323" s="79" t="s">
        <v>170</v>
      </c>
      <c r="GA323" s="30" t="s">
        <v>164</v>
      </c>
      <c r="GB323" s="77" t="s">
        <v>165</v>
      </c>
      <c r="GC323" s="128" t="s">
        <v>166</v>
      </c>
      <c r="GD323" s="26" t="s">
        <v>167</v>
      </c>
      <c r="GE323" s="128" t="s">
        <v>168</v>
      </c>
      <c r="GF323" s="200" t="s">
        <v>169</v>
      </c>
      <c r="GG323" s="79" t="s">
        <v>170</v>
      </c>
      <c r="GJ323" s="30" t="s">
        <v>164</v>
      </c>
      <c r="GK323" s="77" t="s">
        <v>165</v>
      </c>
      <c r="GL323" s="197" t="s">
        <v>166</v>
      </c>
      <c r="GM323" s="26" t="s">
        <v>167</v>
      </c>
      <c r="GN323" s="197" t="s">
        <v>168</v>
      </c>
      <c r="GO323" s="198" t="s">
        <v>169</v>
      </c>
      <c r="GP323" s="79" t="s">
        <v>170</v>
      </c>
      <c r="GS323" s="30" t="s">
        <v>164</v>
      </c>
      <c r="GT323" s="77" t="s">
        <v>165</v>
      </c>
      <c r="GU323" s="193" t="s">
        <v>166</v>
      </c>
      <c r="GV323" s="26" t="s">
        <v>167</v>
      </c>
      <c r="GW323" s="193" t="s">
        <v>168</v>
      </c>
      <c r="GX323" s="194" t="s">
        <v>169</v>
      </c>
      <c r="GY323" s="79" t="s">
        <v>170</v>
      </c>
      <c r="HB323" s="30" t="s">
        <v>164</v>
      </c>
      <c r="HC323" s="77" t="s">
        <v>165</v>
      </c>
      <c r="HD323" s="189" t="s">
        <v>166</v>
      </c>
      <c r="HE323" s="26" t="s">
        <v>167</v>
      </c>
      <c r="HF323" s="189" t="s">
        <v>168</v>
      </c>
      <c r="HG323" s="190" t="s">
        <v>169</v>
      </c>
      <c r="HH323" s="79" t="s">
        <v>170</v>
      </c>
      <c r="HK323" s="30" t="s">
        <v>164</v>
      </c>
      <c r="HL323" s="77" t="s">
        <v>165</v>
      </c>
      <c r="HM323" s="41" t="s">
        <v>166</v>
      </c>
      <c r="HN323" s="26" t="s">
        <v>167</v>
      </c>
      <c r="HO323" s="41" t="s">
        <v>168</v>
      </c>
      <c r="HP323" s="42" t="s">
        <v>169</v>
      </c>
      <c r="HQ323" s="79" t="s">
        <v>170</v>
      </c>
      <c r="HU323" s="30" t="s">
        <v>164</v>
      </c>
      <c r="HV323" s="77" t="s">
        <v>165</v>
      </c>
      <c r="HW323" s="241" t="s">
        <v>166</v>
      </c>
      <c r="HX323" s="26" t="s">
        <v>167</v>
      </c>
      <c r="HY323" s="241" t="s">
        <v>168</v>
      </c>
      <c r="HZ323" s="243" t="s">
        <v>169</v>
      </c>
      <c r="IA323" s="79" t="s">
        <v>170</v>
      </c>
      <c r="ID323" s="30" t="s">
        <v>164</v>
      </c>
      <c r="IE323" s="77" t="s">
        <v>165</v>
      </c>
      <c r="IF323" s="241" t="s">
        <v>166</v>
      </c>
      <c r="IG323" s="26" t="s">
        <v>167</v>
      </c>
      <c r="IH323" s="241" t="s">
        <v>168</v>
      </c>
      <c r="II323" s="243" t="s">
        <v>169</v>
      </c>
      <c r="IJ323" s="79" t="s">
        <v>170</v>
      </c>
      <c r="IM323" s="30" t="s">
        <v>164</v>
      </c>
      <c r="IN323" s="77" t="s">
        <v>165</v>
      </c>
      <c r="IO323" s="241" t="s">
        <v>166</v>
      </c>
      <c r="IP323" s="26" t="s">
        <v>167</v>
      </c>
      <c r="IQ323" s="241" t="s">
        <v>168</v>
      </c>
      <c r="IR323" s="243" t="s">
        <v>169</v>
      </c>
      <c r="IS323" s="79" t="s">
        <v>170</v>
      </c>
      <c r="IV323" s="30" t="s">
        <v>164</v>
      </c>
      <c r="IW323" s="77" t="s">
        <v>165</v>
      </c>
      <c r="IX323" s="241" t="s">
        <v>166</v>
      </c>
      <c r="IY323" s="26" t="s">
        <v>167</v>
      </c>
      <c r="IZ323" s="241" t="s">
        <v>168</v>
      </c>
      <c r="JA323" s="243" t="s">
        <v>169</v>
      </c>
      <c r="JB323" s="79" t="s">
        <v>170</v>
      </c>
      <c r="JE323" s="30" t="s">
        <v>164</v>
      </c>
      <c r="JF323" s="77" t="s">
        <v>165</v>
      </c>
      <c r="JG323" s="241" t="s">
        <v>166</v>
      </c>
      <c r="JH323" s="26" t="s">
        <v>167</v>
      </c>
      <c r="JI323" s="241" t="s">
        <v>168</v>
      </c>
      <c r="JJ323" s="243" t="s">
        <v>169</v>
      </c>
      <c r="JK323" s="79" t="s">
        <v>170</v>
      </c>
      <c r="JN323" s="30" t="s">
        <v>164</v>
      </c>
      <c r="JO323" s="77" t="s">
        <v>165</v>
      </c>
      <c r="JP323" s="241" t="s">
        <v>166</v>
      </c>
      <c r="JQ323" s="26" t="s">
        <v>167</v>
      </c>
      <c r="JR323" s="241" t="s">
        <v>168</v>
      </c>
      <c r="JS323" s="243" t="s">
        <v>169</v>
      </c>
      <c r="JT323" s="79" t="s">
        <v>170</v>
      </c>
      <c r="JW323" s="30" t="s">
        <v>164</v>
      </c>
      <c r="JX323" s="77" t="s">
        <v>165</v>
      </c>
      <c r="JY323" s="241" t="s">
        <v>166</v>
      </c>
      <c r="JZ323" s="26" t="s">
        <v>167</v>
      </c>
      <c r="KA323" s="241" t="s">
        <v>168</v>
      </c>
      <c r="KB323" s="243" t="s">
        <v>169</v>
      </c>
      <c r="KC323" s="79" t="s">
        <v>170</v>
      </c>
      <c r="KF323" s="30" t="s">
        <v>164</v>
      </c>
      <c r="KG323" s="77" t="s">
        <v>165</v>
      </c>
      <c r="KH323" s="241" t="s">
        <v>166</v>
      </c>
      <c r="KI323" s="26" t="s">
        <v>167</v>
      </c>
      <c r="KJ323" s="241" t="s">
        <v>168</v>
      </c>
      <c r="KK323" s="243" t="s">
        <v>169</v>
      </c>
      <c r="KL323" s="79" t="s">
        <v>170</v>
      </c>
      <c r="KO323" s="30" t="s">
        <v>164</v>
      </c>
      <c r="KP323" s="77" t="s">
        <v>165</v>
      </c>
      <c r="KQ323" s="241" t="s">
        <v>166</v>
      </c>
      <c r="KR323" s="26" t="s">
        <v>167</v>
      </c>
      <c r="KS323" s="241" t="s">
        <v>168</v>
      </c>
      <c r="KT323" s="243" t="s">
        <v>169</v>
      </c>
      <c r="KU323" s="79" t="s">
        <v>170</v>
      </c>
      <c r="KX323" s="30" t="s">
        <v>164</v>
      </c>
      <c r="KY323" s="77" t="s">
        <v>165</v>
      </c>
      <c r="KZ323" s="241" t="s">
        <v>166</v>
      </c>
      <c r="LA323" s="26" t="s">
        <v>167</v>
      </c>
      <c r="LB323" s="241" t="s">
        <v>168</v>
      </c>
      <c r="LC323" s="243" t="s">
        <v>169</v>
      </c>
      <c r="LD323" s="79" t="s">
        <v>170</v>
      </c>
      <c r="LG323" s="30" t="s">
        <v>164</v>
      </c>
      <c r="LH323" s="77" t="s">
        <v>165</v>
      </c>
      <c r="LI323" s="241" t="s">
        <v>166</v>
      </c>
      <c r="LJ323" s="26" t="s">
        <v>167</v>
      </c>
      <c r="LK323" s="241" t="s">
        <v>168</v>
      </c>
      <c r="LL323" s="243" t="s">
        <v>169</v>
      </c>
      <c r="LM323" s="79" t="s">
        <v>170</v>
      </c>
      <c r="LP323" s="30" t="s">
        <v>164</v>
      </c>
      <c r="LQ323" s="77" t="s">
        <v>165</v>
      </c>
      <c r="LR323" s="241" t="s">
        <v>166</v>
      </c>
      <c r="LS323" s="26" t="s">
        <v>167</v>
      </c>
      <c r="LT323" s="241" t="s">
        <v>168</v>
      </c>
      <c r="LU323" s="243" t="s">
        <v>169</v>
      </c>
      <c r="LV323" s="79" t="s">
        <v>170</v>
      </c>
      <c r="LY323" s="30" t="s">
        <v>164</v>
      </c>
      <c r="LZ323" s="77" t="s">
        <v>165</v>
      </c>
      <c r="MA323" s="241" t="s">
        <v>166</v>
      </c>
      <c r="MB323" s="26" t="s">
        <v>167</v>
      </c>
      <c r="MC323" s="241" t="s">
        <v>168</v>
      </c>
      <c r="MD323" s="243" t="s">
        <v>169</v>
      </c>
      <c r="ME323" s="79" t="s">
        <v>170</v>
      </c>
      <c r="MH323" s="30" t="s">
        <v>164</v>
      </c>
      <c r="MI323" s="77" t="s">
        <v>165</v>
      </c>
      <c r="MJ323" s="241" t="s">
        <v>166</v>
      </c>
      <c r="MK323" s="26" t="s">
        <v>167</v>
      </c>
      <c r="ML323" s="241" t="s">
        <v>168</v>
      </c>
      <c r="MM323" s="243" t="s">
        <v>169</v>
      </c>
      <c r="MN323" s="79" t="s">
        <v>170</v>
      </c>
      <c r="MQ323" s="30" t="s">
        <v>164</v>
      </c>
      <c r="MR323" s="77" t="s">
        <v>165</v>
      </c>
      <c r="MS323" s="241" t="s">
        <v>166</v>
      </c>
      <c r="MT323" s="26" t="s">
        <v>167</v>
      </c>
      <c r="MU323" s="241" t="s">
        <v>168</v>
      </c>
      <c r="MV323" s="243" t="s">
        <v>169</v>
      </c>
      <c r="MW323" s="79" t="s">
        <v>170</v>
      </c>
      <c r="MZ323" s="30" t="s">
        <v>164</v>
      </c>
      <c r="NA323" s="77" t="s">
        <v>165</v>
      </c>
      <c r="NB323" s="241" t="s">
        <v>166</v>
      </c>
      <c r="NC323" s="26" t="s">
        <v>167</v>
      </c>
      <c r="ND323" s="241" t="s">
        <v>168</v>
      </c>
      <c r="NE323" s="243" t="s">
        <v>169</v>
      </c>
      <c r="NF323" s="79" t="s">
        <v>170</v>
      </c>
      <c r="NI323" s="30" t="s">
        <v>164</v>
      </c>
      <c r="NJ323" s="77" t="s">
        <v>165</v>
      </c>
      <c r="NK323" s="241" t="s">
        <v>166</v>
      </c>
      <c r="NL323" s="26" t="s">
        <v>167</v>
      </c>
      <c r="NM323" s="241" t="s">
        <v>168</v>
      </c>
      <c r="NN323" s="243" t="s">
        <v>169</v>
      </c>
      <c r="NO323" s="79" t="s">
        <v>170</v>
      </c>
      <c r="NR323" s="30" t="s">
        <v>164</v>
      </c>
      <c r="NS323" s="77" t="s">
        <v>165</v>
      </c>
      <c r="NT323" s="241" t="s">
        <v>166</v>
      </c>
      <c r="NU323" s="26" t="s">
        <v>167</v>
      </c>
      <c r="NV323" s="241" t="s">
        <v>168</v>
      </c>
      <c r="NW323" s="243" t="s">
        <v>169</v>
      </c>
      <c r="NX323" s="79" t="s">
        <v>170</v>
      </c>
      <c r="OA323" s="30" t="s">
        <v>164</v>
      </c>
      <c r="OB323" s="77" t="s">
        <v>165</v>
      </c>
      <c r="OC323" s="241" t="s">
        <v>166</v>
      </c>
      <c r="OD323" s="26" t="s">
        <v>167</v>
      </c>
      <c r="OE323" s="241" t="s">
        <v>168</v>
      </c>
      <c r="OF323" s="243" t="s">
        <v>169</v>
      </c>
      <c r="OG323" s="79" t="s">
        <v>170</v>
      </c>
      <c r="OJ323" s="30" t="s">
        <v>164</v>
      </c>
      <c r="OK323" s="77" t="s">
        <v>165</v>
      </c>
      <c r="OL323" s="241" t="s">
        <v>166</v>
      </c>
      <c r="OM323" s="26" t="s">
        <v>167</v>
      </c>
      <c r="ON323" s="241" t="s">
        <v>168</v>
      </c>
      <c r="OO323" s="243" t="s">
        <v>169</v>
      </c>
      <c r="OP323" s="79" t="s">
        <v>170</v>
      </c>
      <c r="OS323" s="30" t="s">
        <v>164</v>
      </c>
      <c r="OT323" s="77" t="s">
        <v>165</v>
      </c>
      <c r="OU323" s="241" t="s">
        <v>166</v>
      </c>
      <c r="OV323" s="26" t="s">
        <v>167</v>
      </c>
      <c r="OW323" s="241" t="s">
        <v>168</v>
      </c>
      <c r="OX323" s="243" t="s">
        <v>169</v>
      </c>
      <c r="OY323" s="79" t="s">
        <v>170</v>
      </c>
      <c r="PB323" s="30" t="s">
        <v>164</v>
      </c>
      <c r="PC323" s="77" t="s">
        <v>165</v>
      </c>
      <c r="PD323" s="241" t="s">
        <v>166</v>
      </c>
      <c r="PE323" s="26" t="s">
        <v>167</v>
      </c>
      <c r="PF323" s="241" t="s">
        <v>168</v>
      </c>
      <c r="PG323" s="243" t="s">
        <v>169</v>
      </c>
      <c r="PH323" s="79" t="s">
        <v>170</v>
      </c>
      <c r="PK323" s="30" t="s">
        <v>164</v>
      </c>
      <c r="PL323" s="77" t="s">
        <v>165</v>
      </c>
      <c r="PM323" s="241" t="s">
        <v>166</v>
      </c>
      <c r="PN323" s="26" t="s">
        <v>167</v>
      </c>
      <c r="PO323" s="241" t="s">
        <v>168</v>
      </c>
      <c r="PP323" s="243" t="s">
        <v>169</v>
      </c>
      <c r="PQ323" s="79" t="s">
        <v>170</v>
      </c>
      <c r="PT323" s="30" t="s">
        <v>164</v>
      </c>
      <c r="PU323" s="77" t="s">
        <v>165</v>
      </c>
      <c r="PV323" s="241" t="s">
        <v>166</v>
      </c>
      <c r="PW323" s="26" t="s">
        <v>167</v>
      </c>
      <c r="PX323" s="241" t="s">
        <v>168</v>
      </c>
      <c r="PY323" s="243" t="s">
        <v>169</v>
      </c>
      <c r="PZ323" s="79" t="s">
        <v>170</v>
      </c>
      <c r="QC323" s="30" t="s">
        <v>164</v>
      </c>
      <c r="QD323" s="77" t="s">
        <v>165</v>
      </c>
      <c r="QE323" s="241" t="s">
        <v>166</v>
      </c>
      <c r="QF323" s="26" t="s">
        <v>167</v>
      </c>
      <c r="QG323" s="241" t="s">
        <v>168</v>
      </c>
      <c r="QH323" s="243" t="s">
        <v>169</v>
      </c>
      <c r="QI323" s="79" t="s">
        <v>170</v>
      </c>
      <c r="QL323" s="30" t="s">
        <v>164</v>
      </c>
      <c r="QM323" s="77" t="s">
        <v>165</v>
      </c>
      <c r="QN323" s="241" t="s">
        <v>166</v>
      </c>
      <c r="QO323" s="26" t="s">
        <v>167</v>
      </c>
      <c r="QP323" s="241" t="s">
        <v>168</v>
      </c>
      <c r="QQ323" s="243" t="s">
        <v>169</v>
      </c>
      <c r="QR323" s="79" t="s">
        <v>170</v>
      </c>
      <c r="QU323" s="30" t="s">
        <v>164</v>
      </c>
      <c r="QV323" s="77" t="s">
        <v>165</v>
      </c>
      <c r="QW323" s="241" t="s">
        <v>166</v>
      </c>
      <c r="QX323" s="26" t="s">
        <v>167</v>
      </c>
      <c r="QY323" s="241" t="s">
        <v>168</v>
      </c>
      <c r="QZ323" s="243" t="s">
        <v>169</v>
      </c>
      <c r="RA323" s="79" t="s">
        <v>170</v>
      </c>
      <c r="RD323" s="30" t="s">
        <v>164</v>
      </c>
      <c r="RE323" s="77" t="s">
        <v>165</v>
      </c>
      <c r="RF323" s="241" t="s">
        <v>166</v>
      </c>
      <c r="RG323" s="26" t="s">
        <v>167</v>
      </c>
      <c r="RH323" s="241" t="s">
        <v>168</v>
      </c>
      <c r="RI323" s="243" t="s">
        <v>169</v>
      </c>
      <c r="RJ323" s="79" t="s">
        <v>170</v>
      </c>
      <c r="RM323" s="30" t="s">
        <v>164</v>
      </c>
      <c r="RN323" s="77" t="s">
        <v>165</v>
      </c>
      <c r="RO323" s="241" t="s">
        <v>166</v>
      </c>
      <c r="RP323" s="26" t="s">
        <v>167</v>
      </c>
      <c r="RQ323" s="241" t="s">
        <v>168</v>
      </c>
      <c r="RR323" s="243" t="s">
        <v>169</v>
      </c>
      <c r="RS323" s="79" t="s">
        <v>170</v>
      </c>
      <c r="RV323" s="30" t="s">
        <v>164</v>
      </c>
      <c r="RW323" s="77" t="s">
        <v>165</v>
      </c>
      <c r="RX323" s="241" t="s">
        <v>166</v>
      </c>
      <c r="RY323" s="26" t="s">
        <v>167</v>
      </c>
      <c r="RZ323" s="241" t="s">
        <v>168</v>
      </c>
      <c r="SA323" s="243" t="s">
        <v>169</v>
      </c>
      <c r="SB323" s="79" t="s">
        <v>170</v>
      </c>
      <c r="SE323" s="30" t="s">
        <v>164</v>
      </c>
      <c r="SF323" s="77" t="s">
        <v>165</v>
      </c>
      <c r="SG323" s="241" t="s">
        <v>166</v>
      </c>
      <c r="SH323" s="26" t="s">
        <v>167</v>
      </c>
      <c r="SI323" s="241" t="s">
        <v>168</v>
      </c>
      <c r="SJ323" s="243" t="s">
        <v>169</v>
      </c>
      <c r="SK323" s="79" t="s">
        <v>170</v>
      </c>
      <c r="SN323" s="30" t="s">
        <v>164</v>
      </c>
      <c r="SO323" s="77" t="s">
        <v>165</v>
      </c>
      <c r="SP323" s="241" t="s">
        <v>166</v>
      </c>
      <c r="SQ323" s="26" t="s">
        <v>167</v>
      </c>
      <c r="SR323" s="241" t="s">
        <v>168</v>
      </c>
      <c r="SS323" s="243" t="s">
        <v>169</v>
      </c>
      <c r="ST323" s="79" t="s">
        <v>170</v>
      </c>
      <c r="SW323" s="30" t="s">
        <v>164</v>
      </c>
      <c r="SX323" s="77" t="s">
        <v>165</v>
      </c>
      <c r="SY323" s="241" t="s">
        <v>166</v>
      </c>
      <c r="SZ323" s="26" t="s">
        <v>167</v>
      </c>
      <c r="TA323" s="241" t="s">
        <v>168</v>
      </c>
      <c r="TB323" s="243" t="s">
        <v>169</v>
      </c>
      <c r="TC323" s="79" t="s">
        <v>170</v>
      </c>
      <c r="TF323" s="30" t="s">
        <v>164</v>
      </c>
      <c r="TG323" s="77" t="s">
        <v>165</v>
      </c>
      <c r="TH323" s="241" t="s">
        <v>166</v>
      </c>
      <c r="TI323" s="26" t="s">
        <v>167</v>
      </c>
      <c r="TJ323" s="241" t="s">
        <v>168</v>
      </c>
      <c r="TK323" s="243" t="s">
        <v>169</v>
      </c>
      <c r="TL323" s="79" t="s">
        <v>170</v>
      </c>
      <c r="TO323" s="30" t="s">
        <v>164</v>
      </c>
      <c r="TP323" s="77" t="s">
        <v>165</v>
      </c>
      <c r="TQ323" s="241" t="s">
        <v>166</v>
      </c>
      <c r="TR323" s="26" t="s">
        <v>167</v>
      </c>
      <c r="TS323" s="241" t="s">
        <v>168</v>
      </c>
      <c r="TT323" s="243" t="s">
        <v>169</v>
      </c>
      <c r="TU323" s="79" t="s">
        <v>170</v>
      </c>
      <c r="TX323" s="30" t="s">
        <v>164</v>
      </c>
      <c r="TY323" s="77" t="s">
        <v>165</v>
      </c>
      <c r="TZ323" s="241" t="s">
        <v>166</v>
      </c>
      <c r="UA323" s="26" t="s">
        <v>167</v>
      </c>
      <c r="UB323" s="241" t="s">
        <v>168</v>
      </c>
      <c r="UC323" s="243" t="s">
        <v>169</v>
      </c>
      <c r="UD323" s="79" t="s">
        <v>170</v>
      </c>
      <c r="UG323" s="30" t="s">
        <v>164</v>
      </c>
      <c r="UH323" s="77" t="s">
        <v>165</v>
      </c>
      <c r="UI323" s="241" t="s">
        <v>166</v>
      </c>
      <c r="UJ323" s="26" t="s">
        <v>167</v>
      </c>
      <c r="UK323" s="241" t="s">
        <v>168</v>
      </c>
      <c r="UL323" s="243" t="s">
        <v>169</v>
      </c>
      <c r="UM323" s="79" t="s">
        <v>170</v>
      </c>
      <c r="UP323" s="30" t="s">
        <v>164</v>
      </c>
      <c r="UQ323" s="77" t="s">
        <v>165</v>
      </c>
      <c r="UR323" s="241" t="s">
        <v>166</v>
      </c>
      <c r="US323" s="26" t="s">
        <v>167</v>
      </c>
      <c r="UT323" s="241" t="s">
        <v>168</v>
      </c>
      <c r="UU323" s="243" t="s">
        <v>169</v>
      </c>
      <c r="UV323" s="79" t="s">
        <v>170</v>
      </c>
      <c r="UY323" s="30" t="s">
        <v>164</v>
      </c>
      <c r="UZ323" s="77" t="s">
        <v>165</v>
      </c>
      <c r="VA323" s="241" t="s">
        <v>166</v>
      </c>
      <c r="VB323" s="26" t="s">
        <v>167</v>
      </c>
      <c r="VC323" s="241" t="s">
        <v>168</v>
      </c>
      <c r="VD323" s="243" t="s">
        <v>169</v>
      </c>
      <c r="VE323" s="79" t="s">
        <v>170</v>
      </c>
      <c r="VH323" s="30" t="s">
        <v>164</v>
      </c>
      <c r="VI323" s="77" t="s">
        <v>165</v>
      </c>
      <c r="VJ323" s="241" t="s">
        <v>166</v>
      </c>
      <c r="VK323" s="26" t="s">
        <v>167</v>
      </c>
      <c r="VL323" s="241" t="s">
        <v>168</v>
      </c>
      <c r="VM323" s="243" t="s">
        <v>169</v>
      </c>
      <c r="VN323" s="79" t="s">
        <v>170</v>
      </c>
      <c r="VQ323" s="30" t="s">
        <v>164</v>
      </c>
      <c r="VR323" s="77" t="s">
        <v>165</v>
      </c>
      <c r="VS323" s="241" t="s">
        <v>166</v>
      </c>
      <c r="VT323" s="26" t="s">
        <v>167</v>
      </c>
      <c r="VU323" s="241" t="s">
        <v>168</v>
      </c>
      <c r="VV323" s="243" t="s">
        <v>169</v>
      </c>
      <c r="VW323" s="79" t="s">
        <v>170</v>
      </c>
      <c r="VZ323" s="30" t="s">
        <v>164</v>
      </c>
      <c r="WA323" s="77" t="s">
        <v>165</v>
      </c>
      <c r="WB323" s="241" t="s">
        <v>166</v>
      </c>
      <c r="WC323" s="26" t="s">
        <v>167</v>
      </c>
      <c r="WD323" s="241" t="s">
        <v>168</v>
      </c>
      <c r="WE323" s="243" t="s">
        <v>169</v>
      </c>
      <c r="WF323" s="79" t="s">
        <v>170</v>
      </c>
      <c r="WI323" s="30" t="s">
        <v>164</v>
      </c>
      <c r="WJ323" s="77" t="s">
        <v>165</v>
      </c>
      <c r="WK323" s="241" t="s">
        <v>166</v>
      </c>
      <c r="WL323" s="26" t="s">
        <v>167</v>
      </c>
      <c r="WM323" s="241" t="s">
        <v>168</v>
      </c>
      <c r="WN323" s="243" t="s">
        <v>169</v>
      </c>
      <c r="WO323" s="79" t="s">
        <v>170</v>
      </c>
      <c r="WR323" s="30" t="s">
        <v>164</v>
      </c>
      <c r="WS323" s="77" t="s">
        <v>165</v>
      </c>
      <c r="WT323" s="241" t="s">
        <v>166</v>
      </c>
      <c r="WU323" s="26" t="s">
        <v>167</v>
      </c>
      <c r="WV323" s="241" t="s">
        <v>168</v>
      </c>
      <c r="WW323" s="243" t="s">
        <v>169</v>
      </c>
      <c r="WX323" s="79" t="s">
        <v>170</v>
      </c>
      <c r="XA323" s="30" t="s">
        <v>164</v>
      </c>
      <c r="XB323" s="77" t="s">
        <v>165</v>
      </c>
      <c r="XC323" s="241" t="s">
        <v>166</v>
      </c>
      <c r="XD323" s="26" t="s">
        <v>167</v>
      </c>
      <c r="XE323" s="241" t="s">
        <v>168</v>
      </c>
      <c r="XF323" s="243" t="s">
        <v>169</v>
      </c>
      <c r="XG323" s="79" t="s">
        <v>170</v>
      </c>
      <c r="XJ323" s="30" t="s">
        <v>164</v>
      </c>
      <c r="XK323" s="77" t="s">
        <v>165</v>
      </c>
      <c r="XL323" s="241" t="s">
        <v>166</v>
      </c>
      <c r="XM323" s="26" t="s">
        <v>167</v>
      </c>
      <c r="XN323" s="241" t="s">
        <v>168</v>
      </c>
      <c r="XO323" s="243" t="s">
        <v>169</v>
      </c>
      <c r="XP323" s="79" t="s">
        <v>170</v>
      </c>
      <c r="XS323" s="30" t="s">
        <v>164</v>
      </c>
      <c r="XT323" s="77" t="s">
        <v>165</v>
      </c>
      <c r="XU323" s="241" t="s">
        <v>166</v>
      </c>
      <c r="XV323" s="26" t="s">
        <v>167</v>
      </c>
      <c r="XW323" s="241" t="s">
        <v>168</v>
      </c>
      <c r="XX323" s="243" t="s">
        <v>169</v>
      </c>
      <c r="XY323" s="79" t="s">
        <v>170</v>
      </c>
      <c r="YB323" s="30" t="s">
        <v>164</v>
      </c>
      <c r="YC323" s="77" t="s">
        <v>165</v>
      </c>
      <c r="YD323" s="241" t="s">
        <v>166</v>
      </c>
      <c r="YE323" s="26" t="s">
        <v>167</v>
      </c>
      <c r="YF323" s="241" t="s">
        <v>168</v>
      </c>
      <c r="YG323" s="243" t="s">
        <v>169</v>
      </c>
      <c r="YH323" s="79" t="s">
        <v>170</v>
      </c>
      <c r="YK323" s="30" t="s">
        <v>164</v>
      </c>
      <c r="YL323" s="77" t="s">
        <v>165</v>
      </c>
      <c r="YM323" s="241" t="s">
        <v>166</v>
      </c>
      <c r="YN323" s="26" t="s">
        <v>167</v>
      </c>
      <c r="YO323" s="241" t="s">
        <v>168</v>
      </c>
      <c r="YP323" s="243" t="s">
        <v>169</v>
      </c>
      <c r="YQ323" s="79" t="s">
        <v>170</v>
      </c>
      <c r="YT323" s="30" t="s">
        <v>164</v>
      </c>
      <c r="YU323" s="77" t="s">
        <v>165</v>
      </c>
      <c r="YV323" s="241" t="s">
        <v>166</v>
      </c>
      <c r="YW323" s="26" t="s">
        <v>167</v>
      </c>
      <c r="YX323" s="241" t="s">
        <v>168</v>
      </c>
      <c r="YY323" s="243" t="s">
        <v>169</v>
      </c>
      <c r="YZ323" s="79" t="s">
        <v>170</v>
      </c>
      <c r="ZC323" s="30" t="s">
        <v>164</v>
      </c>
      <c r="ZD323" s="77" t="s">
        <v>165</v>
      </c>
      <c r="ZE323" s="241" t="s">
        <v>166</v>
      </c>
      <c r="ZF323" s="26" t="s">
        <v>167</v>
      </c>
      <c r="ZG323" s="241" t="s">
        <v>168</v>
      </c>
      <c r="ZH323" s="243" t="s">
        <v>169</v>
      </c>
      <c r="ZI323" s="79" t="s">
        <v>170</v>
      </c>
      <c r="ZL323" s="30" t="s">
        <v>164</v>
      </c>
      <c r="ZM323" s="77" t="s">
        <v>165</v>
      </c>
      <c r="ZN323" s="241" t="s">
        <v>166</v>
      </c>
      <c r="ZO323" s="26" t="s">
        <v>167</v>
      </c>
      <c r="ZP323" s="241" t="s">
        <v>168</v>
      </c>
      <c r="ZQ323" s="243" t="s">
        <v>169</v>
      </c>
      <c r="ZR323" s="79" t="s">
        <v>170</v>
      </c>
      <c r="ZU323" s="30" t="s">
        <v>164</v>
      </c>
      <c r="ZV323" s="77" t="s">
        <v>165</v>
      </c>
      <c r="ZW323" s="241" t="s">
        <v>166</v>
      </c>
      <c r="ZX323" s="26" t="s">
        <v>167</v>
      </c>
      <c r="ZY323" s="241" t="s">
        <v>168</v>
      </c>
      <c r="ZZ323" s="243" t="s">
        <v>169</v>
      </c>
      <c r="AAA323" s="79" t="s">
        <v>170</v>
      </c>
      <c r="AAD323" s="30" t="s">
        <v>164</v>
      </c>
      <c r="AAE323" s="77" t="s">
        <v>165</v>
      </c>
      <c r="AAF323" s="241" t="s">
        <v>166</v>
      </c>
      <c r="AAG323" s="26" t="s">
        <v>167</v>
      </c>
      <c r="AAH323" s="241" t="s">
        <v>168</v>
      </c>
      <c r="AAI323" s="243" t="s">
        <v>169</v>
      </c>
      <c r="AAJ323" s="79" t="s">
        <v>170</v>
      </c>
      <c r="AAM323" s="30" t="s">
        <v>164</v>
      </c>
      <c r="AAN323" s="77" t="s">
        <v>165</v>
      </c>
      <c r="AAO323" s="241" t="s">
        <v>166</v>
      </c>
      <c r="AAP323" s="26" t="s">
        <v>167</v>
      </c>
      <c r="AAQ323" s="241" t="s">
        <v>168</v>
      </c>
      <c r="AAR323" s="243" t="s">
        <v>169</v>
      </c>
      <c r="AAS323" s="79" t="s">
        <v>170</v>
      </c>
      <c r="AAV323" s="30" t="s">
        <v>164</v>
      </c>
      <c r="AAW323" s="77" t="s">
        <v>165</v>
      </c>
      <c r="AAX323" s="241" t="s">
        <v>166</v>
      </c>
      <c r="AAY323" s="26" t="s">
        <v>167</v>
      </c>
      <c r="AAZ323" s="241" t="s">
        <v>168</v>
      </c>
      <c r="ABA323" s="243" t="s">
        <v>169</v>
      </c>
      <c r="ABB323" s="79" t="s">
        <v>170</v>
      </c>
      <c r="ABE323" s="30" t="s">
        <v>164</v>
      </c>
      <c r="ABF323" s="77" t="s">
        <v>165</v>
      </c>
      <c r="ABG323" s="241" t="s">
        <v>166</v>
      </c>
      <c r="ABH323" s="26" t="s">
        <v>167</v>
      </c>
      <c r="ABI323" s="241" t="s">
        <v>168</v>
      </c>
      <c r="ABJ323" s="243" t="s">
        <v>169</v>
      </c>
      <c r="ABK323" s="79" t="s">
        <v>170</v>
      </c>
    </row>
    <row r="324" spans="1:739" s="6" customFormat="1" ht="15" customHeight="1" outlineLevel="1" thickBot="1">
      <c r="B324" s="480"/>
      <c r="C324" s="49" t="s">
        <v>171</v>
      </c>
      <c r="D324" s="50" t="s">
        <v>172</v>
      </c>
      <c r="E324" s="50" t="s">
        <v>172</v>
      </c>
      <c r="F324" s="50" t="s">
        <v>172</v>
      </c>
      <c r="G324" s="51" t="s">
        <v>172</v>
      </c>
      <c r="H324" s="52">
        <f>H320</f>
        <v>236936.6</v>
      </c>
      <c r="I324" s="328"/>
      <c r="L324" s="49" t="s">
        <v>171</v>
      </c>
      <c r="M324" s="50" t="s">
        <v>172</v>
      </c>
      <c r="N324" s="50" t="s">
        <v>172</v>
      </c>
      <c r="O324" s="50" t="s">
        <v>172</v>
      </c>
      <c r="P324" s="51" t="s">
        <v>172</v>
      </c>
      <c r="Q324" s="52">
        <f>Q320</f>
        <v>53017.600000000071</v>
      </c>
      <c r="R324" s="53"/>
      <c r="U324" s="49" t="s">
        <v>171</v>
      </c>
      <c r="V324" s="50" t="s">
        <v>172</v>
      </c>
      <c r="W324" s="50" t="s">
        <v>172</v>
      </c>
      <c r="X324" s="50" t="s">
        <v>172</v>
      </c>
      <c r="Y324" s="51" t="s">
        <v>172</v>
      </c>
      <c r="Z324" s="52">
        <f>Z320</f>
        <v>42674.199999999968</v>
      </c>
      <c r="AA324" s="53"/>
      <c r="AD324" s="49" t="s">
        <v>171</v>
      </c>
      <c r="AE324" s="50" t="s">
        <v>172</v>
      </c>
      <c r="AF324" s="50" t="s">
        <v>172</v>
      </c>
      <c r="AG324" s="50" t="s">
        <v>172</v>
      </c>
      <c r="AH324" s="51" t="s">
        <v>172</v>
      </c>
      <c r="AI324" s="52">
        <f>AI320</f>
        <v>4522.2000000000189</v>
      </c>
      <c r="AJ324" s="53"/>
      <c r="AM324" s="49" t="s">
        <v>171</v>
      </c>
      <c r="AN324" s="429" t="s">
        <v>172</v>
      </c>
      <c r="AO324" s="429" t="s">
        <v>172</v>
      </c>
      <c r="AP324" s="429" t="s">
        <v>172</v>
      </c>
      <c r="AQ324" s="430" t="s">
        <v>172</v>
      </c>
      <c r="AR324" s="431">
        <f>AR320</f>
        <v>0</v>
      </c>
      <c r="AS324" s="53"/>
      <c r="AV324" s="49" t="s">
        <v>171</v>
      </c>
      <c r="AW324" s="50" t="s">
        <v>172</v>
      </c>
      <c r="AX324" s="50" t="s">
        <v>172</v>
      </c>
      <c r="AY324" s="50" t="s">
        <v>172</v>
      </c>
      <c r="AZ324" s="51" t="s">
        <v>172</v>
      </c>
      <c r="BA324" s="52">
        <f>BA320</f>
        <v>124.99999999999523</v>
      </c>
      <c r="BB324" s="53"/>
      <c r="BE324" s="49" t="s">
        <v>171</v>
      </c>
      <c r="BF324" s="50" t="s">
        <v>172</v>
      </c>
      <c r="BG324" s="50" t="s">
        <v>172</v>
      </c>
      <c r="BH324" s="50" t="s">
        <v>172</v>
      </c>
      <c r="BI324" s="51" t="s">
        <v>172</v>
      </c>
      <c r="BJ324" s="52">
        <f>BJ320</f>
        <v>26151.899999999998</v>
      </c>
      <c r="BK324" s="53"/>
      <c r="BN324" s="49" t="s">
        <v>171</v>
      </c>
      <c r="BO324" s="50" t="s">
        <v>172</v>
      </c>
      <c r="BP324" s="50" t="s">
        <v>172</v>
      </c>
      <c r="BQ324" s="50" t="s">
        <v>172</v>
      </c>
      <c r="BR324" s="51" t="s">
        <v>172</v>
      </c>
      <c r="BS324" s="52">
        <f>BS320</f>
        <v>0</v>
      </c>
      <c r="BT324" s="53"/>
      <c r="BW324" s="49" t="s">
        <v>171</v>
      </c>
      <c r="BX324" s="50" t="s">
        <v>172</v>
      </c>
      <c r="BY324" s="50" t="s">
        <v>172</v>
      </c>
      <c r="BZ324" s="50" t="s">
        <v>172</v>
      </c>
      <c r="CA324" s="51" t="s">
        <v>172</v>
      </c>
      <c r="CB324" s="52">
        <f>CB320</f>
        <v>2097.3399999999992</v>
      </c>
      <c r="CC324" s="53"/>
      <c r="CF324" s="49" t="s">
        <v>171</v>
      </c>
      <c r="CG324" s="50" t="s">
        <v>172</v>
      </c>
      <c r="CH324" s="50" t="s">
        <v>172</v>
      </c>
      <c r="CI324" s="50" t="s">
        <v>172</v>
      </c>
      <c r="CJ324" s="51" t="s">
        <v>172</v>
      </c>
      <c r="CK324" s="52">
        <f>CK320</f>
        <v>-10277.079999999998</v>
      </c>
      <c r="CL324" s="53"/>
      <c r="CO324" s="49" t="s">
        <v>171</v>
      </c>
      <c r="CP324" s="429" t="s">
        <v>172</v>
      </c>
      <c r="CQ324" s="429" t="s">
        <v>172</v>
      </c>
      <c r="CR324" s="429" t="s">
        <v>172</v>
      </c>
      <c r="CS324" s="430" t="s">
        <v>172</v>
      </c>
      <c r="CT324" s="431">
        <f>CT320</f>
        <v>0</v>
      </c>
      <c r="CU324" s="53"/>
      <c r="CX324" s="49" t="s">
        <v>171</v>
      </c>
      <c r="CY324" s="50" t="s">
        <v>172</v>
      </c>
      <c r="CZ324" s="50" t="s">
        <v>172</v>
      </c>
      <c r="DA324" s="50" t="s">
        <v>172</v>
      </c>
      <c r="DB324" s="51" t="s">
        <v>172</v>
      </c>
      <c r="DC324" s="52">
        <f>DC320</f>
        <v>27438.200000000012</v>
      </c>
      <c r="DD324" s="53"/>
      <c r="DG324" s="49" t="s">
        <v>171</v>
      </c>
      <c r="DH324" s="50" t="s">
        <v>172</v>
      </c>
      <c r="DI324" s="142" t="s">
        <v>172</v>
      </c>
      <c r="DJ324" s="50" t="s">
        <v>172</v>
      </c>
      <c r="DK324" s="143" t="s">
        <v>172</v>
      </c>
      <c r="DL324" s="144">
        <f>DL320</f>
        <v>18782.299999999981</v>
      </c>
      <c r="DM324" s="53"/>
      <c r="DP324" s="49" t="s">
        <v>171</v>
      </c>
      <c r="DQ324" s="50" t="s">
        <v>172</v>
      </c>
      <c r="DR324" s="50" t="s">
        <v>172</v>
      </c>
      <c r="DS324" s="50" t="s">
        <v>172</v>
      </c>
      <c r="DT324" s="51" t="s">
        <v>172</v>
      </c>
      <c r="DU324" s="52">
        <f>DU320</f>
        <v>5800</v>
      </c>
      <c r="DV324" s="53"/>
      <c r="DY324" s="49" t="s">
        <v>171</v>
      </c>
      <c r="DZ324" s="50" t="s">
        <v>172</v>
      </c>
      <c r="EA324" s="50" t="s">
        <v>172</v>
      </c>
      <c r="EB324" s="50" t="s">
        <v>172</v>
      </c>
      <c r="EC324" s="143" t="s">
        <v>172</v>
      </c>
      <c r="ED324" s="144">
        <f>ED320</f>
        <v>0</v>
      </c>
      <c r="EE324" s="53"/>
      <c r="EH324" s="49" t="s">
        <v>171</v>
      </c>
      <c r="EI324" s="50" t="s">
        <v>172</v>
      </c>
      <c r="EJ324" s="50" t="s">
        <v>172</v>
      </c>
      <c r="EK324" s="50" t="s">
        <v>172</v>
      </c>
      <c r="EL324" s="143" t="s">
        <v>172</v>
      </c>
      <c r="EM324" s="144">
        <f>EM320</f>
        <v>0</v>
      </c>
      <c r="EN324" s="53"/>
      <c r="EQ324" s="49" t="s">
        <v>171</v>
      </c>
      <c r="ER324" s="50" t="s">
        <v>172</v>
      </c>
      <c r="ES324" s="50" t="s">
        <v>172</v>
      </c>
      <c r="ET324" s="50" t="s">
        <v>172</v>
      </c>
      <c r="EU324" s="51" t="s">
        <v>172</v>
      </c>
      <c r="EV324" s="52">
        <f>EV320</f>
        <v>0</v>
      </c>
      <c r="EW324" s="53"/>
      <c r="EZ324" s="49" t="s">
        <v>171</v>
      </c>
      <c r="FA324" s="50" t="s">
        <v>172</v>
      </c>
      <c r="FB324" s="50" t="s">
        <v>172</v>
      </c>
      <c r="FC324" s="50" t="s">
        <v>172</v>
      </c>
      <c r="FD324" s="143" t="s">
        <v>172</v>
      </c>
      <c r="FE324" s="144">
        <f>FE320</f>
        <v>0</v>
      </c>
      <c r="FF324" s="53"/>
      <c r="FI324" s="49" t="s">
        <v>171</v>
      </c>
      <c r="FJ324" s="50" t="s">
        <v>172</v>
      </c>
      <c r="FK324" s="50" t="s">
        <v>172</v>
      </c>
      <c r="FL324" s="50" t="s">
        <v>172</v>
      </c>
      <c r="FM324" s="143" t="s">
        <v>172</v>
      </c>
      <c r="FN324" s="144">
        <f>FN320</f>
        <v>0</v>
      </c>
      <c r="FO324" s="53"/>
      <c r="FR324" s="49" t="s">
        <v>171</v>
      </c>
      <c r="FS324" s="50" t="s">
        <v>172</v>
      </c>
      <c r="FT324" s="50" t="s">
        <v>172</v>
      </c>
      <c r="FU324" s="50" t="s">
        <v>172</v>
      </c>
      <c r="FV324" s="143" t="s">
        <v>172</v>
      </c>
      <c r="FW324" s="144">
        <f>FW320</f>
        <v>2020</v>
      </c>
      <c r="FX324" s="53"/>
      <c r="GA324" s="49" t="s">
        <v>171</v>
      </c>
      <c r="GB324" s="50" t="s">
        <v>172</v>
      </c>
      <c r="GC324" s="50" t="s">
        <v>172</v>
      </c>
      <c r="GD324" s="50" t="s">
        <v>172</v>
      </c>
      <c r="GE324" s="143" t="s">
        <v>172</v>
      </c>
      <c r="GF324" s="144">
        <f>GF320</f>
        <v>960</v>
      </c>
      <c r="GG324" s="53"/>
      <c r="GI324" s="22"/>
      <c r="GJ324" s="49" t="s">
        <v>171</v>
      </c>
      <c r="GK324" s="50" t="s">
        <v>172</v>
      </c>
      <c r="GL324" s="50" t="s">
        <v>172</v>
      </c>
      <c r="GM324" s="50" t="s">
        <v>172</v>
      </c>
      <c r="GN324" s="143" t="s">
        <v>172</v>
      </c>
      <c r="GO324" s="144">
        <f>GO320</f>
        <v>1760</v>
      </c>
      <c r="GP324" s="53"/>
      <c r="GS324" s="49" t="s">
        <v>171</v>
      </c>
      <c r="GT324" s="50" t="s">
        <v>172</v>
      </c>
      <c r="GU324" s="50" t="s">
        <v>172</v>
      </c>
      <c r="GV324" s="50" t="s">
        <v>172</v>
      </c>
      <c r="GW324" s="143" t="s">
        <v>172</v>
      </c>
      <c r="GX324" s="144">
        <f>GX320</f>
        <v>400</v>
      </c>
      <c r="GY324" s="53"/>
      <c r="HB324" s="49" t="s">
        <v>171</v>
      </c>
      <c r="HC324" s="50" t="s">
        <v>172</v>
      </c>
      <c r="HD324" s="50" t="s">
        <v>172</v>
      </c>
      <c r="HE324" s="50" t="s">
        <v>172</v>
      </c>
      <c r="HF324" s="143" t="s">
        <v>172</v>
      </c>
      <c r="HG324" s="144">
        <f>HG320</f>
        <v>3600</v>
      </c>
      <c r="HH324" s="53"/>
      <c r="HK324" s="49" t="s">
        <v>171</v>
      </c>
      <c r="HL324" s="50" t="s">
        <v>172</v>
      </c>
      <c r="HM324" s="50" t="s">
        <v>172</v>
      </c>
      <c r="HN324" s="50" t="s">
        <v>172</v>
      </c>
      <c r="HO324" s="143" t="s">
        <v>172</v>
      </c>
      <c r="HP324" s="144">
        <f>HP320</f>
        <v>0</v>
      </c>
      <c r="HQ324" s="53"/>
      <c r="HU324" s="49" t="s">
        <v>171</v>
      </c>
      <c r="HV324" s="50" t="s">
        <v>172</v>
      </c>
      <c r="HW324" s="142" t="s">
        <v>172</v>
      </c>
      <c r="HX324" s="50" t="s">
        <v>172</v>
      </c>
      <c r="HY324" s="143" t="s">
        <v>172</v>
      </c>
      <c r="HZ324" s="144">
        <f>HZ320</f>
        <v>6120</v>
      </c>
      <c r="IA324" s="53"/>
      <c r="ID324" s="49" t="s">
        <v>171</v>
      </c>
      <c r="IE324" s="50" t="s">
        <v>172</v>
      </c>
      <c r="IF324" s="142" t="s">
        <v>172</v>
      </c>
      <c r="IG324" s="50" t="s">
        <v>172</v>
      </c>
      <c r="IH324" s="143" t="s">
        <v>172</v>
      </c>
      <c r="II324" s="144">
        <f>II320</f>
        <v>0</v>
      </c>
      <c r="IJ324" s="53"/>
      <c r="IM324" s="49" t="s">
        <v>171</v>
      </c>
      <c r="IN324" s="50" t="s">
        <v>172</v>
      </c>
      <c r="IO324" s="142" t="s">
        <v>172</v>
      </c>
      <c r="IP324" s="50" t="s">
        <v>172</v>
      </c>
      <c r="IQ324" s="143" t="s">
        <v>172</v>
      </c>
      <c r="IR324" s="144">
        <f>IR320</f>
        <v>0</v>
      </c>
      <c r="IS324" s="53"/>
      <c r="IV324" s="49" t="s">
        <v>171</v>
      </c>
      <c r="IW324" s="50" t="s">
        <v>172</v>
      </c>
      <c r="IX324" s="142" t="s">
        <v>172</v>
      </c>
      <c r="IY324" s="142" t="s">
        <v>172</v>
      </c>
      <c r="IZ324" s="143" t="s">
        <v>172</v>
      </c>
      <c r="JA324" s="144">
        <f>JA320</f>
        <v>2820</v>
      </c>
      <c r="JB324" s="53"/>
      <c r="JE324" s="49" t="s">
        <v>171</v>
      </c>
      <c r="JF324" s="50" t="s">
        <v>172</v>
      </c>
      <c r="JG324" s="142" t="s">
        <v>172</v>
      </c>
      <c r="JH324" s="142" t="s">
        <v>172</v>
      </c>
      <c r="JI324" s="143" t="s">
        <v>172</v>
      </c>
      <c r="JJ324" s="144">
        <f>JJ320</f>
        <v>0</v>
      </c>
      <c r="JK324" s="53"/>
      <c r="JN324" s="49" t="s">
        <v>171</v>
      </c>
      <c r="JO324" s="50" t="s">
        <v>172</v>
      </c>
      <c r="JP324" s="142" t="s">
        <v>172</v>
      </c>
      <c r="JQ324" s="142" t="s">
        <v>172</v>
      </c>
      <c r="JR324" s="143" t="s">
        <v>172</v>
      </c>
      <c r="JS324" s="144">
        <f>JS320</f>
        <v>0</v>
      </c>
      <c r="JT324" s="53"/>
      <c r="JW324" s="49" t="s">
        <v>171</v>
      </c>
      <c r="JX324" s="50" t="s">
        <v>172</v>
      </c>
      <c r="JY324" s="142" t="s">
        <v>172</v>
      </c>
      <c r="JZ324" s="142" t="s">
        <v>172</v>
      </c>
      <c r="KA324" s="143" t="s">
        <v>172</v>
      </c>
      <c r="KB324" s="144">
        <f>KB320</f>
        <v>2540</v>
      </c>
      <c r="KC324" s="53"/>
      <c r="KF324" s="49" t="s">
        <v>171</v>
      </c>
      <c r="KG324" s="50" t="s">
        <v>172</v>
      </c>
      <c r="KH324" s="142" t="s">
        <v>172</v>
      </c>
      <c r="KI324" s="50" t="s">
        <v>172</v>
      </c>
      <c r="KJ324" s="143" t="s">
        <v>172</v>
      </c>
      <c r="KK324" s="144">
        <f>KK320</f>
        <v>2359.5</v>
      </c>
      <c r="KL324" s="53"/>
      <c r="KO324" s="49" t="s">
        <v>171</v>
      </c>
      <c r="KP324" s="50" t="s">
        <v>172</v>
      </c>
      <c r="KQ324" s="142" t="s">
        <v>172</v>
      </c>
      <c r="KR324" s="50" t="s">
        <v>172</v>
      </c>
      <c r="KS324" s="143" t="s">
        <v>172</v>
      </c>
      <c r="KT324" s="144">
        <f>KT320</f>
        <v>1890</v>
      </c>
      <c r="KU324" s="53"/>
      <c r="KW324" s="22"/>
      <c r="KX324" s="49" t="s">
        <v>171</v>
      </c>
      <c r="KY324" s="50" t="s">
        <v>172</v>
      </c>
      <c r="KZ324" s="142" t="s">
        <v>172</v>
      </c>
      <c r="LA324" s="50" t="s">
        <v>172</v>
      </c>
      <c r="LB324" s="143" t="s">
        <v>172</v>
      </c>
      <c r="LC324" s="144">
        <f>LC320</f>
        <v>3690</v>
      </c>
      <c r="LD324" s="53"/>
      <c r="LG324" s="49" t="s">
        <v>171</v>
      </c>
      <c r="LH324" s="50" t="s">
        <v>172</v>
      </c>
      <c r="LI324" s="142" t="s">
        <v>172</v>
      </c>
      <c r="LJ324" s="142" t="s">
        <v>172</v>
      </c>
      <c r="LK324" s="143" t="s">
        <v>172</v>
      </c>
      <c r="LL324" s="144">
        <f>LL320</f>
        <v>4000</v>
      </c>
      <c r="LM324" s="53"/>
      <c r="LP324" s="49" t="s">
        <v>171</v>
      </c>
      <c r="LQ324" s="50" t="s">
        <v>172</v>
      </c>
      <c r="LR324" s="142" t="s">
        <v>172</v>
      </c>
      <c r="LS324" s="50" t="s">
        <v>172</v>
      </c>
      <c r="LT324" s="143" t="s">
        <v>172</v>
      </c>
      <c r="LU324" s="144">
        <f>LU320</f>
        <v>0</v>
      </c>
      <c r="LV324" s="53"/>
      <c r="LY324" s="49" t="s">
        <v>171</v>
      </c>
      <c r="LZ324" s="50" t="s">
        <v>172</v>
      </c>
      <c r="MA324" s="142" t="s">
        <v>172</v>
      </c>
      <c r="MB324" s="142" t="s">
        <v>172</v>
      </c>
      <c r="MC324" s="143" t="s">
        <v>172</v>
      </c>
      <c r="MD324" s="144">
        <f>MD320</f>
        <v>0</v>
      </c>
      <c r="ME324" s="53"/>
      <c r="MH324" s="49" t="s">
        <v>171</v>
      </c>
      <c r="MI324" s="50" t="s">
        <v>172</v>
      </c>
      <c r="MJ324" s="142" t="s">
        <v>172</v>
      </c>
      <c r="MK324" s="142" t="s">
        <v>172</v>
      </c>
      <c r="ML324" s="143" t="s">
        <v>172</v>
      </c>
      <c r="MM324" s="144">
        <f>MM320</f>
        <v>0</v>
      </c>
      <c r="MN324" s="53"/>
      <c r="MQ324" s="49" t="s">
        <v>171</v>
      </c>
      <c r="MR324" s="50" t="s">
        <v>172</v>
      </c>
      <c r="MS324" s="142" t="s">
        <v>172</v>
      </c>
      <c r="MT324" s="142" t="s">
        <v>172</v>
      </c>
      <c r="MU324" s="143" t="s">
        <v>172</v>
      </c>
      <c r="MV324" s="144">
        <f>MV320</f>
        <v>1625</v>
      </c>
      <c r="MW324" s="53"/>
      <c r="MZ324" s="49" t="s">
        <v>171</v>
      </c>
      <c r="NA324" s="50" t="s">
        <v>172</v>
      </c>
      <c r="NB324" s="142" t="s">
        <v>172</v>
      </c>
      <c r="NC324" s="142" t="s">
        <v>172</v>
      </c>
      <c r="ND324" s="143" t="s">
        <v>172</v>
      </c>
      <c r="NE324" s="144">
        <f>NE320</f>
        <v>0</v>
      </c>
      <c r="NF324" s="53"/>
      <c r="NI324" s="49" t="s">
        <v>171</v>
      </c>
      <c r="NJ324" s="50" t="s">
        <v>172</v>
      </c>
      <c r="NK324" s="142" t="s">
        <v>172</v>
      </c>
      <c r="NL324" s="50" t="s">
        <v>172</v>
      </c>
      <c r="NM324" s="143" t="s">
        <v>172</v>
      </c>
      <c r="NN324" s="144">
        <f>NN320</f>
        <v>1127</v>
      </c>
      <c r="NO324" s="53"/>
      <c r="NR324" s="49" t="s">
        <v>171</v>
      </c>
      <c r="NS324" s="50" t="s">
        <v>172</v>
      </c>
      <c r="NT324" s="142" t="s">
        <v>172</v>
      </c>
      <c r="NU324" s="50" t="s">
        <v>172</v>
      </c>
      <c r="NV324" s="143" t="s">
        <v>172</v>
      </c>
      <c r="NW324" s="144">
        <f>NW320</f>
        <v>3111.9999999999995</v>
      </c>
      <c r="NX324" s="53"/>
      <c r="OA324" s="49" t="s">
        <v>171</v>
      </c>
      <c r="OB324" s="50" t="s">
        <v>172</v>
      </c>
      <c r="OC324" s="142" t="s">
        <v>172</v>
      </c>
      <c r="OD324" s="142" t="s">
        <v>172</v>
      </c>
      <c r="OE324" s="143" t="s">
        <v>172</v>
      </c>
      <c r="OF324" s="144">
        <f>OF320</f>
        <v>1680.5</v>
      </c>
      <c r="OG324" s="53"/>
      <c r="OJ324" s="49" t="s">
        <v>171</v>
      </c>
      <c r="OK324" s="50" t="s">
        <v>172</v>
      </c>
      <c r="OL324" s="142" t="s">
        <v>172</v>
      </c>
      <c r="OM324" s="142" t="s">
        <v>172</v>
      </c>
      <c r="ON324" s="143" t="s">
        <v>172</v>
      </c>
      <c r="OO324" s="144">
        <f>OO320</f>
        <v>0</v>
      </c>
      <c r="OP324" s="53"/>
      <c r="OS324" s="49" t="s">
        <v>171</v>
      </c>
      <c r="OT324" s="50" t="s">
        <v>172</v>
      </c>
      <c r="OU324" s="142" t="s">
        <v>172</v>
      </c>
      <c r="OV324" s="142" t="s">
        <v>172</v>
      </c>
      <c r="OW324" s="143" t="s">
        <v>172</v>
      </c>
      <c r="OX324" s="144">
        <f>OX320</f>
        <v>1482</v>
      </c>
      <c r="OY324" s="53"/>
      <c r="PB324" s="49" t="s">
        <v>171</v>
      </c>
      <c r="PC324" s="50" t="s">
        <v>172</v>
      </c>
      <c r="PD324" s="142" t="s">
        <v>172</v>
      </c>
      <c r="PE324" s="142" t="s">
        <v>172</v>
      </c>
      <c r="PF324" s="143" t="s">
        <v>172</v>
      </c>
      <c r="PG324" s="144">
        <f>PG320</f>
        <v>0</v>
      </c>
      <c r="PH324" s="53"/>
      <c r="PK324" s="49" t="s">
        <v>171</v>
      </c>
      <c r="PL324" s="50" t="s">
        <v>172</v>
      </c>
      <c r="PM324" s="142" t="s">
        <v>172</v>
      </c>
      <c r="PN324" s="142" t="s">
        <v>172</v>
      </c>
      <c r="PO324" s="143" t="s">
        <v>172</v>
      </c>
      <c r="PP324" s="144">
        <f>PP320</f>
        <v>100</v>
      </c>
      <c r="PQ324" s="53"/>
      <c r="PT324" s="49" t="s">
        <v>171</v>
      </c>
      <c r="PU324" s="50" t="s">
        <v>172</v>
      </c>
      <c r="PV324" s="142" t="s">
        <v>172</v>
      </c>
      <c r="PW324" s="142" t="s">
        <v>172</v>
      </c>
      <c r="PX324" s="143" t="s">
        <v>172</v>
      </c>
      <c r="PY324" s="144">
        <f>PY320</f>
        <v>13.960000000000036</v>
      </c>
      <c r="PZ324" s="53"/>
      <c r="QC324" s="49" t="s">
        <v>171</v>
      </c>
      <c r="QD324" s="50" t="s">
        <v>172</v>
      </c>
      <c r="QE324" s="142" t="s">
        <v>172</v>
      </c>
      <c r="QF324" s="142" t="s">
        <v>172</v>
      </c>
      <c r="QG324" s="143" t="s">
        <v>172</v>
      </c>
      <c r="QH324" s="144">
        <f>QH320</f>
        <v>548</v>
      </c>
      <c r="QI324" s="53"/>
      <c r="QL324" s="49" t="s">
        <v>171</v>
      </c>
      <c r="QM324" s="50" t="s">
        <v>172</v>
      </c>
      <c r="QN324" s="142" t="s">
        <v>172</v>
      </c>
      <c r="QO324" s="142" t="s">
        <v>172</v>
      </c>
      <c r="QP324" s="143" t="s">
        <v>172</v>
      </c>
      <c r="QQ324" s="144">
        <f>QQ320</f>
        <v>0</v>
      </c>
      <c r="QR324" s="53"/>
      <c r="QU324" s="49" t="s">
        <v>171</v>
      </c>
      <c r="QV324" s="50" t="s">
        <v>172</v>
      </c>
      <c r="QW324" s="142" t="s">
        <v>172</v>
      </c>
      <c r="QX324" s="142" t="s">
        <v>172</v>
      </c>
      <c r="QY324" s="143" t="s">
        <v>172</v>
      </c>
      <c r="QZ324" s="144">
        <f>QZ320</f>
        <v>0</v>
      </c>
      <c r="RA324" s="53"/>
      <c r="RD324" s="49" t="s">
        <v>171</v>
      </c>
      <c r="RE324" s="50" t="s">
        <v>172</v>
      </c>
      <c r="RF324" s="142" t="s">
        <v>172</v>
      </c>
      <c r="RG324" s="142" t="s">
        <v>172</v>
      </c>
      <c r="RH324" s="143" t="s">
        <v>172</v>
      </c>
      <c r="RI324" s="144">
        <f>RI320</f>
        <v>147.04000000000002</v>
      </c>
      <c r="RJ324" s="53"/>
      <c r="RM324" s="49" t="s">
        <v>171</v>
      </c>
      <c r="RN324" s="50" t="s">
        <v>172</v>
      </c>
      <c r="RO324" s="142" t="s">
        <v>172</v>
      </c>
      <c r="RP324" s="142" t="s">
        <v>172</v>
      </c>
      <c r="RQ324" s="143" t="s">
        <v>172</v>
      </c>
      <c r="RR324" s="144">
        <f>RR320</f>
        <v>46.8</v>
      </c>
      <c r="RS324" s="53"/>
      <c r="RV324" s="49" t="s">
        <v>171</v>
      </c>
      <c r="RW324" s="50" t="s">
        <v>172</v>
      </c>
      <c r="RX324" s="142" t="s">
        <v>172</v>
      </c>
      <c r="RY324" s="142" t="s">
        <v>172</v>
      </c>
      <c r="RZ324" s="143" t="s">
        <v>172</v>
      </c>
      <c r="SA324" s="144">
        <f>SA320</f>
        <v>0</v>
      </c>
      <c r="SB324" s="53"/>
      <c r="SE324" s="49" t="s">
        <v>171</v>
      </c>
      <c r="SF324" s="50" t="s">
        <v>172</v>
      </c>
      <c r="SG324" s="142" t="s">
        <v>172</v>
      </c>
      <c r="SH324" s="142" t="s">
        <v>172</v>
      </c>
      <c r="SI324" s="143" t="s">
        <v>172</v>
      </c>
      <c r="SJ324" s="144">
        <f>SJ320</f>
        <v>24.200000000000003</v>
      </c>
      <c r="SK324" s="53"/>
      <c r="SN324" s="49" t="s">
        <v>171</v>
      </c>
      <c r="SO324" s="50" t="s">
        <v>172</v>
      </c>
      <c r="SP324" s="142" t="s">
        <v>172</v>
      </c>
      <c r="SQ324" s="142" t="s">
        <v>172</v>
      </c>
      <c r="SR324" s="143" t="s">
        <v>172</v>
      </c>
      <c r="SS324" s="144">
        <f>SS320</f>
        <v>32</v>
      </c>
      <c r="ST324" s="53"/>
      <c r="SW324" s="49" t="s">
        <v>171</v>
      </c>
      <c r="SX324" s="50" t="s">
        <v>172</v>
      </c>
      <c r="SY324" s="142" t="s">
        <v>172</v>
      </c>
      <c r="SZ324" s="142" t="s">
        <v>172</v>
      </c>
      <c r="TA324" s="143" t="s">
        <v>172</v>
      </c>
      <c r="TB324" s="144">
        <f>TB320</f>
        <v>0</v>
      </c>
      <c r="TC324" s="53"/>
      <c r="TF324" s="49" t="s">
        <v>171</v>
      </c>
      <c r="TG324" s="50" t="s">
        <v>172</v>
      </c>
      <c r="TH324" s="142" t="s">
        <v>172</v>
      </c>
      <c r="TI324" s="142" t="s">
        <v>172</v>
      </c>
      <c r="TJ324" s="143" t="s">
        <v>172</v>
      </c>
      <c r="TK324" s="144">
        <f>TK320</f>
        <v>0</v>
      </c>
      <c r="TL324" s="53"/>
      <c r="TO324" s="49" t="s">
        <v>171</v>
      </c>
      <c r="TP324" s="50" t="s">
        <v>172</v>
      </c>
      <c r="TQ324" s="142" t="s">
        <v>172</v>
      </c>
      <c r="TR324" s="142" t="s">
        <v>172</v>
      </c>
      <c r="TS324" s="143" t="s">
        <v>172</v>
      </c>
      <c r="TT324" s="144">
        <f>TT320</f>
        <v>0</v>
      </c>
      <c r="TU324" s="53"/>
      <c r="TX324" s="49" t="s">
        <v>171</v>
      </c>
      <c r="TY324" s="50" t="s">
        <v>172</v>
      </c>
      <c r="TZ324" s="142" t="s">
        <v>172</v>
      </c>
      <c r="UA324" s="142" t="s">
        <v>172</v>
      </c>
      <c r="UB324" s="143" t="s">
        <v>172</v>
      </c>
      <c r="UC324" s="144">
        <f>UC320</f>
        <v>46.799999999999983</v>
      </c>
      <c r="UD324" s="53"/>
      <c r="UG324" s="49" t="s">
        <v>171</v>
      </c>
      <c r="UH324" s="50" t="s">
        <v>172</v>
      </c>
      <c r="UI324" s="142" t="s">
        <v>172</v>
      </c>
      <c r="UJ324" s="142" t="s">
        <v>172</v>
      </c>
      <c r="UK324" s="143" t="s">
        <v>172</v>
      </c>
      <c r="UL324" s="144">
        <f>UL320</f>
        <v>204</v>
      </c>
      <c r="UM324" s="53"/>
      <c r="UP324" s="49" t="s">
        <v>171</v>
      </c>
      <c r="UQ324" s="50" t="s">
        <v>172</v>
      </c>
      <c r="UR324" s="142" t="s">
        <v>172</v>
      </c>
      <c r="US324" s="142" t="s">
        <v>172</v>
      </c>
      <c r="UT324" s="143" t="s">
        <v>172</v>
      </c>
      <c r="UU324" s="144">
        <f>UU320</f>
        <v>202.5</v>
      </c>
      <c r="UV324" s="53"/>
      <c r="UY324" s="49" t="s">
        <v>171</v>
      </c>
      <c r="UZ324" s="50" t="s">
        <v>172</v>
      </c>
      <c r="VA324" s="142" t="s">
        <v>172</v>
      </c>
      <c r="VB324" s="142" t="s">
        <v>172</v>
      </c>
      <c r="VC324" s="143" t="s">
        <v>172</v>
      </c>
      <c r="VD324" s="144">
        <f>VD320</f>
        <v>41.600000000000023</v>
      </c>
      <c r="VE324" s="53"/>
      <c r="VH324" s="49" t="s">
        <v>171</v>
      </c>
      <c r="VI324" s="50" t="s">
        <v>172</v>
      </c>
      <c r="VJ324" s="142" t="s">
        <v>172</v>
      </c>
      <c r="VK324" s="142" t="s">
        <v>172</v>
      </c>
      <c r="VL324" s="143" t="s">
        <v>172</v>
      </c>
      <c r="VM324" s="144">
        <f>VM320</f>
        <v>210</v>
      </c>
      <c r="VN324" s="53"/>
      <c r="VQ324" s="49" t="s">
        <v>171</v>
      </c>
      <c r="VR324" s="50" t="s">
        <v>172</v>
      </c>
      <c r="VS324" s="142" t="s">
        <v>172</v>
      </c>
      <c r="VT324" s="142" t="s">
        <v>172</v>
      </c>
      <c r="VU324" s="143" t="s">
        <v>172</v>
      </c>
      <c r="VV324" s="144">
        <f>VV320</f>
        <v>0</v>
      </c>
      <c r="VW324" s="53"/>
      <c r="VZ324" s="49" t="s">
        <v>171</v>
      </c>
      <c r="WA324" s="50" t="s">
        <v>172</v>
      </c>
      <c r="WB324" s="142" t="s">
        <v>172</v>
      </c>
      <c r="WC324" s="142" t="s">
        <v>172</v>
      </c>
      <c r="WD324" s="143" t="s">
        <v>172</v>
      </c>
      <c r="WE324" s="144">
        <f>WE320</f>
        <v>0</v>
      </c>
      <c r="WF324" s="53"/>
      <c r="WI324" s="49" t="s">
        <v>171</v>
      </c>
      <c r="WJ324" s="50" t="s">
        <v>172</v>
      </c>
      <c r="WK324" s="142" t="s">
        <v>172</v>
      </c>
      <c r="WL324" s="142" t="s">
        <v>172</v>
      </c>
      <c r="WM324" s="143" t="s">
        <v>172</v>
      </c>
      <c r="WN324" s="144">
        <f>WN320</f>
        <v>1057</v>
      </c>
      <c r="WO324" s="53"/>
      <c r="WR324" s="49" t="s">
        <v>171</v>
      </c>
      <c r="WS324" s="50" t="s">
        <v>172</v>
      </c>
      <c r="WT324" s="142" t="s">
        <v>172</v>
      </c>
      <c r="WU324" s="142" t="s">
        <v>172</v>
      </c>
      <c r="WV324" s="143" t="s">
        <v>172</v>
      </c>
      <c r="WW324" s="144">
        <f>WW320</f>
        <v>0</v>
      </c>
      <c r="WX324" s="53"/>
      <c r="XA324" s="49" t="s">
        <v>171</v>
      </c>
      <c r="XB324" s="50" t="s">
        <v>172</v>
      </c>
      <c r="XC324" s="142" t="s">
        <v>172</v>
      </c>
      <c r="XD324" s="142" t="s">
        <v>172</v>
      </c>
      <c r="XE324" s="143" t="s">
        <v>172</v>
      </c>
      <c r="XF324" s="144">
        <f>XF320</f>
        <v>7507</v>
      </c>
      <c r="XG324" s="53"/>
      <c r="XJ324" s="49" t="s">
        <v>171</v>
      </c>
      <c r="XK324" s="50" t="s">
        <v>172</v>
      </c>
      <c r="XL324" s="142" t="s">
        <v>172</v>
      </c>
      <c r="XM324" s="142" t="s">
        <v>172</v>
      </c>
      <c r="XN324" s="143" t="s">
        <v>172</v>
      </c>
      <c r="XO324" s="144">
        <f>XO320</f>
        <v>4252</v>
      </c>
      <c r="XP324" s="53"/>
      <c r="XS324" s="49" t="s">
        <v>171</v>
      </c>
      <c r="XT324" s="50" t="s">
        <v>172</v>
      </c>
      <c r="XU324" s="142" t="s">
        <v>172</v>
      </c>
      <c r="XV324" s="142" t="s">
        <v>172</v>
      </c>
      <c r="XW324" s="143" t="s">
        <v>172</v>
      </c>
      <c r="XX324" s="144">
        <f>XX320</f>
        <v>2179</v>
      </c>
      <c r="XY324" s="53"/>
      <c r="YB324" s="49" t="s">
        <v>171</v>
      </c>
      <c r="YC324" s="50" t="s">
        <v>172</v>
      </c>
      <c r="YD324" s="142" t="s">
        <v>172</v>
      </c>
      <c r="YE324" s="142" t="s">
        <v>172</v>
      </c>
      <c r="YF324" s="143" t="s">
        <v>172</v>
      </c>
      <c r="YG324" s="144">
        <f>YG320</f>
        <v>4019</v>
      </c>
      <c r="YH324" s="53"/>
      <c r="YK324" s="49" t="s">
        <v>171</v>
      </c>
      <c r="YL324" s="50" t="s">
        <v>172</v>
      </c>
      <c r="YM324" s="142" t="s">
        <v>172</v>
      </c>
      <c r="YN324" s="142" t="s">
        <v>172</v>
      </c>
      <c r="YO324" s="143" t="s">
        <v>172</v>
      </c>
      <c r="YP324" s="144">
        <f>YP320</f>
        <v>-218</v>
      </c>
      <c r="YQ324" s="53"/>
      <c r="YT324" s="49" t="s">
        <v>171</v>
      </c>
      <c r="YU324" s="50" t="s">
        <v>172</v>
      </c>
      <c r="YV324" s="142" t="s">
        <v>172</v>
      </c>
      <c r="YW324" s="142" t="s">
        <v>172</v>
      </c>
      <c r="YX324" s="143" t="s">
        <v>172</v>
      </c>
      <c r="YY324" s="144">
        <f>YY320</f>
        <v>0</v>
      </c>
      <c r="YZ324" s="53"/>
      <c r="ZC324" s="49" t="s">
        <v>171</v>
      </c>
      <c r="ZD324" s="50" t="s">
        <v>172</v>
      </c>
      <c r="ZE324" s="142" t="s">
        <v>172</v>
      </c>
      <c r="ZF324" s="142" t="s">
        <v>172</v>
      </c>
      <c r="ZG324" s="143" t="s">
        <v>172</v>
      </c>
      <c r="ZH324" s="144">
        <f>ZH320</f>
        <v>0</v>
      </c>
      <c r="ZI324" s="53"/>
      <c r="ZL324" s="49" t="s">
        <v>171</v>
      </c>
      <c r="ZM324" s="50" t="s">
        <v>172</v>
      </c>
      <c r="ZN324" s="142" t="s">
        <v>172</v>
      </c>
      <c r="ZO324" s="142" t="s">
        <v>172</v>
      </c>
      <c r="ZP324" s="143" t="s">
        <v>172</v>
      </c>
      <c r="ZQ324" s="144">
        <f>ZQ320</f>
        <v>0</v>
      </c>
      <c r="ZR324" s="53"/>
      <c r="ZU324" s="49" t="s">
        <v>171</v>
      </c>
      <c r="ZV324" s="50" t="s">
        <v>172</v>
      </c>
      <c r="ZW324" s="142" t="s">
        <v>172</v>
      </c>
      <c r="ZX324" s="142" t="s">
        <v>172</v>
      </c>
      <c r="ZY324" s="143" t="s">
        <v>172</v>
      </c>
      <c r="ZZ324" s="144">
        <f>ZZ320</f>
        <v>0</v>
      </c>
      <c r="AAA324" s="53"/>
      <c r="AAD324" s="49" t="s">
        <v>171</v>
      </c>
      <c r="AAE324" s="50" t="s">
        <v>172</v>
      </c>
      <c r="AAF324" s="142" t="s">
        <v>172</v>
      </c>
      <c r="AAG324" s="142" t="s">
        <v>172</v>
      </c>
      <c r="AAH324" s="143" t="s">
        <v>172</v>
      </c>
      <c r="AAI324" s="144">
        <f>AAI320</f>
        <v>0</v>
      </c>
      <c r="AAJ324" s="53"/>
      <c r="AAM324" s="49" t="s">
        <v>171</v>
      </c>
      <c r="AAN324" s="50" t="s">
        <v>172</v>
      </c>
      <c r="AAO324" s="142" t="s">
        <v>172</v>
      </c>
      <c r="AAP324" s="142" t="s">
        <v>172</v>
      </c>
      <c r="AAQ324" s="143" t="s">
        <v>172</v>
      </c>
      <c r="AAR324" s="144">
        <f>AAR320</f>
        <v>0</v>
      </c>
      <c r="AAS324" s="53"/>
      <c r="AAV324" s="49" t="s">
        <v>171</v>
      </c>
      <c r="AAW324" s="50" t="s">
        <v>172</v>
      </c>
      <c r="AAX324" s="142" t="s">
        <v>172</v>
      </c>
      <c r="AAY324" s="142" t="s">
        <v>172</v>
      </c>
      <c r="AAZ324" s="143" t="s">
        <v>172</v>
      </c>
      <c r="ABA324" s="144">
        <f>ABA320</f>
        <v>0</v>
      </c>
      <c r="ABB324" s="53"/>
      <c r="ABE324" s="49" t="s">
        <v>171</v>
      </c>
      <c r="ABF324" s="50" t="s">
        <v>172</v>
      </c>
      <c r="ABG324" s="142" t="s">
        <v>172</v>
      </c>
      <c r="ABH324" s="142" t="s">
        <v>172</v>
      </c>
      <c r="ABI324" s="143" t="s">
        <v>172</v>
      </c>
      <c r="ABJ324" s="144">
        <f>ABJ320</f>
        <v>0</v>
      </c>
      <c r="ABK324" s="53"/>
    </row>
    <row r="325" spans="1:739" s="54" customFormat="1" ht="15" customHeight="1" outlineLevel="1">
      <c r="B325" s="478"/>
      <c r="C325" s="55">
        <v>46296</v>
      </c>
      <c r="D325" s="56"/>
      <c r="E325" s="57">
        <f>SUMPRODUCT(PRODUCE!$B322:$DY322,PRODUCE!$EB$7:$IY$7)</f>
        <v>0</v>
      </c>
      <c r="F325" s="56"/>
      <c r="G325" s="57">
        <f>E325-F325</f>
        <v>0</v>
      </c>
      <c r="H325" s="57">
        <f>H324+D325-F325</f>
        <v>236936.6</v>
      </c>
      <c r="I325" s="289"/>
      <c r="L325" s="55">
        <f>C325</f>
        <v>46296</v>
      </c>
      <c r="M325" s="56"/>
      <c r="N325" s="59">
        <f>SUMPRODUCT(PRODUCE!$B322:$DY322,PRODUCE!$EB$8:$IY$8)</f>
        <v>0</v>
      </c>
      <c r="O325" s="56"/>
      <c r="P325" s="59">
        <f>N325-O325</f>
        <v>0</v>
      </c>
      <c r="Q325" s="59">
        <f>Q324+M325-O325</f>
        <v>53017.600000000071</v>
      </c>
      <c r="R325" s="56"/>
      <c r="U325" s="55">
        <f>L325</f>
        <v>46296</v>
      </c>
      <c r="V325" s="56"/>
      <c r="W325" s="60">
        <f>SUMPRODUCT(PRODUCE!$B322:$DY322,PRODUCE!$EB$9:$IY$9)</f>
        <v>0</v>
      </c>
      <c r="X325" s="56"/>
      <c r="Y325" s="60">
        <f>W325-X325</f>
        <v>0</v>
      </c>
      <c r="Z325" s="60">
        <f>Z324+V325-X325</f>
        <v>42674.199999999968</v>
      </c>
      <c r="AA325" s="56"/>
      <c r="AD325" s="55">
        <f>U325</f>
        <v>46296</v>
      </c>
      <c r="AE325" s="56"/>
      <c r="AF325" s="61">
        <f>SUMPRODUCT(PRODUCE!$B322:$DY322,PRODUCE!$EB$10:$IY$10)</f>
        <v>0</v>
      </c>
      <c r="AG325" s="56"/>
      <c r="AH325" s="61">
        <f>AF325-AG325</f>
        <v>0</v>
      </c>
      <c r="AI325" s="61">
        <f>AI324+AE325-AG325</f>
        <v>4522.2000000000189</v>
      </c>
      <c r="AJ325" s="56"/>
      <c r="AM325" s="55">
        <f>AD325</f>
        <v>46296</v>
      </c>
      <c r="AN325" s="422"/>
      <c r="AO325" s="444">
        <f>SUMPRODUCT(PRODUCE!$B322:$DY322,PRODUCE!$EB$11:$IY$11)</f>
        <v>0</v>
      </c>
      <c r="AP325" s="422"/>
      <c r="AQ325" s="444">
        <f>AO325-AP325</f>
        <v>0</v>
      </c>
      <c r="AR325" s="444">
        <f>AR324+AN325-AP325</f>
        <v>0</v>
      </c>
      <c r="AS325" s="56"/>
      <c r="AV325" s="55">
        <f>AM325</f>
        <v>46296</v>
      </c>
      <c r="AW325" s="56"/>
      <c r="AX325" s="62">
        <f>SUMPRODUCT(PRODUCE!$B322:$DY322,PRODUCE!$EB$12:$IY$12)</f>
        <v>0</v>
      </c>
      <c r="AY325" s="56"/>
      <c r="AZ325" s="62">
        <f>AX325-AY325</f>
        <v>0</v>
      </c>
      <c r="BA325" s="62">
        <f>BA324+AW325-AY325</f>
        <v>124.99999999999523</v>
      </c>
      <c r="BB325" s="56"/>
      <c r="BE325" s="55">
        <f>AV325</f>
        <v>46296</v>
      </c>
      <c r="BF325" s="56"/>
      <c r="BG325" s="63">
        <f>SUMPRODUCT(PRODUCE!$B322:$DY322,PRODUCE!$EB$13:$IY$13)</f>
        <v>0</v>
      </c>
      <c r="BH325" s="56"/>
      <c r="BI325" s="63">
        <f>BG325-BH325</f>
        <v>0</v>
      </c>
      <c r="BJ325" s="63">
        <f>BJ324+BF325-BH325</f>
        <v>26151.899999999998</v>
      </c>
      <c r="BK325" s="56"/>
      <c r="BN325" s="55">
        <f>BE325</f>
        <v>46296</v>
      </c>
      <c r="BO325" s="56"/>
      <c r="BP325" s="64">
        <f>SUMPRODUCT(PRODUCE!$B322:$DY322,PRODUCE!$EB$14:$IY$14)</f>
        <v>0</v>
      </c>
      <c r="BQ325" s="56"/>
      <c r="BR325" s="64">
        <f>BP325-BQ325</f>
        <v>0</v>
      </c>
      <c r="BS325" s="64">
        <f>BS324+BO325-BQ325</f>
        <v>0</v>
      </c>
      <c r="BT325" s="56"/>
      <c r="BW325" s="55">
        <f>BN325</f>
        <v>46296</v>
      </c>
      <c r="BX325" s="56"/>
      <c r="BY325" s="65">
        <f>SUMPRODUCT(PRODUCE!$B322:$DY322,PRODUCE!$EB$15:$IY$15)</f>
        <v>0</v>
      </c>
      <c r="BZ325" s="56"/>
      <c r="CA325" s="65">
        <f>BY325-BZ325</f>
        <v>0</v>
      </c>
      <c r="CB325" s="65">
        <f>CB324+BX325-BZ325</f>
        <v>2097.3399999999992</v>
      </c>
      <c r="CC325" s="56"/>
      <c r="CF325" s="55">
        <f>BW325</f>
        <v>46296</v>
      </c>
      <c r="CG325" s="56"/>
      <c r="CH325" s="66">
        <f>SUMPRODUCT(PRODUCE!$B322:$DY322,PRODUCE!$EB$16:$IY$16)</f>
        <v>0</v>
      </c>
      <c r="CI325" s="56"/>
      <c r="CJ325" s="66">
        <f>CH325-CI325</f>
        <v>0</v>
      </c>
      <c r="CK325" s="66">
        <f>CK324+CG325-CI325</f>
        <v>-10277.079999999998</v>
      </c>
      <c r="CL325" s="56"/>
      <c r="CO325" s="55">
        <f>CF325</f>
        <v>46296</v>
      </c>
      <c r="CP325" s="422"/>
      <c r="CQ325" s="470">
        <f>SUMPRODUCT(PRODUCE!$B322:$DY322,PRODUCE!$EB$17:$IY$17)</f>
        <v>0</v>
      </c>
      <c r="CR325" s="422"/>
      <c r="CS325" s="470">
        <f>CQ325-CR325</f>
        <v>0</v>
      </c>
      <c r="CT325" s="470">
        <f>CT324+CP325-CR325</f>
        <v>0</v>
      </c>
      <c r="CU325" s="56"/>
      <c r="CX325" s="55">
        <f>CO325</f>
        <v>46296</v>
      </c>
      <c r="CY325" s="56"/>
      <c r="CZ325" s="133">
        <f>SUMPRODUCT(PRODUCE!$B322:$DY322,PRODUCE!$EB$18:$IY$18)</f>
        <v>0</v>
      </c>
      <c r="DA325" s="56"/>
      <c r="DB325" s="133">
        <f>CZ325-DA325</f>
        <v>0</v>
      </c>
      <c r="DC325" s="133">
        <f>DC324+CY325-DA325</f>
        <v>27438.200000000012</v>
      </c>
      <c r="DD325" s="56"/>
      <c r="DG325" s="55">
        <f>CX325</f>
        <v>46296</v>
      </c>
      <c r="DH325" s="56"/>
      <c r="DI325" s="147">
        <f>SUMPRODUCT(PRODUCE!$B322:$DY322,PRODUCE!$EB$19:$IY$19)</f>
        <v>0</v>
      </c>
      <c r="DJ325" s="56"/>
      <c r="DK325" s="147">
        <f>DI325-DJ325</f>
        <v>0</v>
      </c>
      <c r="DL325" s="147">
        <f>DL324+DH325-DJ325</f>
        <v>18782.299999999981</v>
      </c>
      <c r="DM325" s="56"/>
      <c r="DP325" s="55">
        <f>DG325</f>
        <v>46296</v>
      </c>
      <c r="DQ325" s="56"/>
      <c r="DR325" s="57">
        <f>SUMPRODUCT(PRODUCE!$B322:$DY322,PRODUCE!$EB$20:$IY$20)</f>
        <v>0</v>
      </c>
      <c r="DS325" s="56"/>
      <c r="DT325" s="57">
        <f>DR325-DS325</f>
        <v>0</v>
      </c>
      <c r="DU325" s="57">
        <f>DU324+DQ325-DS325</f>
        <v>5800</v>
      </c>
      <c r="DV325" s="56"/>
      <c r="DY325" s="55">
        <f>DP325</f>
        <v>46296</v>
      </c>
      <c r="DZ325" s="56"/>
      <c r="EA325" s="157">
        <f>SUMPRODUCT(PRODUCE!$B322:$DY322,PRODUCE!$EB$21:$IY$21)</f>
        <v>0</v>
      </c>
      <c r="EB325" s="56"/>
      <c r="EC325" s="157">
        <f>EA325-EB325</f>
        <v>0</v>
      </c>
      <c r="ED325" s="157">
        <f>ED324+DZ325-EB325</f>
        <v>0</v>
      </c>
      <c r="EE325" s="56"/>
      <c r="EH325" s="55">
        <f>DY325</f>
        <v>46296</v>
      </c>
      <c r="EI325" s="56"/>
      <c r="EJ325" s="162">
        <f>SUMPRODUCT(PRODUCE!$B322:$DY322,PRODUCE!$EB$22:$IY$22)</f>
        <v>0</v>
      </c>
      <c r="EK325" s="56"/>
      <c r="EL325" s="162">
        <f>EJ325-EK325</f>
        <v>0</v>
      </c>
      <c r="EM325" s="162">
        <f>EM324+EI325-EK325</f>
        <v>0</v>
      </c>
      <c r="EN325" s="56"/>
      <c r="EQ325" s="55">
        <f>EH325</f>
        <v>46296</v>
      </c>
      <c r="ER325" s="56"/>
      <c r="ES325" s="135">
        <f>SUMPRODUCT(PRODUCE!$B322:$DY322,PRODUCE!$EB$23:$IY$23)</f>
        <v>0</v>
      </c>
      <c r="ET325" s="56"/>
      <c r="EU325" s="135">
        <f>ES325-ET325</f>
        <v>0</v>
      </c>
      <c r="EV325" s="135">
        <f>EV324+ER325-ET325</f>
        <v>0</v>
      </c>
      <c r="EW325" s="56"/>
      <c r="EZ325" s="55">
        <f>EQ325</f>
        <v>46296</v>
      </c>
      <c r="FA325" s="56"/>
      <c r="FB325" s="175">
        <f>SUMPRODUCT(PRODUCE!$B322:$DY322,PRODUCE!$EB$24:$IY$24)</f>
        <v>0</v>
      </c>
      <c r="FC325" s="56"/>
      <c r="FD325" s="175">
        <f>FB325-FC325</f>
        <v>0</v>
      </c>
      <c r="FE325" s="175">
        <f>FE324+FA325-FC325</f>
        <v>0</v>
      </c>
      <c r="FF325" s="56"/>
      <c r="FI325" s="55">
        <f>EZ325</f>
        <v>46296</v>
      </c>
      <c r="FJ325" s="56"/>
      <c r="FK325" s="183">
        <f>SUMPRODUCT(PRODUCE!$B322:$DY322,PRODUCE!$EB$25:$IY$25)</f>
        <v>0</v>
      </c>
      <c r="FL325" s="56"/>
      <c r="FM325" s="183">
        <f>FK325-FL325</f>
        <v>0</v>
      </c>
      <c r="FN325" s="183">
        <f>FN324+FJ325-FL325</f>
        <v>0</v>
      </c>
      <c r="FO325" s="56"/>
      <c r="FR325" s="55">
        <f>FI325</f>
        <v>46296</v>
      </c>
      <c r="FS325" s="56"/>
      <c r="FT325" s="186">
        <f>SUMPRODUCT(PRODUCE!$B322:$DY322,PRODUCE!$EB$26:$IY$26)</f>
        <v>0</v>
      </c>
      <c r="FU325" s="56"/>
      <c r="FV325" s="186">
        <f>FT325-FU325</f>
        <v>0</v>
      </c>
      <c r="FW325" s="186">
        <f>FW324+FS325-FU325</f>
        <v>2020</v>
      </c>
      <c r="FX325" s="56"/>
      <c r="GA325" s="55">
        <f>FR325</f>
        <v>46296</v>
      </c>
      <c r="GB325" s="56"/>
      <c r="GC325" s="137">
        <f>SUMPRODUCT(PRODUCE!$B322:$DY322,PRODUCE!$EB$27:$IY$27)</f>
        <v>0</v>
      </c>
      <c r="GD325" s="56"/>
      <c r="GE325" s="137">
        <f>GC325-GD325</f>
        <v>0</v>
      </c>
      <c r="GF325" s="137">
        <f>GF324+GB325-GD325</f>
        <v>960</v>
      </c>
      <c r="GG325" s="56"/>
      <c r="GI325" s="23"/>
      <c r="GJ325" s="55">
        <f>GA325</f>
        <v>46296</v>
      </c>
      <c r="GK325" s="56"/>
      <c r="GL325" s="199">
        <f>SUMPRODUCT(PRODUCE!$B322:$DY322,PRODUCE!$EB$28:$IY$28)</f>
        <v>0</v>
      </c>
      <c r="GM325" s="56"/>
      <c r="GN325" s="199">
        <f>GL325-GM325</f>
        <v>0</v>
      </c>
      <c r="GO325" s="199">
        <f>GO324+GK325-GM325</f>
        <v>1760</v>
      </c>
      <c r="GP325" s="56"/>
      <c r="GS325" s="55">
        <f>GJ325</f>
        <v>46296</v>
      </c>
      <c r="GT325" s="56"/>
      <c r="GU325" s="195">
        <f>SUMPRODUCT(PRODUCE!$B322:$DY322,PRODUCE!$EB$29:$IY$29)</f>
        <v>0</v>
      </c>
      <c r="GV325" s="56"/>
      <c r="GW325" s="195">
        <f>GU325-GV325</f>
        <v>0</v>
      </c>
      <c r="GX325" s="195">
        <f>GX324+GT325-GV325</f>
        <v>400</v>
      </c>
      <c r="GY325" s="56"/>
      <c r="HB325" s="55">
        <f>GS325</f>
        <v>46296</v>
      </c>
      <c r="HC325" s="56"/>
      <c r="HD325" s="191">
        <f>SUMPRODUCT(PRODUCE!$B322:$DY322,PRODUCE!$EB$30:$IY$30)</f>
        <v>0</v>
      </c>
      <c r="HE325" s="56"/>
      <c r="HF325" s="191">
        <f>HD325-HE325</f>
        <v>0</v>
      </c>
      <c r="HG325" s="191">
        <f>HG324+HC325-HE325</f>
        <v>3600</v>
      </c>
      <c r="HH325" s="56"/>
      <c r="HK325" s="55">
        <f>HB325</f>
        <v>46296</v>
      </c>
      <c r="HL325" s="56"/>
      <c r="HM325" s="63">
        <f>SUMPRODUCT(PRODUCE!$B322:$DY322,PRODUCE!$EB$31:$IY$31)</f>
        <v>0</v>
      </c>
      <c r="HN325" s="56"/>
      <c r="HO325" s="63">
        <f>HM325-HN325</f>
        <v>0</v>
      </c>
      <c r="HP325" s="63">
        <f>HP324+HL325-HN325</f>
        <v>0</v>
      </c>
      <c r="HQ325" s="56"/>
      <c r="HU325" s="55">
        <f>HK325</f>
        <v>46296</v>
      </c>
      <c r="HV325" s="56"/>
      <c r="HW325" s="242">
        <f>SUMPRODUCT(PRODUCE!$B322:$DY322,PRODUCE!$EB$32:$IY$32)</f>
        <v>0</v>
      </c>
      <c r="HX325" s="56"/>
      <c r="HY325" s="242">
        <f>HW325-HX325</f>
        <v>0</v>
      </c>
      <c r="HZ325" s="242">
        <f>HZ324+HV325-HX325</f>
        <v>6120</v>
      </c>
      <c r="IA325" s="56"/>
      <c r="ID325" s="55">
        <f>HU325</f>
        <v>46296</v>
      </c>
      <c r="IE325" s="56"/>
      <c r="IF325" s="242">
        <f>SUMPRODUCT(PRODUCE!$B322:$DY322,PRODUCE!$EB$33:$IY$33)</f>
        <v>0</v>
      </c>
      <c r="IG325" s="56"/>
      <c r="IH325" s="242">
        <f>IF325-IG325</f>
        <v>0</v>
      </c>
      <c r="II325" s="242">
        <f>II324+IE325-IG325</f>
        <v>0</v>
      </c>
      <c r="IJ325" s="56"/>
      <c r="IM325" s="55">
        <f>ID325</f>
        <v>46296</v>
      </c>
      <c r="IN325" s="56"/>
      <c r="IO325" s="242">
        <f>SUMPRODUCT(PRODUCE!$B322:$DY322,PRODUCE!$EB$34:$IY$34)</f>
        <v>0</v>
      </c>
      <c r="IP325" s="56"/>
      <c r="IQ325" s="242">
        <f>IO325-IP325</f>
        <v>0</v>
      </c>
      <c r="IR325" s="242">
        <f>IR324+IN325-IP325</f>
        <v>0</v>
      </c>
      <c r="IS325" s="56"/>
      <c r="IV325" s="55">
        <f>IM325</f>
        <v>46296</v>
      </c>
      <c r="IW325" s="56"/>
      <c r="IX325" s="242">
        <f>SUMPRODUCT(PRODUCE!$B322:$DY322,PRODUCE!$EB$35:$IY$35)</f>
        <v>0</v>
      </c>
      <c r="IY325" s="56"/>
      <c r="IZ325" s="242">
        <f>IX325-IY325</f>
        <v>0</v>
      </c>
      <c r="JA325" s="242">
        <f>JA324+IW325-IY325</f>
        <v>2820</v>
      </c>
      <c r="JB325" s="56"/>
      <c r="JE325" s="55">
        <f>IV325</f>
        <v>46296</v>
      </c>
      <c r="JF325" s="56"/>
      <c r="JG325" s="242">
        <f>SUMPRODUCT(PRODUCE!$B322:$DY322,PRODUCE!$EB$36:$IY$36)</f>
        <v>0</v>
      </c>
      <c r="JH325" s="56"/>
      <c r="JI325" s="242">
        <f>JG325-JH325</f>
        <v>0</v>
      </c>
      <c r="JJ325" s="242">
        <f>JJ324+JF325-JH325</f>
        <v>0</v>
      </c>
      <c r="JK325" s="56"/>
      <c r="JN325" s="55">
        <f>JE325</f>
        <v>46296</v>
      </c>
      <c r="JO325" s="56"/>
      <c r="JP325" s="242">
        <f>SUMPRODUCT(PRODUCE!$B322:$DY322,PRODUCE!$EB$37:$IY$37)</f>
        <v>0</v>
      </c>
      <c r="JQ325" s="56"/>
      <c r="JR325" s="242">
        <f>JP325-JQ325</f>
        <v>0</v>
      </c>
      <c r="JS325" s="242">
        <f>JS324+JO325-JQ325</f>
        <v>0</v>
      </c>
      <c r="JT325" s="56"/>
      <c r="JW325" s="55">
        <f>JN325</f>
        <v>46296</v>
      </c>
      <c r="JX325" s="56"/>
      <c r="JY325" s="242">
        <f>SUMPRODUCT(PRODUCE!$B322:$DY322,PRODUCE!$EB$38:$IY$38)</f>
        <v>0</v>
      </c>
      <c r="JZ325" s="56"/>
      <c r="KA325" s="242">
        <f>JY325-JZ325</f>
        <v>0</v>
      </c>
      <c r="KB325" s="242">
        <f>KB324+JX325-JZ325</f>
        <v>2540</v>
      </c>
      <c r="KC325" s="56"/>
      <c r="KF325" s="55">
        <f>JW325</f>
        <v>46296</v>
      </c>
      <c r="KG325" s="56"/>
      <c r="KH325" s="242">
        <f>SUMPRODUCT(PRODUCE!$B322:$DY322,PRODUCE!$EB$39:$IY$39)</f>
        <v>0</v>
      </c>
      <c r="KI325" s="56"/>
      <c r="KJ325" s="242">
        <f>KH325-KI325</f>
        <v>0</v>
      </c>
      <c r="KK325" s="242">
        <f>KK324+KG325-KI325</f>
        <v>2359.5</v>
      </c>
      <c r="KL325" s="56"/>
      <c r="KO325" s="55">
        <f>KF325</f>
        <v>46296</v>
      </c>
      <c r="KP325" s="56"/>
      <c r="KQ325" s="242">
        <f>SUMPRODUCT(PRODUCE!$B322:$DY322,PRODUCE!$EB$40:$IY$40)</f>
        <v>0</v>
      </c>
      <c r="KR325" s="56"/>
      <c r="KS325" s="242">
        <f>KQ325-KR325</f>
        <v>0</v>
      </c>
      <c r="KT325" s="242">
        <f>KT324+KP325-KR325</f>
        <v>1890</v>
      </c>
      <c r="KU325" s="56"/>
      <c r="KW325" s="23"/>
      <c r="KX325" s="55">
        <f>KO325</f>
        <v>46296</v>
      </c>
      <c r="KY325" s="56"/>
      <c r="KZ325" s="242">
        <f>SUMPRODUCT(PRODUCE!$B322:$DY322,PRODUCE!$EB$41:$IY$41)</f>
        <v>0</v>
      </c>
      <c r="LA325" s="56"/>
      <c r="LB325" s="242">
        <f>KZ325-LA325</f>
        <v>0</v>
      </c>
      <c r="LC325" s="242">
        <f>LC324+KY325-LA325</f>
        <v>3690</v>
      </c>
      <c r="LD325" s="56"/>
      <c r="LG325" s="55">
        <f>KX325</f>
        <v>46296</v>
      </c>
      <c r="LH325" s="56"/>
      <c r="LI325" s="242">
        <f>SUMPRODUCT(PRODUCE!$B322:$DY322,PRODUCE!$EB$42:$IY$42)</f>
        <v>0</v>
      </c>
      <c r="LJ325" s="56"/>
      <c r="LK325" s="242">
        <f>LI325-LJ325</f>
        <v>0</v>
      </c>
      <c r="LL325" s="242">
        <f>LL324+LH325-LJ325</f>
        <v>4000</v>
      </c>
      <c r="LM325" s="56"/>
      <c r="LP325" s="55">
        <f>LG325</f>
        <v>46296</v>
      </c>
      <c r="LQ325" s="56"/>
      <c r="LR325" s="242">
        <f>SUMPRODUCT(PRODUCE!$B322:$DY322,PRODUCE!$EB$43:$IY$43)</f>
        <v>0</v>
      </c>
      <c r="LS325" s="56"/>
      <c r="LT325" s="242">
        <f>LR325-LS325</f>
        <v>0</v>
      </c>
      <c r="LU325" s="242">
        <f>LU324+LQ325-LS325</f>
        <v>0</v>
      </c>
      <c r="LV325" s="56"/>
      <c r="LY325" s="55">
        <f>LP325</f>
        <v>46296</v>
      </c>
      <c r="LZ325" s="56"/>
      <c r="MA325" s="242">
        <f>SUMPRODUCT(PRODUCE!$B322:$DY322,PRODUCE!$EB$44:$IY$44)</f>
        <v>0</v>
      </c>
      <c r="MB325" s="56"/>
      <c r="MC325" s="242">
        <f>MA325-MB325</f>
        <v>0</v>
      </c>
      <c r="MD325" s="242">
        <f>MD324+LZ325-MB325</f>
        <v>0</v>
      </c>
      <c r="ME325" s="56"/>
      <c r="MH325" s="55">
        <f>LY325</f>
        <v>46296</v>
      </c>
      <c r="MI325" s="56"/>
      <c r="MJ325" s="242">
        <f>SUMPRODUCT(PRODUCE!$B322:$DY322,PRODUCE!$EB$45:$IY$45)</f>
        <v>0</v>
      </c>
      <c r="MK325" s="56"/>
      <c r="ML325" s="242">
        <f>MJ325-MK325</f>
        <v>0</v>
      </c>
      <c r="MM325" s="242">
        <f>MM324+MI325-MK325</f>
        <v>0</v>
      </c>
      <c r="MN325" s="56"/>
      <c r="MQ325" s="55">
        <f>MH325</f>
        <v>46296</v>
      </c>
      <c r="MR325" s="56"/>
      <c r="MS325" s="242">
        <f>SUMPRODUCT(PRODUCE!$B322:$DY322,PRODUCE!$EB$46:$IY$46)</f>
        <v>0</v>
      </c>
      <c r="MT325" s="56"/>
      <c r="MU325" s="242">
        <f>MS325-MT325</f>
        <v>0</v>
      </c>
      <c r="MV325" s="242">
        <f>MV324+MR325-MT325</f>
        <v>1625</v>
      </c>
      <c r="MW325" s="56"/>
      <c r="MZ325" s="55">
        <f>MQ325</f>
        <v>46296</v>
      </c>
      <c r="NA325" s="56"/>
      <c r="NB325" s="242">
        <f>SUMPRODUCT(PRODUCE!$B322:$DY322,PRODUCE!$EB$47:$IY$47)</f>
        <v>0</v>
      </c>
      <c r="NC325" s="56"/>
      <c r="ND325" s="242">
        <f>NB325-NC325</f>
        <v>0</v>
      </c>
      <c r="NE325" s="242">
        <f>NE324+NA325-NC325</f>
        <v>0</v>
      </c>
      <c r="NF325" s="56"/>
      <c r="NI325" s="55">
        <f>MZ325</f>
        <v>46296</v>
      </c>
      <c r="NJ325" s="56"/>
      <c r="NK325" s="242">
        <f>SUMPRODUCT(PRODUCE!$B322:$DY322,PRODUCE!$EB$48:$IY$48)</f>
        <v>0</v>
      </c>
      <c r="NL325" s="56"/>
      <c r="NM325" s="242">
        <f>NK325-NL325</f>
        <v>0</v>
      </c>
      <c r="NN325" s="242">
        <f>NN324+NJ325-NL325</f>
        <v>1127</v>
      </c>
      <c r="NO325" s="56"/>
      <c r="NR325" s="55">
        <f>MZ325</f>
        <v>46296</v>
      </c>
      <c r="NS325" s="56"/>
      <c r="NT325" s="242">
        <f>SUMPRODUCT(PRODUCE!$B322:$DY322,PRODUCE!$EB$49:$IY$49)</f>
        <v>0</v>
      </c>
      <c r="NU325" s="56"/>
      <c r="NV325" s="242">
        <f>NT325-NU325</f>
        <v>0</v>
      </c>
      <c r="NW325" s="242">
        <f>NW324+NS325-NU325</f>
        <v>3111.9999999999995</v>
      </c>
      <c r="NX325" s="56"/>
      <c r="OA325" s="55">
        <f>NR325</f>
        <v>46296</v>
      </c>
      <c r="OB325" s="56"/>
      <c r="OC325" s="242">
        <f>SUMPRODUCT(PRODUCE!$B322:$DY322,PRODUCE!$EB$50:$IY$50)</f>
        <v>0</v>
      </c>
      <c r="OD325" s="56"/>
      <c r="OE325" s="242">
        <f>OC325-OD325</f>
        <v>0</v>
      </c>
      <c r="OF325" s="242">
        <f>OF324+OB325-OD325</f>
        <v>1680.5</v>
      </c>
      <c r="OG325" s="56"/>
      <c r="OJ325" s="55">
        <f>OA325</f>
        <v>46296</v>
      </c>
      <c r="OK325" s="56"/>
      <c r="OL325" s="242">
        <f>SUMPRODUCT(PRODUCE!$B322:$DY322,PRODUCE!$EB$51:$IY$51)</f>
        <v>0</v>
      </c>
      <c r="OM325" s="56"/>
      <c r="ON325" s="242">
        <f>OL325-OM325</f>
        <v>0</v>
      </c>
      <c r="OO325" s="242">
        <f>OO324+OK325-OM325</f>
        <v>0</v>
      </c>
      <c r="OP325" s="56"/>
      <c r="OS325" s="55">
        <f>OJ325</f>
        <v>46296</v>
      </c>
      <c r="OT325" s="56"/>
      <c r="OU325" s="242">
        <f>SUMPRODUCT(PRODUCE!$B322:$DY322,PRODUCE!$EB$52:$IY$52)</f>
        <v>0</v>
      </c>
      <c r="OV325" s="56"/>
      <c r="OW325" s="242">
        <f>OU325-OV325</f>
        <v>0</v>
      </c>
      <c r="OX325" s="242">
        <f>OX324+OT325-OV325</f>
        <v>1482</v>
      </c>
      <c r="OY325" s="56"/>
      <c r="PB325" s="55">
        <f>OS325</f>
        <v>46296</v>
      </c>
      <c r="PC325" s="56"/>
      <c r="PD325" s="242">
        <f>SUMPRODUCT(PRODUCE!$B322:$DY322,PRODUCE!$EB$53:$IY$53)</f>
        <v>0</v>
      </c>
      <c r="PE325" s="56"/>
      <c r="PF325" s="242">
        <f>PD325-PE325</f>
        <v>0</v>
      </c>
      <c r="PG325" s="242">
        <f>PG324+PC325-PE325</f>
        <v>0</v>
      </c>
      <c r="PH325" s="56"/>
      <c r="PK325" s="55">
        <f>PB325</f>
        <v>46296</v>
      </c>
      <c r="PL325" s="56"/>
      <c r="PM325" s="242">
        <f>SUMPRODUCT(PRODUCE!$B322:$DY322,PRODUCE!$EB$54:$IY$54)</f>
        <v>0</v>
      </c>
      <c r="PN325" s="56"/>
      <c r="PO325" s="242">
        <f>PM325-PN325</f>
        <v>0</v>
      </c>
      <c r="PP325" s="242">
        <f>PP324+PL325-PN325</f>
        <v>100</v>
      </c>
      <c r="PQ325" s="56"/>
      <c r="PT325" s="55">
        <f>PK325</f>
        <v>46296</v>
      </c>
      <c r="PU325" s="56"/>
      <c r="PV325" s="242">
        <f>SUMPRODUCT(PRODUCE!$B322:$DY322,PRODUCE!$EB$55:$IY$55)</f>
        <v>0</v>
      </c>
      <c r="PW325" s="56"/>
      <c r="PX325" s="242">
        <f>PV325-PW325</f>
        <v>0</v>
      </c>
      <c r="PY325" s="242">
        <f>PY324+PU325-PW325</f>
        <v>13.960000000000036</v>
      </c>
      <c r="PZ325" s="56"/>
      <c r="QC325" s="55">
        <f>PT325</f>
        <v>46296</v>
      </c>
      <c r="QD325" s="56"/>
      <c r="QE325" s="242">
        <f>SUMPRODUCT(PRODUCE!$B322:$DY322,PRODUCE!$EB$56:$IY$56)</f>
        <v>0</v>
      </c>
      <c r="QF325" s="56"/>
      <c r="QG325" s="242">
        <f>QE325-QF325</f>
        <v>0</v>
      </c>
      <c r="QH325" s="242">
        <f>QH324+QD325-QF325</f>
        <v>548</v>
      </c>
      <c r="QI325" s="56"/>
      <c r="QL325" s="55">
        <f>QC325</f>
        <v>46296</v>
      </c>
      <c r="QM325" s="56"/>
      <c r="QN325" s="242">
        <f>SUMPRODUCT(PRODUCE!$B322:$DY322,PRODUCE!$EB$57:$IY$57)</f>
        <v>0</v>
      </c>
      <c r="QO325" s="56"/>
      <c r="QP325" s="242">
        <f>QN325-QO325</f>
        <v>0</v>
      </c>
      <c r="QQ325" s="242">
        <f>QQ324+QM325-QO325</f>
        <v>0</v>
      </c>
      <c r="QR325" s="56"/>
      <c r="QU325" s="55">
        <f>QL325</f>
        <v>46296</v>
      </c>
      <c r="QV325" s="56"/>
      <c r="QW325" s="242">
        <f>SUMPRODUCT(PRODUCE!$B322:$DY322,PRODUCE!$EB$57:$IY$57)</f>
        <v>0</v>
      </c>
      <c r="QX325" s="56"/>
      <c r="QY325" s="242">
        <f>QW325-QX325</f>
        <v>0</v>
      </c>
      <c r="QZ325" s="242">
        <f>QZ324+QV325-QX325</f>
        <v>0</v>
      </c>
      <c r="RA325" s="56"/>
      <c r="RD325" s="55">
        <f>QU325</f>
        <v>46296</v>
      </c>
      <c r="RE325" s="56"/>
      <c r="RF325" s="242">
        <f>SUMPRODUCT(PRODUCE!$B322:$DY322,PRODUCE!$EB$58:$IY$58)</f>
        <v>0</v>
      </c>
      <c r="RG325" s="56"/>
      <c r="RH325" s="242">
        <f>RF325-RG325</f>
        <v>0</v>
      </c>
      <c r="RI325" s="242">
        <f>RI324+RE325-RG325</f>
        <v>147.04000000000002</v>
      </c>
      <c r="RJ325" s="56"/>
      <c r="RM325" s="55">
        <f>RD325</f>
        <v>46296</v>
      </c>
      <c r="RN325" s="56"/>
      <c r="RO325" s="242">
        <f>SUMPRODUCT(PRODUCE!$B322:$DY322,PRODUCE!$EB$57:$IY$57)</f>
        <v>0</v>
      </c>
      <c r="RP325" s="56"/>
      <c r="RQ325" s="242">
        <f>RO325-RP325</f>
        <v>0</v>
      </c>
      <c r="RR325" s="242">
        <f>RR324+RN325-RP325</f>
        <v>46.8</v>
      </c>
      <c r="RS325" s="56"/>
      <c r="RV325" s="55">
        <f>RM325</f>
        <v>46296</v>
      </c>
      <c r="RW325" s="56"/>
      <c r="RX325" s="242">
        <f>SUMPRODUCT(PRODUCE!$B322:$DY322,PRODUCE!$EB$57:$IY$57)</f>
        <v>0</v>
      </c>
      <c r="RY325" s="56"/>
      <c r="RZ325" s="242">
        <f>RX325-RY325</f>
        <v>0</v>
      </c>
      <c r="SA325" s="242">
        <f>SA324+RW325-RY325</f>
        <v>0</v>
      </c>
      <c r="SB325" s="56"/>
      <c r="SE325" s="55">
        <f>RV325</f>
        <v>46296</v>
      </c>
      <c r="SF325" s="56"/>
      <c r="SG325" s="242">
        <f>SUMPRODUCT(PRODUCE!$B322:$DY322,PRODUCE!$EB$61:$IY$61)</f>
        <v>0</v>
      </c>
      <c r="SH325" s="56"/>
      <c r="SI325" s="242">
        <f>SG325-SH325</f>
        <v>0</v>
      </c>
      <c r="SJ325" s="242">
        <f>SJ324+SF325-SH325</f>
        <v>24.200000000000003</v>
      </c>
      <c r="SK325" s="56"/>
      <c r="SN325" s="55">
        <f>SE325</f>
        <v>46296</v>
      </c>
      <c r="SO325" s="56"/>
      <c r="SP325" s="242">
        <f>SUMPRODUCT(PRODUCE!$B322:$DY322,PRODUCE!$EB$57:$IY$57)</f>
        <v>0</v>
      </c>
      <c r="SQ325" s="56"/>
      <c r="SR325" s="242">
        <f>SP325-SQ325</f>
        <v>0</v>
      </c>
      <c r="SS325" s="242">
        <f>SS324+SO325-SQ325</f>
        <v>32</v>
      </c>
      <c r="ST325" s="56"/>
      <c r="SW325" s="55">
        <f>SN325</f>
        <v>46296</v>
      </c>
      <c r="SX325" s="56"/>
      <c r="SY325" s="242">
        <f>SUMPRODUCT(PRODUCE!$B322:$DY322,PRODUCE!$EB$57:$IY$57)</f>
        <v>0</v>
      </c>
      <c r="SZ325" s="56"/>
      <c r="TA325" s="242">
        <f>SY325-SZ325</f>
        <v>0</v>
      </c>
      <c r="TB325" s="242">
        <f>TB324+SX325-SZ325</f>
        <v>0</v>
      </c>
      <c r="TC325" s="56"/>
      <c r="TF325" s="55">
        <f>SW325</f>
        <v>46296</v>
      </c>
      <c r="TG325" s="56"/>
      <c r="TH325" s="242">
        <f>SUMPRODUCT(PRODUCE!$B322:$DY322,PRODUCE!$EB$57:$IY$57)</f>
        <v>0</v>
      </c>
      <c r="TI325" s="56"/>
      <c r="TJ325" s="242">
        <f>TH325-TI325</f>
        <v>0</v>
      </c>
      <c r="TK325" s="242">
        <f>TK324+TG325-TI325</f>
        <v>0</v>
      </c>
      <c r="TL325" s="56"/>
      <c r="TO325" s="55">
        <f>TF325</f>
        <v>46296</v>
      </c>
      <c r="TP325" s="56"/>
      <c r="TQ325" s="242">
        <f>SUMPRODUCT(PRODUCE!$B322:$DY322,PRODUCE!$EB$57:$IY$57)</f>
        <v>0</v>
      </c>
      <c r="TR325" s="56"/>
      <c r="TS325" s="242">
        <f>TQ325-TR325</f>
        <v>0</v>
      </c>
      <c r="TT325" s="242">
        <f>TT324+TP325-TR325</f>
        <v>0</v>
      </c>
      <c r="TU325" s="56"/>
      <c r="TX325" s="55">
        <f>TO325</f>
        <v>46296</v>
      </c>
      <c r="TY325" s="56"/>
      <c r="TZ325" s="242">
        <f>SUMPRODUCT(PRODUCE!$B322:$DY322,PRODUCE!$EB$57:$IY$57)</f>
        <v>0</v>
      </c>
      <c r="UA325" s="56"/>
      <c r="UB325" s="242">
        <f>TZ325-UA325</f>
        <v>0</v>
      </c>
      <c r="UC325" s="242">
        <f>UC324+TY325-UA325</f>
        <v>46.799999999999983</v>
      </c>
      <c r="UD325" s="56"/>
      <c r="UG325" s="55">
        <f>TX325</f>
        <v>46296</v>
      </c>
      <c r="UH325" s="56"/>
      <c r="UI325" s="242">
        <f>SUMPRODUCT(PRODUCE!$B322:$DY322,PRODUCE!$EB$57:$IY$57)</f>
        <v>0</v>
      </c>
      <c r="UJ325" s="56"/>
      <c r="UK325" s="242">
        <f>UI325-UJ325</f>
        <v>0</v>
      </c>
      <c r="UL325" s="242">
        <f>UL324+UH325-UJ325</f>
        <v>204</v>
      </c>
      <c r="UM325" s="56"/>
      <c r="UP325" s="55">
        <f>UG325</f>
        <v>46296</v>
      </c>
      <c r="UQ325" s="56"/>
      <c r="UR325" s="242">
        <f>SUMPRODUCT(PRODUCE!$B322:$DY322,PRODUCE!$EB$57:$IY$57)</f>
        <v>0</v>
      </c>
      <c r="US325" s="56"/>
      <c r="UT325" s="242">
        <f>UR325-US325</f>
        <v>0</v>
      </c>
      <c r="UU325" s="242">
        <f>UU324+UQ325-US325</f>
        <v>202.5</v>
      </c>
      <c r="UV325" s="56"/>
      <c r="UY325" s="55">
        <f>UP325</f>
        <v>46296</v>
      </c>
      <c r="UZ325" s="56"/>
      <c r="VA325" s="242">
        <f>SUMPRODUCT(PRODUCE!$B322:$DY322,PRODUCE!$EB$57:$IY$57)</f>
        <v>0</v>
      </c>
      <c r="VB325" s="56"/>
      <c r="VC325" s="242">
        <f>VA325-VB325</f>
        <v>0</v>
      </c>
      <c r="VD325" s="242">
        <f>VD324+UZ325-VB325</f>
        <v>41.600000000000023</v>
      </c>
      <c r="VE325" s="56"/>
      <c r="VH325" s="55">
        <f>UY325</f>
        <v>46296</v>
      </c>
      <c r="VI325" s="56"/>
      <c r="VJ325" s="242">
        <f>SUMPRODUCT(PRODUCE!$B322:$DY322,PRODUCE!$EB$57:$IY$57)</f>
        <v>0</v>
      </c>
      <c r="VK325" s="56"/>
      <c r="VL325" s="242">
        <f>VJ325-VK325</f>
        <v>0</v>
      </c>
      <c r="VM325" s="242">
        <f>VM324+VI325-VK325</f>
        <v>210</v>
      </c>
      <c r="VN325" s="56"/>
      <c r="VQ325" s="55">
        <f>VH325</f>
        <v>46296</v>
      </c>
      <c r="VR325" s="56"/>
      <c r="VS325" s="242">
        <f>SUMPRODUCT(PRODUCE!$B322:$DY322,PRODUCE!$EB$57:$IY$57)</f>
        <v>0</v>
      </c>
      <c r="VT325" s="56"/>
      <c r="VU325" s="242">
        <f>VS325-VT325</f>
        <v>0</v>
      </c>
      <c r="VV325" s="242">
        <f>VV324+VR325-VT325</f>
        <v>0</v>
      </c>
      <c r="VW325" s="56"/>
      <c r="VZ325" s="55">
        <f>VQ325</f>
        <v>46296</v>
      </c>
      <c r="WA325" s="56"/>
      <c r="WB325" s="242">
        <f>SUMPRODUCT(PRODUCE!$B322:$DY322,PRODUCE!$EB$57:$IY$57)</f>
        <v>0</v>
      </c>
      <c r="WC325" s="56"/>
      <c r="WD325" s="242">
        <f>WB325-WC325</f>
        <v>0</v>
      </c>
      <c r="WE325" s="242">
        <f>WE324+WA325-WC325</f>
        <v>0</v>
      </c>
      <c r="WF325" s="56"/>
      <c r="WI325" s="55">
        <f>VZ325</f>
        <v>46296</v>
      </c>
      <c r="WJ325" s="56"/>
      <c r="WK325" s="242">
        <f>SUMPRODUCT(PRODUCE!$B322:$DY322,PRODUCE!$EB$57:$IY$57)</f>
        <v>0</v>
      </c>
      <c r="WL325" s="56"/>
      <c r="WM325" s="242">
        <f>WK325-WL325</f>
        <v>0</v>
      </c>
      <c r="WN325" s="242">
        <f>WN324+WJ325-WL325</f>
        <v>1057</v>
      </c>
      <c r="WO325" s="56"/>
      <c r="WR325" s="55">
        <f>WI325</f>
        <v>46296</v>
      </c>
      <c r="WS325" s="56"/>
      <c r="WT325" s="242">
        <f>SUMPRODUCT(PRODUCE!$B322:$DY322,PRODUCE!$EB$57:$IY$57)</f>
        <v>0</v>
      </c>
      <c r="WU325" s="56"/>
      <c r="WV325" s="242">
        <f>WT325-WU325</f>
        <v>0</v>
      </c>
      <c r="WW325" s="242">
        <f>WW324+WS325-WU325</f>
        <v>0</v>
      </c>
      <c r="WX325" s="56"/>
      <c r="XA325" s="55">
        <f>WR325</f>
        <v>46296</v>
      </c>
      <c r="XB325" s="56"/>
      <c r="XC325" s="242">
        <f>SUMPRODUCT(PRODUCE!$B322:$DY322,PRODUCE!$EB$57:$IY$57)</f>
        <v>0</v>
      </c>
      <c r="XD325" s="56"/>
      <c r="XE325" s="242">
        <f>XC325-XD325</f>
        <v>0</v>
      </c>
      <c r="XF325" s="242">
        <f>XF324+XB325-XD325</f>
        <v>7507</v>
      </c>
      <c r="XG325" s="56"/>
      <c r="XJ325" s="55">
        <f>XA325</f>
        <v>46296</v>
      </c>
      <c r="XK325" s="56"/>
      <c r="XL325" s="242">
        <f>SUMPRODUCT(PRODUCE!$B322:$DY322,PRODUCE!$EB$57:$IY$57)</f>
        <v>0</v>
      </c>
      <c r="XM325" s="56"/>
      <c r="XN325" s="242">
        <f>XL325-XM325</f>
        <v>0</v>
      </c>
      <c r="XO325" s="242">
        <f>XO324+XK325-XM325</f>
        <v>4252</v>
      </c>
      <c r="XP325" s="56"/>
      <c r="XS325" s="55">
        <f>XJ325</f>
        <v>46296</v>
      </c>
      <c r="XT325" s="56"/>
      <c r="XU325" s="242">
        <f>SUMPRODUCT(PRODUCE!$B322:$DY322,PRODUCE!$EB$57:$IY$57)</f>
        <v>0</v>
      </c>
      <c r="XV325" s="56"/>
      <c r="XW325" s="242">
        <f>XU325-XV325</f>
        <v>0</v>
      </c>
      <c r="XX325" s="242">
        <f>XX324+XT325-XV325</f>
        <v>2179</v>
      </c>
      <c r="XY325" s="56"/>
      <c r="YB325" s="55">
        <f>XS325</f>
        <v>46296</v>
      </c>
      <c r="YC325" s="56"/>
      <c r="YD325" s="242">
        <f>SUMPRODUCT(PRODUCE!$B322:$DY322,PRODUCE!$EB$57:$IY$57)</f>
        <v>0</v>
      </c>
      <c r="YE325" s="56"/>
      <c r="YF325" s="242">
        <f>YD325-YE325</f>
        <v>0</v>
      </c>
      <c r="YG325" s="242">
        <f>YG324+YC325-YE325</f>
        <v>4019</v>
      </c>
      <c r="YH325" s="56"/>
      <c r="YK325" s="55">
        <f>YB325</f>
        <v>46296</v>
      </c>
      <c r="YL325" s="56"/>
      <c r="YM325" s="242">
        <f>SUMPRODUCT(PRODUCE!$B322:$DY322,PRODUCE!$EB$57:$IY$57)</f>
        <v>0</v>
      </c>
      <c r="YN325" s="56"/>
      <c r="YO325" s="242">
        <f>YM325-YN325</f>
        <v>0</v>
      </c>
      <c r="YP325" s="242">
        <f>YP324+YL325-YN325</f>
        <v>-218</v>
      </c>
      <c r="YQ325" s="56"/>
      <c r="YT325" s="55">
        <f>YK325</f>
        <v>46296</v>
      </c>
      <c r="YU325" s="56"/>
      <c r="YV325" s="242">
        <f>SUMPRODUCT(PRODUCE!$B322:$DY322,PRODUCE!$EB$57:$IY$57)</f>
        <v>0</v>
      </c>
      <c r="YW325" s="56"/>
      <c r="YX325" s="242">
        <f>YV325-YW325</f>
        <v>0</v>
      </c>
      <c r="YY325" s="242">
        <f>YY324+YU325-YW325</f>
        <v>0</v>
      </c>
      <c r="YZ325" s="56"/>
      <c r="ZC325" s="55">
        <f>YT325</f>
        <v>46296</v>
      </c>
      <c r="ZD325" s="56"/>
      <c r="ZE325" s="242">
        <f>SUMPRODUCT(PRODUCE!$B322:$DY322,PRODUCE!$EB$57:$IY$57)</f>
        <v>0</v>
      </c>
      <c r="ZF325" s="56"/>
      <c r="ZG325" s="242">
        <f>ZE325-ZF325</f>
        <v>0</v>
      </c>
      <c r="ZH325" s="242">
        <f>ZH324+ZD325-ZF325</f>
        <v>0</v>
      </c>
      <c r="ZI325" s="56"/>
      <c r="ZL325" s="55">
        <f>ZC325</f>
        <v>46296</v>
      </c>
      <c r="ZM325" s="56"/>
      <c r="ZN325" s="242">
        <f>SUMPRODUCT(PRODUCE!$B322:$DY322,PRODUCE!$EB$57:$IY$57)</f>
        <v>0</v>
      </c>
      <c r="ZO325" s="56"/>
      <c r="ZP325" s="242">
        <f>ZN325-ZO325</f>
        <v>0</v>
      </c>
      <c r="ZQ325" s="242">
        <f>ZQ324+ZM325-ZO325</f>
        <v>0</v>
      </c>
      <c r="ZR325" s="56"/>
      <c r="ZU325" s="55">
        <f>ZL325</f>
        <v>46296</v>
      </c>
      <c r="ZV325" s="56"/>
      <c r="ZW325" s="242">
        <f>SUMPRODUCT(PRODUCE!$B322:$DY322,PRODUCE!$EB$57:$IY$57)</f>
        <v>0</v>
      </c>
      <c r="ZX325" s="56"/>
      <c r="ZY325" s="242">
        <f>ZW325-ZX325</f>
        <v>0</v>
      </c>
      <c r="ZZ325" s="242">
        <f>ZZ324+ZV325-ZX325</f>
        <v>0</v>
      </c>
      <c r="AAA325" s="56"/>
      <c r="AAD325" s="55">
        <f>ZU325</f>
        <v>46296</v>
      </c>
      <c r="AAE325" s="56"/>
      <c r="AAF325" s="242">
        <f>SUMPRODUCT(PRODUCE!$B322:$DY322,PRODUCE!$EB$57:$IY$57)</f>
        <v>0</v>
      </c>
      <c r="AAG325" s="56"/>
      <c r="AAH325" s="242">
        <f>AAF325-AAG325</f>
        <v>0</v>
      </c>
      <c r="AAI325" s="242">
        <f>AAI324+AAE325-AAG325</f>
        <v>0</v>
      </c>
      <c r="AAJ325" s="56"/>
      <c r="AAM325" s="55">
        <f>AAD325</f>
        <v>46296</v>
      </c>
      <c r="AAN325" s="56"/>
      <c r="AAO325" s="242">
        <f>SUMPRODUCT(PRODUCE!$B322:$DY322,PRODUCE!$EB$57:$IY$57)</f>
        <v>0</v>
      </c>
      <c r="AAP325" s="56"/>
      <c r="AAQ325" s="242">
        <f>AAO325-AAP325</f>
        <v>0</v>
      </c>
      <c r="AAR325" s="242">
        <f>AAR324+AAN325-AAP325</f>
        <v>0</v>
      </c>
      <c r="AAS325" s="56"/>
      <c r="AAV325" s="55">
        <f>AAM325</f>
        <v>46296</v>
      </c>
      <c r="AAW325" s="56"/>
      <c r="AAX325" s="242">
        <f>SUMPRODUCT(PRODUCE!$B322:$DY322,PRODUCE!$EB$57:$IY$57)</f>
        <v>0</v>
      </c>
      <c r="AAY325" s="56"/>
      <c r="AAZ325" s="242">
        <f>AAX325-AAY325</f>
        <v>0</v>
      </c>
      <c r="ABA325" s="242">
        <f>ABA324+AAW325-AAY325</f>
        <v>0</v>
      </c>
      <c r="ABB325" s="56"/>
      <c r="ABE325" s="55">
        <f>AAV325</f>
        <v>46296</v>
      </c>
      <c r="ABF325" s="56"/>
      <c r="ABG325" s="242">
        <f>SUMPRODUCT(PRODUCE!$B322:$DY322,PRODUCE!$EB$57:$IY$57)</f>
        <v>0</v>
      </c>
      <c r="ABH325" s="56"/>
      <c r="ABI325" s="242">
        <f>ABG325-ABH325</f>
        <v>0</v>
      </c>
      <c r="ABJ325" s="242">
        <f>ABJ324+ABF325-ABH325</f>
        <v>0</v>
      </c>
      <c r="ABK325" s="56"/>
    </row>
    <row r="326" spans="1:739" s="54" customFormat="1" ht="15" customHeight="1" outlineLevel="1">
      <c r="B326" s="478"/>
      <c r="C326" s="55">
        <v>46297</v>
      </c>
      <c r="D326" s="56"/>
      <c r="E326" s="57">
        <f>SUMPRODUCT(PRODUCE!$B323:$DY323,PRODUCE!$EB$7:$IY$7)</f>
        <v>0</v>
      </c>
      <c r="F326" s="56"/>
      <c r="G326" s="57">
        <f t="shared" ref="G326:G355" si="2237">E326-F326</f>
        <v>0</v>
      </c>
      <c r="H326" s="57">
        <f t="shared" ref="H326:H355" si="2238">H325+D326-F326</f>
        <v>236936.6</v>
      </c>
      <c r="I326" s="289"/>
      <c r="L326" s="55">
        <f t="shared" ref="L326:L355" si="2239">C326</f>
        <v>46297</v>
      </c>
      <c r="M326" s="56"/>
      <c r="N326" s="59">
        <f>SUMPRODUCT(PRODUCE!$B323:$DY323,PRODUCE!$EB$8:$IY$8)</f>
        <v>0</v>
      </c>
      <c r="O326" s="56"/>
      <c r="P326" s="59">
        <f t="shared" ref="P326:P355" si="2240">N326-O326</f>
        <v>0</v>
      </c>
      <c r="Q326" s="59">
        <f t="shared" ref="Q326:Q355" si="2241">Q325+M326-O326</f>
        <v>53017.600000000071</v>
      </c>
      <c r="R326" s="56"/>
      <c r="U326" s="55">
        <f t="shared" ref="U326:U355" si="2242">L326</f>
        <v>46297</v>
      </c>
      <c r="V326" s="56"/>
      <c r="W326" s="60">
        <f>SUMPRODUCT(PRODUCE!$B323:$DY323,PRODUCE!$EB$9:$IY$9)</f>
        <v>0</v>
      </c>
      <c r="X326" s="56"/>
      <c r="Y326" s="60">
        <f t="shared" ref="Y326:Y355" si="2243">W326-X326</f>
        <v>0</v>
      </c>
      <c r="Z326" s="60">
        <f t="shared" ref="Z326:Z355" si="2244">Z325+V326-X326</f>
        <v>42674.199999999968</v>
      </c>
      <c r="AA326" s="56"/>
      <c r="AD326" s="55">
        <f t="shared" ref="AD326:AD355" si="2245">U326</f>
        <v>46297</v>
      </c>
      <c r="AE326" s="56"/>
      <c r="AF326" s="61">
        <f>SUMPRODUCT(PRODUCE!$B323:$DY323,PRODUCE!$EB$10:$IY$10)</f>
        <v>0</v>
      </c>
      <c r="AG326" s="56"/>
      <c r="AH326" s="61">
        <f t="shared" ref="AH326:AH355" si="2246">AF326-AG326</f>
        <v>0</v>
      </c>
      <c r="AI326" s="61">
        <f t="shared" ref="AI326:AI355" si="2247">AI325+AE326-AG326</f>
        <v>4522.2000000000189</v>
      </c>
      <c r="AJ326" s="56"/>
      <c r="AM326" s="55">
        <f t="shared" ref="AM326:AM355" si="2248">AD326</f>
        <v>46297</v>
      </c>
      <c r="AN326" s="422"/>
      <c r="AO326" s="444">
        <f>SUMPRODUCT(PRODUCE!$B323:$DY323,PRODUCE!$EB$11:$IY$11)</f>
        <v>0</v>
      </c>
      <c r="AP326" s="422"/>
      <c r="AQ326" s="444">
        <f t="shared" ref="AQ326:AQ355" si="2249">AO326-AP326</f>
        <v>0</v>
      </c>
      <c r="AR326" s="444">
        <f t="shared" ref="AR326:AR355" si="2250">AR325+AN326-AP326</f>
        <v>0</v>
      </c>
      <c r="AS326" s="56"/>
      <c r="AV326" s="55">
        <f t="shared" ref="AV326:AV355" si="2251">AM326</f>
        <v>46297</v>
      </c>
      <c r="AW326" s="56"/>
      <c r="AX326" s="62">
        <f>SUMPRODUCT(PRODUCE!$B323:$DY323,PRODUCE!$EB$12:$IY$12)</f>
        <v>0</v>
      </c>
      <c r="AY326" s="56"/>
      <c r="AZ326" s="62">
        <f t="shared" ref="AZ326:AZ355" si="2252">AX326-AY326</f>
        <v>0</v>
      </c>
      <c r="BA326" s="62">
        <f t="shared" ref="BA326:BA355" si="2253">BA325+AW326-AY326</f>
        <v>124.99999999999523</v>
      </c>
      <c r="BB326" s="56"/>
      <c r="BE326" s="55">
        <f t="shared" ref="BE326:BE355" si="2254">AV326</f>
        <v>46297</v>
      </c>
      <c r="BF326" s="56"/>
      <c r="BG326" s="63">
        <f>SUMPRODUCT(PRODUCE!$B323:$DY323,PRODUCE!$EB$13:$IY$13)</f>
        <v>0</v>
      </c>
      <c r="BH326" s="56"/>
      <c r="BI326" s="63">
        <f t="shared" ref="BI326:BI355" si="2255">BG326-BH326</f>
        <v>0</v>
      </c>
      <c r="BJ326" s="63">
        <f t="shared" ref="BJ326:BJ355" si="2256">BJ325+BF326-BH326</f>
        <v>26151.899999999998</v>
      </c>
      <c r="BK326" s="56"/>
      <c r="BN326" s="55">
        <f t="shared" ref="BN326:BN355" si="2257">BE326</f>
        <v>46297</v>
      </c>
      <c r="BO326" s="56"/>
      <c r="BP326" s="64">
        <f>SUMPRODUCT(PRODUCE!$B323:$DY323,PRODUCE!$EB$14:$IY$14)</f>
        <v>0</v>
      </c>
      <c r="BQ326" s="56"/>
      <c r="BR326" s="64">
        <f t="shared" ref="BR326:BR355" si="2258">BP326-BQ326</f>
        <v>0</v>
      </c>
      <c r="BS326" s="64">
        <f t="shared" ref="BS326:BS355" si="2259">BS325+BO326-BQ326</f>
        <v>0</v>
      </c>
      <c r="BT326" s="56"/>
      <c r="BW326" s="55">
        <f t="shared" ref="BW326:BW355" si="2260">BN326</f>
        <v>46297</v>
      </c>
      <c r="BX326" s="56"/>
      <c r="BY326" s="65">
        <f>SUMPRODUCT(PRODUCE!$B323:$DY323,PRODUCE!$EB$15:$IY$15)</f>
        <v>0</v>
      </c>
      <c r="BZ326" s="56"/>
      <c r="CA326" s="65">
        <f t="shared" ref="CA326:CA355" si="2261">BY326-BZ326</f>
        <v>0</v>
      </c>
      <c r="CB326" s="65">
        <f t="shared" ref="CB326:CB355" si="2262">CB325+BX326-BZ326</f>
        <v>2097.3399999999992</v>
      </c>
      <c r="CC326" s="56"/>
      <c r="CF326" s="55">
        <f t="shared" ref="CF326:CF355" si="2263">BW326</f>
        <v>46297</v>
      </c>
      <c r="CG326" s="56"/>
      <c r="CH326" s="66">
        <f>SUMPRODUCT(PRODUCE!$B323:$DY323,PRODUCE!$EB$16:$IY$16)</f>
        <v>0</v>
      </c>
      <c r="CI326" s="56"/>
      <c r="CJ326" s="66">
        <f t="shared" ref="CJ326:CJ355" si="2264">CH326-CI326</f>
        <v>0</v>
      </c>
      <c r="CK326" s="66">
        <f t="shared" ref="CK326:CK355" si="2265">CK325+CG326-CI326</f>
        <v>-10277.079999999998</v>
      </c>
      <c r="CL326" s="56"/>
      <c r="CO326" s="55">
        <f t="shared" ref="CO326:CO355" si="2266">CF326</f>
        <v>46297</v>
      </c>
      <c r="CP326" s="422"/>
      <c r="CQ326" s="470">
        <f>SUMPRODUCT(PRODUCE!$B323:$DY323,PRODUCE!$EB$17:$IY$17)</f>
        <v>0</v>
      </c>
      <c r="CR326" s="422"/>
      <c r="CS326" s="470">
        <f t="shared" ref="CS326:CS355" si="2267">CQ326-CR326</f>
        <v>0</v>
      </c>
      <c r="CT326" s="470">
        <f t="shared" ref="CT326:CT355" si="2268">CT325+CP326-CR326</f>
        <v>0</v>
      </c>
      <c r="CU326" s="56"/>
      <c r="CX326" s="55">
        <f t="shared" ref="CX326:CX355" si="2269">CO326</f>
        <v>46297</v>
      </c>
      <c r="CY326" s="56"/>
      <c r="CZ326" s="133">
        <f>SUMPRODUCT(PRODUCE!$B323:$DY323,PRODUCE!$EB$18:$IY$18)</f>
        <v>0</v>
      </c>
      <c r="DA326" s="56"/>
      <c r="DB326" s="133">
        <f t="shared" ref="DB326:DB355" si="2270">CZ326-DA326</f>
        <v>0</v>
      </c>
      <c r="DC326" s="133">
        <f t="shared" ref="DC326:DC355" si="2271">DC325+CY326-DA326</f>
        <v>27438.200000000012</v>
      </c>
      <c r="DD326" s="56"/>
      <c r="DG326" s="55">
        <f t="shared" ref="DG326:DG355" si="2272">CX326</f>
        <v>46297</v>
      </c>
      <c r="DH326" s="56"/>
      <c r="DI326" s="147">
        <f>SUMPRODUCT(PRODUCE!$B323:$DY323,PRODUCE!$EB$19:$IY$19)</f>
        <v>0</v>
      </c>
      <c r="DJ326" s="56"/>
      <c r="DK326" s="147">
        <f t="shared" ref="DK326:DK355" si="2273">DI326-DJ326</f>
        <v>0</v>
      </c>
      <c r="DL326" s="147">
        <f t="shared" ref="DL326:DL355" si="2274">DL325+DH326-DJ326</f>
        <v>18782.299999999981</v>
      </c>
      <c r="DM326" s="56"/>
      <c r="DP326" s="55">
        <f t="shared" ref="DP326:DP355" si="2275">DG326</f>
        <v>46297</v>
      </c>
      <c r="DQ326" s="56"/>
      <c r="DR326" s="57">
        <f>SUMPRODUCT(PRODUCE!$B323:$DY323,PRODUCE!$EB$20:$IY$20)</f>
        <v>0</v>
      </c>
      <c r="DS326" s="56"/>
      <c r="DT326" s="57">
        <f t="shared" ref="DT326:DT355" si="2276">DR326-DS326</f>
        <v>0</v>
      </c>
      <c r="DU326" s="57">
        <f t="shared" ref="DU326:DU355" si="2277">DU325+DQ326-DS326</f>
        <v>5800</v>
      </c>
      <c r="DV326" s="56"/>
      <c r="DY326" s="55">
        <f t="shared" ref="DY326:DY355" si="2278">DP326</f>
        <v>46297</v>
      </c>
      <c r="DZ326" s="56"/>
      <c r="EA326" s="157">
        <f>SUMPRODUCT(PRODUCE!$B323:$DY323,PRODUCE!$EB$21:$IY$21)</f>
        <v>0</v>
      </c>
      <c r="EB326" s="56"/>
      <c r="EC326" s="157">
        <f t="shared" ref="EC326:EC355" si="2279">EA326-EB326</f>
        <v>0</v>
      </c>
      <c r="ED326" s="157">
        <f t="shared" ref="ED326:ED355" si="2280">ED325+DZ326-EB326</f>
        <v>0</v>
      </c>
      <c r="EE326" s="56"/>
      <c r="EH326" s="55">
        <f t="shared" ref="EH326:EH355" si="2281">DY326</f>
        <v>46297</v>
      </c>
      <c r="EI326" s="56"/>
      <c r="EJ326" s="162">
        <f>SUMPRODUCT(PRODUCE!$B323:$DY323,PRODUCE!$EB$22:$IY$22)</f>
        <v>0</v>
      </c>
      <c r="EK326" s="56"/>
      <c r="EL326" s="162">
        <f t="shared" ref="EL326:EL355" si="2282">EJ326-EK326</f>
        <v>0</v>
      </c>
      <c r="EM326" s="162">
        <f t="shared" ref="EM326:EM355" si="2283">EM325+EI326-EK326</f>
        <v>0</v>
      </c>
      <c r="EN326" s="56"/>
      <c r="EQ326" s="55">
        <f t="shared" ref="EQ326:EQ355" si="2284">EH326</f>
        <v>46297</v>
      </c>
      <c r="ER326" s="56"/>
      <c r="ES326" s="135">
        <f>SUMPRODUCT(PRODUCE!$B323:$DY323,PRODUCE!$EB$23:$IY$23)</f>
        <v>0</v>
      </c>
      <c r="ET326" s="56"/>
      <c r="EU326" s="135">
        <f t="shared" ref="EU326:EU355" si="2285">ES326-ET326</f>
        <v>0</v>
      </c>
      <c r="EV326" s="135">
        <f t="shared" ref="EV326:EV355" si="2286">EV325+ER326-ET326</f>
        <v>0</v>
      </c>
      <c r="EW326" s="56"/>
      <c r="EZ326" s="55">
        <f t="shared" ref="EZ326:EZ355" si="2287">EQ326</f>
        <v>46297</v>
      </c>
      <c r="FA326" s="56"/>
      <c r="FB326" s="175">
        <f>SUMPRODUCT(PRODUCE!$B323:$DY323,PRODUCE!$EB$24:$IY$24)</f>
        <v>0</v>
      </c>
      <c r="FC326" s="56"/>
      <c r="FD326" s="175">
        <f t="shared" ref="FD326:FD355" si="2288">FB326-FC326</f>
        <v>0</v>
      </c>
      <c r="FE326" s="175">
        <f t="shared" ref="FE326:FE355" si="2289">FE325+FA326-FC326</f>
        <v>0</v>
      </c>
      <c r="FF326" s="56"/>
      <c r="FI326" s="55">
        <f t="shared" ref="FI326:FI355" si="2290">EZ326</f>
        <v>46297</v>
      </c>
      <c r="FJ326" s="56"/>
      <c r="FK326" s="183">
        <f>SUMPRODUCT(PRODUCE!$B323:$DY323,PRODUCE!$EB$25:$IY$25)</f>
        <v>0</v>
      </c>
      <c r="FL326" s="56"/>
      <c r="FM326" s="183">
        <f t="shared" ref="FM326:FM355" si="2291">FK326-FL326</f>
        <v>0</v>
      </c>
      <c r="FN326" s="183">
        <f t="shared" ref="FN326:FN355" si="2292">FN325+FJ326-FL326</f>
        <v>0</v>
      </c>
      <c r="FO326" s="56"/>
      <c r="FR326" s="55">
        <f t="shared" ref="FR326:FR355" si="2293">FI326</f>
        <v>46297</v>
      </c>
      <c r="FS326" s="56"/>
      <c r="FT326" s="186">
        <f>SUMPRODUCT(PRODUCE!$B323:$DY323,PRODUCE!$EB$26:$IY$26)</f>
        <v>0</v>
      </c>
      <c r="FU326" s="56"/>
      <c r="FV326" s="186">
        <f t="shared" ref="FV326:FV355" si="2294">FT326-FU326</f>
        <v>0</v>
      </c>
      <c r="FW326" s="186">
        <f t="shared" ref="FW326:FW355" si="2295">FW325+FS326-FU326</f>
        <v>2020</v>
      </c>
      <c r="FX326" s="56"/>
      <c r="GA326" s="55">
        <f t="shared" ref="GA326:GA355" si="2296">FR326</f>
        <v>46297</v>
      </c>
      <c r="GB326" s="56"/>
      <c r="GC326" s="137">
        <f>SUMPRODUCT(PRODUCE!$B323:$DY323,PRODUCE!$EB$27:$IY$27)</f>
        <v>0</v>
      </c>
      <c r="GD326" s="56"/>
      <c r="GE326" s="137">
        <f t="shared" ref="GE326:GE355" si="2297">GC326-GD326</f>
        <v>0</v>
      </c>
      <c r="GF326" s="137">
        <f t="shared" ref="GF326:GF355" si="2298">GF325+GB326-GD326</f>
        <v>960</v>
      </c>
      <c r="GG326" s="56"/>
      <c r="GI326" s="23"/>
      <c r="GJ326" s="55">
        <f t="shared" ref="GJ326:GJ355" si="2299">GA326</f>
        <v>46297</v>
      </c>
      <c r="GK326" s="56"/>
      <c r="GL326" s="199">
        <f>SUMPRODUCT(PRODUCE!$B323:$DY323,PRODUCE!$EB$28:$IY$28)</f>
        <v>0</v>
      </c>
      <c r="GM326" s="56"/>
      <c r="GN326" s="199">
        <f t="shared" ref="GN326:GN355" si="2300">GL326-GM326</f>
        <v>0</v>
      </c>
      <c r="GO326" s="199">
        <f t="shared" ref="GO326:GO355" si="2301">GO325+GK326-GM326</f>
        <v>1760</v>
      </c>
      <c r="GP326" s="56"/>
      <c r="GS326" s="55">
        <f t="shared" ref="GS326:GS355" si="2302">GJ326</f>
        <v>46297</v>
      </c>
      <c r="GT326" s="56"/>
      <c r="GU326" s="195">
        <f>SUMPRODUCT(PRODUCE!$B323:$DY323,PRODUCE!$EB$29:$IY$29)</f>
        <v>0</v>
      </c>
      <c r="GV326" s="56"/>
      <c r="GW326" s="195">
        <f t="shared" ref="GW326:GW355" si="2303">GU326-GV326</f>
        <v>0</v>
      </c>
      <c r="GX326" s="195">
        <f t="shared" ref="GX326:GX355" si="2304">GX325+GT326-GV326</f>
        <v>400</v>
      </c>
      <c r="GY326" s="56"/>
      <c r="HB326" s="55">
        <f t="shared" ref="HB326:HB355" si="2305">GS326</f>
        <v>46297</v>
      </c>
      <c r="HC326" s="56"/>
      <c r="HD326" s="191">
        <f>SUMPRODUCT(PRODUCE!$B323:$DY323,PRODUCE!$EB$30:$IY$30)</f>
        <v>0</v>
      </c>
      <c r="HE326" s="56"/>
      <c r="HF326" s="191">
        <f t="shared" ref="HF326:HF355" si="2306">HD326-HE326</f>
        <v>0</v>
      </c>
      <c r="HG326" s="191">
        <f t="shared" ref="HG326:HG355" si="2307">HG325+HC326-HE326</f>
        <v>3600</v>
      </c>
      <c r="HH326" s="56"/>
      <c r="HK326" s="55">
        <f t="shared" ref="HK326:HK355" si="2308">HB326</f>
        <v>46297</v>
      </c>
      <c r="HL326" s="56"/>
      <c r="HM326" s="63">
        <f>SUMPRODUCT(PRODUCE!$B323:$DY323,PRODUCE!$EB$31:$IY$31)</f>
        <v>0</v>
      </c>
      <c r="HN326" s="56"/>
      <c r="HO326" s="63">
        <f t="shared" ref="HO326:HO355" si="2309">HM326-HN326</f>
        <v>0</v>
      </c>
      <c r="HP326" s="63">
        <f t="shared" ref="HP326:HP355" si="2310">HP325+HL326-HN326</f>
        <v>0</v>
      </c>
      <c r="HQ326" s="56"/>
      <c r="HU326" s="55">
        <f t="shared" ref="HU326:HU355" si="2311">HK326</f>
        <v>46297</v>
      </c>
      <c r="HV326" s="56"/>
      <c r="HW326" s="242">
        <f>SUMPRODUCT(PRODUCE!$B323:$DY323,PRODUCE!$EB$32:$IY$32)</f>
        <v>0</v>
      </c>
      <c r="HX326" s="56"/>
      <c r="HY326" s="242">
        <f t="shared" ref="HY326:HY355" si="2312">HW326-HX326</f>
        <v>0</v>
      </c>
      <c r="HZ326" s="242">
        <f t="shared" ref="HZ326:HZ355" si="2313">HZ325+HV326-HX326</f>
        <v>6120</v>
      </c>
      <c r="IA326" s="56"/>
      <c r="ID326" s="55">
        <f t="shared" ref="ID326:ID355" si="2314">HU326</f>
        <v>46297</v>
      </c>
      <c r="IE326" s="56"/>
      <c r="IF326" s="242">
        <f>SUMPRODUCT(PRODUCE!$B323:$DY323,PRODUCE!$EB$33:$IY$33)</f>
        <v>0</v>
      </c>
      <c r="IG326" s="56"/>
      <c r="IH326" s="242">
        <f t="shared" ref="IH326:IH355" si="2315">IF326-IG326</f>
        <v>0</v>
      </c>
      <c r="II326" s="242">
        <f t="shared" ref="II326:II355" si="2316">II325+IE326-IG326</f>
        <v>0</v>
      </c>
      <c r="IJ326" s="56"/>
      <c r="IM326" s="55">
        <f t="shared" ref="IM326:IM355" si="2317">ID326</f>
        <v>46297</v>
      </c>
      <c r="IN326" s="56"/>
      <c r="IO326" s="242">
        <f>SUMPRODUCT(PRODUCE!$B323:$DY323,PRODUCE!$EB$34:$IY$34)</f>
        <v>0</v>
      </c>
      <c r="IP326" s="56"/>
      <c r="IQ326" s="242">
        <f t="shared" ref="IQ326:IQ355" si="2318">IO326-IP326</f>
        <v>0</v>
      </c>
      <c r="IR326" s="242">
        <f t="shared" ref="IR326:IR355" si="2319">IR325+IN326-IP326</f>
        <v>0</v>
      </c>
      <c r="IS326" s="56"/>
      <c r="IV326" s="55">
        <f t="shared" ref="IV326:IV355" si="2320">IM326</f>
        <v>46297</v>
      </c>
      <c r="IW326" s="56"/>
      <c r="IX326" s="242">
        <f>SUMPRODUCT(PRODUCE!$B323:$DY323,PRODUCE!$EB$35:$IY$35)</f>
        <v>0</v>
      </c>
      <c r="IY326" s="56"/>
      <c r="IZ326" s="242">
        <f t="shared" ref="IZ326:IZ355" si="2321">IX326-IY326</f>
        <v>0</v>
      </c>
      <c r="JA326" s="242">
        <f t="shared" ref="JA326:JA355" si="2322">JA325+IW326-IY326</f>
        <v>2820</v>
      </c>
      <c r="JB326" s="56"/>
      <c r="JE326" s="55">
        <f t="shared" ref="JE326:JE355" si="2323">IV326</f>
        <v>46297</v>
      </c>
      <c r="JF326" s="56"/>
      <c r="JG326" s="242">
        <f>SUMPRODUCT(PRODUCE!$B323:$DY323,PRODUCE!$EB$36:$IY$36)</f>
        <v>0</v>
      </c>
      <c r="JH326" s="56"/>
      <c r="JI326" s="242">
        <f t="shared" ref="JI326:JI355" si="2324">JG326-JH326</f>
        <v>0</v>
      </c>
      <c r="JJ326" s="242">
        <f t="shared" ref="JJ326:JJ355" si="2325">JJ325+JF326-JH326</f>
        <v>0</v>
      </c>
      <c r="JK326" s="56"/>
      <c r="JN326" s="55">
        <f t="shared" ref="JN326:JN355" si="2326">JE326</f>
        <v>46297</v>
      </c>
      <c r="JO326" s="56"/>
      <c r="JP326" s="242">
        <f>SUMPRODUCT(PRODUCE!$B323:$DY323,PRODUCE!$EB$37:$IY$37)</f>
        <v>0</v>
      </c>
      <c r="JQ326" s="56"/>
      <c r="JR326" s="242">
        <f t="shared" ref="JR326:JR355" si="2327">JP326-JQ326</f>
        <v>0</v>
      </c>
      <c r="JS326" s="242">
        <f t="shared" ref="JS326:JS355" si="2328">JS325+JO326-JQ326</f>
        <v>0</v>
      </c>
      <c r="JT326" s="56"/>
      <c r="JW326" s="55">
        <f t="shared" ref="JW326:JW355" si="2329">JN326</f>
        <v>46297</v>
      </c>
      <c r="JX326" s="56"/>
      <c r="JY326" s="242">
        <f>SUMPRODUCT(PRODUCE!$B323:$DY323,PRODUCE!$EB$38:$IY$38)</f>
        <v>0</v>
      </c>
      <c r="JZ326" s="56"/>
      <c r="KA326" s="242">
        <f t="shared" ref="KA326:KA355" si="2330">JY326-JZ326</f>
        <v>0</v>
      </c>
      <c r="KB326" s="242">
        <f t="shared" ref="KB326:KB355" si="2331">KB325+JX326-JZ326</f>
        <v>2540</v>
      </c>
      <c r="KC326" s="56"/>
      <c r="KF326" s="55">
        <f t="shared" ref="KF326:KF355" si="2332">JW326</f>
        <v>46297</v>
      </c>
      <c r="KG326" s="56"/>
      <c r="KH326" s="242">
        <f>SUMPRODUCT(PRODUCE!$B323:$DY323,PRODUCE!$EB$39:$IY$39)</f>
        <v>0</v>
      </c>
      <c r="KI326" s="56"/>
      <c r="KJ326" s="242">
        <f t="shared" ref="KJ326:KJ355" si="2333">KH326-KI326</f>
        <v>0</v>
      </c>
      <c r="KK326" s="242">
        <f t="shared" ref="KK326:KK355" si="2334">KK325+KG326-KI326</f>
        <v>2359.5</v>
      </c>
      <c r="KL326" s="56"/>
      <c r="KO326" s="55">
        <f t="shared" ref="KO326:KO355" si="2335">KF326</f>
        <v>46297</v>
      </c>
      <c r="KP326" s="56"/>
      <c r="KQ326" s="242">
        <f>SUMPRODUCT(PRODUCE!$B323:$DY323,PRODUCE!$EB$40:$IY$40)</f>
        <v>0</v>
      </c>
      <c r="KR326" s="56"/>
      <c r="KS326" s="242">
        <f t="shared" ref="KS326:KS355" si="2336">KQ326-KR326</f>
        <v>0</v>
      </c>
      <c r="KT326" s="242">
        <f t="shared" ref="KT326:KT355" si="2337">KT325+KP326-KR326</f>
        <v>1890</v>
      </c>
      <c r="KU326" s="56"/>
      <c r="KW326" s="23"/>
      <c r="KX326" s="55">
        <f t="shared" ref="KX326:KX355" si="2338">KO326</f>
        <v>46297</v>
      </c>
      <c r="KY326" s="56"/>
      <c r="KZ326" s="242">
        <f>SUMPRODUCT(PRODUCE!$B323:$DY323,PRODUCE!$EB$41:$IY$41)</f>
        <v>0</v>
      </c>
      <c r="LA326" s="56"/>
      <c r="LB326" s="242">
        <f t="shared" ref="LB326:LB355" si="2339">KZ326-LA326</f>
        <v>0</v>
      </c>
      <c r="LC326" s="242">
        <f t="shared" ref="LC326:LC355" si="2340">LC325+KY326-LA326</f>
        <v>3690</v>
      </c>
      <c r="LD326" s="56"/>
      <c r="LG326" s="55">
        <f t="shared" ref="LG326:LG355" si="2341">KX326</f>
        <v>46297</v>
      </c>
      <c r="LH326" s="56"/>
      <c r="LI326" s="242">
        <f>SUMPRODUCT(PRODUCE!$B323:$DY323,PRODUCE!$EB$42:$IY$42)</f>
        <v>0</v>
      </c>
      <c r="LJ326" s="56"/>
      <c r="LK326" s="242">
        <f t="shared" ref="LK326:LK355" si="2342">LI326-LJ326</f>
        <v>0</v>
      </c>
      <c r="LL326" s="242">
        <f t="shared" ref="LL326:LL355" si="2343">LL325+LH326-LJ326</f>
        <v>4000</v>
      </c>
      <c r="LM326" s="56"/>
      <c r="LP326" s="55">
        <f t="shared" ref="LP326:LP355" si="2344">LG326</f>
        <v>46297</v>
      </c>
      <c r="LQ326" s="56"/>
      <c r="LR326" s="242">
        <f>SUMPRODUCT(PRODUCE!$B323:$DY323,PRODUCE!$EB$43:$IY$43)</f>
        <v>0</v>
      </c>
      <c r="LS326" s="56"/>
      <c r="LT326" s="242">
        <f t="shared" ref="LT326:LT355" si="2345">LR326-LS326</f>
        <v>0</v>
      </c>
      <c r="LU326" s="242">
        <f t="shared" ref="LU326:LU355" si="2346">LU325+LQ326-LS326</f>
        <v>0</v>
      </c>
      <c r="LV326" s="56"/>
      <c r="LY326" s="55">
        <f t="shared" ref="LY326:LY355" si="2347">LP326</f>
        <v>46297</v>
      </c>
      <c r="LZ326" s="56"/>
      <c r="MA326" s="242">
        <f>SUMPRODUCT(PRODUCE!$B323:$DY323,PRODUCE!$EB$44:$IY$44)</f>
        <v>0</v>
      </c>
      <c r="MB326" s="56"/>
      <c r="MC326" s="242">
        <f t="shared" ref="MC326:MC355" si="2348">MA326-MB326</f>
        <v>0</v>
      </c>
      <c r="MD326" s="242">
        <f t="shared" ref="MD326:MD355" si="2349">MD325+LZ326-MB326</f>
        <v>0</v>
      </c>
      <c r="ME326" s="56"/>
      <c r="MH326" s="55">
        <f t="shared" ref="MH326:MH355" si="2350">LY326</f>
        <v>46297</v>
      </c>
      <c r="MI326" s="56"/>
      <c r="MJ326" s="242">
        <f>SUMPRODUCT(PRODUCE!$B323:$DY323,PRODUCE!$EB$45:$IY$45)</f>
        <v>0</v>
      </c>
      <c r="MK326" s="56"/>
      <c r="ML326" s="242">
        <f t="shared" ref="ML326:ML355" si="2351">MJ326-MK326</f>
        <v>0</v>
      </c>
      <c r="MM326" s="242">
        <f t="shared" ref="MM326:MM355" si="2352">MM325+MI326-MK326</f>
        <v>0</v>
      </c>
      <c r="MN326" s="56"/>
      <c r="MQ326" s="55">
        <f t="shared" ref="MQ326:MQ355" si="2353">MH326</f>
        <v>46297</v>
      </c>
      <c r="MR326" s="56"/>
      <c r="MS326" s="242">
        <f>SUMPRODUCT(PRODUCE!$B323:$DY323,PRODUCE!$EB$46:$IY$46)</f>
        <v>0</v>
      </c>
      <c r="MT326" s="56"/>
      <c r="MU326" s="242">
        <f t="shared" ref="MU326:MU355" si="2354">MS326-MT326</f>
        <v>0</v>
      </c>
      <c r="MV326" s="242">
        <f t="shared" ref="MV326:MV355" si="2355">MV325+MR326-MT326</f>
        <v>1625</v>
      </c>
      <c r="MW326" s="56"/>
      <c r="MZ326" s="55">
        <f t="shared" ref="MZ326:MZ355" si="2356">MQ326</f>
        <v>46297</v>
      </c>
      <c r="NA326" s="56"/>
      <c r="NB326" s="242">
        <f>SUMPRODUCT(PRODUCE!$B323:$DY323,PRODUCE!$EB$47:$IY$47)</f>
        <v>0</v>
      </c>
      <c r="NC326" s="56"/>
      <c r="ND326" s="242">
        <f t="shared" ref="ND326:ND355" si="2357">NB326-NC326</f>
        <v>0</v>
      </c>
      <c r="NE326" s="242">
        <f t="shared" ref="NE326:NE355" si="2358">NE325+NA326-NC326</f>
        <v>0</v>
      </c>
      <c r="NF326" s="56"/>
      <c r="NI326" s="55">
        <f t="shared" ref="NI326:NI355" si="2359">MZ326</f>
        <v>46297</v>
      </c>
      <c r="NJ326" s="56"/>
      <c r="NK326" s="242">
        <f>SUMPRODUCT(PRODUCE!$B323:$DY323,PRODUCE!$EB$48:$IY$48)</f>
        <v>0</v>
      </c>
      <c r="NL326" s="56"/>
      <c r="NM326" s="242">
        <f t="shared" ref="NM326:NM355" si="2360">NK326-NL326</f>
        <v>0</v>
      </c>
      <c r="NN326" s="242">
        <f t="shared" ref="NN326:NN355" si="2361">NN325+NJ326-NL326</f>
        <v>1127</v>
      </c>
      <c r="NO326" s="56"/>
      <c r="NR326" s="55">
        <f t="shared" ref="NR326:NR355" si="2362">MZ326</f>
        <v>46297</v>
      </c>
      <c r="NS326" s="56"/>
      <c r="NT326" s="242">
        <f>SUMPRODUCT(PRODUCE!$B323:$DY323,PRODUCE!$EB$49:$IY$49)</f>
        <v>0</v>
      </c>
      <c r="NU326" s="56"/>
      <c r="NV326" s="242">
        <f t="shared" ref="NV326:NV355" si="2363">NT326-NU326</f>
        <v>0</v>
      </c>
      <c r="NW326" s="242">
        <f t="shared" ref="NW326:NW355" si="2364">NW325+NS326-NU326</f>
        <v>3111.9999999999995</v>
      </c>
      <c r="NX326" s="56"/>
      <c r="OA326" s="55">
        <f t="shared" ref="OA326:OA355" si="2365">NR326</f>
        <v>46297</v>
      </c>
      <c r="OB326" s="56"/>
      <c r="OC326" s="242">
        <f>SUMPRODUCT(PRODUCE!$B323:$DY323,PRODUCE!$EB$50:$IY$50)</f>
        <v>0</v>
      </c>
      <c r="OD326" s="56"/>
      <c r="OE326" s="242">
        <f t="shared" ref="OE326:OE355" si="2366">OC326-OD326</f>
        <v>0</v>
      </c>
      <c r="OF326" s="242">
        <f t="shared" ref="OF326:OF355" si="2367">OF325+OB326-OD326</f>
        <v>1680.5</v>
      </c>
      <c r="OG326" s="56"/>
      <c r="OJ326" s="55">
        <f t="shared" ref="OJ326:OJ355" si="2368">OA326</f>
        <v>46297</v>
      </c>
      <c r="OK326" s="56"/>
      <c r="OL326" s="242">
        <f>SUMPRODUCT(PRODUCE!$B323:$DY323,PRODUCE!$EB$51:$IY$51)</f>
        <v>0</v>
      </c>
      <c r="OM326" s="56"/>
      <c r="ON326" s="242">
        <f t="shared" ref="ON326:ON355" si="2369">OL326-OM326</f>
        <v>0</v>
      </c>
      <c r="OO326" s="242">
        <f t="shared" ref="OO326:OO355" si="2370">OO325+OK326-OM326</f>
        <v>0</v>
      </c>
      <c r="OP326" s="56"/>
      <c r="OS326" s="55">
        <f t="shared" ref="OS326:OS355" si="2371">OJ326</f>
        <v>46297</v>
      </c>
      <c r="OT326" s="56"/>
      <c r="OU326" s="242">
        <f>SUMPRODUCT(PRODUCE!$B323:$DY323,PRODUCE!$EB$52:$IY$52)</f>
        <v>0</v>
      </c>
      <c r="OV326" s="56"/>
      <c r="OW326" s="242">
        <f t="shared" ref="OW326:OW355" si="2372">OU326-OV326</f>
        <v>0</v>
      </c>
      <c r="OX326" s="242">
        <f t="shared" ref="OX326:OX355" si="2373">OX325+OT326-OV326</f>
        <v>1482</v>
      </c>
      <c r="OY326" s="56"/>
      <c r="PB326" s="55">
        <f t="shared" ref="PB326:PB355" si="2374">OS326</f>
        <v>46297</v>
      </c>
      <c r="PC326" s="56"/>
      <c r="PD326" s="242">
        <f>SUMPRODUCT(PRODUCE!$B323:$DY323,PRODUCE!$EB$53:$IY$53)</f>
        <v>0</v>
      </c>
      <c r="PE326" s="56"/>
      <c r="PF326" s="242">
        <f t="shared" ref="PF326:PF355" si="2375">PD326-PE326</f>
        <v>0</v>
      </c>
      <c r="PG326" s="242">
        <f t="shared" ref="PG326:PG355" si="2376">PG325+PC326-PE326</f>
        <v>0</v>
      </c>
      <c r="PH326" s="56"/>
      <c r="PK326" s="55">
        <f t="shared" ref="PK326:PK355" si="2377">PB326</f>
        <v>46297</v>
      </c>
      <c r="PL326" s="56"/>
      <c r="PM326" s="242">
        <f>SUMPRODUCT(PRODUCE!$B323:$DY323,PRODUCE!$EB$54:$IY$54)</f>
        <v>0</v>
      </c>
      <c r="PN326" s="56"/>
      <c r="PO326" s="242">
        <f t="shared" ref="PO326:PO355" si="2378">PM326-PN326</f>
        <v>0</v>
      </c>
      <c r="PP326" s="242">
        <f t="shared" ref="PP326:PP355" si="2379">PP325+PL326-PN326</f>
        <v>100</v>
      </c>
      <c r="PQ326" s="56"/>
      <c r="PT326" s="55">
        <f t="shared" ref="PT326:PT355" si="2380">PK326</f>
        <v>46297</v>
      </c>
      <c r="PU326" s="56"/>
      <c r="PV326" s="242">
        <f>SUMPRODUCT(PRODUCE!$B323:$DY323,PRODUCE!$EB$55:$IY$55)</f>
        <v>0</v>
      </c>
      <c r="PW326" s="56"/>
      <c r="PX326" s="242">
        <f t="shared" ref="PX326:PX355" si="2381">PV326-PW326</f>
        <v>0</v>
      </c>
      <c r="PY326" s="242">
        <f t="shared" ref="PY326:PY355" si="2382">PY325+PU326-PW326</f>
        <v>13.960000000000036</v>
      </c>
      <c r="PZ326" s="56"/>
      <c r="QC326" s="55">
        <f t="shared" ref="QC326:QC355" si="2383">PT326</f>
        <v>46297</v>
      </c>
      <c r="QD326" s="56"/>
      <c r="QE326" s="242">
        <f>SUMPRODUCT(PRODUCE!$B323:$DY323,PRODUCE!$EB$56:$IY$56)</f>
        <v>0</v>
      </c>
      <c r="QF326" s="56"/>
      <c r="QG326" s="242">
        <f t="shared" ref="QG326:QG355" si="2384">QE326-QF326</f>
        <v>0</v>
      </c>
      <c r="QH326" s="242">
        <f t="shared" ref="QH326:QH355" si="2385">QH325+QD326-QF326</f>
        <v>548</v>
      </c>
      <c r="QI326" s="56"/>
      <c r="QL326" s="55">
        <f t="shared" ref="QL326:QL355" si="2386">QC326</f>
        <v>46297</v>
      </c>
      <c r="QM326" s="56"/>
      <c r="QN326" s="242">
        <f>SUMPRODUCT(PRODUCE!$B323:$DY323,PRODUCE!$EB$57:$IY$57)</f>
        <v>0</v>
      </c>
      <c r="QO326" s="56"/>
      <c r="QP326" s="242">
        <f t="shared" ref="QP326:QP355" si="2387">QN326-QO326</f>
        <v>0</v>
      </c>
      <c r="QQ326" s="242">
        <f t="shared" ref="QQ326:QQ355" si="2388">QQ325+QM326-QO326</f>
        <v>0</v>
      </c>
      <c r="QR326" s="56"/>
      <c r="QU326" s="55">
        <f t="shared" ref="QU326:QU355" si="2389">QL326</f>
        <v>46297</v>
      </c>
      <c r="QV326" s="56"/>
      <c r="QW326" s="242">
        <f>SUMPRODUCT(PRODUCE!$B323:$DY323,PRODUCE!$EB$57:$IY$57)</f>
        <v>0</v>
      </c>
      <c r="QX326" s="56"/>
      <c r="QY326" s="242">
        <f t="shared" ref="QY326:QY355" si="2390">QW326-QX326</f>
        <v>0</v>
      </c>
      <c r="QZ326" s="242">
        <f t="shared" ref="QZ326:QZ355" si="2391">QZ325+QV326-QX326</f>
        <v>0</v>
      </c>
      <c r="RA326" s="56"/>
      <c r="RD326" s="55">
        <f t="shared" ref="RD326:RD355" si="2392">QU326</f>
        <v>46297</v>
      </c>
      <c r="RE326" s="56"/>
      <c r="RF326" s="242">
        <f>SUMPRODUCT(PRODUCE!$B323:$DY323,PRODUCE!$EB$58:$IY$58)</f>
        <v>0</v>
      </c>
      <c r="RG326" s="56"/>
      <c r="RH326" s="242">
        <f t="shared" ref="RH326:RH355" si="2393">RF326-RG326</f>
        <v>0</v>
      </c>
      <c r="RI326" s="242">
        <f t="shared" ref="RI326:RI355" si="2394">RI325+RE326-RG326</f>
        <v>147.04000000000002</v>
      </c>
      <c r="RJ326" s="56"/>
      <c r="RM326" s="55">
        <f t="shared" ref="RM326:RM355" si="2395">RD326</f>
        <v>46297</v>
      </c>
      <c r="RN326" s="56"/>
      <c r="RO326" s="242">
        <f>SUMPRODUCT(PRODUCE!$B323:$DY323,PRODUCE!$EB$57:$IY$57)</f>
        <v>0</v>
      </c>
      <c r="RP326" s="56"/>
      <c r="RQ326" s="242">
        <f t="shared" ref="RQ326:RQ355" si="2396">RO326-RP326</f>
        <v>0</v>
      </c>
      <c r="RR326" s="242">
        <f t="shared" ref="RR326:RR355" si="2397">RR325+RN326-RP326</f>
        <v>46.8</v>
      </c>
      <c r="RS326" s="56"/>
      <c r="RV326" s="55">
        <f t="shared" ref="RV326:RV355" si="2398">RM326</f>
        <v>46297</v>
      </c>
      <c r="RW326" s="56"/>
      <c r="RX326" s="242">
        <f>SUMPRODUCT(PRODUCE!$B323:$DY323,PRODUCE!$EB$57:$IY$57)</f>
        <v>0</v>
      </c>
      <c r="RY326" s="56"/>
      <c r="RZ326" s="242">
        <f t="shared" ref="RZ326:RZ355" si="2399">RX326-RY326</f>
        <v>0</v>
      </c>
      <c r="SA326" s="242">
        <f t="shared" ref="SA326:SA355" si="2400">SA325+RW326-RY326</f>
        <v>0</v>
      </c>
      <c r="SB326" s="56"/>
      <c r="SE326" s="55">
        <f t="shared" ref="SE326:SE355" si="2401">RV326</f>
        <v>46297</v>
      </c>
      <c r="SF326" s="56"/>
      <c r="SG326" s="242">
        <f>SUMPRODUCT(PRODUCE!$B323:$DY323,PRODUCE!$EB$61:$IY$61)</f>
        <v>0</v>
      </c>
      <c r="SH326" s="56"/>
      <c r="SI326" s="242">
        <f t="shared" ref="SI326:SI355" si="2402">SG326-SH326</f>
        <v>0</v>
      </c>
      <c r="SJ326" s="242">
        <f t="shared" ref="SJ326:SJ355" si="2403">SJ325+SF326-SH326</f>
        <v>24.200000000000003</v>
      </c>
      <c r="SK326" s="56"/>
      <c r="SN326" s="55">
        <f t="shared" ref="SN326:SN355" si="2404">SE326</f>
        <v>46297</v>
      </c>
      <c r="SO326" s="56"/>
      <c r="SP326" s="242">
        <f>SUMPRODUCT(PRODUCE!$B323:$DY323,PRODUCE!$EB$57:$IY$57)</f>
        <v>0</v>
      </c>
      <c r="SQ326" s="56"/>
      <c r="SR326" s="242">
        <f t="shared" ref="SR326:SR355" si="2405">SP326-SQ326</f>
        <v>0</v>
      </c>
      <c r="SS326" s="242">
        <f t="shared" ref="SS326:SS355" si="2406">SS325+SO326-SQ326</f>
        <v>32</v>
      </c>
      <c r="ST326" s="56"/>
      <c r="SW326" s="55">
        <f t="shared" ref="SW326:SW355" si="2407">SN326</f>
        <v>46297</v>
      </c>
      <c r="SX326" s="56"/>
      <c r="SY326" s="242">
        <f>SUMPRODUCT(PRODUCE!$B323:$DY323,PRODUCE!$EB$57:$IY$57)</f>
        <v>0</v>
      </c>
      <c r="SZ326" s="56"/>
      <c r="TA326" s="242">
        <f t="shared" ref="TA326:TA355" si="2408">SY326-SZ326</f>
        <v>0</v>
      </c>
      <c r="TB326" s="242">
        <f t="shared" ref="TB326:TB355" si="2409">TB325+SX326-SZ326</f>
        <v>0</v>
      </c>
      <c r="TC326" s="56"/>
      <c r="TF326" s="55">
        <f t="shared" ref="TF326:TF355" si="2410">SW326</f>
        <v>46297</v>
      </c>
      <c r="TG326" s="56"/>
      <c r="TH326" s="242">
        <f>SUMPRODUCT(PRODUCE!$B323:$DY323,PRODUCE!$EB$57:$IY$57)</f>
        <v>0</v>
      </c>
      <c r="TI326" s="56"/>
      <c r="TJ326" s="242">
        <f t="shared" ref="TJ326:TJ355" si="2411">TH326-TI326</f>
        <v>0</v>
      </c>
      <c r="TK326" s="242">
        <f t="shared" ref="TK326:TK355" si="2412">TK325+TG326-TI326</f>
        <v>0</v>
      </c>
      <c r="TL326" s="56"/>
      <c r="TO326" s="55">
        <f t="shared" ref="TO326:TO355" si="2413">TF326</f>
        <v>46297</v>
      </c>
      <c r="TP326" s="56"/>
      <c r="TQ326" s="242">
        <f>SUMPRODUCT(PRODUCE!$B323:$DY323,PRODUCE!$EB$57:$IY$57)</f>
        <v>0</v>
      </c>
      <c r="TR326" s="56"/>
      <c r="TS326" s="242">
        <f t="shared" ref="TS326:TS355" si="2414">TQ326-TR326</f>
        <v>0</v>
      </c>
      <c r="TT326" s="242">
        <f t="shared" ref="TT326:TT355" si="2415">TT325+TP326-TR326</f>
        <v>0</v>
      </c>
      <c r="TU326" s="56"/>
      <c r="TX326" s="55">
        <f t="shared" ref="TX326:TX355" si="2416">TO326</f>
        <v>46297</v>
      </c>
      <c r="TY326" s="56"/>
      <c r="TZ326" s="242">
        <f>SUMPRODUCT(PRODUCE!$B323:$DY323,PRODUCE!$EB$57:$IY$57)</f>
        <v>0</v>
      </c>
      <c r="UA326" s="56"/>
      <c r="UB326" s="242">
        <f t="shared" ref="UB326:UB355" si="2417">TZ326-UA326</f>
        <v>0</v>
      </c>
      <c r="UC326" s="242">
        <f t="shared" ref="UC326:UC355" si="2418">UC325+TY326-UA326</f>
        <v>46.799999999999983</v>
      </c>
      <c r="UD326" s="56"/>
      <c r="UG326" s="55">
        <f t="shared" ref="UG326:UG355" si="2419">TX326</f>
        <v>46297</v>
      </c>
      <c r="UH326" s="56"/>
      <c r="UI326" s="242">
        <f>SUMPRODUCT(PRODUCE!$B323:$DY323,PRODUCE!$EB$57:$IY$57)</f>
        <v>0</v>
      </c>
      <c r="UJ326" s="56"/>
      <c r="UK326" s="242">
        <f t="shared" ref="UK326:UK355" si="2420">UI326-UJ326</f>
        <v>0</v>
      </c>
      <c r="UL326" s="242">
        <f t="shared" ref="UL326:UL355" si="2421">UL325+UH326-UJ326</f>
        <v>204</v>
      </c>
      <c r="UM326" s="56"/>
      <c r="UP326" s="55">
        <f t="shared" ref="UP326:UP355" si="2422">UG326</f>
        <v>46297</v>
      </c>
      <c r="UQ326" s="56"/>
      <c r="UR326" s="242">
        <f>SUMPRODUCT(PRODUCE!$B323:$DY323,PRODUCE!$EB$57:$IY$57)</f>
        <v>0</v>
      </c>
      <c r="US326" s="56"/>
      <c r="UT326" s="242">
        <f t="shared" ref="UT326:UT355" si="2423">UR326-US326</f>
        <v>0</v>
      </c>
      <c r="UU326" s="242">
        <f t="shared" ref="UU326:UU355" si="2424">UU325+UQ326-US326</f>
        <v>202.5</v>
      </c>
      <c r="UV326" s="56"/>
      <c r="UY326" s="55">
        <f t="shared" ref="UY326:UY355" si="2425">UP326</f>
        <v>46297</v>
      </c>
      <c r="UZ326" s="56"/>
      <c r="VA326" s="242">
        <f>SUMPRODUCT(PRODUCE!$B323:$DY323,PRODUCE!$EB$57:$IY$57)</f>
        <v>0</v>
      </c>
      <c r="VB326" s="56"/>
      <c r="VC326" s="242">
        <f t="shared" ref="VC326:VC355" si="2426">VA326-VB326</f>
        <v>0</v>
      </c>
      <c r="VD326" s="242">
        <f t="shared" ref="VD326:VD355" si="2427">VD325+UZ326-VB326</f>
        <v>41.600000000000023</v>
      </c>
      <c r="VE326" s="56"/>
      <c r="VH326" s="55">
        <f t="shared" ref="VH326:VH355" si="2428">UY326</f>
        <v>46297</v>
      </c>
      <c r="VI326" s="56"/>
      <c r="VJ326" s="242">
        <f>SUMPRODUCT(PRODUCE!$B323:$DY323,PRODUCE!$EB$57:$IY$57)</f>
        <v>0</v>
      </c>
      <c r="VK326" s="56"/>
      <c r="VL326" s="242">
        <f t="shared" ref="VL326:VL355" si="2429">VJ326-VK326</f>
        <v>0</v>
      </c>
      <c r="VM326" s="242">
        <f t="shared" ref="VM326:VM355" si="2430">VM325+VI326-VK326</f>
        <v>210</v>
      </c>
      <c r="VN326" s="56"/>
      <c r="VQ326" s="55">
        <f t="shared" ref="VQ326:VQ355" si="2431">VH326</f>
        <v>46297</v>
      </c>
      <c r="VR326" s="56"/>
      <c r="VS326" s="242">
        <f>SUMPRODUCT(PRODUCE!$B323:$DY323,PRODUCE!$EB$57:$IY$57)</f>
        <v>0</v>
      </c>
      <c r="VT326" s="56"/>
      <c r="VU326" s="242">
        <f t="shared" ref="VU326:VU355" si="2432">VS326-VT326</f>
        <v>0</v>
      </c>
      <c r="VV326" s="242">
        <f t="shared" ref="VV326:VV355" si="2433">VV325+VR326-VT326</f>
        <v>0</v>
      </c>
      <c r="VW326" s="56"/>
      <c r="VZ326" s="55">
        <f t="shared" ref="VZ326:VZ355" si="2434">VQ326</f>
        <v>46297</v>
      </c>
      <c r="WA326" s="56"/>
      <c r="WB326" s="242">
        <f>SUMPRODUCT(PRODUCE!$B323:$DY323,PRODUCE!$EB$57:$IY$57)</f>
        <v>0</v>
      </c>
      <c r="WC326" s="56"/>
      <c r="WD326" s="242">
        <f t="shared" ref="WD326:WD355" si="2435">WB326-WC326</f>
        <v>0</v>
      </c>
      <c r="WE326" s="242">
        <f t="shared" ref="WE326:WE355" si="2436">WE325+WA326-WC326</f>
        <v>0</v>
      </c>
      <c r="WF326" s="56"/>
      <c r="WI326" s="55">
        <f t="shared" ref="WI326:WI355" si="2437">VZ326</f>
        <v>46297</v>
      </c>
      <c r="WJ326" s="56"/>
      <c r="WK326" s="242">
        <f>SUMPRODUCT(PRODUCE!$B323:$DY323,PRODUCE!$EB$57:$IY$57)</f>
        <v>0</v>
      </c>
      <c r="WL326" s="56"/>
      <c r="WM326" s="242">
        <f t="shared" ref="WM326:WM355" si="2438">WK326-WL326</f>
        <v>0</v>
      </c>
      <c r="WN326" s="242">
        <f t="shared" ref="WN326:WN355" si="2439">WN325+WJ326-WL326</f>
        <v>1057</v>
      </c>
      <c r="WO326" s="56"/>
      <c r="WR326" s="55">
        <f t="shared" ref="WR326:WR355" si="2440">WI326</f>
        <v>46297</v>
      </c>
      <c r="WS326" s="56"/>
      <c r="WT326" s="242">
        <f>SUMPRODUCT(PRODUCE!$B323:$DY323,PRODUCE!$EB$57:$IY$57)</f>
        <v>0</v>
      </c>
      <c r="WU326" s="56"/>
      <c r="WV326" s="242">
        <f t="shared" ref="WV326:WV355" si="2441">WT326-WU326</f>
        <v>0</v>
      </c>
      <c r="WW326" s="242">
        <f t="shared" ref="WW326:WW355" si="2442">WW325+WS326-WU326</f>
        <v>0</v>
      </c>
      <c r="WX326" s="56"/>
      <c r="XA326" s="55">
        <f t="shared" ref="XA326:XA355" si="2443">WR326</f>
        <v>46297</v>
      </c>
      <c r="XB326" s="56"/>
      <c r="XC326" s="242">
        <f>SUMPRODUCT(PRODUCE!$B323:$DY323,PRODUCE!$EB$57:$IY$57)</f>
        <v>0</v>
      </c>
      <c r="XD326" s="56"/>
      <c r="XE326" s="242">
        <f t="shared" ref="XE326:XE355" si="2444">XC326-XD326</f>
        <v>0</v>
      </c>
      <c r="XF326" s="242">
        <f t="shared" ref="XF326:XF355" si="2445">XF325+XB326-XD326</f>
        <v>7507</v>
      </c>
      <c r="XG326" s="56"/>
      <c r="XJ326" s="55">
        <f t="shared" ref="XJ326:XJ355" si="2446">XA326</f>
        <v>46297</v>
      </c>
      <c r="XK326" s="56"/>
      <c r="XL326" s="242">
        <f>SUMPRODUCT(PRODUCE!$B323:$DY323,PRODUCE!$EB$57:$IY$57)</f>
        <v>0</v>
      </c>
      <c r="XM326" s="56"/>
      <c r="XN326" s="242">
        <f t="shared" ref="XN326:XN355" si="2447">XL326-XM326</f>
        <v>0</v>
      </c>
      <c r="XO326" s="242">
        <f t="shared" ref="XO326:XO355" si="2448">XO325+XK326-XM326</f>
        <v>4252</v>
      </c>
      <c r="XP326" s="56"/>
      <c r="XS326" s="55">
        <f t="shared" ref="XS326:XS355" si="2449">XJ326</f>
        <v>46297</v>
      </c>
      <c r="XT326" s="56"/>
      <c r="XU326" s="242">
        <f>SUMPRODUCT(PRODUCE!$B323:$DY323,PRODUCE!$EB$57:$IY$57)</f>
        <v>0</v>
      </c>
      <c r="XV326" s="56"/>
      <c r="XW326" s="242">
        <f t="shared" ref="XW326:XW355" si="2450">XU326-XV326</f>
        <v>0</v>
      </c>
      <c r="XX326" s="242">
        <f t="shared" ref="XX326:XX355" si="2451">XX325+XT326-XV326</f>
        <v>2179</v>
      </c>
      <c r="XY326" s="56"/>
      <c r="YB326" s="55">
        <f t="shared" ref="YB326:YB355" si="2452">XS326</f>
        <v>46297</v>
      </c>
      <c r="YC326" s="56"/>
      <c r="YD326" s="242">
        <f>SUMPRODUCT(PRODUCE!$B323:$DY323,PRODUCE!$EB$57:$IY$57)</f>
        <v>0</v>
      </c>
      <c r="YE326" s="56"/>
      <c r="YF326" s="242">
        <f t="shared" ref="YF326:YF355" si="2453">YD326-YE326</f>
        <v>0</v>
      </c>
      <c r="YG326" s="242">
        <f t="shared" ref="YG326:YG355" si="2454">YG325+YC326-YE326</f>
        <v>4019</v>
      </c>
      <c r="YH326" s="56"/>
      <c r="YK326" s="55">
        <f t="shared" ref="YK326:YK355" si="2455">YB326</f>
        <v>46297</v>
      </c>
      <c r="YL326" s="56"/>
      <c r="YM326" s="242">
        <f>SUMPRODUCT(PRODUCE!$B323:$DY323,PRODUCE!$EB$57:$IY$57)</f>
        <v>0</v>
      </c>
      <c r="YN326" s="56"/>
      <c r="YO326" s="242">
        <f t="shared" ref="YO326:YO355" si="2456">YM326-YN326</f>
        <v>0</v>
      </c>
      <c r="YP326" s="242">
        <f t="shared" ref="YP326:YP355" si="2457">YP325+YL326-YN326</f>
        <v>-218</v>
      </c>
      <c r="YQ326" s="56"/>
      <c r="YT326" s="55">
        <f t="shared" ref="YT326:YT355" si="2458">YK326</f>
        <v>46297</v>
      </c>
      <c r="YU326" s="56"/>
      <c r="YV326" s="242">
        <f>SUMPRODUCT(PRODUCE!$B323:$DY323,PRODUCE!$EB$57:$IY$57)</f>
        <v>0</v>
      </c>
      <c r="YW326" s="56"/>
      <c r="YX326" s="242">
        <f t="shared" ref="YX326:YX355" si="2459">YV326-YW326</f>
        <v>0</v>
      </c>
      <c r="YY326" s="242">
        <f t="shared" ref="YY326:YY355" si="2460">YY325+YU326-YW326</f>
        <v>0</v>
      </c>
      <c r="YZ326" s="56"/>
      <c r="ZC326" s="55">
        <f t="shared" ref="ZC326:ZC355" si="2461">YT326</f>
        <v>46297</v>
      </c>
      <c r="ZD326" s="56"/>
      <c r="ZE326" s="242">
        <f>SUMPRODUCT(PRODUCE!$B323:$DY323,PRODUCE!$EB$57:$IY$57)</f>
        <v>0</v>
      </c>
      <c r="ZF326" s="56"/>
      <c r="ZG326" s="242">
        <f t="shared" ref="ZG326:ZG355" si="2462">ZE326-ZF326</f>
        <v>0</v>
      </c>
      <c r="ZH326" s="242">
        <f t="shared" ref="ZH326:ZH355" si="2463">ZH325+ZD326-ZF326</f>
        <v>0</v>
      </c>
      <c r="ZI326" s="56"/>
      <c r="ZL326" s="55">
        <f t="shared" ref="ZL326:ZL355" si="2464">ZC326</f>
        <v>46297</v>
      </c>
      <c r="ZM326" s="56"/>
      <c r="ZN326" s="242">
        <f>SUMPRODUCT(PRODUCE!$B323:$DY323,PRODUCE!$EB$57:$IY$57)</f>
        <v>0</v>
      </c>
      <c r="ZO326" s="56"/>
      <c r="ZP326" s="242">
        <f t="shared" ref="ZP326:ZP355" si="2465">ZN326-ZO326</f>
        <v>0</v>
      </c>
      <c r="ZQ326" s="242">
        <f t="shared" ref="ZQ326:ZQ355" si="2466">ZQ325+ZM326-ZO326</f>
        <v>0</v>
      </c>
      <c r="ZR326" s="56"/>
      <c r="ZU326" s="55">
        <f t="shared" ref="ZU326:ZU355" si="2467">ZL326</f>
        <v>46297</v>
      </c>
      <c r="ZV326" s="56"/>
      <c r="ZW326" s="242">
        <f>SUMPRODUCT(PRODUCE!$B323:$DY323,PRODUCE!$EB$57:$IY$57)</f>
        <v>0</v>
      </c>
      <c r="ZX326" s="56"/>
      <c r="ZY326" s="242">
        <f t="shared" ref="ZY326:ZY355" si="2468">ZW326-ZX326</f>
        <v>0</v>
      </c>
      <c r="ZZ326" s="242">
        <f t="shared" ref="ZZ326:ZZ355" si="2469">ZZ325+ZV326-ZX326</f>
        <v>0</v>
      </c>
      <c r="AAA326" s="56"/>
      <c r="AAD326" s="55">
        <f t="shared" ref="AAD326:AAD355" si="2470">ZU326</f>
        <v>46297</v>
      </c>
      <c r="AAE326" s="56"/>
      <c r="AAF326" s="242">
        <f>SUMPRODUCT(PRODUCE!$B323:$DY323,PRODUCE!$EB$57:$IY$57)</f>
        <v>0</v>
      </c>
      <c r="AAG326" s="56"/>
      <c r="AAH326" s="242">
        <f t="shared" ref="AAH326:AAH355" si="2471">AAF326-AAG326</f>
        <v>0</v>
      </c>
      <c r="AAI326" s="242">
        <f t="shared" ref="AAI326:AAI355" si="2472">AAI325+AAE326-AAG326</f>
        <v>0</v>
      </c>
      <c r="AAJ326" s="56"/>
      <c r="AAM326" s="55">
        <f t="shared" ref="AAM326:AAM355" si="2473">AAD326</f>
        <v>46297</v>
      </c>
      <c r="AAN326" s="56"/>
      <c r="AAO326" s="242">
        <f>SUMPRODUCT(PRODUCE!$B323:$DY323,PRODUCE!$EB$57:$IY$57)</f>
        <v>0</v>
      </c>
      <c r="AAP326" s="56"/>
      <c r="AAQ326" s="242">
        <f t="shared" ref="AAQ326:AAQ355" si="2474">AAO326-AAP326</f>
        <v>0</v>
      </c>
      <c r="AAR326" s="242">
        <f t="shared" ref="AAR326:AAR355" si="2475">AAR325+AAN326-AAP326</f>
        <v>0</v>
      </c>
      <c r="AAS326" s="56"/>
      <c r="AAV326" s="55">
        <f t="shared" ref="AAV326:AAV355" si="2476">AAM326</f>
        <v>46297</v>
      </c>
      <c r="AAW326" s="56"/>
      <c r="AAX326" s="242">
        <f>SUMPRODUCT(PRODUCE!$B323:$DY323,PRODUCE!$EB$57:$IY$57)</f>
        <v>0</v>
      </c>
      <c r="AAY326" s="56"/>
      <c r="AAZ326" s="242">
        <f t="shared" ref="AAZ326:AAZ355" si="2477">AAX326-AAY326</f>
        <v>0</v>
      </c>
      <c r="ABA326" s="242">
        <f t="shared" ref="ABA326:ABA355" si="2478">ABA325+AAW326-AAY326</f>
        <v>0</v>
      </c>
      <c r="ABB326" s="56"/>
      <c r="ABE326" s="55">
        <f t="shared" ref="ABE326:ABE355" si="2479">AAV326</f>
        <v>46297</v>
      </c>
      <c r="ABF326" s="56"/>
      <c r="ABG326" s="242">
        <f>SUMPRODUCT(PRODUCE!$B323:$DY323,PRODUCE!$EB$57:$IY$57)</f>
        <v>0</v>
      </c>
      <c r="ABH326" s="56"/>
      <c r="ABI326" s="242">
        <f t="shared" ref="ABI326:ABI355" si="2480">ABG326-ABH326</f>
        <v>0</v>
      </c>
      <c r="ABJ326" s="242">
        <f t="shared" ref="ABJ326:ABJ355" si="2481">ABJ325+ABF326-ABH326</f>
        <v>0</v>
      </c>
      <c r="ABK326" s="56"/>
    </row>
    <row r="327" spans="1:739" s="54" customFormat="1" ht="15" customHeight="1" outlineLevel="1">
      <c r="B327" s="478"/>
      <c r="C327" s="55">
        <v>46298</v>
      </c>
      <c r="D327" s="56"/>
      <c r="E327" s="57">
        <f>SUMPRODUCT(PRODUCE!$B324:$DY324,PRODUCE!$EB$7:$IY$7)</f>
        <v>0</v>
      </c>
      <c r="F327" s="56"/>
      <c r="G327" s="57">
        <f t="shared" si="2237"/>
        <v>0</v>
      </c>
      <c r="H327" s="57">
        <f t="shared" si="2238"/>
        <v>236936.6</v>
      </c>
      <c r="I327" s="289"/>
      <c r="L327" s="55">
        <f t="shared" si="2239"/>
        <v>46298</v>
      </c>
      <c r="M327" s="56"/>
      <c r="N327" s="59">
        <f>SUMPRODUCT(PRODUCE!$B324:$DY324,PRODUCE!$EB$8:$IY$8)</f>
        <v>0</v>
      </c>
      <c r="O327" s="56"/>
      <c r="P327" s="59">
        <f t="shared" si="2240"/>
        <v>0</v>
      </c>
      <c r="Q327" s="59">
        <f t="shared" si="2241"/>
        <v>53017.600000000071</v>
      </c>
      <c r="R327" s="56"/>
      <c r="U327" s="55">
        <f t="shared" si="2242"/>
        <v>46298</v>
      </c>
      <c r="V327" s="56"/>
      <c r="W327" s="60">
        <f>SUMPRODUCT(PRODUCE!$B324:$DY324,PRODUCE!$EB$9:$IY$9)</f>
        <v>0</v>
      </c>
      <c r="X327" s="56"/>
      <c r="Y327" s="60">
        <f t="shared" si="2243"/>
        <v>0</v>
      </c>
      <c r="Z327" s="60">
        <f t="shared" si="2244"/>
        <v>42674.199999999968</v>
      </c>
      <c r="AA327" s="56"/>
      <c r="AD327" s="55">
        <f t="shared" si="2245"/>
        <v>46298</v>
      </c>
      <c r="AE327" s="56"/>
      <c r="AF327" s="61">
        <f>SUMPRODUCT(PRODUCE!$B324:$DY324,PRODUCE!$EB$10:$IY$10)</f>
        <v>0</v>
      </c>
      <c r="AG327" s="56"/>
      <c r="AH327" s="61">
        <f t="shared" si="2246"/>
        <v>0</v>
      </c>
      <c r="AI327" s="61">
        <f t="shared" si="2247"/>
        <v>4522.2000000000189</v>
      </c>
      <c r="AJ327" s="56"/>
      <c r="AM327" s="55">
        <f t="shared" si="2248"/>
        <v>46298</v>
      </c>
      <c r="AN327" s="422"/>
      <c r="AO327" s="444">
        <f>SUMPRODUCT(PRODUCE!$B324:$DY324,PRODUCE!$EB$11:$IY$11)</f>
        <v>0</v>
      </c>
      <c r="AP327" s="422"/>
      <c r="AQ327" s="444">
        <f t="shared" si="2249"/>
        <v>0</v>
      </c>
      <c r="AR327" s="444">
        <f t="shared" si="2250"/>
        <v>0</v>
      </c>
      <c r="AS327" s="56"/>
      <c r="AV327" s="55">
        <f t="shared" si="2251"/>
        <v>46298</v>
      </c>
      <c r="AW327" s="56"/>
      <c r="AX327" s="62">
        <f>SUMPRODUCT(PRODUCE!$B324:$DY324,PRODUCE!$EB$12:$IY$12)</f>
        <v>0</v>
      </c>
      <c r="AY327" s="56"/>
      <c r="AZ327" s="62">
        <f t="shared" si="2252"/>
        <v>0</v>
      </c>
      <c r="BA327" s="62">
        <f t="shared" si="2253"/>
        <v>124.99999999999523</v>
      </c>
      <c r="BB327" s="56"/>
      <c r="BE327" s="55">
        <f t="shared" si="2254"/>
        <v>46298</v>
      </c>
      <c r="BF327" s="56"/>
      <c r="BG327" s="63">
        <f>SUMPRODUCT(PRODUCE!$B324:$DY324,PRODUCE!$EB$13:$IY$13)</f>
        <v>0</v>
      </c>
      <c r="BH327" s="56"/>
      <c r="BI327" s="63">
        <f t="shared" si="2255"/>
        <v>0</v>
      </c>
      <c r="BJ327" s="63">
        <f t="shared" si="2256"/>
        <v>26151.899999999998</v>
      </c>
      <c r="BK327" s="56"/>
      <c r="BN327" s="55">
        <f t="shared" si="2257"/>
        <v>46298</v>
      </c>
      <c r="BO327" s="56"/>
      <c r="BP327" s="64">
        <f>SUMPRODUCT(PRODUCE!$B324:$DY324,PRODUCE!$EB$14:$IY$14)</f>
        <v>0</v>
      </c>
      <c r="BQ327" s="56"/>
      <c r="BR327" s="64">
        <f t="shared" si="2258"/>
        <v>0</v>
      </c>
      <c r="BS327" s="64">
        <f t="shared" si="2259"/>
        <v>0</v>
      </c>
      <c r="BT327" s="56"/>
      <c r="BW327" s="55">
        <f t="shared" si="2260"/>
        <v>46298</v>
      </c>
      <c r="BX327" s="56"/>
      <c r="BY327" s="65">
        <f>SUMPRODUCT(PRODUCE!$B324:$DY324,PRODUCE!$EB$15:$IY$15)</f>
        <v>0</v>
      </c>
      <c r="BZ327" s="56"/>
      <c r="CA327" s="65">
        <f t="shared" si="2261"/>
        <v>0</v>
      </c>
      <c r="CB327" s="65">
        <f t="shared" si="2262"/>
        <v>2097.3399999999992</v>
      </c>
      <c r="CC327" s="56"/>
      <c r="CF327" s="55">
        <f t="shared" si="2263"/>
        <v>46298</v>
      </c>
      <c r="CG327" s="56"/>
      <c r="CH327" s="66">
        <f>SUMPRODUCT(PRODUCE!$B324:$DY324,PRODUCE!$EB$16:$IY$16)</f>
        <v>0</v>
      </c>
      <c r="CI327" s="56"/>
      <c r="CJ327" s="66">
        <f t="shared" si="2264"/>
        <v>0</v>
      </c>
      <c r="CK327" s="66">
        <f t="shared" si="2265"/>
        <v>-10277.079999999998</v>
      </c>
      <c r="CL327" s="56"/>
      <c r="CO327" s="55">
        <f t="shared" si="2266"/>
        <v>46298</v>
      </c>
      <c r="CP327" s="422"/>
      <c r="CQ327" s="470">
        <f>SUMPRODUCT(PRODUCE!$B324:$DY324,PRODUCE!$EB$17:$IY$17)</f>
        <v>0</v>
      </c>
      <c r="CR327" s="422"/>
      <c r="CS327" s="470">
        <f t="shared" si="2267"/>
        <v>0</v>
      </c>
      <c r="CT327" s="470">
        <f t="shared" si="2268"/>
        <v>0</v>
      </c>
      <c r="CU327" s="56"/>
      <c r="CX327" s="55">
        <f t="shared" si="2269"/>
        <v>46298</v>
      </c>
      <c r="CY327" s="56"/>
      <c r="CZ327" s="133">
        <f>SUMPRODUCT(PRODUCE!$B324:$DY324,PRODUCE!$EB$18:$IY$18)</f>
        <v>0</v>
      </c>
      <c r="DA327" s="56"/>
      <c r="DB327" s="133">
        <f t="shared" si="2270"/>
        <v>0</v>
      </c>
      <c r="DC327" s="133">
        <f t="shared" si="2271"/>
        <v>27438.200000000012</v>
      </c>
      <c r="DD327" s="56"/>
      <c r="DG327" s="55">
        <f t="shared" si="2272"/>
        <v>46298</v>
      </c>
      <c r="DH327" s="56"/>
      <c r="DI327" s="147">
        <f>SUMPRODUCT(PRODUCE!$B324:$DY324,PRODUCE!$EB$19:$IY$19)</f>
        <v>0</v>
      </c>
      <c r="DJ327" s="56"/>
      <c r="DK327" s="147">
        <f t="shared" si="2273"/>
        <v>0</v>
      </c>
      <c r="DL327" s="147">
        <f t="shared" si="2274"/>
        <v>18782.299999999981</v>
      </c>
      <c r="DM327" s="56"/>
      <c r="DP327" s="55">
        <f t="shared" si="2275"/>
        <v>46298</v>
      </c>
      <c r="DQ327" s="56"/>
      <c r="DR327" s="57">
        <f>SUMPRODUCT(PRODUCE!$B324:$DY324,PRODUCE!$EB$20:$IY$20)</f>
        <v>0</v>
      </c>
      <c r="DS327" s="56"/>
      <c r="DT327" s="57">
        <f t="shared" si="2276"/>
        <v>0</v>
      </c>
      <c r="DU327" s="57">
        <f t="shared" si="2277"/>
        <v>5800</v>
      </c>
      <c r="DV327" s="56"/>
      <c r="DY327" s="55">
        <f t="shared" si="2278"/>
        <v>46298</v>
      </c>
      <c r="DZ327" s="56"/>
      <c r="EA327" s="157">
        <f>SUMPRODUCT(PRODUCE!$B324:$DY324,PRODUCE!$EB$21:$IY$21)</f>
        <v>0</v>
      </c>
      <c r="EB327" s="56"/>
      <c r="EC327" s="157">
        <f t="shared" si="2279"/>
        <v>0</v>
      </c>
      <c r="ED327" s="157">
        <f t="shared" si="2280"/>
        <v>0</v>
      </c>
      <c r="EE327" s="56"/>
      <c r="EH327" s="55">
        <f t="shared" si="2281"/>
        <v>46298</v>
      </c>
      <c r="EI327" s="56"/>
      <c r="EJ327" s="162">
        <f>SUMPRODUCT(PRODUCE!$B324:$DY324,PRODUCE!$EB$22:$IY$22)</f>
        <v>0</v>
      </c>
      <c r="EK327" s="56"/>
      <c r="EL327" s="162">
        <f t="shared" si="2282"/>
        <v>0</v>
      </c>
      <c r="EM327" s="162">
        <f t="shared" si="2283"/>
        <v>0</v>
      </c>
      <c r="EN327" s="56"/>
      <c r="EQ327" s="55">
        <f t="shared" si="2284"/>
        <v>46298</v>
      </c>
      <c r="ER327" s="56"/>
      <c r="ES327" s="135">
        <f>SUMPRODUCT(PRODUCE!$B324:$DY324,PRODUCE!$EB$23:$IY$23)</f>
        <v>0</v>
      </c>
      <c r="ET327" s="56"/>
      <c r="EU327" s="135">
        <f t="shared" si="2285"/>
        <v>0</v>
      </c>
      <c r="EV327" s="135">
        <f t="shared" si="2286"/>
        <v>0</v>
      </c>
      <c r="EW327" s="56"/>
      <c r="EZ327" s="55">
        <f t="shared" si="2287"/>
        <v>46298</v>
      </c>
      <c r="FA327" s="56"/>
      <c r="FB327" s="175">
        <f>SUMPRODUCT(PRODUCE!$B324:$DY324,PRODUCE!$EB$24:$IY$24)</f>
        <v>0</v>
      </c>
      <c r="FC327" s="56"/>
      <c r="FD327" s="175">
        <f t="shared" si="2288"/>
        <v>0</v>
      </c>
      <c r="FE327" s="175">
        <f t="shared" si="2289"/>
        <v>0</v>
      </c>
      <c r="FF327" s="56"/>
      <c r="FI327" s="55">
        <f t="shared" si="2290"/>
        <v>46298</v>
      </c>
      <c r="FJ327" s="56"/>
      <c r="FK327" s="183">
        <f>SUMPRODUCT(PRODUCE!$B324:$DY324,PRODUCE!$EB$25:$IY$25)</f>
        <v>0</v>
      </c>
      <c r="FL327" s="56"/>
      <c r="FM327" s="183">
        <f t="shared" si="2291"/>
        <v>0</v>
      </c>
      <c r="FN327" s="183">
        <f t="shared" si="2292"/>
        <v>0</v>
      </c>
      <c r="FO327" s="56"/>
      <c r="FR327" s="55">
        <f t="shared" si="2293"/>
        <v>46298</v>
      </c>
      <c r="FS327" s="56"/>
      <c r="FT327" s="186">
        <f>SUMPRODUCT(PRODUCE!$B324:$DY324,PRODUCE!$EB$26:$IY$26)</f>
        <v>0</v>
      </c>
      <c r="FU327" s="56"/>
      <c r="FV327" s="186">
        <f t="shared" si="2294"/>
        <v>0</v>
      </c>
      <c r="FW327" s="186">
        <f t="shared" si="2295"/>
        <v>2020</v>
      </c>
      <c r="FX327" s="56"/>
      <c r="GA327" s="55">
        <f t="shared" si="2296"/>
        <v>46298</v>
      </c>
      <c r="GB327" s="56"/>
      <c r="GC327" s="137">
        <f>SUMPRODUCT(PRODUCE!$B324:$DY324,PRODUCE!$EB$27:$IY$27)</f>
        <v>0</v>
      </c>
      <c r="GD327" s="56"/>
      <c r="GE327" s="137">
        <f t="shared" si="2297"/>
        <v>0</v>
      </c>
      <c r="GF327" s="137">
        <f t="shared" si="2298"/>
        <v>960</v>
      </c>
      <c r="GG327" s="56"/>
      <c r="GI327" s="23"/>
      <c r="GJ327" s="55">
        <f t="shared" si="2299"/>
        <v>46298</v>
      </c>
      <c r="GK327" s="56"/>
      <c r="GL327" s="199">
        <f>SUMPRODUCT(PRODUCE!$B324:$DY324,PRODUCE!$EB$28:$IY$28)</f>
        <v>0</v>
      </c>
      <c r="GM327" s="56"/>
      <c r="GN327" s="199">
        <f t="shared" si="2300"/>
        <v>0</v>
      </c>
      <c r="GO327" s="199">
        <f t="shared" si="2301"/>
        <v>1760</v>
      </c>
      <c r="GP327" s="56"/>
      <c r="GS327" s="55">
        <f t="shared" si="2302"/>
        <v>46298</v>
      </c>
      <c r="GT327" s="56"/>
      <c r="GU327" s="195">
        <f>SUMPRODUCT(PRODUCE!$B324:$DY324,PRODUCE!$EB$29:$IY$29)</f>
        <v>0</v>
      </c>
      <c r="GV327" s="56"/>
      <c r="GW327" s="195">
        <f t="shared" si="2303"/>
        <v>0</v>
      </c>
      <c r="GX327" s="195">
        <f t="shared" si="2304"/>
        <v>400</v>
      </c>
      <c r="GY327" s="56"/>
      <c r="HB327" s="55">
        <f t="shared" si="2305"/>
        <v>46298</v>
      </c>
      <c r="HC327" s="56"/>
      <c r="HD327" s="191">
        <f>SUMPRODUCT(PRODUCE!$B324:$DY324,PRODUCE!$EB$30:$IY$30)</f>
        <v>0</v>
      </c>
      <c r="HE327" s="56"/>
      <c r="HF327" s="191">
        <f t="shared" si="2306"/>
        <v>0</v>
      </c>
      <c r="HG327" s="191">
        <f t="shared" si="2307"/>
        <v>3600</v>
      </c>
      <c r="HH327" s="56"/>
      <c r="HK327" s="55">
        <f t="shared" si="2308"/>
        <v>46298</v>
      </c>
      <c r="HL327" s="56"/>
      <c r="HM327" s="63">
        <f>SUMPRODUCT(PRODUCE!$B324:$DY324,PRODUCE!$EB$31:$IY$31)</f>
        <v>0</v>
      </c>
      <c r="HN327" s="56"/>
      <c r="HO327" s="63">
        <f t="shared" si="2309"/>
        <v>0</v>
      </c>
      <c r="HP327" s="63">
        <f t="shared" si="2310"/>
        <v>0</v>
      </c>
      <c r="HQ327" s="56"/>
      <c r="HU327" s="55">
        <f t="shared" si="2311"/>
        <v>46298</v>
      </c>
      <c r="HV327" s="56"/>
      <c r="HW327" s="242">
        <f>SUMPRODUCT(PRODUCE!$B324:$DY324,PRODUCE!$EB$32:$IY$32)</f>
        <v>0</v>
      </c>
      <c r="HX327" s="56"/>
      <c r="HY327" s="242">
        <f t="shared" si="2312"/>
        <v>0</v>
      </c>
      <c r="HZ327" s="242">
        <f t="shared" si="2313"/>
        <v>6120</v>
      </c>
      <c r="IA327" s="56"/>
      <c r="ID327" s="55">
        <f t="shared" si="2314"/>
        <v>46298</v>
      </c>
      <c r="IE327" s="56"/>
      <c r="IF327" s="242">
        <f>SUMPRODUCT(PRODUCE!$B324:$DY324,PRODUCE!$EB$33:$IY$33)</f>
        <v>0</v>
      </c>
      <c r="IG327" s="56"/>
      <c r="IH327" s="242">
        <f t="shared" si="2315"/>
        <v>0</v>
      </c>
      <c r="II327" s="242">
        <f t="shared" si="2316"/>
        <v>0</v>
      </c>
      <c r="IJ327" s="56"/>
      <c r="IM327" s="55">
        <f t="shared" si="2317"/>
        <v>46298</v>
      </c>
      <c r="IN327" s="56"/>
      <c r="IO327" s="242">
        <f>SUMPRODUCT(PRODUCE!$B324:$DY324,PRODUCE!$EB$34:$IY$34)</f>
        <v>0</v>
      </c>
      <c r="IP327" s="56"/>
      <c r="IQ327" s="242">
        <f t="shared" si="2318"/>
        <v>0</v>
      </c>
      <c r="IR327" s="242">
        <f t="shared" si="2319"/>
        <v>0</v>
      </c>
      <c r="IS327" s="56"/>
      <c r="IV327" s="55">
        <f t="shared" si="2320"/>
        <v>46298</v>
      </c>
      <c r="IW327" s="56"/>
      <c r="IX327" s="242">
        <f>SUMPRODUCT(PRODUCE!$B324:$DY324,PRODUCE!$EB$35:$IY$35)</f>
        <v>0</v>
      </c>
      <c r="IY327" s="56"/>
      <c r="IZ327" s="242">
        <f t="shared" si="2321"/>
        <v>0</v>
      </c>
      <c r="JA327" s="242">
        <f t="shared" si="2322"/>
        <v>2820</v>
      </c>
      <c r="JB327" s="56"/>
      <c r="JE327" s="55">
        <f t="shared" si="2323"/>
        <v>46298</v>
      </c>
      <c r="JF327" s="56"/>
      <c r="JG327" s="242">
        <f>SUMPRODUCT(PRODUCE!$B324:$DY324,PRODUCE!$EB$36:$IY$36)</f>
        <v>0</v>
      </c>
      <c r="JH327" s="56"/>
      <c r="JI327" s="242">
        <f t="shared" si="2324"/>
        <v>0</v>
      </c>
      <c r="JJ327" s="242">
        <f t="shared" si="2325"/>
        <v>0</v>
      </c>
      <c r="JK327" s="56"/>
      <c r="JN327" s="55">
        <f t="shared" si="2326"/>
        <v>46298</v>
      </c>
      <c r="JO327" s="56"/>
      <c r="JP327" s="242">
        <f>SUMPRODUCT(PRODUCE!$B324:$DY324,PRODUCE!$EB$37:$IY$37)</f>
        <v>0</v>
      </c>
      <c r="JQ327" s="56"/>
      <c r="JR327" s="242">
        <f t="shared" si="2327"/>
        <v>0</v>
      </c>
      <c r="JS327" s="242">
        <f t="shared" si="2328"/>
        <v>0</v>
      </c>
      <c r="JT327" s="56"/>
      <c r="JW327" s="55">
        <f t="shared" si="2329"/>
        <v>46298</v>
      </c>
      <c r="JX327" s="56"/>
      <c r="JY327" s="242">
        <f>SUMPRODUCT(PRODUCE!$B324:$DY324,PRODUCE!$EB$38:$IY$38)</f>
        <v>0</v>
      </c>
      <c r="JZ327" s="56"/>
      <c r="KA327" s="242">
        <f t="shared" si="2330"/>
        <v>0</v>
      </c>
      <c r="KB327" s="242">
        <f t="shared" si="2331"/>
        <v>2540</v>
      </c>
      <c r="KC327" s="56"/>
      <c r="KF327" s="55">
        <f t="shared" si="2332"/>
        <v>46298</v>
      </c>
      <c r="KG327" s="56"/>
      <c r="KH327" s="242">
        <f>SUMPRODUCT(PRODUCE!$B324:$DY324,PRODUCE!$EB$39:$IY$39)</f>
        <v>0</v>
      </c>
      <c r="KI327" s="56"/>
      <c r="KJ327" s="242">
        <f t="shared" si="2333"/>
        <v>0</v>
      </c>
      <c r="KK327" s="242">
        <f t="shared" si="2334"/>
        <v>2359.5</v>
      </c>
      <c r="KL327" s="56"/>
      <c r="KO327" s="55">
        <f t="shared" si="2335"/>
        <v>46298</v>
      </c>
      <c r="KP327" s="56"/>
      <c r="KQ327" s="242">
        <f>SUMPRODUCT(PRODUCE!$B324:$DY324,PRODUCE!$EB$40:$IY$40)</f>
        <v>0</v>
      </c>
      <c r="KR327" s="56"/>
      <c r="KS327" s="242">
        <f t="shared" si="2336"/>
        <v>0</v>
      </c>
      <c r="KT327" s="242">
        <f t="shared" si="2337"/>
        <v>1890</v>
      </c>
      <c r="KU327" s="56"/>
      <c r="KW327" s="23"/>
      <c r="KX327" s="55">
        <f t="shared" si="2338"/>
        <v>46298</v>
      </c>
      <c r="KY327" s="56"/>
      <c r="KZ327" s="242">
        <f>SUMPRODUCT(PRODUCE!$B324:$DY324,PRODUCE!$EB$41:$IY$41)</f>
        <v>0</v>
      </c>
      <c r="LA327" s="56"/>
      <c r="LB327" s="242">
        <f t="shared" si="2339"/>
        <v>0</v>
      </c>
      <c r="LC327" s="242">
        <f t="shared" si="2340"/>
        <v>3690</v>
      </c>
      <c r="LD327" s="56"/>
      <c r="LG327" s="55">
        <f t="shared" si="2341"/>
        <v>46298</v>
      </c>
      <c r="LH327" s="56"/>
      <c r="LI327" s="242">
        <f>SUMPRODUCT(PRODUCE!$B324:$DY324,PRODUCE!$EB$42:$IY$42)</f>
        <v>0</v>
      </c>
      <c r="LJ327" s="56"/>
      <c r="LK327" s="242">
        <f t="shared" si="2342"/>
        <v>0</v>
      </c>
      <c r="LL327" s="242">
        <f t="shared" si="2343"/>
        <v>4000</v>
      </c>
      <c r="LM327" s="56"/>
      <c r="LP327" s="55">
        <f t="shared" si="2344"/>
        <v>46298</v>
      </c>
      <c r="LQ327" s="56"/>
      <c r="LR327" s="242">
        <f>SUMPRODUCT(PRODUCE!$B324:$DY324,PRODUCE!$EB$43:$IY$43)</f>
        <v>0</v>
      </c>
      <c r="LS327" s="56"/>
      <c r="LT327" s="242">
        <f t="shared" si="2345"/>
        <v>0</v>
      </c>
      <c r="LU327" s="242">
        <f t="shared" si="2346"/>
        <v>0</v>
      </c>
      <c r="LV327" s="56"/>
      <c r="LY327" s="55">
        <f t="shared" si="2347"/>
        <v>46298</v>
      </c>
      <c r="LZ327" s="56"/>
      <c r="MA327" s="242">
        <f>SUMPRODUCT(PRODUCE!$B324:$DY324,PRODUCE!$EB$44:$IY$44)</f>
        <v>0</v>
      </c>
      <c r="MB327" s="56"/>
      <c r="MC327" s="242">
        <f t="shared" si="2348"/>
        <v>0</v>
      </c>
      <c r="MD327" s="242">
        <f t="shared" si="2349"/>
        <v>0</v>
      </c>
      <c r="ME327" s="56"/>
      <c r="MH327" s="55">
        <f t="shared" si="2350"/>
        <v>46298</v>
      </c>
      <c r="MI327" s="56"/>
      <c r="MJ327" s="242">
        <f>SUMPRODUCT(PRODUCE!$B324:$DY324,PRODUCE!$EB$45:$IY$45)</f>
        <v>0</v>
      </c>
      <c r="MK327" s="56"/>
      <c r="ML327" s="242">
        <f t="shared" si="2351"/>
        <v>0</v>
      </c>
      <c r="MM327" s="242">
        <f t="shared" si="2352"/>
        <v>0</v>
      </c>
      <c r="MN327" s="56"/>
      <c r="MQ327" s="55">
        <f t="shared" si="2353"/>
        <v>46298</v>
      </c>
      <c r="MR327" s="56"/>
      <c r="MS327" s="242">
        <f>SUMPRODUCT(PRODUCE!$B324:$DY324,PRODUCE!$EB$46:$IY$46)</f>
        <v>0</v>
      </c>
      <c r="MT327" s="56"/>
      <c r="MU327" s="242">
        <f t="shared" si="2354"/>
        <v>0</v>
      </c>
      <c r="MV327" s="242">
        <f t="shared" si="2355"/>
        <v>1625</v>
      </c>
      <c r="MW327" s="56"/>
      <c r="MZ327" s="55">
        <f t="shared" si="2356"/>
        <v>46298</v>
      </c>
      <c r="NA327" s="56"/>
      <c r="NB327" s="242">
        <f>SUMPRODUCT(PRODUCE!$B324:$DY324,PRODUCE!$EB$47:$IY$47)</f>
        <v>0</v>
      </c>
      <c r="NC327" s="56"/>
      <c r="ND327" s="242">
        <f t="shared" si="2357"/>
        <v>0</v>
      </c>
      <c r="NE327" s="242">
        <f t="shared" si="2358"/>
        <v>0</v>
      </c>
      <c r="NF327" s="56"/>
      <c r="NI327" s="55">
        <f t="shared" si="2359"/>
        <v>46298</v>
      </c>
      <c r="NJ327" s="56"/>
      <c r="NK327" s="242">
        <f>SUMPRODUCT(PRODUCE!$B324:$DY324,PRODUCE!$EB$48:$IY$48)</f>
        <v>0</v>
      </c>
      <c r="NL327" s="56"/>
      <c r="NM327" s="242">
        <f t="shared" si="2360"/>
        <v>0</v>
      </c>
      <c r="NN327" s="242">
        <f t="shared" si="2361"/>
        <v>1127</v>
      </c>
      <c r="NO327" s="56"/>
      <c r="NR327" s="55">
        <f t="shared" si="2362"/>
        <v>46298</v>
      </c>
      <c r="NS327" s="56"/>
      <c r="NT327" s="242">
        <f>SUMPRODUCT(PRODUCE!$B324:$DY324,PRODUCE!$EB$49:$IY$49)</f>
        <v>0</v>
      </c>
      <c r="NU327" s="56"/>
      <c r="NV327" s="242">
        <f t="shared" si="2363"/>
        <v>0</v>
      </c>
      <c r="NW327" s="242">
        <f t="shared" si="2364"/>
        <v>3111.9999999999995</v>
      </c>
      <c r="NX327" s="56"/>
      <c r="OA327" s="55">
        <f t="shared" si="2365"/>
        <v>46298</v>
      </c>
      <c r="OB327" s="56"/>
      <c r="OC327" s="242">
        <f>SUMPRODUCT(PRODUCE!$B324:$DY324,PRODUCE!$EB$50:$IY$50)</f>
        <v>0</v>
      </c>
      <c r="OD327" s="56"/>
      <c r="OE327" s="242">
        <f t="shared" si="2366"/>
        <v>0</v>
      </c>
      <c r="OF327" s="242">
        <f t="shared" si="2367"/>
        <v>1680.5</v>
      </c>
      <c r="OG327" s="56"/>
      <c r="OJ327" s="55">
        <f t="shared" si="2368"/>
        <v>46298</v>
      </c>
      <c r="OK327" s="56"/>
      <c r="OL327" s="242">
        <f>SUMPRODUCT(PRODUCE!$B324:$DY324,PRODUCE!$EB$51:$IY$51)</f>
        <v>0</v>
      </c>
      <c r="OM327" s="56"/>
      <c r="ON327" s="242">
        <f t="shared" si="2369"/>
        <v>0</v>
      </c>
      <c r="OO327" s="242">
        <f t="shared" si="2370"/>
        <v>0</v>
      </c>
      <c r="OP327" s="56"/>
      <c r="OS327" s="55">
        <f t="shared" si="2371"/>
        <v>46298</v>
      </c>
      <c r="OT327" s="56"/>
      <c r="OU327" s="242">
        <f>SUMPRODUCT(PRODUCE!$B324:$DY324,PRODUCE!$EB$52:$IY$52)</f>
        <v>0</v>
      </c>
      <c r="OV327" s="56"/>
      <c r="OW327" s="242">
        <f t="shared" si="2372"/>
        <v>0</v>
      </c>
      <c r="OX327" s="242">
        <f t="shared" si="2373"/>
        <v>1482</v>
      </c>
      <c r="OY327" s="56"/>
      <c r="PB327" s="55">
        <f t="shared" si="2374"/>
        <v>46298</v>
      </c>
      <c r="PC327" s="56"/>
      <c r="PD327" s="242">
        <f>SUMPRODUCT(PRODUCE!$B324:$DY324,PRODUCE!$EB$53:$IY$53)</f>
        <v>0</v>
      </c>
      <c r="PE327" s="56"/>
      <c r="PF327" s="242">
        <f t="shared" si="2375"/>
        <v>0</v>
      </c>
      <c r="PG327" s="242">
        <f t="shared" si="2376"/>
        <v>0</v>
      </c>
      <c r="PH327" s="56"/>
      <c r="PK327" s="55">
        <f t="shared" si="2377"/>
        <v>46298</v>
      </c>
      <c r="PL327" s="56"/>
      <c r="PM327" s="242">
        <f>SUMPRODUCT(PRODUCE!$B324:$DY324,PRODUCE!$EB$54:$IY$54)</f>
        <v>0</v>
      </c>
      <c r="PN327" s="56"/>
      <c r="PO327" s="242">
        <f t="shared" si="2378"/>
        <v>0</v>
      </c>
      <c r="PP327" s="242">
        <f t="shared" si="2379"/>
        <v>100</v>
      </c>
      <c r="PQ327" s="56"/>
      <c r="PT327" s="55">
        <f t="shared" si="2380"/>
        <v>46298</v>
      </c>
      <c r="PU327" s="56"/>
      <c r="PV327" s="242">
        <f>SUMPRODUCT(PRODUCE!$B324:$DY324,PRODUCE!$EB$55:$IY$55)</f>
        <v>0</v>
      </c>
      <c r="PW327" s="56"/>
      <c r="PX327" s="242">
        <f t="shared" si="2381"/>
        <v>0</v>
      </c>
      <c r="PY327" s="242">
        <f t="shared" si="2382"/>
        <v>13.960000000000036</v>
      </c>
      <c r="PZ327" s="56"/>
      <c r="QC327" s="55">
        <f t="shared" si="2383"/>
        <v>46298</v>
      </c>
      <c r="QD327" s="56"/>
      <c r="QE327" s="242">
        <f>SUMPRODUCT(PRODUCE!$B324:$DY324,PRODUCE!$EB$56:$IY$56)</f>
        <v>0</v>
      </c>
      <c r="QF327" s="56"/>
      <c r="QG327" s="242">
        <f t="shared" si="2384"/>
        <v>0</v>
      </c>
      <c r="QH327" s="242">
        <f t="shared" si="2385"/>
        <v>548</v>
      </c>
      <c r="QI327" s="56"/>
      <c r="QL327" s="55">
        <f t="shared" si="2386"/>
        <v>46298</v>
      </c>
      <c r="QM327" s="56"/>
      <c r="QN327" s="242">
        <f>SUMPRODUCT(PRODUCE!$B324:$DY324,PRODUCE!$EB$57:$IY$57)</f>
        <v>0</v>
      </c>
      <c r="QO327" s="56"/>
      <c r="QP327" s="242">
        <f t="shared" si="2387"/>
        <v>0</v>
      </c>
      <c r="QQ327" s="242">
        <f t="shared" si="2388"/>
        <v>0</v>
      </c>
      <c r="QR327" s="56"/>
      <c r="QU327" s="55">
        <f t="shared" si="2389"/>
        <v>46298</v>
      </c>
      <c r="QV327" s="56"/>
      <c r="QW327" s="242">
        <f>SUMPRODUCT(PRODUCE!$B324:$DY324,PRODUCE!$EB$57:$IY$57)</f>
        <v>0</v>
      </c>
      <c r="QX327" s="56"/>
      <c r="QY327" s="242">
        <f t="shared" si="2390"/>
        <v>0</v>
      </c>
      <c r="QZ327" s="242">
        <f t="shared" si="2391"/>
        <v>0</v>
      </c>
      <c r="RA327" s="56"/>
      <c r="RD327" s="55">
        <f t="shared" si="2392"/>
        <v>46298</v>
      </c>
      <c r="RE327" s="56"/>
      <c r="RF327" s="242">
        <f>SUMPRODUCT(PRODUCE!$B324:$DY324,PRODUCE!$EB$58:$IY$58)</f>
        <v>0</v>
      </c>
      <c r="RG327" s="56"/>
      <c r="RH327" s="242">
        <f t="shared" si="2393"/>
        <v>0</v>
      </c>
      <c r="RI327" s="242">
        <f t="shared" si="2394"/>
        <v>147.04000000000002</v>
      </c>
      <c r="RJ327" s="56"/>
      <c r="RM327" s="55">
        <f t="shared" si="2395"/>
        <v>46298</v>
      </c>
      <c r="RN327" s="56"/>
      <c r="RO327" s="242">
        <f>SUMPRODUCT(PRODUCE!$B324:$DY324,PRODUCE!$EB$57:$IY$57)</f>
        <v>0</v>
      </c>
      <c r="RP327" s="56"/>
      <c r="RQ327" s="242">
        <f t="shared" si="2396"/>
        <v>0</v>
      </c>
      <c r="RR327" s="242">
        <f t="shared" si="2397"/>
        <v>46.8</v>
      </c>
      <c r="RS327" s="56"/>
      <c r="RV327" s="55">
        <f t="shared" si="2398"/>
        <v>46298</v>
      </c>
      <c r="RW327" s="56"/>
      <c r="RX327" s="242">
        <f>SUMPRODUCT(PRODUCE!$B324:$DY324,PRODUCE!$EB$57:$IY$57)</f>
        <v>0</v>
      </c>
      <c r="RY327" s="56"/>
      <c r="RZ327" s="242">
        <f t="shared" si="2399"/>
        <v>0</v>
      </c>
      <c r="SA327" s="242">
        <f t="shared" si="2400"/>
        <v>0</v>
      </c>
      <c r="SB327" s="56"/>
      <c r="SE327" s="55">
        <f t="shared" si="2401"/>
        <v>46298</v>
      </c>
      <c r="SF327" s="56"/>
      <c r="SG327" s="242">
        <f>SUMPRODUCT(PRODUCE!$B324:$DY324,PRODUCE!$EB$61:$IY$61)</f>
        <v>0</v>
      </c>
      <c r="SH327" s="56"/>
      <c r="SI327" s="242">
        <f t="shared" si="2402"/>
        <v>0</v>
      </c>
      <c r="SJ327" s="242">
        <f t="shared" si="2403"/>
        <v>24.200000000000003</v>
      </c>
      <c r="SK327" s="56"/>
      <c r="SN327" s="55">
        <f t="shared" si="2404"/>
        <v>46298</v>
      </c>
      <c r="SO327" s="56"/>
      <c r="SP327" s="242">
        <f>SUMPRODUCT(PRODUCE!$B324:$DY324,PRODUCE!$EB$57:$IY$57)</f>
        <v>0</v>
      </c>
      <c r="SQ327" s="56"/>
      <c r="SR327" s="242">
        <f t="shared" si="2405"/>
        <v>0</v>
      </c>
      <c r="SS327" s="242">
        <f t="shared" si="2406"/>
        <v>32</v>
      </c>
      <c r="ST327" s="56"/>
      <c r="SW327" s="55">
        <f t="shared" si="2407"/>
        <v>46298</v>
      </c>
      <c r="SX327" s="56"/>
      <c r="SY327" s="242">
        <f>SUMPRODUCT(PRODUCE!$B324:$DY324,PRODUCE!$EB$57:$IY$57)</f>
        <v>0</v>
      </c>
      <c r="SZ327" s="56"/>
      <c r="TA327" s="242">
        <f t="shared" si="2408"/>
        <v>0</v>
      </c>
      <c r="TB327" s="242">
        <f t="shared" si="2409"/>
        <v>0</v>
      </c>
      <c r="TC327" s="56"/>
      <c r="TF327" s="55">
        <f t="shared" si="2410"/>
        <v>46298</v>
      </c>
      <c r="TG327" s="56"/>
      <c r="TH327" s="242">
        <f>SUMPRODUCT(PRODUCE!$B324:$DY324,PRODUCE!$EB$57:$IY$57)</f>
        <v>0</v>
      </c>
      <c r="TI327" s="56"/>
      <c r="TJ327" s="242">
        <f t="shared" si="2411"/>
        <v>0</v>
      </c>
      <c r="TK327" s="242">
        <f t="shared" si="2412"/>
        <v>0</v>
      </c>
      <c r="TL327" s="56"/>
      <c r="TO327" s="55">
        <f t="shared" si="2413"/>
        <v>46298</v>
      </c>
      <c r="TP327" s="56"/>
      <c r="TQ327" s="242">
        <f>SUMPRODUCT(PRODUCE!$B324:$DY324,PRODUCE!$EB$57:$IY$57)</f>
        <v>0</v>
      </c>
      <c r="TR327" s="56"/>
      <c r="TS327" s="242">
        <f t="shared" si="2414"/>
        <v>0</v>
      </c>
      <c r="TT327" s="242">
        <f t="shared" si="2415"/>
        <v>0</v>
      </c>
      <c r="TU327" s="56"/>
      <c r="TX327" s="55">
        <f t="shared" si="2416"/>
        <v>46298</v>
      </c>
      <c r="TY327" s="56"/>
      <c r="TZ327" s="242">
        <f>SUMPRODUCT(PRODUCE!$B324:$DY324,PRODUCE!$EB$57:$IY$57)</f>
        <v>0</v>
      </c>
      <c r="UA327" s="56"/>
      <c r="UB327" s="242">
        <f t="shared" si="2417"/>
        <v>0</v>
      </c>
      <c r="UC327" s="242">
        <f t="shared" si="2418"/>
        <v>46.799999999999983</v>
      </c>
      <c r="UD327" s="56"/>
      <c r="UG327" s="55">
        <f t="shared" si="2419"/>
        <v>46298</v>
      </c>
      <c r="UH327" s="56"/>
      <c r="UI327" s="242">
        <f>SUMPRODUCT(PRODUCE!$B324:$DY324,PRODUCE!$EB$57:$IY$57)</f>
        <v>0</v>
      </c>
      <c r="UJ327" s="56"/>
      <c r="UK327" s="242">
        <f t="shared" si="2420"/>
        <v>0</v>
      </c>
      <c r="UL327" s="242">
        <f t="shared" si="2421"/>
        <v>204</v>
      </c>
      <c r="UM327" s="56"/>
      <c r="UP327" s="55">
        <f t="shared" si="2422"/>
        <v>46298</v>
      </c>
      <c r="UQ327" s="56"/>
      <c r="UR327" s="242">
        <f>SUMPRODUCT(PRODUCE!$B324:$DY324,PRODUCE!$EB$57:$IY$57)</f>
        <v>0</v>
      </c>
      <c r="US327" s="56"/>
      <c r="UT327" s="242">
        <f t="shared" si="2423"/>
        <v>0</v>
      </c>
      <c r="UU327" s="242">
        <f t="shared" si="2424"/>
        <v>202.5</v>
      </c>
      <c r="UV327" s="56"/>
      <c r="UY327" s="55">
        <f t="shared" si="2425"/>
        <v>46298</v>
      </c>
      <c r="UZ327" s="56"/>
      <c r="VA327" s="242">
        <f>SUMPRODUCT(PRODUCE!$B324:$DY324,PRODUCE!$EB$57:$IY$57)</f>
        <v>0</v>
      </c>
      <c r="VB327" s="56"/>
      <c r="VC327" s="242">
        <f t="shared" si="2426"/>
        <v>0</v>
      </c>
      <c r="VD327" s="242">
        <f t="shared" si="2427"/>
        <v>41.600000000000023</v>
      </c>
      <c r="VE327" s="56"/>
      <c r="VH327" s="55">
        <f t="shared" si="2428"/>
        <v>46298</v>
      </c>
      <c r="VI327" s="56"/>
      <c r="VJ327" s="242">
        <f>SUMPRODUCT(PRODUCE!$B324:$DY324,PRODUCE!$EB$57:$IY$57)</f>
        <v>0</v>
      </c>
      <c r="VK327" s="56"/>
      <c r="VL327" s="242">
        <f t="shared" si="2429"/>
        <v>0</v>
      </c>
      <c r="VM327" s="242">
        <f t="shared" si="2430"/>
        <v>210</v>
      </c>
      <c r="VN327" s="56"/>
      <c r="VQ327" s="55">
        <f t="shared" si="2431"/>
        <v>46298</v>
      </c>
      <c r="VR327" s="56"/>
      <c r="VS327" s="242">
        <f>SUMPRODUCT(PRODUCE!$B324:$DY324,PRODUCE!$EB$57:$IY$57)</f>
        <v>0</v>
      </c>
      <c r="VT327" s="56"/>
      <c r="VU327" s="242">
        <f t="shared" si="2432"/>
        <v>0</v>
      </c>
      <c r="VV327" s="242">
        <f t="shared" si="2433"/>
        <v>0</v>
      </c>
      <c r="VW327" s="56"/>
      <c r="VZ327" s="55">
        <f t="shared" si="2434"/>
        <v>46298</v>
      </c>
      <c r="WA327" s="56"/>
      <c r="WB327" s="242">
        <f>SUMPRODUCT(PRODUCE!$B324:$DY324,PRODUCE!$EB$57:$IY$57)</f>
        <v>0</v>
      </c>
      <c r="WC327" s="56"/>
      <c r="WD327" s="242">
        <f t="shared" si="2435"/>
        <v>0</v>
      </c>
      <c r="WE327" s="242">
        <f t="shared" si="2436"/>
        <v>0</v>
      </c>
      <c r="WF327" s="56"/>
      <c r="WI327" s="55">
        <f t="shared" si="2437"/>
        <v>46298</v>
      </c>
      <c r="WJ327" s="56"/>
      <c r="WK327" s="242">
        <f>SUMPRODUCT(PRODUCE!$B324:$DY324,PRODUCE!$EB$57:$IY$57)</f>
        <v>0</v>
      </c>
      <c r="WL327" s="56"/>
      <c r="WM327" s="242">
        <f t="shared" si="2438"/>
        <v>0</v>
      </c>
      <c r="WN327" s="242">
        <f t="shared" si="2439"/>
        <v>1057</v>
      </c>
      <c r="WO327" s="56"/>
      <c r="WR327" s="55">
        <f t="shared" si="2440"/>
        <v>46298</v>
      </c>
      <c r="WS327" s="56"/>
      <c r="WT327" s="242">
        <f>SUMPRODUCT(PRODUCE!$B324:$DY324,PRODUCE!$EB$57:$IY$57)</f>
        <v>0</v>
      </c>
      <c r="WU327" s="56"/>
      <c r="WV327" s="242">
        <f t="shared" si="2441"/>
        <v>0</v>
      </c>
      <c r="WW327" s="242">
        <f t="shared" si="2442"/>
        <v>0</v>
      </c>
      <c r="WX327" s="56"/>
      <c r="XA327" s="55">
        <f t="shared" si="2443"/>
        <v>46298</v>
      </c>
      <c r="XB327" s="56"/>
      <c r="XC327" s="242">
        <f>SUMPRODUCT(PRODUCE!$B324:$DY324,PRODUCE!$EB$57:$IY$57)</f>
        <v>0</v>
      </c>
      <c r="XD327" s="56"/>
      <c r="XE327" s="242">
        <f t="shared" si="2444"/>
        <v>0</v>
      </c>
      <c r="XF327" s="242">
        <f t="shared" si="2445"/>
        <v>7507</v>
      </c>
      <c r="XG327" s="56"/>
      <c r="XJ327" s="55">
        <f t="shared" si="2446"/>
        <v>46298</v>
      </c>
      <c r="XK327" s="56"/>
      <c r="XL327" s="242">
        <f>SUMPRODUCT(PRODUCE!$B324:$DY324,PRODUCE!$EB$57:$IY$57)</f>
        <v>0</v>
      </c>
      <c r="XM327" s="56"/>
      <c r="XN327" s="242">
        <f t="shared" si="2447"/>
        <v>0</v>
      </c>
      <c r="XO327" s="242">
        <f t="shared" si="2448"/>
        <v>4252</v>
      </c>
      <c r="XP327" s="56"/>
      <c r="XS327" s="55">
        <f t="shared" si="2449"/>
        <v>46298</v>
      </c>
      <c r="XT327" s="56"/>
      <c r="XU327" s="242">
        <f>SUMPRODUCT(PRODUCE!$B324:$DY324,PRODUCE!$EB$57:$IY$57)</f>
        <v>0</v>
      </c>
      <c r="XV327" s="56"/>
      <c r="XW327" s="242">
        <f t="shared" si="2450"/>
        <v>0</v>
      </c>
      <c r="XX327" s="242">
        <f t="shared" si="2451"/>
        <v>2179</v>
      </c>
      <c r="XY327" s="56"/>
      <c r="YB327" s="55">
        <f t="shared" si="2452"/>
        <v>46298</v>
      </c>
      <c r="YC327" s="56"/>
      <c r="YD327" s="242">
        <f>SUMPRODUCT(PRODUCE!$B324:$DY324,PRODUCE!$EB$57:$IY$57)</f>
        <v>0</v>
      </c>
      <c r="YE327" s="56"/>
      <c r="YF327" s="242">
        <f t="shared" si="2453"/>
        <v>0</v>
      </c>
      <c r="YG327" s="242">
        <f t="shared" si="2454"/>
        <v>4019</v>
      </c>
      <c r="YH327" s="56"/>
      <c r="YK327" s="55">
        <f t="shared" si="2455"/>
        <v>46298</v>
      </c>
      <c r="YL327" s="56"/>
      <c r="YM327" s="242">
        <f>SUMPRODUCT(PRODUCE!$B324:$DY324,PRODUCE!$EB$57:$IY$57)</f>
        <v>0</v>
      </c>
      <c r="YN327" s="56"/>
      <c r="YO327" s="242">
        <f t="shared" si="2456"/>
        <v>0</v>
      </c>
      <c r="YP327" s="242">
        <f t="shared" si="2457"/>
        <v>-218</v>
      </c>
      <c r="YQ327" s="56"/>
      <c r="YT327" s="55">
        <f t="shared" si="2458"/>
        <v>46298</v>
      </c>
      <c r="YU327" s="56"/>
      <c r="YV327" s="242">
        <f>SUMPRODUCT(PRODUCE!$B324:$DY324,PRODUCE!$EB$57:$IY$57)</f>
        <v>0</v>
      </c>
      <c r="YW327" s="56"/>
      <c r="YX327" s="242">
        <f t="shared" si="2459"/>
        <v>0</v>
      </c>
      <c r="YY327" s="242">
        <f t="shared" si="2460"/>
        <v>0</v>
      </c>
      <c r="YZ327" s="56"/>
      <c r="ZC327" s="55">
        <f t="shared" si="2461"/>
        <v>46298</v>
      </c>
      <c r="ZD327" s="56"/>
      <c r="ZE327" s="242">
        <f>SUMPRODUCT(PRODUCE!$B324:$DY324,PRODUCE!$EB$57:$IY$57)</f>
        <v>0</v>
      </c>
      <c r="ZF327" s="56"/>
      <c r="ZG327" s="242">
        <f t="shared" si="2462"/>
        <v>0</v>
      </c>
      <c r="ZH327" s="242">
        <f t="shared" si="2463"/>
        <v>0</v>
      </c>
      <c r="ZI327" s="56"/>
      <c r="ZL327" s="55">
        <f t="shared" si="2464"/>
        <v>46298</v>
      </c>
      <c r="ZM327" s="56"/>
      <c r="ZN327" s="242">
        <f>SUMPRODUCT(PRODUCE!$B324:$DY324,PRODUCE!$EB$57:$IY$57)</f>
        <v>0</v>
      </c>
      <c r="ZO327" s="56"/>
      <c r="ZP327" s="242">
        <f t="shared" si="2465"/>
        <v>0</v>
      </c>
      <c r="ZQ327" s="242">
        <f t="shared" si="2466"/>
        <v>0</v>
      </c>
      <c r="ZR327" s="56"/>
      <c r="ZU327" s="55">
        <f t="shared" si="2467"/>
        <v>46298</v>
      </c>
      <c r="ZV327" s="56"/>
      <c r="ZW327" s="242">
        <f>SUMPRODUCT(PRODUCE!$B324:$DY324,PRODUCE!$EB$57:$IY$57)</f>
        <v>0</v>
      </c>
      <c r="ZX327" s="56"/>
      <c r="ZY327" s="242">
        <f t="shared" si="2468"/>
        <v>0</v>
      </c>
      <c r="ZZ327" s="242">
        <f t="shared" si="2469"/>
        <v>0</v>
      </c>
      <c r="AAA327" s="56"/>
      <c r="AAD327" s="55">
        <f t="shared" si="2470"/>
        <v>46298</v>
      </c>
      <c r="AAE327" s="56"/>
      <c r="AAF327" s="242">
        <f>SUMPRODUCT(PRODUCE!$B324:$DY324,PRODUCE!$EB$57:$IY$57)</f>
        <v>0</v>
      </c>
      <c r="AAG327" s="56"/>
      <c r="AAH327" s="242">
        <f t="shared" si="2471"/>
        <v>0</v>
      </c>
      <c r="AAI327" s="242">
        <f t="shared" si="2472"/>
        <v>0</v>
      </c>
      <c r="AAJ327" s="56"/>
      <c r="AAM327" s="55">
        <f t="shared" si="2473"/>
        <v>46298</v>
      </c>
      <c r="AAN327" s="56"/>
      <c r="AAO327" s="242">
        <f>SUMPRODUCT(PRODUCE!$B324:$DY324,PRODUCE!$EB$57:$IY$57)</f>
        <v>0</v>
      </c>
      <c r="AAP327" s="56"/>
      <c r="AAQ327" s="242">
        <f t="shared" si="2474"/>
        <v>0</v>
      </c>
      <c r="AAR327" s="242">
        <f t="shared" si="2475"/>
        <v>0</v>
      </c>
      <c r="AAS327" s="56"/>
      <c r="AAV327" s="55">
        <f t="shared" si="2476"/>
        <v>46298</v>
      </c>
      <c r="AAW327" s="56"/>
      <c r="AAX327" s="242">
        <f>SUMPRODUCT(PRODUCE!$B324:$DY324,PRODUCE!$EB$57:$IY$57)</f>
        <v>0</v>
      </c>
      <c r="AAY327" s="56"/>
      <c r="AAZ327" s="242">
        <f t="shared" si="2477"/>
        <v>0</v>
      </c>
      <c r="ABA327" s="242">
        <f t="shared" si="2478"/>
        <v>0</v>
      </c>
      <c r="ABB327" s="56"/>
      <c r="ABE327" s="55">
        <f t="shared" si="2479"/>
        <v>46298</v>
      </c>
      <c r="ABF327" s="56"/>
      <c r="ABG327" s="242">
        <f>SUMPRODUCT(PRODUCE!$B324:$DY324,PRODUCE!$EB$57:$IY$57)</f>
        <v>0</v>
      </c>
      <c r="ABH327" s="56"/>
      <c r="ABI327" s="242">
        <f t="shared" si="2480"/>
        <v>0</v>
      </c>
      <c r="ABJ327" s="242">
        <f t="shared" si="2481"/>
        <v>0</v>
      </c>
      <c r="ABK327" s="56"/>
    </row>
    <row r="328" spans="1:739" s="54" customFormat="1" ht="15" customHeight="1" outlineLevel="1">
      <c r="B328" s="478"/>
      <c r="C328" s="55">
        <v>46299</v>
      </c>
      <c r="D328" s="56"/>
      <c r="E328" s="57">
        <f>SUMPRODUCT(PRODUCE!$B325:$DY325,PRODUCE!$EB$7:$IY$7)</f>
        <v>0</v>
      </c>
      <c r="F328" s="56"/>
      <c r="G328" s="57">
        <f t="shared" si="2237"/>
        <v>0</v>
      </c>
      <c r="H328" s="57">
        <f t="shared" si="2238"/>
        <v>236936.6</v>
      </c>
      <c r="I328" s="289"/>
      <c r="L328" s="55">
        <f t="shared" si="2239"/>
        <v>46299</v>
      </c>
      <c r="M328" s="56"/>
      <c r="N328" s="59">
        <f>SUMPRODUCT(PRODUCE!$B325:$DY325,PRODUCE!$EB$8:$IY$8)</f>
        <v>0</v>
      </c>
      <c r="O328" s="56"/>
      <c r="P328" s="59">
        <f t="shared" si="2240"/>
        <v>0</v>
      </c>
      <c r="Q328" s="59">
        <f t="shared" si="2241"/>
        <v>53017.600000000071</v>
      </c>
      <c r="R328" s="56"/>
      <c r="U328" s="55">
        <f t="shared" si="2242"/>
        <v>46299</v>
      </c>
      <c r="V328" s="56"/>
      <c r="W328" s="60">
        <f>SUMPRODUCT(PRODUCE!$B325:$DY325,PRODUCE!$EB$9:$IY$9)</f>
        <v>0</v>
      </c>
      <c r="X328" s="56"/>
      <c r="Y328" s="60">
        <f t="shared" si="2243"/>
        <v>0</v>
      </c>
      <c r="Z328" s="60">
        <f t="shared" si="2244"/>
        <v>42674.199999999968</v>
      </c>
      <c r="AA328" s="56"/>
      <c r="AD328" s="55">
        <f t="shared" si="2245"/>
        <v>46299</v>
      </c>
      <c r="AE328" s="56"/>
      <c r="AF328" s="61">
        <f>SUMPRODUCT(PRODUCE!$B325:$DY325,PRODUCE!$EB$10:$IY$10)</f>
        <v>0</v>
      </c>
      <c r="AG328" s="56"/>
      <c r="AH328" s="61">
        <f t="shared" si="2246"/>
        <v>0</v>
      </c>
      <c r="AI328" s="61">
        <f t="shared" si="2247"/>
        <v>4522.2000000000189</v>
      </c>
      <c r="AJ328" s="56"/>
      <c r="AM328" s="55">
        <f t="shared" si="2248"/>
        <v>46299</v>
      </c>
      <c r="AN328" s="422"/>
      <c r="AO328" s="444">
        <f>SUMPRODUCT(PRODUCE!$B325:$DY325,PRODUCE!$EB$11:$IY$11)</f>
        <v>0</v>
      </c>
      <c r="AP328" s="422"/>
      <c r="AQ328" s="444">
        <f t="shared" si="2249"/>
        <v>0</v>
      </c>
      <c r="AR328" s="444">
        <f t="shared" si="2250"/>
        <v>0</v>
      </c>
      <c r="AS328" s="56"/>
      <c r="AV328" s="55">
        <f t="shared" si="2251"/>
        <v>46299</v>
      </c>
      <c r="AW328" s="56"/>
      <c r="AX328" s="62">
        <f>SUMPRODUCT(PRODUCE!$B325:$DY325,PRODUCE!$EB$12:$IY$12)</f>
        <v>0</v>
      </c>
      <c r="AY328" s="56"/>
      <c r="AZ328" s="62">
        <f t="shared" si="2252"/>
        <v>0</v>
      </c>
      <c r="BA328" s="62">
        <f t="shared" si="2253"/>
        <v>124.99999999999523</v>
      </c>
      <c r="BB328" s="56"/>
      <c r="BE328" s="55">
        <f t="shared" si="2254"/>
        <v>46299</v>
      </c>
      <c r="BF328" s="56"/>
      <c r="BG328" s="63">
        <f>SUMPRODUCT(PRODUCE!$B325:$DY325,PRODUCE!$EB$13:$IY$13)</f>
        <v>0</v>
      </c>
      <c r="BH328" s="56"/>
      <c r="BI328" s="63">
        <f t="shared" si="2255"/>
        <v>0</v>
      </c>
      <c r="BJ328" s="63">
        <f t="shared" si="2256"/>
        <v>26151.899999999998</v>
      </c>
      <c r="BK328" s="56"/>
      <c r="BN328" s="55">
        <f t="shared" si="2257"/>
        <v>46299</v>
      </c>
      <c r="BO328" s="56"/>
      <c r="BP328" s="64">
        <f>SUMPRODUCT(PRODUCE!$B325:$DY325,PRODUCE!$EB$14:$IY$14)</f>
        <v>0</v>
      </c>
      <c r="BQ328" s="56"/>
      <c r="BR328" s="64">
        <f t="shared" si="2258"/>
        <v>0</v>
      </c>
      <c r="BS328" s="64">
        <f t="shared" si="2259"/>
        <v>0</v>
      </c>
      <c r="BT328" s="56"/>
      <c r="BW328" s="55">
        <f t="shared" si="2260"/>
        <v>46299</v>
      </c>
      <c r="BX328" s="56"/>
      <c r="BY328" s="65">
        <f>SUMPRODUCT(PRODUCE!$B325:$DY325,PRODUCE!$EB$15:$IY$15)</f>
        <v>0</v>
      </c>
      <c r="BZ328" s="56"/>
      <c r="CA328" s="65">
        <f t="shared" si="2261"/>
        <v>0</v>
      </c>
      <c r="CB328" s="65">
        <f t="shared" si="2262"/>
        <v>2097.3399999999992</v>
      </c>
      <c r="CC328" s="56"/>
      <c r="CF328" s="55">
        <f t="shared" si="2263"/>
        <v>46299</v>
      </c>
      <c r="CG328" s="56"/>
      <c r="CH328" s="66">
        <f>SUMPRODUCT(PRODUCE!$B325:$DY325,PRODUCE!$EB$16:$IY$16)</f>
        <v>0</v>
      </c>
      <c r="CI328" s="56"/>
      <c r="CJ328" s="66">
        <f t="shared" si="2264"/>
        <v>0</v>
      </c>
      <c r="CK328" s="66">
        <f t="shared" si="2265"/>
        <v>-10277.079999999998</v>
      </c>
      <c r="CL328" s="56"/>
      <c r="CO328" s="55">
        <f t="shared" si="2266"/>
        <v>46299</v>
      </c>
      <c r="CP328" s="422"/>
      <c r="CQ328" s="470">
        <f>SUMPRODUCT(PRODUCE!$B325:$DY325,PRODUCE!$EB$17:$IY$17)</f>
        <v>0</v>
      </c>
      <c r="CR328" s="422"/>
      <c r="CS328" s="470">
        <f t="shared" si="2267"/>
        <v>0</v>
      </c>
      <c r="CT328" s="470">
        <f t="shared" si="2268"/>
        <v>0</v>
      </c>
      <c r="CU328" s="56"/>
      <c r="CX328" s="55">
        <f t="shared" si="2269"/>
        <v>46299</v>
      </c>
      <c r="CY328" s="56"/>
      <c r="CZ328" s="133">
        <f>SUMPRODUCT(PRODUCE!$B325:$DY325,PRODUCE!$EB$18:$IY$18)</f>
        <v>0</v>
      </c>
      <c r="DA328" s="56"/>
      <c r="DB328" s="133">
        <f t="shared" si="2270"/>
        <v>0</v>
      </c>
      <c r="DC328" s="133">
        <f t="shared" si="2271"/>
        <v>27438.200000000012</v>
      </c>
      <c r="DD328" s="56"/>
      <c r="DG328" s="55">
        <f t="shared" si="2272"/>
        <v>46299</v>
      </c>
      <c r="DH328" s="56"/>
      <c r="DI328" s="147">
        <f>SUMPRODUCT(PRODUCE!$B325:$DY325,PRODUCE!$EB$19:$IY$19)</f>
        <v>0</v>
      </c>
      <c r="DJ328" s="56"/>
      <c r="DK328" s="147">
        <f t="shared" si="2273"/>
        <v>0</v>
      </c>
      <c r="DL328" s="147">
        <f t="shared" si="2274"/>
        <v>18782.299999999981</v>
      </c>
      <c r="DM328" s="56"/>
      <c r="DP328" s="55">
        <f t="shared" si="2275"/>
        <v>46299</v>
      </c>
      <c r="DQ328" s="56"/>
      <c r="DR328" s="57">
        <f>SUMPRODUCT(PRODUCE!$B325:$DY325,PRODUCE!$EB$20:$IY$20)</f>
        <v>0</v>
      </c>
      <c r="DS328" s="56"/>
      <c r="DT328" s="57">
        <f t="shared" si="2276"/>
        <v>0</v>
      </c>
      <c r="DU328" s="57">
        <f t="shared" si="2277"/>
        <v>5800</v>
      </c>
      <c r="DV328" s="56"/>
      <c r="DY328" s="55">
        <f t="shared" si="2278"/>
        <v>46299</v>
      </c>
      <c r="DZ328" s="56"/>
      <c r="EA328" s="157">
        <f>SUMPRODUCT(PRODUCE!$B325:$DY325,PRODUCE!$EB$21:$IY$21)</f>
        <v>0</v>
      </c>
      <c r="EB328" s="56"/>
      <c r="EC328" s="157">
        <f t="shared" si="2279"/>
        <v>0</v>
      </c>
      <c r="ED328" s="157">
        <f t="shared" si="2280"/>
        <v>0</v>
      </c>
      <c r="EE328" s="56"/>
      <c r="EH328" s="55">
        <f t="shared" si="2281"/>
        <v>46299</v>
      </c>
      <c r="EI328" s="56"/>
      <c r="EJ328" s="162">
        <f>SUMPRODUCT(PRODUCE!$B325:$DY325,PRODUCE!$EB$22:$IY$22)</f>
        <v>0</v>
      </c>
      <c r="EK328" s="56"/>
      <c r="EL328" s="162">
        <f t="shared" si="2282"/>
        <v>0</v>
      </c>
      <c r="EM328" s="162">
        <f t="shared" si="2283"/>
        <v>0</v>
      </c>
      <c r="EN328" s="56"/>
      <c r="EQ328" s="55">
        <f t="shared" si="2284"/>
        <v>46299</v>
      </c>
      <c r="ER328" s="56"/>
      <c r="ES328" s="135">
        <f>SUMPRODUCT(PRODUCE!$B325:$DY325,PRODUCE!$EB$23:$IY$23)</f>
        <v>0</v>
      </c>
      <c r="ET328" s="56"/>
      <c r="EU328" s="135">
        <f t="shared" si="2285"/>
        <v>0</v>
      </c>
      <c r="EV328" s="135">
        <f t="shared" si="2286"/>
        <v>0</v>
      </c>
      <c r="EW328" s="56"/>
      <c r="EZ328" s="55">
        <f t="shared" si="2287"/>
        <v>46299</v>
      </c>
      <c r="FA328" s="56"/>
      <c r="FB328" s="175">
        <f>SUMPRODUCT(PRODUCE!$B325:$DY325,PRODUCE!$EB$24:$IY$24)</f>
        <v>0</v>
      </c>
      <c r="FC328" s="56"/>
      <c r="FD328" s="175">
        <f t="shared" si="2288"/>
        <v>0</v>
      </c>
      <c r="FE328" s="175">
        <f t="shared" si="2289"/>
        <v>0</v>
      </c>
      <c r="FF328" s="56"/>
      <c r="FI328" s="55">
        <f t="shared" si="2290"/>
        <v>46299</v>
      </c>
      <c r="FJ328" s="56"/>
      <c r="FK328" s="183">
        <f>SUMPRODUCT(PRODUCE!$B325:$DY325,PRODUCE!$EB$25:$IY$25)</f>
        <v>0</v>
      </c>
      <c r="FL328" s="56"/>
      <c r="FM328" s="183">
        <f t="shared" si="2291"/>
        <v>0</v>
      </c>
      <c r="FN328" s="183">
        <f t="shared" si="2292"/>
        <v>0</v>
      </c>
      <c r="FO328" s="56"/>
      <c r="FR328" s="55">
        <f t="shared" si="2293"/>
        <v>46299</v>
      </c>
      <c r="FS328" s="56"/>
      <c r="FT328" s="186">
        <f>SUMPRODUCT(PRODUCE!$B325:$DY325,PRODUCE!$EB$26:$IY$26)</f>
        <v>0</v>
      </c>
      <c r="FU328" s="56"/>
      <c r="FV328" s="186">
        <f t="shared" si="2294"/>
        <v>0</v>
      </c>
      <c r="FW328" s="186">
        <f t="shared" si="2295"/>
        <v>2020</v>
      </c>
      <c r="FX328" s="56"/>
      <c r="GA328" s="55">
        <f t="shared" si="2296"/>
        <v>46299</v>
      </c>
      <c r="GB328" s="56"/>
      <c r="GC328" s="137">
        <f>SUMPRODUCT(PRODUCE!$B325:$DY325,PRODUCE!$EB$27:$IY$27)</f>
        <v>0</v>
      </c>
      <c r="GD328" s="56"/>
      <c r="GE328" s="137">
        <f t="shared" si="2297"/>
        <v>0</v>
      </c>
      <c r="GF328" s="137">
        <f t="shared" si="2298"/>
        <v>960</v>
      </c>
      <c r="GG328" s="56"/>
      <c r="GI328" s="23"/>
      <c r="GJ328" s="55">
        <f t="shared" si="2299"/>
        <v>46299</v>
      </c>
      <c r="GK328" s="56"/>
      <c r="GL328" s="199">
        <f>SUMPRODUCT(PRODUCE!$B325:$DY325,PRODUCE!$EB$28:$IY$28)</f>
        <v>0</v>
      </c>
      <c r="GM328" s="56"/>
      <c r="GN328" s="199">
        <f t="shared" si="2300"/>
        <v>0</v>
      </c>
      <c r="GO328" s="199">
        <f t="shared" si="2301"/>
        <v>1760</v>
      </c>
      <c r="GP328" s="56"/>
      <c r="GS328" s="55">
        <f t="shared" si="2302"/>
        <v>46299</v>
      </c>
      <c r="GT328" s="56"/>
      <c r="GU328" s="195">
        <f>SUMPRODUCT(PRODUCE!$B325:$DY325,PRODUCE!$EB$29:$IY$29)</f>
        <v>0</v>
      </c>
      <c r="GV328" s="56"/>
      <c r="GW328" s="195">
        <f>GU328-GV328</f>
        <v>0</v>
      </c>
      <c r="GX328" s="195">
        <f t="shared" si="2304"/>
        <v>400</v>
      </c>
      <c r="GY328" s="56"/>
      <c r="HB328" s="55">
        <f t="shared" si="2305"/>
        <v>46299</v>
      </c>
      <c r="HC328" s="56"/>
      <c r="HD328" s="191">
        <f>SUMPRODUCT(PRODUCE!$B325:$DY325,PRODUCE!$EB$30:$IY$30)</f>
        <v>0</v>
      </c>
      <c r="HE328" s="56"/>
      <c r="HF328" s="191">
        <f t="shared" si="2306"/>
        <v>0</v>
      </c>
      <c r="HG328" s="191">
        <f t="shared" si="2307"/>
        <v>3600</v>
      </c>
      <c r="HH328" s="56"/>
      <c r="HK328" s="55">
        <f t="shared" si="2308"/>
        <v>46299</v>
      </c>
      <c r="HL328" s="56"/>
      <c r="HM328" s="63">
        <f>SUMPRODUCT(PRODUCE!$B325:$DY325,PRODUCE!$EB$31:$IY$31)</f>
        <v>0</v>
      </c>
      <c r="HN328" s="56"/>
      <c r="HO328" s="63">
        <f t="shared" si="2309"/>
        <v>0</v>
      </c>
      <c r="HP328" s="63">
        <f t="shared" si="2310"/>
        <v>0</v>
      </c>
      <c r="HQ328" s="56"/>
      <c r="HU328" s="55">
        <f t="shared" si="2311"/>
        <v>46299</v>
      </c>
      <c r="HV328" s="56"/>
      <c r="HW328" s="242">
        <f>SUMPRODUCT(PRODUCE!$B325:$DY325,PRODUCE!$EB$32:$IY$32)</f>
        <v>0</v>
      </c>
      <c r="HX328" s="56"/>
      <c r="HY328" s="242">
        <f t="shared" si="2312"/>
        <v>0</v>
      </c>
      <c r="HZ328" s="242">
        <f t="shared" si="2313"/>
        <v>6120</v>
      </c>
      <c r="IA328" s="56"/>
      <c r="ID328" s="55">
        <f t="shared" si="2314"/>
        <v>46299</v>
      </c>
      <c r="IE328" s="56"/>
      <c r="IF328" s="242">
        <f>SUMPRODUCT(PRODUCE!$B325:$DY325,PRODUCE!$EB$33:$IY$33)</f>
        <v>0</v>
      </c>
      <c r="IG328" s="56"/>
      <c r="IH328" s="242">
        <f t="shared" si="2315"/>
        <v>0</v>
      </c>
      <c r="II328" s="242">
        <f t="shared" si="2316"/>
        <v>0</v>
      </c>
      <c r="IJ328" s="56"/>
      <c r="IM328" s="55">
        <f t="shared" si="2317"/>
        <v>46299</v>
      </c>
      <c r="IN328" s="56"/>
      <c r="IO328" s="242">
        <f>SUMPRODUCT(PRODUCE!$B325:$DY325,PRODUCE!$EB$34:$IY$34)</f>
        <v>0</v>
      </c>
      <c r="IP328" s="56"/>
      <c r="IQ328" s="242">
        <f t="shared" si="2318"/>
        <v>0</v>
      </c>
      <c r="IR328" s="242">
        <f t="shared" si="2319"/>
        <v>0</v>
      </c>
      <c r="IS328" s="56"/>
      <c r="IV328" s="55">
        <f t="shared" si="2320"/>
        <v>46299</v>
      </c>
      <c r="IW328" s="56"/>
      <c r="IX328" s="242">
        <f>SUMPRODUCT(PRODUCE!$B325:$DY325,PRODUCE!$EB$35:$IY$35)</f>
        <v>0</v>
      </c>
      <c r="IY328" s="56"/>
      <c r="IZ328" s="242">
        <f t="shared" si="2321"/>
        <v>0</v>
      </c>
      <c r="JA328" s="242">
        <f t="shared" si="2322"/>
        <v>2820</v>
      </c>
      <c r="JB328" s="56"/>
      <c r="JE328" s="55">
        <f t="shared" si="2323"/>
        <v>46299</v>
      </c>
      <c r="JF328" s="56"/>
      <c r="JG328" s="242">
        <f>SUMPRODUCT(PRODUCE!$B325:$DY325,PRODUCE!$EB$36:$IY$36)</f>
        <v>0</v>
      </c>
      <c r="JH328" s="56"/>
      <c r="JI328" s="242">
        <f t="shared" si="2324"/>
        <v>0</v>
      </c>
      <c r="JJ328" s="242">
        <f t="shared" si="2325"/>
        <v>0</v>
      </c>
      <c r="JK328" s="56"/>
      <c r="JN328" s="55">
        <f t="shared" si="2326"/>
        <v>46299</v>
      </c>
      <c r="JO328" s="56"/>
      <c r="JP328" s="242">
        <f>SUMPRODUCT(PRODUCE!$B325:$DY325,PRODUCE!$EB$37:$IY$37)</f>
        <v>0</v>
      </c>
      <c r="JQ328" s="56"/>
      <c r="JR328" s="242">
        <f t="shared" si="2327"/>
        <v>0</v>
      </c>
      <c r="JS328" s="242">
        <f t="shared" si="2328"/>
        <v>0</v>
      </c>
      <c r="JT328" s="56"/>
      <c r="JW328" s="55">
        <f t="shared" si="2329"/>
        <v>46299</v>
      </c>
      <c r="JX328" s="56"/>
      <c r="JY328" s="242">
        <f>SUMPRODUCT(PRODUCE!$B325:$DY325,PRODUCE!$EB$38:$IY$38)</f>
        <v>0</v>
      </c>
      <c r="JZ328" s="56"/>
      <c r="KA328" s="242">
        <f t="shared" si="2330"/>
        <v>0</v>
      </c>
      <c r="KB328" s="242">
        <f t="shared" si="2331"/>
        <v>2540</v>
      </c>
      <c r="KC328" s="56"/>
      <c r="KF328" s="55">
        <f t="shared" si="2332"/>
        <v>46299</v>
      </c>
      <c r="KG328" s="56"/>
      <c r="KH328" s="242">
        <f>SUMPRODUCT(PRODUCE!$B325:$DY325,PRODUCE!$EB$39:$IY$39)</f>
        <v>0</v>
      </c>
      <c r="KI328" s="56"/>
      <c r="KJ328" s="242">
        <f t="shared" si="2333"/>
        <v>0</v>
      </c>
      <c r="KK328" s="242">
        <f t="shared" si="2334"/>
        <v>2359.5</v>
      </c>
      <c r="KL328" s="56"/>
      <c r="KO328" s="55">
        <f t="shared" si="2335"/>
        <v>46299</v>
      </c>
      <c r="KP328" s="56"/>
      <c r="KQ328" s="242">
        <f>SUMPRODUCT(PRODUCE!$B325:$DY325,PRODUCE!$EB$40:$IY$40)</f>
        <v>0</v>
      </c>
      <c r="KR328" s="56"/>
      <c r="KS328" s="242">
        <f t="shared" si="2336"/>
        <v>0</v>
      </c>
      <c r="KT328" s="242">
        <f t="shared" si="2337"/>
        <v>1890</v>
      </c>
      <c r="KU328" s="56"/>
      <c r="KW328" s="23"/>
      <c r="KX328" s="55">
        <f t="shared" si="2338"/>
        <v>46299</v>
      </c>
      <c r="KY328" s="56"/>
      <c r="KZ328" s="242">
        <f>SUMPRODUCT(PRODUCE!$B325:$DY325,PRODUCE!$EB$41:$IY$41)</f>
        <v>0</v>
      </c>
      <c r="LA328" s="56"/>
      <c r="LB328" s="242">
        <f t="shared" si="2339"/>
        <v>0</v>
      </c>
      <c r="LC328" s="242">
        <f t="shared" si="2340"/>
        <v>3690</v>
      </c>
      <c r="LD328" s="56"/>
      <c r="LG328" s="55">
        <f t="shared" si="2341"/>
        <v>46299</v>
      </c>
      <c r="LH328" s="56"/>
      <c r="LI328" s="242">
        <f>SUMPRODUCT(PRODUCE!$B325:$DY325,PRODUCE!$EB$42:$IY$42)</f>
        <v>0</v>
      </c>
      <c r="LJ328" s="56"/>
      <c r="LK328" s="242">
        <f t="shared" si="2342"/>
        <v>0</v>
      </c>
      <c r="LL328" s="242">
        <f t="shared" si="2343"/>
        <v>4000</v>
      </c>
      <c r="LM328" s="56"/>
      <c r="LP328" s="55">
        <f t="shared" si="2344"/>
        <v>46299</v>
      </c>
      <c r="LQ328" s="56"/>
      <c r="LR328" s="242">
        <f>SUMPRODUCT(PRODUCE!$B325:$DY325,PRODUCE!$EB$43:$IY$43)</f>
        <v>0</v>
      </c>
      <c r="LS328" s="56"/>
      <c r="LT328" s="242">
        <f t="shared" si="2345"/>
        <v>0</v>
      </c>
      <c r="LU328" s="242">
        <f t="shared" si="2346"/>
        <v>0</v>
      </c>
      <c r="LV328" s="56"/>
      <c r="LY328" s="55">
        <f t="shared" si="2347"/>
        <v>46299</v>
      </c>
      <c r="LZ328" s="56"/>
      <c r="MA328" s="242">
        <f>SUMPRODUCT(PRODUCE!$B325:$DY325,PRODUCE!$EB$44:$IY$44)</f>
        <v>0</v>
      </c>
      <c r="MB328" s="56"/>
      <c r="MC328" s="242">
        <f t="shared" si="2348"/>
        <v>0</v>
      </c>
      <c r="MD328" s="242">
        <f t="shared" si="2349"/>
        <v>0</v>
      </c>
      <c r="ME328" s="56"/>
      <c r="MH328" s="55">
        <f t="shared" si="2350"/>
        <v>46299</v>
      </c>
      <c r="MI328" s="56"/>
      <c r="MJ328" s="242">
        <f>SUMPRODUCT(PRODUCE!$B325:$DY325,PRODUCE!$EB$45:$IY$45)</f>
        <v>0</v>
      </c>
      <c r="MK328" s="56"/>
      <c r="ML328" s="242">
        <f t="shared" si="2351"/>
        <v>0</v>
      </c>
      <c r="MM328" s="242">
        <f t="shared" si="2352"/>
        <v>0</v>
      </c>
      <c r="MN328" s="56"/>
      <c r="MQ328" s="55">
        <f t="shared" si="2353"/>
        <v>46299</v>
      </c>
      <c r="MR328" s="56"/>
      <c r="MS328" s="242">
        <f>SUMPRODUCT(PRODUCE!$B325:$DY325,PRODUCE!$EB$46:$IY$46)</f>
        <v>0</v>
      </c>
      <c r="MT328" s="56"/>
      <c r="MU328" s="242">
        <f t="shared" si="2354"/>
        <v>0</v>
      </c>
      <c r="MV328" s="242">
        <f t="shared" si="2355"/>
        <v>1625</v>
      </c>
      <c r="MW328" s="56"/>
      <c r="MZ328" s="55">
        <f t="shared" si="2356"/>
        <v>46299</v>
      </c>
      <c r="NA328" s="56"/>
      <c r="NB328" s="242">
        <f>SUMPRODUCT(PRODUCE!$B325:$DY325,PRODUCE!$EB$47:$IY$47)</f>
        <v>0</v>
      </c>
      <c r="NC328" s="56"/>
      <c r="ND328" s="242">
        <f t="shared" si="2357"/>
        <v>0</v>
      </c>
      <c r="NE328" s="242">
        <f t="shared" si="2358"/>
        <v>0</v>
      </c>
      <c r="NF328" s="56"/>
      <c r="NI328" s="55">
        <f t="shared" si="2359"/>
        <v>46299</v>
      </c>
      <c r="NJ328" s="56"/>
      <c r="NK328" s="242">
        <f>SUMPRODUCT(PRODUCE!$B325:$DY325,PRODUCE!$EB$48:$IY$48)</f>
        <v>0</v>
      </c>
      <c r="NL328" s="56"/>
      <c r="NM328" s="242">
        <f t="shared" si="2360"/>
        <v>0</v>
      </c>
      <c r="NN328" s="242">
        <f t="shared" si="2361"/>
        <v>1127</v>
      </c>
      <c r="NO328" s="56"/>
      <c r="NR328" s="55">
        <f t="shared" si="2362"/>
        <v>46299</v>
      </c>
      <c r="NS328" s="56"/>
      <c r="NT328" s="242">
        <f>SUMPRODUCT(PRODUCE!$B325:$DY325,PRODUCE!$EB$49:$IY$49)</f>
        <v>0</v>
      </c>
      <c r="NU328" s="56"/>
      <c r="NV328" s="242">
        <f t="shared" si="2363"/>
        <v>0</v>
      </c>
      <c r="NW328" s="242">
        <f t="shared" si="2364"/>
        <v>3111.9999999999995</v>
      </c>
      <c r="NX328" s="56"/>
      <c r="OA328" s="55">
        <f t="shared" si="2365"/>
        <v>46299</v>
      </c>
      <c r="OB328" s="56"/>
      <c r="OC328" s="242">
        <f>SUMPRODUCT(PRODUCE!$B325:$DY325,PRODUCE!$EB$50:$IY$50)</f>
        <v>0</v>
      </c>
      <c r="OD328" s="56"/>
      <c r="OE328" s="242">
        <f t="shared" si="2366"/>
        <v>0</v>
      </c>
      <c r="OF328" s="242">
        <f t="shared" si="2367"/>
        <v>1680.5</v>
      </c>
      <c r="OG328" s="56"/>
      <c r="OJ328" s="55">
        <f t="shared" si="2368"/>
        <v>46299</v>
      </c>
      <c r="OK328" s="56"/>
      <c r="OL328" s="242">
        <f>SUMPRODUCT(PRODUCE!$B325:$DY325,PRODUCE!$EB$51:$IY$51)</f>
        <v>0</v>
      </c>
      <c r="OM328" s="56"/>
      <c r="ON328" s="242">
        <f t="shared" si="2369"/>
        <v>0</v>
      </c>
      <c r="OO328" s="242">
        <f t="shared" si="2370"/>
        <v>0</v>
      </c>
      <c r="OP328" s="56"/>
      <c r="OS328" s="55">
        <f t="shared" si="2371"/>
        <v>46299</v>
      </c>
      <c r="OT328" s="56"/>
      <c r="OU328" s="242">
        <f>SUMPRODUCT(PRODUCE!$B325:$DY325,PRODUCE!$EB$52:$IY$52)</f>
        <v>0</v>
      </c>
      <c r="OV328" s="56"/>
      <c r="OW328" s="242">
        <f t="shared" si="2372"/>
        <v>0</v>
      </c>
      <c r="OX328" s="242">
        <f t="shared" si="2373"/>
        <v>1482</v>
      </c>
      <c r="OY328" s="56"/>
      <c r="PB328" s="55">
        <f t="shared" si="2374"/>
        <v>46299</v>
      </c>
      <c r="PC328" s="56"/>
      <c r="PD328" s="242">
        <f>SUMPRODUCT(PRODUCE!$B325:$DY325,PRODUCE!$EB$53:$IY$53)</f>
        <v>0</v>
      </c>
      <c r="PE328" s="56"/>
      <c r="PF328" s="242">
        <f t="shared" si="2375"/>
        <v>0</v>
      </c>
      <c r="PG328" s="242">
        <f t="shared" si="2376"/>
        <v>0</v>
      </c>
      <c r="PH328" s="56"/>
      <c r="PK328" s="55">
        <f t="shared" si="2377"/>
        <v>46299</v>
      </c>
      <c r="PL328" s="56"/>
      <c r="PM328" s="242">
        <f>SUMPRODUCT(PRODUCE!$B325:$DY325,PRODUCE!$EB$54:$IY$54)</f>
        <v>0</v>
      </c>
      <c r="PN328" s="56"/>
      <c r="PO328" s="242">
        <f t="shared" si="2378"/>
        <v>0</v>
      </c>
      <c r="PP328" s="242">
        <f t="shared" si="2379"/>
        <v>100</v>
      </c>
      <c r="PQ328" s="56"/>
      <c r="PT328" s="55">
        <f t="shared" si="2380"/>
        <v>46299</v>
      </c>
      <c r="PU328" s="56"/>
      <c r="PV328" s="242">
        <f>SUMPRODUCT(PRODUCE!$B325:$DY325,PRODUCE!$EB$55:$IY$55)</f>
        <v>0</v>
      </c>
      <c r="PW328" s="56"/>
      <c r="PX328" s="242">
        <f t="shared" si="2381"/>
        <v>0</v>
      </c>
      <c r="PY328" s="242">
        <f t="shared" si="2382"/>
        <v>13.960000000000036</v>
      </c>
      <c r="PZ328" s="56"/>
      <c r="QC328" s="55">
        <f t="shared" si="2383"/>
        <v>46299</v>
      </c>
      <c r="QD328" s="56"/>
      <c r="QE328" s="242">
        <f>SUMPRODUCT(PRODUCE!$B325:$DY325,PRODUCE!$EB$56:$IY$56)</f>
        <v>0</v>
      </c>
      <c r="QF328" s="56"/>
      <c r="QG328" s="242">
        <f t="shared" si="2384"/>
        <v>0</v>
      </c>
      <c r="QH328" s="242">
        <f t="shared" si="2385"/>
        <v>548</v>
      </c>
      <c r="QI328" s="56"/>
      <c r="QL328" s="55">
        <f t="shared" si="2386"/>
        <v>46299</v>
      </c>
      <c r="QM328" s="56"/>
      <c r="QN328" s="242">
        <f>SUMPRODUCT(PRODUCE!$B325:$DY325,PRODUCE!$EB$57:$IY$57)</f>
        <v>0</v>
      </c>
      <c r="QO328" s="56"/>
      <c r="QP328" s="242">
        <f t="shared" si="2387"/>
        <v>0</v>
      </c>
      <c r="QQ328" s="242">
        <f t="shared" si="2388"/>
        <v>0</v>
      </c>
      <c r="QR328" s="56"/>
      <c r="QU328" s="55">
        <f t="shared" si="2389"/>
        <v>46299</v>
      </c>
      <c r="QV328" s="56"/>
      <c r="QW328" s="242">
        <f>SUMPRODUCT(PRODUCE!$B325:$DY325,PRODUCE!$EB$57:$IY$57)</f>
        <v>0</v>
      </c>
      <c r="QX328" s="56"/>
      <c r="QY328" s="242">
        <f t="shared" si="2390"/>
        <v>0</v>
      </c>
      <c r="QZ328" s="242">
        <f t="shared" si="2391"/>
        <v>0</v>
      </c>
      <c r="RA328" s="56"/>
      <c r="RD328" s="55">
        <f t="shared" si="2392"/>
        <v>46299</v>
      </c>
      <c r="RE328" s="56"/>
      <c r="RF328" s="242">
        <f>SUMPRODUCT(PRODUCE!$B325:$DY325,PRODUCE!$EB$58:$IY$58)</f>
        <v>0</v>
      </c>
      <c r="RG328" s="56"/>
      <c r="RH328" s="242">
        <f t="shared" si="2393"/>
        <v>0</v>
      </c>
      <c r="RI328" s="242">
        <f t="shared" si="2394"/>
        <v>147.04000000000002</v>
      </c>
      <c r="RJ328" s="56"/>
      <c r="RM328" s="55">
        <f t="shared" si="2395"/>
        <v>46299</v>
      </c>
      <c r="RN328" s="56"/>
      <c r="RO328" s="242">
        <f>SUMPRODUCT(PRODUCE!$B325:$DY325,PRODUCE!$EB$57:$IY$57)</f>
        <v>0</v>
      </c>
      <c r="RP328" s="56"/>
      <c r="RQ328" s="242">
        <f t="shared" si="2396"/>
        <v>0</v>
      </c>
      <c r="RR328" s="242">
        <f t="shared" si="2397"/>
        <v>46.8</v>
      </c>
      <c r="RS328" s="56"/>
      <c r="RV328" s="55">
        <f t="shared" si="2398"/>
        <v>46299</v>
      </c>
      <c r="RW328" s="56"/>
      <c r="RX328" s="242">
        <f>SUMPRODUCT(PRODUCE!$B325:$DY325,PRODUCE!$EB$57:$IY$57)</f>
        <v>0</v>
      </c>
      <c r="RY328" s="56"/>
      <c r="RZ328" s="242">
        <f t="shared" si="2399"/>
        <v>0</v>
      </c>
      <c r="SA328" s="242">
        <f t="shared" si="2400"/>
        <v>0</v>
      </c>
      <c r="SB328" s="56"/>
      <c r="SE328" s="55">
        <f t="shared" si="2401"/>
        <v>46299</v>
      </c>
      <c r="SF328" s="56"/>
      <c r="SG328" s="242">
        <f>SUMPRODUCT(PRODUCE!$B325:$DY325,PRODUCE!$EB$61:$IY$61)</f>
        <v>0</v>
      </c>
      <c r="SH328" s="56"/>
      <c r="SI328" s="242">
        <f t="shared" si="2402"/>
        <v>0</v>
      </c>
      <c r="SJ328" s="242">
        <f t="shared" si="2403"/>
        <v>24.200000000000003</v>
      </c>
      <c r="SK328" s="56"/>
      <c r="SN328" s="55">
        <f t="shared" si="2404"/>
        <v>46299</v>
      </c>
      <c r="SO328" s="56"/>
      <c r="SP328" s="242">
        <f>SUMPRODUCT(PRODUCE!$B325:$DY325,PRODUCE!$EB$57:$IY$57)</f>
        <v>0</v>
      </c>
      <c r="SQ328" s="56"/>
      <c r="SR328" s="242">
        <f t="shared" si="2405"/>
        <v>0</v>
      </c>
      <c r="SS328" s="242">
        <f t="shared" si="2406"/>
        <v>32</v>
      </c>
      <c r="ST328" s="56"/>
      <c r="SW328" s="55">
        <f t="shared" si="2407"/>
        <v>46299</v>
      </c>
      <c r="SX328" s="56"/>
      <c r="SY328" s="242">
        <f>SUMPRODUCT(PRODUCE!$B325:$DY325,PRODUCE!$EB$57:$IY$57)</f>
        <v>0</v>
      </c>
      <c r="SZ328" s="56"/>
      <c r="TA328" s="242">
        <f t="shared" si="2408"/>
        <v>0</v>
      </c>
      <c r="TB328" s="242">
        <f t="shared" si="2409"/>
        <v>0</v>
      </c>
      <c r="TC328" s="56"/>
      <c r="TF328" s="55">
        <f t="shared" si="2410"/>
        <v>46299</v>
      </c>
      <c r="TG328" s="56"/>
      <c r="TH328" s="242">
        <f>SUMPRODUCT(PRODUCE!$B325:$DY325,PRODUCE!$EB$57:$IY$57)</f>
        <v>0</v>
      </c>
      <c r="TI328" s="56"/>
      <c r="TJ328" s="242">
        <f t="shared" si="2411"/>
        <v>0</v>
      </c>
      <c r="TK328" s="242">
        <f t="shared" si="2412"/>
        <v>0</v>
      </c>
      <c r="TL328" s="56"/>
      <c r="TO328" s="55">
        <f t="shared" si="2413"/>
        <v>46299</v>
      </c>
      <c r="TP328" s="56"/>
      <c r="TQ328" s="242">
        <f>SUMPRODUCT(PRODUCE!$B325:$DY325,PRODUCE!$EB$57:$IY$57)</f>
        <v>0</v>
      </c>
      <c r="TR328" s="56"/>
      <c r="TS328" s="242">
        <f t="shared" si="2414"/>
        <v>0</v>
      </c>
      <c r="TT328" s="242">
        <f t="shared" si="2415"/>
        <v>0</v>
      </c>
      <c r="TU328" s="56"/>
      <c r="TX328" s="55">
        <f t="shared" si="2416"/>
        <v>46299</v>
      </c>
      <c r="TY328" s="56"/>
      <c r="TZ328" s="242">
        <f>SUMPRODUCT(PRODUCE!$B325:$DY325,PRODUCE!$EB$57:$IY$57)</f>
        <v>0</v>
      </c>
      <c r="UA328" s="56"/>
      <c r="UB328" s="242">
        <f t="shared" si="2417"/>
        <v>0</v>
      </c>
      <c r="UC328" s="242">
        <f t="shared" si="2418"/>
        <v>46.799999999999983</v>
      </c>
      <c r="UD328" s="56"/>
      <c r="UG328" s="55">
        <f t="shared" si="2419"/>
        <v>46299</v>
      </c>
      <c r="UH328" s="56"/>
      <c r="UI328" s="242">
        <f>SUMPRODUCT(PRODUCE!$B325:$DY325,PRODUCE!$EB$57:$IY$57)</f>
        <v>0</v>
      </c>
      <c r="UJ328" s="56"/>
      <c r="UK328" s="242">
        <f t="shared" si="2420"/>
        <v>0</v>
      </c>
      <c r="UL328" s="242">
        <f t="shared" si="2421"/>
        <v>204</v>
      </c>
      <c r="UM328" s="56"/>
      <c r="UP328" s="55">
        <f t="shared" si="2422"/>
        <v>46299</v>
      </c>
      <c r="UQ328" s="56"/>
      <c r="UR328" s="242">
        <f>SUMPRODUCT(PRODUCE!$B325:$DY325,PRODUCE!$EB$57:$IY$57)</f>
        <v>0</v>
      </c>
      <c r="US328" s="56"/>
      <c r="UT328" s="242">
        <f t="shared" si="2423"/>
        <v>0</v>
      </c>
      <c r="UU328" s="242">
        <f t="shared" si="2424"/>
        <v>202.5</v>
      </c>
      <c r="UV328" s="56"/>
      <c r="UY328" s="55">
        <f t="shared" si="2425"/>
        <v>46299</v>
      </c>
      <c r="UZ328" s="56"/>
      <c r="VA328" s="242">
        <f>SUMPRODUCT(PRODUCE!$B325:$DY325,PRODUCE!$EB$57:$IY$57)</f>
        <v>0</v>
      </c>
      <c r="VB328" s="56"/>
      <c r="VC328" s="242">
        <f t="shared" si="2426"/>
        <v>0</v>
      </c>
      <c r="VD328" s="242">
        <f t="shared" si="2427"/>
        <v>41.600000000000023</v>
      </c>
      <c r="VE328" s="56"/>
      <c r="VH328" s="55">
        <f t="shared" si="2428"/>
        <v>46299</v>
      </c>
      <c r="VI328" s="56"/>
      <c r="VJ328" s="242">
        <f>SUMPRODUCT(PRODUCE!$B325:$DY325,PRODUCE!$EB$57:$IY$57)</f>
        <v>0</v>
      </c>
      <c r="VK328" s="56"/>
      <c r="VL328" s="242">
        <f t="shared" si="2429"/>
        <v>0</v>
      </c>
      <c r="VM328" s="242">
        <f t="shared" si="2430"/>
        <v>210</v>
      </c>
      <c r="VN328" s="56"/>
      <c r="VQ328" s="55">
        <f t="shared" si="2431"/>
        <v>46299</v>
      </c>
      <c r="VR328" s="56"/>
      <c r="VS328" s="242">
        <f>SUMPRODUCT(PRODUCE!$B325:$DY325,PRODUCE!$EB$57:$IY$57)</f>
        <v>0</v>
      </c>
      <c r="VT328" s="56"/>
      <c r="VU328" s="242">
        <f t="shared" si="2432"/>
        <v>0</v>
      </c>
      <c r="VV328" s="242">
        <f t="shared" si="2433"/>
        <v>0</v>
      </c>
      <c r="VW328" s="56"/>
      <c r="VZ328" s="55">
        <f t="shared" si="2434"/>
        <v>46299</v>
      </c>
      <c r="WA328" s="56"/>
      <c r="WB328" s="242">
        <f>SUMPRODUCT(PRODUCE!$B325:$DY325,PRODUCE!$EB$57:$IY$57)</f>
        <v>0</v>
      </c>
      <c r="WC328" s="56"/>
      <c r="WD328" s="242">
        <f t="shared" si="2435"/>
        <v>0</v>
      </c>
      <c r="WE328" s="242">
        <f t="shared" si="2436"/>
        <v>0</v>
      </c>
      <c r="WF328" s="56"/>
      <c r="WI328" s="55">
        <f t="shared" si="2437"/>
        <v>46299</v>
      </c>
      <c r="WJ328" s="56"/>
      <c r="WK328" s="242">
        <f>SUMPRODUCT(PRODUCE!$B325:$DY325,PRODUCE!$EB$57:$IY$57)</f>
        <v>0</v>
      </c>
      <c r="WL328" s="56"/>
      <c r="WM328" s="242">
        <f t="shared" si="2438"/>
        <v>0</v>
      </c>
      <c r="WN328" s="242">
        <f t="shared" si="2439"/>
        <v>1057</v>
      </c>
      <c r="WO328" s="56"/>
      <c r="WR328" s="55">
        <f t="shared" si="2440"/>
        <v>46299</v>
      </c>
      <c r="WS328" s="56"/>
      <c r="WT328" s="242">
        <f>SUMPRODUCT(PRODUCE!$B325:$DY325,PRODUCE!$EB$57:$IY$57)</f>
        <v>0</v>
      </c>
      <c r="WU328" s="56"/>
      <c r="WV328" s="242">
        <f t="shared" si="2441"/>
        <v>0</v>
      </c>
      <c r="WW328" s="242">
        <f t="shared" si="2442"/>
        <v>0</v>
      </c>
      <c r="WX328" s="56"/>
      <c r="XA328" s="55">
        <f t="shared" si="2443"/>
        <v>46299</v>
      </c>
      <c r="XB328" s="56"/>
      <c r="XC328" s="242">
        <f>SUMPRODUCT(PRODUCE!$B325:$DY325,PRODUCE!$EB$57:$IY$57)</f>
        <v>0</v>
      </c>
      <c r="XD328" s="56"/>
      <c r="XE328" s="242">
        <f t="shared" si="2444"/>
        <v>0</v>
      </c>
      <c r="XF328" s="242">
        <f t="shared" si="2445"/>
        <v>7507</v>
      </c>
      <c r="XG328" s="56"/>
      <c r="XJ328" s="55">
        <f t="shared" si="2446"/>
        <v>46299</v>
      </c>
      <c r="XK328" s="56"/>
      <c r="XL328" s="242">
        <f>SUMPRODUCT(PRODUCE!$B325:$DY325,PRODUCE!$EB$57:$IY$57)</f>
        <v>0</v>
      </c>
      <c r="XM328" s="56"/>
      <c r="XN328" s="242">
        <f t="shared" si="2447"/>
        <v>0</v>
      </c>
      <c r="XO328" s="242">
        <f t="shared" si="2448"/>
        <v>4252</v>
      </c>
      <c r="XP328" s="56"/>
      <c r="XS328" s="55">
        <f t="shared" si="2449"/>
        <v>46299</v>
      </c>
      <c r="XT328" s="56"/>
      <c r="XU328" s="242">
        <f>SUMPRODUCT(PRODUCE!$B325:$DY325,PRODUCE!$EB$57:$IY$57)</f>
        <v>0</v>
      </c>
      <c r="XV328" s="56"/>
      <c r="XW328" s="242">
        <f t="shared" si="2450"/>
        <v>0</v>
      </c>
      <c r="XX328" s="242">
        <f t="shared" si="2451"/>
        <v>2179</v>
      </c>
      <c r="XY328" s="56"/>
      <c r="YB328" s="55">
        <f t="shared" si="2452"/>
        <v>46299</v>
      </c>
      <c r="YC328" s="56"/>
      <c r="YD328" s="242">
        <f>SUMPRODUCT(PRODUCE!$B325:$DY325,PRODUCE!$EB$57:$IY$57)</f>
        <v>0</v>
      </c>
      <c r="YE328" s="56"/>
      <c r="YF328" s="242">
        <f t="shared" si="2453"/>
        <v>0</v>
      </c>
      <c r="YG328" s="242">
        <f t="shared" si="2454"/>
        <v>4019</v>
      </c>
      <c r="YH328" s="56"/>
      <c r="YK328" s="55">
        <f t="shared" si="2455"/>
        <v>46299</v>
      </c>
      <c r="YL328" s="56"/>
      <c r="YM328" s="242">
        <f>SUMPRODUCT(PRODUCE!$B325:$DY325,PRODUCE!$EB$57:$IY$57)</f>
        <v>0</v>
      </c>
      <c r="YN328" s="56"/>
      <c r="YO328" s="242">
        <f t="shared" si="2456"/>
        <v>0</v>
      </c>
      <c r="YP328" s="242">
        <f t="shared" si="2457"/>
        <v>-218</v>
      </c>
      <c r="YQ328" s="56"/>
      <c r="YT328" s="55">
        <f t="shared" si="2458"/>
        <v>46299</v>
      </c>
      <c r="YU328" s="56"/>
      <c r="YV328" s="242">
        <f>SUMPRODUCT(PRODUCE!$B325:$DY325,PRODUCE!$EB$57:$IY$57)</f>
        <v>0</v>
      </c>
      <c r="YW328" s="56"/>
      <c r="YX328" s="242">
        <f t="shared" si="2459"/>
        <v>0</v>
      </c>
      <c r="YY328" s="242">
        <f t="shared" si="2460"/>
        <v>0</v>
      </c>
      <c r="YZ328" s="56"/>
      <c r="ZC328" s="55">
        <f t="shared" si="2461"/>
        <v>46299</v>
      </c>
      <c r="ZD328" s="56"/>
      <c r="ZE328" s="242">
        <f>SUMPRODUCT(PRODUCE!$B325:$DY325,PRODUCE!$EB$57:$IY$57)</f>
        <v>0</v>
      </c>
      <c r="ZF328" s="56"/>
      <c r="ZG328" s="242">
        <f t="shared" si="2462"/>
        <v>0</v>
      </c>
      <c r="ZH328" s="242">
        <f t="shared" si="2463"/>
        <v>0</v>
      </c>
      <c r="ZI328" s="56"/>
      <c r="ZL328" s="55">
        <f t="shared" si="2464"/>
        <v>46299</v>
      </c>
      <c r="ZM328" s="56"/>
      <c r="ZN328" s="242">
        <f>SUMPRODUCT(PRODUCE!$B325:$DY325,PRODUCE!$EB$57:$IY$57)</f>
        <v>0</v>
      </c>
      <c r="ZO328" s="56"/>
      <c r="ZP328" s="242">
        <f t="shared" si="2465"/>
        <v>0</v>
      </c>
      <c r="ZQ328" s="242">
        <f t="shared" si="2466"/>
        <v>0</v>
      </c>
      <c r="ZR328" s="56"/>
      <c r="ZU328" s="55">
        <f t="shared" si="2467"/>
        <v>46299</v>
      </c>
      <c r="ZV328" s="56"/>
      <c r="ZW328" s="242">
        <f>SUMPRODUCT(PRODUCE!$B325:$DY325,PRODUCE!$EB$57:$IY$57)</f>
        <v>0</v>
      </c>
      <c r="ZX328" s="56"/>
      <c r="ZY328" s="242">
        <f t="shared" si="2468"/>
        <v>0</v>
      </c>
      <c r="ZZ328" s="242">
        <f t="shared" si="2469"/>
        <v>0</v>
      </c>
      <c r="AAA328" s="56"/>
      <c r="AAD328" s="55">
        <f t="shared" si="2470"/>
        <v>46299</v>
      </c>
      <c r="AAE328" s="56"/>
      <c r="AAF328" s="242">
        <f>SUMPRODUCT(PRODUCE!$B325:$DY325,PRODUCE!$EB$57:$IY$57)</f>
        <v>0</v>
      </c>
      <c r="AAG328" s="56"/>
      <c r="AAH328" s="242">
        <f t="shared" si="2471"/>
        <v>0</v>
      </c>
      <c r="AAI328" s="242">
        <f t="shared" si="2472"/>
        <v>0</v>
      </c>
      <c r="AAJ328" s="56"/>
      <c r="AAM328" s="55">
        <f t="shared" si="2473"/>
        <v>46299</v>
      </c>
      <c r="AAN328" s="56"/>
      <c r="AAO328" s="242">
        <f>SUMPRODUCT(PRODUCE!$B325:$DY325,PRODUCE!$EB$57:$IY$57)</f>
        <v>0</v>
      </c>
      <c r="AAP328" s="56"/>
      <c r="AAQ328" s="242">
        <f t="shared" si="2474"/>
        <v>0</v>
      </c>
      <c r="AAR328" s="242">
        <f t="shared" si="2475"/>
        <v>0</v>
      </c>
      <c r="AAS328" s="56"/>
      <c r="AAV328" s="55">
        <f t="shared" si="2476"/>
        <v>46299</v>
      </c>
      <c r="AAW328" s="56"/>
      <c r="AAX328" s="242">
        <f>SUMPRODUCT(PRODUCE!$B325:$DY325,PRODUCE!$EB$57:$IY$57)</f>
        <v>0</v>
      </c>
      <c r="AAY328" s="56"/>
      <c r="AAZ328" s="242">
        <f t="shared" si="2477"/>
        <v>0</v>
      </c>
      <c r="ABA328" s="242">
        <f t="shared" si="2478"/>
        <v>0</v>
      </c>
      <c r="ABB328" s="56"/>
      <c r="ABE328" s="55">
        <f t="shared" si="2479"/>
        <v>46299</v>
      </c>
      <c r="ABF328" s="56"/>
      <c r="ABG328" s="242">
        <f>SUMPRODUCT(PRODUCE!$B325:$DY325,PRODUCE!$EB$57:$IY$57)</f>
        <v>0</v>
      </c>
      <c r="ABH328" s="56"/>
      <c r="ABI328" s="242">
        <f t="shared" si="2480"/>
        <v>0</v>
      </c>
      <c r="ABJ328" s="242">
        <f t="shared" si="2481"/>
        <v>0</v>
      </c>
      <c r="ABK328" s="56"/>
    </row>
    <row r="329" spans="1:739" s="54" customFormat="1" ht="15" customHeight="1" outlineLevel="1">
      <c r="B329" s="478"/>
      <c r="C329" s="55">
        <v>46300</v>
      </c>
      <c r="D329" s="56"/>
      <c r="E329" s="57">
        <f>SUMPRODUCT(PRODUCE!$B326:$DY326,PRODUCE!$EB$7:$IY$7)</f>
        <v>0</v>
      </c>
      <c r="F329" s="56"/>
      <c r="G329" s="57">
        <f t="shared" si="2237"/>
        <v>0</v>
      </c>
      <c r="H329" s="57">
        <f t="shared" si="2238"/>
        <v>236936.6</v>
      </c>
      <c r="I329" s="289"/>
      <c r="L329" s="55">
        <f t="shared" si="2239"/>
        <v>46300</v>
      </c>
      <c r="M329" s="56"/>
      <c r="N329" s="59">
        <f>SUMPRODUCT(PRODUCE!$B326:$DY326,PRODUCE!$EB$8:$IY$8)</f>
        <v>0</v>
      </c>
      <c r="O329" s="56"/>
      <c r="P329" s="59">
        <f t="shared" si="2240"/>
        <v>0</v>
      </c>
      <c r="Q329" s="59">
        <f t="shared" si="2241"/>
        <v>53017.600000000071</v>
      </c>
      <c r="R329" s="56"/>
      <c r="U329" s="55">
        <f t="shared" si="2242"/>
        <v>46300</v>
      </c>
      <c r="V329" s="56"/>
      <c r="W329" s="60">
        <f>SUMPRODUCT(PRODUCE!$B326:$DY326,PRODUCE!$EB$9:$IY$9)</f>
        <v>0</v>
      </c>
      <c r="X329" s="56"/>
      <c r="Y329" s="60">
        <f t="shared" si="2243"/>
        <v>0</v>
      </c>
      <c r="Z329" s="60">
        <f t="shared" si="2244"/>
        <v>42674.199999999968</v>
      </c>
      <c r="AA329" s="56"/>
      <c r="AD329" s="55">
        <f t="shared" si="2245"/>
        <v>46300</v>
      </c>
      <c r="AE329" s="56"/>
      <c r="AF329" s="61">
        <f>SUMPRODUCT(PRODUCE!$B326:$DY326,PRODUCE!$EB$10:$IY$10)</f>
        <v>0</v>
      </c>
      <c r="AG329" s="56"/>
      <c r="AH329" s="61">
        <f t="shared" si="2246"/>
        <v>0</v>
      </c>
      <c r="AI329" s="61">
        <f t="shared" si="2247"/>
        <v>4522.2000000000189</v>
      </c>
      <c r="AJ329" s="56"/>
      <c r="AM329" s="55">
        <f t="shared" si="2248"/>
        <v>46300</v>
      </c>
      <c r="AN329" s="422"/>
      <c r="AO329" s="444">
        <f>SUMPRODUCT(PRODUCE!$B326:$DY326,PRODUCE!$EB$11:$IY$11)</f>
        <v>0</v>
      </c>
      <c r="AP329" s="422"/>
      <c r="AQ329" s="444">
        <f t="shared" si="2249"/>
        <v>0</v>
      </c>
      <c r="AR329" s="444">
        <f t="shared" si="2250"/>
        <v>0</v>
      </c>
      <c r="AS329" s="56"/>
      <c r="AV329" s="55">
        <f t="shared" si="2251"/>
        <v>46300</v>
      </c>
      <c r="AW329" s="56"/>
      <c r="AX329" s="62">
        <f>SUMPRODUCT(PRODUCE!$B326:$DY326,PRODUCE!$EB$12:$IY$12)</f>
        <v>0</v>
      </c>
      <c r="AY329" s="56"/>
      <c r="AZ329" s="62">
        <f t="shared" si="2252"/>
        <v>0</v>
      </c>
      <c r="BA329" s="62">
        <f t="shared" si="2253"/>
        <v>124.99999999999523</v>
      </c>
      <c r="BB329" s="56"/>
      <c r="BE329" s="55">
        <f t="shared" si="2254"/>
        <v>46300</v>
      </c>
      <c r="BF329" s="56"/>
      <c r="BG329" s="63">
        <f>SUMPRODUCT(PRODUCE!$B326:$DY326,PRODUCE!$EB$13:$IY$13)</f>
        <v>0</v>
      </c>
      <c r="BH329" s="56"/>
      <c r="BI329" s="63">
        <f t="shared" si="2255"/>
        <v>0</v>
      </c>
      <c r="BJ329" s="63">
        <f t="shared" si="2256"/>
        <v>26151.899999999998</v>
      </c>
      <c r="BK329" s="56"/>
      <c r="BN329" s="55">
        <f t="shared" si="2257"/>
        <v>46300</v>
      </c>
      <c r="BO329" s="56"/>
      <c r="BP329" s="64">
        <f>SUMPRODUCT(PRODUCE!$B326:$DY326,PRODUCE!$EB$14:$IY$14)</f>
        <v>0</v>
      </c>
      <c r="BQ329" s="56"/>
      <c r="BR329" s="64">
        <f t="shared" si="2258"/>
        <v>0</v>
      </c>
      <c r="BS329" s="64">
        <f t="shared" si="2259"/>
        <v>0</v>
      </c>
      <c r="BT329" s="56"/>
      <c r="BW329" s="55">
        <f t="shared" si="2260"/>
        <v>46300</v>
      </c>
      <c r="BX329" s="56"/>
      <c r="BY329" s="65">
        <f>SUMPRODUCT(PRODUCE!$B326:$DY326,PRODUCE!$EB$15:$IY$15)</f>
        <v>0</v>
      </c>
      <c r="BZ329" s="56"/>
      <c r="CA329" s="65">
        <f t="shared" si="2261"/>
        <v>0</v>
      </c>
      <c r="CB329" s="65">
        <f t="shared" si="2262"/>
        <v>2097.3399999999992</v>
      </c>
      <c r="CC329" s="56"/>
      <c r="CF329" s="55">
        <f t="shared" si="2263"/>
        <v>46300</v>
      </c>
      <c r="CG329" s="56"/>
      <c r="CH329" s="66">
        <f>SUMPRODUCT(PRODUCE!$B326:$DY326,PRODUCE!$EB$16:$IY$16)</f>
        <v>0</v>
      </c>
      <c r="CI329" s="56"/>
      <c r="CJ329" s="66">
        <f t="shared" si="2264"/>
        <v>0</v>
      </c>
      <c r="CK329" s="66">
        <f t="shared" si="2265"/>
        <v>-10277.079999999998</v>
      </c>
      <c r="CL329" s="56"/>
      <c r="CO329" s="55">
        <f t="shared" si="2266"/>
        <v>46300</v>
      </c>
      <c r="CP329" s="422"/>
      <c r="CQ329" s="470">
        <f>SUMPRODUCT(PRODUCE!$B326:$DY326,PRODUCE!$EB$17:$IY$17)</f>
        <v>0</v>
      </c>
      <c r="CR329" s="422"/>
      <c r="CS329" s="470">
        <f t="shared" si="2267"/>
        <v>0</v>
      </c>
      <c r="CT329" s="470">
        <f t="shared" si="2268"/>
        <v>0</v>
      </c>
      <c r="CU329" s="56"/>
      <c r="CX329" s="55">
        <f t="shared" si="2269"/>
        <v>46300</v>
      </c>
      <c r="CY329" s="56"/>
      <c r="CZ329" s="133">
        <f>SUMPRODUCT(PRODUCE!$B326:$DY326,PRODUCE!$EB$18:$IY$18)</f>
        <v>0</v>
      </c>
      <c r="DA329" s="56"/>
      <c r="DB329" s="133">
        <f t="shared" si="2270"/>
        <v>0</v>
      </c>
      <c r="DC329" s="133">
        <f t="shared" si="2271"/>
        <v>27438.200000000012</v>
      </c>
      <c r="DD329" s="56"/>
      <c r="DG329" s="55">
        <f t="shared" si="2272"/>
        <v>46300</v>
      </c>
      <c r="DH329" s="56"/>
      <c r="DI329" s="147">
        <f>SUMPRODUCT(PRODUCE!$B326:$DY326,PRODUCE!$EB$19:$IY$19)</f>
        <v>0</v>
      </c>
      <c r="DJ329" s="56"/>
      <c r="DK329" s="147">
        <f t="shared" si="2273"/>
        <v>0</v>
      </c>
      <c r="DL329" s="147">
        <f t="shared" si="2274"/>
        <v>18782.299999999981</v>
      </c>
      <c r="DM329" s="56"/>
      <c r="DP329" s="55">
        <f t="shared" si="2275"/>
        <v>46300</v>
      </c>
      <c r="DQ329" s="56"/>
      <c r="DR329" s="57">
        <f>SUMPRODUCT(PRODUCE!$B326:$DY326,PRODUCE!$EB$20:$IY$20)</f>
        <v>0</v>
      </c>
      <c r="DS329" s="56"/>
      <c r="DT329" s="57">
        <f t="shared" si="2276"/>
        <v>0</v>
      </c>
      <c r="DU329" s="57">
        <f t="shared" si="2277"/>
        <v>5800</v>
      </c>
      <c r="DV329" s="56"/>
      <c r="DY329" s="55">
        <f t="shared" si="2278"/>
        <v>46300</v>
      </c>
      <c r="DZ329" s="56"/>
      <c r="EA329" s="157">
        <f>SUMPRODUCT(PRODUCE!$B326:$DY326,PRODUCE!$EB$21:$IY$21)</f>
        <v>0</v>
      </c>
      <c r="EB329" s="56"/>
      <c r="EC329" s="157">
        <f t="shared" si="2279"/>
        <v>0</v>
      </c>
      <c r="ED329" s="157">
        <f t="shared" si="2280"/>
        <v>0</v>
      </c>
      <c r="EE329" s="56"/>
      <c r="EH329" s="55">
        <f t="shared" si="2281"/>
        <v>46300</v>
      </c>
      <c r="EI329" s="56"/>
      <c r="EJ329" s="162">
        <f>SUMPRODUCT(PRODUCE!$B326:$DY326,PRODUCE!$EB$22:$IY$22)</f>
        <v>0</v>
      </c>
      <c r="EK329" s="56"/>
      <c r="EL329" s="162">
        <f t="shared" si="2282"/>
        <v>0</v>
      </c>
      <c r="EM329" s="162">
        <f t="shared" si="2283"/>
        <v>0</v>
      </c>
      <c r="EN329" s="56"/>
      <c r="EQ329" s="55">
        <f t="shared" si="2284"/>
        <v>46300</v>
      </c>
      <c r="ER329" s="56"/>
      <c r="ES329" s="135">
        <f>SUMPRODUCT(PRODUCE!$B326:$DY326,PRODUCE!$EB$23:$IY$23)</f>
        <v>0</v>
      </c>
      <c r="ET329" s="56"/>
      <c r="EU329" s="135">
        <f t="shared" si="2285"/>
        <v>0</v>
      </c>
      <c r="EV329" s="135">
        <f t="shared" si="2286"/>
        <v>0</v>
      </c>
      <c r="EW329" s="56"/>
      <c r="EZ329" s="55">
        <f t="shared" si="2287"/>
        <v>46300</v>
      </c>
      <c r="FA329" s="56"/>
      <c r="FB329" s="175">
        <f>SUMPRODUCT(PRODUCE!$B326:$DY326,PRODUCE!$EB$24:$IY$24)</f>
        <v>0</v>
      </c>
      <c r="FC329" s="56"/>
      <c r="FD329" s="175">
        <f t="shared" si="2288"/>
        <v>0</v>
      </c>
      <c r="FE329" s="175">
        <f t="shared" si="2289"/>
        <v>0</v>
      </c>
      <c r="FF329" s="56"/>
      <c r="FI329" s="55">
        <f t="shared" si="2290"/>
        <v>46300</v>
      </c>
      <c r="FJ329" s="56"/>
      <c r="FK329" s="183">
        <f>SUMPRODUCT(PRODUCE!$B326:$DY326,PRODUCE!$EB$25:$IY$25)</f>
        <v>0</v>
      </c>
      <c r="FL329" s="56"/>
      <c r="FM329" s="183">
        <f t="shared" si="2291"/>
        <v>0</v>
      </c>
      <c r="FN329" s="183">
        <f t="shared" si="2292"/>
        <v>0</v>
      </c>
      <c r="FO329" s="56"/>
      <c r="FR329" s="55">
        <f t="shared" si="2293"/>
        <v>46300</v>
      </c>
      <c r="FS329" s="56"/>
      <c r="FT329" s="186">
        <f>SUMPRODUCT(PRODUCE!$B326:$DY326,PRODUCE!$EB$26:$IY$26)</f>
        <v>0</v>
      </c>
      <c r="FU329" s="56"/>
      <c r="FV329" s="186">
        <f t="shared" si="2294"/>
        <v>0</v>
      </c>
      <c r="FW329" s="186">
        <f t="shared" si="2295"/>
        <v>2020</v>
      </c>
      <c r="FX329" s="56"/>
      <c r="GA329" s="55">
        <f t="shared" si="2296"/>
        <v>46300</v>
      </c>
      <c r="GB329" s="56"/>
      <c r="GC329" s="137">
        <f>SUMPRODUCT(PRODUCE!$B326:$DY326,PRODUCE!$EB$27:$IY$27)</f>
        <v>0</v>
      </c>
      <c r="GD329" s="56"/>
      <c r="GE329" s="137">
        <f t="shared" si="2297"/>
        <v>0</v>
      </c>
      <c r="GF329" s="137">
        <f t="shared" si="2298"/>
        <v>960</v>
      </c>
      <c r="GG329" s="56"/>
      <c r="GI329" s="23"/>
      <c r="GJ329" s="55">
        <f t="shared" si="2299"/>
        <v>46300</v>
      </c>
      <c r="GK329" s="56"/>
      <c r="GL329" s="199">
        <f>SUMPRODUCT(PRODUCE!$B326:$DY326,PRODUCE!$EB$28:$IY$28)</f>
        <v>0</v>
      </c>
      <c r="GM329" s="56"/>
      <c r="GN329" s="199">
        <f t="shared" si="2300"/>
        <v>0</v>
      </c>
      <c r="GO329" s="199">
        <f t="shared" si="2301"/>
        <v>1760</v>
      </c>
      <c r="GP329" s="56"/>
      <c r="GS329" s="55">
        <f t="shared" si="2302"/>
        <v>46300</v>
      </c>
      <c r="GT329" s="56"/>
      <c r="GU329" s="195">
        <f>SUMPRODUCT(PRODUCE!$B326:$DY326,PRODUCE!$EB$29:$IY$29)</f>
        <v>0</v>
      </c>
      <c r="GV329" s="56"/>
      <c r="GW329" s="195">
        <f t="shared" si="2303"/>
        <v>0</v>
      </c>
      <c r="GX329" s="195">
        <f t="shared" si="2304"/>
        <v>400</v>
      </c>
      <c r="GY329" s="56"/>
      <c r="HB329" s="55">
        <f t="shared" si="2305"/>
        <v>46300</v>
      </c>
      <c r="HC329" s="56"/>
      <c r="HD329" s="191">
        <f>SUMPRODUCT(PRODUCE!$B326:$DY326,PRODUCE!$EB$30:$IY$30)</f>
        <v>0</v>
      </c>
      <c r="HE329" s="56"/>
      <c r="HF329" s="191">
        <f t="shared" si="2306"/>
        <v>0</v>
      </c>
      <c r="HG329" s="191">
        <f t="shared" si="2307"/>
        <v>3600</v>
      </c>
      <c r="HH329" s="56"/>
      <c r="HK329" s="55">
        <f t="shared" si="2308"/>
        <v>46300</v>
      </c>
      <c r="HL329" s="56"/>
      <c r="HM329" s="63">
        <f>SUMPRODUCT(PRODUCE!$B326:$DY326,PRODUCE!$EB$31:$IY$31)</f>
        <v>0</v>
      </c>
      <c r="HN329" s="56"/>
      <c r="HO329" s="63">
        <f t="shared" si="2309"/>
        <v>0</v>
      </c>
      <c r="HP329" s="63">
        <f t="shared" si="2310"/>
        <v>0</v>
      </c>
      <c r="HQ329" s="56"/>
      <c r="HU329" s="55">
        <f t="shared" si="2311"/>
        <v>46300</v>
      </c>
      <c r="HV329" s="56"/>
      <c r="HW329" s="242">
        <f>SUMPRODUCT(PRODUCE!$B326:$DY326,PRODUCE!$EB$32:$IY$32)</f>
        <v>0</v>
      </c>
      <c r="HX329" s="56"/>
      <c r="HY329" s="242">
        <f t="shared" si="2312"/>
        <v>0</v>
      </c>
      <c r="HZ329" s="242">
        <f t="shared" si="2313"/>
        <v>6120</v>
      </c>
      <c r="IA329" s="56"/>
      <c r="ID329" s="55">
        <f t="shared" si="2314"/>
        <v>46300</v>
      </c>
      <c r="IE329" s="56"/>
      <c r="IF329" s="242">
        <f>SUMPRODUCT(PRODUCE!$B326:$DY326,PRODUCE!$EB$33:$IY$33)</f>
        <v>0</v>
      </c>
      <c r="IG329" s="56"/>
      <c r="IH329" s="242">
        <f t="shared" si="2315"/>
        <v>0</v>
      </c>
      <c r="II329" s="242">
        <f t="shared" si="2316"/>
        <v>0</v>
      </c>
      <c r="IJ329" s="56"/>
      <c r="IM329" s="55">
        <f t="shared" si="2317"/>
        <v>46300</v>
      </c>
      <c r="IN329" s="56"/>
      <c r="IO329" s="242">
        <f>SUMPRODUCT(PRODUCE!$B326:$DY326,PRODUCE!$EB$34:$IY$34)</f>
        <v>0</v>
      </c>
      <c r="IP329" s="56"/>
      <c r="IQ329" s="242">
        <f t="shared" si="2318"/>
        <v>0</v>
      </c>
      <c r="IR329" s="242">
        <f t="shared" si="2319"/>
        <v>0</v>
      </c>
      <c r="IS329" s="56"/>
      <c r="IV329" s="55">
        <f t="shared" si="2320"/>
        <v>46300</v>
      </c>
      <c r="IW329" s="56"/>
      <c r="IX329" s="242">
        <f>SUMPRODUCT(PRODUCE!$B326:$DY326,PRODUCE!$EB$35:$IY$35)</f>
        <v>0</v>
      </c>
      <c r="IY329" s="56"/>
      <c r="IZ329" s="242">
        <f t="shared" si="2321"/>
        <v>0</v>
      </c>
      <c r="JA329" s="242">
        <f t="shared" si="2322"/>
        <v>2820</v>
      </c>
      <c r="JB329" s="56"/>
      <c r="JE329" s="55">
        <f t="shared" si="2323"/>
        <v>46300</v>
      </c>
      <c r="JF329" s="56"/>
      <c r="JG329" s="242">
        <f>SUMPRODUCT(PRODUCE!$B326:$DY326,PRODUCE!$EB$36:$IY$36)</f>
        <v>0</v>
      </c>
      <c r="JH329" s="56"/>
      <c r="JI329" s="242">
        <f t="shared" si="2324"/>
        <v>0</v>
      </c>
      <c r="JJ329" s="242">
        <f t="shared" si="2325"/>
        <v>0</v>
      </c>
      <c r="JK329" s="56"/>
      <c r="JN329" s="55">
        <f t="shared" si="2326"/>
        <v>46300</v>
      </c>
      <c r="JO329" s="56"/>
      <c r="JP329" s="242">
        <f>SUMPRODUCT(PRODUCE!$B326:$DY326,PRODUCE!$EB$37:$IY$37)</f>
        <v>0</v>
      </c>
      <c r="JQ329" s="56"/>
      <c r="JR329" s="242">
        <f t="shared" si="2327"/>
        <v>0</v>
      </c>
      <c r="JS329" s="242">
        <f t="shared" si="2328"/>
        <v>0</v>
      </c>
      <c r="JT329" s="56"/>
      <c r="JW329" s="55">
        <f t="shared" si="2329"/>
        <v>46300</v>
      </c>
      <c r="JX329" s="56"/>
      <c r="JY329" s="242">
        <f>SUMPRODUCT(PRODUCE!$B326:$DY326,PRODUCE!$EB$38:$IY$38)</f>
        <v>0</v>
      </c>
      <c r="JZ329" s="56"/>
      <c r="KA329" s="242">
        <f t="shared" si="2330"/>
        <v>0</v>
      </c>
      <c r="KB329" s="242">
        <f t="shared" si="2331"/>
        <v>2540</v>
      </c>
      <c r="KC329" s="56"/>
      <c r="KF329" s="55">
        <f t="shared" si="2332"/>
        <v>46300</v>
      </c>
      <c r="KG329" s="56"/>
      <c r="KH329" s="242">
        <f>SUMPRODUCT(PRODUCE!$B326:$DY326,PRODUCE!$EB$39:$IY$39)</f>
        <v>0</v>
      </c>
      <c r="KI329" s="56"/>
      <c r="KJ329" s="242">
        <f t="shared" si="2333"/>
        <v>0</v>
      </c>
      <c r="KK329" s="242">
        <f t="shared" si="2334"/>
        <v>2359.5</v>
      </c>
      <c r="KL329" s="56"/>
      <c r="KO329" s="55">
        <f t="shared" si="2335"/>
        <v>46300</v>
      </c>
      <c r="KP329" s="56"/>
      <c r="KQ329" s="242">
        <f>SUMPRODUCT(PRODUCE!$B326:$DY326,PRODUCE!$EB$40:$IY$40)</f>
        <v>0</v>
      </c>
      <c r="KR329" s="56"/>
      <c r="KS329" s="242">
        <f t="shared" si="2336"/>
        <v>0</v>
      </c>
      <c r="KT329" s="242">
        <f t="shared" si="2337"/>
        <v>1890</v>
      </c>
      <c r="KU329" s="56"/>
      <c r="KW329" s="23"/>
      <c r="KX329" s="55">
        <f t="shared" si="2338"/>
        <v>46300</v>
      </c>
      <c r="KY329" s="56"/>
      <c r="KZ329" s="242">
        <f>SUMPRODUCT(PRODUCE!$B326:$DY326,PRODUCE!$EB$41:$IY$41)</f>
        <v>0</v>
      </c>
      <c r="LA329" s="56"/>
      <c r="LB329" s="242">
        <f t="shared" si="2339"/>
        <v>0</v>
      </c>
      <c r="LC329" s="242">
        <f t="shared" si="2340"/>
        <v>3690</v>
      </c>
      <c r="LD329" s="56"/>
      <c r="LG329" s="55">
        <f t="shared" si="2341"/>
        <v>46300</v>
      </c>
      <c r="LH329" s="56"/>
      <c r="LI329" s="242">
        <f>SUMPRODUCT(PRODUCE!$B326:$DY326,PRODUCE!$EB$42:$IY$42)</f>
        <v>0</v>
      </c>
      <c r="LJ329" s="56"/>
      <c r="LK329" s="242">
        <f t="shared" si="2342"/>
        <v>0</v>
      </c>
      <c r="LL329" s="242">
        <f t="shared" si="2343"/>
        <v>4000</v>
      </c>
      <c r="LM329" s="56"/>
      <c r="LP329" s="55">
        <f t="shared" si="2344"/>
        <v>46300</v>
      </c>
      <c r="LQ329" s="56"/>
      <c r="LR329" s="242">
        <f>SUMPRODUCT(PRODUCE!$B326:$DY326,PRODUCE!$EB$43:$IY$43)</f>
        <v>0</v>
      </c>
      <c r="LS329" s="56"/>
      <c r="LT329" s="242">
        <f t="shared" si="2345"/>
        <v>0</v>
      </c>
      <c r="LU329" s="242">
        <f t="shared" si="2346"/>
        <v>0</v>
      </c>
      <c r="LV329" s="56"/>
      <c r="LY329" s="55">
        <f t="shared" si="2347"/>
        <v>46300</v>
      </c>
      <c r="LZ329" s="56"/>
      <c r="MA329" s="242">
        <f>SUMPRODUCT(PRODUCE!$B326:$DY326,PRODUCE!$EB$44:$IY$44)</f>
        <v>0</v>
      </c>
      <c r="MB329" s="56"/>
      <c r="MC329" s="242">
        <f t="shared" si="2348"/>
        <v>0</v>
      </c>
      <c r="MD329" s="242">
        <f t="shared" si="2349"/>
        <v>0</v>
      </c>
      <c r="ME329" s="56"/>
      <c r="MH329" s="55">
        <f t="shared" si="2350"/>
        <v>46300</v>
      </c>
      <c r="MI329" s="56"/>
      <c r="MJ329" s="242">
        <f>SUMPRODUCT(PRODUCE!$B326:$DY326,PRODUCE!$EB$45:$IY$45)</f>
        <v>0</v>
      </c>
      <c r="MK329" s="56"/>
      <c r="ML329" s="242">
        <f t="shared" si="2351"/>
        <v>0</v>
      </c>
      <c r="MM329" s="242">
        <f t="shared" si="2352"/>
        <v>0</v>
      </c>
      <c r="MN329" s="56"/>
      <c r="MQ329" s="55">
        <f t="shared" si="2353"/>
        <v>46300</v>
      </c>
      <c r="MR329" s="56"/>
      <c r="MS329" s="242">
        <f>SUMPRODUCT(PRODUCE!$B326:$DY326,PRODUCE!$EB$46:$IY$46)</f>
        <v>0</v>
      </c>
      <c r="MT329" s="56"/>
      <c r="MU329" s="242">
        <f t="shared" si="2354"/>
        <v>0</v>
      </c>
      <c r="MV329" s="242">
        <f t="shared" si="2355"/>
        <v>1625</v>
      </c>
      <c r="MW329" s="56"/>
      <c r="MZ329" s="55">
        <f t="shared" si="2356"/>
        <v>46300</v>
      </c>
      <c r="NA329" s="56"/>
      <c r="NB329" s="242">
        <f>SUMPRODUCT(PRODUCE!$B326:$DY326,PRODUCE!$EB$47:$IY$47)</f>
        <v>0</v>
      </c>
      <c r="NC329" s="56"/>
      <c r="ND329" s="242">
        <f t="shared" si="2357"/>
        <v>0</v>
      </c>
      <c r="NE329" s="242">
        <f t="shared" si="2358"/>
        <v>0</v>
      </c>
      <c r="NF329" s="56"/>
      <c r="NI329" s="55">
        <f t="shared" si="2359"/>
        <v>46300</v>
      </c>
      <c r="NJ329" s="56"/>
      <c r="NK329" s="242">
        <f>SUMPRODUCT(PRODUCE!$B326:$DY326,PRODUCE!$EB$48:$IY$48)</f>
        <v>0</v>
      </c>
      <c r="NL329" s="56"/>
      <c r="NM329" s="242">
        <f t="shared" si="2360"/>
        <v>0</v>
      </c>
      <c r="NN329" s="242">
        <f t="shared" si="2361"/>
        <v>1127</v>
      </c>
      <c r="NO329" s="56"/>
      <c r="NR329" s="55">
        <f t="shared" si="2362"/>
        <v>46300</v>
      </c>
      <c r="NS329" s="56"/>
      <c r="NT329" s="242">
        <f>SUMPRODUCT(PRODUCE!$B326:$DY326,PRODUCE!$EB$49:$IY$49)</f>
        <v>0</v>
      </c>
      <c r="NU329" s="56"/>
      <c r="NV329" s="242">
        <f t="shared" si="2363"/>
        <v>0</v>
      </c>
      <c r="NW329" s="242">
        <f t="shared" si="2364"/>
        <v>3111.9999999999995</v>
      </c>
      <c r="NX329" s="56"/>
      <c r="OA329" s="55">
        <f t="shared" si="2365"/>
        <v>46300</v>
      </c>
      <c r="OB329" s="56"/>
      <c r="OC329" s="242">
        <f>SUMPRODUCT(PRODUCE!$B326:$DY326,PRODUCE!$EB$50:$IY$50)</f>
        <v>0</v>
      </c>
      <c r="OD329" s="56"/>
      <c r="OE329" s="242">
        <f t="shared" si="2366"/>
        <v>0</v>
      </c>
      <c r="OF329" s="242">
        <f t="shared" si="2367"/>
        <v>1680.5</v>
      </c>
      <c r="OG329" s="56"/>
      <c r="OJ329" s="55">
        <f t="shared" si="2368"/>
        <v>46300</v>
      </c>
      <c r="OK329" s="56"/>
      <c r="OL329" s="242">
        <f>SUMPRODUCT(PRODUCE!$B326:$DY326,PRODUCE!$EB$51:$IY$51)</f>
        <v>0</v>
      </c>
      <c r="OM329" s="56"/>
      <c r="ON329" s="242">
        <f t="shared" si="2369"/>
        <v>0</v>
      </c>
      <c r="OO329" s="242">
        <f t="shared" si="2370"/>
        <v>0</v>
      </c>
      <c r="OP329" s="56"/>
      <c r="OS329" s="55">
        <f t="shared" si="2371"/>
        <v>46300</v>
      </c>
      <c r="OT329" s="56"/>
      <c r="OU329" s="242">
        <f>SUMPRODUCT(PRODUCE!$B326:$DY326,PRODUCE!$EB$52:$IY$52)</f>
        <v>0</v>
      </c>
      <c r="OV329" s="56"/>
      <c r="OW329" s="242">
        <f t="shared" si="2372"/>
        <v>0</v>
      </c>
      <c r="OX329" s="242">
        <f t="shared" si="2373"/>
        <v>1482</v>
      </c>
      <c r="OY329" s="56"/>
      <c r="PB329" s="55">
        <f t="shared" si="2374"/>
        <v>46300</v>
      </c>
      <c r="PC329" s="56"/>
      <c r="PD329" s="242">
        <f>SUMPRODUCT(PRODUCE!$B326:$DY326,PRODUCE!$EB$53:$IY$53)</f>
        <v>0</v>
      </c>
      <c r="PE329" s="56"/>
      <c r="PF329" s="242">
        <f t="shared" si="2375"/>
        <v>0</v>
      </c>
      <c r="PG329" s="242">
        <f t="shared" si="2376"/>
        <v>0</v>
      </c>
      <c r="PH329" s="56"/>
      <c r="PK329" s="55">
        <f t="shared" si="2377"/>
        <v>46300</v>
      </c>
      <c r="PL329" s="56"/>
      <c r="PM329" s="242">
        <f>SUMPRODUCT(PRODUCE!$B326:$DY326,PRODUCE!$EB$54:$IY$54)</f>
        <v>0</v>
      </c>
      <c r="PN329" s="56"/>
      <c r="PO329" s="242">
        <f t="shared" si="2378"/>
        <v>0</v>
      </c>
      <c r="PP329" s="242">
        <f t="shared" si="2379"/>
        <v>100</v>
      </c>
      <c r="PQ329" s="56"/>
      <c r="PT329" s="55">
        <f t="shared" si="2380"/>
        <v>46300</v>
      </c>
      <c r="PU329" s="56"/>
      <c r="PV329" s="242">
        <f>SUMPRODUCT(PRODUCE!$B326:$DY326,PRODUCE!$EB$55:$IY$55)</f>
        <v>0</v>
      </c>
      <c r="PW329" s="56"/>
      <c r="PX329" s="242">
        <f t="shared" si="2381"/>
        <v>0</v>
      </c>
      <c r="PY329" s="242">
        <f t="shared" si="2382"/>
        <v>13.960000000000036</v>
      </c>
      <c r="PZ329" s="56"/>
      <c r="QC329" s="55">
        <f t="shared" si="2383"/>
        <v>46300</v>
      </c>
      <c r="QD329" s="56"/>
      <c r="QE329" s="242">
        <f>SUMPRODUCT(PRODUCE!$B326:$DY326,PRODUCE!$EB$56:$IY$56)</f>
        <v>0</v>
      </c>
      <c r="QF329" s="56"/>
      <c r="QG329" s="242">
        <f t="shared" si="2384"/>
        <v>0</v>
      </c>
      <c r="QH329" s="242">
        <f t="shared" si="2385"/>
        <v>548</v>
      </c>
      <c r="QI329" s="56"/>
      <c r="QL329" s="55">
        <f t="shared" si="2386"/>
        <v>46300</v>
      </c>
      <c r="QM329" s="56"/>
      <c r="QN329" s="242">
        <f>SUMPRODUCT(PRODUCE!$B326:$DY326,PRODUCE!$EB$57:$IY$57)</f>
        <v>0</v>
      </c>
      <c r="QO329" s="56"/>
      <c r="QP329" s="242">
        <f t="shared" si="2387"/>
        <v>0</v>
      </c>
      <c r="QQ329" s="242">
        <f t="shared" si="2388"/>
        <v>0</v>
      </c>
      <c r="QR329" s="56"/>
      <c r="QU329" s="55">
        <f t="shared" si="2389"/>
        <v>46300</v>
      </c>
      <c r="QV329" s="56"/>
      <c r="QW329" s="242">
        <f>SUMPRODUCT(PRODUCE!$B326:$DY326,PRODUCE!$EB$57:$IY$57)</f>
        <v>0</v>
      </c>
      <c r="QX329" s="56"/>
      <c r="QY329" s="242">
        <f t="shared" si="2390"/>
        <v>0</v>
      </c>
      <c r="QZ329" s="242">
        <f t="shared" si="2391"/>
        <v>0</v>
      </c>
      <c r="RA329" s="56"/>
      <c r="RD329" s="55">
        <f t="shared" si="2392"/>
        <v>46300</v>
      </c>
      <c r="RE329" s="56"/>
      <c r="RF329" s="242">
        <f>SUMPRODUCT(PRODUCE!$B326:$DY326,PRODUCE!$EB$58:$IY$58)</f>
        <v>0</v>
      </c>
      <c r="RG329" s="56"/>
      <c r="RH329" s="242">
        <f t="shared" si="2393"/>
        <v>0</v>
      </c>
      <c r="RI329" s="242">
        <f t="shared" si="2394"/>
        <v>147.04000000000002</v>
      </c>
      <c r="RJ329" s="56"/>
      <c r="RM329" s="55">
        <f t="shared" si="2395"/>
        <v>46300</v>
      </c>
      <c r="RN329" s="56"/>
      <c r="RO329" s="242">
        <f>SUMPRODUCT(PRODUCE!$B326:$DY326,PRODUCE!$EB$57:$IY$57)</f>
        <v>0</v>
      </c>
      <c r="RP329" s="56"/>
      <c r="RQ329" s="242">
        <f t="shared" si="2396"/>
        <v>0</v>
      </c>
      <c r="RR329" s="242">
        <f t="shared" si="2397"/>
        <v>46.8</v>
      </c>
      <c r="RS329" s="56"/>
      <c r="RV329" s="55">
        <f t="shared" si="2398"/>
        <v>46300</v>
      </c>
      <c r="RW329" s="56"/>
      <c r="RX329" s="242">
        <f>SUMPRODUCT(PRODUCE!$B326:$DY326,PRODUCE!$EB$57:$IY$57)</f>
        <v>0</v>
      </c>
      <c r="RY329" s="56"/>
      <c r="RZ329" s="242">
        <f t="shared" si="2399"/>
        <v>0</v>
      </c>
      <c r="SA329" s="242">
        <f t="shared" si="2400"/>
        <v>0</v>
      </c>
      <c r="SB329" s="56"/>
      <c r="SE329" s="55">
        <f t="shared" si="2401"/>
        <v>46300</v>
      </c>
      <c r="SF329" s="56"/>
      <c r="SG329" s="242">
        <f>SUMPRODUCT(PRODUCE!$B326:$DY326,PRODUCE!$EB$61:$IY$61)</f>
        <v>0</v>
      </c>
      <c r="SH329" s="56"/>
      <c r="SI329" s="242">
        <f t="shared" si="2402"/>
        <v>0</v>
      </c>
      <c r="SJ329" s="242">
        <f t="shared" si="2403"/>
        <v>24.200000000000003</v>
      </c>
      <c r="SK329" s="56"/>
      <c r="SN329" s="55">
        <f t="shared" si="2404"/>
        <v>46300</v>
      </c>
      <c r="SO329" s="56"/>
      <c r="SP329" s="242">
        <f>SUMPRODUCT(PRODUCE!$B326:$DY326,PRODUCE!$EB$57:$IY$57)</f>
        <v>0</v>
      </c>
      <c r="SQ329" s="56"/>
      <c r="SR329" s="242">
        <f t="shared" si="2405"/>
        <v>0</v>
      </c>
      <c r="SS329" s="242">
        <f t="shared" si="2406"/>
        <v>32</v>
      </c>
      <c r="ST329" s="56"/>
      <c r="SW329" s="55">
        <f t="shared" si="2407"/>
        <v>46300</v>
      </c>
      <c r="SX329" s="56"/>
      <c r="SY329" s="242">
        <f>SUMPRODUCT(PRODUCE!$B326:$DY326,PRODUCE!$EB$57:$IY$57)</f>
        <v>0</v>
      </c>
      <c r="SZ329" s="56"/>
      <c r="TA329" s="242">
        <f t="shared" si="2408"/>
        <v>0</v>
      </c>
      <c r="TB329" s="242">
        <f t="shared" si="2409"/>
        <v>0</v>
      </c>
      <c r="TC329" s="56"/>
      <c r="TF329" s="55">
        <f t="shared" si="2410"/>
        <v>46300</v>
      </c>
      <c r="TG329" s="56"/>
      <c r="TH329" s="242">
        <f>SUMPRODUCT(PRODUCE!$B326:$DY326,PRODUCE!$EB$57:$IY$57)</f>
        <v>0</v>
      </c>
      <c r="TI329" s="56"/>
      <c r="TJ329" s="242">
        <f t="shared" si="2411"/>
        <v>0</v>
      </c>
      <c r="TK329" s="242">
        <f t="shared" si="2412"/>
        <v>0</v>
      </c>
      <c r="TL329" s="56"/>
      <c r="TO329" s="55">
        <f t="shared" si="2413"/>
        <v>46300</v>
      </c>
      <c r="TP329" s="56"/>
      <c r="TQ329" s="242">
        <f>SUMPRODUCT(PRODUCE!$B326:$DY326,PRODUCE!$EB$57:$IY$57)</f>
        <v>0</v>
      </c>
      <c r="TR329" s="56"/>
      <c r="TS329" s="242">
        <f t="shared" si="2414"/>
        <v>0</v>
      </c>
      <c r="TT329" s="242">
        <f t="shared" si="2415"/>
        <v>0</v>
      </c>
      <c r="TU329" s="56"/>
      <c r="TX329" s="55">
        <f t="shared" si="2416"/>
        <v>46300</v>
      </c>
      <c r="TY329" s="56"/>
      <c r="TZ329" s="242">
        <f>SUMPRODUCT(PRODUCE!$B326:$DY326,PRODUCE!$EB$57:$IY$57)</f>
        <v>0</v>
      </c>
      <c r="UA329" s="56"/>
      <c r="UB329" s="242">
        <f t="shared" si="2417"/>
        <v>0</v>
      </c>
      <c r="UC329" s="242">
        <f t="shared" si="2418"/>
        <v>46.799999999999983</v>
      </c>
      <c r="UD329" s="56"/>
      <c r="UG329" s="55">
        <f t="shared" si="2419"/>
        <v>46300</v>
      </c>
      <c r="UH329" s="56"/>
      <c r="UI329" s="242">
        <f>SUMPRODUCT(PRODUCE!$B326:$DY326,PRODUCE!$EB$57:$IY$57)</f>
        <v>0</v>
      </c>
      <c r="UJ329" s="56"/>
      <c r="UK329" s="242">
        <f t="shared" si="2420"/>
        <v>0</v>
      </c>
      <c r="UL329" s="242">
        <f t="shared" si="2421"/>
        <v>204</v>
      </c>
      <c r="UM329" s="56"/>
      <c r="UP329" s="55">
        <f t="shared" si="2422"/>
        <v>46300</v>
      </c>
      <c r="UQ329" s="56"/>
      <c r="UR329" s="242">
        <f>SUMPRODUCT(PRODUCE!$B326:$DY326,PRODUCE!$EB$57:$IY$57)</f>
        <v>0</v>
      </c>
      <c r="US329" s="56"/>
      <c r="UT329" s="242">
        <f t="shared" si="2423"/>
        <v>0</v>
      </c>
      <c r="UU329" s="242">
        <f t="shared" si="2424"/>
        <v>202.5</v>
      </c>
      <c r="UV329" s="56"/>
      <c r="UY329" s="55">
        <f t="shared" si="2425"/>
        <v>46300</v>
      </c>
      <c r="UZ329" s="56"/>
      <c r="VA329" s="242">
        <f>SUMPRODUCT(PRODUCE!$B326:$DY326,PRODUCE!$EB$57:$IY$57)</f>
        <v>0</v>
      </c>
      <c r="VB329" s="56"/>
      <c r="VC329" s="242">
        <f t="shared" si="2426"/>
        <v>0</v>
      </c>
      <c r="VD329" s="242">
        <f t="shared" si="2427"/>
        <v>41.600000000000023</v>
      </c>
      <c r="VE329" s="56"/>
      <c r="VH329" s="55">
        <f t="shared" si="2428"/>
        <v>46300</v>
      </c>
      <c r="VI329" s="56"/>
      <c r="VJ329" s="242">
        <f>SUMPRODUCT(PRODUCE!$B326:$DY326,PRODUCE!$EB$57:$IY$57)</f>
        <v>0</v>
      </c>
      <c r="VK329" s="56"/>
      <c r="VL329" s="242">
        <f t="shared" si="2429"/>
        <v>0</v>
      </c>
      <c r="VM329" s="242">
        <f t="shared" si="2430"/>
        <v>210</v>
      </c>
      <c r="VN329" s="56"/>
      <c r="VQ329" s="55">
        <f t="shared" si="2431"/>
        <v>46300</v>
      </c>
      <c r="VR329" s="56"/>
      <c r="VS329" s="242">
        <f>SUMPRODUCT(PRODUCE!$B326:$DY326,PRODUCE!$EB$57:$IY$57)</f>
        <v>0</v>
      </c>
      <c r="VT329" s="56"/>
      <c r="VU329" s="242">
        <f t="shared" si="2432"/>
        <v>0</v>
      </c>
      <c r="VV329" s="242">
        <f t="shared" si="2433"/>
        <v>0</v>
      </c>
      <c r="VW329" s="56"/>
      <c r="VZ329" s="55">
        <f t="shared" si="2434"/>
        <v>46300</v>
      </c>
      <c r="WA329" s="56"/>
      <c r="WB329" s="242">
        <f>SUMPRODUCT(PRODUCE!$B326:$DY326,PRODUCE!$EB$57:$IY$57)</f>
        <v>0</v>
      </c>
      <c r="WC329" s="56"/>
      <c r="WD329" s="242">
        <f t="shared" si="2435"/>
        <v>0</v>
      </c>
      <c r="WE329" s="242">
        <f t="shared" si="2436"/>
        <v>0</v>
      </c>
      <c r="WF329" s="56"/>
      <c r="WI329" s="55">
        <f t="shared" si="2437"/>
        <v>46300</v>
      </c>
      <c r="WJ329" s="56"/>
      <c r="WK329" s="242">
        <f>SUMPRODUCT(PRODUCE!$B326:$DY326,PRODUCE!$EB$57:$IY$57)</f>
        <v>0</v>
      </c>
      <c r="WL329" s="56"/>
      <c r="WM329" s="242">
        <f t="shared" si="2438"/>
        <v>0</v>
      </c>
      <c r="WN329" s="242">
        <f t="shared" si="2439"/>
        <v>1057</v>
      </c>
      <c r="WO329" s="56"/>
      <c r="WR329" s="55">
        <f t="shared" si="2440"/>
        <v>46300</v>
      </c>
      <c r="WS329" s="56"/>
      <c r="WT329" s="242">
        <f>SUMPRODUCT(PRODUCE!$B326:$DY326,PRODUCE!$EB$57:$IY$57)</f>
        <v>0</v>
      </c>
      <c r="WU329" s="56"/>
      <c r="WV329" s="242">
        <f t="shared" si="2441"/>
        <v>0</v>
      </c>
      <c r="WW329" s="242">
        <f t="shared" si="2442"/>
        <v>0</v>
      </c>
      <c r="WX329" s="56"/>
      <c r="XA329" s="55">
        <f t="shared" si="2443"/>
        <v>46300</v>
      </c>
      <c r="XB329" s="56"/>
      <c r="XC329" s="242">
        <f>SUMPRODUCT(PRODUCE!$B326:$DY326,PRODUCE!$EB$57:$IY$57)</f>
        <v>0</v>
      </c>
      <c r="XD329" s="56"/>
      <c r="XE329" s="242">
        <f t="shared" si="2444"/>
        <v>0</v>
      </c>
      <c r="XF329" s="242">
        <f t="shared" si="2445"/>
        <v>7507</v>
      </c>
      <c r="XG329" s="56"/>
      <c r="XJ329" s="55">
        <f t="shared" si="2446"/>
        <v>46300</v>
      </c>
      <c r="XK329" s="56"/>
      <c r="XL329" s="242">
        <f>SUMPRODUCT(PRODUCE!$B326:$DY326,PRODUCE!$EB$57:$IY$57)</f>
        <v>0</v>
      </c>
      <c r="XM329" s="56"/>
      <c r="XN329" s="242">
        <f t="shared" si="2447"/>
        <v>0</v>
      </c>
      <c r="XO329" s="242">
        <f t="shared" si="2448"/>
        <v>4252</v>
      </c>
      <c r="XP329" s="56"/>
      <c r="XS329" s="55">
        <f t="shared" si="2449"/>
        <v>46300</v>
      </c>
      <c r="XT329" s="56"/>
      <c r="XU329" s="242">
        <f>SUMPRODUCT(PRODUCE!$B326:$DY326,PRODUCE!$EB$57:$IY$57)</f>
        <v>0</v>
      </c>
      <c r="XV329" s="56"/>
      <c r="XW329" s="242">
        <f t="shared" si="2450"/>
        <v>0</v>
      </c>
      <c r="XX329" s="242">
        <f t="shared" si="2451"/>
        <v>2179</v>
      </c>
      <c r="XY329" s="56"/>
      <c r="YB329" s="55">
        <f t="shared" si="2452"/>
        <v>46300</v>
      </c>
      <c r="YC329" s="56"/>
      <c r="YD329" s="242">
        <f>SUMPRODUCT(PRODUCE!$B326:$DY326,PRODUCE!$EB$57:$IY$57)</f>
        <v>0</v>
      </c>
      <c r="YE329" s="56"/>
      <c r="YF329" s="242">
        <f t="shared" si="2453"/>
        <v>0</v>
      </c>
      <c r="YG329" s="242">
        <f t="shared" si="2454"/>
        <v>4019</v>
      </c>
      <c r="YH329" s="56"/>
      <c r="YK329" s="55">
        <f t="shared" si="2455"/>
        <v>46300</v>
      </c>
      <c r="YL329" s="56"/>
      <c r="YM329" s="242">
        <f>SUMPRODUCT(PRODUCE!$B326:$DY326,PRODUCE!$EB$57:$IY$57)</f>
        <v>0</v>
      </c>
      <c r="YN329" s="56"/>
      <c r="YO329" s="242">
        <f t="shared" si="2456"/>
        <v>0</v>
      </c>
      <c r="YP329" s="242">
        <f t="shared" si="2457"/>
        <v>-218</v>
      </c>
      <c r="YQ329" s="56"/>
      <c r="YT329" s="55">
        <f t="shared" si="2458"/>
        <v>46300</v>
      </c>
      <c r="YU329" s="56"/>
      <c r="YV329" s="242">
        <f>SUMPRODUCT(PRODUCE!$B326:$DY326,PRODUCE!$EB$57:$IY$57)</f>
        <v>0</v>
      </c>
      <c r="YW329" s="56"/>
      <c r="YX329" s="242">
        <f t="shared" si="2459"/>
        <v>0</v>
      </c>
      <c r="YY329" s="242">
        <f t="shared" si="2460"/>
        <v>0</v>
      </c>
      <c r="YZ329" s="56"/>
      <c r="ZC329" s="55">
        <f t="shared" si="2461"/>
        <v>46300</v>
      </c>
      <c r="ZD329" s="56"/>
      <c r="ZE329" s="242">
        <f>SUMPRODUCT(PRODUCE!$B326:$DY326,PRODUCE!$EB$57:$IY$57)</f>
        <v>0</v>
      </c>
      <c r="ZF329" s="56"/>
      <c r="ZG329" s="242">
        <f t="shared" si="2462"/>
        <v>0</v>
      </c>
      <c r="ZH329" s="242">
        <f t="shared" si="2463"/>
        <v>0</v>
      </c>
      <c r="ZI329" s="56"/>
      <c r="ZL329" s="55">
        <f t="shared" si="2464"/>
        <v>46300</v>
      </c>
      <c r="ZM329" s="56"/>
      <c r="ZN329" s="242">
        <f>SUMPRODUCT(PRODUCE!$B326:$DY326,PRODUCE!$EB$57:$IY$57)</f>
        <v>0</v>
      </c>
      <c r="ZO329" s="56"/>
      <c r="ZP329" s="242">
        <f t="shared" si="2465"/>
        <v>0</v>
      </c>
      <c r="ZQ329" s="242">
        <f t="shared" si="2466"/>
        <v>0</v>
      </c>
      <c r="ZR329" s="56"/>
      <c r="ZU329" s="55">
        <f t="shared" si="2467"/>
        <v>46300</v>
      </c>
      <c r="ZV329" s="56"/>
      <c r="ZW329" s="242">
        <f>SUMPRODUCT(PRODUCE!$B326:$DY326,PRODUCE!$EB$57:$IY$57)</f>
        <v>0</v>
      </c>
      <c r="ZX329" s="56"/>
      <c r="ZY329" s="242">
        <f t="shared" si="2468"/>
        <v>0</v>
      </c>
      <c r="ZZ329" s="242">
        <f t="shared" si="2469"/>
        <v>0</v>
      </c>
      <c r="AAA329" s="56"/>
      <c r="AAD329" s="55">
        <f t="shared" si="2470"/>
        <v>46300</v>
      </c>
      <c r="AAE329" s="56"/>
      <c r="AAF329" s="242">
        <f>SUMPRODUCT(PRODUCE!$B326:$DY326,PRODUCE!$EB$57:$IY$57)</f>
        <v>0</v>
      </c>
      <c r="AAG329" s="56"/>
      <c r="AAH329" s="242">
        <f t="shared" si="2471"/>
        <v>0</v>
      </c>
      <c r="AAI329" s="242">
        <f t="shared" si="2472"/>
        <v>0</v>
      </c>
      <c r="AAJ329" s="56"/>
      <c r="AAM329" s="55">
        <f t="shared" si="2473"/>
        <v>46300</v>
      </c>
      <c r="AAN329" s="56"/>
      <c r="AAO329" s="242">
        <f>SUMPRODUCT(PRODUCE!$B326:$DY326,PRODUCE!$EB$57:$IY$57)</f>
        <v>0</v>
      </c>
      <c r="AAP329" s="56"/>
      <c r="AAQ329" s="242">
        <f t="shared" si="2474"/>
        <v>0</v>
      </c>
      <c r="AAR329" s="242">
        <f t="shared" si="2475"/>
        <v>0</v>
      </c>
      <c r="AAS329" s="56"/>
      <c r="AAV329" s="55">
        <f t="shared" si="2476"/>
        <v>46300</v>
      </c>
      <c r="AAW329" s="56"/>
      <c r="AAX329" s="242">
        <f>SUMPRODUCT(PRODUCE!$B326:$DY326,PRODUCE!$EB$57:$IY$57)</f>
        <v>0</v>
      </c>
      <c r="AAY329" s="56"/>
      <c r="AAZ329" s="242">
        <f t="shared" si="2477"/>
        <v>0</v>
      </c>
      <c r="ABA329" s="242">
        <f t="shared" si="2478"/>
        <v>0</v>
      </c>
      <c r="ABB329" s="56"/>
      <c r="ABE329" s="55">
        <f t="shared" si="2479"/>
        <v>46300</v>
      </c>
      <c r="ABF329" s="56"/>
      <c r="ABG329" s="242">
        <f>SUMPRODUCT(PRODUCE!$B326:$DY326,PRODUCE!$EB$57:$IY$57)</f>
        <v>0</v>
      </c>
      <c r="ABH329" s="56"/>
      <c r="ABI329" s="242">
        <f t="shared" si="2480"/>
        <v>0</v>
      </c>
      <c r="ABJ329" s="242">
        <f t="shared" si="2481"/>
        <v>0</v>
      </c>
      <c r="ABK329" s="56"/>
    </row>
    <row r="330" spans="1:739" s="54" customFormat="1" ht="15" customHeight="1" outlineLevel="1">
      <c r="B330" s="478"/>
      <c r="C330" s="55">
        <v>46301</v>
      </c>
      <c r="D330" s="56"/>
      <c r="E330" s="57">
        <f>SUMPRODUCT(PRODUCE!$B327:$DY327,PRODUCE!$EB$7:$IY$7)</f>
        <v>0</v>
      </c>
      <c r="F330" s="56"/>
      <c r="G330" s="57">
        <f t="shared" si="2237"/>
        <v>0</v>
      </c>
      <c r="H330" s="57">
        <f t="shared" si="2238"/>
        <v>236936.6</v>
      </c>
      <c r="I330" s="289"/>
      <c r="L330" s="55">
        <f t="shared" si="2239"/>
        <v>46301</v>
      </c>
      <c r="M330" s="56"/>
      <c r="N330" s="59">
        <f>SUMPRODUCT(PRODUCE!$B327:$DY327,PRODUCE!$EB$8:$IY$8)</f>
        <v>0</v>
      </c>
      <c r="O330" s="56"/>
      <c r="P330" s="59">
        <f t="shared" si="2240"/>
        <v>0</v>
      </c>
      <c r="Q330" s="59">
        <f t="shared" si="2241"/>
        <v>53017.600000000071</v>
      </c>
      <c r="R330" s="56"/>
      <c r="U330" s="55">
        <f t="shared" si="2242"/>
        <v>46301</v>
      </c>
      <c r="V330" s="56"/>
      <c r="W330" s="60">
        <f>SUMPRODUCT(PRODUCE!$B327:$DY327,PRODUCE!$EB$9:$IY$9)</f>
        <v>0</v>
      </c>
      <c r="X330" s="56"/>
      <c r="Y330" s="60">
        <f t="shared" si="2243"/>
        <v>0</v>
      </c>
      <c r="Z330" s="60">
        <f t="shared" si="2244"/>
        <v>42674.199999999968</v>
      </c>
      <c r="AA330" s="56"/>
      <c r="AD330" s="55">
        <f t="shared" si="2245"/>
        <v>46301</v>
      </c>
      <c r="AE330" s="56"/>
      <c r="AF330" s="61">
        <f>SUMPRODUCT(PRODUCE!$B327:$DY327,PRODUCE!$EB$10:$IY$10)</f>
        <v>0</v>
      </c>
      <c r="AG330" s="56"/>
      <c r="AH330" s="61">
        <f t="shared" si="2246"/>
        <v>0</v>
      </c>
      <c r="AI330" s="61">
        <f t="shared" si="2247"/>
        <v>4522.2000000000189</v>
      </c>
      <c r="AJ330" s="56"/>
      <c r="AM330" s="55">
        <f t="shared" si="2248"/>
        <v>46301</v>
      </c>
      <c r="AN330" s="422"/>
      <c r="AO330" s="444">
        <f>SUMPRODUCT(PRODUCE!$B327:$DY327,PRODUCE!$EB$11:$IY$11)</f>
        <v>0</v>
      </c>
      <c r="AP330" s="422"/>
      <c r="AQ330" s="444">
        <f t="shared" si="2249"/>
        <v>0</v>
      </c>
      <c r="AR330" s="444">
        <f t="shared" si="2250"/>
        <v>0</v>
      </c>
      <c r="AS330" s="56"/>
      <c r="AV330" s="55">
        <f t="shared" si="2251"/>
        <v>46301</v>
      </c>
      <c r="AW330" s="56"/>
      <c r="AX330" s="62">
        <f>SUMPRODUCT(PRODUCE!$B327:$DY327,PRODUCE!$EB$12:$IY$12)</f>
        <v>0</v>
      </c>
      <c r="AY330" s="56"/>
      <c r="AZ330" s="62">
        <f t="shared" si="2252"/>
        <v>0</v>
      </c>
      <c r="BA330" s="62">
        <f t="shared" si="2253"/>
        <v>124.99999999999523</v>
      </c>
      <c r="BB330" s="56"/>
      <c r="BE330" s="55">
        <f t="shared" si="2254"/>
        <v>46301</v>
      </c>
      <c r="BF330" s="56"/>
      <c r="BG330" s="63">
        <f>SUMPRODUCT(PRODUCE!$B327:$DY327,PRODUCE!$EB$13:$IY$13)</f>
        <v>0</v>
      </c>
      <c r="BH330" s="56"/>
      <c r="BI330" s="63">
        <f t="shared" si="2255"/>
        <v>0</v>
      </c>
      <c r="BJ330" s="63">
        <f t="shared" si="2256"/>
        <v>26151.899999999998</v>
      </c>
      <c r="BK330" s="56"/>
      <c r="BN330" s="55">
        <f t="shared" si="2257"/>
        <v>46301</v>
      </c>
      <c r="BO330" s="56"/>
      <c r="BP330" s="64">
        <f>SUMPRODUCT(PRODUCE!$B327:$DY327,PRODUCE!$EB$14:$IY$14)</f>
        <v>0</v>
      </c>
      <c r="BQ330" s="56"/>
      <c r="BR330" s="64">
        <f t="shared" si="2258"/>
        <v>0</v>
      </c>
      <c r="BS330" s="64">
        <f t="shared" si="2259"/>
        <v>0</v>
      </c>
      <c r="BT330" s="56"/>
      <c r="BW330" s="55">
        <f t="shared" si="2260"/>
        <v>46301</v>
      </c>
      <c r="BX330" s="56"/>
      <c r="BY330" s="65">
        <f>SUMPRODUCT(PRODUCE!$B327:$DY327,PRODUCE!$EB$15:$IY$15)</f>
        <v>0</v>
      </c>
      <c r="BZ330" s="56"/>
      <c r="CA330" s="65">
        <f t="shared" si="2261"/>
        <v>0</v>
      </c>
      <c r="CB330" s="65">
        <f t="shared" si="2262"/>
        <v>2097.3399999999992</v>
      </c>
      <c r="CC330" s="56"/>
      <c r="CF330" s="55">
        <f t="shared" si="2263"/>
        <v>46301</v>
      </c>
      <c r="CG330" s="56"/>
      <c r="CH330" s="66">
        <f>SUMPRODUCT(PRODUCE!$B327:$DY327,PRODUCE!$EB$16:$IY$16)</f>
        <v>0</v>
      </c>
      <c r="CI330" s="56"/>
      <c r="CJ330" s="66">
        <f t="shared" si="2264"/>
        <v>0</v>
      </c>
      <c r="CK330" s="66">
        <f t="shared" si="2265"/>
        <v>-10277.079999999998</v>
      </c>
      <c r="CL330" s="56"/>
      <c r="CO330" s="55">
        <f t="shared" si="2266"/>
        <v>46301</v>
      </c>
      <c r="CP330" s="422"/>
      <c r="CQ330" s="470">
        <f>SUMPRODUCT(PRODUCE!$B327:$DY327,PRODUCE!$EB$17:$IY$17)</f>
        <v>0</v>
      </c>
      <c r="CR330" s="422"/>
      <c r="CS330" s="470">
        <f t="shared" si="2267"/>
        <v>0</v>
      </c>
      <c r="CT330" s="470">
        <f t="shared" si="2268"/>
        <v>0</v>
      </c>
      <c r="CU330" s="56"/>
      <c r="CX330" s="55">
        <f t="shared" si="2269"/>
        <v>46301</v>
      </c>
      <c r="CY330" s="56"/>
      <c r="CZ330" s="133">
        <f>SUMPRODUCT(PRODUCE!$B327:$DY327,PRODUCE!$EB$18:$IY$18)</f>
        <v>0</v>
      </c>
      <c r="DA330" s="56"/>
      <c r="DB330" s="133">
        <f t="shared" si="2270"/>
        <v>0</v>
      </c>
      <c r="DC330" s="133">
        <f t="shared" si="2271"/>
        <v>27438.200000000012</v>
      </c>
      <c r="DD330" s="56"/>
      <c r="DG330" s="55">
        <f t="shared" si="2272"/>
        <v>46301</v>
      </c>
      <c r="DH330" s="56"/>
      <c r="DI330" s="147">
        <f>SUMPRODUCT(PRODUCE!$B327:$DY327,PRODUCE!$EB$19:$IY$19)</f>
        <v>0</v>
      </c>
      <c r="DJ330" s="56"/>
      <c r="DK330" s="147">
        <f t="shared" si="2273"/>
        <v>0</v>
      </c>
      <c r="DL330" s="147">
        <f t="shared" si="2274"/>
        <v>18782.299999999981</v>
      </c>
      <c r="DM330" s="56"/>
      <c r="DP330" s="55">
        <f t="shared" si="2275"/>
        <v>46301</v>
      </c>
      <c r="DQ330" s="56"/>
      <c r="DR330" s="57">
        <f>SUMPRODUCT(PRODUCE!$B327:$DY327,PRODUCE!$EB$20:$IY$20)</f>
        <v>0</v>
      </c>
      <c r="DS330" s="56"/>
      <c r="DT330" s="57">
        <f t="shared" si="2276"/>
        <v>0</v>
      </c>
      <c r="DU330" s="57">
        <f t="shared" si="2277"/>
        <v>5800</v>
      </c>
      <c r="DV330" s="56"/>
      <c r="DY330" s="55">
        <f t="shared" si="2278"/>
        <v>46301</v>
      </c>
      <c r="DZ330" s="56"/>
      <c r="EA330" s="157">
        <f>SUMPRODUCT(PRODUCE!$B327:$DY327,PRODUCE!$EB$21:$IY$21)</f>
        <v>0</v>
      </c>
      <c r="EB330" s="56"/>
      <c r="EC330" s="157">
        <f t="shared" si="2279"/>
        <v>0</v>
      </c>
      <c r="ED330" s="157">
        <f t="shared" si="2280"/>
        <v>0</v>
      </c>
      <c r="EE330" s="56"/>
      <c r="EH330" s="55">
        <f t="shared" si="2281"/>
        <v>46301</v>
      </c>
      <c r="EI330" s="56"/>
      <c r="EJ330" s="162">
        <f>SUMPRODUCT(PRODUCE!$B327:$DY327,PRODUCE!$EB$22:$IY$22)</f>
        <v>0</v>
      </c>
      <c r="EK330" s="56"/>
      <c r="EL330" s="162">
        <f t="shared" si="2282"/>
        <v>0</v>
      </c>
      <c r="EM330" s="162">
        <f t="shared" si="2283"/>
        <v>0</v>
      </c>
      <c r="EN330" s="56"/>
      <c r="EQ330" s="55">
        <f t="shared" si="2284"/>
        <v>46301</v>
      </c>
      <c r="ER330" s="56"/>
      <c r="ES330" s="135">
        <f>SUMPRODUCT(PRODUCE!$B327:$DY327,PRODUCE!$EB$23:$IY$23)</f>
        <v>0</v>
      </c>
      <c r="ET330" s="56"/>
      <c r="EU330" s="135">
        <f t="shared" si="2285"/>
        <v>0</v>
      </c>
      <c r="EV330" s="135">
        <f t="shared" si="2286"/>
        <v>0</v>
      </c>
      <c r="EW330" s="56"/>
      <c r="EZ330" s="55">
        <f t="shared" si="2287"/>
        <v>46301</v>
      </c>
      <c r="FA330" s="56"/>
      <c r="FB330" s="175">
        <f>SUMPRODUCT(PRODUCE!$B327:$DY327,PRODUCE!$EB$24:$IY$24)</f>
        <v>0</v>
      </c>
      <c r="FC330" s="56"/>
      <c r="FD330" s="175">
        <f t="shared" si="2288"/>
        <v>0</v>
      </c>
      <c r="FE330" s="175">
        <f t="shared" si="2289"/>
        <v>0</v>
      </c>
      <c r="FF330" s="56"/>
      <c r="FI330" s="55">
        <f t="shared" si="2290"/>
        <v>46301</v>
      </c>
      <c r="FJ330" s="56"/>
      <c r="FK330" s="183">
        <f>SUMPRODUCT(PRODUCE!$B327:$DY327,PRODUCE!$EB$25:$IY$25)</f>
        <v>0</v>
      </c>
      <c r="FL330" s="56"/>
      <c r="FM330" s="183">
        <f t="shared" si="2291"/>
        <v>0</v>
      </c>
      <c r="FN330" s="183">
        <f t="shared" si="2292"/>
        <v>0</v>
      </c>
      <c r="FO330" s="56"/>
      <c r="FR330" s="55">
        <f t="shared" si="2293"/>
        <v>46301</v>
      </c>
      <c r="FS330" s="56"/>
      <c r="FT330" s="186">
        <f>SUMPRODUCT(PRODUCE!$B327:$DY327,PRODUCE!$EB$26:$IY$26)</f>
        <v>0</v>
      </c>
      <c r="FU330" s="56"/>
      <c r="FV330" s="186">
        <f t="shared" si="2294"/>
        <v>0</v>
      </c>
      <c r="FW330" s="186">
        <f t="shared" si="2295"/>
        <v>2020</v>
      </c>
      <c r="FX330" s="56"/>
      <c r="GA330" s="55">
        <f t="shared" si="2296"/>
        <v>46301</v>
      </c>
      <c r="GB330" s="56"/>
      <c r="GC330" s="137">
        <f>SUMPRODUCT(PRODUCE!$B327:$DY327,PRODUCE!$EB$27:$IY$27)</f>
        <v>0</v>
      </c>
      <c r="GD330" s="56"/>
      <c r="GE330" s="137">
        <f t="shared" si="2297"/>
        <v>0</v>
      </c>
      <c r="GF330" s="137">
        <f t="shared" si="2298"/>
        <v>960</v>
      </c>
      <c r="GG330" s="56"/>
      <c r="GI330" s="23"/>
      <c r="GJ330" s="55">
        <f t="shared" si="2299"/>
        <v>46301</v>
      </c>
      <c r="GK330" s="56"/>
      <c r="GL330" s="199">
        <f>SUMPRODUCT(PRODUCE!$B327:$DY327,PRODUCE!$EB$28:$IY$28)</f>
        <v>0</v>
      </c>
      <c r="GM330" s="56"/>
      <c r="GN330" s="199">
        <f t="shared" si="2300"/>
        <v>0</v>
      </c>
      <c r="GO330" s="199">
        <f t="shared" si="2301"/>
        <v>1760</v>
      </c>
      <c r="GP330" s="56"/>
      <c r="GS330" s="55">
        <f t="shared" si="2302"/>
        <v>46301</v>
      </c>
      <c r="GT330" s="56"/>
      <c r="GU330" s="195">
        <f>SUMPRODUCT(PRODUCE!$B327:$DY327,PRODUCE!$EB$29:$IY$29)</f>
        <v>0</v>
      </c>
      <c r="GV330" s="56"/>
      <c r="GW330" s="195">
        <f t="shared" si="2303"/>
        <v>0</v>
      </c>
      <c r="GX330" s="195">
        <f t="shared" si="2304"/>
        <v>400</v>
      </c>
      <c r="GY330" s="56"/>
      <c r="HB330" s="55">
        <f t="shared" si="2305"/>
        <v>46301</v>
      </c>
      <c r="HC330" s="56"/>
      <c r="HD330" s="191">
        <f>SUMPRODUCT(PRODUCE!$B327:$DY327,PRODUCE!$EB$30:$IY$30)</f>
        <v>0</v>
      </c>
      <c r="HE330" s="56"/>
      <c r="HF330" s="191">
        <f t="shared" si="2306"/>
        <v>0</v>
      </c>
      <c r="HG330" s="191">
        <f t="shared" si="2307"/>
        <v>3600</v>
      </c>
      <c r="HH330" s="56"/>
      <c r="HK330" s="55">
        <f t="shared" si="2308"/>
        <v>46301</v>
      </c>
      <c r="HL330" s="56"/>
      <c r="HM330" s="63">
        <f>SUMPRODUCT(PRODUCE!$B327:$DY327,PRODUCE!$EB$31:$IY$31)</f>
        <v>0</v>
      </c>
      <c r="HN330" s="56"/>
      <c r="HO330" s="63">
        <f t="shared" si="2309"/>
        <v>0</v>
      </c>
      <c r="HP330" s="63">
        <f t="shared" si="2310"/>
        <v>0</v>
      </c>
      <c r="HQ330" s="56"/>
      <c r="HU330" s="55">
        <f t="shared" si="2311"/>
        <v>46301</v>
      </c>
      <c r="HV330" s="56"/>
      <c r="HW330" s="242">
        <f>SUMPRODUCT(PRODUCE!$B327:$DY327,PRODUCE!$EB$32:$IY$32)</f>
        <v>0</v>
      </c>
      <c r="HX330" s="56"/>
      <c r="HY330" s="242">
        <f t="shared" si="2312"/>
        <v>0</v>
      </c>
      <c r="HZ330" s="242">
        <f t="shared" si="2313"/>
        <v>6120</v>
      </c>
      <c r="IA330" s="56"/>
      <c r="ID330" s="55">
        <f t="shared" si="2314"/>
        <v>46301</v>
      </c>
      <c r="IE330" s="56"/>
      <c r="IF330" s="242">
        <f>SUMPRODUCT(PRODUCE!$B327:$DY327,PRODUCE!$EB$33:$IY$33)</f>
        <v>0</v>
      </c>
      <c r="IG330" s="56"/>
      <c r="IH330" s="242">
        <f t="shared" si="2315"/>
        <v>0</v>
      </c>
      <c r="II330" s="242">
        <f t="shared" si="2316"/>
        <v>0</v>
      </c>
      <c r="IJ330" s="56"/>
      <c r="IM330" s="55">
        <f t="shared" si="2317"/>
        <v>46301</v>
      </c>
      <c r="IN330" s="56"/>
      <c r="IO330" s="242">
        <f>SUMPRODUCT(PRODUCE!$B327:$DY327,PRODUCE!$EB$34:$IY$34)</f>
        <v>0</v>
      </c>
      <c r="IP330" s="56"/>
      <c r="IQ330" s="242">
        <f t="shared" si="2318"/>
        <v>0</v>
      </c>
      <c r="IR330" s="242">
        <f t="shared" si="2319"/>
        <v>0</v>
      </c>
      <c r="IS330" s="56"/>
      <c r="IV330" s="55">
        <f t="shared" si="2320"/>
        <v>46301</v>
      </c>
      <c r="IW330" s="56"/>
      <c r="IX330" s="242">
        <f>SUMPRODUCT(PRODUCE!$B327:$DY327,PRODUCE!$EB$35:$IY$35)</f>
        <v>0</v>
      </c>
      <c r="IY330" s="56"/>
      <c r="IZ330" s="242">
        <f t="shared" si="2321"/>
        <v>0</v>
      </c>
      <c r="JA330" s="242">
        <f t="shared" si="2322"/>
        <v>2820</v>
      </c>
      <c r="JB330" s="56"/>
      <c r="JE330" s="55">
        <f t="shared" si="2323"/>
        <v>46301</v>
      </c>
      <c r="JF330" s="56"/>
      <c r="JG330" s="242">
        <f>SUMPRODUCT(PRODUCE!$B327:$DY327,PRODUCE!$EB$36:$IY$36)</f>
        <v>0</v>
      </c>
      <c r="JH330" s="56"/>
      <c r="JI330" s="242">
        <f t="shared" si="2324"/>
        <v>0</v>
      </c>
      <c r="JJ330" s="242">
        <f t="shared" si="2325"/>
        <v>0</v>
      </c>
      <c r="JK330" s="56"/>
      <c r="JN330" s="55">
        <f t="shared" si="2326"/>
        <v>46301</v>
      </c>
      <c r="JO330" s="56"/>
      <c r="JP330" s="242">
        <f>SUMPRODUCT(PRODUCE!$B327:$DY327,PRODUCE!$EB$37:$IY$37)</f>
        <v>0</v>
      </c>
      <c r="JQ330" s="56"/>
      <c r="JR330" s="242">
        <f t="shared" si="2327"/>
        <v>0</v>
      </c>
      <c r="JS330" s="242">
        <f t="shared" si="2328"/>
        <v>0</v>
      </c>
      <c r="JT330" s="56"/>
      <c r="JW330" s="55">
        <f t="shared" si="2329"/>
        <v>46301</v>
      </c>
      <c r="JX330" s="56"/>
      <c r="JY330" s="242">
        <f>SUMPRODUCT(PRODUCE!$B327:$DY327,PRODUCE!$EB$38:$IY$38)</f>
        <v>0</v>
      </c>
      <c r="JZ330" s="56"/>
      <c r="KA330" s="242">
        <f t="shared" si="2330"/>
        <v>0</v>
      </c>
      <c r="KB330" s="242">
        <f t="shared" si="2331"/>
        <v>2540</v>
      </c>
      <c r="KC330" s="56"/>
      <c r="KF330" s="55">
        <f t="shared" si="2332"/>
        <v>46301</v>
      </c>
      <c r="KG330" s="56"/>
      <c r="KH330" s="242">
        <f>SUMPRODUCT(PRODUCE!$B327:$DY327,PRODUCE!$EB$39:$IY$39)</f>
        <v>0</v>
      </c>
      <c r="KI330" s="56"/>
      <c r="KJ330" s="242">
        <f t="shared" si="2333"/>
        <v>0</v>
      </c>
      <c r="KK330" s="242">
        <f t="shared" si="2334"/>
        <v>2359.5</v>
      </c>
      <c r="KL330" s="56"/>
      <c r="KO330" s="55">
        <f t="shared" si="2335"/>
        <v>46301</v>
      </c>
      <c r="KP330" s="56"/>
      <c r="KQ330" s="242">
        <f>SUMPRODUCT(PRODUCE!$B327:$DY327,PRODUCE!$EB$40:$IY$40)</f>
        <v>0</v>
      </c>
      <c r="KR330" s="56"/>
      <c r="KS330" s="242">
        <f t="shared" si="2336"/>
        <v>0</v>
      </c>
      <c r="KT330" s="242">
        <f t="shared" si="2337"/>
        <v>1890</v>
      </c>
      <c r="KU330" s="56"/>
      <c r="KW330" s="23"/>
      <c r="KX330" s="55">
        <f t="shared" si="2338"/>
        <v>46301</v>
      </c>
      <c r="KY330" s="56"/>
      <c r="KZ330" s="242">
        <f>SUMPRODUCT(PRODUCE!$B327:$DY327,PRODUCE!$EB$41:$IY$41)</f>
        <v>0</v>
      </c>
      <c r="LA330" s="56"/>
      <c r="LB330" s="242">
        <f t="shared" si="2339"/>
        <v>0</v>
      </c>
      <c r="LC330" s="242">
        <f t="shared" si="2340"/>
        <v>3690</v>
      </c>
      <c r="LD330" s="56"/>
      <c r="LG330" s="55">
        <f t="shared" si="2341"/>
        <v>46301</v>
      </c>
      <c r="LH330" s="56"/>
      <c r="LI330" s="242">
        <f>SUMPRODUCT(PRODUCE!$B327:$DY327,PRODUCE!$EB$42:$IY$42)</f>
        <v>0</v>
      </c>
      <c r="LJ330" s="56"/>
      <c r="LK330" s="242">
        <f t="shared" si="2342"/>
        <v>0</v>
      </c>
      <c r="LL330" s="242">
        <f t="shared" si="2343"/>
        <v>4000</v>
      </c>
      <c r="LM330" s="56"/>
      <c r="LP330" s="55">
        <f t="shared" si="2344"/>
        <v>46301</v>
      </c>
      <c r="LQ330" s="56"/>
      <c r="LR330" s="242">
        <f>SUMPRODUCT(PRODUCE!$B327:$DY327,PRODUCE!$EB$43:$IY$43)</f>
        <v>0</v>
      </c>
      <c r="LS330" s="56"/>
      <c r="LT330" s="242">
        <f t="shared" si="2345"/>
        <v>0</v>
      </c>
      <c r="LU330" s="242">
        <f t="shared" si="2346"/>
        <v>0</v>
      </c>
      <c r="LV330" s="56"/>
      <c r="LY330" s="55">
        <f t="shared" si="2347"/>
        <v>46301</v>
      </c>
      <c r="LZ330" s="56"/>
      <c r="MA330" s="242">
        <f>SUMPRODUCT(PRODUCE!$B327:$DY327,PRODUCE!$EB$44:$IY$44)</f>
        <v>0</v>
      </c>
      <c r="MB330" s="56"/>
      <c r="MC330" s="242">
        <f t="shared" si="2348"/>
        <v>0</v>
      </c>
      <c r="MD330" s="242">
        <f t="shared" si="2349"/>
        <v>0</v>
      </c>
      <c r="ME330" s="56"/>
      <c r="MH330" s="55">
        <f t="shared" si="2350"/>
        <v>46301</v>
      </c>
      <c r="MI330" s="56"/>
      <c r="MJ330" s="242">
        <f>SUMPRODUCT(PRODUCE!$B327:$DY327,PRODUCE!$EB$45:$IY$45)</f>
        <v>0</v>
      </c>
      <c r="MK330" s="56"/>
      <c r="ML330" s="242">
        <f t="shared" si="2351"/>
        <v>0</v>
      </c>
      <c r="MM330" s="242">
        <f t="shared" si="2352"/>
        <v>0</v>
      </c>
      <c r="MN330" s="56"/>
      <c r="MQ330" s="55">
        <f t="shared" si="2353"/>
        <v>46301</v>
      </c>
      <c r="MR330" s="56"/>
      <c r="MS330" s="242">
        <f>SUMPRODUCT(PRODUCE!$B327:$DY327,PRODUCE!$EB$46:$IY$46)</f>
        <v>0</v>
      </c>
      <c r="MT330" s="56"/>
      <c r="MU330" s="242">
        <f t="shared" si="2354"/>
        <v>0</v>
      </c>
      <c r="MV330" s="242">
        <f t="shared" si="2355"/>
        <v>1625</v>
      </c>
      <c r="MW330" s="56"/>
      <c r="MZ330" s="55">
        <f t="shared" si="2356"/>
        <v>46301</v>
      </c>
      <c r="NA330" s="56"/>
      <c r="NB330" s="242">
        <f>SUMPRODUCT(PRODUCE!$B327:$DY327,PRODUCE!$EB$47:$IY$47)</f>
        <v>0</v>
      </c>
      <c r="NC330" s="56"/>
      <c r="ND330" s="242">
        <f t="shared" si="2357"/>
        <v>0</v>
      </c>
      <c r="NE330" s="242">
        <f t="shared" si="2358"/>
        <v>0</v>
      </c>
      <c r="NF330" s="56"/>
      <c r="NI330" s="55">
        <f t="shared" si="2359"/>
        <v>46301</v>
      </c>
      <c r="NJ330" s="56"/>
      <c r="NK330" s="242">
        <f>SUMPRODUCT(PRODUCE!$B327:$DY327,PRODUCE!$EB$48:$IY$48)</f>
        <v>0</v>
      </c>
      <c r="NL330" s="56"/>
      <c r="NM330" s="242">
        <f t="shared" si="2360"/>
        <v>0</v>
      </c>
      <c r="NN330" s="242">
        <f t="shared" si="2361"/>
        <v>1127</v>
      </c>
      <c r="NO330" s="56"/>
      <c r="NR330" s="55">
        <f t="shared" si="2362"/>
        <v>46301</v>
      </c>
      <c r="NS330" s="56"/>
      <c r="NT330" s="242">
        <f>SUMPRODUCT(PRODUCE!$B327:$DY327,PRODUCE!$EB$49:$IY$49)</f>
        <v>0</v>
      </c>
      <c r="NU330" s="56"/>
      <c r="NV330" s="242">
        <f t="shared" si="2363"/>
        <v>0</v>
      </c>
      <c r="NW330" s="242">
        <f t="shared" si="2364"/>
        <v>3111.9999999999995</v>
      </c>
      <c r="NX330" s="56"/>
      <c r="OA330" s="55">
        <f t="shared" si="2365"/>
        <v>46301</v>
      </c>
      <c r="OB330" s="56"/>
      <c r="OC330" s="242">
        <f>SUMPRODUCT(PRODUCE!$B327:$DY327,PRODUCE!$EB$50:$IY$50)</f>
        <v>0</v>
      </c>
      <c r="OD330" s="56"/>
      <c r="OE330" s="242">
        <f t="shared" si="2366"/>
        <v>0</v>
      </c>
      <c r="OF330" s="242">
        <f t="shared" si="2367"/>
        <v>1680.5</v>
      </c>
      <c r="OG330" s="56"/>
      <c r="OJ330" s="55">
        <f t="shared" si="2368"/>
        <v>46301</v>
      </c>
      <c r="OK330" s="56"/>
      <c r="OL330" s="242">
        <f>SUMPRODUCT(PRODUCE!$B327:$DY327,PRODUCE!$EB$51:$IY$51)</f>
        <v>0</v>
      </c>
      <c r="OM330" s="56"/>
      <c r="ON330" s="242">
        <f t="shared" si="2369"/>
        <v>0</v>
      </c>
      <c r="OO330" s="242">
        <f t="shared" si="2370"/>
        <v>0</v>
      </c>
      <c r="OP330" s="56"/>
      <c r="OS330" s="55">
        <f t="shared" si="2371"/>
        <v>46301</v>
      </c>
      <c r="OT330" s="56"/>
      <c r="OU330" s="242">
        <f>SUMPRODUCT(PRODUCE!$B327:$DY327,PRODUCE!$EB$52:$IY$52)</f>
        <v>0</v>
      </c>
      <c r="OV330" s="56"/>
      <c r="OW330" s="242">
        <f t="shared" si="2372"/>
        <v>0</v>
      </c>
      <c r="OX330" s="242">
        <f t="shared" si="2373"/>
        <v>1482</v>
      </c>
      <c r="OY330" s="56"/>
      <c r="PB330" s="55">
        <f t="shared" si="2374"/>
        <v>46301</v>
      </c>
      <c r="PC330" s="56"/>
      <c r="PD330" s="242">
        <f>SUMPRODUCT(PRODUCE!$B327:$DY327,PRODUCE!$EB$53:$IY$53)</f>
        <v>0</v>
      </c>
      <c r="PE330" s="56"/>
      <c r="PF330" s="242">
        <f t="shared" si="2375"/>
        <v>0</v>
      </c>
      <c r="PG330" s="242">
        <f t="shared" si="2376"/>
        <v>0</v>
      </c>
      <c r="PH330" s="56"/>
      <c r="PK330" s="55">
        <f t="shared" si="2377"/>
        <v>46301</v>
      </c>
      <c r="PL330" s="56"/>
      <c r="PM330" s="242">
        <f>SUMPRODUCT(PRODUCE!$B327:$DY327,PRODUCE!$EB$54:$IY$54)</f>
        <v>0</v>
      </c>
      <c r="PN330" s="56"/>
      <c r="PO330" s="242">
        <f t="shared" si="2378"/>
        <v>0</v>
      </c>
      <c r="PP330" s="242">
        <f t="shared" si="2379"/>
        <v>100</v>
      </c>
      <c r="PQ330" s="56"/>
      <c r="PT330" s="55">
        <f t="shared" si="2380"/>
        <v>46301</v>
      </c>
      <c r="PU330" s="56"/>
      <c r="PV330" s="242">
        <f>SUMPRODUCT(PRODUCE!$B327:$DY327,PRODUCE!$EB$55:$IY$55)</f>
        <v>0</v>
      </c>
      <c r="PW330" s="56"/>
      <c r="PX330" s="242">
        <f t="shared" si="2381"/>
        <v>0</v>
      </c>
      <c r="PY330" s="242">
        <f t="shared" si="2382"/>
        <v>13.960000000000036</v>
      </c>
      <c r="PZ330" s="56"/>
      <c r="QC330" s="55">
        <f t="shared" si="2383"/>
        <v>46301</v>
      </c>
      <c r="QD330" s="56"/>
      <c r="QE330" s="242">
        <f>SUMPRODUCT(PRODUCE!$B327:$DY327,PRODUCE!$EB$56:$IY$56)</f>
        <v>0</v>
      </c>
      <c r="QF330" s="56"/>
      <c r="QG330" s="242">
        <f t="shared" si="2384"/>
        <v>0</v>
      </c>
      <c r="QH330" s="242">
        <f t="shared" si="2385"/>
        <v>548</v>
      </c>
      <c r="QI330" s="56"/>
      <c r="QL330" s="55">
        <f t="shared" si="2386"/>
        <v>46301</v>
      </c>
      <c r="QM330" s="56"/>
      <c r="QN330" s="242">
        <f>SUMPRODUCT(PRODUCE!$B327:$DY327,PRODUCE!$EB$57:$IY$57)</f>
        <v>0</v>
      </c>
      <c r="QO330" s="56"/>
      <c r="QP330" s="242">
        <f t="shared" si="2387"/>
        <v>0</v>
      </c>
      <c r="QQ330" s="242">
        <f t="shared" si="2388"/>
        <v>0</v>
      </c>
      <c r="QR330" s="56"/>
      <c r="QU330" s="55">
        <f t="shared" si="2389"/>
        <v>46301</v>
      </c>
      <c r="QV330" s="56"/>
      <c r="QW330" s="242">
        <f>SUMPRODUCT(PRODUCE!$B327:$DY327,PRODUCE!$EB$57:$IY$57)</f>
        <v>0</v>
      </c>
      <c r="QX330" s="56"/>
      <c r="QY330" s="242">
        <f t="shared" si="2390"/>
        <v>0</v>
      </c>
      <c r="QZ330" s="242">
        <f t="shared" si="2391"/>
        <v>0</v>
      </c>
      <c r="RA330" s="56"/>
      <c r="RD330" s="55">
        <f t="shared" si="2392"/>
        <v>46301</v>
      </c>
      <c r="RE330" s="56"/>
      <c r="RF330" s="242">
        <f>SUMPRODUCT(PRODUCE!$B327:$DY327,PRODUCE!$EB$58:$IY$58)</f>
        <v>0</v>
      </c>
      <c r="RG330" s="56"/>
      <c r="RH330" s="242">
        <f t="shared" si="2393"/>
        <v>0</v>
      </c>
      <c r="RI330" s="242">
        <f t="shared" si="2394"/>
        <v>147.04000000000002</v>
      </c>
      <c r="RJ330" s="56"/>
      <c r="RM330" s="55">
        <f t="shared" si="2395"/>
        <v>46301</v>
      </c>
      <c r="RN330" s="56"/>
      <c r="RO330" s="242">
        <f>SUMPRODUCT(PRODUCE!$B327:$DY327,PRODUCE!$EB$57:$IY$57)</f>
        <v>0</v>
      </c>
      <c r="RP330" s="56"/>
      <c r="RQ330" s="242">
        <f t="shared" si="2396"/>
        <v>0</v>
      </c>
      <c r="RR330" s="242">
        <f t="shared" si="2397"/>
        <v>46.8</v>
      </c>
      <c r="RS330" s="56"/>
      <c r="RV330" s="55">
        <f t="shared" si="2398"/>
        <v>46301</v>
      </c>
      <c r="RW330" s="56"/>
      <c r="RX330" s="242">
        <f>SUMPRODUCT(PRODUCE!$B327:$DY327,PRODUCE!$EB$57:$IY$57)</f>
        <v>0</v>
      </c>
      <c r="RY330" s="56"/>
      <c r="RZ330" s="242">
        <f t="shared" si="2399"/>
        <v>0</v>
      </c>
      <c r="SA330" s="242">
        <f t="shared" si="2400"/>
        <v>0</v>
      </c>
      <c r="SB330" s="56"/>
      <c r="SE330" s="55">
        <f t="shared" si="2401"/>
        <v>46301</v>
      </c>
      <c r="SF330" s="56"/>
      <c r="SG330" s="242">
        <f>SUMPRODUCT(PRODUCE!$B327:$DY327,PRODUCE!$EB$61:$IY$61)</f>
        <v>0</v>
      </c>
      <c r="SH330" s="56"/>
      <c r="SI330" s="242">
        <f t="shared" si="2402"/>
        <v>0</v>
      </c>
      <c r="SJ330" s="242">
        <f t="shared" si="2403"/>
        <v>24.200000000000003</v>
      </c>
      <c r="SK330" s="56"/>
      <c r="SN330" s="55">
        <f t="shared" si="2404"/>
        <v>46301</v>
      </c>
      <c r="SO330" s="56"/>
      <c r="SP330" s="242">
        <f>SUMPRODUCT(PRODUCE!$B327:$DY327,PRODUCE!$EB$57:$IY$57)</f>
        <v>0</v>
      </c>
      <c r="SQ330" s="56"/>
      <c r="SR330" s="242">
        <f t="shared" si="2405"/>
        <v>0</v>
      </c>
      <c r="SS330" s="242">
        <f t="shared" si="2406"/>
        <v>32</v>
      </c>
      <c r="ST330" s="56"/>
      <c r="SW330" s="55">
        <f t="shared" si="2407"/>
        <v>46301</v>
      </c>
      <c r="SX330" s="56"/>
      <c r="SY330" s="242">
        <f>SUMPRODUCT(PRODUCE!$B327:$DY327,PRODUCE!$EB$57:$IY$57)</f>
        <v>0</v>
      </c>
      <c r="SZ330" s="56"/>
      <c r="TA330" s="242">
        <f t="shared" si="2408"/>
        <v>0</v>
      </c>
      <c r="TB330" s="242">
        <f t="shared" si="2409"/>
        <v>0</v>
      </c>
      <c r="TC330" s="56"/>
      <c r="TF330" s="55">
        <f t="shared" si="2410"/>
        <v>46301</v>
      </c>
      <c r="TG330" s="56"/>
      <c r="TH330" s="242">
        <f>SUMPRODUCT(PRODUCE!$B327:$DY327,PRODUCE!$EB$57:$IY$57)</f>
        <v>0</v>
      </c>
      <c r="TI330" s="56"/>
      <c r="TJ330" s="242">
        <f t="shared" si="2411"/>
        <v>0</v>
      </c>
      <c r="TK330" s="242">
        <f t="shared" si="2412"/>
        <v>0</v>
      </c>
      <c r="TL330" s="56"/>
      <c r="TO330" s="55">
        <f t="shared" si="2413"/>
        <v>46301</v>
      </c>
      <c r="TP330" s="56"/>
      <c r="TQ330" s="242">
        <f>SUMPRODUCT(PRODUCE!$B327:$DY327,PRODUCE!$EB$57:$IY$57)</f>
        <v>0</v>
      </c>
      <c r="TR330" s="56"/>
      <c r="TS330" s="242">
        <f t="shared" si="2414"/>
        <v>0</v>
      </c>
      <c r="TT330" s="242">
        <f t="shared" si="2415"/>
        <v>0</v>
      </c>
      <c r="TU330" s="56"/>
      <c r="TX330" s="55">
        <f t="shared" si="2416"/>
        <v>46301</v>
      </c>
      <c r="TY330" s="56"/>
      <c r="TZ330" s="242">
        <f>SUMPRODUCT(PRODUCE!$B327:$DY327,PRODUCE!$EB$57:$IY$57)</f>
        <v>0</v>
      </c>
      <c r="UA330" s="56"/>
      <c r="UB330" s="242">
        <f t="shared" si="2417"/>
        <v>0</v>
      </c>
      <c r="UC330" s="242">
        <f t="shared" si="2418"/>
        <v>46.799999999999983</v>
      </c>
      <c r="UD330" s="56"/>
      <c r="UG330" s="55">
        <f t="shared" si="2419"/>
        <v>46301</v>
      </c>
      <c r="UH330" s="56"/>
      <c r="UI330" s="242">
        <f>SUMPRODUCT(PRODUCE!$B327:$DY327,PRODUCE!$EB$57:$IY$57)</f>
        <v>0</v>
      </c>
      <c r="UJ330" s="56"/>
      <c r="UK330" s="242">
        <f t="shared" si="2420"/>
        <v>0</v>
      </c>
      <c r="UL330" s="242">
        <f t="shared" si="2421"/>
        <v>204</v>
      </c>
      <c r="UM330" s="56"/>
      <c r="UP330" s="55">
        <f t="shared" si="2422"/>
        <v>46301</v>
      </c>
      <c r="UQ330" s="56"/>
      <c r="UR330" s="242">
        <f>SUMPRODUCT(PRODUCE!$B327:$DY327,PRODUCE!$EB$57:$IY$57)</f>
        <v>0</v>
      </c>
      <c r="US330" s="56"/>
      <c r="UT330" s="242">
        <f t="shared" si="2423"/>
        <v>0</v>
      </c>
      <c r="UU330" s="242">
        <f t="shared" si="2424"/>
        <v>202.5</v>
      </c>
      <c r="UV330" s="56"/>
      <c r="UY330" s="55">
        <f t="shared" si="2425"/>
        <v>46301</v>
      </c>
      <c r="UZ330" s="56"/>
      <c r="VA330" s="242">
        <f>SUMPRODUCT(PRODUCE!$B327:$DY327,PRODUCE!$EB$57:$IY$57)</f>
        <v>0</v>
      </c>
      <c r="VB330" s="56"/>
      <c r="VC330" s="242">
        <f t="shared" si="2426"/>
        <v>0</v>
      </c>
      <c r="VD330" s="242">
        <f t="shared" si="2427"/>
        <v>41.600000000000023</v>
      </c>
      <c r="VE330" s="56"/>
      <c r="VH330" s="55">
        <f t="shared" si="2428"/>
        <v>46301</v>
      </c>
      <c r="VI330" s="56"/>
      <c r="VJ330" s="242">
        <f>SUMPRODUCT(PRODUCE!$B327:$DY327,PRODUCE!$EB$57:$IY$57)</f>
        <v>0</v>
      </c>
      <c r="VK330" s="56"/>
      <c r="VL330" s="242">
        <f t="shared" si="2429"/>
        <v>0</v>
      </c>
      <c r="VM330" s="242">
        <f t="shared" si="2430"/>
        <v>210</v>
      </c>
      <c r="VN330" s="56"/>
      <c r="VQ330" s="55">
        <f t="shared" si="2431"/>
        <v>46301</v>
      </c>
      <c r="VR330" s="56"/>
      <c r="VS330" s="242">
        <f>SUMPRODUCT(PRODUCE!$B327:$DY327,PRODUCE!$EB$57:$IY$57)</f>
        <v>0</v>
      </c>
      <c r="VT330" s="56"/>
      <c r="VU330" s="242">
        <f t="shared" si="2432"/>
        <v>0</v>
      </c>
      <c r="VV330" s="242">
        <f t="shared" si="2433"/>
        <v>0</v>
      </c>
      <c r="VW330" s="56"/>
      <c r="VZ330" s="55">
        <f t="shared" si="2434"/>
        <v>46301</v>
      </c>
      <c r="WA330" s="56"/>
      <c r="WB330" s="242">
        <f>SUMPRODUCT(PRODUCE!$B327:$DY327,PRODUCE!$EB$57:$IY$57)</f>
        <v>0</v>
      </c>
      <c r="WC330" s="56"/>
      <c r="WD330" s="242">
        <f t="shared" si="2435"/>
        <v>0</v>
      </c>
      <c r="WE330" s="242">
        <f t="shared" si="2436"/>
        <v>0</v>
      </c>
      <c r="WF330" s="56"/>
      <c r="WI330" s="55">
        <f t="shared" si="2437"/>
        <v>46301</v>
      </c>
      <c r="WJ330" s="56"/>
      <c r="WK330" s="242">
        <f>SUMPRODUCT(PRODUCE!$B327:$DY327,PRODUCE!$EB$57:$IY$57)</f>
        <v>0</v>
      </c>
      <c r="WL330" s="56"/>
      <c r="WM330" s="242">
        <f t="shared" si="2438"/>
        <v>0</v>
      </c>
      <c r="WN330" s="242">
        <f t="shared" si="2439"/>
        <v>1057</v>
      </c>
      <c r="WO330" s="56"/>
      <c r="WR330" s="55">
        <f t="shared" si="2440"/>
        <v>46301</v>
      </c>
      <c r="WS330" s="56"/>
      <c r="WT330" s="242">
        <f>SUMPRODUCT(PRODUCE!$B327:$DY327,PRODUCE!$EB$57:$IY$57)</f>
        <v>0</v>
      </c>
      <c r="WU330" s="56"/>
      <c r="WV330" s="242">
        <f t="shared" si="2441"/>
        <v>0</v>
      </c>
      <c r="WW330" s="242">
        <f t="shared" si="2442"/>
        <v>0</v>
      </c>
      <c r="WX330" s="56"/>
      <c r="XA330" s="55">
        <f t="shared" si="2443"/>
        <v>46301</v>
      </c>
      <c r="XB330" s="56"/>
      <c r="XC330" s="242">
        <f>SUMPRODUCT(PRODUCE!$B327:$DY327,PRODUCE!$EB$57:$IY$57)</f>
        <v>0</v>
      </c>
      <c r="XD330" s="56"/>
      <c r="XE330" s="242">
        <f t="shared" si="2444"/>
        <v>0</v>
      </c>
      <c r="XF330" s="242">
        <f t="shared" si="2445"/>
        <v>7507</v>
      </c>
      <c r="XG330" s="56"/>
      <c r="XJ330" s="55">
        <f t="shared" si="2446"/>
        <v>46301</v>
      </c>
      <c r="XK330" s="56"/>
      <c r="XL330" s="242">
        <f>SUMPRODUCT(PRODUCE!$B327:$DY327,PRODUCE!$EB$57:$IY$57)</f>
        <v>0</v>
      </c>
      <c r="XM330" s="56"/>
      <c r="XN330" s="242">
        <f t="shared" si="2447"/>
        <v>0</v>
      </c>
      <c r="XO330" s="242">
        <f t="shared" si="2448"/>
        <v>4252</v>
      </c>
      <c r="XP330" s="56"/>
      <c r="XS330" s="55">
        <f t="shared" si="2449"/>
        <v>46301</v>
      </c>
      <c r="XT330" s="56"/>
      <c r="XU330" s="242">
        <f>SUMPRODUCT(PRODUCE!$B327:$DY327,PRODUCE!$EB$57:$IY$57)</f>
        <v>0</v>
      </c>
      <c r="XV330" s="56"/>
      <c r="XW330" s="242">
        <f t="shared" si="2450"/>
        <v>0</v>
      </c>
      <c r="XX330" s="242">
        <f t="shared" si="2451"/>
        <v>2179</v>
      </c>
      <c r="XY330" s="56"/>
      <c r="YB330" s="55">
        <f t="shared" si="2452"/>
        <v>46301</v>
      </c>
      <c r="YC330" s="56"/>
      <c r="YD330" s="242">
        <f>SUMPRODUCT(PRODUCE!$B327:$DY327,PRODUCE!$EB$57:$IY$57)</f>
        <v>0</v>
      </c>
      <c r="YE330" s="56"/>
      <c r="YF330" s="242">
        <f t="shared" si="2453"/>
        <v>0</v>
      </c>
      <c r="YG330" s="242">
        <f t="shared" si="2454"/>
        <v>4019</v>
      </c>
      <c r="YH330" s="56"/>
      <c r="YK330" s="55">
        <f t="shared" si="2455"/>
        <v>46301</v>
      </c>
      <c r="YL330" s="56"/>
      <c r="YM330" s="242">
        <f>SUMPRODUCT(PRODUCE!$B327:$DY327,PRODUCE!$EB$57:$IY$57)</f>
        <v>0</v>
      </c>
      <c r="YN330" s="56"/>
      <c r="YO330" s="242">
        <f t="shared" si="2456"/>
        <v>0</v>
      </c>
      <c r="YP330" s="242">
        <f t="shared" si="2457"/>
        <v>-218</v>
      </c>
      <c r="YQ330" s="56"/>
      <c r="YT330" s="55">
        <f t="shared" si="2458"/>
        <v>46301</v>
      </c>
      <c r="YU330" s="56"/>
      <c r="YV330" s="242">
        <f>SUMPRODUCT(PRODUCE!$B327:$DY327,PRODUCE!$EB$57:$IY$57)</f>
        <v>0</v>
      </c>
      <c r="YW330" s="56"/>
      <c r="YX330" s="242">
        <f t="shared" si="2459"/>
        <v>0</v>
      </c>
      <c r="YY330" s="242">
        <f t="shared" si="2460"/>
        <v>0</v>
      </c>
      <c r="YZ330" s="56"/>
      <c r="ZC330" s="55">
        <f t="shared" si="2461"/>
        <v>46301</v>
      </c>
      <c r="ZD330" s="56"/>
      <c r="ZE330" s="242">
        <f>SUMPRODUCT(PRODUCE!$B327:$DY327,PRODUCE!$EB$57:$IY$57)</f>
        <v>0</v>
      </c>
      <c r="ZF330" s="56"/>
      <c r="ZG330" s="242">
        <f t="shared" si="2462"/>
        <v>0</v>
      </c>
      <c r="ZH330" s="242">
        <f t="shared" si="2463"/>
        <v>0</v>
      </c>
      <c r="ZI330" s="56"/>
      <c r="ZL330" s="55">
        <f t="shared" si="2464"/>
        <v>46301</v>
      </c>
      <c r="ZM330" s="56"/>
      <c r="ZN330" s="242">
        <f>SUMPRODUCT(PRODUCE!$B327:$DY327,PRODUCE!$EB$57:$IY$57)</f>
        <v>0</v>
      </c>
      <c r="ZO330" s="56"/>
      <c r="ZP330" s="242">
        <f t="shared" si="2465"/>
        <v>0</v>
      </c>
      <c r="ZQ330" s="242">
        <f t="shared" si="2466"/>
        <v>0</v>
      </c>
      <c r="ZR330" s="56"/>
      <c r="ZU330" s="55">
        <f t="shared" si="2467"/>
        <v>46301</v>
      </c>
      <c r="ZV330" s="56"/>
      <c r="ZW330" s="242">
        <f>SUMPRODUCT(PRODUCE!$B327:$DY327,PRODUCE!$EB$57:$IY$57)</f>
        <v>0</v>
      </c>
      <c r="ZX330" s="56"/>
      <c r="ZY330" s="242">
        <f t="shared" si="2468"/>
        <v>0</v>
      </c>
      <c r="ZZ330" s="242">
        <f t="shared" si="2469"/>
        <v>0</v>
      </c>
      <c r="AAA330" s="56"/>
      <c r="AAD330" s="55">
        <f t="shared" si="2470"/>
        <v>46301</v>
      </c>
      <c r="AAE330" s="56"/>
      <c r="AAF330" s="242">
        <f>SUMPRODUCT(PRODUCE!$B327:$DY327,PRODUCE!$EB$57:$IY$57)</f>
        <v>0</v>
      </c>
      <c r="AAG330" s="56"/>
      <c r="AAH330" s="242">
        <f t="shared" si="2471"/>
        <v>0</v>
      </c>
      <c r="AAI330" s="242">
        <f t="shared" si="2472"/>
        <v>0</v>
      </c>
      <c r="AAJ330" s="56"/>
      <c r="AAM330" s="55">
        <f t="shared" si="2473"/>
        <v>46301</v>
      </c>
      <c r="AAN330" s="56"/>
      <c r="AAO330" s="242">
        <f>SUMPRODUCT(PRODUCE!$B327:$DY327,PRODUCE!$EB$57:$IY$57)</f>
        <v>0</v>
      </c>
      <c r="AAP330" s="56"/>
      <c r="AAQ330" s="242">
        <f t="shared" si="2474"/>
        <v>0</v>
      </c>
      <c r="AAR330" s="242">
        <f t="shared" si="2475"/>
        <v>0</v>
      </c>
      <c r="AAS330" s="56"/>
      <c r="AAV330" s="55">
        <f t="shared" si="2476"/>
        <v>46301</v>
      </c>
      <c r="AAW330" s="56"/>
      <c r="AAX330" s="242">
        <f>SUMPRODUCT(PRODUCE!$B327:$DY327,PRODUCE!$EB$57:$IY$57)</f>
        <v>0</v>
      </c>
      <c r="AAY330" s="56"/>
      <c r="AAZ330" s="242">
        <f t="shared" si="2477"/>
        <v>0</v>
      </c>
      <c r="ABA330" s="242">
        <f t="shared" si="2478"/>
        <v>0</v>
      </c>
      <c r="ABB330" s="56"/>
      <c r="ABE330" s="55">
        <f t="shared" si="2479"/>
        <v>46301</v>
      </c>
      <c r="ABF330" s="56"/>
      <c r="ABG330" s="242">
        <f>SUMPRODUCT(PRODUCE!$B327:$DY327,PRODUCE!$EB$57:$IY$57)</f>
        <v>0</v>
      </c>
      <c r="ABH330" s="56"/>
      <c r="ABI330" s="242">
        <f t="shared" si="2480"/>
        <v>0</v>
      </c>
      <c r="ABJ330" s="242">
        <f t="shared" si="2481"/>
        <v>0</v>
      </c>
      <c r="ABK330" s="56"/>
    </row>
    <row r="331" spans="1:739" s="54" customFormat="1" ht="15" customHeight="1" outlineLevel="1">
      <c r="B331" s="478"/>
      <c r="C331" s="55">
        <v>46302</v>
      </c>
      <c r="D331" s="56"/>
      <c r="E331" s="57">
        <f>SUMPRODUCT(PRODUCE!$B328:$DY328,PRODUCE!$EB$7:$IY$7)</f>
        <v>0</v>
      </c>
      <c r="F331" s="56"/>
      <c r="G331" s="57">
        <f t="shared" si="2237"/>
        <v>0</v>
      </c>
      <c r="H331" s="57">
        <f t="shared" si="2238"/>
        <v>236936.6</v>
      </c>
      <c r="I331" s="289"/>
      <c r="L331" s="55">
        <f t="shared" si="2239"/>
        <v>46302</v>
      </c>
      <c r="M331" s="56"/>
      <c r="N331" s="59">
        <f>SUMPRODUCT(PRODUCE!$B328:$DY328,PRODUCE!$EB$8:$IY$8)</f>
        <v>0</v>
      </c>
      <c r="O331" s="56"/>
      <c r="P331" s="59">
        <f t="shared" si="2240"/>
        <v>0</v>
      </c>
      <c r="Q331" s="59">
        <f t="shared" si="2241"/>
        <v>53017.600000000071</v>
      </c>
      <c r="R331" s="56"/>
      <c r="U331" s="55">
        <f t="shared" si="2242"/>
        <v>46302</v>
      </c>
      <c r="V331" s="56"/>
      <c r="W331" s="60">
        <f>SUMPRODUCT(PRODUCE!$B328:$DY328,PRODUCE!$EB$9:$IY$9)</f>
        <v>0</v>
      </c>
      <c r="X331" s="56"/>
      <c r="Y331" s="60">
        <f t="shared" si="2243"/>
        <v>0</v>
      </c>
      <c r="Z331" s="60">
        <f t="shared" si="2244"/>
        <v>42674.199999999968</v>
      </c>
      <c r="AA331" s="56"/>
      <c r="AD331" s="55">
        <f t="shared" si="2245"/>
        <v>46302</v>
      </c>
      <c r="AE331" s="56"/>
      <c r="AF331" s="61">
        <f>SUMPRODUCT(PRODUCE!$B328:$DY328,PRODUCE!$EB$10:$IY$10)</f>
        <v>0</v>
      </c>
      <c r="AG331" s="56"/>
      <c r="AH331" s="61">
        <f t="shared" si="2246"/>
        <v>0</v>
      </c>
      <c r="AI331" s="61">
        <f t="shared" si="2247"/>
        <v>4522.2000000000189</v>
      </c>
      <c r="AJ331" s="56"/>
      <c r="AM331" s="55">
        <f t="shared" si="2248"/>
        <v>46302</v>
      </c>
      <c r="AN331" s="422"/>
      <c r="AO331" s="444">
        <f>SUMPRODUCT(PRODUCE!$B328:$DY328,PRODUCE!$EB$11:$IY$11)</f>
        <v>0</v>
      </c>
      <c r="AP331" s="422"/>
      <c r="AQ331" s="444">
        <f t="shared" si="2249"/>
        <v>0</v>
      </c>
      <c r="AR331" s="444">
        <f t="shared" si="2250"/>
        <v>0</v>
      </c>
      <c r="AS331" s="56"/>
      <c r="AV331" s="55">
        <f t="shared" si="2251"/>
        <v>46302</v>
      </c>
      <c r="AW331" s="56"/>
      <c r="AX331" s="62">
        <f>SUMPRODUCT(PRODUCE!$B328:$DY328,PRODUCE!$EB$12:$IY$12)</f>
        <v>0</v>
      </c>
      <c r="AY331" s="56"/>
      <c r="AZ331" s="62">
        <f t="shared" si="2252"/>
        <v>0</v>
      </c>
      <c r="BA331" s="62">
        <f t="shared" si="2253"/>
        <v>124.99999999999523</v>
      </c>
      <c r="BB331" s="56"/>
      <c r="BE331" s="55">
        <f t="shared" si="2254"/>
        <v>46302</v>
      </c>
      <c r="BF331" s="56"/>
      <c r="BG331" s="63">
        <f>SUMPRODUCT(PRODUCE!$B328:$DY328,PRODUCE!$EB$13:$IY$13)</f>
        <v>0</v>
      </c>
      <c r="BH331" s="56"/>
      <c r="BI331" s="63">
        <f t="shared" si="2255"/>
        <v>0</v>
      </c>
      <c r="BJ331" s="63">
        <f t="shared" si="2256"/>
        <v>26151.899999999998</v>
      </c>
      <c r="BK331" s="56"/>
      <c r="BN331" s="55">
        <f t="shared" si="2257"/>
        <v>46302</v>
      </c>
      <c r="BO331" s="56"/>
      <c r="BP331" s="64">
        <f>SUMPRODUCT(PRODUCE!$B328:$DY328,PRODUCE!$EB$14:$IY$14)</f>
        <v>0</v>
      </c>
      <c r="BQ331" s="56"/>
      <c r="BR331" s="64">
        <f t="shared" si="2258"/>
        <v>0</v>
      </c>
      <c r="BS331" s="64">
        <f t="shared" si="2259"/>
        <v>0</v>
      </c>
      <c r="BT331" s="56"/>
      <c r="BW331" s="55">
        <f t="shared" si="2260"/>
        <v>46302</v>
      </c>
      <c r="BX331" s="56"/>
      <c r="BY331" s="65">
        <f>SUMPRODUCT(PRODUCE!$B328:$DY328,PRODUCE!$EB$15:$IY$15)</f>
        <v>0</v>
      </c>
      <c r="BZ331" s="56"/>
      <c r="CA331" s="65">
        <f t="shared" si="2261"/>
        <v>0</v>
      </c>
      <c r="CB331" s="65">
        <f t="shared" si="2262"/>
        <v>2097.3399999999992</v>
      </c>
      <c r="CC331" s="56"/>
      <c r="CF331" s="55">
        <f t="shared" si="2263"/>
        <v>46302</v>
      </c>
      <c r="CG331" s="56"/>
      <c r="CH331" s="66">
        <f>SUMPRODUCT(PRODUCE!$B328:$DY328,PRODUCE!$EB$16:$IY$16)</f>
        <v>0</v>
      </c>
      <c r="CI331" s="56"/>
      <c r="CJ331" s="66">
        <f t="shared" si="2264"/>
        <v>0</v>
      </c>
      <c r="CK331" s="66">
        <f t="shared" si="2265"/>
        <v>-10277.079999999998</v>
      </c>
      <c r="CL331" s="56"/>
      <c r="CO331" s="55">
        <f t="shared" si="2266"/>
        <v>46302</v>
      </c>
      <c r="CP331" s="422"/>
      <c r="CQ331" s="470">
        <f>SUMPRODUCT(PRODUCE!$B328:$DY328,PRODUCE!$EB$17:$IY$17)</f>
        <v>0</v>
      </c>
      <c r="CR331" s="422"/>
      <c r="CS331" s="470">
        <f t="shared" si="2267"/>
        <v>0</v>
      </c>
      <c r="CT331" s="470">
        <f t="shared" si="2268"/>
        <v>0</v>
      </c>
      <c r="CU331" s="56"/>
      <c r="CX331" s="55">
        <f t="shared" si="2269"/>
        <v>46302</v>
      </c>
      <c r="CY331" s="56"/>
      <c r="CZ331" s="133">
        <f>SUMPRODUCT(PRODUCE!$B328:$DY328,PRODUCE!$EB$18:$IY$18)</f>
        <v>0</v>
      </c>
      <c r="DA331" s="56"/>
      <c r="DB331" s="133">
        <f t="shared" si="2270"/>
        <v>0</v>
      </c>
      <c r="DC331" s="133">
        <f t="shared" si="2271"/>
        <v>27438.200000000012</v>
      </c>
      <c r="DD331" s="56"/>
      <c r="DG331" s="55">
        <f t="shared" si="2272"/>
        <v>46302</v>
      </c>
      <c r="DH331" s="56"/>
      <c r="DI331" s="147">
        <f>SUMPRODUCT(PRODUCE!$B328:$DY328,PRODUCE!$EB$19:$IY$19)</f>
        <v>0</v>
      </c>
      <c r="DJ331" s="56"/>
      <c r="DK331" s="147">
        <f t="shared" si="2273"/>
        <v>0</v>
      </c>
      <c r="DL331" s="147">
        <f t="shared" si="2274"/>
        <v>18782.299999999981</v>
      </c>
      <c r="DM331" s="56"/>
      <c r="DP331" s="55">
        <f t="shared" si="2275"/>
        <v>46302</v>
      </c>
      <c r="DQ331" s="56"/>
      <c r="DR331" s="57">
        <f>SUMPRODUCT(PRODUCE!$B328:$DY328,PRODUCE!$EB$20:$IY$20)</f>
        <v>0</v>
      </c>
      <c r="DS331" s="56"/>
      <c r="DT331" s="57">
        <f t="shared" si="2276"/>
        <v>0</v>
      </c>
      <c r="DU331" s="57">
        <f t="shared" si="2277"/>
        <v>5800</v>
      </c>
      <c r="DV331" s="56"/>
      <c r="DY331" s="55">
        <f t="shared" si="2278"/>
        <v>46302</v>
      </c>
      <c r="DZ331" s="56"/>
      <c r="EA331" s="157">
        <f>SUMPRODUCT(PRODUCE!$B328:$DY328,PRODUCE!$EB$21:$IY$21)</f>
        <v>0</v>
      </c>
      <c r="EB331" s="56"/>
      <c r="EC331" s="157">
        <f t="shared" si="2279"/>
        <v>0</v>
      </c>
      <c r="ED331" s="157">
        <f t="shared" si="2280"/>
        <v>0</v>
      </c>
      <c r="EE331" s="56"/>
      <c r="EH331" s="55">
        <f t="shared" si="2281"/>
        <v>46302</v>
      </c>
      <c r="EI331" s="56"/>
      <c r="EJ331" s="162">
        <f>SUMPRODUCT(PRODUCE!$B328:$DY328,PRODUCE!$EB$22:$IY$22)</f>
        <v>0</v>
      </c>
      <c r="EK331" s="56"/>
      <c r="EL331" s="162">
        <f t="shared" si="2282"/>
        <v>0</v>
      </c>
      <c r="EM331" s="162">
        <f t="shared" si="2283"/>
        <v>0</v>
      </c>
      <c r="EN331" s="56"/>
      <c r="EQ331" s="55">
        <f t="shared" si="2284"/>
        <v>46302</v>
      </c>
      <c r="ER331" s="56"/>
      <c r="ES331" s="135">
        <f>SUMPRODUCT(PRODUCE!$B328:$DY328,PRODUCE!$EB$23:$IY$23)</f>
        <v>0</v>
      </c>
      <c r="ET331" s="56"/>
      <c r="EU331" s="135">
        <f t="shared" si="2285"/>
        <v>0</v>
      </c>
      <c r="EV331" s="135">
        <f t="shared" si="2286"/>
        <v>0</v>
      </c>
      <c r="EW331" s="56"/>
      <c r="EZ331" s="55">
        <f t="shared" si="2287"/>
        <v>46302</v>
      </c>
      <c r="FA331" s="56"/>
      <c r="FB331" s="175">
        <f>SUMPRODUCT(PRODUCE!$B328:$DY328,PRODUCE!$EB$24:$IY$24)</f>
        <v>0</v>
      </c>
      <c r="FC331" s="56"/>
      <c r="FD331" s="175">
        <f t="shared" si="2288"/>
        <v>0</v>
      </c>
      <c r="FE331" s="175">
        <f t="shared" si="2289"/>
        <v>0</v>
      </c>
      <c r="FF331" s="56"/>
      <c r="FI331" s="55">
        <f t="shared" si="2290"/>
        <v>46302</v>
      </c>
      <c r="FJ331" s="56"/>
      <c r="FK331" s="183">
        <f>SUMPRODUCT(PRODUCE!$B328:$DY328,PRODUCE!$EB$25:$IY$25)</f>
        <v>0</v>
      </c>
      <c r="FL331" s="56"/>
      <c r="FM331" s="183">
        <f t="shared" si="2291"/>
        <v>0</v>
      </c>
      <c r="FN331" s="183">
        <f t="shared" si="2292"/>
        <v>0</v>
      </c>
      <c r="FO331" s="56"/>
      <c r="FR331" s="55">
        <f t="shared" si="2293"/>
        <v>46302</v>
      </c>
      <c r="FS331" s="56"/>
      <c r="FT331" s="186">
        <f>SUMPRODUCT(PRODUCE!$B328:$DY328,PRODUCE!$EB$26:$IY$26)</f>
        <v>0</v>
      </c>
      <c r="FU331" s="56"/>
      <c r="FV331" s="186">
        <f t="shared" si="2294"/>
        <v>0</v>
      </c>
      <c r="FW331" s="186">
        <f t="shared" si="2295"/>
        <v>2020</v>
      </c>
      <c r="FX331" s="56"/>
      <c r="GA331" s="55">
        <f t="shared" si="2296"/>
        <v>46302</v>
      </c>
      <c r="GB331" s="56"/>
      <c r="GC331" s="137">
        <f>SUMPRODUCT(PRODUCE!$B328:$DY328,PRODUCE!$EB$27:$IY$27)</f>
        <v>0</v>
      </c>
      <c r="GD331" s="56"/>
      <c r="GE331" s="137">
        <f t="shared" si="2297"/>
        <v>0</v>
      </c>
      <c r="GF331" s="137">
        <f t="shared" si="2298"/>
        <v>960</v>
      </c>
      <c r="GG331" s="56"/>
      <c r="GI331" s="23"/>
      <c r="GJ331" s="55">
        <f t="shared" si="2299"/>
        <v>46302</v>
      </c>
      <c r="GK331" s="56"/>
      <c r="GL331" s="199">
        <f>SUMPRODUCT(PRODUCE!$B328:$DY328,PRODUCE!$EB$28:$IY$28)</f>
        <v>0</v>
      </c>
      <c r="GM331" s="56"/>
      <c r="GN331" s="199">
        <f t="shared" si="2300"/>
        <v>0</v>
      </c>
      <c r="GO331" s="199">
        <f t="shared" si="2301"/>
        <v>1760</v>
      </c>
      <c r="GP331" s="56"/>
      <c r="GS331" s="55">
        <f t="shared" si="2302"/>
        <v>46302</v>
      </c>
      <c r="GT331" s="56"/>
      <c r="GU331" s="195">
        <f>SUMPRODUCT(PRODUCE!$B328:$DY328,PRODUCE!$EB$29:$IY$29)</f>
        <v>0</v>
      </c>
      <c r="GV331" s="56"/>
      <c r="GW331" s="195">
        <f t="shared" si="2303"/>
        <v>0</v>
      </c>
      <c r="GX331" s="195">
        <f t="shared" si="2304"/>
        <v>400</v>
      </c>
      <c r="GY331" s="56"/>
      <c r="HB331" s="55">
        <f t="shared" si="2305"/>
        <v>46302</v>
      </c>
      <c r="HC331" s="56"/>
      <c r="HD331" s="191">
        <f>SUMPRODUCT(PRODUCE!$B328:$DY328,PRODUCE!$EB$30:$IY$30)</f>
        <v>0</v>
      </c>
      <c r="HE331" s="56"/>
      <c r="HF331" s="191">
        <f t="shared" si="2306"/>
        <v>0</v>
      </c>
      <c r="HG331" s="191">
        <f t="shared" si="2307"/>
        <v>3600</v>
      </c>
      <c r="HH331" s="56"/>
      <c r="HK331" s="55">
        <f t="shared" si="2308"/>
        <v>46302</v>
      </c>
      <c r="HL331" s="56"/>
      <c r="HM331" s="63">
        <f>SUMPRODUCT(PRODUCE!$B328:$DY328,PRODUCE!$EB$31:$IY$31)</f>
        <v>0</v>
      </c>
      <c r="HN331" s="56"/>
      <c r="HO331" s="63">
        <f t="shared" si="2309"/>
        <v>0</v>
      </c>
      <c r="HP331" s="63">
        <f t="shared" si="2310"/>
        <v>0</v>
      </c>
      <c r="HQ331" s="56"/>
      <c r="HU331" s="55">
        <f t="shared" si="2311"/>
        <v>46302</v>
      </c>
      <c r="HV331" s="56"/>
      <c r="HW331" s="242">
        <f>SUMPRODUCT(PRODUCE!$B328:$DY328,PRODUCE!$EB$32:$IY$32)</f>
        <v>0</v>
      </c>
      <c r="HX331" s="56"/>
      <c r="HY331" s="242">
        <f t="shared" si="2312"/>
        <v>0</v>
      </c>
      <c r="HZ331" s="242">
        <f t="shared" si="2313"/>
        <v>6120</v>
      </c>
      <c r="IA331" s="56"/>
      <c r="ID331" s="55">
        <f t="shared" si="2314"/>
        <v>46302</v>
      </c>
      <c r="IE331" s="56"/>
      <c r="IF331" s="242">
        <f>SUMPRODUCT(PRODUCE!$B328:$DY328,PRODUCE!$EB$33:$IY$33)</f>
        <v>0</v>
      </c>
      <c r="IG331" s="56"/>
      <c r="IH331" s="242">
        <f t="shared" si="2315"/>
        <v>0</v>
      </c>
      <c r="II331" s="242">
        <f t="shared" si="2316"/>
        <v>0</v>
      </c>
      <c r="IJ331" s="56"/>
      <c r="IM331" s="55">
        <f t="shared" si="2317"/>
        <v>46302</v>
      </c>
      <c r="IN331" s="56"/>
      <c r="IO331" s="242">
        <f>SUMPRODUCT(PRODUCE!$B328:$DY328,PRODUCE!$EB$34:$IY$34)</f>
        <v>0</v>
      </c>
      <c r="IP331" s="56"/>
      <c r="IQ331" s="242">
        <f t="shared" si="2318"/>
        <v>0</v>
      </c>
      <c r="IR331" s="242">
        <f t="shared" si="2319"/>
        <v>0</v>
      </c>
      <c r="IS331" s="56"/>
      <c r="IV331" s="55">
        <f t="shared" si="2320"/>
        <v>46302</v>
      </c>
      <c r="IW331" s="56"/>
      <c r="IX331" s="242">
        <f>SUMPRODUCT(PRODUCE!$B328:$DY328,PRODUCE!$EB$35:$IY$35)</f>
        <v>0</v>
      </c>
      <c r="IY331" s="56"/>
      <c r="IZ331" s="242">
        <f t="shared" si="2321"/>
        <v>0</v>
      </c>
      <c r="JA331" s="242">
        <f t="shared" si="2322"/>
        <v>2820</v>
      </c>
      <c r="JB331" s="56"/>
      <c r="JE331" s="55">
        <f t="shared" si="2323"/>
        <v>46302</v>
      </c>
      <c r="JF331" s="56"/>
      <c r="JG331" s="242">
        <f>SUMPRODUCT(PRODUCE!$B328:$DY328,PRODUCE!$EB$36:$IY$36)</f>
        <v>0</v>
      </c>
      <c r="JH331" s="56"/>
      <c r="JI331" s="242">
        <f t="shared" si="2324"/>
        <v>0</v>
      </c>
      <c r="JJ331" s="242">
        <f t="shared" si="2325"/>
        <v>0</v>
      </c>
      <c r="JK331" s="56"/>
      <c r="JN331" s="55">
        <f t="shared" si="2326"/>
        <v>46302</v>
      </c>
      <c r="JO331" s="56"/>
      <c r="JP331" s="242">
        <f>SUMPRODUCT(PRODUCE!$B328:$DY328,PRODUCE!$EB$37:$IY$37)</f>
        <v>0</v>
      </c>
      <c r="JQ331" s="56"/>
      <c r="JR331" s="242">
        <f t="shared" si="2327"/>
        <v>0</v>
      </c>
      <c r="JS331" s="242">
        <f t="shared" si="2328"/>
        <v>0</v>
      </c>
      <c r="JT331" s="56"/>
      <c r="JW331" s="55">
        <f t="shared" si="2329"/>
        <v>46302</v>
      </c>
      <c r="JX331" s="56"/>
      <c r="JY331" s="242">
        <f>SUMPRODUCT(PRODUCE!$B328:$DY328,PRODUCE!$EB$38:$IY$38)</f>
        <v>0</v>
      </c>
      <c r="JZ331" s="56"/>
      <c r="KA331" s="242">
        <f t="shared" si="2330"/>
        <v>0</v>
      </c>
      <c r="KB331" s="242">
        <f t="shared" si="2331"/>
        <v>2540</v>
      </c>
      <c r="KC331" s="56"/>
      <c r="KF331" s="55">
        <f t="shared" si="2332"/>
        <v>46302</v>
      </c>
      <c r="KG331" s="56"/>
      <c r="KH331" s="242">
        <f>SUMPRODUCT(PRODUCE!$B328:$DY328,PRODUCE!$EB$39:$IY$39)</f>
        <v>0</v>
      </c>
      <c r="KI331" s="56"/>
      <c r="KJ331" s="242">
        <f t="shared" si="2333"/>
        <v>0</v>
      </c>
      <c r="KK331" s="242">
        <f t="shared" si="2334"/>
        <v>2359.5</v>
      </c>
      <c r="KL331" s="56"/>
      <c r="KO331" s="55">
        <f t="shared" si="2335"/>
        <v>46302</v>
      </c>
      <c r="KP331" s="56"/>
      <c r="KQ331" s="242">
        <f>SUMPRODUCT(PRODUCE!$B328:$DY328,PRODUCE!$EB$40:$IY$40)</f>
        <v>0</v>
      </c>
      <c r="KR331" s="56"/>
      <c r="KS331" s="242">
        <f t="shared" si="2336"/>
        <v>0</v>
      </c>
      <c r="KT331" s="242">
        <f t="shared" si="2337"/>
        <v>1890</v>
      </c>
      <c r="KU331" s="56"/>
      <c r="KW331" s="23"/>
      <c r="KX331" s="55">
        <f t="shared" si="2338"/>
        <v>46302</v>
      </c>
      <c r="KY331" s="56"/>
      <c r="KZ331" s="242">
        <f>SUMPRODUCT(PRODUCE!$B328:$DY328,PRODUCE!$EB$41:$IY$41)</f>
        <v>0</v>
      </c>
      <c r="LA331" s="56"/>
      <c r="LB331" s="242">
        <f t="shared" si="2339"/>
        <v>0</v>
      </c>
      <c r="LC331" s="242">
        <f t="shared" si="2340"/>
        <v>3690</v>
      </c>
      <c r="LD331" s="56"/>
      <c r="LG331" s="55">
        <f t="shared" si="2341"/>
        <v>46302</v>
      </c>
      <c r="LH331" s="56"/>
      <c r="LI331" s="242">
        <f>SUMPRODUCT(PRODUCE!$B328:$DY328,PRODUCE!$EB$42:$IY$42)</f>
        <v>0</v>
      </c>
      <c r="LJ331" s="56"/>
      <c r="LK331" s="242">
        <f t="shared" si="2342"/>
        <v>0</v>
      </c>
      <c r="LL331" s="242">
        <f t="shared" si="2343"/>
        <v>4000</v>
      </c>
      <c r="LM331" s="56"/>
      <c r="LP331" s="55">
        <f t="shared" si="2344"/>
        <v>46302</v>
      </c>
      <c r="LQ331" s="56"/>
      <c r="LR331" s="242">
        <f>SUMPRODUCT(PRODUCE!$B328:$DY328,PRODUCE!$EB$43:$IY$43)</f>
        <v>0</v>
      </c>
      <c r="LS331" s="56"/>
      <c r="LT331" s="242">
        <f t="shared" si="2345"/>
        <v>0</v>
      </c>
      <c r="LU331" s="242">
        <f t="shared" si="2346"/>
        <v>0</v>
      </c>
      <c r="LV331" s="56"/>
      <c r="LY331" s="55">
        <f t="shared" si="2347"/>
        <v>46302</v>
      </c>
      <c r="LZ331" s="56"/>
      <c r="MA331" s="242">
        <f>SUMPRODUCT(PRODUCE!$B328:$DY328,PRODUCE!$EB$44:$IY$44)</f>
        <v>0</v>
      </c>
      <c r="MB331" s="56"/>
      <c r="MC331" s="242">
        <f t="shared" si="2348"/>
        <v>0</v>
      </c>
      <c r="MD331" s="242">
        <f t="shared" si="2349"/>
        <v>0</v>
      </c>
      <c r="ME331" s="56"/>
      <c r="MH331" s="55">
        <f t="shared" si="2350"/>
        <v>46302</v>
      </c>
      <c r="MI331" s="56"/>
      <c r="MJ331" s="242">
        <f>SUMPRODUCT(PRODUCE!$B328:$DY328,PRODUCE!$EB$45:$IY$45)</f>
        <v>0</v>
      </c>
      <c r="MK331" s="56"/>
      <c r="ML331" s="242">
        <f t="shared" si="2351"/>
        <v>0</v>
      </c>
      <c r="MM331" s="242">
        <f t="shared" si="2352"/>
        <v>0</v>
      </c>
      <c r="MN331" s="56"/>
      <c r="MQ331" s="55">
        <f t="shared" si="2353"/>
        <v>46302</v>
      </c>
      <c r="MR331" s="56"/>
      <c r="MS331" s="242">
        <f>SUMPRODUCT(PRODUCE!$B328:$DY328,PRODUCE!$EB$46:$IY$46)</f>
        <v>0</v>
      </c>
      <c r="MT331" s="56"/>
      <c r="MU331" s="242">
        <f t="shared" si="2354"/>
        <v>0</v>
      </c>
      <c r="MV331" s="242">
        <f t="shared" si="2355"/>
        <v>1625</v>
      </c>
      <c r="MW331" s="56"/>
      <c r="MZ331" s="55">
        <f t="shared" si="2356"/>
        <v>46302</v>
      </c>
      <c r="NA331" s="56"/>
      <c r="NB331" s="242">
        <f>SUMPRODUCT(PRODUCE!$B328:$DY328,PRODUCE!$EB$47:$IY$47)</f>
        <v>0</v>
      </c>
      <c r="NC331" s="56"/>
      <c r="ND331" s="242">
        <f t="shared" si="2357"/>
        <v>0</v>
      </c>
      <c r="NE331" s="242">
        <f t="shared" si="2358"/>
        <v>0</v>
      </c>
      <c r="NF331" s="56"/>
      <c r="NI331" s="55">
        <f t="shared" si="2359"/>
        <v>46302</v>
      </c>
      <c r="NJ331" s="56"/>
      <c r="NK331" s="242">
        <f>SUMPRODUCT(PRODUCE!$B328:$DY328,PRODUCE!$EB$48:$IY$48)</f>
        <v>0</v>
      </c>
      <c r="NL331" s="56"/>
      <c r="NM331" s="242">
        <f t="shared" si="2360"/>
        <v>0</v>
      </c>
      <c r="NN331" s="242">
        <f t="shared" si="2361"/>
        <v>1127</v>
      </c>
      <c r="NO331" s="56"/>
      <c r="NR331" s="55">
        <f t="shared" si="2362"/>
        <v>46302</v>
      </c>
      <c r="NS331" s="56"/>
      <c r="NT331" s="242">
        <f>SUMPRODUCT(PRODUCE!$B328:$DY328,PRODUCE!$EB$49:$IY$49)</f>
        <v>0</v>
      </c>
      <c r="NU331" s="56"/>
      <c r="NV331" s="242">
        <f t="shared" si="2363"/>
        <v>0</v>
      </c>
      <c r="NW331" s="242">
        <f t="shared" si="2364"/>
        <v>3111.9999999999995</v>
      </c>
      <c r="NX331" s="56"/>
      <c r="OA331" s="55">
        <f t="shared" si="2365"/>
        <v>46302</v>
      </c>
      <c r="OB331" s="56"/>
      <c r="OC331" s="242">
        <f>SUMPRODUCT(PRODUCE!$B328:$DY328,PRODUCE!$EB$50:$IY$50)</f>
        <v>0</v>
      </c>
      <c r="OD331" s="56"/>
      <c r="OE331" s="242">
        <f t="shared" si="2366"/>
        <v>0</v>
      </c>
      <c r="OF331" s="242">
        <f t="shared" si="2367"/>
        <v>1680.5</v>
      </c>
      <c r="OG331" s="56"/>
      <c r="OJ331" s="55">
        <f t="shared" si="2368"/>
        <v>46302</v>
      </c>
      <c r="OK331" s="56"/>
      <c r="OL331" s="242">
        <f>SUMPRODUCT(PRODUCE!$B328:$DY328,PRODUCE!$EB$51:$IY$51)</f>
        <v>0</v>
      </c>
      <c r="OM331" s="56"/>
      <c r="ON331" s="242">
        <f t="shared" si="2369"/>
        <v>0</v>
      </c>
      <c r="OO331" s="242">
        <f t="shared" si="2370"/>
        <v>0</v>
      </c>
      <c r="OP331" s="56"/>
      <c r="OS331" s="55">
        <f t="shared" si="2371"/>
        <v>46302</v>
      </c>
      <c r="OT331" s="56"/>
      <c r="OU331" s="242">
        <f>SUMPRODUCT(PRODUCE!$B328:$DY328,PRODUCE!$EB$52:$IY$52)</f>
        <v>0</v>
      </c>
      <c r="OV331" s="56"/>
      <c r="OW331" s="242">
        <f t="shared" si="2372"/>
        <v>0</v>
      </c>
      <c r="OX331" s="242">
        <f t="shared" si="2373"/>
        <v>1482</v>
      </c>
      <c r="OY331" s="56"/>
      <c r="PB331" s="55">
        <f t="shared" si="2374"/>
        <v>46302</v>
      </c>
      <c r="PC331" s="56"/>
      <c r="PD331" s="242">
        <f>SUMPRODUCT(PRODUCE!$B328:$DY328,PRODUCE!$EB$53:$IY$53)</f>
        <v>0</v>
      </c>
      <c r="PE331" s="56"/>
      <c r="PF331" s="242">
        <f t="shared" si="2375"/>
        <v>0</v>
      </c>
      <c r="PG331" s="242">
        <f t="shared" si="2376"/>
        <v>0</v>
      </c>
      <c r="PH331" s="56"/>
      <c r="PK331" s="55">
        <f t="shared" si="2377"/>
        <v>46302</v>
      </c>
      <c r="PL331" s="56"/>
      <c r="PM331" s="242">
        <f>SUMPRODUCT(PRODUCE!$B328:$DY328,PRODUCE!$EB$54:$IY$54)</f>
        <v>0</v>
      </c>
      <c r="PN331" s="56"/>
      <c r="PO331" s="242">
        <f t="shared" si="2378"/>
        <v>0</v>
      </c>
      <c r="PP331" s="242">
        <f t="shared" si="2379"/>
        <v>100</v>
      </c>
      <c r="PQ331" s="56"/>
      <c r="PT331" s="55">
        <f t="shared" si="2380"/>
        <v>46302</v>
      </c>
      <c r="PU331" s="56"/>
      <c r="PV331" s="242">
        <f>SUMPRODUCT(PRODUCE!$B328:$DY328,PRODUCE!$EB$55:$IY$55)</f>
        <v>0</v>
      </c>
      <c r="PW331" s="56"/>
      <c r="PX331" s="242">
        <f t="shared" si="2381"/>
        <v>0</v>
      </c>
      <c r="PY331" s="242">
        <f t="shared" si="2382"/>
        <v>13.960000000000036</v>
      </c>
      <c r="PZ331" s="56"/>
      <c r="QC331" s="55">
        <f t="shared" si="2383"/>
        <v>46302</v>
      </c>
      <c r="QD331" s="56"/>
      <c r="QE331" s="242">
        <f>SUMPRODUCT(PRODUCE!$B328:$DY328,PRODUCE!$EB$56:$IY$56)</f>
        <v>0</v>
      </c>
      <c r="QF331" s="56"/>
      <c r="QG331" s="242">
        <f t="shared" si="2384"/>
        <v>0</v>
      </c>
      <c r="QH331" s="242">
        <f t="shared" si="2385"/>
        <v>548</v>
      </c>
      <c r="QI331" s="56"/>
      <c r="QL331" s="55">
        <f t="shared" si="2386"/>
        <v>46302</v>
      </c>
      <c r="QM331" s="56"/>
      <c r="QN331" s="242">
        <f>SUMPRODUCT(PRODUCE!$B328:$DY328,PRODUCE!$EB$57:$IY$57)</f>
        <v>0</v>
      </c>
      <c r="QO331" s="56"/>
      <c r="QP331" s="242">
        <f t="shared" si="2387"/>
        <v>0</v>
      </c>
      <c r="QQ331" s="242">
        <f t="shared" si="2388"/>
        <v>0</v>
      </c>
      <c r="QR331" s="56"/>
      <c r="QU331" s="55">
        <f t="shared" si="2389"/>
        <v>46302</v>
      </c>
      <c r="QV331" s="56"/>
      <c r="QW331" s="242">
        <f>SUMPRODUCT(PRODUCE!$B328:$DY328,PRODUCE!$EB$57:$IY$57)</f>
        <v>0</v>
      </c>
      <c r="QX331" s="56"/>
      <c r="QY331" s="242">
        <f t="shared" si="2390"/>
        <v>0</v>
      </c>
      <c r="QZ331" s="242">
        <f t="shared" si="2391"/>
        <v>0</v>
      </c>
      <c r="RA331" s="56"/>
      <c r="RD331" s="55">
        <f t="shared" si="2392"/>
        <v>46302</v>
      </c>
      <c r="RE331" s="56"/>
      <c r="RF331" s="242">
        <f>SUMPRODUCT(PRODUCE!$B328:$DY328,PRODUCE!$EB$58:$IY$58)</f>
        <v>0</v>
      </c>
      <c r="RG331" s="56"/>
      <c r="RH331" s="242">
        <f t="shared" si="2393"/>
        <v>0</v>
      </c>
      <c r="RI331" s="242">
        <f t="shared" si="2394"/>
        <v>147.04000000000002</v>
      </c>
      <c r="RJ331" s="56"/>
      <c r="RM331" s="55">
        <f t="shared" si="2395"/>
        <v>46302</v>
      </c>
      <c r="RN331" s="56"/>
      <c r="RO331" s="242">
        <f>SUMPRODUCT(PRODUCE!$B328:$DY328,PRODUCE!$EB$57:$IY$57)</f>
        <v>0</v>
      </c>
      <c r="RP331" s="56"/>
      <c r="RQ331" s="242">
        <f t="shared" si="2396"/>
        <v>0</v>
      </c>
      <c r="RR331" s="242">
        <f t="shared" si="2397"/>
        <v>46.8</v>
      </c>
      <c r="RS331" s="56"/>
      <c r="RV331" s="55">
        <f t="shared" si="2398"/>
        <v>46302</v>
      </c>
      <c r="RW331" s="56"/>
      <c r="RX331" s="242">
        <f>SUMPRODUCT(PRODUCE!$B328:$DY328,PRODUCE!$EB$57:$IY$57)</f>
        <v>0</v>
      </c>
      <c r="RY331" s="56"/>
      <c r="RZ331" s="242">
        <f t="shared" si="2399"/>
        <v>0</v>
      </c>
      <c r="SA331" s="242">
        <f t="shared" si="2400"/>
        <v>0</v>
      </c>
      <c r="SB331" s="56"/>
      <c r="SE331" s="55">
        <f t="shared" si="2401"/>
        <v>46302</v>
      </c>
      <c r="SF331" s="56"/>
      <c r="SG331" s="242">
        <f>SUMPRODUCT(PRODUCE!$B328:$DY328,PRODUCE!$EB$61:$IY$61)</f>
        <v>0</v>
      </c>
      <c r="SH331" s="56"/>
      <c r="SI331" s="242">
        <f t="shared" si="2402"/>
        <v>0</v>
      </c>
      <c r="SJ331" s="242">
        <f t="shared" si="2403"/>
        <v>24.200000000000003</v>
      </c>
      <c r="SK331" s="56"/>
      <c r="SN331" s="55">
        <f t="shared" si="2404"/>
        <v>46302</v>
      </c>
      <c r="SO331" s="56"/>
      <c r="SP331" s="242">
        <f>SUMPRODUCT(PRODUCE!$B328:$DY328,PRODUCE!$EB$57:$IY$57)</f>
        <v>0</v>
      </c>
      <c r="SQ331" s="56"/>
      <c r="SR331" s="242">
        <f t="shared" si="2405"/>
        <v>0</v>
      </c>
      <c r="SS331" s="242">
        <f t="shared" si="2406"/>
        <v>32</v>
      </c>
      <c r="ST331" s="56"/>
      <c r="SW331" s="55">
        <f t="shared" si="2407"/>
        <v>46302</v>
      </c>
      <c r="SX331" s="56"/>
      <c r="SY331" s="242">
        <f>SUMPRODUCT(PRODUCE!$B328:$DY328,PRODUCE!$EB$57:$IY$57)</f>
        <v>0</v>
      </c>
      <c r="SZ331" s="56"/>
      <c r="TA331" s="242">
        <f t="shared" si="2408"/>
        <v>0</v>
      </c>
      <c r="TB331" s="242">
        <f t="shared" si="2409"/>
        <v>0</v>
      </c>
      <c r="TC331" s="56"/>
      <c r="TF331" s="55">
        <f t="shared" si="2410"/>
        <v>46302</v>
      </c>
      <c r="TG331" s="56"/>
      <c r="TH331" s="242">
        <f>SUMPRODUCT(PRODUCE!$B328:$DY328,PRODUCE!$EB$57:$IY$57)</f>
        <v>0</v>
      </c>
      <c r="TI331" s="56"/>
      <c r="TJ331" s="242">
        <f t="shared" si="2411"/>
        <v>0</v>
      </c>
      <c r="TK331" s="242">
        <f t="shared" si="2412"/>
        <v>0</v>
      </c>
      <c r="TL331" s="56"/>
      <c r="TO331" s="55">
        <f t="shared" si="2413"/>
        <v>46302</v>
      </c>
      <c r="TP331" s="56"/>
      <c r="TQ331" s="242">
        <f>SUMPRODUCT(PRODUCE!$B328:$DY328,PRODUCE!$EB$57:$IY$57)</f>
        <v>0</v>
      </c>
      <c r="TR331" s="56"/>
      <c r="TS331" s="242">
        <f t="shared" si="2414"/>
        <v>0</v>
      </c>
      <c r="TT331" s="242">
        <f t="shared" si="2415"/>
        <v>0</v>
      </c>
      <c r="TU331" s="56"/>
      <c r="TX331" s="55">
        <f t="shared" si="2416"/>
        <v>46302</v>
      </c>
      <c r="TY331" s="56"/>
      <c r="TZ331" s="242">
        <f>SUMPRODUCT(PRODUCE!$B328:$DY328,PRODUCE!$EB$57:$IY$57)</f>
        <v>0</v>
      </c>
      <c r="UA331" s="56"/>
      <c r="UB331" s="242">
        <f t="shared" si="2417"/>
        <v>0</v>
      </c>
      <c r="UC331" s="242">
        <f t="shared" si="2418"/>
        <v>46.799999999999983</v>
      </c>
      <c r="UD331" s="56"/>
      <c r="UG331" s="55">
        <f t="shared" si="2419"/>
        <v>46302</v>
      </c>
      <c r="UH331" s="56"/>
      <c r="UI331" s="242">
        <f>SUMPRODUCT(PRODUCE!$B328:$DY328,PRODUCE!$EB$57:$IY$57)</f>
        <v>0</v>
      </c>
      <c r="UJ331" s="56"/>
      <c r="UK331" s="242">
        <f t="shared" si="2420"/>
        <v>0</v>
      </c>
      <c r="UL331" s="242">
        <f t="shared" si="2421"/>
        <v>204</v>
      </c>
      <c r="UM331" s="56"/>
      <c r="UP331" s="55">
        <f t="shared" si="2422"/>
        <v>46302</v>
      </c>
      <c r="UQ331" s="56"/>
      <c r="UR331" s="242">
        <f>SUMPRODUCT(PRODUCE!$B328:$DY328,PRODUCE!$EB$57:$IY$57)</f>
        <v>0</v>
      </c>
      <c r="US331" s="56"/>
      <c r="UT331" s="242">
        <f t="shared" si="2423"/>
        <v>0</v>
      </c>
      <c r="UU331" s="242">
        <f t="shared" si="2424"/>
        <v>202.5</v>
      </c>
      <c r="UV331" s="56"/>
      <c r="UY331" s="55">
        <f t="shared" si="2425"/>
        <v>46302</v>
      </c>
      <c r="UZ331" s="56"/>
      <c r="VA331" s="242">
        <f>SUMPRODUCT(PRODUCE!$B328:$DY328,PRODUCE!$EB$57:$IY$57)</f>
        <v>0</v>
      </c>
      <c r="VB331" s="56"/>
      <c r="VC331" s="242">
        <f t="shared" si="2426"/>
        <v>0</v>
      </c>
      <c r="VD331" s="242">
        <f t="shared" si="2427"/>
        <v>41.600000000000023</v>
      </c>
      <c r="VE331" s="56"/>
      <c r="VH331" s="55">
        <f t="shared" si="2428"/>
        <v>46302</v>
      </c>
      <c r="VI331" s="56"/>
      <c r="VJ331" s="242">
        <f>SUMPRODUCT(PRODUCE!$B328:$DY328,PRODUCE!$EB$57:$IY$57)</f>
        <v>0</v>
      </c>
      <c r="VK331" s="56"/>
      <c r="VL331" s="242">
        <f t="shared" si="2429"/>
        <v>0</v>
      </c>
      <c r="VM331" s="242">
        <f t="shared" si="2430"/>
        <v>210</v>
      </c>
      <c r="VN331" s="56"/>
      <c r="VQ331" s="55">
        <f t="shared" si="2431"/>
        <v>46302</v>
      </c>
      <c r="VR331" s="56"/>
      <c r="VS331" s="242">
        <f>SUMPRODUCT(PRODUCE!$B328:$DY328,PRODUCE!$EB$57:$IY$57)</f>
        <v>0</v>
      </c>
      <c r="VT331" s="56"/>
      <c r="VU331" s="242">
        <f t="shared" si="2432"/>
        <v>0</v>
      </c>
      <c r="VV331" s="242">
        <f t="shared" si="2433"/>
        <v>0</v>
      </c>
      <c r="VW331" s="56"/>
      <c r="VZ331" s="55">
        <f t="shared" si="2434"/>
        <v>46302</v>
      </c>
      <c r="WA331" s="56"/>
      <c r="WB331" s="242">
        <f>SUMPRODUCT(PRODUCE!$B328:$DY328,PRODUCE!$EB$57:$IY$57)</f>
        <v>0</v>
      </c>
      <c r="WC331" s="56"/>
      <c r="WD331" s="242">
        <f t="shared" si="2435"/>
        <v>0</v>
      </c>
      <c r="WE331" s="242">
        <f t="shared" si="2436"/>
        <v>0</v>
      </c>
      <c r="WF331" s="56"/>
      <c r="WI331" s="55">
        <f t="shared" si="2437"/>
        <v>46302</v>
      </c>
      <c r="WJ331" s="56"/>
      <c r="WK331" s="242">
        <f>SUMPRODUCT(PRODUCE!$B328:$DY328,PRODUCE!$EB$57:$IY$57)</f>
        <v>0</v>
      </c>
      <c r="WL331" s="56"/>
      <c r="WM331" s="242">
        <f t="shared" si="2438"/>
        <v>0</v>
      </c>
      <c r="WN331" s="242">
        <f t="shared" si="2439"/>
        <v>1057</v>
      </c>
      <c r="WO331" s="56"/>
      <c r="WR331" s="55">
        <f t="shared" si="2440"/>
        <v>46302</v>
      </c>
      <c r="WS331" s="56"/>
      <c r="WT331" s="242">
        <f>SUMPRODUCT(PRODUCE!$B328:$DY328,PRODUCE!$EB$57:$IY$57)</f>
        <v>0</v>
      </c>
      <c r="WU331" s="56"/>
      <c r="WV331" s="242">
        <f t="shared" si="2441"/>
        <v>0</v>
      </c>
      <c r="WW331" s="242">
        <f t="shared" si="2442"/>
        <v>0</v>
      </c>
      <c r="WX331" s="56"/>
      <c r="XA331" s="55">
        <f t="shared" si="2443"/>
        <v>46302</v>
      </c>
      <c r="XB331" s="56"/>
      <c r="XC331" s="242">
        <f>SUMPRODUCT(PRODUCE!$B328:$DY328,PRODUCE!$EB$57:$IY$57)</f>
        <v>0</v>
      </c>
      <c r="XD331" s="56"/>
      <c r="XE331" s="242">
        <f t="shared" si="2444"/>
        <v>0</v>
      </c>
      <c r="XF331" s="242">
        <f t="shared" si="2445"/>
        <v>7507</v>
      </c>
      <c r="XG331" s="56"/>
      <c r="XJ331" s="55">
        <f t="shared" si="2446"/>
        <v>46302</v>
      </c>
      <c r="XK331" s="56"/>
      <c r="XL331" s="242">
        <f>SUMPRODUCT(PRODUCE!$B328:$DY328,PRODUCE!$EB$57:$IY$57)</f>
        <v>0</v>
      </c>
      <c r="XM331" s="56"/>
      <c r="XN331" s="242">
        <f t="shared" si="2447"/>
        <v>0</v>
      </c>
      <c r="XO331" s="242">
        <f t="shared" si="2448"/>
        <v>4252</v>
      </c>
      <c r="XP331" s="56"/>
      <c r="XS331" s="55">
        <f t="shared" si="2449"/>
        <v>46302</v>
      </c>
      <c r="XT331" s="56"/>
      <c r="XU331" s="242">
        <f>SUMPRODUCT(PRODUCE!$B328:$DY328,PRODUCE!$EB$57:$IY$57)</f>
        <v>0</v>
      </c>
      <c r="XV331" s="56"/>
      <c r="XW331" s="242">
        <f t="shared" si="2450"/>
        <v>0</v>
      </c>
      <c r="XX331" s="242">
        <f t="shared" si="2451"/>
        <v>2179</v>
      </c>
      <c r="XY331" s="56"/>
      <c r="YB331" s="55">
        <f t="shared" si="2452"/>
        <v>46302</v>
      </c>
      <c r="YC331" s="56"/>
      <c r="YD331" s="242">
        <f>SUMPRODUCT(PRODUCE!$B328:$DY328,PRODUCE!$EB$57:$IY$57)</f>
        <v>0</v>
      </c>
      <c r="YE331" s="56"/>
      <c r="YF331" s="242">
        <f t="shared" si="2453"/>
        <v>0</v>
      </c>
      <c r="YG331" s="242">
        <f t="shared" si="2454"/>
        <v>4019</v>
      </c>
      <c r="YH331" s="56"/>
      <c r="YK331" s="55">
        <f t="shared" si="2455"/>
        <v>46302</v>
      </c>
      <c r="YL331" s="56"/>
      <c r="YM331" s="242">
        <f>SUMPRODUCT(PRODUCE!$B328:$DY328,PRODUCE!$EB$57:$IY$57)</f>
        <v>0</v>
      </c>
      <c r="YN331" s="56"/>
      <c r="YO331" s="242">
        <f t="shared" si="2456"/>
        <v>0</v>
      </c>
      <c r="YP331" s="242">
        <f t="shared" si="2457"/>
        <v>-218</v>
      </c>
      <c r="YQ331" s="56"/>
      <c r="YT331" s="55">
        <f t="shared" si="2458"/>
        <v>46302</v>
      </c>
      <c r="YU331" s="56"/>
      <c r="YV331" s="242">
        <f>SUMPRODUCT(PRODUCE!$B328:$DY328,PRODUCE!$EB$57:$IY$57)</f>
        <v>0</v>
      </c>
      <c r="YW331" s="56"/>
      <c r="YX331" s="242">
        <f t="shared" si="2459"/>
        <v>0</v>
      </c>
      <c r="YY331" s="242">
        <f t="shared" si="2460"/>
        <v>0</v>
      </c>
      <c r="YZ331" s="56"/>
      <c r="ZC331" s="55">
        <f t="shared" si="2461"/>
        <v>46302</v>
      </c>
      <c r="ZD331" s="56"/>
      <c r="ZE331" s="242">
        <f>SUMPRODUCT(PRODUCE!$B328:$DY328,PRODUCE!$EB$57:$IY$57)</f>
        <v>0</v>
      </c>
      <c r="ZF331" s="56"/>
      <c r="ZG331" s="242">
        <f t="shared" si="2462"/>
        <v>0</v>
      </c>
      <c r="ZH331" s="242">
        <f t="shared" si="2463"/>
        <v>0</v>
      </c>
      <c r="ZI331" s="56"/>
      <c r="ZL331" s="55">
        <f t="shared" si="2464"/>
        <v>46302</v>
      </c>
      <c r="ZM331" s="56"/>
      <c r="ZN331" s="242">
        <f>SUMPRODUCT(PRODUCE!$B328:$DY328,PRODUCE!$EB$57:$IY$57)</f>
        <v>0</v>
      </c>
      <c r="ZO331" s="56"/>
      <c r="ZP331" s="242">
        <f t="shared" si="2465"/>
        <v>0</v>
      </c>
      <c r="ZQ331" s="242">
        <f t="shared" si="2466"/>
        <v>0</v>
      </c>
      <c r="ZR331" s="56"/>
      <c r="ZU331" s="55">
        <f t="shared" si="2467"/>
        <v>46302</v>
      </c>
      <c r="ZV331" s="56"/>
      <c r="ZW331" s="242">
        <f>SUMPRODUCT(PRODUCE!$B328:$DY328,PRODUCE!$EB$57:$IY$57)</f>
        <v>0</v>
      </c>
      <c r="ZX331" s="56"/>
      <c r="ZY331" s="242">
        <f t="shared" si="2468"/>
        <v>0</v>
      </c>
      <c r="ZZ331" s="242">
        <f t="shared" si="2469"/>
        <v>0</v>
      </c>
      <c r="AAA331" s="56"/>
      <c r="AAD331" s="55">
        <f t="shared" si="2470"/>
        <v>46302</v>
      </c>
      <c r="AAE331" s="56"/>
      <c r="AAF331" s="242">
        <f>SUMPRODUCT(PRODUCE!$B328:$DY328,PRODUCE!$EB$57:$IY$57)</f>
        <v>0</v>
      </c>
      <c r="AAG331" s="56"/>
      <c r="AAH331" s="242">
        <f t="shared" si="2471"/>
        <v>0</v>
      </c>
      <c r="AAI331" s="242">
        <f t="shared" si="2472"/>
        <v>0</v>
      </c>
      <c r="AAJ331" s="56"/>
      <c r="AAM331" s="55">
        <f t="shared" si="2473"/>
        <v>46302</v>
      </c>
      <c r="AAN331" s="56"/>
      <c r="AAO331" s="242">
        <f>SUMPRODUCT(PRODUCE!$B328:$DY328,PRODUCE!$EB$57:$IY$57)</f>
        <v>0</v>
      </c>
      <c r="AAP331" s="56"/>
      <c r="AAQ331" s="242">
        <f t="shared" si="2474"/>
        <v>0</v>
      </c>
      <c r="AAR331" s="242">
        <f t="shared" si="2475"/>
        <v>0</v>
      </c>
      <c r="AAS331" s="56"/>
      <c r="AAV331" s="55">
        <f t="shared" si="2476"/>
        <v>46302</v>
      </c>
      <c r="AAW331" s="56"/>
      <c r="AAX331" s="242">
        <f>SUMPRODUCT(PRODUCE!$B328:$DY328,PRODUCE!$EB$57:$IY$57)</f>
        <v>0</v>
      </c>
      <c r="AAY331" s="56"/>
      <c r="AAZ331" s="242">
        <f t="shared" si="2477"/>
        <v>0</v>
      </c>
      <c r="ABA331" s="242">
        <f t="shared" si="2478"/>
        <v>0</v>
      </c>
      <c r="ABB331" s="56"/>
      <c r="ABE331" s="55">
        <f t="shared" si="2479"/>
        <v>46302</v>
      </c>
      <c r="ABF331" s="56"/>
      <c r="ABG331" s="242">
        <f>SUMPRODUCT(PRODUCE!$B328:$DY328,PRODUCE!$EB$57:$IY$57)</f>
        <v>0</v>
      </c>
      <c r="ABH331" s="56"/>
      <c r="ABI331" s="242">
        <f t="shared" si="2480"/>
        <v>0</v>
      </c>
      <c r="ABJ331" s="242">
        <f t="shared" si="2481"/>
        <v>0</v>
      </c>
      <c r="ABK331" s="56"/>
    </row>
    <row r="332" spans="1:739" s="54" customFormat="1" ht="15" customHeight="1" outlineLevel="1">
      <c r="B332" s="478"/>
      <c r="C332" s="55">
        <v>46303</v>
      </c>
      <c r="D332" s="56"/>
      <c r="E332" s="57">
        <f>SUMPRODUCT(PRODUCE!$B329:$DY329,PRODUCE!$EB$7:$IY$7)</f>
        <v>0</v>
      </c>
      <c r="F332" s="56"/>
      <c r="G332" s="57">
        <f t="shared" si="2237"/>
        <v>0</v>
      </c>
      <c r="H332" s="57">
        <f t="shared" si="2238"/>
        <v>236936.6</v>
      </c>
      <c r="I332" s="289"/>
      <c r="L332" s="55">
        <f t="shared" si="2239"/>
        <v>46303</v>
      </c>
      <c r="M332" s="56"/>
      <c r="N332" s="59">
        <f>SUMPRODUCT(PRODUCE!$B329:$DY329,PRODUCE!$EB$8:$IY$8)</f>
        <v>0</v>
      </c>
      <c r="O332" s="56"/>
      <c r="P332" s="59">
        <f t="shared" si="2240"/>
        <v>0</v>
      </c>
      <c r="Q332" s="59">
        <f t="shared" si="2241"/>
        <v>53017.600000000071</v>
      </c>
      <c r="R332" s="56"/>
      <c r="U332" s="55">
        <f t="shared" si="2242"/>
        <v>46303</v>
      </c>
      <c r="V332" s="56"/>
      <c r="W332" s="60">
        <f>SUMPRODUCT(PRODUCE!$B329:$DY329,PRODUCE!$EB$9:$IY$9)</f>
        <v>0</v>
      </c>
      <c r="X332" s="56"/>
      <c r="Y332" s="60">
        <f t="shared" si="2243"/>
        <v>0</v>
      </c>
      <c r="Z332" s="60">
        <f t="shared" si="2244"/>
        <v>42674.199999999968</v>
      </c>
      <c r="AA332" s="56"/>
      <c r="AD332" s="55">
        <f t="shared" si="2245"/>
        <v>46303</v>
      </c>
      <c r="AE332" s="56"/>
      <c r="AF332" s="61">
        <f>SUMPRODUCT(PRODUCE!$B329:$DY329,PRODUCE!$EB$10:$IY$10)</f>
        <v>0</v>
      </c>
      <c r="AG332" s="56"/>
      <c r="AH332" s="61">
        <f t="shared" si="2246"/>
        <v>0</v>
      </c>
      <c r="AI332" s="61">
        <f t="shared" si="2247"/>
        <v>4522.2000000000189</v>
      </c>
      <c r="AJ332" s="56"/>
      <c r="AM332" s="55">
        <f t="shared" si="2248"/>
        <v>46303</v>
      </c>
      <c r="AN332" s="422"/>
      <c r="AO332" s="444">
        <f>SUMPRODUCT(PRODUCE!$B329:$DY329,PRODUCE!$EB$11:$IY$11)</f>
        <v>0</v>
      </c>
      <c r="AP332" s="422"/>
      <c r="AQ332" s="444">
        <f t="shared" si="2249"/>
        <v>0</v>
      </c>
      <c r="AR332" s="444">
        <f t="shared" si="2250"/>
        <v>0</v>
      </c>
      <c r="AS332" s="56"/>
      <c r="AV332" s="55">
        <f t="shared" si="2251"/>
        <v>46303</v>
      </c>
      <c r="AW332" s="56"/>
      <c r="AX332" s="62">
        <f>SUMPRODUCT(PRODUCE!$B329:$DY329,PRODUCE!$EB$12:$IY$12)</f>
        <v>0</v>
      </c>
      <c r="AY332" s="56"/>
      <c r="AZ332" s="62">
        <f t="shared" si="2252"/>
        <v>0</v>
      </c>
      <c r="BA332" s="62">
        <f t="shared" si="2253"/>
        <v>124.99999999999523</v>
      </c>
      <c r="BB332" s="56"/>
      <c r="BE332" s="55">
        <f t="shared" si="2254"/>
        <v>46303</v>
      </c>
      <c r="BF332" s="56"/>
      <c r="BG332" s="63">
        <f>SUMPRODUCT(PRODUCE!$B329:$DY329,PRODUCE!$EB$13:$IY$13)</f>
        <v>0</v>
      </c>
      <c r="BH332" s="56"/>
      <c r="BI332" s="63">
        <f t="shared" si="2255"/>
        <v>0</v>
      </c>
      <c r="BJ332" s="63">
        <f t="shared" si="2256"/>
        <v>26151.899999999998</v>
      </c>
      <c r="BK332" s="56"/>
      <c r="BN332" s="55">
        <f t="shared" si="2257"/>
        <v>46303</v>
      </c>
      <c r="BO332" s="56"/>
      <c r="BP332" s="64">
        <f>SUMPRODUCT(PRODUCE!$B329:$DY329,PRODUCE!$EB$14:$IY$14)</f>
        <v>0</v>
      </c>
      <c r="BQ332" s="56"/>
      <c r="BR332" s="64">
        <f t="shared" si="2258"/>
        <v>0</v>
      </c>
      <c r="BS332" s="64">
        <f t="shared" si="2259"/>
        <v>0</v>
      </c>
      <c r="BT332" s="56"/>
      <c r="BW332" s="55">
        <f t="shared" si="2260"/>
        <v>46303</v>
      </c>
      <c r="BX332" s="56"/>
      <c r="BY332" s="65">
        <f>SUMPRODUCT(PRODUCE!$B329:$DY329,PRODUCE!$EB$15:$IY$15)</f>
        <v>0</v>
      </c>
      <c r="BZ332" s="56"/>
      <c r="CA332" s="65">
        <f t="shared" si="2261"/>
        <v>0</v>
      </c>
      <c r="CB332" s="65">
        <f t="shared" si="2262"/>
        <v>2097.3399999999992</v>
      </c>
      <c r="CC332" s="56"/>
      <c r="CF332" s="55">
        <f t="shared" si="2263"/>
        <v>46303</v>
      </c>
      <c r="CG332" s="56"/>
      <c r="CH332" s="66">
        <f>SUMPRODUCT(PRODUCE!$B329:$DY329,PRODUCE!$EB$16:$IY$16)</f>
        <v>0</v>
      </c>
      <c r="CI332" s="56"/>
      <c r="CJ332" s="66">
        <f t="shared" si="2264"/>
        <v>0</v>
      </c>
      <c r="CK332" s="66">
        <f t="shared" si="2265"/>
        <v>-10277.079999999998</v>
      </c>
      <c r="CL332" s="56"/>
      <c r="CO332" s="55">
        <f t="shared" si="2266"/>
        <v>46303</v>
      </c>
      <c r="CP332" s="422"/>
      <c r="CQ332" s="470">
        <f>SUMPRODUCT(PRODUCE!$B329:$DY329,PRODUCE!$EB$17:$IY$17)</f>
        <v>0</v>
      </c>
      <c r="CR332" s="422"/>
      <c r="CS332" s="470">
        <f t="shared" si="2267"/>
        <v>0</v>
      </c>
      <c r="CT332" s="470">
        <f t="shared" si="2268"/>
        <v>0</v>
      </c>
      <c r="CU332" s="56"/>
      <c r="CX332" s="55">
        <f t="shared" si="2269"/>
        <v>46303</v>
      </c>
      <c r="CY332" s="56"/>
      <c r="CZ332" s="133">
        <f>SUMPRODUCT(PRODUCE!$B329:$DY329,PRODUCE!$EB$18:$IY$18)</f>
        <v>0</v>
      </c>
      <c r="DA332" s="56"/>
      <c r="DB332" s="133">
        <f t="shared" si="2270"/>
        <v>0</v>
      </c>
      <c r="DC332" s="133">
        <f t="shared" si="2271"/>
        <v>27438.200000000012</v>
      </c>
      <c r="DD332" s="56"/>
      <c r="DG332" s="55">
        <f t="shared" si="2272"/>
        <v>46303</v>
      </c>
      <c r="DH332" s="56"/>
      <c r="DI332" s="147">
        <f>SUMPRODUCT(PRODUCE!$B329:$DY329,PRODUCE!$EB$19:$IY$19)</f>
        <v>0</v>
      </c>
      <c r="DJ332" s="56"/>
      <c r="DK332" s="147">
        <f t="shared" si="2273"/>
        <v>0</v>
      </c>
      <c r="DL332" s="147">
        <f t="shared" si="2274"/>
        <v>18782.299999999981</v>
      </c>
      <c r="DM332" s="56"/>
      <c r="DP332" s="55">
        <f t="shared" si="2275"/>
        <v>46303</v>
      </c>
      <c r="DQ332" s="56"/>
      <c r="DR332" s="57">
        <f>SUMPRODUCT(PRODUCE!$B329:$DY329,PRODUCE!$EB$20:$IY$20)</f>
        <v>0</v>
      </c>
      <c r="DS332" s="56"/>
      <c r="DT332" s="57">
        <f t="shared" si="2276"/>
        <v>0</v>
      </c>
      <c r="DU332" s="57">
        <f t="shared" si="2277"/>
        <v>5800</v>
      </c>
      <c r="DV332" s="56"/>
      <c r="DY332" s="55">
        <f t="shared" si="2278"/>
        <v>46303</v>
      </c>
      <c r="DZ332" s="56"/>
      <c r="EA332" s="157">
        <f>SUMPRODUCT(PRODUCE!$B329:$DY329,PRODUCE!$EB$21:$IY$21)</f>
        <v>0</v>
      </c>
      <c r="EB332" s="56"/>
      <c r="EC332" s="157">
        <f t="shared" si="2279"/>
        <v>0</v>
      </c>
      <c r="ED332" s="157">
        <f t="shared" si="2280"/>
        <v>0</v>
      </c>
      <c r="EE332" s="56"/>
      <c r="EH332" s="55">
        <f t="shared" si="2281"/>
        <v>46303</v>
      </c>
      <c r="EI332" s="56"/>
      <c r="EJ332" s="162">
        <f>SUMPRODUCT(PRODUCE!$B329:$DY329,PRODUCE!$EB$22:$IY$22)</f>
        <v>0</v>
      </c>
      <c r="EK332" s="56"/>
      <c r="EL332" s="162">
        <f t="shared" si="2282"/>
        <v>0</v>
      </c>
      <c r="EM332" s="162">
        <f t="shared" si="2283"/>
        <v>0</v>
      </c>
      <c r="EN332" s="56"/>
      <c r="EQ332" s="55">
        <f t="shared" si="2284"/>
        <v>46303</v>
      </c>
      <c r="ER332" s="56"/>
      <c r="ES332" s="135">
        <f>SUMPRODUCT(PRODUCE!$B329:$DY329,PRODUCE!$EB$23:$IY$23)</f>
        <v>0</v>
      </c>
      <c r="ET332" s="56"/>
      <c r="EU332" s="135">
        <f t="shared" si="2285"/>
        <v>0</v>
      </c>
      <c r="EV332" s="135">
        <f t="shared" si="2286"/>
        <v>0</v>
      </c>
      <c r="EW332" s="56"/>
      <c r="EZ332" s="55">
        <f t="shared" si="2287"/>
        <v>46303</v>
      </c>
      <c r="FA332" s="56"/>
      <c r="FB332" s="175">
        <f>SUMPRODUCT(PRODUCE!$B329:$DY329,PRODUCE!$EB$24:$IY$24)</f>
        <v>0</v>
      </c>
      <c r="FC332" s="56"/>
      <c r="FD332" s="175">
        <f t="shared" si="2288"/>
        <v>0</v>
      </c>
      <c r="FE332" s="175">
        <f t="shared" si="2289"/>
        <v>0</v>
      </c>
      <c r="FF332" s="56"/>
      <c r="FI332" s="55">
        <f t="shared" si="2290"/>
        <v>46303</v>
      </c>
      <c r="FJ332" s="56"/>
      <c r="FK332" s="183">
        <f>SUMPRODUCT(PRODUCE!$B329:$DY329,PRODUCE!$EB$25:$IY$25)</f>
        <v>0</v>
      </c>
      <c r="FL332" s="56"/>
      <c r="FM332" s="183">
        <f t="shared" si="2291"/>
        <v>0</v>
      </c>
      <c r="FN332" s="183">
        <f t="shared" si="2292"/>
        <v>0</v>
      </c>
      <c r="FO332" s="56"/>
      <c r="FR332" s="55">
        <f t="shared" si="2293"/>
        <v>46303</v>
      </c>
      <c r="FS332" s="56"/>
      <c r="FT332" s="186">
        <f>SUMPRODUCT(PRODUCE!$B329:$DY329,PRODUCE!$EB$26:$IY$26)</f>
        <v>0</v>
      </c>
      <c r="FU332" s="56"/>
      <c r="FV332" s="186">
        <f t="shared" si="2294"/>
        <v>0</v>
      </c>
      <c r="FW332" s="186">
        <f t="shared" si="2295"/>
        <v>2020</v>
      </c>
      <c r="FX332" s="56"/>
      <c r="GA332" s="55">
        <f t="shared" si="2296"/>
        <v>46303</v>
      </c>
      <c r="GB332" s="56"/>
      <c r="GC332" s="137">
        <f>SUMPRODUCT(PRODUCE!$B329:$DY329,PRODUCE!$EB$27:$IY$27)</f>
        <v>0</v>
      </c>
      <c r="GD332" s="56"/>
      <c r="GE332" s="137">
        <f t="shared" si="2297"/>
        <v>0</v>
      </c>
      <c r="GF332" s="137">
        <f t="shared" si="2298"/>
        <v>960</v>
      </c>
      <c r="GG332" s="56"/>
      <c r="GI332" s="23"/>
      <c r="GJ332" s="55">
        <f t="shared" si="2299"/>
        <v>46303</v>
      </c>
      <c r="GK332" s="56"/>
      <c r="GL332" s="199">
        <f>SUMPRODUCT(PRODUCE!$B329:$DY329,PRODUCE!$EB$28:$IY$28)</f>
        <v>0</v>
      </c>
      <c r="GM332" s="56"/>
      <c r="GN332" s="199">
        <f t="shared" si="2300"/>
        <v>0</v>
      </c>
      <c r="GO332" s="199">
        <f t="shared" si="2301"/>
        <v>1760</v>
      </c>
      <c r="GP332" s="56"/>
      <c r="GS332" s="55">
        <f t="shared" si="2302"/>
        <v>46303</v>
      </c>
      <c r="GT332" s="56"/>
      <c r="GU332" s="195">
        <f>SUMPRODUCT(PRODUCE!$B329:$DY329,PRODUCE!$EB$29:$IY$29)</f>
        <v>0</v>
      </c>
      <c r="GV332" s="56"/>
      <c r="GW332" s="195">
        <f t="shared" si="2303"/>
        <v>0</v>
      </c>
      <c r="GX332" s="195">
        <f t="shared" si="2304"/>
        <v>400</v>
      </c>
      <c r="GY332" s="56"/>
      <c r="HB332" s="55">
        <f t="shared" si="2305"/>
        <v>46303</v>
      </c>
      <c r="HC332" s="56"/>
      <c r="HD332" s="191">
        <f>SUMPRODUCT(PRODUCE!$B329:$DY329,PRODUCE!$EB$30:$IY$30)</f>
        <v>0</v>
      </c>
      <c r="HE332" s="56"/>
      <c r="HF332" s="191">
        <f t="shared" si="2306"/>
        <v>0</v>
      </c>
      <c r="HG332" s="191">
        <f t="shared" si="2307"/>
        <v>3600</v>
      </c>
      <c r="HH332" s="56"/>
      <c r="HK332" s="55">
        <f t="shared" si="2308"/>
        <v>46303</v>
      </c>
      <c r="HL332" s="56"/>
      <c r="HM332" s="63">
        <f>SUMPRODUCT(PRODUCE!$B329:$DY329,PRODUCE!$EB$31:$IY$31)</f>
        <v>0</v>
      </c>
      <c r="HN332" s="56"/>
      <c r="HO332" s="63">
        <f t="shared" si="2309"/>
        <v>0</v>
      </c>
      <c r="HP332" s="63">
        <f t="shared" si="2310"/>
        <v>0</v>
      </c>
      <c r="HQ332" s="56"/>
      <c r="HU332" s="55">
        <f t="shared" si="2311"/>
        <v>46303</v>
      </c>
      <c r="HV332" s="56"/>
      <c r="HW332" s="242">
        <f>SUMPRODUCT(PRODUCE!$B329:$DY329,PRODUCE!$EB$32:$IY$32)</f>
        <v>0</v>
      </c>
      <c r="HX332" s="56"/>
      <c r="HY332" s="242">
        <f t="shared" si="2312"/>
        <v>0</v>
      </c>
      <c r="HZ332" s="242">
        <f t="shared" si="2313"/>
        <v>6120</v>
      </c>
      <c r="IA332" s="56"/>
      <c r="ID332" s="55">
        <f t="shared" si="2314"/>
        <v>46303</v>
      </c>
      <c r="IE332" s="56"/>
      <c r="IF332" s="242">
        <f>SUMPRODUCT(PRODUCE!$B329:$DY329,PRODUCE!$EB$33:$IY$33)</f>
        <v>0</v>
      </c>
      <c r="IG332" s="56"/>
      <c r="IH332" s="242">
        <f t="shared" si="2315"/>
        <v>0</v>
      </c>
      <c r="II332" s="242">
        <f t="shared" si="2316"/>
        <v>0</v>
      </c>
      <c r="IJ332" s="56"/>
      <c r="IM332" s="55">
        <f t="shared" si="2317"/>
        <v>46303</v>
      </c>
      <c r="IN332" s="56"/>
      <c r="IO332" s="242">
        <f>SUMPRODUCT(PRODUCE!$B329:$DY329,PRODUCE!$EB$34:$IY$34)</f>
        <v>0</v>
      </c>
      <c r="IP332" s="56"/>
      <c r="IQ332" s="242">
        <f t="shared" si="2318"/>
        <v>0</v>
      </c>
      <c r="IR332" s="242">
        <f t="shared" si="2319"/>
        <v>0</v>
      </c>
      <c r="IS332" s="56"/>
      <c r="IV332" s="55">
        <f t="shared" si="2320"/>
        <v>46303</v>
      </c>
      <c r="IW332" s="56"/>
      <c r="IX332" s="242">
        <f>SUMPRODUCT(PRODUCE!$B329:$DY329,PRODUCE!$EB$35:$IY$35)</f>
        <v>0</v>
      </c>
      <c r="IY332" s="56"/>
      <c r="IZ332" s="242">
        <f t="shared" si="2321"/>
        <v>0</v>
      </c>
      <c r="JA332" s="242">
        <f t="shared" si="2322"/>
        <v>2820</v>
      </c>
      <c r="JB332" s="56"/>
      <c r="JE332" s="55">
        <f t="shared" si="2323"/>
        <v>46303</v>
      </c>
      <c r="JF332" s="56"/>
      <c r="JG332" s="242">
        <f>SUMPRODUCT(PRODUCE!$B329:$DY329,PRODUCE!$EB$36:$IY$36)</f>
        <v>0</v>
      </c>
      <c r="JH332" s="56"/>
      <c r="JI332" s="242">
        <f t="shared" si="2324"/>
        <v>0</v>
      </c>
      <c r="JJ332" s="242">
        <f t="shared" si="2325"/>
        <v>0</v>
      </c>
      <c r="JK332" s="56"/>
      <c r="JN332" s="55">
        <f t="shared" si="2326"/>
        <v>46303</v>
      </c>
      <c r="JO332" s="56"/>
      <c r="JP332" s="242">
        <f>SUMPRODUCT(PRODUCE!$B329:$DY329,PRODUCE!$EB$37:$IY$37)</f>
        <v>0</v>
      </c>
      <c r="JQ332" s="56"/>
      <c r="JR332" s="242">
        <f t="shared" si="2327"/>
        <v>0</v>
      </c>
      <c r="JS332" s="242">
        <f t="shared" si="2328"/>
        <v>0</v>
      </c>
      <c r="JT332" s="56"/>
      <c r="JW332" s="55">
        <f t="shared" si="2329"/>
        <v>46303</v>
      </c>
      <c r="JX332" s="56"/>
      <c r="JY332" s="242">
        <f>SUMPRODUCT(PRODUCE!$B329:$DY329,PRODUCE!$EB$38:$IY$38)</f>
        <v>0</v>
      </c>
      <c r="JZ332" s="56"/>
      <c r="KA332" s="242">
        <f t="shared" si="2330"/>
        <v>0</v>
      </c>
      <c r="KB332" s="242">
        <f t="shared" si="2331"/>
        <v>2540</v>
      </c>
      <c r="KC332" s="56"/>
      <c r="KF332" s="55">
        <f t="shared" si="2332"/>
        <v>46303</v>
      </c>
      <c r="KG332" s="56"/>
      <c r="KH332" s="242">
        <f>SUMPRODUCT(PRODUCE!$B329:$DY329,PRODUCE!$EB$39:$IY$39)</f>
        <v>0</v>
      </c>
      <c r="KI332" s="56"/>
      <c r="KJ332" s="242">
        <f t="shared" si="2333"/>
        <v>0</v>
      </c>
      <c r="KK332" s="242">
        <f t="shared" si="2334"/>
        <v>2359.5</v>
      </c>
      <c r="KL332" s="56"/>
      <c r="KO332" s="55">
        <f t="shared" si="2335"/>
        <v>46303</v>
      </c>
      <c r="KP332" s="56"/>
      <c r="KQ332" s="242">
        <f>SUMPRODUCT(PRODUCE!$B329:$DY329,PRODUCE!$EB$40:$IY$40)</f>
        <v>0</v>
      </c>
      <c r="KR332" s="56"/>
      <c r="KS332" s="242">
        <f t="shared" si="2336"/>
        <v>0</v>
      </c>
      <c r="KT332" s="242">
        <f t="shared" si="2337"/>
        <v>1890</v>
      </c>
      <c r="KU332" s="56"/>
      <c r="KW332" s="23"/>
      <c r="KX332" s="55">
        <f t="shared" si="2338"/>
        <v>46303</v>
      </c>
      <c r="KY332" s="56"/>
      <c r="KZ332" s="242">
        <f>SUMPRODUCT(PRODUCE!$B329:$DY329,PRODUCE!$EB$41:$IY$41)</f>
        <v>0</v>
      </c>
      <c r="LA332" s="56"/>
      <c r="LB332" s="242">
        <f t="shared" si="2339"/>
        <v>0</v>
      </c>
      <c r="LC332" s="242">
        <f t="shared" si="2340"/>
        <v>3690</v>
      </c>
      <c r="LD332" s="56"/>
      <c r="LG332" s="55">
        <f t="shared" si="2341"/>
        <v>46303</v>
      </c>
      <c r="LH332" s="56"/>
      <c r="LI332" s="242">
        <f>SUMPRODUCT(PRODUCE!$B329:$DY329,PRODUCE!$EB$42:$IY$42)</f>
        <v>0</v>
      </c>
      <c r="LJ332" s="56"/>
      <c r="LK332" s="242">
        <f t="shared" si="2342"/>
        <v>0</v>
      </c>
      <c r="LL332" s="242">
        <f t="shared" si="2343"/>
        <v>4000</v>
      </c>
      <c r="LM332" s="56"/>
      <c r="LP332" s="55">
        <f t="shared" si="2344"/>
        <v>46303</v>
      </c>
      <c r="LQ332" s="56"/>
      <c r="LR332" s="242">
        <f>SUMPRODUCT(PRODUCE!$B329:$DY329,PRODUCE!$EB$43:$IY$43)</f>
        <v>0</v>
      </c>
      <c r="LS332" s="56"/>
      <c r="LT332" s="242">
        <f t="shared" si="2345"/>
        <v>0</v>
      </c>
      <c r="LU332" s="242">
        <f t="shared" si="2346"/>
        <v>0</v>
      </c>
      <c r="LV332" s="56"/>
      <c r="LY332" s="55">
        <f t="shared" si="2347"/>
        <v>46303</v>
      </c>
      <c r="LZ332" s="56"/>
      <c r="MA332" s="242">
        <f>SUMPRODUCT(PRODUCE!$B329:$DY329,PRODUCE!$EB$44:$IY$44)</f>
        <v>0</v>
      </c>
      <c r="MB332" s="56"/>
      <c r="MC332" s="242">
        <f t="shared" si="2348"/>
        <v>0</v>
      </c>
      <c r="MD332" s="242">
        <f t="shared" si="2349"/>
        <v>0</v>
      </c>
      <c r="ME332" s="56"/>
      <c r="MH332" s="55">
        <f t="shared" si="2350"/>
        <v>46303</v>
      </c>
      <c r="MI332" s="56"/>
      <c r="MJ332" s="242">
        <f>SUMPRODUCT(PRODUCE!$B329:$DY329,PRODUCE!$EB$45:$IY$45)</f>
        <v>0</v>
      </c>
      <c r="MK332" s="56"/>
      <c r="ML332" s="242">
        <f t="shared" si="2351"/>
        <v>0</v>
      </c>
      <c r="MM332" s="242">
        <f t="shared" si="2352"/>
        <v>0</v>
      </c>
      <c r="MN332" s="56"/>
      <c r="MQ332" s="55">
        <f t="shared" si="2353"/>
        <v>46303</v>
      </c>
      <c r="MR332" s="56"/>
      <c r="MS332" s="242">
        <f>SUMPRODUCT(PRODUCE!$B329:$DY329,PRODUCE!$EB$46:$IY$46)</f>
        <v>0</v>
      </c>
      <c r="MT332" s="56"/>
      <c r="MU332" s="242">
        <f t="shared" si="2354"/>
        <v>0</v>
      </c>
      <c r="MV332" s="242">
        <f t="shared" si="2355"/>
        <v>1625</v>
      </c>
      <c r="MW332" s="56"/>
      <c r="MZ332" s="55">
        <f t="shared" si="2356"/>
        <v>46303</v>
      </c>
      <c r="NA332" s="56"/>
      <c r="NB332" s="242">
        <f>SUMPRODUCT(PRODUCE!$B329:$DY329,PRODUCE!$EB$47:$IY$47)</f>
        <v>0</v>
      </c>
      <c r="NC332" s="56"/>
      <c r="ND332" s="242">
        <f t="shared" si="2357"/>
        <v>0</v>
      </c>
      <c r="NE332" s="242">
        <f t="shared" si="2358"/>
        <v>0</v>
      </c>
      <c r="NF332" s="56"/>
      <c r="NI332" s="55">
        <f t="shared" si="2359"/>
        <v>46303</v>
      </c>
      <c r="NJ332" s="56"/>
      <c r="NK332" s="242">
        <f>SUMPRODUCT(PRODUCE!$B329:$DY329,PRODUCE!$EB$48:$IY$48)</f>
        <v>0</v>
      </c>
      <c r="NL332" s="56"/>
      <c r="NM332" s="242">
        <f t="shared" si="2360"/>
        <v>0</v>
      </c>
      <c r="NN332" s="242">
        <f t="shared" si="2361"/>
        <v>1127</v>
      </c>
      <c r="NO332" s="56"/>
      <c r="NR332" s="55">
        <f t="shared" si="2362"/>
        <v>46303</v>
      </c>
      <c r="NS332" s="56"/>
      <c r="NT332" s="242">
        <f>SUMPRODUCT(PRODUCE!$B329:$DY329,PRODUCE!$EB$49:$IY$49)</f>
        <v>0</v>
      </c>
      <c r="NU332" s="56"/>
      <c r="NV332" s="242">
        <f t="shared" si="2363"/>
        <v>0</v>
      </c>
      <c r="NW332" s="242">
        <f t="shared" si="2364"/>
        <v>3111.9999999999995</v>
      </c>
      <c r="NX332" s="56"/>
      <c r="OA332" s="55">
        <f t="shared" si="2365"/>
        <v>46303</v>
      </c>
      <c r="OB332" s="56"/>
      <c r="OC332" s="242">
        <f>SUMPRODUCT(PRODUCE!$B329:$DY329,PRODUCE!$EB$50:$IY$50)</f>
        <v>0</v>
      </c>
      <c r="OD332" s="56"/>
      <c r="OE332" s="242">
        <f t="shared" si="2366"/>
        <v>0</v>
      </c>
      <c r="OF332" s="242">
        <f t="shared" si="2367"/>
        <v>1680.5</v>
      </c>
      <c r="OG332" s="56"/>
      <c r="OJ332" s="55">
        <f t="shared" si="2368"/>
        <v>46303</v>
      </c>
      <c r="OK332" s="56"/>
      <c r="OL332" s="242">
        <f>SUMPRODUCT(PRODUCE!$B329:$DY329,PRODUCE!$EB$51:$IY$51)</f>
        <v>0</v>
      </c>
      <c r="OM332" s="56"/>
      <c r="ON332" s="242">
        <f t="shared" si="2369"/>
        <v>0</v>
      </c>
      <c r="OO332" s="242">
        <f t="shared" si="2370"/>
        <v>0</v>
      </c>
      <c r="OP332" s="56"/>
      <c r="OS332" s="55">
        <f t="shared" si="2371"/>
        <v>46303</v>
      </c>
      <c r="OT332" s="56"/>
      <c r="OU332" s="242">
        <f>SUMPRODUCT(PRODUCE!$B329:$DY329,PRODUCE!$EB$52:$IY$52)</f>
        <v>0</v>
      </c>
      <c r="OV332" s="56"/>
      <c r="OW332" s="242">
        <f t="shared" si="2372"/>
        <v>0</v>
      </c>
      <c r="OX332" s="242">
        <f t="shared" si="2373"/>
        <v>1482</v>
      </c>
      <c r="OY332" s="56"/>
      <c r="PB332" s="55">
        <f t="shared" si="2374"/>
        <v>46303</v>
      </c>
      <c r="PC332" s="56"/>
      <c r="PD332" s="242">
        <f>SUMPRODUCT(PRODUCE!$B329:$DY329,PRODUCE!$EB$53:$IY$53)</f>
        <v>0</v>
      </c>
      <c r="PE332" s="56"/>
      <c r="PF332" s="242">
        <f t="shared" si="2375"/>
        <v>0</v>
      </c>
      <c r="PG332" s="242">
        <f t="shared" si="2376"/>
        <v>0</v>
      </c>
      <c r="PH332" s="56"/>
      <c r="PK332" s="55">
        <f t="shared" si="2377"/>
        <v>46303</v>
      </c>
      <c r="PL332" s="56"/>
      <c r="PM332" s="242">
        <f>SUMPRODUCT(PRODUCE!$B329:$DY329,PRODUCE!$EB$54:$IY$54)</f>
        <v>0</v>
      </c>
      <c r="PN332" s="56"/>
      <c r="PO332" s="242">
        <f t="shared" si="2378"/>
        <v>0</v>
      </c>
      <c r="PP332" s="242">
        <f t="shared" si="2379"/>
        <v>100</v>
      </c>
      <c r="PQ332" s="56"/>
      <c r="PT332" s="55">
        <f t="shared" si="2380"/>
        <v>46303</v>
      </c>
      <c r="PU332" s="56"/>
      <c r="PV332" s="242">
        <f>SUMPRODUCT(PRODUCE!$B329:$DY329,PRODUCE!$EB$55:$IY$55)</f>
        <v>0</v>
      </c>
      <c r="PW332" s="56"/>
      <c r="PX332" s="242">
        <f t="shared" si="2381"/>
        <v>0</v>
      </c>
      <c r="PY332" s="242">
        <f t="shared" si="2382"/>
        <v>13.960000000000036</v>
      </c>
      <c r="PZ332" s="56"/>
      <c r="QC332" s="55">
        <f t="shared" si="2383"/>
        <v>46303</v>
      </c>
      <c r="QD332" s="56"/>
      <c r="QE332" s="242">
        <f>SUMPRODUCT(PRODUCE!$B329:$DY329,PRODUCE!$EB$56:$IY$56)</f>
        <v>0</v>
      </c>
      <c r="QF332" s="56"/>
      <c r="QG332" s="242">
        <f t="shared" si="2384"/>
        <v>0</v>
      </c>
      <c r="QH332" s="242">
        <f t="shared" si="2385"/>
        <v>548</v>
      </c>
      <c r="QI332" s="56"/>
      <c r="QL332" s="55">
        <f t="shared" si="2386"/>
        <v>46303</v>
      </c>
      <c r="QM332" s="56"/>
      <c r="QN332" s="242">
        <f>SUMPRODUCT(PRODUCE!$B329:$DY329,PRODUCE!$EB$57:$IY$57)</f>
        <v>0</v>
      </c>
      <c r="QO332" s="56"/>
      <c r="QP332" s="242">
        <f t="shared" si="2387"/>
        <v>0</v>
      </c>
      <c r="QQ332" s="242">
        <f t="shared" si="2388"/>
        <v>0</v>
      </c>
      <c r="QR332" s="56"/>
      <c r="QU332" s="55">
        <f t="shared" si="2389"/>
        <v>46303</v>
      </c>
      <c r="QV332" s="56"/>
      <c r="QW332" s="242">
        <f>SUMPRODUCT(PRODUCE!$B329:$DY329,PRODUCE!$EB$57:$IY$57)</f>
        <v>0</v>
      </c>
      <c r="QX332" s="56"/>
      <c r="QY332" s="242">
        <f t="shared" si="2390"/>
        <v>0</v>
      </c>
      <c r="QZ332" s="242">
        <f t="shared" si="2391"/>
        <v>0</v>
      </c>
      <c r="RA332" s="56"/>
      <c r="RD332" s="55">
        <f t="shared" si="2392"/>
        <v>46303</v>
      </c>
      <c r="RE332" s="56"/>
      <c r="RF332" s="242">
        <f>SUMPRODUCT(PRODUCE!$B329:$DY329,PRODUCE!$EB$58:$IY$58)</f>
        <v>0</v>
      </c>
      <c r="RG332" s="56"/>
      <c r="RH332" s="242">
        <f t="shared" si="2393"/>
        <v>0</v>
      </c>
      <c r="RI332" s="242">
        <f t="shared" si="2394"/>
        <v>147.04000000000002</v>
      </c>
      <c r="RJ332" s="56"/>
      <c r="RM332" s="55">
        <f t="shared" si="2395"/>
        <v>46303</v>
      </c>
      <c r="RN332" s="56"/>
      <c r="RO332" s="242">
        <f>SUMPRODUCT(PRODUCE!$B329:$DY329,PRODUCE!$EB$57:$IY$57)</f>
        <v>0</v>
      </c>
      <c r="RP332" s="56"/>
      <c r="RQ332" s="242">
        <f t="shared" si="2396"/>
        <v>0</v>
      </c>
      <c r="RR332" s="242">
        <f t="shared" si="2397"/>
        <v>46.8</v>
      </c>
      <c r="RS332" s="56"/>
      <c r="RV332" s="55">
        <f t="shared" si="2398"/>
        <v>46303</v>
      </c>
      <c r="RW332" s="56"/>
      <c r="RX332" s="242">
        <f>SUMPRODUCT(PRODUCE!$B329:$DY329,PRODUCE!$EB$57:$IY$57)</f>
        <v>0</v>
      </c>
      <c r="RY332" s="56"/>
      <c r="RZ332" s="242">
        <f t="shared" si="2399"/>
        <v>0</v>
      </c>
      <c r="SA332" s="242">
        <f t="shared" si="2400"/>
        <v>0</v>
      </c>
      <c r="SB332" s="56"/>
      <c r="SE332" s="55">
        <f t="shared" si="2401"/>
        <v>46303</v>
      </c>
      <c r="SF332" s="56"/>
      <c r="SG332" s="242">
        <f>SUMPRODUCT(PRODUCE!$B329:$DY329,PRODUCE!$EB$61:$IY$61)</f>
        <v>0</v>
      </c>
      <c r="SH332" s="56"/>
      <c r="SI332" s="242">
        <f t="shared" si="2402"/>
        <v>0</v>
      </c>
      <c r="SJ332" s="242">
        <f t="shared" si="2403"/>
        <v>24.200000000000003</v>
      </c>
      <c r="SK332" s="56"/>
      <c r="SN332" s="55">
        <f t="shared" si="2404"/>
        <v>46303</v>
      </c>
      <c r="SO332" s="56"/>
      <c r="SP332" s="242">
        <f>SUMPRODUCT(PRODUCE!$B329:$DY329,PRODUCE!$EB$57:$IY$57)</f>
        <v>0</v>
      </c>
      <c r="SQ332" s="56"/>
      <c r="SR332" s="242">
        <f t="shared" si="2405"/>
        <v>0</v>
      </c>
      <c r="SS332" s="242">
        <f t="shared" si="2406"/>
        <v>32</v>
      </c>
      <c r="ST332" s="56"/>
      <c r="SW332" s="55">
        <f t="shared" si="2407"/>
        <v>46303</v>
      </c>
      <c r="SX332" s="56"/>
      <c r="SY332" s="242">
        <f>SUMPRODUCT(PRODUCE!$B329:$DY329,PRODUCE!$EB$57:$IY$57)</f>
        <v>0</v>
      </c>
      <c r="SZ332" s="56"/>
      <c r="TA332" s="242">
        <f t="shared" si="2408"/>
        <v>0</v>
      </c>
      <c r="TB332" s="242">
        <f t="shared" si="2409"/>
        <v>0</v>
      </c>
      <c r="TC332" s="56"/>
      <c r="TF332" s="55">
        <f t="shared" si="2410"/>
        <v>46303</v>
      </c>
      <c r="TG332" s="56"/>
      <c r="TH332" s="242">
        <f>SUMPRODUCT(PRODUCE!$B329:$DY329,PRODUCE!$EB$57:$IY$57)</f>
        <v>0</v>
      </c>
      <c r="TI332" s="56"/>
      <c r="TJ332" s="242">
        <f t="shared" si="2411"/>
        <v>0</v>
      </c>
      <c r="TK332" s="242">
        <f t="shared" si="2412"/>
        <v>0</v>
      </c>
      <c r="TL332" s="56"/>
      <c r="TO332" s="55">
        <f t="shared" si="2413"/>
        <v>46303</v>
      </c>
      <c r="TP332" s="56"/>
      <c r="TQ332" s="242">
        <f>SUMPRODUCT(PRODUCE!$B329:$DY329,PRODUCE!$EB$57:$IY$57)</f>
        <v>0</v>
      </c>
      <c r="TR332" s="56"/>
      <c r="TS332" s="242">
        <f t="shared" si="2414"/>
        <v>0</v>
      </c>
      <c r="TT332" s="242">
        <f t="shared" si="2415"/>
        <v>0</v>
      </c>
      <c r="TU332" s="56"/>
      <c r="TX332" s="55">
        <f t="shared" si="2416"/>
        <v>46303</v>
      </c>
      <c r="TY332" s="56"/>
      <c r="TZ332" s="242">
        <f>SUMPRODUCT(PRODUCE!$B329:$DY329,PRODUCE!$EB$57:$IY$57)</f>
        <v>0</v>
      </c>
      <c r="UA332" s="56"/>
      <c r="UB332" s="242">
        <f t="shared" si="2417"/>
        <v>0</v>
      </c>
      <c r="UC332" s="242">
        <f t="shared" si="2418"/>
        <v>46.799999999999983</v>
      </c>
      <c r="UD332" s="56"/>
      <c r="UG332" s="55">
        <f t="shared" si="2419"/>
        <v>46303</v>
      </c>
      <c r="UH332" s="56"/>
      <c r="UI332" s="242">
        <f>SUMPRODUCT(PRODUCE!$B329:$DY329,PRODUCE!$EB$57:$IY$57)</f>
        <v>0</v>
      </c>
      <c r="UJ332" s="56"/>
      <c r="UK332" s="242">
        <f t="shared" si="2420"/>
        <v>0</v>
      </c>
      <c r="UL332" s="242">
        <f t="shared" si="2421"/>
        <v>204</v>
      </c>
      <c r="UM332" s="56"/>
      <c r="UP332" s="55">
        <f t="shared" si="2422"/>
        <v>46303</v>
      </c>
      <c r="UQ332" s="56"/>
      <c r="UR332" s="242">
        <f>SUMPRODUCT(PRODUCE!$B329:$DY329,PRODUCE!$EB$57:$IY$57)</f>
        <v>0</v>
      </c>
      <c r="US332" s="56"/>
      <c r="UT332" s="242">
        <f t="shared" si="2423"/>
        <v>0</v>
      </c>
      <c r="UU332" s="242">
        <f t="shared" si="2424"/>
        <v>202.5</v>
      </c>
      <c r="UV332" s="56"/>
      <c r="UY332" s="55">
        <f t="shared" si="2425"/>
        <v>46303</v>
      </c>
      <c r="UZ332" s="56"/>
      <c r="VA332" s="242">
        <f>SUMPRODUCT(PRODUCE!$B329:$DY329,PRODUCE!$EB$57:$IY$57)</f>
        <v>0</v>
      </c>
      <c r="VB332" s="56"/>
      <c r="VC332" s="242">
        <f t="shared" si="2426"/>
        <v>0</v>
      </c>
      <c r="VD332" s="242">
        <f t="shared" si="2427"/>
        <v>41.600000000000023</v>
      </c>
      <c r="VE332" s="56"/>
      <c r="VH332" s="55">
        <f t="shared" si="2428"/>
        <v>46303</v>
      </c>
      <c r="VI332" s="56"/>
      <c r="VJ332" s="242">
        <f>SUMPRODUCT(PRODUCE!$B329:$DY329,PRODUCE!$EB$57:$IY$57)</f>
        <v>0</v>
      </c>
      <c r="VK332" s="56"/>
      <c r="VL332" s="242">
        <f t="shared" si="2429"/>
        <v>0</v>
      </c>
      <c r="VM332" s="242">
        <f t="shared" si="2430"/>
        <v>210</v>
      </c>
      <c r="VN332" s="56"/>
      <c r="VQ332" s="55">
        <f t="shared" si="2431"/>
        <v>46303</v>
      </c>
      <c r="VR332" s="56"/>
      <c r="VS332" s="242">
        <f>SUMPRODUCT(PRODUCE!$B329:$DY329,PRODUCE!$EB$57:$IY$57)</f>
        <v>0</v>
      </c>
      <c r="VT332" s="56"/>
      <c r="VU332" s="242">
        <f t="shared" si="2432"/>
        <v>0</v>
      </c>
      <c r="VV332" s="242">
        <f t="shared" si="2433"/>
        <v>0</v>
      </c>
      <c r="VW332" s="56"/>
      <c r="VZ332" s="55">
        <f t="shared" si="2434"/>
        <v>46303</v>
      </c>
      <c r="WA332" s="56"/>
      <c r="WB332" s="242">
        <f>SUMPRODUCT(PRODUCE!$B329:$DY329,PRODUCE!$EB$57:$IY$57)</f>
        <v>0</v>
      </c>
      <c r="WC332" s="56"/>
      <c r="WD332" s="242">
        <f t="shared" si="2435"/>
        <v>0</v>
      </c>
      <c r="WE332" s="242">
        <f t="shared" si="2436"/>
        <v>0</v>
      </c>
      <c r="WF332" s="56"/>
      <c r="WI332" s="55">
        <f t="shared" si="2437"/>
        <v>46303</v>
      </c>
      <c r="WJ332" s="56"/>
      <c r="WK332" s="242">
        <f>SUMPRODUCT(PRODUCE!$B329:$DY329,PRODUCE!$EB$57:$IY$57)</f>
        <v>0</v>
      </c>
      <c r="WL332" s="56"/>
      <c r="WM332" s="242">
        <f t="shared" si="2438"/>
        <v>0</v>
      </c>
      <c r="WN332" s="242">
        <f t="shared" si="2439"/>
        <v>1057</v>
      </c>
      <c r="WO332" s="56"/>
      <c r="WR332" s="55">
        <f t="shared" si="2440"/>
        <v>46303</v>
      </c>
      <c r="WS332" s="56"/>
      <c r="WT332" s="242">
        <f>SUMPRODUCT(PRODUCE!$B329:$DY329,PRODUCE!$EB$57:$IY$57)</f>
        <v>0</v>
      </c>
      <c r="WU332" s="56"/>
      <c r="WV332" s="242">
        <f t="shared" si="2441"/>
        <v>0</v>
      </c>
      <c r="WW332" s="242">
        <f t="shared" si="2442"/>
        <v>0</v>
      </c>
      <c r="WX332" s="56"/>
      <c r="XA332" s="55">
        <f t="shared" si="2443"/>
        <v>46303</v>
      </c>
      <c r="XB332" s="56"/>
      <c r="XC332" s="242">
        <f>SUMPRODUCT(PRODUCE!$B329:$DY329,PRODUCE!$EB$57:$IY$57)</f>
        <v>0</v>
      </c>
      <c r="XD332" s="56"/>
      <c r="XE332" s="242">
        <f t="shared" si="2444"/>
        <v>0</v>
      </c>
      <c r="XF332" s="242">
        <f t="shared" si="2445"/>
        <v>7507</v>
      </c>
      <c r="XG332" s="56"/>
      <c r="XJ332" s="55">
        <f t="shared" si="2446"/>
        <v>46303</v>
      </c>
      <c r="XK332" s="56"/>
      <c r="XL332" s="242">
        <f>SUMPRODUCT(PRODUCE!$B329:$DY329,PRODUCE!$EB$57:$IY$57)</f>
        <v>0</v>
      </c>
      <c r="XM332" s="56"/>
      <c r="XN332" s="242">
        <f t="shared" si="2447"/>
        <v>0</v>
      </c>
      <c r="XO332" s="242">
        <f t="shared" si="2448"/>
        <v>4252</v>
      </c>
      <c r="XP332" s="56"/>
      <c r="XS332" s="55">
        <f t="shared" si="2449"/>
        <v>46303</v>
      </c>
      <c r="XT332" s="56"/>
      <c r="XU332" s="242">
        <f>SUMPRODUCT(PRODUCE!$B329:$DY329,PRODUCE!$EB$57:$IY$57)</f>
        <v>0</v>
      </c>
      <c r="XV332" s="56"/>
      <c r="XW332" s="242">
        <f t="shared" si="2450"/>
        <v>0</v>
      </c>
      <c r="XX332" s="242">
        <f t="shared" si="2451"/>
        <v>2179</v>
      </c>
      <c r="XY332" s="56"/>
      <c r="YB332" s="55">
        <f t="shared" si="2452"/>
        <v>46303</v>
      </c>
      <c r="YC332" s="56"/>
      <c r="YD332" s="242">
        <f>SUMPRODUCT(PRODUCE!$B329:$DY329,PRODUCE!$EB$57:$IY$57)</f>
        <v>0</v>
      </c>
      <c r="YE332" s="56"/>
      <c r="YF332" s="242">
        <f t="shared" si="2453"/>
        <v>0</v>
      </c>
      <c r="YG332" s="242">
        <f t="shared" si="2454"/>
        <v>4019</v>
      </c>
      <c r="YH332" s="56"/>
      <c r="YK332" s="55">
        <f t="shared" si="2455"/>
        <v>46303</v>
      </c>
      <c r="YL332" s="56"/>
      <c r="YM332" s="242">
        <f>SUMPRODUCT(PRODUCE!$B329:$DY329,PRODUCE!$EB$57:$IY$57)</f>
        <v>0</v>
      </c>
      <c r="YN332" s="56"/>
      <c r="YO332" s="242">
        <f t="shared" si="2456"/>
        <v>0</v>
      </c>
      <c r="YP332" s="242">
        <f t="shared" si="2457"/>
        <v>-218</v>
      </c>
      <c r="YQ332" s="56"/>
      <c r="YT332" s="55">
        <f t="shared" si="2458"/>
        <v>46303</v>
      </c>
      <c r="YU332" s="56"/>
      <c r="YV332" s="242">
        <f>SUMPRODUCT(PRODUCE!$B329:$DY329,PRODUCE!$EB$57:$IY$57)</f>
        <v>0</v>
      </c>
      <c r="YW332" s="56"/>
      <c r="YX332" s="242">
        <f t="shared" si="2459"/>
        <v>0</v>
      </c>
      <c r="YY332" s="242">
        <f t="shared" si="2460"/>
        <v>0</v>
      </c>
      <c r="YZ332" s="56"/>
      <c r="ZC332" s="55">
        <f t="shared" si="2461"/>
        <v>46303</v>
      </c>
      <c r="ZD332" s="56"/>
      <c r="ZE332" s="242">
        <f>SUMPRODUCT(PRODUCE!$B329:$DY329,PRODUCE!$EB$57:$IY$57)</f>
        <v>0</v>
      </c>
      <c r="ZF332" s="56"/>
      <c r="ZG332" s="242">
        <f t="shared" si="2462"/>
        <v>0</v>
      </c>
      <c r="ZH332" s="242">
        <f t="shared" si="2463"/>
        <v>0</v>
      </c>
      <c r="ZI332" s="56"/>
      <c r="ZL332" s="55">
        <f t="shared" si="2464"/>
        <v>46303</v>
      </c>
      <c r="ZM332" s="56"/>
      <c r="ZN332" s="242">
        <f>SUMPRODUCT(PRODUCE!$B329:$DY329,PRODUCE!$EB$57:$IY$57)</f>
        <v>0</v>
      </c>
      <c r="ZO332" s="56"/>
      <c r="ZP332" s="242">
        <f t="shared" si="2465"/>
        <v>0</v>
      </c>
      <c r="ZQ332" s="242">
        <f t="shared" si="2466"/>
        <v>0</v>
      </c>
      <c r="ZR332" s="56"/>
      <c r="ZU332" s="55">
        <f t="shared" si="2467"/>
        <v>46303</v>
      </c>
      <c r="ZV332" s="56"/>
      <c r="ZW332" s="242">
        <f>SUMPRODUCT(PRODUCE!$B329:$DY329,PRODUCE!$EB$57:$IY$57)</f>
        <v>0</v>
      </c>
      <c r="ZX332" s="56"/>
      <c r="ZY332" s="242">
        <f t="shared" si="2468"/>
        <v>0</v>
      </c>
      <c r="ZZ332" s="242">
        <f t="shared" si="2469"/>
        <v>0</v>
      </c>
      <c r="AAA332" s="56"/>
      <c r="AAD332" s="55">
        <f t="shared" si="2470"/>
        <v>46303</v>
      </c>
      <c r="AAE332" s="56"/>
      <c r="AAF332" s="242">
        <f>SUMPRODUCT(PRODUCE!$B329:$DY329,PRODUCE!$EB$57:$IY$57)</f>
        <v>0</v>
      </c>
      <c r="AAG332" s="56"/>
      <c r="AAH332" s="242">
        <f t="shared" si="2471"/>
        <v>0</v>
      </c>
      <c r="AAI332" s="242">
        <f t="shared" si="2472"/>
        <v>0</v>
      </c>
      <c r="AAJ332" s="56"/>
      <c r="AAM332" s="55">
        <f t="shared" si="2473"/>
        <v>46303</v>
      </c>
      <c r="AAN332" s="56"/>
      <c r="AAO332" s="242">
        <f>SUMPRODUCT(PRODUCE!$B329:$DY329,PRODUCE!$EB$57:$IY$57)</f>
        <v>0</v>
      </c>
      <c r="AAP332" s="56"/>
      <c r="AAQ332" s="242">
        <f t="shared" si="2474"/>
        <v>0</v>
      </c>
      <c r="AAR332" s="242">
        <f t="shared" si="2475"/>
        <v>0</v>
      </c>
      <c r="AAS332" s="56"/>
      <c r="AAV332" s="55">
        <f t="shared" si="2476"/>
        <v>46303</v>
      </c>
      <c r="AAW332" s="56"/>
      <c r="AAX332" s="242">
        <f>SUMPRODUCT(PRODUCE!$B329:$DY329,PRODUCE!$EB$57:$IY$57)</f>
        <v>0</v>
      </c>
      <c r="AAY332" s="56"/>
      <c r="AAZ332" s="242">
        <f t="shared" si="2477"/>
        <v>0</v>
      </c>
      <c r="ABA332" s="242">
        <f t="shared" si="2478"/>
        <v>0</v>
      </c>
      <c r="ABB332" s="56"/>
      <c r="ABE332" s="55">
        <f t="shared" si="2479"/>
        <v>46303</v>
      </c>
      <c r="ABF332" s="56"/>
      <c r="ABG332" s="242">
        <f>SUMPRODUCT(PRODUCE!$B329:$DY329,PRODUCE!$EB$57:$IY$57)</f>
        <v>0</v>
      </c>
      <c r="ABH332" s="56"/>
      <c r="ABI332" s="242">
        <f t="shared" si="2480"/>
        <v>0</v>
      </c>
      <c r="ABJ332" s="242">
        <f t="shared" si="2481"/>
        <v>0</v>
      </c>
      <c r="ABK332" s="56"/>
    </row>
    <row r="333" spans="1:739" s="54" customFormat="1" ht="15" customHeight="1" outlineLevel="1">
      <c r="B333" s="478"/>
      <c r="C333" s="55">
        <v>46304</v>
      </c>
      <c r="D333" s="56"/>
      <c r="E333" s="57">
        <f>SUMPRODUCT(PRODUCE!$B330:$DY330,PRODUCE!$EB$7:$IY$7)</f>
        <v>0</v>
      </c>
      <c r="F333" s="56"/>
      <c r="G333" s="57">
        <f t="shared" si="2237"/>
        <v>0</v>
      </c>
      <c r="H333" s="57">
        <f t="shared" si="2238"/>
        <v>236936.6</v>
      </c>
      <c r="I333" s="289"/>
      <c r="L333" s="55">
        <f t="shared" si="2239"/>
        <v>46304</v>
      </c>
      <c r="M333" s="56"/>
      <c r="N333" s="59">
        <f>SUMPRODUCT(PRODUCE!$B330:$DY330,PRODUCE!$EB$8:$IY$8)</f>
        <v>0</v>
      </c>
      <c r="O333" s="56"/>
      <c r="P333" s="59">
        <f t="shared" si="2240"/>
        <v>0</v>
      </c>
      <c r="Q333" s="59">
        <f t="shared" si="2241"/>
        <v>53017.600000000071</v>
      </c>
      <c r="R333" s="56"/>
      <c r="U333" s="55">
        <f t="shared" si="2242"/>
        <v>46304</v>
      </c>
      <c r="V333" s="56"/>
      <c r="W333" s="60">
        <f>SUMPRODUCT(PRODUCE!$B330:$DY330,PRODUCE!$EB$9:$IY$9)</f>
        <v>0</v>
      </c>
      <c r="X333" s="56"/>
      <c r="Y333" s="60">
        <f t="shared" si="2243"/>
        <v>0</v>
      </c>
      <c r="Z333" s="60">
        <f t="shared" si="2244"/>
        <v>42674.199999999968</v>
      </c>
      <c r="AA333" s="56"/>
      <c r="AD333" s="55">
        <f t="shared" si="2245"/>
        <v>46304</v>
      </c>
      <c r="AE333" s="56"/>
      <c r="AF333" s="61">
        <f>SUMPRODUCT(PRODUCE!$B330:$DY330,PRODUCE!$EB$10:$IY$10)</f>
        <v>0</v>
      </c>
      <c r="AG333" s="56"/>
      <c r="AH333" s="61">
        <f t="shared" si="2246"/>
        <v>0</v>
      </c>
      <c r="AI333" s="61">
        <f t="shared" si="2247"/>
        <v>4522.2000000000189</v>
      </c>
      <c r="AJ333" s="56"/>
      <c r="AM333" s="55">
        <f t="shared" si="2248"/>
        <v>46304</v>
      </c>
      <c r="AN333" s="422"/>
      <c r="AO333" s="444">
        <f>SUMPRODUCT(PRODUCE!$B330:$DY330,PRODUCE!$EB$11:$IY$11)</f>
        <v>0</v>
      </c>
      <c r="AP333" s="422"/>
      <c r="AQ333" s="444">
        <f t="shared" si="2249"/>
        <v>0</v>
      </c>
      <c r="AR333" s="444">
        <f t="shared" si="2250"/>
        <v>0</v>
      </c>
      <c r="AS333" s="56"/>
      <c r="AV333" s="55">
        <f t="shared" si="2251"/>
        <v>46304</v>
      </c>
      <c r="AW333" s="56"/>
      <c r="AX333" s="62">
        <f>SUMPRODUCT(PRODUCE!$B330:$DY330,PRODUCE!$EB$12:$IY$12)</f>
        <v>0</v>
      </c>
      <c r="AY333" s="56"/>
      <c r="AZ333" s="62">
        <f t="shared" si="2252"/>
        <v>0</v>
      </c>
      <c r="BA333" s="62">
        <f t="shared" si="2253"/>
        <v>124.99999999999523</v>
      </c>
      <c r="BB333" s="56"/>
      <c r="BE333" s="55">
        <f t="shared" si="2254"/>
        <v>46304</v>
      </c>
      <c r="BF333" s="56"/>
      <c r="BG333" s="63">
        <f>SUMPRODUCT(PRODUCE!$B330:$DY330,PRODUCE!$EB$13:$IY$13)</f>
        <v>0</v>
      </c>
      <c r="BH333" s="56"/>
      <c r="BI333" s="63">
        <f t="shared" si="2255"/>
        <v>0</v>
      </c>
      <c r="BJ333" s="63">
        <f t="shared" si="2256"/>
        <v>26151.899999999998</v>
      </c>
      <c r="BK333" s="56"/>
      <c r="BN333" s="55">
        <f t="shared" si="2257"/>
        <v>46304</v>
      </c>
      <c r="BO333" s="56"/>
      <c r="BP333" s="64">
        <f>SUMPRODUCT(PRODUCE!$B330:$DY330,PRODUCE!$EB$14:$IY$14)</f>
        <v>0</v>
      </c>
      <c r="BQ333" s="56"/>
      <c r="BR333" s="64">
        <f t="shared" si="2258"/>
        <v>0</v>
      </c>
      <c r="BS333" s="64">
        <f t="shared" si="2259"/>
        <v>0</v>
      </c>
      <c r="BT333" s="56"/>
      <c r="BW333" s="55">
        <f t="shared" si="2260"/>
        <v>46304</v>
      </c>
      <c r="BX333" s="56"/>
      <c r="BY333" s="65">
        <f>SUMPRODUCT(PRODUCE!$B330:$DY330,PRODUCE!$EB$15:$IY$15)</f>
        <v>0</v>
      </c>
      <c r="BZ333" s="56"/>
      <c r="CA333" s="65">
        <f t="shared" si="2261"/>
        <v>0</v>
      </c>
      <c r="CB333" s="65">
        <f t="shared" si="2262"/>
        <v>2097.3399999999992</v>
      </c>
      <c r="CC333" s="56"/>
      <c r="CF333" s="55">
        <f t="shared" si="2263"/>
        <v>46304</v>
      </c>
      <c r="CG333" s="56"/>
      <c r="CH333" s="66">
        <f>SUMPRODUCT(PRODUCE!$B330:$DY330,PRODUCE!$EB$16:$IY$16)</f>
        <v>0</v>
      </c>
      <c r="CI333" s="56"/>
      <c r="CJ333" s="66">
        <f t="shared" si="2264"/>
        <v>0</v>
      </c>
      <c r="CK333" s="66">
        <f t="shared" si="2265"/>
        <v>-10277.079999999998</v>
      </c>
      <c r="CL333" s="56"/>
      <c r="CO333" s="55">
        <f t="shared" si="2266"/>
        <v>46304</v>
      </c>
      <c r="CP333" s="422"/>
      <c r="CQ333" s="470">
        <f>SUMPRODUCT(PRODUCE!$B330:$DY330,PRODUCE!$EB$17:$IY$17)</f>
        <v>0</v>
      </c>
      <c r="CR333" s="422"/>
      <c r="CS333" s="470">
        <f t="shared" si="2267"/>
        <v>0</v>
      </c>
      <c r="CT333" s="470">
        <f t="shared" si="2268"/>
        <v>0</v>
      </c>
      <c r="CU333" s="56"/>
      <c r="CX333" s="55">
        <f t="shared" si="2269"/>
        <v>46304</v>
      </c>
      <c r="CY333" s="56"/>
      <c r="CZ333" s="133">
        <f>SUMPRODUCT(PRODUCE!$B330:$DY330,PRODUCE!$EB$18:$IY$18)</f>
        <v>0</v>
      </c>
      <c r="DA333" s="56"/>
      <c r="DB333" s="133">
        <f t="shared" si="2270"/>
        <v>0</v>
      </c>
      <c r="DC333" s="133">
        <f t="shared" si="2271"/>
        <v>27438.200000000012</v>
      </c>
      <c r="DD333" s="56"/>
      <c r="DG333" s="55">
        <f t="shared" si="2272"/>
        <v>46304</v>
      </c>
      <c r="DH333" s="56"/>
      <c r="DI333" s="147">
        <f>SUMPRODUCT(PRODUCE!$B330:$DY330,PRODUCE!$EB$19:$IY$19)</f>
        <v>0</v>
      </c>
      <c r="DJ333" s="56"/>
      <c r="DK333" s="147">
        <f t="shared" si="2273"/>
        <v>0</v>
      </c>
      <c r="DL333" s="147">
        <f t="shared" si="2274"/>
        <v>18782.299999999981</v>
      </c>
      <c r="DM333" s="56"/>
      <c r="DP333" s="55">
        <f t="shared" si="2275"/>
        <v>46304</v>
      </c>
      <c r="DQ333" s="56"/>
      <c r="DR333" s="57">
        <f>SUMPRODUCT(PRODUCE!$B330:$DY330,PRODUCE!$EB$20:$IY$20)</f>
        <v>0</v>
      </c>
      <c r="DS333" s="56"/>
      <c r="DT333" s="57">
        <f t="shared" si="2276"/>
        <v>0</v>
      </c>
      <c r="DU333" s="57">
        <f t="shared" si="2277"/>
        <v>5800</v>
      </c>
      <c r="DV333" s="56"/>
      <c r="DY333" s="55">
        <f t="shared" si="2278"/>
        <v>46304</v>
      </c>
      <c r="DZ333" s="56"/>
      <c r="EA333" s="157">
        <f>SUMPRODUCT(PRODUCE!$B330:$DY330,PRODUCE!$EB$21:$IY$21)</f>
        <v>0</v>
      </c>
      <c r="EB333" s="56"/>
      <c r="EC333" s="157">
        <f t="shared" si="2279"/>
        <v>0</v>
      </c>
      <c r="ED333" s="157">
        <f t="shared" si="2280"/>
        <v>0</v>
      </c>
      <c r="EE333" s="56"/>
      <c r="EH333" s="55">
        <f t="shared" si="2281"/>
        <v>46304</v>
      </c>
      <c r="EI333" s="56"/>
      <c r="EJ333" s="162">
        <f>SUMPRODUCT(PRODUCE!$B330:$DY330,PRODUCE!$EB$22:$IY$22)</f>
        <v>0</v>
      </c>
      <c r="EK333" s="56"/>
      <c r="EL333" s="162">
        <f t="shared" si="2282"/>
        <v>0</v>
      </c>
      <c r="EM333" s="162">
        <f t="shared" si="2283"/>
        <v>0</v>
      </c>
      <c r="EN333" s="56"/>
      <c r="EQ333" s="55">
        <f t="shared" si="2284"/>
        <v>46304</v>
      </c>
      <c r="ER333" s="56"/>
      <c r="ES333" s="135">
        <f>SUMPRODUCT(PRODUCE!$B330:$DY330,PRODUCE!$EB$23:$IY$23)</f>
        <v>0</v>
      </c>
      <c r="ET333" s="56"/>
      <c r="EU333" s="135">
        <f t="shared" si="2285"/>
        <v>0</v>
      </c>
      <c r="EV333" s="135">
        <f t="shared" si="2286"/>
        <v>0</v>
      </c>
      <c r="EW333" s="56"/>
      <c r="EZ333" s="55">
        <f t="shared" si="2287"/>
        <v>46304</v>
      </c>
      <c r="FA333" s="56"/>
      <c r="FB333" s="175">
        <f>SUMPRODUCT(PRODUCE!$B330:$DY330,PRODUCE!$EB$24:$IY$24)</f>
        <v>0</v>
      </c>
      <c r="FC333" s="56"/>
      <c r="FD333" s="175">
        <f t="shared" si="2288"/>
        <v>0</v>
      </c>
      <c r="FE333" s="175">
        <f t="shared" si="2289"/>
        <v>0</v>
      </c>
      <c r="FF333" s="56"/>
      <c r="FI333" s="55">
        <f t="shared" si="2290"/>
        <v>46304</v>
      </c>
      <c r="FJ333" s="56"/>
      <c r="FK333" s="183">
        <f>SUMPRODUCT(PRODUCE!$B330:$DY330,PRODUCE!$EB$25:$IY$25)</f>
        <v>0</v>
      </c>
      <c r="FL333" s="56"/>
      <c r="FM333" s="183">
        <f t="shared" si="2291"/>
        <v>0</v>
      </c>
      <c r="FN333" s="183">
        <f t="shared" si="2292"/>
        <v>0</v>
      </c>
      <c r="FO333" s="56"/>
      <c r="FR333" s="55">
        <f t="shared" si="2293"/>
        <v>46304</v>
      </c>
      <c r="FS333" s="56"/>
      <c r="FT333" s="186">
        <f>SUMPRODUCT(PRODUCE!$B330:$DY330,PRODUCE!$EB$26:$IY$26)</f>
        <v>0</v>
      </c>
      <c r="FU333" s="56"/>
      <c r="FV333" s="186">
        <f t="shared" si="2294"/>
        <v>0</v>
      </c>
      <c r="FW333" s="186">
        <f t="shared" si="2295"/>
        <v>2020</v>
      </c>
      <c r="FX333" s="56"/>
      <c r="GA333" s="55">
        <f t="shared" si="2296"/>
        <v>46304</v>
      </c>
      <c r="GB333" s="56"/>
      <c r="GC333" s="137">
        <f>SUMPRODUCT(PRODUCE!$B330:$DY330,PRODUCE!$EB$27:$IY$27)</f>
        <v>0</v>
      </c>
      <c r="GD333" s="56"/>
      <c r="GE333" s="137">
        <f t="shared" si="2297"/>
        <v>0</v>
      </c>
      <c r="GF333" s="137">
        <f t="shared" si="2298"/>
        <v>960</v>
      </c>
      <c r="GG333" s="56"/>
      <c r="GI333" s="23"/>
      <c r="GJ333" s="55">
        <f t="shared" si="2299"/>
        <v>46304</v>
      </c>
      <c r="GK333" s="56"/>
      <c r="GL333" s="199">
        <f>SUMPRODUCT(PRODUCE!$B330:$DY330,PRODUCE!$EB$28:$IY$28)</f>
        <v>0</v>
      </c>
      <c r="GM333" s="56"/>
      <c r="GN333" s="199">
        <f t="shared" si="2300"/>
        <v>0</v>
      </c>
      <c r="GO333" s="199">
        <f t="shared" si="2301"/>
        <v>1760</v>
      </c>
      <c r="GP333" s="56"/>
      <c r="GS333" s="55">
        <f t="shared" si="2302"/>
        <v>46304</v>
      </c>
      <c r="GT333" s="56"/>
      <c r="GU333" s="195">
        <f>SUMPRODUCT(PRODUCE!$B330:$DY330,PRODUCE!$EB$29:$IY$29)</f>
        <v>0</v>
      </c>
      <c r="GV333" s="56"/>
      <c r="GW333" s="195">
        <f t="shared" si="2303"/>
        <v>0</v>
      </c>
      <c r="GX333" s="195">
        <f t="shared" si="2304"/>
        <v>400</v>
      </c>
      <c r="GY333" s="56"/>
      <c r="HB333" s="55">
        <f t="shared" si="2305"/>
        <v>46304</v>
      </c>
      <c r="HC333" s="56"/>
      <c r="HD333" s="191">
        <f>SUMPRODUCT(PRODUCE!$B330:$DY330,PRODUCE!$EB$30:$IY$30)</f>
        <v>0</v>
      </c>
      <c r="HE333" s="56"/>
      <c r="HF333" s="191">
        <f t="shared" si="2306"/>
        <v>0</v>
      </c>
      <c r="HG333" s="191">
        <f t="shared" si="2307"/>
        <v>3600</v>
      </c>
      <c r="HH333" s="56"/>
      <c r="HK333" s="55">
        <f t="shared" si="2308"/>
        <v>46304</v>
      </c>
      <c r="HL333" s="56"/>
      <c r="HM333" s="63">
        <f>SUMPRODUCT(PRODUCE!$B330:$DY330,PRODUCE!$EB$31:$IY$31)</f>
        <v>0</v>
      </c>
      <c r="HN333" s="56"/>
      <c r="HO333" s="63">
        <f t="shared" si="2309"/>
        <v>0</v>
      </c>
      <c r="HP333" s="63">
        <f t="shared" si="2310"/>
        <v>0</v>
      </c>
      <c r="HQ333" s="56"/>
      <c r="HU333" s="55">
        <f t="shared" si="2311"/>
        <v>46304</v>
      </c>
      <c r="HV333" s="56"/>
      <c r="HW333" s="242">
        <f>SUMPRODUCT(PRODUCE!$B330:$DY330,PRODUCE!$EB$32:$IY$32)</f>
        <v>0</v>
      </c>
      <c r="HX333" s="56"/>
      <c r="HY333" s="242">
        <f t="shared" si="2312"/>
        <v>0</v>
      </c>
      <c r="HZ333" s="242">
        <f t="shared" si="2313"/>
        <v>6120</v>
      </c>
      <c r="IA333" s="56"/>
      <c r="ID333" s="55">
        <f t="shared" si="2314"/>
        <v>46304</v>
      </c>
      <c r="IE333" s="56"/>
      <c r="IF333" s="242">
        <f>SUMPRODUCT(PRODUCE!$B330:$DY330,PRODUCE!$EB$33:$IY$33)</f>
        <v>0</v>
      </c>
      <c r="IG333" s="56"/>
      <c r="IH333" s="242">
        <f t="shared" si="2315"/>
        <v>0</v>
      </c>
      <c r="II333" s="242">
        <f t="shared" si="2316"/>
        <v>0</v>
      </c>
      <c r="IJ333" s="56"/>
      <c r="IM333" s="55">
        <f t="shared" si="2317"/>
        <v>46304</v>
      </c>
      <c r="IN333" s="56"/>
      <c r="IO333" s="242">
        <f>SUMPRODUCT(PRODUCE!$B330:$DY330,PRODUCE!$EB$34:$IY$34)</f>
        <v>0</v>
      </c>
      <c r="IP333" s="56"/>
      <c r="IQ333" s="242">
        <f t="shared" si="2318"/>
        <v>0</v>
      </c>
      <c r="IR333" s="242">
        <f t="shared" si="2319"/>
        <v>0</v>
      </c>
      <c r="IS333" s="56"/>
      <c r="IV333" s="55">
        <f t="shared" si="2320"/>
        <v>46304</v>
      </c>
      <c r="IW333" s="56"/>
      <c r="IX333" s="242">
        <f>SUMPRODUCT(PRODUCE!$B330:$DY330,PRODUCE!$EB$35:$IY$35)</f>
        <v>0</v>
      </c>
      <c r="IY333" s="56"/>
      <c r="IZ333" s="242">
        <f t="shared" si="2321"/>
        <v>0</v>
      </c>
      <c r="JA333" s="242">
        <f t="shared" si="2322"/>
        <v>2820</v>
      </c>
      <c r="JB333" s="56"/>
      <c r="JE333" s="55">
        <f t="shared" si="2323"/>
        <v>46304</v>
      </c>
      <c r="JF333" s="56"/>
      <c r="JG333" s="242">
        <f>SUMPRODUCT(PRODUCE!$B330:$DY330,PRODUCE!$EB$36:$IY$36)</f>
        <v>0</v>
      </c>
      <c r="JH333" s="56"/>
      <c r="JI333" s="242">
        <f t="shared" si="2324"/>
        <v>0</v>
      </c>
      <c r="JJ333" s="242">
        <f t="shared" si="2325"/>
        <v>0</v>
      </c>
      <c r="JK333" s="56"/>
      <c r="JN333" s="55">
        <f t="shared" si="2326"/>
        <v>46304</v>
      </c>
      <c r="JO333" s="56"/>
      <c r="JP333" s="242">
        <f>SUMPRODUCT(PRODUCE!$B330:$DY330,PRODUCE!$EB$37:$IY$37)</f>
        <v>0</v>
      </c>
      <c r="JQ333" s="56"/>
      <c r="JR333" s="242">
        <f t="shared" si="2327"/>
        <v>0</v>
      </c>
      <c r="JS333" s="242">
        <f t="shared" si="2328"/>
        <v>0</v>
      </c>
      <c r="JT333" s="56"/>
      <c r="JW333" s="55">
        <f t="shared" si="2329"/>
        <v>46304</v>
      </c>
      <c r="JX333" s="56"/>
      <c r="JY333" s="242">
        <f>SUMPRODUCT(PRODUCE!$B330:$DY330,PRODUCE!$EB$38:$IY$38)</f>
        <v>0</v>
      </c>
      <c r="JZ333" s="56"/>
      <c r="KA333" s="242">
        <f t="shared" si="2330"/>
        <v>0</v>
      </c>
      <c r="KB333" s="242">
        <f t="shared" si="2331"/>
        <v>2540</v>
      </c>
      <c r="KC333" s="56"/>
      <c r="KF333" s="55">
        <f t="shared" si="2332"/>
        <v>46304</v>
      </c>
      <c r="KG333" s="56"/>
      <c r="KH333" s="242">
        <f>SUMPRODUCT(PRODUCE!$B330:$DY330,PRODUCE!$EB$39:$IY$39)</f>
        <v>0</v>
      </c>
      <c r="KI333" s="56"/>
      <c r="KJ333" s="242">
        <f t="shared" si="2333"/>
        <v>0</v>
      </c>
      <c r="KK333" s="242">
        <f t="shared" si="2334"/>
        <v>2359.5</v>
      </c>
      <c r="KL333" s="56"/>
      <c r="KO333" s="55">
        <f t="shared" si="2335"/>
        <v>46304</v>
      </c>
      <c r="KP333" s="56"/>
      <c r="KQ333" s="242">
        <f>SUMPRODUCT(PRODUCE!$B330:$DY330,PRODUCE!$EB$40:$IY$40)</f>
        <v>0</v>
      </c>
      <c r="KR333" s="56"/>
      <c r="KS333" s="242">
        <f t="shared" si="2336"/>
        <v>0</v>
      </c>
      <c r="KT333" s="242">
        <f t="shared" si="2337"/>
        <v>1890</v>
      </c>
      <c r="KU333" s="56"/>
      <c r="KW333" s="23"/>
      <c r="KX333" s="55">
        <f t="shared" si="2338"/>
        <v>46304</v>
      </c>
      <c r="KY333" s="56"/>
      <c r="KZ333" s="242">
        <f>SUMPRODUCT(PRODUCE!$B330:$DY330,PRODUCE!$EB$41:$IY$41)</f>
        <v>0</v>
      </c>
      <c r="LA333" s="56"/>
      <c r="LB333" s="242">
        <f t="shared" si="2339"/>
        <v>0</v>
      </c>
      <c r="LC333" s="242">
        <f t="shared" si="2340"/>
        <v>3690</v>
      </c>
      <c r="LD333" s="56"/>
      <c r="LG333" s="55">
        <f t="shared" si="2341"/>
        <v>46304</v>
      </c>
      <c r="LH333" s="56"/>
      <c r="LI333" s="242">
        <f>SUMPRODUCT(PRODUCE!$B330:$DY330,PRODUCE!$EB$42:$IY$42)</f>
        <v>0</v>
      </c>
      <c r="LJ333" s="56"/>
      <c r="LK333" s="242">
        <f t="shared" si="2342"/>
        <v>0</v>
      </c>
      <c r="LL333" s="242">
        <f t="shared" si="2343"/>
        <v>4000</v>
      </c>
      <c r="LM333" s="56"/>
      <c r="LP333" s="55">
        <f t="shared" si="2344"/>
        <v>46304</v>
      </c>
      <c r="LQ333" s="56"/>
      <c r="LR333" s="242">
        <f>SUMPRODUCT(PRODUCE!$B330:$DY330,PRODUCE!$EB$43:$IY$43)</f>
        <v>0</v>
      </c>
      <c r="LS333" s="56"/>
      <c r="LT333" s="242">
        <f t="shared" si="2345"/>
        <v>0</v>
      </c>
      <c r="LU333" s="242">
        <f t="shared" si="2346"/>
        <v>0</v>
      </c>
      <c r="LV333" s="56"/>
      <c r="LY333" s="55">
        <f t="shared" si="2347"/>
        <v>46304</v>
      </c>
      <c r="LZ333" s="56"/>
      <c r="MA333" s="242">
        <f>SUMPRODUCT(PRODUCE!$B330:$DY330,PRODUCE!$EB$44:$IY$44)</f>
        <v>0</v>
      </c>
      <c r="MB333" s="56"/>
      <c r="MC333" s="242">
        <f t="shared" si="2348"/>
        <v>0</v>
      </c>
      <c r="MD333" s="242">
        <f t="shared" si="2349"/>
        <v>0</v>
      </c>
      <c r="ME333" s="56"/>
      <c r="MH333" s="55">
        <f t="shared" si="2350"/>
        <v>46304</v>
      </c>
      <c r="MI333" s="56"/>
      <c r="MJ333" s="242">
        <f>SUMPRODUCT(PRODUCE!$B330:$DY330,PRODUCE!$EB$45:$IY$45)</f>
        <v>0</v>
      </c>
      <c r="MK333" s="56"/>
      <c r="ML333" s="242">
        <f t="shared" si="2351"/>
        <v>0</v>
      </c>
      <c r="MM333" s="242">
        <f t="shared" si="2352"/>
        <v>0</v>
      </c>
      <c r="MN333" s="56"/>
      <c r="MQ333" s="55">
        <f t="shared" si="2353"/>
        <v>46304</v>
      </c>
      <c r="MR333" s="56"/>
      <c r="MS333" s="242">
        <f>SUMPRODUCT(PRODUCE!$B330:$DY330,PRODUCE!$EB$46:$IY$46)</f>
        <v>0</v>
      </c>
      <c r="MT333" s="56"/>
      <c r="MU333" s="242">
        <f t="shared" si="2354"/>
        <v>0</v>
      </c>
      <c r="MV333" s="242">
        <f t="shared" si="2355"/>
        <v>1625</v>
      </c>
      <c r="MW333" s="56"/>
      <c r="MZ333" s="55">
        <f t="shared" si="2356"/>
        <v>46304</v>
      </c>
      <c r="NA333" s="56"/>
      <c r="NB333" s="242">
        <f>SUMPRODUCT(PRODUCE!$B330:$DY330,PRODUCE!$EB$47:$IY$47)</f>
        <v>0</v>
      </c>
      <c r="NC333" s="56"/>
      <c r="ND333" s="242">
        <f t="shared" si="2357"/>
        <v>0</v>
      </c>
      <c r="NE333" s="242">
        <f t="shared" si="2358"/>
        <v>0</v>
      </c>
      <c r="NF333" s="56"/>
      <c r="NI333" s="55">
        <f t="shared" si="2359"/>
        <v>46304</v>
      </c>
      <c r="NJ333" s="56"/>
      <c r="NK333" s="242">
        <f>SUMPRODUCT(PRODUCE!$B330:$DY330,PRODUCE!$EB$48:$IY$48)</f>
        <v>0</v>
      </c>
      <c r="NL333" s="56"/>
      <c r="NM333" s="242">
        <f t="shared" si="2360"/>
        <v>0</v>
      </c>
      <c r="NN333" s="242">
        <f t="shared" si="2361"/>
        <v>1127</v>
      </c>
      <c r="NO333" s="56"/>
      <c r="NR333" s="55">
        <f t="shared" si="2362"/>
        <v>46304</v>
      </c>
      <c r="NS333" s="56"/>
      <c r="NT333" s="242">
        <f>SUMPRODUCT(PRODUCE!$B330:$DY330,PRODUCE!$EB$49:$IY$49)</f>
        <v>0</v>
      </c>
      <c r="NU333" s="56"/>
      <c r="NV333" s="242">
        <f t="shared" si="2363"/>
        <v>0</v>
      </c>
      <c r="NW333" s="242">
        <f t="shared" si="2364"/>
        <v>3111.9999999999995</v>
      </c>
      <c r="NX333" s="56"/>
      <c r="OA333" s="55">
        <f t="shared" si="2365"/>
        <v>46304</v>
      </c>
      <c r="OB333" s="56"/>
      <c r="OC333" s="242">
        <f>SUMPRODUCT(PRODUCE!$B330:$DY330,PRODUCE!$EB$50:$IY$50)</f>
        <v>0</v>
      </c>
      <c r="OD333" s="56"/>
      <c r="OE333" s="242">
        <f t="shared" si="2366"/>
        <v>0</v>
      </c>
      <c r="OF333" s="242">
        <f t="shared" si="2367"/>
        <v>1680.5</v>
      </c>
      <c r="OG333" s="56"/>
      <c r="OJ333" s="55">
        <f t="shared" si="2368"/>
        <v>46304</v>
      </c>
      <c r="OK333" s="56"/>
      <c r="OL333" s="242">
        <f>SUMPRODUCT(PRODUCE!$B330:$DY330,PRODUCE!$EB$51:$IY$51)</f>
        <v>0</v>
      </c>
      <c r="OM333" s="56"/>
      <c r="ON333" s="242">
        <f t="shared" si="2369"/>
        <v>0</v>
      </c>
      <c r="OO333" s="242">
        <f t="shared" si="2370"/>
        <v>0</v>
      </c>
      <c r="OP333" s="56"/>
      <c r="OS333" s="55">
        <f t="shared" si="2371"/>
        <v>46304</v>
      </c>
      <c r="OT333" s="56"/>
      <c r="OU333" s="242">
        <f>SUMPRODUCT(PRODUCE!$B330:$DY330,PRODUCE!$EB$52:$IY$52)</f>
        <v>0</v>
      </c>
      <c r="OV333" s="56"/>
      <c r="OW333" s="242">
        <f t="shared" si="2372"/>
        <v>0</v>
      </c>
      <c r="OX333" s="242">
        <f t="shared" si="2373"/>
        <v>1482</v>
      </c>
      <c r="OY333" s="56"/>
      <c r="PB333" s="55">
        <f t="shared" si="2374"/>
        <v>46304</v>
      </c>
      <c r="PC333" s="56"/>
      <c r="PD333" s="242">
        <f>SUMPRODUCT(PRODUCE!$B330:$DY330,PRODUCE!$EB$53:$IY$53)</f>
        <v>0</v>
      </c>
      <c r="PE333" s="56"/>
      <c r="PF333" s="242">
        <f t="shared" si="2375"/>
        <v>0</v>
      </c>
      <c r="PG333" s="242">
        <f t="shared" si="2376"/>
        <v>0</v>
      </c>
      <c r="PH333" s="56"/>
      <c r="PK333" s="55">
        <f t="shared" si="2377"/>
        <v>46304</v>
      </c>
      <c r="PL333" s="56"/>
      <c r="PM333" s="242">
        <f>SUMPRODUCT(PRODUCE!$B330:$DY330,PRODUCE!$EB$54:$IY$54)</f>
        <v>0</v>
      </c>
      <c r="PN333" s="56"/>
      <c r="PO333" s="242">
        <f t="shared" si="2378"/>
        <v>0</v>
      </c>
      <c r="PP333" s="242">
        <f t="shared" si="2379"/>
        <v>100</v>
      </c>
      <c r="PQ333" s="56"/>
      <c r="PT333" s="55">
        <f t="shared" si="2380"/>
        <v>46304</v>
      </c>
      <c r="PU333" s="56"/>
      <c r="PV333" s="242">
        <f>SUMPRODUCT(PRODUCE!$B330:$DY330,PRODUCE!$EB$55:$IY$55)</f>
        <v>0</v>
      </c>
      <c r="PW333" s="56"/>
      <c r="PX333" s="242">
        <f t="shared" si="2381"/>
        <v>0</v>
      </c>
      <c r="PY333" s="242">
        <f t="shared" si="2382"/>
        <v>13.960000000000036</v>
      </c>
      <c r="PZ333" s="56"/>
      <c r="QC333" s="55">
        <f t="shared" si="2383"/>
        <v>46304</v>
      </c>
      <c r="QD333" s="56"/>
      <c r="QE333" s="242">
        <f>SUMPRODUCT(PRODUCE!$B330:$DY330,PRODUCE!$EB$56:$IY$56)</f>
        <v>0</v>
      </c>
      <c r="QF333" s="56"/>
      <c r="QG333" s="242">
        <f t="shared" si="2384"/>
        <v>0</v>
      </c>
      <c r="QH333" s="242">
        <f t="shared" si="2385"/>
        <v>548</v>
      </c>
      <c r="QI333" s="56"/>
      <c r="QL333" s="55">
        <f t="shared" si="2386"/>
        <v>46304</v>
      </c>
      <c r="QM333" s="56"/>
      <c r="QN333" s="242">
        <f>SUMPRODUCT(PRODUCE!$B330:$DY330,PRODUCE!$EB$57:$IY$57)</f>
        <v>0</v>
      </c>
      <c r="QO333" s="56"/>
      <c r="QP333" s="242">
        <f t="shared" si="2387"/>
        <v>0</v>
      </c>
      <c r="QQ333" s="242">
        <f t="shared" si="2388"/>
        <v>0</v>
      </c>
      <c r="QR333" s="56"/>
      <c r="QU333" s="55">
        <f t="shared" si="2389"/>
        <v>46304</v>
      </c>
      <c r="QV333" s="56"/>
      <c r="QW333" s="242">
        <f>SUMPRODUCT(PRODUCE!$B330:$DY330,PRODUCE!$EB$57:$IY$57)</f>
        <v>0</v>
      </c>
      <c r="QX333" s="56"/>
      <c r="QY333" s="242">
        <f t="shared" si="2390"/>
        <v>0</v>
      </c>
      <c r="QZ333" s="242">
        <f t="shared" si="2391"/>
        <v>0</v>
      </c>
      <c r="RA333" s="56"/>
      <c r="RD333" s="55">
        <f t="shared" si="2392"/>
        <v>46304</v>
      </c>
      <c r="RE333" s="56"/>
      <c r="RF333" s="242">
        <f>SUMPRODUCT(PRODUCE!$B330:$DY330,PRODUCE!$EB$58:$IY$58)</f>
        <v>0</v>
      </c>
      <c r="RG333" s="56"/>
      <c r="RH333" s="242">
        <f t="shared" si="2393"/>
        <v>0</v>
      </c>
      <c r="RI333" s="242">
        <f t="shared" si="2394"/>
        <v>147.04000000000002</v>
      </c>
      <c r="RJ333" s="56"/>
      <c r="RM333" s="55">
        <f t="shared" si="2395"/>
        <v>46304</v>
      </c>
      <c r="RN333" s="56"/>
      <c r="RO333" s="242">
        <f>SUMPRODUCT(PRODUCE!$B330:$DY330,PRODUCE!$EB$57:$IY$57)</f>
        <v>0</v>
      </c>
      <c r="RP333" s="56"/>
      <c r="RQ333" s="242">
        <f t="shared" si="2396"/>
        <v>0</v>
      </c>
      <c r="RR333" s="242">
        <f t="shared" si="2397"/>
        <v>46.8</v>
      </c>
      <c r="RS333" s="56"/>
      <c r="RV333" s="55">
        <f t="shared" si="2398"/>
        <v>46304</v>
      </c>
      <c r="RW333" s="56"/>
      <c r="RX333" s="242">
        <f>SUMPRODUCT(PRODUCE!$B330:$DY330,PRODUCE!$EB$57:$IY$57)</f>
        <v>0</v>
      </c>
      <c r="RY333" s="56"/>
      <c r="RZ333" s="242">
        <f t="shared" si="2399"/>
        <v>0</v>
      </c>
      <c r="SA333" s="242">
        <f t="shared" si="2400"/>
        <v>0</v>
      </c>
      <c r="SB333" s="56"/>
      <c r="SE333" s="55">
        <f t="shared" si="2401"/>
        <v>46304</v>
      </c>
      <c r="SF333" s="56"/>
      <c r="SG333" s="242">
        <f>SUMPRODUCT(PRODUCE!$B330:$DY330,PRODUCE!$EB$61:$IY$61)</f>
        <v>0</v>
      </c>
      <c r="SH333" s="56"/>
      <c r="SI333" s="242">
        <f t="shared" si="2402"/>
        <v>0</v>
      </c>
      <c r="SJ333" s="242">
        <f t="shared" si="2403"/>
        <v>24.200000000000003</v>
      </c>
      <c r="SK333" s="56"/>
      <c r="SN333" s="55">
        <f t="shared" si="2404"/>
        <v>46304</v>
      </c>
      <c r="SO333" s="56"/>
      <c r="SP333" s="242">
        <f>SUMPRODUCT(PRODUCE!$B330:$DY330,PRODUCE!$EB$57:$IY$57)</f>
        <v>0</v>
      </c>
      <c r="SQ333" s="56"/>
      <c r="SR333" s="242">
        <f t="shared" si="2405"/>
        <v>0</v>
      </c>
      <c r="SS333" s="242">
        <f t="shared" si="2406"/>
        <v>32</v>
      </c>
      <c r="ST333" s="56"/>
      <c r="SW333" s="55">
        <f t="shared" si="2407"/>
        <v>46304</v>
      </c>
      <c r="SX333" s="56"/>
      <c r="SY333" s="242">
        <f>SUMPRODUCT(PRODUCE!$B330:$DY330,PRODUCE!$EB$57:$IY$57)</f>
        <v>0</v>
      </c>
      <c r="SZ333" s="56"/>
      <c r="TA333" s="242">
        <f t="shared" si="2408"/>
        <v>0</v>
      </c>
      <c r="TB333" s="242">
        <f t="shared" si="2409"/>
        <v>0</v>
      </c>
      <c r="TC333" s="56"/>
      <c r="TF333" s="55">
        <f t="shared" si="2410"/>
        <v>46304</v>
      </c>
      <c r="TG333" s="56"/>
      <c r="TH333" s="242">
        <f>SUMPRODUCT(PRODUCE!$B330:$DY330,PRODUCE!$EB$57:$IY$57)</f>
        <v>0</v>
      </c>
      <c r="TI333" s="56"/>
      <c r="TJ333" s="242">
        <f t="shared" si="2411"/>
        <v>0</v>
      </c>
      <c r="TK333" s="242">
        <f t="shared" si="2412"/>
        <v>0</v>
      </c>
      <c r="TL333" s="56"/>
      <c r="TO333" s="55">
        <f t="shared" si="2413"/>
        <v>46304</v>
      </c>
      <c r="TP333" s="56"/>
      <c r="TQ333" s="242">
        <f>SUMPRODUCT(PRODUCE!$B330:$DY330,PRODUCE!$EB$57:$IY$57)</f>
        <v>0</v>
      </c>
      <c r="TR333" s="56"/>
      <c r="TS333" s="242">
        <f t="shared" si="2414"/>
        <v>0</v>
      </c>
      <c r="TT333" s="242">
        <f t="shared" si="2415"/>
        <v>0</v>
      </c>
      <c r="TU333" s="56"/>
      <c r="TX333" s="55">
        <f t="shared" si="2416"/>
        <v>46304</v>
      </c>
      <c r="TY333" s="56"/>
      <c r="TZ333" s="242">
        <f>SUMPRODUCT(PRODUCE!$B330:$DY330,PRODUCE!$EB$57:$IY$57)</f>
        <v>0</v>
      </c>
      <c r="UA333" s="56"/>
      <c r="UB333" s="242">
        <f t="shared" si="2417"/>
        <v>0</v>
      </c>
      <c r="UC333" s="242">
        <f t="shared" si="2418"/>
        <v>46.799999999999983</v>
      </c>
      <c r="UD333" s="56"/>
      <c r="UG333" s="55">
        <f t="shared" si="2419"/>
        <v>46304</v>
      </c>
      <c r="UH333" s="56"/>
      <c r="UI333" s="242">
        <f>SUMPRODUCT(PRODUCE!$B330:$DY330,PRODUCE!$EB$57:$IY$57)</f>
        <v>0</v>
      </c>
      <c r="UJ333" s="56"/>
      <c r="UK333" s="242">
        <f t="shared" si="2420"/>
        <v>0</v>
      </c>
      <c r="UL333" s="242">
        <f t="shared" si="2421"/>
        <v>204</v>
      </c>
      <c r="UM333" s="56"/>
      <c r="UP333" s="55">
        <f t="shared" si="2422"/>
        <v>46304</v>
      </c>
      <c r="UQ333" s="56"/>
      <c r="UR333" s="242">
        <f>SUMPRODUCT(PRODUCE!$B330:$DY330,PRODUCE!$EB$57:$IY$57)</f>
        <v>0</v>
      </c>
      <c r="US333" s="56"/>
      <c r="UT333" s="242">
        <f t="shared" si="2423"/>
        <v>0</v>
      </c>
      <c r="UU333" s="242">
        <f t="shared" si="2424"/>
        <v>202.5</v>
      </c>
      <c r="UV333" s="56"/>
      <c r="UY333" s="55">
        <f t="shared" si="2425"/>
        <v>46304</v>
      </c>
      <c r="UZ333" s="56"/>
      <c r="VA333" s="242">
        <f>SUMPRODUCT(PRODUCE!$B330:$DY330,PRODUCE!$EB$57:$IY$57)</f>
        <v>0</v>
      </c>
      <c r="VB333" s="56"/>
      <c r="VC333" s="242">
        <f t="shared" si="2426"/>
        <v>0</v>
      </c>
      <c r="VD333" s="242">
        <f t="shared" si="2427"/>
        <v>41.600000000000023</v>
      </c>
      <c r="VE333" s="56"/>
      <c r="VH333" s="55">
        <f t="shared" si="2428"/>
        <v>46304</v>
      </c>
      <c r="VI333" s="56"/>
      <c r="VJ333" s="242">
        <f>SUMPRODUCT(PRODUCE!$B330:$DY330,PRODUCE!$EB$57:$IY$57)</f>
        <v>0</v>
      </c>
      <c r="VK333" s="56"/>
      <c r="VL333" s="242">
        <f t="shared" si="2429"/>
        <v>0</v>
      </c>
      <c r="VM333" s="242">
        <f t="shared" si="2430"/>
        <v>210</v>
      </c>
      <c r="VN333" s="56"/>
      <c r="VQ333" s="55">
        <f t="shared" si="2431"/>
        <v>46304</v>
      </c>
      <c r="VR333" s="56"/>
      <c r="VS333" s="242">
        <f>SUMPRODUCT(PRODUCE!$B330:$DY330,PRODUCE!$EB$57:$IY$57)</f>
        <v>0</v>
      </c>
      <c r="VT333" s="56"/>
      <c r="VU333" s="242">
        <f t="shared" si="2432"/>
        <v>0</v>
      </c>
      <c r="VV333" s="242">
        <f t="shared" si="2433"/>
        <v>0</v>
      </c>
      <c r="VW333" s="56"/>
      <c r="VZ333" s="55">
        <f t="shared" si="2434"/>
        <v>46304</v>
      </c>
      <c r="WA333" s="56"/>
      <c r="WB333" s="242">
        <f>SUMPRODUCT(PRODUCE!$B330:$DY330,PRODUCE!$EB$57:$IY$57)</f>
        <v>0</v>
      </c>
      <c r="WC333" s="56"/>
      <c r="WD333" s="242">
        <f t="shared" si="2435"/>
        <v>0</v>
      </c>
      <c r="WE333" s="242">
        <f t="shared" si="2436"/>
        <v>0</v>
      </c>
      <c r="WF333" s="56"/>
      <c r="WI333" s="55">
        <f t="shared" si="2437"/>
        <v>46304</v>
      </c>
      <c r="WJ333" s="56"/>
      <c r="WK333" s="242">
        <f>SUMPRODUCT(PRODUCE!$B330:$DY330,PRODUCE!$EB$57:$IY$57)</f>
        <v>0</v>
      </c>
      <c r="WL333" s="56"/>
      <c r="WM333" s="242">
        <f t="shared" si="2438"/>
        <v>0</v>
      </c>
      <c r="WN333" s="242">
        <f t="shared" si="2439"/>
        <v>1057</v>
      </c>
      <c r="WO333" s="56"/>
      <c r="WR333" s="55">
        <f t="shared" si="2440"/>
        <v>46304</v>
      </c>
      <c r="WS333" s="56"/>
      <c r="WT333" s="242">
        <f>SUMPRODUCT(PRODUCE!$B330:$DY330,PRODUCE!$EB$57:$IY$57)</f>
        <v>0</v>
      </c>
      <c r="WU333" s="56"/>
      <c r="WV333" s="242">
        <f t="shared" si="2441"/>
        <v>0</v>
      </c>
      <c r="WW333" s="242">
        <f t="shared" si="2442"/>
        <v>0</v>
      </c>
      <c r="WX333" s="56"/>
      <c r="XA333" s="55">
        <f t="shared" si="2443"/>
        <v>46304</v>
      </c>
      <c r="XB333" s="56"/>
      <c r="XC333" s="242">
        <f>SUMPRODUCT(PRODUCE!$B330:$DY330,PRODUCE!$EB$57:$IY$57)</f>
        <v>0</v>
      </c>
      <c r="XD333" s="56"/>
      <c r="XE333" s="242">
        <f t="shared" si="2444"/>
        <v>0</v>
      </c>
      <c r="XF333" s="242">
        <f t="shared" si="2445"/>
        <v>7507</v>
      </c>
      <c r="XG333" s="56"/>
      <c r="XJ333" s="55">
        <f t="shared" si="2446"/>
        <v>46304</v>
      </c>
      <c r="XK333" s="56"/>
      <c r="XL333" s="242">
        <f>SUMPRODUCT(PRODUCE!$B330:$DY330,PRODUCE!$EB$57:$IY$57)</f>
        <v>0</v>
      </c>
      <c r="XM333" s="56"/>
      <c r="XN333" s="242">
        <f t="shared" si="2447"/>
        <v>0</v>
      </c>
      <c r="XO333" s="242">
        <f t="shared" si="2448"/>
        <v>4252</v>
      </c>
      <c r="XP333" s="56"/>
      <c r="XS333" s="55">
        <f t="shared" si="2449"/>
        <v>46304</v>
      </c>
      <c r="XT333" s="56"/>
      <c r="XU333" s="242">
        <f>SUMPRODUCT(PRODUCE!$B330:$DY330,PRODUCE!$EB$57:$IY$57)</f>
        <v>0</v>
      </c>
      <c r="XV333" s="56"/>
      <c r="XW333" s="242">
        <f t="shared" si="2450"/>
        <v>0</v>
      </c>
      <c r="XX333" s="242">
        <f t="shared" si="2451"/>
        <v>2179</v>
      </c>
      <c r="XY333" s="56"/>
      <c r="YB333" s="55">
        <f t="shared" si="2452"/>
        <v>46304</v>
      </c>
      <c r="YC333" s="56"/>
      <c r="YD333" s="242">
        <f>SUMPRODUCT(PRODUCE!$B330:$DY330,PRODUCE!$EB$57:$IY$57)</f>
        <v>0</v>
      </c>
      <c r="YE333" s="56"/>
      <c r="YF333" s="242">
        <f t="shared" si="2453"/>
        <v>0</v>
      </c>
      <c r="YG333" s="242">
        <f t="shared" si="2454"/>
        <v>4019</v>
      </c>
      <c r="YH333" s="56"/>
      <c r="YK333" s="55">
        <f t="shared" si="2455"/>
        <v>46304</v>
      </c>
      <c r="YL333" s="56"/>
      <c r="YM333" s="242">
        <f>SUMPRODUCT(PRODUCE!$B330:$DY330,PRODUCE!$EB$57:$IY$57)</f>
        <v>0</v>
      </c>
      <c r="YN333" s="56"/>
      <c r="YO333" s="242">
        <f t="shared" si="2456"/>
        <v>0</v>
      </c>
      <c r="YP333" s="242">
        <f t="shared" si="2457"/>
        <v>-218</v>
      </c>
      <c r="YQ333" s="56"/>
      <c r="YT333" s="55">
        <f t="shared" si="2458"/>
        <v>46304</v>
      </c>
      <c r="YU333" s="56"/>
      <c r="YV333" s="242">
        <f>SUMPRODUCT(PRODUCE!$B330:$DY330,PRODUCE!$EB$57:$IY$57)</f>
        <v>0</v>
      </c>
      <c r="YW333" s="56"/>
      <c r="YX333" s="242">
        <f t="shared" si="2459"/>
        <v>0</v>
      </c>
      <c r="YY333" s="242">
        <f t="shared" si="2460"/>
        <v>0</v>
      </c>
      <c r="YZ333" s="56"/>
      <c r="ZC333" s="55">
        <f t="shared" si="2461"/>
        <v>46304</v>
      </c>
      <c r="ZD333" s="56"/>
      <c r="ZE333" s="242">
        <f>SUMPRODUCT(PRODUCE!$B330:$DY330,PRODUCE!$EB$57:$IY$57)</f>
        <v>0</v>
      </c>
      <c r="ZF333" s="56"/>
      <c r="ZG333" s="242">
        <f t="shared" si="2462"/>
        <v>0</v>
      </c>
      <c r="ZH333" s="242">
        <f t="shared" si="2463"/>
        <v>0</v>
      </c>
      <c r="ZI333" s="56"/>
      <c r="ZL333" s="55">
        <f t="shared" si="2464"/>
        <v>46304</v>
      </c>
      <c r="ZM333" s="56"/>
      <c r="ZN333" s="242">
        <f>SUMPRODUCT(PRODUCE!$B330:$DY330,PRODUCE!$EB$57:$IY$57)</f>
        <v>0</v>
      </c>
      <c r="ZO333" s="56"/>
      <c r="ZP333" s="242">
        <f t="shared" si="2465"/>
        <v>0</v>
      </c>
      <c r="ZQ333" s="242">
        <f t="shared" si="2466"/>
        <v>0</v>
      </c>
      <c r="ZR333" s="56"/>
      <c r="ZU333" s="55">
        <f t="shared" si="2467"/>
        <v>46304</v>
      </c>
      <c r="ZV333" s="56"/>
      <c r="ZW333" s="242">
        <f>SUMPRODUCT(PRODUCE!$B330:$DY330,PRODUCE!$EB$57:$IY$57)</f>
        <v>0</v>
      </c>
      <c r="ZX333" s="56"/>
      <c r="ZY333" s="242">
        <f t="shared" si="2468"/>
        <v>0</v>
      </c>
      <c r="ZZ333" s="242">
        <f t="shared" si="2469"/>
        <v>0</v>
      </c>
      <c r="AAA333" s="56"/>
      <c r="AAD333" s="55">
        <f t="shared" si="2470"/>
        <v>46304</v>
      </c>
      <c r="AAE333" s="56"/>
      <c r="AAF333" s="242">
        <f>SUMPRODUCT(PRODUCE!$B330:$DY330,PRODUCE!$EB$57:$IY$57)</f>
        <v>0</v>
      </c>
      <c r="AAG333" s="56"/>
      <c r="AAH333" s="242">
        <f t="shared" si="2471"/>
        <v>0</v>
      </c>
      <c r="AAI333" s="242">
        <f t="shared" si="2472"/>
        <v>0</v>
      </c>
      <c r="AAJ333" s="56"/>
      <c r="AAM333" s="55">
        <f t="shared" si="2473"/>
        <v>46304</v>
      </c>
      <c r="AAN333" s="56"/>
      <c r="AAO333" s="242">
        <f>SUMPRODUCT(PRODUCE!$B330:$DY330,PRODUCE!$EB$57:$IY$57)</f>
        <v>0</v>
      </c>
      <c r="AAP333" s="56"/>
      <c r="AAQ333" s="242">
        <f t="shared" si="2474"/>
        <v>0</v>
      </c>
      <c r="AAR333" s="242">
        <f t="shared" si="2475"/>
        <v>0</v>
      </c>
      <c r="AAS333" s="56"/>
      <c r="AAV333" s="55">
        <f t="shared" si="2476"/>
        <v>46304</v>
      </c>
      <c r="AAW333" s="56"/>
      <c r="AAX333" s="242">
        <f>SUMPRODUCT(PRODUCE!$B330:$DY330,PRODUCE!$EB$57:$IY$57)</f>
        <v>0</v>
      </c>
      <c r="AAY333" s="56"/>
      <c r="AAZ333" s="242">
        <f t="shared" si="2477"/>
        <v>0</v>
      </c>
      <c r="ABA333" s="242">
        <f t="shared" si="2478"/>
        <v>0</v>
      </c>
      <c r="ABB333" s="56"/>
      <c r="ABE333" s="55">
        <f t="shared" si="2479"/>
        <v>46304</v>
      </c>
      <c r="ABF333" s="56"/>
      <c r="ABG333" s="242">
        <f>SUMPRODUCT(PRODUCE!$B330:$DY330,PRODUCE!$EB$57:$IY$57)</f>
        <v>0</v>
      </c>
      <c r="ABH333" s="56"/>
      <c r="ABI333" s="242">
        <f t="shared" si="2480"/>
        <v>0</v>
      </c>
      <c r="ABJ333" s="242">
        <f t="shared" si="2481"/>
        <v>0</v>
      </c>
      <c r="ABK333" s="56"/>
    </row>
    <row r="334" spans="1:739" s="54" customFormat="1" ht="15" customHeight="1" outlineLevel="1">
      <c r="B334" s="478"/>
      <c r="C334" s="55">
        <v>46305</v>
      </c>
      <c r="D334" s="56"/>
      <c r="E334" s="57">
        <f>SUMPRODUCT(PRODUCE!$B331:$DY331,PRODUCE!$EB$7:$IY$7)</f>
        <v>0</v>
      </c>
      <c r="F334" s="56"/>
      <c r="G334" s="57">
        <f t="shared" si="2237"/>
        <v>0</v>
      </c>
      <c r="H334" s="57">
        <f t="shared" si="2238"/>
        <v>236936.6</v>
      </c>
      <c r="I334" s="289"/>
      <c r="L334" s="55">
        <f t="shared" si="2239"/>
        <v>46305</v>
      </c>
      <c r="M334" s="56"/>
      <c r="N334" s="59">
        <f>SUMPRODUCT(PRODUCE!$B331:$DY331,PRODUCE!$EB$8:$IY$8)</f>
        <v>0</v>
      </c>
      <c r="O334" s="56"/>
      <c r="P334" s="59">
        <f t="shared" si="2240"/>
        <v>0</v>
      </c>
      <c r="Q334" s="59">
        <f t="shared" si="2241"/>
        <v>53017.600000000071</v>
      </c>
      <c r="R334" s="56"/>
      <c r="U334" s="55">
        <f t="shared" si="2242"/>
        <v>46305</v>
      </c>
      <c r="V334" s="56"/>
      <c r="W334" s="60">
        <f>SUMPRODUCT(PRODUCE!$B331:$DY331,PRODUCE!$EB$9:$IY$9)</f>
        <v>0</v>
      </c>
      <c r="X334" s="56"/>
      <c r="Y334" s="60">
        <f t="shared" si="2243"/>
        <v>0</v>
      </c>
      <c r="Z334" s="60">
        <f t="shared" si="2244"/>
        <v>42674.199999999968</v>
      </c>
      <c r="AA334" s="56"/>
      <c r="AD334" s="55">
        <f t="shared" si="2245"/>
        <v>46305</v>
      </c>
      <c r="AE334" s="56"/>
      <c r="AF334" s="61">
        <f>SUMPRODUCT(PRODUCE!$B331:$DY331,PRODUCE!$EB$10:$IY$10)</f>
        <v>0</v>
      </c>
      <c r="AG334" s="56"/>
      <c r="AH334" s="61">
        <f t="shared" si="2246"/>
        <v>0</v>
      </c>
      <c r="AI334" s="61">
        <f t="shared" si="2247"/>
        <v>4522.2000000000189</v>
      </c>
      <c r="AJ334" s="56"/>
      <c r="AM334" s="55">
        <f t="shared" si="2248"/>
        <v>46305</v>
      </c>
      <c r="AN334" s="422"/>
      <c r="AO334" s="444">
        <f>SUMPRODUCT(PRODUCE!$B331:$DY331,PRODUCE!$EB$11:$IY$11)</f>
        <v>0</v>
      </c>
      <c r="AP334" s="422"/>
      <c r="AQ334" s="444">
        <f t="shared" si="2249"/>
        <v>0</v>
      </c>
      <c r="AR334" s="444">
        <f t="shared" si="2250"/>
        <v>0</v>
      </c>
      <c r="AS334" s="56"/>
      <c r="AV334" s="55">
        <f t="shared" si="2251"/>
        <v>46305</v>
      </c>
      <c r="AW334" s="56"/>
      <c r="AX334" s="62">
        <f>SUMPRODUCT(PRODUCE!$B331:$DY331,PRODUCE!$EB$12:$IY$12)</f>
        <v>0</v>
      </c>
      <c r="AY334" s="56"/>
      <c r="AZ334" s="62">
        <f t="shared" si="2252"/>
        <v>0</v>
      </c>
      <c r="BA334" s="62">
        <f t="shared" si="2253"/>
        <v>124.99999999999523</v>
      </c>
      <c r="BB334" s="56"/>
      <c r="BE334" s="55">
        <f t="shared" si="2254"/>
        <v>46305</v>
      </c>
      <c r="BF334" s="56"/>
      <c r="BG334" s="63">
        <f>SUMPRODUCT(PRODUCE!$B331:$DY331,PRODUCE!$EB$13:$IY$13)</f>
        <v>0</v>
      </c>
      <c r="BH334" s="56"/>
      <c r="BI334" s="63">
        <f t="shared" si="2255"/>
        <v>0</v>
      </c>
      <c r="BJ334" s="63">
        <f t="shared" si="2256"/>
        <v>26151.899999999998</v>
      </c>
      <c r="BK334" s="56"/>
      <c r="BN334" s="55">
        <f t="shared" si="2257"/>
        <v>46305</v>
      </c>
      <c r="BO334" s="56"/>
      <c r="BP334" s="64">
        <f>SUMPRODUCT(PRODUCE!$B331:$DY331,PRODUCE!$EB$14:$IY$14)</f>
        <v>0</v>
      </c>
      <c r="BQ334" s="56"/>
      <c r="BR334" s="64">
        <f t="shared" si="2258"/>
        <v>0</v>
      </c>
      <c r="BS334" s="64">
        <f t="shared" si="2259"/>
        <v>0</v>
      </c>
      <c r="BT334" s="56"/>
      <c r="BW334" s="55">
        <f t="shared" si="2260"/>
        <v>46305</v>
      </c>
      <c r="BX334" s="56"/>
      <c r="BY334" s="65">
        <f>SUMPRODUCT(PRODUCE!$B331:$DY331,PRODUCE!$EB$15:$IY$15)</f>
        <v>0</v>
      </c>
      <c r="BZ334" s="56"/>
      <c r="CA334" s="65">
        <f t="shared" si="2261"/>
        <v>0</v>
      </c>
      <c r="CB334" s="65">
        <f t="shared" si="2262"/>
        <v>2097.3399999999992</v>
      </c>
      <c r="CC334" s="56"/>
      <c r="CF334" s="55">
        <f t="shared" si="2263"/>
        <v>46305</v>
      </c>
      <c r="CG334" s="56"/>
      <c r="CH334" s="66">
        <f>SUMPRODUCT(PRODUCE!$B331:$DY331,PRODUCE!$EB$16:$IY$16)</f>
        <v>0</v>
      </c>
      <c r="CI334" s="56"/>
      <c r="CJ334" s="66">
        <f t="shared" si="2264"/>
        <v>0</v>
      </c>
      <c r="CK334" s="66">
        <f t="shared" si="2265"/>
        <v>-10277.079999999998</v>
      </c>
      <c r="CL334" s="56"/>
      <c r="CO334" s="55">
        <f t="shared" si="2266"/>
        <v>46305</v>
      </c>
      <c r="CP334" s="422"/>
      <c r="CQ334" s="470">
        <f>SUMPRODUCT(PRODUCE!$B331:$DY331,PRODUCE!$EB$17:$IY$17)</f>
        <v>0</v>
      </c>
      <c r="CR334" s="422"/>
      <c r="CS334" s="470">
        <f t="shared" si="2267"/>
        <v>0</v>
      </c>
      <c r="CT334" s="470">
        <f t="shared" si="2268"/>
        <v>0</v>
      </c>
      <c r="CU334" s="56"/>
      <c r="CX334" s="55">
        <f t="shared" si="2269"/>
        <v>46305</v>
      </c>
      <c r="CY334" s="56"/>
      <c r="CZ334" s="133">
        <f>SUMPRODUCT(PRODUCE!$B331:$DY331,PRODUCE!$EB$18:$IY$18)</f>
        <v>0</v>
      </c>
      <c r="DA334" s="56"/>
      <c r="DB334" s="133">
        <f t="shared" si="2270"/>
        <v>0</v>
      </c>
      <c r="DC334" s="133">
        <f t="shared" si="2271"/>
        <v>27438.200000000012</v>
      </c>
      <c r="DD334" s="56"/>
      <c r="DG334" s="55">
        <f t="shared" si="2272"/>
        <v>46305</v>
      </c>
      <c r="DH334" s="56"/>
      <c r="DI334" s="147">
        <f>SUMPRODUCT(PRODUCE!$B331:$DY331,PRODUCE!$EB$19:$IY$19)</f>
        <v>0</v>
      </c>
      <c r="DJ334" s="56"/>
      <c r="DK334" s="147">
        <f t="shared" si="2273"/>
        <v>0</v>
      </c>
      <c r="DL334" s="147">
        <f t="shared" si="2274"/>
        <v>18782.299999999981</v>
      </c>
      <c r="DM334" s="56"/>
      <c r="DP334" s="55">
        <f t="shared" si="2275"/>
        <v>46305</v>
      </c>
      <c r="DQ334" s="56"/>
      <c r="DR334" s="57">
        <f>SUMPRODUCT(PRODUCE!$B331:$DY331,PRODUCE!$EB$20:$IY$20)</f>
        <v>0</v>
      </c>
      <c r="DS334" s="56"/>
      <c r="DT334" s="57">
        <f t="shared" si="2276"/>
        <v>0</v>
      </c>
      <c r="DU334" s="57">
        <f t="shared" si="2277"/>
        <v>5800</v>
      </c>
      <c r="DV334" s="56"/>
      <c r="DY334" s="55">
        <f t="shared" si="2278"/>
        <v>46305</v>
      </c>
      <c r="DZ334" s="56"/>
      <c r="EA334" s="157">
        <f>SUMPRODUCT(PRODUCE!$B331:$DY331,PRODUCE!$EB$21:$IY$21)</f>
        <v>0</v>
      </c>
      <c r="EB334" s="56"/>
      <c r="EC334" s="157">
        <f t="shared" si="2279"/>
        <v>0</v>
      </c>
      <c r="ED334" s="157">
        <f t="shared" si="2280"/>
        <v>0</v>
      </c>
      <c r="EE334" s="56"/>
      <c r="EH334" s="55">
        <f t="shared" si="2281"/>
        <v>46305</v>
      </c>
      <c r="EI334" s="56"/>
      <c r="EJ334" s="162">
        <f>SUMPRODUCT(PRODUCE!$B331:$DY331,PRODUCE!$EB$22:$IY$22)</f>
        <v>0</v>
      </c>
      <c r="EK334" s="56"/>
      <c r="EL334" s="162">
        <f t="shared" si="2282"/>
        <v>0</v>
      </c>
      <c r="EM334" s="162">
        <f t="shared" si="2283"/>
        <v>0</v>
      </c>
      <c r="EN334" s="56"/>
      <c r="EQ334" s="55">
        <f t="shared" si="2284"/>
        <v>46305</v>
      </c>
      <c r="ER334" s="56"/>
      <c r="ES334" s="135">
        <f>SUMPRODUCT(PRODUCE!$B331:$DY331,PRODUCE!$EB$23:$IY$23)</f>
        <v>0</v>
      </c>
      <c r="ET334" s="56"/>
      <c r="EU334" s="135">
        <f t="shared" si="2285"/>
        <v>0</v>
      </c>
      <c r="EV334" s="135">
        <f t="shared" si="2286"/>
        <v>0</v>
      </c>
      <c r="EW334" s="56"/>
      <c r="EZ334" s="55">
        <f t="shared" si="2287"/>
        <v>46305</v>
      </c>
      <c r="FA334" s="56"/>
      <c r="FB334" s="175">
        <f>SUMPRODUCT(PRODUCE!$B331:$DY331,PRODUCE!$EB$24:$IY$24)</f>
        <v>0</v>
      </c>
      <c r="FC334" s="56"/>
      <c r="FD334" s="175">
        <f t="shared" si="2288"/>
        <v>0</v>
      </c>
      <c r="FE334" s="175">
        <f t="shared" si="2289"/>
        <v>0</v>
      </c>
      <c r="FF334" s="56"/>
      <c r="FI334" s="55">
        <f t="shared" si="2290"/>
        <v>46305</v>
      </c>
      <c r="FJ334" s="56"/>
      <c r="FK334" s="183">
        <f>SUMPRODUCT(PRODUCE!$B331:$DY331,PRODUCE!$EB$25:$IY$25)</f>
        <v>0</v>
      </c>
      <c r="FL334" s="56"/>
      <c r="FM334" s="183">
        <f t="shared" si="2291"/>
        <v>0</v>
      </c>
      <c r="FN334" s="183">
        <f t="shared" si="2292"/>
        <v>0</v>
      </c>
      <c r="FO334" s="56"/>
      <c r="FR334" s="55">
        <f t="shared" si="2293"/>
        <v>46305</v>
      </c>
      <c r="FS334" s="56"/>
      <c r="FT334" s="186">
        <f>SUMPRODUCT(PRODUCE!$B331:$DY331,PRODUCE!$EB$26:$IY$26)</f>
        <v>0</v>
      </c>
      <c r="FU334" s="56"/>
      <c r="FV334" s="186">
        <f t="shared" si="2294"/>
        <v>0</v>
      </c>
      <c r="FW334" s="186">
        <f t="shared" si="2295"/>
        <v>2020</v>
      </c>
      <c r="FX334" s="56"/>
      <c r="GA334" s="55">
        <f t="shared" si="2296"/>
        <v>46305</v>
      </c>
      <c r="GB334" s="56"/>
      <c r="GC334" s="137">
        <f>SUMPRODUCT(PRODUCE!$B331:$DY331,PRODUCE!$EB$27:$IY$27)</f>
        <v>0</v>
      </c>
      <c r="GD334" s="56"/>
      <c r="GE334" s="137">
        <f t="shared" si="2297"/>
        <v>0</v>
      </c>
      <c r="GF334" s="137">
        <f t="shared" si="2298"/>
        <v>960</v>
      </c>
      <c r="GG334" s="56"/>
      <c r="GI334" s="23"/>
      <c r="GJ334" s="55">
        <f t="shared" si="2299"/>
        <v>46305</v>
      </c>
      <c r="GK334" s="56"/>
      <c r="GL334" s="199">
        <f>SUMPRODUCT(PRODUCE!$B331:$DY331,PRODUCE!$EB$28:$IY$28)</f>
        <v>0</v>
      </c>
      <c r="GM334" s="56"/>
      <c r="GN334" s="199">
        <f t="shared" si="2300"/>
        <v>0</v>
      </c>
      <c r="GO334" s="199">
        <f t="shared" si="2301"/>
        <v>1760</v>
      </c>
      <c r="GP334" s="56"/>
      <c r="GS334" s="55">
        <f t="shared" si="2302"/>
        <v>46305</v>
      </c>
      <c r="GT334" s="56"/>
      <c r="GU334" s="195">
        <f>SUMPRODUCT(PRODUCE!$B331:$DY331,PRODUCE!$EB$29:$IY$29)</f>
        <v>0</v>
      </c>
      <c r="GV334" s="56"/>
      <c r="GW334" s="195">
        <f t="shared" si="2303"/>
        <v>0</v>
      </c>
      <c r="GX334" s="195">
        <f t="shared" si="2304"/>
        <v>400</v>
      </c>
      <c r="GY334" s="56"/>
      <c r="HB334" s="55">
        <f t="shared" si="2305"/>
        <v>46305</v>
      </c>
      <c r="HC334" s="56"/>
      <c r="HD334" s="191">
        <f>SUMPRODUCT(PRODUCE!$B331:$DY331,PRODUCE!$EB$30:$IY$30)</f>
        <v>0</v>
      </c>
      <c r="HE334" s="56"/>
      <c r="HF334" s="191">
        <f t="shared" si="2306"/>
        <v>0</v>
      </c>
      <c r="HG334" s="191">
        <f t="shared" si="2307"/>
        <v>3600</v>
      </c>
      <c r="HH334" s="56"/>
      <c r="HK334" s="55">
        <f t="shared" si="2308"/>
        <v>46305</v>
      </c>
      <c r="HL334" s="56"/>
      <c r="HM334" s="63">
        <f>SUMPRODUCT(PRODUCE!$B331:$DY331,PRODUCE!$EB$31:$IY$31)</f>
        <v>0</v>
      </c>
      <c r="HN334" s="56"/>
      <c r="HO334" s="63">
        <f t="shared" si="2309"/>
        <v>0</v>
      </c>
      <c r="HP334" s="63">
        <f t="shared" si="2310"/>
        <v>0</v>
      </c>
      <c r="HQ334" s="56"/>
      <c r="HU334" s="55">
        <f t="shared" si="2311"/>
        <v>46305</v>
      </c>
      <c r="HV334" s="56"/>
      <c r="HW334" s="242">
        <f>SUMPRODUCT(PRODUCE!$B331:$DY331,PRODUCE!$EB$32:$IY$32)</f>
        <v>0</v>
      </c>
      <c r="HX334" s="56"/>
      <c r="HY334" s="242">
        <f t="shared" si="2312"/>
        <v>0</v>
      </c>
      <c r="HZ334" s="242">
        <f t="shared" si="2313"/>
        <v>6120</v>
      </c>
      <c r="IA334" s="56"/>
      <c r="ID334" s="55">
        <f t="shared" si="2314"/>
        <v>46305</v>
      </c>
      <c r="IE334" s="56"/>
      <c r="IF334" s="242">
        <f>SUMPRODUCT(PRODUCE!$B331:$DY331,PRODUCE!$EB$33:$IY$33)</f>
        <v>0</v>
      </c>
      <c r="IG334" s="56"/>
      <c r="IH334" s="242">
        <f t="shared" si="2315"/>
        <v>0</v>
      </c>
      <c r="II334" s="242">
        <f t="shared" si="2316"/>
        <v>0</v>
      </c>
      <c r="IJ334" s="56"/>
      <c r="IM334" s="55">
        <f t="shared" si="2317"/>
        <v>46305</v>
      </c>
      <c r="IN334" s="56"/>
      <c r="IO334" s="242">
        <f>SUMPRODUCT(PRODUCE!$B331:$DY331,PRODUCE!$EB$34:$IY$34)</f>
        <v>0</v>
      </c>
      <c r="IP334" s="56"/>
      <c r="IQ334" s="242">
        <f t="shared" si="2318"/>
        <v>0</v>
      </c>
      <c r="IR334" s="242">
        <f t="shared" si="2319"/>
        <v>0</v>
      </c>
      <c r="IS334" s="56"/>
      <c r="IV334" s="55">
        <f t="shared" si="2320"/>
        <v>46305</v>
      </c>
      <c r="IW334" s="56"/>
      <c r="IX334" s="242">
        <f>SUMPRODUCT(PRODUCE!$B331:$DY331,PRODUCE!$EB$35:$IY$35)</f>
        <v>0</v>
      </c>
      <c r="IY334" s="56"/>
      <c r="IZ334" s="242">
        <f t="shared" si="2321"/>
        <v>0</v>
      </c>
      <c r="JA334" s="242">
        <f t="shared" si="2322"/>
        <v>2820</v>
      </c>
      <c r="JB334" s="56"/>
      <c r="JE334" s="55">
        <f t="shared" si="2323"/>
        <v>46305</v>
      </c>
      <c r="JF334" s="56"/>
      <c r="JG334" s="242">
        <f>SUMPRODUCT(PRODUCE!$B331:$DY331,PRODUCE!$EB$36:$IY$36)</f>
        <v>0</v>
      </c>
      <c r="JH334" s="56"/>
      <c r="JI334" s="242">
        <f t="shared" si="2324"/>
        <v>0</v>
      </c>
      <c r="JJ334" s="242">
        <f t="shared" si="2325"/>
        <v>0</v>
      </c>
      <c r="JK334" s="56"/>
      <c r="JN334" s="55">
        <f t="shared" si="2326"/>
        <v>46305</v>
      </c>
      <c r="JO334" s="56"/>
      <c r="JP334" s="242">
        <f>SUMPRODUCT(PRODUCE!$B331:$DY331,PRODUCE!$EB$37:$IY$37)</f>
        <v>0</v>
      </c>
      <c r="JQ334" s="56"/>
      <c r="JR334" s="242">
        <f t="shared" si="2327"/>
        <v>0</v>
      </c>
      <c r="JS334" s="242">
        <f t="shared" si="2328"/>
        <v>0</v>
      </c>
      <c r="JT334" s="56"/>
      <c r="JW334" s="55">
        <f t="shared" si="2329"/>
        <v>46305</v>
      </c>
      <c r="JX334" s="56"/>
      <c r="JY334" s="242">
        <f>SUMPRODUCT(PRODUCE!$B331:$DY331,PRODUCE!$EB$38:$IY$38)</f>
        <v>0</v>
      </c>
      <c r="JZ334" s="56"/>
      <c r="KA334" s="242">
        <f t="shared" si="2330"/>
        <v>0</v>
      </c>
      <c r="KB334" s="242">
        <f t="shared" si="2331"/>
        <v>2540</v>
      </c>
      <c r="KC334" s="56"/>
      <c r="KF334" s="55">
        <f t="shared" si="2332"/>
        <v>46305</v>
      </c>
      <c r="KG334" s="56"/>
      <c r="KH334" s="242">
        <f>SUMPRODUCT(PRODUCE!$B331:$DY331,PRODUCE!$EB$39:$IY$39)</f>
        <v>0</v>
      </c>
      <c r="KI334" s="56"/>
      <c r="KJ334" s="242">
        <f t="shared" si="2333"/>
        <v>0</v>
      </c>
      <c r="KK334" s="242">
        <f t="shared" si="2334"/>
        <v>2359.5</v>
      </c>
      <c r="KL334" s="56"/>
      <c r="KO334" s="55">
        <f t="shared" si="2335"/>
        <v>46305</v>
      </c>
      <c r="KP334" s="56"/>
      <c r="KQ334" s="242">
        <f>SUMPRODUCT(PRODUCE!$B331:$DY331,PRODUCE!$EB$40:$IY$40)</f>
        <v>0</v>
      </c>
      <c r="KR334" s="56"/>
      <c r="KS334" s="242">
        <f t="shared" si="2336"/>
        <v>0</v>
      </c>
      <c r="KT334" s="242">
        <f t="shared" si="2337"/>
        <v>1890</v>
      </c>
      <c r="KU334" s="56"/>
      <c r="KW334" s="23"/>
      <c r="KX334" s="55">
        <f t="shared" si="2338"/>
        <v>46305</v>
      </c>
      <c r="KY334" s="56"/>
      <c r="KZ334" s="242">
        <f>SUMPRODUCT(PRODUCE!$B331:$DY331,PRODUCE!$EB$41:$IY$41)</f>
        <v>0</v>
      </c>
      <c r="LA334" s="56"/>
      <c r="LB334" s="242">
        <f t="shared" si="2339"/>
        <v>0</v>
      </c>
      <c r="LC334" s="242">
        <f t="shared" si="2340"/>
        <v>3690</v>
      </c>
      <c r="LD334" s="56"/>
      <c r="LG334" s="55">
        <f t="shared" si="2341"/>
        <v>46305</v>
      </c>
      <c r="LH334" s="56"/>
      <c r="LI334" s="242">
        <f>SUMPRODUCT(PRODUCE!$B331:$DY331,PRODUCE!$EB$42:$IY$42)</f>
        <v>0</v>
      </c>
      <c r="LJ334" s="56"/>
      <c r="LK334" s="242">
        <f t="shared" si="2342"/>
        <v>0</v>
      </c>
      <c r="LL334" s="242">
        <f t="shared" si="2343"/>
        <v>4000</v>
      </c>
      <c r="LM334" s="56"/>
      <c r="LP334" s="55">
        <f t="shared" si="2344"/>
        <v>46305</v>
      </c>
      <c r="LQ334" s="56"/>
      <c r="LR334" s="242">
        <f>SUMPRODUCT(PRODUCE!$B331:$DY331,PRODUCE!$EB$43:$IY$43)</f>
        <v>0</v>
      </c>
      <c r="LS334" s="56"/>
      <c r="LT334" s="242">
        <f t="shared" si="2345"/>
        <v>0</v>
      </c>
      <c r="LU334" s="242">
        <f t="shared" si="2346"/>
        <v>0</v>
      </c>
      <c r="LV334" s="56"/>
      <c r="LY334" s="55">
        <f t="shared" si="2347"/>
        <v>46305</v>
      </c>
      <c r="LZ334" s="56"/>
      <c r="MA334" s="242">
        <f>SUMPRODUCT(PRODUCE!$B331:$DY331,PRODUCE!$EB$44:$IY$44)</f>
        <v>0</v>
      </c>
      <c r="MB334" s="56"/>
      <c r="MC334" s="242">
        <f t="shared" si="2348"/>
        <v>0</v>
      </c>
      <c r="MD334" s="242">
        <f t="shared" si="2349"/>
        <v>0</v>
      </c>
      <c r="ME334" s="56"/>
      <c r="MH334" s="55">
        <f t="shared" si="2350"/>
        <v>46305</v>
      </c>
      <c r="MI334" s="56"/>
      <c r="MJ334" s="242">
        <f>SUMPRODUCT(PRODUCE!$B331:$DY331,PRODUCE!$EB$45:$IY$45)</f>
        <v>0</v>
      </c>
      <c r="MK334" s="56"/>
      <c r="ML334" s="242">
        <f t="shared" si="2351"/>
        <v>0</v>
      </c>
      <c r="MM334" s="242">
        <f t="shared" si="2352"/>
        <v>0</v>
      </c>
      <c r="MN334" s="56"/>
      <c r="MQ334" s="55">
        <f t="shared" si="2353"/>
        <v>46305</v>
      </c>
      <c r="MR334" s="56"/>
      <c r="MS334" s="242">
        <f>SUMPRODUCT(PRODUCE!$B331:$DY331,PRODUCE!$EB$46:$IY$46)</f>
        <v>0</v>
      </c>
      <c r="MT334" s="56"/>
      <c r="MU334" s="242">
        <f t="shared" si="2354"/>
        <v>0</v>
      </c>
      <c r="MV334" s="242">
        <f t="shared" si="2355"/>
        <v>1625</v>
      </c>
      <c r="MW334" s="56"/>
      <c r="MZ334" s="55">
        <f t="shared" si="2356"/>
        <v>46305</v>
      </c>
      <c r="NA334" s="56"/>
      <c r="NB334" s="242">
        <f>SUMPRODUCT(PRODUCE!$B331:$DY331,PRODUCE!$EB$47:$IY$47)</f>
        <v>0</v>
      </c>
      <c r="NC334" s="56"/>
      <c r="ND334" s="242">
        <f t="shared" si="2357"/>
        <v>0</v>
      </c>
      <c r="NE334" s="242">
        <f t="shared" si="2358"/>
        <v>0</v>
      </c>
      <c r="NF334" s="56"/>
      <c r="NI334" s="55">
        <f t="shared" si="2359"/>
        <v>46305</v>
      </c>
      <c r="NJ334" s="56"/>
      <c r="NK334" s="242">
        <f>SUMPRODUCT(PRODUCE!$B331:$DY331,PRODUCE!$EB$48:$IY$48)</f>
        <v>0</v>
      </c>
      <c r="NL334" s="56"/>
      <c r="NM334" s="242">
        <f t="shared" si="2360"/>
        <v>0</v>
      </c>
      <c r="NN334" s="242">
        <f t="shared" si="2361"/>
        <v>1127</v>
      </c>
      <c r="NO334" s="56"/>
      <c r="NR334" s="55">
        <f t="shared" si="2362"/>
        <v>46305</v>
      </c>
      <c r="NS334" s="56"/>
      <c r="NT334" s="242">
        <f>SUMPRODUCT(PRODUCE!$B331:$DY331,PRODUCE!$EB$49:$IY$49)</f>
        <v>0</v>
      </c>
      <c r="NU334" s="56"/>
      <c r="NV334" s="242">
        <f t="shared" si="2363"/>
        <v>0</v>
      </c>
      <c r="NW334" s="242">
        <f t="shared" si="2364"/>
        <v>3111.9999999999995</v>
      </c>
      <c r="NX334" s="56"/>
      <c r="OA334" s="55">
        <f t="shared" si="2365"/>
        <v>46305</v>
      </c>
      <c r="OB334" s="56"/>
      <c r="OC334" s="242">
        <f>SUMPRODUCT(PRODUCE!$B331:$DY331,PRODUCE!$EB$50:$IY$50)</f>
        <v>0</v>
      </c>
      <c r="OD334" s="56"/>
      <c r="OE334" s="242">
        <f t="shared" si="2366"/>
        <v>0</v>
      </c>
      <c r="OF334" s="242">
        <f t="shared" si="2367"/>
        <v>1680.5</v>
      </c>
      <c r="OG334" s="56"/>
      <c r="OJ334" s="55">
        <f t="shared" si="2368"/>
        <v>46305</v>
      </c>
      <c r="OK334" s="56"/>
      <c r="OL334" s="242">
        <f>SUMPRODUCT(PRODUCE!$B331:$DY331,PRODUCE!$EB$51:$IY$51)</f>
        <v>0</v>
      </c>
      <c r="OM334" s="56"/>
      <c r="ON334" s="242">
        <f t="shared" si="2369"/>
        <v>0</v>
      </c>
      <c r="OO334" s="242">
        <f t="shared" si="2370"/>
        <v>0</v>
      </c>
      <c r="OP334" s="56"/>
      <c r="OS334" s="55">
        <f t="shared" si="2371"/>
        <v>46305</v>
      </c>
      <c r="OT334" s="56"/>
      <c r="OU334" s="242">
        <f>SUMPRODUCT(PRODUCE!$B331:$DY331,PRODUCE!$EB$52:$IY$52)</f>
        <v>0</v>
      </c>
      <c r="OV334" s="56"/>
      <c r="OW334" s="242">
        <f t="shared" si="2372"/>
        <v>0</v>
      </c>
      <c r="OX334" s="242">
        <f t="shared" si="2373"/>
        <v>1482</v>
      </c>
      <c r="OY334" s="56"/>
      <c r="PB334" s="55">
        <f t="shared" si="2374"/>
        <v>46305</v>
      </c>
      <c r="PC334" s="56"/>
      <c r="PD334" s="242">
        <f>SUMPRODUCT(PRODUCE!$B331:$DY331,PRODUCE!$EB$53:$IY$53)</f>
        <v>0</v>
      </c>
      <c r="PE334" s="56"/>
      <c r="PF334" s="242">
        <f t="shared" si="2375"/>
        <v>0</v>
      </c>
      <c r="PG334" s="242">
        <f t="shared" si="2376"/>
        <v>0</v>
      </c>
      <c r="PH334" s="56"/>
      <c r="PK334" s="55">
        <f t="shared" si="2377"/>
        <v>46305</v>
      </c>
      <c r="PL334" s="56"/>
      <c r="PM334" s="242">
        <f>SUMPRODUCT(PRODUCE!$B331:$DY331,PRODUCE!$EB$54:$IY$54)</f>
        <v>0</v>
      </c>
      <c r="PN334" s="56"/>
      <c r="PO334" s="242">
        <f t="shared" si="2378"/>
        <v>0</v>
      </c>
      <c r="PP334" s="242">
        <f t="shared" si="2379"/>
        <v>100</v>
      </c>
      <c r="PQ334" s="56"/>
      <c r="PT334" s="55">
        <f t="shared" si="2380"/>
        <v>46305</v>
      </c>
      <c r="PU334" s="56"/>
      <c r="PV334" s="242">
        <f>SUMPRODUCT(PRODUCE!$B331:$DY331,PRODUCE!$EB$55:$IY$55)</f>
        <v>0</v>
      </c>
      <c r="PW334" s="56"/>
      <c r="PX334" s="242">
        <f t="shared" si="2381"/>
        <v>0</v>
      </c>
      <c r="PY334" s="242">
        <f t="shared" si="2382"/>
        <v>13.960000000000036</v>
      </c>
      <c r="PZ334" s="56"/>
      <c r="QC334" s="55">
        <f t="shared" si="2383"/>
        <v>46305</v>
      </c>
      <c r="QD334" s="56"/>
      <c r="QE334" s="242">
        <f>SUMPRODUCT(PRODUCE!$B331:$DY331,PRODUCE!$EB$56:$IY$56)</f>
        <v>0</v>
      </c>
      <c r="QF334" s="56"/>
      <c r="QG334" s="242">
        <f t="shared" si="2384"/>
        <v>0</v>
      </c>
      <c r="QH334" s="242">
        <f t="shared" si="2385"/>
        <v>548</v>
      </c>
      <c r="QI334" s="56"/>
      <c r="QL334" s="55">
        <f t="shared" si="2386"/>
        <v>46305</v>
      </c>
      <c r="QM334" s="56"/>
      <c r="QN334" s="242">
        <f>SUMPRODUCT(PRODUCE!$B331:$DY331,PRODUCE!$EB$57:$IY$57)</f>
        <v>0</v>
      </c>
      <c r="QO334" s="56"/>
      <c r="QP334" s="242">
        <f t="shared" si="2387"/>
        <v>0</v>
      </c>
      <c r="QQ334" s="242">
        <f t="shared" si="2388"/>
        <v>0</v>
      </c>
      <c r="QR334" s="56"/>
      <c r="QU334" s="55">
        <f t="shared" si="2389"/>
        <v>46305</v>
      </c>
      <c r="QV334" s="56"/>
      <c r="QW334" s="242">
        <f>SUMPRODUCT(PRODUCE!$B331:$DY331,PRODUCE!$EB$57:$IY$57)</f>
        <v>0</v>
      </c>
      <c r="QX334" s="56"/>
      <c r="QY334" s="242">
        <f t="shared" si="2390"/>
        <v>0</v>
      </c>
      <c r="QZ334" s="242">
        <f t="shared" si="2391"/>
        <v>0</v>
      </c>
      <c r="RA334" s="56"/>
      <c r="RD334" s="55">
        <f t="shared" si="2392"/>
        <v>46305</v>
      </c>
      <c r="RE334" s="56"/>
      <c r="RF334" s="242">
        <f>SUMPRODUCT(PRODUCE!$B331:$DY331,PRODUCE!$EB$58:$IY$58)</f>
        <v>0</v>
      </c>
      <c r="RG334" s="56"/>
      <c r="RH334" s="242">
        <f t="shared" si="2393"/>
        <v>0</v>
      </c>
      <c r="RI334" s="242">
        <f t="shared" si="2394"/>
        <v>147.04000000000002</v>
      </c>
      <c r="RJ334" s="56"/>
      <c r="RM334" s="55">
        <f t="shared" si="2395"/>
        <v>46305</v>
      </c>
      <c r="RN334" s="56"/>
      <c r="RO334" s="242">
        <f>SUMPRODUCT(PRODUCE!$B331:$DY331,PRODUCE!$EB$57:$IY$57)</f>
        <v>0</v>
      </c>
      <c r="RP334" s="56"/>
      <c r="RQ334" s="242">
        <f t="shared" si="2396"/>
        <v>0</v>
      </c>
      <c r="RR334" s="242">
        <f t="shared" si="2397"/>
        <v>46.8</v>
      </c>
      <c r="RS334" s="56"/>
      <c r="RV334" s="55">
        <f t="shared" si="2398"/>
        <v>46305</v>
      </c>
      <c r="RW334" s="56"/>
      <c r="RX334" s="242">
        <f>SUMPRODUCT(PRODUCE!$B331:$DY331,PRODUCE!$EB$57:$IY$57)</f>
        <v>0</v>
      </c>
      <c r="RY334" s="56"/>
      <c r="RZ334" s="242">
        <f t="shared" si="2399"/>
        <v>0</v>
      </c>
      <c r="SA334" s="242">
        <f t="shared" si="2400"/>
        <v>0</v>
      </c>
      <c r="SB334" s="56"/>
      <c r="SE334" s="55">
        <f t="shared" si="2401"/>
        <v>46305</v>
      </c>
      <c r="SF334" s="56"/>
      <c r="SG334" s="242">
        <f>SUMPRODUCT(PRODUCE!$B331:$DY331,PRODUCE!$EB$61:$IY$61)</f>
        <v>0</v>
      </c>
      <c r="SH334" s="56"/>
      <c r="SI334" s="242">
        <f t="shared" si="2402"/>
        <v>0</v>
      </c>
      <c r="SJ334" s="242">
        <f t="shared" si="2403"/>
        <v>24.200000000000003</v>
      </c>
      <c r="SK334" s="56"/>
      <c r="SN334" s="55">
        <f t="shared" si="2404"/>
        <v>46305</v>
      </c>
      <c r="SO334" s="56"/>
      <c r="SP334" s="242">
        <f>SUMPRODUCT(PRODUCE!$B331:$DY331,PRODUCE!$EB$57:$IY$57)</f>
        <v>0</v>
      </c>
      <c r="SQ334" s="56"/>
      <c r="SR334" s="242">
        <f t="shared" si="2405"/>
        <v>0</v>
      </c>
      <c r="SS334" s="242">
        <f t="shared" si="2406"/>
        <v>32</v>
      </c>
      <c r="ST334" s="56"/>
      <c r="SW334" s="55">
        <f t="shared" si="2407"/>
        <v>46305</v>
      </c>
      <c r="SX334" s="56"/>
      <c r="SY334" s="242">
        <f>SUMPRODUCT(PRODUCE!$B331:$DY331,PRODUCE!$EB$57:$IY$57)</f>
        <v>0</v>
      </c>
      <c r="SZ334" s="56"/>
      <c r="TA334" s="242">
        <f t="shared" si="2408"/>
        <v>0</v>
      </c>
      <c r="TB334" s="242">
        <f t="shared" si="2409"/>
        <v>0</v>
      </c>
      <c r="TC334" s="56"/>
      <c r="TF334" s="55">
        <f t="shared" si="2410"/>
        <v>46305</v>
      </c>
      <c r="TG334" s="56"/>
      <c r="TH334" s="242">
        <f>SUMPRODUCT(PRODUCE!$B331:$DY331,PRODUCE!$EB$57:$IY$57)</f>
        <v>0</v>
      </c>
      <c r="TI334" s="56"/>
      <c r="TJ334" s="242">
        <f t="shared" si="2411"/>
        <v>0</v>
      </c>
      <c r="TK334" s="242">
        <f t="shared" si="2412"/>
        <v>0</v>
      </c>
      <c r="TL334" s="56"/>
      <c r="TO334" s="55">
        <f t="shared" si="2413"/>
        <v>46305</v>
      </c>
      <c r="TP334" s="56"/>
      <c r="TQ334" s="242">
        <f>SUMPRODUCT(PRODUCE!$B331:$DY331,PRODUCE!$EB$57:$IY$57)</f>
        <v>0</v>
      </c>
      <c r="TR334" s="56"/>
      <c r="TS334" s="242">
        <f t="shared" si="2414"/>
        <v>0</v>
      </c>
      <c r="TT334" s="242">
        <f t="shared" si="2415"/>
        <v>0</v>
      </c>
      <c r="TU334" s="56"/>
      <c r="TX334" s="55">
        <f t="shared" si="2416"/>
        <v>46305</v>
      </c>
      <c r="TY334" s="56"/>
      <c r="TZ334" s="242">
        <f>SUMPRODUCT(PRODUCE!$B331:$DY331,PRODUCE!$EB$57:$IY$57)</f>
        <v>0</v>
      </c>
      <c r="UA334" s="56"/>
      <c r="UB334" s="242">
        <f t="shared" si="2417"/>
        <v>0</v>
      </c>
      <c r="UC334" s="242">
        <f t="shared" si="2418"/>
        <v>46.799999999999983</v>
      </c>
      <c r="UD334" s="56"/>
      <c r="UG334" s="55">
        <f t="shared" si="2419"/>
        <v>46305</v>
      </c>
      <c r="UH334" s="56"/>
      <c r="UI334" s="242">
        <f>SUMPRODUCT(PRODUCE!$B331:$DY331,PRODUCE!$EB$57:$IY$57)</f>
        <v>0</v>
      </c>
      <c r="UJ334" s="56"/>
      <c r="UK334" s="242">
        <f t="shared" si="2420"/>
        <v>0</v>
      </c>
      <c r="UL334" s="242">
        <f t="shared" si="2421"/>
        <v>204</v>
      </c>
      <c r="UM334" s="56"/>
      <c r="UP334" s="55">
        <f t="shared" si="2422"/>
        <v>46305</v>
      </c>
      <c r="UQ334" s="56"/>
      <c r="UR334" s="242">
        <f>SUMPRODUCT(PRODUCE!$B331:$DY331,PRODUCE!$EB$57:$IY$57)</f>
        <v>0</v>
      </c>
      <c r="US334" s="56"/>
      <c r="UT334" s="242">
        <f t="shared" si="2423"/>
        <v>0</v>
      </c>
      <c r="UU334" s="242">
        <f t="shared" si="2424"/>
        <v>202.5</v>
      </c>
      <c r="UV334" s="56"/>
      <c r="UY334" s="55">
        <f t="shared" si="2425"/>
        <v>46305</v>
      </c>
      <c r="UZ334" s="56"/>
      <c r="VA334" s="242">
        <f>SUMPRODUCT(PRODUCE!$B331:$DY331,PRODUCE!$EB$57:$IY$57)</f>
        <v>0</v>
      </c>
      <c r="VB334" s="56"/>
      <c r="VC334" s="242">
        <f t="shared" si="2426"/>
        <v>0</v>
      </c>
      <c r="VD334" s="242">
        <f t="shared" si="2427"/>
        <v>41.600000000000023</v>
      </c>
      <c r="VE334" s="56"/>
      <c r="VH334" s="55">
        <f t="shared" si="2428"/>
        <v>46305</v>
      </c>
      <c r="VI334" s="56"/>
      <c r="VJ334" s="242">
        <f>SUMPRODUCT(PRODUCE!$B331:$DY331,PRODUCE!$EB$57:$IY$57)</f>
        <v>0</v>
      </c>
      <c r="VK334" s="56"/>
      <c r="VL334" s="242">
        <f t="shared" si="2429"/>
        <v>0</v>
      </c>
      <c r="VM334" s="242">
        <f t="shared" si="2430"/>
        <v>210</v>
      </c>
      <c r="VN334" s="56"/>
      <c r="VQ334" s="55">
        <f t="shared" si="2431"/>
        <v>46305</v>
      </c>
      <c r="VR334" s="56"/>
      <c r="VS334" s="242">
        <f>SUMPRODUCT(PRODUCE!$B331:$DY331,PRODUCE!$EB$57:$IY$57)</f>
        <v>0</v>
      </c>
      <c r="VT334" s="56"/>
      <c r="VU334" s="242">
        <f t="shared" si="2432"/>
        <v>0</v>
      </c>
      <c r="VV334" s="242">
        <f t="shared" si="2433"/>
        <v>0</v>
      </c>
      <c r="VW334" s="56"/>
      <c r="VZ334" s="55">
        <f t="shared" si="2434"/>
        <v>46305</v>
      </c>
      <c r="WA334" s="56"/>
      <c r="WB334" s="242">
        <f>SUMPRODUCT(PRODUCE!$B331:$DY331,PRODUCE!$EB$57:$IY$57)</f>
        <v>0</v>
      </c>
      <c r="WC334" s="56"/>
      <c r="WD334" s="242">
        <f t="shared" si="2435"/>
        <v>0</v>
      </c>
      <c r="WE334" s="242">
        <f t="shared" si="2436"/>
        <v>0</v>
      </c>
      <c r="WF334" s="56"/>
      <c r="WI334" s="55">
        <f t="shared" si="2437"/>
        <v>46305</v>
      </c>
      <c r="WJ334" s="56"/>
      <c r="WK334" s="242">
        <f>SUMPRODUCT(PRODUCE!$B331:$DY331,PRODUCE!$EB$57:$IY$57)</f>
        <v>0</v>
      </c>
      <c r="WL334" s="56"/>
      <c r="WM334" s="242">
        <f t="shared" si="2438"/>
        <v>0</v>
      </c>
      <c r="WN334" s="242">
        <f t="shared" si="2439"/>
        <v>1057</v>
      </c>
      <c r="WO334" s="56"/>
      <c r="WR334" s="55">
        <f t="shared" si="2440"/>
        <v>46305</v>
      </c>
      <c r="WS334" s="56"/>
      <c r="WT334" s="242">
        <f>SUMPRODUCT(PRODUCE!$B331:$DY331,PRODUCE!$EB$57:$IY$57)</f>
        <v>0</v>
      </c>
      <c r="WU334" s="56"/>
      <c r="WV334" s="242">
        <f t="shared" si="2441"/>
        <v>0</v>
      </c>
      <c r="WW334" s="242">
        <f t="shared" si="2442"/>
        <v>0</v>
      </c>
      <c r="WX334" s="56"/>
      <c r="XA334" s="55">
        <f t="shared" si="2443"/>
        <v>46305</v>
      </c>
      <c r="XB334" s="56"/>
      <c r="XC334" s="242">
        <f>SUMPRODUCT(PRODUCE!$B331:$DY331,PRODUCE!$EB$57:$IY$57)</f>
        <v>0</v>
      </c>
      <c r="XD334" s="56"/>
      <c r="XE334" s="242">
        <f t="shared" si="2444"/>
        <v>0</v>
      </c>
      <c r="XF334" s="242">
        <f t="shared" si="2445"/>
        <v>7507</v>
      </c>
      <c r="XG334" s="56"/>
      <c r="XJ334" s="55">
        <f t="shared" si="2446"/>
        <v>46305</v>
      </c>
      <c r="XK334" s="56"/>
      <c r="XL334" s="242">
        <f>SUMPRODUCT(PRODUCE!$B331:$DY331,PRODUCE!$EB$57:$IY$57)</f>
        <v>0</v>
      </c>
      <c r="XM334" s="56"/>
      <c r="XN334" s="242">
        <f t="shared" si="2447"/>
        <v>0</v>
      </c>
      <c r="XO334" s="242">
        <f t="shared" si="2448"/>
        <v>4252</v>
      </c>
      <c r="XP334" s="56"/>
      <c r="XS334" s="55">
        <f t="shared" si="2449"/>
        <v>46305</v>
      </c>
      <c r="XT334" s="56"/>
      <c r="XU334" s="242">
        <f>SUMPRODUCT(PRODUCE!$B331:$DY331,PRODUCE!$EB$57:$IY$57)</f>
        <v>0</v>
      </c>
      <c r="XV334" s="56"/>
      <c r="XW334" s="242">
        <f t="shared" si="2450"/>
        <v>0</v>
      </c>
      <c r="XX334" s="242">
        <f t="shared" si="2451"/>
        <v>2179</v>
      </c>
      <c r="XY334" s="56"/>
      <c r="YB334" s="55">
        <f t="shared" si="2452"/>
        <v>46305</v>
      </c>
      <c r="YC334" s="56"/>
      <c r="YD334" s="242">
        <f>SUMPRODUCT(PRODUCE!$B331:$DY331,PRODUCE!$EB$57:$IY$57)</f>
        <v>0</v>
      </c>
      <c r="YE334" s="56"/>
      <c r="YF334" s="242">
        <f t="shared" si="2453"/>
        <v>0</v>
      </c>
      <c r="YG334" s="242">
        <f t="shared" si="2454"/>
        <v>4019</v>
      </c>
      <c r="YH334" s="56"/>
      <c r="YK334" s="55">
        <f t="shared" si="2455"/>
        <v>46305</v>
      </c>
      <c r="YL334" s="56"/>
      <c r="YM334" s="242">
        <f>SUMPRODUCT(PRODUCE!$B331:$DY331,PRODUCE!$EB$57:$IY$57)</f>
        <v>0</v>
      </c>
      <c r="YN334" s="56"/>
      <c r="YO334" s="242">
        <f t="shared" si="2456"/>
        <v>0</v>
      </c>
      <c r="YP334" s="242">
        <f t="shared" si="2457"/>
        <v>-218</v>
      </c>
      <c r="YQ334" s="56"/>
      <c r="YT334" s="55">
        <f t="shared" si="2458"/>
        <v>46305</v>
      </c>
      <c r="YU334" s="56"/>
      <c r="YV334" s="242">
        <f>SUMPRODUCT(PRODUCE!$B331:$DY331,PRODUCE!$EB$57:$IY$57)</f>
        <v>0</v>
      </c>
      <c r="YW334" s="56"/>
      <c r="YX334" s="242">
        <f t="shared" si="2459"/>
        <v>0</v>
      </c>
      <c r="YY334" s="242">
        <f t="shared" si="2460"/>
        <v>0</v>
      </c>
      <c r="YZ334" s="56"/>
      <c r="ZC334" s="55">
        <f t="shared" si="2461"/>
        <v>46305</v>
      </c>
      <c r="ZD334" s="56"/>
      <c r="ZE334" s="242">
        <f>SUMPRODUCT(PRODUCE!$B331:$DY331,PRODUCE!$EB$57:$IY$57)</f>
        <v>0</v>
      </c>
      <c r="ZF334" s="56"/>
      <c r="ZG334" s="242">
        <f t="shared" si="2462"/>
        <v>0</v>
      </c>
      <c r="ZH334" s="242">
        <f t="shared" si="2463"/>
        <v>0</v>
      </c>
      <c r="ZI334" s="56"/>
      <c r="ZL334" s="55">
        <f t="shared" si="2464"/>
        <v>46305</v>
      </c>
      <c r="ZM334" s="56"/>
      <c r="ZN334" s="242">
        <f>SUMPRODUCT(PRODUCE!$B331:$DY331,PRODUCE!$EB$57:$IY$57)</f>
        <v>0</v>
      </c>
      <c r="ZO334" s="56"/>
      <c r="ZP334" s="242">
        <f t="shared" si="2465"/>
        <v>0</v>
      </c>
      <c r="ZQ334" s="242">
        <f t="shared" si="2466"/>
        <v>0</v>
      </c>
      <c r="ZR334" s="56"/>
      <c r="ZU334" s="55">
        <f t="shared" si="2467"/>
        <v>46305</v>
      </c>
      <c r="ZV334" s="56"/>
      <c r="ZW334" s="242">
        <f>SUMPRODUCT(PRODUCE!$B331:$DY331,PRODUCE!$EB$57:$IY$57)</f>
        <v>0</v>
      </c>
      <c r="ZX334" s="56"/>
      <c r="ZY334" s="242">
        <f t="shared" si="2468"/>
        <v>0</v>
      </c>
      <c r="ZZ334" s="242">
        <f t="shared" si="2469"/>
        <v>0</v>
      </c>
      <c r="AAA334" s="56"/>
      <c r="AAD334" s="55">
        <f t="shared" si="2470"/>
        <v>46305</v>
      </c>
      <c r="AAE334" s="56"/>
      <c r="AAF334" s="242">
        <f>SUMPRODUCT(PRODUCE!$B331:$DY331,PRODUCE!$EB$57:$IY$57)</f>
        <v>0</v>
      </c>
      <c r="AAG334" s="56"/>
      <c r="AAH334" s="242">
        <f t="shared" si="2471"/>
        <v>0</v>
      </c>
      <c r="AAI334" s="242">
        <f t="shared" si="2472"/>
        <v>0</v>
      </c>
      <c r="AAJ334" s="56"/>
      <c r="AAM334" s="55">
        <f t="shared" si="2473"/>
        <v>46305</v>
      </c>
      <c r="AAN334" s="56"/>
      <c r="AAO334" s="242">
        <f>SUMPRODUCT(PRODUCE!$B331:$DY331,PRODUCE!$EB$57:$IY$57)</f>
        <v>0</v>
      </c>
      <c r="AAP334" s="56"/>
      <c r="AAQ334" s="242">
        <f t="shared" si="2474"/>
        <v>0</v>
      </c>
      <c r="AAR334" s="242">
        <f t="shared" si="2475"/>
        <v>0</v>
      </c>
      <c r="AAS334" s="56"/>
      <c r="AAV334" s="55">
        <f t="shared" si="2476"/>
        <v>46305</v>
      </c>
      <c r="AAW334" s="56"/>
      <c r="AAX334" s="242">
        <f>SUMPRODUCT(PRODUCE!$B331:$DY331,PRODUCE!$EB$57:$IY$57)</f>
        <v>0</v>
      </c>
      <c r="AAY334" s="56"/>
      <c r="AAZ334" s="242">
        <f t="shared" si="2477"/>
        <v>0</v>
      </c>
      <c r="ABA334" s="242">
        <f t="shared" si="2478"/>
        <v>0</v>
      </c>
      <c r="ABB334" s="56"/>
      <c r="ABE334" s="55">
        <f t="shared" si="2479"/>
        <v>46305</v>
      </c>
      <c r="ABF334" s="56"/>
      <c r="ABG334" s="242">
        <f>SUMPRODUCT(PRODUCE!$B331:$DY331,PRODUCE!$EB$57:$IY$57)</f>
        <v>0</v>
      </c>
      <c r="ABH334" s="56"/>
      <c r="ABI334" s="242">
        <f t="shared" si="2480"/>
        <v>0</v>
      </c>
      <c r="ABJ334" s="242">
        <f t="shared" si="2481"/>
        <v>0</v>
      </c>
      <c r="ABK334" s="56"/>
    </row>
    <row r="335" spans="1:739" s="54" customFormat="1" ht="15" customHeight="1" outlineLevel="1">
      <c r="B335" s="478"/>
      <c r="C335" s="55">
        <v>46306</v>
      </c>
      <c r="D335" s="56"/>
      <c r="E335" s="57">
        <f>SUMPRODUCT(PRODUCE!$B332:$DY332,PRODUCE!$EB$7:$IY$7)</f>
        <v>0</v>
      </c>
      <c r="F335" s="56"/>
      <c r="G335" s="57">
        <f t="shared" si="2237"/>
        <v>0</v>
      </c>
      <c r="H335" s="57">
        <f t="shared" si="2238"/>
        <v>236936.6</v>
      </c>
      <c r="I335" s="289"/>
      <c r="L335" s="55">
        <f t="shared" si="2239"/>
        <v>46306</v>
      </c>
      <c r="M335" s="56"/>
      <c r="N335" s="59">
        <f>SUMPRODUCT(PRODUCE!$B332:$DY332,PRODUCE!$EB$8:$IY$8)</f>
        <v>0</v>
      </c>
      <c r="O335" s="56"/>
      <c r="P335" s="59">
        <f t="shared" si="2240"/>
        <v>0</v>
      </c>
      <c r="Q335" s="59">
        <f t="shared" si="2241"/>
        <v>53017.600000000071</v>
      </c>
      <c r="R335" s="56"/>
      <c r="U335" s="55">
        <f t="shared" si="2242"/>
        <v>46306</v>
      </c>
      <c r="V335" s="56"/>
      <c r="W335" s="60">
        <f>SUMPRODUCT(PRODUCE!$B332:$DY332,PRODUCE!$EB$9:$IY$9)</f>
        <v>0</v>
      </c>
      <c r="X335" s="56"/>
      <c r="Y335" s="60">
        <f t="shared" si="2243"/>
        <v>0</v>
      </c>
      <c r="Z335" s="60">
        <f t="shared" si="2244"/>
        <v>42674.199999999968</v>
      </c>
      <c r="AA335" s="56"/>
      <c r="AD335" s="55">
        <f t="shared" si="2245"/>
        <v>46306</v>
      </c>
      <c r="AE335" s="56"/>
      <c r="AF335" s="61">
        <f>SUMPRODUCT(PRODUCE!$B332:$DY332,PRODUCE!$EB$10:$IY$10)</f>
        <v>0</v>
      </c>
      <c r="AG335" s="56"/>
      <c r="AH335" s="61">
        <f t="shared" si="2246"/>
        <v>0</v>
      </c>
      <c r="AI335" s="61">
        <f t="shared" si="2247"/>
        <v>4522.2000000000189</v>
      </c>
      <c r="AJ335" s="56"/>
      <c r="AM335" s="55">
        <f t="shared" si="2248"/>
        <v>46306</v>
      </c>
      <c r="AN335" s="422"/>
      <c r="AO335" s="444">
        <f>SUMPRODUCT(PRODUCE!$B332:$DY332,PRODUCE!$EB$11:$IY$11)</f>
        <v>0</v>
      </c>
      <c r="AP335" s="422"/>
      <c r="AQ335" s="444">
        <f t="shared" si="2249"/>
        <v>0</v>
      </c>
      <c r="AR335" s="444">
        <f t="shared" si="2250"/>
        <v>0</v>
      </c>
      <c r="AS335" s="56"/>
      <c r="AV335" s="55">
        <f t="shared" si="2251"/>
        <v>46306</v>
      </c>
      <c r="AW335" s="56"/>
      <c r="AX335" s="62">
        <f>SUMPRODUCT(PRODUCE!$B332:$DY332,PRODUCE!$EB$12:$IY$12)</f>
        <v>0</v>
      </c>
      <c r="AY335" s="56"/>
      <c r="AZ335" s="62">
        <f t="shared" si="2252"/>
        <v>0</v>
      </c>
      <c r="BA335" s="62">
        <f t="shared" si="2253"/>
        <v>124.99999999999523</v>
      </c>
      <c r="BB335" s="56"/>
      <c r="BE335" s="55">
        <f t="shared" si="2254"/>
        <v>46306</v>
      </c>
      <c r="BF335" s="56"/>
      <c r="BG335" s="63">
        <f>SUMPRODUCT(PRODUCE!$B332:$DY332,PRODUCE!$EB$13:$IY$13)</f>
        <v>0</v>
      </c>
      <c r="BH335" s="56"/>
      <c r="BI335" s="63">
        <f t="shared" si="2255"/>
        <v>0</v>
      </c>
      <c r="BJ335" s="63">
        <f t="shared" si="2256"/>
        <v>26151.899999999998</v>
      </c>
      <c r="BK335" s="56"/>
      <c r="BN335" s="55">
        <f t="shared" si="2257"/>
        <v>46306</v>
      </c>
      <c r="BO335" s="56"/>
      <c r="BP335" s="64">
        <f>SUMPRODUCT(PRODUCE!$B332:$DY332,PRODUCE!$EB$14:$IY$14)</f>
        <v>0</v>
      </c>
      <c r="BQ335" s="56"/>
      <c r="BR335" s="64">
        <f t="shared" si="2258"/>
        <v>0</v>
      </c>
      <c r="BS335" s="64">
        <f t="shared" si="2259"/>
        <v>0</v>
      </c>
      <c r="BT335" s="56"/>
      <c r="BW335" s="55">
        <f t="shared" si="2260"/>
        <v>46306</v>
      </c>
      <c r="BX335" s="56"/>
      <c r="BY335" s="65">
        <f>SUMPRODUCT(PRODUCE!$B332:$DY332,PRODUCE!$EB$15:$IY$15)</f>
        <v>0</v>
      </c>
      <c r="BZ335" s="56"/>
      <c r="CA335" s="65">
        <f t="shared" si="2261"/>
        <v>0</v>
      </c>
      <c r="CB335" s="65">
        <f t="shared" si="2262"/>
        <v>2097.3399999999992</v>
      </c>
      <c r="CC335" s="56"/>
      <c r="CF335" s="55">
        <f t="shared" si="2263"/>
        <v>46306</v>
      </c>
      <c r="CG335" s="56"/>
      <c r="CH335" s="66">
        <f>SUMPRODUCT(PRODUCE!$B332:$DY332,PRODUCE!$EB$16:$IY$16)</f>
        <v>0</v>
      </c>
      <c r="CI335" s="56"/>
      <c r="CJ335" s="66">
        <f t="shared" si="2264"/>
        <v>0</v>
      </c>
      <c r="CK335" s="66">
        <f t="shared" si="2265"/>
        <v>-10277.079999999998</v>
      </c>
      <c r="CL335" s="56"/>
      <c r="CO335" s="55">
        <f t="shared" si="2266"/>
        <v>46306</v>
      </c>
      <c r="CP335" s="422"/>
      <c r="CQ335" s="470">
        <f>SUMPRODUCT(PRODUCE!$B332:$DY332,PRODUCE!$EB$17:$IY$17)</f>
        <v>0</v>
      </c>
      <c r="CR335" s="422"/>
      <c r="CS335" s="470">
        <f t="shared" si="2267"/>
        <v>0</v>
      </c>
      <c r="CT335" s="470">
        <f t="shared" si="2268"/>
        <v>0</v>
      </c>
      <c r="CU335" s="56"/>
      <c r="CX335" s="55">
        <f t="shared" si="2269"/>
        <v>46306</v>
      </c>
      <c r="CY335" s="56"/>
      <c r="CZ335" s="133">
        <f>SUMPRODUCT(PRODUCE!$B332:$DY332,PRODUCE!$EB$18:$IY$18)</f>
        <v>0</v>
      </c>
      <c r="DA335" s="56"/>
      <c r="DB335" s="133">
        <f t="shared" si="2270"/>
        <v>0</v>
      </c>
      <c r="DC335" s="133">
        <f t="shared" si="2271"/>
        <v>27438.200000000012</v>
      </c>
      <c r="DD335" s="56"/>
      <c r="DG335" s="55">
        <f t="shared" si="2272"/>
        <v>46306</v>
      </c>
      <c r="DH335" s="56"/>
      <c r="DI335" s="147">
        <f>SUMPRODUCT(PRODUCE!$B332:$DY332,PRODUCE!$EB$19:$IY$19)</f>
        <v>0</v>
      </c>
      <c r="DJ335" s="56"/>
      <c r="DK335" s="147">
        <f t="shared" si="2273"/>
        <v>0</v>
      </c>
      <c r="DL335" s="147">
        <f t="shared" si="2274"/>
        <v>18782.299999999981</v>
      </c>
      <c r="DM335" s="56"/>
      <c r="DP335" s="55">
        <f t="shared" si="2275"/>
        <v>46306</v>
      </c>
      <c r="DQ335" s="56"/>
      <c r="DR335" s="57">
        <f>SUMPRODUCT(PRODUCE!$B332:$DY332,PRODUCE!$EB$20:$IY$20)</f>
        <v>0</v>
      </c>
      <c r="DS335" s="56"/>
      <c r="DT335" s="57">
        <f t="shared" si="2276"/>
        <v>0</v>
      </c>
      <c r="DU335" s="57">
        <f t="shared" si="2277"/>
        <v>5800</v>
      </c>
      <c r="DV335" s="56"/>
      <c r="DY335" s="55">
        <f t="shared" si="2278"/>
        <v>46306</v>
      </c>
      <c r="DZ335" s="56"/>
      <c r="EA335" s="157">
        <f>SUMPRODUCT(PRODUCE!$B332:$DY332,PRODUCE!$EB$21:$IY$21)</f>
        <v>0</v>
      </c>
      <c r="EB335" s="56"/>
      <c r="EC335" s="157">
        <f t="shared" si="2279"/>
        <v>0</v>
      </c>
      <c r="ED335" s="157">
        <f t="shared" si="2280"/>
        <v>0</v>
      </c>
      <c r="EE335" s="56"/>
      <c r="EH335" s="55">
        <f t="shared" si="2281"/>
        <v>46306</v>
      </c>
      <c r="EI335" s="56"/>
      <c r="EJ335" s="162">
        <f>SUMPRODUCT(PRODUCE!$B332:$DY332,PRODUCE!$EB$22:$IY$22)</f>
        <v>0</v>
      </c>
      <c r="EK335" s="56"/>
      <c r="EL335" s="162">
        <f t="shared" si="2282"/>
        <v>0</v>
      </c>
      <c r="EM335" s="162">
        <f t="shared" si="2283"/>
        <v>0</v>
      </c>
      <c r="EN335" s="56"/>
      <c r="EQ335" s="55">
        <f t="shared" si="2284"/>
        <v>46306</v>
      </c>
      <c r="ER335" s="56"/>
      <c r="ES335" s="135">
        <f>SUMPRODUCT(PRODUCE!$B332:$DY332,PRODUCE!$EB$23:$IY$23)</f>
        <v>0</v>
      </c>
      <c r="ET335" s="56"/>
      <c r="EU335" s="135">
        <f t="shared" si="2285"/>
        <v>0</v>
      </c>
      <c r="EV335" s="135">
        <f t="shared" si="2286"/>
        <v>0</v>
      </c>
      <c r="EW335" s="56"/>
      <c r="EZ335" s="55">
        <f t="shared" si="2287"/>
        <v>46306</v>
      </c>
      <c r="FA335" s="56"/>
      <c r="FB335" s="175">
        <f>SUMPRODUCT(PRODUCE!$B332:$DY332,PRODUCE!$EB$24:$IY$24)</f>
        <v>0</v>
      </c>
      <c r="FC335" s="56"/>
      <c r="FD335" s="175">
        <f t="shared" si="2288"/>
        <v>0</v>
      </c>
      <c r="FE335" s="175">
        <f t="shared" si="2289"/>
        <v>0</v>
      </c>
      <c r="FF335" s="56"/>
      <c r="FI335" s="55">
        <f t="shared" si="2290"/>
        <v>46306</v>
      </c>
      <c r="FJ335" s="56"/>
      <c r="FK335" s="183">
        <f>SUMPRODUCT(PRODUCE!$B332:$DY332,PRODUCE!$EB$25:$IY$25)</f>
        <v>0</v>
      </c>
      <c r="FL335" s="56"/>
      <c r="FM335" s="183">
        <f t="shared" si="2291"/>
        <v>0</v>
      </c>
      <c r="FN335" s="183">
        <f t="shared" si="2292"/>
        <v>0</v>
      </c>
      <c r="FO335" s="56"/>
      <c r="FR335" s="55">
        <f t="shared" si="2293"/>
        <v>46306</v>
      </c>
      <c r="FS335" s="56"/>
      <c r="FT335" s="186">
        <f>SUMPRODUCT(PRODUCE!$B332:$DY332,PRODUCE!$EB$26:$IY$26)</f>
        <v>0</v>
      </c>
      <c r="FU335" s="56"/>
      <c r="FV335" s="186">
        <f t="shared" si="2294"/>
        <v>0</v>
      </c>
      <c r="FW335" s="186">
        <f t="shared" si="2295"/>
        <v>2020</v>
      </c>
      <c r="FX335" s="56"/>
      <c r="GA335" s="55">
        <f t="shared" si="2296"/>
        <v>46306</v>
      </c>
      <c r="GB335" s="56"/>
      <c r="GC335" s="137">
        <f>SUMPRODUCT(PRODUCE!$B332:$DY332,PRODUCE!$EB$27:$IY$27)</f>
        <v>0</v>
      </c>
      <c r="GD335" s="56"/>
      <c r="GE335" s="137">
        <f t="shared" si="2297"/>
        <v>0</v>
      </c>
      <c r="GF335" s="137">
        <f t="shared" si="2298"/>
        <v>960</v>
      </c>
      <c r="GG335" s="56"/>
      <c r="GI335" s="23"/>
      <c r="GJ335" s="55">
        <f t="shared" si="2299"/>
        <v>46306</v>
      </c>
      <c r="GK335" s="56"/>
      <c r="GL335" s="199">
        <f>SUMPRODUCT(PRODUCE!$B332:$DY332,PRODUCE!$EB$28:$IY$28)</f>
        <v>0</v>
      </c>
      <c r="GM335" s="56"/>
      <c r="GN335" s="199">
        <f t="shared" si="2300"/>
        <v>0</v>
      </c>
      <c r="GO335" s="199">
        <f t="shared" si="2301"/>
        <v>1760</v>
      </c>
      <c r="GP335" s="56"/>
      <c r="GS335" s="55">
        <f t="shared" si="2302"/>
        <v>46306</v>
      </c>
      <c r="GT335" s="56"/>
      <c r="GU335" s="195">
        <f>SUMPRODUCT(PRODUCE!$B332:$DY332,PRODUCE!$EB$29:$IY$29)</f>
        <v>0</v>
      </c>
      <c r="GV335" s="56"/>
      <c r="GW335" s="195">
        <f t="shared" si="2303"/>
        <v>0</v>
      </c>
      <c r="GX335" s="195">
        <f t="shared" si="2304"/>
        <v>400</v>
      </c>
      <c r="GY335" s="56"/>
      <c r="HB335" s="55">
        <f t="shared" si="2305"/>
        <v>46306</v>
      </c>
      <c r="HC335" s="56"/>
      <c r="HD335" s="191">
        <f>SUMPRODUCT(PRODUCE!$B332:$DY332,PRODUCE!$EB$30:$IY$30)</f>
        <v>0</v>
      </c>
      <c r="HE335" s="56"/>
      <c r="HF335" s="191">
        <f t="shared" si="2306"/>
        <v>0</v>
      </c>
      <c r="HG335" s="191">
        <f t="shared" si="2307"/>
        <v>3600</v>
      </c>
      <c r="HH335" s="56"/>
      <c r="HK335" s="55">
        <f t="shared" si="2308"/>
        <v>46306</v>
      </c>
      <c r="HL335" s="56"/>
      <c r="HM335" s="63">
        <f>SUMPRODUCT(PRODUCE!$B332:$DY332,PRODUCE!$EB$31:$IY$31)</f>
        <v>0</v>
      </c>
      <c r="HN335" s="56"/>
      <c r="HO335" s="63">
        <f t="shared" si="2309"/>
        <v>0</v>
      </c>
      <c r="HP335" s="63">
        <f t="shared" si="2310"/>
        <v>0</v>
      </c>
      <c r="HQ335" s="56"/>
      <c r="HU335" s="55">
        <f t="shared" si="2311"/>
        <v>46306</v>
      </c>
      <c r="HV335" s="56"/>
      <c r="HW335" s="242">
        <f>SUMPRODUCT(PRODUCE!$B332:$DY332,PRODUCE!$EB$32:$IY$32)</f>
        <v>0</v>
      </c>
      <c r="HX335" s="56"/>
      <c r="HY335" s="242">
        <f t="shared" si="2312"/>
        <v>0</v>
      </c>
      <c r="HZ335" s="242">
        <f t="shared" si="2313"/>
        <v>6120</v>
      </c>
      <c r="IA335" s="56"/>
      <c r="ID335" s="55">
        <f t="shared" si="2314"/>
        <v>46306</v>
      </c>
      <c r="IE335" s="56"/>
      <c r="IF335" s="242">
        <f>SUMPRODUCT(PRODUCE!$B332:$DY332,PRODUCE!$EB$33:$IY$33)</f>
        <v>0</v>
      </c>
      <c r="IG335" s="56"/>
      <c r="IH335" s="242">
        <f t="shared" si="2315"/>
        <v>0</v>
      </c>
      <c r="II335" s="242">
        <f t="shared" si="2316"/>
        <v>0</v>
      </c>
      <c r="IJ335" s="56"/>
      <c r="IM335" s="55">
        <f t="shared" si="2317"/>
        <v>46306</v>
      </c>
      <c r="IN335" s="56"/>
      <c r="IO335" s="242">
        <f>SUMPRODUCT(PRODUCE!$B332:$DY332,PRODUCE!$EB$34:$IY$34)</f>
        <v>0</v>
      </c>
      <c r="IP335" s="56"/>
      <c r="IQ335" s="242">
        <f t="shared" si="2318"/>
        <v>0</v>
      </c>
      <c r="IR335" s="242">
        <f t="shared" si="2319"/>
        <v>0</v>
      </c>
      <c r="IS335" s="56"/>
      <c r="IV335" s="55">
        <f t="shared" si="2320"/>
        <v>46306</v>
      </c>
      <c r="IW335" s="56"/>
      <c r="IX335" s="242">
        <f>SUMPRODUCT(PRODUCE!$B332:$DY332,PRODUCE!$EB$35:$IY$35)</f>
        <v>0</v>
      </c>
      <c r="IY335" s="56"/>
      <c r="IZ335" s="242">
        <f t="shared" si="2321"/>
        <v>0</v>
      </c>
      <c r="JA335" s="242">
        <f t="shared" si="2322"/>
        <v>2820</v>
      </c>
      <c r="JB335" s="56"/>
      <c r="JE335" s="55">
        <f t="shared" si="2323"/>
        <v>46306</v>
      </c>
      <c r="JF335" s="56"/>
      <c r="JG335" s="242">
        <f>SUMPRODUCT(PRODUCE!$B332:$DY332,PRODUCE!$EB$36:$IY$36)</f>
        <v>0</v>
      </c>
      <c r="JH335" s="56"/>
      <c r="JI335" s="242">
        <f t="shared" si="2324"/>
        <v>0</v>
      </c>
      <c r="JJ335" s="242">
        <f t="shared" si="2325"/>
        <v>0</v>
      </c>
      <c r="JK335" s="56"/>
      <c r="JN335" s="55">
        <f t="shared" si="2326"/>
        <v>46306</v>
      </c>
      <c r="JO335" s="56"/>
      <c r="JP335" s="242">
        <f>SUMPRODUCT(PRODUCE!$B332:$DY332,PRODUCE!$EB$37:$IY$37)</f>
        <v>0</v>
      </c>
      <c r="JQ335" s="56"/>
      <c r="JR335" s="242">
        <f t="shared" si="2327"/>
        <v>0</v>
      </c>
      <c r="JS335" s="242">
        <f t="shared" si="2328"/>
        <v>0</v>
      </c>
      <c r="JT335" s="56"/>
      <c r="JW335" s="55">
        <f t="shared" si="2329"/>
        <v>46306</v>
      </c>
      <c r="JX335" s="56"/>
      <c r="JY335" s="242">
        <f>SUMPRODUCT(PRODUCE!$B332:$DY332,PRODUCE!$EB$38:$IY$38)</f>
        <v>0</v>
      </c>
      <c r="JZ335" s="56"/>
      <c r="KA335" s="242">
        <f t="shared" si="2330"/>
        <v>0</v>
      </c>
      <c r="KB335" s="242">
        <f t="shared" si="2331"/>
        <v>2540</v>
      </c>
      <c r="KC335" s="56"/>
      <c r="KF335" s="55">
        <f t="shared" si="2332"/>
        <v>46306</v>
      </c>
      <c r="KG335" s="56"/>
      <c r="KH335" s="242">
        <f>SUMPRODUCT(PRODUCE!$B332:$DY332,PRODUCE!$EB$39:$IY$39)</f>
        <v>0</v>
      </c>
      <c r="KI335" s="56"/>
      <c r="KJ335" s="242">
        <f t="shared" si="2333"/>
        <v>0</v>
      </c>
      <c r="KK335" s="242">
        <f t="shared" si="2334"/>
        <v>2359.5</v>
      </c>
      <c r="KL335" s="56"/>
      <c r="KO335" s="55">
        <f t="shared" si="2335"/>
        <v>46306</v>
      </c>
      <c r="KP335" s="56"/>
      <c r="KQ335" s="242">
        <f>SUMPRODUCT(PRODUCE!$B332:$DY332,PRODUCE!$EB$40:$IY$40)</f>
        <v>0</v>
      </c>
      <c r="KR335" s="56"/>
      <c r="KS335" s="242">
        <f t="shared" si="2336"/>
        <v>0</v>
      </c>
      <c r="KT335" s="242">
        <f t="shared" si="2337"/>
        <v>1890</v>
      </c>
      <c r="KU335" s="56"/>
      <c r="KW335" s="23"/>
      <c r="KX335" s="55">
        <f t="shared" si="2338"/>
        <v>46306</v>
      </c>
      <c r="KY335" s="56"/>
      <c r="KZ335" s="242">
        <f>SUMPRODUCT(PRODUCE!$B332:$DY332,PRODUCE!$EB$41:$IY$41)</f>
        <v>0</v>
      </c>
      <c r="LA335" s="56"/>
      <c r="LB335" s="242">
        <f t="shared" si="2339"/>
        <v>0</v>
      </c>
      <c r="LC335" s="242">
        <f t="shared" si="2340"/>
        <v>3690</v>
      </c>
      <c r="LD335" s="56"/>
      <c r="LG335" s="55">
        <f t="shared" si="2341"/>
        <v>46306</v>
      </c>
      <c r="LH335" s="56"/>
      <c r="LI335" s="242">
        <f>SUMPRODUCT(PRODUCE!$B332:$DY332,PRODUCE!$EB$42:$IY$42)</f>
        <v>0</v>
      </c>
      <c r="LJ335" s="56"/>
      <c r="LK335" s="242">
        <f t="shared" si="2342"/>
        <v>0</v>
      </c>
      <c r="LL335" s="242">
        <f t="shared" si="2343"/>
        <v>4000</v>
      </c>
      <c r="LM335" s="56"/>
      <c r="LP335" s="55">
        <f t="shared" si="2344"/>
        <v>46306</v>
      </c>
      <c r="LQ335" s="56"/>
      <c r="LR335" s="242">
        <f>SUMPRODUCT(PRODUCE!$B332:$DY332,PRODUCE!$EB$43:$IY$43)</f>
        <v>0</v>
      </c>
      <c r="LS335" s="56"/>
      <c r="LT335" s="242">
        <f t="shared" si="2345"/>
        <v>0</v>
      </c>
      <c r="LU335" s="242">
        <f t="shared" si="2346"/>
        <v>0</v>
      </c>
      <c r="LV335" s="56"/>
      <c r="LY335" s="55">
        <f t="shared" si="2347"/>
        <v>46306</v>
      </c>
      <c r="LZ335" s="56"/>
      <c r="MA335" s="242">
        <f>SUMPRODUCT(PRODUCE!$B332:$DY332,PRODUCE!$EB$44:$IY$44)</f>
        <v>0</v>
      </c>
      <c r="MB335" s="56"/>
      <c r="MC335" s="242">
        <f t="shared" si="2348"/>
        <v>0</v>
      </c>
      <c r="MD335" s="242">
        <f t="shared" si="2349"/>
        <v>0</v>
      </c>
      <c r="ME335" s="56"/>
      <c r="MH335" s="55">
        <f t="shared" si="2350"/>
        <v>46306</v>
      </c>
      <c r="MI335" s="56"/>
      <c r="MJ335" s="242">
        <f>SUMPRODUCT(PRODUCE!$B332:$DY332,PRODUCE!$EB$45:$IY$45)</f>
        <v>0</v>
      </c>
      <c r="MK335" s="56"/>
      <c r="ML335" s="242">
        <f t="shared" si="2351"/>
        <v>0</v>
      </c>
      <c r="MM335" s="242">
        <f t="shared" si="2352"/>
        <v>0</v>
      </c>
      <c r="MN335" s="56"/>
      <c r="MQ335" s="55">
        <f t="shared" si="2353"/>
        <v>46306</v>
      </c>
      <c r="MR335" s="56"/>
      <c r="MS335" s="242">
        <f>SUMPRODUCT(PRODUCE!$B332:$DY332,PRODUCE!$EB$46:$IY$46)</f>
        <v>0</v>
      </c>
      <c r="MT335" s="56"/>
      <c r="MU335" s="242">
        <f t="shared" si="2354"/>
        <v>0</v>
      </c>
      <c r="MV335" s="242">
        <f t="shared" si="2355"/>
        <v>1625</v>
      </c>
      <c r="MW335" s="56"/>
      <c r="MZ335" s="55">
        <f t="shared" si="2356"/>
        <v>46306</v>
      </c>
      <c r="NA335" s="56"/>
      <c r="NB335" s="242">
        <f>SUMPRODUCT(PRODUCE!$B332:$DY332,PRODUCE!$EB$47:$IY$47)</f>
        <v>0</v>
      </c>
      <c r="NC335" s="56"/>
      <c r="ND335" s="242">
        <f t="shared" si="2357"/>
        <v>0</v>
      </c>
      <c r="NE335" s="242">
        <f t="shared" si="2358"/>
        <v>0</v>
      </c>
      <c r="NF335" s="56"/>
      <c r="NI335" s="55">
        <f t="shared" si="2359"/>
        <v>46306</v>
      </c>
      <c r="NJ335" s="56"/>
      <c r="NK335" s="242">
        <f>SUMPRODUCT(PRODUCE!$B332:$DY332,PRODUCE!$EB$48:$IY$48)</f>
        <v>0</v>
      </c>
      <c r="NL335" s="56"/>
      <c r="NM335" s="242">
        <f t="shared" si="2360"/>
        <v>0</v>
      </c>
      <c r="NN335" s="242">
        <f t="shared" si="2361"/>
        <v>1127</v>
      </c>
      <c r="NO335" s="56"/>
      <c r="NR335" s="55">
        <f t="shared" si="2362"/>
        <v>46306</v>
      </c>
      <c r="NS335" s="56"/>
      <c r="NT335" s="242">
        <f>SUMPRODUCT(PRODUCE!$B332:$DY332,PRODUCE!$EB$49:$IY$49)</f>
        <v>0</v>
      </c>
      <c r="NU335" s="56"/>
      <c r="NV335" s="242">
        <f t="shared" si="2363"/>
        <v>0</v>
      </c>
      <c r="NW335" s="242">
        <f t="shared" si="2364"/>
        <v>3111.9999999999995</v>
      </c>
      <c r="NX335" s="56"/>
      <c r="OA335" s="55">
        <f t="shared" si="2365"/>
        <v>46306</v>
      </c>
      <c r="OB335" s="56"/>
      <c r="OC335" s="242">
        <f>SUMPRODUCT(PRODUCE!$B332:$DY332,PRODUCE!$EB$50:$IY$50)</f>
        <v>0</v>
      </c>
      <c r="OD335" s="56"/>
      <c r="OE335" s="242">
        <f t="shared" si="2366"/>
        <v>0</v>
      </c>
      <c r="OF335" s="242">
        <f t="shared" si="2367"/>
        <v>1680.5</v>
      </c>
      <c r="OG335" s="56"/>
      <c r="OJ335" s="55">
        <f t="shared" si="2368"/>
        <v>46306</v>
      </c>
      <c r="OK335" s="56"/>
      <c r="OL335" s="242">
        <f>SUMPRODUCT(PRODUCE!$B332:$DY332,PRODUCE!$EB$51:$IY$51)</f>
        <v>0</v>
      </c>
      <c r="OM335" s="56"/>
      <c r="ON335" s="242">
        <f t="shared" si="2369"/>
        <v>0</v>
      </c>
      <c r="OO335" s="242">
        <f t="shared" si="2370"/>
        <v>0</v>
      </c>
      <c r="OP335" s="56"/>
      <c r="OS335" s="55">
        <f t="shared" si="2371"/>
        <v>46306</v>
      </c>
      <c r="OT335" s="56"/>
      <c r="OU335" s="242">
        <f>SUMPRODUCT(PRODUCE!$B332:$DY332,PRODUCE!$EB$52:$IY$52)</f>
        <v>0</v>
      </c>
      <c r="OV335" s="56"/>
      <c r="OW335" s="242">
        <f t="shared" si="2372"/>
        <v>0</v>
      </c>
      <c r="OX335" s="242">
        <f t="shared" si="2373"/>
        <v>1482</v>
      </c>
      <c r="OY335" s="56"/>
      <c r="PB335" s="55">
        <f t="shared" si="2374"/>
        <v>46306</v>
      </c>
      <c r="PC335" s="56"/>
      <c r="PD335" s="242">
        <f>SUMPRODUCT(PRODUCE!$B332:$DY332,PRODUCE!$EB$53:$IY$53)</f>
        <v>0</v>
      </c>
      <c r="PE335" s="56"/>
      <c r="PF335" s="242">
        <f t="shared" si="2375"/>
        <v>0</v>
      </c>
      <c r="PG335" s="242">
        <f t="shared" si="2376"/>
        <v>0</v>
      </c>
      <c r="PH335" s="56"/>
      <c r="PK335" s="55">
        <f t="shared" si="2377"/>
        <v>46306</v>
      </c>
      <c r="PL335" s="56"/>
      <c r="PM335" s="242">
        <f>SUMPRODUCT(PRODUCE!$B332:$DY332,PRODUCE!$EB$54:$IY$54)</f>
        <v>0</v>
      </c>
      <c r="PN335" s="56"/>
      <c r="PO335" s="242">
        <f t="shared" si="2378"/>
        <v>0</v>
      </c>
      <c r="PP335" s="242">
        <f t="shared" si="2379"/>
        <v>100</v>
      </c>
      <c r="PQ335" s="56"/>
      <c r="PT335" s="55">
        <f t="shared" si="2380"/>
        <v>46306</v>
      </c>
      <c r="PU335" s="56"/>
      <c r="PV335" s="242">
        <f>SUMPRODUCT(PRODUCE!$B332:$DY332,PRODUCE!$EB$55:$IY$55)</f>
        <v>0</v>
      </c>
      <c r="PW335" s="56"/>
      <c r="PX335" s="242">
        <f t="shared" si="2381"/>
        <v>0</v>
      </c>
      <c r="PY335" s="242">
        <f t="shared" si="2382"/>
        <v>13.960000000000036</v>
      </c>
      <c r="PZ335" s="56"/>
      <c r="QC335" s="55">
        <f t="shared" si="2383"/>
        <v>46306</v>
      </c>
      <c r="QD335" s="56"/>
      <c r="QE335" s="242">
        <f>SUMPRODUCT(PRODUCE!$B332:$DY332,PRODUCE!$EB$56:$IY$56)</f>
        <v>0</v>
      </c>
      <c r="QF335" s="56"/>
      <c r="QG335" s="242">
        <f t="shared" si="2384"/>
        <v>0</v>
      </c>
      <c r="QH335" s="242">
        <f t="shared" si="2385"/>
        <v>548</v>
      </c>
      <c r="QI335" s="56"/>
      <c r="QL335" s="55">
        <f t="shared" si="2386"/>
        <v>46306</v>
      </c>
      <c r="QM335" s="56"/>
      <c r="QN335" s="242">
        <f>SUMPRODUCT(PRODUCE!$B332:$DY332,PRODUCE!$EB$57:$IY$57)</f>
        <v>0</v>
      </c>
      <c r="QO335" s="56"/>
      <c r="QP335" s="242">
        <f t="shared" si="2387"/>
        <v>0</v>
      </c>
      <c r="QQ335" s="242">
        <f t="shared" si="2388"/>
        <v>0</v>
      </c>
      <c r="QR335" s="56"/>
      <c r="QU335" s="55">
        <f t="shared" si="2389"/>
        <v>46306</v>
      </c>
      <c r="QV335" s="56"/>
      <c r="QW335" s="242">
        <f>SUMPRODUCT(PRODUCE!$B332:$DY332,PRODUCE!$EB$57:$IY$57)</f>
        <v>0</v>
      </c>
      <c r="QX335" s="56"/>
      <c r="QY335" s="242">
        <f t="shared" si="2390"/>
        <v>0</v>
      </c>
      <c r="QZ335" s="242">
        <f t="shared" si="2391"/>
        <v>0</v>
      </c>
      <c r="RA335" s="56"/>
      <c r="RD335" s="55">
        <f t="shared" si="2392"/>
        <v>46306</v>
      </c>
      <c r="RE335" s="56"/>
      <c r="RF335" s="242">
        <f>SUMPRODUCT(PRODUCE!$B332:$DY332,PRODUCE!$EB$58:$IY$58)</f>
        <v>0</v>
      </c>
      <c r="RG335" s="56"/>
      <c r="RH335" s="242">
        <f t="shared" si="2393"/>
        <v>0</v>
      </c>
      <c r="RI335" s="242">
        <f t="shared" si="2394"/>
        <v>147.04000000000002</v>
      </c>
      <c r="RJ335" s="56"/>
      <c r="RM335" s="55">
        <f t="shared" si="2395"/>
        <v>46306</v>
      </c>
      <c r="RN335" s="56"/>
      <c r="RO335" s="242">
        <f>SUMPRODUCT(PRODUCE!$B332:$DY332,PRODUCE!$EB$57:$IY$57)</f>
        <v>0</v>
      </c>
      <c r="RP335" s="56"/>
      <c r="RQ335" s="242">
        <f t="shared" si="2396"/>
        <v>0</v>
      </c>
      <c r="RR335" s="242">
        <f t="shared" si="2397"/>
        <v>46.8</v>
      </c>
      <c r="RS335" s="56"/>
      <c r="RV335" s="55">
        <f t="shared" si="2398"/>
        <v>46306</v>
      </c>
      <c r="RW335" s="56"/>
      <c r="RX335" s="242">
        <f>SUMPRODUCT(PRODUCE!$B332:$DY332,PRODUCE!$EB$57:$IY$57)</f>
        <v>0</v>
      </c>
      <c r="RY335" s="56"/>
      <c r="RZ335" s="242">
        <f t="shared" si="2399"/>
        <v>0</v>
      </c>
      <c r="SA335" s="242">
        <f t="shared" si="2400"/>
        <v>0</v>
      </c>
      <c r="SB335" s="56"/>
      <c r="SE335" s="55">
        <f t="shared" si="2401"/>
        <v>46306</v>
      </c>
      <c r="SF335" s="56"/>
      <c r="SG335" s="242">
        <f>SUMPRODUCT(PRODUCE!$B332:$DY332,PRODUCE!$EB$61:$IY$61)</f>
        <v>0</v>
      </c>
      <c r="SH335" s="56"/>
      <c r="SI335" s="242">
        <f t="shared" si="2402"/>
        <v>0</v>
      </c>
      <c r="SJ335" s="242">
        <f t="shared" si="2403"/>
        <v>24.200000000000003</v>
      </c>
      <c r="SK335" s="56"/>
      <c r="SN335" s="55">
        <f t="shared" si="2404"/>
        <v>46306</v>
      </c>
      <c r="SO335" s="56"/>
      <c r="SP335" s="242">
        <f>SUMPRODUCT(PRODUCE!$B332:$DY332,PRODUCE!$EB$57:$IY$57)</f>
        <v>0</v>
      </c>
      <c r="SQ335" s="56"/>
      <c r="SR335" s="242">
        <f t="shared" si="2405"/>
        <v>0</v>
      </c>
      <c r="SS335" s="242">
        <f t="shared" si="2406"/>
        <v>32</v>
      </c>
      <c r="ST335" s="56"/>
      <c r="SW335" s="55">
        <f t="shared" si="2407"/>
        <v>46306</v>
      </c>
      <c r="SX335" s="56"/>
      <c r="SY335" s="242">
        <f>SUMPRODUCT(PRODUCE!$B332:$DY332,PRODUCE!$EB$57:$IY$57)</f>
        <v>0</v>
      </c>
      <c r="SZ335" s="56"/>
      <c r="TA335" s="242">
        <f t="shared" si="2408"/>
        <v>0</v>
      </c>
      <c r="TB335" s="242">
        <f t="shared" si="2409"/>
        <v>0</v>
      </c>
      <c r="TC335" s="56"/>
      <c r="TF335" s="55">
        <f t="shared" si="2410"/>
        <v>46306</v>
      </c>
      <c r="TG335" s="56"/>
      <c r="TH335" s="242">
        <f>SUMPRODUCT(PRODUCE!$B332:$DY332,PRODUCE!$EB$57:$IY$57)</f>
        <v>0</v>
      </c>
      <c r="TI335" s="56"/>
      <c r="TJ335" s="242">
        <f t="shared" si="2411"/>
        <v>0</v>
      </c>
      <c r="TK335" s="242">
        <f t="shared" si="2412"/>
        <v>0</v>
      </c>
      <c r="TL335" s="56"/>
      <c r="TO335" s="55">
        <f t="shared" si="2413"/>
        <v>46306</v>
      </c>
      <c r="TP335" s="56"/>
      <c r="TQ335" s="242">
        <f>SUMPRODUCT(PRODUCE!$B332:$DY332,PRODUCE!$EB$57:$IY$57)</f>
        <v>0</v>
      </c>
      <c r="TR335" s="56"/>
      <c r="TS335" s="242">
        <f t="shared" si="2414"/>
        <v>0</v>
      </c>
      <c r="TT335" s="242">
        <f t="shared" si="2415"/>
        <v>0</v>
      </c>
      <c r="TU335" s="56"/>
      <c r="TX335" s="55">
        <f t="shared" si="2416"/>
        <v>46306</v>
      </c>
      <c r="TY335" s="56"/>
      <c r="TZ335" s="242">
        <f>SUMPRODUCT(PRODUCE!$B332:$DY332,PRODUCE!$EB$57:$IY$57)</f>
        <v>0</v>
      </c>
      <c r="UA335" s="56"/>
      <c r="UB335" s="242">
        <f t="shared" si="2417"/>
        <v>0</v>
      </c>
      <c r="UC335" s="242">
        <f t="shared" si="2418"/>
        <v>46.799999999999983</v>
      </c>
      <c r="UD335" s="56"/>
      <c r="UG335" s="55">
        <f t="shared" si="2419"/>
        <v>46306</v>
      </c>
      <c r="UH335" s="56"/>
      <c r="UI335" s="242">
        <f>SUMPRODUCT(PRODUCE!$B332:$DY332,PRODUCE!$EB$57:$IY$57)</f>
        <v>0</v>
      </c>
      <c r="UJ335" s="56"/>
      <c r="UK335" s="242">
        <f t="shared" si="2420"/>
        <v>0</v>
      </c>
      <c r="UL335" s="242">
        <f t="shared" si="2421"/>
        <v>204</v>
      </c>
      <c r="UM335" s="56"/>
      <c r="UP335" s="55">
        <f t="shared" si="2422"/>
        <v>46306</v>
      </c>
      <c r="UQ335" s="56"/>
      <c r="UR335" s="242">
        <f>SUMPRODUCT(PRODUCE!$B332:$DY332,PRODUCE!$EB$57:$IY$57)</f>
        <v>0</v>
      </c>
      <c r="US335" s="56"/>
      <c r="UT335" s="242">
        <f t="shared" si="2423"/>
        <v>0</v>
      </c>
      <c r="UU335" s="242">
        <f t="shared" si="2424"/>
        <v>202.5</v>
      </c>
      <c r="UV335" s="56"/>
      <c r="UY335" s="55">
        <f t="shared" si="2425"/>
        <v>46306</v>
      </c>
      <c r="UZ335" s="56"/>
      <c r="VA335" s="242">
        <f>SUMPRODUCT(PRODUCE!$B332:$DY332,PRODUCE!$EB$57:$IY$57)</f>
        <v>0</v>
      </c>
      <c r="VB335" s="56"/>
      <c r="VC335" s="242">
        <f t="shared" si="2426"/>
        <v>0</v>
      </c>
      <c r="VD335" s="242">
        <f t="shared" si="2427"/>
        <v>41.600000000000023</v>
      </c>
      <c r="VE335" s="56"/>
      <c r="VH335" s="55">
        <f t="shared" si="2428"/>
        <v>46306</v>
      </c>
      <c r="VI335" s="56"/>
      <c r="VJ335" s="242">
        <f>SUMPRODUCT(PRODUCE!$B332:$DY332,PRODUCE!$EB$57:$IY$57)</f>
        <v>0</v>
      </c>
      <c r="VK335" s="56"/>
      <c r="VL335" s="242">
        <f t="shared" si="2429"/>
        <v>0</v>
      </c>
      <c r="VM335" s="242">
        <f t="shared" si="2430"/>
        <v>210</v>
      </c>
      <c r="VN335" s="56"/>
      <c r="VQ335" s="55">
        <f t="shared" si="2431"/>
        <v>46306</v>
      </c>
      <c r="VR335" s="56"/>
      <c r="VS335" s="242">
        <f>SUMPRODUCT(PRODUCE!$B332:$DY332,PRODUCE!$EB$57:$IY$57)</f>
        <v>0</v>
      </c>
      <c r="VT335" s="56"/>
      <c r="VU335" s="242">
        <f t="shared" si="2432"/>
        <v>0</v>
      </c>
      <c r="VV335" s="242">
        <f t="shared" si="2433"/>
        <v>0</v>
      </c>
      <c r="VW335" s="56"/>
      <c r="VZ335" s="55">
        <f t="shared" si="2434"/>
        <v>46306</v>
      </c>
      <c r="WA335" s="56"/>
      <c r="WB335" s="242">
        <f>SUMPRODUCT(PRODUCE!$B332:$DY332,PRODUCE!$EB$57:$IY$57)</f>
        <v>0</v>
      </c>
      <c r="WC335" s="56"/>
      <c r="WD335" s="242">
        <f t="shared" si="2435"/>
        <v>0</v>
      </c>
      <c r="WE335" s="242">
        <f t="shared" si="2436"/>
        <v>0</v>
      </c>
      <c r="WF335" s="56"/>
      <c r="WI335" s="55">
        <f t="shared" si="2437"/>
        <v>46306</v>
      </c>
      <c r="WJ335" s="56"/>
      <c r="WK335" s="242">
        <f>SUMPRODUCT(PRODUCE!$B332:$DY332,PRODUCE!$EB$57:$IY$57)</f>
        <v>0</v>
      </c>
      <c r="WL335" s="56"/>
      <c r="WM335" s="242">
        <f t="shared" si="2438"/>
        <v>0</v>
      </c>
      <c r="WN335" s="242">
        <f t="shared" si="2439"/>
        <v>1057</v>
      </c>
      <c r="WO335" s="56"/>
      <c r="WR335" s="55">
        <f t="shared" si="2440"/>
        <v>46306</v>
      </c>
      <c r="WS335" s="56"/>
      <c r="WT335" s="242">
        <f>SUMPRODUCT(PRODUCE!$B332:$DY332,PRODUCE!$EB$57:$IY$57)</f>
        <v>0</v>
      </c>
      <c r="WU335" s="56"/>
      <c r="WV335" s="242">
        <f t="shared" si="2441"/>
        <v>0</v>
      </c>
      <c r="WW335" s="242">
        <f t="shared" si="2442"/>
        <v>0</v>
      </c>
      <c r="WX335" s="56"/>
      <c r="XA335" s="55">
        <f t="shared" si="2443"/>
        <v>46306</v>
      </c>
      <c r="XB335" s="56"/>
      <c r="XC335" s="242">
        <f>SUMPRODUCT(PRODUCE!$B332:$DY332,PRODUCE!$EB$57:$IY$57)</f>
        <v>0</v>
      </c>
      <c r="XD335" s="56"/>
      <c r="XE335" s="242">
        <f t="shared" si="2444"/>
        <v>0</v>
      </c>
      <c r="XF335" s="242">
        <f t="shared" si="2445"/>
        <v>7507</v>
      </c>
      <c r="XG335" s="56"/>
      <c r="XJ335" s="55">
        <f t="shared" si="2446"/>
        <v>46306</v>
      </c>
      <c r="XK335" s="56"/>
      <c r="XL335" s="242">
        <f>SUMPRODUCT(PRODUCE!$B332:$DY332,PRODUCE!$EB$57:$IY$57)</f>
        <v>0</v>
      </c>
      <c r="XM335" s="56"/>
      <c r="XN335" s="242">
        <f t="shared" si="2447"/>
        <v>0</v>
      </c>
      <c r="XO335" s="242">
        <f t="shared" si="2448"/>
        <v>4252</v>
      </c>
      <c r="XP335" s="56"/>
      <c r="XS335" s="55">
        <f t="shared" si="2449"/>
        <v>46306</v>
      </c>
      <c r="XT335" s="56"/>
      <c r="XU335" s="242">
        <f>SUMPRODUCT(PRODUCE!$B332:$DY332,PRODUCE!$EB$57:$IY$57)</f>
        <v>0</v>
      </c>
      <c r="XV335" s="56"/>
      <c r="XW335" s="242">
        <f t="shared" si="2450"/>
        <v>0</v>
      </c>
      <c r="XX335" s="242">
        <f t="shared" si="2451"/>
        <v>2179</v>
      </c>
      <c r="XY335" s="56"/>
      <c r="YB335" s="55">
        <f t="shared" si="2452"/>
        <v>46306</v>
      </c>
      <c r="YC335" s="56"/>
      <c r="YD335" s="242">
        <f>SUMPRODUCT(PRODUCE!$B332:$DY332,PRODUCE!$EB$57:$IY$57)</f>
        <v>0</v>
      </c>
      <c r="YE335" s="56"/>
      <c r="YF335" s="242">
        <f t="shared" si="2453"/>
        <v>0</v>
      </c>
      <c r="YG335" s="242">
        <f t="shared" si="2454"/>
        <v>4019</v>
      </c>
      <c r="YH335" s="56"/>
      <c r="YK335" s="55">
        <f t="shared" si="2455"/>
        <v>46306</v>
      </c>
      <c r="YL335" s="56"/>
      <c r="YM335" s="242">
        <f>SUMPRODUCT(PRODUCE!$B332:$DY332,PRODUCE!$EB$57:$IY$57)</f>
        <v>0</v>
      </c>
      <c r="YN335" s="56"/>
      <c r="YO335" s="242">
        <f t="shared" si="2456"/>
        <v>0</v>
      </c>
      <c r="YP335" s="242">
        <f t="shared" si="2457"/>
        <v>-218</v>
      </c>
      <c r="YQ335" s="56"/>
      <c r="YT335" s="55">
        <f t="shared" si="2458"/>
        <v>46306</v>
      </c>
      <c r="YU335" s="56"/>
      <c r="YV335" s="242">
        <f>SUMPRODUCT(PRODUCE!$B332:$DY332,PRODUCE!$EB$57:$IY$57)</f>
        <v>0</v>
      </c>
      <c r="YW335" s="56"/>
      <c r="YX335" s="242">
        <f t="shared" si="2459"/>
        <v>0</v>
      </c>
      <c r="YY335" s="242">
        <f t="shared" si="2460"/>
        <v>0</v>
      </c>
      <c r="YZ335" s="56"/>
      <c r="ZC335" s="55">
        <f t="shared" si="2461"/>
        <v>46306</v>
      </c>
      <c r="ZD335" s="56"/>
      <c r="ZE335" s="242">
        <f>SUMPRODUCT(PRODUCE!$B332:$DY332,PRODUCE!$EB$57:$IY$57)</f>
        <v>0</v>
      </c>
      <c r="ZF335" s="56"/>
      <c r="ZG335" s="242">
        <f t="shared" si="2462"/>
        <v>0</v>
      </c>
      <c r="ZH335" s="242">
        <f t="shared" si="2463"/>
        <v>0</v>
      </c>
      <c r="ZI335" s="56"/>
      <c r="ZL335" s="55">
        <f t="shared" si="2464"/>
        <v>46306</v>
      </c>
      <c r="ZM335" s="56"/>
      <c r="ZN335" s="242">
        <f>SUMPRODUCT(PRODUCE!$B332:$DY332,PRODUCE!$EB$57:$IY$57)</f>
        <v>0</v>
      </c>
      <c r="ZO335" s="56"/>
      <c r="ZP335" s="242">
        <f t="shared" si="2465"/>
        <v>0</v>
      </c>
      <c r="ZQ335" s="242">
        <f t="shared" si="2466"/>
        <v>0</v>
      </c>
      <c r="ZR335" s="56"/>
      <c r="ZU335" s="55">
        <f t="shared" si="2467"/>
        <v>46306</v>
      </c>
      <c r="ZV335" s="56"/>
      <c r="ZW335" s="242">
        <f>SUMPRODUCT(PRODUCE!$B332:$DY332,PRODUCE!$EB$57:$IY$57)</f>
        <v>0</v>
      </c>
      <c r="ZX335" s="56"/>
      <c r="ZY335" s="242">
        <f t="shared" si="2468"/>
        <v>0</v>
      </c>
      <c r="ZZ335" s="242">
        <f t="shared" si="2469"/>
        <v>0</v>
      </c>
      <c r="AAA335" s="56"/>
      <c r="AAD335" s="55">
        <f t="shared" si="2470"/>
        <v>46306</v>
      </c>
      <c r="AAE335" s="56"/>
      <c r="AAF335" s="242">
        <f>SUMPRODUCT(PRODUCE!$B332:$DY332,PRODUCE!$EB$57:$IY$57)</f>
        <v>0</v>
      </c>
      <c r="AAG335" s="56"/>
      <c r="AAH335" s="242">
        <f t="shared" si="2471"/>
        <v>0</v>
      </c>
      <c r="AAI335" s="242">
        <f t="shared" si="2472"/>
        <v>0</v>
      </c>
      <c r="AAJ335" s="56"/>
      <c r="AAM335" s="55">
        <f t="shared" si="2473"/>
        <v>46306</v>
      </c>
      <c r="AAN335" s="56"/>
      <c r="AAO335" s="242">
        <f>SUMPRODUCT(PRODUCE!$B332:$DY332,PRODUCE!$EB$57:$IY$57)</f>
        <v>0</v>
      </c>
      <c r="AAP335" s="56"/>
      <c r="AAQ335" s="242">
        <f t="shared" si="2474"/>
        <v>0</v>
      </c>
      <c r="AAR335" s="242">
        <f t="shared" si="2475"/>
        <v>0</v>
      </c>
      <c r="AAS335" s="56"/>
      <c r="AAV335" s="55">
        <f t="shared" si="2476"/>
        <v>46306</v>
      </c>
      <c r="AAW335" s="56"/>
      <c r="AAX335" s="242">
        <f>SUMPRODUCT(PRODUCE!$B332:$DY332,PRODUCE!$EB$57:$IY$57)</f>
        <v>0</v>
      </c>
      <c r="AAY335" s="56"/>
      <c r="AAZ335" s="242">
        <f t="shared" si="2477"/>
        <v>0</v>
      </c>
      <c r="ABA335" s="242">
        <f t="shared" si="2478"/>
        <v>0</v>
      </c>
      <c r="ABB335" s="56"/>
      <c r="ABE335" s="55">
        <f t="shared" si="2479"/>
        <v>46306</v>
      </c>
      <c r="ABF335" s="56"/>
      <c r="ABG335" s="242">
        <f>SUMPRODUCT(PRODUCE!$B332:$DY332,PRODUCE!$EB$57:$IY$57)</f>
        <v>0</v>
      </c>
      <c r="ABH335" s="56"/>
      <c r="ABI335" s="242">
        <f t="shared" si="2480"/>
        <v>0</v>
      </c>
      <c r="ABJ335" s="242">
        <f t="shared" si="2481"/>
        <v>0</v>
      </c>
      <c r="ABK335" s="56"/>
    </row>
    <row r="336" spans="1:739" s="54" customFormat="1" ht="15" customHeight="1" outlineLevel="1">
      <c r="B336" s="478"/>
      <c r="C336" s="55">
        <v>46307</v>
      </c>
      <c r="D336" s="56"/>
      <c r="E336" s="57">
        <f>SUMPRODUCT(PRODUCE!$B333:$DY333,PRODUCE!$EB$7:$IY$7)</f>
        <v>0</v>
      </c>
      <c r="F336" s="56"/>
      <c r="G336" s="57">
        <f t="shared" si="2237"/>
        <v>0</v>
      </c>
      <c r="H336" s="57">
        <f t="shared" si="2238"/>
        <v>236936.6</v>
      </c>
      <c r="I336" s="289"/>
      <c r="L336" s="55">
        <f t="shared" si="2239"/>
        <v>46307</v>
      </c>
      <c r="M336" s="56"/>
      <c r="N336" s="59">
        <f>SUMPRODUCT(PRODUCE!$B333:$DY333,PRODUCE!$EB$8:$IY$8)</f>
        <v>0</v>
      </c>
      <c r="O336" s="56"/>
      <c r="P336" s="59">
        <f t="shared" si="2240"/>
        <v>0</v>
      </c>
      <c r="Q336" s="59">
        <f t="shared" si="2241"/>
        <v>53017.600000000071</v>
      </c>
      <c r="R336" s="56"/>
      <c r="U336" s="55">
        <f t="shared" si="2242"/>
        <v>46307</v>
      </c>
      <c r="V336" s="56"/>
      <c r="W336" s="60">
        <f>SUMPRODUCT(PRODUCE!$B333:$DY333,PRODUCE!$EB$9:$IY$9)</f>
        <v>0</v>
      </c>
      <c r="X336" s="56"/>
      <c r="Y336" s="60">
        <f t="shared" si="2243"/>
        <v>0</v>
      </c>
      <c r="Z336" s="60">
        <f t="shared" si="2244"/>
        <v>42674.199999999968</v>
      </c>
      <c r="AA336" s="56"/>
      <c r="AD336" s="55">
        <f t="shared" si="2245"/>
        <v>46307</v>
      </c>
      <c r="AE336" s="56"/>
      <c r="AF336" s="61">
        <f>SUMPRODUCT(PRODUCE!$B333:$DY333,PRODUCE!$EB$10:$IY$10)</f>
        <v>0</v>
      </c>
      <c r="AG336" s="56"/>
      <c r="AH336" s="61">
        <f t="shared" si="2246"/>
        <v>0</v>
      </c>
      <c r="AI336" s="61">
        <f t="shared" si="2247"/>
        <v>4522.2000000000189</v>
      </c>
      <c r="AJ336" s="56"/>
      <c r="AM336" s="55">
        <f t="shared" si="2248"/>
        <v>46307</v>
      </c>
      <c r="AN336" s="422"/>
      <c r="AO336" s="444">
        <f>SUMPRODUCT(PRODUCE!$B333:$DY333,PRODUCE!$EB$11:$IY$11)</f>
        <v>0</v>
      </c>
      <c r="AP336" s="422"/>
      <c r="AQ336" s="444">
        <f t="shared" si="2249"/>
        <v>0</v>
      </c>
      <c r="AR336" s="444">
        <f t="shared" si="2250"/>
        <v>0</v>
      </c>
      <c r="AS336" s="56"/>
      <c r="AV336" s="55">
        <f t="shared" si="2251"/>
        <v>46307</v>
      </c>
      <c r="AW336" s="56"/>
      <c r="AX336" s="62">
        <f>SUMPRODUCT(PRODUCE!$B333:$DY333,PRODUCE!$EB$12:$IY$12)</f>
        <v>0</v>
      </c>
      <c r="AY336" s="56"/>
      <c r="AZ336" s="62">
        <f t="shared" si="2252"/>
        <v>0</v>
      </c>
      <c r="BA336" s="62">
        <f t="shared" si="2253"/>
        <v>124.99999999999523</v>
      </c>
      <c r="BB336" s="56"/>
      <c r="BE336" s="55">
        <f t="shared" si="2254"/>
        <v>46307</v>
      </c>
      <c r="BF336" s="56"/>
      <c r="BG336" s="63">
        <f>SUMPRODUCT(PRODUCE!$B333:$DY333,PRODUCE!$EB$13:$IY$13)</f>
        <v>0</v>
      </c>
      <c r="BH336" s="56"/>
      <c r="BI336" s="63">
        <f t="shared" si="2255"/>
        <v>0</v>
      </c>
      <c r="BJ336" s="63">
        <f t="shared" si="2256"/>
        <v>26151.899999999998</v>
      </c>
      <c r="BK336" s="56"/>
      <c r="BN336" s="55">
        <f t="shared" si="2257"/>
        <v>46307</v>
      </c>
      <c r="BO336" s="56"/>
      <c r="BP336" s="64">
        <f>SUMPRODUCT(PRODUCE!$B333:$DY333,PRODUCE!$EB$14:$IY$14)</f>
        <v>0</v>
      </c>
      <c r="BQ336" s="56"/>
      <c r="BR336" s="64">
        <f t="shared" si="2258"/>
        <v>0</v>
      </c>
      <c r="BS336" s="64">
        <f t="shared" si="2259"/>
        <v>0</v>
      </c>
      <c r="BT336" s="56"/>
      <c r="BW336" s="55">
        <f t="shared" si="2260"/>
        <v>46307</v>
      </c>
      <c r="BX336" s="56"/>
      <c r="BY336" s="65">
        <f>SUMPRODUCT(PRODUCE!$B333:$DY333,PRODUCE!$EB$15:$IY$15)</f>
        <v>0</v>
      </c>
      <c r="BZ336" s="56"/>
      <c r="CA336" s="65">
        <f t="shared" si="2261"/>
        <v>0</v>
      </c>
      <c r="CB336" s="65">
        <f t="shared" si="2262"/>
        <v>2097.3399999999992</v>
      </c>
      <c r="CC336" s="56"/>
      <c r="CF336" s="55">
        <f t="shared" si="2263"/>
        <v>46307</v>
      </c>
      <c r="CG336" s="56"/>
      <c r="CH336" s="66">
        <f>SUMPRODUCT(PRODUCE!$B333:$DY333,PRODUCE!$EB$16:$IY$16)</f>
        <v>0</v>
      </c>
      <c r="CI336" s="56"/>
      <c r="CJ336" s="66">
        <f t="shared" si="2264"/>
        <v>0</v>
      </c>
      <c r="CK336" s="66">
        <f t="shared" si="2265"/>
        <v>-10277.079999999998</v>
      </c>
      <c r="CL336" s="56"/>
      <c r="CO336" s="55">
        <f t="shared" si="2266"/>
        <v>46307</v>
      </c>
      <c r="CP336" s="422"/>
      <c r="CQ336" s="470">
        <f>SUMPRODUCT(PRODUCE!$B333:$DY333,PRODUCE!$EB$17:$IY$17)</f>
        <v>0</v>
      </c>
      <c r="CR336" s="422"/>
      <c r="CS336" s="470">
        <f t="shared" si="2267"/>
        <v>0</v>
      </c>
      <c r="CT336" s="470">
        <f t="shared" si="2268"/>
        <v>0</v>
      </c>
      <c r="CU336" s="56"/>
      <c r="CX336" s="55">
        <f t="shared" si="2269"/>
        <v>46307</v>
      </c>
      <c r="CY336" s="56"/>
      <c r="CZ336" s="133">
        <f>SUMPRODUCT(PRODUCE!$B333:$DY333,PRODUCE!$EB$18:$IY$18)</f>
        <v>0</v>
      </c>
      <c r="DA336" s="56"/>
      <c r="DB336" s="133">
        <f t="shared" si="2270"/>
        <v>0</v>
      </c>
      <c r="DC336" s="133">
        <f t="shared" si="2271"/>
        <v>27438.200000000012</v>
      </c>
      <c r="DD336" s="56"/>
      <c r="DG336" s="55">
        <f t="shared" si="2272"/>
        <v>46307</v>
      </c>
      <c r="DH336" s="56"/>
      <c r="DI336" s="147">
        <f>SUMPRODUCT(PRODUCE!$B333:$DY333,PRODUCE!$EB$19:$IY$19)</f>
        <v>0</v>
      </c>
      <c r="DJ336" s="56"/>
      <c r="DK336" s="147">
        <f t="shared" si="2273"/>
        <v>0</v>
      </c>
      <c r="DL336" s="147">
        <f t="shared" si="2274"/>
        <v>18782.299999999981</v>
      </c>
      <c r="DM336" s="56"/>
      <c r="DP336" s="55">
        <f t="shared" si="2275"/>
        <v>46307</v>
      </c>
      <c r="DQ336" s="56"/>
      <c r="DR336" s="57">
        <f>SUMPRODUCT(PRODUCE!$B333:$DY333,PRODUCE!$EB$20:$IY$20)</f>
        <v>0</v>
      </c>
      <c r="DS336" s="56"/>
      <c r="DT336" s="57">
        <f t="shared" si="2276"/>
        <v>0</v>
      </c>
      <c r="DU336" s="57">
        <f t="shared" si="2277"/>
        <v>5800</v>
      </c>
      <c r="DV336" s="56"/>
      <c r="DY336" s="55">
        <f t="shared" si="2278"/>
        <v>46307</v>
      </c>
      <c r="DZ336" s="56"/>
      <c r="EA336" s="157">
        <f>SUMPRODUCT(PRODUCE!$B333:$DY333,PRODUCE!$EB$21:$IY$21)</f>
        <v>0</v>
      </c>
      <c r="EB336" s="56"/>
      <c r="EC336" s="157">
        <f t="shared" si="2279"/>
        <v>0</v>
      </c>
      <c r="ED336" s="157">
        <f t="shared" si="2280"/>
        <v>0</v>
      </c>
      <c r="EE336" s="56"/>
      <c r="EH336" s="55">
        <f t="shared" si="2281"/>
        <v>46307</v>
      </c>
      <c r="EI336" s="56"/>
      <c r="EJ336" s="162">
        <f>SUMPRODUCT(PRODUCE!$B333:$DY333,PRODUCE!$EB$22:$IY$22)</f>
        <v>0</v>
      </c>
      <c r="EK336" s="56"/>
      <c r="EL336" s="162">
        <f t="shared" si="2282"/>
        <v>0</v>
      </c>
      <c r="EM336" s="162">
        <f t="shared" si="2283"/>
        <v>0</v>
      </c>
      <c r="EN336" s="56"/>
      <c r="EQ336" s="55">
        <f t="shared" si="2284"/>
        <v>46307</v>
      </c>
      <c r="ER336" s="56"/>
      <c r="ES336" s="135">
        <f>SUMPRODUCT(PRODUCE!$B333:$DY333,PRODUCE!$EB$23:$IY$23)</f>
        <v>0</v>
      </c>
      <c r="ET336" s="56"/>
      <c r="EU336" s="135">
        <f t="shared" si="2285"/>
        <v>0</v>
      </c>
      <c r="EV336" s="135">
        <f t="shared" si="2286"/>
        <v>0</v>
      </c>
      <c r="EW336" s="56"/>
      <c r="EZ336" s="55">
        <f t="shared" si="2287"/>
        <v>46307</v>
      </c>
      <c r="FA336" s="56"/>
      <c r="FB336" s="175">
        <f>SUMPRODUCT(PRODUCE!$B333:$DY333,PRODUCE!$EB$24:$IY$24)</f>
        <v>0</v>
      </c>
      <c r="FC336" s="56"/>
      <c r="FD336" s="175">
        <f t="shared" si="2288"/>
        <v>0</v>
      </c>
      <c r="FE336" s="175">
        <f t="shared" si="2289"/>
        <v>0</v>
      </c>
      <c r="FF336" s="56"/>
      <c r="FI336" s="55">
        <f t="shared" si="2290"/>
        <v>46307</v>
      </c>
      <c r="FJ336" s="56"/>
      <c r="FK336" s="183">
        <f>SUMPRODUCT(PRODUCE!$B333:$DY333,PRODUCE!$EB$25:$IY$25)</f>
        <v>0</v>
      </c>
      <c r="FL336" s="56"/>
      <c r="FM336" s="183">
        <f t="shared" si="2291"/>
        <v>0</v>
      </c>
      <c r="FN336" s="183">
        <f t="shared" si="2292"/>
        <v>0</v>
      </c>
      <c r="FO336" s="56"/>
      <c r="FR336" s="55">
        <f t="shared" si="2293"/>
        <v>46307</v>
      </c>
      <c r="FS336" s="56"/>
      <c r="FT336" s="186">
        <f>SUMPRODUCT(PRODUCE!$B333:$DY333,PRODUCE!$EB$26:$IY$26)</f>
        <v>0</v>
      </c>
      <c r="FU336" s="56"/>
      <c r="FV336" s="186">
        <f t="shared" si="2294"/>
        <v>0</v>
      </c>
      <c r="FW336" s="186">
        <f t="shared" si="2295"/>
        <v>2020</v>
      </c>
      <c r="FX336" s="56"/>
      <c r="GA336" s="55">
        <f t="shared" si="2296"/>
        <v>46307</v>
      </c>
      <c r="GB336" s="56"/>
      <c r="GC336" s="137">
        <f>SUMPRODUCT(PRODUCE!$B333:$DY333,PRODUCE!$EB$27:$IY$27)</f>
        <v>0</v>
      </c>
      <c r="GD336" s="56"/>
      <c r="GE336" s="137">
        <f t="shared" si="2297"/>
        <v>0</v>
      </c>
      <c r="GF336" s="137">
        <f t="shared" si="2298"/>
        <v>960</v>
      </c>
      <c r="GG336" s="56"/>
      <c r="GI336" s="23"/>
      <c r="GJ336" s="55">
        <f t="shared" si="2299"/>
        <v>46307</v>
      </c>
      <c r="GK336" s="56"/>
      <c r="GL336" s="199">
        <f>SUMPRODUCT(PRODUCE!$B333:$DY333,PRODUCE!$EB$28:$IY$28)</f>
        <v>0</v>
      </c>
      <c r="GM336" s="56"/>
      <c r="GN336" s="199">
        <f t="shared" si="2300"/>
        <v>0</v>
      </c>
      <c r="GO336" s="199">
        <f t="shared" si="2301"/>
        <v>1760</v>
      </c>
      <c r="GP336" s="56"/>
      <c r="GS336" s="55">
        <f t="shared" si="2302"/>
        <v>46307</v>
      </c>
      <c r="GT336" s="56"/>
      <c r="GU336" s="195">
        <f>SUMPRODUCT(PRODUCE!$B333:$DY333,PRODUCE!$EB$29:$IY$29)</f>
        <v>0</v>
      </c>
      <c r="GV336" s="56"/>
      <c r="GW336" s="195">
        <f t="shared" si="2303"/>
        <v>0</v>
      </c>
      <c r="GX336" s="195">
        <f t="shared" si="2304"/>
        <v>400</v>
      </c>
      <c r="GY336" s="56"/>
      <c r="HB336" s="55">
        <f t="shared" si="2305"/>
        <v>46307</v>
      </c>
      <c r="HC336" s="56"/>
      <c r="HD336" s="191">
        <f>SUMPRODUCT(PRODUCE!$B333:$DY333,PRODUCE!$EB$30:$IY$30)</f>
        <v>0</v>
      </c>
      <c r="HE336" s="56"/>
      <c r="HF336" s="191">
        <f t="shared" si="2306"/>
        <v>0</v>
      </c>
      <c r="HG336" s="191">
        <f t="shared" si="2307"/>
        <v>3600</v>
      </c>
      <c r="HH336" s="56"/>
      <c r="HK336" s="55">
        <f t="shared" si="2308"/>
        <v>46307</v>
      </c>
      <c r="HL336" s="56"/>
      <c r="HM336" s="63">
        <f>SUMPRODUCT(PRODUCE!$B333:$DY333,PRODUCE!$EB$31:$IY$31)</f>
        <v>0</v>
      </c>
      <c r="HN336" s="56"/>
      <c r="HO336" s="63">
        <f t="shared" si="2309"/>
        <v>0</v>
      </c>
      <c r="HP336" s="63">
        <f t="shared" si="2310"/>
        <v>0</v>
      </c>
      <c r="HQ336" s="56"/>
      <c r="HU336" s="55">
        <f t="shared" si="2311"/>
        <v>46307</v>
      </c>
      <c r="HV336" s="56"/>
      <c r="HW336" s="242">
        <f>SUMPRODUCT(PRODUCE!$B333:$DY333,PRODUCE!$EB$32:$IY$32)</f>
        <v>0</v>
      </c>
      <c r="HX336" s="56"/>
      <c r="HY336" s="242">
        <f t="shared" si="2312"/>
        <v>0</v>
      </c>
      <c r="HZ336" s="242">
        <f t="shared" si="2313"/>
        <v>6120</v>
      </c>
      <c r="IA336" s="56"/>
      <c r="ID336" s="55">
        <f t="shared" si="2314"/>
        <v>46307</v>
      </c>
      <c r="IE336" s="56"/>
      <c r="IF336" s="242">
        <f>SUMPRODUCT(PRODUCE!$B333:$DY333,PRODUCE!$EB$33:$IY$33)</f>
        <v>0</v>
      </c>
      <c r="IG336" s="56"/>
      <c r="IH336" s="242">
        <f t="shared" si="2315"/>
        <v>0</v>
      </c>
      <c r="II336" s="242">
        <f t="shared" si="2316"/>
        <v>0</v>
      </c>
      <c r="IJ336" s="56"/>
      <c r="IM336" s="55">
        <f t="shared" si="2317"/>
        <v>46307</v>
      </c>
      <c r="IN336" s="56"/>
      <c r="IO336" s="242">
        <f>SUMPRODUCT(PRODUCE!$B333:$DY333,PRODUCE!$EB$34:$IY$34)</f>
        <v>0</v>
      </c>
      <c r="IP336" s="56"/>
      <c r="IQ336" s="242">
        <f t="shared" si="2318"/>
        <v>0</v>
      </c>
      <c r="IR336" s="242">
        <f t="shared" si="2319"/>
        <v>0</v>
      </c>
      <c r="IS336" s="56"/>
      <c r="IV336" s="55">
        <f t="shared" si="2320"/>
        <v>46307</v>
      </c>
      <c r="IW336" s="56"/>
      <c r="IX336" s="242">
        <f>SUMPRODUCT(PRODUCE!$B333:$DY333,PRODUCE!$EB$35:$IY$35)</f>
        <v>0</v>
      </c>
      <c r="IY336" s="56"/>
      <c r="IZ336" s="242">
        <f t="shared" si="2321"/>
        <v>0</v>
      </c>
      <c r="JA336" s="242">
        <f t="shared" si="2322"/>
        <v>2820</v>
      </c>
      <c r="JB336" s="56"/>
      <c r="JE336" s="55">
        <f t="shared" si="2323"/>
        <v>46307</v>
      </c>
      <c r="JF336" s="56"/>
      <c r="JG336" s="242">
        <f>SUMPRODUCT(PRODUCE!$B333:$DY333,PRODUCE!$EB$36:$IY$36)</f>
        <v>0</v>
      </c>
      <c r="JH336" s="56"/>
      <c r="JI336" s="242">
        <f t="shared" si="2324"/>
        <v>0</v>
      </c>
      <c r="JJ336" s="242">
        <f t="shared" si="2325"/>
        <v>0</v>
      </c>
      <c r="JK336" s="56"/>
      <c r="JN336" s="55">
        <f t="shared" si="2326"/>
        <v>46307</v>
      </c>
      <c r="JO336" s="56"/>
      <c r="JP336" s="242">
        <f>SUMPRODUCT(PRODUCE!$B333:$DY333,PRODUCE!$EB$37:$IY$37)</f>
        <v>0</v>
      </c>
      <c r="JQ336" s="56"/>
      <c r="JR336" s="242">
        <f t="shared" si="2327"/>
        <v>0</v>
      </c>
      <c r="JS336" s="242">
        <f t="shared" si="2328"/>
        <v>0</v>
      </c>
      <c r="JT336" s="56"/>
      <c r="JW336" s="55">
        <f t="shared" si="2329"/>
        <v>46307</v>
      </c>
      <c r="JX336" s="56"/>
      <c r="JY336" s="242">
        <f>SUMPRODUCT(PRODUCE!$B333:$DY333,PRODUCE!$EB$38:$IY$38)</f>
        <v>0</v>
      </c>
      <c r="JZ336" s="56"/>
      <c r="KA336" s="242">
        <f t="shared" si="2330"/>
        <v>0</v>
      </c>
      <c r="KB336" s="242">
        <f t="shared" si="2331"/>
        <v>2540</v>
      </c>
      <c r="KC336" s="56"/>
      <c r="KF336" s="55">
        <f t="shared" si="2332"/>
        <v>46307</v>
      </c>
      <c r="KG336" s="56"/>
      <c r="KH336" s="242">
        <f>SUMPRODUCT(PRODUCE!$B333:$DY333,PRODUCE!$EB$39:$IY$39)</f>
        <v>0</v>
      </c>
      <c r="KI336" s="56"/>
      <c r="KJ336" s="242">
        <f t="shared" si="2333"/>
        <v>0</v>
      </c>
      <c r="KK336" s="242">
        <f t="shared" si="2334"/>
        <v>2359.5</v>
      </c>
      <c r="KL336" s="56"/>
      <c r="KO336" s="55">
        <f t="shared" si="2335"/>
        <v>46307</v>
      </c>
      <c r="KP336" s="56"/>
      <c r="KQ336" s="242">
        <f>SUMPRODUCT(PRODUCE!$B333:$DY333,PRODUCE!$EB$40:$IY$40)</f>
        <v>0</v>
      </c>
      <c r="KR336" s="56"/>
      <c r="KS336" s="242">
        <f t="shared" si="2336"/>
        <v>0</v>
      </c>
      <c r="KT336" s="242">
        <f t="shared" si="2337"/>
        <v>1890</v>
      </c>
      <c r="KU336" s="56"/>
      <c r="KW336" s="23"/>
      <c r="KX336" s="55">
        <f t="shared" si="2338"/>
        <v>46307</v>
      </c>
      <c r="KY336" s="56"/>
      <c r="KZ336" s="242">
        <f>SUMPRODUCT(PRODUCE!$B333:$DY333,PRODUCE!$EB$41:$IY$41)</f>
        <v>0</v>
      </c>
      <c r="LA336" s="56"/>
      <c r="LB336" s="242">
        <f t="shared" si="2339"/>
        <v>0</v>
      </c>
      <c r="LC336" s="242">
        <f t="shared" si="2340"/>
        <v>3690</v>
      </c>
      <c r="LD336" s="56"/>
      <c r="LG336" s="55">
        <f t="shared" si="2341"/>
        <v>46307</v>
      </c>
      <c r="LH336" s="56"/>
      <c r="LI336" s="242">
        <f>SUMPRODUCT(PRODUCE!$B333:$DY333,PRODUCE!$EB$42:$IY$42)</f>
        <v>0</v>
      </c>
      <c r="LJ336" s="56"/>
      <c r="LK336" s="242">
        <f t="shared" si="2342"/>
        <v>0</v>
      </c>
      <c r="LL336" s="242">
        <f t="shared" si="2343"/>
        <v>4000</v>
      </c>
      <c r="LM336" s="56"/>
      <c r="LP336" s="55">
        <f t="shared" si="2344"/>
        <v>46307</v>
      </c>
      <c r="LQ336" s="56"/>
      <c r="LR336" s="242">
        <f>SUMPRODUCT(PRODUCE!$B333:$DY333,PRODUCE!$EB$43:$IY$43)</f>
        <v>0</v>
      </c>
      <c r="LS336" s="56"/>
      <c r="LT336" s="242">
        <f t="shared" si="2345"/>
        <v>0</v>
      </c>
      <c r="LU336" s="242">
        <f t="shared" si="2346"/>
        <v>0</v>
      </c>
      <c r="LV336" s="56"/>
      <c r="LY336" s="55">
        <f t="shared" si="2347"/>
        <v>46307</v>
      </c>
      <c r="LZ336" s="56"/>
      <c r="MA336" s="242">
        <f>SUMPRODUCT(PRODUCE!$B333:$DY333,PRODUCE!$EB$44:$IY$44)</f>
        <v>0</v>
      </c>
      <c r="MB336" s="56"/>
      <c r="MC336" s="242">
        <f t="shared" si="2348"/>
        <v>0</v>
      </c>
      <c r="MD336" s="242">
        <f t="shared" si="2349"/>
        <v>0</v>
      </c>
      <c r="ME336" s="56"/>
      <c r="MH336" s="55">
        <f t="shared" si="2350"/>
        <v>46307</v>
      </c>
      <c r="MI336" s="56"/>
      <c r="MJ336" s="242">
        <f>SUMPRODUCT(PRODUCE!$B333:$DY333,PRODUCE!$EB$45:$IY$45)</f>
        <v>0</v>
      </c>
      <c r="MK336" s="56"/>
      <c r="ML336" s="242">
        <f t="shared" si="2351"/>
        <v>0</v>
      </c>
      <c r="MM336" s="242">
        <f t="shared" si="2352"/>
        <v>0</v>
      </c>
      <c r="MN336" s="56"/>
      <c r="MQ336" s="55">
        <f t="shared" si="2353"/>
        <v>46307</v>
      </c>
      <c r="MR336" s="56"/>
      <c r="MS336" s="242">
        <f>SUMPRODUCT(PRODUCE!$B333:$DY333,PRODUCE!$EB$46:$IY$46)</f>
        <v>0</v>
      </c>
      <c r="MT336" s="56"/>
      <c r="MU336" s="242">
        <f t="shared" si="2354"/>
        <v>0</v>
      </c>
      <c r="MV336" s="242">
        <f t="shared" si="2355"/>
        <v>1625</v>
      </c>
      <c r="MW336" s="56"/>
      <c r="MZ336" s="55">
        <f t="shared" si="2356"/>
        <v>46307</v>
      </c>
      <c r="NA336" s="56"/>
      <c r="NB336" s="242">
        <f>SUMPRODUCT(PRODUCE!$B333:$DY333,PRODUCE!$EB$47:$IY$47)</f>
        <v>0</v>
      </c>
      <c r="NC336" s="56"/>
      <c r="ND336" s="242">
        <f t="shared" si="2357"/>
        <v>0</v>
      </c>
      <c r="NE336" s="242">
        <f t="shared" si="2358"/>
        <v>0</v>
      </c>
      <c r="NF336" s="56"/>
      <c r="NI336" s="55">
        <f t="shared" si="2359"/>
        <v>46307</v>
      </c>
      <c r="NJ336" s="56"/>
      <c r="NK336" s="242">
        <f>SUMPRODUCT(PRODUCE!$B333:$DY333,PRODUCE!$EB$48:$IY$48)</f>
        <v>0</v>
      </c>
      <c r="NL336" s="56"/>
      <c r="NM336" s="242">
        <f t="shared" si="2360"/>
        <v>0</v>
      </c>
      <c r="NN336" s="242">
        <f t="shared" si="2361"/>
        <v>1127</v>
      </c>
      <c r="NO336" s="56"/>
      <c r="NR336" s="55">
        <f t="shared" si="2362"/>
        <v>46307</v>
      </c>
      <c r="NS336" s="56"/>
      <c r="NT336" s="242">
        <f>SUMPRODUCT(PRODUCE!$B333:$DY333,PRODUCE!$EB$49:$IY$49)</f>
        <v>0</v>
      </c>
      <c r="NU336" s="56"/>
      <c r="NV336" s="242">
        <f t="shared" si="2363"/>
        <v>0</v>
      </c>
      <c r="NW336" s="242">
        <f t="shared" si="2364"/>
        <v>3111.9999999999995</v>
      </c>
      <c r="NX336" s="56"/>
      <c r="OA336" s="55">
        <f t="shared" si="2365"/>
        <v>46307</v>
      </c>
      <c r="OB336" s="56"/>
      <c r="OC336" s="242">
        <f>SUMPRODUCT(PRODUCE!$B333:$DY333,PRODUCE!$EB$50:$IY$50)</f>
        <v>0</v>
      </c>
      <c r="OD336" s="56"/>
      <c r="OE336" s="242">
        <f t="shared" si="2366"/>
        <v>0</v>
      </c>
      <c r="OF336" s="242">
        <f t="shared" si="2367"/>
        <v>1680.5</v>
      </c>
      <c r="OG336" s="56"/>
      <c r="OJ336" s="55">
        <f t="shared" si="2368"/>
        <v>46307</v>
      </c>
      <c r="OK336" s="56"/>
      <c r="OL336" s="242">
        <f>SUMPRODUCT(PRODUCE!$B333:$DY333,PRODUCE!$EB$51:$IY$51)</f>
        <v>0</v>
      </c>
      <c r="OM336" s="56"/>
      <c r="ON336" s="242">
        <f t="shared" si="2369"/>
        <v>0</v>
      </c>
      <c r="OO336" s="242">
        <f t="shared" si="2370"/>
        <v>0</v>
      </c>
      <c r="OP336" s="56"/>
      <c r="OS336" s="55">
        <f t="shared" si="2371"/>
        <v>46307</v>
      </c>
      <c r="OT336" s="56"/>
      <c r="OU336" s="242">
        <f>SUMPRODUCT(PRODUCE!$B333:$DY333,PRODUCE!$EB$52:$IY$52)</f>
        <v>0</v>
      </c>
      <c r="OV336" s="56"/>
      <c r="OW336" s="242">
        <f t="shared" si="2372"/>
        <v>0</v>
      </c>
      <c r="OX336" s="242">
        <f t="shared" si="2373"/>
        <v>1482</v>
      </c>
      <c r="OY336" s="56"/>
      <c r="PB336" s="55">
        <f t="shared" si="2374"/>
        <v>46307</v>
      </c>
      <c r="PC336" s="56"/>
      <c r="PD336" s="242">
        <f>SUMPRODUCT(PRODUCE!$B333:$DY333,PRODUCE!$EB$53:$IY$53)</f>
        <v>0</v>
      </c>
      <c r="PE336" s="56"/>
      <c r="PF336" s="242">
        <f t="shared" si="2375"/>
        <v>0</v>
      </c>
      <c r="PG336" s="242">
        <f t="shared" si="2376"/>
        <v>0</v>
      </c>
      <c r="PH336" s="56"/>
      <c r="PK336" s="55">
        <f t="shared" si="2377"/>
        <v>46307</v>
      </c>
      <c r="PL336" s="56"/>
      <c r="PM336" s="242">
        <f>SUMPRODUCT(PRODUCE!$B333:$DY333,PRODUCE!$EB$54:$IY$54)</f>
        <v>0</v>
      </c>
      <c r="PN336" s="56"/>
      <c r="PO336" s="242">
        <f t="shared" si="2378"/>
        <v>0</v>
      </c>
      <c r="PP336" s="242">
        <f t="shared" si="2379"/>
        <v>100</v>
      </c>
      <c r="PQ336" s="56"/>
      <c r="PT336" s="55">
        <f t="shared" si="2380"/>
        <v>46307</v>
      </c>
      <c r="PU336" s="56"/>
      <c r="PV336" s="242">
        <f>SUMPRODUCT(PRODUCE!$B333:$DY333,PRODUCE!$EB$55:$IY$55)</f>
        <v>0</v>
      </c>
      <c r="PW336" s="56"/>
      <c r="PX336" s="242">
        <f t="shared" si="2381"/>
        <v>0</v>
      </c>
      <c r="PY336" s="242">
        <f t="shared" si="2382"/>
        <v>13.960000000000036</v>
      </c>
      <c r="PZ336" s="56"/>
      <c r="QC336" s="55">
        <f t="shared" si="2383"/>
        <v>46307</v>
      </c>
      <c r="QD336" s="56"/>
      <c r="QE336" s="242">
        <f>SUMPRODUCT(PRODUCE!$B333:$DY333,PRODUCE!$EB$56:$IY$56)</f>
        <v>0</v>
      </c>
      <c r="QF336" s="56"/>
      <c r="QG336" s="242">
        <f t="shared" si="2384"/>
        <v>0</v>
      </c>
      <c r="QH336" s="242">
        <f t="shared" si="2385"/>
        <v>548</v>
      </c>
      <c r="QI336" s="56"/>
      <c r="QL336" s="55">
        <f t="shared" si="2386"/>
        <v>46307</v>
      </c>
      <c r="QM336" s="56"/>
      <c r="QN336" s="242">
        <f>SUMPRODUCT(PRODUCE!$B333:$DY333,PRODUCE!$EB$57:$IY$57)</f>
        <v>0</v>
      </c>
      <c r="QO336" s="56"/>
      <c r="QP336" s="242">
        <f t="shared" si="2387"/>
        <v>0</v>
      </c>
      <c r="QQ336" s="242">
        <f t="shared" si="2388"/>
        <v>0</v>
      </c>
      <c r="QR336" s="56"/>
      <c r="QU336" s="55">
        <f t="shared" si="2389"/>
        <v>46307</v>
      </c>
      <c r="QV336" s="56"/>
      <c r="QW336" s="242">
        <f>SUMPRODUCT(PRODUCE!$B333:$DY333,PRODUCE!$EB$57:$IY$57)</f>
        <v>0</v>
      </c>
      <c r="QX336" s="56"/>
      <c r="QY336" s="242">
        <f t="shared" si="2390"/>
        <v>0</v>
      </c>
      <c r="QZ336" s="242">
        <f t="shared" si="2391"/>
        <v>0</v>
      </c>
      <c r="RA336" s="56"/>
      <c r="RD336" s="55">
        <f t="shared" si="2392"/>
        <v>46307</v>
      </c>
      <c r="RE336" s="56"/>
      <c r="RF336" s="242">
        <f>SUMPRODUCT(PRODUCE!$B333:$DY333,PRODUCE!$EB$58:$IY$58)</f>
        <v>0</v>
      </c>
      <c r="RG336" s="56"/>
      <c r="RH336" s="242">
        <f t="shared" si="2393"/>
        <v>0</v>
      </c>
      <c r="RI336" s="242">
        <f t="shared" si="2394"/>
        <v>147.04000000000002</v>
      </c>
      <c r="RJ336" s="56"/>
      <c r="RM336" s="55">
        <f t="shared" si="2395"/>
        <v>46307</v>
      </c>
      <c r="RN336" s="56"/>
      <c r="RO336" s="242">
        <f>SUMPRODUCT(PRODUCE!$B333:$DY333,PRODUCE!$EB$57:$IY$57)</f>
        <v>0</v>
      </c>
      <c r="RP336" s="56"/>
      <c r="RQ336" s="242">
        <f t="shared" si="2396"/>
        <v>0</v>
      </c>
      <c r="RR336" s="242">
        <f t="shared" si="2397"/>
        <v>46.8</v>
      </c>
      <c r="RS336" s="56"/>
      <c r="RV336" s="55">
        <f t="shared" si="2398"/>
        <v>46307</v>
      </c>
      <c r="RW336" s="56"/>
      <c r="RX336" s="242">
        <f>SUMPRODUCT(PRODUCE!$B333:$DY333,PRODUCE!$EB$57:$IY$57)</f>
        <v>0</v>
      </c>
      <c r="RY336" s="56"/>
      <c r="RZ336" s="242">
        <f t="shared" si="2399"/>
        <v>0</v>
      </c>
      <c r="SA336" s="242">
        <f t="shared" si="2400"/>
        <v>0</v>
      </c>
      <c r="SB336" s="56"/>
      <c r="SE336" s="55">
        <f t="shared" si="2401"/>
        <v>46307</v>
      </c>
      <c r="SF336" s="56"/>
      <c r="SG336" s="242">
        <f>SUMPRODUCT(PRODUCE!$B333:$DY333,PRODUCE!$EB$61:$IY$61)</f>
        <v>0</v>
      </c>
      <c r="SH336" s="56"/>
      <c r="SI336" s="242">
        <f t="shared" si="2402"/>
        <v>0</v>
      </c>
      <c r="SJ336" s="242">
        <f t="shared" si="2403"/>
        <v>24.200000000000003</v>
      </c>
      <c r="SK336" s="56"/>
      <c r="SN336" s="55">
        <f t="shared" si="2404"/>
        <v>46307</v>
      </c>
      <c r="SO336" s="56"/>
      <c r="SP336" s="242">
        <f>SUMPRODUCT(PRODUCE!$B333:$DY333,PRODUCE!$EB$57:$IY$57)</f>
        <v>0</v>
      </c>
      <c r="SQ336" s="56"/>
      <c r="SR336" s="242">
        <f t="shared" si="2405"/>
        <v>0</v>
      </c>
      <c r="SS336" s="242">
        <f t="shared" si="2406"/>
        <v>32</v>
      </c>
      <c r="ST336" s="56"/>
      <c r="SW336" s="55">
        <f t="shared" si="2407"/>
        <v>46307</v>
      </c>
      <c r="SX336" s="56"/>
      <c r="SY336" s="242">
        <f>SUMPRODUCT(PRODUCE!$B333:$DY333,PRODUCE!$EB$57:$IY$57)</f>
        <v>0</v>
      </c>
      <c r="SZ336" s="56"/>
      <c r="TA336" s="242">
        <f t="shared" si="2408"/>
        <v>0</v>
      </c>
      <c r="TB336" s="242">
        <f t="shared" si="2409"/>
        <v>0</v>
      </c>
      <c r="TC336" s="56"/>
      <c r="TF336" s="55">
        <f t="shared" si="2410"/>
        <v>46307</v>
      </c>
      <c r="TG336" s="56"/>
      <c r="TH336" s="242">
        <f>SUMPRODUCT(PRODUCE!$B333:$DY333,PRODUCE!$EB$57:$IY$57)</f>
        <v>0</v>
      </c>
      <c r="TI336" s="56"/>
      <c r="TJ336" s="242">
        <f t="shared" si="2411"/>
        <v>0</v>
      </c>
      <c r="TK336" s="242">
        <f t="shared" si="2412"/>
        <v>0</v>
      </c>
      <c r="TL336" s="56"/>
      <c r="TO336" s="55">
        <f t="shared" si="2413"/>
        <v>46307</v>
      </c>
      <c r="TP336" s="56"/>
      <c r="TQ336" s="242">
        <f>SUMPRODUCT(PRODUCE!$B333:$DY333,PRODUCE!$EB$57:$IY$57)</f>
        <v>0</v>
      </c>
      <c r="TR336" s="56"/>
      <c r="TS336" s="242">
        <f t="shared" si="2414"/>
        <v>0</v>
      </c>
      <c r="TT336" s="242">
        <f t="shared" si="2415"/>
        <v>0</v>
      </c>
      <c r="TU336" s="56"/>
      <c r="TX336" s="55">
        <f t="shared" si="2416"/>
        <v>46307</v>
      </c>
      <c r="TY336" s="56"/>
      <c r="TZ336" s="242">
        <f>SUMPRODUCT(PRODUCE!$B333:$DY333,PRODUCE!$EB$57:$IY$57)</f>
        <v>0</v>
      </c>
      <c r="UA336" s="56"/>
      <c r="UB336" s="242">
        <f t="shared" si="2417"/>
        <v>0</v>
      </c>
      <c r="UC336" s="242">
        <f t="shared" si="2418"/>
        <v>46.799999999999983</v>
      </c>
      <c r="UD336" s="56"/>
      <c r="UG336" s="55">
        <f t="shared" si="2419"/>
        <v>46307</v>
      </c>
      <c r="UH336" s="56"/>
      <c r="UI336" s="242">
        <f>SUMPRODUCT(PRODUCE!$B333:$DY333,PRODUCE!$EB$57:$IY$57)</f>
        <v>0</v>
      </c>
      <c r="UJ336" s="56"/>
      <c r="UK336" s="242">
        <f t="shared" si="2420"/>
        <v>0</v>
      </c>
      <c r="UL336" s="242">
        <f t="shared" si="2421"/>
        <v>204</v>
      </c>
      <c r="UM336" s="56"/>
      <c r="UP336" s="55">
        <f t="shared" si="2422"/>
        <v>46307</v>
      </c>
      <c r="UQ336" s="56"/>
      <c r="UR336" s="242">
        <f>SUMPRODUCT(PRODUCE!$B333:$DY333,PRODUCE!$EB$57:$IY$57)</f>
        <v>0</v>
      </c>
      <c r="US336" s="56"/>
      <c r="UT336" s="242">
        <f t="shared" si="2423"/>
        <v>0</v>
      </c>
      <c r="UU336" s="242">
        <f t="shared" si="2424"/>
        <v>202.5</v>
      </c>
      <c r="UV336" s="56"/>
      <c r="UY336" s="55">
        <f t="shared" si="2425"/>
        <v>46307</v>
      </c>
      <c r="UZ336" s="56"/>
      <c r="VA336" s="242">
        <f>SUMPRODUCT(PRODUCE!$B333:$DY333,PRODUCE!$EB$57:$IY$57)</f>
        <v>0</v>
      </c>
      <c r="VB336" s="56"/>
      <c r="VC336" s="242">
        <f t="shared" si="2426"/>
        <v>0</v>
      </c>
      <c r="VD336" s="242">
        <f t="shared" si="2427"/>
        <v>41.600000000000023</v>
      </c>
      <c r="VE336" s="56"/>
      <c r="VH336" s="55">
        <f t="shared" si="2428"/>
        <v>46307</v>
      </c>
      <c r="VI336" s="56"/>
      <c r="VJ336" s="242">
        <f>SUMPRODUCT(PRODUCE!$B333:$DY333,PRODUCE!$EB$57:$IY$57)</f>
        <v>0</v>
      </c>
      <c r="VK336" s="56"/>
      <c r="VL336" s="242">
        <f t="shared" si="2429"/>
        <v>0</v>
      </c>
      <c r="VM336" s="242">
        <f t="shared" si="2430"/>
        <v>210</v>
      </c>
      <c r="VN336" s="56"/>
      <c r="VQ336" s="55">
        <f t="shared" si="2431"/>
        <v>46307</v>
      </c>
      <c r="VR336" s="56"/>
      <c r="VS336" s="242">
        <f>SUMPRODUCT(PRODUCE!$B333:$DY333,PRODUCE!$EB$57:$IY$57)</f>
        <v>0</v>
      </c>
      <c r="VT336" s="56"/>
      <c r="VU336" s="242">
        <f t="shared" si="2432"/>
        <v>0</v>
      </c>
      <c r="VV336" s="242">
        <f t="shared" si="2433"/>
        <v>0</v>
      </c>
      <c r="VW336" s="56"/>
      <c r="VZ336" s="55">
        <f t="shared" si="2434"/>
        <v>46307</v>
      </c>
      <c r="WA336" s="56"/>
      <c r="WB336" s="242">
        <f>SUMPRODUCT(PRODUCE!$B333:$DY333,PRODUCE!$EB$57:$IY$57)</f>
        <v>0</v>
      </c>
      <c r="WC336" s="56"/>
      <c r="WD336" s="242">
        <f t="shared" si="2435"/>
        <v>0</v>
      </c>
      <c r="WE336" s="242">
        <f t="shared" si="2436"/>
        <v>0</v>
      </c>
      <c r="WF336" s="56"/>
      <c r="WI336" s="55">
        <f t="shared" si="2437"/>
        <v>46307</v>
      </c>
      <c r="WJ336" s="56"/>
      <c r="WK336" s="242">
        <f>SUMPRODUCT(PRODUCE!$B333:$DY333,PRODUCE!$EB$57:$IY$57)</f>
        <v>0</v>
      </c>
      <c r="WL336" s="56"/>
      <c r="WM336" s="242">
        <f t="shared" si="2438"/>
        <v>0</v>
      </c>
      <c r="WN336" s="242">
        <f t="shared" si="2439"/>
        <v>1057</v>
      </c>
      <c r="WO336" s="56"/>
      <c r="WR336" s="55">
        <f t="shared" si="2440"/>
        <v>46307</v>
      </c>
      <c r="WS336" s="56"/>
      <c r="WT336" s="242">
        <f>SUMPRODUCT(PRODUCE!$B333:$DY333,PRODUCE!$EB$57:$IY$57)</f>
        <v>0</v>
      </c>
      <c r="WU336" s="56"/>
      <c r="WV336" s="242">
        <f t="shared" si="2441"/>
        <v>0</v>
      </c>
      <c r="WW336" s="242">
        <f t="shared" si="2442"/>
        <v>0</v>
      </c>
      <c r="WX336" s="56"/>
      <c r="XA336" s="55">
        <f t="shared" si="2443"/>
        <v>46307</v>
      </c>
      <c r="XB336" s="56"/>
      <c r="XC336" s="242">
        <f>SUMPRODUCT(PRODUCE!$B333:$DY333,PRODUCE!$EB$57:$IY$57)</f>
        <v>0</v>
      </c>
      <c r="XD336" s="56"/>
      <c r="XE336" s="242">
        <f t="shared" si="2444"/>
        <v>0</v>
      </c>
      <c r="XF336" s="242">
        <f t="shared" si="2445"/>
        <v>7507</v>
      </c>
      <c r="XG336" s="56"/>
      <c r="XJ336" s="55">
        <f t="shared" si="2446"/>
        <v>46307</v>
      </c>
      <c r="XK336" s="56"/>
      <c r="XL336" s="242">
        <f>SUMPRODUCT(PRODUCE!$B333:$DY333,PRODUCE!$EB$57:$IY$57)</f>
        <v>0</v>
      </c>
      <c r="XM336" s="56"/>
      <c r="XN336" s="242">
        <f t="shared" si="2447"/>
        <v>0</v>
      </c>
      <c r="XO336" s="242">
        <f t="shared" si="2448"/>
        <v>4252</v>
      </c>
      <c r="XP336" s="56"/>
      <c r="XS336" s="55">
        <f t="shared" si="2449"/>
        <v>46307</v>
      </c>
      <c r="XT336" s="56"/>
      <c r="XU336" s="242">
        <f>SUMPRODUCT(PRODUCE!$B333:$DY333,PRODUCE!$EB$57:$IY$57)</f>
        <v>0</v>
      </c>
      <c r="XV336" s="56"/>
      <c r="XW336" s="242">
        <f t="shared" si="2450"/>
        <v>0</v>
      </c>
      <c r="XX336" s="242">
        <f t="shared" si="2451"/>
        <v>2179</v>
      </c>
      <c r="XY336" s="56"/>
      <c r="YB336" s="55">
        <f t="shared" si="2452"/>
        <v>46307</v>
      </c>
      <c r="YC336" s="56"/>
      <c r="YD336" s="242">
        <f>SUMPRODUCT(PRODUCE!$B333:$DY333,PRODUCE!$EB$57:$IY$57)</f>
        <v>0</v>
      </c>
      <c r="YE336" s="56"/>
      <c r="YF336" s="242">
        <f t="shared" si="2453"/>
        <v>0</v>
      </c>
      <c r="YG336" s="242">
        <f t="shared" si="2454"/>
        <v>4019</v>
      </c>
      <c r="YH336" s="56"/>
      <c r="YK336" s="55">
        <f t="shared" si="2455"/>
        <v>46307</v>
      </c>
      <c r="YL336" s="56"/>
      <c r="YM336" s="242">
        <f>SUMPRODUCT(PRODUCE!$B333:$DY333,PRODUCE!$EB$57:$IY$57)</f>
        <v>0</v>
      </c>
      <c r="YN336" s="56"/>
      <c r="YO336" s="242">
        <f t="shared" si="2456"/>
        <v>0</v>
      </c>
      <c r="YP336" s="242">
        <f t="shared" si="2457"/>
        <v>-218</v>
      </c>
      <c r="YQ336" s="56"/>
      <c r="YT336" s="55">
        <f t="shared" si="2458"/>
        <v>46307</v>
      </c>
      <c r="YU336" s="56"/>
      <c r="YV336" s="242">
        <f>SUMPRODUCT(PRODUCE!$B333:$DY333,PRODUCE!$EB$57:$IY$57)</f>
        <v>0</v>
      </c>
      <c r="YW336" s="56"/>
      <c r="YX336" s="242">
        <f t="shared" si="2459"/>
        <v>0</v>
      </c>
      <c r="YY336" s="242">
        <f t="shared" si="2460"/>
        <v>0</v>
      </c>
      <c r="YZ336" s="56"/>
      <c r="ZC336" s="55">
        <f t="shared" si="2461"/>
        <v>46307</v>
      </c>
      <c r="ZD336" s="56"/>
      <c r="ZE336" s="242">
        <f>SUMPRODUCT(PRODUCE!$B333:$DY333,PRODUCE!$EB$57:$IY$57)</f>
        <v>0</v>
      </c>
      <c r="ZF336" s="56"/>
      <c r="ZG336" s="242">
        <f t="shared" si="2462"/>
        <v>0</v>
      </c>
      <c r="ZH336" s="242">
        <f t="shared" si="2463"/>
        <v>0</v>
      </c>
      <c r="ZI336" s="56"/>
      <c r="ZL336" s="55">
        <f t="shared" si="2464"/>
        <v>46307</v>
      </c>
      <c r="ZM336" s="56"/>
      <c r="ZN336" s="242">
        <f>SUMPRODUCT(PRODUCE!$B333:$DY333,PRODUCE!$EB$57:$IY$57)</f>
        <v>0</v>
      </c>
      <c r="ZO336" s="56"/>
      <c r="ZP336" s="242">
        <f t="shared" si="2465"/>
        <v>0</v>
      </c>
      <c r="ZQ336" s="242">
        <f t="shared" si="2466"/>
        <v>0</v>
      </c>
      <c r="ZR336" s="56"/>
      <c r="ZU336" s="55">
        <f t="shared" si="2467"/>
        <v>46307</v>
      </c>
      <c r="ZV336" s="56"/>
      <c r="ZW336" s="242">
        <f>SUMPRODUCT(PRODUCE!$B333:$DY333,PRODUCE!$EB$57:$IY$57)</f>
        <v>0</v>
      </c>
      <c r="ZX336" s="56"/>
      <c r="ZY336" s="242">
        <f t="shared" si="2468"/>
        <v>0</v>
      </c>
      <c r="ZZ336" s="242">
        <f t="shared" si="2469"/>
        <v>0</v>
      </c>
      <c r="AAA336" s="56"/>
      <c r="AAD336" s="55">
        <f t="shared" si="2470"/>
        <v>46307</v>
      </c>
      <c r="AAE336" s="56"/>
      <c r="AAF336" s="242">
        <f>SUMPRODUCT(PRODUCE!$B333:$DY333,PRODUCE!$EB$57:$IY$57)</f>
        <v>0</v>
      </c>
      <c r="AAG336" s="56"/>
      <c r="AAH336" s="242">
        <f t="shared" si="2471"/>
        <v>0</v>
      </c>
      <c r="AAI336" s="242">
        <f t="shared" si="2472"/>
        <v>0</v>
      </c>
      <c r="AAJ336" s="56"/>
      <c r="AAM336" s="55">
        <f t="shared" si="2473"/>
        <v>46307</v>
      </c>
      <c r="AAN336" s="56"/>
      <c r="AAO336" s="242">
        <f>SUMPRODUCT(PRODUCE!$B333:$DY333,PRODUCE!$EB$57:$IY$57)</f>
        <v>0</v>
      </c>
      <c r="AAP336" s="56"/>
      <c r="AAQ336" s="242">
        <f t="shared" si="2474"/>
        <v>0</v>
      </c>
      <c r="AAR336" s="242">
        <f t="shared" si="2475"/>
        <v>0</v>
      </c>
      <c r="AAS336" s="56"/>
      <c r="AAV336" s="55">
        <f t="shared" si="2476"/>
        <v>46307</v>
      </c>
      <c r="AAW336" s="56"/>
      <c r="AAX336" s="242">
        <f>SUMPRODUCT(PRODUCE!$B333:$DY333,PRODUCE!$EB$57:$IY$57)</f>
        <v>0</v>
      </c>
      <c r="AAY336" s="56"/>
      <c r="AAZ336" s="242">
        <f t="shared" si="2477"/>
        <v>0</v>
      </c>
      <c r="ABA336" s="242">
        <f t="shared" si="2478"/>
        <v>0</v>
      </c>
      <c r="ABB336" s="56"/>
      <c r="ABE336" s="55">
        <f t="shared" si="2479"/>
        <v>46307</v>
      </c>
      <c r="ABF336" s="56"/>
      <c r="ABG336" s="242">
        <f>SUMPRODUCT(PRODUCE!$B333:$DY333,PRODUCE!$EB$57:$IY$57)</f>
        <v>0</v>
      </c>
      <c r="ABH336" s="56"/>
      <c r="ABI336" s="242">
        <f t="shared" si="2480"/>
        <v>0</v>
      </c>
      <c r="ABJ336" s="242">
        <f t="shared" si="2481"/>
        <v>0</v>
      </c>
      <c r="ABK336" s="56"/>
    </row>
    <row r="337" spans="2:739" s="54" customFormat="1" ht="15" customHeight="1" outlineLevel="1">
      <c r="B337" s="478"/>
      <c r="C337" s="55">
        <v>46308</v>
      </c>
      <c r="D337" s="56"/>
      <c r="E337" s="57">
        <f>SUMPRODUCT(PRODUCE!$B334:$DY334,PRODUCE!$EB$7:$IY$7)</f>
        <v>0</v>
      </c>
      <c r="F337" s="56"/>
      <c r="G337" s="57">
        <f t="shared" si="2237"/>
        <v>0</v>
      </c>
      <c r="H337" s="57">
        <f t="shared" si="2238"/>
        <v>236936.6</v>
      </c>
      <c r="I337" s="289"/>
      <c r="L337" s="55">
        <f t="shared" si="2239"/>
        <v>46308</v>
      </c>
      <c r="M337" s="56"/>
      <c r="N337" s="59">
        <f>SUMPRODUCT(PRODUCE!$B334:$DY334,PRODUCE!$EB$8:$IY$8)</f>
        <v>0</v>
      </c>
      <c r="O337" s="56"/>
      <c r="P337" s="59">
        <f t="shared" si="2240"/>
        <v>0</v>
      </c>
      <c r="Q337" s="59">
        <f t="shared" si="2241"/>
        <v>53017.600000000071</v>
      </c>
      <c r="R337" s="56"/>
      <c r="U337" s="55">
        <f t="shared" si="2242"/>
        <v>46308</v>
      </c>
      <c r="V337" s="56"/>
      <c r="W337" s="60">
        <f>SUMPRODUCT(PRODUCE!$B334:$DY334,PRODUCE!$EB$9:$IY$9)</f>
        <v>0</v>
      </c>
      <c r="X337" s="56"/>
      <c r="Y337" s="60">
        <f t="shared" si="2243"/>
        <v>0</v>
      </c>
      <c r="Z337" s="60">
        <f t="shared" si="2244"/>
        <v>42674.199999999968</v>
      </c>
      <c r="AA337" s="56"/>
      <c r="AD337" s="55">
        <f t="shared" si="2245"/>
        <v>46308</v>
      </c>
      <c r="AE337" s="56"/>
      <c r="AF337" s="61">
        <f>SUMPRODUCT(PRODUCE!$B334:$DY334,PRODUCE!$EB$10:$IY$10)</f>
        <v>0</v>
      </c>
      <c r="AG337" s="56"/>
      <c r="AH337" s="61">
        <f t="shared" si="2246"/>
        <v>0</v>
      </c>
      <c r="AI337" s="61">
        <f t="shared" si="2247"/>
        <v>4522.2000000000189</v>
      </c>
      <c r="AJ337" s="56"/>
      <c r="AM337" s="55">
        <f t="shared" si="2248"/>
        <v>46308</v>
      </c>
      <c r="AN337" s="422"/>
      <c r="AO337" s="444">
        <f>SUMPRODUCT(PRODUCE!$B334:$DY334,PRODUCE!$EB$11:$IY$11)</f>
        <v>0</v>
      </c>
      <c r="AP337" s="422"/>
      <c r="AQ337" s="444">
        <f t="shared" si="2249"/>
        <v>0</v>
      </c>
      <c r="AR337" s="444">
        <f t="shared" si="2250"/>
        <v>0</v>
      </c>
      <c r="AS337" s="56"/>
      <c r="AV337" s="55">
        <f t="shared" si="2251"/>
        <v>46308</v>
      </c>
      <c r="AW337" s="56"/>
      <c r="AX337" s="62">
        <f>SUMPRODUCT(PRODUCE!$B334:$DY334,PRODUCE!$EB$12:$IY$12)</f>
        <v>0</v>
      </c>
      <c r="AY337" s="56"/>
      <c r="AZ337" s="62">
        <f t="shared" si="2252"/>
        <v>0</v>
      </c>
      <c r="BA337" s="62">
        <f t="shared" si="2253"/>
        <v>124.99999999999523</v>
      </c>
      <c r="BB337" s="56"/>
      <c r="BE337" s="55">
        <f t="shared" si="2254"/>
        <v>46308</v>
      </c>
      <c r="BF337" s="56"/>
      <c r="BG337" s="63">
        <f>SUMPRODUCT(PRODUCE!$B334:$DY334,PRODUCE!$EB$13:$IY$13)</f>
        <v>0</v>
      </c>
      <c r="BH337" s="56"/>
      <c r="BI337" s="63">
        <f t="shared" si="2255"/>
        <v>0</v>
      </c>
      <c r="BJ337" s="63">
        <f t="shared" si="2256"/>
        <v>26151.899999999998</v>
      </c>
      <c r="BK337" s="56"/>
      <c r="BN337" s="55">
        <f t="shared" si="2257"/>
        <v>46308</v>
      </c>
      <c r="BO337" s="56"/>
      <c r="BP337" s="64">
        <f>SUMPRODUCT(PRODUCE!$B334:$DY334,PRODUCE!$EB$14:$IY$14)</f>
        <v>0</v>
      </c>
      <c r="BQ337" s="56"/>
      <c r="BR337" s="64">
        <f t="shared" si="2258"/>
        <v>0</v>
      </c>
      <c r="BS337" s="64">
        <f t="shared" si="2259"/>
        <v>0</v>
      </c>
      <c r="BT337" s="56"/>
      <c r="BW337" s="55">
        <f t="shared" si="2260"/>
        <v>46308</v>
      </c>
      <c r="BX337" s="56"/>
      <c r="BY337" s="65">
        <f>SUMPRODUCT(PRODUCE!$B334:$DY334,PRODUCE!$EB$15:$IY$15)</f>
        <v>0</v>
      </c>
      <c r="BZ337" s="56"/>
      <c r="CA337" s="65">
        <f t="shared" si="2261"/>
        <v>0</v>
      </c>
      <c r="CB337" s="65">
        <f t="shared" si="2262"/>
        <v>2097.3399999999992</v>
      </c>
      <c r="CC337" s="56"/>
      <c r="CF337" s="55">
        <f t="shared" si="2263"/>
        <v>46308</v>
      </c>
      <c r="CG337" s="56"/>
      <c r="CH337" s="66">
        <f>SUMPRODUCT(PRODUCE!$B334:$DY334,PRODUCE!$EB$16:$IY$16)</f>
        <v>0</v>
      </c>
      <c r="CI337" s="56"/>
      <c r="CJ337" s="66">
        <f t="shared" si="2264"/>
        <v>0</v>
      </c>
      <c r="CK337" s="66">
        <f t="shared" si="2265"/>
        <v>-10277.079999999998</v>
      </c>
      <c r="CL337" s="56"/>
      <c r="CO337" s="55">
        <f t="shared" si="2266"/>
        <v>46308</v>
      </c>
      <c r="CP337" s="422"/>
      <c r="CQ337" s="470">
        <f>SUMPRODUCT(PRODUCE!$B334:$DY334,PRODUCE!$EB$17:$IY$17)</f>
        <v>0</v>
      </c>
      <c r="CR337" s="422"/>
      <c r="CS337" s="470">
        <f t="shared" si="2267"/>
        <v>0</v>
      </c>
      <c r="CT337" s="470">
        <f t="shared" si="2268"/>
        <v>0</v>
      </c>
      <c r="CU337" s="56"/>
      <c r="CX337" s="55">
        <f t="shared" si="2269"/>
        <v>46308</v>
      </c>
      <c r="CY337" s="56"/>
      <c r="CZ337" s="133">
        <f>SUMPRODUCT(PRODUCE!$B334:$DY334,PRODUCE!$EB$18:$IY$18)</f>
        <v>0</v>
      </c>
      <c r="DA337" s="56"/>
      <c r="DB337" s="133">
        <f t="shared" si="2270"/>
        <v>0</v>
      </c>
      <c r="DC337" s="133">
        <f t="shared" si="2271"/>
        <v>27438.200000000012</v>
      </c>
      <c r="DD337" s="56"/>
      <c r="DG337" s="55">
        <f t="shared" si="2272"/>
        <v>46308</v>
      </c>
      <c r="DH337" s="56"/>
      <c r="DI337" s="147">
        <f>SUMPRODUCT(PRODUCE!$B334:$DY334,PRODUCE!$EB$19:$IY$19)</f>
        <v>0</v>
      </c>
      <c r="DJ337" s="56"/>
      <c r="DK337" s="147">
        <f t="shared" si="2273"/>
        <v>0</v>
      </c>
      <c r="DL337" s="147">
        <f t="shared" si="2274"/>
        <v>18782.299999999981</v>
      </c>
      <c r="DM337" s="56"/>
      <c r="DP337" s="55">
        <f t="shared" si="2275"/>
        <v>46308</v>
      </c>
      <c r="DQ337" s="56"/>
      <c r="DR337" s="57">
        <f>SUMPRODUCT(PRODUCE!$B334:$DY334,PRODUCE!$EB$20:$IY$20)</f>
        <v>0</v>
      </c>
      <c r="DS337" s="56"/>
      <c r="DT337" s="57">
        <f t="shared" si="2276"/>
        <v>0</v>
      </c>
      <c r="DU337" s="57">
        <f t="shared" si="2277"/>
        <v>5800</v>
      </c>
      <c r="DV337" s="56"/>
      <c r="DY337" s="55">
        <f t="shared" si="2278"/>
        <v>46308</v>
      </c>
      <c r="DZ337" s="56"/>
      <c r="EA337" s="157">
        <f>SUMPRODUCT(PRODUCE!$B334:$DY334,PRODUCE!$EB$21:$IY$21)</f>
        <v>0</v>
      </c>
      <c r="EB337" s="56"/>
      <c r="EC337" s="157">
        <f t="shared" si="2279"/>
        <v>0</v>
      </c>
      <c r="ED337" s="157">
        <f t="shared" si="2280"/>
        <v>0</v>
      </c>
      <c r="EE337" s="56"/>
      <c r="EH337" s="55">
        <f t="shared" si="2281"/>
        <v>46308</v>
      </c>
      <c r="EI337" s="56"/>
      <c r="EJ337" s="162">
        <f>SUMPRODUCT(PRODUCE!$B334:$DY334,PRODUCE!$EB$22:$IY$22)</f>
        <v>0</v>
      </c>
      <c r="EK337" s="56"/>
      <c r="EL337" s="162">
        <f t="shared" si="2282"/>
        <v>0</v>
      </c>
      <c r="EM337" s="162">
        <f t="shared" si="2283"/>
        <v>0</v>
      </c>
      <c r="EN337" s="56"/>
      <c r="EQ337" s="55">
        <f t="shared" si="2284"/>
        <v>46308</v>
      </c>
      <c r="ER337" s="56"/>
      <c r="ES337" s="135">
        <f>SUMPRODUCT(PRODUCE!$B334:$DY334,PRODUCE!$EB$23:$IY$23)</f>
        <v>0</v>
      </c>
      <c r="ET337" s="56"/>
      <c r="EU337" s="135">
        <f t="shared" si="2285"/>
        <v>0</v>
      </c>
      <c r="EV337" s="135">
        <f t="shared" si="2286"/>
        <v>0</v>
      </c>
      <c r="EW337" s="56"/>
      <c r="EZ337" s="55">
        <f t="shared" si="2287"/>
        <v>46308</v>
      </c>
      <c r="FA337" s="56"/>
      <c r="FB337" s="175">
        <f>SUMPRODUCT(PRODUCE!$B334:$DY334,PRODUCE!$EB$24:$IY$24)</f>
        <v>0</v>
      </c>
      <c r="FC337" s="56"/>
      <c r="FD337" s="175">
        <f t="shared" si="2288"/>
        <v>0</v>
      </c>
      <c r="FE337" s="175">
        <f t="shared" si="2289"/>
        <v>0</v>
      </c>
      <c r="FF337" s="56"/>
      <c r="FI337" s="55">
        <f t="shared" si="2290"/>
        <v>46308</v>
      </c>
      <c r="FJ337" s="56"/>
      <c r="FK337" s="183">
        <f>SUMPRODUCT(PRODUCE!$B334:$DY334,PRODUCE!$EB$25:$IY$25)</f>
        <v>0</v>
      </c>
      <c r="FL337" s="56"/>
      <c r="FM337" s="183">
        <f t="shared" si="2291"/>
        <v>0</v>
      </c>
      <c r="FN337" s="183">
        <f t="shared" si="2292"/>
        <v>0</v>
      </c>
      <c r="FO337" s="56"/>
      <c r="FR337" s="55">
        <f t="shared" si="2293"/>
        <v>46308</v>
      </c>
      <c r="FS337" s="56"/>
      <c r="FT337" s="186">
        <f>SUMPRODUCT(PRODUCE!$B334:$DY334,PRODUCE!$EB$26:$IY$26)</f>
        <v>0</v>
      </c>
      <c r="FU337" s="56"/>
      <c r="FV337" s="186">
        <f t="shared" si="2294"/>
        <v>0</v>
      </c>
      <c r="FW337" s="186">
        <f t="shared" si="2295"/>
        <v>2020</v>
      </c>
      <c r="FX337" s="56"/>
      <c r="GA337" s="55">
        <f t="shared" si="2296"/>
        <v>46308</v>
      </c>
      <c r="GB337" s="56"/>
      <c r="GC337" s="137">
        <f>SUMPRODUCT(PRODUCE!$B334:$DY334,PRODUCE!$EB$27:$IY$27)</f>
        <v>0</v>
      </c>
      <c r="GD337" s="56"/>
      <c r="GE337" s="137">
        <f t="shared" si="2297"/>
        <v>0</v>
      </c>
      <c r="GF337" s="137">
        <f t="shared" si="2298"/>
        <v>960</v>
      </c>
      <c r="GG337" s="56"/>
      <c r="GI337" s="23"/>
      <c r="GJ337" s="55">
        <f t="shared" si="2299"/>
        <v>46308</v>
      </c>
      <c r="GK337" s="56"/>
      <c r="GL337" s="199">
        <f>SUMPRODUCT(PRODUCE!$B334:$DY334,PRODUCE!$EB$28:$IY$28)</f>
        <v>0</v>
      </c>
      <c r="GM337" s="56"/>
      <c r="GN337" s="199">
        <f t="shared" si="2300"/>
        <v>0</v>
      </c>
      <c r="GO337" s="199">
        <f t="shared" si="2301"/>
        <v>1760</v>
      </c>
      <c r="GP337" s="56"/>
      <c r="GS337" s="55">
        <f t="shared" si="2302"/>
        <v>46308</v>
      </c>
      <c r="GT337" s="56"/>
      <c r="GU337" s="195">
        <f>SUMPRODUCT(PRODUCE!$B334:$DY334,PRODUCE!$EB$29:$IY$29)</f>
        <v>0</v>
      </c>
      <c r="GV337" s="56"/>
      <c r="GW337" s="195">
        <f t="shared" si="2303"/>
        <v>0</v>
      </c>
      <c r="GX337" s="195">
        <f t="shared" si="2304"/>
        <v>400</v>
      </c>
      <c r="GY337" s="56"/>
      <c r="HB337" s="55">
        <f t="shared" si="2305"/>
        <v>46308</v>
      </c>
      <c r="HC337" s="56"/>
      <c r="HD337" s="191">
        <f>SUMPRODUCT(PRODUCE!$B334:$DY334,PRODUCE!$EB$30:$IY$30)</f>
        <v>0</v>
      </c>
      <c r="HE337" s="56"/>
      <c r="HF337" s="191">
        <f t="shared" si="2306"/>
        <v>0</v>
      </c>
      <c r="HG337" s="191">
        <f t="shared" si="2307"/>
        <v>3600</v>
      </c>
      <c r="HH337" s="56"/>
      <c r="HK337" s="55">
        <f t="shared" si="2308"/>
        <v>46308</v>
      </c>
      <c r="HL337" s="56"/>
      <c r="HM337" s="63">
        <f>SUMPRODUCT(PRODUCE!$B334:$DY334,PRODUCE!$EB$31:$IY$31)</f>
        <v>0</v>
      </c>
      <c r="HN337" s="56"/>
      <c r="HO337" s="63">
        <f t="shared" si="2309"/>
        <v>0</v>
      </c>
      <c r="HP337" s="63">
        <f t="shared" si="2310"/>
        <v>0</v>
      </c>
      <c r="HQ337" s="56"/>
      <c r="HU337" s="55">
        <f t="shared" si="2311"/>
        <v>46308</v>
      </c>
      <c r="HV337" s="56"/>
      <c r="HW337" s="242">
        <f>SUMPRODUCT(PRODUCE!$B334:$DY334,PRODUCE!$EB$32:$IY$32)</f>
        <v>0</v>
      </c>
      <c r="HX337" s="56"/>
      <c r="HY337" s="242">
        <f t="shared" si="2312"/>
        <v>0</v>
      </c>
      <c r="HZ337" s="242">
        <f t="shared" si="2313"/>
        <v>6120</v>
      </c>
      <c r="IA337" s="56"/>
      <c r="ID337" s="55">
        <f t="shared" si="2314"/>
        <v>46308</v>
      </c>
      <c r="IE337" s="56"/>
      <c r="IF337" s="242">
        <f>SUMPRODUCT(PRODUCE!$B334:$DY334,PRODUCE!$EB$33:$IY$33)</f>
        <v>0</v>
      </c>
      <c r="IG337" s="56"/>
      <c r="IH337" s="242">
        <f t="shared" si="2315"/>
        <v>0</v>
      </c>
      <c r="II337" s="242">
        <f t="shared" si="2316"/>
        <v>0</v>
      </c>
      <c r="IJ337" s="56"/>
      <c r="IM337" s="55">
        <f t="shared" si="2317"/>
        <v>46308</v>
      </c>
      <c r="IN337" s="56"/>
      <c r="IO337" s="242">
        <f>SUMPRODUCT(PRODUCE!$B334:$DY334,PRODUCE!$EB$34:$IY$34)</f>
        <v>0</v>
      </c>
      <c r="IP337" s="56"/>
      <c r="IQ337" s="242">
        <f t="shared" si="2318"/>
        <v>0</v>
      </c>
      <c r="IR337" s="242">
        <f t="shared" si="2319"/>
        <v>0</v>
      </c>
      <c r="IS337" s="56"/>
      <c r="IV337" s="55">
        <f t="shared" si="2320"/>
        <v>46308</v>
      </c>
      <c r="IW337" s="56"/>
      <c r="IX337" s="242">
        <f>SUMPRODUCT(PRODUCE!$B334:$DY334,PRODUCE!$EB$35:$IY$35)</f>
        <v>0</v>
      </c>
      <c r="IY337" s="56"/>
      <c r="IZ337" s="242">
        <f t="shared" si="2321"/>
        <v>0</v>
      </c>
      <c r="JA337" s="242">
        <f t="shared" si="2322"/>
        <v>2820</v>
      </c>
      <c r="JB337" s="56"/>
      <c r="JE337" s="55">
        <f t="shared" si="2323"/>
        <v>46308</v>
      </c>
      <c r="JF337" s="56"/>
      <c r="JG337" s="242">
        <f>SUMPRODUCT(PRODUCE!$B334:$DY334,PRODUCE!$EB$36:$IY$36)</f>
        <v>0</v>
      </c>
      <c r="JH337" s="56"/>
      <c r="JI337" s="242">
        <f t="shared" si="2324"/>
        <v>0</v>
      </c>
      <c r="JJ337" s="242">
        <f t="shared" si="2325"/>
        <v>0</v>
      </c>
      <c r="JK337" s="56"/>
      <c r="JN337" s="55">
        <f t="shared" si="2326"/>
        <v>46308</v>
      </c>
      <c r="JO337" s="56"/>
      <c r="JP337" s="242">
        <f>SUMPRODUCT(PRODUCE!$B334:$DY334,PRODUCE!$EB$37:$IY$37)</f>
        <v>0</v>
      </c>
      <c r="JQ337" s="56"/>
      <c r="JR337" s="242">
        <f t="shared" si="2327"/>
        <v>0</v>
      </c>
      <c r="JS337" s="242">
        <f t="shared" si="2328"/>
        <v>0</v>
      </c>
      <c r="JT337" s="56"/>
      <c r="JW337" s="55">
        <f t="shared" si="2329"/>
        <v>46308</v>
      </c>
      <c r="JX337" s="56"/>
      <c r="JY337" s="242">
        <f>SUMPRODUCT(PRODUCE!$B334:$DY334,PRODUCE!$EB$38:$IY$38)</f>
        <v>0</v>
      </c>
      <c r="JZ337" s="56"/>
      <c r="KA337" s="242">
        <f t="shared" si="2330"/>
        <v>0</v>
      </c>
      <c r="KB337" s="242">
        <f t="shared" si="2331"/>
        <v>2540</v>
      </c>
      <c r="KC337" s="56"/>
      <c r="KF337" s="55">
        <f t="shared" si="2332"/>
        <v>46308</v>
      </c>
      <c r="KG337" s="56"/>
      <c r="KH337" s="242">
        <f>SUMPRODUCT(PRODUCE!$B334:$DY334,PRODUCE!$EB$39:$IY$39)</f>
        <v>0</v>
      </c>
      <c r="KI337" s="56"/>
      <c r="KJ337" s="242">
        <f t="shared" si="2333"/>
        <v>0</v>
      </c>
      <c r="KK337" s="242">
        <f t="shared" si="2334"/>
        <v>2359.5</v>
      </c>
      <c r="KL337" s="56"/>
      <c r="KO337" s="55">
        <f t="shared" si="2335"/>
        <v>46308</v>
      </c>
      <c r="KP337" s="56"/>
      <c r="KQ337" s="242">
        <f>SUMPRODUCT(PRODUCE!$B334:$DY334,PRODUCE!$EB$40:$IY$40)</f>
        <v>0</v>
      </c>
      <c r="KR337" s="56"/>
      <c r="KS337" s="242">
        <f t="shared" si="2336"/>
        <v>0</v>
      </c>
      <c r="KT337" s="242">
        <f t="shared" si="2337"/>
        <v>1890</v>
      </c>
      <c r="KU337" s="56"/>
      <c r="KW337" s="23"/>
      <c r="KX337" s="55">
        <f t="shared" si="2338"/>
        <v>46308</v>
      </c>
      <c r="KY337" s="56"/>
      <c r="KZ337" s="242">
        <f>SUMPRODUCT(PRODUCE!$B334:$DY334,PRODUCE!$EB$41:$IY$41)</f>
        <v>0</v>
      </c>
      <c r="LA337" s="56"/>
      <c r="LB337" s="242">
        <f t="shared" si="2339"/>
        <v>0</v>
      </c>
      <c r="LC337" s="242">
        <f t="shared" si="2340"/>
        <v>3690</v>
      </c>
      <c r="LD337" s="56"/>
      <c r="LG337" s="55">
        <f t="shared" si="2341"/>
        <v>46308</v>
      </c>
      <c r="LH337" s="56"/>
      <c r="LI337" s="242">
        <f>SUMPRODUCT(PRODUCE!$B334:$DY334,PRODUCE!$EB$42:$IY$42)</f>
        <v>0</v>
      </c>
      <c r="LJ337" s="56"/>
      <c r="LK337" s="242">
        <f t="shared" si="2342"/>
        <v>0</v>
      </c>
      <c r="LL337" s="242">
        <f t="shared" si="2343"/>
        <v>4000</v>
      </c>
      <c r="LM337" s="56"/>
      <c r="LP337" s="55">
        <f t="shared" si="2344"/>
        <v>46308</v>
      </c>
      <c r="LQ337" s="56"/>
      <c r="LR337" s="242">
        <f>SUMPRODUCT(PRODUCE!$B334:$DY334,PRODUCE!$EB$43:$IY$43)</f>
        <v>0</v>
      </c>
      <c r="LS337" s="56"/>
      <c r="LT337" s="242">
        <f t="shared" si="2345"/>
        <v>0</v>
      </c>
      <c r="LU337" s="242">
        <f t="shared" si="2346"/>
        <v>0</v>
      </c>
      <c r="LV337" s="56"/>
      <c r="LY337" s="55">
        <f t="shared" si="2347"/>
        <v>46308</v>
      </c>
      <c r="LZ337" s="56"/>
      <c r="MA337" s="242">
        <f>SUMPRODUCT(PRODUCE!$B334:$DY334,PRODUCE!$EB$44:$IY$44)</f>
        <v>0</v>
      </c>
      <c r="MB337" s="56"/>
      <c r="MC337" s="242">
        <f t="shared" si="2348"/>
        <v>0</v>
      </c>
      <c r="MD337" s="242">
        <f t="shared" si="2349"/>
        <v>0</v>
      </c>
      <c r="ME337" s="56"/>
      <c r="MH337" s="55">
        <f t="shared" si="2350"/>
        <v>46308</v>
      </c>
      <c r="MI337" s="56"/>
      <c r="MJ337" s="242">
        <f>SUMPRODUCT(PRODUCE!$B334:$DY334,PRODUCE!$EB$45:$IY$45)</f>
        <v>0</v>
      </c>
      <c r="MK337" s="56"/>
      <c r="ML337" s="242">
        <f t="shared" si="2351"/>
        <v>0</v>
      </c>
      <c r="MM337" s="242">
        <f t="shared" si="2352"/>
        <v>0</v>
      </c>
      <c r="MN337" s="56"/>
      <c r="MQ337" s="55">
        <f t="shared" si="2353"/>
        <v>46308</v>
      </c>
      <c r="MR337" s="56"/>
      <c r="MS337" s="242">
        <f>SUMPRODUCT(PRODUCE!$B334:$DY334,PRODUCE!$EB$46:$IY$46)</f>
        <v>0</v>
      </c>
      <c r="MT337" s="56"/>
      <c r="MU337" s="242">
        <f t="shared" si="2354"/>
        <v>0</v>
      </c>
      <c r="MV337" s="242">
        <f t="shared" si="2355"/>
        <v>1625</v>
      </c>
      <c r="MW337" s="56"/>
      <c r="MZ337" s="55">
        <f t="shared" si="2356"/>
        <v>46308</v>
      </c>
      <c r="NA337" s="56"/>
      <c r="NB337" s="242">
        <f>SUMPRODUCT(PRODUCE!$B334:$DY334,PRODUCE!$EB$47:$IY$47)</f>
        <v>0</v>
      </c>
      <c r="NC337" s="56"/>
      <c r="ND337" s="242">
        <f t="shared" si="2357"/>
        <v>0</v>
      </c>
      <c r="NE337" s="242">
        <f t="shared" si="2358"/>
        <v>0</v>
      </c>
      <c r="NF337" s="56"/>
      <c r="NI337" s="55">
        <f t="shared" si="2359"/>
        <v>46308</v>
      </c>
      <c r="NJ337" s="56"/>
      <c r="NK337" s="242">
        <f>SUMPRODUCT(PRODUCE!$B334:$DY334,PRODUCE!$EB$48:$IY$48)</f>
        <v>0</v>
      </c>
      <c r="NL337" s="56"/>
      <c r="NM337" s="242">
        <f t="shared" si="2360"/>
        <v>0</v>
      </c>
      <c r="NN337" s="242">
        <f t="shared" si="2361"/>
        <v>1127</v>
      </c>
      <c r="NO337" s="56"/>
      <c r="NR337" s="55">
        <f t="shared" si="2362"/>
        <v>46308</v>
      </c>
      <c r="NS337" s="56"/>
      <c r="NT337" s="242">
        <f>SUMPRODUCT(PRODUCE!$B334:$DY334,PRODUCE!$EB$49:$IY$49)</f>
        <v>0</v>
      </c>
      <c r="NU337" s="56"/>
      <c r="NV337" s="242">
        <f t="shared" si="2363"/>
        <v>0</v>
      </c>
      <c r="NW337" s="242">
        <f t="shared" si="2364"/>
        <v>3111.9999999999995</v>
      </c>
      <c r="NX337" s="56"/>
      <c r="OA337" s="55">
        <f t="shared" si="2365"/>
        <v>46308</v>
      </c>
      <c r="OB337" s="56"/>
      <c r="OC337" s="242">
        <f>SUMPRODUCT(PRODUCE!$B334:$DY334,PRODUCE!$EB$50:$IY$50)</f>
        <v>0</v>
      </c>
      <c r="OD337" s="56"/>
      <c r="OE337" s="242">
        <f t="shared" si="2366"/>
        <v>0</v>
      </c>
      <c r="OF337" s="242">
        <f t="shared" si="2367"/>
        <v>1680.5</v>
      </c>
      <c r="OG337" s="56"/>
      <c r="OJ337" s="55">
        <f t="shared" si="2368"/>
        <v>46308</v>
      </c>
      <c r="OK337" s="56"/>
      <c r="OL337" s="242">
        <f>SUMPRODUCT(PRODUCE!$B334:$DY334,PRODUCE!$EB$51:$IY$51)</f>
        <v>0</v>
      </c>
      <c r="OM337" s="56"/>
      <c r="ON337" s="242">
        <f t="shared" si="2369"/>
        <v>0</v>
      </c>
      <c r="OO337" s="242">
        <f t="shared" si="2370"/>
        <v>0</v>
      </c>
      <c r="OP337" s="56"/>
      <c r="OS337" s="55">
        <f t="shared" si="2371"/>
        <v>46308</v>
      </c>
      <c r="OT337" s="56"/>
      <c r="OU337" s="242">
        <f>SUMPRODUCT(PRODUCE!$B334:$DY334,PRODUCE!$EB$52:$IY$52)</f>
        <v>0</v>
      </c>
      <c r="OV337" s="56"/>
      <c r="OW337" s="242">
        <f t="shared" si="2372"/>
        <v>0</v>
      </c>
      <c r="OX337" s="242">
        <f t="shared" si="2373"/>
        <v>1482</v>
      </c>
      <c r="OY337" s="56"/>
      <c r="PB337" s="55">
        <f t="shared" si="2374"/>
        <v>46308</v>
      </c>
      <c r="PC337" s="56"/>
      <c r="PD337" s="242">
        <f>SUMPRODUCT(PRODUCE!$B334:$DY334,PRODUCE!$EB$53:$IY$53)</f>
        <v>0</v>
      </c>
      <c r="PE337" s="56"/>
      <c r="PF337" s="242">
        <f t="shared" si="2375"/>
        <v>0</v>
      </c>
      <c r="PG337" s="242">
        <f t="shared" si="2376"/>
        <v>0</v>
      </c>
      <c r="PH337" s="56"/>
      <c r="PK337" s="55">
        <f t="shared" si="2377"/>
        <v>46308</v>
      </c>
      <c r="PL337" s="56"/>
      <c r="PM337" s="242">
        <f>SUMPRODUCT(PRODUCE!$B334:$DY334,PRODUCE!$EB$54:$IY$54)</f>
        <v>0</v>
      </c>
      <c r="PN337" s="56"/>
      <c r="PO337" s="242">
        <f t="shared" si="2378"/>
        <v>0</v>
      </c>
      <c r="PP337" s="242">
        <f t="shared" si="2379"/>
        <v>100</v>
      </c>
      <c r="PQ337" s="56"/>
      <c r="PT337" s="55">
        <f t="shared" si="2380"/>
        <v>46308</v>
      </c>
      <c r="PU337" s="56"/>
      <c r="PV337" s="242">
        <f>SUMPRODUCT(PRODUCE!$B334:$DY334,PRODUCE!$EB$55:$IY$55)</f>
        <v>0</v>
      </c>
      <c r="PW337" s="56"/>
      <c r="PX337" s="242">
        <f t="shared" si="2381"/>
        <v>0</v>
      </c>
      <c r="PY337" s="242">
        <f t="shared" si="2382"/>
        <v>13.960000000000036</v>
      </c>
      <c r="PZ337" s="56"/>
      <c r="QC337" s="55">
        <f t="shared" si="2383"/>
        <v>46308</v>
      </c>
      <c r="QD337" s="56"/>
      <c r="QE337" s="242">
        <f>SUMPRODUCT(PRODUCE!$B334:$DY334,PRODUCE!$EB$56:$IY$56)</f>
        <v>0</v>
      </c>
      <c r="QF337" s="56"/>
      <c r="QG337" s="242">
        <f t="shared" si="2384"/>
        <v>0</v>
      </c>
      <c r="QH337" s="242">
        <f t="shared" si="2385"/>
        <v>548</v>
      </c>
      <c r="QI337" s="56"/>
      <c r="QL337" s="55">
        <f t="shared" si="2386"/>
        <v>46308</v>
      </c>
      <c r="QM337" s="56"/>
      <c r="QN337" s="242">
        <f>SUMPRODUCT(PRODUCE!$B334:$DY334,PRODUCE!$EB$57:$IY$57)</f>
        <v>0</v>
      </c>
      <c r="QO337" s="56"/>
      <c r="QP337" s="242">
        <f t="shared" si="2387"/>
        <v>0</v>
      </c>
      <c r="QQ337" s="242">
        <f t="shared" si="2388"/>
        <v>0</v>
      </c>
      <c r="QR337" s="56"/>
      <c r="QU337" s="55">
        <f t="shared" si="2389"/>
        <v>46308</v>
      </c>
      <c r="QV337" s="56"/>
      <c r="QW337" s="242">
        <f>SUMPRODUCT(PRODUCE!$B334:$DY334,PRODUCE!$EB$57:$IY$57)</f>
        <v>0</v>
      </c>
      <c r="QX337" s="56"/>
      <c r="QY337" s="242">
        <f t="shared" si="2390"/>
        <v>0</v>
      </c>
      <c r="QZ337" s="242">
        <f t="shared" si="2391"/>
        <v>0</v>
      </c>
      <c r="RA337" s="56"/>
      <c r="RD337" s="55">
        <f t="shared" si="2392"/>
        <v>46308</v>
      </c>
      <c r="RE337" s="56"/>
      <c r="RF337" s="242">
        <f>SUMPRODUCT(PRODUCE!$B334:$DY334,PRODUCE!$EB$58:$IY$58)</f>
        <v>0</v>
      </c>
      <c r="RG337" s="56"/>
      <c r="RH337" s="242">
        <f t="shared" si="2393"/>
        <v>0</v>
      </c>
      <c r="RI337" s="242">
        <f t="shared" si="2394"/>
        <v>147.04000000000002</v>
      </c>
      <c r="RJ337" s="56"/>
      <c r="RM337" s="55">
        <f t="shared" si="2395"/>
        <v>46308</v>
      </c>
      <c r="RN337" s="56"/>
      <c r="RO337" s="242">
        <f>SUMPRODUCT(PRODUCE!$B334:$DY334,PRODUCE!$EB$57:$IY$57)</f>
        <v>0</v>
      </c>
      <c r="RP337" s="56"/>
      <c r="RQ337" s="242">
        <f t="shared" si="2396"/>
        <v>0</v>
      </c>
      <c r="RR337" s="242">
        <f t="shared" si="2397"/>
        <v>46.8</v>
      </c>
      <c r="RS337" s="56"/>
      <c r="RV337" s="55">
        <f t="shared" si="2398"/>
        <v>46308</v>
      </c>
      <c r="RW337" s="56"/>
      <c r="RX337" s="242">
        <f>SUMPRODUCT(PRODUCE!$B334:$DY334,PRODUCE!$EB$57:$IY$57)</f>
        <v>0</v>
      </c>
      <c r="RY337" s="56"/>
      <c r="RZ337" s="242">
        <f t="shared" si="2399"/>
        <v>0</v>
      </c>
      <c r="SA337" s="242">
        <f t="shared" si="2400"/>
        <v>0</v>
      </c>
      <c r="SB337" s="56"/>
      <c r="SE337" s="55">
        <f t="shared" si="2401"/>
        <v>46308</v>
      </c>
      <c r="SF337" s="56"/>
      <c r="SG337" s="242">
        <f>SUMPRODUCT(PRODUCE!$B334:$DY334,PRODUCE!$EB$61:$IY$61)</f>
        <v>0</v>
      </c>
      <c r="SH337" s="56"/>
      <c r="SI337" s="242">
        <f t="shared" si="2402"/>
        <v>0</v>
      </c>
      <c r="SJ337" s="242">
        <f t="shared" si="2403"/>
        <v>24.200000000000003</v>
      </c>
      <c r="SK337" s="56"/>
      <c r="SN337" s="55">
        <f t="shared" si="2404"/>
        <v>46308</v>
      </c>
      <c r="SO337" s="56"/>
      <c r="SP337" s="242">
        <f>SUMPRODUCT(PRODUCE!$B334:$DY334,PRODUCE!$EB$57:$IY$57)</f>
        <v>0</v>
      </c>
      <c r="SQ337" s="56"/>
      <c r="SR337" s="242">
        <f t="shared" si="2405"/>
        <v>0</v>
      </c>
      <c r="SS337" s="242">
        <f t="shared" si="2406"/>
        <v>32</v>
      </c>
      <c r="ST337" s="56"/>
      <c r="SW337" s="55">
        <f t="shared" si="2407"/>
        <v>46308</v>
      </c>
      <c r="SX337" s="56"/>
      <c r="SY337" s="242">
        <f>SUMPRODUCT(PRODUCE!$B334:$DY334,PRODUCE!$EB$57:$IY$57)</f>
        <v>0</v>
      </c>
      <c r="SZ337" s="56"/>
      <c r="TA337" s="242">
        <f t="shared" si="2408"/>
        <v>0</v>
      </c>
      <c r="TB337" s="242">
        <f t="shared" si="2409"/>
        <v>0</v>
      </c>
      <c r="TC337" s="56"/>
      <c r="TF337" s="55">
        <f t="shared" si="2410"/>
        <v>46308</v>
      </c>
      <c r="TG337" s="56"/>
      <c r="TH337" s="242">
        <f>SUMPRODUCT(PRODUCE!$B334:$DY334,PRODUCE!$EB$57:$IY$57)</f>
        <v>0</v>
      </c>
      <c r="TI337" s="56"/>
      <c r="TJ337" s="242">
        <f t="shared" si="2411"/>
        <v>0</v>
      </c>
      <c r="TK337" s="242">
        <f t="shared" si="2412"/>
        <v>0</v>
      </c>
      <c r="TL337" s="56"/>
      <c r="TO337" s="55">
        <f t="shared" si="2413"/>
        <v>46308</v>
      </c>
      <c r="TP337" s="56"/>
      <c r="TQ337" s="242">
        <f>SUMPRODUCT(PRODUCE!$B334:$DY334,PRODUCE!$EB$57:$IY$57)</f>
        <v>0</v>
      </c>
      <c r="TR337" s="56"/>
      <c r="TS337" s="242">
        <f t="shared" si="2414"/>
        <v>0</v>
      </c>
      <c r="TT337" s="242">
        <f t="shared" si="2415"/>
        <v>0</v>
      </c>
      <c r="TU337" s="56"/>
      <c r="TX337" s="55">
        <f t="shared" si="2416"/>
        <v>46308</v>
      </c>
      <c r="TY337" s="56"/>
      <c r="TZ337" s="242">
        <f>SUMPRODUCT(PRODUCE!$B334:$DY334,PRODUCE!$EB$57:$IY$57)</f>
        <v>0</v>
      </c>
      <c r="UA337" s="56"/>
      <c r="UB337" s="242">
        <f t="shared" si="2417"/>
        <v>0</v>
      </c>
      <c r="UC337" s="242">
        <f t="shared" si="2418"/>
        <v>46.799999999999983</v>
      </c>
      <c r="UD337" s="56"/>
      <c r="UG337" s="55">
        <f t="shared" si="2419"/>
        <v>46308</v>
      </c>
      <c r="UH337" s="56"/>
      <c r="UI337" s="242">
        <f>SUMPRODUCT(PRODUCE!$B334:$DY334,PRODUCE!$EB$57:$IY$57)</f>
        <v>0</v>
      </c>
      <c r="UJ337" s="56"/>
      <c r="UK337" s="242">
        <f t="shared" si="2420"/>
        <v>0</v>
      </c>
      <c r="UL337" s="242">
        <f t="shared" si="2421"/>
        <v>204</v>
      </c>
      <c r="UM337" s="56"/>
      <c r="UP337" s="55">
        <f t="shared" si="2422"/>
        <v>46308</v>
      </c>
      <c r="UQ337" s="56"/>
      <c r="UR337" s="242">
        <f>SUMPRODUCT(PRODUCE!$B334:$DY334,PRODUCE!$EB$57:$IY$57)</f>
        <v>0</v>
      </c>
      <c r="US337" s="56"/>
      <c r="UT337" s="242">
        <f t="shared" si="2423"/>
        <v>0</v>
      </c>
      <c r="UU337" s="242">
        <f t="shared" si="2424"/>
        <v>202.5</v>
      </c>
      <c r="UV337" s="56"/>
      <c r="UY337" s="55">
        <f t="shared" si="2425"/>
        <v>46308</v>
      </c>
      <c r="UZ337" s="56"/>
      <c r="VA337" s="242">
        <f>SUMPRODUCT(PRODUCE!$B334:$DY334,PRODUCE!$EB$57:$IY$57)</f>
        <v>0</v>
      </c>
      <c r="VB337" s="56"/>
      <c r="VC337" s="242">
        <f t="shared" si="2426"/>
        <v>0</v>
      </c>
      <c r="VD337" s="242">
        <f t="shared" si="2427"/>
        <v>41.600000000000023</v>
      </c>
      <c r="VE337" s="56"/>
      <c r="VH337" s="55">
        <f t="shared" si="2428"/>
        <v>46308</v>
      </c>
      <c r="VI337" s="56"/>
      <c r="VJ337" s="242">
        <f>SUMPRODUCT(PRODUCE!$B334:$DY334,PRODUCE!$EB$57:$IY$57)</f>
        <v>0</v>
      </c>
      <c r="VK337" s="56"/>
      <c r="VL337" s="242">
        <f t="shared" si="2429"/>
        <v>0</v>
      </c>
      <c r="VM337" s="242">
        <f t="shared" si="2430"/>
        <v>210</v>
      </c>
      <c r="VN337" s="56"/>
      <c r="VQ337" s="55">
        <f t="shared" si="2431"/>
        <v>46308</v>
      </c>
      <c r="VR337" s="56"/>
      <c r="VS337" s="242">
        <f>SUMPRODUCT(PRODUCE!$B334:$DY334,PRODUCE!$EB$57:$IY$57)</f>
        <v>0</v>
      </c>
      <c r="VT337" s="56"/>
      <c r="VU337" s="242">
        <f t="shared" si="2432"/>
        <v>0</v>
      </c>
      <c r="VV337" s="242">
        <f t="shared" si="2433"/>
        <v>0</v>
      </c>
      <c r="VW337" s="56"/>
      <c r="VZ337" s="55">
        <f t="shared" si="2434"/>
        <v>46308</v>
      </c>
      <c r="WA337" s="56"/>
      <c r="WB337" s="242">
        <f>SUMPRODUCT(PRODUCE!$B334:$DY334,PRODUCE!$EB$57:$IY$57)</f>
        <v>0</v>
      </c>
      <c r="WC337" s="56"/>
      <c r="WD337" s="242">
        <f t="shared" si="2435"/>
        <v>0</v>
      </c>
      <c r="WE337" s="242">
        <f t="shared" si="2436"/>
        <v>0</v>
      </c>
      <c r="WF337" s="56"/>
      <c r="WI337" s="55">
        <f t="shared" si="2437"/>
        <v>46308</v>
      </c>
      <c r="WJ337" s="56"/>
      <c r="WK337" s="242">
        <f>SUMPRODUCT(PRODUCE!$B334:$DY334,PRODUCE!$EB$57:$IY$57)</f>
        <v>0</v>
      </c>
      <c r="WL337" s="56"/>
      <c r="WM337" s="242">
        <f t="shared" si="2438"/>
        <v>0</v>
      </c>
      <c r="WN337" s="242">
        <f t="shared" si="2439"/>
        <v>1057</v>
      </c>
      <c r="WO337" s="56"/>
      <c r="WR337" s="55">
        <f t="shared" si="2440"/>
        <v>46308</v>
      </c>
      <c r="WS337" s="56"/>
      <c r="WT337" s="242">
        <f>SUMPRODUCT(PRODUCE!$B334:$DY334,PRODUCE!$EB$57:$IY$57)</f>
        <v>0</v>
      </c>
      <c r="WU337" s="56"/>
      <c r="WV337" s="242">
        <f t="shared" si="2441"/>
        <v>0</v>
      </c>
      <c r="WW337" s="242">
        <f t="shared" si="2442"/>
        <v>0</v>
      </c>
      <c r="WX337" s="56"/>
      <c r="XA337" s="55">
        <f t="shared" si="2443"/>
        <v>46308</v>
      </c>
      <c r="XB337" s="56"/>
      <c r="XC337" s="242">
        <f>SUMPRODUCT(PRODUCE!$B334:$DY334,PRODUCE!$EB$57:$IY$57)</f>
        <v>0</v>
      </c>
      <c r="XD337" s="56"/>
      <c r="XE337" s="242">
        <f t="shared" si="2444"/>
        <v>0</v>
      </c>
      <c r="XF337" s="242">
        <f t="shared" si="2445"/>
        <v>7507</v>
      </c>
      <c r="XG337" s="56"/>
      <c r="XJ337" s="55">
        <f t="shared" si="2446"/>
        <v>46308</v>
      </c>
      <c r="XK337" s="56"/>
      <c r="XL337" s="242">
        <f>SUMPRODUCT(PRODUCE!$B334:$DY334,PRODUCE!$EB$57:$IY$57)</f>
        <v>0</v>
      </c>
      <c r="XM337" s="56"/>
      <c r="XN337" s="242">
        <f t="shared" si="2447"/>
        <v>0</v>
      </c>
      <c r="XO337" s="242">
        <f t="shared" si="2448"/>
        <v>4252</v>
      </c>
      <c r="XP337" s="56"/>
      <c r="XS337" s="55">
        <f t="shared" si="2449"/>
        <v>46308</v>
      </c>
      <c r="XT337" s="56"/>
      <c r="XU337" s="242">
        <f>SUMPRODUCT(PRODUCE!$B334:$DY334,PRODUCE!$EB$57:$IY$57)</f>
        <v>0</v>
      </c>
      <c r="XV337" s="56"/>
      <c r="XW337" s="242">
        <f t="shared" si="2450"/>
        <v>0</v>
      </c>
      <c r="XX337" s="242">
        <f t="shared" si="2451"/>
        <v>2179</v>
      </c>
      <c r="XY337" s="56"/>
      <c r="YB337" s="55">
        <f t="shared" si="2452"/>
        <v>46308</v>
      </c>
      <c r="YC337" s="56"/>
      <c r="YD337" s="242">
        <f>SUMPRODUCT(PRODUCE!$B334:$DY334,PRODUCE!$EB$57:$IY$57)</f>
        <v>0</v>
      </c>
      <c r="YE337" s="56"/>
      <c r="YF337" s="242">
        <f t="shared" si="2453"/>
        <v>0</v>
      </c>
      <c r="YG337" s="242">
        <f t="shared" si="2454"/>
        <v>4019</v>
      </c>
      <c r="YH337" s="56"/>
      <c r="YK337" s="55">
        <f t="shared" si="2455"/>
        <v>46308</v>
      </c>
      <c r="YL337" s="56"/>
      <c r="YM337" s="242">
        <f>SUMPRODUCT(PRODUCE!$B334:$DY334,PRODUCE!$EB$57:$IY$57)</f>
        <v>0</v>
      </c>
      <c r="YN337" s="56"/>
      <c r="YO337" s="242">
        <f t="shared" si="2456"/>
        <v>0</v>
      </c>
      <c r="YP337" s="242">
        <f t="shared" si="2457"/>
        <v>-218</v>
      </c>
      <c r="YQ337" s="56"/>
      <c r="YT337" s="55">
        <f t="shared" si="2458"/>
        <v>46308</v>
      </c>
      <c r="YU337" s="56"/>
      <c r="YV337" s="242">
        <f>SUMPRODUCT(PRODUCE!$B334:$DY334,PRODUCE!$EB$57:$IY$57)</f>
        <v>0</v>
      </c>
      <c r="YW337" s="56"/>
      <c r="YX337" s="242">
        <f t="shared" si="2459"/>
        <v>0</v>
      </c>
      <c r="YY337" s="242">
        <f t="shared" si="2460"/>
        <v>0</v>
      </c>
      <c r="YZ337" s="56"/>
      <c r="ZC337" s="55">
        <f t="shared" si="2461"/>
        <v>46308</v>
      </c>
      <c r="ZD337" s="56"/>
      <c r="ZE337" s="242">
        <f>SUMPRODUCT(PRODUCE!$B334:$DY334,PRODUCE!$EB$57:$IY$57)</f>
        <v>0</v>
      </c>
      <c r="ZF337" s="56"/>
      <c r="ZG337" s="242">
        <f t="shared" si="2462"/>
        <v>0</v>
      </c>
      <c r="ZH337" s="242">
        <f t="shared" si="2463"/>
        <v>0</v>
      </c>
      <c r="ZI337" s="56"/>
      <c r="ZL337" s="55">
        <f t="shared" si="2464"/>
        <v>46308</v>
      </c>
      <c r="ZM337" s="56"/>
      <c r="ZN337" s="242">
        <f>SUMPRODUCT(PRODUCE!$B334:$DY334,PRODUCE!$EB$57:$IY$57)</f>
        <v>0</v>
      </c>
      <c r="ZO337" s="56"/>
      <c r="ZP337" s="242">
        <f t="shared" si="2465"/>
        <v>0</v>
      </c>
      <c r="ZQ337" s="242">
        <f t="shared" si="2466"/>
        <v>0</v>
      </c>
      <c r="ZR337" s="56"/>
      <c r="ZU337" s="55">
        <f t="shared" si="2467"/>
        <v>46308</v>
      </c>
      <c r="ZV337" s="56"/>
      <c r="ZW337" s="242">
        <f>SUMPRODUCT(PRODUCE!$B334:$DY334,PRODUCE!$EB$57:$IY$57)</f>
        <v>0</v>
      </c>
      <c r="ZX337" s="56"/>
      <c r="ZY337" s="242">
        <f t="shared" si="2468"/>
        <v>0</v>
      </c>
      <c r="ZZ337" s="242">
        <f t="shared" si="2469"/>
        <v>0</v>
      </c>
      <c r="AAA337" s="56"/>
      <c r="AAD337" s="55">
        <f t="shared" si="2470"/>
        <v>46308</v>
      </c>
      <c r="AAE337" s="56"/>
      <c r="AAF337" s="242">
        <f>SUMPRODUCT(PRODUCE!$B334:$DY334,PRODUCE!$EB$57:$IY$57)</f>
        <v>0</v>
      </c>
      <c r="AAG337" s="56"/>
      <c r="AAH337" s="242">
        <f t="shared" si="2471"/>
        <v>0</v>
      </c>
      <c r="AAI337" s="242">
        <f t="shared" si="2472"/>
        <v>0</v>
      </c>
      <c r="AAJ337" s="56"/>
      <c r="AAM337" s="55">
        <f t="shared" si="2473"/>
        <v>46308</v>
      </c>
      <c r="AAN337" s="56"/>
      <c r="AAO337" s="242">
        <f>SUMPRODUCT(PRODUCE!$B334:$DY334,PRODUCE!$EB$57:$IY$57)</f>
        <v>0</v>
      </c>
      <c r="AAP337" s="56"/>
      <c r="AAQ337" s="242">
        <f t="shared" si="2474"/>
        <v>0</v>
      </c>
      <c r="AAR337" s="242">
        <f t="shared" si="2475"/>
        <v>0</v>
      </c>
      <c r="AAS337" s="56"/>
      <c r="AAV337" s="55">
        <f t="shared" si="2476"/>
        <v>46308</v>
      </c>
      <c r="AAW337" s="56"/>
      <c r="AAX337" s="242">
        <f>SUMPRODUCT(PRODUCE!$B334:$DY334,PRODUCE!$EB$57:$IY$57)</f>
        <v>0</v>
      </c>
      <c r="AAY337" s="56"/>
      <c r="AAZ337" s="242">
        <f t="shared" si="2477"/>
        <v>0</v>
      </c>
      <c r="ABA337" s="242">
        <f t="shared" si="2478"/>
        <v>0</v>
      </c>
      <c r="ABB337" s="56"/>
      <c r="ABE337" s="55">
        <f t="shared" si="2479"/>
        <v>46308</v>
      </c>
      <c r="ABF337" s="56"/>
      <c r="ABG337" s="242">
        <f>SUMPRODUCT(PRODUCE!$B334:$DY334,PRODUCE!$EB$57:$IY$57)</f>
        <v>0</v>
      </c>
      <c r="ABH337" s="56"/>
      <c r="ABI337" s="242">
        <f t="shared" si="2480"/>
        <v>0</v>
      </c>
      <c r="ABJ337" s="242">
        <f t="shared" si="2481"/>
        <v>0</v>
      </c>
      <c r="ABK337" s="56"/>
    </row>
    <row r="338" spans="2:739" s="54" customFormat="1" ht="15" customHeight="1" outlineLevel="1">
      <c r="B338" s="478"/>
      <c r="C338" s="55">
        <v>46309</v>
      </c>
      <c r="D338" s="56"/>
      <c r="E338" s="57">
        <f>SUMPRODUCT(PRODUCE!$B335:$DY335,PRODUCE!$EB$7:$IY$7)</f>
        <v>0</v>
      </c>
      <c r="F338" s="56"/>
      <c r="G338" s="57">
        <f t="shared" si="2237"/>
        <v>0</v>
      </c>
      <c r="H338" s="57">
        <f t="shared" si="2238"/>
        <v>236936.6</v>
      </c>
      <c r="I338" s="289"/>
      <c r="L338" s="55">
        <f t="shared" si="2239"/>
        <v>46309</v>
      </c>
      <c r="M338" s="56"/>
      <c r="N338" s="59">
        <f>SUMPRODUCT(PRODUCE!$B335:$DY335,PRODUCE!$EB$8:$IY$8)</f>
        <v>0</v>
      </c>
      <c r="O338" s="56"/>
      <c r="P338" s="59">
        <f t="shared" si="2240"/>
        <v>0</v>
      </c>
      <c r="Q338" s="59">
        <f t="shared" si="2241"/>
        <v>53017.600000000071</v>
      </c>
      <c r="R338" s="56"/>
      <c r="U338" s="55">
        <f t="shared" si="2242"/>
        <v>46309</v>
      </c>
      <c r="V338" s="56"/>
      <c r="W338" s="60">
        <f>SUMPRODUCT(PRODUCE!$B335:$DY335,PRODUCE!$EB$9:$IY$9)</f>
        <v>0</v>
      </c>
      <c r="X338" s="56"/>
      <c r="Y338" s="60">
        <f t="shared" si="2243"/>
        <v>0</v>
      </c>
      <c r="Z338" s="60">
        <f t="shared" si="2244"/>
        <v>42674.199999999968</v>
      </c>
      <c r="AA338" s="56"/>
      <c r="AD338" s="55">
        <f t="shared" si="2245"/>
        <v>46309</v>
      </c>
      <c r="AE338" s="56"/>
      <c r="AF338" s="61">
        <f>SUMPRODUCT(PRODUCE!$B335:$DY335,PRODUCE!$EB$10:$IY$10)</f>
        <v>0</v>
      </c>
      <c r="AG338" s="56"/>
      <c r="AH338" s="61">
        <f t="shared" si="2246"/>
        <v>0</v>
      </c>
      <c r="AI338" s="61">
        <f t="shared" si="2247"/>
        <v>4522.2000000000189</v>
      </c>
      <c r="AJ338" s="56"/>
      <c r="AM338" s="55">
        <f t="shared" si="2248"/>
        <v>46309</v>
      </c>
      <c r="AN338" s="422"/>
      <c r="AO338" s="444">
        <f>SUMPRODUCT(PRODUCE!$B335:$DY335,PRODUCE!$EB$11:$IY$11)</f>
        <v>0</v>
      </c>
      <c r="AP338" s="422"/>
      <c r="AQ338" s="444">
        <f t="shared" si="2249"/>
        <v>0</v>
      </c>
      <c r="AR338" s="444">
        <f t="shared" si="2250"/>
        <v>0</v>
      </c>
      <c r="AS338" s="56"/>
      <c r="AV338" s="55">
        <f t="shared" si="2251"/>
        <v>46309</v>
      </c>
      <c r="AW338" s="56"/>
      <c r="AX338" s="62">
        <f>SUMPRODUCT(PRODUCE!$B335:$DY335,PRODUCE!$EB$12:$IY$12)</f>
        <v>0</v>
      </c>
      <c r="AY338" s="56"/>
      <c r="AZ338" s="62">
        <f t="shared" si="2252"/>
        <v>0</v>
      </c>
      <c r="BA338" s="62">
        <f t="shared" si="2253"/>
        <v>124.99999999999523</v>
      </c>
      <c r="BB338" s="56"/>
      <c r="BE338" s="55">
        <f t="shared" si="2254"/>
        <v>46309</v>
      </c>
      <c r="BF338" s="56"/>
      <c r="BG338" s="63">
        <f>SUMPRODUCT(PRODUCE!$B335:$DY335,PRODUCE!$EB$13:$IY$13)</f>
        <v>0</v>
      </c>
      <c r="BH338" s="56"/>
      <c r="BI338" s="63">
        <f t="shared" si="2255"/>
        <v>0</v>
      </c>
      <c r="BJ338" s="63">
        <f t="shared" si="2256"/>
        <v>26151.899999999998</v>
      </c>
      <c r="BK338" s="56"/>
      <c r="BN338" s="55">
        <f t="shared" si="2257"/>
        <v>46309</v>
      </c>
      <c r="BO338" s="56"/>
      <c r="BP338" s="64">
        <f>SUMPRODUCT(PRODUCE!$B335:$DY335,PRODUCE!$EB$14:$IY$14)</f>
        <v>0</v>
      </c>
      <c r="BQ338" s="56"/>
      <c r="BR338" s="64">
        <f t="shared" si="2258"/>
        <v>0</v>
      </c>
      <c r="BS338" s="64">
        <f t="shared" si="2259"/>
        <v>0</v>
      </c>
      <c r="BT338" s="56"/>
      <c r="BW338" s="55">
        <f t="shared" si="2260"/>
        <v>46309</v>
      </c>
      <c r="BX338" s="56"/>
      <c r="BY338" s="65">
        <f>SUMPRODUCT(PRODUCE!$B335:$DY335,PRODUCE!$EB$15:$IY$15)</f>
        <v>0</v>
      </c>
      <c r="BZ338" s="56"/>
      <c r="CA338" s="65">
        <f t="shared" si="2261"/>
        <v>0</v>
      </c>
      <c r="CB338" s="65">
        <f t="shared" si="2262"/>
        <v>2097.3399999999992</v>
      </c>
      <c r="CC338" s="56"/>
      <c r="CF338" s="55">
        <f t="shared" si="2263"/>
        <v>46309</v>
      </c>
      <c r="CG338" s="56"/>
      <c r="CH338" s="66">
        <f>SUMPRODUCT(PRODUCE!$B335:$DY335,PRODUCE!$EB$16:$IY$16)</f>
        <v>0</v>
      </c>
      <c r="CI338" s="56"/>
      <c r="CJ338" s="66">
        <f t="shared" si="2264"/>
        <v>0</v>
      </c>
      <c r="CK338" s="66">
        <f t="shared" si="2265"/>
        <v>-10277.079999999998</v>
      </c>
      <c r="CL338" s="56"/>
      <c r="CO338" s="55">
        <f t="shared" si="2266"/>
        <v>46309</v>
      </c>
      <c r="CP338" s="422"/>
      <c r="CQ338" s="470">
        <f>SUMPRODUCT(PRODUCE!$B335:$DY335,PRODUCE!$EB$17:$IY$17)</f>
        <v>0</v>
      </c>
      <c r="CR338" s="422"/>
      <c r="CS338" s="470">
        <f t="shared" si="2267"/>
        <v>0</v>
      </c>
      <c r="CT338" s="470">
        <f t="shared" si="2268"/>
        <v>0</v>
      </c>
      <c r="CU338" s="56"/>
      <c r="CX338" s="55">
        <f t="shared" si="2269"/>
        <v>46309</v>
      </c>
      <c r="CY338" s="56"/>
      <c r="CZ338" s="133">
        <f>SUMPRODUCT(PRODUCE!$B335:$DY335,PRODUCE!$EB$18:$IY$18)</f>
        <v>0</v>
      </c>
      <c r="DA338" s="56"/>
      <c r="DB338" s="133">
        <f t="shared" si="2270"/>
        <v>0</v>
      </c>
      <c r="DC338" s="133">
        <f t="shared" si="2271"/>
        <v>27438.200000000012</v>
      </c>
      <c r="DD338" s="56"/>
      <c r="DG338" s="55">
        <f t="shared" si="2272"/>
        <v>46309</v>
      </c>
      <c r="DH338" s="56"/>
      <c r="DI338" s="147">
        <f>SUMPRODUCT(PRODUCE!$B335:$DY335,PRODUCE!$EB$19:$IY$19)</f>
        <v>0</v>
      </c>
      <c r="DJ338" s="56"/>
      <c r="DK338" s="147">
        <f t="shared" si="2273"/>
        <v>0</v>
      </c>
      <c r="DL338" s="147">
        <f t="shared" si="2274"/>
        <v>18782.299999999981</v>
      </c>
      <c r="DM338" s="56"/>
      <c r="DP338" s="55">
        <f t="shared" si="2275"/>
        <v>46309</v>
      </c>
      <c r="DQ338" s="56"/>
      <c r="DR338" s="57">
        <f>SUMPRODUCT(PRODUCE!$B335:$DY335,PRODUCE!$EB$20:$IY$20)</f>
        <v>0</v>
      </c>
      <c r="DS338" s="56"/>
      <c r="DT338" s="57">
        <f t="shared" si="2276"/>
        <v>0</v>
      </c>
      <c r="DU338" s="57">
        <f t="shared" si="2277"/>
        <v>5800</v>
      </c>
      <c r="DV338" s="56"/>
      <c r="DY338" s="55">
        <f t="shared" si="2278"/>
        <v>46309</v>
      </c>
      <c r="DZ338" s="56"/>
      <c r="EA338" s="157">
        <f>SUMPRODUCT(PRODUCE!$B335:$DY335,PRODUCE!$EB$21:$IY$21)</f>
        <v>0</v>
      </c>
      <c r="EB338" s="56"/>
      <c r="EC338" s="157">
        <f t="shared" si="2279"/>
        <v>0</v>
      </c>
      <c r="ED338" s="157">
        <f t="shared" si="2280"/>
        <v>0</v>
      </c>
      <c r="EE338" s="56"/>
      <c r="EH338" s="55">
        <f t="shared" si="2281"/>
        <v>46309</v>
      </c>
      <c r="EI338" s="56"/>
      <c r="EJ338" s="162">
        <f>SUMPRODUCT(PRODUCE!$B335:$DY335,PRODUCE!$EB$22:$IY$22)</f>
        <v>0</v>
      </c>
      <c r="EK338" s="56"/>
      <c r="EL338" s="162">
        <f t="shared" si="2282"/>
        <v>0</v>
      </c>
      <c r="EM338" s="162">
        <f t="shared" si="2283"/>
        <v>0</v>
      </c>
      <c r="EN338" s="56"/>
      <c r="EQ338" s="55">
        <f t="shared" si="2284"/>
        <v>46309</v>
      </c>
      <c r="ER338" s="56"/>
      <c r="ES338" s="135">
        <f>SUMPRODUCT(PRODUCE!$B335:$DY335,PRODUCE!$EB$23:$IY$23)</f>
        <v>0</v>
      </c>
      <c r="ET338" s="56"/>
      <c r="EU338" s="135">
        <f t="shared" si="2285"/>
        <v>0</v>
      </c>
      <c r="EV338" s="135">
        <f t="shared" si="2286"/>
        <v>0</v>
      </c>
      <c r="EW338" s="56"/>
      <c r="EZ338" s="55">
        <f t="shared" si="2287"/>
        <v>46309</v>
      </c>
      <c r="FA338" s="56"/>
      <c r="FB338" s="175">
        <f>SUMPRODUCT(PRODUCE!$B335:$DY335,PRODUCE!$EB$24:$IY$24)</f>
        <v>0</v>
      </c>
      <c r="FC338" s="56"/>
      <c r="FD338" s="175">
        <f t="shared" si="2288"/>
        <v>0</v>
      </c>
      <c r="FE338" s="175">
        <f t="shared" si="2289"/>
        <v>0</v>
      </c>
      <c r="FF338" s="56"/>
      <c r="FI338" s="55">
        <f t="shared" si="2290"/>
        <v>46309</v>
      </c>
      <c r="FJ338" s="56"/>
      <c r="FK338" s="183">
        <f>SUMPRODUCT(PRODUCE!$B335:$DY335,PRODUCE!$EB$25:$IY$25)</f>
        <v>0</v>
      </c>
      <c r="FL338" s="56"/>
      <c r="FM338" s="183">
        <f t="shared" si="2291"/>
        <v>0</v>
      </c>
      <c r="FN338" s="183">
        <f t="shared" si="2292"/>
        <v>0</v>
      </c>
      <c r="FO338" s="56"/>
      <c r="FR338" s="55">
        <f t="shared" si="2293"/>
        <v>46309</v>
      </c>
      <c r="FS338" s="56"/>
      <c r="FT338" s="186">
        <f>SUMPRODUCT(PRODUCE!$B335:$DY335,PRODUCE!$EB$26:$IY$26)</f>
        <v>0</v>
      </c>
      <c r="FU338" s="56"/>
      <c r="FV338" s="186">
        <f t="shared" si="2294"/>
        <v>0</v>
      </c>
      <c r="FW338" s="186">
        <f t="shared" si="2295"/>
        <v>2020</v>
      </c>
      <c r="FX338" s="56"/>
      <c r="GA338" s="55">
        <f t="shared" si="2296"/>
        <v>46309</v>
      </c>
      <c r="GB338" s="56"/>
      <c r="GC338" s="137">
        <f>SUMPRODUCT(PRODUCE!$B335:$DY335,PRODUCE!$EB$27:$IY$27)</f>
        <v>0</v>
      </c>
      <c r="GD338" s="56"/>
      <c r="GE338" s="137">
        <f t="shared" si="2297"/>
        <v>0</v>
      </c>
      <c r="GF338" s="137">
        <f t="shared" si="2298"/>
        <v>960</v>
      </c>
      <c r="GG338" s="56"/>
      <c r="GI338" s="23"/>
      <c r="GJ338" s="55">
        <f t="shared" si="2299"/>
        <v>46309</v>
      </c>
      <c r="GK338" s="56"/>
      <c r="GL338" s="199">
        <f>SUMPRODUCT(PRODUCE!$B335:$DY335,PRODUCE!$EB$28:$IY$28)</f>
        <v>0</v>
      </c>
      <c r="GM338" s="56"/>
      <c r="GN338" s="199">
        <f t="shared" si="2300"/>
        <v>0</v>
      </c>
      <c r="GO338" s="199">
        <f t="shared" si="2301"/>
        <v>1760</v>
      </c>
      <c r="GP338" s="56"/>
      <c r="GS338" s="55">
        <f t="shared" si="2302"/>
        <v>46309</v>
      </c>
      <c r="GT338" s="56"/>
      <c r="GU338" s="195">
        <f>SUMPRODUCT(PRODUCE!$B335:$DY335,PRODUCE!$EB$29:$IY$29)</f>
        <v>0</v>
      </c>
      <c r="GV338" s="56"/>
      <c r="GW338" s="195">
        <f t="shared" si="2303"/>
        <v>0</v>
      </c>
      <c r="GX338" s="195">
        <f t="shared" si="2304"/>
        <v>400</v>
      </c>
      <c r="GY338" s="56"/>
      <c r="HB338" s="55">
        <f t="shared" si="2305"/>
        <v>46309</v>
      </c>
      <c r="HC338" s="56"/>
      <c r="HD338" s="191">
        <f>SUMPRODUCT(PRODUCE!$B335:$DY335,PRODUCE!$EB$30:$IY$30)</f>
        <v>0</v>
      </c>
      <c r="HE338" s="56"/>
      <c r="HF338" s="191">
        <f t="shared" si="2306"/>
        <v>0</v>
      </c>
      <c r="HG338" s="191">
        <f t="shared" si="2307"/>
        <v>3600</v>
      </c>
      <c r="HH338" s="56"/>
      <c r="HK338" s="55">
        <f t="shared" si="2308"/>
        <v>46309</v>
      </c>
      <c r="HL338" s="56"/>
      <c r="HM338" s="63">
        <f>SUMPRODUCT(PRODUCE!$B335:$DY335,PRODUCE!$EB$31:$IY$31)</f>
        <v>0</v>
      </c>
      <c r="HN338" s="56"/>
      <c r="HO338" s="63">
        <f t="shared" si="2309"/>
        <v>0</v>
      </c>
      <c r="HP338" s="63">
        <f t="shared" si="2310"/>
        <v>0</v>
      </c>
      <c r="HQ338" s="56"/>
      <c r="HU338" s="55">
        <f t="shared" si="2311"/>
        <v>46309</v>
      </c>
      <c r="HV338" s="56"/>
      <c r="HW338" s="242">
        <f>SUMPRODUCT(PRODUCE!$B335:$DY335,PRODUCE!$EB$32:$IY$32)</f>
        <v>0</v>
      </c>
      <c r="HX338" s="56"/>
      <c r="HY338" s="242">
        <f t="shared" si="2312"/>
        <v>0</v>
      </c>
      <c r="HZ338" s="242">
        <f t="shared" si="2313"/>
        <v>6120</v>
      </c>
      <c r="IA338" s="56"/>
      <c r="ID338" s="55">
        <f t="shared" si="2314"/>
        <v>46309</v>
      </c>
      <c r="IE338" s="56"/>
      <c r="IF338" s="242">
        <f>SUMPRODUCT(PRODUCE!$B335:$DY335,PRODUCE!$EB$33:$IY$33)</f>
        <v>0</v>
      </c>
      <c r="IG338" s="56"/>
      <c r="IH338" s="242">
        <f t="shared" si="2315"/>
        <v>0</v>
      </c>
      <c r="II338" s="242">
        <f t="shared" si="2316"/>
        <v>0</v>
      </c>
      <c r="IJ338" s="56"/>
      <c r="IM338" s="55">
        <f t="shared" si="2317"/>
        <v>46309</v>
      </c>
      <c r="IN338" s="56"/>
      <c r="IO338" s="242">
        <f>SUMPRODUCT(PRODUCE!$B335:$DY335,PRODUCE!$EB$34:$IY$34)</f>
        <v>0</v>
      </c>
      <c r="IP338" s="56"/>
      <c r="IQ338" s="242">
        <f t="shared" si="2318"/>
        <v>0</v>
      </c>
      <c r="IR338" s="242">
        <f t="shared" si="2319"/>
        <v>0</v>
      </c>
      <c r="IS338" s="56"/>
      <c r="IV338" s="55">
        <f t="shared" si="2320"/>
        <v>46309</v>
      </c>
      <c r="IW338" s="56"/>
      <c r="IX338" s="242">
        <f>SUMPRODUCT(PRODUCE!$B335:$DY335,PRODUCE!$EB$35:$IY$35)</f>
        <v>0</v>
      </c>
      <c r="IY338" s="56"/>
      <c r="IZ338" s="242">
        <f t="shared" si="2321"/>
        <v>0</v>
      </c>
      <c r="JA338" s="242">
        <f t="shared" si="2322"/>
        <v>2820</v>
      </c>
      <c r="JB338" s="56"/>
      <c r="JE338" s="55">
        <f t="shared" si="2323"/>
        <v>46309</v>
      </c>
      <c r="JF338" s="56"/>
      <c r="JG338" s="242">
        <f>SUMPRODUCT(PRODUCE!$B335:$DY335,PRODUCE!$EB$36:$IY$36)</f>
        <v>0</v>
      </c>
      <c r="JH338" s="56"/>
      <c r="JI338" s="242">
        <f t="shared" si="2324"/>
        <v>0</v>
      </c>
      <c r="JJ338" s="242">
        <f t="shared" si="2325"/>
        <v>0</v>
      </c>
      <c r="JK338" s="56"/>
      <c r="JN338" s="55">
        <f t="shared" si="2326"/>
        <v>46309</v>
      </c>
      <c r="JO338" s="56"/>
      <c r="JP338" s="242">
        <f>SUMPRODUCT(PRODUCE!$B335:$DY335,PRODUCE!$EB$37:$IY$37)</f>
        <v>0</v>
      </c>
      <c r="JQ338" s="56"/>
      <c r="JR338" s="242">
        <f t="shared" si="2327"/>
        <v>0</v>
      </c>
      <c r="JS338" s="242">
        <f t="shared" si="2328"/>
        <v>0</v>
      </c>
      <c r="JT338" s="56"/>
      <c r="JW338" s="55">
        <f t="shared" si="2329"/>
        <v>46309</v>
      </c>
      <c r="JX338" s="56"/>
      <c r="JY338" s="242">
        <f>SUMPRODUCT(PRODUCE!$B335:$DY335,PRODUCE!$EB$38:$IY$38)</f>
        <v>0</v>
      </c>
      <c r="JZ338" s="56"/>
      <c r="KA338" s="242">
        <f t="shared" si="2330"/>
        <v>0</v>
      </c>
      <c r="KB338" s="242">
        <f t="shared" si="2331"/>
        <v>2540</v>
      </c>
      <c r="KC338" s="56"/>
      <c r="KF338" s="55">
        <f t="shared" si="2332"/>
        <v>46309</v>
      </c>
      <c r="KG338" s="56"/>
      <c r="KH338" s="242">
        <f>SUMPRODUCT(PRODUCE!$B335:$DY335,PRODUCE!$EB$39:$IY$39)</f>
        <v>0</v>
      </c>
      <c r="KI338" s="56"/>
      <c r="KJ338" s="242">
        <f t="shared" si="2333"/>
        <v>0</v>
      </c>
      <c r="KK338" s="242">
        <f t="shared" si="2334"/>
        <v>2359.5</v>
      </c>
      <c r="KL338" s="56"/>
      <c r="KO338" s="55">
        <f t="shared" si="2335"/>
        <v>46309</v>
      </c>
      <c r="KP338" s="56"/>
      <c r="KQ338" s="242">
        <f>SUMPRODUCT(PRODUCE!$B335:$DY335,PRODUCE!$EB$40:$IY$40)</f>
        <v>0</v>
      </c>
      <c r="KR338" s="56"/>
      <c r="KS338" s="242">
        <f t="shared" si="2336"/>
        <v>0</v>
      </c>
      <c r="KT338" s="242">
        <f t="shared" si="2337"/>
        <v>1890</v>
      </c>
      <c r="KU338" s="56"/>
      <c r="KW338" s="23"/>
      <c r="KX338" s="55">
        <f t="shared" si="2338"/>
        <v>46309</v>
      </c>
      <c r="KY338" s="56"/>
      <c r="KZ338" s="242">
        <f>SUMPRODUCT(PRODUCE!$B335:$DY335,PRODUCE!$EB$41:$IY$41)</f>
        <v>0</v>
      </c>
      <c r="LA338" s="56"/>
      <c r="LB338" s="242">
        <f t="shared" si="2339"/>
        <v>0</v>
      </c>
      <c r="LC338" s="242">
        <f t="shared" si="2340"/>
        <v>3690</v>
      </c>
      <c r="LD338" s="56"/>
      <c r="LG338" s="55">
        <f t="shared" si="2341"/>
        <v>46309</v>
      </c>
      <c r="LH338" s="56"/>
      <c r="LI338" s="242">
        <f>SUMPRODUCT(PRODUCE!$B335:$DY335,PRODUCE!$EB$42:$IY$42)</f>
        <v>0</v>
      </c>
      <c r="LJ338" s="56"/>
      <c r="LK338" s="242">
        <f t="shared" si="2342"/>
        <v>0</v>
      </c>
      <c r="LL338" s="242">
        <f t="shared" si="2343"/>
        <v>4000</v>
      </c>
      <c r="LM338" s="56"/>
      <c r="LP338" s="55">
        <f t="shared" si="2344"/>
        <v>46309</v>
      </c>
      <c r="LQ338" s="56"/>
      <c r="LR338" s="242">
        <f>SUMPRODUCT(PRODUCE!$B335:$DY335,PRODUCE!$EB$43:$IY$43)</f>
        <v>0</v>
      </c>
      <c r="LS338" s="56"/>
      <c r="LT338" s="242">
        <f t="shared" si="2345"/>
        <v>0</v>
      </c>
      <c r="LU338" s="242">
        <f t="shared" si="2346"/>
        <v>0</v>
      </c>
      <c r="LV338" s="56"/>
      <c r="LY338" s="55">
        <f t="shared" si="2347"/>
        <v>46309</v>
      </c>
      <c r="LZ338" s="56"/>
      <c r="MA338" s="242">
        <f>SUMPRODUCT(PRODUCE!$B335:$DY335,PRODUCE!$EB$44:$IY$44)</f>
        <v>0</v>
      </c>
      <c r="MB338" s="56"/>
      <c r="MC338" s="242">
        <f t="shared" si="2348"/>
        <v>0</v>
      </c>
      <c r="MD338" s="242">
        <f t="shared" si="2349"/>
        <v>0</v>
      </c>
      <c r="ME338" s="56"/>
      <c r="MH338" s="55">
        <f t="shared" si="2350"/>
        <v>46309</v>
      </c>
      <c r="MI338" s="56"/>
      <c r="MJ338" s="242">
        <f>SUMPRODUCT(PRODUCE!$B335:$DY335,PRODUCE!$EB$45:$IY$45)</f>
        <v>0</v>
      </c>
      <c r="MK338" s="56"/>
      <c r="ML338" s="242">
        <f t="shared" si="2351"/>
        <v>0</v>
      </c>
      <c r="MM338" s="242">
        <f t="shared" si="2352"/>
        <v>0</v>
      </c>
      <c r="MN338" s="56"/>
      <c r="MQ338" s="55">
        <f t="shared" si="2353"/>
        <v>46309</v>
      </c>
      <c r="MR338" s="56"/>
      <c r="MS338" s="242">
        <f>SUMPRODUCT(PRODUCE!$B335:$DY335,PRODUCE!$EB$46:$IY$46)</f>
        <v>0</v>
      </c>
      <c r="MT338" s="56"/>
      <c r="MU338" s="242">
        <f t="shared" si="2354"/>
        <v>0</v>
      </c>
      <c r="MV338" s="242">
        <f t="shared" si="2355"/>
        <v>1625</v>
      </c>
      <c r="MW338" s="56"/>
      <c r="MZ338" s="55">
        <f t="shared" si="2356"/>
        <v>46309</v>
      </c>
      <c r="NA338" s="56"/>
      <c r="NB338" s="242">
        <f>SUMPRODUCT(PRODUCE!$B335:$DY335,PRODUCE!$EB$47:$IY$47)</f>
        <v>0</v>
      </c>
      <c r="NC338" s="56"/>
      <c r="ND338" s="242">
        <f t="shared" si="2357"/>
        <v>0</v>
      </c>
      <c r="NE338" s="242">
        <f t="shared" si="2358"/>
        <v>0</v>
      </c>
      <c r="NF338" s="56"/>
      <c r="NI338" s="55">
        <f t="shared" si="2359"/>
        <v>46309</v>
      </c>
      <c r="NJ338" s="56"/>
      <c r="NK338" s="242">
        <f>SUMPRODUCT(PRODUCE!$B335:$DY335,PRODUCE!$EB$48:$IY$48)</f>
        <v>0</v>
      </c>
      <c r="NL338" s="56"/>
      <c r="NM338" s="242">
        <f t="shared" si="2360"/>
        <v>0</v>
      </c>
      <c r="NN338" s="242">
        <f t="shared" si="2361"/>
        <v>1127</v>
      </c>
      <c r="NO338" s="56"/>
      <c r="NR338" s="55">
        <f t="shared" si="2362"/>
        <v>46309</v>
      </c>
      <c r="NS338" s="56"/>
      <c r="NT338" s="242">
        <f>SUMPRODUCT(PRODUCE!$B335:$DY335,PRODUCE!$EB$49:$IY$49)</f>
        <v>0</v>
      </c>
      <c r="NU338" s="56"/>
      <c r="NV338" s="242">
        <f t="shared" si="2363"/>
        <v>0</v>
      </c>
      <c r="NW338" s="242">
        <f t="shared" si="2364"/>
        <v>3111.9999999999995</v>
      </c>
      <c r="NX338" s="56"/>
      <c r="OA338" s="55">
        <f t="shared" si="2365"/>
        <v>46309</v>
      </c>
      <c r="OB338" s="56"/>
      <c r="OC338" s="242">
        <f>SUMPRODUCT(PRODUCE!$B335:$DY335,PRODUCE!$EB$50:$IY$50)</f>
        <v>0</v>
      </c>
      <c r="OD338" s="56"/>
      <c r="OE338" s="242">
        <f t="shared" si="2366"/>
        <v>0</v>
      </c>
      <c r="OF338" s="242">
        <f t="shared" si="2367"/>
        <v>1680.5</v>
      </c>
      <c r="OG338" s="56"/>
      <c r="OJ338" s="55">
        <f t="shared" si="2368"/>
        <v>46309</v>
      </c>
      <c r="OK338" s="56"/>
      <c r="OL338" s="242">
        <f>SUMPRODUCT(PRODUCE!$B335:$DY335,PRODUCE!$EB$51:$IY$51)</f>
        <v>0</v>
      </c>
      <c r="OM338" s="56"/>
      <c r="ON338" s="242">
        <f t="shared" si="2369"/>
        <v>0</v>
      </c>
      <c r="OO338" s="242">
        <f t="shared" si="2370"/>
        <v>0</v>
      </c>
      <c r="OP338" s="56"/>
      <c r="OS338" s="55">
        <f t="shared" si="2371"/>
        <v>46309</v>
      </c>
      <c r="OT338" s="56"/>
      <c r="OU338" s="242">
        <f>SUMPRODUCT(PRODUCE!$B335:$DY335,PRODUCE!$EB$52:$IY$52)</f>
        <v>0</v>
      </c>
      <c r="OV338" s="56"/>
      <c r="OW338" s="242">
        <f t="shared" si="2372"/>
        <v>0</v>
      </c>
      <c r="OX338" s="242">
        <f t="shared" si="2373"/>
        <v>1482</v>
      </c>
      <c r="OY338" s="56"/>
      <c r="PB338" s="55">
        <f t="shared" si="2374"/>
        <v>46309</v>
      </c>
      <c r="PC338" s="56"/>
      <c r="PD338" s="242">
        <f>SUMPRODUCT(PRODUCE!$B335:$DY335,PRODUCE!$EB$53:$IY$53)</f>
        <v>0</v>
      </c>
      <c r="PE338" s="56"/>
      <c r="PF338" s="242">
        <f t="shared" si="2375"/>
        <v>0</v>
      </c>
      <c r="PG338" s="242">
        <f t="shared" si="2376"/>
        <v>0</v>
      </c>
      <c r="PH338" s="56"/>
      <c r="PK338" s="55">
        <f t="shared" si="2377"/>
        <v>46309</v>
      </c>
      <c r="PL338" s="56"/>
      <c r="PM338" s="242">
        <f>SUMPRODUCT(PRODUCE!$B335:$DY335,PRODUCE!$EB$54:$IY$54)</f>
        <v>0</v>
      </c>
      <c r="PN338" s="56"/>
      <c r="PO338" s="242">
        <f t="shared" si="2378"/>
        <v>0</v>
      </c>
      <c r="PP338" s="242">
        <f t="shared" si="2379"/>
        <v>100</v>
      </c>
      <c r="PQ338" s="56"/>
      <c r="PT338" s="55">
        <f t="shared" si="2380"/>
        <v>46309</v>
      </c>
      <c r="PU338" s="56"/>
      <c r="PV338" s="242">
        <f>SUMPRODUCT(PRODUCE!$B335:$DY335,PRODUCE!$EB$55:$IY$55)</f>
        <v>0</v>
      </c>
      <c r="PW338" s="56"/>
      <c r="PX338" s="242">
        <f t="shared" si="2381"/>
        <v>0</v>
      </c>
      <c r="PY338" s="242">
        <f t="shared" si="2382"/>
        <v>13.960000000000036</v>
      </c>
      <c r="PZ338" s="56"/>
      <c r="QC338" s="55">
        <f t="shared" si="2383"/>
        <v>46309</v>
      </c>
      <c r="QD338" s="56"/>
      <c r="QE338" s="242">
        <f>SUMPRODUCT(PRODUCE!$B335:$DY335,PRODUCE!$EB$56:$IY$56)</f>
        <v>0</v>
      </c>
      <c r="QF338" s="56"/>
      <c r="QG338" s="242">
        <f t="shared" si="2384"/>
        <v>0</v>
      </c>
      <c r="QH338" s="242">
        <f t="shared" si="2385"/>
        <v>548</v>
      </c>
      <c r="QI338" s="56"/>
      <c r="QL338" s="55">
        <f t="shared" si="2386"/>
        <v>46309</v>
      </c>
      <c r="QM338" s="56"/>
      <c r="QN338" s="242">
        <f>SUMPRODUCT(PRODUCE!$B335:$DY335,PRODUCE!$EB$57:$IY$57)</f>
        <v>0</v>
      </c>
      <c r="QO338" s="56"/>
      <c r="QP338" s="242">
        <f t="shared" si="2387"/>
        <v>0</v>
      </c>
      <c r="QQ338" s="242">
        <f t="shared" si="2388"/>
        <v>0</v>
      </c>
      <c r="QR338" s="56"/>
      <c r="QU338" s="55">
        <f t="shared" si="2389"/>
        <v>46309</v>
      </c>
      <c r="QV338" s="56"/>
      <c r="QW338" s="242">
        <f>SUMPRODUCT(PRODUCE!$B335:$DY335,PRODUCE!$EB$57:$IY$57)</f>
        <v>0</v>
      </c>
      <c r="QX338" s="56"/>
      <c r="QY338" s="242">
        <f t="shared" si="2390"/>
        <v>0</v>
      </c>
      <c r="QZ338" s="242">
        <f t="shared" si="2391"/>
        <v>0</v>
      </c>
      <c r="RA338" s="56"/>
      <c r="RD338" s="55">
        <f t="shared" si="2392"/>
        <v>46309</v>
      </c>
      <c r="RE338" s="56"/>
      <c r="RF338" s="242">
        <f>SUMPRODUCT(PRODUCE!$B335:$DY335,PRODUCE!$EB$58:$IY$58)</f>
        <v>0</v>
      </c>
      <c r="RG338" s="56"/>
      <c r="RH338" s="242">
        <f t="shared" si="2393"/>
        <v>0</v>
      </c>
      <c r="RI338" s="242">
        <f t="shared" si="2394"/>
        <v>147.04000000000002</v>
      </c>
      <c r="RJ338" s="56"/>
      <c r="RM338" s="55">
        <f t="shared" si="2395"/>
        <v>46309</v>
      </c>
      <c r="RN338" s="56"/>
      <c r="RO338" s="242">
        <f>SUMPRODUCT(PRODUCE!$B335:$DY335,PRODUCE!$EB$57:$IY$57)</f>
        <v>0</v>
      </c>
      <c r="RP338" s="56"/>
      <c r="RQ338" s="242">
        <f t="shared" si="2396"/>
        <v>0</v>
      </c>
      <c r="RR338" s="242">
        <f t="shared" si="2397"/>
        <v>46.8</v>
      </c>
      <c r="RS338" s="56"/>
      <c r="RV338" s="55">
        <f t="shared" si="2398"/>
        <v>46309</v>
      </c>
      <c r="RW338" s="56"/>
      <c r="RX338" s="242">
        <f>SUMPRODUCT(PRODUCE!$B335:$DY335,PRODUCE!$EB$57:$IY$57)</f>
        <v>0</v>
      </c>
      <c r="RY338" s="56"/>
      <c r="RZ338" s="242">
        <f t="shared" si="2399"/>
        <v>0</v>
      </c>
      <c r="SA338" s="242">
        <f t="shared" si="2400"/>
        <v>0</v>
      </c>
      <c r="SB338" s="56"/>
      <c r="SE338" s="55">
        <f t="shared" si="2401"/>
        <v>46309</v>
      </c>
      <c r="SF338" s="56"/>
      <c r="SG338" s="242">
        <f>SUMPRODUCT(PRODUCE!$B335:$DY335,PRODUCE!$EB$61:$IY$61)</f>
        <v>0</v>
      </c>
      <c r="SH338" s="56"/>
      <c r="SI338" s="242">
        <f t="shared" si="2402"/>
        <v>0</v>
      </c>
      <c r="SJ338" s="242">
        <f t="shared" si="2403"/>
        <v>24.200000000000003</v>
      </c>
      <c r="SK338" s="56"/>
      <c r="SN338" s="55">
        <f t="shared" si="2404"/>
        <v>46309</v>
      </c>
      <c r="SO338" s="56"/>
      <c r="SP338" s="242">
        <f>SUMPRODUCT(PRODUCE!$B335:$DY335,PRODUCE!$EB$57:$IY$57)</f>
        <v>0</v>
      </c>
      <c r="SQ338" s="56"/>
      <c r="SR338" s="242">
        <f t="shared" si="2405"/>
        <v>0</v>
      </c>
      <c r="SS338" s="242">
        <f t="shared" si="2406"/>
        <v>32</v>
      </c>
      <c r="ST338" s="56"/>
      <c r="SW338" s="55">
        <f t="shared" si="2407"/>
        <v>46309</v>
      </c>
      <c r="SX338" s="56"/>
      <c r="SY338" s="242">
        <f>SUMPRODUCT(PRODUCE!$B335:$DY335,PRODUCE!$EB$57:$IY$57)</f>
        <v>0</v>
      </c>
      <c r="SZ338" s="56"/>
      <c r="TA338" s="242">
        <f t="shared" si="2408"/>
        <v>0</v>
      </c>
      <c r="TB338" s="242">
        <f t="shared" si="2409"/>
        <v>0</v>
      </c>
      <c r="TC338" s="56"/>
      <c r="TF338" s="55">
        <f t="shared" si="2410"/>
        <v>46309</v>
      </c>
      <c r="TG338" s="56"/>
      <c r="TH338" s="242">
        <f>SUMPRODUCT(PRODUCE!$B335:$DY335,PRODUCE!$EB$57:$IY$57)</f>
        <v>0</v>
      </c>
      <c r="TI338" s="56"/>
      <c r="TJ338" s="242">
        <f t="shared" si="2411"/>
        <v>0</v>
      </c>
      <c r="TK338" s="242">
        <f t="shared" si="2412"/>
        <v>0</v>
      </c>
      <c r="TL338" s="56"/>
      <c r="TO338" s="55">
        <f t="shared" si="2413"/>
        <v>46309</v>
      </c>
      <c r="TP338" s="56"/>
      <c r="TQ338" s="242">
        <f>SUMPRODUCT(PRODUCE!$B335:$DY335,PRODUCE!$EB$57:$IY$57)</f>
        <v>0</v>
      </c>
      <c r="TR338" s="56"/>
      <c r="TS338" s="242">
        <f t="shared" si="2414"/>
        <v>0</v>
      </c>
      <c r="TT338" s="242">
        <f t="shared" si="2415"/>
        <v>0</v>
      </c>
      <c r="TU338" s="56"/>
      <c r="TX338" s="55">
        <f t="shared" si="2416"/>
        <v>46309</v>
      </c>
      <c r="TY338" s="56"/>
      <c r="TZ338" s="242">
        <f>SUMPRODUCT(PRODUCE!$B335:$DY335,PRODUCE!$EB$57:$IY$57)</f>
        <v>0</v>
      </c>
      <c r="UA338" s="56"/>
      <c r="UB338" s="242">
        <f t="shared" si="2417"/>
        <v>0</v>
      </c>
      <c r="UC338" s="242">
        <f t="shared" si="2418"/>
        <v>46.799999999999983</v>
      </c>
      <c r="UD338" s="56"/>
      <c r="UG338" s="55">
        <f t="shared" si="2419"/>
        <v>46309</v>
      </c>
      <c r="UH338" s="56"/>
      <c r="UI338" s="242">
        <f>SUMPRODUCT(PRODUCE!$B335:$DY335,PRODUCE!$EB$57:$IY$57)</f>
        <v>0</v>
      </c>
      <c r="UJ338" s="56"/>
      <c r="UK338" s="242">
        <f t="shared" si="2420"/>
        <v>0</v>
      </c>
      <c r="UL338" s="242">
        <f t="shared" si="2421"/>
        <v>204</v>
      </c>
      <c r="UM338" s="56"/>
      <c r="UP338" s="55">
        <f t="shared" si="2422"/>
        <v>46309</v>
      </c>
      <c r="UQ338" s="56"/>
      <c r="UR338" s="242">
        <f>SUMPRODUCT(PRODUCE!$B335:$DY335,PRODUCE!$EB$57:$IY$57)</f>
        <v>0</v>
      </c>
      <c r="US338" s="56"/>
      <c r="UT338" s="242">
        <f t="shared" si="2423"/>
        <v>0</v>
      </c>
      <c r="UU338" s="242">
        <f t="shared" si="2424"/>
        <v>202.5</v>
      </c>
      <c r="UV338" s="56"/>
      <c r="UY338" s="55">
        <f t="shared" si="2425"/>
        <v>46309</v>
      </c>
      <c r="UZ338" s="56"/>
      <c r="VA338" s="242">
        <f>SUMPRODUCT(PRODUCE!$B335:$DY335,PRODUCE!$EB$57:$IY$57)</f>
        <v>0</v>
      </c>
      <c r="VB338" s="56"/>
      <c r="VC338" s="242">
        <f t="shared" si="2426"/>
        <v>0</v>
      </c>
      <c r="VD338" s="242">
        <f t="shared" si="2427"/>
        <v>41.600000000000023</v>
      </c>
      <c r="VE338" s="56"/>
      <c r="VH338" s="55">
        <f t="shared" si="2428"/>
        <v>46309</v>
      </c>
      <c r="VI338" s="56"/>
      <c r="VJ338" s="242">
        <f>SUMPRODUCT(PRODUCE!$B335:$DY335,PRODUCE!$EB$57:$IY$57)</f>
        <v>0</v>
      </c>
      <c r="VK338" s="56"/>
      <c r="VL338" s="242">
        <f t="shared" si="2429"/>
        <v>0</v>
      </c>
      <c r="VM338" s="242">
        <f t="shared" si="2430"/>
        <v>210</v>
      </c>
      <c r="VN338" s="56"/>
      <c r="VQ338" s="55">
        <f t="shared" si="2431"/>
        <v>46309</v>
      </c>
      <c r="VR338" s="56"/>
      <c r="VS338" s="242">
        <f>SUMPRODUCT(PRODUCE!$B335:$DY335,PRODUCE!$EB$57:$IY$57)</f>
        <v>0</v>
      </c>
      <c r="VT338" s="56"/>
      <c r="VU338" s="242">
        <f t="shared" si="2432"/>
        <v>0</v>
      </c>
      <c r="VV338" s="242">
        <f t="shared" si="2433"/>
        <v>0</v>
      </c>
      <c r="VW338" s="56"/>
      <c r="VZ338" s="55">
        <f t="shared" si="2434"/>
        <v>46309</v>
      </c>
      <c r="WA338" s="56"/>
      <c r="WB338" s="242">
        <f>SUMPRODUCT(PRODUCE!$B335:$DY335,PRODUCE!$EB$57:$IY$57)</f>
        <v>0</v>
      </c>
      <c r="WC338" s="56"/>
      <c r="WD338" s="242">
        <f t="shared" si="2435"/>
        <v>0</v>
      </c>
      <c r="WE338" s="242">
        <f t="shared" si="2436"/>
        <v>0</v>
      </c>
      <c r="WF338" s="56"/>
      <c r="WI338" s="55">
        <f t="shared" si="2437"/>
        <v>46309</v>
      </c>
      <c r="WJ338" s="56"/>
      <c r="WK338" s="242">
        <f>SUMPRODUCT(PRODUCE!$B335:$DY335,PRODUCE!$EB$57:$IY$57)</f>
        <v>0</v>
      </c>
      <c r="WL338" s="56"/>
      <c r="WM338" s="242">
        <f t="shared" si="2438"/>
        <v>0</v>
      </c>
      <c r="WN338" s="242">
        <f t="shared" si="2439"/>
        <v>1057</v>
      </c>
      <c r="WO338" s="56"/>
      <c r="WR338" s="55">
        <f t="shared" si="2440"/>
        <v>46309</v>
      </c>
      <c r="WS338" s="56"/>
      <c r="WT338" s="242">
        <f>SUMPRODUCT(PRODUCE!$B335:$DY335,PRODUCE!$EB$57:$IY$57)</f>
        <v>0</v>
      </c>
      <c r="WU338" s="56"/>
      <c r="WV338" s="242">
        <f t="shared" si="2441"/>
        <v>0</v>
      </c>
      <c r="WW338" s="242">
        <f t="shared" si="2442"/>
        <v>0</v>
      </c>
      <c r="WX338" s="56"/>
      <c r="XA338" s="55">
        <f t="shared" si="2443"/>
        <v>46309</v>
      </c>
      <c r="XB338" s="56"/>
      <c r="XC338" s="242">
        <f>SUMPRODUCT(PRODUCE!$B335:$DY335,PRODUCE!$EB$57:$IY$57)</f>
        <v>0</v>
      </c>
      <c r="XD338" s="56"/>
      <c r="XE338" s="242">
        <f t="shared" si="2444"/>
        <v>0</v>
      </c>
      <c r="XF338" s="242">
        <f t="shared" si="2445"/>
        <v>7507</v>
      </c>
      <c r="XG338" s="56"/>
      <c r="XJ338" s="55">
        <f t="shared" si="2446"/>
        <v>46309</v>
      </c>
      <c r="XK338" s="56"/>
      <c r="XL338" s="242">
        <f>SUMPRODUCT(PRODUCE!$B335:$DY335,PRODUCE!$EB$57:$IY$57)</f>
        <v>0</v>
      </c>
      <c r="XM338" s="56"/>
      <c r="XN338" s="242">
        <f t="shared" si="2447"/>
        <v>0</v>
      </c>
      <c r="XO338" s="242">
        <f t="shared" si="2448"/>
        <v>4252</v>
      </c>
      <c r="XP338" s="56"/>
      <c r="XS338" s="55">
        <f t="shared" si="2449"/>
        <v>46309</v>
      </c>
      <c r="XT338" s="56"/>
      <c r="XU338" s="242">
        <f>SUMPRODUCT(PRODUCE!$B335:$DY335,PRODUCE!$EB$57:$IY$57)</f>
        <v>0</v>
      </c>
      <c r="XV338" s="56"/>
      <c r="XW338" s="242">
        <f t="shared" si="2450"/>
        <v>0</v>
      </c>
      <c r="XX338" s="242">
        <f t="shared" si="2451"/>
        <v>2179</v>
      </c>
      <c r="XY338" s="56"/>
      <c r="YB338" s="55">
        <f t="shared" si="2452"/>
        <v>46309</v>
      </c>
      <c r="YC338" s="56"/>
      <c r="YD338" s="242">
        <f>SUMPRODUCT(PRODUCE!$B335:$DY335,PRODUCE!$EB$57:$IY$57)</f>
        <v>0</v>
      </c>
      <c r="YE338" s="56"/>
      <c r="YF338" s="242">
        <f t="shared" si="2453"/>
        <v>0</v>
      </c>
      <c r="YG338" s="242">
        <f t="shared" si="2454"/>
        <v>4019</v>
      </c>
      <c r="YH338" s="56"/>
      <c r="YK338" s="55">
        <f t="shared" si="2455"/>
        <v>46309</v>
      </c>
      <c r="YL338" s="56"/>
      <c r="YM338" s="242">
        <f>SUMPRODUCT(PRODUCE!$B335:$DY335,PRODUCE!$EB$57:$IY$57)</f>
        <v>0</v>
      </c>
      <c r="YN338" s="56"/>
      <c r="YO338" s="242">
        <f t="shared" si="2456"/>
        <v>0</v>
      </c>
      <c r="YP338" s="242">
        <f t="shared" si="2457"/>
        <v>-218</v>
      </c>
      <c r="YQ338" s="56"/>
      <c r="YT338" s="55">
        <f t="shared" si="2458"/>
        <v>46309</v>
      </c>
      <c r="YU338" s="56"/>
      <c r="YV338" s="242">
        <f>SUMPRODUCT(PRODUCE!$B335:$DY335,PRODUCE!$EB$57:$IY$57)</f>
        <v>0</v>
      </c>
      <c r="YW338" s="56"/>
      <c r="YX338" s="242">
        <f t="shared" si="2459"/>
        <v>0</v>
      </c>
      <c r="YY338" s="242">
        <f t="shared" si="2460"/>
        <v>0</v>
      </c>
      <c r="YZ338" s="56"/>
      <c r="ZC338" s="55">
        <f t="shared" si="2461"/>
        <v>46309</v>
      </c>
      <c r="ZD338" s="56"/>
      <c r="ZE338" s="242">
        <f>SUMPRODUCT(PRODUCE!$B335:$DY335,PRODUCE!$EB$57:$IY$57)</f>
        <v>0</v>
      </c>
      <c r="ZF338" s="56"/>
      <c r="ZG338" s="242">
        <f t="shared" si="2462"/>
        <v>0</v>
      </c>
      <c r="ZH338" s="242">
        <f t="shared" si="2463"/>
        <v>0</v>
      </c>
      <c r="ZI338" s="56"/>
      <c r="ZL338" s="55">
        <f t="shared" si="2464"/>
        <v>46309</v>
      </c>
      <c r="ZM338" s="56"/>
      <c r="ZN338" s="242">
        <f>SUMPRODUCT(PRODUCE!$B335:$DY335,PRODUCE!$EB$57:$IY$57)</f>
        <v>0</v>
      </c>
      <c r="ZO338" s="56"/>
      <c r="ZP338" s="242">
        <f t="shared" si="2465"/>
        <v>0</v>
      </c>
      <c r="ZQ338" s="242">
        <f t="shared" si="2466"/>
        <v>0</v>
      </c>
      <c r="ZR338" s="56"/>
      <c r="ZU338" s="55">
        <f t="shared" si="2467"/>
        <v>46309</v>
      </c>
      <c r="ZV338" s="56"/>
      <c r="ZW338" s="242">
        <f>SUMPRODUCT(PRODUCE!$B335:$DY335,PRODUCE!$EB$57:$IY$57)</f>
        <v>0</v>
      </c>
      <c r="ZX338" s="56"/>
      <c r="ZY338" s="242">
        <f t="shared" si="2468"/>
        <v>0</v>
      </c>
      <c r="ZZ338" s="242">
        <f t="shared" si="2469"/>
        <v>0</v>
      </c>
      <c r="AAA338" s="56"/>
      <c r="AAD338" s="55">
        <f t="shared" si="2470"/>
        <v>46309</v>
      </c>
      <c r="AAE338" s="56"/>
      <c r="AAF338" s="242">
        <f>SUMPRODUCT(PRODUCE!$B335:$DY335,PRODUCE!$EB$57:$IY$57)</f>
        <v>0</v>
      </c>
      <c r="AAG338" s="56"/>
      <c r="AAH338" s="242">
        <f t="shared" si="2471"/>
        <v>0</v>
      </c>
      <c r="AAI338" s="242">
        <f t="shared" si="2472"/>
        <v>0</v>
      </c>
      <c r="AAJ338" s="56"/>
      <c r="AAM338" s="55">
        <f t="shared" si="2473"/>
        <v>46309</v>
      </c>
      <c r="AAN338" s="56"/>
      <c r="AAO338" s="242">
        <f>SUMPRODUCT(PRODUCE!$B335:$DY335,PRODUCE!$EB$57:$IY$57)</f>
        <v>0</v>
      </c>
      <c r="AAP338" s="56"/>
      <c r="AAQ338" s="242">
        <f t="shared" si="2474"/>
        <v>0</v>
      </c>
      <c r="AAR338" s="242">
        <f t="shared" si="2475"/>
        <v>0</v>
      </c>
      <c r="AAS338" s="56"/>
      <c r="AAV338" s="55">
        <f t="shared" si="2476"/>
        <v>46309</v>
      </c>
      <c r="AAW338" s="56"/>
      <c r="AAX338" s="242">
        <f>SUMPRODUCT(PRODUCE!$B335:$DY335,PRODUCE!$EB$57:$IY$57)</f>
        <v>0</v>
      </c>
      <c r="AAY338" s="56"/>
      <c r="AAZ338" s="242">
        <f t="shared" si="2477"/>
        <v>0</v>
      </c>
      <c r="ABA338" s="242">
        <f t="shared" si="2478"/>
        <v>0</v>
      </c>
      <c r="ABB338" s="56"/>
      <c r="ABE338" s="55">
        <f t="shared" si="2479"/>
        <v>46309</v>
      </c>
      <c r="ABF338" s="56"/>
      <c r="ABG338" s="242">
        <f>SUMPRODUCT(PRODUCE!$B335:$DY335,PRODUCE!$EB$57:$IY$57)</f>
        <v>0</v>
      </c>
      <c r="ABH338" s="56"/>
      <c r="ABI338" s="242">
        <f t="shared" si="2480"/>
        <v>0</v>
      </c>
      <c r="ABJ338" s="242">
        <f t="shared" si="2481"/>
        <v>0</v>
      </c>
      <c r="ABK338" s="56"/>
    </row>
    <row r="339" spans="2:739" s="54" customFormat="1" ht="15" customHeight="1" outlineLevel="1">
      <c r="B339" s="478"/>
      <c r="C339" s="55">
        <v>46310</v>
      </c>
      <c r="D339" s="56"/>
      <c r="E339" s="57">
        <f>SUMPRODUCT(PRODUCE!$B336:$DY336,PRODUCE!$EB$7:$IY$7)</f>
        <v>0</v>
      </c>
      <c r="F339" s="56"/>
      <c r="G339" s="57">
        <f t="shared" si="2237"/>
        <v>0</v>
      </c>
      <c r="H339" s="57">
        <f t="shared" si="2238"/>
        <v>236936.6</v>
      </c>
      <c r="I339" s="289"/>
      <c r="L339" s="55">
        <f t="shared" si="2239"/>
        <v>46310</v>
      </c>
      <c r="M339" s="56"/>
      <c r="N339" s="59">
        <f>SUMPRODUCT(PRODUCE!$B336:$DY336,PRODUCE!$EB$8:$IY$8)</f>
        <v>0</v>
      </c>
      <c r="O339" s="56"/>
      <c r="P339" s="59">
        <f t="shared" si="2240"/>
        <v>0</v>
      </c>
      <c r="Q339" s="59">
        <f t="shared" si="2241"/>
        <v>53017.600000000071</v>
      </c>
      <c r="R339" s="56"/>
      <c r="U339" s="55">
        <f t="shared" si="2242"/>
        <v>46310</v>
      </c>
      <c r="V339" s="56"/>
      <c r="W339" s="60">
        <f>SUMPRODUCT(PRODUCE!$B336:$DY336,PRODUCE!$EB$9:$IY$9)</f>
        <v>0</v>
      </c>
      <c r="X339" s="56"/>
      <c r="Y339" s="60">
        <f t="shared" si="2243"/>
        <v>0</v>
      </c>
      <c r="Z339" s="60">
        <f t="shared" si="2244"/>
        <v>42674.199999999968</v>
      </c>
      <c r="AA339" s="56"/>
      <c r="AD339" s="55">
        <f t="shared" si="2245"/>
        <v>46310</v>
      </c>
      <c r="AE339" s="56"/>
      <c r="AF339" s="61">
        <f>SUMPRODUCT(PRODUCE!$B336:$DY336,PRODUCE!$EB$10:$IY$10)</f>
        <v>0</v>
      </c>
      <c r="AG339" s="56"/>
      <c r="AH339" s="61">
        <f t="shared" si="2246"/>
        <v>0</v>
      </c>
      <c r="AI339" s="61">
        <f t="shared" si="2247"/>
        <v>4522.2000000000189</v>
      </c>
      <c r="AJ339" s="56"/>
      <c r="AM339" s="55">
        <f t="shared" si="2248"/>
        <v>46310</v>
      </c>
      <c r="AN339" s="422"/>
      <c r="AO339" s="444">
        <f>SUMPRODUCT(PRODUCE!$B336:$DY336,PRODUCE!$EB$11:$IY$11)</f>
        <v>0</v>
      </c>
      <c r="AP339" s="422"/>
      <c r="AQ339" s="444">
        <f t="shared" si="2249"/>
        <v>0</v>
      </c>
      <c r="AR339" s="444">
        <f t="shared" si="2250"/>
        <v>0</v>
      </c>
      <c r="AS339" s="56"/>
      <c r="AV339" s="55">
        <f t="shared" si="2251"/>
        <v>46310</v>
      </c>
      <c r="AW339" s="56"/>
      <c r="AX339" s="62">
        <f>SUMPRODUCT(PRODUCE!$B336:$DY336,PRODUCE!$EB$12:$IY$12)</f>
        <v>0</v>
      </c>
      <c r="AY339" s="56"/>
      <c r="AZ339" s="62">
        <f t="shared" si="2252"/>
        <v>0</v>
      </c>
      <c r="BA339" s="62">
        <f t="shared" si="2253"/>
        <v>124.99999999999523</v>
      </c>
      <c r="BB339" s="56"/>
      <c r="BE339" s="55">
        <f t="shared" si="2254"/>
        <v>46310</v>
      </c>
      <c r="BF339" s="56"/>
      <c r="BG339" s="63">
        <f>SUMPRODUCT(PRODUCE!$B336:$DY336,PRODUCE!$EB$13:$IY$13)</f>
        <v>0</v>
      </c>
      <c r="BH339" s="56"/>
      <c r="BI339" s="63">
        <f t="shared" si="2255"/>
        <v>0</v>
      </c>
      <c r="BJ339" s="63">
        <f t="shared" si="2256"/>
        <v>26151.899999999998</v>
      </c>
      <c r="BK339" s="56"/>
      <c r="BN339" s="55">
        <f t="shared" si="2257"/>
        <v>46310</v>
      </c>
      <c r="BO339" s="56"/>
      <c r="BP339" s="64">
        <f>SUMPRODUCT(PRODUCE!$B336:$DY336,PRODUCE!$EB$14:$IY$14)</f>
        <v>0</v>
      </c>
      <c r="BQ339" s="56"/>
      <c r="BR339" s="64">
        <f t="shared" si="2258"/>
        <v>0</v>
      </c>
      <c r="BS339" s="64">
        <f t="shared" si="2259"/>
        <v>0</v>
      </c>
      <c r="BT339" s="56"/>
      <c r="BW339" s="55">
        <f t="shared" si="2260"/>
        <v>46310</v>
      </c>
      <c r="BX339" s="56"/>
      <c r="BY339" s="65">
        <f>SUMPRODUCT(PRODUCE!$B336:$DY336,PRODUCE!$EB$15:$IY$15)</f>
        <v>0</v>
      </c>
      <c r="BZ339" s="56"/>
      <c r="CA339" s="65">
        <f t="shared" si="2261"/>
        <v>0</v>
      </c>
      <c r="CB339" s="65">
        <f t="shared" si="2262"/>
        <v>2097.3399999999992</v>
      </c>
      <c r="CC339" s="56"/>
      <c r="CF339" s="55">
        <f t="shared" si="2263"/>
        <v>46310</v>
      </c>
      <c r="CG339" s="56"/>
      <c r="CH339" s="66">
        <f>SUMPRODUCT(PRODUCE!$B336:$DY336,PRODUCE!$EB$16:$IY$16)</f>
        <v>0</v>
      </c>
      <c r="CI339" s="56"/>
      <c r="CJ339" s="66">
        <f t="shared" si="2264"/>
        <v>0</v>
      </c>
      <c r="CK339" s="66">
        <f t="shared" si="2265"/>
        <v>-10277.079999999998</v>
      </c>
      <c r="CL339" s="56"/>
      <c r="CO339" s="55">
        <f t="shared" si="2266"/>
        <v>46310</v>
      </c>
      <c r="CP339" s="422"/>
      <c r="CQ339" s="470">
        <f>SUMPRODUCT(PRODUCE!$B336:$DY336,PRODUCE!$EB$17:$IY$17)</f>
        <v>0</v>
      </c>
      <c r="CR339" s="422"/>
      <c r="CS339" s="470">
        <f t="shared" si="2267"/>
        <v>0</v>
      </c>
      <c r="CT339" s="470">
        <f t="shared" si="2268"/>
        <v>0</v>
      </c>
      <c r="CU339" s="56"/>
      <c r="CX339" s="55">
        <f t="shared" si="2269"/>
        <v>46310</v>
      </c>
      <c r="CY339" s="56"/>
      <c r="CZ339" s="133">
        <f>SUMPRODUCT(PRODUCE!$B336:$DY336,PRODUCE!$EB$18:$IY$18)</f>
        <v>0</v>
      </c>
      <c r="DA339" s="56"/>
      <c r="DB339" s="133">
        <f t="shared" si="2270"/>
        <v>0</v>
      </c>
      <c r="DC339" s="133">
        <f t="shared" si="2271"/>
        <v>27438.200000000012</v>
      </c>
      <c r="DD339" s="56"/>
      <c r="DG339" s="55">
        <f t="shared" si="2272"/>
        <v>46310</v>
      </c>
      <c r="DH339" s="56"/>
      <c r="DI339" s="147">
        <f>SUMPRODUCT(PRODUCE!$B336:$DY336,PRODUCE!$EB$19:$IY$19)</f>
        <v>0</v>
      </c>
      <c r="DJ339" s="56"/>
      <c r="DK339" s="147">
        <f t="shared" si="2273"/>
        <v>0</v>
      </c>
      <c r="DL339" s="147">
        <f t="shared" si="2274"/>
        <v>18782.299999999981</v>
      </c>
      <c r="DM339" s="56"/>
      <c r="DP339" s="55">
        <f t="shared" si="2275"/>
        <v>46310</v>
      </c>
      <c r="DQ339" s="56"/>
      <c r="DR339" s="57">
        <f>SUMPRODUCT(PRODUCE!$B336:$DY336,PRODUCE!$EB$20:$IY$20)</f>
        <v>0</v>
      </c>
      <c r="DS339" s="56"/>
      <c r="DT339" s="57">
        <f t="shared" si="2276"/>
        <v>0</v>
      </c>
      <c r="DU339" s="57">
        <f t="shared" si="2277"/>
        <v>5800</v>
      </c>
      <c r="DV339" s="56"/>
      <c r="DY339" s="55">
        <f t="shared" si="2278"/>
        <v>46310</v>
      </c>
      <c r="DZ339" s="56"/>
      <c r="EA339" s="157">
        <f>SUMPRODUCT(PRODUCE!$B336:$DY336,PRODUCE!$EB$21:$IY$21)</f>
        <v>0</v>
      </c>
      <c r="EB339" s="56"/>
      <c r="EC339" s="157">
        <f t="shared" si="2279"/>
        <v>0</v>
      </c>
      <c r="ED339" s="157">
        <f t="shared" si="2280"/>
        <v>0</v>
      </c>
      <c r="EE339" s="56"/>
      <c r="EH339" s="55">
        <f t="shared" si="2281"/>
        <v>46310</v>
      </c>
      <c r="EI339" s="56"/>
      <c r="EJ339" s="162">
        <f>SUMPRODUCT(PRODUCE!$B336:$DY336,PRODUCE!$EB$22:$IY$22)</f>
        <v>0</v>
      </c>
      <c r="EK339" s="56"/>
      <c r="EL339" s="162">
        <f t="shared" si="2282"/>
        <v>0</v>
      </c>
      <c r="EM339" s="162">
        <f t="shared" si="2283"/>
        <v>0</v>
      </c>
      <c r="EN339" s="56"/>
      <c r="EQ339" s="55">
        <f t="shared" si="2284"/>
        <v>46310</v>
      </c>
      <c r="ER339" s="56"/>
      <c r="ES339" s="135">
        <f>SUMPRODUCT(PRODUCE!$B336:$DY336,PRODUCE!$EB$23:$IY$23)</f>
        <v>0</v>
      </c>
      <c r="ET339" s="56"/>
      <c r="EU339" s="135">
        <f t="shared" si="2285"/>
        <v>0</v>
      </c>
      <c r="EV339" s="135">
        <f t="shared" si="2286"/>
        <v>0</v>
      </c>
      <c r="EW339" s="56"/>
      <c r="EZ339" s="55">
        <f t="shared" si="2287"/>
        <v>46310</v>
      </c>
      <c r="FA339" s="56"/>
      <c r="FB339" s="175">
        <f>SUMPRODUCT(PRODUCE!$B336:$DY336,PRODUCE!$EB$24:$IY$24)</f>
        <v>0</v>
      </c>
      <c r="FC339" s="56"/>
      <c r="FD339" s="175">
        <f t="shared" si="2288"/>
        <v>0</v>
      </c>
      <c r="FE339" s="175">
        <f t="shared" si="2289"/>
        <v>0</v>
      </c>
      <c r="FF339" s="56"/>
      <c r="FI339" s="55">
        <f t="shared" si="2290"/>
        <v>46310</v>
      </c>
      <c r="FJ339" s="56"/>
      <c r="FK339" s="183">
        <f>SUMPRODUCT(PRODUCE!$B336:$DY336,PRODUCE!$EB$25:$IY$25)</f>
        <v>0</v>
      </c>
      <c r="FL339" s="56"/>
      <c r="FM339" s="183">
        <f t="shared" si="2291"/>
        <v>0</v>
      </c>
      <c r="FN339" s="183">
        <f t="shared" si="2292"/>
        <v>0</v>
      </c>
      <c r="FO339" s="56"/>
      <c r="FR339" s="55">
        <f t="shared" si="2293"/>
        <v>46310</v>
      </c>
      <c r="FS339" s="56"/>
      <c r="FT339" s="186">
        <f>SUMPRODUCT(PRODUCE!$B336:$DY336,PRODUCE!$EB$26:$IY$26)</f>
        <v>0</v>
      </c>
      <c r="FU339" s="56"/>
      <c r="FV339" s="186">
        <f t="shared" si="2294"/>
        <v>0</v>
      </c>
      <c r="FW339" s="186">
        <f t="shared" si="2295"/>
        <v>2020</v>
      </c>
      <c r="FX339" s="56"/>
      <c r="GA339" s="55">
        <f t="shared" si="2296"/>
        <v>46310</v>
      </c>
      <c r="GB339" s="56"/>
      <c r="GC339" s="137">
        <f>SUMPRODUCT(PRODUCE!$B336:$DY336,PRODUCE!$EB$27:$IY$27)</f>
        <v>0</v>
      </c>
      <c r="GD339" s="56"/>
      <c r="GE339" s="137">
        <f t="shared" si="2297"/>
        <v>0</v>
      </c>
      <c r="GF339" s="137">
        <f t="shared" si="2298"/>
        <v>960</v>
      </c>
      <c r="GG339" s="56"/>
      <c r="GI339" s="23"/>
      <c r="GJ339" s="55">
        <f t="shared" si="2299"/>
        <v>46310</v>
      </c>
      <c r="GK339" s="56"/>
      <c r="GL339" s="199">
        <f>SUMPRODUCT(PRODUCE!$B336:$DY336,PRODUCE!$EB$28:$IY$28)</f>
        <v>0</v>
      </c>
      <c r="GM339" s="56"/>
      <c r="GN339" s="199">
        <f t="shared" si="2300"/>
        <v>0</v>
      </c>
      <c r="GO339" s="199">
        <f t="shared" si="2301"/>
        <v>1760</v>
      </c>
      <c r="GP339" s="56"/>
      <c r="GS339" s="55">
        <f t="shared" si="2302"/>
        <v>46310</v>
      </c>
      <c r="GT339" s="56"/>
      <c r="GU339" s="195">
        <f>SUMPRODUCT(PRODUCE!$B336:$DY336,PRODUCE!$EB$29:$IY$29)</f>
        <v>0</v>
      </c>
      <c r="GV339" s="56"/>
      <c r="GW339" s="195">
        <f t="shared" si="2303"/>
        <v>0</v>
      </c>
      <c r="GX339" s="195">
        <f t="shared" si="2304"/>
        <v>400</v>
      </c>
      <c r="GY339" s="56"/>
      <c r="HB339" s="55">
        <f t="shared" si="2305"/>
        <v>46310</v>
      </c>
      <c r="HC339" s="56"/>
      <c r="HD339" s="191">
        <f>SUMPRODUCT(PRODUCE!$B336:$DY336,PRODUCE!$EB$30:$IY$30)</f>
        <v>0</v>
      </c>
      <c r="HE339" s="56"/>
      <c r="HF339" s="191">
        <f t="shared" si="2306"/>
        <v>0</v>
      </c>
      <c r="HG339" s="191">
        <f t="shared" si="2307"/>
        <v>3600</v>
      </c>
      <c r="HH339" s="56"/>
      <c r="HK339" s="55">
        <f t="shared" si="2308"/>
        <v>46310</v>
      </c>
      <c r="HL339" s="56"/>
      <c r="HM339" s="63">
        <f>SUMPRODUCT(PRODUCE!$B336:$DY336,PRODUCE!$EB$31:$IY$31)</f>
        <v>0</v>
      </c>
      <c r="HN339" s="56"/>
      <c r="HO339" s="63">
        <f t="shared" si="2309"/>
        <v>0</v>
      </c>
      <c r="HP339" s="63">
        <f t="shared" si="2310"/>
        <v>0</v>
      </c>
      <c r="HQ339" s="56"/>
      <c r="HU339" s="55">
        <f t="shared" si="2311"/>
        <v>46310</v>
      </c>
      <c r="HV339" s="56"/>
      <c r="HW339" s="242">
        <f>SUMPRODUCT(PRODUCE!$B336:$DY336,PRODUCE!$EB$32:$IY$32)</f>
        <v>0</v>
      </c>
      <c r="HX339" s="56"/>
      <c r="HY339" s="242">
        <f t="shared" si="2312"/>
        <v>0</v>
      </c>
      <c r="HZ339" s="242">
        <f t="shared" si="2313"/>
        <v>6120</v>
      </c>
      <c r="IA339" s="56"/>
      <c r="ID339" s="55">
        <f t="shared" si="2314"/>
        <v>46310</v>
      </c>
      <c r="IE339" s="56"/>
      <c r="IF339" s="242">
        <f>SUMPRODUCT(PRODUCE!$B336:$DY336,PRODUCE!$EB$33:$IY$33)</f>
        <v>0</v>
      </c>
      <c r="IG339" s="56"/>
      <c r="IH339" s="242">
        <f t="shared" si="2315"/>
        <v>0</v>
      </c>
      <c r="II339" s="242">
        <f t="shared" si="2316"/>
        <v>0</v>
      </c>
      <c r="IJ339" s="56"/>
      <c r="IM339" s="55">
        <f t="shared" si="2317"/>
        <v>46310</v>
      </c>
      <c r="IN339" s="56"/>
      <c r="IO339" s="242">
        <f>SUMPRODUCT(PRODUCE!$B336:$DY336,PRODUCE!$EB$34:$IY$34)</f>
        <v>0</v>
      </c>
      <c r="IP339" s="56"/>
      <c r="IQ339" s="242">
        <f t="shared" si="2318"/>
        <v>0</v>
      </c>
      <c r="IR339" s="242">
        <f t="shared" si="2319"/>
        <v>0</v>
      </c>
      <c r="IS339" s="56"/>
      <c r="IV339" s="55">
        <f t="shared" si="2320"/>
        <v>46310</v>
      </c>
      <c r="IW339" s="56"/>
      <c r="IX339" s="242">
        <f>SUMPRODUCT(PRODUCE!$B336:$DY336,PRODUCE!$EB$35:$IY$35)</f>
        <v>0</v>
      </c>
      <c r="IY339" s="56"/>
      <c r="IZ339" s="242">
        <f t="shared" si="2321"/>
        <v>0</v>
      </c>
      <c r="JA339" s="242">
        <f t="shared" si="2322"/>
        <v>2820</v>
      </c>
      <c r="JB339" s="56"/>
      <c r="JE339" s="55">
        <f t="shared" si="2323"/>
        <v>46310</v>
      </c>
      <c r="JF339" s="56"/>
      <c r="JG339" s="242">
        <f>SUMPRODUCT(PRODUCE!$B336:$DY336,PRODUCE!$EB$36:$IY$36)</f>
        <v>0</v>
      </c>
      <c r="JH339" s="56"/>
      <c r="JI339" s="242">
        <f t="shared" si="2324"/>
        <v>0</v>
      </c>
      <c r="JJ339" s="242">
        <f t="shared" si="2325"/>
        <v>0</v>
      </c>
      <c r="JK339" s="56"/>
      <c r="JN339" s="55">
        <f t="shared" si="2326"/>
        <v>46310</v>
      </c>
      <c r="JO339" s="56"/>
      <c r="JP339" s="242">
        <f>SUMPRODUCT(PRODUCE!$B336:$DY336,PRODUCE!$EB$37:$IY$37)</f>
        <v>0</v>
      </c>
      <c r="JQ339" s="56"/>
      <c r="JR339" s="242">
        <f t="shared" si="2327"/>
        <v>0</v>
      </c>
      <c r="JS339" s="242">
        <f t="shared" si="2328"/>
        <v>0</v>
      </c>
      <c r="JT339" s="56"/>
      <c r="JW339" s="55">
        <f t="shared" si="2329"/>
        <v>46310</v>
      </c>
      <c r="JX339" s="56"/>
      <c r="JY339" s="242">
        <f>SUMPRODUCT(PRODUCE!$B336:$DY336,PRODUCE!$EB$38:$IY$38)</f>
        <v>0</v>
      </c>
      <c r="JZ339" s="56"/>
      <c r="KA339" s="242">
        <f t="shared" si="2330"/>
        <v>0</v>
      </c>
      <c r="KB339" s="242">
        <f t="shared" si="2331"/>
        <v>2540</v>
      </c>
      <c r="KC339" s="56"/>
      <c r="KF339" s="55">
        <f t="shared" si="2332"/>
        <v>46310</v>
      </c>
      <c r="KG339" s="56"/>
      <c r="KH339" s="242">
        <f>SUMPRODUCT(PRODUCE!$B336:$DY336,PRODUCE!$EB$39:$IY$39)</f>
        <v>0</v>
      </c>
      <c r="KI339" s="56"/>
      <c r="KJ339" s="242">
        <f t="shared" si="2333"/>
        <v>0</v>
      </c>
      <c r="KK339" s="242">
        <f t="shared" si="2334"/>
        <v>2359.5</v>
      </c>
      <c r="KL339" s="56"/>
      <c r="KO339" s="55">
        <f t="shared" si="2335"/>
        <v>46310</v>
      </c>
      <c r="KP339" s="56"/>
      <c r="KQ339" s="242">
        <f>SUMPRODUCT(PRODUCE!$B336:$DY336,PRODUCE!$EB$40:$IY$40)</f>
        <v>0</v>
      </c>
      <c r="KR339" s="56"/>
      <c r="KS339" s="242">
        <f t="shared" si="2336"/>
        <v>0</v>
      </c>
      <c r="KT339" s="242">
        <f t="shared" si="2337"/>
        <v>1890</v>
      </c>
      <c r="KU339" s="56"/>
      <c r="KW339" s="23"/>
      <c r="KX339" s="55">
        <f t="shared" si="2338"/>
        <v>46310</v>
      </c>
      <c r="KY339" s="56"/>
      <c r="KZ339" s="242">
        <f>SUMPRODUCT(PRODUCE!$B336:$DY336,PRODUCE!$EB$41:$IY$41)</f>
        <v>0</v>
      </c>
      <c r="LA339" s="56"/>
      <c r="LB339" s="242">
        <f t="shared" si="2339"/>
        <v>0</v>
      </c>
      <c r="LC339" s="242">
        <f t="shared" si="2340"/>
        <v>3690</v>
      </c>
      <c r="LD339" s="56"/>
      <c r="LG339" s="55">
        <f t="shared" si="2341"/>
        <v>46310</v>
      </c>
      <c r="LH339" s="56"/>
      <c r="LI339" s="242">
        <f>SUMPRODUCT(PRODUCE!$B336:$DY336,PRODUCE!$EB$42:$IY$42)</f>
        <v>0</v>
      </c>
      <c r="LJ339" s="56"/>
      <c r="LK339" s="242">
        <f t="shared" si="2342"/>
        <v>0</v>
      </c>
      <c r="LL339" s="242">
        <f t="shared" si="2343"/>
        <v>4000</v>
      </c>
      <c r="LM339" s="56"/>
      <c r="LP339" s="55">
        <f t="shared" si="2344"/>
        <v>46310</v>
      </c>
      <c r="LQ339" s="56"/>
      <c r="LR339" s="242">
        <f>SUMPRODUCT(PRODUCE!$B336:$DY336,PRODUCE!$EB$43:$IY$43)</f>
        <v>0</v>
      </c>
      <c r="LS339" s="56"/>
      <c r="LT339" s="242">
        <f t="shared" si="2345"/>
        <v>0</v>
      </c>
      <c r="LU339" s="242">
        <f t="shared" si="2346"/>
        <v>0</v>
      </c>
      <c r="LV339" s="56"/>
      <c r="LY339" s="55">
        <f t="shared" si="2347"/>
        <v>46310</v>
      </c>
      <c r="LZ339" s="56"/>
      <c r="MA339" s="242">
        <f>SUMPRODUCT(PRODUCE!$B336:$DY336,PRODUCE!$EB$44:$IY$44)</f>
        <v>0</v>
      </c>
      <c r="MB339" s="56"/>
      <c r="MC339" s="242">
        <f t="shared" si="2348"/>
        <v>0</v>
      </c>
      <c r="MD339" s="242">
        <f t="shared" si="2349"/>
        <v>0</v>
      </c>
      <c r="ME339" s="56"/>
      <c r="MH339" s="55">
        <f t="shared" si="2350"/>
        <v>46310</v>
      </c>
      <c r="MI339" s="56"/>
      <c r="MJ339" s="242">
        <f>SUMPRODUCT(PRODUCE!$B336:$DY336,PRODUCE!$EB$45:$IY$45)</f>
        <v>0</v>
      </c>
      <c r="MK339" s="56"/>
      <c r="ML339" s="242">
        <f t="shared" si="2351"/>
        <v>0</v>
      </c>
      <c r="MM339" s="242">
        <f t="shared" si="2352"/>
        <v>0</v>
      </c>
      <c r="MN339" s="56"/>
      <c r="MQ339" s="55">
        <f t="shared" si="2353"/>
        <v>46310</v>
      </c>
      <c r="MR339" s="56"/>
      <c r="MS339" s="242">
        <f>SUMPRODUCT(PRODUCE!$B336:$DY336,PRODUCE!$EB$46:$IY$46)</f>
        <v>0</v>
      </c>
      <c r="MT339" s="56"/>
      <c r="MU339" s="242">
        <f t="shared" si="2354"/>
        <v>0</v>
      </c>
      <c r="MV339" s="242">
        <f t="shared" si="2355"/>
        <v>1625</v>
      </c>
      <c r="MW339" s="56"/>
      <c r="MZ339" s="55">
        <f t="shared" si="2356"/>
        <v>46310</v>
      </c>
      <c r="NA339" s="56"/>
      <c r="NB339" s="242">
        <f>SUMPRODUCT(PRODUCE!$B336:$DY336,PRODUCE!$EB$47:$IY$47)</f>
        <v>0</v>
      </c>
      <c r="NC339" s="56"/>
      <c r="ND339" s="242">
        <f t="shared" si="2357"/>
        <v>0</v>
      </c>
      <c r="NE339" s="242">
        <f t="shared" si="2358"/>
        <v>0</v>
      </c>
      <c r="NF339" s="56"/>
      <c r="NI339" s="55">
        <f t="shared" si="2359"/>
        <v>46310</v>
      </c>
      <c r="NJ339" s="56"/>
      <c r="NK339" s="242">
        <f>SUMPRODUCT(PRODUCE!$B336:$DY336,PRODUCE!$EB$48:$IY$48)</f>
        <v>0</v>
      </c>
      <c r="NL339" s="56"/>
      <c r="NM339" s="242">
        <f t="shared" si="2360"/>
        <v>0</v>
      </c>
      <c r="NN339" s="242">
        <f t="shared" si="2361"/>
        <v>1127</v>
      </c>
      <c r="NO339" s="56"/>
      <c r="NR339" s="55">
        <f t="shared" si="2362"/>
        <v>46310</v>
      </c>
      <c r="NS339" s="56"/>
      <c r="NT339" s="242">
        <f>SUMPRODUCT(PRODUCE!$B336:$DY336,PRODUCE!$EB$49:$IY$49)</f>
        <v>0</v>
      </c>
      <c r="NU339" s="56"/>
      <c r="NV339" s="242">
        <f t="shared" si="2363"/>
        <v>0</v>
      </c>
      <c r="NW339" s="242">
        <f t="shared" si="2364"/>
        <v>3111.9999999999995</v>
      </c>
      <c r="NX339" s="56"/>
      <c r="OA339" s="55">
        <f t="shared" si="2365"/>
        <v>46310</v>
      </c>
      <c r="OB339" s="56"/>
      <c r="OC339" s="242">
        <f>SUMPRODUCT(PRODUCE!$B336:$DY336,PRODUCE!$EB$50:$IY$50)</f>
        <v>0</v>
      </c>
      <c r="OD339" s="56"/>
      <c r="OE339" s="242">
        <f t="shared" si="2366"/>
        <v>0</v>
      </c>
      <c r="OF339" s="242">
        <f t="shared" si="2367"/>
        <v>1680.5</v>
      </c>
      <c r="OG339" s="56"/>
      <c r="OJ339" s="55">
        <f t="shared" si="2368"/>
        <v>46310</v>
      </c>
      <c r="OK339" s="56"/>
      <c r="OL339" s="242">
        <f>SUMPRODUCT(PRODUCE!$B336:$DY336,PRODUCE!$EB$51:$IY$51)</f>
        <v>0</v>
      </c>
      <c r="OM339" s="56"/>
      <c r="ON339" s="242">
        <f t="shared" si="2369"/>
        <v>0</v>
      </c>
      <c r="OO339" s="242">
        <f t="shared" si="2370"/>
        <v>0</v>
      </c>
      <c r="OP339" s="56"/>
      <c r="OS339" s="55">
        <f t="shared" si="2371"/>
        <v>46310</v>
      </c>
      <c r="OT339" s="56"/>
      <c r="OU339" s="242">
        <f>SUMPRODUCT(PRODUCE!$B336:$DY336,PRODUCE!$EB$52:$IY$52)</f>
        <v>0</v>
      </c>
      <c r="OV339" s="56"/>
      <c r="OW339" s="242">
        <f t="shared" si="2372"/>
        <v>0</v>
      </c>
      <c r="OX339" s="242">
        <f t="shared" si="2373"/>
        <v>1482</v>
      </c>
      <c r="OY339" s="56"/>
      <c r="PB339" s="55">
        <f t="shared" si="2374"/>
        <v>46310</v>
      </c>
      <c r="PC339" s="56"/>
      <c r="PD339" s="242">
        <f>SUMPRODUCT(PRODUCE!$B336:$DY336,PRODUCE!$EB$53:$IY$53)</f>
        <v>0</v>
      </c>
      <c r="PE339" s="56"/>
      <c r="PF339" s="242">
        <f t="shared" si="2375"/>
        <v>0</v>
      </c>
      <c r="PG339" s="242">
        <f t="shared" si="2376"/>
        <v>0</v>
      </c>
      <c r="PH339" s="56"/>
      <c r="PK339" s="55">
        <f t="shared" si="2377"/>
        <v>46310</v>
      </c>
      <c r="PL339" s="56"/>
      <c r="PM339" s="242">
        <f>SUMPRODUCT(PRODUCE!$B336:$DY336,PRODUCE!$EB$54:$IY$54)</f>
        <v>0</v>
      </c>
      <c r="PN339" s="56"/>
      <c r="PO339" s="242">
        <f t="shared" si="2378"/>
        <v>0</v>
      </c>
      <c r="PP339" s="242">
        <f t="shared" si="2379"/>
        <v>100</v>
      </c>
      <c r="PQ339" s="56"/>
      <c r="PT339" s="55">
        <f t="shared" si="2380"/>
        <v>46310</v>
      </c>
      <c r="PU339" s="56"/>
      <c r="PV339" s="242">
        <f>SUMPRODUCT(PRODUCE!$B336:$DY336,PRODUCE!$EB$55:$IY$55)</f>
        <v>0</v>
      </c>
      <c r="PW339" s="56"/>
      <c r="PX339" s="242">
        <f t="shared" si="2381"/>
        <v>0</v>
      </c>
      <c r="PY339" s="242">
        <f t="shared" si="2382"/>
        <v>13.960000000000036</v>
      </c>
      <c r="PZ339" s="56"/>
      <c r="QC339" s="55">
        <f t="shared" si="2383"/>
        <v>46310</v>
      </c>
      <c r="QD339" s="56"/>
      <c r="QE339" s="242">
        <f>SUMPRODUCT(PRODUCE!$B336:$DY336,PRODUCE!$EB$56:$IY$56)</f>
        <v>0</v>
      </c>
      <c r="QF339" s="56"/>
      <c r="QG339" s="242">
        <f t="shared" si="2384"/>
        <v>0</v>
      </c>
      <c r="QH339" s="242">
        <f t="shared" si="2385"/>
        <v>548</v>
      </c>
      <c r="QI339" s="56"/>
      <c r="QL339" s="55">
        <f t="shared" si="2386"/>
        <v>46310</v>
      </c>
      <c r="QM339" s="56"/>
      <c r="QN339" s="242">
        <f>SUMPRODUCT(PRODUCE!$B336:$DY336,PRODUCE!$EB$57:$IY$57)</f>
        <v>0</v>
      </c>
      <c r="QO339" s="56"/>
      <c r="QP339" s="242">
        <f t="shared" si="2387"/>
        <v>0</v>
      </c>
      <c r="QQ339" s="242">
        <f t="shared" si="2388"/>
        <v>0</v>
      </c>
      <c r="QR339" s="56"/>
      <c r="QU339" s="55">
        <f t="shared" si="2389"/>
        <v>46310</v>
      </c>
      <c r="QV339" s="56"/>
      <c r="QW339" s="242">
        <f>SUMPRODUCT(PRODUCE!$B336:$DY336,PRODUCE!$EB$57:$IY$57)</f>
        <v>0</v>
      </c>
      <c r="QX339" s="56"/>
      <c r="QY339" s="242">
        <f t="shared" si="2390"/>
        <v>0</v>
      </c>
      <c r="QZ339" s="242">
        <f t="shared" si="2391"/>
        <v>0</v>
      </c>
      <c r="RA339" s="56"/>
      <c r="RD339" s="55">
        <f t="shared" si="2392"/>
        <v>46310</v>
      </c>
      <c r="RE339" s="56"/>
      <c r="RF339" s="242">
        <f>SUMPRODUCT(PRODUCE!$B336:$DY336,PRODUCE!$EB$58:$IY$58)</f>
        <v>0</v>
      </c>
      <c r="RG339" s="56"/>
      <c r="RH339" s="242">
        <f t="shared" si="2393"/>
        <v>0</v>
      </c>
      <c r="RI339" s="242">
        <f t="shared" si="2394"/>
        <v>147.04000000000002</v>
      </c>
      <c r="RJ339" s="56"/>
      <c r="RM339" s="55">
        <f t="shared" si="2395"/>
        <v>46310</v>
      </c>
      <c r="RN339" s="56"/>
      <c r="RO339" s="242">
        <f>SUMPRODUCT(PRODUCE!$B336:$DY336,PRODUCE!$EB$57:$IY$57)</f>
        <v>0</v>
      </c>
      <c r="RP339" s="56"/>
      <c r="RQ339" s="242">
        <f t="shared" si="2396"/>
        <v>0</v>
      </c>
      <c r="RR339" s="242">
        <f t="shared" si="2397"/>
        <v>46.8</v>
      </c>
      <c r="RS339" s="56"/>
      <c r="RV339" s="55">
        <f t="shared" si="2398"/>
        <v>46310</v>
      </c>
      <c r="RW339" s="56"/>
      <c r="RX339" s="242">
        <f>SUMPRODUCT(PRODUCE!$B336:$DY336,PRODUCE!$EB$57:$IY$57)</f>
        <v>0</v>
      </c>
      <c r="RY339" s="56"/>
      <c r="RZ339" s="242">
        <f t="shared" si="2399"/>
        <v>0</v>
      </c>
      <c r="SA339" s="242">
        <f t="shared" si="2400"/>
        <v>0</v>
      </c>
      <c r="SB339" s="56"/>
      <c r="SE339" s="55">
        <f t="shared" si="2401"/>
        <v>46310</v>
      </c>
      <c r="SF339" s="56"/>
      <c r="SG339" s="242">
        <f>SUMPRODUCT(PRODUCE!$B336:$DY336,PRODUCE!$EB$61:$IY$61)</f>
        <v>0</v>
      </c>
      <c r="SH339" s="56"/>
      <c r="SI339" s="242">
        <f t="shared" si="2402"/>
        <v>0</v>
      </c>
      <c r="SJ339" s="242">
        <f t="shared" si="2403"/>
        <v>24.200000000000003</v>
      </c>
      <c r="SK339" s="56"/>
      <c r="SN339" s="55">
        <f t="shared" si="2404"/>
        <v>46310</v>
      </c>
      <c r="SO339" s="56"/>
      <c r="SP339" s="242">
        <f>SUMPRODUCT(PRODUCE!$B336:$DY336,PRODUCE!$EB$57:$IY$57)</f>
        <v>0</v>
      </c>
      <c r="SQ339" s="56"/>
      <c r="SR339" s="242">
        <f t="shared" si="2405"/>
        <v>0</v>
      </c>
      <c r="SS339" s="242">
        <f t="shared" si="2406"/>
        <v>32</v>
      </c>
      <c r="ST339" s="56"/>
      <c r="SW339" s="55">
        <f t="shared" si="2407"/>
        <v>46310</v>
      </c>
      <c r="SX339" s="56"/>
      <c r="SY339" s="242">
        <f>SUMPRODUCT(PRODUCE!$B336:$DY336,PRODUCE!$EB$57:$IY$57)</f>
        <v>0</v>
      </c>
      <c r="SZ339" s="56"/>
      <c r="TA339" s="242">
        <f t="shared" si="2408"/>
        <v>0</v>
      </c>
      <c r="TB339" s="242">
        <f t="shared" si="2409"/>
        <v>0</v>
      </c>
      <c r="TC339" s="56"/>
      <c r="TF339" s="55">
        <f t="shared" si="2410"/>
        <v>46310</v>
      </c>
      <c r="TG339" s="56"/>
      <c r="TH339" s="242">
        <f>SUMPRODUCT(PRODUCE!$B336:$DY336,PRODUCE!$EB$57:$IY$57)</f>
        <v>0</v>
      </c>
      <c r="TI339" s="56"/>
      <c r="TJ339" s="242">
        <f t="shared" si="2411"/>
        <v>0</v>
      </c>
      <c r="TK339" s="242">
        <f t="shared" si="2412"/>
        <v>0</v>
      </c>
      <c r="TL339" s="56"/>
      <c r="TO339" s="55">
        <f t="shared" si="2413"/>
        <v>46310</v>
      </c>
      <c r="TP339" s="56"/>
      <c r="TQ339" s="242">
        <f>SUMPRODUCT(PRODUCE!$B336:$DY336,PRODUCE!$EB$57:$IY$57)</f>
        <v>0</v>
      </c>
      <c r="TR339" s="56"/>
      <c r="TS339" s="242">
        <f t="shared" si="2414"/>
        <v>0</v>
      </c>
      <c r="TT339" s="242">
        <f t="shared" si="2415"/>
        <v>0</v>
      </c>
      <c r="TU339" s="56"/>
      <c r="TX339" s="55">
        <f t="shared" si="2416"/>
        <v>46310</v>
      </c>
      <c r="TY339" s="56"/>
      <c r="TZ339" s="242">
        <f>SUMPRODUCT(PRODUCE!$B336:$DY336,PRODUCE!$EB$57:$IY$57)</f>
        <v>0</v>
      </c>
      <c r="UA339" s="56"/>
      <c r="UB339" s="242">
        <f t="shared" si="2417"/>
        <v>0</v>
      </c>
      <c r="UC339" s="242">
        <f t="shared" si="2418"/>
        <v>46.799999999999983</v>
      </c>
      <c r="UD339" s="56"/>
      <c r="UG339" s="55">
        <f t="shared" si="2419"/>
        <v>46310</v>
      </c>
      <c r="UH339" s="56"/>
      <c r="UI339" s="242">
        <f>SUMPRODUCT(PRODUCE!$B336:$DY336,PRODUCE!$EB$57:$IY$57)</f>
        <v>0</v>
      </c>
      <c r="UJ339" s="56"/>
      <c r="UK339" s="242">
        <f t="shared" si="2420"/>
        <v>0</v>
      </c>
      <c r="UL339" s="242">
        <f t="shared" si="2421"/>
        <v>204</v>
      </c>
      <c r="UM339" s="56"/>
      <c r="UP339" s="55">
        <f t="shared" si="2422"/>
        <v>46310</v>
      </c>
      <c r="UQ339" s="56"/>
      <c r="UR339" s="242">
        <f>SUMPRODUCT(PRODUCE!$B336:$DY336,PRODUCE!$EB$57:$IY$57)</f>
        <v>0</v>
      </c>
      <c r="US339" s="56"/>
      <c r="UT339" s="242">
        <f t="shared" si="2423"/>
        <v>0</v>
      </c>
      <c r="UU339" s="242">
        <f t="shared" si="2424"/>
        <v>202.5</v>
      </c>
      <c r="UV339" s="56"/>
      <c r="UY339" s="55">
        <f t="shared" si="2425"/>
        <v>46310</v>
      </c>
      <c r="UZ339" s="56"/>
      <c r="VA339" s="242">
        <f>SUMPRODUCT(PRODUCE!$B336:$DY336,PRODUCE!$EB$57:$IY$57)</f>
        <v>0</v>
      </c>
      <c r="VB339" s="56"/>
      <c r="VC339" s="242">
        <f t="shared" si="2426"/>
        <v>0</v>
      </c>
      <c r="VD339" s="242">
        <f t="shared" si="2427"/>
        <v>41.600000000000023</v>
      </c>
      <c r="VE339" s="56"/>
      <c r="VH339" s="55">
        <f t="shared" si="2428"/>
        <v>46310</v>
      </c>
      <c r="VI339" s="56"/>
      <c r="VJ339" s="242">
        <f>SUMPRODUCT(PRODUCE!$B336:$DY336,PRODUCE!$EB$57:$IY$57)</f>
        <v>0</v>
      </c>
      <c r="VK339" s="56"/>
      <c r="VL339" s="242">
        <f t="shared" si="2429"/>
        <v>0</v>
      </c>
      <c r="VM339" s="242">
        <f t="shared" si="2430"/>
        <v>210</v>
      </c>
      <c r="VN339" s="56"/>
      <c r="VQ339" s="55">
        <f t="shared" si="2431"/>
        <v>46310</v>
      </c>
      <c r="VR339" s="56"/>
      <c r="VS339" s="242">
        <f>SUMPRODUCT(PRODUCE!$B336:$DY336,PRODUCE!$EB$57:$IY$57)</f>
        <v>0</v>
      </c>
      <c r="VT339" s="56"/>
      <c r="VU339" s="242">
        <f t="shared" si="2432"/>
        <v>0</v>
      </c>
      <c r="VV339" s="242">
        <f t="shared" si="2433"/>
        <v>0</v>
      </c>
      <c r="VW339" s="56"/>
      <c r="VZ339" s="55">
        <f t="shared" si="2434"/>
        <v>46310</v>
      </c>
      <c r="WA339" s="56"/>
      <c r="WB339" s="242">
        <f>SUMPRODUCT(PRODUCE!$B336:$DY336,PRODUCE!$EB$57:$IY$57)</f>
        <v>0</v>
      </c>
      <c r="WC339" s="56"/>
      <c r="WD339" s="242">
        <f t="shared" si="2435"/>
        <v>0</v>
      </c>
      <c r="WE339" s="242">
        <f t="shared" si="2436"/>
        <v>0</v>
      </c>
      <c r="WF339" s="56"/>
      <c r="WI339" s="55">
        <f t="shared" si="2437"/>
        <v>46310</v>
      </c>
      <c r="WJ339" s="56"/>
      <c r="WK339" s="242">
        <f>SUMPRODUCT(PRODUCE!$B336:$DY336,PRODUCE!$EB$57:$IY$57)</f>
        <v>0</v>
      </c>
      <c r="WL339" s="56"/>
      <c r="WM339" s="242">
        <f t="shared" si="2438"/>
        <v>0</v>
      </c>
      <c r="WN339" s="242">
        <f t="shared" si="2439"/>
        <v>1057</v>
      </c>
      <c r="WO339" s="56"/>
      <c r="WR339" s="55">
        <f t="shared" si="2440"/>
        <v>46310</v>
      </c>
      <c r="WS339" s="56"/>
      <c r="WT339" s="242">
        <f>SUMPRODUCT(PRODUCE!$B336:$DY336,PRODUCE!$EB$57:$IY$57)</f>
        <v>0</v>
      </c>
      <c r="WU339" s="56"/>
      <c r="WV339" s="242">
        <f t="shared" si="2441"/>
        <v>0</v>
      </c>
      <c r="WW339" s="242">
        <f t="shared" si="2442"/>
        <v>0</v>
      </c>
      <c r="WX339" s="56"/>
      <c r="XA339" s="55">
        <f t="shared" si="2443"/>
        <v>46310</v>
      </c>
      <c r="XB339" s="56"/>
      <c r="XC339" s="242">
        <f>SUMPRODUCT(PRODUCE!$B336:$DY336,PRODUCE!$EB$57:$IY$57)</f>
        <v>0</v>
      </c>
      <c r="XD339" s="56"/>
      <c r="XE339" s="242">
        <f t="shared" si="2444"/>
        <v>0</v>
      </c>
      <c r="XF339" s="242">
        <f t="shared" si="2445"/>
        <v>7507</v>
      </c>
      <c r="XG339" s="56"/>
      <c r="XJ339" s="55">
        <f t="shared" si="2446"/>
        <v>46310</v>
      </c>
      <c r="XK339" s="56"/>
      <c r="XL339" s="242">
        <f>SUMPRODUCT(PRODUCE!$B336:$DY336,PRODUCE!$EB$57:$IY$57)</f>
        <v>0</v>
      </c>
      <c r="XM339" s="56"/>
      <c r="XN339" s="242">
        <f t="shared" si="2447"/>
        <v>0</v>
      </c>
      <c r="XO339" s="242">
        <f t="shared" si="2448"/>
        <v>4252</v>
      </c>
      <c r="XP339" s="56"/>
      <c r="XS339" s="55">
        <f t="shared" si="2449"/>
        <v>46310</v>
      </c>
      <c r="XT339" s="56"/>
      <c r="XU339" s="242">
        <f>SUMPRODUCT(PRODUCE!$B336:$DY336,PRODUCE!$EB$57:$IY$57)</f>
        <v>0</v>
      </c>
      <c r="XV339" s="56"/>
      <c r="XW339" s="242">
        <f t="shared" si="2450"/>
        <v>0</v>
      </c>
      <c r="XX339" s="242">
        <f t="shared" si="2451"/>
        <v>2179</v>
      </c>
      <c r="XY339" s="56"/>
      <c r="YB339" s="55">
        <f t="shared" si="2452"/>
        <v>46310</v>
      </c>
      <c r="YC339" s="56"/>
      <c r="YD339" s="242">
        <f>SUMPRODUCT(PRODUCE!$B336:$DY336,PRODUCE!$EB$57:$IY$57)</f>
        <v>0</v>
      </c>
      <c r="YE339" s="56"/>
      <c r="YF339" s="242">
        <f t="shared" si="2453"/>
        <v>0</v>
      </c>
      <c r="YG339" s="242">
        <f t="shared" si="2454"/>
        <v>4019</v>
      </c>
      <c r="YH339" s="56"/>
      <c r="YK339" s="55">
        <f t="shared" si="2455"/>
        <v>46310</v>
      </c>
      <c r="YL339" s="56"/>
      <c r="YM339" s="242">
        <f>SUMPRODUCT(PRODUCE!$B336:$DY336,PRODUCE!$EB$57:$IY$57)</f>
        <v>0</v>
      </c>
      <c r="YN339" s="56"/>
      <c r="YO339" s="242">
        <f t="shared" si="2456"/>
        <v>0</v>
      </c>
      <c r="YP339" s="242">
        <f t="shared" si="2457"/>
        <v>-218</v>
      </c>
      <c r="YQ339" s="56"/>
      <c r="YT339" s="55">
        <f t="shared" si="2458"/>
        <v>46310</v>
      </c>
      <c r="YU339" s="56"/>
      <c r="YV339" s="242">
        <f>SUMPRODUCT(PRODUCE!$B336:$DY336,PRODUCE!$EB$57:$IY$57)</f>
        <v>0</v>
      </c>
      <c r="YW339" s="56"/>
      <c r="YX339" s="242">
        <f t="shared" si="2459"/>
        <v>0</v>
      </c>
      <c r="YY339" s="242">
        <f t="shared" si="2460"/>
        <v>0</v>
      </c>
      <c r="YZ339" s="56"/>
      <c r="ZC339" s="55">
        <f t="shared" si="2461"/>
        <v>46310</v>
      </c>
      <c r="ZD339" s="56"/>
      <c r="ZE339" s="242">
        <f>SUMPRODUCT(PRODUCE!$B336:$DY336,PRODUCE!$EB$57:$IY$57)</f>
        <v>0</v>
      </c>
      <c r="ZF339" s="56"/>
      <c r="ZG339" s="242">
        <f t="shared" si="2462"/>
        <v>0</v>
      </c>
      <c r="ZH339" s="242">
        <f t="shared" si="2463"/>
        <v>0</v>
      </c>
      <c r="ZI339" s="56"/>
      <c r="ZL339" s="55">
        <f t="shared" si="2464"/>
        <v>46310</v>
      </c>
      <c r="ZM339" s="56"/>
      <c r="ZN339" s="242">
        <f>SUMPRODUCT(PRODUCE!$B336:$DY336,PRODUCE!$EB$57:$IY$57)</f>
        <v>0</v>
      </c>
      <c r="ZO339" s="56"/>
      <c r="ZP339" s="242">
        <f t="shared" si="2465"/>
        <v>0</v>
      </c>
      <c r="ZQ339" s="242">
        <f t="shared" si="2466"/>
        <v>0</v>
      </c>
      <c r="ZR339" s="56"/>
      <c r="ZU339" s="55">
        <f t="shared" si="2467"/>
        <v>46310</v>
      </c>
      <c r="ZV339" s="56"/>
      <c r="ZW339" s="242">
        <f>SUMPRODUCT(PRODUCE!$B336:$DY336,PRODUCE!$EB$57:$IY$57)</f>
        <v>0</v>
      </c>
      <c r="ZX339" s="56"/>
      <c r="ZY339" s="242">
        <f t="shared" si="2468"/>
        <v>0</v>
      </c>
      <c r="ZZ339" s="242">
        <f t="shared" si="2469"/>
        <v>0</v>
      </c>
      <c r="AAA339" s="56"/>
      <c r="AAD339" s="55">
        <f t="shared" si="2470"/>
        <v>46310</v>
      </c>
      <c r="AAE339" s="56"/>
      <c r="AAF339" s="242">
        <f>SUMPRODUCT(PRODUCE!$B336:$DY336,PRODUCE!$EB$57:$IY$57)</f>
        <v>0</v>
      </c>
      <c r="AAG339" s="56"/>
      <c r="AAH339" s="242">
        <f t="shared" si="2471"/>
        <v>0</v>
      </c>
      <c r="AAI339" s="242">
        <f t="shared" si="2472"/>
        <v>0</v>
      </c>
      <c r="AAJ339" s="56"/>
      <c r="AAM339" s="55">
        <f t="shared" si="2473"/>
        <v>46310</v>
      </c>
      <c r="AAN339" s="56"/>
      <c r="AAO339" s="242">
        <f>SUMPRODUCT(PRODUCE!$B336:$DY336,PRODUCE!$EB$57:$IY$57)</f>
        <v>0</v>
      </c>
      <c r="AAP339" s="56"/>
      <c r="AAQ339" s="242">
        <f t="shared" si="2474"/>
        <v>0</v>
      </c>
      <c r="AAR339" s="242">
        <f t="shared" si="2475"/>
        <v>0</v>
      </c>
      <c r="AAS339" s="56"/>
      <c r="AAV339" s="55">
        <f t="shared" si="2476"/>
        <v>46310</v>
      </c>
      <c r="AAW339" s="56"/>
      <c r="AAX339" s="242">
        <f>SUMPRODUCT(PRODUCE!$B336:$DY336,PRODUCE!$EB$57:$IY$57)</f>
        <v>0</v>
      </c>
      <c r="AAY339" s="56"/>
      <c r="AAZ339" s="242">
        <f t="shared" si="2477"/>
        <v>0</v>
      </c>
      <c r="ABA339" s="242">
        <f t="shared" si="2478"/>
        <v>0</v>
      </c>
      <c r="ABB339" s="56"/>
      <c r="ABE339" s="55">
        <f t="shared" si="2479"/>
        <v>46310</v>
      </c>
      <c r="ABF339" s="56"/>
      <c r="ABG339" s="242">
        <f>SUMPRODUCT(PRODUCE!$B336:$DY336,PRODUCE!$EB$57:$IY$57)</f>
        <v>0</v>
      </c>
      <c r="ABH339" s="56"/>
      <c r="ABI339" s="242">
        <f t="shared" si="2480"/>
        <v>0</v>
      </c>
      <c r="ABJ339" s="242">
        <f t="shared" si="2481"/>
        <v>0</v>
      </c>
      <c r="ABK339" s="56"/>
    </row>
    <row r="340" spans="2:739" s="54" customFormat="1" ht="15" customHeight="1" outlineLevel="1">
      <c r="B340" s="478"/>
      <c r="C340" s="55">
        <v>46311</v>
      </c>
      <c r="D340" s="56"/>
      <c r="E340" s="57">
        <f>SUMPRODUCT(PRODUCE!$B337:$DY337,PRODUCE!$EB$7:$IY$7)</f>
        <v>0</v>
      </c>
      <c r="F340" s="56"/>
      <c r="G340" s="57">
        <f t="shared" si="2237"/>
        <v>0</v>
      </c>
      <c r="H340" s="57">
        <f t="shared" si="2238"/>
        <v>236936.6</v>
      </c>
      <c r="I340" s="289"/>
      <c r="L340" s="55">
        <f t="shared" si="2239"/>
        <v>46311</v>
      </c>
      <c r="M340" s="56"/>
      <c r="N340" s="59">
        <f>SUMPRODUCT(PRODUCE!$B337:$DY337,PRODUCE!$EB$8:$IY$8)</f>
        <v>0</v>
      </c>
      <c r="O340" s="56"/>
      <c r="P340" s="59">
        <f t="shared" si="2240"/>
        <v>0</v>
      </c>
      <c r="Q340" s="59">
        <f t="shared" si="2241"/>
        <v>53017.600000000071</v>
      </c>
      <c r="R340" s="56"/>
      <c r="U340" s="55">
        <f t="shared" si="2242"/>
        <v>46311</v>
      </c>
      <c r="V340" s="56"/>
      <c r="W340" s="60">
        <f>SUMPRODUCT(PRODUCE!$B337:$DY337,PRODUCE!$EB$9:$IY$9)</f>
        <v>0</v>
      </c>
      <c r="X340" s="56"/>
      <c r="Y340" s="60">
        <f t="shared" si="2243"/>
        <v>0</v>
      </c>
      <c r="Z340" s="60">
        <f t="shared" si="2244"/>
        <v>42674.199999999968</v>
      </c>
      <c r="AA340" s="56"/>
      <c r="AD340" s="55">
        <f t="shared" si="2245"/>
        <v>46311</v>
      </c>
      <c r="AE340" s="56"/>
      <c r="AF340" s="61">
        <f>SUMPRODUCT(PRODUCE!$B337:$DY337,PRODUCE!$EB$10:$IY$10)</f>
        <v>0</v>
      </c>
      <c r="AG340" s="56"/>
      <c r="AH340" s="61">
        <f t="shared" si="2246"/>
        <v>0</v>
      </c>
      <c r="AI340" s="61">
        <f t="shared" si="2247"/>
        <v>4522.2000000000189</v>
      </c>
      <c r="AJ340" s="56"/>
      <c r="AM340" s="55">
        <f t="shared" si="2248"/>
        <v>46311</v>
      </c>
      <c r="AN340" s="422"/>
      <c r="AO340" s="444">
        <f>SUMPRODUCT(PRODUCE!$B337:$DY337,PRODUCE!$EB$11:$IY$11)</f>
        <v>0</v>
      </c>
      <c r="AP340" s="422"/>
      <c r="AQ340" s="444">
        <f t="shared" si="2249"/>
        <v>0</v>
      </c>
      <c r="AR340" s="444">
        <f t="shared" si="2250"/>
        <v>0</v>
      </c>
      <c r="AS340" s="56"/>
      <c r="AV340" s="55">
        <f t="shared" si="2251"/>
        <v>46311</v>
      </c>
      <c r="AW340" s="56"/>
      <c r="AX340" s="62">
        <f>SUMPRODUCT(PRODUCE!$B337:$DY337,PRODUCE!$EB$12:$IY$12)</f>
        <v>0</v>
      </c>
      <c r="AY340" s="56"/>
      <c r="AZ340" s="62">
        <f t="shared" si="2252"/>
        <v>0</v>
      </c>
      <c r="BA340" s="62">
        <f t="shared" si="2253"/>
        <v>124.99999999999523</v>
      </c>
      <c r="BB340" s="56"/>
      <c r="BE340" s="55">
        <f t="shared" si="2254"/>
        <v>46311</v>
      </c>
      <c r="BF340" s="56"/>
      <c r="BG340" s="63">
        <f>SUMPRODUCT(PRODUCE!$B337:$DY337,PRODUCE!$EB$13:$IY$13)</f>
        <v>0</v>
      </c>
      <c r="BH340" s="56"/>
      <c r="BI340" s="63">
        <f t="shared" si="2255"/>
        <v>0</v>
      </c>
      <c r="BJ340" s="63">
        <f t="shared" si="2256"/>
        <v>26151.899999999998</v>
      </c>
      <c r="BK340" s="56"/>
      <c r="BN340" s="55">
        <f t="shared" si="2257"/>
        <v>46311</v>
      </c>
      <c r="BO340" s="56"/>
      <c r="BP340" s="64">
        <f>SUMPRODUCT(PRODUCE!$B337:$DY337,PRODUCE!$EB$14:$IY$14)</f>
        <v>0</v>
      </c>
      <c r="BQ340" s="56"/>
      <c r="BR340" s="64">
        <f t="shared" si="2258"/>
        <v>0</v>
      </c>
      <c r="BS340" s="64">
        <f t="shared" si="2259"/>
        <v>0</v>
      </c>
      <c r="BT340" s="56"/>
      <c r="BW340" s="55">
        <f t="shared" si="2260"/>
        <v>46311</v>
      </c>
      <c r="BX340" s="56"/>
      <c r="BY340" s="65">
        <f>SUMPRODUCT(PRODUCE!$B337:$DY337,PRODUCE!$EB$15:$IY$15)</f>
        <v>0</v>
      </c>
      <c r="BZ340" s="56"/>
      <c r="CA340" s="65">
        <f t="shared" si="2261"/>
        <v>0</v>
      </c>
      <c r="CB340" s="65">
        <f t="shared" si="2262"/>
        <v>2097.3399999999992</v>
      </c>
      <c r="CC340" s="56"/>
      <c r="CF340" s="55">
        <f t="shared" si="2263"/>
        <v>46311</v>
      </c>
      <c r="CG340" s="56"/>
      <c r="CH340" s="66">
        <f>SUMPRODUCT(PRODUCE!$B337:$DY337,PRODUCE!$EB$16:$IY$16)</f>
        <v>0</v>
      </c>
      <c r="CI340" s="56"/>
      <c r="CJ340" s="66">
        <f t="shared" si="2264"/>
        <v>0</v>
      </c>
      <c r="CK340" s="66">
        <f t="shared" si="2265"/>
        <v>-10277.079999999998</v>
      </c>
      <c r="CL340" s="56"/>
      <c r="CO340" s="55">
        <f t="shared" si="2266"/>
        <v>46311</v>
      </c>
      <c r="CP340" s="422"/>
      <c r="CQ340" s="470">
        <f>SUMPRODUCT(PRODUCE!$B337:$DY337,PRODUCE!$EB$17:$IY$17)</f>
        <v>0</v>
      </c>
      <c r="CR340" s="422"/>
      <c r="CS340" s="470">
        <f t="shared" si="2267"/>
        <v>0</v>
      </c>
      <c r="CT340" s="470">
        <f t="shared" si="2268"/>
        <v>0</v>
      </c>
      <c r="CU340" s="56"/>
      <c r="CX340" s="55">
        <f t="shared" si="2269"/>
        <v>46311</v>
      </c>
      <c r="CY340" s="56"/>
      <c r="CZ340" s="133">
        <f>SUMPRODUCT(PRODUCE!$B337:$DY337,PRODUCE!$EB$18:$IY$18)</f>
        <v>0</v>
      </c>
      <c r="DA340" s="56"/>
      <c r="DB340" s="133">
        <f t="shared" si="2270"/>
        <v>0</v>
      </c>
      <c r="DC340" s="133">
        <f t="shared" si="2271"/>
        <v>27438.200000000012</v>
      </c>
      <c r="DD340" s="56"/>
      <c r="DG340" s="55">
        <f t="shared" si="2272"/>
        <v>46311</v>
      </c>
      <c r="DH340" s="56"/>
      <c r="DI340" s="147">
        <f>SUMPRODUCT(PRODUCE!$B337:$DY337,PRODUCE!$EB$19:$IY$19)</f>
        <v>0</v>
      </c>
      <c r="DJ340" s="56"/>
      <c r="DK340" s="147">
        <f t="shared" si="2273"/>
        <v>0</v>
      </c>
      <c r="DL340" s="147">
        <f t="shared" si="2274"/>
        <v>18782.299999999981</v>
      </c>
      <c r="DM340" s="56"/>
      <c r="DP340" s="55">
        <f t="shared" si="2275"/>
        <v>46311</v>
      </c>
      <c r="DQ340" s="56"/>
      <c r="DR340" s="57">
        <f>SUMPRODUCT(PRODUCE!$B337:$DY337,PRODUCE!$EB$20:$IY$20)</f>
        <v>0</v>
      </c>
      <c r="DS340" s="56"/>
      <c r="DT340" s="57">
        <f t="shared" si="2276"/>
        <v>0</v>
      </c>
      <c r="DU340" s="57">
        <f t="shared" si="2277"/>
        <v>5800</v>
      </c>
      <c r="DV340" s="56"/>
      <c r="DY340" s="55">
        <f t="shared" si="2278"/>
        <v>46311</v>
      </c>
      <c r="DZ340" s="56"/>
      <c r="EA340" s="157">
        <f>SUMPRODUCT(PRODUCE!$B337:$DY337,PRODUCE!$EB$21:$IY$21)</f>
        <v>0</v>
      </c>
      <c r="EB340" s="56"/>
      <c r="EC340" s="157">
        <f t="shared" si="2279"/>
        <v>0</v>
      </c>
      <c r="ED340" s="157">
        <f t="shared" si="2280"/>
        <v>0</v>
      </c>
      <c r="EE340" s="56"/>
      <c r="EH340" s="55">
        <f t="shared" si="2281"/>
        <v>46311</v>
      </c>
      <c r="EI340" s="56"/>
      <c r="EJ340" s="162">
        <f>SUMPRODUCT(PRODUCE!$B337:$DY337,PRODUCE!$EB$22:$IY$22)</f>
        <v>0</v>
      </c>
      <c r="EK340" s="56"/>
      <c r="EL340" s="162">
        <f t="shared" si="2282"/>
        <v>0</v>
      </c>
      <c r="EM340" s="162">
        <f t="shared" si="2283"/>
        <v>0</v>
      </c>
      <c r="EN340" s="56"/>
      <c r="EQ340" s="55">
        <f t="shared" si="2284"/>
        <v>46311</v>
      </c>
      <c r="ER340" s="56"/>
      <c r="ES340" s="135">
        <f>SUMPRODUCT(PRODUCE!$B337:$DY337,PRODUCE!$EB$23:$IY$23)</f>
        <v>0</v>
      </c>
      <c r="ET340" s="56"/>
      <c r="EU340" s="135">
        <f t="shared" si="2285"/>
        <v>0</v>
      </c>
      <c r="EV340" s="135">
        <f t="shared" si="2286"/>
        <v>0</v>
      </c>
      <c r="EW340" s="56"/>
      <c r="EZ340" s="55">
        <f t="shared" si="2287"/>
        <v>46311</v>
      </c>
      <c r="FA340" s="56"/>
      <c r="FB340" s="175">
        <f>SUMPRODUCT(PRODUCE!$B337:$DY337,PRODUCE!$EB$24:$IY$24)</f>
        <v>0</v>
      </c>
      <c r="FC340" s="56"/>
      <c r="FD340" s="175">
        <f t="shared" si="2288"/>
        <v>0</v>
      </c>
      <c r="FE340" s="175">
        <f t="shared" si="2289"/>
        <v>0</v>
      </c>
      <c r="FF340" s="56"/>
      <c r="FI340" s="55">
        <f t="shared" si="2290"/>
        <v>46311</v>
      </c>
      <c r="FJ340" s="56"/>
      <c r="FK340" s="183">
        <f>SUMPRODUCT(PRODUCE!$B337:$DY337,PRODUCE!$EB$25:$IY$25)</f>
        <v>0</v>
      </c>
      <c r="FL340" s="56"/>
      <c r="FM340" s="183">
        <f t="shared" si="2291"/>
        <v>0</v>
      </c>
      <c r="FN340" s="183">
        <f t="shared" si="2292"/>
        <v>0</v>
      </c>
      <c r="FO340" s="56"/>
      <c r="FR340" s="55">
        <f t="shared" si="2293"/>
        <v>46311</v>
      </c>
      <c r="FS340" s="56"/>
      <c r="FT340" s="186">
        <f>SUMPRODUCT(PRODUCE!$B337:$DY337,PRODUCE!$EB$26:$IY$26)</f>
        <v>0</v>
      </c>
      <c r="FU340" s="56"/>
      <c r="FV340" s="186">
        <f t="shared" si="2294"/>
        <v>0</v>
      </c>
      <c r="FW340" s="186">
        <f t="shared" si="2295"/>
        <v>2020</v>
      </c>
      <c r="FX340" s="56"/>
      <c r="GA340" s="55">
        <f t="shared" si="2296"/>
        <v>46311</v>
      </c>
      <c r="GB340" s="56"/>
      <c r="GC340" s="137">
        <f>SUMPRODUCT(PRODUCE!$B337:$DY337,PRODUCE!$EB$27:$IY$27)</f>
        <v>0</v>
      </c>
      <c r="GD340" s="56"/>
      <c r="GE340" s="137">
        <f t="shared" si="2297"/>
        <v>0</v>
      </c>
      <c r="GF340" s="137">
        <f t="shared" si="2298"/>
        <v>960</v>
      </c>
      <c r="GG340" s="56"/>
      <c r="GI340" s="23"/>
      <c r="GJ340" s="55">
        <f t="shared" si="2299"/>
        <v>46311</v>
      </c>
      <c r="GK340" s="56"/>
      <c r="GL340" s="199">
        <f>SUMPRODUCT(PRODUCE!$B337:$DY337,PRODUCE!$EB$28:$IY$28)</f>
        <v>0</v>
      </c>
      <c r="GM340" s="56"/>
      <c r="GN340" s="199">
        <f t="shared" si="2300"/>
        <v>0</v>
      </c>
      <c r="GO340" s="199">
        <f t="shared" si="2301"/>
        <v>1760</v>
      </c>
      <c r="GP340" s="56"/>
      <c r="GS340" s="55">
        <f t="shared" si="2302"/>
        <v>46311</v>
      </c>
      <c r="GT340" s="56"/>
      <c r="GU340" s="195">
        <f>SUMPRODUCT(PRODUCE!$B337:$DY337,PRODUCE!$EB$29:$IY$29)</f>
        <v>0</v>
      </c>
      <c r="GV340" s="56"/>
      <c r="GW340" s="195">
        <f t="shared" si="2303"/>
        <v>0</v>
      </c>
      <c r="GX340" s="195">
        <f t="shared" si="2304"/>
        <v>400</v>
      </c>
      <c r="GY340" s="56"/>
      <c r="HB340" s="55">
        <f t="shared" si="2305"/>
        <v>46311</v>
      </c>
      <c r="HC340" s="56"/>
      <c r="HD340" s="191">
        <f>SUMPRODUCT(PRODUCE!$B337:$DY337,PRODUCE!$EB$30:$IY$30)</f>
        <v>0</v>
      </c>
      <c r="HE340" s="56"/>
      <c r="HF340" s="191">
        <f t="shared" si="2306"/>
        <v>0</v>
      </c>
      <c r="HG340" s="191">
        <f t="shared" si="2307"/>
        <v>3600</v>
      </c>
      <c r="HH340" s="56"/>
      <c r="HK340" s="55">
        <f t="shared" si="2308"/>
        <v>46311</v>
      </c>
      <c r="HL340" s="56"/>
      <c r="HM340" s="63">
        <f>SUMPRODUCT(PRODUCE!$B337:$DY337,PRODUCE!$EB$31:$IY$31)</f>
        <v>0</v>
      </c>
      <c r="HN340" s="56"/>
      <c r="HO340" s="63">
        <f t="shared" si="2309"/>
        <v>0</v>
      </c>
      <c r="HP340" s="63">
        <f t="shared" si="2310"/>
        <v>0</v>
      </c>
      <c r="HQ340" s="56"/>
      <c r="HU340" s="55">
        <f t="shared" si="2311"/>
        <v>46311</v>
      </c>
      <c r="HV340" s="56"/>
      <c r="HW340" s="242">
        <f>SUMPRODUCT(PRODUCE!$B337:$DY337,PRODUCE!$EB$32:$IY$32)</f>
        <v>0</v>
      </c>
      <c r="HX340" s="56"/>
      <c r="HY340" s="242">
        <f t="shared" si="2312"/>
        <v>0</v>
      </c>
      <c r="HZ340" s="242">
        <f t="shared" si="2313"/>
        <v>6120</v>
      </c>
      <c r="IA340" s="56"/>
      <c r="ID340" s="55">
        <f t="shared" si="2314"/>
        <v>46311</v>
      </c>
      <c r="IE340" s="56"/>
      <c r="IF340" s="242">
        <f>SUMPRODUCT(PRODUCE!$B337:$DY337,PRODUCE!$EB$33:$IY$33)</f>
        <v>0</v>
      </c>
      <c r="IG340" s="56"/>
      <c r="IH340" s="242">
        <f t="shared" si="2315"/>
        <v>0</v>
      </c>
      <c r="II340" s="242">
        <f t="shared" si="2316"/>
        <v>0</v>
      </c>
      <c r="IJ340" s="56"/>
      <c r="IM340" s="55">
        <f t="shared" si="2317"/>
        <v>46311</v>
      </c>
      <c r="IN340" s="56"/>
      <c r="IO340" s="242">
        <f>SUMPRODUCT(PRODUCE!$B337:$DY337,PRODUCE!$EB$34:$IY$34)</f>
        <v>0</v>
      </c>
      <c r="IP340" s="56"/>
      <c r="IQ340" s="242">
        <f t="shared" si="2318"/>
        <v>0</v>
      </c>
      <c r="IR340" s="242">
        <f t="shared" si="2319"/>
        <v>0</v>
      </c>
      <c r="IS340" s="56"/>
      <c r="IV340" s="55">
        <f t="shared" si="2320"/>
        <v>46311</v>
      </c>
      <c r="IW340" s="56"/>
      <c r="IX340" s="242">
        <f>SUMPRODUCT(PRODUCE!$B337:$DY337,PRODUCE!$EB$35:$IY$35)</f>
        <v>0</v>
      </c>
      <c r="IY340" s="56"/>
      <c r="IZ340" s="242">
        <f t="shared" si="2321"/>
        <v>0</v>
      </c>
      <c r="JA340" s="242">
        <f t="shared" si="2322"/>
        <v>2820</v>
      </c>
      <c r="JB340" s="56"/>
      <c r="JE340" s="55">
        <f t="shared" si="2323"/>
        <v>46311</v>
      </c>
      <c r="JF340" s="56"/>
      <c r="JG340" s="242">
        <f>SUMPRODUCT(PRODUCE!$B337:$DY337,PRODUCE!$EB$36:$IY$36)</f>
        <v>0</v>
      </c>
      <c r="JH340" s="56"/>
      <c r="JI340" s="242">
        <f t="shared" si="2324"/>
        <v>0</v>
      </c>
      <c r="JJ340" s="242">
        <f t="shared" si="2325"/>
        <v>0</v>
      </c>
      <c r="JK340" s="56"/>
      <c r="JN340" s="55">
        <f t="shared" si="2326"/>
        <v>46311</v>
      </c>
      <c r="JO340" s="56"/>
      <c r="JP340" s="242">
        <f>SUMPRODUCT(PRODUCE!$B337:$DY337,PRODUCE!$EB$37:$IY$37)</f>
        <v>0</v>
      </c>
      <c r="JQ340" s="56"/>
      <c r="JR340" s="242">
        <f t="shared" si="2327"/>
        <v>0</v>
      </c>
      <c r="JS340" s="242">
        <f t="shared" si="2328"/>
        <v>0</v>
      </c>
      <c r="JT340" s="56"/>
      <c r="JW340" s="55">
        <f t="shared" si="2329"/>
        <v>46311</v>
      </c>
      <c r="JX340" s="56"/>
      <c r="JY340" s="242">
        <f>SUMPRODUCT(PRODUCE!$B337:$DY337,PRODUCE!$EB$38:$IY$38)</f>
        <v>0</v>
      </c>
      <c r="JZ340" s="56"/>
      <c r="KA340" s="242">
        <f t="shared" si="2330"/>
        <v>0</v>
      </c>
      <c r="KB340" s="242">
        <f t="shared" si="2331"/>
        <v>2540</v>
      </c>
      <c r="KC340" s="56"/>
      <c r="KF340" s="55">
        <f t="shared" si="2332"/>
        <v>46311</v>
      </c>
      <c r="KG340" s="56"/>
      <c r="KH340" s="242">
        <f>SUMPRODUCT(PRODUCE!$B337:$DY337,PRODUCE!$EB$39:$IY$39)</f>
        <v>0</v>
      </c>
      <c r="KI340" s="56"/>
      <c r="KJ340" s="242">
        <f t="shared" si="2333"/>
        <v>0</v>
      </c>
      <c r="KK340" s="242">
        <f t="shared" si="2334"/>
        <v>2359.5</v>
      </c>
      <c r="KL340" s="56"/>
      <c r="KO340" s="55">
        <f t="shared" si="2335"/>
        <v>46311</v>
      </c>
      <c r="KP340" s="56"/>
      <c r="KQ340" s="242">
        <f>SUMPRODUCT(PRODUCE!$B337:$DY337,PRODUCE!$EB$40:$IY$40)</f>
        <v>0</v>
      </c>
      <c r="KR340" s="56"/>
      <c r="KS340" s="242">
        <f t="shared" si="2336"/>
        <v>0</v>
      </c>
      <c r="KT340" s="242">
        <f t="shared" si="2337"/>
        <v>1890</v>
      </c>
      <c r="KU340" s="56"/>
      <c r="KW340" s="23"/>
      <c r="KX340" s="55">
        <f t="shared" si="2338"/>
        <v>46311</v>
      </c>
      <c r="KY340" s="56"/>
      <c r="KZ340" s="242">
        <f>SUMPRODUCT(PRODUCE!$B337:$DY337,PRODUCE!$EB$41:$IY$41)</f>
        <v>0</v>
      </c>
      <c r="LA340" s="56"/>
      <c r="LB340" s="242">
        <f t="shared" si="2339"/>
        <v>0</v>
      </c>
      <c r="LC340" s="242">
        <f t="shared" si="2340"/>
        <v>3690</v>
      </c>
      <c r="LD340" s="56"/>
      <c r="LG340" s="55">
        <f t="shared" si="2341"/>
        <v>46311</v>
      </c>
      <c r="LH340" s="56"/>
      <c r="LI340" s="242">
        <f>SUMPRODUCT(PRODUCE!$B337:$DY337,PRODUCE!$EB$42:$IY$42)</f>
        <v>0</v>
      </c>
      <c r="LJ340" s="56"/>
      <c r="LK340" s="242">
        <f t="shared" si="2342"/>
        <v>0</v>
      </c>
      <c r="LL340" s="242">
        <f t="shared" si="2343"/>
        <v>4000</v>
      </c>
      <c r="LM340" s="56"/>
      <c r="LP340" s="55">
        <f t="shared" si="2344"/>
        <v>46311</v>
      </c>
      <c r="LQ340" s="56"/>
      <c r="LR340" s="242">
        <f>SUMPRODUCT(PRODUCE!$B337:$DY337,PRODUCE!$EB$43:$IY$43)</f>
        <v>0</v>
      </c>
      <c r="LS340" s="56"/>
      <c r="LT340" s="242">
        <f t="shared" si="2345"/>
        <v>0</v>
      </c>
      <c r="LU340" s="242">
        <f t="shared" si="2346"/>
        <v>0</v>
      </c>
      <c r="LV340" s="56"/>
      <c r="LY340" s="55">
        <f t="shared" si="2347"/>
        <v>46311</v>
      </c>
      <c r="LZ340" s="56"/>
      <c r="MA340" s="242">
        <f>SUMPRODUCT(PRODUCE!$B337:$DY337,PRODUCE!$EB$44:$IY$44)</f>
        <v>0</v>
      </c>
      <c r="MB340" s="56"/>
      <c r="MC340" s="242">
        <f t="shared" si="2348"/>
        <v>0</v>
      </c>
      <c r="MD340" s="242">
        <f t="shared" si="2349"/>
        <v>0</v>
      </c>
      <c r="ME340" s="56"/>
      <c r="MH340" s="55">
        <f t="shared" si="2350"/>
        <v>46311</v>
      </c>
      <c r="MI340" s="56"/>
      <c r="MJ340" s="242">
        <f>SUMPRODUCT(PRODUCE!$B337:$DY337,PRODUCE!$EB$45:$IY$45)</f>
        <v>0</v>
      </c>
      <c r="MK340" s="56"/>
      <c r="ML340" s="242">
        <f t="shared" si="2351"/>
        <v>0</v>
      </c>
      <c r="MM340" s="242">
        <f t="shared" si="2352"/>
        <v>0</v>
      </c>
      <c r="MN340" s="56"/>
      <c r="MQ340" s="55">
        <f t="shared" si="2353"/>
        <v>46311</v>
      </c>
      <c r="MR340" s="56"/>
      <c r="MS340" s="242">
        <f>SUMPRODUCT(PRODUCE!$B337:$DY337,PRODUCE!$EB$46:$IY$46)</f>
        <v>0</v>
      </c>
      <c r="MT340" s="56"/>
      <c r="MU340" s="242">
        <f t="shared" si="2354"/>
        <v>0</v>
      </c>
      <c r="MV340" s="242">
        <f t="shared" si="2355"/>
        <v>1625</v>
      </c>
      <c r="MW340" s="56"/>
      <c r="MZ340" s="55">
        <f t="shared" si="2356"/>
        <v>46311</v>
      </c>
      <c r="NA340" s="56"/>
      <c r="NB340" s="242">
        <f>SUMPRODUCT(PRODUCE!$B337:$DY337,PRODUCE!$EB$47:$IY$47)</f>
        <v>0</v>
      </c>
      <c r="NC340" s="56"/>
      <c r="ND340" s="242">
        <f t="shared" si="2357"/>
        <v>0</v>
      </c>
      <c r="NE340" s="242">
        <f t="shared" si="2358"/>
        <v>0</v>
      </c>
      <c r="NF340" s="56"/>
      <c r="NI340" s="55">
        <f t="shared" si="2359"/>
        <v>46311</v>
      </c>
      <c r="NJ340" s="56"/>
      <c r="NK340" s="242">
        <f>SUMPRODUCT(PRODUCE!$B337:$DY337,PRODUCE!$EB$48:$IY$48)</f>
        <v>0</v>
      </c>
      <c r="NL340" s="56"/>
      <c r="NM340" s="242">
        <f t="shared" si="2360"/>
        <v>0</v>
      </c>
      <c r="NN340" s="242">
        <f t="shared" si="2361"/>
        <v>1127</v>
      </c>
      <c r="NO340" s="56"/>
      <c r="NR340" s="55">
        <f t="shared" si="2362"/>
        <v>46311</v>
      </c>
      <c r="NS340" s="56"/>
      <c r="NT340" s="242">
        <f>SUMPRODUCT(PRODUCE!$B337:$DY337,PRODUCE!$EB$49:$IY$49)</f>
        <v>0</v>
      </c>
      <c r="NU340" s="56"/>
      <c r="NV340" s="242">
        <f t="shared" si="2363"/>
        <v>0</v>
      </c>
      <c r="NW340" s="242">
        <f t="shared" si="2364"/>
        <v>3111.9999999999995</v>
      </c>
      <c r="NX340" s="56"/>
      <c r="OA340" s="55">
        <f t="shared" si="2365"/>
        <v>46311</v>
      </c>
      <c r="OB340" s="56"/>
      <c r="OC340" s="242">
        <f>SUMPRODUCT(PRODUCE!$B337:$DY337,PRODUCE!$EB$50:$IY$50)</f>
        <v>0</v>
      </c>
      <c r="OD340" s="56"/>
      <c r="OE340" s="242">
        <f t="shared" si="2366"/>
        <v>0</v>
      </c>
      <c r="OF340" s="242">
        <f t="shared" si="2367"/>
        <v>1680.5</v>
      </c>
      <c r="OG340" s="56"/>
      <c r="OJ340" s="55">
        <f t="shared" si="2368"/>
        <v>46311</v>
      </c>
      <c r="OK340" s="56"/>
      <c r="OL340" s="242">
        <f>SUMPRODUCT(PRODUCE!$B337:$DY337,PRODUCE!$EB$51:$IY$51)</f>
        <v>0</v>
      </c>
      <c r="OM340" s="56"/>
      <c r="ON340" s="242">
        <f t="shared" si="2369"/>
        <v>0</v>
      </c>
      <c r="OO340" s="242">
        <f t="shared" si="2370"/>
        <v>0</v>
      </c>
      <c r="OP340" s="56"/>
      <c r="OS340" s="55">
        <f t="shared" si="2371"/>
        <v>46311</v>
      </c>
      <c r="OT340" s="56"/>
      <c r="OU340" s="242">
        <f>SUMPRODUCT(PRODUCE!$B337:$DY337,PRODUCE!$EB$52:$IY$52)</f>
        <v>0</v>
      </c>
      <c r="OV340" s="56"/>
      <c r="OW340" s="242">
        <f t="shared" si="2372"/>
        <v>0</v>
      </c>
      <c r="OX340" s="242">
        <f t="shared" si="2373"/>
        <v>1482</v>
      </c>
      <c r="OY340" s="56"/>
      <c r="PB340" s="55">
        <f t="shared" si="2374"/>
        <v>46311</v>
      </c>
      <c r="PC340" s="56"/>
      <c r="PD340" s="242">
        <f>SUMPRODUCT(PRODUCE!$B337:$DY337,PRODUCE!$EB$53:$IY$53)</f>
        <v>0</v>
      </c>
      <c r="PE340" s="56"/>
      <c r="PF340" s="242">
        <f t="shared" si="2375"/>
        <v>0</v>
      </c>
      <c r="PG340" s="242">
        <f t="shared" si="2376"/>
        <v>0</v>
      </c>
      <c r="PH340" s="56"/>
      <c r="PK340" s="55">
        <f t="shared" si="2377"/>
        <v>46311</v>
      </c>
      <c r="PL340" s="56"/>
      <c r="PM340" s="242">
        <f>SUMPRODUCT(PRODUCE!$B337:$DY337,PRODUCE!$EB$54:$IY$54)</f>
        <v>0</v>
      </c>
      <c r="PN340" s="56"/>
      <c r="PO340" s="242">
        <f t="shared" si="2378"/>
        <v>0</v>
      </c>
      <c r="PP340" s="242">
        <f t="shared" si="2379"/>
        <v>100</v>
      </c>
      <c r="PQ340" s="56"/>
      <c r="PT340" s="55">
        <f t="shared" si="2380"/>
        <v>46311</v>
      </c>
      <c r="PU340" s="56"/>
      <c r="PV340" s="242">
        <f>SUMPRODUCT(PRODUCE!$B337:$DY337,PRODUCE!$EB$55:$IY$55)</f>
        <v>0</v>
      </c>
      <c r="PW340" s="56"/>
      <c r="PX340" s="242">
        <f t="shared" si="2381"/>
        <v>0</v>
      </c>
      <c r="PY340" s="242">
        <f t="shared" si="2382"/>
        <v>13.960000000000036</v>
      </c>
      <c r="PZ340" s="56"/>
      <c r="QC340" s="55">
        <f t="shared" si="2383"/>
        <v>46311</v>
      </c>
      <c r="QD340" s="56"/>
      <c r="QE340" s="242">
        <f>SUMPRODUCT(PRODUCE!$B337:$DY337,PRODUCE!$EB$56:$IY$56)</f>
        <v>0</v>
      </c>
      <c r="QF340" s="56"/>
      <c r="QG340" s="242">
        <f t="shared" si="2384"/>
        <v>0</v>
      </c>
      <c r="QH340" s="242">
        <f t="shared" si="2385"/>
        <v>548</v>
      </c>
      <c r="QI340" s="56"/>
      <c r="QL340" s="55">
        <f t="shared" si="2386"/>
        <v>46311</v>
      </c>
      <c r="QM340" s="56"/>
      <c r="QN340" s="242">
        <f>SUMPRODUCT(PRODUCE!$B337:$DY337,PRODUCE!$EB$57:$IY$57)</f>
        <v>0</v>
      </c>
      <c r="QO340" s="56"/>
      <c r="QP340" s="242">
        <f t="shared" si="2387"/>
        <v>0</v>
      </c>
      <c r="QQ340" s="242">
        <f t="shared" si="2388"/>
        <v>0</v>
      </c>
      <c r="QR340" s="56"/>
      <c r="QU340" s="55">
        <f t="shared" si="2389"/>
        <v>46311</v>
      </c>
      <c r="QV340" s="56"/>
      <c r="QW340" s="242">
        <f>SUMPRODUCT(PRODUCE!$B337:$DY337,PRODUCE!$EB$57:$IY$57)</f>
        <v>0</v>
      </c>
      <c r="QX340" s="56"/>
      <c r="QY340" s="242">
        <f t="shared" si="2390"/>
        <v>0</v>
      </c>
      <c r="QZ340" s="242">
        <f t="shared" si="2391"/>
        <v>0</v>
      </c>
      <c r="RA340" s="56"/>
      <c r="RD340" s="55">
        <f t="shared" si="2392"/>
        <v>46311</v>
      </c>
      <c r="RE340" s="56"/>
      <c r="RF340" s="242">
        <f>SUMPRODUCT(PRODUCE!$B337:$DY337,PRODUCE!$EB$58:$IY$58)</f>
        <v>0</v>
      </c>
      <c r="RG340" s="56"/>
      <c r="RH340" s="242">
        <f t="shared" si="2393"/>
        <v>0</v>
      </c>
      <c r="RI340" s="242">
        <f t="shared" si="2394"/>
        <v>147.04000000000002</v>
      </c>
      <c r="RJ340" s="56"/>
      <c r="RM340" s="55">
        <f t="shared" si="2395"/>
        <v>46311</v>
      </c>
      <c r="RN340" s="56"/>
      <c r="RO340" s="242">
        <f>SUMPRODUCT(PRODUCE!$B337:$DY337,PRODUCE!$EB$57:$IY$57)</f>
        <v>0</v>
      </c>
      <c r="RP340" s="56"/>
      <c r="RQ340" s="242">
        <f t="shared" si="2396"/>
        <v>0</v>
      </c>
      <c r="RR340" s="242">
        <f t="shared" si="2397"/>
        <v>46.8</v>
      </c>
      <c r="RS340" s="56"/>
      <c r="RV340" s="55">
        <f t="shared" si="2398"/>
        <v>46311</v>
      </c>
      <c r="RW340" s="56"/>
      <c r="RX340" s="242">
        <f>SUMPRODUCT(PRODUCE!$B337:$DY337,PRODUCE!$EB$57:$IY$57)</f>
        <v>0</v>
      </c>
      <c r="RY340" s="56"/>
      <c r="RZ340" s="242">
        <f t="shared" si="2399"/>
        <v>0</v>
      </c>
      <c r="SA340" s="242">
        <f t="shared" si="2400"/>
        <v>0</v>
      </c>
      <c r="SB340" s="56"/>
      <c r="SE340" s="55">
        <f t="shared" si="2401"/>
        <v>46311</v>
      </c>
      <c r="SF340" s="56"/>
      <c r="SG340" s="242">
        <f>SUMPRODUCT(PRODUCE!$B337:$DY337,PRODUCE!$EB$61:$IY$61)</f>
        <v>0</v>
      </c>
      <c r="SH340" s="56"/>
      <c r="SI340" s="242">
        <f t="shared" si="2402"/>
        <v>0</v>
      </c>
      <c r="SJ340" s="242">
        <f t="shared" si="2403"/>
        <v>24.200000000000003</v>
      </c>
      <c r="SK340" s="56"/>
      <c r="SN340" s="55">
        <f t="shared" si="2404"/>
        <v>46311</v>
      </c>
      <c r="SO340" s="56"/>
      <c r="SP340" s="242">
        <f>SUMPRODUCT(PRODUCE!$B337:$DY337,PRODUCE!$EB$57:$IY$57)</f>
        <v>0</v>
      </c>
      <c r="SQ340" s="56"/>
      <c r="SR340" s="242">
        <f t="shared" si="2405"/>
        <v>0</v>
      </c>
      <c r="SS340" s="242">
        <f t="shared" si="2406"/>
        <v>32</v>
      </c>
      <c r="ST340" s="56"/>
      <c r="SW340" s="55">
        <f t="shared" si="2407"/>
        <v>46311</v>
      </c>
      <c r="SX340" s="56"/>
      <c r="SY340" s="242">
        <f>SUMPRODUCT(PRODUCE!$B337:$DY337,PRODUCE!$EB$57:$IY$57)</f>
        <v>0</v>
      </c>
      <c r="SZ340" s="56"/>
      <c r="TA340" s="242">
        <f t="shared" si="2408"/>
        <v>0</v>
      </c>
      <c r="TB340" s="242">
        <f t="shared" si="2409"/>
        <v>0</v>
      </c>
      <c r="TC340" s="56"/>
      <c r="TF340" s="55">
        <f t="shared" si="2410"/>
        <v>46311</v>
      </c>
      <c r="TG340" s="56"/>
      <c r="TH340" s="242">
        <f>SUMPRODUCT(PRODUCE!$B337:$DY337,PRODUCE!$EB$57:$IY$57)</f>
        <v>0</v>
      </c>
      <c r="TI340" s="56"/>
      <c r="TJ340" s="242">
        <f t="shared" si="2411"/>
        <v>0</v>
      </c>
      <c r="TK340" s="242">
        <f t="shared" si="2412"/>
        <v>0</v>
      </c>
      <c r="TL340" s="56"/>
      <c r="TO340" s="55">
        <f t="shared" si="2413"/>
        <v>46311</v>
      </c>
      <c r="TP340" s="56"/>
      <c r="TQ340" s="242">
        <f>SUMPRODUCT(PRODUCE!$B337:$DY337,PRODUCE!$EB$57:$IY$57)</f>
        <v>0</v>
      </c>
      <c r="TR340" s="56"/>
      <c r="TS340" s="242">
        <f t="shared" si="2414"/>
        <v>0</v>
      </c>
      <c r="TT340" s="242">
        <f t="shared" si="2415"/>
        <v>0</v>
      </c>
      <c r="TU340" s="56"/>
      <c r="TX340" s="55">
        <f t="shared" si="2416"/>
        <v>46311</v>
      </c>
      <c r="TY340" s="56"/>
      <c r="TZ340" s="242">
        <f>SUMPRODUCT(PRODUCE!$B337:$DY337,PRODUCE!$EB$57:$IY$57)</f>
        <v>0</v>
      </c>
      <c r="UA340" s="56"/>
      <c r="UB340" s="242">
        <f t="shared" si="2417"/>
        <v>0</v>
      </c>
      <c r="UC340" s="242">
        <f t="shared" si="2418"/>
        <v>46.799999999999983</v>
      </c>
      <c r="UD340" s="56"/>
      <c r="UG340" s="55">
        <f t="shared" si="2419"/>
        <v>46311</v>
      </c>
      <c r="UH340" s="56"/>
      <c r="UI340" s="242">
        <f>SUMPRODUCT(PRODUCE!$B337:$DY337,PRODUCE!$EB$57:$IY$57)</f>
        <v>0</v>
      </c>
      <c r="UJ340" s="56"/>
      <c r="UK340" s="242">
        <f t="shared" si="2420"/>
        <v>0</v>
      </c>
      <c r="UL340" s="242">
        <f t="shared" si="2421"/>
        <v>204</v>
      </c>
      <c r="UM340" s="56"/>
      <c r="UP340" s="55">
        <f t="shared" si="2422"/>
        <v>46311</v>
      </c>
      <c r="UQ340" s="56"/>
      <c r="UR340" s="242">
        <f>SUMPRODUCT(PRODUCE!$B337:$DY337,PRODUCE!$EB$57:$IY$57)</f>
        <v>0</v>
      </c>
      <c r="US340" s="56"/>
      <c r="UT340" s="242">
        <f t="shared" si="2423"/>
        <v>0</v>
      </c>
      <c r="UU340" s="242">
        <f t="shared" si="2424"/>
        <v>202.5</v>
      </c>
      <c r="UV340" s="56"/>
      <c r="UY340" s="55">
        <f t="shared" si="2425"/>
        <v>46311</v>
      </c>
      <c r="UZ340" s="56"/>
      <c r="VA340" s="242">
        <f>SUMPRODUCT(PRODUCE!$B337:$DY337,PRODUCE!$EB$57:$IY$57)</f>
        <v>0</v>
      </c>
      <c r="VB340" s="56"/>
      <c r="VC340" s="242">
        <f t="shared" si="2426"/>
        <v>0</v>
      </c>
      <c r="VD340" s="242">
        <f t="shared" si="2427"/>
        <v>41.600000000000023</v>
      </c>
      <c r="VE340" s="56"/>
      <c r="VH340" s="55">
        <f t="shared" si="2428"/>
        <v>46311</v>
      </c>
      <c r="VI340" s="56"/>
      <c r="VJ340" s="242">
        <f>SUMPRODUCT(PRODUCE!$B337:$DY337,PRODUCE!$EB$57:$IY$57)</f>
        <v>0</v>
      </c>
      <c r="VK340" s="56"/>
      <c r="VL340" s="242">
        <f t="shared" si="2429"/>
        <v>0</v>
      </c>
      <c r="VM340" s="242">
        <f t="shared" si="2430"/>
        <v>210</v>
      </c>
      <c r="VN340" s="56"/>
      <c r="VQ340" s="55">
        <f t="shared" si="2431"/>
        <v>46311</v>
      </c>
      <c r="VR340" s="56"/>
      <c r="VS340" s="242">
        <f>SUMPRODUCT(PRODUCE!$B337:$DY337,PRODUCE!$EB$57:$IY$57)</f>
        <v>0</v>
      </c>
      <c r="VT340" s="56"/>
      <c r="VU340" s="242">
        <f t="shared" si="2432"/>
        <v>0</v>
      </c>
      <c r="VV340" s="242">
        <f t="shared" si="2433"/>
        <v>0</v>
      </c>
      <c r="VW340" s="56"/>
      <c r="VZ340" s="55">
        <f t="shared" si="2434"/>
        <v>46311</v>
      </c>
      <c r="WA340" s="56"/>
      <c r="WB340" s="242">
        <f>SUMPRODUCT(PRODUCE!$B337:$DY337,PRODUCE!$EB$57:$IY$57)</f>
        <v>0</v>
      </c>
      <c r="WC340" s="56"/>
      <c r="WD340" s="242">
        <f t="shared" si="2435"/>
        <v>0</v>
      </c>
      <c r="WE340" s="242">
        <f t="shared" si="2436"/>
        <v>0</v>
      </c>
      <c r="WF340" s="56"/>
      <c r="WI340" s="55">
        <f t="shared" si="2437"/>
        <v>46311</v>
      </c>
      <c r="WJ340" s="56"/>
      <c r="WK340" s="242">
        <f>SUMPRODUCT(PRODUCE!$B337:$DY337,PRODUCE!$EB$57:$IY$57)</f>
        <v>0</v>
      </c>
      <c r="WL340" s="56"/>
      <c r="WM340" s="242">
        <f t="shared" si="2438"/>
        <v>0</v>
      </c>
      <c r="WN340" s="242">
        <f t="shared" si="2439"/>
        <v>1057</v>
      </c>
      <c r="WO340" s="56"/>
      <c r="WR340" s="55">
        <f t="shared" si="2440"/>
        <v>46311</v>
      </c>
      <c r="WS340" s="56"/>
      <c r="WT340" s="242">
        <f>SUMPRODUCT(PRODUCE!$B337:$DY337,PRODUCE!$EB$57:$IY$57)</f>
        <v>0</v>
      </c>
      <c r="WU340" s="56"/>
      <c r="WV340" s="242">
        <f t="shared" si="2441"/>
        <v>0</v>
      </c>
      <c r="WW340" s="242">
        <f t="shared" si="2442"/>
        <v>0</v>
      </c>
      <c r="WX340" s="56"/>
      <c r="XA340" s="55">
        <f t="shared" si="2443"/>
        <v>46311</v>
      </c>
      <c r="XB340" s="56"/>
      <c r="XC340" s="242">
        <f>SUMPRODUCT(PRODUCE!$B337:$DY337,PRODUCE!$EB$57:$IY$57)</f>
        <v>0</v>
      </c>
      <c r="XD340" s="56"/>
      <c r="XE340" s="242">
        <f t="shared" si="2444"/>
        <v>0</v>
      </c>
      <c r="XF340" s="242">
        <f t="shared" si="2445"/>
        <v>7507</v>
      </c>
      <c r="XG340" s="56"/>
      <c r="XJ340" s="55">
        <f t="shared" si="2446"/>
        <v>46311</v>
      </c>
      <c r="XK340" s="56"/>
      <c r="XL340" s="242">
        <f>SUMPRODUCT(PRODUCE!$B337:$DY337,PRODUCE!$EB$57:$IY$57)</f>
        <v>0</v>
      </c>
      <c r="XM340" s="56"/>
      <c r="XN340" s="242">
        <f t="shared" si="2447"/>
        <v>0</v>
      </c>
      <c r="XO340" s="242">
        <f t="shared" si="2448"/>
        <v>4252</v>
      </c>
      <c r="XP340" s="56"/>
      <c r="XS340" s="55">
        <f t="shared" si="2449"/>
        <v>46311</v>
      </c>
      <c r="XT340" s="56"/>
      <c r="XU340" s="242">
        <f>SUMPRODUCT(PRODUCE!$B337:$DY337,PRODUCE!$EB$57:$IY$57)</f>
        <v>0</v>
      </c>
      <c r="XV340" s="56"/>
      <c r="XW340" s="242">
        <f t="shared" si="2450"/>
        <v>0</v>
      </c>
      <c r="XX340" s="242">
        <f t="shared" si="2451"/>
        <v>2179</v>
      </c>
      <c r="XY340" s="56"/>
      <c r="YB340" s="55">
        <f t="shared" si="2452"/>
        <v>46311</v>
      </c>
      <c r="YC340" s="56"/>
      <c r="YD340" s="242">
        <f>SUMPRODUCT(PRODUCE!$B337:$DY337,PRODUCE!$EB$57:$IY$57)</f>
        <v>0</v>
      </c>
      <c r="YE340" s="56"/>
      <c r="YF340" s="242">
        <f t="shared" si="2453"/>
        <v>0</v>
      </c>
      <c r="YG340" s="242">
        <f t="shared" si="2454"/>
        <v>4019</v>
      </c>
      <c r="YH340" s="56"/>
      <c r="YK340" s="55">
        <f t="shared" si="2455"/>
        <v>46311</v>
      </c>
      <c r="YL340" s="56"/>
      <c r="YM340" s="242">
        <f>SUMPRODUCT(PRODUCE!$B337:$DY337,PRODUCE!$EB$57:$IY$57)</f>
        <v>0</v>
      </c>
      <c r="YN340" s="56"/>
      <c r="YO340" s="242">
        <f t="shared" si="2456"/>
        <v>0</v>
      </c>
      <c r="YP340" s="242">
        <f t="shared" si="2457"/>
        <v>-218</v>
      </c>
      <c r="YQ340" s="56"/>
      <c r="YT340" s="55">
        <f t="shared" si="2458"/>
        <v>46311</v>
      </c>
      <c r="YU340" s="56"/>
      <c r="YV340" s="242">
        <f>SUMPRODUCT(PRODUCE!$B337:$DY337,PRODUCE!$EB$57:$IY$57)</f>
        <v>0</v>
      </c>
      <c r="YW340" s="56"/>
      <c r="YX340" s="242">
        <f t="shared" si="2459"/>
        <v>0</v>
      </c>
      <c r="YY340" s="242">
        <f t="shared" si="2460"/>
        <v>0</v>
      </c>
      <c r="YZ340" s="56"/>
      <c r="ZC340" s="55">
        <f t="shared" si="2461"/>
        <v>46311</v>
      </c>
      <c r="ZD340" s="56"/>
      <c r="ZE340" s="242">
        <f>SUMPRODUCT(PRODUCE!$B337:$DY337,PRODUCE!$EB$57:$IY$57)</f>
        <v>0</v>
      </c>
      <c r="ZF340" s="56"/>
      <c r="ZG340" s="242">
        <f t="shared" si="2462"/>
        <v>0</v>
      </c>
      <c r="ZH340" s="242">
        <f t="shared" si="2463"/>
        <v>0</v>
      </c>
      <c r="ZI340" s="56"/>
      <c r="ZL340" s="55">
        <f t="shared" si="2464"/>
        <v>46311</v>
      </c>
      <c r="ZM340" s="56"/>
      <c r="ZN340" s="242">
        <f>SUMPRODUCT(PRODUCE!$B337:$DY337,PRODUCE!$EB$57:$IY$57)</f>
        <v>0</v>
      </c>
      <c r="ZO340" s="56"/>
      <c r="ZP340" s="242">
        <f t="shared" si="2465"/>
        <v>0</v>
      </c>
      <c r="ZQ340" s="242">
        <f t="shared" si="2466"/>
        <v>0</v>
      </c>
      <c r="ZR340" s="56"/>
      <c r="ZU340" s="55">
        <f t="shared" si="2467"/>
        <v>46311</v>
      </c>
      <c r="ZV340" s="56"/>
      <c r="ZW340" s="242">
        <f>SUMPRODUCT(PRODUCE!$B337:$DY337,PRODUCE!$EB$57:$IY$57)</f>
        <v>0</v>
      </c>
      <c r="ZX340" s="56"/>
      <c r="ZY340" s="242">
        <f t="shared" si="2468"/>
        <v>0</v>
      </c>
      <c r="ZZ340" s="242">
        <f t="shared" si="2469"/>
        <v>0</v>
      </c>
      <c r="AAA340" s="56"/>
      <c r="AAD340" s="55">
        <f t="shared" si="2470"/>
        <v>46311</v>
      </c>
      <c r="AAE340" s="56"/>
      <c r="AAF340" s="242">
        <f>SUMPRODUCT(PRODUCE!$B337:$DY337,PRODUCE!$EB$57:$IY$57)</f>
        <v>0</v>
      </c>
      <c r="AAG340" s="56"/>
      <c r="AAH340" s="242">
        <f t="shared" si="2471"/>
        <v>0</v>
      </c>
      <c r="AAI340" s="242">
        <f t="shared" si="2472"/>
        <v>0</v>
      </c>
      <c r="AAJ340" s="56"/>
      <c r="AAM340" s="55">
        <f t="shared" si="2473"/>
        <v>46311</v>
      </c>
      <c r="AAN340" s="56"/>
      <c r="AAO340" s="242">
        <f>SUMPRODUCT(PRODUCE!$B337:$DY337,PRODUCE!$EB$57:$IY$57)</f>
        <v>0</v>
      </c>
      <c r="AAP340" s="56"/>
      <c r="AAQ340" s="242">
        <f t="shared" si="2474"/>
        <v>0</v>
      </c>
      <c r="AAR340" s="242">
        <f t="shared" si="2475"/>
        <v>0</v>
      </c>
      <c r="AAS340" s="56"/>
      <c r="AAV340" s="55">
        <f t="shared" si="2476"/>
        <v>46311</v>
      </c>
      <c r="AAW340" s="56"/>
      <c r="AAX340" s="242">
        <f>SUMPRODUCT(PRODUCE!$B337:$DY337,PRODUCE!$EB$57:$IY$57)</f>
        <v>0</v>
      </c>
      <c r="AAY340" s="56"/>
      <c r="AAZ340" s="242">
        <f t="shared" si="2477"/>
        <v>0</v>
      </c>
      <c r="ABA340" s="242">
        <f t="shared" si="2478"/>
        <v>0</v>
      </c>
      <c r="ABB340" s="56"/>
      <c r="ABE340" s="55">
        <f t="shared" si="2479"/>
        <v>46311</v>
      </c>
      <c r="ABF340" s="56"/>
      <c r="ABG340" s="242">
        <f>SUMPRODUCT(PRODUCE!$B337:$DY337,PRODUCE!$EB$57:$IY$57)</f>
        <v>0</v>
      </c>
      <c r="ABH340" s="56"/>
      <c r="ABI340" s="242">
        <f t="shared" si="2480"/>
        <v>0</v>
      </c>
      <c r="ABJ340" s="242">
        <f t="shared" si="2481"/>
        <v>0</v>
      </c>
      <c r="ABK340" s="56"/>
    </row>
    <row r="341" spans="2:739" s="54" customFormat="1" ht="15" customHeight="1" outlineLevel="1">
      <c r="B341" s="478"/>
      <c r="C341" s="55">
        <v>46312</v>
      </c>
      <c r="D341" s="56"/>
      <c r="E341" s="57">
        <f>SUMPRODUCT(PRODUCE!$B338:$DY338,PRODUCE!$EB$7:$IY$7)</f>
        <v>0</v>
      </c>
      <c r="F341" s="56"/>
      <c r="G341" s="57">
        <f t="shared" si="2237"/>
        <v>0</v>
      </c>
      <c r="H341" s="57">
        <f t="shared" si="2238"/>
        <v>236936.6</v>
      </c>
      <c r="I341" s="289"/>
      <c r="L341" s="55">
        <f t="shared" si="2239"/>
        <v>46312</v>
      </c>
      <c r="M341" s="56"/>
      <c r="N341" s="59">
        <f>SUMPRODUCT(PRODUCE!$B338:$DY338,PRODUCE!$EB$8:$IY$8)</f>
        <v>0</v>
      </c>
      <c r="O341" s="56"/>
      <c r="P341" s="59">
        <f t="shared" si="2240"/>
        <v>0</v>
      </c>
      <c r="Q341" s="59">
        <f t="shared" si="2241"/>
        <v>53017.600000000071</v>
      </c>
      <c r="R341" s="56"/>
      <c r="U341" s="55">
        <f t="shared" si="2242"/>
        <v>46312</v>
      </c>
      <c r="V341" s="56"/>
      <c r="W341" s="60">
        <f>SUMPRODUCT(PRODUCE!$B338:$DY338,PRODUCE!$EB$9:$IY$9)</f>
        <v>0</v>
      </c>
      <c r="X341" s="56"/>
      <c r="Y341" s="60">
        <f t="shared" si="2243"/>
        <v>0</v>
      </c>
      <c r="Z341" s="60">
        <f t="shared" si="2244"/>
        <v>42674.199999999968</v>
      </c>
      <c r="AA341" s="56"/>
      <c r="AD341" s="55">
        <f t="shared" si="2245"/>
        <v>46312</v>
      </c>
      <c r="AE341" s="56"/>
      <c r="AF341" s="61">
        <f>SUMPRODUCT(PRODUCE!$B338:$DY338,PRODUCE!$EB$10:$IY$10)</f>
        <v>0</v>
      </c>
      <c r="AG341" s="56"/>
      <c r="AH341" s="61">
        <f t="shared" si="2246"/>
        <v>0</v>
      </c>
      <c r="AI341" s="61">
        <f t="shared" si="2247"/>
        <v>4522.2000000000189</v>
      </c>
      <c r="AJ341" s="56"/>
      <c r="AM341" s="55">
        <f t="shared" si="2248"/>
        <v>46312</v>
      </c>
      <c r="AN341" s="422"/>
      <c r="AO341" s="444">
        <f>SUMPRODUCT(PRODUCE!$B338:$DY338,PRODUCE!$EB$11:$IY$11)</f>
        <v>0</v>
      </c>
      <c r="AP341" s="422"/>
      <c r="AQ341" s="444">
        <f t="shared" si="2249"/>
        <v>0</v>
      </c>
      <c r="AR341" s="444">
        <f t="shared" si="2250"/>
        <v>0</v>
      </c>
      <c r="AS341" s="56"/>
      <c r="AV341" s="55">
        <f t="shared" si="2251"/>
        <v>46312</v>
      </c>
      <c r="AW341" s="56"/>
      <c r="AX341" s="62">
        <f>SUMPRODUCT(PRODUCE!$B338:$DY338,PRODUCE!$EB$12:$IY$12)</f>
        <v>0</v>
      </c>
      <c r="AY341" s="56"/>
      <c r="AZ341" s="62">
        <f t="shared" si="2252"/>
        <v>0</v>
      </c>
      <c r="BA341" s="62">
        <f t="shared" si="2253"/>
        <v>124.99999999999523</v>
      </c>
      <c r="BB341" s="56"/>
      <c r="BE341" s="55">
        <f t="shared" si="2254"/>
        <v>46312</v>
      </c>
      <c r="BF341" s="56"/>
      <c r="BG341" s="63">
        <f>SUMPRODUCT(PRODUCE!$B338:$DY338,PRODUCE!$EB$13:$IY$13)</f>
        <v>0</v>
      </c>
      <c r="BH341" s="56"/>
      <c r="BI341" s="63">
        <f t="shared" si="2255"/>
        <v>0</v>
      </c>
      <c r="BJ341" s="63">
        <f t="shared" si="2256"/>
        <v>26151.899999999998</v>
      </c>
      <c r="BK341" s="56"/>
      <c r="BN341" s="55">
        <f t="shared" si="2257"/>
        <v>46312</v>
      </c>
      <c r="BO341" s="56"/>
      <c r="BP341" s="64">
        <f>SUMPRODUCT(PRODUCE!$B338:$DY338,PRODUCE!$EB$14:$IY$14)</f>
        <v>0</v>
      </c>
      <c r="BQ341" s="56"/>
      <c r="BR341" s="64">
        <f t="shared" si="2258"/>
        <v>0</v>
      </c>
      <c r="BS341" s="64">
        <f t="shared" si="2259"/>
        <v>0</v>
      </c>
      <c r="BT341" s="56"/>
      <c r="BW341" s="55">
        <f t="shared" si="2260"/>
        <v>46312</v>
      </c>
      <c r="BX341" s="56"/>
      <c r="BY341" s="65">
        <f>SUMPRODUCT(PRODUCE!$B338:$DY338,PRODUCE!$EB$15:$IY$15)</f>
        <v>0</v>
      </c>
      <c r="BZ341" s="56"/>
      <c r="CA341" s="65">
        <f t="shared" si="2261"/>
        <v>0</v>
      </c>
      <c r="CB341" s="65">
        <f t="shared" si="2262"/>
        <v>2097.3399999999992</v>
      </c>
      <c r="CC341" s="56"/>
      <c r="CF341" s="55">
        <f t="shared" si="2263"/>
        <v>46312</v>
      </c>
      <c r="CG341" s="56"/>
      <c r="CH341" s="66">
        <f>SUMPRODUCT(PRODUCE!$B338:$DY338,PRODUCE!$EB$16:$IY$16)</f>
        <v>0</v>
      </c>
      <c r="CI341" s="56"/>
      <c r="CJ341" s="66">
        <f t="shared" si="2264"/>
        <v>0</v>
      </c>
      <c r="CK341" s="66">
        <f t="shared" si="2265"/>
        <v>-10277.079999999998</v>
      </c>
      <c r="CL341" s="56"/>
      <c r="CO341" s="55">
        <f t="shared" si="2266"/>
        <v>46312</v>
      </c>
      <c r="CP341" s="422"/>
      <c r="CQ341" s="470">
        <f>SUMPRODUCT(PRODUCE!$B338:$DY338,PRODUCE!$EB$17:$IY$17)</f>
        <v>0</v>
      </c>
      <c r="CR341" s="422"/>
      <c r="CS341" s="470">
        <f t="shared" si="2267"/>
        <v>0</v>
      </c>
      <c r="CT341" s="470">
        <f t="shared" si="2268"/>
        <v>0</v>
      </c>
      <c r="CU341" s="56"/>
      <c r="CX341" s="55">
        <f t="shared" si="2269"/>
        <v>46312</v>
      </c>
      <c r="CY341" s="56"/>
      <c r="CZ341" s="133">
        <f>SUMPRODUCT(PRODUCE!$B338:$DY338,PRODUCE!$EB$18:$IY$18)</f>
        <v>0</v>
      </c>
      <c r="DA341" s="56"/>
      <c r="DB341" s="133">
        <f t="shared" si="2270"/>
        <v>0</v>
      </c>
      <c r="DC341" s="133">
        <f t="shared" si="2271"/>
        <v>27438.200000000012</v>
      </c>
      <c r="DD341" s="56"/>
      <c r="DG341" s="55">
        <f t="shared" si="2272"/>
        <v>46312</v>
      </c>
      <c r="DH341" s="56"/>
      <c r="DI341" s="147">
        <f>SUMPRODUCT(PRODUCE!$B338:$DY338,PRODUCE!$EB$19:$IY$19)</f>
        <v>0</v>
      </c>
      <c r="DJ341" s="56"/>
      <c r="DK341" s="147">
        <f t="shared" si="2273"/>
        <v>0</v>
      </c>
      <c r="DL341" s="147">
        <f t="shared" si="2274"/>
        <v>18782.299999999981</v>
      </c>
      <c r="DM341" s="56"/>
      <c r="DP341" s="55">
        <f t="shared" si="2275"/>
        <v>46312</v>
      </c>
      <c r="DQ341" s="56"/>
      <c r="DR341" s="57">
        <f>SUMPRODUCT(PRODUCE!$B338:$DY338,PRODUCE!$EB$20:$IY$20)</f>
        <v>0</v>
      </c>
      <c r="DS341" s="56"/>
      <c r="DT341" s="57">
        <f t="shared" si="2276"/>
        <v>0</v>
      </c>
      <c r="DU341" s="57">
        <f t="shared" si="2277"/>
        <v>5800</v>
      </c>
      <c r="DV341" s="56"/>
      <c r="DY341" s="55">
        <f t="shared" si="2278"/>
        <v>46312</v>
      </c>
      <c r="DZ341" s="56"/>
      <c r="EA341" s="157">
        <f>SUMPRODUCT(PRODUCE!$B338:$DY338,PRODUCE!$EB$21:$IY$21)</f>
        <v>0</v>
      </c>
      <c r="EB341" s="56"/>
      <c r="EC341" s="157">
        <f t="shared" si="2279"/>
        <v>0</v>
      </c>
      <c r="ED341" s="157">
        <f t="shared" si="2280"/>
        <v>0</v>
      </c>
      <c r="EE341" s="56"/>
      <c r="EH341" s="55">
        <f t="shared" si="2281"/>
        <v>46312</v>
      </c>
      <c r="EI341" s="56"/>
      <c r="EJ341" s="162">
        <f>SUMPRODUCT(PRODUCE!$B338:$DY338,PRODUCE!$EB$22:$IY$22)</f>
        <v>0</v>
      </c>
      <c r="EK341" s="56"/>
      <c r="EL341" s="162">
        <f t="shared" si="2282"/>
        <v>0</v>
      </c>
      <c r="EM341" s="162">
        <f t="shared" si="2283"/>
        <v>0</v>
      </c>
      <c r="EN341" s="56"/>
      <c r="EQ341" s="55">
        <f t="shared" si="2284"/>
        <v>46312</v>
      </c>
      <c r="ER341" s="56"/>
      <c r="ES341" s="135">
        <f>SUMPRODUCT(PRODUCE!$B338:$DY338,PRODUCE!$EB$23:$IY$23)</f>
        <v>0</v>
      </c>
      <c r="ET341" s="56"/>
      <c r="EU341" s="135">
        <f t="shared" si="2285"/>
        <v>0</v>
      </c>
      <c r="EV341" s="135">
        <f t="shared" si="2286"/>
        <v>0</v>
      </c>
      <c r="EW341" s="56"/>
      <c r="EZ341" s="55">
        <f t="shared" si="2287"/>
        <v>46312</v>
      </c>
      <c r="FA341" s="56"/>
      <c r="FB341" s="175">
        <f>SUMPRODUCT(PRODUCE!$B338:$DY338,PRODUCE!$EB$24:$IY$24)</f>
        <v>0</v>
      </c>
      <c r="FC341" s="56"/>
      <c r="FD341" s="175">
        <f t="shared" si="2288"/>
        <v>0</v>
      </c>
      <c r="FE341" s="175">
        <f t="shared" si="2289"/>
        <v>0</v>
      </c>
      <c r="FF341" s="56"/>
      <c r="FI341" s="55">
        <f t="shared" si="2290"/>
        <v>46312</v>
      </c>
      <c r="FJ341" s="56"/>
      <c r="FK341" s="183">
        <f>SUMPRODUCT(PRODUCE!$B338:$DY338,PRODUCE!$EB$25:$IY$25)</f>
        <v>0</v>
      </c>
      <c r="FL341" s="56"/>
      <c r="FM341" s="183">
        <f t="shared" si="2291"/>
        <v>0</v>
      </c>
      <c r="FN341" s="183">
        <f t="shared" si="2292"/>
        <v>0</v>
      </c>
      <c r="FO341" s="56"/>
      <c r="FR341" s="55">
        <f t="shared" si="2293"/>
        <v>46312</v>
      </c>
      <c r="FS341" s="56"/>
      <c r="FT341" s="186">
        <f>SUMPRODUCT(PRODUCE!$B338:$DY338,PRODUCE!$EB$26:$IY$26)</f>
        <v>0</v>
      </c>
      <c r="FU341" s="56"/>
      <c r="FV341" s="186">
        <f t="shared" si="2294"/>
        <v>0</v>
      </c>
      <c r="FW341" s="186">
        <f t="shared" si="2295"/>
        <v>2020</v>
      </c>
      <c r="FX341" s="56"/>
      <c r="GA341" s="55">
        <f t="shared" si="2296"/>
        <v>46312</v>
      </c>
      <c r="GB341" s="56"/>
      <c r="GC341" s="137">
        <f>SUMPRODUCT(PRODUCE!$B338:$DY338,PRODUCE!$EB$27:$IY$27)</f>
        <v>0</v>
      </c>
      <c r="GD341" s="56"/>
      <c r="GE341" s="137">
        <f t="shared" si="2297"/>
        <v>0</v>
      </c>
      <c r="GF341" s="137">
        <f t="shared" si="2298"/>
        <v>960</v>
      </c>
      <c r="GG341" s="56"/>
      <c r="GI341" s="23"/>
      <c r="GJ341" s="55">
        <f t="shared" si="2299"/>
        <v>46312</v>
      </c>
      <c r="GK341" s="56"/>
      <c r="GL341" s="199">
        <f>SUMPRODUCT(PRODUCE!$B338:$DY338,PRODUCE!$EB$28:$IY$28)</f>
        <v>0</v>
      </c>
      <c r="GM341" s="56"/>
      <c r="GN341" s="199">
        <f t="shared" si="2300"/>
        <v>0</v>
      </c>
      <c r="GO341" s="199">
        <f t="shared" si="2301"/>
        <v>1760</v>
      </c>
      <c r="GP341" s="56"/>
      <c r="GS341" s="55">
        <f t="shared" si="2302"/>
        <v>46312</v>
      </c>
      <c r="GT341" s="56"/>
      <c r="GU341" s="195">
        <f>SUMPRODUCT(PRODUCE!$B338:$DY338,PRODUCE!$EB$29:$IY$29)</f>
        <v>0</v>
      </c>
      <c r="GV341" s="56"/>
      <c r="GW341" s="195">
        <f t="shared" si="2303"/>
        <v>0</v>
      </c>
      <c r="GX341" s="195">
        <f t="shared" si="2304"/>
        <v>400</v>
      </c>
      <c r="GY341" s="56"/>
      <c r="HB341" s="55">
        <f t="shared" si="2305"/>
        <v>46312</v>
      </c>
      <c r="HC341" s="56"/>
      <c r="HD341" s="191">
        <f>SUMPRODUCT(PRODUCE!$B338:$DY338,PRODUCE!$EB$30:$IY$30)</f>
        <v>0</v>
      </c>
      <c r="HE341" s="56"/>
      <c r="HF341" s="191">
        <f t="shared" si="2306"/>
        <v>0</v>
      </c>
      <c r="HG341" s="191">
        <f t="shared" si="2307"/>
        <v>3600</v>
      </c>
      <c r="HH341" s="56"/>
      <c r="HK341" s="55">
        <f t="shared" si="2308"/>
        <v>46312</v>
      </c>
      <c r="HL341" s="56"/>
      <c r="HM341" s="63">
        <f>SUMPRODUCT(PRODUCE!$B338:$DY338,PRODUCE!$EB$31:$IY$31)</f>
        <v>0</v>
      </c>
      <c r="HN341" s="56"/>
      <c r="HO341" s="63">
        <f t="shared" si="2309"/>
        <v>0</v>
      </c>
      <c r="HP341" s="63">
        <f t="shared" si="2310"/>
        <v>0</v>
      </c>
      <c r="HQ341" s="56"/>
      <c r="HU341" s="55">
        <f t="shared" si="2311"/>
        <v>46312</v>
      </c>
      <c r="HV341" s="56"/>
      <c r="HW341" s="242">
        <f>SUMPRODUCT(PRODUCE!$B338:$DY338,PRODUCE!$EB$32:$IY$32)</f>
        <v>0</v>
      </c>
      <c r="HX341" s="56"/>
      <c r="HY341" s="242">
        <f t="shared" si="2312"/>
        <v>0</v>
      </c>
      <c r="HZ341" s="242">
        <f t="shared" si="2313"/>
        <v>6120</v>
      </c>
      <c r="IA341" s="56"/>
      <c r="ID341" s="55">
        <f t="shared" si="2314"/>
        <v>46312</v>
      </c>
      <c r="IE341" s="56"/>
      <c r="IF341" s="242">
        <f>SUMPRODUCT(PRODUCE!$B338:$DY338,PRODUCE!$EB$33:$IY$33)</f>
        <v>0</v>
      </c>
      <c r="IG341" s="56"/>
      <c r="IH341" s="242">
        <f t="shared" si="2315"/>
        <v>0</v>
      </c>
      <c r="II341" s="242">
        <f t="shared" si="2316"/>
        <v>0</v>
      </c>
      <c r="IJ341" s="56"/>
      <c r="IM341" s="55">
        <f t="shared" si="2317"/>
        <v>46312</v>
      </c>
      <c r="IN341" s="56"/>
      <c r="IO341" s="242">
        <f>SUMPRODUCT(PRODUCE!$B338:$DY338,PRODUCE!$EB$34:$IY$34)</f>
        <v>0</v>
      </c>
      <c r="IP341" s="56"/>
      <c r="IQ341" s="242">
        <f t="shared" si="2318"/>
        <v>0</v>
      </c>
      <c r="IR341" s="242">
        <f t="shared" si="2319"/>
        <v>0</v>
      </c>
      <c r="IS341" s="56"/>
      <c r="IV341" s="55">
        <f t="shared" si="2320"/>
        <v>46312</v>
      </c>
      <c r="IW341" s="56"/>
      <c r="IX341" s="242">
        <f>SUMPRODUCT(PRODUCE!$B338:$DY338,PRODUCE!$EB$35:$IY$35)</f>
        <v>0</v>
      </c>
      <c r="IY341" s="56"/>
      <c r="IZ341" s="242">
        <f t="shared" si="2321"/>
        <v>0</v>
      </c>
      <c r="JA341" s="242">
        <f t="shared" si="2322"/>
        <v>2820</v>
      </c>
      <c r="JB341" s="56"/>
      <c r="JE341" s="55">
        <f t="shared" si="2323"/>
        <v>46312</v>
      </c>
      <c r="JF341" s="56"/>
      <c r="JG341" s="242">
        <f>SUMPRODUCT(PRODUCE!$B338:$DY338,PRODUCE!$EB$36:$IY$36)</f>
        <v>0</v>
      </c>
      <c r="JH341" s="56"/>
      <c r="JI341" s="242">
        <f t="shared" si="2324"/>
        <v>0</v>
      </c>
      <c r="JJ341" s="242">
        <f t="shared" si="2325"/>
        <v>0</v>
      </c>
      <c r="JK341" s="56"/>
      <c r="JN341" s="55">
        <f t="shared" si="2326"/>
        <v>46312</v>
      </c>
      <c r="JO341" s="56"/>
      <c r="JP341" s="242">
        <f>SUMPRODUCT(PRODUCE!$B338:$DY338,PRODUCE!$EB$37:$IY$37)</f>
        <v>0</v>
      </c>
      <c r="JQ341" s="56"/>
      <c r="JR341" s="242">
        <f t="shared" si="2327"/>
        <v>0</v>
      </c>
      <c r="JS341" s="242">
        <f t="shared" si="2328"/>
        <v>0</v>
      </c>
      <c r="JT341" s="56"/>
      <c r="JW341" s="55">
        <f t="shared" si="2329"/>
        <v>46312</v>
      </c>
      <c r="JX341" s="56"/>
      <c r="JY341" s="242">
        <f>SUMPRODUCT(PRODUCE!$B338:$DY338,PRODUCE!$EB$38:$IY$38)</f>
        <v>0</v>
      </c>
      <c r="JZ341" s="56"/>
      <c r="KA341" s="242">
        <f t="shared" si="2330"/>
        <v>0</v>
      </c>
      <c r="KB341" s="242">
        <f t="shared" si="2331"/>
        <v>2540</v>
      </c>
      <c r="KC341" s="56"/>
      <c r="KF341" s="55">
        <f t="shared" si="2332"/>
        <v>46312</v>
      </c>
      <c r="KG341" s="56"/>
      <c r="KH341" s="242">
        <f>SUMPRODUCT(PRODUCE!$B338:$DY338,PRODUCE!$EB$39:$IY$39)</f>
        <v>0</v>
      </c>
      <c r="KI341" s="56"/>
      <c r="KJ341" s="242">
        <f t="shared" si="2333"/>
        <v>0</v>
      </c>
      <c r="KK341" s="242">
        <f t="shared" si="2334"/>
        <v>2359.5</v>
      </c>
      <c r="KL341" s="56"/>
      <c r="KO341" s="55">
        <f t="shared" si="2335"/>
        <v>46312</v>
      </c>
      <c r="KP341" s="56"/>
      <c r="KQ341" s="242">
        <f>SUMPRODUCT(PRODUCE!$B338:$DY338,PRODUCE!$EB$40:$IY$40)</f>
        <v>0</v>
      </c>
      <c r="KR341" s="56"/>
      <c r="KS341" s="242">
        <f t="shared" si="2336"/>
        <v>0</v>
      </c>
      <c r="KT341" s="242">
        <f t="shared" si="2337"/>
        <v>1890</v>
      </c>
      <c r="KU341" s="56"/>
      <c r="KW341" s="23"/>
      <c r="KX341" s="55">
        <f t="shared" si="2338"/>
        <v>46312</v>
      </c>
      <c r="KY341" s="56"/>
      <c r="KZ341" s="242">
        <f>SUMPRODUCT(PRODUCE!$B338:$DY338,PRODUCE!$EB$41:$IY$41)</f>
        <v>0</v>
      </c>
      <c r="LA341" s="56"/>
      <c r="LB341" s="242">
        <f t="shared" si="2339"/>
        <v>0</v>
      </c>
      <c r="LC341" s="242">
        <f t="shared" si="2340"/>
        <v>3690</v>
      </c>
      <c r="LD341" s="56"/>
      <c r="LG341" s="55">
        <f t="shared" si="2341"/>
        <v>46312</v>
      </c>
      <c r="LH341" s="56"/>
      <c r="LI341" s="242">
        <f>SUMPRODUCT(PRODUCE!$B338:$DY338,PRODUCE!$EB$42:$IY$42)</f>
        <v>0</v>
      </c>
      <c r="LJ341" s="56"/>
      <c r="LK341" s="242">
        <f t="shared" si="2342"/>
        <v>0</v>
      </c>
      <c r="LL341" s="242">
        <f t="shared" si="2343"/>
        <v>4000</v>
      </c>
      <c r="LM341" s="56"/>
      <c r="LP341" s="55">
        <f t="shared" si="2344"/>
        <v>46312</v>
      </c>
      <c r="LQ341" s="56"/>
      <c r="LR341" s="242">
        <f>SUMPRODUCT(PRODUCE!$B338:$DY338,PRODUCE!$EB$43:$IY$43)</f>
        <v>0</v>
      </c>
      <c r="LS341" s="56"/>
      <c r="LT341" s="242">
        <f t="shared" si="2345"/>
        <v>0</v>
      </c>
      <c r="LU341" s="242">
        <f t="shared" si="2346"/>
        <v>0</v>
      </c>
      <c r="LV341" s="56"/>
      <c r="LY341" s="55">
        <f t="shared" si="2347"/>
        <v>46312</v>
      </c>
      <c r="LZ341" s="56"/>
      <c r="MA341" s="242">
        <f>SUMPRODUCT(PRODUCE!$B338:$DY338,PRODUCE!$EB$44:$IY$44)</f>
        <v>0</v>
      </c>
      <c r="MB341" s="56"/>
      <c r="MC341" s="242">
        <f t="shared" si="2348"/>
        <v>0</v>
      </c>
      <c r="MD341" s="242">
        <f t="shared" si="2349"/>
        <v>0</v>
      </c>
      <c r="ME341" s="56"/>
      <c r="MH341" s="55">
        <f t="shared" si="2350"/>
        <v>46312</v>
      </c>
      <c r="MI341" s="56"/>
      <c r="MJ341" s="242">
        <f>SUMPRODUCT(PRODUCE!$B338:$DY338,PRODUCE!$EB$45:$IY$45)</f>
        <v>0</v>
      </c>
      <c r="MK341" s="56"/>
      <c r="ML341" s="242">
        <f t="shared" si="2351"/>
        <v>0</v>
      </c>
      <c r="MM341" s="242">
        <f t="shared" si="2352"/>
        <v>0</v>
      </c>
      <c r="MN341" s="56"/>
      <c r="MQ341" s="55">
        <f t="shared" si="2353"/>
        <v>46312</v>
      </c>
      <c r="MR341" s="56"/>
      <c r="MS341" s="242">
        <f>SUMPRODUCT(PRODUCE!$B338:$DY338,PRODUCE!$EB$46:$IY$46)</f>
        <v>0</v>
      </c>
      <c r="MT341" s="56"/>
      <c r="MU341" s="242">
        <f t="shared" si="2354"/>
        <v>0</v>
      </c>
      <c r="MV341" s="242">
        <f t="shared" si="2355"/>
        <v>1625</v>
      </c>
      <c r="MW341" s="56"/>
      <c r="MZ341" s="55">
        <f t="shared" si="2356"/>
        <v>46312</v>
      </c>
      <c r="NA341" s="56"/>
      <c r="NB341" s="242">
        <f>SUMPRODUCT(PRODUCE!$B338:$DY338,PRODUCE!$EB$47:$IY$47)</f>
        <v>0</v>
      </c>
      <c r="NC341" s="56"/>
      <c r="ND341" s="242">
        <f t="shared" si="2357"/>
        <v>0</v>
      </c>
      <c r="NE341" s="242">
        <f t="shared" si="2358"/>
        <v>0</v>
      </c>
      <c r="NF341" s="56"/>
      <c r="NI341" s="55">
        <f t="shared" si="2359"/>
        <v>46312</v>
      </c>
      <c r="NJ341" s="56"/>
      <c r="NK341" s="242">
        <f>SUMPRODUCT(PRODUCE!$B338:$DY338,PRODUCE!$EB$48:$IY$48)</f>
        <v>0</v>
      </c>
      <c r="NL341" s="56"/>
      <c r="NM341" s="242">
        <f t="shared" si="2360"/>
        <v>0</v>
      </c>
      <c r="NN341" s="242">
        <f t="shared" si="2361"/>
        <v>1127</v>
      </c>
      <c r="NO341" s="56"/>
      <c r="NR341" s="55">
        <f t="shared" si="2362"/>
        <v>46312</v>
      </c>
      <c r="NS341" s="56"/>
      <c r="NT341" s="242">
        <f>SUMPRODUCT(PRODUCE!$B338:$DY338,PRODUCE!$EB$49:$IY$49)</f>
        <v>0</v>
      </c>
      <c r="NU341" s="56"/>
      <c r="NV341" s="242">
        <f t="shared" si="2363"/>
        <v>0</v>
      </c>
      <c r="NW341" s="242">
        <f t="shared" si="2364"/>
        <v>3111.9999999999995</v>
      </c>
      <c r="NX341" s="56"/>
      <c r="OA341" s="55">
        <f t="shared" si="2365"/>
        <v>46312</v>
      </c>
      <c r="OB341" s="56"/>
      <c r="OC341" s="242">
        <f>SUMPRODUCT(PRODUCE!$B338:$DY338,PRODUCE!$EB$50:$IY$50)</f>
        <v>0</v>
      </c>
      <c r="OD341" s="56"/>
      <c r="OE341" s="242">
        <f t="shared" si="2366"/>
        <v>0</v>
      </c>
      <c r="OF341" s="242">
        <f t="shared" si="2367"/>
        <v>1680.5</v>
      </c>
      <c r="OG341" s="56"/>
      <c r="OJ341" s="55">
        <f t="shared" si="2368"/>
        <v>46312</v>
      </c>
      <c r="OK341" s="56"/>
      <c r="OL341" s="242">
        <f>SUMPRODUCT(PRODUCE!$B338:$DY338,PRODUCE!$EB$51:$IY$51)</f>
        <v>0</v>
      </c>
      <c r="OM341" s="56"/>
      <c r="ON341" s="242">
        <f t="shared" si="2369"/>
        <v>0</v>
      </c>
      <c r="OO341" s="242">
        <f t="shared" si="2370"/>
        <v>0</v>
      </c>
      <c r="OP341" s="56"/>
      <c r="OS341" s="55">
        <f t="shared" si="2371"/>
        <v>46312</v>
      </c>
      <c r="OT341" s="56"/>
      <c r="OU341" s="242">
        <f>SUMPRODUCT(PRODUCE!$B338:$DY338,PRODUCE!$EB$52:$IY$52)</f>
        <v>0</v>
      </c>
      <c r="OV341" s="56"/>
      <c r="OW341" s="242">
        <f t="shared" si="2372"/>
        <v>0</v>
      </c>
      <c r="OX341" s="242">
        <f t="shared" si="2373"/>
        <v>1482</v>
      </c>
      <c r="OY341" s="56"/>
      <c r="PB341" s="55">
        <f t="shared" si="2374"/>
        <v>46312</v>
      </c>
      <c r="PC341" s="56"/>
      <c r="PD341" s="242">
        <f>SUMPRODUCT(PRODUCE!$B338:$DY338,PRODUCE!$EB$53:$IY$53)</f>
        <v>0</v>
      </c>
      <c r="PE341" s="56"/>
      <c r="PF341" s="242">
        <f t="shared" si="2375"/>
        <v>0</v>
      </c>
      <c r="PG341" s="242">
        <f t="shared" si="2376"/>
        <v>0</v>
      </c>
      <c r="PH341" s="56"/>
      <c r="PK341" s="55">
        <f t="shared" si="2377"/>
        <v>46312</v>
      </c>
      <c r="PL341" s="56"/>
      <c r="PM341" s="242">
        <f>SUMPRODUCT(PRODUCE!$B338:$DY338,PRODUCE!$EB$54:$IY$54)</f>
        <v>0</v>
      </c>
      <c r="PN341" s="56"/>
      <c r="PO341" s="242">
        <f t="shared" si="2378"/>
        <v>0</v>
      </c>
      <c r="PP341" s="242">
        <f t="shared" si="2379"/>
        <v>100</v>
      </c>
      <c r="PQ341" s="56"/>
      <c r="PT341" s="55">
        <f t="shared" si="2380"/>
        <v>46312</v>
      </c>
      <c r="PU341" s="56"/>
      <c r="PV341" s="242">
        <f>SUMPRODUCT(PRODUCE!$B338:$DY338,PRODUCE!$EB$55:$IY$55)</f>
        <v>0</v>
      </c>
      <c r="PW341" s="56"/>
      <c r="PX341" s="242">
        <f t="shared" si="2381"/>
        <v>0</v>
      </c>
      <c r="PY341" s="242">
        <f t="shared" si="2382"/>
        <v>13.960000000000036</v>
      </c>
      <c r="PZ341" s="56"/>
      <c r="QC341" s="55">
        <f t="shared" si="2383"/>
        <v>46312</v>
      </c>
      <c r="QD341" s="56"/>
      <c r="QE341" s="242">
        <f>SUMPRODUCT(PRODUCE!$B338:$DY338,PRODUCE!$EB$56:$IY$56)</f>
        <v>0</v>
      </c>
      <c r="QF341" s="56"/>
      <c r="QG341" s="242">
        <f t="shared" si="2384"/>
        <v>0</v>
      </c>
      <c r="QH341" s="242">
        <f t="shared" si="2385"/>
        <v>548</v>
      </c>
      <c r="QI341" s="56"/>
      <c r="QL341" s="55">
        <f t="shared" si="2386"/>
        <v>46312</v>
      </c>
      <c r="QM341" s="56"/>
      <c r="QN341" s="242">
        <f>SUMPRODUCT(PRODUCE!$B338:$DY338,PRODUCE!$EB$57:$IY$57)</f>
        <v>0</v>
      </c>
      <c r="QO341" s="56"/>
      <c r="QP341" s="242">
        <f t="shared" si="2387"/>
        <v>0</v>
      </c>
      <c r="QQ341" s="242">
        <f t="shared" si="2388"/>
        <v>0</v>
      </c>
      <c r="QR341" s="56"/>
      <c r="QU341" s="55">
        <f t="shared" si="2389"/>
        <v>46312</v>
      </c>
      <c r="QV341" s="56"/>
      <c r="QW341" s="242">
        <f>SUMPRODUCT(PRODUCE!$B338:$DY338,PRODUCE!$EB$57:$IY$57)</f>
        <v>0</v>
      </c>
      <c r="QX341" s="56"/>
      <c r="QY341" s="242">
        <f t="shared" si="2390"/>
        <v>0</v>
      </c>
      <c r="QZ341" s="242">
        <f t="shared" si="2391"/>
        <v>0</v>
      </c>
      <c r="RA341" s="56"/>
      <c r="RD341" s="55">
        <f t="shared" si="2392"/>
        <v>46312</v>
      </c>
      <c r="RE341" s="56"/>
      <c r="RF341" s="242">
        <f>SUMPRODUCT(PRODUCE!$B338:$DY338,PRODUCE!$EB$58:$IY$58)</f>
        <v>0</v>
      </c>
      <c r="RG341" s="56"/>
      <c r="RH341" s="242">
        <f t="shared" si="2393"/>
        <v>0</v>
      </c>
      <c r="RI341" s="242">
        <f t="shared" si="2394"/>
        <v>147.04000000000002</v>
      </c>
      <c r="RJ341" s="56"/>
      <c r="RM341" s="55">
        <f t="shared" si="2395"/>
        <v>46312</v>
      </c>
      <c r="RN341" s="56"/>
      <c r="RO341" s="242">
        <f>SUMPRODUCT(PRODUCE!$B338:$DY338,PRODUCE!$EB$57:$IY$57)</f>
        <v>0</v>
      </c>
      <c r="RP341" s="56"/>
      <c r="RQ341" s="242">
        <f t="shared" si="2396"/>
        <v>0</v>
      </c>
      <c r="RR341" s="242">
        <f t="shared" si="2397"/>
        <v>46.8</v>
      </c>
      <c r="RS341" s="56"/>
      <c r="RV341" s="55">
        <f t="shared" si="2398"/>
        <v>46312</v>
      </c>
      <c r="RW341" s="56"/>
      <c r="RX341" s="242">
        <f>SUMPRODUCT(PRODUCE!$B338:$DY338,PRODUCE!$EB$57:$IY$57)</f>
        <v>0</v>
      </c>
      <c r="RY341" s="56"/>
      <c r="RZ341" s="242">
        <f t="shared" si="2399"/>
        <v>0</v>
      </c>
      <c r="SA341" s="242">
        <f t="shared" si="2400"/>
        <v>0</v>
      </c>
      <c r="SB341" s="56"/>
      <c r="SE341" s="55">
        <f t="shared" si="2401"/>
        <v>46312</v>
      </c>
      <c r="SF341" s="56"/>
      <c r="SG341" s="242">
        <f>SUMPRODUCT(PRODUCE!$B338:$DY338,PRODUCE!$EB$61:$IY$61)</f>
        <v>0</v>
      </c>
      <c r="SH341" s="56"/>
      <c r="SI341" s="242">
        <f t="shared" si="2402"/>
        <v>0</v>
      </c>
      <c r="SJ341" s="242">
        <f t="shared" si="2403"/>
        <v>24.200000000000003</v>
      </c>
      <c r="SK341" s="56"/>
      <c r="SN341" s="55">
        <f t="shared" si="2404"/>
        <v>46312</v>
      </c>
      <c r="SO341" s="56"/>
      <c r="SP341" s="242">
        <f>SUMPRODUCT(PRODUCE!$B338:$DY338,PRODUCE!$EB$57:$IY$57)</f>
        <v>0</v>
      </c>
      <c r="SQ341" s="56"/>
      <c r="SR341" s="242">
        <f t="shared" si="2405"/>
        <v>0</v>
      </c>
      <c r="SS341" s="242">
        <f t="shared" si="2406"/>
        <v>32</v>
      </c>
      <c r="ST341" s="56"/>
      <c r="SW341" s="55">
        <f t="shared" si="2407"/>
        <v>46312</v>
      </c>
      <c r="SX341" s="56"/>
      <c r="SY341" s="242">
        <f>SUMPRODUCT(PRODUCE!$B338:$DY338,PRODUCE!$EB$57:$IY$57)</f>
        <v>0</v>
      </c>
      <c r="SZ341" s="56"/>
      <c r="TA341" s="242">
        <f t="shared" si="2408"/>
        <v>0</v>
      </c>
      <c r="TB341" s="242">
        <f t="shared" si="2409"/>
        <v>0</v>
      </c>
      <c r="TC341" s="56"/>
      <c r="TF341" s="55">
        <f t="shared" si="2410"/>
        <v>46312</v>
      </c>
      <c r="TG341" s="56"/>
      <c r="TH341" s="242">
        <f>SUMPRODUCT(PRODUCE!$B338:$DY338,PRODUCE!$EB$57:$IY$57)</f>
        <v>0</v>
      </c>
      <c r="TI341" s="56"/>
      <c r="TJ341" s="242">
        <f t="shared" si="2411"/>
        <v>0</v>
      </c>
      <c r="TK341" s="242">
        <f t="shared" si="2412"/>
        <v>0</v>
      </c>
      <c r="TL341" s="56"/>
      <c r="TO341" s="55">
        <f t="shared" si="2413"/>
        <v>46312</v>
      </c>
      <c r="TP341" s="56"/>
      <c r="TQ341" s="242">
        <f>SUMPRODUCT(PRODUCE!$B338:$DY338,PRODUCE!$EB$57:$IY$57)</f>
        <v>0</v>
      </c>
      <c r="TR341" s="56"/>
      <c r="TS341" s="242">
        <f t="shared" si="2414"/>
        <v>0</v>
      </c>
      <c r="TT341" s="242">
        <f t="shared" si="2415"/>
        <v>0</v>
      </c>
      <c r="TU341" s="56"/>
      <c r="TX341" s="55">
        <f t="shared" si="2416"/>
        <v>46312</v>
      </c>
      <c r="TY341" s="56"/>
      <c r="TZ341" s="242">
        <f>SUMPRODUCT(PRODUCE!$B338:$DY338,PRODUCE!$EB$57:$IY$57)</f>
        <v>0</v>
      </c>
      <c r="UA341" s="56"/>
      <c r="UB341" s="242">
        <f t="shared" si="2417"/>
        <v>0</v>
      </c>
      <c r="UC341" s="242">
        <f t="shared" si="2418"/>
        <v>46.799999999999983</v>
      </c>
      <c r="UD341" s="56"/>
      <c r="UG341" s="55">
        <f t="shared" si="2419"/>
        <v>46312</v>
      </c>
      <c r="UH341" s="56"/>
      <c r="UI341" s="242">
        <f>SUMPRODUCT(PRODUCE!$B338:$DY338,PRODUCE!$EB$57:$IY$57)</f>
        <v>0</v>
      </c>
      <c r="UJ341" s="56"/>
      <c r="UK341" s="242">
        <f t="shared" si="2420"/>
        <v>0</v>
      </c>
      <c r="UL341" s="242">
        <f t="shared" si="2421"/>
        <v>204</v>
      </c>
      <c r="UM341" s="56"/>
      <c r="UP341" s="55">
        <f t="shared" si="2422"/>
        <v>46312</v>
      </c>
      <c r="UQ341" s="56"/>
      <c r="UR341" s="242">
        <f>SUMPRODUCT(PRODUCE!$B338:$DY338,PRODUCE!$EB$57:$IY$57)</f>
        <v>0</v>
      </c>
      <c r="US341" s="56"/>
      <c r="UT341" s="242">
        <f t="shared" si="2423"/>
        <v>0</v>
      </c>
      <c r="UU341" s="242">
        <f t="shared" si="2424"/>
        <v>202.5</v>
      </c>
      <c r="UV341" s="56"/>
      <c r="UY341" s="55">
        <f t="shared" si="2425"/>
        <v>46312</v>
      </c>
      <c r="UZ341" s="56"/>
      <c r="VA341" s="242">
        <f>SUMPRODUCT(PRODUCE!$B338:$DY338,PRODUCE!$EB$57:$IY$57)</f>
        <v>0</v>
      </c>
      <c r="VB341" s="56"/>
      <c r="VC341" s="242">
        <f t="shared" si="2426"/>
        <v>0</v>
      </c>
      <c r="VD341" s="242">
        <f t="shared" si="2427"/>
        <v>41.600000000000023</v>
      </c>
      <c r="VE341" s="56"/>
      <c r="VH341" s="55">
        <f t="shared" si="2428"/>
        <v>46312</v>
      </c>
      <c r="VI341" s="56"/>
      <c r="VJ341" s="242">
        <f>SUMPRODUCT(PRODUCE!$B338:$DY338,PRODUCE!$EB$57:$IY$57)</f>
        <v>0</v>
      </c>
      <c r="VK341" s="56"/>
      <c r="VL341" s="242">
        <f t="shared" si="2429"/>
        <v>0</v>
      </c>
      <c r="VM341" s="242">
        <f t="shared" si="2430"/>
        <v>210</v>
      </c>
      <c r="VN341" s="56"/>
      <c r="VQ341" s="55">
        <f t="shared" si="2431"/>
        <v>46312</v>
      </c>
      <c r="VR341" s="56"/>
      <c r="VS341" s="242">
        <f>SUMPRODUCT(PRODUCE!$B338:$DY338,PRODUCE!$EB$57:$IY$57)</f>
        <v>0</v>
      </c>
      <c r="VT341" s="56"/>
      <c r="VU341" s="242">
        <f t="shared" si="2432"/>
        <v>0</v>
      </c>
      <c r="VV341" s="242">
        <f t="shared" si="2433"/>
        <v>0</v>
      </c>
      <c r="VW341" s="56"/>
      <c r="VZ341" s="55">
        <f t="shared" si="2434"/>
        <v>46312</v>
      </c>
      <c r="WA341" s="56"/>
      <c r="WB341" s="242">
        <f>SUMPRODUCT(PRODUCE!$B338:$DY338,PRODUCE!$EB$57:$IY$57)</f>
        <v>0</v>
      </c>
      <c r="WC341" s="56"/>
      <c r="WD341" s="242">
        <f t="shared" si="2435"/>
        <v>0</v>
      </c>
      <c r="WE341" s="242">
        <f t="shared" si="2436"/>
        <v>0</v>
      </c>
      <c r="WF341" s="56"/>
      <c r="WI341" s="55">
        <f t="shared" si="2437"/>
        <v>46312</v>
      </c>
      <c r="WJ341" s="56"/>
      <c r="WK341" s="242">
        <f>SUMPRODUCT(PRODUCE!$B338:$DY338,PRODUCE!$EB$57:$IY$57)</f>
        <v>0</v>
      </c>
      <c r="WL341" s="56"/>
      <c r="WM341" s="242">
        <f t="shared" si="2438"/>
        <v>0</v>
      </c>
      <c r="WN341" s="242">
        <f t="shared" si="2439"/>
        <v>1057</v>
      </c>
      <c r="WO341" s="56"/>
      <c r="WR341" s="55">
        <f t="shared" si="2440"/>
        <v>46312</v>
      </c>
      <c r="WS341" s="56"/>
      <c r="WT341" s="242">
        <f>SUMPRODUCT(PRODUCE!$B338:$DY338,PRODUCE!$EB$57:$IY$57)</f>
        <v>0</v>
      </c>
      <c r="WU341" s="56"/>
      <c r="WV341" s="242">
        <f t="shared" si="2441"/>
        <v>0</v>
      </c>
      <c r="WW341" s="242">
        <f t="shared" si="2442"/>
        <v>0</v>
      </c>
      <c r="WX341" s="56"/>
      <c r="XA341" s="55">
        <f t="shared" si="2443"/>
        <v>46312</v>
      </c>
      <c r="XB341" s="56"/>
      <c r="XC341" s="242">
        <f>SUMPRODUCT(PRODUCE!$B338:$DY338,PRODUCE!$EB$57:$IY$57)</f>
        <v>0</v>
      </c>
      <c r="XD341" s="56"/>
      <c r="XE341" s="242">
        <f t="shared" si="2444"/>
        <v>0</v>
      </c>
      <c r="XF341" s="242">
        <f t="shared" si="2445"/>
        <v>7507</v>
      </c>
      <c r="XG341" s="56"/>
      <c r="XJ341" s="55">
        <f t="shared" si="2446"/>
        <v>46312</v>
      </c>
      <c r="XK341" s="56"/>
      <c r="XL341" s="242">
        <f>SUMPRODUCT(PRODUCE!$B338:$DY338,PRODUCE!$EB$57:$IY$57)</f>
        <v>0</v>
      </c>
      <c r="XM341" s="56"/>
      <c r="XN341" s="242">
        <f t="shared" si="2447"/>
        <v>0</v>
      </c>
      <c r="XO341" s="242">
        <f t="shared" si="2448"/>
        <v>4252</v>
      </c>
      <c r="XP341" s="56"/>
      <c r="XS341" s="55">
        <f t="shared" si="2449"/>
        <v>46312</v>
      </c>
      <c r="XT341" s="56"/>
      <c r="XU341" s="242">
        <f>SUMPRODUCT(PRODUCE!$B338:$DY338,PRODUCE!$EB$57:$IY$57)</f>
        <v>0</v>
      </c>
      <c r="XV341" s="56"/>
      <c r="XW341" s="242">
        <f t="shared" si="2450"/>
        <v>0</v>
      </c>
      <c r="XX341" s="242">
        <f t="shared" si="2451"/>
        <v>2179</v>
      </c>
      <c r="XY341" s="56"/>
      <c r="YB341" s="55">
        <f t="shared" si="2452"/>
        <v>46312</v>
      </c>
      <c r="YC341" s="56"/>
      <c r="YD341" s="242">
        <f>SUMPRODUCT(PRODUCE!$B338:$DY338,PRODUCE!$EB$57:$IY$57)</f>
        <v>0</v>
      </c>
      <c r="YE341" s="56"/>
      <c r="YF341" s="242">
        <f t="shared" si="2453"/>
        <v>0</v>
      </c>
      <c r="YG341" s="242">
        <f t="shared" si="2454"/>
        <v>4019</v>
      </c>
      <c r="YH341" s="56"/>
      <c r="YK341" s="55">
        <f t="shared" si="2455"/>
        <v>46312</v>
      </c>
      <c r="YL341" s="56"/>
      <c r="YM341" s="242">
        <f>SUMPRODUCT(PRODUCE!$B338:$DY338,PRODUCE!$EB$57:$IY$57)</f>
        <v>0</v>
      </c>
      <c r="YN341" s="56"/>
      <c r="YO341" s="242">
        <f t="shared" si="2456"/>
        <v>0</v>
      </c>
      <c r="YP341" s="242">
        <f t="shared" si="2457"/>
        <v>-218</v>
      </c>
      <c r="YQ341" s="56"/>
      <c r="YT341" s="55">
        <f t="shared" si="2458"/>
        <v>46312</v>
      </c>
      <c r="YU341" s="56"/>
      <c r="YV341" s="242">
        <f>SUMPRODUCT(PRODUCE!$B338:$DY338,PRODUCE!$EB$57:$IY$57)</f>
        <v>0</v>
      </c>
      <c r="YW341" s="56"/>
      <c r="YX341" s="242">
        <f t="shared" si="2459"/>
        <v>0</v>
      </c>
      <c r="YY341" s="242">
        <f t="shared" si="2460"/>
        <v>0</v>
      </c>
      <c r="YZ341" s="56"/>
      <c r="ZC341" s="55">
        <f t="shared" si="2461"/>
        <v>46312</v>
      </c>
      <c r="ZD341" s="56"/>
      <c r="ZE341" s="242">
        <f>SUMPRODUCT(PRODUCE!$B338:$DY338,PRODUCE!$EB$57:$IY$57)</f>
        <v>0</v>
      </c>
      <c r="ZF341" s="56"/>
      <c r="ZG341" s="242">
        <f t="shared" si="2462"/>
        <v>0</v>
      </c>
      <c r="ZH341" s="242">
        <f t="shared" si="2463"/>
        <v>0</v>
      </c>
      <c r="ZI341" s="56"/>
      <c r="ZL341" s="55">
        <f t="shared" si="2464"/>
        <v>46312</v>
      </c>
      <c r="ZM341" s="56"/>
      <c r="ZN341" s="242">
        <f>SUMPRODUCT(PRODUCE!$B338:$DY338,PRODUCE!$EB$57:$IY$57)</f>
        <v>0</v>
      </c>
      <c r="ZO341" s="56"/>
      <c r="ZP341" s="242">
        <f t="shared" si="2465"/>
        <v>0</v>
      </c>
      <c r="ZQ341" s="242">
        <f t="shared" si="2466"/>
        <v>0</v>
      </c>
      <c r="ZR341" s="56"/>
      <c r="ZU341" s="55">
        <f t="shared" si="2467"/>
        <v>46312</v>
      </c>
      <c r="ZV341" s="56"/>
      <c r="ZW341" s="242">
        <f>SUMPRODUCT(PRODUCE!$B338:$DY338,PRODUCE!$EB$57:$IY$57)</f>
        <v>0</v>
      </c>
      <c r="ZX341" s="56"/>
      <c r="ZY341" s="242">
        <f t="shared" si="2468"/>
        <v>0</v>
      </c>
      <c r="ZZ341" s="242">
        <f t="shared" si="2469"/>
        <v>0</v>
      </c>
      <c r="AAA341" s="56"/>
      <c r="AAD341" s="55">
        <f t="shared" si="2470"/>
        <v>46312</v>
      </c>
      <c r="AAE341" s="56"/>
      <c r="AAF341" s="242">
        <f>SUMPRODUCT(PRODUCE!$B338:$DY338,PRODUCE!$EB$57:$IY$57)</f>
        <v>0</v>
      </c>
      <c r="AAG341" s="56"/>
      <c r="AAH341" s="242">
        <f t="shared" si="2471"/>
        <v>0</v>
      </c>
      <c r="AAI341" s="242">
        <f t="shared" si="2472"/>
        <v>0</v>
      </c>
      <c r="AAJ341" s="56"/>
      <c r="AAM341" s="55">
        <f t="shared" si="2473"/>
        <v>46312</v>
      </c>
      <c r="AAN341" s="56"/>
      <c r="AAO341" s="242">
        <f>SUMPRODUCT(PRODUCE!$B338:$DY338,PRODUCE!$EB$57:$IY$57)</f>
        <v>0</v>
      </c>
      <c r="AAP341" s="56"/>
      <c r="AAQ341" s="242">
        <f t="shared" si="2474"/>
        <v>0</v>
      </c>
      <c r="AAR341" s="242">
        <f t="shared" si="2475"/>
        <v>0</v>
      </c>
      <c r="AAS341" s="56"/>
      <c r="AAV341" s="55">
        <f t="shared" si="2476"/>
        <v>46312</v>
      </c>
      <c r="AAW341" s="56"/>
      <c r="AAX341" s="242">
        <f>SUMPRODUCT(PRODUCE!$B338:$DY338,PRODUCE!$EB$57:$IY$57)</f>
        <v>0</v>
      </c>
      <c r="AAY341" s="56"/>
      <c r="AAZ341" s="242">
        <f t="shared" si="2477"/>
        <v>0</v>
      </c>
      <c r="ABA341" s="242">
        <f t="shared" si="2478"/>
        <v>0</v>
      </c>
      <c r="ABB341" s="56"/>
      <c r="ABE341" s="55">
        <f t="shared" si="2479"/>
        <v>46312</v>
      </c>
      <c r="ABF341" s="56"/>
      <c r="ABG341" s="242">
        <f>SUMPRODUCT(PRODUCE!$B338:$DY338,PRODUCE!$EB$57:$IY$57)</f>
        <v>0</v>
      </c>
      <c r="ABH341" s="56"/>
      <c r="ABI341" s="242">
        <f t="shared" si="2480"/>
        <v>0</v>
      </c>
      <c r="ABJ341" s="242">
        <f t="shared" si="2481"/>
        <v>0</v>
      </c>
      <c r="ABK341" s="56"/>
    </row>
    <row r="342" spans="2:739" s="54" customFormat="1" ht="15" customHeight="1" outlineLevel="1">
      <c r="B342" s="478"/>
      <c r="C342" s="55">
        <v>46313</v>
      </c>
      <c r="D342" s="56"/>
      <c r="E342" s="57">
        <f>SUMPRODUCT(PRODUCE!$B339:$DY339,PRODUCE!$EB$7:$IY$7)</f>
        <v>0</v>
      </c>
      <c r="F342" s="56"/>
      <c r="G342" s="57">
        <f t="shared" si="2237"/>
        <v>0</v>
      </c>
      <c r="H342" s="57">
        <f t="shared" si="2238"/>
        <v>236936.6</v>
      </c>
      <c r="I342" s="289"/>
      <c r="L342" s="55">
        <f t="shared" si="2239"/>
        <v>46313</v>
      </c>
      <c r="M342" s="56"/>
      <c r="N342" s="59">
        <f>SUMPRODUCT(PRODUCE!$B339:$DY339,PRODUCE!$EB$8:$IY$8)</f>
        <v>0</v>
      </c>
      <c r="O342" s="56"/>
      <c r="P342" s="59">
        <f t="shared" si="2240"/>
        <v>0</v>
      </c>
      <c r="Q342" s="59">
        <f t="shared" si="2241"/>
        <v>53017.600000000071</v>
      </c>
      <c r="R342" s="56"/>
      <c r="U342" s="55">
        <f t="shared" si="2242"/>
        <v>46313</v>
      </c>
      <c r="V342" s="56"/>
      <c r="W342" s="60">
        <f>SUMPRODUCT(PRODUCE!$B339:$DY339,PRODUCE!$EB$9:$IY$9)</f>
        <v>0</v>
      </c>
      <c r="X342" s="56"/>
      <c r="Y342" s="60">
        <f t="shared" si="2243"/>
        <v>0</v>
      </c>
      <c r="Z342" s="60">
        <f t="shared" si="2244"/>
        <v>42674.199999999968</v>
      </c>
      <c r="AA342" s="56"/>
      <c r="AD342" s="55">
        <f t="shared" si="2245"/>
        <v>46313</v>
      </c>
      <c r="AE342" s="56"/>
      <c r="AF342" s="61">
        <f>SUMPRODUCT(PRODUCE!$B339:$DY339,PRODUCE!$EB$10:$IY$10)</f>
        <v>0</v>
      </c>
      <c r="AG342" s="56"/>
      <c r="AH342" s="61">
        <f t="shared" si="2246"/>
        <v>0</v>
      </c>
      <c r="AI342" s="61">
        <f t="shared" si="2247"/>
        <v>4522.2000000000189</v>
      </c>
      <c r="AJ342" s="56"/>
      <c r="AM342" s="55">
        <f t="shared" si="2248"/>
        <v>46313</v>
      </c>
      <c r="AN342" s="422"/>
      <c r="AO342" s="444">
        <f>SUMPRODUCT(PRODUCE!$B339:$DY339,PRODUCE!$EB$11:$IY$11)</f>
        <v>0</v>
      </c>
      <c r="AP342" s="422"/>
      <c r="AQ342" s="444">
        <f t="shared" si="2249"/>
        <v>0</v>
      </c>
      <c r="AR342" s="444">
        <f t="shared" si="2250"/>
        <v>0</v>
      </c>
      <c r="AS342" s="56"/>
      <c r="AV342" s="55">
        <f t="shared" si="2251"/>
        <v>46313</v>
      </c>
      <c r="AW342" s="56"/>
      <c r="AX342" s="62">
        <f>SUMPRODUCT(PRODUCE!$B339:$DY339,PRODUCE!$EB$12:$IY$12)</f>
        <v>0</v>
      </c>
      <c r="AY342" s="56"/>
      <c r="AZ342" s="62">
        <f t="shared" si="2252"/>
        <v>0</v>
      </c>
      <c r="BA342" s="62">
        <f t="shared" si="2253"/>
        <v>124.99999999999523</v>
      </c>
      <c r="BB342" s="56"/>
      <c r="BE342" s="55">
        <f t="shared" si="2254"/>
        <v>46313</v>
      </c>
      <c r="BF342" s="56"/>
      <c r="BG342" s="63">
        <f>SUMPRODUCT(PRODUCE!$B339:$DY339,PRODUCE!$EB$13:$IY$13)</f>
        <v>0</v>
      </c>
      <c r="BH342" s="56"/>
      <c r="BI342" s="63">
        <f t="shared" si="2255"/>
        <v>0</v>
      </c>
      <c r="BJ342" s="63">
        <f t="shared" si="2256"/>
        <v>26151.899999999998</v>
      </c>
      <c r="BK342" s="56"/>
      <c r="BN342" s="55">
        <f t="shared" si="2257"/>
        <v>46313</v>
      </c>
      <c r="BO342" s="56"/>
      <c r="BP342" s="64">
        <f>SUMPRODUCT(PRODUCE!$B339:$DY339,PRODUCE!$EB$14:$IY$14)</f>
        <v>0</v>
      </c>
      <c r="BQ342" s="56"/>
      <c r="BR342" s="64">
        <f t="shared" si="2258"/>
        <v>0</v>
      </c>
      <c r="BS342" s="64">
        <f t="shared" si="2259"/>
        <v>0</v>
      </c>
      <c r="BT342" s="56"/>
      <c r="BW342" s="55">
        <f t="shared" si="2260"/>
        <v>46313</v>
      </c>
      <c r="BX342" s="56"/>
      <c r="BY342" s="65">
        <f>SUMPRODUCT(PRODUCE!$B339:$DY339,PRODUCE!$EB$15:$IY$15)</f>
        <v>0</v>
      </c>
      <c r="BZ342" s="56"/>
      <c r="CA342" s="65">
        <f t="shared" si="2261"/>
        <v>0</v>
      </c>
      <c r="CB342" s="65">
        <f t="shared" si="2262"/>
        <v>2097.3399999999992</v>
      </c>
      <c r="CC342" s="56"/>
      <c r="CF342" s="55">
        <f t="shared" si="2263"/>
        <v>46313</v>
      </c>
      <c r="CG342" s="56"/>
      <c r="CH342" s="66">
        <f>SUMPRODUCT(PRODUCE!$B339:$DY339,PRODUCE!$EB$16:$IY$16)</f>
        <v>0</v>
      </c>
      <c r="CI342" s="56"/>
      <c r="CJ342" s="66">
        <f t="shared" si="2264"/>
        <v>0</v>
      </c>
      <c r="CK342" s="66">
        <f t="shared" si="2265"/>
        <v>-10277.079999999998</v>
      </c>
      <c r="CL342" s="56"/>
      <c r="CO342" s="55">
        <f t="shared" si="2266"/>
        <v>46313</v>
      </c>
      <c r="CP342" s="422"/>
      <c r="CQ342" s="470">
        <f>SUMPRODUCT(PRODUCE!$B339:$DY339,PRODUCE!$EB$17:$IY$17)</f>
        <v>0</v>
      </c>
      <c r="CR342" s="422"/>
      <c r="CS342" s="470">
        <f t="shared" si="2267"/>
        <v>0</v>
      </c>
      <c r="CT342" s="470">
        <f t="shared" si="2268"/>
        <v>0</v>
      </c>
      <c r="CU342" s="56"/>
      <c r="CX342" s="55">
        <f t="shared" si="2269"/>
        <v>46313</v>
      </c>
      <c r="CY342" s="56"/>
      <c r="CZ342" s="133">
        <f>SUMPRODUCT(PRODUCE!$B339:$DY339,PRODUCE!$EB$18:$IY$18)</f>
        <v>0</v>
      </c>
      <c r="DA342" s="56"/>
      <c r="DB342" s="133">
        <f t="shared" si="2270"/>
        <v>0</v>
      </c>
      <c r="DC342" s="133">
        <f t="shared" si="2271"/>
        <v>27438.200000000012</v>
      </c>
      <c r="DD342" s="56"/>
      <c r="DG342" s="55">
        <f t="shared" si="2272"/>
        <v>46313</v>
      </c>
      <c r="DH342" s="56"/>
      <c r="DI342" s="147">
        <f>SUMPRODUCT(PRODUCE!$B339:$DY339,PRODUCE!$EB$19:$IY$19)</f>
        <v>0</v>
      </c>
      <c r="DJ342" s="56"/>
      <c r="DK342" s="147">
        <f t="shared" si="2273"/>
        <v>0</v>
      </c>
      <c r="DL342" s="147">
        <f t="shared" si="2274"/>
        <v>18782.299999999981</v>
      </c>
      <c r="DM342" s="56"/>
      <c r="DP342" s="55">
        <f t="shared" si="2275"/>
        <v>46313</v>
      </c>
      <c r="DQ342" s="56"/>
      <c r="DR342" s="57">
        <f>SUMPRODUCT(PRODUCE!$B339:$DY339,PRODUCE!$EB$20:$IY$20)</f>
        <v>0</v>
      </c>
      <c r="DS342" s="56"/>
      <c r="DT342" s="57">
        <f t="shared" si="2276"/>
        <v>0</v>
      </c>
      <c r="DU342" s="57">
        <f t="shared" si="2277"/>
        <v>5800</v>
      </c>
      <c r="DV342" s="56"/>
      <c r="DY342" s="55">
        <f t="shared" si="2278"/>
        <v>46313</v>
      </c>
      <c r="DZ342" s="56"/>
      <c r="EA342" s="157">
        <f>SUMPRODUCT(PRODUCE!$B339:$DY339,PRODUCE!$EB$21:$IY$21)</f>
        <v>0</v>
      </c>
      <c r="EB342" s="56"/>
      <c r="EC342" s="157">
        <f t="shared" si="2279"/>
        <v>0</v>
      </c>
      <c r="ED342" s="157">
        <f t="shared" si="2280"/>
        <v>0</v>
      </c>
      <c r="EE342" s="56"/>
      <c r="EH342" s="55">
        <f t="shared" si="2281"/>
        <v>46313</v>
      </c>
      <c r="EI342" s="56"/>
      <c r="EJ342" s="162">
        <f>SUMPRODUCT(PRODUCE!$B339:$DY339,PRODUCE!$EB$22:$IY$22)</f>
        <v>0</v>
      </c>
      <c r="EK342" s="56"/>
      <c r="EL342" s="162">
        <f t="shared" si="2282"/>
        <v>0</v>
      </c>
      <c r="EM342" s="162">
        <f t="shared" si="2283"/>
        <v>0</v>
      </c>
      <c r="EN342" s="56"/>
      <c r="EQ342" s="55">
        <f t="shared" si="2284"/>
        <v>46313</v>
      </c>
      <c r="ER342" s="56"/>
      <c r="ES342" s="135">
        <f>SUMPRODUCT(PRODUCE!$B339:$DY339,PRODUCE!$EB$23:$IY$23)</f>
        <v>0</v>
      </c>
      <c r="ET342" s="56"/>
      <c r="EU342" s="135">
        <f t="shared" si="2285"/>
        <v>0</v>
      </c>
      <c r="EV342" s="135">
        <f t="shared" si="2286"/>
        <v>0</v>
      </c>
      <c r="EW342" s="56"/>
      <c r="EZ342" s="55">
        <f t="shared" si="2287"/>
        <v>46313</v>
      </c>
      <c r="FA342" s="56"/>
      <c r="FB342" s="175">
        <f>SUMPRODUCT(PRODUCE!$B339:$DY339,PRODUCE!$EB$24:$IY$24)</f>
        <v>0</v>
      </c>
      <c r="FC342" s="56"/>
      <c r="FD342" s="175">
        <f t="shared" si="2288"/>
        <v>0</v>
      </c>
      <c r="FE342" s="175">
        <f t="shared" si="2289"/>
        <v>0</v>
      </c>
      <c r="FF342" s="56"/>
      <c r="FI342" s="55">
        <f t="shared" si="2290"/>
        <v>46313</v>
      </c>
      <c r="FJ342" s="56"/>
      <c r="FK342" s="183">
        <f>SUMPRODUCT(PRODUCE!$B339:$DY339,PRODUCE!$EB$25:$IY$25)</f>
        <v>0</v>
      </c>
      <c r="FL342" s="56"/>
      <c r="FM342" s="183">
        <f t="shared" si="2291"/>
        <v>0</v>
      </c>
      <c r="FN342" s="183">
        <f t="shared" si="2292"/>
        <v>0</v>
      </c>
      <c r="FO342" s="56"/>
      <c r="FR342" s="55">
        <f t="shared" si="2293"/>
        <v>46313</v>
      </c>
      <c r="FS342" s="56"/>
      <c r="FT342" s="186">
        <f>SUMPRODUCT(PRODUCE!$B339:$DY339,PRODUCE!$EB$26:$IY$26)</f>
        <v>0</v>
      </c>
      <c r="FU342" s="56"/>
      <c r="FV342" s="186">
        <f t="shared" si="2294"/>
        <v>0</v>
      </c>
      <c r="FW342" s="186">
        <f t="shared" si="2295"/>
        <v>2020</v>
      </c>
      <c r="FX342" s="56"/>
      <c r="GA342" s="55">
        <f t="shared" si="2296"/>
        <v>46313</v>
      </c>
      <c r="GB342" s="56"/>
      <c r="GC342" s="137">
        <f>SUMPRODUCT(PRODUCE!$B339:$DY339,PRODUCE!$EB$27:$IY$27)</f>
        <v>0</v>
      </c>
      <c r="GD342" s="56"/>
      <c r="GE342" s="137">
        <f t="shared" si="2297"/>
        <v>0</v>
      </c>
      <c r="GF342" s="137">
        <f t="shared" si="2298"/>
        <v>960</v>
      </c>
      <c r="GG342" s="56"/>
      <c r="GI342" s="23"/>
      <c r="GJ342" s="55">
        <f t="shared" si="2299"/>
        <v>46313</v>
      </c>
      <c r="GK342" s="56"/>
      <c r="GL342" s="199">
        <f>SUMPRODUCT(PRODUCE!$B339:$DY339,PRODUCE!$EB$28:$IY$28)</f>
        <v>0</v>
      </c>
      <c r="GM342" s="56"/>
      <c r="GN342" s="199">
        <f t="shared" si="2300"/>
        <v>0</v>
      </c>
      <c r="GO342" s="199">
        <f t="shared" si="2301"/>
        <v>1760</v>
      </c>
      <c r="GP342" s="56"/>
      <c r="GS342" s="55">
        <f t="shared" si="2302"/>
        <v>46313</v>
      </c>
      <c r="GT342" s="56"/>
      <c r="GU342" s="195">
        <f>SUMPRODUCT(PRODUCE!$B339:$DY339,PRODUCE!$EB$29:$IY$29)</f>
        <v>0</v>
      </c>
      <c r="GV342" s="56"/>
      <c r="GW342" s="195">
        <f t="shared" si="2303"/>
        <v>0</v>
      </c>
      <c r="GX342" s="195">
        <f t="shared" si="2304"/>
        <v>400</v>
      </c>
      <c r="GY342" s="56"/>
      <c r="HB342" s="55">
        <f t="shared" si="2305"/>
        <v>46313</v>
      </c>
      <c r="HC342" s="56"/>
      <c r="HD342" s="191">
        <f>SUMPRODUCT(PRODUCE!$B339:$DY339,PRODUCE!$EB$30:$IY$30)</f>
        <v>0</v>
      </c>
      <c r="HE342" s="56"/>
      <c r="HF342" s="191">
        <f t="shared" si="2306"/>
        <v>0</v>
      </c>
      <c r="HG342" s="191">
        <f t="shared" si="2307"/>
        <v>3600</v>
      </c>
      <c r="HH342" s="56"/>
      <c r="HK342" s="55">
        <f t="shared" si="2308"/>
        <v>46313</v>
      </c>
      <c r="HL342" s="56"/>
      <c r="HM342" s="63">
        <f>SUMPRODUCT(PRODUCE!$B339:$DY339,PRODUCE!$EB$31:$IY$31)</f>
        <v>0</v>
      </c>
      <c r="HN342" s="56"/>
      <c r="HO342" s="63">
        <f t="shared" si="2309"/>
        <v>0</v>
      </c>
      <c r="HP342" s="63">
        <f t="shared" si="2310"/>
        <v>0</v>
      </c>
      <c r="HQ342" s="56"/>
      <c r="HU342" s="55">
        <f t="shared" si="2311"/>
        <v>46313</v>
      </c>
      <c r="HV342" s="56"/>
      <c r="HW342" s="242">
        <f>SUMPRODUCT(PRODUCE!$B339:$DY339,PRODUCE!$EB$32:$IY$32)</f>
        <v>0</v>
      </c>
      <c r="HX342" s="56"/>
      <c r="HY342" s="242">
        <f t="shared" si="2312"/>
        <v>0</v>
      </c>
      <c r="HZ342" s="242">
        <f t="shared" si="2313"/>
        <v>6120</v>
      </c>
      <c r="IA342" s="56"/>
      <c r="ID342" s="55">
        <f t="shared" si="2314"/>
        <v>46313</v>
      </c>
      <c r="IE342" s="56"/>
      <c r="IF342" s="242">
        <f>SUMPRODUCT(PRODUCE!$B339:$DY339,PRODUCE!$EB$33:$IY$33)</f>
        <v>0</v>
      </c>
      <c r="IG342" s="56"/>
      <c r="IH342" s="242">
        <f t="shared" si="2315"/>
        <v>0</v>
      </c>
      <c r="II342" s="242">
        <f t="shared" si="2316"/>
        <v>0</v>
      </c>
      <c r="IJ342" s="56"/>
      <c r="IM342" s="55">
        <f t="shared" si="2317"/>
        <v>46313</v>
      </c>
      <c r="IN342" s="56"/>
      <c r="IO342" s="242">
        <f>SUMPRODUCT(PRODUCE!$B339:$DY339,PRODUCE!$EB$34:$IY$34)</f>
        <v>0</v>
      </c>
      <c r="IP342" s="56"/>
      <c r="IQ342" s="242">
        <f t="shared" si="2318"/>
        <v>0</v>
      </c>
      <c r="IR342" s="242">
        <f t="shared" si="2319"/>
        <v>0</v>
      </c>
      <c r="IS342" s="56"/>
      <c r="IV342" s="55">
        <f t="shared" si="2320"/>
        <v>46313</v>
      </c>
      <c r="IW342" s="56"/>
      <c r="IX342" s="242">
        <f>SUMPRODUCT(PRODUCE!$B339:$DY339,PRODUCE!$EB$35:$IY$35)</f>
        <v>0</v>
      </c>
      <c r="IY342" s="56"/>
      <c r="IZ342" s="242">
        <f t="shared" si="2321"/>
        <v>0</v>
      </c>
      <c r="JA342" s="242">
        <f t="shared" si="2322"/>
        <v>2820</v>
      </c>
      <c r="JB342" s="56"/>
      <c r="JE342" s="55">
        <f t="shared" si="2323"/>
        <v>46313</v>
      </c>
      <c r="JF342" s="56"/>
      <c r="JG342" s="242">
        <f>SUMPRODUCT(PRODUCE!$B339:$DY339,PRODUCE!$EB$36:$IY$36)</f>
        <v>0</v>
      </c>
      <c r="JH342" s="56"/>
      <c r="JI342" s="242">
        <f t="shared" si="2324"/>
        <v>0</v>
      </c>
      <c r="JJ342" s="242">
        <f t="shared" si="2325"/>
        <v>0</v>
      </c>
      <c r="JK342" s="56"/>
      <c r="JN342" s="55">
        <f t="shared" si="2326"/>
        <v>46313</v>
      </c>
      <c r="JO342" s="56"/>
      <c r="JP342" s="242">
        <f>SUMPRODUCT(PRODUCE!$B339:$DY339,PRODUCE!$EB$37:$IY$37)</f>
        <v>0</v>
      </c>
      <c r="JQ342" s="56"/>
      <c r="JR342" s="242">
        <f t="shared" si="2327"/>
        <v>0</v>
      </c>
      <c r="JS342" s="242">
        <f t="shared" si="2328"/>
        <v>0</v>
      </c>
      <c r="JT342" s="56"/>
      <c r="JW342" s="55">
        <f t="shared" si="2329"/>
        <v>46313</v>
      </c>
      <c r="JX342" s="56"/>
      <c r="JY342" s="242">
        <f>SUMPRODUCT(PRODUCE!$B339:$DY339,PRODUCE!$EB$38:$IY$38)</f>
        <v>0</v>
      </c>
      <c r="JZ342" s="56"/>
      <c r="KA342" s="242">
        <f t="shared" si="2330"/>
        <v>0</v>
      </c>
      <c r="KB342" s="242">
        <f t="shared" si="2331"/>
        <v>2540</v>
      </c>
      <c r="KC342" s="56"/>
      <c r="KF342" s="55">
        <f t="shared" si="2332"/>
        <v>46313</v>
      </c>
      <c r="KG342" s="56"/>
      <c r="KH342" s="242">
        <f>SUMPRODUCT(PRODUCE!$B339:$DY339,PRODUCE!$EB$39:$IY$39)</f>
        <v>0</v>
      </c>
      <c r="KI342" s="56"/>
      <c r="KJ342" s="242">
        <f t="shared" si="2333"/>
        <v>0</v>
      </c>
      <c r="KK342" s="242">
        <f t="shared" si="2334"/>
        <v>2359.5</v>
      </c>
      <c r="KL342" s="56"/>
      <c r="KO342" s="55">
        <f t="shared" si="2335"/>
        <v>46313</v>
      </c>
      <c r="KP342" s="56"/>
      <c r="KQ342" s="242">
        <f>SUMPRODUCT(PRODUCE!$B339:$DY339,PRODUCE!$EB$40:$IY$40)</f>
        <v>0</v>
      </c>
      <c r="KR342" s="56"/>
      <c r="KS342" s="242">
        <f t="shared" si="2336"/>
        <v>0</v>
      </c>
      <c r="KT342" s="242">
        <f t="shared" si="2337"/>
        <v>1890</v>
      </c>
      <c r="KU342" s="56"/>
      <c r="KW342" s="23"/>
      <c r="KX342" s="55">
        <f t="shared" si="2338"/>
        <v>46313</v>
      </c>
      <c r="KY342" s="56"/>
      <c r="KZ342" s="242">
        <f>SUMPRODUCT(PRODUCE!$B339:$DY339,PRODUCE!$EB$41:$IY$41)</f>
        <v>0</v>
      </c>
      <c r="LA342" s="56"/>
      <c r="LB342" s="242">
        <f t="shared" si="2339"/>
        <v>0</v>
      </c>
      <c r="LC342" s="242">
        <f t="shared" si="2340"/>
        <v>3690</v>
      </c>
      <c r="LD342" s="56"/>
      <c r="LG342" s="55">
        <f t="shared" si="2341"/>
        <v>46313</v>
      </c>
      <c r="LH342" s="56"/>
      <c r="LI342" s="242">
        <f>SUMPRODUCT(PRODUCE!$B339:$DY339,PRODUCE!$EB$42:$IY$42)</f>
        <v>0</v>
      </c>
      <c r="LJ342" s="56"/>
      <c r="LK342" s="242">
        <f t="shared" si="2342"/>
        <v>0</v>
      </c>
      <c r="LL342" s="242">
        <f t="shared" si="2343"/>
        <v>4000</v>
      </c>
      <c r="LM342" s="56"/>
      <c r="LP342" s="55">
        <f t="shared" si="2344"/>
        <v>46313</v>
      </c>
      <c r="LQ342" s="56"/>
      <c r="LR342" s="242">
        <f>SUMPRODUCT(PRODUCE!$B339:$DY339,PRODUCE!$EB$43:$IY$43)</f>
        <v>0</v>
      </c>
      <c r="LS342" s="56"/>
      <c r="LT342" s="242">
        <f t="shared" si="2345"/>
        <v>0</v>
      </c>
      <c r="LU342" s="242">
        <f t="shared" si="2346"/>
        <v>0</v>
      </c>
      <c r="LV342" s="56"/>
      <c r="LY342" s="55">
        <f t="shared" si="2347"/>
        <v>46313</v>
      </c>
      <c r="LZ342" s="56"/>
      <c r="MA342" s="242">
        <f>SUMPRODUCT(PRODUCE!$B339:$DY339,PRODUCE!$EB$44:$IY$44)</f>
        <v>0</v>
      </c>
      <c r="MB342" s="56"/>
      <c r="MC342" s="242">
        <f t="shared" si="2348"/>
        <v>0</v>
      </c>
      <c r="MD342" s="242">
        <f t="shared" si="2349"/>
        <v>0</v>
      </c>
      <c r="ME342" s="56"/>
      <c r="MH342" s="55">
        <f t="shared" si="2350"/>
        <v>46313</v>
      </c>
      <c r="MI342" s="56"/>
      <c r="MJ342" s="242">
        <f>SUMPRODUCT(PRODUCE!$B339:$DY339,PRODUCE!$EB$45:$IY$45)</f>
        <v>0</v>
      </c>
      <c r="MK342" s="56"/>
      <c r="ML342" s="242">
        <f t="shared" si="2351"/>
        <v>0</v>
      </c>
      <c r="MM342" s="242">
        <f t="shared" si="2352"/>
        <v>0</v>
      </c>
      <c r="MN342" s="56"/>
      <c r="MQ342" s="55">
        <f t="shared" si="2353"/>
        <v>46313</v>
      </c>
      <c r="MR342" s="56"/>
      <c r="MS342" s="242">
        <f>SUMPRODUCT(PRODUCE!$B339:$DY339,PRODUCE!$EB$46:$IY$46)</f>
        <v>0</v>
      </c>
      <c r="MT342" s="56"/>
      <c r="MU342" s="242">
        <f t="shared" si="2354"/>
        <v>0</v>
      </c>
      <c r="MV342" s="242">
        <f t="shared" si="2355"/>
        <v>1625</v>
      </c>
      <c r="MW342" s="56"/>
      <c r="MZ342" s="55">
        <f t="shared" si="2356"/>
        <v>46313</v>
      </c>
      <c r="NA342" s="56"/>
      <c r="NB342" s="242">
        <f>SUMPRODUCT(PRODUCE!$B339:$DY339,PRODUCE!$EB$47:$IY$47)</f>
        <v>0</v>
      </c>
      <c r="NC342" s="56"/>
      <c r="ND342" s="242">
        <f t="shared" si="2357"/>
        <v>0</v>
      </c>
      <c r="NE342" s="242">
        <f t="shared" si="2358"/>
        <v>0</v>
      </c>
      <c r="NF342" s="56"/>
      <c r="NI342" s="55">
        <f t="shared" si="2359"/>
        <v>46313</v>
      </c>
      <c r="NJ342" s="56"/>
      <c r="NK342" s="242">
        <f>SUMPRODUCT(PRODUCE!$B339:$DY339,PRODUCE!$EB$48:$IY$48)</f>
        <v>0</v>
      </c>
      <c r="NL342" s="56"/>
      <c r="NM342" s="242">
        <f t="shared" si="2360"/>
        <v>0</v>
      </c>
      <c r="NN342" s="242">
        <f t="shared" si="2361"/>
        <v>1127</v>
      </c>
      <c r="NO342" s="56"/>
      <c r="NR342" s="55">
        <f t="shared" si="2362"/>
        <v>46313</v>
      </c>
      <c r="NS342" s="56"/>
      <c r="NT342" s="242">
        <f>SUMPRODUCT(PRODUCE!$B339:$DY339,PRODUCE!$EB$49:$IY$49)</f>
        <v>0</v>
      </c>
      <c r="NU342" s="56"/>
      <c r="NV342" s="242">
        <f t="shared" si="2363"/>
        <v>0</v>
      </c>
      <c r="NW342" s="242">
        <f t="shared" si="2364"/>
        <v>3111.9999999999995</v>
      </c>
      <c r="NX342" s="56"/>
      <c r="OA342" s="55">
        <f t="shared" si="2365"/>
        <v>46313</v>
      </c>
      <c r="OB342" s="56"/>
      <c r="OC342" s="242">
        <f>SUMPRODUCT(PRODUCE!$B339:$DY339,PRODUCE!$EB$50:$IY$50)</f>
        <v>0</v>
      </c>
      <c r="OD342" s="56"/>
      <c r="OE342" s="242">
        <f t="shared" si="2366"/>
        <v>0</v>
      </c>
      <c r="OF342" s="242">
        <f t="shared" si="2367"/>
        <v>1680.5</v>
      </c>
      <c r="OG342" s="56"/>
      <c r="OJ342" s="55">
        <f t="shared" si="2368"/>
        <v>46313</v>
      </c>
      <c r="OK342" s="56"/>
      <c r="OL342" s="242">
        <f>SUMPRODUCT(PRODUCE!$B339:$DY339,PRODUCE!$EB$51:$IY$51)</f>
        <v>0</v>
      </c>
      <c r="OM342" s="56"/>
      <c r="ON342" s="242">
        <f t="shared" si="2369"/>
        <v>0</v>
      </c>
      <c r="OO342" s="242">
        <f t="shared" si="2370"/>
        <v>0</v>
      </c>
      <c r="OP342" s="56"/>
      <c r="OS342" s="55">
        <f t="shared" si="2371"/>
        <v>46313</v>
      </c>
      <c r="OT342" s="56"/>
      <c r="OU342" s="242">
        <f>SUMPRODUCT(PRODUCE!$B339:$DY339,PRODUCE!$EB$52:$IY$52)</f>
        <v>0</v>
      </c>
      <c r="OV342" s="56"/>
      <c r="OW342" s="242">
        <f t="shared" si="2372"/>
        <v>0</v>
      </c>
      <c r="OX342" s="242">
        <f t="shared" si="2373"/>
        <v>1482</v>
      </c>
      <c r="OY342" s="56"/>
      <c r="PB342" s="55">
        <f t="shared" si="2374"/>
        <v>46313</v>
      </c>
      <c r="PC342" s="56"/>
      <c r="PD342" s="242">
        <f>SUMPRODUCT(PRODUCE!$B339:$DY339,PRODUCE!$EB$53:$IY$53)</f>
        <v>0</v>
      </c>
      <c r="PE342" s="56"/>
      <c r="PF342" s="242">
        <f t="shared" si="2375"/>
        <v>0</v>
      </c>
      <c r="PG342" s="242">
        <f t="shared" si="2376"/>
        <v>0</v>
      </c>
      <c r="PH342" s="56"/>
      <c r="PK342" s="55">
        <f t="shared" si="2377"/>
        <v>46313</v>
      </c>
      <c r="PL342" s="56"/>
      <c r="PM342" s="242">
        <f>SUMPRODUCT(PRODUCE!$B339:$DY339,PRODUCE!$EB$54:$IY$54)</f>
        <v>0</v>
      </c>
      <c r="PN342" s="56"/>
      <c r="PO342" s="242">
        <f t="shared" si="2378"/>
        <v>0</v>
      </c>
      <c r="PP342" s="242">
        <f t="shared" si="2379"/>
        <v>100</v>
      </c>
      <c r="PQ342" s="56"/>
      <c r="PT342" s="55">
        <f t="shared" si="2380"/>
        <v>46313</v>
      </c>
      <c r="PU342" s="56"/>
      <c r="PV342" s="242">
        <f>SUMPRODUCT(PRODUCE!$B339:$DY339,PRODUCE!$EB$55:$IY$55)</f>
        <v>0</v>
      </c>
      <c r="PW342" s="56"/>
      <c r="PX342" s="242">
        <f t="shared" si="2381"/>
        <v>0</v>
      </c>
      <c r="PY342" s="242">
        <f t="shared" si="2382"/>
        <v>13.960000000000036</v>
      </c>
      <c r="PZ342" s="56"/>
      <c r="QC342" s="55">
        <f t="shared" si="2383"/>
        <v>46313</v>
      </c>
      <c r="QD342" s="56"/>
      <c r="QE342" s="242">
        <f>SUMPRODUCT(PRODUCE!$B339:$DY339,PRODUCE!$EB$56:$IY$56)</f>
        <v>0</v>
      </c>
      <c r="QF342" s="56"/>
      <c r="QG342" s="242">
        <f t="shared" si="2384"/>
        <v>0</v>
      </c>
      <c r="QH342" s="242">
        <f t="shared" si="2385"/>
        <v>548</v>
      </c>
      <c r="QI342" s="56"/>
      <c r="QL342" s="55">
        <f t="shared" si="2386"/>
        <v>46313</v>
      </c>
      <c r="QM342" s="56"/>
      <c r="QN342" s="242">
        <f>SUMPRODUCT(PRODUCE!$B339:$DY339,PRODUCE!$EB$57:$IY$57)</f>
        <v>0</v>
      </c>
      <c r="QO342" s="56"/>
      <c r="QP342" s="242">
        <f t="shared" si="2387"/>
        <v>0</v>
      </c>
      <c r="QQ342" s="242">
        <f t="shared" si="2388"/>
        <v>0</v>
      </c>
      <c r="QR342" s="56"/>
      <c r="QU342" s="55">
        <f t="shared" si="2389"/>
        <v>46313</v>
      </c>
      <c r="QV342" s="56"/>
      <c r="QW342" s="242">
        <f>SUMPRODUCT(PRODUCE!$B339:$DY339,PRODUCE!$EB$57:$IY$57)</f>
        <v>0</v>
      </c>
      <c r="QX342" s="56"/>
      <c r="QY342" s="242">
        <f t="shared" si="2390"/>
        <v>0</v>
      </c>
      <c r="QZ342" s="242">
        <f t="shared" si="2391"/>
        <v>0</v>
      </c>
      <c r="RA342" s="56"/>
      <c r="RD342" s="55">
        <f t="shared" si="2392"/>
        <v>46313</v>
      </c>
      <c r="RE342" s="56"/>
      <c r="RF342" s="242">
        <f>SUMPRODUCT(PRODUCE!$B339:$DY339,PRODUCE!$EB$58:$IY$58)</f>
        <v>0</v>
      </c>
      <c r="RG342" s="56"/>
      <c r="RH342" s="242">
        <f t="shared" si="2393"/>
        <v>0</v>
      </c>
      <c r="RI342" s="242">
        <f t="shared" si="2394"/>
        <v>147.04000000000002</v>
      </c>
      <c r="RJ342" s="56"/>
      <c r="RM342" s="55">
        <f t="shared" si="2395"/>
        <v>46313</v>
      </c>
      <c r="RN342" s="56"/>
      <c r="RO342" s="242">
        <f>SUMPRODUCT(PRODUCE!$B339:$DY339,PRODUCE!$EB$57:$IY$57)</f>
        <v>0</v>
      </c>
      <c r="RP342" s="56"/>
      <c r="RQ342" s="242">
        <f t="shared" si="2396"/>
        <v>0</v>
      </c>
      <c r="RR342" s="242">
        <f t="shared" si="2397"/>
        <v>46.8</v>
      </c>
      <c r="RS342" s="56"/>
      <c r="RV342" s="55">
        <f t="shared" si="2398"/>
        <v>46313</v>
      </c>
      <c r="RW342" s="56"/>
      <c r="RX342" s="242">
        <f>SUMPRODUCT(PRODUCE!$B339:$DY339,PRODUCE!$EB$57:$IY$57)</f>
        <v>0</v>
      </c>
      <c r="RY342" s="56"/>
      <c r="RZ342" s="242">
        <f t="shared" si="2399"/>
        <v>0</v>
      </c>
      <c r="SA342" s="242">
        <f t="shared" si="2400"/>
        <v>0</v>
      </c>
      <c r="SB342" s="56"/>
      <c r="SE342" s="55">
        <f t="shared" si="2401"/>
        <v>46313</v>
      </c>
      <c r="SF342" s="56"/>
      <c r="SG342" s="242">
        <f>SUMPRODUCT(PRODUCE!$B339:$DY339,PRODUCE!$EB$61:$IY$61)</f>
        <v>0</v>
      </c>
      <c r="SH342" s="56"/>
      <c r="SI342" s="242">
        <f t="shared" si="2402"/>
        <v>0</v>
      </c>
      <c r="SJ342" s="242">
        <f t="shared" si="2403"/>
        <v>24.200000000000003</v>
      </c>
      <c r="SK342" s="56"/>
      <c r="SN342" s="55">
        <f t="shared" si="2404"/>
        <v>46313</v>
      </c>
      <c r="SO342" s="56"/>
      <c r="SP342" s="242">
        <f>SUMPRODUCT(PRODUCE!$B339:$DY339,PRODUCE!$EB$57:$IY$57)</f>
        <v>0</v>
      </c>
      <c r="SQ342" s="56"/>
      <c r="SR342" s="242">
        <f t="shared" si="2405"/>
        <v>0</v>
      </c>
      <c r="SS342" s="242">
        <f t="shared" si="2406"/>
        <v>32</v>
      </c>
      <c r="ST342" s="56"/>
      <c r="SW342" s="55">
        <f t="shared" si="2407"/>
        <v>46313</v>
      </c>
      <c r="SX342" s="56"/>
      <c r="SY342" s="242">
        <f>SUMPRODUCT(PRODUCE!$B339:$DY339,PRODUCE!$EB$57:$IY$57)</f>
        <v>0</v>
      </c>
      <c r="SZ342" s="56"/>
      <c r="TA342" s="242">
        <f t="shared" si="2408"/>
        <v>0</v>
      </c>
      <c r="TB342" s="242">
        <f t="shared" si="2409"/>
        <v>0</v>
      </c>
      <c r="TC342" s="56"/>
      <c r="TF342" s="55">
        <f t="shared" si="2410"/>
        <v>46313</v>
      </c>
      <c r="TG342" s="56"/>
      <c r="TH342" s="242">
        <f>SUMPRODUCT(PRODUCE!$B339:$DY339,PRODUCE!$EB$57:$IY$57)</f>
        <v>0</v>
      </c>
      <c r="TI342" s="56"/>
      <c r="TJ342" s="242">
        <f t="shared" si="2411"/>
        <v>0</v>
      </c>
      <c r="TK342" s="242">
        <f t="shared" si="2412"/>
        <v>0</v>
      </c>
      <c r="TL342" s="56"/>
      <c r="TO342" s="55">
        <f t="shared" si="2413"/>
        <v>46313</v>
      </c>
      <c r="TP342" s="56"/>
      <c r="TQ342" s="242">
        <f>SUMPRODUCT(PRODUCE!$B339:$DY339,PRODUCE!$EB$57:$IY$57)</f>
        <v>0</v>
      </c>
      <c r="TR342" s="56"/>
      <c r="TS342" s="242">
        <f t="shared" si="2414"/>
        <v>0</v>
      </c>
      <c r="TT342" s="242">
        <f t="shared" si="2415"/>
        <v>0</v>
      </c>
      <c r="TU342" s="56"/>
      <c r="TX342" s="55">
        <f t="shared" si="2416"/>
        <v>46313</v>
      </c>
      <c r="TY342" s="56"/>
      <c r="TZ342" s="242">
        <f>SUMPRODUCT(PRODUCE!$B339:$DY339,PRODUCE!$EB$57:$IY$57)</f>
        <v>0</v>
      </c>
      <c r="UA342" s="56"/>
      <c r="UB342" s="242">
        <f t="shared" si="2417"/>
        <v>0</v>
      </c>
      <c r="UC342" s="242">
        <f t="shared" si="2418"/>
        <v>46.799999999999983</v>
      </c>
      <c r="UD342" s="56"/>
      <c r="UG342" s="55">
        <f t="shared" si="2419"/>
        <v>46313</v>
      </c>
      <c r="UH342" s="56"/>
      <c r="UI342" s="242">
        <f>SUMPRODUCT(PRODUCE!$B339:$DY339,PRODUCE!$EB$57:$IY$57)</f>
        <v>0</v>
      </c>
      <c r="UJ342" s="56"/>
      <c r="UK342" s="242">
        <f t="shared" si="2420"/>
        <v>0</v>
      </c>
      <c r="UL342" s="242">
        <f t="shared" si="2421"/>
        <v>204</v>
      </c>
      <c r="UM342" s="56"/>
      <c r="UP342" s="55">
        <f t="shared" si="2422"/>
        <v>46313</v>
      </c>
      <c r="UQ342" s="56"/>
      <c r="UR342" s="242">
        <f>SUMPRODUCT(PRODUCE!$B339:$DY339,PRODUCE!$EB$57:$IY$57)</f>
        <v>0</v>
      </c>
      <c r="US342" s="56"/>
      <c r="UT342" s="242">
        <f t="shared" si="2423"/>
        <v>0</v>
      </c>
      <c r="UU342" s="242">
        <f t="shared" si="2424"/>
        <v>202.5</v>
      </c>
      <c r="UV342" s="56"/>
      <c r="UY342" s="55">
        <f t="shared" si="2425"/>
        <v>46313</v>
      </c>
      <c r="UZ342" s="56"/>
      <c r="VA342" s="242">
        <f>SUMPRODUCT(PRODUCE!$B339:$DY339,PRODUCE!$EB$57:$IY$57)</f>
        <v>0</v>
      </c>
      <c r="VB342" s="56"/>
      <c r="VC342" s="242">
        <f t="shared" si="2426"/>
        <v>0</v>
      </c>
      <c r="VD342" s="242">
        <f t="shared" si="2427"/>
        <v>41.600000000000023</v>
      </c>
      <c r="VE342" s="56"/>
      <c r="VH342" s="55">
        <f t="shared" si="2428"/>
        <v>46313</v>
      </c>
      <c r="VI342" s="56"/>
      <c r="VJ342" s="242">
        <f>SUMPRODUCT(PRODUCE!$B339:$DY339,PRODUCE!$EB$57:$IY$57)</f>
        <v>0</v>
      </c>
      <c r="VK342" s="56"/>
      <c r="VL342" s="242">
        <f t="shared" si="2429"/>
        <v>0</v>
      </c>
      <c r="VM342" s="242">
        <f t="shared" si="2430"/>
        <v>210</v>
      </c>
      <c r="VN342" s="56"/>
      <c r="VQ342" s="55">
        <f t="shared" si="2431"/>
        <v>46313</v>
      </c>
      <c r="VR342" s="56"/>
      <c r="VS342" s="242">
        <f>SUMPRODUCT(PRODUCE!$B339:$DY339,PRODUCE!$EB$57:$IY$57)</f>
        <v>0</v>
      </c>
      <c r="VT342" s="56"/>
      <c r="VU342" s="242">
        <f t="shared" si="2432"/>
        <v>0</v>
      </c>
      <c r="VV342" s="242">
        <f t="shared" si="2433"/>
        <v>0</v>
      </c>
      <c r="VW342" s="56"/>
      <c r="VZ342" s="55">
        <f t="shared" si="2434"/>
        <v>46313</v>
      </c>
      <c r="WA342" s="56"/>
      <c r="WB342" s="242">
        <f>SUMPRODUCT(PRODUCE!$B339:$DY339,PRODUCE!$EB$57:$IY$57)</f>
        <v>0</v>
      </c>
      <c r="WC342" s="56"/>
      <c r="WD342" s="242">
        <f t="shared" si="2435"/>
        <v>0</v>
      </c>
      <c r="WE342" s="242">
        <f t="shared" si="2436"/>
        <v>0</v>
      </c>
      <c r="WF342" s="56"/>
      <c r="WI342" s="55">
        <f t="shared" si="2437"/>
        <v>46313</v>
      </c>
      <c r="WJ342" s="56"/>
      <c r="WK342" s="242">
        <f>SUMPRODUCT(PRODUCE!$B339:$DY339,PRODUCE!$EB$57:$IY$57)</f>
        <v>0</v>
      </c>
      <c r="WL342" s="56"/>
      <c r="WM342" s="242">
        <f t="shared" si="2438"/>
        <v>0</v>
      </c>
      <c r="WN342" s="242">
        <f t="shared" si="2439"/>
        <v>1057</v>
      </c>
      <c r="WO342" s="56"/>
      <c r="WR342" s="55">
        <f t="shared" si="2440"/>
        <v>46313</v>
      </c>
      <c r="WS342" s="56"/>
      <c r="WT342" s="242">
        <f>SUMPRODUCT(PRODUCE!$B339:$DY339,PRODUCE!$EB$57:$IY$57)</f>
        <v>0</v>
      </c>
      <c r="WU342" s="56"/>
      <c r="WV342" s="242">
        <f t="shared" si="2441"/>
        <v>0</v>
      </c>
      <c r="WW342" s="242">
        <f t="shared" si="2442"/>
        <v>0</v>
      </c>
      <c r="WX342" s="56"/>
      <c r="XA342" s="55">
        <f t="shared" si="2443"/>
        <v>46313</v>
      </c>
      <c r="XB342" s="56"/>
      <c r="XC342" s="242">
        <f>SUMPRODUCT(PRODUCE!$B339:$DY339,PRODUCE!$EB$57:$IY$57)</f>
        <v>0</v>
      </c>
      <c r="XD342" s="56"/>
      <c r="XE342" s="242">
        <f t="shared" si="2444"/>
        <v>0</v>
      </c>
      <c r="XF342" s="242">
        <f t="shared" si="2445"/>
        <v>7507</v>
      </c>
      <c r="XG342" s="56"/>
      <c r="XJ342" s="55">
        <f t="shared" si="2446"/>
        <v>46313</v>
      </c>
      <c r="XK342" s="56"/>
      <c r="XL342" s="242">
        <f>SUMPRODUCT(PRODUCE!$B339:$DY339,PRODUCE!$EB$57:$IY$57)</f>
        <v>0</v>
      </c>
      <c r="XM342" s="56"/>
      <c r="XN342" s="242">
        <f t="shared" si="2447"/>
        <v>0</v>
      </c>
      <c r="XO342" s="242">
        <f t="shared" si="2448"/>
        <v>4252</v>
      </c>
      <c r="XP342" s="56"/>
      <c r="XS342" s="55">
        <f t="shared" si="2449"/>
        <v>46313</v>
      </c>
      <c r="XT342" s="56"/>
      <c r="XU342" s="242">
        <f>SUMPRODUCT(PRODUCE!$B339:$DY339,PRODUCE!$EB$57:$IY$57)</f>
        <v>0</v>
      </c>
      <c r="XV342" s="56"/>
      <c r="XW342" s="242">
        <f t="shared" si="2450"/>
        <v>0</v>
      </c>
      <c r="XX342" s="242">
        <f t="shared" si="2451"/>
        <v>2179</v>
      </c>
      <c r="XY342" s="56"/>
      <c r="YB342" s="55">
        <f t="shared" si="2452"/>
        <v>46313</v>
      </c>
      <c r="YC342" s="56"/>
      <c r="YD342" s="242">
        <f>SUMPRODUCT(PRODUCE!$B339:$DY339,PRODUCE!$EB$57:$IY$57)</f>
        <v>0</v>
      </c>
      <c r="YE342" s="56"/>
      <c r="YF342" s="242">
        <f t="shared" si="2453"/>
        <v>0</v>
      </c>
      <c r="YG342" s="242">
        <f t="shared" si="2454"/>
        <v>4019</v>
      </c>
      <c r="YH342" s="56"/>
      <c r="YK342" s="55">
        <f t="shared" si="2455"/>
        <v>46313</v>
      </c>
      <c r="YL342" s="56"/>
      <c r="YM342" s="242">
        <f>SUMPRODUCT(PRODUCE!$B339:$DY339,PRODUCE!$EB$57:$IY$57)</f>
        <v>0</v>
      </c>
      <c r="YN342" s="56"/>
      <c r="YO342" s="242">
        <f t="shared" si="2456"/>
        <v>0</v>
      </c>
      <c r="YP342" s="242">
        <f t="shared" si="2457"/>
        <v>-218</v>
      </c>
      <c r="YQ342" s="56"/>
      <c r="YT342" s="55">
        <f t="shared" si="2458"/>
        <v>46313</v>
      </c>
      <c r="YU342" s="56"/>
      <c r="YV342" s="242">
        <f>SUMPRODUCT(PRODUCE!$B339:$DY339,PRODUCE!$EB$57:$IY$57)</f>
        <v>0</v>
      </c>
      <c r="YW342" s="56"/>
      <c r="YX342" s="242">
        <f t="shared" si="2459"/>
        <v>0</v>
      </c>
      <c r="YY342" s="242">
        <f t="shared" si="2460"/>
        <v>0</v>
      </c>
      <c r="YZ342" s="56"/>
      <c r="ZC342" s="55">
        <f t="shared" si="2461"/>
        <v>46313</v>
      </c>
      <c r="ZD342" s="56"/>
      <c r="ZE342" s="242">
        <f>SUMPRODUCT(PRODUCE!$B339:$DY339,PRODUCE!$EB$57:$IY$57)</f>
        <v>0</v>
      </c>
      <c r="ZF342" s="56"/>
      <c r="ZG342" s="242">
        <f t="shared" si="2462"/>
        <v>0</v>
      </c>
      <c r="ZH342" s="242">
        <f t="shared" si="2463"/>
        <v>0</v>
      </c>
      <c r="ZI342" s="56"/>
      <c r="ZL342" s="55">
        <f t="shared" si="2464"/>
        <v>46313</v>
      </c>
      <c r="ZM342" s="56"/>
      <c r="ZN342" s="242">
        <f>SUMPRODUCT(PRODUCE!$B339:$DY339,PRODUCE!$EB$57:$IY$57)</f>
        <v>0</v>
      </c>
      <c r="ZO342" s="56"/>
      <c r="ZP342" s="242">
        <f t="shared" si="2465"/>
        <v>0</v>
      </c>
      <c r="ZQ342" s="242">
        <f t="shared" si="2466"/>
        <v>0</v>
      </c>
      <c r="ZR342" s="56"/>
      <c r="ZU342" s="55">
        <f t="shared" si="2467"/>
        <v>46313</v>
      </c>
      <c r="ZV342" s="56"/>
      <c r="ZW342" s="242">
        <f>SUMPRODUCT(PRODUCE!$B339:$DY339,PRODUCE!$EB$57:$IY$57)</f>
        <v>0</v>
      </c>
      <c r="ZX342" s="56"/>
      <c r="ZY342" s="242">
        <f t="shared" si="2468"/>
        <v>0</v>
      </c>
      <c r="ZZ342" s="242">
        <f t="shared" si="2469"/>
        <v>0</v>
      </c>
      <c r="AAA342" s="56"/>
      <c r="AAD342" s="55">
        <f t="shared" si="2470"/>
        <v>46313</v>
      </c>
      <c r="AAE342" s="56"/>
      <c r="AAF342" s="242">
        <f>SUMPRODUCT(PRODUCE!$B339:$DY339,PRODUCE!$EB$57:$IY$57)</f>
        <v>0</v>
      </c>
      <c r="AAG342" s="56"/>
      <c r="AAH342" s="242">
        <f t="shared" si="2471"/>
        <v>0</v>
      </c>
      <c r="AAI342" s="242">
        <f t="shared" si="2472"/>
        <v>0</v>
      </c>
      <c r="AAJ342" s="56"/>
      <c r="AAM342" s="55">
        <f t="shared" si="2473"/>
        <v>46313</v>
      </c>
      <c r="AAN342" s="56"/>
      <c r="AAO342" s="242">
        <f>SUMPRODUCT(PRODUCE!$B339:$DY339,PRODUCE!$EB$57:$IY$57)</f>
        <v>0</v>
      </c>
      <c r="AAP342" s="56"/>
      <c r="AAQ342" s="242">
        <f t="shared" si="2474"/>
        <v>0</v>
      </c>
      <c r="AAR342" s="242">
        <f t="shared" si="2475"/>
        <v>0</v>
      </c>
      <c r="AAS342" s="56"/>
      <c r="AAV342" s="55">
        <f t="shared" si="2476"/>
        <v>46313</v>
      </c>
      <c r="AAW342" s="56"/>
      <c r="AAX342" s="242">
        <f>SUMPRODUCT(PRODUCE!$B339:$DY339,PRODUCE!$EB$57:$IY$57)</f>
        <v>0</v>
      </c>
      <c r="AAY342" s="56"/>
      <c r="AAZ342" s="242">
        <f t="shared" si="2477"/>
        <v>0</v>
      </c>
      <c r="ABA342" s="242">
        <f t="shared" si="2478"/>
        <v>0</v>
      </c>
      <c r="ABB342" s="56"/>
      <c r="ABE342" s="55">
        <f t="shared" si="2479"/>
        <v>46313</v>
      </c>
      <c r="ABF342" s="56"/>
      <c r="ABG342" s="242">
        <f>SUMPRODUCT(PRODUCE!$B339:$DY339,PRODUCE!$EB$57:$IY$57)</f>
        <v>0</v>
      </c>
      <c r="ABH342" s="56"/>
      <c r="ABI342" s="242">
        <f t="shared" si="2480"/>
        <v>0</v>
      </c>
      <c r="ABJ342" s="242">
        <f t="shared" si="2481"/>
        <v>0</v>
      </c>
      <c r="ABK342" s="56"/>
    </row>
    <row r="343" spans="2:739" s="54" customFormat="1" ht="15" customHeight="1" outlineLevel="1">
      <c r="B343" s="478"/>
      <c r="C343" s="55">
        <v>46314</v>
      </c>
      <c r="D343" s="56"/>
      <c r="E343" s="57">
        <f>SUMPRODUCT(PRODUCE!$B340:$DY340,PRODUCE!$EB$7:$IY$7)</f>
        <v>0</v>
      </c>
      <c r="F343" s="56"/>
      <c r="G343" s="57">
        <f t="shared" si="2237"/>
        <v>0</v>
      </c>
      <c r="H343" s="57">
        <f t="shared" si="2238"/>
        <v>236936.6</v>
      </c>
      <c r="I343" s="289"/>
      <c r="L343" s="55">
        <f t="shared" si="2239"/>
        <v>46314</v>
      </c>
      <c r="M343" s="56"/>
      <c r="N343" s="59">
        <f>SUMPRODUCT(PRODUCE!$B340:$DY340,PRODUCE!$EB$8:$IY$8)</f>
        <v>0</v>
      </c>
      <c r="O343" s="56"/>
      <c r="P343" s="59">
        <f t="shared" si="2240"/>
        <v>0</v>
      </c>
      <c r="Q343" s="59">
        <f t="shared" si="2241"/>
        <v>53017.600000000071</v>
      </c>
      <c r="R343" s="56"/>
      <c r="U343" s="55">
        <f t="shared" si="2242"/>
        <v>46314</v>
      </c>
      <c r="V343" s="56"/>
      <c r="W343" s="60">
        <f>SUMPRODUCT(PRODUCE!$B340:$DY340,PRODUCE!$EB$9:$IY$9)</f>
        <v>0</v>
      </c>
      <c r="X343" s="56"/>
      <c r="Y343" s="60">
        <f t="shared" si="2243"/>
        <v>0</v>
      </c>
      <c r="Z343" s="60">
        <f t="shared" si="2244"/>
        <v>42674.199999999968</v>
      </c>
      <c r="AA343" s="56"/>
      <c r="AD343" s="55">
        <f t="shared" si="2245"/>
        <v>46314</v>
      </c>
      <c r="AE343" s="56"/>
      <c r="AF343" s="61">
        <f>SUMPRODUCT(PRODUCE!$B340:$DY340,PRODUCE!$EB$10:$IY$10)</f>
        <v>0</v>
      </c>
      <c r="AG343" s="56"/>
      <c r="AH343" s="61">
        <f t="shared" si="2246"/>
        <v>0</v>
      </c>
      <c r="AI343" s="61">
        <f t="shared" si="2247"/>
        <v>4522.2000000000189</v>
      </c>
      <c r="AJ343" s="56"/>
      <c r="AM343" s="55">
        <f t="shared" si="2248"/>
        <v>46314</v>
      </c>
      <c r="AN343" s="422"/>
      <c r="AO343" s="444">
        <f>SUMPRODUCT(PRODUCE!$B340:$DY340,PRODUCE!$EB$11:$IY$11)</f>
        <v>0</v>
      </c>
      <c r="AP343" s="422"/>
      <c r="AQ343" s="444">
        <f t="shared" si="2249"/>
        <v>0</v>
      </c>
      <c r="AR343" s="444">
        <f t="shared" si="2250"/>
        <v>0</v>
      </c>
      <c r="AS343" s="56"/>
      <c r="AV343" s="55">
        <f t="shared" si="2251"/>
        <v>46314</v>
      </c>
      <c r="AW343" s="56"/>
      <c r="AX343" s="62">
        <f>SUMPRODUCT(PRODUCE!$B340:$DY340,PRODUCE!$EB$12:$IY$12)</f>
        <v>0</v>
      </c>
      <c r="AY343" s="56"/>
      <c r="AZ343" s="62">
        <f t="shared" si="2252"/>
        <v>0</v>
      </c>
      <c r="BA343" s="62">
        <f t="shared" si="2253"/>
        <v>124.99999999999523</v>
      </c>
      <c r="BB343" s="56"/>
      <c r="BE343" s="55">
        <f t="shared" si="2254"/>
        <v>46314</v>
      </c>
      <c r="BF343" s="56"/>
      <c r="BG343" s="63">
        <f>SUMPRODUCT(PRODUCE!$B340:$DY340,PRODUCE!$EB$13:$IY$13)</f>
        <v>0</v>
      </c>
      <c r="BH343" s="56"/>
      <c r="BI343" s="63">
        <f t="shared" si="2255"/>
        <v>0</v>
      </c>
      <c r="BJ343" s="63">
        <f t="shared" si="2256"/>
        <v>26151.899999999998</v>
      </c>
      <c r="BK343" s="56"/>
      <c r="BN343" s="55">
        <f t="shared" si="2257"/>
        <v>46314</v>
      </c>
      <c r="BO343" s="56"/>
      <c r="BP343" s="64">
        <f>SUMPRODUCT(PRODUCE!$B340:$DY340,PRODUCE!$EB$14:$IY$14)</f>
        <v>0</v>
      </c>
      <c r="BQ343" s="56"/>
      <c r="BR343" s="64">
        <f t="shared" si="2258"/>
        <v>0</v>
      </c>
      <c r="BS343" s="64">
        <f t="shared" si="2259"/>
        <v>0</v>
      </c>
      <c r="BT343" s="56"/>
      <c r="BW343" s="55">
        <f t="shared" si="2260"/>
        <v>46314</v>
      </c>
      <c r="BX343" s="56"/>
      <c r="BY343" s="65">
        <f>SUMPRODUCT(PRODUCE!$B340:$DY340,PRODUCE!$EB$15:$IY$15)</f>
        <v>0</v>
      </c>
      <c r="BZ343" s="56"/>
      <c r="CA343" s="65">
        <f t="shared" si="2261"/>
        <v>0</v>
      </c>
      <c r="CB343" s="65">
        <f t="shared" si="2262"/>
        <v>2097.3399999999992</v>
      </c>
      <c r="CC343" s="56"/>
      <c r="CF343" s="55">
        <f t="shared" si="2263"/>
        <v>46314</v>
      </c>
      <c r="CG343" s="56"/>
      <c r="CH343" s="66">
        <f>SUMPRODUCT(PRODUCE!$B340:$DY340,PRODUCE!$EB$16:$IY$16)</f>
        <v>0</v>
      </c>
      <c r="CI343" s="56"/>
      <c r="CJ343" s="66">
        <f t="shared" si="2264"/>
        <v>0</v>
      </c>
      <c r="CK343" s="66">
        <f t="shared" si="2265"/>
        <v>-10277.079999999998</v>
      </c>
      <c r="CL343" s="56"/>
      <c r="CO343" s="55">
        <f t="shared" si="2266"/>
        <v>46314</v>
      </c>
      <c r="CP343" s="422"/>
      <c r="CQ343" s="470">
        <f>SUMPRODUCT(PRODUCE!$B340:$DY340,PRODUCE!$EB$17:$IY$17)</f>
        <v>0</v>
      </c>
      <c r="CR343" s="422"/>
      <c r="CS343" s="470">
        <f t="shared" si="2267"/>
        <v>0</v>
      </c>
      <c r="CT343" s="470">
        <f t="shared" si="2268"/>
        <v>0</v>
      </c>
      <c r="CU343" s="56"/>
      <c r="CX343" s="55">
        <f t="shared" si="2269"/>
        <v>46314</v>
      </c>
      <c r="CY343" s="56"/>
      <c r="CZ343" s="133">
        <f>SUMPRODUCT(PRODUCE!$B340:$DY340,PRODUCE!$EB$18:$IY$18)</f>
        <v>0</v>
      </c>
      <c r="DA343" s="56"/>
      <c r="DB343" s="133">
        <f t="shared" si="2270"/>
        <v>0</v>
      </c>
      <c r="DC343" s="133">
        <f t="shared" si="2271"/>
        <v>27438.200000000012</v>
      </c>
      <c r="DD343" s="56"/>
      <c r="DG343" s="55">
        <f t="shared" si="2272"/>
        <v>46314</v>
      </c>
      <c r="DH343" s="56"/>
      <c r="DI343" s="147">
        <f>SUMPRODUCT(PRODUCE!$B340:$DY340,PRODUCE!$EB$19:$IY$19)</f>
        <v>0</v>
      </c>
      <c r="DJ343" s="56"/>
      <c r="DK343" s="147">
        <f t="shared" si="2273"/>
        <v>0</v>
      </c>
      <c r="DL343" s="147">
        <f t="shared" si="2274"/>
        <v>18782.299999999981</v>
      </c>
      <c r="DM343" s="56"/>
      <c r="DP343" s="55">
        <f t="shared" si="2275"/>
        <v>46314</v>
      </c>
      <c r="DQ343" s="56"/>
      <c r="DR343" s="57">
        <f>SUMPRODUCT(PRODUCE!$B340:$DY340,PRODUCE!$EB$20:$IY$20)</f>
        <v>0</v>
      </c>
      <c r="DS343" s="56"/>
      <c r="DT343" s="57">
        <f t="shared" si="2276"/>
        <v>0</v>
      </c>
      <c r="DU343" s="57">
        <f t="shared" si="2277"/>
        <v>5800</v>
      </c>
      <c r="DV343" s="56"/>
      <c r="DY343" s="55">
        <f t="shared" si="2278"/>
        <v>46314</v>
      </c>
      <c r="DZ343" s="56"/>
      <c r="EA343" s="157">
        <f>SUMPRODUCT(PRODUCE!$B340:$DY340,PRODUCE!$EB$21:$IY$21)</f>
        <v>0</v>
      </c>
      <c r="EB343" s="56"/>
      <c r="EC343" s="157">
        <f t="shared" si="2279"/>
        <v>0</v>
      </c>
      <c r="ED343" s="157">
        <f t="shared" si="2280"/>
        <v>0</v>
      </c>
      <c r="EE343" s="56"/>
      <c r="EH343" s="55">
        <f t="shared" si="2281"/>
        <v>46314</v>
      </c>
      <c r="EI343" s="56"/>
      <c r="EJ343" s="162">
        <f>SUMPRODUCT(PRODUCE!$B340:$DY340,PRODUCE!$EB$22:$IY$22)</f>
        <v>0</v>
      </c>
      <c r="EK343" s="56"/>
      <c r="EL343" s="162">
        <f t="shared" si="2282"/>
        <v>0</v>
      </c>
      <c r="EM343" s="162">
        <f t="shared" si="2283"/>
        <v>0</v>
      </c>
      <c r="EN343" s="56"/>
      <c r="EQ343" s="55">
        <f t="shared" si="2284"/>
        <v>46314</v>
      </c>
      <c r="ER343" s="56"/>
      <c r="ES343" s="135">
        <f>SUMPRODUCT(PRODUCE!$B340:$DY340,PRODUCE!$EB$23:$IY$23)</f>
        <v>0</v>
      </c>
      <c r="ET343" s="56"/>
      <c r="EU343" s="135">
        <f t="shared" si="2285"/>
        <v>0</v>
      </c>
      <c r="EV343" s="135">
        <f t="shared" si="2286"/>
        <v>0</v>
      </c>
      <c r="EW343" s="56"/>
      <c r="EZ343" s="55">
        <f t="shared" si="2287"/>
        <v>46314</v>
      </c>
      <c r="FA343" s="56"/>
      <c r="FB343" s="175">
        <f>SUMPRODUCT(PRODUCE!$B340:$DY340,PRODUCE!$EB$24:$IY$24)</f>
        <v>0</v>
      </c>
      <c r="FC343" s="56"/>
      <c r="FD343" s="175">
        <f t="shared" si="2288"/>
        <v>0</v>
      </c>
      <c r="FE343" s="175">
        <f t="shared" si="2289"/>
        <v>0</v>
      </c>
      <c r="FF343" s="56"/>
      <c r="FI343" s="55">
        <f t="shared" si="2290"/>
        <v>46314</v>
      </c>
      <c r="FJ343" s="56"/>
      <c r="FK343" s="183">
        <f>SUMPRODUCT(PRODUCE!$B340:$DY340,PRODUCE!$EB$25:$IY$25)</f>
        <v>0</v>
      </c>
      <c r="FL343" s="56"/>
      <c r="FM343" s="183">
        <f t="shared" si="2291"/>
        <v>0</v>
      </c>
      <c r="FN343" s="183">
        <f t="shared" si="2292"/>
        <v>0</v>
      </c>
      <c r="FO343" s="56"/>
      <c r="FR343" s="55">
        <f t="shared" si="2293"/>
        <v>46314</v>
      </c>
      <c r="FS343" s="56"/>
      <c r="FT343" s="186">
        <f>SUMPRODUCT(PRODUCE!$B340:$DY340,PRODUCE!$EB$26:$IY$26)</f>
        <v>0</v>
      </c>
      <c r="FU343" s="56"/>
      <c r="FV343" s="186">
        <f t="shared" si="2294"/>
        <v>0</v>
      </c>
      <c r="FW343" s="186">
        <f t="shared" si="2295"/>
        <v>2020</v>
      </c>
      <c r="FX343" s="56"/>
      <c r="GA343" s="55">
        <f t="shared" si="2296"/>
        <v>46314</v>
      </c>
      <c r="GB343" s="56"/>
      <c r="GC343" s="137">
        <f>SUMPRODUCT(PRODUCE!$B340:$DY340,PRODUCE!$EB$27:$IY$27)</f>
        <v>0</v>
      </c>
      <c r="GD343" s="56"/>
      <c r="GE343" s="137">
        <f t="shared" si="2297"/>
        <v>0</v>
      </c>
      <c r="GF343" s="137">
        <f t="shared" si="2298"/>
        <v>960</v>
      </c>
      <c r="GG343" s="56"/>
      <c r="GI343" s="23"/>
      <c r="GJ343" s="55">
        <f t="shared" si="2299"/>
        <v>46314</v>
      </c>
      <c r="GK343" s="56"/>
      <c r="GL343" s="199">
        <f>SUMPRODUCT(PRODUCE!$B340:$DY340,PRODUCE!$EB$28:$IY$28)</f>
        <v>0</v>
      </c>
      <c r="GM343" s="56"/>
      <c r="GN343" s="199">
        <f t="shared" si="2300"/>
        <v>0</v>
      </c>
      <c r="GO343" s="199">
        <f t="shared" si="2301"/>
        <v>1760</v>
      </c>
      <c r="GP343" s="56"/>
      <c r="GS343" s="55">
        <f t="shared" si="2302"/>
        <v>46314</v>
      </c>
      <c r="GT343" s="56"/>
      <c r="GU343" s="195">
        <f>SUMPRODUCT(PRODUCE!$B340:$DY340,PRODUCE!$EB$29:$IY$29)</f>
        <v>0</v>
      </c>
      <c r="GV343" s="56"/>
      <c r="GW343" s="195">
        <f t="shared" si="2303"/>
        <v>0</v>
      </c>
      <c r="GX343" s="195">
        <f t="shared" si="2304"/>
        <v>400</v>
      </c>
      <c r="GY343" s="56"/>
      <c r="HB343" s="55">
        <f t="shared" si="2305"/>
        <v>46314</v>
      </c>
      <c r="HC343" s="56"/>
      <c r="HD343" s="191">
        <f>SUMPRODUCT(PRODUCE!$B340:$DY340,PRODUCE!$EB$30:$IY$30)</f>
        <v>0</v>
      </c>
      <c r="HE343" s="56"/>
      <c r="HF343" s="191">
        <f t="shared" si="2306"/>
        <v>0</v>
      </c>
      <c r="HG343" s="191">
        <f t="shared" si="2307"/>
        <v>3600</v>
      </c>
      <c r="HH343" s="56"/>
      <c r="HK343" s="55">
        <f t="shared" si="2308"/>
        <v>46314</v>
      </c>
      <c r="HL343" s="56"/>
      <c r="HM343" s="63">
        <f>SUMPRODUCT(PRODUCE!$B340:$DY340,PRODUCE!$EB$31:$IY$31)</f>
        <v>0</v>
      </c>
      <c r="HN343" s="56"/>
      <c r="HO343" s="63">
        <f t="shared" si="2309"/>
        <v>0</v>
      </c>
      <c r="HP343" s="63">
        <f t="shared" si="2310"/>
        <v>0</v>
      </c>
      <c r="HQ343" s="56"/>
      <c r="HU343" s="55">
        <f t="shared" si="2311"/>
        <v>46314</v>
      </c>
      <c r="HV343" s="56"/>
      <c r="HW343" s="242">
        <f>SUMPRODUCT(PRODUCE!$B340:$DY340,PRODUCE!$EB$32:$IY$32)</f>
        <v>0</v>
      </c>
      <c r="HX343" s="56"/>
      <c r="HY343" s="242">
        <f t="shared" si="2312"/>
        <v>0</v>
      </c>
      <c r="HZ343" s="242">
        <f t="shared" si="2313"/>
        <v>6120</v>
      </c>
      <c r="IA343" s="56"/>
      <c r="ID343" s="55">
        <f t="shared" si="2314"/>
        <v>46314</v>
      </c>
      <c r="IE343" s="56"/>
      <c r="IF343" s="242">
        <f>SUMPRODUCT(PRODUCE!$B340:$DY340,PRODUCE!$EB$33:$IY$33)</f>
        <v>0</v>
      </c>
      <c r="IG343" s="56"/>
      <c r="IH343" s="242">
        <f t="shared" si="2315"/>
        <v>0</v>
      </c>
      <c r="II343" s="242">
        <f t="shared" si="2316"/>
        <v>0</v>
      </c>
      <c r="IJ343" s="56"/>
      <c r="IM343" s="55">
        <f t="shared" si="2317"/>
        <v>46314</v>
      </c>
      <c r="IN343" s="56"/>
      <c r="IO343" s="242">
        <f>SUMPRODUCT(PRODUCE!$B340:$DY340,PRODUCE!$EB$34:$IY$34)</f>
        <v>0</v>
      </c>
      <c r="IP343" s="56"/>
      <c r="IQ343" s="242">
        <f t="shared" si="2318"/>
        <v>0</v>
      </c>
      <c r="IR343" s="242">
        <f t="shared" si="2319"/>
        <v>0</v>
      </c>
      <c r="IS343" s="56"/>
      <c r="IV343" s="55">
        <f t="shared" si="2320"/>
        <v>46314</v>
      </c>
      <c r="IW343" s="56"/>
      <c r="IX343" s="242">
        <f>SUMPRODUCT(PRODUCE!$B340:$DY340,PRODUCE!$EB$35:$IY$35)</f>
        <v>0</v>
      </c>
      <c r="IY343" s="56"/>
      <c r="IZ343" s="242">
        <f t="shared" si="2321"/>
        <v>0</v>
      </c>
      <c r="JA343" s="242">
        <f t="shared" si="2322"/>
        <v>2820</v>
      </c>
      <c r="JB343" s="56"/>
      <c r="JE343" s="55">
        <f t="shared" si="2323"/>
        <v>46314</v>
      </c>
      <c r="JF343" s="56"/>
      <c r="JG343" s="242">
        <f>SUMPRODUCT(PRODUCE!$B340:$DY340,PRODUCE!$EB$36:$IY$36)</f>
        <v>0</v>
      </c>
      <c r="JH343" s="56"/>
      <c r="JI343" s="242">
        <f t="shared" si="2324"/>
        <v>0</v>
      </c>
      <c r="JJ343" s="242">
        <f t="shared" si="2325"/>
        <v>0</v>
      </c>
      <c r="JK343" s="56"/>
      <c r="JN343" s="55">
        <f t="shared" si="2326"/>
        <v>46314</v>
      </c>
      <c r="JO343" s="56"/>
      <c r="JP343" s="242">
        <f>SUMPRODUCT(PRODUCE!$B340:$DY340,PRODUCE!$EB$37:$IY$37)</f>
        <v>0</v>
      </c>
      <c r="JQ343" s="56"/>
      <c r="JR343" s="242">
        <f t="shared" si="2327"/>
        <v>0</v>
      </c>
      <c r="JS343" s="242">
        <f t="shared" si="2328"/>
        <v>0</v>
      </c>
      <c r="JT343" s="56"/>
      <c r="JW343" s="55">
        <f t="shared" si="2329"/>
        <v>46314</v>
      </c>
      <c r="JX343" s="56"/>
      <c r="JY343" s="242">
        <f>SUMPRODUCT(PRODUCE!$B340:$DY340,PRODUCE!$EB$38:$IY$38)</f>
        <v>0</v>
      </c>
      <c r="JZ343" s="56"/>
      <c r="KA343" s="242">
        <f t="shared" si="2330"/>
        <v>0</v>
      </c>
      <c r="KB343" s="242">
        <f t="shared" si="2331"/>
        <v>2540</v>
      </c>
      <c r="KC343" s="56"/>
      <c r="KF343" s="55">
        <f t="shared" si="2332"/>
        <v>46314</v>
      </c>
      <c r="KG343" s="56"/>
      <c r="KH343" s="242">
        <f>SUMPRODUCT(PRODUCE!$B340:$DY340,PRODUCE!$EB$39:$IY$39)</f>
        <v>0</v>
      </c>
      <c r="KI343" s="56"/>
      <c r="KJ343" s="242">
        <f t="shared" si="2333"/>
        <v>0</v>
      </c>
      <c r="KK343" s="242">
        <f t="shared" si="2334"/>
        <v>2359.5</v>
      </c>
      <c r="KL343" s="56"/>
      <c r="KO343" s="55">
        <f t="shared" si="2335"/>
        <v>46314</v>
      </c>
      <c r="KP343" s="56"/>
      <c r="KQ343" s="242">
        <f>SUMPRODUCT(PRODUCE!$B340:$DY340,PRODUCE!$EB$40:$IY$40)</f>
        <v>0</v>
      </c>
      <c r="KR343" s="56"/>
      <c r="KS343" s="242">
        <f t="shared" si="2336"/>
        <v>0</v>
      </c>
      <c r="KT343" s="242">
        <f t="shared" si="2337"/>
        <v>1890</v>
      </c>
      <c r="KU343" s="56"/>
      <c r="KW343" s="23"/>
      <c r="KX343" s="55">
        <f t="shared" si="2338"/>
        <v>46314</v>
      </c>
      <c r="KY343" s="56"/>
      <c r="KZ343" s="242">
        <f>SUMPRODUCT(PRODUCE!$B340:$DY340,PRODUCE!$EB$41:$IY$41)</f>
        <v>0</v>
      </c>
      <c r="LA343" s="56"/>
      <c r="LB343" s="242">
        <f t="shared" si="2339"/>
        <v>0</v>
      </c>
      <c r="LC343" s="242">
        <f t="shared" si="2340"/>
        <v>3690</v>
      </c>
      <c r="LD343" s="56"/>
      <c r="LG343" s="55">
        <f t="shared" si="2341"/>
        <v>46314</v>
      </c>
      <c r="LH343" s="56"/>
      <c r="LI343" s="242">
        <f>SUMPRODUCT(PRODUCE!$B340:$DY340,PRODUCE!$EB$42:$IY$42)</f>
        <v>0</v>
      </c>
      <c r="LJ343" s="56"/>
      <c r="LK343" s="242">
        <f t="shared" si="2342"/>
        <v>0</v>
      </c>
      <c r="LL343" s="242">
        <f t="shared" si="2343"/>
        <v>4000</v>
      </c>
      <c r="LM343" s="56"/>
      <c r="LP343" s="55">
        <f t="shared" si="2344"/>
        <v>46314</v>
      </c>
      <c r="LQ343" s="56"/>
      <c r="LR343" s="242">
        <f>SUMPRODUCT(PRODUCE!$B340:$DY340,PRODUCE!$EB$43:$IY$43)</f>
        <v>0</v>
      </c>
      <c r="LS343" s="56"/>
      <c r="LT343" s="242">
        <f t="shared" si="2345"/>
        <v>0</v>
      </c>
      <c r="LU343" s="242">
        <f t="shared" si="2346"/>
        <v>0</v>
      </c>
      <c r="LV343" s="56"/>
      <c r="LY343" s="55">
        <f t="shared" si="2347"/>
        <v>46314</v>
      </c>
      <c r="LZ343" s="56"/>
      <c r="MA343" s="242">
        <f>SUMPRODUCT(PRODUCE!$B340:$DY340,PRODUCE!$EB$44:$IY$44)</f>
        <v>0</v>
      </c>
      <c r="MB343" s="56"/>
      <c r="MC343" s="242">
        <f t="shared" si="2348"/>
        <v>0</v>
      </c>
      <c r="MD343" s="242">
        <f t="shared" si="2349"/>
        <v>0</v>
      </c>
      <c r="ME343" s="56"/>
      <c r="MH343" s="55">
        <f t="shared" si="2350"/>
        <v>46314</v>
      </c>
      <c r="MI343" s="56"/>
      <c r="MJ343" s="242">
        <f>SUMPRODUCT(PRODUCE!$B340:$DY340,PRODUCE!$EB$45:$IY$45)</f>
        <v>0</v>
      </c>
      <c r="MK343" s="56"/>
      <c r="ML343" s="242">
        <f t="shared" si="2351"/>
        <v>0</v>
      </c>
      <c r="MM343" s="242">
        <f t="shared" si="2352"/>
        <v>0</v>
      </c>
      <c r="MN343" s="56"/>
      <c r="MQ343" s="55">
        <f t="shared" si="2353"/>
        <v>46314</v>
      </c>
      <c r="MR343" s="56"/>
      <c r="MS343" s="242">
        <f>SUMPRODUCT(PRODUCE!$B340:$DY340,PRODUCE!$EB$46:$IY$46)</f>
        <v>0</v>
      </c>
      <c r="MT343" s="56"/>
      <c r="MU343" s="242">
        <f t="shared" si="2354"/>
        <v>0</v>
      </c>
      <c r="MV343" s="242">
        <f t="shared" si="2355"/>
        <v>1625</v>
      </c>
      <c r="MW343" s="56"/>
      <c r="MZ343" s="55">
        <f t="shared" si="2356"/>
        <v>46314</v>
      </c>
      <c r="NA343" s="56"/>
      <c r="NB343" s="242">
        <f>SUMPRODUCT(PRODUCE!$B340:$DY340,PRODUCE!$EB$47:$IY$47)</f>
        <v>0</v>
      </c>
      <c r="NC343" s="56"/>
      <c r="ND343" s="242">
        <f t="shared" si="2357"/>
        <v>0</v>
      </c>
      <c r="NE343" s="242">
        <f t="shared" si="2358"/>
        <v>0</v>
      </c>
      <c r="NF343" s="56"/>
      <c r="NI343" s="55">
        <f t="shared" si="2359"/>
        <v>46314</v>
      </c>
      <c r="NJ343" s="56"/>
      <c r="NK343" s="242">
        <f>SUMPRODUCT(PRODUCE!$B340:$DY340,PRODUCE!$EB$48:$IY$48)</f>
        <v>0</v>
      </c>
      <c r="NL343" s="56"/>
      <c r="NM343" s="242">
        <f t="shared" si="2360"/>
        <v>0</v>
      </c>
      <c r="NN343" s="242">
        <f t="shared" si="2361"/>
        <v>1127</v>
      </c>
      <c r="NO343" s="56"/>
      <c r="NR343" s="55">
        <f t="shared" si="2362"/>
        <v>46314</v>
      </c>
      <c r="NS343" s="56"/>
      <c r="NT343" s="242">
        <f>SUMPRODUCT(PRODUCE!$B340:$DY340,PRODUCE!$EB$49:$IY$49)</f>
        <v>0</v>
      </c>
      <c r="NU343" s="56"/>
      <c r="NV343" s="242">
        <f t="shared" si="2363"/>
        <v>0</v>
      </c>
      <c r="NW343" s="242">
        <f t="shared" si="2364"/>
        <v>3111.9999999999995</v>
      </c>
      <c r="NX343" s="56"/>
      <c r="OA343" s="55">
        <f t="shared" si="2365"/>
        <v>46314</v>
      </c>
      <c r="OB343" s="56"/>
      <c r="OC343" s="242">
        <f>SUMPRODUCT(PRODUCE!$B340:$DY340,PRODUCE!$EB$50:$IY$50)</f>
        <v>0</v>
      </c>
      <c r="OD343" s="56"/>
      <c r="OE343" s="242">
        <f t="shared" si="2366"/>
        <v>0</v>
      </c>
      <c r="OF343" s="242">
        <f t="shared" si="2367"/>
        <v>1680.5</v>
      </c>
      <c r="OG343" s="56"/>
      <c r="OJ343" s="55">
        <f t="shared" si="2368"/>
        <v>46314</v>
      </c>
      <c r="OK343" s="56"/>
      <c r="OL343" s="242">
        <f>SUMPRODUCT(PRODUCE!$B340:$DY340,PRODUCE!$EB$51:$IY$51)</f>
        <v>0</v>
      </c>
      <c r="OM343" s="56"/>
      <c r="ON343" s="242">
        <f t="shared" si="2369"/>
        <v>0</v>
      </c>
      <c r="OO343" s="242">
        <f t="shared" si="2370"/>
        <v>0</v>
      </c>
      <c r="OP343" s="56"/>
      <c r="OS343" s="55">
        <f t="shared" si="2371"/>
        <v>46314</v>
      </c>
      <c r="OT343" s="56"/>
      <c r="OU343" s="242">
        <f>SUMPRODUCT(PRODUCE!$B340:$DY340,PRODUCE!$EB$52:$IY$52)</f>
        <v>0</v>
      </c>
      <c r="OV343" s="56"/>
      <c r="OW343" s="242">
        <f t="shared" si="2372"/>
        <v>0</v>
      </c>
      <c r="OX343" s="242">
        <f t="shared" si="2373"/>
        <v>1482</v>
      </c>
      <c r="OY343" s="56"/>
      <c r="PB343" s="55">
        <f t="shared" si="2374"/>
        <v>46314</v>
      </c>
      <c r="PC343" s="56"/>
      <c r="PD343" s="242">
        <f>SUMPRODUCT(PRODUCE!$B340:$DY340,PRODUCE!$EB$53:$IY$53)</f>
        <v>0</v>
      </c>
      <c r="PE343" s="56"/>
      <c r="PF343" s="242">
        <f t="shared" si="2375"/>
        <v>0</v>
      </c>
      <c r="PG343" s="242">
        <f t="shared" si="2376"/>
        <v>0</v>
      </c>
      <c r="PH343" s="56"/>
      <c r="PK343" s="55">
        <f t="shared" si="2377"/>
        <v>46314</v>
      </c>
      <c r="PL343" s="56"/>
      <c r="PM343" s="242">
        <f>SUMPRODUCT(PRODUCE!$B340:$DY340,PRODUCE!$EB$54:$IY$54)</f>
        <v>0</v>
      </c>
      <c r="PN343" s="56"/>
      <c r="PO343" s="242">
        <f t="shared" si="2378"/>
        <v>0</v>
      </c>
      <c r="PP343" s="242">
        <f t="shared" si="2379"/>
        <v>100</v>
      </c>
      <c r="PQ343" s="56"/>
      <c r="PT343" s="55">
        <f t="shared" si="2380"/>
        <v>46314</v>
      </c>
      <c r="PU343" s="56"/>
      <c r="PV343" s="242">
        <f>SUMPRODUCT(PRODUCE!$B340:$DY340,PRODUCE!$EB$55:$IY$55)</f>
        <v>0</v>
      </c>
      <c r="PW343" s="56"/>
      <c r="PX343" s="242">
        <f t="shared" si="2381"/>
        <v>0</v>
      </c>
      <c r="PY343" s="242">
        <f t="shared" si="2382"/>
        <v>13.960000000000036</v>
      </c>
      <c r="PZ343" s="56"/>
      <c r="QC343" s="55">
        <f t="shared" si="2383"/>
        <v>46314</v>
      </c>
      <c r="QD343" s="56"/>
      <c r="QE343" s="242">
        <f>SUMPRODUCT(PRODUCE!$B340:$DY340,PRODUCE!$EB$56:$IY$56)</f>
        <v>0</v>
      </c>
      <c r="QF343" s="56"/>
      <c r="QG343" s="242">
        <f t="shared" si="2384"/>
        <v>0</v>
      </c>
      <c r="QH343" s="242">
        <f t="shared" si="2385"/>
        <v>548</v>
      </c>
      <c r="QI343" s="56"/>
      <c r="QL343" s="55">
        <f t="shared" si="2386"/>
        <v>46314</v>
      </c>
      <c r="QM343" s="56"/>
      <c r="QN343" s="242">
        <f>SUMPRODUCT(PRODUCE!$B340:$DY340,PRODUCE!$EB$57:$IY$57)</f>
        <v>0</v>
      </c>
      <c r="QO343" s="56"/>
      <c r="QP343" s="242">
        <f t="shared" si="2387"/>
        <v>0</v>
      </c>
      <c r="QQ343" s="242">
        <f t="shared" si="2388"/>
        <v>0</v>
      </c>
      <c r="QR343" s="56"/>
      <c r="QU343" s="55">
        <f t="shared" si="2389"/>
        <v>46314</v>
      </c>
      <c r="QV343" s="56"/>
      <c r="QW343" s="242">
        <f>SUMPRODUCT(PRODUCE!$B340:$DY340,PRODUCE!$EB$57:$IY$57)</f>
        <v>0</v>
      </c>
      <c r="QX343" s="56"/>
      <c r="QY343" s="242">
        <f t="shared" si="2390"/>
        <v>0</v>
      </c>
      <c r="QZ343" s="242">
        <f t="shared" si="2391"/>
        <v>0</v>
      </c>
      <c r="RA343" s="56"/>
      <c r="RD343" s="55">
        <f t="shared" si="2392"/>
        <v>46314</v>
      </c>
      <c r="RE343" s="56"/>
      <c r="RF343" s="242">
        <f>SUMPRODUCT(PRODUCE!$B340:$DY340,PRODUCE!$EB$58:$IY$58)</f>
        <v>0</v>
      </c>
      <c r="RG343" s="56"/>
      <c r="RH343" s="242">
        <f t="shared" si="2393"/>
        <v>0</v>
      </c>
      <c r="RI343" s="242">
        <f t="shared" si="2394"/>
        <v>147.04000000000002</v>
      </c>
      <c r="RJ343" s="56"/>
      <c r="RM343" s="55">
        <f t="shared" si="2395"/>
        <v>46314</v>
      </c>
      <c r="RN343" s="56"/>
      <c r="RO343" s="242">
        <f>SUMPRODUCT(PRODUCE!$B340:$DY340,PRODUCE!$EB$57:$IY$57)</f>
        <v>0</v>
      </c>
      <c r="RP343" s="56"/>
      <c r="RQ343" s="242">
        <f t="shared" si="2396"/>
        <v>0</v>
      </c>
      <c r="RR343" s="242">
        <f t="shared" si="2397"/>
        <v>46.8</v>
      </c>
      <c r="RS343" s="56"/>
      <c r="RV343" s="55">
        <f t="shared" si="2398"/>
        <v>46314</v>
      </c>
      <c r="RW343" s="56"/>
      <c r="RX343" s="242">
        <f>SUMPRODUCT(PRODUCE!$B340:$DY340,PRODUCE!$EB$57:$IY$57)</f>
        <v>0</v>
      </c>
      <c r="RY343" s="56"/>
      <c r="RZ343" s="242">
        <f t="shared" si="2399"/>
        <v>0</v>
      </c>
      <c r="SA343" s="242">
        <f t="shared" si="2400"/>
        <v>0</v>
      </c>
      <c r="SB343" s="56"/>
      <c r="SE343" s="55">
        <f t="shared" si="2401"/>
        <v>46314</v>
      </c>
      <c r="SF343" s="56"/>
      <c r="SG343" s="242">
        <f>SUMPRODUCT(PRODUCE!$B340:$DY340,PRODUCE!$EB$61:$IY$61)</f>
        <v>0</v>
      </c>
      <c r="SH343" s="56"/>
      <c r="SI343" s="242">
        <f t="shared" si="2402"/>
        <v>0</v>
      </c>
      <c r="SJ343" s="242">
        <f t="shared" si="2403"/>
        <v>24.200000000000003</v>
      </c>
      <c r="SK343" s="56"/>
      <c r="SN343" s="55">
        <f t="shared" si="2404"/>
        <v>46314</v>
      </c>
      <c r="SO343" s="56"/>
      <c r="SP343" s="242">
        <f>SUMPRODUCT(PRODUCE!$B340:$DY340,PRODUCE!$EB$57:$IY$57)</f>
        <v>0</v>
      </c>
      <c r="SQ343" s="56"/>
      <c r="SR343" s="242">
        <f t="shared" si="2405"/>
        <v>0</v>
      </c>
      <c r="SS343" s="242">
        <f t="shared" si="2406"/>
        <v>32</v>
      </c>
      <c r="ST343" s="56"/>
      <c r="SW343" s="55">
        <f t="shared" si="2407"/>
        <v>46314</v>
      </c>
      <c r="SX343" s="56"/>
      <c r="SY343" s="242">
        <f>SUMPRODUCT(PRODUCE!$B340:$DY340,PRODUCE!$EB$57:$IY$57)</f>
        <v>0</v>
      </c>
      <c r="SZ343" s="56"/>
      <c r="TA343" s="242">
        <f t="shared" si="2408"/>
        <v>0</v>
      </c>
      <c r="TB343" s="242">
        <f t="shared" si="2409"/>
        <v>0</v>
      </c>
      <c r="TC343" s="56"/>
      <c r="TF343" s="55">
        <f t="shared" si="2410"/>
        <v>46314</v>
      </c>
      <c r="TG343" s="56"/>
      <c r="TH343" s="242">
        <f>SUMPRODUCT(PRODUCE!$B340:$DY340,PRODUCE!$EB$57:$IY$57)</f>
        <v>0</v>
      </c>
      <c r="TI343" s="56"/>
      <c r="TJ343" s="242">
        <f t="shared" si="2411"/>
        <v>0</v>
      </c>
      <c r="TK343" s="242">
        <f t="shared" si="2412"/>
        <v>0</v>
      </c>
      <c r="TL343" s="56"/>
      <c r="TO343" s="55">
        <f t="shared" si="2413"/>
        <v>46314</v>
      </c>
      <c r="TP343" s="56"/>
      <c r="TQ343" s="242">
        <f>SUMPRODUCT(PRODUCE!$B340:$DY340,PRODUCE!$EB$57:$IY$57)</f>
        <v>0</v>
      </c>
      <c r="TR343" s="56"/>
      <c r="TS343" s="242">
        <f t="shared" si="2414"/>
        <v>0</v>
      </c>
      <c r="TT343" s="242">
        <f t="shared" si="2415"/>
        <v>0</v>
      </c>
      <c r="TU343" s="56"/>
      <c r="TX343" s="55">
        <f t="shared" si="2416"/>
        <v>46314</v>
      </c>
      <c r="TY343" s="56"/>
      <c r="TZ343" s="242">
        <f>SUMPRODUCT(PRODUCE!$B340:$DY340,PRODUCE!$EB$57:$IY$57)</f>
        <v>0</v>
      </c>
      <c r="UA343" s="56"/>
      <c r="UB343" s="242">
        <f t="shared" si="2417"/>
        <v>0</v>
      </c>
      <c r="UC343" s="242">
        <f t="shared" si="2418"/>
        <v>46.799999999999983</v>
      </c>
      <c r="UD343" s="56"/>
      <c r="UG343" s="55">
        <f t="shared" si="2419"/>
        <v>46314</v>
      </c>
      <c r="UH343" s="56"/>
      <c r="UI343" s="242">
        <f>SUMPRODUCT(PRODUCE!$B340:$DY340,PRODUCE!$EB$57:$IY$57)</f>
        <v>0</v>
      </c>
      <c r="UJ343" s="56"/>
      <c r="UK343" s="242">
        <f t="shared" si="2420"/>
        <v>0</v>
      </c>
      <c r="UL343" s="242">
        <f t="shared" si="2421"/>
        <v>204</v>
      </c>
      <c r="UM343" s="56"/>
      <c r="UP343" s="55">
        <f t="shared" si="2422"/>
        <v>46314</v>
      </c>
      <c r="UQ343" s="56"/>
      <c r="UR343" s="242">
        <f>SUMPRODUCT(PRODUCE!$B340:$DY340,PRODUCE!$EB$57:$IY$57)</f>
        <v>0</v>
      </c>
      <c r="US343" s="56"/>
      <c r="UT343" s="242">
        <f t="shared" si="2423"/>
        <v>0</v>
      </c>
      <c r="UU343" s="242">
        <f t="shared" si="2424"/>
        <v>202.5</v>
      </c>
      <c r="UV343" s="56"/>
      <c r="UY343" s="55">
        <f t="shared" si="2425"/>
        <v>46314</v>
      </c>
      <c r="UZ343" s="56"/>
      <c r="VA343" s="242">
        <f>SUMPRODUCT(PRODUCE!$B340:$DY340,PRODUCE!$EB$57:$IY$57)</f>
        <v>0</v>
      </c>
      <c r="VB343" s="56"/>
      <c r="VC343" s="242">
        <f t="shared" si="2426"/>
        <v>0</v>
      </c>
      <c r="VD343" s="242">
        <f t="shared" si="2427"/>
        <v>41.600000000000023</v>
      </c>
      <c r="VE343" s="56"/>
      <c r="VH343" s="55">
        <f t="shared" si="2428"/>
        <v>46314</v>
      </c>
      <c r="VI343" s="56"/>
      <c r="VJ343" s="242">
        <f>SUMPRODUCT(PRODUCE!$B340:$DY340,PRODUCE!$EB$57:$IY$57)</f>
        <v>0</v>
      </c>
      <c r="VK343" s="56"/>
      <c r="VL343" s="242">
        <f t="shared" si="2429"/>
        <v>0</v>
      </c>
      <c r="VM343" s="242">
        <f t="shared" si="2430"/>
        <v>210</v>
      </c>
      <c r="VN343" s="56"/>
      <c r="VQ343" s="55">
        <f t="shared" si="2431"/>
        <v>46314</v>
      </c>
      <c r="VR343" s="56"/>
      <c r="VS343" s="242">
        <f>SUMPRODUCT(PRODUCE!$B340:$DY340,PRODUCE!$EB$57:$IY$57)</f>
        <v>0</v>
      </c>
      <c r="VT343" s="56"/>
      <c r="VU343" s="242">
        <f t="shared" si="2432"/>
        <v>0</v>
      </c>
      <c r="VV343" s="242">
        <f t="shared" si="2433"/>
        <v>0</v>
      </c>
      <c r="VW343" s="56"/>
      <c r="VZ343" s="55">
        <f t="shared" si="2434"/>
        <v>46314</v>
      </c>
      <c r="WA343" s="56"/>
      <c r="WB343" s="242">
        <f>SUMPRODUCT(PRODUCE!$B340:$DY340,PRODUCE!$EB$57:$IY$57)</f>
        <v>0</v>
      </c>
      <c r="WC343" s="56"/>
      <c r="WD343" s="242">
        <f t="shared" si="2435"/>
        <v>0</v>
      </c>
      <c r="WE343" s="242">
        <f t="shared" si="2436"/>
        <v>0</v>
      </c>
      <c r="WF343" s="56"/>
      <c r="WI343" s="55">
        <f t="shared" si="2437"/>
        <v>46314</v>
      </c>
      <c r="WJ343" s="56"/>
      <c r="WK343" s="242">
        <f>SUMPRODUCT(PRODUCE!$B340:$DY340,PRODUCE!$EB$57:$IY$57)</f>
        <v>0</v>
      </c>
      <c r="WL343" s="56"/>
      <c r="WM343" s="242">
        <f t="shared" si="2438"/>
        <v>0</v>
      </c>
      <c r="WN343" s="242">
        <f t="shared" si="2439"/>
        <v>1057</v>
      </c>
      <c r="WO343" s="56"/>
      <c r="WR343" s="55">
        <f t="shared" si="2440"/>
        <v>46314</v>
      </c>
      <c r="WS343" s="56"/>
      <c r="WT343" s="242">
        <f>SUMPRODUCT(PRODUCE!$B340:$DY340,PRODUCE!$EB$57:$IY$57)</f>
        <v>0</v>
      </c>
      <c r="WU343" s="56"/>
      <c r="WV343" s="242">
        <f t="shared" si="2441"/>
        <v>0</v>
      </c>
      <c r="WW343" s="242">
        <f t="shared" si="2442"/>
        <v>0</v>
      </c>
      <c r="WX343" s="56"/>
      <c r="XA343" s="55">
        <f t="shared" si="2443"/>
        <v>46314</v>
      </c>
      <c r="XB343" s="56"/>
      <c r="XC343" s="242">
        <f>SUMPRODUCT(PRODUCE!$B340:$DY340,PRODUCE!$EB$57:$IY$57)</f>
        <v>0</v>
      </c>
      <c r="XD343" s="56"/>
      <c r="XE343" s="242">
        <f t="shared" si="2444"/>
        <v>0</v>
      </c>
      <c r="XF343" s="242">
        <f t="shared" si="2445"/>
        <v>7507</v>
      </c>
      <c r="XG343" s="56"/>
      <c r="XJ343" s="55">
        <f t="shared" si="2446"/>
        <v>46314</v>
      </c>
      <c r="XK343" s="56"/>
      <c r="XL343" s="242">
        <f>SUMPRODUCT(PRODUCE!$B340:$DY340,PRODUCE!$EB$57:$IY$57)</f>
        <v>0</v>
      </c>
      <c r="XM343" s="56"/>
      <c r="XN343" s="242">
        <f t="shared" si="2447"/>
        <v>0</v>
      </c>
      <c r="XO343" s="242">
        <f t="shared" si="2448"/>
        <v>4252</v>
      </c>
      <c r="XP343" s="56"/>
      <c r="XS343" s="55">
        <f t="shared" si="2449"/>
        <v>46314</v>
      </c>
      <c r="XT343" s="56"/>
      <c r="XU343" s="242">
        <f>SUMPRODUCT(PRODUCE!$B340:$DY340,PRODUCE!$EB$57:$IY$57)</f>
        <v>0</v>
      </c>
      <c r="XV343" s="56"/>
      <c r="XW343" s="242">
        <f t="shared" si="2450"/>
        <v>0</v>
      </c>
      <c r="XX343" s="242">
        <f t="shared" si="2451"/>
        <v>2179</v>
      </c>
      <c r="XY343" s="56"/>
      <c r="YB343" s="55">
        <f t="shared" si="2452"/>
        <v>46314</v>
      </c>
      <c r="YC343" s="56"/>
      <c r="YD343" s="242">
        <f>SUMPRODUCT(PRODUCE!$B340:$DY340,PRODUCE!$EB$57:$IY$57)</f>
        <v>0</v>
      </c>
      <c r="YE343" s="56"/>
      <c r="YF343" s="242">
        <f t="shared" si="2453"/>
        <v>0</v>
      </c>
      <c r="YG343" s="242">
        <f t="shared" si="2454"/>
        <v>4019</v>
      </c>
      <c r="YH343" s="56"/>
      <c r="YK343" s="55">
        <f t="shared" si="2455"/>
        <v>46314</v>
      </c>
      <c r="YL343" s="56"/>
      <c r="YM343" s="242">
        <f>SUMPRODUCT(PRODUCE!$B340:$DY340,PRODUCE!$EB$57:$IY$57)</f>
        <v>0</v>
      </c>
      <c r="YN343" s="56"/>
      <c r="YO343" s="242">
        <f t="shared" si="2456"/>
        <v>0</v>
      </c>
      <c r="YP343" s="242">
        <f t="shared" si="2457"/>
        <v>-218</v>
      </c>
      <c r="YQ343" s="56"/>
      <c r="YT343" s="55">
        <f t="shared" si="2458"/>
        <v>46314</v>
      </c>
      <c r="YU343" s="56"/>
      <c r="YV343" s="242">
        <f>SUMPRODUCT(PRODUCE!$B340:$DY340,PRODUCE!$EB$57:$IY$57)</f>
        <v>0</v>
      </c>
      <c r="YW343" s="56"/>
      <c r="YX343" s="242">
        <f t="shared" si="2459"/>
        <v>0</v>
      </c>
      <c r="YY343" s="242">
        <f t="shared" si="2460"/>
        <v>0</v>
      </c>
      <c r="YZ343" s="56"/>
      <c r="ZC343" s="55">
        <f t="shared" si="2461"/>
        <v>46314</v>
      </c>
      <c r="ZD343" s="56"/>
      <c r="ZE343" s="242">
        <f>SUMPRODUCT(PRODUCE!$B340:$DY340,PRODUCE!$EB$57:$IY$57)</f>
        <v>0</v>
      </c>
      <c r="ZF343" s="56"/>
      <c r="ZG343" s="242">
        <f t="shared" si="2462"/>
        <v>0</v>
      </c>
      <c r="ZH343" s="242">
        <f t="shared" si="2463"/>
        <v>0</v>
      </c>
      <c r="ZI343" s="56"/>
      <c r="ZL343" s="55">
        <f t="shared" si="2464"/>
        <v>46314</v>
      </c>
      <c r="ZM343" s="56"/>
      <c r="ZN343" s="242">
        <f>SUMPRODUCT(PRODUCE!$B340:$DY340,PRODUCE!$EB$57:$IY$57)</f>
        <v>0</v>
      </c>
      <c r="ZO343" s="56"/>
      <c r="ZP343" s="242">
        <f t="shared" si="2465"/>
        <v>0</v>
      </c>
      <c r="ZQ343" s="242">
        <f t="shared" si="2466"/>
        <v>0</v>
      </c>
      <c r="ZR343" s="56"/>
      <c r="ZU343" s="55">
        <f t="shared" si="2467"/>
        <v>46314</v>
      </c>
      <c r="ZV343" s="56"/>
      <c r="ZW343" s="242">
        <f>SUMPRODUCT(PRODUCE!$B340:$DY340,PRODUCE!$EB$57:$IY$57)</f>
        <v>0</v>
      </c>
      <c r="ZX343" s="56"/>
      <c r="ZY343" s="242">
        <f t="shared" si="2468"/>
        <v>0</v>
      </c>
      <c r="ZZ343" s="242">
        <f t="shared" si="2469"/>
        <v>0</v>
      </c>
      <c r="AAA343" s="56"/>
      <c r="AAD343" s="55">
        <f t="shared" si="2470"/>
        <v>46314</v>
      </c>
      <c r="AAE343" s="56"/>
      <c r="AAF343" s="242">
        <f>SUMPRODUCT(PRODUCE!$B340:$DY340,PRODUCE!$EB$57:$IY$57)</f>
        <v>0</v>
      </c>
      <c r="AAG343" s="56"/>
      <c r="AAH343" s="242">
        <f t="shared" si="2471"/>
        <v>0</v>
      </c>
      <c r="AAI343" s="242">
        <f t="shared" si="2472"/>
        <v>0</v>
      </c>
      <c r="AAJ343" s="56"/>
      <c r="AAM343" s="55">
        <f t="shared" si="2473"/>
        <v>46314</v>
      </c>
      <c r="AAN343" s="56"/>
      <c r="AAO343" s="242">
        <f>SUMPRODUCT(PRODUCE!$B340:$DY340,PRODUCE!$EB$57:$IY$57)</f>
        <v>0</v>
      </c>
      <c r="AAP343" s="56"/>
      <c r="AAQ343" s="242">
        <f t="shared" si="2474"/>
        <v>0</v>
      </c>
      <c r="AAR343" s="242">
        <f t="shared" si="2475"/>
        <v>0</v>
      </c>
      <c r="AAS343" s="56"/>
      <c r="AAV343" s="55">
        <f t="shared" si="2476"/>
        <v>46314</v>
      </c>
      <c r="AAW343" s="56"/>
      <c r="AAX343" s="242">
        <f>SUMPRODUCT(PRODUCE!$B340:$DY340,PRODUCE!$EB$57:$IY$57)</f>
        <v>0</v>
      </c>
      <c r="AAY343" s="56"/>
      <c r="AAZ343" s="242">
        <f t="shared" si="2477"/>
        <v>0</v>
      </c>
      <c r="ABA343" s="242">
        <f t="shared" si="2478"/>
        <v>0</v>
      </c>
      <c r="ABB343" s="56"/>
      <c r="ABE343" s="55">
        <f t="shared" si="2479"/>
        <v>46314</v>
      </c>
      <c r="ABF343" s="56"/>
      <c r="ABG343" s="242">
        <f>SUMPRODUCT(PRODUCE!$B340:$DY340,PRODUCE!$EB$57:$IY$57)</f>
        <v>0</v>
      </c>
      <c r="ABH343" s="56"/>
      <c r="ABI343" s="242">
        <f t="shared" si="2480"/>
        <v>0</v>
      </c>
      <c r="ABJ343" s="242">
        <f t="shared" si="2481"/>
        <v>0</v>
      </c>
      <c r="ABK343" s="56"/>
    </row>
    <row r="344" spans="2:739" s="54" customFormat="1" ht="15" customHeight="1" outlineLevel="1">
      <c r="B344" s="478"/>
      <c r="C344" s="55">
        <v>46315</v>
      </c>
      <c r="D344" s="56"/>
      <c r="E344" s="57">
        <f>SUMPRODUCT(PRODUCE!$B341:$DY341,PRODUCE!$EB$7:$IY$7)</f>
        <v>0</v>
      </c>
      <c r="F344" s="56"/>
      <c r="G344" s="57">
        <f t="shared" si="2237"/>
        <v>0</v>
      </c>
      <c r="H344" s="57">
        <f t="shared" si="2238"/>
        <v>236936.6</v>
      </c>
      <c r="I344" s="289"/>
      <c r="L344" s="55">
        <f t="shared" si="2239"/>
        <v>46315</v>
      </c>
      <c r="M344" s="56"/>
      <c r="N344" s="59">
        <f>SUMPRODUCT(PRODUCE!$B341:$DY341,PRODUCE!$EB$8:$IY$8)</f>
        <v>0</v>
      </c>
      <c r="O344" s="56"/>
      <c r="P344" s="59">
        <f t="shared" si="2240"/>
        <v>0</v>
      </c>
      <c r="Q344" s="59">
        <f t="shared" si="2241"/>
        <v>53017.600000000071</v>
      </c>
      <c r="R344" s="56"/>
      <c r="U344" s="55">
        <f t="shared" si="2242"/>
        <v>46315</v>
      </c>
      <c r="V344" s="56"/>
      <c r="W344" s="60">
        <f>SUMPRODUCT(PRODUCE!$B341:$DY341,PRODUCE!$EB$9:$IY$9)</f>
        <v>0</v>
      </c>
      <c r="X344" s="56"/>
      <c r="Y344" s="60">
        <f t="shared" si="2243"/>
        <v>0</v>
      </c>
      <c r="Z344" s="60">
        <f t="shared" si="2244"/>
        <v>42674.199999999968</v>
      </c>
      <c r="AA344" s="56"/>
      <c r="AD344" s="55">
        <f t="shared" si="2245"/>
        <v>46315</v>
      </c>
      <c r="AE344" s="56"/>
      <c r="AF344" s="61">
        <f>SUMPRODUCT(PRODUCE!$B341:$DY341,PRODUCE!$EB$10:$IY$10)</f>
        <v>0</v>
      </c>
      <c r="AG344" s="56"/>
      <c r="AH344" s="61">
        <f t="shared" si="2246"/>
        <v>0</v>
      </c>
      <c r="AI344" s="61">
        <f t="shared" si="2247"/>
        <v>4522.2000000000189</v>
      </c>
      <c r="AJ344" s="56"/>
      <c r="AM344" s="55">
        <f t="shared" si="2248"/>
        <v>46315</v>
      </c>
      <c r="AN344" s="422"/>
      <c r="AO344" s="444">
        <f>SUMPRODUCT(PRODUCE!$B341:$DY341,PRODUCE!$EB$11:$IY$11)</f>
        <v>0</v>
      </c>
      <c r="AP344" s="422"/>
      <c r="AQ344" s="444">
        <f t="shared" si="2249"/>
        <v>0</v>
      </c>
      <c r="AR344" s="444">
        <f t="shared" si="2250"/>
        <v>0</v>
      </c>
      <c r="AS344" s="56"/>
      <c r="AV344" s="55">
        <f t="shared" si="2251"/>
        <v>46315</v>
      </c>
      <c r="AW344" s="56"/>
      <c r="AX344" s="62">
        <f>SUMPRODUCT(PRODUCE!$B341:$DY341,PRODUCE!$EB$12:$IY$12)</f>
        <v>0</v>
      </c>
      <c r="AY344" s="56"/>
      <c r="AZ344" s="62">
        <f t="shared" si="2252"/>
        <v>0</v>
      </c>
      <c r="BA344" s="62">
        <f t="shared" si="2253"/>
        <v>124.99999999999523</v>
      </c>
      <c r="BB344" s="56"/>
      <c r="BE344" s="55">
        <f t="shared" si="2254"/>
        <v>46315</v>
      </c>
      <c r="BF344" s="56"/>
      <c r="BG344" s="63">
        <f>SUMPRODUCT(PRODUCE!$B341:$DY341,PRODUCE!$EB$13:$IY$13)</f>
        <v>0</v>
      </c>
      <c r="BH344" s="56"/>
      <c r="BI344" s="63">
        <f t="shared" si="2255"/>
        <v>0</v>
      </c>
      <c r="BJ344" s="63">
        <f t="shared" si="2256"/>
        <v>26151.899999999998</v>
      </c>
      <c r="BK344" s="56"/>
      <c r="BN344" s="55">
        <f t="shared" si="2257"/>
        <v>46315</v>
      </c>
      <c r="BO344" s="56"/>
      <c r="BP344" s="64">
        <f>SUMPRODUCT(PRODUCE!$B341:$DY341,PRODUCE!$EB$14:$IY$14)</f>
        <v>0</v>
      </c>
      <c r="BQ344" s="56"/>
      <c r="BR344" s="64">
        <f t="shared" si="2258"/>
        <v>0</v>
      </c>
      <c r="BS344" s="64">
        <f t="shared" si="2259"/>
        <v>0</v>
      </c>
      <c r="BT344" s="56"/>
      <c r="BW344" s="55">
        <f t="shared" si="2260"/>
        <v>46315</v>
      </c>
      <c r="BX344" s="56"/>
      <c r="BY344" s="65">
        <f>SUMPRODUCT(PRODUCE!$B341:$DY341,PRODUCE!$EB$15:$IY$15)</f>
        <v>0</v>
      </c>
      <c r="BZ344" s="56"/>
      <c r="CA344" s="65">
        <f t="shared" si="2261"/>
        <v>0</v>
      </c>
      <c r="CB344" s="65">
        <f t="shared" si="2262"/>
        <v>2097.3399999999992</v>
      </c>
      <c r="CC344" s="56"/>
      <c r="CF344" s="55">
        <f t="shared" si="2263"/>
        <v>46315</v>
      </c>
      <c r="CG344" s="56"/>
      <c r="CH344" s="66">
        <f>SUMPRODUCT(PRODUCE!$B341:$DY341,PRODUCE!$EB$16:$IY$16)</f>
        <v>0</v>
      </c>
      <c r="CI344" s="56"/>
      <c r="CJ344" s="66">
        <f t="shared" si="2264"/>
        <v>0</v>
      </c>
      <c r="CK344" s="66">
        <f t="shared" si="2265"/>
        <v>-10277.079999999998</v>
      </c>
      <c r="CL344" s="56"/>
      <c r="CO344" s="55">
        <f t="shared" si="2266"/>
        <v>46315</v>
      </c>
      <c r="CP344" s="422"/>
      <c r="CQ344" s="470">
        <f>SUMPRODUCT(PRODUCE!$B341:$DY341,PRODUCE!$EB$17:$IY$17)</f>
        <v>0</v>
      </c>
      <c r="CR344" s="422"/>
      <c r="CS344" s="470">
        <f t="shared" si="2267"/>
        <v>0</v>
      </c>
      <c r="CT344" s="470">
        <f t="shared" si="2268"/>
        <v>0</v>
      </c>
      <c r="CU344" s="56"/>
      <c r="CX344" s="55">
        <f t="shared" si="2269"/>
        <v>46315</v>
      </c>
      <c r="CY344" s="56"/>
      <c r="CZ344" s="133">
        <f>SUMPRODUCT(PRODUCE!$B341:$DY341,PRODUCE!$EB$18:$IY$18)</f>
        <v>0</v>
      </c>
      <c r="DA344" s="56"/>
      <c r="DB344" s="133">
        <f t="shared" si="2270"/>
        <v>0</v>
      </c>
      <c r="DC344" s="133">
        <f t="shared" si="2271"/>
        <v>27438.200000000012</v>
      </c>
      <c r="DD344" s="56"/>
      <c r="DG344" s="55">
        <f t="shared" si="2272"/>
        <v>46315</v>
      </c>
      <c r="DH344" s="56"/>
      <c r="DI344" s="147">
        <f>SUMPRODUCT(PRODUCE!$B341:$DY341,PRODUCE!$EB$19:$IY$19)</f>
        <v>0</v>
      </c>
      <c r="DJ344" s="56"/>
      <c r="DK344" s="147">
        <f t="shared" si="2273"/>
        <v>0</v>
      </c>
      <c r="DL344" s="147">
        <f t="shared" si="2274"/>
        <v>18782.299999999981</v>
      </c>
      <c r="DM344" s="56"/>
      <c r="DP344" s="55">
        <f t="shared" si="2275"/>
        <v>46315</v>
      </c>
      <c r="DQ344" s="56"/>
      <c r="DR344" s="57">
        <f>SUMPRODUCT(PRODUCE!$B341:$DY341,PRODUCE!$EB$20:$IY$20)</f>
        <v>0</v>
      </c>
      <c r="DS344" s="56"/>
      <c r="DT344" s="57">
        <f t="shared" si="2276"/>
        <v>0</v>
      </c>
      <c r="DU344" s="57">
        <f t="shared" si="2277"/>
        <v>5800</v>
      </c>
      <c r="DV344" s="56"/>
      <c r="DY344" s="55">
        <f t="shared" si="2278"/>
        <v>46315</v>
      </c>
      <c r="DZ344" s="56"/>
      <c r="EA344" s="157">
        <f>SUMPRODUCT(PRODUCE!$B341:$DY341,PRODUCE!$EB$21:$IY$21)</f>
        <v>0</v>
      </c>
      <c r="EB344" s="56"/>
      <c r="EC344" s="157">
        <f t="shared" si="2279"/>
        <v>0</v>
      </c>
      <c r="ED344" s="157">
        <f t="shared" si="2280"/>
        <v>0</v>
      </c>
      <c r="EE344" s="56"/>
      <c r="EH344" s="55">
        <f t="shared" si="2281"/>
        <v>46315</v>
      </c>
      <c r="EI344" s="56"/>
      <c r="EJ344" s="162">
        <f>SUMPRODUCT(PRODUCE!$B341:$DY341,PRODUCE!$EB$22:$IY$22)</f>
        <v>0</v>
      </c>
      <c r="EK344" s="56"/>
      <c r="EL344" s="162">
        <f t="shared" si="2282"/>
        <v>0</v>
      </c>
      <c r="EM344" s="162">
        <f t="shared" si="2283"/>
        <v>0</v>
      </c>
      <c r="EN344" s="56"/>
      <c r="EQ344" s="55">
        <f t="shared" si="2284"/>
        <v>46315</v>
      </c>
      <c r="ER344" s="56"/>
      <c r="ES344" s="135">
        <f>SUMPRODUCT(PRODUCE!$B341:$DY341,PRODUCE!$EB$23:$IY$23)</f>
        <v>0</v>
      </c>
      <c r="ET344" s="56"/>
      <c r="EU344" s="135">
        <f t="shared" si="2285"/>
        <v>0</v>
      </c>
      <c r="EV344" s="135">
        <f t="shared" si="2286"/>
        <v>0</v>
      </c>
      <c r="EW344" s="56"/>
      <c r="EZ344" s="55">
        <f t="shared" si="2287"/>
        <v>46315</v>
      </c>
      <c r="FA344" s="56"/>
      <c r="FB344" s="175">
        <f>SUMPRODUCT(PRODUCE!$B341:$DY341,PRODUCE!$EB$24:$IY$24)</f>
        <v>0</v>
      </c>
      <c r="FC344" s="56"/>
      <c r="FD344" s="175">
        <f t="shared" si="2288"/>
        <v>0</v>
      </c>
      <c r="FE344" s="175">
        <f t="shared" si="2289"/>
        <v>0</v>
      </c>
      <c r="FF344" s="56"/>
      <c r="FI344" s="55">
        <f t="shared" si="2290"/>
        <v>46315</v>
      </c>
      <c r="FJ344" s="56"/>
      <c r="FK344" s="183">
        <f>SUMPRODUCT(PRODUCE!$B341:$DY341,PRODUCE!$EB$25:$IY$25)</f>
        <v>0</v>
      </c>
      <c r="FL344" s="56"/>
      <c r="FM344" s="183">
        <f t="shared" si="2291"/>
        <v>0</v>
      </c>
      <c r="FN344" s="183">
        <f t="shared" si="2292"/>
        <v>0</v>
      </c>
      <c r="FO344" s="56"/>
      <c r="FR344" s="55">
        <f t="shared" si="2293"/>
        <v>46315</v>
      </c>
      <c r="FS344" s="56"/>
      <c r="FT344" s="186">
        <f>SUMPRODUCT(PRODUCE!$B341:$DY341,PRODUCE!$EB$26:$IY$26)</f>
        <v>0</v>
      </c>
      <c r="FU344" s="56"/>
      <c r="FV344" s="186">
        <f t="shared" si="2294"/>
        <v>0</v>
      </c>
      <c r="FW344" s="186">
        <f t="shared" si="2295"/>
        <v>2020</v>
      </c>
      <c r="FX344" s="56"/>
      <c r="GA344" s="55">
        <f t="shared" si="2296"/>
        <v>46315</v>
      </c>
      <c r="GB344" s="56"/>
      <c r="GC344" s="137">
        <f>SUMPRODUCT(PRODUCE!$B341:$DY341,PRODUCE!$EB$27:$IY$27)</f>
        <v>0</v>
      </c>
      <c r="GD344" s="56"/>
      <c r="GE344" s="137">
        <f t="shared" si="2297"/>
        <v>0</v>
      </c>
      <c r="GF344" s="137">
        <f t="shared" si="2298"/>
        <v>960</v>
      </c>
      <c r="GG344" s="56"/>
      <c r="GI344" s="23"/>
      <c r="GJ344" s="55">
        <f t="shared" si="2299"/>
        <v>46315</v>
      </c>
      <c r="GK344" s="56"/>
      <c r="GL344" s="199">
        <f>SUMPRODUCT(PRODUCE!$B341:$DY341,PRODUCE!$EB$28:$IY$28)</f>
        <v>0</v>
      </c>
      <c r="GM344" s="56"/>
      <c r="GN344" s="199">
        <f t="shared" si="2300"/>
        <v>0</v>
      </c>
      <c r="GO344" s="199">
        <f t="shared" si="2301"/>
        <v>1760</v>
      </c>
      <c r="GP344" s="56"/>
      <c r="GS344" s="55">
        <f t="shared" si="2302"/>
        <v>46315</v>
      </c>
      <c r="GT344" s="56"/>
      <c r="GU344" s="195">
        <f>SUMPRODUCT(PRODUCE!$B341:$DY341,PRODUCE!$EB$29:$IY$29)</f>
        <v>0</v>
      </c>
      <c r="GV344" s="56"/>
      <c r="GW344" s="195">
        <f t="shared" si="2303"/>
        <v>0</v>
      </c>
      <c r="GX344" s="195">
        <f t="shared" si="2304"/>
        <v>400</v>
      </c>
      <c r="GY344" s="56"/>
      <c r="HB344" s="55">
        <f t="shared" si="2305"/>
        <v>46315</v>
      </c>
      <c r="HC344" s="56"/>
      <c r="HD344" s="191">
        <f>SUMPRODUCT(PRODUCE!$B341:$DY341,PRODUCE!$EB$30:$IY$30)</f>
        <v>0</v>
      </c>
      <c r="HE344" s="56"/>
      <c r="HF344" s="191">
        <f t="shared" si="2306"/>
        <v>0</v>
      </c>
      <c r="HG344" s="191">
        <f t="shared" si="2307"/>
        <v>3600</v>
      </c>
      <c r="HH344" s="56"/>
      <c r="HK344" s="55">
        <f t="shared" si="2308"/>
        <v>46315</v>
      </c>
      <c r="HL344" s="56"/>
      <c r="HM344" s="63">
        <f>SUMPRODUCT(PRODUCE!$B341:$DY341,PRODUCE!$EB$31:$IY$31)</f>
        <v>0</v>
      </c>
      <c r="HN344" s="56"/>
      <c r="HO344" s="63">
        <f t="shared" si="2309"/>
        <v>0</v>
      </c>
      <c r="HP344" s="63">
        <f t="shared" si="2310"/>
        <v>0</v>
      </c>
      <c r="HQ344" s="56"/>
      <c r="HU344" s="55">
        <f t="shared" si="2311"/>
        <v>46315</v>
      </c>
      <c r="HV344" s="56"/>
      <c r="HW344" s="242">
        <f>SUMPRODUCT(PRODUCE!$B341:$DY341,PRODUCE!$EB$32:$IY$32)</f>
        <v>0</v>
      </c>
      <c r="HX344" s="56"/>
      <c r="HY344" s="242">
        <f t="shared" si="2312"/>
        <v>0</v>
      </c>
      <c r="HZ344" s="242">
        <f t="shared" si="2313"/>
        <v>6120</v>
      </c>
      <c r="IA344" s="56"/>
      <c r="ID344" s="55">
        <f t="shared" si="2314"/>
        <v>46315</v>
      </c>
      <c r="IE344" s="56"/>
      <c r="IF344" s="242">
        <f>SUMPRODUCT(PRODUCE!$B341:$DY341,PRODUCE!$EB$33:$IY$33)</f>
        <v>0</v>
      </c>
      <c r="IG344" s="56"/>
      <c r="IH344" s="242">
        <f t="shared" si="2315"/>
        <v>0</v>
      </c>
      <c r="II344" s="242">
        <f t="shared" si="2316"/>
        <v>0</v>
      </c>
      <c r="IJ344" s="56"/>
      <c r="IM344" s="55">
        <f t="shared" si="2317"/>
        <v>46315</v>
      </c>
      <c r="IN344" s="56"/>
      <c r="IO344" s="242">
        <f>SUMPRODUCT(PRODUCE!$B341:$DY341,PRODUCE!$EB$34:$IY$34)</f>
        <v>0</v>
      </c>
      <c r="IP344" s="56"/>
      <c r="IQ344" s="242">
        <f t="shared" si="2318"/>
        <v>0</v>
      </c>
      <c r="IR344" s="242">
        <f t="shared" si="2319"/>
        <v>0</v>
      </c>
      <c r="IS344" s="56"/>
      <c r="IV344" s="55">
        <f t="shared" si="2320"/>
        <v>46315</v>
      </c>
      <c r="IW344" s="56"/>
      <c r="IX344" s="242">
        <f>SUMPRODUCT(PRODUCE!$B341:$DY341,PRODUCE!$EB$35:$IY$35)</f>
        <v>0</v>
      </c>
      <c r="IY344" s="56"/>
      <c r="IZ344" s="242">
        <f t="shared" si="2321"/>
        <v>0</v>
      </c>
      <c r="JA344" s="242">
        <f t="shared" si="2322"/>
        <v>2820</v>
      </c>
      <c r="JB344" s="56"/>
      <c r="JE344" s="55">
        <f t="shared" si="2323"/>
        <v>46315</v>
      </c>
      <c r="JF344" s="56"/>
      <c r="JG344" s="242">
        <f>SUMPRODUCT(PRODUCE!$B341:$DY341,PRODUCE!$EB$36:$IY$36)</f>
        <v>0</v>
      </c>
      <c r="JH344" s="56"/>
      <c r="JI344" s="242">
        <f t="shared" si="2324"/>
        <v>0</v>
      </c>
      <c r="JJ344" s="242">
        <f t="shared" si="2325"/>
        <v>0</v>
      </c>
      <c r="JK344" s="56"/>
      <c r="JN344" s="55">
        <f t="shared" si="2326"/>
        <v>46315</v>
      </c>
      <c r="JO344" s="56"/>
      <c r="JP344" s="242">
        <f>SUMPRODUCT(PRODUCE!$B341:$DY341,PRODUCE!$EB$37:$IY$37)</f>
        <v>0</v>
      </c>
      <c r="JQ344" s="56"/>
      <c r="JR344" s="242">
        <f t="shared" si="2327"/>
        <v>0</v>
      </c>
      <c r="JS344" s="242">
        <f t="shared" si="2328"/>
        <v>0</v>
      </c>
      <c r="JT344" s="56"/>
      <c r="JW344" s="55">
        <f t="shared" si="2329"/>
        <v>46315</v>
      </c>
      <c r="JX344" s="56"/>
      <c r="JY344" s="242">
        <f>SUMPRODUCT(PRODUCE!$B341:$DY341,PRODUCE!$EB$38:$IY$38)</f>
        <v>0</v>
      </c>
      <c r="JZ344" s="56"/>
      <c r="KA344" s="242">
        <f t="shared" si="2330"/>
        <v>0</v>
      </c>
      <c r="KB344" s="242">
        <f t="shared" si="2331"/>
        <v>2540</v>
      </c>
      <c r="KC344" s="56"/>
      <c r="KF344" s="55">
        <f t="shared" si="2332"/>
        <v>46315</v>
      </c>
      <c r="KG344" s="56"/>
      <c r="KH344" s="242">
        <f>SUMPRODUCT(PRODUCE!$B341:$DY341,PRODUCE!$EB$39:$IY$39)</f>
        <v>0</v>
      </c>
      <c r="KI344" s="56"/>
      <c r="KJ344" s="242">
        <f t="shared" si="2333"/>
        <v>0</v>
      </c>
      <c r="KK344" s="242">
        <f t="shared" si="2334"/>
        <v>2359.5</v>
      </c>
      <c r="KL344" s="56"/>
      <c r="KO344" s="55">
        <f t="shared" si="2335"/>
        <v>46315</v>
      </c>
      <c r="KP344" s="56"/>
      <c r="KQ344" s="242">
        <f>SUMPRODUCT(PRODUCE!$B341:$DY341,PRODUCE!$EB$40:$IY$40)</f>
        <v>0</v>
      </c>
      <c r="KR344" s="56"/>
      <c r="KS344" s="242">
        <f t="shared" si="2336"/>
        <v>0</v>
      </c>
      <c r="KT344" s="242">
        <f t="shared" si="2337"/>
        <v>1890</v>
      </c>
      <c r="KU344" s="56"/>
      <c r="KW344" s="23"/>
      <c r="KX344" s="55">
        <f t="shared" si="2338"/>
        <v>46315</v>
      </c>
      <c r="KY344" s="56"/>
      <c r="KZ344" s="242">
        <f>SUMPRODUCT(PRODUCE!$B341:$DY341,PRODUCE!$EB$41:$IY$41)</f>
        <v>0</v>
      </c>
      <c r="LA344" s="56"/>
      <c r="LB344" s="242">
        <f t="shared" si="2339"/>
        <v>0</v>
      </c>
      <c r="LC344" s="242">
        <f t="shared" si="2340"/>
        <v>3690</v>
      </c>
      <c r="LD344" s="56"/>
      <c r="LG344" s="55">
        <f t="shared" si="2341"/>
        <v>46315</v>
      </c>
      <c r="LH344" s="56"/>
      <c r="LI344" s="242">
        <f>SUMPRODUCT(PRODUCE!$B341:$DY341,PRODUCE!$EB$42:$IY$42)</f>
        <v>0</v>
      </c>
      <c r="LJ344" s="56"/>
      <c r="LK344" s="242">
        <f t="shared" si="2342"/>
        <v>0</v>
      </c>
      <c r="LL344" s="242">
        <f t="shared" si="2343"/>
        <v>4000</v>
      </c>
      <c r="LM344" s="56"/>
      <c r="LP344" s="55">
        <f t="shared" si="2344"/>
        <v>46315</v>
      </c>
      <c r="LQ344" s="56"/>
      <c r="LR344" s="242">
        <f>SUMPRODUCT(PRODUCE!$B341:$DY341,PRODUCE!$EB$43:$IY$43)</f>
        <v>0</v>
      </c>
      <c r="LS344" s="56"/>
      <c r="LT344" s="242">
        <f t="shared" si="2345"/>
        <v>0</v>
      </c>
      <c r="LU344" s="242">
        <f t="shared" si="2346"/>
        <v>0</v>
      </c>
      <c r="LV344" s="56"/>
      <c r="LY344" s="55">
        <f t="shared" si="2347"/>
        <v>46315</v>
      </c>
      <c r="LZ344" s="56"/>
      <c r="MA344" s="242">
        <f>SUMPRODUCT(PRODUCE!$B341:$DY341,PRODUCE!$EB$44:$IY$44)</f>
        <v>0</v>
      </c>
      <c r="MB344" s="56"/>
      <c r="MC344" s="242">
        <f t="shared" si="2348"/>
        <v>0</v>
      </c>
      <c r="MD344" s="242">
        <f t="shared" si="2349"/>
        <v>0</v>
      </c>
      <c r="ME344" s="56"/>
      <c r="MH344" s="55">
        <f t="shared" si="2350"/>
        <v>46315</v>
      </c>
      <c r="MI344" s="56"/>
      <c r="MJ344" s="242">
        <f>SUMPRODUCT(PRODUCE!$B341:$DY341,PRODUCE!$EB$45:$IY$45)</f>
        <v>0</v>
      </c>
      <c r="MK344" s="56"/>
      <c r="ML344" s="242">
        <f t="shared" si="2351"/>
        <v>0</v>
      </c>
      <c r="MM344" s="242">
        <f t="shared" si="2352"/>
        <v>0</v>
      </c>
      <c r="MN344" s="56"/>
      <c r="MQ344" s="55">
        <f t="shared" si="2353"/>
        <v>46315</v>
      </c>
      <c r="MR344" s="56"/>
      <c r="MS344" s="242">
        <f>SUMPRODUCT(PRODUCE!$B341:$DY341,PRODUCE!$EB$46:$IY$46)</f>
        <v>0</v>
      </c>
      <c r="MT344" s="56"/>
      <c r="MU344" s="242">
        <f t="shared" si="2354"/>
        <v>0</v>
      </c>
      <c r="MV344" s="242">
        <f t="shared" si="2355"/>
        <v>1625</v>
      </c>
      <c r="MW344" s="56"/>
      <c r="MZ344" s="55">
        <f t="shared" si="2356"/>
        <v>46315</v>
      </c>
      <c r="NA344" s="56"/>
      <c r="NB344" s="242">
        <f>SUMPRODUCT(PRODUCE!$B341:$DY341,PRODUCE!$EB$47:$IY$47)</f>
        <v>0</v>
      </c>
      <c r="NC344" s="56"/>
      <c r="ND344" s="242">
        <f t="shared" si="2357"/>
        <v>0</v>
      </c>
      <c r="NE344" s="242">
        <f t="shared" si="2358"/>
        <v>0</v>
      </c>
      <c r="NF344" s="56"/>
      <c r="NI344" s="55">
        <f t="shared" si="2359"/>
        <v>46315</v>
      </c>
      <c r="NJ344" s="56"/>
      <c r="NK344" s="242">
        <f>SUMPRODUCT(PRODUCE!$B341:$DY341,PRODUCE!$EB$48:$IY$48)</f>
        <v>0</v>
      </c>
      <c r="NL344" s="56"/>
      <c r="NM344" s="242">
        <f t="shared" si="2360"/>
        <v>0</v>
      </c>
      <c r="NN344" s="242">
        <f t="shared" si="2361"/>
        <v>1127</v>
      </c>
      <c r="NO344" s="56"/>
      <c r="NR344" s="55">
        <f t="shared" si="2362"/>
        <v>46315</v>
      </c>
      <c r="NS344" s="56"/>
      <c r="NT344" s="242">
        <f>SUMPRODUCT(PRODUCE!$B341:$DY341,PRODUCE!$EB$49:$IY$49)</f>
        <v>0</v>
      </c>
      <c r="NU344" s="56"/>
      <c r="NV344" s="242">
        <f t="shared" si="2363"/>
        <v>0</v>
      </c>
      <c r="NW344" s="242">
        <f t="shared" si="2364"/>
        <v>3111.9999999999995</v>
      </c>
      <c r="NX344" s="56"/>
      <c r="OA344" s="55">
        <f t="shared" si="2365"/>
        <v>46315</v>
      </c>
      <c r="OB344" s="56"/>
      <c r="OC344" s="242">
        <f>SUMPRODUCT(PRODUCE!$B341:$DY341,PRODUCE!$EB$50:$IY$50)</f>
        <v>0</v>
      </c>
      <c r="OD344" s="56"/>
      <c r="OE344" s="242">
        <f t="shared" si="2366"/>
        <v>0</v>
      </c>
      <c r="OF344" s="242">
        <f t="shared" si="2367"/>
        <v>1680.5</v>
      </c>
      <c r="OG344" s="56"/>
      <c r="OJ344" s="55">
        <f t="shared" si="2368"/>
        <v>46315</v>
      </c>
      <c r="OK344" s="56"/>
      <c r="OL344" s="242">
        <f>SUMPRODUCT(PRODUCE!$B341:$DY341,PRODUCE!$EB$51:$IY$51)</f>
        <v>0</v>
      </c>
      <c r="OM344" s="56"/>
      <c r="ON344" s="242">
        <f t="shared" si="2369"/>
        <v>0</v>
      </c>
      <c r="OO344" s="242">
        <f t="shared" si="2370"/>
        <v>0</v>
      </c>
      <c r="OP344" s="56"/>
      <c r="OS344" s="55">
        <f t="shared" si="2371"/>
        <v>46315</v>
      </c>
      <c r="OT344" s="56"/>
      <c r="OU344" s="242">
        <f>SUMPRODUCT(PRODUCE!$B341:$DY341,PRODUCE!$EB$52:$IY$52)</f>
        <v>0</v>
      </c>
      <c r="OV344" s="56"/>
      <c r="OW344" s="242">
        <f t="shared" si="2372"/>
        <v>0</v>
      </c>
      <c r="OX344" s="242">
        <f t="shared" si="2373"/>
        <v>1482</v>
      </c>
      <c r="OY344" s="56"/>
      <c r="PB344" s="55">
        <f t="shared" si="2374"/>
        <v>46315</v>
      </c>
      <c r="PC344" s="56"/>
      <c r="PD344" s="242">
        <f>SUMPRODUCT(PRODUCE!$B341:$DY341,PRODUCE!$EB$53:$IY$53)</f>
        <v>0</v>
      </c>
      <c r="PE344" s="56"/>
      <c r="PF344" s="242">
        <f t="shared" si="2375"/>
        <v>0</v>
      </c>
      <c r="PG344" s="242">
        <f t="shared" si="2376"/>
        <v>0</v>
      </c>
      <c r="PH344" s="56"/>
      <c r="PK344" s="55">
        <f t="shared" si="2377"/>
        <v>46315</v>
      </c>
      <c r="PL344" s="56"/>
      <c r="PM344" s="242">
        <f>SUMPRODUCT(PRODUCE!$B341:$DY341,PRODUCE!$EB$54:$IY$54)</f>
        <v>0</v>
      </c>
      <c r="PN344" s="56"/>
      <c r="PO344" s="242">
        <f t="shared" si="2378"/>
        <v>0</v>
      </c>
      <c r="PP344" s="242">
        <f t="shared" si="2379"/>
        <v>100</v>
      </c>
      <c r="PQ344" s="56"/>
      <c r="PT344" s="55">
        <f t="shared" si="2380"/>
        <v>46315</v>
      </c>
      <c r="PU344" s="56"/>
      <c r="PV344" s="242">
        <f>SUMPRODUCT(PRODUCE!$B341:$DY341,PRODUCE!$EB$55:$IY$55)</f>
        <v>0</v>
      </c>
      <c r="PW344" s="56"/>
      <c r="PX344" s="242">
        <f t="shared" si="2381"/>
        <v>0</v>
      </c>
      <c r="PY344" s="242">
        <f t="shared" si="2382"/>
        <v>13.960000000000036</v>
      </c>
      <c r="PZ344" s="56"/>
      <c r="QC344" s="55">
        <f t="shared" si="2383"/>
        <v>46315</v>
      </c>
      <c r="QD344" s="56"/>
      <c r="QE344" s="242">
        <f>SUMPRODUCT(PRODUCE!$B341:$DY341,PRODUCE!$EB$56:$IY$56)</f>
        <v>0</v>
      </c>
      <c r="QF344" s="56"/>
      <c r="QG344" s="242">
        <f t="shared" si="2384"/>
        <v>0</v>
      </c>
      <c r="QH344" s="242">
        <f t="shared" si="2385"/>
        <v>548</v>
      </c>
      <c r="QI344" s="56"/>
      <c r="QL344" s="55">
        <f t="shared" si="2386"/>
        <v>46315</v>
      </c>
      <c r="QM344" s="56"/>
      <c r="QN344" s="242">
        <f>SUMPRODUCT(PRODUCE!$B341:$DY341,PRODUCE!$EB$57:$IY$57)</f>
        <v>0</v>
      </c>
      <c r="QO344" s="56"/>
      <c r="QP344" s="242">
        <f t="shared" si="2387"/>
        <v>0</v>
      </c>
      <c r="QQ344" s="242">
        <f t="shared" si="2388"/>
        <v>0</v>
      </c>
      <c r="QR344" s="56"/>
      <c r="QU344" s="55">
        <f t="shared" si="2389"/>
        <v>46315</v>
      </c>
      <c r="QV344" s="56"/>
      <c r="QW344" s="242">
        <f>SUMPRODUCT(PRODUCE!$B341:$DY341,PRODUCE!$EB$57:$IY$57)</f>
        <v>0</v>
      </c>
      <c r="QX344" s="56"/>
      <c r="QY344" s="242">
        <f t="shared" si="2390"/>
        <v>0</v>
      </c>
      <c r="QZ344" s="242">
        <f t="shared" si="2391"/>
        <v>0</v>
      </c>
      <c r="RA344" s="56"/>
      <c r="RD344" s="55">
        <f t="shared" si="2392"/>
        <v>46315</v>
      </c>
      <c r="RE344" s="56"/>
      <c r="RF344" s="242">
        <f>SUMPRODUCT(PRODUCE!$B341:$DY341,PRODUCE!$EB$58:$IY$58)</f>
        <v>0</v>
      </c>
      <c r="RG344" s="56"/>
      <c r="RH344" s="242">
        <f t="shared" si="2393"/>
        <v>0</v>
      </c>
      <c r="RI344" s="242">
        <f t="shared" si="2394"/>
        <v>147.04000000000002</v>
      </c>
      <c r="RJ344" s="56"/>
      <c r="RM344" s="55">
        <f t="shared" si="2395"/>
        <v>46315</v>
      </c>
      <c r="RN344" s="56"/>
      <c r="RO344" s="242">
        <f>SUMPRODUCT(PRODUCE!$B341:$DY341,PRODUCE!$EB$57:$IY$57)</f>
        <v>0</v>
      </c>
      <c r="RP344" s="56"/>
      <c r="RQ344" s="242">
        <f t="shared" si="2396"/>
        <v>0</v>
      </c>
      <c r="RR344" s="242">
        <f t="shared" si="2397"/>
        <v>46.8</v>
      </c>
      <c r="RS344" s="56"/>
      <c r="RV344" s="55">
        <f t="shared" si="2398"/>
        <v>46315</v>
      </c>
      <c r="RW344" s="56"/>
      <c r="RX344" s="242">
        <f>SUMPRODUCT(PRODUCE!$B341:$DY341,PRODUCE!$EB$57:$IY$57)</f>
        <v>0</v>
      </c>
      <c r="RY344" s="56"/>
      <c r="RZ344" s="242">
        <f t="shared" si="2399"/>
        <v>0</v>
      </c>
      <c r="SA344" s="242">
        <f t="shared" si="2400"/>
        <v>0</v>
      </c>
      <c r="SB344" s="56"/>
      <c r="SE344" s="55">
        <f t="shared" si="2401"/>
        <v>46315</v>
      </c>
      <c r="SF344" s="56"/>
      <c r="SG344" s="242">
        <f>SUMPRODUCT(PRODUCE!$B341:$DY341,PRODUCE!$EB$61:$IY$61)</f>
        <v>0</v>
      </c>
      <c r="SH344" s="56"/>
      <c r="SI344" s="242">
        <f t="shared" si="2402"/>
        <v>0</v>
      </c>
      <c r="SJ344" s="242">
        <f t="shared" si="2403"/>
        <v>24.200000000000003</v>
      </c>
      <c r="SK344" s="56"/>
      <c r="SN344" s="55">
        <f t="shared" si="2404"/>
        <v>46315</v>
      </c>
      <c r="SO344" s="56"/>
      <c r="SP344" s="242">
        <f>SUMPRODUCT(PRODUCE!$B341:$DY341,PRODUCE!$EB$57:$IY$57)</f>
        <v>0</v>
      </c>
      <c r="SQ344" s="56"/>
      <c r="SR344" s="242">
        <f t="shared" si="2405"/>
        <v>0</v>
      </c>
      <c r="SS344" s="242">
        <f t="shared" si="2406"/>
        <v>32</v>
      </c>
      <c r="ST344" s="56"/>
      <c r="SW344" s="55">
        <f t="shared" si="2407"/>
        <v>46315</v>
      </c>
      <c r="SX344" s="56"/>
      <c r="SY344" s="242">
        <f>SUMPRODUCT(PRODUCE!$B341:$DY341,PRODUCE!$EB$57:$IY$57)</f>
        <v>0</v>
      </c>
      <c r="SZ344" s="56"/>
      <c r="TA344" s="242">
        <f t="shared" si="2408"/>
        <v>0</v>
      </c>
      <c r="TB344" s="242">
        <f t="shared" si="2409"/>
        <v>0</v>
      </c>
      <c r="TC344" s="56"/>
      <c r="TF344" s="55">
        <f t="shared" si="2410"/>
        <v>46315</v>
      </c>
      <c r="TG344" s="56"/>
      <c r="TH344" s="242">
        <f>SUMPRODUCT(PRODUCE!$B341:$DY341,PRODUCE!$EB$57:$IY$57)</f>
        <v>0</v>
      </c>
      <c r="TI344" s="56"/>
      <c r="TJ344" s="242">
        <f t="shared" si="2411"/>
        <v>0</v>
      </c>
      <c r="TK344" s="242">
        <f t="shared" si="2412"/>
        <v>0</v>
      </c>
      <c r="TL344" s="56"/>
      <c r="TO344" s="55">
        <f t="shared" si="2413"/>
        <v>46315</v>
      </c>
      <c r="TP344" s="56"/>
      <c r="TQ344" s="242">
        <f>SUMPRODUCT(PRODUCE!$B341:$DY341,PRODUCE!$EB$57:$IY$57)</f>
        <v>0</v>
      </c>
      <c r="TR344" s="56"/>
      <c r="TS344" s="242">
        <f t="shared" si="2414"/>
        <v>0</v>
      </c>
      <c r="TT344" s="242">
        <f t="shared" si="2415"/>
        <v>0</v>
      </c>
      <c r="TU344" s="56"/>
      <c r="TX344" s="55">
        <f t="shared" si="2416"/>
        <v>46315</v>
      </c>
      <c r="TY344" s="56"/>
      <c r="TZ344" s="242">
        <f>SUMPRODUCT(PRODUCE!$B341:$DY341,PRODUCE!$EB$57:$IY$57)</f>
        <v>0</v>
      </c>
      <c r="UA344" s="56"/>
      <c r="UB344" s="242">
        <f t="shared" si="2417"/>
        <v>0</v>
      </c>
      <c r="UC344" s="242">
        <f t="shared" si="2418"/>
        <v>46.799999999999983</v>
      </c>
      <c r="UD344" s="56"/>
      <c r="UG344" s="55">
        <f t="shared" si="2419"/>
        <v>46315</v>
      </c>
      <c r="UH344" s="56"/>
      <c r="UI344" s="242">
        <f>SUMPRODUCT(PRODUCE!$B341:$DY341,PRODUCE!$EB$57:$IY$57)</f>
        <v>0</v>
      </c>
      <c r="UJ344" s="56"/>
      <c r="UK344" s="242">
        <f t="shared" si="2420"/>
        <v>0</v>
      </c>
      <c r="UL344" s="242">
        <f t="shared" si="2421"/>
        <v>204</v>
      </c>
      <c r="UM344" s="56"/>
      <c r="UP344" s="55">
        <f t="shared" si="2422"/>
        <v>46315</v>
      </c>
      <c r="UQ344" s="56"/>
      <c r="UR344" s="242">
        <f>SUMPRODUCT(PRODUCE!$B341:$DY341,PRODUCE!$EB$57:$IY$57)</f>
        <v>0</v>
      </c>
      <c r="US344" s="56"/>
      <c r="UT344" s="242">
        <f t="shared" si="2423"/>
        <v>0</v>
      </c>
      <c r="UU344" s="242">
        <f t="shared" si="2424"/>
        <v>202.5</v>
      </c>
      <c r="UV344" s="56"/>
      <c r="UY344" s="55">
        <f t="shared" si="2425"/>
        <v>46315</v>
      </c>
      <c r="UZ344" s="56"/>
      <c r="VA344" s="242">
        <f>SUMPRODUCT(PRODUCE!$B341:$DY341,PRODUCE!$EB$57:$IY$57)</f>
        <v>0</v>
      </c>
      <c r="VB344" s="56"/>
      <c r="VC344" s="242">
        <f t="shared" si="2426"/>
        <v>0</v>
      </c>
      <c r="VD344" s="242">
        <f t="shared" si="2427"/>
        <v>41.600000000000023</v>
      </c>
      <c r="VE344" s="56"/>
      <c r="VH344" s="55">
        <f t="shared" si="2428"/>
        <v>46315</v>
      </c>
      <c r="VI344" s="56"/>
      <c r="VJ344" s="242">
        <f>SUMPRODUCT(PRODUCE!$B341:$DY341,PRODUCE!$EB$57:$IY$57)</f>
        <v>0</v>
      </c>
      <c r="VK344" s="56"/>
      <c r="VL344" s="242">
        <f t="shared" si="2429"/>
        <v>0</v>
      </c>
      <c r="VM344" s="242">
        <f t="shared" si="2430"/>
        <v>210</v>
      </c>
      <c r="VN344" s="56"/>
      <c r="VQ344" s="55">
        <f t="shared" si="2431"/>
        <v>46315</v>
      </c>
      <c r="VR344" s="56"/>
      <c r="VS344" s="242">
        <f>SUMPRODUCT(PRODUCE!$B341:$DY341,PRODUCE!$EB$57:$IY$57)</f>
        <v>0</v>
      </c>
      <c r="VT344" s="56"/>
      <c r="VU344" s="242">
        <f t="shared" si="2432"/>
        <v>0</v>
      </c>
      <c r="VV344" s="242">
        <f t="shared" si="2433"/>
        <v>0</v>
      </c>
      <c r="VW344" s="56"/>
      <c r="VZ344" s="55">
        <f t="shared" si="2434"/>
        <v>46315</v>
      </c>
      <c r="WA344" s="56"/>
      <c r="WB344" s="242">
        <f>SUMPRODUCT(PRODUCE!$B341:$DY341,PRODUCE!$EB$57:$IY$57)</f>
        <v>0</v>
      </c>
      <c r="WC344" s="56"/>
      <c r="WD344" s="242">
        <f t="shared" si="2435"/>
        <v>0</v>
      </c>
      <c r="WE344" s="242">
        <f t="shared" si="2436"/>
        <v>0</v>
      </c>
      <c r="WF344" s="56"/>
      <c r="WI344" s="55">
        <f t="shared" si="2437"/>
        <v>46315</v>
      </c>
      <c r="WJ344" s="56"/>
      <c r="WK344" s="242">
        <f>SUMPRODUCT(PRODUCE!$B341:$DY341,PRODUCE!$EB$57:$IY$57)</f>
        <v>0</v>
      </c>
      <c r="WL344" s="56"/>
      <c r="WM344" s="242">
        <f t="shared" si="2438"/>
        <v>0</v>
      </c>
      <c r="WN344" s="242">
        <f t="shared" si="2439"/>
        <v>1057</v>
      </c>
      <c r="WO344" s="56"/>
      <c r="WR344" s="55">
        <f t="shared" si="2440"/>
        <v>46315</v>
      </c>
      <c r="WS344" s="56"/>
      <c r="WT344" s="242">
        <f>SUMPRODUCT(PRODUCE!$B341:$DY341,PRODUCE!$EB$57:$IY$57)</f>
        <v>0</v>
      </c>
      <c r="WU344" s="56"/>
      <c r="WV344" s="242">
        <f t="shared" si="2441"/>
        <v>0</v>
      </c>
      <c r="WW344" s="242">
        <f t="shared" si="2442"/>
        <v>0</v>
      </c>
      <c r="WX344" s="56"/>
      <c r="XA344" s="55">
        <f t="shared" si="2443"/>
        <v>46315</v>
      </c>
      <c r="XB344" s="56"/>
      <c r="XC344" s="242">
        <f>SUMPRODUCT(PRODUCE!$B341:$DY341,PRODUCE!$EB$57:$IY$57)</f>
        <v>0</v>
      </c>
      <c r="XD344" s="56"/>
      <c r="XE344" s="242">
        <f t="shared" si="2444"/>
        <v>0</v>
      </c>
      <c r="XF344" s="242">
        <f t="shared" si="2445"/>
        <v>7507</v>
      </c>
      <c r="XG344" s="56"/>
      <c r="XJ344" s="55">
        <f t="shared" si="2446"/>
        <v>46315</v>
      </c>
      <c r="XK344" s="56"/>
      <c r="XL344" s="242">
        <f>SUMPRODUCT(PRODUCE!$B341:$DY341,PRODUCE!$EB$57:$IY$57)</f>
        <v>0</v>
      </c>
      <c r="XM344" s="56"/>
      <c r="XN344" s="242">
        <f t="shared" si="2447"/>
        <v>0</v>
      </c>
      <c r="XO344" s="242">
        <f t="shared" si="2448"/>
        <v>4252</v>
      </c>
      <c r="XP344" s="56"/>
      <c r="XS344" s="55">
        <f t="shared" si="2449"/>
        <v>46315</v>
      </c>
      <c r="XT344" s="56"/>
      <c r="XU344" s="242">
        <f>SUMPRODUCT(PRODUCE!$B341:$DY341,PRODUCE!$EB$57:$IY$57)</f>
        <v>0</v>
      </c>
      <c r="XV344" s="56"/>
      <c r="XW344" s="242">
        <f t="shared" si="2450"/>
        <v>0</v>
      </c>
      <c r="XX344" s="242">
        <f t="shared" si="2451"/>
        <v>2179</v>
      </c>
      <c r="XY344" s="56"/>
      <c r="YB344" s="55">
        <f t="shared" si="2452"/>
        <v>46315</v>
      </c>
      <c r="YC344" s="56"/>
      <c r="YD344" s="242">
        <f>SUMPRODUCT(PRODUCE!$B341:$DY341,PRODUCE!$EB$57:$IY$57)</f>
        <v>0</v>
      </c>
      <c r="YE344" s="56"/>
      <c r="YF344" s="242">
        <f t="shared" si="2453"/>
        <v>0</v>
      </c>
      <c r="YG344" s="242">
        <f t="shared" si="2454"/>
        <v>4019</v>
      </c>
      <c r="YH344" s="56"/>
      <c r="YK344" s="55">
        <f t="shared" si="2455"/>
        <v>46315</v>
      </c>
      <c r="YL344" s="56"/>
      <c r="YM344" s="242">
        <f>SUMPRODUCT(PRODUCE!$B341:$DY341,PRODUCE!$EB$57:$IY$57)</f>
        <v>0</v>
      </c>
      <c r="YN344" s="56"/>
      <c r="YO344" s="242">
        <f t="shared" si="2456"/>
        <v>0</v>
      </c>
      <c r="YP344" s="242">
        <f t="shared" si="2457"/>
        <v>-218</v>
      </c>
      <c r="YQ344" s="56"/>
      <c r="YT344" s="55">
        <f t="shared" si="2458"/>
        <v>46315</v>
      </c>
      <c r="YU344" s="56"/>
      <c r="YV344" s="242">
        <f>SUMPRODUCT(PRODUCE!$B341:$DY341,PRODUCE!$EB$57:$IY$57)</f>
        <v>0</v>
      </c>
      <c r="YW344" s="56"/>
      <c r="YX344" s="242">
        <f t="shared" si="2459"/>
        <v>0</v>
      </c>
      <c r="YY344" s="242">
        <f t="shared" si="2460"/>
        <v>0</v>
      </c>
      <c r="YZ344" s="56"/>
      <c r="ZC344" s="55">
        <f t="shared" si="2461"/>
        <v>46315</v>
      </c>
      <c r="ZD344" s="56"/>
      <c r="ZE344" s="242">
        <f>SUMPRODUCT(PRODUCE!$B341:$DY341,PRODUCE!$EB$57:$IY$57)</f>
        <v>0</v>
      </c>
      <c r="ZF344" s="56"/>
      <c r="ZG344" s="242">
        <f t="shared" si="2462"/>
        <v>0</v>
      </c>
      <c r="ZH344" s="242">
        <f t="shared" si="2463"/>
        <v>0</v>
      </c>
      <c r="ZI344" s="56"/>
      <c r="ZL344" s="55">
        <f t="shared" si="2464"/>
        <v>46315</v>
      </c>
      <c r="ZM344" s="56"/>
      <c r="ZN344" s="242">
        <f>SUMPRODUCT(PRODUCE!$B341:$DY341,PRODUCE!$EB$57:$IY$57)</f>
        <v>0</v>
      </c>
      <c r="ZO344" s="56"/>
      <c r="ZP344" s="242">
        <f t="shared" si="2465"/>
        <v>0</v>
      </c>
      <c r="ZQ344" s="242">
        <f t="shared" si="2466"/>
        <v>0</v>
      </c>
      <c r="ZR344" s="56"/>
      <c r="ZU344" s="55">
        <f t="shared" si="2467"/>
        <v>46315</v>
      </c>
      <c r="ZV344" s="56"/>
      <c r="ZW344" s="242">
        <f>SUMPRODUCT(PRODUCE!$B341:$DY341,PRODUCE!$EB$57:$IY$57)</f>
        <v>0</v>
      </c>
      <c r="ZX344" s="56"/>
      <c r="ZY344" s="242">
        <f t="shared" si="2468"/>
        <v>0</v>
      </c>
      <c r="ZZ344" s="242">
        <f t="shared" si="2469"/>
        <v>0</v>
      </c>
      <c r="AAA344" s="56"/>
      <c r="AAD344" s="55">
        <f t="shared" si="2470"/>
        <v>46315</v>
      </c>
      <c r="AAE344" s="56"/>
      <c r="AAF344" s="242">
        <f>SUMPRODUCT(PRODUCE!$B341:$DY341,PRODUCE!$EB$57:$IY$57)</f>
        <v>0</v>
      </c>
      <c r="AAG344" s="56"/>
      <c r="AAH344" s="242">
        <f t="shared" si="2471"/>
        <v>0</v>
      </c>
      <c r="AAI344" s="242">
        <f t="shared" si="2472"/>
        <v>0</v>
      </c>
      <c r="AAJ344" s="56"/>
      <c r="AAM344" s="55">
        <f t="shared" si="2473"/>
        <v>46315</v>
      </c>
      <c r="AAN344" s="56"/>
      <c r="AAO344" s="242">
        <f>SUMPRODUCT(PRODUCE!$B341:$DY341,PRODUCE!$EB$57:$IY$57)</f>
        <v>0</v>
      </c>
      <c r="AAP344" s="56"/>
      <c r="AAQ344" s="242">
        <f t="shared" si="2474"/>
        <v>0</v>
      </c>
      <c r="AAR344" s="242">
        <f t="shared" si="2475"/>
        <v>0</v>
      </c>
      <c r="AAS344" s="56"/>
      <c r="AAV344" s="55">
        <f t="shared" si="2476"/>
        <v>46315</v>
      </c>
      <c r="AAW344" s="56"/>
      <c r="AAX344" s="242">
        <f>SUMPRODUCT(PRODUCE!$B341:$DY341,PRODUCE!$EB$57:$IY$57)</f>
        <v>0</v>
      </c>
      <c r="AAY344" s="56"/>
      <c r="AAZ344" s="242">
        <f t="shared" si="2477"/>
        <v>0</v>
      </c>
      <c r="ABA344" s="242">
        <f t="shared" si="2478"/>
        <v>0</v>
      </c>
      <c r="ABB344" s="56"/>
      <c r="ABE344" s="55">
        <f t="shared" si="2479"/>
        <v>46315</v>
      </c>
      <c r="ABF344" s="56"/>
      <c r="ABG344" s="242">
        <f>SUMPRODUCT(PRODUCE!$B341:$DY341,PRODUCE!$EB$57:$IY$57)</f>
        <v>0</v>
      </c>
      <c r="ABH344" s="56"/>
      <c r="ABI344" s="242">
        <f t="shared" si="2480"/>
        <v>0</v>
      </c>
      <c r="ABJ344" s="242">
        <f t="shared" si="2481"/>
        <v>0</v>
      </c>
      <c r="ABK344" s="56"/>
    </row>
    <row r="345" spans="2:739" s="54" customFormat="1" ht="15" customHeight="1" outlineLevel="1">
      <c r="B345" s="478"/>
      <c r="C345" s="55">
        <v>46316</v>
      </c>
      <c r="D345" s="56"/>
      <c r="E345" s="57">
        <f>SUMPRODUCT(PRODUCE!$B342:$DY342,PRODUCE!$EB$7:$IY$7)</f>
        <v>0</v>
      </c>
      <c r="F345" s="56"/>
      <c r="G345" s="57">
        <f t="shared" si="2237"/>
        <v>0</v>
      </c>
      <c r="H345" s="57">
        <f t="shared" si="2238"/>
        <v>236936.6</v>
      </c>
      <c r="I345" s="289"/>
      <c r="L345" s="55">
        <f t="shared" si="2239"/>
        <v>46316</v>
      </c>
      <c r="M345" s="56"/>
      <c r="N345" s="59">
        <f>SUMPRODUCT(PRODUCE!$B342:$DY342,PRODUCE!$EB$8:$IY$8)</f>
        <v>0</v>
      </c>
      <c r="O345" s="56"/>
      <c r="P345" s="59">
        <f t="shared" si="2240"/>
        <v>0</v>
      </c>
      <c r="Q345" s="59">
        <f t="shared" si="2241"/>
        <v>53017.600000000071</v>
      </c>
      <c r="R345" s="56"/>
      <c r="U345" s="55">
        <f t="shared" si="2242"/>
        <v>46316</v>
      </c>
      <c r="V345" s="56"/>
      <c r="W345" s="60">
        <f>SUMPRODUCT(PRODUCE!$B342:$DY342,PRODUCE!$EB$9:$IY$9)</f>
        <v>0</v>
      </c>
      <c r="X345" s="56"/>
      <c r="Y345" s="60">
        <f t="shared" si="2243"/>
        <v>0</v>
      </c>
      <c r="Z345" s="60">
        <f t="shared" si="2244"/>
        <v>42674.199999999968</v>
      </c>
      <c r="AA345" s="56"/>
      <c r="AD345" s="55">
        <f t="shared" si="2245"/>
        <v>46316</v>
      </c>
      <c r="AE345" s="56"/>
      <c r="AF345" s="61">
        <f>SUMPRODUCT(PRODUCE!$B342:$DY342,PRODUCE!$EB$10:$IY$10)</f>
        <v>0</v>
      </c>
      <c r="AG345" s="56"/>
      <c r="AH345" s="61">
        <f t="shared" si="2246"/>
        <v>0</v>
      </c>
      <c r="AI345" s="61">
        <f t="shared" si="2247"/>
        <v>4522.2000000000189</v>
      </c>
      <c r="AJ345" s="56"/>
      <c r="AM345" s="55">
        <f t="shared" si="2248"/>
        <v>46316</v>
      </c>
      <c r="AN345" s="422"/>
      <c r="AO345" s="444">
        <f>SUMPRODUCT(PRODUCE!$B342:$DY342,PRODUCE!$EB$11:$IY$11)</f>
        <v>0</v>
      </c>
      <c r="AP345" s="422"/>
      <c r="AQ345" s="444">
        <f t="shared" si="2249"/>
        <v>0</v>
      </c>
      <c r="AR345" s="444">
        <f t="shared" si="2250"/>
        <v>0</v>
      </c>
      <c r="AS345" s="56"/>
      <c r="AV345" s="55">
        <f t="shared" si="2251"/>
        <v>46316</v>
      </c>
      <c r="AW345" s="56"/>
      <c r="AX345" s="62">
        <f>SUMPRODUCT(PRODUCE!$B342:$DY342,PRODUCE!$EB$12:$IY$12)</f>
        <v>0</v>
      </c>
      <c r="AY345" s="56"/>
      <c r="AZ345" s="62">
        <f t="shared" si="2252"/>
        <v>0</v>
      </c>
      <c r="BA345" s="62">
        <f t="shared" si="2253"/>
        <v>124.99999999999523</v>
      </c>
      <c r="BB345" s="56"/>
      <c r="BE345" s="55">
        <f t="shared" si="2254"/>
        <v>46316</v>
      </c>
      <c r="BF345" s="56"/>
      <c r="BG345" s="63">
        <f>SUMPRODUCT(PRODUCE!$B342:$DY342,PRODUCE!$EB$13:$IY$13)</f>
        <v>0</v>
      </c>
      <c r="BH345" s="56"/>
      <c r="BI345" s="63">
        <f t="shared" si="2255"/>
        <v>0</v>
      </c>
      <c r="BJ345" s="63">
        <f t="shared" si="2256"/>
        <v>26151.899999999998</v>
      </c>
      <c r="BK345" s="56"/>
      <c r="BN345" s="55">
        <f t="shared" si="2257"/>
        <v>46316</v>
      </c>
      <c r="BO345" s="56"/>
      <c r="BP345" s="64">
        <f>SUMPRODUCT(PRODUCE!$B342:$DY342,PRODUCE!$EB$14:$IY$14)</f>
        <v>0</v>
      </c>
      <c r="BQ345" s="56"/>
      <c r="BR345" s="64">
        <f t="shared" si="2258"/>
        <v>0</v>
      </c>
      <c r="BS345" s="64">
        <f t="shared" si="2259"/>
        <v>0</v>
      </c>
      <c r="BT345" s="56"/>
      <c r="BW345" s="55">
        <f t="shared" si="2260"/>
        <v>46316</v>
      </c>
      <c r="BX345" s="56"/>
      <c r="BY345" s="65">
        <f>SUMPRODUCT(PRODUCE!$B342:$DY342,PRODUCE!$EB$15:$IY$15)</f>
        <v>0</v>
      </c>
      <c r="BZ345" s="56"/>
      <c r="CA345" s="65">
        <f t="shared" si="2261"/>
        <v>0</v>
      </c>
      <c r="CB345" s="65">
        <f t="shared" si="2262"/>
        <v>2097.3399999999992</v>
      </c>
      <c r="CC345" s="56"/>
      <c r="CF345" s="55">
        <f t="shared" si="2263"/>
        <v>46316</v>
      </c>
      <c r="CG345" s="56"/>
      <c r="CH345" s="66">
        <f>SUMPRODUCT(PRODUCE!$B342:$DY342,PRODUCE!$EB$16:$IY$16)</f>
        <v>0</v>
      </c>
      <c r="CI345" s="56"/>
      <c r="CJ345" s="66">
        <f t="shared" si="2264"/>
        <v>0</v>
      </c>
      <c r="CK345" s="66">
        <f t="shared" si="2265"/>
        <v>-10277.079999999998</v>
      </c>
      <c r="CL345" s="56"/>
      <c r="CO345" s="55">
        <f t="shared" si="2266"/>
        <v>46316</v>
      </c>
      <c r="CP345" s="422"/>
      <c r="CQ345" s="470">
        <f>SUMPRODUCT(PRODUCE!$B342:$DY342,PRODUCE!$EB$17:$IY$17)</f>
        <v>0</v>
      </c>
      <c r="CR345" s="422"/>
      <c r="CS345" s="470">
        <f t="shared" si="2267"/>
        <v>0</v>
      </c>
      <c r="CT345" s="470">
        <f t="shared" si="2268"/>
        <v>0</v>
      </c>
      <c r="CU345" s="56"/>
      <c r="CX345" s="55">
        <f t="shared" si="2269"/>
        <v>46316</v>
      </c>
      <c r="CY345" s="56"/>
      <c r="CZ345" s="133">
        <f>SUMPRODUCT(PRODUCE!$B342:$DY342,PRODUCE!$EB$18:$IY$18)</f>
        <v>0</v>
      </c>
      <c r="DA345" s="56"/>
      <c r="DB345" s="133">
        <f t="shared" si="2270"/>
        <v>0</v>
      </c>
      <c r="DC345" s="133">
        <f t="shared" si="2271"/>
        <v>27438.200000000012</v>
      </c>
      <c r="DD345" s="56"/>
      <c r="DG345" s="55">
        <f t="shared" si="2272"/>
        <v>46316</v>
      </c>
      <c r="DH345" s="56"/>
      <c r="DI345" s="147">
        <f>SUMPRODUCT(PRODUCE!$B342:$DY342,PRODUCE!$EB$19:$IY$19)</f>
        <v>0</v>
      </c>
      <c r="DJ345" s="56"/>
      <c r="DK345" s="147">
        <f t="shared" si="2273"/>
        <v>0</v>
      </c>
      <c r="DL345" s="147">
        <f t="shared" si="2274"/>
        <v>18782.299999999981</v>
      </c>
      <c r="DM345" s="56"/>
      <c r="DP345" s="55">
        <f t="shared" si="2275"/>
        <v>46316</v>
      </c>
      <c r="DQ345" s="56"/>
      <c r="DR345" s="57">
        <f>SUMPRODUCT(PRODUCE!$B342:$DY342,PRODUCE!$EB$20:$IY$20)</f>
        <v>0</v>
      </c>
      <c r="DS345" s="56"/>
      <c r="DT345" s="57">
        <f t="shared" si="2276"/>
        <v>0</v>
      </c>
      <c r="DU345" s="57">
        <f t="shared" si="2277"/>
        <v>5800</v>
      </c>
      <c r="DV345" s="56"/>
      <c r="DY345" s="55">
        <f t="shared" si="2278"/>
        <v>46316</v>
      </c>
      <c r="DZ345" s="56"/>
      <c r="EA345" s="157">
        <f>SUMPRODUCT(PRODUCE!$B342:$DY342,PRODUCE!$EB$21:$IY$21)</f>
        <v>0</v>
      </c>
      <c r="EB345" s="56"/>
      <c r="EC345" s="157">
        <f t="shared" si="2279"/>
        <v>0</v>
      </c>
      <c r="ED345" s="157">
        <f t="shared" si="2280"/>
        <v>0</v>
      </c>
      <c r="EE345" s="56"/>
      <c r="EH345" s="55">
        <f t="shared" si="2281"/>
        <v>46316</v>
      </c>
      <c r="EI345" s="56"/>
      <c r="EJ345" s="162">
        <f>SUMPRODUCT(PRODUCE!$B342:$DY342,PRODUCE!$EB$22:$IY$22)</f>
        <v>0</v>
      </c>
      <c r="EK345" s="56"/>
      <c r="EL345" s="162">
        <f t="shared" si="2282"/>
        <v>0</v>
      </c>
      <c r="EM345" s="162">
        <f t="shared" si="2283"/>
        <v>0</v>
      </c>
      <c r="EN345" s="56"/>
      <c r="EQ345" s="55">
        <f t="shared" si="2284"/>
        <v>46316</v>
      </c>
      <c r="ER345" s="56"/>
      <c r="ES345" s="135">
        <f>SUMPRODUCT(PRODUCE!$B342:$DY342,PRODUCE!$EB$23:$IY$23)</f>
        <v>0</v>
      </c>
      <c r="ET345" s="56"/>
      <c r="EU345" s="135">
        <f t="shared" si="2285"/>
        <v>0</v>
      </c>
      <c r="EV345" s="135">
        <f t="shared" si="2286"/>
        <v>0</v>
      </c>
      <c r="EW345" s="56"/>
      <c r="EZ345" s="55">
        <f t="shared" si="2287"/>
        <v>46316</v>
      </c>
      <c r="FA345" s="56"/>
      <c r="FB345" s="175">
        <f>SUMPRODUCT(PRODUCE!$B342:$DY342,PRODUCE!$EB$24:$IY$24)</f>
        <v>0</v>
      </c>
      <c r="FC345" s="56"/>
      <c r="FD345" s="175">
        <f t="shared" si="2288"/>
        <v>0</v>
      </c>
      <c r="FE345" s="175">
        <f t="shared" si="2289"/>
        <v>0</v>
      </c>
      <c r="FF345" s="56"/>
      <c r="FI345" s="55">
        <f t="shared" si="2290"/>
        <v>46316</v>
      </c>
      <c r="FJ345" s="56"/>
      <c r="FK345" s="183">
        <f>SUMPRODUCT(PRODUCE!$B342:$DY342,PRODUCE!$EB$25:$IY$25)</f>
        <v>0</v>
      </c>
      <c r="FL345" s="56"/>
      <c r="FM345" s="183">
        <f t="shared" si="2291"/>
        <v>0</v>
      </c>
      <c r="FN345" s="183">
        <f t="shared" si="2292"/>
        <v>0</v>
      </c>
      <c r="FO345" s="56"/>
      <c r="FR345" s="55">
        <f t="shared" si="2293"/>
        <v>46316</v>
      </c>
      <c r="FS345" s="56"/>
      <c r="FT345" s="186">
        <f>SUMPRODUCT(PRODUCE!$B342:$DY342,PRODUCE!$EB$26:$IY$26)</f>
        <v>0</v>
      </c>
      <c r="FU345" s="56"/>
      <c r="FV345" s="186">
        <f t="shared" si="2294"/>
        <v>0</v>
      </c>
      <c r="FW345" s="186">
        <f t="shared" si="2295"/>
        <v>2020</v>
      </c>
      <c r="FX345" s="56"/>
      <c r="GA345" s="55">
        <f t="shared" si="2296"/>
        <v>46316</v>
      </c>
      <c r="GB345" s="56"/>
      <c r="GC345" s="137">
        <f>SUMPRODUCT(PRODUCE!$B342:$DY342,PRODUCE!$EB$27:$IY$27)</f>
        <v>0</v>
      </c>
      <c r="GD345" s="56"/>
      <c r="GE345" s="137">
        <f t="shared" si="2297"/>
        <v>0</v>
      </c>
      <c r="GF345" s="137">
        <f t="shared" si="2298"/>
        <v>960</v>
      </c>
      <c r="GG345" s="56"/>
      <c r="GI345" s="23"/>
      <c r="GJ345" s="55">
        <f t="shared" si="2299"/>
        <v>46316</v>
      </c>
      <c r="GK345" s="56"/>
      <c r="GL345" s="199">
        <f>SUMPRODUCT(PRODUCE!$B342:$DY342,PRODUCE!$EB$28:$IY$28)</f>
        <v>0</v>
      </c>
      <c r="GM345" s="56"/>
      <c r="GN345" s="199">
        <f t="shared" si="2300"/>
        <v>0</v>
      </c>
      <c r="GO345" s="199">
        <f t="shared" si="2301"/>
        <v>1760</v>
      </c>
      <c r="GP345" s="56"/>
      <c r="GS345" s="55">
        <f t="shared" si="2302"/>
        <v>46316</v>
      </c>
      <c r="GT345" s="56"/>
      <c r="GU345" s="195">
        <f>SUMPRODUCT(PRODUCE!$B342:$DY342,PRODUCE!$EB$29:$IY$29)</f>
        <v>0</v>
      </c>
      <c r="GV345" s="56"/>
      <c r="GW345" s="195">
        <f t="shared" si="2303"/>
        <v>0</v>
      </c>
      <c r="GX345" s="195">
        <f t="shared" si="2304"/>
        <v>400</v>
      </c>
      <c r="GY345" s="56"/>
      <c r="HB345" s="55">
        <f t="shared" si="2305"/>
        <v>46316</v>
      </c>
      <c r="HC345" s="56"/>
      <c r="HD345" s="191">
        <f>SUMPRODUCT(PRODUCE!$B342:$DY342,PRODUCE!$EB$30:$IY$30)</f>
        <v>0</v>
      </c>
      <c r="HE345" s="56"/>
      <c r="HF345" s="191">
        <f t="shared" si="2306"/>
        <v>0</v>
      </c>
      <c r="HG345" s="191">
        <f t="shared" si="2307"/>
        <v>3600</v>
      </c>
      <c r="HH345" s="56"/>
      <c r="HK345" s="55">
        <f t="shared" si="2308"/>
        <v>46316</v>
      </c>
      <c r="HL345" s="56"/>
      <c r="HM345" s="63">
        <f>SUMPRODUCT(PRODUCE!$B342:$DY342,PRODUCE!$EB$31:$IY$31)</f>
        <v>0</v>
      </c>
      <c r="HN345" s="56"/>
      <c r="HO345" s="63">
        <f t="shared" si="2309"/>
        <v>0</v>
      </c>
      <c r="HP345" s="63">
        <f t="shared" si="2310"/>
        <v>0</v>
      </c>
      <c r="HQ345" s="56"/>
      <c r="HU345" s="55">
        <f t="shared" si="2311"/>
        <v>46316</v>
      </c>
      <c r="HV345" s="56"/>
      <c r="HW345" s="242">
        <f>SUMPRODUCT(PRODUCE!$B342:$DY342,PRODUCE!$EB$32:$IY$32)</f>
        <v>0</v>
      </c>
      <c r="HX345" s="56"/>
      <c r="HY345" s="242">
        <f t="shared" si="2312"/>
        <v>0</v>
      </c>
      <c r="HZ345" s="242">
        <f t="shared" si="2313"/>
        <v>6120</v>
      </c>
      <c r="IA345" s="56"/>
      <c r="ID345" s="55">
        <f t="shared" si="2314"/>
        <v>46316</v>
      </c>
      <c r="IE345" s="56"/>
      <c r="IF345" s="242">
        <f>SUMPRODUCT(PRODUCE!$B342:$DY342,PRODUCE!$EB$33:$IY$33)</f>
        <v>0</v>
      </c>
      <c r="IG345" s="56"/>
      <c r="IH345" s="242">
        <f t="shared" si="2315"/>
        <v>0</v>
      </c>
      <c r="II345" s="242">
        <f t="shared" si="2316"/>
        <v>0</v>
      </c>
      <c r="IJ345" s="56"/>
      <c r="IM345" s="55">
        <f t="shared" si="2317"/>
        <v>46316</v>
      </c>
      <c r="IN345" s="56"/>
      <c r="IO345" s="242">
        <f>SUMPRODUCT(PRODUCE!$B342:$DY342,PRODUCE!$EB$34:$IY$34)</f>
        <v>0</v>
      </c>
      <c r="IP345" s="56"/>
      <c r="IQ345" s="242">
        <f t="shared" si="2318"/>
        <v>0</v>
      </c>
      <c r="IR345" s="242">
        <f t="shared" si="2319"/>
        <v>0</v>
      </c>
      <c r="IS345" s="56"/>
      <c r="IV345" s="55">
        <f t="shared" si="2320"/>
        <v>46316</v>
      </c>
      <c r="IW345" s="56"/>
      <c r="IX345" s="242">
        <f>SUMPRODUCT(PRODUCE!$B342:$DY342,PRODUCE!$EB$35:$IY$35)</f>
        <v>0</v>
      </c>
      <c r="IY345" s="56"/>
      <c r="IZ345" s="242">
        <f t="shared" si="2321"/>
        <v>0</v>
      </c>
      <c r="JA345" s="242">
        <f t="shared" si="2322"/>
        <v>2820</v>
      </c>
      <c r="JB345" s="56"/>
      <c r="JE345" s="55">
        <f t="shared" si="2323"/>
        <v>46316</v>
      </c>
      <c r="JF345" s="56"/>
      <c r="JG345" s="242">
        <f>SUMPRODUCT(PRODUCE!$B342:$DY342,PRODUCE!$EB$36:$IY$36)</f>
        <v>0</v>
      </c>
      <c r="JH345" s="56"/>
      <c r="JI345" s="242">
        <f t="shared" si="2324"/>
        <v>0</v>
      </c>
      <c r="JJ345" s="242">
        <f t="shared" si="2325"/>
        <v>0</v>
      </c>
      <c r="JK345" s="56"/>
      <c r="JN345" s="55">
        <f t="shared" si="2326"/>
        <v>46316</v>
      </c>
      <c r="JO345" s="56"/>
      <c r="JP345" s="242">
        <f>SUMPRODUCT(PRODUCE!$B342:$DY342,PRODUCE!$EB$37:$IY$37)</f>
        <v>0</v>
      </c>
      <c r="JQ345" s="56"/>
      <c r="JR345" s="242">
        <f t="shared" si="2327"/>
        <v>0</v>
      </c>
      <c r="JS345" s="242">
        <f t="shared" si="2328"/>
        <v>0</v>
      </c>
      <c r="JT345" s="56"/>
      <c r="JW345" s="55">
        <f t="shared" si="2329"/>
        <v>46316</v>
      </c>
      <c r="JX345" s="56"/>
      <c r="JY345" s="242">
        <f>SUMPRODUCT(PRODUCE!$B342:$DY342,PRODUCE!$EB$38:$IY$38)</f>
        <v>0</v>
      </c>
      <c r="JZ345" s="56"/>
      <c r="KA345" s="242">
        <f t="shared" si="2330"/>
        <v>0</v>
      </c>
      <c r="KB345" s="242">
        <f t="shared" si="2331"/>
        <v>2540</v>
      </c>
      <c r="KC345" s="56"/>
      <c r="KF345" s="55">
        <f t="shared" si="2332"/>
        <v>46316</v>
      </c>
      <c r="KG345" s="56"/>
      <c r="KH345" s="242">
        <f>SUMPRODUCT(PRODUCE!$B342:$DY342,PRODUCE!$EB$39:$IY$39)</f>
        <v>0</v>
      </c>
      <c r="KI345" s="56"/>
      <c r="KJ345" s="242">
        <f t="shared" si="2333"/>
        <v>0</v>
      </c>
      <c r="KK345" s="242">
        <f t="shared" si="2334"/>
        <v>2359.5</v>
      </c>
      <c r="KL345" s="56"/>
      <c r="KO345" s="55">
        <f t="shared" si="2335"/>
        <v>46316</v>
      </c>
      <c r="KP345" s="56"/>
      <c r="KQ345" s="242">
        <f>SUMPRODUCT(PRODUCE!$B342:$DY342,PRODUCE!$EB$40:$IY$40)</f>
        <v>0</v>
      </c>
      <c r="KR345" s="56"/>
      <c r="KS345" s="242">
        <f t="shared" si="2336"/>
        <v>0</v>
      </c>
      <c r="KT345" s="242">
        <f t="shared" si="2337"/>
        <v>1890</v>
      </c>
      <c r="KU345" s="56"/>
      <c r="KW345" s="23"/>
      <c r="KX345" s="55">
        <f t="shared" si="2338"/>
        <v>46316</v>
      </c>
      <c r="KY345" s="56"/>
      <c r="KZ345" s="242">
        <f>SUMPRODUCT(PRODUCE!$B342:$DY342,PRODUCE!$EB$41:$IY$41)</f>
        <v>0</v>
      </c>
      <c r="LA345" s="56"/>
      <c r="LB345" s="242">
        <f t="shared" si="2339"/>
        <v>0</v>
      </c>
      <c r="LC345" s="242">
        <f t="shared" si="2340"/>
        <v>3690</v>
      </c>
      <c r="LD345" s="56"/>
      <c r="LG345" s="55">
        <f t="shared" si="2341"/>
        <v>46316</v>
      </c>
      <c r="LH345" s="56"/>
      <c r="LI345" s="242">
        <f>SUMPRODUCT(PRODUCE!$B342:$DY342,PRODUCE!$EB$42:$IY$42)</f>
        <v>0</v>
      </c>
      <c r="LJ345" s="56"/>
      <c r="LK345" s="242">
        <f t="shared" si="2342"/>
        <v>0</v>
      </c>
      <c r="LL345" s="242">
        <f t="shared" si="2343"/>
        <v>4000</v>
      </c>
      <c r="LM345" s="56"/>
      <c r="LP345" s="55">
        <f t="shared" si="2344"/>
        <v>46316</v>
      </c>
      <c r="LQ345" s="56"/>
      <c r="LR345" s="242">
        <f>SUMPRODUCT(PRODUCE!$B342:$DY342,PRODUCE!$EB$43:$IY$43)</f>
        <v>0</v>
      </c>
      <c r="LS345" s="56"/>
      <c r="LT345" s="242">
        <f t="shared" si="2345"/>
        <v>0</v>
      </c>
      <c r="LU345" s="242">
        <f t="shared" si="2346"/>
        <v>0</v>
      </c>
      <c r="LV345" s="56"/>
      <c r="LY345" s="55">
        <f t="shared" si="2347"/>
        <v>46316</v>
      </c>
      <c r="LZ345" s="56"/>
      <c r="MA345" s="242">
        <f>SUMPRODUCT(PRODUCE!$B342:$DY342,PRODUCE!$EB$44:$IY$44)</f>
        <v>0</v>
      </c>
      <c r="MB345" s="56"/>
      <c r="MC345" s="242">
        <f t="shared" si="2348"/>
        <v>0</v>
      </c>
      <c r="MD345" s="242">
        <f t="shared" si="2349"/>
        <v>0</v>
      </c>
      <c r="ME345" s="56"/>
      <c r="MH345" s="55">
        <f t="shared" si="2350"/>
        <v>46316</v>
      </c>
      <c r="MI345" s="56"/>
      <c r="MJ345" s="242">
        <f>SUMPRODUCT(PRODUCE!$B342:$DY342,PRODUCE!$EB$45:$IY$45)</f>
        <v>0</v>
      </c>
      <c r="MK345" s="56"/>
      <c r="ML345" s="242">
        <f t="shared" si="2351"/>
        <v>0</v>
      </c>
      <c r="MM345" s="242">
        <f t="shared" si="2352"/>
        <v>0</v>
      </c>
      <c r="MN345" s="56"/>
      <c r="MQ345" s="55">
        <f t="shared" si="2353"/>
        <v>46316</v>
      </c>
      <c r="MR345" s="56"/>
      <c r="MS345" s="242">
        <f>SUMPRODUCT(PRODUCE!$B342:$DY342,PRODUCE!$EB$46:$IY$46)</f>
        <v>0</v>
      </c>
      <c r="MT345" s="56"/>
      <c r="MU345" s="242">
        <f t="shared" si="2354"/>
        <v>0</v>
      </c>
      <c r="MV345" s="242">
        <f t="shared" si="2355"/>
        <v>1625</v>
      </c>
      <c r="MW345" s="56"/>
      <c r="MZ345" s="55">
        <f t="shared" si="2356"/>
        <v>46316</v>
      </c>
      <c r="NA345" s="56"/>
      <c r="NB345" s="242">
        <f>SUMPRODUCT(PRODUCE!$B342:$DY342,PRODUCE!$EB$47:$IY$47)</f>
        <v>0</v>
      </c>
      <c r="NC345" s="56"/>
      <c r="ND345" s="242">
        <f t="shared" si="2357"/>
        <v>0</v>
      </c>
      <c r="NE345" s="242">
        <f t="shared" si="2358"/>
        <v>0</v>
      </c>
      <c r="NF345" s="56"/>
      <c r="NI345" s="55">
        <f t="shared" si="2359"/>
        <v>46316</v>
      </c>
      <c r="NJ345" s="56"/>
      <c r="NK345" s="242">
        <f>SUMPRODUCT(PRODUCE!$B342:$DY342,PRODUCE!$EB$48:$IY$48)</f>
        <v>0</v>
      </c>
      <c r="NL345" s="56"/>
      <c r="NM345" s="242">
        <f t="shared" si="2360"/>
        <v>0</v>
      </c>
      <c r="NN345" s="242">
        <f t="shared" si="2361"/>
        <v>1127</v>
      </c>
      <c r="NO345" s="56"/>
      <c r="NR345" s="55">
        <f t="shared" si="2362"/>
        <v>46316</v>
      </c>
      <c r="NS345" s="56"/>
      <c r="NT345" s="242">
        <f>SUMPRODUCT(PRODUCE!$B342:$DY342,PRODUCE!$EB$49:$IY$49)</f>
        <v>0</v>
      </c>
      <c r="NU345" s="56"/>
      <c r="NV345" s="242">
        <f t="shared" si="2363"/>
        <v>0</v>
      </c>
      <c r="NW345" s="242">
        <f t="shared" si="2364"/>
        <v>3111.9999999999995</v>
      </c>
      <c r="NX345" s="56"/>
      <c r="OA345" s="55">
        <f t="shared" si="2365"/>
        <v>46316</v>
      </c>
      <c r="OB345" s="56"/>
      <c r="OC345" s="242">
        <f>SUMPRODUCT(PRODUCE!$B342:$DY342,PRODUCE!$EB$50:$IY$50)</f>
        <v>0</v>
      </c>
      <c r="OD345" s="56"/>
      <c r="OE345" s="242">
        <f t="shared" si="2366"/>
        <v>0</v>
      </c>
      <c r="OF345" s="242">
        <f t="shared" si="2367"/>
        <v>1680.5</v>
      </c>
      <c r="OG345" s="56"/>
      <c r="OJ345" s="55">
        <f t="shared" si="2368"/>
        <v>46316</v>
      </c>
      <c r="OK345" s="56"/>
      <c r="OL345" s="242">
        <f>SUMPRODUCT(PRODUCE!$B342:$DY342,PRODUCE!$EB$51:$IY$51)</f>
        <v>0</v>
      </c>
      <c r="OM345" s="56"/>
      <c r="ON345" s="242">
        <f t="shared" si="2369"/>
        <v>0</v>
      </c>
      <c r="OO345" s="242">
        <f t="shared" si="2370"/>
        <v>0</v>
      </c>
      <c r="OP345" s="56"/>
      <c r="OS345" s="55">
        <f t="shared" si="2371"/>
        <v>46316</v>
      </c>
      <c r="OT345" s="56"/>
      <c r="OU345" s="242">
        <f>SUMPRODUCT(PRODUCE!$B342:$DY342,PRODUCE!$EB$52:$IY$52)</f>
        <v>0</v>
      </c>
      <c r="OV345" s="56"/>
      <c r="OW345" s="242">
        <f t="shared" si="2372"/>
        <v>0</v>
      </c>
      <c r="OX345" s="242">
        <f t="shared" si="2373"/>
        <v>1482</v>
      </c>
      <c r="OY345" s="56"/>
      <c r="PB345" s="55">
        <f t="shared" si="2374"/>
        <v>46316</v>
      </c>
      <c r="PC345" s="56"/>
      <c r="PD345" s="242">
        <f>SUMPRODUCT(PRODUCE!$B342:$DY342,PRODUCE!$EB$53:$IY$53)</f>
        <v>0</v>
      </c>
      <c r="PE345" s="56"/>
      <c r="PF345" s="242">
        <f t="shared" si="2375"/>
        <v>0</v>
      </c>
      <c r="PG345" s="242">
        <f t="shared" si="2376"/>
        <v>0</v>
      </c>
      <c r="PH345" s="56"/>
      <c r="PK345" s="55">
        <f t="shared" si="2377"/>
        <v>46316</v>
      </c>
      <c r="PL345" s="56"/>
      <c r="PM345" s="242">
        <f>SUMPRODUCT(PRODUCE!$B342:$DY342,PRODUCE!$EB$54:$IY$54)</f>
        <v>0</v>
      </c>
      <c r="PN345" s="56"/>
      <c r="PO345" s="242">
        <f t="shared" si="2378"/>
        <v>0</v>
      </c>
      <c r="PP345" s="242">
        <f t="shared" si="2379"/>
        <v>100</v>
      </c>
      <c r="PQ345" s="56"/>
      <c r="PT345" s="55">
        <f t="shared" si="2380"/>
        <v>46316</v>
      </c>
      <c r="PU345" s="56"/>
      <c r="PV345" s="242">
        <f>SUMPRODUCT(PRODUCE!$B342:$DY342,PRODUCE!$EB$55:$IY$55)</f>
        <v>0</v>
      </c>
      <c r="PW345" s="56"/>
      <c r="PX345" s="242">
        <f t="shared" si="2381"/>
        <v>0</v>
      </c>
      <c r="PY345" s="242">
        <f t="shared" si="2382"/>
        <v>13.960000000000036</v>
      </c>
      <c r="PZ345" s="56"/>
      <c r="QC345" s="55">
        <f t="shared" si="2383"/>
        <v>46316</v>
      </c>
      <c r="QD345" s="56"/>
      <c r="QE345" s="242">
        <f>SUMPRODUCT(PRODUCE!$B342:$DY342,PRODUCE!$EB$56:$IY$56)</f>
        <v>0</v>
      </c>
      <c r="QF345" s="56"/>
      <c r="QG345" s="242">
        <f t="shared" si="2384"/>
        <v>0</v>
      </c>
      <c r="QH345" s="242">
        <f t="shared" si="2385"/>
        <v>548</v>
      </c>
      <c r="QI345" s="56"/>
      <c r="QL345" s="55">
        <f t="shared" si="2386"/>
        <v>46316</v>
      </c>
      <c r="QM345" s="56"/>
      <c r="QN345" s="242">
        <f>SUMPRODUCT(PRODUCE!$B342:$DY342,PRODUCE!$EB$57:$IY$57)</f>
        <v>0</v>
      </c>
      <c r="QO345" s="56"/>
      <c r="QP345" s="242">
        <f t="shared" si="2387"/>
        <v>0</v>
      </c>
      <c r="QQ345" s="242">
        <f t="shared" si="2388"/>
        <v>0</v>
      </c>
      <c r="QR345" s="56"/>
      <c r="QU345" s="55">
        <f t="shared" si="2389"/>
        <v>46316</v>
      </c>
      <c r="QV345" s="56"/>
      <c r="QW345" s="242">
        <f>SUMPRODUCT(PRODUCE!$B342:$DY342,PRODUCE!$EB$57:$IY$57)</f>
        <v>0</v>
      </c>
      <c r="QX345" s="56"/>
      <c r="QY345" s="242">
        <f t="shared" si="2390"/>
        <v>0</v>
      </c>
      <c r="QZ345" s="242">
        <f t="shared" si="2391"/>
        <v>0</v>
      </c>
      <c r="RA345" s="56"/>
      <c r="RD345" s="55">
        <f t="shared" si="2392"/>
        <v>46316</v>
      </c>
      <c r="RE345" s="56"/>
      <c r="RF345" s="242">
        <f>SUMPRODUCT(PRODUCE!$B342:$DY342,PRODUCE!$EB$58:$IY$58)</f>
        <v>0</v>
      </c>
      <c r="RG345" s="56"/>
      <c r="RH345" s="242">
        <f t="shared" si="2393"/>
        <v>0</v>
      </c>
      <c r="RI345" s="242">
        <f t="shared" si="2394"/>
        <v>147.04000000000002</v>
      </c>
      <c r="RJ345" s="56"/>
      <c r="RM345" s="55">
        <f t="shared" si="2395"/>
        <v>46316</v>
      </c>
      <c r="RN345" s="56"/>
      <c r="RO345" s="242">
        <f>SUMPRODUCT(PRODUCE!$B342:$DY342,PRODUCE!$EB$57:$IY$57)</f>
        <v>0</v>
      </c>
      <c r="RP345" s="56"/>
      <c r="RQ345" s="242">
        <f t="shared" si="2396"/>
        <v>0</v>
      </c>
      <c r="RR345" s="242">
        <f t="shared" si="2397"/>
        <v>46.8</v>
      </c>
      <c r="RS345" s="56"/>
      <c r="RV345" s="55">
        <f t="shared" si="2398"/>
        <v>46316</v>
      </c>
      <c r="RW345" s="56"/>
      <c r="RX345" s="242">
        <f>SUMPRODUCT(PRODUCE!$B342:$DY342,PRODUCE!$EB$57:$IY$57)</f>
        <v>0</v>
      </c>
      <c r="RY345" s="56"/>
      <c r="RZ345" s="242">
        <f t="shared" si="2399"/>
        <v>0</v>
      </c>
      <c r="SA345" s="242">
        <f t="shared" si="2400"/>
        <v>0</v>
      </c>
      <c r="SB345" s="56"/>
      <c r="SE345" s="55">
        <f t="shared" si="2401"/>
        <v>46316</v>
      </c>
      <c r="SF345" s="56"/>
      <c r="SG345" s="242">
        <f>SUMPRODUCT(PRODUCE!$B342:$DY342,PRODUCE!$EB$61:$IY$61)</f>
        <v>0</v>
      </c>
      <c r="SH345" s="56"/>
      <c r="SI345" s="242">
        <f t="shared" si="2402"/>
        <v>0</v>
      </c>
      <c r="SJ345" s="242">
        <f t="shared" si="2403"/>
        <v>24.200000000000003</v>
      </c>
      <c r="SK345" s="56"/>
      <c r="SN345" s="55">
        <f t="shared" si="2404"/>
        <v>46316</v>
      </c>
      <c r="SO345" s="56"/>
      <c r="SP345" s="242">
        <f>SUMPRODUCT(PRODUCE!$B342:$DY342,PRODUCE!$EB$57:$IY$57)</f>
        <v>0</v>
      </c>
      <c r="SQ345" s="56"/>
      <c r="SR345" s="242">
        <f t="shared" si="2405"/>
        <v>0</v>
      </c>
      <c r="SS345" s="242">
        <f t="shared" si="2406"/>
        <v>32</v>
      </c>
      <c r="ST345" s="56"/>
      <c r="SW345" s="55">
        <f t="shared" si="2407"/>
        <v>46316</v>
      </c>
      <c r="SX345" s="56"/>
      <c r="SY345" s="242">
        <f>SUMPRODUCT(PRODUCE!$B342:$DY342,PRODUCE!$EB$57:$IY$57)</f>
        <v>0</v>
      </c>
      <c r="SZ345" s="56"/>
      <c r="TA345" s="242">
        <f t="shared" si="2408"/>
        <v>0</v>
      </c>
      <c r="TB345" s="242">
        <f t="shared" si="2409"/>
        <v>0</v>
      </c>
      <c r="TC345" s="56"/>
      <c r="TF345" s="55">
        <f t="shared" si="2410"/>
        <v>46316</v>
      </c>
      <c r="TG345" s="56"/>
      <c r="TH345" s="242">
        <f>SUMPRODUCT(PRODUCE!$B342:$DY342,PRODUCE!$EB$57:$IY$57)</f>
        <v>0</v>
      </c>
      <c r="TI345" s="56"/>
      <c r="TJ345" s="242">
        <f t="shared" si="2411"/>
        <v>0</v>
      </c>
      <c r="TK345" s="242">
        <f t="shared" si="2412"/>
        <v>0</v>
      </c>
      <c r="TL345" s="56"/>
      <c r="TO345" s="55">
        <f t="shared" si="2413"/>
        <v>46316</v>
      </c>
      <c r="TP345" s="56"/>
      <c r="TQ345" s="242">
        <f>SUMPRODUCT(PRODUCE!$B342:$DY342,PRODUCE!$EB$57:$IY$57)</f>
        <v>0</v>
      </c>
      <c r="TR345" s="56"/>
      <c r="TS345" s="242">
        <f t="shared" si="2414"/>
        <v>0</v>
      </c>
      <c r="TT345" s="242">
        <f t="shared" si="2415"/>
        <v>0</v>
      </c>
      <c r="TU345" s="56"/>
      <c r="TX345" s="55">
        <f t="shared" si="2416"/>
        <v>46316</v>
      </c>
      <c r="TY345" s="56"/>
      <c r="TZ345" s="242">
        <f>SUMPRODUCT(PRODUCE!$B342:$DY342,PRODUCE!$EB$57:$IY$57)</f>
        <v>0</v>
      </c>
      <c r="UA345" s="56"/>
      <c r="UB345" s="242">
        <f t="shared" si="2417"/>
        <v>0</v>
      </c>
      <c r="UC345" s="242">
        <f t="shared" si="2418"/>
        <v>46.799999999999983</v>
      </c>
      <c r="UD345" s="56"/>
      <c r="UG345" s="55">
        <f t="shared" si="2419"/>
        <v>46316</v>
      </c>
      <c r="UH345" s="56"/>
      <c r="UI345" s="242">
        <f>SUMPRODUCT(PRODUCE!$B342:$DY342,PRODUCE!$EB$57:$IY$57)</f>
        <v>0</v>
      </c>
      <c r="UJ345" s="56"/>
      <c r="UK345" s="242">
        <f t="shared" si="2420"/>
        <v>0</v>
      </c>
      <c r="UL345" s="242">
        <f t="shared" si="2421"/>
        <v>204</v>
      </c>
      <c r="UM345" s="56"/>
      <c r="UP345" s="55">
        <f t="shared" si="2422"/>
        <v>46316</v>
      </c>
      <c r="UQ345" s="56"/>
      <c r="UR345" s="242">
        <f>SUMPRODUCT(PRODUCE!$B342:$DY342,PRODUCE!$EB$57:$IY$57)</f>
        <v>0</v>
      </c>
      <c r="US345" s="56"/>
      <c r="UT345" s="242">
        <f t="shared" si="2423"/>
        <v>0</v>
      </c>
      <c r="UU345" s="242">
        <f t="shared" si="2424"/>
        <v>202.5</v>
      </c>
      <c r="UV345" s="56"/>
      <c r="UY345" s="55">
        <f t="shared" si="2425"/>
        <v>46316</v>
      </c>
      <c r="UZ345" s="56"/>
      <c r="VA345" s="242">
        <f>SUMPRODUCT(PRODUCE!$B342:$DY342,PRODUCE!$EB$57:$IY$57)</f>
        <v>0</v>
      </c>
      <c r="VB345" s="56"/>
      <c r="VC345" s="242">
        <f t="shared" si="2426"/>
        <v>0</v>
      </c>
      <c r="VD345" s="242">
        <f t="shared" si="2427"/>
        <v>41.600000000000023</v>
      </c>
      <c r="VE345" s="56"/>
      <c r="VH345" s="55">
        <f t="shared" si="2428"/>
        <v>46316</v>
      </c>
      <c r="VI345" s="56"/>
      <c r="VJ345" s="242">
        <f>SUMPRODUCT(PRODUCE!$B342:$DY342,PRODUCE!$EB$57:$IY$57)</f>
        <v>0</v>
      </c>
      <c r="VK345" s="56"/>
      <c r="VL345" s="242">
        <f t="shared" si="2429"/>
        <v>0</v>
      </c>
      <c r="VM345" s="242">
        <f t="shared" si="2430"/>
        <v>210</v>
      </c>
      <c r="VN345" s="56"/>
      <c r="VQ345" s="55">
        <f t="shared" si="2431"/>
        <v>46316</v>
      </c>
      <c r="VR345" s="56"/>
      <c r="VS345" s="242">
        <f>SUMPRODUCT(PRODUCE!$B342:$DY342,PRODUCE!$EB$57:$IY$57)</f>
        <v>0</v>
      </c>
      <c r="VT345" s="56"/>
      <c r="VU345" s="242">
        <f t="shared" si="2432"/>
        <v>0</v>
      </c>
      <c r="VV345" s="242">
        <f t="shared" si="2433"/>
        <v>0</v>
      </c>
      <c r="VW345" s="56"/>
      <c r="VZ345" s="55">
        <f t="shared" si="2434"/>
        <v>46316</v>
      </c>
      <c r="WA345" s="56"/>
      <c r="WB345" s="242">
        <f>SUMPRODUCT(PRODUCE!$B342:$DY342,PRODUCE!$EB$57:$IY$57)</f>
        <v>0</v>
      </c>
      <c r="WC345" s="56"/>
      <c r="WD345" s="242">
        <f t="shared" si="2435"/>
        <v>0</v>
      </c>
      <c r="WE345" s="242">
        <f t="shared" si="2436"/>
        <v>0</v>
      </c>
      <c r="WF345" s="56"/>
      <c r="WI345" s="55">
        <f t="shared" si="2437"/>
        <v>46316</v>
      </c>
      <c r="WJ345" s="56"/>
      <c r="WK345" s="242">
        <f>SUMPRODUCT(PRODUCE!$B342:$DY342,PRODUCE!$EB$57:$IY$57)</f>
        <v>0</v>
      </c>
      <c r="WL345" s="56"/>
      <c r="WM345" s="242">
        <f t="shared" si="2438"/>
        <v>0</v>
      </c>
      <c r="WN345" s="242">
        <f t="shared" si="2439"/>
        <v>1057</v>
      </c>
      <c r="WO345" s="56"/>
      <c r="WR345" s="55">
        <f t="shared" si="2440"/>
        <v>46316</v>
      </c>
      <c r="WS345" s="56"/>
      <c r="WT345" s="242">
        <f>SUMPRODUCT(PRODUCE!$B342:$DY342,PRODUCE!$EB$57:$IY$57)</f>
        <v>0</v>
      </c>
      <c r="WU345" s="56"/>
      <c r="WV345" s="242">
        <f t="shared" si="2441"/>
        <v>0</v>
      </c>
      <c r="WW345" s="242">
        <f t="shared" si="2442"/>
        <v>0</v>
      </c>
      <c r="WX345" s="56"/>
      <c r="XA345" s="55">
        <f t="shared" si="2443"/>
        <v>46316</v>
      </c>
      <c r="XB345" s="56"/>
      <c r="XC345" s="242">
        <f>SUMPRODUCT(PRODUCE!$B342:$DY342,PRODUCE!$EB$57:$IY$57)</f>
        <v>0</v>
      </c>
      <c r="XD345" s="56"/>
      <c r="XE345" s="242">
        <f t="shared" si="2444"/>
        <v>0</v>
      </c>
      <c r="XF345" s="242">
        <f t="shared" si="2445"/>
        <v>7507</v>
      </c>
      <c r="XG345" s="56"/>
      <c r="XJ345" s="55">
        <f t="shared" si="2446"/>
        <v>46316</v>
      </c>
      <c r="XK345" s="56"/>
      <c r="XL345" s="242">
        <f>SUMPRODUCT(PRODUCE!$B342:$DY342,PRODUCE!$EB$57:$IY$57)</f>
        <v>0</v>
      </c>
      <c r="XM345" s="56"/>
      <c r="XN345" s="242">
        <f t="shared" si="2447"/>
        <v>0</v>
      </c>
      <c r="XO345" s="242">
        <f t="shared" si="2448"/>
        <v>4252</v>
      </c>
      <c r="XP345" s="56"/>
      <c r="XS345" s="55">
        <f t="shared" si="2449"/>
        <v>46316</v>
      </c>
      <c r="XT345" s="56"/>
      <c r="XU345" s="242">
        <f>SUMPRODUCT(PRODUCE!$B342:$DY342,PRODUCE!$EB$57:$IY$57)</f>
        <v>0</v>
      </c>
      <c r="XV345" s="56"/>
      <c r="XW345" s="242">
        <f t="shared" si="2450"/>
        <v>0</v>
      </c>
      <c r="XX345" s="242">
        <f t="shared" si="2451"/>
        <v>2179</v>
      </c>
      <c r="XY345" s="56"/>
      <c r="YB345" s="55">
        <f t="shared" si="2452"/>
        <v>46316</v>
      </c>
      <c r="YC345" s="56"/>
      <c r="YD345" s="242">
        <f>SUMPRODUCT(PRODUCE!$B342:$DY342,PRODUCE!$EB$57:$IY$57)</f>
        <v>0</v>
      </c>
      <c r="YE345" s="56"/>
      <c r="YF345" s="242">
        <f t="shared" si="2453"/>
        <v>0</v>
      </c>
      <c r="YG345" s="242">
        <f t="shared" si="2454"/>
        <v>4019</v>
      </c>
      <c r="YH345" s="56"/>
      <c r="YK345" s="55">
        <f t="shared" si="2455"/>
        <v>46316</v>
      </c>
      <c r="YL345" s="56"/>
      <c r="YM345" s="242">
        <f>SUMPRODUCT(PRODUCE!$B342:$DY342,PRODUCE!$EB$57:$IY$57)</f>
        <v>0</v>
      </c>
      <c r="YN345" s="56"/>
      <c r="YO345" s="242">
        <f t="shared" si="2456"/>
        <v>0</v>
      </c>
      <c r="YP345" s="242">
        <f t="shared" si="2457"/>
        <v>-218</v>
      </c>
      <c r="YQ345" s="56"/>
      <c r="YT345" s="55">
        <f t="shared" si="2458"/>
        <v>46316</v>
      </c>
      <c r="YU345" s="56"/>
      <c r="YV345" s="242">
        <f>SUMPRODUCT(PRODUCE!$B342:$DY342,PRODUCE!$EB$57:$IY$57)</f>
        <v>0</v>
      </c>
      <c r="YW345" s="56"/>
      <c r="YX345" s="242">
        <f t="shared" si="2459"/>
        <v>0</v>
      </c>
      <c r="YY345" s="242">
        <f t="shared" si="2460"/>
        <v>0</v>
      </c>
      <c r="YZ345" s="56"/>
      <c r="ZC345" s="55">
        <f t="shared" si="2461"/>
        <v>46316</v>
      </c>
      <c r="ZD345" s="56"/>
      <c r="ZE345" s="242">
        <f>SUMPRODUCT(PRODUCE!$B342:$DY342,PRODUCE!$EB$57:$IY$57)</f>
        <v>0</v>
      </c>
      <c r="ZF345" s="56"/>
      <c r="ZG345" s="242">
        <f t="shared" si="2462"/>
        <v>0</v>
      </c>
      <c r="ZH345" s="242">
        <f t="shared" si="2463"/>
        <v>0</v>
      </c>
      <c r="ZI345" s="56"/>
      <c r="ZL345" s="55">
        <f t="shared" si="2464"/>
        <v>46316</v>
      </c>
      <c r="ZM345" s="56"/>
      <c r="ZN345" s="242">
        <f>SUMPRODUCT(PRODUCE!$B342:$DY342,PRODUCE!$EB$57:$IY$57)</f>
        <v>0</v>
      </c>
      <c r="ZO345" s="56"/>
      <c r="ZP345" s="242">
        <f t="shared" si="2465"/>
        <v>0</v>
      </c>
      <c r="ZQ345" s="242">
        <f t="shared" si="2466"/>
        <v>0</v>
      </c>
      <c r="ZR345" s="56"/>
      <c r="ZU345" s="55">
        <f t="shared" si="2467"/>
        <v>46316</v>
      </c>
      <c r="ZV345" s="56"/>
      <c r="ZW345" s="242">
        <f>SUMPRODUCT(PRODUCE!$B342:$DY342,PRODUCE!$EB$57:$IY$57)</f>
        <v>0</v>
      </c>
      <c r="ZX345" s="56"/>
      <c r="ZY345" s="242">
        <f t="shared" si="2468"/>
        <v>0</v>
      </c>
      <c r="ZZ345" s="242">
        <f t="shared" si="2469"/>
        <v>0</v>
      </c>
      <c r="AAA345" s="56"/>
      <c r="AAD345" s="55">
        <f t="shared" si="2470"/>
        <v>46316</v>
      </c>
      <c r="AAE345" s="56"/>
      <c r="AAF345" s="242">
        <f>SUMPRODUCT(PRODUCE!$B342:$DY342,PRODUCE!$EB$57:$IY$57)</f>
        <v>0</v>
      </c>
      <c r="AAG345" s="56"/>
      <c r="AAH345" s="242">
        <f t="shared" si="2471"/>
        <v>0</v>
      </c>
      <c r="AAI345" s="242">
        <f t="shared" si="2472"/>
        <v>0</v>
      </c>
      <c r="AAJ345" s="56"/>
      <c r="AAM345" s="55">
        <f t="shared" si="2473"/>
        <v>46316</v>
      </c>
      <c r="AAN345" s="56"/>
      <c r="AAO345" s="242">
        <f>SUMPRODUCT(PRODUCE!$B342:$DY342,PRODUCE!$EB$57:$IY$57)</f>
        <v>0</v>
      </c>
      <c r="AAP345" s="56"/>
      <c r="AAQ345" s="242">
        <f t="shared" si="2474"/>
        <v>0</v>
      </c>
      <c r="AAR345" s="242">
        <f t="shared" si="2475"/>
        <v>0</v>
      </c>
      <c r="AAS345" s="56"/>
      <c r="AAV345" s="55">
        <f t="shared" si="2476"/>
        <v>46316</v>
      </c>
      <c r="AAW345" s="56"/>
      <c r="AAX345" s="242">
        <f>SUMPRODUCT(PRODUCE!$B342:$DY342,PRODUCE!$EB$57:$IY$57)</f>
        <v>0</v>
      </c>
      <c r="AAY345" s="56"/>
      <c r="AAZ345" s="242">
        <f t="shared" si="2477"/>
        <v>0</v>
      </c>
      <c r="ABA345" s="242">
        <f t="shared" si="2478"/>
        <v>0</v>
      </c>
      <c r="ABB345" s="56"/>
      <c r="ABE345" s="55">
        <f t="shared" si="2479"/>
        <v>46316</v>
      </c>
      <c r="ABF345" s="56"/>
      <c r="ABG345" s="242">
        <f>SUMPRODUCT(PRODUCE!$B342:$DY342,PRODUCE!$EB$57:$IY$57)</f>
        <v>0</v>
      </c>
      <c r="ABH345" s="56"/>
      <c r="ABI345" s="242">
        <f t="shared" si="2480"/>
        <v>0</v>
      </c>
      <c r="ABJ345" s="242">
        <f t="shared" si="2481"/>
        <v>0</v>
      </c>
      <c r="ABK345" s="56"/>
    </row>
    <row r="346" spans="2:739" s="54" customFormat="1" ht="15" customHeight="1" outlineLevel="1">
      <c r="B346" s="478"/>
      <c r="C346" s="55">
        <v>46317</v>
      </c>
      <c r="D346" s="56"/>
      <c r="E346" s="57">
        <f>SUMPRODUCT(PRODUCE!$B343:$DY343,PRODUCE!$EB$7:$IY$7)</f>
        <v>0</v>
      </c>
      <c r="F346" s="56"/>
      <c r="G346" s="57">
        <f t="shared" si="2237"/>
        <v>0</v>
      </c>
      <c r="H346" s="57">
        <f t="shared" si="2238"/>
        <v>236936.6</v>
      </c>
      <c r="I346" s="289"/>
      <c r="L346" s="55">
        <f t="shared" si="2239"/>
        <v>46317</v>
      </c>
      <c r="M346" s="56"/>
      <c r="N346" s="59">
        <f>SUMPRODUCT(PRODUCE!$B343:$DY343,PRODUCE!$EB$8:$IY$8)</f>
        <v>0</v>
      </c>
      <c r="O346" s="56"/>
      <c r="P346" s="59">
        <f t="shared" si="2240"/>
        <v>0</v>
      </c>
      <c r="Q346" s="59">
        <f t="shared" si="2241"/>
        <v>53017.600000000071</v>
      </c>
      <c r="R346" s="56"/>
      <c r="U346" s="55">
        <f t="shared" si="2242"/>
        <v>46317</v>
      </c>
      <c r="V346" s="56"/>
      <c r="W346" s="60">
        <f>SUMPRODUCT(PRODUCE!$B343:$DY343,PRODUCE!$EB$9:$IY$9)</f>
        <v>0</v>
      </c>
      <c r="X346" s="56"/>
      <c r="Y346" s="60">
        <f t="shared" si="2243"/>
        <v>0</v>
      </c>
      <c r="Z346" s="60">
        <f t="shared" si="2244"/>
        <v>42674.199999999968</v>
      </c>
      <c r="AA346" s="56"/>
      <c r="AD346" s="55">
        <f t="shared" si="2245"/>
        <v>46317</v>
      </c>
      <c r="AE346" s="56"/>
      <c r="AF346" s="61">
        <f>SUMPRODUCT(PRODUCE!$B343:$DY343,PRODUCE!$EB$10:$IY$10)</f>
        <v>0</v>
      </c>
      <c r="AG346" s="56"/>
      <c r="AH346" s="61">
        <f t="shared" si="2246"/>
        <v>0</v>
      </c>
      <c r="AI346" s="61">
        <f t="shared" si="2247"/>
        <v>4522.2000000000189</v>
      </c>
      <c r="AJ346" s="56"/>
      <c r="AM346" s="55">
        <f t="shared" si="2248"/>
        <v>46317</v>
      </c>
      <c r="AN346" s="422"/>
      <c r="AO346" s="444">
        <f>SUMPRODUCT(PRODUCE!$B343:$DY343,PRODUCE!$EB$11:$IY$11)</f>
        <v>0</v>
      </c>
      <c r="AP346" s="422"/>
      <c r="AQ346" s="444">
        <f t="shared" si="2249"/>
        <v>0</v>
      </c>
      <c r="AR346" s="444">
        <f t="shared" si="2250"/>
        <v>0</v>
      </c>
      <c r="AS346" s="56"/>
      <c r="AV346" s="55">
        <f t="shared" si="2251"/>
        <v>46317</v>
      </c>
      <c r="AW346" s="56"/>
      <c r="AX346" s="62">
        <f>SUMPRODUCT(PRODUCE!$B343:$DY343,PRODUCE!$EB$12:$IY$12)</f>
        <v>0</v>
      </c>
      <c r="AY346" s="56"/>
      <c r="AZ346" s="62">
        <f t="shared" si="2252"/>
        <v>0</v>
      </c>
      <c r="BA346" s="62">
        <f t="shared" si="2253"/>
        <v>124.99999999999523</v>
      </c>
      <c r="BB346" s="56"/>
      <c r="BE346" s="55">
        <f t="shared" si="2254"/>
        <v>46317</v>
      </c>
      <c r="BF346" s="56"/>
      <c r="BG346" s="63">
        <f>SUMPRODUCT(PRODUCE!$B343:$DY343,PRODUCE!$EB$13:$IY$13)</f>
        <v>0</v>
      </c>
      <c r="BH346" s="56"/>
      <c r="BI346" s="63">
        <f t="shared" si="2255"/>
        <v>0</v>
      </c>
      <c r="BJ346" s="63">
        <f t="shared" si="2256"/>
        <v>26151.899999999998</v>
      </c>
      <c r="BK346" s="56"/>
      <c r="BN346" s="55">
        <f t="shared" si="2257"/>
        <v>46317</v>
      </c>
      <c r="BO346" s="56"/>
      <c r="BP346" s="64">
        <f>SUMPRODUCT(PRODUCE!$B343:$DY343,PRODUCE!$EB$14:$IY$14)</f>
        <v>0</v>
      </c>
      <c r="BQ346" s="56"/>
      <c r="BR346" s="64">
        <f t="shared" si="2258"/>
        <v>0</v>
      </c>
      <c r="BS346" s="64">
        <f t="shared" si="2259"/>
        <v>0</v>
      </c>
      <c r="BT346" s="56"/>
      <c r="BW346" s="55">
        <f t="shared" si="2260"/>
        <v>46317</v>
      </c>
      <c r="BX346" s="56"/>
      <c r="BY346" s="65">
        <f>SUMPRODUCT(PRODUCE!$B343:$DY343,PRODUCE!$EB$15:$IY$15)</f>
        <v>0</v>
      </c>
      <c r="BZ346" s="56"/>
      <c r="CA346" s="65">
        <f t="shared" si="2261"/>
        <v>0</v>
      </c>
      <c r="CB346" s="65">
        <f t="shared" si="2262"/>
        <v>2097.3399999999992</v>
      </c>
      <c r="CC346" s="56"/>
      <c r="CF346" s="55">
        <f t="shared" si="2263"/>
        <v>46317</v>
      </c>
      <c r="CG346" s="56"/>
      <c r="CH346" s="66">
        <f>SUMPRODUCT(PRODUCE!$B343:$DY343,PRODUCE!$EB$16:$IY$16)</f>
        <v>0</v>
      </c>
      <c r="CI346" s="56"/>
      <c r="CJ346" s="66">
        <f t="shared" si="2264"/>
        <v>0</v>
      </c>
      <c r="CK346" s="66">
        <f t="shared" si="2265"/>
        <v>-10277.079999999998</v>
      </c>
      <c r="CL346" s="56"/>
      <c r="CO346" s="55">
        <f t="shared" si="2266"/>
        <v>46317</v>
      </c>
      <c r="CP346" s="422"/>
      <c r="CQ346" s="470">
        <f>SUMPRODUCT(PRODUCE!$B343:$DY343,PRODUCE!$EB$17:$IY$17)</f>
        <v>0</v>
      </c>
      <c r="CR346" s="422"/>
      <c r="CS346" s="470">
        <f t="shared" si="2267"/>
        <v>0</v>
      </c>
      <c r="CT346" s="470">
        <f t="shared" si="2268"/>
        <v>0</v>
      </c>
      <c r="CU346" s="56"/>
      <c r="CX346" s="55">
        <f t="shared" si="2269"/>
        <v>46317</v>
      </c>
      <c r="CY346" s="56"/>
      <c r="CZ346" s="133">
        <f>SUMPRODUCT(PRODUCE!$B343:$DY343,PRODUCE!$EB$18:$IY$18)</f>
        <v>0</v>
      </c>
      <c r="DA346" s="56"/>
      <c r="DB346" s="133">
        <f t="shared" si="2270"/>
        <v>0</v>
      </c>
      <c r="DC346" s="133">
        <f t="shared" si="2271"/>
        <v>27438.200000000012</v>
      </c>
      <c r="DD346" s="56"/>
      <c r="DG346" s="55">
        <f t="shared" si="2272"/>
        <v>46317</v>
      </c>
      <c r="DH346" s="56"/>
      <c r="DI346" s="147">
        <f>SUMPRODUCT(PRODUCE!$B343:$DY343,PRODUCE!$EB$19:$IY$19)</f>
        <v>0</v>
      </c>
      <c r="DJ346" s="56"/>
      <c r="DK346" s="147">
        <f t="shared" si="2273"/>
        <v>0</v>
      </c>
      <c r="DL346" s="147">
        <f t="shared" si="2274"/>
        <v>18782.299999999981</v>
      </c>
      <c r="DM346" s="56"/>
      <c r="DP346" s="55">
        <f t="shared" si="2275"/>
        <v>46317</v>
      </c>
      <c r="DQ346" s="56"/>
      <c r="DR346" s="57">
        <f>SUMPRODUCT(PRODUCE!$B343:$DY343,PRODUCE!$EB$20:$IY$20)</f>
        <v>0</v>
      </c>
      <c r="DS346" s="56"/>
      <c r="DT346" s="57">
        <f t="shared" si="2276"/>
        <v>0</v>
      </c>
      <c r="DU346" s="57">
        <f t="shared" si="2277"/>
        <v>5800</v>
      </c>
      <c r="DV346" s="56"/>
      <c r="DY346" s="55">
        <f t="shared" si="2278"/>
        <v>46317</v>
      </c>
      <c r="DZ346" s="56"/>
      <c r="EA346" s="157">
        <f>SUMPRODUCT(PRODUCE!$B343:$DY343,PRODUCE!$EB$21:$IY$21)</f>
        <v>0</v>
      </c>
      <c r="EB346" s="56"/>
      <c r="EC346" s="157">
        <f t="shared" si="2279"/>
        <v>0</v>
      </c>
      <c r="ED346" s="157">
        <f t="shared" si="2280"/>
        <v>0</v>
      </c>
      <c r="EE346" s="56"/>
      <c r="EH346" s="55">
        <f t="shared" si="2281"/>
        <v>46317</v>
      </c>
      <c r="EI346" s="56"/>
      <c r="EJ346" s="162">
        <f>SUMPRODUCT(PRODUCE!$B343:$DY343,PRODUCE!$EB$22:$IY$22)</f>
        <v>0</v>
      </c>
      <c r="EK346" s="56"/>
      <c r="EL346" s="162">
        <f t="shared" si="2282"/>
        <v>0</v>
      </c>
      <c r="EM346" s="162">
        <f t="shared" si="2283"/>
        <v>0</v>
      </c>
      <c r="EN346" s="56"/>
      <c r="EQ346" s="55">
        <f t="shared" si="2284"/>
        <v>46317</v>
      </c>
      <c r="ER346" s="56"/>
      <c r="ES346" s="135">
        <f>SUMPRODUCT(PRODUCE!$B343:$DY343,PRODUCE!$EB$23:$IY$23)</f>
        <v>0</v>
      </c>
      <c r="ET346" s="56"/>
      <c r="EU346" s="135">
        <f t="shared" si="2285"/>
        <v>0</v>
      </c>
      <c r="EV346" s="135">
        <f t="shared" si="2286"/>
        <v>0</v>
      </c>
      <c r="EW346" s="56"/>
      <c r="EZ346" s="55">
        <f t="shared" si="2287"/>
        <v>46317</v>
      </c>
      <c r="FA346" s="56"/>
      <c r="FB346" s="175">
        <f>SUMPRODUCT(PRODUCE!$B343:$DY343,PRODUCE!$EB$24:$IY$24)</f>
        <v>0</v>
      </c>
      <c r="FC346" s="56"/>
      <c r="FD346" s="175">
        <f t="shared" si="2288"/>
        <v>0</v>
      </c>
      <c r="FE346" s="175">
        <f t="shared" si="2289"/>
        <v>0</v>
      </c>
      <c r="FF346" s="56"/>
      <c r="FI346" s="55">
        <f t="shared" si="2290"/>
        <v>46317</v>
      </c>
      <c r="FJ346" s="56"/>
      <c r="FK346" s="183">
        <f>SUMPRODUCT(PRODUCE!$B343:$DY343,PRODUCE!$EB$25:$IY$25)</f>
        <v>0</v>
      </c>
      <c r="FL346" s="56"/>
      <c r="FM346" s="183">
        <f t="shared" si="2291"/>
        <v>0</v>
      </c>
      <c r="FN346" s="183">
        <f t="shared" si="2292"/>
        <v>0</v>
      </c>
      <c r="FO346" s="56"/>
      <c r="FR346" s="55">
        <f t="shared" si="2293"/>
        <v>46317</v>
      </c>
      <c r="FS346" s="56"/>
      <c r="FT346" s="186">
        <f>SUMPRODUCT(PRODUCE!$B343:$DY343,PRODUCE!$EB$26:$IY$26)</f>
        <v>0</v>
      </c>
      <c r="FU346" s="56"/>
      <c r="FV346" s="186">
        <f t="shared" si="2294"/>
        <v>0</v>
      </c>
      <c r="FW346" s="186">
        <f t="shared" si="2295"/>
        <v>2020</v>
      </c>
      <c r="FX346" s="56"/>
      <c r="GA346" s="55">
        <f t="shared" si="2296"/>
        <v>46317</v>
      </c>
      <c r="GB346" s="56"/>
      <c r="GC346" s="137">
        <f>SUMPRODUCT(PRODUCE!$B343:$DY343,PRODUCE!$EB$27:$IY$27)</f>
        <v>0</v>
      </c>
      <c r="GD346" s="56"/>
      <c r="GE346" s="137">
        <f t="shared" si="2297"/>
        <v>0</v>
      </c>
      <c r="GF346" s="137">
        <f t="shared" si="2298"/>
        <v>960</v>
      </c>
      <c r="GG346" s="56"/>
      <c r="GI346" s="23"/>
      <c r="GJ346" s="55">
        <f t="shared" si="2299"/>
        <v>46317</v>
      </c>
      <c r="GK346" s="56"/>
      <c r="GL346" s="199">
        <f>SUMPRODUCT(PRODUCE!$B343:$DY343,PRODUCE!$EB$28:$IY$28)</f>
        <v>0</v>
      </c>
      <c r="GM346" s="56"/>
      <c r="GN346" s="199">
        <f t="shared" si="2300"/>
        <v>0</v>
      </c>
      <c r="GO346" s="199">
        <f t="shared" si="2301"/>
        <v>1760</v>
      </c>
      <c r="GP346" s="56"/>
      <c r="GS346" s="55">
        <f t="shared" si="2302"/>
        <v>46317</v>
      </c>
      <c r="GT346" s="56"/>
      <c r="GU346" s="195">
        <f>SUMPRODUCT(PRODUCE!$B343:$DY343,PRODUCE!$EB$29:$IY$29)</f>
        <v>0</v>
      </c>
      <c r="GV346" s="56"/>
      <c r="GW346" s="195">
        <f t="shared" si="2303"/>
        <v>0</v>
      </c>
      <c r="GX346" s="195">
        <f t="shared" si="2304"/>
        <v>400</v>
      </c>
      <c r="GY346" s="56"/>
      <c r="HB346" s="55">
        <f t="shared" si="2305"/>
        <v>46317</v>
      </c>
      <c r="HC346" s="56"/>
      <c r="HD346" s="191">
        <f>SUMPRODUCT(PRODUCE!$B343:$DY343,PRODUCE!$EB$30:$IY$30)</f>
        <v>0</v>
      </c>
      <c r="HE346" s="56"/>
      <c r="HF346" s="191">
        <f t="shared" si="2306"/>
        <v>0</v>
      </c>
      <c r="HG346" s="191">
        <f t="shared" si="2307"/>
        <v>3600</v>
      </c>
      <c r="HH346" s="56"/>
      <c r="HK346" s="55">
        <f t="shared" si="2308"/>
        <v>46317</v>
      </c>
      <c r="HL346" s="56"/>
      <c r="HM346" s="63">
        <f>SUMPRODUCT(PRODUCE!$B343:$DY343,PRODUCE!$EB$31:$IY$31)</f>
        <v>0</v>
      </c>
      <c r="HN346" s="56"/>
      <c r="HO346" s="63">
        <f t="shared" si="2309"/>
        <v>0</v>
      </c>
      <c r="HP346" s="63">
        <f t="shared" si="2310"/>
        <v>0</v>
      </c>
      <c r="HQ346" s="56"/>
      <c r="HU346" s="55">
        <f t="shared" si="2311"/>
        <v>46317</v>
      </c>
      <c r="HV346" s="56"/>
      <c r="HW346" s="242">
        <f>SUMPRODUCT(PRODUCE!$B343:$DY343,PRODUCE!$EB$32:$IY$32)</f>
        <v>0</v>
      </c>
      <c r="HX346" s="56"/>
      <c r="HY346" s="242">
        <f t="shared" si="2312"/>
        <v>0</v>
      </c>
      <c r="HZ346" s="242">
        <f t="shared" si="2313"/>
        <v>6120</v>
      </c>
      <c r="IA346" s="56"/>
      <c r="ID346" s="55">
        <f t="shared" si="2314"/>
        <v>46317</v>
      </c>
      <c r="IE346" s="56"/>
      <c r="IF346" s="242">
        <f>SUMPRODUCT(PRODUCE!$B343:$DY343,PRODUCE!$EB$33:$IY$33)</f>
        <v>0</v>
      </c>
      <c r="IG346" s="56"/>
      <c r="IH346" s="242">
        <f t="shared" si="2315"/>
        <v>0</v>
      </c>
      <c r="II346" s="242">
        <f t="shared" si="2316"/>
        <v>0</v>
      </c>
      <c r="IJ346" s="56"/>
      <c r="IM346" s="55">
        <f t="shared" si="2317"/>
        <v>46317</v>
      </c>
      <c r="IN346" s="56"/>
      <c r="IO346" s="242">
        <f>SUMPRODUCT(PRODUCE!$B343:$DY343,PRODUCE!$EB$34:$IY$34)</f>
        <v>0</v>
      </c>
      <c r="IP346" s="56"/>
      <c r="IQ346" s="242">
        <f t="shared" si="2318"/>
        <v>0</v>
      </c>
      <c r="IR346" s="242">
        <f t="shared" si="2319"/>
        <v>0</v>
      </c>
      <c r="IS346" s="56"/>
      <c r="IV346" s="55">
        <f t="shared" si="2320"/>
        <v>46317</v>
      </c>
      <c r="IW346" s="56"/>
      <c r="IX346" s="242">
        <f>SUMPRODUCT(PRODUCE!$B343:$DY343,PRODUCE!$EB$35:$IY$35)</f>
        <v>0</v>
      </c>
      <c r="IY346" s="56"/>
      <c r="IZ346" s="242">
        <f t="shared" si="2321"/>
        <v>0</v>
      </c>
      <c r="JA346" s="242">
        <f t="shared" si="2322"/>
        <v>2820</v>
      </c>
      <c r="JB346" s="56"/>
      <c r="JE346" s="55">
        <f t="shared" si="2323"/>
        <v>46317</v>
      </c>
      <c r="JF346" s="56"/>
      <c r="JG346" s="242">
        <f>SUMPRODUCT(PRODUCE!$B343:$DY343,PRODUCE!$EB$36:$IY$36)</f>
        <v>0</v>
      </c>
      <c r="JH346" s="56"/>
      <c r="JI346" s="242">
        <f t="shared" si="2324"/>
        <v>0</v>
      </c>
      <c r="JJ346" s="242">
        <f t="shared" si="2325"/>
        <v>0</v>
      </c>
      <c r="JK346" s="56"/>
      <c r="JN346" s="55">
        <f t="shared" si="2326"/>
        <v>46317</v>
      </c>
      <c r="JO346" s="56"/>
      <c r="JP346" s="242">
        <f>SUMPRODUCT(PRODUCE!$B343:$DY343,PRODUCE!$EB$37:$IY$37)</f>
        <v>0</v>
      </c>
      <c r="JQ346" s="56"/>
      <c r="JR346" s="242">
        <f t="shared" si="2327"/>
        <v>0</v>
      </c>
      <c r="JS346" s="242">
        <f t="shared" si="2328"/>
        <v>0</v>
      </c>
      <c r="JT346" s="56"/>
      <c r="JW346" s="55">
        <f t="shared" si="2329"/>
        <v>46317</v>
      </c>
      <c r="JX346" s="56"/>
      <c r="JY346" s="242">
        <f>SUMPRODUCT(PRODUCE!$B343:$DY343,PRODUCE!$EB$38:$IY$38)</f>
        <v>0</v>
      </c>
      <c r="JZ346" s="56"/>
      <c r="KA346" s="242">
        <f t="shared" si="2330"/>
        <v>0</v>
      </c>
      <c r="KB346" s="242">
        <f t="shared" si="2331"/>
        <v>2540</v>
      </c>
      <c r="KC346" s="56"/>
      <c r="KF346" s="55">
        <f t="shared" si="2332"/>
        <v>46317</v>
      </c>
      <c r="KG346" s="56"/>
      <c r="KH346" s="242">
        <f>SUMPRODUCT(PRODUCE!$B343:$DY343,PRODUCE!$EB$39:$IY$39)</f>
        <v>0</v>
      </c>
      <c r="KI346" s="56"/>
      <c r="KJ346" s="242">
        <f t="shared" si="2333"/>
        <v>0</v>
      </c>
      <c r="KK346" s="242">
        <f t="shared" si="2334"/>
        <v>2359.5</v>
      </c>
      <c r="KL346" s="56"/>
      <c r="KO346" s="55">
        <f t="shared" si="2335"/>
        <v>46317</v>
      </c>
      <c r="KP346" s="56"/>
      <c r="KQ346" s="242">
        <f>SUMPRODUCT(PRODUCE!$B343:$DY343,PRODUCE!$EB$40:$IY$40)</f>
        <v>0</v>
      </c>
      <c r="KR346" s="56"/>
      <c r="KS346" s="242">
        <f t="shared" si="2336"/>
        <v>0</v>
      </c>
      <c r="KT346" s="242">
        <f t="shared" si="2337"/>
        <v>1890</v>
      </c>
      <c r="KU346" s="56"/>
      <c r="KW346" s="23"/>
      <c r="KX346" s="55">
        <f t="shared" si="2338"/>
        <v>46317</v>
      </c>
      <c r="KY346" s="56"/>
      <c r="KZ346" s="242">
        <f>SUMPRODUCT(PRODUCE!$B343:$DY343,PRODUCE!$EB$41:$IY$41)</f>
        <v>0</v>
      </c>
      <c r="LA346" s="56"/>
      <c r="LB346" s="242">
        <f t="shared" si="2339"/>
        <v>0</v>
      </c>
      <c r="LC346" s="242">
        <f t="shared" si="2340"/>
        <v>3690</v>
      </c>
      <c r="LD346" s="56"/>
      <c r="LG346" s="55">
        <f t="shared" si="2341"/>
        <v>46317</v>
      </c>
      <c r="LH346" s="56"/>
      <c r="LI346" s="242">
        <f>SUMPRODUCT(PRODUCE!$B343:$DY343,PRODUCE!$EB$42:$IY$42)</f>
        <v>0</v>
      </c>
      <c r="LJ346" s="56"/>
      <c r="LK346" s="242">
        <f t="shared" si="2342"/>
        <v>0</v>
      </c>
      <c r="LL346" s="242">
        <f t="shared" si="2343"/>
        <v>4000</v>
      </c>
      <c r="LM346" s="56"/>
      <c r="LP346" s="55">
        <f t="shared" si="2344"/>
        <v>46317</v>
      </c>
      <c r="LQ346" s="56"/>
      <c r="LR346" s="242">
        <f>SUMPRODUCT(PRODUCE!$B343:$DY343,PRODUCE!$EB$43:$IY$43)</f>
        <v>0</v>
      </c>
      <c r="LS346" s="56"/>
      <c r="LT346" s="242">
        <f t="shared" si="2345"/>
        <v>0</v>
      </c>
      <c r="LU346" s="242">
        <f t="shared" si="2346"/>
        <v>0</v>
      </c>
      <c r="LV346" s="56"/>
      <c r="LY346" s="55">
        <f t="shared" si="2347"/>
        <v>46317</v>
      </c>
      <c r="LZ346" s="56"/>
      <c r="MA346" s="242">
        <f>SUMPRODUCT(PRODUCE!$B343:$DY343,PRODUCE!$EB$44:$IY$44)</f>
        <v>0</v>
      </c>
      <c r="MB346" s="56"/>
      <c r="MC346" s="242">
        <f t="shared" si="2348"/>
        <v>0</v>
      </c>
      <c r="MD346" s="242">
        <f t="shared" si="2349"/>
        <v>0</v>
      </c>
      <c r="ME346" s="56"/>
      <c r="MH346" s="55">
        <f t="shared" si="2350"/>
        <v>46317</v>
      </c>
      <c r="MI346" s="56"/>
      <c r="MJ346" s="242">
        <f>SUMPRODUCT(PRODUCE!$B343:$DY343,PRODUCE!$EB$45:$IY$45)</f>
        <v>0</v>
      </c>
      <c r="MK346" s="56"/>
      <c r="ML346" s="242">
        <f t="shared" si="2351"/>
        <v>0</v>
      </c>
      <c r="MM346" s="242">
        <f t="shared" si="2352"/>
        <v>0</v>
      </c>
      <c r="MN346" s="56"/>
      <c r="MQ346" s="55">
        <f t="shared" si="2353"/>
        <v>46317</v>
      </c>
      <c r="MR346" s="56"/>
      <c r="MS346" s="242">
        <f>SUMPRODUCT(PRODUCE!$B343:$DY343,PRODUCE!$EB$46:$IY$46)</f>
        <v>0</v>
      </c>
      <c r="MT346" s="56"/>
      <c r="MU346" s="242">
        <f t="shared" si="2354"/>
        <v>0</v>
      </c>
      <c r="MV346" s="242">
        <f t="shared" si="2355"/>
        <v>1625</v>
      </c>
      <c r="MW346" s="56"/>
      <c r="MZ346" s="55">
        <f t="shared" si="2356"/>
        <v>46317</v>
      </c>
      <c r="NA346" s="56"/>
      <c r="NB346" s="242">
        <f>SUMPRODUCT(PRODUCE!$B343:$DY343,PRODUCE!$EB$47:$IY$47)</f>
        <v>0</v>
      </c>
      <c r="NC346" s="56"/>
      <c r="ND346" s="242">
        <f t="shared" si="2357"/>
        <v>0</v>
      </c>
      <c r="NE346" s="242">
        <f t="shared" si="2358"/>
        <v>0</v>
      </c>
      <c r="NF346" s="56"/>
      <c r="NI346" s="55">
        <f t="shared" si="2359"/>
        <v>46317</v>
      </c>
      <c r="NJ346" s="56"/>
      <c r="NK346" s="242">
        <f>SUMPRODUCT(PRODUCE!$B343:$DY343,PRODUCE!$EB$48:$IY$48)</f>
        <v>0</v>
      </c>
      <c r="NL346" s="56"/>
      <c r="NM346" s="242">
        <f t="shared" si="2360"/>
        <v>0</v>
      </c>
      <c r="NN346" s="242">
        <f t="shared" si="2361"/>
        <v>1127</v>
      </c>
      <c r="NO346" s="56"/>
      <c r="NR346" s="55">
        <f t="shared" si="2362"/>
        <v>46317</v>
      </c>
      <c r="NS346" s="56"/>
      <c r="NT346" s="242">
        <f>SUMPRODUCT(PRODUCE!$B343:$DY343,PRODUCE!$EB$49:$IY$49)</f>
        <v>0</v>
      </c>
      <c r="NU346" s="56"/>
      <c r="NV346" s="242">
        <f t="shared" si="2363"/>
        <v>0</v>
      </c>
      <c r="NW346" s="242">
        <f t="shared" si="2364"/>
        <v>3111.9999999999995</v>
      </c>
      <c r="NX346" s="56"/>
      <c r="OA346" s="55">
        <f t="shared" si="2365"/>
        <v>46317</v>
      </c>
      <c r="OB346" s="56"/>
      <c r="OC346" s="242">
        <f>SUMPRODUCT(PRODUCE!$B343:$DY343,PRODUCE!$EB$50:$IY$50)</f>
        <v>0</v>
      </c>
      <c r="OD346" s="56"/>
      <c r="OE346" s="242">
        <f t="shared" si="2366"/>
        <v>0</v>
      </c>
      <c r="OF346" s="242">
        <f t="shared" si="2367"/>
        <v>1680.5</v>
      </c>
      <c r="OG346" s="56"/>
      <c r="OJ346" s="55">
        <f t="shared" si="2368"/>
        <v>46317</v>
      </c>
      <c r="OK346" s="56"/>
      <c r="OL346" s="242">
        <f>SUMPRODUCT(PRODUCE!$B343:$DY343,PRODUCE!$EB$51:$IY$51)</f>
        <v>0</v>
      </c>
      <c r="OM346" s="56"/>
      <c r="ON346" s="242">
        <f t="shared" si="2369"/>
        <v>0</v>
      </c>
      <c r="OO346" s="242">
        <f t="shared" si="2370"/>
        <v>0</v>
      </c>
      <c r="OP346" s="56"/>
      <c r="OS346" s="55">
        <f t="shared" si="2371"/>
        <v>46317</v>
      </c>
      <c r="OT346" s="56"/>
      <c r="OU346" s="242">
        <f>SUMPRODUCT(PRODUCE!$B343:$DY343,PRODUCE!$EB$52:$IY$52)</f>
        <v>0</v>
      </c>
      <c r="OV346" s="56"/>
      <c r="OW346" s="242">
        <f t="shared" si="2372"/>
        <v>0</v>
      </c>
      <c r="OX346" s="242">
        <f t="shared" si="2373"/>
        <v>1482</v>
      </c>
      <c r="OY346" s="56"/>
      <c r="PB346" s="55">
        <f t="shared" si="2374"/>
        <v>46317</v>
      </c>
      <c r="PC346" s="56"/>
      <c r="PD346" s="242">
        <f>SUMPRODUCT(PRODUCE!$B343:$DY343,PRODUCE!$EB$53:$IY$53)</f>
        <v>0</v>
      </c>
      <c r="PE346" s="56"/>
      <c r="PF346" s="242">
        <f t="shared" si="2375"/>
        <v>0</v>
      </c>
      <c r="PG346" s="242">
        <f t="shared" si="2376"/>
        <v>0</v>
      </c>
      <c r="PH346" s="56"/>
      <c r="PK346" s="55">
        <f t="shared" si="2377"/>
        <v>46317</v>
      </c>
      <c r="PL346" s="56"/>
      <c r="PM346" s="242">
        <f>SUMPRODUCT(PRODUCE!$B343:$DY343,PRODUCE!$EB$54:$IY$54)</f>
        <v>0</v>
      </c>
      <c r="PN346" s="56"/>
      <c r="PO346" s="242">
        <f t="shared" si="2378"/>
        <v>0</v>
      </c>
      <c r="PP346" s="242">
        <f t="shared" si="2379"/>
        <v>100</v>
      </c>
      <c r="PQ346" s="56"/>
      <c r="PT346" s="55">
        <f t="shared" si="2380"/>
        <v>46317</v>
      </c>
      <c r="PU346" s="56"/>
      <c r="PV346" s="242">
        <f>SUMPRODUCT(PRODUCE!$B343:$DY343,PRODUCE!$EB$55:$IY$55)</f>
        <v>0</v>
      </c>
      <c r="PW346" s="56"/>
      <c r="PX346" s="242">
        <f t="shared" si="2381"/>
        <v>0</v>
      </c>
      <c r="PY346" s="242">
        <f t="shared" si="2382"/>
        <v>13.960000000000036</v>
      </c>
      <c r="PZ346" s="56"/>
      <c r="QC346" s="55">
        <f t="shared" si="2383"/>
        <v>46317</v>
      </c>
      <c r="QD346" s="56"/>
      <c r="QE346" s="242">
        <f>SUMPRODUCT(PRODUCE!$B343:$DY343,PRODUCE!$EB$56:$IY$56)</f>
        <v>0</v>
      </c>
      <c r="QF346" s="56"/>
      <c r="QG346" s="242">
        <f t="shared" si="2384"/>
        <v>0</v>
      </c>
      <c r="QH346" s="242">
        <f t="shared" si="2385"/>
        <v>548</v>
      </c>
      <c r="QI346" s="56"/>
      <c r="QL346" s="55">
        <f t="shared" si="2386"/>
        <v>46317</v>
      </c>
      <c r="QM346" s="56"/>
      <c r="QN346" s="242">
        <f>SUMPRODUCT(PRODUCE!$B343:$DY343,PRODUCE!$EB$57:$IY$57)</f>
        <v>0</v>
      </c>
      <c r="QO346" s="56"/>
      <c r="QP346" s="242">
        <f t="shared" si="2387"/>
        <v>0</v>
      </c>
      <c r="QQ346" s="242">
        <f t="shared" si="2388"/>
        <v>0</v>
      </c>
      <c r="QR346" s="56"/>
      <c r="QU346" s="55">
        <f t="shared" si="2389"/>
        <v>46317</v>
      </c>
      <c r="QV346" s="56"/>
      <c r="QW346" s="242">
        <f>SUMPRODUCT(PRODUCE!$B343:$DY343,PRODUCE!$EB$57:$IY$57)</f>
        <v>0</v>
      </c>
      <c r="QX346" s="56"/>
      <c r="QY346" s="242">
        <f t="shared" si="2390"/>
        <v>0</v>
      </c>
      <c r="QZ346" s="242">
        <f t="shared" si="2391"/>
        <v>0</v>
      </c>
      <c r="RA346" s="56"/>
      <c r="RD346" s="55">
        <f t="shared" si="2392"/>
        <v>46317</v>
      </c>
      <c r="RE346" s="56"/>
      <c r="RF346" s="242">
        <f>SUMPRODUCT(PRODUCE!$B343:$DY343,PRODUCE!$EB$58:$IY$58)</f>
        <v>0</v>
      </c>
      <c r="RG346" s="56"/>
      <c r="RH346" s="242">
        <f t="shared" si="2393"/>
        <v>0</v>
      </c>
      <c r="RI346" s="242">
        <f t="shared" si="2394"/>
        <v>147.04000000000002</v>
      </c>
      <c r="RJ346" s="56"/>
      <c r="RM346" s="55">
        <f t="shared" si="2395"/>
        <v>46317</v>
      </c>
      <c r="RN346" s="56"/>
      <c r="RO346" s="242">
        <f>SUMPRODUCT(PRODUCE!$B343:$DY343,PRODUCE!$EB$57:$IY$57)</f>
        <v>0</v>
      </c>
      <c r="RP346" s="56"/>
      <c r="RQ346" s="242">
        <f t="shared" si="2396"/>
        <v>0</v>
      </c>
      <c r="RR346" s="242">
        <f t="shared" si="2397"/>
        <v>46.8</v>
      </c>
      <c r="RS346" s="56"/>
      <c r="RV346" s="55">
        <f t="shared" si="2398"/>
        <v>46317</v>
      </c>
      <c r="RW346" s="56"/>
      <c r="RX346" s="242">
        <f>SUMPRODUCT(PRODUCE!$B343:$DY343,PRODUCE!$EB$57:$IY$57)</f>
        <v>0</v>
      </c>
      <c r="RY346" s="56"/>
      <c r="RZ346" s="242">
        <f t="shared" si="2399"/>
        <v>0</v>
      </c>
      <c r="SA346" s="242">
        <f t="shared" si="2400"/>
        <v>0</v>
      </c>
      <c r="SB346" s="56"/>
      <c r="SE346" s="55">
        <f t="shared" si="2401"/>
        <v>46317</v>
      </c>
      <c r="SF346" s="56"/>
      <c r="SG346" s="242">
        <f>SUMPRODUCT(PRODUCE!$B343:$DY343,PRODUCE!$EB$61:$IY$61)</f>
        <v>0</v>
      </c>
      <c r="SH346" s="56"/>
      <c r="SI346" s="242">
        <f t="shared" si="2402"/>
        <v>0</v>
      </c>
      <c r="SJ346" s="242">
        <f t="shared" si="2403"/>
        <v>24.200000000000003</v>
      </c>
      <c r="SK346" s="56"/>
      <c r="SN346" s="55">
        <f t="shared" si="2404"/>
        <v>46317</v>
      </c>
      <c r="SO346" s="56"/>
      <c r="SP346" s="242">
        <f>SUMPRODUCT(PRODUCE!$B343:$DY343,PRODUCE!$EB$57:$IY$57)</f>
        <v>0</v>
      </c>
      <c r="SQ346" s="56"/>
      <c r="SR346" s="242">
        <f t="shared" si="2405"/>
        <v>0</v>
      </c>
      <c r="SS346" s="242">
        <f t="shared" si="2406"/>
        <v>32</v>
      </c>
      <c r="ST346" s="56"/>
      <c r="SW346" s="55">
        <f t="shared" si="2407"/>
        <v>46317</v>
      </c>
      <c r="SX346" s="56"/>
      <c r="SY346" s="242">
        <f>SUMPRODUCT(PRODUCE!$B343:$DY343,PRODUCE!$EB$57:$IY$57)</f>
        <v>0</v>
      </c>
      <c r="SZ346" s="56"/>
      <c r="TA346" s="242">
        <f t="shared" si="2408"/>
        <v>0</v>
      </c>
      <c r="TB346" s="242">
        <f t="shared" si="2409"/>
        <v>0</v>
      </c>
      <c r="TC346" s="56"/>
      <c r="TF346" s="55">
        <f t="shared" si="2410"/>
        <v>46317</v>
      </c>
      <c r="TG346" s="56"/>
      <c r="TH346" s="242">
        <f>SUMPRODUCT(PRODUCE!$B343:$DY343,PRODUCE!$EB$57:$IY$57)</f>
        <v>0</v>
      </c>
      <c r="TI346" s="56"/>
      <c r="TJ346" s="242">
        <f t="shared" si="2411"/>
        <v>0</v>
      </c>
      <c r="TK346" s="242">
        <f t="shared" si="2412"/>
        <v>0</v>
      </c>
      <c r="TL346" s="56"/>
      <c r="TO346" s="55">
        <f t="shared" si="2413"/>
        <v>46317</v>
      </c>
      <c r="TP346" s="56"/>
      <c r="TQ346" s="242">
        <f>SUMPRODUCT(PRODUCE!$B343:$DY343,PRODUCE!$EB$57:$IY$57)</f>
        <v>0</v>
      </c>
      <c r="TR346" s="56"/>
      <c r="TS346" s="242">
        <f t="shared" si="2414"/>
        <v>0</v>
      </c>
      <c r="TT346" s="242">
        <f t="shared" si="2415"/>
        <v>0</v>
      </c>
      <c r="TU346" s="56"/>
      <c r="TX346" s="55">
        <f t="shared" si="2416"/>
        <v>46317</v>
      </c>
      <c r="TY346" s="56"/>
      <c r="TZ346" s="242">
        <f>SUMPRODUCT(PRODUCE!$B343:$DY343,PRODUCE!$EB$57:$IY$57)</f>
        <v>0</v>
      </c>
      <c r="UA346" s="56"/>
      <c r="UB346" s="242">
        <f t="shared" si="2417"/>
        <v>0</v>
      </c>
      <c r="UC346" s="242">
        <f t="shared" si="2418"/>
        <v>46.799999999999983</v>
      </c>
      <c r="UD346" s="56"/>
      <c r="UG346" s="55">
        <f t="shared" si="2419"/>
        <v>46317</v>
      </c>
      <c r="UH346" s="56"/>
      <c r="UI346" s="242">
        <f>SUMPRODUCT(PRODUCE!$B343:$DY343,PRODUCE!$EB$57:$IY$57)</f>
        <v>0</v>
      </c>
      <c r="UJ346" s="56"/>
      <c r="UK346" s="242">
        <f t="shared" si="2420"/>
        <v>0</v>
      </c>
      <c r="UL346" s="242">
        <f t="shared" si="2421"/>
        <v>204</v>
      </c>
      <c r="UM346" s="56"/>
      <c r="UP346" s="55">
        <f t="shared" si="2422"/>
        <v>46317</v>
      </c>
      <c r="UQ346" s="56"/>
      <c r="UR346" s="242">
        <f>SUMPRODUCT(PRODUCE!$B343:$DY343,PRODUCE!$EB$57:$IY$57)</f>
        <v>0</v>
      </c>
      <c r="US346" s="56"/>
      <c r="UT346" s="242">
        <f t="shared" si="2423"/>
        <v>0</v>
      </c>
      <c r="UU346" s="242">
        <f t="shared" si="2424"/>
        <v>202.5</v>
      </c>
      <c r="UV346" s="56"/>
      <c r="UY346" s="55">
        <f t="shared" si="2425"/>
        <v>46317</v>
      </c>
      <c r="UZ346" s="56"/>
      <c r="VA346" s="242">
        <f>SUMPRODUCT(PRODUCE!$B343:$DY343,PRODUCE!$EB$57:$IY$57)</f>
        <v>0</v>
      </c>
      <c r="VB346" s="56"/>
      <c r="VC346" s="242">
        <f t="shared" si="2426"/>
        <v>0</v>
      </c>
      <c r="VD346" s="242">
        <f t="shared" si="2427"/>
        <v>41.600000000000023</v>
      </c>
      <c r="VE346" s="56"/>
      <c r="VH346" s="55">
        <f t="shared" si="2428"/>
        <v>46317</v>
      </c>
      <c r="VI346" s="56"/>
      <c r="VJ346" s="242">
        <f>SUMPRODUCT(PRODUCE!$B343:$DY343,PRODUCE!$EB$57:$IY$57)</f>
        <v>0</v>
      </c>
      <c r="VK346" s="56"/>
      <c r="VL346" s="242">
        <f t="shared" si="2429"/>
        <v>0</v>
      </c>
      <c r="VM346" s="242">
        <f t="shared" si="2430"/>
        <v>210</v>
      </c>
      <c r="VN346" s="56"/>
      <c r="VQ346" s="55">
        <f t="shared" si="2431"/>
        <v>46317</v>
      </c>
      <c r="VR346" s="56"/>
      <c r="VS346" s="242">
        <f>SUMPRODUCT(PRODUCE!$B343:$DY343,PRODUCE!$EB$57:$IY$57)</f>
        <v>0</v>
      </c>
      <c r="VT346" s="56"/>
      <c r="VU346" s="242">
        <f t="shared" si="2432"/>
        <v>0</v>
      </c>
      <c r="VV346" s="242">
        <f t="shared" si="2433"/>
        <v>0</v>
      </c>
      <c r="VW346" s="56"/>
      <c r="VZ346" s="55">
        <f t="shared" si="2434"/>
        <v>46317</v>
      </c>
      <c r="WA346" s="56"/>
      <c r="WB346" s="242">
        <f>SUMPRODUCT(PRODUCE!$B343:$DY343,PRODUCE!$EB$57:$IY$57)</f>
        <v>0</v>
      </c>
      <c r="WC346" s="56"/>
      <c r="WD346" s="242">
        <f t="shared" si="2435"/>
        <v>0</v>
      </c>
      <c r="WE346" s="242">
        <f t="shared" si="2436"/>
        <v>0</v>
      </c>
      <c r="WF346" s="56"/>
      <c r="WI346" s="55">
        <f t="shared" si="2437"/>
        <v>46317</v>
      </c>
      <c r="WJ346" s="56"/>
      <c r="WK346" s="242">
        <f>SUMPRODUCT(PRODUCE!$B343:$DY343,PRODUCE!$EB$57:$IY$57)</f>
        <v>0</v>
      </c>
      <c r="WL346" s="56"/>
      <c r="WM346" s="242">
        <f t="shared" si="2438"/>
        <v>0</v>
      </c>
      <c r="WN346" s="242">
        <f t="shared" si="2439"/>
        <v>1057</v>
      </c>
      <c r="WO346" s="56"/>
      <c r="WR346" s="55">
        <f t="shared" si="2440"/>
        <v>46317</v>
      </c>
      <c r="WS346" s="56"/>
      <c r="WT346" s="242">
        <f>SUMPRODUCT(PRODUCE!$B343:$DY343,PRODUCE!$EB$57:$IY$57)</f>
        <v>0</v>
      </c>
      <c r="WU346" s="56"/>
      <c r="WV346" s="242">
        <f t="shared" si="2441"/>
        <v>0</v>
      </c>
      <c r="WW346" s="242">
        <f t="shared" si="2442"/>
        <v>0</v>
      </c>
      <c r="WX346" s="56"/>
      <c r="XA346" s="55">
        <f t="shared" si="2443"/>
        <v>46317</v>
      </c>
      <c r="XB346" s="56"/>
      <c r="XC346" s="242">
        <f>SUMPRODUCT(PRODUCE!$B343:$DY343,PRODUCE!$EB$57:$IY$57)</f>
        <v>0</v>
      </c>
      <c r="XD346" s="56"/>
      <c r="XE346" s="242">
        <f t="shared" si="2444"/>
        <v>0</v>
      </c>
      <c r="XF346" s="242">
        <f t="shared" si="2445"/>
        <v>7507</v>
      </c>
      <c r="XG346" s="56"/>
      <c r="XJ346" s="55">
        <f t="shared" si="2446"/>
        <v>46317</v>
      </c>
      <c r="XK346" s="56"/>
      <c r="XL346" s="242">
        <f>SUMPRODUCT(PRODUCE!$B343:$DY343,PRODUCE!$EB$57:$IY$57)</f>
        <v>0</v>
      </c>
      <c r="XM346" s="56"/>
      <c r="XN346" s="242">
        <f t="shared" si="2447"/>
        <v>0</v>
      </c>
      <c r="XO346" s="242">
        <f t="shared" si="2448"/>
        <v>4252</v>
      </c>
      <c r="XP346" s="56"/>
      <c r="XS346" s="55">
        <f t="shared" si="2449"/>
        <v>46317</v>
      </c>
      <c r="XT346" s="56"/>
      <c r="XU346" s="242">
        <f>SUMPRODUCT(PRODUCE!$B343:$DY343,PRODUCE!$EB$57:$IY$57)</f>
        <v>0</v>
      </c>
      <c r="XV346" s="56"/>
      <c r="XW346" s="242">
        <f t="shared" si="2450"/>
        <v>0</v>
      </c>
      <c r="XX346" s="242">
        <f t="shared" si="2451"/>
        <v>2179</v>
      </c>
      <c r="XY346" s="56"/>
      <c r="YB346" s="55">
        <f t="shared" si="2452"/>
        <v>46317</v>
      </c>
      <c r="YC346" s="56"/>
      <c r="YD346" s="242">
        <f>SUMPRODUCT(PRODUCE!$B343:$DY343,PRODUCE!$EB$57:$IY$57)</f>
        <v>0</v>
      </c>
      <c r="YE346" s="56"/>
      <c r="YF346" s="242">
        <f t="shared" si="2453"/>
        <v>0</v>
      </c>
      <c r="YG346" s="242">
        <f t="shared" si="2454"/>
        <v>4019</v>
      </c>
      <c r="YH346" s="56"/>
      <c r="YK346" s="55">
        <f t="shared" si="2455"/>
        <v>46317</v>
      </c>
      <c r="YL346" s="56"/>
      <c r="YM346" s="242">
        <f>SUMPRODUCT(PRODUCE!$B343:$DY343,PRODUCE!$EB$57:$IY$57)</f>
        <v>0</v>
      </c>
      <c r="YN346" s="56"/>
      <c r="YO346" s="242">
        <f t="shared" si="2456"/>
        <v>0</v>
      </c>
      <c r="YP346" s="242">
        <f t="shared" si="2457"/>
        <v>-218</v>
      </c>
      <c r="YQ346" s="56"/>
      <c r="YT346" s="55">
        <f t="shared" si="2458"/>
        <v>46317</v>
      </c>
      <c r="YU346" s="56"/>
      <c r="YV346" s="242">
        <f>SUMPRODUCT(PRODUCE!$B343:$DY343,PRODUCE!$EB$57:$IY$57)</f>
        <v>0</v>
      </c>
      <c r="YW346" s="56"/>
      <c r="YX346" s="242">
        <f t="shared" si="2459"/>
        <v>0</v>
      </c>
      <c r="YY346" s="242">
        <f t="shared" si="2460"/>
        <v>0</v>
      </c>
      <c r="YZ346" s="56"/>
      <c r="ZC346" s="55">
        <f t="shared" si="2461"/>
        <v>46317</v>
      </c>
      <c r="ZD346" s="56"/>
      <c r="ZE346" s="242">
        <f>SUMPRODUCT(PRODUCE!$B343:$DY343,PRODUCE!$EB$57:$IY$57)</f>
        <v>0</v>
      </c>
      <c r="ZF346" s="56"/>
      <c r="ZG346" s="242">
        <f t="shared" si="2462"/>
        <v>0</v>
      </c>
      <c r="ZH346" s="242">
        <f t="shared" si="2463"/>
        <v>0</v>
      </c>
      <c r="ZI346" s="56"/>
      <c r="ZL346" s="55">
        <f t="shared" si="2464"/>
        <v>46317</v>
      </c>
      <c r="ZM346" s="56"/>
      <c r="ZN346" s="242">
        <f>SUMPRODUCT(PRODUCE!$B343:$DY343,PRODUCE!$EB$57:$IY$57)</f>
        <v>0</v>
      </c>
      <c r="ZO346" s="56"/>
      <c r="ZP346" s="242">
        <f t="shared" si="2465"/>
        <v>0</v>
      </c>
      <c r="ZQ346" s="242">
        <f t="shared" si="2466"/>
        <v>0</v>
      </c>
      <c r="ZR346" s="56"/>
      <c r="ZU346" s="55">
        <f t="shared" si="2467"/>
        <v>46317</v>
      </c>
      <c r="ZV346" s="56"/>
      <c r="ZW346" s="242">
        <f>SUMPRODUCT(PRODUCE!$B343:$DY343,PRODUCE!$EB$57:$IY$57)</f>
        <v>0</v>
      </c>
      <c r="ZX346" s="56"/>
      <c r="ZY346" s="242">
        <f t="shared" si="2468"/>
        <v>0</v>
      </c>
      <c r="ZZ346" s="242">
        <f t="shared" si="2469"/>
        <v>0</v>
      </c>
      <c r="AAA346" s="56"/>
      <c r="AAD346" s="55">
        <f t="shared" si="2470"/>
        <v>46317</v>
      </c>
      <c r="AAE346" s="56"/>
      <c r="AAF346" s="242">
        <f>SUMPRODUCT(PRODUCE!$B343:$DY343,PRODUCE!$EB$57:$IY$57)</f>
        <v>0</v>
      </c>
      <c r="AAG346" s="56"/>
      <c r="AAH346" s="242">
        <f t="shared" si="2471"/>
        <v>0</v>
      </c>
      <c r="AAI346" s="242">
        <f t="shared" si="2472"/>
        <v>0</v>
      </c>
      <c r="AAJ346" s="56"/>
      <c r="AAM346" s="55">
        <f t="shared" si="2473"/>
        <v>46317</v>
      </c>
      <c r="AAN346" s="56"/>
      <c r="AAO346" s="242">
        <f>SUMPRODUCT(PRODUCE!$B343:$DY343,PRODUCE!$EB$57:$IY$57)</f>
        <v>0</v>
      </c>
      <c r="AAP346" s="56"/>
      <c r="AAQ346" s="242">
        <f t="shared" si="2474"/>
        <v>0</v>
      </c>
      <c r="AAR346" s="242">
        <f t="shared" si="2475"/>
        <v>0</v>
      </c>
      <c r="AAS346" s="56"/>
      <c r="AAV346" s="55">
        <f t="shared" si="2476"/>
        <v>46317</v>
      </c>
      <c r="AAW346" s="56"/>
      <c r="AAX346" s="242">
        <f>SUMPRODUCT(PRODUCE!$B343:$DY343,PRODUCE!$EB$57:$IY$57)</f>
        <v>0</v>
      </c>
      <c r="AAY346" s="56"/>
      <c r="AAZ346" s="242">
        <f t="shared" si="2477"/>
        <v>0</v>
      </c>
      <c r="ABA346" s="242">
        <f t="shared" si="2478"/>
        <v>0</v>
      </c>
      <c r="ABB346" s="56"/>
      <c r="ABE346" s="55">
        <f t="shared" si="2479"/>
        <v>46317</v>
      </c>
      <c r="ABF346" s="56"/>
      <c r="ABG346" s="242">
        <f>SUMPRODUCT(PRODUCE!$B343:$DY343,PRODUCE!$EB$57:$IY$57)</f>
        <v>0</v>
      </c>
      <c r="ABH346" s="56"/>
      <c r="ABI346" s="242">
        <f t="shared" si="2480"/>
        <v>0</v>
      </c>
      <c r="ABJ346" s="242">
        <f t="shared" si="2481"/>
        <v>0</v>
      </c>
      <c r="ABK346" s="56"/>
    </row>
    <row r="347" spans="2:739" s="54" customFormat="1" ht="15" customHeight="1" outlineLevel="1">
      <c r="B347" s="478"/>
      <c r="C347" s="55">
        <v>46318</v>
      </c>
      <c r="D347" s="56"/>
      <c r="E347" s="57">
        <f>SUMPRODUCT(PRODUCE!$B344:$DY344,PRODUCE!$EB$7:$IY$7)</f>
        <v>0</v>
      </c>
      <c r="F347" s="56"/>
      <c r="G347" s="57">
        <f t="shared" si="2237"/>
        <v>0</v>
      </c>
      <c r="H347" s="57">
        <f t="shared" si="2238"/>
        <v>236936.6</v>
      </c>
      <c r="I347" s="289"/>
      <c r="L347" s="55">
        <f t="shared" si="2239"/>
        <v>46318</v>
      </c>
      <c r="M347" s="56"/>
      <c r="N347" s="59">
        <f>SUMPRODUCT(PRODUCE!$B344:$DY344,PRODUCE!$EB$8:$IY$8)</f>
        <v>0</v>
      </c>
      <c r="O347" s="56"/>
      <c r="P347" s="59">
        <f t="shared" si="2240"/>
        <v>0</v>
      </c>
      <c r="Q347" s="59">
        <f t="shared" si="2241"/>
        <v>53017.600000000071</v>
      </c>
      <c r="R347" s="56"/>
      <c r="U347" s="55">
        <f t="shared" si="2242"/>
        <v>46318</v>
      </c>
      <c r="V347" s="56"/>
      <c r="W347" s="60">
        <f>SUMPRODUCT(PRODUCE!$B344:$DY344,PRODUCE!$EB$9:$IY$9)</f>
        <v>0</v>
      </c>
      <c r="X347" s="56"/>
      <c r="Y347" s="60">
        <f t="shared" si="2243"/>
        <v>0</v>
      </c>
      <c r="Z347" s="60">
        <f t="shared" si="2244"/>
        <v>42674.199999999968</v>
      </c>
      <c r="AA347" s="56"/>
      <c r="AD347" s="55">
        <f t="shared" si="2245"/>
        <v>46318</v>
      </c>
      <c r="AE347" s="56"/>
      <c r="AF347" s="61">
        <f>SUMPRODUCT(PRODUCE!$B344:$DY344,PRODUCE!$EB$10:$IY$10)</f>
        <v>0</v>
      </c>
      <c r="AG347" s="56"/>
      <c r="AH347" s="61">
        <f t="shared" si="2246"/>
        <v>0</v>
      </c>
      <c r="AI347" s="61">
        <f t="shared" si="2247"/>
        <v>4522.2000000000189</v>
      </c>
      <c r="AJ347" s="56"/>
      <c r="AM347" s="55">
        <f t="shared" si="2248"/>
        <v>46318</v>
      </c>
      <c r="AN347" s="422"/>
      <c r="AO347" s="444">
        <f>SUMPRODUCT(PRODUCE!$B344:$DY344,PRODUCE!$EB$11:$IY$11)</f>
        <v>0</v>
      </c>
      <c r="AP347" s="422"/>
      <c r="AQ347" s="444">
        <f t="shared" si="2249"/>
        <v>0</v>
      </c>
      <c r="AR347" s="444">
        <f t="shared" si="2250"/>
        <v>0</v>
      </c>
      <c r="AS347" s="56"/>
      <c r="AV347" s="55">
        <f t="shared" si="2251"/>
        <v>46318</v>
      </c>
      <c r="AW347" s="56"/>
      <c r="AX347" s="62">
        <f>SUMPRODUCT(PRODUCE!$B344:$DY344,PRODUCE!$EB$12:$IY$12)</f>
        <v>0</v>
      </c>
      <c r="AY347" s="56"/>
      <c r="AZ347" s="62">
        <f t="shared" si="2252"/>
        <v>0</v>
      </c>
      <c r="BA347" s="62">
        <f t="shared" si="2253"/>
        <v>124.99999999999523</v>
      </c>
      <c r="BB347" s="56"/>
      <c r="BE347" s="55">
        <f t="shared" si="2254"/>
        <v>46318</v>
      </c>
      <c r="BF347" s="56"/>
      <c r="BG347" s="63">
        <f>SUMPRODUCT(PRODUCE!$B344:$DY344,PRODUCE!$EB$13:$IY$13)</f>
        <v>0</v>
      </c>
      <c r="BH347" s="56"/>
      <c r="BI347" s="63">
        <f t="shared" si="2255"/>
        <v>0</v>
      </c>
      <c r="BJ347" s="63">
        <f t="shared" si="2256"/>
        <v>26151.899999999998</v>
      </c>
      <c r="BK347" s="56"/>
      <c r="BN347" s="55">
        <f t="shared" si="2257"/>
        <v>46318</v>
      </c>
      <c r="BO347" s="56"/>
      <c r="BP347" s="64">
        <f>SUMPRODUCT(PRODUCE!$B344:$DY344,PRODUCE!$EB$14:$IY$14)</f>
        <v>0</v>
      </c>
      <c r="BQ347" s="56"/>
      <c r="BR347" s="64">
        <f t="shared" si="2258"/>
        <v>0</v>
      </c>
      <c r="BS347" s="64">
        <f t="shared" si="2259"/>
        <v>0</v>
      </c>
      <c r="BT347" s="56"/>
      <c r="BW347" s="55">
        <f t="shared" si="2260"/>
        <v>46318</v>
      </c>
      <c r="BX347" s="56"/>
      <c r="BY347" s="65">
        <f>SUMPRODUCT(PRODUCE!$B344:$DY344,PRODUCE!$EB$15:$IY$15)</f>
        <v>0</v>
      </c>
      <c r="BZ347" s="56"/>
      <c r="CA347" s="65">
        <f t="shared" si="2261"/>
        <v>0</v>
      </c>
      <c r="CB347" s="65">
        <f t="shared" si="2262"/>
        <v>2097.3399999999992</v>
      </c>
      <c r="CC347" s="56"/>
      <c r="CF347" s="55">
        <f t="shared" si="2263"/>
        <v>46318</v>
      </c>
      <c r="CG347" s="56"/>
      <c r="CH347" s="66">
        <f>SUMPRODUCT(PRODUCE!$B344:$DY344,PRODUCE!$EB$16:$IY$16)</f>
        <v>0</v>
      </c>
      <c r="CI347" s="56"/>
      <c r="CJ347" s="66">
        <f t="shared" si="2264"/>
        <v>0</v>
      </c>
      <c r="CK347" s="66">
        <f t="shared" si="2265"/>
        <v>-10277.079999999998</v>
      </c>
      <c r="CL347" s="56"/>
      <c r="CO347" s="55">
        <f t="shared" si="2266"/>
        <v>46318</v>
      </c>
      <c r="CP347" s="422"/>
      <c r="CQ347" s="470">
        <f>SUMPRODUCT(PRODUCE!$B344:$DY344,PRODUCE!$EB$17:$IY$17)</f>
        <v>0</v>
      </c>
      <c r="CR347" s="422"/>
      <c r="CS347" s="470">
        <f t="shared" si="2267"/>
        <v>0</v>
      </c>
      <c r="CT347" s="470">
        <f t="shared" si="2268"/>
        <v>0</v>
      </c>
      <c r="CU347" s="56"/>
      <c r="CX347" s="55">
        <f t="shared" si="2269"/>
        <v>46318</v>
      </c>
      <c r="CY347" s="56"/>
      <c r="CZ347" s="133">
        <f>SUMPRODUCT(PRODUCE!$B344:$DY344,PRODUCE!$EB$18:$IY$18)</f>
        <v>0</v>
      </c>
      <c r="DA347" s="56"/>
      <c r="DB347" s="133">
        <f t="shared" si="2270"/>
        <v>0</v>
      </c>
      <c r="DC347" s="133">
        <f t="shared" si="2271"/>
        <v>27438.200000000012</v>
      </c>
      <c r="DD347" s="56"/>
      <c r="DG347" s="55">
        <f t="shared" si="2272"/>
        <v>46318</v>
      </c>
      <c r="DH347" s="56"/>
      <c r="DI347" s="147">
        <f>SUMPRODUCT(PRODUCE!$B344:$DY344,PRODUCE!$EB$19:$IY$19)</f>
        <v>0</v>
      </c>
      <c r="DJ347" s="56"/>
      <c r="DK347" s="147">
        <f t="shared" si="2273"/>
        <v>0</v>
      </c>
      <c r="DL347" s="147">
        <f t="shared" si="2274"/>
        <v>18782.299999999981</v>
      </c>
      <c r="DM347" s="56"/>
      <c r="DP347" s="55">
        <f t="shared" si="2275"/>
        <v>46318</v>
      </c>
      <c r="DQ347" s="56"/>
      <c r="DR347" s="57">
        <f>SUMPRODUCT(PRODUCE!$B344:$DY344,PRODUCE!$EB$20:$IY$20)</f>
        <v>0</v>
      </c>
      <c r="DS347" s="56"/>
      <c r="DT347" s="57">
        <f t="shared" si="2276"/>
        <v>0</v>
      </c>
      <c r="DU347" s="57">
        <f t="shared" si="2277"/>
        <v>5800</v>
      </c>
      <c r="DV347" s="56"/>
      <c r="DY347" s="55">
        <f t="shared" si="2278"/>
        <v>46318</v>
      </c>
      <c r="DZ347" s="56"/>
      <c r="EA347" s="157">
        <f>SUMPRODUCT(PRODUCE!$B344:$DY344,PRODUCE!$EB$21:$IY$21)</f>
        <v>0</v>
      </c>
      <c r="EB347" s="56"/>
      <c r="EC347" s="157">
        <f t="shared" si="2279"/>
        <v>0</v>
      </c>
      <c r="ED347" s="157">
        <f t="shared" si="2280"/>
        <v>0</v>
      </c>
      <c r="EE347" s="56"/>
      <c r="EH347" s="55">
        <f t="shared" si="2281"/>
        <v>46318</v>
      </c>
      <c r="EI347" s="56"/>
      <c r="EJ347" s="162">
        <f>SUMPRODUCT(PRODUCE!$B344:$DY344,PRODUCE!$EB$22:$IY$22)</f>
        <v>0</v>
      </c>
      <c r="EK347" s="56"/>
      <c r="EL347" s="162">
        <f t="shared" si="2282"/>
        <v>0</v>
      </c>
      <c r="EM347" s="162">
        <f t="shared" si="2283"/>
        <v>0</v>
      </c>
      <c r="EN347" s="56"/>
      <c r="EQ347" s="55">
        <f t="shared" si="2284"/>
        <v>46318</v>
      </c>
      <c r="ER347" s="56"/>
      <c r="ES347" s="135">
        <f>SUMPRODUCT(PRODUCE!$B344:$DY344,PRODUCE!$EB$23:$IY$23)</f>
        <v>0</v>
      </c>
      <c r="ET347" s="56"/>
      <c r="EU347" s="135">
        <f t="shared" si="2285"/>
        <v>0</v>
      </c>
      <c r="EV347" s="135">
        <f t="shared" si="2286"/>
        <v>0</v>
      </c>
      <c r="EW347" s="56"/>
      <c r="EZ347" s="55">
        <f t="shared" si="2287"/>
        <v>46318</v>
      </c>
      <c r="FA347" s="56"/>
      <c r="FB347" s="175">
        <f>SUMPRODUCT(PRODUCE!$B344:$DY344,PRODUCE!$EB$24:$IY$24)</f>
        <v>0</v>
      </c>
      <c r="FC347" s="56"/>
      <c r="FD347" s="175">
        <f t="shared" si="2288"/>
        <v>0</v>
      </c>
      <c r="FE347" s="175">
        <f t="shared" si="2289"/>
        <v>0</v>
      </c>
      <c r="FF347" s="56"/>
      <c r="FI347" s="55">
        <f t="shared" si="2290"/>
        <v>46318</v>
      </c>
      <c r="FJ347" s="56"/>
      <c r="FK347" s="183">
        <f>SUMPRODUCT(PRODUCE!$B344:$DY344,PRODUCE!$EB$25:$IY$25)</f>
        <v>0</v>
      </c>
      <c r="FL347" s="56"/>
      <c r="FM347" s="183">
        <f t="shared" si="2291"/>
        <v>0</v>
      </c>
      <c r="FN347" s="183">
        <f t="shared" si="2292"/>
        <v>0</v>
      </c>
      <c r="FO347" s="56"/>
      <c r="FR347" s="55">
        <f t="shared" si="2293"/>
        <v>46318</v>
      </c>
      <c r="FS347" s="56"/>
      <c r="FT347" s="186">
        <f>SUMPRODUCT(PRODUCE!$B344:$DY344,PRODUCE!$EB$26:$IY$26)</f>
        <v>0</v>
      </c>
      <c r="FU347" s="56"/>
      <c r="FV347" s="186">
        <f t="shared" si="2294"/>
        <v>0</v>
      </c>
      <c r="FW347" s="186">
        <f t="shared" si="2295"/>
        <v>2020</v>
      </c>
      <c r="FX347" s="56"/>
      <c r="GA347" s="55">
        <f t="shared" si="2296"/>
        <v>46318</v>
      </c>
      <c r="GB347" s="56"/>
      <c r="GC347" s="137">
        <f>SUMPRODUCT(PRODUCE!$B344:$DY344,PRODUCE!$EB$27:$IY$27)</f>
        <v>0</v>
      </c>
      <c r="GD347" s="56"/>
      <c r="GE347" s="137">
        <f t="shared" si="2297"/>
        <v>0</v>
      </c>
      <c r="GF347" s="137">
        <f t="shared" si="2298"/>
        <v>960</v>
      </c>
      <c r="GG347" s="56"/>
      <c r="GI347" s="23"/>
      <c r="GJ347" s="55">
        <f t="shared" si="2299"/>
        <v>46318</v>
      </c>
      <c r="GK347" s="56"/>
      <c r="GL347" s="199">
        <f>SUMPRODUCT(PRODUCE!$B344:$DY344,PRODUCE!$EB$28:$IY$28)</f>
        <v>0</v>
      </c>
      <c r="GM347" s="56"/>
      <c r="GN347" s="199">
        <f t="shared" si="2300"/>
        <v>0</v>
      </c>
      <c r="GO347" s="199">
        <f t="shared" si="2301"/>
        <v>1760</v>
      </c>
      <c r="GP347" s="56"/>
      <c r="GS347" s="55">
        <f t="shared" si="2302"/>
        <v>46318</v>
      </c>
      <c r="GT347" s="56"/>
      <c r="GU347" s="195">
        <f>SUMPRODUCT(PRODUCE!$B344:$DY344,PRODUCE!$EB$29:$IY$29)</f>
        <v>0</v>
      </c>
      <c r="GV347" s="56"/>
      <c r="GW347" s="195">
        <f t="shared" si="2303"/>
        <v>0</v>
      </c>
      <c r="GX347" s="195">
        <f t="shared" si="2304"/>
        <v>400</v>
      </c>
      <c r="GY347" s="56"/>
      <c r="HB347" s="55">
        <f t="shared" si="2305"/>
        <v>46318</v>
      </c>
      <c r="HC347" s="56"/>
      <c r="HD347" s="191">
        <f>SUMPRODUCT(PRODUCE!$B344:$DY344,PRODUCE!$EB$30:$IY$30)</f>
        <v>0</v>
      </c>
      <c r="HE347" s="56"/>
      <c r="HF347" s="191">
        <f t="shared" si="2306"/>
        <v>0</v>
      </c>
      <c r="HG347" s="191">
        <f t="shared" si="2307"/>
        <v>3600</v>
      </c>
      <c r="HH347" s="56"/>
      <c r="HK347" s="55">
        <f t="shared" si="2308"/>
        <v>46318</v>
      </c>
      <c r="HL347" s="56"/>
      <c r="HM347" s="63">
        <f>SUMPRODUCT(PRODUCE!$B344:$DY344,PRODUCE!$EB$31:$IY$31)</f>
        <v>0</v>
      </c>
      <c r="HN347" s="56"/>
      <c r="HO347" s="63">
        <f t="shared" si="2309"/>
        <v>0</v>
      </c>
      <c r="HP347" s="63">
        <f t="shared" si="2310"/>
        <v>0</v>
      </c>
      <c r="HQ347" s="56"/>
      <c r="HU347" s="55">
        <f t="shared" si="2311"/>
        <v>46318</v>
      </c>
      <c r="HV347" s="56"/>
      <c r="HW347" s="242">
        <f>SUMPRODUCT(PRODUCE!$B344:$DY344,PRODUCE!$EB$32:$IY$32)</f>
        <v>0</v>
      </c>
      <c r="HX347" s="56"/>
      <c r="HY347" s="242">
        <f t="shared" si="2312"/>
        <v>0</v>
      </c>
      <c r="HZ347" s="242">
        <f t="shared" si="2313"/>
        <v>6120</v>
      </c>
      <c r="IA347" s="56"/>
      <c r="ID347" s="55">
        <f t="shared" si="2314"/>
        <v>46318</v>
      </c>
      <c r="IE347" s="56"/>
      <c r="IF347" s="242">
        <f>SUMPRODUCT(PRODUCE!$B344:$DY344,PRODUCE!$EB$33:$IY$33)</f>
        <v>0</v>
      </c>
      <c r="IG347" s="56"/>
      <c r="IH347" s="242">
        <f t="shared" si="2315"/>
        <v>0</v>
      </c>
      <c r="II347" s="242">
        <f t="shared" si="2316"/>
        <v>0</v>
      </c>
      <c r="IJ347" s="56"/>
      <c r="IM347" s="55">
        <f t="shared" si="2317"/>
        <v>46318</v>
      </c>
      <c r="IN347" s="56"/>
      <c r="IO347" s="242">
        <f>SUMPRODUCT(PRODUCE!$B344:$DY344,PRODUCE!$EB$34:$IY$34)</f>
        <v>0</v>
      </c>
      <c r="IP347" s="56"/>
      <c r="IQ347" s="242">
        <f t="shared" si="2318"/>
        <v>0</v>
      </c>
      <c r="IR347" s="242">
        <f t="shared" si="2319"/>
        <v>0</v>
      </c>
      <c r="IS347" s="56"/>
      <c r="IV347" s="55">
        <f t="shared" si="2320"/>
        <v>46318</v>
      </c>
      <c r="IW347" s="56"/>
      <c r="IX347" s="242">
        <f>SUMPRODUCT(PRODUCE!$B344:$DY344,PRODUCE!$EB$35:$IY$35)</f>
        <v>0</v>
      </c>
      <c r="IY347" s="56"/>
      <c r="IZ347" s="242">
        <f t="shared" si="2321"/>
        <v>0</v>
      </c>
      <c r="JA347" s="242">
        <f t="shared" si="2322"/>
        <v>2820</v>
      </c>
      <c r="JB347" s="56"/>
      <c r="JE347" s="55">
        <f t="shared" si="2323"/>
        <v>46318</v>
      </c>
      <c r="JF347" s="56"/>
      <c r="JG347" s="242">
        <f>SUMPRODUCT(PRODUCE!$B344:$DY344,PRODUCE!$EB$36:$IY$36)</f>
        <v>0</v>
      </c>
      <c r="JH347" s="56"/>
      <c r="JI347" s="242">
        <f t="shared" si="2324"/>
        <v>0</v>
      </c>
      <c r="JJ347" s="242">
        <f t="shared" si="2325"/>
        <v>0</v>
      </c>
      <c r="JK347" s="56"/>
      <c r="JN347" s="55">
        <f t="shared" si="2326"/>
        <v>46318</v>
      </c>
      <c r="JO347" s="56"/>
      <c r="JP347" s="242">
        <f>SUMPRODUCT(PRODUCE!$B344:$DY344,PRODUCE!$EB$37:$IY$37)</f>
        <v>0</v>
      </c>
      <c r="JQ347" s="56"/>
      <c r="JR347" s="242">
        <f t="shared" si="2327"/>
        <v>0</v>
      </c>
      <c r="JS347" s="242">
        <f t="shared" si="2328"/>
        <v>0</v>
      </c>
      <c r="JT347" s="56"/>
      <c r="JW347" s="55">
        <f t="shared" si="2329"/>
        <v>46318</v>
      </c>
      <c r="JX347" s="56"/>
      <c r="JY347" s="242">
        <f>SUMPRODUCT(PRODUCE!$B344:$DY344,PRODUCE!$EB$38:$IY$38)</f>
        <v>0</v>
      </c>
      <c r="JZ347" s="56"/>
      <c r="KA347" s="242">
        <f t="shared" si="2330"/>
        <v>0</v>
      </c>
      <c r="KB347" s="242">
        <f t="shared" si="2331"/>
        <v>2540</v>
      </c>
      <c r="KC347" s="56"/>
      <c r="KF347" s="55">
        <f t="shared" si="2332"/>
        <v>46318</v>
      </c>
      <c r="KG347" s="56"/>
      <c r="KH347" s="242">
        <f>SUMPRODUCT(PRODUCE!$B344:$DY344,PRODUCE!$EB$39:$IY$39)</f>
        <v>0</v>
      </c>
      <c r="KI347" s="56"/>
      <c r="KJ347" s="242">
        <f t="shared" si="2333"/>
        <v>0</v>
      </c>
      <c r="KK347" s="242">
        <f t="shared" si="2334"/>
        <v>2359.5</v>
      </c>
      <c r="KL347" s="56"/>
      <c r="KO347" s="55">
        <f t="shared" si="2335"/>
        <v>46318</v>
      </c>
      <c r="KP347" s="56"/>
      <c r="KQ347" s="242">
        <f>SUMPRODUCT(PRODUCE!$B344:$DY344,PRODUCE!$EB$40:$IY$40)</f>
        <v>0</v>
      </c>
      <c r="KR347" s="56"/>
      <c r="KS347" s="242">
        <f t="shared" si="2336"/>
        <v>0</v>
      </c>
      <c r="KT347" s="242">
        <f t="shared" si="2337"/>
        <v>1890</v>
      </c>
      <c r="KU347" s="56"/>
      <c r="KW347" s="23"/>
      <c r="KX347" s="55">
        <f t="shared" si="2338"/>
        <v>46318</v>
      </c>
      <c r="KY347" s="56"/>
      <c r="KZ347" s="242">
        <f>SUMPRODUCT(PRODUCE!$B344:$DY344,PRODUCE!$EB$41:$IY$41)</f>
        <v>0</v>
      </c>
      <c r="LA347" s="56"/>
      <c r="LB347" s="242">
        <f t="shared" si="2339"/>
        <v>0</v>
      </c>
      <c r="LC347" s="242">
        <f t="shared" si="2340"/>
        <v>3690</v>
      </c>
      <c r="LD347" s="56"/>
      <c r="LG347" s="55">
        <f t="shared" si="2341"/>
        <v>46318</v>
      </c>
      <c r="LH347" s="56"/>
      <c r="LI347" s="242">
        <f>SUMPRODUCT(PRODUCE!$B344:$DY344,PRODUCE!$EB$42:$IY$42)</f>
        <v>0</v>
      </c>
      <c r="LJ347" s="56"/>
      <c r="LK347" s="242">
        <f t="shared" si="2342"/>
        <v>0</v>
      </c>
      <c r="LL347" s="242">
        <f t="shared" si="2343"/>
        <v>4000</v>
      </c>
      <c r="LM347" s="56"/>
      <c r="LP347" s="55">
        <f t="shared" si="2344"/>
        <v>46318</v>
      </c>
      <c r="LQ347" s="56"/>
      <c r="LR347" s="242">
        <f>SUMPRODUCT(PRODUCE!$B344:$DY344,PRODUCE!$EB$43:$IY$43)</f>
        <v>0</v>
      </c>
      <c r="LS347" s="56"/>
      <c r="LT347" s="242">
        <f t="shared" si="2345"/>
        <v>0</v>
      </c>
      <c r="LU347" s="242">
        <f t="shared" si="2346"/>
        <v>0</v>
      </c>
      <c r="LV347" s="56"/>
      <c r="LY347" s="55">
        <f t="shared" si="2347"/>
        <v>46318</v>
      </c>
      <c r="LZ347" s="56"/>
      <c r="MA347" s="242">
        <f>SUMPRODUCT(PRODUCE!$B344:$DY344,PRODUCE!$EB$44:$IY$44)</f>
        <v>0</v>
      </c>
      <c r="MB347" s="56"/>
      <c r="MC347" s="242">
        <f t="shared" si="2348"/>
        <v>0</v>
      </c>
      <c r="MD347" s="242">
        <f t="shared" si="2349"/>
        <v>0</v>
      </c>
      <c r="ME347" s="56"/>
      <c r="MH347" s="55">
        <f t="shared" si="2350"/>
        <v>46318</v>
      </c>
      <c r="MI347" s="56"/>
      <c r="MJ347" s="242">
        <f>SUMPRODUCT(PRODUCE!$B344:$DY344,PRODUCE!$EB$45:$IY$45)</f>
        <v>0</v>
      </c>
      <c r="MK347" s="56"/>
      <c r="ML347" s="242">
        <f t="shared" si="2351"/>
        <v>0</v>
      </c>
      <c r="MM347" s="242">
        <f t="shared" si="2352"/>
        <v>0</v>
      </c>
      <c r="MN347" s="56"/>
      <c r="MQ347" s="55">
        <f t="shared" si="2353"/>
        <v>46318</v>
      </c>
      <c r="MR347" s="56"/>
      <c r="MS347" s="242">
        <f>SUMPRODUCT(PRODUCE!$B344:$DY344,PRODUCE!$EB$46:$IY$46)</f>
        <v>0</v>
      </c>
      <c r="MT347" s="56"/>
      <c r="MU347" s="242">
        <f t="shared" si="2354"/>
        <v>0</v>
      </c>
      <c r="MV347" s="242">
        <f t="shared" si="2355"/>
        <v>1625</v>
      </c>
      <c r="MW347" s="56"/>
      <c r="MZ347" s="55">
        <f t="shared" si="2356"/>
        <v>46318</v>
      </c>
      <c r="NA347" s="56"/>
      <c r="NB347" s="242">
        <f>SUMPRODUCT(PRODUCE!$B344:$DY344,PRODUCE!$EB$47:$IY$47)</f>
        <v>0</v>
      </c>
      <c r="NC347" s="56"/>
      <c r="ND347" s="242">
        <f t="shared" si="2357"/>
        <v>0</v>
      </c>
      <c r="NE347" s="242">
        <f t="shared" si="2358"/>
        <v>0</v>
      </c>
      <c r="NF347" s="56"/>
      <c r="NI347" s="55">
        <f t="shared" si="2359"/>
        <v>46318</v>
      </c>
      <c r="NJ347" s="56"/>
      <c r="NK347" s="242">
        <f>SUMPRODUCT(PRODUCE!$B344:$DY344,PRODUCE!$EB$48:$IY$48)</f>
        <v>0</v>
      </c>
      <c r="NL347" s="56"/>
      <c r="NM347" s="242">
        <f t="shared" si="2360"/>
        <v>0</v>
      </c>
      <c r="NN347" s="242">
        <f t="shared" si="2361"/>
        <v>1127</v>
      </c>
      <c r="NO347" s="56"/>
      <c r="NR347" s="55">
        <f t="shared" si="2362"/>
        <v>46318</v>
      </c>
      <c r="NS347" s="56"/>
      <c r="NT347" s="242">
        <f>SUMPRODUCT(PRODUCE!$B344:$DY344,PRODUCE!$EB$49:$IY$49)</f>
        <v>0</v>
      </c>
      <c r="NU347" s="56"/>
      <c r="NV347" s="242">
        <f t="shared" si="2363"/>
        <v>0</v>
      </c>
      <c r="NW347" s="242">
        <f t="shared" si="2364"/>
        <v>3111.9999999999995</v>
      </c>
      <c r="NX347" s="56"/>
      <c r="OA347" s="55">
        <f t="shared" si="2365"/>
        <v>46318</v>
      </c>
      <c r="OB347" s="56"/>
      <c r="OC347" s="242">
        <f>SUMPRODUCT(PRODUCE!$B344:$DY344,PRODUCE!$EB$50:$IY$50)</f>
        <v>0</v>
      </c>
      <c r="OD347" s="56"/>
      <c r="OE347" s="242">
        <f t="shared" si="2366"/>
        <v>0</v>
      </c>
      <c r="OF347" s="242">
        <f t="shared" si="2367"/>
        <v>1680.5</v>
      </c>
      <c r="OG347" s="56"/>
      <c r="OJ347" s="55">
        <f t="shared" si="2368"/>
        <v>46318</v>
      </c>
      <c r="OK347" s="56"/>
      <c r="OL347" s="242">
        <f>SUMPRODUCT(PRODUCE!$B344:$DY344,PRODUCE!$EB$51:$IY$51)</f>
        <v>0</v>
      </c>
      <c r="OM347" s="56"/>
      <c r="ON347" s="242">
        <f t="shared" si="2369"/>
        <v>0</v>
      </c>
      <c r="OO347" s="242">
        <f t="shared" si="2370"/>
        <v>0</v>
      </c>
      <c r="OP347" s="56"/>
      <c r="OS347" s="55">
        <f t="shared" si="2371"/>
        <v>46318</v>
      </c>
      <c r="OT347" s="56"/>
      <c r="OU347" s="242">
        <f>SUMPRODUCT(PRODUCE!$B344:$DY344,PRODUCE!$EB$52:$IY$52)</f>
        <v>0</v>
      </c>
      <c r="OV347" s="56"/>
      <c r="OW347" s="242">
        <f t="shared" si="2372"/>
        <v>0</v>
      </c>
      <c r="OX347" s="242">
        <f t="shared" si="2373"/>
        <v>1482</v>
      </c>
      <c r="OY347" s="56"/>
      <c r="PB347" s="55">
        <f t="shared" si="2374"/>
        <v>46318</v>
      </c>
      <c r="PC347" s="56"/>
      <c r="PD347" s="242">
        <f>SUMPRODUCT(PRODUCE!$B344:$DY344,PRODUCE!$EB$53:$IY$53)</f>
        <v>0</v>
      </c>
      <c r="PE347" s="56"/>
      <c r="PF347" s="242">
        <f t="shared" si="2375"/>
        <v>0</v>
      </c>
      <c r="PG347" s="242">
        <f t="shared" si="2376"/>
        <v>0</v>
      </c>
      <c r="PH347" s="56"/>
      <c r="PK347" s="55">
        <f t="shared" si="2377"/>
        <v>46318</v>
      </c>
      <c r="PL347" s="56"/>
      <c r="PM347" s="242">
        <f>SUMPRODUCT(PRODUCE!$B344:$DY344,PRODUCE!$EB$54:$IY$54)</f>
        <v>0</v>
      </c>
      <c r="PN347" s="56"/>
      <c r="PO347" s="242">
        <f t="shared" si="2378"/>
        <v>0</v>
      </c>
      <c r="PP347" s="242">
        <f t="shared" si="2379"/>
        <v>100</v>
      </c>
      <c r="PQ347" s="56"/>
      <c r="PT347" s="55">
        <f t="shared" si="2380"/>
        <v>46318</v>
      </c>
      <c r="PU347" s="56"/>
      <c r="PV347" s="242">
        <f>SUMPRODUCT(PRODUCE!$B344:$DY344,PRODUCE!$EB$55:$IY$55)</f>
        <v>0</v>
      </c>
      <c r="PW347" s="56"/>
      <c r="PX347" s="242">
        <f t="shared" si="2381"/>
        <v>0</v>
      </c>
      <c r="PY347" s="242">
        <f t="shared" si="2382"/>
        <v>13.960000000000036</v>
      </c>
      <c r="PZ347" s="56"/>
      <c r="QC347" s="55">
        <f t="shared" si="2383"/>
        <v>46318</v>
      </c>
      <c r="QD347" s="56"/>
      <c r="QE347" s="242">
        <f>SUMPRODUCT(PRODUCE!$B344:$DY344,PRODUCE!$EB$56:$IY$56)</f>
        <v>0</v>
      </c>
      <c r="QF347" s="56"/>
      <c r="QG347" s="242">
        <f t="shared" si="2384"/>
        <v>0</v>
      </c>
      <c r="QH347" s="242">
        <f t="shared" si="2385"/>
        <v>548</v>
      </c>
      <c r="QI347" s="56"/>
      <c r="QL347" s="55">
        <f t="shared" si="2386"/>
        <v>46318</v>
      </c>
      <c r="QM347" s="56"/>
      <c r="QN347" s="242">
        <f>SUMPRODUCT(PRODUCE!$B344:$DY344,PRODUCE!$EB$57:$IY$57)</f>
        <v>0</v>
      </c>
      <c r="QO347" s="56"/>
      <c r="QP347" s="242">
        <f t="shared" si="2387"/>
        <v>0</v>
      </c>
      <c r="QQ347" s="242">
        <f t="shared" si="2388"/>
        <v>0</v>
      </c>
      <c r="QR347" s="56"/>
      <c r="QU347" s="55">
        <f t="shared" si="2389"/>
        <v>46318</v>
      </c>
      <c r="QV347" s="56"/>
      <c r="QW347" s="242">
        <f>SUMPRODUCT(PRODUCE!$B344:$DY344,PRODUCE!$EB$57:$IY$57)</f>
        <v>0</v>
      </c>
      <c r="QX347" s="56"/>
      <c r="QY347" s="242">
        <f t="shared" si="2390"/>
        <v>0</v>
      </c>
      <c r="QZ347" s="242">
        <f t="shared" si="2391"/>
        <v>0</v>
      </c>
      <c r="RA347" s="56"/>
      <c r="RD347" s="55">
        <f t="shared" si="2392"/>
        <v>46318</v>
      </c>
      <c r="RE347" s="56"/>
      <c r="RF347" s="242">
        <f>SUMPRODUCT(PRODUCE!$B344:$DY344,PRODUCE!$EB$58:$IY$58)</f>
        <v>0</v>
      </c>
      <c r="RG347" s="56"/>
      <c r="RH347" s="242">
        <f t="shared" si="2393"/>
        <v>0</v>
      </c>
      <c r="RI347" s="242">
        <f t="shared" si="2394"/>
        <v>147.04000000000002</v>
      </c>
      <c r="RJ347" s="56"/>
      <c r="RM347" s="55">
        <f t="shared" si="2395"/>
        <v>46318</v>
      </c>
      <c r="RN347" s="56"/>
      <c r="RO347" s="242">
        <f>SUMPRODUCT(PRODUCE!$B344:$DY344,PRODUCE!$EB$57:$IY$57)</f>
        <v>0</v>
      </c>
      <c r="RP347" s="56"/>
      <c r="RQ347" s="242">
        <f t="shared" si="2396"/>
        <v>0</v>
      </c>
      <c r="RR347" s="242">
        <f t="shared" si="2397"/>
        <v>46.8</v>
      </c>
      <c r="RS347" s="56"/>
      <c r="RV347" s="55">
        <f t="shared" si="2398"/>
        <v>46318</v>
      </c>
      <c r="RW347" s="56"/>
      <c r="RX347" s="242">
        <f>SUMPRODUCT(PRODUCE!$B344:$DY344,PRODUCE!$EB$57:$IY$57)</f>
        <v>0</v>
      </c>
      <c r="RY347" s="56"/>
      <c r="RZ347" s="242">
        <f t="shared" si="2399"/>
        <v>0</v>
      </c>
      <c r="SA347" s="242">
        <f t="shared" si="2400"/>
        <v>0</v>
      </c>
      <c r="SB347" s="56"/>
      <c r="SE347" s="55">
        <f t="shared" si="2401"/>
        <v>46318</v>
      </c>
      <c r="SF347" s="56"/>
      <c r="SG347" s="242">
        <f>SUMPRODUCT(PRODUCE!$B344:$DY344,PRODUCE!$EB$61:$IY$61)</f>
        <v>0</v>
      </c>
      <c r="SH347" s="56"/>
      <c r="SI347" s="242">
        <f t="shared" si="2402"/>
        <v>0</v>
      </c>
      <c r="SJ347" s="242">
        <f t="shared" si="2403"/>
        <v>24.200000000000003</v>
      </c>
      <c r="SK347" s="56"/>
      <c r="SN347" s="55">
        <f t="shared" si="2404"/>
        <v>46318</v>
      </c>
      <c r="SO347" s="56"/>
      <c r="SP347" s="242">
        <f>SUMPRODUCT(PRODUCE!$B344:$DY344,PRODUCE!$EB$57:$IY$57)</f>
        <v>0</v>
      </c>
      <c r="SQ347" s="56"/>
      <c r="SR347" s="242">
        <f t="shared" si="2405"/>
        <v>0</v>
      </c>
      <c r="SS347" s="242">
        <f t="shared" si="2406"/>
        <v>32</v>
      </c>
      <c r="ST347" s="56"/>
      <c r="SW347" s="55">
        <f t="shared" si="2407"/>
        <v>46318</v>
      </c>
      <c r="SX347" s="56"/>
      <c r="SY347" s="242">
        <f>SUMPRODUCT(PRODUCE!$B344:$DY344,PRODUCE!$EB$57:$IY$57)</f>
        <v>0</v>
      </c>
      <c r="SZ347" s="56"/>
      <c r="TA347" s="242">
        <f t="shared" si="2408"/>
        <v>0</v>
      </c>
      <c r="TB347" s="242">
        <f t="shared" si="2409"/>
        <v>0</v>
      </c>
      <c r="TC347" s="56"/>
      <c r="TF347" s="55">
        <f t="shared" si="2410"/>
        <v>46318</v>
      </c>
      <c r="TG347" s="56"/>
      <c r="TH347" s="242">
        <f>SUMPRODUCT(PRODUCE!$B344:$DY344,PRODUCE!$EB$57:$IY$57)</f>
        <v>0</v>
      </c>
      <c r="TI347" s="56"/>
      <c r="TJ347" s="242">
        <f t="shared" si="2411"/>
        <v>0</v>
      </c>
      <c r="TK347" s="242">
        <f t="shared" si="2412"/>
        <v>0</v>
      </c>
      <c r="TL347" s="56"/>
      <c r="TO347" s="55">
        <f t="shared" si="2413"/>
        <v>46318</v>
      </c>
      <c r="TP347" s="56"/>
      <c r="TQ347" s="242">
        <f>SUMPRODUCT(PRODUCE!$B344:$DY344,PRODUCE!$EB$57:$IY$57)</f>
        <v>0</v>
      </c>
      <c r="TR347" s="56"/>
      <c r="TS347" s="242">
        <f t="shared" si="2414"/>
        <v>0</v>
      </c>
      <c r="TT347" s="242">
        <f t="shared" si="2415"/>
        <v>0</v>
      </c>
      <c r="TU347" s="56"/>
      <c r="TX347" s="55">
        <f t="shared" si="2416"/>
        <v>46318</v>
      </c>
      <c r="TY347" s="56"/>
      <c r="TZ347" s="242">
        <f>SUMPRODUCT(PRODUCE!$B344:$DY344,PRODUCE!$EB$57:$IY$57)</f>
        <v>0</v>
      </c>
      <c r="UA347" s="56"/>
      <c r="UB347" s="242">
        <f t="shared" si="2417"/>
        <v>0</v>
      </c>
      <c r="UC347" s="242">
        <f t="shared" si="2418"/>
        <v>46.799999999999983</v>
      </c>
      <c r="UD347" s="56"/>
      <c r="UG347" s="55">
        <f t="shared" si="2419"/>
        <v>46318</v>
      </c>
      <c r="UH347" s="56"/>
      <c r="UI347" s="242">
        <f>SUMPRODUCT(PRODUCE!$B344:$DY344,PRODUCE!$EB$57:$IY$57)</f>
        <v>0</v>
      </c>
      <c r="UJ347" s="56"/>
      <c r="UK347" s="242">
        <f t="shared" si="2420"/>
        <v>0</v>
      </c>
      <c r="UL347" s="242">
        <f t="shared" si="2421"/>
        <v>204</v>
      </c>
      <c r="UM347" s="56"/>
      <c r="UP347" s="55">
        <f t="shared" si="2422"/>
        <v>46318</v>
      </c>
      <c r="UQ347" s="56"/>
      <c r="UR347" s="242">
        <f>SUMPRODUCT(PRODUCE!$B344:$DY344,PRODUCE!$EB$57:$IY$57)</f>
        <v>0</v>
      </c>
      <c r="US347" s="56"/>
      <c r="UT347" s="242">
        <f t="shared" si="2423"/>
        <v>0</v>
      </c>
      <c r="UU347" s="242">
        <f t="shared" si="2424"/>
        <v>202.5</v>
      </c>
      <c r="UV347" s="56"/>
      <c r="UY347" s="55">
        <f t="shared" si="2425"/>
        <v>46318</v>
      </c>
      <c r="UZ347" s="56"/>
      <c r="VA347" s="242">
        <f>SUMPRODUCT(PRODUCE!$B344:$DY344,PRODUCE!$EB$57:$IY$57)</f>
        <v>0</v>
      </c>
      <c r="VB347" s="56"/>
      <c r="VC347" s="242">
        <f t="shared" si="2426"/>
        <v>0</v>
      </c>
      <c r="VD347" s="242">
        <f t="shared" si="2427"/>
        <v>41.600000000000023</v>
      </c>
      <c r="VE347" s="56"/>
      <c r="VH347" s="55">
        <f t="shared" si="2428"/>
        <v>46318</v>
      </c>
      <c r="VI347" s="56"/>
      <c r="VJ347" s="242">
        <f>SUMPRODUCT(PRODUCE!$B344:$DY344,PRODUCE!$EB$57:$IY$57)</f>
        <v>0</v>
      </c>
      <c r="VK347" s="56"/>
      <c r="VL347" s="242">
        <f t="shared" si="2429"/>
        <v>0</v>
      </c>
      <c r="VM347" s="242">
        <f t="shared" si="2430"/>
        <v>210</v>
      </c>
      <c r="VN347" s="56"/>
      <c r="VQ347" s="55">
        <f t="shared" si="2431"/>
        <v>46318</v>
      </c>
      <c r="VR347" s="56"/>
      <c r="VS347" s="242">
        <f>SUMPRODUCT(PRODUCE!$B344:$DY344,PRODUCE!$EB$57:$IY$57)</f>
        <v>0</v>
      </c>
      <c r="VT347" s="56"/>
      <c r="VU347" s="242">
        <f t="shared" si="2432"/>
        <v>0</v>
      </c>
      <c r="VV347" s="242">
        <f t="shared" si="2433"/>
        <v>0</v>
      </c>
      <c r="VW347" s="56"/>
      <c r="VZ347" s="55">
        <f t="shared" si="2434"/>
        <v>46318</v>
      </c>
      <c r="WA347" s="56"/>
      <c r="WB347" s="242">
        <f>SUMPRODUCT(PRODUCE!$B344:$DY344,PRODUCE!$EB$57:$IY$57)</f>
        <v>0</v>
      </c>
      <c r="WC347" s="56"/>
      <c r="WD347" s="242">
        <f t="shared" si="2435"/>
        <v>0</v>
      </c>
      <c r="WE347" s="242">
        <f t="shared" si="2436"/>
        <v>0</v>
      </c>
      <c r="WF347" s="56"/>
      <c r="WI347" s="55">
        <f t="shared" si="2437"/>
        <v>46318</v>
      </c>
      <c r="WJ347" s="56"/>
      <c r="WK347" s="242">
        <f>SUMPRODUCT(PRODUCE!$B344:$DY344,PRODUCE!$EB$57:$IY$57)</f>
        <v>0</v>
      </c>
      <c r="WL347" s="56"/>
      <c r="WM347" s="242">
        <f t="shared" si="2438"/>
        <v>0</v>
      </c>
      <c r="WN347" s="242">
        <f t="shared" si="2439"/>
        <v>1057</v>
      </c>
      <c r="WO347" s="56"/>
      <c r="WR347" s="55">
        <f t="shared" si="2440"/>
        <v>46318</v>
      </c>
      <c r="WS347" s="56"/>
      <c r="WT347" s="242">
        <f>SUMPRODUCT(PRODUCE!$B344:$DY344,PRODUCE!$EB$57:$IY$57)</f>
        <v>0</v>
      </c>
      <c r="WU347" s="56"/>
      <c r="WV347" s="242">
        <f t="shared" si="2441"/>
        <v>0</v>
      </c>
      <c r="WW347" s="242">
        <f t="shared" si="2442"/>
        <v>0</v>
      </c>
      <c r="WX347" s="56"/>
      <c r="XA347" s="55">
        <f t="shared" si="2443"/>
        <v>46318</v>
      </c>
      <c r="XB347" s="56"/>
      <c r="XC347" s="242">
        <f>SUMPRODUCT(PRODUCE!$B344:$DY344,PRODUCE!$EB$57:$IY$57)</f>
        <v>0</v>
      </c>
      <c r="XD347" s="56"/>
      <c r="XE347" s="242">
        <f t="shared" si="2444"/>
        <v>0</v>
      </c>
      <c r="XF347" s="242">
        <f t="shared" si="2445"/>
        <v>7507</v>
      </c>
      <c r="XG347" s="56"/>
      <c r="XJ347" s="55">
        <f t="shared" si="2446"/>
        <v>46318</v>
      </c>
      <c r="XK347" s="56"/>
      <c r="XL347" s="242">
        <f>SUMPRODUCT(PRODUCE!$B344:$DY344,PRODUCE!$EB$57:$IY$57)</f>
        <v>0</v>
      </c>
      <c r="XM347" s="56"/>
      <c r="XN347" s="242">
        <f t="shared" si="2447"/>
        <v>0</v>
      </c>
      <c r="XO347" s="242">
        <f t="shared" si="2448"/>
        <v>4252</v>
      </c>
      <c r="XP347" s="56"/>
      <c r="XS347" s="55">
        <f t="shared" si="2449"/>
        <v>46318</v>
      </c>
      <c r="XT347" s="56"/>
      <c r="XU347" s="242">
        <f>SUMPRODUCT(PRODUCE!$B344:$DY344,PRODUCE!$EB$57:$IY$57)</f>
        <v>0</v>
      </c>
      <c r="XV347" s="56"/>
      <c r="XW347" s="242">
        <f t="shared" si="2450"/>
        <v>0</v>
      </c>
      <c r="XX347" s="242">
        <f t="shared" si="2451"/>
        <v>2179</v>
      </c>
      <c r="XY347" s="56"/>
      <c r="YB347" s="55">
        <f t="shared" si="2452"/>
        <v>46318</v>
      </c>
      <c r="YC347" s="56"/>
      <c r="YD347" s="242">
        <f>SUMPRODUCT(PRODUCE!$B344:$DY344,PRODUCE!$EB$57:$IY$57)</f>
        <v>0</v>
      </c>
      <c r="YE347" s="56"/>
      <c r="YF347" s="242">
        <f t="shared" si="2453"/>
        <v>0</v>
      </c>
      <c r="YG347" s="242">
        <f t="shared" si="2454"/>
        <v>4019</v>
      </c>
      <c r="YH347" s="56"/>
      <c r="YK347" s="55">
        <f t="shared" si="2455"/>
        <v>46318</v>
      </c>
      <c r="YL347" s="56"/>
      <c r="YM347" s="242">
        <f>SUMPRODUCT(PRODUCE!$B344:$DY344,PRODUCE!$EB$57:$IY$57)</f>
        <v>0</v>
      </c>
      <c r="YN347" s="56"/>
      <c r="YO347" s="242">
        <f t="shared" si="2456"/>
        <v>0</v>
      </c>
      <c r="YP347" s="242">
        <f t="shared" si="2457"/>
        <v>-218</v>
      </c>
      <c r="YQ347" s="56"/>
      <c r="YT347" s="55">
        <f t="shared" si="2458"/>
        <v>46318</v>
      </c>
      <c r="YU347" s="56"/>
      <c r="YV347" s="242">
        <f>SUMPRODUCT(PRODUCE!$B344:$DY344,PRODUCE!$EB$57:$IY$57)</f>
        <v>0</v>
      </c>
      <c r="YW347" s="56"/>
      <c r="YX347" s="242">
        <f t="shared" si="2459"/>
        <v>0</v>
      </c>
      <c r="YY347" s="242">
        <f t="shared" si="2460"/>
        <v>0</v>
      </c>
      <c r="YZ347" s="56"/>
      <c r="ZC347" s="55">
        <f t="shared" si="2461"/>
        <v>46318</v>
      </c>
      <c r="ZD347" s="56"/>
      <c r="ZE347" s="242">
        <f>SUMPRODUCT(PRODUCE!$B344:$DY344,PRODUCE!$EB$57:$IY$57)</f>
        <v>0</v>
      </c>
      <c r="ZF347" s="56"/>
      <c r="ZG347" s="242">
        <f t="shared" si="2462"/>
        <v>0</v>
      </c>
      <c r="ZH347" s="242">
        <f t="shared" si="2463"/>
        <v>0</v>
      </c>
      <c r="ZI347" s="56"/>
      <c r="ZL347" s="55">
        <f t="shared" si="2464"/>
        <v>46318</v>
      </c>
      <c r="ZM347" s="56"/>
      <c r="ZN347" s="242">
        <f>SUMPRODUCT(PRODUCE!$B344:$DY344,PRODUCE!$EB$57:$IY$57)</f>
        <v>0</v>
      </c>
      <c r="ZO347" s="56"/>
      <c r="ZP347" s="242">
        <f t="shared" si="2465"/>
        <v>0</v>
      </c>
      <c r="ZQ347" s="242">
        <f t="shared" si="2466"/>
        <v>0</v>
      </c>
      <c r="ZR347" s="56"/>
      <c r="ZU347" s="55">
        <f t="shared" si="2467"/>
        <v>46318</v>
      </c>
      <c r="ZV347" s="56"/>
      <c r="ZW347" s="242">
        <f>SUMPRODUCT(PRODUCE!$B344:$DY344,PRODUCE!$EB$57:$IY$57)</f>
        <v>0</v>
      </c>
      <c r="ZX347" s="56"/>
      <c r="ZY347" s="242">
        <f t="shared" si="2468"/>
        <v>0</v>
      </c>
      <c r="ZZ347" s="242">
        <f t="shared" si="2469"/>
        <v>0</v>
      </c>
      <c r="AAA347" s="56"/>
      <c r="AAD347" s="55">
        <f t="shared" si="2470"/>
        <v>46318</v>
      </c>
      <c r="AAE347" s="56"/>
      <c r="AAF347" s="242">
        <f>SUMPRODUCT(PRODUCE!$B344:$DY344,PRODUCE!$EB$57:$IY$57)</f>
        <v>0</v>
      </c>
      <c r="AAG347" s="56"/>
      <c r="AAH347" s="242">
        <f t="shared" si="2471"/>
        <v>0</v>
      </c>
      <c r="AAI347" s="242">
        <f t="shared" si="2472"/>
        <v>0</v>
      </c>
      <c r="AAJ347" s="56"/>
      <c r="AAM347" s="55">
        <f t="shared" si="2473"/>
        <v>46318</v>
      </c>
      <c r="AAN347" s="56"/>
      <c r="AAO347" s="242">
        <f>SUMPRODUCT(PRODUCE!$B344:$DY344,PRODUCE!$EB$57:$IY$57)</f>
        <v>0</v>
      </c>
      <c r="AAP347" s="56"/>
      <c r="AAQ347" s="242">
        <f t="shared" si="2474"/>
        <v>0</v>
      </c>
      <c r="AAR347" s="242">
        <f t="shared" si="2475"/>
        <v>0</v>
      </c>
      <c r="AAS347" s="56"/>
      <c r="AAV347" s="55">
        <f t="shared" si="2476"/>
        <v>46318</v>
      </c>
      <c r="AAW347" s="56"/>
      <c r="AAX347" s="242">
        <f>SUMPRODUCT(PRODUCE!$B344:$DY344,PRODUCE!$EB$57:$IY$57)</f>
        <v>0</v>
      </c>
      <c r="AAY347" s="56"/>
      <c r="AAZ347" s="242">
        <f t="shared" si="2477"/>
        <v>0</v>
      </c>
      <c r="ABA347" s="242">
        <f t="shared" si="2478"/>
        <v>0</v>
      </c>
      <c r="ABB347" s="56"/>
      <c r="ABE347" s="55">
        <f t="shared" si="2479"/>
        <v>46318</v>
      </c>
      <c r="ABF347" s="56"/>
      <c r="ABG347" s="242">
        <f>SUMPRODUCT(PRODUCE!$B344:$DY344,PRODUCE!$EB$57:$IY$57)</f>
        <v>0</v>
      </c>
      <c r="ABH347" s="56"/>
      <c r="ABI347" s="242">
        <f t="shared" si="2480"/>
        <v>0</v>
      </c>
      <c r="ABJ347" s="242">
        <f t="shared" si="2481"/>
        <v>0</v>
      </c>
      <c r="ABK347" s="56"/>
    </row>
    <row r="348" spans="2:739" s="54" customFormat="1" ht="15" customHeight="1" outlineLevel="1">
      <c r="B348" s="478"/>
      <c r="C348" s="55">
        <v>46319</v>
      </c>
      <c r="D348" s="56"/>
      <c r="E348" s="57">
        <f>SUMPRODUCT(PRODUCE!$B345:$DY345,PRODUCE!$EB$7:$IY$7)</f>
        <v>0</v>
      </c>
      <c r="F348" s="56"/>
      <c r="G348" s="57">
        <f t="shared" si="2237"/>
        <v>0</v>
      </c>
      <c r="H348" s="57">
        <f t="shared" si="2238"/>
        <v>236936.6</v>
      </c>
      <c r="I348" s="289"/>
      <c r="L348" s="55">
        <f t="shared" si="2239"/>
        <v>46319</v>
      </c>
      <c r="M348" s="56"/>
      <c r="N348" s="59">
        <f>SUMPRODUCT(PRODUCE!$B345:$DY345,PRODUCE!$EB$8:$IY$8)</f>
        <v>0</v>
      </c>
      <c r="O348" s="56"/>
      <c r="P348" s="59">
        <f t="shared" si="2240"/>
        <v>0</v>
      </c>
      <c r="Q348" s="59">
        <f t="shared" si="2241"/>
        <v>53017.600000000071</v>
      </c>
      <c r="R348" s="56"/>
      <c r="U348" s="55">
        <f t="shared" si="2242"/>
        <v>46319</v>
      </c>
      <c r="V348" s="56"/>
      <c r="W348" s="60">
        <f>SUMPRODUCT(PRODUCE!$B345:$DY345,PRODUCE!$EB$9:$IY$9)</f>
        <v>0</v>
      </c>
      <c r="X348" s="56"/>
      <c r="Y348" s="60">
        <f t="shared" si="2243"/>
        <v>0</v>
      </c>
      <c r="Z348" s="60">
        <f t="shared" si="2244"/>
        <v>42674.199999999968</v>
      </c>
      <c r="AA348" s="56"/>
      <c r="AD348" s="55">
        <f t="shared" si="2245"/>
        <v>46319</v>
      </c>
      <c r="AE348" s="56"/>
      <c r="AF348" s="61">
        <f>SUMPRODUCT(PRODUCE!$B345:$DY345,PRODUCE!$EB$10:$IY$10)</f>
        <v>0</v>
      </c>
      <c r="AG348" s="56"/>
      <c r="AH348" s="61">
        <f t="shared" si="2246"/>
        <v>0</v>
      </c>
      <c r="AI348" s="61">
        <f t="shared" si="2247"/>
        <v>4522.2000000000189</v>
      </c>
      <c r="AJ348" s="56"/>
      <c r="AM348" s="55">
        <f t="shared" si="2248"/>
        <v>46319</v>
      </c>
      <c r="AN348" s="422"/>
      <c r="AO348" s="444">
        <f>SUMPRODUCT(PRODUCE!$B345:$DY345,PRODUCE!$EB$11:$IY$11)</f>
        <v>0</v>
      </c>
      <c r="AP348" s="422"/>
      <c r="AQ348" s="444">
        <f t="shared" si="2249"/>
        <v>0</v>
      </c>
      <c r="AR348" s="444">
        <f t="shared" si="2250"/>
        <v>0</v>
      </c>
      <c r="AS348" s="56"/>
      <c r="AV348" s="55">
        <f t="shared" si="2251"/>
        <v>46319</v>
      </c>
      <c r="AW348" s="56"/>
      <c r="AX348" s="62">
        <f>SUMPRODUCT(PRODUCE!$B345:$DY345,PRODUCE!$EB$12:$IY$12)</f>
        <v>0</v>
      </c>
      <c r="AY348" s="56"/>
      <c r="AZ348" s="62">
        <f t="shared" si="2252"/>
        <v>0</v>
      </c>
      <c r="BA348" s="62">
        <f t="shared" si="2253"/>
        <v>124.99999999999523</v>
      </c>
      <c r="BB348" s="56"/>
      <c r="BE348" s="55">
        <f t="shared" si="2254"/>
        <v>46319</v>
      </c>
      <c r="BF348" s="56"/>
      <c r="BG348" s="63">
        <f>SUMPRODUCT(PRODUCE!$B345:$DY345,PRODUCE!$EB$13:$IY$13)</f>
        <v>0</v>
      </c>
      <c r="BH348" s="56"/>
      <c r="BI348" s="63">
        <f t="shared" si="2255"/>
        <v>0</v>
      </c>
      <c r="BJ348" s="63">
        <f t="shared" si="2256"/>
        <v>26151.899999999998</v>
      </c>
      <c r="BK348" s="56"/>
      <c r="BN348" s="55">
        <f t="shared" si="2257"/>
        <v>46319</v>
      </c>
      <c r="BO348" s="56"/>
      <c r="BP348" s="64">
        <f>SUMPRODUCT(PRODUCE!$B345:$DY345,PRODUCE!$EB$14:$IY$14)</f>
        <v>0</v>
      </c>
      <c r="BQ348" s="56"/>
      <c r="BR348" s="64">
        <f t="shared" si="2258"/>
        <v>0</v>
      </c>
      <c r="BS348" s="64">
        <f t="shared" si="2259"/>
        <v>0</v>
      </c>
      <c r="BT348" s="56"/>
      <c r="BW348" s="55">
        <f t="shared" si="2260"/>
        <v>46319</v>
      </c>
      <c r="BX348" s="56"/>
      <c r="BY348" s="65">
        <f>SUMPRODUCT(PRODUCE!$B345:$DY345,PRODUCE!$EB$15:$IY$15)</f>
        <v>0</v>
      </c>
      <c r="BZ348" s="56"/>
      <c r="CA348" s="65">
        <f t="shared" si="2261"/>
        <v>0</v>
      </c>
      <c r="CB348" s="65">
        <f t="shared" si="2262"/>
        <v>2097.3399999999992</v>
      </c>
      <c r="CC348" s="56"/>
      <c r="CF348" s="55">
        <f t="shared" si="2263"/>
        <v>46319</v>
      </c>
      <c r="CG348" s="56"/>
      <c r="CH348" s="66">
        <f>SUMPRODUCT(PRODUCE!$B345:$DY345,PRODUCE!$EB$16:$IY$16)</f>
        <v>0</v>
      </c>
      <c r="CI348" s="56"/>
      <c r="CJ348" s="66">
        <f t="shared" si="2264"/>
        <v>0</v>
      </c>
      <c r="CK348" s="66">
        <f t="shared" si="2265"/>
        <v>-10277.079999999998</v>
      </c>
      <c r="CL348" s="56"/>
      <c r="CO348" s="55">
        <f t="shared" si="2266"/>
        <v>46319</v>
      </c>
      <c r="CP348" s="422"/>
      <c r="CQ348" s="470">
        <f>SUMPRODUCT(PRODUCE!$B345:$DY345,PRODUCE!$EB$17:$IY$17)</f>
        <v>0</v>
      </c>
      <c r="CR348" s="422"/>
      <c r="CS348" s="470">
        <f t="shared" si="2267"/>
        <v>0</v>
      </c>
      <c r="CT348" s="470">
        <f t="shared" si="2268"/>
        <v>0</v>
      </c>
      <c r="CU348" s="56"/>
      <c r="CX348" s="55">
        <f t="shared" si="2269"/>
        <v>46319</v>
      </c>
      <c r="CY348" s="56"/>
      <c r="CZ348" s="133">
        <f>SUMPRODUCT(PRODUCE!$B345:$DY345,PRODUCE!$EB$18:$IY$18)</f>
        <v>0</v>
      </c>
      <c r="DA348" s="56"/>
      <c r="DB348" s="133">
        <f t="shared" si="2270"/>
        <v>0</v>
      </c>
      <c r="DC348" s="133">
        <f t="shared" si="2271"/>
        <v>27438.200000000012</v>
      </c>
      <c r="DD348" s="56"/>
      <c r="DG348" s="55">
        <f t="shared" si="2272"/>
        <v>46319</v>
      </c>
      <c r="DH348" s="56"/>
      <c r="DI348" s="147">
        <f>SUMPRODUCT(PRODUCE!$B345:$DY345,PRODUCE!$EB$19:$IY$19)</f>
        <v>0</v>
      </c>
      <c r="DJ348" s="56"/>
      <c r="DK348" s="147">
        <f t="shared" si="2273"/>
        <v>0</v>
      </c>
      <c r="DL348" s="147">
        <f t="shared" si="2274"/>
        <v>18782.299999999981</v>
      </c>
      <c r="DM348" s="56"/>
      <c r="DP348" s="55">
        <f t="shared" si="2275"/>
        <v>46319</v>
      </c>
      <c r="DQ348" s="56"/>
      <c r="DR348" s="57">
        <f>SUMPRODUCT(PRODUCE!$B345:$DY345,PRODUCE!$EB$20:$IY$20)</f>
        <v>0</v>
      </c>
      <c r="DS348" s="56"/>
      <c r="DT348" s="57">
        <f t="shared" si="2276"/>
        <v>0</v>
      </c>
      <c r="DU348" s="57">
        <f t="shared" si="2277"/>
        <v>5800</v>
      </c>
      <c r="DV348" s="56"/>
      <c r="DY348" s="55">
        <f t="shared" si="2278"/>
        <v>46319</v>
      </c>
      <c r="DZ348" s="56"/>
      <c r="EA348" s="157">
        <f>SUMPRODUCT(PRODUCE!$B345:$DY345,PRODUCE!$EB$21:$IY$21)</f>
        <v>0</v>
      </c>
      <c r="EB348" s="56"/>
      <c r="EC348" s="157">
        <f t="shared" si="2279"/>
        <v>0</v>
      </c>
      <c r="ED348" s="157">
        <f t="shared" si="2280"/>
        <v>0</v>
      </c>
      <c r="EE348" s="56"/>
      <c r="EH348" s="55">
        <f t="shared" si="2281"/>
        <v>46319</v>
      </c>
      <c r="EI348" s="56"/>
      <c r="EJ348" s="162">
        <f>SUMPRODUCT(PRODUCE!$B345:$DY345,PRODUCE!$EB$22:$IY$22)</f>
        <v>0</v>
      </c>
      <c r="EK348" s="56"/>
      <c r="EL348" s="162">
        <f t="shared" si="2282"/>
        <v>0</v>
      </c>
      <c r="EM348" s="162">
        <f t="shared" si="2283"/>
        <v>0</v>
      </c>
      <c r="EN348" s="56"/>
      <c r="EQ348" s="55">
        <f t="shared" si="2284"/>
        <v>46319</v>
      </c>
      <c r="ER348" s="56"/>
      <c r="ES348" s="135">
        <f>SUMPRODUCT(PRODUCE!$B345:$DY345,PRODUCE!$EB$23:$IY$23)</f>
        <v>0</v>
      </c>
      <c r="ET348" s="56"/>
      <c r="EU348" s="135">
        <f t="shared" si="2285"/>
        <v>0</v>
      </c>
      <c r="EV348" s="135">
        <f t="shared" si="2286"/>
        <v>0</v>
      </c>
      <c r="EW348" s="56"/>
      <c r="EZ348" s="55">
        <f t="shared" si="2287"/>
        <v>46319</v>
      </c>
      <c r="FA348" s="56"/>
      <c r="FB348" s="175">
        <f>SUMPRODUCT(PRODUCE!$B345:$DY345,PRODUCE!$EB$24:$IY$24)</f>
        <v>0</v>
      </c>
      <c r="FC348" s="56"/>
      <c r="FD348" s="175">
        <f t="shared" si="2288"/>
        <v>0</v>
      </c>
      <c r="FE348" s="175">
        <f t="shared" si="2289"/>
        <v>0</v>
      </c>
      <c r="FF348" s="56"/>
      <c r="FI348" s="55">
        <f t="shared" si="2290"/>
        <v>46319</v>
      </c>
      <c r="FJ348" s="56"/>
      <c r="FK348" s="183">
        <f>SUMPRODUCT(PRODUCE!$B345:$DY345,PRODUCE!$EB$25:$IY$25)</f>
        <v>0</v>
      </c>
      <c r="FL348" s="56"/>
      <c r="FM348" s="183">
        <f t="shared" si="2291"/>
        <v>0</v>
      </c>
      <c r="FN348" s="183">
        <f t="shared" si="2292"/>
        <v>0</v>
      </c>
      <c r="FO348" s="56"/>
      <c r="FR348" s="55">
        <f t="shared" si="2293"/>
        <v>46319</v>
      </c>
      <c r="FS348" s="56"/>
      <c r="FT348" s="186">
        <f>SUMPRODUCT(PRODUCE!$B345:$DY345,PRODUCE!$EB$26:$IY$26)</f>
        <v>0</v>
      </c>
      <c r="FU348" s="56"/>
      <c r="FV348" s="186">
        <f t="shared" si="2294"/>
        <v>0</v>
      </c>
      <c r="FW348" s="186">
        <f t="shared" si="2295"/>
        <v>2020</v>
      </c>
      <c r="FX348" s="56"/>
      <c r="GA348" s="55">
        <f t="shared" si="2296"/>
        <v>46319</v>
      </c>
      <c r="GB348" s="56"/>
      <c r="GC348" s="137">
        <f>SUMPRODUCT(PRODUCE!$B345:$DY345,PRODUCE!$EB$27:$IY$27)</f>
        <v>0</v>
      </c>
      <c r="GD348" s="56"/>
      <c r="GE348" s="137">
        <f t="shared" si="2297"/>
        <v>0</v>
      </c>
      <c r="GF348" s="137">
        <f t="shared" si="2298"/>
        <v>960</v>
      </c>
      <c r="GG348" s="56"/>
      <c r="GI348" s="23"/>
      <c r="GJ348" s="55">
        <f t="shared" si="2299"/>
        <v>46319</v>
      </c>
      <c r="GK348" s="56"/>
      <c r="GL348" s="199">
        <f>SUMPRODUCT(PRODUCE!$B345:$DY345,PRODUCE!$EB$28:$IY$28)</f>
        <v>0</v>
      </c>
      <c r="GM348" s="56"/>
      <c r="GN348" s="199">
        <f t="shared" si="2300"/>
        <v>0</v>
      </c>
      <c r="GO348" s="199">
        <f t="shared" si="2301"/>
        <v>1760</v>
      </c>
      <c r="GP348" s="56"/>
      <c r="GS348" s="55">
        <f t="shared" si="2302"/>
        <v>46319</v>
      </c>
      <c r="GT348" s="56"/>
      <c r="GU348" s="195">
        <f>SUMPRODUCT(PRODUCE!$B345:$DY345,PRODUCE!$EB$29:$IY$29)</f>
        <v>0</v>
      </c>
      <c r="GV348" s="56"/>
      <c r="GW348" s="195">
        <f t="shared" si="2303"/>
        <v>0</v>
      </c>
      <c r="GX348" s="195">
        <f t="shared" si="2304"/>
        <v>400</v>
      </c>
      <c r="GY348" s="56"/>
      <c r="HB348" s="55">
        <f t="shared" si="2305"/>
        <v>46319</v>
      </c>
      <c r="HC348" s="56"/>
      <c r="HD348" s="191">
        <f>SUMPRODUCT(PRODUCE!$B345:$DY345,PRODUCE!$EB$30:$IY$30)</f>
        <v>0</v>
      </c>
      <c r="HE348" s="56"/>
      <c r="HF348" s="191">
        <f t="shared" si="2306"/>
        <v>0</v>
      </c>
      <c r="HG348" s="191">
        <f t="shared" si="2307"/>
        <v>3600</v>
      </c>
      <c r="HH348" s="56"/>
      <c r="HK348" s="55">
        <f t="shared" si="2308"/>
        <v>46319</v>
      </c>
      <c r="HL348" s="56"/>
      <c r="HM348" s="63">
        <f>SUMPRODUCT(PRODUCE!$B345:$DY345,PRODUCE!$EB$31:$IY$31)</f>
        <v>0</v>
      </c>
      <c r="HN348" s="56"/>
      <c r="HO348" s="63">
        <f t="shared" si="2309"/>
        <v>0</v>
      </c>
      <c r="HP348" s="63">
        <f t="shared" si="2310"/>
        <v>0</v>
      </c>
      <c r="HQ348" s="56"/>
      <c r="HU348" s="55">
        <f t="shared" si="2311"/>
        <v>46319</v>
      </c>
      <c r="HV348" s="56"/>
      <c r="HW348" s="242">
        <f>SUMPRODUCT(PRODUCE!$B345:$DY345,PRODUCE!$EB$32:$IY$32)</f>
        <v>0</v>
      </c>
      <c r="HX348" s="56"/>
      <c r="HY348" s="242">
        <f t="shared" si="2312"/>
        <v>0</v>
      </c>
      <c r="HZ348" s="242">
        <f t="shared" si="2313"/>
        <v>6120</v>
      </c>
      <c r="IA348" s="56"/>
      <c r="ID348" s="55">
        <f t="shared" si="2314"/>
        <v>46319</v>
      </c>
      <c r="IE348" s="56"/>
      <c r="IF348" s="242">
        <f>SUMPRODUCT(PRODUCE!$B345:$DY345,PRODUCE!$EB$33:$IY$33)</f>
        <v>0</v>
      </c>
      <c r="IG348" s="56"/>
      <c r="IH348" s="242">
        <f t="shared" si="2315"/>
        <v>0</v>
      </c>
      <c r="II348" s="242">
        <f t="shared" si="2316"/>
        <v>0</v>
      </c>
      <c r="IJ348" s="56"/>
      <c r="IM348" s="55">
        <f t="shared" si="2317"/>
        <v>46319</v>
      </c>
      <c r="IN348" s="56"/>
      <c r="IO348" s="242">
        <f>SUMPRODUCT(PRODUCE!$B345:$DY345,PRODUCE!$EB$34:$IY$34)</f>
        <v>0</v>
      </c>
      <c r="IP348" s="56"/>
      <c r="IQ348" s="242">
        <f t="shared" si="2318"/>
        <v>0</v>
      </c>
      <c r="IR348" s="242">
        <f t="shared" si="2319"/>
        <v>0</v>
      </c>
      <c r="IS348" s="56"/>
      <c r="IV348" s="55">
        <f t="shared" si="2320"/>
        <v>46319</v>
      </c>
      <c r="IW348" s="56"/>
      <c r="IX348" s="242">
        <f>SUMPRODUCT(PRODUCE!$B345:$DY345,PRODUCE!$EB$35:$IY$35)</f>
        <v>0</v>
      </c>
      <c r="IY348" s="56"/>
      <c r="IZ348" s="242">
        <f t="shared" si="2321"/>
        <v>0</v>
      </c>
      <c r="JA348" s="242">
        <f t="shared" si="2322"/>
        <v>2820</v>
      </c>
      <c r="JB348" s="56"/>
      <c r="JE348" s="55">
        <f t="shared" si="2323"/>
        <v>46319</v>
      </c>
      <c r="JF348" s="56"/>
      <c r="JG348" s="242">
        <f>SUMPRODUCT(PRODUCE!$B345:$DY345,PRODUCE!$EB$36:$IY$36)</f>
        <v>0</v>
      </c>
      <c r="JH348" s="56"/>
      <c r="JI348" s="242">
        <f t="shared" si="2324"/>
        <v>0</v>
      </c>
      <c r="JJ348" s="242">
        <f t="shared" si="2325"/>
        <v>0</v>
      </c>
      <c r="JK348" s="56"/>
      <c r="JN348" s="55">
        <f t="shared" si="2326"/>
        <v>46319</v>
      </c>
      <c r="JO348" s="56"/>
      <c r="JP348" s="242">
        <f>SUMPRODUCT(PRODUCE!$B345:$DY345,PRODUCE!$EB$37:$IY$37)</f>
        <v>0</v>
      </c>
      <c r="JQ348" s="56"/>
      <c r="JR348" s="242">
        <f t="shared" si="2327"/>
        <v>0</v>
      </c>
      <c r="JS348" s="242">
        <f t="shared" si="2328"/>
        <v>0</v>
      </c>
      <c r="JT348" s="56"/>
      <c r="JW348" s="55">
        <f t="shared" si="2329"/>
        <v>46319</v>
      </c>
      <c r="JX348" s="56"/>
      <c r="JY348" s="242">
        <f>SUMPRODUCT(PRODUCE!$B345:$DY345,PRODUCE!$EB$38:$IY$38)</f>
        <v>0</v>
      </c>
      <c r="JZ348" s="56"/>
      <c r="KA348" s="242">
        <f t="shared" si="2330"/>
        <v>0</v>
      </c>
      <c r="KB348" s="242">
        <f t="shared" si="2331"/>
        <v>2540</v>
      </c>
      <c r="KC348" s="56"/>
      <c r="KF348" s="55">
        <f t="shared" si="2332"/>
        <v>46319</v>
      </c>
      <c r="KG348" s="56"/>
      <c r="KH348" s="242">
        <f>SUMPRODUCT(PRODUCE!$B345:$DY345,PRODUCE!$EB$39:$IY$39)</f>
        <v>0</v>
      </c>
      <c r="KI348" s="56"/>
      <c r="KJ348" s="242">
        <f t="shared" si="2333"/>
        <v>0</v>
      </c>
      <c r="KK348" s="242">
        <f t="shared" si="2334"/>
        <v>2359.5</v>
      </c>
      <c r="KL348" s="56"/>
      <c r="KO348" s="55">
        <f t="shared" si="2335"/>
        <v>46319</v>
      </c>
      <c r="KP348" s="56"/>
      <c r="KQ348" s="242">
        <f>SUMPRODUCT(PRODUCE!$B345:$DY345,PRODUCE!$EB$40:$IY$40)</f>
        <v>0</v>
      </c>
      <c r="KR348" s="56"/>
      <c r="KS348" s="242">
        <f t="shared" si="2336"/>
        <v>0</v>
      </c>
      <c r="KT348" s="242">
        <f t="shared" si="2337"/>
        <v>1890</v>
      </c>
      <c r="KU348" s="56"/>
      <c r="KW348" s="23"/>
      <c r="KX348" s="55">
        <f t="shared" si="2338"/>
        <v>46319</v>
      </c>
      <c r="KY348" s="56"/>
      <c r="KZ348" s="242">
        <f>SUMPRODUCT(PRODUCE!$B345:$DY345,PRODUCE!$EB$41:$IY$41)</f>
        <v>0</v>
      </c>
      <c r="LA348" s="56"/>
      <c r="LB348" s="242">
        <f t="shared" si="2339"/>
        <v>0</v>
      </c>
      <c r="LC348" s="242">
        <f t="shared" si="2340"/>
        <v>3690</v>
      </c>
      <c r="LD348" s="56"/>
      <c r="LG348" s="55">
        <f t="shared" si="2341"/>
        <v>46319</v>
      </c>
      <c r="LH348" s="56"/>
      <c r="LI348" s="242">
        <f>SUMPRODUCT(PRODUCE!$B345:$DY345,PRODUCE!$EB$42:$IY$42)</f>
        <v>0</v>
      </c>
      <c r="LJ348" s="56"/>
      <c r="LK348" s="242">
        <f t="shared" si="2342"/>
        <v>0</v>
      </c>
      <c r="LL348" s="242">
        <f t="shared" si="2343"/>
        <v>4000</v>
      </c>
      <c r="LM348" s="56"/>
      <c r="LP348" s="55">
        <f t="shared" si="2344"/>
        <v>46319</v>
      </c>
      <c r="LQ348" s="56"/>
      <c r="LR348" s="242">
        <f>SUMPRODUCT(PRODUCE!$B345:$DY345,PRODUCE!$EB$43:$IY$43)</f>
        <v>0</v>
      </c>
      <c r="LS348" s="56"/>
      <c r="LT348" s="242">
        <f t="shared" si="2345"/>
        <v>0</v>
      </c>
      <c r="LU348" s="242">
        <f t="shared" si="2346"/>
        <v>0</v>
      </c>
      <c r="LV348" s="56"/>
      <c r="LY348" s="55">
        <f t="shared" si="2347"/>
        <v>46319</v>
      </c>
      <c r="LZ348" s="56"/>
      <c r="MA348" s="242">
        <f>SUMPRODUCT(PRODUCE!$B345:$DY345,PRODUCE!$EB$44:$IY$44)</f>
        <v>0</v>
      </c>
      <c r="MB348" s="56"/>
      <c r="MC348" s="242">
        <f t="shared" si="2348"/>
        <v>0</v>
      </c>
      <c r="MD348" s="242">
        <f t="shared" si="2349"/>
        <v>0</v>
      </c>
      <c r="ME348" s="56"/>
      <c r="MH348" s="55">
        <f t="shared" si="2350"/>
        <v>46319</v>
      </c>
      <c r="MI348" s="56"/>
      <c r="MJ348" s="242">
        <f>SUMPRODUCT(PRODUCE!$B345:$DY345,PRODUCE!$EB$45:$IY$45)</f>
        <v>0</v>
      </c>
      <c r="MK348" s="56"/>
      <c r="ML348" s="242">
        <f t="shared" si="2351"/>
        <v>0</v>
      </c>
      <c r="MM348" s="242">
        <f t="shared" si="2352"/>
        <v>0</v>
      </c>
      <c r="MN348" s="56"/>
      <c r="MQ348" s="55">
        <f t="shared" si="2353"/>
        <v>46319</v>
      </c>
      <c r="MR348" s="56"/>
      <c r="MS348" s="242">
        <f>SUMPRODUCT(PRODUCE!$B345:$DY345,PRODUCE!$EB$46:$IY$46)</f>
        <v>0</v>
      </c>
      <c r="MT348" s="56"/>
      <c r="MU348" s="242">
        <f t="shared" si="2354"/>
        <v>0</v>
      </c>
      <c r="MV348" s="242">
        <f t="shared" si="2355"/>
        <v>1625</v>
      </c>
      <c r="MW348" s="56"/>
      <c r="MZ348" s="55">
        <f t="shared" si="2356"/>
        <v>46319</v>
      </c>
      <c r="NA348" s="56"/>
      <c r="NB348" s="242">
        <f>SUMPRODUCT(PRODUCE!$B345:$DY345,PRODUCE!$EB$47:$IY$47)</f>
        <v>0</v>
      </c>
      <c r="NC348" s="56"/>
      <c r="ND348" s="242">
        <f t="shared" si="2357"/>
        <v>0</v>
      </c>
      <c r="NE348" s="242">
        <f t="shared" si="2358"/>
        <v>0</v>
      </c>
      <c r="NF348" s="56"/>
      <c r="NI348" s="55">
        <f t="shared" si="2359"/>
        <v>46319</v>
      </c>
      <c r="NJ348" s="56"/>
      <c r="NK348" s="242">
        <f>SUMPRODUCT(PRODUCE!$B345:$DY345,PRODUCE!$EB$48:$IY$48)</f>
        <v>0</v>
      </c>
      <c r="NL348" s="56"/>
      <c r="NM348" s="242">
        <f t="shared" si="2360"/>
        <v>0</v>
      </c>
      <c r="NN348" s="242">
        <f t="shared" si="2361"/>
        <v>1127</v>
      </c>
      <c r="NO348" s="56"/>
      <c r="NR348" s="55">
        <f t="shared" si="2362"/>
        <v>46319</v>
      </c>
      <c r="NS348" s="56"/>
      <c r="NT348" s="242">
        <f>SUMPRODUCT(PRODUCE!$B345:$DY345,PRODUCE!$EB$49:$IY$49)</f>
        <v>0</v>
      </c>
      <c r="NU348" s="56"/>
      <c r="NV348" s="242">
        <f t="shared" si="2363"/>
        <v>0</v>
      </c>
      <c r="NW348" s="242">
        <f t="shared" si="2364"/>
        <v>3111.9999999999995</v>
      </c>
      <c r="NX348" s="56"/>
      <c r="OA348" s="55">
        <f t="shared" si="2365"/>
        <v>46319</v>
      </c>
      <c r="OB348" s="56"/>
      <c r="OC348" s="242">
        <f>SUMPRODUCT(PRODUCE!$B345:$DY345,PRODUCE!$EB$50:$IY$50)</f>
        <v>0</v>
      </c>
      <c r="OD348" s="56"/>
      <c r="OE348" s="242">
        <f t="shared" si="2366"/>
        <v>0</v>
      </c>
      <c r="OF348" s="242">
        <f t="shared" si="2367"/>
        <v>1680.5</v>
      </c>
      <c r="OG348" s="56"/>
      <c r="OJ348" s="55">
        <f t="shared" si="2368"/>
        <v>46319</v>
      </c>
      <c r="OK348" s="56"/>
      <c r="OL348" s="242">
        <f>SUMPRODUCT(PRODUCE!$B345:$DY345,PRODUCE!$EB$51:$IY$51)</f>
        <v>0</v>
      </c>
      <c r="OM348" s="56"/>
      <c r="ON348" s="242">
        <f t="shared" si="2369"/>
        <v>0</v>
      </c>
      <c r="OO348" s="242">
        <f t="shared" si="2370"/>
        <v>0</v>
      </c>
      <c r="OP348" s="56"/>
      <c r="OS348" s="55">
        <f t="shared" si="2371"/>
        <v>46319</v>
      </c>
      <c r="OT348" s="56"/>
      <c r="OU348" s="242">
        <f>SUMPRODUCT(PRODUCE!$B345:$DY345,PRODUCE!$EB$52:$IY$52)</f>
        <v>0</v>
      </c>
      <c r="OV348" s="56"/>
      <c r="OW348" s="242">
        <f t="shared" si="2372"/>
        <v>0</v>
      </c>
      <c r="OX348" s="242">
        <f t="shared" si="2373"/>
        <v>1482</v>
      </c>
      <c r="OY348" s="56"/>
      <c r="PB348" s="55">
        <f t="shared" si="2374"/>
        <v>46319</v>
      </c>
      <c r="PC348" s="56"/>
      <c r="PD348" s="242">
        <f>SUMPRODUCT(PRODUCE!$B345:$DY345,PRODUCE!$EB$53:$IY$53)</f>
        <v>0</v>
      </c>
      <c r="PE348" s="56"/>
      <c r="PF348" s="242">
        <f t="shared" si="2375"/>
        <v>0</v>
      </c>
      <c r="PG348" s="242">
        <f t="shared" si="2376"/>
        <v>0</v>
      </c>
      <c r="PH348" s="56"/>
      <c r="PK348" s="55">
        <f t="shared" si="2377"/>
        <v>46319</v>
      </c>
      <c r="PL348" s="56"/>
      <c r="PM348" s="242">
        <f>SUMPRODUCT(PRODUCE!$B345:$DY345,PRODUCE!$EB$54:$IY$54)</f>
        <v>0</v>
      </c>
      <c r="PN348" s="56"/>
      <c r="PO348" s="242">
        <f t="shared" si="2378"/>
        <v>0</v>
      </c>
      <c r="PP348" s="242">
        <f t="shared" si="2379"/>
        <v>100</v>
      </c>
      <c r="PQ348" s="56"/>
      <c r="PT348" s="55">
        <f t="shared" si="2380"/>
        <v>46319</v>
      </c>
      <c r="PU348" s="56"/>
      <c r="PV348" s="242">
        <f>SUMPRODUCT(PRODUCE!$B345:$DY345,PRODUCE!$EB$55:$IY$55)</f>
        <v>0</v>
      </c>
      <c r="PW348" s="56"/>
      <c r="PX348" s="242">
        <f t="shared" si="2381"/>
        <v>0</v>
      </c>
      <c r="PY348" s="242">
        <f t="shared" si="2382"/>
        <v>13.960000000000036</v>
      </c>
      <c r="PZ348" s="56"/>
      <c r="QC348" s="55">
        <f t="shared" si="2383"/>
        <v>46319</v>
      </c>
      <c r="QD348" s="56"/>
      <c r="QE348" s="242">
        <f>SUMPRODUCT(PRODUCE!$B345:$DY345,PRODUCE!$EB$56:$IY$56)</f>
        <v>0</v>
      </c>
      <c r="QF348" s="56"/>
      <c r="QG348" s="242">
        <f t="shared" si="2384"/>
        <v>0</v>
      </c>
      <c r="QH348" s="242">
        <f t="shared" si="2385"/>
        <v>548</v>
      </c>
      <c r="QI348" s="56"/>
      <c r="QL348" s="55">
        <f t="shared" si="2386"/>
        <v>46319</v>
      </c>
      <c r="QM348" s="56"/>
      <c r="QN348" s="242">
        <f>SUMPRODUCT(PRODUCE!$B345:$DY345,PRODUCE!$EB$57:$IY$57)</f>
        <v>0</v>
      </c>
      <c r="QO348" s="56"/>
      <c r="QP348" s="242">
        <f t="shared" si="2387"/>
        <v>0</v>
      </c>
      <c r="QQ348" s="242">
        <f t="shared" si="2388"/>
        <v>0</v>
      </c>
      <c r="QR348" s="56"/>
      <c r="QU348" s="55">
        <f t="shared" si="2389"/>
        <v>46319</v>
      </c>
      <c r="QV348" s="56"/>
      <c r="QW348" s="242">
        <f>SUMPRODUCT(PRODUCE!$B345:$DY345,PRODUCE!$EB$57:$IY$57)</f>
        <v>0</v>
      </c>
      <c r="QX348" s="56"/>
      <c r="QY348" s="242">
        <f t="shared" si="2390"/>
        <v>0</v>
      </c>
      <c r="QZ348" s="242">
        <f t="shared" si="2391"/>
        <v>0</v>
      </c>
      <c r="RA348" s="56"/>
      <c r="RD348" s="55">
        <f t="shared" si="2392"/>
        <v>46319</v>
      </c>
      <c r="RE348" s="56"/>
      <c r="RF348" s="242">
        <f>SUMPRODUCT(PRODUCE!$B345:$DY345,PRODUCE!$EB$58:$IY$58)</f>
        <v>0</v>
      </c>
      <c r="RG348" s="56"/>
      <c r="RH348" s="242">
        <f t="shared" si="2393"/>
        <v>0</v>
      </c>
      <c r="RI348" s="242">
        <f t="shared" si="2394"/>
        <v>147.04000000000002</v>
      </c>
      <c r="RJ348" s="56"/>
      <c r="RM348" s="55">
        <f t="shared" si="2395"/>
        <v>46319</v>
      </c>
      <c r="RN348" s="56"/>
      <c r="RO348" s="242">
        <f>SUMPRODUCT(PRODUCE!$B345:$DY345,PRODUCE!$EB$57:$IY$57)</f>
        <v>0</v>
      </c>
      <c r="RP348" s="56"/>
      <c r="RQ348" s="242">
        <f t="shared" si="2396"/>
        <v>0</v>
      </c>
      <c r="RR348" s="242">
        <f t="shared" si="2397"/>
        <v>46.8</v>
      </c>
      <c r="RS348" s="56"/>
      <c r="RV348" s="55">
        <f t="shared" si="2398"/>
        <v>46319</v>
      </c>
      <c r="RW348" s="56"/>
      <c r="RX348" s="242">
        <f>SUMPRODUCT(PRODUCE!$B345:$DY345,PRODUCE!$EB$57:$IY$57)</f>
        <v>0</v>
      </c>
      <c r="RY348" s="56"/>
      <c r="RZ348" s="242">
        <f t="shared" si="2399"/>
        <v>0</v>
      </c>
      <c r="SA348" s="242">
        <f t="shared" si="2400"/>
        <v>0</v>
      </c>
      <c r="SB348" s="56"/>
      <c r="SE348" s="55">
        <f t="shared" si="2401"/>
        <v>46319</v>
      </c>
      <c r="SF348" s="56"/>
      <c r="SG348" s="242">
        <f>SUMPRODUCT(PRODUCE!$B345:$DY345,PRODUCE!$EB$61:$IY$61)</f>
        <v>0</v>
      </c>
      <c r="SH348" s="56"/>
      <c r="SI348" s="242">
        <f t="shared" si="2402"/>
        <v>0</v>
      </c>
      <c r="SJ348" s="242">
        <f t="shared" si="2403"/>
        <v>24.200000000000003</v>
      </c>
      <c r="SK348" s="56"/>
      <c r="SN348" s="55">
        <f t="shared" si="2404"/>
        <v>46319</v>
      </c>
      <c r="SO348" s="56"/>
      <c r="SP348" s="242">
        <f>SUMPRODUCT(PRODUCE!$B345:$DY345,PRODUCE!$EB$57:$IY$57)</f>
        <v>0</v>
      </c>
      <c r="SQ348" s="56"/>
      <c r="SR348" s="242">
        <f t="shared" si="2405"/>
        <v>0</v>
      </c>
      <c r="SS348" s="242">
        <f t="shared" si="2406"/>
        <v>32</v>
      </c>
      <c r="ST348" s="56"/>
      <c r="SW348" s="55">
        <f t="shared" si="2407"/>
        <v>46319</v>
      </c>
      <c r="SX348" s="56"/>
      <c r="SY348" s="242">
        <f>SUMPRODUCT(PRODUCE!$B345:$DY345,PRODUCE!$EB$57:$IY$57)</f>
        <v>0</v>
      </c>
      <c r="SZ348" s="56"/>
      <c r="TA348" s="242">
        <f t="shared" si="2408"/>
        <v>0</v>
      </c>
      <c r="TB348" s="242">
        <f t="shared" si="2409"/>
        <v>0</v>
      </c>
      <c r="TC348" s="56"/>
      <c r="TF348" s="55">
        <f t="shared" si="2410"/>
        <v>46319</v>
      </c>
      <c r="TG348" s="56"/>
      <c r="TH348" s="242">
        <f>SUMPRODUCT(PRODUCE!$B345:$DY345,PRODUCE!$EB$57:$IY$57)</f>
        <v>0</v>
      </c>
      <c r="TI348" s="56"/>
      <c r="TJ348" s="242">
        <f t="shared" si="2411"/>
        <v>0</v>
      </c>
      <c r="TK348" s="242">
        <f t="shared" si="2412"/>
        <v>0</v>
      </c>
      <c r="TL348" s="56"/>
      <c r="TO348" s="55">
        <f t="shared" si="2413"/>
        <v>46319</v>
      </c>
      <c r="TP348" s="56"/>
      <c r="TQ348" s="242">
        <f>SUMPRODUCT(PRODUCE!$B345:$DY345,PRODUCE!$EB$57:$IY$57)</f>
        <v>0</v>
      </c>
      <c r="TR348" s="56"/>
      <c r="TS348" s="242">
        <f t="shared" si="2414"/>
        <v>0</v>
      </c>
      <c r="TT348" s="242">
        <f t="shared" si="2415"/>
        <v>0</v>
      </c>
      <c r="TU348" s="56"/>
      <c r="TX348" s="55">
        <f t="shared" si="2416"/>
        <v>46319</v>
      </c>
      <c r="TY348" s="56"/>
      <c r="TZ348" s="242">
        <f>SUMPRODUCT(PRODUCE!$B345:$DY345,PRODUCE!$EB$57:$IY$57)</f>
        <v>0</v>
      </c>
      <c r="UA348" s="56"/>
      <c r="UB348" s="242">
        <f t="shared" si="2417"/>
        <v>0</v>
      </c>
      <c r="UC348" s="242">
        <f t="shared" si="2418"/>
        <v>46.799999999999983</v>
      </c>
      <c r="UD348" s="56"/>
      <c r="UG348" s="55">
        <f t="shared" si="2419"/>
        <v>46319</v>
      </c>
      <c r="UH348" s="56"/>
      <c r="UI348" s="242">
        <f>SUMPRODUCT(PRODUCE!$B345:$DY345,PRODUCE!$EB$57:$IY$57)</f>
        <v>0</v>
      </c>
      <c r="UJ348" s="56"/>
      <c r="UK348" s="242">
        <f t="shared" si="2420"/>
        <v>0</v>
      </c>
      <c r="UL348" s="242">
        <f t="shared" si="2421"/>
        <v>204</v>
      </c>
      <c r="UM348" s="56"/>
      <c r="UP348" s="55">
        <f t="shared" si="2422"/>
        <v>46319</v>
      </c>
      <c r="UQ348" s="56"/>
      <c r="UR348" s="242">
        <f>SUMPRODUCT(PRODUCE!$B345:$DY345,PRODUCE!$EB$57:$IY$57)</f>
        <v>0</v>
      </c>
      <c r="US348" s="56"/>
      <c r="UT348" s="242">
        <f t="shared" si="2423"/>
        <v>0</v>
      </c>
      <c r="UU348" s="242">
        <f t="shared" si="2424"/>
        <v>202.5</v>
      </c>
      <c r="UV348" s="56"/>
      <c r="UY348" s="55">
        <f t="shared" si="2425"/>
        <v>46319</v>
      </c>
      <c r="UZ348" s="56"/>
      <c r="VA348" s="242">
        <f>SUMPRODUCT(PRODUCE!$B345:$DY345,PRODUCE!$EB$57:$IY$57)</f>
        <v>0</v>
      </c>
      <c r="VB348" s="56"/>
      <c r="VC348" s="242">
        <f t="shared" si="2426"/>
        <v>0</v>
      </c>
      <c r="VD348" s="242">
        <f t="shared" si="2427"/>
        <v>41.600000000000023</v>
      </c>
      <c r="VE348" s="56"/>
      <c r="VH348" s="55">
        <f t="shared" si="2428"/>
        <v>46319</v>
      </c>
      <c r="VI348" s="56"/>
      <c r="VJ348" s="242">
        <f>SUMPRODUCT(PRODUCE!$B345:$DY345,PRODUCE!$EB$57:$IY$57)</f>
        <v>0</v>
      </c>
      <c r="VK348" s="56"/>
      <c r="VL348" s="242">
        <f t="shared" si="2429"/>
        <v>0</v>
      </c>
      <c r="VM348" s="242">
        <f t="shared" si="2430"/>
        <v>210</v>
      </c>
      <c r="VN348" s="56"/>
      <c r="VQ348" s="55">
        <f t="shared" si="2431"/>
        <v>46319</v>
      </c>
      <c r="VR348" s="56"/>
      <c r="VS348" s="242">
        <f>SUMPRODUCT(PRODUCE!$B345:$DY345,PRODUCE!$EB$57:$IY$57)</f>
        <v>0</v>
      </c>
      <c r="VT348" s="56"/>
      <c r="VU348" s="242">
        <f t="shared" si="2432"/>
        <v>0</v>
      </c>
      <c r="VV348" s="242">
        <f t="shared" si="2433"/>
        <v>0</v>
      </c>
      <c r="VW348" s="56"/>
      <c r="VZ348" s="55">
        <f t="shared" si="2434"/>
        <v>46319</v>
      </c>
      <c r="WA348" s="56"/>
      <c r="WB348" s="242">
        <f>SUMPRODUCT(PRODUCE!$B345:$DY345,PRODUCE!$EB$57:$IY$57)</f>
        <v>0</v>
      </c>
      <c r="WC348" s="56"/>
      <c r="WD348" s="242">
        <f t="shared" si="2435"/>
        <v>0</v>
      </c>
      <c r="WE348" s="242">
        <f t="shared" si="2436"/>
        <v>0</v>
      </c>
      <c r="WF348" s="56"/>
      <c r="WI348" s="55">
        <f t="shared" si="2437"/>
        <v>46319</v>
      </c>
      <c r="WJ348" s="56"/>
      <c r="WK348" s="242">
        <f>SUMPRODUCT(PRODUCE!$B345:$DY345,PRODUCE!$EB$57:$IY$57)</f>
        <v>0</v>
      </c>
      <c r="WL348" s="56"/>
      <c r="WM348" s="242">
        <f t="shared" si="2438"/>
        <v>0</v>
      </c>
      <c r="WN348" s="242">
        <f t="shared" si="2439"/>
        <v>1057</v>
      </c>
      <c r="WO348" s="56"/>
      <c r="WR348" s="55">
        <f t="shared" si="2440"/>
        <v>46319</v>
      </c>
      <c r="WS348" s="56"/>
      <c r="WT348" s="242">
        <f>SUMPRODUCT(PRODUCE!$B345:$DY345,PRODUCE!$EB$57:$IY$57)</f>
        <v>0</v>
      </c>
      <c r="WU348" s="56"/>
      <c r="WV348" s="242">
        <f t="shared" si="2441"/>
        <v>0</v>
      </c>
      <c r="WW348" s="242">
        <f t="shared" si="2442"/>
        <v>0</v>
      </c>
      <c r="WX348" s="56"/>
      <c r="XA348" s="55">
        <f t="shared" si="2443"/>
        <v>46319</v>
      </c>
      <c r="XB348" s="56"/>
      <c r="XC348" s="242">
        <f>SUMPRODUCT(PRODUCE!$B345:$DY345,PRODUCE!$EB$57:$IY$57)</f>
        <v>0</v>
      </c>
      <c r="XD348" s="56"/>
      <c r="XE348" s="242">
        <f t="shared" si="2444"/>
        <v>0</v>
      </c>
      <c r="XF348" s="242">
        <f t="shared" si="2445"/>
        <v>7507</v>
      </c>
      <c r="XG348" s="56"/>
      <c r="XJ348" s="55">
        <f t="shared" si="2446"/>
        <v>46319</v>
      </c>
      <c r="XK348" s="56"/>
      <c r="XL348" s="242">
        <f>SUMPRODUCT(PRODUCE!$B345:$DY345,PRODUCE!$EB$57:$IY$57)</f>
        <v>0</v>
      </c>
      <c r="XM348" s="56"/>
      <c r="XN348" s="242">
        <f t="shared" si="2447"/>
        <v>0</v>
      </c>
      <c r="XO348" s="242">
        <f t="shared" si="2448"/>
        <v>4252</v>
      </c>
      <c r="XP348" s="56"/>
      <c r="XS348" s="55">
        <f t="shared" si="2449"/>
        <v>46319</v>
      </c>
      <c r="XT348" s="56"/>
      <c r="XU348" s="242">
        <f>SUMPRODUCT(PRODUCE!$B345:$DY345,PRODUCE!$EB$57:$IY$57)</f>
        <v>0</v>
      </c>
      <c r="XV348" s="56"/>
      <c r="XW348" s="242">
        <f t="shared" si="2450"/>
        <v>0</v>
      </c>
      <c r="XX348" s="242">
        <f t="shared" si="2451"/>
        <v>2179</v>
      </c>
      <c r="XY348" s="56"/>
      <c r="YB348" s="55">
        <f t="shared" si="2452"/>
        <v>46319</v>
      </c>
      <c r="YC348" s="56"/>
      <c r="YD348" s="242">
        <f>SUMPRODUCT(PRODUCE!$B345:$DY345,PRODUCE!$EB$57:$IY$57)</f>
        <v>0</v>
      </c>
      <c r="YE348" s="56"/>
      <c r="YF348" s="242">
        <f t="shared" si="2453"/>
        <v>0</v>
      </c>
      <c r="YG348" s="242">
        <f t="shared" si="2454"/>
        <v>4019</v>
      </c>
      <c r="YH348" s="56"/>
      <c r="YK348" s="55">
        <f t="shared" si="2455"/>
        <v>46319</v>
      </c>
      <c r="YL348" s="56"/>
      <c r="YM348" s="242">
        <f>SUMPRODUCT(PRODUCE!$B345:$DY345,PRODUCE!$EB$57:$IY$57)</f>
        <v>0</v>
      </c>
      <c r="YN348" s="56"/>
      <c r="YO348" s="242">
        <f t="shared" si="2456"/>
        <v>0</v>
      </c>
      <c r="YP348" s="242">
        <f t="shared" si="2457"/>
        <v>-218</v>
      </c>
      <c r="YQ348" s="56"/>
      <c r="YT348" s="55">
        <f t="shared" si="2458"/>
        <v>46319</v>
      </c>
      <c r="YU348" s="56"/>
      <c r="YV348" s="242">
        <f>SUMPRODUCT(PRODUCE!$B345:$DY345,PRODUCE!$EB$57:$IY$57)</f>
        <v>0</v>
      </c>
      <c r="YW348" s="56"/>
      <c r="YX348" s="242">
        <f t="shared" si="2459"/>
        <v>0</v>
      </c>
      <c r="YY348" s="242">
        <f t="shared" si="2460"/>
        <v>0</v>
      </c>
      <c r="YZ348" s="56"/>
      <c r="ZC348" s="55">
        <f t="shared" si="2461"/>
        <v>46319</v>
      </c>
      <c r="ZD348" s="56"/>
      <c r="ZE348" s="242">
        <f>SUMPRODUCT(PRODUCE!$B345:$DY345,PRODUCE!$EB$57:$IY$57)</f>
        <v>0</v>
      </c>
      <c r="ZF348" s="56"/>
      <c r="ZG348" s="242">
        <f t="shared" si="2462"/>
        <v>0</v>
      </c>
      <c r="ZH348" s="242">
        <f t="shared" si="2463"/>
        <v>0</v>
      </c>
      <c r="ZI348" s="56"/>
      <c r="ZL348" s="55">
        <f t="shared" si="2464"/>
        <v>46319</v>
      </c>
      <c r="ZM348" s="56"/>
      <c r="ZN348" s="242">
        <f>SUMPRODUCT(PRODUCE!$B345:$DY345,PRODUCE!$EB$57:$IY$57)</f>
        <v>0</v>
      </c>
      <c r="ZO348" s="56"/>
      <c r="ZP348" s="242">
        <f t="shared" si="2465"/>
        <v>0</v>
      </c>
      <c r="ZQ348" s="242">
        <f t="shared" si="2466"/>
        <v>0</v>
      </c>
      <c r="ZR348" s="56"/>
      <c r="ZU348" s="55">
        <f t="shared" si="2467"/>
        <v>46319</v>
      </c>
      <c r="ZV348" s="56"/>
      <c r="ZW348" s="242">
        <f>SUMPRODUCT(PRODUCE!$B345:$DY345,PRODUCE!$EB$57:$IY$57)</f>
        <v>0</v>
      </c>
      <c r="ZX348" s="56"/>
      <c r="ZY348" s="242">
        <f t="shared" si="2468"/>
        <v>0</v>
      </c>
      <c r="ZZ348" s="242">
        <f t="shared" si="2469"/>
        <v>0</v>
      </c>
      <c r="AAA348" s="56"/>
      <c r="AAD348" s="55">
        <f t="shared" si="2470"/>
        <v>46319</v>
      </c>
      <c r="AAE348" s="56"/>
      <c r="AAF348" s="242">
        <f>SUMPRODUCT(PRODUCE!$B345:$DY345,PRODUCE!$EB$57:$IY$57)</f>
        <v>0</v>
      </c>
      <c r="AAG348" s="56"/>
      <c r="AAH348" s="242">
        <f t="shared" si="2471"/>
        <v>0</v>
      </c>
      <c r="AAI348" s="242">
        <f t="shared" si="2472"/>
        <v>0</v>
      </c>
      <c r="AAJ348" s="56"/>
      <c r="AAM348" s="55">
        <f t="shared" si="2473"/>
        <v>46319</v>
      </c>
      <c r="AAN348" s="56"/>
      <c r="AAO348" s="242">
        <f>SUMPRODUCT(PRODUCE!$B345:$DY345,PRODUCE!$EB$57:$IY$57)</f>
        <v>0</v>
      </c>
      <c r="AAP348" s="56"/>
      <c r="AAQ348" s="242">
        <f t="shared" si="2474"/>
        <v>0</v>
      </c>
      <c r="AAR348" s="242">
        <f t="shared" si="2475"/>
        <v>0</v>
      </c>
      <c r="AAS348" s="56"/>
      <c r="AAV348" s="55">
        <f t="shared" si="2476"/>
        <v>46319</v>
      </c>
      <c r="AAW348" s="56"/>
      <c r="AAX348" s="242">
        <f>SUMPRODUCT(PRODUCE!$B345:$DY345,PRODUCE!$EB$57:$IY$57)</f>
        <v>0</v>
      </c>
      <c r="AAY348" s="56"/>
      <c r="AAZ348" s="242">
        <f t="shared" si="2477"/>
        <v>0</v>
      </c>
      <c r="ABA348" s="242">
        <f t="shared" si="2478"/>
        <v>0</v>
      </c>
      <c r="ABB348" s="56"/>
      <c r="ABE348" s="55">
        <f t="shared" si="2479"/>
        <v>46319</v>
      </c>
      <c r="ABF348" s="56"/>
      <c r="ABG348" s="242">
        <f>SUMPRODUCT(PRODUCE!$B345:$DY345,PRODUCE!$EB$57:$IY$57)</f>
        <v>0</v>
      </c>
      <c r="ABH348" s="56"/>
      <c r="ABI348" s="242">
        <f t="shared" si="2480"/>
        <v>0</v>
      </c>
      <c r="ABJ348" s="242">
        <f t="shared" si="2481"/>
        <v>0</v>
      </c>
      <c r="ABK348" s="56"/>
    </row>
    <row r="349" spans="2:739" s="54" customFormat="1" ht="15" customHeight="1" outlineLevel="1">
      <c r="B349" s="478"/>
      <c r="C349" s="55">
        <v>46320</v>
      </c>
      <c r="D349" s="56"/>
      <c r="E349" s="57">
        <f>SUMPRODUCT(PRODUCE!$B346:$DY346,PRODUCE!$EB$7:$IY$7)</f>
        <v>0</v>
      </c>
      <c r="F349" s="56"/>
      <c r="G349" s="57">
        <f t="shared" si="2237"/>
        <v>0</v>
      </c>
      <c r="H349" s="57">
        <f t="shared" si="2238"/>
        <v>236936.6</v>
      </c>
      <c r="I349" s="289"/>
      <c r="L349" s="55">
        <f t="shared" si="2239"/>
        <v>46320</v>
      </c>
      <c r="M349" s="56"/>
      <c r="N349" s="59">
        <f>SUMPRODUCT(PRODUCE!$B346:$DY346,PRODUCE!$EB$8:$IY$8)</f>
        <v>0</v>
      </c>
      <c r="O349" s="56"/>
      <c r="P349" s="59">
        <f t="shared" si="2240"/>
        <v>0</v>
      </c>
      <c r="Q349" s="59">
        <f t="shared" si="2241"/>
        <v>53017.600000000071</v>
      </c>
      <c r="R349" s="56"/>
      <c r="U349" s="55">
        <f t="shared" si="2242"/>
        <v>46320</v>
      </c>
      <c r="V349" s="56"/>
      <c r="W349" s="60">
        <f>SUMPRODUCT(PRODUCE!$B346:$DY346,PRODUCE!$EB$9:$IY$9)</f>
        <v>0</v>
      </c>
      <c r="X349" s="56"/>
      <c r="Y349" s="60">
        <f t="shared" si="2243"/>
        <v>0</v>
      </c>
      <c r="Z349" s="60">
        <f t="shared" si="2244"/>
        <v>42674.199999999968</v>
      </c>
      <c r="AA349" s="56"/>
      <c r="AD349" s="55">
        <f t="shared" si="2245"/>
        <v>46320</v>
      </c>
      <c r="AE349" s="56"/>
      <c r="AF349" s="61">
        <f>SUMPRODUCT(PRODUCE!$B346:$DY346,PRODUCE!$EB$10:$IY$10)</f>
        <v>0</v>
      </c>
      <c r="AG349" s="56"/>
      <c r="AH349" s="61">
        <f t="shared" si="2246"/>
        <v>0</v>
      </c>
      <c r="AI349" s="61">
        <f t="shared" si="2247"/>
        <v>4522.2000000000189</v>
      </c>
      <c r="AJ349" s="56"/>
      <c r="AM349" s="55">
        <f t="shared" si="2248"/>
        <v>46320</v>
      </c>
      <c r="AN349" s="422"/>
      <c r="AO349" s="444">
        <f>SUMPRODUCT(PRODUCE!$B346:$DY346,PRODUCE!$EB$11:$IY$11)</f>
        <v>0</v>
      </c>
      <c r="AP349" s="422"/>
      <c r="AQ349" s="444">
        <f t="shared" si="2249"/>
        <v>0</v>
      </c>
      <c r="AR349" s="444">
        <f t="shared" si="2250"/>
        <v>0</v>
      </c>
      <c r="AS349" s="56"/>
      <c r="AV349" s="55">
        <f t="shared" si="2251"/>
        <v>46320</v>
      </c>
      <c r="AW349" s="56"/>
      <c r="AX349" s="62">
        <f>SUMPRODUCT(PRODUCE!$B346:$DY346,PRODUCE!$EB$12:$IY$12)</f>
        <v>0</v>
      </c>
      <c r="AY349" s="56"/>
      <c r="AZ349" s="62">
        <f t="shared" si="2252"/>
        <v>0</v>
      </c>
      <c r="BA349" s="62">
        <f t="shared" si="2253"/>
        <v>124.99999999999523</v>
      </c>
      <c r="BB349" s="56"/>
      <c r="BE349" s="55">
        <f t="shared" si="2254"/>
        <v>46320</v>
      </c>
      <c r="BF349" s="56"/>
      <c r="BG349" s="63">
        <f>SUMPRODUCT(PRODUCE!$B346:$DY346,PRODUCE!$EB$13:$IY$13)</f>
        <v>0</v>
      </c>
      <c r="BH349" s="56"/>
      <c r="BI349" s="63">
        <f t="shared" si="2255"/>
        <v>0</v>
      </c>
      <c r="BJ349" s="63">
        <f t="shared" si="2256"/>
        <v>26151.899999999998</v>
      </c>
      <c r="BK349" s="56"/>
      <c r="BN349" s="55">
        <f t="shared" si="2257"/>
        <v>46320</v>
      </c>
      <c r="BO349" s="56"/>
      <c r="BP349" s="64">
        <f>SUMPRODUCT(PRODUCE!$B346:$DY346,PRODUCE!$EB$14:$IY$14)</f>
        <v>0</v>
      </c>
      <c r="BQ349" s="56"/>
      <c r="BR349" s="64">
        <f t="shared" si="2258"/>
        <v>0</v>
      </c>
      <c r="BS349" s="64">
        <f t="shared" si="2259"/>
        <v>0</v>
      </c>
      <c r="BT349" s="56"/>
      <c r="BW349" s="55">
        <f t="shared" si="2260"/>
        <v>46320</v>
      </c>
      <c r="BX349" s="56"/>
      <c r="BY349" s="65">
        <f>SUMPRODUCT(PRODUCE!$B346:$DY346,PRODUCE!$EB$15:$IY$15)</f>
        <v>0</v>
      </c>
      <c r="BZ349" s="56"/>
      <c r="CA349" s="65">
        <f t="shared" si="2261"/>
        <v>0</v>
      </c>
      <c r="CB349" s="65">
        <f t="shared" si="2262"/>
        <v>2097.3399999999992</v>
      </c>
      <c r="CC349" s="56"/>
      <c r="CF349" s="55">
        <f t="shared" si="2263"/>
        <v>46320</v>
      </c>
      <c r="CG349" s="56"/>
      <c r="CH349" s="66">
        <f>SUMPRODUCT(PRODUCE!$B346:$DY346,PRODUCE!$EB$16:$IY$16)</f>
        <v>0</v>
      </c>
      <c r="CI349" s="56"/>
      <c r="CJ349" s="66">
        <f t="shared" si="2264"/>
        <v>0</v>
      </c>
      <c r="CK349" s="66">
        <f t="shared" si="2265"/>
        <v>-10277.079999999998</v>
      </c>
      <c r="CL349" s="56"/>
      <c r="CO349" s="55">
        <f t="shared" si="2266"/>
        <v>46320</v>
      </c>
      <c r="CP349" s="422"/>
      <c r="CQ349" s="470">
        <f>SUMPRODUCT(PRODUCE!$B346:$DY346,PRODUCE!$EB$17:$IY$17)</f>
        <v>0</v>
      </c>
      <c r="CR349" s="422"/>
      <c r="CS349" s="470">
        <f t="shared" si="2267"/>
        <v>0</v>
      </c>
      <c r="CT349" s="470">
        <f t="shared" si="2268"/>
        <v>0</v>
      </c>
      <c r="CU349" s="56"/>
      <c r="CX349" s="55">
        <f t="shared" si="2269"/>
        <v>46320</v>
      </c>
      <c r="CY349" s="56"/>
      <c r="CZ349" s="133">
        <f>SUMPRODUCT(PRODUCE!$B346:$DY346,PRODUCE!$EB$18:$IY$18)</f>
        <v>0</v>
      </c>
      <c r="DA349" s="56"/>
      <c r="DB349" s="133">
        <f t="shared" si="2270"/>
        <v>0</v>
      </c>
      <c r="DC349" s="133">
        <f t="shared" si="2271"/>
        <v>27438.200000000012</v>
      </c>
      <c r="DD349" s="56"/>
      <c r="DG349" s="55">
        <f t="shared" si="2272"/>
        <v>46320</v>
      </c>
      <c r="DH349" s="56"/>
      <c r="DI349" s="147">
        <f>SUMPRODUCT(PRODUCE!$B346:$DY346,PRODUCE!$EB$19:$IY$19)</f>
        <v>0</v>
      </c>
      <c r="DJ349" s="56"/>
      <c r="DK349" s="147">
        <f t="shared" si="2273"/>
        <v>0</v>
      </c>
      <c r="DL349" s="147">
        <f t="shared" si="2274"/>
        <v>18782.299999999981</v>
      </c>
      <c r="DM349" s="56"/>
      <c r="DP349" s="55">
        <f t="shared" si="2275"/>
        <v>46320</v>
      </c>
      <c r="DQ349" s="56"/>
      <c r="DR349" s="57">
        <f>SUMPRODUCT(PRODUCE!$B346:$DY346,PRODUCE!$EB$20:$IY$20)</f>
        <v>0</v>
      </c>
      <c r="DS349" s="56"/>
      <c r="DT349" s="57">
        <f t="shared" si="2276"/>
        <v>0</v>
      </c>
      <c r="DU349" s="57">
        <f t="shared" si="2277"/>
        <v>5800</v>
      </c>
      <c r="DV349" s="56"/>
      <c r="DY349" s="55">
        <f t="shared" si="2278"/>
        <v>46320</v>
      </c>
      <c r="DZ349" s="56"/>
      <c r="EA349" s="157">
        <f>SUMPRODUCT(PRODUCE!$B346:$DY346,PRODUCE!$EB$21:$IY$21)</f>
        <v>0</v>
      </c>
      <c r="EB349" s="56"/>
      <c r="EC349" s="157">
        <f t="shared" si="2279"/>
        <v>0</v>
      </c>
      <c r="ED349" s="157">
        <f t="shared" si="2280"/>
        <v>0</v>
      </c>
      <c r="EE349" s="56"/>
      <c r="EH349" s="55">
        <f t="shared" si="2281"/>
        <v>46320</v>
      </c>
      <c r="EI349" s="56"/>
      <c r="EJ349" s="162">
        <f>SUMPRODUCT(PRODUCE!$B346:$DY346,PRODUCE!$EB$22:$IY$22)</f>
        <v>0</v>
      </c>
      <c r="EK349" s="56"/>
      <c r="EL349" s="162">
        <f t="shared" si="2282"/>
        <v>0</v>
      </c>
      <c r="EM349" s="162">
        <f t="shared" si="2283"/>
        <v>0</v>
      </c>
      <c r="EN349" s="56"/>
      <c r="EQ349" s="55">
        <f t="shared" si="2284"/>
        <v>46320</v>
      </c>
      <c r="ER349" s="56"/>
      <c r="ES349" s="135">
        <f>SUMPRODUCT(PRODUCE!$B346:$DY346,PRODUCE!$EB$23:$IY$23)</f>
        <v>0</v>
      </c>
      <c r="ET349" s="56"/>
      <c r="EU349" s="135">
        <f t="shared" si="2285"/>
        <v>0</v>
      </c>
      <c r="EV349" s="135">
        <f t="shared" si="2286"/>
        <v>0</v>
      </c>
      <c r="EW349" s="56"/>
      <c r="EZ349" s="55">
        <f t="shared" si="2287"/>
        <v>46320</v>
      </c>
      <c r="FA349" s="56"/>
      <c r="FB349" s="175">
        <f>SUMPRODUCT(PRODUCE!$B346:$DY346,PRODUCE!$EB$24:$IY$24)</f>
        <v>0</v>
      </c>
      <c r="FC349" s="56"/>
      <c r="FD349" s="175">
        <f t="shared" si="2288"/>
        <v>0</v>
      </c>
      <c r="FE349" s="175">
        <f t="shared" si="2289"/>
        <v>0</v>
      </c>
      <c r="FF349" s="56"/>
      <c r="FI349" s="55">
        <f t="shared" si="2290"/>
        <v>46320</v>
      </c>
      <c r="FJ349" s="56"/>
      <c r="FK349" s="183">
        <f>SUMPRODUCT(PRODUCE!$B346:$DY346,PRODUCE!$EB$25:$IY$25)</f>
        <v>0</v>
      </c>
      <c r="FL349" s="56"/>
      <c r="FM349" s="183">
        <f t="shared" si="2291"/>
        <v>0</v>
      </c>
      <c r="FN349" s="183">
        <f t="shared" si="2292"/>
        <v>0</v>
      </c>
      <c r="FO349" s="56"/>
      <c r="FR349" s="55">
        <f t="shared" si="2293"/>
        <v>46320</v>
      </c>
      <c r="FS349" s="56"/>
      <c r="FT349" s="186">
        <f>SUMPRODUCT(PRODUCE!$B346:$DY346,PRODUCE!$EB$26:$IY$26)</f>
        <v>0</v>
      </c>
      <c r="FU349" s="56"/>
      <c r="FV349" s="186">
        <f t="shared" si="2294"/>
        <v>0</v>
      </c>
      <c r="FW349" s="186">
        <f t="shared" si="2295"/>
        <v>2020</v>
      </c>
      <c r="FX349" s="56"/>
      <c r="GA349" s="55">
        <f t="shared" si="2296"/>
        <v>46320</v>
      </c>
      <c r="GB349" s="56"/>
      <c r="GC349" s="137">
        <f>SUMPRODUCT(PRODUCE!$B346:$DY346,PRODUCE!$EB$27:$IY$27)</f>
        <v>0</v>
      </c>
      <c r="GD349" s="56"/>
      <c r="GE349" s="137">
        <f t="shared" si="2297"/>
        <v>0</v>
      </c>
      <c r="GF349" s="137">
        <f t="shared" si="2298"/>
        <v>960</v>
      </c>
      <c r="GG349" s="56"/>
      <c r="GI349" s="23"/>
      <c r="GJ349" s="55">
        <f t="shared" si="2299"/>
        <v>46320</v>
      </c>
      <c r="GK349" s="56"/>
      <c r="GL349" s="199">
        <f>SUMPRODUCT(PRODUCE!$B346:$DY346,PRODUCE!$EB$28:$IY$28)</f>
        <v>0</v>
      </c>
      <c r="GM349" s="56"/>
      <c r="GN349" s="199">
        <f t="shared" si="2300"/>
        <v>0</v>
      </c>
      <c r="GO349" s="199">
        <f t="shared" si="2301"/>
        <v>1760</v>
      </c>
      <c r="GP349" s="56"/>
      <c r="GS349" s="55">
        <f t="shared" si="2302"/>
        <v>46320</v>
      </c>
      <c r="GT349" s="56"/>
      <c r="GU349" s="195">
        <f>SUMPRODUCT(PRODUCE!$B346:$DY346,PRODUCE!$EB$29:$IY$29)</f>
        <v>0</v>
      </c>
      <c r="GV349" s="56"/>
      <c r="GW349" s="195">
        <f t="shared" si="2303"/>
        <v>0</v>
      </c>
      <c r="GX349" s="195">
        <f t="shared" si="2304"/>
        <v>400</v>
      </c>
      <c r="GY349" s="56"/>
      <c r="HB349" s="55">
        <f t="shared" si="2305"/>
        <v>46320</v>
      </c>
      <c r="HC349" s="56"/>
      <c r="HD349" s="191">
        <f>SUMPRODUCT(PRODUCE!$B346:$DY346,PRODUCE!$EB$30:$IY$30)</f>
        <v>0</v>
      </c>
      <c r="HE349" s="56"/>
      <c r="HF349" s="191">
        <f t="shared" si="2306"/>
        <v>0</v>
      </c>
      <c r="HG349" s="191">
        <f t="shared" si="2307"/>
        <v>3600</v>
      </c>
      <c r="HH349" s="56"/>
      <c r="HK349" s="55">
        <f t="shared" si="2308"/>
        <v>46320</v>
      </c>
      <c r="HL349" s="56"/>
      <c r="HM349" s="63">
        <f>SUMPRODUCT(PRODUCE!$B346:$DY346,PRODUCE!$EB$31:$IY$31)</f>
        <v>0</v>
      </c>
      <c r="HN349" s="56"/>
      <c r="HO349" s="63">
        <f t="shared" si="2309"/>
        <v>0</v>
      </c>
      <c r="HP349" s="63">
        <f t="shared" si="2310"/>
        <v>0</v>
      </c>
      <c r="HQ349" s="56"/>
      <c r="HU349" s="55">
        <f t="shared" si="2311"/>
        <v>46320</v>
      </c>
      <c r="HV349" s="56"/>
      <c r="HW349" s="242">
        <f>SUMPRODUCT(PRODUCE!$B346:$DY346,PRODUCE!$EB$32:$IY$32)</f>
        <v>0</v>
      </c>
      <c r="HX349" s="56"/>
      <c r="HY349" s="242">
        <f t="shared" si="2312"/>
        <v>0</v>
      </c>
      <c r="HZ349" s="242">
        <f t="shared" si="2313"/>
        <v>6120</v>
      </c>
      <c r="IA349" s="56"/>
      <c r="ID349" s="55">
        <f t="shared" si="2314"/>
        <v>46320</v>
      </c>
      <c r="IE349" s="56"/>
      <c r="IF349" s="242">
        <f>SUMPRODUCT(PRODUCE!$B346:$DY346,PRODUCE!$EB$33:$IY$33)</f>
        <v>0</v>
      </c>
      <c r="IG349" s="56"/>
      <c r="IH349" s="242">
        <f t="shared" si="2315"/>
        <v>0</v>
      </c>
      <c r="II349" s="242">
        <f t="shared" si="2316"/>
        <v>0</v>
      </c>
      <c r="IJ349" s="56"/>
      <c r="IM349" s="55">
        <f t="shared" si="2317"/>
        <v>46320</v>
      </c>
      <c r="IN349" s="56"/>
      <c r="IO349" s="242">
        <f>SUMPRODUCT(PRODUCE!$B346:$DY346,PRODUCE!$EB$34:$IY$34)</f>
        <v>0</v>
      </c>
      <c r="IP349" s="56"/>
      <c r="IQ349" s="242">
        <f t="shared" si="2318"/>
        <v>0</v>
      </c>
      <c r="IR349" s="242">
        <f t="shared" si="2319"/>
        <v>0</v>
      </c>
      <c r="IS349" s="56"/>
      <c r="IV349" s="55">
        <f t="shared" si="2320"/>
        <v>46320</v>
      </c>
      <c r="IW349" s="56"/>
      <c r="IX349" s="242">
        <f>SUMPRODUCT(PRODUCE!$B346:$DY346,PRODUCE!$EB$35:$IY$35)</f>
        <v>0</v>
      </c>
      <c r="IY349" s="56"/>
      <c r="IZ349" s="242">
        <f t="shared" si="2321"/>
        <v>0</v>
      </c>
      <c r="JA349" s="242">
        <f t="shared" si="2322"/>
        <v>2820</v>
      </c>
      <c r="JB349" s="56"/>
      <c r="JE349" s="55">
        <f t="shared" si="2323"/>
        <v>46320</v>
      </c>
      <c r="JF349" s="56"/>
      <c r="JG349" s="242">
        <f>SUMPRODUCT(PRODUCE!$B346:$DY346,PRODUCE!$EB$36:$IY$36)</f>
        <v>0</v>
      </c>
      <c r="JH349" s="56"/>
      <c r="JI349" s="242">
        <f t="shared" si="2324"/>
        <v>0</v>
      </c>
      <c r="JJ349" s="242">
        <f t="shared" si="2325"/>
        <v>0</v>
      </c>
      <c r="JK349" s="56"/>
      <c r="JN349" s="55">
        <f t="shared" si="2326"/>
        <v>46320</v>
      </c>
      <c r="JO349" s="56"/>
      <c r="JP349" s="242">
        <f>SUMPRODUCT(PRODUCE!$B346:$DY346,PRODUCE!$EB$37:$IY$37)</f>
        <v>0</v>
      </c>
      <c r="JQ349" s="56"/>
      <c r="JR349" s="242">
        <f t="shared" si="2327"/>
        <v>0</v>
      </c>
      <c r="JS349" s="242">
        <f t="shared" si="2328"/>
        <v>0</v>
      </c>
      <c r="JT349" s="56"/>
      <c r="JW349" s="55">
        <f t="shared" si="2329"/>
        <v>46320</v>
      </c>
      <c r="JX349" s="56"/>
      <c r="JY349" s="242">
        <f>SUMPRODUCT(PRODUCE!$B346:$DY346,PRODUCE!$EB$38:$IY$38)</f>
        <v>0</v>
      </c>
      <c r="JZ349" s="56"/>
      <c r="KA349" s="242">
        <f t="shared" si="2330"/>
        <v>0</v>
      </c>
      <c r="KB349" s="242">
        <f t="shared" si="2331"/>
        <v>2540</v>
      </c>
      <c r="KC349" s="56"/>
      <c r="KF349" s="55">
        <f t="shared" si="2332"/>
        <v>46320</v>
      </c>
      <c r="KG349" s="56"/>
      <c r="KH349" s="242">
        <f>SUMPRODUCT(PRODUCE!$B346:$DY346,PRODUCE!$EB$39:$IY$39)</f>
        <v>0</v>
      </c>
      <c r="KI349" s="56"/>
      <c r="KJ349" s="242">
        <f t="shared" si="2333"/>
        <v>0</v>
      </c>
      <c r="KK349" s="242">
        <f t="shared" si="2334"/>
        <v>2359.5</v>
      </c>
      <c r="KL349" s="56"/>
      <c r="KO349" s="55">
        <f t="shared" si="2335"/>
        <v>46320</v>
      </c>
      <c r="KP349" s="56"/>
      <c r="KQ349" s="242">
        <f>SUMPRODUCT(PRODUCE!$B346:$DY346,PRODUCE!$EB$40:$IY$40)</f>
        <v>0</v>
      </c>
      <c r="KR349" s="56"/>
      <c r="KS349" s="242">
        <f t="shared" si="2336"/>
        <v>0</v>
      </c>
      <c r="KT349" s="242">
        <f t="shared" si="2337"/>
        <v>1890</v>
      </c>
      <c r="KU349" s="56"/>
      <c r="KW349" s="23"/>
      <c r="KX349" s="55">
        <f t="shared" si="2338"/>
        <v>46320</v>
      </c>
      <c r="KY349" s="56"/>
      <c r="KZ349" s="242">
        <f>SUMPRODUCT(PRODUCE!$B346:$DY346,PRODUCE!$EB$41:$IY$41)</f>
        <v>0</v>
      </c>
      <c r="LA349" s="56"/>
      <c r="LB349" s="242">
        <f t="shared" si="2339"/>
        <v>0</v>
      </c>
      <c r="LC349" s="242">
        <f t="shared" si="2340"/>
        <v>3690</v>
      </c>
      <c r="LD349" s="56"/>
      <c r="LG349" s="55">
        <f t="shared" si="2341"/>
        <v>46320</v>
      </c>
      <c r="LH349" s="56"/>
      <c r="LI349" s="242">
        <f>SUMPRODUCT(PRODUCE!$B346:$DY346,PRODUCE!$EB$42:$IY$42)</f>
        <v>0</v>
      </c>
      <c r="LJ349" s="56"/>
      <c r="LK349" s="242">
        <f t="shared" si="2342"/>
        <v>0</v>
      </c>
      <c r="LL349" s="242">
        <f t="shared" si="2343"/>
        <v>4000</v>
      </c>
      <c r="LM349" s="56"/>
      <c r="LP349" s="55">
        <f t="shared" si="2344"/>
        <v>46320</v>
      </c>
      <c r="LQ349" s="56"/>
      <c r="LR349" s="242">
        <f>SUMPRODUCT(PRODUCE!$B346:$DY346,PRODUCE!$EB$43:$IY$43)</f>
        <v>0</v>
      </c>
      <c r="LS349" s="56"/>
      <c r="LT349" s="242">
        <f t="shared" si="2345"/>
        <v>0</v>
      </c>
      <c r="LU349" s="242">
        <f t="shared" si="2346"/>
        <v>0</v>
      </c>
      <c r="LV349" s="56"/>
      <c r="LY349" s="55">
        <f t="shared" si="2347"/>
        <v>46320</v>
      </c>
      <c r="LZ349" s="56"/>
      <c r="MA349" s="242">
        <f>SUMPRODUCT(PRODUCE!$B346:$DY346,PRODUCE!$EB$44:$IY$44)</f>
        <v>0</v>
      </c>
      <c r="MB349" s="56"/>
      <c r="MC349" s="242">
        <f t="shared" si="2348"/>
        <v>0</v>
      </c>
      <c r="MD349" s="242">
        <f t="shared" si="2349"/>
        <v>0</v>
      </c>
      <c r="ME349" s="56"/>
      <c r="MH349" s="55">
        <f t="shared" si="2350"/>
        <v>46320</v>
      </c>
      <c r="MI349" s="56"/>
      <c r="MJ349" s="242">
        <f>SUMPRODUCT(PRODUCE!$B346:$DY346,PRODUCE!$EB$45:$IY$45)</f>
        <v>0</v>
      </c>
      <c r="MK349" s="56"/>
      <c r="ML349" s="242">
        <f t="shared" si="2351"/>
        <v>0</v>
      </c>
      <c r="MM349" s="242">
        <f t="shared" si="2352"/>
        <v>0</v>
      </c>
      <c r="MN349" s="56"/>
      <c r="MQ349" s="55">
        <f t="shared" si="2353"/>
        <v>46320</v>
      </c>
      <c r="MR349" s="56"/>
      <c r="MS349" s="242">
        <f>SUMPRODUCT(PRODUCE!$B346:$DY346,PRODUCE!$EB$46:$IY$46)</f>
        <v>0</v>
      </c>
      <c r="MT349" s="56"/>
      <c r="MU349" s="242">
        <f t="shared" si="2354"/>
        <v>0</v>
      </c>
      <c r="MV349" s="242">
        <f t="shared" si="2355"/>
        <v>1625</v>
      </c>
      <c r="MW349" s="56"/>
      <c r="MZ349" s="55">
        <f t="shared" si="2356"/>
        <v>46320</v>
      </c>
      <c r="NA349" s="56"/>
      <c r="NB349" s="242">
        <f>SUMPRODUCT(PRODUCE!$B346:$DY346,PRODUCE!$EB$47:$IY$47)</f>
        <v>0</v>
      </c>
      <c r="NC349" s="56"/>
      <c r="ND349" s="242">
        <f t="shared" si="2357"/>
        <v>0</v>
      </c>
      <c r="NE349" s="242">
        <f t="shared" si="2358"/>
        <v>0</v>
      </c>
      <c r="NF349" s="56"/>
      <c r="NI349" s="55">
        <f t="shared" si="2359"/>
        <v>46320</v>
      </c>
      <c r="NJ349" s="56"/>
      <c r="NK349" s="242">
        <f>SUMPRODUCT(PRODUCE!$B346:$DY346,PRODUCE!$EB$48:$IY$48)</f>
        <v>0</v>
      </c>
      <c r="NL349" s="56"/>
      <c r="NM349" s="242">
        <f t="shared" si="2360"/>
        <v>0</v>
      </c>
      <c r="NN349" s="242">
        <f t="shared" si="2361"/>
        <v>1127</v>
      </c>
      <c r="NO349" s="56"/>
      <c r="NR349" s="55">
        <f t="shared" si="2362"/>
        <v>46320</v>
      </c>
      <c r="NS349" s="56"/>
      <c r="NT349" s="242">
        <f>SUMPRODUCT(PRODUCE!$B346:$DY346,PRODUCE!$EB$49:$IY$49)</f>
        <v>0</v>
      </c>
      <c r="NU349" s="56"/>
      <c r="NV349" s="242">
        <f t="shared" si="2363"/>
        <v>0</v>
      </c>
      <c r="NW349" s="242">
        <f t="shared" si="2364"/>
        <v>3111.9999999999995</v>
      </c>
      <c r="NX349" s="56"/>
      <c r="OA349" s="55">
        <f t="shared" si="2365"/>
        <v>46320</v>
      </c>
      <c r="OB349" s="56"/>
      <c r="OC349" s="242">
        <f>SUMPRODUCT(PRODUCE!$B346:$DY346,PRODUCE!$EB$50:$IY$50)</f>
        <v>0</v>
      </c>
      <c r="OD349" s="56"/>
      <c r="OE349" s="242">
        <f t="shared" si="2366"/>
        <v>0</v>
      </c>
      <c r="OF349" s="242">
        <f t="shared" si="2367"/>
        <v>1680.5</v>
      </c>
      <c r="OG349" s="56"/>
      <c r="OJ349" s="55">
        <f t="shared" si="2368"/>
        <v>46320</v>
      </c>
      <c r="OK349" s="56"/>
      <c r="OL349" s="242">
        <f>SUMPRODUCT(PRODUCE!$B346:$DY346,PRODUCE!$EB$51:$IY$51)</f>
        <v>0</v>
      </c>
      <c r="OM349" s="56"/>
      <c r="ON349" s="242">
        <f t="shared" si="2369"/>
        <v>0</v>
      </c>
      <c r="OO349" s="242">
        <f t="shared" si="2370"/>
        <v>0</v>
      </c>
      <c r="OP349" s="56"/>
      <c r="OS349" s="55">
        <f t="shared" si="2371"/>
        <v>46320</v>
      </c>
      <c r="OT349" s="56"/>
      <c r="OU349" s="242">
        <f>SUMPRODUCT(PRODUCE!$B346:$DY346,PRODUCE!$EB$52:$IY$52)</f>
        <v>0</v>
      </c>
      <c r="OV349" s="56"/>
      <c r="OW349" s="242">
        <f t="shared" si="2372"/>
        <v>0</v>
      </c>
      <c r="OX349" s="242">
        <f t="shared" si="2373"/>
        <v>1482</v>
      </c>
      <c r="OY349" s="56"/>
      <c r="PB349" s="55">
        <f t="shared" si="2374"/>
        <v>46320</v>
      </c>
      <c r="PC349" s="56"/>
      <c r="PD349" s="242">
        <f>SUMPRODUCT(PRODUCE!$B346:$DY346,PRODUCE!$EB$53:$IY$53)</f>
        <v>0</v>
      </c>
      <c r="PE349" s="56"/>
      <c r="PF349" s="242">
        <f t="shared" si="2375"/>
        <v>0</v>
      </c>
      <c r="PG349" s="242">
        <f t="shared" si="2376"/>
        <v>0</v>
      </c>
      <c r="PH349" s="56"/>
      <c r="PK349" s="55">
        <f t="shared" si="2377"/>
        <v>46320</v>
      </c>
      <c r="PL349" s="56"/>
      <c r="PM349" s="242">
        <f>SUMPRODUCT(PRODUCE!$B346:$DY346,PRODUCE!$EB$54:$IY$54)</f>
        <v>0</v>
      </c>
      <c r="PN349" s="56"/>
      <c r="PO349" s="242">
        <f t="shared" si="2378"/>
        <v>0</v>
      </c>
      <c r="PP349" s="242">
        <f t="shared" si="2379"/>
        <v>100</v>
      </c>
      <c r="PQ349" s="56"/>
      <c r="PT349" s="55">
        <f t="shared" si="2380"/>
        <v>46320</v>
      </c>
      <c r="PU349" s="56"/>
      <c r="PV349" s="242">
        <f>SUMPRODUCT(PRODUCE!$B346:$DY346,PRODUCE!$EB$55:$IY$55)</f>
        <v>0</v>
      </c>
      <c r="PW349" s="56"/>
      <c r="PX349" s="242">
        <f t="shared" si="2381"/>
        <v>0</v>
      </c>
      <c r="PY349" s="242">
        <f t="shared" si="2382"/>
        <v>13.960000000000036</v>
      </c>
      <c r="PZ349" s="56"/>
      <c r="QC349" s="55">
        <f t="shared" si="2383"/>
        <v>46320</v>
      </c>
      <c r="QD349" s="56"/>
      <c r="QE349" s="242">
        <f>SUMPRODUCT(PRODUCE!$B346:$DY346,PRODUCE!$EB$56:$IY$56)</f>
        <v>0</v>
      </c>
      <c r="QF349" s="56"/>
      <c r="QG349" s="242">
        <f t="shared" si="2384"/>
        <v>0</v>
      </c>
      <c r="QH349" s="242">
        <f t="shared" si="2385"/>
        <v>548</v>
      </c>
      <c r="QI349" s="56"/>
      <c r="QL349" s="55">
        <f t="shared" si="2386"/>
        <v>46320</v>
      </c>
      <c r="QM349" s="56"/>
      <c r="QN349" s="242">
        <f>SUMPRODUCT(PRODUCE!$B346:$DY346,PRODUCE!$EB$57:$IY$57)</f>
        <v>0</v>
      </c>
      <c r="QO349" s="56"/>
      <c r="QP349" s="242">
        <f t="shared" si="2387"/>
        <v>0</v>
      </c>
      <c r="QQ349" s="242">
        <f t="shared" si="2388"/>
        <v>0</v>
      </c>
      <c r="QR349" s="56"/>
      <c r="QU349" s="55">
        <f t="shared" si="2389"/>
        <v>46320</v>
      </c>
      <c r="QV349" s="56"/>
      <c r="QW349" s="242">
        <f>SUMPRODUCT(PRODUCE!$B346:$DY346,PRODUCE!$EB$57:$IY$57)</f>
        <v>0</v>
      </c>
      <c r="QX349" s="56"/>
      <c r="QY349" s="242">
        <f t="shared" si="2390"/>
        <v>0</v>
      </c>
      <c r="QZ349" s="242">
        <f t="shared" si="2391"/>
        <v>0</v>
      </c>
      <c r="RA349" s="56"/>
      <c r="RD349" s="55">
        <f t="shared" si="2392"/>
        <v>46320</v>
      </c>
      <c r="RE349" s="56"/>
      <c r="RF349" s="242">
        <f>SUMPRODUCT(PRODUCE!$B346:$DY346,PRODUCE!$EB$58:$IY$58)</f>
        <v>0</v>
      </c>
      <c r="RG349" s="56"/>
      <c r="RH349" s="242">
        <f t="shared" si="2393"/>
        <v>0</v>
      </c>
      <c r="RI349" s="242">
        <f t="shared" si="2394"/>
        <v>147.04000000000002</v>
      </c>
      <c r="RJ349" s="56"/>
      <c r="RM349" s="55">
        <f t="shared" si="2395"/>
        <v>46320</v>
      </c>
      <c r="RN349" s="56"/>
      <c r="RO349" s="242">
        <f>SUMPRODUCT(PRODUCE!$B346:$DY346,PRODUCE!$EB$57:$IY$57)</f>
        <v>0</v>
      </c>
      <c r="RP349" s="56"/>
      <c r="RQ349" s="242">
        <f t="shared" si="2396"/>
        <v>0</v>
      </c>
      <c r="RR349" s="242">
        <f t="shared" si="2397"/>
        <v>46.8</v>
      </c>
      <c r="RS349" s="56"/>
      <c r="RV349" s="55">
        <f t="shared" si="2398"/>
        <v>46320</v>
      </c>
      <c r="RW349" s="56"/>
      <c r="RX349" s="242">
        <f>SUMPRODUCT(PRODUCE!$B346:$DY346,PRODUCE!$EB$57:$IY$57)</f>
        <v>0</v>
      </c>
      <c r="RY349" s="56"/>
      <c r="RZ349" s="242">
        <f t="shared" si="2399"/>
        <v>0</v>
      </c>
      <c r="SA349" s="242">
        <f t="shared" si="2400"/>
        <v>0</v>
      </c>
      <c r="SB349" s="56"/>
      <c r="SE349" s="55">
        <f t="shared" si="2401"/>
        <v>46320</v>
      </c>
      <c r="SF349" s="56"/>
      <c r="SG349" s="242">
        <f>SUMPRODUCT(PRODUCE!$B346:$DY346,PRODUCE!$EB$61:$IY$61)</f>
        <v>0</v>
      </c>
      <c r="SH349" s="56"/>
      <c r="SI349" s="242">
        <f t="shared" si="2402"/>
        <v>0</v>
      </c>
      <c r="SJ349" s="242">
        <f t="shared" si="2403"/>
        <v>24.200000000000003</v>
      </c>
      <c r="SK349" s="56"/>
      <c r="SN349" s="55">
        <f t="shared" si="2404"/>
        <v>46320</v>
      </c>
      <c r="SO349" s="56"/>
      <c r="SP349" s="242">
        <f>SUMPRODUCT(PRODUCE!$B346:$DY346,PRODUCE!$EB$57:$IY$57)</f>
        <v>0</v>
      </c>
      <c r="SQ349" s="56"/>
      <c r="SR349" s="242">
        <f t="shared" si="2405"/>
        <v>0</v>
      </c>
      <c r="SS349" s="242">
        <f t="shared" si="2406"/>
        <v>32</v>
      </c>
      <c r="ST349" s="56"/>
      <c r="SW349" s="55">
        <f t="shared" si="2407"/>
        <v>46320</v>
      </c>
      <c r="SX349" s="56"/>
      <c r="SY349" s="242">
        <f>SUMPRODUCT(PRODUCE!$B346:$DY346,PRODUCE!$EB$57:$IY$57)</f>
        <v>0</v>
      </c>
      <c r="SZ349" s="56"/>
      <c r="TA349" s="242">
        <f t="shared" si="2408"/>
        <v>0</v>
      </c>
      <c r="TB349" s="242">
        <f t="shared" si="2409"/>
        <v>0</v>
      </c>
      <c r="TC349" s="56"/>
      <c r="TF349" s="55">
        <f t="shared" si="2410"/>
        <v>46320</v>
      </c>
      <c r="TG349" s="56"/>
      <c r="TH349" s="242">
        <f>SUMPRODUCT(PRODUCE!$B346:$DY346,PRODUCE!$EB$57:$IY$57)</f>
        <v>0</v>
      </c>
      <c r="TI349" s="56"/>
      <c r="TJ349" s="242">
        <f t="shared" si="2411"/>
        <v>0</v>
      </c>
      <c r="TK349" s="242">
        <f t="shared" si="2412"/>
        <v>0</v>
      </c>
      <c r="TL349" s="56"/>
      <c r="TO349" s="55">
        <f t="shared" si="2413"/>
        <v>46320</v>
      </c>
      <c r="TP349" s="56"/>
      <c r="TQ349" s="242">
        <f>SUMPRODUCT(PRODUCE!$B346:$DY346,PRODUCE!$EB$57:$IY$57)</f>
        <v>0</v>
      </c>
      <c r="TR349" s="56"/>
      <c r="TS349" s="242">
        <f t="shared" si="2414"/>
        <v>0</v>
      </c>
      <c r="TT349" s="242">
        <f t="shared" si="2415"/>
        <v>0</v>
      </c>
      <c r="TU349" s="56"/>
      <c r="TX349" s="55">
        <f t="shared" si="2416"/>
        <v>46320</v>
      </c>
      <c r="TY349" s="56"/>
      <c r="TZ349" s="242">
        <f>SUMPRODUCT(PRODUCE!$B346:$DY346,PRODUCE!$EB$57:$IY$57)</f>
        <v>0</v>
      </c>
      <c r="UA349" s="56"/>
      <c r="UB349" s="242">
        <f t="shared" si="2417"/>
        <v>0</v>
      </c>
      <c r="UC349" s="242">
        <f t="shared" si="2418"/>
        <v>46.799999999999983</v>
      </c>
      <c r="UD349" s="56"/>
      <c r="UG349" s="55">
        <f t="shared" si="2419"/>
        <v>46320</v>
      </c>
      <c r="UH349" s="56"/>
      <c r="UI349" s="242">
        <f>SUMPRODUCT(PRODUCE!$B346:$DY346,PRODUCE!$EB$57:$IY$57)</f>
        <v>0</v>
      </c>
      <c r="UJ349" s="56"/>
      <c r="UK349" s="242">
        <f t="shared" si="2420"/>
        <v>0</v>
      </c>
      <c r="UL349" s="242">
        <f t="shared" si="2421"/>
        <v>204</v>
      </c>
      <c r="UM349" s="56"/>
      <c r="UP349" s="55">
        <f t="shared" si="2422"/>
        <v>46320</v>
      </c>
      <c r="UQ349" s="56"/>
      <c r="UR349" s="242">
        <f>SUMPRODUCT(PRODUCE!$B346:$DY346,PRODUCE!$EB$57:$IY$57)</f>
        <v>0</v>
      </c>
      <c r="US349" s="56"/>
      <c r="UT349" s="242">
        <f t="shared" si="2423"/>
        <v>0</v>
      </c>
      <c r="UU349" s="242">
        <f t="shared" si="2424"/>
        <v>202.5</v>
      </c>
      <c r="UV349" s="56"/>
      <c r="UY349" s="55">
        <f t="shared" si="2425"/>
        <v>46320</v>
      </c>
      <c r="UZ349" s="56"/>
      <c r="VA349" s="242">
        <f>SUMPRODUCT(PRODUCE!$B346:$DY346,PRODUCE!$EB$57:$IY$57)</f>
        <v>0</v>
      </c>
      <c r="VB349" s="56"/>
      <c r="VC349" s="242">
        <f t="shared" si="2426"/>
        <v>0</v>
      </c>
      <c r="VD349" s="242">
        <f t="shared" si="2427"/>
        <v>41.600000000000023</v>
      </c>
      <c r="VE349" s="56"/>
      <c r="VH349" s="55">
        <f t="shared" si="2428"/>
        <v>46320</v>
      </c>
      <c r="VI349" s="56"/>
      <c r="VJ349" s="242">
        <f>SUMPRODUCT(PRODUCE!$B346:$DY346,PRODUCE!$EB$57:$IY$57)</f>
        <v>0</v>
      </c>
      <c r="VK349" s="56"/>
      <c r="VL349" s="242">
        <f t="shared" si="2429"/>
        <v>0</v>
      </c>
      <c r="VM349" s="242">
        <f t="shared" si="2430"/>
        <v>210</v>
      </c>
      <c r="VN349" s="56"/>
      <c r="VQ349" s="55">
        <f t="shared" si="2431"/>
        <v>46320</v>
      </c>
      <c r="VR349" s="56"/>
      <c r="VS349" s="242">
        <f>SUMPRODUCT(PRODUCE!$B346:$DY346,PRODUCE!$EB$57:$IY$57)</f>
        <v>0</v>
      </c>
      <c r="VT349" s="56"/>
      <c r="VU349" s="242">
        <f t="shared" si="2432"/>
        <v>0</v>
      </c>
      <c r="VV349" s="242">
        <f t="shared" si="2433"/>
        <v>0</v>
      </c>
      <c r="VW349" s="56"/>
      <c r="VZ349" s="55">
        <f t="shared" si="2434"/>
        <v>46320</v>
      </c>
      <c r="WA349" s="56"/>
      <c r="WB349" s="242">
        <f>SUMPRODUCT(PRODUCE!$B346:$DY346,PRODUCE!$EB$57:$IY$57)</f>
        <v>0</v>
      </c>
      <c r="WC349" s="56"/>
      <c r="WD349" s="242">
        <f t="shared" si="2435"/>
        <v>0</v>
      </c>
      <c r="WE349" s="242">
        <f t="shared" si="2436"/>
        <v>0</v>
      </c>
      <c r="WF349" s="56"/>
      <c r="WI349" s="55">
        <f t="shared" si="2437"/>
        <v>46320</v>
      </c>
      <c r="WJ349" s="56"/>
      <c r="WK349" s="242">
        <f>SUMPRODUCT(PRODUCE!$B346:$DY346,PRODUCE!$EB$57:$IY$57)</f>
        <v>0</v>
      </c>
      <c r="WL349" s="56"/>
      <c r="WM349" s="242">
        <f t="shared" si="2438"/>
        <v>0</v>
      </c>
      <c r="WN349" s="242">
        <f t="shared" si="2439"/>
        <v>1057</v>
      </c>
      <c r="WO349" s="56"/>
      <c r="WR349" s="55">
        <f t="shared" si="2440"/>
        <v>46320</v>
      </c>
      <c r="WS349" s="56"/>
      <c r="WT349" s="242">
        <f>SUMPRODUCT(PRODUCE!$B346:$DY346,PRODUCE!$EB$57:$IY$57)</f>
        <v>0</v>
      </c>
      <c r="WU349" s="56"/>
      <c r="WV349" s="242">
        <f t="shared" si="2441"/>
        <v>0</v>
      </c>
      <c r="WW349" s="242">
        <f t="shared" si="2442"/>
        <v>0</v>
      </c>
      <c r="WX349" s="56"/>
      <c r="XA349" s="55">
        <f t="shared" si="2443"/>
        <v>46320</v>
      </c>
      <c r="XB349" s="56"/>
      <c r="XC349" s="242">
        <f>SUMPRODUCT(PRODUCE!$B346:$DY346,PRODUCE!$EB$57:$IY$57)</f>
        <v>0</v>
      </c>
      <c r="XD349" s="56"/>
      <c r="XE349" s="242">
        <f t="shared" si="2444"/>
        <v>0</v>
      </c>
      <c r="XF349" s="242">
        <f t="shared" si="2445"/>
        <v>7507</v>
      </c>
      <c r="XG349" s="56"/>
      <c r="XJ349" s="55">
        <f t="shared" si="2446"/>
        <v>46320</v>
      </c>
      <c r="XK349" s="56"/>
      <c r="XL349" s="242">
        <f>SUMPRODUCT(PRODUCE!$B346:$DY346,PRODUCE!$EB$57:$IY$57)</f>
        <v>0</v>
      </c>
      <c r="XM349" s="56"/>
      <c r="XN349" s="242">
        <f t="shared" si="2447"/>
        <v>0</v>
      </c>
      <c r="XO349" s="242">
        <f t="shared" si="2448"/>
        <v>4252</v>
      </c>
      <c r="XP349" s="56"/>
      <c r="XS349" s="55">
        <f t="shared" si="2449"/>
        <v>46320</v>
      </c>
      <c r="XT349" s="56"/>
      <c r="XU349" s="242">
        <f>SUMPRODUCT(PRODUCE!$B346:$DY346,PRODUCE!$EB$57:$IY$57)</f>
        <v>0</v>
      </c>
      <c r="XV349" s="56"/>
      <c r="XW349" s="242">
        <f t="shared" si="2450"/>
        <v>0</v>
      </c>
      <c r="XX349" s="242">
        <f t="shared" si="2451"/>
        <v>2179</v>
      </c>
      <c r="XY349" s="56"/>
      <c r="YB349" s="55">
        <f t="shared" si="2452"/>
        <v>46320</v>
      </c>
      <c r="YC349" s="56"/>
      <c r="YD349" s="242">
        <f>SUMPRODUCT(PRODUCE!$B346:$DY346,PRODUCE!$EB$57:$IY$57)</f>
        <v>0</v>
      </c>
      <c r="YE349" s="56"/>
      <c r="YF349" s="242">
        <f t="shared" si="2453"/>
        <v>0</v>
      </c>
      <c r="YG349" s="242">
        <f t="shared" si="2454"/>
        <v>4019</v>
      </c>
      <c r="YH349" s="56"/>
      <c r="YK349" s="55">
        <f t="shared" si="2455"/>
        <v>46320</v>
      </c>
      <c r="YL349" s="56"/>
      <c r="YM349" s="242">
        <f>SUMPRODUCT(PRODUCE!$B346:$DY346,PRODUCE!$EB$57:$IY$57)</f>
        <v>0</v>
      </c>
      <c r="YN349" s="56"/>
      <c r="YO349" s="242">
        <f t="shared" si="2456"/>
        <v>0</v>
      </c>
      <c r="YP349" s="242">
        <f t="shared" si="2457"/>
        <v>-218</v>
      </c>
      <c r="YQ349" s="56"/>
      <c r="YT349" s="55">
        <f t="shared" si="2458"/>
        <v>46320</v>
      </c>
      <c r="YU349" s="56"/>
      <c r="YV349" s="242">
        <f>SUMPRODUCT(PRODUCE!$B346:$DY346,PRODUCE!$EB$57:$IY$57)</f>
        <v>0</v>
      </c>
      <c r="YW349" s="56"/>
      <c r="YX349" s="242">
        <f t="shared" si="2459"/>
        <v>0</v>
      </c>
      <c r="YY349" s="242">
        <f t="shared" si="2460"/>
        <v>0</v>
      </c>
      <c r="YZ349" s="56"/>
      <c r="ZC349" s="55">
        <f t="shared" si="2461"/>
        <v>46320</v>
      </c>
      <c r="ZD349" s="56"/>
      <c r="ZE349" s="242">
        <f>SUMPRODUCT(PRODUCE!$B346:$DY346,PRODUCE!$EB$57:$IY$57)</f>
        <v>0</v>
      </c>
      <c r="ZF349" s="56"/>
      <c r="ZG349" s="242">
        <f t="shared" si="2462"/>
        <v>0</v>
      </c>
      <c r="ZH349" s="242">
        <f t="shared" si="2463"/>
        <v>0</v>
      </c>
      <c r="ZI349" s="56"/>
      <c r="ZL349" s="55">
        <f t="shared" si="2464"/>
        <v>46320</v>
      </c>
      <c r="ZM349" s="56"/>
      <c r="ZN349" s="242">
        <f>SUMPRODUCT(PRODUCE!$B346:$DY346,PRODUCE!$EB$57:$IY$57)</f>
        <v>0</v>
      </c>
      <c r="ZO349" s="56"/>
      <c r="ZP349" s="242">
        <f t="shared" si="2465"/>
        <v>0</v>
      </c>
      <c r="ZQ349" s="242">
        <f t="shared" si="2466"/>
        <v>0</v>
      </c>
      <c r="ZR349" s="56"/>
      <c r="ZU349" s="55">
        <f t="shared" si="2467"/>
        <v>46320</v>
      </c>
      <c r="ZV349" s="56"/>
      <c r="ZW349" s="242">
        <f>SUMPRODUCT(PRODUCE!$B346:$DY346,PRODUCE!$EB$57:$IY$57)</f>
        <v>0</v>
      </c>
      <c r="ZX349" s="56"/>
      <c r="ZY349" s="242">
        <f t="shared" si="2468"/>
        <v>0</v>
      </c>
      <c r="ZZ349" s="242">
        <f t="shared" si="2469"/>
        <v>0</v>
      </c>
      <c r="AAA349" s="56"/>
      <c r="AAD349" s="55">
        <f t="shared" si="2470"/>
        <v>46320</v>
      </c>
      <c r="AAE349" s="56"/>
      <c r="AAF349" s="242">
        <f>SUMPRODUCT(PRODUCE!$B346:$DY346,PRODUCE!$EB$57:$IY$57)</f>
        <v>0</v>
      </c>
      <c r="AAG349" s="56"/>
      <c r="AAH349" s="242">
        <f t="shared" si="2471"/>
        <v>0</v>
      </c>
      <c r="AAI349" s="242">
        <f t="shared" si="2472"/>
        <v>0</v>
      </c>
      <c r="AAJ349" s="56"/>
      <c r="AAM349" s="55">
        <f t="shared" si="2473"/>
        <v>46320</v>
      </c>
      <c r="AAN349" s="56"/>
      <c r="AAO349" s="242">
        <f>SUMPRODUCT(PRODUCE!$B346:$DY346,PRODUCE!$EB$57:$IY$57)</f>
        <v>0</v>
      </c>
      <c r="AAP349" s="56"/>
      <c r="AAQ349" s="242">
        <f t="shared" si="2474"/>
        <v>0</v>
      </c>
      <c r="AAR349" s="242">
        <f t="shared" si="2475"/>
        <v>0</v>
      </c>
      <c r="AAS349" s="56"/>
      <c r="AAV349" s="55">
        <f t="shared" si="2476"/>
        <v>46320</v>
      </c>
      <c r="AAW349" s="56"/>
      <c r="AAX349" s="242">
        <f>SUMPRODUCT(PRODUCE!$B346:$DY346,PRODUCE!$EB$57:$IY$57)</f>
        <v>0</v>
      </c>
      <c r="AAY349" s="56"/>
      <c r="AAZ349" s="242">
        <f t="shared" si="2477"/>
        <v>0</v>
      </c>
      <c r="ABA349" s="242">
        <f t="shared" si="2478"/>
        <v>0</v>
      </c>
      <c r="ABB349" s="56"/>
      <c r="ABE349" s="55">
        <f t="shared" si="2479"/>
        <v>46320</v>
      </c>
      <c r="ABF349" s="56"/>
      <c r="ABG349" s="242">
        <f>SUMPRODUCT(PRODUCE!$B346:$DY346,PRODUCE!$EB$57:$IY$57)</f>
        <v>0</v>
      </c>
      <c r="ABH349" s="56"/>
      <c r="ABI349" s="242">
        <f t="shared" si="2480"/>
        <v>0</v>
      </c>
      <c r="ABJ349" s="242">
        <f t="shared" si="2481"/>
        <v>0</v>
      </c>
      <c r="ABK349" s="56"/>
    </row>
    <row r="350" spans="2:739" s="54" customFormat="1" ht="15" customHeight="1" outlineLevel="1">
      <c r="B350" s="478"/>
      <c r="C350" s="55">
        <v>46321</v>
      </c>
      <c r="D350" s="56"/>
      <c r="E350" s="57">
        <f>SUMPRODUCT(PRODUCE!$B347:$DY347,PRODUCE!$EB$7:$IY$7)</f>
        <v>0</v>
      </c>
      <c r="F350" s="56"/>
      <c r="G350" s="57">
        <f t="shared" si="2237"/>
        <v>0</v>
      </c>
      <c r="H350" s="57">
        <f t="shared" si="2238"/>
        <v>236936.6</v>
      </c>
      <c r="I350" s="289"/>
      <c r="L350" s="55">
        <f t="shared" si="2239"/>
        <v>46321</v>
      </c>
      <c r="M350" s="56"/>
      <c r="N350" s="59">
        <f>SUMPRODUCT(PRODUCE!$B347:$DY347,PRODUCE!$EB$8:$IY$8)</f>
        <v>0</v>
      </c>
      <c r="O350" s="56"/>
      <c r="P350" s="59">
        <f t="shared" si="2240"/>
        <v>0</v>
      </c>
      <c r="Q350" s="59">
        <f t="shared" si="2241"/>
        <v>53017.600000000071</v>
      </c>
      <c r="R350" s="56"/>
      <c r="U350" s="55">
        <f t="shared" si="2242"/>
        <v>46321</v>
      </c>
      <c r="V350" s="56"/>
      <c r="W350" s="60">
        <f>SUMPRODUCT(PRODUCE!$B347:$DY347,PRODUCE!$EB$9:$IY$9)</f>
        <v>0</v>
      </c>
      <c r="X350" s="56"/>
      <c r="Y350" s="60">
        <f t="shared" si="2243"/>
        <v>0</v>
      </c>
      <c r="Z350" s="60">
        <f t="shared" si="2244"/>
        <v>42674.199999999968</v>
      </c>
      <c r="AA350" s="56"/>
      <c r="AD350" s="55">
        <f t="shared" si="2245"/>
        <v>46321</v>
      </c>
      <c r="AE350" s="56"/>
      <c r="AF350" s="61">
        <f>SUMPRODUCT(PRODUCE!$B347:$DY347,PRODUCE!$EB$10:$IY$10)</f>
        <v>0</v>
      </c>
      <c r="AG350" s="56"/>
      <c r="AH350" s="61">
        <f t="shared" si="2246"/>
        <v>0</v>
      </c>
      <c r="AI350" s="61">
        <f t="shared" si="2247"/>
        <v>4522.2000000000189</v>
      </c>
      <c r="AJ350" s="56"/>
      <c r="AM350" s="55">
        <f t="shared" si="2248"/>
        <v>46321</v>
      </c>
      <c r="AN350" s="422"/>
      <c r="AO350" s="444">
        <f>SUMPRODUCT(PRODUCE!$B347:$DY347,PRODUCE!$EB$11:$IY$11)</f>
        <v>0</v>
      </c>
      <c r="AP350" s="422"/>
      <c r="AQ350" s="444">
        <f t="shared" si="2249"/>
        <v>0</v>
      </c>
      <c r="AR350" s="444">
        <f t="shared" si="2250"/>
        <v>0</v>
      </c>
      <c r="AS350" s="56"/>
      <c r="AV350" s="55">
        <f t="shared" si="2251"/>
        <v>46321</v>
      </c>
      <c r="AW350" s="56"/>
      <c r="AX350" s="62">
        <f>SUMPRODUCT(PRODUCE!$B347:$DY347,PRODUCE!$EB$12:$IY$12)</f>
        <v>0</v>
      </c>
      <c r="AY350" s="56"/>
      <c r="AZ350" s="62">
        <f t="shared" si="2252"/>
        <v>0</v>
      </c>
      <c r="BA350" s="62">
        <f t="shared" si="2253"/>
        <v>124.99999999999523</v>
      </c>
      <c r="BB350" s="56"/>
      <c r="BE350" s="55">
        <f t="shared" si="2254"/>
        <v>46321</v>
      </c>
      <c r="BF350" s="56"/>
      <c r="BG350" s="63">
        <f>SUMPRODUCT(PRODUCE!$B347:$DY347,PRODUCE!$EB$13:$IY$13)</f>
        <v>0</v>
      </c>
      <c r="BH350" s="56"/>
      <c r="BI350" s="63">
        <f t="shared" si="2255"/>
        <v>0</v>
      </c>
      <c r="BJ350" s="63">
        <f t="shared" si="2256"/>
        <v>26151.899999999998</v>
      </c>
      <c r="BK350" s="56"/>
      <c r="BN350" s="55">
        <f t="shared" si="2257"/>
        <v>46321</v>
      </c>
      <c r="BO350" s="56"/>
      <c r="BP350" s="64">
        <f>SUMPRODUCT(PRODUCE!$B347:$DY347,PRODUCE!$EB$14:$IY$14)</f>
        <v>0</v>
      </c>
      <c r="BQ350" s="56"/>
      <c r="BR350" s="64">
        <f t="shared" si="2258"/>
        <v>0</v>
      </c>
      <c r="BS350" s="64">
        <f t="shared" si="2259"/>
        <v>0</v>
      </c>
      <c r="BT350" s="56"/>
      <c r="BW350" s="55">
        <f t="shared" si="2260"/>
        <v>46321</v>
      </c>
      <c r="BX350" s="56"/>
      <c r="BY350" s="65">
        <f>SUMPRODUCT(PRODUCE!$B347:$DY347,PRODUCE!$EB$15:$IY$15)</f>
        <v>0</v>
      </c>
      <c r="BZ350" s="56"/>
      <c r="CA350" s="65">
        <f t="shared" si="2261"/>
        <v>0</v>
      </c>
      <c r="CB350" s="65">
        <f t="shared" si="2262"/>
        <v>2097.3399999999992</v>
      </c>
      <c r="CC350" s="56"/>
      <c r="CF350" s="55">
        <f t="shared" si="2263"/>
        <v>46321</v>
      </c>
      <c r="CG350" s="56"/>
      <c r="CH350" s="66">
        <f>SUMPRODUCT(PRODUCE!$B347:$DY347,PRODUCE!$EB$16:$IY$16)</f>
        <v>0</v>
      </c>
      <c r="CI350" s="56"/>
      <c r="CJ350" s="66">
        <f t="shared" si="2264"/>
        <v>0</v>
      </c>
      <c r="CK350" s="66">
        <f t="shared" si="2265"/>
        <v>-10277.079999999998</v>
      </c>
      <c r="CL350" s="56"/>
      <c r="CO350" s="55">
        <f t="shared" si="2266"/>
        <v>46321</v>
      </c>
      <c r="CP350" s="422"/>
      <c r="CQ350" s="470">
        <f>SUMPRODUCT(PRODUCE!$B347:$DY347,PRODUCE!$EB$17:$IY$17)</f>
        <v>0</v>
      </c>
      <c r="CR350" s="422"/>
      <c r="CS350" s="470">
        <f t="shared" si="2267"/>
        <v>0</v>
      </c>
      <c r="CT350" s="470">
        <f t="shared" si="2268"/>
        <v>0</v>
      </c>
      <c r="CU350" s="56"/>
      <c r="CX350" s="55">
        <f t="shared" si="2269"/>
        <v>46321</v>
      </c>
      <c r="CY350" s="56"/>
      <c r="CZ350" s="133">
        <f>SUMPRODUCT(PRODUCE!$B347:$DY347,PRODUCE!$EB$18:$IY$18)</f>
        <v>0</v>
      </c>
      <c r="DA350" s="56"/>
      <c r="DB350" s="133">
        <f t="shared" si="2270"/>
        <v>0</v>
      </c>
      <c r="DC350" s="133">
        <f t="shared" si="2271"/>
        <v>27438.200000000012</v>
      </c>
      <c r="DD350" s="56"/>
      <c r="DG350" s="55">
        <f t="shared" si="2272"/>
        <v>46321</v>
      </c>
      <c r="DH350" s="56"/>
      <c r="DI350" s="147">
        <f>SUMPRODUCT(PRODUCE!$B347:$DY347,PRODUCE!$EB$19:$IY$19)</f>
        <v>0</v>
      </c>
      <c r="DJ350" s="56"/>
      <c r="DK350" s="147">
        <f t="shared" si="2273"/>
        <v>0</v>
      </c>
      <c r="DL350" s="147">
        <f t="shared" si="2274"/>
        <v>18782.299999999981</v>
      </c>
      <c r="DM350" s="56"/>
      <c r="DP350" s="55">
        <f t="shared" si="2275"/>
        <v>46321</v>
      </c>
      <c r="DQ350" s="56"/>
      <c r="DR350" s="57">
        <f>SUMPRODUCT(PRODUCE!$B347:$DY347,PRODUCE!$EB$20:$IY$20)</f>
        <v>0</v>
      </c>
      <c r="DS350" s="56"/>
      <c r="DT350" s="57">
        <f t="shared" si="2276"/>
        <v>0</v>
      </c>
      <c r="DU350" s="57">
        <f t="shared" si="2277"/>
        <v>5800</v>
      </c>
      <c r="DV350" s="56"/>
      <c r="DY350" s="55">
        <f t="shared" si="2278"/>
        <v>46321</v>
      </c>
      <c r="DZ350" s="56"/>
      <c r="EA350" s="157">
        <f>SUMPRODUCT(PRODUCE!$B347:$DY347,PRODUCE!$EB$21:$IY$21)</f>
        <v>0</v>
      </c>
      <c r="EB350" s="56"/>
      <c r="EC350" s="157">
        <f t="shared" si="2279"/>
        <v>0</v>
      </c>
      <c r="ED350" s="157">
        <f t="shared" si="2280"/>
        <v>0</v>
      </c>
      <c r="EE350" s="56"/>
      <c r="EH350" s="55">
        <f t="shared" si="2281"/>
        <v>46321</v>
      </c>
      <c r="EI350" s="56"/>
      <c r="EJ350" s="162">
        <f>SUMPRODUCT(PRODUCE!$B347:$DY347,PRODUCE!$EB$22:$IY$22)</f>
        <v>0</v>
      </c>
      <c r="EK350" s="56"/>
      <c r="EL350" s="162">
        <f t="shared" si="2282"/>
        <v>0</v>
      </c>
      <c r="EM350" s="162">
        <f t="shared" si="2283"/>
        <v>0</v>
      </c>
      <c r="EN350" s="56"/>
      <c r="EQ350" s="55">
        <f t="shared" si="2284"/>
        <v>46321</v>
      </c>
      <c r="ER350" s="56"/>
      <c r="ES350" s="135">
        <f>SUMPRODUCT(PRODUCE!$B347:$DY347,PRODUCE!$EB$23:$IY$23)</f>
        <v>0</v>
      </c>
      <c r="ET350" s="56"/>
      <c r="EU350" s="135">
        <f t="shared" si="2285"/>
        <v>0</v>
      </c>
      <c r="EV350" s="135">
        <f t="shared" si="2286"/>
        <v>0</v>
      </c>
      <c r="EW350" s="56"/>
      <c r="EZ350" s="55">
        <f t="shared" si="2287"/>
        <v>46321</v>
      </c>
      <c r="FA350" s="56"/>
      <c r="FB350" s="175">
        <f>SUMPRODUCT(PRODUCE!$B347:$DY347,PRODUCE!$EB$24:$IY$24)</f>
        <v>0</v>
      </c>
      <c r="FC350" s="56"/>
      <c r="FD350" s="175">
        <f t="shared" si="2288"/>
        <v>0</v>
      </c>
      <c r="FE350" s="175">
        <f t="shared" si="2289"/>
        <v>0</v>
      </c>
      <c r="FF350" s="56"/>
      <c r="FI350" s="55">
        <f t="shared" si="2290"/>
        <v>46321</v>
      </c>
      <c r="FJ350" s="56"/>
      <c r="FK350" s="183">
        <f>SUMPRODUCT(PRODUCE!$B347:$DY347,PRODUCE!$EB$25:$IY$25)</f>
        <v>0</v>
      </c>
      <c r="FL350" s="56"/>
      <c r="FM350" s="183">
        <f t="shared" si="2291"/>
        <v>0</v>
      </c>
      <c r="FN350" s="183">
        <f t="shared" si="2292"/>
        <v>0</v>
      </c>
      <c r="FO350" s="56"/>
      <c r="FR350" s="55">
        <f t="shared" si="2293"/>
        <v>46321</v>
      </c>
      <c r="FS350" s="56"/>
      <c r="FT350" s="186">
        <f>SUMPRODUCT(PRODUCE!$B347:$DY347,PRODUCE!$EB$26:$IY$26)</f>
        <v>0</v>
      </c>
      <c r="FU350" s="56"/>
      <c r="FV350" s="186">
        <f t="shared" si="2294"/>
        <v>0</v>
      </c>
      <c r="FW350" s="186">
        <f t="shared" si="2295"/>
        <v>2020</v>
      </c>
      <c r="FX350" s="56"/>
      <c r="GA350" s="55">
        <f t="shared" si="2296"/>
        <v>46321</v>
      </c>
      <c r="GB350" s="56"/>
      <c r="GC350" s="137">
        <f>SUMPRODUCT(PRODUCE!$B347:$DY347,PRODUCE!$EB$27:$IY$27)</f>
        <v>0</v>
      </c>
      <c r="GD350" s="56"/>
      <c r="GE350" s="137">
        <f t="shared" si="2297"/>
        <v>0</v>
      </c>
      <c r="GF350" s="137">
        <f t="shared" si="2298"/>
        <v>960</v>
      </c>
      <c r="GG350" s="56"/>
      <c r="GI350" s="23"/>
      <c r="GJ350" s="55">
        <f t="shared" si="2299"/>
        <v>46321</v>
      </c>
      <c r="GK350" s="56"/>
      <c r="GL350" s="199">
        <f>SUMPRODUCT(PRODUCE!$B347:$DY347,PRODUCE!$EB$28:$IY$28)</f>
        <v>0</v>
      </c>
      <c r="GM350" s="56"/>
      <c r="GN350" s="199">
        <f t="shared" si="2300"/>
        <v>0</v>
      </c>
      <c r="GO350" s="199">
        <f t="shared" si="2301"/>
        <v>1760</v>
      </c>
      <c r="GP350" s="56"/>
      <c r="GS350" s="55">
        <f t="shared" si="2302"/>
        <v>46321</v>
      </c>
      <c r="GT350" s="56"/>
      <c r="GU350" s="195">
        <f>SUMPRODUCT(PRODUCE!$B347:$DY347,PRODUCE!$EB$29:$IY$29)</f>
        <v>0</v>
      </c>
      <c r="GV350" s="56"/>
      <c r="GW350" s="195">
        <f t="shared" si="2303"/>
        <v>0</v>
      </c>
      <c r="GX350" s="195">
        <f t="shared" si="2304"/>
        <v>400</v>
      </c>
      <c r="GY350" s="56"/>
      <c r="HB350" s="55">
        <f t="shared" si="2305"/>
        <v>46321</v>
      </c>
      <c r="HC350" s="56"/>
      <c r="HD350" s="191">
        <f>SUMPRODUCT(PRODUCE!$B347:$DY347,PRODUCE!$EB$30:$IY$30)</f>
        <v>0</v>
      </c>
      <c r="HE350" s="56"/>
      <c r="HF350" s="191">
        <f t="shared" si="2306"/>
        <v>0</v>
      </c>
      <c r="HG350" s="191">
        <f t="shared" si="2307"/>
        <v>3600</v>
      </c>
      <c r="HH350" s="56"/>
      <c r="HK350" s="55">
        <f t="shared" si="2308"/>
        <v>46321</v>
      </c>
      <c r="HL350" s="56"/>
      <c r="HM350" s="63">
        <f>SUMPRODUCT(PRODUCE!$B347:$DY347,PRODUCE!$EB$31:$IY$31)</f>
        <v>0</v>
      </c>
      <c r="HN350" s="56"/>
      <c r="HO350" s="63">
        <f t="shared" si="2309"/>
        <v>0</v>
      </c>
      <c r="HP350" s="63">
        <f t="shared" si="2310"/>
        <v>0</v>
      </c>
      <c r="HQ350" s="56"/>
      <c r="HU350" s="55">
        <f t="shared" si="2311"/>
        <v>46321</v>
      </c>
      <c r="HV350" s="56"/>
      <c r="HW350" s="242">
        <f>SUMPRODUCT(PRODUCE!$B347:$DY347,PRODUCE!$EB$32:$IY$32)</f>
        <v>0</v>
      </c>
      <c r="HX350" s="56"/>
      <c r="HY350" s="242">
        <f t="shared" si="2312"/>
        <v>0</v>
      </c>
      <c r="HZ350" s="242">
        <f t="shared" si="2313"/>
        <v>6120</v>
      </c>
      <c r="IA350" s="56"/>
      <c r="ID350" s="55">
        <f t="shared" si="2314"/>
        <v>46321</v>
      </c>
      <c r="IE350" s="56"/>
      <c r="IF350" s="242">
        <f>SUMPRODUCT(PRODUCE!$B347:$DY347,PRODUCE!$EB$33:$IY$33)</f>
        <v>0</v>
      </c>
      <c r="IG350" s="56"/>
      <c r="IH350" s="242">
        <f t="shared" si="2315"/>
        <v>0</v>
      </c>
      <c r="II350" s="242">
        <f t="shared" si="2316"/>
        <v>0</v>
      </c>
      <c r="IJ350" s="56"/>
      <c r="IM350" s="55">
        <f t="shared" si="2317"/>
        <v>46321</v>
      </c>
      <c r="IN350" s="56"/>
      <c r="IO350" s="242">
        <f>SUMPRODUCT(PRODUCE!$B347:$DY347,PRODUCE!$EB$34:$IY$34)</f>
        <v>0</v>
      </c>
      <c r="IP350" s="56"/>
      <c r="IQ350" s="242">
        <f t="shared" si="2318"/>
        <v>0</v>
      </c>
      <c r="IR350" s="242">
        <f t="shared" si="2319"/>
        <v>0</v>
      </c>
      <c r="IS350" s="56"/>
      <c r="IV350" s="55">
        <f t="shared" si="2320"/>
        <v>46321</v>
      </c>
      <c r="IW350" s="56"/>
      <c r="IX350" s="242">
        <f>SUMPRODUCT(PRODUCE!$B347:$DY347,PRODUCE!$EB$35:$IY$35)</f>
        <v>0</v>
      </c>
      <c r="IY350" s="56"/>
      <c r="IZ350" s="242">
        <f t="shared" si="2321"/>
        <v>0</v>
      </c>
      <c r="JA350" s="242">
        <f t="shared" si="2322"/>
        <v>2820</v>
      </c>
      <c r="JB350" s="56"/>
      <c r="JE350" s="55">
        <f t="shared" si="2323"/>
        <v>46321</v>
      </c>
      <c r="JF350" s="56"/>
      <c r="JG350" s="242">
        <f>SUMPRODUCT(PRODUCE!$B347:$DY347,PRODUCE!$EB$36:$IY$36)</f>
        <v>0</v>
      </c>
      <c r="JH350" s="56"/>
      <c r="JI350" s="242">
        <f t="shared" si="2324"/>
        <v>0</v>
      </c>
      <c r="JJ350" s="242">
        <f t="shared" si="2325"/>
        <v>0</v>
      </c>
      <c r="JK350" s="56"/>
      <c r="JN350" s="55">
        <f t="shared" si="2326"/>
        <v>46321</v>
      </c>
      <c r="JO350" s="56"/>
      <c r="JP350" s="242">
        <f>SUMPRODUCT(PRODUCE!$B347:$DY347,PRODUCE!$EB$37:$IY$37)</f>
        <v>0</v>
      </c>
      <c r="JQ350" s="56"/>
      <c r="JR350" s="242">
        <f t="shared" si="2327"/>
        <v>0</v>
      </c>
      <c r="JS350" s="242">
        <f t="shared" si="2328"/>
        <v>0</v>
      </c>
      <c r="JT350" s="56"/>
      <c r="JW350" s="55">
        <f t="shared" si="2329"/>
        <v>46321</v>
      </c>
      <c r="JX350" s="56"/>
      <c r="JY350" s="242">
        <f>SUMPRODUCT(PRODUCE!$B347:$DY347,PRODUCE!$EB$38:$IY$38)</f>
        <v>0</v>
      </c>
      <c r="JZ350" s="56"/>
      <c r="KA350" s="242">
        <f t="shared" si="2330"/>
        <v>0</v>
      </c>
      <c r="KB350" s="242">
        <f t="shared" si="2331"/>
        <v>2540</v>
      </c>
      <c r="KC350" s="56"/>
      <c r="KF350" s="55">
        <f t="shared" si="2332"/>
        <v>46321</v>
      </c>
      <c r="KG350" s="56"/>
      <c r="KH350" s="242">
        <f>SUMPRODUCT(PRODUCE!$B347:$DY347,PRODUCE!$EB$39:$IY$39)</f>
        <v>0</v>
      </c>
      <c r="KI350" s="56"/>
      <c r="KJ350" s="242">
        <f t="shared" si="2333"/>
        <v>0</v>
      </c>
      <c r="KK350" s="242">
        <f t="shared" si="2334"/>
        <v>2359.5</v>
      </c>
      <c r="KL350" s="56"/>
      <c r="KO350" s="55">
        <f t="shared" si="2335"/>
        <v>46321</v>
      </c>
      <c r="KP350" s="56"/>
      <c r="KQ350" s="242">
        <f>SUMPRODUCT(PRODUCE!$B347:$DY347,PRODUCE!$EB$40:$IY$40)</f>
        <v>0</v>
      </c>
      <c r="KR350" s="56"/>
      <c r="KS350" s="242">
        <f t="shared" si="2336"/>
        <v>0</v>
      </c>
      <c r="KT350" s="242">
        <f t="shared" si="2337"/>
        <v>1890</v>
      </c>
      <c r="KU350" s="56"/>
      <c r="KW350" s="23"/>
      <c r="KX350" s="55">
        <f t="shared" si="2338"/>
        <v>46321</v>
      </c>
      <c r="KY350" s="56"/>
      <c r="KZ350" s="242">
        <f>SUMPRODUCT(PRODUCE!$B347:$DY347,PRODUCE!$EB$41:$IY$41)</f>
        <v>0</v>
      </c>
      <c r="LA350" s="56"/>
      <c r="LB350" s="242">
        <f t="shared" si="2339"/>
        <v>0</v>
      </c>
      <c r="LC350" s="242">
        <f t="shared" si="2340"/>
        <v>3690</v>
      </c>
      <c r="LD350" s="56"/>
      <c r="LG350" s="55">
        <f t="shared" si="2341"/>
        <v>46321</v>
      </c>
      <c r="LH350" s="56"/>
      <c r="LI350" s="242">
        <f>SUMPRODUCT(PRODUCE!$B347:$DY347,PRODUCE!$EB$42:$IY$42)</f>
        <v>0</v>
      </c>
      <c r="LJ350" s="56"/>
      <c r="LK350" s="242">
        <f t="shared" si="2342"/>
        <v>0</v>
      </c>
      <c r="LL350" s="242">
        <f t="shared" si="2343"/>
        <v>4000</v>
      </c>
      <c r="LM350" s="56"/>
      <c r="LP350" s="55">
        <f t="shared" si="2344"/>
        <v>46321</v>
      </c>
      <c r="LQ350" s="56"/>
      <c r="LR350" s="242">
        <f>SUMPRODUCT(PRODUCE!$B347:$DY347,PRODUCE!$EB$43:$IY$43)</f>
        <v>0</v>
      </c>
      <c r="LS350" s="56"/>
      <c r="LT350" s="242">
        <f t="shared" si="2345"/>
        <v>0</v>
      </c>
      <c r="LU350" s="242">
        <f t="shared" si="2346"/>
        <v>0</v>
      </c>
      <c r="LV350" s="56"/>
      <c r="LY350" s="55">
        <f t="shared" si="2347"/>
        <v>46321</v>
      </c>
      <c r="LZ350" s="56"/>
      <c r="MA350" s="242">
        <f>SUMPRODUCT(PRODUCE!$B347:$DY347,PRODUCE!$EB$44:$IY$44)</f>
        <v>0</v>
      </c>
      <c r="MB350" s="56"/>
      <c r="MC350" s="242">
        <f t="shared" si="2348"/>
        <v>0</v>
      </c>
      <c r="MD350" s="242">
        <f t="shared" si="2349"/>
        <v>0</v>
      </c>
      <c r="ME350" s="56"/>
      <c r="MH350" s="55">
        <f t="shared" si="2350"/>
        <v>46321</v>
      </c>
      <c r="MI350" s="56"/>
      <c r="MJ350" s="242">
        <f>SUMPRODUCT(PRODUCE!$B347:$DY347,PRODUCE!$EB$45:$IY$45)</f>
        <v>0</v>
      </c>
      <c r="MK350" s="56"/>
      <c r="ML350" s="242">
        <f t="shared" si="2351"/>
        <v>0</v>
      </c>
      <c r="MM350" s="242">
        <f t="shared" si="2352"/>
        <v>0</v>
      </c>
      <c r="MN350" s="56"/>
      <c r="MQ350" s="55">
        <f t="shared" si="2353"/>
        <v>46321</v>
      </c>
      <c r="MR350" s="56"/>
      <c r="MS350" s="242">
        <f>SUMPRODUCT(PRODUCE!$B347:$DY347,PRODUCE!$EB$46:$IY$46)</f>
        <v>0</v>
      </c>
      <c r="MT350" s="56"/>
      <c r="MU350" s="242">
        <f t="shared" si="2354"/>
        <v>0</v>
      </c>
      <c r="MV350" s="242">
        <f t="shared" si="2355"/>
        <v>1625</v>
      </c>
      <c r="MW350" s="56"/>
      <c r="MZ350" s="55">
        <f t="shared" si="2356"/>
        <v>46321</v>
      </c>
      <c r="NA350" s="56"/>
      <c r="NB350" s="242">
        <f>SUMPRODUCT(PRODUCE!$B347:$DY347,PRODUCE!$EB$47:$IY$47)</f>
        <v>0</v>
      </c>
      <c r="NC350" s="56"/>
      <c r="ND350" s="242">
        <f t="shared" si="2357"/>
        <v>0</v>
      </c>
      <c r="NE350" s="242">
        <f t="shared" si="2358"/>
        <v>0</v>
      </c>
      <c r="NF350" s="56"/>
      <c r="NI350" s="55">
        <f t="shared" si="2359"/>
        <v>46321</v>
      </c>
      <c r="NJ350" s="56"/>
      <c r="NK350" s="242">
        <f>SUMPRODUCT(PRODUCE!$B347:$DY347,PRODUCE!$EB$48:$IY$48)</f>
        <v>0</v>
      </c>
      <c r="NL350" s="56"/>
      <c r="NM350" s="242">
        <f t="shared" si="2360"/>
        <v>0</v>
      </c>
      <c r="NN350" s="242">
        <f t="shared" si="2361"/>
        <v>1127</v>
      </c>
      <c r="NO350" s="56"/>
      <c r="NR350" s="55">
        <f t="shared" si="2362"/>
        <v>46321</v>
      </c>
      <c r="NS350" s="56"/>
      <c r="NT350" s="242">
        <f>SUMPRODUCT(PRODUCE!$B347:$DY347,PRODUCE!$EB$49:$IY$49)</f>
        <v>0</v>
      </c>
      <c r="NU350" s="56"/>
      <c r="NV350" s="242">
        <f t="shared" si="2363"/>
        <v>0</v>
      </c>
      <c r="NW350" s="242">
        <f t="shared" si="2364"/>
        <v>3111.9999999999995</v>
      </c>
      <c r="NX350" s="56"/>
      <c r="OA350" s="55">
        <f t="shared" si="2365"/>
        <v>46321</v>
      </c>
      <c r="OB350" s="56"/>
      <c r="OC350" s="242">
        <f>SUMPRODUCT(PRODUCE!$B347:$DY347,PRODUCE!$EB$50:$IY$50)</f>
        <v>0</v>
      </c>
      <c r="OD350" s="56"/>
      <c r="OE350" s="242">
        <f t="shared" si="2366"/>
        <v>0</v>
      </c>
      <c r="OF350" s="242">
        <f t="shared" si="2367"/>
        <v>1680.5</v>
      </c>
      <c r="OG350" s="56"/>
      <c r="OJ350" s="55">
        <f t="shared" si="2368"/>
        <v>46321</v>
      </c>
      <c r="OK350" s="56"/>
      <c r="OL350" s="242">
        <f>SUMPRODUCT(PRODUCE!$B347:$DY347,PRODUCE!$EB$51:$IY$51)</f>
        <v>0</v>
      </c>
      <c r="OM350" s="56"/>
      <c r="ON350" s="242">
        <f t="shared" si="2369"/>
        <v>0</v>
      </c>
      <c r="OO350" s="242">
        <f t="shared" si="2370"/>
        <v>0</v>
      </c>
      <c r="OP350" s="56"/>
      <c r="OS350" s="55">
        <f t="shared" si="2371"/>
        <v>46321</v>
      </c>
      <c r="OT350" s="56"/>
      <c r="OU350" s="242">
        <f>SUMPRODUCT(PRODUCE!$B347:$DY347,PRODUCE!$EB$52:$IY$52)</f>
        <v>0</v>
      </c>
      <c r="OV350" s="56"/>
      <c r="OW350" s="242">
        <f t="shared" si="2372"/>
        <v>0</v>
      </c>
      <c r="OX350" s="242">
        <f t="shared" si="2373"/>
        <v>1482</v>
      </c>
      <c r="OY350" s="56"/>
      <c r="PB350" s="55">
        <f t="shared" si="2374"/>
        <v>46321</v>
      </c>
      <c r="PC350" s="56"/>
      <c r="PD350" s="242">
        <f>SUMPRODUCT(PRODUCE!$B347:$DY347,PRODUCE!$EB$53:$IY$53)</f>
        <v>0</v>
      </c>
      <c r="PE350" s="56"/>
      <c r="PF350" s="242">
        <f t="shared" si="2375"/>
        <v>0</v>
      </c>
      <c r="PG350" s="242">
        <f t="shared" si="2376"/>
        <v>0</v>
      </c>
      <c r="PH350" s="56"/>
      <c r="PK350" s="55">
        <f t="shared" si="2377"/>
        <v>46321</v>
      </c>
      <c r="PL350" s="56"/>
      <c r="PM350" s="242">
        <f>SUMPRODUCT(PRODUCE!$B347:$DY347,PRODUCE!$EB$54:$IY$54)</f>
        <v>0</v>
      </c>
      <c r="PN350" s="56"/>
      <c r="PO350" s="242">
        <f t="shared" si="2378"/>
        <v>0</v>
      </c>
      <c r="PP350" s="242">
        <f t="shared" si="2379"/>
        <v>100</v>
      </c>
      <c r="PQ350" s="56"/>
      <c r="PT350" s="55">
        <f t="shared" si="2380"/>
        <v>46321</v>
      </c>
      <c r="PU350" s="56"/>
      <c r="PV350" s="242">
        <f>SUMPRODUCT(PRODUCE!$B347:$DY347,PRODUCE!$EB$55:$IY$55)</f>
        <v>0</v>
      </c>
      <c r="PW350" s="56"/>
      <c r="PX350" s="242">
        <f t="shared" si="2381"/>
        <v>0</v>
      </c>
      <c r="PY350" s="242">
        <f t="shared" si="2382"/>
        <v>13.960000000000036</v>
      </c>
      <c r="PZ350" s="56"/>
      <c r="QC350" s="55">
        <f t="shared" si="2383"/>
        <v>46321</v>
      </c>
      <c r="QD350" s="56"/>
      <c r="QE350" s="242">
        <f>SUMPRODUCT(PRODUCE!$B347:$DY347,PRODUCE!$EB$56:$IY$56)</f>
        <v>0</v>
      </c>
      <c r="QF350" s="56"/>
      <c r="QG350" s="242">
        <f t="shared" si="2384"/>
        <v>0</v>
      </c>
      <c r="QH350" s="242">
        <f t="shared" si="2385"/>
        <v>548</v>
      </c>
      <c r="QI350" s="56"/>
      <c r="QL350" s="55">
        <f t="shared" si="2386"/>
        <v>46321</v>
      </c>
      <c r="QM350" s="56"/>
      <c r="QN350" s="242">
        <f>SUMPRODUCT(PRODUCE!$B347:$DY347,PRODUCE!$EB$57:$IY$57)</f>
        <v>0</v>
      </c>
      <c r="QO350" s="56"/>
      <c r="QP350" s="242">
        <f t="shared" si="2387"/>
        <v>0</v>
      </c>
      <c r="QQ350" s="242">
        <f t="shared" si="2388"/>
        <v>0</v>
      </c>
      <c r="QR350" s="56"/>
      <c r="QU350" s="55">
        <f t="shared" si="2389"/>
        <v>46321</v>
      </c>
      <c r="QV350" s="56"/>
      <c r="QW350" s="242">
        <f>SUMPRODUCT(PRODUCE!$B347:$DY347,PRODUCE!$EB$57:$IY$57)</f>
        <v>0</v>
      </c>
      <c r="QX350" s="56"/>
      <c r="QY350" s="242">
        <f t="shared" si="2390"/>
        <v>0</v>
      </c>
      <c r="QZ350" s="242">
        <f t="shared" si="2391"/>
        <v>0</v>
      </c>
      <c r="RA350" s="56"/>
      <c r="RD350" s="55">
        <f t="shared" si="2392"/>
        <v>46321</v>
      </c>
      <c r="RE350" s="56"/>
      <c r="RF350" s="242">
        <f>SUMPRODUCT(PRODUCE!$B347:$DY347,PRODUCE!$EB$58:$IY$58)</f>
        <v>0</v>
      </c>
      <c r="RG350" s="56"/>
      <c r="RH350" s="242">
        <f t="shared" si="2393"/>
        <v>0</v>
      </c>
      <c r="RI350" s="242">
        <f t="shared" si="2394"/>
        <v>147.04000000000002</v>
      </c>
      <c r="RJ350" s="56"/>
      <c r="RM350" s="55">
        <f t="shared" si="2395"/>
        <v>46321</v>
      </c>
      <c r="RN350" s="56"/>
      <c r="RO350" s="242">
        <f>SUMPRODUCT(PRODUCE!$B347:$DY347,PRODUCE!$EB$57:$IY$57)</f>
        <v>0</v>
      </c>
      <c r="RP350" s="56"/>
      <c r="RQ350" s="242">
        <f t="shared" si="2396"/>
        <v>0</v>
      </c>
      <c r="RR350" s="242">
        <f t="shared" si="2397"/>
        <v>46.8</v>
      </c>
      <c r="RS350" s="56"/>
      <c r="RV350" s="55">
        <f t="shared" si="2398"/>
        <v>46321</v>
      </c>
      <c r="RW350" s="56"/>
      <c r="RX350" s="242">
        <f>SUMPRODUCT(PRODUCE!$B347:$DY347,PRODUCE!$EB$57:$IY$57)</f>
        <v>0</v>
      </c>
      <c r="RY350" s="56"/>
      <c r="RZ350" s="242">
        <f t="shared" si="2399"/>
        <v>0</v>
      </c>
      <c r="SA350" s="242">
        <f t="shared" si="2400"/>
        <v>0</v>
      </c>
      <c r="SB350" s="56"/>
      <c r="SE350" s="55">
        <f t="shared" si="2401"/>
        <v>46321</v>
      </c>
      <c r="SF350" s="56"/>
      <c r="SG350" s="242">
        <f>SUMPRODUCT(PRODUCE!$B347:$DY347,PRODUCE!$EB$61:$IY$61)</f>
        <v>0</v>
      </c>
      <c r="SH350" s="56"/>
      <c r="SI350" s="242">
        <f t="shared" si="2402"/>
        <v>0</v>
      </c>
      <c r="SJ350" s="242">
        <f t="shared" si="2403"/>
        <v>24.200000000000003</v>
      </c>
      <c r="SK350" s="56"/>
      <c r="SN350" s="55">
        <f t="shared" si="2404"/>
        <v>46321</v>
      </c>
      <c r="SO350" s="56"/>
      <c r="SP350" s="242">
        <f>SUMPRODUCT(PRODUCE!$B347:$DY347,PRODUCE!$EB$57:$IY$57)</f>
        <v>0</v>
      </c>
      <c r="SQ350" s="56"/>
      <c r="SR350" s="242">
        <f t="shared" si="2405"/>
        <v>0</v>
      </c>
      <c r="SS350" s="242">
        <f t="shared" si="2406"/>
        <v>32</v>
      </c>
      <c r="ST350" s="56"/>
      <c r="SW350" s="55">
        <f t="shared" si="2407"/>
        <v>46321</v>
      </c>
      <c r="SX350" s="56"/>
      <c r="SY350" s="242">
        <f>SUMPRODUCT(PRODUCE!$B347:$DY347,PRODUCE!$EB$57:$IY$57)</f>
        <v>0</v>
      </c>
      <c r="SZ350" s="56"/>
      <c r="TA350" s="242">
        <f t="shared" si="2408"/>
        <v>0</v>
      </c>
      <c r="TB350" s="242">
        <f t="shared" si="2409"/>
        <v>0</v>
      </c>
      <c r="TC350" s="56"/>
      <c r="TF350" s="55">
        <f t="shared" si="2410"/>
        <v>46321</v>
      </c>
      <c r="TG350" s="56"/>
      <c r="TH350" s="242">
        <f>SUMPRODUCT(PRODUCE!$B347:$DY347,PRODUCE!$EB$57:$IY$57)</f>
        <v>0</v>
      </c>
      <c r="TI350" s="56"/>
      <c r="TJ350" s="242">
        <f t="shared" si="2411"/>
        <v>0</v>
      </c>
      <c r="TK350" s="242">
        <f t="shared" si="2412"/>
        <v>0</v>
      </c>
      <c r="TL350" s="56"/>
      <c r="TO350" s="55">
        <f t="shared" si="2413"/>
        <v>46321</v>
      </c>
      <c r="TP350" s="56"/>
      <c r="TQ350" s="242">
        <f>SUMPRODUCT(PRODUCE!$B347:$DY347,PRODUCE!$EB$57:$IY$57)</f>
        <v>0</v>
      </c>
      <c r="TR350" s="56"/>
      <c r="TS350" s="242">
        <f t="shared" si="2414"/>
        <v>0</v>
      </c>
      <c r="TT350" s="242">
        <f t="shared" si="2415"/>
        <v>0</v>
      </c>
      <c r="TU350" s="56"/>
      <c r="TX350" s="55">
        <f t="shared" si="2416"/>
        <v>46321</v>
      </c>
      <c r="TY350" s="56"/>
      <c r="TZ350" s="242">
        <f>SUMPRODUCT(PRODUCE!$B347:$DY347,PRODUCE!$EB$57:$IY$57)</f>
        <v>0</v>
      </c>
      <c r="UA350" s="56"/>
      <c r="UB350" s="242">
        <f t="shared" si="2417"/>
        <v>0</v>
      </c>
      <c r="UC350" s="242">
        <f t="shared" si="2418"/>
        <v>46.799999999999983</v>
      </c>
      <c r="UD350" s="56"/>
      <c r="UG350" s="55">
        <f t="shared" si="2419"/>
        <v>46321</v>
      </c>
      <c r="UH350" s="56"/>
      <c r="UI350" s="242">
        <f>SUMPRODUCT(PRODUCE!$B347:$DY347,PRODUCE!$EB$57:$IY$57)</f>
        <v>0</v>
      </c>
      <c r="UJ350" s="56"/>
      <c r="UK350" s="242">
        <f t="shared" si="2420"/>
        <v>0</v>
      </c>
      <c r="UL350" s="242">
        <f t="shared" si="2421"/>
        <v>204</v>
      </c>
      <c r="UM350" s="56"/>
      <c r="UP350" s="55">
        <f t="shared" si="2422"/>
        <v>46321</v>
      </c>
      <c r="UQ350" s="56"/>
      <c r="UR350" s="242">
        <f>SUMPRODUCT(PRODUCE!$B347:$DY347,PRODUCE!$EB$57:$IY$57)</f>
        <v>0</v>
      </c>
      <c r="US350" s="56"/>
      <c r="UT350" s="242">
        <f t="shared" si="2423"/>
        <v>0</v>
      </c>
      <c r="UU350" s="242">
        <f t="shared" si="2424"/>
        <v>202.5</v>
      </c>
      <c r="UV350" s="56"/>
      <c r="UY350" s="55">
        <f t="shared" si="2425"/>
        <v>46321</v>
      </c>
      <c r="UZ350" s="56"/>
      <c r="VA350" s="242">
        <f>SUMPRODUCT(PRODUCE!$B347:$DY347,PRODUCE!$EB$57:$IY$57)</f>
        <v>0</v>
      </c>
      <c r="VB350" s="56"/>
      <c r="VC350" s="242">
        <f t="shared" si="2426"/>
        <v>0</v>
      </c>
      <c r="VD350" s="242">
        <f t="shared" si="2427"/>
        <v>41.600000000000023</v>
      </c>
      <c r="VE350" s="56"/>
      <c r="VH350" s="55">
        <f t="shared" si="2428"/>
        <v>46321</v>
      </c>
      <c r="VI350" s="56"/>
      <c r="VJ350" s="242">
        <f>SUMPRODUCT(PRODUCE!$B347:$DY347,PRODUCE!$EB$57:$IY$57)</f>
        <v>0</v>
      </c>
      <c r="VK350" s="56"/>
      <c r="VL350" s="242">
        <f t="shared" si="2429"/>
        <v>0</v>
      </c>
      <c r="VM350" s="242">
        <f t="shared" si="2430"/>
        <v>210</v>
      </c>
      <c r="VN350" s="56"/>
      <c r="VQ350" s="55">
        <f t="shared" si="2431"/>
        <v>46321</v>
      </c>
      <c r="VR350" s="56"/>
      <c r="VS350" s="242">
        <f>SUMPRODUCT(PRODUCE!$B347:$DY347,PRODUCE!$EB$57:$IY$57)</f>
        <v>0</v>
      </c>
      <c r="VT350" s="56"/>
      <c r="VU350" s="242">
        <f t="shared" si="2432"/>
        <v>0</v>
      </c>
      <c r="VV350" s="242">
        <f t="shared" si="2433"/>
        <v>0</v>
      </c>
      <c r="VW350" s="56"/>
      <c r="VZ350" s="55">
        <f t="shared" si="2434"/>
        <v>46321</v>
      </c>
      <c r="WA350" s="56"/>
      <c r="WB350" s="242">
        <f>SUMPRODUCT(PRODUCE!$B347:$DY347,PRODUCE!$EB$57:$IY$57)</f>
        <v>0</v>
      </c>
      <c r="WC350" s="56"/>
      <c r="WD350" s="242">
        <f t="shared" si="2435"/>
        <v>0</v>
      </c>
      <c r="WE350" s="242">
        <f t="shared" si="2436"/>
        <v>0</v>
      </c>
      <c r="WF350" s="56"/>
      <c r="WI350" s="55">
        <f t="shared" si="2437"/>
        <v>46321</v>
      </c>
      <c r="WJ350" s="56"/>
      <c r="WK350" s="242">
        <f>SUMPRODUCT(PRODUCE!$B347:$DY347,PRODUCE!$EB$57:$IY$57)</f>
        <v>0</v>
      </c>
      <c r="WL350" s="56"/>
      <c r="WM350" s="242">
        <f t="shared" si="2438"/>
        <v>0</v>
      </c>
      <c r="WN350" s="242">
        <f t="shared" si="2439"/>
        <v>1057</v>
      </c>
      <c r="WO350" s="56"/>
      <c r="WR350" s="55">
        <f t="shared" si="2440"/>
        <v>46321</v>
      </c>
      <c r="WS350" s="56"/>
      <c r="WT350" s="242">
        <f>SUMPRODUCT(PRODUCE!$B347:$DY347,PRODUCE!$EB$57:$IY$57)</f>
        <v>0</v>
      </c>
      <c r="WU350" s="56"/>
      <c r="WV350" s="242">
        <f t="shared" si="2441"/>
        <v>0</v>
      </c>
      <c r="WW350" s="242">
        <f t="shared" si="2442"/>
        <v>0</v>
      </c>
      <c r="WX350" s="56"/>
      <c r="XA350" s="55">
        <f t="shared" si="2443"/>
        <v>46321</v>
      </c>
      <c r="XB350" s="56"/>
      <c r="XC350" s="242">
        <f>SUMPRODUCT(PRODUCE!$B347:$DY347,PRODUCE!$EB$57:$IY$57)</f>
        <v>0</v>
      </c>
      <c r="XD350" s="56"/>
      <c r="XE350" s="242">
        <f t="shared" si="2444"/>
        <v>0</v>
      </c>
      <c r="XF350" s="242">
        <f t="shared" si="2445"/>
        <v>7507</v>
      </c>
      <c r="XG350" s="56"/>
      <c r="XJ350" s="55">
        <f t="shared" si="2446"/>
        <v>46321</v>
      </c>
      <c r="XK350" s="56"/>
      <c r="XL350" s="242">
        <f>SUMPRODUCT(PRODUCE!$B347:$DY347,PRODUCE!$EB$57:$IY$57)</f>
        <v>0</v>
      </c>
      <c r="XM350" s="56"/>
      <c r="XN350" s="242">
        <f t="shared" si="2447"/>
        <v>0</v>
      </c>
      <c r="XO350" s="242">
        <f t="shared" si="2448"/>
        <v>4252</v>
      </c>
      <c r="XP350" s="56"/>
      <c r="XS350" s="55">
        <f t="shared" si="2449"/>
        <v>46321</v>
      </c>
      <c r="XT350" s="56"/>
      <c r="XU350" s="242">
        <f>SUMPRODUCT(PRODUCE!$B347:$DY347,PRODUCE!$EB$57:$IY$57)</f>
        <v>0</v>
      </c>
      <c r="XV350" s="56"/>
      <c r="XW350" s="242">
        <f t="shared" si="2450"/>
        <v>0</v>
      </c>
      <c r="XX350" s="242">
        <f t="shared" si="2451"/>
        <v>2179</v>
      </c>
      <c r="XY350" s="56"/>
      <c r="YB350" s="55">
        <f t="shared" si="2452"/>
        <v>46321</v>
      </c>
      <c r="YC350" s="56"/>
      <c r="YD350" s="242">
        <f>SUMPRODUCT(PRODUCE!$B347:$DY347,PRODUCE!$EB$57:$IY$57)</f>
        <v>0</v>
      </c>
      <c r="YE350" s="56"/>
      <c r="YF350" s="242">
        <f t="shared" si="2453"/>
        <v>0</v>
      </c>
      <c r="YG350" s="242">
        <f t="shared" si="2454"/>
        <v>4019</v>
      </c>
      <c r="YH350" s="56"/>
      <c r="YK350" s="55">
        <f t="shared" si="2455"/>
        <v>46321</v>
      </c>
      <c r="YL350" s="56"/>
      <c r="YM350" s="242">
        <f>SUMPRODUCT(PRODUCE!$B347:$DY347,PRODUCE!$EB$57:$IY$57)</f>
        <v>0</v>
      </c>
      <c r="YN350" s="56"/>
      <c r="YO350" s="242">
        <f t="shared" si="2456"/>
        <v>0</v>
      </c>
      <c r="YP350" s="242">
        <f t="shared" si="2457"/>
        <v>-218</v>
      </c>
      <c r="YQ350" s="56"/>
      <c r="YT350" s="55">
        <f t="shared" si="2458"/>
        <v>46321</v>
      </c>
      <c r="YU350" s="56"/>
      <c r="YV350" s="242">
        <f>SUMPRODUCT(PRODUCE!$B347:$DY347,PRODUCE!$EB$57:$IY$57)</f>
        <v>0</v>
      </c>
      <c r="YW350" s="56"/>
      <c r="YX350" s="242">
        <f t="shared" si="2459"/>
        <v>0</v>
      </c>
      <c r="YY350" s="242">
        <f t="shared" si="2460"/>
        <v>0</v>
      </c>
      <c r="YZ350" s="56"/>
      <c r="ZC350" s="55">
        <f t="shared" si="2461"/>
        <v>46321</v>
      </c>
      <c r="ZD350" s="56"/>
      <c r="ZE350" s="242">
        <f>SUMPRODUCT(PRODUCE!$B347:$DY347,PRODUCE!$EB$57:$IY$57)</f>
        <v>0</v>
      </c>
      <c r="ZF350" s="56"/>
      <c r="ZG350" s="242">
        <f t="shared" si="2462"/>
        <v>0</v>
      </c>
      <c r="ZH350" s="242">
        <f t="shared" si="2463"/>
        <v>0</v>
      </c>
      <c r="ZI350" s="56"/>
      <c r="ZL350" s="55">
        <f t="shared" si="2464"/>
        <v>46321</v>
      </c>
      <c r="ZM350" s="56"/>
      <c r="ZN350" s="242">
        <f>SUMPRODUCT(PRODUCE!$B347:$DY347,PRODUCE!$EB$57:$IY$57)</f>
        <v>0</v>
      </c>
      <c r="ZO350" s="56"/>
      <c r="ZP350" s="242">
        <f t="shared" si="2465"/>
        <v>0</v>
      </c>
      <c r="ZQ350" s="242">
        <f t="shared" si="2466"/>
        <v>0</v>
      </c>
      <c r="ZR350" s="56"/>
      <c r="ZU350" s="55">
        <f t="shared" si="2467"/>
        <v>46321</v>
      </c>
      <c r="ZV350" s="56"/>
      <c r="ZW350" s="242">
        <f>SUMPRODUCT(PRODUCE!$B347:$DY347,PRODUCE!$EB$57:$IY$57)</f>
        <v>0</v>
      </c>
      <c r="ZX350" s="56"/>
      <c r="ZY350" s="242">
        <f t="shared" si="2468"/>
        <v>0</v>
      </c>
      <c r="ZZ350" s="242">
        <f t="shared" si="2469"/>
        <v>0</v>
      </c>
      <c r="AAA350" s="56"/>
      <c r="AAD350" s="55">
        <f t="shared" si="2470"/>
        <v>46321</v>
      </c>
      <c r="AAE350" s="56"/>
      <c r="AAF350" s="242">
        <f>SUMPRODUCT(PRODUCE!$B347:$DY347,PRODUCE!$EB$57:$IY$57)</f>
        <v>0</v>
      </c>
      <c r="AAG350" s="56"/>
      <c r="AAH350" s="242">
        <f t="shared" si="2471"/>
        <v>0</v>
      </c>
      <c r="AAI350" s="242">
        <f t="shared" si="2472"/>
        <v>0</v>
      </c>
      <c r="AAJ350" s="56"/>
      <c r="AAM350" s="55">
        <f t="shared" si="2473"/>
        <v>46321</v>
      </c>
      <c r="AAN350" s="56"/>
      <c r="AAO350" s="242">
        <f>SUMPRODUCT(PRODUCE!$B347:$DY347,PRODUCE!$EB$57:$IY$57)</f>
        <v>0</v>
      </c>
      <c r="AAP350" s="56"/>
      <c r="AAQ350" s="242">
        <f t="shared" si="2474"/>
        <v>0</v>
      </c>
      <c r="AAR350" s="242">
        <f t="shared" si="2475"/>
        <v>0</v>
      </c>
      <c r="AAS350" s="56"/>
      <c r="AAV350" s="55">
        <f t="shared" si="2476"/>
        <v>46321</v>
      </c>
      <c r="AAW350" s="56"/>
      <c r="AAX350" s="242">
        <f>SUMPRODUCT(PRODUCE!$B347:$DY347,PRODUCE!$EB$57:$IY$57)</f>
        <v>0</v>
      </c>
      <c r="AAY350" s="56"/>
      <c r="AAZ350" s="242">
        <f t="shared" si="2477"/>
        <v>0</v>
      </c>
      <c r="ABA350" s="242">
        <f t="shared" si="2478"/>
        <v>0</v>
      </c>
      <c r="ABB350" s="56"/>
      <c r="ABE350" s="55">
        <f t="shared" si="2479"/>
        <v>46321</v>
      </c>
      <c r="ABF350" s="56"/>
      <c r="ABG350" s="242">
        <f>SUMPRODUCT(PRODUCE!$B347:$DY347,PRODUCE!$EB$57:$IY$57)</f>
        <v>0</v>
      </c>
      <c r="ABH350" s="56"/>
      <c r="ABI350" s="242">
        <f t="shared" si="2480"/>
        <v>0</v>
      </c>
      <c r="ABJ350" s="242">
        <f t="shared" si="2481"/>
        <v>0</v>
      </c>
      <c r="ABK350" s="56"/>
    </row>
    <row r="351" spans="2:739" s="54" customFormat="1" ht="15" customHeight="1" outlineLevel="1">
      <c r="B351" s="478"/>
      <c r="C351" s="55">
        <v>46322</v>
      </c>
      <c r="D351" s="56"/>
      <c r="E351" s="57">
        <f>SUMPRODUCT(PRODUCE!$B348:$DY348,PRODUCE!$EB$7:$IY$7)</f>
        <v>0</v>
      </c>
      <c r="F351" s="56"/>
      <c r="G351" s="57">
        <f t="shared" si="2237"/>
        <v>0</v>
      </c>
      <c r="H351" s="57">
        <f t="shared" si="2238"/>
        <v>236936.6</v>
      </c>
      <c r="I351" s="289"/>
      <c r="L351" s="55">
        <f t="shared" si="2239"/>
        <v>46322</v>
      </c>
      <c r="M351" s="56"/>
      <c r="N351" s="59">
        <f>SUMPRODUCT(PRODUCE!$B348:$DY348,PRODUCE!$EB$8:$IY$8)</f>
        <v>0</v>
      </c>
      <c r="O351" s="56"/>
      <c r="P351" s="59">
        <f t="shared" si="2240"/>
        <v>0</v>
      </c>
      <c r="Q351" s="59">
        <f t="shared" si="2241"/>
        <v>53017.600000000071</v>
      </c>
      <c r="R351" s="56"/>
      <c r="U351" s="55">
        <f t="shared" si="2242"/>
        <v>46322</v>
      </c>
      <c r="V351" s="56"/>
      <c r="W351" s="60">
        <f>SUMPRODUCT(PRODUCE!$B348:$DY348,PRODUCE!$EB$9:$IY$9)</f>
        <v>0</v>
      </c>
      <c r="X351" s="56"/>
      <c r="Y351" s="60">
        <f t="shared" si="2243"/>
        <v>0</v>
      </c>
      <c r="Z351" s="60">
        <f t="shared" si="2244"/>
        <v>42674.199999999968</v>
      </c>
      <c r="AA351" s="56"/>
      <c r="AD351" s="55">
        <f t="shared" si="2245"/>
        <v>46322</v>
      </c>
      <c r="AE351" s="56"/>
      <c r="AF351" s="61">
        <f>SUMPRODUCT(PRODUCE!$B348:$DY348,PRODUCE!$EB$10:$IY$10)</f>
        <v>0</v>
      </c>
      <c r="AG351" s="56"/>
      <c r="AH351" s="61">
        <f t="shared" si="2246"/>
        <v>0</v>
      </c>
      <c r="AI351" s="61">
        <f t="shared" si="2247"/>
        <v>4522.2000000000189</v>
      </c>
      <c r="AJ351" s="56"/>
      <c r="AM351" s="55">
        <f t="shared" si="2248"/>
        <v>46322</v>
      </c>
      <c r="AN351" s="422"/>
      <c r="AO351" s="444">
        <f>SUMPRODUCT(PRODUCE!$B348:$DY348,PRODUCE!$EB$11:$IY$11)</f>
        <v>0</v>
      </c>
      <c r="AP351" s="422"/>
      <c r="AQ351" s="444">
        <f t="shared" si="2249"/>
        <v>0</v>
      </c>
      <c r="AR351" s="444">
        <f t="shared" si="2250"/>
        <v>0</v>
      </c>
      <c r="AS351" s="56"/>
      <c r="AV351" s="55">
        <f t="shared" si="2251"/>
        <v>46322</v>
      </c>
      <c r="AW351" s="56"/>
      <c r="AX351" s="62">
        <f>SUMPRODUCT(PRODUCE!$B348:$DY348,PRODUCE!$EB$12:$IY$12)</f>
        <v>0</v>
      </c>
      <c r="AY351" s="56"/>
      <c r="AZ351" s="62">
        <f t="shared" si="2252"/>
        <v>0</v>
      </c>
      <c r="BA351" s="62">
        <f t="shared" si="2253"/>
        <v>124.99999999999523</v>
      </c>
      <c r="BB351" s="56"/>
      <c r="BE351" s="55">
        <f t="shared" si="2254"/>
        <v>46322</v>
      </c>
      <c r="BF351" s="56"/>
      <c r="BG351" s="63">
        <f>SUMPRODUCT(PRODUCE!$B348:$DY348,PRODUCE!$EB$13:$IY$13)</f>
        <v>0</v>
      </c>
      <c r="BH351" s="56"/>
      <c r="BI351" s="63">
        <f t="shared" si="2255"/>
        <v>0</v>
      </c>
      <c r="BJ351" s="63">
        <f t="shared" si="2256"/>
        <v>26151.899999999998</v>
      </c>
      <c r="BK351" s="56"/>
      <c r="BN351" s="55">
        <f t="shared" si="2257"/>
        <v>46322</v>
      </c>
      <c r="BO351" s="56"/>
      <c r="BP351" s="64">
        <f>SUMPRODUCT(PRODUCE!$B348:$DY348,PRODUCE!$EB$14:$IY$14)</f>
        <v>0</v>
      </c>
      <c r="BQ351" s="56"/>
      <c r="BR351" s="64">
        <f t="shared" si="2258"/>
        <v>0</v>
      </c>
      <c r="BS351" s="64">
        <f t="shared" si="2259"/>
        <v>0</v>
      </c>
      <c r="BT351" s="56"/>
      <c r="BW351" s="55">
        <f t="shared" si="2260"/>
        <v>46322</v>
      </c>
      <c r="BX351" s="56"/>
      <c r="BY351" s="65">
        <f>SUMPRODUCT(PRODUCE!$B348:$DY348,PRODUCE!$EB$15:$IY$15)</f>
        <v>0</v>
      </c>
      <c r="BZ351" s="56"/>
      <c r="CA351" s="65">
        <f t="shared" si="2261"/>
        <v>0</v>
      </c>
      <c r="CB351" s="65">
        <f t="shared" si="2262"/>
        <v>2097.3399999999992</v>
      </c>
      <c r="CC351" s="56"/>
      <c r="CF351" s="55">
        <f t="shared" si="2263"/>
        <v>46322</v>
      </c>
      <c r="CG351" s="56"/>
      <c r="CH351" s="66">
        <f>SUMPRODUCT(PRODUCE!$B348:$DY348,PRODUCE!$EB$16:$IY$16)</f>
        <v>0</v>
      </c>
      <c r="CI351" s="56"/>
      <c r="CJ351" s="66">
        <f t="shared" si="2264"/>
        <v>0</v>
      </c>
      <c r="CK351" s="66">
        <f t="shared" si="2265"/>
        <v>-10277.079999999998</v>
      </c>
      <c r="CL351" s="56"/>
      <c r="CO351" s="55">
        <f t="shared" si="2266"/>
        <v>46322</v>
      </c>
      <c r="CP351" s="422"/>
      <c r="CQ351" s="470">
        <f>SUMPRODUCT(PRODUCE!$B348:$DY348,PRODUCE!$EB$17:$IY$17)</f>
        <v>0</v>
      </c>
      <c r="CR351" s="422"/>
      <c r="CS351" s="470">
        <f t="shared" si="2267"/>
        <v>0</v>
      </c>
      <c r="CT351" s="470">
        <f t="shared" si="2268"/>
        <v>0</v>
      </c>
      <c r="CU351" s="56"/>
      <c r="CX351" s="55">
        <f t="shared" si="2269"/>
        <v>46322</v>
      </c>
      <c r="CY351" s="56"/>
      <c r="CZ351" s="133">
        <f>SUMPRODUCT(PRODUCE!$B348:$DY348,PRODUCE!$EB$18:$IY$18)</f>
        <v>0</v>
      </c>
      <c r="DA351" s="56"/>
      <c r="DB351" s="133">
        <f t="shared" si="2270"/>
        <v>0</v>
      </c>
      <c r="DC351" s="133">
        <f t="shared" si="2271"/>
        <v>27438.200000000012</v>
      </c>
      <c r="DD351" s="56"/>
      <c r="DG351" s="55">
        <f t="shared" si="2272"/>
        <v>46322</v>
      </c>
      <c r="DH351" s="56"/>
      <c r="DI351" s="147">
        <f>SUMPRODUCT(PRODUCE!$B348:$DY348,PRODUCE!$EB$19:$IY$19)</f>
        <v>0</v>
      </c>
      <c r="DJ351" s="56"/>
      <c r="DK351" s="147">
        <f t="shared" si="2273"/>
        <v>0</v>
      </c>
      <c r="DL351" s="147">
        <f t="shared" si="2274"/>
        <v>18782.299999999981</v>
      </c>
      <c r="DM351" s="56"/>
      <c r="DP351" s="55">
        <f t="shared" si="2275"/>
        <v>46322</v>
      </c>
      <c r="DQ351" s="56"/>
      <c r="DR351" s="57">
        <f>SUMPRODUCT(PRODUCE!$B348:$DY348,PRODUCE!$EB$20:$IY$20)</f>
        <v>0</v>
      </c>
      <c r="DS351" s="56"/>
      <c r="DT351" s="57">
        <f t="shared" si="2276"/>
        <v>0</v>
      </c>
      <c r="DU351" s="57">
        <f t="shared" si="2277"/>
        <v>5800</v>
      </c>
      <c r="DV351" s="56"/>
      <c r="DY351" s="55">
        <f t="shared" si="2278"/>
        <v>46322</v>
      </c>
      <c r="DZ351" s="56"/>
      <c r="EA351" s="157">
        <f>SUMPRODUCT(PRODUCE!$B348:$DY348,PRODUCE!$EB$21:$IY$21)</f>
        <v>0</v>
      </c>
      <c r="EB351" s="56"/>
      <c r="EC351" s="157">
        <f t="shared" si="2279"/>
        <v>0</v>
      </c>
      <c r="ED351" s="157">
        <f t="shared" si="2280"/>
        <v>0</v>
      </c>
      <c r="EE351" s="56"/>
      <c r="EH351" s="55">
        <f t="shared" si="2281"/>
        <v>46322</v>
      </c>
      <c r="EI351" s="56"/>
      <c r="EJ351" s="162">
        <f>SUMPRODUCT(PRODUCE!$B348:$DY348,PRODUCE!$EB$22:$IY$22)</f>
        <v>0</v>
      </c>
      <c r="EK351" s="56"/>
      <c r="EL351" s="162">
        <f t="shared" si="2282"/>
        <v>0</v>
      </c>
      <c r="EM351" s="162">
        <f t="shared" si="2283"/>
        <v>0</v>
      </c>
      <c r="EN351" s="56"/>
      <c r="EQ351" s="55">
        <f t="shared" si="2284"/>
        <v>46322</v>
      </c>
      <c r="ER351" s="56"/>
      <c r="ES351" s="135">
        <f>SUMPRODUCT(PRODUCE!$B348:$DY348,PRODUCE!$EB$23:$IY$23)</f>
        <v>0</v>
      </c>
      <c r="ET351" s="56"/>
      <c r="EU351" s="135">
        <f t="shared" si="2285"/>
        <v>0</v>
      </c>
      <c r="EV351" s="135">
        <f t="shared" si="2286"/>
        <v>0</v>
      </c>
      <c r="EW351" s="56"/>
      <c r="EZ351" s="55">
        <f t="shared" si="2287"/>
        <v>46322</v>
      </c>
      <c r="FA351" s="56"/>
      <c r="FB351" s="175">
        <f>SUMPRODUCT(PRODUCE!$B348:$DY348,PRODUCE!$EB$24:$IY$24)</f>
        <v>0</v>
      </c>
      <c r="FC351" s="56"/>
      <c r="FD351" s="175">
        <f t="shared" si="2288"/>
        <v>0</v>
      </c>
      <c r="FE351" s="175">
        <f t="shared" si="2289"/>
        <v>0</v>
      </c>
      <c r="FF351" s="56"/>
      <c r="FI351" s="55">
        <f t="shared" si="2290"/>
        <v>46322</v>
      </c>
      <c r="FJ351" s="56"/>
      <c r="FK351" s="183">
        <f>SUMPRODUCT(PRODUCE!$B348:$DY348,PRODUCE!$EB$25:$IY$25)</f>
        <v>0</v>
      </c>
      <c r="FL351" s="56"/>
      <c r="FM351" s="183">
        <f t="shared" si="2291"/>
        <v>0</v>
      </c>
      <c r="FN351" s="183">
        <f t="shared" si="2292"/>
        <v>0</v>
      </c>
      <c r="FO351" s="56"/>
      <c r="FR351" s="55">
        <f t="shared" si="2293"/>
        <v>46322</v>
      </c>
      <c r="FS351" s="56"/>
      <c r="FT351" s="186">
        <f>SUMPRODUCT(PRODUCE!$B348:$DY348,PRODUCE!$EB$26:$IY$26)</f>
        <v>0</v>
      </c>
      <c r="FU351" s="56"/>
      <c r="FV351" s="186">
        <f t="shared" si="2294"/>
        <v>0</v>
      </c>
      <c r="FW351" s="186">
        <f t="shared" si="2295"/>
        <v>2020</v>
      </c>
      <c r="FX351" s="56"/>
      <c r="GA351" s="55">
        <f t="shared" si="2296"/>
        <v>46322</v>
      </c>
      <c r="GB351" s="56"/>
      <c r="GC351" s="137">
        <f>SUMPRODUCT(PRODUCE!$B348:$DY348,PRODUCE!$EB$27:$IY$27)</f>
        <v>0</v>
      </c>
      <c r="GD351" s="56"/>
      <c r="GE351" s="137">
        <f t="shared" si="2297"/>
        <v>0</v>
      </c>
      <c r="GF351" s="137">
        <f t="shared" si="2298"/>
        <v>960</v>
      </c>
      <c r="GG351" s="56"/>
      <c r="GI351" s="23"/>
      <c r="GJ351" s="55">
        <f t="shared" si="2299"/>
        <v>46322</v>
      </c>
      <c r="GK351" s="56"/>
      <c r="GL351" s="199">
        <f>SUMPRODUCT(PRODUCE!$B348:$DY348,PRODUCE!$EB$28:$IY$28)</f>
        <v>0</v>
      </c>
      <c r="GM351" s="56"/>
      <c r="GN351" s="199">
        <f t="shared" si="2300"/>
        <v>0</v>
      </c>
      <c r="GO351" s="199">
        <f t="shared" si="2301"/>
        <v>1760</v>
      </c>
      <c r="GP351" s="56"/>
      <c r="GS351" s="55">
        <f t="shared" si="2302"/>
        <v>46322</v>
      </c>
      <c r="GT351" s="56"/>
      <c r="GU351" s="195">
        <f>SUMPRODUCT(PRODUCE!$B348:$DY348,PRODUCE!$EB$29:$IY$29)</f>
        <v>0</v>
      </c>
      <c r="GV351" s="56"/>
      <c r="GW351" s="195">
        <f t="shared" si="2303"/>
        <v>0</v>
      </c>
      <c r="GX351" s="195">
        <f t="shared" si="2304"/>
        <v>400</v>
      </c>
      <c r="GY351" s="56"/>
      <c r="HB351" s="55">
        <f t="shared" si="2305"/>
        <v>46322</v>
      </c>
      <c r="HC351" s="56"/>
      <c r="HD351" s="191">
        <f>SUMPRODUCT(PRODUCE!$B348:$DY348,PRODUCE!$EB$30:$IY$30)</f>
        <v>0</v>
      </c>
      <c r="HE351" s="56"/>
      <c r="HF351" s="191">
        <f t="shared" si="2306"/>
        <v>0</v>
      </c>
      <c r="HG351" s="191">
        <f t="shared" si="2307"/>
        <v>3600</v>
      </c>
      <c r="HH351" s="56"/>
      <c r="HK351" s="55">
        <f t="shared" si="2308"/>
        <v>46322</v>
      </c>
      <c r="HL351" s="56"/>
      <c r="HM351" s="63">
        <f>SUMPRODUCT(PRODUCE!$B348:$DY348,PRODUCE!$EB$31:$IY$31)</f>
        <v>0</v>
      </c>
      <c r="HN351" s="56"/>
      <c r="HO351" s="63">
        <f t="shared" si="2309"/>
        <v>0</v>
      </c>
      <c r="HP351" s="63">
        <f t="shared" si="2310"/>
        <v>0</v>
      </c>
      <c r="HQ351" s="56"/>
      <c r="HU351" s="55">
        <f t="shared" si="2311"/>
        <v>46322</v>
      </c>
      <c r="HV351" s="56"/>
      <c r="HW351" s="242">
        <f>SUMPRODUCT(PRODUCE!$B348:$DY348,PRODUCE!$EB$32:$IY$32)</f>
        <v>0</v>
      </c>
      <c r="HX351" s="56"/>
      <c r="HY351" s="242">
        <f t="shared" si="2312"/>
        <v>0</v>
      </c>
      <c r="HZ351" s="242">
        <f t="shared" si="2313"/>
        <v>6120</v>
      </c>
      <c r="IA351" s="56"/>
      <c r="ID351" s="55">
        <f t="shared" si="2314"/>
        <v>46322</v>
      </c>
      <c r="IE351" s="56"/>
      <c r="IF351" s="242">
        <f>SUMPRODUCT(PRODUCE!$B348:$DY348,PRODUCE!$EB$33:$IY$33)</f>
        <v>0</v>
      </c>
      <c r="IG351" s="56"/>
      <c r="IH351" s="242">
        <f t="shared" si="2315"/>
        <v>0</v>
      </c>
      <c r="II351" s="242">
        <f t="shared" si="2316"/>
        <v>0</v>
      </c>
      <c r="IJ351" s="56"/>
      <c r="IM351" s="55">
        <f t="shared" si="2317"/>
        <v>46322</v>
      </c>
      <c r="IN351" s="56"/>
      <c r="IO351" s="242">
        <f>SUMPRODUCT(PRODUCE!$B348:$DY348,PRODUCE!$EB$34:$IY$34)</f>
        <v>0</v>
      </c>
      <c r="IP351" s="56"/>
      <c r="IQ351" s="242">
        <f t="shared" si="2318"/>
        <v>0</v>
      </c>
      <c r="IR351" s="242">
        <f t="shared" si="2319"/>
        <v>0</v>
      </c>
      <c r="IS351" s="56"/>
      <c r="IV351" s="55">
        <f t="shared" si="2320"/>
        <v>46322</v>
      </c>
      <c r="IW351" s="56"/>
      <c r="IX351" s="242">
        <f>SUMPRODUCT(PRODUCE!$B348:$DY348,PRODUCE!$EB$35:$IY$35)</f>
        <v>0</v>
      </c>
      <c r="IY351" s="56"/>
      <c r="IZ351" s="242">
        <f t="shared" si="2321"/>
        <v>0</v>
      </c>
      <c r="JA351" s="242">
        <f t="shared" si="2322"/>
        <v>2820</v>
      </c>
      <c r="JB351" s="56"/>
      <c r="JE351" s="55">
        <f t="shared" si="2323"/>
        <v>46322</v>
      </c>
      <c r="JF351" s="56"/>
      <c r="JG351" s="242">
        <f>SUMPRODUCT(PRODUCE!$B348:$DY348,PRODUCE!$EB$36:$IY$36)</f>
        <v>0</v>
      </c>
      <c r="JH351" s="56"/>
      <c r="JI351" s="242">
        <f t="shared" si="2324"/>
        <v>0</v>
      </c>
      <c r="JJ351" s="242">
        <f t="shared" si="2325"/>
        <v>0</v>
      </c>
      <c r="JK351" s="56"/>
      <c r="JN351" s="55">
        <f t="shared" si="2326"/>
        <v>46322</v>
      </c>
      <c r="JO351" s="56"/>
      <c r="JP351" s="242">
        <f>SUMPRODUCT(PRODUCE!$B348:$DY348,PRODUCE!$EB$37:$IY$37)</f>
        <v>0</v>
      </c>
      <c r="JQ351" s="56"/>
      <c r="JR351" s="242">
        <f t="shared" si="2327"/>
        <v>0</v>
      </c>
      <c r="JS351" s="242">
        <f t="shared" si="2328"/>
        <v>0</v>
      </c>
      <c r="JT351" s="56"/>
      <c r="JW351" s="55">
        <f t="shared" si="2329"/>
        <v>46322</v>
      </c>
      <c r="JX351" s="56"/>
      <c r="JY351" s="242">
        <f>SUMPRODUCT(PRODUCE!$B348:$DY348,PRODUCE!$EB$38:$IY$38)</f>
        <v>0</v>
      </c>
      <c r="JZ351" s="56"/>
      <c r="KA351" s="242">
        <f t="shared" si="2330"/>
        <v>0</v>
      </c>
      <c r="KB351" s="242">
        <f t="shared" si="2331"/>
        <v>2540</v>
      </c>
      <c r="KC351" s="56"/>
      <c r="KF351" s="55">
        <f t="shared" si="2332"/>
        <v>46322</v>
      </c>
      <c r="KG351" s="56"/>
      <c r="KH351" s="242">
        <f>SUMPRODUCT(PRODUCE!$B348:$DY348,PRODUCE!$EB$39:$IY$39)</f>
        <v>0</v>
      </c>
      <c r="KI351" s="56"/>
      <c r="KJ351" s="242">
        <f t="shared" si="2333"/>
        <v>0</v>
      </c>
      <c r="KK351" s="242">
        <f t="shared" si="2334"/>
        <v>2359.5</v>
      </c>
      <c r="KL351" s="56"/>
      <c r="KO351" s="55">
        <f t="shared" si="2335"/>
        <v>46322</v>
      </c>
      <c r="KP351" s="56"/>
      <c r="KQ351" s="242">
        <f>SUMPRODUCT(PRODUCE!$B348:$DY348,PRODUCE!$EB$40:$IY$40)</f>
        <v>0</v>
      </c>
      <c r="KR351" s="56"/>
      <c r="KS351" s="242">
        <f t="shared" si="2336"/>
        <v>0</v>
      </c>
      <c r="KT351" s="242">
        <f t="shared" si="2337"/>
        <v>1890</v>
      </c>
      <c r="KU351" s="56"/>
      <c r="KW351" s="23"/>
      <c r="KX351" s="55">
        <f t="shared" si="2338"/>
        <v>46322</v>
      </c>
      <c r="KY351" s="56"/>
      <c r="KZ351" s="242">
        <f>SUMPRODUCT(PRODUCE!$B348:$DY348,PRODUCE!$EB$41:$IY$41)</f>
        <v>0</v>
      </c>
      <c r="LA351" s="56"/>
      <c r="LB351" s="242">
        <f t="shared" si="2339"/>
        <v>0</v>
      </c>
      <c r="LC351" s="242">
        <f t="shared" si="2340"/>
        <v>3690</v>
      </c>
      <c r="LD351" s="56"/>
      <c r="LG351" s="55">
        <f t="shared" si="2341"/>
        <v>46322</v>
      </c>
      <c r="LH351" s="56"/>
      <c r="LI351" s="242">
        <f>SUMPRODUCT(PRODUCE!$B348:$DY348,PRODUCE!$EB$42:$IY$42)</f>
        <v>0</v>
      </c>
      <c r="LJ351" s="56"/>
      <c r="LK351" s="242">
        <f t="shared" si="2342"/>
        <v>0</v>
      </c>
      <c r="LL351" s="242">
        <f t="shared" si="2343"/>
        <v>4000</v>
      </c>
      <c r="LM351" s="56"/>
      <c r="LP351" s="55">
        <f t="shared" si="2344"/>
        <v>46322</v>
      </c>
      <c r="LQ351" s="56"/>
      <c r="LR351" s="242">
        <f>SUMPRODUCT(PRODUCE!$B348:$DY348,PRODUCE!$EB$43:$IY$43)</f>
        <v>0</v>
      </c>
      <c r="LS351" s="56"/>
      <c r="LT351" s="242">
        <f t="shared" si="2345"/>
        <v>0</v>
      </c>
      <c r="LU351" s="242">
        <f t="shared" si="2346"/>
        <v>0</v>
      </c>
      <c r="LV351" s="56"/>
      <c r="LY351" s="55">
        <f t="shared" si="2347"/>
        <v>46322</v>
      </c>
      <c r="LZ351" s="56"/>
      <c r="MA351" s="242">
        <f>SUMPRODUCT(PRODUCE!$B348:$DY348,PRODUCE!$EB$44:$IY$44)</f>
        <v>0</v>
      </c>
      <c r="MB351" s="56"/>
      <c r="MC351" s="242">
        <f t="shared" si="2348"/>
        <v>0</v>
      </c>
      <c r="MD351" s="242">
        <f t="shared" si="2349"/>
        <v>0</v>
      </c>
      <c r="ME351" s="56"/>
      <c r="MH351" s="55">
        <f t="shared" si="2350"/>
        <v>46322</v>
      </c>
      <c r="MI351" s="56"/>
      <c r="MJ351" s="242">
        <f>SUMPRODUCT(PRODUCE!$B348:$DY348,PRODUCE!$EB$45:$IY$45)</f>
        <v>0</v>
      </c>
      <c r="MK351" s="56"/>
      <c r="ML351" s="242">
        <f t="shared" si="2351"/>
        <v>0</v>
      </c>
      <c r="MM351" s="242">
        <f t="shared" si="2352"/>
        <v>0</v>
      </c>
      <c r="MN351" s="56"/>
      <c r="MQ351" s="55">
        <f t="shared" si="2353"/>
        <v>46322</v>
      </c>
      <c r="MR351" s="56"/>
      <c r="MS351" s="242">
        <f>SUMPRODUCT(PRODUCE!$B348:$DY348,PRODUCE!$EB$46:$IY$46)</f>
        <v>0</v>
      </c>
      <c r="MT351" s="56"/>
      <c r="MU351" s="242">
        <f t="shared" si="2354"/>
        <v>0</v>
      </c>
      <c r="MV351" s="242">
        <f t="shared" si="2355"/>
        <v>1625</v>
      </c>
      <c r="MW351" s="56"/>
      <c r="MZ351" s="55">
        <f t="shared" si="2356"/>
        <v>46322</v>
      </c>
      <c r="NA351" s="56"/>
      <c r="NB351" s="242">
        <f>SUMPRODUCT(PRODUCE!$B348:$DY348,PRODUCE!$EB$47:$IY$47)</f>
        <v>0</v>
      </c>
      <c r="NC351" s="56"/>
      <c r="ND351" s="242">
        <f t="shared" si="2357"/>
        <v>0</v>
      </c>
      <c r="NE351" s="242">
        <f t="shared" si="2358"/>
        <v>0</v>
      </c>
      <c r="NF351" s="56"/>
      <c r="NI351" s="55">
        <f t="shared" si="2359"/>
        <v>46322</v>
      </c>
      <c r="NJ351" s="56"/>
      <c r="NK351" s="242">
        <f>SUMPRODUCT(PRODUCE!$B348:$DY348,PRODUCE!$EB$48:$IY$48)</f>
        <v>0</v>
      </c>
      <c r="NL351" s="56"/>
      <c r="NM351" s="242">
        <f t="shared" si="2360"/>
        <v>0</v>
      </c>
      <c r="NN351" s="242">
        <f t="shared" si="2361"/>
        <v>1127</v>
      </c>
      <c r="NO351" s="56"/>
      <c r="NR351" s="55">
        <f t="shared" si="2362"/>
        <v>46322</v>
      </c>
      <c r="NS351" s="56"/>
      <c r="NT351" s="242">
        <f>SUMPRODUCT(PRODUCE!$B348:$DY348,PRODUCE!$EB$49:$IY$49)</f>
        <v>0</v>
      </c>
      <c r="NU351" s="56"/>
      <c r="NV351" s="242">
        <f t="shared" si="2363"/>
        <v>0</v>
      </c>
      <c r="NW351" s="242">
        <f t="shared" si="2364"/>
        <v>3111.9999999999995</v>
      </c>
      <c r="NX351" s="56"/>
      <c r="OA351" s="55">
        <f t="shared" si="2365"/>
        <v>46322</v>
      </c>
      <c r="OB351" s="56"/>
      <c r="OC351" s="242">
        <f>SUMPRODUCT(PRODUCE!$B348:$DY348,PRODUCE!$EB$50:$IY$50)</f>
        <v>0</v>
      </c>
      <c r="OD351" s="56"/>
      <c r="OE351" s="242">
        <f t="shared" si="2366"/>
        <v>0</v>
      </c>
      <c r="OF351" s="242">
        <f t="shared" si="2367"/>
        <v>1680.5</v>
      </c>
      <c r="OG351" s="56"/>
      <c r="OJ351" s="55">
        <f t="shared" si="2368"/>
        <v>46322</v>
      </c>
      <c r="OK351" s="56"/>
      <c r="OL351" s="242">
        <f>SUMPRODUCT(PRODUCE!$B348:$DY348,PRODUCE!$EB$51:$IY$51)</f>
        <v>0</v>
      </c>
      <c r="OM351" s="56"/>
      <c r="ON351" s="242">
        <f t="shared" si="2369"/>
        <v>0</v>
      </c>
      <c r="OO351" s="242">
        <f t="shared" si="2370"/>
        <v>0</v>
      </c>
      <c r="OP351" s="56"/>
      <c r="OS351" s="55">
        <f t="shared" si="2371"/>
        <v>46322</v>
      </c>
      <c r="OT351" s="56"/>
      <c r="OU351" s="242">
        <f>SUMPRODUCT(PRODUCE!$B348:$DY348,PRODUCE!$EB$52:$IY$52)</f>
        <v>0</v>
      </c>
      <c r="OV351" s="56"/>
      <c r="OW351" s="242">
        <f t="shared" si="2372"/>
        <v>0</v>
      </c>
      <c r="OX351" s="242">
        <f t="shared" si="2373"/>
        <v>1482</v>
      </c>
      <c r="OY351" s="56"/>
      <c r="PB351" s="55">
        <f t="shared" si="2374"/>
        <v>46322</v>
      </c>
      <c r="PC351" s="56"/>
      <c r="PD351" s="242">
        <f>SUMPRODUCT(PRODUCE!$B348:$DY348,PRODUCE!$EB$53:$IY$53)</f>
        <v>0</v>
      </c>
      <c r="PE351" s="56"/>
      <c r="PF351" s="242">
        <f t="shared" si="2375"/>
        <v>0</v>
      </c>
      <c r="PG351" s="242">
        <f t="shared" si="2376"/>
        <v>0</v>
      </c>
      <c r="PH351" s="56"/>
      <c r="PK351" s="55">
        <f t="shared" si="2377"/>
        <v>46322</v>
      </c>
      <c r="PL351" s="56"/>
      <c r="PM351" s="242">
        <f>SUMPRODUCT(PRODUCE!$B348:$DY348,PRODUCE!$EB$54:$IY$54)</f>
        <v>0</v>
      </c>
      <c r="PN351" s="56"/>
      <c r="PO351" s="242">
        <f t="shared" si="2378"/>
        <v>0</v>
      </c>
      <c r="PP351" s="242">
        <f t="shared" si="2379"/>
        <v>100</v>
      </c>
      <c r="PQ351" s="56"/>
      <c r="PT351" s="55">
        <f t="shared" si="2380"/>
        <v>46322</v>
      </c>
      <c r="PU351" s="56"/>
      <c r="PV351" s="242">
        <f>SUMPRODUCT(PRODUCE!$B348:$DY348,PRODUCE!$EB$55:$IY$55)</f>
        <v>0</v>
      </c>
      <c r="PW351" s="56"/>
      <c r="PX351" s="242">
        <f t="shared" si="2381"/>
        <v>0</v>
      </c>
      <c r="PY351" s="242">
        <f t="shared" si="2382"/>
        <v>13.960000000000036</v>
      </c>
      <c r="PZ351" s="56"/>
      <c r="QC351" s="55">
        <f t="shared" si="2383"/>
        <v>46322</v>
      </c>
      <c r="QD351" s="56"/>
      <c r="QE351" s="242">
        <f>SUMPRODUCT(PRODUCE!$B348:$DY348,PRODUCE!$EB$56:$IY$56)</f>
        <v>0</v>
      </c>
      <c r="QF351" s="56"/>
      <c r="QG351" s="242">
        <f t="shared" si="2384"/>
        <v>0</v>
      </c>
      <c r="QH351" s="242">
        <f t="shared" si="2385"/>
        <v>548</v>
      </c>
      <c r="QI351" s="56"/>
      <c r="QL351" s="55">
        <f t="shared" si="2386"/>
        <v>46322</v>
      </c>
      <c r="QM351" s="56"/>
      <c r="QN351" s="242">
        <f>SUMPRODUCT(PRODUCE!$B348:$DY348,PRODUCE!$EB$57:$IY$57)</f>
        <v>0</v>
      </c>
      <c r="QO351" s="56"/>
      <c r="QP351" s="242">
        <f t="shared" si="2387"/>
        <v>0</v>
      </c>
      <c r="QQ351" s="242">
        <f t="shared" si="2388"/>
        <v>0</v>
      </c>
      <c r="QR351" s="56"/>
      <c r="QU351" s="55">
        <f t="shared" si="2389"/>
        <v>46322</v>
      </c>
      <c r="QV351" s="56"/>
      <c r="QW351" s="242">
        <f>SUMPRODUCT(PRODUCE!$B348:$DY348,PRODUCE!$EB$57:$IY$57)</f>
        <v>0</v>
      </c>
      <c r="QX351" s="56"/>
      <c r="QY351" s="242">
        <f t="shared" si="2390"/>
        <v>0</v>
      </c>
      <c r="QZ351" s="242">
        <f t="shared" si="2391"/>
        <v>0</v>
      </c>
      <c r="RA351" s="56"/>
      <c r="RD351" s="55">
        <f t="shared" si="2392"/>
        <v>46322</v>
      </c>
      <c r="RE351" s="56"/>
      <c r="RF351" s="242">
        <f>SUMPRODUCT(PRODUCE!$B348:$DY348,PRODUCE!$EB$58:$IY$58)</f>
        <v>0</v>
      </c>
      <c r="RG351" s="56"/>
      <c r="RH351" s="242">
        <f t="shared" si="2393"/>
        <v>0</v>
      </c>
      <c r="RI351" s="242">
        <f t="shared" si="2394"/>
        <v>147.04000000000002</v>
      </c>
      <c r="RJ351" s="56"/>
      <c r="RM351" s="55">
        <f t="shared" si="2395"/>
        <v>46322</v>
      </c>
      <c r="RN351" s="56"/>
      <c r="RO351" s="242">
        <f>SUMPRODUCT(PRODUCE!$B348:$DY348,PRODUCE!$EB$57:$IY$57)</f>
        <v>0</v>
      </c>
      <c r="RP351" s="56"/>
      <c r="RQ351" s="242">
        <f t="shared" si="2396"/>
        <v>0</v>
      </c>
      <c r="RR351" s="242">
        <f t="shared" si="2397"/>
        <v>46.8</v>
      </c>
      <c r="RS351" s="56"/>
      <c r="RV351" s="55">
        <f t="shared" si="2398"/>
        <v>46322</v>
      </c>
      <c r="RW351" s="56"/>
      <c r="RX351" s="242">
        <f>SUMPRODUCT(PRODUCE!$B348:$DY348,PRODUCE!$EB$57:$IY$57)</f>
        <v>0</v>
      </c>
      <c r="RY351" s="56"/>
      <c r="RZ351" s="242">
        <f t="shared" si="2399"/>
        <v>0</v>
      </c>
      <c r="SA351" s="242">
        <f t="shared" si="2400"/>
        <v>0</v>
      </c>
      <c r="SB351" s="56"/>
      <c r="SE351" s="55">
        <f t="shared" si="2401"/>
        <v>46322</v>
      </c>
      <c r="SF351" s="56"/>
      <c r="SG351" s="242">
        <f>SUMPRODUCT(PRODUCE!$B348:$DY348,PRODUCE!$EB$61:$IY$61)</f>
        <v>0</v>
      </c>
      <c r="SH351" s="56"/>
      <c r="SI351" s="242">
        <f t="shared" si="2402"/>
        <v>0</v>
      </c>
      <c r="SJ351" s="242">
        <f t="shared" si="2403"/>
        <v>24.200000000000003</v>
      </c>
      <c r="SK351" s="56"/>
      <c r="SN351" s="55">
        <f t="shared" si="2404"/>
        <v>46322</v>
      </c>
      <c r="SO351" s="56"/>
      <c r="SP351" s="242">
        <f>SUMPRODUCT(PRODUCE!$B348:$DY348,PRODUCE!$EB$57:$IY$57)</f>
        <v>0</v>
      </c>
      <c r="SQ351" s="56"/>
      <c r="SR351" s="242">
        <f t="shared" si="2405"/>
        <v>0</v>
      </c>
      <c r="SS351" s="242">
        <f t="shared" si="2406"/>
        <v>32</v>
      </c>
      <c r="ST351" s="56"/>
      <c r="SW351" s="55">
        <f t="shared" si="2407"/>
        <v>46322</v>
      </c>
      <c r="SX351" s="56"/>
      <c r="SY351" s="242">
        <f>SUMPRODUCT(PRODUCE!$B348:$DY348,PRODUCE!$EB$57:$IY$57)</f>
        <v>0</v>
      </c>
      <c r="SZ351" s="56"/>
      <c r="TA351" s="242">
        <f t="shared" si="2408"/>
        <v>0</v>
      </c>
      <c r="TB351" s="242">
        <f t="shared" si="2409"/>
        <v>0</v>
      </c>
      <c r="TC351" s="56"/>
      <c r="TF351" s="55">
        <f t="shared" si="2410"/>
        <v>46322</v>
      </c>
      <c r="TG351" s="56"/>
      <c r="TH351" s="242">
        <f>SUMPRODUCT(PRODUCE!$B348:$DY348,PRODUCE!$EB$57:$IY$57)</f>
        <v>0</v>
      </c>
      <c r="TI351" s="56"/>
      <c r="TJ351" s="242">
        <f t="shared" si="2411"/>
        <v>0</v>
      </c>
      <c r="TK351" s="242">
        <f t="shared" si="2412"/>
        <v>0</v>
      </c>
      <c r="TL351" s="56"/>
      <c r="TO351" s="55">
        <f t="shared" si="2413"/>
        <v>46322</v>
      </c>
      <c r="TP351" s="56"/>
      <c r="TQ351" s="242">
        <f>SUMPRODUCT(PRODUCE!$B348:$DY348,PRODUCE!$EB$57:$IY$57)</f>
        <v>0</v>
      </c>
      <c r="TR351" s="56"/>
      <c r="TS351" s="242">
        <f t="shared" si="2414"/>
        <v>0</v>
      </c>
      <c r="TT351" s="242">
        <f t="shared" si="2415"/>
        <v>0</v>
      </c>
      <c r="TU351" s="56"/>
      <c r="TX351" s="55">
        <f t="shared" si="2416"/>
        <v>46322</v>
      </c>
      <c r="TY351" s="56"/>
      <c r="TZ351" s="242">
        <f>SUMPRODUCT(PRODUCE!$B348:$DY348,PRODUCE!$EB$57:$IY$57)</f>
        <v>0</v>
      </c>
      <c r="UA351" s="56"/>
      <c r="UB351" s="242">
        <f t="shared" si="2417"/>
        <v>0</v>
      </c>
      <c r="UC351" s="242">
        <f t="shared" si="2418"/>
        <v>46.799999999999983</v>
      </c>
      <c r="UD351" s="56"/>
      <c r="UG351" s="55">
        <f t="shared" si="2419"/>
        <v>46322</v>
      </c>
      <c r="UH351" s="56"/>
      <c r="UI351" s="242">
        <f>SUMPRODUCT(PRODUCE!$B348:$DY348,PRODUCE!$EB$57:$IY$57)</f>
        <v>0</v>
      </c>
      <c r="UJ351" s="56"/>
      <c r="UK351" s="242">
        <f t="shared" si="2420"/>
        <v>0</v>
      </c>
      <c r="UL351" s="242">
        <f t="shared" si="2421"/>
        <v>204</v>
      </c>
      <c r="UM351" s="56"/>
      <c r="UP351" s="55">
        <f t="shared" si="2422"/>
        <v>46322</v>
      </c>
      <c r="UQ351" s="56"/>
      <c r="UR351" s="242">
        <f>SUMPRODUCT(PRODUCE!$B348:$DY348,PRODUCE!$EB$57:$IY$57)</f>
        <v>0</v>
      </c>
      <c r="US351" s="56"/>
      <c r="UT351" s="242">
        <f t="shared" si="2423"/>
        <v>0</v>
      </c>
      <c r="UU351" s="242">
        <f t="shared" si="2424"/>
        <v>202.5</v>
      </c>
      <c r="UV351" s="56"/>
      <c r="UY351" s="55">
        <f t="shared" si="2425"/>
        <v>46322</v>
      </c>
      <c r="UZ351" s="56"/>
      <c r="VA351" s="242">
        <f>SUMPRODUCT(PRODUCE!$B348:$DY348,PRODUCE!$EB$57:$IY$57)</f>
        <v>0</v>
      </c>
      <c r="VB351" s="56"/>
      <c r="VC351" s="242">
        <f t="shared" si="2426"/>
        <v>0</v>
      </c>
      <c r="VD351" s="242">
        <f t="shared" si="2427"/>
        <v>41.600000000000023</v>
      </c>
      <c r="VE351" s="56"/>
      <c r="VH351" s="55">
        <f t="shared" si="2428"/>
        <v>46322</v>
      </c>
      <c r="VI351" s="56"/>
      <c r="VJ351" s="242">
        <f>SUMPRODUCT(PRODUCE!$B348:$DY348,PRODUCE!$EB$57:$IY$57)</f>
        <v>0</v>
      </c>
      <c r="VK351" s="56"/>
      <c r="VL351" s="242">
        <f t="shared" si="2429"/>
        <v>0</v>
      </c>
      <c r="VM351" s="242">
        <f t="shared" si="2430"/>
        <v>210</v>
      </c>
      <c r="VN351" s="56"/>
      <c r="VQ351" s="55">
        <f t="shared" si="2431"/>
        <v>46322</v>
      </c>
      <c r="VR351" s="56"/>
      <c r="VS351" s="242">
        <f>SUMPRODUCT(PRODUCE!$B348:$DY348,PRODUCE!$EB$57:$IY$57)</f>
        <v>0</v>
      </c>
      <c r="VT351" s="56"/>
      <c r="VU351" s="242">
        <f t="shared" si="2432"/>
        <v>0</v>
      </c>
      <c r="VV351" s="242">
        <f t="shared" si="2433"/>
        <v>0</v>
      </c>
      <c r="VW351" s="56"/>
      <c r="VZ351" s="55">
        <f t="shared" si="2434"/>
        <v>46322</v>
      </c>
      <c r="WA351" s="56"/>
      <c r="WB351" s="242">
        <f>SUMPRODUCT(PRODUCE!$B348:$DY348,PRODUCE!$EB$57:$IY$57)</f>
        <v>0</v>
      </c>
      <c r="WC351" s="56"/>
      <c r="WD351" s="242">
        <f t="shared" si="2435"/>
        <v>0</v>
      </c>
      <c r="WE351" s="242">
        <f t="shared" si="2436"/>
        <v>0</v>
      </c>
      <c r="WF351" s="56"/>
      <c r="WI351" s="55">
        <f t="shared" si="2437"/>
        <v>46322</v>
      </c>
      <c r="WJ351" s="56"/>
      <c r="WK351" s="242">
        <f>SUMPRODUCT(PRODUCE!$B348:$DY348,PRODUCE!$EB$57:$IY$57)</f>
        <v>0</v>
      </c>
      <c r="WL351" s="56"/>
      <c r="WM351" s="242">
        <f t="shared" si="2438"/>
        <v>0</v>
      </c>
      <c r="WN351" s="242">
        <f t="shared" si="2439"/>
        <v>1057</v>
      </c>
      <c r="WO351" s="56"/>
      <c r="WR351" s="55">
        <f t="shared" si="2440"/>
        <v>46322</v>
      </c>
      <c r="WS351" s="56"/>
      <c r="WT351" s="242">
        <f>SUMPRODUCT(PRODUCE!$B348:$DY348,PRODUCE!$EB$57:$IY$57)</f>
        <v>0</v>
      </c>
      <c r="WU351" s="56"/>
      <c r="WV351" s="242">
        <f t="shared" si="2441"/>
        <v>0</v>
      </c>
      <c r="WW351" s="242">
        <f t="shared" si="2442"/>
        <v>0</v>
      </c>
      <c r="WX351" s="56"/>
      <c r="XA351" s="55">
        <f t="shared" si="2443"/>
        <v>46322</v>
      </c>
      <c r="XB351" s="56"/>
      <c r="XC351" s="242">
        <f>SUMPRODUCT(PRODUCE!$B348:$DY348,PRODUCE!$EB$57:$IY$57)</f>
        <v>0</v>
      </c>
      <c r="XD351" s="56"/>
      <c r="XE351" s="242">
        <f t="shared" si="2444"/>
        <v>0</v>
      </c>
      <c r="XF351" s="242">
        <f t="shared" si="2445"/>
        <v>7507</v>
      </c>
      <c r="XG351" s="56"/>
      <c r="XJ351" s="55">
        <f t="shared" si="2446"/>
        <v>46322</v>
      </c>
      <c r="XK351" s="56"/>
      <c r="XL351" s="242">
        <f>SUMPRODUCT(PRODUCE!$B348:$DY348,PRODUCE!$EB$57:$IY$57)</f>
        <v>0</v>
      </c>
      <c r="XM351" s="56"/>
      <c r="XN351" s="242">
        <f t="shared" si="2447"/>
        <v>0</v>
      </c>
      <c r="XO351" s="242">
        <f t="shared" si="2448"/>
        <v>4252</v>
      </c>
      <c r="XP351" s="56"/>
      <c r="XS351" s="55">
        <f t="shared" si="2449"/>
        <v>46322</v>
      </c>
      <c r="XT351" s="56"/>
      <c r="XU351" s="242">
        <f>SUMPRODUCT(PRODUCE!$B348:$DY348,PRODUCE!$EB$57:$IY$57)</f>
        <v>0</v>
      </c>
      <c r="XV351" s="56"/>
      <c r="XW351" s="242">
        <f t="shared" si="2450"/>
        <v>0</v>
      </c>
      <c r="XX351" s="242">
        <f t="shared" si="2451"/>
        <v>2179</v>
      </c>
      <c r="XY351" s="56"/>
      <c r="YB351" s="55">
        <f t="shared" si="2452"/>
        <v>46322</v>
      </c>
      <c r="YC351" s="56"/>
      <c r="YD351" s="242">
        <f>SUMPRODUCT(PRODUCE!$B348:$DY348,PRODUCE!$EB$57:$IY$57)</f>
        <v>0</v>
      </c>
      <c r="YE351" s="56"/>
      <c r="YF351" s="242">
        <f t="shared" si="2453"/>
        <v>0</v>
      </c>
      <c r="YG351" s="242">
        <f t="shared" si="2454"/>
        <v>4019</v>
      </c>
      <c r="YH351" s="56"/>
      <c r="YK351" s="55">
        <f t="shared" si="2455"/>
        <v>46322</v>
      </c>
      <c r="YL351" s="56"/>
      <c r="YM351" s="242">
        <f>SUMPRODUCT(PRODUCE!$B348:$DY348,PRODUCE!$EB$57:$IY$57)</f>
        <v>0</v>
      </c>
      <c r="YN351" s="56"/>
      <c r="YO351" s="242">
        <f t="shared" si="2456"/>
        <v>0</v>
      </c>
      <c r="YP351" s="242">
        <f t="shared" si="2457"/>
        <v>-218</v>
      </c>
      <c r="YQ351" s="56"/>
      <c r="YT351" s="55">
        <f t="shared" si="2458"/>
        <v>46322</v>
      </c>
      <c r="YU351" s="56"/>
      <c r="YV351" s="242">
        <f>SUMPRODUCT(PRODUCE!$B348:$DY348,PRODUCE!$EB$57:$IY$57)</f>
        <v>0</v>
      </c>
      <c r="YW351" s="56"/>
      <c r="YX351" s="242">
        <f t="shared" si="2459"/>
        <v>0</v>
      </c>
      <c r="YY351" s="242">
        <f t="shared" si="2460"/>
        <v>0</v>
      </c>
      <c r="YZ351" s="56"/>
      <c r="ZC351" s="55">
        <f t="shared" si="2461"/>
        <v>46322</v>
      </c>
      <c r="ZD351" s="56"/>
      <c r="ZE351" s="242">
        <f>SUMPRODUCT(PRODUCE!$B348:$DY348,PRODUCE!$EB$57:$IY$57)</f>
        <v>0</v>
      </c>
      <c r="ZF351" s="56"/>
      <c r="ZG351" s="242">
        <f t="shared" si="2462"/>
        <v>0</v>
      </c>
      <c r="ZH351" s="242">
        <f t="shared" si="2463"/>
        <v>0</v>
      </c>
      <c r="ZI351" s="56"/>
      <c r="ZL351" s="55">
        <f t="shared" si="2464"/>
        <v>46322</v>
      </c>
      <c r="ZM351" s="56"/>
      <c r="ZN351" s="242">
        <f>SUMPRODUCT(PRODUCE!$B348:$DY348,PRODUCE!$EB$57:$IY$57)</f>
        <v>0</v>
      </c>
      <c r="ZO351" s="56"/>
      <c r="ZP351" s="242">
        <f t="shared" si="2465"/>
        <v>0</v>
      </c>
      <c r="ZQ351" s="242">
        <f t="shared" si="2466"/>
        <v>0</v>
      </c>
      <c r="ZR351" s="56"/>
      <c r="ZU351" s="55">
        <f t="shared" si="2467"/>
        <v>46322</v>
      </c>
      <c r="ZV351" s="56"/>
      <c r="ZW351" s="242">
        <f>SUMPRODUCT(PRODUCE!$B348:$DY348,PRODUCE!$EB$57:$IY$57)</f>
        <v>0</v>
      </c>
      <c r="ZX351" s="56"/>
      <c r="ZY351" s="242">
        <f t="shared" si="2468"/>
        <v>0</v>
      </c>
      <c r="ZZ351" s="242">
        <f t="shared" si="2469"/>
        <v>0</v>
      </c>
      <c r="AAA351" s="56"/>
      <c r="AAD351" s="55">
        <f t="shared" si="2470"/>
        <v>46322</v>
      </c>
      <c r="AAE351" s="56"/>
      <c r="AAF351" s="242">
        <f>SUMPRODUCT(PRODUCE!$B348:$DY348,PRODUCE!$EB$57:$IY$57)</f>
        <v>0</v>
      </c>
      <c r="AAG351" s="56"/>
      <c r="AAH351" s="242">
        <f t="shared" si="2471"/>
        <v>0</v>
      </c>
      <c r="AAI351" s="242">
        <f t="shared" si="2472"/>
        <v>0</v>
      </c>
      <c r="AAJ351" s="56"/>
      <c r="AAM351" s="55">
        <f t="shared" si="2473"/>
        <v>46322</v>
      </c>
      <c r="AAN351" s="56"/>
      <c r="AAO351" s="242">
        <f>SUMPRODUCT(PRODUCE!$B348:$DY348,PRODUCE!$EB$57:$IY$57)</f>
        <v>0</v>
      </c>
      <c r="AAP351" s="56"/>
      <c r="AAQ351" s="242">
        <f t="shared" si="2474"/>
        <v>0</v>
      </c>
      <c r="AAR351" s="242">
        <f t="shared" si="2475"/>
        <v>0</v>
      </c>
      <c r="AAS351" s="56"/>
      <c r="AAV351" s="55">
        <f t="shared" si="2476"/>
        <v>46322</v>
      </c>
      <c r="AAW351" s="56"/>
      <c r="AAX351" s="242">
        <f>SUMPRODUCT(PRODUCE!$B348:$DY348,PRODUCE!$EB$57:$IY$57)</f>
        <v>0</v>
      </c>
      <c r="AAY351" s="56"/>
      <c r="AAZ351" s="242">
        <f t="shared" si="2477"/>
        <v>0</v>
      </c>
      <c r="ABA351" s="242">
        <f t="shared" si="2478"/>
        <v>0</v>
      </c>
      <c r="ABB351" s="56"/>
      <c r="ABE351" s="55">
        <f t="shared" si="2479"/>
        <v>46322</v>
      </c>
      <c r="ABF351" s="56"/>
      <c r="ABG351" s="242">
        <f>SUMPRODUCT(PRODUCE!$B348:$DY348,PRODUCE!$EB$57:$IY$57)</f>
        <v>0</v>
      </c>
      <c r="ABH351" s="56"/>
      <c r="ABI351" s="242">
        <f t="shared" si="2480"/>
        <v>0</v>
      </c>
      <c r="ABJ351" s="242">
        <f t="shared" si="2481"/>
        <v>0</v>
      </c>
      <c r="ABK351" s="56"/>
    </row>
    <row r="352" spans="2:739" s="54" customFormat="1" ht="15" customHeight="1" outlineLevel="1">
      <c r="B352" s="478"/>
      <c r="C352" s="55">
        <v>46323</v>
      </c>
      <c r="D352" s="56"/>
      <c r="E352" s="57">
        <f>SUMPRODUCT(PRODUCE!$B349:$DY349,PRODUCE!$EB$7:$IY$7)</f>
        <v>0</v>
      </c>
      <c r="F352" s="56"/>
      <c r="G352" s="57">
        <f t="shared" si="2237"/>
        <v>0</v>
      </c>
      <c r="H352" s="57">
        <f t="shared" si="2238"/>
        <v>236936.6</v>
      </c>
      <c r="I352" s="289"/>
      <c r="L352" s="55">
        <f t="shared" si="2239"/>
        <v>46323</v>
      </c>
      <c r="M352" s="56"/>
      <c r="N352" s="59">
        <f>SUMPRODUCT(PRODUCE!$B349:$DY349,PRODUCE!$EB$8:$IY$8)</f>
        <v>0</v>
      </c>
      <c r="O352" s="56"/>
      <c r="P352" s="59">
        <f t="shared" si="2240"/>
        <v>0</v>
      </c>
      <c r="Q352" s="59">
        <f t="shared" si="2241"/>
        <v>53017.600000000071</v>
      </c>
      <c r="R352" s="56"/>
      <c r="U352" s="55">
        <f t="shared" si="2242"/>
        <v>46323</v>
      </c>
      <c r="V352" s="56"/>
      <c r="W352" s="60">
        <f>SUMPRODUCT(PRODUCE!$B349:$DY349,PRODUCE!$EB$9:$IY$9)</f>
        <v>0</v>
      </c>
      <c r="X352" s="56"/>
      <c r="Y352" s="60">
        <f t="shared" si="2243"/>
        <v>0</v>
      </c>
      <c r="Z352" s="60">
        <f t="shared" si="2244"/>
        <v>42674.199999999968</v>
      </c>
      <c r="AA352" s="56"/>
      <c r="AD352" s="55">
        <f t="shared" si="2245"/>
        <v>46323</v>
      </c>
      <c r="AE352" s="56"/>
      <c r="AF352" s="61">
        <f>SUMPRODUCT(PRODUCE!$B349:$DY349,PRODUCE!$EB$10:$IY$10)</f>
        <v>0</v>
      </c>
      <c r="AG352" s="56"/>
      <c r="AH352" s="61">
        <f t="shared" si="2246"/>
        <v>0</v>
      </c>
      <c r="AI352" s="61">
        <f t="shared" si="2247"/>
        <v>4522.2000000000189</v>
      </c>
      <c r="AJ352" s="56"/>
      <c r="AM352" s="55">
        <f t="shared" si="2248"/>
        <v>46323</v>
      </c>
      <c r="AN352" s="422"/>
      <c r="AO352" s="444">
        <f>SUMPRODUCT(PRODUCE!$B349:$DY349,PRODUCE!$EB$11:$IY$11)</f>
        <v>0</v>
      </c>
      <c r="AP352" s="422"/>
      <c r="AQ352" s="444">
        <f t="shared" si="2249"/>
        <v>0</v>
      </c>
      <c r="AR352" s="444">
        <f t="shared" si="2250"/>
        <v>0</v>
      </c>
      <c r="AS352" s="56"/>
      <c r="AV352" s="55">
        <f t="shared" si="2251"/>
        <v>46323</v>
      </c>
      <c r="AW352" s="56"/>
      <c r="AX352" s="62">
        <f>SUMPRODUCT(PRODUCE!$B349:$DY349,PRODUCE!$EB$12:$IY$12)</f>
        <v>0</v>
      </c>
      <c r="AY352" s="56"/>
      <c r="AZ352" s="62">
        <f t="shared" si="2252"/>
        <v>0</v>
      </c>
      <c r="BA352" s="62">
        <f t="shared" si="2253"/>
        <v>124.99999999999523</v>
      </c>
      <c r="BB352" s="56"/>
      <c r="BE352" s="55">
        <f t="shared" si="2254"/>
        <v>46323</v>
      </c>
      <c r="BF352" s="56"/>
      <c r="BG352" s="63">
        <f>SUMPRODUCT(PRODUCE!$B349:$DY349,PRODUCE!$EB$13:$IY$13)</f>
        <v>0</v>
      </c>
      <c r="BH352" s="56"/>
      <c r="BI352" s="63">
        <f t="shared" si="2255"/>
        <v>0</v>
      </c>
      <c r="BJ352" s="63">
        <f t="shared" si="2256"/>
        <v>26151.899999999998</v>
      </c>
      <c r="BK352" s="56"/>
      <c r="BN352" s="55">
        <f t="shared" si="2257"/>
        <v>46323</v>
      </c>
      <c r="BO352" s="56"/>
      <c r="BP352" s="64">
        <f>SUMPRODUCT(PRODUCE!$B349:$DY349,PRODUCE!$EB$14:$IY$14)</f>
        <v>0</v>
      </c>
      <c r="BQ352" s="56"/>
      <c r="BR352" s="64">
        <f t="shared" si="2258"/>
        <v>0</v>
      </c>
      <c r="BS352" s="64">
        <f t="shared" si="2259"/>
        <v>0</v>
      </c>
      <c r="BT352" s="56"/>
      <c r="BW352" s="55">
        <f t="shared" si="2260"/>
        <v>46323</v>
      </c>
      <c r="BX352" s="56"/>
      <c r="BY352" s="65">
        <f>SUMPRODUCT(PRODUCE!$B349:$DY349,PRODUCE!$EB$15:$IY$15)</f>
        <v>0</v>
      </c>
      <c r="BZ352" s="56"/>
      <c r="CA352" s="65">
        <f t="shared" si="2261"/>
        <v>0</v>
      </c>
      <c r="CB352" s="65">
        <f t="shared" si="2262"/>
        <v>2097.3399999999992</v>
      </c>
      <c r="CC352" s="56"/>
      <c r="CF352" s="55">
        <f t="shared" si="2263"/>
        <v>46323</v>
      </c>
      <c r="CG352" s="56"/>
      <c r="CH352" s="66">
        <f>SUMPRODUCT(PRODUCE!$B349:$DY349,PRODUCE!$EB$16:$IY$16)</f>
        <v>0</v>
      </c>
      <c r="CI352" s="56"/>
      <c r="CJ352" s="66">
        <f t="shared" si="2264"/>
        <v>0</v>
      </c>
      <c r="CK352" s="66">
        <f t="shared" si="2265"/>
        <v>-10277.079999999998</v>
      </c>
      <c r="CL352" s="56"/>
      <c r="CO352" s="55">
        <f t="shared" si="2266"/>
        <v>46323</v>
      </c>
      <c r="CP352" s="422"/>
      <c r="CQ352" s="470">
        <f>SUMPRODUCT(PRODUCE!$B349:$DY349,PRODUCE!$EB$17:$IY$17)</f>
        <v>0</v>
      </c>
      <c r="CR352" s="422"/>
      <c r="CS352" s="470">
        <f t="shared" si="2267"/>
        <v>0</v>
      </c>
      <c r="CT352" s="470">
        <f t="shared" si="2268"/>
        <v>0</v>
      </c>
      <c r="CU352" s="56"/>
      <c r="CX352" s="55">
        <f t="shared" si="2269"/>
        <v>46323</v>
      </c>
      <c r="CY352" s="56"/>
      <c r="CZ352" s="133">
        <f>SUMPRODUCT(PRODUCE!$B349:$DY349,PRODUCE!$EB$18:$IY$18)</f>
        <v>0</v>
      </c>
      <c r="DA352" s="56"/>
      <c r="DB352" s="133">
        <f t="shared" si="2270"/>
        <v>0</v>
      </c>
      <c r="DC352" s="133">
        <f t="shared" si="2271"/>
        <v>27438.200000000012</v>
      </c>
      <c r="DD352" s="56"/>
      <c r="DG352" s="55">
        <f t="shared" si="2272"/>
        <v>46323</v>
      </c>
      <c r="DH352" s="56"/>
      <c r="DI352" s="147">
        <f>SUMPRODUCT(PRODUCE!$B349:$DY349,PRODUCE!$EB$19:$IY$19)</f>
        <v>0</v>
      </c>
      <c r="DJ352" s="56"/>
      <c r="DK352" s="147">
        <f t="shared" si="2273"/>
        <v>0</v>
      </c>
      <c r="DL352" s="147">
        <f t="shared" si="2274"/>
        <v>18782.299999999981</v>
      </c>
      <c r="DM352" s="56"/>
      <c r="DP352" s="55">
        <f t="shared" si="2275"/>
        <v>46323</v>
      </c>
      <c r="DQ352" s="56"/>
      <c r="DR352" s="57">
        <f>SUMPRODUCT(PRODUCE!$B349:$DY349,PRODUCE!$EB$20:$IY$20)</f>
        <v>0</v>
      </c>
      <c r="DS352" s="56"/>
      <c r="DT352" s="57">
        <f t="shared" si="2276"/>
        <v>0</v>
      </c>
      <c r="DU352" s="57">
        <f t="shared" si="2277"/>
        <v>5800</v>
      </c>
      <c r="DV352" s="56"/>
      <c r="DY352" s="55">
        <f t="shared" si="2278"/>
        <v>46323</v>
      </c>
      <c r="DZ352" s="56"/>
      <c r="EA352" s="157">
        <f>SUMPRODUCT(PRODUCE!$B349:$DY349,PRODUCE!$EB$21:$IY$21)</f>
        <v>0</v>
      </c>
      <c r="EB352" s="56"/>
      <c r="EC352" s="157">
        <f t="shared" si="2279"/>
        <v>0</v>
      </c>
      <c r="ED352" s="157">
        <f t="shared" si="2280"/>
        <v>0</v>
      </c>
      <c r="EE352" s="56"/>
      <c r="EH352" s="55">
        <f t="shared" si="2281"/>
        <v>46323</v>
      </c>
      <c r="EI352" s="56"/>
      <c r="EJ352" s="162">
        <f>SUMPRODUCT(PRODUCE!$B349:$DY349,PRODUCE!$EB$22:$IY$22)</f>
        <v>0</v>
      </c>
      <c r="EK352" s="56"/>
      <c r="EL352" s="162">
        <f t="shared" si="2282"/>
        <v>0</v>
      </c>
      <c r="EM352" s="162">
        <f t="shared" si="2283"/>
        <v>0</v>
      </c>
      <c r="EN352" s="56"/>
      <c r="EQ352" s="55">
        <f t="shared" si="2284"/>
        <v>46323</v>
      </c>
      <c r="ER352" s="56"/>
      <c r="ES352" s="135">
        <f>SUMPRODUCT(PRODUCE!$B349:$DY349,PRODUCE!$EB$23:$IY$23)</f>
        <v>0</v>
      </c>
      <c r="ET352" s="56"/>
      <c r="EU352" s="135">
        <f t="shared" si="2285"/>
        <v>0</v>
      </c>
      <c r="EV352" s="135">
        <f t="shared" si="2286"/>
        <v>0</v>
      </c>
      <c r="EW352" s="56"/>
      <c r="EZ352" s="55">
        <f t="shared" si="2287"/>
        <v>46323</v>
      </c>
      <c r="FA352" s="56"/>
      <c r="FB352" s="175">
        <f>SUMPRODUCT(PRODUCE!$B349:$DY349,PRODUCE!$EB$24:$IY$24)</f>
        <v>0</v>
      </c>
      <c r="FC352" s="56"/>
      <c r="FD352" s="175">
        <f t="shared" si="2288"/>
        <v>0</v>
      </c>
      <c r="FE352" s="175">
        <f t="shared" si="2289"/>
        <v>0</v>
      </c>
      <c r="FF352" s="56"/>
      <c r="FI352" s="55">
        <f t="shared" si="2290"/>
        <v>46323</v>
      </c>
      <c r="FJ352" s="56"/>
      <c r="FK352" s="183">
        <f>SUMPRODUCT(PRODUCE!$B349:$DY349,PRODUCE!$EB$25:$IY$25)</f>
        <v>0</v>
      </c>
      <c r="FL352" s="56"/>
      <c r="FM352" s="183">
        <f t="shared" si="2291"/>
        <v>0</v>
      </c>
      <c r="FN352" s="183">
        <f t="shared" si="2292"/>
        <v>0</v>
      </c>
      <c r="FO352" s="56"/>
      <c r="FR352" s="55">
        <f t="shared" si="2293"/>
        <v>46323</v>
      </c>
      <c r="FS352" s="56"/>
      <c r="FT352" s="186">
        <f>SUMPRODUCT(PRODUCE!$B349:$DY349,PRODUCE!$EB$26:$IY$26)</f>
        <v>0</v>
      </c>
      <c r="FU352" s="56"/>
      <c r="FV352" s="186">
        <f t="shared" si="2294"/>
        <v>0</v>
      </c>
      <c r="FW352" s="186">
        <f t="shared" si="2295"/>
        <v>2020</v>
      </c>
      <c r="FX352" s="56"/>
      <c r="GA352" s="55">
        <f t="shared" si="2296"/>
        <v>46323</v>
      </c>
      <c r="GB352" s="56"/>
      <c r="GC352" s="137">
        <f>SUMPRODUCT(PRODUCE!$B349:$DY349,PRODUCE!$EB$27:$IY$27)</f>
        <v>0</v>
      </c>
      <c r="GD352" s="56"/>
      <c r="GE352" s="137">
        <f t="shared" si="2297"/>
        <v>0</v>
      </c>
      <c r="GF352" s="137">
        <f t="shared" si="2298"/>
        <v>960</v>
      </c>
      <c r="GG352" s="56"/>
      <c r="GI352" s="23"/>
      <c r="GJ352" s="55">
        <f t="shared" si="2299"/>
        <v>46323</v>
      </c>
      <c r="GK352" s="56"/>
      <c r="GL352" s="199">
        <f>SUMPRODUCT(PRODUCE!$B349:$DY349,PRODUCE!$EB$28:$IY$28)</f>
        <v>0</v>
      </c>
      <c r="GM352" s="56"/>
      <c r="GN352" s="199">
        <f t="shared" si="2300"/>
        <v>0</v>
      </c>
      <c r="GO352" s="199">
        <f t="shared" si="2301"/>
        <v>1760</v>
      </c>
      <c r="GP352" s="56"/>
      <c r="GS352" s="55">
        <f t="shared" si="2302"/>
        <v>46323</v>
      </c>
      <c r="GT352" s="56"/>
      <c r="GU352" s="195">
        <f>SUMPRODUCT(PRODUCE!$B349:$DY349,PRODUCE!$EB$29:$IY$29)</f>
        <v>0</v>
      </c>
      <c r="GV352" s="56"/>
      <c r="GW352" s="195">
        <f t="shared" si="2303"/>
        <v>0</v>
      </c>
      <c r="GX352" s="195">
        <f t="shared" si="2304"/>
        <v>400</v>
      </c>
      <c r="GY352" s="56"/>
      <c r="HB352" s="55">
        <f t="shared" si="2305"/>
        <v>46323</v>
      </c>
      <c r="HC352" s="56"/>
      <c r="HD352" s="191">
        <f>SUMPRODUCT(PRODUCE!$B349:$DY349,PRODUCE!$EB$30:$IY$30)</f>
        <v>0</v>
      </c>
      <c r="HE352" s="56"/>
      <c r="HF352" s="191">
        <f t="shared" si="2306"/>
        <v>0</v>
      </c>
      <c r="HG352" s="191">
        <f t="shared" si="2307"/>
        <v>3600</v>
      </c>
      <c r="HH352" s="56"/>
      <c r="HK352" s="55">
        <f t="shared" si="2308"/>
        <v>46323</v>
      </c>
      <c r="HL352" s="56"/>
      <c r="HM352" s="63">
        <f>SUMPRODUCT(PRODUCE!$B349:$DY349,PRODUCE!$EB$31:$IY$31)</f>
        <v>0</v>
      </c>
      <c r="HN352" s="56"/>
      <c r="HO352" s="63">
        <f t="shared" si="2309"/>
        <v>0</v>
      </c>
      <c r="HP352" s="63">
        <f t="shared" si="2310"/>
        <v>0</v>
      </c>
      <c r="HQ352" s="56"/>
      <c r="HU352" s="55">
        <f t="shared" si="2311"/>
        <v>46323</v>
      </c>
      <c r="HV352" s="56"/>
      <c r="HW352" s="242">
        <f>SUMPRODUCT(PRODUCE!$B349:$DY349,PRODUCE!$EB$32:$IY$32)</f>
        <v>0</v>
      </c>
      <c r="HX352" s="56"/>
      <c r="HY352" s="242">
        <f t="shared" si="2312"/>
        <v>0</v>
      </c>
      <c r="HZ352" s="242">
        <f t="shared" si="2313"/>
        <v>6120</v>
      </c>
      <c r="IA352" s="56"/>
      <c r="ID352" s="55">
        <f t="shared" si="2314"/>
        <v>46323</v>
      </c>
      <c r="IE352" s="56"/>
      <c r="IF352" s="242">
        <f>SUMPRODUCT(PRODUCE!$B349:$DY349,PRODUCE!$EB$33:$IY$33)</f>
        <v>0</v>
      </c>
      <c r="IG352" s="56"/>
      <c r="IH352" s="242">
        <f t="shared" si="2315"/>
        <v>0</v>
      </c>
      <c r="II352" s="242">
        <f t="shared" si="2316"/>
        <v>0</v>
      </c>
      <c r="IJ352" s="56"/>
      <c r="IM352" s="55">
        <f t="shared" si="2317"/>
        <v>46323</v>
      </c>
      <c r="IN352" s="56"/>
      <c r="IO352" s="242">
        <f>SUMPRODUCT(PRODUCE!$B349:$DY349,PRODUCE!$EB$34:$IY$34)</f>
        <v>0</v>
      </c>
      <c r="IP352" s="56"/>
      <c r="IQ352" s="242">
        <f t="shared" si="2318"/>
        <v>0</v>
      </c>
      <c r="IR352" s="242">
        <f t="shared" si="2319"/>
        <v>0</v>
      </c>
      <c r="IS352" s="56"/>
      <c r="IV352" s="55">
        <f t="shared" si="2320"/>
        <v>46323</v>
      </c>
      <c r="IW352" s="56"/>
      <c r="IX352" s="242">
        <f>SUMPRODUCT(PRODUCE!$B349:$DY349,PRODUCE!$EB$35:$IY$35)</f>
        <v>0</v>
      </c>
      <c r="IY352" s="56"/>
      <c r="IZ352" s="242">
        <f t="shared" si="2321"/>
        <v>0</v>
      </c>
      <c r="JA352" s="242">
        <f t="shared" si="2322"/>
        <v>2820</v>
      </c>
      <c r="JB352" s="56"/>
      <c r="JE352" s="55">
        <f t="shared" si="2323"/>
        <v>46323</v>
      </c>
      <c r="JF352" s="56"/>
      <c r="JG352" s="242">
        <f>SUMPRODUCT(PRODUCE!$B349:$DY349,PRODUCE!$EB$36:$IY$36)</f>
        <v>0</v>
      </c>
      <c r="JH352" s="56"/>
      <c r="JI352" s="242">
        <f t="shared" si="2324"/>
        <v>0</v>
      </c>
      <c r="JJ352" s="242">
        <f t="shared" si="2325"/>
        <v>0</v>
      </c>
      <c r="JK352" s="56"/>
      <c r="JN352" s="55">
        <f t="shared" si="2326"/>
        <v>46323</v>
      </c>
      <c r="JO352" s="56"/>
      <c r="JP352" s="242">
        <f>SUMPRODUCT(PRODUCE!$B349:$DY349,PRODUCE!$EB$37:$IY$37)</f>
        <v>0</v>
      </c>
      <c r="JQ352" s="56"/>
      <c r="JR352" s="242">
        <f t="shared" si="2327"/>
        <v>0</v>
      </c>
      <c r="JS352" s="242">
        <f t="shared" si="2328"/>
        <v>0</v>
      </c>
      <c r="JT352" s="56"/>
      <c r="JW352" s="55">
        <f t="shared" si="2329"/>
        <v>46323</v>
      </c>
      <c r="JX352" s="56"/>
      <c r="JY352" s="242">
        <f>SUMPRODUCT(PRODUCE!$B349:$DY349,PRODUCE!$EB$38:$IY$38)</f>
        <v>0</v>
      </c>
      <c r="JZ352" s="56"/>
      <c r="KA352" s="242">
        <f t="shared" si="2330"/>
        <v>0</v>
      </c>
      <c r="KB352" s="242">
        <f t="shared" si="2331"/>
        <v>2540</v>
      </c>
      <c r="KC352" s="56"/>
      <c r="KF352" s="55">
        <f t="shared" si="2332"/>
        <v>46323</v>
      </c>
      <c r="KG352" s="56"/>
      <c r="KH352" s="242">
        <f>SUMPRODUCT(PRODUCE!$B349:$DY349,PRODUCE!$EB$39:$IY$39)</f>
        <v>0</v>
      </c>
      <c r="KI352" s="56"/>
      <c r="KJ352" s="242">
        <f t="shared" si="2333"/>
        <v>0</v>
      </c>
      <c r="KK352" s="242">
        <f t="shared" si="2334"/>
        <v>2359.5</v>
      </c>
      <c r="KL352" s="56"/>
      <c r="KO352" s="55">
        <f t="shared" si="2335"/>
        <v>46323</v>
      </c>
      <c r="KP352" s="56"/>
      <c r="KQ352" s="242">
        <f>SUMPRODUCT(PRODUCE!$B349:$DY349,PRODUCE!$EB$40:$IY$40)</f>
        <v>0</v>
      </c>
      <c r="KR352" s="56"/>
      <c r="KS352" s="242">
        <f t="shared" si="2336"/>
        <v>0</v>
      </c>
      <c r="KT352" s="242">
        <f t="shared" si="2337"/>
        <v>1890</v>
      </c>
      <c r="KU352" s="56"/>
      <c r="KW352" s="23"/>
      <c r="KX352" s="55">
        <f t="shared" si="2338"/>
        <v>46323</v>
      </c>
      <c r="KY352" s="56"/>
      <c r="KZ352" s="242">
        <f>SUMPRODUCT(PRODUCE!$B349:$DY349,PRODUCE!$EB$41:$IY$41)</f>
        <v>0</v>
      </c>
      <c r="LA352" s="56"/>
      <c r="LB352" s="242">
        <f t="shared" si="2339"/>
        <v>0</v>
      </c>
      <c r="LC352" s="242">
        <f t="shared" si="2340"/>
        <v>3690</v>
      </c>
      <c r="LD352" s="56"/>
      <c r="LG352" s="55">
        <f t="shared" si="2341"/>
        <v>46323</v>
      </c>
      <c r="LH352" s="56"/>
      <c r="LI352" s="242">
        <f>SUMPRODUCT(PRODUCE!$B349:$DY349,PRODUCE!$EB$42:$IY$42)</f>
        <v>0</v>
      </c>
      <c r="LJ352" s="56"/>
      <c r="LK352" s="242">
        <f t="shared" si="2342"/>
        <v>0</v>
      </c>
      <c r="LL352" s="242">
        <f t="shared" si="2343"/>
        <v>4000</v>
      </c>
      <c r="LM352" s="56"/>
      <c r="LP352" s="55">
        <f t="shared" si="2344"/>
        <v>46323</v>
      </c>
      <c r="LQ352" s="56"/>
      <c r="LR352" s="242">
        <f>SUMPRODUCT(PRODUCE!$B349:$DY349,PRODUCE!$EB$43:$IY$43)</f>
        <v>0</v>
      </c>
      <c r="LS352" s="56"/>
      <c r="LT352" s="242">
        <f t="shared" si="2345"/>
        <v>0</v>
      </c>
      <c r="LU352" s="242">
        <f t="shared" si="2346"/>
        <v>0</v>
      </c>
      <c r="LV352" s="56"/>
      <c r="LY352" s="55">
        <f t="shared" si="2347"/>
        <v>46323</v>
      </c>
      <c r="LZ352" s="56"/>
      <c r="MA352" s="242">
        <f>SUMPRODUCT(PRODUCE!$B349:$DY349,PRODUCE!$EB$44:$IY$44)</f>
        <v>0</v>
      </c>
      <c r="MB352" s="56"/>
      <c r="MC352" s="242">
        <f t="shared" si="2348"/>
        <v>0</v>
      </c>
      <c r="MD352" s="242">
        <f t="shared" si="2349"/>
        <v>0</v>
      </c>
      <c r="ME352" s="56"/>
      <c r="MH352" s="55">
        <f t="shared" si="2350"/>
        <v>46323</v>
      </c>
      <c r="MI352" s="56"/>
      <c r="MJ352" s="242">
        <f>SUMPRODUCT(PRODUCE!$B349:$DY349,PRODUCE!$EB$45:$IY$45)</f>
        <v>0</v>
      </c>
      <c r="MK352" s="56"/>
      <c r="ML352" s="242">
        <f t="shared" si="2351"/>
        <v>0</v>
      </c>
      <c r="MM352" s="242">
        <f t="shared" si="2352"/>
        <v>0</v>
      </c>
      <c r="MN352" s="56"/>
      <c r="MQ352" s="55">
        <f t="shared" si="2353"/>
        <v>46323</v>
      </c>
      <c r="MR352" s="56"/>
      <c r="MS352" s="242">
        <f>SUMPRODUCT(PRODUCE!$B349:$DY349,PRODUCE!$EB$46:$IY$46)</f>
        <v>0</v>
      </c>
      <c r="MT352" s="56"/>
      <c r="MU352" s="242">
        <f t="shared" si="2354"/>
        <v>0</v>
      </c>
      <c r="MV352" s="242">
        <f t="shared" si="2355"/>
        <v>1625</v>
      </c>
      <c r="MW352" s="56"/>
      <c r="MZ352" s="55">
        <f t="shared" si="2356"/>
        <v>46323</v>
      </c>
      <c r="NA352" s="56"/>
      <c r="NB352" s="242">
        <f>SUMPRODUCT(PRODUCE!$B349:$DY349,PRODUCE!$EB$47:$IY$47)</f>
        <v>0</v>
      </c>
      <c r="NC352" s="56"/>
      <c r="ND352" s="242">
        <f t="shared" si="2357"/>
        <v>0</v>
      </c>
      <c r="NE352" s="242">
        <f t="shared" si="2358"/>
        <v>0</v>
      </c>
      <c r="NF352" s="56"/>
      <c r="NI352" s="55">
        <f t="shared" si="2359"/>
        <v>46323</v>
      </c>
      <c r="NJ352" s="56"/>
      <c r="NK352" s="242">
        <f>SUMPRODUCT(PRODUCE!$B349:$DY349,PRODUCE!$EB$48:$IY$48)</f>
        <v>0</v>
      </c>
      <c r="NL352" s="56"/>
      <c r="NM352" s="242">
        <f t="shared" si="2360"/>
        <v>0</v>
      </c>
      <c r="NN352" s="242">
        <f t="shared" si="2361"/>
        <v>1127</v>
      </c>
      <c r="NO352" s="56"/>
      <c r="NR352" s="55">
        <f t="shared" si="2362"/>
        <v>46323</v>
      </c>
      <c r="NS352" s="56"/>
      <c r="NT352" s="242">
        <f>SUMPRODUCT(PRODUCE!$B349:$DY349,PRODUCE!$EB$49:$IY$49)</f>
        <v>0</v>
      </c>
      <c r="NU352" s="56"/>
      <c r="NV352" s="242">
        <f t="shared" si="2363"/>
        <v>0</v>
      </c>
      <c r="NW352" s="242">
        <f t="shared" si="2364"/>
        <v>3111.9999999999995</v>
      </c>
      <c r="NX352" s="56"/>
      <c r="OA352" s="55">
        <f t="shared" si="2365"/>
        <v>46323</v>
      </c>
      <c r="OB352" s="56"/>
      <c r="OC352" s="242">
        <f>SUMPRODUCT(PRODUCE!$B349:$DY349,PRODUCE!$EB$50:$IY$50)</f>
        <v>0</v>
      </c>
      <c r="OD352" s="56"/>
      <c r="OE352" s="242">
        <f t="shared" si="2366"/>
        <v>0</v>
      </c>
      <c r="OF352" s="242">
        <f t="shared" si="2367"/>
        <v>1680.5</v>
      </c>
      <c r="OG352" s="56"/>
      <c r="OJ352" s="55">
        <f t="shared" si="2368"/>
        <v>46323</v>
      </c>
      <c r="OK352" s="56"/>
      <c r="OL352" s="242">
        <f>SUMPRODUCT(PRODUCE!$B349:$DY349,PRODUCE!$EB$51:$IY$51)</f>
        <v>0</v>
      </c>
      <c r="OM352" s="56"/>
      <c r="ON352" s="242">
        <f t="shared" si="2369"/>
        <v>0</v>
      </c>
      <c r="OO352" s="242">
        <f t="shared" si="2370"/>
        <v>0</v>
      </c>
      <c r="OP352" s="56"/>
      <c r="OS352" s="55">
        <f t="shared" si="2371"/>
        <v>46323</v>
      </c>
      <c r="OT352" s="56"/>
      <c r="OU352" s="242">
        <f>SUMPRODUCT(PRODUCE!$B349:$DY349,PRODUCE!$EB$52:$IY$52)</f>
        <v>0</v>
      </c>
      <c r="OV352" s="56"/>
      <c r="OW352" s="242">
        <f t="shared" si="2372"/>
        <v>0</v>
      </c>
      <c r="OX352" s="242">
        <f t="shared" si="2373"/>
        <v>1482</v>
      </c>
      <c r="OY352" s="56"/>
      <c r="PB352" s="55">
        <f t="shared" si="2374"/>
        <v>46323</v>
      </c>
      <c r="PC352" s="56"/>
      <c r="PD352" s="242">
        <f>SUMPRODUCT(PRODUCE!$B349:$DY349,PRODUCE!$EB$53:$IY$53)</f>
        <v>0</v>
      </c>
      <c r="PE352" s="56"/>
      <c r="PF352" s="242">
        <f t="shared" si="2375"/>
        <v>0</v>
      </c>
      <c r="PG352" s="242">
        <f t="shared" si="2376"/>
        <v>0</v>
      </c>
      <c r="PH352" s="56"/>
      <c r="PK352" s="55">
        <f t="shared" si="2377"/>
        <v>46323</v>
      </c>
      <c r="PL352" s="56"/>
      <c r="PM352" s="242">
        <f>SUMPRODUCT(PRODUCE!$B349:$DY349,PRODUCE!$EB$54:$IY$54)</f>
        <v>0</v>
      </c>
      <c r="PN352" s="56"/>
      <c r="PO352" s="242">
        <f t="shared" si="2378"/>
        <v>0</v>
      </c>
      <c r="PP352" s="242">
        <f t="shared" si="2379"/>
        <v>100</v>
      </c>
      <c r="PQ352" s="56"/>
      <c r="PT352" s="55">
        <f t="shared" si="2380"/>
        <v>46323</v>
      </c>
      <c r="PU352" s="56"/>
      <c r="PV352" s="242">
        <f>SUMPRODUCT(PRODUCE!$B349:$DY349,PRODUCE!$EB$55:$IY$55)</f>
        <v>0</v>
      </c>
      <c r="PW352" s="56"/>
      <c r="PX352" s="242">
        <f t="shared" si="2381"/>
        <v>0</v>
      </c>
      <c r="PY352" s="242">
        <f t="shared" si="2382"/>
        <v>13.960000000000036</v>
      </c>
      <c r="PZ352" s="56"/>
      <c r="QC352" s="55">
        <f t="shared" si="2383"/>
        <v>46323</v>
      </c>
      <c r="QD352" s="56"/>
      <c r="QE352" s="242">
        <f>SUMPRODUCT(PRODUCE!$B349:$DY349,PRODUCE!$EB$56:$IY$56)</f>
        <v>0</v>
      </c>
      <c r="QF352" s="56"/>
      <c r="QG352" s="242">
        <f t="shared" si="2384"/>
        <v>0</v>
      </c>
      <c r="QH352" s="242">
        <f t="shared" si="2385"/>
        <v>548</v>
      </c>
      <c r="QI352" s="56"/>
      <c r="QL352" s="55">
        <f t="shared" si="2386"/>
        <v>46323</v>
      </c>
      <c r="QM352" s="56"/>
      <c r="QN352" s="242">
        <f>SUMPRODUCT(PRODUCE!$B349:$DY349,PRODUCE!$EB$57:$IY$57)</f>
        <v>0</v>
      </c>
      <c r="QO352" s="56"/>
      <c r="QP352" s="242">
        <f t="shared" si="2387"/>
        <v>0</v>
      </c>
      <c r="QQ352" s="242">
        <f t="shared" si="2388"/>
        <v>0</v>
      </c>
      <c r="QR352" s="56"/>
      <c r="QU352" s="55">
        <f t="shared" si="2389"/>
        <v>46323</v>
      </c>
      <c r="QV352" s="56"/>
      <c r="QW352" s="242">
        <f>SUMPRODUCT(PRODUCE!$B349:$DY349,PRODUCE!$EB$57:$IY$57)</f>
        <v>0</v>
      </c>
      <c r="QX352" s="56"/>
      <c r="QY352" s="242">
        <f t="shared" si="2390"/>
        <v>0</v>
      </c>
      <c r="QZ352" s="242">
        <f t="shared" si="2391"/>
        <v>0</v>
      </c>
      <c r="RA352" s="56"/>
      <c r="RD352" s="55">
        <f t="shared" si="2392"/>
        <v>46323</v>
      </c>
      <c r="RE352" s="56"/>
      <c r="RF352" s="242">
        <f>SUMPRODUCT(PRODUCE!$B349:$DY349,PRODUCE!$EB$58:$IY$58)</f>
        <v>0</v>
      </c>
      <c r="RG352" s="56"/>
      <c r="RH352" s="242">
        <f t="shared" si="2393"/>
        <v>0</v>
      </c>
      <c r="RI352" s="242">
        <f t="shared" si="2394"/>
        <v>147.04000000000002</v>
      </c>
      <c r="RJ352" s="56"/>
      <c r="RM352" s="55">
        <f t="shared" si="2395"/>
        <v>46323</v>
      </c>
      <c r="RN352" s="56"/>
      <c r="RO352" s="242">
        <f>SUMPRODUCT(PRODUCE!$B349:$DY349,PRODUCE!$EB$57:$IY$57)</f>
        <v>0</v>
      </c>
      <c r="RP352" s="56"/>
      <c r="RQ352" s="242">
        <f t="shared" si="2396"/>
        <v>0</v>
      </c>
      <c r="RR352" s="242">
        <f t="shared" si="2397"/>
        <v>46.8</v>
      </c>
      <c r="RS352" s="56"/>
      <c r="RV352" s="55">
        <f t="shared" si="2398"/>
        <v>46323</v>
      </c>
      <c r="RW352" s="56"/>
      <c r="RX352" s="242">
        <f>SUMPRODUCT(PRODUCE!$B349:$DY349,PRODUCE!$EB$57:$IY$57)</f>
        <v>0</v>
      </c>
      <c r="RY352" s="56"/>
      <c r="RZ352" s="242">
        <f t="shared" si="2399"/>
        <v>0</v>
      </c>
      <c r="SA352" s="242">
        <f t="shared" si="2400"/>
        <v>0</v>
      </c>
      <c r="SB352" s="56"/>
      <c r="SE352" s="55">
        <f t="shared" si="2401"/>
        <v>46323</v>
      </c>
      <c r="SF352" s="56"/>
      <c r="SG352" s="242">
        <f>SUMPRODUCT(PRODUCE!$B349:$DY349,PRODUCE!$EB$61:$IY$61)</f>
        <v>0</v>
      </c>
      <c r="SH352" s="56"/>
      <c r="SI352" s="242">
        <f t="shared" si="2402"/>
        <v>0</v>
      </c>
      <c r="SJ352" s="242">
        <f t="shared" si="2403"/>
        <v>24.200000000000003</v>
      </c>
      <c r="SK352" s="56"/>
      <c r="SN352" s="55">
        <f t="shared" si="2404"/>
        <v>46323</v>
      </c>
      <c r="SO352" s="56"/>
      <c r="SP352" s="242">
        <f>SUMPRODUCT(PRODUCE!$B349:$DY349,PRODUCE!$EB$57:$IY$57)</f>
        <v>0</v>
      </c>
      <c r="SQ352" s="56"/>
      <c r="SR352" s="242">
        <f t="shared" si="2405"/>
        <v>0</v>
      </c>
      <c r="SS352" s="242">
        <f t="shared" si="2406"/>
        <v>32</v>
      </c>
      <c r="ST352" s="56"/>
      <c r="SW352" s="55">
        <f t="shared" si="2407"/>
        <v>46323</v>
      </c>
      <c r="SX352" s="56"/>
      <c r="SY352" s="242">
        <f>SUMPRODUCT(PRODUCE!$B349:$DY349,PRODUCE!$EB$57:$IY$57)</f>
        <v>0</v>
      </c>
      <c r="SZ352" s="56"/>
      <c r="TA352" s="242">
        <f t="shared" si="2408"/>
        <v>0</v>
      </c>
      <c r="TB352" s="242">
        <f t="shared" si="2409"/>
        <v>0</v>
      </c>
      <c r="TC352" s="56"/>
      <c r="TF352" s="55">
        <f t="shared" si="2410"/>
        <v>46323</v>
      </c>
      <c r="TG352" s="56"/>
      <c r="TH352" s="242">
        <f>SUMPRODUCT(PRODUCE!$B349:$DY349,PRODUCE!$EB$57:$IY$57)</f>
        <v>0</v>
      </c>
      <c r="TI352" s="56"/>
      <c r="TJ352" s="242">
        <f t="shared" si="2411"/>
        <v>0</v>
      </c>
      <c r="TK352" s="242">
        <f t="shared" si="2412"/>
        <v>0</v>
      </c>
      <c r="TL352" s="56"/>
      <c r="TO352" s="55">
        <f t="shared" si="2413"/>
        <v>46323</v>
      </c>
      <c r="TP352" s="56"/>
      <c r="TQ352" s="242">
        <f>SUMPRODUCT(PRODUCE!$B349:$DY349,PRODUCE!$EB$57:$IY$57)</f>
        <v>0</v>
      </c>
      <c r="TR352" s="56"/>
      <c r="TS352" s="242">
        <f t="shared" si="2414"/>
        <v>0</v>
      </c>
      <c r="TT352" s="242">
        <f t="shared" si="2415"/>
        <v>0</v>
      </c>
      <c r="TU352" s="56"/>
      <c r="TX352" s="55">
        <f t="shared" si="2416"/>
        <v>46323</v>
      </c>
      <c r="TY352" s="56"/>
      <c r="TZ352" s="242">
        <f>SUMPRODUCT(PRODUCE!$B349:$DY349,PRODUCE!$EB$57:$IY$57)</f>
        <v>0</v>
      </c>
      <c r="UA352" s="56"/>
      <c r="UB352" s="242">
        <f t="shared" si="2417"/>
        <v>0</v>
      </c>
      <c r="UC352" s="242">
        <f t="shared" si="2418"/>
        <v>46.799999999999983</v>
      </c>
      <c r="UD352" s="56"/>
      <c r="UG352" s="55">
        <f t="shared" si="2419"/>
        <v>46323</v>
      </c>
      <c r="UH352" s="56"/>
      <c r="UI352" s="242">
        <f>SUMPRODUCT(PRODUCE!$B349:$DY349,PRODUCE!$EB$57:$IY$57)</f>
        <v>0</v>
      </c>
      <c r="UJ352" s="56"/>
      <c r="UK352" s="242">
        <f t="shared" si="2420"/>
        <v>0</v>
      </c>
      <c r="UL352" s="242">
        <f t="shared" si="2421"/>
        <v>204</v>
      </c>
      <c r="UM352" s="56"/>
      <c r="UP352" s="55">
        <f t="shared" si="2422"/>
        <v>46323</v>
      </c>
      <c r="UQ352" s="56"/>
      <c r="UR352" s="242">
        <f>SUMPRODUCT(PRODUCE!$B349:$DY349,PRODUCE!$EB$57:$IY$57)</f>
        <v>0</v>
      </c>
      <c r="US352" s="56"/>
      <c r="UT352" s="242">
        <f t="shared" si="2423"/>
        <v>0</v>
      </c>
      <c r="UU352" s="242">
        <f t="shared" si="2424"/>
        <v>202.5</v>
      </c>
      <c r="UV352" s="56"/>
      <c r="UY352" s="55">
        <f t="shared" si="2425"/>
        <v>46323</v>
      </c>
      <c r="UZ352" s="56"/>
      <c r="VA352" s="242">
        <f>SUMPRODUCT(PRODUCE!$B349:$DY349,PRODUCE!$EB$57:$IY$57)</f>
        <v>0</v>
      </c>
      <c r="VB352" s="56"/>
      <c r="VC352" s="242">
        <f t="shared" si="2426"/>
        <v>0</v>
      </c>
      <c r="VD352" s="242">
        <f t="shared" si="2427"/>
        <v>41.600000000000023</v>
      </c>
      <c r="VE352" s="56"/>
      <c r="VH352" s="55">
        <f t="shared" si="2428"/>
        <v>46323</v>
      </c>
      <c r="VI352" s="56"/>
      <c r="VJ352" s="242">
        <f>SUMPRODUCT(PRODUCE!$B349:$DY349,PRODUCE!$EB$57:$IY$57)</f>
        <v>0</v>
      </c>
      <c r="VK352" s="56"/>
      <c r="VL352" s="242">
        <f t="shared" si="2429"/>
        <v>0</v>
      </c>
      <c r="VM352" s="242">
        <f t="shared" si="2430"/>
        <v>210</v>
      </c>
      <c r="VN352" s="56"/>
      <c r="VQ352" s="55">
        <f t="shared" si="2431"/>
        <v>46323</v>
      </c>
      <c r="VR352" s="56"/>
      <c r="VS352" s="242">
        <f>SUMPRODUCT(PRODUCE!$B349:$DY349,PRODUCE!$EB$57:$IY$57)</f>
        <v>0</v>
      </c>
      <c r="VT352" s="56"/>
      <c r="VU352" s="242">
        <f t="shared" si="2432"/>
        <v>0</v>
      </c>
      <c r="VV352" s="242">
        <f t="shared" si="2433"/>
        <v>0</v>
      </c>
      <c r="VW352" s="56"/>
      <c r="VZ352" s="55">
        <f t="shared" si="2434"/>
        <v>46323</v>
      </c>
      <c r="WA352" s="56"/>
      <c r="WB352" s="242">
        <f>SUMPRODUCT(PRODUCE!$B349:$DY349,PRODUCE!$EB$57:$IY$57)</f>
        <v>0</v>
      </c>
      <c r="WC352" s="56"/>
      <c r="WD352" s="242">
        <f t="shared" si="2435"/>
        <v>0</v>
      </c>
      <c r="WE352" s="242">
        <f t="shared" si="2436"/>
        <v>0</v>
      </c>
      <c r="WF352" s="56"/>
      <c r="WI352" s="55">
        <f t="shared" si="2437"/>
        <v>46323</v>
      </c>
      <c r="WJ352" s="56"/>
      <c r="WK352" s="242">
        <f>SUMPRODUCT(PRODUCE!$B349:$DY349,PRODUCE!$EB$57:$IY$57)</f>
        <v>0</v>
      </c>
      <c r="WL352" s="56"/>
      <c r="WM352" s="242">
        <f t="shared" si="2438"/>
        <v>0</v>
      </c>
      <c r="WN352" s="242">
        <f t="shared" si="2439"/>
        <v>1057</v>
      </c>
      <c r="WO352" s="56"/>
      <c r="WR352" s="55">
        <f t="shared" si="2440"/>
        <v>46323</v>
      </c>
      <c r="WS352" s="56"/>
      <c r="WT352" s="242">
        <f>SUMPRODUCT(PRODUCE!$B349:$DY349,PRODUCE!$EB$57:$IY$57)</f>
        <v>0</v>
      </c>
      <c r="WU352" s="56"/>
      <c r="WV352" s="242">
        <f t="shared" si="2441"/>
        <v>0</v>
      </c>
      <c r="WW352" s="242">
        <f t="shared" si="2442"/>
        <v>0</v>
      </c>
      <c r="WX352" s="56"/>
      <c r="XA352" s="55">
        <f t="shared" si="2443"/>
        <v>46323</v>
      </c>
      <c r="XB352" s="56"/>
      <c r="XC352" s="242">
        <f>SUMPRODUCT(PRODUCE!$B349:$DY349,PRODUCE!$EB$57:$IY$57)</f>
        <v>0</v>
      </c>
      <c r="XD352" s="56"/>
      <c r="XE352" s="242">
        <f t="shared" si="2444"/>
        <v>0</v>
      </c>
      <c r="XF352" s="242">
        <f t="shared" si="2445"/>
        <v>7507</v>
      </c>
      <c r="XG352" s="56"/>
      <c r="XJ352" s="55">
        <f t="shared" si="2446"/>
        <v>46323</v>
      </c>
      <c r="XK352" s="56"/>
      <c r="XL352" s="242">
        <f>SUMPRODUCT(PRODUCE!$B349:$DY349,PRODUCE!$EB$57:$IY$57)</f>
        <v>0</v>
      </c>
      <c r="XM352" s="56"/>
      <c r="XN352" s="242">
        <f t="shared" si="2447"/>
        <v>0</v>
      </c>
      <c r="XO352" s="242">
        <f t="shared" si="2448"/>
        <v>4252</v>
      </c>
      <c r="XP352" s="56"/>
      <c r="XS352" s="55">
        <f t="shared" si="2449"/>
        <v>46323</v>
      </c>
      <c r="XT352" s="56"/>
      <c r="XU352" s="242">
        <f>SUMPRODUCT(PRODUCE!$B349:$DY349,PRODUCE!$EB$57:$IY$57)</f>
        <v>0</v>
      </c>
      <c r="XV352" s="56"/>
      <c r="XW352" s="242">
        <f t="shared" si="2450"/>
        <v>0</v>
      </c>
      <c r="XX352" s="242">
        <f t="shared" si="2451"/>
        <v>2179</v>
      </c>
      <c r="XY352" s="56"/>
      <c r="YB352" s="55">
        <f t="shared" si="2452"/>
        <v>46323</v>
      </c>
      <c r="YC352" s="56"/>
      <c r="YD352" s="242">
        <f>SUMPRODUCT(PRODUCE!$B349:$DY349,PRODUCE!$EB$57:$IY$57)</f>
        <v>0</v>
      </c>
      <c r="YE352" s="56"/>
      <c r="YF352" s="242">
        <f t="shared" si="2453"/>
        <v>0</v>
      </c>
      <c r="YG352" s="242">
        <f t="shared" si="2454"/>
        <v>4019</v>
      </c>
      <c r="YH352" s="56"/>
      <c r="YK352" s="55">
        <f t="shared" si="2455"/>
        <v>46323</v>
      </c>
      <c r="YL352" s="56"/>
      <c r="YM352" s="242">
        <f>SUMPRODUCT(PRODUCE!$B349:$DY349,PRODUCE!$EB$57:$IY$57)</f>
        <v>0</v>
      </c>
      <c r="YN352" s="56"/>
      <c r="YO352" s="242">
        <f t="shared" si="2456"/>
        <v>0</v>
      </c>
      <c r="YP352" s="242">
        <f t="shared" si="2457"/>
        <v>-218</v>
      </c>
      <c r="YQ352" s="56"/>
      <c r="YT352" s="55">
        <f t="shared" si="2458"/>
        <v>46323</v>
      </c>
      <c r="YU352" s="56"/>
      <c r="YV352" s="242">
        <f>SUMPRODUCT(PRODUCE!$B349:$DY349,PRODUCE!$EB$57:$IY$57)</f>
        <v>0</v>
      </c>
      <c r="YW352" s="56"/>
      <c r="YX352" s="242">
        <f t="shared" si="2459"/>
        <v>0</v>
      </c>
      <c r="YY352" s="242">
        <f t="shared" si="2460"/>
        <v>0</v>
      </c>
      <c r="YZ352" s="56"/>
      <c r="ZC352" s="55">
        <f t="shared" si="2461"/>
        <v>46323</v>
      </c>
      <c r="ZD352" s="56"/>
      <c r="ZE352" s="242">
        <f>SUMPRODUCT(PRODUCE!$B349:$DY349,PRODUCE!$EB$57:$IY$57)</f>
        <v>0</v>
      </c>
      <c r="ZF352" s="56"/>
      <c r="ZG352" s="242">
        <f t="shared" si="2462"/>
        <v>0</v>
      </c>
      <c r="ZH352" s="242">
        <f t="shared" si="2463"/>
        <v>0</v>
      </c>
      <c r="ZI352" s="56"/>
      <c r="ZL352" s="55">
        <f t="shared" si="2464"/>
        <v>46323</v>
      </c>
      <c r="ZM352" s="56"/>
      <c r="ZN352" s="242">
        <f>SUMPRODUCT(PRODUCE!$B349:$DY349,PRODUCE!$EB$57:$IY$57)</f>
        <v>0</v>
      </c>
      <c r="ZO352" s="56"/>
      <c r="ZP352" s="242">
        <f t="shared" si="2465"/>
        <v>0</v>
      </c>
      <c r="ZQ352" s="242">
        <f t="shared" si="2466"/>
        <v>0</v>
      </c>
      <c r="ZR352" s="56"/>
      <c r="ZU352" s="55">
        <f t="shared" si="2467"/>
        <v>46323</v>
      </c>
      <c r="ZV352" s="56"/>
      <c r="ZW352" s="242">
        <f>SUMPRODUCT(PRODUCE!$B349:$DY349,PRODUCE!$EB$57:$IY$57)</f>
        <v>0</v>
      </c>
      <c r="ZX352" s="56"/>
      <c r="ZY352" s="242">
        <f t="shared" si="2468"/>
        <v>0</v>
      </c>
      <c r="ZZ352" s="242">
        <f t="shared" si="2469"/>
        <v>0</v>
      </c>
      <c r="AAA352" s="56"/>
      <c r="AAD352" s="55">
        <f t="shared" si="2470"/>
        <v>46323</v>
      </c>
      <c r="AAE352" s="56"/>
      <c r="AAF352" s="242">
        <f>SUMPRODUCT(PRODUCE!$B349:$DY349,PRODUCE!$EB$57:$IY$57)</f>
        <v>0</v>
      </c>
      <c r="AAG352" s="56"/>
      <c r="AAH352" s="242">
        <f t="shared" si="2471"/>
        <v>0</v>
      </c>
      <c r="AAI352" s="242">
        <f t="shared" si="2472"/>
        <v>0</v>
      </c>
      <c r="AAJ352" s="56"/>
      <c r="AAM352" s="55">
        <f t="shared" si="2473"/>
        <v>46323</v>
      </c>
      <c r="AAN352" s="56"/>
      <c r="AAO352" s="242">
        <f>SUMPRODUCT(PRODUCE!$B349:$DY349,PRODUCE!$EB$57:$IY$57)</f>
        <v>0</v>
      </c>
      <c r="AAP352" s="56"/>
      <c r="AAQ352" s="242">
        <f t="shared" si="2474"/>
        <v>0</v>
      </c>
      <c r="AAR352" s="242">
        <f t="shared" si="2475"/>
        <v>0</v>
      </c>
      <c r="AAS352" s="56"/>
      <c r="AAV352" s="55">
        <f t="shared" si="2476"/>
        <v>46323</v>
      </c>
      <c r="AAW352" s="56"/>
      <c r="AAX352" s="242">
        <f>SUMPRODUCT(PRODUCE!$B349:$DY349,PRODUCE!$EB$57:$IY$57)</f>
        <v>0</v>
      </c>
      <c r="AAY352" s="56"/>
      <c r="AAZ352" s="242">
        <f t="shared" si="2477"/>
        <v>0</v>
      </c>
      <c r="ABA352" s="242">
        <f t="shared" si="2478"/>
        <v>0</v>
      </c>
      <c r="ABB352" s="56"/>
      <c r="ABE352" s="55">
        <f t="shared" si="2479"/>
        <v>46323</v>
      </c>
      <c r="ABF352" s="56"/>
      <c r="ABG352" s="242">
        <f>SUMPRODUCT(PRODUCE!$B349:$DY349,PRODUCE!$EB$57:$IY$57)</f>
        <v>0</v>
      </c>
      <c r="ABH352" s="56"/>
      <c r="ABI352" s="242">
        <f t="shared" si="2480"/>
        <v>0</v>
      </c>
      <c r="ABJ352" s="242">
        <f t="shared" si="2481"/>
        <v>0</v>
      </c>
      <c r="ABK352" s="56"/>
    </row>
    <row r="353" spans="1:739" s="54" customFormat="1" ht="15" customHeight="1" outlineLevel="1">
      <c r="B353" s="478"/>
      <c r="C353" s="55">
        <v>46324</v>
      </c>
      <c r="D353" s="56"/>
      <c r="E353" s="57">
        <f>SUMPRODUCT(PRODUCE!$B350:$DY350,PRODUCE!$EB$7:$IY$7)</f>
        <v>0</v>
      </c>
      <c r="F353" s="56"/>
      <c r="G353" s="57">
        <f t="shared" si="2237"/>
        <v>0</v>
      </c>
      <c r="H353" s="57">
        <f t="shared" si="2238"/>
        <v>236936.6</v>
      </c>
      <c r="I353" s="289"/>
      <c r="L353" s="55">
        <f t="shared" si="2239"/>
        <v>46324</v>
      </c>
      <c r="M353" s="56"/>
      <c r="N353" s="59">
        <f>SUMPRODUCT(PRODUCE!$B350:$DY350,PRODUCE!$EB$8:$IY$8)</f>
        <v>0</v>
      </c>
      <c r="O353" s="56"/>
      <c r="P353" s="59">
        <f t="shared" si="2240"/>
        <v>0</v>
      </c>
      <c r="Q353" s="59">
        <f t="shared" si="2241"/>
        <v>53017.600000000071</v>
      </c>
      <c r="R353" s="56"/>
      <c r="U353" s="55">
        <f t="shared" si="2242"/>
        <v>46324</v>
      </c>
      <c r="V353" s="56"/>
      <c r="W353" s="60">
        <f>SUMPRODUCT(PRODUCE!$B350:$DY350,PRODUCE!$EB$9:$IY$9)</f>
        <v>0</v>
      </c>
      <c r="X353" s="56"/>
      <c r="Y353" s="60">
        <f t="shared" si="2243"/>
        <v>0</v>
      </c>
      <c r="Z353" s="60">
        <f t="shared" si="2244"/>
        <v>42674.199999999968</v>
      </c>
      <c r="AA353" s="56"/>
      <c r="AD353" s="55">
        <f t="shared" si="2245"/>
        <v>46324</v>
      </c>
      <c r="AE353" s="56"/>
      <c r="AF353" s="61">
        <f>SUMPRODUCT(PRODUCE!$B350:$DY350,PRODUCE!$EB$10:$IY$10)</f>
        <v>0</v>
      </c>
      <c r="AG353" s="56"/>
      <c r="AH353" s="61">
        <f t="shared" si="2246"/>
        <v>0</v>
      </c>
      <c r="AI353" s="61">
        <f t="shared" si="2247"/>
        <v>4522.2000000000189</v>
      </c>
      <c r="AJ353" s="56"/>
      <c r="AM353" s="55">
        <f t="shared" si="2248"/>
        <v>46324</v>
      </c>
      <c r="AN353" s="422"/>
      <c r="AO353" s="444">
        <f>SUMPRODUCT(PRODUCE!$B350:$DY350,PRODUCE!$EB$11:$IY$11)</f>
        <v>0</v>
      </c>
      <c r="AP353" s="422"/>
      <c r="AQ353" s="444">
        <f t="shared" si="2249"/>
        <v>0</v>
      </c>
      <c r="AR353" s="444">
        <f t="shared" si="2250"/>
        <v>0</v>
      </c>
      <c r="AS353" s="56"/>
      <c r="AV353" s="55">
        <f t="shared" si="2251"/>
        <v>46324</v>
      </c>
      <c r="AW353" s="56"/>
      <c r="AX353" s="62">
        <f>SUMPRODUCT(PRODUCE!$B350:$DY350,PRODUCE!$EB$12:$IY$12)</f>
        <v>0</v>
      </c>
      <c r="AY353" s="56"/>
      <c r="AZ353" s="62">
        <f t="shared" si="2252"/>
        <v>0</v>
      </c>
      <c r="BA353" s="62">
        <f t="shared" si="2253"/>
        <v>124.99999999999523</v>
      </c>
      <c r="BB353" s="56"/>
      <c r="BE353" s="55">
        <f t="shared" si="2254"/>
        <v>46324</v>
      </c>
      <c r="BF353" s="56"/>
      <c r="BG353" s="63">
        <f>SUMPRODUCT(PRODUCE!$B350:$DY350,PRODUCE!$EB$13:$IY$13)</f>
        <v>0</v>
      </c>
      <c r="BH353" s="56"/>
      <c r="BI353" s="63">
        <f t="shared" si="2255"/>
        <v>0</v>
      </c>
      <c r="BJ353" s="63">
        <f t="shared" si="2256"/>
        <v>26151.899999999998</v>
      </c>
      <c r="BK353" s="56"/>
      <c r="BN353" s="55">
        <f t="shared" si="2257"/>
        <v>46324</v>
      </c>
      <c r="BO353" s="56"/>
      <c r="BP353" s="64">
        <f>SUMPRODUCT(PRODUCE!$B350:$DY350,PRODUCE!$EB$14:$IY$14)</f>
        <v>0</v>
      </c>
      <c r="BQ353" s="56"/>
      <c r="BR353" s="64">
        <f t="shared" si="2258"/>
        <v>0</v>
      </c>
      <c r="BS353" s="64">
        <f t="shared" si="2259"/>
        <v>0</v>
      </c>
      <c r="BT353" s="56"/>
      <c r="BW353" s="55">
        <f t="shared" si="2260"/>
        <v>46324</v>
      </c>
      <c r="BX353" s="56"/>
      <c r="BY353" s="65">
        <f>SUMPRODUCT(PRODUCE!$B350:$DY350,PRODUCE!$EB$15:$IY$15)</f>
        <v>0</v>
      </c>
      <c r="BZ353" s="56"/>
      <c r="CA353" s="65">
        <f t="shared" si="2261"/>
        <v>0</v>
      </c>
      <c r="CB353" s="65">
        <f t="shared" si="2262"/>
        <v>2097.3399999999992</v>
      </c>
      <c r="CC353" s="56"/>
      <c r="CF353" s="55">
        <f t="shared" si="2263"/>
        <v>46324</v>
      </c>
      <c r="CG353" s="56"/>
      <c r="CH353" s="66">
        <f>SUMPRODUCT(PRODUCE!$B350:$DY350,PRODUCE!$EB$16:$IY$16)</f>
        <v>0</v>
      </c>
      <c r="CI353" s="56"/>
      <c r="CJ353" s="66">
        <f t="shared" si="2264"/>
        <v>0</v>
      </c>
      <c r="CK353" s="66">
        <f t="shared" si="2265"/>
        <v>-10277.079999999998</v>
      </c>
      <c r="CL353" s="56"/>
      <c r="CO353" s="55">
        <f t="shared" si="2266"/>
        <v>46324</v>
      </c>
      <c r="CP353" s="422"/>
      <c r="CQ353" s="470">
        <f>SUMPRODUCT(PRODUCE!$B350:$DY350,PRODUCE!$EB$17:$IY$17)</f>
        <v>0</v>
      </c>
      <c r="CR353" s="422"/>
      <c r="CS353" s="470">
        <f t="shared" si="2267"/>
        <v>0</v>
      </c>
      <c r="CT353" s="470">
        <f t="shared" si="2268"/>
        <v>0</v>
      </c>
      <c r="CU353" s="56"/>
      <c r="CX353" s="55">
        <f t="shared" si="2269"/>
        <v>46324</v>
      </c>
      <c r="CY353" s="56"/>
      <c r="CZ353" s="133">
        <f>SUMPRODUCT(PRODUCE!$B350:$DY350,PRODUCE!$EB$18:$IY$18)</f>
        <v>0</v>
      </c>
      <c r="DA353" s="56"/>
      <c r="DB353" s="133">
        <f t="shared" si="2270"/>
        <v>0</v>
      </c>
      <c r="DC353" s="133">
        <f t="shared" si="2271"/>
        <v>27438.200000000012</v>
      </c>
      <c r="DD353" s="56"/>
      <c r="DG353" s="55">
        <f t="shared" si="2272"/>
        <v>46324</v>
      </c>
      <c r="DH353" s="56"/>
      <c r="DI353" s="147">
        <f>SUMPRODUCT(PRODUCE!$B350:$DY350,PRODUCE!$EB$19:$IY$19)</f>
        <v>0</v>
      </c>
      <c r="DJ353" s="56"/>
      <c r="DK353" s="147">
        <f t="shared" si="2273"/>
        <v>0</v>
      </c>
      <c r="DL353" s="147">
        <f t="shared" si="2274"/>
        <v>18782.299999999981</v>
      </c>
      <c r="DM353" s="56"/>
      <c r="DP353" s="55">
        <f t="shared" si="2275"/>
        <v>46324</v>
      </c>
      <c r="DQ353" s="56"/>
      <c r="DR353" s="57">
        <f>SUMPRODUCT(PRODUCE!$B350:$DY350,PRODUCE!$EB$20:$IY$20)</f>
        <v>0</v>
      </c>
      <c r="DS353" s="56"/>
      <c r="DT353" s="57">
        <f t="shared" si="2276"/>
        <v>0</v>
      </c>
      <c r="DU353" s="57">
        <f t="shared" si="2277"/>
        <v>5800</v>
      </c>
      <c r="DV353" s="56"/>
      <c r="DY353" s="55">
        <f t="shared" si="2278"/>
        <v>46324</v>
      </c>
      <c r="DZ353" s="56"/>
      <c r="EA353" s="157">
        <f>SUMPRODUCT(PRODUCE!$B350:$DY350,PRODUCE!$EB$21:$IY$21)</f>
        <v>0</v>
      </c>
      <c r="EB353" s="56"/>
      <c r="EC353" s="157">
        <f t="shared" si="2279"/>
        <v>0</v>
      </c>
      <c r="ED353" s="157">
        <f t="shared" si="2280"/>
        <v>0</v>
      </c>
      <c r="EE353" s="56"/>
      <c r="EH353" s="55">
        <f t="shared" si="2281"/>
        <v>46324</v>
      </c>
      <c r="EI353" s="56"/>
      <c r="EJ353" s="162">
        <f>SUMPRODUCT(PRODUCE!$B350:$DY350,PRODUCE!$EB$22:$IY$22)</f>
        <v>0</v>
      </c>
      <c r="EK353" s="56"/>
      <c r="EL353" s="162">
        <f t="shared" si="2282"/>
        <v>0</v>
      </c>
      <c r="EM353" s="162">
        <f t="shared" si="2283"/>
        <v>0</v>
      </c>
      <c r="EN353" s="56"/>
      <c r="EQ353" s="55">
        <f t="shared" si="2284"/>
        <v>46324</v>
      </c>
      <c r="ER353" s="56"/>
      <c r="ES353" s="135">
        <f>SUMPRODUCT(PRODUCE!$B350:$DY350,PRODUCE!$EB$23:$IY$23)</f>
        <v>0</v>
      </c>
      <c r="ET353" s="56"/>
      <c r="EU353" s="135">
        <f t="shared" si="2285"/>
        <v>0</v>
      </c>
      <c r="EV353" s="135">
        <f t="shared" si="2286"/>
        <v>0</v>
      </c>
      <c r="EW353" s="56"/>
      <c r="EZ353" s="55">
        <f t="shared" si="2287"/>
        <v>46324</v>
      </c>
      <c r="FA353" s="56"/>
      <c r="FB353" s="175">
        <f>SUMPRODUCT(PRODUCE!$B350:$DY350,PRODUCE!$EB$24:$IY$24)</f>
        <v>0</v>
      </c>
      <c r="FC353" s="56"/>
      <c r="FD353" s="175">
        <f t="shared" si="2288"/>
        <v>0</v>
      </c>
      <c r="FE353" s="175">
        <f t="shared" si="2289"/>
        <v>0</v>
      </c>
      <c r="FF353" s="56"/>
      <c r="FI353" s="55">
        <f t="shared" si="2290"/>
        <v>46324</v>
      </c>
      <c r="FJ353" s="56"/>
      <c r="FK353" s="183">
        <f>SUMPRODUCT(PRODUCE!$B350:$DY350,PRODUCE!$EB$25:$IY$25)</f>
        <v>0</v>
      </c>
      <c r="FL353" s="56"/>
      <c r="FM353" s="183">
        <f t="shared" si="2291"/>
        <v>0</v>
      </c>
      <c r="FN353" s="183">
        <f t="shared" si="2292"/>
        <v>0</v>
      </c>
      <c r="FO353" s="56"/>
      <c r="FR353" s="55">
        <f t="shared" si="2293"/>
        <v>46324</v>
      </c>
      <c r="FS353" s="56"/>
      <c r="FT353" s="186">
        <f>SUMPRODUCT(PRODUCE!$B350:$DY350,PRODUCE!$EB$26:$IY$26)</f>
        <v>0</v>
      </c>
      <c r="FU353" s="56"/>
      <c r="FV353" s="186">
        <f t="shared" si="2294"/>
        <v>0</v>
      </c>
      <c r="FW353" s="186">
        <f t="shared" si="2295"/>
        <v>2020</v>
      </c>
      <c r="FX353" s="56"/>
      <c r="GA353" s="55">
        <f t="shared" si="2296"/>
        <v>46324</v>
      </c>
      <c r="GB353" s="56"/>
      <c r="GC353" s="137">
        <f>SUMPRODUCT(PRODUCE!$B350:$DY350,PRODUCE!$EB$27:$IY$27)</f>
        <v>0</v>
      </c>
      <c r="GD353" s="56"/>
      <c r="GE353" s="137">
        <f t="shared" si="2297"/>
        <v>0</v>
      </c>
      <c r="GF353" s="137">
        <f t="shared" si="2298"/>
        <v>960</v>
      </c>
      <c r="GG353" s="56"/>
      <c r="GI353" s="23"/>
      <c r="GJ353" s="55">
        <f t="shared" si="2299"/>
        <v>46324</v>
      </c>
      <c r="GK353" s="56"/>
      <c r="GL353" s="199">
        <f>SUMPRODUCT(PRODUCE!$B350:$DY350,PRODUCE!$EB$28:$IY$28)</f>
        <v>0</v>
      </c>
      <c r="GM353" s="56"/>
      <c r="GN353" s="199">
        <f t="shared" si="2300"/>
        <v>0</v>
      </c>
      <c r="GO353" s="199">
        <f t="shared" si="2301"/>
        <v>1760</v>
      </c>
      <c r="GP353" s="56"/>
      <c r="GS353" s="55">
        <f t="shared" si="2302"/>
        <v>46324</v>
      </c>
      <c r="GT353" s="56"/>
      <c r="GU353" s="195">
        <f>SUMPRODUCT(PRODUCE!$B350:$DY350,PRODUCE!$EB$29:$IY$29)</f>
        <v>0</v>
      </c>
      <c r="GV353" s="56"/>
      <c r="GW353" s="195">
        <f t="shared" si="2303"/>
        <v>0</v>
      </c>
      <c r="GX353" s="195">
        <f t="shared" si="2304"/>
        <v>400</v>
      </c>
      <c r="GY353" s="56"/>
      <c r="HB353" s="55">
        <f t="shared" si="2305"/>
        <v>46324</v>
      </c>
      <c r="HC353" s="56"/>
      <c r="HD353" s="191">
        <f>SUMPRODUCT(PRODUCE!$B350:$DY350,PRODUCE!$EB$30:$IY$30)</f>
        <v>0</v>
      </c>
      <c r="HE353" s="56"/>
      <c r="HF353" s="191">
        <f t="shared" si="2306"/>
        <v>0</v>
      </c>
      <c r="HG353" s="191">
        <f t="shared" si="2307"/>
        <v>3600</v>
      </c>
      <c r="HH353" s="56"/>
      <c r="HK353" s="55">
        <f t="shared" si="2308"/>
        <v>46324</v>
      </c>
      <c r="HL353" s="56"/>
      <c r="HM353" s="63">
        <f>SUMPRODUCT(PRODUCE!$B350:$DY350,PRODUCE!$EB$31:$IY$31)</f>
        <v>0</v>
      </c>
      <c r="HN353" s="56"/>
      <c r="HO353" s="63">
        <f t="shared" si="2309"/>
        <v>0</v>
      </c>
      <c r="HP353" s="63">
        <f t="shared" si="2310"/>
        <v>0</v>
      </c>
      <c r="HQ353" s="56"/>
      <c r="HU353" s="55">
        <f t="shared" si="2311"/>
        <v>46324</v>
      </c>
      <c r="HV353" s="56"/>
      <c r="HW353" s="242">
        <f>SUMPRODUCT(PRODUCE!$B350:$DY350,PRODUCE!$EB$32:$IY$32)</f>
        <v>0</v>
      </c>
      <c r="HX353" s="56"/>
      <c r="HY353" s="242">
        <f t="shared" si="2312"/>
        <v>0</v>
      </c>
      <c r="HZ353" s="242">
        <f t="shared" si="2313"/>
        <v>6120</v>
      </c>
      <c r="IA353" s="56"/>
      <c r="ID353" s="55">
        <f t="shared" si="2314"/>
        <v>46324</v>
      </c>
      <c r="IE353" s="56"/>
      <c r="IF353" s="242">
        <f>SUMPRODUCT(PRODUCE!$B350:$DY350,PRODUCE!$EB$33:$IY$33)</f>
        <v>0</v>
      </c>
      <c r="IG353" s="56"/>
      <c r="IH353" s="242">
        <f t="shared" si="2315"/>
        <v>0</v>
      </c>
      <c r="II353" s="242">
        <f t="shared" si="2316"/>
        <v>0</v>
      </c>
      <c r="IJ353" s="56"/>
      <c r="IM353" s="55">
        <f t="shared" si="2317"/>
        <v>46324</v>
      </c>
      <c r="IN353" s="56"/>
      <c r="IO353" s="242">
        <f>SUMPRODUCT(PRODUCE!$B350:$DY350,PRODUCE!$EB$34:$IY$34)</f>
        <v>0</v>
      </c>
      <c r="IP353" s="56"/>
      <c r="IQ353" s="242">
        <f t="shared" si="2318"/>
        <v>0</v>
      </c>
      <c r="IR353" s="242">
        <f t="shared" si="2319"/>
        <v>0</v>
      </c>
      <c r="IS353" s="56"/>
      <c r="IV353" s="55">
        <f t="shared" si="2320"/>
        <v>46324</v>
      </c>
      <c r="IW353" s="56"/>
      <c r="IX353" s="242">
        <f>SUMPRODUCT(PRODUCE!$B350:$DY350,PRODUCE!$EB$35:$IY$35)</f>
        <v>0</v>
      </c>
      <c r="IY353" s="56"/>
      <c r="IZ353" s="242">
        <f t="shared" si="2321"/>
        <v>0</v>
      </c>
      <c r="JA353" s="242">
        <f t="shared" si="2322"/>
        <v>2820</v>
      </c>
      <c r="JB353" s="56"/>
      <c r="JE353" s="55">
        <f t="shared" si="2323"/>
        <v>46324</v>
      </c>
      <c r="JF353" s="56"/>
      <c r="JG353" s="242">
        <f>SUMPRODUCT(PRODUCE!$B350:$DY350,PRODUCE!$EB$36:$IY$36)</f>
        <v>0</v>
      </c>
      <c r="JH353" s="56"/>
      <c r="JI353" s="242">
        <f t="shared" si="2324"/>
        <v>0</v>
      </c>
      <c r="JJ353" s="242">
        <f t="shared" si="2325"/>
        <v>0</v>
      </c>
      <c r="JK353" s="56"/>
      <c r="JN353" s="55">
        <f t="shared" si="2326"/>
        <v>46324</v>
      </c>
      <c r="JO353" s="56"/>
      <c r="JP353" s="242">
        <f>SUMPRODUCT(PRODUCE!$B350:$DY350,PRODUCE!$EB$37:$IY$37)</f>
        <v>0</v>
      </c>
      <c r="JQ353" s="56"/>
      <c r="JR353" s="242">
        <f t="shared" si="2327"/>
        <v>0</v>
      </c>
      <c r="JS353" s="242">
        <f t="shared" si="2328"/>
        <v>0</v>
      </c>
      <c r="JT353" s="56"/>
      <c r="JW353" s="55">
        <f t="shared" si="2329"/>
        <v>46324</v>
      </c>
      <c r="JX353" s="56"/>
      <c r="JY353" s="242">
        <f>SUMPRODUCT(PRODUCE!$B350:$DY350,PRODUCE!$EB$38:$IY$38)</f>
        <v>0</v>
      </c>
      <c r="JZ353" s="56"/>
      <c r="KA353" s="242">
        <f t="shared" si="2330"/>
        <v>0</v>
      </c>
      <c r="KB353" s="242">
        <f t="shared" si="2331"/>
        <v>2540</v>
      </c>
      <c r="KC353" s="56"/>
      <c r="KF353" s="55">
        <f t="shared" si="2332"/>
        <v>46324</v>
      </c>
      <c r="KG353" s="56"/>
      <c r="KH353" s="242">
        <f>SUMPRODUCT(PRODUCE!$B350:$DY350,PRODUCE!$EB$39:$IY$39)</f>
        <v>0</v>
      </c>
      <c r="KI353" s="56"/>
      <c r="KJ353" s="242">
        <f t="shared" si="2333"/>
        <v>0</v>
      </c>
      <c r="KK353" s="242">
        <f t="shared" si="2334"/>
        <v>2359.5</v>
      </c>
      <c r="KL353" s="56"/>
      <c r="KO353" s="55">
        <f t="shared" si="2335"/>
        <v>46324</v>
      </c>
      <c r="KP353" s="56"/>
      <c r="KQ353" s="242">
        <f>SUMPRODUCT(PRODUCE!$B350:$DY350,PRODUCE!$EB$40:$IY$40)</f>
        <v>0</v>
      </c>
      <c r="KR353" s="56"/>
      <c r="KS353" s="242">
        <f t="shared" si="2336"/>
        <v>0</v>
      </c>
      <c r="KT353" s="242">
        <f t="shared" si="2337"/>
        <v>1890</v>
      </c>
      <c r="KU353" s="56"/>
      <c r="KW353" s="23"/>
      <c r="KX353" s="55">
        <f t="shared" si="2338"/>
        <v>46324</v>
      </c>
      <c r="KY353" s="56"/>
      <c r="KZ353" s="242">
        <f>SUMPRODUCT(PRODUCE!$B350:$DY350,PRODUCE!$EB$41:$IY$41)</f>
        <v>0</v>
      </c>
      <c r="LA353" s="56"/>
      <c r="LB353" s="242">
        <f t="shared" si="2339"/>
        <v>0</v>
      </c>
      <c r="LC353" s="242">
        <f t="shared" si="2340"/>
        <v>3690</v>
      </c>
      <c r="LD353" s="56"/>
      <c r="LG353" s="55">
        <f t="shared" si="2341"/>
        <v>46324</v>
      </c>
      <c r="LH353" s="56"/>
      <c r="LI353" s="242">
        <f>SUMPRODUCT(PRODUCE!$B350:$DY350,PRODUCE!$EB$42:$IY$42)</f>
        <v>0</v>
      </c>
      <c r="LJ353" s="56"/>
      <c r="LK353" s="242">
        <f t="shared" si="2342"/>
        <v>0</v>
      </c>
      <c r="LL353" s="242">
        <f t="shared" si="2343"/>
        <v>4000</v>
      </c>
      <c r="LM353" s="56"/>
      <c r="LP353" s="55">
        <f t="shared" si="2344"/>
        <v>46324</v>
      </c>
      <c r="LQ353" s="56"/>
      <c r="LR353" s="242">
        <f>SUMPRODUCT(PRODUCE!$B350:$DY350,PRODUCE!$EB$43:$IY$43)</f>
        <v>0</v>
      </c>
      <c r="LS353" s="56"/>
      <c r="LT353" s="242">
        <f t="shared" si="2345"/>
        <v>0</v>
      </c>
      <c r="LU353" s="242">
        <f t="shared" si="2346"/>
        <v>0</v>
      </c>
      <c r="LV353" s="56"/>
      <c r="LY353" s="55">
        <f t="shared" si="2347"/>
        <v>46324</v>
      </c>
      <c r="LZ353" s="56"/>
      <c r="MA353" s="242">
        <f>SUMPRODUCT(PRODUCE!$B350:$DY350,PRODUCE!$EB$44:$IY$44)</f>
        <v>0</v>
      </c>
      <c r="MB353" s="56"/>
      <c r="MC353" s="242">
        <f t="shared" si="2348"/>
        <v>0</v>
      </c>
      <c r="MD353" s="242">
        <f t="shared" si="2349"/>
        <v>0</v>
      </c>
      <c r="ME353" s="56"/>
      <c r="MH353" s="55">
        <f t="shared" si="2350"/>
        <v>46324</v>
      </c>
      <c r="MI353" s="56"/>
      <c r="MJ353" s="242">
        <f>SUMPRODUCT(PRODUCE!$B350:$DY350,PRODUCE!$EB$45:$IY$45)</f>
        <v>0</v>
      </c>
      <c r="MK353" s="56"/>
      <c r="ML353" s="242">
        <f t="shared" si="2351"/>
        <v>0</v>
      </c>
      <c r="MM353" s="242">
        <f t="shared" si="2352"/>
        <v>0</v>
      </c>
      <c r="MN353" s="56"/>
      <c r="MQ353" s="55">
        <f t="shared" si="2353"/>
        <v>46324</v>
      </c>
      <c r="MR353" s="56"/>
      <c r="MS353" s="242">
        <f>SUMPRODUCT(PRODUCE!$B350:$DY350,PRODUCE!$EB$46:$IY$46)</f>
        <v>0</v>
      </c>
      <c r="MT353" s="56"/>
      <c r="MU353" s="242">
        <f t="shared" si="2354"/>
        <v>0</v>
      </c>
      <c r="MV353" s="242">
        <f t="shared" si="2355"/>
        <v>1625</v>
      </c>
      <c r="MW353" s="56"/>
      <c r="MZ353" s="55">
        <f t="shared" si="2356"/>
        <v>46324</v>
      </c>
      <c r="NA353" s="56"/>
      <c r="NB353" s="242">
        <f>SUMPRODUCT(PRODUCE!$B350:$DY350,PRODUCE!$EB$47:$IY$47)</f>
        <v>0</v>
      </c>
      <c r="NC353" s="56"/>
      <c r="ND353" s="242">
        <f t="shared" si="2357"/>
        <v>0</v>
      </c>
      <c r="NE353" s="242">
        <f t="shared" si="2358"/>
        <v>0</v>
      </c>
      <c r="NF353" s="56"/>
      <c r="NI353" s="55">
        <f t="shared" si="2359"/>
        <v>46324</v>
      </c>
      <c r="NJ353" s="56"/>
      <c r="NK353" s="242">
        <f>SUMPRODUCT(PRODUCE!$B350:$DY350,PRODUCE!$EB$48:$IY$48)</f>
        <v>0</v>
      </c>
      <c r="NL353" s="56"/>
      <c r="NM353" s="242">
        <f t="shared" si="2360"/>
        <v>0</v>
      </c>
      <c r="NN353" s="242">
        <f t="shared" si="2361"/>
        <v>1127</v>
      </c>
      <c r="NO353" s="56"/>
      <c r="NR353" s="55">
        <f t="shared" si="2362"/>
        <v>46324</v>
      </c>
      <c r="NS353" s="56"/>
      <c r="NT353" s="242">
        <f>SUMPRODUCT(PRODUCE!$B350:$DY350,PRODUCE!$EB$49:$IY$49)</f>
        <v>0</v>
      </c>
      <c r="NU353" s="56"/>
      <c r="NV353" s="242">
        <f t="shared" si="2363"/>
        <v>0</v>
      </c>
      <c r="NW353" s="242">
        <f t="shared" si="2364"/>
        <v>3111.9999999999995</v>
      </c>
      <c r="NX353" s="56"/>
      <c r="OA353" s="55">
        <f t="shared" si="2365"/>
        <v>46324</v>
      </c>
      <c r="OB353" s="56"/>
      <c r="OC353" s="242">
        <f>SUMPRODUCT(PRODUCE!$B350:$DY350,PRODUCE!$EB$50:$IY$50)</f>
        <v>0</v>
      </c>
      <c r="OD353" s="56"/>
      <c r="OE353" s="242">
        <f t="shared" si="2366"/>
        <v>0</v>
      </c>
      <c r="OF353" s="242">
        <f t="shared" si="2367"/>
        <v>1680.5</v>
      </c>
      <c r="OG353" s="56"/>
      <c r="OJ353" s="55">
        <f t="shared" si="2368"/>
        <v>46324</v>
      </c>
      <c r="OK353" s="56"/>
      <c r="OL353" s="242">
        <f>SUMPRODUCT(PRODUCE!$B350:$DY350,PRODUCE!$EB$51:$IY$51)</f>
        <v>0</v>
      </c>
      <c r="OM353" s="56"/>
      <c r="ON353" s="242">
        <f t="shared" si="2369"/>
        <v>0</v>
      </c>
      <c r="OO353" s="242">
        <f t="shared" si="2370"/>
        <v>0</v>
      </c>
      <c r="OP353" s="56"/>
      <c r="OS353" s="55">
        <f t="shared" si="2371"/>
        <v>46324</v>
      </c>
      <c r="OT353" s="56"/>
      <c r="OU353" s="242">
        <f>SUMPRODUCT(PRODUCE!$B350:$DY350,PRODUCE!$EB$52:$IY$52)</f>
        <v>0</v>
      </c>
      <c r="OV353" s="56"/>
      <c r="OW353" s="242">
        <f t="shared" si="2372"/>
        <v>0</v>
      </c>
      <c r="OX353" s="242">
        <f t="shared" si="2373"/>
        <v>1482</v>
      </c>
      <c r="OY353" s="56"/>
      <c r="PB353" s="55">
        <f t="shared" si="2374"/>
        <v>46324</v>
      </c>
      <c r="PC353" s="56"/>
      <c r="PD353" s="242">
        <f>SUMPRODUCT(PRODUCE!$B350:$DY350,PRODUCE!$EB$53:$IY$53)</f>
        <v>0</v>
      </c>
      <c r="PE353" s="56"/>
      <c r="PF353" s="242">
        <f t="shared" si="2375"/>
        <v>0</v>
      </c>
      <c r="PG353" s="242">
        <f t="shared" si="2376"/>
        <v>0</v>
      </c>
      <c r="PH353" s="56"/>
      <c r="PK353" s="55">
        <f t="shared" si="2377"/>
        <v>46324</v>
      </c>
      <c r="PL353" s="56"/>
      <c r="PM353" s="242">
        <f>SUMPRODUCT(PRODUCE!$B350:$DY350,PRODUCE!$EB$54:$IY$54)</f>
        <v>0</v>
      </c>
      <c r="PN353" s="56"/>
      <c r="PO353" s="242">
        <f t="shared" si="2378"/>
        <v>0</v>
      </c>
      <c r="PP353" s="242">
        <f t="shared" si="2379"/>
        <v>100</v>
      </c>
      <c r="PQ353" s="56"/>
      <c r="PT353" s="55">
        <f t="shared" si="2380"/>
        <v>46324</v>
      </c>
      <c r="PU353" s="56"/>
      <c r="PV353" s="242">
        <f>SUMPRODUCT(PRODUCE!$B350:$DY350,PRODUCE!$EB$55:$IY$55)</f>
        <v>0</v>
      </c>
      <c r="PW353" s="56"/>
      <c r="PX353" s="242">
        <f t="shared" si="2381"/>
        <v>0</v>
      </c>
      <c r="PY353" s="242">
        <f t="shared" si="2382"/>
        <v>13.960000000000036</v>
      </c>
      <c r="PZ353" s="56"/>
      <c r="QC353" s="55">
        <f t="shared" si="2383"/>
        <v>46324</v>
      </c>
      <c r="QD353" s="56"/>
      <c r="QE353" s="242">
        <f>SUMPRODUCT(PRODUCE!$B350:$DY350,PRODUCE!$EB$56:$IY$56)</f>
        <v>0</v>
      </c>
      <c r="QF353" s="56"/>
      <c r="QG353" s="242">
        <f t="shared" si="2384"/>
        <v>0</v>
      </c>
      <c r="QH353" s="242">
        <f t="shared" si="2385"/>
        <v>548</v>
      </c>
      <c r="QI353" s="56"/>
      <c r="QL353" s="55">
        <f t="shared" si="2386"/>
        <v>46324</v>
      </c>
      <c r="QM353" s="56"/>
      <c r="QN353" s="242">
        <f>SUMPRODUCT(PRODUCE!$B350:$DY350,PRODUCE!$EB$57:$IY$57)</f>
        <v>0</v>
      </c>
      <c r="QO353" s="56"/>
      <c r="QP353" s="242">
        <f t="shared" si="2387"/>
        <v>0</v>
      </c>
      <c r="QQ353" s="242">
        <f t="shared" si="2388"/>
        <v>0</v>
      </c>
      <c r="QR353" s="56"/>
      <c r="QU353" s="55">
        <f t="shared" si="2389"/>
        <v>46324</v>
      </c>
      <c r="QV353" s="56"/>
      <c r="QW353" s="242">
        <f>SUMPRODUCT(PRODUCE!$B350:$DY350,PRODUCE!$EB$57:$IY$57)</f>
        <v>0</v>
      </c>
      <c r="QX353" s="56"/>
      <c r="QY353" s="242">
        <f t="shared" si="2390"/>
        <v>0</v>
      </c>
      <c r="QZ353" s="242">
        <f t="shared" si="2391"/>
        <v>0</v>
      </c>
      <c r="RA353" s="56"/>
      <c r="RD353" s="55">
        <f t="shared" si="2392"/>
        <v>46324</v>
      </c>
      <c r="RE353" s="56"/>
      <c r="RF353" s="242">
        <f>SUMPRODUCT(PRODUCE!$B350:$DY350,PRODUCE!$EB$58:$IY$58)</f>
        <v>0</v>
      </c>
      <c r="RG353" s="56"/>
      <c r="RH353" s="242">
        <f t="shared" si="2393"/>
        <v>0</v>
      </c>
      <c r="RI353" s="242">
        <f t="shared" si="2394"/>
        <v>147.04000000000002</v>
      </c>
      <c r="RJ353" s="56"/>
      <c r="RM353" s="55">
        <f t="shared" si="2395"/>
        <v>46324</v>
      </c>
      <c r="RN353" s="56"/>
      <c r="RO353" s="242">
        <f>SUMPRODUCT(PRODUCE!$B350:$DY350,PRODUCE!$EB$57:$IY$57)</f>
        <v>0</v>
      </c>
      <c r="RP353" s="56"/>
      <c r="RQ353" s="242">
        <f t="shared" si="2396"/>
        <v>0</v>
      </c>
      <c r="RR353" s="242">
        <f t="shared" si="2397"/>
        <v>46.8</v>
      </c>
      <c r="RS353" s="56"/>
      <c r="RV353" s="55">
        <f t="shared" si="2398"/>
        <v>46324</v>
      </c>
      <c r="RW353" s="56"/>
      <c r="RX353" s="242">
        <f>SUMPRODUCT(PRODUCE!$B350:$DY350,PRODUCE!$EB$57:$IY$57)</f>
        <v>0</v>
      </c>
      <c r="RY353" s="56"/>
      <c r="RZ353" s="242">
        <f t="shared" si="2399"/>
        <v>0</v>
      </c>
      <c r="SA353" s="242">
        <f t="shared" si="2400"/>
        <v>0</v>
      </c>
      <c r="SB353" s="56"/>
      <c r="SE353" s="55">
        <f t="shared" si="2401"/>
        <v>46324</v>
      </c>
      <c r="SF353" s="56"/>
      <c r="SG353" s="242">
        <f>SUMPRODUCT(PRODUCE!$B350:$DY350,PRODUCE!$EB$61:$IY$61)</f>
        <v>0</v>
      </c>
      <c r="SH353" s="56"/>
      <c r="SI353" s="242">
        <f t="shared" si="2402"/>
        <v>0</v>
      </c>
      <c r="SJ353" s="242">
        <f t="shared" si="2403"/>
        <v>24.200000000000003</v>
      </c>
      <c r="SK353" s="56"/>
      <c r="SN353" s="55">
        <f t="shared" si="2404"/>
        <v>46324</v>
      </c>
      <c r="SO353" s="56"/>
      <c r="SP353" s="242">
        <f>SUMPRODUCT(PRODUCE!$B350:$DY350,PRODUCE!$EB$57:$IY$57)</f>
        <v>0</v>
      </c>
      <c r="SQ353" s="56"/>
      <c r="SR353" s="242">
        <f t="shared" si="2405"/>
        <v>0</v>
      </c>
      <c r="SS353" s="242">
        <f t="shared" si="2406"/>
        <v>32</v>
      </c>
      <c r="ST353" s="56"/>
      <c r="SW353" s="55">
        <f t="shared" si="2407"/>
        <v>46324</v>
      </c>
      <c r="SX353" s="56"/>
      <c r="SY353" s="242">
        <f>SUMPRODUCT(PRODUCE!$B350:$DY350,PRODUCE!$EB$57:$IY$57)</f>
        <v>0</v>
      </c>
      <c r="SZ353" s="56"/>
      <c r="TA353" s="242">
        <f t="shared" si="2408"/>
        <v>0</v>
      </c>
      <c r="TB353" s="242">
        <f t="shared" si="2409"/>
        <v>0</v>
      </c>
      <c r="TC353" s="56"/>
      <c r="TF353" s="55">
        <f t="shared" si="2410"/>
        <v>46324</v>
      </c>
      <c r="TG353" s="56"/>
      <c r="TH353" s="242">
        <f>SUMPRODUCT(PRODUCE!$B350:$DY350,PRODUCE!$EB$57:$IY$57)</f>
        <v>0</v>
      </c>
      <c r="TI353" s="56"/>
      <c r="TJ353" s="242">
        <f t="shared" si="2411"/>
        <v>0</v>
      </c>
      <c r="TK353" s="242">
        <f t="shared" si="2412"/>
        <v>0</v>
      </c>
      <c r="TL353" s="56"/>
      <c r="TO353" s="55">
        <f t="shared" si="2413"/>
        <v>46324</v>
      </c>
      <c r="TP353" s="56"/>
      <c r="TQ353" s="242">
        <f>SUMPRODUCT(PRODUCE!$B350:$DY350,PRODUCE!$EB$57:$IY$57)</f>
        <v>0</v>
      </c>
      <c r="TR353" s="56"/>
      <c r="TS353" s="242">
        <f t="shared" si="2414"/>
        <v>0</v>
      </c>
      <c r="TT353" s="242">
        <f t="shared" si="2415"/>
        <v>0</v>
      </c>
      <c r="TU353" s="56"/>
      <c r="TX353" s="55">
        <f t="shared" si="2416"/>
        <v>46324</v>
      </c>
      <c r="TY353" s="56"/>
      <c r="TZ353" s="242">
        <f>SUMPRODUCT(PRODUCE!$B350:$DY350,PRODUCE!$EB$57:$IY$57)</f>
        <v>0</v>
      </c>
      <c r="UA353" s="56"/>
      <c r="UB353" s="242">
        <f t="shared" si="2417"/>
        <v>0</v>
      </c>
      <c r="UC353" s="242">
        <f t="shared" si="2418"/>
        <v>46.799999999999983</v>
      </c>
      <c r="UD353" s="56"/>
      <c r="UG353" s="55">
        <f t="shared" si="2419"/>
        <v>46324</v>
      </c>
      <c r="UH353" s="56"/>
      <c r="UI353" s="242">
        <f>SUMPRODUCT(PRODUCE!$B350:$DY350,PRODUCE!$EB$57:$IY$57)</f>
        <v>0</v>
      </c>
      <c r="UJ353" s="56"/>
      <c r="UK353" s="242">
        <f t="shared" si="2420"/>
        <v>0</v>
      </c>
      <c r="UL353" s="242">
        <f t="shared" si="2421"/>
        <v>204</v>
      </c>
      <c r="UM353" s="56"/>
      <c r="UP353" s="55">
        <f t="shared" si="2422"/>
        <v>46324</v>
      </c>
      <c r="UQ353" s="56"/>
      <c r="UR353" s="242">
        <f>SUMPRODUCT(PRODUCE!$B350:$DY350,PRODUCE!$EB$57:$IY$57)</f>
        <v>0</v>
      </c>
      <c r="US353" s="56"/>
      <c r="UT353" s="242">
        <f t="shared" si="2423"/>
        <v>0</v>
      </c>
      <c r="UU353" s="242">
        <f t="shared" si="2424"/>
        <v>202.5</v>
      </c>
      <c r="UV353" s="56"/>
      <c r="UY353" s="55">
        <f t="shared" si="2425"/>
        <v>46324</v>
      </c>
      <c r="UZ353" s="56"/>
      <c r="VA353" s="242">
        <f>SUMPRODUCT(PRODUCE!$B350:$DY350,PRODUCE!$EB$57:$IY$57)</f>
        <v>0</v>
      </c>
      <c r="VB353" s="56"/>
      <c r="VC353" s="242">
        <f t="shared" si="2426"/>
        <v>0</v>
      </c>
      <c r="VD353" s="242">
        <f t="shared" si="2427"/>
        <v>41.600000000000023</v>
      </c>
      <c r="VE353" s="56"/>
      <c r="VH353" s="55">
        <f t="shared" si="2428"/>
        <v>46324</v>
      </c>
      <c r="VI353" s="56"/>
      <c r="VJ353" s="242">
        <f>SUMPRODUCT(PRODUCE!$B350:$DY350,PRODUCE!$EB$57:$IY$57)</f>
        <v>0</v>
      </c>
      <c r="VK353" s="56"/>
      <c r="VL353" s="242">
        <f t="shared" si="2429"/>
        <v>0</v>
      </c>
      <c r="VM353" s="242">
        <f t="shared" si="2430"/>
        <v>210</v>
      </c>
      <c r="VN353" s="56"/>
      <c r="VQ353" s="55">
        <f t="shared" si="2431"/>
        <v>46324</v>
      </c>
      <c r="VR353" s="56"/>
      <c r="VS353" s="242">
        <f>SUMPRODUCT(PRODUCE!$B350:$DY350,PRODUCE!$EB$57:$IY$57)</f>
        <v>0</v>
      </c>
      <c r="VT353" s="56"/>
      <c r="VU353" s="242">
        <f t="shared" si="2432"/>
        <v>0</v>
      </c>
      <c r="VV353" s="242">
        <f t="shared" si="2433"/>
        <v>0</v>
      </c>
      <c r="VW353" s="56"/>
      <c r="VZ353" s="55">
        <f t="shared" si="2434"/>
        <v>46324</v>
      </c>
      <c r="WA353" s="56"/>
      <c r="WB353" s="242">
        <f>SUMPRODUCT(PRODUCE!$B350:$DY350,PRODUCE!$EB$57:$IY$57)</f>
        <v>0</v>
      </c>
      <c r="WC353" s="56"/>
      <c r="WD353" s="242">
        <f t="shared" si="2435"/>
        <v>0</v>
      </c>
      <c r="WE353" s="242">
        <f t="shared" si="2436"/>
        <v>0</v>
      </c>
      <c r="WF353" s="56"/>
      <c r="WI353" s="55">
        <f t="shared" si="2437"/>
        <v>46324</v>
      </c>
      <c r="WJ353" s="56"/>
      <c r="WK353" s="242">
        <f>SUMPRODUCT(PRODUCE!$B350:$DY350,PRODUCE!$EB$57:$IY$57)</f>
        <v>0</v>
      </c>
      <c r="WL353" s="56"/>
      <c r="WM353" s="242">
        <f t="shared" si="2438"/>
        <v>0</v>
      </c>
      <c r="WN353" s="242">
        <f t="shared" si="2439"/>
        <v>1057</v>
      </c>
      <c r="WO353" s="56"/>
      <c r="WR353" s="55">
        <f t="shared" si="2440"/>
        <v>46324</v>
      </c>
      <c r="WS353" s="56"/>
      <c r="WT353" s="242">
        <f>SUMPRODUCT(PRODUCE!$B350:$DY350,PRODUCE!$EB$57:$IY$57)</f>
        <v>0</v>
      </c>
      <c r="WU353" s="56"/>
      <c r="WV353" s="242">
        <f t="shared" si="2441"/>
        <v>0</v>
      </c>
      <c r="WW353" s="242">
        <f t="shared" si="2442"/>
        <v>0</v>
      </c>
      <c r="WX353" s="56"/>
      <c r="XA353" s="55">
        <f t="shared" si="2443"/>
        <v>46324</v>
      </c>
      <c r="XB353" s="56"/>
      <c r="XC353" s="242">
        <f>SUMPRODUCT(PRODUCE!$B350:$DY350,PRODUCE!$EB$57:$IY$57)</f>
        <v>0</v>
      </c>
      <c r="XD353" s="56"/>
      <c r="XE353" s="242">
        <f t="shared" si="2444"/>
        <v>0</v>
      </c>
      <c r="XF353" s="242">
        <f t="shared" si="2445"/>
        <v>7507</v>
      </c>
      <c r="XG353" s="56"/>
      <c r="XJ353" s="55">
        <f t="shared" si="2446"/>
        <v>46324</v>
      </c>
      <c r="XK353" s="56"/>
      <c r="XL353" s="242">
        <f>SUMPRODUCT(PRODUCE!$B350:$DY350,PRODUCE!$EB$57:$IY$57)</f>
        <v>0</v>
      </c>
      <c r="XM353" s="56"/>
      <c r="XN353" s="242">
        <f t="shared" si="2447"/>
        <v>0</v>
      </c>
      <c r="XO353" s="242">
        <f t="shared" si="2448"/>
        <v>4252</v>
      </c>
      <c r="XP353" s="56"/>
      <c r="XS353" s="55">
        <f t="shared" si="2449"/>
        <v>46324</v>
      </c>
      <c r="XT353" s="56"/>
      <c r="XU353" s="242">
        <f>SUMPRODUCT(PRODUCE!$B350:$DY350,PRODUCE!$EB$57:$IY$57)</f>
        <v>0</v>
      </c>
      <c r="XV353" s="56"/>
      <c r="XW353" s="242">
        <f t="shared" si="2450"/>
        <v>0</v>
      </c>
      <c r="XX353" s="242">
        <f t="shared" si="2451"/>
        <v>2179</v>
      </c>
      <c r="XY353" s="56"/>
      <c r="YB353" s="55">
        <f t="shared" si="2452"/>
        <v>46324</v>
      </c>
      <c r="YC353" s="56"/>
      <c r="YD353" s="242">
        <f>SUMPRODUCT(PRODUCE!$B350:$DY350,PRODUCE!$EB$57:$IY$57)</f>
        <v>0</v>
      </c>
      <c r="YE353" s="56"/>
      <c r="YF353" s="242">
        <f t="shared" si="2453"/>
        <v>0</v>
      </c>
      <c r="YG353" s="242">
        <f t="shared" si="2454"/>
        <v>4019</v>
      </c>
      <c r="YH353" s="56"/>
      <c r="YK353" s="55">
        <f t="shared" si="2455"/>
        <v>46324</v>
      </c>
      <c r="YL353" s="56"/>
      <c r="YM353" s="242">
        <f>SUMPRODUCT(PRODUCE!$B350:$DY350,PRODUCE!$EB$57:$IY$57)</f>
        <v>0</v>
      </c>
      <c r="YN353" s="56"/>
      <c r="YO353" s="242">
        <f t="shared" si="2456"/>
        <v>0</v>
      </c>
      <c r="YP353" s="242">
        <f t="shared" si="2457"/>
        <v>-218</v>
      </c>
      <c r="YQ353" s="56"/>
      <c r="YT353" s="55">
        <f t="shared" si="2458"/>
        <v>46324</v>
      </c>
      <c r="YU353" s="56"/>
      <c r="YV353" s="242">
        <f>SUMPRODUCT(PRODUCE!$B350:$DY350,PRODUCE!$EB$57:$IY$57)</f>
        <v>0</v>
      </c>
      <c r="YW353" s="56"/>
      <c r="YX353" s="242">
        <f t="shared" si="2459"/>
        <v>0</v>
      </c>
      <c r="YY353" s="242">
        <f t="shared" si="2460"/>
        <v>0</v>
      </c>
      <c r="YZ353" s="56"/>
      <c r="ZC353" s="55">
        <f t="shared" si="2461"/>
        <v>46324</v>
      </c>
      <c r="ZD353" s="56"/>
      <c r="ZE353" s="242">
        <f>SUMPRODUCT(PRODUCE!$B350:$DY350,PRODUCE!$EB$57:$IY$57)</f>
        <v>0</v>
      </c>
      <c r="ZF353" s="56"/>
      <c r="ZG353" s="242">
        <f t="shared" si="2462"/>
        <v>0</v>
      </c>
      <c r="ZH353" s="242">
        <f t="shared" si="2463"/>
        <v>0</v>
      </c>
      <c r="ZI353" s="56"/>
      <c r="ZL353" s="55">
        <f t="shared" si="2464"/>
        <v>46324</v>
      </c>
      <c r="ZM353" s="56"/>
      <c r="ZN353" s="242">
        <f>SUMPRODUCT(PRODUCE!$B350:$DY350,PRODUCE!$EB$57:$IY$57)</f>
        <v>0</v>
      </c>
      <c r="ZO353" s="56"/>
      <c r="ZP353" s="242">
        <f t="shared" si="2465"/>
        <v>0</v>
      </c>
      <c r="ZQ353" s="242">
        <f t="shared" si="2466"/>
        <v>0</v>
      </c>
      <c r="ZR353" s="56"/>
      <c r="ZU353" s="55">
        <f t="shared" si="2467"/>
        <v>46324</v>
      </c>
      <c r="ZV353" s="56"/>
      <c r="ZW353" s="242">
        <f>SUMPRODUCT(PRODUCE!$B350:$DY350,PRODUCE!$EB$57:$IY$57)</f>
        <v>0</v>
      </c>
      <c r="ZX353" s="56"/>
      <c r="ZY353" s="242">
        <f t="shared" si="2468"/>
        <v>0</v>
      </c>
      <c r="ZZ353" s="242">
        <f t="shared" si="2469"/>
        <v>0</v>
      </c>
      <c r="AAA353" s="56"/>
      <c r="AAD353" s="55">
        <f t="shared" si="2470"/>
        <v>46324</v>
      </c>
      <c r="AAE353" s="56"/>
      <c r="AAF353" s="242">
        <f>SUMPRODUCT(PRODUCE!$B350:$DY350,PRODUCE!$EB$57:$IY$57)</f>
        <v>0</v>
      </c>
      <c r="AAG353" s="56"/>
      <c r="AAH353" s="242">
        <f t="shared" si="2471"/>
        <v>0</v>
      </c>
      <c r="AAI353" s="242">
        <f t="shared" si="2472"/>
        <v>0</v>
      </c>
      <c r="AAJ353" s="56"/>
      <c r="AAM353" s="55">
        <f t="shared" si="2473"/>
        <v>46324</v>
      </c>
      <c r="AAN353" s="56"/>
      <c r="AAO353" s="242">
        <f>SUMPRODUCT(PRODUCE!$B350:$DY350,PRODUCE!$EB$57:$IY$57)</f>
        <v>0</v>
      </c>
      <c r="AAP353" s="56"/>
      <c r="AAQ353" s="242">
        <f t="shared" si="2474"/>
        <v>0</v>
      </c>
      <c r="AAR353" s="242">
        <f t="shared" si="2475"/>
        <v>0</v>
      </c>
      <c r="AAS353" s="56"/>
      <c r="AAV353" s="55">
        <f t="shared" si="2476"/>
        <v>46324</v>
      </c>
      <c r="AAW353" s="56"/>
      <c r="AAX353" s="242">
        <f>SUMPRODUCT(PRODUCE!$B350:$DY350,PRODUCE!$EB$57:$IY$57)</f>
        <v>0</v>
      </c>
      <c r="AAY353" s="56"/>
      <c r="AAZ353" s="242">
        <f t="shared" si="2477"/>
        <v>0</v>
      </c>
      <c r="ABA353" s="242">
        <f t="shared" si="2478"/>
        <v>0</v>
      </c>
      <c r="ABB353" s="56"/>
      <c r="ABE353" s="55">
        <f t="shared" si="2479"/>
        <v>46324</v>
      </c>
      <c r="ABF353" s="56"/>
      <c r="ABG353" s="242">
        <f>SUMPRODUCT(PRODUCE!$B350:$DY350,PRODUCE!$EB$57:$IY$57)</f>
        <v>0</v>
      </c>
      <c r="ABH353" s="56"/>
      <c r="ABI353" s="242">
        <f t="shared" si="2480"/>
        <v>0</v>
      </c>
      <c r="ABJ353" s="242">
        <f t="shared" si="2481"/>
        <v>0</v>
      </c>
      <c r="ABK353" s="56"/>
    </row>
    <row r="354" spans="1:739" s="54" customFormat="1" ht="15" customHeight="1" outlineLevel="1">
      <c r="B354" s="478"/>
      <c r="C354" s="55">
        <v>46325</v>
      </c>
      <c r="D354" s="56"/>
      <c r="E354" s="57">
        <f>SUMPRODUCT(PRODUCE!$B351:$DY351,PRODUCE!$EB$7:$IY$7)</f>
        <v>0</v>
      </c>
      <c r="F354" s="56"/>
      <c r="G354" s="57">
        <f t="shared" si="2237"/>
        <v>0</v>
      </c>
      <c r="H354" s="57">
        <f t="shared" si="2238"/>
        <v>236936.6</v>
      </c>
      <c r="I354" s="289"/>
      <c r="L354" s="55">
        <f t="shared" si="2239"/>
        <v>46325</v>
      </c>
      <c r="M354" s="56"/>
      <c r="N354" s="59">
        <f>SUMPRODUCT(PRODUCE!$B351:$DY351,PRODUCE!$EB$8:$IY$8)</f>
        <v>0</v>
      </c>
      <c r="O354" s="56"/>
      <c r="P354" s="59">
        <f t="shared" si="2240"/>
        <v>0</v>
      </c>
      <c r="Q354" s="59">
        <f t="shared" si="2241"/>
        <v>53017.600000000071</v>
      </c>
      <c r="R354" s="56"/>
      <c r="U354" s="55">
        <f t="shared" si="2242"/>
        <v>46325</v>
      </c>
      <c r="V354" s="56"/>
      <c r="W354" s="60">
        <f>SUMPRODUCT(PRODUCE!$B351:$DY351,PRODUCE!$EB$9:$IY$9)</f>
        <v>0</v>
      </c>
      <c r="X354" s="56"/>
      <c r="Y354" s="60">
        <f t="shared" si="2243"/>
        <v>0</v>
      </c>
      <c r="Z354" s="60">
        <f t="shared" si="2244"/>
        <v>42674.199999999968</v>
      </c>
      <c r="AA354" s="56"/>
      <c r="AD354" s="55">
        <f t="shared" si="2245"/>
        <v>46325</v>
      </c>
      <c r="AE354" s="56"/>
      <c r="AF354" s="61">
        <f>SUMPRODUCT(PRODUCE!$B351:$DY351,PRODUCE!$EB$10:$IY$10)</f>
        <v>0</v>
      </c>
      <c r="AG354" s="56"/>
      <c r="AH354" s="61">
        <f t="shared" si="2246"/>
        <v>0</v>
      </c>
      <c r="AI354" s="61">
        <f t="shared" si="2247"/>
        <v>4522.2000000000189</v>
      </c>
      <c r="AJ354" s="56"/>
      <c r="AM354" s="55">
        <f t="shared" si="2248"/>
        <v>46325</v>
      </c>
      <c r="AN354" s="422"/>
      <c r="AO354" s="444">
        <f>SUMPRODUCT(PRODUCE!$B351:$DY351,PRODUCE!$EB$11:$IY$11)</f>
        <v>0</v>
      </c>
      <c r="AP354" s="422"/>
      <c r="AQ354" s="444">
        <f t="shared" si="2249"/>
        <v>0</v>
      </c>
      <c r="AR354" s="444">
        <f t="shared" si="2250"/>
        <v>0</v>
      </c>
      <c r="AS354" s="56"/>
      <c r="AV354" s="55">
        <f t="shared" si="2251"/>
        <v>46325</v>
      </c>
      <c r="AW354" s="56"/>
      <c r="AX354" s="62">
        <f>SUMPRODUCT(PRODUCE!$B351:$DY351,PRODUCE!$EB$12:$IY$12)</f>
        <v>0</v>
      </c>
      <c r="AY354" s="56"/>
      <c r="AZ354" s="62">
        <f t="shared" si="2252"/>
        <v>0</v>
      </c>
      <c r="BA354" s="62">
        <f t="shared" si="2253"/>
        <v>124.99999999999523</v>
      </c>
      <c r="BB354" s="56"/>
      <c r="BE354" s="55">
        <f t="shared" si="2254"/>
        <v>46325</v>
      </c>
      <c r="BF354" s="56"/>
      <c r="BG354" s="63">
        <f>SUMPRODUCT(PRODUCE!$B351:$DY351,PRODUCE!$EB$13:$IY$13)</f>
        <v>0</v>
      </c>
      <c r="BH354" s="56"/>
      <c r="BI354" s="63">
        <f t="shared" si="2255"/>
        <v>0</v>
      </c>
      <c r="BJ354" s="63">
        <f t="shared" si="2256"/>
        <v>26151.899999999998</v>
      </c>
      <c r="BK354" s="56"/>
      <c r="BN354" s="55">
        <f t="shared" si="2257"/>
        <v>46325</v>
      </c>
      <c r="BO354" s="56"/>
      <c r="BP354" s="64">
        <f>SUMPRODUCT(PRODUCE!$B351:$DY351,PRODUCE!$EB$14:$IY$14)</f>
        <v>0</v>
      </c>
      <c r="BQ354" s="56"/>
      <c r="BR354" s="64">
        <f t="shared" si="2258"/>
        <v>0</v>
      </c>
      <c r="BS354" s="64">
        <f t="shared" si="2259"/>
        <v>0</v>
      </c>
      <c r="BT354" s="56"/>
      <c r="BW354" s="55">
        <f t="shared" si="2260"/>
        <v>46325</v>
      </c>
      <c r="BX354" s="56"/>
      <c r="BY354" s="65">
        <f>SUMPRODUCT(PRODUCE!$B351:$DY351,PRODUCE!$EB$15:$IY$15)</f>
        <v>0</v>
      </c>
      <c r="BZ354" s="56"/>
      <c r="CA354" s="65">
        <f t="shared" si="2261"/>
        <v>0</v>
      </c>
      <c r="CB354" s="65">
        <f t="shared" si="2262"/>
        <v>2097.3399999999992</v>
      </c>
      <c r="CC354" s="56"/>
      <c r="CF354" s="55">
        <f t="shared" si="2263"/>
        <v>46325</v>
      </c>
      <c r="CG354" s="56"/>
      <c r="CH354" s="66">
        <f>SUMPRODUCT(PRODUCE!$B351:$DY351,PRODUCE!$EB$16:$IY$16)</f>
        <v>0</v>
      </c>
      <c r="CI354" s="56"/>
      <c r="CJ354" s="66">
        <f t="shared" si="2264"/>
        <v>0</v>
      </c>
      <c r="CK354" s="66">
        <f t="shared" si="2265"/>
        <v>-10277.079999999998</v>
      </c>
      <c r="CL354" s="56"/>
      <c r="CO354" s="55">
        <f t="shared" si="2266"/>
        <v>46325</v>
      </c>
      <c r="CP354" s="422"/>
      <c r="CQ354" s="470">
        <f>SUMPRODUCT(PRODUCE!$B351:$DY351,PRODUCE!$EB$17:$IY$17)</f>
        <v>0</v>
      </c>
      <c r="CR354" s="422"/>
      <c r="CS354" s="470">
        <f t="shared" si="2267"/>
        <v>0</v>
      </c>
      <c r="CT354" s="470">
        <f t="shared" si="2268"/>
        <v>0</v>
      </c>
      <c r="CU354" s="56"/>
      <c r="CX354" s="55">
        <f t="shared" si="2269"/>
        <v>46325</v>
      </c>
      <c r="CY354" s="56"/>
      <c r="CZ354" s="133">
        <f>SUMPRODUCT(PRODUCE!$B351:$DY351,PRODUCE!$EB$18:$IY$18)</f>
        <v>0</v>
      </c>
      <c r="DA354" s="56"/>
      <c r="DB354" s="133">
        <f t="shared" si="2270"/>
        <v>0</v>
      </c>
      <c r="DC354" s="133">
        <f t="shared" si="2271"/>
        <v>27438.200000000012</v>
      </c>
      <c r="DD354" s="56"/>
      <c r="DG354" s="55">
        <f t="shared" si="2272"/>
        <v>46325</v>
      </c>
      <c r="DH354" s="56"/>
      <c r="DI354" s="147">
        <f>SUMPRODUCT(PRODUCE!$B351:$DY351,PRODUCE!$EB$19:$IY$19)</f>
        <v>0</v>
      </c>
      <c r="DJ354" s="56"/>
      <c r="DK354" s="147">
        <f t="shared" si="2273"/>
        <v>0</v>
      </c>
      <c r="DL354" s="147">
        <f t="shared" si="2274"/>
        <v>18782.299999999981</v>
      </c>
      <c r="DM354" s="56"/>
      <c r="DP354" s="55">
        <f t="shared" si="2275"/>
        <v>46325</v>
      </c>
      <c r="DQ354" s="56"/>
      <c r="DR354" s="57">
        <f>SUMPRODUCT(PRODUCE!$B351:$DY351,PRODUCE!$EB$20:$IY$20)</f>
        <v>0</v>
      </c>
      <c r="DS354" s="56"/>
      <c r="DT354" s="57">
        <f t="shared" si="2276"/>
        <v>0</v>
      </c>
      <c r="DU354" s="57">
        <f t="shared" si="2277"/>
        <v>5800</v>
      </c>
      <c r="DV354" s="56"/>
      <c r="DY354" s="55">
        <f t="shared" si="2278"/>
        <v>46325</v>
      </c>
      <c r="DZ354" s="56"/>
      <c r="EA354" s="157">
        <f>SUMPRODUCT(PRODUCE!$B351:$DY351,PRODUCE!$EB$21:$IY$21)</f>
        <v>0</v>
      </c>
      <c r="EB354" s="56"/>
      <c r="EC354" s="157">
        <f t="shared" si="2279"/>
        <v>0</v>
      </c>
      <c r="ED354" s="157">
        <f t="shared" si="2280"/>
        <v>0</v>
      </c>
      <c r="EE354" s="56"/>
      <c r="EH354" s="55">
        <f t="shared" si="2281"/>
        <v>46325</v>
      </c>
      <c r="EI354" s="56"/>
      <c r="EJ354" s="162">
        <f>SUMPRODUCT(PRODUCE!$B351:$DY351,PRODUCE!$EB$22:$IY$22)</f>
        <v>0</v>
      </c>
      <c r="EK354" s="56"/>
      <c r="EL354" s="162">
        <f t="shared" si="2282"/>
        <v>0</v>
      </c>
      <c r="EM354" s="162">
        <f t="shared" si="2283"/>
        <v>0</v>
      </c>
      <c r="EN354" s="56"/>
      <c r="EQ354" s="55">
        <f t="shared" si="2284"/>
        <v>46325</v>
      </c>
      <c r="ER354" s="56"/>
      <c r="ES354" s="135">
        <f>SUMPRODUCT(PRODUCE!$B351:$DY351,PRODUCE!$EB$23:$IY$23)</f>
        <v>0</v>
      </c>
      <c r="ET354" s="56"/>
      <c r="EU354" s="135">
        <f t="shared" si="2285"/>
        <v>0</v>
      </c>
      <c r="EV354" s="135">
        <f t="shared" si="2286"/>
        <v>0</v>
      </c>
      <c r="EW354" s="56"/>
      <c r="EZ354" s="55">
        <f t="shared" si="2287"/>
        <v>46325</v>
      </c>
      <c r="FA354" s="56"/>
      <c r="FB354" s="175">
        <f>SUMPRODUCT(PRODUCE!$B351:$DY351,PRODUCE!$EB$24:$IY$24)</f>
        <v>0</v>
      </c>
      <c r="FC354" s="56"/>
      <c r="FD354" s="175">
        <f t="shared" si="2288"/>
        <v>0</v>
      </c>
      <c r="FE354" s="175">
        <f t="shared" si="2289"/>
        <v>0</v>
      </c>
      <c r="FF354" s="56"/>
      <c r="FI354" s="55">
        <f t="shared" si="2290"/>
        <v>46325</v>
      </c>
      <c r="FJ354" s="56"/>
      <c r="FK354" s="183">
        <f>SUMPRODUCT(PRODUCE!$B351:$DY351,PRODUCE!$EB$25:$IY$25)</f>
        <v>0</v>
      </c>
      <c r="FL354" s="56"/>
      <c r="FM354" s="183">
        <f t="shared" si="2291"/>
        <v>0</v>
      </c>
      <c r="FN354" s="183">
        <f t="shared" si="2292"/>
        <v>0</v>
      </c>
      <c r="FO354" s="56"/>
      <c r="FR354" s="55">
        <f t="shared" si="2293"/>
        <v>46325</v>
      </c>
      <c r="FS354" s="56"/>
      <c r="FT354" s="186">
        <f>SUMPRODUCT(PRODUCE!$B351:$DY351,PRODUCE!$EB$26:$IY$26)</f>
        <v>0</v>
      </c>
      <c r="FU354" s="56"/>
      <c r="FV354" s="186">
        <f t="shared" si="2294"/>
        <v>0</v>
      </c>
      <c r="FW354" s="186">
        <f t="shared" si="2295"/>
        <v>2020</v>
      </c>
      <c r="FX354" s="56"/>
      <c r="GA354" s="55">
        <f t="shared" si="2296"/>
        <v>46325</v>
      </c>
      <c r="GB354" s="56"/>
      <c r="GC354" s="137">
        <f>SUMPRODUCT(PRODUCE!$B351:$DY351,PRODUCE!$EB$27:$IY$27)</f>
        <v>0</v>
      </c>
      <c r="GD354" s="56"/>
      <c r="GE354" s="137">
        <f t="shared" si="2297"/>
        <v>0</v>
      </c>
      <c r="GF354" s="137">
        <f t="shared" si="2298"/>
        <v>960</v>
      </c>
      <c r="GG354" s="56"/>
      <c r="GI354" s="23"/>
      <c r="GJ354" s="55">
        <f t="shared" si="2299"/>
        <v>46325</v>
      </c>
      <c r="GK354" s="56"/>
      <c r="GL354" s="199">
        <f>SUMPRODUCT(PRODUCE!$B351:$DY351,PRODUCE!$EB$28:$IY$28)</f>
        <v>0</v>
      </c>
      <c r="GM354" s="56"/>
      <c r="GN354" s="199">
        <f t="shared" si="2300"/>
        <v>0</v>
      </c>
      <c r="GO354" s="199">
        <f t="shared" si="2301"/>
        <v>1760</v>
      </c>
      <c r="GP354" s="56"/>
      <c r="GS354" s="55">
        <f t="shared" si="2302"/>
        <v>46325</v>
      </c>
      <c r="GT354" s="56"/>
      <c r="GU354" s="195">
        <f>SUMPRODUCT(PRODUCE!$B351:$DY351,PRODUCE!$EB$29:$IY$29)</f>
        <v>0</v>
      </c>
      <c r="GV354" s="56"/>
      <c r="GW354" s="195">
        <f t="shared" si="2303"/>
        <v>0</v>
      </c>
      <c r="GX354" s="195">
        <f t="shared" si="2304"/>
        <v>400</v>
      </c>
      <c r="GY354" s="56"/>
      <c r="HB354" s="55">
        <f t="shared" si="2305"/>
        <v>46325</v>
      </c>
      <c r="HC354" s="56"/>
      <c r="HD354" s="191">
        <f>SUMPRODUCT(PRODUCE!$B351:$DY351,PRODUCE!$EB$30:$IY$30)</f>
        <v>0</v>
      </c>
      <c r="HE354" s="56"/>
      <c r="HF354" s="191">
        <f t="shared" si="2306"/>
        <v>0</v>
      </c>
      <c r="HG354" s="191">
        <f t="shared" si="2307"/>
        <v>3600</v>
      </c>
      <c r="HH354" s="56"/>
      <c r="HK354" s="55">
        <f t="shared" si="2308"/>
        <v>46325</v>
      </c>
      <c r="HL354" s="56"/>
      <c r="HM354" s="63">
        <f>SUMPRODUCT(PRODUCE!$B351:$DY351,PRODUCE!$EB$31:$IY$31)</f>
        <v>0</v>
      </c>
      <c r="HN354" s="56"/>
      <c r="HO354" s="63">
        <f t="shared" si="2309"/>
        <v>0</v>
      </c>
      <c r="HP354" s="63">
        <f t="shared" si="2310"/>
        <v>0</v>
      </c>
      <c r="HQ354" s="56"/>
      <c r="HU354" s="55">
        <f t="shared" si="2311"/>
        <v>46325</v>
      </c>
      <c r="HV354" s="56"/>
      <c r="HW354" s="242">
        <f>SUMPRODUCT(PRODUCE!$B351:$DY351,PRODUCE!$EB$32:$IY$32)</f>
        <v>0</v>
      </c>
      <c r="HX354" s="56"/>
      <c r="HY354" s="242">
        <f t="shared" si="2312"/>
        <v>0</v>
      </c>
      <c r="HZ354" s="242">
        <f t="shared" si="2313"/>
        <v>6120</v>
      </c>
      <c r="IA354" s="56"/>
      <c r="ID354" s="55">
        <f t="shared" si="2314"/>
        <v>46325</v>
      </c>
      <c r="IE354" s="56"/>
      <c r="IF354" s="242">
        <f>SUMPRODUCT(PRODUCE!$B351:$DY351,PRODUCE!$EB$33:$IY$33)</f>
        <v>0</v>
      </c>
      <c r="IG354" s="56"/>
      <c r="IH354" s="242">
        <f t="shared" si="2315"/>
        <v>0</v>
      </c>
      <c r="II354" s="242">
        <f t="shared" si="2316"/>
        <v>0</v>
      </c>
      <c r="IJ354" s="56"/>
      <c r="IM354" s="55">
        <f t="shared" si="2317"/>
        <v>46325</v>
      </c>
      <c r="IN354" s="56"/>
      <c r="IO354" s="242">
        <f>SUMPRODUCT(PRODUCE!$B351:$DY351,PRODUCE!$EB$34:$IY$34)</f>
        <v>0</v>
      </c>
      <c r="IP354" s="56"/>
      <c r="IQ354" s="242">
        <f t="shared" si="2318"/>
        <v>0</v>
      </c>
      <c r="IR354" s="242">
        <f t="shared" si="2319"/>
        <v>0</v>
      </c>
      <c r="IS354" s="56"/>
      <c r="IV354" s="55">
        <f t="shared" si="2320"/>
        <v>46325</v>
      </c>
      <c r="IW354" s="56"/>
      <c r="IX354" s="242">
        <f>SUMPRODUCT(PRODUCE!$B351:$DY351,PRODUCE!$EB$35:$IY$35)</f>
        <v>0</v>
      </c>
      <c r="IY354" s="56"/>
      <c r="IZ354" s="242">
        <f t="shared" si="2321"/>
        <v>0</v>
      </c>
      <c r="JA354" s="242">
        <f t="shared" si="2322"/>
        <v>2820</v>
      </c>
      <c r="JB354" s="56"/>
      <c r="JE354" s="55">
        <f t="shared" si="2323"/>
        <v>46325</v>
      </c>
      <c r="JF354" s="56"/>
      <c r="JG354" s="242">
        <f>SUMPRODUCT(PRODUCE!$B351:$DY351,PRODUCE!$EB$36:$IY$36)</f>
        <v>0</v>
      </c>
      <c r="JH354" s="56"/>
      <c r="JI354" s="242">
        <f t="shared" si="2324"/>
        <v>0</v>
      </c>
      <c r="JJ354" s="242">
        <f t="shared" si="2325"/>
        <v>0</v>
      </c>
      <c r="JK354" s="56"/>
      <c r="JN354" s="55">
        <f t="shared" si="2326"/>
        <v>46325</v>
      </c>
      <c r="JO354" s="56"/>
      <c r="JP354" s="242">
        <f>SUMPRODUCT(PRODUCE!$B351:$DY351,PRODUCE!$EB$37:$IY$37)</f>
        <v>0</v>
      </c>
      <c r="JQ354" s="56"/>
      <c r="JR354" s="242">
        <f t="shared" si="2327"/>
        <v>0</v>
      </c>
      <c r="JS354" s="242">
        <f t="shared" si="2328"/>
        <v>0</v>
      </c>
      <c r="JT354" s="56"/>
      <c r="JW354" s="55">
        <f t="shared" si="2329"/>
        <v>46325</v>
      </c>
      <c r="JX354" s="56"/>
      <c r="JY354" s="242">
        <f>SUMPRODUCT(PRODUCE!$B351:$DY351,PRODUCE!$EB$38:$IY$38)</f>
        <v>0</v>
      </c>
      <c r="JZ354" s="56"/>
      <c r="KA354" s="242">
        <f t="shared" si="2330"/>
        <v>0</v>
      </c>
      <c r="KB354" s="242">
        <f t="shared" si="2331"/>
        <v>2540</v>
      </c>
      <c r="KC354" s="56"/>
      <c r="KF354" s="55">
        <f t="shared" si="2332"/>
        <v>46325</v>
      </c>
      <c r="KG354" s="56"/>
      <c r="KH354" s="242">
        <f>SUMPRODUCT(PRODUCE!$B351:$DY351,PRODUCE!$EB$39:$IY$39)</f>
        <v>0</v>
      </c>
      <c r="KI354" s="56"/>
      <c r="KJ354" s="242">
        <f t="shared" si="2333"/>
        <v>0</v>
      </c>
      <c r="KK354" s="242">
        <f t="shared" si="2334"/>
        <v>2359.5</v>
      </c>
      <c r="KL354" s="56"/>
      <c r="KO354" s="55">
        <f t="shared" si="2335"/>
        <v>46325</v>
      </c>
      <c r="KP354" s="56"/>
      <c r="KQ354" s="242">
        <f>SUMPRODUCT(PRODUCE!$B351:$DY351,PRODUCE!$EB$40:$IY$40)</f>
        <v>0</v>
      </c>
      <c r="KR354" s="56"/>
      <c r="KS354" s="242">
        <f t="shared" si="2336"/>
        <v>0</v>
      </c>
      <c r="KT354" s="242">
        <f t="shared" si="2337"/>
        <v>1890</v>
      </c>
      <c r="KU354" s="56"/>
      <c r="KW354" s="23"/>
      <c r="KX354" s="55">
        <f t="shared" si="2338"/>
        <v>46325</v>
      </c>
      <c r="KY354" s="56"/>
      <c r="KZ354" s="242">
        <f>SUMPRODUCT(PRODUCE!$B351:$DY351,PRODUCE!$EB$41:$IY$41)</f>
        <v>0</v>
      </c>
      <c r="LA354" s="56"/>
      <c r="LB354" s="242">
        <f t="shared" si="2339"/>
        <v>0</v>
      </c>
      <c r="LC354" s="242">
        <f t="shared" si="2340"/>
        <v>3690</v>
      </c>
      <c r="LD354" s="56"/>
      <c r="LG354" s="55">
        <f t="shared" si="2341"/>
        <v>46325</v>
      </c>
      <c r="LH354" s="56"/>
      <c r="LI354" s="242">
        <f>SUMPRODUCT(PRODUCE!$B351:$DY351,PRODUCE!$EB$42:$IY$42)</f>
        <v>0</v>
      </c>
      <c r="LJ354" s="56"/>
      <c r="LK354" s="242">
        <f t="shared" si="2342"/>
        <v>0</v>
      </c>
      <c r="LL354" s="242">
        <f t="shared" si="2343"/>
        <v>4000</v>
      </c>
      <c r="LM354" s="56"/>
      <c r="LP354" s="55">
        <f t="shared" si="2344"/>
        <v>46325</v>
      </c>
      <c r="LQ354" s="56"/>
      <c r="LR354" s="242">
        <f>SUMPRODUCT(PRODUCE!$B351:$DY351,PRODUCE!$EB$43:$IY$43)</f>
        <v>0</v>
      </c>
      <c r="LS354" s="56"/>
      <c r="LT354" s="242">
        <f t="shared" si="2345"/>
        <v>0</v>
      </c>
      <c r="LU354" s="242">
        <f t="shared" si="2346"/>
        <v>0</v>
      </c>
      <c r="LV354" s="56"/>
      <c r="LY354" s="55">
        <f t="shared" si="2347"/>
        <v>46325</v>
      </c>
      <c r="LZ354" s="56"/>
      <c r="MA354" s="242">
        <f>SUMPRODUCT(PRODUCE!$B351:$DY351,PRODUCE!$EB$44:$IY$44)</f>
        <v>0</v>
      </c>
      <c r="MB354" s="56"/>
      <c r="MC354" s="242">
        <f t="shared" si="2348"/>
        <v>0</v>
      </c>
      <c r="MD354" s="242">
        <f t="shared" si="2349"/>
        <v>0</v>
      </c>
      <c r="ME354" s="56"/>
      <c r="MH354" s="55">
        <f t="shared" si="2350"/>
        <v>46325</v>
      </c>
      <c r="MI354" s="56"/>
      <c r="MJ354" s="242">
        <f>SUMPRODUCT(PRODUCE!$B351:$DY351,PRODUCE!$EB$45:$IY$45)</f>
        <v>0</v>
      </c>
      <c r="MK354" s="56"/>
      <c r="ML354" s="242">
        <f t="shared" si="2351"/>
        <v>0</v>
      </c>
      <c r="MM354" s="242">
        <f t="shared" si="2352"/>
        <v>0</v>
      </c>
      <c r="MN354" s="56"/>
      <c r="MQ354" s="55">
        <f t="shared" si="2353"/>
        <v>46325</v>
      </c>
      <c r="MR354" s="56"/>
      <c r="MS354" s="242">
        <f>SUMPRODUCT(PRODUCE!$B351:$DY351,PRODUCE!$EB$46:$IY$46)</f>
        <v>0</v>
      </c>
      <c r="MT354" s="56"/>
      <c r="MU354" s="242">
        <f t="shared" si="2354"/>
        <v>0</v>
      </c>
      <c r="MV354" s="242">
        <f t="shared" si="2355"/>
        <v>1625</v>
      </c>
      <c r="MW354" s="56"/>
      <c r="MZ354" s="55">
        <f t="shared" si="2356"/>
        <v>46325</v>
      </c>
      <c r="NA354" s="56"/>
      <c r="NB354" s="242">
        <f>SUMPRODUCT(PRODUCE!$B351:$DY351,PRODUCE!$EB$47:$IY$47)</f>
        <v>0</v>
      </c>
      <c r="NC354" s="56"/>
      <c r="ND354" s="242">
        <f t="shared" si="2357"/>
        <v>0</v>
      </c>
      <c r="NE354" s="242">
        <f t="shared" si="2358"/>
        <v>0</v>
      </c>
      <c r="NF354" s="56"/>
      <c r="NI354" s="55">
        <f t="shared" si="2359"/>
        <v>46325</v>
      </c>
      <c r="NJ354" s="56"/>
      <c r="NK354" s="242">
        <f>SUMPRODUCT(PRODUCE!$B351:$DY351,PRODUCE!$EB$48:$IY$48)</f>
        <v>0</v>
      </c>
      <c r="NL354" s="56"/>
      <c r="NM354" s="242">
        <f t="shared" si="2360"/>
        <v>0</v>
      </c>
      <c r="NN354" s="242">
        <f t="shared" si="2361"/>
        <v>1127</v>
      </c>
      <c r="NO354" s="56"/>
      <c r="NR354" s="55">
        <f t="shared" si="2362"/>
        <v>46325</v>
      </c>
      <c r="NS354" s="56"/>
      <c r="NT354" s="242">
        <f>SUMPRODUCT(PRODUCE!$B351:$DY351,PRODUCE!$EB$49:$IY$49)</f>
        <v>0</v>
      </c>
      <c r="NU354" s="56"/>
      <c r="NV354" s="242">
        <f t="shared" si="2363"/>
        <v>0</v>
      </c>
      <c r="NW354" s="242">
        <f t="shared" si="2364"/>
        <v>3111.9999999999995</v>
      </c>
      <c r="NX354" s="56"/>
      <c r="OA354" s="55">
        <f t="shared" si="2365"/>
        <v>46325</v>
      </c>
      <c r="OB354" s="56"/>
      <c r="OC354" s="242">
        <f>SUMPRODUCT(PRODUCE!$B351:$DY351,PRODUCE!$EB$50:$IY$50)</f>
        <v>0</v>
      </c>
      <c r="OD354" s="56"/>
      <c r="OE354" s="242">
        <f t="shared" si="2366"/>
        <v>0</v>
      </c>
      <c r="OF354" s="242">
        <f t="shared" si="2367"/>
        <v>1680.5</v>
      </c>
      <c r="OG354" s="56"/>
      <c r="OJ354" s="55">
        <f t="shared" si="2368"/>
        <v>46325</v>
      </c>
      <c r="OK354" s="56"/>
      <c r="OL354" s="242">
        <f>SUMPRODUCT(PRODUCE!$B351:$DY351,PRODUCE!$EB$51:$IY$51)</f>
        <v>0</v>
      </c>
      <c r="OM354" s="56"/>
      <c r="ON354" s="242">
        <f t="shared" si="2369"/>
        <v>0</v>
      </c>
      <c r="OO354" s="242">
        <f t="shared" si="2370"/>
        <v>0</v>
      </c>
      <c r="OP354" s="56"/>
      <c r="OS354" s="55">
        <f t="shared" si="2371"/>
        <v>46325</v>
      </c>
      <c r="OT354" s="56"/>
      <c r="OU354" s="242">
        <f>SUMPRODUCT(PRODUCE!$B351:$DY351,PRODUCE!$EB$52:$IY$52)</f>
        <v>0</v>
      </c>
      <c r="OV354" s="56"/>
      <c r="OW354" s="242">
        <f t="shared" si="2372"/>
        <v>0</v>
      </c>
      <c r="OX354" s="242">
        <f t="shared" si="2373"/>
        <v>1482</v>
      </c>
      <c r="OY354" s="56"/>
      <c r="PB354" s="55">
        <f t="shared" si="2374"/>
        <v>46325</v>
      </c>
      <c r="PC354" s="56"/>
      <c r="PD354" s="242">
        <f>SUMPRODUCT(PRODUCE!$B351:$DY351,PRODUCE!$EB$53:$IY$53)</f>
        <v>0</v>
      </c>
      <c r="PE354" s="56"/>
      <c r="PF354" s="242">
        <f t="shared" si="2375"/>
        <v>0</v>
      </c>
      <c r="PG354" s="242">
        <f t="shared" si="2376"/>
        <v>0</v>
      </c>
      <c r="PH354" s="56"/>
      <c r="PK354" s="55">
        <f t="shared" si="2377"/>
        <v>46325</v>
      </c>
      <c r="PL354" s="56"/>
      <c r="PM354" s="242">
        <f>SUMPRODUCT(PRODUCE!$B351:$DY351,PRODUCE!$EB$54:$IY$54)</f>
        <v>0</v>
      </c>
      <c r="PN354" s="56"/>
      <c r="PO354" s="242">
        <f t="shared" si="2378"/>
        <v>0</v>
      </c>
      <c r="PP354" s="242">
        <f t="shared" si="2379"/>
        <v>100</v>
      </c>
      <c r="PQ354" s="56"/>
      <c r="PT354" s="55">
        <f t="shared" si="2380"/>
        <v>46325</v>
      </c>
      <c r="PU354" s="56"/>
      <c r="PV354" s="242">
        <f>SUMPRODUCT(PRODUCE!$B351:$DY351,PRODUCE!$EB$55:$IY$55)</f>
        <v>0</v>
      </c>
      <c r="PW354" s="56"/>
      <c r="PX354" s="242">
        <f t="shared" si="2381"/>
        <v>0</v>
      </c>
      <c r="PY354" s="242">
        <f t="shared" si="2382"/>
        <v>13.960000000000036</v>
      </c>
      <c r="PZ354" s="56"/>
      <c r="QC354" s="55">
        <f t="shared" si="2383"/>
        <v>46325</v>
      </c>
      <c r="QD354" s="56"/>
      <c r="QE354" s="242">
        <f>SUMPRODUCT(PRODUCE!$B351:$DY351,PRODUCE!$EB$56:$IY$56)</f>
        <v>0</v>
      </c>
      <c r="QF354" s="56"/>
      <c r="QG354" s="242">
        <f t="shared" si="2384"/>
        <v>0</v>
      </c>
      <c r="QH354" s="242">
        <f t="shared" si="2385"/>
        <v>548</v>
      </c>
      <c r="QI354" s="56"/>
      <c r="QL354" s="55">
        <f t="shared" si="2386"/>
        <v>46325</v>
      </c>
      <c r="QM354" s="56"/>
      <c r="QN354" s="242">
        <f>SUMPRODUCT(PRODUCE!$B351:$DY351,PRODUCE!$EB$57:$IY$57)</f>
        <v>0</v>
      </c>
      <c r="QO354" s="56"/>
      <c r="QP354" s="242">
        <f t="shared" si="2387"/>
        <v>0</v>
      </c>
      <c r="QQ354" s="242">
        <f t="shared" si="2388"/>
        <v>0</v>
      </c>
      <c r="QR354" s="56"/>
      <c r="QU354" s="55">
        <f t="shared" si="2389"/>
        <v>46325</v>
      </c>
      <c r="QV354" s="56"/>
      <c r="QW354" s="242">
        <f>SUMPRODUCT(PRODUCE!$B351:$DY351,PRODUCE!$EB$57:$IY$57)</f>
        <v>0</v>
      </c>
      <c r="QX354" s="56"/>
      <c r="QY354" s="242">
        <f t="shared" si="2390"/>
        <v>0</v>
      </c>
      <c r="QZ354" s="242">
        <f t="shared" si="2391"/>
        <v>0</v>
      </c>
      <c r="RA354" s="56"/>
      <c r="RD354" s="55">
        <f t="shared" si="2392"/>
        <v>46325</v>
      </c>
      <c r="RE354" s="56"/>
      <c r="RF354" s="242">
        <f>SUMPRODUCT(PRODUCE!$B351:$DY351,PRODUCE!$EB$58:$IY$58)</f>
        <v>0</v>
      </c>
      <c r="RG354" s="56"/>
      <c r="RH354" s="242">
        <f t="shared" si="2393"/>
        <v>0</v>
      </c>
      <c r="RI354" s="242">
        <f t="shared" si="2394"/>
        <v>147.04000000000002</v>
      </c>
      <c r="RJ354" s="56"/>
      <c r="RM354" s="55">
        <f t="shared" si="2395"/>
        <v>46325</v>
      </c>
      <c r="RN354" s="56"/>
      <c r="RO354" s="242">
        <f>SUMPRODUCT(PRODUCE!$B351:$DY351,PRODUCE!$EB$57:$IY$57)</f>
        <v>0</v>
      </c>
      <c r="RP354" s="56"/>
      <c r="RQ354" s="242">
        <f t="shared" si="2396"/>
        <v>0</v>
      </c>
      <c r="RR354" s="242">
        <f t="shared" si="2397"/>
        <v>46.8</v>
      </c>
      <c r="RS354" s="56"/>
      <c r="RV354" s="55">
        <f t="shared" si="2398"/>
        <v>46325</v>
      </c>
      <c r="RW354" s="56"/>
      <c r="RX354" s="242">
        <f>SUMPRODUCT(PRODUCE!$B351:$DY351,PRODUCE!$EB$57:$IY$57)</f>
        <v>0</v>
      </c>
      <c r="RY354" s="56"/>
      <c r="RZ354" s="242">
        <f t="shared" si="2399"/>
        <v>0</v>
      </c>
      <c r="SA354" s="242">
        <f t="shared" si="2400"/>
        <v>0</v>
      </c>
      <c r="SB354" s="56"/>
      <c r="SE354" s="55">
        <f t="shared" si="2401"/>
        <v>46325</v>
      </c>
      <c r="SF354" s="56"/>
      <c r="SG354" s="242">
        <f>SUMPRODUCT(PRODUCE!$B351:$DY351,PRODUCE!$EB$61:$IY$61)</f>
        <v>0</v>
      </c>
      <c r="SH354" s="56"/>
      <c r="SI354" s="242">
        <f t="shared" si="2402"/>
        <v>0</v>
      </c>
      <c r="SJ354" s="242">
        <f t="shared" si="2403"/>
        <v>24.200000000000003</v>
      </c>
      <c r="SK354" s="56"/>
      <c r="SN354" s="55">
        <f t="shared" si="2404"/>
        <v>46325</v>
      </c>
      <c r="SO354" s="56"/>
      <c r="SP354" s="242">
        <f>SUMPRODUCT(PRODUCE!$B351:$DY351,PRODUCE!$EB$57:$IY$57)</f>
        <v>0</v>
      </c>
      <c r="SQ354" s="56"/>
      <c r="SR354" s="242">
        <f t="shared" si="2405"/>
        <v>0</v>
      </c>
      <c r="SS354" s="242">
        <f t="shared" si="2406"/>
        <v>32</v>
      </c>
      <c r="ST354" s="56"/>
      <c r="SW354" s="55">
        <f t="shared" si="2407"/>
        <v>46325</v>
      </c>
      <c r="SX354" s="56"/>
      <c r="SY354" s="242">
        <f>SUMPRODUCT(PRODUCE!$B351:$DY351,PRODUCE!$EB$57:$IY$57)</f>
        <v>0</v>
      </c>
      <c r="SZ354" s="56"/>
      <c r="TA354" s="242">
        <f t="shared" si="2408"/>
        <v>0</v>
      </c>
      <c r="TB354" s="242">
        <f t="shared" si="2409"/>
        <v>0</v>
      </c>
      <c r="TC354" s="56"/>
      <c r="TF354" s="55">
        <f t="shared" si="2410"/>
        <v>46325</v>
      </c>
      <c r="TG354" s="56"/>
      <c r="TH354" s="242">
        <f>SUMPRODUCT(PRODUCE!$B351:$DY351,PRODUCE!$EB$57:$IY$57)</f>
        <v>0</v>
      </c>
      <c r="TI354" s="56"/>
      <c r="TJ354" s="242">
        <f t="shared" si="2411"/>
        <v>0</v>
      </c>
      <c r="TK354" s="242">
        <f t="shared" si="2412"/>
        <v>0</v>
      </c>
      <c r="TL354" s="56"/>
      <c r="TO354" s="55">
        <f t="shared" si="2413"/>
        <v>46325</v>
      </c>
      <c r="TP354" s="56"/>
      <c r="TQ354" s="242">
        <f>SUMPRODUCT(PRODUCE!$B351:$DY351,PRODUCE!$EB$57:$IY$57)</f>
        <v>0</v>
      </c>
      <c r="TR354" s="56"/>
      <c r="TS354" s="242">
        <f t="shared" si="2414"/>
        <v>0</v>
      </c>
      <c r="TT354" s="242">
        <f t="shared" si="2415"/>
        <v>0</v>
      </c>
      <c r="TU354" s="56"/>
      <c r="TX354" s="55">
        <f t="shared" si="2416"/>
        <v>46325</v>
      </c>
      <c r="TY354" s="56"/>
      <c r="TZ354" s="242">
        <f>SUMPRODUCT(PRODUCE!$B351:$DY351,PRODUCE!$EB$57:$IY$57)</f>
        <v>0</v>
      </c>
      <c r="UA354" s="56"/>
      <c r="UB354" s="242">
        <f t="shared" si="2417"/>
        <v>0</v>
      </c>
      <c r="UC354" s="242">
        <f t="shared" si="2418"/>
        <v>46.799999999999983</v>
      </c>
      <c r="UD354" s="56"/>
      <c r="UG354" s="55">
        <f t="shared" si="2419"/>
        <v>46325</v>
      </c>
      <c r="UH354" s="56"/>
      <c r="UI354" s="242">
        <f>SUMPRODUCT(PRODUCE!$B351:$DY351,PRODUCE!$EB$57:$IY$57)</f>
        <v>0</v>
      </c>
      <c r="UJ354" s="56"/>
      <c r="UK354" s="242">
        <f t="shared" si="2420"/>
        <v>0</v>
      </c>
      <c r="UL354" s="242">
        <f t="shared" si="2421"/>
        <v>204</v>
      </c>
      <c r="UM354" s="56"/>
      <c r="UP354" s="55">
        <f t="shared" si="2422"/>
        <v>46325</v>
      </c>
      <c r="UQ354" s="56"/>
      <c r="UR354" s="242">
        <f>SUMPRODUCT(PRODUCE!$B351:$DY351,PRODUCE!$EB$57:$IY$57)</f>
        <v>0</v>
      </c>
      <c r="US354" s="56"/>
      <c r="UT354" s="242">
        <f t="shared" si="2423"/>
        <v>0</v>
      </c>
      <c r="UU354" s="242">
        <f t="shared" si="2424"/>
        <v>202.5</v>
      </c>
      <c r="UV354" s="56"/>
      <c r="UY354" s="55">
        <f t="shared" si="2425"/>
        <v>46325</v>
      </c>
      <c r="UZ354" s="56"/>
      <c r="VA354" s="242">
        <f>SUMPRODUCT(PRODUCE!$B351:$DY351,PRODUCE!$EB$57:$IY$57)</f>
        <v>0</v>
      </c>
      <c r="VB354" s="56"/>
      <c r="VC354" s="242">
        <f t="shared" si="2426"/>
        <v>0</v>
      </c>
      <c r="VD354" s="242">
        <f t="shared" si="2427"/>
        <v>41.600000000000023</v>
      </c>
      <c r="VE354" s="56"/>
      <c r="VH354" s="55">
        <f t="shared" si="2428"/>
        <v>46325</v>
      </c>
      <c r="VI354" s="56"/>
      <c r="VJ354" s="242">
        <f>SUMPRODUCT(PRODUCE!$B351:$DY351,PRODUCE!$EB$57:$IY$57)</f>
        <v>0</v>
      </c>
      <c r="VK354" s="56"/>
      <c r="VL354" s="242">
        <f t="shared" si="2429"/>
        <v>0</v>
      </c>
      <c r="VM354" s="242">
        <f t="shared" si="2430"/>
        <v>210</v>
      </c>
      <c r="VN354" s="56"/>
      <c r="VQ354" s="55">
        <f t="shared" si="2431"/>
        <v>46325</v>
      </c>
      <c r="VR354" s="56"/>
      <c r="VS354" s="242">
        <f>SUMPRODUCT(PRODUCE!$B351:$DY351,PRODUCE!$EB$57:$IY$57)</f>
        <v>0</v>
      </c>
      <c r="VT354" s="56"/>
      <c r="VU354" s="242">
        <f t="shared" si="2432"/>
        <v>0</v>
      </c>
      <c r="VV354" s="242">
        <f t="shared" si="2433"/>
        <v>0</v>
      </c>
      <c r="VW354" s="56"/>
      <c r="VZ354" s="55">
        <f t="shared" si="2434"/>
        <v>46325</v>
      </c>
      <c r="WA354" s="56"/>
      <c r="WB354" s="242">
        <f>SUMPRODUCT(PRODUCE!$B351:$DY351,PRODUCE!$EB$57:$IY$57)</f>
        <v>0</v>
      </c>
      <c r="WC354" s="56"/>
      <c r="WD354" s="242">
        <f t="shared" si="2435"/>
        <v>0</v>
      </c>
      <c r="WE354" s="242">
        <f t="shared" si="2436"/>
        <v>0</v>
      </c>
      <c r="WF354" s="56"/>
      <c r="WI354" s="55">
        <f t="shared" si="2437"/>
        <v>46325</v>
      </c>
      <c r="WJ354" s="56"/>
      <c r="WK354" s="242">
        <f>SUMPRODUCT(PRODUCE!$B351:$DY351,PRODUCE!$EB$57:$IY$57)</f>
        <v>0</v>
      </c>
      <c r="WL354" s="56"/>
      <c r="WM354" s="242">
        <f t="shared" si="2438"/>
        <v>0</v>
      </c>
      <c r="WN354" s="242">
        <f t="shared" si="2439"/>
        <v>1057</v>
      </c>
      <c r="WO354" s="56"/>
      <c r="WR354" s="55">
        <f t="shared" si="2440"/>
        <v>46325</v>
      </c>
      <c r="WS354" s="56"/>
      <c r="WT354" s="242">
        <f>SUMPRODUCT(PRODUCE!$B351:$DY351,PRODUCE!$EB$57:$IY$57)</f>
        <v>0</v>
      </c>
      <c r="WU354" s="56"/>
      <c r="WV354" s="242">
        <f t="shared" si="2441"/>
        <v>0</v>
      </c>
      <c r="WW354" s="242">
        <f t="shared" si="2442"/>
        <v>0</v>
      </c>
      <c r="WX354" s="56"/>
      <c r="XA354" s="55">
        <f t="shared" si="2443"/>
        <v>46325</v>
      </c>
      <c r="XB354" s="56"/>
      <c r="XC354" s="242">
        <f>SUMPRODUCT(PRODUCE!$B351:$DY351,PRODUCE!$EB$57:$IY$57)</f>
        <v>0</v>
      </c>
      <c r="XD354" s="56"/>
      <c r="XE354" s="242">
        <f t="shared" si="2444"/>
        <v>0</v>
      </c>
      <c r="XF354" s="242">
        <f t="shared" si="2445"/>
        <v>7507</v>
      </c>
      <c r="XG354" s="56"/>
      <c r="XJ354" s="55">
        <f t="shared" si="2446"/>
        <v>46325</v>
      </c>
      <c r="XK354" s="56"/>
      <c r="XL354" s="242">
        <f>SUMPRODUCT(PRODUCE!$B351:$DY351,PRODUCE!$EB$57:$IY$57)</f>
        <v>0</v>
      </c>
      <c r="XM354" s="56"/>
      <c r="XN354" s="242">
        <f t="shared" si="2447"/>
        <v>0</v>
      </c>
      <c r="XO354" s="242">
        <f t="shared" si="2448"/>
        <v>4252</v>
      </c>
      <c r="XP354" s="56"/>
      <c r="XS354" s="55">
        <f t="shared" si="2449"/>
        <v>46325</v>
      </c>
      <c r="XT354" s="56"/>
      <c r="XU354" s="242">
        <f>SUMPRODUCT(PRODUCE!$B351:$DY351,PRODUCE!$EB$57:$IY$57)</f>
        <v>0</v>
      </c>
      <c r="XV354" s="56"/>
      <c r="XW354" s="242">
        <f t="shared" si="2450"/>
        <v>0</v>
      </c>
      <c r="XX354" s="242">
        <f t="shared" si="2451"/>
        <v>2179</v>
      </c>
      <c r="XY354" s="56"/>
      <c r="YB354" s="55">
        <f t="shared" si="2452"/>
        <v>46325</v>
      </c>
      <c r="YC354" s="56"/>
      <c r="YD354" s="242">
        <f>SUMPRODUCT(PRODUCE!$B351:$DY351,PRODUCE!$EB$57:$IY$57)</f>
        <v>0</v>
      </c>
      <c r="YE354" s="56"/>
      <c r="YF354" s="242">
        <f t="shared" si="2453"/>
        <v>0</v>
      </c>
      <c r="YG354" s="242">
        <f t="shared" si="2454"/>
        <v>4019</v>
      </c>
      <c r="YH354" s="56"/>
      <c r="YK354" s="55">
        <f t="shared" si="2455"/>
        <v>46325</v>
      </c>
      <c r="YL354" s="56"/>
      <c r="YM354" s="242">
        <f>SUMPRODUCT(PRODUCE!$B351:$DY351,PRODUCE!$EB$57:$IY$57)</f>
        <v>0</v>
      </c>
      <c r="YN354" s="56"/>
      <c r="YO354" s="242">
        <f t="shared" si="2456"/>
        <v>0</v>
      </c>
      <c r="YP354" s="242">
        <f t="shared" si="2457"/>
        <v>-218</v>
      </c>
      <c r="YQ354" s="56"/>
      <c r="YT354" s="55">
        <f t="shared" si="2458"/>
        <v>46325</v>
      </c>
      <c r="YU354" s="56"/>
      <c r="YV354" s="242">
        <f>SUMPRODUCT(PRODUCE!$B351:$DY351,PRODUCE!$EB$57:$IY$57)</f>
        <v>0</v>
      </c>
      <c r="YW354" s="56"/>
      <c r="YX354" s="242">
        <f t="shared" si="2459"/>
        <v>0</v>
      </c>
      <c r="YY354" s="242">
        <f t="shared" si="2460"/>
        <v>0</v>
      </c>
      <c r="YZ354" s="56"/>
      <c r="ZC354" s="55">
        <f t="shared" si="2461"/>
        <v>46325</v>
      </c>
      <c r="ZD354" s="56"/>
      <c r="ZE354" s="242">
        <f>SUMPRODUCT(PRODUCE!$B351:$DY351,PRODUCE!$EB$57:$IY$57)</f>
        <v>0</v>
      </c>
      <c r="ZF354" s="56"/>
      <c r="ZG354" s="242">
        <f t="shared" si="2462"/>
        <v>0</v>
      </c>
      <c r="ZH354" s="242">
        <f t="shared" si="2463"/>
        <v>0</v>
      </c>
      <c r="ZI354" s="56"/>
      <c r="ZL354" s="55">
        <f t="shared" si="2464"/>
        <v>46325</v>
      </c>
      <c r="ZM354" s="56"/>
      <c r="ZN354" s="242">
        <f>SUMPRODUCT(PRODUCE!$B351:$DY351,PRODUCE!$EB$57:$IY$57)</f>
        <v>0</v>
      </c>
      <c r="ZO354" s="56"/>
      <c r="ZP354" s="242">
        <f t="shared" si="2465"/>
        <v>0</v>
      </c>
      <c r="ZQ354" s="242">
        <f t="shared" si="2466"/>
        <v>0</v>
      </c>
      <c r="ZR354" s="56"/>
      <c r="ZU354" s="55">
        <f t="shared" si="2467"/>
        <v>46325</v>
      </c>
      <c r="ZV354" s="56"/>
      <c r="ZW354" s="242">
        <f>SUMPRODUCT(PRODUCE!$B351:$DY351,PRODUCE!$EB$57:$IY$57)</f>
        <v>0</v>
      </c>
      <c r="ZX354" s="56"/>
      <c r="ZY354" s="242">
        <f t="shared" si="2468"/>
        <v>0</v>
      </c>
      <c r="ZZ354" s="242">
        <f t="shared" si="2469"/>
        <v>0</v>
      </c>
      <c r="AAA354" s="56"/>
      <c r="AAD354" s="55">
        <f t="shared" si="2470"/>
        <v>46325</v>
      </c>
      <c r="AAE354" s="56"/>
      <c r="AAF354" s="242">
        <f>SUMPRODUCT(PRODUCE!$B351:$DY351,PRODUCE!$EB$57:$IY$57)</f>
        <v>0</v>
      </c>
      <c r="AAG354" s="56"/>
      <c r="AAH354" s="242">
        <f t="shared" si="2471"/>
        <v>0</v>
      </c>
      <c r="AAI354" s="242">
        <f t="shared" si="2472"/>
        <v>0</v>
      </c>
      <c r="AAJ354" s="56"/>
      <c r="AAM354" s="55">
        <f t="shared" si="2473"/>
        <v>46325</v>
      </c>
      <c r="AAN354" s="56"/>
      <c r="AAO354" s="242">
        <f>SUMPRODUCT(PRODUCE!$B351:$DY351,PRODUCE!$EB$57:$IY$57)</f>
        <v>0</v>
      </c>
      <c r="AAP354" s="56"/>
      <c r="AAQ354" s="242">
        <f t="shared" si="2474"/>
        <v>0</v>
      </c>
      <c r="AAR354" s="242">
        <f t="shared" si="2475"/>
        <v>0</v>
      </c>
      <c r="AAS354" s="56"/>
      <c r="AAV354" s="55">
        <f t="shared" si="2476"/>
        <v>46325</v>
      </c>
      <c r="AAW354" s="56"/>
      <c r="AAX354" s="242">
        <f>SUMPRODUCT(PRODUCE!$B351:$DY351,PRODUCE!$EB$57:$IY$57)</f>
        <v>0</v>
      </c>
      <c r="AAY354" s="56"/>
      <c r="AAZ354" s="242">
        <f t="shared" si="2477"/>
        <v>0</v>
      </c>
      <c r="ABA354" s="242">
        <f t="shared" si="2478"/>
        <v>0</v>
      </c>
      <c r="ABB354" s="56"/>
      <c r="ABE354" s="55">
        <f t="shared" si="2479"/>
        <v>46325</v>
      </c>
      <c r="ABF354" s="56"/>
      <c r="ABG354" s="242">
        <f>SUMPRODUCT(PRODUCE!$B351:$DY351,PRODUCE!$EB$57:$IY$57)</f>
        <v>0</v>
      </c>
      <c r="ABH354" s="56"/>
      <c r="ABI354" s="242">
        <f t="shared" si="2480"/>
        <v>0</v>
      </c>
      <c r="ABJ354" s="242">
        <f t="shared" si="2481"/>
        <v>0</v>
      </c>
      <c r="ABK354" s="56"/>
    </row>
    <row r="355" spans="1:739" s="54" customFormat="1" ht="15" customHeight="1" outlineLevel="1" thickBot="1">
      <c r="B355" s="478"/>
      <c r="C355" s="55">
        <v>46326</v>
      </c>
      <c r="D355" s="67"/>
      <c r="E355" s="57">
        <f>SUMPRODUCT(PRODUCE!$B352:$DY352,PRODUCE!$EB$7:$IY$7)</f>
        <v>0</v>
      </c>
      <c r="F355" s="67"/>
      <c r="G355" s="57">
        <f t="shared" si="2237"/>
        <v>0</v>
      </c>
      <c r="H355" s="57">
        <f t="shared" si="2238"/>
        <v>236936.6</v>
      </c>
      <c r="I355" s="289"/>
      <c r="L355" s="55">
        <f t="shared" si="2239"/>
        <v>46326</v>
      </c>
      <c r="M355" s="67"/>
      <c r="N355" s="59">
        <f>SUMPRODUCT(PRODUCE!$B352:$DY352,PRODUCE!$EB$8:$IY$8)</f>
        <v>0</v>
      </c>
      <c r="O355" s="67"/>
      <c r="P355" s="59">
        <f t="shared" si="2240"/>
        <v>0</v>
      </c>
      <c r="Q355" s="59">
        <f t="shared" si="2241"/>
        <v>53017.600000000071</v>
      </c>
      <c r="R355" s="56"/>
      <c r="U355" s="55">
        <f t="shared" si="2242"/>
        <v>46326</v>
      </c>
      <c r="V355" s="67"/>
      <c r="W355" s="60">
        <f>SUMPRODUCT(PRODUCE!$B352:$DY352,PRODUCE!$EB$9:$IY$9)</f>
        <v>0</v>
      </c>
      <c r="X355" s="67"/>
      <c r="Y355" s="60">
        <f t="shared" si="2243"/>
        <v>0</v>
      </c>
      <c r="Z355" s="60">
        <f t="shared" si="2244"/>
        <v>42674.199999999968</v>
      </c>
      <c r="AA355" s="56"/>
      <c r="AD355" s="55">
        <f t="shared" si="2245"/>
        <v>46326</v>
      </c>
      <c r="AE355" s="67"/>
      <c r="AF355" s="61">
        <f>SUMPRODUCT(PRODUCE!$B352:$DY352,PRODUCE!$EB$10:$IY$10)</f>
        <v>0</v>
      </c>
      <c r="AG355" s="67"/>
      <c r="AH355" s="61">
        <f t="shared" si="2246"/>
        <v>0</v>
      </c>
      <c r="AI355" s="61">
        <f t="shared" si="2247"/>
        <v>4522.2000000000189</v>
      </c>
      <c r="AJ355" s="56"/>
      <c r="AM355" s="55">
        <f t="shared" si="2248"/>
        <v>46326</v>
      </c>
      <c r="AN355" s="425"/>
      <c r="AO355" s="444">
        <f>SUMPRODUCT(PRODUCE!$B352:$DY352,PRODUCE!$EB$11:$IY$11)</f>
        <v>0</v>
      </c>
      <c r="AP355" s="422"/>
      <c r="AQ355" s="444">
        <f t="shared" si="2249"/>
        <v>0</v>
      </c>
      <c r="AR355" s="444">
        <f t="shared" si="2250"/>
        <v>0</v>
      </c>
      <c r="AS355" s="56"/>
      <c r="AV355" s="55">
        <f t="shared" si="2251"/>
        <v>46326</v>
      </c>
      <c r="AW355" s="67"/>
      <c r="AX355" s="62">
        <f>SUMPRODUCT(PRODUCE!$B352:$DY352,PRODUCE!$EB$12:$IY$12)</f>
        <v>0</v>
      </c>
      <c r="AY355" s="67"/>
      <c r="AZ355" s="62">
        <f t="shared" si="2252"/>
        <v>0</v>
      </c>
      <c r="BA355" s="62">
        <f t="shared" si="2253"/>
        <v>124.99999999999523</v>
      </c>
      <c r="BB355" s="56"/>
      <c r="BE355" s="55">
        <f t="shared" si="2254"/>
        <v>46326</v>
      </c>
      <c r="BF355" s="67"/>
      <c r="BG355" s="63">
        <f>SUMPRODUCT(PRODUCE!$B352:$DY352,PRODUCE!$EB$13:$IY$13)</f>
        <v>0</v>
      </c>
      <c r="BH355" s="67"/>
      <c r="BI355" s="63">
        <f t="shared" si="2255"/>
        <v>0</v>
      </c>
      <c r="BJ355" s="63">
        <f t="shared" si="2256"/>
        <v>26151.899999999998</v>
      </c>
      <c r="BK355" s="56"/>
      <c r="BN355" s="55">
        <f t="shared" si="2257"/>
        <v>46326</v>
      </c>
      <c r="BO355" s="67"/>
      <c r="BP355" s="64">
        <f>SUMPRODUCT(PRODUCE!$B352:$DY352,PRODUCE!$EB$14:$IY$14)</f>
        <v>0</v>
      </c>
      <c r="BQ355" s="67"/>
      <c r="BR355" s="64">
        <f t="shared" si="2258"/>
        <v>0</v>
      </c>
      <c r="BS355" s="64">
        <f t="shared" si="2259"/>
        <v>0</v>
      </c>
      <c r="BT355" s="56"/>
      <c r="BW355" s="55">
        <f t="shared" si="2260"/>
        <v>46326</v>
      </c>
      <c r="BX355" s="67"/>
      <c r="BY355" s="65">
        <f>SUMPRODUCT(PRODUCE!$B352:$DY352,PRODUCE!$EB$15:$IY$15)</f>
        <v>0</v>
      </c>
      <c r="BZ355" s="67"/>
      <c r="CA355" s="65">
        <f t="shared" si="2261"/>
        <v>0</v>
      </c>
      <c r="CB355" s="65">
        <f t="shared" si="2262"/>
        <v>2097.3399999999992</v>
      </c>
      <c r="CC355" s="56"/>
      <c r="CF355" s="55">
        <f t="shared" si="2263"/>
        <v>46326</v>
      </c>
      <c r="CG355" s="67"/>
      <c r="CH355" s="66">
        <f>SUMPRODUCT(PRODUCE!$B352:$DY352,PRODUCE!$EB$16:$IY$16)</f>
        <v>0</v>
      </c>
      <c r="CI355" s="67"/>
      <c r="CJ355" s="66">
        <f t="shared" si="2264"/>
        <v>0</v>
      </c>
      <c r="CK355" s="66">
        <f t="shared" si="2265"/>
        <v>-10277.079999999998</v>
      </c>
      <c r="CL355" s="56"/>
      <c r="CO355" s="55">
        <f t="shared" si="2266"/>
        <v>46326</v>
      </c>
      <c r="CP355" s="425"/>
      <c r="CQ355" s="470">
        <f>SUMPRODUCT(PRODUCE!$B352:$DY352,PRODUCE!$EB$17:$IY$17)</f>
        <v>0</v>
      </c>
      <c r="CR355" s="425"/>
      <c r="CS355" s="470">
        <f t="shared" si="2267"/>
        <v>0</v>
      </c>
      <c r="CT355" s="470">
        <f t="shared" si="2268"/>
        <v>0</v>
      </c>
      <c r="CU355" s="56"/>
      <c r="CX355" s="55">
        <f t="shared" si="2269"/>
        <v>46326</v>
      </c>
      <c r="CY355" s="67"/>
      <c r="CZ355" s="133">
        <f>SUMPRODUCT(PRODUCE!$B352:$DY352,PRODUCE!$EB$18:$IY$18)</f>
        <v>0</v>
      </c>
      <c r="DA355" s="56"/>
      <c r="DB355" s="133">
        <f t="shared" si="2270"/>
        <v>0</v>
      </c>
      <c r="DC355" s="133">
        <f t="shared" si="2271"/>
        <v>27438.200000000012</v>
      </c>
      <c r="DD355" s="56"/>
      <c r="DG355" s="55">
        <f t="shared" si="2272"/>
        <v>46326</v>
      </c>
      <c r="DH355" s="67"/>
      <c r="DI355" s="147">
        <f>SUMPRODUCT(PRODUCE!$B352:$DY352,PRODUCE!$EB$19:$IY$19)</f>
        <v>0</v>
      </c>
      <c r="DJ355" s="56"/>
      <c r="DK355" s="147">
        <f t="shared" si="2273"/>
        <v>0</v>
      </c>
      <c r="DL355" s="147">
        <f t="shared" si="2274"/>
        <v>18782.299999999981</v>
      </c>
      <c r="DM355" s="56"/>
      <c r="DP355" s="55">
        <f t="shared" si="2275"/>
        <v>46326</v>
      </c>
      <c r="DQ355" s="67"/>
      <c r="DR355" s="57">
        <f>SUMPRODUCT(PRODUCE!$B352:$DY352,PRODUCE!$EB$20:$IY$20)</f>
        <v>0</v>
      </c>
      <c r="DS355" s="56"/>
      <c r="DT355" s="57">
        <f t="shared" si="2276"/>
        <v>0</v>
      </c>
      <c r="DU355" s="57">
        <f t="shared" si="2277"/>
        <v>5800</v>
      </c>
      <c r="DV355" s="56"/>
      <c r="DY355" s="55">
        <f t="shared" si="2278"/>
        <v>46326</v>
      </c>
      <c r="DZ355" s="67"/>
      <c r="EA355" s="157">
        <f>SUMPRODUCT(PRODUCE!$B352:$DY352,PRODUCE!$EB$21:$IY$21)</f>
        <v>0</v>
      </c>
      <c r="EB355" s="56"/>
      <c r="EC355" s="157">
        <f t="shared" si="2279"/>
        <v>0</v>
      </c>
      <c r="ED355" s="157">
        <f t="shared" si="2280"/>
        <v>0</v>
      </c>
      <c r="EE355" s="56"/>
      <c r="EH355" s="55">
        <f t="shared" si="2281"/>
        <v>46326</v>
      </c>
      <c r="EI355" s="67"/>
      <c r="EJ355" s="162">
        <f>SUMPRODUCT(PRODUCE!$B352:$DY352,PRODUCE!$EB$22:$IY$22)</f>
        <v>0</v>
      </c>
      <c r="EK355" s="67"/>
      <c r="EL355" s="162">
        <f t="shared" si="2282"/>
        <v>0</v>
      </c>
      <c r="EM355" s="162">
        <f t="shared" si="2283"/>
        <v>0</v>
      </c>
      <c r="EN355" s="56"/>
      <c r="EQ355" s="55">
        <f t="shared" si="2284"/>
        <v>46326</v>
      </c>
      <c r="ER355" s="67"/>
      <c r="ES355" s="135">
        <f>SUMPRODUCT(PRODUCE!$B352:$DY352,PRODUCE!$EB$23:$IY$23)</f>
        <v>0</v>
      </c>
      <c r="ET355" s="56"/>
      <c r="EU355" s="135">
        <f t="shared" si="2285"/>
        <v>0</v>
      </c>
      <c r="EV355" s="135">
        <f t="shared" si="2286"/>
        <v>0</v>
      </c>
      <c r="EW355" s="56"/>
      <c r="EZ355" s="55">
        <f t="shared" si="2287"/>
        <v>46326</v>
      </c>
      <c r="FA355" s="67"/>
      <c r="FB355" s="175">
        <f>SUMPRODUCT(PRODUCE!$B352:$DY352,PRODUCE!$EB$24:$IY$24)</f>
        <v>0</v>
      </c>
      <c r="FC355" s="56"/>
      <c r="FD355" s="175">
        <f t="shared" si="2288"/>
        <v>0</v>
      </c>
      <c r="FE355" s="175">
        <f t="shared" si="2289"/>
        <v>0</v>
      </c>
      <c r="FF355" s="56"/>
      <c r="FI355" s="55">
        <f t="shared" si="2290"/>
        <v>46326</v>
      </c>
      <c r="FJ355" s="67"/>
      <c r="FK355" s="183">
        <f>SUMPRODUCT(PRODUCE!$B352:$DY352,PRODUCE!$EB$25:$IY$25)</f>
        <v>0</v>
      </c>
      <c r="FL355" s="56"/>
      <c r="FM355" s="183">
        <f t="shared" si="2291"/>
        <v>0</v>
      </c>
      <c r="FN355" s="183">
        <f t="shared" si="2292"/>
        <v>0</v>
      </c>
      <c r="FO355" s="56"/>
      <c r="FR355" s="55">
        <f t="shared" si="2293"/>
        <v>46326</v>
      </c>
      <c r="FS355" s="67"/>
      <c r="FT355" s="186">
        <f>SUMPRODUCT(PRODUCE!$B352:$DY352,PRODUCE!$EB$26:$IY$26)</f>
        <v>0</v>
      </c>
      <c r="FU355" s="56"/>
      <c r="FV355" s="186">
        <f t="shared" si="2294"/>
        <v>0</v>
      </c>
      <c r="FW355" s="186">
        <f t="shared" si="2295"/>
        <v>2020</v>
      </c>
      <c r="FX355" s="56"/>
      <c r="GA355" s="55">
        <f t="shared" si="2296"/>
        <v>46326</v>
      </c>
      <c r="GB355" s="67"/>
      <c r="GC355" s="137">
        <f>SUMPRODUCT(PRODUCE!$B352:$DY352,PRODUCE!$EB$27:$IY$27)</f>
        <v>0</v>
      </c>
      <c r="GD355" s="56"/>
      <c r="GE355" s="137">
        <f t="shared" si="2297"/>
        <v>0</v>
      </c>
      <c r="GF355" s="137">
        <f t="shared" si="2298"/>
        <v>960</v>
      </c>
      <c r="GG355" s="56"/>
      <c r="GI355" s="23"/>
      <c r="GJ355" s="55">
        <f t="shared" si="2299"/>
        <v>46326</v>
      </c>
      <c r="GK355" s="67"/>
      <c r="GL355" s="199">
        <f>SUMPRODUCT(PRODUCE!$B352:$DY352,PRODUCE!$EB$28:$IY$28)</f>
        <v>0</v>
      </c>
      <c r="GM355" s="56"/>
      <c r="GN355" s="199">
        <f t="shared" si="2300"/>
        <v>0</v>
      </c>
      <c r="GO355" s="199">
        <f t="shared" si="2301"/>
        <v>1760</v>
      </c>
      <c r="GP355" s="56"/>
      <c r="GS355" s="55">
        <f t="shared" si="2302"/>
        <v>46326</v>
      </c>
      <c r="GT355" s="67"/>
      <c r="GU355" s="195">
        <f>SUMPRODUCT(PRODUCE!$B352:$DY352,PRODUCE!$EB$29:$IY$29)</f>
        <v>0</v>
      </c>
      <c r="GV355" s="56"/>
      <c r="GW355" s="195">
        <f t="shared" si="2303"/>
        <v>0</v>
      </c>
      <c r="GX355" s="195">
        <f t="shared" si="2304"/>
        <v>400</v>
      </c>
      <c r="GY355" s="56"/>
      <c r="HB355" s="55">
        <f t="shared" si="2305"/>
        <v>46326</v>
      </c>
      <c r="HC355" s="67"/>
      <c r="HD355" s="191">
        <f>SUMPRODUCT(PRODUCE!$B352:$DY352,PRODUCE!$EB$30:$IY$30)</f>
        <v>0</v>
      </c>
      <c r="HE355" s="56"/>
      <c r="HF355" s="191">
        <f t="shared" si="2306"/>
        <v>0</v>
      </c>
      <c r="HG355" s="191">
        <f t="shared" si="2307"/>
        <v>3600</v>
      </c>
      <c r="HH355" s="56"/>
      <c r="HK355" s="55">
        <f t="shared" si="2308"/>
        <v>46326</v>
      </c>
      <c r="HL355" s="67"/>
      <c r="HM355" s="63">
        <f>SUMPRODUCT(PRODUCE!$B352:$DY352,PRODUCE!$EB$31:$IY$31)</f>
        <v>0</v>
      </c>
      <c r="HN355" s="56"/>
      <c r="HO355" s="63">
        <f t="shared" si="2309"/>
        <v>0</v>
      </c>
      <c r="HP355" s="63">
        <f t="shared" si="2310"/>
        <v>0</v>
      </c>
      <c r="HQ355" s="56"/>
      <c r="HU355" s="55">
        <f t="shared" si="2311"/>
        <v>46326</v>
      </c>
      <c r="HV355" s="67"/>
      <c r="HW355" s="242">
        <f>SUMPRODUCT(PRODUCE!$B352:$DY352,PRODUCE!$EB$32:$IY$32)</f>
        <v>0</v>
      </c>
      <c r="HX355" s="56"/>
      <c r="HY355" s="242">
        <f t="shared" si="2312"/>
        <v>0</v>
      </c>
      <c r="HZ355" s="242">
        <f t="shared" si="2313"/>
        <v>6120</v>
      </c>
      <c r="IA355" s="56"/>
      <c r="ID355" s="55">
        <f t="shared" si="2314"/>
        <v>46326</v>
      </c>
      <c r="IE355" s="67"/>
      <c r="IF355" s="242">
        <f>SUMPRODUCT(PRODUCE!$B352:$DY352,PRODUCE!$EB$33:$IY$33)</f>
        <v>0</v>
      </c>
      <c r="IG355" s="56"/>
      <c r="IH355" s="242">
        <f t="shared" si="2315"/>
        <v>0</v>
      </c>
      <c r="II355" s="242">
        <f t="shared" si="2316"/>
        <v>0</v>
      </c>
      <c r="IJ355" s="56"/>
      <c r="IM355" s="55">
        <f t="shared" si="2317"/>
        <v>46326</v>
      </c>
      <c r="IN355" s="67"/>
      <c r="IO355" s="242">
        <f>SUMPRODUCT(PRODUCE!$B352:$DY352,PRODUCE!$EB$34:$IY$34)</f>
        <v>0</v>
      </c>
      <c r="IP355" s="56"/>
      <c r="IQ355" s="242">
        <f t="shared" si="2318"/>
        <v>0</v>
      </c>
      <c r="IR355" s="242">
        <f t="shared" si="2319"/>
        <v>0</v>
      </c>
      <c r="IS355" s="56"/>
      <c r="IV355" s="55">
        <f t="shared" si="2320"/>
        <v>46326</v>
      </c>
      <c r="IW355" s="67"/>
      <c r="IX355" s="242">
        <f>SUMPRODUCT(PRODUCE!$B352:$DY352,PRODUCE!$EB$35:$IY$35)</f>
        <v>0</v>
      </c>
      <c r="IY355" s="67"/>
      <c r="IZ355" s="242">
        <f t="shared" si="2321"/>
        <v>0</v>
      </c>
      <c r="JA355" s="242">
        <f t="shared" si="2322"/>
        <v>2820</v>
      </c>
      <c r="JB355" s="56"/>
      <c r="JE355" s="55">
        <f t="shared" si="2323"/>
        <v>46326</v>
      </c>
      <c r="JF355" s="67"/>
      <c r="JG355" s="242">
        <f>SUMPRODUCT(PRODUCE!$B352:$DY352,PRODUCE!$EB$36:$IY$36)</f>
        <v>0</v>
      </c>
      <c r="JH355" s="67"/>
      <c r="JI355" s="242">
        <f t="shared" si="2324"/>
        <v>0</v>
      </c>
      <c r="JJ355" s="242">
        <f t="shared" si="2325"/>
        <v>0</v>
      </c>
      <c r="JK355" s="56"/>
      <c r="JN355" s="55">
        <f t="shared" si="2326"/>
        <v>46326</v>
      </c>
      <c r="JO355" s="67"/>
      <c r="JP355" s="242">
        <f>SUMPRODUCT(PRODUCE!$B352:$DY352,PRODUCE!$EB$37:$IY$37)</f>
        <v>0</v>
      </c>
      <c r="JQ355" s="67"/>
      <c r="JR355" s="242">
        <f t="shared" si="2327"/>
        <v>0</v>
      </c>
      <c r="JS355" s="242">
        <f t="shared" si="2328"/>
        <v>0</v>
      </c>
      <c r="JT355" s="289"/>
      <c r="JW355" s="55">
        <f t="shared" si="2329"/>
        <v>46326</v>
      </c>
      <c r="JX355" s="67"/>
      <c r="JY355" s="242">
        <f>SUMPRODUCT(PRODUCE!$B352:$DY352,PRODUCE!$EB$38:$IY$38)</f>
        <v>0</v>
      </c>
      <c r="JZ355" s="67"/>
      <c r="KA355" s="242">
        <f t="shared" si="2330"/>
        <v>0</v>
      </c>
      <c r="KB355" s="242">
        <f t="shared" si="2331"/>
        <v>2540</v>
      </c>
      <c r="KC355" s="56"/>
      <c r="KF355" s="55">
        <f t="shared" si="2332"/>
        <v>46326</v>
      </c>
      <c r="KG355" s="67"/>
      <c r="KH355" s="242">
        <f>SUMPRODUCT(PRODUCE!$B352:$DY352,PRODUCE!$EB$39:$IY$39)</f>
        <v>0</v>
      </c>
      <c r="KI355" s="56"/>
      <c r="KJ355" s="242">
        <f t="shared" si="2333"/>
        <v>0</v>
      </c>
      <c r="KK355" s="242">
        <f t="shared" si="2334"/>
        <v>2359.5</v>
      </c>
      <c r="KL355" s="56"/>
      <c r="KO355" s="55">
        <f t="shared" si="2335"/>
        <v>46326</v>
      </c>
      <c r="KP355" s="67"/>
      <c r="KQ355" s="242">
        <f>SUMPRODUCT(PRODUCE!$B352:$DY352,PRODUCE!$EB$40:$IY$40)</f>
        <v>0</v>
      </c>
      <c r="KR355" s="56"/>
      <c r="KS355" s="242">
        <f t="shared" si="2336"/>
        <v>0</v>
      </c>
      <c r="KT355" s="242">
        <f t="shared" si="2337"/>
        <v>1890</v>
      </c>
      <c r="KU355" s="56"/>
      <c r="KW355" s="23"/>
      <c r="KX355" s="55">
        <f t="shared" si="2338"/>
        <v>46326</v>
      </c>
      <c r="KY355" s="67"/>
      <c r="KZ355" s="242">
        <f>SUMPRODUCT(PRODUCE!$B352:$DY352,PRODUCE!$EB$41:$IY$41)</f>
        <v>0</v>
      </c>
      <c r="LA355" s="56"/>
      <c r="LB355" s="242">
        <f t="shared" si="2339"/>
        <v>0</v>
      </c>
      <c r="LC355" s="242">
        <f t="shared" si="2340"/>
        <v>3690</v>
      </c>
      <c r="LD355" s="56"/>
      <c r="LG355" s="55">
        <f t="shared" si="2341"/>
        <v>46326</v>
      </c>
      <c r="LH355" s="67"/>
      <c r="LI355" s="242">
        <f>SUMPRODUCT(PRODUCE!$B352:$DY352,PRODUCE!$EB$42:$IY$42)</f>
        <v>0</v>
      </c>
      <c r="LJ355" s="67"/>
      <c r="LK355" s="242">
        <f t="shared" si="2342"/>
        <v>0</v>
      </c>
      <c r="LL355" s="242">
        <f t="shared" si="2343"/>
        <v>4000</v>
      </c>
      <c r="LM355" s="56"/>
      <c r="LP355" s="55">
        <f t="shared" si="2344"/>
        <v>46326</v>
      </c>
      <c r="LQ355" s="67"/>
      <c r="LR355" s="242">
        <f>SUMPRODUCT(PRODUCE!$B352:$DY352,PRODUCE!$EB$43:$IY$43)</f>
        <v>0</v>
      </c>
      <c r="LS355" s="56"/>
      <c r="LT355" s="242">
        <f t="shared" si="2345"/>
        <v>0</v>
      </c>
      <c r="LU355" s="242">
        <f t="shared" si="2346"/>
        <v>0</v>
      </c>
      <c r="LV355" s="56"/>
      <c r="LY355" s="55">
        <f t="shared" si="2347"/>
        <v>46326</v>
      </c>
      <c r="LZ355" s="67"/>
      <c r="MA355" s="242">
        <f>SUMPRODUCT(PRODUCE!$B352:$DY352,PRODUCE!$EB$44:$IY$44)</f>
        <v>0</v>
      </c>
      <c r="MB355" s="67"/>
      <c r="MC355" s="242">
        <f t="shared" si="2348"/>
        <v>0</v>
      </c>
      <c r="MD355" s="242">
        <f t="shared" si="2349"/>
        <v>0</v>
      </c>
      <c r="ME355" s="56"/>
      <c r="MH355" s="55">
        <f t="shared" si="2350"/>
        <v>46326</v>
      </c>
      <c r="MI355" s="67"/>
      <c r="MJ355" s="242">
        <f>SUMPRODUCT(PRODUCE!$B352:$DY352,PRODUCE!$EB$45:$IY$45)</f>
        <v>0</v>
      </c>
      <c r="MK355" s="56"/>
      <c r="ML355" s="242">
        <f t="shared" si="2351"/>
        <v>0</v>
      </c>
      <c r="MM355" s="242">
        <f t="shared" si="2352"/>
        <v>0</v>
      </c>
      <c r="MN355" s="56"/>
      <c r="MQ355" s="55">
        <f t="shared" si="2353"/>
        <v>46326</v>
      </c>
      <c r="MR355" s="67"/>
      <c r="MS355" s="242">
        <f>SUMPRODUCT(PRODUCE!$B352:$DY352,PRODUCE!$EB$46:$IY$46)</f>
        <v>0</v>
      </c>
      <c r="MT355" s="56"/>
      <c r="MU355" s="242">
        <f t="shared" si="2354"/>
        <v>0</v>
      </c>
      <c r="MV355" s="242">
        <f t="shared" si="2355"/>
        <v>1625</v>
      </c>
      <c r="MW355" s="56"/>
      <c r="MZ355" s="55">
        <f t="shared" si="2356"/>
        <v>46326</v>
      </c>
      <c r="NA355" s="67"/>
      <c r="NB355" s="242">
        <f>SUMPRODUCT(PRODUCE!$B352:$DY352,PRODUCE!$EB$47:$IY$47)</f>
        <v>0</v>
      </c>
      <c r="NC355" s="67"/>
      <c r="ND355" s="242">
        <f t="shared" si="2357"/>
        <v>0</v>
      </c>
      <c r="NE355" s="242">
        <f t="shared" si="2358"/>
        <v>0</v>
      </c>
      <c r="NF355" s="56"/>
      <c r="NI355" s="55">
        <f t="shared" si="2359"/>
        <v>46326</v>
      </c>
      <c r="NJ355" s="67"/>
      <c r="NK355" s="242">
        <f>SUMPRODUCT(PRODUCE!$B352:$DY352,PRODUCE!$EB$48:$IY$48)</f>
        <v>0</v>
      </c>
      <c r="NL355" s="56"/>
      <c r="NM355" s="242">
        <f t="shared" si="2360"/>
        <v>0</v>
      </c>
      <c r="NN355" s="242">
        <f t="shared" si="2361"/>
        <v>1127</v>
      </c>
      <c r="NO355" s="56"/>
      <c r="NR355" s="55">
        <f t="shared" si="2362"/>
        <v>46326</v>
      </c>
      <c r="NS355" s="67"/>
      <c r="NT355" s="242">
        <f>SUMPRODUCT(PRODUCE!$B352:$DY352,PRODUCE!$EB$49:$IY$49)</f>
        <v>0</v>
      </c>
      <c r="NU355" s="56"/>
      <c r="NV355" s="242">
        <f t="shared" si="2363"/>
        <v>0</v>
      </c>
      <c r="NW355" s="242">
        <f t="shared" si="2364"/>
        <v>3111.9999999999995</v>
      </c>
      <c r="NX355" s="56"/>
      <c r="OA355" s="55">
        <f t="shared" si="2365"/>
        <v>46326</v>
      </c>
      <c r="OB355" s="67"/>
      <c r="OC355" s="242">
        <f>SUMPRODUCT(PRODUCE!$B352:$DY352,PRODUCE!$EB$50:$IY$50)</f>
        <v>0</v>
      </c>
      <c r="OD355" s="56"/>
      <c r="OE355" s="242">
        <f t="shared" si="2366"/>
        <v>0</v>
      </c>
      <c r="OF355" s="242">
        <f t="shared" si="2367"/>
        <v>1680.5</v>
      </c>
      <c r="OG355" s="56"/>
      <c r="OJ355" s="55">
        <f t="shared" si="2368"/>
        <v>46326</v>
      </c>
      <c r="OK355" s="67"/>
      <c r="OL355" s="242">
        <f>SUMPRODUCT(PRODUCE!$B352:$DY352,PRODUCE!$EB$51:$IY$51)</f>
        <v>0</v>
      </c>
      <c r="OM355" s="56"/>
      <c r="ON355" s="242">
        <f t="shared" si="2369"/>
        <v>0</v>
      </c>
      <c r="OO355" s="242">
        <f t="shared" si="2370"/>
        <v>0</v>
      </c>
      <c r="OP355" s="56"/>
      <c r="OS355" s="55">
        <f t="shared" si="2371"/>
        <v>46326</v>
      </c>
      <c r="OT355" s="67"/>
      <c r="OU355" s="242">
        <f>SUMPRODUCT(PRODUCE!$B352:$DY352,PRODUCE!$EB$52:$IY$52)</f>
        <v>0</v>
      </c>
      <c r="OV355" s="56"/>
      <c r="OW355" s="242">
        <f t="shared" si="2372"/>
        <v>0</v>
      </c>
      <c r="OX355" s="242">
        <f t="shared" si="2373"/>
        <v>1482</v>
      </c>
      <c r="OY355" s="56"/>
      <c r="PB355" s="55">
        <f t="shared" si="2374"/>
        <v>46326</v>
      </c>
      <c r="PC355" s="67"/>
      <c r="PD355" s="242">
        <f>SUMPRODUCT(PRODUCE!$B352:$DY352,PRODUCE!$EB$53:$IY$53)</f>
        <v>0</v>
      </c>
      <c r="PE355" s="56"/>
      <c r="PF355" s="242">
        <f t="shared" si="2375"/>
        <v>0</v>
      </c>
      <c r="PG355" s="242">
        <f t="shared" si="2376"/>
        <v>0</v>
      </c>
      <c r="PH355" s="56"/>
      <c r="PK355" s="55">
        <f t="shared" si="2377"/>
        <v>46326</v>
      </c>
      <c r="PL355" s="67"/>
      <c r="PM355" s="242">
        <f>SUMPRODUCT(PRODUCE!$B352:$DY352,PRODUCE!$EB$54:$IY$54)</f>
        <v>0</v>
      </c>
      <c r="PN355" s="56"/>
      <c r="PO355" s="242">
        <f t="shared" si="2378"/>
        <v>0</v>
      </c>
      <c r="PP355" s="242">
        <f t="shared" si="2379"/>
        <v>100</v>
      </c>
      <c r="PQ355" s="56"/>
      <c r="PT355" s="55">
        <f t="shared" si="2380"/>
        <v>46326</v>
      </c>
      <c r="PU355" s="67"/>
      <c r="PV355" s="242">
        <f>SUMPRODUCT(PRODUCE!$B352:$DY352,PRODUCE!$EB$55:$IY$55)</f>
        <v>0</v>
      </c>
      <c r="PW355" s="67"/>
      <c r="PX355" s="242">
        <f t="shared" si="2381"/>
        <v>0</v>
      </c>
      <c r="PY355" s="242">
        <f t="shared" si="2382"/>
        <v>13.960000000000036</v>
      </c>
      <c r="PZ355" s="56"/>
      <c r="QC355" s="55">
        <f t="shared" si="2383"/>
        <v>46326</v>
      </c>
      <c r="QD355" s="67"/>
      <c r="QE355" s="242">
        <f>SUMPRODUCT(PRODUCE!$B352:$DY352,PRODUCE!$EB$56:$IY$56)</f>
        <v>0</v>
      </c>
      <c r="QF355" s="67"/>
      <c r="QG355" s="242">
        <f t="shared" si="2384"/>
        <v>0</v>
      </c>
      <c r="QH355" s="242">
        <f t="shared" si="2385"/>
        <v>548</v>
      </c>
      <c r="QI355" s="56"/>
      <c r="QL355" s="55">
        <f t="shared" si="2386"/>
        <v>46326</v>
      </c>
      <c r="QM355" s="67"/>
      <c r="QN355" s="242">
        <f>SUMPRODUCT(PRODUCE!$B352:$DY352,PRODUCE!$EB$57:$IY$57)</f>
        <v>0</v>
      </c>
      <c r="QO355" s="67"/>
      <c r="QP355" s="242">
        <f t="shared" si="2387"/>
        <v>0</v>
      </c>
      <c r="QQ355" s="242">
        <f t="shared" si="2388"/>
        <v>0</v>
      </c>
      <c r="QR355" s="56"/>
      <c r="QU355" s="55">
        <f t="shared" si="2389"/>
        <v>46326</v>
      </c>
      <c r="QV355" s="67"/>
      <c r="QW355" s="242">
        <f>SUMPRODUCT(PRODUCE!$B352:$DY352,PRODUCE!$EB$57:$IY$57)</f>
        <v>0</v>
      </c>
      <c r="QX355" s="67"/>
      <c r="QY355" s="242">
        <f t="shared" si="2390"/>
        <v>0</v>
      </c>
      <c r="QZ355" s="242">
        <f t="shared" si="2391"/>
        <v>0</v>
      </c>
      <c r="RA355" s="56"/>
      <c r="RD355" s="55">
        <f t="shared" si="2392"/>
        <v>46326</v>
      </c>
      <c r="RE355" s="67"/>
      <c r="RF355" s="242">
        <f>SUMPRODUCT(PRODUCE!$B352:$DY352,PRODUCE!$EB$58:$IY$58)</f>
        <v>0</v>
      </c>
      <c r="RG355" s="67"/>
      <c r="RH355" s="242">
        <f t="shared" si="2393"/>
        <v>0</v>
      </c>
      <c r="RI355" s="242">
        <f t="shared" si="2394"/>
        <v>147.04000000000002</v>
      </c>
      <c r="RJ355" s="56"/>
      <c r="RM355" s="55">
        <f t="shared" si="2395"/>
        <v>46326</v>
      </c>
      <c r="RN355" s="67"/>
      <c r="RO355" s="242">
        <f>SUMPRODUCT(PRODUCE!$B352:$DY352,PRODUCE!$EB$57:$IY$57)</f>
        <v>0</v>
      </c>
      <c r="RP355" s="67"/>
      <c r="RQ355" s="242">
        <f t="shared" si="2396"/>
        <v>0</v>
      </c>
      <c r="RR355" s="242">
        <f t="shared" si="2397"/>
        <v>46.8</v>
      </c>
      <c r="RS355" s="56"/>
      <c r="RV355" s="55">
        <f t="shared" si="2398"/>
        <v>46326</v>
      </c>
      <c r="RW355" s="67"/>
      <c r="RX355" s="242">
        <f>SUMPRODUCT(PRODUCE!$B352:$DY352,PRODUCE!$EB$57:$IY$57)</f>
        <v>0</v>
      </c>
      <c r="RY355" s="67"/>
      <c r="RZ355" s="242">
        <f t="shared" si="2399"/>
        <v>0</v>
      </c>
      <c r="SA355" s="242">
        <f t="shared" si="2400"/>
        <v>0</v>
      </c>
      <c r="SB355" s="56"/>
      <c r="SE355" s="55">
        <f t="shared" si="2401"/>
        <v>46326</v>
      </c>
      <c r="SF355" s="67"/>
      <c r="SG355" s="242">
        <f>SUMPRODUCT(PRODUCE!$B352:$DY352,PRODUCE!$EB$61:$IY$61)</f>
        <v>0</v>
      </c>
      <c r="SH355" s="67"/>
      <c r="SI355" s="242">
        <f t="shared" si="2402"/>
        <v>0</v>
      </c>
      <c r="SJ355" s="242">
        <f t="shared" si="2403"/>
        <v>24.200000000000003</v>
      </c>
      <c r="SK355" s="56"/>
      <c r="SN355" s="55">
        <f t="shared" si="2404"/>
        <v>46326</v>
      </c>
      <c r="SO355" s="67"/>
      <c r="SP355" s="242">
        <f>SUMPRODUCT(PRODUCE!$B352:$DY352,PRODUCE!$EB$57:$IY$57)</f>
        <v>0</v>
      </c>
      <c r="SQ355" s="67"/>
      <c r="SR355" s="242">
        <f t="shared" si="2405"/>
        <v>0</v>
      </c>
      <c r="SS355" s="242">
        <f t="shared" si="2406"/>
        <v>32</v>
      </c>
      <c r="ST355" s="56"/>
      <c r="SW355" s="55">
        <f t="shared" si="2407"/>
        <v>46326</v>
      </c>
      <c r="SX355" s="67"/>
      <c r="SY355" s="242">
        <f>SUMPRODUCT(PRODUCE!$B352:$DY352,PRODUCE!$EB$57:$IY$57)</f>
        <v>0</v>
      </c>
      <c r="SZ355" s="67"/>
      <c r="TA355" s="242">
        <f t="shared" si="2408"/>
        <v>0</v>
      </c>
      <c r="TB355" s="242">
        <f t="shared" si="2409"/>
        <v>0</v>
      </c>
      <c r="TC355" s="56"/>
      <c r="TF355" s="55">
        <f t="shared" si="2410"/>
        <v>46326</v>
      </c>
      <c r="TG355" s="67"/>
      <c r="TH355" s="242">
        <f>SUMPRODUCT(PRODUCE!$B352:$DY352,PRODUCE!$EB$57:$IY$57)</f>
        <v>0</v>
      </c>
      <c r="TI355" s="67"/>
      <c r="TJ355" s="242">
        <f t="shared" si="2411"/>
        <v>0</v>
      </c>
      <c r="TK355" s="242">
        <f t="shared" si="2412"/>
        <v>0</v>
      </c>
      <c r="TL355" s="56"/>
      <c r="TO355" s="55">
        <f t="shared" si="2413"/>
        <v>46326</v>
      </c>
      <c r="TP355" s="67"/>
      <c r="TQ355" s="242">
        <f>SUMPRODUCT(PRODUCE!$B352:$DY352,PRODUCE!$EB$57:$IY$57)</f>
        <v>0</v>
      </c>
      <c r="TR355" s="67"/>
      <c r="TS355" s="242">
        <f t="shared" si="2414"/>
        <v>0</v>
      </c>
      <c r="TT355" s="242">
        <f t="shared" si="2415"/>
        <v>0</v>
      </c>
      <c r="TU355" s="56"/>
      <c r="TX355" s="55">
        <f t="shared" si="2416"/>
        <v>46326</v>
      </c>
      <c r="TY355" s="67"/>
      <c r="TZ355" s="242">
        <f>SUMPRODUCT(PRODUCE!$B352:$DY352,PRODUCE!$EB$57:$IY$57)</f>
        <v>0</v>
      </c>
      <c r="UA355" s="67"/>
      <c r="UB355" s="242">
        <f t="shared" si="2417"/>
        <v>0</v>
      </c>
      <c r="UC355" s="242">
        <f t="shared" si="2418"/>
        <v>46.799999999999983</v>
      </c>
      <c r="UD355" s="56"/>
      <c r="UG355" s="55">
        <f t="shared" si="2419"/>
        <v>46326</v>
      </c>
      <c r="UH355" s="67"/>
      <c r="UI355" s="242">
        <f>SUMPRODUCT(PRODUCE!$B352:$DY352,PRODUCE!$EB$57:$IY$57)</f>
        <v>0</v>
      </c>
      <c r="UJ355" s="67"/>
      <c r="UK355" s="242">
        <f t="shared" si="2420"/>
        <v>0</v>
      </c>
      <c r="UL355" s="242">
        <f t="shared" si="2421"/>
        <v>204</v>
      </c>
      <c r="UM355" s="56"/>
      <c r="UP355" s="55">
        <f t="shared" si="2422"/>
        <v>46326</v>
      </c>
      <c r="UQ355" s="67"/>
      <c r="UR355" s="242">
        <f>SUMPRODUCT(PRODUCE!$B352:$DY352,PRODUCE!$EB$57:$IY$57)</f>
        <v>0</v>
      </c>
      <c r="US355" s="67"/>
      <c r="UT355" s="242">
        <f t="shared" si="2423"/>
        <v>0</v>
      </c>
      <c r="UU355" s="242">
        <f t="shared" si="2424"/>
        <v>202.5</v>
      </c>
      <c r="UV355" s="56"/>
      <c r="UY355" s="55">
        <f t="shared" si="2425"/>
        <v>46326</v>
      </c>
      <c r="UZ355" s="67"/>
      <c r="VA355" s="242">
        <f>SUMPRODUCT(PRODUCE!$B352:$DY352,PRODUCE!$EB$57:$IY$57)</f>
        <v>0</v>
      </c>
      <c r="VB355" s="67"/>
      <c r="VC355" s="242">
        <f t="shared" si="2426"/>
        <v>0</v>
      </c>
      <c r="VD355" s="242">
        <f t="shared" si="2427"/>
        <v>41.600000000000023</v>
      </c>
      <c r="VE355" s="56"/>
      <c r="VH355" s="55">
        <f t="shared" si="2428"/>
        <v>46326</v>
      </c>
      <c r="VI355" s="67"/>
      <c r="VJ355" s="242">
        <f>SUMPRODUCT(PRODUCE!$B352:$DY352,PRODUCE!$EB$57:$IY$57)</f>
        <v>0</v>
      </c>
      <c r="VK355" s="67"/>
      <c r="VL355" s="242">
        <f t="shared" si="2429"/>
        <v>0</v>
      </c>
      <c r="VM355" s="242">
        <f t="shared" si="2430"/>
        <v>210</v>
      </c>
      <c r="VN355" s="56"/>
      <c r="VQ355" s="55">
        <f t="shared" si="2431"/>
        <v>46326</v>
      </c>
      <c r="VR355" s="67"/>
      <c r="VS355" s="242">
        <f>SUMPRODUCT(PRODUCE!$B352:$DY352,PRODUCE!$EB$57:$IY$57)</f>
        <v>0</v>
      </c>
      <c r="VT355" s="67"/>
      <c r="VU355" s="242">
        <f t="shared" si="2432"/>
        <v>0</v>
      </c>
      <c r="VV355" s="242">
        <f t="shared" si="2433"/>
        <v>0</v>
      </c>
      <c r="VW355" s="56"/>
      <c r="VZ355" s="55">
        <f t="shared" si="2434"/>
        <v>46326</v>
      </c>
      <c r="WA355" s="67"/>
      <c r="WB355" s="242">
        <f>SUMPRODUCT(PRODUCE!$B352:$DY352,PRODUCE!$EB$57:$IY$57)</f>
        <v>0</v>
      </c>
      <c r="WC355" s="67"/>
      <c r="WD355" s="242">
        <f t="shared" si="2435"/>
        <v>0</v>
      </c>
      <c r="WE355" s="242">
        <f t="shared" si="2436"/>
        <v>0</v>
      </c>
      <c r="WF355" s="56"/>
      <c r="WI355" s="55">
        <f t="shared" si="2437"/>
        <v>46326</v>
      </c>
      <c r="WJ355" s="67"/>
      <c r="WK355" s="242">
        <f>SUMPRODUCT(PRODUCE!$B352:$DY352,PRODUCE!$EB$57:$IY$57)</f>
        <v>0</v>
      </c>
      <c r="WL355" s="67"/>
      <c r="WM355" s="242">
        <f t="shared" si="2438"/>
        <v>0</v>
      </c>
      <c r="WN355" s="242">
        <f t="shared" si="2439"/>
        <v>1057</v>
      </c>
      <c r="WO355" s="56"/>
      <c r="WR355" s="55">
        <f t="shared" si="2440"/>
        <v>46326</v>
      </c>
      <c r="WS355" s="67"/>
      <c r="WT355" s="242">
        <f>SUMPRODUCT(PRODUCE!$B352:$DY352,PRODUCE!$EB$57:$IY$57)</f>
        <v>0</v>
      </c>
      <c r="WU355" s="67"/>
      <c r="WV355" s="242">
        <f t="shared" si="2441"/>
        <v>0</v>
      </c>
      <c r="WW355" s="242">
        <f t="shared" si="2442"/>
        <v>0</v>
      </c>
      <c r="WX355" s="56"/>
      <c r="XA355" s="55">
        <f t="shared" si="2443"/>
        <v>46326</v>
      </c>
      <c r="XB355" s="67"/>
      <c r="XC355" s="242">
        <f>SUMPRODUCT(PRODUCE!$B352:$DY352,PRODUCE!$EB$57:$IY$57)</f>
        <v>0</v>
      </c>
      <c r="XD355" s="67"/>
      <c r="XE355" s="242">
        <f t="shared" si="2444"/>
        <v>0</v>
      </c>
      <c r="XF355" s="242">
        <f t="shared" si="2445"/>
        <v>7507</v>
      </c>
      <c r="XG355" s="56"/>
      <c r="XJ355" s="55">
        <f t="shared" si="2446"/>
        <v>46326</v>
      </c>
      <c r="XK355" s="67"/>
      <c r="XL355" s="242">
        <f>SUMPRODUCT(PRODUCE!$B352:$DY352,PRODUCE!$EB$57:$IY$57)</f>
        <v>0</v>
      </c>
      <c r="XM355" s="67"/>
      <c r="XN355" s="242">
        <f t="shared" si="2447"/>
        <v>0</v>
      </c>
      <c r="XO355" s="242">
        <f t="shared" si="2448"/>
        <v>4252</v>
      </c>
      <c r="XP355" s="56"/>
      <c r="XS355" s="55">
        <f t="shared" si="2449"/>
        <v>46326</v>
      </c>
      <c r="XT355" s="67"/>
      <c r="XU355" s="242">
        <f>SUMPRODUCT(PRODUCE!$B352:$DY352,PRODUCE!$EB$57:$IY$57)</f>
        <v>0</v>
      </c>
      <c r="XV355" s="67"/>
      <c r="XW355" s="242">
        <f t="shared" si="2450"/>
        <v>0</v>
      </c>
      <c r="XX355" s="242">
        <f t="shared" si="2451"/>
        <v>2179</v>
      </c>
      <c r="XY355" s="56"/>
      <c r="YB355" s="55">
        <f t="shared" si="2452"/>
        <v>46326</v>
      </c>
      <c r="YC355" s="67"/>
      <c r="YD355" s="242">
        <f>SUMPRODUCT(PRODUCE!$B352:$DY352,PRODUCE!$EB$57:$IY$57)</f>
        <v>0</v>
      </c>
      <c r="YE355" s="67"/>
      <c r="YF355" s="242">
        <f t="shared" si="2453"/>
        <v>0</v>
      </c>
      <c r="YG355" s="242">
        <f t="shared" si="2454"/>
        <v>4019</v>
      </c>
      <c r="YH355" s="56"/>
      <c r="YK355" s="55">
        <f t="shared" si="2455"/>
        <v>46326</v>
      </c>
      <c r="YL355" s="67"/>
      <c r="YM355" s="242">
        <f>SUMPRODUCT(PRODUCE!$B352:$DY352,PRODUCE!$EB$57:$IY$57)</f>
        <v>0</v>
      </c>
      <c r="YN355" s="67"/>
      <c r="YO355" s="242">
        <f t="shared" si="2456"/>
        <v>0</v>
      </c>
      <c r="YP355" s="242">
        <f t="shared" si="2457"/>
        <v>-218</v>
      </c>
      <c r="YQ355" s="56"/>
      <c r="YT355" s="55">
        <f t="shared" si="2458"/>
        <v>46326</v>
      </c>
      <c r="YU355" s="67"/>
      <c r="YV355" s="242">
        <f>SUMPRODUCT(PRODUCE!$B352:$DY352,PRODUCE!$EB$57:$IY$57)</f>
        <v>0</v>
      </c>
      <c r="YW355" s="67"/>
      <c r="YX355" s="242">
        <f t="shared" si="2459"/>
        <v>0</v>
      </c>
      <c r="YY355" s="242">
        <f t="shared" si="2460"/>
        <v>0</v>
      </c>
      <c r="YZ355" s="56"/>
      <c r="ZC355" s="55">
        <f t="shared" si="2461"/>
        <v>46326</v>
      </c>
      <c r="ZD355" s="67"/>
      <c r="ZE355" s="242">
        <f>SUMPRODUCT(PRODUCE!$B352:$DY352,PRODUCE!$EB$57:$IY$57)</f>
        <v>0</v>
      </c>
      <c r="ZF355" s="67"/>
      <c r="ZG355" s="242">
        <f t="shared" si="2462"/>
        <v>0</v>
      </c>
      <c r="ZH355" s="242">
        <f t="shared" si="2463"/>
        <v>0</v>
      </c>
      <c r="ZI355" s="56"/>
      <c r="ZL355" s="55">
        <f t="shared" si="2464"/>
        <v>46326</v>
      </c>
      <c r="ZM355" s="67"/>
      <c r="ZN355" s="242">
        <f>SUMPRODUCT(PRODUCE!$B352:$DY352,PRODUCE!$EB$57:$IY$57)</f>
        <v>0</v>
      </c>
      <c r="ZO355" s="67"/>
      <c r="ZP355" s="242">
        <f t="shared" si="2465"/>
        <v>0</v>
      </c>
      <c r="ZQ355" s="242">
        <f t="shared" si="2466"/>
        <v>0</v>
      </c>
      <c r="ZR355" s="56"/>
      <c r="ZU355" s="55">
        <f t="shared" si="2467"/>
        <v>46326</v>
      </c>
      <c r="ZV355" s="67"/>
      <c r="ZW355" s="242">
        <f>SUMPRODUCT(PRODUCE!$B352:$DY352,PRODUCE!$EB$57:$IY$57)</f>
        <v>0</v>
      </c>
      <c r="ZX355" s="67"/>
      <c r="ZY355" s="242">
        <f t="shared" si="2468"/>
        <v>0</v>
      </c>
      <c r="ZZ355" s="242">
        <f t="shared" si="2469"/>
        <v>0</v>
      </c>
      <c r="AAA355" s="56"/>
      <c r="AAD355" s="55">
        <f t="shared" si="2470"/>
        <v>46326</v>
      </c>
      <c r="AAE355" s="67"/>
      <c r="AAF355" s="242">
        <f>SUMPRODUCT(PRODUCE!$B352:$DY352,PRODUCE!$EB$57:$IY$57)</f>
        <v>0</v>
      </c>
      <c r="AAG355" s="67"/>
      <c r="AAH355" s="242">
        <f t="shared" si="2471"/>
        <v>0</v>
      </c>
      <c r="AAI355" s="242">
        <f t="shared" si="2472"/>
        <v>0</v>
      </c>
      <c r="AAJ355" s="56"/>
      <c r="AAM355" s="55">
        <f t="shared" si="2473"/>
        <v>46326</v>
      </c>
      <c r="AAN355" s="67"/>
      <c r="AAO355" s="242">
        <f>SUMPRODUCT(PRODUCE!$B352:$DY352,PRODUCE!$EB$57:$IY$57)</f>
        <v>0</v>
      </c>
      <c r="AAP355" s="67"/>
      <c r="AAQ355" s="242">
        <f t="shared" si="2474"/>
        <v>0</v>
      </c>
      <c r="AAR355" s="242">
        <f t="shared" si="2475"/>
        <v>0</v>
      </c>
      <c r="AAS355" s="56"/>
      <c r="AAV355" s="55">
        <f t="shared" si="2476"/>
        <v>46326</v>
      </c>
      <c r="AAW355" s="67"/>
      <c r="AAX355" s="242">
        <f>SUMPRODUCT(PRODUCE!$B352:$DY352,PRODUCE!$EB$57:$IY$57)</f>
        <v>0</v>
      </c>
      <c r="AAY355" s="67"/>
      <c r="AAZ355" s="242">
        <f t="shared" si="2477"/>
        <v>0</v>
      </c>
      <c r="ABA355" s="242">
        <f t="shared" si="2478"/>
        <v>0</v>
      </c>
      <c r="ABB355" s="56"/>
      <c r="ABE355" s="55">
        <f t="shared" si="2479"/>
        <v>46326</v>
      </c>
      <c r="ABF355" s="67"/>
      <c r="ABG355" s="242">
        <f>SUMPRODUCT(PRODUCE!$B352:$DY352,PRODUCE!$EB$57:$IY$57)</f>
        <v>0</v>
      </c>
      <c r="ABH355" s="67"/>
      <c r="ABI355" s="242">
        <f t="shared" si="2480"/>
        <v>0</v>
      </c>
      <c r="ABJ355" s="242">
        <f t="shared" si="2481"/>
        <v>0</v>
      </c>
      <c r="ABK355" s="56"/>
    </row>
    <row r="356" spans="1:739" ht="14.45" thickBot="1">
      <c r="B356" s="480">
        <f>SUM(B325:B355)</f>
        <v>0</v>
      </c>
      <c r="C356" s="68" t="s">
        <v>72</v>
      </c>
      <c r="D356" s="73">
        <f>SUM(D325:D355)</f>
        <v>0</v>
      </c>
      <c r="E356" s="73">
        <f>SUM(E325:E355)</f>
        <v>0</v>
      </c>
      <c r="F356" s="73">
        <f>SUM(F325:F355)</f>
        <v>0</v>
      </c>
      <c r="G356" s="73">
        <f>SUM(G325:G355)</f>
        <v>0</v>
      </c>
      <c r="H356" s="70">
        <f>H355</f>
        <v>236936.6</v>
      </c>
      <c r="I356" s="289"/>
      <c r="L356" s="68" t="s">
        <v>72</v>
      </c>
      <c r="M356" s="73">
        <f>SUM(M325:M355)</f>
        <v>0</v>
      </c>
      <c r="N356" s="73">
        <f>SUM(N325:N355)</f>
        <v>0</v>
      </c>
      <c r="O356" s="73">
        <f>SUM(O325:O355)</f>
        <v>0</v>
      </c>
      <c r="P356" s="73">
        <f>SUM(P325:P355)</f>
        <v>0</v>
      </c>
      <c r="Q356" s="70">
        <f>Q355</f>
        <v>53017.600000000071</v>
      </c>
      <c r="R356" s="71"/>
      <c r="U356" s="68" t="s">
        <v>72</v>
      </c>
      <c r="V356" s="73">
        <f>SUM(V325:V355)</f>
        <v>0</v>
      </c>
      <c r="W356" s="73">
        <f>SUM(W325:W355)</f>
        <v>0</v>
      </c>
      <c r="X356" s="73">
        <f>SUM(X325:X355)</f>
        <v>0</v>
      </c>
      <c r="Y356" s="73">
        <f>SUM(Y325:Y355)</f>
        <v>0</v>
      </c>
      <c r="Z356" s="70">
        <f>Z355</f>
        <v>42674.199999999968</v>
      </c>
      <c r="AA356" s="71"/>
      <c r="AD356" s="68" t="s">
        <v>72</v>
      </c>
      <c r="AE356" s="73">
        <f>SUM(AE325:AE355)</f>
        <v>0</v>
      </c>
      <c r="AF356" s="73">
        <f>SUM(AF325:AF355)</f>
        <v>0</v>
      </c>
      <c r="AG356" s="73">
        <f>SUM(AG325:AG355)</f>
        <v>0</v>
      </c>
      <c r="AH356" s="73">
        <f>SUM(AH325:AH355)</f>
        <v>0</v>
      </c>
      <c r="AI356" s="70">
        <f>AI355</f>
        <v>4522.2000000000189</v>
      </c>
      <c r="AJ356" s="71"/>
      <c r="AM356" s="68" t="s">
        <v>72</v>
      </c>
      <c r="AN356" s="426">
        <f>SUM(AN325:AN355)</f>
        <v>0</v>
      </c>
      <c r="AO356" s="426">
        <f>SUM(AO325:AO355)</f>
        <v>0</v>
      </c>
      <c r="AP356" s="426">
        <f>SUM(AP325:AP355)</f>
        <v>0</v>
      </c>
      <c r="AQ356" s="426">
        <f>SUM(AQ325:AQ355)</f>
        <v>0</v>
      </c>
      <c r="AR356" s="428">
        <f>AR355</f>
        <v>0</v>
      </c>
      <c r="AS356" s="71"/>
      <c r="AV356" s="68" t="s">
        <v>72</v>
      </c>
      <c r="AW356" s="73">
        <f>SUM(AW325:AW355)</f>
        <v>0</v>
      </c>
      <c r="AX356" s="73">
        <f>SUM(AX325:AX355)</f>
        <v>0</v>
      </c>
      <c r="AY356" s="73">
        <f>SUM(AY325:AY355)</f>
        <v>0</v>
      </c>
      <c r="AZ356" s="73">
        <f>SUM(AZ325:AZ355)</f>
        <v>0</v>
      </c>
      <c r="BA356" s="70">
        <f>BA355</f>
        <v>124.99999999999523</v>
      </c>
      <c r="BB356" s="71"/>
      <c r="BE356" s="68" t="s">
        <v>72</v>
      </c>
      <c r="BF356" s="73">
        <f>SUM(BF325:BF355)</f>
        <v>0</v>
      </c>
      <c r="BG356" s="73">
        <f>SUM(BG325:BG355)</f>
        <v>0</v>
      </c>
      <c r="BH356" s="73">
        <f>SUM(BH325:BH355)</f>
        <v>0</v>
      </c>
      <c r="BI356" s="73">
        <f>SUM(BI325:BI355)</f>
        <v>0</v>
      </c>
      <c r="BJ356" s="70">
        <f>BJ355</f>
        <v>26151.899999999998</v>
      </c>
      <c r="BK356" s="71"/>
      <c r="BN356" s="68" t="s">
        <v>72</v>
      </c>
      <c r="BO356" s="73">
        <f>SUM(BO325:BO355)</f>
        <v>0</v>
      </c>
      <c r="BP356" s="73">
        <f>SUM(BP325:BP355)</f>
        <v>0</v>
      </c>
      <c r="BQ356" s="73">
        <f>SUM(BQ325:BQ355)</f>
        <v>0</v>
      </c>
      <c r="BR356" s="73">
        <f>SUM(BR325:BR355)</f>
        <v>0</v>
      </c>
      <c r="BS356" s="70">
        <f>BS355</f>
        <v>0</v>
      </c>
      <c r="BT356" s="71"/>
      <c r="BW356" s="68" t="s">
        <v>72</v>
      </c>
      <c r="BX356" s="73">
        <f>SUM(BX325:BX355)</f>
        <v>0</v>
      </c>
      <c r="BY356" s="73">
        <f>SUM(BY325:BY355)</f>
        <v>0</v>
      </c>
      <c r="BZ356" s="73">
        <f>SUM(BZ325:BZ355)</f>
        <v>0</v>
      </c>
      <c r="CA356" s="73">
        <f>SUM(CA325:CA355)</f>
        <v>0</v>
      </c>
      <c r="CB356" s="70">
        <f>CB355</f>
        <v>2097.3399999999992</v>
      </c>
      <c r="CC356" s="71"/>
      <c r="CF356" s="68" t="s">
        <v>72</v>
      </c>
      <c r="CG356" s="73">
        <f>SUM(CG325:CG355)</f>
        <v>0</v>
      </c>
      <c r="CH356" s="73">
        <f>SUM(CH325:CH355)</f>
        <v>0</v>
      </c>
      <c r="CI356" s="73">
        <f>SUM(CI325:CI355)</f>
        <v>0</v>
      </c>
      <c r="CJ356" s="73">
        <f>SUM(CJ325:CJ355)</f>
        <v>0</v>
      </c>
      <c r="CK356" s="70">
        <f>CK355</f>
        <v>-10277.079999999998</v>
      </c>
      <c r="CL356" s="71"/>
      <c r="CO356" s="72" t="s">
        <v>72</v>
      </c>
      <c r="CP356" s="426">
        <f>SUM(CP325:CP355)</f>
        <v>0</v>
      </c>
      <c r="CQ356" s="426">
        <f>SUM(CQ325:CQ355)</f>
        <v>0</v>
      </c>
      <c r="CR356" s="426">
        <f>SUM(CR325:CR355)</f>
        <v>0</v>
      </c>
      <c r="CS356" s="426">
        <f>SUM(CS325:CS355)</f>
        <v>0</v>
      </c>
      <c r="CT356" s="428">
        <f>CT355</f>
        <v>0</v>
      </c>
      <c r="CU356" s="71"/>
      <c r="CX356" s="72" t="s">
        <v>72</v>
      </c>
      <c r="CY356" s="73">
        <f>SUM(CY325:CY355)</f>
        <v>0</v>
      </c>
      <c r="CZ356" s="73">
        <f>SUM(CZ325:CZ355)</f>
        <v>0</v>
      </c>
      <c r="DA356" s="73">
        <f>SUM(DA325:DA355)</f>
        <v>0</v>
      </c>
      <c r="DB356" s="73">
        <f>SUM(DB325:DB355)</f>
        <v>0</v>
      </c>
      <c r="DC356" s="70">
        <f>DC355</f>
        <v>27438.200000000012</v>
      </c>
      <c r="DD356" s="71"/>
      <c r="DG356" s="72" t="s">
        <v>72</v>
      </c>
      <c r="DH356" s="73">
        <f>SUM(DH325:DH355)</f>
        <v>0</v>
      </c>
      <c r="DI356" s="152">
        <f>SUM(DI325:DI355)</f>
        <v>0</v>
      </c>
      <c r="DJ356" s="73">
        <f>SUM(DJ325:DJ355)</f>
        <v>0</v>
      </c>
      <c r="DK356" s="152">
        <f>SUM(DK325:DK355)</f>
        <v>0</v>
      </c>
      <c r="DL356" s="154">
        <f>DL355</f>
        <v>18782.299999999981</v>
      </c>
      <c r="DM356" s="71"/>
      <c r="DP356" s="72" t="s">
        <v>72</v>
      </c>
      <c r="DQ356" s="73">
        <f>SUM(DQ325:DQ355)</f>
        <v>0</v>
      </c>
      <c r="DR356" s="73">
        <f>SUM(DR325:DR355)</f>
        <v>0</v>
      </c>
      <c r="DS356" s="73">
        <f>SUM(DS325:DS355)</f>
        <v>0</v>
      </c>
      <c r="DT356" s="73">
        <f>SUM(DT325:DT355)</f>
        <v>0</v>
      </c>
      <c r="DU356" s="70">
        <f>DU355</f>
        <v>5800</v>
      </c>
      <c r="DV356" s="71"/>
      <c r="DY356" s="72" t="s">
        <v>72</v>
      </c>
      <c r="DZ356" s="73">
        <f>SUM(DZ325:DZ355)</f>
        <v>0</v>
      </c>
      <c r="EA356" s="73">
        <f>SUM(EA325:EA355)</f>
        <v>0</v>
      </c>
      <c r="EB356" s="73">
        <f>SUM(EB325:EB355)</f>
        <v>0</v>
      </c>
      <c r="EC356" s="73">
        <f>SUM(EC325:EC355)</f>
        <v>0</v>
      </c>
      <c r="ED356" s="70">
        <f>ED355</f>
        <v>0</v>
      </c>
      <c r="EE356" s="71"/>
      <c r="EH356" s="72" t="s">
        <v>72</v>
      </c>
      <c r="EI356" s="73">
        <f>SUM(EI325:EI355)</f>
        <v>0</v>
      </c>
      <c r="EJ356" s="73">
        <f>SUM(EJ325:EJ355)</f>
        <v>0</v>
      </c>
      <c r="EK356" s="73">
        <f>SUM(EK325:EK355)</f>
        <v>0</v>
      </c>
      <c r="EL356" s="73">
        <f>SUM(EL325:EL355)</f>
        <v>0</v>
      </c>
      <c r="EM356" s="70">
        <f>EM355</f>
        <v>0</v>
      </c>
      <c r="EN356" s="71"/>
      <c r="EQ356" s="72" t="s">
        <v>72</v>
      </c>
      <c r="ER356" s="73">
        <f>SUM(ER325:ER355)</f>
        <v>0</v>
      </c>
      <c r="ES356" s="73">
        <f>SUM(ES325:ES355)</f>
        <v>0</v>
      </c>
      <c r="ET356" s="73">
        <f>SUM(ET325:ET355)</f>
        <v>0</v>
      </c>
      <c r="EU356" s="73">
        <f>SUM(EU325:EU355)</f>
        <v>0</v>
      </c>
      <c r="EV356" s="70">
        <f>EV355</f>
        <v>0</v>
      </c>
      <c r="EW356" s="71"/>
      <c r="EZ356" s="72" t="s">
        <v>72</v>
      </c>
      <c r="FA356" s="73">
        <f>SUM(FA325:FA355)</f>
        <v>0</v>
      </c>
      <c r="FB356" s="73">
        <f>SUM(FB325:FB355)</f>
        <v>0</v>
      </c>
      <c r="FC356" s="73">
        <f>SUM(FC325:FC355)</f>
        <v>0</v>
      </c>
      <c r="FD356" s="73">
        <f>SUM(FD325:FD355)</f>
        <v>0</v>
      </c>
      <c r="FE356" s="70">
        <f>FE355</f>
        <v>0</v>
      </c>
      <c r="FF356" s="71"/>
      <c r="FI356" s="72" t="s">
        <v>72</v>
      </c>
      <c r="FJ356" s="73">
        <f>SUM(FJ325:FJ355)</f>
        <v>0</v>
      </c>
      <c r="FK356" s="73">
        <f>SUM(FK325:FK355)</f>
        <v>0</v>
      </c>
      <c r="FL356" s="73">
        <f>SUM(FL325:FL355)</f>
        <v>0</v>
      </c>
      <c r="FM356" s="73">
        <f>SUM(FM325:FM355)</f>
        <v>0</v>
      </c>
      <c r="FN356" s="70">
        <f>FN355</f>
        <v>0</v>
      </c>
      <c r="FO356" s="71"/>
      <c r="FR356" s="72" t="s">
        <v>72</v>
      </c>
      <c r="FS356" s="73">
        <f>SUM(FS325:FS355)</f>
        <v>0</v>
      </c>
      <c r="FT356" s="73">
        <f>SUM(FT325:FT355)</f>
        <v>0</v>
      </c>
      <c r="FU356" s="73">
        <f>SUM(FU325:FU355)</f>
        <v>0</v>
      </c>
      <c r="FV356" s="73">
        <f>SUM(FV325:FV355)</f>
        <v>0</v>
      </c>
      <c r="FW356" s="70">
        <f>FW355</f>
        <v>2020</v>
      </c>
      <c r="FX356" s="71"/>
      <c r="GA356" s="72" t="s">
        <v>72</v>
      </c>
      <c r="GB356" s="73">
        <f>SUM(GB325:GB355)</f>
        <v>0</v>
      </c>
      <c r="GC356" s="73">
        <f>SUM(GC325:GC355)</f>
        <v>0</v>
      </c>
      <c r="GD356" s="73">
        <f>SUM(GD325:GD355)</f>
        <v>0</v>
      </c>
      <c r="GE356" s="73">
        <f>SUM(GE325:GE355)</f>
        <v>0</v>
      </c>
      <c r="GF356" s="70">
        <f>GF355</f>
        <v>960</v>
      </c>
      <c r="GG356" s="71"/>
      <c r="GJ356" s="72" t="s">
        <v>72</v>
      </c>
      <c r="GK356" s="73">
        <f>SUM(GK325:GK355)</f>
        <v>0</v>
      </c>
      <c r="GL356" s="73">
        <f>SUM(GL325:GL355)</f>
        <v>0</v>
      </c>
      <c r="GM356" s="73">
        <f>SUM(GM325:GM355)</f>
        <v>0</v>
      </c>
      <c r="GN356" s="73">
        <f>SUM(GN325:GN355)</f>
        <v>0</v>
      </c>
      <c r="GO356" s="70">
        <f>GO355</f>
        <v>1760</v>
      </c>
      <c r="GP356" s="71"/>
      <c r="GS356" s="72" t="s">
        <v>72</v>
      </c>
      <c r="GT356" s="73">
        <f>SUM(GT325:GT355)</f>
        <v>0</v>
      </c>
      <c r="GU356" s="73">
        <f>SUM(GU325:GU355)</f>
        <v>0</v>
      </c>
      <c r="GV356" s="73">
        <f>SUM(GV325:GV355)</f>
        <v>0</v>
      </c>
      <c r="GW356" s="73">
        <f>SUM(GW325:GW355)</f>
        <v>0</v>
      </c>
      <c r="GX356" s="70">
        <f>GX355</f>
        <v>400</v>
      </c>
      <c r="GY356" s="71"/>
      <c r="HB356" s="72" t="s">
        <v>72</v>
      </c>
      <c r="HC356" s="73">
        <f>SUM(HC325:HC355)</f>
        <v>0</v>
      </c>
      <c r="HD356" s="73">
        <f>SUM(HD325:HD355)</f>
        <v>0</v>
      </c>
      <c r="HE356" s="73">
        <f>SUM(HE325:HE355)</f>
        <v>0</v>
      </c>
      <c r="HF356" s="73">
        <f>SUM(HF325:HF355)</f>
        <v>0</v>
      </c>
      <c r="HG356" s="70">
        <f>HG355</f>
        <v>3600</v>
      </c>
      <c r="HH356" s="71"/>
      <c r="HK356" s="72" t="s">
        <v>72</v>
      </c>
      <c r="HL356" s="73">
        <f>SUM(HL325:HL355)</f>
        <v>0</v>
      </c>
      <c r="HM356" s="73">
        <f>SUM(HM325:HM355)</f>
        <v>0</v>
      </c>
      <c r="HN356" s="73">
        <f>SUM(HN325:HN355)</f>
        <v>0</v>
      </c>
      <c r="HO356" s="73">
        <f>SUM(HO325:HO355)</f>
        <v>0</v>
      </c>
      <c r="HP356" s="70">
        <f>HP355</f>
        <v>0</v>
      </c>
      <c r="HQ356" s="71"/>
      <c r="HU356" s="72" t="s">
        <v>72</v>
      </c>
      <c r="HV356" s="73">
        <f>SUM(HV325:HV355)</f>
        <v>0</v>
      </c>
      <c r="HW356" s="73">
        <f>SUM(HW325:HW355)</f>
        <v>0</v>
      </c>
      <c r="HX356" s="73">
        <f>SUM(HX325:HX355)</f>
        <v>0</v>
      </c>
      <c r="HY356" s="73">
        <f>SUM(HY325:HY355)</f>
        <v>0</v>
      </c>
      <c r="HZ356" s="70">
        <f>HZ355</f>
        <v>6120</v>
      </c>
      <c r="IA356" s="71"/>
      <c r="ID356" s="72" t="s">
        <v>72</v>
      </c>
      <c r="IE356" s="73">
        <f>SUM(IE325:IE355)</f>
        <v>0</v>
      </c>
      <c r="IF356" s="73">
        <f>SUM(IF325:IF355)</f>
        <v>0</v>
      </c>
      <c r="IG356" s="73">
        <f>SUM(IG325:IG355)</f>
        <v>0</v>
      </c>
      <c r="IH356" s="73">
        <f>SUM(IH325:IH355)</f>
        <v>0</v>
      </c>
      <c r="II356" s="70">
        <f>II355</f>
        <v>0</v>
      </c>
      <c r="IJ356" s="71"/>
      <c r="IM356" s="72" t="s">
        <v>72</v>
      </c>
      <c r="IN356" s="73">
        <f>SUM(IN325:IN355)</f>
        <v>0</v>
      </c>
      <c r="IO356" s="73">
        <f>SUM(IO325:IO355)</f>
        <v>0</v>
      </c>
      <c r="IP356" s="73">
        <f>SUM(IP325:IP355)</f>
        <v>0</v>
      </c>
      <c r="IQ356" s="73">
        <f>SUM(IQ325:IQ355)</f>
        <v>0</v>
      </c>
      <c r="IR356" s="70">
        <f>IR355</f>
        <v>0</v>
      </c>
      <c r="IS356" s="71"/>
      <c r="IV356" s="72" t="s">
        <v>72</v>
      </c>
      <c r="IW356" s="73">
        <f>SUM(IW325:IW355)</f>
        <v>0</v>
      </c>
      <c r="IX356" s="73">
        <f>SUM(IX325:IX355)</f>
        <v>0</v>
      </c>
      <c r="IY356" s="73">
        <f>SUM(IY325:IY355)</f>
        <v>0</v>
      </c>
      <c r="IZ356" s="73">
        <f>SUM(IZ325:IZ355)</f>
        <v>0</v>
      </c>
      <c r="JA356" s="70">
        <f>JA355</f>
        <v>2820</v>
      </c>
      <c r="JB356" s="71"/>
      <c r="JE356" s="72" t="s">
        <v>72</v>
      </c>
      <c r="JF356" s="73">
        <f>SUM(JF325:JF355)</f>
        <v>0</v>
      </c>
      <c r="JG356" s="73">
        <f>SUM(JG325:JG355)</f>
        <v>0</v>
      </c>
      <c r="JH356" s="73">
        <f>SUM(JH325:JH355)</f>
        <v>0</v>
      </c>
      <c r="JI356" s="73">
        <f>SUM(JI325:JI355)</f>
        <v>0</v>
      </c>
      <c r="JJ356" s="70">
        <f>JJ355</f>
        <v>0</v>
      </c>
      <c r="JK356" s="71"/>
      <c r="JN356" s="72" t="s">
        <v>72</v>
      </c>
      <c r="JO356" s="73">
        <f>SUM(JO325:JO355)</f>
        <v>0</v>
      </c>
      <c r="JP356" s="73">
        <f>SUM(JP325:JP355)</f>
        <v>0</v>
      </c>
      <c r="JQ356" s="73">
        <f>SUM(JQ325:JQ355)</f>
        <v>0</v>
      </c>
      <c r="JR356" s="73">
        <f>SUM(JR325:JR355)</f>
        <v>0</v>
      </c>
      <c r="JS356" s="70">
        <f>JS355</f>
        <v>0</v>
      </c>
      <c r="JT356" s="71"/>
      <c r="JW356" s="72" t="s">
        <v>72</v>
      </c>
      <c r="JX356" s="73">
        <f>SUM(JX325:JX355)</f>
        <v>0</v>
      </c>
      <c r="JY356" s="73">
        <f>SUM(JY325:JY355)</f>
        <v>0</v>
      </c>
      <c r="JZ356" s="73">
        <f>SUM(JZ325:JZ355)</f>
        <v>0</v>
      </c>
      <c r="KA356" s="73">
        <f>SUM(KA325:KA355)</f>
        <v>0</v>
      </c>
      <c r="KB356" s="70">
        <f>KB355</f>
        <v>2540</v>
      </c>
      <c r="KC356" s="71"/>
      <c r="KF356" s="72" t="s">
        <v>72</v>
      </c>
      <c r="KG356" s="73">
        <f>SUM(KG325:KG355)</f>
        <v>0</v>
      </c>
      <c r="KH356" s="73">
        <f>SUM(KH325:KH355)</f>
        <v>0</v>
      </c>
      <c r="KI356" s="73">
        <f>SUM(KI325:KI355)</f>
        <v>0</v>
      </c>
      <c r="KJ356" s="73">
        <f>SUM(KJ325:KJ355)</f>
        <v>0</v>
      </c>
      <c r="KK356" s="70">
        <f>KK355</f>
        <v>2359.5</v>
      </c>
      <c r="KL356" s="71"/>
      <c r="KO356" s="72" t="s">
        <v>72</v>
      </c>
      <c r="KP356" s="73">
        <f>SUM(KP325:KP355)</f>
        <v>0</v>
      </c>
      <c r="KQ356" s="73">
        <f>SUM(KQ325:KQ355)</f>
        <v>0</v>
      </c>
      <c r="KR356" s="73">
        <f>SUM(KR325:KR355)</f>
        <v>0</v>
      </c>
      <c r="KS356" s="73">
        <f>SUM(KS325:KS355)</f>
        <v>0</v>
      </c>
      <c r="KT356" s="70">
        <f>KT355</f>
        <v>1890</v>
      </c>
      <c r="KU356" s="71"/>
      <c r="KX356" s="72" t="s">
        <v>72</v>
      </c>
      <c r="KY356" s="73">
        <f>SUM(KY325:KY355)</f>
        <v>0</v>
      </c>
      <c r="KZ356" s="73">
        <f>SUM(KZ325:KZ355)</f>
        <v>0</v>
      </c>
      <c r="LA356" s="73">
        <f>SUM(LA325:LA355)</f>
        <v>0</v>
      </c>
      <c r="LB356" s="73">
        <f>SUM(LB325:LB355)</f>
        <v>0</v>
      </c>
      <c r="LC356" s="70">
        <f>LC355</f>
        <v>3690</v>
      </c>
      <c r="LD356" s="71"/>
      <c r="LG356" s="72" t="s">
        <v>72</v>
      </c>
      <c r="LH356" s="73">
        <f>SUM(LH325:LH355)</f>
        <v>0</v>
      </c>
      <c r="LI356" s="73">
        <f>SUM(LI325:LI355)</f>
        <v>0</v>
      </c>
      <c r="LJ356" s="73">
        <f>SUM(LJ325:LJ355)</f>
        <v>0</v>
      </c>
      <c r="LK356" s="73">
        <f>SUM(LK325:LK355)</f>
        <v>0</v>
      </c>
      <c r="LL356" s="70">
        <f>LL355</f>
        <v>4000</v>
      </c>
      <c r="LM356" s="71"/>
      <c r="LP356" s="72" t="s">
        <v>72</v>
      </c>
      <c r="LQ356" s="73">
        <f>SUM(LQ325:LQ355)</f>
        <v>0</v>
      </c>
      <c r="LR356" s="73">
        <f>SUM(LR325:LR355)</f>
        <v>0</v>
      </c>
      <c r="LS356" s="73">
        <f>SUM(LS325:LS355)</f>
        <v>0</v>
      </c>
      <c r="LT356" s="73">
        <f>SUM(LT325:LT355)</f>
        <v>0</v>
      </c>
      <c r="LU356" s="70">
        <f>LU355</f>
        <v>0</v>
      </c>
      <c r="LV356" s="71"/>
      <c r="LY356" s="72" t="s">
        <v>72</v>
      </c>
      <c r="LZ356" s="73">
        <f>SUM(LZ325:LZ355)</f>
        <v>0</v>
      </c>
      <c r="MA356" s="73">
        <f>SUM(MA325:MA355)</f>
        <v>0</v>
      </c>
      <c r="MB356" s="73">
        <f>SUM(MB325:MB355)</f>
        <v>0</v>
      </c>
      <c r="MC356" s="73">
        <f>SUM(MC325:MC355)</f>
        <v>0</v>
      </c>
      <c r="MD356" s="70">
        <f>MD355</f>
        <v>0</v>
      </c>
      <c r="ME356" s="71"/>
      <c r="MH356" s="72" t="s">
        <v>72</v>
      </c>
      <c r="MI356" s="73">
        <f>SUM(MI325:MI355)</f>
        <v>0</v>
      </c>
      <c r="MJ356" s="73">
        <f>SUM(MJ325:MJ355)</f>
        <v>0</v>
      </c>
      <c r="MK356" s="73">
        <f>SUM(MK325:MK355)</f>
        <v>0</v>
      </c>
      <c r="ML356" s="73">
        <f>SUM(ML325:ML355)</f>
        <v>0</v>
      </c>
      <c r="MM356" s="70">
        <f>MM355</f>
        <v>0</v>
      </c>
      <c r="MN356" s="71"/>
      <c r="MQ356" s="72" t="s">
        <v>72</v>
      </c>
      <c r="MR356" s="73">
        <f>SUM(MR325:MR355)</f>
        <v>0</v>
      </c>
      <c r="MS356" s="73">
        <f>SUM(MS325:MS355)</f>
        <v>0</v>
      </c>
      <c r="MT356" s="73">
        <f>SUM(MT325:MT355)</f>
        <v>0</v>
      </c>
      <c r="MU356" s="73">
        <f>SUM(MU325:MU355)</f>
        <v>0</v>
      </c>
      <c r="MV356" s="70">
        <f>MV355</f>
        <v>1625</v>
      </c>
      <c r="MW356" s="71"/>
      <c r="MZ356" s="72" t="s">
        <v>72</v>
      </c>
      <c r="NA356" s="73">
        <f>SUM(NA325:NA355)</f>
        <v>0</v>
      </c>
      <c r="NB356" s="73">
        <f>SUM(NB325:NB355)</f>
        <v>0</v>
      </c>
      <c r="NC356" s="73">
        <f>SUM(NC325:NC355)</f>
        <v>0</v>
      </c>
      <c r="ND356" s="73">
        <f>SUM(ND325:ND355)</f>
        <v>0</v>
      </c>
      <c r="NE356" s="70">
        <f>NE355</f>
        <v>0</v>
      </c>
      <c r="NF356" s="71"/>
      <c r="NI356" s="72" t="s">
        <v>72</v>
      </c>
      <c r="NJ356" s="73">
        <f>SUM(NJ325:NJ355)</f>
        <v>0</v>
      </c>
      <c r="NK356" s="73">
        <f>SUM(NK325:NK355)</f>
        <v>0</v>
      </c>
      <c r="NL356" s="73">
        <f>SUM(NL325:NL355)</f>
        <v>0</v>
      </c>
      <c r="NM356" s="73">
        <f>SUM(NM325:NM355)</f>
        <v>0</v>
      </c>
      <c r="NN356" s="70">
        <f>NN355</f>
        <v>1127</v>
      </c>
      <c r="NO356" s="71"/>
      <c r="NR356" s="72" t="s">
        <v>72</v>
      </c>
      <c r="NS356" s="73">
        <f>SUM(NS325:NS355)</f>
        <v>0</v>
      </c>
      <c r="NT356" s="73">
        <f>SUM(NT325:NT355)</f>
        <v>0</v>
      </c>
      <c r="NU356" s="73">
        <f>SUM(NU325:NU355)</f>
        <v>0</v>
      </c>
      <c r="NV356" s="73">
        <f>SUM(NV325:NV355)</f>
        <v>0</v>
      </c>
      <c r="NW356" s="70">
        <f>NW355</f>
        <v>3111.9999999999995</v>
      </c>
      <c r="NX356" s="71"/>
      <c r="OA356" s="72" t="s">
        <v>72</v>
      </c>
      <c r="OB356" s="73">
        <f>SUM(OB325:OB355)</f>
        <v>0</v>
      </c>
      <c r="OC356" s="73">
        <f>SUM(OC325:OC355)</f>
        <v>0</v>
      </c>
      <c r="OD356" s="73">
        <f>SUM(OD325:OD355)</f>
        <v>0</v>
      </c>
      <c r="OE356" s="73">
        <f>SUM(OE325:OE355)</f>
        <v>0</v>
      </c>
      <c r="OF356" s="70">
        <f>OF355</f>
        <v>1680.5</v>
      </c>
      <c r="OG356" s="71"/>
      <c r="OJ356" s="72" t="s">
        <v>72</v>
      </c>
      <c r="OK356" s="73">
        <f>SUM(OK325:OK355)</f>
        <v>0</v>
      </c>
      <c r="OL356" s="73">
        <f>SUM(OL325:OL355)</f>
        <v>0</v>
      </c>
      <c r="OM356" s="73">
        <f>SUM(OM325:OM355)</f>
        <v>0</v>
      </c>
      <c r="ON356" s="73">
        <f>SUM(ON325:ON355)</f>
        <v>0</v>
      </c>
      <c r="OO356" s="70">
        <f>OO355</f>
        <v>0</v>
      </c>
      <c r="OP356" s="71"/>
      <c r="OS356" s="72" t="s">
        <v>72</v>
      </c>
      <c r="OT356" s="73">
        <f>SUM(OT325:OT355)</f>
        <v>0</v>
      </c>
      <c r="OU356" s="73">
        <f>SUM(OU325:OU355)</f>
        <v>0</v>
      </c>
      <c r="OV356" s="73">
        <f>SUM(OV325:OV355)</f>
        <v>0</v>
      </c>
      <c r="OW356" s="73">
        <f>SUM(OW325:OW355)</f>
        <v>0</v>
      </c>
      <c r="OX356" s="70">
        <f>OX355</f>
        <v>1482</v>
      </c>
      <c r="OY356" s="71"/>
      <c r="PB356" s="72" t="s">
        <v>72</v>
      </c>
      <c r="PC356" s="73">
        <f>SUM(PC325:PC355)</f>
        <v>0</v>
      </c>
      <c r="PD356" s="73">
        <f>SUM(PD325:PD355)</f>
        <v>0</v>
      </c>
      <c r="PE356" s="73">
        <f>SUM(PE325:PE355)</f>
        <v>0</v>
      </c>
      <c r="PF356" s="73">
        <f>SUM(PF325:PF355)</f>
        <v>0</v>
      </c>
      <c r="PG356" s="70">
        <f>PG355</f>
        <v>0</v>
      </c>
      <c r="PH356" s="71"/>
      <c r="PK356" s="72" t="s">
        <v>72</v>
      </c>
      <c r="PL356" s="73">
        <f>SUM(PL325:PL355)</f>
        <v>0</v>
      </c>
      <c r="PM356" s="73">
        <f>SUM(PM325:PM355)</f>
        <v>0</v>
      </c>
      <c r="PN356" s="73">
        <f>SUM(PN325:PN355)</f>
        <v>0</v>
      </c>
      <c r="PO356" s="73">
        <f>SUM(PO325:PO355)</f>
        <v>0</v>
      </c>
      <c r="PP356" s="70">
        <f>PP355</f>
        <v>100</v>
      </c>
      <c r="PQ356" s="71"/>
      <c r="PT356" s="72" t="s">
        <v>72</v>
      </c>
      <c r="PU356" s="73">
        <f>SUM(PU325:PU355)</f>
        <v>0</v>
      </c>
      <c r="PV356" s="73">
        <f>SUM(PV325:PV355)</f>
        <v>0</v>
      </c>
      <c r="PW356" s="73">
        <f>SUM(PW325:PW355)</f>
        <v>0</v>
      </c>
      <c r="PX356" s="73">
        <f>SUM(PX325:PX355)</f>
        <v>0</v>
      </c>
      <c r="PY356" s="70">
        <f>PY355</f>
        <v>13.960000000000036</v>
      </c>
      <c r="PZ356" s="71"/>
      <c r="QC356" s="72" t="s">
        <v>72</v>
      </c>
      <c r="QD356" s="73">
        <f>SUM(QD325:QD355)</f>
        <v>0</v>
      </c>
      <c r="QE356" s="73">
        <f>SUM(QE325:QE355)</f>
        <v>0</v>
      </c>
      <c r="QF356" s="73">
        <f>SUM(QF325:QF355)</f>
        <v>0</v>
      </c>
      <c r="QG356" s="73">
        <f>SUM(QG325:QG355)</f>
        <v>0</v>
      </c>
      <c r="QH356" s="70">
        <f>QH355</f>
        <v>548</v>
      </c>
      <c r="QI356" s="71"/>
      <c r="QL356" s="72" t="s">
        <v>72</v>
      </c>
      <c r="QM356" s="73">
        <f>SUM(QM325:QM355)</f>
        <v>0</v>
      </c>
      <c r="QN356" s="73">
        <f>SUM(QN325:QN355)</f>
        <v>0</v>
      </c>
      <c r="QO356" s="73">
        <f>SUM(QO325:QO355)</f>
        <v>0</v>
      </c>
      <c r="QP356" s="73">
        <f>SUM(QP325:QP355)</f>
        <v>0</v>
      </c>
      <c r="QQ356" s="70">
        <f>QQ355</f>
        <v>0</v>
      </c>
      <c r="QR356" s="71"/>
      <c r="QU356" s="72" t="s">
        <v>72</v>
      </c>
      <c r="QV356" s="73">
        <f>SUM(QV325:QV355)</f>
        <v>0</v>
      </c>
      <c r="QW356" s="73">
        <f>SUM(QW325:QW355)</f>
        <v>0</v>
      </c>
      <c r="QX356" s="73">
        <f>SUM(QX325:QX355)</f>
        <v>0</v>
      </c>
      <c r="QY356" s="73">
        <f>SUM(QY325:QY355)</f>
        <v>0</v>
      </c>
      <c r="QZ356" s="70">
        <f>QZ355</f>
        <v>0</v>
      </c>
      <c r="RA356" s="71"/>
      <c r="RD356" s="72" t="s">
        <v>72</v>
      </c>
      <c r="RE356" s="73">
        <f>SUM(RE325:RE355)</f>
        <v>0</v>
      </c>
      <c r="RF356" s="73">
        <f>SUM(RF325:RF355)</f>
        <v>0</v>
      </c>
      <c r="RG356" s="73">
        <f>SUM(RG325:RG355)</f>
        <v>0</v>
      </c>
      <c r="RH356" s="73">
        <f>SUM(RH325:RH355)</f>
        <v>0</v>
      </c>
      <c r="RI356" s="70">
        <f>RI355</f>
        <v>147.04000000000002</v>
      </c>
      <c r="RJ356" s="71"/>
      <c r="RM356" s="72" t="s">
        <v>72</v>
      </c>
      <c r="RN356" s="73">
        <f>SUM(RN325:RN355)</f>
        <v>0</v>
      </c>
      <c r="RO356" s="73">
        <f>SUM(RO325:RO355)</f>
        <v>0</v>
      </c>
      <c r="RP356" s="73">
        <f>SUM(RP325:RP355)</f>
        <v>0</v>
      </c>
      <c r="RQ356" s="73">
        <f>SUM(RQ325:RQ355)</f>
        <v>0</v>
      </c>
      <c r="RR356" s="70">
        <f>RR355</f>
        <v>46.8</v>
      </c>
      <c r="RS356" s="71"/>
      <c r="RV356" s="72" t="s">
        <v>72</v>
      </c>
      <c r="RW356" s="73">
        <f>SUM(RW325:RW355)</f>
        <v>0</v>
      </c>
      <c r="RX356" s="73">
        <f>SUM(RX325:RX355)</f>
        <v>0</v>
      </c>
      <c r="RY356" s="73">
        <f>SUM(RY325:RY355)</f>
        <v>0</v>
      </c>
      <c r="RZ356" s="73">
        <f>SUM(RZ325:RZ355)</f>
        <v>0</v>
      </c>
      <c r="SA356" s="70">
        <f>SA355</f>
        <v>0</v>
      </c>
      <c r="SB356" s="71"/>
      <c r="SE356" s="72" t="s">
        <v>72</v>
      </c>
      <c r="SF356" s="73">
        <f>SUM(SF325:SF355)</f>
        <v>0</v>
      </c>
      <c r="SG356" s="73">
        <f>SUM(SG325:SG355)</f>
        <v>0</v>
      </c>
      <c r="SH356" s="73">
        <f>SUM(SH325:SH355)</f>
        <v>0</v>
      </c>
      <c r="SI356" s="73">
        <f>SUM(SI325:SI355)</f>
        <v>0</v>
      </c>
      <c r="SJ356" s="70">
        <f>SJ355</f>
        <v>24.200000000000003</v>
      </c>
      <c r="SK356" s="71"/>
      <c r="SN356" s="72" t="s">
        <v>72</v>
      </c>
      <c r="SO356" s="73">
        <f>SUM(SO325:SO355)</f>
        <v>0</v>
      </c>
      <c r="SP356" s="73">
        <f>SUM(SP325:SP355)</f>
        <v>0</v>
      </c>
      <c r="SQ356" s="73">
        <f>SUM(SQ325:SQ355)</f>
        <v>0</v>
      </c>
      <c r="SR356" s="73">
        <f>SUM(SR325:SR355)</f>
        <v>0</v>
      </c>
      <c r="SS356" s="70">
        <f>SS355</f>
        <v>32</v>
      </c>
      <c r="ST356" s="71"/>
      <c r="SW356" s="72" t="s">
        <v>72</v>
      </c>
      <c r="SX356" s="73">
        <f>SUM(SX325:SX355)</f>
        <v>0</v>
      </c>
      <c r="SY356" s="73">
        <f>SUM(SY325:SY355)</f>
        <v>0</v>
      </c>
      <c r="SZ356" s="73">
        <f>SUM(SZ325:SZ355)</f>
        <v>0</v>
      </c>
      <c r="TA356" s="73">
        <f>SUM(TA325:TA355)</f>
        <v>0</v>
      </c>
      <c r="TB356" s="70">
        <f>TB355</f>
        <v>0</v>
      </c>
      <c r="TC356" s="71"/>
      <c r="TF356" s="72" t="s">
        <v>72</v>
      </c>
      <c r="TG356" s="73">
        <f>SUM(TG325:TG355)</f>
        <v>0</v>
      </c>
      <c r="TH356" s="73">
        <f>SUM(TH325:TH355)</f>
        <v>0</v>
      </c>
      <c r="TI356" s="73">
        <f>SUM(TI325:TI355)</f>
        <v>0</v>
      </c>
      <c r="TJ356" s="73">
        <f>SUM(TJ325:TJ355)</f>
        <v>0</v>
      </c>
      <c r="TK356" s="70">
        <f>TK355</f>
        <v>0</v>
      </c>
      <c r="TL356" s="71"/>
      <c r="TO356" s="72" t="s">
        <v>72</v>
      </c>
      <c r="TP356" s="73">
        <f>SUM(TP325:TP355)</f>
        <v>0</v>
      </c>
      <c r="TQ356" s="73">
        <f>SUM(TQ325:TQ355)</f>
        <v>0</v>
      </c>
      <c r="TR356" s="73">
        <f>SUM(TR325:TR355)</f>
        <v>0</v>
      </c>
      <c r="TS356" s="73">
        <f>SUM(TS325:TS355)</f>
        <v>0</v>
      </c>
      <c r="TT356" s="70">
        <f>TT355</f>
        <v>0</v>
      </c>
      <c r="TU356" s="71"/>
      <c r="TX356" s="72" t="s">
        <v>72</v>
      </c>
      <c r="TY356" s="73">
        <f>SUM(TY325:TY355)</f>
        <v>0</v>
      </c>
      <c r="TZ356" s="73">
        <f>SUM(TZ325:TZ355)</f>
        <v>0</v>
      </c>
      <c r="UA356" s="73">
        <f>SUM(UA325:UA355)</f>
        <v>0</v>
      </c>
      <c r="UB356" s="73">
        <f>SUM(UB325:UB355)</f>
        <v>0</v>
      </c>
      <c r="UC356" s="70">
        <f>UC355</f>
        <v>46.799999999999983</v>
      </c>
      <c r="UD356" s="71"/>
      <c r="UG356" s="72" t="s">
        <v>72</v>
      </c>
      <c r="UH356" s="73">
        <f>SUM(UH325:UH355)</f>
        <v>0</v>
      </c>
      <c r="UI356" s="73">
        <f>SUM(UI325:UI355)</f>
        <v>0</v>
      </c>
      <c r="UJ356" s="73">
        <f>SUM(UJ325:UJ355)</f>
        <v>0</v>
      </c>
      <c r="UK356" s="73">
        <f>SUM(UK325:UK355)</f>
        <v>0</v>
      </c>
      <c r="UL356" s="70">
        <f>UL355</f>
        <v>204</v>
      </c>
      <c r="UM356" s="71"/>
      <c r="UP356" s="72" t="s">
        <v>72</v>
      </c>
      <c r="UQ356" s="73">
        <f>SUM(UQ325:UQ355)</f>
        <v>0</v>
      </c>
      <c r="UR356" s="73">
        <f>SUM(UR325:UR355)</f>
        <v>0</v>
      </c>
      <c r="US356" s="73">
        <f>SUM(US325:US355)</f>
        <v>0</v>
      </c>
      <c r="UT356" s="73">
        <f>SUM(UT325:UT355)</f>
        <v>0</v>
      </c>
      <c r="UU356" s="70">
        <f>UU355</f>
        <v>202.5</v>
      </c>
      <c r="UV356" s="71"/>
      <c r="UY356" s="72" t="s">
        <v>72</v>
      </c>
      <c r="UZ356" s="73">
        <f>SUM(UZ325:UZ355)</f>
        <v>0</v>
      </c>
      <c r="VA356" s="73">
        <f>SUM(VA325:VA355)</f>
        <v>0</v>
      </c>
      <c r="VB356" s="73">
        <f>SUM(VB325:VB355)</f>
        <v>0</v>
      </c>
      <c r="VC356" s="73">
        <f>SUM(VC325:VC355)</f>
        <v>0</v>
      </c>
      <c r="VD356" s="70">
        <f>VD355</f>
        <v>41.600000000000023</v>
      </c>
      <c r="VE356" s="71"/>
      <c r="VH356" s="72" t="s">
        <v>72</v>
      </c>
      <c r="VI356" s="73">
        <f>SUM(VI325:VI355)</f>
        <v>0</v>
      </c>
      <c r="VJ356" s="73">
        <f>SUM(VJ325:VJ355)</f>
        <v>0</v>
      </c>
      <c r="VK356" s="73">
        <f>SUM(VK325:VK355)</f>
        <v>0</v>
      </c>
      <c r="VL356" s="73">
        <f>SUM(VL325:VL355)</f>
        <v>0</v>
      </c>
      <c r="VM356" s="70">
        <f>VM355</f>
        <v>210</v>
      </c>
      <c r="VN356" s="71"/>
      <c r="VQ356" s="72" t="s">
        <v>72</v>
      </c>
      <c r="VR356" s="73">
        <f>SUM(VR325:VR355)</f>
        <v>0</v>
      </c>
      <c r="VS356" s="73">
        <f>SUM(VS325:VS355)</f>
        <v>0</v>
      </c>
      <c r="VT356" s="73">
        <f>SUM(VT325:VT355)</f>
        <v>0</v>
      </c>
      <c r="VU356" s="73">
        <f>SUM(VU325:VU355)</f>
        <v>0</v>
      </c>
      <c r="VV356" s="70">
        <f>VV355</f>
        <v>0</v>
      </c>
      <c r="VW356" s="71"/>
      <c r="VZ356" s="72" t="s">
        <v>72</v>
      </c>
      <c r="WA356" s="73">
        <f>SUM(WA325:WA355)</f>
        <v>0</v>
      </c>
      <c r="WB356" s="73">
        <f>SUM(WB325:WB355)</f>
        <v>0</v>
      </c>
      <c r="WC356" s="73">
        <f>SUM(WC325:WC355)</f>
        <v>0</v>
      </c>
      <c r="WD356" s="73">
        <f>SUM(WD325:WD355)</f>
        <v>0</v>
      </c>
      <c r="WE356" s="70">
        <f>WE355</f>
        <v>0</v>
      </c>
      <c r="WF356" s="71"/>
      <c r="WI356" s="72" t="s">
        <v>72</v>
      </c>
      <c r="WJ356" s="73">
        <f>SUM(WJ325:WJ355)</f>
        <v>0</v>
      </c>
      <c r="WK356" s="73">
        <f>SUM(WK325:WK355)</f>
        <v>0</v>
      </c>
      <c r="WL356" s="73">
        <f>SUM(WL325:WL355)</f>
        <v>0</v>
      </c>
      <c r="WM356" s="73">
        <f>SUM(WM325:WM355)</f>
        <v>0</v>
      </c>
      <c r="WN356" s="70">
        <f>WN355</f>
        <v>1057</v>
      </c>
      <c r="WO356" s="71"/>
      <c r="WR356" s="72" t="s">
        <v>72</v>
      </c>
      <c r="WS356" s="73">
        <f>SUM(WS325:WS355)</f>
        <v>0</v>
      </c>
      <c r="WT356" s="73">
        <f>SUM(WT325:WT355)</f>
        <v>0</v>
      </c>
      <c r="WU356" s="73">
        <f>SUM(WU325:WU355)</f>
        <v>0</v>
      </c>
      <c r="WV356" s="73">
        <f>SUM(WV325:WV355)</f>
        <v>0</v>
      </c>
      <c r="WW356" s="70">
        <f>WW355</f>
        <v>0</v>
      </c>
      <c r="WX356" s="71"/>
      <c r="XA356" s="72" t="s">
        <v>72</v>
      </c>
      <c r="XB356" s="73">
        <f>SUM(XB325:XB355)</f>
        <v>0</v>
      </c>
      <c r="XC356" s="73">
        <f>SUM(XC325:XC355)</f>
        <v>0</v>
      </c>
      <c r="XD356" s="73">
        <f>SUM(XD325:XD355)</f>
        <v>0</v>
      </c>
      <c r="XE356" s="73">
        <f>SUM(XE325:XE355)</f>
        <v>0</v>
      </c>
      <c r="XF356" s="70">
        <f>XF355</f>
        <v>7507</v>
      </c>
      <c r="XG356" s="71"/>
      <c r="XJ356" s="72" t="s">
        <v>72</v>
      </c>
      <c r="XK356" s="73">
        <f>SUM(XK325:XK355)</f>
        <v>0</v>
      </c>
      <c r="XL356" s="73">
        <f>SUM(XL325:XL355)</f>
        <v>0</v>
      </c>
      <c r="XM356" s="73">
        <f>SUM(XM325:XM355)</f>
        <v>0</v>
      </c>
      <c r="XN356" s="73">
        <f>SUM(XN325:XN355)</f>
        <v>0</v>
      </c>
      <c r="XO356" s="70">
        <f>XO355</f>
        <v>4252</v>
      </c>
      <c r="XP356" s="71"/>
      <c r="XS356" s="72" t="s">
        <v>72</v>
      </c>
      <c r="XT356" s="73">
        <f>SUM(XT325:XT355)</f>
        <v>0</v>
      </c>
      <c r="XU356" s="73">
        <f>SUM(XU325:XU355)</f>
        <v>0</v>
      </c>
      <c r="XV356" s="73">
        <f>SUM(XV325:XV355)</f>
        <v>0</v>
      </c>
      <c r="XW356" s="73">
        <f>SUM(XW325:XW355)</f>
        <v>0</v>
      </c>
      <c r="XX356" s="70">
        <f>XX355</f>
        <v>2179</v>
      </c>
      <c r="XY356" s="71"/>
      <c r="YB356" s="72" t="s">
        <v>72</v>
      </c>
      <c r="YC356" s="73">
        <f>SUM(YC325:YC355)</f>
        <v>0</v>
      </c>
      <c r="YD356" s="73">
        <f>SUM(YD325:YD355)</f>
        <v>0</v>
      </c>
      <c r="YE356" s="73">
        <f>SUM(YE325:YE355)</f>
        <v>0</v>
      </c>
      <c r="YF356" s="73">
        <f>SUM(YF325:YF355)</f>
        <v>0</v>
      </c>
      <c r="YG356" s="70">
        <f>YG355</f>
        <v>4019</v>
      </c>
      <c r="YH356" s="71"/>
      <c r="YK356" s="72" t="s">
        <v>72</v>
      </c>
      <c r="YL356" s="73">
        <f>SUM(YL325:YL355)</f>
        <v>0</v>
      </c>
      <c r="YM356" s="73">
        <f>SUM(YM325:YM355)</f>
        <v>0</v>
      </c>
      <c r="YN356" s="73">
        <f>SUM(YN325:YN355)</f>
        <v>0</v>
      </c>
      <c r="YO356" s="73">
        <f>SUM(YO325:YO355)</f>
        <v>0</v>
      </c>
      <c r="YP356" s="70">
        <f>YP355</f>
        <v>-218</v>
      </c>
      <c r="YQ356" s="71"/>
      <c r="YT356" s="72" t="s">
        <v>72</v>
      </c>
      <c r="YU356" s="73">
        <f>SUM(YU325:YU355)</f>
        <v>0</v>
      </c>
      <c r="YV356" s="73">
        <f>SUM(YV325:YV355)</f>
        <v>0</v>
      </c>
      <c r="YW356" s="73">
        <f>SUM(YW325:YW355)</f>
        <v>0</v>
      </c>
      <c r="YX356" s="73">
        <f>SUM(YX325:YX355)</f>
        <v>0</v>
      </c>
      <c r="YY356" s="70">
        <f>YY355</f>
        <v>0</v>
      </c>
      <c r="YZ356" s="71"/>
      <c r="ZC356" s="72" t="s">
        <v>72</v>
      </c>
      <c r="ZD356" s="73">
        <f>SUM(ZD325:ZD355)</f>
        <v>0</v>
      </c>
      <c r="ZE356" s="73">
        <f>SUM(ZE325:ZE355)</f>
        <v>0</v>
      </c>
      <c r="ZF356" s="73">
        <f>SUM(ZF325:ZF355)</f>
        <v>0</v>
      </c>
      <c r="ZG356" s="73">
        <f>SUM(ZG325:ZG355)</f>
        <v>0</v>
      </c>
      <c r="ZH356" s="70">
        <f>ZH355</f>
        <v>0</v>
      </c>
      <c r="ZI356" s="71"/>
      <c r="ZL356" s="72" t="s">
        <v>72</v>
      </c>
      <c r="ZM356" s="73">
        <f>SUM(ZM325:ZM355)</f>
        <v>0</v>
      </c>
      <c r="ZN356" s="73">
        <f>SUM(ZN325:ZN355)</f>
        <v>0</v>
      </c>
      <c r="ZO356" s="73">
        <f>SUM(ZO325:ZO355)</f>
        <v>0</v>
      </c>
      <c r="ZP356" s="73">
        <f>SUM(ZP325:ZP355)</f>
        <v>0</v>
      </c>
      <c r="ZQ356" s="70">
        <f>ZQ355</f>
        <v>0</v>
      </c>
      <c r="ZR356" s="71"/>
      <c r="ZU356" s="72" t="s">
        <v>72</v>
      </c>
      <c r="ZV356" s="73">
        <f>SUM(ZV325:ZV355)</f>
        <v>0</v>
      </c>
      <c r="ZW356" s="73">
        <f>SUM(ZW325:ZW355)</f>
        <v>0</v>
      </c>
      <c r="ZX356" s="73">
        <f>SUM(ZX325:ZX355)</f>
        <v>0</v>
      </c>
      <c r="ZY356" s="73">
        <f>SUM(ZY325:ZY355)</f>
        <v>0</v>
      </c>
      <c r="ZZ356" s="70">
        <f>ZZ355</f>
        <v>0</v>
      </c>
      <c r="AAA356" s="71"/>
      <c r="AAD356" s="72" t="s">
        <v>72</v>
      </c>
      <c r="AAE356" s="73">
        <f>SUM(AAE325:AAE355)</f>
        <v>0</v>
      </c>
      <c r="AAF356" s="73">
        <f>SUM(AAF325:AAF355)</f>
        <v>0</v>
      </c>
      <c r="AAG356" s="73">
        <f>SUM(AAG325:AAG355)</f>
        <v>0</v>
      </c>
      <c r="AAH356" s="73">
        <f>SUM(AAH325:AAH355)</f>
        <v>0</v>
      </c>
      <c r="AAI356" s="70">
        <f>AAI355</f>
        <v>0</v>
      </c>
      <c r="AAJ356" s="71"/>
      <c r="AAM356" s="72" t="s">
        <v>72</v>
      </c>
      <c r="AAN356" s="73">
        <f>SUM(AAN325:AAN355)</f>
        <v>0</v>
      </c>
      <c r="AAO356" s="73">
        <f>SUM(AAO325:AAO355)</f>
        <v>0</v>
      </c>
      <c r="AAP356" s="73">
        <f>SUM(AAP325:AAP355)</f>
        <v>0</v>
      </c>
      <c r="AAQ356" s="73">
        <f>SUM(AAQ325:AAQ355)</f>
        <v>0</v>
      </c>
      <c r="AAR356" s="70">
        <f>AAR355</f>
        <v>0</v>
      </c>
      <c r="AAS356" s="71"/>
      <c r="AAV356" s="72" t="s">
        <v>72</v>
      </c>
      <c r="AAW356" s="73">
        <f>SUM(AAW325:AAW355)</f>
        <v>0</v>
      </c>
      <c r="AAX356" s="73">
        <f>SUM(AAX325:AAX355)</f>
        <v>0</v>
      </c>
      <c r="AAY356" s="73">
        <f>SUM(AAY325:AAY355)</f>
        <v>0</v>
      </c>
      <c r="AAZ356" s="73">
        <f>SUM(AAZ325:AAZ355)</f>
        <v>0</v>
      </c>
      <c r="ABA356" s="70">
        <f>ABA355</f>
        <v>0</v>
      </c>
      <c r="ABB356" s="71"/>
      <c r="ABE356" s="72" t="s">
        <v>72</v>
      </c>
      <c r="ABF356" s="73">
        <f>SUM(ABF325:ABF355)</f>
        <v>0</v>
      </c>
      <c r="ABG356" s="73">
        <f>SUM(ABG325:ABG355)</f>
        <v>0</v>
      </c>
      <c r="ABH356" s="73">
        <f>SUM(ABH325:ABH355)</f>
        <v>0</v>
      </c>
      <c r="ABI356" s="73">
        <f>SUM(ABI325:ABI355)</f>
        <v>0</v>
      </c>
      <c r="ABJ356" s="70">
        <f>ABJ355</f>
        <v>0</v>
      </c>
      <c r="ABK356" s="71"/>
    </row>
    <row r="357" spans="1:739" ht="14.45" thickBot="1">
      <c r="C357" s="75"/>
      <c r="L357" s="75"/>
      <c r="U357" s="75"/>
      <c r="AD357" s="75"/>
      <c r="AM357" s="75"/>
      <c r="AV357" s="75"/>
      <c r="BE357" s="75"/>
      <c r="BN357" s="75"/>
      <c r="BW357" s="75"/>
      <c r="CF357" s="75"/>
      <c r="CO357" s="75"/>
      <c r="CX357" s="75"/>
      <c r="DG357" s="75"/>
      <c r="DP357" s="75"/>
      <c r="DY357" s="75"/>
      <c r="EH357" s="75"/>
      <c r="EQ357" s="75"/>
      <c r="EZ357" s="75"/>
      <c r="FI357" s="75"/>
      <c r="FR357" s="75"/>
      <c r="GA357" s="75"/>
      <c r="GJ357" s="75"/>
      <c r="GS357" s="75"/>
      <c r="HB357" s="75"/>
      <c r="HK357" s="75"/>
      <c r="HU357" s="75"/>
      <c r="ID357" s="75"/>
      <c r="IM357" s="75"/>
      <c r="IV357" s="75"/>
      <c r="JE357" s="75"/>
      <c r="JN357" s="75"/>
      <c r="JW357" s="75"/>
      <c r="KF357" s="75"/>
      <c r="KO357" s="75"/>
      <c r="KX357" s="75"/>
      <c r="LG357" s="75"/>
      <c r="LP357" s="75"/>
      <c r="LY357" s="75"/>
      <c r="MH357" s="75"/>
      <c r="MQ357" s="75"/>
      <c r="MZ357" s="75"/>
      <c r="NI357" s="75"/>
      <c r="NR357" s="75"/>
      <c r="OA357" s="75"/>
      <c r="OJ357" s="75"/>
      <c r="OS357" s="75"/>
      <c r="PB357" s="75"/>
      <c r="PK357" s="75"/>
      <c r="PT357" s="75"/>
      <c r="QC357" s="75"/>
      <c r="QL357" s="75"/>
      <c r="QU357" s="75"/>
      <c r="RD357" s="75"/>
      <c r="RM357" s="75"/>
      <c r="RV357" s="75"/>
      <c r="SE357" s="75"/>
      <c r="SN357" s="75"/>
      <c r="SW357" s="75"/>
      <c r="TF357" s="75"/>
      <c r="TO357" s="75"/>
      <c r="TX357" s="75"/>
      <c r="UG357" s="75"/>
      <c r="UP357" s="75"/>
      <c r="UY357" s="75"/>
      <c r="VH357" s="75"/>
      <c r="VQ357" s="75"/>
      <c r="VZ357" s="75"/>
      <c r="WI357" s="75"/>
      <c r="WR357" s="75"/>
      <c r="XA357" s="75"/>
      <c r="XJ357" s="75"/>
      <c r="XS357" s="75"/>
      <c r="YB357" s="75"/>
      <c r="YK357" s="75"/>
      <c r="YT357" s="75"/>
      <c r="ZC357" s="75"/>
      <c r="ZL357" s="75"/>
      <c r="ZU357" s="75"/>
      <c r="AAD357" s="75"/>
      <c r="AAM357" s="75"/>
      <c r="AAV357" s="75"/>
      <c r="ABE357" s="75"/>
    </row>
    <row r="358" spans="1:739" ht="14.45" thickBot="1">
      <c r="A358" s="22" t="s">
        <v>309</v>
      </c>
      <c r="C358" s="569" t="s">
        <v>159</v>
      </c>
      <c r="D358" s="570"/>
      <c r="E358" s="570"/>
      <c r="F358" s="570"/>
      <c r="G358" s="570"/>
      <c r="H358" s="571"/>
      <c r="I358" s="321"/>
      <c r="J358" s="22" t="s">
        <v>309</v>
      </c>
      <c r="L358" s="569" t="s">
        <v>159</v>
      </c>
      <c r="M358" s="570"/>
      <c r="N358" s="570"/>
      <c r="O358" s="570"/>
      <c r="P358" s="570"/>
      <c r="Q358" s="571"/>
      <c r="R358" s="24"/>
      <c r="S358" s="22" t="s">
        <v>309</v>
      </c>
      <c r="U358" s="569" t="s">
        <v>159</v>
      </c>
      <c r="V358" s="570"/>
      <c r="W358" s="570"/>
      <c r="X358" s="570"/>
      <c r="Y358" s="570"/>
      <c r="Z358" s="571"/>
      <c r="AA358" s="24"/>
      <c r="AB358" s="22" t="s">
        <v>309</v>
      </c>
      <c r="AD358" s="569" t="s">
        <v>159</v>
      </c>
      <c r="AE358" s="570"/>
      <c r="AF358" s="570"/>
      <c r="AG358" s="570"/>
      <c r="AH358" s="570"/>
      <c r="AI358" s="571"/>
      <c r="AJ358" s="24"/>
      <c r="AK358" s="22" t="s">
        <v>309</v>
      </c>
      <c r="AM358" s="569" t="s">
        <v>159</v>
      </c>
      <c r="AN358" s="570"/>
      <c r="AO358" s="570"/>
      <c r="AP358" s="570"/>
      <c r="AQ358" s="570"/>
      <c r="AR358" s="571"/>
      <c r="AS358" s="24"/>
      <c r="AT358" s="22" t="s">
        <v>309</v>
      </c>
      <c r="AV358" s="569" t="s">
        <v>159</v>
      </c>
      <c r="AW358" s="570"/>
      <c r="AX358" s="570"/>
      <c r="AY358" s="570"/>
      <c r="AZ358" s="570"/>
      <c r="BA358" s="571"/>
      <c r="BB358" s="24"/>
      <c r="BC358" s="22" t="s">
        <v>309</v>
      </c>
      <c r="BE358" s="569" t="s">
        <v>159</v>
      </c>
      <c r="BF358" s="570"/>
      <c r="BG358" s="570"/>
      <c r="BH358" s="570"/>
      <c r="BI358" s="570"/>
      <c r="BJ358" s="571"/>
      <c r="BK358" s="24"/>
      <c r="BL358" s="22" t="s">
        <v>309</v>
      </c>
      <c r="BN358" s="569" t="s">
        <v>159</v>
      </c>
      <c r="BO358" s="570"/>
      <c r="BP358" s="570"/>
      <c r="BQ358" s="570"/>
      <c r="BR358" s="570"/>
      <c r="BS358" s="571"/>
      <c r="BT358" s="24"/>
      <c r="BU358" s="22" t="s">
        <v>309</v>
      </c>
      <c r="BW358" s="569" t="s">
        <v>159</v>
      </c>
      <c r="BX358" s="570"/>
      <c r="BY358" s="570"/>
      <c r="BZ358" s="570"/>
      <c r="CA358" s="570"/>
      <c r="CB358" s="571"/>
      <c r="CC358" s="24"/>
      <c r="CD358" s="22" t="s">
        <v>309</v>
      </c>
      <c r="CF358" s="569" t="s">
        <v>159</v>
      </c>
      <c r="CG358" s="570"/>
      <c r="CH358" s="570"/>
      <c r="CI358" s="570"/>
      <c r="CJ358" s="570"/>
      <c r="CK358" s="571"/>
      <c r="CL358" s="24"/>
      <c r="CM358" s="22" t="s">
        <v>309</v>
      </c>
      <c r="CO358" s="569" t="s">
        <v>159</v>
      </c>
      <c r="CP358" s="570"/>
      <c r="CQ358" s="570"/>
      <c r="CR358" s="570"/>
      <c r="CS358" s="570"/>
      <c r="CT358" s="571"/>
      <c r="CU358" s="24"/>
      <c r="CV358" s="22" t="s">
        <v>309</v>
      </c>
      <c r="CX358" s="569" t="s">
        <v>159</v>
      </c>
      <c r="CY358" s="570"/>
      <c r="CZ358" s="570"/>
      <c r="DA358" s="570"/>
      <c r="DB358" s="570"/>
      <c r="DC358" s="571"/>
      <c r="DD358" s="24"/>
      <c r="DE358" s="22" t="s">
        <v>309</v>
      </c>
      <c r="DG358" s="569" t="s">
        <v>159</v>
      </c>
      <c r="DH358" s="570"/>
      <c r="DI358" s="570"/>
      <c r="DJ358" s="570"/>
      <c r="DK358" s="570"/>
      <c r="DL358" s="571"/>
      <c r="DM358" s="24"/>
      <c r="DN358" s="22" t="s">
        <v>309</v>
      </c>
      <c r="DP358" s="569" t="s">
        <v>159</v>
      </c>
      <c r="DQ358" s="570"/>
      <c r="DR358" s="570"/>
      <c r="DS358" s="570"/>
      <c r="DT358" s="570"/>
      <c r="DU358" s="571"/>
      <c r="DV358" s="24"/>
      <c r="DW358" s="22" t="s">
        <v>309</v>
      </c>
      <c r="DY358" s="569" t="s">
        <v>159</v>
      </c>
      <c r="DZ358" s="570"/>
      <c r="EA358" s="570"/>
      <c r="EB358" s="570"/>
      <c r="EC358" s="570"/>
      <c r="ED358" s="571"/>
      <c r="EE358" s="24"/>
      <c r="EF358" s="22" t="s">
        <v>309</v>
      </c>
      <c r="EH358" s="569" t="s">
        <v>159</v>
      </c>
      <c r="EI358" s="570"/>
      <c r="EJ358" s="570"/>
      <c r="EK358" s="570"/>
      <c r="EL358" s="570"/>
      <c r="EM358" s="571"/>
      <c r="EN358" s="24"/>
      <c r="EO358" s="22" t="s">
        <v>309</v>
      </c>
      <c r="EQ358" s="569" t="s">
        <v>159</v>
      </c>
      <c r="ER358" s="570"/>
      <c r="ES358" s="570"/>
      <c r="ET358" s="570"/>
      <c r="EU358" s="570"/>
      <c r="EV358" s="571"/>
      <c r="EW358" s="24"/>
      <c r="EX358" s="22" t="s">
        <v>309</v>
      </c>
      <c r="EZ358" s="569" t="s">
        <v>159</v>
      </c>
      <c r="FA358" s="570"/>
      <c r="FB358" s="570"/>
      <c r="FC358" s="570"/>
      <c r="FD358" s="570"/>
      <c r="FE358" s="571"/>
      <c r="FF358" s="24"/>
      <c r="FG358" s="22" t="s">
        <v>309</v>
      </c>
      <c r="FI358" s="569" t="s">
        <v>159</v>
      </c>
      <c r="FJ358" s="570"/>
      <c r="FK358" s="570"/>
      <c r="FL358" s="570"/>
      <c r="FM358" s="570"/>
      <c r="FN358" s="571"/>
      <c r="FO358" s="24"/>
      <c r="FP358" s="22" t="s">
        <v>309</v>
      </c>
      <c r="FR358" s="569" t="s">
        <v>159</v>
      </c>
      <c r="FS358" s="570"/>
      <c r="FT358" s="570"/>
      <c r="FU358" s="570"/>
      <c r="FV358" s="570"/>
      <c r="FW358" s="571"/>
      <c r="FX358" s="24"/>
      <c r="FY358" s="22" t="s">
        <v>309</v>
      </c>
      <c r="GA358" s="569" t="s">
        <v>159</v>
      </c>
      <c r="GB358" s="570"/>
      <c r="GC358" s="570"/>
      <c r="GD358" s="570"/>
      <c r="GE358" s="570"/>
      <c r="GF358" s="571"/>
      <c r="GG358" s="24"/>
      <c r="GH358" s="22" t="s">
        <v>309</v>
      </c>
      <c r="GJ358" s="569" t="s">
        <v>159</v>
      </c>
      <c r="GK358" s="570"/>
      <c r="GL358" s="570"/>
      <c r="GM358" s="570"/>
      <c r="GN358" s="570"/>
      <c r="GO358" s="571"/>
      <c r="GP358" s="24"/>
      <c r="GQ358" s="22" t="s">
        <v>309</v>
      </c>
      <c r="GS358" s="569" t="s">
        <v>159</v>
      </c>
      <c r="GT358" s="570"/>
      <c r="GU358" s="570"/>
      <c r="GV358" s="570"/>
      <c r="GW358" s="570"/>
      <c r="GX358" s="571"/>
      <c r="GY358" s="24"/>
      <c r="GZ358" s="22" t="s">
        <v>309</v>
      </c>
      <c r="HB358" s="569" t="s">
        <v>159</v>
      </c>
      <c r="HC358" s="570"/>
      <c r="HD358" s="570"/>
      <c r="HE358" s="570"/>
      <c r="HF358" s="570"/>
      <c r="HG358" s="571"/>
      <c r="HH358" s="24"/>
      <c r="HI358" s="22" t="s">
        <v>309</v>
      </c>
      <c r="HK358" s="569" t="s">
        <v>159</v>
      </c>
      <c r="HL358" s="570"/>
      <c r="HM358" s="570"/>
      <c r="HN358" s="570"/>
      <c r="HO358" s="570"/>
      <c r="HP358" s="571"/>
      <c r="HQ358" s="24"/>
      <c r="HS358" s="22" t="s">
        <v>309</v>
      </c>
      <c r="HU358" s="569" t="s">
        <v>159</v>
      </c>
      <c r="HV358" s="570"/>
      <c r="HW358" s="570"/>
      <c r="HX358" s="570"/>
      <c r="HY358" s="570"/>
      <c r="HZ358" s="571"/>
      <c r="IA358" s="24"/>
      <c r="IB358" s="22" t="s">
        <v>309</v>
      </c>
      <c r="ID358" s="569" t="s">
        <v>159</v>
      </c>
      <c r="IE358" s="570"/>
      <c r="IF358" s="570"/>
      <c r="IG358" s="570"/>
      <c r="IH358" s="570"/>
      <c r="II358" s="571"/>
      <c r="IJ358" s="24"/>
      <c r="IK358" s="22" t="s">
        <v>309</v>
      </c>
      <c r="IM358" s="569" t="s">
        <v>159</v>
      </c>
      <c r="IN358" s="570"/>
      <c r="IO358" s="570"/>
      <c r="IP358" s="570"/>
      <c r="IQ358" s="570"/>
      <c r="IR358" s="571"/>
      <c r="IS358" s="24"/>
      <c r="IT358" s="22" t="s">
        <v>309</v>
      </c>
      <c r="IV358" s="569" t="s">
        <v>159</v>
      </c>
      <c r="IW358" s="570"/>
      <c r="IX358" s="570"/>
      <c r="IY358" s="570"/>
      <c r="IZ358" s="570"/>
      <c r="JA358" s="571"/>
      <c r="JB358" s="24"/>
      <c r="JC358" s="22" t="s">
        <v>309</v>
      </c>
      <c r="JE358" s="569" t="s">
        <v>159</v>
      </c>
      <c r="JF358" s="570"/>
      <c r="JG358" s="570"/>
      <c r="JH358" s="570"/>
      <c r="JI358" s="570"/>
      <c r="JJ358" s="571"/>
      <c r="JK358" s="24"/>
      <c r="JL358" s="22" t="s">
        <v>309</v>
      </c>
      <c r="JN358" s="569" t="s">
        <v>159</v>
      </c>
      <c r="JO358" s="570"/>
      <c r="JP358" s="570"/>
      <c r="JQ358" s="570"/>
      <c r="JR358" s="570"/>
      <c r="JS358" s="571"/>
      <c r="JT358" s="24"/>
      <c r="JU358" s="22" t="s">
        <v>309</v>
      </c>
      <c r="JW358" s="569" t="s">
        <v>159</v>
      </c>
      <c r="JX358" s="570"/>
      <c r="JY358" s="570"/>
      <c r="JZ358" s="570"/>
      <c r="KA358" s="570"/>
      <c r="KB358" s="571"/>
      <c r="KC358" s="24"/>
      <c r="KD358" s="22" t="s">
        <v>309</v>
      </c>
      <c r="KF358" s="569" t="s">
        <v>159</v>
      </c>
      <c r="KG358" s="570"/>
      <c r="KH358" s="570"/>
      <c r="KI358" s="570"/>
      <c r="KJ358" s="570"/>
      <c r="KK358" s="571"/>
      <c r="KL358" s="24"/>
      <c r="KM358" s="22" t="s">
        <v>309</v>
      </c>
      <c r="KO358" s="569" t="s">
        <v>159</v>
      </c>
      <c r="KP358" s="570"/>
      <c r="KQ358" s="570"/>
      <c r="KR358" s="570"/>
      <c r="KS358" s="570"/>
      <c r="KT358" s="571"/>
      <c r="KU358" s="24"/>
      <c r="KV358" s="22" t="s">
        <v>309</v>
      </c>
      <c r="KX358" s="569" t="s">
        <v>159</v>
      </c>
      <c r="KY358" s="570"/>
      <c r="KZ358" s="570"/>
      <c r="LA358" s="570"/>
      <c r="LB358" s="570"/>
      <c r="LC358" s="571"/>
      <c r="LD358" s="24"/>
      <c r="LE358" s="22" t="s">
        <v>309</v>
      </c>
      <c r="LG358" s="569" t="s">
        <v>159</v>
      </c>
      <c r="LH358" s="570"/>
      <c r="LI358" s="570"/>
      <c r="LJ358" s="570"/>
      <c r="LK358" s="570"/>
      <c r="LL358" s="571"/>
      <c r="LM358" s="24"/>
      <c r="LN358" s="22" t="s">
        <v>309</v>
      </c>
      <c r="LP358" s="569" t="s">
        <v>159</v>
      </c>
      <c r="LQ358" s="570"/>
      <c r="LR358" s="570"/>
      <c r="LS358" s="570"/>
      <c r="LT358" s="570"/>
      <c r="LU358" s="571"/>
      <c r="LV358" s="24"/>
      <c r="LW358" s="22" t="s">
        <v>309</v>
      </c>
      <c r="LY358" s="569" t="s">
        <v>159</v>
      </c>
      <c r="LZ358" s="570"/>
      <c r="MA358" s="570"/>
      <c r="MB358" s="570"/>
      <c r="MC358" s="570"/>
      <c r="MD358" s="571"/>
      <c r="ME358" s="24"/>
      <c r="MF358" s="22" t="s">
        <v>309</v>
      </c>
      <c r="MH358" s="569" t="s">
        <v>159</v>
      </c>
      <c r="MI358" s="570"/>
      <c r="MJ358" s="570"/>
      <c r="MK358" s="570"/>
      <c r="ML358" s="570"/>
      <c r="MM358" s="571"/>
      <c r="MN358" s="24"/>
      <c r="MO358" s="22" t="s">
        <v>309</v>
      </c>
      <c r="MQ358" s="569" t="s">
        <v>159</v>
      </c>
      <c r="MR358" s="570"/>
      <c r="MS358" s="570"/>
      <c r="MT358" s="570"/>
      <c r="MU358" s="570"/>
      <c r="MV358" s="571"/>
      <c r="MW358" s="24"/>
      <c r="MX358" s="22" t="s">
        <v>309</v>
      </c>
      <c r="MZ358" s="569" t="s">
        <v>159</v>
      </c>
      <c r="NA358" s="570"/>
      <c r="NB358" s="570"/>
      <c r="NC358" s="570"/>
      <c r="ND358" s="570"/>
      <c r="NE358" s="571"/>
      <c r="NF358" s="24"/>
      <c r="NG358" s="22" t="s">
        <v>309</v>
      </c>
      <c r="NI358" s="569" t="s">
        <v>159</v>
      </c>
      <c r="NJ358" s="570"/>
      <c r="NK358" s="570"/>
      <c r="NL358" s="570"/>
      <c r="NM358" s="570"/>
      <c r="NN358" s="571"/>
      <c r="NO358" s="24"/>
      <c r="NP358" s="22" t="s">
        <v>309</v>
      </c>
      <c r="NR358" s="569" t="s">
        <v>159</v>
      </c>
      <c r="NS358" s="570"/>
      <c r="NT358" s="570"/>
      <c r="NU358" s="570"/>
      <c r="NV358" s="570"/>
      <c r="NW358" s="571"/>
      <c r="NX358" s="24"/>
      <c r="NY358" s="22" t="s">
        <v>309</v>
      </c>
      <c r="OA358" s="589" t="s">
        <v>159</v>
      </c>
      <c r="OB358" s="590"/>
      <c r="OC358" s="590"/>
      <c r="OD358" s="590"/>
      <c r="OE358" s="590"/>
      <c r="OF358" s="591"/>
      <c r="OG358" s="24"/>
      <c r="OH358" s="22" t="s">
        <v>309</v>
      </c>
      <c r="OJ358" s="589" t="s">
        <v>159</v>
      </c>
      <c r="OK358" s="590"/>
      <c r="OL358" s="590"/>
      <c r="OM358" s="590"/>
      <c r="ON358" s="590"/>
      <c r="OO358" s="591"/>
      <c r="OP358" s="24"/>
      <c r="OQ358" s="22" t="s">
        <v>309</v>
      </c>
      <c r="OS358" s="589" t="s">
        <v>159</v>
      </c>
      <c r="OT358" s="590"/>
      <c r="OU358" s="590"/>
      <c r="OV358" s="590"/>
      <c r="OW358" s="590"/>
      <c r="OX358" s="591"/>
      <c r="OY358" s="24"/>
      <c r="OZ358" s="22" t="s">
        <v>309</v>
      </c>
      <c r="PB358" s="569" t="s">
        <v>159</v>
      </c>
      <c r="PC358" s="570"/>
      <c r="PD358" s="570"/>
      <c r="PE358" s="570"/>
      <c r="PF358" s="570"/>
      <c r="PG358" s="571"/>
      <c r="PH358" s="24"/>
      <c r="PI358" s="22" t="s">
        <v>309</v>
      </c>
      <c r="PK358" s="569" t="s">
        <v>159</v>
      </c>
      <c r="PL358" s="570"/>
      <c r="PM358" s="570"/>
      <c r="PN358" s="570"/>
      <c r="PO358" s="570"/>
      <c r="PP358" s="571"/>
      <c r="PQ358" s="24"/>
      <c r="PR358" s="22" t="s">
        <v>309</v>
      </c>
      <c r="PT358" s="569" t="s">
        <v>159</v>
      </c>
      <c r="PU358" s="570"/>
      <c r="PV358" s="570"/>
      <c r="PW358" s="570"/>
      <c r="PX358" s="570"/>
      <c r="PY358" s="571"/>
      <c r="PZ358" s="24"/>
      <c r="QA358" s="22" t="s">
        <v>309</v>
      </c>
      <c r="QC358" s="569" t="s">
        <v>159</v>
      </c>
      <c r="QD358" s="570"/>
      <c r="QE358" s="570"/>
      <c r="QF358" s="570"/>
      <c r="QG358" s="570"/>
      <c r="QH358" s="571"/>
      <c r="QI358" s="24"/>
      <c r="QJ358" s="22" t="s">
        <v>309</v>
      </c>
      <c r="QL358" s="569" t="s">
        <v>159</v>
      </c>
      <c r="QM358" s="570"/>
      <c r="QN358" s="570"/>
      <c r="QO358" s="570"/>
      <c r="QP358" s="570"/>
      <c r="QQ358" s="571"/>
      <c r="QR358" s="24"/>
      <c r="QS358" s="22" t="s">
        <v>309</v>
      </c>
      <c r="QU358" s="569" t="s">
        <v>159</v>
      </c>
      <c r="QV358" s="570"/>
      <c r="QW358" s="570"/>
      <c r="QX358" s="570"/>
      <c r="QY358" s="570"/>
      <c r="QZ358" s="571"/>
      <c r="RA358" s="24"/>
      <c r="RB358" s="22" t="s">
        <v>309</v>
      </c>
      <c r="RD358" s="569" t="s">
        <v>159</v>
      </c>
      <c r="RE358" s="570"/>
      <c r="RF358" s="570"/>
      <c r="RG358" s="570"/>
      <c r="RH358" s="570"/>
      <c r="RI358" s="571"/>
      <c r="RJ358" s="24"/>
      <c r="RK358" s="22" t="s">
        <v>309</v>
      </c>
      <c r="RM358" s="569" t="s">
        <v>159</v>
      </c>
      <c r="RN358" s="570"/>
      <c r="RO358" s="570"/>
      <c r="RP358" s="570"/>
      <c r="RQ358" s="570"/>
      <c r="RR358" s="571"/>
      <c r="RS358" s="24"/>
      <c r="RT358" s="22" t="s">
        <v>309</v>
      </c>
      <c r="RV358" s="569" t="s">
        <v>159</v>
      </c>
      <c r="RW358" s="570"/>
      <c r="RX358" s="570"/>
      <c r="RY358" s="570"/>
      <c r="RZ358" s="570"/>
      <c r="SA358" s="571"/>
      <c r="SB358" s="24"/>
      <c r="SC358" s="22" t="s">
        <v>309</v>
      </c>
      <c r="SE358" s="569" t="s">
        <v>159</v>
      </c>
      <c r="SF358" s="570"/>
      <c r="SG358" s="570"/>
      <c r="SH358" s="570"/>
      <c r="SI358" s="570"/>
      <c r="SJ358" s="571"/>
      <c r="SK358" s="24"/>
      <c r="SL358" s="22" t="s">
        <v>309</v>
      </c>
      <c r="SN358" s="569" t="s">
        <v>159</v>
      </c>
      <c r="SO358" s="570"/>
      <c r="SP358" s="570"/>
      <c r="SQ358" s="570"/>
      <c r="SR358" s="570"/>
      <c r="SS358" s="571"/>
      <c r="ST358" s="24"/>
      <c r="SU358" s="22" t="s">
        <v>309</v>
      </c>
      <c r="SW358" s="569" t="s">
        <v>159</v>
      </c>
      <c r="SX358" s="570"/>
      <c r="SY358" s="570"/>
      <c r="SZ358" s="570"/>
      <c r="TA358" s="570"/>
      <c r="TB358" s="571"/>
      <c r="TC358" s="24"/>
      <c r="TD358" s="22" t="s">
        <v>309</v>
      </c>
      <c r="TF358" s="569" t="s">
        <v>159</v>
      </c>
      <c r="TG358" s="570"/>
      <c r="TH358" s="570"/>
      <c r="TI358" s="570"/>
      <c r="TJ358" s="570"/>
      <c r="TK358" s="571"/>
      <c r="TL358" s="24"/>
      <c r="TM358" s="22" t="s">
        <v>309</v>
      </c>
      <c r="TO358" s="569" t="s">
        <v>159</v>
      </c>
      <c r="TP358" s="570"/>
      <c r="TQ358" s="570"/>
      <c r="TR358" s="570"/>
      <c r="TS358" s="570"/>
      <c r="TT358" s="571"/>
      <c r="TU358" s="24"/>
      <c r="TV358" s="22" t="s">
        <v>309</v>
      </c>
      <c r="TX358" s="569" t="s">
        <v>159</v>
      </c>
      <c r="TY358" s="570"/>
      <c r="TZ358" s="570"/>
      <c r="UA358" s="570"/>
      <c r="UB358" s="570"/>
      <c r="UC358" s="571"/>
      <c r="UD358" s="24"/>
      <c r="UE358" s="22" t="s">
        <v>309</v>
      </c>
      <c r="UG358" s="569" t="s">
        <v>159</v>
      </c>
      <c r="UH358" s="570"/>
      <c r="UI358" s="570"/>
      <c r="UJ358" s="570"/>
      <c r="UK358" s="570"/>
      <c r="UL358" s="571"/>
      <c r="UM358" s="24"/>
      <c r="UN358" s="22" t="s">
        <v>309</v>
      </c>
      <c r="UP358" s="569" t="s">
        <v>159</v>
      </c>
      <c r="UQ358" s="570"/>
      <c r="UR358" s="570"/>
      <c r="US358" s="570"/>
      <c r="UT358" s="570"/>
      <c r="UU358" s="571"/>
      <c r="UV358" s="24"/>
      <c r="UW358" s="22" t="s">
        <v>309</v>
      </c>
      <c r="UY358" s="569" t="s">
        <v>159</v>
      </c>
      <c r="UZ358" s="570"/>
      <c r="VA358" s="570"/>
      <c r="VB358" s="570"/>
      <c r="VC358" s="570"/>
      <c r="VD358" s="571"/>
      <c r="VE358" s="24"/>
      <c r="VF358" s="22" t="s">
        <v>309</v>
      </c>
      <c r="VH358" s="569" t="s">
        <v>159</v>
      </c>
      <c r="VI358" s="570"/>
      <c r="VJ358" s="570"/>
      <c r="VK358" s="570"/>
      <c r="VL358" s="570"/>
      <c r="VM358" s="571"/>
      <c r="VN358" s="24"/>
      <c r="VO358" s="22" t="s">
        <v>309</v>
      </c>
      <c r="VQ358" s="569" t="s">
        <v>159</v>
      </c>
      <c r="VR358" s="570"/>
      <c r="VS358" s="570"/>
      <c r="VT358" s="570"/>
      <c r="VU358" s="570"/>
      <c r="VV358" s="571"/>
      <c r="VW358" s="24"/>
      <c r="VX358" s="22" t="s">
        <v>309</v>
      </c>
      <c r="VZ358" s="569" t="s">
        <v>159</v>
      </c>
      <c r="WA358" s="570"/>
      <c r="WB358" s="570"/>
      <c r="WC358" s="570"/>
      <c r="WD358" s="570"/>
      <c r="WE358" s="571"/>
      <c r="WF358" s="24"/>
      <c r="WG358" s="22" t="s">
        <v>309</v>
      </c>
      <c r="WI358" s="569" t="s">
        <v>159</v>
      </c>
      <c r="WJ358" s="570"/>
      <c r="WK358" s="570"/>
      <c r="WL358" s="570"/>
      <c r="WM358" s="570"/>
      <c r="WN358" s="571"/>
      <c r="WO358" s="24"/>
      <c r="WP358" s="22" t="s">
        <v>309</v>
      </c>
      <c r="WR358" s="569" t="s">
        <v>159</v>
      </c>
      <c r="WS358" s="570"/>
      <c r="WT358" s="570"/>
      <c r="WU358" s="570"/>
      <c r="WV358" s="570"/>
      <c r="WW358" s="571"/>
      <c r="WX358" s="24"/>
      <c r="WY358" s="22" t="s">
        <v>309</v>
      </c>
      <c r="XA358" s="569" t="s">
        <v>159</v>
      </c>
      <c r="XB358" s="570"/>
      <c r="XC358" s="570"/>
      <c r="XD358" s="570"/>
      <c r="XE358" s="570"/>
      <c r="XF358" s="571"/>
      <c r="XG358" s="24"/>
      <c r="XH358" s="22" t="s">
        <v>309</v>
      </c>
      <c r="XJ358" s="569" t="s">
        <v>159</v>
      </c>
      <c r="XK358" s="570"/>
      <c r="XL358" s="570"/>
      <c r="XM358" s="570"/>
      <c r="XN358" s="570"/>
      <c r="XO358" s="571"/>
      <c r="XP358" s="24"/>
      <c r="XQ358" s="22" t="s">
        <v>309</v>
      </c>
      <c r="XS358" s="569" t="s">
        <v>159</v>
      </c>
      <c r="XT358" s="570"/>
      <c r="XU358" s="570"/>
      <c r="XV358" s="570"/>
      <c r="XW358" s="570"/>
      <c r="XX358" s="571"/>
      <c r="XY358" s="24"/>
      <c r="XZ358" s="22" t="s">
        <v>309</v>
      </c>
      <c r="YB358" s="569" t="s">
        <v>159</v>
      </c>
      <c r="YC358" s="570"/>
      <c r="YD358" s="570"/>
      <c r="YE358" s="570"/>
      <c r="YF358" s="570"/>
      <c r="YG358" s="571"/>
      <c r="YH358" s="24"/>
      <c r="YI358" s="22" t="s">
        <v>309</v>
      </c>
      <c r="YK358" s="569" t="s">
        <v>159</v>
      </c>
      <c r="YL358" s="570"/>
      <c r="YM358" s="570"/>
      <c r="YN358" s="570"/>
      <c r="YO358" s="570"/>
      <c r="YP358" s="571"/>
      <c r="YQ358" s="24"/>
      <c r="YR358" s="22" t="s">
        <v>309</v>
      </c>
      <c r="YT358" s="569" t="s">
        <v>159</v>
      </c>
      <c r="YU358" s="570"/>
      <c r="YV358" s="570"/>
      <c r="YW358" s="570"/>
      <c r="YX358" s="570"/>
      <c r="YY358" s="571"/>
      <c r="YZ358" s="24"/>
      <c r="ZA358" s="22" t="s">
        <v>309</v>
      </c>
      <c r="ZC358" s="569" t="s">
        <v>159</v>
      </c>
      <c r="ZD358" s="570"/>
      <c r="ZE358" s="570"/>
      <c r="ZF358" s="570"/>
      <c r="ZG358" s="570"/>
      <c r="ZH358" s="571"/>
      <c r="ZI358" s="24"/>
      <c r="ZJ358" s="22" t="s">
        <v>309</v>
      </c>
      <c r="ZL358" s="569" t="s">
        <v>159</v>
      </c>
      <c r="ZM358" s="570"/>
      <c r="ZN358" s="570"/>
      <c r="ZO358" s="570"/>
      <c r="ZP358" s="570"/>
      <c r="ZQ358" s="571"/>
      <c r="ZR358" s="24"/>
      <c r="ZS358" s="22" t="s">
        <v>309</v>
      </c>
      <c r="ZU358" s="569" t="s">
        <v>159</v>
      </c>
      <c r="ZV358" s="570"/>
      <c r="ZW358" s="570"/>
      <c r="ZX358" s="570"/>
      <c r="ZY358" s="570"/>
      <c r="ZZ358" s="571"/>
      <c r="AAA358" s="24"/>
      <c r="AAB358" s="22" t="s">
        <v>309</v>
      </c>
      <c r="AAD358" s="569" t="s">
        <v>159</v>
      </c>
      <c r="AAE358" s="570"/>
      <c r="AAF358" s="570"/>
      <c r="AAG358" s="570"/>
      <c r="AAH358" s="570"/>
      <c r="AAI358" s="571"/>
      <c r="AAJ358" s="24"/>
      <c r="AAK358" s="22" t="s">
        <v>309</v>
      </c>
      <c r="AAM358" s="569" t="s">
        <v>159</v>
      </c>
      <c r="AAN358" s="570"/>
      <c r="AAO358" s="570"/>
      <c r="AAP358" s="570"/>
      <c r="AAQ358" s="570"/>
      <c r="AAR358" s="571"/>
      <c r="AAS358" s="24"/>
      <c r="AAT358" s="22" t="s">
        <v>309</v>
      </c>
      <c r="AAV358" s="569" t="s">
        <v>159</v>
      </c>
      <c r="AAW358" s="570"/>
      <c r="AAX358" s="570"/>
      <c r="AAY358" s="570"/>
      <c r="AAZ358" s="570"/>
      <c r="ABA358" s="571"/>
      <c r="ABB358" s="24"/>
      <c r="ABC358" s="22" t="s">
        <v>309</v>
      </c>
      <c r="ABE358" s="569" t="s">
        <v>159</v>
      </c>
      <c r="ABF358" s="570"/>
      <c r="ABG358" s="570"/>
      <c r="ABH358" s="570"/>
      <c r="ABI358" s="570"/>
      <c r="ABJ358" s="571"/>
      <c r="ABK358" s="24"/>
    </row>
    <row r="359" spans="1:739" ht="14.45" thickBot="1">
      <c r="C359" s="30" t="s">
        <v>164</v>
      </c>
      <c r="D359" s="77" t="s">
        <v>165</v>
      </c>
      <c r="E359" s="27" t="s">
        <v>166</v>
      </c>
      <c r="F359" s="26" t="s">
        <v>167</v>
      </c>
      <c r="G359" s="27" t="s">
        <v>168</v>
      </c>
      <c r="H359" s="28" t="s">
        <v>169</v>
      </c>
      <c r="I359" s="327" t="s">
        <v>170</v>
      </c>
      <c r="L359" s="30" t="s">
        <v>164</v>
      </c>
      <c r="M359" s="77" t="s">
        <v>165</v>
      </c>
      <c r="N359" s="31" t="s">
        <v>166</v>
      </c>
      <c r="O359" s="26" t="s">
        <v>167</v>
      </c>
      <c r="P359" s="31" t="s">
        <v>168</v>
      </c>
      <c r="Q359" s="83" t="s">
        <v>169</v>
      </c>
      <c r="R359" s="79" t="s">
        <v>170</v>
      </c>
      <c r="U359" s="30" t="s">
        <v>164</v>
      </c>
      <c r="V359" s="77" t="s">
        <v>165</v>
      </c>
      <c r="W359" s="33" t="s">
        <v>166</v>
      </c>
      <c r="X359" s="26" t="s">
        <v>167</v>
      </c>
      <c r="Y359" s="33" t="s">
        <v>168</v>
      </c>
      <c r="Z359" s="84" t="s">
        <v>169</v>
      </c>
      <c r="AA359" s="79" t="s">
        <v>170</v>
      </c>
      <c r="AD359" s="30" t="s">
        <v>164</v>
      </c>
      <c r="AE359" s="77" t="s">
        <v>165</v>
      </c>
      <c r="AF359" s="35" t="s">
        <v>166</v>
      </c>
      <c r="AG359" s="26" t="s">
        <v>167</v>
      </c>
      <c r="AH359" s="35" t="s">
        <v>168</v>
      </c>
      <c r="AI359" s="36" t="s">
        <v>169</v>
      </c>
      <c r="AJ359" s="79" t="s">
        <v>170</v>
      </c>
      <c r="AM359" s="30" t="s">
        <v>164</v>
      </c>
      <c r="AN359" s="77" t="s">
        <v>165</v>
      </c>
      <c r="AO359" s="37" t="s">
        <v>166</v>
      </c>
      <c r="AP359" s="26" t="s">
        <v>167</v>
      </c>
      <c r="AQ359" s="37" t="s">
        <v>168</v>
      </c>
      <c r="AR359" s="38" t="s">
        <v>169</v>
      </c>
      <c r="AS359" s="79" t="s">
        <v>170</v>
      </c>
      <c r="AV359" s="30" t="s">
        <v>164</v>
      </c>
      <c r="AW359" s="77" t="s">
        <v>165</v>
      </c>
      <c r="AX359" s="39" t="s">
        <v>166</v>
      </c>
      <c r="AY359" s="26" t="s">
        <v>167</v>
      </c>
      <c r="AZ359" s="39" t="s">
        <v>168</v>
      </c>
      <c r="BA359" s="40" t="s">
        <v>169</v>
      </c>
      <c r="BB359" s="79" t="s">
        <v>170</v>
      </c>
      <c r="BE359" s="30" t="s">
        <v>164</v>
      </c>
      <c r="BF359" s="77" t="s">
        <v>165</v>
      </c>
      <c r="BG359" s="41" t="s">
        <v>166</v>
      </c>
      <c r="BH359" s="26" t="s">
        <v>167</v>
      </c>
      <c r="BI359" s="41" t="s">
        <v>168</v>
      </c>
      <c r="BJ359" s="42" t="s">
        <v>169</v>
      </c>
      <c r="BK359" s="79" t="s">
        <v>170</v>
      </c>
      <c r="BN359" s="30" t="s">
        <v>164</v>
      </c>
      <c r="BO359" s="77" t="s">
        <v>165</v>
      </c>
      <c r="BP359" s="43" t="s">
        <v>166</v>
      </c>
      <c r="BQ359" s="26" t="s">
        <v>167</v>
      </c>
      <c r="BR359" s="43" t="s">
        <v>168</v>
      </c>
      <c r="BS359" s="44" t="s">
        <v>169</v>
      </c>
      <c r="BT359" s="79" t="s">
        <v>170</v>
      </c>
      <c r="BW359" s="30" t="s">
        <v>164</v>
      </c>
      <c r="BX359" s="77" t="s">
        <v>165</v>
      </c>
      <c r="BY359" s="45" t="s">
        <v>166</v>
      </c>
      <c r="BZ359" s="26" t="s">
        <v>167</v>
      </c>
      <c r="CA359" s="45" t="s">
        <v>168</v>
      </c>
      <c r="CB359" s="46" t="s">
        <v>169</v>
      </c>
      <c r="CC359" s="79" t="s">
        <v>170</v>
      </c>
      <c r="CF359" s="30" t="s">
        <v>164</v>
      </c>
      <c r="CG359" s="77" t="s">
        <v>165</v>
      </c>
      <c r="CH359" s="47" t="s">
        <v>166</v>
      </c>
      <c r="CI359" s="26" t="s">
        <v>167</v>
      </c>
      <c r="CJ359" s="47" t="s">
        <v>168</v>
      </c>
      <c r="CK359" s="48" t="s">
        <v>169</v>
      </c>
      <c r="CL359" s="79" t="s">
        <v>170</v>
      </c>
      <c r="CO359" s="30" t="s">
        <v>164</v>
      </c>
      <c r="CP359" s="77" t="s">
        <v>165</v>
      </c>
      <c r="CQ359" s="129" t="s">
        <v>166</v>
      </c>
      <c r="CR359" s="26" t="s">
        <v>167</v>
      </c>
      <c r="CS359" s="129" t="s">
        <v>168</v>
      </c>
      <c r="CT359" s="130" t="s">
        <v>169</v>
      </c>
      <c r="CU359" s="79" t="s">
        <v>170</v>
      </c>
      <c r="CX359" s="30" t="s">
        <v>164</v>
      </c>
      <c r="CY359" s="77" t="s">
        <v>165</v>
      </c>
      <c r="CZ359" s="132" t="s">
        <v>166</v>
      </c>
      <c r="DA359" s="26" t="s">
        <v>167</v>
      </c>
      <c r="DB359" s="132" t="s">
        <v>168</v>
      </c>
      <c r="DC359" s="134" t="s">
        <v>169</v>
      </c>
      <c r="DD359" s="79" t="s">
        <v>170</v>
      </c>
      <c r="DG359" s="30" t="s">
        <v>164</v>
      </c>
      <c r="DH359" s="77" t="s">
        <v>165</v>
      </c>
      <c r="DI359" s="146" t="s">
        <v>166</v>
      </c>
      <c r="DJ359" s="26" t="s">
        <v>167</v>
      </c>
      <c r="DK359" s="146" t="s">
        <v>168</v>
      </c>
      <c r="DL359" s="153" t="s">
        <v>169</v>
      </c>
      <c r="DM359" s="79" t="s">
        <v>170</v>
      </c>
      <c r="DP359" s="30" t="s">
        <v>164</v>
      </c>
      <c r="DQ359" s="77" t="s">
        <v>165</v>
      </c>
      <c r="DR359" s="27" t="s">
        <v>166</v>
      </c>
      <c r="DS359" s="26" t="s">
        <v>167</v>
      </c>
      <c r="DT359" s="27" t="s">
        <v>168</v>
      </c>
      <c r="DU359" s="28" t="s">
        <v>169</v>
      </c>
      <c r="DV359" s="79" t="s">
        <v>170</v>
      </c>
      <c r="DY359" s="30" t="s">
        <v>164</v>
      </c>
      <c r="DZ359" s="77" t="s">
        <v>165</v>
      </c>
      <c r="EA359" s="156" t="s">
        <v>166</v>
      </c>
      <c r="EB359" s="26" t="s">
        <v>167</v>
      </c>
      <c r="EC359" s="156" t="s">
        <v>168</v>
      </c>
      <c r="ED359" s="158" t="s">
        <v>169</v>
      </c>
      <c r="EE359" s="79" t="s">
        <v>170</v>
      </c>
      <c r="EH359" s="30" t="s">
        <v>164</v>
      </c>
      <c r="EI359" s="77" t="s">
        <v>165</v>
      </c>
      <c r="EJ359" s="161" t="s">
        <v>166</v>
      </c>
      <c r="EK359" s="26" t="s">
        <v>167</v>
      </c>
      <c r="EL359" s="161" t="s">
        <v>168</v>
      </c>
      <c r="EM359" s="163" t="s">
        <v>169</v>
      </c>
      <c r="EN359" s="79" t="s">
        <v>170</v>
      </c>
      <c r="EQ359" s="30" t="s">
        <v>164</v>
      </c>
      <c r="ER359" s="77" t="s">
        <v>165</v>
      </c>
      <c r="ES359" s="167" t="s">
        <v>166</v>
      </c>
      <c r="ET359" s="26" t="s">
        <v>167</v>
      </c>
      <c r="EU359" s="167" t="s">
        <v>168</v>
      </c>
      <c r="EV359" s="169" t="s">
        <v>169</v>
      </c>
      <c r="EW359" s="79" t="s">
        <v>170</v>
      </c>
      <c r="EZ359" s="30" t="s">
        <v>164</v>
      </c>
      <c r="FA359" s="77" t="s">
        <v>165</v>
      </c>
      <c r="FB359" s="176" t="s">
        <v>166</v>
      </c>
      <c r="FC359" s="26" t="s">
        <v>167</v>
      </c>
      <c r="FD359" s="176" t="s">
        <v>168</v>
      </c>
      <c r="FE359" s="177" t="s">
        <v>169</v>
      </c>
      <c r="FF359" s="79" t="s">
        <v>170</v>
      </c>
      <c r="FI359" s="30" t="s">
        <v>164</v>
      </c>
      <c r="FJ359" s="77" t="s">
        <v>165</v>
      </c>
      <c r="FK359" s="181" t="s">
        <v>166</v>
      </c>
      <c r="FL359" s="26" t="s">
        <v>167</v>
      </c>
      <c r="FM359" s="181" t="s">
        <v>168</v>
      </c>
      <c r="FN359" s="182" t="s">
        <v>169</v>
      </c>
      <c r="FO359" s="79" t="s">
        <v>170</v>
      </c>
      <c r="FR359" s="30" t="s">
        <v>164</v>
      </c>
      <c r="FS359" s="77" t="s">
        <v>165</v>
      </c>
      <c r="FT359" s="185" t="s">
        <v>166</v>
      </c>
      <c r="FU359" s="26" t="s">
        <v>167</v>
      </c>
      <c r="FV359" s="185" t="s">
        <v>168</v>
      </c>
      <c r="FW359" s="187" t="s">
        <v>169</v>
      </c>
      <c r="FX359" s="79" t="s">
        <v>170</v>
      </c>
      <c r="GA359" s="30" t="s">
        <v>164</v>
      </c>
      <c r="GB359" s="77" t="s">
        <v>165</v>
      </c>
      <c r="GC359" s="128" t="s">
        <v>166</v>
      </c>
      <c r="GD359" s="26" t="s">
        <v>167</v>
      </c>
      <c r="GE359" s="128" t="s">
        <v>168</v>
      </c>
      <c r="GF359" s="200" t="s">
        <v>169</v>
      </c>
      <c r="GG359" s="79" t="s">
        <v>170</v>
      </c>
      <c r="GJ359" s="30" t="s">
        <v>164</v>
      </c>
      <c r="GK359" s="77" t="s">
        <v>165</v>
      </c>
      <c r="GL359" s="197" t="s">
        <v>166</v>
      </c>
      <c r="GM359" s="26" t="s">
        <v>167</v>
      </c>
      <c r="GN359" s="197" t="s">
        <v>168</v>
      </c>
      <c r="GO359" s="198" t="s">
        <v>169</v>
      </c>
      <c r="GP359" s="79" t="s">
        <v>170</v>
      </c>
      <c r="GS359" s="30" t="s">
        <v>164</v>
      </c>
      <c r="GT359" s="77" t="s">
        <v>165</v>
      </c>
      <c r="GU359" s="193" t="s">
        <v>166</v>
      </c>
      <c r="GV359" s="26" t="s">
        <v>167</v>
      </c>
      <c r="GW359" s="193" t="s">
        <v>168</v>
      </c>
      <c r="GX359" s="194" t="s">
        <v>169</v>
      </c>
      <c r="GY359" s="79" t="s">
        <v>170</v>
      </c>
      <c r="HB359" s="30" t="s">
        <v>164</v>
      </c>
      <c r="HC359" s="77" t="s">
        <v>165</v>
      </c>
      <c r="HD359" s="189" t="s">
        <v>166</v>
      </c>
      <c r="HE359" s="26" t="s">
        <v>167</v>
      </c>
      <c r="HF359" s="189" t="s">
        <v>168</v>
      </c>
      <c r="HG359" s="190" t="s">
        <v>169</v>
      </c>
      <c r="HH359" s="79" t="s">
        <v>170</v>
      </c>
      <c r="HK359" s="30" t="s">
        <v>164</v>
      </c>
      <c r="HL359" s="77" t="s">
        <v>165</v>
      </c>
      <c r="HM359" s="41" t="s">
        <v>166</v>
      </c>
      <c r="HN359" s="26" t="s">
        <v>167</v>
      </c>
      <c r="HO359" s="41" t="s">
        <v>168</v>
      </c>
      <c r="HP359" s="42" t="s">
        <v>169</v>
      </c>
      <c r="HQ359" s="79" t="s">
        <v>170</v>
      </c>
      <c r="HU359" s="30" t="s">
        <v>164</v>
      </c>
      <c r="HV359" s="77" t="s">
        <v>165</v>
      </c>
      <c r="HW359" s="241" t="s">
        <v>166</v>
      </c>
      <c r="HX359" s="26" t="s">
        <v>167</v>
      </c>
      <c r="HY359" s="241" t="s">
        <v>168</v>
      </c>
      <c r="HZ359" s="243" t="s">
        <v>169</v>
      </c>
      <c r="IA359" s="79" t="s">
        <v>170</v>
      </c>
      <c r="ID359" s="30" t="s">
        <v>164</v>
      </c>
      <c r="IE359" s="77" t="s">
        <v>165</v>
      </c>
      <c r="IF359" s="241" t="s">
        <v>166</v>
      </c>
      <c r="IG359" s="26" t="s">
        <v>167</v>
      </c>
      <c r="IH359" s="241" t="s">
        <v>168</v>
      </c>
      <c r="II359" s="243" t="s">
        <v>169</v>
      </c>
      <c r="IJ359" s="79" t="s">
        <v>170</v>
      </c>
      <c r="IM359" s="30" t="s">
        <v>164</v>
      </c>
      <c r="IN359" s="77" t="s">
        <v>165</v>
      </c>
      <c r="IO359" s="241" t="s">
        <v>166</v>
      </c>
      <c r="IP359" s="26" t="s">
        <v>167</v>
      </c>
      <c r="IQ359" s="241" t="s">
        <v>168</v>
      </c>
      <c r="IR359" s="243" t="s">
        <v>169</v>
      </c>
      <c r="IS359" s="79" t="s">
        <v>170</v>
      </c>
      <c r="IV359" s="30" t="s">
        <v>164</v>
      </c>
      <c r="IW359" s="77" t="s">
        <v>165</v>
      </c>
      <c r="IX359" s="241" t="s">
        <v>166</v>
      </c>
      <c r="IY359" s="26" t="s">
        <v>167</v>
      </c>
      <c r="IZ359" s="241" t="s">
        <v>168</v>
      </c>
      <c r="JA359" s="243" t="s">
        <v>169</v>
      </c>
      <c r="JB359" s="79" t="s">
        <v>170</v>
      </c>
      <c r="JE359" s="30" t="s">
        <v>164</v>
      </c>
      <c r="JF359" s="77" t="s">
        <v>165</v>
      </c>
      <c r="JG359" s="241" t="s">
        <v>166</v>
      </c>
      <c r="JH359" s="26" t="s">
        <v>167</v>
      </c>
      <c r="JI359" s="241" t="s">
        <v>168</v>
      </c>
      <c r="JJ359" s="243" t="s">
        <v>169</v>
      </c>
      <c r="JK359" s="79" t="s">
        <v>170</v>
      </c>
      <c r="JN359" s="30" t="s">
        <v>164</v>
      </c>
      <c r="JO359" s="77" t="s">
        <v>165</v>
      </c>
      <c r="JP359" s="241" t="s">
        <v>166</v>
      </c>
      <c r="JQ359" s="26" t="s">
        <v>167</v>
      </c>
      <c r="JR359" s="241" t="s">
        <v>168</v>
      </c>
      <c r="JS359" s="243" t="s">
        <v>169</v>
      </c>
      <c r="JT359" s="79" t="s">
        <v>170</v>
      </c>
      <c r="JW359" s="30" t="s">
        <v>164</v>
      </c>
      <c r="JX359" s="77" t="s">
        <v>165</v>
      </c>
      <c r="JY359" s="241" t="s">
        <v>166</v>
      </c>
      <c r="JZ359" s="26" t="s">
        <v>167</v>
      </c>
      <c r="KA359" s="241" t="s">
        <v>168</v>
      </c>
      <c r="KB359" s="243" t="s">
        <v>169</v>
      </c>
      <c r="KC359" s="79" t="s">
        <v>170</v>
      </c>
      <c r="KF359" s="30" t="s">
        <v>164</v>
      </c>
      <c r="KG359" s="77" t="s">
        <v>165</v>
      </c>
      <c r="KH359" s="241" t="s">
        <v>166</v>
      </c>
      <c r="KI359" s="26" t="s">
        <v>167</v>
      </c>
      <c r="KJ359" s="241" t="s">
        <v>168</v>
      </c>
      <c r="KK359" s="243" t="s">
        <v>169</v>
      </c>
      <c r="KL359" s="79" t="s">
        <v>170</v>
      </c>
      <c r="KO359" s="30" t="s">
        <v>164</v>
      </c>
      <c r="KP359" s="77" t="s">
        <v>165</v>
      </c>
      <c r="KQ359" s="241" t="s">
        <v>166</v>
      </c>
      <c r="KR359" s="26" t="s">
        <v>167</v>
      </c>
      <c r="KS359" s="241" t="s">
        <v>168</v>
      </c>
      <c r="KT359" s="243" t="s">
        <v>169</v>
      </c>
      <c r="KU359" s="79" t="s">
        <v>170</v>
      </c>
      <c r="KX359" s="30" t="s">
        <v>164</v>
      </c>
      <c r="KY359" s="77" t="s">
        <v>165</v>
      </c>
      <c r="KZ359" s="241" t="s">
        <v>166</v>
      </c>
      <c r="LA359" s="26" t="s">
        <v>167</v>
      </c>
      <c r="LB359" s="241" t="s">
        <v>168</v>
      </c>
      <c r="LC359" s="243" t="s">
        <v>169</v>
      </c>
      <c r="LD359" s="79" t="s">
        <v>170</v>
      </c>
      <c r="LG359" s="30" t="s">
        <v>164</v>
      </c>
      <c r="LH359" s="77" t="s">
        <v>165</v>
      </c>
      <c r="LI359" s="241" t="s">
        <v>166</v>
      </c>
      <c r="LJ359" s="26" t="s">
        <v>167</v>
      </c>
      <c r="LK359" s="241" t="s">
        <v>168</v>
      </c>
      <c r="LL359" s="243" t="s">
        <v>169</v>
      </c>
      <c r="LM359" s="79" t="s">
        <v>170</v>
      </c>
      <c r="LP359" s="30" t="s">
        <v>164</v>
      </c>
      <c r="LQ359" s="77" t="s">
        <v>165</v>
      </c>
      <c r="LR359" s="241" t="s">
        <v>166</v>
      </c>
      <c r="LS359" s="26" t="s">
        <v>167</v>
      </c>
      <c r="LT359" s="241" t="s">
        <v>168</v>
      </c>
      <c r="LU359" s="243" t="s">
        <v>169</v>
      </c>
      <c r="LV359" s="79" t="s">
        <v>170</v>
      </c>
      <c r="LY359" s="30" t="s">
        <v>164</v>
      </c>
      <c r="LZ359" s="77" t="s">
        <v>165</v>
      </c>
      <c r="MA359" s="241" t="s">
        <v>166</v>
      </c>
      <c r="MB359" s="26" t="s">
        <v>167</v>
      </c>
      <c r="MC359" s="241" t="s">
        <v>168</v>
      </c>
      <c r="MD359" s="243" t="s">
        <v>169</v>
      </c>
      <c r="ME359" s="79" t="s">
        <v>170</v>
      </c>
      <c r="MH359" s="30" t="s">
        <v>164</v>
      </c>
      <c r="MI359" s="77" t="s">
        <v>165</v>
      </c>
      <c r="MJ359" s="241" t="s">
        <v>166</v>
      </c>
      <c r="MK359" s="26" t="s">
        <v>167</v>
      </c>
      <c r="ML359" s="241" t="s">
        <v>168</v>
      </c>
      <c r="MM359" s="243" t="s">
        <v>169</v>
      </c>
      <c r="MN359" s="79" t="s">
        <v>170</v>
      </c>
      <c r="MQ359" s="30" t="s">
        <v>164</v>
      </c>
      <c r="MR359" s="77" t="s">
        <v>165</v>
      </c>
      <c r="MS359" s="241" t="s">
        <v>166</v>
      </c>
      <c r="MT359" s="26" t="s">
        <v>167</v>
      </c>
      <c r="MU359" s="241" t="s">
        <v>168</v>
      </c>
      <c r="MV359" s="243" t="s">
        <v>169</v>
      </c>
      <c r="MW359" s="79" t="s">
        <v>170</v>
      </c>
      <c r="MZ359" s="30" t="s">
        <v>164</v>
      </c>
      <c r="NA359" s="77" t="s">
        <v>165</v>
      </c>
      <c r="NB359" s="241" t="s">
        <v>166</v>
      </c>
      <c r="NC359" s="26" t="s">
        <v>167</v>
      </c>
      <c r="ND359" s="241" t="s">
        <v>168</v>
      </c>
      <c r="NE359" s="243" t="s">
        <v>169</v>
      </c>
      <c r="NF359" s="79" t="s">
        <v>170</v>
      </c>
      <c r="NI359" s="30" t="s">
        <v>164</v>
      </c>
      <c r="NJ359" s="77" t="s">
        <v>165</v>
      </c>
      <c r="NK359" s="241" t="s">
        <v>166</v>
      </c>
      <c r="NL359" s="26" t="s">
        <v>167</v>
      </c>
      <c r="NM359" s="241" t="s">
        <v>168</v>
      </c>
      <c r="NN359" s="243" t="s">
        <v>169</v>
      </c>
      <c r="NO359" s="79" t="s">
        <v>170</v>
      </c>
      <c r="NR359" s="30" t="s">
        <v>164</v>
      </c>
      <c r="NS359" s="77" t="s">
        <v>165</v>
      </c>
      <c r="NT359" s="241" t="s">
        <v>166</v>
      </c>
      <c r="NU359" s="26" t="s">
        <v>167</v>
      </c>
      <c r="NV359" s="241" t="s">
        <v>168</v>
      </c>
      <c r="NW359" s="243" t="s">
        <v>169</v>
      </c>
      <c r="NX359" s="79" t="s">
        <v>170</v>
      </c>
      <c r="OA359" s="30" t="s">
        <v>164</v>
      </c>
      <c r="OB359" s="77" t="s">
        <v>165</v>
      </c>
      <c r="OC359" s="241" t="s">
        <v>166</v>
      </c>
      <c r="OD359" s="26" t="s">
        <v>167</v>
      </c>
      <c r="OE359" s="241" t="s">
        <v>168</v>
      </c>
      <c r="OF359" s="243" t="s">
        <v>169</v>
      </c>
      <c r="OG359" s="79" t="s">
        <v>170</v>
      </c>
      <c r="OJ359" s="30" t="s">
        <v>164</v>
      </c>
      <c r="OK359" s="77" t="s">
        <v>165</v>
      </c>
      <c r="OL359" s="241" t="s">
        <v>166</v>
      </c>
      <c r="OM359" s="26" t="s">
        <v>167</v>
      </c>
      <c r="ON359" s="241" t="s">
        <v>168</v>
      </c>
      <c r="OO359" s="243" t="s">
        <v>169</v>
      </c>
      <c r="OP359" s="79" t="s">
        <v>170</v>
      </c>
      <c r="OS359" s="30" t="s">
        <v>164</v>
      </c>
      <c r="OT359" s="77" t="s">
        <v>165</v>
      </c>
      <c r="OU359" s="241" t="s">
        <v>166</v>
      </c>
      <c r="OV359" s="26" t="s">
        <v>167</v>
      </c>
      <c r="OW359" s="241" t="s">
        <v>168</v>
      </c>
      <c r="OX359" s="243" t="s">
        <v>169</v>
      </c>
      <c r="OY359" s="79" t="s">
        <v>170</v>
      </c>
      <c r="PB359" s="30" t="s">
        <v>164</v>
      </c>
      <c r="PC359" s="77" t="s">
        <v>165</v>
      </c>
      <c r="PD359" s="241" t="s">
        <v>166</v>
      </c>
      <c r="PE359" s="26" t="s">
        <v>167</v>
      </c>
      <c r="PF359" s="241" t="s">
        <v>168</v>
      </c>
      <c r="PG359" s="243" t="s">
        <v>169</v>
      </c>
      <c r="PH359" s="79" t="s">
        <v>170</v>
      </c>
      <c r="PK359" s="30" t="s">
        <v>164</v>
      </c>
      <c r="PL359" s="77" t="s">
        <v>165</v>
      </c>
      <c r="PM359" s="241" t="s">
        <v>166</v>
      </c>
      <c r="PN359" s="26" t="s">
        <v>167</v>
      </c>
      <c r="PO359" s="241" t="s">
        <v>168</v>
      </c>
      <c r="PP359" s="243" t="s">
        <v>169</v>
      </c>
      <c r="PQ359" s="79" t="s">
        <v>170</v>
      </c>
      <c r="PT359" s="30" t="s">
        <v>164</v>
      </c>
      <c r="PU359" s="77" t="s">
        <v>165</v>
      </c>
      <c r="PV359" s="241" t="s">
        <v>166</v>
      </c>
      <c r="PW359" s="26" t="s">
        <v>167</v>
      </c>
      <c r="PX359" s="241" t="s">
        <v>168</v>
      </c>
      <c r="PY359" s="243" t="s">
        <v>169</v>
      </c>
      <c r="PZ359" s="79" t="s">
        <v>170</v>
      </c>
      <c r="QC359" s="30" t="s">
        <v>164</v>
      </c>
      <c r="QD359" s="77" t="s">
        <v>165</v>
      </c>
      <c r="QE359" s="241" t="s">
        <v>166</v>
      </c>
      <c r="QF359" s="26" t="s">
        <v>167</v>
      </c>
      <c r="QG359" s="241" t="s">
        <v>168</v>
      </c>
      <c r="QH359" s="243" t="s">
        <v>169</v>
      </c>
      <c r="QI359" s="79" t="s">
        <v>170</v>
      </c>
      <c r="QL359" s="30" t="s">
        <v>164</v>
      </c>
      <c r="QM359" s="77" t="s">
        <v>165</v>
      </c>
      <c r="QN359" s="241" t="s">
        <v>166</v>
      </c>
      <c r="QO359" s="26" t="s">
        <v>167</v>
      </c>
      <c r="QP359" s="241" t="s">
        <v>168</v>
      </c>
      <c r="QQ359" s="243" t="s">
        <v>169</v>
      </c>
      <c r="QR359" s="79" t="s">
        <v>170</v>
      </c>
      <c r="QU359" s="30" t="s">
        <v>164</v>
      </c>
      <c r="QV359" s="77" t="s">
        <v>165</v>
      </c>
      <c r="QW359" s="241" t="s">
        <v>166</v>
      </c>
      <c r="QX359" s="26" t="s">
        <v>167</v>
      </c>
      <c r="QY359" s="241" t="s">
        <v>168</v>
      </c>
      <c r="QZ359" s="243" t="s">
        <v>169</v>
      </c>
      <c r="RA359" s="79" t="s">
        <v>170</v>
      </c>
      <c r="RD359" s="30" t="s">
        <v>164</v>
      </c>
      <c r="RE359" s="77" t="s">
        <v>165</v>
      </c>
      <c r="RF359" s="241" t="s">
        <v>166</v>
      </c>
      <c r="RG359" s="26" t="s">
        <v>167</v>
      </c>
      <c r="RH359" s="241" t="s">
        <v>168</v>
      </c>
      <c r="RI359" s="243" t="s">
        <v>169</v>
      </c>
      <c r="RJ359" s="79" t="s">
        <v>170</v>
      </c>
      <c r="RM359" s="30" t="s">
        <v>164</v>
      </c>
      <c r="RN359" s="77" t="s">
        <v>165</v>
      </c>
      <c r="RO359" s="241" t="s">
        <v>166</v>
      </c>
      <c r="RP359" s="26" t="s">
        <v>167</v>
      </c>
      <c r="RQ359" s="241" t="s">
        <v>168</v>
      </c>
      <c r="RR359" s="243" t="s">
        <v>169</v>
      </c>
      <c r="RS359" s="79" t="s">
        <v>170</v>
      </c>
      <c r="RV359" s="30" t="s">
        <v>164</v>
      </c>
      <c r="RW359" s="77" t="s">
        <v>165</v>
      </c>
      <c r="RX359" s="241" t="s">
        <v>166</v>
      </c>
      <c r="RY359" s="26" t="s">
        <v>167</v>
      </c>
      <c r="RZ359" s="241" t="s">
        <v>168</v>
      </c>
      <c r="SA359" s="243" t="s">
        <v>169</v>
      </c>
      <c r="SB359" s="79" t="s">
        <v>170</v>
      </c>
      <c r="SE359" s="30" t="s">
        <v>164</v>
      </c>
      <c r="SF359" s="77" t="s">
        <v>165</v>
      </c>
      <c r="SG359" s="241" t="s">
        <v>166</v>
      </c>
      <c r="SH359" s="26" t="s">
        <v>167</v>
      </c>
      <c r="SI359" s="241" t="s">
        <v>168</v>
      </c>
      <c r="SJ359" s="243" t="s">
        <v>169</v>
      </c>
      <c r="SK359" s="79" t="s">
        <v>170</v>
      </c>
      <c r="SN359" s="30" t="s">
        <v>164</v>
      </c>
      <c r="SO359" s="77" t="s">
        <v>165</v>
      </c>
      <c r="SP359" s="241" t="s">
        <v>166</v>
      </c>
      <c r="SQ359" s="26" t="s">
        <v>167</v>
      </c>
      <c r="SR359" s="241" t="s">
        <v>168</v>
      </c>
      <c r="SS359" s="243" t="s">
        <v>169</v>
      </c>
      <c r="ST359" s="79" t="s">
        <v>170</v>
      </c>
      <c r="SW359" s="30" t="s">
        <v>164</v>
      </c>
      <c r="SX359" s="77" t="s">
        <v>165</v>
      </c>
      <c r="SY359" s="241" t="s">
        <v>166</v>
      </c>
      <c r="SZ359" s="26" t="s">
        <v>167</v>
      </c>
      <c r="TA359" s="241" t="s">
        <v>168</v>
      </c>
      <c r="TB359" s="243" t="s">
        <v>169</v>
      </c>
      <c r="TC359" s="79" t="s">
        <v>170</v>
      </c>
      <c r="TF359" s="30" t="s">
        <v>164</v>
      </c>
      <c r="TG359" s="77" t="s">
        <v>165</v>
      </c>
      <c r="TH359" s="241" t="s">
        <v>166</v>
      </c>
      <c r="TI359" s="26" t="s">
        <v>167</v>
      </c>
      <c r="TJ359" s="241" t="s">
        <v>168</v>
      </c>
      <c r="TK359" s="243" t="s">
        <v>169</v>
      </c>
      <c r="TL359" s="79" t="s">
        <v>170</v>
      </c>
      <c r="TO359" s="30" t="s">
        <v>164</v>
      </c>
      <c r="TP359" s="77" t="s">
        <v>165</v>
      </c>
      <c r="TQ359" s="241" t="s">
        <v>166</v>
      </c>
      <c r="TR359" s="26" t="s">
        <v>167</v>
      </c>
      <c r="TS359" s="241" t="s">
        <v>168</v>
      </c>
      <c r="TT359" s="243" t="s">
        <v>169</v>
      </c>
      <c r="TU359" s="79" t="s">
        <v>170</v>
      </c>
      <c r="TX359" s="30" t="s">
        <v>164</v>
      </c>
      <c r="TY359" s="77" t="s">
        <v>165</v>
      </c>
      <c r="TZ359" s="241" t="s">
        <v>166</v>
      </c>
      <c r="UA359" s="26" t="s">
        <v>167</v>
      </c>
      <c r="UB359" s="241" t="s">
        <v>168</v>
      </c>
      <c r="UC359" s="243" t="s">
        <v>169</v>
      </c>
      <c r="UD359" s="79" t="s">
        <v>170</v>
      </c>
      <c r="UG359" s="30" t="s">
        <v>164</v>
      </c>
      <c r="UH359" s="77" t="s">
        <v>165</v>
      </c>
      <c r="UI359" s="241" t="s">
        <v>166</v>
      </c>
      <c r="UJ359" s="26" t="s">
        <v>167</v>
      </c>
      <c r="UK359" s="241" t="s">
        <v>168</v>
      </c>
      <c r="UL359" s="243" t="s">
        <v>169</v>
      </c>
      <c r="UM359" s="79" t="s">
        <v>170</v>
      </c>
      <c r="UP359" s="30" t="s">
        <v>164</v>
      </c>
      <c r="UQ359" s="77" t="s">
        <v>165</v>
      </c>
      <c r="UR359" s="241" t="s">
        <v>166</v>
      </c>
      <c r="US359" s="26" t="s">
        <v>167</v>
      </c>
      <c r="UT359" s="241" t="s">
        <v>168</v>
      </c>
      <c r="UU359" s="243" t="s">
        <v>169</v>
      </c>
      <c r="UV359" s="79" t="s">
        <v>170</v>
      </c>
      <c r="UY359" s="30" t="s">
        <v>164</v>
      </c>
      <c r="UZ359" s="77" t="s">
        <v>165</v>
      </c>
      <c r="VA359" s="241" t="s">
        <v>166</v>
      </c>
      <c r="VB359" s="26" t="s">
        <v>167</v>
      </c>
      <c r="VC359" s="241" t="s">
        <v>168</v>
      </c>
      <c r="VD359" s="243" t="s">
        <v>169</v>
      </c>
      <c r="VE359" s="79" t="s">
        <v>170</v>
      </c>
      <c r="VH359" s="30" t="s">
        <v>164</v>
      </c>
      <c r="VI359" s="77" t="s">
        <v>165</v>
      </c>
      <c r="VJ359" s="241" t="s">
        <v>166</v>
      </c>
      <c r="VK359" s="26" t="s">
        <v>167</v>
      </c>
      <c r="VL359" s="241" t="s">
        <v>168</v>
      </c>
      <c r="VM359" s="243" t="s">
        <v>169</v>
      </c>
      <c r="VN359" s="79" t="s">
        <v>170</v>
      </c>
      <c r="VQ359" s="30" t="s">
        <v>164</v>
      </c>
      <c r="VR359" s="77" t="s">
        <v>165</v>
      </c>
      <c r="VS359" s="241" t="s">
        <v>166</v>
      </c>
      <c r="VT359" s="26" t="s">
        <v>167</v>
      </c>
      <c r="VU359" s="241" t="s">
        <v>168</v>
      </c>
      <c r="VV359" s="243" t="s">
        <v>169</v>
      </c>
      <c r="VW359" s="79" t="s">
        <v>170</v>
      </c>
      <c r="VZ359" s="30" t="s">
        <v>164</v>
      </c>
      <c r="WA359" s="77" t="s">
        <v>165</v>
      </c>
      <c r="WB359" s="241" t="s">
        <v>166</v>
      </c>
      <c r="WC359" s="26" t="s">
        <v>167</v>
      </c>
      <c r="WD359" s="241" t="s">
        <v>168</v>
      </c>
      <c r="WE359" s="243" t="s">
        <v>169</v>
      </c>
      <c r="WF359" s="79" t="s">
        <v>170</v>
      </c>
      <c r="WI359" s="30" t="s">
        <v>164</v>
      </c>
      <c r="WJ359" s="77" t="s">
        <v>165</v>
      </c>
      <c r="WK359" s="241" t="s">
        <v>166</v>
      </c>
      <c r="WL359" s="26" t="s">
        <v>167</v>
      </c>
      <c r="WM359" s="241" t="s">
        <v>168</v>
      </c>
      <c r="WN359" s="243" t="s">
        <v>169</v>
      </c>
      <c r="WO359" s="79" t="s">
        <v>170</v>
      </c>
      <c r="WR359" s="30" t="s">
        <v>164</v>
      </c>
      <c r="WS359" s="77" t="s">
        <v>165</v>
      </c>
      <c r="WT359" s="241" t="s">
        <v>166</v>
      </c>
      <c r="WU359" s="26" t="s">
        <v>167</v>
      </c>
      <c r="WV359" s="241" t="s">
        <v>168</v>
      </c>
      <c r="WW359" s="243" t="s">
        <v>169</v>
      </c>
      <c r="WX359" s="79" t="s">
        <v>170</v>
      </c>
      <c r="XA359" s="30" t="s">
        <v>164</v>
      </c>
      <c r="XB359" s="77" t="s">
        <v>165</v>
      </c>
      <c r="XC359" s="241" t="s">
        <v>166</v>
      </c>
      <c r="XD359" s="26" t="s">
        <v>167</v>
      </c>
      <c r="XE359" s="241" t="s">
        <v>168</v>
      </c>
      <c r="XF359" s="243" t="s">
        <v>169</v>
      </c>
      <c r="XG359" s="79" t="s">
        <v>170</v>
      </c>
      <c r="XJ359" s="30" t="s">
        <v>164</v>
      </c>
      <c r="XK359" s="77" t="s">
        <v>165</v>
      </c>
      <c r="XL359" s="241" t="s">
        <v>166</v>
      </c>
      <c r="XM359" s="26" t="s">
        <v>167</v>
      </c>
      <c r="XN359" s="241" t="s">
        <v>168</v>
      </c>
      <c r="XO359" s="243" t="s">
        <v>169</v>
      </c>
      <c r="XP359" s="79" t="s">
        <v>170</v>
      </c>
      <c r="XS359" s="30" t="s">
        <v>164</v>
      </c>
      <c r="XT359" s="77" t="s">
        <v>165</v>
      </c>
      <c r="XU359" s="241" t="s">
        <v>166</v>
      </c>
      <c r="XV359" s="26" t="s">
        <v>167</v>
      </c>
      <c r="XW359" s="241" t="s">
        <v>168</v>
      </c>
      <c r="XX359" s="243" t="s">
        <v>169</v>
      </c>
      <c r="XY359" s="79" t="s">
        <v>170</v>
      </c>
      <c r="YB359" s="30" t="s">
        <v>164</v>
      </c>
      <c r="YC359" s="77" t="s">
        <v>165</v>
      </c>
      <c r="YD359" s="241" t="s">
        <v>166</v>
      </c>
      <c r="YE359" s="26" t="s">
        <v>167</v>
      </c>
      <c r="YF359" s="241" t="s">
        <v>168</v>
      </c>
      <c r="YG359" s="243" t="s">
        <v>169</v>
      </c>
      <c r="YH359" s="79" t="s">
        <v>170</v>
      </c>
      <c r="YK359" s="30" t="s">
        <v>164</v>
      </c>
      <c r="YL359" s="77" t="s">
        <v>165</v>
      </c>
      <c r="YM359" s="241" t="s">
        <v>166</v>
      </c>
      <c r="YN359" s="26" t="s">
        <v>167</v>
      </c>
      <c r="YO359" s="241" t="s">
        <v>168</v>
      </c>
      <c r="YP359" s="243" t="s">
        <v>169</v>
      </c>
      <c r="YQ359" s="79" t="s">
        <v>170</v>
      </c>
      <c r="YT359" s="30" t="s">
        <v>164</v>
      </c>
      <c r="YU359" s="77" t="s">
        <v>165</v>
      </c>
      <c r="YV359" s="241" t="s">
        <v>166</v>
      </c>
      <c r="YW359" s="26" t="s">
        <v>167</v>
      </c>
      <c r="YX359" s="241" t="s">
        <v>168</v>
      </c>
      <c r="YY359" s="243" t="s">
        <v>169</v>
      </c>
      <c r="YZ359" s="79" t="s">
        <v>170</v>
      </c>
      <c r="ZC359" s="30" t="s">
        <v>164</v>
      </c>
      <c r="ZD359" s="77" t="s">
        <v>165</v>
      </c>
      <c r="ZE359" s="241" t="s">
        <v>166</v>
      </c>
      <c r="ZF359" s="26" t="s">
        <v>167</v>
      </c>
      <c r="ZG359" s="241" t="s">
        <v>168</v>
      </c>
      <c r="ZH359" s="243" t="s">
        <v>169</v>
      </c>
      <c r="ZI359" s="79" t="s">
        <v>170</v>
      </c>
      <c r="ZL359" s="30" t="s">
        <v>164</v>
      </c>
      <c r="ZM359" s="77" t="s">
        <v>165</v>
      </c>
      <c r="ZN359" s="241" t="s">
        <v>166</v>
      </c>
      <c r="ZO359" s="26" t="s">
        <v>167</v>
      </c>
      <c r="ZP359" s="241" t="s">
        <v>168</v>
      </c>
      <c r="ZQ359" s="243" t="s">
        <v>169</v>
      </c>
      <c r="ZR359" s="79" t="s">
        <v>170</v>
      </c>
      <c r="ZU359" s="30" t="s">
        <v>164</v>
      </c>
      <c r="ZV359" s="77" t="s">
        <v>165</v>
      </c>
      <c r="ZW359" s="241" t="s">
        <v>166</v>
      </c>
      <c r="ZX359" s="26" t="s">
        <v>167</v>
      </c>
      <c r="ZY359" s="241" t="s">
        <v>168</v>
      </c>
      <c r="ZZ359" s="243" t="s">
        <v>169</v>
      </c>
      <c r="AAA359" s="79" t="s">
        <v>170</v>
      </c>
      <c r="AAD359" s="30" t="s">
        <v>164</v>
      </c>
      <c r="AAE359" s="77" t="s">
        <v>165</v>
      </c>
      <c r="AAF359" s="241" t="s">
        <v>166</v>
      </c>
      <c r="AAG359" s="26" t="s">
        <v>167</v>
      </c>
      <c r="AAH359" s="241" t="s">
        <v>168</v>
      </c>
      <c r="AAI359" s="243" t="s">
        <v>169</v>
      </c>
      <c r="AAJ359" s="79" t="s">
        <v>170</v>
      </c>
      <c r="AAM359" s="30" t="s">
        <v>164</v>
      </c>
      <c r="AAN359" s="77" t="s">
        <v>165</v>
      </c>
      <c r="AAO359" s="241" t="s">
        <v>166</v>
      </c>
      <c r="AAP359" s="26" t="s">
        <v>167</v>
      </c>
      <c r="AAQ359" s="241" t="s">
        <v>168</v>
      </c>
      <c r="AAR359" s="243" t="s">
        <v>169</v>
      </c>
      <c r="AAS359" s="79" t="s">
        <v>170</v>
      </c>
      <c r="AAV359" s="30" t="s">
        <v>164</v>
      </c>
      <c r="AAW359" s="77" t="s">
        <v>165</v>
      </c>
      <c r="AAX359" s="241" t="s">
        <v>166</v>
      </c>
      <c r="AAY359" s="26" t="s">
        <v>167</v>
      </c>
      <c r="AAZ359" s="241" t="s">
        <v>168</v>
      </c>
      <c r="ABA359" s="243" t="s">
        <v>169</v>
      </c>
      <c r="ABB359" s="79" t="s">
        <v>170</v>
      </c>
      <c r="ABE359" s="30" t="s">
        <v>164</v>
      </c>
      <c r="ABF359" s="77" t="s">
        <v>165</v>
      </c>
      <c r="ABG359" s="241" t="s">
        <v>166</v>
      </c>
      <c r="ABH359" s="26" t="s">
        <v>167</v>
      </c>
      <c r="ABI359" s="241" t="s">
        <v>168</v>
      </c>
      <c r="ABJ359" s="243" t="s">
        <v>169</v>
      </c>
      <c r="ABK359" s="79" t="s">
        <v>170</v>
      </c>
    </row>
    <row r="360" spans="1:739" s="6" customFormat="1" ht="15" customHeight="1" outlineLevel="1" thickBot="1">
      <c r="B360" s="480"/>
      <c r="C360" s="49" t="s">
        <v>171</v>
      </c>
      <c r="D360" s="50" t="s">
        <v>172</v>
      </c>
      <c r="E360" s="50" t="s">
        <v>172</v>
      </c>
      <c r="F360" s="50" t="s">
        <v>172</v>
      </c>
      <c r="G360" s="51" t="s">
        <v>172</v>
      </c>
      <c r="H360" s="52">
        <f>H356</f>
        <v>236936.6</v>
      </c>
      <c r="I360" s="328"/>
      <c r="L360" s="49" t="s">
        <v>171</v>
      </c>
      <c r="M360" s="50" t="s">
        <v>172</v>
      </c>
      <c r="N360" s="50" t="s">
        <v>172</v>
      </c>
      <c r="O360" s="50" t="s">
        <v>172</v>
      </c>
      <c r="P360" s="51" t="s">
        <v>172</v>
      </c>
      <c r="Q360" s="52">
        <f>Q356</f>
        <v>53017.600000000071</v>
      </c>
      <c r="R360" s="53"/>
      <c r="U360" s="49" t="s">
        <v>171</v>
      </c>
      <c r="V360" s="50" t="s">
        <v>172</v>
      </c>
      <c r="W360" s="50" t="s">
        <v>172</v>
      </c>
      <c r="X360" s="50" t="s">
        <v>172</v>
      </c>
      <c r="Y360" s="51" t="s">
        <v>172</v>
      </c>
      <c r="Z360" s="52">
        <f>Z356</f>
        <v>42674.199999999968</v>
      </c>
      <c r="AA360" s="53"/>
      <c r="AD360" s="49" t="s">
        <v>171</v>
      </c>
      <c r="AE360" s="50" t="s">
        <v>172</v>
      </c>
      <c r="AF360" s="50" t="s">
        <v>172</v>
      </c>
      <c r="AG360" s="50" t="s">
        <v>172</v>
      </c>
      <c r="AH360" s="51" t="s">
        <v>172</v>
      </c>
      <c r="AI360" s="52">
        <f>AI356</f>
        <v>4522.2000000000189</v>
      </c>
      <c r="AJ360" s="53"/>
      <c r="AM360" s="49" t="s">
        <v>171</v>
      </c>
      <c r="AN360" s="429" t="s">
        <v>172</v>
      </c>
      <c r="AO360" s="429" t="s">
        <v>172</v>
      </c>
      <c r="AP360" s="429" t="s">
        <v>172</v>
      </c>
      <c r="AQ360" s="430" t="s">
        <v>172</v>
      </c>
      <c r="AR360" s="431">
        <f>AR356</f>
        <v>0</v>
      </c>
      <c r="AS360" s="53"/>
      <c r="AV360" s="49" t="s">
        <v>171</v>
      </c>
      <c r="AW360" s="50" t="s">
        <v>172</v>
      </c>
      <c r="AX360" s="50" t="s">
        <v>172</v>
      </c>
      <c r="AY360" s="50" t="s">
        <v>172</v>
      </c>
      <c r="AZ360" s="51" t="s">
        <v>172</v>
      </c>
      <c r="BA360" s="52">
        <f>BA356</f>
        <v>124.99999999999523</v>
      </c>
      <c r="BB360" s="53"/>
      <c r="BE360" s="49" t="s">
        <v>171</v>
      </c>
      <c r="BF360" s="50" t="s">
        <v>172</v>
      </c>
      <c r="BG360" s="50" t="s">
        <v>172</v>
      </c>
      <c r="BH360" s="50" t="s">
        <v>172</v>
      </c>
      <c r="BI360" s="51" t="s">
        <v>172</v>
      </c>
      <c r="BJ360" s="52">
        <f>BJ356</f>
        <v>26151.899999999998</v>
      </c>
      <c r="BK360" s="53"/>
      <c r="BN360" s="49" t="s">
        <v>171</v>
      </c>
      <c r="BO360" s="50" t="s">
        <v>172</v>
      </c>
      <c r="BP360" s="50" t="s">
        <v>172</v>
      </c>
      <c r="BQ360" s="50" t="s">
        <v>172</v>
      </c>
      <c r="BR360" s="51" t="s">
        <v>172</v>
      </c>
      <c r="BS360" s="52">
        <f>BS356</f>
        <v>0</v>
      </c>
      <c r="BT360" s="53"/>
      <c r="BW360" s="49" t="s">
        <v>171</v>
      </c>
      <c r="BX360" s="50" t="s">
        <v>172</v>
      </c>
      <c r="BY360" s="50" t="s">
        <v>172</v>
      </c>
      <c r="BZ360" s="50" t="s">
        <v>172</v>
      </c>
      <c r="CA360" s="51" t="s">
        <v>172</v>
      </c>
      <c r="CB360" s="52">
        <f>CB356</f>
        <v>2097.3399999999992</v>
      </c>
      <c r="CC360" s="53"/>
      <c r="CF360" s="49" t="s">
        <v>171</v>
      </c>
      <c r="CG360" s="50" t="s">
        <v>172</v>
      </c>
      <c r="CH360" s="50" t="s">
        <v>172</v>
      </c>
      <c r="CI360" s="50" t="s">
        <v>172</v>
      </c>
      <c r="CJ360" s="51" t="s">
        <v>172</v>
      </c>
      <c r="CK360" s="52">
        <f>CK356</f>
        <v>-10277.079999999998</v>
      </c>
      <c r="CL360" s="53"/>
      <c r="CO360" s="49" t="s">
        <v>171</v>
      </c>
      <c r="CP360" s="429" t="s">
        <v>172</v>
      </c>
      <c r="CQ360" s="429" t="s">
        <v>172</v>
      </c>
      <c r="CR360" s="429" t="s">
        <v>172</v>
      </c>
      <c r="CS360" s="430" t="s">
        <v>172</v>
      </c>
      <c r="CT360" s="431">
        <f>CT356</f>
        <v>0</v>
      </c>
      <c r="CU360" s="53"/>
      <c r="CX360" s="49" t="s">
        <v>171</v>
      </c>
      <c r="CY360" s="50" t="s">
        <v>172</v>
      </c>
      <c r="CZ360" s="50" t="s">
        <v>172</v>
      </c>
      <c r="DA360" s="50" t="s">
        <v>172</v>
      </c>
      <c r="DB360" s="51" t="s">
        <v>172</v>
      </c>
      <c r="DC360" s="52">
        <f>DC356</f>
        <v>27438.200000000012</v>
      </c>
      <c r="DD360" s="53"/>
      <c r="DG360" s="49" t="s">
        <v>171</v>
      </c>
      <c r="DH360" s="50" t="s">
        <v>172</v>
      </c>
      <c r="DI360" s="142" t="s">
        <v>172</v>
      </c>
      <c r="DJ360" s="50" t="s">
        <v>172</v>
      </c>
      <c r="DK360" s="143" t="s">
        <v>172</v>
      </c>
      <c r="DL360" s="144">
        <f>DL356</f>
        <v>18782.299999999981</v>
      </c>
      <c r="DM360" s="53"/>
      <c r="DP360" s="49" t="s">
        <v>171</v>
      </c>
      <c r="DQ360" s="50" t="s">
        <v>172</v>
      </c>
      <c r="DR360" s="50" t="s">
        <v>172</v>
      </c>
      <c r="DS360" s="50" t="s">
        <v>172</v>
      </c>
      <c r="DT360" s="51" t="s">
        <v>172</v>
      </c>
      <c r="DU360" s="52">
        <f>DU356</f>
        <v>5800</v>
      </c>
      <c r="DV360" s="53"/>
      <c r="DY360" s="49" t="s">
        <v>171</v>
      </c>
      <c r="DZ360" s="50" t="s">
        <v>172</v>
      </c>
      <c r="EA360" s="50" t="s">
        <v>172</v>
      </c>
      <c r="EB360" s="50" t="s">
        <v>172</v>
      </c>
      <c r="EC360" s="143" t="s">
        <v>172</v>
      </c>
      <c r="ED360" s="144">
        <f>ED356</f>
        <v>0</v>
      </c>
      <c r="EE360" s="53"/>
      <c r="EH360" s="49" t="s">
        <v>171</v>
      </c>
      <c r="EI360" s="50" t="s">
        <v>172</v>
      </c>
      <c r="EJ360" s="50" t="s">
        <v>172</v>
      </c>
      <c r="EK360" s="50" t="s">
        <v>172</v>
      </c>
      <c r="EL360" s="143" t="s">
        <v>172</v>
      </c>
      <c r="EM360" s="144">
        <f>EM356</f>
        <v>0</v>
      </c>
      <c r="EN360" s="53"/>
      <c r="EQ360" s="49" t="s">
        <v>171</v>
      </c>
      <c r="ER360" s="50" t="s">
        <v>172</v>
      </c>
      <c r="ES360" s="50" t="s">
        <v>172</v>
      </c>
      <c r="ET360" s="50" t="s">
        <v>172</v>
      </c>
      <c r="EU360" s="51" t="s">
        <v>172</v>
      </c>
      <c r="EV360" s="52">
        <f>EV356</f>
        <v>0</v>
      </c>
      <c r="EW360" s="53"/>
      <c r="EZ360" s="49" t="s">
        <v>171</v>
      </c>
      <c r="FA360" s="50" t="s">
        <v>172</v>
      </c>
      <c r="FB360" s="50" t="s">
        <v>172</v>
      </c>
      <c r="FC360" s="50" t="s">
        <v>172</v>
      </c>
      <c r="FD360" s="143" t="s">
        <v>172</v>
      </c>
      <c r="FE360" s="144">
        <f>FE356</f>
        <v>0</v>
      </c>
      <c r="FF360" s="53"/>
      <c r="FI360" s="49" t="s">
        <v>171</v>
      </c>
      <c r="FJ360" s="50" t="s">
        <v>172</v>
      </c>
      <c r="FK360" s="50" t="s">
        <v>172</v>
      </c>
      <c r="FL360" s="50" t="s">
        <v>172</v>
      </c>
      <c r="FM360" s="143" t="s">
        <v>172</v>
      </c>
      <c r="FN360" s="144">
        <f>FN356</f>
        <v>0</v>
      </c>
      <c r="FO360" s="53"/>
      <c r="FR360" s="49" t="s">
        <v>171</v>
      </c>
      <c r="FS360" s="50" t="s">
        <v>172</v>
      </c>
      <c r="FT360" s="50" t="s">
        <v>172</v>
      </c>
      <c r="FU360" s="50" t="s">
        <v>172</v>
      </c>
      <c r="FV360" s="143" t="s">
        <v>172</v>
      </c>
      <c r="FW360" s="144">
        <f>FW356</f>
        <v>2020</v>
      </c>
      <c r="FX360" s="53"/>
      <c r="GA360" s="49" t="s">
        <v>171</v>
      </c>
      <c r="GB360" s="50" t="s">
        <v>172</v>
      </c>
      <c r="GC360" s="50" t="s">
        <v>172</v>
      </c>
      <c r="GD360" s="50" t="s">
        <v>172</v>
      </c>
      <c r="GE360" s="143" t="s">
        <v>172</v>
      </c>
      <c r="GF360" s="144">
        <f>GF356</f>
        <v>960</v>
      </c>
      <c r="GG360" s="53"/>
      <c r="GI360" s="22"/>
      <c r="GJ360" s="49" t="s">
        <v>171</v>
      </c>
      <c r="GK360" s="50" t="s">
        <v>172</v>
      </c>
      <c r="GL360" s="50" t="s">
        <v>172</v>
      </c>
      <c r="GM360" s="50" t="s">
        <v>172</v>
      </c>
      <c r="GN360" s="143" t="s">
        <v>172</v>
      </c>
      <c r="GO360" s="144">
        <f>GO356</f>
        <v>1760</v>
      </c>
      <c r="GP360" s="53"/>
      <c r="GS360" s="49" t="s">
        <v>171</v>
      </c>
      <c r="GT360" s="50" t="s">
        <v>172</v>
      </c>
      <c r="GU360" s="50" t="s">
        <v>172</v>
      </c>
      <c r="GV360" s="50" t="s">
        <v>172</v>
      </c>
      <c r="GW360" s="143" t="s">
        <v>172</v>
      </c>
      <c r="GX360" s="144">
        <f>GX356</f>
        <v>400</v>
      </c>
      <c r="GY360" s="53"/>
      <c r="HB360" s="49" t="s">
        <v>171</v>
      </c>
      <c r="HC360" s="50" t="s">
        <v>172</v>
      </c>
      <c r="HD360" s="50" t="s">
        <v>172</v>
      </c>
      <c r="HE360" s="50" t="s">
        <v>172</v>
      </c>
      <c r="HF360" s="143" t="s">
        <v>172</v>
      </c>
      <c r="HG360" s="144">
        <f>HG356</f>
        <v>3600</v>
      </c>
      <c r="HH360" s="53"/>
      <c r="HK360" s="49" t="s">
        <v>171</v>
      </c>
      <c r="HL360" s="50" t="s">
        <v>172</v>
      </c>
      <c r="HM360" s="50" t="s">
        <v>172</v>
      </c>
      <c r="HN360" s="50" t="s">
        <v>172</v>
      </c>
      <c r="HO360" s="143" t="s">
        <v>172</v>
      </c>
      <c r="HP360" s="144">
        <f>HP356</f>
        <v>0</v>
      </c>
      <c r="HQ360" s="53"/>
      <c r="HU360" s="49" t="s">
        <v>171</v>
      </c>
      <c r="HV360" s="50" t="s">
        <v>172</v>
      </c>
      <c r="HW360" s="142" t="s">
        <v>172</v>
      </c>
      <c r="HX360" s="50" t="s">
        <v>172</v>
      </c>
      <c r="HY360" s="143" t="s">
        <v>172</v>
      </c>
      <c r="HZ360" s="144">
        <f>HZ356</f>
        <v>6120</v>
      </c>
      <c r="IA360" s="53"/>
      <c r="ID360" s="49" t="s">
        <v>171</v>
      </c>
      <c r="IE360" s="50" t="s">
        <v>172</v>
      </c>
      <c r="IF360" s="142" t="s">
        <v>172</v>
      </c>
      <c r="IG360" s="50" t="s">
        <v>172</v>
      </c>
      <c r="IH360" s="143" t="s">
        <v>172</v>
      </c>
      <c r="II360" s="144">
        <f>II356</f>
        <v>0</v>
      </c>
      <c r="IJ360" s="53"/>
      <c r="IM360" s="49" t="s">
        <v>171</v>
      </c>
      <c r="IN360" s="50" t="s">
        <v>172</v>
      </c>
      <c r="IO360" s="142" t="s">
        <v>172</v>
      </c>
      <c r="IP360" s="50" t="s">
        <v>172</v>
      </c>
      <c r="IQ360" s="143" t="s">
        <v>172</v>
      </c>
      <c r="IR360" s="144">
        <f>IR356</f>
        <v>0</v>
      </c>
      <c r="IS360" s="53"/>
      <c r="IV360" s="49" t="s">
        <v>171</v>
      </c>
      <c r="IW360" s="50" t="s">
        <v>172</v>
      </c>
      <c r="IX360" s="142" t="s">
        <v>172</v>
      </c>
      <c r="IY360" s="142" t="s">
        <v>172</v>
      </c>
      <c r="IZ360" s="143" t="s">
        <v>172</v>
      </c>
      <c r="JA360" s="144">
        <f>JA356</f>
        <v>2820</v>
      </c>
      <c r="JB360" s="53"/>
      <c r="JE360" s="49" t="s">
        <v>171</v>
      </c>
      <c r="JF360" s="50" t="s">
        <v>172</v>
      </c>
      <c r="JG360" s="142" t="s">
        <v>172</v>
      </c>
      <c r="JH360" s="142" t="s">
        <v>172</v>
      </c>
      <c r="JI360" s="143" t="s">
        <v>172</v>
      </c>
      <c r="JJ360" s="144">
        <f>JJ356</f>
        <v>0</v>
      </c>
      <c r="JK360" s="53"/>
      <c r="JN360" s="49" t="s">
        <v>171</v>
      </c>
      <c r="JO360" s="50" t="s">
        <v>172</v>
      </c>
      <c r="JP360" s="142" t="s">
        <v>172</v>
      </c>
      <c r="JQ360" s="142" t="s">
        <v>172</v>
      </c>
      <c r="JR360" s="143" t="s">
        <v>172</v>
      </c>
      <c r="JS360" s="144">
        <f>JS356</f>
        <v>0</v>
      </c>
      <c r="JT360" s="53"/>
      <c r="JW360" s="49" t="s">
        <v>171</v>
      </c>
      <c r="JX360" s="50" t="s">
        <v>172</v>
      </c>
      <c r="JY360" s="142" t="s">
        <v>172</v>
      </c>
      <c r="JZ360" s="142" t="s">
        <v>172</v>
      </c>
      <c r="KA360" s="143" t="s">
        <v>172</v>
      </c>
      <c r="KB360" s="144">
        <f>KB356</f>
        <v>2540</v>
      </c>
      <c r="KC360" s="53"/>
      <c r="KF360" s="49" t="s">
        <v>171</v>
      </c>
      <c r="KG360" s="50" t="s">
        <v>172</v>
      </c>
      <c r="KH360" s="142" t="s">
        <v>172</v>
      </c>
      <c r="KI360" s="50" t="s">
        <v>172</v>
      </c>
      <c r="KJ360" s="143" t="s">
        <v>172</v>
      </c>
      <c r="KK360" s="144">
        <f>KK356</f>
        <v>2359.5</v>
      </c>
      <c r="KL360" s="53"/>
      <c r="KO360" s="49" t="s">
        <v>171</v>
      </c>
      <c r="KP360" s="50" t="s">
        <v>172</v>
      </c>
      <c r="KQ360" s="142" t="s">
        <v>172</v>
      </c>
      <c r="KR360" s="50" t="s">
        <v>172</v>
      </c>
      <c r="KS360" s="143" t="s">
        <v>172</v>
      </c>
      <c r="KT360" s="144">
        <f>KT356</f>
        <v>1890</v>
      </c>
      <c r="KU360" s="53"/>
      <c r="KW360" s="22"/>
      <c r="KX360" s="49" t="s">
        <v>171</v>
      </c>
      <c r="KY360" s="50" t="s">
        <v>172</v>
      </c>
      <c r="KZ360" s="142" t="s">
        <v>172</v>
      </c>
      <c r="LA360" s="50" t="s">
        <v>172</v>
      </c>
      <c r="LB360" s="143" t="s">
        <v>172</v>
      </c>
      <c r="LC360" s="144">
        <f>LC356</f>
        <v>3690</v>
      </c>
      <c r="LD360" s="53"/>
      <c r="LG360" s="49" t="s">
        <v>171</v>
      </c>
      <c r="LH360" s="50" t="s">
        <v>172</v>
      </c>
      <c r="LI360" s="142" t="s">
        <v>172</v>
      </c>
      <c r="LJ360" s="142" t="s">
        <v>172</v>
      </c>
      <c r="LK360" s="143" t="s">
        <v>172</v>
      </c>
      <c r="LL360" s="144">
        <f>LL356</f>
        <v>4000</v>
      </c>
      <c r="LM360" s="53"/>
      <c r="LP360" s="49" t="s">
        <v>171</v>
      </c>
      <c r="LQ360" s="50" t="s">
        <v>172</v>
      </c>
      <c r="LR360" s="142" t="s">
        <v>172</v>
      </c>
      <c r="LS360" s="50" t="s">
        <v>172</v>
      </c>
      <c r="LT360" s="143" t="s">
        <v>172</v>
      </c>
      <c r="LU360" s="144">
        <f>LU356</f>
        <v>0</v>
      </c>
      <c r="LV360" s="53"/>
      <c r="LY360" s="49" t="s">
        <v>171</v>
      </c>
      <c r="LZ360" s="50" t="s">
        <v>172</v>
      </c>
      <c r="MA360" s="142" t="s">
        <v>172</v>
      </c>
      <c r="MB360" s="142" t="s">
        <v>172</v>
      </c>
      <c r="MC360" s="143" t="s">
        <v>172</v>
      </c>
      <c r="MD360" s="144">
        <f>MD356</f>
        <v>0</v>
      </c>
      <c r="ME360" s="53"/>
      <c r="MH360" s="49" t="s">
        <v>171</v>
      </c>
      <c r="MI360" s="50" t="s">
        <v>172</v>
      </c>
      <c r="MJ360" s="142" t="s">
        <v>172</v>
      </c>
      <c r="MK360" s="142" t="s">
        <v>172</v>
      </c>
      <c r="ML360" s="143" t="s">
        <v>172</v>
      </c>
      <c r="MM360" s="144">
        <f>MM356</f>
        <v>0</v>
      </c>
      <c r="MN360" s="53"/>
      <c r="MQ360" s="49" t="s">
        <v>171</v>
      </c>
      <c r="MR360" s="50" t="s">
        <v>172</v>
      </c>
      <c r="MS360" s="142" t="s">
        <v>172</v>
      </c>
      <c r="MT360" s="142" t="s">
        <v>172</v>
      </c>
      <c r="MU360" s="143" t="s">
        <v>172</v>
      </c>
      <c r="MV360" s="144">
        <f>MV356</f>
        <v>1625</v>
      </c>
      <c r="MW360" s="53"/>
      <c r="MZ360" s="49" t="s">
        <v>171</v>
      </c>
      <c r="NA360" s="50" t="s">
        <v>172</v>
      </c>
      <c r="NB360" s="142" t="s">
        <v>172</v>
      </c>
      <c r="NC360" s="142" t="s">
        <v>172</v>
      </c>
      <c r="ND360" s="143" t="s">
        <v>172</v>
      </c>
      <c r="NE360" s="144">
        <f>NE355</f>
        <v>0</v>
      </c>
      <c r="NF360" s="53"/>
      <c r="NI360" s="49" t="s">
        <v>171</v>
      </c>
      <c r="NJ360" s="50" t="s">
        <v>172</v>
      </c>
      <c r="NK360" s="142" t="s">
        <v>172</v>
      </c>
      <c r="NL360" s="50" t="s">
        <v>172</v>
      </c>
      <c r="NM360" s="143" t="s">
        <v>172</v>
      </c>
      <c r="NN360" s="144">
        <f>NN356</f>
        <v>1127</v>
      </c>
      <c r="NO360" s="53"/>
      <c r="NR360" s="49" t="s">
        <v>171</v>
      </c>
      <c r="NS360" s="50" t="s">
        <v>172</v>
      </c>
      <c r="NT360" s="142" t="s">
        <v>172</v>
      </c>
      <c r="NU360" s="50" t="s">
        <v>172</v>
      </c>
      <c r="NV360" s="143" t="s">
        <v>172</v>
      </c>
      <c r="NW360" s="144">
        <f>NW356</f>
        <v>3111.9999999999995</v>
      </c>
      <c r="NX360" s="53"/>
      <c r="OA360" s="49" t="s">
        <v>171</v>
      </c>
      <c r="OB360" s="50" t="s">
        <v>172</v>
      </c>
      <c r="OC360" s="142" t="s">
        <v>172</v>
      </c>
      <c r="OD360" s="142" t="s">
        <v>172</v>
      </c>
      <c r="OE360" s="143" t="s">
        <v>172</v>
      </c>
      <c r="OF360" s="144">
        <f>OF356</f>
        <v>1680.5</v>
      </c>
      <c r="OG360" s="53"/>
      <c r="OJ360" s="49" t="s">
        <v>171</v>
      </c>
      <c r="OK360" s="50" t="s">
        <v>172</v>
      </c>
      <c r="OL360" s="142" t="s">
        <v>172</v>
      </c>
      <c r="OM360" s="142" t="s">
        <v>172</v>
      </c>
      <c r="ON360" s="143" t="s">
        <v>172</v>
      </c>
      <c r="OO360" s="144">
        <f>OO356</f>
        <v>0</v>
      </c>
      <c r="OP360" s="53"/>
      <c r="OS360" s="49" t="s">
        <v>171</v>
      </c>
      <c r="OT360" s="50" t="s">
        <v>172</v>
      </c>
      <c r="OU360" s="142" t="s">
        <v>172</v>
      </c>
      <c r="OV360" s="142" t="s">
        <v>172</v>
      </c>
      <c r="OW360" s="143" t="s">
        <v>172</v>
      </c>
      <c r="OX360" s="144">
        <f>OX356</f>
        <v>1482</v>
      </c>
      <c r="OY360" s="53"/>
      <c r="PB360" s="49" t="s">
        <v>171</v>
      </c>
      <c r="PC360" s="50" t="s">
        <v>172</v>
      </c>
      <c r="PD360" s="142" t="s">
        <v>172</v>
      </c>
      <c r="PE360" s="142" t="s">
        <v>172</v>
      </c>
      <c r="PF360" s="143" t="s">
        <v>172</v>
      </c>
      <c r="PG360" s="144">
        <f>PG356</f>
        <v>0</v>
      </c>
      <c r="PH360" s="53"/>
      <c r="PK360" s="49" t="s">
        <v>171</v>
      </c>
      <c r="PL360" s="50" t="s">
        <v>172</v>
      </c>
      <c r="PM360" s="142" t="s">
        <v>172</v>
      </c>
      <c r="PN360" s="142" t="s">
        <v>172</v>
      </c>
      <c r="PO360" s="143" t="s">
        <v>172</v>
      </c>
      <c r="PP360" s="144">
        <f>PP356</f>
        <v>100</v>
      </c>
      <c r="PQ360" s="53"/>
      <c r="PT360" s="49" t="s">
        <v>171</v>
      </c>
      <c r="PU360" s="50" t="s">
        <v>172</v>
      </c>
      <c r="PV360" s="142" t="s">
        <v>172</v>
      </c>
      <c r="PW360" s="142" t="s">
        <v>172</v>
      </c>
      <c r="PX360" s="143" t="s">
        <v>172</v>
      </c>
      <c r="PY360" s="144">
        <f>PY356</f>
        <v>13.960000000000036</v>
      </c>
      <c r="PZ360" s="53"/>
      <c r="QC360" s="49" t="s">
        <v>171</v>
      </c>
      <c r="QD360" s="50" t="s">
        <v>172</v>
      </c>
      <c r="QE360" s="142" t="s">
        <v>172</v>
      </c>
      <c r="QF360" s="142" t="s">
        <v>172</v>
      </c>
      <c r="QG360" s="143" t="s">
        <v>172</v>
      </c>
      <c r="QH360" s="144">
        <f>QH356</f>
        <v>548</v>
      </c>
      <c r="QI360" s="53"/>
      <c r="QL360" s="49" t="s">
        <v>171</v>
      </c>
      <c r="QM360" s="50" t="s">
        <v>172</v>
      </c>
      <c r="QN360" s="142" t="s">
        <v>172</v>
      </c>
      <c r="QO360" s="142" t="s">
        <v>172</v>
      </c>
      <c r="QP360" s="143" t="s">
        <v>172</v>
      </c>
      <c r="QQ360" s="144">
        <f>QQ356</f>
        <v>0</v>
      </c>
      <c r="QR360" s="53"/>
      <c r="QU360" s="49" t="s">
        <v>171</v>
      </c>
      <c r="QV360" s="50" t="s">
        <v>172</v>
      </c>
      <c r="QW360" s="142" t="s">
        <v>172</v>
      </c>
      <c r="QX360" s="142" t="s">
        <v>172</v>
      </c>
      <c r="QY360" s="143" t="s">
        <v>172</v>
      </c>
      <c r="QZ360" s="144">
        <f>QZ356</f>
        <v>0</v>
      </c>
      <c r="RA360" s="53"/>
      <c r="RD360" s="49" t="s">
        <v>171</v>
      </c>
      <c r="RE360" s="50" t="s">
        <v>172</v>
      </c>
      <c r="RF360" s="142" t="s">
        <v>172</v>
      </c>
      <c r="RG360" s="142" t="s">
        <v>172</v>
      </c>
      <c r="RH360" s="143" t="s">
        <v>172</v>
      </c>
      <c r="RI360" s="144">
        <f>RI356</f>
        <v>147.04000000000002</v>
      </c>
      <c r="RJ360" s="53"/>
      <c r="RM360" s="49" t="s">
        <v>171</v>
      </c>
      <c r="RN360" s="50" t="s">
        <v>172</v>
      </c>
      <c r="RO360" s="142" t="s">
        <v>172</v>
      </c>
      <c r="RP360" s="142" t="s">
        <v>172</v>
      </c>
      <c r="RQ360" s="143" t="s">
        <v>172</v>
      </c>
      <c r="RR360" s="144">
        <f>RR356</f>
        <v>46.8</v>
      </c>
      <c r="RS360" s="53"/>
      <c r="RV360" s="49" t="s">
        <v>171</v>
      </c>
      <c r="RW360" s="50" t="s">
        <v>172</v>
      </c>
      <c r="RX360" s="142" t="s">
        <v>172</v>
      </c>
      <c r="RY360" s="142" t="s">
        <v>172</v>
      </c>
      <c r="RZ360" s="143" t="s">
        <v>172</v>
      </c>
      <c r="SA360" s="144">
        <f>SA356</f>
        <v>0</v>
      </c>
      <c r="SB360" s="53"/>
      <c r="SE360" s="49" t="s">
        <v>171</v>
      </c>
      <c r="SF360" s="50" t="s">
        <v>172</v>
      </c>
      <c r="SG360" s="142" t="s">
        <v>172</v>
      </c>
      <c r="SH360" s="142" t="s">
        <v>172</v>
      </c>
      <c r="SI360" s="143" t="s">
        <v>172</v>
      </c>
      <c r="SJ360" s="144">
        <f>SJ356</f>
        <v>24.200000000000003</v>
      </c>
      <c r="SK360" s="53"/>
      <c r="SN360" s="49" t="s">
        <v>171</v>
      </c>
      <c r="SO360" s="50" t="s">
        <v>172</v>
      </c>
      <c r="SP360" s="142" t="s">
        <v>172</v>
      </c>
      <c r="SQ360" s="142" t="s">
        <v>172</v>
      </c>
      <c r="SR360" s="143" t="s">
        <v>172</v>
      </c>
      <c r="SS360" s="144">
        <f>SS356</f>
        <v>32</v>
      </c>
      <c r="ST360" s="53"/>
      <c r="SW360" s="49" t="s">
        <v>171</v>
      </c>
      <c r="SX360" s="50" t="s">
        <v>172</v>
      </c>
      <c r="SY360" s="142" t="s">
        <v>172</v>
      </c>
      <c r="SZ360" s="142" t="s">
        <v>172</v>
      </c>
      <c r="TA360" s="143" t="s">
        <v>172</v>
      </c>
      <c r="TB360" s="144">
        <f>TB356</f>
        <v>0</v>
      </c>
      <c r="TC360" s="53"/>
      <c r="TF360" s="49" t="s">
        <v>171</v>
      </c>
      <c r="TG360" s="50" t="s">
        <v>172</v>
      </c>
      <c r="TH360" s="142" t="s">
        <v>172</v>
      </c>
      <c r="TI360" s="142" t="s">
        <v>172</v>
      </c>
      <c r="TJ360" s="143" t="s">
        <v>172</v>
      </c>
      <c r="TK360" s="144">
        <f>TK356</f>
        <v>0</v>
      </c>
      <c r="TL360" s="53"/>
      <c r="TO360" s="49" t="s">
        <v>171</v>
      </c>
      <c r="TP360" s="50" t="s">
        <v>172</v>
      </c>
      <c r="TQ360" s="142" t="s">
        <v>172</v>
      </c>
      <c r="TR360" s="142" t="s">
        <v>172</v>
      </c>
      <c r="TS360" s="143" t="s">
        <v>172</v>
      </c>
      <c r="TT360" s="144">
        <f>TT356</f>
        <v>0</v>
      </c>
      <c r="TU360" s="53"/>
      <c r="TX360" s="49" t="s">
        <v>171</v>
      </c>
      <c r="TY360" s="50" t="s">
        <v>172</v>
      </c>
      <c r="TZ360" s="142" t="s">
        <v>172</v>
      </c>
      <c r="UA360" s="142" t="s">
        <v>172</v>
      </c>
      <c r="UB360" s="143" t="s">
        <v>172</v>
      </c>
      <c r="UC360" s="144">
        <f>UC356</f>
        <v>46.799999999999983</v>
      </c>
      <c r="UD360" s="53"/>
      <c r="UG360" s="49" t="s">
        <v>171</v>
      </c>
      <c r="UH360" s="50" t="s">
        <v>172</v>
      </c>
      <c r="UI360" s="142" t="s">
        <v>172</v>
      </c>
      <c r="UJ360" s="142" t="s">
        <v>172</v>
      </c>
      <c r="UK360" s="143" t="s">
        <v>172</v>
      </c>
      <c r="UL360" s="144">
        <f>UL356</f>
        <v>204</v>
      </c>
      <c r="UM360" s="53"/>
      <c r="UP360" s="49" t="s">
        <v>171</v>
      </c>
      <c r="UQ360" s="50" t="s">
        <v>172</v>
      </c>
      <c r="UR360" s="142" t="s">
        <v>172</v>
      </c>
      <c r="US360" s="142" t="s">
        <v>172</v>
      </c>
      <c r="UT360" s="143" t="s">
        <v>172</v>
      </c>
      <c r="UU360" s="144">
        <f>UU356</f>
        <v>202.5</v>
      </c>
      <c r="UV360" s="53"/>
      <c r="UY360" s="49" t="s">
        <v>171</v>
      </c>
      <c r="UZ360" s="50" t="s">
        <v>172</v>
      </c>
      <c r="VA360" s="142" t="s">
        <v>172</v>
      </c>
      <c r="VB360" s="142" t="s">
        <v>172</v>
      </c>
      <c r="VC360" s="143" t="s">
        <v>172</v>
      </c>
      <c r="VD360" s="144">
        <f>VD356</f>
        <v>41.600000000000023</v>
      </c>
      <c r="VE360" s="53"/>
      <c r="VH360" s="49" t="s">
        <v>171</v>
      </c>
      <c r="VI360" s="50" t="s">
        <v>172</v>
      </c>
      <c r="VJ360" s="142" t="s">
        <v>172</v>
      </c>
      <c r="VK360" s="142" t="s">
        <v>172</v>
      </c>
      <c r="VL360" s="143" t="s">
        <v>172</v>
      </c>
      <c r="VM360" s="144">
        <f>VM356</f>
        <v>210</v>
      </c>
      <c r="VN360" s="53"/>
      <c r="VQ360" s="49" t="s">
        <v>171</v>
      </c>
      <c r="VR360" s="50" t="s">
        <v>172</v>
      </c>
      <c r="VS360" s="142" t="s">
        <v>172</v>
      </c>
      <c r="VT360" s="142" t="s">
        <v>172</v>
      </c>
      <c r="VU360" s="143" t="s">
        <v>172</v>
      </c>
      <c r="VV360" s="144">
        <f>VV356</f>
        <v>0</v>
      </c>
      <c r="VW360" s="53"/>
      <c r="VZ360" s="49" t="s">
        <v>171</v>
      </c>
      <c r="WA360" s="50" t="s">
        <v>172</v>
      </c>
      <c r="WB360" s="142" t="s">
        <v>172</v>
      </c>
      <c r="WC360" s="142" t="s">
        <v>172</v>
      </c>
      <c r="WD360" s="143" t="s">
        <v>172</v>
      </c>
      <c r="WE360" s="144">
        <f>WE356</f>
        <v>0</v>
      </c>
      <c r="WF360" s="53"/>
      <c r="WI360" s="49" t="s">
        <v>171</v>
      </c>
      <c r="WJ360" s="50" t="s">
        <v>172</v>
      </c>
      <c r="WK360" s="142" t="s">
        <v>172</v>
      </c>
      <c r="WL360" s="142" t="s">
        <v>172</v>
      </c>
      <c r="WM360" s="143" t="s">
        <v>172</v>
      </c>
      <c r="WN360" s="144">
        <f>WN356</f>
        <v>1057</v>
      </c>
      <c r="WO360" s="53"/>
      <c r="WR360" s="49" t="s">
        <v>171</v>
      </c>
      <c r="WS360" s="50" t="s">
        <v>172</v>
      </c>
      <c r="WT360" s="142" t="s">
        <v>172</v>
      </c>
      <c r="WU360" s="142" t="s">
        <v>172</v>
      </c>
      <c r="WV360" s="143" t="s">
        <v>172</v>
      </c>
      <c r="WW360" s="144">
        <f>WW356</f>
        <v>0</v>
      </c>
      <c r="WX360" s="53"/>
      <c r="XA360" s="49" t="s">
        <v>171</v>
      </c>
      <c r="XB360" s="50" t="s">
        <v>172</v>
      </c>
      <c r="XC360" s="142" t="s">
        <v>172</v>
      </c>
      <c r="XD360" s="142" t="s">
        <v>172</v>
      </c>
      <c r="XE360" s="143" t="s">
        <v>172</v>
      </c>
      <c r="XF360" s="144">
        <f>XF356</f>
        <v>7507</v>
      </c>
      <c r="XG360" s="53"/>
      <c r="XJ360" s="49" t="s">
        <v>171</v>
      </c>
      <c r="XK360" s="50" t="s">
        <v>172</v>
      </c>
      <c r="XL360" s="142" t="s">
        <v>172</v>
      </c>
      <c r="XM360" s="142" t="s">
        <v>172</v>
      </c>
      <c r="XN360" s="143" t="s">
        <v>172</v>
      </c>
      <c r="XO360" s="144">
        <f>XO356</f>
        <v>4252</v>
      </c>
      <c r="XP360" s="53"/>
      <c r="XS360" s="49" t="s">
        <v>171</v>
      </c>
      <c r="XT360" s="50" t="s">
        <v>172</v>
      </c>
      <c r="XU360" s="142" t="s">
        <v>172</v>
      </c>
      <c r="XV360" s="142" t="s">
        <v>172</v>
      </c>
      <c r="XW360" s="143" t="s">
        <v>172</v>
      </c>
      <c r="XX360" s="144">
        <f>XX356</f>
        <v>2179</v>
      </c>
      <c r="XY360" s="53"/>
      <c r="YB360" s="49" t="s">
        <v>171</v>
      </c>
      <c r="YC360" s="50" t="s">
        <v>172</v>
      </c>
      <c r="YD360" s="142" t="s">
        <v>172</v>
      </c>
      <c r="YE360" s="142" t="s">
        <v>172</v>
      </c>
      <c r="YF360" s="143" t="s">
        <v>172</v>
      </c>
      <c r="YG360" s="144">
        <f>YG356</f>
        <v>4019</v>
      </c>
      <c r="YH360" s="53"/>
      <c r="YK360" s="49" t="s">
        <v>171</v>
      </c>
      <c r="YL360" s="50" t="s">
        <v>172</v>
      </c>
      <c r="YM360" s="142" t="s">
        <v>172</v>
      </c>
      <c r="YN360" s="142" t="s">
        <v>172</v>
      </c>
      <c r="YO360" s="143" t="s">
        <v>172</v>
      </c>
      <c r="YP360" s="144">
        <f>YP356</f>
        <v>-218</v>
      </c>
      <c r="YQ360" s="53"/>
      <c r="YT360" s="49" t="s">
        <v>171</v>
      </c>
      <c r="YU360" s="50" t="s">
        <v>172</v>
      </c>
      <c r="YV360" s="142" t="s">
        <v>172</v>
      </c>
      <c r="YW360" s="142" t="s">
        <v>172</v>
      </c>
      <c r="YX360" s="143" t="s">
        <v>172</v>
      </c>
      <c r="YY360" s="144">
        <f>YY356</f>
        <v>0</v>
      </c>
      <c r="YZ360" s="53"/>
      <c r="ZC360" s="49" t="s">
        <v>171</v>
      </c>
      <c r="ZD360" s="50" t="s">
        <v>172</v>
      </c>
      <c r="ZE360" s="142" t="s">
        <v>172</v>
      </c>
      <c r="ZF360" s="142" t="s">
        <v>172</v>
      </c>
      <c r="ZG360" s="143" t="s">
        <v>172</v>
      </c>
      <c r="ZH360" s="144">
        <f>ZH356</f>
        <v>0</v>
      </c>
      <c r="ZI360" s="53"/>
      <c r="ZL360" s="49" t="s">
        <v>171</v>
      </c>
      <c r="ZM360" s="50" t="s">
        <v>172</v>
      </c>
      <c r="ZN360" s="142" t="s">
        <v>172</v>
      </c>
      <c r="ZO360" s="142" t="s">
        <v>172</v>
      </c>
      <c r="ZP360" s="143" t="s">
        <v>172</v>
      </c>
      <c r="ZQ360" s="144">
        <f>ZQ356</f>
        <v>0</v>
      </c>
      <c r="ZR360" s="53"/>
      <c r="ZU360" s="49" t="s">
        <v>171</v>
      </c>
      <c r="ZV360" s="50" t="s">
        <v>172</v>
      </c>
      <c r="ZW360" s="142" t="s">
        <v>172</v>
      </c>
      <c r="ZX360" s="142" t="s">
        <v>172</v>
      </c>
      <c r="ZY360" s="143" t="s">
        <v>172</v>
      </c>
      <c r="ZZ360" s="144">
        <f>ZZ356</f>
        <v>0</v>
      </c>
      <c r="AAA360" s="53"/>
      <c r="AAD360" s="49" t="s">
        <v>171</v>
      </c>
      <c r="AAE360" s="50" t="s">
        <v>172</v>
      </c>
      <c r="AAF360" s="142" t="s">
        <v>172</v>
      </c>
      <c r="AAG360" s="142" t="s">
        <v>172</v>
      </c>
      <c r="AAH360" s="143" t="s">
        <v>172</v>
      </c>
      <c r="AAI360" s="144">
        <f>AAI356</f>
        <v>0</v>
      </c>
      <c r="AAJ360" s="53"/>
      <c r="AAM360" s="49" t="s">
        <v>171</v>
      </c>
      <c r="AAN360" s="50" t="s">
        <v>172</v>
      </c>
      <c r="AAO360" s="142" t="s">
        <v>172</v>
      </c>
      <c r="AAP360" s="142" t="s">
        <v>172</v>
      </c>
      <c r="AAQ360" s="143" t="s">
        <v>172</v>
      </c>
      <c r="AAR360" s="144">
        <f>AAR356</f>
        <v>0</v>
      </c>
      <c r="AAS360" s="53"/>
      <c r="AAV360" s="49" t="s">
        <v>171</v>
      </c>
      <c r="AAW360" s="50" t="s">
        <v>172</v>
      </c>
      <c r="AAX360" s="142" t="s">
        <v>172</v>
      </c>
      <c r="AAY360" s="142" t="s">
        <v>172</v>
      </c>
      <c r="AAZ360" s="143" t="s">
        <v>172</v>
      </c>
      <c r="ABA360" s="144">
        <f>ABA356</f>
        <v>0</v>
      </c>
      <c r="ABB360" s="53"/>
      <c r="ABE360" s="49" t="s">
        <v>171</v>
      </c>
      <c r="ABF360" s="50" t="s">
        <v>172</v>
      </c>
      <c r="ABG360" s="142" t="s">
        <v>172</v>
      </c>
      <c r="ABH360" s="142" t="s">
        <v>172</v>
      </c>
      <c r="ABI360" s="143" t="s">
        <v>172</v>
      </c>
      <c r="ABJ360" s="144">
        <f>ABJ356</f>
        <v>0</v>
      </c>
      <c r="ABK360" s="53"/>
    </row>
    <row r="361" spans="1:739" s="54" customFormat="1" ht="15" customHeight="1" outlineLevel="1">
      <c r="B361" s="478"/>
      <c r="C361" s="55">
        <v>46327</v>
      </c>
      <c r="D361" s="56"/>
      <c r="E361" s="57">
        <f>SUMPRODUCT(PRODUCE!$B356:$DY356,PRODUCE!$EB$7:$IY$7)</f>
        <v>0</v>
      </c>
      <c r="F361" s="56"/>
      <c r="G361" s="57">
        <f>E361-F361</f>
        <v>0</v>
      </c>
      <c r="H361" s="57">
        <f>H360+D361-F361</f>
        <v>236936.6</v>
      </c>
      <c r="I361" s="289"/>
      <c r="L361" s="55">
        <f>C361</f>
        <v>46327</v>
      </c>
      <c r="M361" s="56"/>
      <c r="N361" s="59">
        <f>SUMPRODUCT(PRODUCE!$B356:$DY356,PRODUCE!$EB$8:$IY$8)</f>
        <v>0</v>
      </c>
      <c r="O361" s="56"/>
      <c r="P361" s="59">
        <f>N361-O361</f>
        <v>0</v>
      </c>
      <c r="Q361" s="59">
        <f>Q360+M361-O361</f>
        <v>53017.600000000071</v>
      </c>
      <c r="R361" s="56"/>
      <c r="U361" s="55">
        <f>L361</f>
        <v>46327</v>
      </c>
      <c r="V361" s="56"/>
      <c r="W361" s="60">
        <f>SUMPRODUCT(PRODUCE!$B356:$DY356,PRODUCE!$EB$9:$IY$9)</f>
        <v>0</v>
      </c>
      <c r="X361" s="56"/>
      <c r="Y361" s="60">
        <f>W361-X361</f>
        <v>0</v>
      </c>
      <c r="Z361" s="60">
        <f>Z360+V361-X361</f>
        <v>42674.199999999968</v>
      </c>
      <c r="AA361" s="56"/>
      <c r="AD361" s="55">
        <f>U361</f>
        <v>46327</v>
      </c>
      <c r="AE361" s="56"/>
      <c r="AF361" s="61">
        <f>SUMPRODUCT(PRODUCE!$B356:$DY356,PRODUCE!$EB$10:$IY$10)</f>
        <v>0</v>
      </c>
      <c r="AG361" s="56"/>
      <c r="AH361" s="61">
        <f>AF361-AG361</f>
        <v>0</v>
      </c>
      <c r="AI361" s="61">
        <f>AI360+AE361-AG361</f>
        <v>4522.2000000000189</v>
      </c>
      <c r="AJ361" s="56"/>
      <c r="AM361" s="55">
        <f>AD361</f>
        <v>46327</v>
      </c>
      <c r="AN361" s="422"/>
      <c r="AO361" s="444">
        <f>SUMPRODUCT(PRODUCE!$B356:$DY356,PRODUCE!$EB$11:$IY$11)</f>
        <v>0</v>
      </c>
      <c r="AP361" s="422"/>
      <c r="AQ361" s="444">
        <f>AO361-AP361</f>
        <v>0</v>
      </c>
      <c r="AR361" s="444">
        <f>AR360+AN361-AP361</f>
        <v>0</v>
      </c>
      <c r="AS361" s="56"/>
      <c r="AV361" s="55">
        <f>AM361</f>
        <v>46327</v>
      </c>
      <c r="AW361" s="56"/>
      <c r="AX361" s="62">
        <f>SUMPRODUCT(PRODUCE!$B356:$DY356,PRODUCE!$EB$12:$IY$12)</f>
        <v>0</v>
      </c>
      <c r="AY361" s="56"/>
      <c r="AZ361" s="62">
        <f>AX361-AY361</f>
        <v>0</v>
      </c>
      <c r="BA361" s="62">
        <f>BA360+AW361-AY361</f>
        <v>124.99999999999523</v>
      </c>
      <c r="BB361" s="56"/>
      <c r="BE361" s="55">
        <f>AV361</f>
        <v>46327</v>
      </c>
      <c r="BF361" s="56"/>
      <c r="BG361" s="63">
        <f>SUMPRODUCT(PRODUCE!$B356:$DY356,PRODUCE!$EB$13:$IY$13)</f>
        <v>0</v>
      </c>
      <c r="BH361" s="56"/>
      <c r="BI361" s="63">
        <f>BG361-BH361</f>
        <v>0</v>
      </c>
      <c r="BJ361" s="63">
        <f>BJ360+BF361-BH361</f>
        <v>26151.899999999998</v>
      </c>
      <c r="BK361" s="56"/>
      <c r="BN361" s="55">
        <f>BE361</f>
        <v>46327</v>
      </c>
      <c r="BO361" s="56"/>
      <c r="BP361" s="64">
        <f>SUMPRODUCT(PRODUCE!$B356:$DY356,PRODUCE!$EB$14:$IY$14)</f>
        <v>0</v>
      </c>
      <c r="BQ361" s="56"/>
      <c r="BR361" s="64">
        <f>BP361-BQ361</f>
        <v>0</v>
      </c>
      <c r="BS361" s="64">
        <f>BS360+BO361-BQ361</f>
        <v>0</v>
      </c>
      <c r="BT361" s="56"/>
      <c r="BW361" s="55">
        <f>BN361</f>
        <v>46327</v>
      </c>
      <c r="BX361" s="56"/>
      <c r="BY361" s="65">
        <f>SUMPRODUCT(PRODUCE!$B356:$DY356,PRODUCE!$EB$15:$IY$15)</f>
        <v>0</v>
      </c>
      <c r="BZ361" s="56"/>
      <c r="CA361" s="65">
        <f>BY361-BZ361</f>
        <v>0</v>
      </c>
      <c r="CB361" s="65">
        <f>CB360+BX361-BZ361</f>
        <v>2097.3399999999992</v>
      </c>
      <c r="CC361" s="56"/>
      <c r="CF361" s="55">
        <f>BW361</f>
        <v>46327</v>
      </c>
      <c r="CG361" s="56"/>
      <c r="CH361" s="66">
        <f>SUMPRODUCT(PRODUCE!$B356:$DY356,PRODUCE!$EB$16:$IY$16)</f>
        <v>0</v>
      </c>
      <c r="CI361" s="56"/>
      <c r="CJ361" s="66">
        <f>CH361-CI361</f>
        <v>0</v>
      </c>
      <c r="CK361" s="66">
        <f>CK360+CG361-CI361</f>
        <v>-10277.079999999998</v>
      </c>
      <c r="CL361" s="56"/>
      <c r="CO361" s="55">
        <f>CF361</f>
        <v>46327</v>
      </c>
      <c r="CP361" s="422"/>
      <c r="CQ361" s="470">
        <f>SUMPRODUCT(PRODUCE!$B356:$DY356,PRODUCE!$EB$17:$IY$17)</f>
        <v>0</v>
      </c>
      <c r="CR361" s="422"/>
      <c r="CS361" s="470">
        <f>CQ361-CR361</f>
        <v>0</v>
      </c>
      <c r="CT361" s="470">
        <f>CT360+CP361-CR361</f>
        <v>0</v>
      </c>
      <c r="CU361" s="56"/>
      <c r="CX361" s="55">
        <f>CO361</f>
        <v>46327</v>
      </c>
      <c r="CY361" s="56"/>
      <c r="CZ361" s="133">
        <f>SUMPRODUCT(PRODUCE!$B356:$DY356,PRODUCE!$EB$18:$IY$18)</f>
        <v>0</v>
      </c>
      <c r="DA361" s="56"/>
      <c r="DB361" s="133">
        <f>CZ361-DA361</f>
        <v>0</v>
      </c>
      <c r="DC361" s="133">
        <f>DC360+CY361-DA361</f>
        <v>27438.200000000012</v>
      </c>
      <c r="DD361" s="56"/>
      <c r="DG361" s="55">
        <f>CX361</f>
        <v>46327</v>
      </c>
      <c r="DH361" s="56"/>
      <c r="DI361" s="147">
        <f>SUMPRODUCT(PRODUCE!$B356:$DY356,PRODUCE!$EB$19:$IY$19)</f>
        <v>0</v>
      </c>
      <c r="DJ361" s="56"/>
      <c r="DK361" s="147">
        <f>DI361-DJ361</f>
        <v>0</v>
      </c>
      <c r="DL361" s="147">
        <f>DL360+DH361-DJ361</f>
        <v>18782.299999999981</v>
      </c>
      <c r="DM361" s="56"/>
      <c r="DP361" s="55">
        <f>DG361</f>
        <v>46327</v>
      </c>
      <c r="DQ361" s="56"/>
      <c r="DR361" s="57">
        <f>SUMPRODUCT(PRODUCE!$B356:$DY356,PRODUCE!$EB$20:$IY$20)</f>
        <v>0</v>
      </c>
      <c r="DS361" s="56"/>
      <c r="DT361" s="57">
        <f>DR361-DS361</f>
        <v>0</v>
      </c>
      <c r="DU361" s="57">
        <f>DU360+DQ361-DS361</f>
        <v>5800</v>
      </c>
      <c r="DV361" s="56"/>
      <c r="DY361" s="55">
        <f>DP361</f>
        <v>46327</v>
      </c>
      <c r="DZ361" s="56"/>
      <c r="EA361" s="157">
        <f>SUMPRODUCT(PRODUCE!$B356:$DY356,PRODUCE!$EB$21:$IY$21)</f>
        <v>0</v>
      </c>
      <c r="EB361" s="56"/>
      <c r="EC361" s="157">
        <f>EA361-EB361</f>
        <v>0</v>
      </c>
      <c r="ED361" s="157">
        <f>ED360+DZ361-EB361</f>
        <v>0</v>
      </c>
      <c r="EE361" s="56"/>
      <c r="EH361" s="55">
        <f>DY361</f>
        <v>46327</v>
      </c>
      <c r="EI361" s="56"/>
      <c r="EJ361" s="162">
        <f>SUMPRODUCT(PRODUCE!$B356:$DY356,PRODUCE!$EB$22:$IY$22)</f>
        <v>0</v>
      </c>
      <c r="EK361" s="56"/>
      <c r="EL361" s="162">
        <f>EJ361-EK361</f>
        <v>0</v>
      </c>
      <c r="EM361" s="162">
        <f>EM360+EI361-EK361</f>
        <v>0</v>
      </c>
      <c r="EN361" s="56"/>
      <c r="EQ361" s="55">
        <f>EH361</f>
        <v>46327</v>
      </c>
      <c r="ER361" s="56"/>
      <c r="ES361" s="135">
        <f>SUMPRODUCT(PRODUCE!$B356:$DY356,PRODUCE!$EB$23:$IY$23)</f>
        <v>0</v>
      </c>
      <c r="ET361" s="56"/>
      <c r="EU361" s="135">
        <f>ES361-ET361</f>
        <v>0</v>
      </c>
      <c r="EV361" s="135">
        <f>EV360+ER361-ET361</f>
        <v>0</v>
      </c>
      <c r="EW361" s="56"/>
      <c r="EZ361" s="55">
        <f>EQ361</f>
        <v>46327</v>
      </c>
      <c r="FA361" s="56"/>
      <c r="FB361" s="175">
        <f>SUMPRODUCT(PRODUCE!$B356:$DY356,PRODUCE!$EB$24:$IY$24)</f>
        <v>0</v>
      </c>
      <c r="FC361" s="56"/>
      <c r="FD361" s="175">
        <f>FB361-FC361</f>
        <v>0</v>
      </c>
      <c r="FE361" s="175">
        <f>FE360+FA361-FC361</f>
        <v>0</v>
      </c>
      <c r="FF361" s="56"/>
      <c r="FI361" s="55">
        <f>EZ361</f>
        <v>46327</v>
      </c>
      <c r="FJ361" s="56"/>
      <c r="FK361" s="183">
        <f>SUMPRODUCT(PRODUCE!$B356:$DY356,PRODUCE!$EB$25:$IY$25)</f>
        <v>0</v>
      </c>
      <c r="FL361" s="56"/>
      <c r="FM361" s="183">
        <f>FK361-FL361</f>
        <v>0</v>
      </c>
      <c r="FN361" s="183">
        <f>FN360+FJ361-FL361</f>
        <v>0</v>
      </c>
      <c r="FO361" s="56"/>
      <c r="FR361" s="55">
        <f>FI361</f>
        <v>46327</v>
      </c>
      <c r="FS361" s="56"/>
      <c r="FT361" s="186">
        <f>SUMPRODUCT(PRODUCE!$B356:$DY356,PRODUCE!$EB$26:$IY$26)</f>
        <v>0</v>
      </c>
      <c r="FU361" s="56"/>
      <c r="FV361" s="186">
        <f>FT361-FU361</f>
        <v>0</v>
      </c>
      <c r="FW361" s="186">
        <f>FW360+FS361-FU361</f>
        <v>2020</v>
      </c>
      <c r="FX361" s="56"/>
      <c r="GA361" s="55">
        <f>FR361</f>
        <v>46327</v>
      </c>
      <c r="GB361" s="56"/>
      <c r="GC361" s="137">
        <f>SUMPRODUCT(PRODUCE!$B356:$DY356,PRODUCE!$EB$27:$IY$27)</f>
        <v>0</v>
      </c>
      <c r="GD361" s="56"/>
      <c r="GE361" s="137">
        <f>GC361-GD361</f>
        <v>0</v>
      </c>
      <c r="GF361" s="137">
        <f>GF360+GB361-GD361</f>
        <v>960</v>
      </c>
      <c r="GG361" s="56"/>
      <c r="GI361" s="23"/>
      <c r="GJ361" s="55">
        <f>GA361</f>
        <v>46327</v>
      </c>
      <c r="GK361" s="56"/>
      <c r="GL361" s="199">
        <f>SUMPRODUCT(PRODUCE!$B356:$DY356,PRODUCE!$EB$28:$IY$28)</f>
        <v>0</v>
      </c>
      <c r="GM361" s="56"/>
      <c r="GN361" s="199">
        <f>GL361-GM361</f>
        <v>0</v>
      </c>
      <c r="GO361" s="199">
        <f>GO360+GK361-GM361</f>
        <v>1760</v>
      </c>
      <c r="GP361" s="56"/>
      <c r="GS361" s="55">
        <f>GJ361</f>
        <v>46327</v>
      </c>
      <c r="GT361" s="56"/>
      <c r="GU361" s="195">
        <f>SUMPRODUCT(PRODUCE!$B356:$DY356,PRODUCE!$EB$29:$IY$29)</f>
        <v>0</v>
      </c>
      <c r="GV361" s="56"/>
      <c r="GW361" s="195">
        <f>GU361-GV361</f>
        <v>0</v>
      </c>
      <c r="GX361" s="195">
        <f>GX360+GT361-GV361</f>
        <v>400</v>
      </c>
      <c r="GY361" s="56"/>
      <c r="HB361" s="55">
        <f>GS361</f>
        <v>46327</v>
      </c>
      <c r="HC361" s="56"/>
      <c r="HD361" s="191">
        <f>SUMPRODUCT(PRODUCE!$B356:$DY356,PRODUCE!$EB$30:$IY$30)</f>
        <v>0</v>
      </c>
      <c r="HE361" s="56"/>
      <c r="HF361" s="191">
        <f>HD361-HE361</f>
        <v>0</v>
      </c>
      <c r="HG361" s="191">
        <f>HG360+HC361-HE361</f>
        <v>3600</v>
      </c>
      <c r="HH361" s="56"/>
      <c r="HK361" s="55">
        <f>HB361</f>
        <v>46327</v>
      </c>
      <c r="HL361" s="56"/>
      <c r="HM361" s="63">
        <f>SUMPRODUCT(PRODUCE!$B356:$DY356,PRODUCE!$EB$31:$IY$31)</f>
        <v>0</v>
      </c>
      <c r="HN361" s="56"/>
      <c r="HO361" s="63">
        <f>HM361-HN361</f>
        <v>0</v>
      </c>
      <c r="HP361" s="63">
        <f>HP360+HL361-HN361</f>
        <v>0</v>
      </c>
      <c r="HQ361" s="56"/>
      <c r="HU361" s="55">
        <f>HK361</f>
        <v>46327</v>
      </c>
      <c r="HV361" s="56"/>
      <c r="HW361" s="242">
        <f>SUMPRODUCT(PRODUCE!$B356:$DY356,PRODUCE!$EB$32:$IY$32)</f>
        <v>0</v>
      </c>
      <c r="HX361" s="56"/>
      <c r="HY361" s="242">
        <f>HW361-HX361</f>
        <v>0</v>
      </c>
      <c r="HZ361" s="242">
        <f>HZ360+HV361-HX361</f>
        <v>6120</v>
      </c>
      <c r="IA361" s="56"/>
      <c r="ID361" s="55">
        <f>HU361</f>
        <v>46327</v>
      </c>
      <c r="IE361" s="56"/>
      <c r="IF361" s="242">
        <f>SUMPRODUCT(PRODUCE!$B356:$DY356,PRODUCE!$EB$33:$IY$33)</f>
        <v>0</v>
      </c>
      <c r="IG361" s="56"/>
      <c r="IH361" s="242">
        <f>IF361-IG361</f>
        <v>0</v>
      </c>
      <c r="II361" s="242">
        <f>II360+IE361-IG361</f>
        <v>0</v>
      </c>
      <c r="IJ361" s="56"/>
      <c r="IM361" s="55">
        <f>ID361</f>
        <v>46327</v>
      </c>
      <c r="IN361" s="56"/>
      <c r="IO361" s="242">
        <f>SUMPRODUCT(PRODUCE!$B356:$DY356,PRODUCE!$EB$34:$IY$34)</f>
        <v>0</v>
      </c>
      <c r="IP361" s="56"/>
      <c r="IQ361" s="242">
        <f>IO361-IP361</f>
        <v>0</v>
      </c>
      <c r="IR361" s="242">
        <f>IR360+IN361-IP361</f>
        <v>0</v>
      </c>
      <c r="IS361" s="56"/>
      <c r="IV361" s="55">
        <f>IM361</f>
        <v>46327</v>
      </c>
      <c r="IW361" s="56"/>
      <c r="IX361" s="242">
        <f>SUMPRODUCT(PRODUCE!$B356:$DY356,PRODUCE!$EB$35:$IY$35)</f>
        <v>0</v>
      </c>
      <c r="IY361" s="56"/>
      <c r="IZ361" s="242">
        <f>IX361-IY361</f>
        <v>0</v>
      </c>
      <c r="JA361" s="242">
        <f>JA360+IW361-IY361</f>
        <v>2820</v>
      </c>
      <c r="JB361" s="56"/>
      <c r="JE361" s="55">
        <f>IV361</f>
        <v>46327</v>
      </c>
      <c r="JF361" s="56"/>
      <c r="JG361" s="242">
        <f>SUMPRODUCT(PRODUCE!$B356:$DY356,PRODUCE!$EB$36:$IY$36)</f>
        <v>0</v>
      </c>
      <c r="JH361" s="56"/>
      <c r="JI361" s="242">
        <f>JG361-JH361</f>
        <v>0</v>
      </c>
      <c r="JJ361" s="242">
        <f>JJ360+JF361-JH361</f>
        <v>0</v>
      </c>
      <c r="JK361" s="56"/>
      <c r="JN361" s="55">
        <f>JE361</f>
        <v>46327</v>
      </c>
      <c r="JO361" s="56"/>
      <c r="JP361" s="242">
        <f>SUMPRODUCT(PRODUCE!$B356:$DY356,PRODUCE!$EB$37:$IY$37)</f>
        <v>0</v>
      </c>
      <c r="JQ361" s="56"/>
      <c r="JR361" s="242">
        <f>JP361-JQ361</f>
        <v>0</v>
      </c>
      <c r="JS361" s="242">
        <f>JS360+JO361-JQ361</f>
        <v>0</v>
      </c>
      <c r="JT361" s="56"/>
      <c r="JW361" s="55">
        <f>JN361</f>
        <v>46327</v>
      </c>
      <c r="JX361" s="56"/>
      <c r="JY361" s="242">
        <f>SUMPRODUCT(PRODUCE!$B356:$DY356,PRODUCE!$EB$38:$IY$38)</f>
        <v>0</v>
      </c>
      <c r="JZ361" s="56"/>
      <c r="KA361" s="242">
        <f>JY361-JZ361</f>
        <v>0</v>
      </c>
      <c r="KB361" s="242">
        <f>KB360+JX361-JZ361</f>
        <v>2540</v>
      </c>
      <c r="KC361" s="56"/>
      <c r="KF361" s="55">
        <f>JW361</f>
        <v>46327</v>
      </c>
      <c r="KG361" s="56"/>
      <c r="KH361" s="242">
        <f>SUMPRODUCT(PRODUCE!$B356:$DY356,PRODUCE!$EB$39:$IY$39)</f>
        <v>0</v>
      </c>
      <c r="KI361" s="56"/>
      <c r="KJ361" s="242">
        <f>KH361-KI361</f>
        <v>0</v>
      </c>
      <c r="KK361" s="242">
        <f>KK360+KG361-KI361</f>
        <v>2359.5</v>
      </c>
      <c r="KL361" s="56"/>
      <c r="KO361" s="55">
        <f>KF361</f>
        <v>46327</v>
      </c>
      <c r="KP361" s="56"/>
      <c r="KQ361" s="242">
        <f>SUMPRODUCT(PRODUCE!$B356:$DY356,PRODUCE!$EB$40:$IY$40)</f>
        <v>0</v>
      </c>
      <c r="KR361" s="56"/>
      <c r="KS361" s="242">
        <f>KQ361-KR361</f>
        <v>0</v>
      </c>
      <c r="KT361" s="242">
        <f>KT360+KP361-KR361</f>
        <v>1890</v>
      </c>
      <c r="KU361" s="56"/>
      <c r="KW361" s="23"/>
      <c r="KX361" s="55">
        <f>KO361</f>
        <v>46327</v>
      </c>
      <c r="KY361" s="56"/>
      <c r="KZ361" s="242">
        <f>SUMPRODUCT(PRODUCE!$B356:$DY356,PRODUCE!$EB$41:$IY$41)</f>
        <v>0</v>
      </c>
      <c r="LA361" s="56"/>
      <c r="LB361" s="242">
        <f>KZ361-LA361</f>
        <v>0</v>
      </c>
      <c r="LC361" s="242">
        <f>LC360+KY361-LA361</f>
        <v>3690</v>
      </c>
      <c r="LD361" s="56"/>
      <c r="LG361" s="55">
        <f>KX361</f>
        <v>46327</v>
      </c>
      <c r="LH361" s="56"/>
      <c r="LI361" s="242">
        <f>SUMPRODUCT(PRODUCE!$B356:$DY356,PRODUCE!$EB$42:$IY$42)</f>
        <v>0</v>
      </c>
      <c r="LJ361" s="56"/>
      <c r="LK361" s="242">
        <f>LI361-LJ361</f>
        <v>0</v>
      </c>
      <c r="LL361" s="242">
        <f>LL360+LH361-LJ361</f>
        <v>4000</v>
      </c>
      <c r="LM361" s="56"/>
      <c r="LP361" s="55">
        <f>LG361</f>
        <v>46327</v>
      </c>
      <c r="LQ361" s="56"/>
      <c r="LR361" s="242">
        <f>SUMPRODUCT(PRODUCE!$B376:$DY376,PRODUCE!$EB$43:$IY$43)</f>
        <v>0</v>
      </c>
      <c r="LS361" s="56"/>
      <c r="LT361" s="242">
        <f>LR361-LS361</f>
        <v>0</v>
      </c>
      <c r="LU361" s="242">
        <f>LU360+LQ361-LS361</f>
        <v>0</v>
      </c>
      <c r="LV361" s="56"/>
      <c r="LY361" s="55">
        <f>LP361</f>
        <v>46327</v>
      </c>
      <c r="LZ361" s="56"/>
      <c r="MA361" s="242">
        <f>SUMPRODUCT(PRODUCE!$B356:$DY356,PRODUCE!$EB$44:$IY$44)</f>
        <v>0</v>
      </c>
      <c r="MB361" s="56"/>
      <c r="MC361" s="242">
        <f>MA361-MB361</f>
        <v>0</v>
      </c>
      <c r="MD361" s="242">
        <f>MD360+LZ361-MB361</f>
        <v>0</v>
      </c>
      <c r="ME361" s="56"/>
      <c r="MH361" s="55">
        <f>LY361</f>
        <v>46327</v>
      </c>
      <c r="MI361" s="56"/>
      <c r="MJ361" s="242">
        <f>SUMPRODUCT(PRODUCE!$B356:$DY356,PRODUCE!$EB$45:$IY$45)</f>
        <v>0</v>
      </c>
      <c r="MK361" s="56"/>
      <c r="ML361" s="242">
        <f>MJ361-MK361</f>
        <v>0</v>
      </c>
      <c r="MM361" s="242">
        <f>MM360+MI361-MK361</f>
        <v>0</v>
      </c>
      <c r="MN361" s="56"/>
      <c r="MQ361" s="55">
        <f>MH361</f>
        <v>46327</v>
      </c>
      <c r="MR361" s="56"/>
      <c r="MS361" s="242">
        <f>SUMPRODUCT(PRODUCE!$B356:$DY356,PRODUCE!$EB$46:$IY$46)</f>
        <v>0</v>
      </c>
      <c r="MT361" s="56"/>
      <c r="MU361" s="242">
        <f>MS361-MT361</f>
        <v>0</v>
      </c>
      <c r="MV361" s="242">
        <f>MV360+MR361-MT361</f>
        <v>1625</v>
      </c>
      <c r="MW361" s="56"/>
      <c r="MZ361" s="55">
        <f>MQ361</f>
        <v>46327</v>
      </c>
      <c r="NA361" s="56"/>
      <c r="NB361" s="242">
        <f>SUMPRODUCT(PRODUCE!$B356:$DY356,PRODUCE!$EB$47:$IY$47)</f>
        <v>0</v>
      </c>
      <c r="NC361" s="56"/>
      <c r="ND361" s="242">
        <f>NB361-NC361</f>
        <v>0</v>
      </c>
      <c r="NE361" s="242">
        <f>NE360+NA361-NC361</f>
        <v>0</v>
      </c>
      <c r="NF361" s="56"/>
      <c r="NI361" s="55">
        <f>MZ361</f>
        <v>46327</v>
      </c>
      <c r="NJ361" s="56"/>
      <c r="NK361" s="242">
        <f>SUMPRODUCT(PRODUCE!$B356:$DY356,PRODUCE!$EB$48:$IY$48)</f>
        <v>0</v>
      </c>
      <c r="NL361" s="56"/>
      <c r="NM361" s="242">
        <f>NK361-NL361</f>
        <v>0</v>
      </c>
      <c r="NN361" s="242">
        <f>NN360+NJ361-NL361</f>
        <v>1127</v>
      </c>
      <c r="NO361" s="56"/>
      <c r="NR361" s="55">
        <f>MZ361</f>
        <v>46327</v>
      </c>
      <c r="NS361" s="56"/>
      <c r="NT361" s="242">
        <f>SUMPRODUCT(PRODUCE!$B356:$DY356,PRODUCE!$EB$49:$IY$49)</f>
        <v>0</v>
      </c>
      <c r="NU361" s="56"/>
      <c r="NV361" s="242">
        <f>NT361-NU361</f>
        <v>0</v>
      </c>
      <c r="NW361" s="242">
        <f>NW360+NS361-NU361</f>
        <v>3111.9999999999995</v>
      </c>
      <c r="NX361" s="56"/>
      <c r="OA361" s="55">
        <f>NR361</f>
        <v>46327</v>
      </c>
      <c r="OB361" s="56"/>
      <c r="OC361" s="242">
        <f>SUMPRODUCT(PRODUCE!$B356:$DY356,PRODUCE!$EB$50:$IY$50)</f>
        <v>0</v>
      </c>
      <c r="OD361" s="56"/>
      <c r="OE361" s="242">
        <f>OC361-OD361</f>
        <v>0</v>
      </c>
      <c r="OF361" s="242">
        <f>OF360+OB361-OD361</f>
        <v>1680.5</v>
      </c>
      <c r="OG361" s="56"/>
      <c r="OJ361" s="55">
        <f>OA361</f>
        <v>46327</v>
      </c>
      <c r="OK361" s="56"/>
      <c r="OL361" s="242">
        <f>SUMPRODUCT(PRODUCE!$B356:$DY356,PRODUCE!$EB$51:$IY$51)</f>
        <v>0</v>
      </c>
      <c r="OM361" s="56"/>
      <c r="ON361" s="242">
        <f>OL361-OM361</f>
        <v>0</v>
      </c>
      <c r="OO361" s="242">
        <f>OO360+OK361-OM361</f>
        <v>0</v>
      </c>
      <c r="OP361" s="56"/>
      <c r="OS361" s="55">
        <f>OJ361</f>
        <v>46327</v>
      </c>
      <c r="OT361" s="56"/>
      <c r="OU361" s="242">
        <f>SUMPRODUCT(PRODUCE!$B356:$DY356,PRODUCE!$EB$52:$IY$52)</f>
        <v>0</v>
      </c>
      <c r="OV361" s="56"/>
      <c r="OW361" s="242">
        <f>OU361-OV361</f>
        <v>0</v>
      </c>
      <c r="OX361" s="242">
        <f>OX360+OT361-OV361</f>
        <v>1482</v>
      </c>
      <c r="OY361" s="56"/>
      <c r="PB361" s="55">
        <f>OS361</f>
        <v>46327</v>
      </c>
      <c r="PC361" s="56"/>
      <c r="PD361" s="242">
        <f>SUMPRODUCT(PRODUCE!$B356:$DY356,PRODUCE!$EB$53:$IY$53)</f>
        <v>0</v>
      </c>
      <c r="PE361" s="56"/>
      <c r="PF361" s="242">
        <f>PD361-PE361</f>
        <v>0</v>
      </c>
      <c r="PG361" s="242">
        <f>PG360+PC361-PE361</f>
        <v>0</v>
      </c>
      <c r="PH361" s="56"/>
      <c r="PK361" s="55">
        <f>PB361</f>
        <v>46327</v>
      </c>
      <c r="PL361" s="56"/>
      <c r="PM361" s="242">
        <f>SUMPRODUCT(PRODUCE!$B356:$DY356,PRODUCE!$EB$54:$IY$54)</f>
        <v>0</v>
      </c>
      <c r="PN361" s="56"/>
      <c r="PO361" s="242">
        <f>PM361-PN361</f>
        <v>0</v>
      </c>
      <c r="PP361" s="242">
        <f>PP360+PL361-PN361</f>
        <v>100</v>
      </c>
      <c r="PQ361" s="56"/>
      <c r="PT361" s="55">
        <f>PK361</f>
        <v>46327</v>
      </c>
      <c r="PU361" s="56"/>
      <c r="PV361" s="242">
        <f>SUMPRODUCT(PRODUCE!$B356:$DY356,PRODUCE!$EB$55:$IY$55)</f>
        <v>0</v>
      </c>
      <c r="PW361" s="56"/>
      <c r="PX361" s="242">
        <f>PV361-PW361</f>
        <v>0</v>
      </c>
      <c r="PY361" s="242">
        <f>PY360+PU361-PW361</f>
        <v>13.960000000000036</v>
      </c>
      <c r="PZ361" s="56"/>
      <c r="QC361" s="55">
        <f>PT361</f>
        <v>46327</v>
      </c>
      <c r="QD361" s="56"/>
      <c r="QE361" s="242">
        <f>SUMPRODUCT(PRODUCE!$B356:$DY356,PRODUCE!$EB$56:$IY$56)</f>
        <v>0</v>
      </c>
      <c r="QF361" s="56"/>
      <c r="QG361" s="242">
        <f>QE361-QF361</f>
        <v>0</v>
      </c>
      <c r="QH361" s="242">
        <f>QH360+QD361-QF361</f>
        <v>548</v>
      </c>
      <c r="QI361" s="56"/>
      <c r="QL361" s="55">
        <f>QC361</f>
        <v>46327</v>
      </c>
      <c r="QM361" s="56"/>
      <c r="QN361" s="242">
        <f>SUMPRODUCT(PRODUCE!$B356:$DY356,PRODUCE!$EB$57:$IY$57)</f>
        <v>0</v>
      </c>
      <c r="QO361" s="56"/>
      <c r="QP361" s="242">
        <f>QN361-QO361</f>
        <v>0</v>
      </c>
      <c r="QQ361" s="242">
        <f>QQ360+QM361-QO361</f>
        <v>0</v>
      </c>
      <c r="QR361" s="56"/>
      <c r="QU361" s="55">
        <f>QL361</f>
        <v>46327</v>
      </c>
      <c r="QV361" s="56"/>
      <c r="QW361" s="242">
        <f>SUMPRODUCT(PRODUCE!$B356:$DY356,PRODUCE!$EB$57:$IY$57)</f>
        <v>0</v>
      </c>
      <c r="QX361" s="56"/>
      <c r="QY361" s="242">
        <f>QW361-QX361</f>
        <v>0</v>
      </c>
      <c r="QZ361" s="242">
        <f>QZ360+QV361-QX361</f>
        <v>0</v>
      </c>
      <c r="RA361" s="56"/>
      <c r="RD361" s="55">
        <f>QU361</f>
        <v>46327</v>
      </c>
      <c r="RE361" s="56"/>
      <c r="RF361" s="242">
        <f>SUMPRODUCT(PRODUCE!$B356:$DY356,PRODUCE!$EB$58:$IY$58)</f>
        <v>0</v>
      </c>
      <c r="RG361" s="56"/>
      <c r="RH361" s="242">
        <f>RF361-RG361</f>
        <v>0</v>
      </c>
      <c r="RI361" s="242">
        <f>RI360+RE361-RG361</f>
        <v>147.04000000000002</v>
      </c>
      <c r="RJ361" s="56"/>
      <c r="RM361" s="55">
        <f>RD361</f>
        <v>46327</v>
      </c>
      <c r="RN361" s="56"/>
      <c r="RO361" s="242">
        <f>SUMPRODUCT(PRODUCE!$B356:$DY356,PRODUCE!$EB$57:$IY$57)</f>
        <v>0</v>
      </c>
      <c r="RP361" s="56"/>
      <c r="RQ361" s="242">
        <f>RO361-RP361</f>
        <v>0</v>
      </c>
      <c r="RR361" s="242">
        <f>RR360+RN361-RP361</f>
        <v>46.8</v>
      </c>
      <c r="RS361" s="56"/>
      <c r="RV361" s="55">
        <f>RM361</f>
        <v>46327</v>
      </c>
      <c r="RW361" s="56"/>
      <c r="RX361" s="242">
        <f>SUMPRODUCT(PRODUCE!$B356:$DY356,PRODUCE!$EB$57:$IY$57)</f>
        <v>0</v>
      </c>
      <c r="RY361" s="56"/>
      <c r="RZ361" s="242">
        <f>RX361-RY361</f>
        <v>0</v>
      </c>
      <c r="SA361" s="242">
        <f>SA360+RW361-RY361</f>
        <v>0</v>
      </c>
      <c r="SB361" s="56"/>
      <c r="SE361" s="55">
        <f>RV361</f>
        <v>46327</v>
      </c>
      <c r="SF361" s="56"/>
      <c r="SG361" s="242">
        <f>SUMPRODUCT(PRODUCE!$B356:$DY356,PRODUCE!$EB$61:$IY$61)</f>
        <v>0</v>
      </c>
      <c r="SH361" s="56"/>
      <c r="SI361" s="242">
        <f>SG361-SH361</f>
        <v>0</v>
      </c>
      <c r="SJ361" s="242">
        <f>SJ360+SF361-SH361</f>
        <v>24.200000000000003</v>
      </c>
      <c r="SK361" s="56"/>
      <c r="SN361" s="55">
        <f>SE361</f>
        <v>46327</v>
      </c>
      <c r="SO361" s="56"/>
      <c r="SP361" s="242">
        <f>SUMPRODUCT(PRODUCE!$B356:$DY356,PRODUCE!$EB$57:$IY$57)</f>
        <v>0</v>
      </c>
      <c r="SQ361" s="56"/>
      <c r="SR361" s="242">
        <f>SP361-SQ361</f>
        <v>0</v>
      </c>
      <c r="SS361" s="242">
        <f>SS360+SO361-SQ361</f>
        <v>32</v>
      </c>
      <c r="ST361" s="56"/>
      <c r="SW361" s="55">
        <f>SN361</f>
        <v>46327</v>
      </c>
      <c r="SX361" s="56"/>
      <c r="SY361" s="242">
        <f>SUMPRODUCT(PRODUCE!$B356:$DY356,PRODUCE!$EB$57:$IY$57)</f>
        <v>0</v>
      </c>
      <c r="SZ361" s="56"/>
      <c r="TA361" s="242">
        <f>SY361-SZ361</f>
        <v>0</v>
      </c>
      <c r="TB361" s="242">
        <f>TB360+SX361-SZ361</f>
        <v>0</v>
      </c>
      <c r="TC361" s="56"/>
      <c r="TF361" s="55">
        <f>SW361</f>
        <v>46327</v>
      </c>
      <c r="TG361" s="56"/>
      <c r="TH361" s="242">
        <f>SUMPRODUCT(PRODUCE!$B356:$DY356,PRODUCE!$EB$57:$IY$57)</f>
        <v>0</v>
      </c>
      <c r="TI361" s="56"/>
      <c r="TJ361" s="242">
        <f>TH361-TI361</f>
        <v>0</v>
      </c>
      <c r="TK361" s="242">
        <f>TK360+TG361-TI361</f>
        <v>0</v>
      </c>
      <c r="TL361" s="56"/>
      <c r="TO361" s="55">
        <f>TF361</f>
        <v>46327</v>
      </c>
      <c r="TP361" s="56"/>
      <c r="TQ361" s="242">
        <f>SUMPRODUCT(PRODUCE!$B356:$DY356,PRODUCE!$EB$57:$IY$57)</f>
        <v>0</v>
      </c>
      <c r="TR361" s="56"/>
      <c r="TS361" s="242">
        <f>TQ361-TR361</f>
        <v>0</v>
      </c>
      <c r="TT361" s="242">
        <f>TT360+TP361-TR361</f>
        <v>0</v>
      </c>
      <c r="TU361" s="56"/>
      <c r="TX361" s="55">
        <f>TO361</f>
        <v>46327</v>
      </c>
      <c r="TY361" s="56"/>
      <c r="TZ361" s="242">
        <f>SUMPRODUCT(PRODUCE!$B356:$DY356,PRODUCE!$EB$57:$IY$57)</f>
        <v>0</v>
      </c>
      <c r="UA361" s="56"/>
      <c r="UB361" s="242">
        <f>TZ361-UA361</f>
        <v>0</v>
      </c>
      <c r="UC361" s="242">
        <f>UC360+TY361-UA361</f>
        <v>46.799999999999983</v>
      </c>
      <c r="UD361" s="56"/>
      <c r="UG361" s="55">
        <f>TX361</f>
        <v>46327</v>
      </c>
      <c r="UH361" s="56"/>
      <c r="UI361" s="242">
        <f>SUMPRODUCT(PRODUCE!$B356:$DY356,PRODUCE!$EB$57:$IY$57)</f>
        <v>0</v>
      </c>
      <c r="UJ361" s="56"/>
      <c r="UK361" s="242">
        <f>UI361-UJ361</f>
        <v>0</v>
      </c>
      <c r="UL361" s="242">
        <f>UL360+UH361-UJ361</f>
        <v>204</v>
      </c>
      <c r="UM361" s="56"/>
      <c r="UP361" s="55">
        <f>UG361</f>
        <v>46327</v>
      </c>
      <c r="UQ361" s="56"/>
      <c r="UR361" s="242">
        <f>SUMPRODUCT(PRODUCE!$B356:$DY356,PRODUCE!$EB$57:$IY$57)</f>
        <v>0</v>
      </c>
      <c r="US361" s="56"/>
      <c r="UT361" s="242">
        <f>UR361-US361</f>
        <v>0</v>
      </c>
      <c r="UU361" s="242">
        <f>UU360+UQ361-US361</f>
        <v>202.5</v>
      </c>
      <c r="UV361" s="56"/>
      <c r="UY361" s="55">
        <f>UP361</f>
        <v>46327</v>
      </c>
      <c r="UZ361" s="56"/>
      <c r="VA361" s="242">
        <f>SUMPRODUCT(PRODUCE!$B356:$DY356,PRODUCE!$EB$57:$IY$57)</f>
        <v>0</v>
      </c>
      <c r="VB361" s="56"/>
      <c r="VC361" s="242">
        <f>VA361-VB361</f>
        <v>0</v>
      </c>
      <c r="VD361" s="242">
        <f>VD360+UZ361-VB361</f>
        <v>41.600000000000023</v>
      </c>
      <c r="VE361" s="56"/>
      <c r="VH361" s="55">
        <f>UY361</f>
        <v>46327</v>
      </c>
      <c r="VI361" s="56"/>
      <c r="VJ361" s="242">
        <f>SUMPRODUCT(PRODUCE!$B356:$DY356,PRODUCE!$EB$57:$IY$57)</f>
        <v>0</v>
      </c>
      <c r="VK361" s="56"/>
      <c r="VL361" s="242">
        <f>VJ361-VK361</f>
        <v>0</v>
      </c>
      <c r="VM361" s="242">
        <f>VM360+VI361-VK361</f>
        <v>210</v>
      </c>
      <c r="VN361" s="56"/>
      <c r="VQ361" s="55">
        <f>VH361</f>
        <v>46327</v>
      </c>
      <c r="VR361" s="56"/>
      <c r="VS361" s="242">
        <f>SUMPRODUCT(PRODUCE!$B356:$DY356,PRODUCE!$EB$57:$IY$57)</f>
        <v>0</v>
      </c>
      <c r="VT361" s="56"/>
      <c r="VU361" s="242">
        <f>VS361-VT361</f>
        <v>0</v>
      </c>
      <c r="VV361" s="242">
        <f>VV360+VR361-VT361</f>
        <v>0</v>
      </c>
      <c r="VW361" s="56"/>
      <c r="VZ361" s="55">
        <f>VQ361</f>
        <v>46327</v>
      </c>
      <c r="WA361" s="56"/>
      <c r="WB361" s="242">
        <f>SUMPRODUCT(PRODUCE!$B356:$DY356,PRODUCE!$EB$57:$IY$57)</f>
        <v>0</v>
      </c>
      <c r="WC361" s="56"/>
      <c r="WD361" s="242">
        <f>WB361-WC361</f>
        <v>0</v>
      </c>
      <c r="WE361" s="242">
        <f>WE360+WA361-WC361</f>
        <v>0</v>
      </c>
      <c r="WF361" s="56"/>
      <c r="WI361" s="55">
        <f>VZ361</f>
        <v>46327</v>
      </c>
      <c r="WJ361" s="56"/>
      <c r="WK361" s="242">
        <f>SUMPRODUCT(PRODUCE!$B356:$DY356,PRODUCE!$EB$57:$IY$57)</f>
        <v>0</v>
      </c>
      <c r="WL361" s="56"/>
      <c r="WM361" s="242">
        <f>WK361-WL361</f>
        <v>0</v>
      </c>
      <c r="WN361" s="242">
        <f>WN360+WJ361-WL361</f>
        <v>1057</v>
      </c>
      <c r="WO361" s="56"/>
      <c r="WR361" s="55">
        <f>WI361</f>
        <v>46327</v>
      </c>
      <c r="WS361" s="56"/>
      <c r="WT361" s="242">
        <f>SUMPRODUCT(PRODUCE!$B356:$DY356,PRODUCE!$EB$57:$IY$57)</f>
        <v>0</v>
      </c>
      <c r="WU361" s="56"/>
      <c r="WV361" s="242">
        <f>WT361-WU361</f>
        <v>0</v>
      </c>
      <c r="WW361" s="242">
        <f>WW360+WS361-WU361</f>
        <v>0</v>
      </c>
      <c r="WX361" s="56"/>
      <c r="XA361" s="55">
        <f>WR361</f>
        <v>46327</v>
      </c>
      <c r="XB361" s="56"/>
      <c r="XC361" s="242">
        <f>SUMPRODUCT(PRODUCE!$B356:$DY356,PRODUCE!$EB$57:$IY$57)</f>
        <v>0</v>
      </c>
      <c r="XD361" s="56"/>
      <c r="XE361" s="242">
        <f>XC361-XD361</f>
        <v>0</v>
      </c>
      <c r="XF361" s="242">
        <f>XF360+XB361-XD361</f>
        <v>7507</v>
      </c>
      <c r="XG361" s="56"/>
      <c r="XJ361" s="55">
        <f>XA361</f>
        <v>46327</v>
      </c>
      <c r="XK361" s="56"/>
      <c r="XL361" s="242">
        <f>SUMPRODUCT(PRODUCE!$B356:$DY356,PRODUCE!$EB$57:$IY$57)</f>
        <v>0</v>
      </c>
      <c r="XM361" s="56"/>
      <c r="XN361" s="242">
        <f>XL361-XM361</f>
        <v>0</v>
      </c>
      <c r="XO361" s="242">
        <f>XO360+XK361-XM361</f>
        <v>4252</v>
      </c>
      <c r="XP361" s="56"/>
      <c r="XS361" s="55">
        <f>XJ361</f>
        <v>46327</v>
      </c>
      <c r="XT361" s="56"/>
      <c r="XU361" s="242">
        <f>SUMPRODUCT(PRODUCE!$B356:$DY356,PRODUCE!$EB$57:$IY$57)</f>
        <v>0</v>
      </c>
      <c r="XV361" s="56"/>
      <c r="XW361" s="242">
        <f>XU361-XV361</f>
        <v>0</v>
      </c>
      <c r="XX361" s="242">
        <f>XX360+XT361-XV361</f>
        <v>2179</v>
      </c>
      <c r="XY361" s="56"/>
      <c r="YB361" s="55">
        <f>XS361</f>
        <v>46327</v>
      </c>
      <c r="YC361" s="56"/>
      <c r="YD361" s="242">
        <f>SUMPRODUCT(PRODUCE!$B356:$DY356,PRODUCE!$EB$57:$IY$57)</f>
        <v>0</v>
      </c>
      <c r="YE361" s="56"/>
      <c r="YF361" s="242">
        <f>YD361-YE361</f>
        <v>0</v>
      </c>
      <c r="YG361" s="242">
        <f>YG360+YC361-YE361</f>
        <v>4019</v>
      </c>
      <c r="YH361" s="56"/>
      <c r="YK361" s="55">
        <f>YB361</f>
        <v>46327</v>
      </c>
      <c r="YL361" s="56"/>
      <c r="YM361" s="242">
        <f>SUMPRODUCT(PRODUCE!$B356:$DY356,PRODUCE!$EB$57:$IY$57)</f>
        <v>0</v>
      </c>
      <c r="YN361" s="56"/>
      <c r="YO361" s="242">
        <f>YM361-YN361</f>
        <v>0</v>
      </c>
      <c r="YP361" s="242">
        <f>YP360+YL361-YN361</f>
        <v>-218</v>
      </c>
      <c r="YQ361" s="56"/>
      <c r="YT361" s="55">
        <f>YK361</f>
        <v>46327</v>
      </c>
      <c r="YU361" s="56"/>
      <c r="YV361" s="242">
        <f>SUMPRODUCT(PRODUCE!$B356:$DY356,PRODUCE!$EB$57:$IY$57)</f>
        <v>0</v>
      </c>
      <c r="YW361" s="56"/>
      <c r="YX361" s="242">
        <f>YV361-YW361</f>
        <v>0</v>
      </c>
      <c r="YY361" s="242">
        <f>YY360+YU361-YW361</f>
        <v>0</v>
      </c>
      <c r="YZ361" s="56"/>
      <c r="ZC361" s="55">
        <f>YT361</f>
        <v>46327</v>
      </c>
      <c r="ZD361" s="56"/>
      <c r="ZE361" s="242">
        <f>SUMPRODUCT(PRODUCE!$B356:$DY356,PRODUCE!$EB$57:$IY$57)</f>
        <v>0</v>
      </c>
      <c r="ZF361" s="56"/>
      <c r="ZG361" s="242">
        <f>ZE361-ZF361</f>
        <v>0</v>
      </c>
      <c r="ZH361" s="242">
        <f>ZH360+ZD361-ZF361</f>
        <v>0</v>
      </c>
      <c r="ZI361" s="56"/>
      <c r="ZL361" s="55">
        <f>ZC361</f>
        <v>46327</v>
      </c>
      <c r="ZM361" s="56"/>
      <c r="ZN361" s="242">
        <f>SUMPRODUCT(PRODUCE!$B356:$DY356,PRODUCE!$EB$57:$IY$57)</f>
        <v>0</v>
      </c>
      <c r="ZO361" s="56"/>
      <c r="ZP361" s="242">
        <f>ZN361-ZO361</f>
        <v>0</v>
      </c>
      <c r="ZQ361" s="242">
        <f>ZQ360+ZM361-ZO361</f>
        <v>0</v>
      </c>
      <c r="ZR361" s="56"/>
      <c r="ZU361" s="55">
        <f>ZL361</f>
        <v>46327</v>
      </c>
      <c r="ZV361" s="56"/>
      <c r="ZW361" s="242">
        <f>SUMPRODUCT(PRODUCE!$B356:$DY356,PRODUCE!$EB$57:$IY$57)</f>
        <v>0</v>
      </c>
      <c r="ZX361" s="56"/>
      <c r="ZY361" s="242">
        <f>ZW361-ZX361</f>
        <v>0</v>
      </c>
      <c r="ZZ361" s="242">
        <f>ZZ360+ZV361-ZX361</f>
        <v>0</v>
      </c>
      <c r="AAA361" s="56"/>
      <c r="AAD361" s="55">
        <f>ZU361</f>
        <v>46327</v>
      </c>
      <c r="AAE361" s="56"/>
      <c r="AAF361" s="242">
        <f>SUMPRODUCT(PRODUCE!$B356:$DY356,PRODUCE!$EB$57:$IY$57)</f>
        <v>0</v>
      </c>
      <c r="AAG361" s="56"/>
      <c r="AAH361" s="242">
        <f>AAF361-AAG361</f>
        <v>0</v>
      </c>
      <c r="AAI361" s="242">
        <f>AAI360+AAE361-AAG361</f>
        <v>0</v>
      </c>
      <c r="AAJ361" s="56"/>
      <c r="AAM361" s="55">
        <f>AAD361</f>
        <v>46327</v>
      </c>
      <c r="AAN361" s="56"/>
      <c r="AAO361" s="242">
        <f>SUMPRODUCT(PRODUCE!$B356:$DY356,PRODUCE!$EB$57:$IY$57)</f>
        <v>0</v>
      </c>
      <c r="AAP361" s="56"/>
      <c r="AAQ361" s="242">
        <f>AAO361-AAP361</f>
        <v>0</v>
      </c>
      <c r="AAR361" s="242">
        <f>AAR360+AAN361-AAP361</f>
        <v>0</v>
      </c>
      <c r="AAS361" s="56"/>
      <c r="AAV361" s="55">
        <f>AAM361</f>
        <v>46327</v>
      </c>
      <c r="AAW361" s="56"/>
      <c r="AAX361" s="242">
        <f>SUMPRODUCT(PRODUCE!$B356:$DY356,PRODUCE!$EB$57:$IY$57)</f>
        <v>0</v>
      </c>
      <c r="AAY361" s="56"/>
      <c r="AAZ361" s="242">
        <f>AAX361-AAY361</f>
        <v>0</v>
      </c>
      <c r="ABA361" s="242">
        <f>ABA360+AAW361-AAY361</f>
        <v>0</v>
      </c>
      <c r="ABB361" s="56"/>
      <c r="ABE361" s="55">
        <f>AAV361</f>
        <v>46327</v>
      </c>
      <c r="ABF361" s="56"/>
      <c r="ABG361" s="242">
        <f>SUMPRODUCT(PRODUCE!$B356:$DY356,PRODUCE!$EB$57:$IY$57)</f>
        <v>0</v>
      </c>
      <c r="ABH361" s="56"/>
      <c r="ABI361" s="242">
        <f>ABG361-ABH361</f>
        <v>0</v>
      </c>
      <c r="ABJ361" s="242">
        <f>ABJ360+ABF361-ABH361</f>
        <v>0</v>
      </c>
      <c r="ABK361" s="56"/>
    </row>
    <row r="362" spans="1:739" s="54" customFormat="1" ht="15" customHeight="1" outlineLevel="1">
      <c r="B362" s="478"/>
      <c r="C362" s="55">
        <v>46328</v>
      </c>
      <c r="D362" s="56"/>
      <c r="E362" s="57">
        <f>SUMPRODUCT(PRODUCE!$B357:$DY357,PRODUCE!$EB$7:$IY$7)</f>
        <v>0</v>
      </c>
      <c r="F362" s="56"/>
      <c r="G362" s="57">
        <f t="shared" ref="G362:G390" si="2482">E362-F362</f>
        <v>0</v>
      </c>
      <c r="H362" s="57">
        <f t="shared" ref="H362:H390" si="2483">H361+D362-F362</f>
        <v>236936.6</v>
      </c>
      <c r="I362" s="289"/>
      <c r="L362" s="55">
        <f t="shared" ref="L362:L390" si="2484">C362</f>
        <v>46328</v>
      </c>
      <c r="M362" s="56"/>
      <c r="N362" s="59">
        <f>SUMPRODUCT(PRODUCE!$B357:$DY357,PRODUCE!$EB$8:$IY$8)</f>
        <v>0</v>
      </c>
      <c r="O362" s="56"/>
      <c r="P362" s="59">
        <f t="shared" ref="P362:P390" si="2485">N362-O362</f>
        <v>0</v>
      </c>
      <c r="Q362" s="59">
        <f t="shared" ref="Q362:Q390" si="2486">Q361+M362-O362</f>
        <v>53017.600000000071</v>
      </c>
      <c r="R362" s="56"/>
      <c r="U362" s="55">
        <f t="shared" ref="U362:U390" si="2487">L362</f>
        <v>46328</v>
      </c>
      <c r="V362" s="56"/>
      <c r="W362" s="60">
        <f>SUMPRODUCT(PRODUCE!$B357:$DY357,PRODUCE!$EB$9:$IY$9)</f>
        <v>0</v>
      </c>
      <c r="X362" s="56"/>
      <c r="Y362" s="60">
        <f t="shared" ref="Y362:Y390" si="2488">W362-X362</f>
        <v>0</v>
      </c>
      <c r="Z362" s="60">
        <f t="shared" ref="Z362:Z390" si="2489">Z361+V362-X362</f>
        <v>42674.199999999968</v>
      </c>
      <c r="AA362" s="56"/>
      <c r="AD362" s="55">
        <f t="shared" ref="AD362:AD390" si="2490">U362</f>
        <v>46328</v>
      </c>
      <c r="AE362" s="56"/>
      <c r="AF362" s="61">
        <f>SUMPRODUCT(PRODUCE!$B357:$DY357,PRODUCE!$EB$10:$IY$10)</f>
        <v>0</v>
      </c>
      <c r="AG362" s="56"/>
      <c r="AH362" s="61">
        <f t="shared" ref="AH362:AH390" si="2491">AF362-AG362</f>
        <v>0</v>
      </c>
      <c r="AI362" s="61">
        <f t="shared" ref="AI362:AI390" si="2492">AI361+AE362-AG362</f>
        <v>4522.2000000000189</v>
      </c>
      <c r="AJ362" s="56"/>
      <c r="AM362" s="55">
        <f t="shared" ref="AM362:AM390" si="2493">AD362</f>
        <v>46328</v>
      </c>
      <c r="AN362" s="422"/>
      <c r="AO362" s="444">
        <f>SUMPRODUCT(PRODUCE!$B357:$DY357,PRODUCE!$EB$11:$IY$11)</f>
        <v>0</v>
      </c>
      <c r="AP362" s="422"/>
      <c r="AQ362" s="444">
        <f t="shared" ref="AQ362:AQ390" si="2494">AO362-AP362</f>
        <v>0</v>
      </c>
      <c r="AR362" s="444">
        <f t="shared" ref="AR362:AR390" si="2495">AR361+AN362-AP362</f>
        <v>0</v>
      </c>
      <c r="AS362" s="56"/>
      <c r="AV362" s="55">
        <f t="shared" ref="AV362:AV390" si="2496">AM362</f>
        <v>46328</v>
      </c>
      <c r="AW362" s="56"/>
      <c r="AX362" s="62">
        <f>SUMPRODUCT(PRODUCE!$B357:$DY357,PRODUCE!$EB$12:$IY$12)</f>
        <v>0</v>
      </c>
      <c r="AY362" s="56"/>
      <c r="AZ362" s="62">
        <f t="shared" ref="AZ362:AZ390" si="2497">AX362-AY362</f>
        <v>0</v>
      </c>
      <c r="BA362" s="62">
        <f t="shared" ref="BA362:BA390" si="2498">BA361+AW362-AY362</f>
        <v>124.99999999999523</v>
      </c>
      <c r="BB362" s="56"/>
      <c r="BE362" s="55">
        <f t="shared" ref="BE362:BE390" si="2499">AV362</f>
        <v>46328</v>
      </c>
      <c r="BF362" s="56"/>
      <c r="BG362" s="63">
        <f>SUMPRODUCT(PRODUCE!$B357:$DY357,PRODUCE!$EB$13:$IY$13)</f>
        <v>0</v>
      </c>
      <c r="BH362" s="56"/>
      <c r="BI362" s="63">
        <f t="shared" ref="BI362:BI390" si="2500">BG362-BH362</f>
        <v>0</v>
      </c>
      <c r="BJ362" s="63">
        <f t="shared" ref="BJ362:BJ390" si="2501">BJ361+BF362-BH362</f>
        <v>26151.899999999998</v>
      </c>
      <c r="BK362" s="56"/>
      <c r="BN362" s="55">
        <f t="shared" ref="BN362:BN390" si="2502">BE362</f>
        <v>46328</v>
      </c>
      <c r="BO362" s="56"/>
      <c r="BP362" s="64">
        <f>SUMPRODUCT(PRODUCE!$B357:$DY357,PRODUCE!$EB$14:$IY$14)</f>
        <v>0</v>
      </c>
      <c r="BQ362" s="56"/>
      <c r="BR362" s="64">
        <f t="shared" ref="BR362:BR390" si="2503">BP362-BQ362</f>
        <v>0</v>
      </c>
      <c r="BS362" s="64">
        <f t="shared" ref="BS362:BS390" si="2504">BS361+BO362-BQ362</f>
        <v>0</v>
      </c>
      <c r="BT362" s="56"/>
      <c r="BW362" s="55">
        <f t="shared" ref="BW362:BW390" si="2505">BN362</f>
        <v>46328</v>
      </c>
      <c r="BX362" s="56"/>
      <c r="BY362" s="65">
        <f>SUMPRODUCT(PRODUCE!$B357:$DY357,PRODUCE!$EB$15:$IY$15)</f>
        <v>0</v>
      </c>
      <c r="BZ362" s="56"/>
      <c r="CA362" s="65">
        <f t="shared" ref="CA362:CA390" si="2506">BY362-BZ362</f>
        <v>0</v>
      </c>
      <c r="CB362" s="65">
        <f t="shared" ref="CB362:CB390" si="2507">CB361+BX362-BZ362</f>
        <v>2097.3399999999992</v>
      </c>
      <c r="CC362" s="56"/>
      <c r="CF362" s="55">
        <f t="shared" ref="CF362:CF390" si="2508">BW362</f>
        <v>46328</v>
      </c>
      <c r="CG362" s="56"/>
      <c r="CH362" s="66">
        <f>SUMPRODUCT(PRODUCE!$B357:$DY357,PRODUCE!$EB$16:$IY$16)</f>
        <v>0</v>
      </c>
      <c r="CI362" s="56"/>
      <c r="CJ362" s="66">
        <f t="shared" ref="CJ362:CJ390" si="2509">CH362-CI362</f>
        <v>0</v>
      </c>
      <c r="CK362" s="66">
        <f t="shared" ref="CK362:CK390" si="2510">CK361+CG362-CI362</f>
        <v>-10277.079999999998</v>
      </c>
      <c r="CL362" s="56"/>
      <c r="CO362" s="55">
        <f t="shared" ref="CO362:CO390" si="2511">CF362</f>
        <v>46328</v>
      </c>
      <c r="CP362" s="422"/>
      <c r="CQ362" s="470">
        <f>SUMPRODUCT(PRODUCE!$B357:$DY357,PRODUCE!$EB$17:$IY$17)</f>
        <v>0</v>
      </c>
      <c r="CR362" s="422"/>
      <c r="CS362" s="470">
        <f t="shared" ref="CS362:CS390" si="2512">CQ362-CR362</f>
        <v>0</v>
      </c>
      <c r="CT362" s="470">
        <f t="shared" ref="CT362:CT390" si="2513">CT361+CP362-CR362</f>
        <v>0</v>
      </c>
      <c r="CU362" s="56"/>
      <c r="CX362" s="55">
        <f t="shared" ref="CX362:CX390" si="2514">CO362</f>
        <v>46328</v>
      </c>
      <c r="CY362" s="56"/>
      <c r="CZ362" s="133">
        <f>SUMPRODUCT(PRODUCE!$B357:$DY357,PRODUCE!$EB$18:$IY$18)</f>
        <v>0</v>
      </c>
      <c r="DA362" s="56"/>
      <c r="DB362" s="133">
        <f t="shared" ref="DB362:DB390" si="2515">CZ362-DA362</f>
        <v>0</v>
      </c>
      <c r="DC362" s="133">
        <f t="shared" ref="DC362:DC390" si="2516">DC361+CY362-DA362</f>
        <v>27438.200000000012</v>
      </c>
      <c r="DD362" s="56"/>
      <c r="DG362" s="55">
        <f t="shared" ref="DG362:DG390" si="2517">CX362</f>
        <v>46328</v>
      </c>
      <c r="DH362" s="56"/>
      <c r="DI362" s="147">
        <f>SUMPRODUCT(PRODUCE!$B357:$DY357,PRODUCE!$EB$19:$IY$19)</f>
        <v>0</v>
      </c>
      <c r="DJ362" s="56"/>
      <c r="DK362" s="147">
        <f t="shared" ref="DK362:DK390" si="2518">DI362-DJ362</f>
        <v>0</v>
      </c>
      <c r="DL362" s="147">
        <f t="shared" ref="DL362:DL390" si="2519">DL361+DH362-DJ362</f>
        <v>18782.299999999981</v>
      </c>
      <c r="DM362" s="56"/>
      <c r="DP362" s="55">
        <f t="shared" ref="DP362:DP390" si="2520">DG362</f>
        <v>46328</v>
      </c>
      <c r="DQ362" s="56"/>
      <c r="DR362" s="57">
        <f>SUMPRODUCT(PRODUCE!$B357:$DY357,PRODUCE!$EB$20:$IY$20)</f>
        <v>0</v>
      </c>
      <c r="DS362" s="56"/>
      <c r="DT362" s="57">
        <f t="shared" ref="DT362:DT390" si="2521">DR362-DS362</f>
        <v>0</v>
      </c>
      <c r="DU362" s="57">
        <f t="shared" ref="DU362:DU390" si="2522">DU361+DQ362-DS362</f>
        <v>5800</v>
      </c>
      <c r="DV362" s="56"/>
      <c r="DY362" s="55">
        <f t="shared" ref="DY362:DY390" si="2523">DP362</f>
        <v>46328</v>
      </c>
      <c r="DZ362" s="56"/>
      <c r="EA362" s="157">
        <f>SUMPRODUCT(PRODUCE!$B357:$DY357,PRODUCE!$EB$21:$IY$21)</f>
        <v>0</v>
      </c>
      <c r="EB362" s="56"/>
      <c r="EC362" s="157">
        <f t="shared" ref="EC362:EC390" si="2524">EA362-EB362</f>
        <v>0</v>
      </c>
      <c r="ED362" s="157">
        <f t="shared" ref="ED362:ED390" si="2525">ED361+DZ362-EB362</f>
        <v>0</v>
      </c>
      <c r="EE362" s="56"/>
      <c r="EH362" s="55">
        <f t="shared" ref="EH362:EH390" si="2526">DY362</f>
        <v>46328</v>
      </c>
      <c r="EI362" s="56"/>
      <c r="EJ362" s="162">
        <f>SUMPRODUCT(PRODUCE!$B357:$DY357,PRODUCE!$EB$22:$IY$22)</f>
        <v>0</v>
      </c>
      <c r="EK362" s="56"/>
      <c r="EL362" s="162">
        <f t="shared" ref="EL362:EL390" si="2527">EJ362-EK362</f>
        <v>0</v>
      </c>
      <c r="EM362" s="162">
        <f t="shared" ref="EM362:EM390" si="2528">EM361+EI362-EK362</f>
        <v>0</v>
      </c>
      <c r="EN362" s="56"/>
      <c r="EQ362" s="55">
        <f t="shared" ref="EQ362:EQ390" si="2529">EH362</f>
        <v>46328</v>
      </c>
      <c r="ER362" s="56"/>
      <c r="ES362" s="135">
        <f>SUMPRODUCT(PRODUCE!$B357:$DY357,PRODUCE!$EB$23:$IY$23)</f>
        <v>0</v>
      </c>
      <c r="ET362" s="56"/>
      <c r="EU362" s="135">
        <f t="shared" ref="EU362:EU390" si="2530">ES362-ET362</f>
        <v>0</v>
      </c>
      <c r="EV362" s="135">
        <f t="shared" ref="EV362:EV390" si="2531">EV361+ER362-ET362</f>
        <v>0</v>
      </c>
      <c r="EW362" s="56"/>
      <c r="EZ362" s="55">
        <f t="shared" ref="EZ362:EZ390" si="2532">EQ362</f>
        <v>46328</v>
      </c>
      <c r="FA362" s="56"/>
      <c r="FB362" s="175">
        <f>SUMPRODUCT(PRODUCE!$B357:$DY357,PRODUCE!$EB$24:$IY$24)</f>
        <v>0</v>
      </c>
      <c r="FC362" s="56"/>
      <c r="FD362" s="175">
        <f t="shared" ref="FD362:FD390" si="2533">FB362-FC362</f>
        <v>0</v>
      </c>
      <c r="FE362" s="175">
        <f t="shared" ref="FE362:FE390" si="2534">FE361+FA362-FC362</f>
        <v>0</v>
      </c>
      <c r="FF362" s="56"/>
      <c r="FI362" s="55">
        <f t="shared" ref="FI362:FI390" si="2535">EZ362</f>
        <v>46328</v>
      </c>
      <c r="FJ362" s="56"/>
      <c r="FK362" s="183">
        <f>SUMPRODUCT(PRODUCE!$B357:$DY357,PRODUCE!$EB$25:$IY$25)</f>
        <v>0</v>
      </c>
      <c r="FL362" s="56"/>
      <c r="FM362" s="183">
        <f t="shared" ref="FM362:FM390" si="2536">FK362-FL362</f>
        <v>0</v>
      </c>
      <c r="FN362" s="183">
        <f t="shared" ref="FN362:FN390" si="2537">FN361+FJ362-FL362</f>
        <v>0</v>
      </c>
      <c r="FO362" s="56"/>
      <c r="FR362" s="55">
        <f t="shared" ref="FR362:FR390" si="2538">FI362</f>
        <v>46328</v>
      </c>
      <c r="FS362" s="56"/>
      <c r="FT362" s="186">
        <f>SUMPRODUCT(PRODUCE!$B357:$DY357,PRODUCE!$EB$26:$IY$26)</f>
        <v>0</v>
      </c>
      <c r="FU362" s="56"/>
      <c r="FV362" s="186">
        <f t="shared" ref="FV362:FV390" si="2539">FT362-FU362</f>
        <v>0</v>
      </c>
      <c r="FW362" s="186">
        <f t="shared" ref="FW362:FW390" si="2540">FW361+FS362-FU362</f>
        <v>2020</v>
      </c>
      <c r="FX362" s="56"/>
      <c r="GA362" s="55">
        <f t="shared" ref="GA362:GA390" si="2541">FR362</f>
        <v>46328</v>
      </c>
      <c r="GB362" s="56"/>
      <c r="GC362" s="137">
        <f>SUMPRODUCT(PRODUCE!$B357:$DY357,PRODUCE!$EB$27:$IY$27)</f>
        <v>0</v>
      </c>
      <c r="GD362" s="56"/>
      <c r="GE362" s="137">
        <f t="shared" ref="GE362:GE390" si="2542">GC362-GD362</f>
        <v>0</v>
      </c>
      <c r="GF362" s="137">
        <f t="shared" ref="GF362:GF390" si="2543">GF361+GB362-GD362</f>
        <v>960</v>
      </c>
      <c r="GG362" s="56"/>
      <c r="GI362" s="23"/>
      <c r="GJ362" s="55">
        <f t="shared" ref="GJ362:GJ390" si="2544">GA362</f>
        <v>46328</v>
      </c>
      <c r="GK362" s="56"/>
      <c r="GL362" s="199">
        <f>SUMPRODUCT(PRODUCE!$B357:$DY357,PRODUCE!$EB$28:$IY$28)</f>
        <v>0</v>
      </c>
      <c r="GM362" s="56"/>
      <c r="GN362" s="199">
        <f t="shared" ref="GN362:GN390" si="2545">GL362-GM362</f>
        <v>0</v>
      </c>
      <c r="GO362" s="199">
        <f t="shared" ref="GO362:GO390" si="2546">GO361+GK362-GM362</f>
        <v>1760</v>
      </c>
      <c r="GP362" s="56"/>
      <c r="GS362" s="55">
        <f t="shared" ref="GS362:GS390" si="2547">GJ362</f>
        <v>46328</v>
      </c>
      <c r="GT362" s="56"/>
      <c r="GU362" s="195">
        <f>SUMPRODUCT(PRODUCE!$B357:$DY357,PRODUCE!$EB$29:$IY$29)</f>
        <v>0</v>
      </c>
      <c r="GV362" s="56"/>
      <c r="GW362" s="195">
        <f t="shared" ref="GW362:GW390" si="2548">GU362-GV362</f>
        <v>0</v>
      </c>
      <c r="GX362" s="195">
        <f t="shared" ref="GX362:GX390" si="2549">GX361+GT362-GV362</f>
        <v>400</v>
      </c>
      <c r="GY362" s="56"/>
      <c r="HB362" s="55">
        <f t="shared" ref="HB362:HB390" si="2550">GS362</f>
        <v>46328</v>
      </c>
      <c r="HC362" s="56"/>
      <c r="HD362" s="191">
        <f>SUMPRODUCT(PRODUCE!$B357:$DY357,PRODUCE!$EB$30:$IY$30)</f>
        <v>0</v>
      </c>
      <c r="HE362" s="56"/>
      <c r="HF362" s="191">
        <f t="shared" ref="HF362:HF390" si="2551">HD362-HE362</f>
        <v>0</v>
      </c>
      <c r="HG362" s="191">
        <f t="shared" ref="HG362:HG390" si="2552">HG361+HC362-HE362</f>
        <v>3600</v>
      </c>
      <c r="HH362" s="56"/>
      <c r="HK362" s="55">
        <f t="shared" ref="HK362:HK390" si="2553">HB362</f>
        <v>46328</v>
      </c>
      <c r="HL362" s="56"/>
      <c r="HM362" s="63">
        <f>SUMPRODUCT(PRODUCE!$B357:$DY357,PRODUCE!$EB$31:$IY$31)</f>
        <v>0</v>
      </c>
      <c r="HN362" s="56"/>
      <c r="HO362" s="63">
        <f t="shared" ref="HO362:HO390" si="2554">HM362-HN362</f>
        <v>0</v>
      </c>
      <c r="HP362" s="63">
        <f t="shared" ref="HP362:HP390" si="2555">HP361+HL362-HN362</f>
        <v>0</v>
      </c>
      <c r="HQ362" s="56"/>
      <c r="HU362" s="55">
        <f t="shared" ref="HU362:HU390" si="2556">HK362</f>
        <v>46328</v>
      </c>
      <c r="HV362" s="56"/>
      <c r="HW362" s="242">
        <f>SUMPRODUCT(PRODUCE!$B357:$DY357,PRODUCE!$EB$32:$IY$32)</f>
        <v>0</v>
      </c>
      <c r="HX362" s="56"/>
      <c r="HY362" s="242">
        <f t="shared" ref="HY362:HY390" si="2557">HW362-HX362</f>
        <v>0</v>
      </c>
      <c r="HZ362" s="242">
        <f t="shared" ref="HZ362:HZ390" si="2558">HZ361+HV362-HX362</f>
        <v>6120</v>
      </c>
      <c r="IA362" s="56"/>
      <c r="ID362" s="55">
        <f t="shared" ref="ID362:ID390" si="2559">HU362</f>
        <v>46328</v>
      </c>
      <c r="IE362" s="56"/>
      <c r="IF362" s="242">
        <f>SUMPRODUCT(PRODUCE!$B357:$DY357,PRODUCE!$EB$33:$IY$33)</f>
        <v>0</v>
      </c>
      <c r="IG362" s="56"/>
      <c r="IH362" s="242">
        <f t="shared" ref="IH362:IH390" si="2560">IF362-IG362</f>
        <v>0</v>
      </c>
      <c r="II362" s="242">
        <f t="shared" ref="II362:II390" si="2561">II361+IE362-IG362</f>
        <v>0</v>
      </c>
      <c r="IJ362" s="56"/>
      <c r="IM362" s="55">
        <f t="shared" ref="IM362:IM390" si="2562">ID362</f>
        <v>46328</v>
      </c>
      <c r="IN362" s="56"/>
      <c r="IO362" s="242">
        <f>SUMPRODUCT(PRODUCE!$B357:$DY357,PRODUCE!$EB$34:$IY$34)</f>
        <v>0</v>
      </c>
      <c r="IP362" s="56"/>
      <c r="IQ362" s="242">
        <f t="shared" ref="IQ362:IQ390" si="2563">IO362-IP362</f>
        <v>0</v>
      </c>
      <c r="IR362" s="242">
        <f t="shared" ref="IR362:IR390" si="2564">IR361+IN362-IP362</f>
        <v>0</v>
      </c>
      <c r="IS362" s="56"/>
      <c r="IV362" s="55">
        <f t="shared" ref="IV362:IV390" si="2565">IM362</f>
        <v>46328</v>
      </c>
      <c r="IW362" s="56"/>
      <c r="IX362" s="242">
        <f>SUMPRODUCT(PRODUCE!$B357:$DY357,PRODUCE!$EB$35:$IY$35)</f>
        <v>0</v>
      </c>
      <c r="IY362" s="56"/>
      <c r="IZ362" s="242">
        <f t="shared" ref="IZ362:IZ390" si="2566">IX362-IY362</f>
        <v>0</v>
      </c>
      <c r="JA362" s="242">
        <f t="shared" ref="JA362:JA390" si="2567">JA361+IW362-IY362</f>
        <v>2820</v>
      </c>
      <c r="JB362" s="56"/>
      <c r="JE362" s="55">
        <f t="shared" ref="JE362:JE390" si="2568">IV362</f>
        <v>46328</v>
      </c>
      <c r="JF362" s="56"/>
      <c r="JG362" s="242">
        <f>SUMPRODUCT(PRODUCE!$B357:$DY357,PRODUCE!$EB$36:$IY$36)</f>
        <v>0</v>
      </c>
      <c r="JH362" s="56"/>
      <c r="JI362" s="242">
        <f t="shared" ref="JI362:JI390" si="2569">JG362-JH362</f>
        <v>0</v>
      </c>
      <c r="JJ362" s="242">
        <f t="shared" ref="JJ362:JJ390" si="2570">JJ361+JF362-JH362</f>
        <v>0</v>
      </c>
      <c r="JK362" s="56"/>
      <c r="JN362" s="55">
        <f t="shared" ref="JN362:JN390" si="2571">JE362</f>
        <v>46328</v>
      </c>
      <c r="JO362" s="56"/>
      <c r="JP362" s="242">
        <f>SUMPRODUCT(PRODUCE!$B357:$DY357,PRODUCE!$EB$37:$IY$37)</f>
        <v>0</v>
      </c>
      <c r="JQ362" s="56"/>
      <c r="JR362" s="242">
        <f t="shared" ref="JR362:JR390" si="2572">JP362-JQ362</f>
        <v>0</v>
      </c>
      <c r="JS362" s="242">
        <f t="shared" ref="JS362:JS390" si="2573">JS361+JO362-JQ362</f>
        <v>0</v>
      </c>
      <c r="JT362" s="56"/>
      <c r="JW362" s="55">
        <f t="shared" ref="JW362:JW390" si="2574">JN362</f>
        <v>46328</v>
      </c>
      <c r="JX362" s="56"/>
      <c r="JY362" s="242">
        <f>SUMPRODUCT(PRODUCE!$B357:$DY357,PRODUCE!$EB$38:$IY$38)</f>
        <v>0</v>
      </c>
      <c r="JZ362" s="56"/>
      <c r="KA362" s="242">
        <f t="shared" ref="KA362:KA390" si="2575">JY362-JZ362</f>
        <v>0</v>
      </c>
      <c r="KB362" s="242">
        <f t="shared" ref="KB362:KB390" si="2576">KB361+JX362-JZ362</f>
        <v>2540</v>
      </c>
      <c r="KC362" s="56"/>
      <c r="KF362" s="55">
        <f t="shared" ref="KF362:KF390" si="2577">JW362</f>
        <v>46328</v>
      </c>
      <c r="KG362" s="56"/>
      <c r="KH362" s="242">
        <f>SUMPRODUCT(PRODUCE!$B357:$DY357,PRODUCE!$EB$39:$IY$39)</f>
        <v>0</v>
      </c>
      <c r="KI362" s="56"/>
      <c r="KJ362" s="242">
        <f t="shared" ref="KJ362:KJ390" si="2578">KH362-KI362</f>
        <v>0</v>
      </c>
      <c r="KK362" s="242">
        <f t="shared" ref="KK362:KK390" si="2579">KK361+KG362-KI362</f>
        <v>2359.5</v>
      </c>
      <c r="KL362" s="56"/>
      <c r="KO362" s="55">
        <f t="shared" ref="KO362:KO390" si="2580">KF362</f>
        <v>46328</v>
      </c>
      <c r="KP362" s="56"/>
      <c r="KQ362" s="242">
        <f>SUMPRODUCT(PRODUCE!$B357:$DY357,PRODUCE!$EB$40:$IY$40)</f>
        <v>0</v>
      </c>
      <c r="KR362" s="56"/>
      <c r="KS362" s="242">
        <f t="shared" ref="KS362:KS390" si="2581">KQ362-KR362</f>
        <v>0</v>
      </c>
      <c r="KT362" s="242">
        <f t="shared" ref="KT362:KT390" si="2582">KT361+KP362-KR362</f>
        <v>1890</v>
      </c>
      <c r="KU362" s="56"/>
      <c r="KW362" s="23"/>
      <c r="KX362" s="55">
        <f t="shared" ref="KX362:KX390" si="2583">KO362</f>
        <v>46328</v>
      </c>
      <c r="KY362" s="56"/>
      <c r="KZ362" s="242">
        <f>SUMPRODUCT(PRODUCE!$B357:$DY357,PRODUCE!$EB$41:$IY$41)</f>
        <v>0</v>
      </c>
      <c r="LA362" s="56"/>
      <c r="LB362" s="242">
        <f t="shared" ref="LB362:LB390" si="2584">KZ362-LA362</f>
        <v>0</v>
      </c>
      <c r="LC362" s="242">
        <f t="shared" ref="LC362:LC390" si="2585">LC361+KY362-LA362</f>
        <v>3690</v>
      </c>
      <c r="LD362" s="56"/>
      <c r="LG362" s="55">
        <f t="shared" ref="LG362:LG390" si="2586">KX362</f>
        <v>46328</v>
      </c>
      <c r="LH362" s="56"/>
      <c r="LI362" s="242">
        <f>SUMPRODUCT(PRODUCE!$B357:$DY357,PRODUCE!$EB$42:$IY$42)</f>
        <v>0</v>
      </c>
      <c r="LJ362" s="56"/>
      <c r="LK362" s="242">
        <f t="shared" ref="LK362:LK390" si="2587">LI362-LJ362</f>
        <v>0</v>
      </c>
      <c r="LL362" s="242">
        <f t="shared" ref="LL362:LL390" si="2588">LL361+LH362-LJ362</f>
        <v>4000</v>
      </c>
      <c r="LM362" s="56"/>
      <c r="LP362" s="55">
        <f t="shared" ref="LP362:LP390" si="2589">LG362</f>
        <v>46328</v>
      </c>
      <c r="LQ362" s="56"/>
      <c r="LR362" s="242">
        <f>SUMPRODUCT(PRODUCE!$B377:$DY377,PRODUCE!$EB$43:$IY$43)</f>
        <v>0</v>
      </c>
      <c r="LS362" s="56"/>
      <c r="LT362" s="242">
        <f t="shared" ref="LT362:LT390" si="2590">LR362-LS362</f>
        <v>0</v>
      </c>
      <c r="LU362" s="242">
        <f t="shared" ref="LU362:LU390" si="2591">LU361+LQ362-LS362</f>
        <v>0</v>
      </c>
      <c r="LV362" s="56"/>
      <c r="LY362" s="55">
        <f t="shared" ref="LY362:LY390" si="2592">LP362</f>
        <v>46328</v>
      </c>
      <c r="LZ362" s="56"/>
      <c r="MA362" s="242">
        <f>SUMPRODUCT(PRODUCE!$B357:$DY357,PRODUCE!$EB$44:$IY$44)</f>
        <v>0</v>
      </c>
      <c r="MB362" s="56"/>
      <c r="MC362" s="242">
        <f t="shared" ref="MC362:MC390" si="2593">MA362-MB362</f>
        <v>0</v>
      </c>
      <c r="MD362" s="242">
        <f t="shared" ref="MD362:MD390" si="2594">MD361+LZ362-MB362</f>
        <v>0</v>
      </c>
      <c r="ME362" s="56"/>
      <c r="MH362" s="55">
        <f t="shared" ref="MH362:MH390" si="2595">LY362</f>
        <v>46328</v>
      </c>
      <c r="MI362" s="56"/>
      <c r="MJ362" s="242">
        <f>SUMPRODUCT(PRODUCE!$B357:$DY357,PRODUCE!$EB$45:$IY$45)</f>
        <v>0</v>
      </c>
      <c r="MK362" s="56"/>
      <c r="ML362" s="242">
        <f t="shared" ref="ML362:ML390" si="2596">MJ362-MK362</f>
        <v>0</v>
      </c>
      <c r="MM362" s="242">
        <f t="shared" ref="MM362:MM390" si="2597">MM361+MI362-MK362</f>
        <v>0</v>
      </c>
      <c r="MN362" s="56"/>
      <c r="MQ362" s="55">
        <f t="shared" ref="MQ362:MQ390" si="2598">MH362</f>
        <v>46328</v>
      </c>
      <c r="MR362" s="56"/>
      <c r="MS362" s="242">
        <f>SUMPRODUCT(PRODUCE!$B357:$DY357,PRODUCE!$EB$46:$IY$46)</f>
        <v>0</v>
      </c>
      <c r="MT362" s="56"/>
      <c r="MU362" s="242">
        <f t="shared" ref="MU362:MU390" si="2599">MS362-MT362</f>
        <v>0</v>
      </c>
      <c r="MV362" s="242">
        <f t="shared" ref="MV362:MV390" si="2600">MV361+MR362-MT362</f>
        <v>1625</v>
      </c>
      <c r="MW362" s="56"/>
      <c r="MZ362" s="55">
        <f t="shared" ref="MZ362:MZ390" si="2601">MQ362</f>
        <v>46328</v>
      </c>
      <c r="NA362" s="56"/>
      <c r="NB362" s="242">
        <f>SUMPRODUCT(PRODUCE!$B357:$DY357,PRODUCE!$EB$47:$IY$47)</f>
        <v>0</v>
      </c>
      <c r="NC362" s="56"/>
      <c r="ND362" s="242">
        <f t="shared" ref="ND362:ND390" si="2602">NB362-NC362</f>
        <v>0</v>
      </c>
      <c r="NE362" s="242">
        <f t="shared" ref="NE362:NE390" si="2603">NE361+NA362-NC362</f>
        <v>0</v>
      </c>
      <c r="NF362" s="56"/>
      <c r="NI362" s="55">
        <f t="shared" ref="NI362:NI390" si="2604">MZ362</f>
        <v>46328</v>
      </c>
      <c r="NJ362" s="56"/>
      <c r="NK362" s="242">
        <f>SUMPRODUCT(PRODUCE!$B357:$DY357,PRODUCE!$EB$48:$IY$48)</f>
        <v>0</v>
      </c>
      <c r="NL362" s="56"/>
      <c r="NM362" s="242">
        <f t="shared" ref="NM362:NM390" si="2605">NK362-NL362</f>
        <v>0</v>
      </c>
      <c r="NN362" s="242">
        <f t="shared" ref="NN362:NN390" si="2606">NN361+NJ362-NL362</f>
        <v>1127</v>
      </c>
      <c r="NO362" s="56"/>
      <c r="NR362" s="55">
        <f t="shared" ref="NR362:NR390" si="2607">MZ362</f>
        <v>46328</v>
      </c>
      <c r="NS362" s="56"/>
      <c r="NT362" s="242">
        <f>SUMPRODUCT(PRODUCE!$B357:$DY357,PRODUCE!$EB$49:$IY$49)</f>
        <v>0</v>
      </c>
      <c r="NU362" s="56"/>
      <c r="NV362" s="242">
        <f t="shared" ref="NV362:NV390" si="2608">NT362-NU362</f>
        <v>0</v>
      </c>
      <c r="NW362" s="242">
        <f t="shared" ref="NW362:NW390" si="2609">NW361+NS362-NU362</f>
        <v>3111.9999999999995</v>
      </c>
      <c r="NX362" s="56"/>
      <c r="OA362" s="55">
        <f t="shared" ref="OA362:OA390" si="2610">NR362</f>
        <v>46328</v>
      </c>
      <c r="OB362" s="56"/>
      <c r="OC362" s="242">
        <f>SUMPRODUCT(PRODUCE!$B357:$DY357,PRODUCE!$EB$50:$IY$50)</f>
        <v>0</v>
      </c>
      <c r="OD362" s="56"/>
      <c r="OE362" s="242">
        <f t="shared" ref="OE362:OE390" si="2611">OC362-OD362</f>
        <v>0</v>
      </c>
      <c r="OF362" s="242">
        <f t="shared" ref="OF362:OF390" si="2612">OF361+OB362-OD362</f>
        <v>1680.5</v>
      </c>
      <c r="OG362" s="56"/>
      <c r="OJ362" s="55">
        <f t="shared" ref="OJ362:OJ390" si="2613">OA362</f>
        <v>46328</v>
      </c>
      <c r="OK362" s="56"/>
      <c r="OL362" s="242">
        <f>SUMPRODUCT(PRODUCE!$B357:$DY357,PRODUCE!$EB$51:$IY$51)</f>
        <v>0</v>
      </c>
      <c r="OM362" s="56"/>
      <c r="ON362" s="242">
        <f t="shared" ref="ON362:ON390" si="2614">OL362-OM362</f>
        <v>0</v>
      </c>
      <c r="OO362" s="242">
        <f t="shared" ref="OO362:OO390" si="2615">OO361+OK362-OM362</f>
        <v>0</v>
      </c>
      <c r="OP362" s="56"/>
      <c r="OS362" s="55">
        <f t="shared" ref="OS362:OS390" si="2616">OJ362</f>
        <v>46328</v>
      </c>
      <c r="OT362" s="56"/>
      <c r="OU362" s="242">
        <f>SUMPRODUCT(PRODUCE!$B357:$DY357,PRODUCE!$EB$52:$IY$52)</f>
        <v>0</v>
      </c>
      <c r="OV362" s="56"/>
      <c r="OW362" s="242">
        <f t="shared" ref="OW362:OW390" si="2617">OU362-OV362</f>
        <v>0</v>
      </c>
      <c r="OX362" s="242">
        <f t="shared" ref="OX362:OX390" si="2618">OX361+OT362-OV362</f>
        <v>1482</v>
      </c>
      <c r="OY362" s="56"/>
      <c r="PB362" s="55">
        <f t="shared" ref="PB362:PB390" si="2619">OS362</f>
        <v>46328</v>
      </c>
      <c r="PC362" s="56"/>
      <c r="PD362" s="242">
        <f>SUMPRODUCT(PRODUCE!$B357:$DY357,PRODUCE!$EB$53:$IY$53)</f>
        <v>0</v>
      </c>
      <c r="PE362" s="56"/>
      <c r="PF362" s="242">
        <f t="shared" ref="PF362:PF390" si="2620">PD362-PE362</f>
        <v>0</v>
      </c>
      <c r="PG362" s="242">
        <f t="shared" ref="PG362:PG390" si="2621">PG361+PC362-PE362</f>
        <v>0</v>
      </c>
      <c r="PH362" s="56"/>
      <c r="PK362" s="55">
        <f t="shared" ref="PK362:PK390" si="2622">PB362</f>
        <v>46328</v>
      </c>
      <c r="PL362" s="56"/>
      <c r="PM362" s="242">
        <f>SUMPRODUCT(PRODUCE!$B357:$DY357,PRODUCE!$EB$54:$IY$54)</f>
        <v>0</v>
      </c>
      <c r="PN362" s="56"/>
      <c r="PO362" s="242">
        <f t="shared" ref="PO362:PO390" si="2623">PM362-PN362</f>
        <v>0</v>
      </c>
      <c r="PP362" s="242">
        <f t="shared" ref="PP362:PP390" si="2624">PP361+PL362-PN362</f>
        <v>100</v>
      </c>
      <c r="PQ362" s="56"/>
      <c r="PT362" s="55">
        <f t="shared" ref="PT362:PT390" si="2625">PK362</f>
        <v>46328</v>
      </c>
      <c r="PU362" s="56"/>
      <c r="PV362" s="242">
        <f>SUMPRODUCT(PRODUCE!$B357:$DY357,PRODUCE!$EB$55:$IY$55)</f>
        <v>0</v>
      </c>
      <c r="PW362" s="56"/>
      <c r="PX362" s="242">
        <f t="shared" ref="PX362:PX390" si="2626">PV362-PW362</f>
        <v>0</v>
      </c>
      <c r="PY362" s="242">
        <f t="shared" ref="PY362:PY390" si="2627">PY361+PU362-PW362</f>
        <v>13.960000000000036</v>
      </c>
      <c r="PZ362" s="56"/>
      <c r="QC362" s="55">
        <f t="shared" ref="QC362:QC390" si="2628">PT362</f>
        <v>46328</v>
      </c>
      <c r="QD362" s="56"/>
      <c r="QE362" s="242">
        <f>SUMPRODUCT(PRODUCE!$B357:$DY357,PRODUCE!$EB$56:$IY$56)</f>
        <v>0</v>
      </c>
      <c r="QF362" s="56"/>
      <c r="QG362" s="242">
        <f t="shared" ref="QG362:QG390" si="2629">QE362-QF362</f>
        <v>0</v>
      </c>
      <c r="QH362" s="242">
        <f t="shared" ref="QH362:QH390" si="2630">QH361+QD362-QF362</f>
        <v>548</v>
      </c>
      <c r="QI362" s="56"/>
      <c r="QL362" s="55">
        <f t="shared" ref="QL362:QL390" si="2631">QC362</f>
        <v>46328</v>
      </c>
      <c r="QM362" s="56"/>
      <c r="QN362" s="242">
        <f>SUMPRODUCT(PRODUCE!$B357:$DY357,PRODUCE!$EB$57:$IY$57)</f>
        <v>0</v>
      </c>
      <c r="QO362" s="56"/>
      <c r="QP362" s="242">
        <f t="shared" ref="QP362:QP390" si="2632">QN362-QO362</f>
        <v>0</v>
      </c>
      <c r="QQ362" s="242">
        <f t="shared" ref="QQ362:QQ390" si="2633">QQ361+QM362-QO362</f>
        <v>0</v>
      </c>
      <c r="QR362" s="56"/>
      <c r="QU362" s="55">
        <f t="shared" ref="QU362:QU390" si="2634">QL362</f>
        <v>46328</v>
      </c>
      <c r="QV362" s="56"/>
      <c r="QW362" s="242">
        <f>SUMPRODUCT(PRODUCE!$B357:$DY357,PRODUCE!$EB$57:$IY$57)</f>
        <v>0</v>
      </c>
      <c r="QX362" s="56"/>
      <c r="QY362" s="242">
        <f t="shared" ref="QY362:QY390" si="2635">QW362-QX362</f>
        <v>0</v>
      </c>
      <c r="QZ362" s="242">
        <f t="shared" ref="QZ362:QZ390" si="2636">QZ361+QV362-QX362</f>
        <v>0</v>
      </c>
      <c r="RA362" s="56"/>
      <c r="RD362" s="55">
        <f t="shared" ref="RD362:RD390" si="2637">QU362</f>
        <v>46328</v>
      </c>
      <c r="RE362" s="56"/>
      <c r="RF362" s="242">
        <f>SUMPRODUCT(PRODUCE!$B357:$DY357,PRODUCE!$EB$58:$IY$58)</f>
        <v>0</v>
      </c>
      <c r="RG362" s="56"/>
      <c r="RH362" s="242">
        <f t="shared" ref="RH362:RH390" si="2638">RF362-RG362</f>
        <v>0</v>
      </c>
      <c r="RI362" s="242">
        <f t="shared" ref="RI362:RI390" si="2639">RI361+RE362-RG362</f>
        <v>147.04000000000002</v>
      </c>
      <c r="RJ362" s="56"/>
      <c r="RM362" s="55">
        <f t="shared" ref="RM362:RM390" si="2640">RD362</f>
        <v>46328</v>
      </c>
      <c r="RN362" s="56"/>
      <c r="RO362" s="242">
        <f>SUMPRODUCT(PRODUCE!$B357:$DY357,PRODUCE!$EB$57:$IY$57)</f>
        <v>0</v>
      </c>
      <c r="RP362" s="56"/>
      <c r="RQ362" s="242">
        <f t="shared" ref="RQ362:RQ390" si="2641">RO362-RP362</f>
        <v>0</v>
      </c>
      <c r="RR362" s="242">
        <f t="shared" ref="RR362:RR390" si="2642">RR361+RN362-RP362</f>
        <v>46.8</v>
      </c>
      <c r="RS362" s="56"/>
      <c r="RV362" s="55">
        <f t="shared" ref="RV362:RV390" si="2643">RM362</f>
        <v>46328</v>
      </c>
      <c r="RW362" s="56"/>
      <c r="RX362" s="242">
        <f>SUMPRODUCT(PRODUCE!$B357:$DY357,PRODUCE!$EB$57:$IY$57)</f>
        <v>0</v>
      </c>
      <c r="RY362" s="56"/>
      <c r="RZ362" s="242">
        <f t="shared" ref="RZ362:RZ390" si="2644">RX362-RY362</f>
        <v>0</v>
      </c>
      <c r="SA362" s="242">
        <f t="shared" ref="SA362:SA390" si="2645">SA361+RW362-RY362</f>
        <v>0</v>
      </c>
      <c r="SB362" s="56"/>
      <c r="SE362" s="55">
        <f t="shared" ref="SE362:SE390" si="2646">RV362</f>
        <v>46328</v>
      </c>
      <c r="SF362" s="56"/>
      <c r="SG362" s="242">
        <f>SUMPRODUCT(PRODUCE!$B357:$DY357,PRODUCE!$EB$61:$IY$61)</f>
        <v>0</v>
      </c>
      <c r="SH362" s="56"/>
      <c r="SI362" s="242">
        <f t="shared" ref="SI362:SI390" si="2647">SG362-SH362</f>
        <v>0</v>
      </c>
      <c r="SJ362" s="242">
        <f t="shared" ref="SJ362:SJ390" si="2648">SJ361+SF362-SH362</f>
        <v>24.200000000000003</v>
      </c>
      <c r="SK362" s="56"/>
      <c r="SN362" s="55">
        <f t="shared" ref="SN362:SN390" si="2649">SE362</f>
        <v>46328</v>
      </c>
      <c r="SO362" s="56"/>
      <c r="SP362" s="242">
        <f>SUMPRODUCT(PRODUCE!$B357:$DY357,PRODUCE!$EB$57:$IY$57)</f>
        <v>0</v>
      </c>
      <c r="SQ362" s="56"/>
      <c r="SR362" s="242">
        <f t="shared" ref="SR362:SR390" si="2650">SP362-SQ362</f>
        <v>0</v>
      </c>
      <c r="SS362" s="242">
        <f t="shared" ref="SS362:SS390" si="2651">SS361+SO362-SQ362</f>
        <v>32</v>
      </c>
      <c r="ST362" s="56"/>
      <c r="SW362" s="55">
        <f t="shared" ref="SW362:SW390" si="2652">SN362</f>
        <v>46328</v>
      </c>
      <c r="SX362" s="56"/>
      <c r="SY362" s="242">
        <f>SUMPRODUCT(PRODUCE!$B357:$DY357,PRODUCE!$EB$57:$IY$57)</f>
        <v>0</v>
      </c>
      <c r="SZ362" s="56"/>
      <c r="TA362" s="242">
        <f t="shared" ref="TA362:TA390" si="2653">SY362-SZ362</f>
        <v>0</v>
      </c>
      <c r="TB362" s="242">
        <f t="shared" ref="TB362:TB390" si="2654">TB361+SX362-SZ362</f>
        <v>0</v>
      </c>
      <c r="TC362" s="56"/>
      <c r="TF362" s="55">
        <f t="shared" ref="TF362:TF390" si="2655">SW362</f>
        <v>46328</v>
      </c>
      <c r="TG362" s="56"/>
      <c r="TH362" s="242">
        <f>SUMPRODUCT(PRODUCE!$B357:$DY357,PRODUCE!$EB$57:$IY$57)</f>
        <v>0</v>
      </c>
      <c r="TI362" s="56"/>
      <c r="TJ362" s="242">
        <f t="shared" ref="TJ362:TJ390" si="2656">TH362-TI362</f>
        <v>0</v>
      </c>
      <c r="TK362" s="242">
        <f t="shared" ref="TK362:TK390" si="2657">TK361+TG362-TI362</f>
        <v>0</v>
      </c>
      <c r="TL362" s="56"/>
      <c r="TO362" s="55">
        <f t="shared" ref="TO362:TO390" si="2658">TF362</f>
        <v>46328</v>
      </c>
      <c r="TP362" s="56"/>
      <c r="TQ362" s="242">
        <f>SUMPRODUCT(PRODUCE!$B357:$DY357,PRODUCE!$EB$57:$IY$57)</f>
        <v>0</v>
      </c>
      <c r="TR362" s="56"/>
      <c r="TS362" s="242">
        <f t="shared" ref="TS362:TS390" si="2659">TQ362-TR362</f>
        <v>0</v>
      </c>
      <c r="TT362" s="242">
        <f t="shared" ref="TT362:TT390" si="2660">TT361+TP362-TR362</f>
        <v>0</v>
      </c>
      <c r="TU362" s="56"/>
      <c r="TX362" s="55">
        <f t="shared" ref="TX362:TX390" si="2661">TO362</f>
        <v>46328</v>
      </c>
      <c r="TY362" s="56"/>
      <c r="TZ362" s="242">
        <f>SUMPRODUCT(PRODUCE!$B357:$DY357,PRODUCE!$EB$57:$IY$57)</f>
        <v>0</v>
      </c>
      <c r="UA362" s="56"/>
      <c r="UB362" s="242">
        <f t="shared" ref="UB362:UB390" si="2662">TZ362-UA362</f>
        <v>0</v>
      </c>
      <c r="UC362" s="242">
        <f t="shared" ref="UC362:UC390" si="2663">UC361+TY362-UA362</f>
        <v>46.799999999999983</v>
      </c>
      <c r="UD362" s="56"/>
      <c r="UG362" s="55">
        <f t="shared" ref="UG362:UG390" si="2664">TX362</f>
        <v>46328</v>
      </c>
      <c r="UH362" s="56"/>
      <c r="UI362" s="242">
        <f>SUMPRODUCT(PRODUCE!$B357:$DY357,PRODUCE!$EB$57:$IY$57)</f>
        <v>0</v>
      </c>
      <c r="UJ362" s="56"/>
      <c r="UK362" s="242">
        <f t="shared" ref="UK362:UK390" si="2665">UI362-UJ362</f>
        <v>0</v>
      </c>
      <c r="UL362" s="242">
        <f t="shared" ref="UL362:UL390" si="2666">UL361+UH362-UJ362</f>
        <v>204</v>
      </c>
      <c r="UM362" s="56"/>
      <c r="UP362" s="55">
        <f t="shared" ref="UP362:UP390" si="2667">UG362</f>
        <v>46328</v>
      </c>
      <c r="UQ362" s="56"/>
      <c r="UR362" s="242">
        <f>SUMPRODUCT(PRODUCE!$B357:$DY357,PRODUCE!$EB$57:$IY$57)</f>
        <v>0</v>
      </c>
      <c r="US362" s="56"/>
      <c r="UT362" s="242">
        <f t="shared" ref="UT362:UT390" si="2668">UR362-US362</f>
        <v>0</v>
      </c>
      <c r="UU362" s="242">
        <f t="shared" ref="UU362:UU390" si="2669">UU361+UQ362-US362</f>
        <v>202.5</v>
      </c>
      <c r="UV362" s="56"/>
      <c r="UY362" s="55">
        <f t="shared" ref="UY362:UY390" si="2670">UP362</f>
        <v>46328</v>
      </c>
      <c r="UZ362" s="56"/>
      <c r="VA362" s="242">
        <f>SUMPRODUCT(PRODUCE!$B357:$DY357,PRODUCE!$EB$57:$IY$57)</f>
        <v>0</v>
      </c>
      <c r="VB362" s="56"/>
      <c r="VC362" s="242">
        <f t="shared" ref="VC362:VC390" si="2671">VA362-VB362</f>
        <v>0</v>
      </c>
      <c r="VD362" s="242">
        <f t="shared" ref="VD362:VD390" si="2672">VD361+UZ362-VB362</f>
        <v>41.600000000000023</v>
      </c>
      <c r="VE362" s="56"/>
      <c r="VH362" s="55">
        <f t="shared" ref="VH362:VH390" si="2673">UY362</f>
        <v>46328</v>
      </c>
      <c r="VI362" s="56"/>
      <c r="VJ362" s="242">
        <f>SUMPRODUCT(PRODUCE!$B357:$DY357,PRODUCE!$EB$57:$IY$57)</f>
        <v>0</v>
      </c>
      <c r="VK362" s="56"/>
      <c r="VL362" s="242">
        <f t="shared" ref="VL362:VL390" si="2674">VJ362-VK362</f>
        <v>0</v>
      </c>
      <c r="VM362" s="242">
        <f t="shared" ref="VM362:VM390" si="2675">VM361+VI362-VK362</f>
        <v>210</v>
      </c>
      <c r="VN362" s="56"/>
      <c r="VQ362" s="55">
        <f t="shared" ref="VQ362:VQ390" si="2676">VH362</f>
        <v>46328</v>
      </c>
      <c r="VR362" s="56"/>
      <c r="VS362" s="242">
        <f>SUMPRODUCT(PRODUCE!$B357:$DY357,PRODUCE!$EB$57:$IY$57)</f>
        <v>0</v>
      </c>
      <c r="VT362" s="56"/>
      <c r="VU362" s="242">
        <f t="shared" ref="VU362:VU390" si="2677">VS362-VT362</f>
        <v>0</v>
      </c>
      <c r="VV362" s="242">
        <f t="shared" ref="VV362:VV390" si="2678">VV361+VR362-VT362</f>
        <v>0</v>
      </c>
      <c r="VW362" s="56"/>
      <c r="VZ362" s="55">
        <f t="shared" ref="VZ362:VZ390" si="2679">VQ362</f>
        <v>46328</v>
      </c>
      <c r="WA362" s="56"/>
      <c r="WB362" s="242">
        <f>SUMPRODUCT(PRODUCE!$B357:$DY357,PRODUCE!$EB$57:$IY$57)</f>
        <v>0</v>
      </c>
      <c r="WC362" s="56"/>
      <c r="WD362" s="242">
        <f t="shared" ref="WD362:WD390" si="2680">WB362-WC362</f>
        <v>0</v>
      </c>
      <c r="WE362" s="242">
        <f t="shared" ref="WE362:WE390" si="2681">WE361+WA362-WC362</f>
        <v>0</v>
      </c>
      <c r="WF362" s="56"/>
      <c r="WI362" s="55">
        <f t="shared" ref="WI362:WI390" si="2682">VZ362</f>
        <v>46328</v>
      </c>
      <c r="WJ362" s="56"/>
      <c r="WK362" s="242">
        <f>SUMPRODUCT(PRODUCE!$B357:$DY357,PRODUCE!$EB$57:$IY$57)</f>
        <v>0</v>
      </c>
      <c r="WL362" s="56"/>
      <c r="WM362" s="242">
        <f t="shared" ref="WM362:WM390" si="2683">WK362-WL362</f>
        <v>0</v>
      </c>
      <c r="WN362" s="242">
        <f t="shared" ref="WN362:WN390" si="2684">WN361+WJ362-WL362</f>
        <v>1057</v>
      </c>
      <c r="WO362" s="56"/>
      <c r="WR362" s="55">
        <f t="shared" ref="WR362:WR390" si="2685">WI362</f>
        <v>46328</v>
      </c>
      <c r="WS362" s="56"/>
      <c r="WT362" s="242">
        <f>SUMPRODUCT(PRODUCE!$B357:$DY357,PRODUCE!$EB$57:$IY$57)</f>
        <v>0</v>
      </c>
      <c r="WU362" s="56"/>
      <c r="WV362" s="242">
        <f t="shared" ref="WV362:WV390" si="2686">WT362-WU362</f>
        <v>0</v>
      </c>
      <c r="WW362" s="242">
        <f t="shared" ref="WW362:WW390" si="2687">WW361+WS362-WU362</f>
        <v>0</v>
      </c>
      <c r="WX362" s="56"/>
      <c r="XA362" s="55">
        <f t="shared" ref="XA362:XA390" si="2688">WR362</f>
        <v>46328</v>
      </c>
      <c r="XB362" s="56"/>
      <c r="XC362" s="242">
        <f>SUMPRODUCT(PRODUCE!$B357:$DY357,PRODUCE!$EB$57:$IY$57)</f>
        <v>0</v>
      </c>
      <c r="XD362" s="56"/>
      <c r="XE362" s="242">
        <f t="shared" ref="XE362:XE390" si="2689">XC362-XD362</f>
        <v>0</v>
      </c>
      <c r="XF362" s="242">
        <f t="shared" ref="XF362:XF390" si="2690">XF361+XB362-XD362</f>
        <v>7507</v>
      </c>
      <c r="XG362" s="56"/>
      <c r="XJ362" s="55">
        <f t="shared" ref="XJ362:XJ390" si="2691">XA362</f>
        <v>46328</v>
      </c>
      <c r="XK362" s="56"/>
      <c r="XL362" s="242">
        <f>SUMPRODUCT(PRODUCE!$B357:$DY357,PRODUCE!$EB$57:$IY$57)</f>
        <v>0</v>
      </c>
      <c r="XM362" s="56"/>
      <c r="XN362" s="242">
        <f t="shared" ref="XN362:XN390" si="2692">XL362-XM362</f>
        <v>0</v>
      </c>
      <c r="XO362" s="242">
        <f t="shared" ref="XO362:XO390" si="2693">XO361+XK362-XM362</f>
        <v>4252</v>
      </c>
      <c r="XP362" s="56"/>
      <c r="XS362" s="55">
        <f t="shared" ref="XS362:XS390" si="2694">XJ362</f>
        <v>46328</v>
      </c>
      <c r="XT362" s="56"/>
      <c r="XU362" s="242">
        <f>SUMPRODUCT(PRODUCE!$B357:$DY357,PRODUCE!$EB$57:$IY$57)</f>
        <v>0</v>
      </c>
      <c r="XV362" s="56"/>
      <c r="XW362" s="242">
        <f t="shared" ref="XW362:XW390" si="2695">XU362-XV362</f>
        <v>0</v>
      </c>
      <c r="XX362" s="242">
        <f t="shared" ref="XX362:XX390" si="2696">XX361+XT362-XV362</f>
        <v>2179</v>
      </c>
      <c r="XY362" s="56"/>
      <c r="YB362" s="55">
        <f t="shared" ref="YB362:YB390" si="2697">XS362</f>
        <v>46328</v>
      </c>
      <c r="YC362" s="56"/>
      <c r="YD362" s="242">
        <f>SUMPRODUCT(PRODUCE!$B357:$DY357,PRODUCE!$EB$57:$IY$57)</f>
        <v>0</v>
      </c>
      <c r="YE362" s="56"/>
      <c r="YF362" s="242">
        <f t="shared" ref="YF362:YF390" si="2698">YD362-YE362</f>
        <v>0</v>
      </c>
      <c r="YG362" s="242">
        <f t="shared" ref="YG362:YG390" si="2699">YG361+YC362-YE362</f>
        <v>4019</v>
      </c>
      <c r="YH362" s="56"/>
      <c r="YK362" s="55">
        <f t="shared" ref="YK362:YK390" si="2700">YB362</f>
        <v>46328</v>
      </c>
      <c r="YL362" s="56"/>
      <c r="YM362" s="242">
        <f>SUMPRODUCT(PRODUCE!$B357:$DY357,PRODUCE!$EB$57:$IY$57)</f>
        <v>0</v>
      </c>
      <c r="YN362" s="56"/>
      <c r="YO362" s="242">
        <f t="shared" ref="YO362:YO390" si="2701">YM362-YN362</f>
        <v>0</v>
      </c>
      <c r="YP362" s="242">
        <f t="shared" ref="YP362:YP390" si="2702">YP361+YL362-YN362</f>
        <v>-218</v>
      </c>
      <c r="YQ362" s="56"/>
      <c r="YT362" s="55">
        <f t="shared" ref="YT362:YT390" si="2703">YK362</f>
        <v>46328</v>
      </c>
      <c r="YU362" s="56"/>
      <c r="YV362" s="242">
        <f>SUMPRODUCT(PRODUCE!$B357:$DY357,PRODUCE!$EB$57:$IY$57)</f>
        <v>0</v>
      </c>
      <c r="YW362" s="56"/>
      <c r="YX362" s="242">
        <f t="shared" ref="YX362:YX390" si="2704">YV362-YW362</f>
        <v>0</v>
      </c>
      <c r="YY362" s="242">
        <f t="shared" ref="YY362:YY390" si="2705">YY361+YU362-YW362</f>
        <v>0</v>
      </c>
      <c r="YZ362" s="56"/>
      <c r="ZC362" s="55">
        <f t="shared" ref="ZC362:ZC390" si="2706">YT362</f>
        <v>46328</v>
      </c>
      <c r="ZD362" s="56"/>
      <c r="ZE362" s="242">
        <f>SUMPRODUCT(PRODUCE!$B357:$DY357,PRODUCE!$EB$57:$IY$57)</f>
        <v>0</v>
      </c>
      <c r="ZF362" s="56"/>
      <c r="ZG362" s="242">
        <f t="shared" ref="ZG362:ZG390" si="2707">ZE362-ZF362</f>
        <v>0</v>
      </c>
      <c r="ZH362" s="242">
        <f t="shared" ref="ZH362:ZH390" si="2708">ZH361+ZD362-ZF362</f>
        <v>0</v>
      </c>
      <c r="ZI362" s="56"/>
      <c r="ZL362" s="55">
        <f t="shared" ref="ZL362:ZL390" si="2709">ZC362</f>
        <v>46328</v>
      </c>
      <c r="ZM362" s="56"/>
      <c r="ZN362" s="242">
        <f>SUMPRODUCT(PRODUCE!$B357:$DY357,PRODUCE!$EB$57:$IY$57)</f>
        <v>0</v>
      </c>
      <c r="ZO362" s="56"/>
      <c r="ZP362" s="242">
        <f t="shared" ref="ZP362:ZP390" si="2710">ZN362-ZO362</f>
        <v>0</v>
      </c>
      <c r="ZQ362" s="242">
        <f t="shared" ref="ZQ362:ZQ390" si="2711">ZQ361+ZM362-ZO362</f>
        <v>0</v>
      </c>
      <c r="ZR362" s="56"/>
      <c r="ZU362" s="55">
        <f t="shared" ref="ZU362:ZU390" si="2712">ZL362</f>
        <v>46328</v>
      </c>
      <c r="ZV362" s="56"/>
      <c r="ZW362" s="242">
        <f>SUMPRODUCT(PRODUCE!$B357:$DY357,PRODUCE!$EB$57:$IY$57)</f>
        <v>0</v>
      </c>
      <c r="ZX362" s="56"/>
      <c r="ZY362" s="242">
        <f t="shared" ref="ZY362:ZY390" si="2713">ZW362-ZX362</f>
        <v>0</v>
      </c>
      <c r="ZZ362" s="242">
        <f t="shared" ref="ZZ362:ZZ390" si="2714">ZZ361+ZV362-ZX362</f>
        <v>0</v>
      </c>
      <c r="AAA362" s="56"/>
      <c r="AAD362" s="55">
        <f t="shared" ref="AAD362:AAD390" si="2715">ZU362</f>
        <v>46328</v>
      </c>
      <c r="AAE362" s="56"/>
      <c r="AAF362" s="242">
        <f>SUMPRODUCT(PRODUCE!$B357:$DY357,PRODUCE!$EB$57:$IY$57)</f>
        <v>0</v>
      </c>
      <c r="AAG362" s="56"/>
      <c r="AAH362" s="242">
        <f t="shared" ref="AAH362:AAH390" si="2716">AAF362-AAG362</f>
        <v>0</v>
      </c>
      <c r="AAI362" s="242">
        <f t="shared" ref="AAI362:AAI390" si="2717">AAI361+AAE362-AAG362</f>
        <v>0</v>
      </c>
      <c r="AAJ362" s="56"/>
      <c r="AAM362" s="55">
        <f t="shared" ref="AAM362:AAM390" si="2718">AAD362</f>
        <v>46328</v>
      </c>
      <c r="AAN362" s="56"/>
      <c r="AAO362" s="242">
        <f>SUMPRODUCT(PRODUCE!$B357:$DY357,PRODUCE!$EB$57:$IY$57)</f>
        <v>0</v>
      </c>
      <c r="AAP362" s="56"/>
      <c r="AAQ362" s="242">
        <f t="shared" ref="AAQ362:AAQ390" si="2719">AAO362-AAP362</f>
        <v>0</v>
      </c>
      <c r="AAR362" s="242">
        <f t="shared" ref="AAR362:AAR390" si="2720">AAR361+AAN362-AAP362</f>
        <v>0</v>
      </c>
      <c r="AAS362" s="56"/>
      <c r="AAV362" s="55">
        <f t="shared" ref="AAV362:AAV390" si="2721">AAM362</f>
        <v>46328</v>
      </c>
      <c r="AAW362" s="56"/>
      <c r="AAX362" s="242">
        <f>SUMPRODUCT(PRODUCE!$B357:$DY357,PRODUCE!$EB$57:$IY$57)</f>
        <v>0</v>
      </c>
      <c r="AAY362" s="56"/>
      <c r="AAZ362" s="242">
        <f t="shared" ref="AAZ362:AAZ390" si="2722">AAX362-AAY362</f>
        <v>0</v>
      </c>
      <c r="ABA362" s="242">
        <f t="shared" ref="ABA362:ABA390" si="2723">ABA361+AAW362-AAY362</f>
        <v>0</v>
      </c>
      <c r="ABB362" s="56"/>
      <c r="ABE362" s="55">
        <f t="shared" ref="ABE362:ABE390" si="2724">AAV362</f>
        <v>46328</v>
      </c>
      <c r="ABF362" s="56"/>
      <c r="ABG362" s="242">
        <f>SUMPRODUCT(PRODUCE!$B357:$DY357,PRODUCE!$EB$57:$IY$57)</f>
        <v>0</v>
      </c>
      <c r="ABH362" s="56"/>
      <c r="ABI362" s="242">
        <f t="shared" ref="ABI362:ABI390" si="2725">ABG362-ABH362</f>
        <v>0</v>
      </c>
      <c r="ABJ362" s="242">
        <f t="shared" ref="ABJ362:ABJ390" si="2726">ABJ361+ABF362-ABH362</f>
        <v>0</v>
      </c>
      <c r="ABK362" s="56"/>
    </row>
    <row r="363" spans="1:739" s="54" customFormat="1" ht="15" customHeight="1" outlineLevel="1">
      <c r="B363" s="478"/>
      <c r="C363" s="55">
        <v>46329</v>
      </c>
      <c r="D363" s="56"/>
      <c r="E363" s="57">
        <f>SUMPRODUCT(PRODUCE!$B358:$DY358,PRODUCE!$EB$7:$IY$7)</f>
        <v>0</v>
      </c>
      <c r="F363" s="56"/>
      <c r="G363" s="57">
        <f t="shared" si="2482"/>
        <v>0</v>
      </c>
      <c r="H363" s="57">
        <f t="shared" si="2483"/>
        <v>236936.6</v>
      </c>
      <c r="I363" s="289"/>
      <c r="L363" s="55">
        <f t="shared" si="2484"/>
        <v>46329</v>
      </c>
      <c r="M363" s="56"/>
      <c r="N363" s="59">
        <f>SUMPRODUCT(PRODUCE!$B358:$DY358,PRODUCE!$EB$8:$IY$8)</f>
        <v>0</v>
      </c>
      <c r="O363" s="56"/>
      <c r="P363" s="59">
        <f t="shared" si="2485"/>
        <v>0</v>
      </c>
      <c r="Q363" s="59">
        <f t="shared" si="2486"/>
        <v>53017.600000000071</v>
      </c>
      <c r="R363" s="56"/>
      <c r="U363" s="55">
        <f t="shared" si="2487"/>
        <v>46329</v>
      </c>
      <c r="V363" s="56"/>
      <c r="W363" s="60">
        <f>SUMPRODUCT(PRODUCE!$B358:$DY358,PRODUCE!$EB$9:$IY$9)</f>
        <v>0</v>
      </c>
      <c r="X363" s="56"/>
      <c r="Y363" s="60">
        <f t="shared" si="2488"/>
        <v>0</v>
      </c>
      <c r="Z363" s="60">
        <f t="shared" si="2489"/>
        <v>42674.199999999968</v>
      </c>
      <c r="AA363" s="56"/>
      <c r="AD363" s="55">
        <f t="shared" si="2490"/>
        <v>46329</v>
      </c>
      <c r="AE363" s="56"/>
      <c r="AF363" s="61">
        <f>SUMPRODUCT(PRODUCE!$B358:$DY358,PRODUCE!$EB$10:$IY$10)</f>
        <v>0</v>
      </c>
      <c r="AG363" s="56"/>
      <c r="AH363" s="61">
        <f t="shared" si="2491"/>
        <v>0</v>
      </c>
      <c r="AI363" s="61">
        <f t="shared" si="2492"/>
        <v>4522.2000000000189</v>
      </c>
      <c r="AJ363" s="56"/>
      <c r="AM363" s="55">
        <f t="shared" si="2493"/>
        <v>46329</v>
      </c>
      <c r="AN363" s="422"/>
      <c r="AO363" s="444">
        <f>SUMPRODUCT(PRODUCE!$B358:$DY358,PRODUCE!$EB$11:$IY$11)</f>
        <v>0</v>
      </c>
      <c r="AP363" s="422"/>
      <c r="AQ363" s="444">
        <f t="shared" si="2494"/>
        <v>0</v>
      </c>
      <c r="AR363" s="444">
        <f t="shared" si="2495"/>
        <v>0</v>
      </c>
      <c r="AS363" s="56"/>
      <c r="AV363" s="55">
        <f t="shared" si="2496"/>
        <v>46329</v>
      </c>
      <c r="AW363" s="56"/>
      <c r="AX363" s="62">
        <f>SUMPRODUCT(PRODUCE!$B358:$DY358,PRODUCE!$EB$12:$IY$12)</f>
        <v>0</v>
      </c>
      <c r="AY363" s="56"/>
      <c r="AZ363" s="62">
        <f t="shared" si="2497"/>
        <v>0</v>
      </c>
      <c r="BA363" s="62">
        <f t="shared" si="2498"/>
        <v>124.99999999999523</v>
      </c>
      <c r="BB363" s="56"/>
      <c r="BE363" s="55">
        <f t="shared" si="2499"/>
        <v>46329</v>
      </c>
      <c r="BF363" s="56"/>
      <c r="BG363" s="63">
        <f>SUMPRODUCT(PRODUCE!$B358:$DY358,PRODUCE!$EB$13:$IY$13)</f>
        <v>0</v>
      </c>
      <c r="BH363" s="56"/>
      <c r="BI363" s="63">
        <f t="shared" si="2500"/>
        <v>0</v>
      </c>
      <c r="BJ363" s="63">
        <f t="shared" si="2501"/>
        <v>26151.899999999998</v>
      </c>
      <c r="BK363" s="56"/>
      <c r="BN363" s="55">
        <f t="shared" si="2502"/>
        <v>46329</v>
      </c>
      <c r="BO363" s="56"/>
      <c r="BP363" s="64">
        <f>SUMPRODUCT(PRODUCE!$B358:$DY358,PRODUCE!$EB$14:$IY$14)</f>
        <v>0</v>
      </c>
      <c r="BQ363" s="56"/>
      <c r="BR363" s="64">
        <f t="shared" si="2503"/>
        <v>0</v>
      </c>
      <c r="BS363" s="64">
        <f t="shared" si="2504"/>
        <v>0</v>
      </c>
      <c r="BT363" s="56"/>
      <c r="BW363" s="55">
        <f t="shared" si="2505"/>
        <v>46329</v>
      </c>
      <c r="BX363" s="56"/>
      <c r="BY363" s="65">
        <f>SUMPRODUCT(PRODUCE!$B358:$DY358,PRODUCE!$EB$15:$IY$15)</f>
        <v>0</v>
      </c>
      <c r="BZ363" s="56"/>
      <c r="CA363" s="65">
        <f t="shared" si="2506"/>
        <v>0</v>
      </c>
      <c r="CB363" s="65">
        <f t="shared" si="2507"/>
        <v>2097.3399999999992</v>
      </c>
      <c r="CC363" s="56"/>
      <c r="CF363" s="55">
        <f t="shared" si="2508"/>
        <v>46329</v>
      </c>
      <c r="CG363" s="56"/>
      <c r="CH363" s="66">
        <f>SUMPRODUCT(PRODUCE!$B358:$DY358,PRODUCE!$EB$16:$IY$16)</f>
        <v>0</v>
      </c>
      <c r="CI363" s="56"/>
      <c r="CJ363" s="66">
        <f t="shared" si="2509"/>
        <v>0</v>
      </c>
      <c r="CK363" s="66">
        <f t="shared" si="2510"/>
        <v>-10277.079999999998</v>
      </c>
      <c r="CL363" s="56"/>
      <c r="CO363" s="55">
        <f t="shared" si="2511"/>
        <v>46329</v>
      </c>
      <c r="CP363" s="422"/>
      <c r="CQ363" s="470">
        <f>SUMPRODUCT(PRODUCE!$B358:$DY358,PRODUCE!$EB$17:$IY$17)</f>
        <v>0</v>
      </c>
      <c r="CR363" s="422"/>
      <c r="CS363" s="470">
        <f t="shared" si="2512"/>
        <v>0</v>
      </c>
      <c r="CT363" s="470">
        <f t="shared" si="2513"/>
        <v>0</v>
      </c>
      <c r="CU363" s="56"/>
      <c r="CX363" s="55">
        <f t="shared" si="2514"/>
        <v>46329</v>
      </c>
      <c r="CY363" s="56"/>
      <c r="CZ363" s="133">
        <f>SUMPRODUCT(PRODUCE!$B358:$DY358,PRODUCE!$EB$18:$IY$18)</f>
        <v>0</v>
      </c>
      <c r="DA363" s="56"/>
      <c r="DB363" s="133">
        <f t="shared" si="2515"/>
        <v>0</v>
      </c>
      <c r="DC363" s="133">
        <f t="shared" si="2516"/>
        <v>27438.200000000012</v>
      </c>
      <c r="DD363" s="56"/>
      <c r="DG363" s="55">
        <f t="shared" si="2517"/>
        <v>46329</v>
      </c>
      <c r="DH363" s="56"/>
      <c r="DI363" s="147">
        <f>SUMPRODUCT(PRODUCE!$B358:$DY358,PRODUCE!$EB$19:$IY$19)</f>
        <v>0</v>
      </c>
      <c r="DJ363" s="56"/>
      <c r="DK363" s="147">
        <f t="shared" si="2518"/>
        <v>0</v>
      </c>
      <c r="DL363" s="147">
        <f t="shared" si="2519"/>
        <v>18782.299999999981</v>
      </c>
      <c r="DM363" s="56"/>
      <c r="DP363" s="55">
        <f t="shared" si="2520"/>
        <v>46329</v>
      </c>
      <c r="DQ363" s="56"/>
      <c r="DR363" s="57">
        <f>SUMPRODUCT(PRODUCE!$B358:$DY358,PRODUCE!$EB$20:$IY$20)</f>
        <v>0</v>
      </c>
      <c r="DS363" s="56"/>
      <c r="DT363" s="57">
        <f t="shared" si="2521"/>
        <v>0</v>
      </c>
      <c r="DU363" s="57">
        <f t="shared" si="2522"/>
        <v>5800</v>
      </c>
      <c r="DV363" s="56"/>
      <c r="DY363" s="55">
        <f t="shared" si="2523"/>
        <v>46329</v>
      </c>
      <c r="DZ363" s="56"/>
      <c r="EA363" s="157">
        <f>SUMPRODUCT(PRODUCE!$B358:$DY358,PRODUCE!$EB$21:$IY$21)</f>
        <v>0</v>
      </c>
      <c r="EB363" s="56"/>
      <c r="EC363" s="157">
        <f t="shared" si="2524"/>
        <v>0</v>
      </c>
      <c r="ED363" s="157">
        <f t="shared" si="2525"/>
        <v>0</v>
      </c>
      <c r="EE363" s="56"/>
      <c r="EH363" s="55">
        <f t="shared" si="2526"/>
        <v>46329</v>
      </c>
      <c r="EI363" s="56"/>
      <c r="EJ363" s="162">
        <f>SUMPRODUCT(PRODUCE!$B358:$DY358,PRODUCE!$EB$22:$IY$22)</f>
        <v>0</v>
      </c>
      <c r="EK363" s="56"/>
      <c r="EL363" s="162">
        <f t="shared" si="2527"/>
        <v>0</v>
      </c>
      <c r="EM363" s="162">
        <f t="shared" si="2528"/>
        <v>0</v>
      </c>
      <c r="EN363" s="56"/>
      <c r="EQ363" s="55">
        <f t="shared" si="2529"/>
        <v>46329</v>
      </c>
      <c r="ER363" s="56"/>
      <c r="ES363" s="135">
        <f>SUMPRODUCT(PRODUCE!$B358:$DY358,PRODUCE!$EB$23:$IY$23)</f>
        <v>0</v>
      </c>
      <c r="ET363" s="56"/>
      <c r="EU363" s="135">
        <f t="shared" si="2530"/>
        <v>0</v>
      </c>
      <c r="EV363" s="135">
        <f t="shared" si="2531"/>
        <v>0</v>
      </c>
      <c r="EW363" s="56"/>
      <c r="EZ363" s="55">
        <f t="shared" si="2532"/>
        <v>46329</v>
      </c>
      <c r="FA363" s="56"/>
      <c r="FB363" s="175">
        <f>SUMPRODUCT(PRODUCE!$B358:$DY358,PRODUCE!$EB$24:$IY$24)</f>
        <v>0</v>
      </c>
      <c r="FC363" s="56"/>
      <c r="FD363" s="175">
        <f t="shared" si="2533"/>
        <v>0</v>
      </c>
      <c r="FE363" s="175">
        <f t="shared" si="2534"/>
        <v>0</v>
      </c>
      <c r="FF363" s="56"/>
      <c r="FI363" s="55">
        <f t="shared" si="2535"/>
        <v>46329</v>
      </c>
      <c r="FJ363" s="56"/>
      <c r="FK363" s="183">
        <f>SUMPRODUCT(PRODUCE!$B358:$DY358,PRODUCE!$EB$25:$IY$25)</f>
        <v>0</v>
      </c>
      <c r="FL363" s="56"/>
      <c r="FM363" s="183">
        <f t="shared" si="2536"/>
        <v>0</v>
      </c>
      <c r="FN363" s="183">
        <f t="shared" si="2537"/>
        <v>0</v>
      </c>
      <c r="FO363" s="56"/>
      <c r="FR363" s="55">
        <f t="shared" si="2538"/>
        <v>46329</v>
      </c>
      <c r="FS363" s="56"/>
      <c r="FT363" s="186">
        <f>SUMPRODUCT(PRODUCE!$B358:$DY358,PRODUCE!$EB$26:$IY$26)</f>
        <v>0</v>
      </c>
      <c r="FU363" s="56"/>
      <c r="FV363" s="186">
        <f t="shared" si="2539"/>
        <v>0</v>
      </c>
      <c r="FW363" s="186">
        <f t="shared" si="2540"/>
        <v>2020</v>
      </c>
      <c r="FX363" s="56"/>
      <c r="GA363" s="55">
        <f t="shared" si="2541"/>
        <v>46329</v>
      </c>
      <c r="GB363" s="56"/>
      <c r="GC363" s="137">
        <f>SUMPRODUCT(PRODUCE!$B358:$DY358,PRODUCE!$EB$27:$IY$27)</f>
        <v>0</v>
      </c>
      <c r="GD363" s="56"/>
      <c r="GE363" s="137">
        <f t="shared" si="2542"/>
        <v>0</v>
      </c>
      <c r="GF363" s="137">
        <f t="shared" si="2543"/>
        <v>960</v>
      </c>
      <c r="GG363" s="56"/>
      <c r="GI363" s="23"/>
      <c r="GJ363" s="55">
        <f t="shared" si="2544"/>
        <v>46329</v>
      </c>
      <c r="GK363" s="56"/>
      <c r="GL363" s="199">
        <f>SUMPRODUCT(PRODUCE!$B358:$DY358,PRODUCE!$EB$28:$IY$28)</f>
        <v>0</v>
      </c>
      <c r="GM363" s="56"/>
      <c r="GN363" s="199">
        <f t="shared" si="2545"/>
        <v>0</v>
      </c>
      <c r="GO363" s="199">
        <f t="shared" si="2546"/>
        <v>1760</v>
      </c>
      <c r="GP363" s="56"/>
      <c r="GS363" s="55">
        <f t="shared" si="2547"/>
        <v>46329</v>
      </c>
      <c r="GT363" s="56"/>
      <c r="GU363" s="195">
        <f>SUMPRODUCT(PRODUCE!$B358:$DY358,PRODUCE!$EB$29:$IY$29)</f>
        <v>0</v>
      </c>
      <c r="GV363" s="56"/>
      <c r="GW363" s="195">
        <f t="shared" si="2548"/>
        <v>0</v>
      </c>
      <c r="GX363" s="195">
        <f t="shared" si="2549"/>
        <v>400</v>
      </c>
      <c r="GY363" s="56"/>
      <c r="HB363" s="55">
        <f t="shared" si="2550"/>
        <v>46329</v>
      </c>
      <c r="HC363" s="56"/>
      <c r="HD363" s="191">
        <f>SUMPRODUCT(PRODUCE!$B358:$DY358,PRODUCE!$EB$30:$IY$30)</f>
        <v>0</v>
      </c>
      <c r="HE363" s="56"/>
      <c r="HF363" s="191">
        <f t="shared" si="2551"/>
        <v>0</v>
      </c>
      <c r="HG363" s="191">
        <f t="shared" si="2552"/>
        <v>3600</v>
      </c>
      <c r="HH363" s="56"/>
      <c r="HK363" s="55">
        <f t="shared" si="2553"/>
        <v>46329</v>
      </c>
      <c r="HL363" s="56"/>
      <c r="HM363" s="63">
        <f>SUMPRODUCT(PRODUCE!$B358:$DY358,PRODUCE!$EB$31:$IY$31)</f>
        <v>0</v>
      </c>
      <c r="HN363" s="56"/>
      <c r="HO363" s="63">
        <f t="shared" si="2554"/>
        <v>0</v>
      </c>
      <c r="HP363" s="63">
        <f t="shared" si="2555"/>
        <v>0</v>
      </c>
      <c r="HQ363" s="56"/>
      <c r="HU363" s="55">
        <f t="shared" si="2556"/>
        <v>46329</v>
      </c>
      <c r="HV363" s="56"/>
      <c r="HW363" s="242">
        <f>SUMPRODUCT(PRODUCE!$B358:$DY358,PRODUCE!$EB$32:$IY$32)</f>
        <v>0</v>
      </c>
      <c r="HX363" s="56"/>
      <c r="HY363" s="242">
        <f t="shared" si="2557"/>
        <v>0</v>
      </c>
      <c r="HZ363" s="242">
        <f t="shared" si="2558"/>
        <v>6120</v>
      </c>
      <c r="IA363" s="56"/>
      <c r="ID363" s="55">
        <f t="shared" si="2559"/>
        <v>46329</v>
      </c>
      <c r="IE363" s="56"/>
      <c r="IF363" s="242">
        <f>SUMPRODUCT(PRODUCE!$B358:$DY358,PRODUCE!$EB$33:$IY$33)</f>
        <v>0</v>
      </c>
      <c r="IG363" s="56"/>
      <c r="IH363" s="242">
        <f t="shared" si="2560"/>
        <v>0</v>
      </c>
      <c r="II363" s="242">
        <f t="shared" si="2561"/>
        <v>0</v>
      </c>
      <c r="IJ363" s="56"/>
      <c r="IM363" s="55">
        <f t="shared" si="2562"/>
        <v>46329</v>
      </c>
      <c r="IN363" s="56"/>
      <c r="IO363" s="242">
        <f>SUMPRODUCT(PRODUCE!$B358:$DY358,PRODUCE!$EB$34:$IY$34)</f>
        <v>0</v>
      </c>
      <c r="IP363" s="56"/>
      <c r="IQ363" s="242">
        <f t="shared" si="2563"/>
        <v>0</v>
      </c>
      <c r="IR363" s="242">
        <f t="shared" si="2564"/>
        <v>0</v>
      </c>
      <c r="IS363" s="56"/>
      <c r="IV363" s="55">
        <f t="shared" si="2565"/>
        <v>46329</v>
      </c>
      <c r="IW363" s="56"/>
      <c r="IX363" s="242">
        <f>SUMPRODUCT(PRODUCE!$B358:$DY358,PRODUCE!$EB$35:$IY$35)</f>
        <v>0</v>
      </c>
      <c r="IY363" s="56"/>
      <c r="IZ363" s="242">
        <f t="shared" si="2566"/>
        <v>0</v>
      </c>
      <c r="JA363" s="242">
        <f t="shared" si="2567"/>
        <v>2820</v>
      </c>
      <c r="JB363" s="56"/>
      <c r="JE363" s="55">
        <f t="shared" si="2568"/>
        <v>46329</v>
      </c>
      <c r="JF363" s="56"/>
      <c r="JG363" s="242">
        <f>SUMPRODUCT(PRODUCE!$B358:$DY358,PRODUCE!$EB$36:$IY$36)</f>
        <v>0</v>
      </c>
      <c r="JH363" s="56"/>
      <c r="JI363" s="242">
        <f t="shared" si="2569"/>
        <v>0</v>
      </c>
      <c r="JJ363" s="242">
        <f t="shared" si="2570"/>
        <v>0</v>
      </c>
      <c r="JK363" s="56"/>
      <c r="JN363" s="55">
        <f t="shared" si="2571"/>
        <v>46329</v>
      </c>
      <c r="JO363" s="56"/>
      <c r="JP363" s="242">
        <f>SUMPRODUCT(PRODUCE!$B358:$DY358,PRODUCE!$EB$37:$IY$37)</f>
        <v>0</v>
      </c>
      <c r="JQ363" s="56"/>
      <c r="JR363" s="242">
        <f t="shared" si="2572"/>
        <v>0</v>
      </c>
      <c r="JS363" s="242">
        <f t="shared" si="2573"/>
        <v>0</v>
      </c>
      <c r="JT363" s="56"/>
      <c r="JW363" s="55">
        <f t="shared" si="2574"/>
        <v>46329</v>
      </c>
      <c r="JX363" s="56"/>
      <c r="JY363" s="242">
        <f>SUMPRODUCT(PRODUCE!$B358:$DY358,PRODUCE!$EB$38:$IY$38)</f>
        <v>0</v>
      </c>
      <c r="JZ363" s="56"/>
      <c r="KA363" s="242">
        <f t="shared" si="2575"/>
        <v>0</v>
      </c>
      <c r="KB363" s="242">
        <f t="shared" si="2576"/>
        <v>2540</v>
      </c>
      <c r="KC363" s="56"/>
      <c r="KF363" s="55">
        <f t="shared" si="2577"/>
        <v>46329</v>
      </c>
      <c r="KG363" s="56"/>
      <c r="KH363" s="242">
        <f>SUMPRODUCT(PRODUCE!$B358:$DY358,PRODUCE!$EB$39:$IY$39)</f>
        <v>0</v>
      </c>
      <c r="KI363" s="56"/>
      <c r="KJ363" s="242">
        <f t="shared" si="2578"/>
        <v>0</v>
      </c>
      <c r="KK363" s="242">
        <f t="shared" si="2579"/>
        <v>2359.5</v>
      </c>
      <c r="KL363" s="56"/>
      <c r="KO363" s="55">
        <f t="shared" si="2580"/>
        <v>46329</v>
      </c>
      <c r="KP363" s="56"/>
      <c r="KQ363" s="242">
        <f>SUMPRODUCT(PRODUCE!$B358:$DY358,PRODUCE!$EB$40:$IY$40)</f>
        <v>0</v>
      </c>
      <c r="KR363" s="56"/>
      <c r="KS363" s="242">
        <f t="shared" si="2581"/>
        <v>0</v>
      </c>
      <c r="KT363" s="242">
        <f t="shared" si="2582"/>
        <v>1890</v>
      </c>
      <c r="KU363" s="56"/>
      <c r="KW363" s="23"/>
      <c r="KX363" s="55">
        <f t="shared" si="2583"/>
        <v>46329</v>
      </c>
      <c r="KY363" s="56"/>
      <c r="KZ363" s="242">
        <f>SUMPRODUCT(PRODUCE!$B358:$DY358,PRODUCE!$EB$41:$IY$41)</f>
        <v>0</v>
      </c>
      <c r="LA363" s="56"/>
      <c r="LB363" s="242">
        <f t="shared" si="2584"/>
        <v>0</v>
      </c>
      <c r="LC363" s="242">
        <f t="shared" si="2585"/>
        <v>3690</v>
      </c>
      <c r="LD363" s="56"/>
      <c r="LG363" s="55">
        <f t="shared" si="2586"/>
        <v>46329</v>
      </c>
      <c r="LH363" s="56"/>
      <c r="LI363" s="242">
        <f>SUMPRODUCT(PRODUCE!$B358:$DY358,PRODUCE!$EB$42:$IY$42)</f>
        <v>0</v>
      </c>
      <c r="LJ363" s="56"/>
      <c r="LK363" s="242">
        <f t="shared" si="2587"/>
        <v>0</v>
      </c>
      <c r="LL363" s="242">
        <f t="shared" si="2588"/>
        <v>4000</v>
      </c>
      <c r="LM363" s="56"/>
      <c r="LP363" s="55">
        <f t="shared" si="2589"/>
        <v>46329</v>
      </c>
      <c r="LQ363" s="56"/>
      <c r="LR363" s="242">
        <f>SUMPRODUCT(PRODUCE!$B378:$DY378,PRODUCE!$EB$43:$IY$43)</f>
        <v>0</v>
      </c>
      <c r="LS363" s="56"/>
      <c r="LT363" s="242">
        <f t="shared" si="2590"/>
        <v>0</v>
      </c>
      <c r="LU363" s="242">
        <f t="shared" si="2591"/>
        <v>0</v>
      </c>
      <c r="LV363" s="56"/>
      <c r="LY363" s="55">
        <f t="shared" si="2592"/>
        <v>46329</v>
      </c>
      <c r="LZ363" s="56"/>
      <c r="MA363" s="242">
        <f>SUMPRODUCT(PRODUCE!$B358:$DY358,PRODUCE!$EB$44:$IY$44)</f>
        <v>0</v>
      </c>
      <c r="MB363" s="56"/>
      <c r="MC363" s="242">
        <f t="shared" si="2593"/>
        <v>0</v>
      </c>
      <c r="MD363" s="242">
        <f t="shared" si="2594"/>
        <v>0</v>
      </c>
      <c r="ME363" s="56"/>
      <c r="MH363" s="55">
        <f t="shared" si="2595"/>
        <v>46329</v>
      </c>
      <c r="MI363" s="56"/>
      <c r="MJ363" s="242">
        <f>SUMPRODUCT(PRODUCE!$B358:$DY358,PRODUCE!$EB$45:$IY$45)</f>
        <v>0</v>
      </c>
      <c r="MK363" s="56"/>
      <c r="ML363" s="242">
        <f t="shared" si="2596"/>
        <v>0</v>
      </c>
      <c r="MM363" s="242">
        <f t="shared" si="2597"/>
        <v>0</v>
      </c>
      <c r="MN363" s="56"/>
      <c r="MQ363" s="55">
        <f t="shared" si="2598"/>
        <v>46329</v>
      </c>
      <c r="MR363" s="56"/>
      <c r="MS363" s="242">
        <f>SUMPRODUCT(PRODUCE!$B358:$DY358,PRODUCE!$EB$46:$IY$46)</f>
        <v>0</v>
      </c>
      <c r="MT363" s="56"/>
      <c r="MU363" s="242">
        <f t="shared" si="2599"/>
        <v>0</v>
      </c>
      <c r="MV363" s="242">
        <f t="shared" si="2600"/>
        <v>1625</v>
      </c>
      <c r="MW363" s="56"/>
      <c r="MZ363" s="55">
        <f t="shared" si="2601"/>
        <v>46329</v>
      </c>
      <c r="NA363" s="56"/>
      <c r="NB363" s="242">
        <f>SUMPRODUCT(PRODUCE!$B358:$DY358,PRODUCE!$EB$47:$IY$47)</f>
        <v>0</v>
      </c>
      <c r="NC363" s="56"/>
      <c r="ND363" s="242">
        <f t="shared" si="2602"/>
        <v>0</v>
      </c>
      <c r="NE363" s="242">
        <f t="shared" si="2603"/>
        <v>0</v>
      </c>
      <c r="NF363" s="56"/>
      <c r="NI363" s="55">
        <f t="shared" si="2604"/>
        <v>46329</v>
      </c>
      <c r="NJ363" s="56"/>
      <c r="NK363" s="242">
        <f>SUMPRODUCT(PRODUCE!$B358:$DY358,PRODUCE!$EB$48:$IY$48)</f>
        <v>0</v>
      </c>
      <c r="NL363" s="56"/>
      <c r="NM363" s="242">
        <f t="shared" si="2605"/>
        <v>0</v>
      </c>
      <c r="NN363" s="242">
        <f t="shared" si="2606"/>
        <v>1127</v>
      </c>
      <c r="NO363" s="56"/>
      <c r="NR363" s="55">
        <f t="shared" si="2607"/>
        <v>46329</v>
      </c>
      <c r="NS363" s="56"/>
      <c r="NT363" s="242">
        <f>SUMPRODUCT(PRODUCE!$B358:$DY358,PRODUCE!$EB$49:$IY$49)</f>
        <v>0</v>
      </c>
      <c r="NU363" s="56"/>
      <c r="NV363" s="242">
        <f t="shared" si="2608"/>
        <v>0</v>
      </c>
      <c r="NW363" s="242">
        <f t="shared" si="2609"/>
        <v>3111.9999999999995</v>
      </c>
      <c r="NX363" s="56"/>
      <c r="OA363" s="55">
        <f t="shared" si="2610"/>
        <v>46329</v>
      </c>
      <c r="OB363" s="56"/>
      <c r="OC363" s="242">
        <f>SUMPRODUCT(PRODUCE!$B358:$DY358,PRODUCE!$EB$50:$IY$50)</f>
        <v>0</v>
      </c>
      <c r="OD363" s="56"/>
      <c r="OE363" s="242">
        <f t="shared" si="2611"/>
        <v>0</v>
      </c>
      <c r="OF363" s="242">
        <f t="shared" si="2612"/>
        <v>1680.5</v>
      </c>
      <c r="OG363" s="56"/>
      <c r="OJ363" s="55">
        <f t="shared" si="2613"/>
        <v>46329</v>
      </c>
      <c r="OK363" s="56"/>
      <c r="OL363" s="242">
        <f>SUMPRODUCT(PRODUCE!$B358:$DY358,PRODUCE!$EB$51:$IY$51)</f>
        <v>0</v>
      </c>
      <c r="OM363" s="56"/>
      <c r="ON363" s="242">
        <f t="shared" si="2614"/>
        <v>0</v>
      </c>
      <c r="OO363" s="242">
        <f t="shared" si="2615"/>
        <v>0</v>
      </c>
      <c r="OP363" s="56"/>
      <c r="OS363" s="55">
        <f t="shared" si="2616"/>
        <v>46329</v>
      </c>
      <c r="OT363" s="56"/>
      <c r="OU363" s="242">
        <f>SUMPRODUCT(PRODUCE!$B358:$DY358,PRODUCE!$EB$52:$IY$52)</f>
        <v>0</v>
      </c>
      <c r="OV363" s="56"/>
      <c r="OW363" s="242">
        <f t="shared" si="2617"/>
        <v>0</v>
      </c>
      <c r="OX363" s="242">
        <f t="shared" si="2618"/>
        <v>1482</v>
      </c>
      <c r="OY363" s="56"/>
      <c r="PB363" s="55">
        <f t="shared" si="2619"/>
        <v>46329</v>
      </c>
      <c r="PC363" s="56"/>
      <c r="PD363" s="242">
        <f>SUMPRODUCT(PRODUCE!$B358:$DY358,PRODUCE!$EB$53:$IY$53)</f>
        <v>0</v>
      </c>
      <c r="PE363" s="56"/>
      <c r="PF363" s="242">
        <f t="shared" si="2620"/>
        <v>0</v>
      </c>
      <c r="PG363" s="242">
        <f t="shared" si="2621"/>
        <v>0</v>
      </c>
      <c r="PH363" s="56"/>
      <c r="PK363" s="55">
        <f t="shared" si="2622"/>
        <v>46329</v>
      </c>
      <c r="PL363" s="56"/>
      <c r="PM363" s="242">
        <f>SUMPRODUCT(PRODUCE!$B358:$DY358,PRODUCE!$EB$54:$IY$54)</f>
        <v>0</v>
      </c>
      <c r="PN363" s="56"/>
      <c r="PO363" s="242">
        <f t="shared" si="2623"/>
        <v>0</v>
      </c>
      <c r="PP363" s="242">
        <f t="shared" si="2624"/>
        <v>100</v>
      </c>
      <c r="PQ363" s="56"/>
      <c r="PT363" s="55">
        <f t="shared" si="2625"/>
        <v>46329</v>
      </c>
      <c r="PU363" s="56"/>
      <c r="PV363" s="242">
        <f>SUMPRODUCT(PRODUCE!$B358:$DY358,PRODUCE!$EB$55:$IY$55)</f>
        <v>0</v>
      </c>
      <c r="PW363" s="56"/>
      <c r="PX363" s="242">
        <f t="shared" si="2626"/>
        <v>0</v>
      </c>
      <c r="PY363" s="242">
        <f t="shared" si="2627"/>
        <v>13.960000000000036</v>
      </c>
      <c r="PZ363" s="56"/>
      <c r="QC363" s="55">
        <f t="shared" si="2628"/>
        <v>46329</v>
      </c>
      <c r="QD363" s="56"/>
      <c r="QE363" s="242">
        <f>SUMPRODUCT(PRODUCE!$B358:$DY358,PRODUCE!$EB$56:$IY$56)</f>
        <v>0</v>
      </c>
      <c r="QF363" s="56"/>
      <c r="QG363" s="242">
        <f t="shared" si="2629"/>
        <v>0</v>
      </c>
      <c r="QH363" s="242">
        <f t="shared" si="2630"/>
        <v>548</v>
      </c>
      <c r="QI363" s="56"/>
      <c r="QL363" s="55">
        <f t="shared" si="2631"/>
        <v>46329</v>
      </c>
      <c r="QM363" s="56"/>
      <c r="QN363" s="242">
        <f>SUMPRODUCT(PRODUCE!$B358:$DY358,PRODUCE!$EB$57:$IY$57)</f>
        <v>0</v>
      </c>
      <c r="QO363" s="56"/>
      <c r="QP363" s="242">
        <f t="shared" si="2632"/>
        <v>0</v>
      </c>
      <c r="QQ363" s="242">
        <f t="shared" si="2633"/>
        <v>0</v>
      </c>
      <c r="QR363" s="56"/>
      <c r="QU363" s="55">
        <f t="shared" si="2634"/>
        <v>46329</v>
      </c>
      <c r="QV363" s="56"/>
      <c r="QW363" s="242">
        <f>SUMPRODUCT(PRODUCE!$B358:$DY358,PRODUCE!$EB$57:$IY$57)</f>
        <v>0</v>
      </c>
      <c r="QX363" s="56"/>
      <c r="QY363" s="242">
        <f t="shared" si="2635"/>
        <v>0</v>
      </c>
      <c r="QZ363" s="242">
        <f t="shared" si="2636"/>
        <v>0</v>
      </c>
      <c r="RA363" s="56"/>
      <c r="RD363" s="55">
        <f t="shared" si="2637"/>
        <v>46329</v>
      </c>
      <c r="RE363" s="56"/>
      <c r="RF363" s="242">
        <f>SUMPRODUCT(PRODUCE!$B358:$DY358,PRODUCE!$EB$58:$IY$58)</f>
        <v>0</v>
      </c>
      <c r="RG363" s="56"/>
      <c r="RH363" s="242">
        <f t="shared" si="2638"/>
        <v>0</v>
      </c>
      <c r="RI363" s="242">
        <f t="shared" si="2639"/>
        <v>147.04000000000002</v>
      </c>
      <c r="RJ363" s="56"/>
      <c r="RM363" s="55">
        <f t="shared" si="2640"/>
        <v>46329</v>
      </c>
      <c r="RN363" s="56"/>
      <c r="RO363" s="242">
        <f>SUMPRODUCT(PRODUCE!$B358:$DY358,PRODUCE!$EB$57:$IY$57)</f>
        <v>0</v>
      </c>
      <c r="RP363" s="56"/>
      <c r="RQ363" s="242">
        <f t="shared" si="2641"/>
        <v>0</v>
      </c>
      <c r="RR363" s="242">
        <f t="shared" si="2642"/>
        <v>46.8</v>
      </c>
      <c r="RS363" s="56"/>
      <c r="RV363" s="55">
        <f t="shared" si="2643"/>
        <v>46329</v>
      </c>
      <c r="RW363" s="56"/>
      <c r="RX363" s="242">
        <f>SUMPRODUCT(PRODUCE!$B358:$DY358,PRODUCE!$EB$57:$IY$57)</f>
        <v>0</v>
      </c>
      <c r="RY363" s="56"/>
      <c r="RZ363" s="242">
        <f t="shared" si="2644"/>
        <v>0</v>
      </c>
      <c r="SA363" s="242">
        <f t="shared" si="2645"/>
        <v>0</v>
      </c>
      <c r="SB363" s="56"/>
      <c r="SE363" s="55">
        <f t="shared" si="2646"/>
        <v>46329</v>
      </c>
      <c r="SF363" s="56"/>
      <c r="SG363" s="242">
        <f>SUMPRODUCT(PRODUCE!$B358:$DY358,PRODUCE!$EB$61:$IY$61)</f>
        <v>0</v>
      </c>
      <c r="SH363" s="56"/>
      <c r="SI363" s="242">
        <f t="shared" si="2647"/>
        <v>0</v>
      </c>
      <c r="SJ363" s="242">
        <f t="shared" si="2648"/>
        <v>24.200000000000003</v>
      </c>
      <c r="SK363" s="56"/>
      <c r="SN363" s="55">
        <f t="shared" si="2649"/>
        <v>46329</v>
      </c>
      <c r="SO363" s="56"/>
      <c r="SP363" s="242">
        <f>SUMPRODUCT(PRODUCE!$B358:$DY358,PRODUCE!$EB$57:$IY$57)</f>
        <v>0</v>
      </c>
      <c r="SQ363" s="56"/>
      <c r="SR363" s="242">
        <f t="shared" si="2650"/>
        <v>0</v>
      </c>
      <c r="SS363" s="242">
        <f t="shared" si="2651"/>
        <v>32</v>
      </c>
      <c r="ST363" s="56"/>
      <c r="SW363" s="55">
        <f t="shared" si="2652"/>
        <v>46329</v>
      </c>
      <c r="SX363" s="56"/>
      <c r="SY363" s="242">
        <f>SUMPRODUCT(PRODUCE!$B358:$DY358,PRODUCE!$EB$57:$IY$57)</f>
        <v>0</v>
      </c>
      <c r="SZ363" s="56"/>
      <c r="TA363" s="242">
        <f t="shared" si="2653"/>
        <v>0</v>
      </c>
      <c r="TB363" s="242">
        <f t="shared" si="2654"/>
        <v>0</v>
      </c>
      <c r="TC363" s="56"/>
      <c r="TF363" s="55">
        <f t="shared" si="2655"/>
        <v>46329</v>
      </c>
      <c r="TG363" s="56"/>
      <c r="TH363" s="242">
        <f>SUMPRODUCT(PRODUCE!$B358:$DY358,PRODUCE!$EB$57:$IY$57)</f>
        <v>0</v>
      </c>
      <c r="TI363" s="56"/>
      <c r="TJ363" s="242">
        <f t="shared" si="2656"/>
        <v>0</v>
      </c>
      <c r="TK363" s="242">
        <f t="shared" si="2657"/>
        <v>0</v>
      </c>
      <c r="TL363" s="56"/>
      <c r="TO363" s="55">
        <f t="shared" si="2658"/>
        <v>46329</v>
      </c>
      <c r="TP363" s="56"/>
      <c r="TQ363" s="242">
        <f>SUMPRODUCT(PRODUCE!$B358:$DY358,PRODUCE!$EB$57:$IY$57)</f>
        <v>0</v>
      </c>
      <c r="TR363" s="56"/>
      <c r="TS363" s="242">
        <f t="shared" si="2659"/>
        <v>0</v>
      </c>
      <c r="TT363" s="242">
        <f t="shared" si="2660"/>
        <v>0</v>
      </c>
      <c r="TU363" s="56"/>
      <c r="TX363" s="55">
        <f t="shared" si="2661"/>
        <v>46329</v>
      </c>
      <c r="TY363" s="56"/>
      <c r="TZ363" s="242">
        <f>SUMPRODUCT(PRODUCE!$B358:$DY358,PRODUCE!$EB$57:$IY$57)</f>
        <v>0</v>
      </c>
      <c r="UA363" s="56"/>
      <c r="UB363" s="242">
        <f t="shared" si="2662"/>
        <v>0</v>
      </c>
      <c r="UC363" s="242">
        <f t="shared" si="2663"/>
        <v>46.799999999999983</v>
      </c>
      <c r="UD363" s="56"/>
      <c r="UG363" s="55">
        <f t="shared" si="2664"/>
        <v>46329</v>
      </c>
      <c r="UH363" s="56"/>
      <c r="UI363" s="242">
        <f>SUMPRODUCT(PRODUCE!$B358:$DY358,PRODUCE!$EB$57:$IY$57)</f>
        <v>0</v>
      </c>
      <c r="UJ363" s="56"/>
      <c r="UK363" s="242">
        <f t="shared" si="2665"/>
        <v>0</v>
      </c>
      <c r="UL363" s="242">
        <f t="shared" si="2666"/>
        <v>204</v>
      </c>
      <c r="UM363" s="56"/>
      <c r="UP363" s="55">
        <f t="shared" si="2667"/>
        <v>46329</v>
      </c>
      <c r="UQ363" s="56"/>
      <c r="UR363" s="242">
        <f>SUMPRODUCT(PRODUCE!$B358:$DY358,PRODUCE!$EB$57:$IY$57)</f>
        <v>0</v>
      </c>
      <c r="US363" s="56"/>
      <c r="UT363" s="242">
        <f t="shared" si="2668"/>
        <v>0</v>
      </c>
      <c r="UU363" s="242">
        <f t="shared" si="2669"/>
        <v>202.5</v>
      </c>
      <c r="UV363" s="56"/>
      <c r="UY363" s="55">
        <f t="shared" si="2670"/>
        <v>46329</v>
      </c>
      <c r="UZ363" s="56"/>
      <c r="VA363" s="242">
        <f>SUMPRODUCT(PRODUCE!$B358:$DY358,PRODUCE!$EB$57:$IY$57)</f>
        <v>0</v>
      </c>
      <c r="VB363" s="56"/>
      <c r="VC363" s="242">
        <f t="shared" si="2671"/>
        <v>0</v>
      </c>
      <c r="VD363" s="242">
        <f t="shared" si="2672"/>
        <v>41.600000000000023</v>
      </c>
      <c r="VE363" s="56"/>
      <c r="VH363" s="55">
        <f t="shared" si="2673"/>
        <v>46329</v>
      </c>
      <c r="VI363" s="56"/>
      <c r="VJ363" s="242">
        <f>SUMPRODUCT(PRODUCE!$B358:$DY358,PRODUCE!$EB$57:$IY$57)</f>
        <v>0</v>
      </c>
      <c r="VK363" s="56"/>
      <c r="VL363" s="242">
        <f t="shared" si="2674"/>
        <v>0</v>
      </c>
      <c r="VM363" s="242">
        <f t="shared" si="2675"/>
        <v>210</v>
      </c>
      <c r="VN363" s="56"/>
      <c r="VQ363" s="55">
        <f t="shared" si="2676"/>
        <v>46329</v>
      </c>
      <c r="VR363" s="56"/>
      <c r="VS363" s="242">
        <f>SUMPRODUCT(PRODUCE!$B358:$DY358,PRODUCE!$EB$57:$IY$57)</f>
        <v>0</v>
      </c>
      <c r="VT363" s="56"/>
      <c r="VU363" s="242">
        <f t="shared" si="2677"/>
        <v>0</v>
      </c>
      <c r="VV363" s="242">
        <f t="shared" si="2678"/>
        <v>0</v>
      </c>
      <c r="VW363" s="56"/>
      <c r="VZ363" s="55">
        <f t="shared" si="2679"/>
        <v>46329</v>
      </c>
      <c r="WA363" s="56"/>
      <c r="WB363" s="242">
        <f>SUMPRODUCT(PRODUCE!$B358:$DY358,PRODUCE!$EB$57:$IY$57)</f>
        <v>0</v>
      </c>
      <c r="WC363" s="56"/>
      <c r="WD363" s="242">
        <f t="shared" si="2680"/>
        <v>0</v>
      </c>
      <c r="WE363" s="242">
        <f t="shared" si="2681"/>
        <v>0</v>
      </c>
      <c r="WF363" s="56"/>
      <c r="WI363" s="55">
        <f t="shared" si="2682"/>
        <v>46329</v>
      </c>
      <c r="WJ363" s="56"/>
      <c r="WK363" s="242">
        <f>SUMPRODUCT(PRODUCE!$B358:$DY358,PRODUCE!$EB$57:$IY$57)</f>
        <v>0</v>
      </c>
      <c r="WL363" s="56"/>
      <c r="WM363" s="242">
        <f t="shared" si="2683"/>
        <v>0</v>
      </c>
      <c r="WN363" s="242">
        <f t="shared" si="2684"/>
        <v>1057</v>
      </c>
      <c r="WO363" s="56"/>
      <c r="WR363" s="55">
        <f t="shared" si="2685"/>
        <v>46329</v>
      </c>
      <c r="WS363" s="56"/>
      <c r="WT363" s="242">
        <f>SUMPRODUCT(PRODUCE!$B358:$DY358,PRODUCE!$EB$57:$IY$57)</f>
        <v>0</v>
      </c>
      <c r="WU363" s="56"/>
      <c r="WV363" s="242">
        <f t="shared" si="2686"/>
        <v>0</v>
      </c>
      <c r="WW363" s="242">
        <f t="shared" si="2687"/>
        <v>0</v>
      </c>
      <c r="WX363" s="56"/>
      <c r="XA363" s="55">
        <f t="shared" si="2688"/>
        <v>46329</v>
      </c>
      <c r="XB363" s="56"/>
      <c r="XC363" s="242">
        <f>SUMPRODUCT(PRODUCE!$B358:$DY358,PRODUCE!$EB$57:$IY$57)</f>
        <v>0</v>
      </c>
      <c r="XD363" s="56"/>
      <c r="XE363" s="242">
        <f t="shared" si="2689"/>
        <v>0</v>
      </c>
      <c r="XF363" s="242">
        <f t="shared" si="2690"/>
        <v>7507</v>
      </c>
      <c r="XG363" s="56"/>
      <c r="XJ363" s="55">
        <f t="shared" si="2691"/>
        <v>46329</v>
      </c>
      <c r="XK363" s="56"/>
      <c r="XL363" s="242">
        <f>SUMPRODUCT(PRODUCE!$B358:$DY358,PRODUCE!$EB$57:$IY$57)</f>
        <v>0</v>
      </c>
      <c r="XM363" s="56"/>
      <c r="XN363" s="242">
        <f t="shared" si="2692"/>
        <v>0</v>
      </c>
      <c r="XO363" s="242">
        <f t="shared" si="2693"/>
        <v>4252</v>
      </c>
      <c r="XP363" s="56"/>
      <c r="XS363" s="55">
        <f t="shared" si="2694"/>
        <v>46329</v>
      </c>
      <c r="XT363" s="56"/>
      <c r="XU363" s="242">
        <f>SUMPRODUCT(PRODUCE!$B358:$DY358,PRODUCE!$EB$57:$IY$57)</f>
        <v>0</v>
      </c>
      <c r="XV363" s="56"/>
      <c r="XW363" s="242">
        <f t="shared" si="2695"/>
        <v>0</v>
      </c>
      <c r="XX363" s="242">
        <f t="shared" si="2696"/>
        <v>2179</v>
      </c>
      <c r="XY363" s="56"/>
      <c r="YB363" s="55">
        <f t="shared" si="2697"/>
        <v>46329</v>
      </c>
      <c r="YC363" s="56"/>
      <c r="YD363" s="242">
        <f>SUMPRODUCT(PRODUCE!$B358:$DY358,PRODUCE!$EB$57:$IY$57)</f>
        <v>0</v>
      </c>
      <c r="YE363" s="56"/>
      <c r="YF363" s="242">
        <f t="shared" si="2698"/>
        <v>0</v>
      </c>
      <c r="YG363" s="242">
        <f t="shared" si="2699"/>
        <v>4019</v>
      </c>
      <c r="YH363" s="56"/>
      <c r="YK363" s="55">
        <f t="shared" si="2700"/>
        <v>46329</v>
      </c>
      <c r="YL363" s="56"/>
      <c r="YM363" s="242">
        <f>SUMPRODUCT(PRODUCE!$B358:$DY358,PRODUCE!$EB$57:$IY$57)</f>
        <v>0</v>
      </c>
      <c r="YN363" s="56"/>
      <c r="YO363" s="242">
        <f t="shared" si="2701"/>
        <v>0</v>
      </c>
      <c r="YP363" s="242">
        <f t="shared" si="2702"/>
        <v>-218</v>
      </c>
      <c r="YQ363" s="56"/>
      <c r="YT363" s="55">
        <f t="shared" si="2703"/>
        <v>46329</v>
      </c>
      <c r="YU363" s="56"/>
      <c r="YV363" s="242">
        <f>SUMPRODUCT(PRODUCE!$B358:$DY358,PRODUCE!$EB$57:$IY$57)</f>
        <v>0</v>
      </c>
      <c r="YW363" s="56"/>
      <c r="YX363" s="242">
        <f t="shared" si="2704"/>
        <v>0</v>
      </c>
      <c r="YY363" s="242">
        <f t="shared" si="2705"/>
        <v>0</v>
      </c>
      <c r="YZ363" s="56"/>
      <c r="ZC363" s="55">
        <f t="shared" si="2706"/>
        <v>46329</v>
      </c>
      <c r="ZD363" s="56"/>
      <c r="ZE363" s="242">
        <f>SUMPRODUCT(PRODUCE!$B358:$DY358,PRODUCE!$EB$57:$IY$57)</f>
        <v>0</v>
      </c>
      <c r="ZF363" s="56"/>
      <c r="ZG363" s="242">
        <f t="shared" si="2707"/>
        <v>0</v>
      </c>
      <c r="ZH363" s="242">
        <f t="shared" si="2708"/>
        <v>0</v>
      </c>
      <c r="ZI363" s="56"/>
      <c r="ZL363" s="55">
        <f t="shared" si="2709"/>
        <v>46329</v>
      </c>
      <c r="ZM363" s="56"/>
      <c r="ZN363" s="242">
        <f>SUMPRODUCT(PRODUCE!$B358:$DY358,PRODUCE!$EB$57:$IY$57)</f>
        <v>0</v>
      </c>
      <c r="ZO363" s="56"/>
      <c r="ZP363" s="242">
        <f t="shared" si="2710"/>
        <v>0</v>
      </c>
      <c r="ZQ363" s="242">
        <f t="shared" si="2711"/>
        <v>0</v>
      </c>
      <c r="ZR363" s="56"/>
      <c r="ZU363" s="55">
        <f t="shared" si="2712"/>
        <v>46329</v>
      </c>
      <c r="ZV363" s="56"/>
      <c r="ZW363" s="242">
        <f>SUMPRODUCT(PRODUCE!$B358:$DY358,PRODUCE!$EB$57:$IY$57)</f>
        <v>0</v>
      </c>
      <c r="ZX363" s="56"/>
      <c r="ZY363" s="242">
        <f t="shared" si="2713"/>
        <v>0</v>
      </c>
      <c r="ZZ363" s="242">
        <f t="shared" si="2714"/>
        <v>0</v>
      </c>
      <c r="AAA363" s="56"/>
      <c r="AAD363" s="55">
        <f t="shared" si="2715"/>
        <v>46329</v>
      </c>
      <c r="AAE363" s="56"/>
      <c r="AAF363" s="242">
        <f>SUMPRODUCT(PRODUCE!$B358:$DY358,PRODUCE!$EB$57:$IY$57)</f>
        <v>0</v>
      </c>
      <c r="AAG363" s="56"/>
      <c r="AAH363" s="242">
        <f t="shared" si="2716"/>
        <v>0</v>
      </c>
      <c r="AAI363" s="242">
        <f t="shared" si="2717"/>
        <v>0</v>
      </c>
      <c r="AAJ363" s="56"/>
      <c r="AAM363" s="55">
        <f t="shared" si="2718"/>
        <v>46329</v>
      </c>
      <c r="AAN363" s="56"/>
      <c r="AAO363" s="242">
        <f>SUMPRODUCT(PRODUCE!$B358:$DY358,PRODUCE!$EB$57:$IY$57)</f>
        <v>0</v>
      </c>
      <c r="AAP363" s="56"/>
      <c r="AAQ363" s="242">
        <f t="shared" si="2719"/>
        <v>0</v>
      </c>
      <c r="AAR363" s="242">
        <f t="shared" si="2720"/>
        <v>0</v>
      </c>
      <c r="AAS363" s="56"/>
      <c r="AAV363" s="55">
        <f t="shared" si="2721"/>
        <v>46329</v>
      </c>
      <c r="AAW363" s="56"/>
      <c r="AAX363" s="242">
        <f>SUMPRODUCT(PRODUCE!$B358:$DY358,PRODUCE!$EB$57:$IY$57)</f>
        <v>0</v>
      </c>
      <c r="AAY363" s="56"/>
      <c r="AAZ363" s="242">
        <f t="shared" si="2722"/>
        <v>0</v>
      </c>
      <c r="ABA363" s="242">
        <f t="shared" si="2723"/>
        <v>0</v>
      </c>
      <c r="ABB363" s="56"/>
      <c r="ABE363" s="55">
        <f t="shared" si="2724"/>
        <v>46329</v>
      </c>
      <c r="ABF363" s="56"/>
      <c r="ABG363" s="242">
        <f>SUMPRODUCT(PRODUCE!$B358:$DY358,PRODUCE!$EB$57:$IY$57)</f>
        <v>0</v>
      </c>
      <c r="ABH363" s="56"/>
      <c r="ABI363" s="242">
        <f t="shared" si="2725"/>
        <v>0</v>
      </c>
      <c r="ABJ363" s="242">
        <f t="shared" si="2726"/>
        <v>0</v>
      </c>
      <c r="ABK363" s="56"/>
    </row>
    <row r="364" spans="1:739" s="54" customFormat="1" ht="15" customHeight="1" outlineLevel="1">
      <c r="B364" s="478"/>
      <c r="C364" s="55">
        <v>46330</v>
      </c>
      <c r="D364" s="56"/>
      <c r="E364" s="57">
        <f>SUMPRODUCT(PRODUCE!$B359:$DY359,PRODUCE!$EB$7:$IY$7)</f>
        <v>0</v>
      </c>
      <c r="F364" s="56"/>
      <c r="G364" s="57">
        <f t="shared" si="2482"/>
        <v>0</v>
      </c>
      <c r="H364" s="57">
        <f t="shared" si="2483"/>
        <v>236936.6</v>
      </c>
      <c r="I364" s="289"/>
      <c r="L364" s="55">
        <f t="shared" si="2484"/>
        <v>46330</v>
      </c>
      <c r="M364" s="56"/>
      <c r="N364" s="59">
        <f>SUMPRODUCT(PRODUCE!$B359:$DY359,PRODUCE!$EB$8:$IY$8)</f>
        <v>0</v>
      </c>
      <c r="O364" s="56"/>
      <c r="P364" s="59">
        <f t="shared" si="2485"/>
        <v>0</v>
      </c>
      <c r="Q364" s="59">
        <f t="shared" si="2486"/>
        <v>53017.600000000071</v>
      </c>
      <c r="R364" s="56"/>
      <c r="U364" s="55">
        <f t="shared" si="2487"/>
        <v>46330</v>
      </c>
      <c r="V364" s="56"/>
      <c r="W364" s="60">
        <f>SUMPRODUCT(PRODUCE!$B359:$DY359,PRODUCE!$EB$9:$IY$9)</f>
        <v>0</v>
      </c>
      <c r="X364" s="56"/>
      <c r="Y364" s="60">
        <f t="shared" si="2488"/>
        <v>0</v>
      </c>
      <c r="Z364" s="60">
        <f t="shared" si="2489"/>
        <v>42674.199999999968</v>
      </c>
      <c r="AA364" s="56"/>
      <c r="AD364" s="55">
        <f t="shared" si="2490"/>
        <v>46330</v>
      </c>
      <c r="AE364" s="56"/>
      <c r="AF364" s="61">
        <f>SUMPRODUCT(PRODUCE!$B359:$DY359,PRODUCE!$EB$10:$IY$10)</f>
        <v>0</v>
      </c>
      <c r="AG364" s="56"/>
      <c r="AH364" s="61">
        <f t="shared" si="2491"/>
        <v>0</v>
      </c>
      <c r="AI364" s="61">
        <f t="shared" si="2492"/>
        <v>4522.2000000000189</v>
      </c>
      <c r="AJ364" s="56"/>
      <c r="AM364" s="55">
        <f t="shared" si="2493"/>
        <v>46330</v>
      </c>
      <c r="AN364" s="422"/>
      <c r="AO364" s="444">
        <f>SUMPRODUCT(PRODUCE!$B359:$DY359,PRODUCE!$EB$11:$IY$11)</f>
        <v>0</v>
      </c>
      <c r="AP364" s="422"/>
      <c r="AQ364" s="444">
        <f t="shared" si="2494"/>
        <v>0</v>
      </c>
      <c r="AR364" s="444">
        <f t="shared" si="2495"/>
        <v>0</v>
      </c>
      <c r="AS364" s="56"/>
      <c r="AV364" s="55">
        <f t="shared" si="2496"/>
        <v>46330</v>
      </c>
      <c r="AW364" s="56"/>
      <c r="AX364" s="62">
        <f>SUMPRODUCT(PRODUCE!$B359:$DY359,PRODUCE!$EB$12:$IY$12)</f>
        <v>0</v>
      </c>
      <c r="AY364" s="56"/>
      <c r="AZ364" s="62">
        <f t="shared" si="2497"/>
        <v>0</v>
      </c>
      <c r="BA364" s="62">
        <f t="shared" si="2498"/>
        <v>124.99999999999523</v>
      </c>
      <c r="BB364" s="56"/>
      <c r="BE364" s="55">
        <f t="shared" si="2499"/>
        <v>46330</v>
      </c>
      <c r="BF364" s="56"/>
      <c r="BG364" s="63">
        <f>SUMPRODUCT(PRODUCE!$B359:$DY359,PRODUCE!$EB$13:$IY$13)</f>
        <v>0</v>
      </c>
      <c r="BH364" s="56"/>
      <c r="BI364" s="63">
        <f t="shared" si="2500"/>
        <v>0</v>
      </c>
      <c r="BJ364" s="63">
        <f t="shared" si="2501"/>
        <v>26151.899999999998</v>
      </c>
      <c r="BK364" s="56"/>
      <c r="BN364" s="55">
        <f t="shared" si="2502"/>
        <v>46330</v>
      </c>
      <c r="BO364" s="56"/>
      <c r="BP364" s="64">
        <f>SUMPRODUCT(PRODUCE!$B359:$DY359,PRODUCE!$EB$14:$IY$14)</f>
        <v>0</v>
      </c>
      <c r="BQ364" s="56"/>
      <c r="BR364" s="64">
        <f t="shared" si="2503"/>
        <v>0</v>
      </c>
      <c r="BS364" s="64">
        <f t="shared" si="2504"/>
        <v>0</v>
      </c>
      <c r="BT364" s="56"/>
      <c r="BW364" s="55">
        <f t="shared" si="2505"/>
        <v>46330</v>
      </c>
      <c r="BX364" s="56"/>
      <c r="BY364" s="65">
        <f>SUMPRODUCT(PRODUCE!$B359:$DY359,PRODUCE!$EB$15:$IY$15)</f>
        <v>0</v>
      </c>
      <c r="BZ364" s="56"/>
      <c r="CA364" s="65">
        <f t="shared" si="2506"/>
        <v>0</v>
      </c>
      <c r="CB364" s="65">
        <f t="shared" si="2507"/>
        <v>2097.3399999999992</v>
      </c>
      <c r="CC364" s="56"/>
      <c r="CF364" s="55">
        <f t="shared" si="2508"/>
        <v>46330</v>
      </c>
      <c r="CG364" s="56"/>
      <c r="CH364" s="66">
        <f>SUMPRODUCT(PRODUCE!$B359:$DY359,PRODUCE!$EB$16:$IY$16)</f>
        <v>0</v>
      </c>
      <c r="CI364" s="56"/>
      <c r="CJ364" s="66">
        <f t="shared" si="2509"/>
        <v>0</v>
      </c>
      <c r="CK364" s="66">
        <f t="shared" si="2510"/>
        <v>-10277.079999999998</v>
      </c>
      <c r="CL364" s="56"/>
      <c r="CO364" s="55">
        <f t="shared" si="2511"/>
        <v>46330</v>
      </c>
      <c r="CP364" s="422"/>
      <c r="CQ364" s="470">
        <f>SUMPRODUCT(PRODUCE!$B359:$DY359,PRODUCE!$EB$17:$IY$17)</f>
        <v>0</v>
      </c>
      <c r="CR364" s="422"/>
      <c r="CS364" s="470">
        <f t="shared" si="2512"/>
        <v>0</v>
      </c>
      <c r="CT364" s="470">
        <f t="shared" si="2513"/>
        <v>0</v>
      </c>
      <c r="CU364" s="56"/>
      <c r="CX364" s="55">
        <f t="shared" si="2514"/>
        <v>46330</v>
      </c>
      <c r="CY364" s="56"/>
      <c r="CZ364" s="133">
        <f>SUMPRODUCT(PRODUCE!$B359:$DY359,PRODUCE!$EB$18:$IY$18)</f>
        <v>0</v>
      </c>
      <c r="DA364" s="56"/>
      <c r="DB364" s="133">
        <f t="shared" si="2515"/>
        <v>0</v>
      </c>
      <c r="DC364" s="133">
        <f t="shared" si="2516"/>
        <v>27438.200000000012</v>
      </c>
      <c r="DD364" s="56"/>
      <c r="DG364" s="55">
        <f t="shared" si="2517"/>
        <v>46330</v>
      </c>
      <c r="DH364" s="56"/>
      <c r="DI364" s="147">
        <f>SUMPRODUCT(PRODUCE!$B359:$DY359,PRODUCE!$EB$19:$IY$19)</f>
        <v>0</v>
      </c>
      <c r="DJ364" s="56"/>
      <c r="DK364" s="147">
        <f t="shared" si="2518"/>
        <v>0</v>
      </c>
      <c r="DL364" s="147">
        <f t="shared" si="2519"/>
        <v>18782.299999999981</v>
      </c>
      <c r="DM364" s="56"/>
      <c r="DP364" s="55">
        <f t="shared" si="2520"/>
        <v>46330</v>
      </c>
      <c r="DQ364" s="56"/>
      <c r="DR364" s="57">
        <f>SUMPRODUCT(PRODUCE!$B359:$DY359,PRODUCE!$EB$20:$IY$20)</f>
        <v>0</v>
      </c>
      <c r="DS364" s="56"/>
      <c r="DT364" s="57">
        <f t="shared" si="2521"/>
        <v>0</v>
      </c>
      <c r="DU364" s="57">
        <f t="shared" si="2522"/>
        <v>5800</v>
      </c>
      <c r="DV364" s="56"/>
      <c r="DY364" s="55">
        <f t="shared" si="2523"/>
        <v>46330</v>
      </c>
      <c r="DZ364" s="56"/>
      <c r="EA364" s="157">
        <f>SUMPRODUCT(PRODUCE!$B359:$DY359,PRODUCE!$EB$21:$IY$21)</f>
        <v>0</v>
      </c>
      <c r="EB364" s="56"/>
      <c r="EC364" s="157">
        <f t="shared" si="2524"/>
        <v>0</v>
      </c>
      <c r="ED364" s="157">
        <f t="shared" si="2525"/>
        <v>0</v>
      </c>
      <c r="EE364" s="56"/>
      <c r="EH364" s="55">
        <f t="shared" si="2526"/>
        <v>46330</v>
      </c>
      <c r="EI364" s="56"/>
      <c r="EJ364" s="162">
        <f>SUMPRODUCT(PRODUCE!$B359:$DY359,PRODUCE!$EB$22:$IY$22)</f>
        <v>0</v>
      </c>
      <c r="EK364" s="56"/>
      <c r="EL364" s="162">
        <f t="shared" si="2527"/>
        <v>0</v>
      </c>
      <c r="EM364" s="162">
        <f t="shared" si="2528"/>
        <v>0</v>
      </c>
      <c r="EN364" s="56"/>
      <c r="EQ364" s="55">
        <f t="shared" si="2529"/>
        <v>46330</v>
      </c>
      <c r="ER364" s="56"/>
      <c r="ES364" s="135">
        <f>SUMPRODUCT(PRODUCE!$B359:$DY359,PRODUCE!$EB$23:$IY$23)</f>
        <v>0</v>
      </c>
      <c r="ET364" s="56"/>
      <c r="EU364" s="135">
        <f t="shared" si="2530"/>
        <v>0</v>
      </c>
      <c r="EV364" s="135">
        <f t="shared" si="2531"/>
        <v>0</v>
      </c>
      <c r="EW364" s="56"/>
      <c r="EZ364" s="55">
        <f t="shared" si="2532"/>
        <v>46330</v>
      </c>
      <c r="FA364" s="56"/>
      <c r="FB364" s="175">
        <f>SUMPRODUCT(PRODUCE!$B359:$DY359,PRODUCE!$EB$24:$IY$24)</f>
        <v>0</v>
      </c>
      <c r="FC364" s="56"/>
      <c r="FD364" s="175">
        <f t="shared" si="2533"/>
        <v>0</v>
      </c>
      <c r="FE364" s="175">
        <f t="shared" si="2534"/>
        <v>0</v>
      </c>
      <c r="FF364" s="56"/>
      <c r="FI364" s="55">
        <f t="shared" si="2535"/>
        <v>46330</v>
      </c>
      <c r="FJ364" s="56"/>
      <c r="FK364" s="183">
        <f>SUMPRODUCT(PRODUCE!$B359:$DY359,PRODUCE!$EB$25:$IY$25)</f>
        <v>0</v>
      </c>
      <c r="FL364" s="56"/>
      <c r="FM364" s="183">
        <f t="shared" si="2536"/>
        <v>0</v>
      </c>
      <c r="FN364" s="183">
        <f t="shared" si="2537"/>
        <v>0</v>
      </c>
      <c r="FO364" s="56"/>
      <c r="FR364" s="55">
        <f t="shared" si="2538"/>
        <v>46330</v>
      </c>
      <c r="FS364" s="56"/>
      <c r="FT364" s="186">
        <f>SUMPRODUCT(PRODUCE!$B359:$DY359,PRODUCE!$EB$26:$IY$26)</f>
        <v>0</v>
      </c>
      <c r="FU364" s="56"/>
      <c r="FV364" s="186">
        <f t="shared" si="2539"/>
        <v>0</v>
      </c>
      <c r="FW364" s="186">
        <f t="shared" si="2540"/>
        <v>2020</v>
      </c>
      <c r="FX364" s="56"/>
      <c r="GA364" s="55">
        <f t="shared" si="2541"/>
        <v>46330</v>
      </c>
      <c r="GB364" s="56"/>
      <c r="GC364" s="137">
        <f>SUMPRODUCT(PRODUCE!$B359:$DY359,PRODUCE!$EB$27:$IY$27)</f>
        <v>0</v>
      </c>
      <c r="GD364" s="56"/>
      <c r="GE364" s="137">
        <f t="shared" si="2542"/>
        <v>0</v>
      </c>
      <c r="GF364" s="137">
        <f t="shared" si="2543"/>
        <v>960</v>
      </c>
      <c r="GG364" s="56"/>
      <c r="GI364" s="23"/>
      <c r="GJ364" s="55">
        <f t="shared" si="2544"/>
        <v>46330</v>
      </c>
      <c r="GK364" s="56"/>
      <c r="GL364" s="199">
        <f>SUMPRODUCT(PRODUCE!$B359:$DY359,PRODUCE!$EB$28:$IY$28)</f>
        <v>0</v>
      </c>
      <c r="GM364" s="56"/>
      <c r="GN364" s="199">
        <f t="shared" si="2545"/>
        <v>0</v>
      </c>
      <c r="GO364" s="199">
        <f t="shared" si="2546"/>
        <v>1760</v>
      </c>
      <c r="GP364" s="56"/>
      <c r="GS364" s="55">
        <f t="shared" si="2547"/>
        <v>46330</v>
      </c>
      <c r="GT364" s="56"/>
      <c r="GU364" s="195">
        <f>SUMPRODUCT(PRODUCE!$B359:$DY359,PRODUCE!$EB$29:$IY$29)</f>
        <v>0</v>
      </c>
      <c r="GV364" s="56"/>
      <c r="GW364" s="195">
        <f t="shared" si="2548"/>
        <v>0</v>
      </c>
      <c r="GX364" s="195">
        <f t="shared" si="2549"/>
        <v>400</v>
      </c>
      <c r="GY364" s="56"/>
      <c r="HB364" s="55">
        <f t="shared" si="2550"/>
        <v>46330</v>
      </c>
      <c r="HC364" s="56"/>
      <c r="HD364" s="191">
        <f>SUMPRODUCT(PRODUCE!$B359:$DY359,PRODUCE!$EB$30:$IY$30)</f>
        <v>0</v>
      </c>
      <c r="HE364" s="56"/>
      <c r="HF364" s="191">
        <f t="shared" si="2551"/>
        <v>0</v>
      </c>
      <c r="HG364" s="191">
        <f t="shared" si="2552"/>
        <v>3600</v>
      </c>
      <c r="HH364" s="56"/>
      <c r="HK364" s="55">
        <f t="shared" si="2553"/>
        <v>46330</v>
      </c>
      <c r="HL364" s="56"/>
      <c r="HM364" s="63">
        <f>SUMPRODUCT(PRODUCE!$B359:$DY359,PRODUCE!$EB$31:$IY$31)</f>
        <v>0</v>
      </c>
      <c r="HN364" s="56"/>
      <c r="HO364" s="63">
        <f t="shared" si="2554"/>
        <v>0</v>
      </c>
      <c r="HP364" s="63">
        <f t="shared" si="2555"/>
        <v>0</v>
      </c>
      <c r="HQ364" s="56"/>
      <c r="HU364" s="55">
        <f t="shared" si="2556"/>
        <v>46330</v>
      </c>
      <c r="HV364" s="56"/>
      <c r="HW364" s="242">
        <f>SUMPRODUCT(PRODUCE!$B359:$DY359,PRODUCE!$EB$32:$IY$32)</f>
        <v>0</v>
      </c>
      <c r="HX364" s="56"/>
      <c r="HY364" s="242">
        <f t="shared" si="2557"/>
        <v>0</v>
      </c>
      <c r="HZ364" s="242">
        <f t="shared" si="2558"/>
        <v>6120</v>
      </c>
      <c r="IA364" s="56"/>
      <c r="ID364" s="55">
        <f t="shared" si="2559"/>
        <v>46330</v>
      </c>
      <c r="IE364" s="56"/>
      <c r="IF364" s="242">
        <f>SUMPRODUCT(PRODUCE!$B359:$DY359,PRODUCE!$EB$33:$IY$33)</f>
        <v>0</v>
      </c>
      <c r="IG364" s="56"/>
      <c r="IH364" s="242">
        <f t="shared" si="2560"/>
        <v>0</v>
      </c>
      <c r="II364" s="242">
        <f t="shared" si="2561"/>
        <v>0</v>
      </c>
      <c r="IJ364" s="56"/>
      <c r="IM364" s="55">
        <f t="shared" si="2562"/>
        <v>46330</v>
      </c>
      <c r="IN364" s="56"/>
      <c r="IO364" s="242">
        <f>SUMPRODUCT(PRODUCE!$B359:$DY359,PRODUCE!$EB$34:$IY$34)</f>
        <v>0</v>
      </c>
      <c r="IP364" s="56"/>
      <c r="IQ364" s="242">
        <f t="shared" si="2563"/>
        <v>0</v>
      </c>
      <c r="IR364" s="242">
        <f t="shared" si="2564"/>
        <v>0</v>
      </c>
      <c r="IS364" s="56"/>
      <c r="IV364" s="55">
        <f t="shared" si="2565"/>
        <v>46330</v>
      </c>
      <c r="IW364" s="56"/>
      <c r="IX364" s="242">
        <f>SUMPRODUCT(PRODUCE!$B359:$DY359,PRODUCE!$EB$35:$IY$35)</f>
        <v>0</v>
      </c>
      <c r="IY364" s="56"/>
      <c r="IZ364" s="242">
        <f t="shared" si="2566"/>
        <v>0</v>
      </c>
      <c r="JA364" s="242">
        <f t="shared" si="2567"/>
        <v>2820</v>
      </c>
      <c r="JB364" s="56"/>
      <c r="JE364" s="55">
        <f t="shared" si="2568"/>
        <v>46330</v>
      </c>
      <c r="JF364" s="56"/>
      <c r="JG364" s="242">
        <f>SUMPRODUCT(PRODUCE!$B359:$DY359,PRODUCE!$EB$36:$IY$36)</f>
        <v>0</v>
      </c>
      <c r="JH364" s="56"/>
      <c r="JI364" s="242">
        <f t="shared" si="2569"/>
        <v>0</v>
      </c>
      <c r="JJ364" s="242">
        <f t="shared" si="2570"/>
        <v>0</v>
      </c>
      <c r="JK364" s="56"/>
      <c r="JN364" s="55">
        <f t="shared" si="2571"/>
        <v>46330</v>
      </c>
      <c r="JO364" s="56"/>
      <c r="JP364" s="242">
        <f>SUMPRODUCT(PRODUCE!$B359:$DY359,PRODUCE!$EB$37:$IY$37)</f>
        <v>0</v>
      </c>
      <c r="JQ364" s="56"/>
      <c r="JR364" s="242">
        <f t="shared" si="2572"/>
        <v>0</v>
      </c>
      <c r="JS364" s="242">
        <f t="shared" si="2573"/>
        <v>0</v>
      </c>
      <c r="JT364" s="56"/>
      <c r="JW364" s="55">
        <f t="shared" si="2574"/>
        <v>46330</v>
      </c>
      <c r="JX364" s="56"/>
      <c r="JY364" s="242">
        <f>SUMPRODUCT(PRODUCE!$B359:$DY359,PRODUCE!$EB$38:$IY$38)</f>
        <v>0</v>
      </c>
      <c r="JZ364" s="56"/>
      <c r="KA364" s="242">
        <f t="shared" si="2575"/>
        <v>0</v>
      </c>
      <c r="KB364" s="242">
        <f t="shared" si="2576"/>
        <v>2540</v>
      </c>
      <c r="KC364" s="56"/>
      <c r="KF364" s="55">
        <f t="shared" si="2577"/>
        <v>46330</v>
      </c>
      <c r="KG364" s="56"/>
      <c r="KH364" s="242">
        <f>SUMPRODUCT(PRODUCE!$B359:$DY359,PRODUCE!$EB$39:$IY$39)</f>
        <v>0</v>
      </c>
      <c r="KI364" s="56"/>
      <c r="KJ364" s="242">
        <f t="shared" si="2578"/>
        <v>0</v>
      </c>
      <c r="KK364" s="242">
        <f t="shared" si="2579"/>
        <v>2359.5</v>
      </c>
      <c r="KL364" s="56"/>
      <c r="KO364" s="55">
        <f t="shared" si="2580"/>
        <v>46330</v>
      </c>
      <c r="KP364" s="56"/>
      <c r="KQ364" s="242">
        <f>SUMPRODUCT(PRODUCE!$B359:$DY359,PRODUCE!$EB$40:$IY$40)</f>
        <v>0</v>
      </c>
      <c r="KR364" s="56"/>
      <c r="KS364" s="242">
        <f t="shared" si="2581"/>
        <v>0</v>
      </c>
      <c r="KT364" s="242">
        <f t="shared" si="2582"/>
        <v>1890</v>
      </c>
      <c r="KU364" s="56"/>
      <c r="KW364" s="23"/>
      <c r="KX364" s="55">
        <f t="shared" si="2583"/>
        <v>46330</v>
      </c>
      <c r="KY364" s="56"/>
      <c r="KZ364" s="242">
        <f>SUMPRODUCT(PRODUCE!$B359:$DY359,PRODUCE!$EB$41:$IY$41)</f>
        <v>0</v>
      </c>
      <c r="LA364" s="56"/>
      <c r="LB364" s="242">
        <f t="shared" si="2584"/>
        <v>0</v>
      </c>
      <c r="LC364" s="242">
        <f t="shared" si="2585"/>
        <v>3690</v>
      </c>
      <c r="LD364" s="56"/>
      <c r="LG364" s="55">
        <f t="shared" si="2586"/>
        <v>46330</v>
      </c>
      <c r="LH364" s="56"/>
      <c r="LI364" s="242">
        <f>SUMPRODUCT(PRODUCE!$B359:$DY359,PRODUCE!$EB$42:$IY$42)</f>
        <v>0</v>
      </c>
      <c r="LJ364" s="56"/>
      <c r="LK364" s="242">
        <f t="shared" si="2587"/>
        <v>0</v>
      </c>
      <c r="LL364" s="242">
        <f t="shared" si="2588"/>
        <v>4000</v>
      </c>
      <c r="LM364" s="56"/>
      <c r="LP364" s="55">
        <f t="shared" si="2589"/>
        <v>46330</v>
      </c>
      <c r="LQ364" s="56"/>
      <c r="LR364" s="242">
        <f>SUMPRODUCT(PRODUCE!$B379:$DY379,PRODUCE!$EB$43:$IY$43)</f>
        <v>0</v>
      </c>
      <c r="LS364" s="56"/>
      <c r="LT364" s="242">
        <f t="shared" si="2590"/>
        <v>0</v>
      </c>
      <c r="LU364" s="242">
        <f t="shared" si="2591"/>
        <v>0</v>
      </c>
      <c r="LV364" s="56"/>
      <c r="LY364" s="55">
        <f t="shared" si="2592"/>
        <v>46330</v>
      </c>
      <c r="LZ364" s="56"/>
      <c r="MA364" s="242">
        <f>SUMPRODUCT(PRODUCE!$B359:$DY359,PRODUCE!$EB$44:$IY$44)</f>
        <v>0</v>
      </c>
      <c r="MB364" s="56"/>
      <c r="MC364" s="242">
        <f t="shared" si="2593"/>
        <v>0</v>
      </c>
      <c r="MD364" s="242">
        <f t="shared" si="2594"/>
        <v>0</v>
      </c>
      <c r="ME364" s="56"/>
      <c r="MH364" s="55">
        <f t="shared" si="2595"/>
        <v>46330</v>
      </c>
      <c r="MI364" s="56"/>
      <c r="MJ364" s="242">
        <f>SUMPRODUCT(PRODUCE!$B359:$DY359,PRODUCE!$EB$45:$IY$45)</f>
        <v>0</v>
      </c>
      <c r="MK364" s="56"/>
      <c r="ML364" s="242">
        <f t="shared" si="2596"/>
        <v>0</v>
      </c>
      <c r="MM364" s="242">
        <f t="shared" si="2597"/>
        <v>0</v>
      </c>
      <c r="MN364" s="56"/>
      <c r="MQ364" s="55">
        <f t="shared" si="2598"/>
        <v>46330</v>
      </c>
      <c r="MR364" s="56"/>
      <c r="MS364" s="242">
        <f>SUMPRODUCT(PRODUCE!$B359:$DY359,PRODUCE!$EB$46:$IY$46)</f>
        <v>0</v>
      </c>
      <c r="MT364" s="56"/>
      <c r="MU364" s="242">
        <f t="shared" si="2599"/>
        <v>0</v>
      </c>
      <c r="MV364" s="242">
        <f t="shared" si="2600"/>
        <v>1625</v>
      </c>
      <c r="MW364" s="56"/>
      <c r="MZ364" s="55">
        <f t="shared" si="2601"/>
        <v>46330</v>
      </c>
      <c r="NA364" s="56"/>
      <c r="NB364" s="242">
        <f>SUMPRODUCT(PRODUCE!$B359:$DY359,PRODUCE!$EB$47:$IY$47)</f>
        <v>0</v>
      </c>
      <c r="NC364" s="56"/>
      <c r="ND364" s="242">
        <f t="shared" si="2602"/>
        <v>0</v>
      </c>
      <c r="NE364" s="242">
        <f t="shared" si="2603"/>
        <v>0</v>
      </c>
      <c r="NF364" s="56"/>
      <c r="NI364" s="55">
        <f t="shared" si="2604"/>
        <v>46330</v>
      </c>
      <c r="NJ364" s="56"/>
      <c r="NK364" s="242">
        <f>SUMPRODUCT(PRODUCE!$B359:$DY359,PRODUCE!$EB$48:$IY$48)</f>
        <v>0</v>
      </c>
      <c r="NL364" s="56"/>
      <c r="NM364" s="242">
        <f t="shared" si="2605"/>
        <v>0</v>
      </c>
      <c r="NN364" s="242">
        <f t="shared" si="2606"/>
        <v>1127</v>
      </c>
      <c r="NO364" s="56"/>
      <c r="NR364" s="55">
        <f t="shared" si="2607"/>
        <v>46330</v>
      </c>
      <c r="NS364" s="56"/>
      <c r="NT364" s="242">
        <f>SUMPRODUCT(PRODUCE!$B359:$DY359,PRODUCE!$EB$49:$IY$49)</f>
        <v>0</v>
      </c>
      <c r="NU364" s="56"/>
      <c r="NV364" s="242">
        <f t="shared" si="2608"/>
        <v>0</v>
      </c>
      <c r="NW364" s="242">
        <f t="shared" si="2609"/>
        <v>3111.9999999999995</v>
      </c>
      <c r="NX364" s="56"/>
      <c r="OA364" s="55">
        <f t="shared" si="2610"/>
        <v>46330</v>
      </c>
      <c r="OB364" s="56"/>
      <c r="OC364" s="242">
        <f>SUMPRODUCT(PRODUCE!$B359:$DY359,PRODUCE!$EB$50:$IY$50)</f>
        <v>0</v>
      </c>
      <c r="OD364" s="56"/>
      <c r="OE364" s="242">
        <f t="shared" si="2611"/>
        <v>0</v>
      </c>
      <c r="OF364" s="242">
        <f t="shared" si="2612"/>
        <v>1680.5</v>
      </c>
      <c r="OG364" s="56"/>
      <c r="OJ364" s="55">
        <f t="shared" si="2613"/>
        <v>46330</v>
      </c>
      <c r="OK364" s="56"/>
      <c r="OL364" s="242">
        <f>SUMPRODUCT(PRODUCE!$B359:$DY359,PRODUCE!$EB$51:$IY$51)</f>
        <v>0</v>
      </c>
      <c r="OM364" s="56"/>
      <c r="ON364" s="242">
        <f t="shared" si="2614"/>
        <v>0</v>
      </c>
      <c r="OO364" s="242">
        <f t="shared" si="2615"/>
        <v>0</v>
      </c>
      <c r="OP364" s="56"/>
      <c r="OS364" s="55">
        <f t="shared" si="2616"/>
        <v>46330</v>
      </c>
      <c r="OT364" s="56"/>
      <c r="OU364" s="242">
        <f>SUMPRODUCT(PRODUCE!$B359:$DY359,PRODUCE!$EB$52:$IY$52)</f>
        <v>0</v>
      </c>
      <c r="OV364" s="56"/>
      <c r="OW364" s="242">
        <f t="shared" si="2617"/>
        <v>0</v>
      </c>
      <c r="OX364" s="242">
        <f t="shared" si="2618"/>
        <v>1482</v>
      </c>
      <c r="OY364" s="56"/>
      <c r="PB364" s="55">
        <f t="shared" si="2619"/>
        <v>46330</v>
      </c>
      <c r="PC364" s="56"/>
      <c r="PD364" s="242">
        <f>SUMPRODUCT(PRODUCE!$B359:$DY359,PRODUCE!$EB$53:$IY$53)</f>
        <v>0</v>
      </c>
      <c r="PE364" s="56"/>
      <c r="PF364" s="242">
        <f t="shared" si="2620"/>
        <v>0</v>
      </c>
      <c r="PG364" s="242">
        <f t="shared" si="2621"/>
        <v>0</v>
      </c>
      <c r="PH364" s="56"/>
      <c r="PK364" s="55">
        <f t="shared" si="2622"/>
        <v>46330</v>
      </c>
      <c r="PL364" s="56"/>
      <c r="PM364" s="242">
        <f>SUMPRODUCT(PRODUCE!$B359:$DY359,PRODUCE!$EB$54:$IY$54)</f>
        <v>0</v>
      </c>
      <c r="PN364" s="56"/>
      <c r="PO364" s="242">
        <f t="shared" si="2623"/>
        <v>0</v>
      </c>
      <c r="PP364" s="242">
        <f t="shared" si="2624"/>
        <v>100</v>
      </c>
      <c r="PQ364" s="56"/>
      <c r="PT364" s="55">
        <f t="shared" si="2625"/>
        <v>46330</v>
      </c>
      <c r="PU364" s="56"/>
      <c r="PV364" s="242">
        <f>SUMPRODUCT(PRODUCE!$B359:$DY359,PRODUCE!$EB$55:$IY$55)</f>
        <v>0</v>
      </c>
      <c r="PW364" s="56"/>
      <c r="PX364" s="242">
        <f t="shared" si="2626"/>
        <v>0</v>
      </c>
      <c r="PY364" s="242">
        <f t="shared" si="2627"/>
        <v>13.960000000000036</v>
      </c>
      <c r="PZ364" s="56"/>
      <c r="QC364" s="55">
        <f t="shared" si="2628"/>
        <v>46330</v>
      </c>
      <c r="QD364" s="56"/>
      <c r="QE364" s="242">
        <f>SUMPRODUCT(PRODUCE!$B359:$DY359,PRODUCE!$EB$56:$IY$56)</f>
        <v>0</v>
      </c>
      <c r="QF364" s="56"/>
      <c r="QG364" s="242">
        <f t="shared" si="2629"/>
        <v>0</v>
      </c>
      <c r="QH364" s="242">
        <f t="shared" si="2630"/>
        <v>548</v>
      </c>
      <c r="QI364" s="56"/>
      <c r="QL364" s="55">
        <f t="shared" si="2631"/>
        <v>46330</v>
      </c>
      <c r="QM364" s="56"/>
      <c r="QN364" s="242">
        <f>SUMPRODUCT(PRODUCE!$B359:$DY359,PRODUCE!$EB$57:$IY$57)</f>
        <v>0</v>
      </c>
      <c r="QO364" s="56"/>
      <c r="QP364" s="242">
        <f t="shared" si="2632"/>
        <v>0</v>
      </c>
      <c r="QQ364" s="242">
        <f t="shared" si="2633"/>
        <v>0</v>
      </c>
      <c r="QR364" s="56"/>
      <c r="QU364" s="55">
        <f t="shared" si="2634"/>
        <v>46330</v>
      </c>
      <c r="QV364" s="56"/>
      <c r="QW364" s="242">
        <f>SUMPRODUCT(PRODUCE!$B359:$DY359,PRODUCE!$EB$57:$IY$57)</f>
        <v>0</v>
      </c>
      <c r="QX364" s="56"/>
      <c r="QY364" s="242">
        <f t="shared" si="2635"/>
        <v>0</v>
      </c>
      <c r="QZ364" s="242">
        <f t="shared" si="2636"/>
        <v>0</v>
      </c>
      <c r="RA364" s="56"/>
      <c r="RD364" s="55">
        <f t="shared" si="2637"/>
        <v>46330</v>
      </c>
      <c r="RE364" s="56"/>
      <c r="RF364" s="242">
        <f>SUMPRODUCT(PRODUCE!$B359:$DY359,PRODUCE!$EB$58:$IY$58)</f>
        <v>0</v>
      </c>
      <c r="RG364" s="56"/>
      <c r="RH364" s="242">
        <f t="shared" si="2638"/>
        <v>0</v>
      </c>
      <c r="RI364" s="242">
        <f t="shared" si="2639"/>
        <v>147.04000000000002</v>
      </c>
      <c r="RJ364" s="56"/>
      <c r="RM364" s="55">
        <f t="shared" si="2640"/>
        <v>46330</v>
      </c>
      <c r="RN364" s="56"/>
      <c r="RO364" s="242">
        <f>SUMPRODUCT(PRODUCE!$B359:$DY359,PRODUCE!$EB$57:$IY$57)</f>
        <v>0</v>
      </c>
      <c r="RP364" s="56"/>
      <c r="RQ364" s="242">
        <f t="shared" si="2641"/>
        <v>0</v>
      </c>
      <c r="RR364" s="242">
        <f t="shared" si="2642"/>
        <v>46.8</v>
      </c>
      <c r="RS364" s="56"/>
      <c r="RV364" s="55">
        <f t="shared" si="2643"/>
        <v>46330</v>
      </c>
      <c r="RW364" s="56"/>
      <c r="RX364" s="242">
        <f>SUMPRODUCT(PRODUCE!$B359:$DY359,PRODUCE!$EB$57:$IY$57)</f>
        <v>0</v>
      </c>
      <c r="RY364" s="56"/>
      <c r="RZ364" s="242">
        <f t="shared" si="2644"/>
        <v>0</v>
      </c>
      <c r="SA364" s="242">
        <f t="shared" si="2645"/>
        <v>0</v>
      </c>
      <c r="SB364" s="56"/>
      <c r="SE364" s="55">
        <f t="shared" si="2646"/>
        <v>46330</v>
      </c>
      <c r="SF364" s="56"/>
      <c r="SG364" s="242">
        <f>SUMPRODUCT(PRODUCE!$B359:$DY359,PRODUCE!$EB$61:$IY$61)</f>
        <v>0</v>
      </c>
      <c r="SH364" s="56"/>
      <c r="SI364" s="242">
        <f t="shared" si="2647"/>
        <v>0</v>
      </c>
      <c r="SJ364" s="242">
        <f t="shared" si="2648"/>
        <v>24.200000000000003</v>
      </c>
      <c r="SK364" s="56"/>
      <c r="SN364" s="55">
        <f t="shared" si="2649"/>
        <v>46330</v>
      </c>
      <c r="SO364" s="56"/>
      <c r="SP364" s="242">
        <f>SUMPRODUCT(PRODUCE!$B359:$DY359,PRODUCE!$EB$57:$IY$57)</f>
        <v>0</v>
      </c>
      <c r="SQ364" s="56"/>
      <c r="SR364" s="242">
        <f t="shared" si="2650"/>
        <v>0</v>
      </c>
      <c r="SS364" s="242">
        <f t="shared" si="2651"/>
        <v>32</v>
      </c>
      <c r="ST364" s="56"/>
      <c r="SW364" s="55">
        <f t="shared" si="2652"/>
        <v>46330</v>
      </c>
      <c r="SX364" s="56"/>
      <c r="SY364" s="242">
        <f>SUMPRODUCT(PRODUCE!$B359:$DY359,PRODUCE!$EB$57:$IY$57)</f>
        <v>0</v>
      </c>
      <c r="SZ364" s="56"/>
      <c r="TA364" s="242">
        <f t="shared" si="2653"/>
        <v>0</v>
      </c>
      <c r="TB364" s="242">
        <f t="shared" si="2654"/>
        <v>0</v>
      </c>
      <c r="TC364" s="56"/>
      <c r="TF364" s="55">
        <f t="shared" si="2655"/>
        <v>46330</v>
      </c>
      <c r="TG364" s="56"/>
      <c r="TH364" s="242">
        <f>SUMPRODUCT(PRODUCE!$B359:$DY359,PRODUCE!$EB$57:$IY$57)</f>
        <v>0</v>
      </c>
      <c r="TI364" s="56"/>
      <c r="TJ364" s="242">
        <f t="shared" si="2656"/>
        <v>0</v>
      </c>
      <c r="TK364" s="242">
        <f t="shared" si="2657"/>
        <v>0</v>
      </c>
      <c r="TL364" s="56"/>
      <c r="TO364" s="55">
        <f t="shared" si="2658"/>
        <v>46330</v>
      </c>
      <c r="TP364" s="56"/>
      <c r="TQ364" s="242">
        <f>SUMPRODUCT(PRODUCE!$B359:$DY359,PRODUCE!$EB$57:$IY$57)</f>
        <v>0</v>
      </c>
      <c r="TR364" s="56"/>
      <c r="TS364" s="242">
        <f t="shared" si="2659"/>
        <v>0</v>
      </c>
      <c r="TT364" s="242">
        <f t="shared" si="2660"/>
        <v>0</v>
      </c>
      <c r="TU364" s="56"/>
      <c r="TX364" s="55">
        <f t="shared" si="2661"/>
        <v>46330</v>
      </c>
      <c r="TY364" s="56"/>
      <c r="TZ364" s="242">
        <f>SUMPRODUCT(PRODUCE!$B359:$DY359,PRODUCE!$EB$57:$IY$57)</f>
        <v>0</v>
      </c>
      <c r="UA364" s="56"/>
      <c r="UB364" s="242">
        <f t="shared" si="2662"/>
        <v>0</v>
      </c>
      <c r="UC364" s="242">
        <f t="shared" si="2663"/>
        <v>46.799999999999983</v>
      </c>
      <c r="UD364" s="56"/>
      <c r="UG364" s="55">
        <f t="shared" si="2664"/>
        <v>46330</v>
      </c>
      <c r="UH364" s="56"/>
      <c r="UI364" s="242">
        <f>SUMPRODUCT(PRODUCE!$B359:$DY359,PRODUCE!$EB$57:$IY$57)</f>
        <v>0</v>
      </c>
      <c r="UJ364" s="56"/>
      <c r="UK364" s="242">
        <f t="shared" si="2665"/>
        <v>0</v>
      </c>
      <c r="UL364" s="242">
        <f t="shared" si="2666"/>
        <v>204</v>
      </c>
      <c r="UM364" s="56"/>
      <c r="UP364" s="55">
        <f t="shared" si="2667"/>
        <v>46330</v>
      </c>
      <c r="UQ364" s="56"/>
      <c r="UR364" s="242">
        <f>SUMPRODUCT(PRODUCE!$B359:$DY359,PRODUCE!$EB$57:$IY$57)</f>
        <v>0</v>
      </c>
      <c r="US364" s="56"/>
      <c r="UT364" s="242">
        <f t="shared" si="2668"/>
        <v>0</v>
      </c>
      <c r="UU364" s="242">
        <f t="shared" si="2669"/>
        <v>202.5</v>
      </c>
      <c r="UV364" s="56"/>
      <c r="UY364" s="55">
        <f t="shared" si="2670"/>
        <v>46330</v>
      </c>
      <c r="UZ364" s="56"/>
      <c r="VA364" s="242">
        <f>SUMPRODUCT(PRODUCE!$B359:$DY359,PRODUCE!$EB$57:$IY$57)</f>
        <v>0</v>
      </c>
      <c r="VB364" s="56"/>
      <c r="VC364" s="242">
        <f t="shared" si="2671"/>
        <v>0</v>
      </c>
      <c r="VD364" s="242">
        <f t="shared" si="2672"/>
        <v>41.600000000000023</v>
      </c>
      <c r="VE364" s="56"/>
      <c r="VH364" s="55">
        <f t="shared" si="2673"/>
        <v>46330</v>
      </c>
      <c r="VI364" s="56"/>
      <c r="VJ364" s="242">
        <f>SUMPRODUCT(PRODUCE!$B359:$DY359,PRODUCE!$EB$57:$IY$57)</f>
        <v>0</v>
      </c>
      <c r="VK364" s="56"/>
      <c r="VL364" s="242">
        <f t="shared" si="2674"/>
        <v>0</v>
      </c>
      <c r="VM364" s="242">
        <f t="shared" si="2675"/>
        <v>210</v>
      </c>
      <c r="VN364" s="56"/>
      <c r="VQ364" s="55">
        <f t="shared" si="2676"/>
        <v>46330</v>
      </c>
      <c r="VR364" s="56"/>
      <c r="VS364" s="242">
        <f>SUMPRODUCT(PRODUCE!$B359:$DY359,PRODUCE!$EB$57:$IY$57)</f>
        <v>0</v>
      </c>
      <c r="VT364" s="56"/>
      <c r="VU364" s="242">
        <f t="shared" si="2677"/>
        <v>0</v>
      </c>
      <c r="VV364" s="242">
        <f t="shared" si="2678"/>
        <v>0</v>
      </c>
      <c r="VW364" s="56"/>
      <c r="VZ364" s="55">
        <f t="shared" si="2679"/>
        <v>46330</v>
      </c>
      <c r="WA364" s="56"/>
      <c r="WB364" s="242">
        <f>SUMPRODUCT(PRODUCE!$B359:$DY359,PRODUCE!$EB$57:$IY$57)</f>
        <v>0</v>
      </c>
      <c r="WC364" s="56"/>
      <c r="WD364" s="242">
        <f t="shared" si="2680"/>
        <v>0</v>
      </c>
      <c r="WE364" s="242">
        <f t="shared" si="2681"/>
        <v>0</v>
      </c>
      <c r="WF364" s="56"/>
      <c r="WI364" s="55">
        <f t="shared" si="2682"/>
        <v>46330</v>
      </c>
      <c r="WJ364" s="56"/>
      <c r="WK364" s="242">
        <f>SUMPRODUCT(PRODUCE!$B359:$DY359,PRODUCE!$EB$57:$IY$57)</f>
        <v>0</v>
      </c>
      <c r="WL364" s="56"/>
      <c r="WM364" s="242">
        <f t="shared" si="2683"/>
        <v>0</v>
      </c>
      <c r="WN364" s="242">
        <f t="shared" si="2684"/>
        <v>1057</v>
      </c>
      <c r="WO364" s="56"/>
      <c r="WR364" s="55">
        <f t="shared" si="2685"/>
        <v>46330</v>
      </c>
      <c r="WS364" s="56"/>
      <c r="WT364" s="242">
        <f>SUMPRODUCT(PRODUCE!$B359:$DY359,PRODUCE!$EB$57:$IY$57)</f>
        <v>0</v>
      </c>
      <c r="WU364" s="56"/>
      <c r="WV364" s="242">
        <f t="shared" si="2686"/>
        <v>0</v>
      </c>
      <c r="WW364" s="242">
        <f t="shared" si="2687"/>
        <v>0</v>
      </c>
      <c r="WX364" s="56"/>
      <c r="XA364" s="55">
        <f t="shared" si="2688"/>
        <v>46330</v>
      </c>
      <c r="XB364" s="56"/>
      <c r="XC364" s="242">
        <f>SUMPRODUCT(PRODUCE!$B359:$DY359,PRODUCE!$EB$57:$IY$57)</f>
        <v>0</v>
      </c>
      <c r="XD364" s="56"/>
      <c r="XE364" s="242">
        <f t="shared" si="2689"/>
        <v>0</v>
      </c>
      <c r="XF364" s="242">
        <f t="shared" si="2690"/>
        <v>7507</v>
      </c>
      <c r="XG364" s="56"/>
      <c r="XJ364" s="55">
        <f t="shared" si="2691"/>
        <v>46330</v>
      </c>
      <c r="XK364" s="56"/>
      <c r="XL364" s="242">
        <f>SUMPRODUCT(PRODUCE!$B359:$DY359,PRODUCE!$EB$57:$IY$57)</f>
        <v>0</v>
      </c>
      <c r="XM364" s="56"/>
      <c r="XN364" s="242">
        <f t="shared" si="2692"/>
        <v>0</v>
      </c>
      <c r="XO364" s="242">
        <f t="shared" si="2693"/>
        <v>4252</v>
      </c>
      <c r="XP364" s="56"/>
      <c r="XS364" s="55">
        <f t="shared" si="2694"/>
        <v>46330</v>
      </c>
      <c r="XT364" s="56"/>
      <c r="XU364" s="242">
        <f>SUMPRODUCT(PRODUCE!$B359:$DY359,PRODUCE!$EB$57:$IY$57)</f>
        <v>0</v>
      </c>
      <c r="XV364" s="56"/>
      <c r="XW364" s="242">
        <f t="shared" si="2695"/>
        <v>0</v>
      </c>
      <c r="XX364" s="242">
        <f t="shared" si="2696"/>
        <v>2179</v>
      </c>
      <c r="XY364" s="56"/>
      <c r="YB364" s="55">
        <f t="shared" si="2697"/>
        <v>46330</v>
      </c>
      <c r="YC364" s="56"/>
      <c r="YD364" s="242">
        <f>SUMPRODUCT(PRODUCE!$B359:$DY359,PRODUCE!$EB$57:$IY$57)</f>
        <v>0</v>
      </c>
      <c r="YE364" s="56"/>
      <c r="YF364" s="242">
        <f t="shared" si="2698"/>
        <v>0</v>
      </c>
      <c r="YG364" s="242">
        <f t="shared" si="2699"/>
        <v>4019</v>
      </c>
      <c r="YH364" s="56"/>
      <c r="YK364" s="55">
        <f t="shared" si="2700"/>
        <v>46330</v>
      </c>
      <c r="YL364" s="56"/>
      <c r="YM364" s="242">
        <f>SUMPRODUCT(PRODUCE!$B359:$DY359,PRODUCE!$EB$57:$IY$57)</f>
        <v>0</v>
      </c>
      <c r="YN364" s="56"/>
      <c r="YO364" s="242">
        <f t="shared" si="2701"/>
        <v>0</v>
      </c>
      <c r="YP364" s="242">
        <f t="shared" si="2702"/>
        <v>-218</v>
      </c>
      <c r="YQ364" s="56"/>
      <c r="YT364" s="55">
        <f t="shared" si="2703"/>
        <v>46330</v>
      </c>
      <c r="YU364" s="56"/>
      <c r="YV364" s="242">
        <f>SUMPRODUCT(PRODUCE!$B359:$DY359,PRODUCE!$EB$57:$IY$57)</f>
        <v>0</v>
      </c>
      <c r="YW364" s="56"/>
      <c r="YX364" s="242">
        <f t="shared" si="2704"/>
        <v>0</v>
      </c>
      <c r="YY364" s="242">
        <f t="shared" si="2705"/>
        <v>0</v>
      </c>
      <c r="YZ364" s="56"/>
      <c r="ZC364" s="55">
        <f t="shared" si="2706"/>
        <v>46330</v>
      </c>
      <c r="ZD364" s="56"/>
      <c r="ZE364" s="242">
        <f>SUMPRODUCT(PRODUCE!$B359:$DY359,PRODUCE!$EB$57:$IY$57)</f>
        <v>0</v>
      </c>
      <c r="ZF364" s="56"/>
      <c r="ZG364" s="242">
        <f t="shared" si="2707"/>
        <v>0</v>
      </c>
      <c r="ZH364" s="242">
        <f t="shared" si="2708"/>
        <v>0</v>
      </c>
      <c r="ZI364" s="56"/>
      <c r="ZL364" s="55">
        <f t="shared" si="2709"/>
        <v>46330</v>
      </c>
      <c r="ZM364" s="56"/>
      <c r="ZN364" s="242">
        <f>SUMPRODUCT(PRODUCE!$B359:$DY359,PRODUCE!$EB$57:$IY$57)</f>
        <v>0</v>
      </c>
      <c r="ZO364" s="56"/>
      <c r="ZP364" s="242">
        <f t="shared" si="2710"/>
        <v>0</v>
      </c>
      <c r="ZQ364" s="242">
        <f t="shared" si="2711"/>
        <v>0</v>
      </c>
      <c r="ZR364" s="56"/>
      <c r="ZU364" s="55">
        <f t="shared" si="2712"/>
        <v>46330</v>
      </c>
      <c r="ZV364" s="56"/>
      <c r="ZW364" s="242">
        <f>SUMPRODUCT(PRODUCE!$B359:$DY359,PRODUCE!$EB$57:$IY$57)</f>
        <v>0</v>
      </c>
      <c r="ZX364" s="56"/>
      <c r="ZY364" s="242">
        <f t="shared" si="2713"/>
        <v>0</v>
      </c>
      <c r="ZZ364" s="242">
        <f t="shared" si="2714"/>
        <v>0</v>
      </c>
      <c r="AAA364" s="56"/>
      <c r="AAD364" s="55">
        <f t="shared" si="2715"/>
        <v>46330</v>
      </c>
      <c r="AAE364" s="56"/>
      <c r="AAF364" s="242">
        <f>SUMPRODUCT(PRODUCE!$B359:$DY359,PRODUCE!$EB$57:$IY$57)</f>
        <v>0</v>
      </c>
      <c r="AAG364" s="56"/>
      <c r="AAH364" s="242">
        <f t="shared" si="2716"/>
        <v>0</v>
      </c>
      <c r="AAI364" s="242">
        <f t="shared" si="2717"/>
        <v>0</v>
      </c>
      <c r="AAJ364" s="56"/>
      <c r="AAM364" s="55">
        <f t="shared" si="2718"/>
        <v>46330</v>
      </c>
      <c r="AAN364" s="56"/>
      <c r="AAO364" s="242">
        <f>SUMPRODUCT(PRODUCE!$B359:$DY359,PRODUCE!$EB$57:$IY$57)</f>
        <v>0</v>
      </c>
      <c r="AAP364" s="56"/>
      <c r="AAQ364" s="242">
        <f t="shared" si="2719"/>
        <v>0</v>
      </c>
      <c r="AAR364" s="242">
        <f t="shared" si="2720"/>
        <v>0</v>
      </c>
      <c r="AAS364" s="56"/>
      <c r="AAV364" s="55">
        <f t="shared" si="2721"/>
        <v>46330</v>
      </c>
      <c r="AAW364" s="56"/>
      <c r="AAX364" s="242">
        <f>SUMPRODUCT(PRODUCE!$B359:$DY359,PRODUCE!$EB$57:$IY$57)</f>
        <v>0</v>
      </c>
      <c r="AAY364" s="56"/>
      <c r="AAZ364" s="242">
        <f t="shared" si="2722"/>
        <v>0</v>
      </c>
      <c r="ABA364" s="242">
        <f t="shared" si="2723"/>
        <v>0</v>
      </c>
      <c r="ABB364" s="56"/>
      <c r="ABE364" s="55">
        <f t="shared" si="2724"/>
        <v>46330</v>
      </c>
      <c r="ABF364" s="56"/>
      <c r="ABG364" s="242">
        <f>SUMPRODUCT(PRODUCE!$B359:$DY359,PRODUCE!$EB$57:$IY$57)</f>
        <v>0</v>
      </c>
      <c r="ABH364" s="56"/>
      <c r="ABI364" s="242">
        <f t="shared" si="2725"/>
        <v>0</v>
      </c>
      <c r="ABJ364" s="242">
        <f t="shared" si="2726"/>
        <v>0</v>
      </c>
      <c r="ABK364" s="56"/>
    </row>
    <row r="365" spans="1:739" s="54" customFormat="1" ht="15" customHeight="1" outlineLevel="1">
      <c r="B365" s="478"/>
      <c r="C365" s="55">
        <v>46331</v>
      </c>
      <c r="D365" s="56"/>
      <c r="E365" s="57">
        <f>SUMPRODUCT(PRODUCE!$B360:$DY360,PRODUCE!$EB$7:$IY$7)</f>
        <v>0</v>
      </c>
      <c r="F365" s="56"/>
      <c r="G365" s="57">
        <f t="shared" si="2482"/>
        <v>0</v>
      </c>
      <c r="H365" s="57">
        <f t="shared" si="2483"/>
        <v>236936.6</v>
      </c>
      <c r="I365" s="289"/>
      <c r="L365" s="55">
        <f t="shared" si="2484"/>
        <v>46331</v>
      </c>
      <c r="M365" s="56"/>
      <c r="N365" s="59">
        <f>SUMPRODUCT(PRODUCE!$B360:$DY360,PRODUCE!$EB$8:$IY$8)</f>
        <v>0</v>
      </c>
      <c r="O365" s="56"/>
      <c r="P365" s="59">
        <f t="shared" si="2485"/>
        <v>0</v>
      </c>
      <c r="Q365" s="59">
        <f t="shared" si="2486"/>
        <v>53017.600000000071</v>
      </c>
      <c r="R365" s="56"/>
      <c r="U365" s="55">
        <f t="shared" si="2487"/>
        <v>46331</v>
      </c>
      <c r="V365" s="56"/>
      <c r="W365" s="60">
        <f>SUMPRODUCT(PRODUCE!$B360:$DY360,PRODUCE!$EB$9:$IY$9)</f>
        <v>0</v>
      </c>
      <c r="X365" s="56"/>
      <c r="Y365" s="60">
        <f t="shared" si="2488"/>
        <v>0</v>
      </c>
      <c r="Z365" s="60">
        <f t="shared" si="2489"/>
        <v>42674.199999999968</v>
      </c>
      <c r="AA365" s="56"/>
      <c r="AD365" s="55">
        <f t="shared" si="2490"/>
        <v>46331</v>
      </c>
      <c r="AE365" s="56"/>
      <c r="AF365" s="61">
        <f>SUMPRODUCT(PRODUCE!$B360:$DY360,PRODUCE!$EB$10:$IY$10)</f>
        <v>0</v>
      </c>
      <c r="AG365" s="56"/>
      <c r="AH365" s="61">
        <f t="shared" si="2491"/>
        <v>0</v>
      </c>
      <c r="AI365" s="61">
        <f t="shared" si="2492"/>
        <v>4522.2000000000189</v>
      </c>
      <c r="AJ365" s="56"/>
      <c r="AM365" s="55">
        <f t="shared" si="2493"/>
        <v>46331</v>
      </c>
      <c r="AN365" s="422"/>
      <c r="AO365" s="444">
        <f>SUMPRODUCT(PRODUCE!$B360:$DY360,PRODUCE!$EB$11:$IY$11)</f>
        <v>0</v>
      </c>
      <c r="AP365" s="422"/>
      <c r="AQ365" s="444">
        <f t="shared" si="2494"/>
        <v>0</v>
      </c>
      <c r="AR365" s="444">
        <f t="shared" si="2495"/>
        <v>0</v>
      </c>
      <c r="AS365" s="56"/>
      <c r="AV365" s="55">
        <f t="shared" si="2496"/>
        <v>46331</v>
      </c>
      <c r="AW365" s="56"/>
      <c r="AX365" s="62">
        <f>SUMPRODUCT(PRODUCE!$B360:$DY360,PRODUCE!$EB$12:$IY$12)</f>
        <v>0</v>
      </c>
      <c r="AY365" s="56"/>
      <c r="AZ365" s="62">
        <f t="shared" si="2497"/>
        <v>0</v>
      </c>
      <c r="BA365" s="62">
        <f t="shared" si="2498"/>
        <v>124.99999999999523</v>
      </c>
      <c r="BB365" s="56"/>
      <c r="BE365" s="55">
        <f t="shared" si="2499"/>
        <v>46331</v>
      </c>
      <c r="BF365" s="56"/>
      <c r="BG365" s="63">
        <f>SUMPRODUCT(PRODUCE!$B360:$DY360,PRODUCE!$EB$13:$IY$13)</f>
        <v>0</v>
      </c>
      <c r="BH365" s="56"/>
      <c r="BI365" s="63">
        <f t="shared" si="2500"/>
        <v>0</v>
      </c>
      <c r="BJ365" s="63">
        <f t="shared" si="2501"/>
        <v>26151.899999999998</v>
      </c>
      <c r="BK365" s="56"/>
      <c r="BN365" s="55">
        <f t="shared" si="2502"/>
        <v>46331</v>
      </c>
      <c r="BO365" s="56"/>
      <c r="BP365" s="64">
        <f>SUMPRODUCT(PRODUCE!$B360:$DY360,PRODUCE!$EB$14:$IY$14)</f>
        <v>0</v>
      </c>
      <c r="BQ365" s="56"/>
      <c r="BR365" s="64">
        <f t="shared" si="2503"/>
        <v>0</v>
      </c>
      <c r="BS365" s="64">
        <f t="shared" si="2504"/>
        <v>0</v>
      </c>
      <c r="BT365" s="56"/>
      <c r="BW365" s="55">
        <f t="shared" si="2505"/>
        <v>46331</v>
      </c>
      <c r="BX365" s="56"/>
      <c r="BY365" s="65">
        <f>SUMPRODUCT(PRODUCE!$B360:$DY360,PRODUCE!$EB$15:$IY$15)</f>
        <v>0</v>
      </c>
      <c r="BZ365" s="56"/>
      <c r="CA365" s="65">
        <f t="shared" si="2506"/>
        <v>0</v>
      </c>
      <c r="CB365" s="65">
        <f t="shared" si="2507"/>
        <v>2097.3399999999992</v>
      </c>
      <c r="CC365" s="56"/>
      <c r="CF365" s="55">
        <f t="shared" si="2508"/>
        <v>46331</v>
      </c>
      <c r="CG365" s="56"/>
      <c r="CH365" s="66">
        <f>SUMPRODUCT(PRODUCE!$B360:$DY360,PRODUCE!$EB$16:$IY$16)</f>
        <v>0</v>
      </c>
      <c r="CI365" s="56"/>
      <c r="CJ365" s="66">
        <f t="shared" si="2509"/>
        <v>0</v>
      </c>
      <c r="CK365" s="66">
        <f t="shared" si="2510"/>
        <v>-10277.079999999998</v>
      </c>
      <c r="CL365" s="56"/>
      <c r="CO365" s="55">
        <f t="shared" si="2511"/>
        <v>46331</v>
      </c>
      <c r="CP365" s="422"/>
      <c r="CQ365" s="470">
        <f>SUMPRODUCT(PRODUCE!$B360:$DY360,PRODUCE!$EB$17:$IY$17)</f>
        <v>0</v>
      </c>
      <c r="CR365" s="422"/>
      <c r="CS365" s="470">
        <f t="shared" si="2512"/>
        <v>0</v>
      </c>
      <c r="CT365" s="470">
        <f t="shared" si="2513"/>
        <v>0</v>
      </c>
      <c r="CU365" s="56"/>
      <c r="CX365" s="55">
        <f t="shared" si="2514"/>
        <v>46331</v>
      </c>
      <c r="CY365" s="56"/>
      <c r="CZ365" s="133">
        <f>SUMPRODUCT(PRODUCE!$B360:$DY360,PRODUCE!$EB$18:$IY$18)</f>
        <v>0</v>
      </c>
      <c r="DA365" s="56"/>
      <c r="DB365" s="133">
        <f t="shared" si="2515"/>
        <v>0</v>
      </c>
      <c r="DC365" s="133">
        <f t="shared" si="2516"/>
        <v>27438.200000000012</v>
      </c>
      <c r="DD365" s="56"/>
      <c r="DG365" s="55">
        <f t="shared" si="2517"/>
        <v>46331</v>
      </c>
      <c r="DH365" s="56"/>
      <c r="DI365" s="147">
        <f>SUMPRODUCT(PRODUCE!$B360:$DY360,PRODUCE!$EB$19:$IY$19)</f>
        <v>0</v>
      </c>
      <c r="DJ365" s="56"/>
      <c r="DK365" s="147">
        <f t="shared" si="2518"/>
        <v>0</v>
      </c>
      <c r="DL365" s="147">
        <f t="shared" si="2519"/>
        <v>18782.299999999981</v>
      </c>
      <c r="DM365" s="56"/>
      <c r="DP365" s="55">
        <f t="shared" si="2520"/>
        <v>46331</v>
      </c>
      <c r="DQ365" s="56"/>
      <c r="DR365" s="57">
        <f>SUMPRODUCT(PRODUCE!$B360:$DY360,PRODUCE!$EB$20:$IY$20)</f>
        <v>0</v>
      </c>
      <c r="DS365" s="56"/>
      <c r="DT365" s="57">
        <f t="shared" si="2521"/>
        <v>0</v>
      </c>
      <c r="DU365" s="57">
        <f t="shared" si="2522"/>
        <v>5800</v>
      </c>
      <c r="DV365" s="56"/>
      <c r="DY365" s="55">
        <f t="shared" si="2523"/>
        <v>46331</v>
      </c>
      <c r="DZ365" s="56"/>
      <c r="EA365" s="157">
        <f>SUMPRODUCT(PRODUCE!$B360:$DY360,PRODUCE!$EB$21:$IY$21)</f>
        <v>0</v>
      </c>
      <c r="EB365" s="56"/>
      <c r="EC365" s="157">
        <f t="shared" si="2524"/>
        <v>0</v>
      </c>
      <c r="ED365" s="157">
        <f t="shared" si="2525"/>
        <v>0</v>
      </c>
      <c r="EE365" s="56"/>
      <c r="EH365" s="55">
        <f t="shared" si="2526"/>
        <v>46331</v>
      </c>
      <c r="EI365" s="56"/>
      <c r="EJ365" s="162">
        <f>SUMPRODUCT(PRODUCE!$B360:$DY360,PRODUCE!$EB$22:$IY$22)</f>
        <v>0</v>
      </c>
      <c r="EK365" s="56"/>
      <c r="EL365" s="162">
        <f t="shared" si="2527"/>
        <v>0</v>
      </c>
      <c r="EM365" s="162">
        <f t="shared" si="2528"/>
        <v>0</v>
      </c>
      <c r="EN365" s="56"/>
      <c r="EQ365" s="55">
        <f t="shared" si="2529"/>
        <v>46331</v>
      </c>
      <c r="ER365" s="56"/>
      <c r="ES365" s="135">
        <f>SUMPRODUCT(PRODUCE!$B360:$DY360,PRODUCE!$EB$23:$IY$23)</f>
        <v>0</v>
      </c>
      <c r="ET365" s="56"/>
      <c r="EU365" s="135">
        <f t="shared" si="2530"/>
        <v>0</v>
      </c>
      <c r="EV365" s="135">
        <f t="shared" si="2531"/>
        <v>0</v>
      </c>
      <c r="EW365" s="56"/>
      <c r="EZ365" s="55">
        <f t="shared" si="2532"/>
        <v>46331</v>
      </c>
      <c r="FA365" s="56"/>
      <c r="FB365" s="175">
        <f>SUMPRODUCT(PRODUCE!$B360:$DY360,PRODUCE!$EB$24:$IY$24)</f>
        <v>0</v>
      </c>
      <c r="FC365" s="56"/>
      <c r="FD365" s="175">
        <f t="shared" si="2533"/>
        <v>0</v>
      </c>
      <c r="FE365" s="175">
        <f t="shared" si="2534"/>
        <v>0</v>
      </c>
      <c r="FF365" s="56"/>
      <c r="FI365" s="55">
        <f t="shared" si="2535"/>
        <v>46331</v>
      </c>
      <c r="FJ365" s="56"/>
      <c r="FK365" s="183">
        <f>SUMPRODUCT(PRODUCE!$B360:$DY360,PRODUCE!$EB$25:$IY$25)</f>
        <v>0</v>
      </c>
      <c r="FL365" s="56"/>
      <c r="FM365" s="183">
        <f t="shared" si="2536"/>
        <v>0</v>
      </c>
      <c r="FN365" s="183">
        <f t="shared" si="2537"/>
        <v>0</v>
      </c>
      <c r="FO365" s="56"/>
      <c r="FR365" s="55">
        <f t="shared" si="2538"/>
        <v>46331</v>
      </c>
      <c r="FS365" s="56"/>
      <c r="FT365" s="186">
        <f>SUMPRODUCT(PRODUCE!$B360:$DY360,PRODUCE!$EB$26:$IY$26)</f>
        <v>0</v>
      </c>
      <c r="FU365" s="56"/>
      <c r="FV365" s="186">
        <f t="shared" si="2539"/>
        <v>0</v>
      </c>
      <c r="FW365" s="186">
        <f t="shared" si="2540"/>
        <v>2020</v>
      </c>
      <c r="FX365" s="56"/>
      <c r="GA365" s="55">
        <f t="shared" si="2541"/>
        <v>46331</v>
      </c>
      <c r="GB365" s="56"/>
      <c r="GC365" s="137">
        <f>SUMPRODUCT(PRODUCE!$B360:$DY360,PRODUCE!$EB$27:$IY$27)</f>
        <v>0</v>
      </c>
      <c r="GD365" s="56"/>
      <c r="GE365" s="137">
        <f t="shared" si="2542"/>
        <v>0</v>
      </c>
      <c r="GF365" s="137">
        <f t="shared" si="2543"/>
        <v>960</v>
      </c>
      <c r="GG365" s="56"/>
      <c r="GI365" s="23"/>
      <c r="GJ365" s="55">
        <f t="shared" si="2544"/>
        <v>46331</v>
      </c>
      <c r="GK365" s="56"/>
      <c r="GL365" s="199">
        <f>SUMPRODUCT(PRODUCE!$B360:$DY360,PRODUCE!$EB$28:$IY$28)</f>
        <v>0</v>
      </c>
      <c r="GM365" s="56"/>
      <c r="GN365" s="199">
        <f t="shared" si="2545"/>
        <v>0</v>
      </c>
      <c r="GO365" s="199">
        <f t="shared" si="2546"/>
        <v>1760</v>
      </c>
      <c r="GP365" s="56"/>
      <c r="GS365" s="55">
        <f t="shared" si="2547"/>
        <v>46331</v>
      </c>
      <c r="GT365" s="56"/>
      <c r="GU365" s="195">
        <f>SUMPRODUCT(PRODUCE!$B360:$DY360,PRODUCE!$EB$29:$IY$29)</f>
        <v>0</v>
      </c>
      <c r="GV365" s="56"/>
      <c r="GW365" s="195">
        <f t="shared" si="2548"/>
        <v>0</v>
      </c>
      <c r="GX365" s="195">
        <f t="shared" si="2549"/>
        <v>400</v>
      </c>
      <c r="GY365" s="56"/>
      <c r="HB365" s="55">
        <f t="shared" si="2550"/>
        <v>46331</v>
      </c>
      <c r="HC365" s="56"/>
      <c r="HD365" s="191">
        <f>SUMPRODUCT(PRODUCE!$B360:$DY360,PRODUCE!$EB$30:$IY$30)</f>
        <v>0</v>
      </c>
      <c r="HE365" s="56"/>
      <c r="HF365" s="191">
        <f t="shared" si="2551"/>
        <v>0</v>
      </c>
      <c r="HG365" s="191">
        <f t="shared" si="2552"/>
        <v>3600</v>
      </c>
      <c r="HH365" s="56"/>
      <c r="HK365" s="55">
        <f t="shared" si="2553"/>
        <v>46331</v>
      </c>
      <c r="HL365" s="56"/>
      <c r="HM365" s="63">
        <f>SUMPRODUCT(PRODUCE!$B360:$DY360,PRODUCE!$EB$31:$IY$31)</f>
        <v>0</v>
      </c>
      <c r="HN365" s="56"/>
      <c r="HO365" s="63">
        <f t="shared" si="2554"/>
        <v>0</v>
      </c>
      <c r="HP365" s="63">
        <f t="shared" si="2555"/>
        <v>0</v>
      </c>
      <c r="HQ365" s="56"/>
      <c r="HU365" s="55">
        <f t="shared" si="2556"/>
        <v>46331</v>
      </c>
      <c r="HV365" s="56"/>
      <c r="HW365" s="242">
        <f>SUMPRODUCT(PRODUCE!$B360:$DY360,PRODUCE!$EB$32:$IY$32)</f>
        <v>0</v>
      </c>
      <c r="HX365" s="56"/>
      <c r="HY365" s="242">
        <f t="shared" si="2557"/>
        <v>0</v>
      </c>
      <c r="HZ365" s="242">
        <f t="shared" si="2558"/>
        <v>6120</v>
      </c>
      <c r="IA365" s="56"/>
      <c r="ID365" s="55">
        <f t="shared" si="2559"/>
        <v>46331</v>
      </c>
      <c r="IE365" s="56"/>
      <c r="IF365" s="242">
        <f>SUMPRODUCT(PRODUCE!$B360:$DY360,PRODUCE!$EB$33:$IY$33)</f>
        <v>0</v>
      </c>
      <c r="IG365" s="56"/>
      <c r="IH365" s="242">
        <f t="shared" si="2560"/>
        <v>0</v>
      </c>
      <c r="II365" s="242">
        <f t="shared" si="2561"/>
        <v>0</v>
      </c>
      <c r="IJ365" s="56"/>
      <c r="IM365" s="55">
        <f t="shared" si="2562"/>
        <v>46331</v>
      </c>
      <c r="IN365" s="56"/>
      <c r="IO365" s="242">
        <f>SUMPRODUCT(PRODUCE!$B360:$DY360,PRODUCE!$EB$34:$IY$34)</f>
        <v>0</v>
      </c>
      <c r="IP365" s="56"/>
      <c r="IQ365" s="242">
        <f t="shared" si="2563"/>
        <v>0</v>
      </c>
      <c r="IR365" s="242">
        <f t="shared" si="2564"/>
        <v>0</v>
      </c>
      <c r="IS365" s="56"/>
      <c r="IV365" s="55">
        <f t="shared" si="2565"/>
        <v>46331</v>
      </c>
      <c r="IW365" s="56"/>
      <c r="IX365" s="242">
        <f>SUMPRODUCT(PRODUCE!$B360:$DY360,PRODUCE!$EB$35:$IY$35)</f>
        <v>0</v>
      </c>
      <c r="IY365" s="56"/>
      <c r="IZ365" s="242">
        <f t="shared" si="2566"/>
        <v>0</v>
      </c>
      <c r="JA365" s="242">
        <f t="shared" si="2567"/>
        <v>2820</v>
      </c>
      <c r="JB365" s="56"/>
      <c r="JE365" s="55">
        <f t="shared" si="2568"/>
        <v>46331</v>
      </c>
      <c r="JF365" s="56"/>
      <c r="JG365" s="242">
        <f>SUMPRODUCT(PRODUCE!$B360:$DY360,PRODUCE!$EB$36:$IY$36)</f>
        <v>0</v>
      </c>
      <c r="JH365" s="56"/>
      <c r="JI365" s="242">
        <f t="shared" si="2569"/>
        <v>0</v>
      </c>
      <c r="JJ365" s="242">
        <f t="shared" si="2570"/>
        <v>0</v>
      </c>
      <c r="JK365" s="56"/>
      <c r="JN365" s="55">
        <f t="shared" si="2571"/>
        <v>46331</v>
      </c>
      <c r="JO365" s="56"/>
      <c r="JP365" s="242">
        <f>SUMPRODUCT(PRODUCE!$B360:$DY360,PRODUCE!$EB$37:$IY$37)</f>
        <v>0</v>
      </c>
      <c r="JQ365" s="56"/>
      <c r="JR365" s="242">
        <f t="shared" si="2572"/>
        <v>0</v>
      </c>
      <c r="JS365" s="242">
        <f t="shared" si="2573"/>
        <v>0</v>
      </c>
      <c r="JT365" s="56"/>
      <c r="JW365" s="55">
        <f t="shared" si="2574"/>
        <v>46331</v>
      </c>
      <c r="JX365" s="56"/>
      <c r="JY365" s="242">
        <f>SUMPRODUCT(PRODUCE!$B360:$DY360,PRODUCE!$EB$38:$IY$38)</f>
        <v>0</v>
      </c>
      <c r="JZ365" s="56"/>
      <c r="KA365" s="242">
        <f t="shared" si="2575"/>
        <v>0</v>
      </c>
      <c r="KB365" s="242">
        <f t="shared" si="2576"/>
        <v>2540</v>
      </c>
      <c r="KC365" s="56"/>
      <c r="KF365" s="55">
        <f t="shared" si="2577"/>
        <v>46331</v>
      </c>
      <c r="KG365" s="56"/>
      <c r="KH365" s="242">
        <f>SUMPRODUCT(PRODUCE!$B360:$DY360,PRODUCE!$EB$39:$IY$39)</f>
        <v>0</v>
      </c>
      <c r="KI365" s="56"/>
      <c r="KJ365" s="242">
        <f t="shared" si="2578"/>
        <v>0</v>
      </c>
      <c r="KK365" s="242">
        <f t="shared" si="2579"/>
        <v>2359.5</v>
      </c>
      <c r="KL365" s="56"/>
      <c r="KO365" s="55">
        <f t="shared" si="2580"/>
        <v>46331</v>
      </c>
      <c r="KP365" s="56"/>
      <c r="KQ365" s="242">
        <f>SUMPRODUCT(PRODUCE!$B360:$DY360,PRODUCE!$EB$40:$IY$40)</f>
        <v>0</v>
      </c>
      <c r="KR365" s="56"/>
      <c r="KS365" s="242">
        <f t="shared" si="2581"/>
        <v>0</v>
      </c>
      <c r="KT365" s="242">
        <f t="shared" si="2582"/>
        <v>1890</v>
      </c>
      <c r="KU365" s="56"/>
      <c r="KW365" s="23"/>
      <c r="KX365" s="55">
        <f t="shared" si="2583"/>
        <v>46331</v>
      </c>
      <c r="KY365" s="56"/>
      <c r="KZ365" s="242">
        <f>SUMPRODUCT(PRODUCE!$B360:$DY360,PRODUCE!$EB$41:$IY$41)</f>
        <v>0</v>
      </c>
      <c r="LA365" s="56"/>
      <c r="LB365" s="242">
        <f t="shared" si="2584"/>
        <v>0</v>
      </c>
      <c r="LC365" s="242">
        <f t="shared" si="2585"/>
        <v>3690</v>
      </c>
      <c r="LD365" s="56"/>
      <c r="LG365" s="55">
        <f t="shared" si="2586"/>
        <v>46331</v>
      </c>
      <c r="LH365" s="56"/>
      <c r="LI365" s="242">
        <f>SUMPRODUCT(PRODUCE!$B360:$DY360,PRODUCE!$EB$42:$IY$42)</f>
        <v>0</v>
      </c>
      <c r="LJ365" s="56"/>
      <c r="LK365" s="242">
        <f t="shared" si="2587"/>
        <v>0</v>
      </c>
      <c r="LL365" s="242">
        <f t="shared" si="2588"/>
        <v>4000</v>
      </c>
      <c r="LM365" s="56"/>
      <c r="LP365" s="55">
        <f t="shared" si="2589"/>
        <v>46331</v>
      </c>
      <c r="LQ365" s="56"/>
      <c r="LR365" s="242">
        <f>SUMPRODUCT(PRODUCE!$B380:$DY380,PRODUCE!$EB$43:$IY$43)</f>
        <v>0</v>
      </c>
      <c r="LS365" s="56"/>
      <c r="LT365" s="242">
        <f t="shared" si="2590"/>
        <v>0</v>
      </c>
      <c r="LU365" s="242">
        <f t="shared" si="2591"/>
        <v>0</v>
      </c>
      <c r="LV365" s="56"/>
      <c r="LY365" s="55">
        <f t="shared" si="2592"/>
        <v>46331</v>
      </c>
      <c r="LZ365" s="56"/>
      <c r="MA365" s="242">
        <f>SUMPRODUCT(PRODUCE!$B360:$DY360,PRODUCE!$EB$44:$IY$44)</f>
        <v>0</v>
      </c>
      <c r="MB365" s="56"/>
      <c r="MC365" s="242">
        <f t="shared" si="2593"/>
        <v>0</v>
      </c>
      <c r="MD365" s="242">
        <f t="shared" si="2594"/>
        <v>0</v>
      </c>
      <c r="ME365" s="56"/>
      <c r="MH365" s="55">
        <f t="shared" si="2595"/>
        <v>46331</v>
      </c>
      <c r="MI365" s="56"/>
      <c r="MJ365" s="242">
        <f>SUMPRODUCT(PRODUCE!$B360:$DY360,PRODUCE!$EB$45:$IY$45)</f>
        <v>0</v>
      </c>
      <c r="MK365" s="56"/>
      <c r="ML365" s="242">
        <f t="shared" si="2596"/>
        <v>0</v>
      </c>
      <c r="MM365" s="242">
        <f t="shared" si="2597"/>
        <v>0</v>
      </c>
      <c r="MN365" s="56"/>
      <c r="MQ365" s="55">
        <f t="shared" si="2598"/>
        <v>46331</v>
      </c>
      <c r="MR365" s="56"/>
      <c r="MS365" s="242">
        <f>SUMPRODUCT(PRODUCE!$B360:$DY360,PRODUCE!$EB$46:$IY$46)</f>
        <v>0</v>
      </c>
      <c r="MT365" s="56"/>
      <c r="MU365" s="242">
        <f t="shared" si="2599"/>
        <v>0</v>
      </c>
      <c r="MV365" s="242">
        <f t="shared" si="2600"/>
        <v>1625</v>
      </c>
      <c r="MW365" s="56"/>
      <c r="MZ365" s="55">
        <f t="shared" si="2601"/>
        <v>46331</v>
      </c>
      <c r="NA365" s="56"/>
      <c r="NB365" s="242">
        <f>SUMPRODUCT(PRODUCE!$B360:$DY360,PRODUCE!$EB$47:$IY$47)</f>
        <v>0</v>
      </c>
      <c r="NC365" s="56"/>
      <c r="ND365" s="242">
        <f t="shared" si="2602"/>
        <v>0</v>
      </c>
      <c r="NE365" s="242">
        <f t="shared" si="2603"/>
        <v>0</v>
      </c>
      <c r="NF365" s="56"/>
      <c r="NI365" s="55">
        <f t="shared" si="2604"/>
        <v>46331</v>
      </c>
      <c r="NJ365" s="56"/>
      <c r="NK365" s="242">
        <f>SUMPRODUCT(PRODUCE!$B360:$DY360,PRODUCE!$EB$48:$IY$48)</f>
        <v>0</v>
      </c>
      <c r="NL365" s="56"/>
      <c r="NM365" s="242">
        <f t="shared" si="2605"/>
        <v>0</v>
      </c>
      <c r="NN365" s="242">
        <f t="shared" si="2606"/>
        <v>1127</v>
      </c>
      <c r="NO365" s="56"/>
      <c r="NR365" s="55">
        <f t="shared" si="2607"/>
        <v>46331</v>
      </c>
      <c r="NS365" s="56"/>
      <c r="NT365" s="242">
        <f>SUMPRODUCT(PRODUCE!$B360:$DY360,PRODUCE!$EB$49:$IY$49)</f>
        <v>0</v>
      </c>
      <c r="NU365" s="56"/>
      <c r="NV365" s="242">
        <f t="shared" si="2608"/>
        <v>0</v>
      </c>
      <c r="NW365" s="242">
        <f t="shared" si="2609"/>
        <v>3111.9999999999995</v>
      </c>
      <c r="NX365" s="56"/>
      <c r="OA365" s="55">
        <f t="shared" si="2610"/>
        <v>46331</v>
      </c>
      <c r="OB365" s="56"/>
      <c r="OC365" s="242">
        <f>SUMPRODUCT(PRODUCE!$B360:$DY360,PRODUCE!$EB$50:$IY$50)</f>
        <v>0</v>
      </c>
      <c r="OD365" s="56"/>
      <c r="OE365" s="242">
        <f t="shared" si="2611"/>
        <v>0</v>
      </c>
      <c r="OF365" s="242">
        <f t="shared" si="2612"/>
        <v>1680.5</v>
      </c>
      <c r="OG365" s="56"/>
      <c r="OJ365" s="55">
        <f t="shared" si="2613"/>
        <v>46331</v>
      </c>
      <c r="OK365" s="56"/>
      <c r="OL365" s="242">
        <f>SUMPRODUCT(PRODUCE!$B360:$DY360,PRODUCE!$EB$51:$IY$51)</f>
        <v>0</v>
      </c>
      <c r="OM365" s="56"/>
      <c r="ON365" s="242">
        <f t="shared" si="2614"/>
        <v>0</v>
      </c>
      <c r="OO365" s="242">
        <f t="shared" si="2615"/>
        <v>0</v>
      </c>
      <c r="OP365" s="56"/>
      <c r="OS365" s="55">
        <f t="shared" si="2616"/>
        <v>46331</v>
      </c>
      <c r="OT365" s="56"/>
      <c r="OU365" s="242">
        <f>SUMPRODUCT(PRODUCE!$B360:$DY360,PRODUCE!$EB$52:$IY$52)</f>
        <v>0</v>
      </c>
      <c r="OV365" s="56"/>
      <c r="OW365" s="242">
        <f t="shared" si="2617"/>
        <v>0</v>
      </c>
      <c r="OX365" s="242">
        <f t="shared" si="2618"/>
        <v>1482</v>
      </c>
      <c r="OY365" s="56"/>
      <c r="PB365" s="55">
        <f t="shared" si="2619"/>
        <v>46331</v>
      </c>
      <c r="PC365" s="56"/>
      <c r="PD365" s="242">
        <f>SUMPRODUCT(PRODUCE!$B360:$DY360,PRODUCE!$EB$53:$IY$53)</f>
        <v>0</v>
      </c>
      <c r="PE365" s="56"/>
      <c r="PF365" s="242">
        <f t="shared" si="2620"/>
        <v>0</v>
      </c>
      <c r="PG365" s="242">
        <f t="shared" si="2621"/>
        <v>0</v>
      </c>
      <c r="PH365" s="56"/>
      <c r="PK365" s="55">
        <f t="shared" si="2622"/>
        <v>46331</v>
      </c>
      <c r="PL365" s="56"/>
      <c r="PM365" s="242">
        <f>SUMPRODUCT(PRODUCE!$B360:$DY360,PRODUCE!$EB$54:$IY$54)</f>
        <v>0</v>
      </c>
      <c r="PN365" s="56"/>
      <c r="PO365" s="242">
        <f t="shared" si="2623"/>
        <v>0</v>
      </c>
      <c r="PP365" s="242">
        <f t="shared" si="2624"/>
        <v>100</v>
      </c>
      <c r="PQ365" s="56"/>
      <c r="PT365" s="55">
        <f t="shared" si="2625"/>
        <v>46331</v>
      </c>
      <c r="PU365" s="56"/>
      <c r="PV365" s="242">
        <f>SUMPRODUCT(PRODUCE!$B360:$DY360,PRODUCE!$EB$55:$IY$55)</f>
        <v>0</v>
      </c>
      <c r="PW365" s="56"/>
      <c r="PX365" s="242">
        <f t="shared" si="2626"/>
        <v>0</v>
      </c>
      <c r="PY365" s="242">
        <f t="shared" si="2627"/>
        <v>13.960000000000036</v>
      </c>
      <c r="PZ365" s="56"/>
      <c r="QC365" s="55">
        <f t="shared" si="2628"/>
        <v>46331</v>
      </c>
      <c r="QD365" s="56"/>
      <c r="QE365" s="242">
        <f>SUMPRODUCT(PRODUCE!$B360:$DY360,PRODUCE!$EB$56:$IY$56)</f>
        <v>0</v>
      </c>
      <c r="QF365" s="56"/>
      <c r="QG365" s="242">
        <f t="shared" si="2629"/>
        <v>0</v>
      </c>
      <c r="QH365" s="242">
        <f t="shared" si="2630"/>
        <v>548</v>
      </c>
      <c r="QI365" s="56"/>
      <c r="QL365" s="55">
        <f t="shared" si="2631"/>
        <v>46331</v>
      </c>
      <c r="QM365" s="56"/>
      <c r="QN365" s="242">
        <f>SUMPRODUCT(PRODUCE!$B360:$DY360,PRODUCE!$EB$57:$IY$57)</f>
        <v>0</v>
      </c>
      <c r="QO365" s="56"/>
      <c r="QP365" s="242">
        <f t="shared" si="2632"/>
        <v>0</v>
      </c>
      <c r="QQ365" s="242">
        <f t="shared" si="2633"/>
        <v>0</v>
      </c>
      <c r="QR365" s="56"/>
      <c r="QU365" s="55">
        <f t="shared" si="2634"/>
        <v>46331</v>
      </c>
      <c r="QV365" s="56"/>
      <c r="QW365" s="242">
        <f>SUMPRODUCT(PRODUCE!$B360:$DY360,PRODUCE!$EB$57:$IY$57)</f>
        <v>0</v>
      </c>
      <c r="QX365" s="56"/>
      <c r="QY365" s="242">
        <f t="shared" si="2635"/>
        <v>0</v>
      </c>
      <c r="QZ365" s="242">
        <f t="shared" si="2636"/>
        <v>0</v>
      </c>
      <c r="RA365" s="56"/>
      <c r="RD365" s="55">
        <f t="shared" si="2637"/>
        <v>46331</v>
      </c>
      <c r="RE365" s="56"/>
      <c r="RF365" s="242">
        <f>SUMPRODUCT(PRODUCE!$B360:$DY360,PRODUCE!$EB$58:$IY$58)</f>
        <v>0</v>
      </c>
      <c r="RG365" s="56"/>
      <c r="RH365" s="242">
        <f t="shared" si="2638"/>
        <v>0</v>
      </c>
      <c r="RI365" s="242">
        <f t="shared" si="2639"/>
        <v>147.04000000000002</v>
      </c>
      <c r="RJ365" s="56"/>
      <c r="RM365" s="55">
        <f t="shared" si="2640"/>
        <v>46331</v>
      </c>
      <c r="RN365" s="56"/>
      <c r="RO365" s="242">
        <f>SUMPRODUCT(PRODUCE!$B360:$DY360,PRODUCE!$EB$57:$IY$57)</f>
        <v>0</v>
      </c>
      <c r="RP365" s="56"/>
      <c r="RQ365" s="242">
        <f t="shared" si="2641"/>
        <v>0</v>
      </c>
      <c r="RR365" s="242">
        <f t="shared" si="2642"/>
        <v>46.8</v>
      </c>
      <c r="RS365" s="56"/>
      <c r="RV365" s="55">
        <f t="shared" si="2643"/>
        <v>46331</v>
      </c>
      <c r="RW365" s="56"/>
      <c r="RX365" s="242">
        <f>SUMPRODUCT(PRODUCE!$B360:$DY360,PRODUCE!$EB$57:$IY$57)</f>
        <v>0</v>
      </c>
      <c r="RY365" s="56"/>
      <c r="RZ365" s="242">
        <f t="shared" si="2644"/>
        <v>0</v>
      </c>
      <c r="SA365" s="242">
        <f t="shared" si="2645"/>
        <v>0</v>
      </c>
      <c r="SB365" s="56"/>
      <c r="SE365" s="55">
        <f t="shared" si="2646"/>
        <v>46331</v>
      </c>
      <c r="SF365" s="56"/>
      <c r="SG365" s="242">
        <f>SUMPRODUCT(PRODUCE!$B360:$DY360,PRODUCE!$EB$61:$IY$61)</f>
        <v>0</v>
      </c>
      <c r="SH365" s="56"/>
      <c r="SI365" s="242">
        <f t="shared" si="2647"/>
        <v>0</v>
      </c>
      <c r="SJ365" s="242">
        <f t="shared" si="2648"/>
        <v>24.200000000000003</v>
      </c>
      <c r="SK365" s="56"/>
      <c r="SN365" s="55">
        <f t="shared" si="2649"/>
        <v>46331</v>
      </c>
      <c r="SO365" s="56"/>
      <c r="SP365" s="242">
        <f>SUMPRODUCT(PRODUCE!$B360:$DY360,PRODUCE!$EB$57:$IY$57)</f>
        <v>0</v>
      </c>
      <c r="SQ365" s="56"/>
      <c r="SR365" s="242">
        <f t="shared" si="2650"/>
        <v>0</v>
      </c>
      <c r="SS365" s="242">
        <f t="shared" si="2651"/>
        <v>32</v>
      </c>
      <c r="ST365" s="56"/>
      <c r="SW365" s="55">
        <f t="shared" si="2652"/>
        <v>46331</v>
      </c>
      <c r="SX365" s="56"/>
      <c r="SY365" s="242">
        <f>SUMPRODUCT(PRODUCE!$B360:$DY360,PRODUCE!$EB$57:$IY$57)</f>
        <v>0</v>
      </c>
      <c r="SZ365" s="56"/>
      <c r="TA365" s="242">
        <f t="shared" si="2653"/>
        <v>0</v>
      </c>
      <c r="TB365" s="242">
        <f t="shared" si="2654"/>
        <v>0</v>
      </c>
      <c r="TC365" s="56"/>
      <c r="TF365" s="55">
        <f t="shared" si="2655"/>
        <v>46331</v>
      </c>
      <c r="TG365" s="56"/>
      <c r="TH365" s="242">
        <f>SUMPRODUCT(PRODUCE!$B360:$DY360,PRODUCE!$EB$57:$IY$57)</f>
        <v>0</v>
      </c>
      <c r="TI365" s="56"/>
      <c r="TJ365" s="242">
        <f t="shared" si="2656"/>
        <v>0</v>
      </c>
      <c r="TK365" s="242">
        <f t="shared" si="2657"/>
        <v>0</v>
      </c>
      <c r="TL365" s="56"/>
      <c r="TO365" s="55">
        <f t="shared" si="2658"/>
        <v>46331</v>
      </c>
      <c r="TP365" s="56"/>
      <c r="TQ365" s="242">
        <f>SUMPRODUCT(PRODUCE!$B360:$DY360,PRODUCE!$EB$57:$IY$57)</f>
        <v>0</v>
      </c>
      <c r="TR365" s="56"/>
      <c r="TS365" s="242">
        <f t="shared" si="2659"/>
        <v>0</v>
      </c>
      <c r="TT365" s="242">
        <f t="shared" si="2660"/>
        <v>0</v>
      </c>
      <c r="TU365" s="56"/>
      <c r="TX365" s="55">
        <f t="shared" si="2661"/>
        <v>46331</v>
      </c>
      <c r="TY365" s="56"/>
      <c r="TZ365" s="242">
        <f>SUMPRODUCT(PRODUCE!$B360:$DY360,PRODUCE!$EB$57:$IY$57)</f>
        <v>0</v>
      </c>
      <c r="UA365" s="56"/>
      <c r="UB365" s="242">
        <f t="shared" si="2662"/>
        <v>0</v>
      </c>
      <c r="UC365" s="242">
        <f t="shared" si="2663"/>
        <v>46.799999999999983</v>
      </c>
      <c r="UD365" s="56"/>
      <c r="UG365" s="55">
        <f t="shared" si="2664"/>
        <v>46331</v>
      </c>
      <c r="UH365" s="56"/>
      <c r="UI365" s="242">
        <f>SUMPRODUCT(PRODUCE!$B360:$DY360,PRODUCE!$EB$57:$IY$57)</f>
        <v>0</v>
      </c>
      <c r="UJ365" s="56"/>
      <c r="UK365" s="242">
        <f t="shared" si="2665"/>
        <v>0</v>
      </c>
      <c r="UL365" s="242">
        <f t="shared" si="2666"/>
        <v>204</v>
      </c>
      <c r="UM365" s="56"/>
      <c r="UP365" s="55">
        <f t="shared" si="2667"/>
        <v>46331</v>
      </c>
      <c r="UQ365" s="56"/>
      <c r="UR365" s="242">
        <f>SUMPRODUCT(PRODUCE!$B360:$DY360,PRODUCE!$EB$57:$IY$57)</f>
        <v>0</v>
      </c>
      <c r="US365" s="56"/>
      <c r="UT365" s="242">
        <f t="shared" si="2668"/>
        <v>0</v>
      </c>
      <c r="UU365" s="242">
        <f t="shared" si="2669"/>
        <v>202.5</v>
      </c>
      <c r="UV365" s="56"/>
      <c r="UY365" s="55">
        <f t="shared" si="2670"/>
        <v>46331</v>
      </c>
      <c r="UZ365" s="56"/>
      <c r="VA365" s="242">
        <f>SUMPRODUCT(PRODUCE!$B360:$DY360,PRODUCE!$EB$57:$IY$57)</f>
        <v>0</v>
      </c>
      <c r="VB365" s="56"/>
      <c r="VC365" s="242">
        <f t="shared" si="2671"/>
        <v>0</v>
      </c>
      <c r="VD365" s="242">
        <f t="shared" si="2672"/>
        <v>41.600000000000023</v>
      </c>
      <c r="VE365" s="56"/>
      <c r="VH365" s="55">
        <f t="shared" si="2673"/>
        <v>46331</v>
      </c>
      <c r="VI365" s="56"/>
      <c r="VJ365" s="242">
        <f>SUMPRODUCT(PRODUCE!$B360:$DY360,PRODUCE!$EB$57:$IY$57)</f>
        <v>0</v>
      </c>
      <c r="VK365" s="56"/>
      <c r="VL365" s="242">
        <f t="shared" si="2674"/>
        <v>0</v>
      </c>
      <c r="VM365" s="242">
        <f t="shared" si="2675"/>
        <v>210</v>
      </c>
      <c r="VN365" s="56"/>
      <c r="VQ365" s="55">
        <f t="shared" si="2676"/>
        <v>46331</v>
      </c>
      <c r="VR365" s="56"/>
      <c r="VS365" s="242">
        <f>SUMPRODUCT(PRODUCE!$B360:$DY360,PRODUCE!$EB$57:$IY$57)</f>
        <v>0</v>
      </c>
      <c r="VT365" s="56"/>
      <c r="VU365" s="242">
        <f t="shared" si="2677"/>
        <v>0</v>
      </c>
      <c r="VV365" s="242">
        <f t="shared" si="2678"/>
        <v>0</v>
      </c>
      <c r="VW365" s="56"/>
      <c r="VZ365" s="55">
        <f t="shared" si="2679"/>
        <v>46331</v>
      </c>
      <c r="WA365" s="56"/>
      <c r="WB365" s="242">
        <f>SUMPRODUCT(PRODUCE!$B360:$DY360,PRODUCE!$EB$57:$IY$57)</f>
        <v>0</v>
      </c>
      <c r="WC365" s="56"/>
      <c r="WD365" s="242">
        <f t="shared" si="2680"/>
        <v>0</v>
      </c>
      <c r="WE365" s="242">
        <f t="shared" si="2681"/>
        <v>0</v>
      </c>
      <c r="WF365" s="56"/>
      <c r="WI365" s="55">
        <f t="shared" si="2682"/>
        <v>46331</v>
      </c>
      <c r="WJ365" s="56"/>
      <c r="WK365" s="242">
        <f>SUMPRODUCT(PRODUCE!$B360:$DY360,PRODUCE!$EB$57:$IY$57)</f>
        <v>0</v>
      </c>
      <c r="WL365" s="56"/>
      <c r="WM365" s="242">
        <f t="shared" si="2683"/>
        <v>0</v>
      </c>
      <c r="WN365" s="242">
        <f t="shared" si="2684"/>
        <v>1057</v>
      </c>
      <c r="WO365" s="56"/>
      <c r="WR365" s="55">
        <f t="shared" si="2685"/>
        <v>46331</v>
      </c>
      <c r="WS365" s="56"/>
      <c r="WT365" s="242">
        <f>SUMPRODUCT(PRODUCE!$B360:$DY360,PRODUCE!$EB$57:$IY$57)</f>
        <v>0</v>
      </c>
      <c r="WU365" s="56"/>
      <c r="WV365" s="242">
        <f t="shared" si="2686"/>
        <v>0</v>
      </c>
      <c r="WW365" s="242">
        <f t="shared" si="2687"/>
        <v>0</v>
      </c>
      <c r="WX365" s="56"/>
      <c r="XA365" s="55">
        <f t="shared" si="2688"/>
        <v>46331</v>
      </c>
      <c r="XB365" s="56"/>
      <c r="XC365" s="242">
        <f>SUMPRODUCT(PRODUCE!$B360:$DY360,PRODUCE!$EB$57:$IY$57)</f>
        <v>0</v>
      </c>
      <c r="XD365" s="56"/>
      <c r="XE365" s="242">
        <f t="shared" si="2689"/>
        <v>0</v>
      </c>
      <c r="XF365" s="242">
        <f t="shared" si="2690"/>
        <v>7507</v>
      </c>
      <c r="XG365" s="56"/>
      <c r="XJ365" s="55">
        <f t="shared" si="2691"/>
        <v>46331</v>
      </c>
      <c r="XK365" s="56"/>
      <c r="XL365" s="242">
        <f>SUMPRODUCT(PRODUCE!$B360:$DY360,PRODUCE!$EB$57:$IY$57)</f>
        <v>0</v>
      </c>
      <c r="XM365" s="56"/>
      <c r="XN365" s="242">
        <f t="shared" si="2692"/>
        <v>0</v>
      </c>
      <c r="XO365" s="242">
        <f t="shared" si="2693"/>
        <v>4252</v>
      </c>
      <c r="XP365" s="56"/>
      <c r="XS365" s="55">
        <f t="shared" si="2694"/>
        <v>46331</v>
      </c>
      <c r="XT365" s="56"/>
      <c r="XU365" s="242">
        <f>SUMPRODUCT(PRODUCE!$B360:$DY360,PRODUCE!$EB$57:$IY$57)</f>
        <v>0</v>
      </c>
      <c r="XV365" s="56"/>
      <c r="XW365" s="242">
        <f t="shared" si="2695"/>
        <v>0</v>
      </c>
      <c r="XX365" s="242">
        <f t="shared" si="2696"/>
        <v>2179</v>
      </c>
      <c r="XY365" s="56"/>
      <c r="YB365" s="55">
        <f t="shared" si="2697"/>
        <v>46331</v>
      </c>
      <c r="YC365" s="56"/>
      <c r="YD365" s="242">
        <f>SUMPRODUCT(PRODUCE!$B360:$DY360,PRODUCE!$EB$57:$IY$57)</f>
        <v>0</v>
      </c>
      <c r="YE365" s="56"/>
      <c r="YF365" s="242">
        <f t="shared" si="2698"/>
        <v>0</v>
      </c>
      <c r="YG365" s="242">
        <f t="shared" si="2699"/>
        <v>4019</v>
      </c>
      <c r="YH365" s="56"/>
      <c r="YK365" s="55">
        <f t="shared" si="2700"/>
        <v>46331</v>
      </c>
      <c r="YL365" s="56"/>
      <c r="YM365" s="242">
        <f>SUMPRODUCT(PRODUCE!$B360:$DY360,PRODUCE!$EB$57:$IY$57)</f>
        <v>0</v>
      </c>
      <c r="YN365" s="56"/>
      <c r="YO365" s="242">
        <f t="shared" si="2701"/>
        <v>0</v>
      </c>
      <c r="YP365" s="242">
        <f t="shared" si="2702"/>
        <v>-218</v>
      </c>
      <c r="YQ365" s="56"/>
      <c r="YT365" s="55">
        <f t="shared" si="2703"/>
        <v>46331</v>
      </c>
      <c r="YU365" s="56"/>
      <c r="YV365" s="242">
        <f>SUMPRODUCT(PRODUCE!$B360:$DY360,PRODUCE!$EB$57:$IY$57)</f>
        <v>0</v>
      </c>
      <c r="YW365" s="56"/>
      <c r="YX365" s="242">
        <f t="shared" si="2704"/>
        <v>0</v>
      </c>
      <c r="YY365" s="242">
        <f t="shared" si="2705"/>
        <v>0</v>
      </c>
      <c r="YZ365" s="56"/>
      <c r="ZC365" s="55">
        <f t="shared" si="2706"/>
        <v>46331</v>
      </c>
      <c r="ZD365" s="56"/>
      <c r="ZE365" s="242">
        <f>SUMPRODUCT(PRODUCE!$B360:$DY360,PRODUCE!$EB$57:$IY$57)</f>
        <v>0</v>
      </c>
      <c r="ZF365" s="56"/>
      <c r="ZG365" s="242">
        <f t="shared" si="2707"/>
        <v>0</v>
      </c>
      <c r="ZH365" s="242">
        <f t="shared" si="2708"/>
        <v>0</v>
      </c>
      <c r="ZI365" s="56"/>
      <c r="ZL365" s="55">
        <f t="shared" si="2709"/>
        <v>46331</v>
      </c>
      <c r="ZM365" s="56"/>
      <c r="ZN365" s="242">
        <f>SUMPRODUCT(PRODUCE!$B360:$DY360,PRODUCE!$EB$57:$IY$57)</f>
        <v>0</v>
      </c>
      <c r="ZO365" s="56"/>
      <c r="ZP365" s="242">
        <f t="shared" si="2710"/>
        <v>0</v>
      </c>
      <c r="ZQ365" s="242">
        <f t="shared" si="2711"/>
        <v>0</v>
      </c>
      <c r="ZR365" s="56"/>
      <c r="ZU365" s="55">
        <f t="shared" si="2712"/>
        <v>46331</v>
      </c>
      <c r="ZV365" s="56"/>
      <c r="ZW365" s="242">
        <f>SUMPRODUCT(PRODUCE!$B360:$DY360,PRODUCE!$EB$57:$IY$57)</f>
        <v>0</v>
      </c>
      <c r="ZX365" s="56"/>
      <c r="ZY365" s="242">
        <f t="shared" si="2713"/>
        <v>0</v>
      </c>
      <c r="ZZ365" s="242">
        <f t="shared" si="2714"/>
        <v>0</v>
      </c>
      <c r="AAA365" s="56"/>
      <c r="AAD365" s="55">
        <f t="shared" si="2715"/>
        <v>46331</v>
      </c>
      <c r="AAE365" s="56"/>
      <c r="AAF365" s="242">
        <f>SUMPRODUCT(PRODUCE!$B360:$DY360,PRODUCE!$EB$57:$IY$57)</f>
        <v>0</v>
      </c>
      <c r="AAG365" s="56"/>
      <c r="AAH365" s="242">
        <f t="shared" si="2716"/>
        <v>0</v>
      </c>
      <c r="AAI365" s="242">
        <f t="shared" si="2717"/>
        <v>0</v>
      </c>
      <c r="AAJ365" s="56"/>
      <c r="AAM365" s="55">
        <f t="shared" si="2718"/>
        <v>46331</v>
      </c>
      <c r="AAN365" s="56"/>
      <c r="AAO365" s="242">
        <f>SUMPRODUCT(PRODUCE!$B360:$DY360,PRODUCE!$EB$57:$IY$57)</f>
        <v>0</v>
      </c>
      <c r="AAP365" s="56"/>
      <c r="AAQ365" s="242">
        <f t="shared" si="2719"/>
        <v>0</v>
      </c>
      <c r="AAR365" s="242">
        <f t="shared" si="2720"/>
        <v>0</v>
      </c>
      <c r="AAS365" s="56"/>
      <c r="AAV365" s="55">
        <f t="shared" si="2721"/>
        <v>46331</v>
      </c>
      <c r="AAW365" s="56"/>
      <c r="AAX365" s="242">
        <f>SUMPRODUCT(PRODUCE!$B360:$DY360,PRODUCE!$EB$57:$IY$57)</f>
        <v>0</v>
      </c>
      <c r="AAY365" s="56"/>
      <c r="AAZ365" s="242">
        <f t="shared" si="2722"/>
        <v>0</v>
      </c>
      <c r="ABA365" s="242">
        <f t="shared" si="2723"/>
        <v>0</v>
      </c>
      <c r="ABB365" s="56"/>
      <c r="ABE365" s="55">
        <f t="shared" si="2724"/>
        <v>46331</v>
      </c>
      <c r="ABF365" s="56"/>
      <c r="ABG365" s="242">
        <f>SUMPRODUCT(PRODUCE!$B360:$DY360,PRODUCE!$EB$57:$IY$57)</f>
        <v>0</v>
      </c>
      <c r="ABH365" s="56"/>
      <c r="ABI365" s="242">
        <f t="shared" si="2725"/>
        <v>0</v>
      </c>
      <c r="ABJ365" s="242">
        <f t="shared" si="2726"/>
        <v>0</v>
      </c>
      <c r="ABK365" s="56"/>
    </row>
    <row r="366" spans="1:739" s="54" customFormat="1" ht="15" customHeight="1" outlineLevel="1">
      <c r="B366" s="478"/>
      <c r="C366" s="55">
        <v>46332</v>
      </c>
      <c r="D366" s="56"/>
      <c r="E366" s="57">
        <f>SUMPRODUCT(PRODUCE!$B361:$DY361,PRODUCE!$EB$7:$IY$7)</f>
        <v>0</v>
      </c>
      <c r="F366" s="56"/>
      <c r="G366" s="57">
        <f t="shared" si="2482"/>
        <v>0</v>
      </c>
      <c r="H366" s="57">
        <f t="shared" si="2483"/>
        <v>236936.6</v>
      </c>
      <c r="I366" s="289"/>
      <c r="L366" s="55">
        <f t="shared" si="2484"/>
        <v>46332</v>
      </c>
      <c r="M366" s="56"/>
      <c r="N366" s="59">
        <f>SUMPRODUCT(PRODUCE!$B361:$DY361,PRODUCE!$EB$8:$IY$8)</f>
        <v>0</v>
      </c>
      <c r="O366" s="56"/>
      <c r="P366" s="59">
        <f t="shared" si="2485"/>
        <v>0</v>
      </c>
      <c r="Q366" s="59">
        <f t="shared" si="2486"/>
        <v>53017.600000000071</v>
      </c>
      <c r="R366" s="56"/>
      <c r="U366" s="55">
        <f t="shared" si="2487"/>
        <v>46332</v>
      </c>
      <c r="V366" s="56"/>
      <c r="W366" s="60">
        <f>SUMPRODUCT(PRODUCE!$B361:$DY361,PRODUCE!$EB$9:$IY$9)</f>
        <v>0</v>
      </c>
      <c r="X366" s="56"/>
      <c r="Y366" s="60">
        <f t="shared" si="2488"/>
        <v>0</v>
      </c>
      <c r="Z366" s="60">
        <f t="shared" si="2489"/>
        <v>42674.199999999968</v>
      </c>
      <c r="AA366" s="56"/>
      <c r="AD366" s="55">
        <f t="shared" si="2490"/>
        <v>46332</v>
      </c>
      <c r="AE366" s="56"/>
      <c r="AF366" s="61">
        <f>SUMPRODUCT(PRODUCE!$B361:$DY361,PRODUCE!$EB$10:$IY$10)</f>
        <v>0</v>
      </c>
      <c r="AG366" s="56"/>
      <c r="AH366" s="61">
        <f t="shared" si="2491"/>
        <v>0</v>
      </c>
      <c r="AI366" s="61">
        <f t="shared" si="2492"/>
        <v>4522.2000000000189</v>
      </c>
      <c r="AJ366" s="56"/>
      <c r="AM366" s="55">
        <f t="shared" si="2493"/>
        <v>46332</v>
      </c>
      <c r="AN366" s="422"/>
      <c r="AO366" s="444">
        <f>SUMPRODUCT(PRODUCE!$B361:$DY361,PRODUCE!$EB$11:$IY$11)</f>
        <v>0</v>
      </c>
      <c r="AP366" s="422"/>
      <c r="AQ366" s="444">
        <f t="shared" si="2494"/>
        <v>0</v>
      </c>
      <c r="AR366" s="444">
        <f t="shared" si="2495"/>
        <v>0</v>
      </c>
      <c r="AS366" s="56"/>
      <c r="AV366" s="55">
        <f t="shared" si="2496"/>
        <v>46332</v>
      </c>
      <c r="AW366" s="56"/>
      <c r="AX366" s="62">
        <f>SUMPRODUCT(PRODUCE!$B361:$DY361,PRODUCE!$EB$12:$IY$12)</f>
        <v>0</v>
      </c>
      <c r="AY366" s="56"/>
      <c r="AZ366" s="62">
        <f t="shared" si="2497"/>
        <v>0</v>
      </c>
      <c r="BA366" s="62">
        <f t="shared" si="2498"/>
        <v>124.99999999999523</v>
      </c>
      <c r="BB366" s="56"/>
      <c r="BE366" s="55">
        <f t="shared" si="2499"/>
        <v>46332</v>
      </c>
      <c r="BF366" s="56"/>
      <c r="BG366" s="63">
        <f>SUMPRODUCT(PRODUCE!$B361:$DY361,PRODUCE!$EB$13:$IY$13)</f>
        <v>0</v>
      </c>
      <c r="BH366" s="56"/>
      <c r="BI366" s="63">
        <f t="shared" si="2500"/>
        <v>0</v>
      </c>
      <c r="BJ366" s="63">
        <f t="shared" si="2501"/>
        <v>26151.899999999998</v>
      </c>
      <c r="BK366" s="56"/>
      <c r="BN366" s="55">
        <f t="shared" si="2502"/>
        <v>46332</v>
      </c>
      <c r="BO366" s="56"/>
      <c r="BP366" s="64">
        <f>SUMPRODUCT(PRODUCE!$B361:$DY361,PRODUCE!$EB$14:$IY$14)</f>
        <v>0</v>
      </c>
      <c r="BQ366" s="56"/>
      <c r="BR366" s="64">
        <f t="shared" si="2503"/>
        <v>0</v>
      </c>
      <c r="BS366" s="64">
        <f t="shared" si="2504"/>
        <v>0</v>
      </c>
      <c r="BT366" s="56"/>
      <c r="BW366" s="55">
        <f t="shared" si="2505"/>
        <v>46332</v>
      </c>
      <c r="BX366" s="56"/>
      <c r="BY366" s="65">
        <f>SUMPRODUCT(PRODUCE!$B361:$DY361,PRODUCE!$EB$15:$IY$15)</f>
        <v>0</v>
      </c>
      <c r="BZ366" s="56"/>
      <c r="CA366" s="65">
        <f t="shared" si="2506"/>
        <v>0</v>
      </c>
      <c r="CB366" s="65">
        <f t="shared" si="2507"/>
        <v>2097.3399999999992</v>
      </c>
      <c r="CC366" s="56"/>
      <c r="CF366" s="55">
        <f t="shared" si="2508"/>
        <v>46332</v>
      </c>
      <c r="CG366" s="56"/>
      <c r="CH366" s="66">
        <f>SUMPRODUCT(PRODUCE!$B361:$DY361,PRODUCE!$EB$16:$IY$16)</f>
        <v>0</v>
      </c>
      <c r="CI366" s="56"/>
      <c r="CJ366" s="66">
        <f t="shared" si="2509"/>
        <v>0</v>
      </c>
      <c r="CK366" s="66">
        <f t="shared" si="2510"/>
        <v>-10277.079999999998</v>
      </c>
      <c r="CL366" s="56"/>
      <c r="CO366" s="55">
        <f t="shared" si="2511"/>
        <v>46332</v>
      </c>
      <c r="CP366" s="422"/>
      <c r="CQ366" s="470">
        <f>SUMPRODUCT(PRODUCE!$B361:$DY361,PRODUCE!$EB$17:$IY$17)</f>
        <v>0</v>
      </c>
      <c r="CR366" s="422"/>
      <c r="CS366" s="470">
        <f t="shared" si="2512"/>
        <v>0</v>
      </c>
      <c r="CT366" s="470">
        <f t="shared" si="2513"/>
        <v>0</v>
      </c>
      <c r="CU366" s="56"/>
      <c r="CX366" s="55">
        <f t="shared" si="2514"/>
        <v>46332</v>
      </c>
      <c r="CY366" s="56"/>
      <c r="CZ366" s="133">
        <f>SUMPRODUCT(PRODUCE!$B361:$DY361,PRODUCE!$EB$18:$IY$18)</f>
        <v>0</v>
      </c>
      <c r="DA366" s="56"/>
      <c r="DB366" s="133">
        <f t="shared" si="2515"/>
        <v>0</v>
      </c>
      <c r="DC366" s="133">
        <f t="shared" si="2516"/>
        <v>27438.200000000012</v>
      </c>
      <c r="DD366" s="56"/>
      <c r="DG366" s="55">
        <f t="shared" si="2517"/>
        <v>46332</v>
      </c>
      <c r="DH366" s="56"/>
      <c r="DI366" s="147">
        <f>SUMPRODUCT(PRODUCE!$B361:$DY361,PRODUCE!$EB$19:$IY$19)</f>
        <v>0</v>
      </c>
      <c r="DJ366" s="56"/>
      <c r="DK366" s="147">
        <f t="shared" si="2518"/>
        <v>0</v>
      </c>
      <c r="DL366" s="147">
        <f t="shared" si="2519"/>
        <v>18782.299999999981</v>
      </c>
      <c r="DM366" s="56"/>
      <c r="DP366" s="55">
        <f t="shared" si="2520"/>
        <v>46332</v>
      </c>
      <c r="DQ366" s="56"/>
      <c r="DR366" s="57">
        <f>SUMPRODUCT(PRODUCE!$B361:$DY361,PRODUCE!$EB$20:$IY$20)</f>
        <v>0</v>
      </c>
      <c r="DS366" s="56"/>
      <c r="DT366" s="57">
        <f t="shared" si="2521"/>
        <v>0</v>
      </c>
      <c r="DU366" s="57">
        <f t="shared" si="2522"/>
        <v>5800</v>
      </c>
      <c r="DV366" s="56"/>
      <c r="DY366" s="55">
        <f t="shared" si="2523"/>
        <v>46332</v>
      </c>
      <c r="DZ366" s="56"/>
      <c r="EA366" s="157">
        <f>SUMPRODUCT(PRODUCE!$B361:$DY361,PRODUCE!$EB$21:$IY$21)</f>
        <v>0</v>
      </c>
      <c r="EB366" s="56"/>
      <c r="EC366" s="157">
        <f t="shared" si="2524"/>
        <v>0</v>
      </c>
      <c r="ED366" s="157">
        <f t="shared" si="2525"/>
        <v>0</v>
      </c>
      <c r="EE366" s="56"/>
      <c r="EH366" s="55">
        <f t="shared" si="2526"/>
        <v>46332</v>
      </c>
      <c r="EI366" s="56"/>
      <c r="EJ366" s="162">
        <f>SUMPRODUCT(PRODUCE!$B361:$DY361,PRODUCE!$EB$22:$IY$22)</f>
        <v>0</v>
      </c>
      <c r="EK366" s="56"/>
      <c r="EL366" s="162">
        <f t="shared" si="2527"/>
        <v>0</v>
      </c>
      <c r="EM366" s="162">
        <f t="shared" si="2528"/>
        <v>0</v>
      </c>
      <c r="EN366" s="56"/>
      <c r="EQ366" s="55">
        <f t="shared" si="2529"/>
        <v>46332</v>
      </c>
      <c r="ER366" s="56"/>
      <c r="ES366" s="135">
        <f>SUMPRODUCT(PRODUCE!$B361:$DY361,PRODUCE!$EB$23:$IY$23)</f>
        <v>0</v>
      </c>
      <c r="ET366" s="56"/>
      <c r="EU366" s="135">
        <f t="shared" si="2530"/>
        <v>0</v>
      </c>
      <c r="EV366" s="135">
        <f t="shared" si="2531"/>
        <v>0</v>
      </c>
      <c r="EW366" s="56"/>
      <c r="EZ366" s="55">
        <f t="shared" si="2532"/>
        <v>46332</v>
      </c>
      <c r="FA366" s="56"/>
      <c r="FB366" s="175">
        <f>SUMPRODUCT(PRODUCE!$B361:$DY361,PRODUCE!$EB$24:$IY$24)</f>
        <v>0</v>
      </c>
      <c r="FC366" s="56"/>
      <c r="FD366" s="175">
        <f t="shared" si="2533"/>
        <v>0</v>
      </c>
      <c r="FE366" s="175">
        <f t="shared" si="2534"/>
        <v>0</v>
      </c>
      <c r="FF366" s="56"/>
      <c r="FI366" s="55">
        <f t="shared" si="2535"/>
        <v>46332</v>
      </c>
      <c r="FJ366" s="56"/>
      <c r="FK366" s="183">
        <f>SUMPRODUCT(PRODUCE!$B361:$DY361,PRODUCE!$EB$25:$IY$25)</f>
        <v>0</v>
      </c>
      <c r="FL366" s="56"/>
      <c r="FM366" s="183">
        <f t="shared" si="2536"/>
        <v>0</v>
      </c>
      <c r="FN366" s="183">
        <f t="shared" si="2537"/>
        <v>0</v>
      </c>
      <c r="FO366" s="56"/>
      <c r="FR366" s="55">
        <f t="shared" si="2538"/>
        <v>46332</v>
      </c>
      <c r="FS366" s="56"/>
      <c r="FT366" s="186">
        <f>SUMPRODUCT(PRODUCE!$B361:$DY361,PRODUCE!$EB$26:$IY$26)</f>
        <v>0</v>
      </c>
      <c r="FU366" s="56"/>
      <c r="FV366" s="186">
        <f t="shared" si="2539"/>
        <v>0</v>
      </c>
      <c r="FW366" s="186">
        <f t="shared" si="2540"/>
        <v>2020</v>
      </c>
      <c r="FX366" s="56"/>
      <c r="GA366" s="55">
        <f t="shared" si="2541"/>
        <v>46332</v>
      </c>
      <c r="GB366" s="56"/>
      <c r="GC366" s="137">
        <f>SUMPRODUCT(PRODUCE!$B361:$DY361,PRODUCE!$EB$27:$IY$27)</f>
        <v>0</v>
      </c>
      <c r="GD366" s="56"/>
      <c r="GE366" s="137">
        <f t="shared" si="2542"/>
        <v>0</v>
      </c>
      <c r="GF366" s="137">
        <f t="shared" si="2543"/>
        <v>960</v>
      </c>
      <c r="GG366" s="56"/>
      <c r="GI366" s="23"/>
      <c r="GJ366" s="55">
        <f t="shared" si="2544"/>
        <v>46332</v>
      </c>
      <c r="GK366" s="56"/>
      <c r="GL366" s="199">
        <f>SUMPRODUCT(PRODUCE!$B361:$DY361,PRODUCE!$EB$28:$IY$28)</f>
        <v>0</v>
      </c>
      <c r="GM366" s="56"/>
      <c r="GN366" s="199">
        <f t="shared" si="2545"/>
        <v>0</v>
      </c>
      <c r="GO366" s="199">
        <f t="shared" si="2546"/>
        <v>1760</v>
      </c>
      <c r="GP366" s="56"/>
      <c r="GS366" s="55">
        <f t="shared" si="2547"/>
        <v>46332</v>
      </c>
      <c r="GT366" s="56"/>
      <c r="GU366" s="195">
        <f>SUMPRODUCT(PRODUCE!$B361:$DY361,PRODUCE!$EB$29:$IY$29)</f>
        <v>0</v>
      </c>
      <c r="GV366" s="56"/>
      <c r="GW366" s="195">
        <f t="shared" si="2548"/>
        <v>0</v>
      </c>
      <c r="GX366" s="195">
        <f t="shared" si="2549"/>
        <v>400</v>
      </c>
      <c r="GY366" s="56"/>
      <c r="HB366" s="55">
        <f t="shared" si="2550"/>
        <v>46332</v>
      </c>
      <c r="HC366" s="56"/>
      <c r="HD366" s="191">
        <f>SUMPRODUCT(PRODUCE!$B361:$DY361,PRODUCE!$EB$30:$IY$30)</f>
        <v>0</v>
      </c>
      <c r="HE366" s="56"/>
      <c r="HF366" s="191">
        <f t="shared" si="2551"/>
        <v>0</v>
      </c>
      <c r="HG366" s="191">
        <f t="shared" si="2552"/>
        <v>3600</v>
      </c>
      <c r="HH366" s="56"/>
      <c r="HK366" s="55">
        <f t="shared" si="2553"/>
        <v>46332</v>
      </c>
      <c r="HL366" s="56"/>
      <c r="HM366" s="63">
        <f>SUMPRODUCT(PRODUCE!$B361:$DY361,PRODUCE!$EB$31:$IY$31)</f>
        <v>0</v>
      </c>
      <c r="HN366" s="56"/>
      <c r="HO366" s="63">
        <f t="shared" si="2554"/>
        <v>0</v>
      </c>
      <c r="HP366" s="63">
        <f t="shared" si="2555"/>
        <v>0</v>
      </c>
      <c r="HQ366" s="56"/>
      <c r="HU366" s="55">
        <f t="shared" si="2556"/>
        <v>46332</v>
      </c>
      <c r="HV366" s="56"/>
      <c r="HW366" s="242">
        <f>SUMPRODUCT(PRODUCE!$B361:$DY361,PRODUCE!$EB$32:$IY$32)</f>
        <v>0</v>
      </c>
      <c r="HX366" s="56"/>
      <c r="HY366" s="242">
        <f t="shared" si="2557"/>
        <v>0</v>
      </c>
      <c r="HZ366" s="242">
        <f t="shared" si="2558"/>
        <v>6120</v>
      </c>
      <c r="IA366" s="56"/>
      <c r="ID366" s="55">
        <f t="shared" si="2559"/>
        <v>46332</v>
      </c>
      <c r="IE366" s="56"/>
      <c r="IF366" s="242">
        <f>SUMPRODUCT(PRODUCE!$B361:$DY361,PRODUCE!$EB$33:$IY$33)</f>
        <v>0</v>
      </c>
      <c r="IG366" s="56"/>
      <c r="IH366" s="242">
        <f t="shared" si="2560"/>
        <v>0</v>
      </c>
      <c r="II366" s="242">
        <f t="shared" si="2561"/>
        <v>0</v>
      </c>
      <c r="IJ366" s="56"/>
      <c r="IM366" s="55">
        <f t="shared" si="2562"/>
        <v>46332</v>
      </c>
      <c r="IN366" s="56"/>
      <c r="IO366" s="242">
        <f>SUMPRODUCT(PRODUCE!$B361:$DY361,PRODUCE!$EB$34:$IY$34)</f>
        <v>0</v>
      </c>
      <c r="IP366" s="56"/>
      <c r="IQ366" s="242">
        <f t="shared" si="2563"/>
        <v>0</v>
      </c>
      <c r="IR366" s="242">
        <f t="shared" si="2564"/>
        <v>0</v>
      </c>
      <c r="IS366" s="56"/>
      <c r="IV366" s="55">
        <f t="shared" si="2565"/>
        <v>46332</v>
      </c>
      <c r="IW366" s="56"/>
      <c r="IX366" s="242">
        <f>SUMPRODUCT(PRODUCE!$B361:$DY361,PRODUCE!$EB$35:$IY$35)</f>
        <v>0</v>
      </c>
      <c r="IY366" s="56"/>
      <c r="IZ366" s="242">
        <f t="shared" si="2566"/>
        <v>0</v>
      </c>
      <c r="JA366" s="242">
        <f t="shared" si="2567"/>
        <v>2820</v>
      </c>
      <c r="JB366" s="56"/>
      <c r="JE366" s="55">
        <f t="shared" si="2568"/>
        <v>46332</v>
      </c>
      <c r="JF366" s="56"/>
      <c r="JG366" s="242">
        <f>SUMPRODUCT(PRODUCE!$B361:$DY361,PRODUCE!$EB$36:$IY$36)</f>
        <v>0</v>
      </c>
      <c r="JH366" s="56"/>
      <c r="JI366" s="242">
        <f t="shared" si="2569"/>
        <v>0</v>
      </c>
      <c r="JJ366" s="242">
        <f t="shared" si="2570"/>
        <v>0</v>
      </c>
      <c r="JK366" s="56"/>
      <c r="JN366" s="55">
        <f t="shared" si="2571"/>
        <v>46332</v>
      </c>
      <c r="JO366" s="56"/>
      <c r="JP366" s="242">
        <f>SUMPRODUCT(PRODUCE!$B361:$DY361,PRODUCE!$EB$37:$IY$37)</f>
        <v>0</v>
      </c>
      <c r="JQ366" s="56"/>
      <c r="JR366" s="242">
        <f t="shared" si="2572"/>
        <v>0</v>
      </c>
      <c r="JS366" s="242">
        <f t="shared" si="2573"/>
        <v>0</v>
      </c>
      <c r="JT366" s="56"/>
      <c r="JW366" s="55">
        <f t="shared" si="2574"/>
        <v>46332</v>
      </c>
      <c r="JX366" s="56"/>
      <c r="JY366" s="242">
        <f>SUMPRODUCT(PRODUCE!$B361:$DY361,PRODUCE!$EB$38:$IY$38)</f>
        <v>0</v>
      </c>
      <c r="JZ366" s="56"/>
      <c r="KA366" s="242">
        <f t="shared" si="2575"/>
        <v>0</v>
      </c>
      <c r="KB366" s="242">
        <f t="shared" si="2576"/>
        <v>2540</v>
      </c>
      <c r="KC366" s="56"/>
      <c r="KF366" s="55">
        <f t="shared" si="2577"/>
        <v>46332</v>
      </c>
      <c r="KG366" s="56"/>
      <c r="KH366" s="242">
        <f>SUMPRODUCT(PRODUCE!$B361:$DY361,PRODUCE!$EB$39:$IY$39)</f>
        <v>0</v>
      </c>
      <c r="KI366" s="56"/>
      <c r="KJ366" s="242">
        <f t="shared" si="2578"/>
        <v>0</v>
      </c>
      <c r="KK366" s="242">
        <f t="shared" si="2579"/>
        <v>2359.5</v>
      </c>
      <c r="KL366" s="56"/>
      <c r="KO366" s="55">
        <f t="shared" si="2580"/>
        <v>46332</v>
      </c>
      <c r="KP366" s="56"/>
      <c r="KQ366" s="242">
        <f>SUMPRODUCT(PRODUCE!$B361:$DY361,PRODUCE!$EB$40:$IY$40)</f>
        <v>0</v>
      </c>
      <c r="KR366" s="56"/>
      <c r="KS366" s="242">
        <f t="shared" si="2581"/>
        <v>0</v>
      </c>
      <c r="KT366" s="242">
        <f t="shared" si="2582"/>
        <v>1890</v>
      </c>
      <c r="KU366" s="56"/>
      <c r="KW366" s="23"/>
      <c r="KX366" s="55">
        <f t="shared" si="2583"/>
        <v>46332</v>
      </c>
      <c r="KY366" s="56"/>
      <c r="KZ366" s="242">
        <f>SUMPRODUCT(PRODUCE!$B361:$DY361,PRODUCE!$EB$41:$IY$41)</f>
        <v>0</v>
      </c>
      <c r="LA366" s="56"/>
      <c r="LB366" s="242">
        <f t="shared" si="2584"/>
        <v>0</v>
      </c>
      <c r="LC366" s="242">
        <f t="shared" si="2585"/>
        <v>3690</v>
      </c>
      <c r="LD366" s="56"/>
      <c r="LG366" s="55">
        <f t="shared" si="2586"/>
        <v>46332</v>
      </c>
      <c r="LH366" s="56"/>
      <c r="LI366" s="242">
        <f>SUMPRODUCT(PRODUCE!$B361:$DY361,PRODUCE!$EB$42:$IY$42)</f>
        <v>0</v>
      </c>
      <c r="LJ366" s="56"/>
      <c r="LK366" s="242">
        <f t="shared" si="2587"/>
        <v>0</v>
      </c>
      <c r="LL366" s="242">
        <f t="shared" si="2588"/>
        <v>4000</v>
      </c>
      <c r="LM366" s="56"/>
      <c r="LP366" s="55">
        <f t="shared" si="2589"/>
        <v>46332</v>
      </c>
      <c r="LQ366" s="56"/>
      <c r="LR366" s="242">
        <f>SUMPRODUCT(PRODUCE!$B381:$DY381,PRODUCE!$EB$43:$IY$43)</f>
        <v>0</v>
      </c>
      <c r="LS366" s="56"/>
      <c r="LT366" s="242">
        <f t="shared" si="2590"/>
        <v>0</v>
      </c>
      <c r="LU366" s="242">
        <f t="shared" si="2591"/>
        <v>0</v>
      </c>
      <c r="LV366" s="56"/>
      <c r="LY366" s="55">
        <f t="shared" si="2592"/>
        <v>46332</v>
      </c>
      <c r="LZ366" s="56"/>
      <c r="MA366" s="242">
        <f>SUMPRODUCT(PRODUCE!$B361:$DY361,PRODUCE!$EB$44:$IY$44)</f>
        <v>0</v>
      </c>
      <c r="MB366" s="56"/>
      <c r="MC366" s="242">
        <f t="shared" si="2593"/>
        <v>0</v>
      </c>
      <c r="MD366" s="242">
        <f t="shared" si="2594"/>
        <v>0</v>
      </c>
      <c r="ME366" s="56"/>
      <c r="MH366" s="55">
        <f t="shared" si="2595"/>
        <v>46332</v>
      </c>
      <c r="MI366" s="56"/>
      <c r="MJ366" s="242">
        <f>SUMPRODUCT(PRODUCE!$B361:$DY361,PRODUCE!$EB$45:$IY$45)</f>
        <v>0</v>
      </c>
      <c r="MK366" s="56"/>
      <c r="ML366" s="242">
        <f t="shared" si="2596"/>
        <v>0</v>
      </c>
      <c r="MM366" s="242">
        <f t="shared" si="2597"/>
        <v>0</v>
      </c>
      <c r="MN366" s="56"/>
      <c r="MQ366" s="55">
        <f t="shared" si="2598"/>
        <v>46332</v>
      </c>
      <c r="MR366" s="56"/>
      <c r="MS366" s="242">
        <f>SUMPRODUCT(PRODUCE!$B361:$DY361,PRODUCE!$EB$46:$IY$46)</f>
        <v>0</v>
      </c>
      <c r="MT366" s="56"/>
      <c r="MU366" s="242">
        <f t="shared" si="2599"/>
        <v>0</v>
      </c>
      <c r="MV366" s="242">
        <f t="shared" si="2600"/>
        <v>1625</v>
      </c>
      <c r="MW366" s="56"/>
      <c r="MZ366" s="55">
        <f t="shared" si="2601"/>
        <v>46332</v>
      </c>
      <c r="NA366" s="56"/>
      <c r="NB366" s="242">
        <f>SUMPRODUCT(PRODUCE!$B361:$DY361,PRODUCE!$EB$47:$IY$47)</f>
        <v>0</v>
      </c>
      <c r="NC366" s="56"/>
      <c r="ND366" s="242">
        <f t="shared" si="2602"/>
        <v>0</v>
      </c>
      <c r="NE366" s="242">
        <f t="shared" si="2603"/>
        <v>0</v>
      </c>
      <c r="NF366" s="56"/>
      <c r="NI366" s="55">
        <f t="shared" si="2604"/>
        <v>46332</v>
      </c>
      <c r="NJ366" s="56"/>
      <c r="NK366" s="242">
        <f>SUMPRODUCT(PRODUCE!$B361:$DY361,PRODUCE!$EB$48:$IY$48)</f>
        <v>0</v>
      </c>
      <c r="NL366" s="56"/>
      <c r="NM366" s="242">
        <f t="shared" si="2605"/>
        <v>0</v>
      </c>
      <c r="NN366" s="242">
        <f t="shared" si="2606"/>
        <v>1127</v>
      </c>
      <c r="NO366" s="56"/>
      <c r="NR366" s="55">
        <f t="shared" si="2607"/>
        <v>46332</v>
      </c>
      <c r="NS366" s="56"/>
      <c r="NT366" s="242">
        <f>SUMPRODUCT(PRODUCE!$B361:$DY361,PRODUCE!$EB$49:$IY$49)</f>
        <v>0</v>
      </c>
      <c r="NU366" s="56"/>
      <c r="NV366" s="242">
        <f t="shared" si="2608"/>
        <v>0</v>
      </c>
      <c r="NW366" s="242">
        <f t="shared" si="2609"/>
        <v>3111.9999999999995</v>
      </c>
      <c r="NX366" s="56"/>
      <c r="OA366" s="55">
        <f t="shared" si="2610"/>
        <v>46332</v>
      </c>
      <c r="OB366" s="56"/>
      <c r="OC366" s="242">
        <f>SUMPRODUCT(PRODUCE!$B361:$DY361,PRODUCE!$EB$50:$IY$50)</f>
        <v>0</v>
      </c>
      <c r="OD366" s="56"/>
      <c r="OE366" s="242">
        <f t="shared" si="2611"/>
        <v>0</v>
      </c>
      <c r="OF366" s="242">
        <f t="shared" si="2612"/>
        <v>1680.5</v>
      </c>
      <c r="OG366" s="56"/>
      <c r="OJ366" s="55">
        <f t="shared" si="2613"/>
        <v>46332</v>
      </c>
      <c r="OK366" s="56"/>
      <c r="OL366" s="242">
        <f>SUMPRODUCT(PRODUCE!$B361:$DY361,PRODUCE!$EB$51:$IY$51)</f>
        <v>0</v>
      </c>
      <c r="OM366" s="56"/>
      <c r="ON366" s="242">
        <f t="shared" si="2614"/>
        <v>0</v>
      </c>
      <c r="OO366" s="242">
        <f t="shared" si="2615"/>
        <v>0</v>
      </c>
      <c r="OP366" s="56"/>
      <c r="OS366" s="55">
        <f t="shared" si="2616"/>
        <v>46332</v>
      </c>
      <c r="OT366" s="56"/>
      <c r="OU366" s="242">
        <f>SUMPRODUCT(PRODUCE!$B361:$DY361,PRODUCE!$EB$52:$IY$52)</f>
        <v>0</v>
      </c>
      <c r="OV366" s="56"/>
      <c r="OW366" s="242">
        <f t="shared" si="2617"/>
        <v>0</v>
      </c>
      <c r="OX366" s="242">
        <f t="shared" si="2618"/>
        <v>1482</v>
      </c>
      <c r="OY366" s="56"/>
      <c r="PB366" s="55">
        <f t="shared" si="2619"/>
        <v>46332</v>
      </c>
      <c r="PC366" s="56"/>
      <c r="PD366" s="242">
        <f>SUMPRODUCT(PRODUCE!$B361:$DY361,PRODUCE!$EB$53:$IY$53)</f>
        <v>0</v>
      </c>
      <c r="PE366" s="56"/>
      <c r="PF366" s="242">
        <f t="shared" si="2620"/>
        <v>0</v>
      </c>
      <c r="PG366" s="242">
        <f t="shared" si="2621"/>
        <v>0</v>
      </c>
      <c r="PH366" s="56"/>
      <c r="PK366" s="55">
        <f t="shared" si="2622"/>
        <v>46332</v>
      </c>
      <c r="PL366" s="56"/>
      <c r="PM366" s="242">
        <f>SUMPRODUCT(PRODUCE!$B361:$DY361,PRODUCE!$EB$54:$IY$54)</f>
        <v>0</v>
      </c>
      <c r="PN366" s="56"/>
      <c r="PO366" s="242">
        <f t="shared" si="2623"/>
        <v>0</v>
      </c>
      <c r="PP366" s="242">
        <f t="shared" si="2624"/>
        <v>100</v>
      </c>
      <c r="PQ366" s="56"/>
      <c r="PT366" s="55">
        <f t="shared" si="2625"/>
        <v>46332</v>
      </c>
      <c r="PU366" s="56"/>
      <c r="PV366" s="242">
        <f>SUMPRODUCT(PRODUCE!$B361:$DY361,PRODUCE!$EB$55:$IY$55)</f>
        <v>0</v>
      </c>
      <c r="PW366" s="56"/>
      <c r="PX366" s="242">
        <f t="shared" si="2626"/>
        <v>0</v>
      </c>
      <c r="PY366" s="242">
        <f t="shared" si="2627"/>
        <v>13.960000000000036</v>
      </c>
      <c r="PZ366" s="56"/>
      <c r="QC366" s="55">
        <f t="shared" si="2628"/>
        <v>46332</v>
      </c>
      <c r="QD366" s="56"/>
      <c r="QE366" s="242">
        <f>SUMPRODUCT(PRODUCE!$B361:$DY361,PRODUCE!$EB$56:$IY$56)</f>
        <v>0</v>
      </c>
      <c r="QF366" s="56"/>
      <c r="QG366" s="242">
        <f t="shared" si="2629"/>
        <v>0</v>
      </c>
      <c r="QH366" s="242">
        <f t="shared" si="2630"/>
        <v>548</v>
      </c>
      <c r="QI366" s="56"/>
      <c r="QL366" s="55">
        <f t="shared" si="2631"/>
        <v>46332</v>
      </c>
      <c r="QM366" s="56"/>
      <c r="QN366" s="242">
        <f>SUMPRODUCT(PRODUCE!$B361:$DY361,PRODUCE!$EB$57:$IY$57)</f>
        <v>0</v>
      </c>
      <c r="QO366" s="56"/>
      <c r="QP366" s="242">
        <f t="shared" si="2632"/>
        <v>0</v>
      </c>
      <c r="QQ366" s="242">
        <f t="shared" si="2633"/>
        <v>0</v>
      </c>
      <c r="QR366" s="56"/>
      <c r="QU366" s="55">
        <f t="shared" si="2634"/>
        <v>46332</v>
      </c>
      <c r="QV366" s="56"/>
      <c r="QW366" s="242">
        <f>SUMPRODUCT(PRODUCE!$B361:$DY361,PRODUCE!$EB$57:$IY$57)</f>
        <v>0</v>
      </c>
      <c r="QX366" s="56"/>
      <c r="QY366" s="242">
        <f t="shared" si="2635"/>
        <v>0</v>
      </c>
      <c r="QZ366" s="242">
        <f t="shared" si="2636"/>
        <v>0</v>
      </c>
      <c r="RA366" s="56"/>
      <c r="RD366" s="55">
        <f t="shared" si="2637"/>
        <v>46332</v>
      </c>
      <c r="RE366" s="56"/>
      <c r="RF366" s="242">
        <f>SUMPRODUCT(PRODUCE!$B361:$DY361,PRODUCE!$EB$58:$IY$58)</f>
        <v>0</v>
      </c>
      <c r="RG366" s="56"/>
      <c r="RH366" s="242">
        <f t="shared" si="2638"/>
        <v>0</v>
      </c>
      <c r="RI366" s="242">
        <f t="shared" si="2639"/>
        <v>147.04000000000002</v>
      </c>
      <c r="RJ366" s="56"/>
      <c r="RM366" s="55">
        <f t="shared" si="2640"/>
        <v>46332</v>
      </c>
      <c r="RN366" s="56"/>
      <c r="RO366" s="242">
        <f>SUMPRODUCT(PRODUCE!$B361:$DY361,PRODUCE!$EB$57:$IY$57)</f>
        <v>0</v>
      </c>
      <c r="RP366" s="56"/>
      <c r="RQ366" s="242">
        <f t="shared" si="2641"/>
        <v>0</v>
      </c>
      <c r="RR366" s="242">
        <f t="shared" si="2642"/>
        <v>46.8</v>
      </c>
      <c r="RS366" s="56"/>
      <c r="RV366" s="55">
        <f t="shared" si="2643"/>
        <v>46332</v>
      </c>
      <c r="RW366" s="56"/>
      <c r="RX366" s="242">
        <f>SUMPRODUCT(PRODUCE!$B361:$DY361,PRODUCE!$EB$57:$IY$57)</f>
        <v>0</v>
      </c>
      <c r="RY366" s="56"/>
      <c r="RZ366" s="242">
        <f t="shared" si="2644"/>
        <v>0</v>
      </c>
      <c r="SA366" s="242">
        <f t="shared" si="2645"/>
        <v>0</v>
      </c>
      <c r="SB366" s="56"/>
      <c r="SE366" s="55">
        <f t="shared" si="2646"/>
        <v>46332</v>
      </c>
      <c r="SF366" s="56"/>
      <c r="SG366" s="242">
        <f>SUMPRODUCT(PRODUCE!$B361:$DY361,PRODUCE!$EB$61:$IY$61)</f>
        <v>0</v>
      </c>
      <c r="SH366" s="56"/>
      <c r="SI366" s="242">
        <f t="shared" si="2647"/>
        <v>0</v>
      </c>
      <c r="SJ366" s="242">
        <f t="shared" si="2648"/>
        <v>24.200000000000003</v>
      </c>
      <c r="SK366" s="56"/>
      <c r="SN366" s="55">
        <f t="shared" si="2649"/>
        <v>46332</v>
      </c>
      <c r="SO366" s="56"/>
      <c r="SP366" s="242">
        <f>SUMPRODUCT(PRODUCE!$B361:$DY361,PRODUCE!$EB$57:$IY$57)</f>
        <v>0</v>
      </c>
      <c r="SQ366" s="56"/>
      <c r="SR366" s="242">
        <f t="shared" si="2650"/>
        <v>0</v>
      </c>
      <c r="SS366" s="242">
        <f t="shared" si="2651"/>
        <v>32</v>
      </c>
      <c r="ST366" s="56"/>
      <c r="SW366" s="55">
        <f t="shared" si="2652"/>
        <v>46332</v>
      </c>
      <c r="SX366" s="56"/>
      <c r="SY366" s="242">
        <f>SUMPRODUCT(PRODUCE!$B361:$DY361,PRODUCE!$EB$57:$IY$57)</f>
        <v>0</v>
      </c>
      <c r="SZ366" s="56"/>
      <c r="TA366" s="242">
        <f t="shared" si="2653"/>
        <v>0</v>
      </c>
      <c r="TB366" s="242">
        <f t="shared" si="2654"/>
        <v>0</v>
      </c>
      <c r="TC366" s="56"/>
      <c r="TF366" s="55">
        <f t="shared" si="2655"/>
        <v>46332</v>
      </c>
      <c r="TG366" s="56"/>
      <c r="TH366" s="242">
        <f>SUMPRODUCT(PRODUCE!$B361:$DY361,PRODUCE!$EB$57:$IY$57)</f>
        <v>0</v>
      </c>
      <c r="TI366" s="56"/>
      <c r="TJ366" s="242">
        <f t="shared" si="2656"/>
        <v>0</v>
      </c>
      <c r="TK366" s="242">
        <f t="shared" si="2657"/>
        <v>0</v>
      </c>
      <c r="TL366" s="56"/>
      <c r="TO366" s="55">
        <f t="shared" si="2658"/>
        <v>46332</v>
      </c>
      <c r="TP366" s="56"/>
      <c r="TQ366" s="242">
        <f>SUMPRODUCT(PRODUCE!$B361:$DY361,PRODUCE!$EB$57:$IY$57)</f>
        <v>0</v>
      </c>
      <c r="TR366" s="56"/>
      <c r="TS366" s="242">
        <f t="shared" si="2659"/>
        <v>0</v>
      </c>
      <c r="TT366" s="242">
        <f t="shared" si="2660"/>
        <v>0</v>
      </c>
      <c r="TU366" s="56"/>
      <c r="TX366" s="55">
        <f t="shared" si="2661"/>
        <v>46332</v>
      </c>
      <c r="TY366" s="56"/>
      <c r="TZ366" s="242">
        <f>SUMPRODUCT(PRODUCE!$B361:$DY361,PRODUCE!$EB$57:$IY$57)</f>
        <v>0</v>
      </c>
      <c r="UA366" s="56"/>
      <c r="UB366" s="242">
        <f t="shared" si="2662"/>
        <v>0</v>
      </c>
      <c r="UC366" s="242">
        <f t="shared" si="2663"/>
        <v>46.799999999999983</v>
      </c>
      <c r="UD366" s="56"/>
      <c r="UG366" s="55">
        <f t="shared" si="2664"/>
        <v>46332</v>
      </c>
      <c r="UH366" s="56"/>
      <c r="UI366" s="242">
        <f>SUMPRODUCT(PRODUCE!$B361:$DY361,PRODUCE!$EB$57:$IY$57)</f>
        <v>0</v>
      </c>
      <c r="UJ366" s="56"/>
      <c r="UK366" s="242">
        <f t="shared" si="2665"/>
        <v>0</v>
      </c>
      <c r="UL366" s="242">
        <f t="shared" si="2666"/>
        <v>204</v>
      </c>
      <c r="UM366" s="56"/>
      <c r="UP366" s="55">
        <f t="shared" si="2667"/>
        <v>46332</v>
      </c>
      <c r="UQ366" s="56"/>
      <c r="UR366" s="242">
        <f>SUMPRODUCT(PRODUCE!$B361:$DY361,PRODUCE!$EB$57:$IY$57)</f>
        <v>0</v>
      </c>
      <c r="US366" s="56"/>
      <c r="UT366" s="242">
        <f t="shared" si="2668"/>
        <v>0</v>
      </c>
      <c r="UU366" s="242">
        <f t="shared" si="2669"/>
        <v>202.5</v>
      </c>
      <c r="UV366" s="56"/>
      <c r="UY366" s="55">
        <f t="shared" si="2670"/>
        <v>46332</v>
      </c>
      <c r="UZ366" s="56"/>
      <c r="VA366" s="242">
        <f>SUMPRODUCT(PRODUCE!$B361:$DY361,PRODUCE!$EB$57:$IY$57)</f>
        <v>0</v>
      </c>
      <c r="VB366" s="56"/>
      <c r="VC366" s="242">
        <f t="shared" si="2671"/>
        <v>0</v>
      </c>
      <c r="VD366" s="242">
        <f t="shared" si="2672"/>
        <v>41.600000000000023</v>
      </c>
      <c r="VE366" s="56"/>
      <c r="VH366" s="55">
        <f t="shared" si="2673"/>
        <v>46332</v>
      </c>
      <c r="VI366" s="56"/>
      <c r="VJ366" s="242">
        <f>SUMPRODUCT(PRODUCE!$B361:$DY361,PRODUCE!$EB$57:$IY$57)</f>
        <v>0</v>
      </c>
      <c r="VK366" s="56"/>
      <c r="VL366" s="242">
        <f t="shared" si="2674"/>
        <v>0</v>
      </c>
      <c r="VM366" s="242">
        <f t="shared" si="2675"/>
        <v>210</v>
      </c>
      <c r="VN366" s="56"/>
      <c r="VQ366" s="55">
        <f t="shared" si="2676"/>
        <v>46332</v>
      </c>
      <c r="VR366" s="56"/>
      <c r="VS366" s="242">
        <f>SUMPRODUCT(PRODUCE!$B361:$DY361,PRODUCE!$EB$57:$IY$57)</f>
        <v>0</v>
      </c>
      <c r="VT366" s="56"/>
      <c r="VU366" s="242">
        <f t="shared" si="2677"/>
        <v>0</v>
      </c>
      <c r="VV366" s="242">
        <f t="shared" si="2678"/>
        <v>0</v>
      </c>
      <c r="VW366" s="56"/>
      <c r="VZ366" s="55">
        <f t="shared" si="2679"/>
        <v>46332</v>
      </c>
      <c r="WA366" s="56"/>
      <c r="WB366" s="242">
        <f>SUMPRODUCT(PRODUCE!$B361:$DY361,PRODUCE!$EB$57:$IY$57)</f>
        <v>0</v>
      </c>
      <c r="WC366" s="56"/>
      <c r="WD366" s="242">
        <f t="shared" si="2680"/>
        <v>0</v>
      </c>
      <c r="WE366" s="242">
        <f t="shared" si="2681"/>
        <v>0</v>
      </c>
      <c r="WF366" s="56"/>
      <c r="WI366" s="55">
        <f t="shared" si="2682"/>
        <v>46332</v>
      </c>
      <c r="WJ366" s="56"/>
      <c r="WK366" s="242">
        <f>SUMPRODUCT(PRODUCE!$B361:$DY361,PRODUCE!$EB$57:$IY$57)</f>
        <v>0</v>
      </c>
      <c r="WL366" s="56"/>
      <c r="WM366" s="242">
        <f t="shared" si="2683"/>
        <v>0</v>
      </c>
      <c r="WN366" s="242">
        <f t="shared" si="2684"/>
        <v>1057</v>
      </c>
      <c r="WO366" s="56"/>
      <c r="WR366" s="55">
        <f t="shared" si="2685"/>
        <v>46332</v>
      </c>
      <c r="WS366" s="56"/>
      <c r="WT366" s="242">
        <f>SUMPRODUCT(PRODUCE!$B361:$DY361,PRODUCE!$EB$57:$IY$57)</f>
        <v>0</v>
      </c>
      <c r="WU366" s="56"/>
      <c r="WV366" s="242">
        <f t="shared" si="2686"/>
        <v>0</v>
      </c>
      <c r="WW366" s="242">
        <f t="shared" si="2687"/>
        <v>0</v>
      </c>
      <c r="WX366" s="56"/>
      <c r="XA366" s="55">
        <f t="shared" si="2688"/>
        <v>46332</v>
      </c>
      <c r="XB366" s="56"/>
      <c r="XC366" s="242">
        <f>SUMPRODUCT(PRODUCE!$B361:$DY361,PRODUCE!$EB$57:$IY$57)</f>
        <v>0</v>
      </c>
      <c r="XD366" s="56"/>
      <c r="XE366" s="242">
        <f t="shared" si="2689"/>
        <v>0</v>
      </c>
      <c r="XF366" s="242">
        <f t="shared" si="2690"/>
        <v>7507</v>
      </c>
      <c r="XG366" s="56"/>
      <c r="XJ366" s="55">
        <f t="shared" si="2691"/>
        <v>46332</v>
      </c>
      <c r="XK366" s="56"/>
      <c r="XL366" s="242">
        <f>SUMPRODUCT(PRODUCE!$B361:$DY361,PRODUCE!$EB$57:$IY$57)</f>
        <v>0</v>
      </c>
      <c r="XM366" s="56"/>
      <c r="XN366" s="242">
        <f t="shared" si="2692"/>
        <v>0</v>
      </c>
      <c r="XO366" s="242">
        <f t="shared" si="2693"/>
        <v>4252</v>
      </c>
      <c r="XP366" s="56"/>
      <c r="XS366" s="55">
        <f t="shared" si="2694"/>
        <v>46332</v>
      </c>
      <c r="XT366" s="56"/>
      <c r="XU366" s="242">
        <f>SUMPRODUCT(PRODUCE!$B361:$DY361,PRODUCE!$EB$57:$IY$57)</f>
        <v>0</v>
      </c>
      <c r="XV366" s="56"/>
      <c r="XW366" s="242">
        <f t="shared" si="2695"/>
        <v>0</v>
      </c>
      <c r="XX366" s="242">
        <f t="shared" si="2696"/>
        <v>2179</v>
      </c>
      <c r="XY366" s="56"/>
      <c r="YB366" s="55">
        <f t="shared" si="2697"/>
        <v>46332</v>
      </c>
      <c r="YC366" s="56"/>
      <c r="YD366" s="242">
        <f>SUMPRODUCT(PRODUCE!$B361:$DY361,PRODUCE!$EB$57:$IY$57)</f>
        <v>0</v>
      </c>
      <c r="YE366" s="56"/>
      <c r="YF366" s="242">
        <f t="shared" si="2698"/>
        <v>0</v>
      </c>
      <c r="YG366" s="242">
        <f t="shared" si="2699"/>
        <v>4019</v>
      </c>
      <c r="YH366" s="56"/>
      <c r="YK366" s="55">
        <f t="shared" si="2700"/>
        <v>46332</v>
      </c>
      <c r="YL366" s="56"/>
      <c r="YM366" s="242">
        <f>SUMPRODUCT(PRODUCE!$B361:$DY361,PRODUCE!$EB$57:$IY$57)</f>
        <v>0</v>
      </c>
      <c r="YN366" s="56"/>
      <c r="YO366" s="242">
        <f t="shared" si="2701"/>
        <v>0</v>
      </c>
      <c r="YP366" s="242">
        <f t="shared" si="2702"/>
        <v>-218</v>
      </c>
      <c r="YQ366" s="56"/>
      <c r="YT366" s="55">
        <f t="shared" si="2703"/>
        <v>46332</v>
      </c>
      <c r="YU366" s="56"/>
      <c r="YV366" s="242">
        <f>SUMPRODUCT(PRODUCE!$B361:$DY361,PRODUCE!$EB$57:$IY$57)</f>
        <v>0</v>
      </c>
      <c r="YW366" s="56"/>
      <c r="YX366" s="242">
        <f t="shared" si="2704"/>
        <v>0</v>
      </c>
      <c r="YY366" s="242">
        <f t="shared" si="2705"/>
        <v>0</v>
      </c>
      <c r="YZ366" s="56"/>
      <c r="ZC366" s="55">
        <f t="shared" si="2706"/>
        <v>46332</v>
      </c>
      <c r="ZD366" s="56"/>
      <c r="ZE366" s="242">
        <f>SUMPRODUCT(PRODUCE!$B361:$DY361,PRODUCE!$EB$57:$IY$57)</f>
        <v>0</v>
      </c>
      <c r="ZF366" s="56"/>
      <c r="ZG366" s="242">
        <f t="shared" si="2707"/>
        <v>0</v>
      </c>
      <c r="ZH366" s="242">
        <f t="shared" si="2708"/>
        <v>0</v>
      </c>
      <c r="ZI366" s="56"/>
      <c r="ZL366" s="55">
        <f t="shared" si="2709"/>
        <v>46332</v>
      </c>
      <c r="ZM366" s="56"/>
      <c r="ZN366" s="242">
        <f>SUMPRODUCT(PRODUCE!$B361:$DY361,PRODUCE!$EB$57:$IY$57)</f>
        <v>0</v>
      </c>
      <c r="ZO366" s="56"/>
      <c r="ZP366" s="242">
        <f t="shared" si="2710"/>
        <v>0</v>
      </c>
      <c r="ZQ366" s="242">
        <f t="shared" si="2711"/>
        <v>0</v>
      </c>
      <c r="ZR366" s="56"/>
      <c r="ZU366" s="55">
        <f t="shared" si="2712"/>
        <v>46332</v>
      </c>
      <c r="ZV366" s="56"/>
      <c r="ZW366" s="242">
        <f>SUMPRODUCT(PRODUCE!$B361:$DY361,PRODUCE!$EB$57:$IY$57)</f>
        <v>0</v>
      </c>
      <c r="ZX366" s="56"/>
      <c r="ZY366" s="242">
        <f t="shared" si="2713"/>
        <v>0</v>
      </c>
      <c r="ZZ366" s="242">
        <f t="shared" si="2714"/>
        <v>0</v>
      </c>
      <c r="AAA366" s="56"/>
      <c r="AAD366" s="55">
        <f t="shared" si="2715"/>
        <v>46332</v>
      </c>
      <c r="AAE366" s="56"/>
      <c r="AAF366" s="242">
        <f>SUMPRODUCT(PRODUCE!$B361:$DY361,PRODUCE!$EB$57:$IY$57)</f>
        <v>0</v>
      </c>
      <c r="AAG366" s="56"/>
      <c r="AAH366" s="242">
        <f t="shared" si="2716"/>
        <v>0</v>
      </c>
      <c r="AAI366" s="242">
        <f t="shared" si="2717"/>
        <v>0</v>
      </c>
      <c r="AAJ366" s="56"/>
      <c r="AAM366" s="55">
        <f t="shared" si="2718"/>
        <v>46332</v>
      </c>
      <c r="AAN366" s="56"/>
      <c r="AAO366" s="242">
        <f>SUMPRODUCT(PRODUCE!$B361:$DY361,PRODUCE!$EB$57:$IY$57)</f>
        <v>0</v>
      </c>
      <c r="AAP366" s="56"/>
      <c r="AAQ366" s="242">
        <f t="shared" si="2719"/>
        <v>0</v>
      </c>
      <c r="AAR366" s="242">
        <f t="shared" si="2720"/>
        <v>0</v>
      </c>
      <c r="AAS366" s="56"/>
      <c r="AAV366" s="55">
        <f t="shared" si="2721"/>
        <v>46332</v>
      </c>
      <c r="AAW366" s="56"/>
      <c r="AAX366" s="242">
        <f>SUMPRODUCT(PRODUCE!$B361:$DY361,PRODUCE!$EB$57:$IY$57)</f>
        <v>0</v>
      </c>
      <c r="AAY366" s="56"/>
      <c r="AAZ366" s="242">
        <f t="shared" si="2722"/>
        <v>0</v>
      </c>
      <c r="ABA366" s="242">
        <f t="shared" si="2723"/>
        <v>0</v>
      </c>
      <c r="ABB366" s="56"/>
      <c r="ABE366" s="55">
        <f t="shared" si="2724"/>
        <v>46332</v>
      </c>
      <c r="ABF366" s="56"/>
      <c r="ABG366" s="242">
        <f>SUMPRODUCT(PRODUCE!$B361:$DY361,PRODUCE!$EB$57:$IY$57)</f>
        <v>0</v>
      </c>
      <c r="ABH366" s="56"/>
      <c r="ABI366" s="242">
        <f t="shared" si="2725"/>
        <v>0</v>
      </c>
      <c r="ABJ366" s="242">
        <f t="shared" si="2726"/>
        <v>0</v>
      </c>
      <c r="ABK366" s="56"/>
    </row>
    <row r="367" spans="1:739" s="54" customFormat="1" ht="15" customHeight="1" outlineLevel="1">
      <c r="B367" s="478"/>
      <c r="C367" s="55">
        <v>46333</v>
      </c>
      <c r="D367" s="56"/>
      <c r="E367" s="57">
        <f>SUMPRODUCT(PRODUCE!$B362:$DY362,PRODUCE!$EB$7:$IY$7)</f>
        <v>0</v>
      </c>
      <c r="F367" s="56"/>
      <c r="G367" s="57">
        <f t="shared" si="2482"/>
        <v>0</v>
      </c>
      <c r="H367" s="57">
        <f t="shared" si="2483"/>
        <v>236936.6</v>
      </c>
      <c r="I367" s="289"/>
      <c r="L367" s="55">
        <f t="shared" si="2484"/>
        <v>46333</v>
      </c>
      <c r="M367" s="56"/>
      <c r="N367" s="59">
        <f>SUMPRODUCT(PRODUCE!$B362:$DY362,PRODUCE!$EB$8:$IY$8)</f>
        <v>0</v>
      </c>
      <c r="O367" s="56"/>
      <c r="P367" s="59">
        <f t="shared" si="2485"/>
        <v>0</v>
      </c>
      <c r="Q367" s="59">
        <f t="shared" si="2486"/>
        <v>53017.600000000071</v>
      </c>
      <c r="R367" s="56"/>
      <c r="U367" s="55">
        <f t="shared" si="2487"/>
        <v>46333</v>
      </c>
      <c r="V367" s="56"/>
      <c r="W367" s="60">
        <f>SUMPRODUCT(PRODUCE!$B362:$DY362,PRODUCE!$EB$9:$IY$9)</f>
        <v>0</v>
      </c>
      <c r="X367" s="56"/>
      <c r="Y367" s="60">
        <f t="shared" si="2488"/>
        <v>0</v>
      </c>
      <c r="Z367" s="60">
        <f t="shared" si="2489"/>
        <v>42674.199999999968</v>
      </c>
      <c r="AA367" s="56"/>
      <c r="AD367" s="55">
        <f t="shared" si="2490"/>
        <v>46333</v>
      </c>
      <c r="AE367" s="56"/>
      <c r="AF367" s="61">
        <f>SUMPRODUCT(PRODUCE!$B362:$DY362,PRODUCE!$EB$10:$IY$10)</f>
        <v>0</v>
      </c>
      <c r="AG367" s="56"/>
      <c r="AH367" s="61">
        <f t="shared" si="2491"/>
        <v>0</v>
      </c>
      <c r="AI367" s="61">
        <f t="shared" si="2492"/>
        <v>4522.2000000000189</v>
      </c>
      <c r="AJ367" s="56"/>
      <c r="AM367" s="55">
        <f t="shared" si="2493"/>
        <v>46333</v>
      </c>
      <c r="AN367" s="422"/>
      <c r="AO367" s="444">
        <f>SUMPRODUCT(PRODUCE!$B362:$DY362,PRODUCE!$EB$11:$IY$11)</f>
        <v>0</v>
      </c>
      <c r="AP367" s="422"/>
      <c r="AQ367" s="444">
        <f t="shared" si="2494"/>
        <v>0</v>
      </c>
      <c r="AR367" s="444">
        <f t="shared" si="2495"/>
        <v>0</v>
      </c>
      <c r="AS367" s="56"/>
      <c r="AV367" s="55">
        <f t="shared" si="2496"/>
        <v>46333</v>
      </c>
      <c r="AW367" s="56"/>
      <c r="AX367" s="62">
        <f>SUMPRODUCT(PRODUCE!$B362:$DY362,PRODUCE!$EB$12:$IY$12)</f>
        <v>0</v>
      </c>
      <c r="AY367" s="56"/>
      <c r="AZ367" s="62">
        <f t="shared" si="2497"/>
        <v>0</v>
      </c>
      <c r="BA367" s="62">
        <f t="shared" si="2498"/>
        <v>124.99999999999523</v>
      </c>
      <c r="BB367" s="56"/>
      <c r="BE367" s="55">
        <f t="shared" si="2499"/>
        <v>46333</v>
      </c>
      <c r="BF367" s="56"/>
      <c r="BG367" s="63">
        <f>SUMPRODUCT(PRODUCE!$B362:$DY362,PRODUCE!$EB$13:$IY$13)</f>
        <v>0</v>
      </c>
      <c r="BH367" s="56"/>
      <c r="BI367" s="63">
        <f t="shared" si="2500"/>
        <v>0</v>
      </c>
      <c r="BJ367" s="63">
        <f t="shared" si="2501"/>
        <v>26151.899999999998</v>
      </c>
      <c r="BK367" s="56"/>
      <c r="BN367" s="55">
        <f t="shared" si="2502"/>
        <v>46333</v>
      </c>
      <c r="BO367" s="56"/>
      <c r="BP367" s="64">
        <f>SUMPRODUCT(PRODUCE!$B362:$DY362,PRODUCE!$EB$14:$IY$14)</f>
        <v>0</v>
      </c>
      <c r="BQ367" s="56"/>
      <c r="BR367" s="64">
        <f t="shared" si="2503"/>
        <v>0</v>
      </c>
      <c r="BS367" s="64">
        <f t="shared" si="2504"/>
        <v>0</v>
      </c>
      <c r="BT367" s="56"/>
      <c r="BW367" s="55">
        <f t="shared" si="2505"/>
        <v>46333</v>
      </c>
      <c r="BX367" s="56"/>
      <c r="BY367" s="65">
        <f>SUMPRODUCT(PRODUCE!$B362:$DY362,PRODUCE!$EB$15:$IY$15)</f>
        <v>0</v>
      </c>
      <c r="BZ367" s="56"/>
      <c r="CA367" s="65">
        <f t="shared" si="2506"/>
        <v>0</v>
      </c>
      <c r="CB367" s="65">
        <f t="shared" si="2507"/>
        <v>2097.3399999999992</v>
      </c>
      <c r="CC367" s="56"/>
      <c r="CF367" s="55">
        <f t="shared" si="2508"/>
        <v>46333</v>
      </c>
      <c r="CG367" s="56"/>
      <c r="CH367" s="66">
        <f>SUMPRODUCT(PRODUCE!$B362:$DY362,PRODUCE!$EB$16:$IY$16)</f>
        <v>0</v>
      </c>
      <c r="CI367" s="56"/>
      <c r="CJ367" s="66">
        <f t="shared" si="2509"/>
        <v>0</v>
      </c>
      <c r="CK367" s="66">
        <f t="shared" si="2510"/>
        <v>-10277.079999999998</v>
      </c>
      <c r="CL367" s="56"/>
      <c r="CO367" s="55">
        <f t="shared" si="2511"/>
        <v>46333</v>
      </c>
      <c r="CP367" s="422"/>
      <c r="CQ367" s="470">
        <f>SUMPRODUCT(PRODUCE!$B362:$DY362,PRODUCE!$EB$17:$IY$17)</f>
        <v>0</v>
      </c>
      <c r="CR367" s="422"/>
      <c r="CS367" s="470">
        <f t="shared" si="2512"/>
        <v>0</v>
      </c>
      <c r="CT367" s="470">
        <f t="shared" si="2513"/>
        <v>0</v>
      </c>
      <c r="CU367" s="56"/>
      <c r="CX367" s="55">
        <f t="shared" si="2514"/>
        <v>46333</v>
      </c>
      <c r="CY367" s="56"/>
      <c r="CZ367" s="133">
        <f>SUMPRODUCT(PRODUCE!$B362:$DY362,PRODUCE!$EB$18:$IY$18)</f>
        <v>0</v>
      </c>
      <c r="DA367" s="56"/>
      <c r="DB367" s="133">
        <f t="shared" si="2515"/>
        <v>0</v>
      </c>
      <c r="DC367" s="133">
        <f t="shared" si="2516"/>
        <v>27438.200000000012</v>
      </c>
      <c r="DD367" s="56"/>
      <c r="DG367" s="55">
        <f t="shared" si="2517"/>
        <v>46333</v>
      </c>
      <c r="DH367" s="56"/>
      <c r="DI367" s="147">
        <f>SUMPRODUCT(PRODUCE!$B362:$DY362,PRODUCE!$EB$19:$IY$19)</f>
        <v>0</v>
      </c>
      <c r="DJ367" s="56"/>
      <c r="DK367" s="147">
        <f t="shared" si="2518"/>
        <v>0</v>
      </c>
      <c r="DL367" s="147">
        <f>DL366+DH367-DJ367</f>
        <v>18782.299999999981</v>
      </c>
      <c r="DM367" s="56"/>
      <c r="DP367" s="55">
        <f t="shared" si="2520"/>
        <v>46333</v>
      </c>
      <c r="DQ367" s="56"/>
      <c r="DR367" s="57">
        <f>SUMPRODUCT(PRODUCE!$B362:$DY362,PRODUCE!$EB$20:$IY$20)</f>
        <v>0</v>
      </c>
      <c r="DS367" s="56"/>
      <c r="DT367" s="57">
        <f t="shared" si="2521"/>
        <v>0</v>
      </c>
      <c r="DU367" s="57">
        <f t="shared" si="2522"/>
        <v>5800</v>
      </c>
      <c r="DV367" s="56"/>
      <c r="DY367" s="55">
        <f t="shared" si="2523"/>
        <v>46333</v>
      </c>
      <c r="DZ367" s="56"/>
      <c r="EA367" s="157">
        <f>SUMPRODUCT(PRODUCE!$B362:$DY362,PRODUCE!$EB$21:$IY$21)</f>
        <v>0</v>
      </c>
      <c r="EB367" s="56"/>
      <c r="EC367" s="157">
        <f t="shared" si="2524"/>
        <v>0</v>
      </c>
      <c r="ED367" s="157">
        <f t="shared" si="2525"/>
        <v>0</v>
      </c>
      <c r="EE367" s="56"/>
      <c r="EH367" s="55">
        <f t="shared" si="2526"/>
        <v>46333</v>
      </c>
      <c r="EI367" s="56"/>
      <c r="EJ367" s="162">
        <f>SUMPRODUCT(PRODUCE!$B362:$DY362,PRODUCE!$EB$22:$IY$22)</f>
        <v>0</v>
      </c>
      <c r="EK367" s="56"/>
      <c r="EL367" s="162">
        <f t="shared" si="2527"/>
        <v>0</v>
      </c>
      <c r="EM367" s="162">
        <f t="shared" si="2528"/>
        <v>0</v>
      </c>
      <c r="EN367" s="56"/>
      <c r="EQ367" s="55">
        <f t="shared" si="2529"/>
        <v>46333</v>
      </c>
      <c r="ER367" s="56"/>
      <c r="ES367" s="135">
        <f>SUMPRODUCT(PRODUCE!$B362:$DY362,PRODUCE!$EB$23:$IY$23)</f>
        <v>0</v>
      </c>
      <c r="ET367" s="56"/>
      <c r="EU367" s="135">
        <f t="shared" si="2530"/>
        <v>0</v>
      </c>
      <c r="EV367" s="135">
        <f t="shared" si="2531"/>
        <v>0</v>
      </c>
      <c r="EW367" s="56"/>
      <c r="EZ367" s="55">
        <f t="shared" si="2532"/>
        <v>46333</v>
      </c>
      <c r="FA367" s="56"/>
      <c r="FB367" s="175">
        <f>SUMPRODUCT(PRODUCE!$B362:$DY362,PRODUCE!$EB$24:$IY$24)</f>
        <v>0</v>
      </c>
      <c r="FC367" s="56"/>
      <c r="FD367" s="175">
        <f t="shared" si="2533"/>
        <v>0</v>
      </c>
      <c r="FE367" s="175">
        <f t="shared" si="2534"/>
        <v>0</v>
      </c>
      <c r="FF367" s="56"/>
      <c r="FI367" s="55">
        <f t="shared" si="2535"/>
        <v>46333</v>
      </c>
      <c r="FJ367" s="56"/>
      <c r="FK367" s="183">
        <f>SUMPRODUCT(PRODUCE!$B362:$DY362,PRODUCE!$EB$25:$IY$25)</f>
        <v>0</v>
      </c>
      <c r="FL367" s="56"/>
      <c r="FM367" s="183">
        <f t="shared" si="2536"/>
        <v>0</v>
      </c>
      <c r="FN367" s="183">
        <f t="shared" si="2537"/>
        <v>0</v>
      </c>
      <c r="FO367" s="56"/>
      <c r="FR367" s="55">
        <f t="shared" si="2538"/>
        <v>46333</v>
      </c>
      <c r="FS367" s="56"/>
      <c r="FT367" s="186">
        <f>SUMPRODUCT(PRODUCE!$B362:$DY362,PRODUCE!$EB$26:$IY$26)</f>
        <v>0</v>
      </c>
      <c r="FU367" s="56"/>
      <c r="FV367" s="186">
        <f t="shared" si="2539"/>
        <v>0</v>
      </c>
      <c r="FW367" s="186">
        <f t="shared" si="2540"/>
        <v>2020</v>
      </c>
      <c r="FX367" s="56"/>
      <c r="GA367" s="55">
        <f t="shared" si="2541"/>
        <v>46333</v>
      </c>
      <c r="GB367" s="56"/>
      <c r="GC367" s="137">
        <f>SUMPRODUCT(PRODUCE!$B362:$DY362,PRODUCE!$EB$27:$IY$27)</f>
        <v>0</v>
      </c>
      <c r="GD367" s="56"/>
      <c r="GE367" s="137">
        <f t="shared" si="2542"/>
        <v>0</v>
      </c>
      <c r="GF367" s="137">
        <f t="shared" si="2543"/>
        <v>960</v>
      </c>
      <c r="GG367" s="56"/>
      <c r="GI367" s="23"/>
      <c r="GJ367" s="55">
        <f t="shared" si="2544"/>
        <v>46333</v>
      </c>
      <c r="GK367" s="56"/>
      <c r="GL367" s="199">
        <f>SUMPRODUCT(PRODUCE!$B362:$DY362,PRODUCE!$EB$28:$IY$28)</f>
        <v>0</v>
      </c>
      <c r="GM367" s="56"/>
      <c r="GN367" s="199">
        <f t="shared" si="2545"/>
        <v>0</v>
      </c>
      <c r="GO367" s="199">
        <f t="shared" si="2546"/>
        <v>1760</v>
      </c>
      <c r="GP367" s="56"/>
      <c r="GS367" s="55">
        <f t="shared" si="2547"/>
        <v>46333</v>
      </c>
      <c r="GT367" s="56"/>
      <c r="GU367" s="195">
        <f>SUMPRODUCT(PRODUCE!$B362:$DY362,PRODUCE!$EB$29:$IY$29)</f>
        <v>0</v>
      </c>
      <c r="GV367" s="56"/>
      <c r="GW367" s="195">
        <f t="shared" si="2548"/>
        <v>0</v>
      </c>
      <c r="GX367" s="195">
        <f t="shared" si="2549"/>
        <v>400</v>
      </c>
      <c r="GY367" s="56"/>
      <c r="HB367" s="55">
        <f t="shared" si="2550"/>
        <v>46333</v>
      </c>
      <c r="HC367" s="56"/>
      <c r="HD367" s="191">
        <f>SUMPRODUCT(PRODUCE!$B362:$DY362,PRODUCE!$EB$30:$IY$30)</f>
        <v>0</v>
      </c>
      <c r="HE367" s="56"/>
      <c r="HF367" s="191">
        <f t="shared" si="2551"/>
        <v>0</v>
      </c>
      <c r="HG367" s="191">
        <f t="shared" si="2552"/>
        <v>3600</v>
      </c>
      <c r="HH367" s="56"/>
      <c r="HK367" s="55">
        <f t="shared" si="2553"/>
        <v>46333</v>
      </c>
      <c r="HL367" s="56"/>
      <c r="HM367" s="63">
        <f>SUMPRODUCT(PRODUCE!$B362:$DY362,PRODUCE!$EB$31:$IY$31)</f>
        <v>0</v>
      </c>
      <c r="HN367" s="56"/>
      <c r="HO367" s="63">
        <f t="shared" si="2554"/>
        <v>0</v>
      </c>
      <c r="HP367" s="63">
        <f t="shared" si="2555"/>
        <v>0</v>
      </c>
      <c r="HQ367" s="56"/>
      <c r="HU367" s="55">
        <f t="shared" si="2556"/>
        <v>46333</v>
      </c>
      <c r="HV367" s="56"/>
      <c r="HW367" s="242">
        <f>SUMPRODUCT(PRODUCE!$B362:$DY362,PRODUCE!$EB$32:$IY$32)</f>
        <v>0</v>
      </c>
      <c r="HX367" s="56"/>
      <c r="HY367" s="242">
        <f t="shared" si="2557"/>
        <v>0</v>
      </c>
      <c r="HZ367" s="242">
        <f t="shared" si="2558"/>
        <v>6120</v>
      </c>
      <c r="IA367" s="56"/>
      <c r="ID367" s="55">
        <f t="shared" si="2559"/>
        <v>46333</v>
      </c>
      <c r="IE367" s="56"/>
      <c r="IF367" s="242">
        <f>SUMPRODUCT(PRODUCE!$B362:$DY362,PRODUCE!$EB$33:$IY$33)</f>
        <v>0</v>
      </c>
      <c r="IG367" s="56"/>
      <c r="IH367" s="242">
        <f t="shared" si="2560"/>
        <v>0</v>
      </c>
      <c r="II367" s="242">
        <f t="shared" si="2561"/>
        <v>0</v>
      </c>
      <c r="IJ367" s="56"/>
      <c r="IM367" s="55">
        <f t="shared" si="2562"/>
        <v>46333</v>
      </c>
      <c r="IN367" s="56"/>
      <c r="IO367" s="242">
        <f>SUMPRODUCT(PRODUCE!$B362:$DY362,PRODUCE!$EB$34:$IY$34)</f>
        <v>0</v>
      </c>
      <c r="IP367" s="56"/>
      <c r="IQ367" s="242">
        <f t="shared" si="2563"/>
        <v>0</v>
      </c>
      <c r="IR367" s="242">
        <f t="shared" si="2564"/>
        <v>0</v>
      </c>
      <c r="IS367" s="56"/>
      <c r="IV367" s="55">
        <f t="shared" si="2565"/>
        <v>46333</v>
      </c>
      <c r="IW367" s="56"/>
      <c r="IX367" s="242">
        <f>SUMPRODUCT(PRODUCE!$B362:$DY362,PRODUCE!$EB$35:$IY$35)</f>
        <v>0</v>
      </c>
      <c r="IY367" s="56"/>
      <c r="IZ367" s="242">
        <f t="shared" si="2566"/>
        <v>0</v>
      </c>
      <c r="JA367" s="242">
        <f t="shared" si="2567"/>
        <v>2820</v>
      </c>
      <c r="JB367" s="56"/>
      <c r="JE367" s="55">
        <f t="shared" si="2568"/>
        <v>46333</v>
      </c>
      <c r="JF367" s="56"/>
      <c r="JG367" s="242">
        <f>SUMPRODUCT(PRODUCE!$B362:$DY362,PRODUCE!$EB$36:$IY$36)</f>
        <v>0</v>
      </c>
      <c r="JH367" s="56"/>
      <c r="JI367" s="242">
        <f t="shared" si="2569"/>
        <v>0</v>
      </c>
      <c r="JJ367" s="242">
        <f t="shared" si="2570"/>
        <v>0</v>
      </c>
      <c r="JK367" s="56"/>
      <c r="JN367" s="55">
        <f t="shared" si="2571"/>
        <v>46333</v>
      </c>
      <c r="JO367" s="56"/>
      <c r="JP367" s="242">
        <f>SUMPRODUCT(PRODUCE!$B362:$DY362,PRODUCE!$EB$37:$IY$37)</f>
        <v>0</v>
      </c>
      <c r="JQ367" s="56"/>
      <c r="JR367" s="242">
        <f t="shared" si="2572"/>
        <v>0</v>
      </c>
      <c r="JS367" s="242">
        <f t="shared" si="2573"/>
        <v>0</v>
      </c>
      <c r="JT367" s="56"/>
      <c r="JW367" s="55">
        <f t="shared" si="2574"/>
        <v>46333</v>
      </c>
      <c r="JX367" s="56"/>
      <c r="JY367" s="242">
        <f>SUMPRODUCT(PRODUCE!$B362:$DY362,PRODUCE!$EB$38:$IY$38)</f>
        <v>0</v>
      </c>
      <c r="JZ367" s="56"/>
      <c r="KA367" s="242">
        <f t="shared" si="2575"/>
        <v>0</v>
      </c>
      <c r="KB367" s="242">
        <f t="shared" si="2576"/>
        <v>2540</v>
      </c>
      <c r="KC367" s="56"/>
      <c r="KF367" s="55">
        <f t="shared" si="2577"/>
        <v>46333</v>
      </c>
      <c r="KG367" s="56"/>
      <c r="KH367" s="242">
        <f>SUMPRODUCT(PRODUCE!$B362:$DY362,PRODUCE!$EB$39:$IY$39)</f>
        <v>0</v>
      </c>
      <c r="KI367" s="56"/>
      <c r="KJ367" s="242">
        <f t="shared" si="2578"/>
        <v>0</v>
      </c>
      <c r="KK367" s="242">
        <f t="shared" si="2579"/>
        <v>2359.5</v>
      </c>
      <c r="KL367" s="56"/>
      <c r="KO367" s="55">
        <f t="shared" si="2580"/>
        <v>46333</v>
      </c>
      <c r="KP367" s="56"/>
      <c r="KQ367" s="242">
        <f>SUMPRODUCT(PRODUCE!$B362:$DY362,PRODUCE!$EB$40:$IY$40)</f>
        <v>0</v>
      </c>
      <c r="KR367" s="56"/>
      <c r="KS367" s="242">
        <f t="shared" si="2581"/>
        <v>0</v>
      </c>
      <c r="KT367" s="242">
        <f t="shared" si="2582"/>
        <v>1890</v>
      </c>
      <c r="KU367" s="56"/>
      <c r="KW367" s="23"/>
      <c r="KX367" s="55">
        <f t="shared" si="2583"/>
        <v>46333</v>
      </c>
      <c r="KY367" s="56"/>
      <c r="KZ367" s="242">
        <f>SUMPRODUCT(PRODUCE!$B362:$DY362,PRODUCE!$EB$41:$IY$41)</f>
        <v>0</v>
      </c>
      <c r="LA367" s="56"/>
      <c r="LB367" s="242">
        <f t="shared" si="2584"/>
        <v>0</v>
      </c>
      <c r="LC367" s="242">
        <f t="shared" si="2585"/>
        <v>3690</v>
      </c>
      <c r="LD367" s="56"/>
      <c r="LG367" s="55">
        <f t="shared" si="2586"/>
        <v>46333</v>
      </c>
      <c r="LH367" s="56"/>
      <c r="LI367" s="242">
        <f>SUMPRODUCT(PRODUCE!$B362:$DY362,PRODUCE!$EB$42:$IY$42)</f>
        <v>0</v>
      </c>
      <c r="LJ367" s="56"/>
      <c r="LK367" s="242">
        <f t="shared" si="2587"/>
        <v>0</v>
      </c>
      <c r="LL367" s="242">
        <f t="shared" si="2588"/>
        <v>4000</v>
      </c>
      <c r="LM367" s="56"/>
      <c r="LP367" s="55">
        <f t="shared" si="2589"/>
        <v>46333</v>
      </c>
      <c r="LQ367" s="56"/>
      <c r="LR367" s="242">
        <f>SUMPRODUCT(PRODUCE!$B382:$DY382,PRODUCE!$EB$43:$IY$43)</f>
        <v>0</v>
      </c>
      <c r="LS367" s="56"/>
      <c r="LT367" s="242">
        <f t="shared" si="2590"/>
        <v>0</v>
      </c>
      <c r="LU367" s="242">
        <f t="shared" si="2591"/>
        <v>0</v>
      </c>
      <c r="LV367" s="56"/>
      <c r="LY367" s="55">
        <f t="shared" si="2592"/>
        <v>46333</v>
      </c>
      <c r="LZ367" s="56"/>
      <c r="MA367" s="242">
        <f>SUMPRODUCT(PRODUCE!$B362:$DY362,PRODUCE!$EB$44:$IY$44)</f>
        <v>0</v>
      </c>
      <c r="MB367" s="56"/>
      <c r="MC367" s="242">
        <f t="shared" si="2593"/>
        <v>0</v>
      </c>
      <c r="MD367" s="242">
        <f t="shared" si="2594"/>
        <v>0</v>
      </c>
      <c r="ME367" s="56"/>
      <c r="MH367" s="55">
        <f t="shared" si="2595"/>
        <v>46333</v>
      </c>
      <c r="MI367" s="56"/>
      <c r="MJ367" s="242">
        <f>SUMPRODUCT(PRODUCE!$B362:$DY362,PRODUCE!$EB$45:$IY$45)</f>
        <v>0</v>
      </c>
      <c r="MK367" s="56"/>
      <c r="ML367" s="242">
        <f t="shared" si="2596"/>
        <v>0</v>
      </c>
      <c r="MM367" s="242">
        <f t="shared" si="2597"/>
        <v>0</v>
      </c>
      <c r="MN367" s="56"/>
      <c r="MQ367" s="55">
        <f t="shared" si="2598"/>
        <v>46333</v>
      </c>
      <c r="MR367" s="56"/>
      <c r="MS367" s="242">
        <f>SUMPRODUCT(PRODUCE!$B362:$DY362,PRODUCE!$EB$46:$IY$46)</f>
        <v>0</v>
      </c>
      <c r="MT367" s="56"/>
      <c r="MU367" s="242">
        <f t="shared" si="2599"/>
        <v>0</v>
      </c>
      <c r="MV367" s="242">
        <f t="shared" si="2600"/>
        <v>1625</v>
      </c>
      <c r="MW367" s="56"/>
      <c r="MZ367" s="55">
        <f t="shared" si="2601"/>
        <v>46333</v>
      </c>
      <c r="NA367" s="56"/>
      <c r="NB367" s="242">
        <f>SUMPRODUCT(PRODUCE!$B362:$DY362,PRODUCE!$EB$47:$IY$47)</f>
        <v>0</v>
      </c>
      <c r="NC367" s="56"/>
      <c r="ND367" s="242">
        <f t="shared" si="2602"/>
        <v>0</v>
      </c>
      <c r="NE367" s="242">
        <f t="shared" si="2603"/>
        <v>0</v>
      </c>
      <c r="NF367" s="56"/>
      <c r="NI367" s="55">
        <f t="shared" si="2604"/>
        <v>46333</v>
      </c>
      <c r="NJ367" s="56"/>
      <c r="NK367" s="242">
        <f>SUMPRODUCT(PRODUCE!$B362:$DY362,PRODUCE!$EB$48:$IY$48)</f>
        <v>0</v>
      </c>
      <c r="NL367" s="56"/>
      <c r="NM367" s="242">
        <f t="shared" si="2605"/>
        <v>0</v>
      </c>
      <c r="NN367" s="242">
        <f t="shared" si="2606"/>
        <v>1127</v>
      </c>
      <c r="NO367" s="56"/>
      <c r="NR367" s="55">
        <f t="shared" si="2607"/>
        <v>46333</v>
      </c>
      <c r="NS367" s="56"/>
      <c r="NT367" s="242">
        <f>SUMPRODUCT(PRODUCE!$B362:$DY362,PRODUCE!$EB$49:$IY$49)</f>
        <v>0</v>
      </c>
      <c r="NU367" s="56"/>
      <c r="NV367" s="242">
        <f t="shared" si="2608"/>
        <v>0</v>
      </c>
      <c r="NW367" s="242">
        <f t="shared" si="2609"/>
        <v>3111.9999999999995</v>
      </c>
      <c r="NX367" s="56"/>
      <c r="OA367" s="55">
        <f t="shared" si="2610"/>
        <v>46333</v>
      </c>
      <c r="OB367" s="56"/>
      <c r="OC367" s="242">
        <f>SUMPRODUCT(PRODUCE!$B362:$DY362,PRODUCE!$EB$50:$IY$50)</f>
        <v>0</v>
      </c>
      <c r="OD367" s="56"/>
      <c r="OE367" s="242">
        <f t="shared" si="2611"/>
        <v>0</v>
      </c>
      <c r="OF367" s="242">
        <f t="shared" si="2612"/>
        <v>1680.5</v>
      </c>
      <c r="OG367" s="56"/>
      <c r="OJ367" s="55">
        <f t="shared" si="2613"/>
        <v>46333</v>
      </c>
      <c r="OK367" s="56"/>
      <c r="OL367" s="242">
        <f>SUMPRODUCT(PRODUCE!$B362:$DY362,PRODUCE!$EB$51:$IY$51)</f>
        <v>0</v>
      </c>
      <c r="OM367" s="56"/>
      <c r="ON367" s="242">
        <f t="shared" si="2614"/>
        <v>0</v>
      </c>
      <c r="OO367" s="242">
        <f t="shared" si="2615"/>
        <v>0</v>
      </c>
      <c r="OP367" s="56"/>
      <c r="OS367" s="55">
        <f t="shared" si="2616"/>
        <v>46333</v>
      </c>
      <c r="OT367" s="56"/>
      <c r="OU367" s="242">
        <f>SUMPRODUCT(PRODUCE!$B362:$DY362,PRODUCE!$EB$52:$IY$52)</f>
        <v>0</v>
      </c>
      <c r="OV367" s="56"/>
      <c r="OW367" s="242">
        <f t="shared" si="2617"/>
        <v>0</v>
      </c>
      <c r="OX367" s="242">
        <f t="shared" si="2618"/>
        <v>1482</v>
      </c>
      <c r="OY367" s="56"/>
      <c r="PB367" s="55">
        <f t="shared" si="2619"/>
        <v>46333</v>
      </c>
      <c r="PC367" s="56"/>
      <c r="PD367" s="242">
        <f>SUMPRODUCT(PRODUCE!$B362:$DY362,PRODUCE!$EB$53:$IY$53)</f>
        <v>0</v>
      </c>
      <c r="PE367" s="56"/>
      <c r="PF367" s="242">
        <f t="shared" si="2620"/>
        <v>0</v>
      </c>
      <c r="PG367" s="242">
        <f t="shared" si="2621"/>
        <v>0</v>
      </c>
      <c r="PH367" s="56"/>
      <c r="PK367" s="55">
        <f t="shared" si="2622"/>
        <v>46333</v>
      </c>
      <c r="PL367" s="56"/>
      <c r="PM367" s="242">
        <f>SUMPRODUCT(PRODUCE!$B362:$DY362,PRODUCE!$EB$54:$IY$54)</f>
        <v>0</v>
      </c>
      <c r="PN367" s="56"/>
      <c r="PO367" s="242">
        <f t="shared" si="2623"/>
        <v>0</v>
      </c>
      <c r="PP367" s="242">
        <f t="shared" si="2624"/>
        <v>100</v>
      </c>
      <c r="PQ367" s="56"/>
      <c r="PT367" s="55">
        <f t="shared" si="2625"/>
        <v>46333</v>
      </c>
      <c r="PU367" s="56"/>
      <c r="PV367" s="242">
        <f>SUMPRODUCT(PRODUCE!$B362:$DY362,PRODUCE!$EB$55:$IY$55)</f>
        <v>0</v>
      </c>
      <c r="PW367" s="56"/>
      <c r="PX367" s="242">
        <f t="shared" si="2626"/>
        <v>0</v>
      </c>
      <c r="PY367" s="242">
        <f t="shared" si="2627"/>
        <v>13.960000000000036</v>
      </c>
      <c r="PZ367" s="56"/>
      <c r="QC367" s="55">
        <f t="shared" si="2628"/>
        <v>46333</v>
      </c>
      <c r="QD367" s="56"/>
      <c r="QE367" s="242">
        <f>SUMPRODUCT(PRODUCE!$B362:$DY362,PRODUCE!$EB$56:$IY$56)</f>
        <v>0</v>
      </c>
      <c r="QF367" s="56"/>
      <c r="QG367" s="242">
        <f t="shared" si="2629"/>
        <v>0</v>
      </c>
      <c r="QH367" s="242">
        <f t="shared" si="2630"/>
        <v>548</v>
      </c>
      <c r="QI367" s="56"/>
      <c r="QL367" s="55">
        <f t="shared" si="2631"/>
        <v>46333</v>
      </c>
      <c r="QM367" s="56"/>
      <c r="QN367" s="242">
        <f>SUMPRODUCT(PRODUCE!$B362:$DY362,PRODUCE!$EB$57:$IY$57)</f>
        <v>0</v>
      </c>
      <c r="QO367" s="56"/>
      <c r="QP367" s="242">
        <f t="shared" si="2632"/>
        <v>0</v>
      </c>
      <c r="QQ367" s="242">
        <f t="shared" si="2633"/>
        <v>0</v>
      </c>
      <c r="QR367" s="56"/>
      <c r="QU367" s="55">
        <f t="shared" si="2634"/>
        <v>46333</v>
      </c>
      <c r="QV367" s="56"/>
      <c r="QW367" s="242">
        <f>SUMPRODUCT(PRODUCE!$B362:$DY362,PRODUCE!$EB$57:$IY$57)</f>
        <v>0</v>
      </c>
      <c r="QX367" s="56"/>
      <c r="QY367" s="242">
        <f t="shared" si="2635"/>
        <v>0</v>
      </c>
      <c r="QZ367" s="242">
        <f t="shared" si="2636"/>
        <v>0</v>
      </c>
      <c r="RA367" s="56"/>
      <c r="RD367" s="55">
        <f t="shared" si="2637"/>
        <v>46333</v>
      </c>
      <c r="RE367" s="56"/>
      <c r="RF367" s="242">
        <f>SUMPRODUCT(PRODUCE!$B362:$DY362,PRODUCE!$EB$58:$IY$58)</f>
        <v>0</v>
      </c>
      <c r="RG367" s="56"/>
      <c r="RH367" s="242">
        <f t="shared" si="2638"/>
        <v>0</v>
      </c>
      <c r="RI367" s="242">
        <f t="shared" si="2639"/>
        <v>147.04000000000002</v>
      </c>
      <c r="RJ367" s="56"/>
      <c r="RM367" s="55">
        <f t="shared" si="2640"/>
        <v>46333</v>
      </c>
      <c r="RN367" s="56"/>
      <c r="RO367" s="242">
        <f>SUMPRODUCT(PRODUCE!$B362:$DY362,PRODUCE!$EB$57:$IY$57)</f>
        <v>0</v>
      </c>
      <c r="RP367" s="56"/>
      <c r="RQ367" s="242">
        <f t="shared" si="2641"/>
        <v>0</v>
      </c>
      <c r="RR367" s="242">
        <f t="shared" si="2642"/>
        <v>46.8</v>
      </c>
      <c r="RS367" s="56"/>
      <c r="RV367" s="55">
        <f t="shared" si="2643"/>
        <v>46333</v>
      </c>
      <c r="RW367" s="56"/>
      <c r="RX367" s="242">
        <f>SUMPRODUCT(PRODUCE!$B362:$DY362,PRODUCE!$EB$57:$IY$57)</f>
        <v>0</v>
      </c>
      <c r="RY367" s="56"/>
      <c r="RZ367" s="242">
        <f t="shared" si="2644"/>
        <v>0</v>
      </c>
      <c r="SA367" s="242">
        <f t="shared" si="2645"/>
        <v>0</v>
      </c>
      <c r="SB367" s="56"/>
      <c r="SE367" s="55">
        <f t="shared" si="2646"/>
        <v>46333</v>
      </c>
      <c r="SF367" s="56"/>
      <c r="SG367" s="242">
        <f>SUMPRODUCT(PRODUCE!$B362:$DY362,PRODUCE!$EB$61:$IY$61)</f>
        <v>0</v>
      </c>
      <c r="SH367" s="56"/>
      <c r="SI367" s="242">
        <f t="shared" si="2647"/>
        <v>0</v>
      </c>
      <c r="SJ367" s="242">
        <f t="shared" si="2648"/>
        <v>24.200000000000003</v>
      </c>
      <c r="SK367" s="56"/>
      <c r="SN367" s="55">
        <f t="shared" si="2649"/>
        <v>46333</v>
      </c>
      <c r="SO367" s="56"/>
      <c r="SP367" s="242">
        <f>SUMPRODUCT(PRODUCE!$B362:$DY362,PRODUCE!$EB$57:$IY$57)</f>
        <v>0</v>
      </c>
      <c r="SQ367" s="56"/>
      <c r="SR367" s="242">
        <f t="shared" si="2650"/>
        <v>0</v>
      </c>
      <c r="SS367" s="242">
        <f t="shared" si="2651"/>
        <v>32</v>
      </c>
      <c r="ST367" s="56"/>
      <c r="SW367" s="55">
        <f t="shared" si="2652"/>
        <v>46333</v>
      </c>
      <c r="SX367" s="56"/>
      <c r="SY367" s="242">
        <f>SUMPRODUCT(PRODUCE!$B362:$DY362,PRODUCE!$EB$57:$IY$57)</f>
        <v>0</v>
      </c>
      <c r="SZ367" s="56"/>
      <c r="TA367" s="242">
        <f t="shared" si="2653"/>
        <v>0</v>
      </c>
      <c r="TB367" s="242">
        <f t="shared" si="2654"/>
        <v>0</v>
      </c>
      <c r="TC367" s="56"/>
      <c r="TF367" s="55">
        <f t="shared" si="2655"/>
        <v>46333</v>
      </c>
      <c r="TG367" s="56"/>
      <c r="TH367" s="242">
        <f>SUMPRODUCT(PRODUCE!$B362:$DY362,PRODUCE!$EB$57:$IY$57)</f>
        <v>0</v>
      </c>
      <c r="TI367" s="56"/>
      <c r="TJ367" s="242">
        <f t="shared" si="2656"/>
        <v>0</v>
      </c>
      <c r="TK367" s="242">
        <f t="shared" si="2657"/>
        <v>0</v>
      </c>
      <c r="TL367" s="56"/>
      <c r="TO367" s="55">
        <f t="shared" si="2658"/>
        <v>46333</v>
      </c>
      <c r="TP367" s="56"/>
      <c r="TQ367" s="242">
        <f>SUMPRODUCT(PRODUCE!$B362:$DY362,PRODUCE!$EB$57:$IY$57)</f>
        <v>0</v>
      </c>
      <c r="TR367" s="56"/>
      <c r="TS367" s="242">
        <f t="shared" si="2659"/>
        <v>0</v>
      </c>
      <c r="TT367" s="242">
        <f t="shared" si="2660"/>
        <v>0</v>
      </c>
      <c r="TU367" s="56"/>
      <c r="TX367" s="55">
        <f t="shared" si="2661"/>
        <v>46333</v>
      </c>
      <c r="TY367" s="56"/>
      <c r="TZ367" s="242">
        <f>SUMPRODUCT(PRODUCE!$B362:$DY362,PRODUCE!$EB$57:$IY$57)</f>
        <v>0</v>
      </c>
      <c r="UA367" s="56"/>
      <c r="UB367" s="242">
        <f t="shared" si="2662"/>
        <v>0</v>
      </c>
      <c r="UC367" s="242">
        <f t="shared" si="2663"/>
        <v>46.799999999999983</v>
      </c>
      <c r="UD367" s="56"/>
      <c r="UG367" s="55">
        <f t="shared" si="2664"/>
        <v>46333</v>
      </c>
      <c r="UH367" s="56"/>
      <c r="UI367" s="242">
        <f>SUMPRODUCT(PRODUCE!$B362:$DY362,PRODUCE!$EB$57:$IY$57)</f>
        <v>0</v>
      </c>
      <c r="UJ367" s="56"/>
      <c r="UK367" s="242">
        <f t="shared" si="2665"/>
        <v>0</v>
      </c>
      <c r="UL367" s="242">
        <f t="shared" si="2666"/>
        <v>204</v>
      </c>
      <c r="UM367" s="56"/>
      <c r="UP367" s="55">
        <f t="shared" si="2667"/>
        <v>46333</v>
      </c>
      <c r="UQ367" s="56"/>
      <c r="UR367" s="242">
        <f>SUMPRODUCT(PRODUCE!$B362:$DY362,PRODUCE!$EB$57:$IY$57)</f>
        <v>0</v>
      </c>
      <c r="US367" s="56"/>
      <c r="UT367" s="242">
        <f t="shared" si="2668"/>
        <v>0</v>
      </c>
      <c r="UU367" s="242">
        <f t="shared" si="2669"/>
        <v>202.5</v>
      </c>
      <c r="UV367" s="56"/>
      <c r="UY367" s="55">
        <f t="shared" si="2670"/>
        <v>46333</v>
      </c>
      <c r="UZ367" s="56"/>
      <c r="VA367" s="242">
        <f>SUMPRODUCT(PRODUCE!$B362:$DY362,PRODUCE!$EB$57:$IY$57)</f>
        <v>0</v>
      </c>
      <c r="VB367" s="56"/>
      <c r="VC367" s="242">
        <f t="shared" si="2671"/>
        <v>0</v>
      </c>
      <c r="VD367" s="242">
        <f t="shared" si="2672"/>
        <v>41.600000000000023</v>
      </c>
      <c r="VE367" s="56"/>
      <c r="VH367" s="55">
        <f t="shared" si="2673"/>
        <v>46333</v>
      </c>
      <c r="VI367" s="56"/>
      <c r="VJ367" s="242">
        <f>SUMPRODUCT(PRODUCE!$B362:$DY362,PRODUCE!$EB$57:$IY$57)</f>
        <v>0</v>
      </c>
      <c r="VK367" s="56"/>
      <c r="VL367" s="242">
        <f t="shared" si="2674"/>
        <v>0</v>
      </c>
      <c r="VM367" s="242">
        <f t="shared" si="2675"/>
        <v>210</v>
      </c>
      <c r="VN367" s="56"/>
      <c r="VQ367" s="55">
        <f t="shared" si="2676"/>
        <v>46333</v>
      </c>
      <c r="VR367" s="56"/>
      <c r="VS367" s="242">
        <f>SUMPRODUCT(PRODUCE!$B362:$DY362,PRODUCE!$EB$57:$IY$57)</f>
        <v>0</v>
      </c>
      <c r="VT367" s="56"/>
      <c r="VU367" s="242">
        <f t="shared" si="2677"/>
        <v>0</v>
      </c>
      <c r="VV367" s="242">
        <f t="shared" si="2678"/>
        <v>0</v>
      </c>
      <c r="VW367" s="56"/>
      <c r="VZ367" s="55">
        <f t="shared" si="2679"/>
        <v>46333</v>
      </c>
      <c r="WA367" s="56"/>
      <c r="WB367" s="242">
        <f>SUMPRODUCT(PRODUCE!$B362:$DY362,PRODUCE!$EB$57:$IY$57)</f>
        <v>0</v>
      </c>
      <c r="WC367" s="56"/>
      <c r="WD367" s="242">
        <f t="shared" si="2680"/>
        <v>0</v>
      </c>
      <c r="WE367" s="242">
        <f t="shared" si="2681"/>
        <v>0</v>
      </c>
      <c r="WF367" s="56"/>
      <c r="WI367" s="55">
        <f t="shared" si="2682"/>
        <v>46333</v>
      </c>
      <c r="WJ367" s="56"/>
      <c r="WK367" s="242">
        <f>SUMPRODUCT(PRODUCE!$B362:$DY362,PRODUCE!$EB$57:$IY$57)</f>
        <v>0</v>
      </c>
      <c r="WL367" s="56"/>
      <c r="WM367" s="242">
        <f t="shared" si="2683"/>
        <v>0</v>
      </c>
      <c r="WN367" s="242">
        <f t="shared" si="2684"/>
        <v>1057</v>
      </c>
      <c r="WO367" s="56"/>
      <c r="WR367" s="55">
        <f t="shared" si="2685"/>
        <v>46333</v>
      </c>
      <c r="WS367" s="56"/>
      <c r="WT367" s="242">
        <f>SUMPRODUCT(PRODUCE!$B362:$DY362,PRODUCE!$EB$57:$IY$57)</f>
        <v>0</v>
      </c>
      <c r="WU367" s="56"/>
      <c r="WV367" s="242">
        <f t="shared" si="2686"/>
        <v>0</v>
      </c>
      <c r="WW367" s="242">
        <f t="shared" si="2687"/>
        <v>0</v>
      </c>
      <c r="WX367" s="56"/>
      <c r="XA367" s="55">
        <f t="shared" si="2688"/>
        <v>46333</v>
      </c>
      <c r="XB367" s="56"/>
      <c r="XC367" s="242">
        <f>SUMPRODUCT(PRODUCE!$B362:$DY362,PRODUCE!$EB$57:$IY$57)</f>
        <v>0</v>
      </c>
      <c r="XD367" s="56"/>
      <c r="XE367" s="242">
        <f t="shared" si="2689"/>
        <v>0</v>
      </c>
      <c r="XF367" s="242">
        <f t="shared" si="2690"/>
        <v>7507</v>
      </c>
      <c r="XG367" s="56"/>
      <c r="XJ367" s="55">
        <f t="shared" si="2691"/>
        <v>46333</v>
      </c>
      <c r="XK367" s="56"/>
      <c r="XL367" s="242">
        <f>SUMPRODUCT(PRODUCE!$B362:$DY362,PRODUCE!$EB$57:$IY$57)</f>
        <v>0</v>
      </c>
      <c r="XM367" s="56"/>
      <c r="XN367" s="242">
        <f t="shared" si="2692"/>
        <v>0</v>
      </c>
      <c r="XO367" s="242">
        <f t="shared" si="2693"/>
        <v>4252</v>
      </c>
      <c r="XP367" s="56"/>
      <c r="XS367" s="55">
        <f t="shared" si="2694"/>
        <v>46333</v>
      </c>
      <c r="XT367" s="56"/>
      <c r="XU367" s="242">
        <f>SUMPRODUCT(PRODUCE!$B362:$DY362,PRODUCE!$EB$57:$IY$57)</f>
        <v>0</v>
      </c>
      <c r="XV367" s="56"/>
      <c r="XW367" s="242">
        <f t="shared" si="2695"/>
        <v>0</v>
      </c>
      <c r="XX367" s="242">
        <f t="shared" si="2696"/>
        <v>2179</v>
      </c>
      <c r="XY367" s="56"/>
      <c r="YB367" s="55">
        <f t="shared" si="2697"/>
        <v>46333</v>
      </c>
      <c r="YC367" s="56"/>
      <c r="YD367" s="242">
        <f>SUMPRODUCT(PRODUCE!$B362:$DY362,PRODUCE!$EB$57:$IY$57)</f>
        <v>0</v>
      </c>
      <c r="YE367" s="56"/>
      <c r="YF367" s="242">
        <f t="shared" si="2698"/>
        <v>0</v>
      </c>
      <c r="YG367" s="242">
        <f t="shared" si="2699"/>
        <v>4019</v>
      </c>
      <c r="YH367" s="56"/>
      <c r="YK367" s="55">
        <f t="shared" si="2700"/>
        <v>46333</v>
      </c>
      <c r="YL367" s="56"/>
      <c r="YM367" s="242">
        <f>SUMPRODUCT(PRODUCE!$B362:$DY362,PRODUCE!$EB$57:$IY$57)</f>
        <v>0</v>
      </c>
      <c r="YN367" s="56"/>
      <c r="YO367" s="242">
        <f t="shared" si="2701"/>
        <v>0</v>
      </c>
      <c r="YP367" s="242">
        <f t="shared" si="2702"/>
        <v>-218</v>
      </c>
      <c r="YQ367" s="56"/>
      <c r="YT367" s="55">
        <f t="shared" si="2703"/>
        <v>46333</v>
      </c>
      <c r="YU367" s="56"/>
      <c r="YV367" s="242">
        <f>SUMPRODUCT(PRODUCE!$B362:$DY362,PRODUCE!$EB$57:$IY$57)</f>
        <v>0</v>
      </c>
      <c r="YW367" s="56"/>
      <c r="YX367" s="242">
        <f t="shared" si="2704"/>
        <v>0</v>
      </c>
      <c r="YY367" s="242">
        <f t="shared" si="2705"/>
        <v>0</v>
      </c>
      <c r="YZ367" s="56"/>
      <c r="ZC367" s="55">
        <f t="shared" si="2706"/>
        <v>46333</v>
      </c>
      <c r="ZD367" s="56"/>
      <c r="ZE367" s="242">
        <f>SUMPRODUCT(PRODUCE!$B362:$DY362,PRODUCE!$EB$57:$IY$57)</f>
        <v>0</v>
      </c>
      <c r="ZF367" s="56"/>
      <c r="ZG367" s="242">
        <f t="shared" si="2707"/>
        <v>0</v>
      </c>
      <c r="ZH367" s="242">
        <f t="shared" si="2708"/>
        <v>0</v>
      </c>
      <c r="ZI367" s="56"/>
      <c r="ZL367" s="55">
        <f t="shared" si="2709"/>
        <v>46333</v>
      </c>
      <c r="ZM367" s="56"/>
      <c r="ZN367" s="242">
        <f>SUMPRODUCT(PRODUCE!$B362:$DY362,PRODUCE!$EB$57:$IY$57)</f>
        <v>0</v>
      </c>
      <c r="ZO367" s="56"/>
      <c r="ZP367" s="242">
        <f t="shared" si="2710"/>
        <v>0</v>
      </c>
      <c r="ZQ367" s="242">
        <f t="shared" si="2711"/>
        <v>0</v>
      </c>
      <c r="ZR367" s="56"/>
      <c r="ZU367" s="55">
        <f t="shared" si="2712"/>
        <v>46333</v>
      </c>
      <c r="ZV367" s="56"/>
      <c r="ZW367" s="242">
        <f>SUMPRODUCT(PRODUCE!$B362:$DY362,PRODUCE!$EB$57:$IY$57)</f>
        <v>0</v>
      </c>
      <c r="ZX367" s="56"/>
      <c r="ZY367" s="242">
        <f t="shared" si="2713"/>
        <v>0</v>
      </c>
      <c r="ZZ367" s="242">
        <f t="shared" si="2714"/>
        <v>0</v>
      </c>
      <c r="AAA367" s="56"/>
      <c r="AAD367" s="55">
        <f t="shared" si="2715"/>
        <v>46333</v>
      </c>
      <c r="AAE367" s="56"/>
      <c r="AAF367" s="242">
        <f>SUMPRODUCT(PRODUCE!$B362:$DY362,PRODUCE!$EB$57:$IY$57)</f>
        <v>0</v>
      </c>
      <c r="AAG367" s="56"/>
      <c r="AAH367" s="242">
        <f t="shared" si="2716"/>
        <v>0</v>
      </c>
      <c r="AAI367" s="242">
        <f t="shared" si="2717"/>
        <v>0</v>
      </c>
      <c r="AAJ367" s="56"/>
      <c r="AAM367" s="55">
        <f t="shared" si="2718"/>
        <v>46333</v>
      </c>
      <c r="AAN367" s="56"/>
      <c r="AAO367" s="242">
        <f>SUMPRODUCT(PRODUCE!$B362:$DY362,PRODUCE!$EB$57:$IY$57)</f>
        <v>0</v>
      </c>
      <c r="AAP367" s="56"/>
      <c r="AAQ367" s="242">
        <f t="shared" si="2719"/>
        <v>0</v>
      </c>
      <c r="AAR367" s="242">
        <f t="shared" si="2720"/>
        <v>0</v>
      </c>
      <c r="AAS367" s="56"/>
      <c r="AAV367" s="55">
        <f t="shared" si="2721"/>
        <v>46333</v>
      </c>
      <c r="AAW367" s="56"/>
      <c r="AAX367" s="242">
        <f>SUMPRODUCT(PRODUCE!$B362:$DY362,PRODUCE!$EB$57:$IY$57)</f>
        <v>0</v>
      </c>
      <c r="AAY367" s="56"/>
      <c r="AAZ367" s="242">
        <f t="shared" si="2722"/>
        <v>0</v>
      </c>
      <c r="ABA367" s="242">
        <f t="shared" si="2723"/>
        <v>0</v>
      </c>
      <c r="ABB367" s="56"/>
      <c r="ABE367" s="55">
        <f t="shared" si="2724"/>
        <v>46333</v>
      </c>
      <c r="ABF367" s="56"/>
      <c r="ABG367" s="242">
        <f>SUMPRODUCT(PRODUCE!$B362:$DY362,PRODUCE!$EB$57:$IY$57)</f>
        <v>0</v>
      </c>
      <c r="ABH367" s="56"/>
      <c r="ABI367" s="242">
        <f t="shared" si="2725"/>
        <v>0</v>
      </c>
      <c r="ABJ367" s="242">
        <f t="shared" si="2726"/>
        <v>0</v>
      </c>
      <c r="ABK367" s="56"/>
    </row>
    <row r="368" spans="1:739" s="54" customFormat="1" ht="15" customHeight="1" outlineLevel="1">
      <c r="B368" s="478"/>
      <c r="C368" s="55">
        <v>46334</v>
      </c>
      <c r="D368" s="56"/>
      <c r="E368" s="57">
        <f>SUMPRODUCT(PRODUCE!$B363:$DY363,PRODUCE!$EB$7:$IY$7)</f>
        <v>0</v>
      </c>
      <c r="F368" s="56"/>
      <c r="G368" s="57">
        <f t="shared" si="2482"/>
        <v>0</v>
      </c>
      <c r="H368" s="57">
        <f t="shared" si="2483"/>
        <v>236936.6</v>
      </c>
      <c r="I368" s="289"/>
      <c r="L368" s="55">
        <f t="shared" si="2484"/>
        <v>46334</v>
      </c>
      <c r="M368" s="56"/>
      <c r="N368" s="59">
        <f>SUMPRODUCT(PRODUCE!$B363:$DY363,PRODUCE!$EB$8:$IY$8)</f>
        <v>0</v>
      </c>
      <c r="O368" s="56"/>
      <c r="P368" s="59">
        <f t="shared" si="2485"/>
        <v>0</v>
      </c>
      <c r="Q368" s="59">
        <f t="shared" si="2486"/>
        <v>53017.600000000071</v>
      </c>
      <c r="R368" s="56"/>
      <c r="U368" s="55">
        <f t="shared" si="2487"/>
        <v>46334</v>
      </c>
      <c r="V368" s="56"/>
      <c r="W368" s="60">
        <f>SUMPRODUCT(PRODUCE!$B363:$DY363,PRODUCE!$EB$9:$IY$9)</f>
        <v>0</v>
      </c>
      <c r="X368" s="56"/>
      <c r="Y368" s="60">
        <f t="shared" si="2488"/>
        <v>0</v>
      </c>
      <c r="Z368" s="60">
        <f t="shared" si="2489"/>
        <v>42674.199999999968</v>
      </c>
      <c r="AA368" s="56"/>
      <c r="AD368" s="55">
        <f t="shared" si="2490"/>
        <v>46334</v>
      </c>
      <c r="AE368" s="56"/>
      <c r="AF368" s="61">
        <f>SUMPRODUCT(PRODUCE!$B363:$DY363,PRODUCE!$EB$10:$IY$10)</f>
        <v>0</v>
      </c>
      <c r="AG368" s="56"/>
      <c r="AH368" s="61">
        <f t="shared" si="2491"/>
        <v>0</v>
      </c>
      <c r="AI368" s="61">
        <f t="shared" si="2492"/>
        <v>4522.2000000000189</v>
      </c>
      <c r="AJ368" s="56"/>
      <c r="AM368" s="55">
        <f t="shared" si="2493"/>
        <v>46334</v>
      </c>
      <c r="AN368" s="422"/>
      <c r="AO368" s="444">
        <f>SUMPRODUCT(PRODUCE!$B363:$DY363,PRODUCE!$EB$11:$IY$11)</f>
        <v>0</v>
      </c>
      <c r="AP368" s="422"/>
      <c r="AQ368" s="444">
        <f t="shared" si="2494"/>
        <v>0</v>
      </c>
      <c r="AR368" s="444">
        <f t="shared" si="2495"/>
        <v>0</v>
      </c>
      <c r="AS368" s="56"/>
      <c r="AV368" s="55">
        <f t="shared" si="2496"/>
        <v>46334</v>
      </c>
      <c r="AW368" s="56"/>
      <c r="AX368" s="62">
        <f>SUMPRODUCT(PRODUCE!$B363:$DY363,PRODUCE!$EB$12:$IY$12)</f>
        <v>0</v>
      </c>
      <c r="AY368" s="56"/>
      <c r="AZ368" s="62">
        <f t="shared" si="2497"/>
        <v>0</v>
      </c>
      <c r="BA368" s="62">
        <f t="shared" si="2498"/>
        <v>124.99999999999523</v>
      </c>
      <c r="BB368" s="56"/>
      <c r="BE368" s="55">
        <f t="shared" si="2499"/>
        <v>46334</v>
      </c>
      <c r="BF368" s="56"/>
      <c r="BG368" s="63">
        <f>SUMPRODUCT(PRODUCE!$B363:$DY363,PRODUCE!$EB$13:$IY$13)</f>
        <v>0</v>
      </c>
      <c r="BH368" s="56"/>
      <c r="BI368" s="63">
        <f t="shared" si="2500"/>
        <v>0</v>
      </c>
      <c r="BJ368" s="63">
        <f t="shared" si="2501"/>
        <v>26151.899999999998</v>
      </c>
      <c r="BK368" s="56"/>
      <c r="BN368" s="55">
        <f t="shared" si="2502"/>
        <v>46334</v>
      </c>
      <c r="BO368" s="56"/>
      <c r="BP368" s="64">
        <f>SUMPRODUCT(PRODUCE!$B363:$DY363,PRODUCE!$EB$14:$IY$14)</f>
        <v>0</v>
      </c>
      <c r="BQ368" s="56"/>
      <c r="BR368" s="64">
        <f t="shared" si="2503"/>
        <v>0</v>
      </c>
      <c r="BS368" s="64">
        <f t="shared" si="2504"/>
        <v>0</v>
      </c>
      <c r="BT368" s="56"/>
      <c r="BW368" s="55">
        <f t="shared" si="2505"/>
        <v>46334</v>
      </c>
      <c r="BX368" s="56"/>
      <c r="BY368" s="65">
        <f>SUMPRODUCT(PRODUCE!$B363:$DY363,PRODUCE!$EB$15:$IY$15)</f>
        <v>0</v>
      </c>
      <c r="BZ368" s="56"/>
      <c r="CA368" s="65">
        <f t="shared" si="2506"/>
        <v>0</v>
      </c>
      <c r="CB368" s="65">
        <f t="shared" si="2507"/>
        <v>2097.3399999999992</v>
      </c>
      <c r="CC368" s="56"/>
      <c r="CF368" s="55">
        <f t="shared" si="2508"/>
        <v>46334</v>
      </c>
      <c r="CG368" s="56"/>
      <c r="CH368" s="66">
        <f>SUMPRODUCT(PRODUCE!$B363:$DY363,PRODUCE!$EB$16:$IY$16)</f>
        <v>0</v>
      </c>
      <c r="CI368" s="56"/>
      <c r="CJ368" s="66">
        <f t="shared" si="2509"/>
        <v>0</v>
      </c>
      <c r="CK368" s="66">
        <f t="shared" si="2510"/>
        <v>-10277.079999999998</v>
      </c>
      <c r="CL368" s="56"/>
      <c r="CO368" s="55">
        <f t="shared" si="2511"/>
        <v>46334</v>
      </c>
      <c r="CP368" s="422"/>
      <c r="CQ368" s="470">
        <f>SUMPRODUCT(PRODUCE!$B363:$DY363,PRODUCE!$EB$17:$IY$17)</f>
        <v>0</v>
      </c>
      <c r="CR368" s="422"/>
      <c r="CS368" s="470">
        <f t="shared" si="2512"/>
        <v>0</v>
      </c>
      <c r="CT368" s="470">
        <f t="shared" si="2513"/>
        <v>0</v>
      </c>
      <c r="CU368" s="56"/>
      <c r="CX368" s="55">
        <f t="shared" si="2514"/>
        <v>46334</v>
      </c>
      <c r="CY368" s="56"/>
      <c r="CZ368" s="133">
        <f>SUMPRODUCT(PRODUCE!$B363:$DY363,PRODUCE!$EB$18:$IY$18)</f>
        <v>0</v>
      </c>
      <c r="DA368" s="56"/>
      <c r="DB368" s="133">
        <f t="shared" si="2515"/>
        <v>0</v>
      </c>
      <c r="DC368" s="133">
        <f t="shared" si="2516"/>
        <v>27438.200000000012</v>
      </c>
      <c r="DD368" s="56"/>
      <c r="DG368" s="55">
        <f t="shared" si="2517"/>
        <v>46334</v>
      </c>
      <c r="DH368" s="56"/>
      <c r="DI368" s="147">
        <f>SUMPRODUCT(PRODUCE!$B363:$DY363,PRODUCE!$EB$19:$IY$19)</f>
        <v>0</v>
      </c>
      <c r="DJ368" s="56"/>
      <c r="DK368" s="147">
        <f t="shared" si="2518"/>
        <v>0</v>
      </c>
      <c r="DL368" s="147">
        <f t="shared" si="2519"/>
        <v>18782.299999999981</v>
      </c>
      <c r="DM368" s="56"/>
      <c r="DP368" s="55">
        <f t="shared" si="2520"/>
        <v>46334</v>
      </c>
      <c r="DQ368" s="56"/>
      <c r="DR368" s="57">
        <f>SUMPRODUCT(PRODUCE!$B363:$DY363,PRODUCE!$EB$20:$IY$20)</f>
        <v>0</v>
      </c>
      <c r="DS368" s="56"/>
      <c r="DT368" s="57">
        <f t="shared" si="2521"/>
        <v>0</v>
      </c>
      <c r="DU368" s="57">
        <f t="shared" si="2522"/>
        <v>5800</v>
      </c>
      <c r="DV368" s="56"/>
      <c r="DY368" s="55">
        <f t="shared" si="2523"/>
        <v>46334</v>
      </c>
      <c r="DZ368" s="56"/>
      <c r="EA368" s="157">
        <f>SUMPRODUCT(PRODUCE!$B363:$DY363,PRODUCE!$EB$21:$IY$21)</f>
        <v>0</v>
      </c>
      <c r="EB368" s="56"/>
      <c r="EC368" s="157">
        <f t="shared" si="2524"/>
        <v>0</v>
      </c>
      <c r="ED368" s="157">
        <f t="shared" si="2525"/>
        <v>0</v>
      </c>
      <c r="EE368" s="56"/>
      <c r="EH368" s="55">
        <f t="shared" si="2526"/>
        <v>46334</v>
      </c>
      <c r="EI368" s="56"/>
      <c r="EJ368" s="162">
        <f>SUMPRODUCT(PRODUCE!$B363:$DY363,PRODUCE!$EB$22:$IY$22)</f>
        <v>0</v>
      </c>
      <c r="EK368" s="56"/>
      <c r="EL368" s="162">
        <f t="shared" si="2527"/>
        <v>0</v>
      </c>
      <c r="EM368" s="162">
        <f t="shared" si="2528"/>
        <v>0</v>
      </c>
      <c r="EN368" s="56"/>
      <c r="EQ368" s="55">
        <f t="shared" si="2529"/>
        <v>46334</v>
      </c>
      <c r="ER368" s="56"/>
      <c r="ES368" s="135">
        <f>SUMPRODUCT(PRODUCE!$B363:$DY363,PRODUCE!$EB$23:$IY$23)</f>
        <v>0</v>
      </c>
      <c r="ET368" s="56"/>
      <c r="EU368" s="135">
        <f t="shared" si="2530"/>
        <v>0</v>
      </c>
      <c r="EV368" s="135">
        <f t="shared" si="2531"/>
        <v>0</v>
      </c>
      <c r="EW368" s="56"/>
      <c r="EZ368" s="55">
        <f t="shared" si="2532"/>
        <v>46334</v>
      </c>
      <c r="FA368" s="56"/>
      <c r="FB368" s="175">
        <f>SUMPRODUCT(PRODUCE!$B363:$DY363,PRODUCE!$EB$24:$IY$24)</f>
        <v>0</v>
      </c>
      <c r="FC368" s="56"/>
      <c r="FD368" s="175">
        <f t="shared" si="2533"/>
        <v>0</v>
      </c>
      <c r="FE368" s="175">
        <f t="shared" si="2534"/>
        <v>0</v>
      </c>
      <c r="FF368" s="56"/>
      <c r="FI368" s="55">
        <f t="shared" si="2535"/>
        <v>46334</v>
      </c>
      <c r="FJ368" s="56"/>
      <c r="FK368" s="183">
        <f>SUMPRODUCT(PRODUCE!$B363:$DY363,PRODUCE!$EB$25:$IY$25)</f>
        <v>0</v>
      </c>
      <c r="FL368" s="56"/>
      <c r="FM368" s="183">
        <f t="shared" si="2536"/>
        <v>0</v>
      </c>
      <c r="FN368" s="183">
        <f t="shared" si="2537"/>
        <v>0</v>
      </c>
      <c r="FO368" s="56"/>
      <c r="FR368" s="55">
        <f t="shared" si="2538"/>
        <v>46334</v>
      </c>
      <c r="FS368" s="56"/>
      <c r="FT368" s="186">
        <f>SUMPRODUCT(PRODUCE!$B363:$DY363,PRODUCE!$EB$26:$IY$26)</f>
        <v>0</v>
      </c>
      <c r="FU368" s="56"/>
      <c r="FV368" s="186">
        <f t="shared" si="2539"/>
        <v>0</v>
      </c>
      <c r="FW368" s="186">
        <f t="shared" si="2540"/>
        <v>2020</v>
      </c>
      <c r="FX368" s="56"/>
      <c r="GA368" s="55">
        <f t="shared" si="2541"/>
        <v>46334</v>
      </c>
      <c r="GB368" s="56"/>
      <c r="GC368" s="137">
        <f>SUMPRODUCT(PRODUCE!$B363:$DY363,PRODUCE!$EB$27:$IY$27)</f>
        <v>0</v>
      </c>
      <c r="GD368" s="56"/>
      <c r="GE368" s="137">
        <f t="shared" si="2542"/>
        <v>0</v>
      </c>
      <c r="GF368" s="137">
        <f t="shared" si="2543"/>
        <v>960</v>
      </c>
      <c r="GG368" s="56"/>
      <c r="GI368" s="23"/>
      <c r="GJ368" s="55">
        <f t="shared" si="2544"/>
        <v>46334</v>
      </c>
      <c r="GK368" s="56"/>
      <c r="GL368" s="199">
        <f>SUMPRODUCT(PRODUCE!$B363:$DY363,PRODUCE!$EB$28:$IY$28)</f>
        <v>0</v>
      </c>
      <c r="GM368" s="56"/>
      <c r="GN368" s="199">
        <f t="shared" si="2545"/>
        <v>0</v>
      </c>
      <c r="GO368" s="199">
        <f t="shared" si="2546"/>
        <v>1760</v>
      </c>
      <c r="GP368" s="56"/>
      <c r="GS368" s="55">
        <f t="shared" si="2547"/>
        <v>46334</v>
      </c>
      <c r="GT368" s="56"/>
      <c r="GU368" s="195">
        <f>SUMPRODUCT(PRODUCE!$B363:$DY363,PRODUCE!$EB$29:$IY$29)</f>
        <v>0</v>
      </c>
      <c r="GV368" s="56"/>
      <c r="GW368" s="195">
        <f t="shared" si="2548"/>
        <v>0</v>
      </c>
      <c r="GX368" s="195">
        <f t="shared" si="2549"/>
        <v>400</v>
      </c>
      <c r="GY368" s="56"/>
      <c r="HB368" s="55">
        <f t="shared" si="2550"/>
        <v>46334</v>
      </c>
      <c r="HC368" s="56"/>
      <c r="HD368" s="191">
        <f>SUMPRODUCT(PRODUCE!$B363:$DY363,PRODUCE!$EB$30:$IY$30)</f>
        <v>0</v>
      </c>
      <c r="HE368" s="56"/>
      <c r="HF368" s="191">
        <f t="shared" si="2551"/>
        <v>0</v>
      </c>
      <c r="HG368" s="191">
        <f t="shared" si="2552"/>
        <v>3600</v>
      </c>
      <c r="HH368" s="56"/>
      <c r="HK368" s="55">
        <f t="shared" si="2553"/>
        <v>46334</v>
      </c>
      <c r="HL368" s="56"/>
      <c r="HM368" s="63">
        <f>SUMPRODUCT(PRODUCE!$B363:$DY363,PRODUCE!$EB$31:$IY$31)</f>
        <v>0</v>
      </c>
      <c r="HN368" s="56"/>
      <c r="HO368" s="63">
        <f t="shared" si="2554"/>
        <v>0</v>
      </c>
      <c r="HP368" s="63">
        <f t="shared" si="2555"/>
        <v>0</v>
      </c>
      <c r="HQ368" s="56"/>
      <c r="HU368" s="55">
        <f t="shared" si="2556"/>
        <v>46334</v>
      </c>
      <c r="HV368" s="56"/>
      <c r="HW368" s="242">
        <f>SUMPRODUCT(PRODUCE!$B363:$DY363,PRODUCE!$EB$32:$IY$32)</f>
        <v>0</v>
      </c>
      <c r="HX368" s="56"/>
      <c r="HY368" s="242">
        <f t="shared" si="2557"/>
        <v>0</v>
      </c>
      <c r="HZ368" s="242">
        <f t="shared" si="2558"/>
        <v>6120</v>
      </c>
      <c r="IA368" s="56"/>
      <c r="ID368" s="55">
        <f t="shared" si="2559"/>
        <v>46334</v>
      </c>
      <c r="IE368" s="56"/>
      <c r="IF368" s="242">
        <f>SUMPRODUCT(PRODUCE!$B363:$DY363,PRODUCE!$EB$33:$IY$33)</f>
        <v>0</v>
      </c>
      <c r="IG368" s="56"/>
      <c r="IH368" s="242">
        <f t="shared" si="2560"/>
        <v>0</v>
      </c>
      <c r="II368" s="242">
        <f t="shared" si="2561"/>
        <v>0</v>
      </c>
      <c r="IJ368" s="56"/>
      <c r="IM368" s="55">
        <f t="shared" si="2562"/>
        <v>46334</v>
      </c>
      <c r="IN368" s="56"/>
      <c r="IO368" s="242">
        <f>SUMPRODUCT(PRODUCE!$B363:$DY363,PRODUCE!$EB$34:$IY$34)</f>
        <v>0</v>
      </c>
      <c r="IP368" s="56"/>
      <c r="IQ368" s="242">
        <f t="shared" si="2563"/>
        <v>0</v>
      </c>
      <c r="IR368" s="242">
        <f t="shared" si="2564"/>
        <v>0</v>
      </c>
      <c r="IS368" s="56"/>
      <c r="IV368" s="55">
        <f t="shared" si="2565"/>
        <v>46334</v>
      </c>
      <c r="IW368" s="56"/>
      <c r="IX368" s="242">
        <f>SUMPRODUCT(PRODUCE!$B363:$DY363,PRODUCE!$EB$35:$IY$35)</f>
        <v>0</v>
      </c>
      <c r="IY368" s="56"/>
      <c r="IZ368" s="242">
        <f t="shared" si="2566"/>
        <v>0</v>
      </c>
      <c r="JA368" s="242">
        <f t="shared" si="2567"/>
        <v>2820</v>
      </c>
      <c r="JB368" s="56"/>
      <c r="JE368" s="55">
        <f t="shared" si="2568"/>
        <v>46334</v>
      </c>
      <c r="JF368" s="56"/>
      <c r="JG368" s="242">
        <f>SUMPRODUCT(PRODUCE!$B363:$DY363,PRODUCE!$EB$36:$IY$36)</f>
        <v>0</v>
      </c>
      <c r="JH368" s="56"/>
      <c r="JI368" s="242">
        <f t="shared" si="2569"/>
        <v>0</v>
      </c>
      <c r="JJ368" s="242">
        <f t="shared" si="2570"/>
        <v>0</v>
      </c>
      <c r="JK368" s="56"/>
      <c r="JN368" s="55">
        <f t="shared" si="2571"/>
        <v>46334</v>
      </c>
      <c r="JO368" s="56"/>
      <c r="JP368" s="242">
        <f>SUMPRODUCT(PRODUCE!$B363:$DY363,PRODUCE!$EB$37:$IY$37)</f>
        <v>0</v>
      </c>
      <c r="JQ368" s="56"/>
      <c r="JR368" s="242">
        <f t="shared" si="2572"/>
        <v>0</v>
      </c>
      <c r="JS368" s="242">
        <f t="shared" si="2573"/>
        <v>0</v>
      </c>
      <c r="JT368" s="56"/>
      <c r="JW368" s="55">
        <f t="shared" si="2574"/>
        <v>46334</v>
      </c>
      <c r="JX368" s="56"/>
      <c r="JY368" s="242">
        <f>SUMPRODUCT(PRODUCE!$B363:$DY363,PRODUCE!$EB$38:$IY$38)</f>
        <v>0</v>
      </c>
      <c r="JZ368" s="56"/>
      <c r="KA368" s="242">
        <f t="shared" si="2575"/>
        <v>0</v>
      </c>
      <c r="KB368" s="242">
        <f t="shared" si="2576"/>
        <v>2540</v>
      </c>
      <c r="KC368" s="56"/>
      <c r="KF368" s="55">
        <f t="shared" si="2577"/>
        <v>46334</v>
      </c>
      <c r="KG368" s="56"/>
      <c r="KH368" s="242">
        <f>SUMPRODUCT(PRODUCE!$B363:$DY363,PRODUCE!$EB$39:$IY$39)</f>
        <v>0</v>
      </c>
      <c r="KI368" s="56"/>
      <c r="KJ368" s="242">
        <f t="shared" si="2578"/>
        <v>0</v>
      </c>
      <c r="KK368" s="242">
        <f t="shared" si="2579"/>
        <v>2359.5</v>
      </c>
      <c r="KL368" s="56"/>
      <c r="KO368" s="55">
        <f t="shared" si="2580"/>
        <v>46334</v>
      </c>
      <c r="KP368" s="56"/>
      <c r="KQ368" s="242">
        <f>SUMPRODUCT(PRODUCE!$B363:$DY363,PRODUCE!$EB$40:$IY$40)</f>
        <v>0</v>
      </c>
      <c r="KR368" s="56"/>
      <c r="KS368" s="242">
        <f t="shared" si="2581"/>
        <v>0</v>
      </c>
      <c r="KT368" s="242">
        <f t="shared" si="2582"/>
        <v>1890</v>
      </c>
      <c r="KU368" s="56"/>
      <c r="KW368" s="23"/>
      <c r="KX368" s="55">
        <f t="shared" si="2583"/>
        <v>46334</v>
      </c>
      <c r="KY368" s="56"/>
      <c r="KZ368" s="242">
        <f>SUMPRODUCT(PRODUCE!$B363:$DY363,PRODUCE!$EB$41:$IY$41)</f>
        <v>0</v>
      </c>
      <c r="LA368" s="56"/>
      <c r="LB368" s="242">
        <f t="shared" si="2584"/>
        <v>0</v>
      </c>
      <c r="LC368" s="242">
        <f t="shared" si="2585"/>
        <v>3690</v>
      </c>
      <c r="LD368" s="56"/>
      <c r="LG368" s="55">
        <f t="shared" si="2586"/>
        <v>46334</v>
      </c>
      <c r="LH368" s="56"/>
      <c r="LI368" s="242">
        <f>SUMPRODUCT(PRODUCE!$B363:$DY363,PRODUCE!$EB$42:$IY$42)</f>
        <v>0</v>
      </c>
      <c r="LJ368" s="56"/>
      <c r="LK368" s="242">
        <f t="shared" si="2587"/>
        <v>0</v>
      </c>
      <c r="LL368" s="242">
        <f t="shared" si="2588"/>
        <v>4000</v>
      </c>
      <c r="LM368" s="56"/>
      <c r="LP368" s="55">
        <f t="shared" si="2589"/>
        <v>46334</v>
      </c>
      <c r="LQ368" s="56"/>
      <c r="LR368" s="242">
        <f>SUMPRODUCT(PRODUCE!$B383:$DY383,PRODUCE!$EB$43:$IY$43)</f>
        <v>0</v>
      </c>
      <c r="LS368" s="56"/>
      <c r="LT368" s="242">
        <f t="shared" si="2590"/>
        <v>0</v>
      </c>
      <c r="LU368" s="242">
        <f t="shared" si="2591"/>
        <v>0</v>
      </c>
      <c r="LV368" s="56"/>
      <c r="LY368" s="55">
        <f t="shared" si="2592"/>
        <v>46334</v>
      </c>
      <c r="LZ368" s="56"/>
      <c r="MA368" s="242">
        <f>SUMPRODUCT(PRODUCE!$B363:$DY363,PRODUCE!$EB$44:$IY$44)</f>
        <v>0</v>
      </c>
      <c r="MB368" s="56"/>
      <c r="MC368" s="242">
        <f t="shared" si="2593"/>
        <v>0</v>
      </c>
      <c r="MD368" s="242">
        <f t="shared" si="2594"/>
        <v>0</v>
      </c>
      <c r="ME368" s="56"/>
      <c r="MH368" s="55">
        <f t="shared" si="2595"/>
        <v>46334</v>
      </c>
      <c r="MI368" s="56"/>
      <c r="MJ368" s="242">
        <f>SUMPRODUCT(PRODUCE!$B363:$DY363,PRODUCE!$EB$45:$IY$45)</f>
        <v>0</v>
      </c>
      <c r="MK368" s="56"/>
      <c r="ML368" s="242">
        <f t="shared" si="2596"/>
        <v>0</v>
      </c>
      <c r="MM368" s="242">
        <f t="shared" si="2597"/>
        <v>0</v>
      </c>
      <c r="MN368" s="56"/>
      <c r="MQ368" s="55">
        <f t="shared" si="2598"/>
        <v>46334</v>
      </c>
      <c r="MR368" s="56"/>
      <c r="MS368" s="242">
        <f>SUMPRODUCT(PRODUCE!$B363:$DY363,PRODUCE!$EB$46:$IY$46)</f>
        <v>0</v>
      </c>
      <c r="MT368" s="56"/>
      <c r="MU368" s="242">
        <f t="shared" si="2599"/>
        <v>0</v>
      </c>
      <c r="MV368" s="242">
        <f t="shared" si="2600"/>
        <v>1625</v>
      </c>
      <c r="MW368" s="56"/>
      <c r="MZ368" s="55">
        <f t="shared" si="2601"/>
        <v>46334</v>
      </c>
      <c r="NA368" s="56"/>
      <c r="NB368" s="242">
        <f>SUMPRODUCT(PRODUCE!$B363:$DY363,PRODUCE!$EB$47:$IY$47)</f>
        <v>0</v>
      </c>
      <c r="NC368" s="56"/>
      <c r="ND368" s="242">
        <f t="shared" si="2602"/>
        <v>0</v>
      </c>
      <c r="NE368" s="242">
        <f t="shared" si="2603"/>
        <v>0</v>
      </c>
      <c r="NF368" s="56"/>
      <c r="NI368" s="55">
        <f t="shared" si="2604"/>
        <v>46334</v>
      </c>
      <c r="NJ368" s="56"/>
      <c r="NK368" s="242">
        <f>SUMPRODUCT(PRODUCE!$B363:$DY363,PRODUCE!$EB$48:$IY$48)</f>
        <v>0</v>
      </c>
      <c r="NL368" s="56"/>
      <c r="NM368" s="242">
        <f t="shared" si="2605"/>
        <v>0</v>
      </c>
      <c r="NN368" s="242">
        <f t="shared" si="2606"/>
        <v>1127</v>
      </c>
      <c r="NO368" s="56"/>
      <c r="NR368" s="55">
        <f t="shared" si="2607"/>
        <v>46334</v>
      </c>
      <c r="NS368" s="56"/>
      <c r="NT368" s="242">
        <f>SUMPRODUCT(PRODUCE!$B363:$DY363,PRODUCE!$EB$49:$IY$49)</f>
        <v>0</v>
      </c>
      <c r="NU368" s="56"/>
      <c r="NV368" s="242">
        <f t="shared" si="2608"/>
        <v>0</v>
      </c>
      <c r="NW368" s="242">
        <f t="shared" si="2609"/>
        <v>3111.9999999999995</v>
      </c>
      <c r="NX368" s="56"/>
      <c r="OA368" s="55">
        <f t="shared" si="2610"/>
        <v>46334</v>
      </c>
      <c r="OB368" s="56"/>
      <c r="OC368" s="242">
        <f>SUMPRODUCT(PRODUCE!$B363:$DY363,PRODUCE!$EB$50:$IY$50)</f>
        <v>0</v>
      </c>
      <c r="OD368" s="56"/>
      <c r="OE368" s="242">
        <f t="shared" si="2611"/>
        <v>0</v>
      </c>
      <c r="OF368" s="242">
        <f t="shared" si="2612"/>
        <v>1680.5</v>
      </c>
      <c r="OG368" s="56"/>
      <c r="OJ368" s="55">
        <f t="shared" si="2613"/>
        <v>46334</v>
      </c>
      <c r="OK368" s="56"/>
      <c r="OL368" s="242">
        <f>SUMPRODUCT(PRODUCE!$B363:$DY363,PRODUCE!$EB$51:$IY$51)</f>
        <v>0</v>
      </c>
      <c r="OM368" s="56"/>
      <c r="ON368" s="242">
        <f t="shared" si="2614"/>
        <v>0</v>
      </c>
      <c r="OO368" s="242">
        <f t="shared" si="2615"/>
        <v>0</v>
      </c>
      <c r="OP368" s="56"/>
      <c r="OS368" s="55">
        <f t="shared" si="2616"/>
        <v>46334</v>
      </c>
      <c r="OT368" s="56"/>
      <c r="OU368" s="242">
        <f>SUMPRODUCT(PRODUCE!$B363:$DY363,PRODUCE!$EB$52:$IY$52)</f>
        <v>0</v>
      </c>
      <c r="OV368" s="56"/>
      <c r="OW368" s="242">
        <f t="shared" si="2617"/>
        <v>0</v>
      </c>
      <c r="OX368" s="242">
        <f t="shared" si="2618"/>
        <v>1482</v>
      </c>
      <c r="OY368" s="56"/>
      <c r="PB368" s="55">
        <f t="shared" si="2619"/>
        <v>46334</v>
      </c>
      <c r="PC368" s="56"/>
      <c r="PD368" s="242">
        <f>SUMPRODUCT(PRODUCE!$B363:$DY363,PRODUCE!$EB$53:$IY$53)</f>
        <v>0</v>
      </c>
      <c r="PE368" s="56"/>
      <c r="PF368" s="242">
        <f t="shared" si="2620"/>
        <v>0</v>
      </c>
      <c r="PG368" s="242">
        <f t="shared" si="2621"/>
        <v>0</v>
      </c>
      <c r="PH368" s="56"/>
      <c r="PK368" s="55">
        <f t="shared" si="2622"/>
        <v>46334</v>
      </c>
      <c r="PL368" s="56"/>
      <c r="PM368" s="242">
        <f>SUMPRODUCT(PRODUCE!$B363:$DY363,PRODUCE!$EB$54:$IY$54)</f>
        <v>0</v>
      </c>
      <c r="PN368" s="56"/>
      <c r="PO368" s="242">
        <f t="shared" si="2623"/>
        <v>0</v>
      </c>
      <c r="PP368" s="242">
        <f t="shared" si="2624"/>
        <v>100</v>
      </c>
      <c r="PQ368" s="56"/>
      <c r="PT368" s="55">
        <f t="shared" si="2625"/>
        <v>46334</v>
      </c>
      <c r="PU368" s="56"/>
      <c r="PV368" s="242">
        <f>SUMPRODUCT(PRODUCE!$B363:$DY363,PRODUCE!$EB$55:$IY$55)</f>
        <v>0</v>
      </c>
      <c r="PW368" s="56"/>
      <c r="PX368" s="242">
        <f t="shared" si="2626"/>
        <v>0</v>
      </c>
      <c r="PY368" s="242">
        <f t="shared" si="2627"/>
        <v>13.960000000000036</v>
      </c>
      <c r="PZ368" s="56"/>
      <c r="QC368" s="55">
        <f t="shared" si="2628"/>
        <v>46334</v>
      </c>
      <c r="QD368" s="56"/>
      <c r="QE368" s="242">
        <f>SUMPRODUCT(PRODUCE!$B363:$DY363,PRODUCE!$EB$56:$IY$56)</f>
        <v>0</v>
      </c>
      <c r="QF368" s="56"/>
      <c r="QG368" s="242">
        <f t="shared" si="2629"/>
        <v>0</v>
      </c>
      <c r="QH368" s="242">
        <f t="shared" si="2630"/>
        <v>548</v>
      </c>
      <c r="QI368" s="56"/>
      <c r="QL368" s="55">
        <f t="shared" si="2631"/>
        <v>46334</v>
      </c>
      <c r="QM368" s="56"/>
      <c r="QN368" s="242">
        <f>SUMPRODUCT(PRODUCE!$B363:$DY363,PRODUCE!$EB$57:$IY$57)</f>
        <v>0</v>
      </c>
      <c r="QO368" s="56"/>
      <c r="QP368" s="242">
        <f t="shared" si="2632"/>
        <v>0</v>
      </c>
      <c r="QQ368" s="242">
        <f t="shared" si="2633"/>
        <v>0</v>
      </c>
      <c r="QR368" s="56"/>
      <c r="QU368" s="55">
        <f t="shared" si="2634"/>
        <v>46334</v>
      </c>
      <c r="QV368" s="56"/>
      <c r="QW368" s="242">
        <f>SUMPRODUCT(PRODUCE!$B363:$DY363,PRODUCE!$EB$57:$IY$57)</f>
        <v>0</v>
      </c>
      <c r="QX368" s="56"/>
      <c r="QY368" s="242">
        <f t="shared" si="2635"/>
        <v>0</v>
      </c>
      <c r="QZ368" s="242">
        <f t="shared" si="2636"/>
        <v>0</v>
      </c>
      <c r="RA368" s="56"/>
      <c r="RD368" s="55">
        <f t="shared" si="2637"/>
        <v>46334</v>
      </c>
      <c r="RE368" s="56"/>
      <c r="RF368" s="242">
        <f>SUMPRODUCT(PRODUCE!$B363:$DY363,PRODUCE!$EB$58:$IY$58)</f>
        <v>0</v>
      </c>
      <c r="RG368" s="56"/>
      <c r="RH368" s="242">
        <f t="shared" si="2638"/>
        <v>0</v>
      </c>
      <c r="RI368" s="242">
        <f t="shared" si="2639"/>
        <v>147.04000000000002</v>
      </c>
      <c r="RJ368" s="56"/>
      <c r="RM368" s="55">
        <f t="shared" si="2640"/>
        <v>46334</v>
      </c>
      <c r="RN368" s="56"/>
      <c r="RO368" s="242">
        <f>SUMPRODUCT(PRODUCE!$B363:$DY363,PRODUCE!$EB$57:$IY$57)</f>
        <v>0</v>
      </c>
      <c r="RP368" s="56"/>
      <c r="RQ368" s="242">
        <f t="shared" si="2641"/>
        <v>0</v>
      </c>
      <c r="RR368" s="242">
        <f t="shared" si="2642"/>
        <v>46.8</v>
      </c>
      <c r="RS368" s="56"/>
      <c r="RV368" s="55">
        <f t="shared" si="2643"/>
        <v>46334</v>
      </c>
      <c r="RW368" s="56"/>
      <c r="RX368" s="242">
        <f>SUMPRODUCT(PRODUCE!$B363:$DY363,PRODUCE!$EB$57:$IY$57)</f>
        <v>0</v>
      </c>
      <c r="RY368" s="56"/>
      <c r="RZ368" s="242">
        <f t="shared" si="2644"/>
        <v>0</v>
      </c>
      <c r="SA368" s="242">
        <f t="shared" si="2645"/>
        <v>0</v>
      </c>
      <c r="SB368" s="56"/>
      <c r="SE368" s="55">
        <f t="shared" si="2646"/>
        <v>46334</v>
      </c>
      <c r="SF368" s="56"/>
      <c r="SG368" s="242">
        <f>SUMPRODUCT(PRODUCE!$B363:$DY363,PRODUCE!$EB$61:$IY$61)</f>
        <v>0</v>
      </c>
      <c r="SH368" s="56"/>
      <c r="SI368" s="242">
        <f t="shared" si="2647"/>
        <v>0</v>
      </c>
      <c r="SJ368" s="242">
        <f t="shared" si="2648"/>
        <v>24.200000000000003</v>
      </c>
      <c r="SK368" s="56"/>
      <c r="SN368" s="55">
        <f t="shared" si="2649"/>
        <v>46334</v>
      </c>
      <c r="SO368" s="56"/>
      <c r="SP368" s="242">
        <f>SUMPRODUCT(PRODUCE!$B363:$DY363,PRODUCE!$EB$57:$IY$57)</f>
        <v>0</v>
      </c>
      <c r="SQ368" s="56"/>
      <c r="SR368" s="242">
        <f t="shared" si="2650"/>
        <v>0</v>
      </c>
      <c r="SS368" s="242">
        <f t="shared" si="2651"/>
        <v>32</v>
      </c>
      <c r="ST368" s="56"/>
      <c r="SW368" s="55">
        <f t="shared" si="2652"/>
        <v>46334</v>
      </c>
      <c r="SX368" s="56"/>
      <c r="SY368" s="242">
        <f>SUMPRODUCT(PRODUCE!$B363:$DY363,PRODUCE!$EB$57:$IY$57)</f>
        <v>0</v>
      </c>
      <c r="SZ368" s="56"/>
      <c r="TA368" s="242">
        <f t="shared" si="2653"/>
        <v>0</v>
      </c>
      <c r="TB368" s="242">
        <f t="shared" si="2654"/>
        <v>0</v>
      </c>
      <c r="TC368" s="56"/>
      <c r="TF368" s="55">
        <f t="shared" si="2655"/>
        <v>46334</v>
      </c>
      <c r="TG368" s="56"/>
      <c r="TH368" s="242">
        <f>SUMPRODUCT(PRODUCE!$B363:$DY363,PRODUCE!$EB$57:$IY$57)</f>
        <v>0</v>
      </c>
      <c r="TI368" s="56"/>
      <c r="TJ368" s="242">
        <f t="shared" si="2656"/>
        <v>0</v>
      </c>
      <c r="TK368" s="242">
        <f t="shared" si="2657"/>
        <v>0</v>
      </c>
      <c r="TL368" s="56"/>
      <c r="TO368" s="55">
        <f t="shared" si="2658"/>
        <v>46334</v>
      </c>
      <c r="TP368" s="56"/>
      <c r="TQ368" s="242">
        <f>SUMPRODUCT(PRODUCE!$B363:$DY363,PRODUCE!$EB$57:$IY$57)</f>
        <v>0</v>
      </c>
      <c r="TR368" s="56"/>
      <c r="TS368" s="242">
        <f t="shared" si="2659"/>
        <v>0</v>
      </c>
      <c r="TT368" s="242">
        <f t="shared" si="2660"/>
        <v>0</v>
      </c>
      <c r="TU368" s="56"/>
      <c r="TX368" s="55">
        <f t="shared" si="2661"/>
        <v>46334</v>
      </c>
      <c r="TY368" s="56"/>
      <c r="TZ368" s="242">
        <f>SUMPRODUCT(PRODUCE!$B363:$DY363,PRODUCE!$EB$57:$IY$57)</f>
        <v>0</v>
      </c>
      <c r="UA368" s="56"/>
      <c r="UB368" s="242">
        <f t="shared" si="2662"/>
        <v>0</v>
      </c>
      <c r="UC368" s="242">
        <f t="shared" si="2663"/>
        <v>46.799999999999983</v>
      </c>
      <c r="UD368" s="56"/>
      <c r="UG368" s="55">
        <f t="shared" si="2664"/>
        <v>46334</v>
      </c>
      <c r="UH368" s="56"/>
      <c r="UI368" s="242">
        <f>SUMPRODUCT(PRODUCE!$B363:$DY363,PRODUCE!$EB$57:$IY$57)</f>
        <v>0</v>
      </c>
      <c r="UJ368" s="56"/>
      <c r="UK368" s="242">
        <f t="shared" si="2665"/>
        <v>0</v>
      </c>
      <c r="UL368" s="242">
        <f t="shared" si="2666"/>
        <v>204</v>
      </c>
      <c r="UM368" s="56"/>
      <c r="UP368" s="55">
        <f t="shared" si="2667"/>
        <v>46334</v>
      </c>
      <c r="UQ368" s="56"/>
      <c r="UR368" s="242">
        <f>SUMPRODUCT(PRODUCE!$B363:$DY363,PRODUCE!$EB$57:$IY$57)</f>
        <v>0</v>
      </c>
      <c r="US368" s="56"/>
      <c r="UT368" s="242">
        <f t="shared" si="2668"/>
        <v>0</v>
      </c>
      <c r="UU368" s="242">
        <f t="shared" si="2669"/>
        <v>202.5</v>
      </c>
      <c r="UV368" s="56"/>
      <c r="UY368" s="55">
        <f t="shared" si="2670"/>
        <v>46334</v>
      </c>
      <c r="UZ368" s="56"/>
      <c r="VA368" s="242">
        <f>SUMPRODUCT(PRODUCE!$B363:$DY363,PRODUCE!$EB$57:$IY$57)</f>
        <v>0</v>
      </c>
      <c r="VB368" s="56"/>
      <c r="VC368" s="242">
        <f t="shared" si="2671"/>
        <v>0</v>
      </c>
      <c r="VD368" s="242">
        <f t="shared" si="2672"/>
        <v>41.600000000000023</v>
      </c>
      <c r="VE368" s="56"/>
      <c r="VH368" s="55">
        <f t="shared" si="2673"/>
        <v>46334</v>
      </c>
      <c r="VI368" s="56"/>
      <c r="VJ368" s="242">
        <f>SUMPRODUCT(PRODUCE!$B363:$DY363,PRODUCE!$EB$57:$IY$57)</f>
        <v>0</v>
      </c>
      <c r="VK368" s="56"/>
      <c r="VL368" s="242">
        <f t="shared" si="2674"/>
        <v>0</v>
      </c>
      <c r="VM368" s="242">
        <f t="shared" si="2675"/>
        <v>210</v>
      </c>
      <c r="VN368" s="56"/>
      <c r="VQ368" s="55">
        <f t="shared" si="2676"/>
        <v>46334</v>
      </c>
      <c r="VR368" s="56"/>
      <c r="VS368" s="242">
        <f>SUMPRODUCT(PRODUCE!$B363:$DY363,PRODUCE!$EB$57:$IY$57)</f>
        <v>0</v>
      </c>
      <c r="VT368" s="56"/>
      <c r="VU368" s="242">
        <f t="shared" si="2677"/>
        <v>0</v>
      </c>
      <c r="VV368" s="242">
        <f t="shared" si="2678"/>
        <v>0</v>
      </c>
      <c r="VW368" s="56"/>
      <c r="VZ368" s="55">
        <f t="shared" si="2679"/>
        <v>46334</v>
      </c>
      <c r="WA368" s="56"/>
      <c r="WB368" s="242">
        <f>SUMPRODUCT(PRODUCE!$B363:$DY363,PRODUCE!$EB$57:$IY$57)</f>
        <v>0</v>
      </c>
      <c r="WC368" s="56"/>
      <c r="WD368" s="242">
        <f t="shared" si="2680"/>
        <v>0</v>
      </c>
      <c r="WE368" s="242">
        <f t="shared" si="2681"/>
        <v>0</v>
      </c>
      <c r="WF368" s="56"/>
      <c r="WI368" s="55">
        <f t="shared" si="2682"/>
        <v>46334</v>
      </c>
      <c r="WJ368" s="56"/>
      <c r="WK368" s="242">
        <f>SUMPRODUCT(PRODUCE!$B363:$DY363,PRODUCE!$EB$57:$IY$57)</f>
        <v>0</v>
      </c>
      <c r="WL368" s="56"/>
      <c r="WM368" s="242">
        <f t="shared" si="2683"/>
        <v>0</v>
      </c>
      <c r="WN368" s="242">
        <f t="shared" si="2684"/>
        <v>1057</v>
      </c>
      <c r="WO368" s="56"/>
      <c r="WR368" s="55">
        <f t="shared" si="2685"/>
        <v>46334</v>
      </c>
      <c r="WS368" s="56"/>
      <c r="WT368" s="242">
        <f>SUMPRODUCT(PRODUCE!$B363:$DY363,PRODUCE!$EB$57:$IY$57)</f>
        <v>0</v>
      </c>
      <c r="WU368" s="56"/>
      <c r="WV368" s="242">
        <f t="shared" si="2686"/>
        <v>0</v>
      </c>
      <c r="WW368" s="242">
        <f t="shared" si="2687"/>
        <v>0</v>
      </c>
      <c r="WX368" s="56"/>
      <c r="XA368" s="55">
        <f t="shared" si="2688"/>
        <v>46334</v>
      </c>
      <c r="XB368" s="56"/>
      <c r="XC368" s="242">
        <f>SUMPRODUCT(PRODUCE!$B363:$DY363,PRODUCE!$EB$57:$IY$57)</f>
        <v>0</v>
      </c>
      <c r="XD368" s="56"/>
      <c r="XE368" s="242">
        <f t="shared" si="2689"/>
        <v>0</v>
      </c>
      <c r="XF368" s="242">
        <f t="shared" si="2690"/>
        <v>7507</v>
      </c>
      <c r="XG368" s="56"/>
      <c r="XJ368" s="55">
        <f t="shared" si="2691"/>
        <v>46334</v>
      </c>
      <c r="XK368" s="56"/>
      <c r="XL368" s="242">
        <f>SUMPRODUCT(PRODUCE!$B363:$DY363,PRODUCE!$EB$57:$IY$57)</f>
        <v>0</v>
      </c>
      <c r="XM368" s="56"/>
      <c r="XN368" s="242">
        <f t="shared" si="2692"/>
        <v>0</v>
      </c>
      <c r="XO368" s="242">
        <f t="shared" si="2693"/>
        <v>4252</v>
      </c>
      <c r="XP368" s="56"/>
      <c r="XS368" s="55">
        <f t="shared" si="2694"/>
        <v>46334</v>
      </c>
      <c r="XT368" s="56"/>
      <c r="XU368" s="242">
        <f>SUMPRODUCT(PRODUCE!$B363:$DY363,PRODUCE!$EB$57:$IY$57)</f>
        <v>0</v>
      </c>
      <c r="XV368" s="56"/>
      <c r="XW368" s="242">
        <f t="shared" si="2695"/>
        <v>0</v>
      </c>
      <c r="XX368" s="242">
        <f t="shared" si="2696"/>
        <v>2179</v>
      </c>
      <c r="XY368" s="56"/>
      <c r="YB368" s="55">
        <f t="shared" si="2697"/>
        <v>46334</v>
      </c>
      <c r="YC368" s="56"/>
      <c r="YD368" s="242">
        <f>SUMPRODUCT(PRODUCE!$B363:$DY363,PRODUCE!$EB$57:$IY$57)</f>
        <v>0</v>
      </c>
      <c r="YE368" s="56"/>
      <c r="YF368" s="242">
        <f t="shared" si="2698"/>
        <v>0</v>
      </c>
      <c r="YG368" s="242">
        <f t="shared" si="2699"/>
        <v>4019</v>
      </c>
      <c r="YH368" s="56"/>
      <c r="YK368" s="55">
        <f t="shared" si="2700"/>
        <v>46334</v>
      </c>
      <c r="YL368" s="56"/>
      <c r="YM368" s="242">
        <f>SUMPRODUCT(PRODUCE!$B363:$DY363,PRODUCE!$EB$57:$IY$57)</f>
        <v>0</v>
      </c>
      <c r="YN368" s="56"/>
      <c r="YO368" s="242">
        <f t="shared" si="2701"/>
        <v>0</v>
      </c>
      <c r="YP368" s="242">
        <f t="shared" si="2702"/>
        <v>-218</v>
      </c>
      <c r="YQ368" s="56"/>
      <c r="YT368" s="55">
        <f t="shared" si="2703"/>
        <v>46334</v>
      </c>
      <c r="YU368" s="56"/>
      <c r="YV368" s="242">
        <f>SUMPRODUCT(PRODUCE!$B363:$DY363,PRODUCE!$EB$57:$IY$57)</f>
        <v>0</v>
      </c>
      <c r="YW368" s="56"/>
      <c r="YX368" s="242">
        <f t="shared" si="2704"/>
        <v>0</v>
      </c>
      <c r="YY368" s="242">
        <f t="shared" si="2705"/>
        <v>0</v>
      </c>
      <c r="YZ368" s="56"/>
      <c r="ZC368" s="55">
        <f t="shared" si="2706"/>
        <v>46334</v>
      </c>
      <c r="ZD368" s="56"/>
      <c r="ZE368" s="242">
        <f>SUMPRODUCT(PRODUCE!$B363:$DY363,PRODUCE!$EB$57:$IY$57)</f>
        <v>0</v>
      </c>
      <c r="ZF368" s="56"/>
      <c r="ZG368" s="242">
        <f t="shared" si="2707"/>
        <v>0</v>
      </c>
      <c r="ZH368" s="242">
        <f t="shared" si="2708"/>
        <v>0</v>
      </c>
      <c r="ZI368" s="56"/>
      <c r="ZL368" s="55">
        <f t="shared" si="2709"/>
        <v>46334</v>
      </c>
      <c r="ZM368" s="56"/>
      <c r="ZN368" s="242">
        <f>SUMPRODUCT(PRODUCE!$B363:$DY363,PRODUCE!$EB$57:$IY$57)</f>
        <v>0</v>
      </c>
      <c r="ZO368" s="56"/>
      <c r="ZP368" s="242">
        <f t="shared" si="2710"/>
        <v>0</v>
      </c>
      <c r="ZQ368" s="242">
        <f t="shared" si="2711"/>
        <v>0</v>
      </c>
      <c r="ZR368" s="56"/>
      <c r="ZU368" s="55">
        <f t="shared" si="2712"/>
        <v>46334</v>
      </c>
      <c r="ZV368" s="56"/>
      <c r="ZW368" s="242">
        <f>SUMPRODUCT(PRODUCE!$B363:$DY363,PRODUCE!$EB$57:$IY$57)</f>
        <v>0</v>
      </c>
      <c r="ZX368" s="56"/>
      <c r="ZY368" s="242">
        <f t="shared" si="2713"/>
        <v>0</v>
      </c>
      <c r="ZZ368" s="242">
        <f t="shared" si="2714"/>
        <v>0</v>
      </c>
      <c r="AAA368" s="56"/>
      <c r="AAD368" s="55">
        <f t="shared" si="2715"/>
        <v>46334</v>
      </c>
      <c r="AAE368" s="56"/>
      <c r="AAF368" s="242">
        <f>SUMPRODUCT(PRODUCE!$B363:$DY363,PRODUCE!$EB$57:$IY$57)</f>
        <v>0</v>
      </c>
      <c r="AAG368" s="56"/>
      <c r="AAH368" s="242">
        <f t="shared" si="2716"/>
        <v>0</v>
      </c>
      <c r="AAI368" s="242">
        <f t="shared" si="2717"/>
        <v>0</v>
      </c>
      <c r="AAJ368" s="56"/>
      <c r="AAM368" s="55">
        <f t="shared" si="2718"/>
        <v>46334</v>
      </c>
      <c r="AAN368" s="56"/>
      <c r="AAO368" s="242">
        <f>SUMPRODUCT(PRODUCE!$B363:$DY363,PRODUCE!$EB$57:$IY$57)</f>
        <v>0</v>
      </c>
      <c r="AAP368" s="56"/>
      <c r="AAQ368" s="242">
        <f t="shared" si="2719"/>
        <v>0</v>
      </c>
      <c r="AAR368" s="242">
        <f t="shared" si="2720"/>
        <v>0</v>
      </c>
      <c r="AAS368" s="56"/>
      <c r="AAV368" s="55">
        <f t="shared" si="2721"/>
        <v>46334</v>
      </c>
      <c r="AAW368" s="56"/>
      <c r="AAX368" s="242">
        <f>SUMPRODUCT(PRODUCE!$B363:$DY363,PRODUCE!$EB$57:$IY$57)</f>
        <v>0</v>
      </c>
      <c r="AAY368" s="56"/>
      <c r="AAZ368" s="242">
        <f t="shared" si="2722"/>
        <v>0</v>
      </c>
      <c r="ABA368" s="242">
        <f t="shared" si="2723"/>
        <v>0</v>
      </c>
      <c r="ABB368" s="56"/>
      <c r="ABE368" s="55">
        <f t="shared" si="2724"/>
        <v>46334</v>
      </c>
      <c r="ABF368" s="56"/>
      <c r="ABG368" s="242">
        <f>SUMPRODUCT(PRODUCE!$B363:$DY363,PRODUCE!$EB$57:$IY$57)</f>
        <v>0</v>
      </c>
      <c r="ABH368" s="56"/>
      <c r="ABI368" s="242">
        <f t="shared" si="2725"/>
        <v>0</v>
      </c>
      <c r="ABJ368" s="242">
        <f t="shared" si="2726"/>
        <v>0</v>
      </c>
      <c r="ABK368" s="56"/>
    </row>
    <row r="369" spans="2:739" s="54" customFormat="1" ht="15" customHeight="1" outlineLevel="1">
      <c r="B369" s="478"/>
      <c r="C369" s="55">
        <v>46335</v>
      </c>
      <c r="D369" s="56"/>
      <c r="E369" s="57">
        <f>SUMPRODUCT(PRODUCE!$B364:$DY364,PRODUCE!$EB$7:$IY$7)</f>
        <v>0</v>
      </c>
      <c r="F369" s="56"/>
      <c r="G369" s="57">
        <f t="shared" si="2482"/>
        <v>0</v>
      </c>
      <c r="H369" s="57">
        <f t="shared" si="2483"/>
        <v>236936.6</v>
      </c>
      <c r="I369" s="289"/>
      <c r="L369" s="55">
        <f t="shared" si="2484"/>
        <v>46335</v>
      </c>
      <c r="M369" s="56"/>
      <c r="N369" s="59">
        <f>SUMPRODUCT(PRODUCE!$B364:$DY364,PRODUCE!$EB$8:$IY$8)</f>
        <v>0</v>
      </c>
      <c r="O369" s="56"/>
      <c r="P369" s="59">
        <f t="shared" si="2485"/>
        <v>0</v>
      </c>
      <c r="Q369" s="59">
        <f t="shared" si="2486"/>
        <v>53017.600000000071</v>
      </c>
      <c r="R369" s="56"/>
      <c r="U369" s="55">
        <f t="shared" si="2487"/>
        <v>46335</v>
      </c>
      <c r="V369" s="56"/>
      <c r="W369" s="60">
        <f>SUMPRODUCT(PRODUCE!$B364:$DY364,PRODUCE!$EB$9:$IY$9)</f>
        <v>0</v>
      </c>
      <c r="X369" s="56"/>
      <c r="Y369" s="60">
        <f t="shared" si="2488"/>
        <v>0</v>
      </c>
      <c r="Z369" s="60">
        <f t="shared" si="2489"/>
        <v>42674.199999999968</v>
      </c>
      <c r="AA369" s="56"/>
      <c r="AD369" s="55">
        <f t="shared" si="2490"/>
        <v>46335</v>
      </c>
      <c r="AE369" s="56"/>
      <c r="AF369" s="61">
        <f>SUMPRODUCT(PRODUCE!$B364:$DY364,PRODUCE!$EB$10:$IY$10)</f>
        <v>0</v>
      </c>
      <c r="AG369" s="56"/>
      <c r="AH369" s="61">
        <f t="shared" si="2491"/>
        <v>0</v>
      </c>
      <c r="AI369" s="61">
        <f t="shared" si="2492"/>
        <v>4522.2000000000189</v>
      </c>
      <c r="AJ369" s="56"/>
      <c r="AM369" s="55">
        <f t="shared" si="2493"/>
        <v>46335</v>
      </c>
      <c r="AN369" s="422"/>
      <c r="AO369" s="444">
        <f>SUMPRODUCT(PRODUCE!$B364:$DY364,PRODUCE!$EB$11:$IY$11)</f>
        <v>0</v>
      </c>
      <c r="AP369" s="422"/>
      <c r="AQ369" s="444">
        <f t="shared" si="2494"/>
        <v>0</v>
      </c>
      <c r="AR369" s="444">
        <f t="shared" si="2495"/>
        <v>0</v>
      </c>
      <c r="AS369" s="56"/>
      <c r="AV369" s="55">
        <f t="shared" si="2496"/>
        <v>46335</v>
      </c>
      <c r="AW369" s="56"/>
      <c r="AX369" s="62">
        <f>SUMPRODUCT(PRODUCE!$B364:$DY364,PRODUCE!$EB$12:$IY$12)</f>
        <v>0</v>
      </c>
      <c r="AY369" s="56"/>
      <c r="AZ369" s="62">
        <f t="shared" si="2497"/>
        <v>0</v>
      </c>
      <c r="BA369" s="62">
        <f t="shared" si="2498"/>
        <v>124.99999999999523</v>
      </c>
      <c r="BB369" s="56"/>
      <c r="BE369" s="55">
        <f t="shared" si="2499"/>
        <v>46335</v>
      </c>
      <c r="BF369" s="56"/>
      <c r="BG369" s="63">
        <f>SUMPRODUCT(PRODUCE!$B364:$DY364,PRODUCE!$EB$13:$IY$13)</f>
        <v>0</v>
      </c>
      <c r="BH369" s="56"/>
      <c r="BI369" s="63">
        <f t="shared" si="2500"/>
        <v>0</v>
      </c>
      <c r="BJ369" s="63">
        <f t="shared" si="2501"/>
        <v>26151.899999999998</v>
      </c>
      <c r="BK369" s="56"/>
      <c r="BN369" s="55">
        <f t="shared" si="2502"/>
        <v>46335</v>
      </c>
      <c r="BO369" s="56"/>
      <c r="BP369" s="64">
        <f>SUMPRODUCT(PRODUCE!$B364:$DY364,PRODUCE!$EB$14:$IY$14)</f>
        <v>0</v>
      </c>
      <c r="BQ369" s="56"/>
      <c r="BR369" s="64">
        <f t="shared" si="2503"/>
        <v>0</v>
      </c>
      <c r="BS369" s="64">
        <f t="shared" si="2504"/>
        <v>0</v>
      </c>
      <c r="BT369" s="56"/>
      <c r="BW369" s="55">
        <f t="shared" si="2505"/>
        <v>46335</v>
      </c>
      <c r="BX369" s="56"/>
      <c r="BY369" s="65">
        <f>SUMPRODUCT(PRODUCE!$B364:$DY364,PRODUCE!$EB$15:$IY$15)</f>
        <v>0</v>
      </c>
      <c r="BZ369" s="56"/>
      <c r="CA369" s="65">
        <f t="shared" si="2506"/>
        <v>0</v>
      </c>
      <c r="CB369" s="65">
        <f t="shared" si="2507"/>
        <v>2097.3399999999992</v>
      </c>
      <c r="CC369" s="56"/>
      <c r="CF369" s="55">
        <f t="shared" si="2508"/>
        <v>46335</v>
      </c>
      <c r="CG369" s="56"/>
      <c r="CH369" s="66">
        <f>SUMPRODUCT(PRODUCE!$B364:$DY364,PRODUCE!$EB$16:$IY$16)</f>
        <v>0</v>
      </c>
      <c r="CI369" s="56"/>
      <c r="CJ369" s="66">
        <f t="shared" si="2509"/>
        <v>0</v>
      </c>
      <c r="CK369" s="66">
        <f t="shared" si="2510"/>
        <v>-10277.079999999998</v>
      </c>
      <c r="CL369" s="56"/>
      <c r="CO369" s="55">
        <f t="shared" si="2511"/>
        <v>46335</v>
      </c>
      <c r="CP369" s="422"/>
      <c r="CQ369" s="470">
        <f>SUMPRODUCT(PRODUCE!$B364:$DY364,PRODUCE!$EB$17:$IY$17)</f>
        <v>0</v>
      </c>
      <c r="CR369" s="422"/>
      <c r="CS369" s="470">
        <f t="shared" si="2512"/>
        <v>0</v>
      </c>
      <c r="CT369" s="470">
        <f t="shared" si="2513"/>
        <v>0</v>
      </c>
      <c r="CU369" s="56"/>
      <c r="CX369" s="55">
        <f t="shared" si="2514"/>
        <v>46335</v>
      </c>
      <c r="CY369" s="56"/>
      <c r="CZ369" s="133">
        <f>SUMPRODUCT(PRODUCE!$B364:$DY364,PRODUCE!$EB$18:$IY$18)</f>
        <v>0</v>
      </c>
      <c r="DA369" s="56"/>
      <c r="DB369" s="133">
        <f t="shared" si="2515"/>
        <v>0</v>
      </c>
      <c r="DC369" s="133">
        <f t="shared" si="2516"/>
        <v>27438.200000000012</v>
      </c>
      <c r="DD369" s="56"/>
      <c r="DG369" s="55">
        <f t="shared" si="2517"/>
        <v>46335</v>
      </c>
      <c r="DH369" s="56"/>
      <c r="DI369" s="147">
        <f>SUMPRODUCT(PRODUCE!$B364:$DY364,PRODUCE!$EB$19:$IY$19)</f>
        <v>0</v>
      </c>
      <c r="DJ369" s="56"/>
      <c r="DK369" s="147">
        <f t="shared" si="2518"/>
        <v>0</v>
      </c>
      <c r="DL369" s="147">
        <f t="shared" si="2519"/>
        <v>18782.299999999981</v>
      </c>
      <c r="DM369" s="56"/>
      <c r="DP369" s="55">
        <f t="shared" si="2520"/>
        <v>46335</v>
      </c>
      <c r="DQ369" s="56"/>
      <c r="DR369" s="57">
        <f>SUMPRODUCT(PRODUCE!$B364:$DY364,PRODUCE!$EB$20:$IY$20)</f>
        <v>0</v>
      </c>
      <c r="DS369" s="56"/>
      <c r="DT369" s="57">
        <f t="shared" si="2521"/>
        <v>0</v>
      </c>
      <c r="DU369" s="57">
        <f t="shared" si="2522"/>
        <v>5800</v>
      </c>
      <c r="DV369" s="56"/>
      <c r="DY369" s="55">
        <f t="shared" si="2523"/>
        <v>46335</v>
      </c>
      <c r="DZ369" s="56"/>
      <c r="EA369" s="157">
        <f>SUMPRODUCT(PRODUCE!$B364:$DY364,PRODUCE!$EB$21:$IY$21)</f>
        <v>0</v>
      </c>
      <c r="EB369" s="56"/>
      <c r="EC369" s="157">
        <f t="shared" si="2524"/>
        <v>0</v>
      </c>
      <c r="ED369" s="157">
        <f t="shared" si="2525"/>
        <v>0</v>
      </c>
      <c r="EE369" s="56"/>
      <c r="EH369" s="55">
        <f t="shared" si="2526"/>
        <v>46335</v>
      </c>
      <c r="EI369" s="56"/>
      <c r="EJ369" s="162">
        <f>SUMPRODUCT(PRODUCE!$B364:$DY364,PRODUCE!$EB$22:$IY$22)</f>
        <v>0</v>
      </c>
      <c r="EK369" s="56"/>
      <c r="EL369" s="162">
        <f t="shared" si="2527"/>
        <v>0</v>
      </c>
      <c r="EM369" s="162">
        <f t="shared" si="2528"/>
        <v>0</v>
      </c>
      <c r="EN369" s="56"/>
      <c r="EQ369" s="55">
        <f t="shared" si="2529"/>
        <v>46335</v>
      </c>
      <c r="ER369" s="56"/>
      <c r="ES369" s="135">
        <f>SUMPRODUCT(PRODUCE!$B364:$DY364,PRODUCE!$EB$23:$IY$23)</f>
        <v>0</v>
      </c>
      <c r="ET369" s="56"/>
      <c r="EU369" s="135">
        <f t="shared" si="2530"/>
        <v>0</v>
      </c>
      <c r="EV369" s="135">
        <f t="shared" si="2531"/>
        <v>0</v>
      </c>
      <c r="EW369" s="56"/>
      <c r="EZ369" s="55">
        <f t="shared" si="2532"/>
        <v>46335</v>
      </c>
      <c r="FA369" s="56"/>
      <c r="FB369" s="175">
        <f>SUMPRODUCT(PRODUCE!$B364:$DY364,PRODUCE!$EB$24:$IY$24)</f>
        <v>0</v>
      </c>
      <c r="FC369" s="56"/>
      <c r="FD369" s="175">
        <f t="shared" si="2533"/>
        <v>0</v>
      </c>
      <c r="FE369" s="175">
        <f t="shared" si="2534"/>
        <v>0</v>
      </c>
      <c r="FF369" s="56"/>
      <c r="FI369" s="55">
        <f t="shared" si="2535"/>
        <v>46335</v>
      </c>
      <c r="FJ369" s="56"/>
      <c r="FK369" s="183">
        <f>SUMPRODUCT(PRODUCE!$B364:$DY364,PRODUCE!$EB$25:$IY$25)</f>
        <v>0</v>
      </c>
      <c r="FL369" s="56"/>
      <c r="FM369" s="183">
        <f t="shared" si="2536"/>
        <v>0</v>
      </c>
      <c r="FN369" s="183">
        <f t="shared" si="2537"/>
        <v>0</v>
      </c>
      <c r="FO369" s="56"/>
      <c r="FR369" s="55">
        <f t="shared" si="2538"/>
        <v>46335</v>
      </c>
      <c r="FS369" s="56"/>
      <c r="FT369" s="186">
        <f>SUMPRODUCT(PRODUCE!$B364:$DY364,PRODUCE!$EB$26:$IY$26)</f>
        <v>0</v>
      </c>
      <c r="FU369" s="56"/>
      <c r="FV369" s="186">
        <f t="shared" si="2539"/>
        <v>0</v>
      </c>
      <c r="FW369" s="186">
        <f t="shared" si="2540"/>
        <v>2020</v>
      </c>
      <c r="FX369" s="56"/>
      <c r="GA369" s="55">
        <f t="shared" si="2541"/>
        <v>46335</v>
      </c>
      <c r="GB369" s="56"/>
      <c r="GC369" s="137">
        <f>SUMPRODUCT(PRODUCE!$B364:$DY364,PRODUCE!$EB$27:$IY$27)</f>
        <v>0</v>
      </c>
      <c r="GD369" s="56"/>
      <c r="GE369" s="137">
        <f t="shared" si="2542"/>
        <v>0</v>
      </c>
      <c r="GF369" s="137">
        <f t="shared" si="2543"/>
        <v>960</v>
      </c>
      <c r="GG369" s="56"/>
      <c r="GI369" s="23"/>
      <c r="GJ369" s="55">
        <f t="shared" si="2544"/>
        <v>46335</v>
      </c>
      <c r="GK369" s="56"/>
      <c r="GL369" s="199">
        <f>SUMPRODUCT(PRODUCE!$B364:$DY364,PRODUCE!$EB$28:$IY$28)</f>
        <v>0</v>
      </c>
      <c r="GM369" s="56"/>
      <c r="GN369" s="199">
        <f t="shared" si="2545"/>
        <v>0</v>
      </c>
      <c r="GO369" s="199">
        <f t="shared" si="2546"/>
        <v>1760</v>
      </c>
      <c r="GP369" s="56"/>
      <c r="GS369" s="55">
        <f t="shared" si="2547"/>
        <v>46335</v>
      </c>
      <c r="GT369" s="56"/>
      <c r="GU369" s="195">
        <f>SUMPRODUCT(PRODUCE!$B364:$DY364,PRODUCE!$EB$29:$IY$29)</f>
        <v>0</v>
      </c>
      <c r="GV369" s="56"/>
      <c r="GW369" s="195">
        <f t="shared" si="2548"/>
        <v>0</v>
      </c>
      <c r="GX369" s="195">
        <f t="shared" si="2549"/>
        <v>400</v>
      </c>
      <c r="GY369" s="56"/>
      <c r="HB369" s="55">
        <f t="shared" si="2550"/>
        <v>46335</v>
      </c>
      <c r="HC369" s="56"/>
      <c r="HD369" s="191">
        <f>SUMPRODUCT(PRODUCE!$B364:$DY364,PRODUCE!$EB$30:$IY$30)</f>
        <v>0</v>
      </c>
      <c r="HE369" s="56"/>
      <c r="HF369" s="191">
        <f t="shared" si="2551"/>
        <v>0</v>
      </c>
      <c r="HG369" s="191">
        <f t="shared" si="2552"/>
        <v>3600</v>
      </c>
      <c r="HH369" s="56"/>
      <c r="HK369" s="55">
        <f t="shared" si="2553"/>
        <v>46335</v>
      </c>
      <c r="HL369" s="56"/>
      <c r="HM369" s="63">
        <f>SUMPRODUCT(PRODUCE!$B364:$DY364,PRODUCE!$EB$31:$IY$31)</f>
        <v>0</v>
      </c>
      <c r="HN369" s="56"/>
      <c r="HO369" s="63">
        <f t="shared" si="2554"/>
        <v>0</v>
      </c>
      <c r="HP369" s="63">
        <f t="shared" si="2555"/>
        <v>0</v>
      </c>
      <c r="HQ369" s="56"/>
      <c r="HU369" s="55">
        <f t="shared" si="2556"/>
        <v>46335</v>
      </c>
      <c r="HV369" s="56"/>
      <c r="HW369" s="242">
        <f>SUMPRODUCT(PRODUCE!$B364:$DY364,PRODUCE!$EB$32:$IY$32)</f>
        <v>0</v>
      </c>
      <c r="HX369" s="56"/>
      <c r="HY369" s="242">
        <f t="shared" si="2557"/>
        <v>0</v>
      </c>
      <c r="HZ369" s="242">
        <f t="shared" si="2558"/>
        <v>6120</v>
      </c>
      <c r="IA369" s="56"/>
      <c r="ID369" s="55">
        <f t="shared" si="2559"/>
        <v>46335</v>
      </c>
      <c r="IE369" s="56"/>
      <c r="IF369" s="242">
        <f>SUMPRODUCT(PRODUCE!$B364:$DY364,PRODUCE!$EB$33:$IY$33)</f>
        <v>0</v>
      </c>
      <c r="IG369" s="56"/>
      <c r="IH369" s="242">
        <f t="shared" si="2560"/>
        <v>0</v>
      </c>
      <c r="II369" s="242">
        <f t="shared" si="2561"/>
        <v>0</v>
      </c>
      <c r="IJ369" s="56"/>
      <c r="IM369" s="55">
        <f t="shared" si="2562"/>
        <v>46335</v>
      </c>
      <c r="IN369" s="56"/>
      <c r="IO369" s="242">
        <f>SUMPRODUCT(PRODUCE!$B364:$DY364,PRODUCE!$EB$34:$IY$34)</f>
        <v>0</v>
      </c>
      <c r="IP369" s="56"/>
      <c r="IQ369" s="242">
        <f t="shared" si="2563"/>
        <v>0</v>
      </c>
      <c r="IR369" s="242">
        <f t="shared" si="2564"/>
        <v>0</v>
      </c>
      <c r="IS369" s="56"/>
      <c r="IV369" s="55">
        <f t="shared" si="2565"/>
        <v>46335</v>
      </c>
      <c r="IW369" s="56"/>
      <c r="IX369" s="242">
        <f>SUMPRODUCT(PRODUCE!$B364:$DY364,PRODUCE!$EB$35:$IY$35)</f>
        <v>0</v>
      </c>
      <c r="IY369" s="56"/>
      <c r="IZ369" s="242">
        <f t="shared" si="2566"/>
        <v>0</v>
      </c>
      <c r="JA369" s="242">
        <f t="shared" si="2567"/>
        <v>2820</v>
      </c>
      <c r="JB369" s="56"/>
      <c r="JE369" s="55">
        <f t="shared" si="2568"/>
        <v>46335</v>
      </c>
      <c r="JF369" s="56"/>
      <c r="JG369" s="242">
        <f>SUMPRODUCT(PRODUCE!$B364:$DY364,PRODUCE!$EB$36:$IY$36)</f>
        <v>0</v>
      </c>
      <c r="JH369" s="56"/>
      <c r="JI369" s="242">
        <f t="shared" si="2569"/>
        <v>0</v>
      </c>
      <c r="JJ369" s="242">
        <f t="shared" si="2570"/>
        <v>0</v>
      </c>
      <c r="JK369" s="56"/>
      <c r="JN369" s="55">
        <f t="shared" si="2571"/>
        <v>46335</v>
      </c>
      <c r="JO369" s="56"/>
      <c r="JP369" s="242">
        <f>SUMPRODUCT(PRODUCE!$B364:$DY364,PRODUCE!$EB$37:$IY$37)</f>
        <v>0</v>
      </c>
      <c r="JQ369" s="56"/>
      <c r="JR369" s="242">
        <f t="shared" si="2572"/>
        <v>0</v>
      </c>
      <c r="JS369" s="242">
        <f t="shared" si="2573"/>
        <v>0</v>
      </c>
      <c r="JT369" s="56"/>
      <c r="JW369" s="55">
        <f t="shared" si="2574"/>
        <v>46335</v>
      </c>
      <c r="JX369" s="56"/>
      <c r="JY369" s="242">
        <f>SUMPRODUCT(PRODUCE!$B364:$DY364,PRODUCE!$EB$38:$IY$38)</f>
        <v>0</v>
      </c>
      <c r="JZ369" s="56"/>
      <c r="KA369" s="242">
        <f t="shared" si="2575"/>
        <v>0</v>
      </c>
      <c r="KB369" s="242">
        <f t="shared" si="2576"/>
        <v>2540</v>
      </c>
      <c r="KC369" s="56"/>
      <c r="KF369" s="55">
        <f t="shared" si="2577"/>
        <v>46335</v>
      </c>
      <c r="KG369" s="56"/>
      <c r="KH369" s="242">
        <f>SUMPRODUCT(PRODUCE!$B364:$DY364,PRODUCE!$EB$39:$IY$39)</f>
        <v>0</v>
      </c>
      <c r="KI369" s="56"/>
      <c r="KJ369" s="242">
        <f t="shared" si="2578"/>
        <v>0</v>
      </c>
      <c r="KK369" s="242">
        <f t="shared" si="2579"/>
        <v>2359.5</v>
      </c>
      <c r="KL369" s="56"/>
      <c r="KO369" s="55">
        <f t="shared" si="2580"/>
        <v>46335</v>
      </c>
      <c r="KP369" s="56"/>
      <c r="KQ369" s="242">
        <f>SUMPRODUCT(PRODUCE!$B364:$DY364,PRODUCE!$EB$40:$IY$40)</f>
        <v>0</v>
      </c>
      <c r="KR369" s="56"/>
      <c r="KS369" s="242">
        <f t="shared" si="2581"/>
        <v>0</v>
      </c>
      <c r="KT369" s="242">
        <f t="shared" si="2582"/>
        <v>1890</v>
      </c>
      <c r="KU369" s="56"/>
      <c r="KW369" s="23"/>
      <c r="KX369" s="55">
        <f t="shared" si="2583"/>
        <v>46335</v>
      </c>
      <c r="KY369" s="56"/>
      <c r="KZ369" s="242">
        <f>SUMPRODUCT(PRODUCE!$B364:$DY364,PRODUCE!$EB$41:$IY$41)</f>
        <v>0</v>
      </c>
      <c r="LA369" s="56"/>
      <c r="LB369" s="242">
        <f t="shared" si="2584"/>
        <v>0</v>
      </c>
      <c r="LC369" s="242">
        <f t="shared" si="2585"/>
        <v>3690</v>
      </c>
      <c r="LD369" s="56"/>
      <c r="LG369" s="55">
        <f t="shared" si="2586"/>
        <v>46335</v>
      </c>
      <c r="LH369" s="56"/>
      <c r="LI369" s="242">
        <f>SUMPRODUCT(PRODUCE!$B364:$DY364,PRODUCE!$EB$42:$IY$42)</f>
        <v>0</v>
      </c>
      <c r="LJ369" s="56"/>
      <c r="LK369" s="242">
        <f t="shared" si="2587"/>
        <v>0</v>
      </c>
      <c r="LL369" s="242">
        <f t="shared" si="2588"/>
        <v>4000</v>
      </c>
      <c r="LM369" s="56"/>
      <c r="LP369" s="55">
        <f t="shared" si="2589"/>
        <v>46335</v>
      </c>
      <c r="LQ369" s="56"/>
      <c r="LR369" s="242">
        <f>SUMPRODUCT(PRODUCE!$B384:$DY384,PRODUCE!$EB$43:$IY$43)</f>
        <v>0</v>
      </c>
      <c r="LS369" s="56"/>
      <c r="LT369" s="242">
        <f t="shared" si="2590"/>
        <v>0</v>
      </c>
      <c r="LU369" s="242">
        <f t="shared" si="2591"/>
        <v>0</v>
      </c>
      <c r="LV369" s="56"/>
      <c r="LY369" s="55">
        <f t="shared" si="2592"/>
        <v>46335</v>
      </c>
      <c r="LZ369" s="56"/>
      <c r="MA369" s="242">
        <f>SUMPRODUCT(PRODUCE!$B364:$DY364,PRODUCE!$EB$44:$IY$44)</f>
        <v>0</v>
      </c>
      <c r="MB369" s="56"/>
      <c r="MC369" s="242">
        <f t="shared" si="2593"/>
        <v>0</v>
      </c>
      <c r="MD369" s="242">
        <f t="shared" si="2594"/>
        <v>0</v>
      </c>
      <c r="ME369" s="56"/>
      <c r="MH369" s="55">
        <f t="shared" si="2595"/>
        <v>46335</v>
      </c>
      <c r="MI369" s="56"/>
      <c r="MJ369" s="242">
        <f>SUMPRODUCT(PRODUCE!$B364:$DY364,PRODUCE!$EB$45:$IY$45)</f>
        <v>0</v>
      </c>
      <c r="MK369" s="56"/>
      <c r="ML369" s="242">
        <f t="shared" si="2596"/>
        <v>0</v>
      </c>
      <c r="MM369" s="242">
        <f t="shared" si="2597"/>
        <v>0</v>
      </c>
      <c r="MN369" s="56"/>
      <c r="MQ369" s="55">
        <f t="shared" si="2598"/>
        <v>46335</v>
      </c>
      <c r="MR369" s="56"/>
      <c r="MS369" s="242">
        <f>SUMPRODUCT(PRODUCE!$B364:$DY364,PRODUCE!$EB$46:$IY$46)</f>
        <v>0</v>
      </c>
      <c r="MT369" s="56"/>
      <c r="MU369" s="242">
        <f t="shared" si="2599"/>
        <v>0</v>
      </c>
      <c r="MV369" s="242">
        <f t="shared" si="2600"/>
        <v>1625</v>
      </c>
      <c r="MW369" s="56"/>
      <c r="MZ369" s="55">
        <f t="shared" si="2601"/>
        <v>46335</v>
      </c>
      <c r="NA369" s="56"/>
      <c r="NB369" s="242">
        <f>SUMPRODUCT(PRODUCE!$B364:$DY364,PRODUCE!$EB$47:$IY$47)</f>
        <v>0</v>
      </c>
      <c r="NC369" s="56"/>
      <c r="ND369" s="242">
        <f t="shared" si="2602"/>
        <v>0</v>
      </c>
      <c r="NE369" s="242">
        <f t="shared" si="2603"/>
        <v>0</v>
      </c>
      <c r="NF369" s="56"/>
      <c r="NI369" s="55">
        <f t="shared" si="2604"/>
        <v>46335</v>
      </c>
      <c r="NJ369" s="56"/>
      <c r="NK369" s="242">
        <f>SUMPRODUCT(PRODUCE!$B364:$DY364,PRODUCE!$EB$48:$IY$48)</f>
        <v>0</v>
      </c>
      <c r="NL369" s="56"/>
      <c r="NM369" s="242">
        <f t="shared" si="2605"/>
        <v>0</v>
      </c>
      <c r="NN369" s="242">
        <f t="shared" si="2606"/>
        <v>1127</v>
      </c>
      <c r="NO369" s="56"/>
      <c r="NR369" s="55">
        <f t="shared" si="2607"/>
        <v>46335</v>
      </c>
      <c r="NS369" s="56"/>
      <c r="NT369" s="242">
        <f>SUMPRODUCT(PRODUCE!$B364:$DY364,PRODUCE!$EB$49:$IY$49)</f>
        <v>0</v>
      </c>
      <c r="NU369" s="56"/>
      <c r="NV369" s="242">
        <f t="shared" si="2608"/>
        <v>0</v>
      </c>
      <c r="NW369" s="242">
        <f t="shared" si="2609"/>
        <v>3111.9999999999995</v>
      </c>
      <c r="NX369" s="56"/>
      <c r="OA369" s="55">
        <f t="shared" si="2610"/>
        <v>46335</v>
      </c>
      <c r="OB369" s="56"/>
      <c r="OC369" s="242">
        <f>SUMPRODUCT(PRODUCE!$B364:$DY364,PRODUCE!$EB$50:$IY$50)</f>
        <v>0</v>
      </c>
      <c r="OD369" s="56"/>
      <c r="OE369" s="242">
        <f t="shared" si="2611"/>
        <v>0</v>
      </c>
      <c r="OF369" s="242">
        <f t="shared" si="2612"/>
        <v>1680.5</v>
      </c>
      <c r="OG369" s="56"/>
      <c r="OJ369" s="55">
        <f t="shared" si="2613"/>
        <v>46335</v>
      </c>
      <c r="OK369" s="56"/>
      <c r="OL369" s="242">
        <f>SUMPRODUCT(PRODUCE!$B364:$DY364,PRODUCE!$EB$51:$IY$51)</f>
        <v>0</v>
      </c>
      <c r="OM369" s="56"/>
      <c r="ON369" s="242">
        <f t="shared" si="2614"/>
        <v>0</v>
      </c>
      <c r="OO369" s="242">
        <f t="shared" si="2615"/>
        <v>0</v>
      </c>
      <c r="OP369" s="56"/>
      <c r="OS369" s="55">
        <f t="shared" si="2616"/>
        <v>46335</v>
      </c>
      <c r="OT369" s="56"/>
      <c r="OU369" s="242">
        <f>SUMPRODUCT(PRODUCE!$B364:$DY364,PRODUCE!$EB$52:$IY$52)</f>
        <v>0</v>
      </c>
      <c r="OV369" s="56"/>
      <c r="OW369" s="242">
        <f t="shared" si="2617"/>
        <v>0</v>
      </c>
      <c r="OX369" s="242">
        <f t="shared" si="2618"/>
        <v>1482</v>
      </c>
      <c r="OY369" s="56"/>
      <c r="PB369" s="55">
        <f t="shared" si="2619"/>
        <v>46335</v>
      </c>
      <c r="PC369" s="56"/>
      <c r="PD369" s="242">
        <f>SUMPRODUCT(PRODUCE!$B364:$DY364,PRODUCE!$EB$53:$IY$53)</f>
        <v>0</v>
      </c>
      <c r="PE369" s="56"/>
      <c r="PF369" s="242">
        <f t="shared" si="2620"/>
        <v>0</v>
      </c>
      <c r="PG369" s="242">
        <f t="shared" si="2621"/>
        <v>0</v>
      </c>
      <c r="PH369" s="56"/>
      <c r="PK369" s="55">
        <f t="shared" si="2622"/>
        <v>46335</v>
      </c>
      <c r="PL369" s="56"/>
      <c r="PM369" s="242">
        <f>SUMPRODUCT(PRODUCE!$B364:$DY364,PRODUCE!$EB$54:$IY$54)</f>
        <v>0</v>
      </c>
      <c r="PN369" s="56"/>
      <c r="PO369" s="242">
        <f t="shared" si="2623"/>
        <v>0</v>
      </c>
      <c r="PP369" s="242">
        <f t="shared" si="2624"/>
        <v>100</v>
      </c>
      <c r="PQ369" s="56"/>
      <c r="PT369" s="55">
        <f t="shared" si="2625"/>
        <v>46335</v>
      </c>
      <c r="PU369" s="56"/>
      <c r="PV369" s="242">
        <f>SUMPRODUCT(PRODUCE!$B364:$DY364,PRODUCE!$EB$55:$IY$55)</f>
        <v>0</v>
      </c>
      <c r="PW369" s="56"/>
      <c r="PX369" s="242">
        <f t="shared" si="2626"/>
        <v>0</v>
      </c>
      <c r="PY369" s="242">
        <f t="shared" si="2627"/>
        <v>13.960000000000036</v>
      </c>
      <c r="PZ369" s="56"/>
      <c r="QC369" s="55">
        <f t="shared" si="2628"/>
        <v>46335</v>
      </c>
      <c r="QD369" s="56"/>
      <c r="QE369" s="242">
        <f>SUMPRODUCT(PRODUCE!$B364:$DY364,PRODUCE!$EB$56:$IY$56)</f>
        <v>0</v>
      </c>
      <c r="QF369" s="56"/>
      <c r="QG369" s="242">
        <f t="shared" si="2629"/>
        <v>0</v>
      </c>
      <c r="QH369" s="242">
        <f t="shared" si="2630"/>
        <v>548</v>
      </c>
      <c r="QI369" s="56"/>
      <c r="QL369" s="55">
        <f t="shared" si="2631"/>
        <v>46335</v>
      </c>
      <c r="QM369" s="56"/>
      <c r="QN369" s="242">
        <f>SUMPRODUCT(PRODUCE!$B364:$DY364,PRODUCE!$EB$57:$IY$57)</f>
        <v>0</v>
      </c>
      <c r="QO369" s="56"/>
      <c r="QP369" s="242">
        <f t="shared" si="2632"/>
        <v>0</v>
      </c>
      <c r="QQ369" s="242">
        <f t="shared" si="2633"/>
        <v>0</v>
      </c>
      <c r="QR369" s="56"/>
      <c r="QU369" s="55">
        <f t="shared" si="2634"/>
        <v>46335</v>
      </c>
      <c r="QV369" s="56"/>
      <c r="QW369" s="242">
        <f>SUMPRODUCT(PRODUCE!$B364:$DY364,PRODUCE!$EB$57:$IY$57)</f>
        <v>0</v>
      </c>
      <c r="QX369" s="56"/>
      <c r="QY369" s="242">
        <f t="shared" si="2635"/>
        <v>0</v>
      </c>
      <c r="QZ369" s="242">
        <f t="shared" si="2636"/>
        <v>0</v>
      </c>
      <c r="RA369" s="56"/>
      <c r="RD369" s="55">
        <f t="shared" si="2637"/>
        <v>46335</v>
      </c>
      <c r="RE369" s="56"/>
      <c r="RF369" s="242">
        <f>SUMPRODUCT(PRODUCE!$B364:$DY364,PRODUCE!$EB$58:$IY$58)</f>
        <v>0</v>
      </c>
      <c r="RG369" s="56"/>
      <c r="RH369" s="242">
        <f t="shared" si="2638"/>
        <v>0</v>
      </c>
      <c r="RI369" s="242">
        <f t="shared" si="2639"/>
        <v>147.04000000000002</v>
      </c>
      <c r="RJ369" s="56"/>
      <c r="RM369" s="55">
        <f t="shared" si="2640"/>
        <v>46335</v>
      </c>
      <c r="RN369" s="56"/>
      <c r="RO369" s="242">
        <f>SUMPRODUCT(PRODUCE!$B364:$DY364,PRODUCE!$EB$57:$IY$57)</f>
        <v>0</v>
      </c>
      <c r="RP369" s="56"/>
      <c r="RQ369" s="242">
        <f t="shared" si="2641"/>
        <v>0</v>
      </c>
      <c r="RR369" s="242">
        <f t="shared" si="2642"/>
        <v>46.8</v>
      </c>
      <c r="RS369" s="56"/>
      <c r="RV369" s="55">
        <f t="shared" si="2643"/>
        <v>46335</v>
      </c>
      <c r="RW369" s="56"/>
      <c r="RX369" s="242">
        <f>SUMPRODUCT(PRODUCE!$B364:$DY364,PRODUCE!$EB$57:$IY$57)</f>
        <v>0</v>
      </c>
      <c r="RY369" s="56"/>
      <c r="RZ369" s="242">
        <f t="shared" si="2644"/>
        <v>0</v>
      </c>
      <c r="SA369" s="242">
        <f t="shared" si="2645"/>
        <v>0</v>
      </c>
      <c r="SB369" s="56"/>
      <c r="SE369" s="55">
        <f t="shared" si="2646"/>
        <v>46335</v>
      </c>
      <c r="SF369" s="56"/>
      <c r="SG369" s="242">
        <f>SUMPRODUCT(PRODUCE!$B364:$DY364,PRODUCE!$EB$61:$IY$61)</f>
        <v>0</v>
      </c>
      <c r="SH369" s="56"/>
      <c r="SI369" s="242">
        <f t="shared" si="2647"/>
        <v>0</v>
      </c>
      <c r="SJ369" s="242">
        <f t="shared" si="2648"/>
        <v>24.200000000000003</v>
      </c>
      <c r="SK369" s="56"/>
      <c r="SN369" s="55">
        <f t="shared" si="2649"/>
        <v>46335</v>
      </c>
      <c r="SO369" s="56"/>
      <c r="SP369" s="242">
        <f>SUMPRODUCT(PRODUCE!$B364:$DY364,PRODUCE!$EB$57:$IY$57)</f>
        <v>0</v>
      </c>
      <c r="SQ369" s="56"/>
      <c r="SR369" s="242">
        <f t="shared" si="2650"/>
        <v>0</v>
      </c>
      <c r="SS369" s="242">
        <f t="shared" si="2651"/>
        <v>32</v>
      </c>
      <c r="ST369" s="56"/>
      <c r="SW369" s="55">
        <f t="shared" si="2652"/>
        <v>46335</v>
      </c>
      <c r="SX369" s="56"/>
      <c r="SY369" s="242">
        <f>SUMPRODUCT(PRODUCE!$B364:$DY364,PRODUCE!$EB$57:$IY$57)</f>
        <v>0</v>
      </c>
      <c r="SZ369" s="56"/>
      <c r="TA369" s="242">
        <f t="shared" si="2653"/>
        <v>0</v>
      </c>
      <c r="TB369" s="242">
        <f t="shared" si="2654"/>
        <v>0</v>
      </c>
      <c r="TC369" s="56"/>
      <c r="TF369" s="55">
        <f t="shared" si="2655"/>
        <v>46335</v>
      </c>
      <c r="TG369" s="56"/>
      <c r="TH369" s="242">
        <f>SUMPRODUCT(PRODUCE!$B364:$DY364,PRODUCE!$EB$57:$IY$57)</f>
        <v>0</v>
      </c>
      <c r="TI369" s="56"/>
      <c r="TJ369" s="242">
        <f t="shared" si="2656"/>
        <v>0</v>
      </c>
      <c r="TK369" s="242">
        <f t="shared" si="2657"/>
        <v>0</v>
      </c>
      <c r="TL369" s="56"/>
      <c r="TO369" s="55">
        <f t="shared" si="2658"/>
        <v>46335</v>
      </c>
      <c r="TP369" s="56"/>
      <c r="TQ369" s="242">
        <f>SUMPRODUCT(PRODUCE!$B364:$DY364,PRODUCE!$EB$57:$IY$57)</f>
        <v>0</v>
      </c>
      <c r="TR369" s="56"/>
      <c r="TS369" s="242">
        <f t="shared" si="2659"/>
        <v>0</v>
      </c>
      <c r="TT369" s="242">
        <f t="shared" si="2660"/>
        <v>0</v>
      </c>
      <c r="TU369" s="56"/>
      <c r="TX369" s="55">
        <f t="shared" si="2661"/>
        <v>46335</v>
      </c>
      <c r="TY369" s="56"/>
      <c r="TZ369" s="242">
        <f>SUMPRODUCT(PRODUCE!$B364:$DY364,PRODUCE!$EB$57:$IY$57)</f>
        <v>0</v>
      </c>
      <c r="UA369" s="56"/>
      <c r="UB369" s="242">
        <f t="shared" si="2662"/>
        <v>0</v>
      </c>
      <c r="UC369" s="242">
        <f t="shared" si="2663"/>
        <v>46.799999999999983</v>
      </c>
      <c r="UD369" s="56"/>
      <c r="UG369" s="55">
        <f t="shared" si="2664"/>
        <v>46335</v>
      </c>
      <c r="UH369" s="56"/>
      <c r="UI369" s="242">
        <f>SUMPRODUCT(PRODUCE!$B364:$DY364,PRODUCE!$EB$57:$IY$57)</f>
        <v>0</v>
      </c>
      <c r="UJ369" s="56"/>
      <c r="UK369" s="242">
        <f t="shared" si="2665"/>
        <v>0</v>
      </c>
      <c r="UL369" s="242">
        <f t="shared" si="2666"/>
        <v>204</v>
      </c>
      <c r="UM369" s="56"/>
      <c r="UP369" s="55">
        <f t="shared" si="2667"/>
        <v>46335</v>
      </c>
      <c r="UQ369" s="56"/>
      <c r="UR369" s="242">
        <f>SUMPRODUCT(PRODUCE!$B364:$DY364,PRODUCE!$EB$57:$IY$57)</f>
        <v>0</v>
      </c>
      <c r="US369" s="56"/>
      <c r="UT369" s="242">
        <f t="shared" si="2668"/>
        <v>0</v>
      </c>
      <c r="UU369" s="242">
        <f t="shared" si="2669"/>
        <v>202.5</v>
      </c>
      <c r="UV369" s="56"/>
      <c r="UY369" s="55">
        <f t="shared" si="2670"/>
        <v>46335</v>
      </c>
      <c r="UZ369" s="56"/>
      <c r="VA369" s="242">
        <f>SUMPRODUCT(PRODUCE!$B364:$DY364,PRODUCE!$EB$57:$IY$57)</f>
        <v>0</v>
      </c>
      <c r="VB369" s="56"/>
      <c r="VC369" s="242">
        <f t="shared" si="2671"/>
        <v>0</v>
      </c>
      <c r="VD369" s="242">
        <f t="shared" si="2672"/>
        <v>41.600000000000023</v>
      </c>
      <c r="VE369" s="56"/>
      <c r="VH369" s="55">
        <f t="shared" si="2673"/>
        <v>46335</v>
      </c>
      <c r="VI369" s="56"/>
      <c r="VJ369" s="242">
        <f>SUMPRODUCT(PRODUCE!$B364:$DY364,PRODUCE!$EB$57:$IY$57)</f>
        <v>0</v>
      </c>
      <c r="VK369" s="56"/>
      <c r="VL369" s="242">
        <f t="shared" si="2674"/>
        <v>0</v>
      </c>
      <c r="VM369" s="242">
        <f t="shared" si="2675"/>
        <v>210</v>
      </c>
      <c r="VN369" s="56"/>
      <c r="VQ369" s="55">
        <f t="shared" si="2676"/>
        <v>46335</v>
      </c>
      <c r="VR369" s="56"/>
      <c r="VS369" s="242">
        <f>SUMPRODUCT(PRODUCE!$B364:$DY364,PRODUCE!$EB$57:$IY$57)</f>
        <v>0</v>
      </c>
      <c r="VT369" s="56"/>
      <c r="VU369" s="242">
        <f t="shared" si="2677"/>
        <v>0</v>
      </c>
      <c r="VV369" s="242">
        <f t="shared" si="2678"/>
        <v>0</v>
      </c>
      <c r="VW369" s="56"/>
      <c r="VZ369" s="55">
        <f t="shared" si="2679"/>
        <v>46335</v>
      </c>
      <c r="WA369" s="56"/>
      <c r="WB369" s="242">
        <f>SUMPRODUCT(PRODUCE!$B364:$DY364,PRODUCE!$EB$57:$IY$57)</f>
        <v>0</v>
      </c>
      <c r="WC369" s="56"/>
      <c r="WD369" s="242">
        <f t="shared" si="2680"/>
        <v>0</v>
      </c>
      <c r="WE369" s="242">
        <f t="shared" si="2681"/>
        <v>0</v>
      </c>
      <c r="WF369" s="56"/>
      <c r="WI369" s="55">
        <f t="shared" si="2682"/>
        <v>46335</v>
      </c>
      <c r="WJ369" s="56"/>
      <c r="WK369" s="242">
        <f>SUMPRODUCT(PRODUCE!$B364:$DY364,PRODUCE!$EB$57:$IY$57)</f>
        <v>0</v>
      </c>
      <c r="WL369" s="56"/>
      <c r="WM369" s="242">
        <f t="shared" si="2683"/>
        <v>0</v>
      </c>
      <c r="WN369" s="242">
        <f t="shared" si="2684"/>
        <v>1057</v>
      </c>
      <c r="WO369" s="56"/>
      <c r="WR369" s="55">
        <f t="shared" si="2685"/>
        <v>46335</v>
      </c>
      <c r="WS369" s="56"/>
      <c r="WT369" s="242">
        <f>SUMPRODUCT(PRODUCE!$B364:$DY364,PRODUCE!$EB$57:$IY$57)</f>
        <v>0</v>
      </c>
      <c r="WU369" s="56"/>
      <c r="WV369" s="242">
        <f t="shared" si="2686"/>
        <v>0</v>
      </c>
      <c r="WW369" s="242">
        <f t="shared" si="2687"/>
        <v>0</v>
      </c>
      <c r="WX369" s="56"/>
      <c r="XA369" s="55">
        <f t="shared" si="2688"/>
        <v>46335</v>
      </c>
      <c r="XB369" s="56"/>
      <c r="XC369" s="242">
        <f>SUMPRODUCT(PRODUCE!$B364:$DY364,PRODUCE!$EB$57:$IY$57)</f>
        <v>0</v>
      </c>
      <c r="XD369" s="56"/>
      <c r="XE369" s="242">
        <f t="shared" si="2689"/>
        <v>0</v>
      </c>
      <c r="XF369" s="242">
        <f t="shared" si="2690"/>
        <v>7507</v>
      </c>
      <c r="XG369" s="56"/>
      <c r="XJ369" s="55">
        <f t="shared" si="2691"/>
        <v>46335</v>
      </c>
      <c r="XK369" s="56"/>
      <c r="XL369" s="242">
        <f>SUMPRODUCT(PRODUCE!$B364:$DY364,PRODUCE!$EB$57:$IY$57)</f>
        <v>0</v>
      </c>
      <c r="XM369" s="56"/>
      <c r="XN369" s="242">
        <f t="shared" si="2692"/>
        <v>0</v>
      </c>
      <c r="XO369" s="242">
        <f t="shared" si="2693"/>
        <v>4252</v>
      </c>
      <c r="XP369" s="56"/>
      <c r="XS369" s="55">
        <f t="shared" si="2694"/>
        <v>46335</v>
      </c>
      <c r="XT369" s="56"/>
      <c r="XU369" s="242">
        <f>SUMPRODUCT(PRODUCE!$B364:$DY364,PRODUCE!$EB$57:$IY$57)</f>
        <v>0</v>
      </c>
      <c r="XV369" s="56"/>
      <c r="XW369" s="242">
        <f t="shared" si="2695"/>
        <v>0</v>
      </c>
      <c r="XX369" s="242">
        <f t="shared" si="2696"/>
        <v>2179</v>
      </c>
      <c r="XY369" s="56"/>
      <c r="YB369" s="55">
        <f t="shared" si="2697"/>
        <v>46335</v>
      </c>
      <c r="YC369" s="56"/>
      <c r="YD369" s="242">
        <f>SUMPRODUCT(PRODUCE!$B364:$DY364,PRODUCE!$EB$57:$IY$57)</f>
        <v>0</v>
      </c>
      <c r="YE369" s="56"/>
      <c r="YF369" s="242">
        <f t="shared" si="2698"/>
        <v>0</v>
      </c>
      <c r="YG369" s="242">
        <f t="shared" si="2699"/>
        <v>4019</v>
      </c>
      <c r="YH369" s="56"/>
      <c r="YK369" s="55">
        <f t="shared" si="2700"/>
        <v>46335</v>
      </c>
      <c r="YL369" s="56"/>
      <c r="YM369" s="242">
        <f>SUMPRODUCT(PRODUCE!$B364:$DY364,PRODUCE!$EB$57:$IY$57)</f>
        <v>0</v>
      </c>
      <c r="YN369" s="56"/>
      <c r="YO369" s="242">
        <f t="shared" si="2701"/>
        <v>0</v>
      </c>
      <c r="YP369" s="242">
        <f t="shared" si="2702"/>
        <v>-218</v>
      </c>
      <c r="YQ369" s="56"/>
      <c r="YT369" s="55">
        <f t="shared" si="2703"/>
        <v>46335</v>
      </c>
      <c r="YU369" s="56"/>
      <c r="YV369" s="242">
        <f>SUMPRODUCT(PRODUCE!$B364:$DY364,PRODUCE!$EB$57:$IY$57)</f>
        <v>0</v>
      </c>
      <c r="YW369" s="56"/>
      <c r="YX369" s="242">
        <f t="shared" si="2704"/>
        <v>0</v>
      </c>
      <c r="YY369" s="242">
        <f t="shared" si="2705"/>
        <v>0</v>
      </c>
      <c r="YZ369" s="56"/>
      <c r="ZC369" s="55">
        <f t="shared" si="2706"/>
        <v>46335</v>
      </c>
      <c r="ZD369" s="56"/>
      <c r="ZE369" s="242">
        <f>SUMPRODUCT(PRODUCE!$B364:$DY364,PRODUCE!$EB$57:$IY$57)</f>
        <v>0</v>
      </c>
      <c r="ZF369" s="56"/>
      <c r="ZG369" s="242">
        <f t="shared" si="2707"/>
        <v>0</v>
      </c>
      <c r="ZH369" s="242">
        <f t="shared" si="2708"/>
        <v>0</v>
      </c>
      <c r="ZI369" s="56"/>
      <c r="ZL369" s="55">
        <f t="shared" si="2709"/>
        <v>46335</v>
      </c>
      <c r="ZM369" s="56"/>
      <c r="ZN369" s="242">
        <f>SUMPRODUCT(PRODUCE!$B364:$DY364,PRODUCE!$EB$57:$IY$57)</f>
        <v>0</v>
      </c>
      <c r="ZO369" s="56"/>
      <c r="ZP369" s="242">
        <f t="shared" si="2710"/>
        <v>0</v>
      </c>
      <c r="ZQ369" s="242">
        <f t="shared" si="2711"/>
        <v>0</v>
      </c>
      <c r="ZR369" s="56"/>
      <c r="ZU369" s="55">
        <f t="shared" si="2712"/>
        <v>46335</v>
      </c>
      <c r="ZV369" s="56"/>
      <c r="ZW369" s="242">
        <f>SUMPRODUCT(PRODUCE!$B364:$DY364,PRODUCE!$EB$57:$IY$57)</f>
        <v>0</v>
      </c>
      <c r="ZX369" s="56"/>
      <c r="ZY369" s="242">
        <f t="shared" si="2713"/>
        <v>0</v>
      </c>
      <c r="ZZ369" s="242">
        <f t="shared" si="2714"/>
        <v>0</v>
      </c>
      <c r="AAA369" s="56"/>
      <c r="AAD369" s="55">
        <f t="shared" si="2715"/>
        <v>46335</v>
      </c>
      <c r="AAE369" s="56"/>
      <c r="AAF369" s="242">
        <f>SUMPRODUCT(PRODUCE!$B364:$DY364,PRODUCE!$EB$57:$IY$57)</f>
        <v>0</v>
      </c>
      <c r="AAG369" s="56"/>
      <c r="AAH369" s="242">
        <f t="shared" si="2716"/>
        <v>0</v>
      </c>
      <c r="AAI369" s="242">
        <f t="shared" si="2717"/>
        <v>0</v>
      </c>
      <c r="AAJ369" s="56"/>
      <c r="AAM369" s="55">
        <f t="shared" si="2718"/>
        <v>46335</v>
      </c>
      <c r="AAN369" s="56"/>
      <c r="AAO369" s="242">
        <f>SUMPRODUCT(PRODUCE!$B364:$DY364,PRODUCE!$EB$57:$IY$57)</f>
        <v>0</v>
      </c>
      <c r="AAP369" s="56"/>
      <c r="AAQ369" s="242">
        <f t="shared" si="2719"/>
        <v>0</v>
      </c>
      <c r="AAR369" s="242">
        <f t="shared" si="2720"/>
        <v>0</v>
      </c>
      <c r="AAS369" s="56"/>
      <c r="AAV369" s="55">
        <f t="shared" si="2721"/>
        <v>46335</v>
      </c>
      <c r="AAW369" s="56"/>
      <c r="AAX369" s="242">
        <f>SUMPRODUCT(PRODUCE!$B364:$DY364,PRODUCE!$EB$57:$IY$57)</f>
        <v>0</v>
      </c>
      <c r="AAY369" s="56"/>
      <c r="AAZ369" s="242">
        <f t="shared" si="2722"/>
        <v>0</v>
      </c>
      <c r="ABA369" s="242">
        <f t="shared" si="2723"/>
        <v>0</v>
      </c>
      <c r="ABB369" s="56"/>
      <c r="ABE369" s="55">
        <f t="shared" si="2724"/>
        <v>46335</v>
      </c>
      <c r="ABF369" s="56"/>
      <c r="ABG369" s="242">
        <f>SUMPRODUCT(PRODUCE!$B364:$DY364,PRODUCE!$EB$57:$IY$57)</f>
        <v>0</v>
      </c>
      <c r="ABH369" s="56"/>
      <c r="ABI369" s="242">
        <f t="shared" si="2725"/>
        <v>0</v>
      </c>
      <c r="ABJ369" s="242">
        <f t="shared" si="2726"/>
        <v>0</v>
      </c>
      <c r="ABK369" s="56"/>
    </row>
    <row r="370" spans="2:739" s="54" customFormat="1" ht="15" customHeight="1" outlineLevel="1">
      <c r="B370" s="478"/>
      <c r="C370" s="55">
        <v>46336</v>
      </c>
      <c r="D370" s="56"/>
      <c r="E370" s="57">
        <f>SUMPRODUCT(PRODUCE!$B365:$DY365,PRODUCE!$EB$7:$IY$7)</f>
        <v>0</v>
      </c>
      <c r="F370" s="56"/>
      <c r="G370" s="57">
        <f t="shared" si="2482"/>
        <v>0</v>
      </c>
      <c r="H370" s="57">
        <f t="shared" si="2483"/>
        <v>236936.6</v>
      </c>
      <c r="I370" s="289"/>
      <c r="L370" s="55">
        <f t="shared" si="2484"/>
        <v>46336</v>
      </c>
      <c r="M370" s="56"/>
      <c r="N370" s="59">
        <f>SUMPRODUCT(PRODUCE!$B365:$DY365,PRODUCE!$EB$8:$IY$8)</f>
        <v>0</v>
      </c>
      <c r="O370" s="56"/>
      <c r="P370" s="59">
        <f t="shared" si="2485"/>
        <v>0</v>
      </c>
      <c r="Q370" s="59">
        <f t="shared" si="2486"/>
        <v>53017.600000000071</v>
      </c>
      <c r="R370" s="56"/>
      <c r="U370" s="55">
        <f t="shared" si="2487"/>
        <v>46336</v>
      </c>
      <c r="V370" s="56"/>
      <c r="W370" s="60">
        <f>SUMPRODUCT(PRODUCE!$B365:$DY365,PRODUCE!$EB$9:$IY$9)</f>
        <v>0</v>
      </c>
      <c r="X370" s="56"/>
      <c r="Y370" s="60">
        <f t="shared" si="2488"/>
        <v>0</v>
      </c>
      <c r="Z370" s="60">
        <f t="shared" si="2489"/>
        <v>42674.199999999968</v>
      </c>
      <c r="AA370" s="56"/>
      <c r="AD370" s="55">
        <f t="shared" si="2490"/>
        <v>46336</v>
      </c>
      <c r="AE370" s="56"/>
      <c r="AF370" s="61">
        <f>SUMPRODUCT(PRODUCE!$B365:$DY365,PRODUCE!$EB$10:$IY$10)</f>
        <v>0</v>
      </c>
      <c r="AG370" s="56"/>
      <c r="AH370" s="61">
        <f t="shared" si="2491"/>
        <v>0</v>
      </c>
      <c r="AI370" s="61">
        <f t="shared" si="2492"/>
        <v>4522.2000000000189</v>
      </c>
      <c r="AJ370" s="56"/>
      <c r="AM370" s="55">
        <f t="shared" si="2493"/>
        <v>46336</v>
      </c>
      <c r="AN370" s="422"/>
      <c r="AO370" s="444">
        <f>SUMPRODUCT(PRODUCE!$B365:$DY365,PRODUCE!$EB$11:$IY$11)</f>
        <v>0</v>
      </c>
      <c r="AP370" s="422"/>
      <c r="AQ370" s="444">
        <f t="shared" si="2494"/>
        <v>0</v>
      </c>
      <c r="AR370" s="444">
        <f t="shared" si="2495"/>
        <v>0</v>
      </c>
      <c r="AS370" s="56"/>
      <c r="AV370" s="55">
        <f t="shared" si="2496"/>
        <v>46336</v>
      </c>
      <c r="AW370" s="56"/>
      <c r="AX370" s="62">
        <f>SUMPRODUCT(PRODUCE!$B365:$DY365,PRODUCE!$EB$12:$IY$12)</f>
        <v>0</v>
      </c>
      <c r="AY370" s="56"/>
      <c r="AZ370" s="62">
        <f t="shared" si="2497"/>
        <v>0</v>
      </c>
      <c r="BA370" s="62">
        <f t="shared" si="2498"/>
        <v>124.99999999999523</v>
      </c>
      <c r="BB370" s="56"/>
      <c r="BE370" s="55">
        <f t="shared" si="2499"/>
        <v>46336</v>
      </c>
      <c r="BF370" s="56"/>
      <c r="BG370" s="63">
        <f>SUMPRODUCT(PRODUCE!$B365:$DY365,PRODUCE!$EB$13:$IY$13)</f>
        <v>0</v>
      </c>
      <c r="BH370" s="56"/>
      <c r="BI370" s="63">
        <f t="shared" si="2500"/>
        <v>0</v>
      </c>
      <c r="BJ370" s="63">
        <f t="shared" si="2501"/>
        <v>26151.899999999998</v>
      </c>
      <c r="BK370" s="56"/>
      <c r="BN370" s="55">
        <f t="shared" si="2502"/>
        <v>46336</v>
      </c>
      <c r="BO370" s="56"/>
      <c r="BP370" s="64">
        <f>SUMPRODUCT(PRODUCE!$B365:$DY365,PRODUCE!$EB$14:$IY$14)</f>
        <v>0</v>
      </c>
      <c r="BQ370" s="56"/>
      <c r="BR370" s="64">
        <f t="shared" si="2503"/>
        <v>0</v>
      </c>
      <c r="BS370" s="64">
        <f t="shared" si="2504"/>
        <v>0</v>
      </c>
      <c r="BT370" s="56"/>
      <c r="BW370" s="55">
        <f t="shared" si="2505"/>
        <v>46336</v>
      </c>
      <c r="BX370" s="56"/>
      <c r="BY370" s="65">
        <f>SUMPRODUCT(PRODUCE!$B365:$DY365,PRODUCE!$EB$15:$IY$15)</f>
        <v>0</v>
      </c>
      <c r="BZ370" s="56"/>
      <c r="CA370" s="65">
        <f t="shared" si="2506"/>
        <v>0</v>
      </c>
      <c r="CB370" s="65">
        <f t="shared" si="2507"/>
        <v>2097.3399999999992</v>
      </c>
      <c r="CC370" s="56"/>
      <c r="CF370" s="55">
        <f t="shared" si="2508"/>
        <v>46336</v>
      </c>
      <c r="CG370" s="56"/>
      <c r="CH370" s="66">
        <f>SUMPRODUCT(PRODUCE!$B365:$DY365,PRODUCE!$EB$16:$IY$16)</f>
        <v>0</v>
      </c>
      <c r="CI370" s="56"/>
      <c r="CJ370" s="66">
        <f t="shared" si="2509"/>
        <v>0</v>
      </c>
      <c r="CK370" s="66">
        <f t="shared" si="2510"/>
        <v>-10277.079999999998</v>
      </c>
      <c r="CL370" s="56"/>
      <c r="CO370" s="55">
        <f t="shared" si="2511"/>
        <v>46336</v>
      </c>
      <c r="CP370" s="422"/>
      <c r="CQ370" s="470">
        <f>SUMPRODUCT(PRODUCE!$B365:$DY365,PRODUCE!$EB$17:$IY$17)</f>
        <v>0</v>
      </c>
      <c r="CR370" s="422"/>
      <c r="CS370" s="470">
        <f t="shared" si="2512"/>
        <v>0</v>
      </c>
      <c r="CT370" s="470">
        <f t="shared" si="2513"/>
        <v>0</v>
      </c>
      <c r="CU370" s="56"/>
      <c r="CX370" s="55">
        <f t="shared" si="2514"/>
        <v>46336</v>
      </c>
      <c r="CY370" s="56"/>
      <c r="CZ370" s="133">
        <f>SUMPRODUCT(PRODUCE!$B365:$DY365,PRODUCE!$EB$18:$IY$18)</f>
        <v>0</v>
      </c>
      <c r="DA370" s="56"/>
      <c r="DB370" s="133">
        <f t="shared" si="2515"/>
        <v>0</v>
      </c>
      <c r="DC370" s="133">
        <f t="shared" si="2516"/>
        <v>27438.200000000012</v>
      </c>
      <c r="DD370" s="56"/>
      <c r="DG370" s="55">
        <f t="shared" si="2517"/>
        <v>46336</v>
      </c>
      <c r="DH370" s="56"/>
      <c r="DI370" s="147">
        <f>SUMPRODUCT(PRODUCE!$B365:$DY365,PRODUCE!$EB$19:$IY$19)</f>
        <v>0</v>
      </c>
      <c r="DJ370" s="56"/>
      <c r="DK370" s="147">
        <f t="shared" si="2518"/>
        <v>0</v>
      </c>
      <c r="DL370" s="147">
        <f t="shared" si="2519"/>
        <v>18782.299999999981</v>
      </c>
      <c r="DM370" s="56"/>
      <c r="DP370" s="55">
        <f t="shared" si="2520"/>
        <v>46336</v>
      </c>
      <c r="DQ370" s="56"/>
      <c r="DR370" s="57">
        <f>SUMPRODUCT(PRODUCE!$B365:$DY365,PRODUCE!$EB$20:$IY$20)</f>
        <v>0</v>
      </c>
      <c r="DS370" s="56"/>
      <c r="DT370" s="57">
        <f t="shared" si="2521"/>
        <v>0</v>
      </c>
      <c r="DU370" s="57">
        <f t="shared" si="2522"/>
        <v>5800</v>
      </c>
      <c r="DV370" s="56"/>
      <c r="DY370" s="55">
        <f t="shared" si="2523"/>
        <v>46336</v>
      </c>
      <c r="DZ370" s="56"/>
      <c r="EA370" s="157">
        <f>SUMPRODUCT(PRODUCE!$B365:$DY365,PRODUCE!$EB$21:$IY$21)</f>
        <v>0</v>
      </c>
      <c r="EB370" s="56"/>
      <c r="EC370" s="157">
        <f t="shared" si="2524"/>
        <v>0</v>
      </c>
      <c r="ED370" s="157">
        <f t="shared" si="2525"/>
        <v>0</v>
      </c>
      <c r="EE370" s="56"/>
      <c r="EH370" s="55">
        <f t="shared" si="2526"/>
        <v>46336</v>
      </c>
      <c r="EI370" s="56"/>
      <c r="EJ370" s="162">
        <f>SUMPRODUCT(PRODUCE!$B365:$DY365,PRODUCE!$EB$22:$IY$22)</f>
        <v>0</v>
      </c>
      <c r="EK370" s="56"/>
      <c r="EL370" s="162">
        <f t="shared" si="2527"/>
        <v>0</v>
      </c>
      <c r="EM370" s="162">
        <f t="shared" si="2528"/>
        <v>0</v>
      </c>
      <c r="EN370" s="56"/>
      <c r="EQ370" s="55">
        <f t="shared" si="2529"/>
        <v>46336</v>
      </c>
      <c r="ER370" s="56"/>
      <c r="ES370" s="135">
        <f>SUMPRODUCT(PRODUCE!$B365:$DY365,PRODUCE!$EB$23:$IY$23)</f>
        <v>0</v>
      </c>
      <c r="ET370" s="56"/>
      <c r="EU370" s="135">
        <f t="shared" si="2530"/>
        <v>0</v>
      </c>
      <c r="EV370" s="135">
        <f t="shared" si="2531"/>
        <v>0</v>
      </c>
      <c r="EW370" s="56"/>
      <c r="EZ370" s="55">
        <f t="shared" si="2532"/>
        <v>46336</v>
      </c>
      <c r="FA370" s="56"/>
      <c r="FB370" s="175">
        <f>SUMPRODUCT(PRODUCE!$B365:$DY365,PRODUCE!$EB$24:$IY$24)</f>
        <v>0</v>
      </c>
      <c r="FC370" s="56"/>
      <c r="FD370" s="175">
        <f t="shared" si="2533"/>
        <v>0</v>
      </c>
      <c r="FE370" s="175">
        <f t="shared" si="2534"/>
        <v>0</v>
      </c>
      <c r="FF370" s="56"/>
      <c r="FI370" s="55">
        <f t="shared" si="2535"/>
        <v>46336</v>
      </c>
      <c r="FJ370" s="56"/>
      <c r="FK370" s="183">
        <f>SUMPRODUCT(PRODUCE!$B365:$DY365,PRODUCE!$EB$25:$IY$25)</f>
        <v>0</v>
      </c>
      <c r="FL370" s="56"/>
      <c r="FM370" s="183">
        <f t="shared" si="2536"/>
        <v>0</v>
      </c>
      <c r="FN370" s="183">
        <f t="shared" si="2537"/>
        <v>0</v>
      </c>
      <c r="FO370" s="56"/>
      <c r="FR370" s="55">
        <f t="shared" si="2538"/>
        <v>46336</v>
      </c>
      <c r="FS370" s="56"/>
      <c r="FT370" s="186">
        <f>SUMPRODUCT(PRODUCE!$B365:$DY365,PRODUCE!$EB$26:$IY$26)</f>
        <v>0</v>
      </c>
      <c r="FU370" s="56"/>
      <c r="FV370" s="186">
        <f t="shared" si="2539"/>
        <v>0</v>
      </c>
      <c r="FW370" s="186">
        <f t="shared" si="2540"/>
        <v>2020</v>
      </c>
      <c r="FX370" s="56"/>
      <c r="GA370" s="55">
        <f t="shared" si="2541"/>
        <v>46336</v>
      </c>
      <c r="GB370" s="56"/>
      <c r="GC370" s="137">
        <f>SUMPRODUCT(PRODUCE!$B365:$DY365,PRODUCE!$EB$27:$IY$27)</f>
        <v>0</v>
      </c>
      <c r="GD370" s="56"/>
      <c r="GE370" s="137">
        <f t="shared" si="2542"/>
        <v>0</v>
      </c>
      <c r="GF370" s="137">
        <f t="shared" si="2543"/>
        <v>960</v>
      </c>
      <c r="GG370" s="56"/>
      <c r="GI370" s="23"/>
      <c r="GJ370" s="55">
        <f t="shared" si="2544"/>
        <v>46336</v>
      </c>
      <c r="GK370" s="56"/>
      <c r="GL370" s="199">
        <f>SUMPRODUCT(PRODUCE!$B365:$DY365,PRODUCE!$EB$28:$IY$28)</f>
        <v>0</v>
      </c>
      <c r="GM370" s="56"/>
      <c r="GN370" s="199">
        <f t="shared" si="2545"/>
        <v>0</v>
      </c>
      <c r="GO370" s="199">
        <f t="shared" si="2546"/>
        <v>1760</v>
      </c>
      <c r="GP370" s="56"/>
      <c r="GS370" s="55">
        <f t="shared" si="2547"/>
        <v>46336</v>
      </c>
      <c r="GT370" s="56"/>
      <c r="GU370" s="195">
        <f>SUMPRODUCT(PRODUCE!$B365:$DY365,PRODUCE!$EB$29:$IY$29)</f>
        <v>0</v>
      </c>
      <c r="GV370" s="56"/>
      <c r="GW370" s="195">
        <f t="shared" si="2548"/>
        <v>0</v>
      </c>
      <c r="GX370" s="195">
        <f t="shared" si="2549"/>
        <v>400</v>
      </c>
      <c r="GY370" s="56"/>
      <c r="HB370" s="55">
        <f t="shared" si="2550"/>
        <v>46336</v>
      </c>
      <c r="HC370" s="56"/>
      <c r="HD370" s="191">
        <f>SUMPRODUCT(PRODUCE!$B365:$DY365,PRODUCE!$EB$30:$IY$30)</f>
        <v>0</v>
      </c>
      <c r="HE370" s="56"/>
      <c r="HF370" s="191">
        <f t="shared" si="2551"/>
        <v>0</v>
      </c>
      <c r="HG370" s="191">
        <f t="shared" si="2552"/>
        <v>3600</v>
      </c>
      <c r="HH370" s="56"/>
      <c r="HK370" s="55">
        <f t="shared" si="2553"/>
        <v>46336</v>
      </c>
      <c r="HL370" s="56"/>
      <c r="HM370" s="63">
        <f>SUMPRODUCT(PRODUCE!$B365:$DY365,PRODUCE!$EB$31:$IY$31)</f>
        <v>0</v>
      </c>
      <c r="HN370" s="56"/>
      <c r="HO370" s="63">
        <f t="shared" si="2554"/>
        <v>0</v>
      </c>
      <c r="HP370" s="63">
        <f t="shared" si="2555"/>
        <v>0</v>
      </c>
      <c r="HQ370" s="56"/>
      <c r="HU370" s="55">
        <f t="shared" si="2556"/>
        <v>46336</v>
      </c>
      <c r="HV370" s="56"/>
      <c r="HW370" s="242">
        <f>SUMPRODUCT(PRODUCE!$B365:$DY365,PRODUCE!$EB$32:$IY$32)</f>
        <v>0</v>
      </c>
      <c r="HX370" s="56"/>
      <c r="HY370" s="242">
        <f t="shared" si="2557"/>
        <v>0</v>
      </c>
      <c r="HZ370" s="242">
        <f t="shared" si="2558"/>
        <v>6120</v>
      </c>
      <c r="IA370" s="56"/>
      <c r="ID370" s="55">
        <f t="shared" si="2559"/>
        <v>46336</v>
      </c>
      <c r="IE370" s="56"/>
      <c r="IF370" s="242">
        <f>SUMPRODUCT(PRODUCE!$B365:$DY365,PRODUCE!$EB$33:$IY$33)</f>
        <v>0</v>
      </c>
      <c r="IG370" s="56"/>
      <c r="IH370" s="242">
        <f t="shared" si="2560"/>
        <v>0</v>
      </c>
      <c r="II370" s="242">
        <f t="shared" si="2561"/>
        <v>0</v>
      </c>
      <c r="IJ370" s="56"/>
      <c r="IM370" s="55">
        <f t="shared" si="2562"/>
        <v>46336</v>
      </c>
      <c r="IN370" s="56"/>
      <c r="IO370" s="242">
        <f>SUMPRODUCT(PRODUCE!$B365:$DY365,PRODUCE!$EB$34:$IY$34)</f>
        <v>0</v>
      </c>
      <c r="IP370" s="56"/>
      <c r="IQ370" s="242">
        <f t="shared" si="2563"/>
        <v>0</v>
      </c>
      <c r="IR370" s="242">
        <f t="shared" si="2564"/>
        <v>0</v>
      </c>
      <c r="IS370" s="56"/>
      <c r="IV370" s="55">
        <f t="shared" si="2565"/>
        <v>46336</v>
      </c>
      <c r="IW370" s="56"/>
      <c r="IX370" s="242">
        <f>SUMPRODUCT(PRODUCE!$B365:$DY365,PRODUCE!$EB$35:$IY$35)</f>
        <v>0</v>
      </c>
      <c r="IY370" s="56"/>
      <c r="IZ370" s="242">
        <f t="shared" si="2566"/>
        <v>0</v>
      </c>
      <c r="JA370" s="242">
        <f t="shared" si="2567"/>
        <v>2820</v>
      </c>
      <c r="JB370" s="56"/>
      <c r="JE370" s="55">
        <f t="shared" si="2568"/>
        <v>46336</v>
      </c>
      <c r="JF370" s="56"/>
      <c r="JG370" s="242">
        <f>SUMPRODUCT(PRODUCE!$B365:$DY365,PRODUCE!$EB$36:$IY$36)</f>
        <v>0</v>
      </c>
      <c r="JH370" s="56"/>
      <c r="JI370" s="242">
        <f t="shared" si="2569"/>
        <v>0</v>
      </c>
      <c r="JJ370" s="242">
        <f t="shared" si="2570"/>
        <v>0</v>
      </c>
      <c r="JK370" s="56"/>
      <c r="JN370" s="55">
        <f t="shared" si="2571"/>
        <v>46336</v>
      </c>
      <c r="JO370" s="56"/>
      <c r="JP370" s="242">
        <f>SUMPRODUCT(PRODUCE!$B365:$DY365,PRODUCE!$EB$37:$IY$37)</f>
        <v>0</v>
      </c>
      <c r="JQ370" s="56"/>
      <c r="JR370" s="242">
        <f t="shared" si="2572"/>
        <v>0</v>
      </c>
      <c r="JS370" s="242">
        <f t="shared" si="2573"/>
        <v>0</v>
      </c>
      <c r="JT370" s="56"/>
      <c r="JW370" s="55">
        <f t="shared" si="2574"/>
        <v>46336</v>
      </c>
      <c r="JX370" s="56"/>
      <c r="JY370" s="242">
        <f>SUMPRODUCT(PRODUCE!$B365:$DY365,PRODUCE!$EB$38:$IY$38)</f>
        <v>0</v>
      </c>
      <c r="JZ370" s="56"/>
      <c r="KA370" s="242">
        <f t="shared" si="2575"/>
        <v>0</v>
      </c>
      <c r="KB370" s="242">
        <f t="shared" si="2576"/>
        <v>2540</v>
      </c>
      <c r="KC370" s="56"/>
      <c r="KF370" s="55">
        <f t="shared" si="2577"/>
        <v>46336</v>
      </c>
      <c r="KG370" s="56"/>
      <c r="KH370" s="242">
        <f>SUMPRODUCT(PRODUCE!$B365:$DY365,PRODUCE!$EB$39:$IY$39)</f>
        <v>0</v>
      </c>
      <c r="KI370" s="56"/>
      <c r="KJ370" s="242">
        <f t="shared" si="2578"/>
        <v>0</v>
      </c>
      <c r="KK370" s="242">
        <f t="shared" si="2579"/>
        <v>2359.5</v>
      </c>
      <c r="KL370" s="56"/>
      <c r="KO370" s="55">
        <f t="shared" si="2580"/>
        <v>46336</v>
      </c>
      <c r="KP370" s="56"/>
      <c r="KQ370" s="242">
        <f>SUMPRODUCT(PRODUCE!$B365:$DY365,PRODUCE!$EB$40:$IY$40)</f>
        <v>0</v>
      </c>
      <c r="KR370" s="56"/>
      <c r="KS370" s="242">
        <f t="shared" si="2581"/>
        <v>0</v>
      </c>
      <c r="KT370" s="242">
        <f t="shared" si="2582"/>
        <v>1890</v>
      </c>
      <c r="KU370" s="56"/>
      <c r="KW370" s="23"/>
      <c r="KX370" s="55">
        <f t="shared" si="2583"/>
        <v>46336</v>
      </c>
      <c r="KY370" s="56"/>
      <c r="KZ370" s="242">
        <f>SUMPRODUCT(PRODUCE!$B365:$DY365,PRODUCE!$EB$41:$IY$41)</f>
        <v>0</v>
      </c>
      <c r="LA370" s="56"/>
      <c r="LB370" s="242">
        <f t="shared" si="2584"/>
        <v>0</v>
      </c>
      <c r="LC370" s="242">
        <f t="shared" si="2585"/>
        <v>3690</v>
      </c>
      <c r="LD370" s="56"/>
      <c r="LG370" s="55">
        <f t="shared" si="2586"/>
        <v>46336</v>
      </c>
      <c r="LH370" s="56"/>
      <c r="LI370" s="242">
        <f>SUMPRODUCT(PRODUCE!$B365:$DY365,PRODUCE!$EB$42:$IY$42)</f>
        <v>0</v>
      </c>
      <c r="LJ370" s="56"/>
      <c r="LK370" s="242">
        <f t="shared" si="2587"/>
        <v>0</v>
      </c>
      <c r="LL370" s="242">
        <f t="shared" si="2588"/>
        <v>4000</v>
      </c>
      <c r="LM370" s="56"/>
      <c r="LP370" s="55">
        <f t="shared" si="2589"/>
        <v>46336</v>
      </c>
      <c r="LQ370" s="56"/>
      <c r="LR370" s="242">
        <f>SUMPRODUCT(PRODUCE!$B385:$DY385,PRODUCE!$EB$43:$IY$43)</f>
        <v>0</v>
      </c>
      <c r="LS370" s="56"/>
      <c r="LT370" s="242">
        <f t="shared" si="2590"/>
        <v>0</v>
      </c>
      <c r="LU370" s="242">
        <f t="shared" si="2591"/>
        <v>0</v>
      </c>
      <c r="LV370" s="56"/>
      <c r="LY370" s="55">
        <f t="shared" si="2592"/>
        <v>46336</v>
      </c>
      <c r="LZ370" s="56"/>
      <c r="MA370" s="242">
        <f>SUMPRODUCT(PRODUCE!$B365:$DY365,PRODUCE!$EB$44:$IY$44)</f>
        <v>0</v>
      </c>
      <c r="MB370" s="56"/>
      <c r="MC370" s="242">
        <f t="shared" si="2593"/>
        <v>0</v>
      </c>
      <c r="MD370" s="242">
        <f t="shared" si="2594"/>
        <v>0</v>
      </c>
      <c r="ME370" s="56"/>
      <c r="MH370" s="55">
        <f t="shared" si="2595"/>
        <v>46336</v>
      </c>
      <c r="MI370" s="56"/>
      <c r="MJ370" s="242">
        <f>SUMPRODUCT(PRODUCE!$B365:$DY365,PRODUCE!$EB$45:$IY$45)</f>
        <v>0</v>
      </c>
      <c r="MK370" s="56"/>
      <c r="ML370" s="242">
        <f t="shared" si="2596"/>
        <v>0</v>
      </c>
      <c r="MM370" s="242">
        <f t="shared" si="2597"/>
        <v>0</v>
      </c>
      <c r="MN370" s="56"/>
      <c r="MQ370" s="55">
        <f t="shared" si="2598"/>
        <v>46336</v>
      </c>
      <c r="MR370" s="56"/>
      <c r="MS370" s="242">
        <f>SUMPRODUCT(PRODUCE!$B365:$DY365,PRODUCE!$EB$46:$IY$46)</f>
        <v>0</v>
      </c>
      <c r="MT370" s="56"/>
      <c r="MU370" s="242">
        <f t="shared" si="2599"/>
        <v>0</v>
      </c>
      <c r="MV370" s="242">
        <f t="shared" si="2600"/>
        <v>1625</v>
      </c>
      <c r="MW370" s="56"/>
      <c r="MZ370" s="55">
        <f t="shared" si="2601"/>
        <v>46336</v>
      </c>
      <c r="NA370" s="56"/>
      <c r="NB370" s="242">
        <f>SUMPRODUCT(PRODUCE!$B365:$DY365,PRODUCE!$EB$47:$IY$47)</f>
        <v>0</v>
      </c>
      <c r="NC370" s="56"/>
      <c r="ND370" s="242">
        <f t="shared" si="2602"/>
        <v>0</v>
      </c>
      <c r="NE370" s="242">
        <f t="shared" si="2603"/>
        <v>0</v>
      </c>
      <c r="NF370" s="56"/>
      <c r="NI370" s="55">
        <f t="shared" si="2604"/>
        <v>46336</v>
      </c>
      <c r="NJ370" s="56"/>
      <c r="NK370" s="242">
        <f>SUMPRODUCT(PRODUCE!$B365:$DY365,PRODUCE!$EB$48:$IY$48)</f>
        <v>0</v>
      </c>
      <c r="NL370" s="56"/>
      <c r="NM370" s="242">
        <f t="shared" si="2605"/>
        <v>0</v>
      </c>
      <c r="NN370" s="242">
        <f t="shared" si="2606"/>
        <v>1127</v>
      </c>
      <c r="NO370" s="56"/>
      <c r="NR370" s="55">
        <f t="shared" si="2607"/>
        <v>46336</v>
      </c>
      <c r="NS370" s="56"/>
      <c r="NT370" s="242">
        <f>SUMPRODUCT(PRODUCE!$B365:$DY365,PRODUCE!$EB$49:$IY$49)</f>
        <v>0</v>
      </c>
      <c r="NU370" s="56"/>
      <c r="NV370" s="242">
        <f t="shared" si="2608"/>
        <v>0</v>
      </c>
      <c r="NW370" s="242">
        <f t="shared" si="2609"/>
        <v>3111.9999999999995</v>
      </c>
      <c r="NX370" s="56"/>
      <c r="OA370" s="55">
        <f t="shared" si="2610"/>
        <v>46336</v>
      </c>
      <c r="OB370" s="56"/>
      <c r="OC370" s="242">
        <f>SUMPRODUCT(PRODUCE!$B365:$DY365,PRODUCE!$EB$50:$IY$50)</f>
        <v>0</v>
      </c>
      <c r="OD370" s="56"/>
      <c r="OE370" s="242">
        <f t="shared" si="2611"/>
        <v>0</v>
      </c>
      <c r="OF370" s="242">
        <f t="shared" si="2612"/>
        <v>1680.5</v>
      </c>
      <c r="OG370" s="56"/>
      <c r="OJ370" s="55">
        <f t="shared" si="2613"/>
        <v>46336</v>
      </c>
      <c r="OK370" s="56"/>
      <c r="OL370" s="242">
        <f>SUMPRODUCT(PRODUCE!$B365:$DY365,PRODUCE!$EB$51:$IY$51)</f>
        <v>0</v>
      </c>
      <c r="OM370" s="56"/>
      <c r="ON370" s="242">
        <f t="shared" si="2614"/>
        <v>0</v>
      </c>
      <c r="OO370" s="242">
        <f t="shared" si="2615"/>
        <v>0</v>
      </c>
      <c r="OP370" s="56"/>
      <c r="OS370" s="55">
        <f t="shared" si="2616"/>
        <v>46336</v>
      </c>
      <c r="OT370" s="56"/>
      <c r="OU370" s="242">
        <f>SUMPRODUCT(PRODUCE!$B365:$DY365,PRODUCE!$EB$52:$IY$52)</f>
        <v>0</v>
      </c>
      <c r="OV370" s="56"/>
      <c r="OW370" s="242">
        <f t="shared" si="2617"/>
        <v>0</v>
      </c>
      <c r="OX370" s="242">
        <f t="shared" si="2618"/>
        <v>1482</v>
      </c>
      <c r="OY370" s="56"/>
      <c r="PB370" s="55">
        <f t="shared" si="2619"/>
        <v>46336</v>
      </c>
      <c r="PC370" s="56"/>
      <c r="PD370" s="242">
        <f>SUMPRODUCT(PRODUCE!$B365:$DY365,PRODUCE!$EB$53:$IY$53)</f>
        <v>0</v>
      </c>
      <c r="PE370" s="56"/>
      <c r="PF370" s="242">
        <f t="shared" si="2620"/>
        <v>0</v>
      </c>
      <c r="PG370" s="242">
        <f t="shared" si="2621"/>
        <v>0</v>
      </c>
      <c r="PH370" s="56"/>
      <c r="PK370" s="55">
        <f t="shared" si="2622"/>
        <v>46336</v>
      </c>
      <c r="PL370" s="56"/>
      <c r="PM370" s="242">
        <f>SUMPRODUCT(PRODUCE!$B365:$DY365,PRODUCE!$EB$54:$IY$54)</f>
        <v>0</v>
      </c>
      <c r="PN370" s="56"/>
      <c r="PO370" s="242">
        <f t="shared" si="2623"/>
        <v>0</v>
      </c>
      <c r="PP370" s="242">
        <f t="shared" si="2624"/>
        <v>100</v>
      </c>
      <c r="PQ370" s="56"/>
      <c r="PT370" s="55">
        <f t="shared" si="2625"/>
        <v>46336</v>
      </c>
      <c r="PU370" s="56"/>
      <c r="PV370" s="242">
        <f>SUMPRODUCT(PRODUCE!$B365:$DY365,PRODUCE!$EB$55:$IY$55)</f>
        <v>0</v>
      </c>
      <c r="PW370" s="56"/>
      <c r="PX370" s="242">
        <f t="shared" si="2626"/>
        <v>0</v>
      </c>
      <c r="PY370" s="242">
        <f t="shared" si="2627"/>
        <v>13.960000000000036</v>
      </c>
      <c r="PZ370" s="56"/>
      <c r="QC370" s="55">
        <f t="shared" si="2628"/>
        <v>46336</v>
      </c>
      <c r="QD370" s="56"/>
      <c r="QE370" s="242">
        <f>SUMPRODUCT(PRODUCE!$B365:$DY365,PRODUCE!$EB$56:$IY$56)</f>
        <v>0</v>
      </c>
      <c r="QF370" s="56"/>
      <c r="QG370" s="242">
        <f t="shared" si="2629"/>
        <v>0</v>
      </c>
      <c r="QH370" s="242">
        <f t="shared" si="2630"/>
        <v>548</v>
      </c>
      <c r="QI370" s="56"/>
      <c r="QL370" s="55">
        <f t="shared" si="2631"/>
        <v>46336</v>
      </c>
      <c r="QM370" s="56"/>
      <c r="QN370" s="242">
        <f>SUMPRODUCT(PRODUCE!$B365:$DY365,PRODUCE!$EB$57:$IY$57)</f>
        <v>0</v>
      </c>
      <c r="QO370" s="56"/>
      <c r="QP370" s="242">
        <f t="shared" si="2632"/>
        <v>0</v>
      </c>
      <c r="QQ370" s="242">
        <f t="shared" si="2633"/>
        <v>0</v>
      </c>
      <c r="QR370" s="56"/>
      <c r="QU370" s="55">
        <f t="shared" si="2634"/>
        <v>46336</v>
      </c>
      <c r="QV370" s="56"/>
      <c r="QW370" s="242">
        <f>SUMPRODUCT(PRODUCE!$B365:$DY365,PRODUCE!$EB$57:$IY$57)</f>
        <v>0</v>
      </c>
      <c r="QX370" s="56"/>
      <c r="QY370" s="242">
        <f t="shared" si="2635"/>
        <v>0</v>
      </c>
      <c r="QZ370" s="242">
        <f t="shared" si="2636"/>
        <v>0</v>
      </c>
      <c r="RA370" s="56"/>
      <c r="RD370" s="55">
        <f t="shared" si="2637"/>
        <v>46336</v>
      </c>
      <c r="RE370" s="56"/>
      <c r="RF370" s="242">
        <f>SUMPRODUCT(PRODUCE!$B365:$DY365,PRODUCE!$EB$58:$IY$58)</f>
        <v>0</v>
      </c>
      <c r="RG370" s="56"/>
      <c r="RH370" s="242">
        <f t="shared" si="2638"/>
        <v>0</v>
      </c>
      <c r="RI370" s="242">
        <f t="shared" si="2639"/>
        <v>147.04000000000002</v>
      </c>
      <c r="RJ370" s="56"/>
      <c r="RM370" s="55">
        <f t="shared" si="2640"/>
        <v>46336</v>
      </c>
      <c r="RN370" s="56"/>
      <c r="RO370" s="242">
        <f>SUMPRODUCT(PRODUCE!$B365:$DY365,PRODUCE!$EB$57:$IY$57)</f>
        <v>0</v>
      </c>
      <c r="RP370" s="56"/>
      <c r="RQ370" s="242">
        <f t="shared" si="2641"/>
        <v>0</v>
      </c>
      <c r="RR370" s="242">
        <f t="shared" si="2642"/>
        <v>46.8</v>
      </c>
      <c r="RS370" s="56"/>
      <c r="RV370" s="55">
        <f t="shared" si="2643"/>
        <v>46336</v>
      </c>
      <c r="RW370" s="56"/>
      <c r="RX370" s="242">
        <f>SUMPRODUCT(PRODUCE!$B365:$DY365,PRODUCE!$EB$57:$IY$57)</f>
        <v>0</v>
      </c>
      <c r="RY370" s="56"/>
      <c r="RZ370" s="242">
        <f t="shared" si="2644"/>
        <v>0</v>
      </c>
      <c r="SA370" s="242">
        <f t="shared" si="2645"/>
        <v>0</v>
      </c>
      <c r="SB370" s="56"/>
      <c r="SE370" s="55">
        <f t="shared" si="2646"/>
        <v>46336</v>
      </c>
      <c r="SF370" s="56"/>
      <c r="SG370" s="242">
        <f>SUMPRODUCT(PRODUCE!$B365:$DY365,PRODUCE!$EB$61:$IY$61)</f>
        <v>0</v>
      </c>
      <c r="SH370" s="56"/>
      <c r="SI370" s="242">
        <f t="shared" si="2647"/>
        <v>0</v>
      </c>
      <c r="SJ370" s="242">
        <f t="shared" si="2648"/>
        <v>24.200000000000003</v>
      </c>
      <c r="SK370" s="56"/>
      <c r="SN370" s="55">
        <f t="shared" si="2649"/>
        <v>46336</v>
      </c>
      <c r="SO370" s="56"/>
      <c r="SP370" s="242">
        <f>SUMPRODUCT(PRODUCE!$B365:$DY365,PRODUCE!$EB$57:$IY$57)</f>
        <v>0</v>
      </c>
      <c r="SQ370" s="56"/>
      <c r="SR370" s="242">
        <f t="shared" si="2650"/>
        <v>0</v>
      </c>
      <c r="SS370" s="242">
        <f t="shared" si="2651"/>
        <v>32</v>
      </c>
      <c r="ST370" s="56"/>
      <c r="SW370" s="55">
        <f t="shared" si="2652"/>
        <v>46336</v>
      </c>
      <c r="SX370" s="56"/>
      <c r="SY370" s="242">
        <f>SUMPRODUCT(PRODUCE!$B365:$DY365,PRODUCE!$EB$57:$IY$57)</f>
        <v>0</v>
      </c>
      <c r="SZ370" s="56"/>
      <c r="TA370" s="242">
        <f t="shared" si="2653"/>
        <v>0</v>
      </c>
      <c r="TB370" s="242">
        <f t="shared" si="2654"/>
        <v>0</v>
      </c>
      <c r="TC370" s="56"/>
      <c r="TF370" s="55">
        <f t="shared" si="2655"/>
        <v>46336</v>
      </c>
      <c r="TG370" s="56"/>
      <c r="TH370" s="242">
        <f>SUMPRODUCT(PRODUCE!$B365:$DY365,PRODUCE!$EB$57:$IY$57)</f>
        <v>0</v>
      </c>
      <c r="TI370" s="56"/>
      <c r="TJ370" s="242">
        <f t="shared" si="2656"/>
        <v>0</v>
      </c>
      <c r="TK370" s="242">
        <f t="shared" si="2657"/>
        <v>0</v>
      </c>
      <c r="TL370" s="56"/>
      <c r="TO370" s="55">
        <f t="shared" si="2658"/>
        <v>46336</v>
      </c>
      <c r="TP370" s="56"/>
      <c r="TQ370" s="242">
        <f>SUMPRODUCT(PRODUCE!$B365:$DY365,PRODUCE!$EB$57:$IY$57)</f>
        <v>0</v>
      </c>
      <c r="TR370" s="56"/>
      <c r="TS370" s="242">
        <f t="shared" si="2659"/>
        <v>0</v>
      </c>
      <c r="TT370" s="242">
        <f t="shared" si="2660"/>
        <v>0</v>
      </c>
      <c r="TU370" s="56"/>
      <c r="TX370" s="55">
        <f t="shared" si="2661"/>
        <v>46336</v>
      </c>
      <c r="TY370" s="56"/>
      <c r="TZ370" s="242">
        <f>SUMPRODUCT(PRODUCE!$B365:$DY365,PRODUCE!$EB$57:$IY$57)</f>
        <v>0</v>
      </c>
      <c r="UA370" s="56"/>
      <c r="UB370" s="242">
        <f t="shared" si="2662"/>
        <v>0</v>
      </c>
      <c r="UC370" s="242">
        <f t="shared" si="2663"/>
        <v>46.799999999999983</v>
      </c>
      <c r="UD370" s="56"/>
      <c r="UG370" s="55">
        <f t="shared" si="2664"/>
        <v>46336</v>
      </c>
      <c r="UH370" s="56"/>
      <c r="UI370" s="242">
        <f>SUMPRODUCT(PRODUCE!$B365:$DY365,PRODUCE!$EB$57:$IY$57)</f>
        <v>0</v>
      </c>
      <c r="UJ370" s="56"/>
      <c r="UK370" s="242">
        <f t="shared" si="2665"/>
        <v>0</v>
      </c>
      <c r="UL370" s="242">
        <f t="shared" si="2666"/>
        <v>204</v>
      </c>
      <c r="UM370" s="56"/>
      <c r="UP370" s="55">
        <f t="shared" si="2667"/>
        <v>46336</v>
      </c>
      <c r="UQ370" s="56"/>
      <c r="UR370" s="242">
        <f>SUMPRODUCT(PRODUCE!$B365:$DY365,PRODUCE!$EB$57:$IY$57)</f>
        <v>0</v>
      </c>
      <c r="US370" s="56"/>
      <c r="UT370" s="242">
        <f t="shared" si="2668"/>
        <v>0</v>
      </c>
      <c r="UU370" s="242">
        <f t="shared" si="2669"/>
        <v>202.5</v>
      </c>
      <c r="UV370" s="56"/>
      <c r="UY370" s="55">
        <f t="shared" si="2670"/>
        <v>46336</v>
      </c>
      <c r="UZ370" s="56"/>
      <c r="VA370" s="242">
        <f>SUMPRODUCT(PRODUCE!$B365:$DY365,PRODUCE!$EB$57:$IY$57)</f>
        <v>0</v>
      </c>
      <c r="VB370" s="56"/>
      <c r="VC370" s="242">
        <f t="shared" si="2671"/>
        <v>0</v>
      </c>
      <c r="VD370" s="242">
        <f t="shared" si="2672"/>
        <v>41.600000000000023</v>
      </c>
      <c r="VE370" s="56"/>
      <c r="VH370" s="55">
        <f t="shared" si="2673"/>
        <v>46336</v>
      </c>
      <c r="VI370" s="56"/>
      <c r="VJ370" s="242">
        <f>SUMPRODUCT(PRODUCE!$B365:$DY365,PRODUCE!$EB$57:$IY$57)</f>
        <v>0</v>
      </c>
      <c r="VK370" s="56"/>
      <c r="VL370" s="242">
        <f t="shared" si="2674"/>
        <v>0</v>
      </c>
      <c r="VM370" s="242">
        <f t="shared" si="2675"/>
        <v>210</v>
      </c>
      <c r="VN370" s="56"/>
      <c r="VQ370" s="55">
        <f t="shared" si="2676"/>
        <v>46336</v>
      </c>
      <c r="VR370" s="56"/>
      <c r="VS370" s="242">
        <f>SUMPRODUCT(PRODUCE!$B365:$DY365,PRODUCE!$EB$57:$IY$57)</f>
        <v>0</v>
      </c>
      <c r="VT370" s="56"/>
      <c r="VU370" s="242">
        <f t="shared" si="2677"/>
        <v>0</v>
      </c>
      <c r="VV370" s="242">
        <f t="shared" si="2678"/>
        <v>0</v>
      </c>
      <c r="VW370" s="56"/>
      <c r="VZ370" s="55">
        <f t="shared" si="2679"/>
        <v>46336</v>
      </c>
      <c r="WA370" s="56"/>
      <c r="WB370" s="242">
        <f>SUMPRODUCT(PRODUCE!$B365:$DY365,PRODUCE!$EB$57:$IY$57)</f>
        <v>0</v>
      </c>
      <c r="WC370" s="56"/>
      <c r="WD370" s="242">
        <f t="shared" si="2680"/>
        <v>0</v>
      </c>
      <c r="WE370" s="242">
        <f t="shared" si="2681"/>
        <v>0</v>
      </c>
      <c r="WF370" s="56"/>
      <c r="WI370" s="55">
        <f t="shared" si="2682"/>
        <v>46336</v>
      </c>
      <c r="WJ370" s="56"/>
      <c r="WK370" s="242">
        <f>SUMPRODUCT(PRODUCE!$B365:$DY365,PRODUCE!$EB$57:$IY$57)</f>
        <v>0</v>
      </c>
      <c r="WL370" s="56"/>
      <c r="WM370" s="242">
        <f t="shared" si="2683"/>
        <v>0</v>
      </c>
      <c r="WN370" s="242">
        <f t="shared" si="2684"/>
        <v>1057</v>
      </c>
      <c r="WO370" s="56"/>
      <c r="WR370" s="55">
        <f t="shared" si="2685"/>
        <v>46336</v>
      </c>
      <c r="WS370" s="56"/>
      <c r="WT370" s="242">
        <f>SUMPRODUCT(PRODUCE!$B365:$DY365,PRODUCE!$EB$57:$IY$57)</f>
        <v>0</v>
      </c>
      <c r="WU370" s="56"/>
      <c r="WV370" s="242">
        <f t="shared" si="2686"/>
        <v>0</v>
      </c>
      <c r="WW370" s="242">
        <f t="shared" si="2687"/>
        <v>0</v>
      </c>
      <c r="WX370" s="56"/>
      <c r="XA370" s="55">
        <f t="shared" si="2688"/>
        <v>46336</v>
      </c>
      <c r="XB370" s="56"/>
      <c r="XC370" s="242">
        <f>SUMPRODUCT(PRODUCE!$B365:$DY365,PRODUCE!$EB$57:$IY$57)</f>
        <v>0</v>
      </c>
      <c r="XD370" s="56"/>
      <c r="XE370" s="242">
        <f t="shared" si="2689"/>
        <v>0</v>
      </c>
      <c r="XF370" s="242">
        <f t="shared" si="2690"/>
        <v>7507</v>
      </c>
      <c r="XG370" s="56"/>
      <c r="XJ370" s="55">
        <f t="shared" si="2691"/>
        <v>46336</v>
      </c>
      <c r="XK370" s="56"/>
      <c r="XL370" s="242">
        <f>SUMPRODUCT(PRODUCE!$B365:$DY365,PRODUCE!$EB$57:$IY$57)</f>
        <v>0</v>
      </c>
      <c r="XM370" s="56"/>
      <c r="XN370" s="242">
        <f t="shared" si="2692"/>
        <v>0</v>
      </c>
      <c r="XO370" s="242">
        <f t="shared" si="2693"/>
        <v>4252</v>
      </c>
      <c r="XP370" s="56"/>
      <c r="XS370" s="55">
        <f t="shared" si="2694"/>
        <v>46336</v>
      </c>
      <c r="XT370" s="56"/>
      <c r="XU370" s="242">
        <f>SUMPRODUCT(PRODUCE!$B365:$DY365,PRODUCE!$EB$57:$IY$57)</f>
        <v>0</v>
      </c>
      <c r="XV370" s="56"/>
      <c r="XW370" s="242">
        <f t="shared" si="2695"/>
        <v>0</v>
      </c>
      <c r="XX370" s="242">
        <f t="shared" si="2696"/>
        <v>2179</v>
      </c>
      <c r="XY370" s="56"/>
      <c r="YB370" s="55">
        <f t="shared" si="2697"/>
        <v>46336</v>
      </c>
      <c r="YC370" s="56"/>
      <c r="YD370" s="242">
        <f>SUMPRODUCT(PRODUCE!$B365:$DY365,PRODUCE!$EB$57:$IY$57)</f>
        <v>0</v>
      </c>
      <c r="YE370" s="56"/>
      <c r="YF370" s="242">
        <f t="shared" si="2698"/>
        <v>0</v>
      </c>
      <c r="YG370" s="242">
        <f t="shared" si="2699"/>
        <v>4019</v>
      </c>
      <c r="YH370" s="56"/>
      <c r="YK370" s="55">
        <f t="shared" si="2700"/>
        <v>46336</v>
      </c>
      <c r="YL370" s="56"/>
      <c r="YM370" s="242">
        <f>SUMPRODUCT(PRODUCE!$B365:$DY365,PRODUCE!$EB$57:$IY$57)</f>
        <v>0</v>
      </c>
      <c r="YN370" s="56"/>
      <c r="YO370" s="242">
        <f t="shared" si="2701"/>
        <v>0</v>
      </c>
      <c r="YP370" s="242">
        <f t="shared" si="2702"/>
        <v>-218</v>
      </c>
      <c r="YQ370" s="56"/>
      <c r="YT370" s="55">
        <f t="shared" si="2703"/>
        <v>46336</v>
      </c>
      <c r="YU370" s="56"/>
      <c r="YV370" s="242">
        <f>SUMPRODUCT(PRODUCE!$B365:$DY365,PRODUCE!$EB$57:$IY$57)</f>
        <v>0</v>
      </c>
      <c r="YW370" s="56"/>
      <c r="YX370" s="242">
        <f t="shared" si="2704"/>
        <v>0</v>
      </c>
      <c r="YY370" s="242">
        <f t="shared" si="2705"/>
        <v>0</v>
      </c>
      <c r="YZ370" s="56"/>
      <c r="ZC370" s="55">
        <f t="shared" si="2706"/>
        <v>46336</v>
      </c>
      <c r="ZD370" s="56"/>
      <c r="ZE370" s="242">
        <f>SUMPRODUCT(PRODUCE!$B365:$DY365,PRODUCE!$EB$57:$IY$57)</f>
        <v>0</v>
      </c>
      <c r="ZF370" s="56"/>
      <c r="ZG370" s="242">
        <f t="shared" si="2707"/>
        <v>0</v>
      </c>
      <c r="ZH370" s="242">
        <f t="shared" si="2708"/>
        <v>0</v>
      </c>
      <c r="ZI370" s="56"/>
      <c r="ZL370" s="55">
        <f t="shared" si="2709"/>
        <v>46336</v>
      </c>
      <c r="ZM370" s="56"/>
      <c r="ZN370" s="242">
        <f>SUMPRODUCT(PRODUCE!$B365:$DY365,PRODUCE!$EB$57:$IY$57)</f>
        <v>0</v>
      </c>
      <c r="ZO370" s="56"/>
      <c r="ZP370" s="242">
        <f t="shared" si="2710"/>
        <v>0</v>
      </c>
      <c r="ZQ370" s="242">
        <f t="shared" si="2711"/>
        <v>0</v>
      </c>
      <c r="ZR370" s="56"/>
      <c r="ZU370" s="55">
        <f t="shared" si="2712"/>
        <v>46336</v>
      </c>
      <c r="ZV370" s="56"/>
      <c r="ZW370" s="242">
        <f>SUMPRODUCT(PRODUCE!$B365:$DY365,PRODUCE!$EB$57:$IY$57)</f>
        <v>0</v>
      </c>
      <c r="ZX370" s="56"/>
      <c r="ZY370" s="242">
        <f t="shared" si="2713"/>
        <v>0</v>
      </c>
      <c r="ZZ370" s="242">
        <f t="shared" si="2714"/>
        <v>0</v>
      </c>
      <c r="AAA370" s="56"/>
      <c r="AAD370" s="55">
        <f t="shared" si="2715"/>
        <v>46336</v>
      </c>
      <c r="AAE370" s="56"/>
      <c r="AAF370" s="242">
        <f>SUMPRODUCT(PRODUCE!$B365:$DY365,PRODUCE!$EB$57:$IY$57)</f>
        <v>0</v>
      </c>
      <c r="AAG370" s="56"/>
      <c r="AAH370" s="242">
        <f t="shared" si="2716"/>
        <v>0</v>
      </c>
      <c r="AAI370" s="242">
        <f t="shared" si="2717"/>
        <v>0</v>
      </c>
      <c r="AAJ370" s="56"/>
      <c r="AAM370" s="55">
        <f t="shared" si="2718"/>
        <v>46336</v>
      </c>
      <c r="AAN370" s="56"/>
      <c r="AAO370" s="242">
        <f>SUMPRODUCT(PRODUCE!$B365:$DY365,PRODUCE!$EB$57:$IY$57)</f>
        <v>0</v>
      </c>
      <c r="AAP370" s="56"/>
      <c r="AAQ370" s="242">
        <f t="shared" si="2719"/>
        <v>0</v>
      </c>
      <c r="AAR370" s="242">
        <f t="shared" si="2720"/>
        <v>0</v>
      </c>
      <c r="AAS370" s="56"/>
      <c r="AAV370" s="55">
        <f t="shared" si="2721"/>
        <v>46336</v>
      </c>
      <c r="AAW370" s="56"/>
      <c r="AAX370" s="242">
        <f>SUMPRODUCT(PRODUCE!$B365:$DY365,PRODUCE!$EB$57:$IY$57)</f>
        <v>0</v>
      </c>
      <c r="AAY370" s="56"/>
      <c r="AAZ370" s="242">
        <f t="shared" si="2722"/>
        <v>0</v>
      </c>
      <c r="ABA370" s="242">
        <f t="shared" si="2723"/>
        <v>0</v>
      </c>
      <c r="ABB370" s="56"/>
      <c r="ABE370" s="55">
        <f t="shared" si="2724"/>
        <v>46336</v>
      </c>
      <c r="ABF370" s="56"/>
      <c r="ABG370" s="242">
        <f>SUMPRODUCT(PRODUCE!$B365:$DY365,PRODUCE!$EB$57:$IY$57)</f>
        <v>0</v>
      </c>
      <c r="ABH370" s="56"/>
      <c r="ABI370" s="242">
        <f t="shared" si="2725"/>
        <v>0</v>
      </c>
      <c r="ABJ370" s="242">
        <f t="shared" si="2726"/>
        <v>0</v>
      </c>
      <c r="ABK370" s="56"/>
    </row>
    <row r="371" spans="2:739" s="54" customFormat="1" ht="15" customHeight="1" outlineLevel="1">
      <c r="B371" s="478"/>
      <c r="C371" s="55">
        <v>46337</v>
      </c>
      <c r="D371" s="56"/>
      <c r="E371" s="57">
        <f>SUMPRODUCT(PRODUCE!$B366:$DY366,PRODUCE!$EB$7:$IY$7)</f>
        <v>0</v>
      </c>
      <c r="F371" s="56"/>
      <c r="G371" s="57">
        <f t="shared" si="2482"/>
        <v>0</v>
      </c>
      <c r="H371" s="57">
        <f t="shared" si="2483"/>
        <v>236936.6</v>
      </c>
      <c r="I371" s="289"/>
      <c r="L371" s="55">
        <f t="shared" si="2484"/>
        <v>46337</v>
      </c>
      <c r="M371" s="56"/>
      <c r="N371" s="59">
        <f>SUMPRODUCT(PRODUCE!$B366:$DY366,PRODUCE!$EB$8:$IY$8)</f>
        <v>0</v>
      </c>
      <c r="O371" s="56"/>
      <c r="P371" s="59">
        <f t="shared" si="2485"/>
        <v>0</v>
      </c>
      <c r="Q371" s="59">
        <f t="shared" si="2486"/>
        <v>53017.600000000071</v>
      </c>
      <c r="R371" s="56"/>
      <c r="U371" s="55">
        <f t="shared" si="2487"/>
        <v>46337</v>
      </c>
      <c r="V371" s="56"/>
      <c r="W371" s="60">
        <f>SUMPRODUCT(PRODUCE!$B366:$DY366,PRODUCE!$EB$9:$IY$9)</f>
        <v>0</v>
      </c>
      <c r="X371" s="56"/>
      <c r="Y371" s="60">
        <f t="shared" si="2488"/>
        <v>0</v>
      </c>
      <c r="Z371" s="60">
        <f t="shared" si="2489"/>
        <v>42674.199999999968</v>
      </c>
      <c r="AA371" s="56"/>
      <c r="AD371" s="55">
        <f t="shared" si="2490"/>
        <v>46337</v>
      </c>
      <c r="AE371" s="56"/>
      <c r="AF371" s="61">
        <f>SUMPRODUCT(PRODUCE!$B366:$DY366,PRODUCE!$EB$10:$IY$10)</f>
        <v>0</v>
      </c>
      <c r="AG371" s="56"/>
      <c r="AH371" s="61">
        <f t="shared" si="2491"/>
        <v>0</v>
      </c>
      <c r="AI371" s="61">
        <f t="shared" si="2492"/>
        <v>4522.2000000000189</v>
      </c>
      <c r="AJ371" s="56"/>
      <c r="AM371" s="55">
        <f t="shared" si="2493"/>
        <v>46337</v>
      </c>
      <c r="AN371" s="422"/>
      <c r="AO371" s="444">
        <f>SUMPRODUCT(PRODUCE!$B366:$DY366,PRODUCE!$EB$11:$IY$11)</f>
        <v>0</v>
      </c>
      <c r="AP371" s="422"/>
      <c r="AQ371" s="444">
        <f t="shared" si="2494"/>
        <v>0</v>
      </c>
      <c r="AR371" s="444">
        <f t="shared" si="2495"/>
        <v>0</v>
      </c>
      <c r="AS371" s="56"/>
      <c r="AV371" s="55">
        <f t="shared" si="2496"/>
        <v>46337</v>
      </c>
      <c r="AW371" s="56"/>
      <c r="AX371" s="62">
        <f>SUMPRODUCT(PRODUCE!$B366:$DY366,PRODUCE!$EB$12:$IY$12)</f>
        <v>0</v>
      </c>
      <c r="AY371" s="56"/>
      <c r="AZ371" s="62">
        <f t="shared" si="2497"/>
        <v>0</v>
      </c>
      <c r="BA371" s="62">
        <f t="shared" si="2498"/>
        <v>124.99999999999523</v>
      </c>
      <c r="BB371" s="56"/>
      <c r="BE371" s="55">
        <f t="shared" si="2499"/>
        <v>46337</v>
      </c>
      <c r="BF371" s="56"/>
      <c r="BG371" s="63">
        <f>SUMPRODUCT(PRODUCE!$B366:$DY366,PRODUCE!$EB$13:$IY$13)</f>
        <v>0</v>
      </c>
      <c r="BH371" s="56"/>
      <c r="BI371" s="63">
        <f t="shared" si="2500"/>
        <v>0</v>
      </c>
      <c r="BJ371" s="63">
        <f t="shared" si="2501"/>
        <v>26151.899999999998</v>
      </c>
      <c r="BK371" s="56"/>
      <c r="BN371" s="55">
        <f t="shared" si="2502"/>
        <v>46337</v>
      </c>
      <c r="BO371" s="56"/>
      <c r="BP371" s="64">
        <f>SUMPRODUCT(PRODUCE!$B366:$DY366,PRODUCE!$EB$14:$IY$14)</f>
        <v>0</v>
      </c>
      <c r="BQ371" s="56"/>
      <c r="BR371" s="64">
        <f t="shared" si="2503"/>
        <v>0</v>
      </c>
      <c r="BS371" s="64">
        <f t="shared" si="2504"/>
        <v>0</v>
      </c>
      <c r="BT371" s="56"/>
      <c r="BW371" s="55">
        <f t="shared" si="2505"/>
        <v>46337</v>
      </c>
      <c r="BX371" s="56"/>
      <c r="BY371" s="65">
        <f>SUMPRODUCT(PRODUCE!$B366:$DY366,PRODUCE!$EB$15:$IY$15)</f>
        <v>0</v>
      </c>
      <c r="BZ371" s="56"/>
      <c r="CA371" s="65">
        <f t="shared" si="2506"/>
        <v>0</v>
      </c>
      <c r="CB371" s="65">
        <f t="shared" si="2507"/>
        <v>2097.3399999999992</v>
      </c>
      <c r="CC371" s="56"/>
      <c r="CF371" s="55">
        <f t="shared" si="2508"/>
        <v>46337</v>
      </c>
      <c r="CG371" s="56"/>
      <c r="CH371" s="66">
        <f>SUMPRODUCT(PRODUCE!$B366:$DY366,PRODUCE!$EB$16:$IY$16)</f>
        <v>0</v>
      </c>
      <c r="CI371" s="56"/>
      <c r="CJ371" s="66">
        <f t="shared" si="2509"/>
        <v>0</v>
      </c>
      <c r="CK371" s="66">
        <f t="shared" si="2510"/>
        <v>-10277.079999999998</v>
      </c>
      <c r="CL371" s="56"/>
      <c r="CO371" s="55">
        <f t="shared" si="2511"/>
        <v>46337</v>
      </c>
      <c r="CP371" s="422"/>
      <c r="CQ371" s="470">
        <f>SUMPRODUCT(PRODUCE!$B366:$DY366,PRODUCE!$EB$17:$IY$17)</f>
        <v>0</v>
      </c>
      <c r="CR371" s="422"/>
      <c r="CS371" s="470">
        <f t="shared" si="2512"/>
        <v>0</v>
      </c>
      <c r="CT371" s="470">
        <f t="shared" si="2513"/>
        <v>0</v>
      </c>
      <c r="CU371" s="56"/>
      <c r="CX371" s="55">
        <f t="shared" si="2514"/>
        <v>46337</v>
      </c>
      <c r="CY371" s="56"/>
      <c r="CZ371" s="133">
        <f>SUMPRODUCT(PRODUCE!$B366:$DY366,PRODUCE!$EB$18:$IY$18)</f>
        <v>0</v>
      </c>
      <c r="DA371" s="56"/>
      <c r="DB371" s="133">
        <f t="shared" si="2515"/>
        <v>0</v>
      </c>
      <c r="DC371" s="133">
        <f t="shared" si="2516"/>
        <v>27438.200000000012</v>
      </c>
      <c r="DD371" s="56"/>
      <c r="DG371" s="55">
        <f t="shared" si="2517"/>
        <v>46337</v>
      </c>
      <c r="DH371" s="56"/>
      <c r="DI371" s="147">
        <f>SUMPRODUCT(PRODUCE!$B366:$DY366,PRODUCE!$EB$19:$IY$19)</f>
        <v>0</v>
      </c>
      <c r="DJ371" s="56"/>
      <c r="DK371" s="147">
        <f t="shared" si="2518"/>
        <v>0</v>
      </c>
      <c r="DL371" s="147">
        <f t="shared" si="2519"/>
        <v>18782.299999999981</v>
      </c>
      <c r="DM371" s="56"/>
      <c r="DP371" s="55">
        <f t="shared" si="2520"/>
        <v>46337</v>
      </c>
      <c r="DQ371" s="56"/>
      <c r="DR371" s="57">
        <f>SUMPRODUCT(PRODUCE!$B366:$DY366,PRODUCE!$EB$20:$IY$20)</f>
        <v>0</v>
      </c>
      <c r="DS371" s="56"/>
      <c r="DT371" s="57">
        <f t="shared" si="2521"/>
        <v>0</v>
      </c>
      <c r="DU371" s="57">
        <f t="shared" si="2522"/>
        <v>5800</v>
      </c>
      <c r="DV371" s="56"/>
      <c r="DY371" s="55">
        <f t="shared" si="2523"/>
        <v>46337</v>
      </c>
      <c r="DZ371" s="56"/>
      <c r="EA371" s="157">
        <f>SUMPRODUCT(PRODUCE!$B366:$DY366,PRODUCE!$EB$21:$IY$21)</f>
        <v>0</v>
      </c>
      <c r="EB371" s="56"/>
      <c r="EC371" s="157">
        <f t="shared" si="2524"/>
        <v>0</v>
      </c>
      <c r="ED371" s="157">
        <f t="shared" si="2525"/>
        <v>0</v>
      </c>
      <c r="EE371" s="56"/>
      <c r="EH371" s="55">
        <f t="shared" si="2526"/>
        <v>46337</v>
      </c>
      <c r="EI371" s="56"/>
      <c r="EJ371" s="162">
        <f>SUMPRODUCT(PRODUCE!$B366:$DY366,PRODUCE!$EB$22:$IY$22)</f>
        <v>0</v>
      </c>
      <c r="EK371" s="56"/>
      <c r="EL371" s="162">
        <f t="shared" si="2527"/>
        <v>0</v>
      </c>
      <c r="EM371" s="162">
        <f t="shared" si="2528"/>
        <v>0</v>
      </c>
      <c r="EN371" s="56"/>
      <c r="EQ371" s="55">
        <f t="shared" si="2529"/>
        <v>46337</v>
      </c>
      <c r="ER371" s="56"/>
      <c r="ES371" s="135">
        <f>SUMPRODUCT(PRODUCE!$B366:$DY366,PRODUCE!$EB$23:$IY$23)</f>
        <v>0</v>
      </c>
      <c r="ET371" s="56"/>
      <c r="EU371" s="135">
        <f t="shared" si="2530"/>
        <v>0</v>
      </c>
      <c r="EV371" s="135">
        <f t="shared" si="2531"/>
        <v>0</v>
      </c>
      <c r="EW371" s="56"/>
      <c r="EZ371" s="55">
        <f t="shared" si="2532"/>
        <v>46337</v>
      </c>
      <c r="FA371" s="56"/>
      <c r="FB371" s="175">
        <f>SUMPRODUCT(PRODUCE!$B366:$DY366,PRODUCE!$EB$24:$IY$24)</f>
        <v>0</v>
      </c>
      <c r="FC371" s="56"/>
      <c r="FD371" s="175">
        <f t="shared" si="2533"/>
        <v>0</v>
      </c>
      <c r="FE371" s="175">
        <f t="shared" si="2534"/>
        <v>0</v>
      </c>
      <c r="FF371" s="56"/>
      <c r="FI371" s="55">
        <f t="shared" si="2535"/>
        <v>46337</v>
      </c>
      <c r="FJ371" s="56"/>
      <c r="FK371" s="183">
        <f>SUMPRODUCT(PRODUCE!$B366:$DY366,PRODUCE!$EB$25:$IY$25)</f>
        <v>0</v>
      </c>
      <c r="FL371" s="56"/>
      <c r="FM371" s="183">
        <f t="shared" si="2536"/>
        <v>0</v>
      </c>
      <c r="FN371" s="183">
        <f t="shared" si="2537"/>
        <v>0</v>
      </c>
      <c r="FO371" s="56"/>
      <c r="FR371" s="55">
        <f t="shared" si="2538"/>
        <v>46337</v>
      </c>
      <c r="FS371" s="56"/>
      <c r="FT371" s="186">
        <f>SUMPRODUCT(PRODUCE!$B366:$DY366,PRODUCE!$EB$26:$IY$26)</f>
        <v>0</v>
      </c>
      <c r="FU371" s="56"/>
      <c r="FV371" s="186">
        <f t="shared" si="2539"/>
        <v>0</v>
      </c>
      <c r="FW371" s="186">
        <f t="shared" si="2540"/>
        <v>2020</v>
      </c>
      <c r="FX371" s="56"/>
      <c r="GA371" s="55">
        <f t="shared" si="2541"/>
        <v>46337</v>
      </c>
      <c r="GB371" s="56"/>
      <c r="GC371" s="137">
        <f>SUMPRODUCT(PRODUCE!$B366:$DY366,PRODUCE!$EB$27:$IY$27)</f>
        <v>0</v>
      </c>
      <c r="GD371" s="56"/>
      <c r="GE371" s="137">
        <f t="shared" si="2542"/>
        <v>0</v>
      </c>
      <c r="GF371" s="137">
        <f t="shared" si="2543"/>
        <v>960</v>
      </c>
      <c r="GG371" s="56"/>
      <c r="GI371" s="23"/>
      <c r="GJ371" s="55">
        <f t="shared" si="2544"/>
        <v>46337</v>
      </c>
      <c r="GK371" s="56"/>
      <c r="GL371" s="199">
        <f>SUMPRODUCT(PRODUCE!$B366:$DY366,PRODUCE!$EB$28:$IY$28)</f>
        <v>0</v>
      </c>
      <c r="GM371" s="56"/>
      <c r="GN371" s="199">
        <f t="shared" si="2545"/>
        <v>0</v>
      </c>
      <c r="GO371" s="199">
        <f t="shared" si="2546"/>
        <v>1760</v>
      </c>
      <c r="GP371" s="56"/>
      <c r="GS371" s="55">
        <f t="shared" si="2547"/>
        <v>46337</v>
      </c>
      <c r="GT371" s="56"/>
      <c r="GU371" s="195">
        <f>SUMPRODUCT(PRODUCE!$B366:$DY366,PRODUCE!$EB$29:$IY$29)</f>
        <v>0</v>
      </c>
      <c r="GV371" s="56"/>
      <c r="GW371" s="195">
        <f t="shared" si="2548"/>
        <v>0</v>
      </c>
      <c r="GX371" s="195">
        <f t="shared" si="2549"/>
        <v>400</v>
      </c>
      <c r="GY371" s="56"/>
      <c r="HB371" s="55">
        <f t="shared" si="2550"/>
        <v>46337</v>
      </c>
      <c r="HC371" s="56"/>
      <c r="HD371" s="191">
        <f>SUMPRODUCT(PRODUCE!$B366:$DY366,PRODUCE!$EB$30:$IY$30)</f>
        <v>0</v>
      </c>
      <c r="HE371" s="56"/>
      <c r="HF371" s="191">
        <f t="shared" si="2551"/>
        <v>0</v>
      </c>
      <c r="HG371" s="191">
        <f t="shared" si="2552"/>
        <v>3600</v>
      </c>
      <c r="HH371" s="56"/>
      <c r="HK371" s="55">
        <f t="shared" si="2553"/>
        <v>46337</v>
      </c>
      <c r="HL371" s="56"/>
      <c r="HM371" s="63">
        <f>SUMPRODUCT(PRODUCE!$B366:$DY366,PRODUCE!$EB$31:$IY$31)</f>
        <v>0</v>
      </c>
      <c r="HN371" s="56"/>
      <c r="HO371" s="63">
        <f t="shared" si="2554"/>
        <v>0</v>
      </c>
      <c r="HP371" s="63">
        <f t="shared" si="2555"/>
        <v>0</v>
      </c>
      <c r="HQ371" s="56"/>
      <c r="HU371" s="55">
        <f t="shared" si="2556"/>
        <v>46337</v>
      </c>
      <c r="HV371" s="56"/>
      <c r="HW371" s="242">
        <f>SUMPRODUCT(PRODUCE!$B366:$DY366,PRODUCE!$EB$32:$IY$32)</f>
        <v>0</v>
      </c>
      <c r="HX371" s="56"/>
      <c r="HY371" s="242">
        <f t="shared" si="2557"/>
        <v>0</v>
      </c>
      <c r="HZ371" s="242">
        <f t="shared" si="2558"/>
        <v>6120</v>
      </c>
      <c r="IA371" s="56"/>
      <c r="ID371" s="55">
        <f t="shared" si="2559"/>
        <v>46337</v>
      </c>
      <c r="IE371" s="56"/>
      <c r="IF371" s="242">
        <f>SUMPRODUCT(PRODUCE!$B366:$DY366,PRODUCE!$EB$33:$IY$33)</f>
        <v>0</v>
      </c>
      <c r="IG371" s="56"/>
      <c r="IH371" s="242">
        <f t="shared" si="2560"/>
        <v>0</v>
      </c>
      <c r="II371" s="242">
        <f t="shared" si="2561"/>
        <v>0</v>
      </c>
      <c r="IJ371" s="56"/>
      <c r="IM371" s="55">
        <f t="shared" si="2562"/>
        <v>46337</v>
      </c>
      <c r="IN371" s="56"/>
      <c r="IO371" s="242">
        <f>SUMPRODUCT(PRODUCE!$B366:$DY366,PRODUCE!$EB$34:$IY$34)</f>
        <v>0</v>
      </c>
      <c r="IP371" s="56"/>
      <c r="IQ371" s="242">
        <f t="shared" si="2563"/>
        <v>0</v>
      </c>
      <c r="IR371" s="242">
        <f t="shared" si="2564"/>
        <v>0</v>
      </c>
      <c r="IS371" s="56"/>
      <c r="IV371" s="55">
        <f t="shared" si="2565"/>
        <v>46337</v>
      </c>
      <c r="IW371" s="56"/>
      <c r="IX371" s="242">
        <f>SUMPRODUCT(PRODUCE!$B366:$DY366,PRODUCE!$EB$35:$IY$35)</f>
        <v>0</v>
      </c>
      <c r="IY371" s="56"/>
      <c r="IZ371" s="242">
        <f t="shared" si="2566"/>
        <v>0</v>
      </c>
      <c r="JA371" s="242">
        <f t="shared" si="2567"/>
        <v>2820</v>
      </c>
      <c r="JB371" s="56"/>
      <c r="JE371" s="55">
        <f t="shared" si="2568"/>
        <v>46337</v>
      </c>
      <c r="JF371" s="56"/>
      <c r="JG371" s="242">
        <f>SUMPRODUCT(PRODUCE!$B366:$DY366,PRODUCE!$EB$36:$IY$36)</f>
        <v>0</v>
      </c>
      <c r="JH371" s="56"/>
      <c r="JI371" s="242">
        <f t="shared" si="2569"/>
        <v>0</v>
      </c>
      <c r="JJ371" s="242">
        <f t="shared" si="2570"/>
        <v>0</v>
      </c>
      <c r="JK371" s="56"/>
      <c r="JN371" s="55">
        <f t="shared" si="2571"/>
        <v>46337</v>
      </c>
      <c r="JO371" s="56"/>
      <c r="JP371" s="242">
        <f>SUMPRODUCT(PRODUCE!$B366:$DY366,PRODUCE!$EB$37:$IY$37)</f>
        <v>0</v>
      </c>
      <c r="JQ371" s="56"/>
      <c r="JR371" s="242">
        <f t="shared" si="2572"/>
        <v>0</v>
      </c>
      <c r="JS371" s="242">
        <f t="shared" si="2573"/>
        <v>0</v>
      </c>
      <c r="JT371" s="56"/>
      <c r="JW371" s="55">
        <f t="shared" si="2574"/>
        <v>46337</v>
      </c>
      <c r="JX371" s="56"/>
      <c r="JY371" s="242">
        <f>SUMPRODUCT(PRODUCE!$B366:$DY366,PRODUCE!$EB$38:$IY$38)</f>
        <v>0</v>
      </c>
      <c r="JZ371" s="56"/>
      <c r="KA371" s="242">
        <f t="shared" si="2575"/>
        <v>0</v>
      </c>
      <c r="KB371" s="242">
        <f t="shared" si="2576"/>
        <v>2540</v>
      </c>
      <c r="KC371" s="56"/>
      <c r="KF371" s="55">
        <f t="shared" si="2577"/>
        <v>46337</v>
      </c>
      <c r="KG371" s="56"/>
      <c r="KH371" s="242">
        <f>SUMPRODUCT(PRODUCE!$B366:$DY366,PRODUCE!$EB$39:$IY$39)</f>
        <v>0</v>
      </c>
      <c r="KI371" s="56"/>
      <c r="KJ371" s="242">
        <f t="shared" si="2578"/>
        <v>0</v>
      </c>
      <c r="KK371" s="242">
        <f t="shared" si="2579"/>
        <v>2359.5</v>
      </c>
      <c r="KL371" s="56"/>
      <c r="KO371" s="55">
        <f t="shared" si="2580"/>
        <v>46337</v>
      </c>
      <c r="KP371" s="56"/>
      <c r="KQ371" s="242">
        <f>SUMPRODUCT(PRODUCE!$B366:$DY366,PRODUCE!$EB$40:$IY$40)</f>
        <v>0</v>
      </c>
      <c r="KR371" s="56"/>
      <c r="KS371" s="242">
        <f t="shared" si="2581"/>
        <v>0</v>
      </c>
      <c r="KT371" s="242">
        <f t="shared" si="2582"/>
        <v>1890</v>
      </c>
      <c r="KU371" s="56"/>
      <c r="KW371" s="23"/>
      <c r="KX371" s="55">
        <f t="shared" si="2583"/>
        <v>46337</v>
      </c>
      <c r="KY371" s="56"/>
      <c r="KZ371" s="242">
        <f>SUMPRODUCT(PRODUCE!$B366:$DY366,PRODUCE!$EB$41:$IY$41)</f>
        <v>0</v>
      </c>
      <c r="LA371" s="56"/>
      <c r="LB371" s="242">
        <f t="shared" si="2584"/>
        <v>0</v>
      </c>
      <c r="LC371" s="242">
        <f t="shared" si="2585"/>
        <v>3690</v>
      </c>
      <c r="LD371" s="56"/>
      <c r="LG371" s="55">
        <f t="shared" si="2586"/>
        <v>46337</v>
      </c>
      <c r="LH371" s="56"/>
      <c r="LI371" s="242">
        <f>SUMPRODUCT(PRODUCE!$B366:$DY366,PRODUCE!$EB$42:$IY$42)</f>
        <v>0</v>
      </c>
      <c r="LJ371" s="56"/>
      <c r="LK371" s="242">
        <f t="shared" si="2587"/>
        <v>0</v>
      </c>
      <c r="LL371" s="242">
        <f t="shared" si="2588"/>
        <v>4000</v>
      </c>
      <c r="LM371" s="56"/>
      <c r="LP371" s="55">
        <f t="shared" si="2589"/>
        <v>46337</v>
      </c>
      <c r="LQ371" s="56"/>
      <c r="LR371" s="242">
        <f>SUMPRODUCT(PRODUCE!$B386:$DY386,PRODUCE!$EB$43:$IY$43)</f>
        <v>0</v>
      </c>
      <c r="LS371" s="56"/>
      <c r="LT371" s="242">
        <f t="shared" si="2590"/>
        <v>0</v>
      </c>
      <c r="LU371" s="242">
        <f t="shared" si="2591"/>
        <v>0</v>
      </c>
      <c r="LV371" s="56"/>
      <c r="LY371" s="55">
        <f t="shared" si="2592"/>
        <v>46337</v>
      </c>
      <c r="LZ371" s="56"/>
      <c r="MA371" s="242">
        <f>SUMPRODUCT(PRODUCE!$B366:$DY366,PRODUCE!$EB$44:$IY$44)</f>
        <v>0</v>
      </c>
      <c r="MB371" s="56"/>
      <c r="MC371" s="242">
        <f t="shared" si="2593"/>
        <v>0</v>
      </c>
      <c r="MD371" s="242">
        <f t="shared" si="2594"/>
        <v>0</v>
      </c>
      <c r="ME371" s="56"/>
      <c r="MH371" s="55">
        <f t="shared" si="2595"/>
        <v>46337</v>
      </c>
      <c r="MI371" s="56"/>
      <c r="MJ371" s="242">
        <f>SUMPRODUCT(PRODUCE!$B366:$DY366,PRODUCE!$EB$45:$IY$45)</f>
        <v>0</v>
      </c>
      <c r="MK371" s="56"/>
      <c r="ML371" s="242">
        <f t="shared" si="2596"/>
        <v>0</v>
      </c>
      <c r="MM371" s="242">
        <f t="shared" si="2597"/>
        <v>0</v>
      </c>
      <c r="MN371" s="56"/>
      <c r="MQ371" s="55">
        <f t="shared" si="2598"/>
        <v>46337</v>
      </c>
      <c r="MR371" s="56"/>
      <c r="MS371" s="242">
        <f>SUMPRODUCT(PRODUCE!$B366:$DY366,PRODUCE!$EB$46:$IY$46)</f>
        <v>0</v>
      </c>
      <c r="MT371" s="56"/>
      <c r="MU371" s="242">
        <f t="shared" si="2599"/>
        <v>0</v>
      </c>
      <c r="MV371" s="242">
        <f t="shared" si="2600"/>
        <v>1625</v>
      </c>
      <c r="MW371" s="56"/>
      <c r="MZ371" s="55">
        <f t="shared" si="2601"/>
        <v>46337</v>
      </c>
      <c r="NA371" s="56"/>
      <c r="NB371" s="242">
        <f>SUMPRODUCT(PRODUCE!$B366:$DY366,PRODUCE!$EB$47:$IY$47)</f>
        <v>0</v>
      </c>
      <c r="NC371" s="56"/>
      <c r="ND371" s="242">
        <f t="shared" si="2602"/>
        <v>0</v>
      </c>
      <c r="NE371" s="242">
        <f t="shared" si="2603"/>
        <v>0</v>
      </c>
      <c r="NF371" s="56"/>
      <c r="NI371" s="55">
        <f t="shared" si="2604"/>
        <v>46337</v>
      </c>
      <c r="NJ371" s="56"/>
      <c r="NK371" s="242">
        <f>SUMPRODUCT(PRODUCE!$B366:$DY366,PRODUCE!$EB$48:$IY$48)</f>
        <v>0</v>
      </c>
      <c r="NL371" s="56"/>
      <c r="NM371" s="242">
        <f t="shared" si="2605"/>
        <v>0</v>
      </c>
      <c r="NN371" s="242">
        <f t="shared" si="2606"/>
        <v>1127</v>
      </c>
      <c r="NO371" s="56"/>
      <c r="NR371" s="55">
        <f t="shared" si="2607"/>
        <v>46337</v>
      </c>
      <c r="NS371" s="56"/>
      <c r="NT371" s="242">
        <f>SUMPRODUCT(PRODUCE!$B366:$DY366,PRODUCE!$EB$49:$IY$49)</f>
        <v>0</v>
      </c>
      <c r="NU371" s="56"/>
      <c r="NV371" s="242">
        <f t="shared" si="2608"/>
        <v>0</v>
      </c>
      <c r="NW371" s="242">
        <f t="shared" si="2609"/>
        <v>3111.9999999999995</v>
      </c>
      <c r="NX371" s="56"/>
      <c r="OA371" s="55">
        <f t="shared" si="2610"/>
        <v>46337</v>
      </c>
      <c r="OB371" s="56"/>
      <c r="OC371" s="242">
        <f>SUMPRODUCT(PRODUCE!$B366:$DY366,PRODUCE!$EB$50:$IY$50)</f>
        <v>0</v>
      </c>
      <c r="OD371" s="56"/>
      <c r="OE371" s="242">
        <f t="shared" si="2611"/>
        <v>0</v>
      </c>
      <c r="OF371" s="242">
        <f t="shared" si="2612"/>
        <v>1680.5</v>
      </c>
      <c r="OG371" s="56"/>
      <c r="OJ371" s="55">
        <f t="shared" si="2613"/>
        <v>46337</v>
      </c>
      <c r="OK371" s="56"/>
      <c r="OL371" s="242">
        <f>SUMPRODUCT(PRODUCE!$B366:$DY366,PRODUCE!$EB$51:$IY$51)</f>
        <v>0</v>
      </c>
      <c r="OM371" s="56"/>
      <c r="ON371" s="242">
        <f t="shared" si="2614"/>
        <v>0</v>
      </c>
      <c r="OO371" s="242">
        <f t="shared" si="2615"/>
        <v>0</v>
      </c>
      <c r="OP371" s="56"/>
      <c r="OS371" s="55">
        <f t="shared" si="2616"/>
        <v>46337</v>
      </c>
      <c r="OT371" s="56"/>
      <c r="OU371" s="242">
        <f>SUMPRODUCT(PRODUCE!$B366:$DY366,PRODUCE!$EB$52:$IY$52)</f>
        <v>0</v>
      </c>
      <c r="OV371" s="56"/>
      <c r="OW371" s="242">
        <f t="shared" si="2617"/>
        <v>0</v>
      </c>
      <c r="OX371" s="242">
        <f t="shared" si="2618"/>
        <v>1482</v>
      </c>
      <c r="OY371" s="56"/>
      <c r="PB371" s="55">
        <f t="shared" si="2619"/>
        <v>46337</v>
      </c>
      <c r="PC371" s="56"/>
      <c r="PD371" s="242">
        <f>SUMPRODUCT(PRODUCE!$B366:$DY366,PRODUCE!$EB$53:$IY$53)</f>
        <v>0</v>
      </c>
      <c r="PE371" s="56"/>
      <c r="PF371" s="242">
        <f t="shared" si="2620"/>
        <v>0</v>
      </c>
      <c r="PG371" s="242">
        <f t="shared" si="2621"/>
        <v>0</v>
      </c>
      <c r="PH371" s="56"/>
      <c r="PK371" s="55">
        <f t="shared" si="2622"/>
        <v>46337</v>
      </c>
      <c r="PL371" s="56"/>
      <c r="PM371" s="242">
        <f>SUMPRODUCT(PRODUCE!$B366:$DY366,PRODUCE!$EB$54:$IY$54)</f>
        <v>0</v>
      </c>
      <c r="PN371" s="56"/>
      <c r="PO371" s="242">
        <f t="shared" si="2623"/>
        <v>0</v>
      </c>
      <c r="PP371" s="242">
        <f t="shared" si="2624"/>
        <v>100</v>
      </c>
      <c r="PQ371" s="56"/>
      <c r="PT371" s="55">
        <f t="shared" si="2625"/>
        <v>46337</v>
      </c>
      <c r="PU371" s="56"/>
      <c r="PV371" s="242">
        <f>SUMPRODUCT(PRODUCE!$B366:$DY366,PRODUCE!$EB$55:$IY$55)</f>
        <v>0</v>
      </c>
      <c r="PW371" s="56"/>
      <c r="PX371" s="242">
        <f t="shared" si="2626"/>
        <v>0</v>
      </c>
      <c r="PY371" s="242">
        <f t="shared" si="2627"/>
        <v>13.960000000000036</v>
      </c>
      <c r="PZ371" s="56"/>
      <c r="QC371" s="55">
        <f t="shared" si="2628"/>
        <v>46337</v>
      </c>
      <c r="QD371" s="56"/>
      <c r="QE371" s="242">
        <f>SUMPRODUCT(PRODUCE!$B366:$DY366,PRODUCE!$EB$56:$IY$56)</f>
        <v>0</v>
      </c>
      <c r="QF371" s="56"/>
      <c r="QG371" s="242">
        <f t="shared" si="2629"/>
        <v>0</v>
      </c>
      <c r="QH371" s="242">
        <f t="shared" si="2630"/>
        <v>548</v>
      </c>
      <c r="QI371" s="56"/>
      <c r="QL371" s="55">
        <f t="shared" si="2631"/>
        <v>46337</v>
      </c>
      <c r="QM371" s="56"/>
      <c r="QN371" s="242">
        <f>SUMPRODUCT(PRODUCE!$B366:$DY366,PRODUCE!$EB$57:$IY$57)</f>
        <v>0</v>
      </c>
      <c r="QO371" s="56"/>
      <c r="QP371" s="242">
        <f t="shared" si="2632"/>
        <v>0</v>
      </c>
      <c r="QQ371" s="242">
        <f t="shared" si="2633"/>
        <v>0</v>
      </c>
      <c r="QR371" s="56"/>
      <c r="QU371" s="55">
        <f t="shared" si="2634"/>
        <v>46337</v>
      </c>
      <c r="QV371" s="56"/>
      <c r="QW371" s="242">
        <f>SUMPRODUCT(PRODUCE!$B366:$DY366,PRODUCE!$EB$57:$IY$57)</f>
        <v>0</v>
      </c>
      <c r="QX371" s="56"/>
      <c r="QY371" s="242">
        <f t="shared" si="2635"/>
        <v>0</v>
      </c>
      <c r="QZ371" s="242">
        <f t="shared" si="2636"/>
        <v>0</v>
      </c>
      <c r="RA371" s="56"/>
      <c r="RD371" s="55">
        <f t="shared" si="2637"/>
        <v>46337</v>
      </c>
      <c r="RE371" s="56"/>
      <c r="RF371" s="242">
        <f>SUMPRODUCT(PRODUCE!$B366:$DY366,PRODUCE!$EB$58:$IY$58)</f>
        <v>0</v>
      </c>
      <c r="RG371" s="56"/>
      <c r="RH371" s="242">
        <f t="shared" si="2638"/>
        <v>0</v>
      </c>
      <c r="RI371" s="242">
        <f t="shared" si="2639"/>
        <v>147.04000000000002</v>
      </c>
      <c r="RJ371" s="56"/>
      <c r="RM371" s="55">
        <f t="shared" si="2640"/>
        <v>46337</v>
      </c>
      <c r="RN371" s="56"/>
      <c r="RO371" s="242">
        <f>SUMPRODUCT(PRODUCE!$B366:$DY366,PRODUCE!$EB$57:$IY$57)</f>
        <v>0</v>
      </c>
      <c r="RP371" s="56"/>
      <c r="RQ371" s="242">
        <f t="shared" si="2641"/>
        <v>0</v>
      </c>
      <c r="RR371" s="242">
        <f t="shared" si="2642"/>
        <v>46.8</v>
      </c>
      <c r="RS371" s="56"/>
      <c r="RV371" s="55">
        <f t="shared" si="2643"/>
        <v>46337</v>
      </c>
      <c r="RW371" s="56"/>
      <c r="RX371" s="242">
        <f>SUMPRODUCT(PRODUCE!$B366:$DY366,PRODUCE!$EB$57:$IY$57)</f>
        <v>0</v>
      </c>
      <c r="RY371" s="56"/>
      <c r="RZ371" s="242">
        <f t="shared" si="2644"/>
        <v>0</v>
      </c>
      <c r="SA371" s="242">
        <f t="shared" si="2645"/>
        <v>0</v>
      </c>
      <c r="SB371" s="56"/>
      <c r="SE371" s="55">
        <f t="shared" si="2646"/>
        <v>46337</v>
      </c>
      <c r="SF371" s="56"/>
      <c r="SG371" s="242">
        <f>SUMPRODUCT(PRODUCE!$B366:$DY366,PRODUCE!$EB$61:$IY$61)</f>
        <v>0</v>
      </c>
      <c r="SH371" s="56"/>
      <c r="SI371" s="242">
        <f t="shared" si="2647"/>
        <v>0</v>
      </c>
      <c r="SJ371" s="242">
        <f t="shared" si="2648"/>
        <v>24.200000000000003</v>
      </c>
      <c r="SK371" s="56"/>
      <c r="SN371" s="55">
        <f t="shared" si="2649"/>
        <v>46337</v>
      </c>
      <c r="SO371" s="56"/>
      <c r="SP371" s="242">
        <f>SUMPRODUCT(PRODUCE!$B366:$DY366,PRODUCE!$EB$57:$IY$57)</f>
        <v>0</v>
      </c>
      <c r="SQ371" s="56"/>
      <c r="SR371" s="242">
        <f t="shared" si="2650"/>
        <v>0</v>
      </c>
      <c r="SS371" s="242">
        <f t="shared" si="2651"/>
        <v>32</v>
      </c>
      <c r="ST371" s="56"/>
      <c r="SW371" s="55">
        <f t="shared" si="2652"/>
        <v>46337</v>
      </c>
      <c r="SX371" s="56"/>
      <c r="SY371" s="242">
        <f>SUMPRODUCT(PRODUCE!$B366:$DY366,PRODUCE!$EB$57:$IY$57)</f>
        <v>0</v>
      </c>
      <c r="SZ371" s="56"/>
      <c r="TA371" s="242">
        <f t="shared" si="2653"/>
        <v>0</v>
      </c>
      <c r="TB371" s="242">
        <f t="shared" si="2654"/>
        <v>0</v>
      </c>
      <c r="TC371" s="56"/>
      <c r="TF371" s="55">
        <f t="shared" si="2655"/>
        <v>46337</v>
      </c>
      <c r="TG371" s="56"/>
      <c r="TH371" s="242">
        <f>SUMPRODUCT(PRODUCE!$B366:$DY366,PRODUCE!$EB$57:$IY$57)</f>
        <v>0</v>
      </c>
      <c r="TI371" s="56"/>
      <c r="TJ371" s="242">
        <f t="shared" si="2656"/>
        <v>0</v>
      </c>
      <c r="TK371" s="242">
        <f t="shared" si="2657"/>
        <v>0</v>
      </c>
      <c r="TL371" s="56"/>
      <c r="TO371" s="55">
        <f t="shared" si="2658"/>
        <v>46337</v>
      </c>
      <c r="TP371" s="56"/>
      <c r="TQ371" s="242">
        <f>SUMPRODUCT(PRODUCE!$B366:$DY366,PRODUCE!$EB$57:$IY$57)</f>
        <v>0</v>
      </c>
      <c r="TR371" s="56"/>
      <c r="TS371" s="242">
        <f t="shared" si="2659"/>
        <v>0</v>
      </c>
      <c r="TT371" s="242">
        <f t="shared" si="2660"/>
        <v>0</v>
      </c>
      <c r="TU371" s="56"/>
      <c r="TX371" s="55">
        <f t="shared" si="2661"/>
        <v>46337</v>
      </c>
      <c r="TY371" s="56"/>
      <c r="TZ371" s="242">
        <f>SUMPRODUCT(PRODUCE!$B366:$DY366,PRODUCE!$EB$57:$IY$57)</f>
        <v>0</v>
      </c>
      <c r="UA371" s="56"/>
      <c r="UB371" s="242">
        <f t="shared" si="2662"/>
        <v>0</v>
      </c>
      <c r="UC371" s="242">
        <f t="shared" si="2663"/>
        <v>46.799999999999983</v>
      </c>
      <c r="UD371" s="56"/>
      <c r="UG371" s="55">
        <f t="shared" si="2664"/>
        <v>46337</v>
      </c>
      <c r="UH371" s="56"/>
      <c r="UI371" s="242">
        <f>SUMPRODUCT(PRODUCE!$B366:$DY366,PRODUCE!$EB$57:$IY$57)</f>
        <v>0</v>
      </c>
      <c r="UJ371" s="56"/>
      <c r="UK371" s="242">
        <f t="shared" si="2665"/>
        <v>0</v>
      </c>
      <c r="UL371" s="242">
        <f t="shared" si="2666"/>
        <v>204</v>
      </c>
      <c r="UM371" s="56"/>
      <c r="UP371" s="55">
        <f t="shared" si="2667"/>
        <v>46337</v>
      </c>
      <c r="UQ371" s="56"/>
      <c r="UR371" s="242">
        <f>SUMPRODUCT(PRODUCE!$B366:$DY366,PRODUCE!$EB$57:$IY$57)</f>
        <v>0</v>
      </c>
      <c r="US371" s="56"/>
      <c r="UT371" s="242">
        <f t="shared" si="2668"/>
        <v>0</v>
      </c>
      <c r="UU371" s="242">
        <f t="shared" si="2669"/>
        <v>202.5</v>
      </c>
      <c r="UV371" s="56"/>
      <c r="UY371" s="55">
        <f t="shared" si="2670"/>
        <v>46337</v>
      </c>
      <c r="UZ371" s="56"/>
      <c r="VA371" s="242">
        <f>SUMPRODUCT(PRODUCE!$B366:$DY366,PRODUCE!$EB$57:$IY$57)</f>
        <v>0</v>
      </c>
      <c r="VB371" s="56"/>
      <c r="VC371" s="242">
        <f t="shared" si="2671"/>
        <v>0</v>
      </c>
      <c r="VD371" s="242">
        <f t="shared" si="2672"/>
        <v>41.600000000000023</v>
      </c>
      <c r="VE371" s="56"/>
      <c r="VH371" s="55">
        <f t="shared" si="2673"/>
        <v>46337</v>
      </c>
      <c r="VI371" s="56"/>
      <c r="VJ371" s="242">
        <f>SUMPRODUCT(PRODUCE!$B366:$DY366,PRODUCE!$EB$57:$IY$57)</f>
        <v>0</v>
      </c>
      <c r="VK371" s="56"/>
      <c r="VL371" s="242">
        <f t="shared" si="2674"/>
        <v>0</v>
      </c>
      <c r="VM371" s="242">
        <f t="shared" si="2675"/>
        <v>210</v>
      </c>
      <c r="VN371" s="56"/>
      <c r="VQ371" s="55">
        <f t="shared" si="2676"/>
        <v>46337</v>
      </c>
      <c r="VR371" s="56"/>
      <c r="VS371" s="242">
        <f>SUMPRODUCT(PRODUCE!$B366:$DY366,PRODUCE!$EB$57:$IY$57)</f>
        <v>0</v>
      </c>
      <c r="VT371" s="56"/>
      <c r="VU371" s="242">
        <f t="shared" si="2677"/>
        <v>0</v>
      </c>
      <c r="VV371" s="242">
        <f t="shared" si="2678"/>
        <v>0</v>
      </c>
      <c r="VW371" s="56"/>
      <c r="VZ371" s="55">
        <f t="shared" si="2679"/>
        <v>46337</v>
      </c>
      <c r="WA371" s="56"/>
      <c r="WB371" s="242">
        <f>SUMPRODUCT(PRODUCE!$B366:$DY366,PRODUCE!$EB$57:$IY$57)</f>
        <v>0</v>
      </c>
      <c r="WC371" s="56"/>
      <c r="WD371" s="242">
        <f t="shared" si="2680"/>
        <v>0</v>
      </c>
      <c r="WE371" s="242">
        <f t="shared" si="2681"/>
        <v>0</v>
      </c>
      <c r="WF371" s="56"/>
      <c r="WI371" s="55">
        <f t="shared" si="2682"/>
        <v>46337</v>
      </c>
      <c r="WJ371" s="56"/>
      <c r="WK371" s="242">
        <f>SUMPRODUCT(PRODUCE!$B366:$DY366,PRODUCE!$EB$57:$IY$57)</f>
        <v>0</v>
      </c>
      <c r="WL371" s="56"/>
      <c r="WM371" s="242">
        <f t="shared" si="2683"/>
        <v>0</v>
      </c>
      <c r="WN371" s="242">
        <f t="shared" si="2684"/>
        <v>1057</v>
      </c>
      <c r="WO371" s="56"/>
      <c r="WR371" s="55">
        <f t="shared" si="2685"/>
        <v>46337</v>
      </c>
      <c r="WS371" s="56"/>
      <c r="WT371" s="242">
        <f>SUMPRODUCT(PRODUCE!$B366:$DY366,PRODUCE!$EB$57:$IY$57)</f>
        <v>0</v>
      </c>
      <c r="WU371" s="56"/>
      <c r="WV371" s="242">
        <f t="shared" si="2686"/>
        <v>0</v>
      </c>
      <c r="WW371" s="242">
        <f t="shared" si="2687"/>
        <v>0</v>
      </c>
      <c r="WX371" s="56"/>
      <c r="XA371" s="55">
        <f t="shared" si="2688"/>
        <v>46337</v>
      </c>
      <c r="XB371" s="56"/>
      <c r="XC371" s="242">
        <f>SUMPRODUCT(PRODUCE!$B366:$DY366,PRODUCE!$EB$57:$IY$57)</f>
        <v>0</v>
      </c>
      <c r="XD371" s="56"/>
      <c r="XE371" s="242">
        <f t="shared" si="2689"/>
        <v>0</v>
      </c>
      <c r="XF371" s="242">
        <f t="shared" si="2690"/>
        <v>7507</v>
      </c>
      <c r="XG371" s="56"/>
      <c r="XJ371" s="55">
        <f t="shared" si="2691"/>
        <v>46337</v>
      </c>
      <c r="XK371" s="56"/>
      <c r="XL371" s="242">
        <f>SUMPRODUCT(PRODUCE!$B366:$DY366,PRODUCE!$EB$57:$IY$57)</f>
        <v>0</v>
      </c>
      <c r="XM371" s="56"/>
      <c r="XN371" s="242">
        <f t="shared" si="2692"/>
        <v>0</v>
      </c>
      <c r="XO371" s="242">
        <f t="shared" si="2693"/>
        <v>4252</v>
      </c>
      <c r="XP371" s="56"/>
      <c r="XS371" s="55">
        <f t="shared" si="2694"/>
        <v>46337</v>
      </c>
      <c r="XT371" s="56"/>
      <c r="XU371" s="242">
        <f>SUMPRODUCT(PRODUCE!$B366:$DY366,PRODUCE!$EB$57:$IY$57)</f>
        <v>0</v>
      </c>
      <c r="XV371" s="56"/>
      <c r="XW371" s="242">
        <f t="shared" si="2695"/>
        <v>0</v>
      </c>
      <c r="XX371" s="242">
        <f t="shared" si="2696"/>
        <v>2179</v>
      </c>
      <c r="XY371" s="56"/>
      <c r="YB371" s="55">
        <f t="shared" si="2697"/>
        <v>46337</v>
      </c>
      <c r="YC371" s="56"/>
      <c r="YD371" s="242">
        <f>SUMPRODUCT(PRODUCE!$B366:$DY366,PRODUCE!$EB$57:$IY$57)</f>
        <v>0</v>
      </c>
      <c r="YE371" s="56"/>
      <c r="YF371" s="242">
        <f t="shared" si="2698"/>
        <v>0</v>
      </c>
      <c r="YG371" s="242">
        <f t="shared" si="2699"/>
        <v>4019</v>
      </c>
      <c r="YH371" s="56"/>
      <c r="YK371" s="55">
        <f t="shared" si="2700"/>
        <v>46337</v>
      </c>
      <c r="YL371" s="56"/>
      <c r="YM371" s="242">
        <f>SUMPRODUCT(PRODUCE!$B366:$DY366,PRODUCE!$EB$57:$IY$57)</f>
        <v>0</v>
      </c>
      <c r="YN371" s="56"/>
      <c r="YO371" s="242">
        <f t="shared" si="2701"/>
        <v>0</v>
      </c>
      <c r="YP371" s="242">
        <f t="shared" si="2702"/>
        <v>-218</v>
      </c>
      <c r="YQ371" s="56"/>
      <c r="YT371" s="55">
        <f t="shared" si="2703"/>
        <v>46337</v>
      </c>
      <c r="YU371" s="56"/>
      <c r="YV371" s="242">
        <f>SUMPRODUCT(PRODUCE!$B366:$DY366,PRODUCE!$EB$57:$IY$57)</f>
        <v>0</v>
      </c>
      <c r="YW371" s="56"/>
      <c r="YX371" s="242">
        <f t="shared" si="2704"/>
        <v>0</v>
      </c>
      <c r="YY371" s="242">
        <f t="shared" si="2705"/>
        <v>0</v>
      </c>
      <c r="YZ371" s="56"/>
      <c r="ZC371" s="55">
        <f t="shared" si="2706"/>
        <v>46337</v>
      </c>
      <c r="ZD371" s="56"/>
      <c r="ZE371" s="242">
        <f>SUMPRODUCT(PRODUCE!$B366:$DY366,PRODUCE!$EB$57:$IY$57)</f>
        <v>0</v>
      </c>
      <c r="ZF371" s="56"/>
      <c r="ZG371" s="242">
        <f t="shared" si="2707"/>
        <v>0</v>
      </c>
      <c r="ZH371" s="242">
        <f t="shared" si="2708"/>
        <v>0</v>
      </c>
      <c r="ZI371" s="56"/>
      <c r="ZL371" s="55">
        <f t="shared" si="2709"/>
        <v>46337</v>
      </c>
      <c r="ZM371" s="56"/>
      <c r="ZN371" s="242">
        <f>SUMPRODUCT(PRODUCE!$B366:$DY366,PRODUCE!$EB$57:$IY$57)</f>
        <v>0</v>
      </c>
      <c r="ZO371" s="56"/>
      <c r="ZP371" s="242">
        <f t="shared" si="2710"/>
        <v>0</v>
      </c>
      <c r="ZQ371" s="242">
        <f t="shared" si="2711"/>
        <v>0</v>
      </c>
      <c r="ZR371" s="56"/>
      <c r="ZU371" s="55">
        <f t="shared" si="2712"/>
        <v>46337</v>
      </c>
      <c r="ZV371" s="56"/>
      <c r="ZW371" s="242">
        <f>SUMPRODUCT(PRODUCE!$B366:$DY366,PRODUCE!$EB$57:$IY$57)</f>
        <v>0</v>
      </c>
      <c r="ZX371" s="56"/>
      <c r="ZY371" s="242">
        <f t="shared" si="2713"/>
        <v>0</v>
      </c>
      <c r="ZZ371" s="242">
        <f t="shared" si="2714"/>
        <v>0</v>
      </c>
      <c r="AAA371" s="56"/>
      <c r="AAD371" s="55">
        <f t="shared" si="2715"/>
        <v>46337</v>
      </c>
      <c r="AAE371" s="56"/>
      <c r="AAF371" s="242">
        <f>SUMPRODUCT(PRODUCE!$B366:$DY366,PRODUCE!$EB$57:$IY$57)</f>
        <v>0</v>
      </c>
      <c r="AAG371" s="56"/>
      <c r="AAH371" s="242">
        <f t="shared" si="2716"/>
        <v>0</v>
      </c>
      <c r="AAI371" s="242">
        <f t="shared" si="2717"/>
        <v>0</v>
      </c>
      <c r="AAJ371" s="56"/>
      <c r="AAM371" s="55">
        <f t="shared" si="2718"/>
        <v>46337</v>
      </c>
      <c r="AAN371" s="56"/>
      <c r="AAO371" s="242">
        <f>SUMPRODUCT(PRODUCE!$B366:$DY366,PRODUCE!$EB$57:$IY$57)</f>
        <v>0</v>
      </c>
      <c r="AAP371" s="56"/>
      <c r="AAQ371" s="242">
        <f t="shared" si="2719"/>
        <v>0</v>
      </c>
      <c r="AAR371" s="242">
        <f t="shared" si="2720"/>
        <v>0</v>
      </c>
      <c r="AAS371" s="56"/>
      <c r="AAV371" s="55">
        <f t="shared" si="2721"/>
        <v>46337</v>
      </c>
      <c r="AAW371" s="56"/>
      <c r="AAX371" s="242">
        <f>SUMPRODUCT(PRODUCE!$B366:$DY366,PRODUCE!$EB$57:$IY$57)</f>
        <v>0</v>
      </c>
      <c r="AAY371" s="56"/>
      <c r="AAZ371" s="242">
        <f t="shared" si="2722"/>
        <v>0</v>
      </c>
      <c r="ABA371" s="242">
        <f t="shared" si="2723"/>
        <v>0</v>
      </c>
      <c r="ABB371" s="56"/>
      <c r="ABE371" s="55">
        <f t="shared" si="2724"/>
        <v>46337</v>
      </c>
      <c r="ABF371" s="56"/>
      <c r="ABG371" s="242">
        <f>SUMPRODUCT(PRODUCE!$B366:$DY366,PRODUCE!$EB$57:$IY$57)</f>
        <v>0</v>
      </c>
      <c r="ABH371" s="56"/>
      <c r="ABI371" s="242">
        <f t="shared" si="2725"/>
        <v>0</v>
      </c>
      <c r="ABJ371" s="242">
        <f t="shared" si="2726"/>
        <v>0</v>
      </c>
      <c r="ABK371" s="56"/>
    </row>
    <row r="372" spans="2:739" s="54" customFormat="1" ht="15" customHeight="1" outlineLevel="1">
      <c r="B372" s="478"/>
      <c r="C372" s="55">
        <v>46338</v>
      </c>
      <c r="D372" s="56"/>
      <c r="E372" s="57">
        <f>SUMPRODUCT(PRODUCE!$B367:$DY367,PRODUCE!$EB$7:$IY$7)</f>
        <v>0</v>
      </c>
      <c r="F372" s="56"/>
      <c r="G372" s="57">
        <f t="shared" si="2482"/>
        <v>0</v>
      </c>
      <c r="H372" s="57">
        <f t="shared" si="2483"/>
        <v>236936.6</v>
      </c>
      <c r="I372" s="289"/>
      <c r="L372" s="55">
        <f t="shared" si="2484"/>
        <v>46338</v>
      </c>
      <c r="M372" s="56"/>
      <c r="N372" s="59">
        <f>SUMPRODUCT(PRODUCE!$B367:$DY367,PRODUCE!$EB$8:$IY$8)</f>
        <v>0</v>
      </c>
      <c r="O372" s="56"/>
      <c r="P372" s="59">
        <f t="shared" si="2485"/>
        <v>0</v>
      </c>
      <c r="Q372" s="59">
        <f t="shared" si="2486"/>
        <v>53017.600000000071</v>
      </c>
      <c r="R372" s="56"/>
      <c r="U372" s="55">
        <f t="shared" si="2487"/>
        <v>46338</v>
      </c>
      <c r="V372" s="56"/>
      <c r="W372" s="60">
        <f>SUMPRODUCT(PRODUCE!$B367:$DY367,PRODUCE!$EB$9:$IY$9)</f>
        <v>0</v>
      </c>
      <c r="X372" s="56"/>
      <c r="Y372" s="60">
        <f t="shared" si="2488"/>
        <v>0</v>
      </c>
      <c r="Z372" s="60">
        <f t="shared" si="2489"/>
        <v>42674.199999999968</v>
      </c>
      <c r="AA372" s="56"/>
      <c r="AD372" s="55">
        <f t="shared" si="2490"/>
        <v>46338</v>
      </c>
      <c r="AE372" s="56"/>
      <c r="AF372" s="61">
        <f>SUMPRODUCT(PRODUCE!$B367:$DY367,PRODUCE!$EB$10:$IY$10)</f>
        <v>0</v>
      </c>
      <c r="AG372" s="56"/>
      <c r="AH372" s="61">
        <f t="shared" si="2491"/>
        <v>0</v>
      </c>
      <c r="AI372" s="61">
        <f t="shared" si="2492"/>
        <v>4522.2000000000189</v>
      </c>
      <c r="AJ372" s="56"/>
      <c r="AM372" s="55">
        <f t="shared" si="2493"/>
        <v>46338</v>
      </c>
      <c r="AN372" s="422"/>
      <c r="AO372" s="444">
        <f>SUMPRODUCT(PRODUCE!$B367:$DY367,PRODUCE!$EB$11:$IY$11)</f>
        <v>0</v>
      </c>
      <c r="AP372" s="422"/>
      <c r="AQ372" s="444">
        <f t="shared" si="2494"/>
        <v>0</v>
      </c>
      <c r="AR372" s="444">
        <f t="shared" si="2495"/>
        <v>0</v>
      </c>
      <c r="AS372" s="56"/>
      <c r="AV372" s="55">
        <f t="shared" si="2496"/>
        <v>46338</v>
      </c>
      <c r="AW372" s="56"/>
      <c r="AX372" s="62">
        <f>SUMPRODUCT(PRODUCE!$B367:$DY367,PRODUCE!$EB$12:$IY$12)</f>
        <v>0</v>
      </c>
      <c r="AY372" s="56"/>
      <c r="AZ372" s="62">
        <f t="shared" si="2497"/>
        <v>0</v>
      </c>
      <c r="BA372" s="62">
        <f t="shared" si="2498"/>
        <v>124.99999999999523</v>
      </c>
      <c r="BB372" s="56"/>
      <c r="BE372" s="55">
        <f t="shared" si="2499"/>
        <v>46338</v>
      </c>
      <c r="BF372" s="56"/>
      <c r="BG372" s="63">
        <f>SUMPRODUCT(PRODUCE!$B367:$DY367,PRODUCE!$EB$13:$IY$13)</f>
        <v>0</v>
      </c>
      <c r="BH372" s="56"/>
      <c r="BI372" s="63">
        <f t="shared" si="2500"/>
        <v>0</v>
      </c>
      <c r="BJ372" s="63">
        <f t="shared" si="2501"/>
        <v>26151.899999999998</v>
      </c>
      <c r="BK372" s="56"/>
      <c r="BN372" s="55">
        <f t="shared" si="2502"/>
        <v>46338</v>
      </c>
      <c r="BO372" s="56"/>
      <c r="BP372" s="64">
        <f>SUMPRODUCT(PRODUCE!$B367:$DY367,PRODUCE!$EB$14:$IY$14)</f>
        <v>0</v>
      </c>
      <c r="BQ372" s="56"/>
      <c r="BR372" s="64">
        <f t="shared" si="2503"/>
        <v>0</v>
      </c>
      <c r="BS372" s="64">
        <f t="shared" si="2504"/>
        <v>0</v>
      </c>
      <c r="BT372" s="56"/>
      <c r="BW372" s="55">
        <f t="shared" si="2505"/>
        <v>46338</v>
      </c>
      <c r="BX372" s="56"/>
      <c r="BY372" s="65">
        <f>SUMPRODUCT(PRODUCE!$B367:$DY367,PRODUCE!$EB$15:$IY$15)</f>
        <v>0</v>
      </c>
      <c r="BZ372" s="56"/>
      <c r="CA372" s="65">
        <f t="shared" si="2506"/>
        <v>0</v>
      </c>
      <c r="CB372" s="65">
        <f t="shared" si="2507"/>
        <v>2097.3399999999992</v>
      </c>
      <c r="CC372" s="56"/>
      <c r="CF372" s="55">
        <f t="shared" si="2508"/>
        <v>46338</v>
      </c>
      <c r="CG372" s="56"/>
      <c r="CH372" s="66">
        <f>SUMPRODUCT(PRODUCE!$B367:$DY367,PRODUCE!$EB$16:$IY$16)</f>
        <v>0</v>
      </c>
      <c r="CI372" s="56"/>
      <c r="CJ372" s="66">
        <f t="shared" si="2509"/>
        <v>0</v>
      </c>
      <c r="CK372" s="66">
        <f t="shared" si="2510"/>
        <v>-10277.079999999998</v>
      </c>
      <c r="CL372" s="56"/>
      <c r="CO372" s="55">
        <f t="shared" si="2511"/>
        <v>46338</v>
      </c>
      <c r="CP372" s="422"/>
      <c r="CQ372" s="470">
        <f>SUMPRODUCT(PRODUCE!$B367:$DY367,PRODUCE!$EB$17:$IY$17)</f>
        <v>0</v>
      </c>
      <c r="CR372" s="422"/>
      <c r="CS372" s="470">
        <f t="shared" si="2512"/>
        <v>0</v>
      </c>
      <c r="CT372" s="470">
        <f t="shared" si="2513"/>
        <v>0</v>
      </c>
      <c r="CU372" s="56"/>
      <c r="CX372" s="55">
        <f t="shared" si="2514"/>
        <v>46338</v>
      </c>
      <c r="CY372" s="56"/>
      <c r="CZ372" s="133">
        <f>SUMPRODUCT(PRODUCE!$B367:$DY367,PRODUCE!$EB$18:$IY$18)</f>
        <v>0</v>
      </c>
      <c r="DA372" s="56"/>
      <c r="DB372" s="133">
        <f t="shared" si="2515"/>
        <v>0</v>
      </c>
      <c r="DC372" s="133">
        <f t="shared" si="2516"/>
        <v>27438.200000000012</v>
      </c>
      <c r="DD372" s="56"/>
      <c r="DG372" s="55">
        <f t="shared" si="2517"/>
        <v>46338</v>
      </c>
      <c r="DH372" s="56"/>
      <c r="DI372" s="147">
        <f>SUMPRODUCT(PRODUCE!$B367:$DY367,PRODUCE!$EB$19:$IY$19)</f>
        <v>0</v>
      </c>
      <c r="DJ372" s="56"/>
      <c r="DK372" s="147">
        <f t="shared" si="2518"/>
        <v>0</v>
      </c>
      <c r="DL372" s="147">
        <f t="shared" si="2519"/>
        <v>18782.299999999981</v>
      </c>
      <c r="DM372" s="56"/>
      <c r="DP372" s="55">
        <f t="shared" si="2520"/>
        <v>46338</v>
      </c>
      <c r="DQ372" s="56"/>
      <c r="DR372" s="57">
        <f>SUMPRODUCT(PRODUCE!$B367:$DY367,PRODUCE!$EB$20:$IY$20)</f>
        <v>0</v>
      </c>
      <c r="DS372" s="56"/>
      <c r="DT372" s="57">
        <f t="shared" si="2521"/>
        <v>0</v>
      </c>
      <c r="DU372" s="57">
        <f t="shared" si="2522"/>
        <v>5800</v>
      </c>
      <c r="DV372" s="56"/>
      <c r="DY372" s="55">
        <f t="shared" si="2523"/>
        <v>46338</v>
      </c>
      <c r="DZ372" s="56"/>
      <c r="EA372" s="157">
        <f>SUMPRODUCT(PRODUCE!$B367:$DY367,PRODUCE!$EB$21:$IY$21)</f>
        <v>0</v>
      </c>
      <c r="EB372" s="56"/>
      <c r="EC372" s="157">
        <f t="shared" si="2524"/>
        <v>0</v>
      </c>
      <c r="ED372" s="157">
        <f t="shared" si="2525"/>
        <v>0</v>
      </c>
      <c r="EE372" s="56"/>
      <c r="EH372" s="55">
        <f t="shared" si="2526"/>
        <v>46338</v>
      </c>
      <c r="EI372" s="56"/>
      <c r="EJ372" s="162">
        <f>SUMPRODUCT(PRODUCE!$B367:$DY367,PRODUCE!$EB$22:$IY$22)</f>
        <v>0</v>
      </c>
      <c r="EK372" s="56"/>
      <c r="EL372" s="162">
        <f t="shared" si="2527"/>
        <v>0</v>
      </c>
      <c r="EM372" s="162">
        <f t="shared" si="2528"/>
        <v>0</v>
      </c>
      <c r="EN372" s="56"/>
      <c r="EQ372" s="55">
        <f t="shared" si="2529"/>
        <v>46338</v>
      </c>
      <c r="ER372" s="56"/>
      <c r="ES372" s="135">
        <f>SUMPRODUCT(PRODUCE!$B367:$DY367,PRODUCE!$EB$23:$IY$23)</f>
        <v>0</v>
      </c>
      <c r="ET372" s="56"/>
      <c r="EU372" s="135">
        <f t="shared" si="2530"/>
        <v>0</v>
      </c>
      <c r="EV372" s="135">
        <f t="shared" si="2531"/>
        <v>0</v>
      </c>
      <c r="EW372" s="56"/>
      <c r="EZ372" s="55">
        <f t="shared" si="2532"/>
        <v>46338</v>
      </c>
      <c r="FA372" s="56"/>
      <c r="FB372" s="175">
        <f>SUMPRODUCT(PRODUCE!$B367:$DY367,PRODUCE!$EB$24:$IY$24)</f>
        <v>0</v>
      </c>
      <c r="FC372" s="56"/>
      <c r="FD372" s="175">
        <f t="shared" si="2533"/>
        <v>0</v>
      </c>
      <c r="FE372" s="175">
        <f t="shared" si="2534"/>
        <v>0</v>
      </c>
      <c r="FF372" s="56"/>
      <c r="FI372" s="55">
        <f t="shared" si="2535"/>
        <v>46338</v>
      </c>
      <c r="FJ372" s="56"/>
      <c r="FK372" s="183">
        <f>SUMPRODUCT(PRODUCE!$B367:$DY367,PRODUCE!$EB$25:$IY$25)</f>
        <v>0</v>
      </c>
      <c r="FL372" s="56"/>
      <c r="FM372" s="183">
        <f t="shared" si="2536"/>
        <v>0</v>
      </c>
      <c r="FN372" s="183">
        <f t="shared" si="2537"/>
        <v>0</v>
      </c>
      <c r="FO372" s="56"/>
      <c r="FR372" s="55">
        <f t="shared" si="2538"/>
        <v>46338</v>
      </c>
      <c r="FS372" s="56"/>
      <c r="FT372" s="186">
        <f>SUMPRODUCT(PRODUCE!$B367:$DY367,PRODUCE!$EB$26:$IY$26)</f>
        <v>0</v>
      </c>
      <c r="FU372" s="56"/>
      <c r="FV372" s="186">
        <f t="shared" si="2539"/>
        <v>0</v>
      </c>
      <c r="FW372" s="186">
        <f t="shared" si="2540"/>
        <v>2020</v>
      </c>
      <c r="FX372" s="56"/>
      <c r="GA372" s="55">
        <f t="shared" si="2541"/>
        <v>46338</v>
      </c>
      <c r="GB372" s="56"/>
      <c r="GC372" s="137">
        <f>SUMPRODUCT(PRODUCE!$B367:$DY367,PRODUCE!$EB$27:$IY$27)</f>
        <v>0</v>
      </c>
      <c r="GD372" s="56"/>
      <c r="GE372" s="137">
        <f t="shared" si="2542"/>
        <v>0</v>
      </c>
      <c r="GF372" s="137">
        <f t="shared" si="2543"/>
        <v>960</v>
      </c>
      <c r="GG372" s="56"/>
      <c r="GI372" s="23"/>
      <c r="GJ372" s="55">
        <f t="shared" si="2544"/>
        <v>46338</v>
      </c>
      <c r="GK372" s="56"/>
      <c r="GL372" s="199">
        <f>SUMPRODUCT(PRODUCE!$B367:$DY367,PRODUCE!$EB$28:$IY$28)</f>
        <v>0</v>
      </c>
      <c r="GM372" s="56"/>
      <c r="GN372" s="199">
        <f t="shared" si="2545"/>
        <v>0</v>
      </c>
      <c r="GO372" s="199">
        <f t="shared" si="2546"/>
        <v>1760</v>
      </c>
      <c r="GP372" s="56"/>
      <c r="GS372" s="55">
        <f t="shared" si="2547"/>
        <v>46338</v>
      </c>
      <c r="GT372" s="56"/>
      <c r="GU372" s="195">
        <f>SUMPRODUCT(PRODUCE!$B367:$DY367,PRODUCE!$EB$29:$IY$29)</f>
        <v>0</v>
      </c>
      <c r="GV372" s="56"/>
      <c r="GW372" s="195">
        <f t="shared" si="2548"/>
        <v>0</v>
      </c>
      <c r="GX372" s="195">
        <f t="shared" si="2549"/>
        <v>400</v>
      </c>
      <c r="GY372" s="56"/>
      <c r="HB372" s="55">
        <f t="shared" si="2550"/>
        <v>46338</v>
      </c>
      <c r="HC372" s="56"/>
      <c r="HD372" s="191">
        <f>SUMPRODUCT(PRODUCE!$B367:$DY367,PRODUCE!$EB$30:$IY$30)</f>
        <v>0</v>
      </c>
      <c r="HE372" s="56"/>
      <c r="HF372" s="191">
        <f t="shared" si="2551"/>
        <v>0</v>
      </c>
      <c r="HG372" s="191">
        <f t="shared" si="2552"/>
        <v>3600</v>
      </c>
      <c r="HH372" s="56"/>
      <c r="HK372" s="55">
        <f t="shared" si="2553"/>
        <v>46338</v>
      </c>
      <c r="HL372" s="56"/>
      <c r="HM372" s="63">
        <f>SUMPRODUCT(PRODUCE!$B367:$DY367,PRODUCE!$EB$31:$IY$31)</f>
        <v>0</v>
      </c>
      <c r="HN372" s="56"/>
      <c r="HO372" s="63">
        <f t="shared" si="2554"/>
        <v>0</v>
      </c>
      <c r="HP372" s="63">
        <f t="shared" si="2555"/>
        <v>0</v>
      </c>
      <c r="HQ372" s="56"/>
      <c r="HU372" s="55">
        <f t="shared" si="2556"/>
        <v>46338</v>
      </c>
      <c r="HV372" s="56"/>
      <c r="HW372" s="242">
        <f>SUMPRODUCT(PRODUCE!$B367:$DY367,PRODUCE!$EB$32:$IY$32)</f>
        <v>0</v>
      </c>
      <c r="HX372" s="56"/>
      <c r="HY372" s="242">
        <f t="shared" si="2557"/>
        <v>0</v>
      </c>
      <c r="HZ372" s="242">
        <f t="shared" si="2558"/>
        <v>6120</v>
      </c>
      <c r="IA372" s="56"/>
      <c r="ID372" s="55">
        <f t="shared" si="2559"/>
        <v>46338</v>
      </c>
      <c r="IE372" s="56"/>
      <c r="IF372" s="242">
        <f>SUMPRODUCT(PRODUCE!$B367:$DY367,PRODUCE!$EB$33:$IY$33)</f>
        <v>0</v>
      </c>
      <c r="IG372" s="56"/>
      <c r="IH372" s="242">
        <f t="shared" si="2560"/>
        <v>0</v>
      </c>
      <c r="II372" s="242">
        <f t="shared" si="2561"/>
        <v>0</v>
      </c>
      <c r="IJ372" s="56"/>
      <c r="IM372" s="55">
        <f t="shared" si="2562"/>
        <v>46338</v>
      </c>
      <c r="IN372" s="56"/>
      <c r="IO372" s="242">
        <f>SUMPRODUCT(PRODUCE!$B367:$DY367,PRODUCE!$EB$34:$IY$34)</f>
        <v>0</v>
      </c>
      <c r="IP372" s="56"/>
      <c r="IQ372" s="242">
        <f t="shared" si="2563"/>
        <v>0</v>
      </c>
      <c r="IR372" s="242">
        <f t="shared" si="2564"/>
        <v>0</v>
      </c>
      <c r="IS372" s="56"/>
      <c r="IV372" s="55">
        <f t="shared" si="2565"/>
        <v>46338</v>
      </c>
      <c r="IW372" s="56"/>
      <c r="IX372" s="242">
        <f>SUMPRODUCT(PRODUCE!$B367:$DY367,PRODUCE!$EB$35:$IY$35)</f>
        <v>0</v>
      </c>
      <c r="IY372" s="56"/>
      <c r="IZ372" s="242">
        <f t="shared" si="2566"/>
        <v>0</v>
      </c>
      <c r="JA372" s="242">
        <f t="shared" si="2567"/>
        <v>2820</v>
      </c>
      <c r="JB372" s="56"/>
      <c r="JE372" s="55">
        <f t="shared" si="2568"/>
        <v>46338</v>
      </c>
      <c r="JF372" s="56"/>
      <c r="JG372" s="242">
        <f>SUMPRODUCT(PRODUCE!$B367:$DY367,PRODUCE!$EB$36:$IY$36)</f>
        <v>0</v>
      </c>
      <c r="JH372" s="56"/>
      <c r="JI372" s="242">
        <f t="shared" si="2569"/>
        <v>0</v>
      </c>
      <c r="JJ372" s="242">
        <f t="shared" si="2570"/>
        <v>0</v>
      </c>
      <c r="JK372" s="56"/>
      <c r="JN372" s="55">
        <f t="shared" si="2571"/>
        <v>46338</v>
      </c>
      <c r="JO372" s="56"/>
      <c r="JP372" s="242">
        <f>SUMPRODUCT(PRODUCE!$B367:$DY367,PRODUCE!$EB$37:$IY$37)</f>
        <v>0</v>
      </c>
      <c r="JQ372" s="56"/>
      <c r="JR372" s="242">
        <f t="shared" si="2572"/>
        <v>0</v>
      </c>
      <c r="JS372" s="242">
        <f t="shared" si="2573"/>
        <v>0</v>
      </c>
      <c r="JT372" s="56"/>
      <c r="JW372" s="55">
        <f t="shared" si="2574"/>
        <v>46338</v>
      </c>
      <c r="JX372" s="56"/>
      <c r="JY372" s="242">
        <f>SUMPRODUCT(PRODUCE!$B367:$DY367,PRODUCE!$EB$38:$IY$38)</f>
        <v>0</v>
      </c>
      <c r="JZ372" s="56"/>
      <c r="KA372" s="242">
        <f t="shared" si="2575"/>
        <v>0</v>
      </c>
      <c r="KB372" s="242">
        <f t="shared" si="2576"/>
        <v>2540</v>
      </c>
      <c r="KC372" s="56"/>
      <c r="KF372" s="55">
        <f t="shared" si="2577"/>
        <v>46338</v>
      </c>
      <c r="KG372" s="56"/>
      <c r="KH372" s="242">
        <f>SUMPRODUCT(PRODUCE!$B367:$DY367,PRODUCE!$EB$39:$IY$39)</f>
        <v>0</v>
      </c>
      <c r="KI372" s="56"/>
      <c r="KJ372" s="242">
        <f t="shared" si="2578"/>
        <v>0</v>
      </c>
      <c r="KK372" s="242">
        <f t="shared" si="2579"/>
        <v>2359.5</v>
      </c>
      <c r="KL372" s="56"/>
      <c r="KO372" s="55">
        <f t="shared" si="2580"/>
        <v>46338</v>
      </c>
      <c r="KP372" s="56"/>
      <c r="KQ372" s="242">
        <f>SUMPRODUCT(PRODUCE!$B367:$DY367,PRODUCE!$EB$40:$IY$40)</f>
        <v>0</v>
      </c>
      <c r="KR372" s="56"/>
      <c r="KS372" s="242">
        <f t="shared" si="2581"/>
        <v>0</v>
      </c>
      <c r="KT372" s="242">
        <f t="shared" si="2582"/>
        <v>1890</v>
      </c>
      <c r="KU372" s="56"/>
      <c r="KW372" s="23"/>
      <c r="KX372" s="55">
        <f t="shared" si="2583"/>
        <v>46338</v>
      </c>
      <c r="KY372" s="56"/>
      <c r="KZ372" s="242">
        <f>SUMPRODUCT(PRODUCE!$B367:$DY367,PRODUCE!$EB$41:$IY$41)</f>
        <v>0</v>
      </c>
      <c r="LA372" s="56"/>
      <c r="LB372" s="242">
        <f t="shared" si="2584"/>
        <v>0</v>
      </c>
      <c r="LC372" s="242">
        <f t="shared" si="2585"/>
        <v>3690</v>
      </c>
      <c r="LD372" s="56"/>
      <c r="LG372" s="55">
        <f t="shared" si="2586"/>
        <v>46338</v>
      </c>
      <c r="LH372" s="56"/>
      <c r="LI372" s="242">
        <f>SUMPRODUCT(PRODUCE!$B367:$DY367,PRODUCE!$EB$42:$IY$42)</f>
        <v>0</v>
      </c>
      <c r="LJ372" s="56"/>
      <c r="LK372" s="242">
        <f t="shared" si="2587"/>
        <v>0</v>
      </c>
      <c r="LL372" s="242">
        <f t="shared" si="2588"/>
        <v>4000</v>
      </c>
      <c r="LM372" s="56"/>
      <c r="LP372" s="55">
        <f t="shared" si="2589"/>
        <v>46338</v>
      </c>
      <c r="LQ372" s="56"/>
      <c r="LR372" s="242">
        <f>SUMPRODUCT(PRODUCE!$B387:$DY387,PRODUCE!$EB$43:$IY$43)</f>
        <v>0</v>
      </c>
      <c r="LS372" s="56"/>
      <c r="LT372" s="242">
        <f t="shared" si="2590"/>
        <v>0</v>
      </c>
      <c r="LU372" s="242">
        <f t="shared" si="2591"/>
        <v>0</v>
      </c>
      <c r="LV372" s="56"/>
      <c r="LY372" s="55">
        <f t="shared" si="2592"/>
        <v>46338</v>
      </c>
      <c r="LZ372" s="56"/>
      <c r="MA372" s="242">
        <f>SUMPRODUCT(PRODUCE!$B367:$DY367,PRODUCE!$EB$44:$IY$44)</f>
        <v>0</v>
      </c>
      <c r="MB372" s="56"/>
      <c r="MC372" s="242">
        <f t="shared" si="2593"/>
        <v>0</v>
      </c>
      <c r="MD372" s="242">
        <f t="shared" si="2594"/>
        <v>0</v>
      </c>
      <c r="ME372" s="56"/>
      <c r="MH372" s="55">
        <f t="shared" si="2595"/>
        <v>46338</v>
      </c>
      <c r="MI372" s="56"/>
      <c r="MJ372" s="242">
        <f>SUMPRODUCT(PRODUCE!$B367:$DY367,PRODUCE!$EB$45:$IY$45)</f>
        <v>0</v>
      </c>
      <c r="MK372" s="56"/>
      <c r="ML372" s="242">
        <f t="shared" si="2596"/>
        <v>0</v>
      </c>
      <c r="MM372" s="242">
        <f t="shared" si="2597"/>
        <v>0</v>
      </c>
      <c r="MN372" s="56"/>
      <c r="MQ372" s="55">
        <f t="shared" si="2598"/>
        <v>46338</v>
      </c>
      <c r="MR372" s="56"/>
      <c r="MS372" s="242">
        <f>SUMPRODUCT(PRODUCE!$B367:$DY367,PRODUCE!$EB$46:$IY$46)</f>
        <v>0</v>
      </c>
      <c r="MT372" s="56"/>
      <c r="MU372" s="242">
        <f t="shared" si="2599"/>
        <v>0</v>
      </c>
      <c r="MV372" s="242">
        <f t="shared" si="2600"/>
        <v>1625</v>
      </c>
      <c r="MW372" s="56"/>
      <c r="MZ372" s="55">
        <f t="shared" si="2601"/>
        <v>46338</v>
      </c>
      <c r="NA372" s="56"/>
      <c r="NB372" s="242">
        <f>SUMPRODUCT(PRODUCE!$B367:$DY367,PRODUCE!$EB$47:$IY$47)</f>
        <v>0</v>
      </c>
      <c r="NC372" s="56"/>
      <c r="ND372" s="242">
        <f t="shared" si="2602"/>
        <v>0</v>
      </c>
      <c r="NE372" s="242">
        <f t="shared" si="2603"/>
        <v>0</v>
      </c>
      <c r="NF372" s="56"/>
      <c r="NI372" s="55">
        <f t="shared" si="2604"/>
        <v>46338</v>
      </c>
      <c r="NJ372" s="56"/>
      <c r="NK372" s="242">
        <f>SUMPRODUCT(PRODUCE!$B367:$DY367,PRODUCE!$EB$48:$IY$48)</f>
        <v>0</v>
      </c>
      <c r="NL372" s="56"/>
      <c r="NM372" s="242">
        <f t="shared" si="2605"/>
        <v>0</v>
      </c>
      <c r="NN372" s="242">
        <f t="shared" si="2606"/>
        <v>1127</v>
      </c>
      <c r="NO372" s="56"/>
      <c r="NR372" s="55">
        <f t="shared" si="2607"/>
        <v>46338</v>
      </c>
      <c r="NS372" s="56"/>
      <c r="NT372" s="242">
        <f>SUMPRODUCT(PRODUCE!$B367:$DY367,PRODUCE!$EB$49:$IY$49)</f>
        <v>0</v>
      </c>
      <c r="NU372" s="56"/>
      <c r="NV372" s="242">
        <f t="shared" si="2608"/>
        <v>0</v>
      </c>
      <c r="NW372" s="242">
        <f t="shared" si="2609"/>
        <v>3111.9999999999995</v>
      </c>
      <c r="NX372" s="56"/>
      <c r="OA372" s="55">
        <f t="shared" si="2610"/>
        <v>46338</v>
      </c>
      <c r="OB372" s="56"/>
      <c r="OC372" s="242">
        <f>SUMPRODUCT(PRODUCE!$B367:$DY367,PRODUCE!$EB$50:$IY$50)</f>
        <v>0</v>
      </c>
      <c r="OD372" s="56"/>
      <c r="OE372" s="242">
        <f t="shared" si="2611"/>
        <v>0</v>
      </c>
      <c r="OF372" s="242">
        <f t="shared" si="2612"/>
        <v>1680.5</v>
      </c>
      <c r="OG372" s="56"/>
      <c r="OJ372" s="55">
        <f t="shared" si="2613"/>
        <v>46338</v>
      </c>
      <c r="OK372" s="56"/>
      <c r="OL372" s="242">
        <f>SUMPRODUCT(PRODUCE!$B367:$DY367,PRODUCE!$EB$51:$IY$51)</f>
        <v>0</v>
      </c>
      <c r="OM372" s="56"/>
      <c r="ON372" s="242">
        <f t="shared" si="2614"/>
        <v>0</v>
      </c>
      <c r="OO372" s="242">
        <f t="shared" si="2615"/>
        <v>0</v>
      </c>
      <c r="OP372" s="56"/>
      <c r="OS372" s="55">
        <f t="shared" si="2616"/>
        <v>46338</v>
      </c>
      <c r="OT372" s="56"/>
      <c r="OU372" s="242">
        <f>SUMPRODUCT(PRODUCE!$B367:$DY367,PRODUCE!$EB$52:$IY$52)</f>
        <v>0</v>
      </c>
      <c r="OV372" s="56"/>
      <c r="OW372" s="242">
        <f t="shared" si="2617"/>
        <v>0</v>
      </c>
      <c r="OX372" s="242">
        <f t="shared" si="2618"/>
        <v>1482</v>
      </c>
      <c r="OY372" s="56"/>
      <c r="PB372" s="55">
        <f t="shared" si="2619"/>
        <v>46338</v>
      </c>
      <c r="PC372" s="56"/>
      <c r="PD372" s="242">
        <f>SUMPRODUCT(PRODUCE!$B367:$DY367,PRODUCE!$EB$53:$IY$53)</f>
        <v>0</v>
      </c>
      <c r="PE372" s="56"/>
      <c r="PF372" s="242">
        <f t="shared" si="2620"/>
        <v>0</v>
      </c>
      <c r="PG372" s="242">
        <f t="shared" si="2621"/>
        <v>0</v>
      </c>
      <c r="PH372" s="56"/>
      <c r="PK372" s="55">
        <f t="shared" si="2622"/>
        <v>46338</v>
      </c>
      <c r="PL372" s="56"/>
      <c r="PM372" s="242">
        <f>SUMPRODUCT(PRODUCE!$B367:$DY367,PRODUCE!$EB$54:$IY$54)</f>
        <v>0</v>
      </c>
      <c r="PN372" s="56"/>
      <c r="PO372" s="242">
        <f t="shared" si="2623"/>
        <v>0</v>
      </c>
      <c r="PP372" s="242">
        <f t="shared" si="2624"/>
        <v>100</v>
      </c>
      <c r="PQ372" s="56"/>
      <c r="PT372" s="55">
        <f t="shared" si="2625"/>
        <v>46338</v>
      </c>
      <c r="PU372" s="56"/>
      <c r="PV372" s="242">
        <f>SUMPRODUCT(PRODUCE!$B367:$DY367,PRODUCE!$EB$55:$IY$55)</f>
        <v>0</v>
      </c>
      <c r="PW372" s="56"/>
      <c r="PX372" s="242">
        <f t="shared" si="2626"/>
        <v>0</v>
      </c>
      <c r="PY372" s="242">
        <f t="shared" si="2627"/>
        <v>13.960000000000036</v>
      </c>
      <c r="PZ372" s="56"/>
      <c r="QC372" s="55">
        <f t="shared" si="2628"/>
        <v>46338</v>
      </c>
      <c r="QD372" s="56"/>
      <c r="QE372" s="242">
        <f>SUMPRODUCT(PRODUCE!$B367:$DY367,PRODUCE!$EB$56:$IY$56)</f>
        <v>0</v>
      </c>
      <c r="QF372" s="56"/>
      <c r="QG372" s="242">
        <f t="shared" si="2629"/>
        <v>0</v>
      </c>
      <c r="QH372" s="242">
        <f t="shared" si="2630"/>
        <v>548</v>
      </c>
      <c r="QI372" s="56"/>
      <c r="QL372" s="55">
        <f t="shared" si="2631"/>
        <v>46338</v>
      </c>
      <c r="QM372" s="56"/>
      <c r="QN372" s="242">
        <f>SUMPRODUCT(PRODUCE!$B367:$DY367,PRODUCE!$EB$57:$IY$57)</f>
        <v>0</v>
      </c>
      <c r="QO372" s="56"/>
      <c r="QP372" s="242">
        <f t="shared" si="2632"/>
        <v>0</v>
      </c>
      <c r="QQ372" s="242">
        <f t="shared" si="2633"/>
        <v>0</v>
      </c>
      <c r="QR372" s="56"/>
      <c r="QU372" s="55">
        <f t="shared" si="2634"/>
        <v>46338</v>
      </c>
      <c r="QV372" s="56"/>
      <c r="QW372" s="242">
        <f>SUMPRODUCT(PRODUCE!$B367:$DY367,PRODUCE!$EB$57:$IY$57)</f>
        <v>0</v>
      </c>
      <c r="QX372" s="56"/>
      <c r="QY372" s="242">
        <f t="shared" si="2635"/>
        <v>0</v>
      </c>
      <c r="QZ372" s="242">
        <f t="shared" si="2636"/>
        <v>0</v>
      </c>
      <c r="RA372" s="56"/>
      <c r="RD372" s="55">
        <f t="shared" si="2637"/>
        <v>46338</v>
      </c>
      <c r="RE372" s="56"/>
      <c r="RF372" s="242">
        <f>SUMPRODUCT(PRODUCE!$B367:$DY367,PRODUCE!$EB$58:$IY$58)</f>
        <v>0</v>
      </c>
      <c r="RG372" s="56"/>
      <c r="RH372" s="242">
        <f t="shared" si="2638"/>
        <v>0</v>
      </c>
      <c r="RI372" s="242">
        <f t="shared" si="2639"/>
        <v>147.04000000000002</v>
      </c>
      <c r="RJ372" s="56"/>
      <c r="RM372" s="55">
        <f t="shared" si="2640"/>
        <v>46338</v>
      </c>
      <c r="RN372" s="56"/>
      <c r="RO372" s="242">
        <f>SUMPRODUCT(PRODUCE!$B367:$DY367,PRODUCE!$EB$57:$IY$57)</f>
        <v>0</v>
      </c>
      <c r="RP372" s="56"/>
      <c r="RQ372" s="242">
        <f t="shared" si="2641"/>
        <v>0</v>
      </c>
      <c r="RR372" s="242">
        <f t="shared" si="2642"/>
        <v>46.8</v>
      </c>
      <c r="RS372" s="56"/>
      <c r="RV372" s="55">
        <f t="shared" si="2643"/>
        <v>46338</v>
      </c>
      <c r="RW372" s="56"/>
      <c r="RX372" s="242">
        <f>SUMPRODUCT(PRODUCE!$B367:$DY367,PRODUCE!$EB$57:$IY$57)</f>
        <v>0</v>
      </c>
      <c r="RY372" s="56"/>
      <c r="RZ372" s="242">
        <f t="shared" si="2644"/>
        <v>0</v>
      </c>
      <c r="SA372" s="242">
        <f t="shared" si="2645"/>
        <v>0</v>
      </c>
      <c r="SB372" s="56"/>
      <c r="SE372" s="55">
        <f t="shared" si="2646"/>
        <v>46338</v>
      </c>
      <c r="SF372" s="56"/>
      <c r="SG372" s="242">
        <f>SUMPRODUCT(PRODUCE!$B367:$DY367,PRODUCE!$EB$61:$IY$61)</f>
        <v>0</v>
      </c>
      <c r="SH372" s="56"/>
      <c r="SI372" s="242">
        <f t="shared" si="2647"/>
        <v>0</v>
      </c>
      <c r="SJ372" s="242">
        <f t="shared" si="2648"/>
        <v>24.200000000000003</v>
      </c>
      <c r="SK372" s="56"/>
      <c r="SN372" s="55">
        <f t="shared" si="2649"/>
        <v>46338</v>
      </c>
      <c r="SO372" s="56"/>
      <c r="SP372" s="242">
        <f>SUMPRODUCT(PRODUCE!$B367:$DY367,PRODUCE!$EB$57:$IY$57)</f>
        <v>0</v>
      </c>
      <c r="SQ372" s="56"/>
      <c r="SR372" s="242">
        <f t="shared" si="2650"/>
        <v>0</v>
      </c>
      <c r="SS372" s="242">
        <f t="shared" si="2651"/>
        <v>32</v>
      </c>
      <c r="ST372" s="56"/>
      <c r="SW372" s="55">
        <f t="shared" si="2652"/>
        <v>46338</v>
      </c>
      <c r="SX372" s="56"/>
      <c r="SY372" s="242">
        <f>SUMPRODUCT(PRODUCE!$B367:$DY367,PRODUCE!$EB$57:$IY$57)</f>
        <v>0</v>
      </c>
      <c r="SZ372" s="56"/>
      <c r="TA372" s="242">
        <f t="shared" si="2653"/>
        <v>0</v>
      </c>
      <c r="TB372" s="242">
        <f t="shared" si="2654"/>
        <v>0</v>
      </c>
      <c r="TC372" s="56"/>
      <c r="TF372" s="55">
        <f t="shared" si="2655"/>
        <v>46338</v>
      </c>
      <c r="TG372" s="56"/>
      <c r="TH372" s="242">
        <f>SUMPRODUCT(PRODUCE!$B367:$DY367,PRODUCE!$EB$57:$IY$57)</f>
        <v>0</v>
      </c>
      <c r="TI372" s="56"/>
      <c r="TJ372" s="242">
        <f t="shared" si="2656"/>
        <v>0</v>
      </c>
      <c r="TK372" s="242">
        <f t="shared" si="2657"/>
        <v>0</v>
      </c>
      <c r="TL372" s="56"/>
      <c r="TO372" s="55">
        <f t="shared" si="2658"/>
        <v>46338</v>
      </c>
      <c r="TP372" s="56"/>
      <c r="TQ372" s="242">
        <f>SUMPRODUCT(PRODUCE!$B367:$DY367,PRODUCE!$EB$57:$IY$57)</f>
        <v>0</v>
      </c>
      <c r="TR372" s="56"/>
      <c r="TS372" s="242">
        <f t="shared" si="2659"/>
        <v>0</v>
      </c>
      <c r="TT372" s="242">
        <f t="shared" si="2660"/>
        <v>0</v>
      </c>
      <c r="TU372" s="56"/>
      <c r="TX372" s="55">
        <f t="shared" si="2661"/>
        <v>46338</v>
      </c>
      <c r="TY372" s="56"/>
      <c r="TZ372" s="242">
        <f>SUMPRODUCT(PRODUCE!$B367:$DY367,PRODUCE!$EB$57:$IY$57)</f>
        <v>0</v>
      </c>
      <c r="UA372" s="56"/>
      <c r="UB372" s="242">
        <f t="shared" si="2662"/>
        <v>0</v>
      </c>
      <c r="UC372" s="242">
        <f t="shared" si="2663"/>
        <v>46.799999999999983</v>
      </c>
      <c r="UD372" s="56"/>
      <c r="UG372" s="55">
        <f t="shared" si="2664"/>
        <v>46338</v>
      </c>
      <c r="UH372" s="56"/>
      <c r="UI372" s="242">
        <f>SUMPRODUCT(PRODUCE!$B367:$DY367,PRODUCE!$EB$57:$IY$57)</f>
        <v>0</v>
      </c>
      <c r="UJ372" s="56"/>
      <c r="UK372" s="242">
        <f t="shared" si="2665"/>
        <v>0</v>
      </c>
      <c r="UL372" s="242">
        <f t="shared" si="2666"/>
        <v>204</v>
      </c>
      <c r="UM372" s="56"/>
      <c r="UP372" s="55">
        <f t="shared" si="2667"/>
        <v>46338</v>
      </c>
      <c r="UQ372" s="56"/>
      <c r="UR372" s="242">
        <f>SUMPRODUCT(PRODUCE!$B367:$DY367,PRODUCE!$EB$57:$IY$57)</f>
        <v>0</v>
      </c>
      <c r="US372" s="56"/>
      <c r="UT372" s="242">
        <f t="shared" si="2668"/>
        <v>0</v>
      </c>
      <c r="UU372" s="242">
        <f t="shared" si="2669"/>
        <v>202.5</v>
      </c>
      <c r="UV372" s="56"/>
      <c r="UY372" s="55">
        <f t="shared" si="2670"/>
        <v>46338</v>
      </c>
      <c r="UZ372" s="56"/>
      <c r="VA372" s="242">
        <f>SUMPRODUCT(PRODUCE!$B367:$DY367,PRODUCE!$EB$57:$IY$57)</f>
        <v>0</v>
      </c>
      <c r="VB372" s="56"/>
      <c r="VC372" s="242">
        <f t="shared" si="2671"/>
        <v>0</v>
      </c>
      <c r="VD372" s="242">
        <f t="shared" si="2672"/>
        <v>41.600000000000023</v>
      </c>
      <c r="VE372" s="56"/>
      <c r="VH372" s="55">
        <f t="shared" si="2673"/>
        <v>46338</v>
      </c>
      <c r="VI372" s="56"/>
      <c r="VJ372" s="242">
        <f>SUMPRODUCT(PRODUCE!$B367:$DY367,PRODUCE!$EB$57:$IY$57)</f>
        <v>0</v>
      </c>
      <c r="VK372" s="56"/>
      <c r="VL372" s="242">
        <f t="shared" si="2674"/>
        <v>0</v>
      </c>
      <c r="VM372" s="242">
        <f t="shared" si="2675"/>
        <v>210</v>
      </c>
      <c r="VN372" s="56"/>
      <c r="VQ372" s="55">
        <f t="shared" si="2676"/>
        <v>46338</v>
      </c>
      <c r="VR372" s="56"/>
      <c r="VS372" s="242">
        <f>SUMPRODUCT(PRODUCE!$B367:$DY367,PRODUCE!$EB$57:$IY$57)</f>
        <v>0</v>
      </c>
      <c r="VT372" s="56"/>
      <c r="VU372" s="242">
        <f t="shared" si="2677"/>
        <v>0</v>
      </c>
      <c r="VV372" s="242">
        <f t="shared" si="2678"/>
        <v>0</v>
      </c>
      <c r="VW372" s="56"/>
      <c r="VZ372" s="55">
        <f t="shared" si="2679"/>
        <v>46338</v>
      </c>
      <c r="WA372" s="56"/>
      <c r="WB372" s="242">
        <f>SUMPRODUCT(PRODUCE!$B367:$DY367,PRODUCE!$EB$57:$IY$57)</f>
        <v>0</v>
      </c>
      <c r="WC372" s="56"/>
      <c r="WD372" s="242">
        <f t="shared" si="2680"/>
        <v>0</v>
      </c>
      <c r="WE372" s="242">
        <f t="shared" si="2681"/>
        <v>0</v>
      </c>
      <c r="WF372" s="56"/>
      <c r="WI372" s="55">
        <f t="shared" si="2682"/>
        <v>46338</v>
      </c>
      <c r="WJ372" s="56"/>
      <c r="WK372" s="242">
        <f>SUMPRODUCT(PRODUCE!$B367:$DY367,PRODUCE!$EB$57:$IY$57)</f>
        <v>0</v>
      </c>
      <c r="WL372" s="56"/>
      <c r="WM372" s="242">
        <f t="shared" si="2683"/>
        <v>0</v>
      </c>
      <c r="WN372" s="242">
        <f t="shared" si="2684"/>
        <v>1057</v>
      </c>
      <c r="WO372" s="56"/>
      <c r="WR372" s="55">
        <f t="shared" si="2685"/>
        <v>46338</v>
      </c>
      <c r="WS372" s="56"/>
      <c r="WT372" s="242">
        <f>SUMPRODUCT(PRODUCE!$B367:$DY367,PRODUCE!$EB$57:$IY$57)</f>
        <v>0</v>
      </c>
      <c r="WU372" s="56"/>
      <c r="WV372" s="242">
        <f t="shared" si="2686"/>
        <v>0</v>
      </c>
      <c r="WW372" s="242">
        <f t="shared" si="2687"/>
        <v>0</v>
      </c>
      <c r="WX372" s="56"/>
      <c r="XA372" s="55">
        <f t="shared" si="2688"/>
        <v>46338</v>
      </c>
      <c r="XB372" s="56"/>
      <c r="XC372" s="242">
        <f>SUMPRODUCT(PRODUCE!$B367:$DY367,PRODUCE!$EB$57:$IY$57)</f>
        <v>0</v>
      </c>
      <c r="XD372" s="56"/>
      <c r="XE372" s="242">
        <f t="shared" si="2689"/>
        <v>0</v>
      </c>
      <c r="XF372" s="242">
        <f t="shared" si="2690"/>
        <v>7507</v>
      </c>
      <c r="XG372" s="56"/>
      <c r="XJ372" s="55">
        <f t="shared" si="2691"/>
        <v>46338</v>
      </c>
      <c r="XK372" s="56"/>
      <c r="XL372" s="242">
        <f>SUMPRODUCT(PRODUCE!$B367:$DY367,PRODUCE!$EB$57:$IY$57)</f>
        <v>0</v>
      </c>
      <c r="XM372" s="56"/>
      <c r="XN372" s="242">
        <f t="shared" si="2692"/>
        <v>0</v>
      </c>
      <c r="XO372" s="242">
        <f t="shared" si="2693"/>
        <v>4252</v>
      </c>
      <c r="XP372" s="56"/>
      <c r="XS372" s="55">
        <f t="shared" si="2694"/>
        <v>46338</v>
      </c>
      <c r="XT372" s="56"/>
      <c r="XU372" s="242">
        <f>SUMPRODUCT(PRODUCE!$B367:$DY367,PRODUCE!$EB$57:$IY$57)</f>
        <v>0</v>
      </c>
      <c r="XV372" s="56"/>
      <c r="XW372" s="242">
        <f t="shared" si="2695"/>
        <v>0</v>
      </c>
      <c r="XX372" s="242">
        <f t="shared" si="2696"/>
        <v>2179</v>
      </c>
      <c r="XY372" s="56"/>
      <c r="YB372" s="55">
        <f t="shared" si="2697"/>
        <v>46338</v>
      </c>
      <c r="YC372" s="56"/>
      <c r="YD372" s="242">
        <f>SUMPRODUCT(PRODUCE!$B367:$DY367,PRODUCE!$EB$57:$IY$57)</f>
        <v>0</v>
      </c>
      <c r="YE372" s="56"/>
      <c r="YF372" s="242">
        <f t="shared" si="2698"/>
        <v>0</v>
      </c>
      <c r="YG372" s="242">
        <f t="shared" si="2699"/>
        <v>4019</v>
      </c>
      <c r="YH372" s="56"/>
      <c r="YK372" s="55">
        <f t="shared" si="2700"/>
        <v>46338</v>
      </c>
      <c r="YL372" s="56"/>
      <c r="YM372" s="242">
        <f>SUMPRODUCT(PRODUCE!$B367:$DY367,PRODUCE!$EB$57:$IY$57)</f>
        <v>0</v>
      </c>
      <c r="YN372" s="56"/>
      <c r="YO372" s="242">
        <f t="shared" si="2701"/>
        <v>0</v>
      </c>
      <c r="YP372" s="242">
        <f t="shared" si="2702"/>
        <v>-218</v>
      </c>
      <c r="YQ372" s="56"/>
      <c r="YT372" s="55">
        <f t="shared" si="2703"/>
        <v>46338</v>
      </c>
      <c r="YU372" s="56"/>
      <c r="YV372" s="242">
        <f>SUMPRODUCT(PRODUCE!$B367:$DY367,PRODUCE!$EB$57:$IY$57)</f>
        <v>0</v>
      </c>
      <c r="YW372" s="56"/>
      <c r="YX372" s="242">
        <f t="shared" si="2704"/>
        <v>0</v>
      </c>
      <c r="YY372" s="242">
        <f t="shared" si="2705"/>
        <v>0</v>
      </c>
      <c r="YZ372" s="56"/>
      <c r="ZC372" s="55">
        <f t="shared" si="2706"/>
        <v>46338</v>
      </c>
      <c r="ZD372" s="56"/>
      <c r="ZE372" s="242">
        <f>SUMPRODUCT(PRODUCE!$B367:$DY367,PRODUCE!$EB$57:$IY$57)</f>
        <v>0</v>
      </c>
      <c r="ZF372" s="56"/>
      <c r="ZG372" s="242">
        <f t="shared" si="2707"/>
        <v>0</v>
      </c>
      <c r="ZH372" s="242">
        <f t="shared" si="2708"/>
        <v>0</v>
      </c>
      <c r="ZI372" s="56"/>
      <c r="ZL372" s="55">
        <f t="shared" si="2709"/>
        <v>46338</v>
      </c>
      <c r="ZM372" s="56"/>
      <c r="ZN372" s="242">
        <f>SUMPRODUCT(PRODUCE!$B367:$DY367,PRODUCE!$EB$57:$IY$57)</f>
        <v>0</v>
      </c>
      <c r="ZO372" s="56"/>
      <c r="ZP372" s="242">
        <f t="shared" si="2710"/>
        <v>0</v>
      </c>
      <c r="ZQ372" s="242">
        <f t="shared" si="2711"/>
        <v>0</v>
      </c>
      <c r="ZR372" s="56"/>
      <c r="ZU372" s="55">
        <f t="shared" si="2712"/>
        <v>46338</v>
      </c>
      <c r="ZV372" s="56"/>
      <c r="ZW372" s="242">
        <f>SUMPRODUCT(PRODUCE!$B367:$DY367,PRODUCE!$EB$57:$IY$57)</f>
        <v>0</v>
      </c>
      <c r="ZX372" s="56"/>
      <c r="ZY372" s="242">
        <f t="shared" si="2713"/>
        <v>0</v>
      </c>
      <c r="ZZ372" s="242">
        <f t="shared" si="2714"/>
        <v>0</v>
      </c>
      <c r="AAA372" s="56"/>
      <c r="AAD372" s="55">
        <f t="shared" si="2715"/>
        <v>46338</v>
      </c>
      <c r="AAE372" s="56"/>
      <c r="AAF372" s="242">
        <f>SUMPRODUCT(PRODUCE!$B367:$DY367,PRODUCE!$EB$57:$IY$57)</f>
        <v>0</v>
      </c>
      <c r="AAG372" s="56"/>
      <c r="AAH372" s="242">
        <f t="shared" si="2716"/>
        <v>0</v>
      </c>
      <c r="AAI372" s="242">
        <f t="shared" si="2717"/>
        <v>0</v>
      </c>
      <c r="AAJ372" s="56"/>
      <c r="AAM372" s="55">
        <f t="shared" si="2718"/>
        <v>46338</v>
      </c>
      <c r="AAN372" s="56"/>
      <c r="AAO372" s="242">
        <f>SUMPRODUCT(PRODUCE!$B367:$DY367,PRODUCE!$EB$57:$IY$57)</f>
        <v>0</v>
      </c>
      <c r="AAP372" s="56"/>
      <c r="AAQ372" s="242">
        <f t="shared" si="2719"/>
        <v>0</v>
      </c>
      <c r="AAR372" s="242">
        <f t="shared" si="2720"/>
        <v>0</v>
      </c>
      <c r="AAS372" s="56"/>
      <c r="AAV372" s="55">
        <f t="shared" si="2721"/>
        <v>46338</v>
      </c>
      <c r="AAW372" s="56"/>
      <c r="AAX372" s="242">
        <f>SUMPRODUCT(PRODUCE!$B367:$DY367,PRODUCE!$EB$57:$IY$57)</f>
        <v>0</v>
      </c>
      <c r="AAY372" s="56"/>
      <c r="AAZ372" s="242">
        <f t="shared" si="2722"/>
        <v>0</v>
      </c>
      <c r="ABA372" s="242">
        <f t="shared" si="2723"/>
        <v>0</v>
      </c>
      <c r="ABB372" s="56"/>
      <c r="ABE372" s="55">
        <f t="shared" si="2724"/>
        <v>46338</v>
      </c>
      <c r="ABF372" s="56"/>
      <c r="ABG372" s="242">
        <f>SUMPRODUCT(PRODUCE!$B367:$DY367,PRODUCE!$EB$57:$IY$57)</f>
        <v>0</v>
      </c>
      <c r="ABH372" s="56"/>
      <c r="ABI372" s="242">
        <f t="shared" si="2725"/>
        <v>0</v>
      </c>
      <c r="ABJ372" s="242">
        <f t="shared" si="2726"/>
        <v>0</v>
      </c>
      <c r="ABK372" s="56"/>
    </row>
    <row r="373" spans="2:739" s="54" customFormat="1" ht="15" customHeight="1" outlineLevel="1">
      <c r="B373" s="478"/>
      <c r="C373" s="55">
        <v>46339</v>
      </c>
      <c r="D373" s="56"/>
      <c r="E373" s="57">
        <f>SUMPRODUCT(PRODUCE!$B368:$DY368,PRODUCE!$EB$7:$IY$7)</f>
        <v>0</v>
      </c>
      <c r="F373" s="56"/>
      <c r="G373" s="57">
        <f t="shared" si="2482"/>
        <v>0</v>
      </c>
      <c r="H373" s="57">
        <f t="shared" si="2483"/>
        <v>236936.6</v>
      </c>
      <c r="I373" s="289"/>
      <c r="L373" s="55">
        <f t="shared" si="2484"/>
        <v>46339</v>
      </c>
      <c r="M373" s="56"/>
      <c r="N373" s="59">
        <f>SUMPRODUCT(PRODUCE!$B368:$DY368,PRODUCE!$EB$8:$IY$8)</f>
        <v>0</v>
      </c>
      <c r="O373" s="56"/>
      <c r="P373" s="59">
        <f t="shared" si="2485"/>
        <v>0</v>
      </c>
      <c r="Q373" s="59">
        <f t="shared" si="2486"/>
        <v>53017.600000000071</v>
      </c>
      <c r="R373" s="56"/>
      <c r="U373" s="55">
        <f t="shared" si="2487"/>
        <v>46339</v>
      </c>
      <c r="V373" s="56"/>
      <c r="W373" s="60">
        <f>SUMPRODUCT(PRODUCE!$B368:$DY368,PRODUCE!$EB$9:$IY$9)</f>
        <v>0</v>
      </c>
      <c r="X373" s="56"/>
      <c r="Y373" s="60">
        <f t="shared" si="2488"/>
        <v>0</v>
      </c>
      <c r="Z373" s="60">
        <f t="shared" si="2489"/>
        <v>42674.199999999968</v>
      </c>
      <c r="AA373" s="56"/>
      <c r="AD373" s="55">
        <f t="shared" si="2490"/>
        <v>46339</v>
      </c>
      <c r="AE373" s="56"/>
      <c r="AF373" s="61">
        <f>SUMPRODUCT(PRODUCE!$B368:$DY368,PRODUCE!$EB$10:$IY$10)</f>
        <v>0</v>
      </c>
      <c r="AG373" s="56"/>
      <c r="AH373" s="61">
        <f t="shared" si="2491"/>
        <v>0</v>
      </c>
      <c r="AI373" s="61">
        <f t="shared" si="2492"/>
        <v>4522.2000000000189</v>
      </c>
      <c r="AJ373" s="56"/>
      <c r="AM373" s="55">
        <f t="shared" si="2493"/>
        <v>46339</v>
      </c>
      <c r="AN373" s="422"/>
      <c r="AO373" s="444">
        <f>SUMPRODUCT(PRODUCE!$B368:$DY368,PRODUCE!$EB$11:$IY$11)</f>
        <v>0</v>
      </c>
      <c r="AP373" s="422"/>
      <c r="AQ373" s="444">
        <f t="shared" si="2494"/>
        <v>0</v>
      </c>
      <c r="AR373" s="444">
        <f t="shared" si="2495"/>
        <v>0</v>
      </c>
      <c r="AS373" s="56"/>
      <c r="AV373" s="55">
        <f t="shared" si="2496"/>
        <v>46339</v>
      </c>
      <c r="AW373" s="56"/>
      <c r="AX373" s="62">
        <f>SUMPRODUCT(PRODUCE!$B368:$DY368,PRODUCE!$EB$12:$IY$12)</f>
        <v>0</v>
      </c>
      <c r="AY373" s="56"/>
      <c r="AZ373" s="62">
        <f t="shared" si="2497"/>
        <v>0</v>
      </c>
      <c r="BA373" s="62">
        <f t="shared" si="2498"/>
        <v>124.99999999999523</v>
      </c>
      <c r="BB373" s="56"/>
      <c r="BE373" s="55">
        <f t="shared" si="2499"/>
        <v>46339</v>
      </c>
      <c r="BF373" s="56"/>
      <c r="BG373" s="63">
        <f>SUMPRODUCT(PRODUCE!$B368:$DY368,PRODUCE!$EB$13:$IY$13)</f>
        <v>0</v>
      </c>
      <c r="BH373" s="56"/>
      <c r="BI373" s="63">
        <f t="shared" si="2500"/>
        <v>0</v>
      </c>
      <c r="BJ373" s="63">
        <f t="shared" si="2501"/>
        <v>26151.899999999998</v>
      </c>
      <c r="BK373" s="56"/>
      <c r="BN373" s="55">
        <f t="shared" si="2502"/>
        <v>46339</v>
      </c>
      <c r="BO373" s="56"/>
      <c r="BP373" s="64">
        <f>SUMPRODUCT(PRODUCE!$B368:$DY368,PRODUCE!$EB$14:$IY$14)</f>
        <v>0</v>
      </c>
      <c r="BQ373" s="56"/>
      <c r="BR373" s="64">
        <f t="shared" si="2503"/>
        <v>0</v>
      </c>
      <c r="BS373" s="64">
        <f t="shared" si="2504"/>
        <v>0</v>
      </c>
      <c r="BT373" s="56"/>
      <c r="BW373" s="55">
        <f t="shared" si="2505"/>
        <v>46339</v>
      </c>
      <c r="BX373" s="56"/>
      <c r="BY373" s="65">
        <f>SUMPRODUCT(PRODUCE!$B368:$DY368,PRODUCE!$EB$15:$IY$15)</f>
        <v>0</v>
      </c>
      <c r="BZ373" s="56"/>
      <c r="CA373" s="65">
        <f t="shared" si="2506"/>
        <v>0</v>
      </c>
      <c r="CB373" s="65">
        <f t="shared" si="2507"/>
        <v>2097.3399999999992</v>
      </c>
      <c r="CC373" s="56"/>
      <c r="CF373" s="55">
        <f t="shared" si="2508"/>
        <v>46339</v>
      </c>
      <c r="CG373" s="56"/>
      <c r="CH373" s="66">
        <f>SUMPRODUCT(PRODUCE!$B368:$DY368,PRODUCE!$EB$16:$IY$16)</f>
        <v>0</v>
      </c>
      <c r="CI373" s="56"/>
      <c r="CJ373" s="66">
        <f t="shared" si="2509"/>
        <v>0</v>
      </c>
      <c r="CK373" s="66">
        <f t="shared" si="2510"/>
        <v>-10277.079999999998</v>
      </c>
      <c r="CL373" s="56"/>
      <c r="CO373" s="55">
        <f t="shared" si="2511"/>
        <v>46339</v>
      </c>
      <c r="CP373" s="422"/>
      <c r="CQ373" s="470">
        <f>SUMPRODUCT(PRODUCE!$B368:$DY368,PRODUCE!$EB$17:$IY$17)</f>
        <v>0</v>
      </c>
      <c r="CR373" s="422"/>
      <c r="CS373" s="470">
        <f t="shared" si="2512"/>
        <v>0</v>
      </c>
      <c r="CT373" s="470">
        <f t="shared" si="2513"/>
        <v>0</v>
      </c>
      <c r="CU373" s="56"/>
      <c r="CX373" s="55">
        <f t="shared" si="2514"/>
        <v>46339</v>
      </c>
      <c r="CY373" s="56"/>
      <c r="CZ373" s="133">
        <f>SUMPRODUCT(PRODUCE!$B368:$DY368,PRODUCE!$EB$18:$IY$18)</f>
        <v>0</v>
      </c>
      <c r="DA373" s="56"/>
      <c r="DB373" s="133">
        <f t="shared" si="2515"/>
        <v>0</v>
      </c>
      <c r="DC373" s="133">
        <f t="shared" si="2516"/>
        <v>27438.200000000012</v>
      </c>
      <c r="DD373" s="56"/>
      <c r="DG373" s="55">
        <f t="shared" si="2517"/>
        <v>46339</v>
      </c>
      <c r="DH373" s="56"/>
      <c r="DI373" s="147">
        <f>SUMPRODUCT(PRODUCE!$B368:$DY368,PRODUCE!$EB$19:$IY$19)</f>
        <v>0</v>
      </c>
      <c r="DJ373" s="56"/>
      <c r="DK373" s="147">
        <f t="shared" si="2518"/>
        <v>0</v>
      </c>
      <c r="DL373" s="147">
        <f t="shared" si="2519"/>
        <v>18782.299999999981</v>
      </c>
      <c r="DM373" s="56"/>
      <c r="DP373" s="55">
        <f t="shared" si="2520"/>
        <v>46339</v>
      </c>
      <c r="DQ373" s="56"/>
      <c r="DR373" s="57">
        <f>SUMPRODUCT(PRODUCE!$B368:$DY368,PRODUCE!$EB$20:$IY$20)</f>
        <v>0</v>
      </c>
      <c r="DS373" s="56"/>
      <c r="DT373" s="57">
        <f t="shared" si="2521"/>
        <v>0</v>
      </c>
      <c r="DU373" s="57">
        <f t="shared" si="2522"/>
        <v>5800</v>
      </c>
      <c r="DV373" s="56"/>
      <c r="DY373" s="55">
        <f t="shared" si="2523"/>
        <v>46339</v>
      </c>
      <c r="DZ373" s="56"/>
      <c r="EA373" s="157">
        <f>SUMPRODUCT(PRODUCE!$B368:$DY368,PRODUCE!$EB$21:$IY$21)</f>
        <v>0</v>
      </c>
      <c r="EB373" s="56"/>
      <c r="EC373" s="157">
        <f t="shared" si="2524"/>
        <v>0</v>
      </c>
      <c r="ED373" s="157">
        <f t="shared" si="2525"/>
        <v>0</v>
      </c>
      <c r="EE373" s="56"/>
      <c r="EH373" s="55">
        <f t="shared" si="2526"/>
        <v>46339</v>
      </c>
      <c r="EI373" s="56"/>
      <c r="EJ373" s="162">
        <f>SUMPRODUCT(PRODUCE!$B368:$DY368,PRODUCE!$EB$22:$IY$22)</f>
        <v>0</v>
      </c>
      <c r="EK373" s="56"/>
      <c r="EL373" s="162">
        <f t="shared" si="2527"/>
        <v>0</v>
      </c>
      <c r="EM373" s="162">
        <f t="shared" si="2528"/>
        <v>0</v>
      </c>
      <c r="EN373" s="56"/>
      <c r="EQ373" s="55">
        <f t="shared" si="2529"/>
        <v>46339</v>
      </c>
      <c r="ER373" s="56"/>
      <c r="ES373" s="135">
        <f>SUMPRODUCT(PRODUCE!$B368:$DY368,PRODUCE!$EB$23:$IY$23)</f>
        <v>0</v>
      </c>
      <c r="ET373" s="56"/>
      <c r="EU373" s="135">
        <f t="shared" si="2530"/>
        <v>0</v>
      </c>
      <c r="EV373" s="135">
        <f t="shared" si="2531"/>
        <v>0</v>
      </c>
      <c r="EW373" s="56"/>
      <c r="EZ373" s="55">
        <f t="shared" si="2532"/>
        <v>46339</v>
      </c>
      <c r="FA373" s="56"/>
      <c r="FB373" s="175">
        <f>SUMPRODUCT(PRODUCE!$B368:$DY368,PRODUCE!$EB$24:$IY$24)</f>
        <v>0</v>
      </c>
      <c r="FC373" s="56"/>
      <c r="FD373" s="175">
        <f t="shared" si="2533"/>
        <v>0</v>
      </c>
      <c r="FE373" s="175">
        <f t="shared" si="2534"/>
        <v>0</v>
      </c>
      <c r="FF373" s="56"/>
      <c r="FI373" s="55">
        <f t="shared" si="2535"/>
        <v>46339</v>
      </c>
      <c r="FJ373" s="56"/>
      <c r="FK373" s="183">
        <f>SUMPRODUCT(PRODUCE!$B368:$DY368,PRODUCE!$EB$25:$IY$25)</f>
        <v>0</v>
      </c>
      <c r="FL373" s="56"/>
      <c r="FM373" s="183">
        <f t="shared" si="2536"/>
        <v>0</v>
      </c>
      <c r="FN373" s="183">
        <f t="shared" si="2537"/>
        <v>0</v>
      </c>
      <c r="FO373" s="56"/>
      <c r="FR373" s="55">
        <f t="shared" si="2538"/>
        <v>46339</v>
      </c>
      <c r="FS373" s="56"/>
      <c r="FT373" s="186">
        <f>SUMPRODUCT(PRODUCE!$B368:$DY368,PRODUCE!$EB$26:$IY$26)</f>
        <v>0</v>
      </c>
      <c r="FU373" s="56"/>
      <c r="FV373" s="186">
        <f t="shared" si="2539"/>
        <v>0</v>
      </c>
      <c r="FW373" s="186">
        <f t="shared" si="2540"/>
        <v>2020</v>
      </c>
      <c r="FX373" s="56"/>
      <c r="GA373" s="55">
        <f t="shared" si="2541"/>
        <v>46339</v>
      </c>
      <c r="GB373" s="56"/>
      <c r="GC373" s="137">
        <f>SUMPRODUCT(PRODUCE!$B368:$DY368,PRODUCE!$EB$27:$IY$27)</f>
        <v>0</v>
      </c>
      <c r="GD373" s="56"/>
      <c r="GE373" s="137">
        <f t="shared" si="2542"/>
        <v>0</v>
      </c>
      <c r="GF373" s="137">
        <f t="shared" si="2543"/>
        <v>960</v>
      </c>
      <c r="GG373" s="56"/>
      <c r="GI373" s="23"/>
      <c r="GJ373" s="55">
        <f t="shared" si="2544"/>
        <v>46339</v>
      </c>
      <c r="GK373" s="56"/>
      <c r="GL373" s="199">
        <f>SUMPRODUCT(PRODUCE!$B368:$DY368,PRODUCE!$EB$28:$IY$28)</f>
        <v>0</v>
      </c>
      <c r="GM373" s="56"/>
      <c r="GN373" s="199">
        <f t="shared" si="2545"/>
        <v>0</v>
      </c>
      <c r="GO373" s="199">
        <f t="shared" si="2546"/>
        <v>1760</v>
      </c>
      <c r="GP373" s="56"/>
      <c r="GS373" s="55">
        <f t="shared" si="2547"/>
        <v>46339</v>
      </c>
      <c r="GT373" s="56"/>
      <c r="GU373" s="195">
        <f>SUMPRODUCT(PRODUCE!$B368:$DY368,PRODUCE!$EB$29:$IY$29)</f>
        <v>0</v>
      </c>
      <c r="GV373" s="56"/>
      <c r="GW373" s="195">
        <f t="shared" si="2548"/>
        <v>0</v>
      </c>
      <c r="GX373" s="195">
        <f t="shared" si="2549"/>
        <v>400</v>
      </c>
      <c r="GY373" s="56"/>
      <c r="HB373" s="55">
        <f t="shared" si="2550"/>
        <v>46339</v>
      </c>
      <c r="HC373" s="56"/>
      <c r="HD373" s="191">
        <f>SUMPRODUCT(PRODUCE!$B368:$DY368,PRODUCE!$EB$30:$IY$30)</f>
        <v>0</v>
      </c>
      <c r="HE373" s="56"/>
      <c r="HF373" s="191">
        <f t="shared" si="2551"/>
        <v>0</v>
      </c>
      <c r="HG373" s="191">
        <f t="shared" si="2552"/>
        <v>3600</v>
      </c>
      <c r="HH373" s="56"/>
      <c r="HK373" s="55">
        <f t="shared" si="2553"/>
        <v>46339</v>
      </c>
      <c r="HL373" s="56"/>
      <c r="HM373" s="63">
        <f>SUMPRODUCT(PRODUCE!$B368:$DY368,PRODUCE!$EB$31:$IY$31)</f>
        <v>0</v>
      </c>
      <c r="HN373" s="56"/>
      <c r="HO373" s="63">
        <f t="shared" si="2554"/>
        <v>0</v>
      </c>
      <c r="HP373" s="63">
        <f t="shared" si="2555"/>
        <v>0</v>
      </c>
      <c r="HQ373" s="56"/>
      <c r="HU373" s="55">
        <f t="shared" si="2556"/>
        <v>46339</v>
      </c>
      <c r="HV373" s="56"/>
      <c r="HW373" s="242">
        <f>SUMPRODUCT(PRODUCE!$B368:$DY368,PRODUCE!$EB$32:$IY$32)</f>
        <v>0</v>
      </c>
      <c r="HX373" s="56"/>
      <c r="HY373" s="242">
        <f t="shared" si="2557"/>
        <v>0</v>
      </c>
      <c r="HZ373" s="242">
        <f t="shared" si="2558"/>
        <v>6120</v>
      </c>
      <c r="IA373" s="56"/>
      <c r="ID373" s="55">
        <f t="shared" si="2559"/>
        <v>46339</v>
      </c>
      <c r="IE373" s="56"/>
      <c r="IF373" s="242">
        <f>SUMPRODUCT(PRODUCE!$B368:$DY368,PRODUCE!$EB$33:$IY$33)</f>
        <v>0</v>
      </c>
      <c r="IG373" s="56"/>
      <c r="IH373" s="242">
        <f t="shared" si="2560"/>
        <v>0</v>
      </c>
      <c r="II373" s="242">
        <f t="shared" si="2561"/>
        <v>0</v>
      </c>
      <c r="IJ373" s="56"/>
      <c r="IM373" s="55">
        <f t="shared" si="2562"/>
        <v>46339</v>
      </c>
      <c r="IN373" s="56"/>
      <c r="IO373" s="242">
        <f>SUMPRODUCT(PRODUCE!$B368:$DY368,PRODUCE!$EB$34:$IY$34)</f>
        <v>0</v>
      </c>
      <c r="IP373" s="56"/>
      <c r="IQ373" s="242">
        <f t="shared" si="2563"/>
        <v>0</v>
      </c>
      <c r="IR373" s="242">
        <f t="shared" si="2564"/>
        <v>0</v>
      </c>
      <c r="IS373" s="56"/>
      <c r="IV373" s="55">
        <f t="shared" si="2565"/>
        <v>46339</v>
      </c>
      <c r="IW373" s="56"/>
      <c r="IX373" s="242">
        <f>SUMPRODUCT(PRODUCE!$B368:$DY368,PRODUCE!$EB$35:$IY$35)</f>
        <v>0</v>
      </c>
      <c r="IY373" s="56"/>
      <c r="IZ373" s="242">
        <f t="shared" si="2566"/>
        <v>0</v>
      </c>
      <c r="JA373" s="242">
        <f t="shared" si="2567"/>
        <v>2820</v>
      </c>
      <c r="JB373" s="56"/>
      <c r="JE373" s="55">
        <f t="shared" si="2568"/>
        <v>46339</v>
      </c>
      <c r="JF373" s="56"/>
      <c r="JG373" s="242">
        <f>SUMPRODUCT(PRODUCE!$B368:$DY368,PRODUCE!$EB$36:$IY$36)</f>
        <v>0</v>
      </c>
      <c r="JH373" s="56"/>
      <c r="JI373" s="242">
        <f t="shared" si="2569"/>
        <v>0</v>
      </c>
      <c r="JJ373" s="242">
        <f t="shared" si="2570"/>
        <v>0</v>
      </c>
      <c r="JK373" s="56"/>
      <c r="JN373" s="55">
        <f t="shared" si="2571"/>
        <v>46339</v>
      </c>
      <c r="JO373" s="56"/>
      <c r="JP373" s="242">
        <f>SUMPRODUCT(PRODUCE!$B368:$DY368,PRODUCE!$EB$37:$IY$37)</f>
        <v>0</v>
      </c>
      <c r="JQ373" s="56"/>
      <c r="JR373" s="242">
        <f t="shared" si="2572"/>
        <v>0</v>
      </c>
      <c r="JS373" s="242">
        <f t="shared" si="2573"/>
        <v>0</v>
      </c>
      <c r="JT373" s="56"/>
      <c r="JW373" s="55">
        <f t="shared" si="2574"/>
        <v>46339</v>
      </c>
      <c r="JX373" s="56"/>
      <c r="JY373" s="242">
        <f>SUMPRODUCT(PRODUCE!$B368:$DY368,PRODUCE!$EB$38:$IY$38)</f>
        <v>0</v>
      </c>
      <c r="JZ373" s="56"/>
      <c r="KA373" s="242">
        <f t="shared" si="2575"/>
        <v>0</v>
      </c>
      <c r="KB373" s="242">
        <f t="shared" si="2576"/>
        <v>2540</v>
      </c>
      <c r="KC373" s="56"/>
      <c r="KF373" s="55">
        <f t="shared" si="2577"/>
        <v>46339</v>
      </c>
      <c r="KG373" s="56"/>
      <c r="KH373" s="242">
        <f>SUMPRODUCT(PRODUCE!$B368:$DY368,PRODUCE!$EB$39:$IY$39)</f>
        <v>0</v>
      </c>
      <c r="KI373" s="56"/>
      <c r="KJ373" s="242">
        <f t="shared" si="2578"/>
        <v>0</v>
      </c>
      <c r="KK373" s="242">
        <f t="shared" si="2579"/>
        <v>2359.5</v>
      </c>
      <c r="KL373" s="56"/>
      <c r="KO373" s="55">
        <f t="shared" si="2580"/>
        <v>46339</v>
      </c>
      <c r="KP373" s="56"/>
      <c r="KQ373" s="242">
        <f>SUMPRODUCT(PRODUCE!$B368:$DY368,PRODUCE!$EB$40:$IY$40)</f>
        <v>0</v>
      </c>
      <c r="KR373" s="56"/>
      <c r="KS373" s="242">
        <f t="shared" si="2581"/>
        <v>0</v>
      </c>
      <c r="KT373" s="242">
        <f t="shared" si="2582"/>
        <v>1890</v>
      </c>
      <c r="KU373" s="56"/>
      <c r="KW373" s="23"/>
      <c r="KX373" s="55">
        <f t="shared" si="2583"/>
        <v>46339</v>
      </c>
      <c r="KY373" s="56"/>
      <c r="KZ373" s="242">
        <f>SUMPRODUCT(PRODUCE!$B368:$DY368,PRODUCE!$EB$41:$IY$41)</f>
        <v>0</v>
      </c>
      <c r="LA373" s="56"/>
      <c r="LB373" s="242">
        <f t="shared" si="2584"/>
        <v>0</v>
      </c>
      <c r="LC373" s="242">
        <f t="shared" si="2585"/>
        <v>3690</v>
      </c>
      <c r="LD373" s="56"/>
      <c r="LG373" s="55">
        <f t="shared" si="2586"/>
        <v>46339</v>
      </c>
      <c r="LH373" s="56"/>
      <c r="LI373" s="242">
        <f>SUMPRODUCT(PRODUCE!$B368:$DY368,PRODUCE!$EB$42:$IY$42)</f>
        <v>0</v>
      </c>
      <c r="LJ373" s="56"/>
      <c r="LK373" s="242">
        <f t="shared" si="2587"/>
        <v>0</v>
      </c>
      <c r="LL373" s="242">
        <f t="shared" si="2588"/>
        <v>4000</v>
      </c>
      <c r="LM373" s="56"/>
      <c r="LP373" s="55">
        <f t="shared" si="2589"/>
        <v>46339</v>
      </c>
      <c r="LQ373" s="56"/>
      <c r="LR373" s="242">
        <f>SUMPRODUCT(PRODUCE!$B388:$DY388,PRODUCE!$EB$43:$IY$43)</f>
        <v>0</v>
      </c>
      <c r="LS373" s="56"/>
      <c r="LT373" s="242">
        <f t="shared" si="2590"/>
        <v>0</v>
      </c>
      <c r="LU373" s="242">
        <f t="shared" si="2591"/>
        <v>0</v>
      </c>
      <c r="LV373" s="56"/>
      <c r="LY373" s="55">
        <f t="shared" si="2592"/>
        <v>46339</v>
      </c>
      <c r="LZ373" s="56"/>
      <c r="MA373" s="242">
        <f>SUMPRODUCT(PRODUCE!$B368:$DY368,PRODUCE!$EB$44:$IY$44)</f>
        <v>0</v>
      </c>
      <c r="MB373" s="56"/>
      <c r="MC373" s="242">
        <f t="shared" si="2593"/>
        <v>0</v>
      </c>
      <c r="MD373" s="242">
        <f t="shared" si="2594"/>
        <v>0</v>
      </c>
      <c r="ME373" s="56"/>
      <c r="MH373" s="55">
        <f t="shared" si="2595"/>
        <v>46339</v>
      </c>
      <c r="MI373" s="56"/>
      <c r="MJ373" s="242">
        <f>SUMPRODUCT(PRODUCE!$B368:$DY368,PRODUCE!$EB$45:$IY$45)</f>
        <v>0</v>
      </c>
      <c r="MK373" s="56"/>
      <c r="ML373" s="242">
        <f t="shared" si="2596"/>
        <v>0</v>
      </c>
      <c r="MM373" s="242">
        <f t="shared" si="2597"/>
        <v>0</v>
      </c>
      <c r="MN373" s="56"/>
      <c r="MQ373" s="55">
        <f t="shared" si="2598"/>
        <v>46339</v>
      </c>
      <c r="MR373" s="56"/>
      <c r="MS373" s="242">
        <f>SUMPRODUCT(PRODUCE!$B368:$DY368,PRODUCE!$EB$46:$IY$46)</f>
        <v>0</v>
      </c>
      <c r="MT373" s="56"/>
      <c r="MU373" s="242">
        <f t="shared" si="2599"/>
        <v>0</v>
      </c>
      <c r="MV373" s="242">
        <f t="shared" si="2600"/>
        <v>1625</v>
      </c>
      <c r="MW373" s="56"/>
      <c r="MZ373" s="55">
        <f t="shared" si="2601"/>
        <v>46339</v>
      </c>
      <c r="NA373" s="56"/>
      <c r="NB373" s="242">
        <f>SUMPRODUCT(PRODUCE!$B368:$DY368,PRODUCE!$EB$47:$IY$47)</f>
        <v>0</v>
      </c>
      <c r="NC373" s="56"/>
      <c r="ND373" s="242">
        <f t="shared" si="2602"/>
        <v>0</v>
      </c>
      <c r="NE373" s="242">
        <f t="shared" si="2603"/>
        <v>0</v>
      </c>
      <c r="NF373" s="56"/>
      <c r="NI373" s="55">
        <f t="shared" si="2604"/>
        <v>46339</v>
      </c>
      <c r="NJ373" s="56"/>
      <c r="NK373" s="242">
        <f>SUMPRODUCT(PRODUCE!$B368:$DY368,PRODUCE!$EB$48:$IY$48)</f>
        <v>0</v>
      </c>
      <c r="NL373" s="56"/>
      <c r="NM373" s="242">
        <f t="shared" si="2605"/>
        <v>0</v>
      </c>
      <c r="NN373" s="242">
        <f t="shared" si="2606"/>
        <v>1127</v>
      </c>
      <c r="NO373" s="56"/>
      <c r="NR373" s="55">
        <f t="shared" si="2607"/>
        <v>46339</v>
      </c>
      <c r="NS373" s="56"/>
      <c r="NT373" s="242">
        <f>SUMPRODUCT(PRODUCE!$B368:$DY368,PRODUCE!$EB$49:$IY$49)</f>
        <v>0</v>
      </c>
      <c r="NU373" s="56"/>
      <c r="NV373" s="242">
        <f t="shared" si="2608"/>
        <v>0</v>
      </c>
      <c r="NW373" s="242">
        <f t="shared" si="2609"/>
        <v>3111.9999999999995</v>
      </c>
      <c r="NX373" s="56"/>
      <c r="OA373" s="55">
        <f t="shared" si="2610"/>
        <v>46339</v>
      </c>
      <c r="OB373" s="56"/>
      <c r="OC373" s="242">
        <f>SUMPRODUCT(PRODUCE!$B368:$DY368,PRODUCE!$EB$50:$IY$50)</f>
        <v>0</v>
      </c>
      <c r="OD373" s="56"/>
      <c r="OE373" s="242">
        <f t="shared" si="2611"/>
        <v>0</v>
      </c>
      <c r="OF373" s="242">
        <f t="shared" si="2612"/>
        <v>1680.5</v>
      </c>
      <c r="OG373" s="56"/>
      <c r="OJ373" s="55">
        <f t="shared" si="2613"/>
        <v>46339</v>
      </c>
      <c r="OK373" s="56"/>
      <c r="OL373" s="242">
        <f>SUMPRODUCT(PRODUCE!$B368:$DY368,PRODUCE!$EB$51:$IY$51)</f>
        <v>0</v>
      </c>
      <c r="OM373" s="56"/>
      <c r="ON373" s="242">
        <f t="shared" si="2614"/>
        <v>0</v>
      </c>
      <c r="OO373" s="242">
        <f t="shared" si="2615"/>
        <v>0</v>
      </c>
      <c r="OP373" s="56"/>
      <c r="OS373" s="55">
        <f t="shared" si="2616"/>
        <v>46339</v>
      </c>
      <c r="OT373" s="56"/>
      <c r="OU373" s="242">
        <f>SUMPRODUCT(PRODUCE!$B368:$DY368,PRODUCE!$EB$52:$IY$52)</f>
        <v>0</v>
      </c>
      <c r="OV373" s="56"/>
      <c r="OW373" s="242">
        <f t="shared" si="2617"/>
        <v>0</v>
      </c>
      <c r="OX373" s="242">
        <f t="shared" si="2618"/>
        <v>1482</v>
      </c>
      <c r="OY373" s="56"/>
      <c r="PB373" s="55">
        <f t="shared" si="2619"/>
        <v>46339</v>
      </c>
      <c r="PC373" s="56"/>
      <c r="PD373" s="242">
        <f>SUMPRODUCT(PRODUCE!$B368:$DY368,PRODUCE!$EB$53:$IY$53)</f>
        <v>0</v>
      </c>
      <c r="PE373" s="56"/>
      <c r="PF373" s="242">
        <f t="shared" si="2620"/>
        <v>0</v>
      </c>
      <c r="PG373" s="242">
        <f t="shared" si="2621"/>
        <v>0</v>
      </c>
      <c r="PH373" s="56"/>
      <c r="PK373" s="55">
        <f t="shared" si="2622"/>
        <v>46339</v>
      </c>
      <c r="PL373" s="56"/>
      <c r="PM373" s="242">
        <f>SUMPRODUCT(PRODUCE!$B368:$DY368,PRODUCE!$EB$54:$IY$54)</f>
        <v>0</v>
      </c>
      <c r="PN373" s="56"/>
      <c r="PO373" s="242">
        <f t="shared" si="2623"/>
        <v>0</v>
      </c>
      <c r="PP373" s="242">
        <f t="shared" si="2624"/>
        <v>100</v>
      </c>
      <c r="PQ373" s="56"/>
      <c r="PT373" s="55">
        <f t="shared" si="2625"/>
        <v>46339</v>
      </c>
      <c r="PU373" s="56"/>
      <c r="PV373" s="242">
        <f>SUMPRODUCT(PRODUCE!$B368:$DY368,PRODUCE!$EB$55:$IY$55)</f>
        <v>0</v>
      </c>
      <c r="PW373" s="56"/>
      <c r="PX373" s="242">
        <f t="shared" si="2626"/>
        <v>0</v>
      </c>
      <c r="PY373" s="242">
        <f t="shared" si="2627"/>
        <v>13.960000000000036</v>
      </c>
      <c r="PZ373" s="56"/>
      <c r="QC373" s="55">
        <f t="shared" si="2628"/>
        <v>46339</v>
      </c>
      <c r="QD373" s="56"/>
      <c r="QE373" s="242">
        <f>SUMPRODUCT(PRODUCE!$B368:$DY368,PRODUCE!$EB$56:$IY$56)</f>
        <v>0</v>
      </c>
      <c r="QF373" s="56"/>
      <c r="QG373" s="242">
        <f t="shared" si="2629"/>
        <v>0</v>
      </c>
      <c r="QH373" s="242">
        <f t="shared" si="2630"/>
        <v>548</v>
      </c>
      <c r="QI373" s="56"/>
      <c r="QL373" s="55">
        <f t="shared" si="2631"/>
        <v>46339</v>
      </c>
      <c r="QM373" s="56"/>
      <c r="QN373" s="242">
        <f>SUMPRODUCT(PRODUCE!$B368:$DY368,PRODUCE!$EB$57:$IY$57)</f>
        <v>0</v>
      </c>
      <c r="QO373" s="56"/>
      <c r="QP373" s="242">
        <f t="shared" si="2632"/>
        <v>0</v>
      </c>
      <c r="QQ373" s="242">
        <f t="shared" si="2633"/>
        <v>0</v>
      </c>
      <c r="QR373" s="56"/>
      <c r="QU373" s="55">
        <f t="shared" si="2634"/>
        <v>46339</v>
      </c>
      <c r="QV373" s="56"/>
      <c r="QW373" s="242">
        <f>SUMPRODUCT(PRODUCE!$B368:$DY368,PRODUCE!$EB$57:$IY$57)</f>
        <v>0</v>
      </c>
      <c r="QX373" s="56"/>
      <c r="QY373" s="242">
        <f t="shared" si="2635"/>
        <v>0</v>
      </c>
      <c r="QZ373" s="242">
        <f t="shared" si="2636"/>
        <v>0</v>
      </c>
      <c r="RA373" s="56"/>
      <c r="RD373" s="55">
        <f t="shared" si="2637"/>
        <v>46339</v>
      </c>
      <c r="RE373" s="56"/>
      <c r="RF373" s="242">
        <f>SUMPRODUCT(PRODUCE!$B368:$DY368,PRODUCE!$EB$58:$IY$58)</f>
        <v>0</v>
      </c>
      <c r="RG373" s="56"/>
      <c r="RH373" s="242">
        <f t="shared" si="2638"/>
        <v>0</v>
      </c>
      <c r="RI373" s="242">
        <f t="shared" si="2639"/>
        <v>147.04000000000002</v>
      </c>
      <c r="RJ373" s="56"/>
      <c r="RM373" s="55">
        <f t="shared" si="2640"/>
        <v>46339</v>
      </c>
      <c r="RN373" s="56"/>
      <c r="RO373" s="242">
        <f>SUMPRODUCT(PRODUCE!$B368:$DY368,PRODUCE!$EB$57:$IY$57)</f>
        <v>0</v>
      </c>
      <c r="RP373" s="56"/>
      <c r="RQ373" s="242">
        <f t="shared" si="2641"/>
        <v>0</v>
      </c>
      <c r="RR373" s="242">
        <f t="shared" si="2642"/>
        <v>46.8</v>
      </c>
      <c r="RS373" s="56"/>
      <c r="RV373" s="55">
        <f t="shared" si="2643"/>
        <v>46339</v>
      </c>
      <c r="RW373" s="56"/>
      <c r="RX373" s="242">
        <f>SUMPRODUCT(PRODUCE!$B368:$DY368,PRODUCE!$EB$57:$IY$57)</f>
        <v>0</v>
      </c>
      <c r="RY373" s="56"/>
      <c r="RZ373" s="242">
        <f t="shared" si="2644"/>
        <v>0</v>
      </c>
      <c r="SA373" s="242">
        <f t="shared" si="2645"/>
        <v>0</v>
      </c>
      <c r="SB373" s="56"/>
      <c r="SE373" s="55">
        <f t="shared" si="2646"/>
        <v>46339</v>
      </c>
      <c r="SF373" s="56"/>
      <c r="SG373" s="242">
        <f>SUMPRODUCT(PRODUCE!$B368:$DY368,PRODUCE!$EB$61:$IY$61)</f>
        <v>0</v>
      </c>
      <c r="SH373" s="56"/>
      <c r="SI373" s="242">
        <f t="shared" si="2647"/>
        <v>0</v>
      </c>
      <c r="SJ373" s="242">
        <f t="shared" si="2648"/>
        <v>24.200000000000003</v>
      </c>
      <c r="SK373" s="56"/>
      <c r="SN373" s="55">
        <f t="shared" si="2649"/>
        <v>46339</v>
      </c>
      <c r="SO373" s="56"/>
      <c r="SP373" s="242">
        <f>SUMPRODUCT(PRODUCE!$B368:$DY368,PRODUCE!$EB$57:$IY$57)</f>
        <v>0</v>
      </c>
      <c r="SQ373" s="56"/>
      <c r="SR373" s="242">
        <f t="shared" si="2650"/>
        <v>0</v>
      </c>
      <c r="SS373" s="242">
        <f t="shared" si="2651"/>
        <v>32</v>
      </c>
      <c r="ST373" s="56"/>
      <c r="SW373" s="55">
        <f t="shared" si="2652"/>
        <v>46339</v>
      </c>
      <c r="SX373" s="56"/>
      <c r="SY373" s="242">
        <f>SUMPRODUCT(PRODUCE!$B368:$DY368,PRODUCE!$EB$57:$IY$57)</f>
        <v>0</v>
      </c>
      <c r="SZ373" s="56"/>
      <c r="TA373" s="242">
        <f t="shared" si="2653"/>
        <v>0</v>
      </c>
      <c r="TB373" s="242">
        <f t="shared" si="2654"/>
        <v>0</v>
      </c>
      <c r="TC373" s="56"/>
      <c r="TF373" s="55">
        <f t="shared" si="2655"/>
        <v>46339</v>
      </c>
      <c r="TG373" s="56"/>
      <c r="TH373" s="242">
        <f>SUMPRODUCT(PRODUCE!$B368:$DY368,PRODUCE!$EB$57:$IY$57)</f>
        <v>0</v>
      </c>
      <c r="TI373" s="56"/>
      <c r="TJ373" s="242">
        <f t="shared" si="2656"/>
        <v>0</v>
      </c>
      <c r="TK373" s="242">
        <f t="shared" si="2657"/>
        <v>0</v>
      </c>
      <c r="TL373" s="56"/>
      <c r="TO373" s="55">
        <f t="shared" si="2658"/>
        <v>46339</v>
      </c>
      <c r="TP373" s="56"/>
      <c r="TQ373" s="242">
        <f>SUMPRODUCT(PRODUCE!$B368:$DY368,PRODUCE!$EB$57:$IY$57)</f>
        <v>0</v>
      </c>
      <c r="TR373" s="56"/>
      <c r="TS373" s="242">
        <f t="shared" si="2659"/>
        <v>0</v>
      </c>
      <c r="TT373" s="242">
        <f t="shared" si="2660"/>
        <v>0</v>
      </c>
      <c r="TU373" s="56"/>
      <c r="TX373" s="55">
        <f t="shared" si="2661"/>
        <v>46339</v>
      </c>
      <c r="TY373" s="56"/>
      <c r="TZ373" s="242">
        <f>SUMPRODUCT(PRODUCE!$B368:$DY368,PRODUCE!$EB$57:$IY$57)</f>
        <v>0</v>
      </c>
      <c r="UA373" s="56"/>
      <c r="UB373" s="242">
        <f t="shared" si="2662"/>
        <v>0</v>
      </c>
      <c r="UC373" s="242">
        <f t="shared" si="2663"/>
        <v>46.799999999999983</v>
      </c>
      <c r="UD373" s="56"/>
      <c r="UG373" s="55">
        <f t="shared" si="2664"/>
        <v>46339</v>
      </c>
      <c r="UH373" s="56"/>
      <c r="UI373" s="242">
        <f>SUMPRODUCT(PRODUCE!$B368:$DY368,PRODUCE!$EB$57:$IY$57)</f>
        <v>0</v>
      </c>
      <c r="UJ373" s="56"/>
      <c r="UK373" s="242">
        <f t="shared" si="2665"/>
        <v>0</v>
      </c>
      <c r="UL373" s="242">
        <f t="shared" si="2666"/>
        <v>204</v>
      </c>
      <c r="UM373" s="56"/>
      <c r="UP373" s="55">
        <f t="shared" si="2667"/>
        <v>46339</v>
      </c>
      <c r="UQ373" s="56"/>
      <c r="UR373" s="242">
        <f>SUMPRODUCT(PRODUCE!$B368:$DY368,PRODUCE!$EB$57:$IY$57)</f>
        <v>0</v>
      </c>
      <c r="US373" s="56"/>
      <c r="UT373" s="242">
        <f t="shared" si="2668"/>
        <v>0</v>
      </c>
      <c r="UU373" s="242">
        <f t="shared" si="2669"/>
        <v>202.5</v>
      </c>
      <c r="UV373" s="56"/>
      <c r="UY373" s="55">
        <f t="shared" si="2670"/>
        <v>46339</v>
      </c>
      <c r="UZ373" s="56"/>
      <c r="VA373" s="242">
        <f>SUMPRODUCT(PRODUCE!$B368:$DY368,PRODUCE!$EB$57:$IY$57)</f>
        <v>0</v>
      </c>
      <c r="VB373" s="56"/>
      <c r="VC373" s="242">
        <f t="shared" si="2671"/>
        <v>0</v>
      </c>
      <c r="VD373" s="242">
        <f t="shared" si="2672"/>
        <v>41.600000000000023</v>
      </c>
      <c r="VE373" s="56"/>
      <c r="VH373" s="55">
        <f t="shared" si="2673"/>
        <v>46339</v>
      </c>
      <c r="VI373" s="56"/>
      <c r="VJ373" s="242">
        <f>SUMPRODUCT(PRODUCE!$B368:$DY368,PRODUCE!$EB$57:$IY$57)</f>
        <v>0</v>
      </c>
      <c r="VK373" s="56"/>
      <c r="VL373" s="242">
        <f t="shared" si="2674"/>
        <v>0</v>
      </c>
      <c r="VM373" s="242">
        <f t="shared" si="2675"/>
        <v>210</v>
      </c>
      <c r="VN373" s="56"/>
      <c r="VQ373" s="55">
        <f t="shared" si="2676"/>
        <v>46339</v>
      </c>
      <c r="VR373" s="56"/>
      <c r="VS373" s="242">
        <f>SUMPRODUCT(PRODUCE!$B368:$DY368,PRODUCE!$EB$57:$IY$57)</f>
        <v>0</v>
      </c>
      <c r="VT373" s="56"/>
      <c r="VU373" s="242">
        <f t="shared" si="2677"/>
        <v>0</v>
      </c>
      <c r="VV373" s="242">
        <f t="shared" si="2678"/>
        <v>0</v>
      </c>
      <c r="VW373" s="56"/>
      <c r="VZ373" s="55">
        <f t="shared" si="2679"/>
        <v>46339</v>
      </c>
      <c r="WA373" s="56"/>
      <c r="WB373" s="242">
        <f>SUMPRODUCT(PRODUCE!$B368:$DY368,PRODUCE!$EB$57:$IY$57)</f>
        <v>0</v>
      </c>
      <c r="WC373" s="56"/>
      <c r="WD373" s="242">
        <f t="shared" si="2680"/>
        <v>0</v>
      </c>
      <c r="WE373" s="242">
        <f t="shared" si="2681"/>
        <v>0</v>
      </c>
      <c r="WF373" s="56"/>
      <c r="WI373" s="55">
        <f t="shared" si="2682"/>
        <v>46339</v>
      </c>
      <c r="WJ373" s="56"/>
      <c r="WK373" s="242">
        <f>SUMPRODUCT(PRODUCE!$B368:$DY368,PRODUCE!$EB$57:$IY$57)</f>
        <v>0</v>
      </c>
      <c r="WL373" s="56"/>
      <c r="WM373" s="242">
        <f t="shared" si="2683"/>
        <v>0</v>
      </c>
      <c r="WN373" s="242">
        <f t="shared" si="2684"/>
        <v>1057</v>
      </c>
      <c r="WO373" s="56"/>
      <c r="WR373" s="55">
        <f t="shared" si="2685"/>
        <v>46339</v>
      </c>
      <c r="WS373" s="56"/>
      <c r="WT373" s="242">
        <f>SUMPRODUCT(PRODUCE!$B368:$DY368,PRODUCE!$EB$57:$IY$57)</f>
        <v>0</v>
      </c>
      <c r="WU373" s="56"/>
      <c r="WV373" s="242">
        <f t="shared" si="2686"/>
        <v>0</v>
      </c>
      <c r="WW373" s="242">
        <f t="shared" si="2687"/>
        <v>0</v>
      </c>
      <c r="WX373" s="56"/>
      <c r="XA373" s="55">
        <f t="shared" si="2688"/>
        <v>46339</v>
      </c>
      <c r="XB373" s="56"/>
      <c r="XC373" s="242">
        <f>SUMPRODUCT(PRODUCE!$B368:$DY368,PRODUCE!$EB$57:$IY$57)</f>
        <v>0</v>
      </c>
      <c r="XD373" s="56"/>
      <c r="XE373" s="242">
        <f t="shared" si="2689"/>
        <v>0</v>
      </c>
      <c r="XF373" s="242">
        <f t="shared" si="2690"/>
        <v>7507</v>
      </c>
      <c r="XG373" s="56"/>
      <c r="XJ373" s="55">
        <f t="shared" si="2691"/>
        <v>46339</v>
      </c>
      <c r="XK373" s="56"/>
      <c r="XL373" s="242">
        <f>SUMPRODUCT(PRODUCE!$B368:$DY368,PRODUCE!$EB$57:$IY$57)</f>
        <v>0</v>
      </c>
      <c r="XM373" s="56"/>
      <c r="XN373" s="242">
        <f t="shared" si="2692"/>
        <v>0</v>
      </c>
      <c r="XO373" s="242">
        <f t="shared" si="2693"/>
        <v>4252</v>
      </c>
      <c r="XP373" s="56"/>
      <c r="XS373" s="55">
        <f t="shared" si="2694"/>
        <v>46339</v>
      </c>
      <c r="XT373" s="56"/>
      <c r="XU373" s="242">
        <f>SUMPRODUCT(PRODUCE!$B368:$DY368,PRODUCE!$EB$57:$IY$57)</f>
        <v>0</v>
      </c>
      <c r="XV373" s="56"/>
      <c r="XW373" s="242">
        <f t="shared" si="2695"/>
        <v>0</v>
      </c>
      <c r="XX373" s="242">
        <f t="shared" si="2696"/>
        <v>2179</v>
      </c>
      <c r="XY373" s="56"/>
      <c r="YB373" s="55">
        <f t="shared" si="2697"/>
        <v>46339</v>
      </c>
      <c r="YC373" s="56"/>
      <c r="YD373" s="242">
        <f>SUMPRODUCT(PRODUCE!$B368:$DY368,PRODUCE!$EB$57:$IY$57)</f>
        <v>0</v>
      </c>
      <c r="YE373" s="56"/>
      <c r="YF373" s="242">
        <f t="shared" si="2698"/>
        <v>0</v>
      </c>
      <c r="YG373" s="242">
        <f t="shared" si="2699"/>
        <v>4019</v>
      </c>
      <c r="YH373" s="56"/>
      <c r="YK373" s="55">
        <f t="shared" si="2700"/>
        <v>46339</v>
      </c>
      <c r="YL373" s="56"/>
      <c r="YM373" s="242">
        <f>SUMPRODUCT(PRODUCE!$B368:$DY368,PRODUCE!$EB$57:$IY$57)</f>
        <v>0</v>
      </c>
      <c r="YN373" s="56"/>
      <c r="YO373" s="242">
        <f t="shared" si="2701"/>
        <v>0</v>
      </c>
      <c r="YP373" s="242">
        <f t="shared" si="2702"/>
        <v>-218</v>
      </c>
      <c r="YQ373" s="56"/>
      <c r="YT373" s="55">
        <f t="shared" si="2703"/>
        <v>46339</v>
      </c>
      <c r="YU373" s="56"/>
      <c r="YV373" s="242">
        <f>SUMPRODUCT(PRODUCE!$B368:$DY368,PRODUCE!$EB$57:$IY$57)</f>
        <v>0</v>
      </c>
      <c r="YW373" s="56"/>
      <c r="YX373" s="242">
        <f t="shared" si="2704"/>
        <v>0</v>
      </c>
      <c r="YY373" s="242">
        <f t="shared" si="2705"/>
        <v>0</v>
      </c>
      <c r="YZ373" s="56"/>
      <c r="ZC373" s="55">
        <f t="shared" si="2706"/>
        <v>46339</v>
      </c>
      <c r="ZD373" s="56"/>
      <c r="ZE373" s="242">
        <f>SUMPRODUCT(PRODUCE!$B368:$DY368,PRODUCE!$EB$57:$IY$57)</f>
        <v>0</v>
      </c>
      <c r="ZF373" s="56"/>
      <c r="ZG373" s="242">
        <f t="shared" si="2707"/>
        <v>0</v>
      </c>
      <c r="ZH373" s="242">
        <f t="shared" si="2708"/>
        <v>0</v>
      </c>
      <c r="ZI373" s="56"/>
      <c r="ZL373" s="55">
        <f t="shared" si="2709"/>
        <v>46339</v>
      </c>
      <c r="ZM373" s="56"/>
      <c r="ZN373" s="242">
        <f>SUMPRODUCT(PRODUCE!$B368:$DY368,PRODUCE!$EB$57:$IY$57)</f>
        <v>0</v>
      </c>
      <c r="ZO373" s="56"/>
      <c r="ZP373" s="242">
        <f t="shared" si="2710"/>
        <v>0</v>
      </c>
      <c r="ZQ373" s="242">
        <f t="shared" si="2711"/>
        <v>0</v>
      </c>
      <c r="ZR373" s="56"/>
      <c r="ZU373" s="55">
        <f t="shared" si="2712"/>
        <v>46339</v>
      </c>
      <c r="ZV373" s="56"/>
      <c r="ZW373" s="242">
        <f>SUMPRODUCT(PRODUCE!$B368:$DY368,PRODUCE!$EB$57:$IY$57)</f>
        <v>0</v>
      </c>
      <c r="ZX373" s="56"/>
      <c r="ZY373" s="242">
        <f t="shared" si="2713"/>
        <v>0</v>
      </c>
      <c r="ZZ373" s="242">
        <f t="shared" si="2714"/>
        <v>0</v>
      </c>
      <c r="AAA373" s="56"/>
      <c r="AAD373" s="55">
        <f t="shared" si="2715"/>
        <v>46339</v>
      </c>
      <c r="AAE373" s="56"/>
      <c r="AAF373" s="242">
        <f>SUMPRODUCT(PRODUCE!$B368:$DY368,PRODUCE!$EB$57:$IY$57)</f>
        <v>0</v>
      </c>
      <c r="AAG373" s="56"/>
      <c r="AAH373" s="242">
        <f t="shared" si="2716"/>
        <v>0</v>
      </c>
      <c r="AAI373" s="242">
        <f t="shared" si="2717"/>
        <v>0</v>
      </c>
      <c r="AAJ373" s="56"/>
      <c r="AAM373" s="55">
        <f t="shared" si="2718"/>
        <v>46339</v>
      </c>
      <c r="AAN373" s="56"/>
      <c r="AAO373" s="242">
        <f>SUMPRODUCT(PRODUCE!$B368:$DY368,PRODUCE!$EB$57:$IY$57)</f>
        <v>0</v>
      </c>
      <c r="AAP373" s="56"/>
      <c r="AAQ373" s="242">
        <f t="shared" si="2719"/>
        <v>0</v>
      </c>
      <c r="AAR373" s="242">
        <f t="shared" si="2720"/>
        <v>0</v>
      </c>
      <c r="AAS373" s="56"/>
      <c r="AAV373" s="55">
        <f t="shared" si="2721"/>
        <v>46339</v>
      </c>
      <c r="AAW373" s="56"/>
      <c r="AAX373" s="242">
        <f>SUMPRODUCT(PRODUCE!$B368:$DY368,PRODUCE!$EB$57:$IY$57)</f>
        <v>0</v>
      </c>
      <c r="AAY373" s="56"/>
      <c r="AAZ373" s="242">
        <f t="shared" si="2722"/>
        <v>0</v>
      </c>
      <c r="ABA373" s="242">
        <f t="shared" si="2723"/>
        <v>0</v>
      </c>
      <c r="ABB373" s="56"/>
      <c r="ABE373" s="55">
        <f t="shared" si="2724"/>
        <v>46339</v>
      </c>
      <c r="ABF373" s="56"/>
      <c r="ABG373" s="242">
        <f>SUMPRODUCT(PRODUCE!$B368:$DY368,PRODUCE!$EB$57:$IY$57)</f>
        <v>0</v>
      </c>
      <c r="ABH373" s="56"/>
      <c r="ABI373" s="242">
        <f t="shared" si="2725"/>
        <v>0</v>
      </c>
      <c r="ABJ373" s="242">
        <f t="shared" si="2726"/>
        <v>0</v>
      </c>
      <c r="ABK373" s="56"/>
    </row>
    <row r="374" spans="2:739" s="54" customFormat="1" ht="15" customHeight="1" outlineLevel="1">
      <c r="B374" s="478"/>
      <c r="C374" s="55">
        <v>46340</v>
      </c>
      <c r="D374" s="56"/>
      <c r="E374" s="57">
        <f>SUMPRODUCT(PRODUCE!$B369:$DY369,PRODUCE!$EB$7:$IY$7)</f>
        <v>0</v>
      </c>
      <c r="F374" s="56"/>
      <c r="G374" s="57">
        <f t="shared" si="2482"/>
        <v>0</v>
      </c>
      <c r="H374" s="57">
        <f t="shared" si="2483"/>
        <v>236936.6</v>
      </c>
      <c r="I374" s="289"/>
      <c r="L374" s="55">
        <f t="shared" si="2484"/>
        <v>46340</v>
      </c>
      <c r="M374" s="56"/>
      <c r="N374" s="59">
        <f>SUMPRODUCT(PRODUCE!$B369:$DY369,PRODUCE!$EB$8:$IY$8)</f>
        <v>0</v>
      </c>
      <c r="O374" s="56"/>
      <c r="P374" s="59">
        <f t="shared" si="2485"/>
        <v>0</v>
      </c>
      <c r="Q374" s="59">
        <f t="shared" si="2486"/>
        <v>53017.600000000071</v>
      </c>
      <c r="R374" s="56"/>
      <c r="U374" s="55">
        <f t="shared" si="2487"/>
        <v>46340</v>
      </c>
      <c r="V374" s="56"/>
      <c r="W374" s="60">
        <f>SUMPRODUCT(PRODUCE!$B369:$DY369,PRODUCE!$EB$9:$IY$9)</f>
        <v>0</v>
      </c>
      <c r="X374" s="56"/>
      <c r="Y374" s="60">
        <f t="shared" si="2488"/>
        <v>0</v>
      </c>
      <c r="Z374" s="60">
        <f t="shared" si="2489"/>
        <v>42674.199999999968</v>
      </c>
      <c r="AA374" s="56"/>
      <c r="AD374" s="55">
        <f t="shared" si="2490"/>
        <v>46340</v>
      </c>
      <c r="AE374" s="56"/>
      <c r="AF374" s="61">
        <f>SUMPRODUCT(PRODUCE!$B369:$DY369,PRODUCE!$EB$10:$IY$10)</f>
        <v>0</v>
      </c>
      <c r="AG374" s="56"/>
      <c r="AH374" s="61">
        <f t="shared" si="2491"/>
        <v>0</v>
      </c>
      <c r="AI374" s="61">
        <f t="shared" si="2492"/>
        <v>4522.2000000000189</v>
      </c>
      <c r="AJ374" s="56"/>
      <c r="AM374" s="55">
        <f t="shared" si="2493"/>
        <v>46340</v>
      </c>
      <c r="AN374" s="422"/>
      <c r="AO374" s="444">
        <f>SUMPRODUCT(PRODUCE!$B369:$DY369,PRODUCE!$EB$11:$IY$11)</f>
        <v>0</v>
      </c>
      <c r="AP374" s="422"/>
      <c r="AQ374" s="444">
        <f t="shared" si="2494"/>
        <v>0</v>
      </c>
      <c r="AR374" s="444">
        <f t="shared" si="2495"/>
        <v>0</v>
      </c>
      <c r="AS374" s="56"/>
      <c r="AV374" s="55">
        <f t="shared" si="2496"/>
        <v>46340</v>
      </c>
      <c r="AW374" s="56"/>
      <c r="AX374" s="62">
        <f>SUMPRODUCT(PRODUCE!$B369:$DY369,PRODUCE!$EB$12:$IY$12)</f>
        <v>0</v>
      </c>
      <c r="AY374" s="56"/>
      <c r="AZ374" s="62">
        <f t="shared" si="2497"/>
        <v>0</v>
      </c>
      <c r="BA374" s="62">
        <f t="shared" si="2498"/>
        <v>124.99999999999523</v>
      </c>
      <c r="BB374" s="56"/>
      <c r="BE374" s="55">
        <f t="shared" si="2499"/>
        <v>46340</v>
      </c>
      <c r="BF374" s="56"/>
      <c r="BG374" s="63">
        <f>SUMPRODUCT(PRODUCE!$B369:$DY369,PRODUCE!$EB$13:$IY$13)</f>
        <v>0</v>
      </c>
      <c r="BH374" s="56"/>
      <c r="BI374" s="63">
        <f t="shared" si="2500"/>
        <v>0</v>
      </c>
      <c r="BJ374" s="63">
        <f t="shared" si="2501"/>
        <v>26151.899999999998</v>
      </c>
      <c r="BK374" s="56"/>
      <c r="BN374" s="55">
        <f t="shared" si="2502"/>
        <v>46340</v>
      </c>
      <c r="BO374" s="56"/>
      <c r="BP374" s="64">
        <f>SUMPRODUCT(PRODUCE!$B369:$DY369,PRODUCE!$EB$14:$IY$14)</f>
        <v>0</v>
      </c>
      <c r="BQ374" s="56"/>
      <c r="BR374" s="64">
        <f t="shared" si="2503"/>
        <v>0</v>
      </c>
      <c r="BS374" s="64">
        <f t="shared" si="2504"/>
        <v>0</v>
      </c>
      <c r="BT374" s="56"/>
      <c r="BW374" s="55">
        <f t="shared" si="2505"/>
        <v>46340</v>
      </c>
      <c r="BX374" s="56"/>
      <c r="BY374" s="65">
        <f>SUMPRODUCT(PRODUCE!$B369:$DY369,PRODUCE!$EB$15:$IY$15)</f>
        <v>0</v>
      </c>
      <c r="BZ374" s="56"/>
      <c r="CA374" s="65">
        <f t="shared" si="2506"/>
        <v>0</v>
      </c>
      <c r="CB374" s="65">
        <f t="shared" si="2507"/>
        <v>2097.3399999999992</v>
      </c>
      <c r="CC374" s="56"/>
      <c r="CF374" s="55">
        <f t="shared" si="2508"/>
        <v>46340</v>
      </c>
      <c r="CG374" s="56"/>
      <c r="CH374" s="66">
        <f>SUMPRODUCT(PRODUCE!$B369:$DY369,PRODUCE!$EB$16:$IY$16)</f>
        <v>0</v>
      </c>
      <c r="CI374" s="56"/>
      <c r="CJ374" s="66">
        <f t="shared" si="2509"/>
        <v>0</v>
      </c>
      <c r="CK374" s="66">
        <f t="shared" si="2510"/>
        <v>-10277.079999999998</v>
      </c>
      <c r="CL374" s="56"/>
      <c r="CO374" s="55">
        <f t="shared" si="2511"/>
        <v>46340</v>
      </c>
      <c r="CP374" s="422"/>
      <c r="CQ374" s="470">
        <f>SUMPRODUCT(PRODUCE!$B369:$DY369,PRODUCE!$EB$17:$IY$17)</f>
        <v>0</v>
      </c>
      <c r="CR374" s="422"/>
      <c r="CS374" s="470">
        <f t="shared" si="2512"/>
        <v>0</v>
      </c>
      <c r="CT374" s="470">
        <f t="shared" si="2513"/>
        <v>0</v>
      </c>
      <c r="CU374" s="56"/>
      <c r="CX374" s="55">
        <f t="shared" si="2514"/>
        <v>46340</v>
      </c>
      <c r="CY374" s="56"/>
      <c r="CZ374" s="133">
        <f>SUMPRODUCT(PRODUCE!$B369:$DY369,PRODUCE!$EB$18:$IY$18)</f>
        <v>0</v>
      </c>
      <c r="DA374" s="56"/>
      <c r="DB374" s="133">
        <f t="shared" si="2515"/>
        <v>0</v>
      </c>
      <c r="DC374" s="133">
        <f t="shared" si="2516"/>
        <v>27438.200000000012</v>
      </c>
      <c r="DD374" s="56"/>
      <c r="DG374" s="55">
        <f t="shared" si="2517"/>
        <v>46340</v>
      </c>
      <c r="DH374" s="56"/>
      <c r="DI374" s="147">
        <f>SUMPRODUCT(PRODUCE!$B369:$DY369,PRODUCE!$EB$19:$IY$19)</f>
        <v>0</v>
      </c>
      <c r="DJ374" s="56"/>
      <c r="DK374" s="147">
        <f t="shared" si="2518"/>
        <v>0</v>
      </c>
      <c r="DL374" s="147">
        <f t="shared" si="2519"/>
        <v>18782.299999999981</v>
      </c>
      <c r="DM374" s="56"/>
      <c r="DP374" s="55">
        <f t="shared" si="2520"/>
        <v>46340</v>
      </c>
      <c r="DQ374" s="56"/>
      <c r="DR374" s="57">
        <f>SUMPRODUCT(PRODUCE!$B369:$DY369,PRODUCE!$EB$20:$IY$20)</f>
        <v>0</v>
      </c>
      <c r="DS374" s="56"/>
      <c r="DT374" s="57">
        <f t="shared" si="2521"/>
        <v>0</v>
      </c>
      <c r="DU374" s="57">
        <f t="shared" si="2522"/>
        <v>5800</v>
      </c>
      <c r="DV374" s="56"/>
      <c r="DY374" s="55">
        <f t="shared" si="2523"/>
        <v>46340</v>
      </c>
      <c r="DZ374" s="56"/>
      <c r="EA374" s="157">
        <f>SUMPRODUCT(PRODUCE!$B369:$DY369,PRODUCE!$EB$21:$IY$21)</f>
        <v>0</v>
      </c>
      <c r="EB374" s="56"/>
      <c r="EC374" s="157">
        <f t="shared" si="2524"/>
        <v>0</v>
      </c>
      <c r="ED374" s="157">
        <f t="shared" si="2525"/>
        <v>0</v>
      </c>
      <c r="EE374" s="56"/>
      <c r="EH374" s="55">
        <f t="shared" si="2526"/>
        <v>46340</v>
      </c>
      <c r="EI374" s="56"/>
      <c r="EJ374" s="162">
        <f>SUMPRODUCT(PRODUCE!$B369:$DY369,PRODUCE!$EB$22:$IY$22)</f>
        <v>0</v>
      </c>
      <c r="EK374" s="56"/>
      <c r="EL374" s="162">
        <f t="shared" si="2527"/>
        <v>0</v>
      </c>
      <c r="EM374" s="162">
        <f t="shared" si="2528"/>
        <v>0</v>
      </c>
      <c r="EN374" s="56"/>
      <c r="EQ374" s="55">
        <f t="shared" si="2529"/>
        <v>46340</v>
      </c>
      <c r="ER374" s="56"/>
      <c r="ES374" s="135">
        <f>SUMPRODUCT(PRODUCE!$B369:$DY369,PRODUCE!$EB$23:$IY$23)</f>
        <v>0</v>
      </c>
      <c r="ET374" s="56"/>
      <c r="EU374" s="135">
        <f t="shared" si="2530"/>
        <v>0</v>
      </c>
      <c r="EV374" s="135">
        <f t="shared" si="2531"/>
        <v>0</v>
      </c>
      <c r="EW374" s="56"/>
      <c r="EZ374" s="55">
        <f t="shared" si="2532"/>
        <v>46340</v>
      </c>
      <c r="FA374" s="56"/>
      <c r="FB374" s="175">
        <f>SUMPRODUCT(PRODUCE!$B369:$DY369,PRODUCE!$EB$24:$IY$24)</f>
        <v>0</v>
      </c>
      <c r="FC374" s="56"/>
      <c r="FD374" s="175">
        <f t="shared" si="2533"/>
        <v>0</v>
      </c>
      <c r="FE374" s="175">
        <f t="shared" si="2534"/>
        <v>0</v>
      </c>
      <c r="FF374" s="56"/>
      <c r="FI374" s="55">
        <f t="shared" si="2535"/>
        <v>46340</v>
      </c>
      <c r="FJ374" s="56"/>
      <c r="FK374" s="183">
        <f>SUMPRODUCT(PRODUCE!$B369:$DY369,PRODUCE!$EB$25:$IY$25)</f>
        <v>0</v>
      </c>
      <c r="FL374" s="56"/>
      <c r="FM374" s="183">
        <f t="shared" si="2536"/>
        <v>0</v>
      </c>
      <c r="FN374" s="183">
        <f t="shared" si="2537"/>
        <v>0</v>
      </c>
      <c r="FO374" s="56"/>
      <c r="FR374" s="55">
        <f t="shared" si="2538"/>
        <v>46340</v>
      </c>
      <c r="FS374" s="56"/>
      <c r="FT374" s="186">
        <f>SUMPRODUCT(PRODUCE!$B369:$DY369,PRODUCE!$EB$26:$IY$26)</f>
        <v>0</v>
      </c>
      <c r="FU374" s="56"/>
      <c r="FV374" s="186">
        <f t="shared" si="2539"/>
        <v>0</v>
      </c>
      <c r="FW374" s="186">
        <f t="shared" si="2540"/>
        <v>2020</v>
      </c>
      <c r="FX374" s="56"/>
      <c r="GA374" s="55">
        <f t="shared" si="2541"/>
        <v>46340</v>
      </c>
      <c r="GB374" s="56"/>
      <c r="GC374" s="137">
        <f>SUMPRODUCT(PRODUCE!$B369:$DY369,PRODUCE!$EB$27:$IY$27)</f>
        <v>0</v>
      </c>
      <c r="GD374" s="56"/>
      <c r="GE374" s="137">
        <f t="shared" si="2542"/>
        <v>0</v>
      </c>
      <c r="GF374" s="137">
        <f t="shared" si="2543"/>
        <v>960</v>
      </c>
      <c r="GG374" s="56"/>
      <c r="GI374" s="23"/>
      <c r="GJ374" s="55">
        <f t="shared" si="2544"/>
        <v>46340</v>
      </c>
      <c r="GK374" s="56"/>
      <c r="GL374" s="199">
        <f>SUMPRODUCT(PRODUCE!$B369:$DY369,PRODUCE!$EB$28:$IY$28)</f>
        <v>0</v>
      </c>
      <c r="GM374" s="56"/>
      <c r="GN374" s="199">
        <f t="shared" si="2545"/>
        <v>0</v>
      </c>
      <c r="GO374" s="199">
        <f t="shared" si="2546"/>
        <v>1760</v>
      </c>
      <c r="GP374" s="56"/>
      <c r="GS374" s="55">
        <f t="shared" si="2547"/>
        <v>46340</v>
      </c>
      <c r="GT374" s="56"/>
      <c r="GU374" s="195">
        <f>SUMPRODUCT(PRODUCE!$B369:$DY369,PRODUCE!$EB$29:$IY$29)</f>
        <v>0</v>
      </c>
      <c r="GV374" s="56"/>
      <c r="GW374" s="195">
        <f t="shared" si="2548"/>
        <v>0</v>
      </c>
      <c r="GX374" s="195">
        <f t="shared" si="2549"/>
        <v>400</v>
      </c>
      <c r="GY374" s="56"/>
      <c r="HB374" s="55">
        <f t="shared" si="2550"/>
        <v>46340</v>
      </c>
      <c r="HC374" s="56"/>
      <c r="HD374" s="191">
        <f>SUMPRODUCT(PRODUCE!$B369:$DY369,PRODUCE!$EB$30:$IY$30)</f>
        <v>0</v>
      </c>
      <c r="HE374" s="56"/>
      <c r="HF374" s="191">
        <f t="shared" si="2551"/>
        <v>0</v>
      </c>
      <c r="HG374" s="191">
        <f t="shared" si="2552"/>
        <v>3600</v>
      </c>
      <c r="HH374" s="56"/>
      <c r="HK374" s="55">
        <f t="shared" si="2553"/>
        <v>46340</v>
      </c>
      <c r="HL374" s="56"/>
      <c r="HM374" s="63">
        <f>SUMPRODUCT(PRODUCE!$B369:$DY369,PRODUCE!$EB$31:$IY$31)</f>
        <v>0</v>
      </c>
      <c r="HN374" s="56"/>
      <c r="HO374" s="63">
        <f t="shared" si="2554"/>
        <v>0</v>
      </c>
      <c r="HP374" s="63">
        <f t="shared" si="2555"/>
        <v>0</v>
      </c>
      <c r="HQ374" s="56"/>
      <c r="HU374" s="55">
        <f t="shared" si="2556"/>
        <v>46340</v>
      </c>
      <c r="HV374" s="56"/>
      <c r="HW374" s="242">
        <f>SUMPRODUCT(PRODUCE!$B369:$DY369,PRODUCE!$EB$32:$IY$32)</f>
        <v>0</v>
      </c>
      <c r="HX374" s="56"/>
      <c r="HY374" s="242">
        <f t="shared" si="2557"/>
        <v>0</v>
      </c>
      <c r="HZ374" s="242">
        <f t="shared" si="2558"/>
        <v>6120</v>
      </c>
      <c r="IA374" s="56"/>
      <c r="ID374" s="55">
        <f t="shared" si="2559"/>
        <v>46340</v>
      </c>
      <c r="IE374" s="56"/>
      <c r="IF374" s="242">
        <f>SUMPRODUCT(PRODUCE!$B369:$DY369,PRODUCE!$EB$33:$IY$33)</f>
        <v>0</v>
      </c>
      <c r="IG374" s="56"/>
      <c r="IH374" s="242">
        <f t="shared" si="2560"/>
        <v>0</v>
      </c>
      <c r="II374" s="242">
        <f t="shared" si="2561"/>
        <v>0</v>
      </c>
      <c r="IJ374" s="56"/>
      <c r="IM374" s="55">
        <f t="shared" si="2562"/>
        <v>46340</v>
      </c>
      <c r="IN374" s="56"/>
      <c r="IO374" s="242">
        <f>SUMPRODUCT(PRODUCE!$B369:$DY369,PRODUCE!$EB$34:$IY$34)</f>
        <v>0</v>
      </c>
      <c r="IP374" s="56"/>
      <c r="IQ374" s="242">
        <f t="shared" si="2563"/>
        <v>0</v>
      </c>
      <c r="IR374" s="242">
        <f t="shared" si="2564"/>
        <v>0</v>
      </c>
      <c r="IS374" s="56"/>
      <c r="IV374" s="55">
        <f t="shared" si="2565"/>
        <v>46340</v>
      </c>
      <c r="IW374" s="56"/>
      <c r="IX374" s="242">
        <f>SUMPRODUCT(PRODUCE!$B369:$DY369,PRODUCE!$EB$35:$IY$35)</f>
        <v>0</v>
      </c>
      <c r="IY374" s="56"/>
      <c r="IZ374" s="242">
        <f t="shared" si="2566"/>
        <v>0</v>
      </c>
      <c r="JA374" s="242">
        <f t="shared" si="2567"/>
        <v>2820</v>
      </c>
      <c r="JB374" s="56"/>
      <c r="JE374" s="55">
        <f t="shared" si="2568"/>
        <v>46340</v>
      </c>
      <c r="JF374" s="56"/>
      <c r="JG374" s="242">
        <f>SUMPRODUCT(PRODUCE!$B369:$DY369,PRODUCE!$EB$36:$IY$36)</f>
        <v>0</v>
      </c>
      <c r="JH374" s="56"/>
      <c r="JI374" s="242">
        <f t="shared" si="2569"/>
        <v>0</v>
      </c>
      <c r="JJ374" s="242">
        <f t="shared" si="2570"/>
        <v>0</v>
      </c>
      <c r="JK374" s="56"/>
      <c r="JN374" s="55">
        <f t="shared" si="2571"/>
        <v>46340</v>
      </c>
      <c r="JO374" s="56"/>
      <c r="JP374" s="242">
        <f>SUMPRODUCT(PRODUCE!$B369:$DY369,PRODUCE!$EB$37:$IY$37)</f>
        <v>0</v>
      </c>
      <c r="JQ374" s="56"/>
      <c r="JR374" s="242">
        <f t="shared" si="2572"/>
        <v>0</v>
      </c>
      <c r="JS374" s="242">
        <f t="shared" si="2573"/>
        <v>0</v>
      </c>
      <c r="JT374" s="56"/>
      <c r="JW374" s="55">
        <f t="shared" si="2574"/>
        <v>46340</v>
      </c>
      <c r="JX374" s="56"/>
      <c r="JY374" s="242">
        <f>SUMPRODUCT(PRODUCE!$B369:$DY369,PRODUCE!$EB$38:$IY$38)</f>
        <v>0</v>
      </c>
      <c r="JZ374" s="56"/>
      <c r="KA374" s="242">
        <f t="shared" si="2575"/>
        <v>0</v>
      </c>
      <c r="KB374" s="242">
        <f t="shared" si="2576"/>
        <v>2540</v>
      </c>
      <c r="KC374" s="56"/>
      <c r="KF374" s="55">
        <f t="shared" si="2577"/>
        <v>46340</v>
      </c>
      <c r="KG374" s="56"/>
      <c r="KH374" s="242">
        <f>SUMPRODUCT(PRODUCE!$B369:$DY369,PRODUCE!$EB$39:$IY$39)</f>
        <v>0</v>
      </c>
      <c r="KI374" s="56"/>
      <c r="KJ374" s="242">
        <f t="shared" si="2578"/>
        <v>0</v>
      </c>
      <c r="KK374" s="242">
        <f t="shared" si="2579"/>
        <v>2359.5</v>
      </c>
      <c r="KL374" s="56"/>
      <c r="KO374" s="55">
        <f t="shared" si="2580"/>
        <v>46340</v>
      </c>
      <c r="KP374" s="56"/>
      <c r="KQ374" s="242">
        <f>SUMPRODUCT(PRODUCE!$B369:$DY369,PRODUCE!$EB$40:$IY$40)</f>
        <v>0</v>
      </c>
      <c r="KR374" s="56"/>
      <c r="KS374" s="242">
        <f t="shared" si="2581"/>
        <v>0</v>
      </c>
      <c r="KT374" s="242">
        <f t="shared" si="2582"/>
        <v>1890</v>
      </c>
      <c r="KU374" s="56"/>
      <c r="KW374" s="23"/>
      <c r="KX374" s="55">
        <f t="shared" si="2583"/>
        <v>46340</v>
      </c>
      <c r="KY374" s="56"/>
      <c r="KZ374" s="242">
        <f>SUMPRODUCT(PRODUCE!$B369:$DY369,PRODUCE!$EB$41:$IY$41)</f>
        <v>0</v>
      </c>
      <c r="LA374" s="56"/>
      <c r="LB374" s="242">
        <f t="shared" si="2584"/>
        <v>0</v>
      </c>
      <c r="LC374" s="242">
        <f t="shared" si="2585"/>
        <v>3690</v>
      </c>
      <c r="LD374" s="56"/>
      <c r="LG374" s="55">
        <f t="shared" si="2586"/>
        <v>46340</v>
      </c>
      <c r="LH374" s="56"/>
      <c r="LI374" s="242">
        <f>SUMPRODUCT(PRODUCE!$B369:$DY369,PRODUCE!$EB$42:$IY$42)</f>
        <v>0</v>
      </c>
      <c r="LJ374" s="56"/>
      <c r="LK374" s="242">
        <f t="shared" si="2587"/>
        <v>0</v>
      </c>
      <c r="LL374" s="242">
        <f t="shared" si="2588"/>
        <v>4000</v>
      </c>
      <c r="LM374" s="56"/>
      <c r="LP374" s="55">
        <f t="shared" si="2589"/>
        <v>46340</v>
      </c>
      <c r="LQ374" s="56"/>
      <c r="LR374" s="242">
        <f>SUMPRODUCT(PRODUCE!$B389:$DY389,PRODUCE!$EB$43:$IY$43)</f>
        <v>0</v>
      </c>
      <c r="LS374" s="56"/>
      <c r="LT374" s="242">
        <f t="shared" si="2590"/>
        <v>0</v>
      </c>
      <c r="LU374" s="242">
        <f t="shared" si="2591"/>
        <v>0</v>
      </c>
      <c r="LV374" s="56"/>
      <c r="LY374" s="55">
        <f t="shared" si="2592"/>
        <v>46340</v>
      </c>
      <c r="LZ374" s="56"/>
      <c r="MA374" s="242">
        <f>SUMPRODUCT(PRODUCE!$B369:$DY369,PRODUCE!$EB$44:$IY$44)</f>
        <v>0</v>
      </c>
      <c r="MB374" s="56"/>
      <c r="MC374" s="242">
        <f t="shared" si="2593"/>
        <v>0</v>
      </c>
      <c r="MD374" s="242">
        <f t="shared" si="2594"/>
        <v>0</v>
      </c>
      <c r="ME374" s="56"/>
      <c r="MH374" s="55">
        <f t="shared" si="2595"/>
        <v>46340</v>
      </c>
      <c r="MI374" s="56"/>
      <c r="MJ374" s="242">
        <f>SUMPRODUCT(PRODUCE!$B369:$DY369,PRODUCE!$EB$45:$IY$45)</f>
        <v>0</v>
      </c>
      <c r="MK374" s="56"/>
      <c r="ML374" s="242">
        <f t="shared" si="2596"/>
        <v>0</v>
      </c>
      <c r="MM374" s="242">
        <f t="shared" si="2597"/>
        <v>0</v>
      </c>
      <c r="MN374" s="56"/>
      <c r="MQ374" s="55">
        <f t="shared" si="2598"/>
        <v>46340</v>
      </c>
      <c r="MR374" s="56"/>
      <c r="MS374" s="242">
        <f>SUMPRODUCT(PRODUCE!$B369:$DY369,PRODUCE!$EB$46:$IY$46)</f>
        <v>0</v>
      </c>
      <c r="MT374" s="56"/>
      <c r="MU374" s="242">
        <f t="shared" si="2599"/>
        <v>0</v>
      </c>
      <c r="MV374" s="242">
        <f t="shared" si="2600"/>
        <v>1625</v>
      </c>
      <c r="MW374" s="56"/>
      <c r="MZ374" s="55">
        <f t="shared" si="2601"/>
        <v>46340</v>
      </c>
      <c r="NA374" s="56"/>
      <c r="NB374" s="242">
        <f>SUMPRODUCT(PRODUCE!$B369:$DY369,PRODUCE!$EB$47:$IY$47)</f>
        <v>0</v>
      </c>
      <c r="NC374" s="56"/>
      <c r="ND374" s="242">
        <f t="shared" si="2602"/>
        <v>0</v>
      </c>
      <c r="NE374" s="242">
        <f t="shared" si="2603"/>
        <v>0</v>
      </c>
      <c r="NF374" s="56"/>
      <c r="NI374" s="55">
        <f t="shared" si="2604"/>
        <v>46340</v>
      </c>
      <c r="NJ374" s="56"/>
      <c r="NK374" s="242">
        <f>SUMPRODUCT(PRODUCE!$B369:$DY369,PRODUCE!$EB$48:$IY$48)</f>
        <v>0</v>
      </c>
      <c r="NL374" s="56"/>
      <c r="NM374" s="242">
        <f t="shared" si="2605"/>
        <v>0</v>
      </c>
      <c r="NN374" s="242">
        <f t="shared" si="2606"/>
        <v>1127</v>
      </c>
      <c r="NO374" s="56"/>
      <c r="NR374" s="55">
        <f t="shared" si="2607"/>
        <v>46340</v>
      </c>
      <c r="NS374" s="56"/>
      <c r="NT374" s="242">
        <f>SUMPRODUCT(PRODUCE!$B369:$DY369,PRODUCE!$EB$49:$IY$49)</f>
        <v>0</v>
      </c>
      <c r="NU374" s="56"/>
      <c r="NV374" s="242">
        <f t="shared" si="2608"/>
        <v>0</v>
      </c>
      <c r="NW374" s="242">
        <f t="shared" si="2609"/>
        <v>3111.9999999999995</v>
      </c>
      <c r="NX374" s="56"/>
      <c r="OA374" s="55">
        <f t="shared" si="2610"/>
        <v>46340</v>
      </c>
      <c r="OB374" s="56"/>
      <c r="OC374" s="242">
        <f>SUMPRODUCT(PRODUCE!$B369:$DY369,PRODUCE!$EB$50:$IY$50)</f>
        <v>0</v>
      </c>
      <c r="OD374" s="56"/>
      <c r="OE374" s="242">
        <f t="shared" si="2611"/>
        <v>0</v>
      </c>
      <c r="OF374" s="242">
        <f t="shared" si="2612"/>
        <v>1680.5</v>
      </c>
      <c r="OG374" s="56"/>
      <c r="OJ374" s="55">
        <f t="shared" si="2613"/>
        <v>46340</v>
      </c>
      <c r="OK374" s="56"/>
      <c r="OL374" s="242">
        <f>SUMPRODUCT(PRODUCE!$B369:$DY369,PRODUCE!$EB$51:$IY$51)</f>
        <v>0</v>
      </c>
      <c r="OM374" s="56"/>
      <c r="ON374" s="242">
        <f t="shared" si="2614"/>
        <v>0</v>
      </c>
      <c r="OO374" s="242">
        <f t="shared" si="2615"/>
        <v>0</v>
      </c>
      <c r="OP374" s="56"/>
      <c r="OS374" s="55">
        <f t="shared" si="2616"/>
        <v>46340</v>
      </c>
      <c r="OT374" s="56"/>
      <c r="OU374" s="242">
        <f>SUMPRODUCT(PRODUCE!$B369:$DY369,PRODUCE!$EB$52:$IY$52)</f>
        <v>0</v>
      </c>
      <c r="OV374" s="56"/>
      <c r="OW374" s="242">
        <f t="shared" si="2617"/>
        <v>0</v>
      </c>
      <c r="OX374" s="242">
        <f t="shared" si="2618"/>
        <v>1482</v>
      </c>
      <c r="OY374" s="56"/>
      <c r="PB374" s="55">
        <f t="shared" si="2619"/>
        <v>46340</v>
      </c>
      <c r="PC374" s="56"/>
      <c r="PD374" s="242">
        <f>SUMPRODUCT(PRODUCE!$B369:$DY369,PRODUCE!$EB$53:$IY$53)</f>
        <v>0</v>
      </c>
      <c r="PE374" s="56"/>
      <c r="PF374" s="242">
        <f t="shared" si="2620"/>
        <v>0</v>
      </c>
      <c r="PG374" s="242">
        <f t="shared" si="2621"/>
        <v>0</v>
      </c>
      <c r="PH374" s="56"/>
      <c r="PK374" s="55">
        <f t="shared" si="2622"/>
        <v>46340</v>
      </c>
      <c r="PL374" s="56"/>
      <c r="PM374" s="242">
        <f>SUMPRODUCT(PRODUCE!$B369:$DY369,PRODUCE!$EB$54:$IY$54)</f>
        <v>0</v>
      </c>
      <c r="PN374" s="56"/>
      <c r="PO374" s="242">
        <f t="shared" si="2623"/>
        <v>0</v>
      </c>
      <c r="PP374" s="242">
        <f t="shared" si="2624"/>
        <v>100</v>
      </c>
      <c r="PQ374" s="56"/>
      <c r="PT374" s="55">
        <f t="shared" si="2625"/>
        <v>46340</v>
      </c>
      <c r="PU374" s="56"/>
      <c r="PV374" s="242">
        <f>SUMPRODUCT(PRODUCE!$B369:$DY369,PRODUCE!$EB$55:$IY$55)</f>
        <v>0</v>
      </c>
      <c r="PW374" s="56"/>
      <c r="PX374" s="242">
        <f t="shared" si="2626"/>
        <v>0</v>
      </c>
      <c r="PY374" s="242">
        <f t="shared" si="2627"/>
        <v>13.960000000000036</v>
      </c>
      <c r="PZ374" s="56"/>
      <c r="QC374" s="55">
        <f t="shared" si="2628"/>
        <v>46340</v>
      </c>
      <c r="QD374" s="56"/>
      <c r="QE374" s="242">
        <f>SUMPRODUCT(PRODUCE!$B369:$DY369,PRODUCE!$EB$56:$IY$56)</f>
        <v>0</v>
      </c>
      <c r="QF374" s="56"/>
      <c r="QG374" s="242">
        <f t="shared" si="2629"/>
        <v>0</v>
      </c>
      <c r="QH374" s="242">
        <f t="shared" si="2630"/>
        <v>548</v>
      </c>
      <c r="QI374" s="56"/>
      <c r="QL374" s="55">
        <f t="shared" si="2631"/>
        <v>46340</v>
      </c>
      <c r="QM374" s="56"/>
      <c r="QN374" s="242">
        <f>SUMPRODUCT(PRODUCE!$B369:$DY369,PRODUCE!$EB$57:$IY$57)</f>
        <v>0</v>
      </c>
      <c r="QO374" s="56"/>
      <c r="QP374" s="242">
        <f t="shared" si="2632"/>
        <v>0</v>
      </c>
      <c r="QQ374" s="242">
        <f t="shared" si="2633"/>
        <v>0</v>
      </c>
      <c r="QR374" s="56"/>
      <c r="QU374" s="55">
        <f t="shared" si="2634"/>
        <v>46340</v>
      </c>
      <c r="QV374" s="56"/>
      <c r="QW374" s="242">
        <f>SUMPRODUCT(PRODUCE!$B369:$DY369,PRODUCE!$EB$57:$IY$57)</f>
        <v>0</v>
      </c>
      <c r="QX374" s="56"/>
      <c r="QY374" s="242">
        <f t="shared" si="2635"/>
        <v>0</v>
      </c>
      <c r="QZ374" s="242">
        <f t="shared" si="2636"/>
        <v>0</v>
      </c>
      <c r="RA374" s="56"/>
      <c r="RD374" s="55">
        <f t="shared" si="2637"/>
        <v>46340</v>
      </c>
      <c r="RE374" s="56"/>
      <c r="RF374" s="242">
        <f>SUMPRODUCT(PRODUCE!$B369:$DY369,PRODUCE!$EB$58:$IY$58)</f>
        <v>0</v>
      </c>
      <c r="RG374" s="56"/>
      <c r="RH374" s="242">
        <f t="shared" si="2638"/>
        <v>0</v>
      </c>
      <c r="RI374" s="242">
        <f t="shared" si="2639"/>
        <v>147.04000000000002</v>
      </c>
      <c r="RJ374" s="56"/>
      <c r="RM374" s="55">
        <f t="shared" si="2640"/>
        <v>46340</v>
      </c>
      <c r="RN374" s="56"/>
      <c r="RO374" s="242">
        <f>SUMPRODUCT(PRODUCE!$B369:$DY369,PRODUCE!$EB$57:$IY$57)</f>
        <v>0</v>
      </c>
      <c r="RP374" s="56"/>
      <c r="RQ374" s="242">
        <f t="shared" si="2641"/>
        <v>0</v>
      </c>
      <c r="RR374" s="242">
        <f t="shared" si="2642"/>
        <v>46.8</v>
      </c>
      <c r="RS374" s="56"/>
      <c r="RV374" s="55">
        <f t="shared" si="2643"/>
        <v>46340</v>
      </c>
      <c r="RW374" s="56"/>
      <c r="RX374" s="242">
        <f>SUMPRODUCT(PRODUCE!$B369:$DY369,PRODUCE!$EB$57:$IY$57)</f>
        <v>0</v>
      </c>
      <c r="RY374" s="56"/>
      <c r="RZ374" s="242">
        <f t="shared" si="2644"/>
        <v>0</v>
      </c>
      <c r="SA374" s="242">
        <f t="shared" si="2645"/>
        <v>0</v>
      </c>
      <c r="SB374" s="56"/>
      <c r="SE374" s="55">
        <f t="shared" si="2646"/>
        <v>46340</v>
      </c>
      <c r="SF374" s="56"/>
      <c r="SG374" s="242">
        <f>SUMPRODUCT(PRODUCE!$B369:$DY369,PRODUCE!$EB$61:$IY$61)</f>
        <v>0</v>
      </c>
      <c r="SH374" s="56"/>
      <c r="SI374" s="242">
        <f t="shared" si="2647"/>
        <v>0</v>
      </c>
      <c r="SJ374" s="242">
        <f t="shared" si="2648"/>
        <v>24.200000000000003</v>
      </c>
      <c r="SK374" s="56"/>
      <c r="SN374" s="55">
        <f t="shared" si="2649"/>
        <v>46340</v>
      </c>
      <c r="SO374" s="56"/>
      <c r="SP374" s="242">
        <f>SUMPRODUCT(PRODUCE!$B369:$DY369,PRODUCE!$EB$57:$IY$57)</f>
        <v>0</v>
      </c>
      <c r="SQ374" s="56"/>
      <c r="SR374" s="242">
        <f t="shared" si="2650"/>
        <v>0</v>
      </c>
      <c r="SS374" s="242">
        <f t="shared" si="2651"/>
        <v>32</v>
      </c>
      <c r="ST374" s="56"/>
      <c r="SW374" s="55">
        <f t="shared" si="2652"/>
        <v>46340</v>
      </c>
      <c r="SX374" s="56"/>
      <c r="SY374" s="242">
        <f>SUMPRODUCT(PRODUCE!$B369:$DY369,PRODUCE!$EB$57:$IY$57)</f>
        <v>0</v>
      </c>
      <c r="SZ374" s="56"/>
      <c r="TA374" s="242">
        <f t="shared" si="2653"/>
        <v>0</v>
      </c>
      <c r="TB374" s="242">
        <f t="shared" si="2654"/>
        <v>0</v>
      </c>
      <c r="TC374" s="56"/>
      <c r="TF374" s="55">
        <f t="shared" si="2655"/>
        <v>46340</v>
      </c>
      <c r="TG374" s="56"/>
      <c r="TH374" s="242">
        <f>SUMPRODUCT(PRODUCE!$B369:$DY369,PRODUCE!$EB$57:$IY$57)</f>
        <v>0</v>
      </c>
      <c r="TI374" s="56"/>
      <c r="TJ374" s="242">
        <f t="shared" si="2656"/>
        <v>0</v>
      </c>
      <c r="TK374" s="242">
        <f t="shared" si="2657"/>
        <v>0</v>
      </c>
      <c r="TL374" s="56"/>
      <c r="TO374" s="55">
        <f t="shared" si="2658"/>
        <v>46340</v>
      </c>
      <c r="TP374" s="56"/>
      <c r="TQ374" s="242">
        <f>SUMPRODUCT(PRODUCE!$B369:$DY369,PRODUCE!$EB$57:$IY$57)</f>
        <v>0</v>
      </c>
      <c r="TR374" s="56"/>
      <c r="TS374" s="242">
        <f t="shared" si="2659"/>
        <v>0</v>
      </c>
      <c r="TT374" s="242">
        <f t="shared" si="2660"/>
        <v>0</v>
      </c>
      <c r="TU374" s="56"/>
      <c r="TX374" s="55">
        <f t="shared" si="2661"/>
        <v>46340</v>
      </c>
      <c r="TY374" s="56"/>
      <c r="TZ374" s="242">
        <f>SUMPRODUCT(PRODUCE!$B369:$DY369,PRODUCE!$EB$57:$IY$57)</f>
        <v>0</v>
      </c>
      <c r="UA374" s="56"/>
      <c r="UB374" s="242">
        <f t="shared" si="2662"/>
        <v>0</v>
      </c>
      <c r="UC374" s="242">
        <f t="shared" si="2663"/>
        <v>46.799999999999983</v>
      </c>
      <c r="UD374" s="56"/>
      <c r="UG374" s="55">
        <f t="shared" si="2664"/>
        <v>46340</v>
      </c>
      <c r="UH374" s="56"/>
      <c r="UI374" s="242">
        <f>SUMPRODUCT(PRODUCE!$B369:$DY369,PRODUCE!$EB$57:$IY$57)</f>
        <v>0</v>
      </c>
      <c r="UJ374" s="56"/>
      <c r="UK374" s="242">
        <f t="shared" si="2665"/>
        <v>0</v>
      </c>
      <c r="UL374" s="242">
        <f t="shared" si="2666"/>
        <v>204</v>
      </c>
      <c r="UM374" s="56"/>
      <c r="UP374" s="55">
        <f t="shared" si="2667"/>
        <v>46340</v>
      </c>
      <c r="UQ374" s="56"/>
      <c r="UR374" s="242">
        <f>SUMPRODUCT(PRODUCE!$B369:$DY369,PRODUCE!$EB$57:$IY$57)</f>
        <v>0</v>
      </c>
      <c r="US374" s="56"/>
      <c r="UT374" s="242">
        <f t="shared" si="2668"/>
        <v>0</v>
      </c>
      <c r="UU374" s="242">
        <f t="shared" si="2669"/>
        <v>202.5</v>
      </c>
      <c r="UV374" s="56"/>
      <c r="UY374" s="55">
        <f t="shared" si="2670"/>
        <v>46340</v>
      </c>
      <c r="UZ374" s="56"/>
      <c r="VA374" s="242">
        <f>SUMPRODUCT(PRODUCE!$B369:$DY369,PRODUCE!$EB$57:$IY$57)</f>
        <v>0</v>
      </c>
      <c r="VB374" s="56"/>
      <c r="VC374" s="242">
        <f t="shared" si="2671"/>
        <v>0</v>
      </c>
      <c r="VD374" s="242">
        <f t="shared" si="2672"/>
        <v>41.600000000000023</v>
      </c>
      <c r="VE374" s="56"/>
      <c r="VH374" s="55">
        <f t="shared" si="2673"/>
        <v>46340</v>
      </c>
      <c r="VI374" s="56"/>
      <c r="VJ374" s="242">
        <f>SUMPRODUCT(PRODUCE!$B369:$DY369,PRODUCE!$EB$57:$IY$57)</f>
        <v>0</v>
      </c>
      <c r="VK374" s="56"/>
      <c r="VL374" s="242">
        <f t="shared" si="2674"/>
        <v>0</v>
      </c>
      <c r="VM374" s="242">
        <f t="shared" si="2675"/>
        <v>210</v>
      </c>
      <c r="VN374" s="56"/>
      <c r="VQ374" s="55">
        <f t="shared" si="2676"/>
        <v>46340</v>
      </c>
      <c r="VR374" s="56"/>
      <c r="VS374" s="242">
        <f>SUMPRODUCT(PRODUCE!$B369:$DY369,PRODUCE!$EB$57:$IY$57)</f>
        <v>0</v>
      </c>
      <c r="VT374" s="56"/>
      <c r="VU374" s="242">
        <f t="shared" si="2677"/>
        <v>0</v>
      </c>
      <c r="VV374" s="242">
        <f t="shared" si="2678"/>
        <v>0</v>
      </c>
      <c r="VW374" s="56"/>
      <c r="VZ374" s="55">
        <f t="shared" si="2679"/>
        <v>46340</v>
      </c>
      <c r="WA374" s="56"/>
      <c r="WB374" s="242">
        <f>SUMPRODUCT(PRODUCE!$B369:$DY369,PRODUCE!$EB$57:$IY$57)</f>
        <v>0</v>
      </c>
      <c r="WC374" s="56"/>
      <c r="WD374" s="242">
        <f t="shared" si="2680"/>
        <v>0</v>
      </c>
      <c r="WE374" s="242">
        <f t="shared" si="2681"/>
        <v>0</v>
      </c>
      <c r="WF374" s="56"/>
      <c r="WI374" s="55">
        <f t="shared" si="2682"/>
        <v>46340</v>
      </c>
      <c r="WJ374" s="56"/>
      <c r="WK374" s="242">
        <f>SUMPRODUCT(PRODUCE!$B369:$DY369,PRODUCE!$EB$57:$IY$57)</f>
        <v>0</v>
      </c>
      <c r="WL374" s="56"/>
      <c r="WM374" s="242">
        <f t="shared" si="2683"/>
        <v>0</v>
      </c>
      <c r="WN374" s="242">
        <f t="shared" si="2684"/>
        <v>1057</v>
      </c>
      <c r="WO374" s="56"/>
      <c r="WR374" s="55">
        <f t="shared" si="2685"/>
        <v>46340</v>
      </c>
      <c r="WS374" s="56"/>
      <c r="WT374" s="242">
        <f>SUMPRODUCT(PRODUCE!$B369:$DY369,PRODUCE!$EB$57:$IY$57)</f>
        <v>0</v>
      </c>
      <c r="WU374" s="56"/>
      <c r="WV374" s="242">
        <f t="shared" si="2686"/>
        <v>0</v>
      </c>
      <c r="WW374" s="242">
        <f t="shared" si="2687"/>
        <v>0</v>
      </c>
      <c r="WX374" s="56"/>
      <c r="XA374" s="55">
        <f t="shared" si="2688"/>
        <v>46340</v>
      </c>
      <c r="XB374" s="56"/>
      <c r="XC374" s="242">
        <f>SUMPRODUCT(PRODUCE!$B369:$DY369,PRODUCE!$EB$57:$IY$57)</f>
        <v>0</v>
      </c>
      <c r="XD374" s="56"/>
      <c r="XE374" s="242">
        <f t="shared" si="2689"/>
        <v>0</v>
      </c>
      <c r="XF374" s="242">
        <f t="shared" si="2690"/>
        <v>7507</v>
      </c>
      <c r="XG374" s="56"/>
      <c r="XJ374" s="55">
        <f t="shared" si="2691"/>
        <v>46340</v>
      </c>
      <c r="XK374" s="56"/>
      <c r="XL374" s="242">
        <f>SUMPRODUCT(PRODUCE!$B369:$DY369,PRODUCE!$EB$57:$IY$57)</f>
        <v>0</v>
      </c>
      <c r="XM374" s="56"/>
      <c r="XN374" s="242">
        <f t="shared" si="2692"/>
        <v>0</v>
      </c>
      <c r="XO374" s="242">
        <f t="shared" si="2693"/>
        <v>4252</v>
      </c>
      <c r="XP374" s="56"/>
      <c r="XS374" s="55">
        <f t="shared" si="2694"/>
        <v>46340</v>
      </c>
      <c r="XT374" s="56"/>
      <c r="XU374" s="242">
        <f>SUMPRODUCT(PRODUCE!$B369:$DY369,PRODUCE!$EB$57:$IY$57)</f>
        <v>0</v>
      </c>
      <c r="XV374" s="56"/>
      <c r="XW374" s="242">
        <f t="shared" si="2695"/>
        <v>0</v>
      </c>
      <c r="XX374" s="242">
        <f t="shared" si="2696"/>
        <v>2179</v>
      </c>
      <c r="XY374" s="56"/>
      <c r="YB374" s="55">
        <f t="shared" si="2697"/>
        <v>46340</v>
      </c>
      <c r="YC374" s="56"/>
      <c r="YD374" s="242">
        <f>SUMPRODUCT(PRODUCE!$B369:$DY369,PRODUCE!$EB$57:$IY$57)</f>
        <v>0</v>
      </c>
      <c r="YE374" s="56"/>
      <c r="YF374" s="242">
        <f t="shared" si="2698"/>
        <v>0</v>
      </c>
      <c r="YG374" s="242">
        <f t="shared" si="2699"/>
        <v>4019</v>
      </c>
      <c r="YH374" s="56"/>
      <c r="YK374" s="55">
        <f t="shared" si="2700"/>
        <v>46340</v>
      </c>
      <c r="YL374" s="56"/>
      <c r="YM374" s="242">
        <f>SUMPRODUCT(PRODUCE!$B369:$DY369,PRODUCE!$EB$57:$IY$57)</f>
        <v>0</v>
      </c>
      <c r="YN374" s="56"/>
      <c r="YO374" s="242">
        <f t="shared" si="2701"/>
        <v>0</v>
      </c>
      <c r="YP374" s="242">
        <f t="shared" si="2702"/>
        <v>-218</v>
      </c>
      <c r="YQ374" s="56"/>
      <c r="YT374" s="55">
        <f t="shared" si="2703"/>
        <v>46340</v>
      </c>
      <c r="YU374" s="56"/>
      <c r="YV374" s="242">
        <f>SUMPRODUCT(PRODUCE!$B369:$DY369,PRODUCE!$EB$57:$IY$57)</f>
        <v>0</v>
      </c>
      <c r="YW374" s="56"/>
      <c r="YX374" s="242">
        <f t="shared" si="2704"/>
        <v>0</v>
      </c>
      <c r="YY374" s="242">
        <f t="shared" si="2705"/>
        <v>0</v>
      </c>
      <c r="YZ374" s="56"/>
      <c r="ZC374" s="55">
        <f t="shared" si="2706"/>
        <v>46340</v>
      </c>
      <c r="ZD374" s="56"/>
      <c r="ZE374" s="242">
        <f>SUMPRODUCT(PRODUCE!$B369:$DY369,PRODUCE!$EB$57:$IY$57)</f>
        <v>0</v>
      </c>
      <c r="ZF374" s="56"/>
      <c r="ZG374" s="242">
        <f t="shared" si="2707"/>
        <v>0</v>
      </c>
      <c r="ZH374" s="242">
        <f t="shared" si="2708"/>
        <v>0</v>
      </c>
      <c r="ZI374" s="56"/>
      <c r="ZL374" s="55">
        <f t="shared" si="2709"/>
        <v>46340</v>
      </c>
      <c r="ZM374" s="56"/>
      <c r="ZN374" s="242">
        <f>SUMPRODUCT(PRODUCE!$B369:$DY369,PRODUCE!$EB$57:$IY$57)</f>
        <v>0</v>
      </c>
      <c r="ZO374" s="56"/>
      <c r="ZP374" s="242">
        <f t="shared" si="2710"/>
        <v>0</v>
      </c>
      <c r="ZQ374" s="242">
        <f t="shared" si="2711"/>
        <v>0</v>
      </c>
      <c r="ZR374" s="56"/>
      <c r="ZU374" s="55">
        <f t="shared" si="2712"/>
        <v>46340</v>
      </c>
      <c r="ZV374" s="56"/>
      <c r="ZW374" s="242">
        <f>SUMPRODUCT(PRODUCE!$B369:$DY369,PRODUCE!$EB$57:$IY$57)</f>
        <v>0</v>
      </c>
      <c r="ZX374" s="56"/>
      <c r="ZY374" s="242">
        <f t="shared" si="2713"/>
        <v>0</v>
      </c>
      <c r="ZZ374" s="242">
        <f t="shared" si="2714"/>
        <v>0</v>
      </c>
      <c r="AAA374" s="56"/>
      <c r="AAD374" s="55">
        <f t="shared" si="2715"/>
        <v>46340</v>
      </c>
      <c r="AAE374" s="56"/>
      <c r="AAF374" s="242">
        <f>SUMPRODUCT(PRODUCE!$B369:$DY369,PRODUCE!$EB$57:$IY$57)</f>
        <v>0</v>
      </c>
      <c r="AAG374" s="56"/>
      <c r="AAH374" s="242">
        <f t="shared" si="2716"/>
        <v>0</v>
      </c>
      <c r="AAI374" s="242">
        <f t="shared" si="2717"/>
        <v>0</v>
      </c>
      <c r="AAJ374" s="56"/>
      <c r="AAM374" s="55">
        <f t="shared" si="2718"/>
        <v>46340</v>
      </c>
      <c r="AAN374" s="56"/>
      <c r="AAO374" s="242">
        <f>SUMPRODUCT(PRODUCE!$B369:$DY369,PRODUCE!$EB$57:$IY$57)</f>
        <v>0</v>
      </c>
      <c r="AAP374" s="56"/>
      <c r="AAQ374" s="242">
        <f t="shared" si="2719"/>
        <v>0</v>
      </c>
      <c r="AAR374" s="242">
        <f t="shared" si="2720"/>
        <v>0</v>
      </c>
      <c r="AAS374" s="56"/>
      <c r="AAV374" s="55">
        <f t="shared" si="2721"/>
        <v>46340</v>
      </c>
      <c r="AAW374" s="56"/>
      <c r="AAX374" s="242">
        <f>SUMPRODUCT(PRODUCE!$B369:$DY369,PRODUCE!$EB$57:$IY$57)</f>
        <v>0</v>
      </c>
      <c r="AAY374" s="56"/>
      <c r="AAZ374" s="242">
        <f t="shared" si="2722"/>
        <v>0</v>
      </c>
      <c r="ABA374" s="242">
        <f t="shared" si="2723"/>
        <v>0</v>
      </c>
      <c r="ABB374" s="56"/>
      <c r="ABE374" s="55">
        <f t="shared" si="2724"/>
        <v>46340</v>
      </c>
      <c r="ABF374" s="56"/>
      <c r="ABG374" s="242">
        <f>SUMPRODUCT(PRODUCE!$B369:$DY369,PRODUCE!$EB$57:$IY$57)</f>
        <v>0</v>
      </c>
      <c r="ABH374" s="56"/>
      <c r="ABI374" s="242">
        <f t="shared" si="2725"/>
        <v>0</v>
      </c>
      <c r="ABJ374" s="242">
        <f t="shared" si="2726"/>
        <v>0</v>
      </c>
      <c r="ABK374" s="56"/>
    </row>
    <row r="375" spans="2:739" s="54" customFormat="1" ht="15" customHeight="1" outlineLevel="1">
      <c r="B375" s="478"/>
      <c r="C375" s="55">
        <v>46341</v>
      </c>
      <c r="D375" s="56"/>
      <c r="E375" s="57">
        <f>SUMPRODUCT(PRODUCE!$B370:$DY370,PRODUCE!$EB$7:$IY$7)</f>
        <v>0</v>
      </c>
      <c r="F375" s="56"/>
      <c r="G375" s="57">
        <f t="shared" si="2482"/>
        <v>0</v>
      </c>
      <c r="H375" s="57">
        <f t="shared" si="2483"/>
        <v>236936.6</v>
      </c>
      <c r="I375" s="289"/>
      <c r="L375" s="55">
        <f t="shared" si="2484"/>
        <v>46341</v>
      </c>
      <c r="M375" s="56"/>
      <c r="N375" s="59">
        <f>SUMPRODUCT(PRODUCE!$B370:$DY370,PRODUCE!$EB$8:$IY$8)</f>
        <v>0</v>
      </c>
      <c r="O375" s="56"/>
      <c r="P375" s="59">
        <f t="shared" si="2485"/>
        <v>0</v>
      </c>
      <c r="Q375" s="59">
        <f t="shared" si="2486"/>
        <v>53017.600000000071</v>
      </c>
      <c r="R375" s="56"/>
      <c r="U375" s="55">
        <f t="shared" si="2487"/>
        <v>46341</v>
      </c>
      <c r="V375" s="56"/>
      <c r="W375" s="60">
        <f>SUMPRODUCT(PRODUCE!$B370:$DY370,PRODUCE!$EB$9:$IY$9)</f>
        <v>0</v>
      </c>
      <c r="X375" s="56"/>
      <c r="Y375" s="60">
        <f t="shared" si="2488"/>
        <v>0</v>
      </c>
      <c r="Z375" s="60">
        <f t="shared" si="2489"/>
        <v>42674.199999999968</v>
      </c>
      <c r="AA375" s="56"/>
      <c r="AD375" s="55">
        <f t="shared" si="2490"/>
        <v>46341</v>
      </c>
      <c r="AE375" s="56"/>
      <c r="AF375" s="61">
        <f>SUMPRODUCT(PRODUCE!$B370:$DY370,PRODUCE!$EB$10:$IY$10)</f>
        <v>0</v>
      </c>
      <c r="AG375" s="56"/>
      <c r="AH375" s="61">
        <f t="shared" si="2491"/>
        <v>0</v>
      </c>
      <c r="AI375" s="61">
        <f t="shared" si="2492"/>
        <v>4522.2000000000189</v>
      </c>
      <c r="AJ375" s="56"/>
      <c r="AM375" s="55">
        <f t="shared" si="2493"/>
        <v>46341</v>
      </c>
      <c r="AN375" s="422"/>
      <c r="AO375" s="444">
        <f>SUMPRODUCT(PRODUCE!$B370:$DY370,PRODUCE!$EB$11:$IY$11)</f>
        <v>0</v>
      </c>
      <c r="AP375" s="422"/>
      <c r="AQ375" s="444">
        <f t="shared" si="2494"/>
        <v>0</v>
      </c>
      <c r="AR375" s="444">
        <f t="shared" si="2495"/>
        <v>0</v>
      </c>
      <c r="AS375" s="56"/>
      <c r="AV375" s="55">
        <f t="shared" si="2496"/>
        <v>46341</v>
      </c>
      <c r="AW375" s="56"/>
      <c r="AX375" s="62">
        <f>SUMPRODUCT(PRODUCE!$B370:$DY370,PRODUCE!$EB$12:$IY$12)</f>
        <v>0</v>
      </c>
      <c r="AY375" s="56"/>
      <c r="AZ375" s="62">
        <f t="shared" si="2497"/>
        <v>0</v>
      </c>
      <c r="BA375" s="62">
        <f t="shared" si="2498"/>
        <v>124.99999999999523</v>
      </c>
      <c r="BB375" s="56"/>
      <c r="BE375" s="55">
        <f t="shared" si="2499"/>
        <v>46341</v>
      </c>
      <c r="BF375" s="56"/>
      <c r="BG375" s="63">
        <f>SUMPRODUCT(PRODUCE!$B370:$DY370,PRODUCE!$EB$13:$IY$13)</f>
        <v>0</v>
      </c>
      <c r="BH375" s="56"/>
      <c r="BI375" s="63">
        <f t="shared" si="2500"/>
        <v>0</v>
      </c>
      <c r="BJ375" s="63">
        <f t="shared" si="2501"/>
        <v>26151.899999999998</v>
      </c>
      <c r="BK375" s="56"/>
      <c r="BN375" s="55">
        <f t="shared" si="2502"/>
        <v>46341</v>
      </c>
      <c r="BO375" s="56"/>
      <c r="BP375" s="64">
        <f>SUMPRODUCT(PRODUCE!$B370:$DY370,PRODUCE!$EB$14:$IY$14)</f>
        <v>0</v>
      </c>
      <c r="BQ375" s="56"/>
      <c r="BR375" s="64">
        <f t="shared" si="2503"/>
        <v>0</v>
      </c>
      <c r="BS375" s="64">
        <f t="shared" si="2504"/>
        <v>0</v>
      </c>
      <c r="BT375" s="56"/>
      <c r="BW375" s="55">
        <f t="shared" si="2505"/>
        <v>46341</v>
      </c>
      <c r="BX375" s="56"/>
      <c r="BY375" s="65">
        <f>SUMPRODUCT(PRODUCE!$B370:$DY370,PRODUCE!$EB$15:$IY$15)</f>
        <v>0</v>
      </c>
      <c r="BZ375" s="56"/>
      <c r="CA375" s="65">
        <f t="shared" si="2506"/>
        <v>0</v>
      </c>
      <c r="CB375" s="65">
        <f t="shared" si="2507"/>
        <v>2097.3399999999992</v>
      </c>
      <c r="CC375" s="56"/>
      <c r="CF375" s="55">
        <f t="shared" si="2508"/>
        <v>46341</v>
      </c>
      <c r="CG375" s="56"/>
      <c r="CH375" s="66">
        <f>SUMPRODUCT(PRODUCE!$B370:$DY370,PRODUCE!$EB$16:$IY$16)</f>
        <v>0</v>
      </c>
      <c r="CI375" s="56"/>
      <c r="CJ375" s="66">
        <f t="shared" si="2509"/>
        <v>0</v>
      </c>
      <c r="CK375" s="66">
        <f t="shared" si="2510"/>
        <v>-10277.079999999998</v>
      </c>
      <c r="CL375" s="56"/>
      <c r="CO375" s="55">
        <f t="shared" si="2511"/>
        <v>46341</v>
      </c>
      <c r="CP375" s="422"/>
      <c r="CQ375" s="470">
        <f>SUMPRODUCT(PRODUCE!$B370:$DY370,PRODUCE!$EB$17:$IY$17)</f>
        <v>0</v>
      </c>
      <c r="CR375" s="422"/>
      <c r="CS375" s="470">
        <f t="shared" si="2512"/>
        <v>0</v>
      </c>
      <c r="CT375" s="470">
        <f t="shared" si="2513"/>
        <v>0</v>
      </c>
      <c r="CU375" s="56"/>
      <c r="CX375" s="55">
        <f t="shared" si="2514"/>
        <v>46341</v>
      </c>
      <c r="CY375" s="56"/>
      <c r="CZ375" s="133">
        <f>SUMPRODUCT(PRODUCE!$B370:$DY370,PRODUCE!$EB$18:$IY$18)</f>
        <v>0</v>
      </c>
      <c r="DA375" s="56"/>
      <c r="DB375" s="133">
        <f t="shared" si="2515"/>
        <v>0</v>
      </c>
      <c r="DC375" s="133">
        <f t="shared" si="2516"/>
        <v>27438.200000000012</v>
      </c>
      <c r="DD375" s="56"/>
      <c r="DG375" s="55">
        <f t="shared" si="2517"/>
        <v>46341</v>
      </c>
      <c r="DH375" s="56"/>
      <c r="DI375" s="147">
        <f>SUMPRODUCT(PRODUCE!$B370:$DY370,PRODUCE!$EB$19:$IY$19)</f>
        <v>0</v>
      </c>
      <c r="DJ375" s="56"/>
      <c r="DK375" s="147">
        <f t="shared" si="2518"/>
        <v>0</v>
      </c>
      <c r="DL375" s="147">
        <f t="shared" si="2519"/>
        <v>18782.299999999981</v>
      </c>
      <c r="DM375" s="56"/>
      <c r="DP375" s="55">
        <f t="shared" si="2520"/>
        <v>46341</v>
      </c>
      <c r="DQ375" s="56"/>
      <c r="DR375" s="57">
        <f>SUMPRODUCT(PRODUCE!$B370:$DY370,PRODUCE!$EB$20:$IY$20)</f>
        <v>0</v>
      </c>
      <c r="DS375" s="56"/>
      <c r="DT375" s="57">
        <f t="shared" si="2521"/>
        <v>0</v>
      </c>
      <c r="DU375" s="57">
        <f t="shared" si="2522"/>
        <v>5800</v>
      </c>
      <c r="DV375" s="56"/>
      <c r="DY375" s="55">
        <f t="shared" si="2523"/>
        <v>46341</v>
      </c>
      <c r="DZ375" s="56"/>
      <c r="EA375" s="157">
        <f>SUMPRODUCT(PRODUCE!$B370:$DY370,PRODUCE!$EB$21:$IY$21)</f>
        <v>0</v>
      </c>
      <c r="EB375" s="56"/>
      <c r="EC375" s="157">
        <f t="shared" si="2524"/>
        <v>0</v>
      </c>
      <c r="ED375" s="157">
        <f t="shared" si="2525"/>
        <v>0</v>
      </c>
      <c r="EE375" s="56"/>
      <c r="EH375" s="55">
        <f t="shared" si="2526"/>
        <v>46341</v>
      </c>
      <c r="EI375" s="56"/>
      <c r="EJ375" s="162">
        <f>SUMPRODUCT(PRODUCE!$B370:$DY370,PRODUCE!$EB$22:$IY$22)</f>
        <v>0</v>
      </c>
      <c r="EK375" s="56"/>
      <c r="EL375" s="162">
        <f t="shared" si="2527"/>
        <v>0</v>
      </c>
      <c r="EM375" s="162">
        <f t="shared" si="2528"/>
        <v>0</v>
      </c>
      <c r="EN375" s="56"/>
      <c r="EQ375" s="55">
        <f t="shared" si="2529"/>
        <v>46341</v>
      </c>
      <c r="ER375" s="56"/>
      <c r="ES375" s="135">
        <f>SUMPRODUCT(PRODUCE!$B370:$DY370,PRODUCE!$EB$23:$IY$23)</f>
        <v>0</v>
      </c>
      <c r="ET375" s="56"/>
      <c r="EU375" s="135">
        <f t="shared" si="2530"/>
        <v>0</v>
      </c>
      <c r="EV375" s="135">
        <f t="shared" si="2531"/>
        <v>0</v>
      </c>
      <c r="EW375" s="56"/>
      <c r="EZ375" s="55">
        <f t="shared" si="2532"/>
        <v>46341</v>
      </c>
      <c r="FA375" s="56"/>
      <c r="FB375" s="175">
        <f>SUMPRODUCT(PRODUCE!$B370:$DY370,PRODUCE!$EB$24:$IY$24)</f>
        <v>0</v>
      </c>
      <c r="FC375" s="56"/>
      <c r="FD375" s="175">
        <f t="shared" si="2533"/>
        <v>0</v>
      </c>
      <c r="FE375" s="175">
        <f t="shared" si="2534"/>
        <v>0</v>
      </c>
      <c r="FF375" s="56"/>
      <c r="FI375" s="55">
        <f t="shared" si="2535"/>
        <v>46341</v>
      </c>
      <c r="FJ375" s="56"/>
      <c r="FK375" s="183">
        <f>SUMPRODUCT(PRODUCE!$B370:$DY370,PRODUCE!$EB$25:$IY$25)</f>
        <v>0</v>
      </c>
      <c r="FL375" s="56"/>
      <c r="FM375" s="183">
        <f t="shared" si="2536"/>
        <v>0</v>
      </c>
      <c r="FN375" s="183">
        <f t="shared" si="2537"/>
        <v>0</v>
      </c>
      <c r="FO375" s="56"/>
      <c r="FR375" s="55">
        <f t="shared" si="2538"/>
        <v>46341</v>
      </c>
      <c r="FS375" s="56"/>
      <c r="FT375" s="186">
        <f>SUMPRODUCT(PRODUCE!$B370:$DY370,PRODUCE!$EB$26:$IY$26)</f>
        <v>0</v>
      </c>
      <c r="FU375" s="56"/>
      <c r="FV375" s="186">
        <f t="shared" si="2539"/>
        <v>0</v>
      </c>
      <c r="FW375" s="186">
        <f t="shared" si="2540"/>
        <v>2020</v>
      </c>
      <c r="FX375" s="56"/>
      <c r="GA375" s="55">
        <f t="shared" si="2541"/>
        <v>46341</v>
      </c>
      <c r="GB375" s="56"/>
      <c r="GC375" s="137">
        <f>SUMPRODUCT(PRODUCE!$B370:$DY370,PRODUCE!$EB$27:$IY$27)</f>
        <v>0</v>
      </c>
      <c r="GD375" s="56"/>
      <c r="GE375" s="137">
        <f t="shared" si="2542"/>
        <v>0</v>
      </c>
      <c r="GF375" s="137">
        <f t="shared" si="2543"/>
        <v>960</v>
      </c>
      <c r="GG375" s="56"/>
      <c r="GI375" s="23"/>
      <c r="GJ375" s="55">
        <f t="shared" si="2544"/>
        <v>46341</v>
      </c>
      <c r="GK375" s="56"/>
      <c r="GL375" s="199">
        <f>SUMPRODUCT(PRODUCE!$B370:$DY370,PRODUCE!$EB$28:$IY$28)</f>
        <v>0</v>
      </c>
      <c r="GM375" s="56"/>
      <c r="GN375" s="199">
        <f t="shared" si="2545"/>
        <v>0</v>
      </c>
      <c r="GO375" s="199">
        <f t="shared" si="2546"/>
        <v>1760</v>
      </c>
      <c r="GP375" s="56"/>
      <c r="GS375" s="55">
        <f t="shared" si="2547"/>
        <v>46341</v>
      </c>
      <c r="GT375" s="56"/>
      <c r="GU375" s="195">
        <f>SUMPRODUCT(PRODUCE!$B370:$DY370,PRODUCE!$EB$29:$IY$29)</f>
        <v>0</v>
      </c>
      <c r="GV375" s="56"/>
      <c r="GW375" s="195">
        <f t="shared" si="2548"/>
        <v>0</v>
      </c>
      <c r="GX375" s="195">
        <f t="shared" si="2549"/>
        <v>400</v>
      </c>
      <c r="GY375" s="56"/>
      <c r="HB375" s="55">
        <f t="shared" si="2550"/>
        <v>46341</v>
      </c>
      <c r="HC375" s="56"/>
      <c r="HD375" s="191">
        <f>SUMPRODUCT(PRODUCE!$B370:$DY370,PRODUCE!$EB$30:$IY$30)</f>
        <v>0</v>
      </c>
      <c r="HE375" s="56"/>
      <c r="HF375" s="191">
        <f t="shared" si="2551"/>
        <v>0</v>
      </c>
      <c r="HG375" s="191">
        <f t="shared" si="2552"/>
        <v>3600</v>
      </c>
      <c r="HH375" s="56"/>
      <c r="HK375" s="55">
        <f t="shared" si="2553"/>
        <v>46341</v>
      </c>
      <c r="HL375" s="56"/>
      <c r="HM375" s="63">
        <f>SUMPRODUCT(PRODUCE!$B370:$DY370,PRODUCE!$EB$31:$IY$31)</f>
        <v>0</v>
      </c>
      <c r="HN375" s="56"/>
      <c r="HO375" s="63">
        <f t="shared" si="2554"/>
        <v>0</v>
      </c>
      <c r="HP375" s="63">
        <f t="shared" si="2555"/>
        <v>0</v>
      </c>
      <c r="HQ375" s="56"/>
      <c r="HU375" s="55">
        <f t="shared" si="2556"/>
        <v>46341</v>
      </c>
      <c r="HV375" s="56"/>
      <c r="HW375" s="242">
        <f>SUMPRODUCT(PRODUCE!$B370:$DY370,PRODUCE!$EB$32:$IY$32)</f>
        <v>0</v>
      </c>
      <c r="HX375" s="56"/>
      <c r="HY375" s="242">
        <f t="shared" si="2557"/>
        <v>0</v>
      </c>
      <c r="HZ375" s="242">
        <f t="shared" si="2558"/>
        <v>6120</v>
      </c>
      <c r="IA375" s="56"/>
      <c r="ID375" s="55">
        <f t="shared" si="2559"/>
        <v>46341</v>
      </c>
      <c r="IE375" s="56"/>
      <c r="IF375" s="242">
        <f>SUMPRODUCT(PRODUCE!$B370:$DY370,PRODUCE!$EB$33:$IY$33)</f>
        <v>0</v>
      </c>
      <c r="IG375" s="56"/>
      <c r="IH375" s="242">
        <f t="shared" si="2560"/>
        <v>0</v>
      </c>
      <c r="II375" s="242">
        <f t="shared" si="2561"/>
        <v>0</v>
      </c>
      <c r="IJ375" s="56"/>
      <c r="IM375" s="55">
        <f t="shared" si="2562"/>
        <v>46341</v>
      </c>
      <c r="IN375" s="56"/>
      <c r="IO375" s="242">
        <f>SUMPRODUCT(PRODUCE!$B370:$DY370,PRODUCE!$EB$34:$IY$34)</f>
        <v>0</v>
      </c>
      <c r="IP375" s="56"/>
      <c r="IQ375" s="242">
        <f t="shared" si="2563"/>
        <v>0</v>
      </c>
      <c r="IR375" s="242">
        <f t="shared" si="2564"/>
        <v>0</v>
      </c>
      <c r="IS375" s="56"/>
      <c r="IV375" s="55">
        <f t="shared" si="2565"/>
        <v>46341</v>
      </c>
      <c r="IW375" s="56"/>
      <c r="IX375" s="242">
        <f>SUMPRODUCT(PRODUCE!$B370:$DY370,PRODUCE!$EB$35:$IY$35)</f>
        <v>0</v>
      </c>
      <c r="IY375" s="56"/>
      <c r="IZ375" s="242">
        <f t="shared" si="2566"/>
        <v>0</v>
      </c>
      <c r="JA375" s="242">
        <f t="shared" si="2567"/>
        <v>2820</v>
      </c>
      <c r="JB375" s="56"/>
      <c r="JE375" s="55">
        <f t="shared" si="2568"/>
        <v>46341</v>
      </c>
      <c r="JF375" s="56"/>
      <c r="JG375" s="242">
        <f>SUMPRODUCT(PRODUCE!$B370:$DY370,PRODUCE!$EB$36:$IY$36)</f>
        <v>0</v>
      </c>
      <c r="JH375" s="56"/>
      <c r="JI375" s="242">
        <f t="shared" si="2569"/>
        <v>0</v>
      </c>
      <c r="JJ375" s="242">
        <f t="shared" si="2570"/>
        <v>0</v>
      </c>
      <c r="JK375" s="56"/>
      <c r="JN375" s="55">
        <f t="shared" si="2571"/>
        <v>46341</v>
      </c>
      <c r="JO375" s="56"/>
      <c r="JP375" s="242">
        <f>SUMPRODUCT(PRODUCE!$B370:$DY370,PRODUCE!$EB$37:$IY$37)</f>
        <v>0</v>
      </c>
      <c r="JQ375" s="56"/>
      <c r="JR375" s="242">
        <f t="shared" si="2572"/>
        <v>0</v>
      </c>
      <c r="JS375" s="242">
        <f t="shared" si="2573"/>
        <v>0</v>
      </c>
      <c r="JT375" s="56"/>
      <c r="JW375" s="55">
        <f t="shared" si="2574"/>
        <v>46341</v>
      </c>
      <c r="JX375" s="56"/>
      <c r="JY375" s="242">
        <f>SUMPRODUCT(PRODUCE!$B370:$DY370,PRODUCE!$EB$38:$IY$38)</f>
        <v>0</v>
      </c>
      <c r="JZ375" s="56"/>
      <c r="KA375" s="242">
        <f t="shared" si="2575"/>
        <v>0</v>
      </c>
      <c r="KB375" s="242">
        <f t="shared" si="2576"/>
        <v>2540</v>
      </c>
      <c r="KC375" s="56"/>
      <c r="KF375" s="55">
        <f t="shared" si="2577"/>
        <v>46341</v>
      </c>
      <c r="KG375" s="56"/>
      <c r="KH375" s="242">
        <f>SUMPRODUCT(PRODUCE!$B370:$DY370,PRODUCE!$EB$39:$IY$39)</f>
        <v>0</v>
      </c>
      <c r="KI375" s="56"/>
      <c r="KJ375" s="242">
        <f t="shared" si="2578"/>
        <v>0</v>
      </c>
      <c r="KK375" s="242">
        <f t="shared" si="2579"/>
        <v>2359.5</v>
      </c>
      <c r="KL375" s="56"/>
      <c r="KO375" s="55">
        <f t="shared" si="2580"/>
        <v>46341</v>
      </c>
      <c r="KP375" s="56"/>
      <c r="KQ375" s="242">
        <f>SUMPRODUCT(PRODUCE!$B370:$DY370,PRODUCE!$EB$40:$IY$40)</f>
        <v>0</v>
      </c>
      <c r="KR375" s="56"/>
      <c r="KS375" s="242">
        <f t="shared" si="2581"/>
        <v>0</v>
      </c>
      <c r="KT375" s="242">
        <f t="shared" si="2582"/>
        <v>1890</v>
      </c>
      <c r="KU375" s="56"/>
      <c r="KW375" s="23"/>
      <c r="KX375" s="55">
        <f t="shared" si="2583"/>
        <v>46341</v>
      </c>
      <c r="KY375" s="56"/>
      <c r="KZ375" s="242">
        <f>SUMPRODUCT(PRODUCE!$B370:$DY370,PRODUCE!$EB$41:$IY$41)</f>
        <v>0</v>
      </c>
      <c r="LA375" s="56"/>
      <c r="LB375" s="242">
        <f t="shared" si="2584"/>
        <v>0</v>
      </c>
      <c r="LC375" s="242">
        <f t="shared" si="2585"/>
        <v>3690</v>
      </c>
      <c r="LD375" s="56"/>
      <c r="LG375" s="55">
        <f t="shared" si="2586"/>
        <v>46341</v>
      </c>
      <c r="LH375" s="56"/>
      <c r="LI375" s="242">
        <f>SUMPRODUCT(PRODUCE!$B370:$DY370,PRODUCE!$EB$42:$IY$42)</f>
        <v>0</v>
      </c>
      <c r="LJ375" s="56"/>
      <c r="LK375" s="242">
        <f t="shared" si="2587"/>
        <v>0</v>
      </c>
      <c r="LL375" s="242">
        <f t="shared" si="2588"/>
        <v>4000</v>
      </c>
      <c r="LM375" s="56"/>
      <c r="LP375" s="55">
        <f t="shared" si="2589"/>
        <v>46341</v>
      </c>
      <c r="LQ375" s="56"/>
      <c r="LR375" s="242">
        <f>SUMPRODUCT(PRODUCE!$B390:$DY390,PRODUCE!$EB$43:$IY$43)</f>
        <v>0</v>
      </c>
      <c r="LS375" s="56"/>
      <c r="LT375" s="242">
        <f t="shared" si="2590"/>
        <v>0</v>
      </c>
      <c r="LU375" s="242">
        <f t="shared" si="2591"/>
        <v>0</v>
      </c>
      <c r="LV375" s="56"/>
      <c r="LY375" s="55">
        <f t="shared" si="2592"/>
        <v>46341</v>
      </c>
      <c r="LZ375" s="56"/>
      <c r="MA375" s="242">
        <f>SUMPRODUCT(PRODUCE!$B370:$DY370,PRODUCE!$EB$44:$IY$44)</f>
        <v>0</v>
      </c>
      <c r="MB375" s="56"/>
      <c r="MC375" s="242">
        <f t="shared" si="2593"/>
        <v>0</v>
      </c>
      <c r="MD375" s="242">
        <f t="shared" si="2594"/>
        <v>0</v>
      </c>
      <c r="ME375" s="56"/>
      <c r="MH375" s="55">
        <f t="shared" si="2595"/>
        <v>46341</v>
      </c>
      <c r="MI375" s="56"/>
      <c r="MJ375" s="242">
        <f>SUMPRODUCT(PRODUCE!$B370:$DY370,PRODUCE!$EB$45:$IY$45)</f>
        <v>0</v>
      </c>
      <c r="MK375" s="56"/>
      <c r="ML375" s="242">
        <f t="shared" si="2596"/>
        <v>0</v>
      </c>
      <c r="MM375" s="242">
        <f t="shared" si="2597"/>
        <v>0</v>
      </c>
      <c r="MN375" s="56"/>
      <c r="MQ375" s="55">
        <f t="shared" si="2598"/>
        <v>46341</v>
      </c>
      <c r="MR375" s="56"/>
      <c r="MS375" s="242">
        <f>SUMPRODUCT(PRODUCE!$B370:$DY370,PRODUCE!$EB$46:$IY$46)</f>
        <v>0</v>
      </c>
      <c r="MT375" s="56"/>
      <c r="MU375" s="242">
        <f t="shared" si="2599"/>
        <v>0</v>
      </c>
      <c r="MV375" s="242">
        <f t="shared" si="2600"/>
        <v>1625</v>
      </c>
      <c r="MW375" s="56"/>
      <c r="MZ375" s="55">
        <f t="shared" si="2601"/>
        <v>46341</v>
      </c>
      <c r="NA375" s="56"/>
      <c r="NB375" s="242">
        <f>SUMPRODUCT(PRODUCE!$B370:$DY370,PRODUCE!$EB$47:$IY$47)</f>
        <v>0</v>
      </c>
      <c r="NC375" s="56"/>
      <c r="ND375" s="242">
        <f t="shared" si="2602"/>
        <v>0</v>
      </c>
      <c r="NE375" s="242">
        <f t="shared" si="2603"/>
        <v>0</v>
      </c>
      <c r="NF375" s="56"/>
      <c r="NI375" s="55">
        <f t="shared" si="2604"/>
        <v>46341</v>
      </c>
      <c r="NJ375" s="56"/>
      <c r="NK375" s="242">
        <f>SUMPRODUCT(PRODUCE!$B370:$DY370,PRODUCE!$EB$48:$IY$48)</f>
        <v>0</v>
      </c>
      <c r="NL375" s="56"/>
      <c r="NM375" s="242">
        <f t="shared" si="2605"/>
        <v>0</v>
      </c>
      <c r="NN375" s="242">
        <f t="shared" si="2606"/>
        <v>1127</v>
      </c>
      <c r="NO375" s="56"/>
      <c r="NR375" s="55">
        <f t="shared" si="2607"/>
        <v>46341</v>
      </c>
      <c r="NS375" s="56"/>
      <c r="NT375" s="242">
        <f>SUMPRODUCT(PRODUCE!$B370:$DY370,PRODUCE!$EB$49:$IY$49)</f>
        <v>0</v>
      </c>
      <c r="NU375" s="56"/>
      <c r="NV375" s="242">
        <f t="shared" si="2608"/>
        <v>0</v>
      </c>
      <c r="NW375" s="242">
        <f t="shared" si="2609"/>
        <v>3111.9999999999995</v>
      </c>
      <c r="NX375" s="56"/>
      <c r="OA375" s="55">
        <f t="shared" si="2610"/>
        <v>46341</v>
      </c>
      <c r="OB375" s="56"/>
      <c r="OC375" s="242">
        <f>SUMPRODUCT(PRODUCE!$B370:$DY370,PRODUCE!$EB$50:$IY$50)</f>
        <v>0</v>
      </c>
      <c r="OD375" s="56"/>
      <c r="OE375" s="242">
        <f t="shared" si="2611"/>
        <v>0</v>
      </c>
      <c r="OF375" s="242">
        <f t="shared" si="2612"/>
        <v>1680.5</v>
      </c>
      <c r="OG375" s="56"/>
      <c r="OJ375" s="55">
        <f t="shared" si="2613"/>
        <v>46341</v>
      </c>
      <c r="OK375" s="56"/>
      <c r="OL375" s="242">
        <f>SUMPRODUCT(PRODUCE!$B370:$DY370,PRODUCE!$EB$51:$IY$51)</f>
        <v>0</v>
      </c>
      <c r="OM375" s="56"/>
      <c r="ON375" s="242">
        <f t="shared" si="2614"/>
        <v>0</v>
      </c>
      <c r="OO375" s="242">
        <f t="shared" si="2615"/>
        <v>0</v>
      </c>
      <c r="OP375" s="56"/>
      <c r="OS375" s="55">
        <f t="shared" si="2616"/>
        <v>46341</v>
      </c>
      <c r="OT375" s="56"/>
      <c r="OU375" s="242">
        <f>SUMPRODUCT(PRODUCE!$B370:$DY370,PRODUCE!$EB$52:$IY$52)</f>
        <v>0</v>
      </c>
      <c r="OV375" s="56"/>
      <c r="OW375" s="242">
        <f t="shared" si="2617"/>
        <v>0</v>
      </c>
      <c r="OX375" s="242">
        <f t="shared" si="2618"/>
        <v>1482</v>
      </c>
      <c r="OY375" s="56"/>
      <c r="PB375" s="55">
        <f t="shared" si="2619"/>
        <v>46341</v>
      </c>
      <c r="PC375" s="56"/>
      <c r="PD375" s="242">
        <f>SUMPRODUCT(PRODUCE!$B370:$DY370,PRODUCE!$EB$53:$IY$53)</f>
        <v>0</v>
      </c>
      <c r="PE375" s="56"/>
      <c r="PF375" s="242">
        <f t="shared" si="2620"/>
        <v>0</v>
      </c>
      <c r="PG375" s="242">
        <f t="shared" si="2621"/>
        <v>0</v>
      </c>
      <c r="PH375" s="56"/>
      <c r="PK375" s="55">
        <f t="shared" si="2622"/>
        <v>46341</v>
      </c>
      <c r="PL375" s="56"/>
      <c r="PM375" s="242">
        <f>SUMPRODUCT(PRODUCE!$B370:$DY370,PRODUCE!$EB$54:$IY$54)</f>
        <v>0</v>
      </c>
      <c r="PN375" s="56"/>
      <c r="PO375" s="242">
        <f t="shared" si="2623"/>
        <v>0</v>
      </c>
      <c r="PP375" s="242">
        <f t="shared" si="2624"/>
        <v>100</v>
      </c>
      <c r="PQ375" s="56"/>
      <c r="PT375" s="55">
        <f t="shared" si="2625"/>
        <v>46341</v>
      </c>
      <c r="PU375" s="56"/>
      <c r="PV375" s="242">
        <f>SUMPRODUCT(PRODUCE!$B370:$DY370,PRODUCE!$EB$55:$IY$55)</f>
        <v>0</v>
      </c>
      <c r="PW375" s="56"/>
      <c r="PX375" s="242">
        <f t="shared" si="2626"/>
        <v>0</v>
      </c>
      <c r="PY375" s="242">
        <f t="shared" si="2627"/>
        <v>13.960000000000036</v>
      </c>
      <c r="PZ375" s="56"/>
      <c r="QC375" s="55">
        <f t="shared" si="2628"/>
        <v>46341</v>
      </c>
      <c r="QD375" s="56"/>
      <c r="QE375" s="242">
        <f>SUMPRODUCT(PRODUCE!$B370:$DY370,PRODUCE!$EB$56:$IY$56)</f>
        <v>0</v>
      </c>
      <c r="QF375" s="56"/>
      <c r="QG375" s="242">
        <f t="shared" si="2629"/>
        <v>0</v>
      </c>
      <c r="QH375" s="242">
        <f t="shared" si="2630"/>
        <v>548</v>
      </c>
      <c r="QI375" s="56"/>
      <c r="QL375" s="55">
        <f t="shared" si="2631"/>
        <v>46341</v>
      </c>
      <c r="QM375" s="56"/>
      <c r="QN375" s="242">
        <f>SUMPRODUCT(PRODUCE!$B370:$DY370,PRODUCE!$EB$57:$IY$57)</f>
        <v>0</v>
      </c>
      <c r="QO375" s="56"/>
      <c r="QP375" s="242">
        <f t="shared" si="2632"/>
        <v>0</v>
      </c>
      <c r="QQ375" s="242">
        <f t="shared" si="2633"/>
        <v>0</v>
      </c>
      <c r="QR375" s="56"/>
      <c r="QU375" s="55">
        <f t="shared" si="2634"/>
        <v>46341</v>
      </c>
      <c r="QV375" s="56"/>
      <c r="QW375" s="242">
        <f>SUMPRODUCT(PRODUCE!$B370:$DY370,PRODUCE!$EB$57:$IY$57)</f>
        <v>0</v>
      </c>
      <c r="QX375" s="56"/>
      <c r="QY375" s="242">
        <f t="shared" si="2635"/>
        <v>0</v>
      </c>
      <c r="QZ375" s="242">
        <f t="shared" si="2636"/>
        <v>0</v>
      </c>
      <c r="RA375" s="56"/>
      <c r="RD375" s="55">
        <f t="shared" si="2637"/>
        <v>46341</v>
      </c>
      <c r="RE375" s="56"/>
      <c r="RF375" s="242">
        <f>SUMPRODUCT(PRODUCE!$B370:$DY370,PRODUCE!$EB$58:$IY$58)</f>
        <v>0</v>
      </c>
      <c r="RG375" s="56"/>
      <c r="RH375" s="242">
        <f t="shared" si="2638"/>
        <v>0</v>
      </c>
      <c r="RI375" s="242">
        <f t="shared" si="2639"/>
        <v>147.04000000000002</v>
      </c>
      <c r="RJ375" s="56"/>
      <c r="RM375" s="55">
        <f t="shared" si="2640"/>
        <v>46341</v>
      </c>
      <c r="RN375" s="56"/>
      <c r="RO375" s="242">
        <f>SUMPRODUCT(PRODUCE!$B370:$DY370,PRODUCE!$EB$57:$IY$57)</f>
        <v>0</v>
      </c>
      <c r="RP375" s="56"/>
      <c r="RQ375" s="242">
        <f t="shared" si="2641"/>
        <v>0</v>
      </c>
      <c r="RR375" s="242">
        <f t="shared" si="2642"/>
        <v>46.8</v>
      </c>
      <c r="RS375" s="56"/>
      <c r="RV375" s="55">
        <f t="shared" si="2643"/>
        <v>46341</v>
      </c>
      <c r="RW375" s="56"/>
      <c r="RX375" s="242">
        <f>SUMPRODUCT(PRODUCE!$B370:$DY370,PRODUCE!$EB$57:$IY$57)</f>
        <v>0</v>
      </c>
      <c r="RY375" s="56"/>
      <c r="RZ375" s="242">
        <f t="shared" si="2644"/>
        <v>0</v>
      </c>
      <c r="SA375" s="242">
        <f t="shared" si="2645"/>
        <v>0</v>
      </c>
      <c r="SB375" s="56"/>
      <c r="SE375" s="55">
        <f t="shared" si="2646"/>
        <v>46341</v>
      </c>
      <c r="SF375" s="56"/>
      <c r="SG375" s="242">
        <f>SUMPRODUCT(PRODUCE!$B370:$DY370,PRODUCE!$EB$61:$IY$61)</f>
        <v>0</v>
      </c>
      <c r="SH375" s="56"/>
      <c r="SI375" s="242">
        <f t="shared" si="2647"/>
        <v>0</v>
      </c>
      <c r="SJ375" s="242">
        <f t="shared" si="2648"/>
        <v>24.200000000000003</v>
      </c>
      <c r="SK375" s="56"/>
      <c r="SN375" s="55">
        <f t="shared" si="2649"/>
        <v>46341</v>
      </c>
      <c r="SO375" s="56"/>
      <c r="SP375" s="242">
        <f>SUMPRODUCT(PRODUCE!$B370:$DY370,PRODUCE!$EB$57:$IY$57)</f>
        <v>0</v>
      </c>
      <c r="SQ375" s="56"/>
      <c r="SR375" s="242">
        <f t="shared" si="2650"/>
        <v>0</v>
      </c>
      <c r="SS375" s="242">
        <f t="shared" si="2651"/>
        <v>32</v>
      </c>
      <c r="ST375" s="56"/>
      <c r="SW375" s="55">
        <f t="shared" si="2652"/>
        <v>46341</v>
      </c>
      <c r="SX375" s="56"/>
      <c r="SY375" s="242">
        <f>SUMPRODUCT(PRODUCE!$B370:$DY370,PRODUCE!$EB$57:$IY$57)</f>
        <v>0</v>
      </c>
      <c r="SZ375" s="56"/>
      <c r="TA375" s="242">
        <f t="shared" si="2653"/>
        <v>0</v>
      </c>
      <c r="TB375" s="242">
        <f t="shared" si="2654"/>
        <v>0</v>
      </c>
      <c r="TC375" s="56"/>
      <c r="TF375" s="55">
        <f t="shared" si="2655"/>
        <v>46341</v>
      </c>
      <c r="TG375" s="56"/>
      <c r="TH375" s="242">
        <f>SUMPRODUCT(PRODUCE!$B370:$DY370,PRODUCE!$EB$57:$IY$57)</f>
        <v>0</v>
      </c>
      <c r="TI375" s="56"/>
      <c r="TJ375" s="242">
        <f t="shared" si="2656"/>
        <v>0</v>
      </c>
      <c r="TK375" s="242">
        <f t="shared" si="2657"/>
        <v>0</v>
      </c>
      <c r="TL375" s="56"/>
      <c r="TO375" s="55">
        <f t="shared" si="2658"/>
        <v>46341</v>
      </c>
      <c r="TP375" s="56"/>
      <c r="TQ375" s="242">
        <f>SUMPRODUCT(PRODUCE!$B370:$DY370,PRODUCE!$EB$57:$IY$57)</f>
        <v>0</v>
      </c>
      <c r="TR375" s="56"/>
      <c r="TS375" s="242">
        <f t="shared" si="2659"/>
        <v>0</v>
      </c>
      <c r="TT375" s="242">
        <f t="shared" si="2660"/>
        <v>0</v>
      </c>
      <c r="TU375" s="56"/>
      <c r="TX375" s="55">
        <f t="shared" si="2661"/>
        <v>46341</v>
      </c>
      <c r="TY375" s="56"/>
      <c r="TZ375" s="242">
        <f>SUMPRODUCT(PRODUCE!$B370:$DY370,PRODUCE!$EB$57:$IY$57)</f>
        <v>0</v>
      </c>
      <c r="UA375" s="56"/>
      <c r="UB375" s="242">
        <f t="shared" si="2662"/>
        <v>0</v>
      </c>
      <c r="UC375" s="242">
        <f t="shared" si="2663"/>
        <v>46.799999999999983</v>
      </c>
      <c r="UD375" s="56"/>
      <c r="UG375" s="55">
        <f t="shared" si="2664"/>
        <v>46341</v>
      </c>
      <c r="UH375" s="56"/>
      <c r="UI375" s="242">
        <f>SUMPRODUCT(PRODUCE!$B370:$DY370,PRODUCE!$EB$57:$IY$57)</f>
        <v>0</v>
      </c>
      <c r="UJ375" s="56"/>
      <c r="UK375" s="242">
        <f t="shared" si="2665"/>
        <v>0</v>
      </c>
      <c r="UL375" s="242">
        <f t="shared" si="2666"/>
        <v>204</v>
      </c>
      <c r="UM375" s="56"/>
      <c r="UP375" s="55">
        <f t="shared" si="2667"/>
        <v>46341</v>
      </c>
      <c r="UQ375" s="56"/>
      <c r="UR375" s="242">
        <f>SUMPRODUCT(PRODUCE!$B370:$DY370,PRODUCE!$EB$57:$IY$57)</f>
        <v>0</v>
      </c>
      <c r="US375" s="56"/>
      <c r="UT375" s="242">
        <f t="shared" si="2668"/>
        <v>0</v>
      </c>
      <c r="UU375" s="242">
        <f t="shared" si="2669"/>
        <v>202.5</v>
      </c>
      <c r="UV375" s="56"/>
      <c r="UY375" s="55">
        <f t="shared" si="2670"/>
        <v>46341</v>
      </c>
      <c r="UZ375" s="56"/>
      <c r="VA375" s="242">
        <f>SUMPRODUCT(PRODUCE!$B370:$DY370,PRODUCE!$EB$57:$IY$57)</f>
        <v>0</v>
      </c>
      <c r="VB375" s="56"/>
      <c r="VC375" s="242">
        <f t="shared" si="2671"/>
        <v>0</v>
      </c>
      <c r="VD375" s="242">
        <f t="shared" si="2672"/>
        <v>41.600000000000023</v>
      </c>
      <c r="VE375" s="56"/>
      <c r="VH375" s="55">
        <f t="shared" si="2673"/>
        <v>46341</v>
      </c>
      <c r="VI375" s="56"/>
      <c r="VJ375" s="242">
        <f>SUMPRODUCT(PRODUCE!$B370:$DY370,PRODUCE!$EB$57:$IY$57)</f>
        <v>0</v>
      </c>
      <c r="VK375" s="56"/>
      <c r="VL375" s="242">
        <f t="shared" si="2674"/>
        <v>0</v>
      </c>
      <c r="VM375" s="242">
        <f t="shared" si="2675"/>
        <v>210</v>
      </c>
      <c r="VN375" s="56"/>
      <c r="VQ375" s="55">
        <f t="shared" si="2676"/>
        <v>46341</v>
      </c>
      <c r="VR375" s="56"/>
      <c r="VS375" s="242">
        <f>SUMPRODUCT(PRODUCE!$B370:$DY370,PRODUCE!$EB$57:$IY$57)</f>
        <v>0</v>
      </c>
      <c r="VT375" s="56"/>
      <c r="VU375" s="242">
        <f t="shared" si="2677"/>
        <v>0</v>
      </c>
      <c r="VV375" s="242">
        <f t="shared" si="2678"/>
        <v>0</v>
      </c>
      <c r="VW375" s="56"/>
      <c r="VZ375" s="55">
        <f t="shared" si="2679"/>
        <v>46341</v>
      </c>
      <c r="WA375" s="56"/>
      <c r="WB375" s="242">
        <f>SUMPRODUCT(PRODUCE!$B370:$DY370,PRODUCE!$EB$57:$IY$57)</f>
        <v>0</v>
      </c>
      <c r="WC375" s="56"/>
      <c r="WD375" s="242">
        <f t="shared" si="2680"/>
        <v>0</v>
      </c>
      <c r="WE375" s="242">
        <f t="shared" si="2681"/>
        <v>0</v>
      </c>
      <c r="WF375" s="56"/>
      <c r="WI375" s="55">
        <f t="shared" si="2682"/>
        <v>46341</v>
      </c>
      <c r="WJ375" s="56"/>
      <c r="WK375" s="242">
        <f>SUMPRODUCT(PRODUCE!$B370:$DY370,PRODUCE!$EB$57:$IY$57)</f>
        <v>0</v>
      </c>
      <c r="WL375" s="56"/>
      <c r="WM375" s="242">
        <f t="shared" si="2683"/>
        <v>0</v>
      </c>
      <c r="WN375" s="242">
        <f t="shared" si="2684"/>
        <v>1057</v>
      </c>
      <c r="WO375" s="56"/>
      <c r="WR375" s="55">
        <f t="shared" si="2685"/>
        <v>46341</v>
      </c>
      <c r="WS375" s="56"/>
      <c r="WT375" s="242">
        <f>SUMPRODUCT(PRODUCE!$B370:$DY370,PRODUCE!$EB$57:$IY$57)</f>
        <v>0</v>
      </c>
      <c r="WU375" s="56"/>
      <c r="WV375" s="242">
        <f t="shared" si="2686"/>
        <v>0</v>
      </c>
      <c r="WW375" s="242">
        <f t="shared" si="2687"/>
        <v>0</v>
      </c>
      <c r="WX375" s="56"/>
      <c r="XA375" s="55">
        <f t="shared" si="2688"/>
        <v>46341</v>
      </c>
      <c r="XB375" s="56"/>
      <c r="XC375" s="242">
        <f>SUMPRODUCT(PRODUCE!$B370:$DY370,PRODUCE!$EB$57:$IY$57)</f>
        <v>0</v>
      </c>
      <c r="XD375" s="56"/>
      <c r="XE375" s="242">
        <f t="shared" si="2689"/>
        <v>0</v>
      </c>
      <c r="XF375" s="242">
        <f t="shared" si="2690"/>
        <v>7507</v>
      </c>
      <c r="XG375" s="56"/>
      <c r="XJ375" s="55">
        <f t="shared" si="2691"/>
        <v>46341</v>
      </c>
      <c r="XK375" s="56"/>
      <c r="XL375" s="242">
        <f>SUMPRODUCT(PRODUCE!$B370:$DY370,PRODUCE!$EB$57:$IY$57)</f>
        <v>0</v>
      </c>
      <c r="XM375" s="56"/>
      <c r="XN375" s="242">
        <f t="shared" si="2692"/>
        <v>0</v>
      </c>
      <c r="XO375" s="242">
        <f t="shared" si="2693"/>
        <v>4252</v>
      </c>
      <c r="XP375" s="56"/>
      <c r="XS375" s="55">
        <f t="shared" si="2694"/>
        <v>46341</v>
      </c>
      <c r="XT375" s="56"/>
      <c r="XU375" s="242">
        <f>SUMPRODUCT(PRODUCE!$B370:$DY370,PRODUCE!$EB$57:$IY$57)</f>
        <v>0</v>
      </c>
      <c r="XV375" s="56"/>
      <c r="XW375" s="242">
        <f t="shared" si="2695"/>
        <v>0</v>
      </c>
      <c r="XX375" s="242">
        <f t="shared" si="2696"/>
        <v>2179</v>
      </c>
      <c r="XY375" s="56"/>
      <c r="YB375" s="55">
        <f t="shared" si="2697"/>
        <v>46341</v>
      </c>
      <c r="YC375" s="56"/>
      <c r="YD375" s="242">
        <f>SUMPRODUCT(PRODUCE!$B370:$DY370,PRODUCE!$EB$57:$IY$57)</f>
        <v>0</v>
      </c>
      <c r="YE375" s="56"/>
      <c r="YF375" s="242">
        <f t="shared" si="2698"/>
        <v>0</v>
      </c>
      <c r="YG375" s="242">
        <f t="shared" si="2699"/>
        <v>4019</v>
      </c>
      <c r="YH375" s="56"/>
      <c r="YK375" s="55">
        <f t="shared" si="2700"/>
        <v>46341</v>
      </c>
      <c r="YL375" s="56"/>
      <c r="YM375" s="242">
        <f>SUMPRODUCT(PRODUCE!$B370:$DY370,PRODUCE!$EB$57:$IY$57)</f>
        <v>0</v>
      </c>
      <c r="YN375" s="56"/>
      <c r="YO375" s="242">
        <f t="shared" si="2701"/>
        <v>0</v>
      </c>
      <c r="YP375" s="242">
        <f t="shared" si="2702"/>
        <v>-218</v>
      </c>
      <c r="YQ375" s="56"/>
      <c r="YT375" s="55">
        <f t="shared" si="2703"/>
        <v>46341</v>
      </c>
      <c r="YU375" s="56"/>
      <c r="YV375" s="242">
        <f>SUMPRODUCT(PRODUCE!$B370:$DY370,PRODUCE!$EB$57:$IY$57)</f>
        <v>0</v>
      </c>
      <c r="YW375" s="56"/>
      <c r="YX375" s="242">
        <f t="shared" si="2704"/>
        <v>0</v>
      </c>
      <c r="YY375" s="242">
        <f t="shared" si="2705"/>
        <v>0</v>
      </c>
      <c r="YZ375" s="56"/>
      <c r="ZC375" s="55">
        <f t="shared" si="2706"/>
        <v>46341</v>
      </c>
      <c r="ZD375" s="56"/>
      <c r="ZE375" s="242">
        <f>SUMPRODUCT(PRODUCE!$B370:$DY370,PRODUCE!$EB$57:$IY$57)</f>
        <v>0</v>
      </c>
      <c r="ZF375" s="56"/>
      <c r="ZG375" s="242">
        <f t="shared" si="2707"/>
        <v>0</v>
      </c>
      <c r="ZH375" s="242">
        <f t="shared" si="2708"/>
        <v>0</v>
      </c>
      <c r="ZI375" s="56"/>
      <c r="ZL375" s="55">
        <f t="shared" si="2709"/>
        <v>46341</v>
      </c>
      <c r="ZM375" s="56"/>
      <c r="ZN375" s="242">
        <f>SUMPRODUCT(PRODUCE!$B370:$DY370,PRODUCE!$EB$57:$IY$57)</f>
        <v>0</v>
      </c>
      <c r="ZO375" s="56"/>
      <c r="ZP375" s="242">
        <f t="shared" si="2710"/>
        <v>0</v>
      </c>
      <c r="ZQ375" s="242">
        <f t="shared" si="2711"/>
        <v>0</v>
      </c>
      <c r="ZR375" s="56"/>
      <c r="ZU375" s="55">
        <f t="shared" si="2712"/>
        <v>46341</v>
      </c>
      <c r="ZV375" s="56"/>
      <c r="ZW375" s="242">
        <f>SUMPRODUCT(PRODUCE!$B370:$DY370,PRODUCE!$EB$57:$IY$57)</f>
        <v>0</v>
      </c>
      <c r="ZX375" s="56"/>
      <c r="ZY375" s="242">
        <f t="shared" si="2713"/>
        <v>0</v>
      </c>
      <c r="ZZ375" s="242">
        <f t="shared" si="2714"/>
        <v>0</v>
      </c>
      <c r="AAA375" s="56"/>
      <c r="AAD375" s="55">
        <f t="shared" si="2715"/>
        <v>46341</v>
      </c>
      <c r="AAE375" s="56"/>
      <c r="AAF375" s="242">
        <f>SUMPRODUCT(PRODUCE!$B370:$DY370,PRODUCE!$EB$57:$IY$57)</f>
        <v>0</v>
      </c>
      <c r="AAG375" s="56"/>
      <c r="AAH375" s="242">
        <f t="shared" si="2716"/>
        <v>0</v>
      </c>
      <c r="AAI375" s="242">
        <f t="shared" si="2717"/>
        <v>0</v>
      </c>
      <c r="AAJ375" s="56"/>
      <c r="AAM375" s="55">
        <f t="shared" si="2718"/>
        <v>46341</v>
      </c>
      <c r="AAN375" s="56"/>
      <c r="AAO375" s="242">
        <f>SUMPRODUCT(PRODUCE!$B370:$DY370,PRODUCE!$EB$57:$IY$57)</f>
        <v>0</v>
      </c>
      <c r="AAP375" s="56"/>
      <c r="AAQ375" s="242">
        <f t="shared" si="2719"/>
        <v>0</v>
      </c>
      <c r="AAR375" s="242">
        <f t="shared" si="2720"/>
        <v>0</v>
      </c>
      <c r="AAS375" s="56"/>
      <c r="AAV375" s="55">
        <f t="shared" si="2721"/>
        <v>46341</v>
      </c>
      <c r="AAW375" s="56"/>
      <c r="AAX375" s="242">
        <f>SUMPRODUCT(PRODUCE!$B370:$DY370,PRODUCE!$EB$57:$IY$57)</f>
        <v>0</v>
      </c>
      <c r="AAY375" s="56"/>
      <c r="AAZ375" s="242">
        <f t="shared" si="2722"/>
        <v>0</v>
      </c>
      <c r="ABA375" s="242">
        <f t="shared" si="2723"/>
        <v>0</v>
      </c>
      <c r="ABB375" s="56"/>
      <c r="ABE375" s="55">
        <f t="shared" si="2724"/>
        <v>46341</v>
      </c>
      <c r="ABF375" s="56"/>
      <c r="ABG375" s="242">
        <f>SUMPRODUCT(PRODUCE!$B370:$DY370,PRODUCE!$EB$57:$IY$57)</f>
        <v>0</v>
      </c>
      <c r="ABH375" s="56"/>
      <c r="ABI375" s="242">
        <f t="shared" si="2725"/>
        <v>0</v>
      </c>
      <c r="ABJ375" s="242">
        <f t="shared" si="2726"/>
        <v>0</v>
      </c>
      <c r="ABK375" s="56"/>
    </row>
    <row r="376" spans="2:739" s="54" customFormat="1" ht="15" customHeight="1" outlineLevel="1">
      <c r="B376" s="478"/>
      <c r="C376" s="55">
        <v>46342</v>
      </c>
      <c r="D376" s="56"/>
      <c r="E376" s="57">
        <f>SUMPRODUCT(PRODUCE!$B371:$DY371,PRODUCE!$EB$7:$IY$7)</f>
        <v>0</v>
      </c>
      <c r="F376" s="56"/>
      <c r="G376" s="57">
        <f t="shared" si="2482"/>
        <v>0</v>
      </c>
      <c r="H376" s="57">
        <f t="shared" si="2483"/>
        <v>236936.6</v>
      </c>
      <c r="I376" s="289"/>
      <c r="L376" s="55">
        <f t="shared" si="2484"/>
        <v>46342</v>
      </c>
      <c r="M376" s="56"/>
      <c r="N376" s="59">
        <f>SUMPRODUCT(PRODUCE!$B371:$DY371,PRODUCE!$EB$8:$IY$8)</f>
        <v>0</v>
      </c>
      <c r="O376" s="56"/>
      <c r="P376" s="59">
        <f t="shared" si="2485"/>
        <v>0</v>
      </c>
      <c r="Q376" s="59">
        <f t="shared" si="2486"/>
        <v>53017.600000000071</v>
      </c>
      <c r="R376" s="56"/>
      <c r="U376" s="55">
        <f t="shared" si="2487"/>
        <v>46342</v>
      </c>
      <c r="V376" s="56"/>
      <c r="W376" s="60">
        <f>SUMPRODUCT(PRODUCE!$B371:$DY371,PRODUCE!$EB$9:$IY$9)</f>
        <v>0</v>
      </c>
      <c r="X376" s="56"/>
      <c r="Y376" s="60">
        <f t="shared" si="2488"/>
        <v>0</v>
      </c>
      <c r="Z376" s="60">
        <f t="shared" si="2489"/>
        <v>42674.199999999968</v>
      </c>
      <c r="AA376" s="56"/>
      <c r="AD376" s="55">
        <f t="shared" si="2490"/>
        <v>46342</v>
      </c>
      <c r="AE376" s="56"/>
      <c r="AF376" s="61">
        <f>SUMPRODUCT(PRODUCE!$B371:$DY371,PRODUCE!$EB$10:$IY$10)</f>
        <v>0</v>
      </c>
      <c r="AG376" s="56"/>
      <c r="AH376" s="61">
        <f t="shared" si="2491"/>
        <v>0</v>
      </c>
      <c r="AI376" s="61">
        <f t="shared" si="2492"/>
        <v>4522.2000000000189</v>
      </c>
      <c r="AJ376" s="56"/>
      <c r="AM376" s="55">
        <f t="shared" si="2493"/>
        <v>46342</v>
      </c>
      <c r="AN376" s="422"/>
      <c r="AO376" s="444">
        <f>SUMPRODUCT(PRODUCE!$B371:$DY371,PRODUCE!$EB$11:$IY$11)</f>
        <v>0</v>
      </c>
      <c r="AP376" s="422"/>
      <c r="AQ376" s="444">
        <f t="shared" si="2494"/>
        <v>0</v>
      </c>
      <c r="AR376" s="444">
        <f t="shared" si="2495"/>
        <v>0</v>
      </c>
      <c r="AS376" s="56"/>
      <c r="AV376" s="55">
        <f t="shared" si="2496"/>
        <v>46342</v>
      </c>
      <c r="AW376" s="56"/>
      <c r="AX376" s="62">
        <f>SUMPRODUCT(PRODUCE!$B371:$DY371,PRODUCE!$EB$12:$IY$12)</f>
        <v>0</v>
      </c>
      <c r="AY376" s="56"/>
      <c r="AZ376" s="62">
        <f t="shared" si="2497"/>
        <v>0</v>
      </c>
      <c r="BA376" s="62">
        <f t="shared" si="2498"/>
        <v>124.99999999999523</v>
      </c>
      <c r="BB376" s="56"/>
      <c r="BE376" s="55">
        <f t="shared" si="2499"/>
        <v>46342</v>
      </c>
      <c r="BF376" s="56"/>
      <c r="BG376" s="63">
        <f>SUMPRODUCT(PRODUCE!$B371:$DY371,PRODUCE!$EB$13:$IY$13)</f>
        <v>0</v>
      </c>
      <c r="BH376" s="56"/>
      <c r="BI376" s="63">
        <f t="shared" si="2500"/>
        <v>0</v>
      </c>
      <c r="BJ376" s="63">
        <f t="shared" si="2501"/>
        <v>26151.899999999998</v>
      </c>
      <c r="BK376" s="56"/>
      <c r="BN376" s="55">
        <f t="shared" si="2502"/>
        <v>46342</v>
      </c>
      <c r="BO376" s="56"/>
      <c r="BP376" s="64">
        <f>SUMPRODUCT(PRODUCE!$B371:$DY371,PRODUCE!$EB$14:$IY$14)</f>
        <v>0</v>
      </c>
      <c r="BQ376" s="56"/>
      <c r="BR376" s="64">
        <f t="shared" si="2503"/>
        <v>0</v>
      </c>
      <c r="BS376" s="64">
        <f t="shared" si="2504"/>
        <v>0</v>
      </c>
      <c r="BT376" s="56"/>
      <c r="BW376" s="55">
        <f t="shared" si="2505"/>
        <v>46342</v>
      </c>
      <c r="BX376" s="56"/>
      <c r="BY376" s="65">
        <f>SUMPRODUCT(PRODUCE!$B371:$DY371,PRODUCE!$EB$15:$IY$15)</f>
        <v>0</v>
      </c>
      <c r="BZ376" s="56"/>
      <c r="CA376" s="65">
        <f t="shared" si="2506"/>
        <v>0</v>
      </c>
      <c r="CB376" s="65">
        <f t="shared" si="2507"/>
        <v>2097.3399999999992</v>
      </c>
      <c r="CC376" s="56"/>
      <c r="CF376" s="55">
        <f t="shared" si="2508"/>
        <v>46342</v>
      </c>
      <c r="CG376" s="56"/>
      <c r="CH376" s="66">
        <f>SUMPRODUCT(PRODUCE!$B371:$DY371,PRODUCE!$EB$16:$IY$16)</f>
        <v>0</v>
      </c>
      <c r="CI376" s="56"/>
      <c r="CJ376" s="66">
        <f t="shared" si="2509"/>
        <v>0</v>
      </c>
      <c r="CK376" s="66">
        <f t="shared" si="2510"/>
        <v>-10277.079999999998</v>
      </c>
      <c r="CL376" s="56"/>
      <c r="CO376" s="55">
        <f t="shared" si="2511"/>
        <v>46342</v>
      </c>
      <c r="CP376" s="422"/>
      <c r="CQ376" s="470">
        <f>SUMPRODUCT(PRODUCE!$B371:$DY371,PRODUCE!$EB$17:$IY$17)</f>
        <v>0</v>
      </c>
      <c r="CR376" s="422"/>
      <c r="CS376" s="470">
        <f t="shared" si="2512"/>
        <v>0</v>
      </c>
      <c r="CT376" s="470">
        <f t="shared" si="2513"/>
        <v>0</v>
      </c>
      <c r="CU376" s="56"/>
      <c r="CX376" s="55">
        <f t="shared" si="2514"/>
        <v>46342</v>
      </c>
      <c r="CY376" s="56"/>
      <c r="CZ376" s="133">
        <f>SUMPRODUCT(PRODUCE!$B371:$DY371,PRODUCE!$EB$18:$IY$18)</f>
        <v>0</v>
      </c>
      <c r="DA376" s="56"/>
      <c r="DB376" s="133">
        <f t="shared" si="2515"/>
        <v>0</v>
      </c>
      <c r="DC376" s="133">
        <f t="shared" si="2516"/>
        <v>27438.200000000012</v>
      </c>
      <c r="DD376" s="56"/>
      <c r="DG376" s="55">
        <f t="shared" si="2517"/>
        <v>46342</v>
      </c>
      <c r="DH376" s="56"/>
      <c r="DI376" s="147">
        <f>SUMPRODUCT(PRODUCE!$B371:$DY371,PRODUCE!$EB$19:$IY$19)</f>
        <v>0</v>
      </c>
      <c r="DJ376" s="56"/>
      <c r="DK376" s="147">
        <f t="shared" si="2518"/>
        <v>0</v>
      </c>
      <c r="DL376" s="147">
        <f t="shared" si="2519"/>
        <v>18782.299999999981</v>
      </c>
      <c r="DM376" s="56"/>
      <c r="DP376" s="55">
        <f t="shared" si="2520"/>
        <v>46342</v>
      </c>
      <c r="DQ376" s="56"/>
      <c r="DR376" s="57">
        <f>SUMPRODUCT(PRODUCE!$B371:$DY371,PRODUCE!$EB$20:$IY$20)</f>
        <v>0</v>
      </c>
      <c r="DS376" s="56"/>
      <c r="DT376" s="57">
        <f t="shared" si="2521"/>
        <v>0</v>
      </c>
      <c r="DU376" s="57">
        <f t="shared" si="2522"/>
        <v>5800</v>
      </c>
      <c r="DV376" s="56"/>
      <c r="DY376" s="55">
        <f t="shared" si="2523"/>
        <v>46342</v>
      </c>
      <c r="DZ376" s="56"/>
      <c r="EA376" s="157">
        <f>SUMPRODUCT(PRODUCE!$B371:$DY371,PRODUCE!$EB$21:$IY$21)</f>
        <v>0</v>
      </c>
      <c r="EB376" s="56"/>
      <c r="EC376" s="157">
        <f t="shared" si="2524"/>
        <v>0</v>
      </c>
      <c r="ED376" s="157">
        <f t="shared" si="2525"/>
        <v>0</v>
      </c>
      <c r="EE376" s="56"/>
      <c r="EH376" s="55">
        <f t="shared" si="2526"/>
        <v>46342</v>
      </c>
      <c r="EI376" s="56"/>
      <c r="EJ376" s="162">
        <f>SUMPRODUCT(PRODUCE!$B371:$DY371,PRODUCE!$EB$22:$IY$22)</f>
        <v>0</v>
      </c>
      <c r="EK376" s="56"/>
      <c r="EL376" s="162">
        <f t="shared" si="2527"/>
        <v>0</v>
      </c>
      <c r="EM376" s="162">
        <f t="shared" si="2528"/>
        <v>0</v>
      </c>
      <c r="EN376" s="56"/>
      <c r="EQ376" s="55">
        <f t="shared" si="2529"/>
        <v>46342</v>
      </c>
      <c r="ER376" s="56"/>
      <c r="ES376" s="135">
        <f>SUMPRODUCT(PRODUCE!$B371:$DY371,PRODUCE!$EB$23:$IY$23)</f>
        <v>0</v>
      </c>
      <c r="ET376" s="56"/>
      <c r="EU376" s="135">
        <f t="shared" si="2530"/>
        <v>0</v>
      </c>
      <c r="EV376" s="135">
        <f t="shared" si="2531"/>
        <v>0</v>
      </c>
      <c r="EW376" s="56"/>
      <c r="EZ376" s="55">
        <f t="shared" si="2532"/>
        <v>46342</v>
      </c>
      <c r="FA376" s="56"/>
      <c r="FB376" s="175">
        <f>SUMPRODUCT(PRODUCE!$B371:$DY371,PRODUCE!$EB$24:$IY$24)</f>
        <v>0</v>
      </c>
      <c r="FC376" s="56"/>
      <c r="FD376" s="175">
        <f t="shared" si="2533"/>
        <v>0</v>
      </c>
      <c r="FE376" s="175">
        <f t="shared" si="2534"/>
        <v>0</v>
      </c>
      <c r="FF376" s="56"/>
      <c r="FI376" s="55">
        <f t="shared" si="2535"/>
        <v>46342</v>
      </c>
      <c r="FJ376" s="56"/>
      <c r="FK376" s="183">
        <f>SUMPRODUCT(PRODUCE!$B371:$DY371,PRODUCE!$EB$25:$IY$25)</f>
        <v>0</v>
      </c>
      <c r="FL376" s="56"/>
      <c r="FM376" s="183">
        <f t="shared" si="2536"/>
        <v>0</v>
      </c>
      <c r="FN376" s="183">
        <f t="shared" si="2537"/>
        <v>0</v>
      </c>
      <c r="FO376" s="56"/>
      <c r="FR376" s="55">
        <f t="shared" si="2538"/>
        <v>46342</v>
      </c>
      <c r="FS376" s="56"/>
      <c r="FT376" s="186">
        <f>SUMPRODUCT(PRODUCE!$B371:$DY371,PRODUCE!$EB$26:$IY$26)</f>
        <v>0</v>
      </c>
      <c r="FU376" s="56"/>
      <c r="FV376" s="186">
        <f t="shared" si="2539"/>
        <v>0</v>
      </c>
      <c r="FW376" s="186">
        <f t="shared" si="2540"/>
        <v>2020</v>
      </c>
      <c r="FX376" s="56"/>
      <c r="GA376" s="55">
        <f t="shared" si="2541"/>
        <v>46342</v>
      </c>
      <c r="GB376" s="56"/>
      <c r="GC376" s="137">
        <f>SUMPRODUCT(PRODUCE!$B371:$DY371,PRODUCE!$EB$27:$IY$27)</f>
        <v>0</v>
      </c>
      <c r="GD376" s="56"/>
      <c r="GE376" s="137">
        <f t="shared" si="2542"/>
        <v>0</v>
      </c>
      <c r="GF376" s="137">
        <f t="shared" si="2543"/>
        <v>960</v>
      </c>
      <c r="GG376" s="56"/>
      <c r="GI376" s="23"/>
      <c r="GJ376" s="55">
        <f t="shared" si="2544"/>
        <v>46342</v>
      </c>
      <c r="GK376" s="56"/>
      <c r="GL376" s="199">
        <f>SUMPRODUCT(PRODUCE!$B371:$DY371,PRODUCE!$EB$28:$IY$28)</f>
        <v>0</v>
      </c>
      <c r="GM376" s="56"/>
      <c r="GN376" s="199">
        <f t="shared" si="2545"/>
        <v>0</v>
      </c>
      <c r="GO376" s="199">
        <f t="shared" si="2546"/>
        <v>1760</v>
      </c>
      <c r="GP376" s="56"/>
      <c r="GS376" s="55">
        <f t="shared" si="2547"/>
        <v>46342</v>
      </c>
      <c r="GT376" s="56"/>
      <c r="GU376" s="195">
        <f>SUMPRODUCT(PRODUCE!$B371:$DY371,PRODUCE!$EB$29:$IY$29)</f>
        <v>0</v>
      </c>
      <c r="GV376" s="56"/>
      <c r="GW376" s="195">
        <f t="shared" si="2548"/>
        <v>0</v>
      </c>
      <c r="GX376" s="195">
        <f t="shared" si="2549"/>
        <v>400</v>
      </c>
      <c r="GY376" s="56"/>
      <c r="HB376" s="55">
        <f t="shared" si="2550"/>
        <v>46342</v>
      </c>
      <c r="HC376" s="56"/>
      <c r="HD376" s="191">
        <f>SUMPRODUCT(PRODUCE!$B371:$DY371,PRODUCE!$EB$30:$IY$30)</f>
        <v>0</v>
      </c>
      <c r="HE376" s="56"/>
      <c r="HF376" s="191">
        <f t="shared" si="2551"/>
        <v>0</v>
      </c>
      <c r="HG376" s="191">
        <f t="shared" si="2552"/>
        <v>3600</v>
      </c>
      <c r="HH376" s="56"/>
      <c r="HK376" s="55">
        <f t="shared" si="2553"/>
        <v>46342</v>
      </c>
      <c r="HL376" s="56"/>
      <c r="HM376" s="63">
        <f>SUMPRODUCT(PRODUCE!$B371:$DY371,PRODUCE!$EB$31:$IY$31)</f>
        <v>0</v>
      </c>
      <c r="HN376" s="56"/>
      <c r="HO376" s="63">
        <f t="shared" si="2554"/>
        <v>0</v>
      </c>
      <c r="HP376" s="63">
        <f t="shared" si="2555"/>
        <v>0</v>
      </c>
      <c r="HQ376" s="56"/>
      <c r="HU376" s="55">
        <f t="shared" si="2556"/>
        <v>46342</v>
      </c>
      <c r="HV376" s="56"/>
      <c r="HW376" s="242">
        <f>SUMPRODUCT(PRODUCE!$B371:$DY371,PRODUCE!$EB$32:$IY$32)</f>
        <v>0</v>
      </c>
      <c r="HX376" s="56"/>
      <c r="HY376" s="242">
        <f t="shared" si="2557"/>
        <v>0</v>
      </c>
      <c r="HZ376" s="242">
        <f t="shared" si="2558"/>
        <v>6120</v>
      </c>
      <c r="IA376" s="56"/>
      <c r="ID376" s="55">
        <f t="shared" si="2559"/>
        <v>46342</v>
      </c>
      <c r="IE376" s="56"/>
      <c r="IF376" s="242">
        <f>SUMPRODUCT(PRODUCE!$B371:$DY371,PRODUCE!$EB$33:$IY$33)</f>
        <v>0</v>
      </c>
      <c r="IG376" s="56"/>
      <c r="IH376" s="242">
        <f t="shared" si="2560"/>
        <v>0</v>
      </c>
      <c r="II376" s="242">
        <f t="shared" si="2561"/>
        <v>0</v>
      </c>
      <c r="IJ376" s="56"/>
      <c r="IM376" s="55">
        <f t="shared" si="2562"/>
        <v>46342</v>
      </c>
      <c r="IN376" s="56"/>
      <c r="IO376" s="242">
        <f>SUMPRODUCT(PRODUCE!$B371:$DY371,PRODUCE!$EB$34:$IY$34)</f>
        <v>0</v>
      </c>
      <c r="IP376" s="56"/>
      <c r="IQ376" s="242">
        <f t="shared" si="2563"/>
        <v>0</v>
      </c>
      <c r="IR376" s="242">
        <f t="shared" si="2564"/>
        <v>0</v>
      </c>
      <c r="IS376" s="56"/>
      <c r="IV376" s="55">
        <f t="shared" si="2565"/>
        <v>46342</v>
      </c>
      <c r="IW376" s="56"/>
      <c r="IX376" s="242">
        <f>SUMPRODUCT(PRODUCE!$B371:$DY371,PRODUCE!$EB$35:$IY$35)</f>
        <v>0</v>
      </c>
      <c r="IY376" s="56"/>
      <c r="IZ376" s="242">
        <f t="shared" si="2566"/>
        <v>0</v>
      </c>
      <c r="JA376" s="242">
        <f t="shared" si="2567"/>
        <v>2820</v>
      </c>
      <c r="JB376" s="56"/>
      <c r="JE376" s="55">
        <f t="shared" si="2568"/>
        <v>46342</v>
      </c>
      <c r="JF376" s="56"/>
      <c r="JG376" s="242">
        <f>SUMPRODUCT(PRODUCE!$B371:$DY371,PRODUCE!$EB$36:$IY$36)</f>
        <v>0</v>
      </c>
      <c r="JH376" s="56"/>
      <c r="JI376" s="242">
        <f t="shared" si="2569"/>
        <v>0</v>
      </c>
      <c r="JJ376" s="242">
        <f t="shared" si="2570"/>
        <v>0</v>
      </c>
      <c r="JK376" s="56"/>
      <c r="JN376" s="55">
        <f t="shared" si="2571"/>
        <v>46342</v>
      </c>
      <c r="JO376" s="56"/>
      <c r="JP376" s="242">
        <f>SUMPRODUCT(PRODUCE!$B371:$DY371,PRODUCE!$EB$37:$IY$37)</f>
        <v>0</v>
      </c>
      <c r="JQ376" s="56"/>
      <c r="JR376" s="242">
        <f t="shared" si="2572"/>
        <v>0</v>
      </c>
      <c r="JS376" s="242">
        <f t="shared" si="2573"/>
        <v>0</v>
      </c>
      <c r="JT376" s="56"/>
      <c r="JW376" s="55">
        <f t="shared" si="2574"/>
        <v>46342</v>
      </c>
      <c r="JX376" s="56"/>
      <c r="JY376" s="242">
        <f>SUMPRODUCT(PRODUCE!$B371:$DY371,PRODUCE!$EB$38:$IY$38)</f>
        <v>0</v>
      </c>
      <c r="JZ376" s="56"/>
      <c r="KA376" s="242">
        <f t="shared" si="2575"/>
        <v>0</v>
      </c>
      <c r="KB376" s="242">
        <f t="shared" si="2576"/>
        <v>2540</v>
      </c>
      <c r="KC376" s="56"/>
      <c r="KF376" s="55">
        <f t="shared" si="2577"/>
        <v>46342</v>
      </c>
      <c r="KG376" s="56"/>
      <c r="KH376" s="242">
        <f>SUMPRODUCT(PRODUCE!$B371:$DY371,PRODUCE!$EB$39:$IY$39)</f>
        <v>0</v>
      </c>
      <c r="KI376" s="56"/>
      <c r="KJ376" s="242">
        <f t="shared" si="2578"/>
        <v>0</v>
      </c>
      <c r="KK376" s="242">
        <f t="shared" si="2579"/>
        <v>2359.5</v>
      </c>
      <c r="KL376" s="56"/>
      <c r="KO376" s="55">
        <f t="shared" si="2580"/>
        <v>46342</v>
      </c>
      <c r="KP376" s="56"/>
      <c r="KQ376" s="242">
        <f>SUMPRODUCT(PRODUCE!$B371:$DY371,PRODUCE!$EB$40:$IY$40)</f>
        <v>0</v>
      </c>
      <c r="KR376" s="56"/>
      <c r="KS376" s="242">
        <f t="shared" si="2581"/>
        <v>0</v>
      </c>
      <c r="KT376" s="242">
        <f t="shared" si="2582"/>
        <v>1890</v>
      </c>
      <c r="KU376" s="56"/>
      <c r="KW376" s="23"/>
      <c r="KX376" s="55">
        <f t="shared" si="2583"/>
        <v>46342</v>
      </c>
      <c r="KY376" s="56"/>
      <c r="KZ376" s="242">
        <f>SUMPRODUCT(PRODUCE!$B371:$DY371,PRODUCE!$EB$41:$IY$41)</f>
        <v>0</v>
      </c>
      <c r="LA376" s="56"/>
      <c r="LB376" s="242">
        <f t="shared" si="2584"/>
        <v>0</v>
      </c>
      <c r="LC376" s="242">
        <f t="shared" si="2585"/>
        <v>3690</v>
      </c>
      <c r="LD376" s="56"/>
      <c r="LG376" s="55">
        <f t="shared" si="2586"/>
        <v>46342</v>
      </c>
      <c r="LH376" s="56"/>
      <c r="LI376" s="242">
        <f>SUMPRODUCT(PRODUCE!$B371:$DY371,PRODUCE!$EB$42:$IY$42)</f>
        <v>0</v>
      </c>
      <c r="LJ376" s="56"/>
      <c r="LK376" s="242">
        <f t="shared" si="2587"/>
        <v>0</v>
      </c>
      <c r="LL376" s="242">
        <f t="shared" si="2588"/>
        <v>4000</v>
      </c>
      <c r="LM376" s="56"/>
      <c r="LP376" s="55">
        <f t="shared" si="2589"/>
        <v>46342</v>
      </c>
      <c r="LQ376" s="56"/>
      <c r="LR376" s="242">
        <f>SUMPRODUCT(PRODUCE!$B391:$DY391,PRODUCE!$EB$43:$IY$43)</f>
        <v>0</v>
      </c>
      <c r="LS376" s="56"/>
      <c r="LT376" s="242">
        <f t="shared" si="2590"/>
        <v>0</v>
      </c>
      <c r="LU376" s="242">
        <f t="shared" si="2591"/>
        <v>0</v>
      </c>
      <c r="LV376" s="56"/>
      <c r="LY376" s="55">
        <f t="shared" si="2592"/>
        <v>46342</v>
      </c>
      <c r="LZ376" s="56"/>
      <c r="MA376" s="242">
        <f>SUMPRODUCT(PRODUCE!$B371:$DY371,PRODUCE!$EB$44:$IY$44)</f>
        <v>0</v>
      </c>
      <c r="MB376" s="56"/>
      <c r="MC376" s="242">
        <f t="shared" si="2593"/>
        <v>0</v>
      </c>
      <c r="MD376" s="242">
        <f t="shared" si="2594"/>
        <v>0</v>
      </c>
      <c r="ME376" s="56"/>
      <c r="MH376" s="55">
        <f t="shared" si="2595"/>
        <v>46342</v>
      </c>
      <c r="MI376" s="56"/>
      <c r="MJ376" s="242">
        <f>SUMPRODUCT(PRODUCE!$B371:$DY371,PRODUCE!$EB$45:$IY$45)</f>
        <v>0</v>
      </c>
      <c r="MK376" s="56"/>
      <c r="ML376" s="242">
        <f t="shared" si="2596"/>
        <v>0</v>
      </c>
      <c r="MM376" s="242">
        <f t="shared" si="2597"/>
        <v>0</v>
      </c>
      <c r="MN376" s="56"/>
      <c r="MQ376" s="55">
        <f t="shared" si="2598"/>
        <v>46342</v>
      </c>
      <c r="MR376" s="56"/>
      <c r="MS376" s="242">
        <f>SUMPRODUCT(PRODUCE!$B371:$DY371,PRODUCE!$EB$46:$IY$46)</f>
        <v>0</v>
      </c>
      <c r="MT376" s="56"/>
      <c r="MU376" s="242">
        <f t="shared" si="2599"/>
        <v>0</v>
      </c>
      <c r="MV376" s="242">
        <f t="shared" si="2600"/>
        <v>1625</v>
      </c>
      <c r="MW376" s="56"/>
      <c r="MZ376" s="55">
        <f t="shared" si="2601"/>
        <v>46342</v>
      </c>
      <c r="NA376" s="56"/>
      <c r="NB376" s="242">
        <f>SUMPRODUCT(PRODUCE!$B371:$DY371,PRODUCE!$EB$47:$IY$47)</f>
        <v>0</v>
      </c>
      <c r="NC376" s="56"/>
      <c r="ND376" s="242">
        <f t="shared" si="2602"/>
        <v>0</v>
      </c>
      <c r="NE376" s="242">
        <f t="shared" si="2603"/>
        <v>0</v>
      </c>
      <c r="NF376" s="56"/>
      <c r="NI376" s="55">
        <f t="shared" si="2604"/>
        <v>46342</v>
      </c>
      <c r="NJ376" s="56"/>
      <c r="NK376" s="242">
        <f>SUMPRODUCT(PRODUCE!$B371:$DY371,PRODUCE!$EB$48:$IY$48)</f>
        <v>0</v>
      </c>
      <c r="NL376" s="56"/>
      <c r="NM376" s="242">
        <f t="shared" si="2605"/>
        <v>0</v>
      </c>
      <c r="NN376" s="242">
        <f t="shared" si="2606"/>
        <v>1127</v>
      </c>
      <c r="NO376" s="56"/>
      <c r="NR376" s="55">
        <f t="shared" si="2607"/>
        <v>46342</v>
      </c>
      <c r="NS376" s="56"/>
      <c r="NT376" s="242">
        <f>SUMPRODUCT(PRODUCE!$B371:$DY371,PRODUCE!$EB$49:$IY$49)</f>
        <v>0</v>
      </c>
      <c r="NU376" s="56"/>
      <c r="NV376" s="242">
        <f t="shared" si="2608"/>
        <v>0</v>
      </c>
      <c r="NW376" s="242">
        <f t="shared" si="2609"/>
        <v>3111.9999999999995</v>
      </c>
      <c r="NX376" s="56"/>
      <c r="OA376" s="55">
        <f t="shared" si="2610"/>
        <v>46342</v>
      </c>
      <c r="OB376" s="56"/>
      <c r="OC376" s="242">
        <f>SUMPRODUCT(PRODUCE!$B371:$DY371,PRODUCE!$EB$50:$IY$50)</f>
        <v>0</v>
      </c>
      <c r="OD376" s="56"/>
      <c r="OE376" s="242">
        <f t="shared" si="2611"/>
        <v>0</v>
      </c>
      <c r="OF376" s="242">
        <f t="shared" si="2612"/>
        <v>1680.5</v>
      </c>
      <c r="OG376" s="56"/>
      <c r="OJ376" s="55">
        <f t="shared" si="2613"/>
        <v>46342</v>
      </c>
      <c r="OK376" s="56"/>
      <c r="OL376" s="242">
        <f>SUMPRODUCT(PRODUCE!$B371:$DY371,PRODUCE!$EB$51:$IY$51)</f>
        <v>0</v>
      </c>
      <c r="OM376" s="56"/>
      <c r="ON376" s="242">
        <f t="shared" si="2614"/>
        <v>0</v>
      </c>
      <c r="OO376" s="242">
        <f t="shared" si="2615"/>
        <v>0</v>
      </c>
      <c r="OP376" s="56"/>
      <c r="OS376" s="55">
        <f t="shared" si="2616"/>
        <v>46342</v>
      </c>
      <c r="OT376" s="56"/>
      <c r="OU376" s="242">
        <f>SUMPRODUCT(PRODUCE!$B371:$DY371,PRODUCE!$EB$52:$IY$52)</f>
        <v>0</v>
      </c>
      <c r="OV376" s="56"/>
      <c r="OW376" s="242">
        <f t="shared" si="2617"/>
        <v>0</v>
      </c>
      <c r="OX376" s="242">
        <f t="shared" si="2618"/>
        <v>1482</v>
      </c>
      <c r="OY376" s="56"/>
      <c r="PB376" s="55">
        <f t="shared" si="2619"/>
        <v>46342</v>
      </c>
      <c r="PC376" s="56"/>
      <c r="PD376" s="242">
        <f>SUMPRODUCT(PRODUCE!$B371:$DY371,PRODUCE!$EB$53:$IY$53)</f>
        <v>0</v>
      </c>
      <c r="PE376" s="56"/>
      <c r="PF376" s="242">
        <f t="shared" si="2620"/>
        <v>0</v>
      </c>
      <c r="PG376" s="242">
        <f t="shared" si="2621"/>
        <v>0</v>
      </c>
      <c r="PH376" s="56"/>
      <c r="PK376" s="55">
        <f t="shared" si="2622"/>
        <v>46342</v>
      </c>
      <c r="PL376" s="56"/>
      <c r="PM376" s="242">
        <f>SUMPRODUCT(PRODUCE!$B371:$DY371,PRODUCE!$EB$54:$IY$54)</f>
        <v>0</v>
      </c>
      <c r="PN376" s="56"/>
      <c r="PO376" s="242">
        <f t="shared" si="2623"/>
        <v>0</v>
      </c>
      <c r="PP376" s="242">
        <f t="shared" si="2624"/>
        <v>100</v>
      </c>
      <c r="PQ376" s="56"/>
      <c r="PT376" s="55">
        <f t="shared" si="2625"/>
        <v>46342</v>
      </c>
      <c r="PU376" s="56"/>
      <c r="PV376" s="242">
        <f>SUMPRODUCT(PRODUCE!$B371:$DY371,PRODUCE!$EB$55:$IY$55)</f>
        <v>0</v>
      </c>
      <c r="PW376" s="56"/>
      <c r="PX376" s="242">
        <f t="shared" si="2626"/>
        <v>0</v>
      </c>
      <c r="PY376" s="242">
        <f t="shared" si="2627"/>
        <v>13.960000000000036</v>
      </c>
      <c r="PZ376" s="56"/>
      <c r="QC376" s="55">
        <f t="shared" si="2628"/>
        <v>46342</v>
      </c>
      <c r="QD376" s="56"/>
      <c r="QE376" s="242">
        <f>SUMPRODUCT(PRODUCE!$B371:$DY371,PRODUCE!$EB$56:$IY$56)</f>
        <v>0</v>
      </c>
      <c r="QF376" s="56"/>
      <c r="QG376" s="242">
        <f t="shared" si="2629"/>
        <v>0</v>
      </c>
      <c r="QH376" s="242">
        <f t="shared" si="2630"/>
        <v>548</v>
      </c>
      <c r="QI376" s="56"/>
      <c r="QL376" s="55">
        <f t="shared" si="2631"/>
        <v>46342</v>
      </c>
      <c r="QM376" s="56"/>
      <c r="QN376" s="242">
        <f>SUMPRODUCT(PRODUCE!$B371:$DY371,PRODUCE!$EB$57:$IY$57)</f>
        <v>0</v>
      </c>
      <c r="QO376" s="56"/>
      <c r="QP376" s="242">
        <f t="shared" si="2632"/>
        <v>0</v>
      </c>
      <c r="QQ376" s="242">
        <f t="shared" si="2633"/>
        <v>0</v>
      </c>
      <c r="QR376" s="56"/>
      <c r="QU376" s="55">
        <f t="shared" si="2634"/>
        <v>46342</v>
      </c>
      <c r="QV376" s="56"/>
      <c r="QW376" s="242">
        <f>SUMPRODUCT(PRODUCE!$B371:$DY371,PRODUCE!$EB$57:$IY$57)</f>
        <v>0</v>
      </c>
      <c r="QX376" s="56"/>
      <c r="QY376" s="242">
        <f t="shared" si="2635"/>
        <v>0</v>
      </c>
      <c r="QZ376" s="242">
        <f t="shared" si="2636"/>
        <v>0</v>
      </c>
      <c r="RA376" s="56"/>
      <c r="RD376" s="55">
        <f t="shared" si="2637"/>
        <v>46342</v>
      </c>
      <c r="RE376" s="56"/>
      <c r="RF376" s="242">
        <f>SUMPRODUCT(PRODUCE!$B371:$DY371,PRODUCE!$EB$58:$IY$58)</f>
        <v>0</v>
      </c>
      <c r="RG376" s="56"/>
      <c r="RH376" s="242">
        <f t="shared" si="2638"/>
        <v>0</v>
      </c>
      <c r="RI376" s="242">
        <f t="shared" si="2639"/>
        <v>147.04000000000002</v>
      </c>
      <c r="RJ376" s="56"/>
      <c r="RM376" s="55">
        <f t="shared" si="2640"/>
        <v>46342</v>
      </c>
      <c r="RN376" s="56"/>
      <c r="RO376" s="242">
        <f>SUMPRODUCT(PRODUCE!$B371:$DY371,PRODUCE!$EB$57:$IY$57)</f>
        <v>0</v>
      </c>
      <c r="RP376" s="56"/>
      <c r="RQ376" s="242">
        <f t="shared" si="2641"/>
        <v>0</v>
      </c>
      <c r="RR376" s="242">
        <f t="shared" si="2642"/>
        <v>46.8</v>
      </c>
      <c r="RS376" s="56"/>
      <c r="RV376" s="55">
        <f t="shared" si="2643"/>
        <v>46342</v>
      </c>
      <c r="RW376" s="56"/>
      <c r="RX376" s="242">
        <f>SUMPRODUCT(PRODUCE!$B371:$DY371,PRODUCE!$EB$57:$IY$57)</f>
        <v>0</v>
      </c>
      <c r="RY376" s="56"/>
      <c r="RZ376" s="242">
        <f t="shared" si="2644"/>
        <v>0</v>
      </c>
      <c r="SA376" s="242">
        <f t="shared" si="2645"/>
        <v>0</v>
      </c>
      <c r="SB376" s="56"/>
      <c r="SE376" s="55">
        <f t="shared" si="2646"/>
        <v>46342</v>
      </c>
      <c r="SF376" s="56"/>
      <c r="SG376" s="242">
        <f>SUMPRODUCT(PRODUCE!$B371:$DY371,PRODUCE!$EB$61:$IY$61)</f>
        <v>0</v>
      </c>
      <c r="SH376" s="56"/>
      <c r="SI376" s="242">
        <f t="shared" si="2647"/>
        <v>0</v>
      </c>
      <c r="SJ376" s="242">
        <f t="shared" si="2648"/>
        <v>24.200000000000003</v>
      </c>
      <c r="SK376" s="56"/>
      <c r="SN376" s="55">
        <f t="shared" si="2649"/>
        <v>46342</v>
      </c>
      <c r="SO376" s="56"/>
      <c r="SP376" s="242">
        <f>SUMPRODUCT(PRODUCE!$B371:$DY371,PRODUCE!$EB$57:$IY$57)</f>
        <v>0</v>
      </c>
      <c r="SQ376" s="56"/>
      <c r="SR376" s="242">
        <f t="shared" si="2650"/>
        <v>0</v>
      </c>
      <c r="SS376" s="242">
        <f t="shared" si="2651"/>
        <v>32</v>
      </c>
      <c r="ST376" s="56"/>
      <c r="SW376" s="55">
        <f t="shared" si="2652"/>
        <v>46342</v>
      </c>
      <c r="SX376" s="56"/>
      <c r="SY376" s="242">
        <f>SUMPRODUCT(PRODUCE!$B371:$DY371,PRODUCE!$EB$57:$IY$57)</f>
        <v>0</v>
      </c>
      <c r="SZ376" s="56"/>
      <c r="TA376" s="242">
        <f t="shared" si="2653"/>
        <v>0</v>
      </c>
      <c r="TB376" s="242">
        <f t="shared" si="2654"/>
        <v>0</v>
      </c>
      <c r="TC376" s="56"/>
      <c r="TF376" s="55">
        <f t="shared" si="2655"/>
        <v>46342</v>
      </c>
      <c r="TG376" s="56"/>
      <c r="TH376" s="242">
        <f>SUMPRODUCT(PRODUCE!$B371:$DY371,PRODUCE!$EB$57:$IY$57)</f>
        <v>0</v>
      </c>
      <c r="TI376" s="56"/>
      <c r="TJ376" s="242">
        <f t="shared" si="2656"/>
        <v>0</v>
      </c>
      <c r="TK376" s="242">
        <f t="shared" si="2657"/>
        <v>0</v>
      </c>
      <c r="TL376" s="56"/>
      <c r="TO376" s="55">
        <f t="shared" si="2658"/>
        <v>46342</v>
      </c>
      <c r="TP376" s="56"/>
      <c r="TQ376" s="242">
        <f>SUMPRODUCT(PRODUCE!$B371:$DY371,PRODUCE!$EB$57:$IY$57)</f>
        <v>0</v>
      </c>
      <c r="TR376" s="56"/>
      <c r="TS376" s="242">
        <f t="shared" si="2659"/>
        <v>0</v>
      </c>
      <c r="TT376" s="242">
        <f t="shared" si="2660"/>
        <v>0</v>
      </c>
      <c r="TU376" s="56"/>
      <c r="TX376" s="55">
        <f t="shared" si="2661"/>
        <v>46342</v>
      </c>
      <c r="TY376" s="56"/>
      <c r="TZ376" s="242">
        <f>SUMPRODUCT(PRODUCE!$B371:$DY371,PRODUCE!$EB$57:$IY$57)</f>
        <v>0</v>
      </c>
      <c r="UA376" s="56"/>
      <c r="UB376" s="242">
        <f t="shared" si="2662"/>
        <v>0</v>
      </c>
      <c r="UC376" s="242">
        <f t="shared" si="2663"/>
        <v>46.799999999999983</v>
      </c>
      <c r="UD376" s="56"/>
      <c r="UG376" s="55">
        <f t="shared" si="2664"/>
        <v>46342</v>
      </c>
      <c r="UH376" s="56"/>
      <c r="UI376" s="242">
        <f>SUMPRODUCT(PRODUCE!$B371:$DY371,PRODUCE!$EB$57:$IY$57)</f>
        <v>0</v>
      </c>
      <c r="UJ376" s="56"/>
      <c r="UK376" s="242">
        <f t="shared" si="2665"/>
        <v>0</v>
      </c>
      <c r="UL376" s="242">
        <f t="shared" si="2666"/>
        <v>204</v>
      </c>
      <c r="UM376" s="56"/>
      <c r="UP376" s="55">
        <f t="shared" si="2667"/>
        <v>46342</v>
      </c>
      <c r="UQ376" s="56"/>
      <c r="UR376" s="242">
        <f>SUMPRODUCT(PRODUCE!$B371:$DY371,PRODUCE!$EB$57:$IY$57)</f>
        <v>0</v>
      </c>
      <c r="US376" s="56"/>
      <c r="UT376" s="242">
        <f t="shared" si="2668"/>
        <v>0</v>
      </c>
      <c r="UU376" s="242">
        <f t="shared" si="2669"/>
        <v>202.5</v>
      </c>
      <c r="UV376" s="56"/>
      <c r="UY376" s="55">
        <f t="shared" si="2670"/>
        <v>46342</v>
      </c>
      <c r="UZ376" s="56"/>
      <c r="VA376" s="242">
        <f>SUMPRODUCT(PRODUCE!$B371:$DY371,PRODUCE!$EB$57:$IY$57)</f>
        <v>0</v>
      </c>
      <c r="VB376" s="56"/>
      <c r="VC376" s="242">
        <f t="shared" si="2671"/>
        <v>0</v>
      </c>
      <c r="VD376" s="242">
        <f t="shared" si="2672"/>
        <v>41.600000000000023</v>
      </c>
      <c r="VE376" s="56"/>
      <c r="VH376" s="55">
        <f t="shared" si="2673"/>
        <v>46342</v>
      </c>
      <c r="VI376" s="56"/>
      <c r="VJ376" s="242">
        <f>SUMPRODUCT(PRODUCE!$B371:$DY371,PRODUCE!$EB$57:$IY$57)</f>
        <v>0</v>
      </c>
      <c r="VK376" s="56"/>
      <c r="VL376" s="242">
        <f t="shared" si="2674"/>
        <v>0</v>
      </c>
      <c r="VM376" s="242">
        <f t="shared" si="2675"/>
        <v>210</v>
      </c>
      <c r="VN376" s="56"/>
      <c r="VQ376" s="55">
        <f t="shared" si="2676"/>
        <v>46342</v>
      </c>
      <c r="VR376" s="56"/>
      <c r="VS376" s="242">
        <f>SUMPRODUCT(PRODUCE!$B371:$DY371,PRODUCE!$EB$57:$IY$57)</f>
        <v>0</v>
      </c>
      <c r="VT376" s="56"/>
      <c r="VU376" s="242">
        <f t="shared" si="2677"/>
        <v>0</v>
      </c>
      <c r="VV376" s="242">
        <f t="shared" si="2678"/>
        <v>0</v>
      </c>
      <c r="VW376" s="56"/>
      <c r="VZ376" s="55">
        <f t="shared" si="2679"/>
        <v>46342</v>
      </c>
      <c r="WA376" s="56"/>
      <c r="WB376" s="242">
        <f>SUMPRODUCT(PRODUCE!$B371:$DY371,PRODUCE!$EB$57:$IY$57)</f>
        <v>0</v>
      </c>
      <c r="WC376" s="56"/>
      <c r="WD376" s="242">
        <f t="shared" si="2680"/>
        <v>0</v>
      </c>
      <c r="WE376" s="242">
        <f t="shared" si="2681"/>
        <v>0</v>
      </c>
      <c r="WF376" s="56"/>
      <c r="WI376" s="55">
        <f t="shared" si="2682"/>
        <v>46342</v>
      </c>
      <c r="WJ376" s="56"/>
      <c r="WK376" s="242">
        <f>SUMPRODUCT(PRODUCE!$B371:$DY371,PRODUCE!$EB$57:$IY$57)</f>
        <v>0</v>
      </c>
      <c r="WL376" s="56"/>
      <c r="WM376" s="242">
        <f t="shared" si="2683"/>
        <v>0</v>
      </c>
      <c r="WN376" s="242">
        <f t="shared" si="2684"/>
        <v>1057</v>
      </c>
      <c r="WO376" s="56"/>
      <c r="WR376" s="55">
        <f t="shared" si="2685"/>
        <v>46342</v>
      </c>
      <c r="WS376" s="56"/>
      <c r="WT376" s="242">
        <f>SUMPRODUCT(PRODUCE!$B371:$DY371,PRODUCE!$EB$57:$IY$57)</f>
        <v>0</v>
      </c>
      <c r="WU376" s="56"/>
      <c r="WV376" s="242">
        <f t="shared" si="2686"/>
        <v>0</v>
      </c>
      <c r="WW376" s="242">
        <f t="shared" si="2687"/>
        <v>0</v>
      </c>
      <c r="WX376" s="56"/>
      <c r="XA376" s="55">
        <f t="shared" si="2688"/>
        <v>46342</v>
      </c>
      <c r="XB376" s="56"/>
      <c r="XC376" s="242">
        <f>SUMPRODUCT(PRODUCE!$B371:$DY371,PRODUCE!$EB$57:$IY$57)</f>
        <v>0</v>
      </c>
      <c r="XD376" s="56"/>
      <c r="XE376" s="242">
        <f t="shared" si="2689"/>
        <v>0</v>
      </c>
      <c r="XF376" s="242">
        <f t="shared" si="2690"/>
        <v>7507</v>
      </c>
      <c r="XG376" s="56"/>
      <c r="XJ376" s="55">
        <f t="shared" si="2691"/>
        <v>46342</v>
      </c>
      <c r="XK376" s="56"/>
      <c r="XL376" s="242">
        <f>SUMPRODUCT(PRODUCE!$B371:$DY371,PRODUCE!$EB$57:$IY$57)</f>
        <v>0</v>
      </c>
      <c r="XM376" s="56"/>
      <c r="XN376" s="242">
        <f t="shared" si="2692"/>
        <v>0</v>
      </c>
      <c r="XO376" s="242">
        <f t="shared" si="2693"/>
        <v>4252</v>
      </c>
      <c r="XP376" s="56"/>
      <c r="XS376" s="55">
        <f t="shared" si="2694"/>
        <v>46342</v>
      </c>
      <c r="XT376" s="56"/>
      <c r="XU376" s="242">
        <f>SUMPRODUCT(PRODUCE!$B371:$DY371,PRODUCE!$EB$57:$IY$57)</f>
        <v>0</v>
      </c>
      <c r="XV376" s="56"/>
      <c r="XW376" s="242">
        <f t="shared" si="2695"/>
        <v>0</v>
      </c>
      <c r="XX376" s="242">
        <f t="shared" si="2696"/>
        <v>2179</v>
      </c>
      <c r="XY376" s="56"/>
      <c r="YB376" s="55">
        <f t="shared" si="2697"/>
        <v>46342</v>
      </c>
      <c r="YC376" s="56"/>
      <c r="YD376" s="242">
        <f>SUMPRODUCT(PRODUCE!$B371:$DY371,PRODUCE!$EB$57:$IY$57)</f>
        <v>0</v>
      </c>
      <c r="YE376" s="56"/>
      <c r="YF376" s="242">
        <f t="shared" si="2698"/>
        <v>0</v>
      </c>
      <c r="YG376" s="242">
        <f t="shared" si="2699"/>
        <v>4019</v>
      </c>
      <c r="YH376" s="56"/>
      <c r="YK376" s="55">
        <f t="shared" si="2700"/>
        <v>46342</v>
      </c>
      <c r="YL376" s="56"/>
      <c r="YM376" s="242">
        <f>SUMPRODUCT(PRODUCE!$B371:$DY371,PRODUCE!$EB$57:$IY$57)</f>
        <v>0</v>
      </c>
      <c r="YN376" s="56"/>
      <c r="YO376" s="242">
        <f t="shared" si="2701"/>
        <v>0</v>
      </c>
      <c r="YP376" s="242">
        <f t="shared" si="2702"/>
        <v>-218</v>
      </c>
      <c r="YQ376" s="56"/>
      <c r="YT376" s="55">
        <f t="shared" si="2703"/>
        <v>46342</v>
      </c>
      <c r="YU376" s="56"/>
      <c r="YV376" s="242">
        <f>SUMPRODUCT(PRODUCE!$B371:$DY371,PRODUCE!$EB$57:$IY$57)</f>
        <v>0</v>
      </c>
      <c r="YW376" s="56"/>
      <c r="YX376" s="242">
        <f t="shared" si="2704"/>
        <v>0</v>
      </c>
      <c r="YY376" s="242">
        <f t="shared" si="2705"/>
        <v>0</v>
      </c>
      <c r="YZ376" s="56"/>
      <c r="ZC376" s="55">
        <f t="shared" si="2706"/>
        <v>46342</v>
      </c>
      <c r="ZD376" s="56"/>
      <c r="ZE376" s="242">
        <f>SUMPRODUCT(PRODUCE!$B371:$DY371,PRODUCE!$EB$57:$IY$57)</f>
        <v>0</v>
      </c>
      <c r="ZF376" s="56"/>
      <c r="ZG376" s="242">
        <f t="shared" si="2707"/>
        <v>0</v>
      </c>
      <c r="ZH376" s="242">
        <f t="shared" si="2708"/>
        <v>0</v>
      </c>
      <c r="ZI376" s="56"/>
      <c r="ZL376" s="55">
        <f t="shared" si="2709"/>
        <v>46342</v>
      </c>
      <c r="ZM376" s="56"/>
      <c r="ZN376" s="242">
        <f>SUMPRODUCT(PRODUCE!$B371:$DY371,PRODUCE!$EB$57:$IY$57)</f>
        <v>0</v>
      </c>
      <c r="ZO376" s="56"/>
      <c r="ZP376" s="242">
        <f t="shared" si="2710"/>
        <v>0</v>
      </c>
      <c r="ZQ376" s="242">
        <f t="shared" si="2711"/>
        <v>0</v>
      </c>
      <c r="ZR376" s="56"/>
      <c r="ZU376" s="55">
        <f t="shared" si="2712"/>
        <v>46342</v>
      </c>
      <c r="ZV376" s="56"/>
      <c r="ZW376" s="242">
        <f>SUMPRODUCT(PRODUCE!$B371:$DY371,PRODUCE!$EB$57:$IY$57)</f>
        <v>0</v>
      </c>
      <c r="ZX376" s="56"/>
      <c r="ZY376" s="242">
        <f t="shared" si="2713"/>
        <v>0</v>
      </c>
      <c r="ZZ376" s="242">
        <f t="shared" si="2714"/>
        <v>0</v>
      </c>
      <c r="AAA376" s="56"/>
      <c r="AAD376" s="55">
        <f t="shared" si="2715"/>
        <v>46342</v>
      </c>
      <c r="AAE376" s="56"/>
      <c r="AAF376" s="242">
        <f>SUMPRODUCT(PRODUCE!$B371:$DY371,PRODUCE!$EB$57:$IY$57)</f>
        <v>0</v>
      </c>
      <c r="AAG376" s="56"/>
      <c r="AAH376" s="242">
        <f t="shared" si="2716"/>
        <v>0</v>
      </c>
      <c r="AAI376" s="242">
        <f t="shared" si="2717"/>
        <v>0</v>
      </c>
      <c r="AAJ376" s="56"/>
      <c r="AAM376" s="55">
        <f t="shared" si="2718"/>
        <v>46342</v>
      </c>
      <c r="AAN376" s="56"/>
      <c r="AAO376" s="242">
        <f>SUMPRODUCT(PRODUCE!$B371:$DY371,PRODUCE!$EB$57:$IY$57)</f>
        <v>0</v>
      </c>
      <c r="AAP376" s="56"/>
      <c r="AAQ376" s="242">
        <f t="shared" si="2719"/>
        <v>0</v>
      </c>
      <c r="AAR376" s="242">
        <f t="shared" si="2720"/>
        <v>0</v>
      </c>
      <c r="AAS376" s="56"/>
      <c r="AAV376" s="55">
        <f t="shared" si="2721"/>
        <v>46342</v>
      </c>
      <c r="AAW376" s="56"/>
      <c r="AAX376" s="242">
        <f>SUMPRODUCT(PRODUCE!$B371:$DY371,PRODUCE!$EB$57:$IY$57)</f>
        <v>0</v>
      </c>
      <c r="AAY376" s="56"/>
      <c r="AAZ376" s="242">
        <f t="shared" si="2722"/>
        <v>0</v>
      </c>
      <c r="ABA376" s="242">
        <f t="shared" si="2723"/>
        <v>0</v>
      </c>
      <c r="ABB376" s="56"/>
      <c r="ABE376" s="55">
        <f t="shared" si="2724"/>
        <v>46342</v>
      </c>
      <c r="ABF376" s="56"/>
      <c r="ABG376" s="242">
        <f>SUMPRODUCT(PRODUCE!$B371:$DY371,PRODUCE!$EB$57:$IY$57)</f>
        <v>0</v>
      </c>
      <c r="ABH376" s="56"/>
      <c r="ABI376" s="242">
        <f t="shared" si="2725"/>
        <v>0</v>
      </c>
      <c r="ABJ376" s="242">
        <f t="shared" si="2726"/>
        <v>0</v>
      </c>
      <c r="ABK376" s="56"/>
    </row>
    <row r="377" spans="2:739" s="54" customFormat="1" ht="15" customHeight="1" outlineLevel="1">
      <c r="B377" s="478"/>
      <c r="C377" s="55">
        <v>46343</v>
      </c>
      <c r="D377" s="56"/>
      <c r="E377" s="57">
        <f>SUMPRODUCT(PRODUCE!$B372:$DY372,PRODUCE!$EB$7:$IY$7)</f>
        <v>0</v>
      </c>
      <c r="F377" s="56"/>
      <c r="G377" s="57">
        <f t="shared" si="2482"/>
        <v>0</v>
      </c>
      <c r="H377" s="57">
        <f t="shared" si="2483"/>
        <v>236936.6</v>
      </c>
      <c r="I377" s="289"/>
      <c r="L377" s="55">
        <f t="shared" si="2484"/>
        <v>46343</v>
      </c>
      <c r="M377" s="56"/>
      <c r="N377" s="59">
        <f>SUMPRODUCT(PRODUCE!$B372:$DY372,PRODUCE!$EB$8:$IY$8)</f>
        <v>0</v>
      </c>
      <c r="O377" s="56"/>
      <c r="P377" s="59">
        <f t="shared" si="2485"/>
        <v>0</v>
      </c>
      <c r="Q377" s="59">
        <f t="shared" si="2486"/>
        <v>53017.600000000071</v>
      </c>
      <c r="R377" s="56"/>
      <c r="U377" s="55">
        <f t="shared" si="2487"/>
        <v>46343</v>
      </c>
      <c r="V377" s="56"/>
      <c r="W377" s="60">
        <f>SUMPRODUCT(PRODUCE!$B372:$DY372,PRODUCE!$EB$9:$IY$9)</f>
        <v>0</v>
      </c>
      <c r="X377" s="56"/>
      <c r="Y377" s="60">
        <f t="shared" si="2488"/>
        <v>0</v>
      </c>
      <c r="Z377" s="60">
        <f t="shared" si="2489"/>
        <v>42674.199999999968</v>
      </c>
      <c r="AA377" s="56"/>
      <c r="AD377" s="55">
        <f t="shared" si="2490"/>
        <v>46343</v>
      </c>
      <c r="AE377" s="56"/>
      <c r="AF377" s="61">
        <f>SUMPRODUCT(PRODUCE!$B372:$DY372,PRODUCE!$EB$10:$IY$10)</f>
        <v>0</v>
      </c>
      <c r="AG377" s="56"/>
      <c r="AH377" s="61">
        <f t="shared" si="2491"/>
        <v>0</v>
      </c>
      <c r="AI377" s="61">
        <f t="shared" si="2492"/>
        <v>4522.2000000000189</v>
      </c>
      <c r="AJ377" s="56"/>
      <c r="AM377" s="55">
        <f t="shared" si="2493"/>
        <v>46343</v>
      </c>
      <c r="AN377" s="422"/>
      <c r="AO377" s="444">
        <f>SUMPRODUCT(PRODUCE!$B372:$DY372,PRODUCE!$EB$11:$IY$11)</f>
        <v>0</v>
      </c>
      <c r="AP377" s="422"/>
      <c r="AQ377" s="444">
        <f t="shared" si="2494"/>
        <v>0</v>
      </c>
      <c r="AR377" s="444">
        <f t="shared" si="2495"/>
        <v>0</v>
      </c>
      <c r="AS377" s="56"/>
      <c r="AV377" s="55">
        <f t="shared" si="2496"/>
        <v>46343</v>
      </c>
      <c r="AW377" s="56"/>
      <c r="AX377" s="62">
        <f>SUMPRODUCT(PRODUCE!$B372:$DY372,PRODUCE!$EB$12:$IY$12)</f>
        <v>0</v>
      </c>
      <c r="AY377" s="56"/>
      <c r="AZ377" s="62">
        <f t="shared" si="2497"/>
        <v>0</v>
      </c>
      <c r="BA377" s="62">
        <f t="shared" si="2498"/>
        <v>124.99999999999523</v>
      </c>
      <c r="BB377" s="56"/>
      <c r="BE377" s="55">
        <f t="shared" si="2499"/>
        <v>46343</v>
      </c>
      <c r="BF377" s="56"/>
      <c r="BG377" s="63">
        <f>SUMPRODUCT(PRODUCE!$B372:$DY372,PRODUCE!$EB$13:$IY$13)</f>
        <v>0</v>
      </c>
      <c r="BH377" s="56"/>
      <c r="BI377" s="63">
        <f t="shared" si="2500"/>
        <v>0</v>
      </c>
      <c r="BJ377" s="63">
        <f t="shared" si="2501"/>
        <v>26151.899999999998</v>
      </c>
      <c r="BK377" s="56"/>
      <c r="BN377" s="55">
        <f t="shared" si="2502"/>
        <v>46343</v>
      </c>
      <c r="BO377" s="56"/>
      <c r="BP377" s="64">
        <f>SUMPRODUCT(PRODUCE!$B372:$DY372,PRODUCE!$EB$14:$IY$14)</f>
        <v>0</v>
      </c>
      <c r="BQ377" s="56"/>
      <c r="BR377" s="64">
        <f t="shared" si="2503"/>
        <v>0</v>
      </c>
      <c r="BS377" s="64">
        <f t="shared" si="2504"/>
        <v>0</v>
      </c>
      <c r="BT377" s="56"/>
      <c r="BW377" s="55">
        <f t="shared" si="2505"/>
        <v>46343</v>
      </c>
      <c r="BX377" s="56"/>
      <c r="BY377" s="65">
        <f>SUMPRODUCT(PRODUCE!$B372:$DY372,PRODUCE!$EB$15:$IY$15)</f>
        <v>0</v>
      </c>
      <c r="BZ377" s="56"/>
      <c r="CA377" s="65">
        <f t="shared" si="2506"/>
        <v>0</v>
      </c>
      <c r="CB377" s="65">
        <f t="shared" si="2507"/>
        <v>2097.3399999999992</v>
      </c>
      <c r="CC377" s="56"/>
      <c r="CF377" s="55">
        <f t="shared" si="2508"/>
        <v>46343</v>
      </c>
      <c r="CG377" s="56"/>
      <c r="CH377" s="66">
        <f>SUMPRODUCT(PRODUCE!$B372:$DY372,PRODUCE!$EB$16:$IY$16)</f>
        <v>0</v>
      </c>
      <c r="CI377" s="56"/>
      <c r="CJ377" s="66">
        <f t="shared" si="2509"/>
        <v>0</v>
      </c>
      <c r="CK377" s="66">
        <f t="shared" si="2510"/>
        <v>-10277.079999999998</v>
      </c>
      <c r="CL377" s="56"/>
      <c r="CO377" s="55">
        <f t="shared" si="2511"/>
        <v>46343</v>
      </c>
      <c r="CP377" s="422"/>
      <c r="CQ377" s="470">
        <f>SUMPRODUCT(PRODUCE!$B372:$DY372,PRODUCE!$EB$17:$IY$17)</f>
        <v>0</v>
      </c>
      <c r="CR377" s="422"/>
      <c r="CS377" s="470">
        <f t="shared" si="2512"/>
        <v>0</v>
      </c>
      <c r="CT377" s="470">
        <f t="shared" si="2513"/>
        <v>0</v>
      </c>
      <c r="CU377" s="56"/>
      <c r="CX377" s="55">
        <f t="shared" si="2514"/>
        <v>46343</v>
      </c>
      <c r="CY377" s="56"/>
      <c r="CZ377" s="133">
        <f>SUMPRODUCT(PRODUCE!$B372:$DY372,PRODUCE!$EB$18:$IY$18)</f>
        <v>0</v>
      </c>
      <c r="DA377" s="56"/>
      <c r="DB377" s="133">
        <f t="shared" si="2515"/>
        <v>0</v>
      </c>
      <c r="DC377" s="133">
        <f t="shared" si="2516"/>
        <v>27438.200000000012</v>
      </c>
      <c r="DD377" s="56"/>
      <c r="DG377" s="55">
        <f t="shared" si="2517"/>
        <v>46343</v>
      </c>
      <c r="DH377" s="56"/>
      <c r="DI377" s="147">
        <f>SUMPRODUCT(PRODUCE!$B372:$DY372,PRODUCE!$EB$19:$IY$19)</f>
        <v>0</v>
      </c>
      <c r="DJ377" s="56"/>
      <c r="DK377" s="147">
        <f t="shared" si="2518"/>
        <v>0</v>
      </c>
      <c r="DL377" s="147">
        <f t="shared" si="2519"/>
        <v>18782.299999999981</v>
      </c>
      <c r="DM377" s="56"/>
      <c r="DP377" s="55">
        <f t="shared" si="2520"/>
        <v>46343</v>
      </c>
      <c r="DQ377" s="56"/>
      <c r="DR377" s="57">
        <f>SUMPRODUCT(PRODUCE!$B372:$DY372,PRODUCE!$EB$20:$IY$20)</f>
        <v>0</v>
      </c>
      <c r="DS377" s="56"/>
      <c r="DT377" s="57">
        <f t="shared" si="2521"/>
        <v>0</v>
      </c>
      <c r="DU377" s="57">
        <f t="shared" si="2522"/>
        <v>5800</v>
      </c>
      <c r="DV377" s="56"/>
      <c r="DY377" s="55">
        <f t="shared" si="2523"/>
        <v>46343</v>
      </c>
      <c r="DZ377" s="56"/>
      <c r="EA377" s="157">
        <f>SUMPRODUCT(PRODUCE!$B372:$DY372,PRODUCE!$EB$21:$IY$21)</f>
        <v>0</v>
      </c>
      <c r="EB377" s="56"/>
      <c r="EC377" s="157">
        <f t="shared" si="2524"/>
        <v>0</v>
      </c>
      <c r="ED377" s="157">
        <f t="shared" si="2525"/>
        <v>0</v>
      </c>
      <c r="EE377" s="56"/>
      <c r="EH377" s="55">
        <f t="shared" si="2526"/>
        <v>46343</v>
      </c>
      <c r="EI377" s="56"/>
      <c r="EJ377" s="162">
        <f>SUMPRODUCT(PRODUCE!$B372:$DY372,PRODUCE!$EB$22:$IY$22)</f>
        <v>0</v>
      </c>
      <c r="EK377" s="56"/>
      <c r="EL377" s="162">
        <f t="shared" si="2527"/>
        <v>0</v>
      </c>
      <c r="EM377" s="162">
        <f t="shared" si="2528"/>
        <v>0</v>
      </c>
      <c r="EN377" s="56"/>
      <c r="EQ377" s="55">
        <f t="shared" si="2529"/>
        <v>46343</v>
      </c>
      <c r="ER377" s="56"/>
      <c r="ES377" s="135">
        <f>SUMPRODUCT(PRODUCE!$B372:$DY372,PRODUCE!$EB$23:$IY$23)</f>
        <v>0</v>
      </c>
      <c r="ET377" s="56"/>
      <c r="EU377" s="135">
        <f t="shared" si="2530"/>
        <v>0</v>
      </c>
      <c r="EV377" s="135">
        <f t="shared" si="2531"/>
        <v>0</v>
      </c>
      <c r="EW377" s="56"/>
      <c r="EZ377" s="55">
        <f t="shared" si="2532"/>
        <v>46343</v>
      </c>
      <c r="FA377" s="56"/>
      <c r="FB377" s="175">
        <f>SUMPRODUCT(PRODUCE!$B372:$DY372,PRODUCE!$EB$24:$IY$24)</f>
        <v>0</v>
      </c>
      <c r="FC377" s="56"/>
      <c r="FD377" s="175">
        <f t="shared" si="2533"/>
        <v>0</v>
      </c>
      <c r="FE377" s="175">
        <f t="shared" si="2534"/>
        <v>0</v>
      </c>
      <c r="FF377" s="56"/>
      <c r="FI377" s="55">
        <f t="shared" si="2535"/>
        <v>46343</v>
      </c>
      <c r="FJ377" s="56"/>
      <c r="FK377" s="183">
        <f>SUMPRODUCT(PRODUCE!$B372:$DY372,PRODUCE!$EB$25:$IY$25)</f>
        <v>0</v>
      </c>
      <c r="FL377" s="56"/>
      <c r="FM377" s="183">
        <f t="shared" si="2536"/>
        <v>0</v>
      </c>
      <c r="FN377" s="183">
        <f t="shared" si="2537"/>
        <v>0</v>
      </c>
      <c r="FO377" s="56"/>
      <c r="FR377" s="55">
        <f t="shared" si="2538"/>
        <v>46343</v>
      </c>
      <c r="FS377" s="56"/>
      <c r="FT377" s="186">
        <f>SUMPRODUCT(PRODUCE!$B372:$DY372,PRODUCE!$EB$26:$IY$26)</f>
        <v>0</v>
      </c>
      <c r="FU377" s="56"/>
      <c r="FV377" s="186">
        <f t="shared" si="2539"/>
        <v>0</v>
      </c>
      <c r="FW377" s="186">
        <f t="shared" si="2540"/>
        <v>2020</v>
      </c>
      <c r="FX377" s="56"/>
      <c r="GA377" s="55">
        <f t="shared" si="2541"/>
        <v>46343</v>
      </c>
      <c r="GB377" s="56"/>
      <c r="GC377" s="137">
        <f>SUMPRODUCT(PRODUCE!$B372:$DY372,PRODUCE!$EB$27:$IY$27)</f>
        <v>0</v>
      </c>
      <c r="GD377" s="56"/>
      <c r="GE377" s="137">
        <f t="shared" si="2542"/>
        <v>0</v>
      </c>
      <c r="GF377" s="137">
        <f t="shared" si="2543"/>
        <v>960</v>
      </c>
      <c r="GG377" s="56"/>
      <c r="GI377" s="23"/>
      <c r="GJ377" s="55">
        <f t="shared" si="2544"/>
        <v>46343</v>
      </c>
      <c r="GK377" s="56"/>
      <c r="GL377" s="199">
        <f>SUMPRODUCT(PRODUCE!$B372:$DY372,PRODUCE!$EB$28:$IY$28)</f>
        <v>0</v>
      </c>
      <c r="GM377" s="56"/>
      <c r="GN377" s="199">
        <f t="shared" si="2545"/>
        <v>0</v>
      </c>
      <c r="GO377" s="199">
        <f t="shared" si="2546"/>
        <v>1760</v>
      </c>
      <c r="GP377" s="56"/>
      <c r="GS377" s="55">
        <f t="shared" si="2547"/>
        <v>46343</v>
      </c>
      <c r="GT377" s="56"/>
      <c r="GU377" s="195">
        <f>SUMPRODUCT(PRODUCE!$B372:$DY372,PRODUCE!$EB$29:$IY$29)</f>
        <v>0</v>
      </c>
      <c r="GV377" s="56"/>
      <c r="GW377" s="195">
        <f t="shared" si="2548"/>
        <v>0</v>
      </c>
      <c r="GX377" s="195">
        <f t="shared" si="2549"/>
        <v>400</v>
      </c>
      <c r="GY377" s="56"/>
      <c r="HB377" s="55">
        <f t="shared" si="2550"/>
        <v>46343</v>
      </c>
      <c r="HC377" s="56"/>
      <c r="HD377" s="191">
        <f>SUMPRODUCT(PRODUCE!$B372:$DY372,PRODUCE!$EB$30:$IY$30)</f>
        <v>0</v>
      </c>
      <c r="HE377" s="56"/>
      <c r="HF377" s="191">
        <f t="shared" si="2551"/>
        <v>0</v>
      </c>
      <c r="HG377" s="191">
        <f t="shared" si="2552"/>
        <v>3600</v>
      </c>
      <c r="HH377" s="56"/>
      <c r="HK377" s="55">
        <f t="shared" si="2553"/>
        <v>46343</v>
      </c>
      <c r="HL377" s="56"/>
      <c r="HM377" s="63">
        <f>SUMPRODUCT(PRODUCE!$B372:$DY372,PRODUCE!$EB$31:$IY$31)</f>
        <v>0</v>
      </c>
      <c r="HN377" s="56"/>
      <c r="HO377" s="63">
        <f t="shared" si="2554"/>
        <v>0</v>
      </c>
      <c r="HP377" s="63">
        <f t="shared" si="2555"/>
        <v>0</v>
      </c>
      <c r="HQ377" s="56"/>
      <c r="HU377" s="55">
        <f t="shared" si="2556"/>
        <v>46343</v>
      </c>
      <c r="HV377" s="56"/>
      <c r="HW377" s="242">
        <f>SUMPRODUCT(PRODUCE!$B372:$DY372,PRODUCE!$EB$32:$IY$32)</f>
        <v>0</v>
      </c>
      <c r="HX377" s="56"/>
      <c r="HY377" s="242">
        <f t="shared" si="2557"/>
        <v>0</v>
      </c>
      <c r="HZ377" s="242">
        <f t="shared" si="2558"/>
        <v>6120</v>
      </c>
      <c r="IA377" s="56"/>
      <c r="ID377" s="55">
        <f t="shared" si="2559"/>
        <v>46343</v>
      </c>
      <c r="IE377" s="56"/>
      <c r="IF377" s="242">
        <f>SUMPRODUCT(PRODUCE!$B372:$DY372,PRODUCE!$EB$33:$IY$33)</f>
        <v>0</v>
      </c>
      <c r="IG377" s="56"/>
      <c r="IH377" s="242">
        <f t="shared" si="2560"/>
        <v>0</v>
      </c>
      <c r="II377" s="242">
        <f t="shared" si="2561"/>
        <v>0</v>
      </c>
      <c r="IJ377" s="56"/>
      <c r="IM377" s="55">
        <f t="shared" si="2562"/>
        <v>46343</v>
      </c>
      <c r="IN377" s="56"/>
      <c r="IO377" s="242">
        <f>SUMPRODUCT(PRODUCE!$B372:$DY372,PRODUCE!$EB$34:$IY$34)</f>
        <v>0</v>
      </c>
      <c r="IP377" s="56"/>
      <c r="IQ377" s="242">
        <f t="shared" si="2563"/>
        <v>0</v>
      </c>
      <c r="IR377" s="242">
        <f t="shared" si="2564"/>
        <v>0</v>
      </c>
      <c r="IS377" s="56"/>
      <c r="IV377" s="55">
        <f t="shared" si="2565"/>
        <v>46343</v>
      </c>
      <c r="IW377" s="56"/>
      <c r="IX377" s="242">
        <f>SUMPRODUCT(PRODUCE!$B372:$DY372,PRODUCE!$EB$35:$IY$35)</f>
        <v>0</v>
      </c>
      <c r="IY377" s="56"/>
      <c r="IZ377" s="242">
        <f t="shared" si="2566"/>
        <v>0</v>
      </c>
      <c r="JA377" s="242">
        <f t="shared" si="2567"/>
        <v>2820</v>
      </c>
      <c r="JB377" s="56"/>
      <c r="JE377" s="55">
        <f t="shared" si="2568"/>
        <v>46343</v>
      </c>
      <c r="JF377" s="56"/>
      <c r="JG377" s="242">
        <f>SUMPRODUCT(PRODUCE!$B372:$DY372,PRODUCE!$EB$36:$IY$36)</f>
        <v>0</v>
      </c>
      <c r="JH377" s="56"/>
      <c r="JI377" s="242">
        <f t="shared" si="2569"/>
        <v>0</v>
      </c>
      <c r="JJ377" s="242">
        <f t="shared" si="2570"/>
        <v>0</v>
      </c>
      <c r="JK377" s="56"/>
      <c r="JN377" s="55">
        <f t="shared" si="2571"/>
        <v>46343</v>
      </c>
      <c r="JO377" s="56"/>
      <c r="JP377" s="242">
        <f>SUMPRODUCT(PRODUCE!$B372:$DY372,PRODUCE!$EB$37:$IY$37)</f>
        <v>0</v>
      </c>
      <c r="JQ377" s="56"/>
      <c r="JR377" s="242">
        <f t="shared" si="2572"/>
        <v>0</v>
      </c>
      <c r="JS377" s="242">
        <f t="shared" si="2573"/>
        <v>0</v>
      </c>
      <c r="JT377" s="56"/>
      <c r="JW377" s="55">
        <f t="shared" si="2574"/>
        <v>46343</v>
      </c>
      <c r="JX377" s="56"/>
      <c r="JY377" s="242">
        <f>SUMPRODUCT(PRODUCE!$B372:$DY372,PRODUCE!$EB$38:$IY$38)</f>
        <v>0</v>
      </c>
      <c r="JZ377" s="56"/>
      <c r="KA377" s="242">
        <f t="shared" si="2575"/>
        <v>0</v>
      </c>
      <c r="KB377" s="242">
        <f t="shared" si="2576"/>
        <v>2540</v>
      </c>
      <c r="KC377" s="56"/>
      <c r="KF377" s="55">
        <f t="shared" si="2577"/>
        <v>46343</v>
      </c>
      <c r="KG377" s="56"/>
      <c r="KH377" s="242">
        <f>SUMPRODUCT(PRODUCE!$B372:$DY372,PRODUCE!$EB$39:$IY$39)</f>
        <v>0</v>
      </c>
      <c r="KI377" s="56"/>
      <c r="KJ377" s="242">
        <f t="shared" si="2578"/>
        <v>0</v>
      </c>
      <c r="KK377" s="242">
        <f t="shared" si="2579"/>
        <v>2359.5</v>
      </c>
      <c r="KL377" s="56"/>
      <c r="KO377" s="55">
        <f t="shared" si="2580"/>
        <v>46343</v>
      </c>
      <c r="KP377" s="56"/>
      <c r="KQ377" s="242">
        <f>SUMPRODUCT(PRODUCE!$B372:$DY372,PRODUCE!$EB$40:$IY$40)</f>
        <v>0</v>
      </c>
      <c r="KR377" s="56"/>
      <c r="KS377" s="242">
        <f t="shared" si="2581"/>
        <v>0</v>
      </c>
      <c r="KT377" s="242">
        <f t="shared" si="2582"/>
        <v>1890</v>
      </c>
      <c r="KU377" s="56"/>
      <c r="KW377" s="23"/>
      <c r="KX377" s="55">
        <f t="shared" si="2583"/>
        <v>46343</v>
      </c>
      <c r="KY377" s="56"/>
      <c r="KZ377" s="242">
        <f>SUMPRODUCT(PRODUCE!$B372:$DY372,PRODUCE!$EB$41:$IY$41)</f>
        <v>0</v>
      </c>
      <c r="LA377" s="56"/>
      <c r="LB377" s="242">
        <f t="shared" si="2584"/>
        <v>0</v>
      </c>
      <c r="LC377" s="242">
        <f t="shared" si="2585"/>
        <v>3690</v>
      </c>
      <c r="LD377" s="56"/>
      <c r="LG377" s="55">
        <f t="shared" si="2586"/>
        <v>46343</v>
      </c>
      <c r="LH377" s="56"/>
      <c r="LI377" s="242">
        <f>SUMPRODUCT(PRODUCE!$B372:$DY372,PRODUCE!$EB$42:$IY$42)</f>
        <v>0</v>
      </c>
      <c r="LJ377" s="56"/>
      <c r="LK377" s="242">
        <f t="shared" si="2587"/>
        <v>0</v>
      </c>
      <c r="LL377" s="242">
        <f t="shared" si="2588"/>
        <v>4000</v>
      </c>
      <c r="LM377" s="56"/>
      <c r="LP377" s="55">
        <f t="shared" si="2589"/>
        <v>46343</v>
      </c>
      <c r="LQ377" s="56"/>
      <c r="LR377" s="242">
        <f>SUMPRODUCT(PRODUCE!$B392:$DY392,PRODUCE!$EB$43:$IY$43)</f>
        <v>0</v>
      </c>
      <c r="LS377" s="56"/>
      <c r="LT377" s="242">
        <f t="shared" si="2590"/>
        <v>0</v>
      </c>
      <c r="LU377" s="242">
        <f t="shared" si="2591"/>
        <v>0</v>
      </c>
      <c r="LV377" s="56"/>
      <c r="LY377" s="55">
        <f t="shared" si="2592"/>
        <v>46343</v>
      </c>
      <c r="LZ377" s="56"/>
      <c r="MA377" s="242">
        <f>SUMPRODUCT(PRODUCE!$B372:$DY372,PRODUCE!$EB$44:$IY$44)</f>
        <v>0</v>
      </c>
      <c r="MB377" s="56"/>
      <c r="MC377" s="242">
        <f t="shared" si="2593"/>
        <v>0</v>
      </c>
      <c r="MD377" s="242">
        <f t="shared" si="2594"/>
        <v>0</v>
      </c>
      <c r="ME377" s="56"/>
      <c r="MH377" s="55">
        <f t="shared" si="2595"/>
        <v>46343</v>
      </c>
      <c r="MI377" s="56"/>
      <c r="MJ377" s="242">
        <f>SUMPRODUCT(PRODUCE!$B372:$DY372,PRODUCE!$EB$45:$IY$45)</f>
        <v>0</v>
      </c>
      <c r="MK377" s="56"/>
      <c r="ML377" s="242">
        <f t="shared" si="2596"/>
        <v>0</v>
      </c>
      <c r="MM377" s="242">
        <f t="shared" si="2597"/>
        <v>0</v>
      </c>
      <c r="MN377" s="56"/>
      <c r="MQ377" s="55">
        <f t="shared" si="2598"/>
        <v>46343</v>
      </c>
      <c r="MR377" s="56"/>
      <c r="MS377" s="242">
        <f>SUMPRODUCT(PRODUCE!$B372:$DY372,PRODUCE!$EB$46:$IY$46)</f>
        <v>0</v>
      </c>
      <c r="MT377" s="56"/>
      <c r="MU377" s="242">
        <f t="shared" si="2599"/>
        <v>0</v>
      </c>
      <c r="MV377" s="242">
        <f t="shared" si="2600"/>
        <v>1625</v>
      </c>
      <c r="MW377" s="56"/>
      <c r="MZ377" s="55">
        <f t="shared" si="2601"/>
        <v>46343</v>
      </c>
      <c r="NA377" s="56"/>
      <c r="NB377" s="242">
        <f>SUMPRODUCT(PRODUCE!$B372:$DY372,PRODUCE!$EB$47:$IY$47)</f>
        <v>0</v>
      </c>
      <c r="NC377" s="56"/>
      <c r="ND377" s="242">
        <f t="shared" si="2602"/>
        <v>0</v>
      </c>
      <c r="NE377" s="242">
        <f t="shared" si="2603"/>
        <v>0</v>
      </c>
      <c r="NF377" s="56"/>
      <c r="NI377" s="55">
        <f t="shared" si="2604"/>
        <v>46343</v>
      </c>
      <c r="NJ377" s="56"/>
      <c r="NK377" s="242">
        <f>SUMPRODUCT(PRODUCE!$B372:$DY372,PRODUCE!$EB$48:$IY$48)</f>
        <v>0</v>
      </c>
      <c r="NL377" s="56"/>
      <c r="NM377" s="242">
        <f t="shared" si="2605"/>
        <v>0</v>
      </c>
      <c r="NN377" s="242">
        <f t="shared" si="2606"/>
        <v>1127</v>
      </c>
      <c r="NO377" s="56"/>
      <c r="NR377" s="55">
        <f t="shared" si="2607"/>
        <v>46343</v>
      </c>
      <c r="NS377" s="56"/>
      <c r="NT377" s="242">
        <f>SUMPRODUCT(PRODUCE!$B372:$DY372,PRODUCE!$EB$49:$IY$49)</f>
        <v>0</v>
      </c>
      <c r="NU377" s="56"/>
      <c r="NV377" s="242">
        <f t="shared" si="2608"/>
        <v>0</v>
      </c>
      <c r="NW377" s="242">
        <f t="shared" si="2609"/>
        <v>3111.9999999999995</v>
      </c>
      <c r="NX377" s="56"/>
      <c r="OA377" s="55">
        <f t="shared" si="2610"/>
        <v>46343</v>
      </c>
      <c r="OB377" s="56"/>
      <c r="OC377" s="242">
        <f>SUMPRODUCT(PRODUCE!$B372:$DY372,PRODUCE!$EB$50:$IY$50)</f>
        <v>0</v>
      </c>
      <c r="OD377" s="56"/>
      <c r="OE377" s="242">
        <f t="shared" si="2611"/>
        <v>0</v>
      </c>
      <c r="OF377" s="242">
        <f t="shared" si="2612"/>
        <v>1680.5</v>
      </c>
      <c r="OG377" s="56"/>
      <c r="OJ377" s="55">
        <f t="shared" si="2613"/>
        <v>46343</v>
      </c>
      <c r="OK377" s="56"/>
      <c r="OL377" s="242">
        <f>SUMPRODUCT(PRODUCE!$B372:$DY372,PRODUCE!$EB$51:$IY$51)</f>
        <v>0</v>
      </c>
      <c r="OM377" s="56"/>
      <c r="ON377" s="242">
        <f t="shared" si="2614"/>
        <v>0</v>
      </c>
      <c r="OO377" s="242">
        <f t="shared" si="2615"/>
        <v>0</v>
      </c>
      <c r="OP377" s="56"/>
      <c r="OS377" s="55">
        <f t="shared" si="2616"/>
        <v>46343</v>
      </c>
      <c r="OT377" s="56"/>
      <c r="OU377" s="242">
        <f>SUMPRODUCT(PRODUCE!$B372:$DY372,PRODUCE!$EB$52:$IY$52)</f>
        <v>0</v>
      </c>
      <c r="OV377" s="56"/>
      <c r="OW377" s="242">
        <f t="shared" si="2617"/>
        <v>0</v>
      </c>
      <c r="OX377" s="242">
        <f t="shared" si="2618"/>
        <v>1482</v>
      </c>
      <c r="OY377" s="56"/>
      <c r="PB377" s="55">
        <f t="shared" si="2619"/>
        <v>46343</v>
      </c>
      <c r="PC377" s="56"/>
      <c r="PD377" s="242">
        <f>SUMPRODUCT(PRODUCE!$B372:$DY372,PRODUCE!$EB$53:$IY$53)</f>
        <v>0</v>
      </c>
      <c r="PE377" s="56"/>
      <c r="PF377" s="242">
        <f t="shared" si="2620"/>
        <v>0</v>
      </c>
      <c r="PG377" s="242">
        <f t="shared" si="2621"/>
        <v>0</v>
      </c>
      <c r="PH377" s="56"/>
      <c r="PK377" s="55">
        <f t="shared" si="2622"/>
        <v>46343</v>
      </c>
      <c r="PL377" s="56"/>
      <c r="PM377" s="242">
        <f>SUMPRODUCT(PRODUCE!$B372:$DY372,PRODUCE!$EB$54:$IY$54)</f>
        <v>0</v>
      </c>
      <c r="PN377" s="56"/>
      <c r="PO377" s="242">
        <f t="shared" si="2623"/>
        <v>0</v>
      </c>
      <c r="PP377" s="242">
        <f t="shared" si="2624"/>
        <v>100</v>
      </c>
      <c r="PQ377" s="56"/>
      <c r="PT377" s="55">
        <f t="shared" si="2625"/>
        <v>46343</v>
      </c>
      <c r="PU377" s="56"/>
      <c r="PV377" s="242">
        <f>SUMPRODUCT(PRODUCE!$B372:$DY372,PRODUCE!$EB$55:$IY$55)</f>
        <v>0</v>
      </c>
      <c r="PW377" s="56"/>
      <c r="PX377" s="242">
        <f t="shared" si="2626"/>
        <v>0</v>
      </c>
      <c r="PY377" s="242">
        <f t="shared" si="2627"/>
        <v>13.960000000000036</v>
      </c>
      <c r="PZ377" s="56"/>
      <c r="QC377" s="55">
        <f t="shared" si="2628"/>
        <v>46343</v>
      </c>
      <c r="QD377" s="56"/>
      <c r="QE377" s="242">
        <f>SUMPRODUCT(PRODUCE!$B372:$DY372,PRODUCE!$EB$56:$IY$56)</f>
        <v>0</v>
      </c>
      <c r="QF377" s="56"/>
      <c r="QG377" s="242">
        <f t="shared" si="2629"/>
        <v>0</v>
      </c>
      <c r="QH377" s="242">
        <f t="shared" si="2630"/>
        <v>548</v>
      </c>
      <c r="QI377" s="56"/>
      <c r="QL377" s="55">
        <f t="shared" si="2631"/>
        <v>46343</v>
      </c>
      <c r="QM377" s="56"/>
      <c r="QN377" s="242">
        <f>SUMPRODUCT(PRODUCE!$B372:$DY372,PRODUCE!$EB$57:$IY$57)</f>
        <v>0</v>
      </c>
      <c r="QO377" s="56"/>
      <c r="QP377" s="242">
        <f t="shared" si="2632"/>
        <v>0</v>
      </c>
      <c r="QQ377" s="242">
        <f t="shared" si="2633"/>
        <v>0</v>
      </c>
      <c r="QR377" s="56"/>
      <c r="QU377" s="55">
        <f t="shared" si="2634"/>
        <v>46343</v>
      </c>
      <c r="QV377" s="56"/>
      <c r="QW377" s="242">
        <f>SUMPRODUCT(PRODUCE!$B372:$DY372,PRODUCE!$EB$57:$IY$57)</f>
        <v>0</v>
      </c>
      <c r="QX377" s="56"/>
      <c r="QY377" s="242">
        <f t="shared" si="2635"/>
        <v>0</v>
      </c>
      <c r="QZ377" s="242">
        <f t="shared" si="2636"/>
        <v>0</v>
      </c>
      <c r="RA377" s="56"/>
      <c r="RD377" s="55">
        <f t="shared" si="2637"/>
        <v>46343</v>
      </c>
      <c r="RE377" s="56"/>
      <c r="RF377" s="242">
        <f>SUMPRODUCT(PRODUCE!$B372:$DY372,PRODUCE!$EB$58:$IY$58)</f>
        <v>0</v>
      </c>
      <c r="RG377" s="56"/>
      <c r="RH377" s="242">
        <f t="shared" si="2638"/>
        <v>0</v>
      </c>
      <c r="RI377" s="242">
        <f t="shared" si="2639"/>
        <v>147.04000000000002</v>
      </c>
      <c r="RJ377" s="56"/>
      <c r="RM377" s="55">
        <f t="shared" si="2640"/>
        <v>46343</v>
      </c>
      <c r="RN377" s="56"/>
      <c r="RO377" s="242">
        <f>SUMPRODUCT(PRODUCE!$B372:$DY372,PRODUCE!$EB$57:$IY$57)</f>
        <v>0</v>
      </c>
      <c r="RP377" s="56"/>
      <c r="RQ377" s="242">
        <f t="shared" si="2641"/>
        <v>0</v>
      </c>
      <c r="RR377" s="242">
        <f t="shared" si="2642"/>
        <v>46.8</v>
      </c>
      <c r="RS377" s="56"/>
      <c r="RV377" s="55">
        <f t="shared" si="2643"/>
        <v>46343</v>
      </c>
      <c r="RW377" s="56"/>
      <c r="RX377" s="242">
        <f>SUMPRODUCT(PRODUCE!$B372:$DY372,PRODUCE!$EB$57:$IY$57)</f>
        <v>0</v>
      </c>
      <c r="RY377" s="56"/>
      <c r="RZ377" s="242">
        <f t="shared" si="2644"/>
        <v>0</v>
      </c>
      <c r="SA377" s="242">
        <f t="shared" si="2645"/>
        <v>0</v>
      </c>
      <c r="SB377" s="56"/>
      <c r="SE377" s="55">
        <f t="shared" si="2646"/>
        <v>46343</v>
      </c>
      <c r="SF377" s="56"/>
      <c r="SG377" s="242">
        <f>SUMPRODUCT(PRODUCE!$B372:$DY372,PRODUCE!$EB$61:$IY$61)</f>
        <v>0</v>
      </c>
      <c r="SH377" s="56"/>
      <c r="SI377" s="242">
        <f t="shared" si="2647"/>
        <v>0</v>
      </c>
      <c r="SJ377" s="242">
        <f t="shared" si="2648"/>
        <v>24.200000000000003</v>
      </c>
      <c r="SK377" s="56"/>
      <c r="SN377" s="55">
        <f t="shared" si="2649"/>
        <v>46343</v>
      </c>
      <c r="SO377" s="56"/>
      <c r="SP377" s="242">
        <f>SUMPRODUCT(PRODUCE!$B372:$DY372,PRODUCE!$EB$57:$IY$57)</f>
        <v>0</v>
      </c>
      <c r="SQ377" s="56"/>
      <c r="SR377" s="242">
        <f t="shared" si="2650"/>
        <v>0</v>
      </c>
      <c r="SS377" s="242">
        <f t="shared" si="2651"/>
        <v>32</v>
      </c>
      <c r="ST377" s="56"/>
      <c r="SW377" s="55">
        <f t="shared" si="2652"/>
        <v>46343</v>
      </c>
      <c r="SX377" s="56"/>
      <c r="SY377" s="242">
        <f>SUMPRODUCT(PRODUCE!$B372:$DY372,PRODUCE!$EB$57:$IY$57)</f>
        <v>0</v>
      </c>
      <c r="SZ377" s="56"/>
      <c r="TA377" s="242">
        <f t="shared" si="2653"/>
        <v>0</v>
      </c>
      <c r="TB377" s="242">
        <f t="shared" si="2654"/>
        <v>0</v>
      </c>
      <c r="TC377" s="56"/>
      <c r="TF377" s="55">
        <f t="shared" si="2655"/>
        <v>46343</v>
      </c>
      <c r="TG377" s="56"/>
      <c r="TH377" s="242">
        <f>SUMPRODUCT(PRODUCE!$B372:$DY372,PRODUCE!$EB$57:$IY$57)</f>
        <v>0</v>
      </c>
      <c r="TI377" s="56"/>
      <c r="TJ377" s="242">
        <f t="shared" si="2656"/>
        <v>0</v>
      </c>
      <c r="TK377" s="242">
        <f t="shared" si="2657"/>
        <v>0</v>
      </c>
      <c r="TL377" s="56"/>
      <c r="TO377" s="55">
        <f t="shared" si="2658"/>
        <v>46343</v>
      </c>
      <c r="TP377" s="56"/>
      <c r="TQ377" s="242">
        <f>SUMPRODUCT(PRODUCE!$B372:$DY372,PRODUCE!$EB$57:$IY$57)</f>
        <v>0</v>
      </c>
      <c r="TR377" s="56"/>
      <c r="TS377" s="242">
        <f t="shared" si="2659"/>
        <v>0</v>
      </c>
      <c r="TT377" s="242">
        <f t="shared" si="2660"/>
        <v>0</v>
      </c>
      <c r="TU377" s="56"/>
      <c r="TX377" s="55">
        <f t="shared" si="2661"/>
        <v>46343</v>
      </c>
      <c r="TY377" s="56"/>
      <c r="TZ377" s="242">
        <f>SUMPRODUCT(PRODUCE!$B372:$DY372,PRODUCE!$EB$57:$IY$57)</f>
        <v>0</v>
      </c>
      <c r="UA377" s="56"/>
      <c r="UB377" s="242">
        <f t="shared" si="2662"/>
        <v>0</v>
      </c>
      <c r="UC377" s="242">
        <f t="shared" si="2663"/>
        <v>46.799999999999983</v>
      </c>
      <c r="UD377" s="56"/>
      <c r="UG377" s="55">
        <f t="shared" si="2664"/>
        <v>46343</v>
      </c>
      <c r="UH377" s="56"/>
      <c r="UI377" s="242">
        <f>SUMPRODUCT(PRODUCE!$B372:$DY372,PRODUCE!$EB$57:$IY$57)</f>
        <v>0</v>
      </c>
      <c r="UJ377" s="56"/>
      <c r="UK377" s="242">
        <f t="shared" si="2665"/>
        <v>0</v>
      </c>
      <c r="UL377" s="242">
        <f t="shared" si="2666"/>
        <v>204</v>
      </c>
      <c r="UM377" s="56"/>
      <c r="UP377" s="55">
        <f t="shared" si="2667"/>
        <v>46343</v>
      </c>
      <c r="UQ377" s="56"/>
      <c r="UR377" s="242">
        <f>SUMPRODUCT(PRODUCE!$B372:$DY372,PRODUCE!$EB$57:$IY$57)</f>
        <v>0</v>
      </c>
      <c r="US377" s="56"/>
      <c r="UT377" s="242">
        <f t="shared" si="2668"/>
        <v>0</v>
      </c>
      <c r="UU377" s="242">
        <f t="shared" si="2669"/>
        <v>202.5</v>
      </c>
      <c r="UV377" s="56"/>
      <c r="UY377" s="55">
        <f t="shared" si="2670"/>
        <v>46343</v>
      </c>
      <c r="UZ377" s="56"/>
      <c r="VA377" s="242">
        <f>SUMPRODUCT(PRODUCE!$B372:$DY372,PRODUCE!$EB$57:$IY$57)</f>
        <v>0</v>
      </c>
      <c r="VB377" s="56"/>
      <c r="VC377" s="242">
        <f t="shared" si="2671"/>
        <v>0</v>
      </c>
      <c r="VD377" s="242">
        <f t="shared" si="2672"/>
        <v>41.600000000000023</v>
      </c>
      <c r="VE377" s="56"/>
      <c r="VH377" s="55">
        <f t="shared" si="2673"/>
        <v>46343</v>
      </c>
      <c r="VI377" s="56"/>
      <c r="VJ377" s="242">
        <f>SUMPRODUCT(PRODUCE!$B372:$DY372,PRODUCE!$EB$57:$IY$57)</f>
        <v>0</v>
      </c>
      <c r="VK377" s="56"/>
      <c r="VL377" s="242">
        <f t="shared" si="2674"/>
        <v>0</v>
      </c>
      <c r="VM377" s="242">
        <f t="shared" si="2675"/>
        <v>210</v>
      </c>
      <c r="VN377" s="56"/>
      <c r="VQ377" s="55">
        <f t="shared" si="2676"/>
        <v>46343</v>
      </c>
      <c r="VR377" s="56"/>
      <c r="VS377" s="242">
        <f>SUMPRODUCT(PRODUCE!$B372:$DY372,PRODUCE!$EB$57:$IY$57)</f>
        <v>0</v>
      </c>
      <c r="VT377" s="56"/>
      <c r="VU377" s="242">
        <f t="shared" si="2677"/>
        <v>0</v>
      </c>
      <c r="VV377" s="242">
        <f t="shared" si="2678"/>
        <v>0</v>
      </c>
      <c r="VW377" s="56"/>
      <c r="VZ377" s="55">
        <f t="shared" si="2679"/>
        <v>46343</v>
      </c>
      <c r="WA377" s="56"/>
      <c r="WB377" s="242">
        <f>SUMPRODUCT(PRODUCE!$B372:$DY372,PRODUCE!$EB$57:$IY$57)</f>
        <v>0</v>
      </c>
      <c r="WC377" s="56"/>
      <c r="WD377" s="242">
        <f t="shared" si="2680"/>
        <v>0</v>
      </c>
      <c r="WE377" s="242">
        <f t="shared" si="2681"/>
        <v>0</v>
      </c>
      <c r="WF377" s="56"/>
      <c r="WI377" s="55">
        <f t="shared" si="2682"/>
        <v>46343</v>
      </c>
      <c r="WJ377" s="56"/>
      <c r="WK377" s="242">
        <f>SUMPRODUCT(PRODUCE!$B372:$DY372,PRODUCE!$EB$57:$IY$57)</f>
        <v>0</v>
      </c>
      <c r="WL377" s="56"/>
      <c r="WM377" s="242">
        <f t="shared" si="2683"/>
        <v>0</v>
      </c>
      <c r="WN377" s="242">
        <f t="shared" si="2684"/>
        <v>1057</v>
      </c>
      <c r="WO377" s="56"/>
      <c r="WR377" s="55">
        <f t="shared" si="2685"/>
        <v>46343</v>
      </c>
      <c r="WS377" s="56"/>
      <c r="WT377" s="242">
        <f>SUMPRODUCT(PRODUCE!$B372:$DY372,PRODUCE!$EB$57:$IY$57)</f>
        <v>0</v>
      </c>
      <c r="WU377" s="56"/>
      <c r="WV377" s="242">
        <f t="shared" si="2686"/>
        <v>0</v>
      </c>
      <c r="WW377" s="242">
        <f t="shared" si="2687"/>
        <v>0</v>
      </c>
      <c r="WX377" s="56"/>
      <c r="XA377" s="55">
        <f t="shared" si="2688"/>
        <v>46343</v>
      </c>
      <c r="XB377" s="56"/>
      <c r="XC377" s="242">
        <f>SUMPRODUCT(PRODUCE!$B372:$DY372,PRODUCE!$EB$57:$IY$57)</f>
        <v>0</v>
      </c>
      <c r="XD377" s="56"/>
      <c r="XE377" s="242">
        <f t="shared" si="2689"/>
        <v>0</v>
      </c>
      <c r="XF377" s="242">
        <f t="shared" si="2690"/>
        <v>7507</v>
      </c>
      <c r="XG377" s="56"/>
      <c r="XJ377" s="55">
        <f t="shared" si="2691"/>
        <v>46343</v>
      </c>
      <c r="XK377" s="56"/>
      <c r="XL377" s="242">
        <f>SUMPRODUCT(PRODUCE!$B372:$DY372,PRODUCE!$EB$57:$IY$57)</f>
        <v>0</v>
      </c>
      <c r="XM377" s="56"/>
      <c r="XN377" s="242">
        <f t="shared" si="2692"/>
        <v>0</v>
      </c>
      <c r="XO377" s="242">
        <f t="shared" si="2693"/>
        <v>4252</v>
      </c>
      <c r="XP377" s="56"/>
      <c r="XS377" s="55">
        <f t="shared" si="2694"/>
        <v>46343</v>
      </c>
      <c r="XT377" s="56"/>
      <c r="XU377" s="242">
        <f>SUMPRODUCT(PRODUCE!$B372:$DY372,PRODUCE!$EB$57:$IY$57)</f>
        <v>0</v>
      </c>
      <c r="XV377" s="56"/>
      <c r="XW377" s="242">
        <f t="shared" si="2695"/>
        <v>0</v>
      </c>
      <c r="XX377" s="242">
        <f t="shared" si="2696"/>
        <v>2179</v>
      </c>
      <c r="XY377" s="56"/>
      <c r="YB377" s="55">
        <f t="shared" si="2697"/>
        <v>46343</v>
      </c>
      <c r="YC377" s="56"/>
      <c r="YD377" s="242">
        <f>SUMPRODUCT(PRODUCE!$B372:$DY372,PRODUCE!$EB$57:$IY$57)</f>
        <v>0</v>
      </c>
      <c r="YE377" s="56"/>
      <c r="YF377" s="242">
        <f t="shared" si="2698"/>
        <v>0</v>
      </c>
      <c r="YG377" s="242">
        <f t="shared" si="2699"/>
        <v>4019</v>
      </c>
      <c r="YH377" s="56"/>
      <c r="YK377" s="55">
        <f t="shared" si="2700"/>
        <v>46343</v>
      </c>
      <c r="YL377" s="56"/>
      <c r="YM377" s="242">
        <f>SUMPRODUCT(PRODUCE!$B372:$DY372,PRODUCE!$EB$57:$IY$57)</f>
        <v>0</v>
      </c>
      <c r="YN377" s="56"/>
      <c r="YO377" s="242">
        <f t="shared" si="2701"/>
        <v>0</v>
      </c>
      <c r="YP377" s="242">
        <f t="shared" si="2702"/>
        <v>-218</v>
      </c>
      <c r="YQ377" s="56"/>
      <c r="YT377" s="55">
        <f t="shared" si="2703"/>
        <v>46343</v>
      </c>
      <c r="YU377" s="56"/>
      <c r="YV377" s="242">
        <f>SUMPRODUCT(PRODUCE!$B372:$DY372,PRODUCE!$EB$57:$IY$57)</f>
        <v>0</v>
      </c>
      <c r="YW377" s="56"/>
      <c r="YX377" s="242">
        <f t="shared" si="2704"/>
        <v>0</v>
      </c>
      <c r="YY377" s="242">
        <f t="shared" si="2705"/>
        <v>0</v>
      </c>
      <c r="YZ377" s="56"/>
      <c r="ZC377" s="55">
        <f t="shared" si="2706"/>
        <v>46343</v>
      </c>
      <c r="ZD377" s="56"/>
      <c r="ZE377" s="242">
        <f>SUMPRODUCT(PRODUCE!$B372:$DY372,PRODUCE!$EB$57:$IY$57)</f>
        <v>0</v>
      </c>
      <c r="ZF377" s="56"/>
      <c r="ZG377" s="242">
        <f t="shared" si="2707"/>
        <v>0</v>
      </c>
      <c r="ZH377" s="242">
        <f t="shared" si="2708"/>
        <v>0</v>
      </c>
      <c r="ZI377" s="56"/>
      <c r="ZL377" s="55">
        <f t="shared" si="2709"/>
        <v>46343</v>
      </c>
      <c r="ZM377" s="56"/>
      <c r="ZN377" s="242">
        <f>SUMPRODUCT(PRODUCE!$B372:$DY372,PRODUCE!$EB$57:$IY$57)</f>
        <v>0</v>
      </c>
      <c r="ZO377" s="56"/>
      <c r="ZP377" s="242">
        <f t="shared" si="2710"/>
        <v>0</v>
      </c>
      <c r="ZQ377" s="242">
        <f t="shared" si="2711"/>
        <v>0</v>
      </c>
      <c r="ZR377" s="56"/>
      <c r="ZU377" s="55">
        <f t="shared" si="2712"/>
        <v>46343</v>
      </c>
      <c r="ZV377" s="56"/>
      <c r="ZW377" s="242">
        <f>SUMPRODUCT(PRODUCE!$B372:$DY372,PRODUCE!$EB$57:$IY$57)</f>
        <v>0</v>
      </c>
      <c r="ZX377" s="56"/>
      <c r="ZY377" s="242">
        <f t="shared" si="2713"/>
        <v>0</v>
      </c>
      <c r="ZZ377" s="242">
        <f t="shared" si="2714"/>
        <v>0</v>
      </c>
      <c r="AAA377" s="56"/>
      <c r="AAD377" s="55">
        <f t="shared" si="2715"/>
        <v>46343</v>
      </c>
      <c r="AAE377" s="56"/>
      <c r="AAF377" s="242">
        <f>SUMPRODUCT(PRODUCE!$B372:$DY372,PRODUCE!$EB$57:$IY$57)</f>
        <v>0</v>
      </c>
      <c r="AAG377" s="56"/>
      <c r="AAH377" s="242">
        <f t="shared" si="2716"/>
        <v>0</v>
      </c>
      <c r="AAI377" s="242">
        <f t="shared" si="2717"/>
        <v>0</v>
      </c>
      <c r="AAJ377" s="56"/>
      <c r="AAM377" s="55">
        <f t="shared" si="2718"/>
        <v>46343</v>
      </c>
      <c r="AAN377" s="56"/>
      <c r="AAO377" s="242">
        <f>SUMPRODUCT(PRODUCE!$B372:$DY372,PRODUCE!$EB$57:$IY$57)</f>
        <v>0</v>
      </c>
      <c r="AAP377" s="56"/>
      <c r="AAQ377" s="242">
        <f t="shared" si="2719"/>
        <v>0</v>
      </c>
      <c r="AAR377" s="242">
        <f t="shared" si="2720"/>
        <v>0</v>
      </c>
      <c r="AAS377" s="56"/>
      <c r="AAV377" s="55">
        <f t="shared" si="2721"/>
        <v>46343</v>
      </c>
      <c r="AAW377" s="56"/>
      <c r="AAX377" s="242">
        <f>SUMPRODUCT(PRODUCE!$B372:$DY372,PRODUCE!$EB$57:$IY$57)</f>
        <v>0</v>
      </c>
      <c r="AAY377" s="56"/>
      <c r="AAZ377" s="242">
        <f t="shared" si="2722"/>
        <v>0</v>
      </c>
      <c r="ABA377" s="242">
        <f t="shared" si="2723"/>
        <v>0</v>
      </c>
      <c r="ABB377" s="56"/>
      <c r="ABE377" s="55">
        <f t="shared" si="2724"/>
        <v>46343</v>
      </c>
      <c r="ABF377" s="56"/>
      <c r="ABG377" s="242">
        <f>SUMPRODUCT(PRODUCE!$B372:$DY372,PRODUCE!$EB$57:$IY$57)</f>
        <v>0</v>
      </c>
      <c r="ABH377" s="56"/>
      <c r="ABI377" s="242">
        <f t="shared" si="2725"/>
        <v>0</v>
      </c>
      <c r="ABJ377" s="242">
        <f t="shared" si="2726"/>
        <v>0</v>
      </c>
      <c r="ABK377" s="56"/>
    </row>
    <row r="378" spans="2:739" s="54" customFormat="1" ht="15" customHeight="1" outlineLevel="1">
      <c r="B378" s="478"/>
      <c r="C378" s="55">
        <v>46344</v>
      </c>
      <c r="D378" s="56"/>
      <c r="E378" s="57">
        <f>SUMPRODUCT(PRODUCE!$B373:$DY373,PRODUCE!$EB$7:$IY$7)</f>
        <v>0</v>
      </c>
      <c r="F378" s="56"/>
      <c r="G378" s="57">
        <f t="shared" si="2482"/>
        <v>0</v>
      </c>
      <c r="H378" s="57">
        <f t="shared" si="2483"/>
        <v>236936.6</v>
      </c>
      <c r="I378" s="289"/>
      <c r="L378" s="55">
        <f t="shared" si="2484"/>
        <v>46344</v>
      </c>
      <c r="M378" s="56"/>
      <c r="N378" s="59">
        <f>SUMPRODUCT(PRODUCE!$B373:$DY373,PRODUCE!$EB$8:$IY$8)</f>
        <v>0</v>
      </c>
      <c r="O378" s="56"/>
      <c r="P378" s="59">
        <f t="shared" si="2485"/>
        <v>0</v>
      </c>
      <c r="Q378" s="59">
        <f t="shared" si="2486"/>
        <v>53017.600000000071</v>
      </c>
      <c r="R378" s="56"/>
      <c r="U378" s="55">
        <f t="shared" si="2487"/>
        <v>46344</v>
      </c>
      <c r="V378" s="56"/>
      <c r="W378" s="60">
        <f>SUMPRODUCT(PRODUCE!$B373:$DY373,PRODUCE!$EB$9:$IY$9)</f>
        <v>0</v>
      </c>
      <c r="X378" s="56"/>
      <c r="Y378" s="60">
        <f t="shared" si="2488"/>
        <v>0</v>
      </c>
      <c r="Z378" s="60">
        <f t="shared" si="2489"/>
        <v>42674.199999999968</v>
      </c>
      <c r="AA378" s="56"/>
      <c r="AD378" s="55">
        <f t="shared" si="2490"/>
        <v>46344</v>
      </c>
      <c r="AE378" s="56"/>
      <c r="AF378" s="61">
        <f>SUMPRODUCT(PRODUCE!$B373:$DY373,PRODUCE!$EB$10:$IY$10)</f>
        <v>0</v>
      </c>
      <c r="AG378" s="56"/>
      <c r="AH378" s="61">
        <f t="shared" si="2491"/>
        <v>0</v>
      </c>
      <c r="AI378" s="61">
        <f t="shared" si="2492"/>
        <v>4522.2000000000189</v>
      </c>
      <c r="AJ378" s="56"/>
      <c r="AM378" s="55">
        <f t="shared" si="2493"/>
        <v>46344</v>
      </c>
      <c r="AN378" s="422"/>
      <c r="AO378" s="444">
        <f>SUMPRODUCT(PRODUCE!$B373:$DY373,PRODUCE!$EB$11:$IY$11)</f>
        <v>0</v>
      </c>
      <c r="AP378" s="422"/>
      <c r="AQ378" s="444">
        <f t="shared" si="2494"/>
        <v>0</v>
      </c>
      <c r="AR378" s="444">
        <f t="shared" si="2495"/>
        <v>0</v>
      </c>
      <c r="AS378" s="56"/>
      <c r="AV378" s="55">
        <f t="shared" si="2496"/>
        <v>46344</v>
      </c>
      <c r="AW378" s="56"/>
      <c r="AX378" s="62">
        <f>SUMPRODUCT(PRODUCE!$B373:$DY373,PRODUCE!$EB$12:$IY$12)</f>
        <v>0</v>
      </c>
      <c r="AY378" s="56"/>
      <c r="AZ378" s="62">
        <f t="shared" si="2497"/>
        <v>0</v>
      </c>
      <c r="BA378" s="62">
        <f t="shared" si="2498"/>
        <v>124.99999999999523</v>
      </c>
      <c r="BB378" s="56"/>
      <c r="BE378" s="55">
        <f t="shared" si="2499"/>
        <v>46344</v>
      </c>
      <c r="BF378" s="56"/>
      <c r="BG378" s="63">
        <f>SUMPRODUCT(PRODUCE!$B373:$DY373,PRODUCE!$EB$13:$IY$13)</f>
        <v>0</v>
      </c>
      <c r="BH378" s="56"/>
      <c r="BI378" s="63">
        <f t="shared" si="2500"/>
        <v>0</v>
      </c>
      <c r="BJ378" s="63">
        <f t="shared" si="2501"/>
        <v>26151.899999999998</v>
      </c>
      <c r="BK378" s="56"/>
      <c r="BN378" s="55">
        <f t="shared" si="2502"/>
        <v>46344</v>
      </c>
      <c r="BO378" s="56"/>
      <c r="BP378" s="64">
        <f>SUMPRODUCT(PRODUCE!$B373:$DY373,PRODUCE!$EB$14:$IY$14)</f>
        <v>0</v>
      </c>
      <c r="BQ378" s="56"/>
      <c r="BR378" s="64">
        <f t="shared" si="2503"/>
        <v>0</v>
      </c>
      <c r="BS378" s="64">
        <f t="shared" si="2504"/>
        <v>0</v>
      </c>
      <c r="BT378" s="56"/>
      <c r="BW378" s="55">
        <f t="shared" si="2505"/>
        <v>46344</v>
      </c>
      <c r="BX378" s="56"/>
      <c r="BY378" s="65">
        <f>SUMPRODUCT(PRODUCE!$B373:$DY373,PRODUCE!$EB$15:$IY$15)</f>
        <v>0</v>
      </c>
      <c r="BZ378" s="56"/>
      <c r="CA378" s="65">
        <f t="shared" si="2506"/>
        <v>0</v>
      </c>
      <c r="CB378" s="65">
        <f t="shared" si="2507"/>
        <v>2097.3399999999992</v>
      </c>
      <c r="CC378" s="56"/>
      <c r="CF378" s="55">
        <f t="shared" si="2508"/>
        <v>46344</v>
      </c>
      <c r="CG378" s="56"/>
      <c r="CH378" s="66">
        <f>SUMPRODUCT(PRODUCE!$B373:$DY373,PRODUCE!$EB$16:$IY$16)</f>
        <v>0</v>
      </c>
      <c r="CI378" s="56"/>
      <c r="CJ378" s="66">
        <f t="shared" si="2509"/>
        <v>0</v>
      </c>
      <c r="CK378" s="66">
        <f t="shared" si="2510"/>
        <v>-10277.079999999998</v>
      </c>
      <c r="CL378" s="56"/>
      <c r="CO378" s="55">
        <f t="shared" si="2511"/>
        <v>46344</v>
      </c>
      <c r="CP378" s="422"/>
      <c r="CQ378" s="470">
        <f>SUMPRODUCT(PRODUCE!$B373:$DY373,PRODUCE!$EB$17:$IY$17)</f>
        <v>0</v>
      </c>
      <c r="CR378" s="422"/>
      <c r="CS378" s="470">
        <f t="shared" si="2512"/>
        <v>0</v>
      </c>
      <c r="CT378" s="470">
        <f t="shared" si="2513"/>
        <v>0</v>
      </c>
      <c r="CU378" s="56"/>
      <c r="CX378" s="55">
        <f t="shared" si="2514"/>
        <v>46344</v>
      </c>
      <c r="CY378" s="56"/>
      <c r="CZ378" s="133">
        <f>SUMPRODUCT(PRODUCE!$B373:$DY373,PRODUCE!$EB$18:$IY$18)</f>
        <v>0</v>
      </c>
      <c r="DA378" s="56"/>
      <c r="DB378" s="133">
        <f t="shared" si="2515"/>
        <v>0</v>
      </c>
      <c r="DC378" s="133">
        <f t="shared" si="2516"/>
        <v>27438.200000000012</v>
      </c>
      <c r="DD378" s="56"/>
      <c r="DG378" s="55">
        <f t="shared" si="2517"/>
        <v>46344</v>
      </c>
      <c r="DH378" s="56"/>
      <c r="DI378" s="147">
        <f>SUMPRODUCT(PRODUCE!$B373:$DY373,PRODUCE!$EB$19:$IY$19)</f>
        <v>0</v>
      </c>
      <c r="DJ378" s="56"/>
      <c r="DK378" s="147">
        <f t="shared" si="2518"/>
        <v>0</v>
      </c>
      <c r="DL378" s="147">
        <f t="shared" si="2519"/>
        <v>18782.299999999981</v>
      </c>
      <c r="DM378" s="56"/>
      <c r="DP378" s="55">
        <f t="shared" si="2520"/>
        <v>46344</v>
      </c>
      <c r="DQ378" s="56"/>
      <c r="DR378" s="57">
        <f>SUMPRODUCT(PRODUCE!$B373:$DY373,PRODUCE!$EB$20:$IY$20)</f>
        <v>0</v>
      </c>
      <c r="DS378" s="56"/>
      <c r="DT378" s="57">
        <f t="shared" si="2521"/>
        <v>0</v>
      </c>
      <c r="DU378" s="57">
        <f t="shared" si="2522"/>
        <v>5800</v>
      </c>
      <c r="DV378" s="56"/>
      <c r="DY378" s="55">
        <f t="shared" si="2523"/>
        <v>46344</v>
      </c>
      <c r="DZ378" s="56"/>
      <c r="EA378" s="157">
        <f>SUMPRODUCT(PRODUCE!$B373:$DY373,PRODUCE!$EB$21:$IY$21)</f>
        <v>0</v>
      </c>
      <c r="EB378" s="56"/>
      <c r="EC378" s="157">
        <f t="shared" si="2524"/>
        <v>0</v>
      </c>
      <c r="ED378" s="157">
        <f t="shared" si="2525"/>
        <v>0</v>
      </c>
      <c r="EE378" s="56"/>
      <c r="EH378" s="55">
        <f t="shared" si="2526"/>
        <v>46344</v>
      </c>
      <c r="EI378" s="56"/>
      <c r="EJ378" s="162">
        <f>SUMPRODUCT(PRODUCE!$B373:$DY373,PRODUCE!$EB$22:$IY$22)</f>
        <v>0</v>
      </c>
      <c r="EK378" s="56"/>
      <c r="EL378" s="162">
        <f t="shared" si="2527"/>
        <v>0</v>
      </c>
      <c r="EM378" s="162">
        <f t="shared" si="2528"/>
        <v>0</v>
      </c>
      <c r="EN378" s="56"/>
      <c r="EQ378" s="55">
        <f t="shared" si="2529"/>
        <v>46344</v>
      </c>
      <c r="ER378" s="56"/>
      <c r="ES378" s="135">
        <f>SUMPRODUCT(PRODUCE!$B373:$DY373,PRODUCE!$EB$23:$IY$23)</f>
        <v>0</v>
      </c>
      <c r="ET378" s="56"/>
      <c r="EU378" s="135">
        <f t="shared" si="2530"/>
        <v>0</v>
      </c>
      <c r="EV378" s="135">
        <f t="shared" si="2531"/>
        <v>0</v>
      </c>
      <c r="EW378" s="56"/>
      <c r="EZ378" s="55">
        <f t="shared" si="2532"/>
        <v>46344</v>
      </c>
      <c r="FA378" s="56"/>
      <c r="FB378" s="175">
        <f>SUMPRODUCT(PRODUCE!$B373:$DY373,PRODUCE!$EB$24:$IY$24)</f>
        <v>0</v>
      </c>
      <c r="FC378" s="56"/>
      <c r="FD378" s="175">
        <f t="shared" si="2533"/>
        <v>0</v>
      </c>
      <c r="FE378" s="175">
        <f t="shared" si="2534"/>
        <v>0</v>
      </c>
      <c r="FF378" s="56"/>
      <c r="FI378" s="55">
        <f t="shared" si="2535"/>
        <v>46344</v>
      </c>
      <c r="FJ378" s="56"/>
      <c r="FK378" s="183">
        <f>SUMPRODUCT(PRODUCE!$B373:$DY373,PRODUCE!$EB$25:$IY$25)</f>
        <v>0</v>
      </c>
      <c r="FL378" s="56"/>
      <c r="FM378" s="183">
        <f t="shared" si="2536"/>
        <v>0</v>
      </c>
      <c r="FN378" s="183">
        <f t="shared" si="2537"/>
        <v>0</v>
      </c>
      <c r="FO378" s="56"/>
      <c r="FR378" s="55">
        <f t="shared" si="2538"/>
        <v>46344</v>
      </c>
      <c r="FS378" s="56"/>
      <c r="FT378" s="186">
        <f>SUMPRODUCT(PRODUCE!$B373:$DY373,PRODUCE!$EB$26:$IY$26)</f>
        <v>0</v>
      </c>
      <c r="FU378" s="56"/>
      <c r="FV378" s="186">
        <f t="shared" si="2539"/>
        <v>0</v>
      </c>
      <c r="FW378" s="186">
        <f t="shared" si="2540"/>
        <v>2020</v>
      </c>
      <c r="FX378" s="56"/>
      <c r="GA378" s="55">
        <f t="shared" si="2541"/>
        <v>46344</v>
      </c>
      <c r="GB378" s="56"/>
      <c r="GC378" s="137">
        <f>SUMPRODUCT(PRODUCE!$B373:$DY373,PRODUCE!$EB$27:$IY$27)</f>
        <v>0</v>
      </c>
      <c r="GD378" s="56"/>
      <c r="GE378" s="137">
        <f t="shared" si="2542"/>
        <v>0</v>
      </c>
      <c r="GF378" s="137">
        <f t="shared" si="2543"/>
        <v>960</v>
      </c>
      <c r="GG378" s="56"/>
      <c r="GI378" s="23"/>
      <c r="GJ378" s="55">
        <f t="shared" si="2544"/>
        <v>46344</v>
      </c>
      <c r="GK378" s="56"/>
      <c r="GL378" s="199">
        <f>SUMPRODUCT(PRODUCE!$B373:$DY373,PRODUCE!$EB$28:$IY$28)</f>
        <v>0</v>
      </c>
      <c r="GM378" s="56"/>
      <c r="GN378" s="199">
        <f t="shared" si="2545"/>
        <v>0</v>
      </c>
      <c r="GO378" s="199">
        <f t="shared" si="2546"/>
        <v>1760</v>
      </c>
      <c r="GP378" s="56"/>
      <c r="GS378" s="55">
        <f t="shared" si="2547"/>
        <v>46344</v>
      </c>
      <c r="GT378" s="56"/>
      <c r="GU378" s="195">
        <f>SUMPRODUCT(PRODUCE!$B373:$DY373,PRODUCE!$EB$29:$IY$29)</f>
        <v>0</v>
      </c>
      <c r="GV378" s="56"/>
      <c r="GW378" s="195">
        <f t="shared" si="2548"/>
        <v>0</v>
      </c>
      <c r="GX378" s="195">
        <f t="shared" si="2549"/>
        <v>400</v>
      </c>
      <c r="GY378" s="56"/>
      <c r="HB378" s="55">
        <f t="shared" si="2550"/>
        <v>46344</v>
      </c>
      <c r="HC378" s="56"/>
      <c r="HD378" s="191">
        <f>SUMPRODUCT(PRODUCE!$B373:$DY373,PRODUCE!$EB$30:$IY$30)</f>
        <v>0</v>
      </c>
      <c r="HE378" s="56"/>
      <c r="HF378" s="191">
        <f t="shared" si="2551"/>
        <v>0</v>
      </c>
      <c r="HG378" s="191">
        <f t="shared" si="2552"/>
        <v>3600</v>
      </c>
      <c r="HH378" s="56"/>
      <c r="HK378" s="55">
        <f t="shared" si="2553"/>
        <v>46344</v>
      </c>
      <c r="HL378" s="56"/>
      <c r="HM378" s="63">
        <f>SUMPRODUCT(PRODUCE!$B373:$DY373,PRODUCE!$EB$31:$IY$31)</f>
        <v>0</v>
      </c>
      <c r="HN378" s="56"/>
      <c r="HO378" s="63">
        <f t="shared" si="2554"/>
        <v>0</v>
      </c>
      <c r="HP378" s="63">
        <f t="shared" si="2555"/>
        <v>0</v>
      </c>
      <c r="HQ378" s="56"/>
      <c r="HU378" s="55">
        <f t="shared" si="2556"/>
        <v>46344</v>
      </c>
      <c r="HV378" s="56"/>
      <c r="HW378" s="242">
        <f>SUMPRODUCT(PRODUCE!$B373:$DY373,PRODUCE!$EB$32:$IY$32)</f>
        <v>0</v>
      </c>
      <c r="HX378" s="56"/>
      <c r="HY378" s="242">
        <f t="shared" si="2557"/>
        <v>0</v>
      </c>
      <c r="HZ378" s="242">
        <f t="shared" si="2558"/>
        <v>6120</v>
      </c>
      <c r="IA378" s="56"/>
      <c r="ID378" s="55">
        <f t="shared" si="2559"/>
        <v>46344</v>
      </c>
      <c r="IE378" s="56"/>
      <c r="IF378" s="242">
        <f>SUMPRODUCT(PRODUCE!$B373:$DY373,PRODUCE!$EB$33:$IY$33)</f>
        <v>0</v>
      </c>
      <c r="IG378" s="56"/>
      <c r="IH378" s="242">
        <f t="shared" si="2560"/>
        <v>0</v>
      </c>
      <c r="II378" s="242">
        <f t="shared" si="2561"/>
        <v>0</v>
      </c>
      <c r="IJ378" s="56"/>
      <c r="IM378" s="55">
        <f t="shared" si="2562"/>
        <v>46344</v>
      </c>
      <c r="IN378" s="56"/>
      <c r="IO378" s="242">
        <f>SUMPRODUCT(PRODUCE!$B373:$DY373,PRODUCE!$EB$34:$IY$34)</f>
        <v>0</v>
      </c>
      <c r="IP378" s="56"/>
      <c r="IQ378" s="242">
        <f t="shared" si="2563"/>
        <v>0</v>
      </c>
      <c r="IR378" s="242">
        <f t="shared" si="2564"/>
        <v>0</v>
      </c>
      <c r="IS378" s="56"/>
      <c r="IV378" s="55">
        <f t="shared" si="2565"/>
        <v>46344</v>
      </c>
      <c r="IW378" s="56"/>
      <c r="IX378" s="242">
        <f>SUMPRODUCT(PRODUCE!$B373:$DY373,PRODUCE!$EB$35:$IY$35)</f>
        <v>0</v>
      </c>
      <c r="IY378" s="56"/>
      <c r="IZ378" s="242">
        <f t="shared" si="2566"/>
        <v>0</v>
      </c>
      <c r="JA378" s="242">
        <f t="shared" si="2567"/>
        <v>2820</v>
      </c>
      <c r="JB378" s="56"/>
      <c r="JE378" s="55">
        <f t="shared" si="2568"/>
        <v>46344</v>
      </c>
      <c r="JF378" s="56"/>
      <c r="JG378" s="242">
        <f>SUMPRODUCT(PRODUCE!$B373:$DY373,PRODUCE!$EB$36:$IY$36)</f>
        <v>0</v>
      </c>
      <c r="JH378" s="56"/>
      <c r="JI378" s="242">
        <f t="shared" si="2569"/>
        <v>0</v>
      </c>
      <c r="JJ378" s="242">
        <f t="shared" si="2570"/>
        <v>0</v>
      </c>
      <c r="JK378" s="56"/>
      <c r="JN378" s="55">
        <f t="shared" si="2571"/>
        <v>46344</v>
      </c>
      <c r="JO378" s="56"/>
      <c r="JP378" s="242">
        <f>SUMPRODUCT(PRODUCE!$B373:$DY373,PRODUCE!$EB$37:$IY$37)</f>
        <v>0</v>
      </c>
      <c r="JQ378" s="56"/>
      <c r="JR378" s="242">
        <f t="shared" si="2572"/>
        <v>0</v>
      </c>
      <c r="JS378" s="242">
        <f t="shared" si="2573"/>
        <v>0</v>
      </c>
      <c r="JT378" s="56"/>
      <c r="JW378" s="55">
        <f t="shared" si="2574"/>
        <v>46344</v>
      </c>
      <c r="JX378" s="56"/>
      <c r="JY378" s="242">
        <f>SUMPRODUCT(PRODUCE!$B373:$DY373,PRODUCE!$EB$38:$IY$38)</f>
        <v>0</v>
      </c>
      <c r="JZ378" s="56"/>
      <c r="KA378" s="242">
        <f t="shared" si="2575"/>
        <v>0</v>
      </c>
      <c r="KB378" s="242">
        <f t="shared" si="2576"/>
        <v>2540</v>
      </c>
      <c r="KC378" s="56"/>
      <c r="KF378" s="55">
        <f t="shared" si="2577"/>
        <v>46344</v>
      </c>
      <c r="KG378" s="56"/>
      <c r="KH378" s="242">
        <f>SUMPRODUCT(PRODUCE!$B373:$DY373,PRODUCE!$EB$39:$IY$39)</f>
        <v>0</v>
      </c>
      <c r="KI378" s="56"/>
      <c r="KJ378" s="242">
        <f t="shared" si="2578"/>
        <v>0</v>
      </c>
      <c r="KK378" s="242">
        <f t="shared" si="2579"/>
        <v>2359.5</v>
      </c>
      <c r="KL378" s="56"/>
      <c r="KO378" s="55">
        <f t="shared" si="2580"/>
        <v>46344</v>
      </c>
      <c r="KP378" s="56"/>
      <c r="KQ378" s="242">
        <f>SUMPRODUCT(PRODUCE!$B373:$DY373,PRODUCE!$EB$40:$IY$40)</f>
        <v>0</v>
      </c>
      <c r="KR378" s="56"/>
      <c r="KS378" s="242">
        <f t="shared" si="2581"/>
        <v>0</v>
      </c>
      <c r="KT378" s="242">
        <f t="shared" si="2582"/>
        <v>1890</v>
      </c>
      <c r="KU378" s="56"/>
      <c r="KW378" s="23"/>
      <c r="KX378" s="55">
        <f t="shared" si="2583"/>
        <v>46344</v>
      </c>
      <c r="KY378" s="56"/>
      <c r="KZ378" s="242">
        <f>SUMPRODUCT(PRODUCE!$B373:$DY373,PRODUCE!$EB$41:$IY$41)</f>
        <v>0</v>
      </c>
      <c r="LA378" s="56"/>
      <c r="LB378" s="242">
        <f t="shared" si="2584"/>
        <v>0</v>
      </c>
      <c r="LC378" s="242">
        <f t="shared" si="2585"/>
        <v>3690</v>
      </c>
      <c r="LD378" s="56"/>
      <c r="LG378" s="55">
        <f t="shared" si="2586"/>
        <v>46344</v>
      </c>
      <c r="LH378" s="56"/>
      <c r="LI378" s="242">
        <f>SUMPRODUCT(PRODUCE!$B373:$DY373,PRODUCE!$EB$42:$IY$42)</f>
        <v>0</v>
      </c>
      <c r="LJ378" s="56"/>
      <c r="LK378" s="242">
        <f t="shared" si="2587"/>
        <v>0</v>
      </c>
      <c r="LL378" s="242">
        <f t="shared" si="2588"/>
        <v>4000</v>
      </c>
      <c r="LM378" s="56"/>
      <c r="LP378" s="55">
        <f t="shared" si="2589"/>
        <v>46344</v>
      </c>
      <c r="LQ378" s="56"/>
      <c r="LR378" s="242">
        <f>SUMPRODUCT(PRODUCE!$B393:$DY393,PRODUCE!$EB$43:$IY$43)</f>
        <v>0</v>
      </c>
      <c r="LS378" s="56"/>
      <c r="LT378" s="242">
        <f t="shared" si="2590"/>
        <v>0</v>
      </c>
      <c r="LU378" s="242">
        <f t="shared" si="2591"/>
        <v>0</v>
      </c>
      <c r="LV378" s="56"/>
      <c r="LY378" s="55">
        <f t="shared" si="2592"/>
        <v>46344</v>
      </c>
      <c r="LZ378" s="56"/>
      <c r="MA378" s="242">
        <f>SUMPRODUCT(PRODUCE!$B373:$DY373,PRODUCE!$EB$44:$IY$44)</f>
        <v>0</v>
      </c>
      <c r="MB378" s="56"/>
      <c r="MC378" s="242">
        <f t="shared" si="2593"/>
        <v>0</v>
      </c>
      <c r="MD378" s="242">
        <f t="shared" si="2594"/>
        <v>0</v>
      </c>
      <c r="ME378" s="56"/>
      <c r="MH378" s="55">
        <f t="shared" si="2595"/>
        <v>46344</v>
      </c>
      <c r="MI378" s="56"/>
      <c r="MJ378" s="242">
        <f>SUMPRODUCT(PRODUCE!$B373:$DY373,PRODUCE!$EB$45:$IY$45)</f>
        <v>0</v>
      </c>
      <c r="MK378" s="56"/>
      <c r="ML378" s="242">
        <f t="shared" si="2596"/>
        <v>0</v>
      </c>
      <c r="MM378" s="242">
        <f t="shared" si="2597"/>
        <v>0</v>
      </c>
      <c r="MN378" s="56"/>
      <c r="MQ378" s="55">
        <f t="shared" si="2598"/>
        <v>46344</v>
      </c>
      <c r="MR378" s="56"/>
      <c r="MS378" s="242">
        <f>SUMPRODUCT(PRODUCE!$B373:$DY373,PRODUCE!$EB$46:$IY$46)</f>
        <v>0</v>
      </c>
      <c r="MT378" s="56"/>
      <c r="MU378" s="242">
        <f t="shared" si="2599"/>
        <v>0</v>
      </c>
      <c r="MV378" s="242">
        <f t="shared" si="2600"/>
        <v>1625</v>
      </c>
      <c r="MW378" s="56"/>
      <c r="MZ378" s="55">
        <f t="shared" si="2601"/>
        <v>46344</v>
      </c>
      <c r="NA378" s="56"/>
      <c r="NB378" s="242">
        <f>SUMPRODUCT(PRODUCE!$B373:$DY373,PRODUCE!$EB$47:$IY$47)</f>
        <v>0</v>
      </c>
      <c r="NC378" s="56"/>
      <c r="ND378" s="242">
        <f t="shared" si="2602"/>
        <v>0</v>
      </c>
      <c r="NE378" s="242">
        <f t="shared" si="2603"/>
        <v>0</v>
      </c>
      <c r="NF378" s="56"/>
      <c r="NI378" s="55">
        <f t="shared" si="2604"/>
        <v>46344</v>
      </c>
      <c r="NJ378" s="56"/>
      <c r="NK378" s="242">
        <f>SUMPRODUCT(PRODUCE!$B373:$DY373,PRODUCE!$EB$48:$IY$48)</f>
        <v>0</v>
      </c>
      <c r="NL378" s="56"/>
      <c r="NM378" s="242">
        <f t="shared" si="2605"/>
        <v>0</v>
      </c>
      <c r="NN378" s="242">
        <f t="shared" si="2606"/>
        <v>1127</v>
      </c>
      <c r="NO378" s="56"/>
      <c r="NR378" s="55">
        <f t="shared" si="2607"/>
        <v>46344</v>
      </c>
      <c r="NS378" s="56"/>
      <c r="NT378" s="242">
        <f>SUMPRODUCT(PRODUCE!$B373:$DY373,PRODUCE!$EB$49:$IY$49)</f>
        <v>0</v>
      </c>
      <c r="NU378" s="56"/>
      <c r="NV378" s="242">
        <f t="shared" si="2608"/>
        <v>0</v>
      </c>
      <c r="NW378" s="242">
        <f t="shared" si="2609"/>
        <v>3111.9999999999995</v>
      </c>
      <c r="NX378" s="56"/>
      <c r="OA378" s="55">
        <f t="shared" si="2610"/>
        <v>46344</v>
      </c>
      <c r="OB378" s="56"/>
      <c r="OC378" s="242">
        <f>SUMPRODUCT(PRODUCE!$B373:$DY373,PRODUCE!$EB$50:$IY$50)</f>
        <v>0</v>
      </c>
      <c r="OD378" s="56"/>
      <c r="OE378" s="242">
        <f t="shared" si="2611"/>
        <v>0</v>
      </c>
      <c r="OF378" s="242">
        <f t="shared" si="2612"/>
        <v>1680.5</v>
      </c>
      <c r="OG378" s="56"/>
      <c r="OJ378" s="55">
        <f t="shared" si="2613"/>
        <v>46344</v>
      </c>
      <c r="OK378" s="56"/>
      <c r="OL378" s="242">
        <f>SUMPRODUCT(PRODUCE!$B373:$DY373,PRODUCE!$EB$51:$IY$51)</f>
        <v>0</v>
      </c>
      <c r="OM378" s="56"/>
      <c r="ON378" s="242">
        <f t="shared" si="2614"/>
        <v>0</v>
      </c>
      <c r="OO378" s="242">
        <f t="shared" si="2615"/>
        <v>0</v>
      </c>
      <c r="OP378" s="56"/>
      <c r="OS378" s="55">
        <f t="shared" si="2616"/>
        <v>46344</v>
      </c>
      <c r="OT378" s="56"/>
      <c r="OU378" s="242">
        <f>SUMPRODUCT(PRODUCE!$B373:$DY373,PRODUCE!$EB$52:$IY$52)</f>
        <v>0</v>
      </c>
      <c r="OV378" s="56"/>
      <c r="OW378" s="242">
        <f t="shared" si="2617"/>
        <v>0</v>
      </c>
      <c r="OX378" s="242">
        <f t="shared" si="2618"/>
        <v>1482</v>
      </c>
      <c r="OY378" s="56"/>
      <c r="PB378" s="55">
        <f t="shared" si="2619"/>
        <v>46344</v>
      </c>
      <c r="PC378" s="56"/>
      <c r="PD378" s="242">
        <f>SUMPRODUCT(PRODUCE!$B373:$DY373,PRODUCE!$EB$53:$IY$53)</f>
        <v>0</v>
      </c>
      <c r="PE378" s="56"/>
      <c r="PF378" s="242">
        <f t="shared" si="2620"/>
        <v>0</v>
      </c>
      <c r="PG378" s="242">
        <f t="shared" si="2621"/>
        <v>0</v>
      </c>
      <c r="PH378" s="56"/>
      <c r="PK378" s="55">
        <f t="shared" si="2622"/>
        <v>46344</v>
      </c>
      <c r="PL378" s="56"/>
      <c r="PM378" s="242">
        <f>SUMPRODUCT(PRODUCE!$B373:$DY373,PRODUCE!$EB$54:$IY$54)</f>
        <v>0</v>
      </c>
      <c r="PN378" s="56"/>
      <c r="PO378" s="242">
        <f t="shared" si="2623"/>
        <v>0</v>
      </c>
      <c r="PP378" s="242">
        <f t="shared" si="2624"/>
        <v>100</v>
      </c>
      <c r="PQ378" s="56"/>
      <c r="PT378" s="55">
        <f t="shared" si="2625"/>
        <v>46344</v>
      </c>
      <c r="PU378" s="56"/>
      <c r="PV378" s="242">
        <f>SUMPRODUCT(PRODUCE!$B373:$DY373,PRODUCE!$EB$55:$IY$55)</f>
        <v>0</v>
      </c>
      <c r="PW378" s="56"/>
      <c r="PX378" s="242">
        <f t="shared" si="2626"/>
        <v>0</v>
      </c>
      <c r="PY378" s="242">
        <f t="shared" si="2627"/>
        <v>13.960000000000036</v>
      </c>
      <c r="PZ378" s="56"/>
      <c r="QC378" s="55">
        <f t="shared" si="2628"/>
        <v>46344</v>
      </c>
      <c r="QD378" s="56"/>
      <c r="QE378" s="242">
        <f>SUMPRODUCT(PRODUCE!$B373:$DY373,PRODUCE!$EB$56:$IY$56)</f>
        <v>0</v>
      </c>
      <c r="QF378" s="56"/>
      <c r="QG378" s="242">
        <f t="shared" si="2629"/>
        <v>0</v>
      </c>
      <c r="QH378" s="242">
        <f t="shared" si="2630"/>
        <v>548</v>
      </c>
      <c r="QI378" s="56"/>
      <c r="QL378" s="55">
        <f t="shared" si="2631"/>
        <v>46344</v>
      </c>
      <c r="QM378" s="56"/>
      <c r="QN378" s="242">
        <f>SUMPRODUCT(PRODUCE!$B373:$DY373,PRODUCE!$EB$57:$IY$57)</f>
        <v>0</v>
      </c>
      <c r="QO378" s="56"/>
      <c r="QP378" s="242">
        <f t="shared" si="2632"/>
        <v>0</v>
      </c>
      <c r="QQ378" s="242">
        <f t="shared" si="2633"/>
        <v>0</v>
      </c>
      <c r="QR378" s="56"/>
      <c r="QU378" s="55">
        <f t="shared" si="2634"/>
        <v>46344</v>
      </c>
      <c r="QV378" s="56"/>
      <c r="QW378" s="242">
        <f>SUMPRODUCT(PRODUCE!$B373:$DY373,PRODUCE!$EB$57:$IY$57)</f>
        <v>0</v>
      </c>
      <c r="QX378" s="56"/>
      <c r="QY378" s="242">
        <f t="shared" si="2635"/>
        <v>0</v>
      </c>
      <c r="QZ378" s="242">
        <f t="shared" si="2636"/>
        <v>0</v>
      </c>
      <c r="RA378" s="56"/>
      <c r="RD378" s="55">
        <f t="shared" si="2637"/>
        <v>46344</v>
      </c>
      <c r="RE378" s="56"/>
      <c r="RF378" s="242">
        <f>SUMPRODUCT(PRODUCE!$B373:$DY373,PRODUCE!$EB$58:$IY$58)</f>
        <v>0</v>
      </c>
      <c r="RG378" s="56"/>
      <c r="RH378" s="242">
        <f t="shared" si="2638"/>
        <v>0</v>
      </c>
      <c r="RI378" s="242">
        <f t="shared" si="2639"/>
        <v>147.04000000000002</v>
      </c>
      <c r="RJ378" s="56"/>
      <c r="RM378" s="55">
        <f t="shared" si="2640"/>
        <v>46344</v>
      </c>
      <c r="RN378" s="56"/>
      <c r="RO378" s="242">
        <f>SUMPRODUCT(PRODUCE!$B373:$DY373,PRODUCE!$EB$57:$IY$57)</f>
        <v>0</v>
      </c>
      <c r="RP378" s="56"/>
      <c r="RQ378" s="242">
        <f t="shared" si="2641"/>
        <v>0</v>
      </c>
      <c r="RR378" s="242">
        <f t="shared" si="2642"/>
        <v>46.8</v>
      </c>
      <c r="RS378" s="56"/>
      <c r="RV378" s="55">
        <f t="shared" si="2643"/>
        <v>46344</v>
      </c>
      <c r="RW378" s="56"/>
      <c r="RX378" s="242">
        <f>SUMPRODUCT(PRODUCE!$B373:$DY373,PRODUCE!$EB$57:$IY$57)</f>
        <v>0</v>
      </c>
      <c r="RY378" s="56"/>
      <c r="RZ378" s="242">
        <f t="shared" si="2644"/>
        <v>0</v>
      </c>
      <c r="SA378" s="242">
        <f t="shared" si="2645"/>
        <v>0</v>
      </c>
      <c r="SB378" s="56"/>
      <c r="SE378" s="55">
        <f t="shared" si="2646"/>
        <v>46344</v>
      </c>
      <c r="SF378" s="56"/>
      <c r="SG378" s="242">
        <f>SUMPRODUCT(PRODUCE!$B373:$DY373,PRODUCE!$EB$61:$IY$61)</f>
        <v>0</v>
      </c>
      <c r="SH378" s="56"/>
      <c r="SI378" s="242">
        <f t="shared" si="2647"/>
        <v>0</v>
      </c>
      <c r="SJ378" s="242">
        <f t="shared" si="2648"/>
        <v>24.200000000000003</v>
      </c>
      <c r="SK378" s="56"/>
      <c r="SN378" s="55">
        <f t="shared" si="2649"/>
        <v>46344</v>
      </c>
      <c r="SO378" s="56"/>
      <c r="SP378" s="242">
        <f>SUMPRODUCT(PRODUCE!$B373:$DY373,PRODUCE!$EB$57:$IY$57)</f>
        <v>0</v>
      </c>
      <c r="SQ378" s="56"/>
      <c r="SR378" s="242">
        <f t="shared" si="2650"/>
        <v>0</v>
      </c>
      <c r="SS378" s="242">
        <f t="shared" si="2651"/>
        <v>32</v>
      </c>
      <c r="ST378" s="56"/>
      <c r="SW378" s="55">
        <f t="shared" si="2652"/>
        <v>46344</v>
      </c>
      <c r="SX378" s="56"/>
      <c r="SY378" s="242">
        <f>SUMPRODUCT(PRODUCE!$B373:$DY373,PRODUCE!$EB$57:$IY$57)</f>
        <v>0</v>
      </c>
      <c r="SZ378" s="56"/>
      <c r="TA378" s="242">
        <f t="shared" si="2653"/>
        <v>0</v>
      </c>
      <c r="TB378" s="242">
        <f t="shared" si="2654"/>
        <v>0</v>
      </c>
      <c r="TC378" s="56"/>
      <c r="TF378" s="55">
        <f t="shared" si="2655"/>
        <v>46344</v>
      </c>
      <c r="TG378" s="56"/>
      <c r="TH378" s="242">
        <f>SUMPRODUCT(PRODUCE!$B373:$DY373,PRODUCE!$EB$57:$IY$57)</f>
        <v>0</v>
      </c>
      <c r="TI378" s="56"/>
      <c r="TJ378" s="242">
        <f t="shared" si="2656"/>
        <v>0</v>
      </c>
      <c r="TK378" s="242">
        <f t="shared" si="2657"/>
        <v>0</v>
      </c>
      <c r="TL378" s="56"/>
      <c r="TO378" s="55">
        <f t="shared" si="2658"/>
        <v>46344</v>
      </c>
      <c r="TP378" s="56"/>
      <c r="TQ378" s="242">
        <f>SUMPRODUCT(PRODUCE!$B373:$DY373,PRODUCE!$EB$57:$IY$57)</f>
        <v>0</v>
      </c>
      <c r="TR378" s="56"/>
      <c r="TS378" s="242">
        <f t="shared" si="2659"/>
        <v>0</v>
      </c>
      <c r="TT378" s="242">
        <f t="shared" si="2660"/>
        <v>0</v>
      </c>
      <c r="TU378" s="56"/>
      <c r="TX378" s="55">
        <f t="shared" si="2661"/>
        <v>46344</v>
      </c>
      <c r="TY378" s="56"/>
      <c r="TZ378" s="242">
        <f>SUMPRODUCT(PRODUCE!$B373:$DY373,PRODUCE!$EB$57:$IY$57)</f>
        <v>0</v>
      </c>
      <c r="UA378" s="56"/>
      <c r="UB378" s="242">
        <f t="shared" si="2662"/>
        <v>0</v>
      </c>
      <c r="UC378" s="242">
        <f t="shared" si="2663"/>
        <v>46.799999999999983</v>
      </c>
      <c r="UD378" s="56"/>
      <c r="UG378" s="55">
        <f t="shared" si="2664"/>
        <v>46344</v>
      </c>
      <c r="UH378" s="56"/>
      <c r="UI378" s="242">
        <f>SUMPRODUCT(PRODUCE!$B373:$DY373,PRODUCE!$EB$57:$IY$57)</f>
        <v>0</v>
      </c>
      <c r="UJ378" s="56"/>
      <c r="UK378" s="242">
        <f t="shared" si="2665"/>
        <v>0</v>
      </c>
      <c r="UL378" s="242">
        <f t="shared" si="2666"/>
        <v>204</v>
      </c>
      <c r="UM378" s="56"/>
      <c r="UP378" s="55">
        <f t="shared" si="2667"/>
        <v>46344</v>
      </c>
      <c r="UQ378" s="56"/>
      <c r="UR378" s="242">
        <f>SUMPRODUCT(PRODUCE!$B373:$DY373,PRODUCE!$EB$57:$IY$57)</f>
        <v>0</v>
      </c>
      <c r="US378" s="56"/>
      <c r="UT378" s="242">
        <f t="shared" si="2668"/>
        <v>0</v>
      </c>
      <c r="UU378" s="242">
        <f t="shared" si="2669"/>
        <v>202.5</v>
      </c>
      <c r="UV378" s="56"/>
      <c r="UY378" s="55">
        <f t="shared" si="2670"/>
        <v>46344</v>
      </c>
      <c r="UZ378" s="56"/>
      <c r="VA378" s="242">
        <f>SUMPRODUCT(PRODUCE!$B373:$DY373,PRODUCE!$EB$57:$IY$57)</f>
        <v>0</v>
      </c>
      <c r="VB378" s="56"/>
      <c r="VC378" s="242">
        <f t="shared" si="2671"/>
        <v>0</v>
      </c>
      <c r="VD378" s="242">
        <f t="shared" si="2672"/>
        <v>41.600000000000023</v>
      </c>
      <c r="VE378" s="56"/>
      <c r="VH378" s="55">
        <f t="shared" si="2673"/>
        <v>46344</v>
      </c>
      <c r="VI378" s="56"/>
      <c r="VJ378" s="242">
        <f>SUMPRODUCT(PRODUCE!$B373:$DY373,PRODUCE!$EB$57:$IY$57)</f>
        <v>0</v>
      </c>
      <c r="VK378" s="56"/>
      <c r="VL378" s="242">
        <f t="shared" si="2674"/>
        <v>0</v>
      </c>
      <c r="VM378" s="242">
        <f t="shared" si="2675"/>
        <v>210</v>
      </c>
      <c r="VN378" s="56"/>
      <c r="VQ378" s="55">
        <f t="shared" si="2676"/>
        <v>46344</v>
      </c>
      <c r="VR378" s="56"/>
      <c r="VS378" s="242">
        <f>SUMPRODUCT(PRODUCE!$B373:$DY373,PRODUCE!$EB$57:$IY$57)</f>
        <v>0</v>
      </c>
      <c r="VT378" s="56"/>
      <c r="VU378" s="242">
        <f t="shared" si="2677"/>
        <v>0</v>
      </c>
      <c r="VV378" s="242">
        <f t="shared" si="2678"/>
        <v>0</v>
      </c>
      <c r="VW378" s="56"/>
      <c r="VZ378" s="55">
        <f t="shared" si="2679"/>
        <v>46344</v>
      </c>
      <c r="WA378" s="56"/>
      <c r="WB378" s="242">
        <f>SUMPRODUCT(PRODUCE!$B373:$DY373,PRODUCE!$EB$57:$IY$57)</f>
        <v>0</v>
      </c>
      <c r="WC378" s="56"/>
      <c r="WD378" s="242">
        <f t="shared" si="2680"/>
        <v>0</v>
      </c>
      <c r="WE378" s="242">
        <f t="shared" si="2681"/>
        <v>0</v>
      </c>
      <c r="WF378" s="56"/>
      <c r="WI378" s="55">
        <f t="shared" si="2682"/>
        <v>46344</v>
      </c>
      <c r="WJ378" s="56"/>
      <c r="WK378" s="242">
        <f>SUMPRODUCT(PRODUCE!$B373:$DY373,PRODUCE!$EB$57:$IY$57)</f>
        <v>0</v>
      </c>
      <c r="WL378" s="56"/>
      <c r="WM378" s="242">
        <f t="shared" si="2683"/>
        <v>0</v>
      </c>
      <c r="WN378" s="242">
        <f t="shared" si="2684"/>
        <v>1057</v>
      </c>
      <c r="WO378" s="56"/>
      <c r="WR378" s="55">
        <f t="shared" si="2685"/>
        <v>46344</v>
      </c>
      <c r="WS378" s="56"/>
      <c r="WT378" s="242">
        <f>SUMPRODUCT(PRODUCE!$B373:$DY373,PRODUCE!$EB$57:$IY$57)</f>
        <v>0</v>
      </c>
      <c r="WU378" s="56"/>
      <c r="WV378" s="242">
        <f t="shared" si="2686"/>
        <v>0</v>
      </c>
      <c r="WW378" s="242">
        <f t="shared" si="2687"/>
        <v>0</v>
      </c>
      <c r="WX378" s="56"/>
      <c r="XA378" s="55">
        <f t="shared" si="2688"/>
        <v>46344</v>
      </c>
      <c r="XB378" s="56"/>
      <c r="XC378" s="242">
        <f>SUMPRODUCT(PRODUCE!$B373:$DY373,PRODUCE!$EB$57:$IY$57)</f>
        <v>0</v>
      </c>
      <c r="XD378" s="56"/>
      <c r="XE378" s="242">
        <f t="shared" si="2689"/>
        <v>0</v>
      </c>
      <c r="XF378" s="242">
        <f t="shared" si="2690"/>
        <v>7507</v>
      </c>
      <c r="XG378" s="56"/>
      <c r="XJ378" s="55">
        <f t="shared" si="2691"/>
        <v>46344</v>
      </c>
      <c r="XK378" s="56"/>
      <c r="XL378" s="242">
        <f>SUMPRODUCT(PRODUCE!$B373:$DY373,PRODUCE!$EB$57:$IY$57)</f>
        <v>0</v>
      </c>
      <c r="XM378" s="56"/>
      <c r="XN378" s="242">
        <f t="shared" si="2692"/>
        <v>0</v>
      </c>
      <c r="XO378" s="242">
        <f t="shared" si="2693"/>
        <v>4252</v>
      </c>
      <c r="XP378" s="56"/>
      <c r="XS378" s="55">
        <f t="shared" si="2694"/>
        <v>46344</v>
      </c>
      <c r="XT378" s="56"/>
      <c r="XU378" s="242">
        <f>SUMPRODUCT(PRODUCE!$B373:$DY373,PRODUCE!$EB$57:$IY$57)</f>
        <v>0</v>
      </c>
      <c r="XV378" s="56"/>
      <c r="XW378" s="242">
        <f t="shared" si="2695"/>
        <v>0</v>
      </c>
      <c r="XX378" s="242">
        <f t="shared" si="2696"/>
        <v>2179</v>
      </c>
      <c r="XY378" s="56"/>
      <c r="YB378" s="55">
        <f t="shared" si="2697"/>
        <v>46344</v>
      </c>
      <c r="YC378" s="56"/>
      <c r="YD378" s="242">
        <f>SUMPRODUCT(PRODUCE!$B373:$DY373,PRODUCE!$EB$57:$IY$57)</f>
        <v>0</v>
      </c>
      <c r="YE378" s="56"/>
      <c r="YF378" s="242">
        <f t="shared" si="2698"/>
        <v>0</v>
      </c>
      <c r="YG378" s="242">
        <f t="shared" si="2699"/>
        <v>4019</v>
      </c>
      <c r="YH378" s="56"/>
      <c r="YK378" s="55">
        <f t="shared" si="2700"/>
        <v>46344</v>
      </c>
      <c r="YL378" s="56"/>
      <c r="YM378" s="242">
        <f>SUMPRODUCT(PRODUCE!$B373:$DY373,PRODUCE!$EB$57:$IY$57)</f>
        <v>0</v>
      </c>
      <c r="YN378" s="56"/>
      <c r="YO378" s="242">
        <f t="shared" si="2701"/>
        <v>0</v>
      </c>
      <c r="YP378" s="242">
        <f t="shared" si="2702"/>
        <v>-218</v>
      </c>
      <c r="YQ378" s="56"/>
      <c r="YT378" s="55">
        <f t="shared" si="2703"/>
        <v>46344</v>
      </c>
      <c r="YU378" s="56"/>
      <c r="YV378" s="242">
        <f>SUMPRODUCT(PRODUCE!$B373:$DY373,PRODUCE!$EB$57:$IY$57)</f>
        <v>0</v>
      </c>
      <c r="YW378" s="56"/>
      <c r="YX378" s="242">
        <f t="shared" si="2704"/>
        <v>0</v>
      </c>
      <c r="YY378" s="242">
        <f t="shared" si="2705"/>
        <v>0</v>
      </c>
      <c r="YZ378" s="56"/>
      <c r="ZC378" s="55">
        <f t="shared" si="2706"/>
        <v>46344</v>
      </c>
      <c r="ZD378" s="56"/>
      <c r="ZE378" s="242">
        <f>SUMPRODUCT(PRODUCE!$B373:$DY373,PRODUCE!$EB$57:$IY$57)</f>
        <v>0</v>
      </c>
      <c r="ZF378" s="56"/>
      <c r="ZG378" s="242">
        <f t="shared" si="2707"/>
        <v>0</v>
      </c>
      <c r="ZH378" s="242">
        <f t="shared" si="2708"/>
        <v>0</v>
      </c>
      <c r="ZI378" s="56"/>
      <c r="ZL378" s="55">
        <f t="shared" si="2709"/>
        <v>46344</v>
      </c>
      <c r="ZM378" s="56"/>
      <c r="ZN378" s="242">
        <f>SUMPRODUCT(PRODUCE!$B373:$DY373,PRODUCE!$EB$57:$IY$57)</f>
        <v>0</v>
      </c>
      <c r="ZO378" s="56"/>
      <c r="ZP378" s="242">
        <f t="shared" si="2710"/>
        <v>0</v>
      </c>
      <c r="ZQ378" s="242">
        <f t="shared" si="2711"/>
        <v>0</v>
      </c>
      <c r="ZR378" s="56"/>
      <c r="ZU378" s="55">
        <f t="shared" si="2712"/>
        <v>46344</v>
      </c>
      <c r="ZV378" s="56"/>
      <c r="ZW378" s="242">
        <f>SUMPRODUCT(PRODUCE!$B373:$DY373,PRODUCE!$EB$57:$IY$57)</f>
        <v>0</v>
      </c>
      <c r="ZX378" s="56"/>
      <c r="ZY378" s="242">
        <f t="shared" si="2713"/>
        <v>0</v>
      </c>
      <c r="ZZ378" s="242">
        <f t="shared" si="2714"/>
        <v>0</v>
      </c>
      <c r="AAA378" s="56"/>
      <c r="AAD378" s="55">
        <f t="shared" si="2715"/>
        <v>46344</v>
      </c>
      <c r="AAE378" s="56"/>
      <c r="AAF378" s="242">
        <f>SUMPRODUCT(PRODUCE!$B373:$DY373,PRODUCE!$EB$57:$IY$57)</f>
        <v>0</v>
      </c>
      <c r="AAG378" s="56"/>
      <c r="AAH378" s="242">
        <f t="shared" si="2716"/>
        <v>0</v>
      </c>
      <c r="AAI378" s="242">
        <f t="shared" si="2717"/>
        <v>0</v>
      </c>
      <c r="AAJ378" s="56"/>
      <c r="AAM378" s="55">
        <f t="shared" si="2718"/>
        <v>46344</v>
      </c>
      <c r="AAN378" s="56"/>
      <c r="AAO378" s="242">
        <f>SUMPRODUCT(PRODUCE!$B373:$DY373,PRODUCE!$EB$57:$IY$57)</f>
        <v>0</v>
      </c>
      <c r="AAP378" s="56"/>
      <c r="AAQ378" s="242">
        <f t="shared" si="2719"/>
        <v>0</v>
      </c>
      <c r="AAR378" s="242">
        <f t="shared" si="2720"/>
        <v>0</v>
      </c>
      <c r="AAS378" s="56"/>
      <c r="AAV378" s="55">
        <f t="shared" si="2721"/>
        <v>46344</v>
      </c>
      <c r="AAW378" s="56"/>
      <c r="AAX378" s="242">
        <f>SUMPRODUCT(PRODUCE!$B373:$DY373,PRODUCE!$EB$57:$IY$57)</f>
        <v>0</v>
      </c>
      <c r="AAY378" s="56"/>
      <c r="AAZ378" s="242">
        <f t="shared" si="2722"/>
        <v>0</v>
      </c>
      <c r="ABA378" s="242">
        <f t="shared" si="2723"/>
        <v>0</v>
      </c>
      <c r="ABB378" s="56"/>
      <c r="ABE378" s="55">
        <f t="shared" si="2724"/>
        <v>46344</v>
      </c>
      <c r="ABF378" s="56"/>
      <c r="ABG378" s="242">
        <f>SUMPRODUCT(PRODUCE!$B373:$DY373,PRODUCE!$EB$57:$IY$57)</f>
        <v>0</v>
      </c>
      <c r="ABH378" s="56"/>
      <c r="ABI378" s="242">
        <f t="shared" si="2725"/>
        <v>0</v>
      </c>
      <c r="ABJ378" s="242">
        <f t="shared" si="2726"/>
        <v>0</v>
      </c>
      <c r="ABK378" s="56"/>
    </row>
    <row r="379" spans="2:739" s="54" customFormat="1" ht="15" customHeight="1" outlineLevel="1">
      <c r="B379" s="478"/>
      <c r="C379" s="55">
        <v>46345</v>
      </c>
      <c r="D379" s="56"/>
      <c r="E379" s="57">
        <f>SUMPRODUCT(PRODUCE!$B374:$DY374,PRODUCE!$EB$7:$IY$7)</f>
        <v>0</v>
      </c>
      <c r="F379" s="56"/>
      <c r="G379" s="57">
        <f t="shared" si="2482"/>
        <v>0</v>
      </c>
      <c r="H379" s="57">
        <f t="shared" si="2483"/>
        <v>236936.6</v>
      </c>
      <c r="I379" s="289"/>
      <c r="L379" s="55">
        <f t="shared" si="2484"/>
        <v>46345</v>
      </c>
      <c r="M379" s="56"/>
      <c r="N379" s="59">
        <f>SUMPRODUCT(PRODUCE!$B374:$DY374,PRODUCE!$EB$8:$IY$8)</f>
        <v>0</v>
      </c>
      <c r="O379" s="56"/>
      <c r="P379" s="59">
        <f t="shared" si="2485"/>
        <v>0</v>
      </c>
      <c r="Q379" s="59">
        <f t="shared" si="2486"/>
        <v>53017.600000000071</v>
      </c>
      <c r="R379" s="56"/>
      <c r="U379" s="55">
        <f t="shared" si="2487"/>
        <v>46345</v>
      </c>
      <c r="V379" s="56"/>
      <c r="W379" s="60">
        <f>SUMPRODUCT(PRODUCE!$B374:$DY374,PRODUCE!$EB$9:$IY$9)</f>
        <v>0</v>
      </c>
      <c r="X379" s="56"/>
      <c r="Y379" s="60">
        <f t="shared" si="2488"/>
        <v>0</v>
      </c>
      <c r="Z379" s="60">
        <f t="shared" si="2489"/>
        <v>42674.199999999968</v>
      </c>
      <c r="AA379" s="56"/>
      <c r="AD379" s="55">
        <f t="shared" si="2490"/>
        <v>46345</v>
      </c>
      <c r="AE379" s="56"/>
      <c r="AF379" s="61">
        <f>SUMPRODUCT(PRODUCE!$B374:$DY374,PRODUCE!$EB$10:$IY$10)</f>
        <v>0</v>
      </c>
      <c r="AG379" s="56"/>
      <c r="AH379" s="61">
        <f t="shared" si="2491"/>
        <v>0</v>
      </c>
      <c r="AI379" s="61">
        <f t="shared" si="2492"/>
        <v>4522.2000000000189</v>
      </c>
      <c r="AJ379" s="56"/>
      <c r="AM379" s="55">
        <f t="shared" si="2493"/>
        <v>46345</v>
      </c>
      <c r="AN379" s="422"/>
      <c r="AO379" s="444">
        <f>SUMPRODUCT(PRODUCE!$B374:$DY374,PRODUCE!$EB$11:$IY$11)</f>
        <v>0</v>
      </c>
      <c r="AP379" s="422"/>
      <c r="AQ379" s="444">
        <f t="shared" si="2494"/>
        <v>0</v>
      </c>
      <c r="AR379" s="444">
        <f t="shared" si="2495"/>
        <v>0</v>
      </c>
      <c r="AS379" s="56"/>
      <c r="AV379" s="55">
        <f t="shared" si="2496"/>
        <v>46345</v>
      </c>
      <c r="AW379" s="56"/>
      <c r="AX379" s="62">
        <f>SUMPRODUCT(PRODUCE!$B374:$DY374,PRODUCE!$EB$12:$IY$12)</f>
        <v>0</v>
      </c>
      <c r="AY379" s="56"/>
      <c r="AZ379" s="62">
        <f t="shared" si="2497"/>
        <v>0</v>
      </c>
      <c r="BA379" s="62">
        <f t="shared" si="2498"/>
        <v>124.99999999999523</v>
      </c>
      <c r="BB379" s="56"/>
      <c r="BE379" s="55">
        <f t="shared" si="2499"/>
        <v>46345</v>
      </c>
      <c r="BF379" s="56"/>
      <c r="BG379" s="63">
        <f>SUMPRODUCT(PRODUCE!$B374:$DY374,PRODUCE!$EB$13:$IY$13)</f>
        <v>0</v>
      </c>
      <c r="BH379" s="56"/>
      <c r="BI379" s="63">
        <f t="shared" si="2500"/>
        <v>0</v>
      </c>
      <c r="BJ379" s="63">
        <f t="shared" si="2501"/>
        <v>26151.899999999998</v>
      </c>
      <c r="BK379" s="56"/>
      <c r="BN379" s="55">
        <f t="shared" si="2502"/>
        <v>46345</v>
      </c>
      <c r="BO379" s="56"/>
      <c r="BP379" s="64">
        <f>SUMPRODUCT(PRODUCE!$B374:$DY374,PRODUCE!$EB$14:$IY$14)</f>
        <v>0</v>
      </c>
      <c r="BQ379" s="56"/>
      <c r="BR379" s="64">
        <f t="shared" si="2503"/>
        <v>0</v>
      </c>
      <c r="BS379" s="64">
        <f t="shared" si="2504"/>
        <v>0</v>
      </c>
      <c r="BT379" s="56"/>
      <c r="BW379" s="55">
        <f t="shared" si="2505"/>
        <v>46345</v>
      </c>
      <c r="BX379" s="56"/>
      <c r="BY379" s="65">
        <f>SUMPRODUCT(PRODUCE!$B374:$DY374,PRODUCE!$EB$15:$IY$15)</f>
        <v>0</v>
      </c>
      <c r="BZ379" s="56"/>
      <c r="CA379" s="65">
        <f t="shared" si="2506"/>
        <v>0</v>
      </c>
      <c r="CB379" s="65">
        <f t="shared" si="2507"/>
        <v>2097.3399999999992</v>
      </c>
      <c r="CC379" s="56"/>
      <c r="CF379" s="55">
        <f t="shared" si="2508"/>
        <v>46345</v>
      </c>
      <c r="CG379" s="56"/>
      <c r="CH379" s="66">
        <f>SUMPRODUCT(PRODUCE!$B374:$DY374,PRODUCE!$EB$16:$IY$16)</f>
        <v>0</v>
      </c>
      <c r="CI379" s="56"/>
      <c r="CJ379" s="66">
        <f t="shared" si="2509"/>
        <v>0</v>
      </c>
      <c r="CK379" s="66">
        <f t="shared" si="2510"/>
        <v>-10277.079999999998</v>
      </c>
      <c r="CL379" s="56"/>
      <c r="CO379" s="55">
        <f t="shared" si="2511"/>
        <v>46345</v>
      </c>
      <c r="CP379" s="422"/>
      <c r="CQ379" s="470">
        <f>SUMPRODUCT(PRODUCE!$B374:$DY374,PRODUCE!$EB$17:$IY$17)</f>
        <v>0</v>
      </c>
      <c r="CR379" s="422"/>
      <c r="CS379" s="470">
        <f t="shared" si="2512"/>
        <v>0</v>
      </c>
      <c r="CT379" s="470">
        <f t="shared" si="2513"/>
        <v>0</v>
      </c>
      <c r="CU379" s="56"/>
      <c r="CX379" s="55">
        <f t="shared" si="2514"/>
        <v>46345</v>
      </c>
      <c r="CY379" s="56"/>
      <c r="CZ379" s="133">
        <f>SUMPRODUCT(PRODUCE!$B374:$DY374,PRODUCE!$EB$18:$IY$18)</f>
        <v>0</v>
      </c>
      <c r="DA379" s="56"/>
      <c r="DB379" s="133">
        <f t="shared" si="2515"/>
        <v>0</v>
      </c>
      <c r="DC379" s="133">
        <f t="shared" si="2516"/>
        <v>27438.200000000012</v>
      </c>
      <c r="DD379" s="56"/>
      <c r="DG379" s="55">
        <f t="shared" si="2517"/>
        <v>46345</v>
      </c>
      <c r="DH379" s="56"/>
      <c r="DI379" s="147">
        <f>SUMPRODUCT(PRODUCE!$B374:$DY374,PRODUCE!$EB$19:$IY$19)</f>
        <v>0</v>
      </c>
      <c r="DJ379" s="56"/>
      <c r="DK379" s="147">
        <f t="shared" si="2518"/>
        <v>0</v>
      </c>
      <c r="DL379" s="147">
        <f t="shared" si="2519"/>
        <v>18782.299999999981</v>
      </c>
      <c r="DM379" s="56"/>
      <c r="DP379" s="55">
        <f t="shared" si="2520"/>
        <v>46345</v>
      </c>
      <c r="DQ379" s="56"/>
      <c r="DR379" s="57">
        <f>SUMPRODUCT(PRODUCE!$B374:$DY374,PRODUCE!$EB$20:$IY$20)</f>
        <v>0</v>
      </c>
      <c r="DS379" s="56"/>
      <c r="DT379" s="57">
        <f t="shared" si="2521"/>
        <v>0</v>
      </c>
      <c r="DU379" s="57">
        <f t="shared" si="2522"/>
        <v>5800</v>
      </c>
      <c r="DV379" s="56"/>
      <c r="DY379" s="55">
        <f t="shared" si="2523"/>
        <v>46345</v>
      </c>
      <c r="DZ379" s="56"/>
      <c r="EA379" s="157">
        <f>SUMPRODUCT(PRODUCE!$B374:$DY374,PRODUCE!$EB$21:$IY$21)</f>
        <v>0</v>
      </c>
      <c r="EB379" s="56"/>
      <c r="EC379" s="157">
        <f t="shared" si="2524"/>
        <v>0</v>
      </c>
      <c r="ED379" s="157">
        <f t="shared" si="2525"/>
        <v>0</v>
      </c>
      <c r="EE379" s="56"/>
      <c r="EH379" s="55">
        <f t="shared" si="2526"/>
        <v>46345</v>
      </c>
      <c r="EI379" s="56"/>
      <c r="EJ379" s="162">
        <f>SUMPRODUCT(PRODUCE!$B374:$DY374,PRODUCE!$EB$22:$IY$22)</f>
        <v>0</v>
      </c>
      <c r="EK379" s="56"/>
      <c r="EL379" s="162">
        <f t="shared" si="2527"/>
        <v>0</v>
      </c>
      <c r="EM379" s="162">
        <f t="shared" si="2528"/>
        <v>0</v>
      </c>
      <c r="EN379" s="56"/>
      <c r="EQ379" s="55">
        <f t="shared" si="2529"/>
        <v>46345</v>
      </c>
      <c r="ER379" s="56"/>
      <c r="ES379" s="135">
        <f>SUMPRODUCT(PRODUCE!$B374:$DY374,PRODUCE!$EB$23:$IY$23)</f>
        <v>0</v>
      </c>
      <c r="ET379" s="56"/>
      <c r="EU379" s="135">
        <f t="shared" si="2530"/>
        <v>0</v>
      </c>
      <c r="EV379" s="135">
        <f t="shared" si="2531"/>
        <v>0</v>
      </c>
      <c r="EW379" s="56"/>
      <c r="EZ379" s="55">
        <f t="shared" si="2532"/>
        <v>46345</v>
      </c>
      <c r="FA379" s="56"/>
      <c r="FB379" s="175">
        <f>SUMPRODUCT(PRODUCE!$B374:$DY374,PRODUCE!$EB$24:$IY$24)</f>
        <v>0</v>
      </c>
      <c r="FC379" s="56"/>
      <c r="FD379" s="175">
        <f t="shared" si="2533"/>
        <v>0</v>
      </c>
      <c r="FE379" s="175">
        <f t="shared" si="2534"/>
        <v>0</v>
      </c>
      <c r="FF379" s="56"/>
      <c r="FI379" s="55">
        <f t="shared" si="2535"/>
        <v>46345</v>
      </c>
      <c r="FJ379" s="56"/>
      <c r="FK379" s="183">
        <f>SUMPRODUCT(PRODUCE!$B374:$DY374,PRODUCE!$EB$25:$IY$25)</f>
        <v>0</v>
      </c>
      <c r="FL379" s="56"/>
      <c r="FM379" s="183">
        <f t="shared" si="2536"/>
        <v>0</v>
      </c>
      <c r="FN379" s="183">
        <f t="shared" si="2537"/>
        <v>0</v>
      </c>
      <c r="FO379" s="56"/>
      <c r="FR379" s="55">
        <f t="shared" si="2538"/>
        <v>46345</v>
      </c>
      <c r="FS379" s="56"/>
      <c r="FT379" s="186">
        <f>SUMPRODUCT(PRODUCE!$B374:$DY374,PRODUCE!$EB$26:$IY$26)</f>
        <v>0</v>
      </c>
      <c r="FU379" s="56"/>
      <c r="FV379" s="186">
        <f t="shared" si="2539"/>
        <v>0</v>
      </c>
      <c r="FW379" s="186">
        <f t="shared" si="2540"/>
        <v>2020</v>
      </c>
      <c r="FX379" s="56"/>
      <c r="GA379" s="55">
        <f t="shared" si="2541"/>
        <v>46345</v>
      </c>
      <c r="GB379" s="56"/>
      <c r="GC379" s="137">
        <f>SUMPRODUCT(PRODUCE!$B374:$DY374,PRODUCE!$EB$27:$IY$27)</f>
        <v>0</v>
      </c>
      <c r="GD379" s="56"/>
      <c r="GE379" s="137">
        <f t="shared" si="2542"/>
        <v>0</v>
      </c>
      <c r="GF379" s="137">
        <f t="shared" si="2543"/>
        <v>960</v>
      </c>
      <c r="GG379" s="56"/>
      <c r="GI379" s="23"/>
      <c r="GJ379" s="55">
        <f t="shared" si="2544"/>
        <v>46345</v>
      </c>
      <c r="GK379" s="56"/>
      <c r="GL379" s="199">
        <f>SUMPRODUCT(PRODUCE!$B374:$DY374,PRODUCE!$EB$28:$IY$28)</f>
        <v>0</v>
      </c>
      <c r="GM379" s="56"/>
      <c r="GN379" s="199">
        <f t="shared" si="2545"/>
        <v>0</v>
      </c>
      <c r="GO379" s="199">
        <f t="shared" si="2546"/>
        <v>1760</v>
      </c>
      <c r="GP379" s="56"/>
      <c r="GS379" s="55">
        <f t="shared" si="2547"/>
        <v>46345</v>
      </c>
      <c r="GT379" s="56"/>
      <c r="GU379" s="195">
        <f>SUMPRODUCT(PRODUCE!$B374:$DY374,PRODUCE!$EB$29:$IY$29)</f>
        <v>0</v>
      </c>
      <c r="GV379" s="56"/>
      <c r="GW379" s="195">
        <f t="shared" si="2548"/>
        <v>0</v>
      </c>
      <c r="GX379" s="195">
        <f t="shared" si="2549"/>
        <v>400</v>
      </c>
      <c r="GY379" s="56"/>
      <c r="HB379" s="55">
        <f t="shared" si="2550"/>
        <v>46345</v>
      </c>
      <c r="HC379" s="56"/>
      <c r="HD379" s="191">
        <f>SUMPRODUCT(PRODUCE!$B374:$DY374,PRODUCE!$EB$30:$IY$30)</f>
        <v>0</v>
      </c>
      <c r="HE379" s="56"/>
      <c r="HF379" s="191">
        <f t="shared" si="2551"/>
        <v>0</v>
      </c>
      <c r="HG379" s="191">
        <f t="shared" si="2552"/>
        <v>3600</v>
      </c>
      <c r="HH379" s="56"/>
      <c r="HK379" s="55">
        <f t="shared" si="2553"/>
        <v>46345</v>
      </c>
      <c r="HL379" s="56"/>
      <c r="HM379" s="63">
        <f>SUMPRODUCT(PRODUCE!$B374:$DY374,PRODUCE!$EB$31:$IY$31)</f>
        <v>0</v>
      </c>
      <c r="HN379" s="56"/>
      <c r="HO379" s="63">
        <f t="shared" si="2554"/>
        <v>0</v>
      </c>
      <c r="HP379" s="63">
        <f t="shared" si="2555"/>
        <v>0</v>
      </c>
      <c r="HQ379" s="56"/>
      <c r="HU379" s="55">
        <f t="shared" si="2556"/>
        <v>46345</v>
      </c>
      <c r="HV379" s="56"/>
      <c r="HW379" s="242">
        <f>SUMPRODUCT(PRODUCE!$B374:$DY374,PRODUCE!$EB$32:$IY$32)</f>
        <v>0</v>
      </c>
      <c r="HX379" s="56"/>
      <c r="HY379" s="242">
        <f t="shared" si="2557"/>
        <v>0</v>
      </c>
      <c r="HZ379" s="242">
        <f t="shared" si="2558"/>
        <v>6120</v>
      </c>
      <c r="IA379" s="56"/>
      <c r="ID379" s="55">
        <f t="shared" si="2559"/>
        <v>46345</v>
      </c>
      <c r="IE379" s="56"/>
      <c r="IF379" s="242">
        <f>SUMPRODUCT(PRODUCE!$B374:$DY374,PRODUCE!$EB$33:$IY$33)</f>
        <v>0</v>
      </c>
      <c r="IG379" s="56"/>
      <c r="IH379" s="242">
        <f t="shared" si="2560"/>
        <v>0</v>
      </c>
      <c r="II379" s="242">
        <f t="shared" si="2561"/>
        <v>0</v>
      </c>
      <c r="IJ379" s="56"/>
      <c r="IM379" s="55">
        <f t="shared" si="2562"/>
        <v>46345</v>
      </c>
      <c r="IN379" s="56"/>
      <c r="IO379" s="242">
        <f>SUMPRODUCT(PRODUCE!$B374:$DY374,PRODUCE!$EB$34:$IY$34)</f>
        <v>0</v>
      </c>
      <c r="IP379" s="56"/>
      <c r="IQ379" s="242">
        <f t="shared" si="2563"/>
        <v>0</v>
      </c>
      <c r="IR379" s="242">
        <f t="shared" si="2564"/>
        <v>0</v>
      </c>
      <c r="IS379" s="56"/>
      <c r="IV379" s="55">
        <f t="shared" si="2565"/>
        <v>46345</v>
      </c>
      <c r="IW379" s="56"/>
      <c r="IX379" s="242">
        <f>SUMPRODUCT(PRODUCE!$B374:$DY374,PRODUCE!$EB$35:$IY$35)</f>
        <v>0</v>
      </c>
      <c r="IY379" s="56"/>
      <c r="IZ379" s="242">
        <f t="shared" si="2566"/>
        <v>0</v>
      </c>
      <c r="JA379" s="242">
        <f t="shared" si="2567"/>
        <v>2820</v>
      </c>
      <c r="JB379" s="56"/>
      <c r="JE379" s="55">
        <f t="shared" si="2568"/>
        <v>46345</v>
      </c>
      <c r="JF379" s="56"/>
      <c r="JG379" s="242">
        <f>SUMPRODUCT(PRODUCE!$B374:$DY374,PRODUCE!$EB$36:$IY$36)</f>
        <v>0</v>
      </c>
      <c r="JH379" s="56"/>
      <c r="JI379" s="242">
        <f t="shared" si="2569"/>
        <v>0</v>
      </c>
      <c r="JJ379" s="242">
        <f t="shared" si="2570"/>
        <v>0</v>
      </c>
      <c r="JK379" s="56"/>
      <c r="JN379" s="55">
        <f t="shared" si="2571"/>
        <v>46345</v>
      </c>
      <c r="JO379" s="56"/>
      <c r="JP379" s="242">
        <f>SUMPRODUCT(PRODUCE!$B374:$DY374,PRODUCE!$EB$37:$IY$37)</f>
        <v>0</v>
      </c>
      <c r="JQ379" s="56"/>
      <c r="JR379" s="242">
        <f t="shared" si="2572"/>
        <v>0</v>
      </c>
      <c r="JS379" s="242">
        <f t="shared" si="2573"/>
        <v>0</v>
      </c>
      <c r="JT379" s="56"/>
      <c r="JW379" s="55">
        <f t="shared" si="2574"/>
        <v>46345</v>
      </c>
      <c r="JX379" s="56"/>
      <c r="JY379" s="242">
        <f>SUMPRODUCT(PRODUCE!$B374:$DY374,PRODUCE!$EB$38:$IY$38)</f>
        <v>0</v>
      </c>
      <c r="JZ379" s="56"/>
      <c r="KA379" s="242">
        <f t="shared" si="2575"/>
        <v>0</v>
      </c>
      <c r="KB379" s="242">
        <f t="shared" si="2576"/>
        <v>2540</v>
      </c>
      <c r="KC379" s="56"/>
      <c r="KF379" s="55">
        <f t="shared" si="2577"/>
        <v>46345</v>
      </c>
      <c r="KG379" s="56"/>
      <c r="KH379" s="242">
        <f>SUMPRODUCT(PRODUCE!$B374:$DY374,PRODUCE!$EB$39:$IY$39)</f>
        <v>0</v>
      </c>
      <c r="KI379" s="56"/>
      <c r="KJ379" s="242">
        <f t="shared" si="2578"/>
        <v>0</v>
      </c>
      <c r="KK379" s="242">
        <f t="shared" si="2579"/>
        <v>2359.5</v>
      </c>
      <c r="KL379" s="56"/>
      <c r="KO379" s="55">
        <f t="shared" si="2580"/>
        <v>46345</v>
      </c>
      <c r="KP379" s="56"/>
      <c r="KQ379" s="242">
        <f>SUMPRODUCT(PRODUCE!$B374:$DY374,PRODUCE!$EB$40:$IY$40)</f>
        <v>0</v>
      </c>
      <c r="KR379" s="56"/>
      <c r="KS379" s="242">
        <f t="shared" si="2581"/>
        <v>0</v>
      </c>
      <c r="KT379" s="242">
        <f t="shared" si="2582"/>
        <v>1890</v>
      </c>
      <c r="KU379" s="56"/>
      <c r="KW379" s="23"/>
      <c r="KX379" s="55">
        <f t="shared" si="2583"/>
        <v>46345</v>
      </c>
      <c r="KY379" s="56"/>
      <c r="KZ379" s="242">
        <f>SUMPRODUCT(PRODUCE!$B374:$DY374,PRODUCE!$EB$41:$IY$41)</f>
        <v>0</v>
      </c>
      <c r="LA379" s="56"/>
      <c r="LB379" s="242">
        <f t="shared" si="2584"/>
        <v>0</v>
      </c>
      <c r="LC379" s="242">
        <f t="shared" si="2585"/>
        <v>3690</v>
      </c>
      <c r="LD379" s="56"/>
      <c r="LG379" s="55">
        <f t="shared" si="2586"/>
        <v>46345</v>
      </c>
      <c r="LH379" s="56"/>
      <c r="LI379" s="242">
        <f>SUMPRODUCT(PRODUCE!$B374:$DY374,PRODUCE!$EB$42:$IY$42)</f>
        <v>0</v>
      </c>
      <c r="LJ379" s="56"/>
      <c r="LK379" s="242">
        <f t="shared" si="2587"/>
        <v>0</v>
      </c>
      <c r="LL379" s="242">
        <f t="shared" si="2588"/>
        <v>4000</v>
      </c>
      <c r="LM379" s="56"/>
      <c r="LP379" s="55">
        <f t="shared" si="2589"/>
        <v>46345</v>
      </c>
      <c r="LQ379" s="56"/>
      <c r="LR379" s="242">
        <f>SUMPRODUCT(PRODUCE!$B394:$DY394,PRODUCE!$EB$43:$IY$43)</f>
        <v>0</v>
      </c>
      <c r="LS379" s="56"/>
      <c r="LT379" s="242">
        <f t="shared" si="2590"/>
        <v>0</v>
      </c>
      <c r="LU379" s="242">
        <f t="shared" si="2591"/>
        <v>0</v>
      </c>
      <c r="LV379" s="56"/>
      <c r="LY379" s="55">
        <f t="shared" si="2592"/>
        <v>46345</v>
      </c>
      <c r="LZ379" s="56"/>
      <c r="MA379" s="242">
        <f>SUMPRODUCT(PRODUCE!$B374:$DY374,PRODUCE!$EB$44:$IY$44)</f>
        <v>0</v>
      </c>
      <c r="MB379" s="56"/>
      <c r="MC379" s="242">
        <f t="shared" si="2593"/>
        <v>0</v>
      </c>
      <c r="MD379" s="242">
        <f t="shared" si="2594"/>
        <v>0</v>
      </c>
      <c r="ME379" s="56"/>
      <c r="MH379" s="55">
        <f t="shared" si="2595"/>
        <v>46345</v>
      </c>
      <c r="MI379" s="56"/>
      <c r="MJ379" s="242">
        <f>SUMPRODUCT(PRODUCE!$B374:$DY374,PRODUCE!$EB$45:$IY$45)</f>
        <v>0</v>
      </c>
      <c r="MK379" s="56"/>
      <c r="ML379" s="242">
        <f t="shared" si="2596"/>
        <v>0</v>
      </c>
      <c r="MM379" s="242">
        <f t="shared" si="2597"/>
        <v>0</v>
      </c>
      <c r="MN379" s="56"/>
      <c r="MQ379" s="55">
        <f t="shared" si="2598"/>
        <v>46345</v>
      </c>
      <c r="MR379" s="56"/>
      <c r="MS379" s="242">
        <f>SUMPRODUCT(PRODUCE!$B374:$DY374,PRODUCE!$EB$46:$IY$46)</f>
        <v>0</v>
      </c>
      <c r="MT379" s="56"/>
      <c r="MU379" s="242">
        <f t="shared" si="2599"/>
        <v>0</v>
      </c>
      <c r="MV379" s="242">
        <f t="shared" si="2600"/>
        <v>1625</v>
      </c>
      <c r="MW379" s="56"/>
      <c r="MZ379" s="55">
        <f t="shared" si="2601"/>
        <v>46345</v>
      </c>
      <c r="NA379" s="56"/>
      <c r="NB379" s="242">
        <f>SUMPRODUCT(PRODUCE!$B374:$DY374,PRODUCE!$EB$47:$IY$47)</f>
        <v>0</v>
      </c>
      <c r="NC379" s="56"/>
      <c r="ND379" s="242">
        <f t="shared" si="2602"/>
        <v>0</v>
      </c>
      <c r="NE379" s="242">
        <f t="shared" si="2603"/>
        <v>0</v>
      </c>
      <c r="NF379" s="56"/>
      <c r="NI379" s="55">
        <f t="shared" si="2604"/>
        <v>46345</v>
      </c>
      <c r="NJ379" s="56"/>
      <c r="NK379" s="242">
        <f>SUMPRODUCT(PRODUCE!$B374:$DY374,PRODUCE!$EB$48:$IY$48)</f>
        <v>0</v>
      </c>
      <c r="NL379" s="56"/>
      <c r="NM379" s="242">
        <f t="shared" si="2605"/>
        <v>0</v>
      </c>
      <c r="NN379" s="242">
        <f t="shared" si="2606"/>
        <v>1127</v>
      </c>
      <c r="NO379" s="56"/>
      <c r="NR379" s="55">
        <f t="shared" si="2607"/>
        <v>46345</v>
      </c>
      <c r="NS379" s="56"/>
      <c r="NT379" s="242">
        <f>SUMPRODUCT(PRODUCE!$B374:$DY374,PRODUCE!$EB$49:$IY$49)</f>
        <v>0</v>
      </c>
      <c r="NU379" s="56"/>
      <c r="NV379" s="242">
        <f t="shared" si="2608"/>
        <v>0</v>
      </c>
      <c r="NW379" s="242">
        <f t="shared" si="2609"/>
        <v>3111.9999999999995</v>
      </c>
      <c r="NX379" s="56"/>
      <c r="OA379" s="55">
        <f t="shared" si="2610"/>
        <v>46345</v>
      </c>
      <c r="OB379" s="56"/>
      <c r="OC379" s="242">
        <f>SUMPRODUCT(PRODUCE!$B374:$DY374,PRODUCE!$EB$50:$IY$50)</f>
        <v>0</v>
      </c>
      <c r="OD379" s="56"/>
      <c r="OE379" s="242">
        <f t="shared" si="2611"/>
        <v>0</v>
      </c>
      <c r="OF379" s="242">
        <f t="shared" si="2612"/>
        <v>1680.5</v>
      </c>
      <c r="OG379" s="56"/>
      <c r="OJ379" s="55">
        <f t="shared" si="2613"/>
        <v>46345</v>
      </c>
      <c r="OK379" s="56"/>
      <c r="OL379" s="242">
        <f>SUMPRODUCT(PRODUCE!$B374:$DY374,PRODUCE!$EB$51:$IY$51)</f>
        <v>0</v>
      </c>
      <c r="OM379" s="56"/>
      <c r="ON379" s="242">
        <f t="shared" si="2614"/>
        <v>0</v>
      </c>
      <c r="OO379" s="242">
        <f t="shared" si="2615"/>
        <v>0</v>
      </c>
      <c r="OP379" s="56"/>
      <c r="OS379" s="55">
        <f t="shared" si="2616"/>
        <v>46345</v>
      </c>
      <c r="OT379" s="56"/>
      <c r="OU379" s="242">
        <f>SUMPRODUCT(PRODUCE!$B374:$DY374,PRODUCE!$EB$52:$IY$52)</f>
        <v>0</v>
      </c>
      <c r="OV379" s="56"/>
      <c r="OW379" s="242">
        <f t="shared" si="2617"/>
        <v>0</v>
      </c>
      <c r="OX379" s="242">
        <f t="shared" si="2618"/>
        <v>1482</v>
      </c>
      <c r="OY379" s="56"/>
      <c r="PB379" s="55">
        <f t="shared" si="2619"/>
        <v>46345</v>
      </c>
      <c r="PC379" s="56"/>
      <c r="PD379" s="242">
        <f>SUMPRODUCT(PRODUCE!$B374:$DY374,PRODUCE!$EB$53:$IY$53)</f>
        <v>0</v>
      </c>
      <c r="PE379" s="56"/>
      <c r="PF379" s="242">
        <f t="shared" si="2620"/>
        <v>0</v>
      </c>
      <c r="PG379" s="242">
        <f t="shared" si="2621"/>
        <v>0</v>
      </c>
      <c r="PH379" s="56"/>
      <c r="PK379" s="55">
        <f t="shared" si="2622"/>
        <v>46345</v>
      </c>
      <c r="PL379" s="56"/>
      <c r="PM379" s="242">
        <f>SUMPRODUCT(PRODUCE!$B374:$DY374,PRODUCE!$EB$54:$IY$54)</f>
        <v>0</v>
      </c>
      <c r="PN379" s="56"/>
      <c r="PO379" s="242">
        <f t="shared" si="2623"/>
        <v>0</v>
      </c>
      <c r="PP379" s="242">
        <f t="shared" si="2624"/>
        <v>100</v>
      </c>
      <c r="PQ379" s="56"/>
      <c r="PT379" s="55">
        <f t="shared" si="2625"/>
        <v>46345</v>
      </c>
      <c r="PU379" s="56"/>
      <c r="PV379" s="242">
        <f>SUMPRODUCT(PRODUCE!$B374:$DY374,PRODUCE!$EB$55:$IY$55)</f>
        <v>0</v>
      </c>
      <c r="PW379" s="56"/>
      <c r="PX379" s="242">
        <f t="shared" si="2626"/>
        <v>0</v>
      </c>
      <c r="PY379" s="242">
        <f t="shared" si="2627"/>
        <v>13.960000000000036</v>
      </c>
      <c r="PZ379" s="56"/>
      <c r="QC379" s="55">
        <f t="shared" si="2628"/>
        <v>46345</v>
      </c>
      <c r="QD379" s="56"/>
      <c r="QE379" s="242">
        <f>SUMPRODUCT(PRODUCE!$B374:$DY374,PRODUCE!$EB$56:$IY$56)</f>
        <v>0</v>
      </c>
      <c r="QF379" s="56"/>
      <c r="QG379" s="242">
        <f t="shared" si="2629"/>
        <v>0</v>
      </c>
      <c r="QH379" s="242">
        <f t="shared" si="2630"/>
        <v>548</v>
      </c>
      <c r="QI379" s="56"/>
      <c r="QL379" s="55">
        <f t="shared" si="2631"/>
        <v>46345</v>
      </c>
      <c r="QM379" s="56"/>
      <c r="QN379" s="242">
        <f>SUMPRODUCT(PRODUCE!$B374:$DY374,PRODUCE!$EB$57:$IY$57)</f>
        <v>0</v>
      </c>
      <c r="QO379" s="56"/>
      <c r="QP379" s="242">
        <f t="shared" si="2632"/>
        <v>0</v>
      </c>
      <c r="QQ379" s="242">
        <f t="shared" si="2633"/>
        <v>0</v>
      </c>
      <c r="QR379" s="56"/>
      <c r="QU379" s="55">
        <f t="shared" si="2634"/>
        <v>46345</v>
      </c>
      <c r="QV379" s="56"/>
      <c r="QW379" s="242">
        <f>SUMPRODUCT(PRODUCE!$B374:$DY374,PRODUCE!$EB$57:$IY$57)</f>
        <v>0</v>
      </c>
      <c r="QX379" s="56"/>
      <c r="QY379" s="242">
        <f t="shared" si="2635"/>
        <v>0</v>
      </c>
      <c r="QZ379" s="242">
        <f t="shared" si="2636"/>
        <v>0</v>
      </c>
      <c r="RA379" s="56"/>
      <c r="RD379" s="55">
        <f t="shared" si="2637"/>
        <v>46345</v>
      </c>
      <c r="RE379" s="56"/>
      <c r="RF379" s="242">
        <f>SUMPRODUCT(PRODUCE!$B374:$DY374,PRODUCE!$EB$58:$IY$58)</f>
        <v>0</v>
      </c>
      <c r="RG379" s="56"/>
      <c r="RH379" s="242">
        <f t="shared" si="2638"/>
        <v>0</v>
      </c>
      <c r="RI379" s="242">
        <f t="shared" si="2639"/>
        <v>147.04000000000002</v>
      </c>
      <c r="RJ379" s="56"/>
      <c r="RM379" s="55">
        <f t="shared" si="2640"/>
        <v>46345</v>
      </c>
      <c r="RN379" s="56"/>
      <c r="RO379" s="242">
        <f>SUMPRODUCT(PRODUCE!$B374:$DY374,PRODUCE!$EB$57:$IY$57)</f>
        <v>0</v>
      </c>
      <c r="RP379" s="56"/>
      <c r="RQ379" s="242">
        <f t="shared" si="2641"/>
        <v>0</v>
      </c>
      <c r="RR379" s="242">
        <f t="shared" si="2642"/>
        <v>46.8</v>
      </c>
      <c r="RS379" s="56"/>
      <c r="RV379" s="55">
        <f t="shared" si="2643"/>
        <v>46345</v>
      </c>
      <c r="RW379" s="56"/>
      <c r="RX379" s="242">
        <f>SUMPRODUCT(PRODUCE!$B374:$DY374,PRODUCE!$EB$57:$IY$57)</f>
        <v>0</v>
      </c>
      <c r="RY379" s="56"/>
      <c r="RZ379" s="242">
        <f t="shared" si="2644"/>
        <v>0</v>
      </c>
      <c r="SA379" s="242">
        <f t="shared" si="2645"/>
        <v>0</v>
      </c>
      <c r="SB379" s="56"/>
      <c r="SE379" s="55">
        <f t="shared" si="2646"/>
        <v>46345</v>
      </c>
      <c r="SF379" s="56"/>
      <c r="SG379" s="242">
        <f>SUMPRODUCT(PRODUCE!$B374:$DY374,PRODUCE!$EB$61:$IY$61)</f>
        <v>0</v>
      </c>
      <c r="SH379" s="56"/>
      <c r="SI379" s="242">
        <f t="shared" si="2647"/>
        <v>0</v>
      </c>
      <c r="SJ379" s="242">
        <f t="shared" si="2648"/>
        <v>24.200000000000003</v>
      </c>
      <c r="SK379" s="56"/>
      <c r="SN379" s="55">
        <f t="shared" si="2649"/>
        <v>46345</v>
      </c>
      <c r="SO379" s="56"/>
      <c r="SP379" s="242">
        <f>SUMPRODUCT(PRODUCE!$B374:$DY374,PRODUCE!$EB$57:$IY$57)</f>
        <v>0</v>
      </c>
      <c r="SQ379" s="56"/>
      <c r="SR379" s="242">
        <f t="shared" si="2650"/>
        <v>0</v>
      </c>
      <c r="SS379" s="242">
        <f t="shared" si="2651"/>
        <v>32</v>
      </c>
      <c r="ST379" s="56"/>
      <c r="SW379" s="55">
        <f t="shared" si="2652"/>
        <v>46345</v>
      </c>
      <c r="SX379" s="56"/>
      <c r="SY379" s="242">
        <f>SUMPRODUCT(PRODUCE!$B374:$DY374,PRODUCE!$EB$57:$IY$57)</f>
        <v>0</v>
      </c>
      <c r="SZ379" s="56"/>
      <c r="TA379" s="242">
        <f t="shared" si="2653"/>
        <v>0</v>
      </c>
      <c r="TB379" s="242">
        <f t="shared" si="2654"/>
        <v>0</v>
      </c>
      <c r="TC379" s="56"/>
      <c r="TF379" s="55">
        <f t="shared" si="2655"/>
        <v>46345</v>
      </c>
      <c r="TG379" s="56"/>
      <c r="TH379" s="242">
        <f>SUMPRODUCT(PRODUCE!$B374:$DY374,PRODUCE!$EB$57:$IY$57)</f>
        <v>0</v>
      </c>
      <c r="TI379" s="56"/>
      <c r="TJ379" s="242">
        <f t="shared" si="2656"/>
        <v>0</v>
      </c>
      <c r="TK379" s="242">
        <f t="shared" si="2657"/>
        <v>0</v>
      </c>
      <c r="TL379" s="56"/>
      <c r="TO379" s="55">
        <f t="shared" si="2658"/>
        <v>46345</v>
      </c>
      <c r="TP379" s="56"/>
      <c r="TQ379" s="242">
        <f>SUMPRODUCT(PRODUCE!$B374:$DY374,PRODUCE!$EB$57:$IY$57)</f>
        <v>0</v>
      </c>
      <c r="TR379" s="56"/>
      <c r="TS379" s="242">
        <f t="shared" si="2659"/>
        <v>0</v>
      </c>
      <c r="TT379" s="242">
        <f t="shared" si="2660"/>
        <v>0</v>
      </c>
      <c r="TU379" s="56"/>
      <c r="TX379" s="55">
        <f t="shared" si="2661"/>
        <v>46345</v>
      </c>
      <c r="TY379" s="56"/>
      <c r="TZ379" s="242">
        <f>SUMPRODUCT(PRODUCE!$B374:$DY374,PRODUCE!$EB$57:$IY$57)</f>
        <v>0</v>
      </c>
      <c r="UA379" s="56"/>
      <c r="UB379" s="242">
        <f t="shared" si="2662"/>
        <v>0</v>
      </c>
      <c r="UC379" s="242">
        <f t="shared" si="2663"/>
        <v>46.799999999999983</v>
      </c>
      <c r="UD379" s="56"/>
      <c r="UG379" s="55">
        <f t="shared" si="2664"/>
        <v>46345</v>
      </c>
      <c r="UH379" s="56"/>
      <c r="UI379" s="242">
        <f>SUMPRODUCT(PRODUCE!$B374:$DY374,PRODUCE!$EB$57:$IY$57)</f>
        <v>0</v>
      </c>
      <c r="UJ379" s="56"/>
      <c r="UK379" s="242">
        <f t="shared" si="2665"/>
        <v>0</v>
      </c>
      <c r="UL379" s="242">
        <f t="shared" si="2666"/>
        <v>204</v>
      </c>
      <c r="UM379" s="56"/>
      <c r="UP379" s="55">
        <f t="shared" si="2667"/>
        <v>46345</v>
      </c>
      <c r="UQ379" s="56"/>
      <c r="UR379" s="242">
        <f>SUMPRODUCT(PRODUCE!$B374:$DY374,PRODUCE!$EB$57:$IY$57)</f>
        <v>0</v>
      </c>
      <c r="US379" s="56"/>
      <c r="UT379" s="242">
        <f t="shared" si="2668"/>
        <v>0</v>
      </c>
      <c r="UU379" s="242">
        <f t="shared" si="2669"/>
        <v>202.5</v>
      </c>
      <c r="UV379" s="56"/>
      <c r="UY379" s="55">
        <f t="shared" si="2670"/>
        <v>46345</v>
      </c>
      <c r="UZ379" s="56"/>
      <c r="VA379" s="242">
        <f>SUMPRODUCT(PRODUCE!$B374:$DY374,PRODUCE!$EB$57:$IY$57)</f>
        <v>0</v>
      </c>
      <c r="VB379" s="56"/>
      <c r="VC379" s="242">
        <f t="shared" si="2671"/>
        <v>0</v>
      </c>
      <c r="VD379" s="242">
        <f t="shared" si="2672"/>
        <v>41.600000000000023</v>
      </c>
      <c r="VE379" s="56"/>
      <c r="VH379" s="55">
        <f t="shared" si="2673"/>
        <v>46345</v>
      </c>
      <c r="VI379" s="56"/>
      <c r="VJ379" s="242">
        <f>SUMPRODUCT(PRODUCE!$B374:$DY374,PRODUCE!$EB$57:$IY$57)</f>
        <v>0</v>
      </c>
      <c r="VK379" s="56"/>
      <c r="VL379" s="242">
        <f t="shared" si="2674"/>
        <v>0</v>
      </c>
      <c r="VM379" s="242">
        <f t="shared" si="2675"/>
        <v>210</v>
      </c>
      <c r="VN379" s="56"/>
      <c r="VQ379" s="55">
        <f t="shared" si="2676"/>
        <v>46345</v>
      </c>
      <c r="VR379" s="56"/>
      <c r="VS379" s="242">
        <f>SUMPRODUCT(PRODUCE!$B374:$DY374,PRODUCE!$EB$57:$IY$57)</f>
        <v>0</v>
      </c>
      <c r="VT379" s="56"/>
      <c r="VU379" s="242">
        <f t="shared" si="2677"/>
        <v>0</v>
      </c>
      <c r="VV379" s="242">
        <f t="shared" si="2678"/>
        <v>0</v>
      </c>
      <c r="VW379" s="56"/>
      <c r="VZ379" s="55">
        <f t="shared" si="2679"/>
        <v>46345</v>
      </c>
      <c r="WA379" s="56"/>
      <c r="WB379" s="242">
        <f>SUMPRODUCT(PRODUCE!$B374:$DY374,PRODUCE!$EB$57:$IY$57)</f>
        <v>0</v>
      </c>
      <c r="WC379" s="56"/>
      <c r="WD379" s="242">
        <f t="shared" si="2680"/>
        <v>0</v>
      </c>
      <c r="WE379" s="242">
        <f t="shared" si="2681"/>
        <v>0</v>
      </c>
      <c r="WF379" s="56"/>
      <c r="WI379" s="55">
        <f t="shared" si="2682"/>
        <v>46345</v>
      </c>
      <c r="WJ379" s="56"/>
      <c r="WK379" s="242">
        <f>SUMPRODUCT(PRODUCE!$B374:$DY374,PRODUCE!$EB$57:$IY$57)</f>
        <v>0</v>
      </c>
      <c r="WL379" s="56"/>
      <c r="WM379" s="242">
        <f t="shared" si="2683"/>
        <v>0</v>
      </c>
      <c r="WN379" s="242">
        <f t="shared" si="2684"/>
        <v>1057</v>
      </c>
      <c r="WO379" s="56"/>
      <c r="WR379" s="55">
        <f t="shared" si="2685"/>
        <v>46345</v>
      </c>
      <c r="WS379" s="56"/>
      <c r="WT379" s="242">
        <f>SUMPRODUCT(PRODUCE!$B374:$DY374,PRODUCE!$EB$57:$IY$57)</f>
        <v>0</v>
      </c>
      <c r="WU379" s="56"/>
      <c r="WV379" s="242">
        <f t="shared" si="2686"/>
        <v>0</v>
      </c>
      <c r="WW379" s="242">
        <f t="shared" si="2687"/>
        <v>0</v>
      </c>
      <c r="WX379" s="56"/>
      <c r="XA379" s="55">
        <f t="shared" si="2688"/>
        <v>46345</v>
      </c>
      <c r="XB379" s="56"/>
      <c r="XC379" s="242">
        <f>SUMPRODUCT(PRODUCE!$B374:$DY374,PRODUCE!$EB$57:$IY$57)</f>
        <v>0</v>
      </c>
      <c r="XD379" s="56"/>
      <c r="XE379" s="242">
        <f t="shared" si="2689"/>
        <v>0</v>
      </c>
      <c r="XF379" s="242">
        <f t="shared" si="2690"/>
        <v>7507</v>
      </c>
      <c r="XG379" s="56"/>
      <c r="XJ379" s="55">
        <f t="shared" si="2691"/>
        <v>46345</v>
      </c>
      <c r="XK379" s="56"/>
      <c r="XL379" s="242">
        <f>SUMPRODUCT(PRODUCE!$B374:$DY374,PRODUCE!$EB$57:$IY$57)</f>
        <v>0</v>
      </c>
      <c r="XM379" s="56"/>
      <c r="XN379" s="242">
        <f t="shared" si="2692"/>
        <v>0</v>
      </c>
      <c r="XO379" s="242">
        <f t="shared" si="2693"/>
        <v>4252</v>
      </c>
      <c r="XP379" s="56"/>
      <c r="XS379" s="55">
        <f t="shared" si="2694"/>
        <v>46345</v>
      </c>
      <c r="XT379" s="56"/>
      <c r="XU379" s="242">
        <f>SUMPRODUCT(PRODUCE!$B374:$DY374,PRODUCE!$EB$57:$IY$57)</f>
        <v>0</v>
      </c>
      <c r="XV379" s="56"/>
      <c r="XW379" s="242">
        <f t="shared" si="2695"/>
        <v>0</v>
      </c>
      <c r="XX379" s="242">
        <f t="shared" si="2696"/>
        <v>2179</v>
      </c>
      <c r="XY379" s="56"/>
      <c r="YB379" s="55">
        <f t="shared" si="2697"/>
        <v>46345</v>
      </c>
      <c r="YC379" s="56"/>
      <c r="YD379" s="242">
        <f>SUMPRODUCT(PRODUCE!$B374:$DY374,PRODUCE!$EB$57:$IY$57)</f>
        <v>0</v>
      </c>
      <c r="YE379" s="56"/>
      <c r="YF379" s="242">
        <f t="shared" si="2698"/>
        <v>0</v>
      </c>
      <c r="YG379" s="242">
        <f t="shared" si="2699"/>
        <v>4019</v>
      </c>
      <c r="YH379" s="56"/>
      <c r="YK379" s="55">
        <f t="shared" si="2700"/>
        <v>46345</v>
      </c>
      <c r="YL379" s="56"/>
      <c r="YM379" s="242">
        <f>SUMPRODUCT(PRODUCE!$B374:$DY374,PRODUCE!$EB$57:$IY$57)</f>
        <v>0</v>
      </c>
      <c r="YN379" s="56"/>
      <c r="YO379" s="242">
        <f t="shared" si="2701"/>
        <v>0</v>
      </c>
      <c r="YP379" s="242">
        <f t="shared" si="2702"/>
        <v>-218</v>
      </c>
      <c r="YQ379" s="56"/>
      <c r="YT379" s="55">
        <f t="shared" si="2703"/>
        <v>46345</v>
      </c>
      <c r="YU379" s="56"/>
      <c r="YV379" s="242">
        <f>SUMPRODUCT(PRODUCE!$B374:$DY374,PRODUCE!$EB$57:$IY$57)</f>
        <v>0</v>
      </c>
      <c r="YW379" s="56"/>
      <c r="YX379" s="242">
        <f t="shared" si="2704"/>
        <v>0</v>
      </c>
      <c r="YY379" s="242">
        <f t="shared" si="2705"/>
        <v>0</v>
      </c>
      <c r="YZ379" s="56"/>
      <c r="ZC379" s="55">
        <f t="shared" si="2706"/>
        <v>46345</v>
      </c>
      <c r="ZD379" s="56"/>
      <c r="ZE379" s="242">
        <f>SUMPRODUCT(PRODUCE!$B374:$DY374,PRODUCE!$EB$57:$IY$57)</f>
        <v>0</v>
      </c>
      <c r="ZF379" s="56"/>
      <c r="ZG379" s="242">
        <f t="shared" si="2707"/>
        <v>0</v>
      </c>
      <c r="ZH379" s="242">
        <f t="shared" si="2708"/>
        <v>0</v>
      </c>
      <c r="ZI379" s="56"/>
      <c r="ZL379" s="55">
        <f t="shared" si="2709"/>
        <v>46345</v>
      </c>
      <c r="ZM379" s="56"/>
      <c r="ZN379" s="242">
        <f>SUMPRODUCT(PRODUCE!$B374:$DY374,PRODUCE!$EB$57:$IY$57)</f>
        <v>0</v>
      </c>
      <c r="ZO379" s="56"/>
      <c r="ZP379" s="242">
        <f t="shared" si="2710"/>
        <v>0</v>
      </c>
      <c r="ZQ379" s="242">
        <f t="shared" si="2711"/>
        <v>0</v>
      </c>
      <c r="ZR379" s="56"/>
      <c r="ZU379" s="55">
        <f t="shared" si="2712"/>
        <v>46345</v>
      </c>
      <c r="ZV379" s="56"/>
      <c r="ZW379" s="242">
        <f>SUMPRODUCT(PRODUCE!$B374:$DY374,PRODUCE!$EB$57:$IY$57)</f>
        <v>0</v>
      </c>
      <c r="ZX379" s="56"/>
      <c r="ZY379" s="242">
        <f t="shared" si="2713"/>
        <v>0</v>
      </c>
      <c r="ZZ379" s="242">
        <f t="shared" si="2714"/>
        <v>0</v>
      </c>
      <c r="AAA379" s="56"/>
      <c r="AAD379" s="55">
        <f t="shared" si="2715"/>
        <v>46345</v>
      </c>
      <c r="AAE379" s="56"/>
      <c r="AAF379" s="242">
        <f>SUMPRODUCT(PRODUCE!$B374:$DY374,PRODUCE!$EB$57:$IY$57)</f>
        <v>0</v>
      </c>
      <c r="AAG379" s="56"/>
      <c r="AAH379" s="242">
        <f t="shared" si="2716"/>
        <v>0</v>
      </c>
      <c r="AAI379" s="242">
        <f t="shared" si="2717"/>
        <v>0</v>
      </c>
      <c r="AAJ379" s="56"/>
      <c r="AAM379" s="55">
        <f t="shared" si="2718"/>
        <v>46345</v>
      </c>
      <c r="AAN379" s="56"/>
      <c r="AAO379" s="242">
        <f>SUMPRODUCT(PRODUCE!$B374:$DY374,PRODUCE!$EB$57:$IY$57)</f>
        <v>0</v>
      </c>
      <c r="AAP379" s="56"/>
      <c r="AAQ379" s="242">
        <f t="shared" si="2719"/>
        <v>0</v>
      </c>
      <c r="AAR379" s="242">
        <f t="shared" si="2720"/>
        <v>0</v>
      </c>
      <c r="AAS379" s="56"/>
      <c r="AAV379" s="55">
        <f t="shared" si="2721"/>
        <v>46345</v>
      </c>
      <c r="AAW379" s="56"/>
      <c r="AAX379" s="242">
        <f>SUMPRODUCT(PRODUCE!$B374:$DY374,PRODUCE!$EB$57:$IY$57)</f>
        <v>0</v>
      </c>
      <c r="AAY379" s="56"/>
      <c r="AAZ379" s="242">
        <f t="shared" si="2722"/>
        <v>0</v>
      </c>
      <c r="ABA379" s="242">
        <f t="shared" si="2723"/>
        <v>0</v>
      </c>
      <c r="ABB379" s="56"/>
      <c r="ABE379" s="55">
        <f t="shared" si="2724"/>
        <v>46345</v>
      </c>
      <c r="ABF379" s="56"/>
      <c r="ABG379" s="242">
        <f>SUMPRODUCT(PRODUCE!$B374:$DY374,PRODUCE!$EB$57:$IY$57)</f>
        <v>0</v>
      </c>
      <c r="ABH379" s="56"/>
      <c r="ABI379" s="242">
        <f t="shared" si="2725"/>
        <v>0</v>
      </c>
      <c r="ABJ379" s="242">
        <f t="shared" si="2726"/>
        <v>0</v>
      </c>
      <c r="ABK379" s="56"/>
    </row>
    <row r="380" spans="2:739" s="54" customFormat="1" ht="15" customHeight="1" outlineLevel="1">
      <c r="B380" s="478"/>
      <c r="C380" s="55">
        <v>46346</v>
      </c>
      <c r="D380" s="56"/>
      <c r="E380" s="57">
        <f>SUMPRODUCT(PRODUCE!$B375:$DY375,PRODUCE!$EB$7:$IY$7)</f>
        <v>0</v>
      </c>
      <c r="F380" s="56"/>
      <c r="G380" s="57">
        <f t="shared" si="2482"/>
        <v>0</v>
      </c>
      <c r="H380" s="57">
        <f t="shared" si="2483"/>
        <v>236936.6</v>
      </c>
      <c r="I380" s="289"/>
      <c r="L380" s="55">
        <f t="shared" si="2484"/>
        <v>46346</v>
      </c>
      <c r="M380" s="56"/>
      <c r="N380" s="59">
        <f>SUMPRODUCT(PRODUCE!$B375:$DY375,PRODUCE!$EB$8:$IY$8)</f>
        <v>0</v>
      </c>
      <c r="O380" s="56"/>
      <c r="P380" s="59">
        <f t="shared" si="2485"/>
        <v>0</v>
      </c>
      <c r="Q380" s="59">
        <f t="shared" si="2486"/>
        <v>53017.600000000071</v>
      </c>
      <c r="R380" s="56"/>
      <c r="U380" s="55">
        <f t="shared" si="2487"/>
        <v>46346</v>
      </c>
      <c r="V380" s="56"/>
      <c r="W380" s="60">
        <f>SUMPRODUCT(PRODUCE!$B375:$DY375,PRODUCE!$EB$9:$IY$9)</f>
        <v>0</v>
      </c>
      <c r="X380" s="56"/>
      <c r="Y380" s="60">
        <f t="shared" si="2488"/>
        <v>0</v>
      </c>
      <c r="Z380" s="60">
        <f t="shared" si="2489"/>
        <v>42674.199999999968</v>
      </c>
      <c r="AA380" s="56"/>
      <c r="AD380" s="55">
        <f t="shared" si="2490"/>
        <v>46346</v>
      </c>
      <c r="AE380" s="56"/>
      <c r="AF380" s="61">
        <f>SUMPRODUCT(PRODUCE!$B375:$DY375,PRODUCE!$EB$10:$IY$10)</f>
        <v>0</v>
      </c>
      <c r="AG380" s="56"/>
      <c r="AH380" s="61">
        <f t="shared" si="2491"/>
        <v>0</v>
      </c>
      <c r="AI380" s="61">
        <f t="shared" si="2492"/>
        <v>4522.2000000000189</v>
      </c>
      <c r="AJ380" s="56"/>
      <c r="AM380" s="55">
        <f t="shared" si="2493"/>
        <v>46346</v>
      </c>
      <c r="AN380" s="422"/>
      <c r="AO380" s="444">
        <f>SUMPRODUCT(PRODUCE!$B375:$DY375,PRODUCE!$EB$11:$IY$11)</f>
        <v>0</v>
      </c>
      <c r="AP380" s="422"/>
      <c r="AQ380" s="444">
        <f t="shared" si="2494"/>
        <v>0</v>
      </c>
      <c r="AR380" s="444">
        <f t="shared" si="2495"/>
        <v>0</v>
      </c>
      <c r="AS380" s="56"/>
      <c r="AV380" s="55">
        <f t="shared" si="2496"/>
        <v>46346</v>
      </c>
      <c r="AW380" s="56"/>
      <c r="AX380" s="62">
        <f>SUMPRODUCT(PRODUCE!$B375:$DY375,PRODUCE!$EB$12:$IY$12)</f>
        <v>0</v>
      </c>
      <c r="AY380" s="56"/>
      <c r="AZ380" s="62">
        <f t="shared" si="2497"/>
        <v>0</v>
      </c>
      <c r="BA380" s="62">
        <f t="shared" si="2498"/>
        <v>124.99999999999523</v>
      </c>
      <c r="BB380" s="56"/>
      <c r="BE380" s="55">
        <f t="shared" si="2499"/>
        <v>46346</v>
      </c>
      <c r="BF380" s="56"/>
      <c r="BG380" s="63">
        <f>SUMPRODUCT(PRODUCE!$B375:$DY375,PRODUCE!$EB$13:$IY$13)</f>
        <v>0</v>
      </c>
      <c r="BH380" s="56"/>
      <c r="BI380" s="63">
        <f t="shared" si="2500"/>
        <v>0</v>
      </c>
      <c r="BJ380" s="63">
        <f t="shared" si="2501"/>
        <v>26151.899999999998</v>
      </c>
      <c r="BK380" s="56"/>
      <c r="BN380" s="55">
        <f t="shared" si="2502"/>
        <v>46346</v>
      </c>
      <c r="BO380" s="56"/>
      <c r="BP380" s="64">
        <f>SUMPRODUCT(PRODUCE!$B375:$DY375,PRODUCE!$EB$14:$IY$14)</f>
        <v>0</v>
      </c>
      <c r="BQ380" s="56"/>
      <c r="BR380" s="64">
        <f t="shared" si="2503"/>
        <v>0</v>
      </c>
      <c r="BS380" s="64">
        <f t="shared" si="2504"/>
        <v>0</v>
      </c>
      <c r="BT380" s="56"/>
      <c r="BW380" s="55">
        <f t="shared" si="2505"/>
        <v>46346</v>
      </c>
      <c r="BX380" s="56"/>
      <c r="BY380" s="65">
        <f>SUMPRODUCT(PRODUCE!$B375:$DY375,PRODUCE!$EB$15:$IY$15)</f>
        <v>0</v>
      </c>
      <c r="BZ380" s="56"/>
      <c r="CA380" s="65">
        <f t="shared" si="2506"/>
        <v>0</v>
      </c>
      <c r="CB380" s="65">
        <f t="shared" si="2507"/>
        <v>2097.3399999999992</v>
      </c>
      <c r="CC380" s="56"/>
      <c r="CF380" s="55">
        <f t="shared" si="2508"/>
        <v>46346</v>
      </c>
      <c r="CG380" s="56"/>
      <c r="CH380" s="66">
        <f>SUMPRODUCT(PRODUCE!$B375:$DY375,PRODUCE!$EB$16:$IY$16)</f>
        <v>0</v>
      </c>
      <c r="CI380" s="56"/>
      <c r="CJ380" s="66">
        <f t="shared" si="2509"/>
        <v>0</v>
      </c>
      <c r="CK380" s="66">
        <f t="shared" si="2510"/>
        <v>-10277.079999999998</v>
      </c>
      <c r="CL380" s="56"/>
      <c r="CO380" s="55">
        <f t="shared" si="2511"/>
        <v>46346</v>
      </c>
      <c r="CP380" s="422"/>
      <c r="CQ380" s="470">
        <f>SUMPRODUCT(PRODUCE!$B375:$DY375,PRODUCE!$EB$17:$IY$17)</f>
        <v>0</v>
      </c>
      <c r="CR380" s="422"/>
      <c r="CS380" s="470">
        <f t="shared" si="2512"/>
        <v>0</v>
      </c>
      <c r="CT380" s="470">
        <f t="shared" si="2513"/>
        <v>0</v>
      </c>
      <c r="CU380" s="56"/>
      <c r="CX380" s="55">
        <f t="shared" si="2514"/>
        <v>46346</v>
      </c>
      <c r="CY380" s="56"/>
      <c r="CZ380" s="133">
        <f>SUMPRODUCT(PRODUCE!$B375:$DY375,PRODUCE!$EB$18:$IY$18)</f>
        <v>0</v>
      </c>
      <c r="DA380" s="56"/>
      <c r="DB380" s="133">
        <f t="shared" si="2515"/>
        <v>0</v>
      </c>
      <c r="DC380" s="133">
        <f t="shared" si="2516"/>
        <v>27438.200000000012</v>
      </c>
      <c r="DD380" s="56"/>
      <c r="DG380" s="55">
        <f t="shared" si="2517"/>
        <v>46346</v>
      </c>
      <c r="DH380" s="56"/>
      <c r="DI380" s="147">
        <f>SUMPRODUCT(PRODUCE!$B375:$DY375,PRODUCE!$EB$19:$IY$19)</f>
        <v>0</v>
      </c>
      <c r="DJ380" s="56"/>
      <c r="DK380" s="147">
        <f t="shared" si="2518"/>
        <v>0</v>
      </c>
      <c r="DL380" s="147">
        <f t="shared" si="2519"/>
        <v>18782.299999999981</v>
      </c>
      <c r="DM380" s="56"/>
      <c r="DP380" s="55">
        <f t="shared" si="2520"/>
        <v>46346</v>
      </c>
      <c r="DQ380" s="56"/>
      <c r="DR380" s="57">
        <f>SUMPRODUCT(PRODUCE!$B375:$DY375,PRODUCE!$EB$20:$IY$20)</f>
        <v>0</v>
      </c>
      <c r="DS380" s="56"/>
      <c r="DT380" s="57">
        <f t="shared" si="2521"/>
        <v>0</v>
      </c>
      <c r="DU380" s="57">
        <f t="shared" si="2522"/>
        <v>5800</v>
      </c>
      <c r="DV380" s="56"/>
      <c r="DY380" s="55">
        <f t="shared" si="2523"/>
        <v>46346</v>
      </c>
      <c r="DZ380" s="56"/>
      <c r="EA380" s="157">
        <f>SUMPRODUCT(PRODUCE!$B375:$DY375,PRODUCE!$EB$21:$IY$21)</f>
        <v>0</v>
      </c>
      <c r="EB380" s="56"/>
      <c r="EC380" s="157">
        <f t="shared" si="2524"/>
        <v>0</v>
      </c>
      <c r="ED380" s="157">
        <f t="shared" si="2525"/>
        <v>0</v>
      </c>
      <c r="EE380" s="56"/>
      <c r="EH380" s="55">
        <f t="shared" si="2526"/>
        <v>46346</v>
      </c>
      <c r="EI380" s="56"/>
      <c r="EJ380" s="162">
        <f>SUMPRODUCT(PRODUCE!$B375:$DY375,PRODUCE!$EB$22:$IY$22)</f>
        <v>0</v>
      </c>
      <c r="EK380" s="56"/>
      <c r="EL380" s="162">
        <f t="shared" si="2527"/>
        <v>0</v>
      </c>
      <c r="EM380" s="162">
        <f t="shared" si="2528"/>
        <v>0</v>
      </c>
      <c r="EN380" s="56"/>
      <c r="EQ380" s="55">
        <f t="shared" si="2529"/>
        <v>46346</v>
      </c>
      <c r="ER380" s="56"/>
      <c r="ES380" s="135">
        <f>SUMPRODUCT(PRODUCE!$B375:$DY375,PRODUCE!$EB$23:$IY$23)</f>
        <v>0</v>
      </c>
      <c r="ET380" s="56"/>
      <c r="EU380" s="135">
        <f t="shared" si="2530"/>
        <v>0</v>
      </c>
      <c r="EV380" s="135">
        <f t="shared" si="2531"/>
        <v>0</v>
      </c>
      <c r="EW380" s="56"/>
      <c r="EZ380" s="55">
        <f t="shared" si="2532"/>
        <v>46346</v>
      </c>
      <c r="FA380" s="56"/>
      <c r="FB380" s="175">
        <f>SUMPRODUCT(PRODUCE!$B375:$DY375,PRODUCE!$EB$24:$IY$24)</f>
        <v>0</v>
      </c>
      <c r="FC380" s="56"/>
      <c r="FD380" s="175">
        <f t="shared" si="2533"/>
        <v>0</v>
      </c>
      <c r="FE380" s="175">
        <f t="shared" si="2534"/>
        <v>0</v>
      </c>
      <c r="FF380" s="56"/>
      <c r="FI380" s="55">
        <f t="shared" si="2535"/>
        <v>46346</v>
      </c>
      <c r="FJ380" s="56"/>
      <c r="FK380" s="183">
        <f>SUMPRODUCT(PRODUCE!$B375:$DY375,PRODUCE!$EB$25:$IY$25)</f>
        <v>0</v>
      </c>
      <c r="FL380" s="56"/>
      <c r="FM380" s="183">
        <f t="shared" si="2536"/>
        <v>0</v>
      </c>
      <c r="FN380" s="183">
        <f t="shared" si="2537"/>
        <v>0</v>
      </c>
      <c r="FO380" s="56"/>
      <c r="FR380" s="55">
        <f t="shared" si="2538"/>
        <v>46346</v>
      </c>
      <c r="FS380" s="56"/>
      <c r="FT380" s="186">
        <f>SUMPRODUCT(PRODUCE!$B375:$DY375,PRODUCE!$EB$26:$IY$26)</f>
        <v>0</v>
      </c>
      <c r="FU380" s="56"/>
      <c r="FV380" s="186">
        <f t="shared" si="2539"/>
        <v>0</v>
      </c>
      <c r="FW380" s="186">
        <f t="shared" si="2540"/>
        <v>2020</v>
      </c>
      <c r="FX380" s="56"/>
      <c r="GA380" s="55">
        <f t="shared" si="2541"/>
        <v>46346</v>
      </c>
      <c r="GB380" s="56"/>
      <c r="GC380" s="137">
        <f>SUMPRODUCT(PRODUCE!$B375:$DY375,PRODUCE!$EB$27:$IY$27)</f>
        <v>0</v>
      </c>
      <c r="GD380" s="56"/>
      <c r="GE380" s="137">
        <f t="shared" si="2542"/>
        <v>0</v>
      </c>
      <c r="GF380" s="137">
        <f t="shared" si="2543"/>
        <v>960</v>
      </c>
      <c r="GG380" s="56"/>
      <c r="GI380" s="23"/>
      <c r="GJ380" s="55">
        <f t="shared" si="2544"/>
        <v>46346</v>
      </c>
      <c r="GK380" s="56"/>
      <c r="GL380" s="199">
        <f>SUMPRODUCT(PRODUCE!$B375:$DY375,PRODUCE!$EB$28:$IY$28)</f>
        <v>0</v>
      </c>
      <c r="GM380" s="56"/>
      <c r="GN380" s="199">
        <f t="shared" si="2545"/>
        <v>0</v>
      </c>
      <c r="GO380" s="199">
        <f t="shared" si="2546"/>
        <v>1760</v>
      </c>
      <c r="GP380" s="56"/>
      <c r="GS380" s="55">
        <f t="shared" si="2547"/>
        <v>46346</v>
      </c>
      <c r="GT380" s="56"/>
      <c r="GU380" s="195">
        <f>SUMPRODUCT(PRODUCE!$B375:$DY375,PRODUCE!$EB$29:$IY$29)</f>
        <v>0</v>
      </c>
      <c r="GV380" s="56"/>
      <c r="GW380" s="195">
        <f t="shared" si="2548"/>
        <v>0</v>
      </c>
      <c r="GX380" s="195">
        <f t="shared" si="2549"/>
        <v>400</v>
      </c>
      <c r="GY380" s="56"/>
      <c r="HB380" s="55">
        <f t="shared" si="2550"/>
        <v>46346</v>
      </c>
      <c r="HC380" s="56"/>
      <c r="HD380" s="191">
        <f>SUMPRODUCT(PRODUCE!$B375:$DY375,PRODUCE!$EB$30:$IY$30)</f>
        <v>0</v>
      </c>
      <c r="HE380" s="56"/>
      <c r="HF380" s="191">
        <f t="shared" si="2551"/>
        <v>0</v>
      </c>
      <c r="HG380" s="191">
        <f t="shared" si="2552"/>
        <v>3600</v>
      </c>
      <c r="HH380" s="56"/>
      <c r="HK380" s="55">
        <f t="shared" si="2553"/>
        <v>46346</v>
      </c>
      <c r="HL380" s="56"/>
      <c r="HM380" s="63">
        <f>SUMPRODUCT(PRODUCE!$B375:$DY375,PRODUCE!$EB$31:$IY$31)</f>
        <v>0</v>
      </c>
      <c r="HN380" s="56"/>
      <c r="HO380" s="63">
        <f t="shared" si="2554"/>
        <v>0</v>
      </c>
      <c r="HP380" s="63">
        <f t="shared" si="2555"/>
        <v>0</v>
      </c>
      <c r="HQ380" s="56"/>
      <c r="HU380" s="55">
        <f t="shared" si="2556"/>
        <v>46346</v>
      </c>
      <c r="HV380" s="56"/>
      <c r="HW380" s="242">
        <f>SUMPRODUCT(PRODUCE!$B375:$DY375,PRODUCE!$EB$32:$IY$32)</f>
        <v>0</v>
      </c>
      <c r="HX380" s="56"/>
      <c r="HY380" s="242">
        <f t="shared" si="2557"/>
        <v>0</v>
      </c>
      <c r="HZ380" s="242">
        <f t="shared" si="2558"/>
        <v>6120</v>
      </c>
      <c r="IA380" s="56"/>
      <c r="ID380" s="55">
        <f t="shared" si="2559"/>
        <v>46346</v>
      </c>
      <c r="IE380" s="56"/>
      <c r="IF380" s="242">
        <f>SUMPRODUCT(PRODUCE!$B375:$DY375,PRODUCE!$EB$33:$IY$33)</f>
        <v>0</v>
      </c>
      <c r="IG380" s="56"/>
      <c r="IH380" s="242">
        <f t="shared" si="2560"/>
        <v>0</v>
      </c>
      <c r="II380" s="242">
        <f t="shared" si="2561"/>
        <v>0</v>
      </c>
      <c r="IJ380" s="56"/>
      <c r="IM380" s="55">
        <f t="shared" si="2562"/>
        <v>46346</v>
      </c>
      <c r="IN380" s="56"/>
      <c r="IO380" s="242">
        <f>SUMPRODUCT(PRODUCE!$B375:$DY375,PRODUCE!$EB$34:$IY$34)</f>
        <v>0</v>
      </c>
      <c r="IP380" s="56"/>
      <c r="IQ380" s="242">
        <f t="shared" si="2563"/>
        <v>0</v>
      </c>
      <c r="IR380" s="242">
        <f t="shared" si="2564"/>
        <v>0</v>
      </c>
      <c r="IS380" s="56"/>
      <c r="IV380" s="55">
        <f t="shared" si="2565"/>
        <v>46346</v>
      </c>
      <c r="IW380" s="56"/>
      <c r="IX380" s="242">
        <f>SUMPRODUCT(PRODUCE!$B375:$DY375,PRODUCE!$EB$35:$IY$35)</f>
        <v>0</v>
      </c>
      <c r="IY380" s="56"/>
      <c r="IZ380" s="242">
        <f t="shared" si="2566"/>
        <v>0</v>
      </c>
      <c r="JA380" s="242">
        <f t="shared" si="2567"/>
        <v>2820</v>
      </c>
      <c r="JB380" s="56"/>
      <c r="JE380" s="55">
        <f t="shared" si="2568"/>
        <v>46346</v>
      </c>
      <c r="JF380" s="56"/>
      <c r="JG380" s="242">
        <f>SUMPRODUCT(PRODUCE!$B375:$DY375,PRODUCE!$EB$36:$IY$36)</f>
        <v>0</v>
      </c>
      <c r="JH380" s="56"/>
      <c r="JI380" s="242">
        <f t="shared" si="2569"/>
        <v>0</v>
      </c>
      <c r="JJ380" s="242">
        <f t="shared" si="2570"/>
        <v>0</v>
      </c>
      <c r="JK380" s="56"/>
      <c r="JN380" s="55">
        <f t="shared" si="2571"/>
        <v>46346</v>
      </c>
      <c r="JO380" s="56"/>
      <c r="JP380" s="242">
        <f>SUMPRODUCT(PRODUCE!$B375:$DY375,PRODUCE!$EB$37:$IY$37)</f>
        <v>0</v>
      </c>
      <c r="JQ380" s="56"/>
      <c r="JR380" s="242">
        <f t="shared" si="2572"/>
        <v>0</v>
      </c>
      <c r="JS380" s="242">
        <f t="shared" si="2573"/>
        <v>0</v>
      </c>
      <c r="JT380" s="56"/>
      <c r="JW380" s="55">
        <f t="shared" si="2574"/>
        <v>46346</v>
      </c>
      <c r="JX380" s="56"/>
      <c r="JY380" s="242">
        <f>SUMPRODUCT(PRODUCE!$B375:$DY375,PRODUCE!$EB$38:$IY$38)</f>
        <v>0</v>
      </c>
      <c r="JZ380" s="56"/>
      <c r="KA380" s="242">
        <f t="shared" si="2575"/>
        <v>0</v>
      </c>
      <c r="KB380" s="242">
        <f t="shared" si="2576"/>
        <v>2540</v>
      </c>
      <c r="KC380" s="56"/>
      <c r="KF380" s="55">
        <f t="shared" si="2577"/>
        <v>46346</v>
      </c>
      <c r="KG380" s="56"/>
      <c r="KH380" s="242">
        <f>SUMPRODUCT(PRODUCE!$B375:$DY375,PRODUCE!$EB$39:$IY$39)</f>
        <v>0</v>
      </c>
      <c r="KI380" s="56"/>
      <c r="KJ380" s="242">
        <f t="shared" si="2578"/>
        <v>0</v>
      </c>
      <c r="KK380" s="242">
        <f t="shared" si="2579"/>
        <v>2359.5</v>
      </c>
      <c r="KL380" s="56"/>
      <c r="KO380" s="55">
        <f t="shared" si="2580"/>
        <v>46346</v>
      </c>
      <c r="KP380" s="56"/>
      <c r="KQ380" s="242">
        <f>SUMPRODUCT(PRODUCE!$B375:$DY375,PRODUCE!$EB$40:$IY$40)</f>
        <v>0</v>
      </c>
      <c r="KR380" s="56"/>
      <c r="KS380" s="242">
        <f t="shared" si="2581"/>
        <v>0</v>
      </c>
      <c r="KT380" s="242">
        <f t="shared" si="2582"/>
        <v>1890</v>
      </c>
      <c r="KU380" s="56"/>
      <c r="KW380" s="23"/>
      <c r="KX380" s="55">
        <f t="shared" si="2583"/>
        <v>46346</v>
      </c>
      <c r="KY380" s="56"/>
      <c r="KZ380" s="242">
        <f>SUMPRODUCT(PRODUCE!$B375:$DY375,PRODUCE!$EB$41:$IY$41)</f>
        <v>0</v>
      </c>
      <c r="LA380" s="56"/>
      <c r="LB380" s="242">
        <f t="shared" si="2584"/>
        <v>0</v>
      </c>
      <c r="LC380" s="242">
        <f t="shared" si="2585"/>
        <v>3690</v>
      </c>
      <c r="LD380" s="56"/>
      <c r="LG380" s="55">
        <f t="shared" si="2586"/>
        <v>46346</v>
      </c>
      <c r="LH380" s="56"/>
      <c r="LI380" s="242">
        <f>SUMPRODUCT(PRODUCE!$B375:$DY375,PRODUCE!$EB$42:$IY$42)</f>
        <v>0</v>
      </c>
      <c r="LJ380" s="56"/>
      <c r="LK380" s="242">
        <f t="shared" si="2587"/>
        <v>0</v>
      </c>
      <c r="LL380" s="242">
        <f t="shared" si="2588"/>
        <v>4000</v>
      </c>
      <c r="LM380" s="56"/>
      <c r="LP380" s="55">
        <f t="shared" si="2589"/>
        <v>46346</v>
      </c>
      <c r="LQ380" s="56"/>
      <c r="LR380" s="242">
        <f>SUMPRODUCT(PRODUCE!$B395:$DY395,PRODUCE!$EB$43:$IY$43)</f>
        <v>0</v>
      </c>
      <c r="LS380" s="56"/>
      <c r="LT380" s="242">
        <f t="shared" si="2590"/>
        <v>0</v>
      </c>
      <c r="LU380" s="242">
        <f t="shared" si="2591"/>
        <v>0</v>
      </c>
      <c r="LV380" s="56"/>
      <c r="LY380" s="55">
        <f t="shared" si="2592"/>
        <v>46346</v>
      </c>
      <c r="LZ380" s="56"/>
      <c r="MA380" s="242">
        <f>SUMPRODUCT(PRODUCE!$B375:$DY375,PRODUCE!$EB$44:$IY$44)</f>
        <v>0</v>
      </c>
      <c r="MB380" s="56"/>
      <c r="MC380" s="242">
        <f t="shared" si="2593"/>
        <v>0</v>
      </c>
      <c r="MD380" s="242">
        <f t="shared" si="2594"/>
        <v>0</v>
      </c>
      <c r="ME380" s="56"/>
      <c r="MH380" s="55">
        <f t="shared" si="2595"/>
        <v>46346</v>
      </c>
      <c r="MI380" s="56"/>
      <c r="MJ380" s="242">
        <f>SUMPRODUCT(PRODUCE!$B375:$DY375,PRODUCE!$EB$45:$IY$45)</f>
        <v>0</v>
      </c>
      <c r="MK380" s="56"/>
      <c r="ML380" s="242">
        <f t="shared" si="2596"/>
        <v>0</v>
      </c>
      <c r="MM380" s="242">
        <f t="shared" si="2597"/>
        <v>0</v>
      </c>
      <c r="MN380" s="56"/>
      <c r="MQ380" s="55">
        <f t="shared" si="2598"/>
        <v>46346</v>
      </c>
      <c r="MR380" s="56"/>
      <c r="MS380" s="242">
        <f>SUMPRODUCT(PRODUCE!$B375:$DY375,PRODUCE!$EB$46:$IY$46)</f>
        <v>0</v>
      </c>
      <c r="MT380" s="56"/>
      <c r="MU380" s="242">
        <f t="shared" si="2599"/>
        <v>0</v>
      </c>
      <c r="MV380" s="242">
        <f t="shared" si="2600"/>
        <v>1625</v>
      </c>
      <c r="MW380" s="56"/>
      <c r="MZ380" s="55">
        <f t="shared" si="2601"/>
        <v>46346</v>
      </c>
      <c r="NA380" s="56"/>
      <c r="NB380" s="242">
        <f>SUMPRODUCT(PRODUCE!$B375:$DY375,PRODUCE!$EB$47:$IY$47)</f>
        <v>0</v>
      </c>
      <c r="NC380" s="56"/>
      <c r="ND380" s="242">
        <f t="shared" si="2602"/>
        <v>0</v>
      </c>
      <c r="NE380" s="242">
        <f t="shared" si="2603"/>
        <v>0</v>
      </c>
      <c r="NF380" s="56"/>
      <c r="NI380" s="55">
        <f t="shared" si="2604"/>
        <v>46346</v>
      </c>
      <c r="NJ380" s="56"/>
      <c r="NK380" s="242">
        <f>SUMPRODUCT(PRODUCE!$B375:$DY375,PRODUCE!$EB$48:$IY$48)</f>
        <v>0</v>
      </c>
      <c r="NL380" s="56"/>
      <c r="NM380" s="242">
        <f t="shared" si="2605"/>
        <v>0</v>
      </c>
      <c r="NN380" s="242">
        <f t="shared" si="2606"/>
        <v>1127</v>
      </c>
      <c r="NO380" s="56"/>
      <c r="NR380" s="55">
        <f t="shared" si="2607"/>
        <v>46346</v>
      </c>
      <c r="NS380" s="56"/>
      <c r="NT380" s="242">
        <f>SUMPRODUCT(PRODUCE!$B375:$DY375,PRODUCE!$EB$49:$IY$49)</f>
        <v>0</v>
      </c>
      <c r="NU380" s="56"/>
      <c r="NV380" s="242">
        <f t="shared" si="2608"/>
        <v>0</v>
      </c>
      <c r="NW380" s="242">
        <f t="shared" si="2609"/>
        <v>3111.9999999999995</v>
      </c>
      <c r="NX380" s="56"/>
      <c r="OA380" s="55">
        <f t="shared" si="2610"/>
        <v>46346</v>
      </c>
      <c r="OB380" s="56"/>
      <c r="OC380" s="242">
        <f>SUMPRODUCT(PRODUCE!$B375:$DY375,PRODUCE!$EB$50:$IY$50)</f>
        <v>0</v>
      </c>
      <c r="OD380" s="56"/>
      <c r="OE380" s="242">
        <f t="shared" si="2611"/>
        <v>0</v>
      </c>
      <c r="OF380" s="242">
        <f t="shared" si="2612"/>
        <v>1680.5</v>
      </c>
      <c r="OG380" s="56"/>
      <c r="OJ380" s="55">
        <f t="shared" si="2613"/>
        <v>46346</v>
      </c>
      <c r="OK380" s="56"/>
      <c r="OL380" s="242">
        <f>SUMPRODUCT(PRODUCE!$B375:$DY375,PRODUCE!$EB$51:$IY$51)</f>
        <v>0</v>
      </c>
      <c r="OM380" s="56"/>
      <c r="ON380" s="242">
        <f t="shared" si="2614"/>
        <v>0</v>
      </c>
      <c r="OO380" s="242">
        <f t="shared" si="2615"/>
        <v>0</v>
      </c>
      <c r="OP380" s="56"/>
      <c r="OS380" s="55">
        <f t="shared" si="2616"/>
        <v>46346</v>
      </c>
      <c r="OT380" s="56"/>
      <c r="OU380" s="242">
        <f>SUMPRODUCT(PRODUCE!$B375:$DY375,PRODUCE!$EB$52:$IY$52)</f>
        <v>0</v>
      </c>
      <c r="OV380" s="56"/>
      <c r="OW380" s="242">
        <f t="shared" si="2617"/>
        <v>0</v>
      </c>
      <c r="OX380" s="242">
        <f t="shared" si="2618"/>
        <v>1482</v>
      </c>
      <c r="OY380" s="56"/>
      <c r="PB380" s="55">
        <f t="shared" si="2619"/>
        <v>46346</v>
      </c>
      <c r="PC380" s="56"/>
      <c r="PD380" s="242">
        <f>SUMPRODUCT(PRODUCE!$B375:$DY375,PRODUCE!$EB$53:$IY$53)</f>
        <v>0</v>
      </c>
      <c r="PE380" s="56"/>
      <c r="PF380" s="242">
        <f t="shared" si="2620"/>
        <v>0</v>
      </c>
      <c r="PG380" s="242">
        <f t="shared" si="2621"/>
        <v>0</v>
      </c>
      <c r="PH380" s="56"/>
      <c r="PK380" s="55">
        <f t="shared" si="2622"/>
        <v>46346</v>
      </c>
      <c r="PL380" s="56"/>
      <c r="PM380" s="242">
        <f>SUMPRODUCT(PRODUCE!$B375:$DY375,PRODUCE!$EB$54:$IY$54)</f>
        <v>0</v>
      </c>
      <c r="PN380" s="56"/>
      <c r="PO380" s="242">
        <f t="shared" si="2623"/>
        <v>0</v>
      </c>
      <c r="PP380" s="242">
        <f t="shared" si="2624"/>
        <v>100</v>
      </c>
      <c r="PQ380" s="56"/>
      <c r="PT380" s="55">
        <f t="shared" si="2625"/>
        <v>46346</v>
      </c>
      <c r="PU380" s="56"/>
      <c r="PV380" s="242">
        <f>SUMPRODUCT(PRODUCE!$B375:$DY375,PRODUCE!$EB$55:$IY$55)</f>
        <v>0</v>
      </c>
      <c r="PW380" s="56"/>
      <c r="PX380" s="242">
        <f t="shared" si="2626"/>
        <v>0</v>
      </c>
      <c r="PY380" s="242">
        <f t="shared" si="2627"/>
        <v>13.960000000000036</v>
      </c>
      <c r="PZ380" s="56"/>
      <c r="QC380" s="55">
        <f t="shared" si="2628"/>
        <v>46346</v>
      </c>
      <c r="QD380" s="56"/>
      <c r="QE380" s="242">
        <f>SUMPRODUCT(PRODUCE!$B375:$DY375,PRODUCE!$EB$56:$IY$56)</f>
        <v>0</v>
      </c>
      <c r="QF380" s="56"/>
      <c r="QG380" s="242">
        <f t="shared" si="2629"/>
        <v>0</v>
      </c>
      <c r="QH380" s="242">
        <f t="shared" si="2630"/>
        <v>548</v>
      </c>
      <c r="QI380" s="56"/>
      <c r="QL380" s="55">
        <f t="shared" si="2631"/>
        <v>46346</v>
      </c>
      <c r="QM380" s="56"/>
      <c r="QN380" s="242">
        <f>SUMPRODUCT(PRODUCE!$B375:$DY375,PRODUCE!$EB$57:$IY$57)</f>
        <v>0</v>
      </c>
      <c r="QO380" s="56"/>
      <c r="QP380" s="242">
        <f t="shared" si="2632"/>
        <v>0</v>
      </c>
      <c r="QQ380" s="242">
        <f t="shared" si="2633"/>
        <v>0</v>
      </c>
      <c r="QR380" s="56"/>
      <c r="QU380" s="55">
        <f t="shared" si="2634"/>
        <v>46346</v>
      </c>
      <c r="QV380" s="56"/>
      <c r="QW380" s="242">
        <f>SUMPRODUCT(PRODUCE!$B375:$DY375,PRODUCE!$EB$57:$IY$57)</f>
        <v>0</v>
      </c>
      <c r="QX380" s="56"/>
      <c r="QY380" s="242">
        <f t="shared" si="2635"/>
        <v>0</v>
      </c>
      <c r="QZ380" s="242">
        <f t="shared" si="2636"/>
        <v>0</v>
      </c>
      <c r="RA380" s="56"/>
      <c r="RD380" s="55">
        <f t="shared" si="2637"/>
        <v>46346</v>
      </c>
      <c r="RE380" s="56"/>
      <c r="RF380" s="242">
        <f>SUMPRODUCT(PRODUCE!$B375:$DY375,PRODUCE!$EB$58:$IY$58)</f>
        <v>0</v>
      </c>
      <c r="RG380" s="56"/>
      <c r="RH380" s="242">
        <f t="shared" si="2638"/>
        <v>0</v>
      </c>
      <c r="RI380" s="242">
        <f t="shared" si="2639"/>
        <v>147.04000000000002</v>
      </c>
      <c r="RJ380" s="56"/>
      <c r="RM380" s="55">
        <f t="shared" si="2640"/>
        <v>46346</v>
      </c>
      <c r="RN380" s="56"/>
      <c r="RO380" s="242">
        <f>SUMPRODUCT(PRODUCE!$B375:$DY375,PRODUCE!$EB$57:$IY$57)</f>
        <v>0</v>
      </c>
      <c r="RP380" s="56"/>
      <c r="RQ380" s="242">
        <f t="shared" si="2641"/>
        <v>0</v>
      </c>
      <c r="RR380" s="242">
        <f t="shared" si="2642"/>
        <v>46.8</v>
      </c>
      <c r="RS380" s="56"/>
      <c r="RV380" s="55">
        <f t="shared" si="2643"/>
        <v>46346</v>
      </c>
      <c r="RW380" s="56"/>
      <c r="RX380" s="242">
        <f>SUMPRODUCT(PRODUCE!$B375:$DY375,PRODUCE!$EB$57:$IY$57)</f>
        <v>0</v>
      </c>
      <c r="RY380" s="56"/>
      <c r="RZ380" s="242">
        <f t="shared" si="2644"/>
        <v>0</v>
      </c>
      <c r="SA380" s="242">
        <f t="shared" si="2645"/>
        <v>0</v>
      </c>
      <c r="SB380" s="56"/>
      <c r="SE380" s="55">
        <f t="shared" si="2646"/>
        <v>46346</v>
      </c>
      <c r="SF380" s="56"/>
      <c r="SG380" s="242">
        <f>SUMPRODUCT(PRODUCE!$B375:$DY375,PRODUCE!$EB$61:$IY$61)</f>
        <v>0</v>
      </c>
      <c r="SH380" s="56"/>
      <c r="SI380" s="242">
        <f t="shared" si="2647"/>
        <v>0</v>
      </c>
      <c r="SJ380" s="242">
        <f t="shared" si="2648"/>
        <v>24.200000000000003</v>
      </c>
      <c r="SK380" s="56"/>
      <c r="SN380" s="55">
        <f t="shared" si="2649"/>
        <v>46346</v>
      </c>
      <c r="SO380" s="56"/>
      <c r="SP380" s="242">
        <f>SUMPRODUCT(PRODUCE!$B375:$DY375,PRODUCE!$EB$57:$IY$57)</f>
        <v>0</v>
      </c>
      <c r="SQ380" s="56"/>
      <c r="SR380" s="242">
        <f t="shared" si="2650"/>
        <v>0</v>
      </c>
      <c r="SS380" s="242">
        <f t="shared" si="2651"/>
        <v>32</v>
      </c>
      <c r="ST380" s="56"/>
      <c r="SW380" s="55">
        <f t="shared" si="2652"/>
        <v>46346</v>
      </c>
      <c r="SX380" s="56"/>
      <c r="SY380" s="242">
        <f>SUMPRODUCT(PRODUCE!$B375:$DY375,PRODUCE!$EB$57:$IY$57)</f>
        <v>0</v>
      </c>
      <c r="SZ380" s="56"/>
      <c r="TA380" s="242">
        <f t="shared" si="2653"/>
        <v>0</v>
      </c>
      <c r="TB380" s="242">
        <f t="shared" si="2654"/>
        <v>0</v>
      </c>
      <c r="TC380" s="56"/>
      <c r="TF380" s="55">
        <f t="shared" si="2655"/>
        <v>46346</v>
      </c>
      <c r="TG380" s="56"/>
      <c r="TH380" s="242">
        <f>SUMPRODUCT(PRODUCE!$B375:$DY375,PRODUCE!$EB$57:$IY$57)</f>
        <v>0</v>
      </c>
      <c r="TI380" s="56"/>
      <c r="TJ380" s="242">
        <f t="shared" si="2656"/>
        <v>0</v>
      </c>
      <c r="TK380" s="242">
        <f t="shared" si="2657"/>
        <v>0</v>
      </c>
      <c r="TL380" s="56"/>
      <c r="TO380" s="55">
        <f t="shared" si="2658"/>
        <v>46346</v>
      </c>
      <c r="TP380" s="56"/>
      <c r="TQ380" s="242">
        <f>SUMPRODUCT(PRODUCE!$B375:$DY375,PRODUCE!$EB$57:$IY$57)</f>
        <v>0</v>
      </c>
      <c r="TR380" s="56"/>
      <c r="TS380" s="242">
        <f t="shared" si="2659"/>
        <v>0</v>
      </c>
      <c r="TT380" s="242">
        <f t="shared" si="2660"/>
        <v>0</v>
      </c>
      <c r="TU380" s="56"/>
      <c r="TX380" s="55">
        <f t="shared" si="2661"/>
        <v>46346</v>
      </c>
      <c r="TY380" s="56"/>
      <c r="TZ380" s="242">
        <f>SUMPRODUCT(PRODUCE!$B375:$DY375,PRODUCE!$EB$57:$IY$57)</f>
        <v>0</v>
      </c>
      <c r="UA380" s="56"/>
      <c r="UB380" s="242">
        <f t="shared" si="2662"/>
        <v>0</v>
      </c>
      <c r="UC380" s="242">
        <f t="shared" si="2663"/>
        <v>46.799999999999983</v>
      </c>
      <c r="UD380" s="56"/>
      <c r="UG380" s="55">
        <f t="shared" si="2664"/>
        <v>46346</v>
      </c>
      <c r="UH380" s="56"/>
      <c r="UI380" s="242">
        <f>SUMPRODUCT(PRODUCE!$B375:$DY375,PRODUCE!$EB$57:$IY$57)</f>
        <v>0</v>
      </c>
      <c r="UJ380" s="56"/>
      <c r="UK380" s="242">
        <f t="shared" si="2665"/>
        <v>0</v>
      </c>
      <c r="UL380" s="242">
        <f t="shared" si="2666"/>
        <v>204</v>
      </c>
      <c r="UM380" s="56"/>
      <c r="UP380" s="55">
        <f t="shared" si="2667"/>
        <v>46346</v>
      </c>
      <c r="UQ380" s="56"/>
      <c r="UR380" s="242">
        <f>SUMPRODUCT(PRODUCE!$B375:$DY375,PRODUCE!$EB$57:$IY$57)</f>
        <v>0</v>
      </c>
      <c r="US380" s="56"/>
      <c r="UT380" s="242">
        <f t="shared" si="2668"/>
        <v>0</v>
      </c>
      <c r="UU380" s="242">
        <f t="shared" si="2669"/>
        <v>202.5</v>
      </c>
      <c r="UV380" s="56"/>
      <c r="UY380" s="55">
        <f t="shared" si="2670"/>
        <v>46346</v>
      </c>
      <c r="UZ380" s="56"/>
      <c r="VA380" s="242">
        <f>SUMPRODUCT(PRODUCE!$B375:$DY375,PRODUCE!$EB$57:$IY$57)</f>
        <v>0</v>
      </c>
      <c r="VB380" s="56"/>
      <c r="VC380" s="242">
        <f t="shared" si="2671"/>
        <v>0</v>
      </c>
      <c r="VD380" s="242">
        <f t="shared" si="2672"/>
        <v>41.600000000000023</v>
      </c>
      <c r="VE380" s="56"/>
      <c r="VH380" s="55">
        <f t="shared" si="2673"/>
        <v>46346</v>
      </c>
      <c r="VI380" s="56"/>
      <c r="VJ380" s="242">
        <f>SUMPRODUCT(PRODUCE!$B375:$DY375,PRODUCE!$EB$57:$IY$57)</f>
        <v>0</v>
      </c>
      <c r="VK380" s="56"/>
      <c r="VL380" s="242">
        <f t="shared" si="2674"/>
        <v>0</v>
      </c>
      <c r="VM380" s="242">
        <f t="shared" si="2675"/>
        <v>210</v>
      </c>
      <c r="VN380" s="56"/>
      <c r="VQ380" s="55">
        <f t="shared" si="2676"/>
        <v>46346</v>
      </c>
      <c r="VR380" s="56"/>
      <c r="VS380" s="242">
        <f>SUMPRODUCT(PRODUCE!$B375:$DY375,PRODUCE!$EB$57:$IY$57)</f>
        <v>0</v>
      </c>
      <c r="VT380" s="56"/>
      <c r="VU380" s="242">
        <f t="shared" si="2677"/>
        <v>0</v>
      </c>
      <c r="VV380" s="242">
        <f t="shared" si="2678"/>
        <v>0</v>
      </c>
      <c r="VW380" s="56"/>
      <c r="VZ380" s="55">
        <f t="shared" si="2679"/>
        <v>46346</v>
      </c>
      <c r="WA380" s="56"/>
      <c r="WB380" s="242">
        <f>SUMPRODUCT(PRODUCE!$B375:$DY375,PRODUCE!$EB$57:$IY$57)</f>
        <v>0</v>
      </c>
      <c r="WC380" s="56"/>
      <c r="WD380" s="242">
        <f t="shared" si="2680"/>
        <v>0</v>
      </c>
      <c r="WE380" s="242">
        <f t="shared" si="2681"/>
        <v>0</v>
      </c>
      <c r="WF380" s="56"/>
      <c r="WI380" s="55">
        <f t="shared" si="2682"/>
        <v>46346</v>
      </c>
      <c r="WJ380" s="56"/>
      <c r="WK380" s="242">
        <f>SUMPRODUCT(PRODUCE!$B375:$DY375,PRODUCE!$EB$57:$IY$57)</f>
        <v>0</v>
      </c>
      <c r="WL380" s="56"/>
      <c r="WM380" s="242">
        <f t="shared" si="2683"/>
        <v>0</v>
      </c>
      <c r="WN380" s="242">
        <f t="shared" si="2684"/>
        <v>1057</v>
      </c>
      <c r="WO380" s="56"/>
      <c r="WR380" s="55">
        <f t="shared" si="2685"/>
        <v>46346</v>
      </c>
      <c r="WS380" s="56"/>
      <c r="WT380" s="242">
        <f>SUMPRODUCT(PRODUCE!$B375:$DY375,PRODUCE!$EB$57:$IY$57)</f>
        <v>0</v>
      </c>
      <c r="WU380" s="56"/>
      <c r="WV380" s="242">
        <f t="shared" si="2686"/>
        <v>0</v>
      </c>
      <c r="WW380" s="242">
        <f t="shared" si="2687"/>
        <v>0</v>
      </c>
      <c r="WX380" s="56"/>
      <c r="XA380" s="55">
        <f t="shared" si="2688"/>
        <v>46346</v>
      </c>
      <c r="XB380" s="56"/>
      <c r="XC380" s="242">
        <f>SUMPRODUCT(PRODUCE!$B375:$DY375,PRODUCE!$EB$57:$IY$57)</f>
        <v>0</v>
      </c>
      <c r="XD380" s="56"/>
      <c r="XE380" s="242">
        <f t="shared" si="2689"/>
        <v>0</v>
      </c>
      <c r="XF380" s="242">
        <f t="shared" si="2690"/>
        <v>7507</v>
      </c>
      <c r="XG380" s="56"/>
      <c r="XJ380" s="55">
        <f t="shared" si="2691"/>
        <v>46346</v>
      </c>
      <c r="XK380" s="56"/>
      <c r="XL380" s="242">
        <f>SUMPRODUCT(PRODUCE!$B375:$DY375,PRODUCE!$EB$57:$IY$57)</f>
        <v>0</v>
      </c>
      <c r="XM380" s="56"/>
      <c r="XN380" s="242">
        <f t="shared" si="2692"/>
        <v>0</v>
      </c>
      <c r="XO380" s="242">
        <f t="shared" si="2693"/>
        <v>4252</v>
      </c>
      <c r="XP380" s="56"/>
      <c r="XS380" s="55">
        <f t="shared" si="2694"/>
        <v>46346</v>
      </c>
      <c r="XT380" s="56"/>
      <c r="XU380" s="242">
        <f>SUMPRODUCT(PRODUCE!$B375:$DY375,PRODUCE!$EB$57:$IY$57)</f>
        <v>0</v>
      </c>
      <c r="XV380" s="56"/>
      <c r="XW380" s="242">
        <f t="shared" si="2695"/>
        <v>0</v>
      </c>
      <c r="XX380" s="242">
        <f t="shared" si="2696"/>
        <v>2179</v>
      </c>
      <c r="XY380" s="56"/>
      <c r="YB380" s="55">
        <f t="shared" si="2697"/>
        <v>46346</v>
      </c>
      <c r="YC380" s="56"/>
      <c r="YD380" s="242">
        <f>SUMPRODUCT(PRODUCE!$B375:$DY375,PRODUCE!$EB$57:$IY$57)</f>
        <v>0</v>
      </c>
      <c r="YE380" s="56"/>
      <c r="YF380" s="242">
        <f t="shared" si="2698"/>
        <v>0</v>
      </c>
      <c r="YG380" s="242">
        <f t="shared" si="2699"/>
        <v>4019</v>
      </c>
      <c r="YH380" s="56"/>
      <c r="YK380" s="55">
        <f t="shared" si="2700"/>
        <v>46346</v>
      </c>
      <c r="YL380" s="56"/>
      <c r="YM380" s="242">
        <f>SUMPRODUCT(PRODUCE!$B375:$DY375,PRODUCE!$EB$57:$IY$57)</f>
        <v>0</v>
      </c>
      <c r="YN380" s="56"/>
      <c r="YO380" s="242">
        <f t="shared" si="2701"/>
        <v>0</v>
      </c>
      <c r="YP380" s="242">
        <f t="shared" si="2702"/>
        <v>-218</v>
      </c>
      <c r="YQ380" s="56"/>
      <c r="YT380" s="55">
        <f t="shared" si="2703"/>
        <v>46346</v>
      </c>
      <c r="YU380" s="56"/>
      <c r="YV380" s="242">
        <f>SUMPRODUCT(PRODUCE!$B375:$DY375,PRODUCE!$EB$57:$IY$57)</f>
        <v>0</v>
      </c>
      <c r="YW380" s="56"/>
      <c r="YX380" s="242">
        <f t="shared" si="2704"/>
        <v>0</v>
      </c>
      <c r="YY380" s="242">
        <f t="shared" si="2705"/>
        <v>0</v>
      </c>
      <c r="YZ380" s="56"/>
      <c r="ZC380" s="55">
        <f t="shared" si="2706"/>
        <v>46346</v>
      </c>
      <c r="ZD380" s="56"/>
      <c r="ZE380" s="242">
        <f>SUMPRODUCT(PRODUCE!$B375:$DY375,PRODUCE!$EB$57:$IY$57)</f>
        <v>0</v>
      </c>
      <c r="ZF380" s="56"/>
      <c r="ZG380" s="242">
        <f t="shared" si="2707"/>
        <v>0</v>
      </c>
      <c r="ZH380" s="242">
        <f t="shared" si="2708"/>
        <v>0</v>
      </c>
      <c r="ZI380" s="56"/>
      <c r="ZL380" s="55">
        <f t="shared" si="2709"/>
        <v>46346</v>
      </c>
      <c r="ZM380" s="56"/>
      <c r="ZN380" s="242">
        <f>SUMPRODUCT(PRODUCE!$B375:$DY375,PRODUCE!$EB$57:$IY$57)</f>
        <v>0</v>
      </c>
      <c r="ZO380" s="56"/>
      <c r="ZP380" s="242">
        <f t="shared" si="2710"/>
        <v>0</v>
      </c>
      <c r="ZQ380" s="242">
        <f t="shared" si="2711"/>
        <v>0</v>
      </c>
      <c r="ZR380" s="56"/>
      <c r="ZU380" s="55">
        <f t="shared" si="2712"/>
        <v>46346</v>
      </c>
      <c r="ZV380" s="56"/>
      <c r="ZW380" s="242">
        <f>SUMPRODUCT(PRODUCE!$B375:$DY375,PRODUCE!$EB$57:$IY$57)</f>
        <v>0</v>
      </c>
      <c r="ZX380" s="56"/>
      <c r="ZY380" s="242">
        <f t="shared" si="2713"/>
        <v>0</v>
      </c>
      <c r="ZZ380" s="242">
        <f t="shared" si="2714"/>
        <v>0</v>
      </c>
      <c r="AAA380" s="56"/>
      <c r="AAD380" s="55">
        <f t="shared" si="2715"/>
        <v>46346</v>
      </c>
      <c r="AAE380" s="56"/>
      <c r="AAF380" s="242">
        <f>SUMPRODUCT(PRODUCE!$B375:$DY375,PRODUCE!$EB$57:$IY$57)</f>
        <v>0</v>
      </c>
      <c r="AAG380" s="56"/>
      <c r="AAH380" s="242">
        <f t="shared" si="2716"/>
        <v>0</v>
      </c>
      <c r="AAI380" s="242">
        <f t="shared" si="2717"/>
        <v>0</v>
      </c>
      <c r="AAJ380" s="56"/>
      <c r="AAM380" s="55">
        <f t="shared" si="2718"/>
        <v>46346</v>
      </c>
      <c r="AAN380" s="56"/>
      <c r="AAO380" s="242">
        <f>SUMPRODUCT(PRODUCE!$B375:$DY375,PRODUCE!$EB$57:$IY$57)</f>
        <v>0</v>
      </c>
      <c r="AAP380" s="56"/>
      <c r="AAQ380" s="242">
        <f t="shared" si="2719"/>
        <v>0</v>
      </c>
      <c r="AAR380" s="242">
        <f t="shared" si="2720"/>
        <v>0</v>
      </c>
      <c r="AAS380" s="56"/>
      <c r="AAV380" s="55">
        <f t="shared" si="2721"/>
        <v>46346</v>
      </c>
      <c r="AAW380" s="56"/>
      <c r="AAX380" s="242">
        <f>SUMPRODUCT(PRODUCE!$B375:$DY375,PRODUCE!$EB$57:$IY$57)</f>
        <v>0</v>
      </c>
      <c r="AAY380" s="56"/>
      <c r="AAZ380" s="242">
        <f t="shared" si="2722"/>
        <v>0</v>
      </c>
      <c r="ABA380" s="242">
        <f t="shared" si="2723"/>
        <v>0</v>
      </c>
      <c r="ABB380" s="56"/>
      <c r="ABE380" s="55">
        <f t="shared" si="2724"/>
        <v>46346</v>
      </c>
      <c r="ABF380" s="56"/>
      <c r="ABG380" s="242">
        <f>SUMPRODUCT(PRODUCE!$B375:$DY375,PRODUCE!$EB$57:$IY$57)</f>
        <v>0</v>
      </c>
      <c r="ABH380" s="56"/>
      <c r="ABI380" s="242">
        <f t="shared" si="2725"/>
        <v>0</v>
      </c>
      <c r="ABJ380" s="242">
        <f t="shared" si="2726"/>
        <v>0</v>
      </c>
      <c r="ABK380" s="56"/>
    </row>
    <row r="381" spans="2:739" s="54" customFormat="1" ht="15" customHeight="1" outlineLevel="1">
      <c r="B381" s="478"/>
      <c r="C381" s="55">
        <v>46347</v>
      </c>
      <c r="D381" s="56"/>
      <c r="E381" s="57">
        <f>SUMPRODUCT(PRODUCE!$B376:$DY376,PRODUCE!$EB$7:$IY$7)</f>
        <v>0</v>
      </c>
      <c r="F381" s="56"/>
      <c r="G381" s="57">
        <f t="shared" si="2482"/>
        <v>0</v>
      </c>
      <c r="H381" s="57">
        <f t="shared" si="2483"/>
        <v>236936.6</v>
      </c>
      <c r="I381" s="289"/>
      <c r="L381" s="55">
        <f t="shared" si="2484"/>
        <v>46347</v>
      </c>
      <c r="M381" s="56"/>
      <c r="N381" s="59">
        <f>SUMPRODUCT(PRODUCE!$B376:$DY376,PRODUCE!$EB$8:$IY$8)</f>
        <v>0</v>
      </c>
      <c r="O381" s="56"/>
      <c r="P381" s="59">
        <f t="shared" si="2485"/>
        <v>0</v>
      </c>
      <c r="Q381" s="59">
        <f t="shared" si="2486"/>
        <v>53017.600000000071</v>
      </c>
      <c r="R381" s="56"/>
      <c r="U381" s="55">
        <f t="shared" si="2487"/>
        <v>46347</v>
      </c>
      <c r="V381" s="56"/>
      <c r="W381" s="60">
        <f>SUMPRODUCT(PRODUCE!$B376:$DY376,PRODUCE!$EB$9:$IY$9)</f>
        <v>0</v>
      </c>
      <c r="X381" s="56"/>
      <c r="Y381" s="60">
        <f t="shared" si="2488"/>
        <v>0</v>
      </c>
      <c r="Z381" s="60">
        <f t="shared" si="2489"/>
        <v>42674.199999999968</v>
      </c>
      <c r="AA381" s="56"/>
      <c r="AD381" s="55">
        <f t="shared" si="2490"/>
        <v>46347</v>
      </c>
      <c r="AE381" s="56"/>
      <c r="AF381" s="61">
        <f>SUMPRODUCT(PRODUCE!$B376:$DY376,PRODUCE!$EB$10:$IY$10)</f>
        <v>0</v>
      </c>
      <c r="AG381" s="56"/>
      <c r="AH381" s="61">
        <f t="shared" si="2491"/>
        <v>0</v>
      </c>
      <c r="AI381" s="61">
        <f t="shared" si="2492"/>
        <v>4522.2000000000189</v>
      </c>
      <c r="AJ381" s="56"/>
      <c r="AM381" s="55">
        <f t="shared" si="2493"/>
        <v>46347</v>
      </c>
      <c r="AN381" s="422"/>
      <c r="AO381" s="444">
        <f>SUMPRODUCT(PRODUCE!$B376:$DY376,PRODUCE!$EB$11:$IY$11)</f>
        <v>0</v>
      </c>
      <c r="AP381" s="422"/>
      <c r="AQ381" s="444">
        <f t="shared" si="2494"/>
        <v>0</v>
      </c>
      <c r="AR381" s="444">
        <f t="shared" si="2495"/>
        <v>0</v>
      </c>
      <c r="AS381" s="56"/>
      <c r="AV381" s="55">
        <f t="shared" si="2496"/>
        <v>46347</v>
      </c>
      <c r="AW381" s="56"/>
      <c r="AX381" s="62">
        <f>SUMPRODUCT(PRODUCE!$B376:$DY376,PRODUCE!$EB$12:$IY$12)</f>
        <v>0</v>
      </c>
      <c r="AY381" s="56"/>
      <c r="AZ381" s="62">
        <f t="shared" si="2497"/>
        <v>0</v>
      </c>
      <c r="BA381" s="62">
        <f t="shared" si="2498"/>
        <v>124.99999999999523</v>
      </c>
      <c r="BB381" s="56"/>
      <c r="BE381" s="55">
        <f t="shared" si="2499"/>
        <v>46347</v>
      </c>
      <c r="BF381" s="56"/>
      <c r="BG381" s="63">
        <f>SUMPRODUCT(PRODUCE!$B376:$DY376,PRODUCE!$EB$13:$IY$13)</f>
        <v>0</v>
      </c>
      <c r="BH381" s="56"/>
      <c r="BI381" s="63">
        <f t="shared" si="2500"/>
        <v>0</v>
      </c>
      <c r="BJ381" s="63">
        <f t="shared" si="2501"/>
        <v>26151.899999999998</v>
      </c>
      <c r="BK381" s="56"/>
      <c r="BN381" s="55">
        <f t="shared" si="2502"/>
        <v>46347</v>
      </c>
      <c r="BO381" s="56"/>
      <c r="BP381" s="64">
        <f>SUMPRODUCT(PRODUCE!$B376:$DY376,PRODUCE!$EB$14:$IY$14)</f>
        <v>0</v>
      </c>
      <c r="BQ381" s="56"/>
      <c r="BR381" s="64">
        <f t="shared" si="2503"/>
        <v>0</v>
      </c>
      <c r="BS381" s="64">
        <f t="shared" si="2504"/>
        <v>0</v>
      </c>
      <c r="BT381" s="56"/>
      <c r="BW381" s="55">
        <f t="shared" si="2505"/>
        <v>46347</v>
      </c>
      <c r="BX381" s="56"/>
      <c r="BY381" s="65">
        <f>SUMPRODUCT(PRODUCE!$B376:$DY376,PRODUCE!$EB$15:$IY$15)</f>
        <v>0</v>
      </c>
      <c r="BZ381" s="56"/>
      <c r="CA381" s="65">
        <f t="shared" si="2506"/>
        <v>0</v>
      </c>
      <c r="CB381" s="65">
        <f t="shared" si="2507"/>
        <v>2097.3399999999992</v>
      </c>
      <c r="CC381" s="56"/>
      <c r="CF381" s="55">
        <f t="shared" si="2508"/>
        <v>46347</v>
      </c>
      <c r="CG381" s="56"/>
      <c r="CH381" s="66">
        <f>SUMPRODUCT(PRODUCE!$B376:$DY376,PRODUCE!$EB$16:$IY$16)</f>
        <v>0</v>
      </c>
      <c r="CI381" s="56"/>
      <c r="CJ381" s="66">
        <f t="shared" si="2509"/>
        <v>0</v>
      </c>
      <c r="CK381" s="66">
        <f t="shared" si="2510"/>
        <v>-10277.079999999998</v>
      </c>
      <c r="CL381" s="56"/>
      <c r="CO381" s="55">
        <f t="shared" si="2511"/>
        <v>46347</v>
      </c>
      <c r="CP381" s="422"/>
      <c r="CQ381" s="470">
        <f>SUMPRODUCT(PRODUCE!$B376:$DY376,PRODUCE!$EB$17:$IY$17)</f>
        <v>0</v>
      </c>
      <c r="CR381" s="422"/>
      <c r="CS381" s="470">
        <f t="shared" si="2512"/>
        <v>0</v>
      </c>
      <c r="CT381" s="470">
        <f t="shared" si="2513"/>
        <v>0</v>
      </c>
      <c r="CU381" s="56"/>
      <c r="CX381" s="55">
        <f t="shared" si="2514"/>
        <v>46347</v>
      </c>
      <c r="CY381" s="56"/>
      <c r="CZ381" s="133">
        <f>SUMPRODUCT(PRODUCE!$B376:$DY376,PRODUCE!$EB$18:$IY$18)</f>
        <v>0</v>
      </c>
      <c r="DA381" s="56"/>
      <c r="DB381" s="133">
        <f t="shared" si="2515"/>
        <v>0</v>
      </c>
      <c r="DC381" s="133">
        <f t="shared" si="2516"/>
        <v>27438.200000000012</v>
      </c>
      <c r="DD381" s="56"/>
      <c r="DG381" s="55">
        <f t="shared" si="2517"/>
        <v>46347</v>
      </c>
      <c r="DH381" s="56"/>
      <c r="DI381" s="147">
        <f>SUMPRODUCT(PRODUCE!$B376:$DY376,PRODUCE!$EB$19:$IY$19)</f>
        <v>0</v>
      </c>
      <c r="DJ381" s="56"/>
      <c r="DK381" s="147">
        <f t="shared" si="2518"/>
        <v>0</v>
      </c>
      <c r="DL381" s="147">
        <f t="shared" si="2519"/>
        <v>18782.299999999981</v>
      </c>
      <c r="DM381" s="56"/>
      <c r="DP381" s="55">
        <f t="shared" si="2520"/>
        <v>46347</v>
      </c>
      <c r="DQ381" s="56"/>
      <c r="DR381" s="57">
        <f>SUMPRODUCT(PRODUCE!$B376:$DY376,PRODUCE!$EB$20:$IY$20)</f>
        <v>0</v>
      </c>
      <c r="DS381" s="56"/>
      <c r="DT381" s="57">
        <f t="shared" si="2521"/>
        <v>0</v>
      </c>
      <c r="DU381" s="57">
        <f t="shared" si="2522"/>
        <v>5800</v>
      </c>
      <c r="DV381" s="56"/>
      <c r="DY381" s="55">
        <f t="shared" si="2523"/>
        <v>46347</v>
      </c>
      <c r="DZ381" s="56"/>
      <c r="EA381" s="157">
        <f>SUMPRODUCT(PRODUCE!$B376:$DY376,PRODUCE!$EB$21:$IY$21)</f>
        <v>0</v>
      </c>
      <c r="EB381" s="56"/>
      <c r="EC381" s="157">
        <f t="shared" si="2524"/>
        <v>0</v>
      </c>
      <c r="ED381" s="157">
        <f t="shared" si="2525"/>
        <v>0</v>
      </c>
      <c r="EE381" s="56"/>
      <c r="EH381" s="55">
        <f t="shared" si="2526"/>
        <v>46347</v>
      </c>
      <c r="EI381" s="56"/>
      <c r="EJ381" s="162">
        <f>SUMPRODUCT(PRODUCE!$B376:$DY376,PRODUCE!$EB$22:$IY$22)</f>
        <v>0</v>
      </c>
      <c r="EK381" s="56"/>
      <c r="EL381" s="162">
        <f t="shared" si="2527"/>
        <v>0</v>
      </c>
      <c r="EM381" s="162">
        <f t="shared" si="2528"/>
        <v>0</v>
      </c>
      <c r="EN381" s="56"/>
      <c r="EQ381" s="55">
        <f t="shared" si="2529"/>
        <v>46347</v>
      </c>
      <c r="ER381" s="56"/>
      <c r="ES381" s="135">
        <f>SUMPRODUCT(PRODUCE!$B376:$DY376,PRODUCE!$EB$23:$IY$23)</f>
        <v>0</v>
      </c>
      <c r="ET381" s="56"/>
      <c r="EU381" s="135">
        <f t="shared" si="2530"/>
        <v>0</v>
      </c>
      <c r="EV381" s="135">
        <f t="shared" si="2531"/>
        <v>0</v>
      </c>
      <c r="EW381" s="56"/>
      <c r="EZ381" s="55">
        <f t="shared" si="2532"/>
        <v>46347</v>
      </c>
      <c r="FA381" s="56"/>
      <c r="FB381" s="175">
        <f>SUMPRODUCT(PRODUCE!$B376:$DY376,PRODUCE!$EB$24:$IY$24)</f>
        <v>0</v>
      </c>
      <c r="FC381" s="56"/>
      <c r="FD381" s="175">
        <f t="shared" si="2533"/>
        <v>0</v>
      </c>
      <c r="FE381" s="175">
        <f t="shared" si="2534"/>
        <v>0</v>
      </c>
      <c r="FF381" s="56"/>
      <c r="FI381" s="55">
        <f t="shared" si="2535"/>
        <v>46347</v>
      </c>
      <c r="FJ381" s="56"/>
      <c r="FK381" s="183">
        <f>SUMPRODUCT(PRODUCE!$B376:$DY376,PRODUCE!$EB$25:$IY$25)</f>
        <v>0</v>
      </c>
      <c r="FL381" s="56"/>
      <c r="FM381" s="183">
        <f t="shared" si="2536"/>
        <v>0</v>
      </c>
      <c r="FN381" s="183">
        <f t="shared" si="2537"/>
        <v>0</v>
      </c>
      <c r="FO381" s="56"/>
      <c r="FR381" s="55">
        <f t="shared" si="2538"/>
        <v>46347</v>
      </c>
      <c r="FS381" s="56"/>
      <c r="FT381" s="186">
        <f>SUMPRODUCT(PRODUCE!$B376:$DY376,PRODUCE!$EB$26:$IY$26)</f>
        <v>0</v>
      </c>
      <c r="FU381" s="56"/>
      <c r="FV381" s="186">
        <f t="shared" si="2539"/>
        <v>0</v>
      </c>
      <c r="FW381" s="186">
        <f t="shared" si="2540"/>
        <v>2020</v>
      </c>
      <c r="FX381" s="56"/>
      <c r="GA381" s="55">
        <f t="shared" si="2541"/>
        <v>46347</v>
      </c>
      <c r="GB381" s="56"/>
      <c r="GC381" s="137">
        <f>SUMPRODUCT(PRODUCE!$B376:$DY376,PRODUCE!$EB$27:$IY$27)</f>
        <v>0</v>
      </c>
      <c r="GD381" s="56"/>
      <c r="GE381" s="137">
        <f t="shared" si="2542"/>
        <v>0</v>
      </c>
      <c r="GF381" s="137">
        <f t="shared" si="2543"/>
        <v>960</v>
      </c>
      <c r="GG381" s="56"/>
      <c r="GI381" s="23"/>
      <c r="GJ381" s="55">
        <f t="shared" si="2544"/>
        <v>46347</v>
      </c>
      <c r="GK381" s="56"/>
      <c r="GL381" s="199">
        <f>SUMPRODUCT(PRODUCE!$B376:$DY376,PRODUCE!$EB$28:$IY$28)</f>
        <v>0</v>
      </c>
      <c r="GM381" s="56"/>
      <c r="GN381" s="199">
        <f t="shared" si="2545"/>
        <v>0</v>
      </c>
      <c r="GO381" s="199">
        <f t="shared" si="2546"/>
        <v>1760</v>
      </c>
      <c r="GP381" s="56"/>
      <c r="GS381" s="55">
        <f t="shared" si="2547"/>
        <v>46347</v>
      </c>
      <c r="GT381" s="56"/>
      <c r="GU381" s="195">
        <f>SUMPRODUCT(PRODUCE!$B376:$DY376,PRODUCE!$EB$29:$IY$29)</f>
        <v>0</v>
      </c>
      <c r="GV381" s="56"/>
      <c r="GW381" s="195">
        <f t="shared" si="2548"/>
        <v>0</v>
      </c>
      <c r="GX381" s="195">
        <f t="shared" si="2549"/>
        <v>400</v>
      </c>
      <c r="GY381" s="56"/>
      <c r="HB381" s="55">
        <f t="shared" si="2550"/>
        <v>46347</v>
      </c>
      <c r="HC381" s="56"/>
      <c r="HD381" s="191">
        <f>SUMPRODUCT(PRODUCE!$B376:$DY376,PRODUCE!$EB$30:$IY$30)</f>
        <v>0</v>
      </c>
      <c r="HE381" s="56"/>
      <c r="HF381" s="191">
        <f t="shared" si="2551"/>
        <v>0</v>
      </c>
      <c r="HG381" s="191">
        <f t="shared" si="2552"/>
        <v>3600</v>
      </c>
      <c r="HH381" s="56"/>
      <c r="HK381" s="55">
        <f t="shared" si="2553"/>
        <v>46347</v>
      </c>
      <c r="HL381" s="56"/>
      <c r="HM381" s="63">
        <f>SUMPRODUCT(PRODUCE!$B376:$DY376,PRODUCE!$EB$31:$IY$31)</f>
        <v>0</v>
      </c>
      <c r="HN381" s="56"/>
      <c r="HO381" s="63">
        <f t="shared" si="2554"/>
        <v>0</v>
      </c>
      <c r="HP381" s="63">
        <f t="shared" si="2555"/>
        <v>0</v>
      </c>
      <c r="HQ381" s="56"/>
      <c r="HU381" s="55">
        <f t="shared" si="2556"/>
        <v>46347</v>
      </c>
      <c r="HV381" s="56"/>
      <c r="HW381" s="242">
        <f>SUMPRODUCT(PRODUCE!$B376:$DY376,PRODUCE!$EB$32:$IY$32)</f>
        <v>0</v>
      </c>
      <c r="HX381" s="56"/>
      <c r="HY381" s="242">
        <f t="shared" si="2557"/>
        <v>0</v>
      </c>
      <c r="HZ381" s="242">
        <f t="shared" si="2558"/>
        <v>6120</v>
      </c>
      <c r="IA381" s="56"/>
      <c r="ID381" s="55">
        <f t="shared" si="2559"/>
        <v>46347</v>
      </c>
      <c r="IE381" s="56"/>
      <c r="IF381" s="242">
        <f>SUMPRODUCT(PRODUCE!$B376:$DY376,PRODUCE!$EB$33:$IY$33)</f>
        <v>0</v>
      </c>
      <c r="IG381" s="56"/>
      <c r="IH381" s="242">
        <f t="shared" si="2560"/>
        <v>0</v>
      </c>
      <c r="II381" s="242">
        <f t="shared" si="2561"/>
        <v>0</v>
      </c>
      <c r="IJ381" s="56"/>
      <c r="IM381" s="55">
        <f t="shared" si="2562"/>
        <v>46347</v>
      </c>
      <c r="IN381" s="56"/>
      <c r="IO381" s="242">
        <f>SUMPRODUCT(PRODUCE!$B376:$DY376,PRODUCE!$EB$34:$IY$34)</f>
        <v>0</v>
      </c>
      <c r="IP381" s="56"/>
      <c r="IQ381" s="242">
        <f t="shared" si="2563"/>
        <v>0</v>
      </c>
      <c r="IR381" s="242">
        <f t="shared" si="2564"/>
        <v>0</v>
      </c>
      <c r="IS381" s="56"/>
      <c r="IV381" s="55">
        <f t="shared" si="2565"/>
        <v>46347</v>
      </c>
      <c r="IW381" s="56"/>
      <c r="IX381" s="242">
        <f>SUMPRODUCT(PRODUCE!$B376:$DY376,PRODUCE!$EB$35:$IY$35)</f>
        <v>0</v>
      </c>
      <c r="IY381" s="56"/>
      <c r="IZ381" s="242">
        <f t="shared" si="2566"/>
        <v>0</v>
      </c>
      <c r="JA381" s="242">
        <f t="shared" si="2567"/>
        <v>2820</v>
      </c>
      <c r="JB381" s="56"/>
      <c r="JE381" s="55">
        <f t="shared" si="2568"/>
        <v>46347</v>
      </c>
      <c r="JF381" s="56"/>
      <c r="JG381" s="242">
        <f>SUMPRODUCT(PRODUCE!$B376:$DY376,PRODUCE!$EB$36:$IY$36)</f>
        <v>0</v>
      </c>
      <c r="JH381" s="56"/>
      <c r="JI381" s="242">
        <f t="shared" si="2569"/>
        <v>0</v>
      </c>
      <c r="JJ381" s="242">
        <f t="shared" si="2570"/>
        <v>0</v>
      </c>
      <c r="JK381" s="56"/>
      <c r="JN381" s="55">
        <f t="shared" si="2571"/>
        <v>46347</v>
      </c>
      <c r="JO381" s="56"/>
      <c r="JP381" s="242">
        <f>SUMPRODUCT(PRODUCE!$B376:$DY376,PRODUCE!$EB$37:$IY$37)</f>
        <v>0</v>
      </c>
      <c r="JQ381" s="56"/>
      <c r="JR381" s="242">
        <f t="shared" si="2572"/>
        <v>0</v>
      </c>
      <c r="JS381" s="242">
        <f t="shared" si="2573"/>
        <v>0</v>
      </c>
      <c r="JT381" s="56"/>
      <c r="JW381" s="55">
        <f t="shared" si="2574"/>
        <v>46347</v>
      </c>
      <c r="JX381" s="56"/>
      <c r="JY381" s="242">
        <f>SUMPRODUCT(PRODUCE!$B376:$DY376,PRODUCE!$EB$38:$IY$38)</f>
        <v>0</v>
      </c>
      <c r="JZ381" s="56"/>
      <c r="KA381" s="242">
        <f t="shared" si="2575"/>
        <v>0</v>
      </c>
      <c r="KB381" s="242">
        <f t="shared" si="2576"/>
        <v>2540</v>
      </c>
      <c r="KC381" s="56"/>
      <c r="KF381" s="55">
        <f t="shared" si="2577"/>
        <v>46347</v>
      </c>
      <c r="KG381" s="56"/>
      <c r="KH381" s="242">
        <f>SUMPRODUCT(PRODUCE!$B376:$DY376,PRODUCE!$EB$39:$IY$39)</f>
        <v>0</v>
      </c>
      <c r="KI381" s="56"/>
      <c r="KJ381" s="242">
        <f t="shared" si="2578"/>
        <v>0</v>
      </c>
      <c r="KK381" s="242">
        <f t="shared" si="2579"/>
        <v>2359.5</v>
      </c>
      <c r="KL381" s="56"/>
      <c r="KO381" s="55">
        <f t="shared" si="2580"/>
        <v>46347</v>
      </c>
      <c r="KP381" s="56"/>
      <c r="KQ381" s="242">
        <f>SUMPRODUCT(PRODUCE!$B376:$DY376,PRODUCE!$EB$40:$IY$40)</f>
        <v>0</v>
      </c>
      <c r="KR381" s="56"/>
      <c r="KS381" s="242">
        <f t="shared" si="2581"/>
        <v>0</v>
      </c>
      <c r="KT381" s="242">
        <f t="shared" si="2582"/>
        <v>1890</v>
      </c>
      <c r="KU381" s="56"/>
      <c r="KW381" s="23"/>
      <c r="KX381" s="55">
        <f t="shared" si="2583"/>
        <v>46347</v>
      </c>
      <c r="KY381" s="56"/>
      <c r="KZ381" s="242">
        <f>SUMPRODUCT(PRODUCE!$B376:$DY376,PRODUCE!$EB$41:$IY$41)</f>
        <v>0</v>
      </c>
      <c r="LA381" s="56"/>
      <c r="LB381" s="242">
        <f t="shared" si="2584"/>
        <v>0</v>
      </c>
      <c r="LC381" s="242">
        <f t="shared" si="2585"/>
        <v>3690</v>
      </c>
      <c r="LD381" s="56"/>
      <c r="LG381" s="55">
        <f t="shared" si="2586"/>
        <v>46347</v>
      </c>
      <c r="LH381" s="56"/>
      <c r="LI381" s="242">
        <f>SUMPRODUCT(PRODUCE!$B376:$DY376,PRODUCE!$EB$42:$IY$42)</f>
        <v>0</v>
      </c>
      <c r="LJ381" s="56"/>
      <c r="LK381" s="242">
        <f t="shared" si="2587"/>
        <v>0</v>
      </c>
      <c r="LL381" s="242">
        <f t="shared" si="2588"/>
        <v>4000</v>
      </c>
      <c r="LM381" s="56"/>
      <c r="LP381" s="55">
        <f t="shared" si="2589"/>
        <v>46347</v>
      </c>
      <c r="LQ381" s="56"/>
      <c r="LR381" s="242">
        <f>SUMPRODUCT(PRODUCE!$B396:$DY396,PRODUCE!$EB$43:$IY$43)</f>
        <v>0</v>
      </c>
      <c r="LS381" s="56"/>
      <c r="LT381" s="242">
        <f t="shared" si="2590"/>
        <v>0</v>
      </c>
      <c r="LU381" s="242">
        <f t="shared" si="2591"/>
        <v>0</v>
      </c>
      <c r="LV381" s="56"/>
      <c r="LY381" s="55">
        <f t="shared" si="2592"/>
        <v>46347</v>
      </c>
      <c r="LZ381" s="56"/>
      <c r="MA381" s="242">
        <f>SUMPRODUCT(PRODUCE!$B376:$DY376,PRODUCE!$EB$44:$IY$44)</f>
        <v>0</v>
      </c>
      <c r="MB381" s="56"/>
      <c r="MC381" s="242">
        <f t="shared" si="2593"/>
        <v>0</v>
      </c>
      <c r="MD381" s="242">
        <f t="shared" si="2594"/>
        <v>0</v>
      </c>
      <c r="ME381" s="56"/>
      <c r="MH381" s="55">
        <f t="shared" si="2595"/>
        <v>46347</v>
      </c>
      <c r="MI381" s="56"/>
      <c r="MJ381" s="242">
        <f>SUMPRODUCT(PRODUCE!$B376:$DY376,PRODUCE!$EB$45:$IY$45)</f>
        <v>0</v>
      </c>
      <c r="MK381" s="56"/>
      <c r="ML381" s="242">
        <f t="shared" si="2596"/>
        <v>0</v>
      </c>
      <c r="MM381" s="242">
        <f t="shared" si="2597"/>
        <v>0</v>
      </c>
      <c r="MN381" s="56"/>
      <c r="MQ381" s="55">
        <f t="shared" si="2598"/>
        <v>46347</v>
      </c>
      <c r="MR381" s="56"/>
      <c r="MS381" s="242">
        <f>SUMPRODUCT(PRODUCE!$B376:$DY376,PRODUCE!$EB$46:$IY$46)</f>
        <v>0</v>
      </c>
      <c r="MT381" s="56"/>
      <c r="MU381" s="242">
        <f t="shared" si="2599"/>
        <v>0</v>
      </c>
      <c r="MV381" s="242">
        <f t="shared" si="2600"/>
        <v>1625</v>
      </c>
      <c r="MW381" s="56"/>
      <c r="MZ381" s="55">
        <f t="shared" si="2601"/>
        <v>46347</v>
      </c>
      <c r="NA381" s="56"/>
      <c r="NB381" s="242">
        <f>SUMPRODUCT(PRODUCE!$B376:$DY376,PRODUCE!$EB$47:$IY$47)</f>
        <v>0</v>
      </c>
      <c r="NC381" s="56"/>
      <c r="ND381" s="242">
        <f t="shared" si="2602"/>
        <v>0</v>
      </c>
      <c r="NE381" s="242">
        <f t="shared" si="2603"/>
        <v>0</v>
      </c>
      <c r="NF381" s="56"/>
      <c r="NI381" s="55">
        <f t="shared" si="2604"/>
        <v>46347</v>
      </c>
      <c r="NJ381" s="56"/>
      <c r="NK381" s="242">
        <f>SUMPRODUCT(PRODUCE!$B376:$DY376,PRODUCE!$EB$48:$IY$48)</f>
        <v>0</v>
      </c>
      <c r="NL381" s="56"/>
      <c r="NM381" s="242">
        <f t="shared" si="2605"/>
        <v>0</v>
      </c>
      <c r="NN381" s="242">
        <f t="shared" si="2606"/>
        <v>1127</v>
      </c>
      <c r="NO381" s="56"/>
      <c r="NR381" s="55">
        <f t="shared" si="2607"/>
        <v>46347</v>
      </c>
      <c r="NS381" s="56"/>
      <c r="NT381" s="242">
        <f>SUMPRODUCT(PRODUCE!$B376:$DY376,PRODUCE!$EB$49:$IY$49)</f>
        <v>0</v>
      </c>
      <c r="NU381" s="56"/>
      <c r="NV381" s="242">
        <f t="shared" si="2608"/>
        <v>0</v>
      </c>
      <c r="NW381" s="242">
        <f t="shared" si="2609"/>
        <v>3111.9999999999995</v>
      </c>
      <c r="NX381" s="56"/>
      <c r="OA381" s="55">
        <f t="shared" si="2610"/>
        <v>46347</v>
      </c>
      <c r="OB381" s="56"/>
      <c r="OC381" s="242">
        <f>SUMPRODUCT(PRODUCE!$B376:$DY376,PRODUCE!$EB$50:$IY$50)</f>
        <v>0</v>
      </c>
      <c r="OD381" s="56"/>
      <c r="OE381" s="242">
        <f t="shared" si="2611"/>
        <v>0</v>
      </c>
      <c r="OF381" s="242">
        <f t="shared" si="2612"/>
        <v>1680.5</v>
      </c>
      <c r="OG381" s="56"/>
      <c r="OJ381" s="55">
        <f t="shared" si="2613"/>
        <v>46347</v>
      </c>
      <c r="OK381" s="56"/>
      <c r="OL381" s="242">
        <f>SUMPRODUCT(PRODUCE!$B376:$DY376,PRODUCE!$EB$51:$IY$51)</f>
        <v>0</v>
      </c>
      <c r="OM381" s="56"/>
      <c r="ON381" s="242">
        <f t="shared" si="2614"/>
        <v>0</v>
      </c>
      <c r="OO381" s="242">
        <f t="shared" si="2615"/>
        <v>0</v>
      </c>
      <c r="OP381" s="56"/>
      <c r="OS381" s="55">
        <f t="shared" si="2616"/>
        <v>46347</v>
      </c>
      <c r="OT381" s="56"/>
      <c r="OU381" s="242">
        <f>SUMPRODUCT(PRODUCE!$B376:$DY376,PRODUCE!$EB$52:$IY$52)</f>
        <v>0</v>
      </c>
      <c r="OV381" s="56"/>
      <c r="OW381" s="242">
        <f t="shared" si="2617"/>
        <v>0</v>
      </c>
      <c r="OX381" s="242">
        <f t="shared" si="2618"/>
        <v>1482</v>
      </c>
      <c r="OY381" s="56"/>
      <c r="PB381" s="55">
        <f t="shared" si="2619"/>
        <v>46347</v>
      </c>
      <c r="PC381" s="56"/>
      <c r="PD381" s="242">
        <f>SUMPRODUCT(PRODUCE!$B376:$DY376,PRODUCE!$EB$53:$IY$53)</f>
        <v>0</v>
      </c>
      <c r="PE381" s="56"/>
      <c r="PF381" s="242">
        <f t="shared" si="2620"/>
        <v>0</v>
      </c>
      <c r="PG381" s="242">
        <f t="shared" si="2621"/>
        <v>0</v>
      </c>
      <c r="PH381" s="56"/>
      <c r="PK381" s="55">
        <f t="shared" si="2622"/>
        <v>46347</v>
      </c>
      <c r="PL381" s="56"/>
      <c r="PM381" s="242">
        <f>SUMPRODUCT(PRODUCE!$B376:$DY376,PRODUCE!$EB$54:$IY$54)</f>
        <v>0</v>
      </c>
      <c r="PN381" s="56"/>
      <c r="PO381" s="242">
        <f t="shared" si="2623"/>
        <v>0</v>
      </c>
      <c r="PP381" s="242">
        <f t="shared" si="2624"/>
        <v>100</v>
      </c>
      <c r="PQ381" s="56"/>
      <c r="PT381" s="55">
        <f t="shared" si="2625"/>
        <v>46347</v>
      </c>
      <c r="PU381" s="56"/>
      <c r="PV381" s="242">
        <f>SUMPRODUCT(PRODUCE!$B376:$DY376,PRODUCE!$EB$55:$IY$55)</f>
        <v>0</v>
      </c>
      <c r="PW381" s="56"/>
      <c r="PX381" s="242">
        <f t="shared" si="2626"/>
        <v>0</v>
      </c>
      <c r="PY381" s="242">
        <f t="shared" si="2627"/>
        <v>13.960000000000036</v>
      </c>
      <c r="PZ381" s="56"/>
      <c r="QC381" s="55">
        <f t="shared" si="2628"/>
        <v>46347</v>
      </c>
      <c r="QD381" s="56"/>
      <c r="QE381" s="242">
        <f>SUMPRODUCT(PRODUCE!$B376:$DY376,PRODUCE!$EB$56:$IY$56)</f>
        <v>0</v>
      </c>
      <c r="QF381" s="56"/>
      <c r="QG381" s="242">
        <f t="shared" si="2629"/>
        <v>0</v>
      </c>
      <c r="QH381" s="242">
        <f t="shared" si="2630"/>
        <v>548</v>
      </c>
      <c r="QI381" s="56"/>
      <c r="QL381" s="55">
        <f t="shared" si="2631"/>
        <v>46347</v>
      </c>
      <c r="QM381" s="56"/>
      <c r="QN381" s="242">
        <f>SUMPRODUCT(PRODUCE!$B376:$DY376,PRODUCE!$EB$57:$IY$57)</f>
        <v>0</v>
      </c>
      <c r="QO381" s="56"/>
      <c r="QP381" s="242">
        <f t="shared" si="2632"/>
        <v>0</v>
      </c>
      <c r="QQ381" s="242">
        <f t="shared" si="2633"/>
        <v>0</v>
      </c>
      <c r="QR381" s="56"/>
      <c r="QU381" s="55">
        <f t="shared" si="2634"/>
        <v>46347</v>
      </c>
      <c r="QV381" s="56"/>
      <c r="QW381" s="242">
        <f>SUMPRODUCT(PRODUCE!$B376:$DY376,PRODUCE!$EB$57:$IY$57)</f>
        <v>0</v>
      </c>
      <c r="QX381" s="56"/>
      <c r="QY381" s="242">
        <f t="shared" si="2635"/>
        <v>0</v>
      </c>
      <c r="QZ381" s="242">
        <f t="shared" si="2636"/>
        <v>0</v>
      </c>
      <c r="RA381" s="56"/>
      <c r="RD381" s="55">
        <f t="shared" si="2637"/>
        <v>46347</v>
      </c>
      <c r="RE381" s="56"/>
      <c r="RF381" s="242">
        <f>SUMPRODUCT(PRODUCE!$B376:$DY376,PRODUCE!$EB$58:$IY$58)</f>
        <v>0</v>
      </c>
      <c r="RG381" s="56"/>
      <c r="RH381" s="242">
        <f t="shared" si="2638"/>
        <v>0</v>
      </c>
      <c r="RI381" s="242">
        <f t="shared" si="2639"/>
        <v>147.04000000000002</v>
      </c>
      <c r="RJ381" s="56"/>
      <c r="RM381" s="55">
        <f t="shared" si="2640"/>
        <v>46347</v>
      </c>
      <c r="RN381" s="56"/>
      <c r="RO381" s="242">
        <f>SUMPRODUCT(PRODUCE!$B376:$DY376,PRODUCE!$EB$57:$IY$57)</f>
        <v>0</v>
      </c>
      <c r="RP381" s="56"/>
      <c r="RQ381" s="242">
        <f t="shared" si="2641"/>
        <v>0</v>
      </c>
      <c r="RR381" s="242">
        <f t="shared" si="2642"/>
        <v>46.8</v>
      </c>
      <c r="RS381" s="56"/>
      <c r="RV381" s="55">
        <f t="shared" si="2643"/>
        <v>46347</v>
      </c>
      <c r="RW381" s="56"/>
      <c r="RX381" s="242">
        <f>SUMPRODUCT(PRODUCE!$B376:$DY376,PRODUCE!$EB$57:$IY$57)</f>
        <v>0</v>
      </c>
      <c r="RY381" s="56"/>
      <c r="RZ381" s="242">
        <f t="shared" si="2644"/>
        <v>0</v>
      </c>
      <c r="SA381" s="242">
        <f t="shared" si="2645"/>
        <v>0</v>
      </c>
      <c r="SB381" s="56"/>
      <c r="SE381" s="55">
        <f t="shared" si="2646"/>
        <v>46347</v>
      </c>
      <c r="SF381" s="56"/>
      <c r="SG381" s="242">
        <f>SUMPRODUCT(PRODUCE!$B376:$DY376,PRODUCE!$EB$61:$IY$61)</f>
        <v>0</v>
      </c>
      <c r="SH381" s="56"/>
      <c r="SI381" s="242">
        <f t="shared" si="2647"/>
        <v>0</v>
      </c>
      <c r="SJ381" s="242">
        <f t="shared" si="2648"/>
        <v>24.200000000000003</v>
      </c>
      <c r="SK381" s="56"/>
      <c r="SN381" s="55">
        <f t="shared" si="2649"/>
        <v>46347</v>
      </c>
      <c r="SO381" s="56"/>
      <c r="SP381" s="242">
        <f>SUMPRODUCT(PRODUCE!$B376:$DY376,PRODUCE!$EB$57:$IY$57)</f>
        <v>0</v>
      </c>
      <c r="SQ381" s="56"/>
      <c r="SR381" s="242">
        <f t="shared" si="2650"/>
        <v>0</v>
      </c>
      <c r="SS381" s="242">
        <f t="shared" si="2651"/>
        <v>32</v>
      </c>
      <c r="ST381" s="56"/>
      <c r="SW381" s="55">
        <f t="shared" si="2652"/>
        <v>46347</v>
      </c>
      <c r="SX381" s="56"/>
      <c r="SY381" s="242">
        <f>SUMPRODUCT(PRODUCE!$B376:$DY376,PRODUCE!$EB$57:$IY$57)</f>
        <v>0</v>
      </c>
      <c r="SZ381" s="56"/>
      <c r="TA381" s="242">
        <f t="shared" si="2653"/>
        <v>0</v>
      </c>
      <c r="TB381" s="242">
        <f t="shared" si="2654"/>
        <v>0</v>
      </c>
      <c r="TC381" s="56"/>
      <c r="TF381" s="55">
        <f t="shared" si="2655"/>
        <v>46347</v>
      </c>
      <c r="TG381" s="56"/>
      <c r="TH381" s="242">
        <f>SUMPRODUCT(PRODUCE!$B376:$DY376,PRODUCE!$EB$57:$IY$57)</f>
        <v>0</v>
      </c>
      <c r="TI381" s="56"/>
      <c r="TJ381" s="242">
        <f t="shared" si="2656"/>
        <v>0</v>
      </c>
      <c r="TK381" s="242">
        <f t="shared" si="2657"/>
        <v>0</v>
      </c>
      <c r="TL381" s="56"/>
      <c r="TO381" s="55">
        <f t="shared" si="2658"/>
        <v>46347</v>
      </c>
      <c r="TP381" s="56"/>
      <c r="TQ381" s="242">
        <f>SUMPRODUCT(PRODUCE!$B376:$DY376,PRODUCE!$EB$57:$IY$57)</f>
        <v>0</v>
      </c>
      <c r="TR381" s="56"/>
      <c r="TS381" s="242">
        <f t="shared" si="2659"/>
        <v>0</v>
      </c>
      <c r="TT381" s="242">
        <f t="shared" si="2660"/>
        <v>0</v>
      </c>
      <c r="TU381" s="56"/>
      <c r="TX381" s="55">
        <f t="shared" si="2661"/>
        <v>46347</v>
      </c>
      <c r="TY381" s="56"/>
      <c r="TZ381" s="242">
        <f>SUMPRODUCT(PRODUCE!$B376:$DY376,PRODUCE!$EB$57:$IY$57)</f>
        <v>0</v>
      </c>
      <c r="UA381" s="56"/>
      <c r="UB381" s="242">
        <f t="shared" si="2662"/>
        <v>0</v>
      </c>
      <c r="UC381" s="242">
        <f t="shared" si="2663"/>
        <v>46.799999999999983</v>
      </c>
      <c r="UD381" s="56"/>
      <c r="UG381" s="55">
        <f t="shared" si="2664"/>
        <v>46347</v>
      </c>
      <c r="UH381" s="56"/>
      <c r="UI381" s="242">
        <f>SUMPRODUCT(PRODUCE!$B376:$DY376,PRODUCE!$EB$57:$IY$57)</f>
        <v>0</v>
      </c>
      <c r="UJ381" s="56"/>
      <c r="UK381" s="242">
        <f t="shared" si="2665"/>
        <v>0</v>
      </c>
      <c r="UL381" s="242">
        <f t="shared" si="2666"/>
        <v>204</v>
      </c>
      <c r="UM381" s="56"/>
      <c r="UP381" s="55">
        <f t="shared" si="2667"/>
        <v>46347</v>
      </c>
      <c r="UQ381" s="56"/>
      <c r="UR381" s="242">
        <f>SUMPRODUCT(PRODUCE!$B376:$DY376,PRODUCE!$EB$57:$IY$57)</f>
        <v>0</v>
      </c>
      <c r="US381" s="56"/>
      <c r="UT381" s="242">
        <f t="shared" si="2668"/>
        <v>0</v>
      </c>
      <c r="UU381" s="242">
        <f t="shared" si="2669"/>
        <v>202.5</v>
      </c>
      <c r="UV381" s="56"/>
      <c r="UY381" s="55">
        <f t="shared" si="2670"/>
        <v>46347</v>
      </c>
      <c r="UZ381" s="56"/>
      <c r="VA381" s="242">
        <f>SUMPRODUCT(PRODUCE!$B376:$DY376,PRODUCE!$EB$57:$IY$57)</f>
        <v>0</v>
      </c>
      <c r="VB381" s="56"/>
      <c r="VC381" s="242">
        <f t="shared" si="2671"/>
        <v>0</v>
      </c>
      <c r="VD381" s="242">
        <f t="shared" si="2672"/>
        <v>41.600000000000023</v>
      </c>
      <c r="VE381" s="56"/>
      <c r="VH381" s="55">
        <f t="shared" si="2673"/>
        <v>46347</v>
      </c>
      <c r="VI381" s="56"/>
      <c r="VJ381" s="242">
        <f>SUMPRODUCT(PRODUCE!$B376:$DY376,PRODUCE!$EB$57:$IY$57)</f>
        <v>0</v>
      </c>
      <c r="VK381" s="56"/>
      <c r="VL381" s="242">
        <f t="shared" si="2674"/>
        <v>0</v>
      </c>
      <c r="VM381" s="242">
        <f t="shared" si="2675"/>
        <v>210</v>
      </c>
      <c r="VN381" s="56"/>
      <c r="VQ381" s="55">
        <f t="shared" si="2676"/>
        <v>46347</v>
      </c>
      <c r="VR381" s="56"/>
      <c r="VS381" s="242">
        <f>SUMPRODUCT(PRODUCE!$B376:$DY376,PRODUCE!$EB$57:$IY$57)</f>
        <v>0</v>
      </c>
      <c r="VT381" s="56"/>
      <c r="VU381" s="242">
        <f t="shared" si="2677"/>
        <v>0</v>
      </c>
      <c r="VV381" s="242">
        <f t="shared" si="2678"/>
        <v>0</v>
      </c>
      <c r="VW381" s="56"/>
      <c r="VZ381" s="55">
        <f t="shared" si="2679"/>
        <v>46347</v>
      </c>
      <c r="WA381" s="56"/>
      <c r="WB381" s="242">
        <f>SUMPRODUCT(PRODUCE!$B376:$DY376,PRODUCE!$EB$57:$IY$57)</f>
        <v>0</v>
      </c>
      <c r="WC381" s="56"/>
      <c r="WD381" s="242">
        <f t="shared" si="2680"/>
        <v>0</v>
      </c>
      <c r="WE381" s="242">
        <f t="shared" si="2681"/>
        <v>0</v>
      </c>
      <c r="WF381" s="56"/>
      <c r="WI381" s="55">
        <f t="shared" si="2682"/>
        <v>46347</v>
      </c>
      <c r="WJ381" s="56"/>
      <c r="WK381" s="242">
        <f>SUMPRODUCT(PRODUCE!$B376:$DY376,PRODUCE!$EB$57:$IY$57)</f>
        <v>0</v>
      </c>
      <c r="WL381" s="56"/>
      <c r="WM381" s="242">
        <f t="shared" si="2683"/>
        <v>0</v>
      </c>
      <c r="WN381" s="242">
        <f t="shared" si="2684"/>
        <v>1057</v>
      </c>
      <c r="WO381" s="56"/>
      <c r="WR381" s="55">
        <f t="shared" si="2685"/>
        <v>46347</v>
      </c>
      <c r="WS381" s="56"/>
      <c r="WT381" s="242">
        <f>SUMPRODUCT(PRODUCE!$B376:$DY376,PRODUCE!$EB$57:$IY$57)</f>
        <v>0</v>
      </c>
      <c r="WU381" s="56"/>
      <c r="WV381" s="242">
        <f t="shared" si="2686"/>
        <v>0</v>
      </c>
      <c r="WW381" s="242">
        <f t="shared" si="2687"/>
        <v>0</v>
      </c>
      <c r="WX381" s="56"/>
      <c r="XA381" s="55">
        <f t="shared" si="2688"/>
        <v>46347</v>
      </c>
      <c r="XB381" s="56"/>
      <c r="XC381" s="242">
        <f>SUMPRODUCT(PRODUCE!$B376:$DY376,PRODUCE!$EB$57:$IY$57)</f>
        <v>0</v>
      </c>
      <c r="XD381" s="56"/>
      <c r="XE381" s="242">
        <f t="shared" si="2689"/>
        <v>0</v>
      </c>
      <c r="XF381" s="242">
        <f t="shared" si="2690"/>
        <v>7507</v>
      </c>
      <c r="XG381" s="56"/>
      <c r="XJ381" s="55">
        <f t="shared" si="2691"/>
        <v>46347</v>
      </c>
      <c r="XK381" s="56"/>
      <c r="XL381" s="242">
        <f>SUMPRODUCT(PRODUCE!$B376:$DY376,PRODUCE!$EB$57:$IY$57)</f>
        <v>0</v>
      </c>
      <c r="XM381" s="56"/>
      <c r="XN381" s="242">
        <f t="shared" si="2692"/>
        <v>0</v>
      </c>
      <c r="XO381" s="242">
        <f t="shared" si="2693"/>
        <v>4252</v>
      </c>
      <c r="XP381" s="56"/>
      <c r="XS381" s="55">
        <f t="shared" si="2694"/>
        <v>46347</v>
      </c>
      <c r="XT381" s="56"/>
      <c r="XU381" s="242">
        <f>SUMPRODUCT(PRODUCE!$B376:$DY376,PRODUCE!$EB$57:$IY$57)</f>
        <v>0</v>
      </c>
      <c r="XV381" s="56"/>
      <c r="XW381" s="242">
        <f t="shared" si="2695"/>
        <v>0</v>
      </c>
      <c r="XX381" s="242">
        <f t="shared" si="2696"/>
        <v>2179</v>
      </c>
      <c r="XY381" s="56"/>
      <c r="YB381" s="55">
        <f t="shared" si="2697"/>
        <v>46347</v>
      </c>
      <c r="YC381" s="56"/>
      <c r="YD381" s="242">
        <f>SUMPRODUCT(PRODUCE!$B376:$DY376,PRODUCE!$EB$57:$IY$57)</f>
        <v>0</v>
      </c>
      <c r="YE381" s="56"/>
      <c r="YF381" s="242">
        <f t="shared" si="2698"/>
        <v>0</v>
      </c>
      <c r="YG381" s="242">
        <f t="shared" si="2699"/>
        <v>4019</v>
      </c>
      <c r="YH381" s="56"/>
      <c r="YK381" s="55">
        <f t="shared" si="2700"/>
        <v>46347</v>
      </c>
      <c r="YL381" s="56"/>
      <c r="YM381" s="242">
        <f>SUMPRODUCT(PRODUCE!$B376:$DY376,PRODUCE!$EB$57:$IY$57)</f>
        <v>0</v>
      </c>
      <c r="YN381" s="56"/>
      <c r="YO381" s="242">
        <f t="shared" si="2701"/>
        <v>0</v>
      </c>
      <c r="YP381" s="242">
        <f t="shared" si="2702"/>
        <v>-218</v>
      </c>
      <c r="YQ381" s="56"/>
      <c r="YT381" s="55">
        <f t="shared" si="2703"/>
        <v>46347</v>
      </c>
      <c r="YU381" s="56"/>
      <c r="YV381" s="242">
        <f>SUMPRODUCT(PRODUCE!$B376:$DY376,PRODUCE!$EB$57:$IY$57)</f>
        <v>0</v>
      </c>
      <c r="YW381" s="56"/>
      <c r="YX381" s="242">
        <f t="shared" si="2704"/>
        <v>0</v>
      </c>
      <c r="YY381" s="242">
        <f t="shared" si="2705"/>
        <v>0</v>
      </c>
      <c r="YZ381" s="56"/>
      <c r="ZC381" s="55">
        <f t="shared" si="2706"/>
        <v>46347</v>
      </c>
      <c r="ZD381" s="56"/>
      <c r="ZE381" s="242">
        <f>SUMPRODUCT(PRODUCE!$B376:$DY376,PRODUCE!$EB$57:$IY$57)</f>
        <v>0</v>
      </c>
      <c r="ZF381" s="56"/>
      <c r="ZG381" s="242">
        <f t="shared" si="2707"/>
        <v>0</v>
      </c>
      <c r="ZH381" s="242">
        <f t="shared" si="2708"/>
        <v>0</v>
      </c>
      <c r="ZI381" s="56"/>
      <c r="ZL381" s="55">
        <f t="shared" si="2709"/>
        <v>46347</v>
      </c>
      <c r="ZM381" s="56"/>
      <c r="ZN381" s="242">
        <f>SUMPRODUCT(PRODUCE!$B376:$DY376,PRODUCE!$EB$57:$IY$57)</f>
        <v>0</v>
      </c>
      <c r="ZO381" s="56"/>
      <c r="ZP381" s="242">
        <f t="shared" si="2710"/>
        <v>0</v>
      </c>
      <c r="ZQ381" s="242">
        <f t="shared" si="2711"/>
        <v>0</v>
      </c>
      <c r="ZR381" s="56"/>
      <c r="ZU381" s="55">
        <f t="shared" si="2712"/>
        <v>46347</v>
      </c>
      <c r="ZV381" s="56"/>
      <c r="ZW381" s="242">
        <f>SUMPRODUCT(PRODUCE!$B376:$DY376,PRODUCE!$EB$57:$IY$57)</f>
        <v>0</v>
      </c>
      <c r="ZX381" s="56"/>
      <c r="ZY381" s="242">
        <f t="shared" si="2713"/>
        <v>0</v>
      </c>
      <c r="ZZ381" s="242">
        <f t="shared" si="2714"/>
        <v>0</v>
      </c>
      <c r="AAA381" s="56"/>
      <c r="AAD381" s="55">
        <f t="shared" si="2715"/>
        <v>46347</v>
      </c>
      <c r="AAE381" s="56"/>
      <c r="AAF381" s="242">
        <f>SUMPRODUCT(PRODUCE!$B376:$DY376,PRODUCE!$EB$57:$IY$57)</f>
        <v>0</v>
      </c>
      <c r="AAG381" s="56"/>
      <c r="AAH381" s="242">
        <f t="shared" si="2716"/>
        <v>0</v>
      </c>
      <c r="AAI381" s="242">
        <f t="shared" si="2717"/>
        <v>0</v>
      </c>
      <c r="AAJ381" s="56"/>
      <c r="AAM381" s="55">
        <f t="shared" si="2718"/>
        <v>46347</v>
      </c>
      <c r="AAN381" s="56"/>
      <c r="AAO381" s="242">
        <f>SUMPRODUCT(PRODUCE!$B376:$DY376,PRODUCE!$EB$57:$IY$57)</f>
        <v>0</v>
      </c>
      <c r="AAP381" s="56"/>
      <c r="AAQ381" s="242">
        <f t="shared" si="2719"/>
        <v>0</v>
      </c>
      <c r="AAR381" s="242">
        <f t="shared" si="2720"/>
        <v>0</v>
      </c>
      <c r="AAS381" s="56"/>
      <c r="AAV381" s="55">
        <f t="shared" si="2721"/>
        <v>46347</v>
      </c>
      <c r="AAW381" s="56"/>
      <c r="AAX381" s="242">
        <f>SUMPRODUCT(PRODUCE!$B376:$DY376,PRODUCE!$EB$57:$IY$57)</f>
        <v>0</v>
      </c>
      <c r="AAY381" s="56"/>
      <c r="AAZ381" s="242">
        <f t="shared" si="2722"/>
        <v>0</v>
      </c>
      <c r="ABA381" s="242">
        <f t="shared" si="2723"/>
        <v>0</v>
      </c>
      <c r="ABB381" s="56"/>
      <c r="ABE381" s="55">
        <f t="shared" si="2724"/>
        <v>46347</v>
      </c>
      <c r="ABF381" s="56"/>
      <c r="ABG381" s="242">
        <f>SUMPRODUCT(PRODUCE!$B376:$DY376,PRODUCE!$EB$57:$IY$57)</f>
        <v>0</v>
      </c>
      <c r="ABH381" s="56"/>
      <c r="ABI381" s="242">
        <f t="shared" si="2725"/>
        <v>0</v>
      </c>
      <c r="ABJ381" s="242">
        <f t="shared" si="2726"/>
        <v>0</v>
      </c>
      <c r="ABK381" s="56"/>
    </row>
    <row r="382" spans="2:739" s="54" customFormat="1" ht="15" customHeight="1" outlineLevel="1">
      <c r="B382" s="478"/>
      <c r="C382" s="55">
        <v>46348</v>
      </c>
      <c r="D382" s="56"/>
      <c r="E382" s="57">
        <f>SUMPRODUCT(PRODUCE!$B377:$DY377,PRODUCE!$EB$7:$IY$7)</f>
        <v>0</v>
      </c>
      <c r="F382" s="56"/>
      <c r="G382" s="57">
        <f t="shared" si="2482"/>
        <v>0</v>
      </c>
      <c r="H382" s="57">
        <f t="shared" si="2483"/>
        <v>236936.6</v>
      </c>
      <c r="I382" s="289"/>
      <c r="L382" s="55">
        <f t="shared" si="2484"/>
        <v>46348</v>
      </c>
      <c r="M382" s="56"/>
      <c r="N382" s="59">
        <f>SUMPRODUCT(PRODUCE!$B377:$DY377,PRODUCE!$EB$8:$IY$8)</f>
        <v>0</v>
      </c>
      <c r="O382" s="56"/>
      <c r="P382" s="59">
        <f t="shared" si="2485"/>
        <v>0</v>
      </c>
      <c r="Q382" s="59">
        <f t="shared" si="2486"/>
        <v>53017.600000000071</v>
      </c>
      <c r="R382" s="56"/>
      <c r="U382" s="55">
        <f t="shared" si="2487"/>
        <v>46348</v>
      </c>
      <c r="V382" s="56"/>
      <c r="W382" s="60">
        <f>SUMPRODUCT(PRODUCE!$B377:$DY377,PRODUCE!$EB$9:$IY$9)</f>
        <v>0</v>
      </c>
      <c r="X382" s="56"/>
      <c r="Y382" s="60">
        <f t="shared" si="2488"/>
        <v>0</v>
      </c>
      <c r="Z382" s="60">
        <f t="shared" si="2489"/>
        <v>42674.199999999968</v>
      </c>
      <c r="AA382" s="56"/>
      <c r="AD382" s="55">
        <f t="shared" si="2490"/>
        <v>46348</v>
      </c>
      <c r="AE382" s="56"/>
      <c r="AF382" s="61">
        <f>SUMPRODUCT(PRODUCE!$B377:$DY377,PRODUCE!$EB$10:$IY$10)</f>
        <v>0</v>
      </c>
      <c r="AG382" s="56"/>
      <c r="AH382" s="61">
        <f t="shared" si="2491"/>
        <v>0</v>
      </c>
      <c r="AI382" s="61">
        <f t="shared" si="2492"/>
        <v>4522.2000000000189</v>
      </c>
      <c r="AJ382" s="56"/>
      <c r="AM382" s="55">
        <f t="shared" si="2493"/>
        <v>46348</v>
      </c>
      <c r="AN382" s="422"/>
      <c r="AO382" s="444">
        <f>SUMPRODUCT(PRODUCE!$B377:$DY377,PRODUCE!$EB$11:$IY$11)</f>
        <v>0</v>
      </c>
      <c r="AP382" s="422"/>
      <c r="AQ382" s="444">
        <f t="shared" si="2494"/>
        <v>0</v>
      </c>
      <c r="AR382" s="444">
        <f t="shared" si="2495"/>
        <v>0</v>
      </c>
      <c r="AS382" s="56"/>
      <c r="AV382" s="55">
        <f t="shared" si="2496"/>
        <v>46348</v>
      </c>
      <c r="AW382" s="56"/>
      <c r="AX382" s="62">
        <f>SUMPRODUCT(PRODUCE!$B377:$DY377,PRODUCE!$EB$12:$IY$12)</f>
        <v>0</v>
      </c>
      <c r="AY382" s="56"/>
      <c r="AZ382" s="62">
        <f t="shared" si="2497"/>
        <v>0</v>
      </c>
      <c r="BA382" s="62">
        <f t="shared" si="2498"/>
        <v>124.99999999999523</v>
      </c>
      <c r="BB382" s="56"/>
      <c r="BE382" s="55">
        <f t="shared" si="2499"/>
        <v>46348</v>
      </c>
      <c r="BF382" s="56"/>
      <c r="BG382" s="63">
        <f>SUMPRODUCT(PRODUCE!$B377:$DY377,PRODUCE!$EB$13:$IY$13)</f>
        <v>0</v>
      </c>
      <c r="BH382" s="56"/>
      <c r="BI382" s="63">
        <f t="shared" si="2500"/>
        <v>0</v>
      </c>
      <c r="BJ382" s="63">
        <f t="shared" si="2501"/>
        <v>26151.899999999998</v>
      </c>
      <c r="BK382" s="56"/>
      <c r="BN382" s="55">
        <f t="shared" si="2502"/>
        <v>46348</v>
      </c>
      <c r="BO382" s="56"/>
      <c r="BP382" s="64">
        <f>SUMPRODUCT(PRODUCE!$B377:$DY377,PRODUCE!$EB$14:$IY$14)</f>
        <v>0</v>
      </c>
      <c r="BQ382" s="56"/>
      <c r="BR382" s="64">
        <f t="shared" si="2503"/>
        <v>0</v>
      </c>
      <c r="BS382" s="64">
        <f t="shared" si="2504"/>
        <v>0</v>
      </c>
      <c r="BT382" s="56"/>
      <c r="BW382" s="55">
        <f t="shared" si="2505"/>
        <v>46348</v>
      </c>
      <c r="BX382" s="56"/>
      <c r="BY382" s="65">
        <f>SUMPRODUCT(PRODUCE!$B377:$DY377,PRODUCE!$EB$15:$IY$15)</f>
        <v>0</v>
      </c>
      <c r="BZ382" s="56"/>
      <c r="CA382" s="65">
        <f t="shared" si="2506"/>
        <v>0</v>
      </c>
      <c r="CB382" s="65">
        <f t="shared" si="2507"/>
        <v>2097.3399999999992</v>
      </c>
      <c r="CC382" s="56"/>
      <c r="CF382" s="55">
        <f t="shared" si="2508"/>
        <v>46348</v>
      </c>
      <c r="CG382" s="56"/>
      <c r="CH382" s="66">
        <f>SUMPRODUCT(PRODUCE!$B377:$DY377,PRODUCE!$EB$16:$IY$16)</f>
        <v>0</v>
      </c>
      <c r="CI382" s="56"/>
      <c r="CJ382" s="66">
        <f t="shared" si="2509"/>
        <v>0</v>
      </c>
      <c r="CK382" s="66">
        <f t="shared" si="2510"/>
        <v>-10277.079999999998</v>
      </c>
      <c r="CL382" s="56"/>
      <c r="CO382" s="55">
        <f t="shared" si="2511"/>
        <v>46348</v>
      </c>
      <c r="CP382" s="422"/>
      <c r="CQ382" s="470">
        <f>SUMPRODUCT(PRODUCE!$B377:$DY377,PRODUCE!$EB$17:$IY$17)</f>
        <v>0</v>
      </c>
      <c r="CR382" s="422"/>
      <c r="CS382" s="470">
        <f t="shared" si="2512"/>
        <v>0</v>
      </c>
      <c r="CT382" s="470">
        <f t="shared" si="2513"/>
        <v>0</v>
      </c>
      <c r="CU382" s="56"/>
      <c r="CX382" s="55">
        <f t="shared" si="2514"/>
        <v>46348</v>
      </c>
      <c r="CY382" s="56"/>
      <c r="CZ382" s="133">
        <f>SUMPRODUCT(PRODUCE!$B377:$DY377,PRODUCE!$EB$18:$IY$18)</f>
        <v>0</v>
      </c>
      <c r="DA382" s="56"/>
      <c r="DB382" s="133">
        <f t="shared" si="2515"/>
        <v>0</v>
      </c>
      <c r="DC382" s="133">
        <f t="shared" si="2516"/>
        <v>27438.200000000012</v>
      </c>
      <c r="DD382" s="56"/>
      <c r="DG382" s="55">
        <f t="shared" si="2517"/>
        <v>46348</v>
      </c>
      <c r="DH382" s="56"/>
      <c r="DI382" s="147">
        <f>SUMPRODUCT(PRODUCE!$B377:$DY377,PRODUCE!$EB$19:$IY$19)</f>
        <v>0</v>
      </c>
      <c r="DJ382" s="56"/>
      <c r="DK382" s="147">
        <f t="shared" si="2518"/>
        <v>0</v>
      </c>
      <c r="DL382" s="147">
        <f t="shared" si="2519"/>
        <v>18782.299999999981</v>
      </c>
      <c r="DM382" s="56"/>
      <c r="DP382" s="55">
        <f t="shared" si="2520"/>
        <v>46348</v>
      </c>
      <c r="DQ382" s="56"/>
      <c r="DR382" s="57">
        <f>SUMPRODUCT(PRODUCE!$B377:$DY377,PRODUCE!$EB$20:$IY$20)</f>
        <v>0</v>
      </c>
      <c r="DS382" s="56"/>
      <c r="DT382" s="57">
        <f t="shared" si="2521"/>
        <v>0</v>
      </c>
      <c r="DU382" s="57">
        <f t="shared" si="2522"/>
        <v>5800</v>
      </c>
      <c r="DV382" s="56"/>
      <c r="DY382" s="55">
        <f t="shared" si="2523"/>
        <v>46348</v>
      </c>
      <c r="DZ382" s="56"/>
      <c r="EA382" s="157">
        <f>SUMPRODUCT(PRODUCE!$B377:$DY377,PRODUCE!$EB$21:$IY$21)</f>
        <v>0</v>
      </c>
      <c r="EB382" s="56"/>
      <c r="EC382" s="157">
        <f t="shared" si="2524"/>
        <v>0</v>
      </c>
      <c r="ED382" s="157">
        <f t="shared" si="2525"/>
        <v>0</v>
      </c>
      <c r="EE382" s="56"/>
      <c r="EH382" s="55">
        <f t="shared" si="2526"/>
        <v>46348</v>
      </c>
      <c r="EI382" s="56"/>
      <c r="EJ382" s="162">
        <f>SUMPRODUCT(PRODUCE!$B377:$DY377,PRODUCE!$EB$22:$IY$22)</f>
        <v>0</v>
      </c>
      <c r="EK382" s="56"/>
      <c r="EL382" s="162">
        <f t="shared" si="2527"/>
        <v>0</v>
      </c>
      <c r="EM382" s="162">
        <f t="shared" si="2528"/>
        <v>0</v>
      </c>
      <c r="EN382" s="56"/>
      <c r="EQ382" s="55">
        <f t="shared" si="2529"/>
        <v>46348</v>
      </c>
      <c r="ER382" s="56"/>
      <c r="ES382" s="135">
        <f>SUMPRODUCT(PRODUCE!$B377:$DY377,PRODUCE!$EB$23:$IY$23)</f>
        <v>0</v>
      </c>
      <c r="ET382" s="56"/>
      <c r="EU382" s="135">
        <f t="shared" si="2530"/>
        <v>0</v>
      </c>
      <c r="EV382" s="135">
        <f t="shared" si="2531"/>
        <v>0</v>
      </c>
      <c r="EW382" s="56"/>
      <c r="EZ382" s="55">
        <f t="shared" si="2532"/>
        <v>46348</v>
      </c>
      <c r="FA382" s="56"/>
      <c r="FB382" s="175">
        <f>SUMPRODUCT(PRODUCE!$B377:$DY377,PRODUCE!$EB$24:$IY$24)</f>
        <v>0</v>
      </c>
      <c r="FC382" s="56"/>
      <c r="FD382" s="175">
        <f t="shared" si="2533"/>
        <v>0</v>
      </c>
      <c r="FE382" s="175">
        <f t="shared" si="2534"/>
        <v>0</v>
      </c>
      <c r="FF382" s="56"/>
      <c r="FI382" s="55">
        <f t="shared" si="2535"/>
        <v>46348</v>
      </c>
      <c r="FJ382" s="56"/>
      <c r="FK382" s="183">
        <f>SUMPRODUCT(PRODUCE!$B377:$DY377,PRODUCE!$EB$25:$IY$25)</f>
        <v>0</v>
      </c>
      <c r="FL382" s="56"/>
      <c r="FM382" s="183">
        <f t="shared" si="2536"/>
        <v>0</v>
      </c>
      <c r="FN382" s="183">
        <f t="shared" si="2537"/>
        <v>0</v>
      </c>
      <c r="FO382" s="56"/>
      <c r="FR382" s="55">
        <f t="shared" si="2538"/>
        <v>46348</v>
      </c>
      <c r="FS382" s="56"/>
      <c r="FT382" s="186">
        <f>SUMPRODUCT(PRODUCE!$B377:$DY377,PRODUCE!$EB$26:$IY$26)</f>
        <v>0</v>
      </c>
      <c r="FU382" s="56"/>
      <c r="FV382" s="186">
        <f t="shared" si="2539"/>
        <v>0</v>
      </c>
      <c r="FW382" s="186">
        <f t="shared" si="2540"/>
        <v>2020</v>
      </c>
      <c r="FX382" s="56"/>
      <c r="GA382" s="55">
        <f t="shared" si="2541"/>
        <v>46348</v>
      </c>
      <c r="GB382" s="56"/>
      <c r="GC382" s="137">
        <f>SUMPRODUCT(PRODUCE!$B377:$DY377,PRODUCE!$EB$27:$IY$27)</f>
        <v>0</v>
      </c>
      <c r="GD382" s="56"/>
      <c r="GE382" s="137">
        <f t="shared" si="2542"/>
        <v>0</v>
      </c>
      <c r="GF382" s="137">
        <f t="shared" si="2543"/>
        <v>960</v>
      </c>
      <c r="GG382" s="56"/>
      <c r="GI382" s="23"/>
      <c r="GJ382" s="55">
        <f t="shared" si="2544"/>
        <v>46348</v>
      </c>
      <c r="GK382" s="56"/>
      <c r="GL382" s="199">
        <f>SUMPRODUCT(PRODUCE!$B377:$DY377,PRODUCE!$EB$28:$IY$28)</f>
        <v>0</v>
      </c>
      <c r="GM382" s="56"/>
      <c r="GN382" s="199">
        <f t="shared" si="2545"/>
        <v>0</v>
      </c>
      <c r="GO382" s="199">
        <f t="shared" si="2546"/>
        <v>1760</v>
      </c>
      <c r="GP382" s="56"/>
      <c r="GS382" s="55">
        <f t="shared" si="2547"/>
        <v>46348</v>
      </c>
      <c r="GT382" s="56"/>
      <c r="GU382" s="195">
        <f>SUMPRODUCT(PRODUCE!$B377:$DY377,PRODUCE!$EB$29:$IY$29)</f>
        <v>0</v>
      </c>
      <c r="GV382" s="56"/>
      <c r="GW382" s="195">
        <f t="shared" si="2548"/>
        <v>0</v>
      </c>
      <c r="GX382" s="195">
        <f t="shared" si="2549"/>
        <v>400</v>
      </c>
      <c r="GY382" s="56"/>
      <c r="HB382" s="55">
        <f t="shared" si="2550"/>
        <v>46348</v>
      </c>
      <c r="HC382" s="56"/>
      <c r="HD382" s="191">
        <f>SUMPRODUCT(PRODUCE!$B377:$DY377,PRODUCE!$EB$30:$IY$30)</f>
        <v>0</v>
      </c>
      <c r="HE382" s="56"/>
      <c r="HF382" s="191">
        <f t="shared" si="2551"/>
        <v>0</v>
      </c>
      <c r="HG382" s="191">
        <f t="shared" si="2552"/>
        <v>3600</v>
      </c>
      <c r="HH382" s="56"/>
      <c r="HK382" s="55">
        <f t="shared" si="2553"/>
        <v>46348</v>
      </c>
      <c r="HL382" s="56"/>
      <c r="HM382" s="63">
        <f>SUMPRODUCT(PRODUCE!$B377:$DY377,PRODUCE!$EB$31:$IY$31)</f>
        <v>0</v>
      </c>
      <c r="HN382" s="56"/>
      <c r="HO382" s="63">
        <f t="shared" si="2554"/>
        <v>0</v>
      </c>
      <c r="HP382" s="63">
        <f t="shared" si="2555"/>
        <v>0</v>
      </c>
      <c r="HQ382" s="56"/>
      <c r="HU382" s="55">
        <f t="shared" si="2556"/>
        <v>46348</v>
      </c>
      <c r="HV382" s="56"/>
      <c r="HW382" s="242">
        <f>SUMPRODUCT(PRODUCE!$B377:$DY377,PRODUCE!$EB$32:$IY$32)</f>
        <v>0</v>
      </c>
      <c r="HX382" s="56"/>
      <c r="HY382" s="242">
        <f t="shared" si="2557"/>
        <v>0</v>
      </c>
      <c r="HZ382" s="242">
        <f t="shared" si="2558"/>
        <v>6120</v>
      </c>
      <c r="IA382" s="56"/>
      <c r="ID382" s="55">
        <f t="shared" si="2559"/>
        <v>46348</v>
      </c>
      <c r="IE382" s="56"/>
      <c r="IF382" s="242">
        <f>SUMPRODUCT(PRODUCE!$B377:$DY377,PRODUCE!$EB$33:$IY$33)</f>
        <v>0</v>
      </c>
      <c r="IG382" s="56"/>
      <c r="IH382" s="242">
        <f t="shared" si="2560"/>
        <v>0</v>
      </c>
      <c r="II382" s="242">
        <f t="shared" si="2561"/>
        <v>0</v>
      </c>
      <c r="IJ382" s="56"/>
      <c r="IM382" s="55">
        <f t="shared" si="2562"/>
        <v>46348</v>
      </c>
      <c r="IN382" s="56"/>
      <c r="IO382" s="242">
        <f>SUMPRODUCT(PRODUCE!$B377:$DY377,PRODUCE!$EB$34:$IY$34)</f>
        <v>0</v>
      </c>
      <c r="IP382" s="56"/>
      <c r="IQ382" s="242">
        <f t="shared" si="2563"/>
        <v>0</v>
      </c>
      <c r="IR382" s="242">
        <f t="shared" si="2564"/>
        <v>0</v>
      </c>
      <c r="IS382" s="56"/>
      <c r="IV382" s="55">
        <f t="shared" si="2565"/>
        <v>46348</v>
      </c>
      <c r="IW382" s="56"/>
      <c r="IX382" s="242">
        <f>SUMPRODUCT(PRODUCE!$B377:$DY377,PRODUCE!$EB$35:$IY$35)</f>
        <v>0</v>
      </c>
      <c r="IY382" s="56"/>
      <c r="IZ382" s="242">
        <f t="shared" si="2566"/>
        <v>0</v>
      </c>
      <c r="JA382" s="242">
        <f t="shared" si="2567"/>
        <v>2820</v>
      </c>
      <c r="JB382" s="56"/>
      <c r="JE382" s="55">
        <f t="shared" si="2568"/>
        <v>46348</v>
      </c>
      <c r="JF382" s="56"/>
      <c r="JG382" s="242">
        <f>SUMPRODUCT(PRODUCE!$B377:$DY377,PRODUCE!$EB$36:$IY$36)</f>
        <v>0</v>
      </c>
      <c r="JH382" s="56"/>
      <c r="JI382" s="242">
        <f t="shared" si="2569"/>
        <v>0</v>
      </c>
      <c r="JJ382" s="242">
        <f t="shared" si="2570"/>
        <v>0</v>
      </c>
      <c r="JK382" s="56"/>
      <c r="JN382" s="55">
        <f t="shared" si="2571"/>
        <v>46348</v>
      </c>
      <c r="JO382" s="56"/>
      <c r="JP382" s="242">
        <f>SUMPRODUCT(PRODUCE!$B377:$DY377,PRODUCE!$EB$37:$IY$37)</f>
        <v>0</v>
      </c>
      <c r="JQ382" s="56"/>
      <c r="JR382" s="242">
        <f t="shared" si="2572"/>
        <v>0</v>
      </c>
      <c r="JS382" s="242">
        <f t="shared" si="2573"/>
        <v>0</v>
      </c>
      <c r="JT382" s="56"/>
      <c r="JW382" s="55">
        <f t="shared" si="2574"/>
        <v>46348</v>
      </c>
      <c r="JX382" s="56"/>
      <c r="JY382" s="242">
        <f>SUMPRODUCT(PRODUCE!$B377:$DY377,PRODUCE!$EB$38:$IY$38)</f>
        <v>0</v>
      </c>
      <c r="JZ382" s="56"/>
      <c r="KA382" s="242">
        <f t="shared" si="2575"/>
        <v>0</v>
      </c>
      <c r="KB382" s="242">
        <f t="shared" si="2576"/>
        <v>2540</v>
      </c>
      <c r="KC382" s="56"/>
      <c r="KF382" s="55">
        <f t="shared" si="2577"/>
        <v>46348</v>
      </c>
      <c r="KG382" s="56"/>
      <c r="KH382" s="242">
        <f>SUMPRODUCT(PRODUCE!$B377:$DY377,PRODUCE!$EB$39:$IY$39)</f>
        <v>0</v>
      </c>
      <c r="KI382" s="56"/>
      <c r="KJ382" s="242">
        <f t="shared" si="2578"/>
        <v>0</v>
      </c>
      <c r="KK382" s="242">
        <f t="shared" si="2579"/>
        <v>2359.5</v>
      </c>
      <c r="KL382" s="56"/>
      <c r="KO382" s="55">
        <f t="shared" si="2580"/>
        <v>46348</v>
      </c>
      <c r="KP382" s="56"/>
      <c r="KQ382" s="242">
        <f>SUMPRODUCT(PRODUCE!$B377:$DY377,PRODUCE!$EB$40:$IY$40)</f>
        <v>0</v>
      </c>
      <c r="KR382" s="56"/>
      <c r="KS382" s="242">
        <f t="shared" si="2581"/>
        <v>0</v>
      </c>
      <c r="KT382" s="242">
        <f t="shared" si="2582"/>
        <v>1890</v>
      </c>
      <c r="KU382" s="56"/>
      <c r="KW382" s="23"/>
      <c r="KX382" s="55">
        <f t="shared" si="2583"/>
        <v>46348</v>
      </c>
      <c r="KY382" s="56"/>
      <c r="KZ382" s="242">
        <f>SUMPRODUCT(PRODUCE!$B377:$DY377,PRODUCE!$EB$41:$IY$41)</f>
        <v>0</v>
      </c>
      <c r="LA382" s="56"/>
      <c r="LB382" s="242">
        <f t="shared" si="2584"/>
        <v>0</v>
      </c>
      <c r="LC382" s="242">
        <f t="shared" si="2585"/>
        <v>3690</v>
      </c>
      <c r="LD382" s="56"/>
      <c r="LG382" s="55">
        <f t="shared" si="2586"/>
        <v>46348</v>
      </c>
      <c r="LH382" s="56"/>
      <c r="LI382" s="242">
        <f>SUMPRODUCT(PRODUCE!$B377:$DY377,PRODUCE!$EB$42:$IY$42)</f>
        <v>0</v>
      </c>
      <c r="LJ382" s="56"/>
      <c r="LK382" s="242">
        <f t="shared" si="2587"/>
        <v>0</v>
      </c>
      <c r="LL382" s="242">
        <f t="shared" si="2588"/>
        <v>4000</v>
      </c>
      <c r="LM382" s="56"/>
      <c r="LP382" s="55">
        <f t="shared" si="2589"/>
        <v>46348</v>
      </c>
      <c r="LQ382" s="56"/>
      <c r="LR382" s="242">
        <f>SUMPRODUCT(PRODUCE!$B397:$DY397,PRODUCE!$EB$43:$IY$43)</f>
        <v>0</v>
      </c>
      <c r="LS382" s="56"/>
      <c r="LT382" s="242">
        <f t="shared" si="2590"/>
        <v>0</v>
      </c>
      <c r="LU382" s="242">
        <f t="shared" si="2591"/>
        <v>0</v>
      </c>
      <c r="LV382" s="56"/>
      <c r="LY382" s="55">
        <f t="shared" si="2592"/>
        <v>46348</v>
      </c>
      <c r="LZ382" s="56"/>
      <c r="MA382" s="242">
        <f>SUMPRODUCT(PRODUCE!$B377:$DY377,PRODUCE!$EB$44:$IY$44)</f>
        <v>0</v>
      </c>
      <c r="MB382" s="56"/>
      <c r="MC382" s="242">
        <f t="shared" si="2593"/>
        <v>0</v>
      </c>
      <c r="MD382" s="242">
        <f t="shared" si="2594"/>
        <v>0</v>
      </c>
      <c r="ME382" s="56"/>
      <c r="MH382" s="55">
        <f t="shared" si="2595"/>
        <v>46348</v>
      </c>
      <c r="MI382" s="56"/>
      <c r="MJ382" s="242">
        <f>SUMPRODUCT(PRODUCE!$B377:$DY377,PRODUCE!$EB$45:$IY$45)</f>
        <v>0</v>
      </c>
      <c r="MK382" s="56"/>
      <c r="ML382" s="242">
        <f t="shared" si="2596"/>
        <v>0</v>
      </c>
      <c r="MM382" s="242">
        <f t="shared" si="2597"/>
        <v>0</v>
      </c>
      <c r="MN382" s="56"/>
      <c r="MQ382" s="55">
        <f t="shared" si="2598"/>
        <v>46348</v>
      </c>
      <c r="MR382" s="56"/>
      <c r="MS382" s="242">
        <f>SUMPRODUCT(PRODUCE!$B377:$DY377,PRODUCE!$EB$46:$IY$46)</f>
        <v>0</v>
      </c>
      <c r="MT382" s="56"/>
      <c r="MU382" s="242">
        <f t="shared" si="2599"/>
        <v>0</v>
      </c>
      <c r="MV382" s="242">
        <f t="shared" si="2600"/>
        <v>1625</v>
      </c>
      <c r="MW382" s="56"/>
      <c r="MZ382" s="55">
        <f t="shared" si="2601"/>
        <v>46348</v>
      </c>
      <c r="NA382" s="56"/>
      <c r="NB382" s="242">
        <f>SUMPRODUCT(PRODUCE!$B377:$DY377,PRODUCE!$EB$47:$IY$47)</f>
        <v>0</v>
      </c>
      <c r="NC382" s="56"/>
      <c r="ND382" s="242">
        <f t="shared" si="2602"/>
        <v>0</v>
      </c>
      <c r="NE382" s="242">
        <f t="shared" si="2603"/>
        <v>0</v>
      </c>
      <c r="NF382" s="56"/>
      <c r="NI382" s="55">
        <f t="shared" si="2604"/>
        <v>46348</v>
      </c>
      <c r="NJ382" s="56"/>
      <c r="NK382" s="242">
        <f>SUMPRODUCT(PRODUCE!$B377:$DY377,PRODUCE!$EB$48:$IY$48)</f>
        <v>0</v>
      </c>
      <c r="NL382" s="56"/>
      <c r="NM382" s="242">
        <f t="shared" si="2605"/>
        <v>0</v>
      </c>
      <c r="NN382" s="242">
        <f t="shared" si="2606"/>
        <v>1127</v>
      </c>
      <c r="NO382" s="56"/>
      <c r="NR382" s="55">
        <f t="shared" si="2607"/>
        <v>46348</v>
      </c>
      <c r="NS382" s="56"/>
      <c r="NT382" s="242">
        <f>SUMPRODUCT(PRODUCE!$B377:$DY377,PRODUCE!$EB$49:$IY$49)</f>
        <v>0</v>
      </c>
      <c r="NU382" s="56"/>
      <c r="NV382" s="242">
        <f t="shared" si="2608"/>
        <v>0</v>
      </c>
      <c r="NW382" s="242">
        <f t="shared" si="2609"/>
        <v>3111.9999999999995</v>
      </c>
      <c r="NX382" s="56"/>
      <c r="OA382" s="55">
        <f t="shared" si="2610"/>
        <v>46348</v>
      </c>
      <c r="OB382" s="56"/>
      <c r="OC382" s="242">
        <f>SUMPRODUCT(PRODUCE!$B377:$DY377,PRODUCE!$EB$50:$IY$50)</f>
        <v>0</v>
      </c>
      <c r="OD382" s="56"/>
      <c r="OE382" s="242">
        <f t="shared" si="2611"/>
        <v>0</v>
      </c>
      <c r="OF382" s="242">
        <f t="shared" si="2612"/>
        <v>1680.5</v>
      </c>
      <c r="OG382" s="56"/>
      <c r="OJ382" s="55">
        <f t="shared" si="2613"/>
        <v>46348</v>
      </c>
      <c r="OK382" s="56"/>
      <c r="OL382" s="242">
        <f>SUMPRODUCT(PRODUCE!$B377:$DY377,PRODUCE!$EB$51:$IY$51)</f>
        <v>0</v>
      </c>
      <c r="OM382" s="56"/>
      <c r="ON382" s="242">
        <f t="shared" si="2614"/>
        <v>0</v>
      </c>
      <c r="OO382" s="242">
        <f t="shared" si="2615"/>
        <v>0</v>
      </c>
      <c r="OP382" s="56"/>
      <c r="OS382" s="55">
        <f t="shared" si="2616"/>
        <v>46348</v>
      </c>
      <c r="OT382" s="56"/>
      <c r="OU382" s="242">
        <f>SUMPRODUCT(PRODUCE!$B377:$DY377,PRODUCE!$EB$52:$IY$52)</f>
        <v>0</v>
      </c>
      <c r="OV382" s="56"/>
      <c r="OW382" s="242">
        <f t="shared" si="2617"/>
        <v>0</v>
      </c>
      <c r="OX382" s="242">
        <f t="shared" si="2618"/>
        <v>1482</v>
      </c>
      <c r="OY382" s="56"/>
      <c r="PB382" s="55">
        <f t="shared" si="2619"/>
        <v>46348</v>
      </c>
      <c r="PC382" s="56"/>
      <c r="PD382" s="242">
        <f>SUMPRODUCT(PRODUCE!$B377:$DY377,PRODUCE!$EB$53:$IY$53)</f>
        <v>0</v>
      </c>
      <c r="PE382" s="56"/>
      <c r="PF382" s="242">
        <f t="shared" si="2620"/>
        <v>0</v>
      </c>
      <c r="PG382" s="242">
        <f t="shared" si="2621"/>
        <v>0</v>
      </c>
      <c r="PH382" s="56"/>
      <c r="PK382" s="55">
        <f t="shared" si="2622"/>
        <v>46348</v>
      </c>
      <c r="PL382" s="56"/>
      <c r="PM382" s="242">
        <f>SUMPRODUCT(PRODUCE!$B377:$DY377,PRODUCE!$EB$54:$IY$54)</f>
        <v>0</v>
      </c>
      <c r="PN382" s="56"/>
      <c r="PO382" s="242">
        <f t="shared" si="2623"/>
        <v>0</v>
      </c>
      <c r="PP382" s="242">
        <f t="shared" si="2624"/>
        <v>100</v>
      </c>
      <c r="PQ382" s="56"/>
      <c r="PT382" s="55">
        <f t="shared" si="2625"/>
        <v>46348</v>
      </c>
      <c r="PU382" s="56"/>
      <c r="PV382" s="242">
        <f>SUMPRODUCT(PRODUCE!$B377:$DY377,PRODUCE!$EB$55:$IY$55)</f>
        <v>0</v>
      </c>
      <c r="PW382" s="56"/>
      <c r="PX382" s="242">
        <f t="shared" si="2626"/>
        <v>0</v>
      </c>
      <c r="PY382" s="242">
        <f t="shared" si="2627"/>
        <v>13.960000000000036</v>
      </c>
      <c r="PZ382" s="56"/>
      <c r="QC382" s="55">
        <f t="shared" si="2628"/>
        <v>46348</v>
      </c>
      <c r="QD382" s="56"/>
      <c r="QE382" s="242">
        <f>SUMPRODUCT(PRODUCE!$B377:$DY377,PRODUCE!$EB$56:$IY$56)</f>
        <v>0</v>
      </c>
      <c r="QF382" s="56"/>
      <c r="QG382" s="242">
        <f t="shared" si="2629"/>
        <v>0</v>
      </c>
      <c r="QH382" s="242">
        <f t="shared" si="2630"/>
        <v>548</v>
      </c>
      <c r="QI382" s="56"/>
      <c r="QL382" s="55">
        <f t="shared" si="2631"/>
        <v>46348</v>
      </c>
      <c r="QM382" s="56"/>
      <c r="QN382" s="242">
        <f>SUMPRODUCT(PRODUCE!$B377:$DY377,PRODUCE!$EB$57:$IY$57)</f>
        <v>0</v>
      </c>
      <c r="QO382" s="56"/>
      <c r="QP382" s="242">
        <f t="shared" si="2632"/>
        <v>0</v>
      </c>
      <c r="QQ382" s="242">
        <f t="shared" si="2633"/>
        <v>0</v>
      </c>
      <c r="QR382" s="56"/>
      <c r="QU382" s="55">
        <f t="shared" si="2634"/>
        <v>46348</v>
      </c>
      <c r="QV382" s="56"/>
      <c r="QW382" s="242">
        <f>SUMPRODUCT(PRODUCE!$B377:$DY377,PRODUCE!$EB$57:$IY$57)</f>
        <v>0</v>
      </c>
      <c r="QX382" s="56"/>
      <c r="QY382" s="242">
        <f t="shared" si="2635"/>
        <v>0</v>
      </c>
      <c r="QZ382" s="242">
        <f t="shared" si="2636"/>
        <v>0</v>
      </c>
      <c r="RA382" s="56"/>
      <c r="RD382" s="55">
        <f t="shared" si="2637"/>
        <v>46348</v>
      </c>
      <c r="RE382" s="56"/>
      <c r="RF382" s="242">
        <f>SUMPRODUCT(PRODUCE!$B377:$DY377,PRODUCE!$EB$58:$IY$58)</f>
        <v>0</v>
      </c>
      <c r="RG382" s="56"/>
      <c r="RH382" s="242">
        <f t="shared" si="2638"/>
        <v>0</v>
      </c>
      <c r="RI382" s="242">
        <f t="shared" si="2639"/>
        <v>147.04000000000002</v>
      </c>
      <c r="RJ382" s="56"/>
      <c r="RM382" s="55">
        <f t="shared" si="2640"/>
        <v>46348</v>
      </c>
      <c r="RN382" s="56"/>
      <c r="RO382" s="242">
        <f>SUMPRODUCT(PRODUCE!$B377:$DY377,PRODUCE!$EB$57:$IY$57)</f>
        <v>0</v>
      </c>
      <c r="RP382" s="56"/>
      <c r="RQ382" s="242">
        <f t="shared" si="2641"/>
        <v>0</v>
      </c>
      <c r="RR382" s="242">
        <f t="shared" si="2642"/>
        <v>46.8</v>
      </c>
      <c r="RS382" s="56"/>
      <c r="RV382" s="55">
        <f t="shared" si="2643"/>
        <v>46348</v>
      </c>
      <c r="RW382" s="56"/>
      <c r="RX382" s="242">
        <f>SUMPRODUCT(PRODUCE!$B377:$DY377,PRODUCE!$EB$57:$IY$57)</f>
        <v>0</v>
      </c>
      <c r="RY382" s="56"/>
      <c r="RZ382" s="242">
        <f t="shared" si="2644"/>
        <v>0</v>
      </c>
      <c r="SA382" s="242">
        <f t="shared" si="2645"/>
        <v>0</v>
      </c>
      <c r="SB382" s="56"/>
      <c r="SE382" s="55">
        <f t="shared" si="2646"/>
        <v>46348</v>
      </c>
      <c r="SF382" s="56"/>
      <c r="SG382" s="242">
        <f>SUMPRODUCT(PRODUCE!$B377:$DY377,PRODUCE!$EB$61:$IY$61)</f>
        <v>0</v>
      </c>
      <c r="SH382" s="56"/>
      <c r="SI382" s="242">
        <f t="shared" si="2647"/>
        <v>0</v>
      </c>
      <c r="SJ382" s="242">
        <f t="shared" si="2648"/>
        <v>24.200000000000003</v>
      </c>
      <c r="SK382" s="56"/>
      <c r="SN382" s="55">
        <f t="shared" si="2649"/>
        <v>46348</v>
      </c>
      <c r="SO382" s="56"/>
      <c r="SP382" s="242">
        <f>SUMPRODUCT(PRODUCE!$B377:$DY377,PRODUCE!$EB$57:$IY$57)</f>
        <v>0</v>
      </c>
      <c r="SQ382" s="56"/>
      <c r="SR382" s="242">
        <f t="shared" si="2650"/>
        <v>0</v>
      </c>
      <c r="SS382" s="242">
        <f t="shared" si="2651"/>
        <v>32</v>
      </c>
      <c r="ST382" s="56"/>
      <c r="SW382" s="55">
        <f t="shared" si="2652"/>
        <v>46348</v>
      </c>
      <c r="SX382" s="56"/>
      <c r="SY382" s="242">
        <f>SUMPRODUCT(PRODUCE!$B377:$DY377,PRODUCE!$EB$57:$IY$57)</f>
        <v>0</v>
      </c>
      <c r="SZ382" s="56"/>
      <c r="TA382" s="242">
        <f t="shared" si="2653"/>
        <v>0</v>
      </c>
      <c r="TB382" s="242">
        <f t="shared" si="2654"/>
        <v>0</v>
      </c>
      <c r="TC382" s="56"/>
      <c r="TF382" s="55">
        <f t="shared" si="2655"/>
        <v>46348</v>
      </c>
      <c r="TG382" s="56"/>
      <c r="TH382" s="242">
        <f>SUMPRODUCT(PRODUCE!$B377:$DY377,PRODUCE!$EB$57:$IY$57)</f>
        <v>0</v>
      </c>
      <c r="TI382" s="56"/>
      <c r="TJ382" s="242">
        <f t="shared" si="2656"/>
        <v>0</v>
      </c>
      <c r="TK382" s="242">
        <f t="shared" si="2657"/>
        <v>0</v>
      </c>
      <c r="TL382" s="56"/>
      <c r="TO382" s="55">
        <f t="shared" si="2658"/>
        <v>46348</v>
      </c>
      <c r="TP382" s="56"/>
      <c r="TQ382" s="242">
        <f>SUMPRODUCT(PRODUCE!$B377:$DY377,PRODUCE!$EB$57:$IY$57)</f>
        <v>0</v>
      </c>
      <c r="TR382" s="56"/>
      <c r="TS382" s="242">
        <f t="shared" si="2659"/>
        <v>0</v>
      </c>
      <c r="TT382" s="242">
        <f t="shared" si="2660"/>
        <v>0</v>
      </c>
      <c r="TU382" s="56"/>
      <c r="TX382" s="55">
        <f t="shared" si="2661"/>
        <v>46348</v>
      </c>
      <c r="TY382" s="56"/>
      <c r="TZ382" s="242">
        <f>SUMPRODUCT(PRODUCE!$B377:$DY377,PRODUCE!$EB$57:$IY$57)</f>
        <v>0</v>
      </c>
      <c r="UA382" s="56"/>
      <c r="UB382" s="242">
        <f t="shared" si="2662"/>
        <v>0</v>
      </c>
      <c r="UC382" s="242">
        <f t="shared" si="2663"/>
        <v>46.799999999999983</v>
      </c>
      <c r="UD382" s="56"/>
      <c r="UG382" s="55">
        <f t="shared" si="2664"/>
        <v>46348</v>
      </c>
      <c r="UH382" s="56"/>
      <c r="UI382" s="242">
        <f>SUMPRODUCT(PRODUCE!$B377:$DY377,PRODUCE!$EB$57:$IY$57)</f>
        <v>0</v>
      </c>
      <c r="UJ382" s="56"/>
      <c r="UK382" s="242">
        <f t="shared" si="2665"/>
        <v>0</v>
      </c>
      <c r="UL382" s="242">
        <f t="shared" si="2666"/>
        <v>204</v>
      </c>
      <c r="UM382" s="56"/>
      <c r="UP382" s="55">
        <f t="shared" si="2667"/>
        <v>46348</v>
      </c>
      <c r="UQ382" s="56"/>
      <c r="UR382" s="242">
        <f>SUMPRODUCT(PRODUCE!$B377:$DY377,PRODUCE!$EB$57:$IY$57)</f>
        <v>0</v>
      </c>
      <c r="US382" s="56"/>
      <c r="UT382" s="242">
        <f t="shared" si="2668"/>
        <v>0</v>
      </c>
      <c r="UU382" s="242">
        <f t="shared" si="2669"/>
        <v>202.5</v>
      </c>
      <c r="UV382" s="56"/>
      <c r="UY382" s="55">
        <f t="shared" si="2670"/>
        <v>46348</v>
      </c>
      <c r="UZ382" s="56"/>
      <c r="VA382" s="242">
        <f>SUMPRODUCT(PRODUCE!$B377:$DY377,PRODUCE!$EB$57:$IY$57)</f>
        <v>0</v>
      </c>
      <c r="VB382" s="56"/>
      <c r="VC382" s="242">
        <f t="shared" si="2671"/>
        <v>0</v>
      </c>
      <c r="VD382" s="242">
        <f t="shared" si="2672"/>
        <v>41.600000000000023</v>
      </c>
      <c r="VE382" s="56"/>
      <c r="VH382" s="55">
        <f t="shared" si="2673"/>
        <v>46348</v>
      </c>
      <c r="VI382" s="56"/>
      <c r="VJ382" s="242">
        <f>SUMPRODUCT(PRODUCE!$B377:$DY377,PRODUCE!$EB$57:$IY$57)</f>
        <v>0</v>
      </c>
      <c r="VK382" s="56"/>
      <c r="VL382" s="242">
        <f t="shared" si="2674"/>
        <v>0</v>
      </c>
      <c r="VM382" s="242">
        <f t="shared" si="2675"/>
        <v>210</v>
      </c>
      <c r="VN382" s="56"/>
      <c r="VQ382" s="55">
        <f t="shared" si="2676"/>
        <v>46348</v>
      </c>
      <c r="VR382" s="56"/>
      <c r="VS382" s="242">
        <f>SUMPRODUCT(PRODUCE!$B377:$DY377,PRODUCE!$EB$57:$IY$57)</f>
        <v>0</v>
      </c>
      <c r="VT382" s="56"/>
      <c r="VU382" s="242">
        <f t="shared" si="2677"/>
        <v>0</v>
      </c>
      <c r="VV382" s="242">
        <f t="shared" si="2678"/>
        <v>0</v>
      </c>
      <c r="VW382" s="56"/>
      <c r="VZ382" s="55">
        <f t="shared" si="2679"/>
        <v>46348</v>
      </c>
      <c r="WA382" s="56"/>
      <c r="WB382" s="242">
        <f>SUMPRODUCT(PRODUCE!$B377:$DY377,PRODUCE!$EB$57:$IY$57)</f>
        <v>0</v>
      </c>
      <c r="WC382" s="56"/>
      <c r="WD382" s="242">
        <f t="shared" si="2680"/>
        <v>0</v>
      </c>
      <c r="WE382" s="242">
        <f t="shared" si="2681"/>
        <v>0</v>
      </c>
      <c r="WF382" s="56"/>
      <c r="WI382" s="55">
        <f t="shared" si="2682"/>
        <v>46348</v>
      </c>
      <c r="WJ382" s="56"/>
      <c r="WK382" s="242">
        <f>SUMPRODUCT(PRODUCE!$B377:$DY377,PRODUCE!$EB$57:$IY$57)</f>
        <v>0</v>
      </c>
      <c r="WL382" s="56"/>
      <c r="WM382" s="242">
        <f t="shared" si="2683"/>
        <v>0</v>
      </c>
      <c r="WN382" s="242">
        <f t="shared" si="2684"/>
        <v>1057</v>
      </c>
      <c r="WO382" s="56"/>
      <c r="WR382" s="55">
        <f t="shared" si="2685"/>
        <v>46348</v>
      </c>
      <c r="WS382" s="56"/>
      <c r="WT382" s="242">
        <f>SUMPRODUCT(PRODUCE!$B377:$DY377,PRODUCE!$EB$57:$IY$57)</f>
        <v>0</v>
      </c>
      <c r="WU382" s="56"/>
      <c r="WV382" s="242">
        <f t="shared" si="2686"/>
        <v>0</v>
      </c>
      <c r="WW382" s="242">
        <f t="shared" si="2687"/>
        <v>0</v>
      </c>
      <c r="WX382" s="56"/>
      <c r="XA382" s="55">
        <f t="shared" si="2688"/>
        <v>46348</v>
      </c>
      <c r="XB382" s="56"/>
      <c r="XC382" s="242">
        <f>SUMPRODUCT(PRODUCE!$B377:$DY377,PRODUCE!$EB$57:$IY$57)</f>
        <v>0</v>
      </c>
      <c r="XD382" s="56"/>
      <c r="XE382" s="242">
        <f t="shared" si="2689"/>
        <v>0</v>
      </c>
      <c r="XF382" s="242">
        <f t="shared" si="2690"/>
        <v>7507</v>
      </c>
      <c r="XG382" s="56"/>
      <c r="XJ382" s="55">
        <f t="shared" si="2691"/>
        <v>46348</v>
      </c>
      <c r="XK382" s="56"/>
      <c r="XL382" s="242">
        <f>SUMPRODUCT(PRODUCE!$B377:$DY377,PRODUCE!$EB$57:$IY$57)</f>
        <v>0</v>
      </c>
      <c r="XM382" s="56"/>
      <c r="XN382" s="242">
        <f t="shared" si="2692"/>
        <v>0</v>
      </c>
      <c r="XO382" s="242">
        <f t="shared" si="2693"/>
        <v>4252</v>
      </c>
      <c r="XP382" s="56"/>
      <c r="XS382" s="55">
        <f t="shared" si="2694"/>
        <v>46348</v>
      </c>
      <c r="XT382" s="56"/>
      <c r="XU382" s="242">
        <f>SUMPRODUCT(PRODUCE!$B377:$DY377,PRODUCE!$EB$57:$IY$57)</f>
        <v>0</v>
      </c>
      <c r="XV382" s="56"/>
      <c r="XW382" s="242">
        <f t="shared" si="2695"/>
        <v>0</v>
      </c>
      <c r="XX382" s="242">
        <f t="shared" si="2696"/>
        <v>2179</v>
      </c>
      <c r="XY382" s="56"/>
      <c r="YB382" s="55">
        <f t="shared" si="2697"/>
        <v>46348</v>
      </c>
      <c r="YC382" s="56"/>
      <c r="YD382" s="242">
        <f>SUMPRODUCT(PRODUCE!$B377:$DY377,PRODUCE!$EB$57:$IY$57)</f>
        <v>0</v>
      </c>
      <c r="YE382" s="56"/>
      <c r="YF382" s="242">
        <f t="shared" si="2698"/>
        <v>0</v>
      </c>
      <c r="YG382" s="242">
        <f t="shared" si="2699"/>
        <v>4019</v>
      </c>
      <c r="YH382" s="56"/>
      <c r="YK382" s="55">
        <f t="shared" si="2700"/>
        <v>46348</v>
      </c>
      <c r="YL382" s="56"/>
      <c r="YM382" s="242">
        <f>SUMPRODUCT(PRODUCE!$B377:$DY377,PRODUCE!$EB$57:$IY$57)</f>
        <v>0</v>
      </c>
      <c r="YN382" s="56"/>
      <c r="YO382" s="242">
        <f t="shared" si="2701"/>
        <v>0</v>
      </c>
      <c r="YP382" s="242">
        <f t="shared" si="2702"/>
        <v>-218</v>
      </c>
      <c r="YQ382" s="56"/>
      <c r="YT382" s="55">
        <f t="shared" si="2703"/>
        <v>46348</v>
      </c>
      <c r="YU382" s="56"/>
      <c r="YV382" s="242">
        <f>SUMPRODUCT(PRODUCE!$B377:$DY377,PRODUCE!$EB$57:$IY$57)</f>
        <v>0</v>
      </c>
      <c r="YW382" s="56"/>
      <c r="YX382" s="242">
        <f t="shared" si="2704"/>
        <v>0</v>
      </c>
      <c r="YY382" s="242">
        <f t="shared" si="2705"/>
        <v>0</v>
      </c>
      <c r="YZ382" s="56"/>
      <c r="ZC382" s="55">
        <f t="shared" si="2706"/>
        <v>46348</v>
      </c>
      <c r="ZD382" s="56"/>
      <c r="ZE382" s="242">
        <f>SUMPRODUCT(PRODUCE!$B377:$DY377,PRODUCE!$EB$57:$IY$57)</f>
        <v>0</v>
      </c>
      <c r="ZF382" s="56"/>
      <c r="ZG382" s="242">
        <f t="shared" si="2707"/>
        <v>0</v>
      </c>
      <c r="ZH382" s="242">
        <f t="shared" si="2708"/>
        <v>0</v>
      </c>
      <c r="ZI382" s="56"/>
      <c r="ZL382" s="55">
        <f t="shared" si="2709"/>
        <v>46348</v>
      </c>
      <c r="ZM382" s="56"/>
      <c r="ZN382" s="242">
        <f>SUMPRODUCT(PRODUCE!$B377:$DY377,PRODUCE!$EB$57:$IY$57)</f>
        <v>0</v>
      </c>
      <c r="ZO382" s="56"/>
      <c r="ZP382" s="242">
        <f t="shared" si="2710"/>
        <v>0</v>
      </c>
      <c r="ZQ382" s="242">
        <f t="shared" si="2711"/>
        <v>0</v>
      </c>
      <c r="ZR382" s="56"/>
      <c r="ZU382" s="55">
        <f t="shared" si="2712"/>
        <v>46348</v>
      </c>
      <c r="ZV382" s="56"/>
      <c r="ZW382" s="242">
        <f>SUMPRODUCT(PRODUCE!$B377:$DY377,PRODUCE!$EB$57:$IY$57)</f>
        <v>0</v>
      </c>
      <c r="ZX382" s="56"/>
      <c r="ZY382" s="242">
        <f t="shared" si="2713"/>
        <v>0</v>
      </c>
      <c r="ZZ382" s="242">
        <f t="shared" si="2714"/>
        <v>0</v>
      </c>
      <c r="AAA382" s="56"/>
      <c r="AAD382" s="55">
        <f t="shared" si="2715"/>
        <v>46348</v>
      </c>
      <c r="AAE382" s="56"/>
      <c r="AAF382" s="242">
        <f>SUMPRODUCT(PRODUCE!$B377:$DY377,PRODUCE!$EB$57:$IY$57)</f>
        <v>0</v>
      </c>
      <c r="AAG382" s="56"/>
      <c r="AAH382" s="242">
        <f t="shared" si="2716"/>
        <v>0</v>
      </c>
      <c r="AAI382" s="242">
        <f t="shared" si="2717"/>
        <v>0</v>
      </c>
      <c r="AAJ382" s="56"/>
      <c r="AAM382" s="55">
        <f t="shared" si="2718"/>
        <v>46348</v>
      </c>
      <c r="AAN382" s="56"/>
      <c r="AAO382" s="242">
        <f>SUMPRODUCT(PRODUCE!$B377:$DY377,PRODUCE!$EB$57:$IY$57)</f>
        <v>0</v>
      </c>
      <c r="AAP382" s="56"/>
      <c r="AAQ382" s="242">
        <f t="shared" si="2719"/>
        <v>0</v>
      </c>
      <c r="AAR382" s="242">
        <f t="shared" si="2720"/>
        <v>0</v>
      </c>
      <c r="AAS382" s="56"/>
      <c r="AAV382" s="55">
        <f t="shared" si="2721"/>
        <v>46348</v>
      </c>
      <c r="AAW382" s="56"/>
      <c r="AAX382" s="242">
        <f>SUMPRODUCT(PRODUCE!$B377:$DY377,PRODUCE!$EB$57:$IY$57)</f>
        <v>0</v>
      </c>
      <c r="AAY382" s="56"/>
      <c r="AAZ382" s="242">
        <f t="shared" si="2722"/>
        <v>0</v>
      </c>
      <c r="ABA382" s="242">
        <f t="shared" si="2723"/>
        <v>0</v>
      </c>
      <c r="ABB382" s="56"/>
      <c r="ABE382" s="55">
        <f t="shared" si="2724"/>
        <v>46348</v>
      </c>
      <c r="ABF382" s="56"/>
      <c r="ABG382" s="242">
        <f>SUMPRODUCT(PRODUCE!$B377:$DY377,PRODUCE!$EB$57:$IY$57)</f>
        <v>0</v>
      </c>
      <c r="ABH382" s="56"/>
      <c r="ABI382" s="242">
        <f t="shared" si="2725"/>
        <v>0</v>
      </c>
      <c r="ABJ382" s="242">
        <f t="shared" si="2726"/>
        <v>0</v>
      </c>
      <c r="ABK382" s="56"/>
    </row>
    <row r="383" spans="2:739" s="54" customFormat="1" ht="15" customHeight="1" outlineLevel="1">
      <c r="B383" s="478"/>
      <c r="C383" s="55">
        <v>46349</v>
      </c>
      <c r="D383" s="56"/>
      <c r="E383" s="57">
        <f>SUMPRODUCT(PRODUCE!$B378:$DY378,PRODUCE!$EB$7:$IY$7)</f>
        <v>0</v>
      </c>
      <c r="F383" s="56"/>
      <c r="G383" s="57">
        <f t="shared" si="2482"/>
        <v>0</v>
      </c>
      <c r="H383" s="57">
        <f t="shared" si="2483"/>
        <v>236936.6</v>
      </c>
      <c r="I383" s="289"/>
      <c r="L383" s="55">
        <f t="shared" si="2484"/>
        <v>46349</v>
      </c>
      <c r="M383" s="56"/>
      <c r="N383" s="59">
        <f>SUMPRODUCT(PRODUCE!$B378:$DY378,PRODUCE!$EB$8:$IY$8)</f>
        <v>0</v>
      </c>
      <c r="O383" s="56"/>
      <c r="P383" s="59">
        <f t="shared" si="2485"/>
        <v>0</v>
      </c>
      <c r="Q383" s="59">
        <f t="shared" si="2486"/>
        <v>53017.600000000071</v>
      </c>
      <c r="R383" s="56"/>
      <c r="U383" s="55">
        <f t="shared" si="2487"/>
        <v>46349</v>
      </c>
      <c r="V383" s="56"/>
      <c r="W383" s="60">
        <f>SUMPRODUCT(PRODUCE!$B378:$DY378,PRODUCE!$EB$9:$IY$9)</f>
        <v>0</v>
      </c>
      <c r="X383" s="56"/>
      <c r="Y383" s="60">
        <f t="shared" si="2488"/>
        <v>0</v>
      </c>
      <c r="Z383" s="60">
        <f t="shared" si="2489"/>
        <v>42674.199999999968</v>
      </c>
      <c r="AA383" s="56"/>
      <c r="AD383" s="55">
        <f t="shared" si="2490"/>
        <v>46349</v>
      </c>
      <c r="AE383" s="56"/>
      <c r="AF383" s="61">
        <f>SUMPRODUCT(PRODUCE!$B378:$DY378,PRODUCE!$EB$10:$IY$10)</f>
        <v>0</v>
      </c>
      <c r="AG383" s="56"/>
      <c r="AH383" s="61">
        <f t="shared" si="2491"/>
        <v>0</v>
      </c>
      <c r="AI383" s="61">
        <f t="shared" si="2492"/>
        <v>4522.2000000000189</v>
      </c>
      <c r="AJ383" s="56"/>
      <c r="AM383" s="55">
        <f t="shared" si="2493"/>
        <v>46349</v>
      </c>
      <c r="AN383" s="422"/>
      <c r="AO383" s="444">
        <f>SUMPRODUCT(PRODUCE!$B378:$DY378,PRODUCE!$EB$11:$IY$11)</f>
        <v>0</v>
      </c>
      <c r="AP383" s="422"/>
      <c r="AQ383" s="444">
        <f t="shared" si="2494"/>
        <v>0</v>
      </c>
      <c r="AR383" s="444">
        <f t="shared" si="2495"/>
        <v>0</v>
      </c>
      <c r="AS383" s="56"/>
      <c r="AV383" s="55">
        <f t="shared" si="2496"/>
        <v>46349</v>
      </c>
      <c r="AW383" s="56"/>
      <c r="AX383" s="62">
        <f>SUMPRODUCT(PRODUCE!$B378:$DY378,PRODUCE!$EB$12:$IY$12)</f>
        <v>0</v>
      </c>
      <c r="AY383" s="56"/>
      <c r="AZ383" s="62">
        <f t="shared" si="2497"/>
        <v>0</v>
      </c>
      <c r="BA383" s="62">
        <f t="shared" si="2498"/>
        <v>124.99999999999523</v>
      </c>
      <c r="BB383" s="56"/>
      <c r="BE383" s="55">
        <f t="shared" si="2499"/>
        <v>46349</v>
      </c>
      <c r="BF383" s="56"/>
      <c r="BG383" s="63">
        <f>SUMPRODUCT(PRODUCE!$B378:$DY378,PRODUCE!$EB$13:$IY$13)</f>
        <v>0</v>
      </c>
      <c r="BH383" s="56"/>
      <c r="BI383" s="63">
        <f t="shared" si="2500"/>
        <v>0</v>
      </c>
      <c r="BJ383" s="63">
        <f t="shared" si="2501"/>
        <v>26151.899999999998</v>
      </c>
      <c r="BK383" s="56"/>
      <c r="BN383" s="55">
        <f t="shared" si="2502"/>
        <v>46349</v>
      </c>
      <c r="BO383" s="56"/>
      <c r="BP383" s="64">
        <f>SUMPRODUCT(PRODUCE!$B378:$DY378,PRODUCE!$EB$14:$IY$14)</f>
        <v>0</v>
      </c>
      <c r="BQ383" s="56"/>
      <c r="BR383" s="64">
        <f t="shared" si="2503"/>
        <v>0</v>
      </c>
      <c r="BS383" s="64">
        <f t="shared" si="2504"/>
        <v>0</v>
      </c>
      <c r="BT383" s="56"/>
      <c r="BW383" s="55">
        <f t="shared" si="2505"/>
        <v>46349</v>
      </c>
      <c r="BX383" s="56"/>
      <c r="BY383" s="65">
        <f>SUMPRODUCT(PRODUCE!$B378:$DY378,PRODUCE!$EB$15:$IY$15)</f>
        <v>0</v>
      </c>
      <c r="BZ383" s="56"/>
      <c r="CA383" s="65">
        <f t="shared" si="2506"/>
        <v>0</v>
      </c>
      <c r="CB383" s="65">
        <f t="shared" si="2507"/>
        <v>2097.3399999999992</v>
      </c>
      <c r="CC383" s="56"/>
      <c r="CF383" s="55">
        <f t="shared" si="2508"/>
        <v>46349</v>
      </c>
      <c r="CG383" s="56"/>
      <c r="CH383" s="66">
        <f>SUMPRODUCT(PRODUCE!$B378:$DY378,PRODUCE!$EB$16:$IY$16)</f>
        <v>0</v>
      </c>
      <c r="CI383" s="56"/>
      <c r="CJ383" s="66">
        <f t="shared" si="2509"/>
        <v>0</v>
      </c>
      <c r="CK383" s="66">
        <f t="shared" si="2510"/>
        <v>-10277.079999999998</v>
      </c>
      <c r="CL383" s="56"/>
      <c r="CO383" s="55">
        <f t="shared" si="2511"/>
        <v>46349</v>
      </c>
      <c r="CP383" s="422"/>
      <c r="CQ383" s="470">
        <f>SUMPRODUCT(PRODUCE!$B378:$DY378,PRODUCE!$EB$17:$IY$17)</f>
        <v>0</v>
      </c>
      <c r="CR383" s="422"/>
      <c r="CS383" s="470">
        <f t="shared" si="2512"/>
        <v>0</v>
      </c>
      <c r="CT383" s="470">
        <f t="shared" si="2513"/>
        <v>0</v>
      </c>
      <c r="CU383" s="56"/>
      <c r="CX383" s="55">
        <f t="shared" si="2514"/>
        <v>46349</v>
      </c>
      <c r="CY383" s="56"/>
      <c r="CZ383" s="133">
        <f>SUMPRODUCT(PRODUCE!$B378:$DY378,PRODUCE!$EB$18:$IY$18)</f>
        <v>0</v>
      </c>
      <c r="DA383" s="56"/>
      <c r="DB383" s="133">
        <f t="shared" si="2515"/>
        <v>0</v>
      </c>
      <c r="DC383" s="133">
        <f t="shared" si="2516"/>
        <v>27438.200000000012</v>
      </c>
      <c r="DD383" s="56"/>
      <c r="DG383" s="55">
        <f t="shared" si="2517"/>
        <v>46349</v>
      </c>
      <c r="DH383" s="56"/>
      <c r="DI383" s="147">
        <f>SUMPRODUCT(PRODUCE!$B378:$DY378,PRODUCE!$EB$19:$IY$19)</f>
        <v>0</v>
      </c>
      <c r="DJ383" s="56"/>
      <c r="DK383" s="147">
        <f t="shared" si="2518"/>
        <v>0</v>
      </c>
      <c r="DL383" s="147">
        <f t="shared" si="2519"/>
        <v>18782.299999999981</v>
      </c>
      <c r="DM383" s="56"/>
      <c r="DP383" s="55">
        <f t="shared" si="2520"/>
        <v>46349</v>
      </c>
      <c r="DQ383" s="56"/>
      <c r="DR383" s="57">
        <f>SUMPRODUCT(PRODUCE!$B378:$DY378,PRODUCE!$EB$20:$IY$20)</f>
        <v>0</v>
      </c>
      <c r="DS383" s="56"/>
      <c r="DT383" s="57">
        <f t="shared" si="2521"/>
        <v>0</v>
      </c>
      <c r="DU383" s="57">
        <f t="shared" si="2522"/>
        <v>5800</v>
      </c>
      <c r="DV383" s="56"/>
      <c r="DY383" s="55">
        <f t="shared" si="2523"/>
        <v>46349</v>
      </c>
      <c r="DZ383" s="56"/>
      <c r="EA383" s="157">
        <f>SUMPRODUCT(PRODUCE!$B378:$DY378,PRODUCE!$EB$21:$IY$21)</f>
        <v>0</v>
      </c>
      <c r="EB383" s="56"/>
      <c r="EC383" s="157">
        <f t="shared" si="2524"/>
        <v>0</v>
      </c>
      <c r="ED383" s="157">
        <f t="shared" si="2525"/>
        <v>0</v>
      </c>
      <c r="EE383" s="56"/>
      <c r="EH383" s="55">
        <f t="shared" si="2526"/>
        <v>46349</v>
      </c>
      <c r="EI383" s="56"/>
      <c r="EJ383" s="162">
        <f>SUMPRODUCT(PRODUCE!$B378:$DY378,PRODUCE!$EB$22:$IY$22)</f>
        <v>0</v>
      </c>
      <c r="EK383" s="56"/>
      <c r="EL383" s="162">
        <f t="shared" si="2527"/>
        <v>0</v>
      </c>
      <c r="EM383" s="162">
        <f t="shared" si="2528"/>
        <v>0</v>
      </c>
      <c r="EN383" s="56"/>
      <c r="EQ383" s="55">
        <f t="shared" si="2529"/>
        <v>46349</v>
      </c>
      <c r="ER383" s="56"/>
      <c r="ES383" s="135">
        <f>SUMPRODUCT(PRODUCE!$B378:$DY378,PRODUCE!$EB$23:$IY$23)</f>
        <v>0</v>
      </c>
      <c r="ET383" s="56"/>
      <c r="EU383" s="135">
        <f t="shared" si="2530"/>
        <v>0</v>
      </c>
      <c r="EV383" s="135">
        <f t="shared" si="2531"/>
        <v>0</v>
      </c>
      <c r="EW383" s="56"/>
      <c r="EZ383" s="55">
        <f t="shared" si="2532"/>
        <v>46349</v>
      </c>
      <c r="FA383" s="56"/>
      <c r="FB383" s="175">
        <f>SUMPRODUCT(PRODUCE!$B378:$DY378,PRODUCE!$EB$24:$IY$24)</f>
        <v>0</v>
      </c>
      <c r="FC383" s="56"/>
      <c r="FD383" s="175">
        <f t="shared" si="2533"/>
        <v>0</v>
      </c>
      <c r="FE383" s="175">
        <f t="shared" si="2534"/>
        <v>0</v>
      </c>
      <c r="FF383" s="56"/>
      <c r="FI383" s="55">
        <f t="shared" si="2535"/>
        <v>46349</v>
      </c>
      <c r="FJ383" s="56"/>
      <c r="FK383" s="183">
        <f>SUMPRODUCT(PRODUCE!$B378:$DY378,PRODUCE!$EB$25:$IY$25)</f>
        <v>0</v>
      </c>
      <c r="FL383" s="56"/>
      <c r="FM383" s="183">
        <f t="shared" si="2536"/>
        <v>0</v>
      </c>
      <c r="FN383" s="183">
        <f t="shared" si="2537"/>
        <v>0</v>
      </c>
      <c r="FO383" s="56"/>
      <c r="FR383" s="55">
        <f t="shared" si="2538"/>
        <v>46349</v>
      </c>
      <c r="FS383" s="56"/>
      <c r="FT383" s="186">
        <f>SUMPRODUCT(PRODUCE!$B378:$DY378,PRODUCE!$EB$26:$IY$26)</f>
        <v>0</v>
      </c>
      <c r="FU383" s="56"/>
      <c r="FV383" s="186">
        <f t="shared" si="2539"/>
        <v>0</v>
      </c>
      <c r="FW383" s="186">
        <f t="shared" si="2540"/>
        <v>2020</v>
      </c>
      <c r="FX383" s="56"/>
      <c r="GA383" s="55">
        <f t="shared" si="2541"/>
        <v>46349</v>
      </c>
      <c r="GB383" s="56"/>
      <c r="GC383" s="137">
        <f>SUMPRODUCT(PRODUCE!$B378:$DY378,PRODUCE!$EB$27:$IY$27)</f>
        <v>0</v>
      </c>
      <c r="GD383" s="56"/>
      <c r="GE383" s="137">
        <f t="shared" si="2542"/>
        <v>0</v>
      </c>
      <c r="GF383" s="137">
        <f t="shared" si="2543"/>
        <v>960</v>
      </c>
      <c r="GG383" s="56"/>
      <c r="GI383" s="23"/>
      <c r="GJ383" s="55">
        <f t="shared" si="2544"/>
        <v>46349</v>
      </c>
      <c r="GK383" s="56"/>
      <c r="GL383" s="199">
        <f>SUMPRODUCT(PRODUCE!$B378:$DY378,PRODUCE!$EB$28:$IY$28)</f>
        <v>0</v>
      </c>
      <c r="GM383" s="56"/>
      <c r="GN383" s="199">
        <f t="shared" si="2545"/>
        <v>0</v>
      </c>
      <c r="GO383" s="199">
        <f t="shared" si="2546"/>
        <v>1760</v>
      </c>
      <c r="GP383" s="56"/>
      <c r="GS383" s="55">
        <f t="shared" si="2547"/>
        <v>46349</v>
      </c>
      <c r="GT383" s="56"/>
      <c r="GU383" s="195">
        <f>SUMPRODUCT(PRODUCE!$B378:$DY378,PRODUCE!$EB$29:$IY$29)</f>
        <v>0</v>
      </c>
      <c r="GV383" s="56"/>
      <c r="GW383" s="195">
        <f t="shared" si="2548"/>
        <v>0</v>
      </c>
      <c r="GX383" s="195">
        <f t="shared" si="2549"/>
        <v>400</v>
      </c>
      <c r="GY383" s="56"/>
      <c r="HB383" s="55">
        <f t="shared" si="2550"/>
        <v>46349</v>
      </c>
      <c r="HC383" s="56"/>
      <c r="HD383" s="191">
        <f>SUMPRODUCT(PRODUCE!$B378:$DY378,PRODUCE!$EB$30:$IY$30)</f>
        <v>0</v>
      </c>
      <c r="HE383" s="56"/>
      <c r="HF383" s="191">
        <f t="shared" si="2551"/>
        <v>0</v>
      </c>
      <c r="HG383" s="191">
        <f t="shared" si="2552"/>
        <v>3600</v>
      </c>
      <c r="HH383" s="56"/>
      <c r="HK383" s="55">
        <f t="shared" si="2553"/>
        <v>46349</v>
      </c>
      <c r="HL383" s="56"/>
      <c r="HM383" s="63">
        <f>SUMPRODUCT(PRODUCE!$B378:$DY378,PRODUCE!$EB$31:$IY$31)</f>
        <v>0</v>
      </c>
      <c r="HN383" s="56"/>
      <c r="HO383" s="63">
        <f t="shared" si="2554"/>
        <v>0</v>
      </c>
      <c r="HP383" s="63">
        <f t="shared" si="2555"/>
        <v>0</v>
      </c>
      <c r="HQ383" s="56"/>
      <c r="HU383" s="55">
        <f t="shared" si="2556"/>
        <v>46349</v>
      </c>
      <c r="HV383" s="56"/>
      <c r="HW383" s="242">
        <f>SUMPRODUCT(PRODUCE!$B378:$DY378,PRODUCE!$EB$32:$IY$32)</f>
        <v>0</v>
      </c>
      <c r="HX383" s="56"/>
      <c r="HY383" s="242">
        <f t="shared" si="2557"/>
        <v>0</v>
      </c>
      <c r="HZ383" s="242">
        <f t="shared" si="2558"/>
        <v>6120</v>
      </c>
      <c r="IA383" s="56"/>
      <c r="ID383" s="55">
        <f t="shared" si="2559"/>
        <v>46349</v>
      </c>
      <c r="IE383" s="56"/>
      <c r="IF383" s="242">
        <f>SUMPRODUCT(PRODUCE!$B378:$DY378,PRODUCE!$EB$33:$IY$33)</f>
        <v>0</v>
      </c>
      <c r="IG383" s="56"/>
      <c r="IH383" s="242">
        <f t="shared" si="2560"/>
        <v>0</v>
      </c>
      <c r="II383" s="242">
        <f t="shared" si="2561"/>
        <v>0</v>
      </c>
      <c r="IJ383" s="56"/>
      <c r="IM383" s="55">
        <f t="shared" si="2562"/>
        <v>46349</v>
      </c>
      <c r="IN383" s="56"/>
      <c r="IO383" s="242">
        <f>SUMPRODUCT(PRODUCE!$B378:$DY378,PRODUCE!$EB$34:$IY$34)</f>
        <v>0</v>
      </c>
      <c r="IP383" s="56"/>
      <c r="IQ383" s="242">
        <f t="shared" si="2563"/>
        <v>0</v>
      </c>
      <c r="IR383" s="242">
        <f t="shared" si="2564"/>
        <v>0</v>
      </c>
      <c r="IS383" s="56"/>
      <c r="IV383" s="55">
        <f t="shared" si="2565"/>
        <v>46349</v>
      </c>
      <c r="IW383" s="56"/>
      <c r="IX383" s="242">
        <f>SUMPRODUCT(PRODUCE!$B378:$DY378,PRODUCE!$EB$35:$IY$35)</f>
        <v>0</v>
      </c>
      <c r="IY383" s="56"/>
      <c r="IZ383" s="242">
        <f t="shared" si="2566"/>
        <v>0</v>
      </c>
      <c r="JA383" s="242">
        <f t="shared" si="2567"/>
        <v>2820</v>
      </c>
      <c r="JB383" s="56"/>
      <c r="JE383" s="55">
        <f t="shared" si="2568"/>
        <v>46349</v>
      </c>
      <c r="JF383" s="56"/>
      <c r="JG383" s="242">
        <f>SUMPRODUCT(PRODUCE!$B378:$DY378,PRODUCE!$EB$36:$IY$36)</f>
        <v>0</v>
      </c>
      <c r="JH383" s="56"/>
      <c r="JI383" s="242">
        <f t="shared" si="2569"/>
        <v>0</v>
      </c>
      <c r="JJ383" s="242">
        <f t="shared" si="2570"/>
        <v>0</v>
      </c>
      <c r="JK383" s="56"/>
      <c r="JN383" s="55">
        <f t="shared" si="2571"/>
        <v>46349</v>
      </c>
      <c r="JO383" s="56"/>
      <c r="JP383" s="242">
        <f>SUMPRODUCT(PRODUCE!$B378:$DY378,PRODUCE!$EB$37:$IY$37)</f>
        <v>0</v>
      </c>
      <c r="JQ383" s="56"/>
      <c r="JR383" s="242">
        <f t="shared" si="2572"/>
        <v>0</v>
      </c>
      <c r="JS383" s="242">
        <f t="shared" si="2573"/>
        <v>0</v>
      </c>
      <c r="JT383" s="56"/>
      <c r="JW383" s="55">
        <f t="shared" si="2574"/>
        <v>46349</v>
      </c>
      <c r="JX383" s="56"/>
      <c r="JY383" s="242">
        <f>SUMPRODUCT(PRODUCE!$B378:$DY378,PRODUCE!$EB$38:$IY$38)</f>
        <v>0</v>
      </c>
      <c r="JZ383" s="56"/>
      <c r="KA383" s="242">
        <f t="shared" si="2575"/>
        <v>0</v>
      </c>
      <c r="KB383" s="242">
        <f t="shared" si="2576"/>
        <v>2540</v>
      </c>
      <c r="KC383" s="56"/>
      <c r="KF383" s="55">
        <f t="shared" si="2577"/>
        <v>46349</v>
      </c>
      <c r="KG383" s="56"/>
      <c r="KH383" s="242">
        <f>SUMPRODUCT(PRODUCE!$B378:$DY378,PRODUCE!$EB$39:$IY$39)</f>
        <v>0</v>
      </c>
      <c r="KI383" s="56"/>
      <c r="KJ383" s="242">
        <f t="shared" si="2578"/>
        <v>0</v>
      </c>
      <c r="KK383" s="242">
        <f t="shared" si="2579"/>
        <v>2359.5</v>
      </c>
      <c r="KL383" s="56"/>
      <c r="KO383" s="55">
        <f t="shared" si="2580"/>
        <v>46349</v>
      </c>
      <c r="KP383" s="56"/>
      <c r="KQ383" s="242">
        <f>SUMPRODUCT(PRODUCE!$B378:$DY378,PRODUCE!$EB$40:$IY$40)</f>
        <v>0</v>
      </c>
      <c r="KR383" s="56"/>
      <c r="KS383" s="242">
        <f t="shared" si="2581"/>
        <v>0</v>
      </c>
      <c r="KT383" s="242">
        <f t="shared" si="2582"/>
        <v>1890</v>
      </c>
      <c r="KU383" s="56"/>
      <c r="KW383" s="23"/>
      <c r="KX383" s="55">
        <f t="shared" si="2583"/>
        <v>46349</v>
      </c>
      <c r="KY383" s="56"/>
      <c r="KZ383" s="242">
        <f>SUMPRODUCT(PRODUCE!$B378:$DY378,PRODUCE!$EB$41:$IY$41)</f>
        <v>0</v>
      </c>
      <c r="LA383" s="56"/>
      <c r="LB383" s="242">
        <f t="shared" si="2584"/>
        <v>0</v>
      </c>
      <c r="LC383" s="242">
        <f t="shared" si="2585"/>
        <v>3690</v>
      </c>
      <c r="LD383" s="56"/>
      <c r="LG383" s="55">
        <f t="shared" si="2586"/>
        <v>46349</v>
      </c>
      <c r="LH383" s="56"/>
      <c r="LI383" s="242">
        <f>SUMPRODUCT(PRODUCE!$B378:$DY378,PRODUCE!$EB$42:$IY$42)</f>
        <v>0</v>
      </c>
      <c r="LJ383" s="56"/>
      <c r="LK383" s="242">
        <f t="shared" si="2587"/>
        <v>0</v>
      </c>
      <c r="LL383" s="242">
        <f t="shared" si="2588"/>
        <v>4000</v>
      </c>
      <c r="LM383" s="56"/>
      <c r="LP383" s="55">
        <f t="shared" si="2589"/>
        <v>46349</v>
      </c>
      <c r="LQ383" s="56"/>
      <c r="LR383" s="242">
        <f>SUMPRODUCT(PRODUCE!$B398:$DY398,PRODUCE!$EB$43:$IY$43)</f>
        <v>0</v>
      </c>
      <c r="LS383" s="56"/>
      <c r="LT383" s="242">
        <f t="shared" si="2590"/>
        <v>0</v>
      </c>
      <c r="LU383" s="242">
        <f t="shared" si="2591"/>
        <v>0</v>
      </c>
      <c r="LV383" s="56"/>
      <c r="LY383" s="55">
        <f t="shared" si="2592"/>
        <v>46349</v>
      </c>
      <c r="LZ383" s="56"/>
      <c r="MA383" s="242">
        <f>SUMPRODUCT(PRODUCE!$B378:$DY378,PRODUCE!$EB$44:$IY$44)</f>
        <v>0</v>
      </c>
      <c r="MB383" s="56"/>
      <c r="MC383" s="242">
        <f t="shared" si="2593"/>
        <v>0</v>
      </c>
      <c r="MD383" s="242">
        <f t="shared" si="2594"/>
        <v>0</v>
      </c>
      <c r="ME383" s="56"/>
      <c r="MH383" s="55">
        <f t="shared" si="2595"/>
        <v>46349</v>
      </c>
      <c r="MI383" s="56"/>
      <c r="MJ383" s="242">
        <f>SUMPRODUCT(PRODUCE!$B378:$DY378,PRODUCE!$EB$45:$IY$45)</f>
        <v>0</v>
      </c>
      <c r="MK383" s="56"/>
      <c r="ML383" s="242">
        <f t="shared" si="2596"/>
        <v>0</v>
      </c>
      <c r="MM383" s="242">
        <f t="shared" si="2597"/>
        <v>0</v>
      </c>
      <c r="MN383" s="56"/>
      <c r="MQ383" s="55">
        <f t="shared" si="2598"/>
        <v>46349</v>
      </c>
      <c r="MR383" s="56"/>
      <c r="MS383" s="242">
        <f>SUMPRODUCT(PRODUCE!$B378:$DY378,PRODUCE!$EB$46:$IY$46)</f>
        <v>0</v>
      </c>
      <c r="MT383" s="56"/>
      <c r="MU383" s="242">
        <f t="shared" si="2599"/>
        <v>0</v>
      </c>
      <c r="MV383" s="242">
        <f t="shared" si="2600"/>
        <v>1625</v>
      </c>
      <c r="MW383" s="56"/>
      <c r="MZ383" s="55">
        <f t="shared" si="2601"/>
        <v>46349</v>
      </c>
      <c r="NA383" s="56"/>
      <c r="NB383" s="242">
        <f>SUMPRODUCT(PRODUCE!$B378:$DY378,PRODUCE!$EB$47:$IY$47)</f>
        <v>0</v>
      </c>
      <c r="NC383" s="56"/>
      <c r="ND383" s="242">
        <f t="shared" si="2602"/>
        <v>0</v>
      </c>
      <c r="NE383" s="242">
        <f t="shared" si="2603"/>
        <v>0</v>
      </c>
      <c r="NF383" s="56"/>
      <c r="NI383" s="55">
        <f t="shared" si="2604"/>
        <v>46349</v>
      </c>
      <c r="NJ383" s="56"/>
      <c r="NK383" s="242">
        <f>SUMPRODUCT(PRODUCE!$B378:$DY378,PRODUCE!$EB$48:$IY$48)</f>
        <v>0</v>
      </c>
      <c r="NL383" s="56"/>
      <c r="NM383" s="242">
        <f t="shared" si="2605"/>
        <v>0</v>
      </c>
      <c r="NN383" s="242">
        <f t="shared" si="2606"/>
        <v>1127</v>
      </c>
      <c r="NO383" s="56"/>
      <c r="NR383" s="55">
        <f t="shared" si="2607"/>
        <v>46349</v>
      </c>
      <c r="NS383" s="56"/>
      <c r="NT383" s="242">
        <f>SUMPRODUCT(PRODUCE!$B378:$DY378,PRODUCE!$EB$49:$IY$49)</f>
        <v>0</v>
      </c>
      <c r="NU383" s="56"/>
      <c r="NV383" s="242">
        <f t="shared" si="2608"/>
        <v>0</v>
      </c>
      <c r="NW383" s="242">
        <f t="shared" si="2609"/>
        <v>3111.9999999999995</v>
      </c>
      <c r="NX383" s="56"/>
      <c r="OA383" s="55">
        <f t="shared" si="2610"/>
        <v>46349</v>
      </c>
      <c r="OB383" s="56"/>
      <c r="OC383" s="242">
        <f>SUMPRODUCT(PRODUCE!$B378:$DY378,PRODUCE!$EB$50:$IY$50)</f>
        <v>0</v>
      </c>
      <c r="OD383" s="56"/>
      <c r="OE383" s="242">
        <f t="shared" si="2611"/>
        <v>0</v>
      </c>
      <c r="OF383" s="242">
        <f t="shared" si="2612"/>
        <v>1680.5</v>
      </c>
      <c r="OG383" s="56"/>
      <c r="OJ383" s="55">
        <f t="shared" si="2613"/>
        <v>46349</v>
      </c>
      <c r="OK383" s="56"/>
      <c r="OL383" s="242">
        <f>SUMPRODUCT(PRODUCE!$B378:$DY378,PRODUCE!$EB$51:$IY$51)</f>
        <v>0</v>
      </c>
      <c r="OM383" s="56"/>
      <c r="ON383" s="242">
        <f t="shared" si="2614"/>
        <v>0</v>
      </c>
      <c r="OO383" s="242">
        <f t="shared" si="2615"/>
        <v>0</v>
      </c>
      <c r="OP383" s="56"/>
      <c r="OS383" s="55">
        <f t="shared" si="2616"/>
        <v>46349</v>
      </c>
      <c r="OT383" s="56"/>
      <c r="OU383" s="242">
        <f>SUMPRODUCT(PRODUCE!$B378:$DY378,PRODUCE!$EB$52:$IY$52)</f>
        <v>0</v>
      </c>
      <c r="OV383" s="56"/>
      <c r="OW383" s="242">
        <f t="shared" si="2617"/>
        <v>0</v>
      </c>
      <c r="OX383" s="242">
        <f t="shared" si="2618"/>
        <v>1482</v>
      </c>
      <c r="OY383" s="56"/>
      <c r="PB383" s="55">
        <f t="shared" si="2619"/>
        <v>46349</v>
      </c>
      <c r="PC383" s="56"/>
      <c r="PD383" s="242">
        <f>SUMPRODUCT(PRODUCE!$B378:$DY378,PRODUCE!$EB$53:$IY$53)</f>
        <v>0</v>
      </c>
      <c r="PE383" s="56"/>
      <c r="PF383" s="242">
        <f t="shared" si="2620"/>
        <v>0</v>
      </c>
      <c r="PG383" s="242">
        <f t="shared" si="2621"/>
        <v>0</v>
      </c>
      <c r="PH383" s="56"/>
      <c r="PK383" s="55">
        <f t="shared" si="2622"/>
        <v>46349</v>
      </c>
      <c r="PL383" s="56"/>
      <c r="PM383" s="242">
        <f>SUMPRODUCT(PRODUCE!$B378:$DY378,PRODUCE!$EB$54:$IY$54)</f>
        <v>0</v>
      </c>
      <c r="PN383" s="56"/>
      <c r="PO383" s="242">
        <f t="shared" si="2623"/>
        <v>0</v>
      </c>
      <c r="PP383" s="242">
        <f t="shared" si="2624"/>
        <v>100</v>
      </c>
      <c r="PQ383" s="56"/>
      <c r="PT383" s="55">
        <f t="shared" si="2625"/>
        <v>46349</v>
      </c>
      <c r="PU383" s="56"/>
      <c r="PV383" s="242">
        <f>SUMPRODUCT(PRODUCE!$B378:$DY378,PRODUCE!$EB$55:$IY$55)</f>
        <v>0</v>
      </c>
      <c r="PW383" s="56"/>
      <c r="PX383" s="242">
        <f t="shared" si="2626"/>
        <v>0</v>
      </c>
      <c r="PY383" s="242">
        <f t="shared" si="2627"/>
        <v>13.960000000000036</v>
      </c>
      <c r="PZ383" s="56"/>
      <c r="QC383" s="55">
        <f t="shared" si="2628"/>
        <v>46349</v>
      </c>
      <c r="QD383" s="56"/>
      <c r="QE383" s="242">
        <f>SUMPRODUCT(PRODUCE!$B378:$DY378,PRODUCE!$EB$56:$IY$56)</f>
        <v>0</v>
      </c>
      <c r="QF383" s="56"/>
      <c r="QG383" s="242">
        <f t="shared" si="2629"/>
        <v>0</v>
      </c>
      <c r="QH383" s="242">
        <f t="shared" si="2630"/>
        <v>548</v>
      </c>
      <c r="QI383" s="56"/>
      <c r="QL383" s="55">
        <f t="shared" si="2631"/>
        <v>46349</v>
      </c>
      <c r="QM383" s="56"/>
      <c r="QN383" s="242">
        <f>SUMPRODUCT(PRODUCE!$B378:$DY378,PRODUCE!$EB$57:$IY$57)</f>
        <v>0</v>
      </c>
      <c r="QO383" s="56"/>
      <c r="QP383" s="242">
        <f t="shared" si="2632"/>
        <v>0</v>
      </c>
      <c r="QQ383" s="242">
        <f t="shared" si="2633"/>
        <v>0</v>
      </c>
      <c r="QR383" s="56"/>
      <c r="QU383" s="55">
        <f t="shared" si="2634"/>
        <v>46349</v>
      </c>
      <c r="QV383" s="56"/>
      <c r="QW383" s="242">
        <f>SUMPRODUCT(PRODUCE!$B378:$DY378,PRODUCE!$EB$57:$IY$57)</f>
        <v>0</v>
      </c>
      <c r="QX383" s="56"/>
      <c r="QY383" s="242">
        <f t="shared" si="2635"/>
        <v>0</v>
      </c>
      <c r="QZ383" s="242">
        <f t="shared" si="2636"/>
        <v>0</v>
      </c>
      <c r="RA383" s="56"/>
      <c r="RD383" s="55">
        <f t="shared" si="2637"/>
        <v>46349</v>
      </c>
      <c r="RE383" s="56"/>
      <c r="RF383" s="242">
        <f>SUMPRODUCT(PRODUCE!$B378:$DY378,PRODUCE!$EB$58:$IY$58)</f>
        <v>0</v>
      </c>
      <c r="RG383" s="56"/>
      <c r="RH383" s="242">
        <f t="shared" si="2638"/>
        <v>0</v>
      </c>
      <c r="RI383" s="242">
        <f t="shared" si="2639"/>
        <v>147.04000000000002</v>
      </c>
      <c r="RJ383" s="56"/>
      <c r="RM383" s="55">
        <f t="shared" si="2640"/>
        <v>46349</v>
      </c>
      <c r="RN383" s="56"/>
      <c r="RO383" s="242">
        <f>SUMPRODUCT(PRODUCE!$B378:$DY378,PRODUCE!$EB$57:$IY$57)</f>
        <v>0</v>
      </c>
      <c r="RP383" s="56"/>
      <c r="RQ383" s="242">
        <f t="shared" si="2641"/>
        <v>0</v>
      </c>
      <c r="RR383" s="242">
        <f t="shared" si="2642"/>
        <v>46.8</v>
      </c>
      <c r="RS383" s="56"/>
      <c r="RV383" s="55">
        <f t="shared" si="2643"/>
        <v>46349</v>
      </c>
      <c r="RW383" s="56"/>
      <c r="RX383" s="242">
        <f>SUMPRODUCT(PRODUCE!$B378:$DY378,PRODUCE!$EB$57:$IY$57)</f>
        <v>0</v>
      </c>
      <c r="RY383" s="56"/>
      <c r="RZ383" s="242">
        <f t="shared" si="2644"/>
        <v>0</v>
      </c>
      <c r="SA383" s="242">
        <f t="shared" si="2645"/>
        <v>0</v>
      </c>
      <c r="SB383" s="56"/>
      <c r="SE383" s="55">
        <f t="shared" si="2646"/>
        <v>46349</v>
      </c>
      <c r="SF383" s="56"/>
      <c r="SG383" s="242">
        <f>SUMPRODUCT(PRODUCE!$B378:$DY378,PRODUCE!$EB$61:$IY$61)</f>
        <v>0</v>
      </c>
      <c r="SH383" s="56"/>
      <c r="SI383" s="242">
        <f t="shared" si="2647"/>
        <v>0</v>
      </c>
      <c r="SJ383" s="242">
        <f t="shared" si="2648"/>
        <v>24.200000000000003</v>
      </c>
      <c r="SK383" s="56"/>
      <c r="SN383" s="55">
        <f t="shared" si="2649"/>
        <v>46349</v>
      </c>
      <c r="SO383" s="56"/>
      <c r="SP383" s="242">
        <f>SUMPRODUCT(PRODUCE!$B378:$DY378,PRODUCE!$EB$57:$IY$57)</f>
        <v>0</v>
      </c>
      <c r="SQ383" s="56"/>
      <c r="SR383" s="242">
        <f t="shared" si="2650"/>
        <v>0</v>
      </c>
      <c r="SS383" s="242">
        <f t="shared" si="2651"/>
        <v>32</v>
      </c>
      <c r="ST383" s="56"/>
      <c r="SW383" s="55">
        <f t="shared" si="2652"/>
        <v>46349</v>
      </c>
      <c r="SX383" s="56"/>
      <c r="SY383" s="242">
        <f>SUMPRODUCT(PRODUCE!$B378:$DY378,PRODUCE!$EB$57:$IY$57)</f>
        <v>0</v>
      </c>
      <c r="SZ383" s="56"/>
      <c r="TA383" s="242">
        <f t="shared" si="2653"/>
        <v>0</v>
      </c>
      <c r="TB383" s="242">
        <f t="shared" si="2654"/>
        <v>0</v>
      </c>
      <c r="TC383" s="56"/>
      <c r="TF383" s="55">
        <f t="shared" si="2655"/>
        <v>46349</v>
      </c>
      <c r="TG383" s="56"/>
      <c r="TH383" s="242">
        <f>SUMPRODUCT(PRODUCE!$B378:$DY378,PRODUCE!$EB$57:$IY$57)</f>
        <v>0</v>
      </c>
      <c r="TI383" s="56"/>
      <c r="TJ383" s="242">
        <f t="shared" si="2656"/>
        <v>0</v>
      </c>
      <c r="TK383" s="242">
        <f t="shared" si="2657"/>
        <v>0</v>
      </c>
      <c r="TL383" s="56"/>
      <c r="TO383" s="55">
        <f t="shared" si="2658"/>
        <v>46349</v>
      </c>
      <c r="TP383" s="56"/>
      <c r="TQ383" s="242">
        <f>SUMPRODUCT(PRODUCE!$B378:$DY378,PRODUCE!$EB$57:$IY$57)</f>
        <v>0</v>
      </c>
      <c r="TR383" s="56"/>
      <c r="TS383" s="242">
        <f t="shared" si="2659"/>
        <v>0</v>
      </c>
      <c r="TT383" s="242">
        <f t="shared" si="2660"/>
        <v>0</v>
      </c>
      <c r="TU383" s="56"/>
      <c r="TX383" s="55">
        <f t="shared" si="2661"/>
        <v>46349</v>
      </c>
      <c r="TY383" s="56"/>
      <c r="TZ383" s="242">
        <f>SUMPRODUCT(PRODUCE!$B378:$DY378,PRODUCE!$EB$57:$IY$57)</f>
        <v>0</v>
      </c>
      <c r="UA383" s="56"/>
      <c r="UB383" s="242">
        <f t="shared" si="2662"/>
        <v>0</v>
      </c>
      <c r="UC383" s="242">
        <f t="shared" si="2663"/>
        <v>46.799999999999983</v>
      </c>
      <c r="UD383" s="56"/>
      <c r="UG383" s="55">
        <f t="shared" si="2664"/>
        <v>46349</v>
      </c>
      <c r="UH383" s="56"/>
      <c r="UI383" s="242">
        <f>SUMPRODUCT(PRODUCE!$B378:$DY378,PRODUCE!$EB$57:$IY$57)</f>
        <v>0</v>
      </c>
      <c r="UJ383" s="56"/>
      <c r="UK383" s="242">
        <f t="shared" si="2665"/>
        <v>0</v>
      </c>
      <c r="UL383" s="242">
        <f t="shared" si="2666"/>
        <v>204</v>
      </c>
      <c r="UM383" s="56"/>
      <c r="UP383" s="55">
        <f t="shared" si="2667"/>
        <v>46349</v>
      </c>
      <c r="UQ383" s="56"/>
      <c r="UR383" s="242">
        <f>SUMPRODUCT(PRODUCE!$B378:$DY378,PRODUCE!$EB$57:$IY$57)</f>
        <v>0</v>
      </c>
      <c r="US383" s="56"/>
      <c r="UT383" s="242">
        <f t="shared" si="2668"/>
        <v>0</v>
      </c>
      <c r="UU383" s="242">
        <f t="shared" si="2669"/>
        <v>202.5</v>
      </c>
      <c r="UV383" s="56"/>
      <c r="UY383" s="55">
        <f t="shared" si="2670"/>
        <v>46349</v>
      </c>
      <c r="UZ383" s="56"/>
      <c r="VA383" s="242">
        <f>SUMPRODUCT(PRODUCE!$B378:$DY378,PRODUCE!$EB$57:$IY$57)</f>
        <v>0</v>
      </c>
      <c r="VB383" s="56"/>
      <c r="VC383" s="242">
        <f t="shared" si="2671"/>
        <v>0</v>
      </c>
      <c r="VD383" s="242">
        <f t="shared" si="2672"/>
        <v>41.600000000000023</v>
      </c>
      <c r="VE383" s="56"/>
      <c r="VH383" s="55">
        <f t="shared" si="2673"/>
        <v>46349</v>
      </c>
      <c r="VI383" s="56"/>
      <c r="VJ383" s="242">
        <f>SUMPRODUCT(PRODUCE!$B378:$DY378,PRODUCE!$EB$57:$IY$57)</f>
        <v>0</v>
      </c>
      <c r="VK383" s="56"/>
      <c r="VL383" s="242">
        <f t="shared" si="2674"/>
        <v>0</v>
      </c>
      <c r="VM383" s="242">
        <f t="shared" si="2675"/>
        <v>210</v>
      </c>
      <c r="VN383" s="56"/>
      <c r="VQ383" s="55">
        <f t="shared" si="2676"/>
        <v>46349</v>
      </c>
      <c r="VR383" s="56"/>
      <c r="VS383" s="242">
        <f>SUMPRODUCT(PRODUCE!$B378:$DY378,PRODUCE!$EB$57:$IY$57)</f>
        <v>0</v>
      </c>
      <c r="VT383" s="56"/>
      <c r="VU383" s="242">
        <f t="shared" si="2677"/>
        <v>0</v>
      </c>
      <c r="VV383" s="242">
        <f t="shared" si="2678"/>
        <v>0</v>
      </c>
      <c r="VW383" s="56"/>
      <c r="VZ383" s="55">
        <f t="shared" si="2679"/>
        <v>46349</v>
      </c>
      <c r="WA383" s="56"/>
      <c r="WB383" s="242">
        <f>SUMPRODUCT(PRODUCE!$B378:$DY378,PRODUCE!$EB$57:$IY$57)</f>
        <v>0</v>
      </c>
      <c r="WC383" s="56"/>
      <c r="WD383" s="242">
        <f t="shared" si="2680"/>
        <v>0</v>
      </c>
      <c r="WE383" s="242">
        <f t="shared" si="2681"/>
        <v>0</v>
      </c>
      <c r="WF383" s="56"/>
      <c r="WI383" s="55">
        <f t="shared" si="2682"/>
        <v>46349</v>
      </c>
      <c r="WJ383" s="56"/>
      <c r="WK383" s="242">
        <f>SUMPRODUCT(PRODUCE!$B378:$DY378,PRODUCE!$EB$57:$IY$57)</f>
        <v>0</v>
      </c>
      <c r="WL383" s="56"/>
      <c r="WM383" s="242">
        <f t="shared" si="2683"/>
        <v>0</v>
      </c>
      <c r="WN383" s="242">
        <f t="shared" si="2684"/>
        <v>1057</v>
      </c>
      <c r="WO383" s="56"/>
      <c r="WR383" s="55">
        <f t="shared" si="2685"/>
        <v>46349</v>
      </c>
      <c r="WS383" s="56"/>
      <c r="WT383" s="242">
        <f>SUMPRODUCT(PRODUCE!$B378:$DY378,PRODUCE!$EB$57:$IY$57)</f>
        <v>0</v>
      </c>
      <c r="WU383" s="56"/>
      <c r="WV383" s="242">
        <f t="shared" si="2686"/>
        <v>0</v>
      </c>
      <c r="WW383" s="242">
        <f t="shared" si="2687"/>
        <v>0</v>
      </c>
      <c r="WX383" s="56"/>
      <c r="XA383" s="55">
        <f t="shared" si="2688"/>
        <v>46349</v>
      </c>
      <c r="XB383" s="56"/>
      <c r="XC383" s="242">
        <f>SUMPRODUCT(PRODUCE!$B378:$DY378,PRODUCE!$EB$57:$IY$57)</f>
        <v>0</v>
      </c>
      <c r="XD383" s="56"/>
      <c r="XE383" s="242">
        <f t="shared" si="2689"/>
        <v>0</v>
      </c>
      <c r="XF383" s="242">
        <f t="shared" si="2690"/>
        <v>7507</v>
      </c>
      <c r="XG383" s="56"/>
      <c r="XJ383" s="55">
        <f t="shared" si="2691"/>
        <v>46349</v>
      </c>
      <c r="XK383" s="56"/>
      <c r="XL383" s="242">
        <f>SUMPRODUCT(PRODUCE!$B378:$DY378,PRODUCE!$EB$57:$IY$57)</f>
        <v>0</v>
      </c>
      <c r="XM383" s="56"/>
      <c r="XN383" s="242">
        <f t="shared" si="2692"/>
        <v>0</v>
      </c>
      <c r="XO383" s="242">
        <f t="shared" si="2693"/>
        <v>4252</v>
      </c>
      <c r="XP383" s="56"/>
      <c r="XS383" s="55">
        <f t="shared" si="2694"/>
        <v>46349</v>
      </c>
      <c r="XT383" s="56"/>
      <c r="XU383" s="242">
        <f>SUMPRODUCT(PRODUCE!$B378:$DY378,PRODUCE!$EB$57:$IY$57)</f>
        <v>0</v>
      </c>
      <c r="XV383" s="56"/>
      <c r="XW383" s="242">
        <f t="shared" si="2695"/>
        <v>0</v>
      </c>
      <c r="XX383" s="242">
        <f t="shared" si="2696"/>
        <v>2179</v>
      </c>
      <c r="XY383" s="56"/>
      <c r="YB383" s="55">
        <f t="shared" si="2697"/>
        <v>46349</v>
      </c>
      <c r="YC383" s="56"/>
      <c r="YD383" s="242">
        <f>SUMPRODUCT(PRODUCE!$B378:$DY378,PRODUCE!$EB$57:$IY$57)</f>
        <v>0</v>
      </c>
      <c r="YE383" s="56"/>
      <c r="YF383" s="242">
        <f t="shared" si="2698"/>
        <v>0</v>
      </c>
      <c r="YG383" s="242">
        <f t="shared" si="2699"/>
        <v>4019</v>
      </c>
      <c r="YH383" s="56"/>
      <c r="YK383" s="55">
        <f t="shared" si="2700"/>
        <v>46349</v>
      </c>
      <c r="YL383" s="56"/>
      <c r="YM383" s="242">
        <f>SUMPRODUCT(PRODUCE!$B378:$DY378,PRODUCE!$EB$57:$IY$57)</f>
        <v>0</v>
      </c>
      <c r="YN383" s="56"/>
      <c r="YO383" s="242">
        <f t="shared" si="2701"/>
        <v>0</v>
      </c>
      <c r="YP383" s="242">
        <f t="shared" si="2702"/>
        <v>-218</v>
      </c>
      <c r="YQ383" s="56"/>
      <c r="YT383" s="55">
        <f t="shared" si="2703"/>
        <v>46349</v>
      </c>
      <c r="YU383" s="56"/>
      <c r="YV383" s="242">
        <f>SUMPRODUCT(PRODUCE!$B378:$DY378,PRODUCE!$EB$57:$IY$57)</f>
        <v>0</v>
      </c>
      <c r="YW383" s="56"/>
      <c r="YX383" s="242">
        <f t="shared" si="2704"/>
        <v>0</v>
      </c>
      <c r="YY383" s="242">
        <f t="shared" si="2705"/>
        <v>0</v>
      </c>
      <c r="YZ383" s="56"/>
      <c r="ZC383" s="55">
        <f t="shared" si="2706"/>
        <v>46349</v>
      </c>
      <c r="ZD383" s="56"/>
      <c r="ZE383" s="242">
        <f>SUMPRODUCT(PRODUCE!$B378:$DY378,PRODUCE!$EB$57:$IY$57)</f>
        <v>0</v>
      </c>
      <c r="ZF383" s="56"/>
      <c r="ZG383" s="242">
        <f t="shared" si="2707"/>
        <v>0</v>
      </c>
      <c r="ZH383" s="242">
        <f t="shared" si="2708"/>
        <v>0</v>
      </c>
      <c r="ZI383" s="56"/>
      <c r="ZL383" s="55">
        <f t="shared" si="2709"/>
        <v>46349</v>
      </c>
      <c r="ZM383" s="56"/>
      <c r="ZN383" s="242">
        <f>SUMPRODUCT(PRODUCE!$B378:$DY378,PRODUCE!$EB$57:$IY$57)</f>
        <v>0</v>
      </c>
      <c r="ZO383" s="56"/>
      <c r="ZP383" s="242">
        <f t="shared" si="2710"/>
        <v>0</v>
      </c>
      <c r="ZQ383" s="242">
        <f t="shared" si="2711"/>
        <v>0</v>
      </c>
      <c r="ZR383" s="56"/>
      <c r="ZU383" s="55">
        <f t="shared" si="2712"/>
        <v>46349</v>
      </c>
      <c r="ZV383" s="56"/>
      <c r="ZW383" s="242">
        <f>SUMPRODUCT(PRODUCE!$B378:$DY378,PRODUCE!$EB$57:$IY$57)</f>
        <v>0</v>
      </c>
      <c r="ZX383" s="56"/>
      <c r="ZY383" s="242">
        <f t="shared" si="2713"/>
        <v>0</v>
      </c>
      <c r="ZZ383" s="242">
        <f t="shared" si="2714"/>
        <v>0</v>
      </c>
      <c r="AAA383" s="56"/>
      <c r="AAD383" s="55">
        <f t="shared" si="2715"/>
        <v>46349</v>
      </c>
      <c r="AAE383" s="56"/>
      <c r="AAF383" s="242">
        <f>SUMPRODUCT(PRODUCE!$B378:$DY378,PRODUCE!$EB$57:$IY$57)</f>
        <v>0</v>
      </c>
      <c r="AAG383" s="56"/>
      <c r="AAH383" s="242">
        <f t="shared" si="2716"/>
        <v>0</v>
      </c>
      <c r="AAI383" s="242">
        <f t="shared" si="2717"/>
        <v>0</v>
      </c>
      <c r="AAJ383" s="56"/>
      <c r="AAM383" s="55">
        <f t="shared" si="2718"/>
        <v>46349</v>
      </c>
      <c r="AAN383" s="56"/>
      <c r="AAO383" s="242">
        <f>SUMPRODUCT(PRODUCE!$B378:$DY378,PRODUCE!$EB$57:$IY$57)</f>
        <v>0</v>
      </c>
      <c r="AAP383" s="56"/>
      <c r="AAQ383" s="242">
        <f t="shared" si="2719"/>
        <v>0</v>
      </c>
      <c r="AAR383" s="242">
        <f t="shared" si="2720"/>
        <v>0</v>
      </c>
      <c r="AAS383" s="56"/>
      <c r="AAV383" s="55">
        <f t="shared" si="2721"/>
        <v>46349</v>
      </c>
      <c r="AAW383" s="56"/>
      <c r="AAX383" s="242">
        <f>SUMPRODUCT(PRODUCE!$B378:$DY378,PRODUCE!$EB$57:$IY$57)</f>
        <v>0</v>
      </c>
      <c r="AAY383" s="56"/>
      <c r="AAZ383" s="242">
        <f t="shared" si="2722"/>
        <v>0</v>
      </c>
      <c r="ABA383" s="242">
        <f t="shared" si="2723"/>
        <v>0</v>
      </c>
      <c r="ABB383" s="56"/>
      <c r="ABE383" s="55">
        <f t="shared" si="2724"/>
        <v>46349</v>
      </c>
      <c r="ABF383" s="56"/>
      <c r="ABG383" s="242">
        <f>SUMPRODUCT(PRODUCE!$B378:$DY378,PRODUCE!$EB$57:$IY$57)</f>
        <v>0</v>
      </c>
      <c r="ABH383" s="56"/>
      <c r="ABI383" s="242">
        <f t="shared" si="2725"/>
        <v>0</v>
      </c>
      <c r="ABJ383" s="242">
        <f t="shared" si="2726"/>
        <v>0</v>
      </c>
      <c r="ABK383" s="56"/>
    </row>
    <row r="384" spans="2:739" s="54" customFormat="1" ht="15" customHeight="1" outlineLevel="1">
      <c r="B384" s="478"/>
      <c r="C384" s="55">
        <v>46350</v>
      </c>
      <c r="D384" s="56"/>
      <c r="E384" s="57">
        <f>SUMPRODUCT(PRODUCE!$B379:$DY379,PRODUCE!$EB$7:$IY$7)</f>
        <v>0</v>
      </c>
      <c r="F384" s="56"/>
      <c r="G384" s="57">
        <f t="shared" si="2482"/>
        <v>0</v>
      </c>
      <c r="H384" s="57">
        <f t="shared" si="2483"/>
        <v>236936.6</v>
      </c>
      <c r="I384" s="289"/>
      <c r="L384" s="55">
        <f t="shared" si="2484"/>
        <v>46350</v>
      </c>
      <c r="M384" s="56"/>
      <c r="N384" s="59">
        <f>SUMPRODUCT(PRODUCE!$B379:$DY379,PRODUCE!$EB$8:$IY$8)</f>
        <v>0</v>
      </c>
      <c r="O384" s="56"/>
      <c r="P384" s="59">
        <f t="shared" si="2485"/>
        <v>0</v>
      </c>
      <c r="Q384" s="59">
        <f t="shared" si="2486"/>
        <v>53017.600000000071</v>
      </c>
      <c r="R384" s="56"/>
      <c r="U384" s="55">
        <f t="shared" si="2487"/>
        <v>46350</v>
      </c>
      <c r="V384" s="56"/>
      <c r="W384" s="60">
        <f>SUMPRODUCT(PRODUCE!$B379:$DY379,PRODUCE!$EB$9:$IY$9)</f>
        <v>0</v>
      </c>
      <c r="X384" s="56"/>
      <c r="Y384" s="60">
        <f t="shared" si="2488"/>
        <v>0</v>
      </c>
      <c r="Z384" s="60">
        <f t="shared" si="2489"/>
        <v>42674.199999999968</v>
      </c>
      <c r="AA384" s="56"/>
      <c r="AD384" s="55">
        <f t="shared" si="2490"/>
        <v>46350</v>
      </c>
      <c r="AE384" s="56"/>
      <c r="AF384" s="61">
        <f>SUMPRODUCT(PRODUCE!$B379:$DY379,PRODUCE!$EB$10:$IY$10)</f>
        <v>0</v>
      </c>
      <c r="AG384" s="56"/>
      <c r="AH384" s="61">
        <f t="shared" si="2491"/>
        <v>0</v>
      </c>
      <c r="AI384" s="61">
        <f t="shared" si="2492"/>
        <v>4522.2000000000189</v>
      </c>
      <c r="AJ384" s="56"/>
      <c r="AM384" s="55">
        <f t="shared" si="2493"/>
        <v>46350</v>
      </c>
      <c r="AN384" s="422"/>
      <c r="AO384" s="444">
        <f>SUMPRODUCT(PRODUCE!$B379:$DY379,PRODUCE!$EB$11:$IY$11)</f>
        <v>0</v>
      </c>
      <c r="AP384" s="422"/>
      <c r="AQ384" s="444">
        <f t="shared" si="2494"/>
        <v>0</v>
      </c>
      <c r="AR384" s="444">
        <f t="shared" si="2495"/>
        <v>0</v>
      </c>
      <c r="AS384" s="56"/>
      <c r="AV384" s="55">
        <f t="shared" si="2496"/>
        <v>46350</v>
      </c>
      <c r="AW384" s="56"/>
      <c r="AX384" s="62">
        <f>SUMPRODUCT(PRODUCE!$B379:$DY379,PRODUCE!$EB$12:$IY$12)</f>
        <v>0</v>
      </c>
      <c r="AY384" s="56"/>
      <c r="AZ384" s="62">
        <f t="shared" si="2497"/>
        <v>0</v>
      </c>
      <c r="BA384" s="62">
        <f t="shared" si="2498"/>
        <v>124.99999999999523</v>
      </c>
      <c r="BB384" s="56"/>
      <c r="BE384" s="55">
        <f t="shared" si="2499"/>
        <v>46350</v>
      </c>
      <c r="BF384" s="56"/>
      <c r="BG384" s="63">
        <f>SUMPRODUCT(PRODUCE!$B379:$DY379,PRODUCE!$EB$13:$IY$13)</f>
        <v>0</v>
      </c>
      <c r="BH384" s="56"/>
      <c r="BI384" s="63">
        <f t="shared" si="2500"/>
        <v>0</v>
      </c>
      <c r="BJ384" s="63">
        <f t="shared" si="2501"/>
        <v>26151.899999999998</v>
      </c>
      <c r="BK384" s="56"/>
      <c r="BN384" s="55">
        <f t="shared" si="2502"/>
        <v>46350</v>
      </c>
      <c r="BO384" s="56"/>
      <c r="BP384" s="64">
        <f>SUMPRODUCT(PRODUCE!$B379:$DY379,PRODUCE!$EB$14:$IY$14)</f>
        <v>0</v>
      </c>
      <c r="BQ384" s="56"/>
      <c r="BR384" s="64">
        <f t="shared" si="2503"/>
        <v>0</v>
      </c>
      <c r="BS384" s="64">
        <f t="shared" si="2504"/>
        <v>0</v>
      </c>
      <c r="BT384" s="56"/>
      <c r="BW384" s="55">
        <f t="shared" si="2505"/>
        <v>46350</v>
      </c>
      <c r="BX384" s="56"/>
      <c r="BY384" s="65">
        <f>SUMPRODUCT(PRODUCE!$B379:$DY379,PRODUCE!$EB$15:$IY$15)</f>
        <v>0</v>
      </c>
      <c r="BZ384" s="56"/>
      <c r="CA384" s="65">
        <f t="shared" si="2506"/>
        <v>0</v>
      </c>
      <c r="CB384" s="65">
        <f t="shared" si="2507"/>
        <v>2097.3399999999992</v>
      </c>
      <c r="CC384" s="56"/>
      <c r="CF384" s="55">
        <f t="shared" si="2508"/>
        <v>46350</v>
      </c>
      <c r="CG384" s="56"/>
      <c r="CH384" s="66">
        <f>SUMPRODUCT(PRODUCE!$B379:$DY379,PRODUCE!$EB$16:$IY$16)</f>
        <v>0</v>
      </c>
      <c r="CI384" s="56"/>
      <c r="CJ384" s="66">
        <f t="shared" si="2509"/>
        <v>0</v>
      </c>
      <c r="CK384" s="66">
        <f t="shared" si="2510"/>
        <v>-10277.079999999998</v>
      </c>
      <c r="CL384" s="56"/>
      <c r="CO384" s="55">
        <f t="shared" si="2511"/>
        <v>46350</v>
      </c>
      <c r="CP384" s="422"/>
      <c r="CQ384" s="470">
        <f>SUMPRODUCT(PRODUCE!$B379:$DY379,PRODUCE!$EB$17:$IY$17)</f>
        <v>0</v>
      </c>
      <c r="CR384" s="422"/>
      <c r="CS384" s="470">
        <f t="shared" si="2512"/>
        <v>0</v>
      </c>
      <c r="CT384" s="470">
        <f t="shared" si="2513"/>
        <v>0</v>
      </c>
      <c r="CU384" s="56"/>
      <c r="CX384" s="55">
        <f t="shared" si="2514"/>
        <v>46350</v>
      </c>
      <c r="CY384" s="56"/>
      <c r="CZ384" s="133">
        <f>SUMPRODUCT(PRODUCE!$B379:$DY379,PRODUCE!$EB$18:$IY$18)</f>
        <v>0</v>
      </c>
      <c r="DA384" s="56"/>
      <c r="DB384" s="133">
        <f t="shared" si="2515"/>
        <v>0</v>
      </c>
      <c r="DC384" s="133">
        <f t="shared" si="2516"/>
        <v>27438.200000000012</v>
      </c>
      <c r="DD384" s="56"/>
      <c r="DG384" s="55">
        <f t="shared" si="2517"/>
        <v>46350</v>
      </c>
      <c r="DH384" s="56"/>
      <c r="DI384" s="147">
        <f>SUMPRODUCT(PRODUCE!$B379:$DY379,PRODUCE!$EB$19:$IY$19)</f>
        <v>0</v>
      </c>
      <c r="DJ384" s="56"/>
      <c r="DK384" s="147">
        <f t="shared" si="2518"/>
        <v>0</v>
      </c>
      <c r="DL384" s="147">
        <f t="shared" si="2519"/>
        <v>18782.299999999981</v>
      </c>
      <c r="DM384" s="56"/>
      <c r="DP384" s="55">
        <f t="shared" si="2520"/>
        <v>46350</v>
      </c>
      <c r="DQ384" s="56"/>
      <c r="DR384" s="57">
        <f>SUMPRODUCT(PRODUCE!$B379:$DY379,PRODUCE!$EB$20:$IY$20)</f>
        <v>0</v>
      </c>
      <c r="DS384" s="56"/>
      <c r="DT384" s="57">
        <f t="shared" si="2521"/>
        <v>0</v>
      </c>
      <c r="DU384" s="57">
        <f t="shared" si="2522"/>
        <v>5800</v>
      </c>
      <c r="DV384" s="56"/>
      <c r="DY384" s="55">
        <f t="shared" si="2523"/>
        <v>46350</v>
      </c>
      <c r="DZ384" s="56"/>
      <c r="EA384" s="157">
        <f>SUMPRODUCT(PRODUCE!$B379:$DY379,PRODUCE!$EB$21:$IY$21)</f>
        <v>0</v>
      </c>
      <c r="EB384" s="56"/>
      <c r="EC384" s="157">
        <f t="shared" si="2524"/>
        <v>0</v>
      </c>
      <c r="ED384" s="157">
        <f t="shared" si="2525"/>
        <v>0</v>
      </c>
      <c r="EE384" s="56"/>
      <c r="EH384" s="55">
        <f t="shared" si="2526"/>
        <v>46350</v>
      </c>
      <c r="EI384" s="56"/>
      <c r="EJ384" s="162">
        <f>SUMPRODUCT(PRODUCE!$B379:$DY379,PRODUCE!$EB$22:$IY$22)</f>
        <v>0</v>
      </c>
      <c r="EK384" s="56"/>
      <c r="EL384" s="162">
        <f t="shared" si="2527"/>
        <v>0</v>
      </c>
      <c r="EM384" s="162">
        <f t="shared" si="2528"/>
        <v>0</v>
      </c>
      <c r="EN384" s="56"/>
      <c r="EQ384" s="55">
        <f t="shared" si="2529"/>
        <v>46350</v>
      </c>
      <c r="ER384" s="56"/>
      <c r="ES384" s="135">
        <f>SUMPRODUCT(PRODUCE!$B379:$DY379,PRODUCE!$EB$23:$IY$23)</f>
        <v>0</v>
      </c>
      <c r="ET384" s="56"/>
      <c r="EU384" s="135">
        <f t="shared" si="2530"/>
        <v>0</v>
      </c>
      <c r="EV384" s="135">
        <f t="shared" si="2531"/>
        <v>0</v>
      </c>
      <c r="EW384" s="56"/>
      <c r="EZ384" s="55">
        <f t="shared" si="2532"/>
        <v>46350</v>
      </c>
      <c r="FA384" s="56"/>
      <c r="FB384" s="175">
        <f>SUMPRODUCT(PRODUCE!$B379:$DY379,PRODUCE!$EB$24:$IY$24)</f>
        <v>0</v>
      </c>
      <c r="FC384" s="56"/>
      <c r="FD384" s="175">
        <f t="shared" si="2533"/>
        <v>0</v>
      </c>
      <c r="FE384" s="175">
        <f t="shared" si="2534"/>
        <v>0</v>
      </c>
      <c r="FF384" s="56"/>
      <c r="FI384" s="55">
        <f t="shared" si="2535"/>
        <v>46350</v>
      </c>
      <c r="FJ384" s="56"/>
      <c r="FK384" s="183">
        <f>SUMPRODUCT(PRODUCE!$B379:$DY379,PRODUCE!$EB$25:$IY$25)</f>
        <v>0</v>
      </c>
      <c r="FL384" s="56"/>
      <c r="FM384" s="183">
        <f t="shared" si="2536"/>
        <v>0</v>
      </c>
      <c r="FN384" s="183">
        <f t="shared" si="2537"/>
        <v>0</v>
      </c>
      <c r="FO384" s="56"/>
      <c r="FR384" s="55">
        <f t="shared" si="2538"/>
        <v>46350</v>
      </c>
      <c r="FS384" s="56"/>
      <c r="FT384" s="186">
        <f>SUMPRODUCT(PRODUCE!$B379:$DY379,PRODUCE!$EB$26:$IY$26)</f>
        <v>0</v>
      </c>
      <c r="FU384" s="56"/>
      <c r="FV384" s="186">
        <f t="shared" si="2539"/>
        <v>0</v>
      </c>
      <c r="FW384" s="186">
        <f t="shared" si="2540"/>
        <v>2020</v>
      </c>
      <c r="FX384" s="56"/>
      <c r="GA384" s="55">
        <f t="shared" si="2541"/>
        <v>46350</v>
      </c>
      <c r="GB384" s="56"/>
      <c r="GC384" s="137">
        <f>SUMPRODUCT(PRODUCE!$B379:$DY379,PRODUCE!$EB$27:$IY$27)</f>
        <v>0</v>
      </c>
      <c r="GD384" s="56"/>
      <c r="GE384" s="137">
        <f t="shared" si="2542"/>
        <v>0</v>
      </c>
      <c r="GF384" s="137">
        <f t="shared" si="2543"/>
        <v>960</v>
      </c>
      <c r="GG384" s="56"/>
      <c r="GI384" s="23"/>
      <c r="GJ384" s="55">
        <f t="shared" si="2544"/>
        <v>46350</v>
      </c>
      <c r="GK384" s="56"/>
      <c r="GL384" s="199">
        <f>SUMPRODUCT(PRODUCE!$B379:$DY379,PRODUCE!$EB$28:$IY$28)</f>
        <v>0</v>
      </c>
      <c r="GM384" s="56"/>
      <c r="GN384" s="199">
        <f t="shared" si="2545"/>
        <v>0</v>
      </c>
      <c r="GO384" s="199">
        <f t="shared" si="2546"/>
        <v>1760</v>
      </c>
      <c r="GP384" s="56"/>
      <c r="GS384" s="55">
        <f t="shared" si="2547"/>
        <v>46350</v>
      </c>
      <c r="GT384" s="56"/>
      <c r="GU384" s="195">
        <f>SUMPRODUCT(PRODUCE!$B379:$DY379,PRODUCE!$EB$29:$IY$29)</f>
        <v>0</v>
      </c>
      <c r="GV384" s="56"/>
      <c r="GW384" s="195">
        <f t="shared" si="2548"/>
        <v>0</v>
      </c>
      <c r="GX384" s="195">
        <f t="shared" si="2549"/>
        <v>400</v>
      </c>
      <c r="GY384" s="56"/>
      <c r="HB384" s="55">
        <f t="shared" si="2550"/>
        <v>46350</v>
      </c>
      <c r="HC384" s="56"/>
      <c r="HD384" s="191">
        <f>SUMPRODUCT(PRODUCE!$B379:$DY379,PRODUCE!$EB$30:$IY$30)</f>
        <v>0</v>
      </c>
      <c r="HE384" s="56"/>
      <c r="HF384" s="191">
        <f t="shared" si="2551"/>
        <v>0</v>
      </c>
      <c r="HG384" s="191">
        <f t="shared" si="2552"/>
        <v>3600</v>
      </c>
      <c r="HH384" s="56"/>
      <c r="HK384" s="55">
        <f t="shared" si="2553"/>
        <v>46350</v>
      </c>
      <c r="HL384" s="56"/>
      <c r="HM384" s="63">
        <f>SUMPRODUCT(PRODUCE!$B379:$DY379,PRODUCE!$EB$31:$IY$31)</f>
        <v>0</v>
      </c>
      <c r="HN384" s="56"/>
      <c r="HO384" s="63">
        <f t="shared" si="2554"/>
        <v>0</v>
      </c>
      <c r="HP384" s="63">
        <f t="shared" si="2555"/>
        <v>0</v>
      </c>
      <c r="HQ384" s="56"/>
      <c r="HU384" s="55">
        <f t="shared" si="2556"/>
        <v>46350</v>
      </c>
      <c r="HV384" s="56"/>
      <c r="HW384" s="242">
        <f>SUMPRODUCT(PRODUCE!$B379:$DY379,PRODUCE!$EB$32:$IY$32)</f>
        <v>0</v>
      </c>
      <c r="HX384" s="56"/>
      <c r="HY384" s="242">
        <f t="shared" si="2557"/>
        <v>0</v>
      </c>
      <c r="HZ384" s="242">
        <f t="shared" si="2558"/>
        <v>6120</v>
      </c>
      <c r="IA384" s="56"/>
      <c r="ID384" s="55">
        <f t="shared" si="2559"/>
        <v>46350</v>
      </c>
      <c r="IE384" s="56"/>
      <c r="IF384" s="242">
        <f>SUMPRODUCT(PRODUCE!$B379:$DY379,PRODUCE!$EB$33:$IY$33)</f>
        <v>0</v>
      </c>
      <c r="IG384" s="56"/>
      <c r="IH384" s="242">
        <f t="shared" si="2560"/>
        <v>0</v>
      </c>
      <c r="II384" s="242">
        <f t="shared" si="2561"/>
        <v>0</v>
      </c>
      <c r="IJ384" s="56"/>
      <c r="IM384" s="55">
        <f t="shared" si="2562"/>
        <v>46350</v>
      </c>
      <c r="IN384" s="56"/>
      <c r="IO384" s="242">
        <f>SUMPRODUCT(PRODUCE!$B379:$DY379,PRODUCE!$EB$34:$IY$34)</f>
        <v>0</v>
      </c>
      <c r="IP384" s="56"/>
      <c r="IQ384" s="242">
        <f t="shared" si="2563"/>
        <v>0</v>
      </c>
      <c r="IR384" s="242">
        <f t="shared" si="2564"/>
        <v>0</v>
      </c>
      <c r="IS384" s="56"/>
      <c r="IV384" s="55">
        <f t="shared" si="2565"/>
        <v>46350</v>
      </c>
      <c r="IW384" s="56"/>
      <c r="IX384" s="242">
        <f>SUMPRODUCT(PRODUCE!$B379:$DY379,PRODUCE!$EB$35:$IY$35)</f>
        <v>0</v>
      </c>
      <c r="IY384" s="56"/>
      <c r="IZ384" s="242">
        <f t="shared" si="2566"/>
        <v>0</v>
      </c>
      <c r="JA384" s="242">
        <f t="shared" si="2567"/>
        <v>2820</v>
      </c>
      <c r="JB384" s="56"/>
      <c r="JE384" s="55">
        <f t="shared" si="2568"/>
        <v>46350</v>
      </c>
      <c r="JF384" s="56"/>
      <c r="JG384" s="242">
        <f>SUMPRODUCT(PRODUCE!$B379:$DY379,PRODUCE!$EB$36:$IY$36)</f>
        <v>0</v>
      </c>
      <c r="JH384" s="56"/>
      <c r="JI384" s="242">
        <f t="shared" si="2569"/>
        <v>0</v>
      </c>
      <c r="JJ384" s="242">
        <f t="shared" si="2570"/>
        <v>0</v>
      </c>
      <c r="JK384" s="56"/>
      <c r="JN384" s="55">
        <f t="shared" si="2571"/>
        <v>46350</v>
      </c>
      <c r="JO384" s="56"/>
      <c r="JP384" s="242">
        <f>SUMPRODUCT(PRODUCE!$B379:$DY379,PRODUCE!$EB$37:$IY$37)</f>
        <v>0</v>
      </c>
      <c r="JQ384" s="56"/>
      <c r="JR384" s="242">
        <f t="shared" si="2572"/>
        <v>0</v>
      </c>
      <c r="JS384" s="242">
        <f t="shared" si="2573"/>
        <v>0</v>
      </c>
      <c r="JT384" s="56"/>
      <c r="JW384" s="55">
        <f t="shared" si="2574"/>
        <v>46350</v>
      </c>
      <c r="JX384" s="56"/>
      <c r="JY384" s="242">
        <f>SUMPRODUCT(PRODUCE!$B379:$DY379,PRODUCE!$EB$38:$IY$38)</f>
        <v>0</v>
      </c>
      <c r="JZ384" s="56"/>
      <c r="KA384" s="242">
        <f t="shared" si="2575"/>
        <v>0</v>
      </c>
      <c r="KB384" s="242">
        <f t="shared" si="2576"/>
        <v>2540</v>
      </c>
      <c r="KC384" s="56"/>
      <c r="KF384" s="55">
        <f t="shared" si="2577"/>
        <v>46350</v>
      </c>
      <c r="KG384" s="56"/>
      <c r="KH384" s="242">
        <f>SUMPRODUCT(PRODUCE!$B379:$DY379,PRODUCE!$EB$39:$IY$39)</f>
        <v>0</v>
      </c>
      <c r="KI384" s="56"/>
      <c r="KJ384" s="242">
        <f t="shared" si="2578"/>
        <v>0</v>
      </c>
      <c r="KK384" s="242">
        <f t="shared" si="2579"/>
        <v>2359.5</v>
      </c>
      <c r="KL384" s="56"/>
      <c r="KO384" s="55">
        <f t="shared" si="2580"/>
        <v>46350</v>
      </c>
      <c r="KP384" s="56"/>
      <c r="KQ384" s="242">
        <f>SUMPRODUCT(PRODUCE!$B379:$DY379,PRODUCE!$EB$40:$IY$40)</f>
        <v>0</v>
      </c>
      <c r="KR384" s="56"/>
      <c r="KS384" s="242">
        <f t="shared" si="2581"/>
        <v>0</v>
      </c>
      <c r="KT384" s="242">
        <f t="shared" si="2582"/>
        <v>1890</v>
      </c>
      <c r="KU384" s="56"/>
      <c r="KW384" s="23"/>
      <c r="KX384" s="55">
        <f t="shared" si="2583"/>
        <v>46350</v>
      </c>
      <c r="KY384" s="56"/>
      <c r="KZ384" s="242">
        <f>SUMPRODUCT(PRODUCE!$B379:$DY379,PRODUCE!$EB$41:$IY$41)</f>
        <v>0</v>
      </c>
      <c r="LA384" s="56"/>
      <c r="LB384" s="242">
        <f t="shared" si="2584"/>
        <v>0</v>
      </c>
      <c r="LC384" s="242">
        <f t="shared" si="2585"/>
        <v>3690</v>
      </c>
      <c r="LD384" s="56"/>
      <c r="LG384" s="55">
        <f t="shared" si="2586"/>
        <v>46350</v>
      </c>
      <c r="LH384" s="56"/>
      <c r="LI384" s="242">
        <f>SUMPRODUCT(PRODUCE!$B379:$DY379,PRODUCE!$EB$42:$IY$42)</f>
        <v>0</v>
      </c>
      <c r="LJ384" s="56"/>
      <c r="LK384" s="242">
        <f t="shared" si="2587"/>
        <v>0</v>
      </c>
      <c r="LL384" s="242">
        <f t="shared" si="2588"/>
        <v>4000</v>
      </c>
      <c r="LM384" s="56"/>
      <c r="LP384" s="55">
        <f t="shared" si="2589"/>
        <v>46350</v>
      </c>
      <c r="LQ384" s="56"/>
      <c r="LR384" s="242">
        <f>SUMPRODUCT(PRODUCE!$B399:$DY399,PRODUCE!$EB$43:$IY$43)</f>
        <v>0</v>
      </c>
      <c r="LS384" s="56"/>
      <c r="LT384" s="242">
        <f t="shared" si="2590"/>
        <v>0</v>
      </c>
      <c r="LU384" s="242">
        <f t="shared" si="2591"/>
        <v>0</v>
      </c>
      <c r="LV384" s="56"/>
      <c r="LY384" s="55">
        <f t="shared" si="2592"/>
        <v>46350</v>
      </c>
      <c r="LZ384" s="56"/>
      <c r="MA384" s="242">
        <f>SUMPRODUCT(PRODUCE!$B379:$DY379,PRODUCE!$EB$44:$IY$44)</f>
        <v>0</v>
      </c>
      <c r="MB384" s="56"/>
      <c r="MC384" s="242">
        <f t="shared" si="2593"/>
        <v>0</v>
      </c>
      <c r="MD384" s="242">
        <f t="shared" si="2594"/>
        <v>0</v>
      </c>
      <c r="ME384" s="56"/>
      <c r="MH384" s="55">
        <f t="shared" si="2595"/>
        <v>46350</v>
      </c>
      <c r="MI384" s="56"/>
      <c r="MJ384" s="242">
        <f>SUMPRODUCT(PRODUCE!$B379:$DY379,PRODUCE!$EB$45:$IY$45)</f>
        <v>0</v>
      </c>
      <c r="MK384" s="56"/>
      <c r="ML384" s="242">
        <f t="shared" si="2596"/>
        <v>0</v>
      </c>
      <c r="MM384" s="242">
        <f t="shared" si="2597"/>
        <v>0</v>
      </c>
      <c r="MN384" s="56"/>
      <c r="MQ384" s="55">
        <f t="shared" si="2598"/>
        <v>46350</v>
      </c>
      <c r="MR384" s="56"/>
      <c r="MS384" s="242">
        <f>SUMPRODUCT(PRODUCE!$B379:$DY379,PRODUCE!$EB$46:$IY$46)</f>
        <v>0</v>
      </c>
      <c r="MT384" s="56"/>
      <c r="MU384" s="242">
        <f t="shared" si="2599"/>
        <v>0</v>
      </c>
      <c r="MV384" s="242">
        <f t="shared" si="2600"/>
        <v>1625</v>
      </c>
      <c r="MW384" s="56"/>
      <c r="MZ384" s="55">
        <f t="shared" si="2601"/>
        <v>46350</v>
      </c>
      <c r="NA384" s="56"/>
      <c r="NB384" s="242">
        <f>SUMPRODUCT(PRODUCE!$B379:$DY379,PRODUCE!$EB$47:$IY$47)</f>
        <v>0</v>
      </c>
      <c r="NC384" s="56"/>
      <c r="ND384" s="242">
        <f t="shared" si="2602"/>
        <v>0</v>
      </c>
      <c r="NE384" s="242">
        <f t="shared" si="2603"/>
        <v>0</v>
      </c>
      <c r="NF384" s="56"/>
      <c r="NI384" s="55">
        <f t="shared" si="2604"/>
        <v>46350</v>
      </c>
      <c r="NJ384" s="56"/>
      <c r="NK384" s="242">
        <f>SUMPRODUCT(PRODUCE!$B379:$DY379,PRODUCE!$EB$48:$IY$48)</f>
        <v>0</v>
      </c>
      <c r="NL384" s="56"/>
      <c r="NM384" s="242">
        <f t="shared" si="2605"/>
        <v>0</v>
      </c>
      <c r="NN384" s="242">
        <f t="shared" si="2606"/>
        <v>1127</v>
      </c>
      <c r="NO384" s="56"/>
      <c r="NR384" s="55">
        <f t="shared" si="2607"/>
        <v>46350</v>
      </c>
      <c r="NS384" s="56"/>
      <c r="NT384" s="242">
        <f>SUMPRODUCT(PRODUCE!$B379:$DY379,PRODUCE!$EB$49:$IY$49)</f>
        <v>0</v>
      </c>
      <c r="NU384" s="56"/>
      <c r="NV384" s="242">
        <f t="shared" si="2608"/>
        <v>0</v>
      </c>
      <c r="NW384" s="242">
        <f t="shared" si="2609"/>
        <v>3111.9999999999995</v>
      </c>
      <c r="NX384" s="56"/>
      <c r="OA384" s="55">
        <f t="shared" si="2610"/>
        <v>46350</v>
      </c>
      <c r="OB384" s="56"/>
      <c r="OC384" s="242">
        <f>SUMPRODUCT(PRODUCE!$B379:$DY379,PRODUCE!$EB$50:$IY$50)</f>
        <v>0</v>
      </c>
      <c r="OD384" s="56"/>
      <c r="OE384" s="242">
        <f t="shared" si="2611"/>
        <v>0</v>
      </c>
      <c r="OF384" s="242">
        <f t="shared" si="2612"/>
        <v>1680.5</v>
      </c>
      <c r="OG384" s="56"/>
      <c r="OJ384" s="55">
        <f t="shared" si="2613"/>
        <v>46350</v>
      </c>
      <c r="OK384" s="56"/>
      <c r="OL384" s="242">
        <f>SUMPRODUCT(PRODUCE!$B379:$DY379,PRODUCE!$EB$51:$IY$51)</f>
        <v>0</v>
      </c>
      <c r="OM384" s="56"/>
      <c r="ON384" s="242">
        <f t="shared" si="2614"/>
        <v>0</v>
      </c>
      <c r="OO384" s="242">
        <f t="shared" si="2615"/>
        <v>0</v>
      </c>
      <c r="OP384" s="56"/>
      <c r="OS384" s="55">
        <f t="shared" si="2616"/>
        <v>46350</v>
      </c>
      <c r="OT384" s="56"/>
      <c r="OU384" s="242">
        <f>SUMPRODUCT(PRODUCE!$B379:$DY379,PRODUCE!$EB$52:$IY$52)</f>
        <v>0</v>
      </c>
      <c r="OV384" s="56"/>
      <c r="OW384" s="242">
        <f t="shared" si="2617"/>
        <v>0</v>
      </c>
      <c r="OX384" s="242">
        <f t="shared" si="2618"/>
        <v>1482</v>
      </c>
      <c r="OY384" s="56"/>
      <c r="PB384" s="55">
        <f t="shared" si="2619"/>
        <v>46350</v>
      </c>
      <c r="PC384" s="56"/>
      <c r="PD384" s="242">
        <f>SUMPRODUCT(PRODUCE!$B379:$DY379,PRODUCE!$EB$53:$IY$53)</f>
        <v>0</v>
      </c>
      <c r="PE384" s="56"/>
      <c r="PF384" s="242">
        <f t="shared" si="2620"/>
        <v>0</v>
      </c>
      <c r="PG384" s="242">
        <f t="shared" si="2621"/>
        <v>0</v>
      </c>
      <c r="PH384" s="56"/>
      <c r="PK384" s="55">
        <f t="shared" si="2622"/>
        <v>46350</v>
      </c>
      <c r="PL384" s="56"/>
      <c r="PM384" s="242">
        <f>SUMPRODUCT(PRODUCE!$B379:$DY379,PRODUCE!$EB$54:$IY$54)</f>
        <v>0</v>
      </c>
      <c r="PN384" s="56"/>
      <c r="PO384" s="242">
        <f t="shared" si="2623"/>
        <v>0</v>
      </c>
      <c r="PP384" s="242">
        <f t="shared" si="2624"/>
        <v>100</v>
      </c>
      <c r="PQ384" s="56"/>
      <c r="PT384" s="55">
        <f t="shared" si="2625"/>
        <v>46350</v>
      </c>
      <c r="PU384" s="56"/>
      <c r="PV384" s="242">
        <f>SUMPRODUCT(PRODUCE!$B379:$DY379,PRODUCE!$EB$55:$IY$55)</f>
        <v>0</v>
      </c>
      <c r="PW384" s="56"/>
      <c r="PX384" s="242">
        <f t="shared" si="2626"/>
        <v>0</v>
      </c>
      <c r="PY384" s="242">
        <f t="shared" si="2627"/>
        <v>13.960000000000036</v>
      </c>
      <c r="PZ384" s="56"/>
      <c r="QC384" s="55">
        <f t="shared" si="2628"/>
        <v>46350</v>
      </c>
      <c r="QD384" s="56"/>
      <c r="QE384" s="242">
        <f>SUMPRODUCT(PRODUCE!$B379:$DY379,PRODUCE!$EB$56:$IY$56)</f>
        <v>0</v>
      </c>
      <c r="QF384" s="56"/>
      <c r="QG384" s="242">
        <f t="shared" si="2629"/>
        <v>0</v>
      </c>
      <c r="QH384" s="242">
        <f t="shared" si="2630"/>
        <v>548</v>
      </c>
      <c r="QI384" s="56"/>
      <c r="QL384" s="55">
        <f t="shared" si="2631"/>
        <v>46350</v>
      </c>
      <c r="QM384" s="56"/>
      <c r="QN384" s="242">
        <f>SUMPRODUCT(PRODUCE!$B379:$DY379,PRODUCE!$EB$57:$IY$57)</f>
        <v>0</v>
      </c>
      <c r="QO384" s="56"/>
      <c r="QP384" s="242">
        <f t="shared" si="2632"/>
        <v>0</v>
      </c>
      <c r="QQ384" s="242">
        <f t="shared" si="2633"/>
        <v>0</v>
      </c>
      <c r="QR384" s="56"/>
      <c r="QU384" s="55">
        <f t="shared" si="2634"/>
        <v>46350</v>
      </c>
      <c r="QV384" s="56"/>
      <c r="QW384" s="242">
        <f>SUMPRODUCT(PRODUCE!$B379:$DY379,PRODUCE!$EB$57:$IY$57)</f>
        <v>0</v>
      </c>
      <c r="QX384" s="56"/>
      <c r="QY384" s="242">
        <f t="shared" si="2635"/>
        <v>0</v>
      </c>
      <c r="QZ384" s="242">
        <f t="shared" si="2636"/>
        <v>0</v>
      </c>
      <c r="RA384" s="56"/>
      <c r="RD384" s="55">
        <f t="shared" si="2637"/>
        <v>46350</v>
      </c>
      <c r="RE384" s="56"/>
      <c r="RF384" s="242">
        <f>SUMPRODUCT(PRODUCE!$B379:$DY379,PRODUCE!$EB$58:$IY$58)</f>
        <v>0</v>
      </c>
      <c r="RG384" s="56"/>
      <c r="RH384" s="242">
        <f t="shared" si="2638"/>
        <v>0</v>
      </c>
      <c r="RI384" s="242">
        <f t="shared" si="2639"/>
        <v>147.04000000000002</v>
      </c>
      <c r="RJ384" s="56"/>
      <c r="RM384" s="55">
        <f t="shared" si="2640"/>
        <v>46350</v>
      </c>
      <c r="RN384" s="56"/>
      <c r="RO384" s="242">
        <f>SUMPRODUCT(PRODUCE!$B379:$DY379,PRODUCE!$EB$57:$IY$57)</f>
        <v>0</v>
      </c>
      <c r="RP384" s="56"/>
      <c r="RQ384" s="242">
        <f t="shared" si="2641"/>
        <v>0</v>
      </c>
      <c r="RR384" s="242">
        <f t="shared" si="2642"/>
        <v>46.8</v>
      </c>
      <c r="RS384" s="56"/>
      <c r="RV384" s="55">
        <f t="shared" si="2643"/>
        <v>46350</v>
      </c>
      <c r="RW384" s="56"/>
      <c r="RX384" s="242">
        <f>SUMPRODUCT(PRODUCE!$B379:$DY379,PRODUCE!$EB$57:$IY$57)</f>
        <v>0</v>
      </c>
      <c r="RY384" s="56"/>
      <c r="RZ384" s="242">
        <f t="shared" si="2644"/>
        <v>0</v>
      </c>
      <c r="SA384" s="242">
        <f t="shared" si="2645"/>
        <v>0</v>
      </c>
      <c r="SB384" s="56"/>
      <c r="SE384" s="55">
        <f t="shared" si="2646"/>
        <v>46350</v>
      </c>
      <c r="SF384" s="56"/>
      <c r="SG384" s="242">
        <f>SUMPRODUCT(PRODUCE!$B379:$DY379,PRODUCE!$EB$61:$IY$61)</f>
        <v>0</v>
      </c>
      <c r="SH384" s="56"/>
      <c r="SI384" s="242">
        <f t="shared" si="2647"/>
        <v>0</v>
      </c>
      <c r="SJ384" s="242">
        <f t="shared" si="2648"/>
        <v>24.200000000000003</v>
      </c>
      <c r="SK384" s="56"/>
      <c r="SN384" s="55">
        <f t="shared" si="2649"/>
        <v>46350</v>
      </c>
      <c r="SO384" s="56"/>
      <c r="SP384" s="242">
        <f>SUMPRODUCT(PRODUCE!$B379:$DY379,PRODUCE!$EB$57:$IY$57)</f>
        <v>0</v>
      </c>
      <c r="SQ384" s="56"/>
      <c r="SR384" s="242">
        <f t="shared" si="2650"/>
        <v>0</v>
      </c>
      <c r="SS384" s="242">
        <f t="shared" si="2651"/>
        <v>32</v>
      </c>
      <c r="ST384" s="56"/>
      <c r="SW384" s="55">
        <f t="shared" si="2652"/>
        <v>46350</v>
      </c>
      <c r="SX384" s="56"/>
      <c r="SY384" s="242">
        <f>SUMPRODUCT(PRODUCE!$B379:$DY379,PRODUCE!$EB$57:$IY$57)</f>
        <v>0</v>
      </c>
      <c r="SZ384" s="56"/>
      <c r="TA384" s="242">
        <f t="shared" si="2653"/>
        <v>0</v>
      </c>
      <c r="TB384" s="242">
        <f t="shared" si="2654"/>
        <v>0</v>
      </c>
      <c r="TC384" s="56"/>
      <c r="TF384" s="55">
        <f t="shared" si="2655"/>
        <v>46350</v>
      </c>
      <c r="TG384" s="56"/>
      <c r="TH384" s="242">
        <f>SUMPRODUCT(PRODUCE!$B379:$DY379,PRODUCE!$EB$57:$IY$57)</f>
        <v>0</v>
      </c>
      <c r="TI384" s="56"/>
      <c r="TJ384" s="242">
        <f t="shared" si="2656"/>
        <v>0</v>
      </c>
      <c r="TK384" s="242">
        <f t="shared" si="2657"/>
        <v>0</v>
      </c>
      <c r="TL384" s="56"/>
      <c r="TO384" s="55">
        <f t="shared" si="2658"/>
        <v>46350</v>
      </c>
      <c r="TP384" s="56"/>
      <c r="TQ384" s="242">
        <f>SUMPRODUCT(PRODUCE!$B379:$DY379,PRODUCE!$EB$57:$IY$57)</f>
        <v>0</v>
      </c>
      <c r="TR384" s="56"/>
      <c r="TS384" s="242">
        <f t="shared" si="2659"/>
        <v>0</v>
      </c>
      <c r="TT384" s="242">
        <f t="shared" si="2660"/>
        <v>0</v>
      </c>
      <c r="TU384" s="56"/>
      <c r="TX384" s="55">
        <f t="shared" si="2661"/>
        <v>46350</v>
      </c>
      <c r="TY384" s="56"/>
      <c r="TZ384" s="242">
        <f>SUMPRODUCT(PRODUCE!$B379:$DY379,PRODUCE!$EB$57:$IY$57)</f>
        <v>0</v>
      </c>
      <c r="UA384" s="56"/>
      <c r="UB384" s="242">
        <f t="shared" si="2662"/>
        <v>0</v>
      </c>
      <c r="UC384" s="242">
        <f t="shared" si="2663"/>
        <v>46.799999999999983</v>
      </c>
      <c r="UD384" s="56"/>
      <c r="UG384" s="55">
        <f t="shared" si="2664"/>
        <v>46350</v>
      </c>
      <c r="UH384" s="56"/>
      <c r="UI384" s="242">
        <f>SUMPRODUCT(PRODUCE!$B379:$DY379,PRODUCE!$EB$57:$IY$57)</f>
        <v>0</v>
      </c>
      <c r="UJ384" s="56"/>
      <c r="UK384" s="242">
        <f t="shared" si="2665"/>
        <v>0</v>
      </c>
      <c r="UL384" s="242">
        <f t="shared" si="2666"/>
        <v>204</v>
      </c>
      <c r="UM384" s="56"/>
      <c r="UP384" s="55">
        <f t="shared" si="2667"/>
        <v>46350</v>
      </c>
      <c r="UQ384" s="56"/>
      <c r="UR384" s="242">
        <f>SUMPRODUCT(PRODUCE!$B379:$DY379,PRODUCE!$EB$57:$IY$57)</f>
        <v>0</v>
      </c>
      <c r="US384" s="56"/>
      <c r="UT384" s="242">
        <f t="shared" si="2668"/>
        <v>0</v>
      </c>
      <c r="UU384" s="242">
        <f t="shared" si="2669"/>
        <v>202.5</v>
      </c>
      <c r="UV384" s="56"/>
      <c r="UY384" s="55">
        <f t="shared" si="2670"/>
        <v>46350</v>
      </c>
      <c r="UZ384" s="56"/>
      <c r="VA384" s="242">
        <f>SUMPRODUCT(PRODUCE!$B379:$DY379,PRODUCE!$EB$57:$IY$57)</f>
        <v>0</v>
      </c>
      <c r="VB384" s="56"/>
      <c r="VC384" s="242">
        <f t="shared" si="2671"/>
        <v>0</v>
      </c>
      <c r="VD384" s="242">
        <f t="shared" si="2672"/>
        <v>41.600000000000023</v>
      </c>
      <c r="VE384" s="56"/>
      <c r="VH384" s="55">
        <f t="shared" si="2673"/>
        <v>46350</v>
      </c>
      <c r="VI384" s="56"/>
      <c r="VJ384" s="242">
        <f>SUMPRODUCT(PRODUCE!$B379:$DY379,PRODUCE!$EB$57:$IY$57)</f>
        <v>0</v>
      </c>
      <c r="VK384" s="56"/>
      <c r="VL384" s="242">
        <f t="shared" si="2674"/>
        <v>0</v>
      </c>
      <c r="VM384" s="242">
        <f t="shared" si="2675"/>
        <v>210</v>
      </c>
      <c r="VN384" s="56"/>
      <c r="VQ384" s="55">
        <f t="shared" si="2676"/>
        <v>46350</v>
      </c>
      <c r="VR384" s="56"/>
      <c r="VS384" s="242">
        <f>SUMPRODUCT(PRODUCE!$B379:$DY379,PRODUCE!$EB$57:$IY$57)</f>
        <v>0</v>
      </c>
      <c r="VT384" s="56"/>
      <c r="VU384" s="242">
        <f t="shared" si="2677"/>
        <v>0</v>
      </c>
      <c r="VV384" s="242">
        <f t="shared" si="2678"/>
        <v>0</v>
      </c>
      <c r="VW384" s="56"/>
      <c r="VZ384" s="55">
        <f t="shared" si="2679"/>
        <v>46350</v>
      </c>
      <c r="WA384" s="56"/>
      <c r="WB384" s="242">
        <f>SUMPRODUCT(PRODUCE!$B379:$DY379,PRODUCE!$EB$57:$IY$57)</f>
        <v>0</v>
      </c>
      <c r="WC384" s="56"/>
      <c r="WD384" s="242">
        <f t="shared" si="2680"/>
        <v>0</v>
      </c>
      <c r="WE384" s="242">
        <f t="shared" si="2681"/>
        <v>0</v>
      </c>
      <c r="WF384" s="56"/>
      <c r="WI384" s="55">
        <f t="shared" si="2682"/>
        <v>46350</v>
      </c>
      <c r="WJ384" s="56"/>
      <c r="WK384" s="242">
        <f>SUMPRODUCT(PRODUCE!$B379:$DY379,PRODUCE!$EB$57:$IY$57)</f>
        <v>0</v>
      </c>
      <c r="WL384" s="56"/>
      <c r="WM384" s="242">
        <f t="shared" si="2683"/>
        <v>0</v>
      </c>
      <c r="WN384" s="242">
        <f t="shared" si="2684"/>
        <v>1057</v>
      </c>
      <c r="WO384" s="56"/>
      <c r="WR384" s="55">
        <f t="shared" si="2685"/>
        <v>46350</v>
      </c>
      <c r="WS384" s="56"/>
      <c r="WT384" s="242">
        <f>SUMPRODUCT(PRODUCE!$B379:$DY379,PRODUCE!$EB$57:$IY$57)</f>
        <v>0</v>
      </c>
      <c r="WU384" s="56"/>
      <c r="WV384" s="242">
        <f t="shared" si="2686"/>
        <v>0</v>
      </c>
      <c r="WW384" s="242">
        <f t="shared" si="2687"/>
        <v>0</v>
      </c>
      <c r="WX384" s="56"/>
      <c r="XA384" s="55">
        <f t="shared" si="2688"/>
        <v>46350</v>
      </c>
      <c r="XB384" s="56"/>
      <c r="XC384" s="242">
        <f>SUMPRODUCT(PRODUCE!$B379:$DY379,PRODUCE!$EB$57:$IY$57)</f>
        <v>0</v>
      </c>
      <c r="XD384" s="56"/>
      <c r="XE384" s="242">
        <f t="shared" si="2689"/>
        <v>0</v>
      </c>
      <c r="XF384" s="242">
        <f t="shared" si="2690"/>
        <v>7507</v>
      </c>
      <c r="XG384" s="56"/>
      <c r="XJ384" s="55">
        <f t="shared" si="2691"/>
        <v>46350</v>
      </c>
      <c r="XK384" s="56"/>
      <c r="XL384" s="242">
        <f>SUMPRODUCT(PRODUCE!$B379:$DY379,PRODUCE!$EB$57:$IY$57)</f>
        <v>0</v>
      </c>
      <c r="XM384" s="56"/>
      <c r="XN384" s="242">
        <f t="shared" si="2692"/>
        <v>0</v>
      </c>
      <c r="XO384" s="242">
        <f t="shared" si="2693"/>
        <v>4252</v>
      </c>
      <c r="XP384" s="56"/>
      <c r="XS384" s="55">
        <f t="shared" si="2694"/>
        <v>46350</v>
      </c>
      <c r="XT384" s="56"/>
      <c r="XU384" s="242">
        <f>SUMPRODUCT(PRODUCE!$B379:$DY379,PRODUCE!$EB$57:$IY$57)</f>
        <v>0</v>
      </c>
      <c r="XV384" s="56"/>
      <c r="XW384" s="242">
        <f t="shared" si="2695"/>
        <v>0</v>
      </c>
      <c r="XX384" s="242">
        <f t="shared" si="2696"/>
        <v>2179</v>
      </c>
      <c r="XY384" s="56"/>
      <c r="YB384" s="55">
        <f t="shared" si="2697"/>
        <v>46350</v>
      </c>
      <c r="YC384" s="56"/>
      <c r="YD384" s="242">
        <f>SUMPRODUCT(PRODUCE!$B379:$DY379,PRODUCE!$EB$57:$IY$57)</f>
        <v>0</v>
      </c>
      <c r="YE384" s="56"/>
      <c r="YF384" s="242">
        <f t="shared" si="2698"/>
        <v>0</v>
      </c>
      <c r="YG384" s="242">
        <f t="shared" si="2699"/>
        <v>4019</v>
      </c>
      <c r="YH384" s="56"/>
      <c r="YK384" s="55">
        <f t="shared" si="2700"/>
        <v>46350</v>
      </c>
      <c r="YL384" s="56"/>
      <c r="YM384" s="242">
        <f>SUMPRODUCT(PRODUCE!$B379:$DY379,PRODUCE!$EB$57:$IY$57)</f>
        <v>0</v>
      </c>
      <c r="YN384" s="56"/>
      <c r="YO384" s="242">
        <f t="shared" si="2701"/>
        <v>0</v>
      </c>
      <c r="YP384" s="242">
        <f t="shared" si="2702"/>
        <v>-218</v>
      </c>
      <c r="YQ384" s="56"/>
      <c r="YT384" s="55">
        <f t="shared" si="2703"/>
        <v>46350</v>
      </c>
      <c r="YU384" s="56"/>
      <c r="YV384" s="242">
        <f>SUMPRODUCT(PRODUCE!$B379:$DY379,PRODUCE!$EB$57:$IY$57)</f>
        <v>0</v>
      </c>
      <c r="YW384" s="56"/>
      <c r="YX384" s="242">
        <f t="shared" si="2704"/>
        <v>0</v>
      </c>
      <c r="YY384" s="242">
        <f t="shared" si="2705"/>
        <v>0</v>
      </c>
      <c r="YZ384" s="56"/>
      <c r="ZC384" s="55">
        <f t="shared" si="2706"/>
        <v>46350</v>
      </c>
      <c r="ZD384" s="56"/>
      <c r="ZE384" s="242">
        <f>SUMPRODUCT(PRODUCE!$B379:$DY379,PRODUCE!$EB$57:$IY$57)</f>
        <v>0</v>
      </c>
      <c r="ZF384" s="56"/>
      <c r="ZG384" s="242">
        <f t="shared" si="2707"/>
        <v>0</v>
      </c>
      <c r="ZH384" s="242">
        <f t="shared" si="2708"/>
        <v>0</v>
      </c>
      <c r="ZI384" s="56"/>
      <c r="ZL384" s="55">
        <f t="shared" si="2709"/>
        <v>46350</v>
      </c>
      <c r="ZM384" s="56"/>
      <c r="ZN384" s="242">
        <f>SUMPRODUCT(PRODUCE!$B379:$DY379,PRODUCE!$EB$57:$IY$57)</f>
        <v>0</v>
      </c>
      <c r="ZO384" s="56"/>
      <c r="ZP384" s="242">
        <f t="shared" si="2710"/>
        <v>0</v>
      </c>
      <c r="ZQ384" s="242">
        <f t="shared" si="2711"/>
        <v>0</v>
      </c>
      <c r="ZR384" s="56"/>
      <c r="ZU384" s="55">
        <f t="shared" si="2712"/>
        <v>46350</v>
      </c>
      <c r="ZV384" s="56"/>
      <c r="ZW384" s="242">
        <f>SUMPRODUCT(PRODUCE!$B379:$DY379,PRODUCE!$EB$57:$IY$57)</f>
        <v>0</v>
      </c>
      <c r="ZX384" s="56"/>
      <c r="ZY384" s="242">
        <f t="shared" si="2713"/>
        <v>0</v>
      </c>
      <c r="ZZ384" s="242">
        <f t="shared" si="2714"/>
        <v>0</v>
      </c>
      <c r="AAA384" s="56"/>
      <c r="AAD384" s="55">
        <f t="shared" si="2715"/>
        <v>46350</v>
      </c>
      <c r="AAE384" s="56"/>
      <c r="AAF384" s="242">
        <f>SUMPRODUCT(PRODUCE!$B379:$DY379,PRODUCE!$EB$57:$IY$57)</f>
        <v>0</v>
      </c>
      <c r="AAG384" s="56"/>
      <c r="AAH384" s="242">
        <f t="shared" si="2716"/>
        <v>0</v>
      </c>
      <c r="AAI384" s="242">
        <f t="shared" si="2717"/>
        <v>0</v>
      </c>
      <c r="AAJ384" s="56"/>
      <c r="AAM384" s="55">
        <f t="shared" si="2718"/>
        <v>46350</v>
      </c>
      <c r="AAN384" s="56"/>
      <c r="AAO384" s="242">
        <f>SUMPRODUCT(PRODUCE!$B379:$DY379,PRODUCE!$EB$57:$IY$57)</f>
        <v>0</v>
      </c>
      <c r="AAP384" s="56"/>
      <c r="AAQ384" s="242">
        <f t="shared" si="2719"/>
        <v>0</v>
      </c>
      <c r="AAR384" s="242">
        <f t="shared" si="2720"/>
        <v>0</v>
      </c>
      <c r="AAS384" s="56"/>
      <c r="AAV384" s="55">
        <f t="shared" si="2721"/>
        <v>46350</v>
      </c>
      <c r="AAW384" s="56"/>
      <c r="AAX384" s="242">
        <f>SUMPRODUCT(PRODUCE!$B379:$DY379,PRODUCE!$EB$57:$IY$57)</f>
        <v>0</v>
      </c>
      <c r="AAY384" s="56"/>
      <c r="AAZ384" s="242">
        <f t="shared" si="2722"/>
        <v>0</v>
      </c>
      <c r="ABA384" s="242">
        <f t="shared" si="2723"/>
        <v>0</v>
      </c>
      <c r="ABB384" s="56"/>
      <c r="ABE384" s="55">
        <f t="shared" si="2724"/>
        <v>46350</v>
      </c>
      <c r="ABF384" s="56"/>
      <c r="ABG384" s="242">
        <f>SUMPRODUCT(PRODUCE!$B379:$DY379,PRODUCE!$EB$57:$IY$57)</f>
        <v>0</v>
      </c>
      <c r="ABH384" s="56"/>
      <c r="ABI384" s="242">
        <f t="shared" si="2725"/>
        <v>0</v>
      </c>
      <c r="ABJ384" s="242">
        <f t="shared" si="2726"/>
        <v>0</v>
      </c>
      <c r="ABK384" s="56"/>
    </row>
    <row r="385" spans="1:739" s="54" customFormat="1" ht="15" customHeight="1" outlineLevel="1">
      <c r="B385" s="478"/>
      <c r="C385" s="55">
        <v>46351</v>
      </c>
      <c r="D385" s="56"/>
      <c r="E385" s="57">
        <f>SUMPRODUCT(PRODUCE!$B380:$DY380,PRODUCE!$EB$7:$IY$7)</f>
        <v>0</v>
      </c>
      <c r="F385" s="56"/>
      <c r="G385" s="57">
        <f t="shared" si="2482"/>
        <v>0</v>
      </c>
      <c r="H385" s="57">
        <f t="shared" si="2483"/>
        <v>236936.6</v>
      </c>
      <c r="I385" s="289"/>
      <c r="L385" s="55">
        <f t="shared" si="2484"/>
        <v>46351</v>
      </c>
      <c r="M385" s="56"/>
      <c r="N385" s="59">
        <f>SUMPRODUCT(PRODUCE!$B380:$DY380,PRODUCE!$EB$8:$IY$8)</f>
        <v>0</v>
      </c>
      <c r="O385" s="56"/>
      <c r="P385" s="59">
        <f t="shared" si="2485"/>
        <v>0</v>
      </c>
      <c r="Q385" s="59">
        <f t="shared" si="2486"/>
        <v>53017.600000000071</v>
      </c>
      <c r="R385" s="56"/>
      <c r="U385" s="55">
        <f t="shared" si="2487"/>
        <v>46351</v>
      </c>
      <c r="V385" s="56"/>
      <c r="W385" s="60">
        <f>SUMPRODUCT(PRODUCE!$B380:$DY380,PRODUCE!$EB$9:$IY$9)</f>
        <v>0</v>
      </c>
      <c r="X385" s="56"/>
      <c r="Y385" s="60">
        <f t="shared" si="2488"/>
        <v>0</v>
      </c>
      <c r="Z385" s="60">
        <f t="shared" si="2489"/>
        <v>42674.199999999968</v>
      </c>
      <c r="AA385" s="56"/>
      <c r="AD385" s="55">
        <f t="shared" si="2490"/>
        <v>46351</v>
      </c>
      <c r="AE385" s="56"/>
      <c r="AF385" s="61">
        <f>SUMPRODUCT(PRODUCE!$B380:$DY380,PRODUCE!$EB$10:$IY$10)</f>
        <v>0</v>
      </c>
      <c r="AG385" s="56"/>
      <c r="AH385" s="61">
        <f t="shared" si="2491"/>
        <v>0</v>
      </c>
      <c r="AI385" s="61">
        <f t="shared" si="2492"/>
        <v>4522.2000000000189</v>
      </c>
      <c r="AJ385" s="56"/>
      <c r="AM385" s="55">
        <f t="shared" si="2493"/>
        <v>46351</v>
      </c>
      <c r="AN385" s="422"/>
      <c r="AO385" s="444">
        <f>SUMPRODUCT(PRODUCE!$B380:$DY380,PRODUCE!$EB$11:$IY$11)</f>
        <v>0</v>
      </c>
      <c r="AP385" s="422"/>
      <c r="AQ385" s="444">
        <f t="shared" si="2494"/>
        <v>0</v>
      </c>
      <c r="AR385" s="444">
        <f t="shared" si="2495"/>
        <v>0</v>
      </c>
      <c r="AS385" s="56"/>
      <c r="AV385" s="55">
        <f t="shared" si="2496"/>
        <v>46351</v>
      </c>
      <c r="AW385" s="56"/>
      <c r="AX385" s="62">
        <f>SUMPRODUCT(PRODUCE!$B380:$DY380,PRODUCE!$EB$12:$IY$12)</f>
        <v>0</v>
      </c>
      <c r="AY385" s="56"/>
      <c r="AZ385" s="62">
        <f t="shared" si="2497"/>
        <v>0</v>
      </c>
      <c r="BA385" s="62">
        <f t="shared" si="2498"/>
        <v>124.99999999999523</v>
      </c>
      <c r="BB385" s="56"/>
      <c r="BE385" s="55">
        <f t="shared" si="2499"/>
        <v>46351</v>
      </c>
      <c r="BF385" s="56"/>
      <c r="BG385" s="63">
        <f>SUMPRODUCT(PRODUCE!$B380:$DY380,PRODUCE!$EB$13:$IY$13)</f>
        <v>0</v>
      </c>
      <c r="BH385" s="56"/>
      <c r="BI385" s="63">
        <f t="shared" si="2500"/>
        <v>0</v>
      </c>
      <c r="BJ385" s="63">
        <f t="shared" si="2501"/>
        <v>26151.899999999998</v>
      </c>
      <c r="BK385" s="56"/>
      <c r="BN385" s="55">
        <f t="shared" si="2502"/>
        <v>46351</v>
      </c>
      <c r="BO385" s="56"/>
      <c r="BP385" s="64">
        <f>SUMPRODUCT(PRODUCE!$B380:$DY380,PRODUCE!$EB$14:$IY$14)</f>
        <v>0</v>
      </c>
      <c r="BQ385" s="56"/>
      <c r="BR385" s="64">
        <f t="shared" si="2503"/>
        <v>0</v>
      </c>
      <c r="BS385" s="64">
        <f t="shared" si="2504"/>
        <v>0</v>
      </c>
      <c r="BT385" s="56"/>
      <c r="BW385" s="55">
        <f t="shared" si="2505"/>
        <v>46351</v>
      </c>
      <c r="BX385" s="56"/>
      <c r="BY385" s="65">
        <f>SUMPRODUCT(PRODUCE!$B380:$DY380,PRODUCE!$EB$15:$IY$15)</f>
        <v>0</v>
      </c>
      <c r="BZ385" s="56"/>
      <c r="CA385" s="65">
        <f t="shared" si="2506"/>
        <v>0</v>
      </c>
      <c r="CB385" s="65">
        <f t="shared" si="2507"/>
        <v>2097.3399999999992</v>
      </c>
      <c r="CC385" s="56"/>
      <c r="CF385" s="55">
        <f t="shared" si="2508"/>
        <v>46351</v>
      </c>
      <c r="CG385" s="56"/>
      <c r="CH385" s="66">
        <f>SUMPRODUCT(PRODUCE!$B380:$DY380,PRODUCE!$EB$16:$IY$16)</f>
        <v>0</v>
      </c>
      <c r="CI385" s="56"/>
      <c r="CJ385" s="66">
        <f t="shared" si="2509"/>
        <v>0</v>
      </c>
      <c r="CK385" s="66">
        <f t="shared" si="2510"/>
        <v>-10277.079999999998</v>
      </c>
      <c r="CL385" s="56"/>
      <c r="CO385" s="55">
        <f t="shared" si="2511"/>
        <v>46351</v>
      </c>
      <c r="CP385" s="422"/>
      <c r="CQ385" s="470">
        <f>SUMPRODUCT(PRODUCE!$B380:$DY380,PRODUCE!$EB$17:$IY$17)</f>
        <v>0</v>
      </c>
      <c r="CR385" s="422"/>
      <c r="CS385" s="470">
        <f t="shared" si="2512"/>
        <v>0</v>
      </c>
      <c r="CT385" s="470">
        <f t="shared" si="2513"/>
        <v>0</v>
      </c>
      <c r="CU385" s="56"/>
      <c r="CX385" s="55">
        <f t="shared" si="2514"/>
        <v>46351</v>
      </c>
      <c r="CY385" s="56"/>
      <c r="CZ385" s="133">
        <f>SUMPRODUCT(PRODUCE!$B380:$DY380,PRODUCE!$EB$18:$IY$18)</f>
        <v>0</v>
      </c>
      <c r="DA385" s="56"/>
      <c r="DB385" s="133">
        <f t="shared" si="2515"/>
        <v>0</v>
      </c>
      <c r="DC385" s="133">
        <f t="shared" si="2516"/>
        <v>27438.200000000012</v>
      </c>
      <c r="DD385" s="56"/>
      <c r="DG385" s="55">
        <f t="shared" si="2517"/>
        <v>46351</v>
      </c>
      <c r="DH385" s="56"/>
      <c r="DI385" s="147">
        <f>SUMPRODUCT(PRODUCE!$B380:$DY380,PRODUCE!$EB$19:$IY$19)</f>
        <v>0</v>
      </c>
      <c r="DJ385" s="56"/>
      <c r="DK385" s="147">
        <f t="shared" si="2518"/>
        <v>0</v>
      </c>
      <c r="DL385" s="147">
        <f t="shared" si="2519"/>
        <v>18782.299999999981</v>
      </c>
      <c r="DM385" s="56"/>
      <c r="DP385" s="55">
        <f t="shared" si="2520"/>
        <v>46351</v>
      </c>
      <c r="DQ385" s="56"/>
      <c r="DR385" s="57">
        <f>SUMPRODUCT(PRODUCE!$B380:$DY380,PRODUCE!$EB$20:$IY$20)</f>
        <v>0</v>
      </c>
      <c r="DS385" s="56"/>
      <c r="DT385" s="57">
        <f t="shared" si="2521"/>
        <v>0</v>
      </c>
      <c r="DU385" s="57">
        <f t="shared" si="2522"/>
        <v>5800</v>
      </c>
      <c r="DV385" s="56"/>
      <c r="DY385" s="55">
        <f t="shared" si="2523"/>
        <v>46351</v>
      </c>
      <c r="DZ385" s="56"/>
      <c r="EA385" s="157">
        <f>SUMPRODUCT(PRODUCE!$B380:$DY380,PRODUCE!$EB$21:$IY$21)</f>
        <v>0</v>
      </c>
      <c r="EB385" s="56"/>
      <c r="EC385" s="157">
        <f t="shared" si="2524"/>
        <v>0</v>
      </c>
      <c r="ED385" s="157">
        <f t="shared" si="2525"/>
        <v>0</v>
      </c>
      <c r="EE385" s="56"/>
      <c r="EH385" s="55">
        <f t="shared" si="2526"/>
        <v>46351</v>
      </c>
      <c r="EI385" s="56"/>
      <c r="EJ385" s="162">
        <f>SUMPRODUCT(PRODUCE!$B380:$DY380,PRODUCE!$EB$22:$IY$22)</f>
        <v>0</v>
      </c>
      <c r="EK385" s="56"/>
      <c r="EL385" s="162">
        <f t="shared" si="2527"/>
        <v>0</v>
      </c>
      <c r="EM385" s="162">
        <f t="shared" si="2528"/>
        <v>0</v>
      </c>
      <c r="EN385" s="56"/>
      <c r="EQ385" s="55">
        <f t="shared" si="2529"/>
        <v>46351</v>
      </c>
      <c r="ER385" s="56"/>
      <c r="ES385" s="135">
        <f>SUMPRODUCT(PRODUCE!$B380:$DY380,PRODUCE!$EB$23:$IY$23)</f>
        <v>0</v>
      </c>
      <c r="ET385" s="56"/>
      <c r="EU385" s="135">
        <f t="shared" si="2530"/>
        <v>0</v>
      </c>
      <c r="EV385" s="135">
        <f t="shared" si="2531"/>
        <v>0</v>
      </c>
      <c r="EW385" s="56"/>
      <c r="EZ385" s="55">
        <f t="shared" si="2532"/>
        <v>46351</v>
      </c>
      <c r="FA385" s="56"/>
      <c r="FB385" s="175">
        <f>SUMPRODUCT(PRODUCE!$B380:$DY380,PRODUCE!$EB$24:$IY$24)</f>
        <v>0</v>
      </c>
      <c r="FC385" s="56"/>
      <c r="FD385" s="175">
        <f t="shared" si="2533"/>
        <v>0</v>
      </c>
      <c r="FE385" s="175">
        <f t="shared" si="2534"/>
        <v>0</v>
      </c>
      <c r="FF385" s="56"/>
      <c r="FI385" s="55">
        <f t="shared" si="2535"/>
        <v>46351</v>
      </c>
      <c r="FJ385" s="56"/>
      <c r="FK385" s="183">
        <f>SUMPRODUCT(PRODUCE!$B380:$DY380,PRODUCE!$EB$25:$IY$25)</f>
        <v>0</v>
      </c>
      <c r="FL385" s="56"/>
      <c r="FM385" s="183">
        <f t="shared" si="2536"/>
        <v>0</v>
      </c>
      <c r="FN385" s="183">
        <f t="shared" si="2537"/>
        <v>0</v>
      </c>
      <c r="FO385" s="56"/>
      <c r="FR385" s="55">
        <f t="shared" si="2538"/>
        <v>46351</v>
      </c>
      <c r="FS385" s="56"/>
      <c r="FT385" s="186">
        <f>SUMPRODUCT(PRODUCE!$B380:$DY380,PRODUCE!$EB$26:$IY$26)</f>
        <v>0</v>
      </c>
      <c r="FU385" s="56"/>
      <c r="FV385" s="186">
        <f t="shared" si="2539"/>
        <v>0</v>
      </c>
      <c r="FW385" s="186">
        <f t="shared" si="2540"/>
        <v>2020</v>
      </c>
      <c r="FX385" s="56"/>
      <c r="GA385" s="55">
        <f t="shared" si="2541"/>
        <v>46351</v>
      </c>
      <c r="GB385" s="56"/>
      <c r="GC385" s="137">
        <f>SUMPRODUCT(PRODUCE!$B380:$DY380,PRODUCE!$EB$27:$IY$27)</f>
        <v>0</v>
      </c>
      <c r="GD385" s="56"/>
      <c r="GE385" s="137">
        <f t="shared" si="2542"/>
        <v>0</v>
      </c>
      <c r="GF385" s="137">
        <f t="shared" si="2543"/>
        <v>960</v>
      </c>
      <c r="GG385" s="56"/>
      <c r="GI385" s="23"/>
      <c r="GJ385" s="55">
        <f t="shared" si="2544"/>
        <v>46351</v>
      </c>
      <c r="GK385" s="56"/>
      <c r="GL385" s="199">
        <f>SUMPRODUCT(PRODUCE!$B380:$DY380,PRODUCE!$EB$28:$IY$28)</f>
        <v>0</v>
      </c>
      <c r="GM385" s="56"/>
      <c r="GN385" s="199">
        <f t="shared" si="2545"/>
        <v>0</v>
      </c>
      <c r="GO385" s="199">
        <f t="shared" si="2546"/>
        <v>1760</v>
      </c>
      <c r="GP385" s="56"/>
      <c r="GS385" s="55">
        <f t="shared" si="2547"/>
        <v>46351</v>
      </c>
      <c r="GT385" s="56"/>
      <c r="GU385" s="195">
        <f>SUMPRODUCT(PRODUCE!$B380:$DY380,PRODUCE!$EB$29:$IY$29)</f>
        <v>0</v>
      </c>
      <c r="GV385" s="56"/>
      <c r="GW385" s="195">
        <f t="shared" si="2548"/>
        <v>0</v>
      </c>
      <c r="GX385" s="195">
        <f t="shared" si="2549"/>
        <v>400</v>
      </c>
      <c r="GY385" s="56"/>
      <c r="HB385" s="55">
        <f t="shared" si="2550"/>
        <v>46351</v>
      </c>
      <c r="HC385" s="56"/>
      <c r="HD385" s="191">
        <f>SUMPRODUCT(PRODUCE!$B380:$DY380,PRODUCE!$EB$30:$IY$30)</f>
        <v>0</v>
      </c>
      <c r="HE385" s="56"/>
      <c r="HF385" s="191">
        <f t="shared" si="2551"/>
        <v>0</v>
      </c>
      <c r="HG385" s="191">
        <f t="shared" si="2552"/>
        <v>3600</v>
      </c>
      <c r="HH385" s="56"/>
      <c r="HK385" s="55">
        <f t="shared" si="2553"/>
        <v>46351</v>
      </c>
      <c r="HL385" s="56"/>
      <c r="HM385" s="63">
        <f>SUMPRODUCT(PRODUCE!$B380:$DY380,PRODUCE!$EB$31:$IY$31)</f>
        <v>0</v>
      </c>
      <c r="HN385" s="56"/>
      <c r="HO385" s="63">
        <f t="shared" si="2554"/>
        <v>0</v>
      </c>
      <c r="HP385" s="63">
        <f t="shared" si="2555"/>
        <v>0</v>
      </c>
      <c r="HQ385" s="56"/>
      <c r="HU385" s="55">
        <f t="shared" si="2556"/>
        <v>46351</v>
      </c>
      <c r="HV385" s="56"/>
      <c r="HW385" s="242">
        <f>SUMPRODUCT(PRODUCE!$B380:$DY380,PRODUCE!$EB$32:$IY$32)</f>
        <v>0</v>
      </c>
      <c r="HX385" s="56"/>
      <c r="HY385" s="242">
        <f t="shared" si="2557"/>
        <v>0</v>
      </c>
      <c r="HZ385" s="242">
        <f t="shared" si="2558"/>
        <v>6120</v>
      </c>
      <c r="IA385" s="56"/>
      <c r="ID385" s="55">
        <f t="shared" si="2559"/>
        <v>46351</v>
      </c>
      <c r="IE385" s="56"/>
      <c r="IF385" s="242">
        <f>SUMPRODUCT(PRODUCE!$B380:$DY380,PRODUCE!$EB$33:$IY$33)</f>
        <v>0</v>
      </c>
      <c r="IG385" s="56"/>
      <c r="IH385" s="242">
        <f t="shared" si="2560"/>
        <v>0</v>
      </c>
      <c r="II385" s="242">
        <f t="shared" si="2561"/>
        <v>0</v>
      </c>
      <c r="IJ385" s="56"/>
      <c r="IM385" s="55">
        <f t="shared" si="2562"/>
        <v>46351</v>
      </c>
      <c r="IN385" s="56"/>
      <c r="IO385" s="242">
        <f>SUMPRODUCT(PRODUCE!$B380:$DY380,PRODUCE!$EB$34:$IY$34)</f>
        <v>0</v>
      </c>
      <c r="IP385" s="56"/>
      <c r="IQ385" s="242">
        <f t="shared" si="2563"/>
        <v>0</v>
      </c>
      <c r="IR385" s="242">
        <f t="shared" si="2564"/>
        <v>0</v>
      </c>
      <c r="IS385" s="56"/>
      <c r="IV385" s="55">
        <f t="shared" si="2565"/>
        <v>46351</v>
      </c>
      <c r="IW385" s="56"/>
      <c r="IX385" s="242">
        <f>SUMPRODUCT(PRODUCE!$B380:$DY380,PRODUCE!$EB$35:$IY$35)</f>
        <v>0</v>
      </c>
      <c r="IY385" s="56"/>
      <c r="IZ385" s="242">
        <f t="shared" si="2566"/>
        <v>0</v>
      </c>
      <c r="JA385" s="242">
        <f t="shared" si="2567"/>
        <v>2820</v>
      </c>
      <c r="JB385" s="56"/>
      <c r="JE385" s="55">
        <f t="shared" si="2568"/>
        <v>46351</v>
      </c>
      <c r="JF385" s="56"/>
      <c r="JG385" s="242">
        <f>SUMPRODUCT(PRODUCE!$B380:$DY380,PRODUCE!$EB$36:$IY$36)</f>
        <v>0</v>
      </c>
      <c r="JH385" s="56"/>
      <c r="JI385" s="242">
        <f t="shared" si="2569"/>
        <v>0</v>
      </c>
      <c r="JJ385" s="242">
        <f t="shared" si="2570"/>
        <v>0</v>
      </c>
      <c r="JK385" s="56"/>
      <c r="JN385" s="55">
        <f t="shared" si="2571"/>
        <v>46351</v>
      </c>
      <c r="JO385" s="56"/>
      <c r="JP385" s="242">
        <f>SUMPRODUCT(PRODUCE!$B380:$DY380,PRODUCE!$EB$37:$IY$37)</f>
        <v>0</v>
      </c>
      <c r="JQ385" s="56"/>
      <c r="JR385" s="242">
        <f t="shared" si="2572"/>
        <v>0</v>
      </c>
      <c r="JS385" s="242">
        <f t="shared" si="2573"/>
        <v>0</v>
      </c>
      <c r="JT385" s="56"/>
      <c r="JW385" s="55">
        <f t="shared" si="2574"/>
        <v>46351</v>
      </c>
      <c r="JX385" s="56"/>
      <c r="JY385" s="242">
        <f>SUMPRODUCT(PRODUCE!$B380:$DY380,PRODUCE!$EB$38:$IY$38)</f>
        <v>0</v>
      </c>
      <c r="JZ385" s="56"/>
      <c r="KA385" s="242">
        <f t="shared" si="2575"/>
        <v>0</v>
      </c>
      <c r="KB385" s="242">
        <f t="shared" si="2576"/>
        <v>2540</v>
      </c>
      <c r="KC385" s="56"/>
      <c r="KF385" s="55">
        <f t="shared" si="2577"/>
        <v>46351</v>
      </c>
      <c r="KG385" s="56"/>
      <c r="KH385" s="242">
        <f>SUMPRODUCT(PRODUCE!$B380:$DY380,PRODUCE!$EB$39:$IY$39)</f>
        <v>0</v>
      </c>
      <c r="KI385" s="56"/>
      <c r="KJ385" s="242">
        <f t="shared" si="2578"/>
        <v>0</v>
      </c>
      <c r="KK385" s="242">
        <f t="shared" si="2579"/>
        <v>2359.5</v>
      </c>
      <c r="KL385" s="56"/>
      <c r="KO385" s="55">
        <f t="shared" si="2580"/>
        <v>46351</v>
      </c>
      <c r="KP385" s="56"/>
      <c r="KQ385" s="242">
        <f>SUMPRODUCT(PRODUCE!$B380:$DY380,PRODUCE!$EB$40:$IY$40)</f>
        <v>0</v>
      </c>
      <c r="KR385" s="56"/>
      <c r="KS385" s="242">
        <f t="shared" si="2581"/>
        <v>0</v>
      </c>
      <c r="KT385" s="242">
        <f t="shared" si="2582"/>
        <v>1890</v>
      </c>
      <c r="KU385" s="56"/>
      <c r="KW385" s="23"/>
      <c r="KX385" s="55">
        <f t="shared" si="2583"/>
        <v>46351</v>
      </c>
      <c r="KY385" s="56"/>
      <c r="KZ385" s="242">
        <f>SUMPRODUCT(PRODUCE!$B380:$DY380,PRODUCE!$EB$41:$IY$41)</f>
        <v>0</v>
      </c>
      <c r="LA385" s="56"/>
      <c r="LB385" s="242">
        <f t="shared" si="2584"/>
        <v>0</v>
      </c>
      <c r="LC385" s="242">
        <f t="shared" si="2585"/>
        <v>3690</v>
      </c>
      <c r="LD385" s="56"/>
      <c r="LG385" s="55">
        <f t="shared" si="2586"/>
        <v>46351</v>
      </c>
      <c r="LH385" s="56"/>
      <c r="LI385" s="242">
        <f>SUMPRODUCT(PRODUCE!$B380:$DY380,PRODUCE!$EB$42:$IY$42)</f>
        <v>0</v>
      </c>
      <c r="LJ385" s="56"/>
      <c r="LK385" s="242">
        <f t="shared" si="2587"/>
        <v>0</v>
      </c>
      <c r="LL385" s="242">
        <f t="shared" si="2588"/>
        <v>4000</v>
      </c>
      <c r="LM385" s="56"/>
      <c r="LP385" s="55">
        <f t="shared" si="2589"/>
        <v>46351</v>
      </c>
      <c r="LQ385" s="56"/>
      <c r="LR385" s="242">
        <f>SUMPRODUCT(PRODUCE!$B400:$DY400,PRODUCE!$EB$43:$IY$43)</f>
        <v>0</v>
      </c>
      <c r="LS385" s="56"/>
      <c r="LT385" s="242">
        <f t="shared" si="2590"/>
        <v>0</v>
      </c>
      <c r="LU385" s="242">
        <f t="shared" si="2591"/>
        <v>0</v>
      </c>
      <c r="LV385" s="56"/>
      <c r="LY385" s="55">
        <f t="shared" si="2592"/>
        <v>46351</v>
      </c>
      <c r="LZ385" s="56"/>
      <c r="MA385" s="242">
        <f>SUMPRODUCT(PRODUCE!$B380:$DY380,PRODUCE!$EB$44:$IY$44)</f>
        <v>0</v>
      </c>
      <c r="MB385" s="56"/>
      <c r="MC385" s="242">
        <f t="shared" si="2593"/>
        <v>0</v>
      </c>
      <c r="MD385" s="242">
        <f t="shared" si="2594"/>
        <v>0</v>
      </c>
      <c r="ME385" s="56"/>
      <c r="MH385" s="55">
        <f t="shared" si="2595"/>
        <v>46351</v>
      </c>
      <c r="MI385" s="56"/>
      <c r="MJ385" s="242">
        <f>SUMPRODUCT(PRODUCE!$B380:$DY380,PRODUCE!$EB$45:$IY$45)</f>
        <v>0</v>
      </c>
      <c r="MK385" s="56"/>
      <c r="ML385" s="242">
        <f t="shared" si="2596"/>
        <v>0</v>
      </c>
      <c r="MM385" s="242">
        <f t="shared" si="2597"/>
        <v>0</v>
      </c>
      <c r="MN385" s="56"/>
      <c r="MQ385" s="55">
        <f t="shared" si="2598"/>
        <v>46351</v>
      </c>
      <c r="MR385" s="56"/>
      <c r="MS385" s="242">
        <f>SUMPRODUCT(PRODUCE!$B380:$DY380,PRODUCE!$EB$46:$IY$46)</f>
        <v>0</v>
      </c>
      <c r="MT385" s="56"/>
      <c r="MU385" s="242">
        <f t="shared" si="2599"/>
        <v>0</v>
      </c>
      <c r="MV385" s="242">
        <f t="shared" si="2600"/>
        <v>1625</v>
      </c>
      <c r="MW385" s="56"/>
      <c r="MZ385" s="55">
        <f t="shared" si="2601"/>
        <v>46351</v>
      </c>
      <c r="NA385" s="56"/>
      <c r="NB385" s="242">
        <f>SUMPRODUCT(PRODUCE!$B380:$DY380,PRODUCE!$EB$47:$IY$47)</f>
        <v>0</v>
      </c>
      <c r="NC385" s="56"/>
      <c r="ND385" s="242">
        <f t="shared" si="2602"/>
        <v>0</v>
      </c>
      <c r="NE385" s="242">
        <f t="shared" si="2603"/>
        <v>0</v>
      </c>
      <c r="NF385" s="56"/>
      <c r="NI385" s="55">
        <f t="shared" si="2604"/>
        <v>46351</v>
      </c>
      <c r="NJ385" s="56"/>
      <c r="NK385" s="242">
        <f>SUMPRODUCT(PRODUCE!$B380:$DY380,PRODUCE!$EB$48:$IY$48)</f>
        <v>0</v>
      </c>
      <c r="NL385" s="56"/>
      <c r="NM385" s="242">
        <f t="shared" si="2605"/>
        <v>0</v>
      </c>
      <c r="NN385" s="242">
        <f t="shared" si="2606"/>
        <v>1127</v>
      </c>
      <c r="NO385" s="56"/>
      <c r="NR385" s="55">
        <f t="shared" si="2607"/>
        <v>46351</v>
      </c>
      <c r="NS385" s="56"/>
      <c r="NT385" s="242">
        <f>SUMPRODUCT(PRODUCE!$B380:$DY380,PRODUCE!$EB$49:$IY$49)</f>
        <v>0</v>
      </c>
      <c r="NU385" s="56"/>
      <c r="NV385" s="242">
        <f t="shared" si="2608"/>
        <v>0</v>
      </c>
      <c r="NW385" s="242">
        <f t="shared" si="2609"/>
        <v>3111.9999999999995</v>
      </c>
      <c r="NX385" s="56"/>
      <c r="OA385" s="55">
        <f t="shared" si="2610"/>
        <v>46351</v>
      </c>
      <c r="OB385" s="56"/>
      <c r="OC385" s="242">
        <f>SUMPRODUCT(PRODUCE!$B380:$DY380,PRODUCE!$EB$50:$IY$50)</f>
        <v>0</v>
      </c>
      <c r="OD385" s="56"/>
      <c r="OE385" s="242">
        <f t="shared" si="2611"/>
        <v>0</v>
      </c>
      <c r="OF385" s="242">
        <f t="shared" si="2612"/>
        <v>1680.5</v>
      </c>
      <c r="OG385" s="56"/>
      <c r="OJ385" s="55">
        <f t="shared" si="2613"/>
        <v>46351</v>
      </c>
      <c r="OK385" s="56"/>
      <c r="OL385" s="242">
        <f>SUMPRODUCT(PRODUCE!$B380:$DY380,PRODUCE!$EB$51:$IY$51)</f>
        <v>0</v>
      </c>
      <c r="OM385" s="56"/>
      <c r="ON385" s="242">
        <f t="shared" si="2614"/>
        <v>0</v>
      </c>
      <c r="OO385" s="242">
        <f t="shared" si="2615"/>
        <v>0</v>
      </c>
      <c r="OP385" s="56"/>
      <c r="OS385" s="55">
        <f t="shared" si="2616"/>
        <v>46351</v>
      </c>
      <c r="OT385" s="56"/>
      <c r="OU385" s="242">
        <f>SUMPRODUCT(PRODUCE!$B380:$DY380,PRODUCE!$EB$52:$IY$52)</f>
        <v>0</v>
      </c>
      <c r="OV385" s="56"/>
      <c r="OW385" s="242">
        <f t="shared" si="2617"/>
        <v>0</v>
      </c>
      <c r="OX385" s="242">
        <f t="shared" si="2618"/>
        <v>1482</v>
      </c>
      <c r="OY385" s="56"/>
      <c r="PB385" s="55">
        <f t="shared" si="2619"/>
        <v>46351</v>
      </c>
      <c r="PC385" s="56"/>
      <c r="PD385" s="242">
        <f>SUMPRODUCT(PRODUCE!$B380:$DY380,PRODUCE!$EB$53:$IY$53)</f>
        <v>0</v>
      </c>
      <c r="PE385" s="56"/>
      <c r="PF385" s="242">
        <f t="shared" si="2620"/>
        <v>0</v>
      </c>
      <c r="PG385" s="242">
        <f t="shared" si="2621"/>
        <v>0</v>
      </c>
      <c r="PH385" s="56"/>
      <c r="PK385" s="55">
        <f t="shared" si="2622"/>
        <v>46351</v>
      </c>
      <c r="PL385" s="56"/>
      <c r="PM385" s="242">
        <f>SUMPRODUCT(PRODUCE!$B380:$DY380,PRODUCE!$EB$54:$IY$54)</f>
        <v>0</v>
      </c>
      <c r="PN385" s="56"/>
      <c r="PO385" s="242">
        <f t="shared" si="2623"/>
        <v>0</v>
      </c>
      <c r="PP385" s="242">
        <f t="shared" si="2624"/>
        <v>100</v>
      </c>
      <c r="PQ385" s="56"/>
      <c r="PT385" s="55">
        <f t="shared" si="2625"/>
        <v>46351</v>
      </c>
      <c r="PU385" s="56"/>
      <c r="PV385" s="242">
        <f>SUMPRODUCT(PRODUCE!$B380:$DY380,PRODUCE!$EB$55:$IY$55)</f>
        <v>0</v>
      </c>
      <c r="PW385" s="56"/>
      <c r="PX385" s="242">
        <f t="shared" si="2626"/>
        <v>0</v>
      </c>
      <c r="PY385" s="242">
        <f t="shared" si="2627"/>
        <v>13.960000000000036</v>
      </c>
      <c r="PZ385" s="56"/>
      <c r="QC385" s="55">
        <f t="shared" si="2628"/>
        <v>46351</v>
      </c>
      <c r="QD385" s="56"/>
      <c r="QE385" s="242">
        <f>SUMPRODUCT(PRODUCE!$B380:$DY380,PRODUCE!$EB$56:$IY$56)</f>
        <v>0</v>
      </c>
      <c r="QF385" s="56"/>
      <c r="QG385" s="242">
        <f t="shared" si="2629"/>
        <v>0</v>
      </c>
      <c r="QH385" s="242">
        <f t="shared" si="2630"/>
        <v>548</v>
      </c>
      <c r="QI385" s="56"/>
      <c r="QL385" s="55">
        <f t="shared" si="2631"/>
        <v>46351</v>
      </c>
      <c r="QM385" s="56"/>
      <c r="QN385" s="242">
        <f>SUMPRODUCT(PRODUCE!$B380:$DY380,PRODUCE!$EB$57:$IY$57)</f>
        <v>0</v>
      </c>
      <c r="QO385" s="56"/>
      <c r="QP385" s="242">
        <f t="shared" si="2632"/>
        <v>0</v>
      </c>
      <c r="QQ385" s="242">
        <f t="shared" si="2633"/>
        <v>0</v>
      </c>
      <c r="QR385" s="56"/>
      <c r="QU385" s="55">
        <f t="shared" si="2634"/>
        <v>46351</v>
      </c>
      <c r="QV385" s="56"/>
      <c r="QW385" s="242">
        <f>SUMPRODUCT(PRODUCE!$B380:$DY380,PRODUCE!$EB$57:$IY$57)</f>
        <v>0</v>
      </c>
      <c r="QX385" s="56"/>
      <c r="QY385" s="242">
        <f t="shared" si="2635"/>
        <v>0</v>
      </c>
      <c r="QZ385" s="242">
        <f t="shared" si="2636"/>
        <v>0</v>
      </c>
      <c r="RA385" s="56"/>
      <c r="RD385" s="55">
        <f t="shared" si="2637"/>
        <v>46351</v>
      </c>
      <c r="RE385" s="56"/>
      <c r="RF385" s="242">
        <f>SUMPRODUCT(PRODUCE!$B380:$DY380,PRODUCE!$EB$58:$IY$58)</f>
        <v>0</v>
      </c>
      <c r="RG385" s="56"/>
      <c r="RH385" s="242">
        <f t="shared" si="2638"/>
        <v>0</v>
      </c>
      <c r="RI385" s="242">
        <f t="shared" si="2639"/>
        <v>147.04000000000002</v>
      </c>
      <c r="RJ385" s="56"/>
      <c r="RM385" s="55">
        <f t="shared" si="2640"/>
        <v>46351</v>
      </c>
      <c r="RN385" s="56"/>
      <c r="RO385" s="242">
        <f>SUMPRODUCT(PRODUCE!$B380:$DY380,PRODUCE!$EB$57:$IY$57)</f>
        <v>0</v>
      </c>
      <c r="RP385" s="56"/>
      <c r="RQ385" s="242">
        <f t="shared" si="2641"/>
        <v>0</v>
      </c>
      <c r="RR385" s="242">
        <f t="shared" si="2642"/>
        <v>46.8</v>
      </c>
      <c r="RS385" s="56"/>
      <c r="RV385" s="55">
        <f t="shared" si="2643"/>
        <v>46351</v>
      </c>
      <c r="RW385" s="56"/>
      <c r="RX385" s="242">
        <f>SUMPRODUCT(PRODUCE!$B380:$DY380,PRODUCE!$EB$57:$IY$57)</f>
        <v>0</v>
      </c>
      <c r="RY385" s="56"/>
      <c r="RZ385" s="242">
        <f t="shared" si="2644"/>
        <v>0</v>
      </c>
      <c r="SA385" s="242">
        <f t="shared" si="2645"/>
        <v>0</v>
      </c>
      <c r="SB385" s="56"/>
      <c r="SE385" s="55">
        <f t="shared" si="2646"/>
        <v>46351</v>
      </c>
      <c r="SF385" s="56"/>
      <c r="SG385" s="242">
        <f>SUMPRODUCT(PRODUCE!$B380:$DY380,PRODUCE!$EB$61:$IY$61)</f>
        <v>0</v>
      </c>
      <c r="SH385" s="56"/>
      <c r="SI385" s="242">
        <f t="shared" si="2647"/>
        <v>0</v>
      </c>
      <c r="SJ385" s="242">
        <f t="shared" si="2648"/>
        <v>24.200000000000003</v>
      </c>
      <c r="SK385" s="56"/>
      <c r="SN385" s="55">
        <f t="shared" si="2649"/>
        <v>46351</v>
      </c>
      <c r="SO385" s="56"/>
      <c r="SP385" s="242">
        <f>SUMPRODUCT(PRODUCE!$B380:$DY380,PRODUCE!$EB$57:$IY$57)</f>
        <v>0</v>
      </c>
      <c r="SQ385" s="56"/>
      <c r="SR385" s="242">
        <f t="shared" si="2650"/>
        <v>0</v>
      </c>
      <c r="SS385" s="242">
        <f t="shared" si="2651"/>
        <v>32</v>
      </c>
      <c r="ST385" s="56"/>
      <c r="SW385" s="55">
        <f t="shared" si="2652"/>
        <v>46351</v>
      </c>
      <c r="SX385" s="56"/>
      <c r="SY385" s="242">
        <f>SUMPRODUCT(PRODUCE!$B380:$DY380,PRODUCE!$EB$57:$IY$57)</f>
        <v>0</v>
      </c>
      <c r="SZ385" s="56"/>
      <c r="TA385" s="242">
        <f t="shared" si="2653"/>
        <v>0</v>
      </c>
      <c r="TB385" s="242">
        <f t="shared" si="2654"/>
        <v>0</v>
      </c>
      <c r="TC385" s="56"/>
      <c r="TF385" s="55">
        <f t="shared" si="2655"/>
        <v>46351</v>
      </c>
      <c r="TG385" s="56"/>
      <c r="TH385" s="242">
        <f>SUMPRODUCT(PRODUCE!$B380:$DY380,PRODUCE!$EB$57:$IY$57)</f>
        <v>0</v>
      </c>
      <c r="TI385" s="56"/>
      <c r="TJ385" s="242">
        <f t="shared" si="2656"/>
        <v>0</v>
      </c>
      <c r="TK385" s="242">
        <f t="shared" si="2657"/>
        <v>0</v>
      </c>
      <c r="TL385" s="56"/>
      <c r="TO385" s="55">
        <f t="shared" si="2658"/>
        <v>46351</v>
      </c>
      <c r="TP385" s="56"/>
      <c r="TQ385" s="242">
        <f>SUMPRODUCT(PRODUCE!$B380:$DY380,PRODUCE!$EB$57:$IY$57)</f>
        <v>0</v>
      </c>
      <c r="TR385" s="56"/>
      <c r="TS385" s="242">
        <f t="shared" si="2659"/>
        <v>0</v>
      </c>
      <c r="TT385" s="242">
        <f t="shared" si="2660"/>
        <v>0</v>
      </c>
      <c r="TU385" s="56"/>
      <c r="TX385" s="55">
        <f t="shared" si="2661"/>
        <v>46351</v>
      </c>
      <c r="TY385" s="56"/>
      <c r="TZ385" s="242">
        <f>SUMPRODUCT(PRODUCE!$B380:$DY380,PRODUCE!$EB$57:$IY$57)</f>
        <v>0</v>
      </c>
      <c r="UA385" s="56"/>
      <c r="UB385" s="242">
        <f t="shared" si="2662"/>
        <v>0</v>
      </c>
      <c r="UC385" s="242">
        <f t="shared" si="2663"/>
        <v>46.799999999999983</v>
      </c>
      <c r="UD385" s="56"/>
      <c r="UG385" s="55">
        <f t="shared" si="2664"/>
        <v>46351</v>
      </c>
      <c r="UH385" s="56"/>
      <c r="UI385" s="242">
        <f>SUMPRODUCT(PRODUCE!$B380:$DY380,PRODUCE!$EB$57:$IY$57)</f>
        <v>0</v>
      </c>
      <c r="UJ385" s="56"/>
      <c r="UK385" s="242">
        <f t="shared" si="2665"/>
        <v>0</v>
      </c>
      <c r="UL385" s="242">
        <f t="shared" si="2666"/>
        <v>204</v>
      </c>
      <c r="UM385" s="56"/>
      <c r="UP385" s="55">
        <f t="shared" si="2667"/>
        <v>46351</v>
      </c>
      <c r="UQ385" s="56"/>
      <c r="UR385" s="242">
        <f>SUMPRODUCT(PRODUCE!$B380:$DY380,PRODUCE!$EB$57:$IY$57)</f>
        <v>0</v>
      </c>
      <c r="US385" s="56"/>
      <c r="UT385" s="242">
        <f t="shared" si="2668"/>
        <v>0</v>
      </c>
      <c r="UU385" s="242">
        <f t="shared" si="2669"/>
        <v>202.5</v>
      </c>
      <c r="UV385" s="56"/>
      <c r="UY385" s="55">
        <f t="shared" si="2670"/>
        <v>46351</v>
      </c>
      <c r="UZ385" s="56"/>
      <c r="VA385" s="242">
        <f>SUMPRODUCT(PRODUCE!$B380:$DY380,PRODUCE!$EB$57:$IY$57)</f>
        <v>0</v>
      </c>
      <c r="VB385" s="56"/>
      <c r="VC385" s="242">
        <f t="shared" si="2671"/>
        <v>0</v>
      </c>
      <c r="VD385" s="242">
        <f t="shared" si="2672"/>
        <v>41.600000000000023</v>
      </c>
      <c r="VE385" s="56"/>
      <c r="VH385" s="55">
        <f t="shared" si="2673"/>
        <v>46351</v>
      </c>
      <c r="VI385" s="56"/>
      <c r="VJ385" s="242">
        <f>SUMPRODUCT(PRODUCE!$B380:$DY380,PRODUCE!$EB$57:$IY$57)</f>
        <v>0</v>
      </c>
      <c r="VK385" s="56"/>
      <c r="VL385" s="242">
        <f t="shared" si="2674"/>
        <v>0</v>
      </c>
      <c r="VM385" s="242">
        <f t="shared" si="2675"/>
        <v>210</v>
      </c>
      <c r="VN385" s="56"/>
      <c r="VQ385" s="55">
        <f t="shared" si="2676"/>
        <v>46351</v>
      </c>
      <c r="VR385" s="56"/>
      <c r="VS385" s="242">
        <f>SUMPRODUCT(PRODUCE!$B380:$DY380,PRODUCE!$EB$57:$IY$57)</f>
        <v>0</v>
      </c>
      <c r="VT385" s="56"/>
      <c r="VU385" s="242">
        <f t="shared" si="2677"/>
        <v>0</v>
      </c>
      <c r="VV385" s="242">
        <f t="shared" si="2678"/>
        <v>0</v>
      </c>
      <c r="VW385" s="56"/>
      <c r="VZ385" s="55">
        <f t="shared" si="2679"/>
        <v>46351</v>
      </c>
      <c r="WA385" s="56"/>
      <c r="WB385" s="242">
        <f>SUMPRODUCT(PRODUCE!$B380:$DY380,PRODUCE!$EB$57:$IY$57)</f>
        <v>0</v>
      </c>
      <c r="WC385" s="56"/>
      <c r="WD385" s="242">
        <f t="shared" si="2680"/>
        <v>0</v>
      </c>
      <c r="WE385" s="242">
        <f t="shared" si="2681"/>
        <v>0</v>
      </c>
      <c r="WF385" s="56"/>
      <c r="WI385" s="55">
        <f t="shared" si="2682"/>
        <v>46351</v>
      </c>
      <c r="WJ385" s="56"/>
      <c r="WK385" s="242">
        <f>SUMPRODUCT(PRODUCE!$B380:$DY380,PRODUCE!$EB$57:$IY$57)</f>
        <v>0</v>
      </c>
      <c r="WL385" s="56"/>
      <c r="WM385" s="242">
        <f t="shared" si="2683"/>
        <v>0</v>
      </c>
      <c r="WN385" s="242">
        <f t="shared" si="2684"/>
        <v>1057</v>
      </c>
      <c r="WO385" s="56"/>
      <c r="WR385" s="55">
        <f t="shared" si="2685"/>
        <v>46351</v>
      </c>
      <c r="WS385" s="56"/>
      <c r="WT385" s="242">
        <f>SUMPRODUCT(PRODUCE!$B380:$DY380,PRODUCE!$EB$57:$IY$57)</f>
        <v>0</v>
      </c>
      <c r="WU385" s="56"/>
      <c r="WV385" s="242">
        <f t="shared" si="2686"/>
        <v>0</v>
      </c>
      <c r="WW385" s="242">
        <f t="shared" si="2687"/>
        <v>0</v>
      </c>
      <c r="WX385" s="56"/>
      <c r="XA385" s="55">
        <f t="shared" si="2688"/>
        <v>46351</v>
      </c>
      <c r="XB385" s="56"/>
      <c r="XC385" s="242">
        <f>SUMPRODUCT(PRODUCE!$B380:$DY380,PRODUCE!$EB$57:$IY$57)</f>
        <v>0</v>
      </c>
      <c r="XD385" s="56"/>
      <c r="XE385" s="242">
        <f t="shared" si="2689"/>
        <v>0</v>
      </c>
      <c r="XF385" s="242">
        <f t="shared" si="2690"/>
        <v>7507</v>
      </c>
      <c r="XG385" s="56"/>
      <c r="XJ385" s="55">
        <f t="shared" si="2691"/>
        <v>46351</v>
      </c>
      <c r="XK385" s="56"/>
      <c r="XL385" s="242">
        <f>SUMPRODUCT(PRODUCE!$B380:$DY380,PRODUCE!$EB$57:$IY$57)</f>
        <v>0</v>
      </c>
      <c r="XM385" s="56"/>
      <c r="XN385" s="242">
        <f t="shared" si="2692"/>
        <v>0</v>
      </c>
      <c r="XO385" s="242">
        <f t="shared" si="2693"/>
        <v>4252</v>
      </c>
      <c r="XP385" s="56"/>
      <c r="XS385" s="55">
        <f t="shared" si="2694"/>
        <v>46351</v>
      </c>
      <c r="XT385" s="56"/>
      <c r="XU385" s="242">
        <f>SUMPRODUCT(PRODUCE!$B380:$DY380,PRODUCE!$EB$57:$IY$57)</f>
        <v>0</v>
      </c>
      <c r="XV385" s="56"/>
      <c r="XW385" s="242">
        <f t="shared" si="2695"/>
        <v>0</v>
      </c>
      <c r="XX385" s="242">
        <f t="shared" si="2696"/>
        <v>2179</v>
      </c>
      <c r="XY385" s="56"/>
      <c r="YB385" s="55">
        <f t="shared" si="2697"/>
        <v>46351</v>
      </c>
      <c r="YC385" s="56"/>
      <c r="YD385" s="242">
        <f>SUMPRODUCT(PRODUCE!$B380:$DY380,PRODUCE!$EB$57:$IY$57)</f>
        <v>0</v>
      </c>
      <c r="YE385" s="56"/>
      <c r="YF385" s="242">
        <f t="shared" si="2698"/>
        <v>0</v>
      </c>
      <c r="YG385" s="242">
        <f t="shared" si="2699"/>
        <v>4019</v>
      </c>
      <c r="YH385" s="56"/>
      <c r="YK385" s="55">
        <f t="shared" si="2700"/>
        <v>46351</v>
      </c>
      <c r="YL385" s="56"/>
      <c r="YM385" s="242">
        <f>SUMPRODUCT(PRODUCE!$B380:$DY380,PRODUCE!$EB$57:$IY$57)</f>
        <v>0</v>
      </c>
      <c r="YN385" s="56"/>
      <c r="YO385" s="242">
        <f t="shared" si="2701"/>
        <v>0</v>
      </c>
      <c r="YP385" s="242">
        <f t="shared" si="2702"/>
        <v>-218</v>
      </c>
      <c r="YQ385" s="56"/>
      <c r="YT385" s="55">
        <f t="shared" si="2703"/>
        <v>46351</v>
      </c>
      <c r="YU385" s="56"/>
      <c r="YV385" s="242">
        <f>SUMPRODUCT(PRODUCE!$B380:$DY380,PRODUCE!$EB$57:$IY$57)</f>
        <v>0</v>
      </c>
      <c r="YW385" s="56"/>
      <c r="YX385" s="242">
        <f t="shared" si="2704"/>
        <v>0</v>
      </c>
      <c r="YY385" s="242">
        <f t="shared" si="2705"/>
        <v>0</v>
      </c>
      <c r="YZ385" s="56"/>
      <c r="ZC385" s="55">
        <f t="shared" si="2706"/>
        <v>46351</v>
      </c>
      <c r="ZD385" s="56"/>
      <c r="ZE385" s="242">
        <f>SUMPRODUCT(PRODUCE!$B380:$DY380,PRODUCE!$EB$57:$IY$57)</f>
        <v>0</v>
      </c>
      <c r="ZF385" s="56"/>
      <c r="ZG385" s="242">
        <f t="shared" si="2707"/>
        <v>0</v>
      </c>
      <c r="ZH385" s="242">
        <f t="shared" si="2708"/>
        <v>0</v>
      </c>
      <c r="ZI385" s="56"/>
      <c r="ZL385" s="55">
        <f t="shared" si="2709"/>
        <v>46351</v>
      </c>
      <c r="ZM385" s="56"/>
      <c r="ZN385" s="242">
        <f>SUMPRODUCT(PRODUCE!$B380:$DY380,PRODUCE!$EB$57:$IY$57)</f>
        <v>0</v>
      </c>
      <c r="ZO385" s="56"/>
      <c r="ZP385" s="242">
        <f t="shared" si="2710"/>
        <v>0</v>
      </c>
      <c r="ZQ385" s="242">
        <f t="shared" si="2711"/>
        <v>0</v>
      </c>
      <c r="ZR385" s="56"/>
      <c r="ZU385" s="55">
        <f t="shared" si="2712"/>
        <v>46351</v>
      </c>
      <c r="ZV385" s="56"/>
      <c r="ZW385" s="242">
        <f>SUMPRODUCT(PRODUCE!$B380:$DY380,PRODUCE!$EB$57:$IY$57)</f>
        <v>0</v>
      </c>
      <c r="ZX385" s="56"/>
      <c r="ZY385" s="242">
        <f t="shared" si="2713"/>
        <v>0</v>
      </c>
      <c r="ZZ385" s="242">
        <f t="shared" si="2714"/>
        <v>0</v>
      </c>
      <c r="AAA385" s="56"/>
      <c r="AAD385" s="55">
        <f t="shared" si="2715"/>
        <v>46351</v>
      </c>
      <c r="AAE385" s="56"/>
      <c r="AAF385" s="242">
        <f>SUMPRODUCT(PRODUCE!$B380:$DY380,PRODUCE!$EB$57:$IY$57)</f>
        <v>0</v>
      </c>
      <c r="AAG385" s="56"/>
      <c r="AAH385" s="242">
        <f t="shared" si="2716"/>
        <v>0</v>
      </c>
      <c r="AAI385" s="242">
        <f t="shared" si="2717"/>
        <v>0</v>
      </c>
      <c r="AAJ385" s="56"/>
      <c r="AAM385" s="55">
        <f t="shared" si="2718"/>
        <v>46351</v>
      </c>
      <c r="AAN385" s="56"/>
      <c r="AAO385" s="242">
        <f>SUMPRODUCT(PRODUCE!$B380:$DY380,PRODUCE!$EB$57:$IY$57)</f>
        <v>0</v>
      </c>
      <c r="AAP385" s="56"/>
      <c r="AAQ385" s="242">
        <f t="shared" si="2719"/>
        <v>0</v>
      </c>
      <c r="AAR385" s="242">
        <f t="shared" si="2720"/>
        <v>0</v>
      </c>
      <c r="AAS385" s="56"/>
      <c r="AAV385" s="55">
        <f t="shared" si="2721"/>
        <v>46351</v>
      </c>
      <c r="AAW385" s="56"/>
      <c r="AAX385" s="242">
        <f>SUMPRODUCT(PRODUCE!$B380:$DY380,PRODUCE!$EB$57:$IY$57)</f>
        <v>0</v>
      </c>
      <c r="AAY385" s="56"/>
      <c r="AAZ385" s="242">
        <f t="shared" si="2722"/>
        <v>0</v>
      </c>
      <c r="ABA385" s="242">
        <f t="shared" si="2723"/>
        <v>0</v>
      </c>
      <c r="ABB385" s="56"/>
      <c r="ABE385" s="55">
        <f t="shared" si="2724"/>
        <v>46351</v>
      </c>
      <c r="ABF385" s="56"/>
      <c r="ABG385" s="242">
        <f>SUMPRODUCT(PRODUCE!$B380:$DY380,PRODUCE!$EB$57:$IY$57)</f>
        <v>0</v>
      </c>
      <c r="ABH385" s="56"/>
      <c r="ABI385" s="242">
        <f t="shared" si="2725"/>
        <v>0</v>
      </c>
      <c r="ABJ385" s="242">
        <f t="shared" si="2726"/>
        <v>0</v>
      </c>
      <c r="ABK385" s="56"/>
    </row>
    <row r="386" spans="1:739" s="54" customFormat="1" ht="15" customHeight="1" outlineLevel="1">
      <c r="B386" s="478"/>
      <c r="C386" s="55">
        <v>46352</v>
      </c>
      <c r="D386" s="56"/>
      <c r="E386" s="57">
        <f>SUMPRODUCT(PRODUCE!$B381:$DY381,PRODUCE!$EB$7:$IY$7)</f>
        <v>0</v>
      </c>
      <c r="F386" s="56"/>
      <c r="G386" s="57">
        <f t="shared" si="2482"/>
        <v>0</v>
      </c>
      <c r="H386" s="57">
        <f t="shared" si="2483"/>
        <v>236936.6</v>
      </c>
      <c r="I386" s="289"/>
      <c r="L386" s="55">
        <f t="shared" si="2484"/>
        <v>46352</v>
      </c>
      <c r="M386" s="56"/>
      <c r="N386" s="59">
        <f>SUMPRODUCT(PRODUCE!$B381:$DY381,PRODUCE!$EB$8:$IY$8)</f>
        <v>0</v>
      </c>
      <c r="O386" s="56"/>
      <c r="P386" s="59">
        <f t="shared" si="2485"/>
        <v>0</v>
      </c>
      <c r="Q386" s="59">
        <f t="shared" si="2486"/>
        <v>53017.600000000071</v>
      </c>
      <c r="R386" s="56"/>
      <c r="U386" s="55">
        <f t="shared" si="2487"/>
        <v>46352</v>
      </c>
      <c r="V386" s="56"/>
      <c r="W386" s="60">
        <f>SUMPRODUCT(PRODUCE!$B381:$DY381,PRODUCE!$EB$9:$IY$9)</f>
        <v>0</v>
      </c>
      <c r="X386" s="56"/>
      <c r="Y386" s="60">
        <f t="shared" si="2488"/>
        <v>0</v>
      </c>
      <c r="Z386" s="60">
        <f t="shared" si="2489"/>
        <v>42674.199999999968</v>
      </c>
      <c r="AA386" s="56"/>
      <c r="AD386" s="55">
        <f t="shared" si="2490"/>
        <v>46352</v>
      </c>
      <c r="AE386" s="56"/>
      <c r="AF386" s="61">
        <f>SUMPRODUCT(PRODUCE!$B381:$DY381,PRODUCE!$EB$10:$IY$10)</f>
        <v>0</v>
      </c>
      <c r="AG386" s="56"/>
      <c r="AH386" s="61">
        <f t="shared" si="2491"/>
        <v>0</v>
      </c>
      <c r="AI386" s="61">
        <f t="shared" si="2492"/>
        <v>4522.2000000000189</v>
      </c>
      <c r="AJ386" s="56"/>
      <c r="AM386" s="55">
        <f t="shared" si="2493"/>
        <v>46352</v>
      </c>
      <c r="AN386" s="422"/>
      <c r="AO386" s="444">
        <f>SUMPRODUCT(PRODUCE!$B381:$DY381,PRODUCE!$EB$11:$IY$11)</f>
        <v>0</v>
      </c>
      <c r="AP386" s="422"/>
      <c r="AQ386" s="444">
        <f t="shared" si="2494"/>
        <v>0</v>
      </c>
      <c r="AR386" s="444">
        <f t="shared" si="2495"/>
        <v>0</v>
      </c>
      <c r="AS386" s="56"/>
      <c r="AV386" s="55">
        <f t="shared" si="2496"/>
        <v>46352</v>
      </c>
      <c r="AW386" s="56"/>
      <c r="AX386" s="62">
        <f>SUMPRODUCT(PRODUCE!$B381:$DY381,PRODUCE!$EB$12:$IY$12)</f>
        <v>0</v>
      </c>
      <c r="AY386" s="56"/>
      <c r="AZ386" s="62">
        <f t="shared" si="2497"/>
        <v>0</v>
      </c>
      <c r="BA386" s="62">
        <f t="shared" si="2498"/>
        <v>124.99999999999523</v>
      </c>
      <c r="BB386" s="56"/>
      <c r="BE386" s="55">
        <f t="shared" si="2499"/>
        <v>46352</v>
      </c>
      <c r="BF386" s="56"/>
      <c r="BG386" s="63">
        <f>SUMPRODUCT(PRODUCE!$B381:$DY381,PRODUCE!$EB$13:$IY$13)</f>
        <v>0</v>
      </c>
      <c r="BH386" s="56"/>
      <c r="BI386" s="63">
        <f t="shared" si="2500"/>
        <v>0</v>
      </c>
      <c r="BJ386" s="63">
        <f t="shared" si="2501"/>
        <v>26151.899999999998</v>
      </c>
      <c r="BK386" s="56"/>
      <c r="BN386" s="55">
        <f t="shared" si="2502"/>
        <v>46352</v>
      </c>
      <c r="BO386" s="56"/>
      <c r="BP386" s="64">
        <f>SUMPRODUCT(PRODUCE!$B381:$DY381,PRODUCE!$EB$14:$IY$14)</f>
        <v>0</v>
      </c>
      <c r="BQ386" s="56"/>
      <c r="BR386" s="64">
        <f t="shared" si="2503"/>
        <v>0</v>
      </c>
      <c r="BS386" s="64">
        <f t="shared" si="2504"/>
        <v>0</v>
      </c>
      <c r="BT386" s="56"/>
      <c r="BW386" s="55">
        <f t="shared" si="2505"/>
        <v>46352</v>
      </c>
      <c r="BX386" s="56"/>
      <c r="BY386" s="65">
        <f>SUMPRODUCT(PRODUCE!$B381:$DY381,PRODUCE!$EB$15:$IY$15)</f>
        <v>0</v>
      </c>
      <c r="BZ386" s="56"/>
      <c r="CA386" s="65">
        <f t="shared" si="2506"/>
        <v>0</v>
      </c>
      <c r="CB386" s="65">
        <f t="shared" si="2507"/>
        <v>2097.3399999999992</v>
      </c>
      <c r="CC386" s="56"/>
      <c r="CF386" s="55">
        <f t="shared" si="2508"/>
        <v>46352</v>
      </c>
      <c r="CG386" s="56"/>
      <c r="CH386" s="66">
        <f>SUMPRODUCT(PRODUCE!$B381:$DY381,PRODUCE!$EB$16:$IY$16)</f>
        <v>0</v>
      </c>
      <c r="CI386" s="56"/>
      <c r="CJ386" s="66">
        <f t="shared" si="2509"/>
        <v>0</v>
      </c>
      <c r="CK386" s="66">
        <f t="shared" si="2510"/>
        <v>-10277.079999999998</v>
      </c>
      <c r="CL386" s="56"/>
      <c r="CO386" s="55">
        <f t="shared" si="2511"/>
        <v>46352</v>
      </c>
      <c r="CP386" s="422"/>
      <c r="CQ386" s="470">
        <f>SUMPRODUCT(PRODUCE!$B381:$DY381,PRODUCE!$EB$17:$IY$17)</f>
        <v>0</v>
      </c>
      <c r="CR386" s="422"/>
      <c r="CS386" s="470">
        <f t="shared" si="2512"/>
        <v>0</v>
      </c>
      <c r="CT386" s="470">
        <f t="shared" si="2513"/>
        <v>0</v>
      </c>
      <c r="CU386" s="56"/>
      <c r="CX386" s="55">
        <f t="shared" si="2514"/>
        <v>46352</v>
      </c>
      <c r="CY386" s="56"/>
      <c r="CZ386" s="133">
        <f>SUMPRODUCT(PRODUCE!$B381:$DY381,PRODUCE!$EB$18:$IY$18)</f>
        <v>0</v>
      </c>
      <c r="DA386" s="56"/>
      <c r="DB386" s="133">
        <f t="shared" si="2515"/>
        <v>0</v>
      </c>
      <c r="DC386" s="133">
        <f t="shared" si="2516"/>
        <v>27438.200000000012</v>
      </c>
      <c r="DD386" s="56"/>
      <c r="DG386" s="55">
        <f t="shared" si="2517"/>
        <v>46352</v>
      </c>
      <c r="DH386" s="56"/>
      <c r="DI386" s="147">
        <f>SUMPRODUCT(PRODUCE!$B381:$DY381,PRODUCE!$EB$19:$IY$19)</f>
        <v>0</v>
      </c>
      <c r="DJ386" s="56"/>
      <c r="DK386" s="147">
        <f t="shared" si="2518"/>
        <v>0</v>
      </c>
      <c r="DL386" s="147">
        <f t="shared" si="2519"/>
        <v>18782.299999999981</v>
      </c>
      <c r="DM386" s="56"/>
      <c r="DP386" s="55">
        <f t="shared" si="2520"/>
        <v>46352</v>
      </c>
      <c r="DQ386" s="56"/>
      <c r="DR386" s="57">
        <f>SUMPRODUCT(PRODUCE!$B381:$DY381,PRODUCE!$EB$20:$IY$20)</f>
        <v>0</v>
      </c>
      <c r="DS386" s="56"/>
      <c r="DT386" s="57">
        <f t="shared" si="2521"/>
        <v>0</v>
      </c>
      <c r="DU386" s="57">
        <f t="shared" si="2522"/>
        <v>5800</v>
      </c>
      <c r="DV386" s="56"/>
      <c r="DY386" s="55">
        <f t="shared" si="2523"/>
        <v>46352</v>
      </c>
      <c r="DZ386" s="56"/>
      <c r="EA386" s="157">
        <f>SUMPRODUCT(PRODUCE!$B381:$DY381,PRODUCE!$EB$21:$IY$21)</f>
        <v>0</v>
      </c>
      <c r="EB386" s="56"/>
      <c r="EC386" s="157">
        <f t="shared" si="2524"/>
        <v>0</v>
      </c>
      <c r="ED386" s="157">
        <f t="shared" si="2525"/>
        <v>0</v>
      </c>
      <c r="EE386" s="56"/>
      <c r="EH386" s="55">
        <f t="shared" si="2526"/>
        <v>46352</v>
      </c>
      <c r="EI386" s="56"/>
      <c r="EJ386" s="162">
        <f>SUMPRODUCT(PRODUCE!$B381:$DY381,PRODUCE!$EB$22:$IY$22)</f>
        <v>0</v>
      </c>
      <c r="EK386" s="56"/>
      <c r="EL386" s="162">
        <f t="shared" si="2527"/>
        <v>0</v>
      </c>
      <c r="EM386" s="162">
        <f t="shared" si="2528"/>
        <v>0</v>
      </c>
      <c r="EN386" s="56"/>
      <c r="EQ386" s="55">
        <f t="shared" si="2529"/>
        <v>46352</v>
      </c>
      <c r="ER386" s="56"/>
      <c r="ES386" s="135">
        <f>SUMPRODUCT(PRODUCE!$B381:$DY381,PRODUCE!$EB$23:$IY$23)</f>
        <v>0</v>
      </c>
      <c r="ET386" s="56"/>
      <c r="EU386" s="135">
        <f t="shared" si="2530"/>
        <v>0</v>
      </c>
      <c r="EV386" s="135">
        <f t="shared" si="2531"/>
        <v>0</v>
      </c>
      <c r="EW386" s="56"/>
      <c r="EZ386" s="55">
        <f t="shared" si="2532"/>
        <v>46352</v>
      </c>
      <c r="FA386" s="56"/>
      <c r="FB386" s="175">
        <f>SUMPRODUCT(PRODUCE!$B381:$DY381,PRODUCE!$EB$24:$IY$24)</f>
        <v>0</v>
      </c>
      <c r="FC386" s="56"/>
      <c r="FD386" s="175">
        <f t="shared" si="2533"/>
        <v>0</v>
      </c>
      <c r="FE386" s="175">
        <f t="shared" si="2534"/>
        <v>0</v>
      </c>
      <c r="FF386" s="56"/>
      <c r="FI386" s="55">
        <f t="shared" si="2535"/>
        <v>46352</v>
      </c>
      <c r="FJ386" s="56"/>
      <c r="FK386" s="183">
        <f>SUMPRODUCT(PRODUCE!$B381:$DY381,PRODUCE!$EB$25:$IY$25)</f>
        <v>0</v>
      </c>
      <c r="FL386" s="56"/>
      <c r="FM386" s="183">
        <f t="shared" si="2536"/>
        <v>0</v>
      </c>
      <c r="FN386" s="183">
        <f t="shared" si="2537"/>
        <v>0</v>
      </c>
      <c r="FO386" s="56"/>
      <c r="FR386" s="55">
        <f t="shared" si="2538"/>
        <v>46352</v>
      </c>
      <c r="FS386" s="56"/>
      <c r="FT386" s="186">
        <f>SUMPRODUCT(PRODUCE!$B381:$DY381,PRODUCE!$EB$26:$IY$26)</f>
        <v>0</v>
      </c>
      <c r="FU386" s="56"/>
      <c r="FV386" s="186">
        <f t="shared" si="2539"/>
        <v>0</v>
      </c>
      <c r="FW386" s="186">
        <f t="shared" si="2540"/>
        <v>2020</v>
      </c>
      <c r="FX386" s="56"/>
      <c r="GA386" s="55">
        <f t="shared" si="2541"/>
        <v>46352</v>
      </c>
      <c r="GB386" s="56"/>
      <c r="GC386" s="137">
        <f>SUMPRODUCT(PRODUCE!$B381:$DY381,PRODUCE!$EB$27:$IY$27)</f>
        <v>0</v>
      </c>
      <c r="GD386" s="56"/>
      <c r="GE386" s="137">
        <f t="shared" si="2542"/>
        <v>0</v>
      </c>
      <c r="GF386" s="137">
        <f t="shared" si="2543"/>
        <v>960</v>
      </c>
      <c r="GG386" s="56"/>
      <c r="GI386" s="23"/>
      <c r="GJ386" s="55">
        <f t="shared" si="2544"/>
        <v>46352</v>
      </c>
      <c r="GK386" s="56"/>
      <c r="GL386" s="199">
        <f>SUMPRODUCT(PRODUCE!$B381:$DY381,PRODUCE!$EB$28:$IY$28)</f>
        <v>0</v>
      </c>
      <c r="GM386" s="56"/>
      <c r="GN386" s="199">
        <f t="shared" si="2545"/>
        <v>0</v>
      </c>
      <c r="GO386" s="199">
        <f t="shared" si="2546"/>
        <v>1760</v>
      </c>
      <c r="GP386" s="56"/>
      <c r="GS386" s="55">
        <f t="shared" si="2547"/>
        <v>46352</v>
      </c>
      <c r="GT386" s="56"/>
      <c r="GU386" s="195">
        <f>SUMPRODUCT(PRODUCE!$B381:$DY381,PRODUCE!$EB$29:$IY$29)</f>
        <v>0</v>
      </c>
      <c r="GV386" s="56"/>
      <c r="GW386" s="195">
        <f t="shared" si="2548"/>
        <v>0</v>
      </c>
      <c r="GX386" s="195">
        <f t="shared" si="2549"/>
        <v>400</v>
      </c>
      <c r="GY386" s="56"/>
      <c r="HB386" s="55">
        <f t="shared" si="2550"/>
        <v>46352</v>
      </c>
      <c r="HC386" s="56"/>
      <c r="HD386" s="191">
        <f>SUMPRODUCT(PRODUCE!$B381:$DY381,PRODUCE!$EB$30:$IY$30)</f>
        <v>0</v>
      </c>
      <c r="HE386" s="56"/>
      <c r="HF386" s="191">
        <f t="shared" si="2551"/>
        <v>0</v>
      </c>
      <c r="HG386" s="191">
        <f t="shared" si="2552"/>
        <v>3600</v>
      </c>
      <c r="HH386" s="56"/>
      <c r="HK386" s="55">
        <f t="shared" si="2553"/>
        <v>46352</v>
      </c>
      <c r="HL386" s="56"/>
      <c r="HM386" s="63">
        <f>SUMPRODUCT(PRODUCE!$B381:$DY381,PRODUCE!$EB$31:$IY$31)</f>
        <v>0</v>
      </c>
      <c r="HN386" s="56"/>
      <c r="HO386" s="63">
        <f t="shared" si="2554"/>
        <v>0</v>
      </c>
      <c r="HP386" s="63">
        <f t="shared" si="2555"/>
        <v>0</v>
      </c>
      <c r="HQ386" s="56"/>
      <c r="HU386" s="55">
        <f t="shared" si="2556"/>
        <v>46352</v>
      </c>
      <c r="HV386" s="56"/>
      <c r="HW386" s="242">
        <f>SUMPRODUCT(PRODUCE!$B381:$DY381,PRODUCE!$EB$32:$IY$32)</f>
        <v>0</v>
      </c>
      <c r="HX386" s="56"/>
      <c r="HY386" s="242">
        <f t="shared" si="2557"/>
        <v>0</v>
      </c>
      <c r="HZ386" s="242">
        <f t="shared" si="2558"/>
        <v>6120</v>
      </c>
      <c r="IA386" s="56"/>
      <c r="ID386" s="55">
        <f t="shared" si="2559"/>
        <v>46352</v>
      </c>
      <c r="IE386" s="56"/>
      <c r="IF386" s="242">
        <f>SUMPRODUCT(PRODUCE!$B381:$DY381,PRODUCE!$EB$33:$IY$33)</f>
        <v>0</v>
      </c>
      <c r="IG386" s="56"/>
      <c r="IH386" s="242">
        <f t="shared" si="2560"/>
        <v>0</v>
      </c>
      <c r="II386" s="242">
        <f t="shared" si="2561"/>
        <v>0</v>
      </c>
      <c r="IJ386" s="56"/>
      <c r="IM386" s="55">
        <f t="shared" si="2562"/>
        <v>46352</v>
      </c>
      <c r="IN386" s="56"/>
      <c r="IO386" s="242">
        <f>SUMPRODUCT(PRODUCE!$B381:$DY381,PRODUCE!$EB$34:$IY$34)</f>
        <v>0</v>
      </c>
      <c r="IP386" s="56"/>
      <c r="IQ386" s="242">
        <f t="shared" si="2563"/>
        <v>0</v>
      </c>
      <c r="IR386" s="242">
        <f t="shared" si="2564"/>
        <v>0</v>
      </c>
      <c r="IS386" s="56"/>
      <c r="IV386" s="55">
        <f t="shared" si="2565"/>
        <v>46352</v>
      </c>
      <c r="IW386" s="56"/>
      <c r="IX386" s="242">
        <f>SUMPRODUCT(PRODUCE!$B381:$DY381,PRODUCE!$EB$35:$IY$35)</f>
        <v>0</v>
      </c>
      <c r="IY386" s="56"/>
      <c r="IZ386" s="242">
        <f t="shared" si="2566"/>
        <v>0</v>
      </c>
      <c r="JA386" s="242">
        <f t="shared" si="2567"/>
        <v>2820</v>
      </c>
      <c r="JB386" s="56"/>
      <c r="JE386" s="55">
        <f t="shared" si="2568"/>
        <v>46352</v>
      </c>
      <c r="JF386" s="56"/>
      <c r="JG386" s="242">
        <f>SUMPRODUCT(PRODUCE!$B381:$DY381,PRODUCE!$EB$36:$IY$36)</f>
        <v>0</v>
      </c>
      <c r="JH386" s="56"/>
      <c r="JI386" s="242">
        <f t="shared" si="2569"/>
        <v>0</v>
      </c>
      <c r="JJ386" s="242">
        <f t="shared" si="2570"/>
        <v>0</v>
      </c>
      <c r="JK386" s="56"/>
      <c r="JN386" s="55">
        <f t="shared" si="2571"/>
        <v>46352</v>
      </c>
      <c r="JO386" s="56"/>
      <c r="JP386" s="242">
        <f>SUMPRODUCT(PRODUCE!$B381:$DY381,PRODUCE!$EB$37:$IY$37)</f>
        <v>0</v>
      </c>
      <c r="JQ386" s="56"/>
      <c r="JR386" s="242">
        <f t="shared" si="2572"/>
        <v>0</v>
      </c>
      <c r="JS386" s="242">
        <f t="shared" si="2573"/>
        <v>0</v>
      </c>
      <c r="JT386" s="56"/>
      <c r="JW386" s="55">
        <f t="shared" si="2574"/>
        <v>46352</v>
      </c>
      <c r="JX386" s="56"/>
      <c r="JY386" s="242">
        <f>SUMPRODUCT(PRODUCE!$B381:$DY381,PRODUCE!$EB$38:$IY$38)</f>
        <v>0</v>
      </c>
      <c r="JZ386" s="56"/>
      <c r="KA386" s="242">
        <f t="shared" si="2575"/>
        <v>0</v>
      </c>
      <c r="KB386" s="242">
        <f t="shared" si="2576"/>
        <v>2540</v>
      </c>
      <c r="KC386" s="56"/>
      <c r="KF386" s="55">
        <f t="shared" si="2577"/>
        <v>46352</v>
      </c>
      <c r="KG386" s="56"/>
      <c r="KH386" s="242">
        <f>SUMPRODUCT(PRODUCE!$B381:$DY381,PRODUCE!$EB$39:$IY$39)</f>
        <v>0</v>
      </c>
      <c r="KI386" s="56"/>
      <c r="KJ386" s="242">
        <f t="shared" si="2578"/>
        <v>0</v>
      </c>
      <c r="KK386" s="242">
        <f t="shared" si="2579"/>
        <v>2359.5</v>
      </c>
      <c r="KL386" s="56"/>
      <c r="KO386" s="55">
        <f t="shared" si="2580"/>
        <v>46352</v>
      </c>
      <c r="KP386" s="56"/>
      <c r="KQ386" s="242">
        <f>SUMPRODUCT(PRODUCE!$B381:$DY381,PRODUCE!$EB$40:$IY$40)</f>
        <v>0</v>
      </c>
      <c r="KR386" s="56"/>
      <c r="KS386" s="242">
        <f t="shared" si="2581"/>
        <v>0</v>
      </c>
      <c r="KT386" s="242">
        <f t="shared" si="2582"/>
        <v>1890</v>
      </c>
      <c r="KU386" s="56"/>
      <c r="KW386" s="23"/>
      <c r="KX386" s="55">
        <f t="shared" si="2583"/>
        <v>46352</v>
      </c>
      <c r="KY386" s="56"/>
      <c r="KZ386" s="242">
        <f>SUMPRODUCT(PRODUCE!$B381:$DY381,PRODUCE!$EB$41:$IY$41)</f>
        <v>0</v>
      </c>
      <c r="LA386" s="56"/>
      <c r="LB386" s="242">
        <f t="shared" si="2584"/>
        <v>0</v>
      </c>
      <c r="LC386" s="242">
        <f t="shared" si="2585"/>
        <v>3690</v>
      </c>
      <c r="LD386" s="56"/>
      <c r="LG386" s="55">
        <f t="shared" si="2586"/>
        <v>46352</v>
      </c>
      <c r="LH386" s="56"/>
      <c r="LI386" s="242">
        <f>SUMPRODUCT(PRODUCE!$B381:$DY381,PRODUCE!$EB$42:$IY$42)</f>
        <v>0</v>
      </c>
      <c r="LJ386" s="56"/>
      <c r="LK386" s="242">
        <f t="shared" si="2587"/>
        <v>0</v>
      </c>
      <c r="LL386" s="242">
        <f t="shared" si="2588"/>
        <v>4000</v>
      </c>
      <c r="LM386" s="56"/>
      <c r="LP386" s="55">
        <f t="shared" si="2589"/>
        <v>46352</v>
      </c>
      <c r="LQ386" s="56"/>
      <c r="LR386" s="242">
        <f>SUMPRODUCT(PRODUCE!$B401:$DY401,PRODUCE!$EB$43:$IY$43)</f>
        <v>0</v>
      </c>
      <c r="LS386" s="56"/>
      <c r="LT386" s="242">
        <f t="shared" si="2590"/>
        <v>0</v>
      </c>
      <c r="LU386" s="242">
        <f t="shared" si="2591"/>
        <v>0</v>
      </c>
      <c r="LV386" s="56"/>
      <c r="LY386" s="55">
        <f t="shared" si="2592"/>
        <v>46352</v>
      </c>
      <c r="LZ386" s="56"/>
      <c r="MA386" s="242">
        <f>SUMPRODUCT(PRODUCE!$B381:$DY381,PRODUCE!$EB$44:$IY$44)</f>
        <v>0</v>
      </c>
      <c r="MB386" s="56"/>
      <c r="MC386" s="242">
        <f t="shared" si="2593"/>
        <v>0</v>
      </c>
      <c r="MD386" s="242">
        <f t="shared" si="2594"/>
        <v>0</v>
      </c>
      <c r="ME386" s="56"/>
      <c r="MH386" s="55">
        <f t="shared" si="2595"/>
        <v>46352</v>
      </c>
      <c r="MI386" s="56"/>
      <c r="MJ386" s="242">
        <f>SUMPRODUCT(PRODUCE!$B381:$DY381,PRODUCE!$EB$45:$IY$45)</f>
        <v>0</v>
      </c>
      <c r="MK386" s="56"/>
      <c r="ML386" s="242">
        <f t="shared" si="2596"/>
        <v>0</v>
      </c>
      <c r="MM386" s="242">
        <f t="shared" si="2597"/>
        <v>0</v>
      </c>
      <c r="MN386" s="56"/>
      <c r="MQ386" s="55">
        <f t="shared" si="2598"/>
        <v>46352</v>
      </c>
      <c r="MR386" s="56"/>
      <c r="MS386" s="242">
        <f>SUMPRODUCT(PRODUCE!$B381:$DY381,PRODUCE!$EB$46:$IY$46)</f>
        <v>0</v>
      </c>
      <c r="MT386" s="56"/>
      <c r="MU386" s="242">
        <f t="shared" si="2599"/>
        <v>0</v>
      </c>
      <c r="MV386" s="242">
        <f t="shared" si="2600"/>
        <v>1625</v>
      </c>
      <c r="MW386" s="56"/>
      <c r="MZ386" s="55">
        <f t="shared" si="2601"/>
        <v>46352</v>
      </c>
      <c r="NA386" s="56"/>
      <c r="NB386" s="242">
        <f>SUMPRODUCT(PRODUCE!$B381:$DY381,PRODUCE!$EB$47:$IY$47)</f>
        <v>0</v>
      </c>
      <c r="NC386" s="56"/>
      <c r="ND386" s="242">
        <f t="shared" si="2602"/>
        <v>0</v>
      </c>
      <c r="NE386" s="242">
        <f t="shared" si="2603"/>
        <v>0</v>
      </c>
      <c r="NF386" s="56"/>
      <c r="NI386" s="55">
        <f t="shared" si="2604"/>
        <v>46352</v>
      </c>
      <c r="NJ386" s="56"/>
      <c r="NK386" s="242">
        <f>SUMPRODUCT(PRODUCE!$B381:$DY381,PRODUCE!$EB$48:$IY$48)</f>
        <v>0</v>
      </c>
      <c r="NL386" s="56"/>
      <c r="NM386" s="242">
        <f t="shared" si="2605"/>
        <v>0</v>
      </c>
      <c r="NN386" s="242">
        <f t="shared" si="2606"/>
        <v>1127</v>
      </c>
      <c r="NO386" s="56"/>
      <c r="NR386" s="55">
        <f t="shared" si="2607"/>
        <v>46352</v>
      </c>
      <c r="NS386" s="56"/>
      <c r="NT386" s="242">
        <f>SUMPRODUCT(PRODUCE!$B381:$DY381,PRODUCE!$EB$49:$IY$49)</f>
        <v>0</v>
      </c>
      <c r="NU386" s="56"/>
      <c r="NV386" s="242">
        <f t="shared" si="2608"/>
        <v>0</v>
      </c>
      <c r="NW386" s="242">
        <f t="shared" si="2609"/>
        <v>3111.9999999999995</v>
      </c>
      <c r="NX386" s="56"/>
      <c r="OA386" s="55">
        <f t="shared" si="2610"/>
        <v>46352</v>
      </c>
      <c r="OB386" s="56"/>
      <c r="OC386" s="242">
        <f>SUMPRODUCT(PRODUCE!$B381:$DY381,PRODUCE!$EB$50:$IY$50)</f>
        <v>0</v>
      </c>
      <c r="OD386" s="56"/>
      <c r="OE386" s="242">
        <f t="shared" si="2611"/>
        <v>0</v>
      </c>
      <c r="OF386" s="242">
        <f t="shared" si="2612"/>
        <v>1680.5</v>
      </c>
      <c r="OG386" s="56"/>
      <c r="OJ386" s="55">
        <f t="shared" si="2613"/>
        <v>46352</v>
      </c>
      <c r="OK386" s="56"/>
      <c r="OL386" s="242">
        <f>SUMPRODUCT(PRODUCE!$B381:$DY381,PRODUCE!$EB$51:$IY$51)</f>
        <v>0</v>
      </c>
      <c r="OM386" s="56"/>
      <c r="ON386" s="242">
        <f t="shared" si="2614"/>
        <v>0</v>
      </c>
      <c r="OO386" s="242">
        <f t="shared" si="2615"/>
        <v>0</v>
      </c>
      <c r="OP386" s="56"/>
      <c r="OS386" s="55">
        <f t="shared" si="2616"/>
        <v>46352</v>
      </c>
      <c r="OT386" s="56"/>
      <c r="OU386" s="242">
        <f>SUMPRODUCT(PRODUCE!$B381:$DY381,PRODUCE!$EB$52:$IY$52)</f>
        <v>0</v>
      </c>
      <c r="OV386" s="56"/>
      <c r="OW386" s="242">
        <f t="shared" si="2617"/>
        <v>0</v>
      </c>
      <c r="OX386" s="242">
        <f t="shared" si="2618"/>
        <v>1482</v>
      </c>
      <c r="OY386" s="56"/>
      <c r="PB386" s="55">
        <f t="shared" si="2619"/>
        <v>46352</v>
      </c>
      <c r="PC386" s="56"/>
      <c r="PD386" s="242">
        <f>SUMPRODUCT(PRODUCE!$B381:$DY381,PRODUCE!$EB$53:$IY$53)</f>
        <v>0</v>
      </c>
      <c r="PE386" s="56"/>
      <c r="PF386" s="242">
        <f t="shared" si="2620"/>
        <v>0</v>
      </c>
      <c r="PG386" s="242">
        <f t="shared" si="2621"/>
        <v>0</v>
      </c>
      <c r="PH386" s="56"/>
      <c r="PK386" s="55">
        <f t="shared" si="2622"/>
        <v>46352</v>
      </c>
      <c r="PL386" s="56"/>
      <c r="PM386" s="242">
        <f>SUMPRODUCT(PRODUCE!$B381:$DY381,PRODUCE!$EB$54:$IY$54)</f>
        <v>0</v>
      </c>
      <c r="PN386" s="56"/>
      <c r="PO386" s="242">
        <f t="shared" si="2623"/>
        <v>0</v>
      </c>
      <c r="PP386" s="242">
        <f t="shared" si="2624"/>
        <v>100</v>
      </c>
      <c r="PQ386" s="56"/>
      <c r="PT386" s="55">
        <f t="shared" si="2625"/>
        <v>46352</v>
      </c>
      <c r="PU386" s="56"/>
      <c r="PV386" s="242">
        <f>SUMPRODUCT(PRODUCE!$B381:$DY381,PRODUCE!$EB$55:$IY$55)</f>
        <v>0</v>
      </c>
      <c r="PW386" s="56"/>
      <c r="PX386" s="242">
        <f t="shared" si="2626"/>
        <v>0</v>
      </c>
      <c r="PY386" s="242">
        <f t="shared" si="2627"/>
        <v>13.960000000000036</v>
      </c>
      <c r="PZ386" s="56"/>
      <c r="QC386" s="55">
        <f t="shared" si="2628"/>
        <v>46352</v>
      </c>
      <c r="QD386" s="56"/>
      <c r="QE386" s="242">
        <f>SUMPRODUCT(PRODUCE!$B381:$DY381,PRODUCE!$EB$56:$IY$56)</f>
        <v>0</v>
      </c>
      <c r="QF386" s="56"/>
      <c r="QG386" s="242">
        <f t="shared" si="2629"/>
        <v>0</v>
      </c>
      <c r="QH386" s="242">
        <f t="shared" si="2630"/>
        <v>548</v>
      </c>
      <c r="QI386" s="56"/>
      <c r="QL386" s="55">
        <f t="shared" si="2631"/>
        <v>46352</v>
      </c>
      <c r="QM386" s="56"/>
      <c r="QN386" s="242">
        <f>SUMPRODUCT(PRODUCE!$B381:$DY381,PRODUCE!$EB$57:$IY$57)</f>
        <v>0</v>
      </c>
      <c r="QO386" s="56"/>
      <c r="QP386" s="242">
        <f t="shared" si="2632"/>
        <v>0</v>
      </c>
      <c r="QQ386" s="242">
        <f t="shared" si="2633"/>
        <v>0</v>
      </c>
      <c r="QR386" s="56"/>
      <c r="QU386" s="55">
        <f t="shared" si="2634"/>
        <v>46352</v>
      </c>
      <c r="QV386" s="56"/>
      <c r="QW386" s="242">
        <f>SUMPRODUCT(PRODUCE!$B381:$DY381,PRODUCE!$EB$57:$IY$57)</f>
        <v>0</v>
      </c>
      <c r="QX386" s="56"/>
      <c r="QY386" s="242">
        <f t="shared" si="2635"/>
        <v>0</v>
      </c>
      <c r="QZ386" s="242">
        <f t="shared" si="2636"/>
        <v>0</v>
      </c>
      <c r="RA386" s="56"/>
      <c r="RD386" s="55">
        <f t="shared" si="2637"/>
        <v>46352</v>
      </c>
      <c r="RE386" s="56"/>
      <c r="RF386" s="242">
        <f>SUMPRODUCT(PRODUCE!$B381:$DY381,PRODUCE!$EB$58:$IY$58)</f>
        <v>0</v>
      </c>
      <c r="RG386" s="56"/>
      <c r="RH386" s="242">
        <f t="shared" si="2638"/>
        <v>0</v>
      </c>
      <c r="RI386" s="242">
        <f t="shared" si="2639"/>
        <v>147.04000000000002</v>
      </c>
      <c r="RJ386" s="56"/>
      <c r="RM386" s="55">
        <f t="shared" si="2640"/>
        <v>46352</v>
      </c>
      <c r="RN386" s="56"/>
      <c r="RO386" s="242">
        <f>SUMPRODUCT(PRODUCE!$B381:$DY381,PRODUCE!$EB$57:$IY$57)</f>
        <v>0</v>
      </c>
      <c r="RP386" s="56"/>
      <c r="RQ386" s="242">
        <f t="shared" si="2641"/>
        <v>0</v>
      </c>
      <c r="RR386" s="242">
        <f t="shared" si="2642"/>
        <v>46.8</v>
      </c>
      <c r="RS386" s="56"/>
      <c r="RV386" s="55">
        <f t="shared" si="2643"/>
        <v>46352</v>
      </c>
      <c r="RW386" s="56"/>
      <c r="RX386" s="242">
        <f>SUMPRODUCT(PRODUCE!$B381:$DY381,PRODUCE!$EB$57:$IY$57)</f>
        <v>0</v>
      </c>
      <c r="RY386" s="56"/>
      <c r="RZ386" s="242">
        <f t="shared" si="2644"/>
        <v>0</v>
      </c>
      <c r="SA386" s="242">
        <f t="shared" si="2645"/>
        <v>0</v>
      </c>
      <c r="SB386" s="56"/>
      <c r="SE386" s="55">
        <f t="shared" si="2646"/>
        <v>46352</v>
      </c>
      <c r="SF386" s="56"/>
      <c r="SG386" s="242">
        <f>SUMPRODUCT(PRODUCE!$B381:$DY381,PRODUCE!$EB$61:$IY$61)</f>
        <v>0</v>
      </c>
      <c r="SH386" s="56"/>
      <c r="SI386" s="242">
        <f t="shared" si="2647"/>
        <v>0</v>
      </c>
      <c r="SJ386" s="242">
        <f t="shared" si="2648"/>
        <v>24.200000000000003</v>
      </c>
      <c r="SK386" s="56"/>
      <c r="SN386" s="55">
        <f t="shared" si="2649"/>
        <v>46352</v>
      </c>
      <c r="SO386" s="56"/>
      <c r="SP386" s="242">
        <f>SUMPRODUCT(PRODUCE!$B381:$DY381,PRODUCE!$EB$57:$IY$57)</f>
        <v>0</v>
      </c>
      <c r="SQ386" s="56"/>
      <c r="SR386" s="242">
        <f t="shared" si="2650"/>
        <v>0</v>
      </c>
      <c r="SS386" s="242">
        <f t="shared" si="2651"/>
        <v>32</v>
      </c>
      <c r="ST386" s="56"/>
      <c r="SW386" s="55">
        <f t="shared" si="2652"/>
        <v>46352</v>
      </c>
      <c r="SX386" s="56"/>
      <c r="SY386" s="242">
        <f>SUMPRODUCT(PRODUCE!$B381:$DY381,PRODUCE!$EB$57:$IY$57)</f>
        <v>0</v>
      </c>
      <c r="SZ386" s="56"/>
      <c r="TA386" s="242">
        <f t="shared" si="2653"/>
        <v>0</v>
      </c>
      <c r="TB386" s="242">
        <f t="shared" si="2654"/>
        <v>0</v>
      </c>
      <c r="TC386" s="56"/>
      <c r="TF386" s="55">
        <f t="shared" si="2655"/>
        <v>46352</v>
      </c>
      <c r="TG386" s="56"/>
      <c r="TH386" s="242">
        <f>SUMPRODUCT(PRODUCE!$B381:$DY381,PRODUCE!$EB$57:$IY$57)</f>
        <v>0</v>
      </c>
      <c r="TI386" s="56"/>
      <c r="TJ386" s="242">
        <f t="shared" si="2656"/>
        <v>0</v>
      </c>
      <c r="TK386" s="242">
        <f t="shared" si="2657"/>
        <v>0</v>
      </c>
      <c r="TL386" s="56"/>
      <c r="TO386" s="55">
        <f t="shared" si="2658"/>
        <v>46352</v>
      </c>
      <c r="TP386" s="56"/>
      <c r="TQ386" s="242">
        <f>SUMPRODUCT(PRODUCE!$B381:$DY381,PRODUCE!$EB$57:$IY$57)</f>
        <v>0</v>
      </c>
      <c r="TR386" s="56"/>
      <c r="TS386" s="242">
        <f t="shared" si="2659"/>
        <v>0</v>
      </c>
      <c r="TT386" s="242">
        <f t="shared" si="2660"/>
        <v>0</v>
      </c>
      <c r="TU386" s="56"/>
      <c r="TX386" s="55">
        <f t="shared" si="2661"/>
        <v>46352</v>
      </c>
      <c r="TY386" s="56"/>
      <c r="TZ386" s="242">
        <f>SUMPRODUCT(PRODUCE!$B381:$DY381,PRODUCE!$EB$57:$IY$57)</f>
        <v>0</v>
      </c>
      <c r="UA386" s="56"/>
      <c r="UB386" s="242">
        <f t="shared" si="2662"/>
        <v>0</v>
      </c>
      <c r="UC386" s="242">
        <f t="shared" si="2663"/>
        <v>46.799999999999983</v>
      </c>
      <c r="UD386" s="56"/>
      <c r="UG386" s="55">
        <f t="shared" si="2664"/>
        <v>46352</v>
      </c>
      <c r="UH386" s="56"/>
      <c r="UI386" s="242">
        <f>SUMPRODUCT(PRODUCE!$B381:$DY381,PRODUCE!$EB$57:$IY$57)</f>
        <v>0</v>
      </c>
      <c r="UJ386" s="56"/>
      <c r="UK386" s="242">
        <f t="shared" si="2665"/>
        <v>0</v>
      </c>
      <c r="UL386" s="242">
        <f t="shared" si="2666"/>
        <v>204</v>
      </c>
      <c r="UM386" s="56"/>
      <c r="UP386" s="55">
        <f t="shared" si="2667"/>
        <v>46352</v>
      </c>
      <c r="UQ386" s="56"/>
      <c r="UR386" s="242">
        <f>SUMPRODUCT(PRODUCE!$B381:$DY381,PRODUCE!$EB$57:$IY$57)</f>
        <v>0</v>
      </c>
      <c r="US386" s="56"/>
      <c r="UT386" s="242">
        <f t="shared" si="2668"/>
        <v>0</v>
      </c>
      <c r="UU386" s="242">
        <f t="shared" si="2669"/>
        <v>202.5</v>
      </c>
      <c r="UV386" s="56"/>
      <c r="UY386" s="55">
        <f t="shared" si="2670"/>
        <v>46352</v>
      </c>
      <c r="UZ386" s="56"/>
      <c r="VA386" s="242">
        <f>SUMPRODUCT(PRODUCE!$B381:$DY381,PRODUCE!$EB$57:$IY$57)</f>
        <v>0</v>
      </c>
      <c r="VB386" s="56"/>
      <c r="VC386" s="242">
        <f t="shared" si="2671"/>
        <v>0</v>
      </c>
      <c r="VD386" s="242">
        <f t="shared" si="2672"/>
        <v>41.600000000000023</v>
      </c>
      <c r="VE386" s="56"/>
      <c r="VH386" s="55">
        <f t="shared" si="2673"/>
        <v>46352</v>
      </c>
      <c r="VI386" s="56"/>
      <c r="VJ386" s="242">
        <f>SUMPRODUCT(PRODUCE!$B381:$DY381,PRODUCE!$EB$57:$IY$57)</f>
        <v>0</v>
      </c>
      <c r="VK386" s="56"/>
      <c r="VL386" s="242">
        <f t="shared" si="2674"/>
        <v>0</v>
      </c>
      <c r="VM386" s="242">
        <f t="shared" si="2675"/>
        <v>210</v>
      </c>
      <c r="VN386" s="56"/>
      <c r="VQ386" s="55">
        <f t="shared" si="2676"/>
        <v>46352</v>
      </c>
      <c r="VR386" s="56"/>
      <c r="VS386" s="242">
        <f>SUMPRODUCT(PRODUCE!$B381:$DY381,PRODUCE!$EB$57:$IY$57)</f>
        <v>0</v>
      </c>
      <c r="VT386" s="56"/>
      <c r="VU386" s="242">
        <f t="shared" si="2677"/>
        <v>0</v>
      </c>
      <c r="VV386" s="242">
        <f t="shared" si="2678"/>
        <v>0</v>
      </c>
      <c r="VW386" s="56"/>
      <c r="VZ386" s="55">
        <f t="shared" si="2679"/>
        <v>46352</v>
      </c>
      <c r="WA386" s="56"/>
      <c r="WB386" s="242">
        <f>SUMPRODUCT(PRODUCE!$B381:$DY381,PRODUCE!$EB$57:$IY$57)</f>
        <v>0</v>
      </c>
      <c r="WC386" s="56"/>
      <c r="WD386" s="242">
        <f t="shared" si="2680"/>
        <v>0</v>
      </c>
      <c r="WE386" s="242">
        <f t="shared" si="2681"/>
        <v>0</v>
      </c>
      <c r="WF386" s="56"/>
      <c r="WI386" s="55">
        <f t="shared" si="2682"/>
        <v>46352</v>
      </c>
      <c r="WJ386" s="56"/>
      <c r="WK386" s="242">
        <f>SUMPRODUCT(PRODUCE!$B381:$DY381,PRODUCE!$EB$57:$IY$57)</f>
        <v>0</v>
      </c>
      <c r="WL386" s="56"/>
      <c r="WM386" s="242">
        <f t="shared" si="2683"/>
        <v>0</v>
      </c>
      <c r="WN386" s="242">
        <f t="shared" si="2684"/>
        <v>1057</v>
      </c>
      <c r="WO386" s="56"/>
      <c r="WR386" s="55">
        <f t="shared" si="2685"/>
        <v>46352</v>
      </c>
      <c r="WS386" s="56"/>
      <c r="WT386" s="242">
        <f>SUMPRODUCT(PRODUCE!$B381:$DY381,PRODUCE!$EB$57:$IY$57)</f>
        <v>0</v>
      </c>
      <c r="WU386" s="56"/>
      <c r="WV386" s="242">
        <f t="shared" si="2686"/>
        <v>0</v>
      </c>
      <c r="WW386" s="242">
        <f t="shared" si="2687"/>
        <v>0</v>
      </c>
      <c r="WX386" s="56"/>
      <c r="XA386" s="55">
        <f t="shared" si="2688"/>
        <v>46352</v>
      </c>
      <c r="XB386" s="56"/>
      <c r="XC386" s="242">
        <f>SUMPRODUCT(PRODUCE!$B381:$DY381,PRODUCE!$EB$57:$IY$57)</f>
        <v>0</v>
      </c>
      <c r="XD386" s="56"/>
      <c r="XE386" s="242">
        <f t="shared" si="2689"/>
        <v>0</v>
      </c>
      <c r="XF386" s="242">
        <f t="shared" si="2690"/>
        <v>7507</v>
      </c>
      <c r="XG386" s="56"/>
      <c r="XJ386" s="55">
        <f t="shared" si="2691"/>
        <v>46352</v>
      </c>
      <c r="XK386" s="56"/>
      <c r="XL386" s="242">
        <f>SUMPRODUCT(PRODUCE!$B381:$DY381,PRODUCE!$EB$57:$IY$57)</f>
        <v>0</v>
      </c>
      <c r="XM386" s="56"/>
      <c r="XN386" s="242">
        <f t="shared" si="2692"/>
        <v>0</v>
      </c>
      <c r="XO386" s="242">
        <f t="shared" si="2693"/>
        <v>4252</v>
      </c>
      <c r="XP386" s="56"/>
      <c r="XS386" s="55">
        <f t="shared" si="2694"/>
        <v>46352</v>
      </c>
      <c r="XT386" s="56"/>
      <c r="XU386" s="242">
        <f>SUMPRODUCT(PRODUCE!$B381:$DY381,PRODUCE!$EB$57:$IY$57)</f>
        <v>0</v>
      </c>
      <c r="XV386" s="56"/>
      <c r="XW386" s="242">
        <f t="shared" si="2695"/>
        <v>0</v>
      </c>
      <c r="XX386" s="242">
        <f t="shared" si="2696"/>
        <v>2179</v>
      </c>
      <c r="XY386" s="56"/>
      <c r="YB386" s="55">
        <f t="shared" si="2697"/>
        <v>46352</v>
      </c>
      <c r="YC386" s="56"/>
      <c r="YD386" s="242">
        <f>SUMPRODUCT(PRODUCE!$B381:$DY381,PRODUCE!$EB$57:$IY$57)</f>
        <v>0</v>
      </c>
      <c r="YE386" s="56"/>
      <c r="YF386" s="242">
        <f t="shared" si="2698"/>
        <v>0</v>
      </c>
      <c r="YG386" s="242">
        <f t="shared" si="2699"/>
        <v>4019</v>
      </c>
      <c r="YH386" s="56"/>
      <c r="YK386" s="55">
        <f t="shared" si="2700"/>
        <v>46352</v>
      </c>
      <c r="YL386" s="56"/>
      <c r="YM386" s="242">
        <f>SUMPRODUCT(PRODUCE!$B381:$DY381,PRODUCE!$EB$57:$IY$57)</f>
        <v>0</v>
      </c>
      <c r="YN386" s="56"/>
      <c r="YO386" s="242">
        <f t="shared" si="2701"/>
        <v>0</v>
      </c>
      <c r="YP386" s="242">
        <f t="shared" si="2702"/>
        <v>-218</v>
      </c>
      <c r="YQ386" s="56"/>
      <c r="YT386" s="55">
        <f t="shared" si="2703"/>
        <v>46352</v>
      </c>
      <c r="YU386" s="56"/>
      <c r="YV386" s="242">
        <f>SUMPRODUCT(PRODUCE!$B381:$DY381,PRODUCE!$EB$57:$IY$57)</f>
        <v>0</v>
      </c>
      <c r="YW386" s="56"/>
      <c r="YX386" s="242">
        <f t="shared" si="2704"/>
        <v>0</v>
      </c>
      <c r="YY386" s="242">
        <f t="shared" si="2705"/>
        <v>0</v>
      </c>
      <c r="YZ386" s="56"/>
      <c r="ZC386" s="55">
        <f t="shared" si="2706"/>
        <v>46352</v>
      </c>
      <c r="ZD386" s="56"/>
      <c r="ZE386" s="242">
        <f>SUMPRODUCT(PRODUCE!$B381:$DY381,PRODUCE!$EB$57:$IY$57)</f>
        <v>0</v>
      </c>
      <c r="ZF386" s="56"/>
      <c r="ZG386" s="242">
        <f t="shared" si="2707"/>
        <v>0</v>
      </c>
      <c r="ZH386" s="242">
        <f t="shared" si="2708"/>
        <v>0</v>
      </c>
      <c r="ZI386" s="56"/>
      <c r="ZL386" s="55">
        <f t="shared" si="2709"/>
        <v>46352</v>
      </c>
      <c r="ZM386" s="56"/>
      <c r="ZN386" s="242">
        <f>SUMPRODUCT(PRODUCE!$B381:$DY381,PRODUCE!$EB$57:$IY$57)</f>
        <v>0</v>
      </c>
      <c r="ZO386" s="56"/>
      <c r="ZP386" s="242">
        <f t="shared" si="2710"/>
        <v>0</v>
      </c>
      <c r="ZQ386" s="242">
        <f t="shared" si="2711"/>
        <v>0</v>
      </c>
      <c r="ZR386" s="56"/>
      <c r="ZU386" s="55">
        <f t="shared" si="2712"/>
        <v>46352</v>
      </c>
      <c r="ZV386" s="56"/>
      <c r="ZW386" s="242">
        <f>SUMPRODUCT(PRODUCE!$B381:$DY381,PRODUCE!$EB$57:$IY$57)</f>
        <v>0</v>
      </c>
      <c r="ZX386" s="56"/>
      <c r="ZY386" s="242">
        <f t="shared" si="2713"/>
        <v>0</v>
      </c>
      <c r="ZZ386" s="242">
        <f t="shared" si="2714"/>
        <v>0</v>
      </c>
      <c r="AAA386" s="56"/>
      <c r="AAD386" s="55">
        <f t="shared" si="2715"/>
        <v>46352</v>
      </c>
      <c r="AAE386" s="56"/>
      <c r="AAF386" s="242">
        <f>SUMPRODUCT(PRODUCE!$B381:$DY381,PRODUCE!$EB$57:$IY$57)</f>
        <v>0</v>
      </c>
      <c r="AAG386" s="56"/>
      <c r="AAH386" s="242">
        <f t="shared" si="2716"/>
        <v>0</v>
      </c>
      <c r="AAI386" s="242">
        <f t="shared" si="2717"/>
        <v>0</v>
      </c>
      <c r="AAJ386" s="56"/>
      <c r="AAM386" s="55">
        <f t="shared" si="2718"/>
        <v>46352</v>
      </c>
      <c r="AAN386" s="56"/>
      <c r="AAO386" s="242">
        <f>SUMPRODUCT(PRODUCE!$B381:$DY381,PRODUCE!$EB$57:$IY$57)</f>
        <v>0</v>
      </c>
      <c r="AAP386" s="56"/>
      <c r="AAQ386" s="242">
        <f t="shared" si="2719"/>
        <v>0</v>
      </c>
      <c r="AAR386" s="242">
        <f t="shared" si="2720"/>
        <v>0</v>
      </c>
      <c r="AAS386" s="56"/>
      <c r="AAV386" s="55">
        <f t="shared" si="2721"/>
        <v>46352</v>
      </c>
      <c r="AAW386" s="56"/>
      <c r="AAX386" s="242">
        <f>SUMPRODUCT(PRODUCE!$B381:$DY381,PRODUCE!$EB$57:$IY$57)</f>
        <v>0</v>
      </c>
      <c r="AAY386" s="56"/>
      <c r="AAZ386" s="242">
        <f t="shared" si="2722"/>
        <v>0</v>
      </c>
      <c r="ABA386" s="242">
        <f t="shared" si="2723"/>
        <v>0</v>
      </c>
      <c r="ABB386" s="56"/>
      <c r="ABE386" s="55">
        <f t="shared" si="2724"/>
        <v>46352</v>
      </c>
      <c r="ABF386" s="56"/>
      <c r="ABG386" s="242">
        <f>SUMPRODUCT(PRODUCE!$B381:$DY381,PRODUCE!$EB$57:$IY$57)</f>
        <v>0</v>
      </c>
      <c r="ABH386" s="56"/>
      <c r="ABI386" s="242">
        <f t="shared" si="2725"/>
        <v>0</v>
      </c>
      <c r="ABJ386" s="242">
        <f t="shared" si="2726"/>
        <v>0</v>
      </c>
      <c r="ABK386" s="56"/>
    </row>
    <row r="387" spans="1:739" s="54" customFormat="1" ht="15" customHeight="1" outlineLevel="1">
      <c r="B387" s="478"/>
      <c r="C387" s="55">
        <v>46353</v>
      </c>
      <c r="D387" s="56"/>
      <c r="E387" s="57">
        <f>SUMPRODUCT(PRODUCE!$B382:$DY382,PRODUCE!$EB$7:$IY$7)</f>
        <v>0</v>
      </c>
      <c r="F387" s="56"/>
      <c r="G387" s="57">
        <f t="shared" si="2482"/>
        <v>0</v>
      </c>
      <c r="H387" s="57">
        <f t="shared" si="2483"/>
        <v>236936.6</v>
      </c>
      <c r="I387" s="289"/>
      <c r="L387" s="55">
        <f t="shared" si="2484"/>
        <v>46353</v>
      </c>
      <c r="M387" s="56"/>
      <c r="N387" s="59">
        <f>SUMPRODUCT(PRODUCE!$B382:$DY382,PRODUCE!$EB$8:$IY$8)</f>
        <v>0</v>
      </c>
      <c r="O387" s="56"/>
      <c r="P387" s="59">
        <f t="shared" si="2485"/>
        <v>0</v>
      </c>
      <c r="Q387" s="59">
        <f t="shared" si="2486"/>
        <v>53017.600000000071</v>
      </c>
      <c r="R387" s="56"/>
      <c r="U387" s="55">
        <f t="shared" si="2487"/>
        <v>46353</v>
      </c>
      <c r="V387" s="56"/>
      <c r="W387" s="60">
        <f>SUMPRODUCT(PRODUCE!$B382:$DY382,PRODUCE!$EB$9:$IY$9)</f>
        <v>0</v>
      </c>
      <c r="X387" s="56"/>
      <c r="Y387" s="60">
        <f t="shared" si="2488"/>
        <v>0</v>
      </c>
      <c r="Z387" s="60">
        <f t="shared" si="2489"/>
        <v>42674.199999999968</v>
      </c>
      <c r="AA387" s="56"/>
      <c r="AD387" s="55">
        <f t="shared" si="2490"/>
        <v>46353</v>
      </c>
      <c r="AE387" s="56"/>
      <c r="AF387" s="61">
        <f>SUMPRODUCT(PRODUCE!$B382:$DY382,PRODUCE!$EB$10:$IY$10)</f>
        <v>0</v>
      </c>
      <c r="AG387" s="56"/>
      <c r="AH387" s="61">
        <f t="shared" si="2491"/>
        <v>0</v>
      </c>
      <c r="AI387" s="61">
        <f t="shared" si="2492"/>
        <v>4522.2000000000189</v>
      </c>
      <c r="AJ387" s="56"/>
      <c r="AM387" s="55">
        <f t="shared" si="2493"/>
        <v>46353</v>
      </c>
      <c r="AN387" s="422"/>
      <c r="AO387" s="444">
        <f>SUMPRODUCT(PRODUCE!$B382:$DY382,PRODUCE!$EB$11:$IY$11)</f>
        <v>0</v>
      </c>
      <c r="AP387" s="422"/>
      <c r="AQ387" s="444">
        <f t="shared" si="2494"/>
        <v>0</v>
      </c>
      <c r="AR387" s="444">
        <f t="shared" si="2495"/>
        <v>0</v>
      </c>
      <c r="AS387" s="56"/>
      <c r="AV387" s="55">
        <f t="shared" si="2496"/>
        <v>46353</v>
      </c>
      <c r="AW387" s="56"/>
      <c r="AX387" s="62">
        <f>SUMPRODUCT(PRODUCE!$B382:$DY382,PRODUCE!$EB$12:$IY$12)</f>
        <v>0</v>
      </c>
      <c r="AY387" s="56"/>
      <c r="AZ387" s="62">
        <f t="shared" si="2497"/>
        <v>0</v>
      </c>
      <c r="BA387" s="62">
        <f t="shared" si="2498"/>
        <v>124.99999999999523</v>
      </c>
      <c r="BB387" s="56"/>
      <c r="BE387" s="55">
        <f t="shared" si="2499"/>
        <v>46353</v>
      </c>
      <c r="BF387" s="56"/>
      <c r="BG387" s="63">
        <f>SUMPRODUCT(PRODUCE!$B382:$DY382,PRODUCE!$EB$13:$IY$13)</f>
        <v>0</v>
      </c>
      <c r="BH387" s="56"/>
      <c r="BI387" s="63">
        <f t="shared" si="2500"/>
        <v>0</v>
      </c>
      <c r="BJ387" s="63">
        <f t="shared" si="2501"/>
        <v>26151.899999999998</v>
      </c>
      <c r="BK387" s="56"/>
      <c r="BN387" s="55">
        <f t="shared" si="2502"/>
        <v>46353</v>
      </c>
      <c r="BO387" s="56"/>
      <c r="BP387" s="64">
        <f>SUMPRODUCT(PRODUCE!$B382:$DY382,PRODUCE!$EB$14:$IY$14)</f>
        <v>0</v>
      </c>
      <c r="BQ387" s="56"/>
      <c r="BR387" s="64">
        <f t="shared" si="2503"/>
        <v>0</v>
      </c>
      <c r="BS387" s="64">
        <f t="shared" si="2504"/>
        <v>0</v>
      </c>
      <c r="BT387" s="56"/>
      <c r="BW387" s="55">
        <f t="shared" si="2505"/>
        <v>46353</v>
      </c>
      <c r="BX387" s="56"/>
      <c r="BY387" s="65">
        <f>SUMPRODUCT(PRODUCE!$B382:$DY382,PRODUCE!$EB$15:$IY$15)</f>
        <v>0</v>
      </c>
      <c r="BZ387" s="56"/>
      <c r="CA387" s="65">
        <f t="shared" si="2506"/>
        <v>0</v>
      </c>
      <c r="CB387" s="65">
        <f t="shared" si="2507"/>
        <v>2097.3399999999992</v>
      </c>
      <c r="CC387" s="56"/>
      <c r="CF387" s="55">
        <f t="shared" si="2508"/>
        <v>46353</v>
      </c>
      <c r="CG387" s="56"/>
      <c r="CH387" s="66">
        <f>SUMPRODUCT(PRODUCE!$B382:$DY382,PRODUCE!$EB$16:$IY$16)</f>
        <v>0</v>
      </c>
      <c r="CI387" s="56"/>
      <c r="CJ387" s="66">
        <f t="shared" si="2509"/>
        <v>0</v>
      </c>
      <c r="CK387" s="66">
        <f t="shared" si="2510"/>
        <v>-10277.079999999998</v>
      </c>
      <c r="CL387" s="56"/>
      <c r="CO387" s="55">
        <f t="shared" si="2511"/>
        <v>46353</v>
      </c>
      <c r="CP387" s="422"/>
      <c r="CQ387" s="470">
        <f>SUMPRODUCT(PRODUCE!$B382:$DY382,PRODUCE!$EB$17:$IY$17)</f>
        <v>0</v>
      </c>
      <c r="CR387" s="422"/>
      <c r="CS387" s="470">
        <f t="shared" si="2512"/>
        <v>0</v>
      </c>
      <c r="CT387" s="470">
        <f t="shared" si="2513"/>
        <v>0</v>
      </c>
      <c r="CU387" s="56"/>
      <c r="CX387" s="55">
        <f t="shared" si="2514"/>
        <v>46353</v>
      </c>
      <c r="CY387" s="56"/>
      <c r="CZ387" s="133">
        <f>SUMPRODUCT(PRODUCE!$B382:$DY382,PRODUCE!$EB$18:$IY$18)</f>
        <v>0</v>
      </c>
      <c r="DA387" s="56"/>
      <c r="DB387" s="133">
        <f t="shared" si="2515"/>
        <v>0</v>
      </c>
      <c r="DC387" s="133">
        <f t="shared" si="2516"/>
        <v>27438.200000000012</v>
      </c>
      <c r="DD387" s="56"/>
      <c r="DG387" s="55">
        <f t="shared" si="2517"/>
        <v>46353</v>
      </c>
      <c r="DH387" s="56"/>
      <c r="DI387" s="147">
        <f>SUMPRODUCT(PRODUCE!$B382:$DY382,PRODUCE!$EB$19:$IY$19)</f>
        <v>0</v>
      </c>
      <c r="DJ387" s="56"/>
      <c r="DK387" s="147">
        <f t="shared" si="2518"/>
        <v>0</v>
      </c>
      <c r="DL387" s="147">
        <f t="shared" si="2519"/>
        <v>18782.299999999981</v>
      </c>
      <c r="DM387" s="56"/>
      <c r="DP387" s="55">
        <f t="shared" si="2520"/>
        <v>46353</v>
      </c>
      <c r="DQ387" s="56"/>
      <c r="DR387" s="57">
        <f>SUMPRODUCT(PRODUCE!$B382:$DY382,PRODUCE!$EB$20:$IY$20)</f>
        <v>0</v>
      </c>
      <c r="DS387" s="56"/>
      <c r="DT387" s="57">
        <f t="shared" si="2521"/>
        <v>0</v>
      </c>
      <c r="DU387" s="57">
        <f t="shared" si="2522"/>
        <v>5800</v>
      </c>
      <c r="DV387" s="56"/>
      <c r="DY387" s="55">
        <f t="shared" si="2523"/>
        <v>46353</v>
      </c>
      <c r="DZ387" s="56"/>
      <c r="EA387" s="157">
        <f>SUMPRODUCT(PRODUCE!$B382:$DY382,PRODUCE!$EB$21:$IY$21)</f>
        <v>0</v>
      </c>
      <c r="EB387" s="56"/>
      <c r="EC387" s="157">
        <f t="shared" si="2524"/>
        <v>0</v>
      </c>
      <c r="ED387" s="157">
        <f t="shared" si="2525"/>
        <v>0</v>
      </c>
      <c r="EE387" s="56"/>
      <c r="EH387" s="55">
        <f t="shared" si="2526"/>
        <v>46353</v>
      </c>
      <c r="EI387" s="56"/>
      <c r="EJ387" s="162">
        <f>SUMPRODUCT(PRODUCE!$B382:$DY382,PRODUCE!$EB$22:$IY$22)</f>
        <v>0</v>
      </c>
      <c r="EK387" s="56"/>
      <c r="EL387" s="162">
        <f t="shared" si="2527"/>
        <v>0</v>
      </c>
      <c r="EM387" s="162">
        <f t="shared" si="2528"/>
        <v>0</v>
      </c>
      <c r="EN387" s="56"/>
      <c r="EQ387" s="55">
        <f t="shared" si="2529"/>
        <v>46353</v>
      </c>
      <c r="ER387" s="56"/>
      <c r="ES387" s="135">
        <f>SUMPRODUCT(PRODUCE!$B382:$DY382,PRODUCE!$EB$23:$IY$23)</f>
        <v>0</v>
      </c>
      <c r="ET387" s="56"/>
      <c r="EU387" s="135">
        <f t="shared" si="2530"/>
        <v>0</v>
      </c>
      <c r="EV387" s="135">
        <f t="shared" si="2531"/>
        <v>0</v>
      </c>
      <c r="EW387" s="56"/>
      <c r="EZ387" s="55">
        <f t="shared" si="2532"/>
        <v>46353</v>
      </c>
      <c r="FA387" s="56"/>
      <c r="FB387" s="175">
        <f>SUMPRODUCT(PRODUCE!$B382:$DY382,PRODUCE!$EB$24:$IY$24)</f>
        <v>0</v>
      </c>
      <c r="FC387" s="56"/>
      <c r="FD387" s="175">
        <f t="shared" si="2533"/>
        <v>0</v>
      </c>
      <c r="FE387" s="175">
        <f t="shared" si="2534"/>
        <v>0</v>
      </c>
      <c r="FF387" s="56"/>
      <c r="FI387" s="55">
        <f t="shared" si="2535"/>
        <v>46353</v>
      </c>
      <c r="FJ387" s="56"/>
      <c r="FK387" s="183">
        <f>SUMPRODUCT(PRODUCE!$B382:$DY382,PRODUCE!$EB$25:$IY$25)</f>
        <v>0</v>
      </c>
      <c r="FL387" s="56"/>
      <c r="FM387" s="183">
        <f t="shared" si="2536"/>
        <v>0</v>
      </c>
      <c r="FN387" s="183">
        <f t="shared" si="2537"/>
        <v>0</v>
      </c>
      <c r="FO387" s="56"/>
      <c r="FR387" s="55">
        <f t="shared" si="2538"/>
        <v>46353</v>
      </c>
      <c r="FS387" s="56"/>
      <c r="FT387" s="186">
        <f>SUMPRODUCT(PRODUCE!$B382:$DY382,PRODUCE!$EB$26:$IY$26)</f>
        <v>0</v>
      </c>
      <c r="FU387" s="56"/>
      <c r="FV387" s="186">
        <f t="shared" si="2539"/>
        <v>0</v>
      </c>
      <c r="FW387" s="186">
        <f t="shared" si="2540"/>
        <v>2020</v>
      </c>
      <c r="FX387" s="56"/>
      <c r="GA387" s="55">
        <f t="shared" si="2541"/>
        <v>46353</v>
      </c>
      <c r="GB387" s="56"/>
      <c r="GC387" s="137">
        <f>SUMPRODUCT(PRODUCE!$B382:$DY382,PRODUCE!$EB$27:$IY$27)</f>
        <v>0</v>
      </c>
      <c r="GD387" s="56"/>
      <c r="GE387" s="137">
        <f t="shared" si="2542"/>
        <v>0</v>
      </c>
      <c r="GF387" s="137">
        <f t="shared" si="2543"/>
        <v>960</v>
      </c>
      <c r="GG387" s="56"/>
      <c r="GI387" s="23"/>
      <c r="GJ387" s="55">
        <f t="shared" si="2544"/>
        <v>46353</v>
      </c>
      <c r="GK387" s="56"/>
      <c r="GL387" s="199">
        <f>SUMPRODUCT(PRODUCE!$B382:$DY382,PRODUCE!$EB$28:$IY$28)</f>
        <v>0</v>
      </c>
      <c r="GM387" s="56"/>
      <c r="GN387" s="199">
        <f t="shared" si="2545"/>
        <v>0</v>
      </c>
      <c r="GO387" s="199">
        <f t="shared" si="2546"/>
        <v>1760</v>
      </c>
      <c r="GP387" s="56"/>
      <c r="GS387" s="55">
        <f t="shared" si="2547"/>
        <v>46353</v>
      </c>
      <c r="GT387" s="56"/>
      <c r="GU387" s="195">
        <f>SUMPRODUCT(PRODUCE!$B382:$DY382,PRODUCE!$EB$29:$IY$29)</f>
        <v>0</v>
      </c>
      <c r="GV387" s="56"/>
      <c r="GW387" s="195">
        <f t="shared" si="2548"/>
        <v>0</v>
      </c>
      <c r="GX387" s="195">
        <f t="shared" si="2549"/>
        <v>400</v>
      </c>
      <c r="GY387" s="56"/>
      <c r="HB387" s="55">
        <f t="shared" si="2550"/>
        <v>46353</v>
      </c>
      <c r="HC387" s="56"/>
      <c r="HD387" s="191">
        <f>SUMPRODUCT(PRODUCE!$B382:$DY382,PRODUCE!$EB$30:$IY$30)</f>
        <v>0</v>
      </c>
      <c r="HE387" s="56"/>
      <c r="HF387" s="191">
        <f t="shared" si="2551"/>
        <v>0</v>
      </c>
      <c r="HG387" s="191">
        <f t="shared" si="2552"/>
        <v>3600</v>
      </c>
      <c r="HH387" s="56"/>
      <c r="HK387" s="55">
        <f t="shared" si="2553"/>
        <v>46353</v>
      </c>
      <c r="HL387" s="56"/>
      <c r="HM387" s="63">
        <f>SUMPRODUCT(PRODUCE!$B382:$DY382,PRODUCE!$EB$31:$IY$31)</f>
        <v>0</v>
      </c>
      <c r="HN387" s="56"/>
      <c r="HO387" s="63">
        <f t="shared" si="2554"/>
        <v>0</v>
      </c>
      <c r="HP387" s="63">
        <f t="shared" si="2555"/>
        <v>0</v>
      </c>
      <c r="HQ387" s="56"/>
      <c r="HU387" s="55">
        <f t="shared" si="2556"/>
        <v>46353</v>
      </c>
      <c r="HV387" s="56"/>
      <c r="HW387" s="242">
        <f>SUMPRODUCT(PRODUCE!$B382:$DY382,PRODUCE!$EB$32:$IY$32)</f>
        <v>0</v>
      </c>
      <c r="HX387" s="56"/>
      <c r="HY387" s="242">
        <f t="shared" si="2557"/>
        <v>0</v>
      </c>
      <c r="HZ387" s="242">
        <f t="shared" si="2558"/>
        <v>6120</v>
      </c>
      <c r="IA387" s="56"/>
      <c r="ID387" s="55">
        <f t="shared" si="2559"/>
        <v>46353</v>
      </c>
      <c r="IE387" s="56"/>
      <c r="IF387" s="242">
        <f>SUMPRODUCT(PRODUCE!$B382:$DY382,PRODUCE!$EB$33:$IY$33)</f>
        <v>0</v>
      </c>
      <c r="IG387" s="56"/>
      <c r="IH387" s="242">
        <f t="shared" si="2560"/>
        <v>0</v>
      </c>
      <c r="II387" s="242">
        <f t="shared" si="2561"/>
        <v>0</v>
      </c>
      <c r="IJ387" s="56"/>
      <c r="IM387" s="55">
        <f t="shared" si="2562"/>
        <v>46353</v>
      </c>
      <c r="IN387" s="56"/>
      <c r="IO387" s="242">
        <f>SUMPRODUCT(PRODUCE!$B382:$DY382,PRODUCE!$EB$34:$IY$34)</f>
        <v>0</v>
      </c>
      <c r="IP387" s="56"/>
      <c r="IQ387" s="242">
        <f t="shared" si="2563"/>
        <v>0</v>
      </c>
      <c r="IR387" s="242">
        <f t="shared" si="2564"/>
        <v>0</v>
      </c>
      <c r="IS387" s="56"/>
      <c r="IV387" s="55">
        <f t="shared" si="2565"/>
        <v>46353</v>
      </c>
      <c r="IW387" s="56"/>
      <c r="IX387" s="242">
        <f>SUMPRODUCT(PRODUCE!$B382:$DY382,PRODUCE!$EB$35:$IY$35)</f>
        <v>0</v>
      </c>
      <c r="IY387" s="56"/>
      <c r="IZ387" s="242">
        <f t="shared" si="2566"/>
        <v>0</v>
      </c>
      <c r="JA387" s="242">
        <f t="shared" si="2567"/>
        <v>2820</v>
      </c>
      <c r="JB387" s="56"/>
      <c r="JE387" s="55">
        <f t="shared" si="2568"/>
        <v>46353</v>
      </c>
      <c r="JF387" s="56"/>
      <c r="JG387" s="242">
        <f>SUMPRODUCT(PRODUCE!$B382:$DY382,PRODUCE!$EB$36:$IY$36)</f>
        <v>0</v>
      </c>
      <c r="JH387" s="56"/>
      <c r="JI387" s="242">
        <f t="shared" si="2569"/>
        <v>0</v>
      </c>
      <c r="JJ387" s="242">
        <f t="shared" si="2570"/>
        <v>0</v>
      </c>
      <c r="JK387" s="56"/>
      <c r="JN387" s="55">
        <f t="shared" si="2571"/>
        <v>46353</v>
      </c>
      <c r="JO387" s="56"/>
      <c r="JP387" s="242">
        <f>SUMPRODUCT(PRODUCE!$B382:$DY382,PRODUCE!$EB$37:$IY$37)</f>
        <v>0</v>
      </c>
      <c r="JQ387" s="56"/>
      <c r="JR387" s="242">
        <f t="shared" si="2572"/>
        <v>0</v>
      </c>
      <c r="JS387" s="242">
        <f t="shared" si="2573"/>
        <v>0</v>
      </c>
      <c r="JT387" s="56"/>
      <c r="JW387" s="55">
        <f t="shared" si="2574"/>
        <v>46353</v>
      </c>
      <c r="JX387" s="56"/>
      <c r="JY387" s="242">
        <f>SUMPRODUCT(PRODUCE!$B382:$DY382,PRODUCE!$EB$38:$IY$38)</f>
        <v>0</v>
      </c>
      <c r="JZ387" s="56"/>
      <c r="KA387" s="242">
        <f t="shared" si="2575"/>
        <v>0</v>
      </c>
      <c r="KB387" s="242">
        <f t="shared" si="2576"/>
        <v>2540</v>
      </c>
      <c r="KC387" s="56"/>
      <c r="KF387" s="55">
        <f t="shared" si="2577"/>
        <v>46353</v>
      </c>
      <c r="KG387" s="56"/>
      <c r="KH387" s="242">
        <f>SUMPRODUCT(PRODUCE!$B382:$DY382,PRODUCE!$EB$39:$IY$39)</f>
        <v>0</v>
      </c>
      <c r="KI387" s="56"/>
      <c r="KJ387" s="242">
        <f t="shared" si="2578"/>
        <v>0</v>
      </c>
      <c r="KK387" s="242">
        <f t="shared" si="2579"/>
        <v>2359.5</v>
      </c>
      <c r="KL387" s="56"/>
      <c r="KO387" s="55">
        <f t="shared" si="2580"/>
        <v>46353</v>
      </c>
      <c r="KP387" s="56"/>
      <c r="KQ387" s="242">
        <f>SUMPRODUCT(PRODUCE!$B382:$DY382,PRODUCE!$EB$40:$IY$40)</f>
        <v>0</v>
      </c>
      <c r="KR387" s="56"/>
      <c r="KS387" s="242">
        <f t="shared" si="2581"/>
        <v>0</v>
      </c>
      <c r="KT387" s="242">
        <f t="shared" si="2582"/>
        <v>1890</v>
      </c>
      <c r="KU387" s="56"/>
      <c r="KW387" s="23"/>
      <c r="KX387" s="55">
        <f t="shared" si="2583"/>
        <v>46353</v>
      </c>
      <c r="KY387" s="56"/>
      <c r="KZ387" s="242">
        <f>SUMPRODUCT(PRODUCE!$B382:$DY382,PRODUCE!$EB$41:$IY$41)</f>
        <v>0</v>
      </c>
      <c r="LA387" s="56"/>
      <c r="LB387" s="242">
        <f t="shared" si="2584"/>
        <v>0</v>
      </c>
      <c r="LC387" s="242">
        <f t="shared" si="2585"/>
        <v>3690</v>
      </c>
      <c r="LD387" s="56"/>
      <c r="LG387" s="55">
        <f t="shared" si="2586"/>
        <v>46353</v>
      </c>
      <c r="LH387" s="56"/>
      <c r="LI387" s="242">
        <f>SUMPRODUCT(PRODUCE!$B382:$DY382,PRODUCE!$EB$42:$IY$42)</f>
        <v>0</v>
      </c>
      <c r="LJ387" s="56"/>
      <c r="LK387" s="242">
        <f t="shared" si="2587"/>
        <v>0</v>
      </c>
      <c r="LL387" s="242">
        <f t="shared" si="2588"/>
        <v>4000</v>
      </c>
      <c r="LM387" s="56"/>
      <c r="LP387" s="55">
        <f t="shared" si="2589"/>
        <v>46353</v>
      </c>
      <c r="LQ387" s="56"/>
      <c r="LR387" s="242">
        <f>SUMPRODUCT(PRODUCE!$B402:$DY402,PRODUCE!$EB$43:$IY$43)</f>
        <v>0</v>
      </c>
      <c r="LS387" s="56"/>
      <c r="LT387" s="242">
        <f t="shared" si="2590"/>
        <v>0</v>
      </c>
      <c r="LU387" s="242">
        <f t="shared" si="2591"/>
        <v>0</v>
      </c>
      <c r="LV387" s="56"/>
      <c r="LY387" s="55">
        <f t="shared" si="2592"/>
        <v>46353</v>
      </c>
      <c r="LZ387" s="56"/>
      <c r="MA387" s="242">
        <f>SUMPRODUCT(PRODUCE!$B382:$DY382,PRODUCE!$EB$44:$IY$44)</f>
        <v>0</v>
      </c>
      <c r="MB387" s="56"/>
      <c r="MC387" s="242">
        <f t="shared" si="2593"/>
        <v>0</v>
      </c>
      <c r="MD387" s="242">
        <f t="shared" si="2594"/>
        <v>0</v>
      </c>
      <c r="ME387" s="56"/>
      <c r="MH387" s="55">
        <f t="shared" si="2595"/>
        <v>46353</v>
      </c>
      <c r="MI387" s="56"/>
      <c r="MJ387" s="242">
        <f>SUMPRODUCT(PRODUCE!$B382:$DY382,PRODUCE!$EB$45:$IY$45)</f>
        <v>0</v>
      </c>
      <c r="MK387" s="56"/>
      <c r="ML387" s="242">
        <f t="shared" si="2596"/>
        <v>0</v>
      </c>
      <c r="MM387" s="242">
        <f t="shared" si="2597"/>
        <v>0</v>
      </c>
      <c r="MN387" s="56"/>
      <c r="MQ387" s="55">
        <f t="shared" si="2598"/>
        <v>46353</v>
      </c>
      <c r="MR387" s="56"/>
      <c r="MS387" s="242">
        <f>SUMPRODUCT(PRODUCE!$B382:$DY382,PRODUCE!$EB$46:$IY$46)</f>
        <v>0</v>
      </c>
      <c r="MT387" s="56"/>
      <c r="MU387" s="242">
        <f t="shared" si="2599"/>
        <v>0</v>
      </c>
      <c r="MV387" s="242">
        <f t="shared" si="2600"/>
        <v>1625</v>
      </c>
      <c r="MW387" s="56"/>
      <c r="MZ387" s="55">
        <f t="shared" si="2601"/>
        <v>46353</v>
      </c>
      <c r="NA387" s="56"/>
      <c r="NB387" s="242">
        <f>SUMPRODUCT(PRODUCE!$B382:$DY382,PRODUCE!$EB$47:$IY$47)</f>
        <v>0</v>
      </c>
      <c r="NC387" s="56"/>
      <c r="ND387" s="242">
        <f t="shared" si="2602"/>
        <v>0</v>
      </c>
      <c r="NE387" s="242">
        <f t="shared" si="2603"/>
        <v>0</v>
      </c>
      <c r="NF387" s="56"/>
      <c r="NI387" s="55">
        <f t="shared" si="2604"/>
        <v>46353</v>
      </c>
      <c r="NJ387" s="56"/>
      <c r="NK387" s="242">
        <f>SUMPRODUCT(PRODUCE!$B382:$DY382,PRODUCE!$EB$48:$IY$48)</f>
        <v>0</v>
      </c>
      <c r="NL387" s="56"/>
      <c r="NM387" s="242">
        <f t="shared" si="2605"/>
        <v>0</v>
      </c>
      <c r="NN387" s="242">
        <f t="shared" si="2606"/>
        <v>1127</v>
      </c>
      <c r="NO387" s="56"/>
      <c r="NR387" s="55">
        <f t="shared" si="2607"/>
        <v>46353</v>
      </c>
      <c r="NS387" s="56"/>
      <c r="NT387" s="242">
        <f>SUMPRODUCT(PRODUCE!$B382:$DY382,PRODUCE!$EB$49:$IY$49)</f>
        <v>0</v>
      </c>
      <c r="NU387" s="56"/>
      <c r="NV387" s="242">
        <f t="shared" si="2608"/>
        <v>0</v>
      </c>
      <c r="NW387" s="242">
        <f t="shared" si="2609"/>
        <v>3111.9999999999995</v>
      </c>
      <c r="NX387" s="56"/>
      <c r="OA387" s="55">
        <f t="shared" si="2610"/>
        <v>46353</v>
      </c>
      <c r="OB387" s="56"/>
      <c r="OC387" s="242">
        <f>SUMPRODUCT(PRODUCE!$B382:$DY382,PRODUCE!$EB$50:$IY$50)</f>
        <v>0</v>
      </c>
      <c r="OD387" s="56"/>
      <c r="OE387" s="242">
        <f t="shared" si="2611"/>
        <v>0</v>
      </c>
      <c r="OF387" s="242">
        <f t="shared" si="2612"/>
        <v>1680.5</v>
      </c>
      <c r="OG387" s="56"/>
      <c r="OJ387" s="55">
        <f t="shared" si="2613"/>
        <v>46353</v>
      </c>
      <c r="OK387" s="56"/>
      <c r="OL387" s="242">
        <f>SUMPRODUCT(PRODUCE!$B382:$DY382,PRODUCE!$EB$51:$IY$51)</f>
        <v>0</v>
      </c>
      <c r="OM387" s="56"/>
      <c r="ON387" s="242">
        <f t="shared" si="2614"/>
        <v>0</v>
      </c>
      <c r="OO387" s="242">
        <f t="shared" si="2615"/>
        <v>0</v>
      </c>
      <c r="OP387" s="56"/>
      <c r="OS387" s="55">
        <f t="shared" si="2616"/>
        <v>46353</v>
      </c>
      <c r="OT387" s="56"/>
      <c r="OU387" s="242">
        <f>SUMPRODUCT(PRODUCE!$B382:$DY382,PRODUCE!$EB$52:$IY$52)</f>
        <v>0</v>
      </c>
      <c r="OV387" s="56"/>
      <c r="OW387" s="242">
        <f t="shared" si="2617"/>
        <v>0</v>
      </c>
      <c r="OX387" s="242">
        <f t="shared" si="2618"/>
        <v>1482</v>
      </c>
      <c r="OY387" s="56"/>
      <c r="PB387" s="55">
        <f t="shared" si="2619"/>
        <v>46353</v>
      </c>
      <c r="PC387" s="56"/>
      <c r="PD387" s="242">
        <f>SUMPRODUCT(PRODUCE!$B382:$DY382,PRODUCE!$EB$53:$IY$53)</f>
        <v>0</v>
      </c>
      <c r="PE387" s="56"/>
      <c r="PF387" s="242">
        <f t="shared" si="2620"/>
        <v>0</v>
      </c>
      <c r="PG387" s="242">
        <f t="shared" si="2621"/>
        <v>0</v>
      </c>
      <c r="PH387" s="56"/>
      <c r="PK387" s="55">
        <f t="shared" si="2622"/>
        <v>46353</v>
      </c>
      <c r="PL387" s="56"/>
      <c r="PM387" s="242">
        <f>SUMPRODUCT(PRODUCE!$B382:$DY382,PRODUCE!$EB$54:$IY$54)</f>
        <v>0</v>
      </c>
      <c r="PN387" s="56"/>
      <c r="PO387" s="242">
        <f t="shared" si="2623"/>
        <v>0</v>
      </c>
      <c r="PP387" s="242">
        <f t="shared" si="2624"/>
        <v>100</v>
      </c>
      <c r="PQ387" s="56"/>
      <c r="PT387" s="55">
        <f t="shared" si="2625"/>
        <v>46353</v>
      </c>
      <c r="PU387" s="56"/>
      <c r="PV387" s="242">
        <f>SUMPRODUCT(PRODUCE!$B382:$DY382,PRODUCE!$EB$55:$IY$55)</f>
        <v>0</v>
      </c>
      <c r="PW387" s="56"/>
      <c r="PX387" s="242">
        <f t="shared" si="2626"/>
        <v>0</v>
      </c>
      <c r="PY387" s="242">
        <f t="shared" si="2627"/>
        <v>13.960000000000036</v>
      </c>
      <c r="PZ387" s="56"/>
      <c r="QC387" s="55">
        <f t="shared" si="2628"/>
        <v>46353</v>
      </c>
      <c r="QD387" s="56"/>
      <c r="QE387" s="242">
        <f>SUMPRODUCT(PRODUCE!$B382:$DY382,PRODUCE!$EB$56:$IY$56)</f>
        <v>0</v>
      </c>
      <c r="QF387" s="56"/>
      <c r="QG387" s="242">
        <f t="shared" si="2629"/>
        <v>0</v>
      </c>
      <c r="QH387" s="242">
        <f t="shared" si="2630"/>
        <v>548</v>
      </c>
      <c r="QI387" s="56"/>
      <c r="QL387" s="55">
        <f t="shared" si="2631"/>
        <v>46353</v>
      </c>
      <c r="QM387" s="56"/>
      <c r="QN387" s="242">
        <f>SUMPRODUCT(PRODUCE!$B382:$DY382,PRODUCE!$EB$57:$IY$57)</f>
        <v>0</v>
      </c>
      <c r="QO387" s="56"/>
      <c r="QP387" s="242">
        <f t="shared" si="2632"/>
        <v>0</v>
      </c>
      <c r="QQ387" s="242">
        <f t="shared" si="2633"/>
        <v>0</v>
      </c>
      <c r="QR387" s="56"/>
      <c r="QU387" s="55">
        <f t="shared" si="2634"/>
        <v>46353</v>
      </c>
      <c r="QV387" s="56"/>
      <c r="QW387" s="242">
        <f>SUMPRODUCT(PRODUCE!$B382:$DY382,PRODUCE!$EB$57:$IY$57)</f>
        <v>0</v>
      </c>
      <c r="QX387" s="56"/>
      <c r="QY387" s="242">
        <f t="shared" si="2635"/>
        <v>0</v>
      </c>
      <c r="QZ387" s="242">
        <f t="shared" si="2636"/>
        <v>0</v>
      </c>
      <c r="RA387" s="56"/>
      <c r="RD387" s="55">
        <f t="shared" si="2637"/>
        <v>46353</v>
      </c>
      <c r="RE387" s="56"/>
      <c r="RF387" s="242">
        <f>SUMPRODUCT(PRODUCE!$B382:$DY382,PRODUCE!$EB$58:$IY$58)</f>
        <v>0</v>
      </c>
      <c r="RG387" s="56"/>
      <c r="RH387" s="242">
        <f t="shared" si="2638"/>
        <v>0</v>
      </c>
      <c r="RI387" s="242">
        <f t="shared" si="2639"/>
        <v>147.04000000000002</v>
      </c>
      <c r="RJ387" s="56"/>
      <c r="RM387" s="55">
        <f t="shared" si="2640"/>
        <v>46353</v>
      </c>
      <c r="RN387" s="56"/>
      <c r="RO387" s="242">
        <f>SUMPRODUCT(PRODUCE!$B382:$DY382,PRODUCE!$EB$57:$IY$57)</f>
        <v>0</v>
      </c>
      <c r="RP387" s="56"/>
      <c r="RQ387" s="242">
        <f t="shared" si="2641"/>
        <v>0</v>
      </c>
      <c r="RR387" s="242">
        <f t="shared" si="2642"/>
        <v>46.8</v>
      </c>
      <c r="RS387" s="56"/>
      <c r="RV387" s="55">
        <f t="shared" si="2643"/>
        <v>46353</v>
      </c>
      <c r="RW387" s="56"/>
      <c r="RX387" s="242">
        <f>SUMPRODUCT(PRODUCE!$B382:$DY382,PRODUCE!$EB$57:$IY$57)</f>
        <v>0</v>
      </c>
      <c r="RY387" s="56"/>
      <c r="RZ387" s="242">
        <f t="shared" si="2644"/>
        <v>0</v>
      </c>
      <c r="SA387" s="242">
        <f t="shared" si="2645"/>
        <v>0</v>
      </c>
      <c r="SB387" s="56"/>
      <c r="SE387" s="55">
        <f t="shared" si="2646"/>
        <v>46353</v>
      </c>
      <c r="SF387" s="56"/>
      <c r="SG387" s="242">
        <f>SUMPRODUCT(PRODUCE!$B382:$DY382,PRODUCE!$EB$61:$IY$61)</f>
        <v>0</v>
      </c>
      <c r="SH387" s="56"/>
      <c r="SI387" s="242">
        <f t="shared" si="2647"/>
        <v>0</v>
      </c>
      <c r="SJ387" s="242">
        <f t="shared" si="2648"/>
        <v>24.200000000000003</v>
      </c>
      <c r="SK387" s="56"/>
      <c r="SN387" s="55">
        <f t="shared" si="2649"/>
        <v>46353</v>
      </c>
      <c r="SO387" s="56"/>
      <c r="SP387" s="242">
        <f>SUMPRODUCT(PRODUCE!$B382:$DY382,PRODUCE!$EB$57:$IY$57)</f>
        <v>0</v>
      </c>
      <c r="SQ387" s="56"/>
      <c r="SR387" s="242">
        <f t="shared" si="2650"/>
        <v>0</v>
      </c>
      <c r="SS387" s="242">
        <f t="shared" si="2651"/>
        <v>32</v>
      </c>
      <c r="ST387" s="56"/>
      <c r="SW387" s="55">
        <f t="shared" si="2652"/>
        <v>46353</v>
      </c>
      <c r="SX387" s="56"/>
      <c r="SY387" s="242">
        <f>SUMPRODUCT(PRODUCE!$B382:$DY382,PRODUCE!$EB$57:$IY$57)</f>
        <v>0</v>
      </c>
      <c r="SZ387" s="56"/>
      <c r="TA387" s="242">
        <f t="shared" si="2653"/>
        <v>0</v>
      </c>
      <c r="TB387" s="242">
        <f t="shared" si="2654"/>
        <v>0</v>
      </c>
      <c r="TC387" s="56"/>
      <c r="TF387" s="55">
        <f t="shared" si="2655"/>
        <v>46353</v>
      </c>
      <c r="TG387" s="56"/>
      <c r="TH387" s="242">
        <f>SUMPRODUCT(PRODUCE!$B382:$DY382,PRODUCE!$EB$57:$IY$57)</f>
        <v>0</v>
      </c>
      <c r="TI387" s="56"/>
      <c r="TJ387" s="242">
        <f t="shared" si="2656"/>
        <v>0</v>
      </c>
      <c r="TK387" s="242">
        <f t="shared" si="2657"/>
        <v>0</v>
      </c>
      <c r="TL387" s="56"/>
      <c r="TO387" s="55">
        <f t="shared" si="2658"/>
        <v>46353</v>
      </c>
      <c r="TP387" s="56"/>
      <c r="TQ387" s="242">
        <f>SUMPRODUCT(PRODUCE!$B382:$DY382,PRODUCE!$EB$57:$IY$57)</f>
        <v>0</v>
      </c>
      <c r="TR387" s="56"/>
      <c r="TS387" s="242">
        <f t="shared" si="2659"/>
        <v>0</v>
      </c>
      <c r="TT387" s="242">
        <f t="shared" si="2660"/>
        <v>0</v>
      </c>
      <c r="TU387" s="56"/>
      <c r="TX387" s="55">
        <f t="shared" si="2661"/>
        <v>46353</v>
      </c>
      <c r="TY387" s="56"/>
      <c r="TZ387" s="242">
        <f>SUMPRODUCT(PRODUCE!$B382:$DY382,PRODUCE!$EB$57:$IY$57)</f>
        <v>0</v>
      </c>
      <c r="UA387" s="56"/>
      <c r="UB387" s="242">
        <f t="shared" si="2662"/>
        <v>0</v>
      </c>
      <c r="UC387" s="242">
        <f t="shared" si="2663"/>
        <v>46.799999999999983</v>
      </c>
      <c r="UD387" s="56"/>
      <c r="UG387" s="55">
        <f t="shared" si="2664"/>
        <v>46353</v>
      </c>
      <c r="UH387" s="56"/>
      <c r="UI387" s="242">
        <f>SUMPRODUCT(PRODUCE!$B382:$DY382,PRODUCE!$EB$57:$IY$57)</f>
        <v>0</v>
      </c>
      <c r="UJ387" s="56"/>
      <c r="UK387" s="242">
        <f t="shared" si="2665"/>
        <v>0</v>
      </c>
      <c r="UL387" s="242">
        <f t="shared" si="2666"/>
        <v>204</v>
      </c>
      <c r="UM387" s="56"/>
      <c r="UP387" s="55">
        <f t="shared" si="2667"/>
        <v>46353</v>
      </c>
      <c r="UQ387" s="56"/>
      <c r="UR387" s="242">
        <f>SUMPRODUCT(PRODUCE!$B382:$DY382,PRODUCE!$EB$57:$IY$57)</f>
        <v>0</v>
      </c>
      <c r="US387" s="56"/>
      <c r="UT387" s="242">
        <f t="shared" si="2668"/>
        <v>0</v>
      </c>
      <c r="UU387" s="242">
        <f t="shared" si="2669"/>
        <v>202.5</v>
      </c>
      <c r="UV387" s="56"/>
      <c r="UY387" s="55">
        <f t="shared" si="2670"/>
        <v>46353</v>
      </c>
      <c r="UZ387" s="56"/>
      <c r="VA387" s="242">
        <f>SUMPRODUCT(PRODUCE!$B382:$DY382,PRODUCE!$EB$57:$IY$57)</f>
        <v>0</v>
      </c>
      <c r="VB387" s="56"/>
      <c r="VC387" s="242">
        <f t="shared" si="2671"/>
        <v>0</v>
      </c>
      <c r="VD387" s="242">
        <f t="shared" si="2672"/>
        <v>41.600000000000023</v>
      </c>
      <c r="VE387" s="56"/>
      <c r="VH387" s="55">
        <f t="shared" si="2673"/>
        <v>46353</v>
      </c>
      <c r="VI387" s="56"/>
      <c r="VJ387" s="242">
        <f>SUMPRODUCT(PRODUCE!$B382:$DY382,PRODUCE!$EB$57:$IY$57)</f>
        <v>0</v>
      </c>
      <c r="VK387" s="56"/>
      <c r="VL387" s="242">
        <f t="shared" si="2674"/>
        <v>0</v>
      </c>
      <c r="VM387" s="242">
        <f t="shared" si="2675"/>
        <v>210</v>
      </c>
      <c r="VN387" s="56"/>
      <c r="VQ387" s="55">
        <f t="shared" si="2676"/>
        <v>46353</v>
      </c>
      <c r="VR387" s="56"/>
      <c r="VS387" s="242">
        <f>SUMPRODUCT(PRODUCE!$B382:$DY382,PRODUCE!$EB$57:$IY$57)</f>
        <v>0</v>
      </c>
      <c r="VT387" s="56"/>
      <c r="VU387" s="242">
        <f t="shared" si="2677"/>
        <v>0</v>
      </c>
      <c r="VV387" s="242">
        <f t="shared" si="2678"/>
        <v>0</v>
      </c>
      <c r="VW387" s="56"/>
      <c r="VZ387" s="55">
        <f t="shared" si="2679"/>
        <v>46353</v>
      </c>
      <c r="WA387" s="56"/>
      <c r="WB387" s="242">
        <f>SUMPRODUCT(PRODUCE!$B382:$DY382,PRODUCE!$EB$57:$IY$57)</f>
        <v>0</v>
      </c>
      <c r="WC387" s="56"/>
      <c r="WD387" s="242">
        <f t="shared" si="2680"/>
        <v>0</v>
      </c>
      <c r="WE387" s="242">
        <f t="shared" si="2681"/>
        <v>0</v>
      </c>
      <c r="WF387" s="56"/>
      <c r="WI387" s="55">
        <f t="shared" si="2682"/>
        <v>46353</v>
      </c>
      <c r="WJ387" s="56"/>
      <c r="WK387" s="242">
        <f>SUMPRODUCT(PRODUCE!$B382:$DY382,PRODUCE!$EB$57:$IY$57)</f>
        <v>0</v>
      </c>
      <c r="WL387" s="56"/>
      <c r="WM387" s="242">
        <f t="shared" si="2683"/>
        <v>0</v>
      </c>
      <c r="WN387" s="242">
        <f t="shared" si="2684"/>
        <v>1057</v>
      </c>
      <c r="WO387" s="56"/>
      <c r="WR387" s="55">
        <f t="shared" si="2685"/>
        <v>46353</v>
      </c>
      <c r="WS387" s="56"/>
      <c r="WT387" s="242">
        <f>SUMPRODUCT(PRODUCE!$B382:$DY382,PRODUCE!$EB$57:$IY$57)</f>
        <v>0</v>
      </c>
      <c r="WU387" s="56"/>
      <c r="WV387" s="242">
        <f t="shared" si="2686"/>
        <v>0</v>
      </c>
      <c r="WW387" s="242">
        <f t="shared" si="2687"/>
        <v>0</v>
      </c>
      <c r="WX387" s="56"/>
      <c r="XA387" s="55">
        <f t="shared" si="2688"/>
        <v>46353</v>
      </c>
      <c r="XB387" s="56"/>
      <c r="XC387" s="242">
        <f>SUMPRODUCT(PRODUCE!$B382:$DY382,PRODUCE!$EB$57:$IY$57)</f>
        <v>0</v>
      </c>
      <c r="XD387" s="56"/>
      <c r="XE387" s="242">
        <f t="shared" si="2689"/>
        <v>0</v>
      </c>
      <c r="XF387" s="242">
        <f t="shared" si="2690"/>
        <v>7507</v>
      </c>
      <c r="XG387" s="56"/>
      <c r="XJ387" s="55">
        <f t="shared" si="2691"/>
        <v>46353</v>
      </c>
      <c r="XK387" s="56"/>
      <c r="XL387" s="242">
        <f>SUMPRODUCT(PRODUCE!$B382:$DY382,PRODUCE!$EB$57:$IY$57)</f>
        <v>0</v>
      </c>
      <c r="XM387" s="56"/>
      <c r="XN387" s="242">
        <f t="shared" si="2692"/>
        <v>0</v>
      </c>
      <c r="XO387" s="242">
        <f t="shared" si="2693"/>
        <v>4252</v>
      </c>
      <c r="XP387" s="56"/>
      <c r="XS387" s="55">
        <f t="shared" si="2694"/>
        <v>46353</v>
      </c>
      <c r="XT387" s="56"/>
      <c r="XU387" s="242">
        <f>SUMPRODUCT(PRODUCE!$B382:$DY382,PRODUCE!$EB$57:$IY$57)</f>
        <v>0</v>
      </c>
      <c r="XV387" s="56"/>
      <c r="XW387" s="242">
        <f t="shared" si="2695"/>
        <v>0</v>
      </c>
      <c r="XX387" s="242">
        <f t="shared" si="2696"/>
        <v>2179</v>
      </c>
      <c r="XY387" s="56"/>
      <c r="YB387" s="55">
        <f t="shared" si="2697"/>
        <v>46353</v>
      </c>
      <c r="YC387" s="56"/>
      <c r="YD387" s="242">
        <f>SUMPRODUCT(PRODUCE!$B382:$DY382,PRODUCE!$EB$57:$IY$57)</f>
        <v>0</v>
      </c>
      <c r="YE387" s="56"/>
      <c r="YF387" s="242">
        <f t="shared" si="2698"/>
        <v>0</v>
      </c>
      <c r="YG387" s="242">
        <f t="shared" si="2699"/>
        <v>4019</v>
      </c>
      <c r="YH387" s="56"/>
      <c r="YK387" s="55">
        <f t="shared" si="2700"/>
        <v>46353</v>
      </c>
      <c r="YL387" s="56"/>
      <c r="YM387" s="242">
        <f>SUMPRODUCT(PRODUCE!$B382:$DY382,PRODUCE!$EB$57:$IY$57)</f>
        <v>0</v>
      </c>
      <c r="YN387" s="56"/>
      <c r="YO387" s="242">
        <f t="shared" si="2701"/>
        <v>0</v>
      </c>
      <c r="YP387" s="242">
        <f t="shared" si="2702"/>
        <v>-218</v>
      </c>
      <c r="YQ387" s="56"/>
      <c r="YT387" s="55">
        <f t="shared" si="2703"/>
        <v>46353</v>
      </c>
      <c r="YU387" s="56"/>
      <c r="YV387" s="242">
        <f>SUMPRODUCT(PRODUCE!$B382:$DY382,PRODUCE!$EB$57:$IY$57)</f>
        <v>0</v>
      </c>
      <c r="YW387" s="56"/>
      <c r="YX387" s="242">
        <f t="shared" si="2704"/>
        <v>0</v>
      </c>
      <c r="YY387" s="242">
        <f t="shared" si="2705"/>
        <v>0</v>
      </c>
      <c r="YZ387" s="56"/>
      <c r="ZC387" s="55">
        <f t="shared" si="2706"/>
        <v>46353</v>
      </c>
      <c r="ZD387" s="56"/>
      <c r="ZE387" s="242">
        <f>SUMPRODUCT(PRODUCE!$B382:$DY382,PRODUCE!$EB$57:$IY$57)</f>
        <v>0</v>
      </c>
      <c r="ZF387" s="56"/>
      <c r="ZG387" s="242">
        <f t="shared" si="2707"/>
        <v>0</v>
      </c>
      <c r="ZH387" s="242">
        <f t="shared" si="2708"/>
        <v>0</v>
      </c>
      <c r="ZI387" s="56"/>
      <c r="ZL387" s="55">
        <f t="shared" si="2709"/>
        <v>46353</v>
      </c>
      <c r="ZM387" s="56"/>
      <c r="ZN387" s="242">
        <f>SUMPRODUCT(PRODUCE!$B382:$DY382,PRODUCE!$EB$57:$IY$57)</f>
        <v>0</v>
      </c>
      <c r="ZO387" s="56"/>
      <c r="ZP387" s="242">
        <f t="shared" si="2710"/>
        <v>0</v>
      </c>
      <c r="ZQ387" s="242">
        <f t="shared" si="2711"/>
        <v>0</v>
      </c>
      <c r="ZR387" s="56"/>
      <c r="ZU387" s="55">
        <f t="shared" si="2712"/>
        <v>46353</v>
      </c>
      <c r="ZV387" s="56"/>
      <c r="ZW387" s="242">
        <f>SUMPRODUCT(PRODUCE!$B382:$DY382,PRODUCE!$EB$57:$IY$57)</f>
        <v>0</v>
      </c>
      <c r="ZX387" s="56"/>
      <c r="ZY387" s="242">
        <f t="shared" si="2713"/>
        <v>0</v>
      </c>
      <c r="ZZ387" s="242">
        <f t="shared" si="2714"/>
        <v>0</v>
      </c>
      <c r="AAA387" s="56"/>
      <c r="AAD387" s="55">
        <f t="shared" si="2715"/>
        <v>46353</v>
      </c>
      <c r="AAE387" s="56"/>
      <c r="AAF387" s="242">
        <f>SUMPRODUCT(PRODUCE!$B382:$DY382,PRODUCE!$EB$57:$IY$57)</f>
        <v>0</v>
      </c>
      <c r="AAG387" s="56"/>
      <c r="AAH387" s="242">
        <f t="shared" si="2716"/>
        <v>0</v>
      </c>
      <c r="AAI387" s="242">
        <f t="shared" si="2717"/>
        <v>0</v>
      </c>
      <c r="AAJ387" s="56"/>
      <c r="AAM387" s="55">
        <f t="shared" si="2718"/>
        <v>46353</v>
      </c>
      <c r="AAN387" s="56"/>
      <c r="AAO387" s="242">
        <f>SUMPRODUCT(PRODUCE!$B382:$DY382,PRODUCE!$EB$57:$IY$57)</f>
        <v>0</v>
      </c>
      <c r="AAP387" s="56"/>
      <c r="AAQ387" s="242">
        <f t="shared" si="2719"/>
        <v>0</v>
      </c>
      <c r="AAR387" s="242">
        <f t="shared" si="2720"/>
        <v>0</v>
      </c>
      <c r="AAS387" s="56"/>
      <c r="AAV387" s="55">
        <f t="shared" si="2721"/>
        <v>46353</v>
      </c>
      <c r="AAW387" s="56"/>
      <c r="AAX387" s="242">
        <f>SUMPRODUCT(PRODUCE!$B382:$DY382,PRODUCE!$EB$57:$IY$57)</f>
        <v>0</v>
      </c>
      <c r="AAY387" s="56"/>
      <c r="AAZ387" s="242">
        <f t="shared" si="2722"/>
        <v>0</v>
      </c>
      <c r="ABA387" s="242">
        <f t="shared" si="2723"/>
        <v>0</v>
      </c>
      <c r="ABB387" s="56"/>
      <c r="ABE387" s="55">
        <f t="shared" si="2724"/>
        <v>46353</v>
      </c>
      <c r="ABF387" s="56"/>
      <c r="ABG387" s="242">
        <f>SUMPRODUCT(PRODUCE!$B382:$DY382,PRODUCE!$EB$57:$IY$57)</f>
        <v>0</v>
      </c>
      <c r="ABH387" s="56"/>
      <c r="ABI387" s="242">
        <f t="shared" si="2725"/>
        <v>0</v>
      </c>
      <c r="ABJ387" s="242">
        <f t="shared" si="2726"/>
        <v>0</v>
      </c>
      <c r="ABK387" s="56"/>
    </row>
    <row r="388" spans="1:739" s="54" customFormat="1" ht="15" customHeight="1" outlineLevel="1">
      <c r="B388" s="478"/>
      <c r="C388" s="55">
        <v>46354</v>
      </c>
      <c r="D388" s="56"/>
      <c r="E388" s="57">
        <f>SUMPRODUCT(PRODUCE!$B383:$DY383,PRODUCE!$EB$7:$IY$7)</f>
        <v>0</v>
      </c>
      <c r="F388" s="56"/>
      <c r="G388" s="57">
        <f t="shared" si="2482"/>
        <v>0</v>
      </c>
      <c r="H388" s="57">
        <f t="shared" si="2483"/>
        <v>236936.6</v>
      </c>
      <c r="I388" s="289"/>
      <c r="L388" s="55">
        <f t="shared" si="2484"/>
        <v>46354</v>
      </c>
      <c r="M388" s="56"/>
      <c r="N388" s="59">
        <f>SUMPRODUCT(PRODUCE!$B383:$DY383,PRODUCE!$EB$8:$IY$8)</f>
        <v>0</v>
      </c>
      <c r="O388" s="56"/>
      <c r="P388" s="59">
        <f t="shared" si="2485"/>
        <v>0</v>
      </c>
      <c r="Q388" s="59">
        <f t="shared" si="2486"/>
        <v>53017.600000000071</v>
      </c>
      <c r="R388" s="56"/>
      <c r="U388" s="55">
        <f t="shared" si="2487"/>
        <v>46354</v>
      </c>
      <c r="V388" s="56"/>
      <c r="W388" s="60">
        <f>SUMPRODUCT(PRODUCE!$B383:$DY383,PRODUCE!$EB$9:$IY$9)</f>
        <v>0</v>
      </c>
      <c r="X388" s="56"/>
      <c r="Y388" s="60">
        <f t="shared" si="2488"/>
        <v>0</v>
      </c>
      <c r="Z388" s="60">
        <f t="shared" si="2489"/>
        <v>42674.199999999968</v>
      </c>
      <c r="AA388" s="56"/>
      <c r="AD388" s="55">
        <f t="shared" si="2490"/>
        <v>46354</v>
      </c>
      <c r="AE388" s="56"/>
      <c r="AF388" s="61">
        <f>SUMPRODUCT(PRODUCE!$B383:$DY383,PRODUCE!$EB$10:$IY$10)</f>
        <v>0</v>
      </c>
      <c r="AG388" s="56"/>
      <c r="AH388" s="61">
        <f t="shared" si="2491"/>
        <v>0</v>
      </c>
      <c r="AI388" s="61">
        <f t="shared" si="2492"/>
        <v>4522.2000000000189</v>
      </c>
      <c r="AJ388" s="56"/>
      <c r="AM388" s="55">
        <f t="shared" si="2493"/>
        <v>46354</v>
      </c>
      <c r="AN388" s="422"/>
      <c r="AO388" s="444">
        <f>SUMPRODUCT(PRODUCE!$B383:$DY383,PRODUCE!$EB$11:$IY$11)</f>
        <v>0</v>
      </c>
      <c r="AP388" s="422"/>
      <c r="AQ388" s="444">
        <f t="shared" si="2494"/>
        <v>0</v>
      </c>
      <c r="AR388" s="444">
        <f t="shared" si="2495"/>
        <v>0</v>
      </c>
      <c r="AS388" s="56"/>
      <c r="AV388" s="55">
        <f t="shared" si="2496"/>
        <v>46354</v>
      </c>
      <c r="AW388" s="56"/>
      <c r="AX388" s="62">
        <f>SUMPRODUCT(PRODUCE!$B383:$DY383,PRODUCE!$EB$12:$IY$12)</f>
        <v>0</v>
      </c>
      <c r="AY388" s="56"/>
      <c r="AZ388" s="62">
        <f t="shared" si="2497"/>
        <v>0</v>
      </c>
      <c r="BA388" s="62">
        <f t="shared" si="2498"/>
        <v>124.99999999999523</v>
      </c>
      <c r="BB388" s="56"/>
      <c r="BE388" s="55">
        <f t="shared" si="2499"/>
        <v>46354</v>
      </c>
      <c r="BF388" s="56"/>
      <c r="BG388" s="63">
        <f>SUMPRODUCT(PRODUCE!$B383:$DY383,PRODUCE!$EB$13:$IY$13)</f>
        <v>0</v>
      </c>
      <c r="BH388" s="56"/>
      <c r="BI388" s="63">
        <f t="shared" si="2500"/>
        <v>0</v>
      </c>
      <c r="BJ388" s="63">
        <f t="shared" si="2501"/>
        <v>26151.899999999998</v>
      </c>
      <c r="BK388" s="56"/>
      <c r="BN388" s="55">
        <f t="shared" si="2502"/>
        <v>46354</v>
      </c>
      <c r="BO388" s="56"/>
      <c r="BP388" s="64">
        <f>SUMPRODUCT(PRODUCE!$B383:$DY383,PRODUCE!$EB$14:$IY$14)</f>
        <v>0</v>
      </c>
      <c r="BQ388" s="56"/>
      <c r="BR388" s="64">
        <f t="shared" si="2503"/>
        <v>0</v>
      </c>
      <c r="BS388" s="64">
        <f t="shared" si="2504"/>
        <v>0</v>
      </c>
      <c r="BT388" s="56"/>
      <c r="BW388" s="55">
        <f t="shared" si="2505"/>
        <v>46354</v>
      </c>
      <c r="BX388" s="56"/>
      <c r="BY388" s="65">
        <f>SUMPRODUCT(PRODUCE!$B383:$DY383,PRODUCE!$EB$15:$IY$15)</f>
        <v>0</v>
      </c>
      <c r="BZ388" s="56"/>
      <c r="CA388" s="65">
        <f t="shared" si="2506"/>
        <v>0</v>
      </c>
      <c r="CB388" s="65">
        <f t="shared" si="2507"/>
        <v>2097.3399999999992</v>
      </c>
      <c r="CC388" s="56"/>
      <c r="CF388" s="55">
        <f t="shared" si="2508"/>
        <v>46354</v>
      </c>
      <c r="CG388" s="56"/>
      <c r="CH388" s="66">
        <f>SUMPRODUCT(PRODUCE!$B383:$DY383,PRODUCE!$EB$16:$IY$16)</f>
        <v>0</v>
      </c>
      <c r="CI388" s="56"/>
      <c r="CJ388" s="66">
        <f t="shared" si="2509"/>
        <v>0</v>
      </c>
      <c r="CK388" s="66">
        <f t="shared" si="2510"/>
        <v>-10277.079999999998</v>
      </c>
      <c r="CL388" s="56"/>
      <c r="CO388" s="55">
        <f t="shared" si="2511"/>
        <v>46354</v>
      </c>
      <c r="CP388" s="422"/>
      <c r="CQ388" s="470">
        <f>SUMPRODUCT(PRODUCE!$B383:$DY383,PRODUCE!$EB$17:$IY$17)</f>
        <v>0</v>
      </c>
      <c r="CR388" s="422"/>
      <c r="CS388" s="470">
        <f t="shared" si="2512"/>
        <v>0</v>
      </c>
      <c r="CT388" s="470">
        <f t="shared" si="2513"/>
        <v>0</v>
      </c>
      <c r="CU388" s="56"/>
      <c r="CX388" s="55">
        <f t="shared" si="2514"/>
        <v>46354</v>
      </c>
      <c r="CY388" s="56"/>
      <c r="CZ388" s="133">
        <f>SUMPRODUCT(PRODUCE!$B383:$DY383,PRODUCE!$EB$18:$IY$18)</f>
        <v>0</v>
      </c>
      <c r="DA388" s="56"/>
      <c r="DB388" s="133">
        <f t="shared" si="2515"/>
        <v>0</v>
      </c>
      <c r="DC388" s="133">
        <f t="shared" si="2516"/>
        <v>27438.200000000012</v>
      </c>
      <c r="DD388" s="56"/>
      <c r="DG388" s="55">
        <f t="shared" si="2517"/>
        <v>46354</v>
      </c>
      <c r="DH388" s="56"/>
      <c r="DI388" s="147">
        <f>SUMPRODUCT(PRODUCE!$B383:$DY383,PRODUCE!$EB$19:$IY$19)</f>
        <v>0</v>
      </c>
      <c r="DJ388" s="56"/>
      <c r="DK388" s="147">
        <f t="shared" si="2518"/>
        <v>0</v>
      </c>
      <c r="DL388" s="147">
        <f t="shared" si="2519"/>
        <v>18782.299999999981</v>
      </c>
      <c r="DM388" s="56"/>
      <c r="DP388" s="55">
        <f t="shared" si="2520"/>
        <v>46354</v>
      </c>
      <c r="DQ388" s="56"/>
      <c r="DR388" s="57">
        <f>SUMPRODUCT(PRODUCE!$B383:$DY383,PRODUCE!$EB$20:$IY$20)</f>
        <v>0</v>
      </c>
      <c r="DS388" s="56"/>
      <c r="DT388" s="57">
        <f t="shared" si="2521"/>
        <v>0</v>
      </c>
      <c r="DU388" s="57">
        <f t="shared" si="2522"/>
        <v>5800</v>
      </c>
      <c r="DV388" s="56"/>
      <c r="DY388" s="55">
        <f t="shared" si="2523"/>
        <v>46354</v>
      </c>
      <c r="DZ388" s="56"/>
      <c r="EA388" s="157">
        <f>SUMPRODUCT(PRODUCE!$B383:$DY383,PRODUCE!$EB$21:$IY$21)</f>
        <v>0</v>
      </c>
      <c r="EB388" s="56"/>
      <c r="EC388" s="157">
        <f t="shared" si="2524"/>
        <v>0</v>
      </c>
      <c r="ED388" s="157">
        <f t="shared" si="2525"/>
        <v>0</v>
      </c>
      <c r="EE388" s="56"/>
      <c r="EH388" s="55">
        <f t="shared" si="2526"/>
        <v>46354</v>
      </c>
      <c r="EI388" s="56"/>
      <c r="EJ388" s="162">
        <f>SUMPRODUCT(PRODUCE!$B383:$DY383,PRODUCE!$EB$22:$IY$22)</f>
        <v>0</v>
      </c>
      <c r="EK388" s="56"/>
      <c r="EL388" s="162">
        <f t="shared" si="2527"/>
        <v>0</v>
      </c>
      <c r="EM388" s="162">
        <f t="shared" si="2528"/>
        <v>0</v>
      </c>
      <c r="EN388" s="56"/>
      <c r="EQ388" s="55">
        <f t="shared" si="2529"/>
        <v>46354</v>
      </c>
      <c r="ER388" s="56"/>
      <c r="ES388" s="135">
        <f>SUMPRODUCT(PRODUCE!$B383:$DY383,PRODUCE!$EB$23:$IY$23)</f>
        <v>0</v>
      </c>
      <c r="ET388" s="56"/>
      <c r="EU388" s="135">
        <f t="shared" si="2530"/>
        <v>0</v>
      </c>
      <c r="EV388" s="135">
        <f t="shared" si="2531"/>
        <v>0</v>
      </c>
      <c r="EW388" s="56"/>
      <c r="EZ388" s="55">
        <f t="shared" si="2532"/>
        <v>46354</v>
      </c>
      <c r="FA388" s="56"/>
      <c r="FB388" s="175">
        <f>SUMPRODUCT(PRODUCE!$B383:$DY383,PRODUCE!$EB$24:$IY$24)</f>
        <v>0</v>
      </c>
      <c r="FC388" s="56"/>
      <c r="FD388" s="175">
        <f t="shared" si="2533"/>
        <v>0</v>
      </c>
      <c r="FE388" s="175">
        <f t="shared" si="2534"/>
        <v>0</v>
      </c>
      <c r="FF388" s="56"/>
      <c r="FI388" s="55">
        <f t="shared" si="2535"/>
        <v>46354</v>
      </c>
      <c r="FJ388" s="56"/>
      <c r="FK388" s="183">
        <f>SUMPRODUCT(PRODUCE!$B383:$DY383,PRODUCE!$EB$25:$IY$25)</f>
        <v>0</v>
      </c>
      <c r="FL388" s="56"/>
      <c r="FM388" s="183">
        <f t="shared" si="2536"/>
        <v>0</v>
      </c>
      <c r="FN388" s="183">
        <f t="shared" si="2537"/>
        <v>0</v>
      </c>
      <c r="FO388" s="56"/>
      <c r="FR388" s="55">
        <f t="shared" si="2538"/>
        <v>46354</v>
      </c>
      <c r="FS388" s="56"/>
      <c r="FT388" s="186">
        <f>SUMPRODUCT(PRODUCE!$B383:$DY383,PRODUCE!$EB$26:$IY$26)</f>
        <v>0</v>
      </c>
      <c r="FU388" s="56"/>
      <c r="FV388" s="186">
        <f t="shared" si="2539"/>
        <v>0</v>
      </c>
      <c r="FW388" s="186">
        <f t="shared" si="2540"/>
        <v>2020</v>
      </c>
      <c r="FX388" s="56"/>
      <c r="GA388" s="55">
        <f t="shared" si="2541"/>
        <v>46354</v>
      </c>
      <c r="GB388" s="56"/>
      <c r="GC388" s="137">
        <f>SUMPRODUCT(PRODUCE!$B383:$DY383,PRODUCE!$EB$27:$IY$27)</f>
        <v>0</v>
      </c>
      <c r="GD388" s="56"/>
      <c r="GE388" s="137">
        <f t="shared" si="2542"/>
        <v>0</v>
      </c>
      <c r="GF388" s="137">
        <f t="shared" si="2543"/>
        <v>960</v>
      </c>
      <c r="GG388" s="56"/>
      <c r="GI388" s="23"/>
      <c r="GJ388" s="55">
        <f t="shared" si="2544"/>
        <v>46354</v>
      </c>
      <c r="GK388" s="56"/>
      <c r="GL388" s="199">
        <f>SUMPRODUCT(PRODUCE!$B383:$DY383,PRODUCE!$EB$28:$IY$28)</f>
        <v>0</v>
      </c>
      <c r="GM388" s="56"/>
      <c r="GN388" s="199">
        <f t="shared" si="2545"/>
        <v>0</v>
      </c>
      <c r="GO388" s="199">
        <f t="shared" si="2546"/>
        <v>1760</v>
      </c>
      <c r="GP388" s="56"/>
      <c r="GS388" s="55">
        <f t="shared" si="2547"/>
        <v>46354</v>
      </c>
      <c r="GT388" s="56"/>
      <c r="GU388" s="195">
        <f>SUMPRODUCT(PRODUCE!$B383:$DY383,PRODUCE!$EB$29:$IY$29)</f>
        <v>0</v>
      </c>
      <c r="GV388" s="56"/>
      <c r="GW388" s="195">
        <f t="shared" si="2548"/>
        <v>0</v>
      </c>
      <c r="GX388" s="195">
        <f t="shared" si="2549"/>
        <v>400</v>
      </c>
      <c r="GY388" s="56"/>
      <c r="HB388" s="55">
        <f t="shared" si="2550"/>
        <v>46354</v>
      </c>
      <c r="HC388" s="56"/>
      <c r="HD388" s="191">
        <f>SUMPRODUCT(PRODUCE!$B383:$DY383,PRODUCE!$EB$30:$IY$30)</f>
        <v>0</v>
      </c>
      <c r="HE388" s="56"/>
      <c r="HF388" s="191">
        <f t="shared" si="2551"/>
        <v>0</v>
      </c>
      <c r="HG388" s="191">
        <f t="shared" si="2552"/>
        <v>3600</v>
      </c>
      <c r="HH388" s="56"/>
      <c r="HK388" s="55">
        <f t="shared" si="2553"/>
        <v>46354</v>
      </c>
      <c r="HL388" s="56"/>
      <c r="HM388" s="63">
        <f>SUMPRODUCT(PRODUCE!$B383:$DY383,PRODUCE!$EB$31:$IY$31)</f>
        <v>0</v>
      </c>
      <c r="HN388" s="56"/>
      <c r="HO388" s="63">
        <f t="shared" si="2554"/>
        <v>0</v>
      </c>
      <c r="HP388" s="63">
        <f t="shared" si="2555"/>
        <v>0</v>
      </c>
      <c r="HQ388" s="56"/>
      <c r="HU388" s="55">
        <f t="shared" si="2556"/>
        <v>46354</v>
      </c>
      <c r="HV388" s="56"/>
      <c r="HW388" s="242">
        <f>SUMPRODUCT(PRODUCE!$B383:$DY383,PRODUCE!$EB$32:$IY$32)</f>
        <v>0</v>
      </c>
      <c r="HX388" s="56"/>
      <c r="HY388" s="242">
        <f t="shared" si="2557"/>
        <v>0</v>
      </c>
      <c r="HZ388" s="242">
        <f t="shared" si="2558"/>
        <v>6120</v>
      </c>
      <c r="IA388" s="56"/>
      <c r="ID388" s="55">
        <f t="shared" si="2559"/>
        <v>46354</v>
      </c>
      <c r="IE388" s="56"/>
      <c r="IF388" s="242">
        <f>SUMPRODUCT(PRODUCE!$B383:$DY383,PRODUCE!$EB$33:$IY$33)</f>
        <v>0</v>
      </c>
      <c r="IG388" s="56"/>
      <c r="IH388" s="242">
        <f t="shared" si="2560"/>
        <v>0</v>
      </c>
      <c r="II388" s="242">
        <f t="shared" si="2561"/>
        <v>0</v>
      </c>
      <c r="IJ388" s="56"/>
      <c r="IM388" s="55">
        <f t="shared" si="2562"/>
        <v>46354</v>
      </c>
      <c r="IN388" s="56"/>
      <c r="IO388" s="242">
        <f>SUMPRODUCT(PRODUCE!$B383:$DY383,PRODUCE!$EB$34:$IY$34)</f>
        <v>0</v>
      </c>
      <c r="IP388" s="56"/>
      <c r="IQ388" s="242">
        <f t="shared" si="2563"/>
        <v>0</v>
      </c>
      <c r="IR388" s="242">
        <f t="shared" si="2564"/>
        <v>0</v>
      </c>
      <c r="IS388" s="56"/>
      <c r="IV388" s="55">
        <f t="shared" si="2565"/>
        <v>46354</v>
      </c>
      <c r="IW388" s="56"/>
      <c r="IX388" s="242">
        <f>SUMPRODUCT(PRODUCE!$B383:$DY383,PRODUCE!$EB$35:$IY$35)</f>
        <v>0</v>
      </c>
      <c r="IY388" s="56"/>
      <c r="IZ388" s="242">
        <f t="shared" si="2566"/>
        <v>0</v>
      </c>
      <c r="JA388" s="242">
        <f t="shared" si="2567"/>
        <v>2820</v>
      </c>
      <c r="JB388" s="56"/>
      <c r="JE388" s="55">
        <f t="shared" si="2568"/>
        <v>46354</v>
      </c>
      <c r="JF388" s="56"/>
      <c r="JG388" s="242">
        <f>SUMPRODUCT(PRODUCE!$B383:$DY383,PRODUCE!$EB$36:$IY$36)</f>
        <v>0</v>
      </c>
      <c r="JH388" s="56"/>
      <c r="JI388" s="242">
        <f t="shared" si="2569"/>
        <v>0</v>
      </c>
      <c r="JJ388" s="242">
        <f t="shared" si="2570"/>
        <v>0</v>
      </c>
      <c r="JK388" s="56"/>
      <c r="JN388" s="55">
        <f t="shared" si="2571"/>
        <v>46354</v>
      </c>
      <c r="JO388" s="56"/>
      <c r="JP388" s="242">
        <f>SUMPRODUCT(PRODUCE!$B383:$DY383,PRODUCE!$EB$37:$IY$37)</f>
        <v>0</v>
      </c>
      <c r="JQ388" s="56"/>
      <c r="JR388" s="242">
        <f t="shared" si="2572"/>
        <v>0</v>
      </c>
      <c r="JS388" s="242">
        <f t="shared" si="2573"/>
        <v>0</v>
      </c>
      <c r="JT388" s="56"/>
      <c r="JW388" s="55">
        <f t="shared" si="2574"/>
        <v>46354</v>
      </c>
      <c r="JX388" s="56"/>
      <c r="JY388" s="242">
        <f>SUMPRODUCT(PRODUCE!$B383:$DY383,PRODUCE!$EB$38:$IY$38)</f>
        <v>0</v>
      </c>
      <c r="JZ388" s="56"/>
      <c r="KA388" s="242">
        <f t="shared" si="2575"/>
        <v>0</v>
      </c>
      <c r="KB388" s="242">
        <f t="shared" si="2576"/>
        <v>2540</v>
      </c>
      <c r="KC388" s="56"/>
      <c r="KF388" s="55">
        <f t="shared" si="2577"/>
        <v>46354</v>
      </c>
      <c r="KG388" s="56"/>
      <c r="KH388" s="242">
        <f>SUMPRODUCT(PRODUCE!$B383:$DY383,PRODUCE!$EB$39:$IY$39)</f>
        <v>0</v>
      </c>
      <c r="KI388" s="56"/>
      <c r="KJ388" s="242">
        <f t="shared" si="2578"/>
        <v>0</v>
      </c>
      <c r="KK388" s="242">
        <f t="shared" si="2579"/>
        <v>2359.5</v>
      </c>
      <c r="KL388" s="56"/>
      <c r="KO388" s="55">
        <f t="shared" si="2580"/>
        <v>46354</v>
      </c>
      <c r="KP388" s="56"/>
      <c r="KQ388" s="242">
        <f>SUMPRODUCT(PRODUCE!$B383:$DY383,PRODUCE!$EB$40:$IY$40)</f>
        <v>0</v>
      </c>
      <c r="KR388" s="56"/>
      <c r="KS388" s="242">
        <f t="shared" si="2581"/>
        <v>0</v>
      </c>
      <c r="KT388" s="242">
        <f t="shared" si="2582"/>
        <v>1890</v>
      </c>
      <c r="KU388" s="56"/>
      <c r="KW388" s="23"/>
      <c r="KX388" s="55">
        <f t="shared" si="2583"/>
        <v>46354</v>
      </c>
      <c r="KY388" s="56"/>
      <c r="KZ388" s="242">
        <f>SUMPRODUCT(PRODUCE!$B383:$DY383,PRODUCE!$EB$41:$IY$41)</f>
        <v>0</v>
      </c>
      <c r="LA388" s="56"/>
      <c r="LB388" s="242">
        <f t="shared" si="2584"/>
        <v>0</v>
      </c>
      <c r="LC388" s="242">
        <f t="shared" si="2585"/>
        <v>3690</v>
      </c>
      <c r="LD388" s="56"/>
      <c r="LG388" s="55">
        <f t="shared" si="2586"/>
        <v>46354</v>
      </c>
      <c r="LH388" s="56"/>
      <c r="LI388" s="242">
        <f>SUMPRODUCT(PRODUCE!$B383:$DY383,PRODUCE!$EB$42:$IY$42)</f>
        <v>0</v>
      </c>
      <c r="LJ388" s="56"/>
      <c r="LK388" s="242">
        <f t="shared" si="2587"/>
        <v>0</v>
      </c>
      <c r="LL388" s="242">
        <f t="shared" si="2588"/>
        <v>4000</v>
      </c>
      <c r="LM388" s="56"/>
      <c r="LP388" s="55">
        <f t="shared" si="2589"/>
        <v>46354</v>
      </c>
      <c r="LQ388" s="56"/>
      <c r="LR388" s="242">
        <f>SUMPRODUCT(PRODUCE!$B403:$DY403,PRODUCE!$EB$43:$IY$43)</f>
        <v>0</v>
      </c>
      <c r="LS388" s="56"/>
      <c r="LT388" s="242">
        <f t="shared" si="2590"/>
        <v>0</v>
      </c>
      <c r="LU388" s="242">
        <f t="shared" si="2591"/>
        <v>0</v>
      </c>
      <c r="LV388" s="56"/>
      <c r="LY388" s="55">
        <f t="shared" si="2592"/>
        <v>46354</v>
      </c>
      <c r="LZ388" s="56"/>
      <c r="MA388" s="242">
        <f>SUMPRODUCT(PRODUCE!$B383:$DY383,PRODUCE!$EB$44:$IY$44)</f>
        <v>0</v>
      </c>
      <c r="MB388" s="56"/>
      <c r="MC388" s="242">
        <f t="shared" si="2593"/>
        <v>0</v>
      </c>
      <c r="MD388" s="242">
        <f t="shared" si="2594"/>
        <v>0</v>
      </c>
      <c r="ME388" s="56"/>
      <c r="MH388" s="55">
        <f t="shared" si="2595"/>
        <v>46354</v>
      </c>
      <c r="MI388" s="56"/>
      <c r="MJ388" s="242">
        <f>SUMPRODUCT(PRODUCE!$B383:$DY383,PRODUCE!$EB$45:$IY$45)</f>
        <v>0</v>
      </c>
      <c r="MK388" s="56"/>
      <c r="ML388" s="242">
        <f t="shared" si="2596"/>
        <v>0</v>
      </c>
      <c r="MM388" s="242">
        <f t="shared" si="2597"/>
        <v>0</v>
      </c>
      <c r="MN388" s="56"/>
      <c r="MQ388" s="55">
        <f t="shared" si="2598"/>
        <v>46354</v>
      </c>
      <c r="MR388" s="56"/>
      <c r="MS388" s="242">
        <f>SUMPRODUCT(PRODUCE!$B383:$DY383,PRODUCE!$EB$46:$IY$46)</f>
        <v>0</v>
      </c>
      <c r="MT388" s="56"/>
      <c r="MU388" s="242">
        <f t="shared" si="2599"/>
        <v>0</v>
      </c>
      <c r="MV388" s="242">
        <f t="shared" si="2600"/>
        <v>1625</v>
      </c>
      <c r="MW388" s="56"/>
      <c r="MZ388" s="55">
        <f t="shared" si="2601"/>
        <v>46354</v>
      </c>
      <c r="NA388" s="56"/>
      <c r="NB388" s="242">
        <f>SUMPRODUCT(PRODUCE!$B383:$DY383,PRODUCE!$EB$47:$IY$47)</f>
        <v>0</v>
      </c>
      <c r="NC388" s="56"/>
      <c r="ND388" s="242">
        <f t="shared" si="2602"/>
        <v>0</v>
      </c>
      <c r="NE388" s="242">
        <f t="shared" si="2603"/>
        <v>0</v>
      </c>
      <c r="NF388" s="56"/>
      <c r="NI388" s="55">
        <f t="shared" si="2604"/>
        <v>46354</v>
      </c>
      <c r="NJ388" s="56"/>
      <c r="NK388" s="242">
        <f>SUMPRODUCT(PRODUCE!$B383:$DY383,PRODUCE!$EB$48:$IY$48)</f>
        <v>0</v>
      </c>
      <c r="NL388" s="56"/>
      <c r="NM388" s="242">
        <f t="shared" si="2605"/>
        <v>0</v>
      </c>
      <c r="NN388" s="242">
        <f t="shared" si="2606"/>
        <v>1127</v>
      </c>
      <c r="NO388" s="56"/>
      <c r="NR388" s="55">
        <f t="shared" si="2607"/>
        <v>46354</v>
      </c>
      <c r="NS388" s="56"/>
      <c r="NT388" s="242">
        <f>SUMPRODUCT(PRODUCE!$B383:$DY383,PRODUCE!$EB$49:$IY$49)</f>
        <v>0</v>
      </c>
      <c r="NU388" s="56"/>
      <c r="NV388" s="242">
        <f t="shared" si="2608"/>
        <v>0</v>
      </c>
      <c r="NW388" s="242">
        <f t="shared" si="2609"/>
        <v>3111.9999999999995</v>
      </c>
      <c r="NX388" s="56"/>
      <c r="OA388" s="55">
        <f t="shared" si="2610"/>
        <v>46354</v>
      </c>
      <c r="OB388" s="56"/>
      <c r="OC388" s="242">
        <f>SUMPRODUCT(PRODUCE!$B383:$DY383,PRODUCE!$EB$50:$IY$50)</f>
        <v>0</v>
      </c>
      <c r="OD388" s="56"/>
      <c r="OE388" s="242">
        <f t="shared" si="2611"/>
        <v>0</v>
      </c>
      <c r="OF388" s="242">
        <f t="shared" si="2612"/>
        <v>1680.5</v>
      </c>
      <c r="OG388" s="56"/>
      <c r="OJ388" s="55">
        <f t="shared" si="2613"/>
        <v>46354</v>
      </c>
      <c r="OK388" s="56"/>
      <c r="OL388" s="242">
        <f>SUMPRODUCT(PRODUCE!$B383:$DY383,PRODUCE!$EB$51:$IY$51)</f>
        <v>0</v>
      </c>
      <c r="OM388" s="56"/>
      <c r="ON388" s="242">
        <f t="shared" si="2614"/>
        <v>0</v>
      </c>
      <c r="OO388" s="242">
        <f t="shared" si="2615"/>
        <v>0</v>
      </c>
      <c r="OP388" s="56"/>
      <c r="OS388" s="55">
        <f t="shared" si="2616"/>
        <v>46354</v>
      </c>
      <c r="OT388" s="56"/>
      <c r="OU388" s="242">
        <f>SUMPRODUCT(PRODUCE!$B383:$DY383,PRODUCE!$EB$52:$IY$52)</f>
        <v>0</v>
      </c>
      <c r="OV388" s="56"/>
      <c r="OW388" s="242">
        <f t="shared" si="2617"/>
        <v>0</v>
      </c>
      <c r="OX388" s="242">
        <f t="shared" si="2618"/>
        <v>1482</v>
      </c>
      <c r="OY388" s="56"/>
      <c r="PB388" s="55">
        <f t="shared" si="2619"/>
        <v>46354</v>
      </c>
      <c r="PC388" s="56"/>
      <c r="PD388" s="242">
        <f>SUMPRODUCT(PRODUCE!$B383:$DY383,PRODUCE!$EB$53:$IY$53)</f>
        <v>0</v>
      </c>
      <c r="PE388" s="56"/>
      <c r="PF388" s="242">
        <f t="shared" si="2620"/>
        <v>0</v>
      </c>
      <c r="PG388" s="242">
        <f t="shared" si="2621"/>
        <v>0</v>
      </c>
      <c r="PH388" s="56"/>
      <c r="PK388" s="55">
        <f t="shared" si="2622"/>
        <v>46354</v>
      </c>
      <c r="PL388" s="56"/>
      <c r="PM388" s="242">
        <f>SUMPRODUCT(PRODUCE!$B383:$DY383,PRODUCE!$EB$54:$IY$54)</f>
        <v>0</v>
      </c>
      <c r="PN388" s="56"/>
      <c r="PO388" s="242">
        <f t="shared" si="2623"/>
        <v>0</v>
      </c>
      <c r="PP388" s="242">
        <f t="shared" si="2624"/>
        <v>100</v>
      </c>
      <c r="PQ388" s="56"/>
      <c r="PT388" s="55">
        <f t="shared" si="2625"/>
        <v>46354</v>
      </c>
      <c r="PU388" s="56"/>
      <c r="PV388" s="242">
        <f>SUMPRODUCT(PRODUCE!$B383:$DY383,PRODUCE!$EB$55:$IY$55)</f>
        <v>0</v>
      </c>
      <c r="PW388" s="56"/>
      <c r="PX388" s="242">
        <f t="shared" si="2626"/>
        <v>0</v>
      </c>
      <c r="PY388" s="242">
        <f t="shared" si="2627"/>
        <v>13.960000000000036</v>
      </c>
      <c r="PZ388" s="56"/>
      <c r="QC388" s="55">
        <f t="shared" si="2628"/>
        <v>46354</v>
      </c>
      <c r="QD388" s="56"/>
      <c r="QE388" s="242">
        <f>SUMPRODUCT(PRODUCE!$B383:$DY383,PRODUCE!$EB$56:$IY$56)</f>
        <v>0</v>
      </c>
      <c r="QF388" s="56"/>
      <c r="QG388" s="242">
        <f t="shared" si="2629"/>
        <v>0</v>
      </c>
      <c r="QH388" s="242">
        <f t="shared" si="2630"/>
        <v>548</v>
      </c>
      <c r="QI388" s="56"/>
      <c r="QL388" s="55">
        <f t="shared" si="2631"/>
        <v>46354</v>
      </c>
      <c r="QM388" s="56"/>
      <c r="QN388" s="242">
        <f>SUMPRODUCT(PRODUCE!$B383:$DY383,PRODUCE!$EB$57:$IY$57)</f>
        <v>0</v>
      </c>
      <c r="QO388" s="56"/>
      <c r="QP388" s="242">
        <f t="shared" si="2632"/>
        <v>0</v>
      </c>
      <c r="QQ388" s="242">
        <f t="shared" si="2633"/>
        <v>0</v>
      </c>
      <c r="QR388" s="56"/>
      <c r="QU388" s="55">
        <f t="shared" si="2634"/>
        <v>46354</v>
      </c>
      <c r="QV388" s="56"/>
      <c r="QW388" s="242">
        <f>SUMPRODUCT(PRODUCE!$B383:$DY383,PRODUCE!$EB$57:$IY$57)</f>
        <v>0</v>
      </c>
      <c r="QX388" s="56"/>
      <c r="QY388" s="242">
        <f t="shared" si="2635"/>
        <v>0</v>
      </c>
      <c r="QZ388" s="242">
        <f t="shared" si="2636"/>
        <v>0</v>
      </c>
      <c r="RA388" s="56"/>
      <c r="RD388" s="55">
        <f t="shared" si="2637"/>
        <v>46354</v>
      </c>
      <c r="RE388" s="56"/>
      <c r="RF388" s="242">
        <f>SUMPRODUCT(PRODUCE!$B383:$DY383,PRODUCE!$EB$58:$IY$58)</f>
        <v>0</v>
      </c>
      <c r="RG388" s="56"/>
      <c r="RH388" s="242">
        <f t="shared" si="2638"/>
        <v>0</v>
      </c>
      <c r="RI388" s="242">
        <f t="shared" si="2639"/>
        <v>147.04000000000002</v>
      </c>
      <c r="RJ388" s="56"/>
      <c r="RM388" s="55">
        <f t="shared" si="2640"/>
        <v>46354</v>
      </c>
      <c r="RN388" s="56"/>
      <c r="RO388" s="242">
        <f>SUMPRODUCT(PRODUCE!$B383:$DY383,PRODUCE!$EB$57:$IY$57)</f>
        <v>0</v>
      </c>
      <c r="RP388" s="56"/>
      <c r="RQ388" s="242">
        <f t="shared" si="2641"/>
        <v>0</v>
      </c>
      <c r="RR388" s="242">
        <f t="shared" si="2642"/>
        <v>46.8</v>
      </c>
      <c r="RS388" s="56"/>
      <c r="RV388" s="55">
        <f t="shared" si="2643"/>
        <v>46354</v>
      </c>
      <c r="RW388" s="56"/>
      <c r="RX388" s="242">
        <f>SUMPRODUCT(PRODUCE!$B383:$DY383,PRODUCE!$EB$57:$IY$57)</f>
        <v>0</v>
      </c>
      <c r="RY388" s="56"/>
      <c r="RZ388" s="242">
        <f t="shared" si="2644"/>
        <v>0</v>
      </c>
      <c r="SA388" s="242">
        <f t="shared" si="2645"/>
        <v>0</v>
      </c>
      <c r="SB388" s="56"/>
      <c r="SE388" s="55">
        <f t="shared" si="2646"/>
        <v>46354</v>
      </c>
      <c r="SF388" s="56"/>
      <c r="SG388" s="242">
        <f>SUMPRODUCT(PRODUCE!$B383:$DY383,PRODUCE!$EB$61:$IY$61)</f>
        <v>0</v>
      </c>
      <c r="SH388" s="56"/>
      <c r="SI388" s="242">
        <f t="shared" si="2647"/>
        <v>0</v>
      </c>
      <c r="SJ388" s="242">
        <f t="shared" si="2648"/>
        <v>24.200000000000003</v>
      </c>
      <c r="SK388" s="56"/>
      <c r="SN388" s="55">
        <f t="shared" si="2649"/>
        <v>46354</v>
      </c>
      <c r="SO388" s="56"/>
      <c r="SP388" s="242">
        <f>SUMPRODUCT(PRODUCE!$B383:$DY383,PRODUCE!$EB$57:$IY$57)</f>
        <v>0</v>
      </c>
      <c r="SQ388" s="56"/>
      <c r="SR388" s="242">
        <f t="shared" si="2650"/>
        <v>0</v>
      </c>
      <c r="SS388" s="242">
        <f t="shared" si="2651"/>
        <v>32</v>
      </c>
      <c r="ST388" s="56"/>
      <c r="SW388" s="55">
        <f t="shared" si="2652"/>
        <v>46354</v>
      </c>
      <c r="SX388" s="56"/>
      <c r="SY388" s="242">
        <f>SUMPRODUCT(PRODUCE!$B383:$DY383,PRODUCE!$EB$57:$IY$57)</f>
        <v>0</v>
      </c>
      <c r="SZ388" s="56"/>
      <c r="TA388" s="242">
        <f t="shared" si="2653"/>
        <v>0</v>
      </c>
      <c r="TB388" s="242">
        <f t="shared" si="2654"/>
        <v>0</v>
      </c>
      <c r="TC388" s="56"/>
      <c r="TF388" s="55">
        <f t="shared" si="2655"/>
        <v>46354</v>
      </c>
      <c r="TG388" s="56"/>
      <c r="TH388" s="242">
        <f>SUMPRODUCT(PRODUCE!$B383:$DY383,PRODUCE!$EB$57:$IY$57)</f>
        <v>0</v>
      </c>
      <c r="TI388" s="56"/>
      <c r="TJ388" s="242">
        <f t="shared" si="2656"/>
        <v>0</v>
      </c>
      <c r="TK388" s="242">
        <f t="shared" si="2657"/>
        <v>0</v>
      </c>
      <c r="TL388" s="56"/>
      <c r="TO388" s="55">
        <f t="shared" si="2658"/>
        <v>46354</v>
      </c>
      <c r="TP388" s="56"/>
      <c r="TQ388" s="242">
        <f>SUMPRODUCT(PRODUCE!$B383:$DY383,PRODUCE!$EB$57:$IY$57)</f>
        <v>0</v>
      </c>
      <c r="TR388" s="56"/>
      <c r="TS388" s="242">
        <f t="shared" si="2659"/>
        <v>0</v>
      </c>
      <c r="TT388" s="242">
        <f t="shared" si="2660"/>
        <v>0</v>
      </c>
      <c r="TU388" s="56"/>
      <c r="TX388" s="55">
        <f t="shared" si="2661"/>
        <v>46354</v>
      </c>
      <c r="TY388" s="56"/>
      <c r="TZ388" s="242">
        <f>SUMPRODUCT(PRODUCE!$B383:$DY383,PRODUCE!$EB$57:$IY$57)</f>
        <v>0</v>
      </c>
      <c r="UA388" s="56"/>
      <c r="UB388" s="242">
        <f t="shared" si="2662"/>
        <v>0</v>
      </c>
      <c r="UC388" s="242">
        <f t="shared" si="2663"/>
        <v>46.799999999999983</v>
      </c>
      <c r="UD388" s="56"/>
      <c r="UG388" s="55">
        <f t="shared" si="2664"/>
        <v>46354</v>
      </c>
      <c r="UH388" s="56"/>
      <c r="UI388" s="242">
        <f>SUMPRODUCT(PRODUCE!$B383:$DY383,PRODUCE!$EB$57:$IY$57)</f>
        <v>0</v>
      </c>
      <c r="UJ388" s="56"/>
      <c r="UK388" s="242">
        <f t="shared" si="2665"/>
        <v>0</v>
      </c>
      <c r="UL388" s="242">
        <f t="shared" si="2666"/>
        <v>204</v>
      </c>
      <c r="UM388" s="56"/>
      <c r="UP388" s="55">
        <f t="shared" si="2667"/>
        <v>46354</v>
      </c>
      <c r="UQ388" s="56"/>
      <c r="UR388" s="242">
        <f>SUMPRODUCT(PRODUCE!$B383:$DY383,PRODUCE!$EB$57:$IY$57)</f>
        <v>0</v>
      </c>
      <c r="US388" s="56"/>
      <c r="UT388" s="242">
        <f t="shared" si="2668"/>
        <v>0</v>
      </c>
      <c r="UU388" s="242">
        <f t="shared" si="2669"/>
        <v>202.5</v>
      </c>
      <c r="UV388" s="56"/>
      <c r="UY388" s="55">
        <f t="shared" si="2670"/>
        <v>46354</v>
      </c>
      <c r="UZ388" s="56"/>
      <c r="VA388" s="242">
        <f>SUMPRODUCT(PRODUCE!$B383:$DY383,PRODUCE!$EB$57:$IY$57)</f>
        <v>0</v>
      </c>
      <c r="VB388" s="56"/>
      <c r="VC388" s="242">
        <f t="shared" si="2671"/>
        <v>0</v>
      </c>
      <c r="VD388" s="242">
        <f t="shared" si="2672"/>
        <v>41.600000000000023</v>
      </c>
      <c r="VE388" s="56"/>
      <c r="VH388" s="55">
        <f t="shared" si="2673"/>
        <v>46354</v>
      </c>
      <c r="VI388" s="56"/>
      <c r="VJ388" s="242">
        <f>SUMPRODUCT(PRODUCE!$B383:$DY383,PRODUCE!$EB$57:$IY$57)</f>
        <v>0</v>
      </c>
      <c r="VK388" s="56"/>
      <c r="VL388" s="242">
        <f t="shared" si="2674"/>
        <v>0</v>
      </c>
      <c r="VM388" s="242">
        <f t="shared" si="2675"/>
        <v>210</v>
      </c>
      <c r="VN388" s="56"/>
      <c r="VQ388" s="55">
        <f t="shared" si="2676"/>
        <v>46354</v>
      </c>
      <c r="VR388" s="56"/>
      <c r="VS388" s="242">
        <f>SUMPRODUCT(PRODUCE!$B383:$DY383,PRODUCE!$EB$57:$IY$57)</f>
        <v>0</v>
      </c>
      <c r="VT388" s="56"/>
      <c r="VU388" s="242">
        <f t="shared" si="2677"/>
        <v>0</v>
      </c>
      <c r="VV388" s="242">
        <f t="shared" si="2678"/>
        <v>0</v>
      </c>
      <c r="VW388" s="56"/>
      <c r="VZ388" s="55">
        <f t="shared" si="2679"/>
        <v>46354</v>
      </c>
      <c r="WA388" s="56"/>
      <c r="WB388" s="242">
        <f>SUMPRODUCT(PRODUCE!$B383:$DY383,PRODUCE!$EB$57:$IY$57)</f>
        <v>0</v>
      </c>
      <c r="WC388" s="56"/>
      <c r="WD388" s="242">
        <f t="shared" si="2680"/>
        <v>0</v>
      </c>
      <c r="WE388" s="242">
        <f t="shared" si="2681"/>
        <v>0</v>
      </c>
      <c r="WF388" s="56"/>
      <c r="WI388" s="55">
        <f t="shared" si="2682"/>
        <v>46354</v>
      </c>
      <c r="WJ388" s="56"/>
      <c r="WK388" s="242">
        <f>SUMPRODUCT(PRODUCE!$B383:$DY383,PRODUCE!$EB$57:$IY$57)</f>
        <v>0</v>
      </c>
      <c r="WL388" s="56"/>
      <c r="WM388" s="242">
        <f t="shared" si="2683"/>
        <v>0</v>
      </c>
      <c r="WN388" s="242">
        <f t="shared" si="2684"/>
        <v>1057</v>
      </c>
      <c r="WO388" s="56"/>
      <c r="WR388" s="55">
        <f t="shared" si="2685"/>
        <v>46354</v>
      </c>
      <c r="WS388" s="56"/>
      <c r="WT388" s="242">
        <f>SUMPRODUCT(PRODUCE!$B383:$DY383,PRODUCE!$EB$57:$IY$57)</f>
        <v>0</v>
      </c>
      <c r="WU388" s="56"/>
      <c r="WV388" s="242">
        <f t="shared" si="2686"/>
        <v>0</v>
      </c>
      <c r="WW388" s="242">
        <f t="shared" si="2687"/>
        <v>0</v>
      </c>
      <c r="WX388" s="56"/>
      <c r="XA388" s="55">
        <f t="shared" si="2688"/>
        <v>46354</v>
      </c>
      <c r="XB388" s="56"/>
      <c r="XC388" s="242">
        <f>SUMPRODUCT(PRODUCE!$B383:$DY383,PRODUCE!$EB$57:$IY$57)</f>
        <v>0</v>
      </c>
      <c r="XD388" s="56"/>
      <c r="XE388" s="242">
        <f t="shared" si="2689"/>
        <v>0</v>
      </c>
      <c r="XF388" s="242">
        <f t="shared" si="2690"/>
        <v>7507</v>
      </c>
      <c r="XG388" s="56"/>
      <c r="XJ388" s="55">
        <f t="shared" si="2691"/>
        <v>46354</v>
      </c>
      <c r="XK388" s="56"/>
      <c r="XL388" s="242">
        <f>SUMPRODUCT(PRODUCE!$B383:$DY383,PRODUCE!$EB$57:$IY$57)</f>
        <v>0</v>
      </c>
      <c r="XM388" s="56"/>
      <c r="XN388" s="242">
        <f t="shared" si="2692"/>
        <v>0</v>
      </c>
      <c r="XO388" s="242">
        <f t="shared" si="2693"/>
        <v>4252</v>
      </c>
      <c r="XP388" s="56"/>
      <c r="XS388" s="55">
        <f t="shared" si="2694"/>
        <v>46354</v>
      </c>
      <c r="XT388" s="56"/>
      <c r="XU388" s="242">
        <f>SUMPRODUCT(PRODUCE!$B383:$DY383,PRODUCE!$EB$57:$IY$57)</f>
        <v>0</v>
      </c>
      <c r="XV388" s="56"/>
      <c r="XW388" s="242">
        <f t="shared" si="2695"/>
        <v>0</v>
      </c>
      <c r="XX388" s="242">
        <f t="shared" si="2696"/>
        <v>2179</v>
      </c>
      <c r="XY388" s="56"/>
      <c r="YB388" s="55">
        <f t="shared" si="2697"/>
        <v>46354</v>
      </c>
      <c r="YC388" s="56"/>
      <c r="YD388" s="242">
        <f>SUMPRODUCT(PRODUCE!$B383:$DY383,PRODUCE!$EB$57:$IY$57)</f>
        <v>0</v>
      </c>
      <c r="YE388" s="56"/>
      <c r="YF388" s="242">
        <f t="shared" si="2698"/>
        <v>0</v>
      </c>
      <c r="YG388" s="242">
        <f t="shared" si="2699"/>
        <v>4019</v>
      </c>
      <c r="YH388" s="56"/>
      <c r="YK388" s="55">
        <f t="shared" si="2700"/>
        <v>46354</v>
      </c>
      <c r="YL388" s="56"/>
      <c r="YM388" s="242">
        <f>SUMPRODUCT(PRODUCE!$B383:$DY383,PRODUCE!$EB$57:$IY$57)</f>
        <v>0</v>
      </c>
      <c r="YN388" s="56"/>
      <c r="YO388" s="242">
        <f t="shared" si="2701"/>
        <v>0</v>
      </c>
      <c r="YP388" s="242">
        <f t="shared" si="2702"/>
        <v>-218</v>
      </c>
      <c r="YQ388" s="56"/>
      <c r="YT388" s="55">
        <f t="shared" si="2703"/>
        <v>46354</v>
      </c>
      <c r="YU388" s="56"/>
      <c r="YV388" s="242">
        <f>SUMPRODUCT(PRODUCE!$B383:$DY383,PRODUCE!$EB$57:$IY$57)</f>
        <v>0</v>
      </c>
      <c r="YW388" s="56"/>
      <c r="YX388" s="242">
        <f t="shared" si="2704"/>
        <v>0</v>
      </c>
      <c r="YY388" s="242">
        <f t="shared" si="2705"/>
        <v>0</v>
      </c>
      <c r="YZ388" s="56"/>
      <c r="ZC388" s="55">
        <f t="shared" si="2706"/>
        <v>46354</v>
      </c>
      <c r="ZD388" s="56"/>
      <c r="ZE388" s="242">
        <f>SUMPRODUCT(PRODUCE!$B383:$DY383,PRODUCE!$EB$57:$IY$57)</f>
        <v>0</v>
      </c>
      <c r="ZF388" s="56"/>
      <c r="ZG388" s="242">
        <f t="shared" si="2707"/>
        <v>0</v>
      </c>
      <c r="ZH388" s="242">
        <f t="shared" si="2708"/>
        <v>0</v>
      </c>
      <c r="ZI388" s="56"/>
      <c r="ZL388" s="55">
        <f t="shared" si="2709"/>
        <v>46354</v>
      </c>
      <c r="ZM388" s="56"/>
      <c r="ZN388" s="242">
        <f>SUMPRODUCT(PRODUCE!$B383:$DY383,PRODUCE!$EB$57:$IY$57)</f>
        <v>0</v>
      </c>
      <c r="ZO388" s="56"/>
      <c r="ZP388" s="242">
        <f t="shared" si="2710"/>
        <v>0</v>
      </c>
      <c r="ZQ388" s="242">
        <f t="shared" si="2711"/>
        <v>0</v>
      </c>
      <c r="ZR388" s="56"/>
      <c r="ZU388" s="55">
        <f t="shared" si="2712"/>
        <v>46354</v>
      </c>
      <c r="ZV388" s="56"/>
      <c r="ZW388" s="242">
        <f>SUMPRODUCT(PRODUCE!$B383:$DY383,PRODUCE!$EB$57:$IY$57)</f>
        <v>0</v>
      </c>
      <c r="ZX388" s="56"/>
      <c r="ZY388" s="242">
        <f t="shared" si="2713"/>
        <v>0</v>
      </c>
      <c r="ZZ388" s="242">
        <f t="shared" si="2714"/>
        <v>0</v>
      </c>
      <c r="AAA388" s="56"/>
      <c r="AAD388" s="55">
        <f t="shared" si="2715"/>
        <v>46354</v>
      </c>
      <c r="AAE388" s="56"/>
      <c r="AAF388" s="242">
        <f>SUMPRODUCT(PRODUCE!$B383:$DY383,PRODUCE!$EB$57:$IY$57)</f>
        <v>0</v>
      </c>
      <c r="AAG388" s="56"/>
      <c r="AAH388" s="242">
        <f t="shared" si="2716"/>
        <v>0</v>
      </c>
      <c r="AAI388" s="242">
        <f t="shared" si="2717"/>
        <v>0</v>
      </c>
      <c r="AAJ388" s="56"/>
      <c r="AAM388" s="55">
        <f t="shared" si="2718"/>
        <v>46354</v>
      </c>
      <c r="AAN388" s="56"/>
      <c r="AAO388" s="242">
        <f>SUMPRODUCT(PRODUCE!$B383:$DY383,PRODUCE!$EB$57:$IY$57)</f>
        <v>0</v>
      </c>
      <c r="AAP388" s="56"/>
      <c r="AAQ388" s="242">
        <f t="shared" si="2719"/>
        <v>0</v>
      </c>
      <c r="AAR388" s="242">
        <f t="shared" si="2720"/>
        <v>0</v>
      </c>
      <c r="AAS388" s="56"/>
      <c r="AAV388" s="55">
        <f t="shared" si="2721"/>
        <v>46354</v>
      </c>
      <c r="AAW388" s="56"/>
      <c r="AAX388" s="242">
        <f>SUMPRODUCT(PRODUCE!$B383:$DY383,PRODUCE!$EB$57:$IY$57)</f>
        <v>0</v>
      </c>
      <c r="AAY388" s="56"/>
      <c r="AAZ388" s="242">
        <f t="shared" si="2722"/>
        <v>0</v>
      </c>
      <c r="ABA388" s="242">
        <f t="shared" si="2723"/>
        <v>0</v>
      </c>
      <c r="ABB388" s="56"/>
      <c r="ABE388" s="55">
        <f t="shared" si="2724"/>
        <v>46354</v>
      </c>
      <c r="ABF388" s="56"/>
      <c r="ABG388" s="242">
        <f>SUMPRODUCT(PRODUCE!$B383:$DY383,PRODUCE!$EB$57:$IY$57)</f>
        <v>0</v>
      </c>
      <c r="ABH388" s="56"/>
      <c r="ABI388" s="242">
        <f t="shared" si="2725"/>
        <v>0</v>
      </c>
      <c r="ABJ388" s="242">
        <f t="shared" si="2726"/>
        <v>0</v>
      </c>
      <c r="ABK388" s="56"/>
    </row>
    <row r="389" spans="1:739" s="54" customFormat="1" ht="15" customHeight="1" outlineLevel="1">
      <c r="B389" s="478"/>
      <c r="C389" s="55">
        <v>46355</v>
      </c>
      <c r="D389" s="56"/>
      <c r="E389" s="57">
        <f>SUMPRODUCT(PRODUCE!$B384:$DY384,PRODUCE!$EB$7:$IY$7)</f>
        <v>0</v>
      </c>
      <c r="F389" s="56"/>
      <c r="G389" s="57">
        <f t="shared" si="2482"/>
        <v>0</v>
      </c>
      <c r="H389" s="57">
        <f t="shared" si="2483"/>
        <v>236936.6</v>
      </c>
      <c r="I389" s="289"/>
      <c r="L389" s="55">
        <f t="shared" si="2484"/>
        <v>46355</v>
      </c>
      <c r="M389" s="56"/>
      <c r="N389" s="59">
        <f>SUMPRODUCT(PRODUCE!$B384:$DY384,PRODUCE!$EB$8:$IY$8)</f>
        <v>0</v>
      </c>
      <c r="O389" s="56"/>
      <c r="P389" s="59">
        <f t="shared" si="2485"/>
        <v>0</v>
      </c>
      <c r="Q389" s="59">
        <f t="shared" si="2486"/>
        <v>53017.600000000071</v>
      </c>
      <c r="R389" s="56"/>
      <c r="U389" s="55">
        <f t="shared" si="2487"/>
        <v>46355</v>
      </c>
      <c r="V389" s="56"/>
      <c r="W389" s="60">
        <f>SUMPRODUCT(PRODUCE!$B384:$DY384,PRODUCE!$EB$9:$IY$9)</f>
        <v>0</v>
      </c>
      <c r="X389" s="56"/>
      <c r="Y389" s="60">
        <f t="shared" si="2488"/>
        <v>0</v>
      </c>
      <c r="Z389" s="60">
        <f t="shared" si="2489"/>
        <v>42674.199999999968</v>
      </c>
      <c r="AA389" s="56"/>
      <c r="AD389" s="55">
        <f t="shared" si="2490"/>
        <v>46355</v>
      </c>
      <c r="AE389" s="56"/>
      <c r="AF389" s="61">
        <f>SUMPRODUCT(PRODUCE!$B384:$DY384,PRODUCE!$EB$10:$IY$10)</f>
        <v>0</v>
      </c>
      <c r="AG389" s="56"/>
      <c r="AH389" s="61">
        <f t="shared" si="2491"/>
        <v>0</v>
      </c>
      <c r="AI389" s="61">
        <f t="shared" si="2492"/>
        <v>4522.2000000000189</v>
      </c>
      <c r="AJ389" s="56"/>
      <c r="AM389" s="55">
        <f t="shared" si="2493"/>
        <v>46355</v>
      </c>
      <c r="AN389" s="422"/>
      <c r="AO389" s="444">
        <f>SUMPRODUCT(PRODUCE!$B384:$DY384,PRODUCE!$EB$11:$IY$11)</f>
        <v>0</v>
      </c>
      <c r="AP389" s="422"/>
      <c r="AQ389" s="444">
        <f t="shared" si="2494"/>
        <v>0</v>
      </c>
      <c r="AR389" s="444">
        <f t="shared" si="2495"/>
        <v>0</v>
      </c>
      <c r="AS389" s="56"/>
      <c r="AV389" s="55">
        <f t="shared" si="2496"/>
        <v>46355</v>
      </c>
      <c r="AW389" s="56"/>
      <c r="AX389" s="62">
        <f>SUMPRODUCT(PRODUCE!$B384:$DY384,PRODUCE!$EB$12:$IY$12)</f>
        <v>0</v>
      </c>
      <c r="AY389" s="56"/>
      <c r="AZ389" s="62">
        <f t="shared" si="2497"/>
        <v>0</v>
      </c>
      <c r="BA389" s="62">
        <f t="shared" si="2498"/>
        <v>124.99999999999523</v>
      </c>
      <c r="BB389" s="56"/>
      <c r="BE389" s="55">
        <f t="shared" si="2499"/>
        <v>46355</v>
      </c>
      <c r="BF389" s="56"/>
      <c r="BG389" s="63">
        <f>SUMPRODUCT(PRODUCE!$B384:$DY384,PRODUCE!$EB$13:$IY$13)</f>
        <v>0</v>
      </c>
      <c r="BH389" s="56"/>
      <c r="BI389" s="63">
        <f t="shared" si="2500"/>
        <v>0</v>
      </c>
      <c r="BJ389" s="63">
        <f t="shared" si="2501"/>
        <v>26151.899999999998</v>
      </c>
      <c r="BK389" s="56"/>
      <c r="BN389" s="55">
        <f t="shared" si="2502"/>
        <v>46355</v>
      </c>
      <c r="BO389" s="56"/>
      <c r="BP389" s="64">
        <f>SUMPRODUCT(PRODUCE!$B384:$DY384,PRODUCE!$EB$14:$IY$14)</f>
        <v>0</v>
      </c>
      <c r="BQ389" s="56"/>
      <c r="BR389" s="64">
        <f t="shared" si="2503"/>
        <v>0</v>
      </c>
      <c r="BS389" s="64">
        <f t="shared" si="2504"/>
        <v>0</v>
      </c>
      <c r="BT389" s="56"/>
      <c r="BW389" s="55">
        <f t="shared" si="2505"/>
        <v>46355</v>
      </c>
      <c r="BX389" s="56"/>
      <c r="BY389" s="65">
        <f>SUMPRODUCT(PRODUCE!$B384:$DY384,PRODUCE!$EB$15:$IY$15)</f>
        <v>0</v>
      </c>
      <c r="BZ389" s="56"/>
      <c r="CA389" s="65">
        <f t="shared" si="2506"/>
        <v>0</v>
      </c>
      <c r="CB389" s="65">
        <f t="shared" si="2507"/>
        <v>2097.3399999999992</v>
      </c>
      <c r="CC389" s="56"/>
      <c r="CF389" s="55">
        <f t="shared" si="2508"/>
        <v>46355</v>
      </c>
      <c r="CG389" s="56"/>
      <c r="CH389" s="66">
        <f>SUMPRODUCT(PRODUCE!$B384:$DY384,PRODUCE!$EB$16:$IY$16)</f>
        <v>0</v>
      </c>
      <c r="CI389" s="56"/>
      <c r="CJ389" s="66">
        <f t="shared" si="2509"/>
        <v>0</v>
      </c>
      <c r="CK389" s="66">
        <f t="shared" si="2510"/>
        <v>-10277.079999999998</v>
      </c>
      <c r="CL389" s="56"/>
      <c r="CO389" s="55">
        <f t="shared" si="2511"/>
        <v>46355</v>
      </c>
      <c r="CP389" s="422"/>
      <c r="CQ389" s="470">
        <f>SUMPRODUCT(PRODUCE!$B384:$DY384,PRODUCE!$EB$17:$IY$17)</f>
        <v>0</v>
      </c>
      <c r="CR389" s="422"/>
      <c r="CS389" s="470">
        <f t="shared" si="2512"/>
        <v>0</v>
      </c>
      <c r="CT389" s="470">
        <f t="shared" si="2513"/>
        <v>0</v>
      </c>
      <c r="CU389" s="56"/>
      <c r="CX389" s="55">
        <f t="shared" si="2514"/>
        <v>46355</v>
      </c>
      <c r="CY389" s="56"/>
      <c r="CZ389" s="133">
        <f>SUMPRODUCT(PRODUCE!$B384:$DY384,PRODUCE!$EB$18:$IY$18)</f>
        <v>0</v>
      </c>
      <c r="DA389" s="56"/>
      <c r="DB389" s="133">
        <f t="shared" si="2515"/>
        <v>0</v>
      </c>
      <c r="DC389" s="133">
        <f t="shared" si="2516"/>
        <v>27438.200000000012</v>
      </c>
      <c r="DD389" s="56"/>
      <c r="DG389" s="55">
        <f t="shared" si="2517"/>
        <v>46355</v>
      </c>
      <c r="DH389" s="56"/>
      <c r="DI389" s="147">
        <f>SUMPRODUCT(PRODUCE!$B384:$DY384,PRODUCE!$EB$19:$IY$19)</f>
        <v>0</v>
      </c>
      <c r="DJ389" s="56"/>
      <c r="DK389" s="147">
        <f t="shared" si="2518"/>
        <v>0</v>
      </c>
      <c r="DL389" s="147">
        <f t="shared" si="2519"/>
        <v>18782.299999999981</v>
      </c>
      <c r="DM389" s="56"/>
      <c r="DP389" s="55">
        <f t="shared" si="2520"/>
        <v>46355</v>
      </c>
      <c r="DQ389" s="56"/>
      <c r="DR389" s="57">
        <f>SUMPRODUCT(PRODUCE!$B384:$DY384,PRODUCE!$EB$20:$IY$20)</f>
        <v>0</v>
      </c>
      <c r="DS389" s="56"/>
      <c r="DT389" s="57">
        <f t="shared" si="2521"/>
        <v>0</v>
      </c>
      <c r="DU389" s="57">
        <f t="shared" si="2522"/>
        <v>5800</v>
      </c>
      <c r="DV389" s="56"/>
      <c r="DY389" s="55">
        <f t="shared" si="2523"/>
        <v>46355</v>
      </c>
      <c r="DZ389" s="56"/>
      <c r="EA389" s="157">
        <f>SUMPRODUCT(PRODUCE!$B384:$DY384,PRODUCE!$EB$21:$IY$21)</f>
        <v>0</v>
      </c>
      <c r="EB389" s="56"/>
      <c r="EC389" s="157">
        <f t="shared" si="2524"/>
        <v>0</v>
      </c>
      <c r="ED389" s="157">
        <f t="shared" si="2525"/>
        <v>0</v>
      </c>
      <c r="EE389" s="56"/>
      <c r="EH389" s="55">
        <f t="shared" si="2526"/>
        <v>46355</v>
      </c>
      <c r="EI389" s="56"/>
      <c r="EJ389" s="162">
        <f>SUMPRODUCT(PRODUCE!$B384:$DY384,PRODUCE!$EB$22:$IY$22)</f>
        <v>0</v>
      </c>
      <c r="EK389" s="56"/>
      <c r="EL389" s="162">
        <f t="shared" si="2527"/>
        <v>0</v>
      </c>
      <c r="EM389" s="162">
        <f t="shared" si="2528"/>
        <v>0</v>
      </c>
      <c r="EN389" s="56"/>
      <c r="EQ389" s="55">
        <f t="shared" si="2529"/>
        <v>46355</v>
      </c>
      <c r="ER389" s="56"/>
      <c r="ES389" s="135">
        <f>SUMPRODUCT(PRODUCE!$B384:$DY384,PRODUCE!$EB$23:$IY$23)</f>
        <v>0</v>
      </c>
      <c r="ET389" s="56"/>
      <c r="EU389" s="135">
        <f t="shared" si="2530"/>
        <v>0</v>
      </c>
      <c r="EV389" s="135">
        <f t="shared" si="2531"/>
        <v>0</v>
      </c>
      <c r="EW389" s="56"/>
      <c r="EZ389" s="55">
        <f t="shared" si="2532"/>
        <v>46355</v>
      </c>
      <c r="FA389" s="56"/>
      <c r="FB389" s="175">
        <f>SUMPRODUCT(PRODUCE!$B384:$DY384,PRODUCE!$EB$24:$IY$24)</f>
        <v>0</v>
      </c>
      <c r="FC389" s="56"/>
      <c r="FD389" s="175">
        <f t="shared" si="2533"/>
        <v>0</v>
      </c>
      <c r="FE389" s="175">
        <f t="shared" si="2534"/>
        <v>0</v>
      </c>
      <c r="FF389" s="56"/>
      <c r="FI389" s="55">
        <f t="shared" si="2535"/>
        <v>46355</v>
      </c>
      <c r="FJ389" s="56"/>
      <c r="FK389" s="183">
        <f>SUMPRODUCT(PRODUCE!$B384:$DY384,PRODUCE!$EB$25:$IY$25)</f>
        <v>0</v>
      </c>
      <c r="FL389" s="56"/>
      <c r="FM389" s="183">
        <f t="shared" si="2536"/>
        <v>0</v>
      </c>
      <c r="FN389" s="183">
        <f t="shared" si="2537"/>
        <v>0</v>
      </c>
      <c r="FO389" s="56"/>
      <c r="FR389" s="55">
        <f t="shared" si="2538"/>
        <v>46355</v>
      </c>
      <c r="FS389" s="56"/>
      <c r="FT389" s="186">
        <f>SUMPRODUCT(PRODUCE!$B384:$DY384,PRODUCE!$EB$26:$IY$26)</f>
        <v>0</v>
      </c>
      <c r="FU389" s="56"/>
      <c r="FV389" s="186">
        <f t="shared" si="2539"/>
        <v>0</v>
      </c>
      <c r="FW389" s="186">
        <f t="shared" si="2540"/>
        <v>2020</v>
      </c>
      <c r="FX389" s="56"/>
      <c r="GA389" s="55">
        <f t="shared" si="2541"/>
        <v>46355</v>
      </c>
      <c r="GB389" s="56"/>
      <c r="GC389" s="137">
        <f>SUMPRODUCT(PRODUCE!$B384:$DY384,PRODUCE!$EB$27:$IY$27)</f>
        <v>0</v>
      </c>
      <c r="GD389" s="56"/>
      <c r="GE389" s="137">
        <f t="shared" si="2542"/>
        <v>0</v>
      </c>
      <c r="GF389" s="137">
        <f t="shared" si="2543"/>
        <v>960</v>
      </c>
      <c r="GG389" s="56"/>
      <c r="GI389" s="23"/>
      <c r="GJ389" s="55">
        <f t="shared" si="2544"/>
        <v>46355</v>
      </c>
      <c r="GK389" s="56"/>
      <c r="GL389" s="199">
        <f>SUMPRODUCT(PRODUCE!$B384:$DY384,PRODUCE!$EB$28:$IY$28)</f>
        <v>0</v>
      </c>
      <c r="GM389" s="56"/>
      <c r="GN389" s="199">
        <f t="shared" si="2545"/>
        <v>0</v>
      </c>
      <c r="GO389" s="199">
        <f t="shared" si="2546"/>
        <v>1760</v>
      </c>
      <c r="GP389" s="56"/>
      <c r="GS389" s="55">
        <f t="shared" si="2547"/>
        <v>46355</v>
      </c>
      <c r="GT389" s="56"/>
      <c r="GU389" s="195">
        <f>SUMPRODUCT(PRODUCE!$B384:$DY384,PRODUCE!$EB$29:$IY$29)</f>
        <v>0</v>
      </c>
      <c r="GV389" s="56"/>
      <c r="GW389" s="195">
        <f t="shared" si="2548"/>
        <v>0</v>
      </c>
      <c r="GX389" s="195">
        <f t="shared" si="2549"/>
        <v>400</v>
      </c>
      <c r="GY389" s="56"/>
      <c r="HB389" s="55">
        <f t="shared" si="2550"/>
        <v>46355</v>
      </c>
      <c r="HC389" s="56"/>
      <c r="HD389" s="191">
        <f>SUMPRODUCT(PRODUCE!$B384:$DY384,PRODUCE!$EB$30:$IY$30)</f>
        <v>0</v>
      </c>
      <c r="HE389" s="56"/>
      <c r="HF389" s="191">
        <f t="shared" si="2551"/>
        <v>0</v>
      </c>
      <c r="HG389" s="191">
        <f t="shared" si="2552"/>
        <v>3600</v>
      </c>
      <c r="HH389" s="56"/>
      <c r="HK389" s="55">
        <f t="shared" si="2553"/>
        <v>46355</v>
      </c>
      <c r="HL389" s="56"/>
      <c r="HM389" s="63">
        <f>SUMPRODUCT(PRODUCE!$B384:$DY384,PRODUCE!$EB$31:$IY$31)</f>
        <v>0</v>
      </c>
      <c r="HN389" s="56"/>
      <c r="HO389" s="63">
        <f t="shared" si="2554"/>
        <v>0</v>
      </c>
      <c r="HP389" s="63">
        <f t="shared" si="2555"/>
        <v>0</v>
      </c>
      <c r="HQ389" s="56"/>
      <c r="HU389" s="55">
        <f t="shared" si="2556"/>
        <v>46355</v>
      </c>
      <c r="HV389" s="56"/>
      <c r="HW389" s="242">
        <f>SUMPRODUCT(PRODUCE!$B384:$DY384,PRODUCE!$EB$32:$IY$32)</f>
        <v>0</v>
      </c>
      <c r="HX389" s="56"/>
      <c r="HY389" s="242">
        <f t="shared" si="2557"/>
        <v>0</v>
      </c>
      <c r="HZ389" s="242">
        <f t="shared" si="2558"/>
        <v>6120</v>
      </c>
      <c r="IA389" s="56"/>
      <c r="ID389" s="55">
        <f t="shared" si="2559"/>
        <v>46355</v>
      </c>
      <c r="IE389" s="56"/>
      <c r="IF389" s="242">
        <f>SUMPRODUCT(PRODUCE!$B384:$DY384,PRODUCE!$EB$33:$IY$33)</f>
        <v>0</v>
      </c>
      <c r="IG389" s="56"/>
      <c r="IH389" s="242">
        <f t="shared" si="2560"/>
        <v>0</v>
      </c>
      <c r="II389" s="242">
        <f t="shared" si="2561"/>
        <v>0</v>
      </c>
      <c r="IJ389" s="56"/>
      <c r="IM389" s="55">
        <f t="shared" si="2562"/>
        <v>46355</v>
      </c>
      <c r="IN389" s="56"/>
      <c r="IO389" s="242">
        <f>SUMPRODUCT(PRODUCE!$B384:$DY384,PRODUCE!$EB$34:$IY$34)</f>
        <v>0</v>
      </c>
      <c r="IP389" s="56"/>
      <c r="IQ389" s="242">
        <f t="shared" si="2563"/>
        <v>0</v>
      </c>
      <c r="IR389" s="242">
        <f t="shared" si="2564"/>
        <v>0</v>
      </c>
      <c r="IS389" s="56"/>
      <c r="IV389" s="55">
        <f t="shared" si="2565"/>
        <v>46355</v>
      </c>
      <c r="IW389" s="56"/>
      <c r="IX389" s="242">
        <f>SUMPRODUCT(PRODUCE!$B384:$DY384,PRODUCE!$EB$35:$IY$35)</f>
        <v>0</v>
      </c>
      <c r="IY389" s="56"/>
      <c r="IZ389" s="242">
        <f t="shared" si="2566"/>
        <v>0</v>
      </c>
      <c r="JA389" s="242">
        <f t="shared" si="2567"/>
        <v>2820</v>
      </c>
      <c r="JB389" s="56"/>
      <c r="JE389" s="55">
        <f t="shared" si="2568"/>
        <v>46355</v>
      </c>
      <c r="JF389" s="56"/>
      <c r="JG389" s="242">
        <f>SUMPRODUCT(PRODUCE!$B384:$DY384,PRODUCE!$EB$36:$IY$36)</f>
        <v>0</v>
      </c>
      <c r="JH389" s="56"/>
      <c r="JI389" s="242">
        <f t="shared" si="2569"/>
        <v>0</v>
      </c>
      <c r="JJ389" s="242">
        <f t="shared" si="2570"/>
        <v>0</v>
      </c>
      <c r="JK389" s="56"/>
      <c r="JN389" s="55">
        <f t="shared" si="2571"/>
        <v>46355</v>
      </c>
      <c r="JO389" s="56"/>
      <c r="JP389" s="242">
        <f>SUMPRODUCT(PRODUCE!$B384:$DY384,PRODUCE!$EB$37:$IY$37)</f>
        <v>0</v>
      </c>
      <c r="JQ389" s="56"/>
      <c r="JR389" s="242">
        <f t="shared" si="2572"/>
        <v>0</v>
      </c>
      <c r="JS389" s="242">
        <f t="shared" si="2573"/>
        <v>0</v>
      </c>
      <c r="JT389" s="56"/>
      <c r="JW389" s="55">
        <f t="shared" si="2574"/>
        <v>46355</v>
      </c>
      <c r="JX389" s="56"/>
      <c r="JY389" s="242">
        <f>SUMPRODUCT(PRODUCE!$B384:$DY384,PRODUCE!$EB$38:$IY$38)</f>
        <v>0</v>
      </c>
      <c r="JZ389" s="56"/>
      <c r="KA389" s="242">
        <f t="shared" si="2575"/>
        <v>0</v>
      </c>
      <c r="KB389" s="242">
        <f t="shared" si="2576"/>
        <v>2540</v>
      </c>
      <c r="KC389" s="56"/>
      <c r="KF389" s="55">
        <f t="shared" si="2577"/>
        <v>46355</v>
      </c>
      <c r="KG389" s="56"/>
      <c r="KH389" s="242">
        <f>SUMPRODUCT(PRODUCE!$B384:$DY384,PRODUCE!$EB$39:$IY$39)</f>
        <v>0</v>
      </c>
      <c r="KI389" s="56"/>
      <c r="KJ389" s="242">
        <f t="shared" si="2578"/>
        <v>0</v>
      </c>
      <c r="KK389" s="242">
        <f t="shared" si="2579"/>
        <v>2359.5</v>
      </c>
      <c r="KL389" s="56"/>
      <c r="KO389" s="55">
        <f t="shared" si="2580"/>
        <v>46355</v>
      </c>
      <c r="KP389" s="56"/>
      <c r="KQ389" s="242">
        <f>SUMPRODUCT(PRODUCE!$B384:$DY384,PRODUCE!$EB$40:$IY$40)</f>
        <v>0</v>
      </c>
      <c r="KR389" s="56"/>
      <c r="KS389" s="242">
        <f t="shared" si="2581"/>
        <v>0</v>
      </c>
      <c r="KT389" s="242">
        <f t="shared" si="2582"/>
        <v>1890</v>
      </c>
      <c r="KU389" s="56"/>
      <c r="KW389" s="23"/>
      <c r="KX389" s="55">
        <f t="shared" si="2583"/>
        <v>46355</v>
      </c>
      <c r="KY389" s="56"/>
      <c r="KZ389" s="242">
        <f>SUMPRODUCT(PRODUCE!$B384:$DY384,PRODUCE!$EB$41:$IY$41)</f>
        <v>0</v>
      </c>
      <c r="LA389" s="56"/>
      <c r="LB389" s="242">
        <f t="shared" si="2584"/>
        <v>0</v>
      </c>
      <c r="LC389" s="242">
        <f t="shared" si="2585"/>
        <v>3690</v>
      </c>
      <c r="LD389" s="56"/>
      <c r="LG389" s="55">
        <f t="shared" si="2586"/>
        <v>46355</v>
      </c>
      <c r="LH389" s="56"/>
      <c r="LI389" s="242">
        <f>SUMPRODUCT(PRODUCE!$B384:$DY384,PRODUCE!$EB$42:$IY$42)</f>
        <v>0</v>
      </c>
      <c r="LJ389" s="56"/>
      <c r="LK389" s="242">
        <f t="shared" si="2587"/>
        <v>0</v>
      </c>
      <c r="LL389" s="242">
        <f t="shared" si="2588"/>
        <v>4000</v>
      </c>
      <c r="LM389" s="56"/>
      <c r="LP389" s="55">
        <f t="shared" si="2589"/>
        <v>46355</v>
      </c>
      <c r="LQ389" s="56"/>
      <c r="LR389" s="242">
        <f>SUMPRODUCT(PRODUCE!$B404:$DY404,PRODUCE!$EB$43:$IY$43)</f>
        <v>0</v>
      </c>
      <c r="LS389" s="56"/>
      <c r="LT389" s="242">
        <f t="shared" si="2590"/>
        <v>0</v>
      </c>
      <c r="LU389" s="242">
        <f t="shared" si="2591"/>
        <v>0</v>
      </c>
      <c r="LV389" s="56"/>
      <c r="LY389" s="55">
        <f t="shared" si="2592"/>
        <v>46355</v>
      </c>
      <c r="LZ389" s="56"/>
      <c r="MA389" s="242">
        <f>SUMPRODUCT(PRODUCE!$B384:$DY384,PRODUCE!$EB$44:$IY$44)</f>
        <v>0</v>
      </c>
      <c r="MB389" s="56"/>
      <c r="MC389" s="242">
        <f t="shared" si="2593"/>
        <v>0</v>
      </c>
      <c r="MD389" s="242">
        <f t="shared" si="2594"/>
        <v>0</v>
      </c>
      <c r="ME389" s="56"/>
      <c r="MH389" s="55">
        <f t="shared" si="2595"/>
        <v>46355</v>
      </c>
      <c r="MI389" s="56"/>
      <c r="MJ389" s="242">
        <f>SUMPRODUCT(PRODUCE!$B384:$DY384,PRODUCE!$EB$45:$IY$45)</f>
        <v>0</v>
      </c>
      <c r="MK389" s="56"/>
      <c r="ML389" s="242">
        <f t="shared" si="2596"/>
        <v>0</v>
      </c>
      <c r="MM389" s="242">
        <f t="shared" si="2597"/>
        <v>0</v>
      </c>
      <c r="MN389" s="56"/>
      <c r="MQ389" s="55">
        <f t="shared" si="2598"/>
        <v>46355</v>
      </c>
      <c r="MR389" s="56"/>
      <c r="MS389" s="242">
        <f>SUMPRODUCT(PRODUCE!$B384:$DY384,PRODUCE!$EB$46:$IY$46)</f>
        <v>0</v>
      </c>
      <c r="MT389" s="56"/>
      <c r="MU389" s="242">
        <f t="shared" si="2599"/>
        <v>0</v>
      </c>
      <c r="MV389" s="242">
        <f t="shared" si="2600"/>
        <v>1625</v>
      </c>
      <c r="MW389" s="56"/>
      <c r="MZ389" s="55">
        <f t="shared" si="2601"/>
        <v>46355</v>
      </c>
      <c r="NA389" s="56"/>
      <c r="NB389" s="242">
        <f>SUMPRODUCT(PRODUCE!$B384:$DY384,PRODUCE!$EB$47:$IY$47)</f>
        <v>0</v>
      </c>
      <c r="NC389" s="56"/>
      <c r="ND389" s="242">
        <f t="shared" si="2602"/>
        <v>0</v>
      </c>
      <c r="NE389" s="242">
        <f t="shared" si="2603"/>
        <v>0</v>
      </c>
      <c r="NF389" s="56"/>
      <c r="NI389" s="55">
        <f t="shared" si="2604"/>
        <v>46355</v>
      </c>
      <c r="NJ389" s="56"/>
      <c r="NK389" s="242">
        <f>SUMPRODUCT(PRODUCE!$B384:$DY384,PRODUCE!$EB$48:$IY$48)</f>
        <v>0</v>
      </c>
      <c r="NL389" s="56"/>
      <c r="NM389" s="242">
        <f t="shared" si="2605"/>
        <v>0</v>
      </c>
      <c r="NN389" s="242">
        <f t="shared" si="2606"/>
        <v>1127</v>
      </c>
      <c r="NO389" s="56"/>
      <c r="NR389" s="55">
        <f t="shared" si="2607"/>
        <v>46355</v>
      </c>
      <c r="NS389" s="56"/>
      <c r="NT389" s="242">
        <f>SUMPRODUCT(PRODUCE!$B384:$DY384,PRODUCE!$EB$49:$IY$49)</f>
        <v>0</v>
      </c>
      <c r="NU389" s="56"/>
      <c r="NV389" s="242">
        <f t="shared" si="2608"/>
        <v>0</v>
      </c>
      <c r="NW389" s="242">
        <f t="shared" si="2609"/>
        <v>3111.9999999999995</v>
      </c>
      <c r="NX389" s="56"/>
      <c r="OA389" s="55">
        <f t="shared" si="2610"/>
        <v>46355</v>
      </c>
      <c r="OB389" s="56"/>
      <c r="OC389" s="242">
        <f>SUMPRODUCT(PRODUCE!$B384:$DY384,PRODUCE!$EB$50:$IY$50)</f>
        <v>0</v>
      </c>
      <c r="OD389" s="56"/>
      <c r="OE389" s="242">
        <f t="shared" si="2611"/>
        <v>0</v>
      </c>
      <c r="OF389" s="242">
        <f t="shared" si="2612"/>
        <v>1680.5</v>
      </c>
      <c r="OG389" s="56"/>
      <c r="OJ389" s="55">
        <f t="shared" si="2613"/>
        <v>46355</v>
      </c>
      <c r="OK389" s="56"/>
      <c r="OL389" s="242">
        <f>SUMPRODUCT(PRODUCE!$B384:$DY384,PRODUCE!$EB$51:$IY$51)</f>
        <v>0</v>
      </c>
      <c r="OM389" s="56"/>
      <c r="ON389" s="242">
        <f t="shared" si="2614"/>
        <v>0</v>
      </c>
      <c r="OO389" s="242">
        <f t="shared" si="2615"/>
        <v>0</v>
      </c>
      <c r="OP389" s="56"/>
      <c r="OS389" s="55">
        <f t="shared" si="2616"/>
        <v>46355</v>
      </c>
      <c r="OT389" s="56"/>
      <c r="OU389" s="242">
        <f>SUMPRODUCT(PRODUCE!$B384:$DY384,PRODUCE!$EB$52:$IY$52)</f>
        <v>0</v>
      </c>
      <c r="OV389" s="56"/>
      <c r="OW389" s="242">
        <f t="shared" si="2617"/>
        <v>0</v>
      </c>
      <c r="OX389" s="242">
        <f t="shared" si="2618"/>
        <v>1482</v>
      </c>
      <c r="OY389" s="56"/>
      <c r="PB389" s="55">
        <f t="shared" si="2619"/>
        <v>46355</v>
      </c>
      <c r="PC389" s="56"/>
      <c r="PD389" s="242">
        <f>SUMPRODUCT(PRODUCE!$B384:$DY384,PRODUCE!$EB$53:$IY$53)</f>
        <v>0</v>
      </c>
      <c r="PE389" s="56"/>
      <c r="PF389" s="242">
        <f t="shared" si="2620"/>
        <v>0</v>
      </c>
      <c r="PG389" s="242">
        <f t="shared" si="2621"/>
        <v>0</v>
      </c>
      <c r="PH389" s="56"/>
      <c r="PK389" s="55">
        <f t="shared" si="2622"/>
        <v>46355</v>
      </c>
      <c r="PL389" s="56"/>
      <c r="PM389" s="242">
        <f>SUMPRODUCT(PRODUCE!$B384:$DY384,PRODUCE!$EB$54:$IY$54)</f>
        <v>0</v>
      </c>
      <c r="PN389" s="56"/>
      <c r="PO389" s="242">
        <f t="shared" si="2623"/>
        <v>0</v>
      </c>
      <c r="PP389" s="242">
        <f t="shared" si="2624"/>
        <v>100</v>
      </c>
      <c r="PQ389" s="56"/>
      <c r="PT389" s="55">
        <f t="shared" si="2625"/>
        <v>46355</v>
      </c>
      <c r="PU389" s="56"/>
      <c r="PV389" s="242">
        <f>SUMPRODUCT(PRODUCE!$B384:$DY384,PRODUCE!$EB$55:$IY$55)</f>
        <v>0</v>
      </c>
      <c r="PW389" s="56"/>
      <c r="PX389" s="242">
        <f t="shared" si="2626"/>
        <v>0</v>
      </c>
      <c r="PY389" s="242">
        <f t="shared" si="2627"/>
        <v>13.960000000000036</v>
      </c>
      <c r="PZ389" s="56"/>
      <c r="QC389" s="55">
        <f t="shared" si="2628"/>
        <v>46355</v>
      </c>
      <c r="QD389" s="56"/>
      <c r="QE389" s="242">
        <f>SUMPRODUCT(PRODUCE!$B384:$DY384,PRODUCE!$EB$56:$IY$56)</f>
        <v>0</v>
      </c>
      <c r="QF389" s="56"/>
      <c r="QG389" s="242">
        <f t="shared" si="2629"/>
        <v>0</v>
      </c>
      <c r="QH389" s="242">
        <f t="shared" si="2630"/>
        <v>548</v>
      </c>
      <c r="QI389" s="56"/>
      <c r="QL389" s="55">
        <f t="shared" si="2631"/>
        <v>46355</v>
      </c>
      <c r="QM389" s="56"/>
      <c r="QN389" s="242">
        <f>SUMPRODUCT(PRODUCE!$B384:$DY384,PRODUCE!$EB$57:$IY$57)</f>
        <v>0</v>
      </c>
      <c r="QO389" s="56"/>
      <c r="QP389" s="242">
        <f t="shared" si="2632"/>
        <v>0</v>
      </c>
      <c r="QQ389" s="242">
        <f t="shared" si="2633"/>
        <v>0</v>
      </c>
      <c r="QR389" s="56"/>
      <c r="QU389" s="55">
        <f t="shared" si="2634"/>
        <v>46355</v>
      </c>
      <c r="QV389" s="56"/>
      <c r="QW389" s="242">
        <f>SUMPRODUCT(PRODUCE!$B384:$DY384,PRODUCE!$EB$57:$IY$57)</f>
        <v>0</v>
      </c>
      <c r="QX389" s="56"/>
      <c r="QY389" s="242">
        <f t="shared" si="2635"/>
        <v>0</v>
      </c>
      <c r="QZ389" s="242">
        <f t="shared" si="2636"/>
        <v>0</v>
      </c>
      <c r="RA389" s="56"/>
      <c r="RD389" s="55">
        <f t="shared" si="2637"/>
        <v>46355</v>
      </c>
      <c r="RE389" s="56"/>
      <c r="RF389" s="242">
        <f>SUMPRODUCT(PRODUCE!$B384:$DY384,PRODUCE!$EB$58:$IY$58)</f>
        <v>0</v>
      </c>
      <c r="RG389" s="56"/>
      <c r="RH389" s="242">
        <f t="shared" si="2638"/>
        <v>0</v>
      </c>
      <c r="RI389" s="242">
        <f t="shared" si="2639"/>
        <v>147.04000000000002</v>
      </c>
      <c r="RJ389" s="56"/>
      <c r="RM389" s="55">
        <f t="shared" si="2640"/>
        <v>46355</v>
      </c>
      <c r="RN389" s="56"/>
      <c r="RO389" s="242">
        <f>SUMPRODUCT(PRODUCE!$B384:$DY384,PRODUCE!$EB$57:$IY$57)</f>
        <v>0</v>
      </c>
      <c r="RP389" s="56"/>
      <c r="RQ389" s="242">
        <f t="shared" si="2641"/>
        <v>0</v>
      </c>
      <c r="RR389" s="242">
        <f t="shared" si="2642"/>
        <v>46.8</v>
      </c>
      <c r="RS389" s="56"/>
      <c r="RV389" s="55">
        <f t="shared" si="2643"/>
        <v>46355</v>
      </c>
      <c r="RW389" s="56"/>
      <c r="RX389" s="242">
        <f>SUMPRODUCT(PRODUCE!$B384:$DY384,PRODUCE!$EB$57:$IY$57)</f>
        <v>0</v>
      </c>
      <c r="RY389" s="56"/>
      <c r="RZ389" s="242">
        <f t="shared" si="2644"/>
        <v>0</v>
      </c>
      <c r="SA389" s="242">
        <f t="shared" si="2645"/>
        <v>0</v>
      </c>
      <c r="SB389" s="56"/>
      <c r="SE389" s="55">
        <f t="shared" si="2646"/>
        <v>46355</v>
      </c>
      <c r="SF389" s="56"/>
      <c r="SG389" s="242">
        <f>SUMPRODUCT(PRODUCE!$B384:$DY384,PRODUCE!$EB$61:$IY$61)</f>
        <v>0</v>
      </c>
      <c r="SH389" s="56"/>
      <c r="SI389" s="242">
        <f t="shared" si="2647"/>
        <v>0</v>
      </c>
      <c r="SJ389" s="242">
        <f t="shared" si="2648"/>
        <v>24.200000000000003</v>
      </c>
      <c r="SK389" s="56"/>
      <c r="SN389" s="55">
        <f t="shared" si="2649"/>
        <v>46355</v>
      </c>
      <c r="SO389" s="56"/>
      <c r="SP389" s="242">
        <f>SUMPRODUCT(PRODUCE!$B384:$DY384,PRODUCE!$EB$57:$IY$57)</f>
        <v>0</v>
      </c>
      <c r="SQ389" s="56"/>
      <c r="SR389" s="242">
        <f t="shared" si="2650"/>
        <v>0</v>
      </c>
      <c r="SS389" s="242">
        <f t="shared" si="2651"/>
        <v>32</v>
      </c>
      <c r="ST389" s="56"/>
      <c r="SW389" s="55">
        <f t="shared" si="2652"/>
        <v>46355</v>
      </c>
      <c r="SX389" s="56"/>
      <c r="SY389" s="242">
        <f>SUMPRODUCT(PRODUCE!$B384:$DY384,PRODUCE!$EB$57:$IY$57)</f>
        <v>0</v>
      </c>
      <c r="SZ389" s="56"/>
      <c r="TA389" s="242">
        <f t="shared" si="2653"/>
        <v>0</v>
      </c>
      <c r="TB389" s="242">
        <f t="shared" si="2654"/>
        <v>0</v>
      </c>
      <c r="TC389" s="56"/>
      <c r="TF389" s="55">
        <f t="shared" si="2655"/>
        <v>46355</v>
      </c>
      <c r="TG389" s="56"/>
      <c r="TH389" s="242">
        <f>SUMPRODUCT(PRODUCE!$B384:$DY384,PRODUCE!$EB$57:$IY$57)</f>
        <v>0</v>
      </c>
      <c r="TI389" s="56"/>
      <c r="TJ389" s="242">
        <f t="shared" si="2656"/>
        <v>0</v>
      </c>
      <c r="TK389" s="242">
        <f t="shared" si="2657"/>
        <v>0</v>
      </c>
      <c r="TL389" s="56"/>
      <c r="TO389" s="55">
        <f t="shared" si="2658"/>
        <v>46355</v>
      </c>
      <c r="TP389" s="56"/>
      <c r="TQ389" s="242">
        <f>SUMPRODUCT(PRODUCE!$B384:$DY384,PRODUCE!$EB$57:$IY$57)</f>
        <v>0</v>
      </c>
      <c r="TR389" s="56"/>
      <c r="TS389" s="242">
        <f t="shared" si="2659"/>
        <v>0</v>
      </c>
      <c r="TT389" s="242">
        <f t="shared" si="2660"/>
        <v>0</v>
      </c>
      <c r="TU389" s="56"/>
      <c r="TX389" s="55">
        <f t="shared" si="2661"/>
        <v>46355</v>
      </c>
      <c r="TY389" s="56"/>
      <c r="TZ389" s="242">
        <f>SUMPRODUCT(PRODUCE!$B384:$DY384,PRODUCE!$EB$57:$IY$57)</f>
        <v>0</v>
      </c>
      <c r="UA389" s="56"/>
      <c r="UB389" s="242">
        <f t="shared" si="2662"/>
        <v>0</v>
      </c>
      <c r="UC389" s="242">
        <f t="shared" si="2663"/>
        <v>46.799999999999983</v>
      </c>
      <c r="UD389" s="56"/>
      <c r="UG389" s="55">
        <f t="shared" si="2664"/>
        <v>46355</v>
      </c>
      <c r="UH389" s="56"/>
      <c r="UI389" s="242">
        <f>SUMPRODUCT(PRODUCE!$B384:$DY384,PRODUCE!$EB$57:$IY$57)</f>
        <v>0</v>
      </c>
      <c r="UJ389" s="56"/>
      <c r="UK389" s="242">
        <f t="shared" si="2665"/>
        <v>0</v>
      </c>
      <c r="UL389" s="242">
        <f t="shared" si="2666"/>
        <v>204</v>
      </c>
      <c r="UM389" s="56"/>
      <c r="UP389" s="55">
        <f t="shared" si="2667"/>
        <v>46355</v>
      </c>
      <c r="UQ389" s="56"/>
      <c r="UR389" s="242">
        <f>SUMPRODUCT(PRODUCE!$B384:$DY384,PRODUCE!$EB$57:$IY$57)</f>
        <v>0</v>
      </c>
      <c r="US389" s="56"/>
      <c r="UT389" s="242">
        <f t="shared" si="2668"/>
        <v>0</v>
      </c>
      <c r="UU389" s="242">
        <f t="shared" si="2669"/>
        <v>202.5</v>
      </c>
      <c r="UV389" s="56"/>
      <c r="UY389" s="55">
        <f t="shared" si="2670"/>
        <v>46355</v>
      </c>
      <c r="UZ389" s="56"/>
      <c r="VA389" s="242">
        <f>SUMPRODUCT(PRODUCE!$B384:$DY384,PRODUCE!$EB$57:$IY$57)</f>
        <v>0</v>
      </c>
      <c r="VB389" s="56"/>
      <c r="VC389" s="242">
        <f t="shared" si="2671"/>
        <v>0</v>
      </c>
      <c r="VD389" s="242">
        <f t="shared" si="2672"/>
        <v>41.600000000000023</v>
      </c>
      <c r="VE389" s="56"/>
      <c r="VH389" s="55">
        <f t="shared" si="2673"/>
        <v>46355</v>
      </c>
      <c r="VI389" s="56"/>
      <c r="VJ389" s="242">
        <f>SUMPRODUCT(PRODUCE!$B384:$DY384,PRODUCE!$EB$57:$IY$57)</f>
        <v>0</v>
      </c>
      <c r="VK389" s="56"/>
      <c r="VL389" s="242">
        <f t="shared" si="2674"/>
        <v>0</v>
      </c>
      <c r="VM389" s="242">
        <f t="shared" si="2675"/>
        <v>210</v>
      </c>
      <c r="VN389" s="56"/>
      <c r="VQ389" s="55">
        <f t="shared" si="2676"/>
        <v>46355</v>
      </c>
      <c r="VR389" s="56"/>
      <c r="VS389" s="242">
        <f>SUMPRODUCT(PRODUCE!$B384:$DY384,PRODUCE!$EB$57:$IY$57)</f>
        <v>0</v>
      </c>
      <c r="VT389" s="56"/>
      <c r="VU389" s="242">
        <f t="shared" si="2677"/>
        <v>0</v>
      </c>
      <c r="VV389" s="242">
        <f t="shared" si="2678"/>
        <v>0</v>
      </c>
      <c r="VW389" s="56"/>
      <c r="VZ389" s="55">
        <f t="shared" si="2679"/>
        <v>46355</v>
      </c>
      <c r="WA389" s="56"/>
      <c r="WB389" s="242">
        <f>SUMPRODUCT(PRODUCE!$B384:$DY384,PRODUCE!$EB$57:$IY$57)</f>
        <v>0</v>
      </c>
      <c r="WC389" s="56"/>
      <c r="WD389" s="242">
        <f t="shared" si="2680"/>
        <v>0</v>
      </c>
      <c r="WE389" s="242">
        <f t="shared" si="2681"/>
        <v>0</v>
      </c>
      <c r="WF389" s="56"/>
      <c r="WI389" s="55">
        <f t="shared" si="2682"/>
        <v>46355</v>
      </c>
      <c r="WJ389" s="56"/>
      <c r="WK389" s="242">
        <f>SUMPRODUCT(PRODUCE!$B384:$DY384,PRODUCE!$EB$57:$IY$57)</f>
        <v>0</v>
      </c>
      <c r="WL389" s="56"/>
      <c r="WM389" s="242">
        <f t="shared" si="2683"/>
        <v>0</v>
      </c>
      <c r="WN389" s="242">
        <f t="shared" si="2684"/>
        <v>1057</v>
      </c>
      <c r="WO389" s="56"/>
      <c r="WR389" s="55">
        <f t="shared" si="2685"/>
        <v>46355</v>
      </c>
      <c r="WS389" s="56"/>
      <c r="WT389" s="242">
        <f>SUMPRODUCT(PRODUCE!$B384:$DY384,PRODUCE!$EB$57:$IY$57)</f>
        <v>0</v>
      </c>
      <c r="WU389" s="56"/>
      <c r="WV389" s="242">
        <f t="shared" si="2686"/>
        <v>0</v>
      </c>
      <c r="WW389" s="242">
        <f t="shared" si="2687"/>
        <v>0</v>
      </c>
      <c r="WX389" s="56"/>
      <c r="XA389" s="55">
        <f t="shared" si="2688"/>
        <v>46355</v>
      </c>
      <c r="XB389" s="56"/>
      <c r="XC389" s="242">
        <f>SUMPRODUCT(PRODUCE!$B384:$DY384,PRODUCE!$EB$57:$IY$57)</f>
        <v>0</v>
      </c>
      <c r="XD389" s="56"/>
      <c r="XE389" s="242">
        <f t="shared" si="2689"/>
        <v>0</v>
      </c>
      <c r="XF389" s="242">
        <f t="shared" si="2690"/>
        <v>7507</v>
      </c>
      <c r="XG389" s="56"/>
      <c r="XJ389" s="55">
        <f t="shared" si="2691"/>
        <v>46355</v>
      </c>
      <c r="XK389" s="56"/>
      <c r="XL389" s="242">
        <f>SUMPRODUCT(PRODUCE!$B384:$DY384,PRODUCE!$EB$57:$IY$57)</f>
        <v>0</v>
      </c>
      <c r="XM389" s="56"/>
      <c r="XN389" s="242">
        <f t="shared" si="2692"/>
        <v>0</v>
      </c>
      <c r="XO389" s="242">
        <f t="shared" si="2693"/>
        <v>4252</v>
      </c>
      <c r="XP389" s="56"/>
      <c r="XS389" s="55">
        <f t="shared" si="2694"/>
        <v>46355</v>
      </c>
      <c r="XT389" s="56"/>
      <c r="XU389" s="242">
        <f>SUMPRODUCT(PRODUCE!$B384:$DY384,PRODUCE!$EB$57:$IY$57)</f>
        <v>0</v>
      </c>
      <c r="XV389" s="56"/>
      <c r="XW389" s="242">
        <f t="shared" si="2695"/>
        <v>0</v>
      </c>
      <c r="XX389" s="242">
        <f t="shared" si="2696"/>
        <v>2179</v>
      </c>
      <c r="XY389" s="56"/>
      <c r="YB389" s="55">
        <f t="shared" si="2697"/>
        <v>46355</v>
      </c>
      <c r="YC389" s="56"/>
      <c r="YD389" s="242">
        <f>SUMPRODUCT(PRODUCE!$B384:$DY384,PRODUCE!$EB$57:$IY$57)</f>
        <v>0</v>
      </c>
      <c r="YE389" s="56"/>
      <c r="YF389" s="242">
        <f t="shared" si="2698"/>
        <v>0</v>
      </c>
      <c r="YG389" s="242">
        <f t="shared" si="2699"/>
        <v>4019</v>
      </c>
      <c r="YH389" s="56"/>
      <c r="YK389" s="55">
        <f t="shared" si="2700"/>
        <v>46355</v>
      </c>
      <c r="YL389" s="56"/>
      <c r="YM389" s="242">
        <f>SUMPRODUCT(PRODUCE!$B384:$DY384,PRODUCE!$EB$57:$IY$57)</f>
        <v>0</v>
      </c>
      <c r="YN389" s="56"/>
      <c r="YO389" s="242">
        <f t="shared" si="2701"/>
        <v>0</v>
      </c>
      <c r="YP389" s="242">
        <f t="shared" si="2702"/>
        <v>-218</v>
      </c>
      <c r="YQ389" s="56"/>
      <c r="YT389" s="55">
        <f t="shared" si="2703"/>
        <v>46355</v>
      </c>
      <c r="YU389" s="56"/>
      <c r="YV389" s="242">
        <f>SUMPRODUCT(PRODUCE!$B384:$DY384,PRODUCE!$EB$57:$IY$57)</f>
        <v>0</v>
      </c>
      <c r="YW389" s="56"/>
      <c r="YX389" s="242">
        <f t="shared" si="2704"/>
        <v>0</v>
      </c>
      <c r="YY389" s="242">
        <f t="shared" si="2705"/>
        <v>0</v>
      </c>
      <c r="YZ389" s="56"/>
      <c r="ZC389" s="55">
        <f t="shared" si="2706"/>
        <v>46355</v>
      </c>
      <c r="ZD389" s="56"/>
      <c r="ZE389" s="242">
        <f>SUMPRODUCT(PRODUCE!$B384:$DY384,PRODUCE!$EB$57:$IY$57)</f>
        <v>0</v>
      </c>
      <c r="ZF389" s="56"/>
      <c r="ZG389" s="242">
        <f t="shared" si="2707"/>
        <v>0</v>
      </c>
      <c r="ZH389" s="242">
        <f t="shared" si="2708"/>
        <v>0</v>
      </c>
      <c r="ZI389" s="56"/>
      <c r="ZL389" s="55">
        <f t="shared" si="2709"/>
        <v>46355</v>
      </c>
      <c r="ZM389" s="56"/>
      <c r="ZN389" s="242">
        <f>SUMPRODUCT(PRODUCE!$B384:$DY384,PRODUCE!$EB$57:$IY$57)</f>
        <v>0</v>
      </c>
      <c r="ZO389" s="56"/>
      <c r="ZP389" s="242">
        <f t="shared" si="2710"/>
        <v>0</v>
      </c>
      <c r="ZQ389" s="242">
        <f t="shared" si="2711"/>
        <v>0</v>
      </c>
      <c r="ZR389" s="56"/>
      <c r="ZU389" s="55">
        <f t="shared" si="2712"/>
        <v>46355</v>
      </c>
      <c r="ZV389" s="56"/>
      <c r="ZW389" s="242">
        <f>SUMPRODUCT(PRODUCE!$B384:$DY384,PRODUCE!$EB$57:$IY$57)</f>
        <v>0</v>
      </c>
      <c r="ZX389" s="56"/>
      <c r="ZY389" s="242">
        <f t="shared" si="2713"/>
        <v>0</v>
      </c>
      <c r="ZZ389" s="242">
        <f t="shared" si="2714"/>
        <v>0</v>
      </c>
      <c r="AAA389" s="56"/>
      <c r="AAD389" s="55">
        <f t="shared" si="2715"/>
        <v>46355</v>
      </c>
      <c r="AAE389" s="56"/>
      <c r="AAF389" s="242">
        <f>SUMPRODUCT(PRODUCE!$B384:$DY384,PRODUCE!$EB$57:$IY$57)</f>
        <v>0</v>
      </c>
      <c r="AAG389" s="56"/>
      <c r="AAH389" s="242">
        <f t="shared" si="2716"/>
        <v>0</v>
      </c>
      <c r="AAI389" s="242">
        <f t="shared" si="2717"/>
        <v>0</v>
      </c>
      <c r="AAJ389" s="56"/>
      <c r="AAM389" s="55">
        <f t="shared" si="2718"/>
        <v>46355</v>
      </c>
      <c r="AAN389" s="56"/>
      <c r="AAO389" s="242">
        <f>SUMPRODUCT(PRODUCE!$B384:$DY384,PRODUCE!$EB$57:$IY$57)</f>
        <v>0</v>
      </c>
      <c r="AAP389" s="56"/>
      <c r="AAQ389" s="242">
        <f t="shared" si="2719"/>
        <v>0</v>
      </c>
      <c r="AAR389" s="242">
        <f t="shared" si="2720"/>
        <v>0</v>
      </c>
      <c r="AAS389" s="56"/>
      <c r="AAV389" s="55">
        <f t="shared" si="2721"/>
        <v>46355</v>
      </c>
      <c r="AAW389" s="56"/>
      <c r="AAX389" s="242">
        <f>SUMPRODUCT(PRODUCE!$B384:$DY384,PRODUCE!$EB$57:$IY$57)</f>
        <v>0</v>
      </c>
      <c r="AAY389" s="56"/>
      <c r="AAZ389" s="242">
        <f t="shared" si="2722"/>
        <v>0</v>
      </c>
      <c r="ABA389" s="242">
        <f t="shared" si="2723"/>
        <v>0</v>
      </c>
      <c r="ABB389" s="56"/>
      <c r="ABE389" s="55">
        <f t="shared" si="2724"/>
        <v>46355</v>
      </c>
      <c r="ABF389" s="56"/>
      <c r="ABG389" s="242">
        <f>SUMPRODUCT(PRODUCE!$B384:$DY384,PRODUCE!$EB$57:$IY$57)</f>
        <v>0</v>
      </c>
      <c r="ABH389" s="56"/>
      <c r="ABI389" s="242">
        <f t="shared" si="2725"/>
        <v>0</v>
      </c>
      <c r="ABJ389" s="242">
        <f t="shared" si="2726"/>
        <v>0</v>
      </c>
      <c r="ABK389" s="56"/>
    </row>
    <row r="390" spans="1:739" s="54" customFormat="1" ht="15" customHeight="1" outlineLevel="1" thickBot="1">
      <c r="B390" s="478"/>
      <c r="C390" s="55">
        <v>46356</v>
      </c>
      <c r="D390" s="56"/>
      <c r="E390" s="57">
        <f>SUMPRODUCT(PRODUCE!$B385:$DY385,PRODUCE!$EB$7:$IY$7)</f>
        <v>0</v>
      </c>
      <c r="F390" s="56"/>
      <c r="G390" s="57">
        <f t="shared" si="2482"/>
        <v>0</v>
      </c>
      <c r="H390" s="57">
        <f t="shared" si="2483"/>
        <v>236936.6</v>
      </c>
      <c r="I390" s="289"/>
      <c r="L390" s="55">
        <f t="shared" si="2484"/>
        <v>46356</v>
      </c>
      <c r="M390" s="56"/>
      <c r="N390" s="59">
        <f>SUMPRODUCT(PRODUCE!$B385:$DY385,PRODUCE!$EB$8:$IY$8)</f>
        <v>0</v>
      </c>
      <c r="O390" s="56"/>
      <c r="P390" s="59">
        <f t="shared" si="2485"/>
        <v>0</v>
      </c>
      <c r="Q390" s="59">
        <f t="shared" si="2486"/>
        <v>53017.600000000071</v>
      </c>
      <c r="R390" s="56"/>
      <c r="U390" s="55">
        <f t="shared" si="2487"/>
        <v>46356</v>
      </c>
      <c r="V390" s="56"/>
      <c r="W390" s="60">
        <f>SUMPRODUCT(PRODUCE!$B385:$DY385,PRODUCE!$EB$9:$IY$9)</f>
        <v>0</v>
      </c>
      <c r="X390" s="56"/>
      <c r="Y390" s="60">
        <f t="shared" si="2488"/>
        <v>0</v>
      </c>
      <c r="Z390" s="60">
        <f t="shared" si="2489"/>
        <v>42674.199999999968</v>
      </c>
      <c r="AA390" s="56"/>
      <c r="AD390" s="55">
        <f t="shared" si="2490"/>
        <v>46356</v>
      </c>
      <c r="AE390" s="56"/>
      <c r="AF390" s="61">
        <f>SUMPRODUCT(PRODUCE!$B385:$DY385,PRODUCE!$EB$10:$IY$10)</f>
        <v>0</v>
      </c>
      <c r="AG390" s="56"/>
      <c r="AH390" s="61">
        <f t="shared" si="2491"/>
        <v>0</v>
      </c>
      <c r="AI390" s="61">
        <f t="shared" si="2492"/>
        <v>4522.2000000000189</v>
      </c>
      <c r="AJ390" s="56"/>
      <c r="AM390" s="55">
        <f t="shared" si="2493"/>
        <v>46356</v>
      </c>
      <c r="AN390" s="422"/>
      <c r="AO390" s="444">
        <f>SUMPRODUCT(PRODUCE!$B385:$DY385,PRODUCE!$EB$11:$IY$11)</f>
        <v>0</v>
      </c>
      <c r="AP390" s="422"/>
      <c r="AQ390" s="444">
        <f t="shared" si="2494"/>
        <v>0</v>
      </c>
      <c r="AR390" s="444">
        <f t="shared" si="2495"/>
        <v>0</v>
      </c>
      <c r="AS390" s="56"/>
      <c r="AV390" s="55">
        <f t="shared" si="2496"/>
        <v>46356</v>
      </c>
      <c r="AW390" s="56"/>
      <c r="AX390" s="62">
        <f>SUMPRODUCT(PRODUCE!$B385:$DY385,PRODUCE!$EB$12:$IY$12)</f>
        <v>0</v>
      </c>
      <c r="AY390" s="56"/>
      <c r="AZ390" s="62">
        <f t="shared" si="2497"/>
        <v>0</v>
      </c>
      <c r="BA390" s="62">
        <f t="shared" si="2498"/>
        <v>124.99999999999523</v>
      </c>
      <c r="BB390" s="56"/>
      <c r="BE390" s="55">
        <f t="shared" si="2499"/>
        <v>46356</v>
      </c>
      <c r="BF390" s="56"/>
      <c r="BG390" s="63">
        <f>SUMPRODUCT(PRODUCE!$B385:$DY385,PRODUCE!$EB$13:$IY$13)</f>
        <v>0</v>
      </c>
      <c r="BH390" s="56"/>
      <c r="BI390" s="63">
        <f t="shared" si="2500"/>
        <v>0</v>
      </c>
      <c r="BJ390" s="63">
        <f t="shared" si="2501"/>
        <v>26151.899999999998</v>
      </c>
      <c r="BK390" s="56"/>
      <c r="BN390" s="55">
        <f t="shared" si="2502"/>
        <v>46356</v>
      </c>
      <c r="BO390" s="56"/>
      <c r="BP390" s="64">
        <f>SUMPRODUCT(PRODUCE!$B385:$DY385,PRODUCE!$EB$14:$IY$14)</f>
        <v>0</v>
      </c>
      <c r="BQ390" s="56"/>
      <c r="BR390" s="64">
        <f t="shared" si="2503"/>
        <v>0</v>
      </c>
      <c r="BS390" s="64">
        <f t="shared" si="2504"/>
        <v>0</v>
      </c>
      <c r="BT390" s="56"/>
      <c r="BW390" s="55">
        <f t="shared" si="2505"/>
        <v>46356</v>
      </c>
      <c r="BX390" s="56"/>
      <c r="BY390" s="65">
        <f>SUMPRODUCT(PRODUCE!$B385:$DY385,PRODUCE!$EB$15:$IY$15)</f>
        <v>0</v>
      </c>
      <c r="BZ390" s="56"/>
      <c r="CA390" s="65">
        <f t="shared" si="2506"/>
        <v>0</v>
      </c>
      <c r="CB390" s="65">
        <f t="shared" si="2507"/>
        <v>2097.3399999999992</v>
      </c>
      <c r="CC390" s="56"/>
      <c r="CF390" s="55">
        <f t="shared" si="2508"/>
        <v>46356</v>
      </c>
      <c r="CG390" s="56"/>
      <c r="CH390" s="66">
        <f>SUMPRODUCT(PRODUCE!$B385:$DY385,PRODUCE!$EB$16:$IY$16)</f>
        <v>0</v>
      </c>
      <c r="CI390" s="56"/>
      <c r="CJ390" s="66">
        <f t="shared" si="2509"/>
        <v>0</v>
      </c>
      <c r="CK390" s="66">
        <f t="shared" si="2510"/>
        <v>-10277.079999999998</v>
      </c>
      <c r="CL390" s="56"/>
      <c r="CO390" s="55">
        <f t="shared" si="2511"/>
        <v>46356</v>
      </c>
      <c r="CP390" s="422"/>
      <c r="CQ390" s="470">
        <f>SUMPRODUCT(PRODUCE!$B385:$DY385,PRODUCE!$EB$17:$IY$17)</f>
        <v>0</v>
      </c>
      <c r="CR390" s="422"/>
      <c r="CS390" s="470">
        <f t="shared" si="2512"/>
        <v>0</v>
      </c>
      <c r="CT390" s="470">
        <f t="shared" si="2513"/>
        <v>0</v>
      </c>
      <c r="CU390" s="56"/>
      <c r="CX390" s="55">
        <f t="shared" si="2514"/>
        <v>46356</v>
      </c>
      <c r="CY390" s="56"/>
      <c r="CZ390" s="133">
        <f>SUMPRODUCT(PRODUCE!$B385:$DY385,PRODUCE!$EB$18:$IY$18)</f>
        <v>0</v>
      </c>
      <c r="DA390" s="56"/>
      <c r="DB390" s="133">
        <f t="shared" si="2515"/>
        <v>0</v>
      </c>
      <c r="DC390" s="133">
        <f t="shared" si="2516"/>
        <v>27438.200000000012</v>
      </c>
      <c r="DD390" s="56"/>
      <c r="DG390" s="55">
        <f t="shared" si="2517"/>
        <v>46356</v>
      </c>
      <c r="DH390" s="56"/>
      <c r="DI390" s="147">
        <f>SUMPRODUCT(PRODUCE!$B385:$DY385,PRODUCE!$EB$19:$IY$19)</f>
        <v>0</v>
      </c>
      <c r="DJ390" s="56"/>
      <c r="DK390" s="147">
        <f t="shared" si="2518"/>
        <v>0</v>
      </c>
      <c r="DL390" s="147">
        <f t="shared" si="2519"/>
        <v>18782.299999999981</v>
      </c>
      <c r="DM390" s="56"/>
      <c r="DP390" s="55">
        <f t="shared" si="2520"/>
        <v>46356</v>
      </c>
      <c r="DQ390" s="56"/>
      <c r="DR390" s="57">
        <f>SUMPRODUCT(PRODUCE!$B385:$DY385,PRODUCE!$EB$20:$IY$20)</f>
        <v>0</v>
      </c>
      <c r="DS390" s="56"/>
      <c r="DT390" s="57">
        <f t="shared" si="2521"/>
        <v>0</v>
      </c>
      <c r="DU390" s="57">
        <f t="shared" si="2522"/>
        <v>5800</v>
      </c>
      <c r="DV390" s="56"/>
      <c r="DY390" s="55">
        <f t="shared" si="2523"/>
        <v>46356</v>
      </c>
      <c r="DZ390" s="56"/>
      <c r="EA390" s="157">
        <f>SUMPRODUCT(PRODUCE!$B385:$DY385,PRODUCE!$EB$21:$IY$21)</f>
        <v>0</v>
      </c>
      <c r="EB390" s="56"/>
      <c r="EC390" s="157">
        <f t="shared" si="2524"/>
        <v>0</v>
      </c>
      <c r="ED390" s="157">
        <f t="shared" si="2525"/>
        <v>0</v>
      </c>
      <c r="EE390" s="56"/>
      <c r="EH390" s="55">
        <f t="shared" si="2526"/>
        <v>46356</v>
      </c>
      <c r="EI390" s="56"/>
      <c r="EJ390" s="162">
        <f>SUMPRODUCT(PRODUCE!$B385:$DY385,PRODUCE!$EB$22:$IY$22)</f>
        <v>0</v>
      </c>
      <c r="EK390" s="56"/>
      <c r="EL390" s="162">
        <f t="shared" si="2527"/>
        <v>0</v>
      </c>
      <c r="EM390" s="162">
        <f t="shared" si="2528"/>
        <v>0</v>
      </c>
      <c r="EN390" s="56"/>
      <c r="EQ390" s="55">
        <f t="shared" si="2529"/>
        <v>46356</v>
      </c>
      <c r="ER390" s="56"/>
      <c r="ES390" s="135">
        <f>SUMPRODUCT(PRODUCE!$B385:$DY385,PRODUCE!$EB$23:$IY$23)</f>
        <v>0</v>
      </c>
      <c r="ET390" s="56"/>
      <c r="EU390" s="135">
        <f t="shared" si="2530"/>
        <v>0</v>
      </c>
      <c r="EV390" s="135">
        <f t="shared" si="2531"/>
        <v>0</v>
      </c>
      <c r="EW390" s="56"/>
      <c r="EZ390" s="55">
        <f t="shared" si="2532"/>
        <v>46356</v>
      </c>
      <c r="FA390" s="56"/>
      <c r="FB390" s="175">
        <f>SUMPRODUCT(PRODUCE!$B385:$DY385,PRODUCE!$EB$24:$IY$24)</f>
        <v>0</v>
      </c>
      <c r="FC390" s="56"/>
      <c r="FD390" s="175">
        <f t="shared" si="2533"/>
        <v>0</v>
      </c>
      <c r="FE390" s="175">
        <f t="shared" si="2534"/>
        <v>0</v>
      </c>
      <c r="FF390" s="56"/>
      <c r="FI390" s="55">
        <f t="shared" si="2535"/>
        <v>46356</v>
      </c>
      <c r="FJ390" s="56"/>
      <c r="FK390" s="183">
        <f>SUMPRODUCT(PRODUCE!$B385:$DY385,PRODUCE!$EB$25:$IY$25)</f>
        <v>0</v>
      </c>
      <c r="FL390" s="56"/>
      <c r="FM390" s="183">
        <f t="shared" si="2536"/>
        <v>0</v>
      </c>
      <c r="FN390" s="183">
        <f t="shared" si="2537"/>
        <v>0</v>
      </c>
      <c r="FO390" s="56"/>
      <c r="FR390" s="55">
        <f t="shared" si="2538"/>
        <v>46356</v>
      </c>
      <c r="FS390" s="56"/>
      <c r="FT390" s="186">
        <f>SUMPRODUCT(PRODUCE!$B385:$DY385,PRODUCE!$EB$26:$IY$26)</f>
        <v>0</v>
      </c>
      <c r="FU390" s="56"/>
      <c r="FV390" s="186">
        <f t="shared" si="2539"/>
        <v>0</v>
      </c>
      <c r="FW390" s="186">
        <f t="shared" si="2540"/>
        <v>2020</v>
      </c>
      <c r="FX390" s="56"/>
      <c r="GA390" s="55">
        <f t="shared" si="2541"/>
        <v>46356</v>
      </c>
      <c r="GB390" s="56"/>
      <c r="GC390" s="137">
        <f>SUMPRODUCT(PRODUCE!$B385:$DY385,PRODUCE!$EB$27:$IY$27)</f>
        <v>0</v>
      </c>
      <c r="GD390" s="56"/>
      <c r="GE390" s="137">
        <f t="shared" si="2542"/>
        <v>0</v>
      </c>
      <c r="GF390" s="137">
        <f t="shared" si="2543"/>
        <v>960</v>
      </c>
      <c r="GG390" s="56"/>
      <c r="GI390" s="23"/>
      <c r="GJ390" s="55">
        <f t="shared" si="2544"/>
        <v>46356</v>
      </c>
      <c r="GK390" s="56"/>
      <c r="GL390" s="199">
        <f>SUMPRODUCT(PRODUCE!$B385:$DY385,PRODUCE!$EB$28:$IY$28)</f>
        <v>0</v>
      </c>
      <c r="GM390" s="56"/>
      <c r="GN390" s="199">
        <f t="shared" si="2545"/>
        <v>0</v>
      </c>
      <c r="GO390" s="199">
        <f t="shared" si="2546"/>
        <v>1760</v>
      </c>
      <c r="GP390" s="56"/>
      <c r="GS390" s="55">
        <f t="shared" si="2547"/>
        <v>46356</v>
      </c>
      <c r="GT390" s="56"/>
      <c r="GU390" s="195">
        <f>SUMPRODUCT(PRODUCE!$B385:$DY385,PRODUCE!$EB$29:$IY$29)</f>
        <v>0</v>
      </c>
      <c r="GV390" s="56"/>
      <c r="GW390" s="195">
        <f t="shared" si="2548"/>
        <v>0</v>
      </c>
      <c r="GX390" s="195">
        <f t="shared" si="2549"/>
        <v>400</v>
      </c>
      <c r="GY390" s="56"/>
      <c r="HB390" s="55">
        <f t="shared" si="2550"/>
        <v>46356</v>
      </c>
      <c r="HC390" s="56"/>
      <c r="HD390" s="191">
        <f>SUMPRODUCT(PRODUCE!$B385:$DY385,PRODUCE!$EB$30:$IY$30)</f>
        <v>0</v>
      </c>
      <c r="HE390" s="56"/>
      <c r="HF390" s="191">
        <f t="shared" si="2551"/>
        <v>0</v>
      </c>
      <c r="HG390" s="191">
        <f t="shared" si="2552"/>
        <v>3600</v>
      </c>
      <c r="HH390" s="56"/>
      <c r="HK390" s="55">
        <f t="shared" si="2553"/>
        <v>46356</v>
      </c>
      <c r="HL390" s="56"/>
      <c r="HM390" s="63">
        <f>SUMPRODUCT(PRODUCE!$B385:$DY385,PRODUCE!$EB$31:$IY$31)</f>
        <v>0</v>
      </c>
      <c r="HN390" s="56"/>
      <c r="HO390" s="63">
        <f t="shared" si="2554"/>
        <v>0</v>
      </c>
      <c r="HP390" s="63">
        <f t="shared" si="2555"/>
        <v>0</v>
      </c>
      <c r="HQ390" s="56"/>
      <c r="HU390" s="55">
        <f t="shared" si="2556"/>
        <v>46356</v>
      </c>
      <c r="HV390" s="56"/>
      <c r="HW390" s="242">
        <f>SUMPRODUCT(PRODUCE!$B385:$DY385,PRODUCE!$EB$32:$IY$32)</f>
        <v>0</v>
      </c>
      <c r="HX390" s="56"/>
      <c r="HY390" s="242">
        <f t="shared" si="2557"/>
        <v>0</v>
      </c>
      <c r="HZ390" s="242">
        <f t="shared" si="2558"/>
        <v>6120</v>
      </c>
      <c r="IA390" s="56"/>
      <c r="ID390" s="55">
        <f t="shared" si="2559"/>
        <v>46356</v>
      </c>
      <c r="IE390" s="56"/>
      <c r="IF390" s="242">
        <f>SUMPRODUCT(PRODUCE!$B385:$DY385,PRODUCE!$EB$33:$IY$33)</f>
        <v>0</v>
      </c>
      <c r="IG390" s="56"/>
      <c r="IH390" s="242">
        <f t="shared" si="2560"/>
        <v>0</v>
      </c>
      <c r="II390" s="242">
        <f t="shared" si="2561"/>
        <v>0</v>
      </c>
      <c r="IJ390" s="56"/>
      <c r="IM390" s="55">
        <f t="shared" si="2562"/>
        <v>46356</v>
      </c>
      <c r="IN390" s="56"/>
      <c r="IO390" s="242">
        <f>SUMPRODUCT(PRODUCE!$B385:$DY385,PRODUCE!$EB$34:$IY$34)</f>
        <v>0</v>
      </c>
      <c r="IP390" s="56"/>
      <c r="IQ390" s="242">
        <f t="shared" si="2563"/>
        <v>0</v>
      </c>
      <c r="IR390" s="242">
        <f t="shared" si="2564"/>
        <v>0</v>
      </c>
      <c r="IS390" s="56"/>
      <c r="IV390" s="55">
        <f t="shared" si="2565"/>
        <v>46356</v>
      </c>
      <c r="IW390" s="56"/>
      <c r="IX390" s="242">
        <f>SUMPRODUCT(PRODUCE!$B385:$DY385,PRODUCE!$EB$35:$IY$35)</f>
        <v>0</v>
      </c>
      <c r="IY390" s="56"/>
      <c r="IZ390" s="242">
        <f t="shared" si="2566"/>
        <v>0</v>
      </c>
      <c r="JA390" s="242">
        <f t="shared" si="2567"/>
        <v>2820</v>
      </c>
      <c r="JB390" s="56"/>
      <c r="JE390" s="55">
        <f t="shared" si="2568"/>
        <v>46356</v>
      </c>
      <c r="JF390" s="56"/>
      <c r="JG390" s="242">
        <f>SUMPRODUCT(PRODUCE!$B385:$DY385,PRODUCE!$EB$36:$IY$36)</f>
        <v>0</v>
      </c>
      <c r="JH390" s="56"/>
      <c r="JI390" s="242">
        <f t="shared" si="2569"/>
        <v>0</v>
      </c>
      <c r="JJ390" s="242">
        <f t="shared" si="2570"/>
        <v>0</v>
      </c>
      <c r="JK390" s="56"/>
      <c r="JN390" s="55">
        <f t="shared" si="2571"/>
        <v>46356</v>
      </c>
      <c r="JO390" s="56"/>
      <c r="JP390" s="242">
        <f>SUMPRODUCT(PRODUCE!$B385:$DY385,PRODUCE!$EB$37:$IY$37)</f>
        <v>0</v>
      </c>
      <c r="JQ390" s="56"/>
      <c r="JR390" s="242">
        <f t="shared" si="2572"/>
        <v>0</v>
      </c>
      <c r="JS390" s="242">
        <f t="shared" si="2573"/>
        <v>0</v>
      </c>
      <c r="JT390" s="56"/>
      <c r="JW390" s="55">
        <f t="shared" si="2574"/>
        <v>46356</v>
      </c>
      <c r="JX390" s="56"/>
      <c r="JY390" s="242">
        <f>SUMPRODUCT(PRODUCE!$B385:$DY385,PRODUCE!$EB$38:$IY$38)</f>
        <v>0</v>
      </c>
      <c r="JZ390" s="56"/>
      <c r="KA390" s="242">
        <f t="shared" si="2575"/>
        <v>0</v>
      </c>
      <c r="KB390" s="242">
        <f t="shared" si="2576"/>
        <v>2540</v>
      </c>
      <c r="KC390" s="56"/>
      <c r="KF390" s="55">
        <f t="shared" si="2577"/>
        <v>46356</v>
      </c>
      <c r="KG390" s="56"/>
      <c r="KH390" s="242">
        <f>SUMPRODUCT(PRODUCE!$B385:$DY385,PRODUCE!$EB$39:$IY$39)</f>
        <v>0</v>
      </c>
      <c r="KI390" s="56"/>
      <c r="KJ390" s="242">
        <f t="shared" si="2578"/>
        <v>0</v>
      </c>
      <c r="KK390" s="242">
        <f t="shared" si="2579"/>
        <v>2359.5</v>
      </c>
      <c r="KL390" s="56"/>
      <c r="KO390" s="55">
        <f t="shared" si="2580"/>
        <v>46356</v>
      </c>
      <c r="KP390" s="56"/>
      <c r="KQ390" s="242">
        <f>SUMPRODUCT(PRODUCE!$B385:$DY385,PRODUCE!$EB$40:$IY$40)</f>
        <v>0</v>
      </c>
      <c r="KR390" s="56"/>
      <c r="KS390" s="242">
        <f t="shared" si="2581"/>
        <v>0</v>
      </c>
      <c r="KT390" s="242">
        <f t="shared" si="2582"/>
        <v>1890</v>
      </c>
      <c r="KU390" s="56"/>
      <c r="KW390" s="23"/>
      <c r="KX390" s="55">
        <f t="shared" si="2583"/>
        <v>46356</v>
      </c>
      <c r="KY390" s="56"/>
      <c r="KZ390" s="242">
        <f>SUMPRODUCT(PRODUCE!$B385:$DY385,PRODUCE!$EB$41:$IY$41)</f>
        <v>0</v>
      </c>
      <c r="LA390" s="56"/>
      <c r="LB390" s="242">
        <f t="shared" si="2584"/>
        <v>0</v>
      </c>
      <c r="LC390" s="242">
        <f t="shared" si="2585"/>
        <v>3690</v>
      </c>
      <c r="LD390" s="56"/>
      <c r="LG390" s="55">
        <f t="shared" si="2586"/>
        <v>46356</v>
      </c>
      <c r="LH390" s="56"/>
      <c r="LI390" s="242">
        <f>SUMPRODUCT(PRODUCE!$B385:$DY385,PRODUCE!$EB$42:$IY$42)</f>
        <v>0</v>
      </c>
      <c r="LJ390" s="56"/>
      <c r="LK390" s="242">
        <f t="shared" si="2587"/>
        <v>0</v>
      </c>
      <c r="LL390" s="242">
        <f t="shared" si="2588"/>
        <v>4000</v>
      </c>
      <c r="LM390" s="56"/>
      <c r="LP390" s="55">
        <f t="shared" si="2589"/>
        <v>46356</v>
      </c>
      <c r="LQ390" s="56"/>
      <c r="LR390" s="242">
        <f>SUMPRODUCT(PRODUCE!$B405:$DY405,PRODUCE!$EB$43:$IY$43)</f>
        <v>0</v>
      </c>
      <c r="LS390" s="56"/>
      <c r="LT390" s="242">
        <f t="shared" si="2590"/>
        <v>0</v>
      </c>
      <c r="LU390" s="242">
        <f t="shared" si="2591"/>
        <v>0</v>
      </c>
      <c r="LV390" s="56"/>
      <c r="LY390" s="55">
        <f t="shared" si="2592"/>
        <v>46356</v>
      </c>
      <c r="LZ390" s="56"/>
      <c r="MA390" s="242">
        <f>SUMPRODUCT(PRODUCE!$B385:$DY385,PRODUCE!$EB$44:$IY$44)</f>
        <v>0</v>
      </c>
      <c r="MB390" s="56"/>
      <c r="MC390" s="242">
        <f t="shared" si="2593"/>
        <v>0</v>
      </c>
      <c r="MD390" s="242">
        <f t="shared" si="2594"/>
        <v>0</v>
      </c>
      <c r="ME390" s="56"/>
      <c r="MH390" s="55">
        <f t="shared" si="2595"/>
        <v>46356</v>
      </c>
      <c r="MI390" s="56"/>
      <c r="MJ390" s="242">
        <f>SUMPRODUCT(PRODUCE!$B385:$DY385,PRODUCE!$EB$45:$IY$45)</f>
        <v>0</v>
      </c>
      <c r="MK390" s="56"/>
      <c r="ML390" s="242">
        <f t="shared" si="2596"/>
        <v>0</v>
      </c>
      <c r="MM390" s="242">
        <f t="shared" si="2597"/>
        <v>0</v>
      </c>
      <c r="MN390" s="56"/>
      <c r="MQ390" s="55">
        <f t="shared" si="2598"/>
        <v>46356</v>
      </c>
      <c r="MR390" s="56"/>
      <c r="MS390" s="242">
        <f>SUMPRODUCT(PRODUCE!$B385:$DY385,PRODUCE!$EB$46:$IY$46)</f>
        <v>0</v>
      </c>
      <c r="MT390" s="56"/>
      <c r="MU390" s="242">
        <f t="shared" si="2599"/>
        <v>0</v>
      </c>
      <c r="MV390" s="242">
        <f t="shared" si="2600"/>
        <v>1625</v>
      </c>
      <c r="MW390" s="56"/>
      <c r="MZ390" s="55">
        <f t="shared" si="2601"/>
        <v>46356</v>
      </c>
      <c r="NA390" s="56"/>
      <c r="NB390" s="242">
        <f>SUMPRODUCT(PRODUCE!$B385:$DY385,PRODUCE!$EB$47:$IY$47)</f>
        <v>0</v>
      </c>
      <c r="NC390" s="56"/>
      <c r="ND390" s="242">
        <f t="shared" si="2602"/>
        <v>0</v>
      </c>
      <c r="NE390" s="242">
        <f t="shared" si="2603"/>
        <v>0</v>
      </c>
      <c r="NF390" s="56"/>
      <c r="NI390" s="55">
        <f t="shared" si="2604"/>
        <v>46356</v>
      </c>
      <c r="NJ390" s="56"/>
      <c r="NK390" s="242">
        <f>SUMPRODUCT(PRODUCE!$B385:$DY385,PRODUCE!$EB$48:$IY$48)</f>
        <v>0</v>
      </c>
      <c r="NL390" s="56"/>
      <c r="NM390" s="242">
        <f t="shared" si="2605"/>
        <v>0</v>
      </c>
      <c r="NN390" s="242">
        <f t="shared" si="2606"/>
        <v>1127</v>
      </c>
      <c r="NO390" s="56"/>
      <c r="NR390" s="55">
        <f t="shared" si="2607"/>
        <v>46356</v>
      </c>
      <c r="NS390" s="56"/>
      <c r="NT390" s="242">
        <f>SUMPRODUCT(PRODUCE!$B385:$DY385,PRODUCE!$EB$49:$IY$49)</f>
        <v>0</v>
      </c>
      <c r="NU390" s="56"/>
      <c r="NV390" s="242">
        <f t="shared" si="2608"/>
        <v>0</v>
      </c>
      <c r="NW390" s="242">
        <f t="shared" si="2609"/>
        <v>3111.9999999999995</v>
      </c>
      <c r="NX390" s="56"/>
      <c r="OA390" s="55">
        <f t="shared" si="2610"/>
        <v>46356</v>
      </c>
      <c r="OB390" s="56"/>
      <c r="OC390" s="242">
        <f>SUMPRODUCT(PRODUCE!$B385:$DY385,PRODUCE!$EB$50:$IY$50)</f>
        <v>0</v>
      </c>
      <c r="OD390" s="56"/>
      <c r="OE390" s="242">
        <f t="shared" si="2611"/>
        <v>0</v>
      </c>
      <c r="OF390" s="242">
        <f t="shared" si="2612"/>
        <v>1680.5</v>
      </c>
      <c r="OG390" s="56"/>
      <c r="OJ390" s="55">
        <f t="shared" si="2613"/>
        <v>46356</v>
      </c>
      <c r="OK390" s="56"/>
      <c r="OL390" s="242">
        <f>SUMPRODUCT(PRODUCE!$B385:$DY385,PRODUCE!$EB$51:$IY$51)</f>
        <v>0</v>
      </c>
      <c r="OM390" s="56"/>
      <c r="ON390" s="242">
        <f t="shared" si="2614"/>
        <v>0</v>
      </c>
      <c r="OO390" s="242">
        <f t="shared" si="2615"/>
        <v>0</v>
      </c>
      <c r="OP390" s="56"/>
      <c r="OS390" s="55">
        <f t="shared" si="2616"/>
        <v>46356</v>
      </c>
      <c r="OT390" s="56"/>
      <c r="OU390" s="242">
        <f>SUMPRODUCT(PRODUCE!$B385:$DY385,PRODUCE!$EB$52:$IY$52)</f>
        <v>0</v>
      </c>
      <c r="OV390" s="56"/>
      <c r="OW390" s="242">
        <f t="shared" si="2617"/>
        <v>0</v>
      </c>
      <c r="OX390" s="242">
        <f t="shared" si="2618"/>
        <v>1482</v>
      </c>
      <c r="OY390" s="56"/>
      <c r="PB390" s="55">
        <f t="shared" si="2619"/>
        <v>46356</v>
      </c>
      <c r="PC390" s="56"/>
      <c r="PD390" s="242">
        <f>SUMPRODUCT(PRODUCE!$B385:$DY385,PRODUCE!$EB$53:$IY$53)</f>
        <v>0</v>
      </c>
      <c r="PE390" s="56"/>
      <c r="PF390" s="242">
        <f t="shared" si="2620"/>
        <v>0</v>
      </c>
      <c r="PG390" s="242">
        <f t="shared" si="2621"/>
        <v>0</v>
      </c>
      <c r="PH390" s="56"/>
      <c r="PK390" s="55">
        <f t="shared" si="2622"/>
        <v>46356</v>
      </c>
      <c r="PL390" s="56"/>
      <c r="PM390" s="242">
        <f>SUMPRODUCT(PRODUCE!$B385:$DY385,PRODUCE!$EB$54:$IY$54)</f>
        <v>0</v>
      </c>
      <c r="PN390" s="56"/>
      <c r="PO390" s="242">
        <f t="shared" si="2623"/>
        <v>0</v>
      </c>
      <c r="PP390" s="242">
        <f t="shared" si="2624"/>
        <v>100</v>
      </c>
      <c r="PQ390" s="56"/>
      <c r="PT390" s="55">
        <f t="shared" si="2625"/>
        <v>46356</v>
      </c>
      <c r="PU390" s="56"/>
      <c r="PV390" s="242">
        <f>SUMPRODUCT(PRODUCE!$B385:$DY385,PRODUCE!$EB$55:$IY$55)</f>
        <v>0</v>
      </c>
      <c r="PW390" s="56"/>
      <c r="PX390" s="242">
        <f t="shared" si="2626"/>
        <v>0</v>
      </c>
      <c r="PY390" s="242">
        <f t="shared" si="2627"/>
        <v>13.960000000000036</v>
      </c>
      <c r="PZ390" s="56"/>
      <c r="QC390" s="55">
        <f t="shared" si="2628"/>
        <v>46356</v>
      </c>
      <c r="QD390" s="56"/>
      <c r="QE390" s="242">
        <f>SUMPRODUCT(PRODUCE!$B385:$DY385,PRODUCE!$EB$56:$IY$56)</f>
        <v>0</v>
      </c>
      <c r="QF390" s="56"/>
      <c r="QG390" s="242">
        <f t="shared" si="2629"/>
        <v>0</v>
      </c>
      <c r="QH390" s="242">
        <f t="shared" si="2630"/>
        <v>548</v>
      </c>
      <c r="QI390" s="56"/>
      <c r="QL390" s="55">
        <f t="shared" si="2631"/>
        <v>46356</v>
      </c>
      <c r="QM390" s="56"/>
      <c r="QN390" s="242">
        <f>SUMPRODUCT(PRODUCE!$B385:$DY385,PRODUCE!$EB$57:$IY$57)</f>
        <v>0</v>
      </c>
      <c r="QO390" s="56"/>
      <c r="QP390" s="242">
        <f t="shared" si="2632"/>
        <v>0</v>
      </c>
      <c r="QQ390" s="242">
        <f t="shared" si="2633"/>
        <v>0</v>
      </c>
      <c r="QR390" s="56"/>
      <c r="QU390" s="55">
        <f t="shared" si="2634"/>
        <v>46356</v>
      </c>
      <c r="QV390" s="56"/>
      <c r="QW390" s="242">
        <f>SUMPRODUCT(PRODUCE!$B385:$DY385,PRODUCE!$EB$57:$IY$57)</f>
        <v>0</v>
      </c>
      <c r="QX390" s="56"/>
      <c r="QY390" s="242">
        <f t="shared" si="2635"/>
        <v>0</v>
      </c>
      <c r="QZ390" s="242">
        <f t="shared" si="2636"/>
        <v>0</v>
      </c>
      <c r="RA390" s="56"/>
      <c r="RD390" s="55">
        <f t="shared" si="2637"/>
        <v>46356</v>
      </c>
      <c r="RE390" s="56"/>
      <c r="RF390" s="242">
        <f>SUMPRODUCT(PRODUCE!$B385:$DY385,PRODUCE!$EB$58:$IY$58)</f>
        <v>0</v>
      </c>
      <c r="RG390" s="56"/>
      <c r="RH390" s="242">
        <f t="shared" si="2638"/>
        <v>0</v>
      </c>
      <c r="RI390" s="242">
        <f t="shared" si="2639"/>
        <v>147.04000000000002</v>
      </c>
      <c r="RJ390" s="56"/>
      <c r="RM390" s="55">
        <f t="shared" si="2640"/>
        <v>46356</v>
      </c>
      <c r="RN390" s="56"/>
      <c r="RO390" s="242">
        <f>SUMPRODUCT(PRODUCE!$B385:$DY385,PRODUCE!$EB$57:$IY$57)</f>
        <v>0</v>
      </c>
      <c r="RP390" s="56"/>
      <c r="RQ390" s="242">
        <f t="shared" si="2641"/>
        <v>0</v>
      </c>
      <c r="RR390" s="242">
        <f t="shared" si="2642"/>
        <v>46.8</v>
      </c>
      <c r="RS390" s="56"/>
      <c r="RV390" s="55">
        <f t="shared" si="2643"/>
        <v>46356</v>
      </c>
      <c r="RW390" s="56"/>
      <c r="RX390" s="242">
        <f>SUMPRODUCT(PRODUCE!$B385:$DY385,PRODUCE!$EB$57:$IY$57)</f>
        <v>0</v>
      </c>
      <c r="RY390" s="56"/>
      <c r="RZ390" s="242">
        <f t="shared" si="2644"/>
        <v>0</v>
      </c>
      <c r="SA390" s="242">
        <f t="shared" si="2645"/>
        <v>0</v>
      </c>
      <c r="SB390" s="56"/>
      <c r="SE390" s="55">
        <f t="shared" si="2646"/>
        <v>46356</v>
      </c>
      <c r="SF390" s="56"/>
      <c r="SG390" s="242">
        <f>SUMPRODUCT(PRODUCE!$B385:$DY385,PRODUCE!$EB$61:$IY$61)</f>
        <v>0</v>
      </c>
      <c r="SH390" s="56"/>
      <c r="SI390" s="242">
        <f t="shared" si="2647"/>
        <v>0</v>
      </c>
      <c r="SJ390" s="242">
        <f t="shared" si="2648"/>
        <v>24.200000000000003</v>
      </c>
      <c r="SK390" s="56"/>
      <c r="SN390" s="55">
        <f t="shared" si="2649"/>
        <v>46356</v>
      </c>
      <c r="SO390" s="56"/>
      <c r="SP390" s="242">
        <f>SUMPRODUCT(PRODUCE!$B385:$DY385,PRODUCE!$EB$57:$IY$57)</f>
        <v>0</v>
      </c>
      <c r="SQ390" s="56"/>
      <c r="SR390" s="242">
        <f t="shared" si="2650"/>
        <v>0</v>
      </c>
      <c r="SS390" s="242">
        <f t="shared" si="2651"/>
        <v>32</v>
      </c>
      <c r="ST390" s="56"/>
      <c r="SW390" s="55">
        <f t="shared" si="2652"/>
        <v>46356</v>
      </c>
      <c r="SX390" s="56"/>
      <c r="SY390" s="242">
        <f>SUMPRODUCT(PRODUCE!$B385:$DY385,PRODUCE!$EB$57:$IY$57)</f>
        <v>0</v>
      </c>
      <c r="SZ390" s="56"/>
      <c r="TA390" s="242">
        <f t="shared" si="2653"/>
        <v>0</v>
      </c>
      <c r="TB390" s="242">
        <f t="shared" si="2654"/>
        <v>0</v>
      </c>
      <c r="TC390" s="56"/>
      <c r="TF390" s="55">
        <f t="shared" si="2655"/>
        <v>46356</v>
      </c>
      <c r="TG390" s="56"/>
      <c r="TH390" s="242">
        <f>SUMPRODUCT(PRODUCE!$B385:$DY385,PRODUCE!$EB$57:$IY$57)</f>
        <v>0</v>
      </c>
      <c r="TI390" s="56"/>
      <c r="TJ390" s="242">
        <f t="shared" si="2656"/>
        <v>0</v>
      </c>
      <c r="TK390" s="242">
        <f t="shared" si="2657"/>
        <v>0</v>
      </c>
      <c r="TL390" s="56"/>
      <c r="TO390" s="55">
        <f t="shared" si="2658"/>
        <v>46356</v>
      </c>
      <c r="TP390" s="56"/>
      <c r="TQ390" s="242">
        <f>SUMPRODUCT(PRODUCE!$B385:$DY385,PRODUCE!$EB$57:$IY$57)</f>
        <v>0</v>
      </c>
      <c r="TR390" s="56"/>
      <c r="TS390" s="242">
        <f t="shared" si="2659"/>
        <v>0</v>
      </c>
      <c r="TT390" s="242">
        <f t="shared" si="2660"/>
        <v>0</v>
      </c>
      <c r="TU390" s="56"/>
      <c r="TX390" s="55">
        <f t="shared" si="2661"/>
        <v>46356</v>
      </c>
      <c r="TY390" s="56"/>
      <c r="TZ390" s="242">
        <f>SUMPRODUCT(PRODUCE!$B385:$DY385,PRODUCE!$EB$57:$IY$57)</f>
        <v>0</v>
      </c>
      <c r="UA390" s="56"/>
      <c r="UB390" s="242">
        <f t="shared" si="2662"/>
        <v>0</v>
      </c>
      <c r="UC390" s="242">
        <f t="shared" si="2663"/>
        <v>46.799999999999983</v>
      </c>
      <c r="UD390" s="56"/>
      <c r="UG390" s="55">
        <f t="shared" si="2664"/>
        <v>46356</v>
      </c>
      <c r="UH390" s="56"/>
      <c r="UI390" s="242">
        <f>SUMPRODUCT(PRODUCE!$B385:$DY385,PRODUCE!$EB$57:$IY$57)</f>
        <v>0</v>
      </c>
      <c r="UJ390" s="56"/>
      <c r="UK390" s="242">
        <f t="shared" si="2665"/>
        <v>0</v>
      </c>
      <c r="UL390" s="242">
        <f t="shared" si="2666"/>
        <v>204</v>
      </c>
      <c r="UM390" s="56"/>
      <c r="UP390" s="55">
        <f t="shared" si="2667"/>
        <v>46356</v>
      </c>
      <c r="UQ390" s="56"/>
      <c r="UR390" s="242">
        <f>SUMPRODUCT(PRODUCE!$B385:$DY385,PRODUCE!$EB$57:$IY$57)</f>
        <v>0</v>
      </c>
      <c r="US390" s="56"/>
      <c r="UT390" s="242">
        <f t="shared" si="2668"/>
        <v>0</v>
      </c>
      <c r="UU390" s="242">
        <f t="shared" si="2669"/>
        <v>202.5</v>
      </c>
      <c r="UV390" s="56"/>
      <c r="UY390" s="55">
        <f t="shared" si="2670"/>
        <v>46356</v>
      </c>
      <c r="UZ390" s="56"/>
      <c r="VA390" s="242">
        <f>SUMPRODUCT(PRODUCE!$B385:$DY385,PRODUCE!$EB$57:$IY$57)</f>
        <v>0</v>
      </c>
      <c r="VB390" s="56"/>
      <c r="VC390" s="242">
        <f t="shared" si="2671"/>
        <v>0</v>
      </c>
      <c r="VD390" s="242">
        <f t="shared" si="2672"/>
        <v>41.600000000000023</v>
      </c>
      <c r="VE390" s="56"/>
      <c r="VH390" s="55">
        <f t="shared" si="2673"/>
        <v>46356</v>
      </c>
      <c r="VI390" s="56"/>
      <c r="VJ390" s="242">
        <f>SUMPRODUCT(PRODUCE!$B385:$DY385,PRODUCE!$EB$57:$IY$57)</f>
        <v>0</v>
      </c>
      <c r="VK390" s="56"/>
      <c r="VL390" s="242">
        <f t="shared" si="2674"/>
        <v>0</v>
      </c>
      <c r="VM390" s="242">
        <f t="shared" si="2675"/>
        <v>210</v>
      </c>
      <c r="VN390" s="56"/>
      <c r="VQ390" s="55">
        <f t="shared" si="2676"/>
        <v>46356</v>
      </c>
      <c r="VR390" s="56"/>
      <c r="VS390" s="242">
        <f>SUMPRODUCT(PRODUCE!$B385:$DY385,PRODUCE!$EB$57:$IY$57)</f>
        <v>0</v>
      </c>
      <c r="VT390" s="56"/>
      <c r="VU390" s="242">
        <f t="shared" si="2677"/>
        <v>0</v>
      </c>
      <c r="VV390" s="242">
        <f t="shared" si="2678"/>
        <v>0</v>
      </c>
      <c r="VW390" s="56"/>
      <c r="VZ390" s="55">
        <f t="shared" si="2679"/>
        <v>46356</v>
      </c>
      <c r="WA390" s="56"/>
      <c r="WB390" s="242">
        <f>SUMPRODUCT(PRODUCE!$B385:$DY385,PRODUCE!$EB$57:$IY$57)</f>
        <v>0</v>
      </c>
      <c r="WC390" s="56"/>
      <c r="WD390" s="242">
        <f t="shared" si="2680"/>
        <v>0</v>
      </c>
      <c r="WE390" s="242">
        <f t="shared" si="2681"/>
        <v>0</v>
      </c>
      <c r="WF390" s="56"/>
      <c r="WI390" s="55">
        <f t="shared" si="2682"/>
        <v>46356</v>
      </c>
      <c r="WJ390" s="56"/>
      <c r="WK390" s="242">
        <f>SUMPRODUCT(PRODUCE!$B385:$DY385,PRODUCE!$EB$57:$IY$57)</f>
        <v>0</v>
      </c>
      <c r="WL390" s="56"/>
      <c r="WM390" s="242">
        <f t="shared" si="2683"/>
        <v>0</v>
      </c>
      <c r="WN390" s="242">
        <f t="shared" si="2684"/>
        <v>1057</v>
      </c>
      <c r="WO390" s="56"/>
      <c r="WR390" s="55">
        <f t="shared" si="2685"/>
        <v>46356</v>
      </c>
      <c r="WS390" s="56"/>
      <c r="WT390" s="242">
        <f>SUMPRODUCT(PRODUCE!$B385:$DY385,PRODUCE!$EB$57:$IY$57)</f>
        <v>0</v>
      </c>
      <c r="WU390" s="56"/>
      <c r="WV390" s="242">
        <f t="shared" si="2686"/>
        <v>0</v>
      </c>
      <c r="WW390" s="242">
        <f t="shared" si="2687"/>
        <v>0</v>
      </c>
      <c r="WX390" s="56"/>
      <c r="XA390" s="55">
        <f t="shared" si="2688"/>
        <v>46356</v>
      </c>
      <c r="XB390" s="56"/>
      <c r="XC390" s="242">
        <f>SUMPRODUCT(PRODUCE!$B385:$DY385,PRODUCE!$EB$57:$IY$57)</f>
        <v>0</v>
      </c>
      <c r="XD390" s="56"/>
      <c r="XE390" s="242">
        <f t="shared" si="2689"/>
        <v>0</v>
      </c>
      <c r="XF390" s="242">
        <f t="shared" si="2690"/>
        <v>7507</v>
      </c>
      <c r="XG390" s="56"/>
      <c r="XJ390" s="55">
        <f t="shared" si="2691"/>
        <v>46356</v>
      </c>
      <c r="XK390" s="56"/>
      <c r="XL390" s="242">
        <f>SUMPRODUCT(PRODUCE!$B385:$DY385,PRODUCE!$EB$57:$IY$57)</f>
        <v>0</v>
      </c>
      <c r="XM390" s="56"/>
      <c r="XN390" s="242">
        <f t="shared" si="2692"/>
        <v>0</v>
      </c>
      <c r="XO390" s="242">
        <f t="shared" si="2693"/>
        <v>4252</v>
      </c>
      <c r="XP390" s="56"/>
      <c r="XS390" s="55">
        <f t="shared" si="2694"/>
        <v>46356</v>
      </c>
      <c r="XT390" s="56"/>
      <c r="XU390" s="242">
        <f>SUMPRODUCT(PRODUCE!$B385:$DY385,PRODUCE!$EB$57:$IY$57)</f>
        <v>0</v>
      </c>
      <c r="XV390" s="56"/>
      <c r="XW390" s="242">
        <f t="shared" si="2695"/>
        <v>0</v>
      </c>
      <c r="XX390" s="242">
        <f t="shared" si="2696"/>
        <v>2179</v>
      </c>
      <c r="XY390" s="56"/>
      <c r="YB390" s="55">
        <f t="shared" si="2697"/>
        <v>46356</v>
      </c>
      <c r="YC390" s="56"/>
      <c r="YD390" s="242">
        <f>SUMPRODUCT(PRODUCE!$B385:$DY385,PRODUCE!$EB$57:$IY$57)</f>
        <v>0</v>
      </c>
      <c r="YE390" s="56"/>
      <c r="YF390" s="242">
        <f t="shared" si="2698"/>
        <v>0</v>
      </c>
      <c r="YG390" s="242">
        <f t="shared" si="2699"/>
        <v>4019</v>
      </c>
      <c r="YH390" s="56"/>
      <c r="YK390" s="55">
        <f t="shared" si="2700"/>
        <v>46356</v>
      </c>
      <c r="YL390" s="56"/>
      <c r="YM390" s="242">
        <f>SUMPRODUCT(PRODUCE!$B385:$DY385,PRODUCE!$EB$57:$IY$57)</f>
        <v>0</v>
      </c>
      <c r="YN390" s="56"/>
      <c r="YO390" s="242">
        <f t="shared" si="2701"/>
        <v>0</v>
      </c>
      <c r="YP390" s="242">
        <f t="shared" si="2702"/>
        <v>-218</v>
      </c>
      <c r="YQ390" s="56"/>
      <c r="YT390" s="55">
        <f t="shared" si="2703"/>
        <v>46356</v>
      </c>
      <c r="YU390" s="56"/>
      <c r="YV390" s="242">
        <f>SUMPRODUCT(PRODUCE!$B385:$DY385,PRODUCE!$EB$57:$IY$57)</f>
        <v>0</v>
      </c>
      <c r="YW390" s="56"/>
      <c r="YX390" s="242">
        <f t="shared" si="2704"/>
        <v>0</v>
      </c>
      <c r="YY390" s="242">
        <f t="shared" si="2705"/>
        <v>0</v>
      </c>
      <c r="YZ390" s="56"/>
      <c r="ZC390" s="55">
        <f t="shared" si="2706"/>
        <v>46356</v>
      </c>
      <c r="ZD390" s="56"/>
      <c r="ZE390" s="242">
        <f>SUMPRODUCT(PRODUCE!$B385:$DY385,PRODUCE!$EB$57:$IY$57)</f>
        <v>0</v>
      </c>
      <c r="ZF390" s="56"/>
      <c r="ZG390" s="242">
        <f t="shared" si="2707"/>
        <v>0</v>
      </c>
      <c r="ZH390" s="242">
        <f t="shared" si="2708"/>
        <v>0</v>
      </c>
      <c r="ZI390" s="56"/>
      <c r="ZL390" s="55">
        <f t="shared" si="2709"/>
        <v>46356</v>
      </c>
      <c r="ZM390" s="56"/>
      <c r="ZN390" s="242">
        <f>SUMPRODUCT(PRODUCE!$B385:$DY385,PRODUCE!$EB$57:$IY$57)</f>
        <v>0</v>
      </c>
      <c r="ZO390" s="56"/>
      <c r="ZP390" s="242">
        <f t="shared" si="2710"/>
        <v>0</v>
      </c>
      <c r="ZQ390" s="242">
        <f t="shared" si="2711"/>
        <v>0</v>
      </c>
      <c r="ZR390" s="56"/>
      <c r="ZU390" s="55">
        <f t="shared" si="2712"/>
        <v>46356</v>
      </c>
      <c r="ZV390" s="56"/>
      <c r="ZW390" s="242">
        <f>SUMPRODUCT(PRODUCE!$B385:$DY385,PRODUCE!$EB$57:$IY$57)</f>
        <v>0</v>
      </c>
      <c r="ZX390" s="56"/>
      <c r="ZY390" s="242">
        <f t="shared" si="2713"/>
        <v>0</v>
      </c>
      <c r="ZZ390" s="242">
        <f t="shared" si="2714"/>
        <v>0</v>
      </c>
      <c r="AAA390" s="56"/>
      <c r="AAD390" s="55">
        <f t="shared" si="2715"/>
        <v>46356</v>
      </c>
      <c r="AAE390" s="56"/>
      <c r="AAF390" s="242">
        <f>SUMPRODUCT(PRODUCE!$B385:$DY385,PRODUCE!$EB$57:$IY$57)</f>
        <v>0</v>
      </c>
      <c r="AAG390" s="56"/>
      <c r="AAH390" s="242">
        <f t="shared" si="2716"/>
        <v>0</v>
      </c>
      <c r="AAI390" s="242">
        <f t="shared" si="2717"/>
        <v>0</v>
      </c>
      <c r="AAJ390" s="56"/>
      <c r="AAM390" s="55">
        <f t="shared" si="2718"/>
        <v>46356</v>
      </c>
      <c r="AAN390" s="56"/>
      <c r="AAO390" s="242">
        <f>SUMPRODUCT(PRODUCE!$B385:$DY385,PRODUCE!$EB$57:$IY$57)</f>
        <v>0</v>
      </c>
      <c r="AAP390" s="56"/>
      <c r="AAQ390" s="242">
        <f t="shared" si="2719"/>
        <v>0</v>
      </c>
      <c r="AAR390" s="242">
        <f t="shared" si="2720"/>
        <v>0</v>
      </c>
      <c r="AAS390" s="56"/>
      <c r="AAV390" s="55">
        <f t="shared" si="2721"/>
        <v>46356</v>
      </c>
      <c r="AAW390" s="56"/>
      <c r="AAX390" s="242">
        <f>SUMPRODUCT(PRODUCE!$B385:$DY385,PRODUCE!$EB$57:$IY$57)</f>
        <v>0</v>
      </c>
      <c r="AAY390" s="56"/>
      <c r="AAZ390" s="242">
        <f t="shared" si="2722"/>
        <v>0</v>
      </c>
      <c r="ABA390" s="242">
        <f t="shared" si="2723"/>
        <v>0</v>
      </c>
      <c r="ABB390" s="56"/>
      <c r="ABE390" s="55">
        <f t="shared" si="2724"/>
        <v>46356</v>
      </c>
      <c r="ABF390" s="56"/>
      <c r="ABG390" s="242">
        <f>SUMPRODUCT(PRODUCE!$B385:$DY385,PRODUCE!$EB$57:$IY$57)</f>
        <v>0</v>
      </c>
      <c r="ABH390" s="56"/>
      <c r="ABI390" s="242">
        <f t="shared" si="2725"/>
        <v>0</v>
      </c>
      <c r="ABJ390" s="242">
        <f t="shared" si="2726"/>
        <v>0</v>
      </c>
      <c r="ABK390" s="56"/>
    </row>
    <row r="391" spans="1:739" ht="14.45" thickBot="1">
      <c r="B391" s="480">
        <f>SUM(B360:B390)</f>
        <v>0</v>
      </c>
      <c r="C391" s="68" t="s">
        <v>72</v>
      </c>
      <c r="D391" s="73">
        <f>SUM(D361:D390)</f>
        <v>0</v>
      </c>
      <c r="E391" s="69">
        <f>SUM(E361:E390)</f>
        <v>0</v>
      </c>
      <c r="F391" s="69">
        <f>SUM(F361:F390)</f>
        <v>0</v>
      </c>
      <c r="G391" s="69">
        <f>SUM(G361:G390)</f>
        <v>0</v>
      </c>
      <c r="H391" s="70">
        <f>H390</f>
        <v>236936.6</v>
      </c>
      <c r="I391" s="289"/>
      <c r="L391" s="68" t="s">
        <v>72</v>
      </c>
      <c r="M391" s="73">
        <f>SUM(M361:M390)</f>
        <v>0</v>
      </c>
      <c r="N391" s="69">
        <f>SUM(N361:N390)</f>
        <v>0</v>
      </c>
      <c r="O391" s="69">
        <f>SUM(O361:O390)</f>
        <v>0</v>
      </c>
      <c r="P391" s="69">
        <f>SUM(P361:P390)</f>
        <v>0</v>
      </c>
      <c r="Q391" s="70">
        <f>Q390</f>
        <v>53017.600000000071</v>
      </c>
      <c r="R391" s="71"/>
      <c r="U391" s="68" t="s">
        <v>72</v>
      </c>
      <c r="V391" s="73">
        <f>SUM(V361:V390)</f>
        <v>0</v>
      </c>
      <c r="W391" s="69">
        <f>SUM(W361:W390)</f>
        <v>0</v>
      </c>
      <c r="X391" s="69">
        <f>SUM(X361:X390)</f>
        <v>0</v>
      </c>
      <c r="Y391" s="69">
        <f>SUM(Y361:Y390)</f>
        <v>0</v>
      </c>
      <c r="Z391" s="70">
        <f>Z390</f>
        <v>42674.199999999968</v>
      </c>
      <c r="AA391" s="71"/>
      <c r="AD391" s="68" t="s">
        <v>72</v>
      </c>
      <c r="AE391" s="73">
        <f>SUM(AE361:AE390)</f>
        <v>0</v>
      </c>
      <c r="AF391" s="69">
        <f>SUM(AF361:AF390)</f>
        <v>0</v>
      </c>
      <c r="AG391" s="69">
        <f>SUM(AG361:AG390)</f>
        <v>0</v>
      </c>
      <c r="AH391" s="69">
        <f>SUM(AH361:AH390)</f>
        <v>0</v>
      </c>
      <c r="AI391" s="70">
        <f>AI390</f>
        <v>4522.2000000000189</v>
      </c>
      <c r="AJ391" s="71"/>
      <c r="AM391" s="68" t="s">
        <v>72</v>
      </c>
      <c r="AN391" s="426">
        <f>SUM(AN361:AN390)</f>
        <v>0</v>
      </c>
      <c r="AO391" s="427">
        <f>SUM(AO361:AO390)</f>
        <v>0</v>
      </c>
      <c r="AP391" s="427">
        <f>SUM(AP361:AP390)</f>
        <v>0</v>
      </c>
      <c r="AQ391" s="427">
        <f>SUM(AQ361:AQ390)</f>
        <v>0</v>
      </c>
      <c r="AR391" s="428">
        <f>AR390</f>
        <v>0</v>
      </c>
      <c r="AS391" s="71"/>
      <c r="AV391" s="68" t="s">
        <v>72</v>
      </c>
      <c r="AW391" s="73">
        <f>SUM(AW361:AW390)</f>
        <v>0</v>
      </c>
      <c r="AX391" s="69">
        <f>SUM(AX361:AX390)</f>
        <v>0</v>
      </c>
      <c r="AY391" s="69">
        <f>SUM(AY361:AY390)</f>
        <v>0</v>
      </c>
      <c r="AZ391" s="69">
        <f>SUM(AZ361:AZ390)</f>
        <v>0</v>
      </c>
      <c r="BA391" s="70">
        <f>BA390</f>
        <v>124.99999999999523</v>
      </c>
      <c r="BB391" s="71"/>
      <c r="BE391" s="68" t="s">
        <v>72</v>
      </c>
      <c r="BF391" s="73">
        <f>SUM(BF361:BF390)</f>
        <v>0</v>
      </c>
      <c r="BG391" s="69">
        <f>SUM(BG361:BG390)</f>
        <v>0</v>
      </c>
      <c r="BH391" s="69">
        <f>SUM(BH361:BH390)</f>
        <v>0</v>
      </c>
      <c r="BI391" s="69">
        <f>SUM(BI361:BI390)</f>
        <v>0</v>
      </c>
      <c r="BJ391" s="70">
        <f>BJ390</f>
        <v>26151.899999999998</v>
      </c>
      <c r="BK391" s="71"/>
      <c r="BN391" s="68" t="s">
        <v>72</v>
      </c>
      <c r="BO391" s="73">
        <f>SUM(BO361:BO390)</f>
        <v>0</v>
      </c>
      <c r="BP391" s="69">
        <f>SUM(BP361:BP390)</f>
        <v>0</v>
      </c>
      <c r="BQ391" s="69">
        <f>SUM(BQ361:BQ390)</f>
        <v>0</v>
      </c>
      <c r="BR391" s="69">
        <f>SUM(BR361:BR390)</f>
        <v>0</v>
      </c>
      <c r="BS391" s="70">
        <f>BS390</f>
        <v>0</v>
      </c>
      <c r="BT391" s="71"/>
      <c r="BW391" s="68" t="s">
        <v>72</v>
      </c>
      <c r="BX391" s="73">
        <f>SUM(BX361:BX390)</f>
        <v>0</v>
      </c>
      <c r="BY391" s="69">
        <f>SUM(BY361:BY390)</f>
        <v>0</v>
      </c>
      <c r="BZ391" s="69">
        <f>SUM(BZ361:BZ390)</f>
        <v>0</v>
      </c>
      <c r="CA391" s="69">
        <f>SUM(CA361:CA390)</f>
        <v>0</v>
      </c>
      <c r="CB391" s="70">
        <f>CB390</f>
        <v>2097.3399999999992</v>
      </c>
      <c r="CC391" s="71"/>
      <c r="CF391" s="68" t="s">
        <v>72</v>
      </c>
      <c r="CG391" s="73">
        <f>SUM(CG361:CG390)</f>
        <v>0</v>
      </c>
      <c r="CH391" s="69">
        <f>SUM(CH361:CH390)</f>
        <v>0</v>
      </c>
      <c r="CI391" s="69">
        <f>SUM(CI361:CI390)</f>
        <v>0</v>
      </c>
      <c r="CJ391" s="69">
        <f>SUM(CJ361:CJ390)</f>
        <v>0</v>
      </c>
      <c r="CK391" s="70">
        <f>CK390</f>
        <v>-10277.079999999998</v>
      </c>
      <c r="CL391" s="71"/>
      <c r="CO391" s="72" t="s">
        <v>72</v>
      </c>
      <c r="CP391" s="426">
        <f>SUM(CP361:CP390)</f>
        <v>0</v>
      </c>
      <c r="CQ391" s="427">
        <f>SUM(CQ361:CQ390)</f>
        <v>0</v>
      </c>
      <c r="CR391" s="427">
        <f>SUM(CR361:CR390)</f>
        <v>0</v>
      </c>
      <c r="CS391" s="427">
        <f>SUM(CS361:CS390)</f>
        <v>0</v>
      </c>
      <c r="CT391" s="428">
        <f>CT390</f>
        <v>0</v>
      </c>
      <c r="CU391" s="71"/>
      <c r="CX391" s="72" t="s">
        <v>72</v>
      </c>
      <c r="CY391" s="73">
        <f>SUM(CY361:CY390)</f>
        <v>0</v>
      </c>
      <c r="CZ391" s="69">
        <f>SUM(CZ361:CZ390)</f>
        <v>0</v>
      </c>
      <c r="DA391" s="69">
        <f>SUM(DA361:DA390)</f>
        <v>0</v>
      </c>
      <c r="DB391" s="69">
        <f>SUM(DB361:DB390)</f>
        <v>0</v>
      </c>
      <c r="DC391" s="70">
        <f>DC390</f>
        <v>27438.200000000012</v>
      </c>
      <c r="DD391" s="71"/>
      <c r="DG391" s="72" t="s">
        <v>72</v>
      </c>
      <c r="DH391" s="73">
        <f>SUM(DH361:DH390)</f>
        <v>0</v>
      </c>
      <c r="DI391" s="148">
        <f>SUM(DI361:DI390)</f>
        <v>0</v>
      </c>
      <c r="DJ391" s="69">
        <f>SUM(DJ361:DJ390)</f>
        <v>0</v>
      </c>
      <c r="DK391" s="148">
        <f>SUM(DK361:DK390)</f>
        <v>0</v>
      </c>
      <c r="DL391" s="154">
        <f>DL390</f>
        <v>18782.299999999981</v>
      </c>
      <c r="DM391" s="71"/>
      <c r="DP391" s="72" t="s">
        <v>72</v>
      </c>
      <c r="DQ391" s="73">
        <f>SUM(DQ361:DQ390)</f>
        <v>0</v>
      </c>
      <c r="DR391" s="69">
        <f>SUM(DR361:DR390)</f>
        <v>0</v>
      </c>
      <c r="DS391" s="69">
        <f>SUM(DS361:DS390)</f>
        <v>0</v>
      </c>
      <c r="DT391" s="69">
        <f>SUM(DT361:DT390)</f>
        <v>0</v>
      </c>
      <c r="DU391" s="70">
        <f>DU390</f>
        <v>5800</v>
      </c>
      <c r="DV391" s="71"/>
      <c r="DY391" s="72" t="s">
        <v>72</v>
      </c>
      <c r="DZ391" s="73">
        <f>SUM(DZ361:DZ390)</f>
        <v>0</v>
      </c>
      <c r="EA391" s="69">
        <f>SUM(EA361:EA390)</f>
        <v>0</v>
      </c>
      <c r="EB391" s="69">
        <f>SUM(EB361:EB390)</f>
        <v>0</v>
      </c>
      <c r="EC391" s="69">
        <f>SUM(EC361:EC390)</f>
        <v>0</v>
      </c>
      <c r="ED391" s="70">
        <f>ED390</f>
        <v>0</v>
      </c>
      <c r="EE391" s="71"/>
      <c r="EH391" s="72" t="s">
        <v>72</v>
      </c>
      <c r="EI391" s="73">
        <f>SUM(EI361:EI390)</f>
        <v>0</v>
      </c>
      <c r="EJ391" s="69">
        <f>SUM(EJ361:EJ390)</f>
        <v>0</v>
      </c>
      <c r="EK391" s="69">
        <f>SUM(EK361:EK390)</f>
        <v>0</v>
      </c>
      <c r="EL391" s="69">
        <f>SUM(EL361:EL390)</f>
        <v>0</v>
      </c>
      <c r="EM391" s="70">
        <f>EM390</f>
        <v>0</v>
      </c>
      <c r="EN391" s="71"/>
      <c r="EQ391" s="72" t="s">
        <v>72</v>
      </c>
      <c r="ER391" s="73">
        <f>SUM(ER361:ER390)</f>
        <v>0</v>
      </c>
      <c r="ES391" s="69">
        <f>SUM(ES361:ES390)</f>
        <v>0</v>
      </c>
      <c r="ET391" s="69">
        <f>SUM(ET361:ET390)</f>
        <v>0</v>
      </c>
      <c r="EU391" s="69">
        <f>SUM(EU361:EU390)</f>
        <v>0</v>
      </c>
      <c r="EV391" s="70">
        <f>EV390</f>
        <v>0</v>
      </c>
      <c r="EW391" s="71"/>
      <c r="EZ391" s="72" t="s">
        <v>72</v>
      </c>
      <c r="FA391" s="73">
        <f>SUM(FA361:FA390)</f>
        <v>0</v>
      </c>
      <c r="FB391" s="69">
        <f>SUM(FB361:FB390)</f>
        <v>0</v>
      </c>
      <c r="FC391" s="69">
        <f>SUM(FC361:FC390)</f>
        <v>0</v>
      </c>
      <c r="FD391" s="69">
        <f>SUM(FD361:FD390)</f>
        <v>0</v>
      </c>
      <c r="FE391" s="70">
        <f>FE390</f>
        <v>0</v>
      </c>
      <c r="FF391" s="71"/>
      <c r="FI391" s="72" t="s">
        <v>72</v>
      </c>
      <c r="FJ391" s="73">
        <f>SUM(FJ361:FJ390)</f>
        <v>0</v>
      </c>
      <c r="FK391" s="69">
        <f>SUM(FK361:FK390)</f>
        <v>0</v>
      </c>
      <c r="FL391" s="69">
        <f>SUM(FL361:FL390)</f>
        <v>0</v>
      </c>
      <c r="FM391" s="69">
        <f>SUM(FM361:FM390)</f>
        <v>0</v>
      </c>
      <c r="FN391" s="70">
        <f>FN390</f>
        <v>0</v>
      </c>
      <c r="FO391" s="71"/>
      <c r="FR391" s="72" t="s">
        <v>72</v>
      </c>
      <c r="FS391" s="73">
        <f>SUM(FS361:FS390)</f>
        <v>0</v>
      </c>
      <c r="FT391" s="69">
        <f>SUM(FT361:FT390)</f>
        <v>0</v>
      </c>
      <c r="FU391" s="69">
        <f>SUM(FU361:FU390)</f>
        <v>0</v>
      </c>
      <c r="FV391" s="69">
        <f>SUM(FV361:FV390)</f>
        <v>0</v>
      </c>
      <c r="FW391" s="70">
        <f>FW390</f>
        <v>2020</v>
      </c>
      <c r="FX391" s="71"/>
      <c r="GA391" s="72" t="s">
        <v>72</v>
      </c>
      <c r="GB391" s="73">
        <f>SUM(GB361:GB390)</f>
        <v>0</v>
      </c>
      <c r="GC391" s="69">
        <f>SUM(GC361:GC390)</f>
        <v>0</v>
      </c>
      <c r="GD391" s="69">
        <f>SUM(GD361:GD390)</f>
        <v>0</v>
      </c>
      <c r="GE391" s="69">
        <f>SUM(GE361:GE390)</f>
        <v>0</v>
      </c>
      <c r="GF391" s="70">
        <f>GF390</f>
        <v>960</v>
      </c>
      <c r="GG391" s="71"/>
      <c r="GJ391" s="72" t="s">
        <v>72</v>
      </c>
      <c r="GK391" s="73">
        <f>SUM(GK361:GK390)</f>
        <v>0</v>
      </c>
      <c r="GL391" s="69">
        <f>SUM(GL361:GL390)</f>
        <v>0</v>
      </c>
      <c r="GM391" s="69">
        <f>SUM(GM361:GM390)</f>
        <v>0</v>
      </c>
      <c r="GN391" s="69">
        <f>SUM(GN361:GN390)</f>
        <v>0</v>
      </c>
      <c r="GO391" s="70">
        <f>GO390</f>
        <v>1760</v>
      </c>
      <c r="GP391" s="71"/>
      <c r="GS391" s="72" t="s">
        <v>72</v>
      </c>
      <c r="GT391" s="73">
        <f>SUM(GT361:GT390)</f>
        <v>0</v>
      </c>
      <c r="GU391" s="69">
        <f>SUM(GU361:GU390)</f>
        <v>0</v>
      </c>
      <c r="GV391" s="69">
        <f>SUM(GV361:GV390)</f>
        <v>0</v>
      </c>
      <c r="GW391" s="69">
        <f>SUM(GW361:GW390)</f>
        <v>0</v>
      </c>
      <c r="GX391" s="70">
        <f>GX390</f>
        <v>400</v>
      </c>
      <c r="GY391" s="71"/>
      <c r="HB391" s="72" t="s">
        <v>72</v>
      </c>
      <c r="HC391" s="73">
        <f>SUM(HC361:HC390)</f>
        <v>0</v>
      </c>
      <c r="HD391" s="69">
        <f>SUM(HD361:HD390)</f>
        <v>0</v>
      </c>
      <c r="HE391" s="69">
        <f>SUM(HE361:HE390)</f>
        <v>0</v>
      </c>
      <c r="HF391" s="69">
        <f>SUM(HF361:HF390)</f>
        <v>0</v>
      </c>
      <c r="HG391" s="70">
        <f>HG390</f>
        <v>3600</v>
      </c>
      <c r="HH391" s="71"/>
      <c r="HK391" s="72" t="s">
        <v>72</v>
      </c>
      <c r="HL391" s="73">
        <f>SUM(HL361:HL390)</f>
        <v>0</v>
      </c>
      <c r="HM391" s="69">
        <f>SUM(HM361:HM390)</f>
        <v>0</v>
      </c>
      <c r="HN391" s="69">
        <f>SUM(HN361:HN390)</f>
        <v>0</v>
      </c>
      <c r="HO391" s="69">
        <f>SUM(HO361:HO390)</f>
        <v>0</v>
      </c>
      <c r="HP391" s="70">
        <f>HP390</f>
        <v>0</v>
      </c>
      <c r="HQ391" s="71"/>
      <c r="HU391" s="72" t="s">
        <v>72</v>
      </c>
      <c r="HV391" s="73">
        <f>SUM(HV361:HV390)</f>
        <v>0</v>
      </c>
      <c r="HW391" s="69">
        <f>SUM(HW361:HW390)</f>
        <v>0</v>
      </c>
      <c r="HX391" s="69">
        <f>SUM(HX361:HX390)</f>
        <v>0</v>
      </c>
      <c r="HY391" s="69">
        <f>SUM(HY361:HY390)</f>
        <v>0</v>
      </c>
      <c r="HZ391" s="70">
        <f>HZ390</f>
        <v>6120</v>
      </c>
      <c r="IA391" s="71"/>
      <c r="ID391" s="72" t="s">
        <v>72</v>
      </c>
      <c r="IE391" s="73">
        <f>SUM(IE361:IE390)</f>
        <v>0</v>
      </c>
      <c r="IF391" s="69">
        <f>SUM(IF361:IF390)</f>
        <v>0</v>
      </c>
      <c r="IG391" s="69">
        <f>SUM(IG361:IG390)</f>
        <v>0</v>
      </c>
      <c r="IH391" s="69">
        <f>SUM(IH361:IH390)</f>
        <v>0</v>
      </c>
      <c r="II391" s="70">
        <f>II390</f>
        <v>0</v>
      </c>
      <c r="IJ391" s="71"/>
      <c r="IM391" s="72" t="s">
        <v>72</v>
      </c>
      <c r="IN391" s="73">
        <f>SUM(IN361:IN390)</f>
        <v>0</v>
      </c>
      <c r="IO391" s="69">
        <f>SUM(IO361:IO390)</f>
        <v>0</v>
      </c>
      <c r="IP391" s="69">
        <f>SUM(IP361:IP390)</f>
        <v>0</v>
      </c>
      <c r="IQ391" s="69">
        <f>SUM(IQ361:IQ390)</f>
        <v>0</v>
      </c>
      <c r="IR391" s="70">
        <f>IR390</f>
        <v>0</v>
      </c>
      <c r="IS391" s="71"/>
      <c r="IV391" s="72" t="s">
        <v>72</v>
      </c>
      <c r="IW391" s="73">
        <f>SUM(IW361:IW390)</f>
        <v>0</v>
      </c>
      <c r="IX391" s="69">
        <f>SUM(IX361:IX390)</f>
        <v>0</v>
      </c>
      <c r="IY391" s="69">
        <f>SUM(IY361:IY390)</f>
        <v>0</v>
      </c>
      <c r="IZ391" s="69">
        <f>SUM(IZ361:IZ390)</f>
        <v>0</v>
      </c>
      <c r="JA391" s="70">
        <f>JA390</f>
        <v>2820</v>
      </c>
      <c r="JB391" s="71"/>
      <c r="JE391" s="72" t="s">
        <v>72</v>
      </c>
      <c r="JF391" s="73">
        <f>SUM(JF361:JF390)</f>
        <v>0</v>
      </c>
      <c r="JG391" s="69">
        <f>SUM(JG361:JG390)</f>
        <v>0</v>
      </c>
      <c r="JH391" s="69">
        <f>SUM(JH361:JH390)</f>
        <v>0</v>
      </c>
      <c r="JI391" s="69">
        <f>SUM(JI361:JI390)</f>
        <v>0</v>
      </c>
      <c r="JJ391" s="70">
        <f>JJ390</f>
        <v>0</v>
      </c>
      <c r="JK391" s="71"/>
      <c r="JN391" s="72" t="s">
        <v>72</v>
      </c>
      <c r="JO391" s="73">
        <f>SUM(JO361:JO390)</f>
        <v>0</v>
      </c>
      <c r="JP391" s="69">
        <f>SUM(JP361:JP390)</f>
        <v>0</v>
      </c>
      <c r="JQ391" s="69">
        <f>SUM(JQ361:JQ390)</f>
        <v>0</v>
      </c>
      <c r="JR391" s="69">
        <f>SUM(JR361:JR390)</f>
        <v>0</v>
      </c>
      <c r="JS391" s="70">
        <f>JS390</f>
        <v>0</v>
      </c>
      <c r="JT391" s="71"/>
      <c r="JW391" s="72" t="s">
        <v>72</v>
      </c>
      <c r="JX391" s="73">
        <f>SUM(JX361:JX390)</f>
        <v>0</v>
      </c>
      <c r="JY391" s="69">
        <f>SUM(JY361:JY390)</f>
        <v>0</v>
      </c>
      <c r="JZ391" s="69">
        <f>SUM(JZ361:JZ390)</f>
        <v>0</v>
      </c>
      <c r="KA391" s="69">
        <f>SUM(KA361:KA390)</f>
        <v>0</v>
      </c>
      <c r="KB391" s="70">
        <f>KB390</f>
        <v>2540</v>
      </c>
      <c r="KC391" s="71"/>
      <c r="KF391" s="72" t="s">
        <v>72</v>
      </c>
      <c r="KG391" s="73">
        <f>SUM(KG361:KG390)</f>
        <v>0</v>
      </c>
      <c r="KH391" s="69">
        <f>SUM(KH361:KH390)</f>
        <v>0</v>
      </c>
      <c r="KI391" s="69">
        <f>SUM(KI361:KI390)</f>
        <v>0</v>
      </c>
      <c r="KJ391" s="69">
        <f>SUM(KJ361:KJ390)</f>
        <v>0</v>
      </c>
      <c r="KK391" s="70">
        <f>KK390</f>
        <v>2359.5</v>
      </c>
      <c r="KL391" s="71"/>
      <c r="KO391" s="72" t="s">
        <v>72</v>
      </c>
      <c r="KP391" s="73">
        <f>SUM(KP361:KP390)</f>
        <v>0</v>
      </c>
      <c r="KQ391" s="69">
        <f>SUM(KQ361:KQ390)</f>
        <v>0</v>
      </c>
      <c r="KR391" s="69">
        <f>SUM(KR361:KR390)</f>
        <v>0</v>
      </c>
      <c r="KS391" s="69">
        <f>SUM(KS361:KS390)</f>
        <v>0</v>
      </c>
      <c r="KT391" s="70">
        <f>KT390</f>
        <v>1890</v>
      </c>
      <c r="KU391" s="71"/>
      <c r="KX391" s="72" t="s">
        <v>72</v>
      </c>
      <c r="KY391" s="73">
        <f>SUM(KY361:KY390)</f>
        <v>0</v>
      </c>
      <c r="KZ391" s="69">
        <f>SUM(KZ361:KZ390)</f>
        <v>0</v>
      </c>
      <c r="LA391" s="69">
        <f>SUM(LA361:LA390)</f>
        <v>0</v>
      </c>
      <c r="LB391" s="69">
        <f>SUM(LB361:LB390)</f>
        <v>0</v>
      </c>
      <c r="LC391" s="70">
        <f>LC390</f>
        <v>3690</v>
      </c>
      <c r="LD391" s="71"/>
      <c r="LG391" s="72" t="s">
        <v>72</v>
      </c>
      <c r="LH391" s="73">
        <f>SUM(LH361:LH390)</f>
        <v>0</v>
      </c>
      <c r="LI391" s="69">
        <f>SUM(LI361:LI390)</f>
        <v>0</v>
      </c>
      <c r="LJ391" s="69">
        <f>SUM(LJ361:LJ390)</f>
        <v>0</v>
      </c>
      <c r="LK391" s="69">
        <f>SUM(LK361:LK390)</f>
        <v>0</v>
      </c>
      <c r="LL391" s="70">
        <f>LL390</f>
        <v>4000</v>
      </c>
      <c r="LM391" s="71"/>
      <c r="LP391" s="72" t="s">
        <v>72</v>
      </c>
      <c r="LQ391" s="73">
        <f>SUM(LQ361:LQ390)</f>
        <v>0</v>
      </c>
      <c r="LR391" s="69">
        <f>SUM(LR361:LR390)</f>
        <v>0</v>
      </c>
      <c r="LS391" s="69">
        <f>SUM(LS361:LS390)</f>
        <v>0</v>
      </c>
      <c r="LT391" s="69">
        <f>SUM(LT361:LT390)</f>
        <v>0</v>
      </c>
      <c r="LU391" s="70">
        <f>LU390</f>
        <v>0</v>
      </c>
      <c r="LV391" s="71"/>
      <c r="LY391" s="72" t="s">
        <v>72</v>
      </c>
      <c r="LZ391" s="73">
        <f>SUM(LZ361:LZ390)</f>
        <v>0</v>
      </c>
      <c r="MA391" s="69">
        <f>SUM(MA361:MA390)</f>
        <v>0</v>
      </c>
      <c r="MB391" s="69">
        <f>SUM(MB361:MB390)</f>
        <v>0</v>
      </c>
      <c r="MC391" s="69">
        <f>SUM(MC361:MC390)</f>
        <v>0</v>
      </c>
      <c r="MD391" s="70">
        <f>MD390</f>
        <v>0</v>
      </c>
      <c r="ME391" s="71"/>
      <c r="MH391" s="72" t="s">
        <v>72</v>
      </c>
      <c r="MI391" s="73">
        <f>SUM(MI361:MI390)</f>
        <v>0</v>
      </c>
      <c r="MJ391" s="69">
        <f>SUM(MJ361:MJ390)</f>
        <v>0</v>
      </c>
      <c r="MK391" s="69">
        <f>SUM(MK361:MK390)</f>
        <v>0</v>
      </c>
      <c r="ML391" s="69">
        <f>SUM(ML361:ML390)</f>
        <v>0</v>
      </c>
      <c r="MM391" s="70">
        <f>MM390</f>
        <v>0</v>
      </c>
      <c r="MN391" s="71"/>
      <c r="MQ391" s="72" t="s">
        <v>72</v>
      </c>
      <c r="MR391" s="73">
        <f>SUM(MR361:MR390)</f>
        <v>0</v>
      </c>
      <c r="MS391" s="69">
        <f>SUM(MS361:MS390)</f>
        <v>0</v>
      </c>
      <c r="MT391" s="69">
        <f>SUM(MT361:MT390)</f>
        <v>0</v>
      </c>
      <c r="MU391" s="69">
        <f>SUM(MU361:MU390)</f>
        <v>0</v>
      </c>
      <c r="MV391" s="70">
        <f>MV390</f>
        <v>1625</v>
      </c>
      <c r="MW391" s="71"/>
      <c r="MZ391" s="72" t="s">
        <v>72</v>
      </c>
      <c r="NA391" s="73">
        <f>SUM(NA361:NA390)</f>
        <v>0</v>
      </c>
      <c r="NB391" s="69">
        <f>SUM(NB361:NB390)</f>
        <v>0</v>
      </c>
      <c r="NC391" s="69">
        <f>SUM(NC361:NC390)</f>
        <v>0</v>
      </c>
      <c r="ND391" s="69">
        <f>SUM(ND361:ND390)</f>
        <v>0</v>
      </c>
      <c r="NE391" s="70">
        <f>NE390</f>
        <v>0</v>
      </c>
      <c r="NF391" s="71"/>
      <c r="NI391" s="72" t="s">
        <v>72</v>
      </c>
      <c r="NJ391" s="73">
        <f>SUM(NJ361:NJ390)</f>
        <v>0</v>
      </c>
      <c r="NK391" s="69">
        <f>SUM(NK361:NK390)</f>
        <v>0</v>
      </c>
      <c r="NL391" s="69">
        <f>SUM(NL361:NL390)</f>
        <v>0</v>
      </c>
      <c r="NM391" s="69">
        <f>SUM(NM361:NM390)</f>
        <v>0</v>
      </c>
      <c r="NN391" s="70">
        <f>NN390</f>
        <v>1127</v>
      </c>
      <c r="NO391" s="71"/>
      <c r="NR391" s="72" t="s">
        <v>72</v>
      </c>
      <c r="NS391" s="73">
        <f>SUM(NS361:NS390)</f>
        <v>0</v>
      </c>
      <c r="NT391" s="69">
        <f>SUM(NT361:NT390)</f>
        <v>0</v>
      </c>
      <c r="NU391" s="69">
        <f>SUM(NU361:NU390)</f>
        <v>0</v>
      </c>
      <c r="NV391" s="69">
        <f>SUM(NV361:NV390)</f>
        <v>0</v>
      </c>
      <c r="NW391" s="70">
        <f>NW390</f>
        <v>3111.9999999999995</v>
      </c>
      <c r="NX391" s="71"/>
      <c r="OA391" s="72" t="s">
        <v>72</v>
      </c>
      <c r="OB391" s="73">
        <f>SUM(OB361:OB390)</f>
        <v>0</v>
      </c>
      <c r="OC391" s="69">
        <f>SUM(OC361:OC390)</f>
        <v>0</v>
      </c>
      <c r="OD391" s="69">
        <f>SUM(OD361:OD390)</f>
        <v>0</v>
      </c>
      <c r="OE391" s="69">
        <f>SUM(OE361:OE390)</f>
        <v>0</v>
      </c>
      <c r="OF391" s="70">
        <f>OF390</f>
        <v>1680.5</v>
      </c>
      <c r="OG391" s="71"/>
      <c r="OJ391" s="72" t="s">
        <v>72</v>
      </c>
      <c r="OK391" s="73">
        <f>SUM(OK361:OK390)</f>
        <v>0</v>
      </c>
      <c r="OL391" s="69">
        <f>SUM(OL361:OL390)</f>
        <v>0</v>
      </c>
      <c r="OM391" s="69">
        <f>SUM(OM361:OM390)</f>
        <v>0</v>
      </c>
      <c r="ON391" s="69">
        <f>SUM(ON361:ON390)</f>
        <v>0</v>
      </c>
      <c r="OO391" s="70">
        <f>OO390</f>
        <v>0</v>
      </c>
      <c r="OP391" s="71"/>
      <c r="OS391" s="72" t="s">
        <v>72</v>
      </c>
      <c r="OT391" s="73">
        <f>SUM(OT361:OT390)</f>
        <v>0</v>
      </c>
      <c r="OU391" s="69">
        <f>SUM(OU361:OU390)</f>
        <v>0</v>
      </c>
      <c r="OV391" s="69">
        <f>SUM(OV361:OV390)</f>
        <v>0</v>
      </c>
      <c r="OW391" s="69">
        <f>SUM(OW361:OW390)</f>
        <v>0</v>
      </c>
      <c r="OX391" s="70">
        <f>OX390</f>
        <v>1482</v>
      </c>
      <c r="OY391" s="71"/>
      <c r="PB391" s="72" t="s">
        <v>72</v>
      </c>
      <c r="PC391" s="73">
        <f>SUM(PC361:PC390)</f>
        <v>0</v>
      </c>
      <c r="PD391" s="69">
        <f>SUM(PD361:PD390)</f>
        <v>0</v>
      </c>
      <c r="PE391" s="69">
        <f>SUM(PE361:PE390)</f>
        <v>0</v>
      </c>
      <c r="PF391" s="69">
        <f>SUM(PF361:PF390)</f>
        <v>0</v>
      </c>
      <c r="PG391" s="70">
        <f>PG390</f>
        <v>0</v>
      </c>
      <c r="PH391" s="71"/>
      <c r="PK391" s="72" t="s">
        <v>72</v>
      </c>
      <c r="PL391" s="73">
        <f>SUM(PL361:PL390)</f>
        <v>0</v>
      </c>
      <c r="PM391" s="69">
        <f>SUM(PM361:PM390)</f>
        <v>0</v>
      </c>
      <c r="PN391" s="69">
        <f>SUM(PN361:PN390)</f>
        <v>0</v>
      </c>
      <c r="PO391" s="69">
        <f>SUM(PO361:PO390)</f>
        <v>0</v>
      </c>
      <c r="PP391" s="70">
        <f>PP390</f>
        <v>100</v>
      </c>
      <c r="PQ391" s="71"/>
      <c r="PT391" s="72" t="s">
        <v>72</v>
      </c>
      <c r="PU391" s="73">
        <f>SUM(PU361:PU390)</f>
        <v>0</v>
      </c>
      <c r="PV391" s="69">
        <f>SUM(PV361:PV390)</f>
        <v>0</v>
      </c>
      <c r="PW391" s="69">
        <f>SUM(PW361:PW390)</f>
        <v>0</v>
      </c>
      <c r="PX391" s="69">
        <f>SUM(PX361:PX390)</f>
        <v>0</v>
      </c>
      <c r="PY391" s="70">
        <f>PY390</f>
        <v>13.960000000000036</v>
      </c>
      <c r="PZ391" s="71"/>
      <c r="QC391" s="72" t="s">
        <v>72</v>
      </c>
      <c r="QD391" s="73">
        <f>SUM(QD361:QD390)</f>
        <v>0</v>
      </c>
      <c r="QE391" s="69">
        <f>SUM(QE361:QE390)</f>
        <v>0</v>
      </c>
      <c r="QF391" s="69">
        <f>SUM(QF361:QF390)</f>
        <v>0</v>
      </c>
      <c r="QG391" s="69">
        <f>SUM(QG361:QG390)</f>
        <v>0</v>
      </c>
      <c r="QH391" s="70">
        <f>QH390</f>
        <v>548</v>
      </c>
      <c r="QI391" s="71"/>
      <c r="QL391" s="72" t="s">
        <v>72</v>
      </c>
      <c r="QM391" s="73">
        <f>SUM(QM361:QM390)</f>
        <v>0</v>
      </c>
      <c r="QN391" s="69">
        <f>SUM(QN361:QN390)</f>
        <v>0</v>
      </c>
      <c r="QO391" s="69">
        <f>SUM(QO361:QO390)</f>
        <v>0</v>
      </c>
      <c r="QP391" s="69">
        <f>SUM(QP361:QP390)</f>
        <v>0</v>
      </c>
      <c r="QQ391" s="70">
        <f>QQ390</f>
        <v>0</v>
      </c>
      <c r="QR391" s="71"/>
      <c r="QU391" s="72" t="s">
        <v>72</v>
      </c>
      <c r="QV391" s="73">
        <f>SUM(QV361:QV390)</f>
        <v>0</v>
      </c>
      <c r="QW391" s="69">
        <f>SUM(QW361:QW390)</f>
        <v>0</v>
      </c>
      <c r="QX391" s="69">
        <f>SUM(QX361:QX390)</f>
        <v>0</v>
      </c>
      <c r="QY391" s="69">
        <f>SUM(QY361:QY390)</f>
        <v>0</v>
      </c>
      <c r="QZ391" s="70">
        <f>QZ390</f>
        <v>0</v>
      </c>
      <c r="RA391" s="71"/>
      <c r="RD391" s="72" t="s">
        <v>72</v>
      </c>
      <c r="RE391" s="73">
        <f>SUM(RE361:RE390)</f>
        <v>0</v>
      </c>
      <c r="RF391" s="69">
        <f>SUM(RF361:RF390)</f>
        <v>0</v>
      </c>
      <c r="RG391" s="69">
        <f>SUM(RG361:RG390)</f>
        <v>0</v>
      </c>
      <c r="RH391" s="69">
        <f>SUM(RH361:RH390)</f>
        <v>0</v>
      </c>
      <c r="RI391" s="70">
        <f>RI390</f>
        <v>147.04000000000002</v>
      </c>
      <c r="RJ391" s="71"/>
      <c r="RM391" s="72" t="s">
        <v>72</v>
      </c>
      <c r="RN391" s="73">
        <f>SUM(RN361:RN390)</f>
        <v>0</v>
      </c>
      <c r="RO391" s="69">
        <f>SUM(RO361:RO390)</f>
        <v>0</v>
      </c>
      <c r="RP391" s="69">
        <f>SUM(RP361:RP390)</f>
        <v>0</v>
      </c>
      <c r="RQ391" s="69">
        <f>SUM(RQ361:RQ390)</f>
        <v>0</v>
      </c>
      <c r="RR391" s="70">
        <f>RR390</f>
        <v>46.8</v>
      </c>
      <c r="RS391" s="71"/>
      <c r="RV391" s="72" t="s">
        <v>72</v>
      </c>
      <c r="RW391" s="73">
        <f>SUM(RW361:RW390)</f>
        <v>0</v>
      </c>
      <c r="RX391" s="69">
        <f>SUM(RX361:RX390)</f>
        <v>0</v>
      </c>
      <c r="RY391" s="69">
        <f>SUM(RY361:RY390)</f>
        <v>0</v>
      </c>
      <c r="RZ391" s="69">
        <f>SUM(RZ361:RZ390)</f>
        <v>0</v>
      </c>
      <c r="SA391" s="70">
        <f>SA390</f>
        <v>0</v>
      </c>
      <c r="SB391" s="71"/>
      <c r="SE391" s="72" t="s">
        <v>72</v>
      </c>
      <c r="SF391" s="73">
        <f>SUM(SF361:SF390)</f>
        <v>0</v>
      </c>
      <c r="SG391" s="69">
        <f>SUM(SG361:SG390)</f>
        <v>0</v>
      </c>
      <c r="SH391" s="69">
        <f>SUM(SH361:SH390)</f>
        <v>0</v>
      </c>
      <c r="SI391" s="69">
        <f>SUM(SI361:SI390)</f>
        <v>0</v>
      </c>
      <c r="SJ391" s="70">
        <f>SJ390</f>
        <v>24.200000000000003</v>
      </c>
      <c r="SK391" s="71"/>
      <c r="SN391" s="72" t="s">
        <v>72</v>
      </c>
      <c r="SO391" s="73">
        <f>SUM(SO361:SO390)</f>
        <v>0</v>
      </c>
      <c r="SP391" s="69">
        <f>SUM(SP361:SP390)</f>
        <v>0</v>
      </c>
      <c r="SQ391" s="69">
        <f>SUM(SQ361:SQ390)</f>
        <v>0</v>
      </c>
      <c r="SR391" s="69">
        <f>SUM(SR361:SR390)</f>
        <v>0</v>
      </c>
      <c r="SS391" s="70">
        <f>SS390</f>
        <v>32</v>
      </c>
      <c r="ST391" s="71"/>
      <c r="SW391" s="72" t="s">
        <v>72</v>
      </c>
      <c r="SX391" s="73">
        <f>SUM(SX361:SX390)</f>
        <v>0</v>
      </c>
      <c r="SY391" s="69">
        <f>SUM(SY361:SY390)</f>
        <v>0</v>
      </c>
      <c r="SZ391" s="69">
        <f>SUM(SZ361:SZ390)</f>
        <v>0</v>
      </c>
      <c r="TA391" s="69">
        <f>SUM(TA361:TA390)</f>
        <v>0</v>
      </c>
      <c r="TB391" s="70">
        <f>TB390</f>
        <v>0</v>
      </c>
      <c r="TC391" s="71"/>
      <c r="TF391" s="72" t="s">
        <v>72</v>
      </c>
      <c r="TG391" s="73">
        <f>SUM(TG361:TG390)</f>
        <v>0</v>
      </c>
      <c r="TH391" s="69">
        <f>SUM(TH361:TH390)</f>
        <v>0</v>
      </c>
      <c r="TI391" s="69">
        <f>SUM(TI361:TI390)</f>
        <v>0</v>
      </c>
      <c r="TJ391" s="69">
        <f>SUM(TJ361:TJ390)</f>
        <v>0</v>
      </c>
      <c r="TK391" s="70">
        <f>TK390</f>
        <v>0</v>
      </c>
      <c r="TL391" s="71"/>
      <c r="TO391" s="72" t="s">
        <v>72</v>
      </c>
      <c r="TP391" s="73">
        <f>SUM(TP361:TP390)</f>
        <v>0</v>
      </c>
      <c r="TQ391" s="69">
        <f>SUM(TQ361:TQ390)</f>
        <v>0</v>
      </c>
      <c r="TR391" s="69">
        <f>SUM(TR361:TR390)</f>
        <v>0</v>
      </c>
      <c r="TS391" s="69">
        <f>SUM(TS361:TS390)</f>
        <v>0</v>
      </c>
      <c r="TT391" s="70">
        <f>TT390</f>
        <v>0</v>
      </c>
      <c r="TU391" s="71"/>
      <c r="TX391" s="72" t="s">
        <v>72</v>
      </c>
      <c r="TY391" s="73">
        <f>SUM(TY361:TY390)</f>
        <v>0</v>
      </c>
      <c r="TZ391" s="69">
        <f>SUM(TZ361:TZ390)</f>
        <v>0</v>
      </c>
      <c r="UA391" s="69">
        <f>SUM(UA361:UA390)</f>
        <v>0</v>
      </c>
      <c r="UB391" s="69">
        <f>SUM(UB361:UB390)</f>
        <v>0</v>
      </c>
      <c r="UC391" s="70">
        <f>UC390</f>
        <v>46.799999999999983</v>
      </c>
      <c r="UD391" s="71"/>
      <c r="UG391" s="72" t="s">
        <v>72</v>
      </c>
      <c r="UH391" s="73">
        <f>SUM(UH361:UH390)</f>
        <v>0</v>
      </c>
      <c r="UI391" s="69">
        <f>SUM(UI361:UI390)</f>
        <v>0</v>
      </c>
      <c r="UJ391" s="69">
        <f>SUM(UJ361:UJ390)</f>
        <v>0</v>
      </c>
      <c r="UK391" s="69">
        <f>SUM(UK361:UK390)</f>
        <v>0</v>
      </c>
      <c r="UL391" s="70">
        <f>UL390</f>
        <v>204</v>
      </c>
      <c r="UM391" s="71"/>
      <c r="UP391" s="72" t="s">
        <v>72</v>
      </c>
      <c r="UQ391" s="73">
        <f>SUM(UQ361:UQ390)</f>
        <v>0</v>
      </c>
      <c r="UR391" s="69">
        <f>SUM(UR361:UR390)</f>
        <v>0</v>
      </c>
      <c r="US391" s="69">
        <f>SUM(US361:US390)</f>
        <v>0</v>
      </c>
      <c r="UT391" s="69">
        <f>SUM(UT361:UT390)</f>
        <v>0</v>
      </c>
      <c r="UU391" s="70">
        <f>UU390</f>
        <v>202.5</v>
      </c>
      <c r="UV391" s="71"/>
      <c r="UY391" s="72" t="s">
        <v>72</v>
      </c>
      <c r="UZ391" s="73">
        <f>SUM(UZ361:UZ390)</f>
        <v>0</v>
      </c>
      <c r="VA391" s="69">
        <f>SUM(VA361:VA390)</f>
        <v>0</v>
      </c>
      <c r="VB391" s="69">
        <f>SUM(VB361:VB390)</f>
        <v>0</v>
      </c>
      <c r="VC391" s="69">
        <f>SUM(VC361:VC390)</f>
        <v>0</v>
      </c>
      <c r="VD391" s="70">
        <f>VD390</f>
        <v>41.600000000000023</v>
      </c>
      <c r="VE391" s="71"/>
      <c r="VH391" s="72" t="s">
        <v>72</v>
      </c>
      <c r="VI391" s="73">
        <f>SUM(VI361:VI390)</f>
        <v>0</v>
      </c>
      <c r="VJ391" s="69">
        <f>SUM(VJ361:VJ390)</f>
        <v>0</v>
      </c>
      <c r="VK391" s="69">
        <f>SUM(VK361:VK390)</f>
        <v>0</v>
      </c>
      <c r="VL391" s="69">
        <f>SUM(VL361:VL390)</f>
        <v>0</v>
      </c>
      <c r="VM391" s="70">
        <f>VM390</f>
        <v>210</v>
      </c>
      <c r="VN391" s="71"/>
      <c r="VQ391" s="72" t="s">
        <v>72</v>
      </c>
      <c r="VR391" s="73">
        <f>SUM(VR361:VR390)</f>
        <v>0</v>
      </c>
      <c r="VS391" s="69">
        <f>SUM(VS361:VS390)</f>
        <v>0</v>
      </c>
      <c r="VT391" s="69">
        <f>SUM(VT361:VT390)</f>
        <v>0</v>
      </c>
      <c r="VU391" s="69">
        <f>SUM(VU361:VU390)</f>
        <v>0</v>
      </c>
      <c r="VV391" s="70">
        <f>VV390</f>
        <v>0</v>
      </c>
      <c r="VW391" s="71"/>
      <c r="VZ391" s="72" t="s">
        <v>72</v>
      </c>
      <c r="WA391" s="73">
        <f>SUM(WA361:WA390)</f>
        <v>0</v>
      </c>
      <c r="WB391" s="69">
        <f>SUM(WB361:WB390)</f>
        <v>0</v>
      </c>
      <c r="WC391" s="69">
        <f>SUM(WC361:WC390)</f>
        <v>0</v>
      </c>
      <c r="WD391" s="69">
        <f>SUM(WD361:WD390)</f>
        <v>0</v>
      </c>
      <c r="WE391" s="70">
        <f>WE390</f>
        <v>0</v>
      </c>
      <c r="WF391" s="71"/>
      <c r="WI391" s="72" t="s">
        <v>72</v>
      </c>
      <c r="WJ391" s="73">
        <f>SUM(WJ361:WJ390)</f>
        <v>0</v>
      </c>
      <c r="WK391" s="69">
        <f>SUM(WK361:WK390)</f>
        <v>0</v>
      </c>
      <c r="WL391" s="69">
        <f>SUM(WL361:WL390)</f>
        <v>0</v>
      </c>
      <c r="WM391" s="69">
        <f>SUM(WM361:WM390)</f>
        <v>0</v>
      </c>
      <c r="WN391" s="70">
        <f>WN390</f>
        <v>1057</v>
      </c>
      <c r="WO391" s="71"/>
      <c r="WR391" s="72" t="s">
        <v>72</v>
      </c>
      <c r="WS391" s="73">
        <f>SUM(WS361:WS390)</f>
        <v>0</v>
      </c>
      <c r="WT391" s="69">
        <f>SUM(WT361:WT390)</f>
        <v>0</v>
      </c>
      <c r="WU391" s="69">
        <f>SUM(WU361:WU390)</f>
        <v>0</v>
      </c>
      <c r="WV391" s="69">
        <f>SUM(WV361:WV390)</f>
        <v>0</v>
      </c>
      <c r="WW391" s="70">
        <f>WW390</f>
        <v>0</v>
      </c>
      <c r="WX391" s="71"/>
      <c r="XA391" s="72" t="s">
        <v>72</v>
      </c>
      <c r="XB391" s="73">
        <f>SUM(XB361:XB390)</f>
        <v>0</v>
      </c>
      <c r="XC391" s="69">
        <f>SUM(XC361:XC390)</f>
        <v>0</v>
      </c>
      <c r="XD391" s="69">
        <f>SUM(XD361:XD390)</f>
        <v>0</v>
      </c>
      <c r="XE391" s="69">
        <f>SUM(XE361:XE390)</f>
        <v>0</v>
      </c>
      <c r="XF391" s="70">
        <f>XF390</f>
        <v>7507</v>
      </c>
      <c r="XG391" s="71"/>
      <c r="XJ391" s="72" t="s">
        <v>72</v>
      </c>
      <c r="XK391" s="73">
        <f>SUM(XK361:XK390)</f>
        <v>0</v>
      </c>
      <c r="XL391" s="69">
        <f>SUM(XL361:XL390)</f>
        <v>0</v>
      </c>
      <c r="XM391" s="69">
        <f>SUM(XM361:XM390)</f>
        <v>0</v>
      </c>
      <c r="XN391" s="69">
        <f>SUM(XN361:XN390)</f>
        <v>0</v>
      </c>
      <c r="XO391" s="70">
        <f>XO390</f>
        <v>4252</v>
      </c>
      <c r="XP391" s="71"/>
      <c r="XS391" s="72" t="s">
        <v>72</v>
      </c>
      <c r="XT391" s="73">
        <f>SUM(XT361:XT390)</f>
        <v>0</v>
      </c>
      <c r="XU391" s="69">
        <f>SUM(XU361:XU390)</f>
        <v>0</v>
      </c>
      <c r="XV391" s="69">
        <f>SUM(XV361:XV390)</f>
        <v>0</v>
      </c>
      <c r="XW391" s="69">
        <f>SUM(XW361:XW390)</f>
        <v>0</v>
      </c>
      <c r="XX391" s="70">
        <f>XX390</f>
        <v>2179</v>
      </c>
      <c r="XY391" s="71"/>
      <c r="YB391" s="72" t="s">
        <v>72</v>
      </c>
      <c r="YC391" s="73">
        <f>SUM(YC361:YC390)</f>
        <v>0</v>
      </c>
      <c r="YD391" s="69">
        <f>SUM(YD361:YD390)</f>
        <v>0</v>
      </c>
      <c r="YE391" s="69">
        <f>SUM(YE361:YE390)</f>
        <v>0</v>
      </c>
      <c r="YF391" s="69">
        <f>SUM(YF361:YF390)</f>
        <v>0</v>
      </c>
      <c r="YG391" s="70">
        <f>YG390</f>
        <v>4019</v>
      </c>
      <c r="YH391" s="71"/>
      <c r="YK391" s="72" t="s">
        <v>72</v>
      </c>
      <c r="YL391" s="73">
        <f>SUM(YL361:YL390)</f>
        <v>0</v>
      </c>
      <c r="YM391" s="69">
        <f>SUM(YM361:YM390)</f>
        <v>0</v>
      </c>
      <c r="YN391" s="69">
        <f>SUM(YN361:YN390)</f>
        <v>0</v>
      </c>
      <c r="YO391" s="69">
        <f>SUM(YO361:YO390)</f>
        <v>0</v>
      </c>
      <c r="YP391" s="70">
        <f>YP390</f>
        <v>-218</v>
      </c>
      <c r="YQ391" s="71"/>
      <c r="YT391" s="72" t="s">
        <v>72</v>
      </c>
      <c r="YU391" s="73">
        <f>SUM(YU361:YU390)</f>
        <v>0</v>
      </c>
      <c r="YV391" s="69">
        <f>SUM(YV361:YV390)</f>
        <v>0</v>
      </c>
      <c r="YW391" s="69">
        <f>SUM(YW361:YW390)</f>
        <v>0</v>
      </c>
      <c r="YX391" s="69">
        <f>SUM(YX361:YX390)</f>
        <v>0</v>
      </c>
      <c r="YY391" s="70">
        <f>YY390</f>
        <v>0</v>
      </c>
      <c r="YZ391" s="71"/>
      <c r="ZC391" s="72" t="s">
        <v>72</v>
      </c>
      <c r="ZD391" s="73">
        <f>SUM(ZD361:ZD390)</f>
        <v>0</v>
      </c>
      <c r="ZE391" s="69">
        <f>SUM(ZE361:ZE390)</f>
        <v>0</v>
      </c>
      <c r="ZF391" s="69">
        <f>SUM(ZF361:ZF390)</f>
        <v>0</v>
      </c>
      <c r="ZG391" s="69">
        <f>SUM(ZG361:ZG390)</f>
        <v>0</v>
      </c>
      <c r="ZH391" s="70">
        <f>ZH390</f>
        <v>0</v>
      </c>
      <c r="ZI391" s="71"/>
      <c r="ZL391" s="72" t="s">
        <v>72</v>
      </c>
      <c r="ZM391" s="73">
        <f>SUM(ZM361:ZM390)</f>
        <v>0</v>
      </c>
      <c r="ZN391" s="69">
        <f>SUM(ZN361:ZN390)</f>
        <v>0</v>
      </c>
      <c r="ZO391" s="69">
        <f>SUM(ZO361:ZO390)</f>
        <v>0</v>
      </c>
      <c r="ZP391" s="69">
        <f>SUM(ZP361:ZP390)</f>
        <v>0</v>
      </c>
      <c r="ZQ391" s="70">
        <f>ZQ390</f>
        <v>0</v>
      </c>
      <c r="ZR391" s="71"/>
      <c r="ZU391" s="72" t="s">
        <v>72</v>
      </c>
      <c r="ZV391" s="73">
        <f>SUM(ZV361:ZV390)</f>
        <v>0</v>
      </c>
      <c r="ZW391" s="69">
        <f>SUM(ZW361:ZW390)</f>
        <v>0</v>
      </c>
      <c r="ZX391" s="69">
        <f>SUM(ZX361:ZX390)</f>
        <v>0</v>
      </c>
      <c r="ZY391" s="69">
        <f>SUM(ZY361:ZY390)</f>
        <v>0</v>
      </c>
      <c r="ZZ391" s="70">
        <f>ZZ390</f>
        <v>0</v>
      </c>
      <c r="AAA391" s="71"/>
      <c r="AAD391" s="72" t="s">
        <v>72</v>
      </c>
      <c r="AAE391" s="73">
        <f>SUM(AAE361:AAE390)</f>
        <v>0</v>
      </c>
      <c r="AAF391" s="69">
        <f>SUM(AAF361:AAF390)</f>
        <v>0</v>
      </c>
      <c r="AAG391" s="69">
        <f>SUM(AAG361:AAG390)</f>
        <v>0</v>
      </c>
      <c r="AAH391" s="69">
        <f>SUM(AAH361:AAH390)</f>
        <v>0</v>
      </c>
      <c r="AAI391" s="70">
        <f>AAI390</f>
        <v>0</v>
      </c>
      <c r="AAJ391" s="71"/>
      <c r="AAM391" s="72" t="s">
        <v>72</v>
      </c>
      <c r="AAN391" s="73">
        <f>SUM(AAN361:AAN390)</f>
        <v>0</v>
      </c>
      <c r="AAO391" s="69">
        <f>SUM(AAO361:AAO390)</f>
        <v>0</v>
      </c>
      <c r="AAP391" s="69">
        <f>SUM(AAP361:AAP390)</f>
        <v>0</v>
      </c>
      <c r="AAQ391" s="69">
        <f>SUM(AAQ361:AAQ390)</f>
        <v>0</v>
      </c>
      <c r="AAR391" s="70">
        <f>AAR390</f>
        <v>0</v>
      </c>
      <c r="AAS391" s="71"/>
      <c r="AAV391" s="72" t="s">
        <v>72</v>
      </c>
      <c r="AAW391" s="73">
        <f>SUM(AAW361:AAW390)</f>
        <v>0</v>
      </c>
      <c r="AAX391" s="69">
        <f>SUM(AAX361:AAX390)</f>
        <v>0</v>
      </c>
      <c r="AAY391" s="69">
        <f>SUM(AAY361:AAY390)</f>
        <v>0</v>
      </c>
      <c r="AAZ391" s="69">
        <f>SUM(AAZ361:AAZ390)</f>
        <v>0</v>
      </c>
      <c r="ABA391" s="70">
        <f>ABA390</f>
        <v>0</v>
      </c>
      <c r="ABB391" s="71"/>
      <c r="ABE391" s="72" t="s">
        <v>72</v>
      </c>
      <c r="ABF391" s="73">
        <f>SUM(ABF361:ABF390)</f>
        <v>0</v>
      </c>
      <c r="ABG391" s="69">
        <f>SUM(ABG361:ABG390)</f>
        <v>0</v>
      </c>
      <c r="ABH391" s="69">
        <f>SUM(ABH361:ABH390)</f>
        <v>0</v>
      </c>
      <c r="ABI391" s="69">
        <f>SUM(ABI361:ABI390)</f>
        <v>0</v>
      </c>
      <c r="ABJ391" s="70">
        <f>ABJ390</f>
        <v>0</v>
      </c>
      <c r="ABK391" s="71"/>
    </row>
    <row r="392" spans="1:739" ht="14.45" thickBot="1">
      <c r="C392" s="75"/>
      <c r="L392" s="75"/>
      <c r="U392" s="75"/>
      <c r="AD392" s="75"/>
      <c r="AM392" s="75"/>
      <c r="AV392" s="75"/>
      <c r="BE392" s="75"/>
      <c r="BN392" s="75"/>
      <c r="BW392" s="75"/>
      <c r="CF392" s="75"/>
      <c r="CO392" s="75"/>
      <c r="CX392" s="75"/>
      <c r="DG392" s="75"/>
      <c r="DP392" s="75"/>
      <c r="DY392" s="75"/>
      <c r="EH392" s="75"/>
      <c r="EQ392" s="75"/>
      <c r="EZ392" s="75"/>
      <c r="FI392" s="75"/>
      <c r="FR392" s="75"/>
      <c r="GA392" s="75"/>
      <c r="GJ392" s="75"/>
      <c r="GS392" s="75"/>
      <c r="HB392" s="75"/>
      <c r="HK392" s="75"/>
      <c r="HU392" s="75"/>
      <c r="ID392" s="75"/>
      <c r="IM392" s="75"/>
      <c r="IV392" s="75"/>
      <c r="JE392" s="75"/>
      <c r="JN392" s="75"/>
      <c r="JW392" s="75"/>
      <c r="KF392" s="75"/>
      <c r="KO392" s="75"/>
      <c r="KX392" s="75"/>
      <c r="LG392" s="75"/>
      <c r="LP392" s="75"/>
      <c r="LY392" s="75"/>
      <c r="MH392" s="75"/>
      <c r="MQ392" s="75"/>
      <c r="MZ392" s="75"/>
      <c r="NI392" s="75"/>
      <c r="NR392" s="75"/>
      <c r="OA392" s="75"/>
      <c r="OJ392" s="75"/>
      <c r="OS392" s="75"/>
      <c r="PB392" s="75"/>
      <c r="PK392" s="75"/>
      <c r="PT392" s="75"/>
      <c r="QC392" s="75"/>
      <c r="QL392" s="75"/>
      <c r="QU392" s="75"/>
      <c r="RD392" s="75"/>
      <c r="RM392" s="75"/>
      <c r="RV392" s="75"/>
      <c r="SE392" s="75"/>
      <c r="SN392" s="75"/>
      <c r="SW392" s="75"/>
      <c r="TF392" s="75"/>
      <c r="TO392" s="75"/>
      <c r="TX392" s="75"/>
      <c r="UG392" s="75"/>
      <c r="UP392" s="75"/>
      <c r="UY392" s="75"/>
      <c r="VH392" s="75"/>
      <c r="VQ392" s="75"/>
      <c r="VZ392" s="75"/>
      <c r="WI392" s="75"/>
      <c r="WR392" s="75"/>
      <c r="XA392" s="75"/>
      <c r="XJ392" s="75"/>
      <c r="XS392" s="75"/>
      <c r="YB392" s="75"/>
      <c r="YK392" s="75"/>
      <c r="YT392" s="75"/>
      <c r="ZC392" s="75"/>
      <c r="ZL392" s="75"/>
      <c r="ZU392" s="75"/>
      <c r="AAD392" s="75"/>
      <c r="AAM392" s="75"/>
      <c r="AAV392" s="75"/>
      <c r="ABE392" s="75"/>
    </row>
    <row r="393" spans="1:739" ht="14.45" thickBot="1">
      <c r="A393" s="22" t="s">
        <v>310</v>
      </c>
      <c r="C393" s="569" t="s">
        <v>160</v>
      </c>
      <c r="D393" s="570"/>
      <c r="E393" s="570"/>
      <c r="F393" s="570"/>
      <c r="G393" s="570"/>
      <c r="H393" s="571"/>
      <c r="I393" s="321"/>
      <c r="J393" s="22" t="s">
        <v>310</v>
      </c>
      <c r="L393" s="569" t="s">
        <v>160</v>
      </c>
      <c r="M393" s="570"/>
      <c r="N393" s="570"/>
      <c r="O393" s="570"/>
      <c r="P393" s="570"/>
      <c r="Q393" s="571"/>
      <c r="R393" s="24"/>
      <c r="S393" s="22" t="s">
        <v>310</v>
      </c>
      <c r="U393" s="569" t="s">
        <v>160</v>
      </c>
      <c r="V393" s="570"/>
      <c r="W393" s="570"/>
      <c r="X393" s="570"/>
      <c r="Y393" s="570"/>
      <c r="Z393" s="571"/>
      <c r="AA393" s="24"/>
      <c r="AB393" s="22" t="s">
        <v>310</v>
      </c>
      <c r="AD393" s="569" t="s">
        <v>160</v>
      </c>
      <c r="AE393" s="570"/>
      <c r="AF393" s="570"/>
      <c r="AG393" s="570"/>
      <c r="AH393" s="570"/>
      <c r="AI393" s="571"/>
      <c r="AJ393" s="24"/>
      <c r="AK393" s="22" t="s">
        <v>310</v>
      </c>
      <c r="AM393" s="569" t="s">
        <v>160</v>
      </c>
      <c r="AN393" s="570"/>
      <c r="AO393" s="570"/>
      <c r="AP393" s="570"/>
      <c r="AQ393" s="570"/>
      <c r="AR393" s="571"/>
      <c r="AS393" s="24"/>
      <c r="AT393" s="22" t="s">
        <v>310</v>
      </c>
      <c r="AV393" s="569" t="s">
        <v>160</v>
      </c>
      <c r="AW393" s="570"/>
      <c r="AX393" s="570"/>
      <c r="AY393" s="570"/>
      <c r="AZ393" s="570"/>
      <c r="BA393" s="571"/>
      <c r="BB393" s="24"/>
      <c r="BC393" s="22" t="s">
        <v>310</v>
      </c>
      <c r="BE393" s="569" t="s">
        <v>160</v>
      </c>
      <c r="BF393" s="570"/>
      <c r="BG393" s="570"/>
      <c r="BH393" s="570"/>
      <c r="BI393" s="570"/>
      <c r="BJ393" s="571"/>
      <c r="BK393" s="24"/>
      <c r="BL393" s="22" t="s">
        <v>310</v>
      </c>
      <c r="BN393" s="569" t="s">
        <v>160</v>
      </c>
      <c r="BO393" s="570"/>
      <c r="BP393" s="570"/>
      <c r="BQ393" s="570"/>
      <c r="BR393" s="570"/>
      <c r="BS393" s="571"/>
      <c r="BT393" s="24"/>
      <c r="BU393" s="22" t="s">
        <v>310</v>
      </c>
      <c r="BW393" s="569" t="s">
        <v>160</v>
      </c>
      <c r="BX393" s="570"/>
      <c r="BY393" s="570"/>
      <c r="BZ393" s="570"/>
      <c r="CA393" s="570"/>
      <c r="CB393" s="571"/>
      <c r="CC393" s="24"/>
      <c r="CD393" s="22" t="s">
        <v>310</v>
      </c>
      <c r="CF393" s="569" t="s">
        <v>160</v>
      </c>
      <c r="CG393" s="570"/>
      <c r="CH393" s="570"/>
      <c r="CI393" s="570"/>
      <c r="CJ393" s="570"/>
      <c r="CK393" s="571"/>
      <c r="CL393" s="24"/>
      <c r="CM393" s="22" t="s">
        <v>310</v>
      </c>
      <c r="CO393" s="569" t="s">
        <v>160</v>
      </c>
      <c r="CP393" s="570"/>
      <c r="CQ393" s="570"/>
      <c r="CR393" s="570"/>
      <c r="CS393" s="570"/>
      <c r="CT393" s="571"/>
      <c r="CU393" s="24"/>
      <c r="CV393" s="22" t="s">
        <v>310</v>
      </c>
      <c r="CX393" s="569" t="s">
        <v>160</v>
      </c>
      <c r="CY393" s="570"/>
      <c r="CZ393" s="570"/>
      <c r="DA393" s="570"/>
      <c r="DB393" s="570"/>
      <c r="DC393" s="571"/>
      <c r="DD393" s="24"/>
      <c r="DE393" s="22" t="s">
        <v>310</v>
      </c>
      <c r="DG393" s="569" t="s">
        <v>160</v>
      </c>
      <c r="DH393" s="570"/>
      <c r="DI393" s="570"/>
      <c r="DJ393" s="570"/>
      <c r="DK393" s="570"/>
      <c r="DL393" s="571"/>
      <c r="DM393" s="24"/>
      <c r="DN393" s="22" t="s">
        <v>310</v>
      </c>
      <c r="DP393" s="569" t="s">
        <v>160</v>
      </c>
      <c r="DQ393" s="570"/>
      <c r="DR393" s="570"/>
      <c r="DS393" s="570"/>
      <c r="DT393" s="570"/>
      <c r="DU393" s="571"/>
      <c r="DV393" s="24"/>
      <c r="DW393" s="22" t="s">
        <v>310</v>
      </c>
      <c r="DY393" s="569" t="s">
        <v>160</v>
      </c>
      <c r="DZ393" s="570"/>
      <c r="EA393" s="570"/>
      <c r="EB393" s="570"/>
      <c r="EC393" s="570"/>
      <c r="ED393" s="571"/>
      <c r="EE393" s="24"/>
      <c r="EF393" s="22" t="s">
        <v>310</v>
      </c>
      <c r="EH393" s="569" t="s">
        <v>160</v>
      </c>
      <c r="EI393" s="570"/>
      <c r="EJ393" s="570"/>
      <c r="EK393" s="570"/>
      <c r="EL393" s="570"/>
      <c r="EM393" s="571"/>
      <c r="EN393" s="24"/>
      <c r="EO393" s="22" t="s">
        <v>310</v>
      </c>
      <c r="EQ393" s="569" t="s">
        <v>160</v>
      </c>
      <c r="ER393" s="570"/>
      <c r="ES393" s="570"/>
      <c r="ET393" s="570"/>
      <c r="EU393" s="570"/>
      <c r="EV393" s="571"/>
      <c r="EW393" s="24"/>
      <c r="EX393" s="22" t="s">
        <v>310</v>
      </c>
      <c r="EZ393" s="569" t="s">
        <v>160</v>
      </c>
      <c r="FA393" s="570"/>
      <c r="FB393" s="570"/>
      <c r="FC393" s="570"/>
      <c r="FD393" s="570"/>
      <c r="FE393" s="571"/>
      <c r="FF393" s="24"/>
      <c r="FG393" s="22" t="s">
        <v>310</v>
      </c>
      <c r="FI393" s="569" t="s">
        <v>160</v>
      </c>
      <c r="FJ393" s="570"/>
      <c r="FK393" s="570"/>
      <c r="FL393" s="570"/>
      <c r="FM393" s="570"/>
      <c r="FN393" s="571"/>
      <c r="FO393" s="24"/>
      <c r="FP393" s="22" t="s">
        <v>310</v>
      </c>
      <c r="FR393" s="569" t="s">
        <v>160</v>
      </c>
      <c r="FS393" s="570"/>
      <c r="FT393" s="570"/>
      <c r="FU393" s="570"/>
      <c r="FV393" s="570"/>
      <c r="FW393" s="571"/>
      <c r="FX393" s="24"/>
      <c r="FY393" s="22" t="s">
        <v>310</v>
      </c>
      <c r="GA393" s="569" t="s">
        <v>160</v>
      </c>
      <c r="GB393" s="570"/>
      <c r="GC393" s="570"/>
      <c r="GD393" s="570"/>
      <c r="GE393" s="570"/>
      <c r="GF393" s="571"/>
      <c r="GG393" s="24"/>
      <c r="GH393" s="22" t="s">
        <v>310</v>
      </c>
      <c r="GJ393" s="569" t="s">
        <v>160</v>
      </c>
      <c r="GK393" s="570"/>
      <c r="GL393" s="570"/>
      <c r="GM393" s="570"/>
      <c r="GN393" s="570"/>
      <c r="GO393" s="571"/>
      <c r="GP393" s="24"/>
      <c r="GQ393" s="22" t="s">
        <v>310</v>
      </c>
      <c r="GS393" s="569" t="s">
        <v>160</v>
      </c>
      <c r="GT393" s="570"/>
      <c r="GU393" s="570"/>
      <c r="GV393" s="570"/>
      <c r="GW393" s="570"/>
      <c r="GX393" s="571"/>
      <c r="GY393" s="24"/>
      <c r="GZ393" s="22" t="s">
        <v>310</v>
      </c>
      <c r="HB393" s="569" t="s">
        <v>160</v>
      </c>
      <c r="HC393" s="570"/>
      <c r="HD393" s="570"/>
      <c r="HE393" s="570"/>
      <c r="HF393" s="570"/>
      <c r="HG393" s="571"/>
      <c r="HH393" s="24"/>
      <c r="HI393" s="22" t="s">
        <v>310</v>
      </c>
      <c r="HK393" s="569" t="s">
        <v>160</v>
      </c>
      <c r="HL393" s="570"/>
      <c r="HM393" s="570"/>
      <c r="HN393" s="570"/>
      <c r="HO393" s="570"/>
      <c r="HP393" s="571"/>
      <c r="HQ393" s="24"/>
      <c r="HS393" s="22" t="s">
        <v>310</v>
      </c>
      <c r="HU393" s="569" t="s">
        <v>160</v>
      </c>
      <c r="HV393" s="570"/>
      <c r="HW393" s="570"/>
      <c r="HX393" s="570"/>
      <c r="HY393" s="570"/>
      <c r="HZ393" s="571"/>
      <c r="IA393" s="24"/>
      <c r="IB393" s="22" t="s">
        <v>310</v>
      </c>
      <c r="ID393" s="569" t="s">
        <v>160</v>
      </c>
      <c r="IE393" s="570"/>
      <c r="IF393" s="570"/>
      <c r="IG393" s="570"/>
      <c r="IH393" s="570"/>
      <c r="II393" s="571"/>
      <c r="IJ393" s="24"/>
      <c r="IK393" s="22" t="s">
        <v>310</v>
      </c>
      <c r="IM393" s="569" t="s">
        <v>160</v>
      </c>
      <c r="IN393" s="570"/>
      <c r="IO393" s="570"/>
      <c r="IP393" s="570"/>
      <c r="IQ393" s="570"/>
      <c r="IR393" s="571"/>
      <c r="IS393" s="24"/>
      <c r="IT393" s="22" t="s">
        <v>310</v>
      </c>
      <c r="IV393" s="569" t="s">
        <v>160</v>
      </c>
      <c r="IW393" s="570"/>
      <c r="IX393" s="570"/>
      <c r="IY393" s="570"/>
      <c r="IZ393" s="570"/>
      <c r="JA393" s="571"/>
      <c r="JB393" s="24"/>
      <c r="JC393" s="22" t="s">
        <v>310</v>
      </c>
      <c r="JE393" s="569" t="s">
        <v>160</v>
      </c>
      <c r="JF393" s="570"/>
      <c r="JG393" s="570"/>
      <c r="JH393" s="570"/>
      <c r="JI393" s="570"/>
      <c r="JJ393" s="571"/>
      <c r="JK393" s="24"/>
      <c r="JL393" s="22" t="s">
        <v>310</v>
      </c>
      <c r="JN393" s="569" t="s">
        <v>160</v>
      </c>
      <c r="JO393" s="570"/>
      <c r="JP393" s="570"/>
      <c r="JQ393" s="570"/>
      <c r="JR393" s="570"/>
      <c r="JS393" s="571"/>
      <c r="JT393" s="24"/>
      <c r="JU393" s="22" t="s">
        <v>310</v>
      </c>
      <c r="JW393" s="569" t="s">
        <v>160</v>
      </c>
      <c r="JX393" s="570"/>
      <c r="JY393" s="570"/>
      <c r="JZ393" s="570"/>
      <c r="KA393" s="570"/>
      <c r="KB393" s="571"/>
      <c r="KC393" s="24"/>
      <c r="KD393" s="22" t="s">
        <v>310</v>
      </c>
      <c r="KF393" s="569" t="s">
        <v>160</v>
      </c>
      <c r="KG393" s="570"/>
      <c r="KH393" s="570"/>
      <c r="KI393" s="570"/>
      <c r="KJ393" s="570"/>
      <c r="KK393" s="571"/>
      <c r="KL393" s="24"/>
      <c r="KM393" s="22" t="s">
        <v>310</v>
      </c>
      <c r="KO393" s="569" t="s">
        <v>160</v>
      </c>
      <c r="KP393" s="570"/>
      <c r="KQ393" s="570"/>
      <c r="KR393" s="570"/>
      <c r="KS393" s="570"/>
      <c r="KT393" s="571"/>
      <c r="KU393" s="24"/>
      <c r="KV393" s="22" t="s">
        <v>310</v>
      </c>
      <c r="KX393" s="569" t="s">
        <v>160</v>
      </c>
      <c r="KY393" s="570"/>
      <c r="KZ393" s="570"/>
      <c r="LA393" s="570"/>
      <c r="LB393" s="570"/>
      <c r="LC393" s="571"/>
      <c r="LD393" s="24"/>
      <c r="LE393" s="22" t="s">
        <v>310</v>
      </c>
      <c r="LG393" s="569" t="s">
        <v>160</v>
      </c>
      <c r="LH393" s="570"/>
      <c r="LI393" s="570"/>
      <c r="LJ393" s="570"/>
      <c r="LK393" s="570"/>
      <c r="LL393" s="571"/>
      <c r="LM393" s="24"/>
      <c r="LN393" s="22" t="s">
        <v>310</v>
      </c>
      <c r="LP393" s="569" t="s">
        <v>160</v>
      </c>
      <c r="LQ393" s="570"/>
      <c r="LR393" s="570"/>
      <c r="LS393" s="570"/>
      <c r="LT393" s="570"/>
      <c r="LU393" s="571"/>
      <c r="LV393" s="24"/>
      <c r="LW393" s="22" t="s">
        <v>310</v>
      </c>
      <c r="LY393" s="569" t="s">
        <v>160</v>
      </c>
      <c r="LZ393" s="570"/>
      <c r="MA393" s="570"/>
      <c r="MB393" s="570"/>
      <c r="MC393" s="570"/>
      <c r="MD393" s="571"/>
      <c r="ME393" s="24"/>
      <c r="MF393" s="22" t="s">
        <v>310</v>
      </c>
      <c r="MH393" s="569" t="s">
        <v>160</v>
      </c>
      <c r="MI393" s="570"/>
      <c r="MJ393" s="570"/>
      <c r="MK393" s="570"/>
      <c r="ML393" s="570"/>
      <c r="MM393" s="571"/>
      <c r="MN393" s="24"/>
      <c r="MO393" s="22" t="s">
        <v>310</v>
      </c>
      <c r="MQ393" s="569" t="s">
        <v>160</v>
      </c>
      <c r="MR393" s="570"/>
      <c r="MS393" s="570"/>
      <c r="MT393" s="570"/>
      <c r="MU393" s="570"/>
      <c r="MV393" s="571"/>
      <c r="MW393" s="24"/>
      <c r="MX393" s="22" t="s">
        <v>310</v>
      </c>
      <c r="MZ393" s="569" t="s">
        <v>160</v>
      </c>
      <c r="NA393" s="570"/>
      <c r="NB393" s="570"/>
      <c r="NC393" s="570"/>
      <c r="ND393" s="570"/>
      <c r="NE393" s="571"/>
      <c r="NF393" s="24"/>
      <c r="NG393" s="22" t="s">
        <v>310</v>
      </c>
      <c r="NI393" s="569" t="s">
        <v>160</v>
      </c>
      <c r="NJ393" s="570"/>
      <c r="NK393" s="570"/>
      <c r="NL393" s="570"/>
      <c r="NM393" s="570"/>
      <c r="NN393" s="571"/>
      <c r="NO393" s="24"/>
      <c r="NP393" s="22" t="s">
        <v>310</v>
      </c>
      <c r="NR393" s="569" t="s">
        <v>160</v>
      </c>
      <c r="NS393" s="570"/>
      <c r="NT393" s="570"/>
      <c r="NU393" s="570"/>
      <c r="NV393" s="570"/>
      <c r="NW393" s="571"/>
      <c r="NX393" s="24"/>
      <c r="NY393" s="22" t="s">
        <v>310</v>
      </c>
      <c r="OA393" s="589" t="s">
        <v>160</v>
      </c>
      <c r="OB393" s="590"/>
      <c r="OC393" s="590"/>
      <c r="OD393" s="590"/>
      <c r="OE393" s="590"/>
      <c r="OF393" s="591"/>
      <c r="OG393" s="24"/>
      <c r="OH393" s="22" t="s">
        <v>310</v>
      </c>
      <c r="OJ393" s="589" t="s">
        <v>160</v>
      </c>
      <c r="OK393" s="590"/>
      <c r="OL393" s="590"/>
      <c r="OM393" s="590"/>
      <c r="ON393" s="590"/>
      <c r="OO393" s="591"/>
      <c r="OP393" s="24"/>
      <c r="OQ393" s="22" t="s">
        <v>310</v>
      </c>
      <c r="OS393" s="589" t="s">
        <v>160</v>
      </c>
      <c r="OT393" s="590"/>
      <c r="OU393" s="590"/>
      <c r="OV393" s="590"/>
      <c r="OW393" s="590"/>
      <c r="OX393" s="591"/>
      <c r="OY393" s="24"/>
      <c r="OZ393" s="22" t="s">
        <v>310</v>
      </c>
      <c r="PB393" s="569" t="s">
        <v>160</v>
      </c>
      <c r="PC393" s="570"/>
      <c r="PD393" s="570"/>
      <c r="PE393" s="570"/>
      <c r="PF393" s="570"/>
      <c r="PG393" s="571"/>
      <c r="PH393" s="24"/>
      <c r="PI393" s="22" t="s">
        <v>310</v>
      </c>
      <c r="PK393" s="569" t="s">
        <v>160</v>
      </c>
      <c r="PL393" s="570"/>
      <c r="PM393" s="570"/>
      <c r="PN393" s="570"/>
      <c r="PO393" s="570"/>
      <c r="PP393" s="571"/>
      <c r="PQ393" s="24"/>
      <c r="PR393" s="22" t="s">
        <v>310</v>
      </c>
      <c r="PT393" s="569" t="s">
        <v>160</v>
      </c>
      <c r="PU393" s="570"/>
      <c r="PV393" s="570"/>
      <c r="PW393" s="570"/>
      <c r="PX393" s="570"/>
      <c r="PY393" s="571"/>
      <c r="PZ393" s="24"/>
      <c r="QA393" s="22" t="s">
        <v>310</v>
      </c>
      <c r="QC393" s="569" t="s">
        <v>160</v>
      </c>
      <c r="QD393" s="570"/>
      <c r="QE393" s="570"/>
      <c r="QF393" s="570"/>
      <c r="QG393" s="570"/>
      <c r="QH393" s="571"/>
      <c r="QI393" s="24"/>
      <c r="QJ393" s="22" t="s">
        <v>310</v>
      </c>
      <c r="QL393" s="569" t="s">
        <v>160</v>
      </c>
      <c r="QM393" s="570"/>
      <c r="QN393" s="570"/>
      <c r="QO393" s="570"/>
      <c r="QP393" s="570"/>
      <c r="QQ393" s="571"/>
      <c r="QR393" s="24"/>
      <c r="QS393" s="22" t="s">
        <v>310</v>
      </c>
      <c r="QU393" s="569" t="s">
        <v>160</v>
      </c>
      <c r="QV393" s="570"/>
      <c r="QW393" s="570"/>
      <c r="QX393" s="570"/>
      <c r="QY393" s="570"/>
      <c r="QZ393" s="571"/>
      <c r="RA393" s="24"/>
      <c r="RB393" s="22" t="s">
        <v>310</v>
      </c>
      <c r="RD393" s="569" t="s">
        <v>160</v>
      </c>
      <c r="RE393" s="570"/>
      <c r="RF393" s="570"/>
      <c r="RG393" s="570"/>
      <c r="RH393" s="570"/>
      <c r="RI393" s="571"/>
      <c r="RJ393" s="24"/>
      <c r="RK393" s="22" t="s">
        <v>310</v>
      </c>
      <c r="RM393" s="569" t="s">
        <v>160</v>
      </c>
      <c r="RN393" s="570"/>
      <c r="RO393" s="570"/>
      <c r="RP393" s="570"/>
      <c r="RQ393" s="570"/>
      <c r="RR393" s="571"/>
      <c r="RS393" s="24"/>
      <c r="RT393" s="22" t="s">
        <v>310</v>
      </c>
      <c r="RV393" s="569" t="s">
        <v>160</v>
      </c>
      <c r="RW393" s="570"/>
      <c r="RX393" s="570"/>
      <c r="RY393" s="570"/>
      <c r="RZ393" s="570"/>
      <c r="SA393" s="571"/>
      <c r="SB393" s="24"/>
      <c r="SC393" s="22" t="s">
        <v>310</v>
      </c>
      <c r="SE393" s="569" t="s">
        <v>160</v>
      </c>
      <c r="SF393" s="570"/>
      <c r="SG393" s="570"/>
      <c r="SH393" s="570"/>
      <c r="SI393" s="570"/>
      <c r="SJ393" s="571"/>
      <c r="SK393" s="24"/>
      <c r="SL393" s="22" t="s">
        <v>310</v>
      </c>
      <c r="SN393" s="569" t="s">
        <v>160</v>
      </c>
      <c r="SO393" s="570"/>
      <c r="SP393" s="570"/>
      <c r="SQ393" s="570"/>
      <c r="SR393" s="570"/>
      <c r="SS393" s="571"/>
      <c r="ST393" s="24"/>
      <c r="SU393" s="22" t="s">
        <v>310</v>
      </c>
      <c r="SW393" s="569" t="s">
        <v>160</v>
      </c>
      <c r="SX393" s="570"/>
      <c r="SY393" s="570"/>
      <c r="SZ393" s="570"/>
      <c r="TA393" s="570"/>
      <c r="TB393" s="571"/>
      <c r="TC393" s="24"/>
      <c r="TD393" s="22" t="s">
        <v>310</v>
      </c>
      <c r="TF393" s="569" t="s">
        <v>160</v>
      </c>
      <c r="TG393" s="570"/>
      <c r="TH393" s="570"/>
      <c r="TI393" s="570"/>
      <c r="TJ393" s="570"/>
      <c r="TK393" s="571"/>
      <c r="TL393" s="24"/>
      <c r="TM393" s="22" t="s">
        <v>310</v>
      </c>
      <c r="TO393" s="569" t="s">
        <v>160</v>
      </c>
      <c r="TP393" s="570"/>
      <c r="TQ393" s="570"/>
      <c r="TR393" s="570"/>
      <c r="TS393" s="570"/>
      <c r="TT393" s="571"/>
      <c r="TU393" s="24"/>
      <c r="TV393" s="22" t="s">
        <v>310</v>
      </c>
      <c r="TX393" s="569" t="s">
        <v>160</v>
      </c>
      <c r="TY393" s="570"/>
      <c r="TZ393" s="570"/>
      <c r="UA393" s="570"/>
      <c r="UB393" s="570"/>
      <c r="UC393" s="571"/>
      <c r="UD393" s="24"/>
      <c r="UE393" s="22" t="s">
        <v>310</v>
      </c>
      <c r="UG393" s="569" t="s">
        <v>160</v>
      </c>
      <c r="UH393" s="570"/>
      <c r="UI393" s="570"/>
      <c r="UJ393" s="570"/>
      <c r="UK393" s="570"/>
      <c r="UL393" s="571"/>
      <c r="UM393" s="24"/>
      <c r="UN393" s="22" t="s">
        <v>310</v>
      </c>
      <c r="UP393" s="569" t="s">
        <v>160</v>
      </c>
      <c r="UQ393" s="570"/>
      <c r="UR393" s="570"/>
      <c r="US393" s="570"/>
      <c r="UT393" s="570"/>
      <c r="UU393" s="571"/>
      <c r="UV393" s="24"/>
      <c r="UW393" s="22" t="s">
        <v>310</v>
      </c>
      <c r="UY393" s="569" t="s">
        <v>160</v>
      </c>
      <c r="UZ393" s="570"/>
      <c r="VA393" s="570"/>
      <c r="VB393" s="570"/>
      <c r="VC393" s="570"/>
      <c r="VD393" s="571"/>
      <c r="VE393" s="24"/>
      <c r="VF393" s="22" t="s">
        <v>310</v>
      </c>
      <c r="VH393" s="569" t="s">
        <v>160</v>
      </c>
      <c r="VI393" s="570"/>
      <c r="VJ393" s="570"/>
      <c r="VK393" s="570"/>
      <c r="VL393" s="570"/>
      <c r="VM393" s="571"/>
      <c r="VN393" s="24"/>
      <c r="VO393" s="22" t="s">
        <v>310</v>
      </c>
      <c r="VQ393" s="569" t="s">
        <v>160</v>
      </c>
      <c r="VR393" s="570"/>
      <c r="VS393" s="570"/>
      <c r="VT393" s="570"/>
      <c r="VU393" s="570"/>
      <c r="VV393" s="571"/>
      <c r="VW393" s="24"/>
      <c r="VX393" s="22" t="s">
        <v>310</v>
      </c>
      <c r="VZ393" s="569" t="s">
        <v>160</v>
      </c>
      <c r="WA393" s="570"/>
      <c r="WB393" s="570"/>
      <c r="WC393" s="570"/>
      <c r="WD393" s="570"/>
      <c r="WE393" s="571"/>
      <c r="WF393" s="24"/>
      <c r="WG393" s="22" t="s">
        <v>310</v>
      </c>
      <c r="WI393" s="569" t="s">
        <v>160</v>
      </c>
      <c r="WJ393" s="570"/>
      <c r="WK393" s="570"/>
      <c r="WL393" s="570"/>
      <c r="WM393" s="570"/>
      <c r="WN393" s="571"/>
      <c r="WO393" s="24"/>
      <c r="WP393" s="22" t="s">
        <v>310</v>
      </c>
      <c r="WR393" s="569" t="s">
        <v>160</v>
      </c>
      <c r="WS393" s="570"/>
      <c r="WT393" s="570"/>
      <c r="WU393" s="570"/>
      <c r="WV393" s="570"/>
      <c r="WW393" s="571"/>
      <c r="WX393" s="24"/>
      <c r="WY393" s="22" t="s">
        <v>310</v>
      </c>
      <c r="XA393" s="569" t="s">
        <v>160</v>
      </c>
      <c r="XB393" s="570"/>
      <c r="XC393" s="570"/>
      <c r="XD393" s="570"/>
      <c r="XE393" s="570"/>
      <c r="XF393" s="571"/>
      <c r="XG393" s="24"/>
      <c r="XH393" s="22" t="s">
        <v>310</v>
      </c>
      <c r="XJ393" s="569" t="s">
        <v>160</v>
      </c>
      <c r="XK393" s="570"/>
      <c r="XL393" s="570"/>
      <c r="XM393" s="570"/>
      <c r="XN393" s="570"/>
      <c r="XO393" s="571"/>
      <c r="XP393" s="24"/>
      <c r="XQ393" s="22" t="s">
        <v>310</v>
      </c>
      <c r="XS393" s="569" t="s">
        <v>160</v>
      </c>
      <c r="XT393" s="570"/>
      <c r="XU393" s="570"/>
      <c r="XV393" s="570"/>
      <c r="XW393" s="570"/>
      <c r="XX393" s="571"/>
      <c r="XY393" s="24"/>
      <c r="XZ393" s="22" t="s">
        <v>310</v>
      </c>
      <c r="YB393" s="569" t="s">
        <v>160</v>
      </c>
      <c r="YC393" s="570"/>
      <c r="YD393" s="570"/>
      <c r="YE393" s="570"/>
      <c r="YF393" s="570"/>
      <c r="YG393" s="571"/>
      <c r="YH393" s="24"/>
      <c r="YI393" s="22" t="s">
        <v>310</v>
      </c>
      <c r="YK393" s="569" t="s">
        <v>160</v>
      </c>
      <c r="YL393" s="570"/>
      <c r="YM393" s="570"/>
      <c r="YN393" s="570"/>
      <c r="YO393" s="570"/>
      <c r="YP393" s="571"/>
      <c r="YQ393" s="24"/>
      <c r="YR393" s="22" t="s">
        <v>310</v>
      </c>
      <c r="YT393" s="569" t="s">
        <v>160</v>
      </c>
      <c r="YU393" s="570"/>
      <c r="YV393" s="570"/>
      <c r="YW393" s="570"/>
      <c r="YX393" s="570"/>
      <c r="YY393" s="571"/>
      <c r="YZ393" s="24"/>
      <c r="ZA393" s="22" t="s">
        <v>310</v>
      </c>
      <c r="ZC393" s="569" t="s">
        <v>160</v>
      </c>
      <c r="ZD393" s="570"/>
      <c r="ZE393" s="570"/>
      <c r="ZF393" s="570"/>
      <c r="ZG393" s="570"/>
      <c r="ZH393" s="571"/>
      <c r="ZI393" s="24"/>
      <c r="ZJ393" s="22" t="s">
        <v>310</v>
      </c>
      <c r="ZL393" s="569" t="s">
        <v>160</v>
      </c>
      <c r="ZM393" s="570"/>
      <c r="ZN393" s="570"/>
      <c r="ZO393" s="570"/>
      <c r="ZP393" s="570"/>
      <c r="ZQ393" s="571"/>
      <c r="ZR393" s="24"/>
      <c r="ZS393" s="22" t="s">
        <v>310</v>
      </c>
      <c r="ZU393" s="569" t="s">
        <v>160</v>
      </c>
      <c r="ZV393" s="570"/>
      <c r="ZW393" s="570"/>
      <c r="ZX393" s="570"/>
      <c r="ZY393" s="570"/>
      <c r="ZZ393" s="571"/>
      <c r="AAA393" s="24"/>
      <c r="AAB393" s="22" t="s">
        <v>310</v>
      </c>
      <c r="AAD393" s="569" t="s">
        <v>160</v>
      </c>
      <c r="AAE393" s="570"/>
      <c r="AAF393" s="570"/>
      <c r="AAG393" s="570"/>
      <c r="AAH393" s="570"/>
      <c r="AAI393" s="571"/>
      <c r="AAJ393" s="24"/>
      <c r="AAK393" s="22" t="s">
        <v>310</v>
      </c>
      <c r="AAM393" s="569" t="s">
        <v>160</v>
      </c>
      <c r="AAN393" s="570"/>
      <c r="AAO393" s="570"/>
      <c r="AAP393" s="570"/>
      <c r="AAQ393" s="570"/>
      <c r="AAR393" s="571"/>
      <c r="AAS393" s="24"/>
      <c r="AAT393" s="22" t="s">
        <v>310</v>
      </c>
      <c r="AAV393" s="569" t="s">
        <v>160</v>
      </c>
      <c r="AAW393" s="570"/>
      <c r="AAX393" s="570"/>
      <c r="AAY393" s="570"/>
      <c r="AAZ393" s="570"/>
      <c r="ABA393" s="571"/>
      <c r="ABB393" s="24"/>
      <c r="ABC393" s="22" t="s">
        <v>310</v>
      </c>
      <c r="ABE393" s="569" t="s">
        <v>160</v>
      </c>
      <c r="ABF393" s="570"/>
      <c r="ABG393" s="570"/>
      <c r="ABH393" s="570"/>
      <c r="ABI393" s="570"/>
      <c r="ABJ393" s="571"/>
      <c r="ABK393" s="24"/>
    </row>
    <row r="394" spans="1:739" ht="14.45" thickBot="1">
      <c r="C394" s="30" t="s">
        <v>164</v>
      </c>
      <c r="D394" s="77" t="s">
        <v>165</v>
      </c>
      <c r="E394" s="27" t="s">
        <v>166</v>
      </c>
      <c r="F394" s="26" t="s">
        <v>167</v>
      </c>
      <c r="G394" s="27" t="s">
        <v>168</v>
      </c>
      <c r="H394" s="28" t="s">
        <v>169</v>
      </c>
      <c r="I394" s="327" t="s">
        <v>170</v>
      </c>
      <c r="L394" s="30" t="s">
        <v>164</v>
      </c>
      <c r="M394" s="77" t="s">
        <v>165</v>
      </c>
      <c r="N394" s="31" t="s">
        <v>166</v>
      </c>
      <c r="O394" s="26" t="s">
        <v>167</v>
      </c>
      <c r="P394" s="31" t="s">
        <v>168</v>
      </c>
      <c r="Q394" s="83" t="s">
        <v>169</v>
      </c>
      <c r="R394" s="79" t="s">
        <v>170</v>
      </c>
      <c r="U394" s="30" t="s">
        <v>164</v>
      </c>
      <c r="V394" s="77" t="s">
        <v>165</v>
      </c>
      <c r="W394" s="33" t="s">
        <v>166</v>
      </c>
      <c r="X394" s="26" t="s">
        <v>167</v>
      </c>
      <c r="Y394" s="33" t="s">
        <v>168</v>
      </c>
      <c r="Z394" s="84" t="s">
        <v>169</v>
      </c>
      <c r="AA394" s="79" t="s">
        <v>170</v>
      </c>
      <c r="AD394" s="30" t="s">
        <v>164</v>
      </c>
      <c r="AE394" s="77" t="s">
        <v>165</v>
      </c>
      <c r="AF394" s="35" t="s">
        <v>166</v>
      </c>
      <c r="AG394" s="26" t="s">
        <v>167</v>
      </c>
      <c r="AH394" s="35" t="s">
        <v>168</v>
      </c>
      <c r="AI394" s="36" t="s">
        <v>169</v>
      </c>
      <c r="AJ394" s="79" t="s">
        <v>170</v>
      </c>
      <c r="AM394" s="30" t="s">
        <v>164</v>
      </c>
      <c r="AN394" s="77" t="s">
        <v>165</v>
      </c>
      <c r="AO394" s="37" t="s">
        <v>166</v>
      </c>
      <c r="AP394" s="26" t="s">
        <v>167</v>
      </c>
      <c r="AQ394" s="37" t="s">
        <v>168</v>
      </c>
      <c r="AR394" s="38" t="s">
        <v>169</v>
      </c>
      <c r="AS394" s="79" t="s">
        <v>170</v>
      </c>
      <c r="AV394" s="30" t="s">
        <v>164</v>
      </c>
      <c r="AW394" s="77" t="s">
        <v>165</v>
      </c>
      <c r="AX394" s="39" t="s">
        <v>166</v>
      </c>
      <c r="AY394" s="26" t="s">
        <v>167</v>
      </c>
      <c r="AZ394" s="39" t="s">
        <v>168</v>
      </c>
      <c r="BA394" s="40" t="s">
        <v>169</v>
      </c>
      <c r="BB394" s="79" t="s">
        <v>170</v>
      </c>
      <c r="BE394" s="30" t="s">
        <v>164</v>
      </c>
      <c r="BF394" s="77" t="s">
        <v>165</v>
      </c>
      <c r="BG394" s="41" t="s">
        <v>166</v>
      </c>
      <c r="BH394" s="26" t="s">
        <v>167</v>
      </c>
      <c r="BI394" s="41" t="s">
        <v>168</v>
      </c>
      <c r="BJ394" s="42" t="s">
        <v>169</v>
      </c>
      <c r="BK394" s="79" t="s">
        <v>170</v>
      </c>
      <c r="BN394" s="30" t="s">
        <v>164</v>
      </c>
      <c r="BO394" s="77" t="s">
        <v>165</v>
      </c>
      <c r="BP394" s="43" t="s">
        <v>166</v>
      </c>
      <c r="BQ394" s="26" t="s">
        <v>167</v>
      </c>
      <c r="BR394" s="43" t="s">
        <v>168</v>
      </c>
      <c r="BS394" s="44" t="s">
        <v>169</v>
      </c>
      <c r="BT394" s="79" t="s">
        <v>170</v>
      </c>
      <c r="BW394" s="30" t="s">
        <v>164</v>
      </c>
      <c r="BX394" s="77" t="s">
        <v>165</v>
      </c>
      <c r="BY394" s="45" t="s">
        <v>166</v>
      </c>
      <c r="BZ394" s="26" t="s">
        <v>167</v>
      </c>
      <c r="CA394" s="45" t="s">
        <v>168</v>
      </c>
      <c r="CB394" s="46" t="s">
        <v>169</v>
      </c>
      <c r="CC394" s="79" t="s">
        <v>170</v>
      </c>
      <c r="CF394" s="30" t="s">
        <v>164</v>
      </c>
      <c r="CG394" s="77" t="s">
        <v>165</v>
      </c>
      <c r="CH394" s="47" t="s">
        <v>166</v>
      </c>
      <c r="CI394" s="26" t="s">
        <v>167</v>
      </c>
      <c r="CJ394" s="47" t="s">
        <v>168</v>
      </c>
      <c r="CK394" s="48" t="s">
        <v>169</v>
      </c>
      <c r="CL394" s="79" t="s">
        <v>170</v>
      </c>
      <c r="CO394" s="30" t="s">
        <v>164</v>
      </c>
      <c r="CP394" s="77" t="s">
        <v>165</v>
      </c>
      <c r="CQ394" s="129" t="s">
        <v>166</v>
      </c>
      <c r="CR394" s="26" t="s">
        <v>167</v>
      </c>
      <c r="CS394" s="129" t="s">
        <v>168</v>
      </c>
      <c r="CT394" s="130" t="s">
        <v>169</v>
      </c>
      <c r="CU394" s="79" t="s">
        <v>170</v>
      </c>
      <c r="CX394" s="30" t="s">
        <v>164</v>
      </c>
      <c r="CY394" s="77" t="s">
        <v>165</v>
      </c>
      <c r="CZ394" s="132" t="s">
        <v>166</v>
      </c>
      <c r="DA394" s="26" t="s">
        <v>167</v>
      </c>
      <c r="DB394" s="132" t="s">
        <v>168</v>
      </c>
      <c r="DC394" s="134" t="s">
        <v>169</v>
      </c>
      <c r="DD394" s="79" t="s">
        <v>170</v>
      </c>
      <c r="DG394" s="30" t="s">
        <v>164</v>
      </c>
      <c r="DH394" s="77" t="s">
        <v>165</v>
      </c>
      <c r="DI394" s="146" t="s">
        <v>166</v>
      </c>
      <c r="DJ394" s="26" t="s">
        <v>167</v>
      </c>
      <c r="DK394" s="146" t="s">
        <v>168</v>
      </c>
      <c r="DL394" s="153" t="s">
        <v>169</v>
      </c>
      <c r="DM394" s="79" t="s">
        <v>170</v>
      </c>
      <c r="DP394" s="30" t="s">
        <v>164</v>
      </c>
      <c r="DQ394" s="77" t="s">
        <v>165</v>
      </c>
      <c r="DR394" s="27" t="s">
        <v>166</v>
      </c>
      <c r="DS394" s="26" t="s">
        <v>167</v>
      </c>
      <c r="DT394" s="27" t="s">
        <v>168</v>
      </c>
      <c r="DU394" s="28" t="s">
        <v>169</v>
      </c>
      <c r="DV394" s="79" t="s">
        <v>170</v>
      </c>
      <c r="DY394" s="30" t="s">
        <v>164</v>
      </c>
      <c r="DZ394" s="77" t="s">
        <v>165</v>
      </c>
      <c r="EA394" s="156" t="s">
        <v>166</v>
      </c>
      <c r="EB394" s="26" t="s">
        <v>167</v>
      </c>
      <c r="EC394" s="156" t="s">
        <v>168</v>
      </c>
      <c r="ED394" s="158" t="s">
        <v>169</v>
      </c>
      <c r="EE394" s="79" t="s">
        <v>170</v>
      </c>
      <c r="EH394" s="30" t="s">
        <v>164</v>
      </c>
      <c r="EI394" s="77" t="s">
        <v>165</v>
      </c>
      <c r="EJ394" s="161" t="s">
        <v>166</v>
      </c>
      <c r="EK394" s="26" t="s">
        <v>167</v>
      </c>
      <c r="EL394" s="161" t="s">
        <v>168</v>
      </c>
      <c r="EM394" s="163" t="s">
        <v>169</v>
      </c>
      <c r="EN394" s="79" t="s">
        <v>170</v>
      </c>
      <c r="EQ394" s="30" t="s">
        <v>164</v>
      </c>
      <c r="ER394" s="77" t="s">
        <v>165</v>
      </c>
      <c r="ES394" s="167" t="s">
        <v>166</v>
      </c>
      <c r="ET394" s="26" t="s">
        <v>167</v>
      </c>
      <c r="EU394" s="167" t="s">
        <v>168</v>
      </c>
      <c r="EV394" s="169" t="s">
        <v>169</v>
      </c>
      <c r="EW394" s="79" t="s">
        <v>170</v>
      </c>
      <c r="EZ394" s="30" t="s">
        <v>164</v>
      </c>
      <c r="FA394" s="77" t="s">
        <v>165</v>
      </c>
      <c r="FB394" s="176" t="s">
        <v>166</v>
      </c>
      <c r="FC394" s="26" t="s">
        <v>167</v>
      </c>
      <c r="FD394" s="176" t="s">
        <v>168</v>
      </c>
      <c r="FE394" s="177" t="s">
        <v>169</v>
      </c>
      <c r="FF394" s="79" t="s">
        <v>170</v>
      </c>
      <c r="FI394" s="30" t="s">
        <v>164</v>
      </c>
      <c r="FJ394" s="77" t="s">
        <v>165</v>
      </c>
      <c r="FK394" s="181" t="s">
        <v>166</v>
      </c>
      <c r="FL394" s="26" t="s">
        <v>167</v>
      </c>
      <c r="FM394" s="181" t="s">
        <v>168</v>
      </c>
      <c r="FN394" s="182" t="s">
        <v>169</v>
      </c>
      <c r="FO394" s="79" t="s">
        <v>170</v>
      </c>
      <c r="FR394" s="30" t="s">
        <v>164</v>
      </c>
      <c r="FS394" s="77" t="s">
        <v>165</v>
      </c>
      <c r="FT394" s="185" t="s">
        <v>166</v>
      </c>
      <c r="FU394" s="26" t="s">
        <v>167</v>
      </c>
      <c r="FV394" s="185" t="s">
        <v>168</v>
      </c>
      <c r="FW394" s="187" t="s">
        <v>169</v>
      </c>
      <c r="FX394" s="79" t="s">
        <v>170</v>
      </c>
      <c r="GA394" s="30" t="s">
        <v>164</v>
      </c>
      <c r="GB394" s="77" t="s">
        <v>165</v>
      </c>
      <c r="GC394" s="128" t="s">
        <v>166</v>
      </c>
      <c r="GD394" s="26" t="s">
        <v>167</v>
      </c>
      <c r="GE394" s="128" t="s">
        <v>168</v>
      </c>
      <c r="GF394" s="200" t="s">
        <v>169</v>
      </c>
      <c r="GG394" s="79" t="s">
        <v>170</v>
      </c>
      <c r="GJ394" s="30" t="s">
        <v>164</v>
      </c>
      <c r="GK394" s="77" t="s">
        <v>165</v>
      </c>
      <c r="GL394" s="197" t="s">
        <v>166</v>
      </c>
      <c r="GM394" s="26" t="s">
        <v>167</v>
      </c>
      <c r="GN394" s="197" t="s">
        <v>168</v>
      </c>
      <c r="GO394" s="198" t="s">
        <v>169</v>
      </c>
      <c r="GP394" s="79" t="s">
        <v>170</v>
      </c>
      <c r="GS394" s="30" t="s">
        <v>164</v>
      </c>
      <c r="GT394" s="77" t="s">
        <v>165</v>
      </c>
      <c r="GU394" s="193" t="s">
        <v>166</v>
      </c>
      <c r="GV394" s="26" t="s">
        <v>167</v>
      </c>
      <c r="GW394" s="193" t="s">
        <v>168</v>
      </c>
      <c r="GX394" s="194" t="s">
        <v>169</v>
      </c>
      <c r="GY394" s="79" t="s">
        <v>170</v>
      </c>
      <c r="HB394" s="30" t="s">
        <v>164</v>
      </c>
      <c r="HC394" s="77" t="s">
        <v>165</v>
      </c>
      <c r="HD394" s="189" t="s">
        <v>166</v>
      </c>
      <c r="HE394" s="26" t="s">
        <v>167</v>
      </c>
      <c r="HF394" s="189" t="s">
        <v>168</v>
      </c>
      <c r="HG394" s="190" t="s">
        <v>169</v>
      </c>
      <c r="HH394" s="79" t="s">
        <v>170</v>
      </c>
      <c r="HK394" s="30" t="s">
        <v>164</v>
      </c>
      <c r="HL394" s="77" t="s">
        <v>165</v>
      </c>
      <c r="HM394" s="41" t="s">
        <v>166</v>
      </c>
      <c r="HN394" s="26" t="s">
        <v>167</v>
      </c>
      <c r="HO394" s="41" t="s">
        <v>168</v>
      </c>
      <c r="HP394" s="42" t="s">
        <v>169</v>
      </c>
      <c r="HQ394" s="79" t="s">
        <v>170</v>
      </c>
      <c r="HU394" s="30" t="s">
        <v>164</v>
      </c>
      <c r="HV394" s="77" t="s">
        <v>165</v>
      </c>
      <c r="HW394" s="241" t="s">
        <v>166</v>
      </c>
      <c r="HX394" s="26" t="s">
        <v>167</v>
      </c>
      <c r="HY394" s="241" t="s">
        <v>168</v>
      </c>
      <c r="HZ394" s="243" t="s">
        <v>169</v>
      </c>
      <c r="IA394" s="79" t="s">
        <v>170</v>
      </c>
      <c r="ID394" s="30" t="s">
        <v>164</v>
      </c>
      <c r="IE394" s="77" t="s">
        <v>165</v>
      </c>
      <c r="IF394" s="241" t="s">
        <v>166</v>
      </c>
      <c r="IG394" s="26" t="s">
        <v>167</v>
      </c>
      <c r="IH394" s="241" t="s">
        <v>168</v>
      </c>
      <c r="II394" s="243" t="s">
        <v>169</v>
      </c>
      <c r="IJ394" s="79" t="s">
        <v>170</v>
      </c>
      <c r="IM394" s="30" t="s">
        <v>164</v>
      </c>
      <c r="IN394" s="77" t="s">
        <v>165</v>
      </c>
      <c r="IO394" s="241" t="s">
        <v>166</v>
      </c>
      <c r="IP394" s="26" t="s">
        <v>167</v>
      </c>
      <c r="IQ394" s="241" t="s">
        <v>168</v>
      </c>
      <c r="IR394" s="243" t="s">
        <v>169</v>
      </c>
      <c r="IS394" s="79" t="s">
        <v>170</v>
      </c>
      <c r="IV394" s="30" t="s">
        <v>164</v>
      </c>
      <c r="IW394" s="77" t="s">
        <v>165</v>
      </c>
      <c r="IX394" s="241" t="s">
        <v>166</v>
      </c>
      <c r="IY394" s="26" t="s">
        <v>167</v>
      </c>
      <c r="IZ394" s="241" t="s">
        <v>168</v>
      </c>
      <c r="JA394" s="243" t="s">
        <v>169</v>
      </c>
      <c r="JB394" s="79" t="s">
        <v>170</v>
      </c>
      <c r="JE394" s="30" t="s">
        <v>164</v>
      </c>
      <c r="JF394" s="77" t="s">
        <v>165</v>
      </c>
      <c r="JG394" s="241" t="s">
        <v>166</v>
      </c>
      <c r="JH394" s="26" t="s">
        <v>167</v>
      </c>
      <c r="JI394" s="241" t="s">
        <v>168</v>
      </c>
      <c r="JJ394" s="243" t="s">
        <v>169</v>
      </c>
      <c r="JK394" s="79" t="s">
        <v>170</v>
      </c>
      <c r="JN394" s="30" t="s">
        <v>164</v>
      </c>
      <c r="JO394" s="77" t="s">
        <v>165</v>
      </c>
      <c r="JP394" s="241" t="s">
        <v>166</v>
      </c>
      <c r="JQ394" s="26" t="s">
        <v>167</v>
      </c>
      <c r="JR394" s="241" t="s">
        <v>168</v>
      </c>
      <c r="JS394" s="243" t="s">
        <v>169</v>
      </c>
      <c r="JT394" s="79" t="s">
        <v>170</v>
      </c>
      <c r="JW394" s="30" t="s">
        <v>164</v>
      </c>
      <c r="JX394" s="77" t="s">
        <v>165</v>
      </c>
      <c r="JY394" s="241" t="s">
        <v>166</v>
      </c>
      <c r="JZ394" s="26" t="s">
        <v>167</v>
      </c>
      <c r="KA394" s="241" t="s">
        <v>168</v>
      </c>
      <c r="KB394" s="243" t="s">
        <v>169</v>
      </c>
      <c r="KC394" s="79" t="s">
        <v>170</v>
      </c>
      <c r="KF394" s="30" t="s">
        <v>164</v>
      </c>
      <c r="KG394" s="77" t="s">
        <v>165</v>
      </c>
      <c r="KH394" s="241" t="s">
        <v>166</v>
      </c>
      <c r="KI394" s="26" t="s">
        <v>167</v>
      </c>
      <c r="KJ394" s="241" t="s">
        <v>168</v>
      </c>
      <c r="KK394" s="243" t="s">
        <v>169</v>
      </c>
      <c r="KL394" s="79" t="s">
        <v>170</v>
      </c>
      <c r="KO394" s="30" t="s">
        <v>164</v>
      </c>
      <c r="KP394" s="77" t="s">
        <v>165</v>
      </c>
      <c r="KQ394" s="241" t="s">
        <v>166</v>
      </c>
      <c r="KR394" s="26" t="s">
        <v>167</v>
      </c>
      <c r="KS394" s="241" t="s">
        <v>168</v>
      </c>
      <c r="KT394" s="243" t="s">
        <v>169</v>
      </c>
      <c r="KU394" s="79" t="s">
        <v>170</v>
      </c>
      <c r="KX394" s="30" t="s">
        <v>164</v>
      </c>
      <c r="KY394" s="77" t="s">
        <v>165</v>
      </c>
      <c r="KZ394" s="241" t="s">
        <v>166</v>
      </c>
      <c r="LA394" s="26" t="s">
        <v>167</v>
      </c>
      <c r="LB394" s="241" t="s">
        <v>168</v>
      </c>
      <c r="LC394" s="243" t="s">
        <v>169</v>
      </c>
      <c r="LD394" s="79" t="s">
        <v>170</v>
      </c>
      <c r="LG394" s="30" t="s">
        <v>164</v>
      </c>
      <c r="LH394" s="77" t="s">
        <v>165</v>
      </c>
      <c r="LI394" s="241" t="s">
        <v>166</v>
      </c>
      <c r="LJ394" s="26" t="s">
        <v>167</v>
      </c>
      <c r="LK394" s="241" t="s">
        <v>168</v>
      </c>
      <c r="LL394" s="243" t="s">
        <v>169</v>
      </c>
      <c r="LM394" s="79" t="s">
        <v>170</v>
      </c>
      <c r="LP394" s="30" t="s">
        <v>164</v>
      </c>
      <c r="LQ394" s="77" t="s">
        <v>165</v>
      </c>
      <c r="LR394" s="241" t="s">
        <v>166</v>
      </c>
      <c r="LS394" s="26" t="s">
        <v>167</v>
      </c>
      <c r="LT394" s="241" t="s">
        <v>168</v>
      </c>
      <c r="LU394" s="243" t="s">
        <v>169</v>
      </c>
      <c r="LV394" s="79" t="s">
        <v>170</v>
      </c>
      <c r="LY394" s="30" t="s">
        <v>164</v>
      </c>
      <c r="LZ394" s="77" t="s">
        <v>165</v>
      </c>
      <c r="MA394" s="241" t="s">
        <v>166</v>
      </c>
      <c r="MB394" s="26" t="s">
        <v>167</v>
      </c>
      <c r="MC394" s="241" t="s">
        <v>168</v>
      </c>
      <c r="MD394" s="243" t="s">
        <v>169</v>
      </c>
      <c r="ME394" s="79" t="s">
        <v>170</v>
      </c>
      <c r="MH394" s="30" t="s">
        <v>164</v>
      </c>
      <c r="MI394" s="77" t="s">
        <v>165</v>
      </c>
      <c r="MJ394" s="241" t="s">
        <v>166</v>
      </c>
      <c r="MK394" s="26" t="s">
        <v>167</v>
      </c>
      <c r="ML394" s="241" t="s">
        <v>168</v>
      </c>
      <c r="MM394" s="243" t="s">
        <v>169</v>
      </c>
      <c r="MN394" s="79" t="s">
        <v>170</v>
      </c>
      <c r="MQ394" s="30" t="s">
        <v>164</v>
      </c>
      <c r="MR394" s="77" t="s">
        <v>165</v>
      </c>
      <c r="MS394" s="241" t="s">
        <v>166</v>
      </c>
      <c r="MT394" s="26" t="s">
        <v>167</v>
      </c>
      <c r="MU394" s="241" t="s">
        <v>168</v>
      </c>
      <c r="MV394" s="243" t="s">
        <v>169</v>
      </c>
      <c r="MW394" s="79" t="s">
        <v>170</v>
      </c>
      <c r="MZ394" s="30" t="s">
        <v>164</v>
      </c>
      <c r="NA394" s="77" t="s">
        <v>165</v>
      </c>
      <c r="NB394" s="241" t="s">
        <v>166</v>
      </c>
      <c r="NC394" s="26" t="s">
        <v>167</v>
      </c>
      <c r="ND394" s="241" t="s">
        <v>168</v>
      </c>
      <c r="NE394" s="243" t="s">
        <v>169</v>
      </c>
      <c r="NF394" s="79" t="s">
        <v>170</v>
      </c>
      <c r="NI394" s="30" t="s">
        <v>164</v>
      </c>
      <c r="NJ394" s="77" t="s">
        <v>165</v>
      </c>
      <c r="NK394" s="241" t="s">
        <v>166</v>
      </c>
      <c r="NL394" s="26" t="s">
        <v>167</v>
      </c>
      <c r="NM394" s="241" t="s">
        <v>168</v>
      </c>
      <c r="NN394" s="243" t="s">
        <v>169</v>
      </c>
      <c r="NO394" s="79" t="s">
        <v>170</v>
      </c>
      <c r="NR394" s="30" t="s">
        <v>164</v>
      </c>
      <c r="NS394" s="77" t="s">
        <v>165</v>
      </c>
      <c r="NT394" s="241" t="s">
        <v>166</v>
      </c>
      <c r="NU394" s="26" t="s">
        <v>167</v>
      </c>
      <c r="NV394" s="241" t="s">
        <v>168</v>
      </c>
      <c r="NW394" s="243" t="s">
        <v>169</v>
      </c>
      <c r="NX394" s="79" t="s">
        <v>170</v>
      </c>
      <c r="OA394" s="30" t="s">
        <v>164</v>
      </c>
      <c r="OB394" s="77" t="s">
        <v>165</v>
      </c>
      <c r="OC394" s="241" t="s">
        <v>166</v>
      </c>
      <c r="OD394" s="26" t="s">
        <v>167</v>
      </c>
      <c r="OE394" s="241" t="s">
        <v>168</v>
      </c>
      <c r="OF394" s="243" t="s">
        <v>169</v>
      </c>
      <c r="OG394" s="79" t="s">
        <v>170</v>
      </c>
      <c r="OJ394" s="30" t="s">
        <v>164</v>
      </c>
      <c r="OK394" s="77" t="s">
        <v>165</v>
      </c>
      <c r="OL394" s="241" t="s">
        <v>166</v>
      </c>
      <c r="OM394" s="26" t="s">
        <v>167</v>
      </c>
      <c r="ON394" s="241" t="s">
        <v>168</v>
      </c>
      <c r="OO394" s="243" t="s">
        <v>169</v>
      </c>
      <c r="OP394" s="79" t="s">
        <v>170</v>
      </c>
      <c r="OS394" s="30" t="s">
        <v>164</v>
      </c>
      <c r="OT394" s="77" t="s">
        <v>165</v>
      </c>
      <c r="OU394" s="241" t="s">
        <v>166</v>
      </c>
      <c r="OV394" s="26" t="s">
        <v>167</v>
      </c>
      <c r="OW394" s="241" t="s">
        <v>168</v>
      </c>
      <c r="OX394" s="243" t="s">
        <v>169</v>
      </c>
      <c r="OY394" s="79" t="s">
        <v>170</v>
      </c>
      <c r="PB394" s="30" t="s">
        <v>164</v>
      </c>
      <c r="PC394" s="77" t="s">
        <v>165</v>
      </c>
      <c r="PD394" s="241" t="s">
        <v>166</v>
      </c>
      <c r="PE394" s="26" t="s">
        <v>167</v>
      </c>
      <c r="PF394" s="241" t="s">
        <v>168</v>
      </c>
      <c r="PG394" s="243" t="s">
        <v>169</v>
      </c>
      <c r="PH394" s="79" t="s">
        <v>170</v>
      </c>
      <c r="PK394" s="30" t="s">
        <v>164</v>
      </c>
      <c r="PL394" s="77" t="s">
        <v>165</v>
      </c>
      <c r="PM394" s="241" t="s">
        <v>166</v>
      </c>
      <c r="PN394" s="26" t="s">
        <v>167</v>
      </c>
      <c r="PO394" s="241" t="s">
        <v>168</v>
      </c>
      <c r="PP394" s="243" t="s">
        <v>169</v>
      </c>
      <c r="PQ394" s="79" t="s">
        <v>170</v>
      </c>
      <c r="PT394" s="30" t="s">
        <v>164</v>
      </c>
      <c r="PU394" s="77" t="s">
        <v>165</v>
      </c>
      <c r="PV394" s="241" t="s">
        <v>166</v>
      </c>
      <c r="PW394" s="26" t="s">
        <v>167</v>
      </c>
      <c r="PX394" s="241" t="s">
        <v>168</v>
      </c>
      <c r="PY394" s="243" t="s">
        <v>169</v>
      </c>
      <c r="PZ394" s="79" t="s">
        <v>170</v>
      </c>
      <c r="QC394" s="30" t="s">
        <v>164</v>
      </c>
      <c r="QD394" s="77" t="s">
        <v>165</v>
      </c>
      <c r="QE394" s="241" t="s">
        <v>166</v>
      </c>
      <c r="QF394" s="26" t="s">
        <v>167</v>
      </c>
      <c r="QG394" s="241" t="s">
        <v>168</v>
      </c>
      <c r="QH394" s="243" t="s">
        <v>169</v>
      </c>
      <c r="QI394" s="79" t="s">
        <v>170</v>
      </c>
      <c r="QL394" s="30" t="s">
        <v>164</v>
      </c>
      <c r="QM394" s="77" t="s">
        <v>165</v>
      </c>
      <c r="QN394" s="241" t="s">
        <v>166</v>
      </c>
      <c r="QO394" s="26" t="s">
        <v>167</v>
      </c>
      <c r="QP394" s="241" t="s">
        <v>168</v>
      </c>
      <c r="QQ394" s="243" t="s">
        <v>169</v>
      </c>
      <c r="QR394" s="79" t="s">
        <v>170</v>
      </c>
      <c r="QU394" s="30" t="s">
        <v>164</v>
      </c>
      <c r="QV394" s="77" t="s">
        <v>165</v>
      </c>
      <c r="QW394" s="241" t="s">
        <v>166</v>
      </c>
      <c r="QX394" s="26" t="s">
        <v>167</v>
      </c>
      <c r="QY394" s="241" t="s">
        <v>168</v>
      </c>
      <c r="QZ394" s="243" t="s">
        <v>169</v>
      </c>
      <c r="RA394" s="79" t="s">
        <v>170</v>
      </c>
      <c r="RD394" s="30" t="s">
        <v>164</v>
      </c>
      <c r="RE394" s="77" t="s">
        <v>165</v>
      </c>
      <c r="RF394" s="241" t="s">
        <v>166</v>
      </c>
      <c r="RG394" s="26" t="s">
        <v>167</v>
      </c>
      <c r="RH394" s="241" t="s">
        <v>168</v>
      </c>
      <c r="RI394" s="243" t="s">
        <v>169</v>
      </c>
      <c r="RJ394" s="79" t="s">
        <v>170</v>
      </c>
      <c r="RM394" s="30" t="s">
        <v>164</v>
      </c>
      <c r="RN394" s="77" t="s">
        <v>165</v>
      </c>
      <c r="RO394" s="241" t="s">
        <v>166</v>
      </c>
      <c r="RP394" s="26" t="s">
        <v>167</v>
      </c>
      <c r="RQ394" s="241" t="s">
        <v>168</v>
      </c>
      <c r="RR394" s="243" t="s">
        <v>169</v>
      </c>
      <c r="RS394" s="79" t="s">
        <v>170</v>
      </c>
      <c r="RV394" s="30" t="s">
        <v>164</v>
      </c>
      <c r="RW394" s="77" t="s">
        <v>165</v>
      </c>
      <c r="RX394" s="241" t="s">
        <v>166</v>
      </c>
      <c r="RY394" s="26" t="s">
        <v>167</v>
      </c>
      <c r="RZ394" s="241" t="s">
        <v>168</v>
      </c>
      <c r="SA394" s="243" t="s">
        <v>169</v>
      </c>
      <c r="SB394" s="79" t="s">
        <v>170</v>
      </c>
      <c r="SE394" s="30" t="s">
        <v>164</v>
      </c>
      <c r="SF394" s="77" t="s">
        <v>165</v>
      </c>
      <c r="SG394" s="241" t="s">
        <v>166</v>
      </c>
      <c r="SH394" s="26" t="s">
        <v>167</v>
      </c>
      <c r="SI394" s="241" t="s">
        <v>168</v>
      </c>
      <c r="SJ394" s="243" t="s">
        <v>169</v>
      </c>
      <c r="SK394" s="79" t="s">
        <v>170</v>
      </c>
      <c r="SN394" s="30" t="s">
        <v>164</v>
      </c>
      <c r="SO394" s="77" t="s">
        <v>165</v>
      </c>
      <c r="SP394" s="241" t="s">
        <v>166</v>
      </c>
      <c r="SQ394" s="26" t="s">
        <v>167</v>
      </c>
      <c r="SR394" s="241" t="s">
        <v>168</v>
      </c>
      <c r="SS394" s="243" t="s">
        <v>169</v>
      </c>
      <c r="ST394" s="79" t="s">
        <v>170</v>
      </c>
      <c r="SW394" s="30" t="s">
        <v>164</v>
      </c>
      <c r="SX394" s="77" t="s">
        <v>165</v>
      </c>
      <c r="SY394" s="241" t="s">
        <v>166</v>
      </c>
      <c r="SZ394" s="26" t="s">
        <v>167</v>
      </c>
      <c r="TA394" s="241" t="s">
        <v>168</v>
      </c>
      <c r="TB394" s="243" t="s">
        <v>169</v>
      </c>
      <c r="TC394" s="79" t="s">
        <v>170</v>
      </c>
      <c r="TF394" s="30" t="s">
        <v>164</v>
      </c>
      <c r="TG394" s="77" t="s">
        <v>165</v>
      </c>
      <c r="TH394" s="241" t="s">
        <v>166</v>
      </c>
      <c r="TI394" s="26" t="s">
        <v>167</v>
      </c>
      <c r="TJ394" s="241" t="s">
        <v>168</v>
      </c>
      <c r="TK394" s="243" t="s">
        <v>169</v>
      </c>
      <c r="TL394" s="79" t="s">
        <v>170</v>
      </c>
      <c r="TO394" s="30" t="s">
        <v>164</v>
      </c>
      <c r="TP394" s="77" t="s">
        <v>165</v>
      </c>
      <c r="TQ394" s="241" t="s">
        <v>166</v>
      </c>
      <c r="TR394" s="26" t="s">
        <v>167</v>
      </c>
      <c r="TS394" s="241" t="s">
        <v>168</v>
      </c>
      <c r="TT394" s="243" t="s">
        <v>169</v>
      </c>
      <c r="TU394" s="79" t="s">
        <v>170</v>
      </c>
      <c r="TX394" s="30" t="s">
        <v>164</v>
      </c>
      <c r="TY394" s="77" t="s">
        <v>165</v>
      </c>
      <c r="TZ394" s="241" t="s">
        <v>166</v>
      </c>
      <c r="UA394" s="26" t="s">
        <v>167</v>
      </c>
      <c r="UB394" s="241" t="s">
        <v>168</v>
      </c>
      <c r="UC394" s="243" t="s">
        <v>169</v>
      </c>
      <c r="UD394" s="79" t="s">
        <v>170</v>
      </c>
      <c r="UG394" s="30" t="s">
        <v>164</v>
      </c>
      <c r="UH394" s="77" t="s">
        <v>165</v>
      </c>
      <c r="UI394" s="241" t="s">
        <v>166</v>
      </c>
      <c r="UJ394" s="26" t="s">
        <v>167</v>
      </c>
      <c r="UK394" s="241" t="s">
        <v>168</v>
      </c>
      <c r="UL394" s="243" t="s">
        <v>169</v>
      </c>
      <c r="UM394" s="79" t="s">
        <v>170</v>
      </c>
      <c r="UP394" s="30" t="s">
        <v>164</v>
      </c>
      <c r="UQ394" s="77" t="s">
        <v>165</v>
      </c>
      <c r="UR394" s="241" t="s">
        <v>166</v>
      </c>
      <c r="US394" s="26" t="s">
        <v>167</v>
      </c>
      <c r="UT394" s="241" t="s">
        <v>168</v>
      </c>
      <c r="UU394" s="243" t="s">
        <v>169</v>
      </c>
      <c r="UV394" s="79" t="s">
        <v>170</v>
      </c>
      <c r="UY394" s="30" t="s">
        <v>164</v>
      </c>
      <c r="UZ394" s="77" t="s">
        <v>165</v>
      </c>
      <c r="VA394" s="241" t="s">
        <v>166</v>
      </c>
      <c r="VB394" s="26" t="s">
        <v>167</v>
      </c>
      <c r="VC394" s="241" t="s">
        <v>168</v>
      </c>
      <c r="VD394" s="243" t="s">
        <v>169</v>
      </c>
      <c r="VE394" s="79" t="s">
        <v>170</v>
      </c>
      <c r="VH394" s="30" t="s">
        <v>164</v>
      </c>
      <c r="VI394" s="77" t="s">
        <v>165</v>
      </c>
      <c r="VJ394" s="241" t="s">
        <v>166</v>
      </c>
      <c r="VK394" s="26" t="s">
        <v>167</v>
      </c>
      <c r="VL394" s="241" t="s">
        <v>168</v>
      </c>
      <c r="VM394" s="243" t="s">
        <v>169</v>
      </c>
      <c r="VN394" s="79" t="s">
        <v>170</v>
      </c>
      <c r="VQ394" s="30" t="s">
        <v>164</v>
      </c>
      <c r="VR394" s="77" t="s">
        <v>165</v>
      </c>
      <c r="VS394" s="241" t="s">
        <v>166</v>
      </c>
      <c r="VT394" s="26" t="s">
        <v>167</v>
      </c>
      <c r="VU394" s="241" t="s">
        <v>168</v>
      </c>
      <c r="VV394" s="243" t="s">
        <v>169</v>
      </c>
      <c r="VW394" s="79" t="s">
        <v>170</v>
      </c>
      <c r="VZ394" s="30" t="s">
        <v>164</v>
      </c>
      <c r="WA394" s="77" t="s">
        <v>165</v>
      </c>
      <c r="WB394" s="241" t="s">
        <v>166</v>
      </c>
      <c r="WC394" s="26" t="s">
        <v>167</v>
      </c>
      <c r="WD394" s="241" t="s">
        <v>168</v>
      </c>
      <c r="WE394" s="243" t="s">
        <v>169</v>
      </c>
      <c r="WF394" s="79" t="s">
        <v>170</v>
      </c>
      <c r="WI394" s="30" t="s">
        <v>164</v>
      </c>
      <c r="WJ394" s="77" t="s">
        <v>165</v>
      </c>
      <c r="WK394" s="241" t="s">
        <v>166</v>
      </c>
      <c r="WL394" s="26" t="s">
        <v>167</v>
      </c>
      <c r="WM394" s="241" t="s">
        <v>168</v>
      </c>
      <c r="WN394" s="243" t="s">
        <v>169</v>
      </c>
      <c r="WO394" s="79" t="s">
        <v>170</v>
      </c>
      <c r="WR394" s="30" t="s">
        <v>164</v>
      </c>
      <c r="WS394" s="77" t="s">
        <v>165</v>
      </c>
      <c r="WT394" s="241" t="s">
        <v>166</v>
      </c>
      <c r="WU394" s="26" t="s">
        <v>167</v>
      </c>
      <c r="WV394" s="241" t="s">
        <v>168</v>
      </c>
      <c r="WW394" s="243" t="s">
        <v>169</v>
      </c>
      <c r="WX394" s="79" t="s">
        <v>170</v>
      </c>
      <c r="XA394" s="30" t="s">
        <v>164</v>
      </c>
      <c r="XB394" s="77" t="s">
        <v>165</v>
      </c>
      <c r="XC394" s="241" t="s">
        <v>166</v>
      </c>
      <c r="XD394" s="26" t="s">
        <v>167</v>
      </c>
      <c r="XE394" s="241" t="s">
        <v>168</v>
      </c>
      <c r="XF394" s="243" t="s">
        <v>169</v>
      </c>
      <c r="XG394" s="79" t="s">
        <v>170</v>
      </c>
      <c r="XJ394" s="30" t="s">
        <v>164</v>
      </c>
      <c r="XK394" s="77" t="s">
        <v>165</v>
      </c>
      <c r="XL394" s="241" t="s">
        <v>166</v>
      </c>
      <c r="XM394" s="26" t="s">
        <v>167</v>
      </c>
      <c r="XN394" s="241" t="s">
        <v>168</v>
      </c>
      <c r="XO394" s="243" t="s">
        <v>169</v>
      </c>
      <c r="XP394" s="79" t="s">
        <v>170</v>
      </c>
      <c r="XS394" s="30" t="s">
        <v>164</v>
      </c>
      <c r="XT394" s="77" t="s">
        <v>165</v>
      </c>
      <c r="XU394" s="241" t="s">
        <v>166</v>
      </c>
      <c r="XV394" s="26" t="s">
        <v>167</v>
      </c>
      <c r="XW394" s="241" t="s">
        <v>168</v>
      </c>
      <c r="XX394" s="243" t="s">
        <v>169</v>
      </c>
      <c r="XY394" s="79" t="s">
        <v>170</v>
      </c>
      <c r="YB394" s="30" t="s">
        <v>164</v>
      </c>
      <c r="YC394" s="77" t="s">
        <v>165</v>
      </c>
      <c r="YD394" s="241" t="s">
        <v>166</v>
      </c>
      <c r="YE394" s="26" t="s">
        <v>167</v>
      </c>
      <c r="YF394" s="241" t="s">
        <v>168</v>
      </c>
      <c r="YG394" s="243" t="s">
        <v>169</v>
      </c>
      <c r="YH394" s="79" t="s">
        <v>170</v>
      </c>
      <c r="YK394" s="30" t="s">
        <v>164</v>
      </c>
      <c r="YL394" s="77" t="s">
        <v>165</v>
      </c>
      <c r="YM394" s="241" t="s">
        <v>166</v>
      </c>
      <c r="YN394" s="26" t="s">
        <v>167</v>
      </c>
      <c r="YO394" s="241" t="s">
        <v>168</v>
      </c>
      <c r="YP394" s="243" t="s">
        <v>169</v>
      </c>
      <c r="YQ394" s="79" t="s">
        <v>170</v>
      </c>
      <c r="YT394" s="30" t="s">
        <v>164</v>
      </c>
      <c r="YU394" s="77" t="s">
        <v>165</v>
      </c>
      <c r="YV394" s="241" t="s">
        <v>166</v>
      </c>
      <c r="YW394" s="26" t="s">
        <v>167</v>
      </c>
      <c r="YX394" s="241" t="s">
        <v>168</v>
      </c>
      <c r="YY394" s="243" t="s">
        <v>169</v>
      </c>
      <c r="YZ394" s="79" t="s">
        <v>170</v>
      </c>
      <c r="ZC394" s="30" t="s">
        <v>164</v>
      </c>
      <c r="ZD394" s="77" t="s">
        <v>165</v>
      </c>
      <c r="ZE394" s="241" t="s">
        <v>166</v>
      </c>
      <c r="ZF394" s="26" t="s">
        <v>167</v>
      </c>
      <c r="ZG394" s="241" t="s">
        <v>168</v>
      </c>
      <c r="ZH394" s="243" t="s">
        <v>169</v>
      </c>
      <c r="ZI394" s="79" t="s">
        <v>170</v>
      </c>
      <c r="ZL394" s="30" t="s">
        <v>164</v>
      </c>
      <c r="ZM394" s="77" t="s">
        <v>165</v>
      </c>
      <c r="ZN394" s="241" t="s">
        <v>166</v>
      </c>
      <c r="ZO394" s="26" t="s">
        <v>167</v>
      </c>
      <c r="ZP394" s="241" t="s">
        <v>168</v>
      </c>
      <c r="ZQ394" s="243" t="s">
        <v>169</v>
      </c>
      <c r="ZR394" s="79" t="s">
        <v>170</v>
      </c>
      <c r="ZU394" s="30" t="s">
        <v>164</v>
      </c>
      <c r="ZV394" s="77" t="s">
        <v>165</v>
      </c>
      <c r="ZW394" s="241" t="s">
        <v>166</v>
      </c>
      <c r="ZX394" s="26" t="s">
        <v>167</v>
      </c>
      <c r="ZY394" s="241" t="s">
        <v>168</v>
      </c>
      <c r="ZZ394" s="243" t="s">
        <v>169</v>
      </c>
      <c r="AAA394" s="79" t="s">
        <v>170</v>
      </c>
      <c r="AAD394" s="30" t="s">
        <v>164</v>
      </c>
      <c r="AAE394" s="77" t="s">
        <v>165</v>
      </c>
      <c r="AAF394" s="241" t="s">
        <v>166</v>
      </c>
      <c r="AAG394" s="26" t="s">
        <v>167</v>
      </c>
      <c r="AAH394" s="241" t="s">
        <v>168</v>
      </c>
      <c r="AAI394" s="243" t="s">
        <v>169</v>
      </c>
      <c r="AAJ394" s="79" t="s">
        <v>170</v>
      </c>
      <c r="AAM394" s="30" t="s">
        <v>164</v>
      </c>
      <c r="AAN394" s="77" t="s">
        <v>165</v>
      </c>
      <c r="AAO394" s="241" t="s">
        <v>166</v>
      </c>
      <c r="AAP394" s="26" t="s">
        <v>167</v>
      </c>
      <c r="AAQ394" s="241" t="s">
        <v>168</v>
      </c>
      <c r="AAR394" s="243" t="s">
        <v>169</v>
      </c>
      <c r="AAS394" s="79" t="s">
        <v>170</v>
      </c>
      <c r="AAV394" s="30" t="s">
        <v>164</v>
      </c>
      <c r="AAW394" s="77" t="s">
        <v>165</v>
      </c>
      <c r="AAX394" s="241" t="s">
        <v>166</v>
      </c>
      <c r="AAY394" s="26" t="s">
        <v>167</v>
      </c>
      <c r="AAZ394" s="241" t="s">
        <v>168</v>
      </c>
      <c r="ABA394" s="243" t="s">
        <v>169</v>
      </c>
      <c r="ABB394" s="79" t="s">
        <v>170</v>
      </c>
      <c r="ABE394" s="30" t="s">
        <v>164</v>
      </c>
      <c r="ABF394" s="77" t="s">
        <v>165</v>
      </c>
      <c r="ABG394" s="241" t="s">
        <v>166</v>
      </c>
      <c r="ABH394" s="26" t="s">
        <v>167</v>
      </c>
      <c r="ABI394" s="241" t="s">
        <v>168</v>
      </c>
      <c r="ABJ394" s="243" t="s">
        <v>169</v>
      </c>
      <c r="ABK394" s="79" t="s">
        <v>170</v>
      </c>
    </row>
    <row r="395" spans="1:739" s="6" customFormat="1" ht="15" customHeight="1" outlineLevel="1" thickBot="1">
      <c r="B395" s="480"/>
      <c r="C395" s="49" t="s">
        <v>171</v>
      </c>
      <c r="D395" s="50" t="s">
        <v>172</v>
      </c>
      <c r="E395" s="50" t="s">
        <v>172</v>
      </c>
      <c r="F395" s="50" t="s">
        <v>172</v>
      </c>
      <c r="G395" s="51" t="s">
        <v>172</v>
      </c>
      <c r="H395" s="52">
        <f>H391</f>
        <v>236936.6</v>
      </c>
      <c r="I395" s="328"/>
      <c r="L395" s="49" t="s">
        <v>171</v>
      </c>
      <c r="M395" s="50" t="s">
        <v>172</v>
      </c>
      <c r="N395" s="50" t="s">
        <v>172</v>
      </c>
      <c r="O395" s="50" t="s">
        <v>172</v>
      </c>
      <c r="P395" s="51" t="s">
        <v>172</v>
      </c>
      <c r="Q395" s="52">
        <f>Q391</f>
        <v>53017.600000000071</v>
      </c>
      <c r="R395" s="53"/>
      <c r="U395" s="49" t="s">
        <v>171</v>
      </c>
      <c r="V395" s="50" t="s">
        <v>172</v>
      </c>
      <c r="W395" s="50" t="s">
        <v>172</v>
      </c>
      <c r="X395" s="50" t="s">
        <v>172</v>
      </c>
      <c r="Y395" s="51" t="s">
        <v>172</v>
      </c>
      <c r="Z395" s="52">
        <f>Z391</f>
        <v>42674.199999999968</v>
      </c>
      <c r="AA395" s="53"/>
      <c r="AD395" s="49" t="s">
        <v>171</v>
      </c>
      <c r="AE395" s="50" t="s">
        <v>172</v>
      </c>
      <c r="AF395" s="50" t="s">
        <v>172</v>
      </c>
      <c r="AG395" s="50" t="s">
        <v>172</v>
      </c>
      <c r="AH395" s="51" t="s">
        <v>172</v>
      </c>
      <c r="AI395" s="52">
        <f>AI391</f>
        <v>4522.2000000000189</v>
      </c>
      <c r="AJ395" s="53"/>
      <c r="AM395" s="49" t="s">
        <v>171</v>
      </c>
      <c r="AN395" s="429" t="s">
        <v>172</v>
      </c>
      <c r="AO395" s="429" t="s">
        <v>172</v>
      </c>
      <c r="AP395" s="429" t="s">
        <v>172</v>
      </c>
      <c r="AQ395" s="430" t="s">
        <v>172</v>
      </c>
      <c r="AR395" s="431">
        <f>AR391</f>
        <v>0</v>
      </c>
      <c r="AS395" s="53"/>
      <c r="AV395" s="49" t="s">
        <v>171</v>
      </c>
      <c r="AW395" s="50" t="s">
        <v>172</v>
      </c>
      <c r="AX395" s="50" t="s">
        <v>172</v>
      </c>
      <c r="AY395" s="50" t="s">
        <v>172</v>
      </c>
      <c r="AZ395" s="51" t="s">
        <v>172</v>
      </c>
      <c r="BA395" s="52">
        <f>BA391</f>
        <v>124.99999999999523</v>
      </c>
      <c r="BB395" s="53"/>
      <c r="BE395" s="49" t="s">
        <v>171</v>
      </c>
      <c r="BF395" s="50" t="s">
        <v>172</v>
      </c>
      <c r="BG395" s="50" t="s">
        <v>172</v>
      </c>
      <c r="BH395" s="50" t="s">
        <v>172</v>
      </c>
      <c r="BI395" s="51" t="s">
        <v>172</v>
      </c>
      <c r="BJ395" s="52">
        <f>BJ391</f>
        <v>26151.899999999998</v>
      </c>
      <c r="BK395" s="53"/>
      <c r="BN395" s="49" t="s">
        <v>171</v>
      </c>
      <c r="BO395" s="50" t="s">
        <v>172</v>
      </c>
      <c r="BP395" s="50" t="s">
        <v>172</v>
      </c>
      <c r="BQ395" s="50" t="s">
        <v>172</v>
      </c>
      <c r="BR395" s="51" t="s">
        <v>172</v>
      </c>
      <c r="BS395" s="52">
        <f>BS391</f>
        <v>0</v>
      </c>
      <c r="BT395" s="53"/>
      <c r="BW395" s="49" t="s">
        <v>171</v>
      </c>
      <c r="BX395" s="50" t="s">
        <v>172</v>
      </c>
      <c r="BY395" s="50" t="s">
        <v>172</v>
      </c>
      <c r="BZ395" s="50" t="s">
        <v>172</v>
      </c>
      <c r="CA395" s="51" t="s">
        <v>172</v>
      </c>
      <c r="CB395" s="52">
        <f>CB391</f>
        <v>2097.3399999999992</v>
      </c>
      <c r="CC395" s="53"/>
      <c r="CF395" s="49" t="s">
        <v>171</v>
      </c>
      <c r="CG395" s="50" t="s">
        <v>172</v>
      </c>
      <c r="CH395" s="50" t="s">
        <v>172</v>
      </c>
      <c r="CI395" s="50" t="s">
        <v>172</v>
      </c>
      <c r="CJ395" s="51" t="s">
        <v>172</v>
      </c>
      <c r="CK395" s="52">
        <f>CK391</f>
        <v>-10277.079999999998</v>
      </c>
      <c r="CL395" s="53"/>
      <c r="CO395" s="49" t="s">
        <v>171</v>
      </c>
      <c r="CP395" s="429" t="s">
        <v>172</v>
      </c>
      <c r="CQ395" s="429" t="s">
        <v>172</v>
      </c>
      <c r="CR395" s="429" t="s">
        <v>172</v>
      </c>
      <c r="CS395" s="430" t="s">
        <v>172</v>
      </c>
      <c r="CT395" s="431">
        <f>CT391</f>
        <v>0</v>
      </c>
      <c r="CU395" s="53"/>
      <c r="CX395" s="49" t="s">
        <v>171</v>
      </c>
      <c r="CY395" s="50" t="s">
        <v>172</v>
      </c>
      <c r="CZ395" s="50" t="s">
        <v>172</v>
      </c>
      <c r="DA395" s="50" t="s">
        <v>172</v>
      </c>
      <c r="DB395" s="51" t="s">
        <v>172</v>
      </c>
      <c r="DC395" s="52">
        <f>DC391</f>
        <v>27438.200000000012</v>
      </c>
      <c r="DD395" s="53"/>
      <c r="DG395" s="49" t="s">
        <v>171</v>
      </c>
      <c r="DH395" s="50" t="s">
        <v>172</v>
      </c>
      <c r="DI395" s="142" t="s">
        <v>172</v>
      </c>
      <c r="DJ395" s="50" t="s">
        <v>172</v>
      </c>
      <c r="DK395" s="143" t="s">
        <v>172</v>
      </c>
      <c r="DL395" s="144">
        <f>DL391</f>
        <v>18782.299999999981</v>
      </c>
      <c r="DM395" s="53"/>
      <c r="DP395" s="49" t="s">
        <v>171</v>
      </c>
      <c r="DQ395" s="50" t="s">
        <v>172</v>
      </c>
      <c r="DR395" s="50" t="s">
        <v>172</v>
      </c>
      <c r="DS395" s="50" t="s">
        <v>172</v>
      </c>
      <c r="DT395" s="51" t="s">
        <v>172</v>
      </c>
      <c r="DU395" s="52">
        <f>DU391</f>
        <v>5800</v>
      </c>
      <c r="DV395" s="53"/>
      <c r="DY395" s="49" t="s">
        <v>171</v>
      </c>
      <c r="DZ395" s="50" t="s">
        <v>172</v>
      </c>
      <c r="EA395" s="50" t="s">
        <v>172</v>
      </c>
      <c r="EB395" s="50" t="s">
        <v>172</v>
      </c>
      <c r="EC395" s="143" t="s">
        <v>172</v>
      </c>
      <c r="ED395" s="144">
        <f>ED391</f>
        <v>0</v>
      </c>
      <c r="EE395" s="53"/>
      <c r="EH395" s="49" t="s">
        <v>171</v>
      </c>
      <c r="EI395" s="50" t="s">
        <v>172</v>
      </c>
      <c r="EJ395" s="50" t="s">
        <v>172</v>
      </c>
      <c r="EK395" s="50" t="s">
        <v>172</v>
      </c>
      <c r="EL395" s="143" t="s">
        <v>172</v>
      </c>
      <c r="EM395" s="144">
        <f>EM391</f>
        <v>0</v>
      </c>
      <c r="EN395" s="53"/>
      <c r="EQ395" s="49" t="s">
        <v>171</v>
      </c>
      <c r="ER395" s="50" t="s">
        <v>172</v>
      </c>
      <c r="ES395" s="50" t="s">
        <v>172</v>
      </c>
      <c r="ET395" s="50" t="s">
        <v>172</v>
      </c>
      <c r="EU395" s="51" t="s">
        <v>172</v>
      </c>
      <c r="EV395" s="52">
        <f>EV391</f>
        <v>0</v>
      </c>
      <c r="EW395" s="53"/>
      <c r="EZ395" s="49" t="s">
        <v>171</v>
      </c>
      <c r="FA395" s="50" t="s">
        <v>172</v>
      </c>
      <c r="FB395" s="50" t="s">
        <v>172</v>
      </c>
      <c r="FC395" s="50" t="s">
        <v>172</v>
      </c>
      <c r="FD395" s="143" t="s">
        <v>172</v>
      </c>
      <c r="FE395" s="144">
        <f>FE391</f>
        <v>0</v>
      </c>
      <c r="FF395" s="53"/>
      <c r="FI395" s="49" t="s">
        <v>171</v>
      </c>
      <c r="FJ395" s="50" t="s">
        <v>172</v>
      </c>
      <c r="FK395" s="50" t="s">
        <v>172</v>
      </c>
      <c r="FL395" s="50" t="s">
        <v>172</v>
      </c>
      <c r="FM395" s="143" t="s">
        <v>172</v>
      </c>
      <c r="FN395" s="144">
        <f>FN391</f>
        <v>0</v>
      </c>
      <c r="FO395" s="53"/>
      <c r="FR395" s="49" t="s">
        <v>171</v>
      </c>
      <c r="FS395" s="50" t="s">
        <v>172</v>
      </c>
      <c r="FT395" s="50" t="s">
        <v>172</v>
      </c>
      <c r="FU395" s="50" t="s">
        <v>172</v>
      </c>
      <c r="FV395" s="143" t="s">
        <v>172</v>
      </c>
      <c r="FW395" s="144">
        <f>FW391</f>
        <v>2020</v>
      </c>
      <c r="FX395" s="53"/>
      <c r="GA395" s="49" t="s">
        <v>171</v>
      </c>
      <c r="GB395" s="50" t="s">
        <v>172</v>
      </c>
      <c r="GC395" s="50" t="s">
        <v>172</v>
      </c>
      <c r="GD395" s="50" t="s">
        <v>172</v>
      </c>
      <c r="GE395" s="143" t="s">
        <v>172</v>
      </c>
      <c r="GF395" s="144">
        <f>GF391</f>
        <v>960</v>
      </c>
      <c r="GG395" s="53"/>
      <c r="GI395" s="22"/>
      <c r="GJ395" s="49" t="s">
        <v>171</v>
      </c>
      <c r="GK395" s="50" t="s">
        <v>172</v>
      </c>
      <c r="GL395" s="50" t="s">
        <v>172</v>
      </c>
      <c r="GM395" s="50" t="s">
        <v>172</v>
      </c>
      <c r="GN395" s="143" t="s">
        <v>172</v>
      </c>
      <c r="GO395" s="144">
        <f>GO391</f>
        <v>1760</v>
      </c>
      <c r="GP395" s="53"/>
      <c r="GS395" s="49" t="s">
        <v>171</v>
      </c>
      <c r="GT395" s="50" t="s">
        <v>172</v>
      </c>
      <c r="GU395" s="50" t="s">
        <v>172</v>
      </c>
      <c r="GV395" s="50" t="s">
        <v>172</v>
      </c>
      <c r="GW395" s="143" t="s">
        <v>172</v>
      </c>
      <c r="GX395" s="144">
        <f>GX391</f>
        <v>400</v>
      </c>
      <c r="GY395" s="53"/>
      <c r="HB395" s="49" t="s">
        <v>171</v>
      </c>
      <c r="HC395" s="50" t="s">
        <v>172</v>
      </c>
      <c r="HD395" s="50" t="s">
        <v>172</v>
      </c>
      <c r="HE395" s="50" t="s">
        <v>172</v>
      </c>
      <c r="HF395" s="143" t="s">
        <v>172</v>
      </c>
      <c r="HG395" s="144">
        <f>HG391</f>
        <v>3600</v>
      </c>
      <c r="HH395" s="53"/>
      <c r="HK395" s="49" t="s">
        <v>171</v>
      </c>
      <c r="HL395" s="50" t="s">
        <v>172</v>
      </c>
      <c r="HM395" s="50" t="s">
        <v>172</v>
      </c>
      <c r="HN395" s="50" t="s">
        <v>172</v>
      </c>
      <c r="HO395" s="143" t="s">
        <v>172</v>
      </c>
      <c r="HP395" s="144">
        <f>HP391</f>
        <v>0</v>
      </c>
      <c r="HQ395" s="53"/>
      <c r="HU395" s="49" t="s">
        <v>171</v>
      </c>
      <c r="HV395" s="50" t="s">
        <v>172</v>
      </c>
      <c r="HW395" s="142" t="s">
        <v>172</v>
      </c>
      <c r="HX395" s="50" t="s">
        <v>172</v>
      </c>
      <c r="HY395" s="143" t="s">
        <v>172</v>
      </c>
      <c r="HZ395" s="144">
        <f>HZ391</f>
        <v>6120</v>
      </c>
      <c r="IA395" s="53"/>
      <c r="ID395" s="49" t="s">
        <v>171</v>
      </c>
      <c r="IE395" s="50" t="s">
        <v>172</v>
      </c>
      <c r="IF395" s="142" t="s">
        <v>172</v>
      </c>
      <c r="IG395" s="50" t="s">
        <v>172</v>
      </c>
      <c r="IH395" s="143" t="s">
        <v>172</v>
      </c>
      <c r="II395" s="144">
        <f>II391</f>
        <v>0</v>
      </c>
      <c r="IJ395" s="53"/>
      <c r="IM395" s="49" t="s">
        <v>171</v>
      </c>
      <c r="IN395" s="50" t="s">
        <v>172</v>
      </c>
      <c r="IO395" s="142" t="s">
        <v>172</v>
      </c>
      <c r="IP395" s="50" t="s">
        <v>172</v>
      </c>
      <c r="IQ395" s="143" t="s">
        <v>172</v>
      </c>
      <c r="IR395" s="144">
        <f>IR391</f>
        <v>0</v>
      </c>
      <c r="IS395" s="53"/>
      <c r="IV395" s="49" t="s">
        <v>171</v>
      </c>
      <c r="IW395" s="50" t="s">
        <v>172</v>
      </c>
      <c r="IX395" s="142" t="s">
        <v>172</v>
      </c>
      <c r="IY395" s="142" t="s">
        <v>172</v>
      </c>
      <c r="IZ395" s="143" t="s">
        <v>172</v>
      </c>
      <c r="JA395" s="144">
        <f>JA391</f>
        <v>2820</v>
      </c>
      <c r="JB395" s="53"/>
      <c r="JE395" s="49" t="s">
        <v>171</v>
      </c>
      <c r="JF395" s="50" t="s">
        <v>172</v>
      </c>
      <c r="JG395" s="142" t="s">
        <v>172</v>
      </c>
      <c r="JH395" s="142" t="s">
        <v>172</v>
      </c>
      <c r="JI395" s="143" t="s">
        <v>172</v>
      </c>
      <c r="JJ395" s="144">
        <f>JJ391</f>
        <v>0</v>
      </c>
      <c r="JK395" s="53"/>
      <c r="JN395" s="49" t="s">
        <v>171</v>
      </c>
      <c r="JO395" s="50" t="s">
        <v>172</v>
      </c>
      <c r="JP395" s="142" t="s">
        <v>172</v>
      </c>
      <c r="JQ395" s="142" t="s">
        <v>172</v>
      </c>
      <c r="JR395" s="143" t="s">
        <v>172</v>
      </c>
      <c r="JS395" s="144">
        <f>JS391</f>
        <v>0</v>
      </c>
      <c r="JT395" s="53"/>
      <c r="JW395" s="49" t="s">
        <v>171</v>
      </c>
      <c r="JX395" s="50" t="s">
        <v>172</v>
      </c>
      <c r="JY395" s="142" t="s">
        <v>172</v>
      </c>
      <c r="JZ395" s="142" t="s">
        <v>172</v>
      </c>
      <c r="KA395" s="143" t="s">
        <v>172</v>
      </c>
      <c r="KB395" s="144">
        <f>KB391</f>
        <v>2540</v>
      </c>
      <c r="KC395" s="53"/>
      <c r="KF395" s="49" t="s">
        <v>171</v>
      </c>
      <c r="KG395" s="50" t="s">
        <v>172</v>
      </c>
      <c r="KH395" s="142" t="s">
        <v>172</v>
      </c>
      <c r="KI395" s="50" t="s">
        <v>172</v>
      </c>
      <c r="KJ395" s="143" t="s">
        <v>172</v>
      </c>
      <c r="KK395" s="144">
        <f>KK391</f>
        <v>2359.5</v>
      </c>
      <c r="KL395" s="53"/>
      <c r="KO395" s="49" t="s">
        <v>171</v>
      </c>
      <c r="KP395" s="50" t="s">
        <v>172</v>
      </c>
      <c r="KQ395" s="142" t="s">
        <v>172</v>
      </c>
      <c r="KR395" s="50" t="s">
        <v>172</v>
      </c>
      <c r="KS395" s="143" t="s">
        <v>172</v>
      </c>
      <c r="KT395" s="144">
        <f>KT391</f>
        <v>1890</v>
      </c>
      <c r="KU395" s="53"/>
      <c r="KW395" s="22"/>
      <c r="KX395" s="49" t="s">
        <v>171</v>
      </c>
      <c r="KY395" s="50" t="s">
        <v>172</v>
      </c>
      <c r="KZ395" s="142" t="s">
        <v>172</v>
      </c>
      <c r="LA395" s="50" t="s">
        <v>172</v>
      </c>
      <c r="LB395" s="143" t="s">
        <v>172</v>
      </c>
      <c r="LC395" s="144">
        <f>LC391</f>
        <v>3690</v>
      </c>
      <c r="LD395" s="53"/>
      <c r="LG395" s="49" t="s">
        <v>171</v>
      </c>
      <c r="LH395" s="50" t="s">
        <v>172</v>
      </c>
      <c r="LI395" s="142" t="s">
        <v>172</v>
      </c>
      <c r="LJ395" s="142" t="s">
        <v>172</v>
      </c>
      <c r="LK395" s="143" t="s">
        <v>172</v>
      </c>
      <c r="LL395" s="144">
        <f>LL391</f>
        <v>4000</v>
      </c>
      <c r="LM395" s="53"/>
      <c r="LP395" s="49" t="s">
        <v>171</v>
      </c>
      <c r="LQ395" s="50" t="s">
        <v>172</v>
      </c>
      <c r="LR395" s="142" t="s">
        <v>172</v>
      </c>
      <c r="LS395" s="50" t="s">
        <v>172</v>
      </c>
      <c r="LT395" s="143" t="s">
        <v>172</v>
      </c>
      <c r="LU395" s="144">
        <f>LU391</f>
        <v>0</v>
      </c>
      <c r="LV395" s="53"/>
      <c r="LY395" s="49" t="s">
        <v>171</v>
      </c>
      <c r="LZ395" s="50" t="s">
        <v>172</v>
      </c>
      <c r="MA395" s="142" t="s">
        <v>172</v>
      </c>
      <c r="MB395" s="142" t="s">
        <v>172</v>
      </c>
      <c r="MC395" s="143" t="s">
        <v>172</v>
      </c>
      <c r="MD395" s="144">
        <f>MD391</f>
        <v>0</v>
      </c>
      <c r="ME395" s="53"/>
      <c r="MH395" s="49" t="s">
        <v>171</v>
      </c>
      <c r="MI395" s="50" t="s">
        <v>172</v>
      </c>
      <c r="MJ395" s="142" t="s">
        <v>172</v>
      </c>
      <c r="MK395" s="142" t="s">
        <v>172</v>
      </c>
      <c r="ML395" s="143" t="s">
        <v>172</v>
      </c>
      <c r="MM395" s="144">
        <f>MM391</f>
        <v>0</v>
      </c>
      <c r="MN395" s="53"/>
      <c r="MQ395" s="49" t="s">
        <v>171</v>
      </c>
      <c r="MR395" s="50" t="s">
        <v>172</v>
      </c>
      <c r="MS395" s="142" t="s">
        <v>172</v>
      </c>
      <c r="MT395" s="142" t="s">
        <v>172</v>
      </c>
      <c r="MU395" s="143" t="s">
        <v>172</v>
      </c>
      <c r="MV395" s="144">
        <f>MV391</f>
        <v>1625</v>
      </c>
      <c r="MW395" s="53"/>
      <c r="MZ395" s="49" t="s">
        <v>171</v>
      </c>
      <c r="NA395" s="50" t="s">
        <v>172</v>
      </c>
      <c r="NB395" s="142" t="s">
        <v>172</v>
      </c>
      <c r="NC395" s="142" t="s">
        <v>172</v>
      </c>
      <c r="ND395" s="143" t="s">
        <v>172</v>
      </c>
      <c r="NE395" s="144">
        <f>NE391</f>
        <v>0</v>
      </c>
      <c r="NF395" s="53"/>
      <c r="NI395" s="49" t="s">
        <v>171</v>
      </c>
      <c r="NJ395" s="50" t="s">
        <v>172</v>
      </c>
      <c r="NK395" s="142" t="s">
        <v>172</v>
      </c>
      <c r="NL395" s="50" t="s">
        <v>172</v>
      </c>
      <c r="NM395" s="143" t="s">
        <v>172</v>
      </c>
      <c r="NN395" s="144">
        <f>NN391</f>
        <v>1127</v>
      </c>
      <c r="NO395" s="53"/>
      <c r="NR395" s="49" t="s">
        <v>171</v>
      </c>
      <c r="NS395" s="50" t="s">
        <v>172</v>
      </c>
      <c r="NT395" s="142" t="s">
        <v>172</v>
      </c>
      <c r="NU395" s="50" t="s">
        <v>172</v>
      </c>
      <c r="NV395" s="143" t="s">
        <v>172</v>
      </c>
      <c r="NW395" s="144">
        <f>NW391</f>
        <v>3111.9999999999995</v>
      </c>
      <c r="NX395" s="53"/>
      <c r="OA395" s="49" t="s">
        <v>171</v>
      </c>
      <c r="OB395" s="50" t="s">
        <v>172</v>
      </c>
      <c r="OC395" s="142" t="s">
        <v>172</v>
      </c>
      <c r="OD395" s="142" t="s">
        <v>172</v>
      </c>
      <c r="OE395" s="143" t="s">
        <v>172</v>
      </c>
      <c r="OF395" s="144">
        <f>OF391</f>
        <v>1680.5</v>
      </c>
      <c r="OG395" s="53"/>
      <c r="OJ395" s="49" t="s">
        <v>171</v>
      </c>
      <c r="OK395" s="50" t="s">
        <v>172</v>
      </c>
      <c r="OL395" s="142" t="s">
        <v>172</v>
      </c>
      <c r="OM395" s="142" t="s">
        <v>172</v>
      </c>
      <c r="ON395" s="143" t="s">
        <v>172</v>
      </c>
      <c r="OO395" s="144">
        <f>OO391</f>
        <v>0</v>
      </c>
      <c r="OP395" s="53"/>
      <c r="OS395" s="49" t="s">
        <v>171</v>
      </c>
      <c r="OT395" s="50" t="s">
        <v>172</v>
      </c>
      <c r="OU395" s="142" t="s">
        <v>172</v>
      </c>
      <c r="OV395" s="142" t="s">
        <v>172</v>
      </c>
      <c r="OW395" s="143" t="s">
        <v>172</v>
      </c>
      <c r="OX395" s="144">
        <f>OX391</f>
        <v>1482</v>
      </c>
      <c r="OY395" s="53"/>
      <c r="PB395" s="49" t="s">
        <v>171</v>
      </c>
      <c r="PC395" s="50" t="s">
        <v>172</v>
      </c>
      <c r="PD395" s="142" t="s">
        <v>172</v>
      </c>
      <c r="PE395" s="142" t="s">
        <v>172</v>
      </c>
      <c r="PF395" s="143" t="s">
        <v>172</v>
      </c>
      <c r="PG395" s="144">
        <f>PG391</f>
        <v>0</v>
      </c>
      <c r="PH395" s="53"/>
      <c r="PK395" s="49" t="s">
        <v>171</v>
      </c>
      <c r="PL395" s="50" t="s">
        <v>172</v>
      </c>
      <c r="PM395" s="142" t="s">
        <v>172</v>
      </c>
      <c r="PN395" s="142" t="s">
        <v>172</v>
      </c>
      <c r="PO395" s="143" t="s">
        <v>172</v>
      </c>
      <c r="PP395" s="144">
        <f>PP391</f>
        <v>100</v>
      </c>
      <c r="PQ395" s="53"/>
      <c r="PT395" s="49" t="s">
        <v>171</v>
      </c>
      <c r="PU395" s="50" t="s">
        <v>172</v>
      </c>
      <c r="PV395" s="142" t="s">
        <v>172</v>
      </c>
      <c r="PW395" s="142" t="s">
        <v>172</v>
      </c>
      <c r="PX395" s="143" t="s">
        <v>172</v>
      </c>
      <c r="PY395" s="144">
        <f>PY391</f>
        <v>13.960000000000036</v>
      </c>
      <c r="PZ395" s="53"/>
      <c r="QC395" s="49" t="s">
        <v>171</v>
      </c>
      <c r="QD395" s="50" t="s">
        <v>172</v>
      </c>
      <c r="QE395" s="142" t="s">
        <v>172</v>
      </c>
      <c r="QF395" s="142" t="s">
        <v>172</v>
      </c>
      <c r="QG395" s="143" t="s">
        <v>172</v>
      </c>
      <c r="QH395" s="144">
        <f>QH391</f>
        <v>548</v>
      </c>
      <c r="QI395" s="53"/>
      <c r="QL395" s="49" t="s">
        <v>171</v>
      </c>
      <c r="QM395" s="50" t="s">
        <v>172</v>
      </c>
      <c r="QN395" s="142" t="s">
        <v>172</v>
      </c>
      <c r="QO395" s="142" t="s">
        <v>172</v>
      </c>
      <c r="QP395" s="143" t="s">
        <v>172</v>
      </c>
      <c r="QQ395" s="144">
        <f>QQ391</f>
        <v>0</v>
      </c>
      <c r="QR395" s="53"/>
      <c r="QU395" s="49" t="s">
        <v>171</v>
      </c>
      <c r="QV395" s="50" t="s">
        <v>172</v>
      </c>
      <c r="QW395" s="142" t="s">
        <v>172</v>
      </c>
      <c r="QX395" s="142" t="s">
        <v>172</v>
      </c>
      <c r="QY395" s="143" t="s">
        <v>172</v>
      </c>
      <c r="QZ395" s="144">
        <f>QZ391</f>
        <v>0</v>
      </c>
      <c r="RA395" s="53"/>
      <c r="RD395" s="49" t="s">
        <v>171</v>
      </c>
      <c r="RE395" s="50" t="s">
        <v>172</v>
      </c>
      <c r="RF395" s="142" t="s">
        <v>172</v>
      </c>
      <c r="RG395" s="142" t="s">
        <v>172</v>
      </c>
      <c r="RH395" s="143" t="s">
        <v>172</v>
      </c>
      <c r="RI395" s="144">
        <f>RI391</f>
        <v>147.04000000000002</v>
      </c>
      <c r="RJ395" s="53"/>
      <c r="RM395" s="49" t="s">
        <v>171</v>
      </c>
      <c r="RN395" s="50" t="s">
        <v>172</v>
      </c>
      <c r="RO395" s="142" t="s">
        <v>172</v>
      </c>
      <c r="RP395" s="142" t="s">
        <v>172</v>
      </c>
      <c r="RQ395" s="143" t="s">
        <v>172</v>
      </c>
      <c r="RR395" s="144">
        <f>RR391</f>
        <v>46.8</v>
      </c>
      <c r="RS395" s="53"/>
      <c r="RV395" s="49" t="s">
        <v>171</v>
      </c>
      <c r="RW395" s="50" t="s">
        <v>172</v>
      </c>
      <c r="RX395" s="142" t="s">
        <v>172</v>
      </c>
      <c r="RY395" s="142" t="s">
        <v>172</v>
      </c>
      <c r="RZ395" s="143" t="s">
        <v>172</v>
      </c>
      <c r="SA395" s="144">
        <f>SA391</f>
        <v>0</v>
      </c>
      <c r="SB395" s="53"/>
      <c r="SE395" s="49" t="s">
        <v>171</v>
      </c>
      <c r="SF395" s="50" t="s">
        <v>172</v>
      </c>
      <c r="SG395" s="142" t="s">
        <v>172</v>
      </c>
      <c r="SH395" s="142" t="s">
        <v>172</v>
      </c>
      <c r="SI395" s="143" t="s">
        <v>172</v>
      </c>
      <c r="SJ395" s="144">
        <f>SJ391</f>
        <v>24.200000000000003</v>
      </c>
      <c r="SK395" s="53"/>
      <c r="SN395" s="49" t="s">
        <v>171</v>
      </c>
      <c r="SO395" s="50" t="s">
        <v>172</v>
      </c>
      <c r="SP395" s="142" t="s">
        <v>172</v>
      </c>
      <c r="SQ395" s="142" t="s">
        <v>172</v>
      </c>
      <c r="SR395" s="143" t="s">
        <v>172</v>
      </c>
      <c r="SS395" s="144">
        <f>SS391</f>
        <v>32</v>
      </c>
      <c r="ST395" s="53"/>
      <c r="SW395" s="49" t="s">
        <v>171</v>
      </c>
      <c r="SX395" s="50" t="s">
        <v>172</v>
      </c>
      <c r="SY395" s="142" t="s">
        <v>172</v>
      </c>
      <c r="SZ395" s="142" t="s">
        <v>172</v>
      </c>
      <c r="TA395" s="143" t="s">
        <v>172</v>
      </c>
      <c r="TB395" s="144">
        <f>TB391</f>
        <v>0</v>
      </c>
      <c r="TC395" s="53"/>
      <c r="TF395" s="49" t="s">
        <v>171</v>
      </c>
      <c r="TG395" s="50" t="s">
        <v>172</v>
      </c>
      <c r="TH395" s="142" t="s">
        <v>172</v>
      </c>
      <c r="TI395" s="142" t="s">
        <v>172</v>
      </c>
      <c r="TJ395" s="143" t="s">
        <v>172</v>
      </c>
      <c r="TK395" s="144">
        <f>TK391</f>
        <v>0</v>
      </c>
      <c r="TL395" s="53"/>
      <c r="TO395" s="49" t="s">
        <v>171</v>
      </c>
      <c r="TP395" s="50" t="s">
        <v>172</v>
      </c>
      <c r="TQ395" s="142" t="s">
        <v>172</v>
      </c>
      <c r="TR395" s="142" t="s">
        <v>172</v>
      </c>
      <c r="TS395" s="143" t="s">
        <v>172</v>
      </c>
      <c r="TT395" s="144">
        <f>TT391</f>
        <v>0</v>
      </c>
      <c r="TU395" s="53"/>
      <c r="TX395" s="49" t="s">
        <v>171</v>
      </c>
      <c r="TY395" s="50" t="s">
        <v>172</v>
      </c>
      <c r="TZ395" s="142" t="s">
        <v>172</v>
      </c>
      <c r="UA395" s="142" t="s">
        <v>172</v>
      </c>
      <c r="UB395" s="143" t="s">
        <v>172</v>
      </c>
      <c r="UC395" s="144">
        <f>UC391</f>
        <v>46.799999999999983</v>
      </c>
      <c r="UD395" s="53"/>
      <c r="UG395" s="49" t="s">
        <v>171</v>
      </c>
      <c r="UH395" s="50" t="s">
        <v>172</v>
      </c>
      <c r="UI395" s="142" t="s">
        <v>172</v>
      </c>
      <c r="UJ395" s="142" t="s">
        <v>172</v>
      </c>
      <c r="UK395" s="143" t="s">
        <v>172</v>
      </c>
      <c r="UL395" s="144">
        <f>UL391</f>
        <v>204</v>
      </c>
      <c r="UM395" s="53"/>
      <c r="UP395" s="49" t="s">
        <v>171</v>
      </c>
      <c r="UQ395" s="50" t="s">
        <v>172</v>
      </c>
      <c r="UR395" s="142" t="s">
        <v>172</v>
      </c>
      <c r="US395" s="142" t="s">
        <v>172</v>
      </c>
      <c r="UT395" s="143" t="s">
        <v>172</v>
      </c>
      <c r="UU395" s="144">
        <f>UU391</f>
        <v>202.5</v>
      </c>
      <c r="UV395" s="53"/>
      <c r="UY395" s="49" t="s">
        <v>171</v>
      </c>
      <c r="UZ395" s="50" t="s">
        <v>172</v>
      </c>
      <c r="VA395" s="142" t="s">
        <v>172</v>
      </c>
      <c r="VB395" s="142" t="s">
        <v>172</v>
      </c>
      <c r="VC395" s="143" t="s">
        <v>172</v>
      </c>
      <c r="VD395" s="144">
        <f>VD391</f>
        <v>41.600000000000023</v>
      </c>
      <c r="VE395" s="53"/>
      <c r="VH395" s="49" t="s">
        <v>171</v>
      </c>
      <c r="VI395" s="50" t="s">
        <v>172</v>
      </c>
      <c r="VJ395" s="142" t="s">
        <v>172</v>
      </c>
      <c r="VK395" s="142" t="s">
        <v>172</v>
      </c>
      <c r="VL395" s="143" t="s">
        <v>172</v>
      </c>
      <c r="VM395" s="144">
        <f>VM391</f>
        <v>210</v>
      </c>
      <c r="VN395" s="53"/>
      <c r="VQ395" s="49" t="s">
        <v>171</v>
      </c>
      <c r="VR395" s="50" t="s">
        <v>172</v>
      </c>
      <c r="VS395" s="142" t="s">
        <v>172</v>
      </c>
      <c r="VT395" s="142" t="s">
        <v>172</v>
      </c>
      <c r="VU395" s="143" t="s">
        <v>172</v>
      </c>
      <c r="VV395" s="144">
        <f>VV391</f>
        <v>0</v>
      </c>
      <c r="VW395" s="53"/>
      <c r="VZ395" s="49" t="s">
        <v>171</v>
      </c>
      <c r="WA395" s="50" t="s">
        <v>172</v>
      </c>
      <c r="WB395" s="142" t="s">
        <v>172</v>
      </c>
      <c r="WC395" s="142" t="s">
        <v>172</v>
      </c>
      <c r="WD395" s="143" t="s">
        <v>172</v>
      </c>
      <c r="WE395" s="144">
        <f>WE391</f>
        <v>0</v>
      </c>
      <c r="WF395" s="53"/>
      <c r="WI395" s="49" t="s">
        <v>171</v>
      </c>
      <c r="WJ395" s="50" t="s">
        <v>172</v>
      </c>
      <c r="WK395" s="142" t="s">
        <v>172</v>
      </c>
      <c r="WL395" s="142" t="s">
        <v>172</v>
      </c>
      <c r="WM395" s="143" t="s">
        <v>172</v>
      </c>
      <c r="WN395" s="144">
        <f>WN391</f>
        <v>1057</v>
      </c>
      <c r="WO395" s="53"/>
      <c r="WR395" s="49" t="s">
        <v>171</v>
      </c>
      <c r="WS395" s="50" t="s">
        <v>172</v>
      </c>
      <c r="WT395" s="142" t="s">
        <v>172</v>
      </c>
      <c r="WU395" s="142" t="s">
        <v>172</v>
      </c>
      <c r="WV395" s="143" t="s">
        <v>172</v>
      </c>
      <c r="WW395" s="144">
        <f>WW391</f>
        <v>0</v>
      </c>
      <c r="WX395" s="53"/>
      <c r="XA395" s="49" t="s">
        <v>171</v>
      </c>
      <c r="XB395" s="50" t="s">
        <v>172</v>
      </c>
      <c r="XC395" s="142" t="s">
        <v>172</v>
      </c>
      <c r="XD395" s="142" t="s">
        <v>172</v>
      </c>
      <c r="XE395" s="143" t="s">
        <v>172</v>
      </c>
      <c r="XF395" s="144">
        <f>XF391</f>
        <v>7507</v>
      </c>
      <c r="XG395" s="53"/>
      <c r="XJ395" s="49" t="s">
        <v>171</v>
      </c>
      <c r="XK395" s="50" t="s">
        <v>172</v>
      </c>
      <c r="XL395" s="142" t="s">
        <v>172</v>
      </c>
      <c r="XM395" s="142" t="s">
        <v>172</v>
      </c>
      <c r="XN395" s="143" t="s">
        <v>172</v>
      </c>
      <c r="XO395" s="144">
        <f>XO391</f>
        <v>4252</v>
      </c>
      <c r="XP395" s="53"/>
      <c r="XS395" s="49" t="s">
        <v>171</v>
      </c>
      <c r="XT395" s="50" t="s">
        <v>172</v>
      </c>
      <c r="XU395" s="142" t="s">
        <v>172</v>
      </c>
      <c r="XV395" s="142" t="s">
        <v>172</v>
      </c>
      <c r="XW395" s="143" t="s">
        <v>172</v>
      </c>
      <c r="XX395" s="144">
        <f>XX391</f>
        <v>2179</v>
      </c>
      <c r="XY395" s="53"/>
      <c r="YB395" s="49" t="s">
        <v>171</v>
      </c>
      <c r="YC395" s="50" t="s">
        <v>172</v>
      </c>
      <c r="YD395" s="142" t="s">
        <v>172</v>
      </c>
      <c r="YE395" s="142" t="s">
        <v>172</v>
      </c>
      <c r="YF395" s="143" t="s">
        <v>172</v>
      </c>
      <c r="YG395" s="144">
        <f>YG391</f>
        <v>4019</v>
      </c>
      <c r="YH395" s="53"/>
      <c r="YK395" s="49" t="s">
        <v>171</v>
      </c>
      <c r="YL395" s="50" t="s">
        <v>172</v>
      </c>
      <c r="YM395" s="142" t="s">
        <v>172</v>
      </c>
      <c r="YN395" s="142" t="s">
        <v>172</v>
      </c>
      <c r="YO395" s="143" t="s">
        <v>172</v>
      </c>
      <c r="YP395" s="144">
        <f>YP391</f>
        <v>-218</v>
      </c>
      <c r="YQ395" s="53"/>
      <c r="YT395" s="49" t="s">
        <v>171</v>
      </c>
      <c r="YU395" s="50" t="s">
        <v>172</v>
      </c>
      <c r="YV395" s="142" t="s">
        <v>172</v>
      </c>
      <c r="YW395" s="142" t="s">
        <v>172</v>
      </c>
      <c r="YX395" s="143" t="s">
        <v>172</v>
      </c>
      <c r="YY395" s="144">
        <f>YY391</f>
        <v>0</v>
      </c>
      <c r="YZ395" s="53"/>
      <c r="ZC395" s="49" t="s">
        <v>171</v>
      </c>
      <c r="ZD395" s="50" t="s">
        <v>172</v>
      </c>
      <c r="ZE395" s="142" t="s">
        <v>172</v>
      </c>
      <c r="ZF395" s="142" t="s">
        <v>172</v>
      </c>
      <c r="ZG395" s="143" t="s">
        <v>172</v>
      </c>
      <c r="ZH395" s="144">
        <f>ZH391</f>
        <v>0</v>
      </c>
      <c r="ZI395" s="53"/>
      <c r="ZL395" s="49" t="s">
        <v>171</v>
      </c>
      <c r="ZM395" s="50" t="s">
        <v>172</v>
      </c>
      <c r="ZN395" s="142" t="s">
        <v>172</v>
      </c>
      <c r="ZO395" s="142" t="s">
        <v>172</v>
      </c>
      <c r="ZP395" s="143" t="s">
        <v>172</v>
      </c>
      <c r="ZQ395" s="144">
        <f>ZQ391</f>
        <v>0</v>
      </c>
      <c r="ZR395" s="53"/>
      <c r="ZU395" s="49" t="s">
        <v>171</v>
      </c>
      <c r="ZV395" s="50" t="s">
        <v>172</v>
      </c>
      <c r="ZW395" s="142" t="s">
        <v>172</v>
      </c>
      <c r="ZX395" s="142" t="s">
        <v>172</v>
      </c>
      <c r="ZY395" s="143" t="s">
        <v>172</v>
      </c>
      <c r="ZZ395" s="144">
        <f>ZZ391</f>
        <v>0</v>
      </c>
      <c r="AAA395" s="53"/>
      <c r="AAD395" s="49" t="s">
        <v>171</v>
      </c>
      <c r="AAE395" s="50" t="s">
        <v>172</v>
      </c>
      <c r="AAF395" s="142" t="s">
        <v>172</v>
      </c>
      <c r="AAG395" s="142" t="s">
        <v>172</v>
      </c>
      <c r="AAH395" s="143" t="s">
        <v>172</v>
      </c>
      <c r="AAI395" s="144">
        <f>AAI391</f>
        <v>0</v>
      </c>
      <c r="AAJ395" s="53"/>
      <c r="AAM395" s="49" t="s">
        <v>171</v>
      </c>
      <c r="AAN395" s="50" t="s">
        <v>172</v>
      </c>
      <c r="AAO395" s="142" t="s">
        <v>172</v>
      </c>
      <c r="AAP395" s="142" t="s">
        <v>172</v>
      </c>
      <c r="AAQ395" s="143" t="s">
        <v>172</v>
      </c>
      <c r="AAR395" s="144">
        <f>AAR391</f>
        <v>0</v>
      </c>
      <c r="AAS395" s="53"/>
      <c r="AAV395" s="49" t="s">
        <v>171</v>
      </c>
      <c r="AAW395" s="50" t="s">
        <v>172</v>
      </c>
      <c r="AAX395" s="142" t="s">
        <v>172</v>
      </c>
      <c r="AAY395" s="142" t="s">
        <v>172</v>
      </c>
      <c r="AAZ395" s="143" t="s">
        <v>172</v>
      </c>
      <c r="ABA395" s="144">
        <f>ABA391</f>
        <v>0</v>
      </c>
      <c r="ABB395" s="53"/>
      <c r="ABE395" s="49" t="s">
        <v>171</v>
      </c>
      <c r="ABF395" s="50" t="s">
        <v>172</v>
      </c>
      <c r="ABG395" s="142" t="s">
        <v>172</v>
      </c>
      <c r="ABH395" s="142" t="s">
        <v>172</v>
      </c>
      <c r="ABI395" s="143" t="s">
        <v>172</v>
      </c>
      <c r="ABJ395" s="144">
        <f>ABJ391</f>
        <v>0</v>
      </c>
      <c r="ABK395" s="53"/>
    </row>
    <row r="396" spans="1:739" s="54" customFormat="1" ht="15" customHeight="1" outlineLevel="1">
      <c r="B396" s="478"/>
      <c r="C396" s="55">
        <v>46357</v>
      </c>
      <c r="D396" s="56"/>
      <c r="E396" s="57">
        <f>SUMPRODUCT(PRODUCE!$B389:$DY389,PRODUCE!$EB$7:$IY$7)</f>
        <v>0</v>
      </c>
      <c r="F396" s="56"/>
      <c r="G396" s="57">
        <f>E396-F396</f>
        <v>0</v>
      </c>
      <c r="H396" s="57">
        <f>H395+D396-F396</f>
        <v>236936.6</v>
      </c>
      <c r="I396" s="289"/>
      <c r="L396" s="55">
        <f>C396</f>
        <v>46357</v>
      </c>
      <c r="M396" s="56"/>
      <c r="N396" s="59">
        <f>SUMPRODUCT(PRODUCE!$B389:$DY389,PRODUCE!$EB$8:$IY$8)</f>
        <v>0</v>
      </c>
      <c r="O396" s="56"/>
      <c r="P396" s="59">
        <f>N396-O396</f>
        <v>0</v>
      </c>
      <c r="Q396" s="59">
        <f>Q395+M396-O396</f>
        <v>53017.600000000071</v>
      </c>
      <c r="R396" s="56"/>
      <c r="U396" s="55">
        <f>L396</f>
        <v>46357</v>
      </c>
      <c r="V396" s="56"/>
      <c r="W396" s="60">
        <f>SUMPRODUCT(PRODUCE!$B389:$DY389,PRODUCE!$EB$9:$IY$9)</f>
        <v>0</v>
      </c>
      <c r="X396" s="56"/>
      <c r="Y396" s="60">
        <f>W396-X396</f>
        <v>0</v>
      </c>
      <c r="Z396" s="60">
        <f>Z395+V396-X396</f>
        <v>42674.199999999968</v>
      </c>
      <c r="AA396" s="56"/>
      <c r="AD396" s="55">
        <f>U396</f>
        <v>46357</v>
      </c>
      <c r="AE396" s="56"/>
      <c r="AF396" s="61">
        <f>SUMPRODUCT(PRODUCE!$B389:$DY389,PRODUCE!$EB$10:$IY$10)</f>
        <v>0</v>
      </c>
      <c r="AG396" s="56"/>
      <c r="AH396" s="61">
        <f>AF396-AG396</f>
        <v>0</v>
      </c>
      <c r="AI396" s="61">
        <f>AI395+AE396-AG396</f>
        <v>4522.2000000000189</v>
      </c>
      <c r="AJ396" s="56"/>
      <c r="AM396" s="55">
        <f>AD396</f>
        <v>46357</v>
      </c>
      <c r="AN396" s="422"/>
      <c r="AO396" s="444">
        <f>SUMPRODUCT(PRODUCE!$B389:$DY389,PRODUCE!$EB$11:$IY$11)</f>
        <v>0</v>
      </c>
      <c r="AP396" s="422"/>
      <c r="AQ396" s="444">
        <f>AO396-AP396</f>
        <v>0</v>
      </c>
      <c r="AR396" s="444">
        <f>AR395+AN396-AP396</f>
        <v>0</v>
      </c>
      <c r="AS396" s="56"/>
      <c r="AV396" s="55">
        <f>AM396</f>
        <v>46357</v>
      </c>
      <c r="AW396" s="56"/>
      <c r="AX396" s="62">
        <f>SUMPRODUCT(PRODUCE!$B389:$DY389,PRODUCE!$EB$12:$IY$12)</f>
        <v>0</v>
      </c>
      <c r="AY396" s="56"/>
      <c r="AZ396" s="62">
        <f>AX396-AY396</f>
        <v>0</v>
      </c>
      <c r="BA396" s="62">
        <f>BA395+AW396-AY396</f>
        <v>124.99999999999523</v>
      </c>
      <c r="BB396" s="56"/>
      <c r="BE396" s="55">
        <f>AV396</f>
        <v>46357</v>
      </c>
      <c r="BF396" s="56"/>
      <c r="BG396" s="63">
        <f>SUMPRODUCT(PRODUCE!$B389:$DY389,PRODUCE!$EB$13:$IY$13)</f>
        <v>0</v>
      </c>
      <c r="BH396" s="56"/>
      <c r="BI396" s="63">
        <f>BG396-BH396</f>
        <v>0</v>
      </c>
      <c r="BJ396" s="63">
        <f>BJ395+BF396-BH396</f>
        <v>26151.899999999998</v>
      </c>
      <c r="BK396" s="56"/>
      <c r="BN396" s="55">
        <f>BE396</f>
        <v>46357</v>
      </c>
      <c r="BO396" s="56"/>
      <c r="BP396" s="64">
        <f>SUMPRODUCT(PRODUCE!$B389:$DY389,PRODUCE!$EB$14:$IY$14)</f>
        <v>0</v>
      </c>
      <c r="BQ396" s="56"/>
      <c r="BR396" s="64">
        <f>BP396-BQ396</f>
        <v>0</v>
      </c>
      <c r="BS396" s="64">
        <f>BS395+BO396-BQ396</f>
        <v>0</v>
      </c>
      <c r="BT396" s="56"/>
      <c r="BW396" s="55">
        <f>BN396</f>
        <v>46357</v>
      </c>
      <c r="BX396" s="56"/>
      <c r="BY396" s="65">
        <f>SUMPRODUCT(PRODUCE!$B389:$DY389,PRODUCE!$EB$15:$IY$15)</f>
        <v>0</v>
      </c>
      <c r="BZ396" s="56"/>
      <c r="CA396" s="65">
        <f>BY396-BZ396</f>
        <v>0</v>
      </c>
      <c r="CB396" s="65">
        <f>CB395+BX396-BZ396</f>
        <v>2097.3399999999992</v>
      </c>
      <c r="CC396" s="56"/>
      <c r="CF396" s="55">
        <f>BW396</f>
        <v>46357</v>
      </c>
      <c r="CG396" s="56"/>
      <c r="CH396" s="66">
        <f>SUMPRODUCT(PRODUCE!$B389:$DY389,PRODUCE!$EB$16:$IY$16)</f>
        <v>0</v>
      </c>
      <c r="CI396" s="56"/>
      <c r="CJ396" s="66">
        <f>CH396-CI396</f>
        <v>0</v>
      </c>
      <c r="CK396" s="66">
        <f>CK395+CG396-CI396</f>
        <v>-10277.079999999998</v>
      </c>
      <c r="CL396" s="56"/>
      <c r="CO396" s="55">
        <f>CF396</f>
        <v>46357</v>
      </c>
      <c r="CP396" s="422"/>
      <c r="CQ396" s="470">
        <f>SUMPRODUCT(PRODUCE!$B389:$DY389,PRODUCE!$EB$17:$IY$17)</f>
        <v>0</v>
      </c>
      <c r="CR396" s="422"/>
      <c r="CS396" s="470">
        <f>CQ396-CR396</f>
        <v>0</v>
      </c>
      <c r="CT396" s="470">
        <f>CT395+CP396-CR396</f>
        <v>0</v>
      </c>
      <c r="CU396" s="56"/>
      <c r="CX396" s="55">
        <f>CO396</f>
        <v>46357</v>
      </c>
      <c r="CY396" s="56"/>
      <c r="CZ396" s="133">
        <f>SUMPRODUCT(PRODUCE!$B389:$DY389,PRODUCE!$EB$18:$IY$18)</f>
        <v>0</v>
      </c>
      <c r="DA396" s="56"/>
      <c r="DB396" s="133">
        <f>CZ396-DA396</f>
        <v>0</v>
      </c>
      <c r="DC396" s="133">
        <f>DC395+CY396-DA396</f>
        <v>27438.200000000012</v>
      </c>
      <c r="DD396" s="56"/>
      <c r="DG396" s="55">
        <f>CX396</f>
        <v>46357</v>
      </c>
      <c r="DH396" s="56"/>
      <c r="DI396" s="147">
        <f>SUMPRODUCT(PRODUCE!$B389:$DY389,PRODUCE!$EB$19:$IY$19)</f>
        <v>0</v>
      </c>
      <c r="DJ396" s="56"/>
      <c r="DK396" s="147">
        <f>DI396-DJ396</f>
        <v>0</v>
      </c>
      <c r="DL396" s="147">
        <f>DL395+DH396-DJ396</f>
        <v>18782.299999999981</v>
      </c>
      <c r="DM396" s="56"/>
      <c r="DP396" s="55">
        <f>DG396</f>
        <v>46357</v>
      </c>
      <c r="DQ396" s="56"/>
      <c r="DR396" s="57">
        <f>SUMPRODUCT(PRODUCE!$B389:$DY389,PRODUCE!$EB$20:$IY$20)</f>
        <v>0</v>
      </c>
      <c r="DS396" s="56"/>
      <c r="DT396" s="57">
        <f>DR396-DS396</f>
        <v>0</v>
      </c>
      <c r="DU396" s="57">
        <f>DU395+DQ396-DS396</f>
        <v>5800</v>
      </c>
      <c r="DV396" s="56"/>
      <c r="DY396" s="55">
        <f>DP396</f>
        <v>46357</v>
      </c>
      <c r="DZ396" s="56"/>
      <c r="EA396" s="157">
        <f>SUMPRODUCT(PRODUCE!$B389:$DY389,PRODUCE!$EB$21:$IY$21)</f>
        <v>0</v>
      </c>
      <c r="EB396" s="56"/>
      <c r="EC396" s="157">
        <f>EA396-EB396</f>
        <v>0</v>
      </c>
      <c r="ED396" s="157">
        <f>ED395+DZ396-EB396</f>
        <v>0</v>
      </c>
      <c r="EE396" s="56"/>
      <c r="EH396" s="55">
        <f>DY396</f>
        <v>46357</v>
      </c>
      <c r="EI396" s="56"/>
      <c r="EJ396" s="162">
        <f>SUMPRODUCT(PRODUCE!$B389:$DY389,PRODUCE!$EB$22:$IY$22)</f>
        <v>0</v>
      </c>
      <c r="EK396" s="56"/>
      <c r="EL396" s="162">
        <f>EJ396-EK396</f>
        <v>0</v>
      </c>
      <c r="EM396" s="162">
        <f>EM395+EI396-EK396</f>
        <v>0</v>
      </c>
      <c r="EN396" s="56"/>
      <c r="EQ396" s="55">
        <f>EH396</f>
        <v>46357</v>
      </c>
      <c r="ER396" s="56"/>
      <c r="ES396" s="135">
        <f>SUMPRODUCT(PRODUCE!$B389:$DY389,PRODUCE!$EB$23:$IY$23)</f>
        <v>0</v>
      </c>
      <c r="ET396" s="56"/>
      <c r="EU396" s="135">
        <f>ES396-ET396</f>
        <v>0</v>
      </c>
      <c r="EV396" s="135">
        <f>EV395+ER396-ET396</f>
        <v>0</v>
      </c>
      <c r="EW396" s="56"/>
      <c r="EZ396" s="55">
        <f>EQ396</f>
        <v>46357</v>
      </c>
      <c r="FA396" s="56"/>
      <c r="FB396" s="175">
        <f>SUMPRODUCT(PRODUCE!$B389:$DY389,PRODUCE!$EB$24:$IY$24)</f>
        <v>0</v>
      </c>
      <c r="FC396" s="56"/>
      <c r="FD396" s="175">
        <f>FB396-FC396</f>
        <v>0</v>
      </c>
      <c r="FE396" s="175">
        <f>FE395+FA396-FC396</f>
        <v>0</v>
      </c>
      <c r="FF396" s="56"/>
      <c r="FI396" s="55">
        <f>EZ396</f>
        <v>46357</v>
      </c>
      <c r="FJ396" s="56"/>
      <c r="FK396" s="183">
        <f>SUMPRODUCT(PRODUCE!$B389:$DY389,PRODUCE!$EB$25:$IY$25)</f>
        <v>0</v>
      </c>
      <c r="FL396" s="56"/>
      <c r="FM396" s="183">
        <f>FK396-FL396</f>
        <v>0</v>
      </c>
      <c r="FN396" s="183">
        <f>FN395+FJ396-FL396</f>
        <v>0</v>
      </c>
      <c r="FO396" s="56"/>
      <c r="FR396" s="55">
        <f>FI396</f>
        <v>46357</v>
      </c>
      <c r="FS396" s="56"/>
      <c r="FT396" s="186">
        <f>SUMPRODUCT(PRODUCE!$B389:$DY389,PRODUCE!$EB$26:$IY$26)</f>
        <v>0</v>
      </c>
      <c r="FU396" s="56"/>
      <c r="FV396" s="186">
        <f>FT396-FU396</f>
        <v>0</v>
      </c>
      <c r="FW396" s="186">
        <f>FW395+FS396-FU396</f>
        <v>2020</v>
      </c>
      <c r="FX396" s="56"/>
      <c r="GA396" s="55">
        <f>FR396</f>
        <v>46357</v>
      </c>
      <c r="GB396" s="56"/>
      <c r="GC396" s="137">
        <f>SUMPRODUCT(PRODUCE!$B389:$DY389,PRODUCE!$EB$27:$IY$27)</f>
        <v>0</v>
      </c>
      <c r="GD396" s="56"/>
      <c r="GE396" s="137">
        <f>GC396-GD396</f>
        <v>0</v>
      </c>
      <c r="GF396" s="137">
        <f>GF395+GB396-GD396</f>
        <v>960</v>
      </c>
      <c r="GG396" s="56"/>
      <c r="GI396" s="23"/>
      <c r="GJ396" s="55">
        <f>GA396</f>
        <v>46357</v>
      </c>
      <c r="GK396" s="56"/>
      <c r="GL396" s="199">
        <f>SUMPRODUCT(PRODUCE!$B389:$DY389,PRODUCE!$EB$28:$IY$28)</f>
        <v>0</v>
      </c>
      <c r="GM396" s="56"/>
      <c r="GN396" s="199">
        <f>GL396-GM396</f>
        <v>0</v>
      </c>
      <c r="GO396" s="199">
        <f>GO395+GK396-GM396</f>
        <v>1760</v>
      </c>
      <c r="GP396" s="56"/>
      <c r="GS396" s="55">
        <f>GJ396</f>
        <v>46357</v>
      </c>
      <c r="GT396" s="56"/>
      <c r="GU396" s="195">
        <f>SUMPRODUCT(PRODUCE!$B389:$DY389,PRODUCE!$EB$29:$IY$29)</f>
        <v>0</v>
      </c>
      <c r="GV396" s="56"/>
      <c r="GW396" s="195">
        <f>GU396-GV396</f>
        <v>0</v>
      </c>
      <c r="GX396" s="195">
        <f>GX395+GT396-GV396</f>
        <v>400</v>
      </c>
      <c r="GY396" s="56"/>
      <c r="HB396" s="55">
        <f>GS396</f>
        <v>46357</v>
      </c>
      <c r="HC396" s="56"/>
      <c r="HD396" s="191">
        <f>SUMPRODUCT(PRODUCE!$B389:$DY389,PRODUCE!$EB$30:$IY$30)</f>
        <v>0</v>
      </c>
      <c r="HE396" s="56"/>
      <c r="HF396" s="191">
        <f>HD396-HE396</f>
        <v>0</v>
      </c>
      <c r="HG396" s="191">
        <f>HG395+HC396-HE396</f>
        <v>3600</v>
      </c>
      <c r="HH396" s="56"/>
      <c r="HK396" s="55">
        <f>HB396</f>
        <v>46357</v>
      </c>
      <c r="HL396" s="56"/>
      <c r="HM396" s="63">
        <f>SUMPRODUCT(PRODUCE!$B389:$DY389,PRODUCE!$EB$31:$IY$31)</f>
        <v>0</v>
      </c>
      <c r="HN396" s="56"/>
      <c r="HO396" s="63">
        <f>HM396-HN396</f>
        <v>0</v>
      </c>
      <c r="HP396" s="63">
        <f>HP395+HL396-HN396</f>
        <v>0</v>
      </c>
      <c r="HQ396" s="56"/>
      <c r="HU396" s="55">
        <f>HK396</f>
        <v>46357</v>
      </c>
      <c r="HV396" s="56"/>
      <c r="HW396" s="242">
        <f>SUMPRODUCT(PRODUCE!$B389:$DY389,PRODUCE!$EB$32:$IY$32)</f>
        <v>0</v>
      </c>
      <c r="HX396" s="56"/>
      <c r="HY396" s="242">
        <f>HW396-HX396</f>
        <v>0</v>
      </c>
      <c r="HZ396" s="242">
        <f>HZ395+HV396-HX396</f>
        <v>6120</v>
      </c>
      <c r="IA396" s="56"/>
      <c r="ID396" s="55">
        <f>HU396</f>
        <v>46357</v>
      </c>
      <c r="IE396" s="56"/>
      <c r="IF396" s="242">
        <f>SUMPRODUCT(PRODUCE!$B389:$DY389,PRODUCE!$EB$33:$IY$33)</f>
        <v>0</v>
      </c>
      <c r="IG396" s="56"/>
      <c r="IH396" s="242">
        <f>IF396-IG396</f>
        <v>0</v>
      </c>
      <c r="II396" s="242">
        <f>II395+IE396-IG396</f>
        <v>0</v>
      </c>
      <c r="IJ396" s="56"/>
      <c r="IM396" s="55">
        <f>ID396</f>
        <v>46357</v>
      </c>
      <c r="IN396" s="56"/>
      <c r="IO396" s="242">
        <f>SUMPRODUCT(PRODUCE!$B389:$DY389,PRODUCE!$EB$34:$IY$34)</f>
        <v>0</v>
      </c>
      <c r="IP396" s="56"/>
      <c r="IQ396" s="242">
        <f>IO396-IP396</f>
        <v>0</v>
      </c>
      <c r="IR396" s="242">
        <f>IR395+IN396-IP396</f>
        <v>0</v>
      </c>
      <c r="IS396" s="56"/>
      <c r="IV396" s="55">
        <f>IM396</f>
        <v>46357</v>
      </c>
      <c r="IW396" s="56"/>
      <c r="IX396" s="242">
        <f>SUMPRODUCT(PRODUCE!$B389:$DY389,PRODUCE!$EB$35:$IY$35)</f>
        <v>0</v>
      </c>
      <c r="IY396" s="56"/>
      <c r="IZ396" s="242">
        <f>IX396-IY396</f>
        <v>0</v>
      </c>
      <c r="JA396" s="242">
        <f>JA395+IW396-IY396</f>
        <v>2820</v>
      </c>
      <c r="JB396" s="56"/>
      <c r="JE396" s="55">
        <f>IV396</f>
        <v>46357</v>
      </c>
      <c r="JF396" s="56"/>
      <c r="JG396" s="242">
        <f>SUMPRODUCT(PRODUCE!$B389:$DY389,PRODUCE!$EB$36:$IY$36)</f>
        <v>0</v>
      </c>
      <c r="JH396" s="56"/>
      <c r="JI396" s="242">
        <f>JG396-JH396</f>
        <v>0</v>
      </c>
      <c r="JJ396" s="242">
        <f>JJ395+JF396-JH396</f>
        <v>0</v>
      </c>
      <c r="JK396" s="56"/>
      <c r="JN396" s="55">
        <f>JE396</f>
        <v>46357</v>
      </c>
      <c r="JO396" s="56"/>
      <c r="JP396" s="242">
        <f>SUMPRODUCT(PRODUCE!$B389:$DY389,PRODUCE!$EB$37:$IY$37)</f>
        <v>0</v>
      </c>
      <c r="JQ396" s="56"/>
      <c r="JR396" s="242">
        <f>JP396-JQ396</f>
        <v>0</v>
      </c>
      <c r="JS396" s="242">
        <f>JS395+JO396-JQ396</f>
        <v>0</v>
      </c>
      <c r="JT396" s="56"/>
      <c r="JW396" s="55">
        <f>JN396</f>
        <v>46357</v>
      </c>
      <c r="JX396" s="56"/>
      <c r="JY396" s="242">
        <f>SUMPRODUCT(PRODUCE!$B389:$DY389,PRODUCE!$EB$38:$IY$38)</f>
        <v>0</v>
      </c>
      <c r="JZ396" s="56"/>
      <c r="KA396" s="242">
        <f>JY396-JZ396</f>
        <v>0</v>
      </c>
      <c r="KB396" s="242">
        <f>KB395+JX396-JZ396</f>
        <v>2540</v>
      </c>
      <c r="KC396" s="56"/>
      <c r="KF396" s="55">
        <f>JW396</f>
        <v>46357</v>
      </c>
      <c r="KG396" s="56"/>
      <c r="KH396" s="242">
        <f>SUMPRODUCT(PRODUCE!$B389:$DY389,PRODUCE!$EB$39:$IY$39)</f>
        <v>0</v>
      </c>
      <c r="KI396" s="56"/>
      <c r="KJ396" s="242">
        <f>KH396-KI396</f>
        <v>0</v>
      </c>
      <c r="KK396" s="242">
        <f>KK395+KG396-KI396</f>
        <v>2359.5</v>
      </c>
      <c r="KL396" s="56"/>
      <c r="KO396" s="55">
        <f>KF396</f>
        <v>46357</v>
      </c>
      <c r="KP396" s="56"/>
      <c r="KQ396" s="242">
        <f>SUMPRODUCT(PRODUCE!$B389:$DY389,PRODUCE!$EB$40:$IY$40)</f>
        <v>0</v>
      </c>
      <c r="KR396" s="56"/>
      <c r="KS396" s="242">
        <f>KQ396-KR396</f>
        <v>0</v>
      </c>
      <c r="KT396" s="242">
        <f>KT395+KP396-KR396</f>
        <v>1890</v>
      </c>
      <c r="KU396" s="56"/>
      <c r="KW396" s="23"/>
      <c r="KX396" s="55">
        <f>KO396</f>
        <v>46357</v>
      </c>
      <c r="KY396" s="56"/>
      <c r="KZ396" s="242">
        <f>SUMPRODUCT(PRODUCE!$B389:$DY389,PRODUCE!$EB$41:$IY$41)</f>
        <v>0</v>
      </c>
      <c r="LA396" s="56"/>
      <c r="LB396" s="242">
        <f>KZ396-LA396</f>
        <v>0</v>
      </c>
      <c r="LC396" s="242">
        <f>LC395+KY396-LA396</f>
        <v>3690</v>
      </c>
      <c r="LD396" s="56"/>
      <c r="LG396" s="55">
        <f>KX396</f>
        <v>46357</v>
      </c>
      <c r="LH396" s="56"/>
      <c r="LI396" s="242">
        <f>SUMPRODUCT(PRODUCE!$B389:$DY389,PRODUCE!$EB$42:$IY$42)</f>
        <v>0</v>
      </c>
      <c r="LJ396" s="56"/>
      <c r="LK396" s="242">
        <f>LI396-LJ396</f>
        <v>0</v>
      </c>
      <c r="LL396" s="242">
        <f>LL395+LH396-LJ396</f>
        <v>4000</v>
      </c>
      <c r="LM396" s="56"/>
      <c r="LP396" s="55">
        <f>LG396</f>
        <v>46357</v>
      </c>
      <c r="LQ396" s="56"/>
      <c r="LR396" s="242">
        <f>SUMPRODUCT(PRODUCE!$B411:$DY411,PRODUCE!$EB$43:$IY$43)</f>
        <v>0</v>
      </c>
      <c r="LS396" s="56"/>
      <c r="LT396" s="242">
        <f>LR396-LS396</f>
        <v>0</v>
      </c>
      <c r="LU396" s="242">
        <f>LU395+LQ396-LS396</f>
        <v>0</v>
      </c>
      <c r="LV396" s="56"/>
      <c r="LY396" s="55">
        <f>LP396</f>
        <v>46357</v>
      </c>
      <c r="LZ396" s="56"/>
      <c r="MA396" s="242">
        <f>SUMPRODUCT(PRODUCE!$B389:$DY389,PRODUCE!$EB$44:$IY$44)</f>
        <v>0</v>
      </c>
      <c r="MB396" s="56"/>
      <c r="MC396" s="242">
        <f>MA396-MB396</f>
        <v>0</v>
      </c>
      <c r="MD396" s="242">
        <f>MD395+LZ396-MB396</f>
        <v>0</v>
      </c>
      <c r="ME396" s="56"/>
      <c r="MH396" s="55">
        <f>LY396</f>
        <v>46357</v>
      </c>
      <c r="MI396" s="56"/>
      <c r="MJ396" s="242">
        <f>SUMPRODUCT(PRODUCE!$B389:$DY389,PRODUCE!$EB$45:$IY$45)</f>
        <v>0</v>
      </c>
      <c r="MK396" s="56"/>
      <c r="ML396" s="242">
        <f>MJ396-MK396</f>
        <v>0</v>
      </c>
      <c r="MM396" s="242">
        <f>MM395+MI396-MK396</f>
        <v>0</v>
      </c>
      <c r="MN396" s="56"/>
      <c r="MQ396" s="55">
        <f>MH396</f>
        <v>46357</v>
      </c>
      <c r="MR396" s="56"/>
      <c r="MS396" s="242">
        <f>SUMPRODUCT(PRODUCE!$B389:$DY389,PRODUCE!$EB$46:$IY$46)</f>
        <v>0</v>
      </c>
      <c r="MT396" s="56"/>
      <c r="MU396" s="242">
        <f>MS396-MT396</f>
        <v>0</v>
      </c>
      <c r="MV396" s="242">
        <f>MV395+MR396-MT396</f>
        <v>1625</v>
      </c>
      <c r="MW396" s="56"/>
      <c r="MZ396" s="55">
        <f>MQ396</f>
        <v>46357</v>
      </c>
      <c r="NA396" s="56"/>
      <c r="NB396" s="242">
        <f>SUMPRODUCT(PRODUCE!$B389:$DY389,PRODUCE!$EB$47:$IY$47)</f>
        <v>0</v>
      </c>
      <c r="NC396" s="56"/>
      <c r="ND396" s="242">
        <f>NB396-NC396</f>
        <v>0</v>
      </c>
      <c r="NE396" s="242">
        <f>NE395+NA396-NC396</f>
        <v>0</v>
      </c>
      <c r="NF396" s="56"/>
      <c r="NI396" s="55">
        <f>MZ396</f>
        <v>46357</v>
      </c>
      <c r="NJ396" s="56"/>
      <c r="NK396" s="242">
        <f>SUMPRODUCT(PRODUCE!$B389:$DY389,PRODUCE!$EB$48:$IY$48)</f>
        <v>0</v>
      </c>
      <c r="NL396" s="56"/>
      <c r="NM396" s="242">
        <f>NK396-NL396</f>
        <v>0</v>
      </c>
      <c r="NN396" s="242">
        <f>NN395+NJ396-NL396</f>
        <v>1127</v>
      </c>
      <c r="NO396" s="56"/>
      <c r="NR396" s="55">
        <f>MZ396</f>
        <v>46357</v>
      </c>
      <c r="NS396" s="56"/>
      <c r="NT396" s="242">
        <f>SUMPRODUCT(PRODUCE!$B389:$DY389,PRODUCE!$EB$49:$IY$49)</f>
        <v>0</v>
      </c>
      <c r="NU396" s="56"/>
      <c r="NV396" s="242">
        <f>NT396-NU396</f>
        <v>0</v>
      </c>
      <c r="NW396" s="242">
        <f>NW395+NS396-NU396</f>
        <v>3111.9999999999995</v>
      </c>
      <c r="NX396" s="56"/>
      <c r="OA396" s="55">
        <f>NR396</f>
        <v>46357</v>
      </c>
      <c r="OB396" s="56"/>
      <c r="OC396" s="242">
        <f>SUMPRODUCT(PRODUCE!$B389:$DY389,PRODUCE!$EB$50:$IY$50)</f>
        <v>0</v>
      </c>
      <c r="OD396" s="56"/>
      <c r="OE396" s="242">
        <f>OC396-OD396</f>
        <v>0</v>
      </c>
      <c r="OF396" s="242">
        <f>OF395+OB396-OD396</f>
        <v>1680.5</v>
      </c>
      <c r="OG396" s="56"/>
      <c r="OJ396" s="55">
        <f>OA396</f>
        <v>46357</v>
      </c>
      <c r="OK396" s="56"/>
      <c r="OL396" s="242">
        <f>SUMPRODUCT(PRODUCE!$B389:$DY389,PRODUCE!$EB$51:$IY$51)</f>
        <v>0</v>
      </c>
      <c r="OM396" s="56"/>
      <c r="ON396" s="242">
        <f>OL396-OM396</f>
        <v>0</v>
      </c>
      <c r="OO396" s="242">
        <f>OO395+OK396-OM396</f>
        <v>0</v>
      </c>
      <c r="OP396" s="56"/>
      <c r="OS396" s="55">
        <f>OJ396</f>
        <v>46357</v>
      </c>
      <c r="OT396" s="56"/>
      <c r="OU396" s="242">
        <f>SUMPRODUCT(PRODUCE!$B389:$DY389,PRODUCE!$EB$52:$IY$52)</f>
        <v>0</v>
      </c>
      <c r="OV396" s="56"/>
      <c r="OW396" s="242">
        <f>OU396-OV396</f>
        <v>0</v>
      </c>
      <c r="OX396" s="242">
        <f>OX395+OT396-OV396</f>
        <v>1482</v>
      </c>
      <c r="OY396" s="56"/>
      <c r="PB396" s="55">
        <f>OS396</f>
        <v>46357</v>
      </c>
      <c r="PC396" s="56"/>
      <c r="PD396" s="242">
        <f>SUMPRODUCT(PRODUCE!$B389:$DY389,PRODUCE!$EB$53:$IY$53)</f>
        <v>0</v>
      </c>
      <c r="PE396" s="56"/>
      <c r="PF396" s="242">
        <f>PD396-PE396</f>
        <v>0</v>
      </c>
      <c r="PG396" s="242">
        <f>PG395+PC396-PE396</f>
        <v>0</v>
      </c>
      <c r="PH396" s="56"/>
      <c r="PK396" s="55">
        <f>PB396</f>
        <v>46357</v>
      </c>
      <c r="PL396" s="56"/>
      <c r="PM396" s="242">
        <f>SUMPRODUCT(PRODUCE!$B389:$DY389,PRODUCE!$EB$54:$IY$54)</f>
        <v>0</v>
      </c>
      <c r="PN396" s="56"/>
      <c r="PO396" s="242">
        <f>PM396-PN396</f>
        <v>0</v>
      </c>
      <c r="PP396" s="242">
        <f>PP395+PL396-PN396</f>
        <v>100</v>
      </c>
      <c r="PQ396" s="56"/>
      <c r="PT396" s="55">
        <f>PK396</f>
        <v>46357</v>
      </c>
      <c r="PU396" s="56"/>
      <c r="PV396" s="242">
        <f>SUMPRODUCT(PRODUCE!$B389:$DY389,PRODUCE!$EB$55:$IY$55)</f>
        <v>0</v>
      </c>
      <c r="PW396" s="56"/>
      <c r="PX396" s="242">
        <f>PV396-PW396</f>
        <v>0</v>
      </c>
      <c r="PY396" s="242">
        <f>PY395+PU396-PW396</f>
        <v>13.960000000000036</v>
      </c>
      <c r="PZ396" s="56"/>
      <c r="QC396" s="55">
        <f>PT396</f>
        <v>46357</v>
      </c>
      <c r="QD396" s="56"/>
      <c r="QE396" s="242">
        <f>SUMPRODUCT(PRODUCE!$B389:$DY389,PRODUCE!$EB$56:$IY$56)</f>
        <v>0</v>
      </c>
      <c r="QF396" s="56"/>
      <c r="QG396" s="242">
        <f>QE396-QF396</f>
        <v>0</v>
      </c>
      <c r="QH396" s="242">
        <f>QH395+QD396-QF396</f>
        <v>548</v>
      </c>
      <c r="QI396" s="56"/>
      <c r="QL396" s="55">
        <f>QC396</f>
        <v>46357</v>
      </c>
      <c r="QM396" s="56"/>
      <c r="QN396" s="242">
        <f>SUMPRODUCT(PRODUCE!$B389:$DY389,PRODUCE!$EB$57:$IY$57)</f>
        <v>0</v>
      </c>
      <c r="QO396" s="56"/>
      <c r="QP396" s="242">
        <f>QN396-QO396</f>
        <v>0</v>
      </c>
      <c r="QQ396" s="242">
        <f>QQ395+QM396-QO396</f>
        <v>0</v>
      </c>
      <c r="QR396" s="56"/>
      <c r="QU396" s="55">
        <f>QL396</f>
        <v>46357</v>
      </c>
      <c r="QV396" s="56"/>
      <c r="QW396" s="242">
        <f>SUMPRODUCT(PRODUCE!$B389:$DY389,PRODUCE!$EB$57:$IY$57)</f>
        <v>0</v>
      </c>
      <c r="QX396" s="56"/>
      <c r="QY396" s="242">
        <f>QW396-QX396</f>
        <v>0</v>
      </c>
      <c r="QZ396" s="242">
        <f>QZ395+QV396-QX396</f>
        <v>0</v>
      </c>
      <c r="RA396" s="56"/>
      <c r="RD396" s="55">
        <f>QU396</f>
        <v>46357</v>
      </c>
      <c r="RE396" s="56"/>
      <c r="RF396" s="242">
        <f>SUMPRODUCT(PRODUCE!$B389:$DY389,PRODUCE!$EB$58:$IY$58)</f>
        <v>0</v>
      </c>
      <c r="RG396" s="56"/>
      <c r="RH396" s="242">
        <f>RF396-RG396</f>
        <v>0</v>
      </c>
      <c r="RI396" s="242">
        <f>RI395+RE396-RG396</f>
        <v>147.04000000000002</v>
      </c>
      <c r="RJ396" s="56"/>
      <c r="RM396" s="55">
        <f>RD396</f>
        <v>46357</v>
      </c>
      <c r="RN396" s="56"/>
      <c r="RO396" s="242">
        <f>SUMPRODUCT(PRODUCE!$B389:$DY389,PRODUCE!$EB$57:$IY$57)</f>
        <v>0</v>
      </c>
      <c r="RP396" s="56"/>
      <c r="RQ396" s="242">
        <f>RO396-RP396</f>
        <v>0</v>
      </c>
      <c r="RR396" s="242">
        <f>RR395+RN396-RP396</f>
        <v>46.8</v>
      </c>
      <c r="RS396" s="56"/>
      <c r="RV396" s="55">
        <f>RM396</f>
        <v>46357</v>
      </c>
      <c r="RW396" s="56"/>
      <c r="RX396" s="242">
        <f>SUMPRODUCT(PRODUCE!$B389:$DY389,PRODUCE!$EB$57:$IY$57)</f>
        <v>0</v>
      </c>
      <c r="RY396" s="56"/>
      <c r="RZ396" s="242">
        <f>RX396-RY396</f>
        <v>0</v>
      </c>
      <c r="SA396" s="242">
        <f>SA395+RW396-RY396</f>
        <v>0</v>
      </c>
      <c r="SB396" s="56"/>
      <c r="SE396" s="55">
        <f>RV396</f>
        <v>46357</v>
      </c>
      <c r="SF396" s="56"/>
      <c r="SG396" s="242">
        <f>SUMPRODUCT(PRODUCE!$B389:$DY389,PRODUCE!$EB$61:$IY$61)</f>
        <v>0</v>
      </c>
      <c r="SH396" s="56"/>
      <c r="SI396" s="242">
        <f>SG396-SH396</f>
        <v>0</v>
      </c>
      <c r="SJ396" s="242">
        <f>SJ395+SF396-SH396</f>
        <v>24.200000000000003</v>
      </c>
      <c r="SK396" s="56"/>
      <c r="SN396" s="55">
        <f>SE396</f>
        <v>46357</v>
      </c>
      <c r="SO396" s="56"/>
      <c r="SP396" s="242">
        <f>SUMPRODUCT(PRODUCE!$B389:$DY389,PRODUCE!$EB$57:$IY$57)</f>
        <v>0</v>
      </c>
      <c r="SQ396" s="56"/>
      <c r="SR396" s="242">
        <f>SP396-SQ396</f>
        <v>0</v>
      </c>
      <c r="SS396" s="242">
        <f>SS395+SO396-SQ396</f>
        <v>32</v>
      </c>
      <c r="ST396" s="56"/>
      <c r="SW396" s="55">
        <f>SN396</f>
        <v>46357</v>
      </c>
      <c r="SX396" s="56"/>
      <c r="SY396" s="242">
        <f>SUMPRODUCT(PRODUCE!$B389:$DY389,PRODUCE!$EB$57:$IY$57)</f>
        <v>0</v>
      </c>
      <c r="SZ396" s="56"/>
      <c r="TA396" s="242">
        <f>SY396-SZ396</f>
        <v>0</v>
      </c>
      <c r="TB396" s="242">
        <f>TB395+SX396-SZ396</f>
        <v>0</v>
      </c>
      <c r="TC396" s="56"/>
      <c r="TF396" s="55">
        <f>SW396</f>
        <v>46357</v>
      </c>
      <c r="TG396" s="56"/>
      <c r="TH396" s="242">
        <f>SUMPRODUCT(PRODUCE!$B389:$DY389,PRODUCE!$EB$57:$IY$57)</f>
        <v>0</v>
      </c>
      <c r="TI396" s="56"/>
      <c r="TJ396" s="242">
        <f>TH396-TI396</f>
        <v>0</v>
      </c>
      <c r="TK396" s="242">
        <f>TK395+TG396-TI396</f>
        <v>0</v>
      </c>
      <c r="TL396" s="56"/>
      <c r="TO396" s="55">
        <f>TF396</f>
        <v>46357</v>
      </c>
      <c r="TP396" s="56"/>
      <c r="TQ396" s="242">
        <f>SUMPRODUCT(PRODUCE!$B389:$DY389,PRODUCE!$EB$57:$IY$57)</f>
        <v>0</v>
      </c>
      <c r="TR396" s="56"/>
      <c r="TS396" s="242">
        <f>TQ396-TR396</f>
        <v>0</v>
      </c>
      <c r="TT396" s="242">
        <f>TT395+TP396-TR396</f>
        <v>0</v>
      </c>
      <c r="TU396" s="56"/>
      <c r="TX396" s="55">
        <f>TO396</f>
        <v>46357</v>
      </c>
      <c r="TY396" s="56"/>
      <c r="TZ396" s="242">
        <f>SUMPRODUCT(PRODUCE!$B389:$DY389,PRODUCE!$EB$57:$IY$57)</f>
        <v>0</v>
      </c>
      <c r="UA396" s="56"/>
      <c r="UB396" s="242">
        <f>TZ396-UA396</f>
        <v>0</v>
      </c>
      <c r="UC396" s="242">
        <f>UC395+TY396-UA396</f>
        <v>46.799999999999983</v>
      </c>
      <c r="UD396" s="56"/>
      <c r="UG396" s="55">
        <f>TX396</f>
        <v>46357</v>
      </c>
      <c r="UH396" s="56"/>
      <c r="UI396" s="242">
        <f>SUMPRODUCT(PRODUCE!$B389:$DY389,PRODUCE!$EB$57:$IY$57)</f>
        <v>0</v>
      </c>
      <c r="UJ396" s="56"/>
      <c r="UK396" s="242">
        <f>UI396-UJ396</f>
        <v>0</v>
      </c>
      <c r="UL396" s="242">
        <f>UL395+UH396-UJ396</f>
        <v>204</v>
      </c>
      <c r="UM396" s="56"/>
      <c r="UP396" s="55">
        <f>UG396</f>
        <v>46357</v>
      </c>
      <c r="UQ396" s="56"/>
      <c r="UR396" s="242">
        <f>SUMPRODUCT(PRODUCE!$B389:$DY389,PRODUCE!$EB$57:$IY$57)</f>
        <v>0</v>
      </c>
      <c r="US396" s="56"/>
      <c r="UT396" s="242">
        <f>UR396-US396</f>
        <v>0</v>
      </c>
      <c r="UU396" s="242">
        <f>UU395+UQ396-US396</f>
        <v>202.5</v>
      </c>
      <c r="UV396" s="56"/>
      <c r="UY396" s="55">
        <f>UP396</f>
        <v>46357</v>
      </c>
      <c r="UZ396" s="56"/>
      <c r="VA396" s="242">
        <f>SUMPRODUCT(PRODUCE!$B389:$DY389,PRODUCE!$EB$57:$IY$57)</f>
        <v>0</v>
      </c>
      <c r="VB396" s="56"/>
      <c r="VC396" s="242">
        <f>VA396-VB396</f>
        <v>0</v>
      </c>
      <c r="VD396" s="242">
        <f>VD395+UZ396-VB396</f>
        <v>41.600000000000023</v>
      </c>
      <c r="VE396" s="56"/>
      <c r="VH396" s="55">
        <f>UY396</f>
        <v>46357</v>
      </c>
      <c r="VI396" s="56"/>
      <c r="VJ396" s="242">
        <f>SUMPRODUCT(PRODUCE!$B389:$DY389,PRODUCE!$EB$57:$IY$57)</f>
        <v>0</v>
      </c>
      <c r="VK396" s="56"/>
      <c r="VL396" s="242">
        <f>VJ396-VK396</f>
        <v>0</v>
      </c>
      <c r="VM396" s="242">
        <f>VM395+VI396-VK396</f>
        <v>210</v>
      </c>
      <c r="VN396" s="56"/>
      <c r="VQ396" s="55">
        <f>VH396</f>
        <v>46357</v>
      </c>
      <c r="VR396" s="56"/>
      <c r="VS396" s="242">
        <f>SUMPRODUCT(PRODUCE!$B389:$DY389,PRODUCE!$EB$57:$IY$57)</f>
        <v>0</v>
      </c>
      <c r="VT396" s="56"/>
      <c r="VU396" s="242">
        <f>VS396-VT396</f>
        <v>0</v>
      </c>
      <c r="VV396" s="242">
        <f>VV395+VR396-VT396</f>
        <v>0</v>
      </c>
      <c r="VW396" s="56"/>
      <c r="VZ396" s="55">
        <f>VQ396</f>
        <v>46357</v>
      </c>
      <c r="WA396" s="56"/>
      <c r="WB396" s="242">
        <f>SUMPRODUCT(PRODUCE!$B389:$DY389,PRODUCE!$EB$57:$IY$57)</f>
        <v>0</v>
      </c>
      <c r="WC396" s="56"/>
      <c r="WD396" s="242">
        <f>WB396-WC396</f>
        <v>0</v>
      </c>
      <c r="WE396" s="242">
        <f>WE395+WA396-WC396</f>
        <v>0</v>
      </c>
      <c r="WF396" s="56"/>
      <c r="WI396" s="55">
        <f>VZ396</f>
        <v>46357</v>
      </c>
      <c r="WJ396" s="56"/>
      <c r="WK396" s="242">
        <f>SUMPRODUCT(PRODUCE!$B389:$DY389,PRODUCE!$EB$57:$IY$57)</f>
        <v>0</v>
      </c>
      <c r="WL396" s="56"/>
      <c r="WM396" s="242">
        <f>WK396-WL396</f>
        <v>0</v>
      </c>
      <c r="WN396" s="242">
        <f>WN395+WJ396-WL396</f>
        <v>1057</v>
      </c>
      <c r="WO396" s="56"/>
      <c r="WR396" s="55">
        <f>WI396</f>
        <v>46357</v>
      </c>
      <c r="WS396" s="56"/>
      <c r="WT396" s="242">
        <f>SUMPRODUCT(PRODUCE!$B389:$DY389,PRODUCE!$EB$57:$IY$57)</f>
        <v>0</v>
      </c>
      <c r="WU396" s="56"/>
      <c r="WV396" s="242">
        <f>WT396-WU396</f>
        <v>0</v>
      </c>
      <c r="WW396" s="242">
        <f>WW395+WS396-WU396</f>
        <v>0</v>
      </c>
      <c r="WX396" s="56"/>
      <c r="XA396" s="55">
        <f>WR396</f>
        <v>46357</v>
      </c>
      <c r="XB396" s="56"/>
      <c r="XC396" s="242">
        <f>SUMPRODUCT(PRODUCE!$B389:$DY389,PRODUCE!$EB$57:$IY$57)</f>
        <v>0</v>
      </c>
      <c r="XD396" s="56"/>
      <c r="XE396" s="242">
        <f>XC396-XD396</f>
        <v>0</v>
      </c>
      <c r="XF396" s="242">
        <f>XF395+XB396-XD396</f>
        <v>7507</v>
      </c>
      <c r="XG396" s="56"/>
      <c r="XJ396" s="55">
        <f>XA396</f>
        <v>46357</v>
      </c>
      <c r="XK396" s="56"/>
      <c r="XL396" s="242">
        <f>SUMPRODUCT(PRODUCE!$B389:$DY389,PRODUCE!$EB$57:$IY$57)</f>
        <v>0</v>
      </c>
      <c r="XM396" s="56"/>
      <c r="XN396" s="242">
        <f>XL396-XM396</f>
        <v>0</v>
      </c>
      <c r="XO396" s="242">
        <f>XO395+XK396-XM396</f>
        <v>4252</v>
      </c>
      <c r="XP396" s="56"/>
      <c r="XS396" s="55">
        <f>XJ396</f>
        <v>46357</v>
      </c>
      <c r="XT396" s="56"/>
      <c r="XU396" s="242">
        <f>SUMPRODUCT(PRODUCE!$B389:$DY389,PRODUCE!$EB$57:$IY$57)</f>
        <v>0</v>
      </c>
      <c r="XV396" s="56"/>
      <c r="XW396" s="242">
        <f>XU396-XV396</f>
        <v>0</v>
      </c>
      <c r="XX396" s="242">
        <f>XX395+XT396-XV396</f>
        <v>2179</v>
      </c>
      <c r="XY396" s="56"/>
      <c r="YB396" s="55">
        <f>XS396</f>
        <v>46357</v>
      </c>
      <c r="YC396" s="56"/>
      <c r="YD396" s="242">
        <f>SUMPRODUCT(PRODUCE!$B389:$DY389,PRODUCE!$EB$57:$IY$57)</f>
        <v>0</v>
      </c>
      <c r="YE396" s="56"/>
      <c r="YF396" s="242">
        <f>YD396-YE396</f>
        <v>0</v>
      </c>
      <c r="YG396" s="242">
        <f>YG395+YC396-YE396</f>
        <v>4019</v>
      </c>
      <c r="YH396" s="56"/>
      <c r="YK396" s="55">
        <f>YB396</f>
        <v>46357</v>
      </c>
      <c r="YL396" s="56"/>
      <c r="YM396" s="242">
        <f>SUMPRODUCT(PRODUCE!$B389:$DY389,PRODUCE!$EB$57:$IY$57)</f>
        <v>0</v>
      </c>
      <c r="YN396" s="56"/>
      <c r="YO396" s="242">
        <f>YM396-YN396</f>
        <v>0</v>
      </c>
      <c r="YP396" s="242">
        <f>YP395+YL396-YN396</f>
        <v>-218</v>
      </c>
      <c r="YQ396" s="56"/>
      <c r="YT396" s="55">
        <f>YK396</f>
        <v>46357</v>
      </c>
      <c r="YU396" s="56"/>
      <c r="YV396" s="242">
        <f>SUMPRODUCT(PRODUCE!$B389:$DY389,PRODUCE!$EB$57:$IY$57)</f>
        <v>0</v>
      </c>
      <c r="YW396" s="56"/>
      <c r="YX396" s="242">
        <f>YV396-YW396</f>
        <v>0</v>
      </c>
      <c r="YY396" s="242">
        <f>YY395+YU396-YW396</f>
        <v>0</v>
      </c>
      <c r="YZ396" s="56"/>
      <c r="ZC396" s="55">
        <f>YT396</f>
        <v>46357</v>
      </c>
      <c r="ZD396" s="56"/>
      <c r="ZE396" s="242">
        <f>SUMPRODUCT(PRODUCE!$B389:$DY389,PRODUCE!$EB$57:$IY$57)</f>
        <v>0</v>
      </c>
      <c r="ZF396" s="56"/>
      <c r="ZG396" s="242">
        <f>ZE396-ZF396</f>
        <v>0</v>
      </c>
      <c r="ZH396" s="242">
        <f>ZH395+ZD396-ZF396</f>
        <v>0</v>
      </c>
      <c r="ZI396" s="56"/>
      <c r="ZL396" s="55">
        <f>ZC396</f>
        <v>46357</v>
      </c>
      <c r="ZM396" s="56"/>
      <c r="ZN396" s="242">
        <f>SUMPRODUCT(PRODUCE!$B389:$DY389,PRODUCE!$EB$57:$IY$57)</f>
        <v>0</v>
      </c>
      <c r="ZO396" s="56"/>
      <c r="ZP396" s="242">
        <f>ZN396-ZO396</f>
        <v>0</v>
      </c>
      <c r="ZQ396" s="242">
        <f>ZQ395+ZM396-ZO396</f>
        <v>0</v>
      </c>
      <c r="ZR396" s="56"/>
      <c r="ZU396" s="55">
        <f>ZL396</f>
        <v>46357</v>
      </c>
      <c r="ZV396" s="56"/>
      <c r="ZW396" s="242">
        <f>SUMPRODUCT(PRODUCE!$B389:$DY389,PRODUCE!$EB$57:$IY$57)</f>
        <v>0</v>
      </c>
      <c r="ZX396" s="56"/>
      <c r="ZY396" s="242">
        <f>ZW396-ZX396</f>
        <v>0</v>
      </c>
      <c r="ZZ396" s="242">
        <f>ZZ395+ZV396-ZX396</f>
        <v>0</v>
      </c>
      <c r="AAA396" s="56"/>
      <c r="AAD396" s="55">
        <f>ZU396</f>
        <v>46357</v>
      </c>
      <c r="AAE396" s="56"/>
      <c r="AAF396" s="242">
        <f>SUMPRODUCT(PRODUCE!$B389:$DY389,PRODUCE!$EB$57:$IY$57)</f>
        <v>0</v>
      </c>
      <c r="AAG396" s="56"/>
      <c r="AAH396" s="242">
        <f>AAF396-AAG396</f>
        <v>0</v>
      </c>
      <c r="AAI396" s="242">
        <f>AAI395+AAE396-AAG396</f>
        <v>0</v>
      </c>
      <c r="AAJ396" s="56"/>
      <c r="AAM396" s="55">
        <f>AAD396</f>
        <v>46357</v>
      </c>
      <c r="AAN396" s="56"/>
      <c r="AAO396" s="242">
        <f>SUMPRODUCT(PRODUCE!$B389:$DY389,PRODUCE!$EB$57:$IY$57)</f>
        <v>0</v>
      </c>
      <c r="AAP396" s="56"/>
      <c r="AAQ396" s="242">
        <f>AAO396-AAP396</f>
        <v>0</v>
      </c>
      <c r="AAR396" s="242">
        <f>AAR395+AAN396-AAP396</f>
        <v>0</v>
      </c>
      <c r="AAS396" s="56"/>
      <c r="AAV396" s="55">
        <f>AAM396</f>
        <v>46357</v>
      </c>
      <c r="AAW396" s="56"/>
      <c r="AAX396" s="242">
        <f>SUMPRODUCT(PRODUCE!$B389:$DY389,PRODUCE!$EB$57:$IY$57)</f>
        <v>0</v>
      </c>
      <c r="AAY396" s="56"/>
      <c r="AAZ396" s="242">
        <f>AAX396-AAY396</f>
        <v>0</v>
      </c>
      <c r="ABA396" s="242">
        <f>ABA395+AAW396-AAY396</f>
        <v>0</v>
      </c>
      <c r="ABB396" s="56"/>
      <c r="ABE396" s="55">
        <f>AAV396</f>
        <v>46357</v>
      </c>
      <c r="ABF396" s="56"/>
      <c r="ABG396" s="242">
        <f>SUMPRODUCT(PRODUCE!$B389:$DY389,PRODUCE!$EB$57:$IY$57)</f>
        <v>0</v>
      </c>
      <c r="ABH396" s="56"/>
      <c r="ABI396" s="242">
        <f>ABG396-ABH396</f>
        <v>0</v>
      </c>
      <c r="ABJ396" s="242">
        <f>ABJ395+ABF396-ABH396</f>
        <v>0</v>
      </c>
      <c r="ABK396" s="56"/>
    </row>
    <row r="397" spans="1:739" s="54" customFormat="1" ht="15" customHeight="1" outlineLevel="1">
      <c r="B397" s="478"/>
      <c r="C397" s="55">
        <v>46358</v>
      </c>
      <c r="D397" s="56"/>
      <c r="E397" s="57">
        <f>SUMPRODUCT(PRODUCE!$B390:$DY390,PRODUCE!$EB$7:$IY$7)</f>
        <v>0</v>
      </c>
      <c r="F397" s="56"/>
      <c r="G397" s="57">
        <f t="shared" ref="G397:G426" si="2727">E397-F397</f>
        <v>0</v>
      </c>
      <c r="H397" s="57">
        <f t="shared" ref="H397:H426" si="2728">H396+D397-F397</f>
        <v>236936.6</v>
      </c>
      <c r="I397" s="289"/>
      <c r="L397" s="55">
        <f t="shared" ref="L397:L426" si="2729">C397</f>
        <v>46358</v>
      </c>
      <c r="M397" s="56"/>
      <c r="N397" s="59">
        <f>SUMPRODUCT(PRODUCE!$B390:$DY390,PRODUCE!$EB$8:$IY$8)</f>
        <v>0</v>
      </c>
      <c r="O397" s="56"/>
      <c r="P397" s="59">
        <f t="shared" ref="P397:P426" si="2730">N397-O397</f>
        <v>0</v>
      </c>
      <c r="Q397" s="59">
        <f t="shared" ref="Q397:Q426" si="2731">Q396+M397-O397</f>
        <v>53017.600000000071</v>
      </c>
      <c r="R397" s="56"/>
      <c r="U397" s="55">
        <f t="shared" ref="U397:U426" si="2732">L397</f>
        <v>46358</v>
      </c>
      <c r="V397" s="56"/>
      <c r="W397" s="60">
        <f>SUMPRODUCT(PRODUCE!$B390:$DY390,PRODUCE!$EB$9:$IY$9)</f>
        <v>0</v>
      </c>
      <c r="X397" s="56"/>
      <c r="Y397" s="60">
        <f t="shared" ref="Y397:Y426" si="2733">W397-X397</f>
        <v>0</v>
      </c>
      <c r="Z397" s="60">
        <f t="shared" ref="Z397:Z426" si="2734">Z396+V397-X397</f>
        <v>42674.199999999968</v>
      </c>
      <c r="AA397" s="56"/>
      <c r="AD397" s="55">
        <f t="shared" ref="AD397:AD426" si="2735">U397</f>
        <v>46358</v>
      </c>
      <c r="AE397" s="56"/>
      <c r="AF397" s="61">
        <f>SUMPRODUCT(PRODUCE!$B390:$DY390,PRODUCE!$EB$10:$IY$10)</f>
        <v>0</v>
      </c>
      <c r="AG397" s="56"/>
      <c r="AH397" s="61">
        <f t="shared" ref="AH397:AH426" si="2736">AF397-AG397</f>
        <v>0</v>
      </c>
      <c r="AI397" s="61">
        <f t="shared" ref="AI397:AI426" si="2737">AI396+AE397-AG397</f>
        <v>4522.2000000000189</v>
      </c>
      <c r="AJ397" s="56"/>
      <c r="AM397" s="55">
        <f t="shared" ref="AM397:AM426" si="2738">AD397</f>
        <v>46358</v>
      </c>
      <c r="AN397" s="422"/>
      <c r="AO397" s="444">
        <f>SUMPRODUCT(PRODUCE!$B390:$DY390,PRODUCE!$EB$11:$IY$11)</f>
        <v>0</v>
      </c>
      <c r="AP397" s="422"/>
      <c r="AQ397" s="444">
        <f t="shared" ref="AQ397:AQ426" si="2739">AO397-AP397</f>
        <v>0</v>
      </c>
      <c r="AR397" s="444">
        <f t="shared" ref="AR397:AR426" si="2740">AR396+AN397-AP397</f>
        <v>0</v>
      </c>
      <c r="AS397" s="56"/>
      <c r="AV397" s="55">
        <f t="shared" ref="AV397:AV426" si="2741">AM397</f>
        <v>46358</v>
      </c>
      <c r="AW397" s="56"/>
      <c r="AX397" s="62">
        <f>SUMPRODUCT(PRODUCE!$B390:$DY390,PRODUCE!$EB$12:$IY$12)</f>
        <v>0</v>
      </c>
      <c r="AY397" s="56"/>
      <c r="AZ397" s="62">
        <f t="shared" ref="AZ397:AZ426" si="2742">AX397-AY397</f>
        <v>0</v>
      </c>
      <c r="BA397" s="62">
        <f t="shared" ref="BA397:BA426" si="2743">BA396+AW397-AY397</f>
        <v>124.99999999999523</v>
      </c>
      <c r="BB397" s="56"/>
      <c r="BE397" s="55">
        <f t="shared" ref="BE397:BE426" si="2744">AV397</f>
        <v>46358</v>
      </c>
      <c r="BF397" s="56"/>
      <c r="BG397" s="63">
        <f>SUMPRODUCT(PRODUCE!$B390:$DY390,PRODUCE!$EB$13:$IY$13)</f>
        <v>0</v>
      </c>
      <c r="BH397" s="56"/>
      <c r="BI397" s="63">
        <f t="shared" ref="BI397:BI426" si="2745">BG397-BH397</f>
        <v>0</v>
      </c>
      <c r="BJ397" s="63">
        <f t="shared" ref="BJ397:BJ426" si="2746">BJ396+BF397-BH397</f>
        <v>26151.899999999998</v>
      </c>
      <c r="BK397" s="56"/>
      <c r="BN397" s="55">
        <f t="shared" ref="BN397:BN426" si="2747">BE397</f>
        <v>46358</v>
      </c>
      <c r="BO397" s="56"/>
      <c r="BP397" s="64">
        <f>SUMPRODUCT(PRODUCE!$B390:$DY390,PRODUCE!$EB$14:$IY$14)</f>
        <v>0</v>
      </c>
      <c r="BQ397" s="56"/>
      <c r="BR397" s="64">
        <f t="shared" ref="BR397:BR426" si="2748">BP397-BQ397</f>
        <v>0</v>
      </c>
      <c r="BS397" s="64">
        <f t="shared" ref="BS397:BS426" si="2749">BS396+BO397-BQ397</f>
        <v>0</v>
      </c>
      <c r="BT397" s="56"/>
      <c r="BW397" s="55">
        <f t="shared" ref="BW397:BW426" si="2750">BN397</f>
        <v>46358</v>
      </c>
      <c r="BX397" s="56"/>
      <c r="BY397" s="65">
        <f>SUMPRODUCT(PRODUCE!$B390:$DY390,PRODUCE!$EB$15:$IY$15)</f>
        <v>0</v>
      </c>
      <c r="BZ397" s="56"/>
      <c r="CA397" s="65">
        <f t="shared" ref="CA397:CA426" si="2751">BY397-BZ397</f>
        <v>0</v>
      </c>
      <c r="CB397" s="65">
        <f t="shared" ref="CB397:CB426" si="2752">CB396+BX397-BZ397</f>
        <v>2097.3399999999992</v>
      </c>
      <c r="CC397" s="56"/>
      <c r="CF397" s="55">
        <f t="shared" ref="CF397:CF426" si="2753">BW397</f>
        <v>46358</v>
      </c>
      <c r="CG397" s="56"/>
      <c r="CH397" s="66">
        <f>SUMPRODUCT(PRODUCE!$B390:$DY390,PRODUCE!$EB$16:$IY$16)</f>
        <v>0</v>
      </c>
      <c r="CI397" s="56"/>
      <c r="CJ397" s="66">
        <f t="shared" ref="CJ397:CJ426" si="2754">CH397-CI397</f>
        <v>0</v>
      </c>
      <c r="CK397" s="66">
        <f t="shared" ref="CK397:CK426" si="2755">CK396+CG397-CI397</f>
        <v>-10277.079999999998</v>
      </c>
      <c r="CL397" s="56"/>
      <c r="CO397" s="55">
        <f t="shared" ref="CO397:CO426" si="2756">CF397</f>
        <v>46358</v>
      </c>
      <c r="CP397" s="422"/>
      <c r="CQ397" s="470">
        <f>SUMPRODUCT(PRODUCE!$B390:$DY390,PRODUCE!$EB$17:$IY$17)</f>
        <v>0</v>
      </c>
      <c r="CR397" s="422"/>
      <c r="CS397" s="470">
        <f t="shared" ref="CS397:CS426" si="2757">CQ397-CR397</f>
        <v>0</v>
      </c>
      <c r="CT397" s="470">
        <f t="shared" ref="CT397:CT426" si="2758">CT396+CP397-CR397</f>
        <v>0</v>
      </c>
      <c r="CU397" s="56"/>
      <c r="CX397" s="55">
        <f t="shared" ref="CX397:CX426" si="2759">CO397</f>
        <v>46358</v>
      </c>
      <c r="CY397" s="56"/>
      <c r="CZ397" s="133">
        <f>SUMPRODUCT(PRODUCE!$B390:$DY390,PRODUCE!$EB$18:$IY$18)</f>
        <v>0</v>
      </c>
      <c r="DA397" s="56"/>
      <c r="DB397" s="133">
        <f t="shared" ref="DB397:DB426" si="2760">CZ397-DA397</f>
        <v>0</v>
      </c>
      <c r="DC397" s="133">
        <f t="shared" ref="DC397:DC426" si="2761">DC396+CY397-DA397</f>
        <v>27438.200000000012</v>
      </c>
      <c r="DD397" s="56"/>
      <c r="DG397" s="55">
        <f t="shared" ref="DG397:DG426" si="2762">CX397</f>
        <v>46358</v>
      </c>
      <c r="DH397" s="56"/>
      <c r="DI397" s="147">
        <f>SUMPRODUCT(PRODUCE!$B390:$DY390,PRODUCE!$EB$19:$IY$19)</f>
        <v>0</v>
      </c>
      <c r="DJ397" s="56"/>
      <c r="DK397" s="147">
        <f t="shared" ref="DK397:DK426" si="2763">DI397-DJ397</f>
        <v>0</v>
      </c>
      <c r="DL397" s="147">
        <f t="shared" ref="DL397:DL426" si="2764">DL396+DH397-DJ397</f>
        <v>18782.299999999981</v>
      </c>
      <c r="DM397" s="56"/>
      <c r="DP397" s="55">
        <f t="shared" ref="DP397:DP426" si="2765">DG397</f>
        <v>46358</v>
      </c>
      <c r="DQ397" s="56"/>
      <c r="DR397" s="57">
        <f>SUMPRODUCT(PRODUCE!$B390:$DY390,PRODUCE!$EB$20:$IY$20)</f>
        <v>0</v>
      </c>
      <c r="DS397" s="56"/>
      <c r="DT397" s="57">
        <f t="shared" ref="DT397:DT426" si="2766">DR397-DS397</f>
        <v>0</v>
      </c>
      <c r="DU397" s="57">
        <f t="shared" ref="DU397:DU426" si="2767">DU396+DQ397-DS397</f>
        <v>5800</v>
      </c>
      <c r="DV397" s="56"/>
      <c r="DY397" s="55">
        <f t="shared" ref="DY397:DY426" si="2768">DP397</f>
        <v>46358</v>
      </c>
      <c r="DZ397" s="56"/>
      <c r="EA397" s="157">
        <f>SUMPRODUCT(PRODUCE!$B390:$DY390,PRODUCE!$EB$21:$IY$21)</f>
        <v>0</v>
      </c>
      <c r="EB397" s="56"/>
      <c r="EC397" s="157">
        <f t="shared" ref="EC397:EC426" si="2769">EA397-EB397</f>
        <v>0</v>
      </c>
      <c r="ED397" s="157">
        <f t="shared" ref="ED397:ED426" si="2770">ED396+DZ397-EB397</f>
        <v>0</v>
      </c>
      <c r="EE397" s="56"/>
      <c r="EH397" s="55">
        <f t="shared" ref="EH397:EH426" si="2771">DY397</f>
        <v>46358</v>
      </c>
      <c r="EI397" s="56"/>
      <c r="EJ397" s="162">
        <f>SUMPRODUCT(PRODUCE!$B390:$DY390,PRODUCE!$EB$22:$IY$22)</f>
        <v>0</v>
      </c>
      <c r="EK397" s="56"/>
      <c r="EL397" s="162">
        <f t="shared" ref="EL397:EL426" si="2772">EJ397-EK397</f>
        <v>0</v>
      </c>
      <c r="EM397" s="162">
        <f t="shared" ref="EM397:EM426" si="2773">EM396+EI397-EK397</f>
        <v>0</v>
      </c>
      <c r="EN397" s="56"/>
      <c r="EQ397" s="55">
        <f t="shared" ref="EQ397:EQ426" si="2774">EH397</f>
        <v>46358</v>
      </c>
      <c r="ER397" s="56"/>
      <c r="ES397" s="135">
        <f>SUMPRODUCT(PRODUCE!$B390:$DY390,PRODUCE!$EB$23:$IY$23)</f>
        <v>0</v>
      </c>
      <c r="ET397" s="56"/>
      <c r="EU397" s="135">
        <f t="shared" ref="EU397:EU426" si="2775">ES397-ET397</f>
        <v>0</v>
      </c>
      <c r="EV397" s="135">
        <f t="shared" ref="EV397:EV426" si="2776">EV396+ER397-ET397</f>
        <v>0</v>
      </c>
      <c r="EW397" s="56"/>
      <c r="EZ397" s="55">
        <f t="shared" ref="EZ397:EZ426" si="2777">EQ397</f>
        <v>46358</v>
      </c>
      <c r="FA397" s="56"/>
      <c r="FB397" s="175">
        <f>SUMPRODUCT(PRODUCE!$B390:$DY390,PRODUCE!$EB$24:$IY$24)</f>
        <v>0</v>
      </c>
      <c r="FC397" s="56"/>
      <c r="FD397" s="175">
        <f t="shared" ref="FD397:FD426" si="2778">FB397-FC397</f>
        <v>0</v>
      </c>
      <c r="FE397" s="175">
        <f t="shared" ref="FE397:FE426" si="2779">FE396+FA397-FC397</f>
        <v>0</v>
      </c>
      <c r="FF397" s="56"/>
      <c r="FI397" s="55">
        <f t="shared" ref="FI397:FI426" si="2780">EZ397</f>
        <v>46358</v>
      </c>
      <c r="FJ397" s="56"/>
      <c r="FK397" s="183">
        <f>SUMPRODUCT(PRODUCE!$B390:$DY390,PRODUCE!$EB$25:$IY$25)</f>
        <v>0</v>
      </c>
      <c r="FL397" s="56"/>
      <c r="FM397" s="183">
        <f t="shared" ref="FM397:FM426" si="2781">FK397-FL397</f>
        <v>0</v>
      </c>
      <c r="FN397" s="183">
        <f t="shared" ref="FN397:FN426" si="2782">FN396+FJ397-FL397</f>
        <v>0</v>
      </c>
      <c r="FO397" s="56"/>
      <c r="FR397" s="55">
        <f t="shared" ref="FR397:FR426" si="2783">FI397</f>
        <v>46358</v>
      </c>
      <c r="FS397" s="56"/>
      <c r="FT397" s="186">
        <f>SUMPRODUCT(PRODUCE!$B390:$DY390,PRODUCE!$EB$26:$IY$26)</f>
        <v>0</v>
      </c>
      <c r="FU397" s="56"/>
      <c r="FV397" s="186">
        <f t="shared" ref="FV397:FV426" si="2784">FT397-FU397</f>
        <v>0</v>
      </c>
      <c r="FW397" s="186">
        <f t="shared" ref="FW397:FW426" si="2785">FW396+FS397-FU397</f>
        <v>2020</v>
      </c>
      <c r="FX397" s="56"/>
      <c r="GA397" s="55">
        <f t="shared" ref="GA397:GA426" si="2786">FR397</f>
        <v>46358</v>
      </c>
      <c r="GB397" s="56"/>
      <c r="GC397" s="137">
        <f>SUMPRODUCT(PRODUCE!$B390:$DY390,PRODUCE!$EB$27:$IY$27)</f>
        <v>0</v>
      </c>
      <c r="GD397" s="56"/>
      <c r="GE397" s="137">
        <f t="shared" ref="GE397:GE426" si="2787">GC397-GD397</f>
        <v>0</v>
      </c>
      <c r="GF397" s="137">
        <f t="shared" ref="GF397:GF426" si="2788">GF396+GB397-GD397</f>
        <v>960</v>
      </c>
      <c r="GG397" s="56"/>
      <c r="GI397" s="23"/>
      <c r="GJ397" s="55">
        <f t="shared" ref="GJ397:GJ426" si="2789">GA397</f>
        <v>46358</v>
      </c>
      <c r="GK397" s="56"/>
      <c r="GL397" s="199">
        <f>SUMPRODUCT(PRODUCE!$B390:$DY390,PRODUCE!$EB$28:$IY$28)</f>
        <v>0</v>
      </c>
      <c r="GM397" s="56"/>
      <c r="GN397" s="199">
        <f t="shared" ref="GN397:GN426" si="2790">GL397-GM397</f>
        <v>0</v>
      </c>
      <c r="GO397" s="199">
        <f t="shared" ref="GO397:GO426" si="2791">GO396+GK397-GM397</f>
        <v>1760</v>
      </c>
      <c r="GP397" s="56"/>
      <c r="GS397" s="55">
        <f t="shared" ref="GS397:GS426" si="2792">GJ397</f>
        <v>46358</v>
      </c>
      <c r="GT397" s="56"/>
      <c r="GU397" s="195">
        <f>SUMPRODUCT(PRODUCE!$B390:$DY390,PRODUCE!$EB$29:$IY$29)</f>
        <v>0</v>
      </c>
      <c r="GV397" s="56"/>
      <c r="GW397" s="195">
        <f t="shared" ref="GW397:GW426" si="2793">GU397-GV397</f>
        <v>0</v>
      </c>
      <c r="GX397" s="195">
        <f t="shared" ref="GX397:GX426" si="2794">GX396+GT397-GV397</f>
        <v>400</v>
      </c>
      <c r="GY397" s="56"/>
      <c r="HB397" s="55">
        <f t="shared" ref="HB397:HB426" si="2795">GS397</f>
        <v>46358</v>
      </c>
      <c r="HC397" s="56"/>
      <c r="HD397" s="191">
        <f>SUMPRODUCT(PRODUCE!$B390:$DY390,PRODUCE!$EB$30:$IY$30)</f>
        <v>0</v>
      </c>
      <c r="HE397" s="56"/>
      <c r="HF397" s="191">
        <f t="shared" ref="HF397:HF426" si="2796">HD397-HE397</f>
        <v>0</v>
      </c>
      <c r="HG397" s="191">
        <f t="shared" ref="HG397:HG426" si="2797">HG396+HC397-HE397</f>
        <v>3600</v>
      </c>
      <c r="HH397" s="56"/>
      <c r="HK397" s="55">
        <f t="shared" ref="HK397:HK426" si="2798">HB397</f>
        <v>46358</v>
      </c>
      <c r="HL397" s="56"/>
      <c r="HM397" s="63">
        <f>SUMPRODUCT(PRODUCE!$B390:$DY390,PRODUCE!$EB$31:$IY$31)</f>
        <v>0</v>
      </c>
      <c r="HN397" s="56"/>
      <c r="HO397" s="63">
        <f t="shared" ref="HO397:HO426" si="2799">HM397-HN397</f>
        <v>0</v>
      </c>
      <c r="HP397" s="63">
        <f t="shared" ref="HP397:HP426" si="2800">HP396+HL397-HN397</f>
        <v>0</v>
      </c>
      <c r="HQ397" s="56"/>
      <c r="HU397" s="55">
        <f t="shared" ref="HU397:HU426" si="2801">HK397</f>
        <v>46358</v>
      </c>
      <c r="HV397" s="56"/>
      <c r="HW397" s="242">
        <f>SUMPRODUCT(PRODUCE!$B390:$DY390,PRODUCE!$EB$32:$IY$32)</f>
        <v>0</v>
      </c>
      <c r="HX397" s="56"/>
      <c r="HY397" s="242">
        <f t="shared" ref="HY397:HY426" si="2802">HW397-HX397</f>
        <v>0</v>
      </c>
      <c r="HZ397" s="242">
        <f t="shared" ref="HZ397:HZ426" si="2803">HZ396+HV397-HX397</f>
        <v>6120</v>
      </c>
      <c r="IA397" s="56"/>
      <c r="ID397" s="55">
        <f t="shared" ref="ID397:ID426" si="2804">HU397</f>
        <v>46358</v>
      </c>
      <c r="IE397" s="56"/>
      <c r="IF397" s="242">
        <f>SUMPRODUCT(PRODUCE!$B390:$DY390,PRODUCE!$EB$33:$IY$33)</f>
        <v>0</v>
      </c>
      <c r="IG397" s="56"/>
      <c r="IH397" s="242">
        <f t="shared" ref="IH397:IH426" si="2805">IF397-IG397</f>
        <v>0</v>
      </c>
      <c r="II397" s="242">
        <f t="shared" ref="II397:II426" si="2806">II396+IE397-IG397</f>
        <v>0</v>
      </c>
      <c r="IJ397" s="56"/>
      <c r="IM397" s="55">
        <f t="shared" ref="IM397:IM426" si="2807">ID397</f>
        <v>46358</v>
      </c>
      <c r="IN397" s="56"/>
      <c r="IO397" s="242">
        <f>SUMPRODUCT(PRODUCE!$B390:$DY390,PRODUCE!$EB$34:$IY$34)</f>
        <v>0</v>
      </c>
      <c r="IP397" s="56"/>
      <c r="IQ397" s="242">
        <f t="shared" ref="IQ397:IQ426" si="2808">IO397-IP397</f>
        <v>0</v>
      </c>
      <c r="IR397" s="242">
        <f t="shared" ref="IR397:IR426" si="2809">IR396+IN397-IP397</f>
        <v>0</v>
      </c>
      <c r="IS397" s="56"/>
      <c r="IV397" s="55">
        <f t="shared" ref="IV397:IV426" si="2810">IM397</f>
        <v>46358</v>
      </c>
      <c r="IW397" s="56"/>
      <c r="IX397" s="242">
        <f>SUMPRODUCT(PRODUCE!$B390:$DY390,PRODUCE!$EB$35:$IY$35)</f>
        <v>0</v>
      </c>
      <c r="IY397" s="56"/>
      <c r="IZ397" s="242">
        <f t="shared" ref="IZ397:IZ426" si="2811">IX397-IY397</f>
        <v>0</v>
      </c>
      <c r="JA397" s="242">
        <f t="shared" ref="JA397:JA426" si="2812">JA396+IW397-IY397</f>
        <v>2820</v>
      </c>
      <c r="JB397" s="56"/>
      <c r="JE397" s="55">
        <f t="shared" ref="JE397:JE426" si="2813">IV397</f>
        <v>46358</v>
      </c>
      <c r="JF397" s="56"/>
      <c r="JG397" s="242">
        <f>SUMPRODUCT(PRODUCE!$B390:$DY390,PRODUCE!$EB$36:$IY$36)</f>
        <v>0</v>
      </c>
      <c r="JH397" s="56"/>
      <c r="JI397" s="242">
        <f t="shared" ref="JI397:JI426" si="2814">JG397-JH397</f>
        <v>0</v>
      </c>
      <c r="JJ397" s="242">
        <f t="shared" ref="JJ397:JJ426" si="2815">JJ396+JF397-JH397</f>
        <v>0</v>
      </c>
      <c r="JK397" s="56"/>
      <c r="JN397" s="55">
        <f t="shared" ref="JN397:JN426" si="2816">JE397</f>
        <v>46358</v>
      </c>
      <c r="JO397" s="56"/>
      <c r="JP397" s="242">
        <f>SUMPRODUCT(PRODUCE!$B390:$DY390,PRODUCE!$EB$37:$IY$37)</f>
        <v>0</v>
      </c>
      <c r="JQ397" s="56"/>
      <c r="JR397" s="242">
        <f t="shared" ref="JR397:JR426" si="2817">JP397-JQ397</f>
        <v>0</v>
      </c>
      <c r="JS397" s="242">
        <f t="shared" ref="JS397:JS426" si="2818">JS396+JO397-JQ397</f>
        <v>0</v>
      </c>
      <c r="JT397" s="56"/>
      <c r="JW397" s="55">
        <f t="shared" ref="JW397:JW426" si="2819">JN397</f>
        <v>46358</v>
      </c>
      <c r="JX397" s="56"/>
      <c r="JY397" s="242">
        <f>SUMPRODUCT(PRODUCE!$B390:$DY390,PRODUCE!$EB$38:$IY$38)</f>
        <v>0</v>
      </c>
      <c r="JZ397" s="56"/>
      <c r="KA397" s="242">
        <f t="shared" ref="KA397:KA426" si="2820">JY397-JZ397</f>
        <v>0</v>
      </c>
      <c r="KB397" s="242">
        <f t="shared" ref="KB397:KB426" si="2821">KB396+JX397-JZ397</f>
        <v>2540</v>
      </c>
      <c r="KC397" s="56"/>
      <c r="KF397" s="55">
        <f t="shared" ref="KF397:KF426" si="2822">JW397</f>
        <v>46358</v>
      </c>
      <c r="KG397" s="56"/>
      <c r="KH397" s="242">
        <f>SUMPRODUCT(PRODUCE!$B390:$DY390,PRODUCE!$EB$39:$IY$39)</f>
        <v>0</v>
      </c>
      <c r="KI397" s="56"/>
      <c r="KJ397" s="242">
        <f t="shared" ref="KJ397:KJ426" si="2823">KH397-KI397</f>
        <v>0</v>
      </c>
      <c r="KK397" s="242">
        <f t="shared" ref="KK397:KK426" si="2824">KK396+KG397-KI397</f>
        <v>2359.5</v>
      </c>
      <c r="KL397" s="56"/>
      <c r="KO397" s="55">
        <f t="shared" ref="KO397:KO426" si="2825">KF397</f>
        <v>46358</v>
      </c>
      <c r="KP397" s="56"/>
      <c r="KQ397" s="242">
        <f>SUMPRODUCT(PRODUCE!$B390:$DY390,PRODUCE!$EB$40:$IY$40)</f>
        <v>0</v>
      </c>
      <c r="KR397" s="56"/>
      <c r="KS397" s="242">
        <f t="shared" ref="KS397:KS426" si="2826">KQ397-KR397</f>
        <v>0</v>
      </c>
      <c r="KT397" s="242">
        <f t="shared" ref="KT397:KT426" si="2827">KT396+KP397-KR397</f>
        <v>1890</v>
      </c>
      <c r="KU397" s="56"/>
      <c r="KW397" s="23"/>
      <c r="KX397" s="55">
        <f t="shared" ref="KX397:KX426" si="2828">KO397</f>
        <v>46358</v>
      </c>
      <c r="KY397" s="56"/>
      <c r="KZ397" s="242">
        <f>SUMPRODUCT(PRODUCE!$B390:$DY390,PRODUCE!$EB$41:$IY$41)</f>
        <v>0</v>
      </c>
      <c r="LA397" s="56"/>
      <c r="LB397" s="242">
        <f t="shared" ref="LB397:LB426" si="2829">KZ397-LA397</f>
        <v>0</v>
      </c>
      <c r="LC397" s="242">
        <f t="shared" ref="LC397:LC426" si="2830">LC396+KY397-LA397</f>
        <v>3690</v>
      </c>
      <c r="LD397" s="56"/>
      <c r="LG397" s="55">
        <f t="shared" ref="LG397:LG426" si="2831">KX397</f>
        <v>46358</v>
      </c>
      <c r="LH397" s="56"/>
      <c r="LI397" s="242">
        <f>SUMPRODUCT(PRODUCE!$B390:$DY390,PRODUCE!$EB$42:$IY$42)</f>
        <v>0</v>
      </c>
      <c r="LJ397" s="56"/>
      <c r="LK397" s="242">
        <f t="shared" ref="LK397:LK426" si="2832">LI397-LJ397</f>
        <v>0</v>
      </c>
      <c r="LL397" s="242">
        <f t="shared" ref="LL397:LL426" si="2833">LL396+LH397-LJ397</f>
        <v>4000</v>
      </c>
      <c r="LM397" s="56"/>
      <c r="LP397" s="55">
        <f t="shared" ref="LP397:LP426" si="2834">LG397</f>
        <v>46358</v>
      </c>
      <c r="LQ397" s="56"/>
      <c r="LR397" s="242">
        <f>SUMPRODUCT(PRODUCE!$B412:$DY412,PRODUCE!$EB$43:$IY$43)</f>
        <v>0</v>
      </c>
      <c r="LS397" s="56"/>
      <c r="LT397" s="242">
        <f t="shared" ref="LT397:LT426" si="2835">LR397-LS397</f>
        <v>0</v>
      </c>
      <c r="LU397" s="242">
        <f t="shared" ref="LU397:LU426" si="2836">LU396+LQ397-LS397</f>
        <v>0</v>
      </c>
      <c r="LV397" s="56"/>
      <c r="LY397" s="55">
        <f t="shared" ref="LY397:LY426" si="2837">LP397</f>
        <v>46358</v>
      </c>
      <c r="LZ397" s="56"/>
      <c r="MA397" s="242">
        <f>SUMPRODUCT(PRODUCE!$B390:$DY390,PRODUCE!$EB$44:$IY$44)</f>
        <v>0</v>
      </c>
      <c r="MB397" s="56"/>
      <c r="MC397" s="242">
        <f t="shared" ref="MC397:MC426" si="2838">MA397-MB397</f>
        <v>0</v>
      </c>
      <c r="MD397" s="242">
        <f t="shared" ref="MD397:MD426" si="2839">MD396+LZ397-MB397</f>
        <v>0</v>
      </c>
      <c r="ME397" s="56"/>
      <c r="MH397" s="55">
        <f t="shared" ref="MH397:MH426" si="2840">LY397</f>
        <v>46358</v>
      </c>
      <c r="MI397" s="56"/>
      <c r="MJ397" s="242">
        <f>SUMPRODUCT(PRODUCE!$B390:$DY390,PRODUCE!$EB$45:$IY$45)</f>
        <v>0</v>
      </c>
      <c r="MK397" s="56"/>
      <c r="ML397" s="242">
        <f t="shared" ref="ML397:ML426" si="2841">MJ397-MK397</f>
        <v>0</v>
      </c>
      <c r="MM397" s="242">
        <f t="shared" ref="MM397:MM426" si="2842">MM396+MI397-MK397</f>
        <v>0</v>
      </c>
      <c r="MN397" s="56"/>
      <c r="MQ397" s="55">
        <f t="shared" ref="MQ397:MQ426" si="2843">MH397</f>
        <v>46358</v>
      </c>
      <c r="MR397" s="56"/>
      <c r="MS397" s="242">
        <f>SUMPRODUCT(PRODUCE!$B390:$DY390,PRODUCE!$EB$46:$IY$46)</f>
        <v>0</v>
      </c>
      <c r="MT397" s="56"/>
      <c r="MU397" s="242">
        <f t="shared" ref="MU397:MU426" si="2844">MS397-MT397</f>
        <v>0</v>
      </c>
      <c r="MV397" s="242">
        <f t="shared" ref="MV397:MV426" si="2845">MV396+MR397-MT397</f>
        <v>1625</v>
      </c>
      <c r="MW397" s="56"/>
      <c r="MZ397" s="55">
        <f t="shared" ref="MZ397:MZ426" si="2846">MQ397</f>
        <v>46358</v>
      </c>
      <c r="NA397" s="56"/>
      <c r="NB397" s="242">
        <f>SUMPRODUCT(PRODUCE!$B390:$DY390,PRODUCE!$EB$47:$IY$47)</f>
        <v>0</v>
      </c>
      <c r="NC397" s="56"/>
      <c r="ND397" s="242">
        <f t="shared" ref="ND397:ND426" si="2847">NB397-NC397</f>
        <v>0</v>
      </c>
      <c r="NE397" s="242">
        <f t="shared" ref="NE397:NE426" si="2848">NE396+NA397-NC397</f>
        <v>0</v>
      </c>
      <c r="NF397" s="56"/>
      <c r="NI397" s="55">
        <f t="shared" ref="NI397:NI426" si="2849">MZ397</f>
        <v>46358</v>
      </c>
      <c r="NJ397" s="56"/>
      <c r="NK397" s="242">
        <f>SUMPRODUCT(PRODUCE!$B390:$DY390,PRODUCE!$EB$48:$IY$48)</f>
        <v>0</v>
      </c>
      <c r="NL397" s="56"/>
      <c r="NM397" s="242">
        <f t="shared" ref="NM397:NM426" si="2850">NK397-NL397</f>
        <v>0</v>
      </c>
      <c r="NN397" s="242">
        <f t="shared" ref="NN397:NN426" si="2851">NN396+NJ397-NL397</f>
        <v>1127</v>
      </c>
      <c r="NO397" s="56"/>
      <c r="NR397" s="55">
        <f t="shared" ref="NR397:NR426" si="2852">MZ397</f>
        <v>46358</v>
      </c>
      <c r="NS397" s="56"/>
      <c r="NT397" s="242">
        <f>SUMPRODUCT(PRODUCE!$B390:$DY390,PRODUCE!$EB$49:$IY$49)</f>
        <v>0</v>
      </c>
      <c r="NU397" s="56"/>
      <c r="NV397" s="242">
        <f t="shared" ref="NV397:NV426" si="2853">NT397-NU397</f>
        <v>0</v>
      </c>
      <c r="NW397" s="242">
        <f t="shared" ref="NW397:NW426" si="2854">NW396+NS397-NU397</f>
        <v>3111.9999999999995</v>
      </c>
      <c r="NX397" s="56"/>
      <c r="OA397" s="55">
        <f t="shared" ref="OA397:OA426" si="2855">NR397</f>
        <v>46358</v>
      </c>
      <c r="OB397" s="56"/>
      <c r="OC397" s="242">
        <f>SUMPRODUCT(PRODUCE!$B390:$DY390,PRODUCE!$EB$50:$IY$50)</f>
        <v>0</v>
      </c>
      <c r="OD397" s="56"/>
      <c r="OE397" s="242">
        <f t="shared" ref="OE397:OE426" si="2856">OC397-OD397</f>
        <v>0</v>
      </c>
      <c r="OF397" s="242">
        <f t="shared" ref="OF397:OF426" si="2857">OF396+OB397-OD397</f>
        <v>1680.5</v>
      </c>
      <c r="OG397" s="56"/>
      <c r="OJ397" s="55">
        <f t="shared" ref="OJ397:OJ426" si="2858">OA397</f>
        <v>46358</v>
      </c>
      <c r="OK397" s="56"/>
      <c r="OL397" s="242">
        <f>SUMPRODUCT(PRODUCE!$B390:$DY390,PRODUCE!$EB$51:$IY$51)</f>
        <v>0</v>
      </c>
      <c r="OM397" s="56"/>
      <c r="ON397" s="242">
        <f t="shared" ref="ON397:ON426" si="2859">OL397-OM397</f>
        <v>0</v>
      </c>
      <c r="OO397" s="242">
        <f t="shared" ref="OO397:OO426" si="2860">OO396+OK397-OM397</f>
        <v>0</v>
      </c>
      <c r="OP397" s="56"/>
      <c r="OS397" s="55">
        <f t="shared" ref="OS397:OS426" si="2861">OJ397</f>
        <v>46358</v>
      </c>
      <c r="OT397" s="56"/>
      <c r="OU397" s="242">
        <f>SUMPRODUCT(PRODUCE!$B390:$DY390,PRODUCE!$EB$52:$IY$52)</f>
        <v>0</v>
      </c>
      <c r="OV397" s="56"/>
      <c r="OW397" s="242">
        <f t="shared" ref="OW397:OW426" si="2862">OU397-OV397</f>
        <v>0</v>
      </c>
      <c r="OX397" s="242">
        <f t="shared" ref="OX397:OX426" si="2863">OX396+OT397-OV397</f>
        <v>1482</v>
      </c>
      <c r="OY397" s="56"/>
      <c r="PB397" s="55">
        <f t="shared" ref="PB397:PB426" si="2864">OS397</f>
        <v>46358</v>
      </c>
      <c r="PC397" s="56"/>
      <c r="PD397" s="242">
        <f>SUMPRODUCT(PRODUCE!$B390:$DY390,PRODUCE!$EB$53:$IY$53)</f>
        <v>0</v>
      </c>
      <c r="PE397" s="56"/>
      <c r="PF397" s="242">
        <f t="shared" ref="PF397:PF426" si="2865">PD397-PE397</f>
        <v>0</v>
      </c>
      <c r="PG397" s="242">
        <f t="shared" ref="PG397:PG426" si="2866">PG396+PC397-PE397</f>
        <v>0</v>
      </c>
      <c r="PH397" s="56"/>
      <c r="PK397" s="55">
        <f t="shared" ref="PK397:PK426" si="2867">PB397</f>
        <v>46358</v>
      </c>
      <c r="PL397" s="56"/>
      <c r="PM397" s="242">
        <f>SUMPRODUCT(PRODUCE!$B390:$DY390,PRODUCE!$EB$54:$IY$54)</f>
        <v>0</v>
      </c>
      <c r="PN397" s="56"/>
      <c r="PO397" s="242">
        <f t="shared" ref="PO397:PO426" si="2868">PM397-PN397</f>
        <v>0</v>
      </c>
      <c r="PP397" s="242">
        <f t="shared" ref="PP397:PP426" si="2869">PP396+PL397-PN397</f>
        <v>100</v>
      </c>
      <c r="PQ397" s="56"/>
      <c r="PT397" s="55">
        <f t="shared" ref="PT397:PT426" si="2870">PK397</f>
        <v>46358</v>
      </c>
      <c r="PU397" s="56"/>
      <c r="PV397" s="242">
        <f>SUMPRODUCT(PRODUCE!$B390:$DY390,PRODUCE!$EB$55:$IY$55)</f>
        <v>0</v>
      </c>
      <c r="PW397" s="56"/>
      <c r="PX397" s="242">
        <f t="shared" ref="PX397:PX426" si="2871">PV397-PW397</f>
        <v>0</v>
      </c>
      <c r="PY397" s="242">
        <f t="shared" ref="PY397:PY426" si="2872">PY396+PU397-PW397</f>
        <v>13.960000000000036</v>
      </c>
      <c r="PZ397" s="56"/>
      <c r="QC397" s="55">
        <f t="shared" ref="QC397:QC426" si="2873">PT397</f>
        <v>46358</v>
      </c>
      <c r="QD397" s="56"/>
      <c r="QE397" s="242">
        <f>SUMPRODUCT(PRODUCE!$B390:$DY390,PRODUCE!$EB$56:$IY$56)</f>
        <v>0</v>
      </c>
      <c r="QF397" s="56"/>
      <c r="QG397" s="242">
        <f t="shared" ref="QG397:QG426" si="2874">QE397-QF397</f>
        <v>0</v>
      </c>
      <c r="QH397" s="242">
        <f t="shared" ref="QH397:QH426" si="2875">QH396+QD397-QF397</f>
        <v>548</v>
      </c>
      <c r="QI397" s="56"/>
      <c r="QL397" s="55">
        <f t="shared" ref="QL397:QL426" si="2876">QC397</f>
        <v>46358</v>
      </c>
      <c r="QM397" s="56"/>
      <c r="QN397" s="242">
        <f>SUMPRODUCT(PRODUCE!$B390:$DY390,PRODUCE!$EB$57:$IY$57)</f>
        <v>0</v>
      </c>
      <c r="QO397" s="56"/>
      <c r="QP397" s="242">
        <f t="shared" ref="QP397:QP426" si="2877">QN397-QO397</f>
        <v>0</v>
      </c>
      <c r="QQ397" s="242">
        <f t="shared" ref="QQ397:QQ426" si="2878">QQ396+QM397-QO397</f>
        <v>0</v>
      </c>
      <c r="QR397" s="56"/>
      <c r="QU397" s="55">
        <f t="shared" ref="QU397:QU426" si="2879">QL397</f>
        <v>46358</v>
      </c>
      <c r="QV397" s="56"/>
      <c r="QW397" s="242">
        <f>SUMPRODUCT(PRODUCE!$B390:$DY390,PRODUCE!$EB$57:$IY$57)</f>
        <v>0</v>
      </c>
      <c r="QX397" s="56"/>
      <c r="QY397" s="242">
        <f t="shared" ref="QY397:QY426" si="2880">QW397-QX397</f>
        <v>0</v>
      </c>
      <c r="QZ397" s="242">
        <f t="shared" ref="QZ397:QZ426" si="2881">QZ396+QV397-QX397</f>
        <v>0</v>
      </c>
      <c r="RA397" s="56"/>
      <c r="RD397" s="55">
        <f t="shared" ref="RD397:RD426" si="2882">QU397</f>
        <v>46358</v>
      </c>
      <c r="RE397" s="56"/>
      <c r="RF397" s="242">
        <f>SUMPRODUCT(PRODUCE!$B390:$DY390,PRODUCE!$EB$58:$IY$58)</f>
        <v>0</v>
      </c>
      <c r="RG397" s="56"/>
      <c r="RH397" s="242">
        <f t="shared" ref="RH397:RH426" si="2883">RF397-RG397</f>
        <v>0</v>
      </c>
      <c r="RI397" s="242">
        <f t="shared" ref="RI397:RI426" si="2884">RI396+RE397-RG397</f>
        <v>147.04000000000002</v>
      </c>
      <c r="RJ397" s="56"/>
      <c r="RM397" s="55">
        <f t="shared" ref="RM397:RM426" si="2885">RD397</f>
        <v>46358</v>
      </c>
      <c r="RN397" s="56"/>
      <c r="RO397" s="242">
        <f>SUMPRODUCT(PRODUCE!$B390:$DY390,PRODUCE!$EB$57:$IY$57)</f>
        <v>0</v>
      </c>
      <c r="RP397" s="56"/>
      <c r="RQ397" s="242">
        <f t="shared" ref="RQ397:RQ426" si="2886">RO397-RP397</f>
        <v>0</v>
      </c>
      <c r="RR397" s="242">
        <f t="shared" ref="RR397:RR426" si="2887">RR396+RN397-RP397</f>
        <v>46.8</v>
      </c>
      <c r="RS397" s="56"/>
      <c r="RV397" s="55">
        <f t="shared" ref="RV397:RV426" si="2888">RM397</f>
        <v>46358</v>
      </c>
      <c r="RW397" s="56"/>
      <c r="RX397" s="242">
        <f>SUMPRODUCT(PRODUCE!$B390:$DY390,PRODUCE!$EB$57:$IY$57)</f>
        <v>0</v>
      </c>
      <c r="RY397" s="56"/>
      <c r="RZ397" s="242">
        <f t="shared" ref="RZ397:RZ426" si="2889">RX397-RY397</f>
        <v>0</v>
      </c>
      <c r="SA397" s="242">
        <f t="shared" ref="SA397:SA426" si="2890">SA396+RW397-RY397</f>
        <v>0</v>
      </c>
      <c r="SB397" s="56"/>
      <c r="SE397" s="55">
        <f t="shared" ref="SE397:SE426" si="2891">RV397</f>
        <v>46358</v>
      </c>
      <c r="SF397" s="56"/>
      <c r="SG397" s="242">
        <f>SUMPRODUCT(PRODUCE!$B390:$DY390,PRODUCE!$EB$61:$IY$61)</f>
        <v>0</v>
      </c>
      <c r="SH397" s="56"/>
      <c r="SI397" s="242">
        <f t="shared" ref="SI397:SI426" si="2892">SG397-SH397</f>
        <v>0</v>
      </c>
      <c r="SJ397" s="242">
        <f t="shared" ref="SJ397:SJ426" si="2893">SJ396+SF397-SH397</f>
        <v>24.200000000000003</v>
      </c>
      <c r="SK397" s="56"/>
      <c r="SN397" s="55">
        <f t="shared" ref="SN397:SN426" si="2894">SE397</f>
        <v>46358</v>
      </c>
      <c r="SO397" s="56"/>
      <c r="SP397" s="242">
        <f>SUMPRODUCT(PRODUCE!$B390:$DY390,PRODUCE!$EB$57:$IY$57)</f>
        <v>0</v>
      </c>
      <c r="SQ397" s="56"/>
      <c r="SR397" s="242">
        <f t="shared" ref="SR397:SR426" si="2895">SP397-SQ397</f>
        <v>0</v>
      </c>
      <c r="SS397" s="242">
        <f t="shared" ref="SS397:SS426" si="2896">SS396+SO397-SQ397</f>
        <v>32</v>
      </c>
      <c r="ST397" s="56"/>
      <c r="SW397" s="55">
        <f t="shared" ref="SW397:SW426" si="2897">SN397</f>
        <v>46358</v>
      </c>
      <c r="SX397" s="56"/>
      <c r="SY397" s="242">
        <f>SUMPRODUCT(PRODUCE!$B390:$DY390,PRODUCE!$EB$57:$IY$57)</f>
        <v>0</v>
      </c>
      <c r="SZ397" s="56"/>
      <c r="TA397" s="242">
        <f t="shared" ref="TA397:TA426" si="2898">SY397-SZ397</f>
        <v>0</v>
      </c>
      <c r="TB397" s="242">
        <f t="shared" ref="TB397:TB426" si="2899">TB396+SX397-SZ397</f>
        <v>0</v>
      </c>
      <c r="TC397" s="56"/>
      <c r="TF397" s="55">
        <f t="shared" ref="TF397:TF426" si="2900">SW397</f>
        <v>46358</v>
      </c>
      <c r="TG397" s="56"/>
      <c r="TH397" s="242">
        <f>SUMPRODUCT(PRODUCE!$B390:$DY390,PRODUCE!$EB$57:$IY$57)</f>
        <v>0</v>
      </c>
      <c r="TI397" s="56"/>
      <c r="TJ397" s="242">
        <f t="shared" ref="TJ397:TJ426" si="2901">TH397-TI397</f>
        <v>0</v>
      </c>
      <c r="TK397" s="242">
        <f t="shared" ref="TK397:TK426" si="2902">TK396+TG397-TI397</f>
        <v>0</v>
      </c>
      <c r="TL397" s="56"/>
      <c r="TO397" s="55">
        <f t="shared" ref="TO397:TO426" si="2903">TF397</f>
        <v>46358</v>
      </c>
      <c r="TP397" s="56"/>
      <c r="TQ397" s="242">
        <f>SUMPRODUCT(PRODUCE!$B390:$DY390,PRODUCE!$EB$57:$IY$57)</f>
        <v>0</v>
      </c>
      <c r="TR397" s="56"/>
      <c r="TS397" s="242">
        <f t="shared" ref="TS397:TS426" si="2904">TQ397-TR397</f>
        <v>0</v>
      </c>
      <c r="TT397" s="242">
        <f t="shared" ref="TT397:TT426" si="2905">TT396+TP397-TR397</f>
        <v>0</v>
      </c>
      <c r="TU397" s="56"/>
      <c r="TX397" s="55">
        <f t="shared" ref="TX397:TX426" si="2906">TO397</f>
        <v>46358</v>
      </c>
      <c r="TY397" s="56"/>
      <c r="TZ397" s="242">
        <f>SUMPRODUCT(PRODUCE!$B390:$DY390,PRODUCE!$EB$57:$IY$57)</f>
        <v>0</v>
      </c>
      <c r="UA397" s="56"/>
      <c r="UB397" s="242">
        <f t="shared" ref="UB397:UB426" si="2907">TZ397-UA397</f>
        <v>0</v>
      </c>
      <c r="UC397" s="242">
        <f t="shared" ref="UC397:UC426" si="2908">UC396+TY397-UA397</f>
        <v>46.799999999999983</v>
      </c>
      <c r="UD397" s="56"/>
      <c r="UG397" s="55">
        <f t="shared" ref="UG397:UG426" si="2909">TX397</f>
        <v>46358</v>
      </c>
      <c r="UH397" s="56"/>
      <c r="UI397" s="242">
        <f>SUMPRODUCT(PRODUCE!$B390:$DY390,PRODUCE!$EB$57:$IY$57)</f>
        <v>0</v>
      </c>
      <c r="UJ397" s="56"/>
      <c r="UK397" s="242">
        <f t="shared" ref="UK397:UK426" si="2910">UI397-UJ397</f>
        <v>0</v>
      </c>
      <c r="UL397" s="242">
        <f t="shared" ref="UL397:UL426" si="2911">UL396+UH397-UJ397</f>
        <v>204</v>
      </c>
      <c r="UM397" s="56"/>
      <c r="UP397" s="55">
        <f t="shared" ref="UP397:UP426" si="2912">UG397</f>
        <v>46358</v>
      </c>
      <c r="UQ397" s="56"/>
      <c r="UR397" s="242">
        <f>SUMPRODUCT(PRODUCE!$B390:$DY390,PRODUCE!$EB$57:$IY$57)</f>
        <v>0</v>
      </c>
      <c r="US397" s="56"/>
      <c r="UT397" s="242">
        <f t="shared" ref="UT397:UT426" si="2913">UR397-US397</f>
        <v>0</v>
      </c>
      <c r="UU397" s="242">
        <f t="shared" ref="UU397:UU426" si="2914">UU396+UQ397-US397</f>
        <v>202.5</v>
      </c>
      <c r="UV397" s="56"/>
      <c r="UY397" s="55">
        <f t="shared" ref="UY397:UY426" si="2915">UP397</f>
        <v>46358</v>
      </c>
      <c r="UZ397" s="56"/>
      <c r="VA397" s="242">
        <f>SUMPRODUCT(PRODUCE!$B390:$DY390,PRODUCE!$EB$57:$IY$57)</f>
        <v>0</v>
      </c>
      <c r="VB397" s="56"/>
      <c r="VC397" s="242">
        <f t="shared" ref="VC397:VC426" si="2916">VA397-VB397</f>
        <v>0</v>
      </c>
      <c r="VD397" s="242">
        <f t="shared" ref="VD397:VD426" si="2917">VD396+UZ397-VB397</f>
        <v>41.600000000000023</v>
      </c>
      <c r="VE397" s="56"/>
      <c r="VH397" s="55">
        <f t="shared" ref="VH397:VH426" si="2918">UY397</f>
        <v>46358</v>
      </c>
      <c r="VI397" s="56"/>
      <c r="VJ397" s="242">
        <f>SUMPRODUCT(PRODUCE!$B390:$DY390,PRODUCE!$EB$57:$IY$57)</f>
        <v>0</v>
      </c>
      <c r="VK397" s="56"/>
      <c r="VL397" s="242">
        <f t="shared" ref="VL397:VL426" si="2919">VJ397-VK397</f>
        <v>0</v>
      </c>
      <c r="VM397" s="242">
        <f t="shared" ref="VM397:VM426" si="2920">VM396+VI397-VK397</f>
        <v>210</v>
      </c>
      <c r="VN397" s="56"/>
      <c r="VQ397" s="55">
        <f t="shared" ref="VQ397:VQ426" si="2921">VH397</f>
        <v>46358</v>
      </c>
      <c r="VR397" s="56"/>
      <c r="VS397" s="242">
        <f>SUMPRODUCT(PRODUCE!$B390:$DY390,PRODUCE!$EB$57:$IY$57)</f>
        <v>0</v>
      </c>
      <c r="VT397" s="56"/>
      <c r="VU397" s="242">
        <f t="shared" ref="VU397:VU426" si="2922">VS397-VT397</f>
        <v>0</v>
      </c>
      <c r="VV397" s="242">
        <f t="shared" ref="VV397:VV426" si="2923">VV396+VR397-VT397</f>
        <v>0</v>
      </c>
      <c r="VW397" s="56"/>
      <c r="VZ397" s="55">
        <f t="shared" ref="VZ397:VZ426" si="2924">VQ397</f>
        <v>46358</v>
      </c>
      <c r="WA397" s="56"/>
      <c r="WB397" s="242">
        <f>SUMPRODUCT(PRODUCE!$B390:$DY390,PRODUCE!$EB$57:$IY$57)</f>
        <v>0</v>
      </c>
      <c r="WC397" s="56"/>
      <c r="WD397" s="242">
        <f t="shared" ref="WD397:WD426" si="2925">WB397-WC397</f>
        <v>0</v>
      </c>
      <c r="WE397" s="242">
        <f t="shared" ref="WE397:WE426" si="2926">WE396+WA397-WC397</f>
        <v>0</v>
      </c>
      <c r="WF397" s="56"/>
      <c r="WI397" s="55">
        <f t="shared" ref="WI397:WI426" si="2927">VZ397</f>
        <v>46358</v>
      </c>
      <c r="WJ397" s="56"/>
      <c r="WK397" s="242">
        <f>SUMPRODUCT(PRODUCE!$B390:$DY390,PRODUCE!$EB$57:$IY$57)</f>
        <v>0</v>
      </c>
      <c r="WL397" s="56"/>
      <c r="WM397" s="242">
        <f t="shared" ref="WM397:WM426" si="2928">WK397-WL397</f>
        <v>0</v>
      </c>
      <c r="WN397" s="242">
        <f t="shared" ref="WN397:WN426" si="2929">WN396+WJ397-WL397</f>
        <v>1057</v>
      </c>
      <c r="WO397" s="56"/>
      <c r="WR397" s="55">
        <f t="shared" ref="WR397:WR426" si="2930">WI397</f>
        <v>46358</v>
      </c>
      <c r="WS397" s="56"/>
      <c r="WT397" s="242">
        <f>SUMPRODUCT(PRODUCE!$B390:$DY390,PRODUCE!$EB$57:$IY$57)</f>
        <v>0</v>
      </c>
      <c r="WU397" s="56"/>
      <c r="WV397" s="242">
        <f t="shared" ref="WV397:WV426" si="2931">WT397-WU397</f>
        <v>0</v>
      </c>
      <c r="WW397" s="242">
        <f t="shared" ref="WW397:WW426" si="2932">WW396+WS397-WU397</f>
        <v>0</v>
      </c>
      <c r="WX397" s="56"/>
      <c r="XA397" s="55">
        <f t="shared" ref="XA397:XA426" si="2933">WR397</f>
        <v>46358</v>
      </c>
      <c r="XB397" s="56"/>
      <c r="XC397" s="242">
        <f>SUMPRODUCT(PRODUCE!$B390:$DY390,PRODUCE!$EB$57:$IY$57)</f>
        <v>0</v>
      </c>
      <c r="XD397" s="56"/>
      <c r="XE397" s="242">
        <f t="shared" ref="XE397:XE426" si="2934">XC397-XD397</f>
        <v>0</v>
      </c>
      <c r="XF397" s="242">
        <f t="shared" ref="XF397:XF426" si="2935">XF396+XB397-XD397</f>
        <v>7507</v>
      </c>
      <c r="XG397" s="56"/>
      <c r="XJ397" s="55">
        <f t="shared" ref="XJ397:XJ426" si="2936">XA397</f>
        <v>46358</v>
      </c>
      <c r="XK397" s="56"/>
      <c r="XL397" s="242">
        <f>SUMPRODUCT(PRODUCE!$B390:$DY390,PRODUCE!$EB$57:$IY$57)</f>
        <v>0</v>
      </c>
      <c r="XM397" s="56"/>
      <c r="XN397" s="242">
        <f t="shared" ref="XN397:XN426" si="2937">XL397-XM397</f>
        <v>0</v>
      </c>
      <c r="XO397" s="242">
        <f t="shared" ref="XO397:XO426" si="2938">XO396+XK397-XM397</f>
        <v>4252</v>
      </c>
      <c r="XP397" s="56"/>
      <c r="XS397" s="55">
        <f t="shared" ref="XS397:XS426" si="2939">XJ397</f>
        <v>46358</v>
      </c>
      <c r="XT397" s="56"/>
      <c r="XU397" s="242">
        <f>SUMPRODUCT(PRODUCE!$B390:$DY390,PRODUCE!$EB$57:$IY$57)</f>
        <v>0</v>
      </c>
      <c r="XV397" s="56"/>
      <c r="XW397" s="242">
        <f t="shared" ref="XW397:XW426" si="2940">XU397-XV397</f>
        <v>0</v>
      </c>
      <c r="XX397" s="242">
        <f t="shared" ref="XX397:XX426" si="2941">XX396+XT397-XV397</f>
        <v>2179</v>
      </c>
      <c r="XY397" s="56"/>
      <c r="YB397" s="55">
        <f t="shared" ref="YB397:YB426" si="2942">XS397</f>
        <v>46358</v>
      </c>
      <c r="YC397" s="56"/>
      <c r="YD397" s="242">
        <f>SUMPRODUCT(PRODUCE!$B390:$DY390,PRODUCE!$EB$57:$IY$57)</f>
        <v>0</v>
      </c>
      <c r="YE397" s="56"/>
      <c r="YF397" s="242">
        <f t="shared" ref="YF397:YF426" si="2943">YD397-YE397</f>
        <v>0</v>
      </c>
      <c r="YG397" s="242">
        <f t="shared" ref="YG397:YG426" si="2944">YG396+YC397-YE397</f>
        <v>4019</v>
      </c>
      <c r="YH397" s="56"/>
      <c r="YK397" s="55">
        <f t="shared" ref="YK397:YK426" si="2945">YB397</f>
        <v>46358</v>
      </c>
      <c r="YL397" s="56"/>
      <c r="YM397" s="242">
        <f>SUMPRODUCT(PRODUCE!$B390:$DY390,PRODUCE!$EB$57:$IY$57)</f>
        <v>0</v>
      </c>
      <c r="YN397" s="56"/>
      <c r="YO397" s="242">
        <f t="shared" ref="YO397:YO426" si="2946">YM397-YN397</f>
        <v>0</v>
      </c>
      <c r="YP397" s="242">
        <f t="shared" ref="YP397:YP426" si="2947">YP396+YL397-YN397</f>
        <v>-218</v>
      </c>
      <c r="YQ397" s="56"/>
      <c r="YT397" s="55">
        <f t="shared" ref="YT397:YT426" si="2948">YK397</f>
        <v>46358</v>
      </c>
      <c r="YU397" s="56"/>
      <c r="YV397" s="242">
        <f>SUMPRODUCT(PRODUCE!$B390:$DY390,PRODUCE!$EB$57:$IY$57)</f>
        <v>0</v>
      </c>
      <c r="YW397" s="56"/>
      <c r="YX397" s="242">
        <f t="shared" ref="YX397:YX426" si="2949">YV397-YW397</f>
        <v>0</v>
      </c>
      <c r="YY397" s="242">
        <f t="shared" ref="YY397:YY426" si="2950">YY396+YU397-YW397</f>
        <v>0</v>
      </c>
      <c r="YZ397" s="56"/>
      <c r="ZC397" s="55">
        <f t="shared" ref="ZC397:ZC426" si="2951">YT397</f>
        <v>46358</v>
      </c>
      <c r="ZD397" s="56"/>
      <c r="ZE397" s="242">
        <f>SUMPRODUCT(PRODUCE!$B390:$DY390,PRODUCE!$EB$57:$IY$57)</f>
        <v>0</v>
      </c>
      <c r="ZF397" s="56"/>
      <c r="ZG397" s="242">
        <f t="shared" ref="ZG397:ZG426" si="2952">ZE397-ZF397</f>
        <v>0</v>
      </c>
      <c r="ZH397" s="242">
        <f t="shared" ref="ZH397:ZH426" si="2953">ZH396+ZD397-ZF397</f>
        <v>0</v>
      </c>
      <c r="ZI397" s="56"/>
      <c r="ZL397" s="55">
        <f t="shared" ref="ZL397:ZL426" si="2954">ZC397</f>
        <v>46358</v>
      </c>
      <c r="ZM397" s="56"/>
      <c r="ZN397" s="242">
        <f>SUMPRODUCT(PRODUCE!$B390:$DY390,PRODUCE!$EB$57:$IY$57)</f>
        <v>0</v>
      </c>
      <c r="ZO397" s="56"/>
      <c r="ZP397" s="242">
        <f t="shared" ref="ZP397:ZP426" si="2955">ZN397-ZO397</f>
        <v>0</v>
      </c>
      <c r="ZQ397" s="242">
        <f t="shared" ref="ZQ397:ZQ426" si="2956">ZQ396+ZM397-ZO397</f>
        <v>0</v>
      </c>
      <c r="ZR397" s="56"/>
      <c r="ZU397" s="55">
        <f t="shared" ref="ZU397:ZU426" si="2957">ZL397</f>
        <v>46358</v>
      </c>
      <c r="ZV397" s="56"/>
      <c r="ZW397" s="242">
        <f>SUMPRODUCT(PRODUCE!$B390:$DY390,PRODUCE!$EB$57:$IY$57)</f>
        <v>0</v>
      </c>
      <c r="ZX397" s="56"/>
      <c r="ZY397" s="242">
        <f t="shared" ref="ZY397:ZY426" si="2958">ZW397-ZX397</f>
        <v>0</v>
      </c>
      <c r="ZZ397" s="242">
        <f t="shared" ref="ZZ397:ZZ426" si="2959">ZZ396+ZV397-ZX397</f>
        <v>0</v>
      </c>
      <c r="AAA397" s="56"/>
      <c r="AAD397" s="55">
        <f t="shared" ref="AAD397:AAD426" si="2960">ZU397</f>
        <v>46358</v>
      </c>
      <c r="AAE397" s="56"/>
      <c r="AAF397" s="242">
        <f>SUMPRODUCT(PRODUCE!$B390:$DY390,PRODUCE!$EB$57:$IY$57)</f>
        <v>0</v>
      </c>
      <c r="AAG397" s="56"/>
      <c r="AAH397" s="242">
        <f t="shared" ref="AAH397:AAH426" si="2961">AAF397-AAG397</f>
        <v>0</v>
      </c>
      <c r="AAI397" s="242">
        <f t="shared" ref="AAI397:AAI426" si="2962">AAI396+AAE397-AAG397</f>
        <v>0</v>
      </c>
      <c r="AAJ397" s="56"/>
      <c r="AAM397" s="55">
        <f t="shared" ref="AAM397:AAM426" si="2963">AAD397</f>
        <v>46358</v>
      </c>
      <c r="AAN397" s="56"/>
      <c r="AAO397" s="242">
        <f>SUMPRODUCT(PRODUCE!$B390:$DY390,PRODUCE!$EB$57:$IY$57)</f>
        <v>0</v>
      </c>
      <c r="AAP397" s="56"/>
      <c r="AAQ397" s="242">
        <f t="shared" ref="AAQ397:AAQ426" si="2964">AAO397-AAP397</f>
        <v>0</v>
      </c>
      <c r="AAR397" s="242">
        <f t="shared" ref="AAR397:AAR426" si="2965">AAR396+AAN397-AAP397</f>
        <v>0</v>
      </c>
      <c r="AAS397" s="56"/>
      <c r="AAV397" s="55">
        <f t="shared" ref="AAV397:AAV426" si="2966">AAM397</f>
        <v>46358</v>
      </c>
      <c r="AAW397" s="56"/>
      <c r="AAX397" s="242">
        <f>SUMPRODUCT(PRODUCE!$B390:$DY390,PRODUCE!$EB$57:$IY$57)</f>
        <v>0</v>
      </c>
      <c r="AAY397" s="56"/>
      <c r="AAZ397" s="242">
        <f t="shared" ref="AAZ397:AAZ426" si="2967">AAX397-AAY397</f>
        <v>0</v>
      </c>
      <c r="ABA397" s="242">
        <f t="shared" ref="ABA397:ABA426" si="2968">ABA396+AAW397-AAY397</f>
        <v>0</v>
      </c>
      <c r="ABB397" s="56"/>
      <c r="ABE397" s="55">
        <f t="shared" ref="ABE397:ABE426" si="2969">AAV397</f>
        <v>46358</v>
      </c>
      <c r="ABF397" s="56"/>
      <c r="ABG397" s="242">
        <f>SUMPRODUCT(PRODUCE!$B390:$DY390,PRODUCE!$EB$57:$IY$57)</f>
        <v>0</v>
      </c>
      <c r="ABH397" s="56"/>
      <c r="ABI397" s="242">
        <f t="shared" ref="ABI397:ABI426" si="2970">ABG397-ABH397</f>
        <v>0</v>
      </c>
      <c r="ABJ397" s="242">
        <f t="shared" ref="ABJ397:ABJ426" si="2971">ABJ396+ABF397-ABH397</f>
        <v>0</v>
      </c>
      <c r="ABK397" s="56"/>
    </row>
    <row r="398" spans="1:739" s="54" customFormat="1" ht="15" customHeight="1" outlineLevel="1">
      <c r="B398" s="478"/>
      <c r="C398" s="55">
        <v>46359</v>
      </c>
      <c r="D398" s="56"/>
      <c r="E398" s="57">
        <f>SUMPRODUCT(PRODUCE!$B391:$DY391,PRODUCE!$EB$7:$IY$7)</f>
        <v>0</v>
      </c>
      <c r="F398" s="56"/>
      <c r="G398" s="57">
        <f t="shared" si="2727"/>
        <v>0</v>
      </c>
      <c r="H398" s="57">
        <f t="shared" si="2728"/>
        <v>236936.6</v>
      </c>
      <c r="I398" s="289"/>
      <c r="L398" s="55">
        <f t="shared" si="2729"/>
        <v>46359</v>
      </c>
      <c r="M398" s="56"/>
      <c r="N398" s="59">
        <f>SUMPRODUCT(PRODUCE!$B391:$DY391,PRODUCE!$EB$8:$IY$8)</f>
        <v>0</v>
      </c>
      <c r="O398" s="56"/>
      <c r="P398" s="59">
        <f t="shared" si="2730"/>
        <v>0</v>
      </c>
      <c r="Q398" s="59">
        <f t="shared" si="2731"/>
        <v>53017.600000000071</v>
      </c>
      <c r="R398" s="56"/>
      <c r="U398" s="55">
        <f t="shared" si="2732"/>
        <v>46359</v>
      </c>
      <c r="V398" s="56"/>
      <c r="W398" s="60">
        <f>SUMPRODUCT(PRODUCE!$B391:$DY391,PRODUCE!$EB$9:$IY$9)</f>
        <v>0</v>
      </c>
      <c r="X398" s="56"/>
      <c r="Y398" s="60">
        <f t="shared" si="2733"/>
        <v>0</v>
      </c>
      <c r="Z398" s="60">
        <f t="shared" si="2734"/>
        <v>42674.199999999968</v>
      </c>
      <c r="AA398" s="56"/>
      <c r="AD398" s="55">
        <f t="shared" si="2735"/>
        <v>46359</v>
      </c>
      <c r="AE398" s="56"/>
      <c r="AF398" s="61">
        <f>SUMPRODUCT(PRODUCE!$B391:$DY391,PRODUCE!$EB$10:$IY$10)</f>
        <v>0</v>
      </c>
      <c r="AG398" s="56"/>
      <c r="AH398" s="61">
        <f t="shared" si="2736"/>
        <v>0</v>
      </c>
      <c r="AI398" s="61">
        <f t="shared" si="2737"/>
        <v>4522.2000000000189</v>
      </c>
      <c r="AJ398" s="56"/>
      <c r="AM398" s="55">
        <f t="shared" si="2738"/>
        <v>46359</v>
      </c>
      <c r="AN398" s="422"/>
      <c r="AO398" s="444">
        <f>SUMPRODUCT(PRODUCE!$B391:$DY391,PRODUCE!$EB$11:$IY$11)</f>
        <v>0</v>
      </c>
      <c r="AP398" s="422"/>
      <c r="AQ398" s="444">
        <f t="shared" si="2739"/>
        <v>0</v>
      </c>
      <c r="AR398" s="444">
        <f t="shared" si="2740"/>
        <v>0</v>
      </c>
      <c r="AS398" s="56"/>
      <c r="AV398" s="55">
        <f t="shared" si="2741"/>
        <v>46359</v>
      </c>
      <c r="AW398" s="56"/>
      <c r="AX398" s="62">
        <f>SUMPRODUCT(PRODUCE!$B391:$DY391,PRODUCE!$EB$12:$IY$12)</f>
        <v>0</v>
      </c>
      <c r="AY398" s="56"/>
      <c r="AZ398" s="62">
        <f t="shared" si="2742"/>
        <v>0</v>
      </c>
      <c r="BA398" s="62">
        <f t="shared" si="2743"/>
        <v>124.99999999999523</v>
      </c>
      <c r="BB398" s="56"/>
      <c r="BE398" s="55">
        <f t="shared" si="2744"/>
        <v>46359</v>
      </c>
      <c r="BF398" s="56"/>
      <c r="BG398" s="63">
        <f>SUMPRODUCT(PRODUCE!$B391:$DY391,PRODUCE!$EB$13:$IY$13)</f>
        <v>0</v>
      </c>
      <c r="BH398" s="56"/>
      <c r="BI398" s="63">
        <f t="shared" si="2745"/>
        <v>0</v>
      </c>
      <c r="BJ398" s="63">
        <f t="shared" si="2746"/>
        <v>26151.899999999998</v>
      </c>
      <c r="BK398" s="56"/>
      <c r="BN398" s="55">
        <f t="shared" si="2747"/>
        <v>46359</v>
      </c>
      <c r="BO398" s="56"/>
      <c r="BP398" s="64">
        <f>SUMPRODUCT(PRODUCE!$B391:$DY391,PRODUCE!$EB$14:$IY$14)</f>
        <v>0</v>
      </c>
      <c r="BQ398" s="56"/>
      <c r="BR398" s="64">
        <f t="shared" si="2748"/>
        <v>0</v>
      </c>
      <c r="BS398" s="64">
        <f t="shared" si="2749"/>
        <v>0</v>
      </c>
      <c r="BT398" s="56"/>
      <c r="BW398" s="55">
        <f t="shared" si="2750"/>
        <v>46359</v>
      </c>
      <c r="BX398" s="56"/>
      <c r="BY398" s="65">
        <f>SUMPRODUCT(PRODUCE!$B391:$DY391,PRODUCE!$EB$15:$IY$15)</f>
        <v>0</v>
      </c>
      <c r="BZ398" s="56"/>
      <c r="CA398" s="65">
        <f t="shared" si="2751"/>
        <v>0</v>
      </c>
      <c r="CB398" s="65">
        <f t="shared" si="2752"/>
        <v>2097.3399999999992</v>
      </c>
      <c r="CC398" s="56"/>
      <c r="CF398" s="55">
        <f t="shared" si="2753"/>
        <v>46359</v>
      </c>
      <c r="CG398" s="56"/>
      <c r="CH398" s="66">
        <f>SUMPRODUCT(PRODUCE!$B391:$DY391,PRODUCE!$EB$16:$IY$16)</f>
        <v>0</v>
      </c>
      <c r="CI398" s="56"/>
      <c r="CJ398" s="66">
        <f t="shared" si="2754"/>
        <v>0</v>
      </c>
      <c r="CK398" s="66">
        <f t="shared" si="2755"/>
        <v>-10277.079999999998</v>
      </c>
      <c r="CL398" s="56"/>
      <c r="CO398" s="55">
        <f t="shared" si="2756"/>
        <v>46359</v>
      </c>
      <c r="CP398" s="422"/>
      <c r="CQ398" s="470">
        <f>SUMPRODUCT(PRODUCE!$B391:$DY391,PRODUCE!$EB$17:$IY$17)</f>
        <v>0</v>
      </c>
      <c r="CR398" s="422"/>
      <c r="CS398" s="470">
        <f t="shared" si="2757"/>
        <v>0</v>
      </c>
      <c r="CT398" s="470">
        <f t="shared" si="2758"/>
        <v>0</v>
      </c>
      <c r="CU398" s="56"/>
      <c r="CX398" s="55">
        <f t="shared" si="2759"/>
        <v>46359</v>
      </c>
      <c r="CY398" s="56"/>
      <c r="CZ398" s="133">
        <f>SUMPRODUCT(PRODUCE!$B391:$DY391,PRODUCE!$EB$18:$IY$18)</f>
        <v>0</v>
      </c>
      <c r="DA398" s="56"/>
      <c r="DB398" s="133">
        <f t="shared" si="2760"/>
        <v>0</v>
      </c>
      <c r="DC398" s="133">
        <f t="shared" si="2761"/>
        <v>27438.200000000012</v>
      </c>
      <c r="DD398" s="56"/>
      <c r="DG398" s="55">
        <f t="shared" si="2762"/>
        <v>46359</v>
      </c>
      <c r="DH398" s="56"/>
      <c r="DI398" s="147">
        <f>SUMPRODUCT(PRODUCE!$B391:$DY391,PRODUCE!$EB$19:$IY$19)</f>
        <v>0</v>
      </c>
      <c r="DJ398" s="56"/>
      <c r="DK398" s="147">
        <f t="shared" si="2763"/>
        <v>0</v>
      </c>
      <c r="DL398" s="147">
        <f t="shared" si="2764"/>
        <v>18782.299999999981</v>
      </c>
      <c r="DM398" s="56"/>
      <c r="DP398" s="55">
        <f t="shared" si="2765"/>
        <v>46359</v>
      </c>
      <c r="DQ398" s="56"/>
      <c r="DR398" s="57">
        <f>SUMPRODUCT(PRODUCE!$B391:$DY391,PRODUCE!$EB$20:$IY$20)</f>
        <v>0</v>
      </c>
      <c r="DS398" s="56"/>
      <c r="DT398" s="57">
        <f t="shared" si="2766"/>
        <v>0</v>
      </c>
      <c r="DU398" s="57">
        <f t="shared" si="2767"/>
        <v>5800</v>
      </c>
      <c r="DV398" s="56"/>
      <c r="DY398" s="55">
        <f t="shared" si="2768"/>
        <v>46359</v>
      </c>
      <c r="DZ398" s="56"/>
      <c r="EA398" s="157">
        <f>SUMPRODUCT(PRODUCE!$B391:$DY391,PRODUCE!$EB$21:$IY$21)</f>
        <v>0</v>
      </c>
      <c r="EB398" s="56"/>
      <c r="EC398" s="157">
        <f t="shared" si="2769"/>
        <v>0</v>
      </c>
      <c r="ED398" s="157">
        <f t="shared" si="2770"/>
        <v>0</v>
      </c>
      <c r="EE398" s="56"/>
      <c r="EH398" s="55">
        <f t="shared" si="2771"/>
        <v>46359</v>
      </c>
      <c r="EI398" s="56"/>
      <c r="EJ398" s="162">
        <f>SUMPRODUCT(PRODUCE!$B391:$DY391,PRODUCE!$EB$22:$IY$22)</f>
        <v>0</v>
      </c>
      <c r="EK398" s="56"/>
      <c r="EL398" s="162">
        <f t="shared" si="2772"/>
        <v>0</v>
      </c>
      <c r="EM398" s="162">
        <f t="shared" si="2773"/>
        <v>0</v>
      </c>
      <c r="EN398" s="56"/>
      <c r="EQ398" s="55">
        <f t="shared" si="2774"/>
        <v>46359</v>
      </c>
      <c r="ER398" s="56"/>
      <c r="ES398" s="135">
        <f>SUMPRODUCT(PRODUCE!$B391:$DY391,PRODUCE!$EB$23:$IY$23)</f>
        <v>0</v>
      </c>
      <c r="ET398" s="56"/>
      <c r="EU398" s="135">
        <f t="shared" si="2775"/>
        <v>0</v>
      </c>
      <c r="EV398" s="135">
        <f t="shared" si="2776"/>
        <v>0</v>
      </c>
      <c r="EW398" s="56"/>
      <c r="EZ398" s="55">
        <f t="shared" si="2777"/>
        <v>46359</v>
      </c>
      <c r="FA398" s="56"/>
      <c r="FB398" s="175">
        <f>SUMPRODUCT(PRODUCE!$B391:$DY391,PRODUCE!$EB$24:$IY$24)</f>
        <v>0</v>
      </c>
      <c r="FC398" s="56"/>
      <c r="FD398" s="175">
        <f t="shared" si="2778"/>
        <v>0</v>
      </c>
      <c r="FE398" s="175">
        <f t="shared" si="2779"/>
        <v>0</v>
      </c>
      <c r="FF398" s="56"/>
      <c r="FI398" s="55">
        <f t="shared" si="2780"/>
        <v>46359</v>
      </c>
      <c r="FJ398" s="56"/>
      <c r="FK398" s="183">
        <f>SUMPRODUCT(PRODUCE!$B391:$DY391,PRODUCE!$EB$25:$IY$25)</f>
        <v>0</v>
      </c>
      <c r="FL398" s="56"/>
      <c r="FM398" s="183">
        <f t="shared" si="2781"/>
        <v>0</v>
      </c>
      <c r="FN398" s="183">
        <f t="shared" si="2782"/>
        <v>0</v>
      </c>
      <c r="FO398" s="56"/>
      <c r="FR398" s="55">
        <f t="shared" si="2783"/>
        <v>46359</v>
      </c>
      <c r="FS398" s="56"/>
      <c r="FT398" s="186">
        <f>SUMPRODUCT(PRODUCE!$B391:$DY391,PRODUCE!$EB$26:$IY$26)</f>
        <v>0</v>
      </c>
      <c r="FU398" s="56"/>
      <c r="FV398" s="186">
        <f t="shared" si="2784"/>
        <v>0</v>
      </c>
      <c r="FW398" s="186">
        <f t="shared" si="2785"/>
        <v>2020</v>
      </c>
      <c r="FX398" s="56"/>
      <c r="GA398" s="55">
        <f t="shared" si="2786"/>
        <v>46359</v>
      </c>
      <c r="GB398" s="56"/>
      <c r="GC398" s="137">
        <f>SUMPRODUCT(PRODUCE!$B391:$DY391,PRODUCE!$EB$27:$IY$27)</f>
        <v>0</v>
      </c>
      <c r="GD398" s="56"/>
      <c r="GE398" s="137">
        <f t="shared" si="2787"/>
        <v>0</v>
      </c>
      <c r="GF398" s="137">
        <f t="shared" si="2788"/>
        <v>960</v>
      </c>
      <c r="GG398" s="56"/>
      <c r="GI398" s="23"/>
      <c r="GJ398" s="55">
        <f t="shared" si="2789"/>
        <v>46359</v>
      </c>
      <c r="GK398" s="56"/>
      <c r="GL398" s="199">
        <f>SUMPRODUCT(PRODUCE!$B391:$DY391,PRODUCE!$EB$28:$IY$28)</f>
        <v>0</v>
      </c>
      <c r="GM398" s="56"/>
      <c r="GN398" s="199">
        <f t="shared" si="2790"/>
        <v>0</v>
      </c>
      <c r="GO398" s="199">
        <f t="shared" si="2791"/>
        <v>1760</v>
      </c>
      <c r="GP398" s="56"/>
      <c r="GS398" s="55">
        <f t="shared" si="2792"/>
        <v>46359</v>
      </c>
      <c r="GT398" s="56"/>
      <c r="GU398" s="195">
        <f>SUMPRODUCT(PRODUCE!$B391:$DY391,PRODUCE!$EB$29:$IY$29)</f>
        <v>0</v>
      </c>
      <c r="GV398" s="56"/>
      <c r="GW398" s="195">
        <f t="shared" si="2793"/>
        <v>0</v>
      </c>
      <c r="GX398" s="195">
        <f t="shared" si="2794"/>
        <v>400</v>
      </c>
      <c r="GY398" s="56"/>
      <c r="HB398" s="55">
        <f t="shared" si="2795"/>
        <v>46359</v>
      </c>
      <c r="HC398" s="56"/>
      <c r="HD398" s="191">
        <f>SUMPRODUCT(PRODUCE!$B391:$DY391,PRODUCE!$EB$30:$IY$30)</f>
        <v>0</v>
      </c>
      <c r="HE398" s="56"/>
      <c r="HF398" s="191">
        <f t="shared" si="2796"/>
        <v>0</v>
      </c>
      <c r="HG398" s="191">
        <f t="shared" si="2797"/>
        <v>3600</v>
      </c>
      <c r="HH398" s="56"/>
      <c r="HK398" s="55">
        <f t="shared" si="2798"/>
        <v>46359</v>
      </c>
      <c r="HL398" s="56"/>
      <c r="HM398" s="63">
        <f>SUMPRODUCT(PRODUCE!$B391:$DY391,PRODUCE!$EB$31:$IY$31)</f>
        <v>0</v>
      </c>
      <c r="HN398" s="56"/>
      <c r="HO398" s="63">
        <f t="shared" si="2799"/>
        <v>0</v>
      </c>
      <c r="HP398" s="63">
        <f t="shared" si="2800"/>
        <v>0</v>
      </c>
      <c r="HQ398" s="56"/>
      <c r="HU398" s="55">
        <f t="shared" si="2801"/>
        <v>46359</v>
      </c>
      <c r="HV398" s="56"/>
      <c r="HW398" s="242">
        <f>SUMPRODUCT(PRODUCE!$B391:$DY391,PRODUCE!$EB$32:$IY$32)</f>
        <v>0</v>
      </c>
      <c r="HX398" s="56"/>
      <c r="HY398" s="242">
        <f t="shared" si="2802"/>
        <v>0</v>
      </c>
      <c r="HZ398" s="242">
        <f t="shared" si="2803"/>
        <v>6120</v>
      </c>
      <c r="IA398" s="56"/>
      <c r="ID398" s="55">
        <f t="shared" si="2804"/>
        <v>46359</v>
      </c>
      <c r="IE398" s="56"/>
      <c r="IF398" s="242">
        <f>SUMPRODUCT(PRODUCE!$B391:$DY391,PRODUCE!$EB$33:$IY$33)</f>
        <v>0</v>
      </c>
      <c r="IG398" s="56"/>
      <c r="IH398" s="242">
        <f t="shared" si="2805"/>
        <v>0</v>
      </c>
      <c r="II398" s="242">
        <f t="shared" si="2806"/>
        <v>0</v>
      </c>
      <c r="IJ398" s="56"/>
      <c r="IM398" s="55">
        <f t="shared" si="2807"/>
        <v>46359</v>
      </c>
      <c r="IN398" s="56"/>
      <c r="IO398" s="242">
        <f>SUMPRODUCT(PRODUCE!$B391:$DY391,PRODUCE!$EB$34:$IY$34)</f>
        <v>0</v>
      </c>
      <c r="IP398" s="56"/>
      <c r="IQ398" s="242">
        <f t="shared" si="2808"/>
        <v>0</v>
      </c>
      <c r="IR398" s="242">
        <f t="shared" si="2809"/>
        <v>0</v>
      </c>
      <c r="IS398" s="56"/>
      <c r="IV398" s="55">
        <f t="shared" si="2810"/>
        <v>46359</v>
      </c>
      <c r="IW398" s="56"/>
      <c r="IX398" s="242">
        <f>SUMPRODUCT(PRODUCE!$B391:$DY391,PRODUCE!$EB$35:$IY$35)</f>
        <v>0</v>
      </c>
      <c r="IY398" s="56"/>
      <c r="IZ398" s="242">
        <f t="shared" si="2811"/>
        <v>0</v>
      </c>
      <c r="JA398" s="242">
        <f t="shared" si="2812"/>
        <v>2820</v>
      </c>
      <c r="JB398" s="56"/>
      <c r="JE398" s="55">
        <f t="shared" si="2813"/>
        <v>46359</v>
      </c>
      <c r="JF398" s="56"/>
      <c r="JG398" s="242">
        <f>SUMPRODUCT(PRODUCE!$B391:$DY391,PRODUCE!$EB$36:$IY$36)</f>
        <v>0</v>
      </c>
      <c r="JH398" s="56"/>
      <c r="JI398" s="242">
        <f t="shared" si="2814"/>
        <v>0</v>
      </c>
      <c r="JJ398" s="242">
        <f t="shared" si="2815"/>
        <v>0</v>
      </c>
      <c r="JK398" s="56"/>
      <c r="JN398" s="55">
        <f t="shared" si="2816"/>
        <v>46359</v>
      </c>
      <c r="JO398" s="56"/>
      <c r="JP398" s="242">
        <f>SUMPRODUCT(PRODUCE!$B391:$DY391,PRODUCE!$EB$37:$IY$37)</f>
        <v>0</v>
      </c>
      <c r="JQ398" s="56"/>
      <c r="JR398" s="242">
        <f t="shared" si="2817"/>
        <v>0</v>
      </c>
      <c r="JS398" s="242">
        <f t="shared" si="2818"/>
        <v>0</v>
      </c>
      <c r="JT398" s="56"/>
      <c r="JW398" s="55">
        <f t="shared" si="2819"/>
        <v>46359</v>
      </c>
      <c r="JX398" s="56"/>
      <c r="JY398" s="242">
        <f>SUMPRODUCT(PRODUCE!$B391:$DY391,PRODUCE!$EB$38:$IY$38)</f>
        <v>0</v>
      </c>
      <c r="JZ398" s="56"/>
      <c r="KA398" s="242">
        <f t="shared" si="2820"/>
        <v>0</v>
      </c>
      <c r="KB398" s="242">
        <f t="shared" si="2821"/>
        <v>2540</v>
      </c>
      <c r="KC398" s="56"/>
      <c r="KF398" s="55">
        <f t="shared" si="2822"/>
        <v>46359</v>
      </c>
      <c r="KG398" s="56"/>
      <c r="KH398" s="242">
        <f>SUMPRODUCT(PRODUCE!$B391:$DY391,PRODUCE!$EB$39:$IY$39)</f>
        <v>0</v>
      </c>
      <c r="KI398" s="56"/>
      <c r="KJ398" s="242">
        <f t="shared" si="2823"/>
        <v>0</v>
      </c>
      <c r="KK398" s="242">
        <f t="shared" si="2824"/>
        <v>2359.5</v>
      </c>
      <c r="KL398" s="56"/>
      <c r="KO398" s="55">
        <f t="shared" si="2825"/>
        <v>46359</v>
      </c>
      <c r="KP398" s="56"/>
      <c r="KQ398" s="242">
        <f>SUMPRODUCT(PRODUCE!$B391:$DY391,PRODUCE!$EB$40:$IY$40)</f>
        <v>0</v>
      </c>
      <c r="KR398" s="56"/>
      <c r="KS398" s="242">
        <f t="shared" si="2826"/>
        <v>0</v>
      </c>
      <c r="KT398" s="242">
        <f t="shared" si="2827"/>
        <v>1890</v>
      </c>
      <c r="KU398" s="56"/>
      <c r="KW398" s="23"/>
      <c r="KX398" s="55">
        <f t="shared" si="2828"/>
        <v>46359</v>
      </c>
      <c r="KY398" s="56"/>
      <c r="KZ398" s="242">
        <f>SUMPRODUCT(PRODUCE!$B391:$DY391,PRODUCE!$EB$41:$IY$41)</f>
        <v>0</v>
      </c>
      <c r="LA398" s="56"/>
      <c r="LB398" s="242">
        <f t="shared" si="2829"/>
        <v>0</v>
      </c>
      <c r="LC398" s="242">
        <f t="shared" si="2830"/>
        <v>3690</v>
      </c>
      <c r="LD398" s="56"/>
      <c r="LG398" s="55">
        <f t="shared" si="2831"/>
        <v>46359</v>
      </c>
      <c r="LH398" s="56"/>
      <c r="LI398" s="242">
        <f>SUMPRODUCT(PRODUCE!$B391:$DY391,PRODUCE!$EB$42:$IY$42)</f>
        <v>0</v>
      </c>
      <c r="LJ398" s="56"/>
      <c r="LK398" s="242">
        <f t="shared" si="2832"/>
        <v>0</v>
      </c>
      <c r="LL398" s="242">
        <f t="shared" si="2833"/>
        <v>4000</v>
      </c>
      <c r="LM398" s="56"/>
      <c r="LP398" s="55">
        <f t="shared" si="2834"/>
        <v>46359</v>
      </c>
      <c r="LQ398" s="56"/>
      <c r="LR398" s="242">
        <f>SUMPRODUCT(PRODUCE!$B413:$DY413,PRODUCE!$EB$43:$IY$43)</f>
        <v>0</v>
      </c>
      <c r="LS398" s="56"/>
      <c r="LT398" s="242">
        <f t="shared" si="2835"/>
        <v>0</v>
      </c>
      <c r="LU398" s="242">
        <f t="shared" si="2836"/>
        <v>0</v>
      </c>
      <c r="LV398" s="56"/>
      <c r="LY398" s="55">
        <f t="shared" si="2837"/>
        <v>46359</v>
      </c>
      <c r="LZ398" s="56"/>
      <c r="MA398" s="242">
        <f>SUMPRODUCT(PRODUCE!$B391:$DY391,PRODUCE!$EB$44:$IY$44)</f>
        <v>0</v>
      </c>
      <c r="MB398" s="56"/>
      <c r="MC398" s="242">
        <f t="shared" si="2838"/>
        <v>0</v>
      </c>
      <c r="MD398" s="242">
        <f t="shared" si="2839"/>
        <v>0</v>
      </c>
      <c r="ME398" s="56"/>
      <c r="MH398" s="55">
        <f t="shared" si="2840"/>
        <v>46359</v>
      </c>
      <c r="MI398" s="56"/>
      <c r="MJ398" s="242">
        <f>SUMPRODUCT(PRODUCE!$B391:$DY391,PRODUCE!$EB$45:$IY$45)</f>
        <v>0</v>
      </c>
      <c r="MK398" s="56"/>
      <c r="ML398" s="242">
        <f t="shared" si="2841"/>
        <v>0</v>
      </c>
      <c r="MM398" s="242">
        <f t="shared" si="2842"/>
        <v>0</v>
      </c>
      <c r="MN398" s="56"/>
      <c r="MQ398" s="55">
        <f t="shared" si="2843"/>
        <v>46359</v>
      </c>
      <c r="MR398" s="56"/>
      <c r="MS398" s="242">
        <f>SUMPRODUCT(PRODUCE!$B391:$DY391,PRODUCE!$EB$46:$IY$46)</f>
        <v>0</v>
      </c>
      <c r="MT398" s="56"/>
      <c r="MU398" s="242">
        <f t="shared" si="2844"/>
        <v>0</v>
      </c>
      <c r="MV398" s="242">
        <f t="shared" si="2845"/>
        <v>1625</v>
      </c>
      <c r="MW398" s="56"/>
      <c r="MZ398" s="55">
        <f t="shared" si="2846"/>
        <v>46359</v>
      </c>
      <c r="NA398" s="56"/>
      <c r="NB398" s="242">
        <f>SUMPRODUCT(PRODUCE!$B391:$DY391,PRODUCE!$EB$47:$IY$47)</f>
        <v>0</v>
      </c>
      <c r="NC398" s="56"/>
      <c r="ND398" s="242">
        <f t="shared" si="2847"/>
        <v>0</v>
      </c>
      <c r="NE398" s="242">
        <f t="shared" si="2848"/>
        <v>0</v>
      </c>
      <c r="NF398" s="56"/>
      <c r="NI398" s="55">
        <f t="shared" si="2849"/>
        <v>46359</v>
      </c>
      <c r="NJ398" s="56"/>
      <c r="NK398" s="242">
        <f>SUMPRODUCT(PRODUCE!$B391:$DY391,PRODUCE!$EB$48:$IY$48)</f>
        <v>0</v>
      </c>
      <c r="NL398" s="56"/>
      <c r="NM398" s="242">
        <f t="shared" si="2850"/>
        <v>0</v>
      </c>
      <c r="NN398" s="242">
        <f t="shared" si="2851"/>
        <v>1127</v>
      </c>
      <c r="NO398" s="56"/>
      <c r="NR398" s="55">
        <f t="shared" si="2852"/>
        <v>46359</v>
      </c>
      <c r="NS398" s="56"/>
      <c r="NT398" s="242">
        <f>SUMPRODUCT(PRODUCE!$B391:$DY391,PRODUCE!$EB$49:$IY$49)</f>
        <v>0</v>
      </c>
      <c r="NU398" s="56"/>
      <c r="NV398" s="242">
        <f t="shared" si="2853"/>
        <v>0</v>
      </c>
      <c r="NW398" s="242">
        <f t="shared" si="2854"/>
        <v>3111.9999999999995</v>
      </c>
      <c r="NX398" s="56"/>
      <c r="OA398" s="55">
        <f t="shared" si="2855"/>
        <v>46359</v>
      </c>
      <c r="OB398" s="56"/>
      <c r="OC398" s="242">
        <f>SUMPRODUCT(PRODUCE!$B391:$DY391,PRODUCE!$EB$50:$IY$50)</f>
        <v>0</v>
      </c>
      <c r="OD398" s="56"/>
      <c r="OE398" s="242">
        <f t="shared" si="2856"/>
        <v>0</v>
      </c>
      <c r="OF398" s="242">
        <f t="shared" si="2857"/>
        <v>1680.5</v>
      </c>
      <c r="OG398" s="56"/>
      <c r="OJ398" s="55">
        <f t="shared" si="2858"/>
        <v>46359</v>
      </c>
      <c r="OK398" s="56"/>
      <c r="OL398" s="242">
        <f>SUMPRODUCT(PRODUCE!$B391:$DY391,PRODUCE!$EB$51:$IY$51)</f>
        <v>0</v>
      </c>
      <c r="OM398" s="56"/>
      <c r="ON398" s="242">
        <f t="shared" si="2859"/>
        <v>0</v>
      </c>
      <c r="OO398" s="242">
        <f t="shared" si="2860"/>
        <v>0</v>
      </c>
      <c r="OP398" s="56"/>
      <c r="OS398" s="55">
        <f t="shared" si="2861"/>
        <v>46359</v>
      </c>
      <c r="OT398" s="56"/>
      <c r="OU398" s="242">
        <f>SUMPRODUCT(PRODUCE!$B391:$DY391,PRODUCE!$EB$52:$IY$52)</f>
        <v>0</v>
      </c>
      <c r="OV398" s="56"/>
      <c r="OW398" s="242">
        <f t="shared" si="2862"/>
        <v>0</v>
      </c>
      <c r="OX398" s="242">
        <f t="shared" si="2863"/>
        <v>1482</v>
      </c>
      <c r="OY398" s="56"/>
      <c r="PB398" s="55">
        <f t="shared" si="2864"/>
        <v>46359</v>
      </c>
      <c r="PC398" s="56"/>
      <c r="PD398" s="242">
        <f>SUMPRODUCT(PRODUCE!$B391:$DY391,PRODUCE!$EB$53:$IY$53)</f>
        <v>0</v>
      </c>
      <c r="PE398" s="56"/>
      <c r="PF398" s="242">
        <f t="shared" si="2865"/>
        <v>0</v>
      </c>
      <c r="PG398" s="242">
        <f t="shared" si="2866"/>
        <v>0</v>
      </c>
      <c r="PH398" s="56"/>
      <c r="PK398" s="55">
        <f t="shared" si="2867"/>
        <v>46359</v>
      </c>
      <c r="PL398" s="56"/>
      <c r="PM398" s="242">
        <f>SUMPRODUCT(PRODUCE!$B391:$DY391,PRODUCE!$EB$54:$IY$54)</f>
        <v>0</v>
      </c>
      <c r="PN398" s="56"/>
      <c r="PO398" s="242">
        <f t="shared" si="2868"/>
        <v>0</v>
      </c>
      <c r="PP398" s="242">
        <f t="shared" si="2869"/>
        <v>100</v>
      </c>
      <c r="PQ398" s="56"/>
      <c r="PT398" s="55">
        <f t="shared" si="2870"/>
        <v>46359</v>
      </c>
      <c r="PU398" s="56"/>
      <c r="PV398" s="242">
        <f>SUMPRODUCT(PRODUCE!$B391:$DY391,PRODUCE!$EB$55:$IY$55)</f>
        <v>0</v>
      </c>
      <c r="PW398" s="56"/>
      <c r="PX398" s="242">
        <f t="shared" si="2871"/>
        <v>0</v>
      </c>
      <c r="PY398" s="242">
        <f t="shared" si="2872"/>
        <v>13.960000000000036</v>
      </c>
      <c r="PZ398" s="56"/>
      <c r="QC398" s="55">
        <f t="shared" si="2873"/>
        <v>46359</v>
      </c>
      <c r="QD398" s="56"/>
      <c r="QE398" s="242">
        <f>SUMPRODUCT(PRODUCE!$B391:$DY391,PRODUCE!$EB$56:$IY$56)</f>
        <v>0</v>
      </c>
      <c r="QF398" s="56"/>
      <c r="QG398" s="242">
        <f t="shared" si="2874"/>
        <v>0</v>
      </c>
      <c r="QH398" s="242">
        <f t="shared" si="2875"/>
        <v>548</v>
      </c>
      <c r="QI398" s="56"/>
      <c r="QL398" s="55">
        <f t="shared" si="2876"/>
        <v>46359</v>
      </c>
      <c r="QM398" s="56"/>
      <c r="QN398" s="242">
        <f>SUMPRODUCT(PRODUCE!$B391:$DY391,PRODUCE!$EB$57:$IY$57)</f>
        <v>0</v>
      </c>
      <c r="QO398" s="56"/>
      <c r="QP398" s="242">
        <f t="shared" si="2877"/>
        <v>0</v>
      </c>
      <c r="QQ398" s="242">
        <f t="shared" si="2878"/>
        <v>0</v>
      </c>
      <c r="QR398" s="56"/>
      <c r="QU398" s="55">
        <f t="shared" si="2879"/>
        <v>46359</v>
      </c>
      <c r="QV398" s="56"/>
      <c r="QW398" s="242">
        <f>SUMPRODUCT(PRODUCE!$B391:$DY391,PRODUCE!$EB$57:$IY$57)</f>
        <v>0</v>
      </c>
      <c r="QX398" s="56"/>
      <c r="QY398" s="242">
        <f t="shared" si="2880"/>
        <v>0</v>
      </c>
      <c r="QZ398" s="242">
        <f t="shared" si="2881"/>
        <v>0</v>
      </c>
      <c r="RA398" s="56"/>
      <c r="RD398" s="55">
        <f t="shared" si="2882"/>
        <v>46359</v>
      </c>
      <c r="RE398" s="56"/>
      <c r="RF398" s="242">
        <f>SUMPRODUCT(PRODUCE!$B391:$DY391,PRODUCE!$EB$58:$IY$58)</f>
        <v>0</v>
      </c>
      <c r="RG398" s="56"/>
      <c r="RH398" s="242">
        <f t="shared" si="2883"/>
        <v>0</v>
      </c>
      <c r="RI398" s="242">
        <f t="shared" si="2884"/>
        <v>147.04000000000002</v>
      </c>
      <c r="RJ398" s="56"/>
      <c r="RM398" s="55">
        <f t="shared" si="2885"/>
        <v>46359</v>
      </c>
      <c r="RN398" s="56"/>
      <c r="RO398" s="242">
        <f>SUMPRODUCT(PRODUCE!$B391:$DY391,PRODUCE!$EB$57:$IY$57)</f>
        <v>0</v>
      </c>
      <c r="RP398" s="56"/>
      <c r="RQ398" s="242">
        <f t="shared" si="2886"/>
        <v>0</v>
      </c>
      <c r="RR398" s="242">
        <f t="shared" si="2887"/>
        <v>46.8</v>
      </c>
      <c r="RS398" s="56"/>
      <c r="RV398" s="55">
        <f t="shared" si="2888"/>
        <v>46359</v>
      </c>
      <c r="RW398" s="56"/>
      <c r="RX398" s="242">
        <f>SUMPRODUCT(PRODUCE!$B391:$DY391,PRODUCE!$EB$57:$IY$57)</f>
        <v>0</v>
      </c>
      <c r="RY398" s="56"/>
      <c r="RZ398" s="242">
        <f t="shared" si="2889"/>
        <v>0</v>
      </c>
      <c r="SA398" s="242">
        <f t="shared" si="2890"/>
        <v>0</v>
      </c>
      <c r="SB398" s="56"/>
      <c r="SE398" s="55">
        <f t="shared" si="2891"/>
        <v>46359</v>
      </c>
      <c r="SF398" s="56"/>
      <c r="SG398" s="242">
        <f>SUMPRODUCT(PRODUCE!$B391:$DY391,PRODUCE!$EB$61:$IY$61)</f>
        <v>0</v>
      </c>
      <c r="SH398" s="56"/>
      <c r="SI398" s="242">
        <f t="shared" si="2892"/>
        <v>0</v>
      </c>
      <c r="SJ398" s="242">
        <f t="shared" si="2893"/>
        <v>24.200000000000003</v>
      </c>
      <c r="SK398" s="56"/>
      <c r="SN398" s="55">
        <f t="shared" si="2894"/>
        <v>46359</v>
      </c>
      <c r="SO398" s="56"/>
      <c r="SP398" s="242">
        <f>SUMPRODUCT(PRODUCE!$B391:$DY391,PRODUCE!$EB$57:$IY$57)</f>
        <v>0</v>
      </c>
      <c r="SQ398" s="56"/>
      <c r="SR398" s="242">
        <f t="shared" si="2895"/>
        <v>0</v>
      </c>
      <c r="SS398" s="242">
        <f t="shared" si="2896"/>
        <v>32</v>
      </c>
      <c r="ST398" s="56"/>
      <c r="SW398" s="55">
        <f t="shared" si="2897"/>
        <v>46359</v>
      </c>
      <c r="SX398" s="56"/>
      <c r="SY398" s="242">
        <f>SUMPRODUCT(PRODUCE!$B391:$DY391,PRODUCE!$EB$57:$IY$57)</f>
        <v>0</v>
      </c>
      <c r="SZ398" s="56"/>
      <c r="TA398" s="242">
        <f t="shared" si="2898"/>
        <v>0</v>
      </c>
      <c r="TB398" s="242">
        <f t="shared" si="2899"/>
        <v>0</v>
      </c>
      <c r="TC398" s="56"/>
      <c r="TF398" s="55">
        <f t="shared" si="2900"/>
        <v>46359</v>
      </c>
      <c r="TG398" s="56"/>
      <c r="TH398" s="242">
        <f>SUMPRODUCT(PRODUCE!$B391:$DY391,PRODUCE!$EB$57:$IY$57)</f>
        <v>0</v>
      </c>
      <c r="TI398" s="56"/>
      <c r="TJ398" s="242">
        <f t="shared" si="2901"/>
        <v>0</v>
      </c>
      <c r="TK398" s="242">
        <f t="shared" si="2902"/>
        <v>0</v>
      </c>
      <c r="TL398" s="56"/>
      <c r="TO398" s="55">
        <f t="shared" si="2903"/>
        <v>46359</v>
      </c>
      <c r="TP398" s="56"/>
      <c r="TQ398" s="242">
        <f>SUMPRODUCT(PRODUCE!$B391:$DY391,PRODUCE!$EB$57:$IY$57)</f>
        <v>0</v>
      </c>
      <c r="TR398" s="56"/>
      <c r="TS398" s="242">
        <f t="shared" si="2904"/>
        <v>0</v>
      </c>
      <c r="TT398" s="242">
        <f t="shared" si="2905"/>
        <v>0</v>
      </c>
      <c r="TU398" s="56"/>
      <c r="TX398" s="55">
        <f t="shared" si="2906"/>
        <v>46359</v>
      </c>
      <c r="TY398" s="56"/>
      <c r="TZ398" s="242">
        <f>SUMPRODUCT(PRODUCE!$B391:$DY391,PRODUCE!$EB$57:$IY$57)</f>
        <v>0</v>
      </c>
      <c r="UA398" s="56"/>
      <c r="UB398" s="242">
        <f t="shared" si="2907"/>
        <v>0</v>
      </c>
      <c r="UC398" s="242">
        <f t="shared" si="2908"/>
        <v>46.799999999999983</v>
      </c>
      <c r="UD398" s="56"/>
      <c r="UG398" s="55">
        <f t="shared" si="2909"/>
        <v>46359</v>
      </c>
      <c r="UH398" s="56"/>
      <c r="UI398" s="242">
        <f>SUMPRODUCT(PRODUCE!$B391:$DY391,PRODUCE!$EB$57:$IY$57)</f>
        <v>0</v>
      </c>
      <c r="UJ398" s="56"/>
      <c r="UK398" s="242">
        <f t="shared" si="2910"/>
        <v>0</v>
      </c>
      <c r="UL398" s="242">
        <f t="shared" si="2911"/>
        <v>204</v>
      </c>
      <c r="UM398" s="56"/>
      <c r="UP398" s="55">
        <f t="shared" si="2912"/>
        <v>46359</v>
      </c>
      <c r="UQ398" s="56"/>
      <c r="UR398" s="242">
        <f>SUMPRODUCT(PRODUCE!$B391:$DY391,PRODUCE!$EB$57:$IY$57)</f>
        <v>0</v>
      </c>
      <c r="US398" s="56"/>
      <c r="UT398" s="242">
        <f t="shared" si="2913"/>
        <v>0</v>
      </c>
      <c r="UU398" s="242">
        <f t="shared" si="2914"/>
        <v>202.5</v>
      </c>
      <c r="UV398" s="56"/>
      <c r="UY398" s="55">
        <f t="shared" si="2915"/>
        <v>46359</v>
      </c>
      <c r="UZ398" s="56"/>
      <c r="VA398" s="242">
        <f>SUMPRODUCT(PRODUCE!$B391:$DY391,PRODUCE!$EB$57:$IY$57)</f>
        <v>0</v>
      </c>
      <c r="VB398" s="56"/>
      <c r="VC398" s="242">
        <f t="shared" si="2916"/>
        <v>0</v>
      </c>
      <c r="VD398" s="242">
        <f t="shared" si="2917"/>
        <v>41.600000000000023</v>
      </c>
      <c r="VE398" s="56"/>
      <c r="VH398" s="55">
        <f t="shared" si="2918"/>
        <v>46359</v>
      </c>
      <c r="VI398" s="56"/>
      <c r="VJ398" s="242">
        <f>SUMPRODUCT(PRODUCE!$B391:$DY391,PRODUCE!$EB$57:$IY$57)</f>
        <v>0</v>
      </c>
      <c r="VK398" s="56"/>
      <c r="VL398" s="242">
        <f t="shared" si="2919"/>
        <v>0</v>
      </c>
      <c r="VM398" s="242">
        <f t="shared" si="2920"/>
        <v>210</v>
      </c>
      <c r="VN398" s="56"/>
      <c r="VQ398" s="55">
        <f t="shared" si="2921"/>
        <v>46359</v>
      </c>
      <c r="VR398" s="56"/>
      <c r="VS398" s="242">
        <f>SUMPRODUCT(PRODUCE!$B391:$DY391,PRODUCE!$EB$57:$IY$57)</f>
        <v>0</v>
      </c>
      <c r="VT398" s="56"/>
      <c r="VU398" s="242">
        <f t="shared" si="2922"/>
        <v>0</v>
      </c>
      <c r="VV398" s="242">
        <f t="shared" si="2923"/>
        <v>0</v>
      </c>
      <c r="VW398" s="56"/>
      <c r="VZ398" s="55">
        <f t="shared" si="2924"/>
        <v>46359</v>
      </c>
      <c r="WA398" s="56"/>
      <c r="WB398" s="242">
        <f>SUMPRODUCT(PRODUCE!$B391:$DY391,PRODUCE!$EB$57:$IY$57)</f>
        <v>0</v>
      </c>
      <c r="WC398" s="56"/>
      <c r="WD398" s="242">
        <f t="shared" si="2925"/>
        <v>0</v>
      </c>
      <c r="WE398" s="242">
        <f t="shared" si="2926"/>
        <v>0</v>
      </c>
      <c r="WF398" s="56"/>
      <c r="WI398" s="55">
        <f t="shared" si="2927"/>
        <v>46359</v>
      </c>
      <c r="WJ398" s="56"/>
      <c r="WK398" s="242">
        <f>SUMPRODUCT(PRODUCE!$B391:$DY391,PRODUCE!$EB$57:$IY$57)</f>
        <v>0</v>
      </c>
      <c r="WL398" s="56"/>
      <c r="WM398" s="242">
        <f t="shared" si="2928"/>
        <v>0</v>
      </c>
      <c r="WN398" s="242">
        <f t="shared" si="2929"/>
        <v>1057</v>
      </c>
      <c r="WO398" s="56"/>
      <c r="WR398" s="55">
        <f t="shared" si="2930"/>
        <v>46359</v>
      </c>
      <c r="WS398" s="56"/>
      <c r="WT398" s="242">
        <f>SUMPRODUCT(PRODUCE!$B391:$DY391,PRODUCE!$EB$57:$IY$57)</f>
        <v>0</v>
      </c>
      <c r="WU398" s="56"/>
      <c r="WV398" s="242">
        <f t="shared" si="2931"/>
        <v>0</v>
      </c>
      <c r="WW398" s="242">
        <f t="shared" si="2932"/>
        <v>0</v>
      </c>
      <c r="WX398" s="56"/>
      <c r="XA398" s="55">
        <f t="shared" si="2933"/>
        <v>46359</v>
      </c>
      <c r="XB398" s="56"/>
      <c r="XC398" s="242">
        <f>SUMPRODUCT(PRODUCE!$B391:$DY391,PRODUCE!$EB$57:$IY$57)</f>
        <v>0</v>
      </c>
      <c r="XD398" s="56"/>
      <c r="XE398" s="242">
        <f t="shared" si="2934"/>
        <v>0</v>
      </c>
      <c r="XF398" s="242">
        <f t="shared" si="2935"/>
        <v>7507</v>
      </c>
      <c r="XG398" s="56"/>
      <c r="XJ398" s="55">
        <f t="shared" si="2936"/>
        <v>46359</v>
      </c>
      <c r="XK398" s="56"/>
      <c r="XL398" s="242">
        <f>SUMPRODUCT(PRODUCE!$B391:$DY391,PRODUCE!$EB$57:$IY$57)</f>
        <v>0</v>
      </c>
      <c r="XM398" s="56"/>
      <c r="XN398" s="242">
        <f t="shared" si="2937"/>
        <v>0</v>
      </c>
      <c r="XO398" s="242">
        <f t="shared" si="2938"/>
        <v>4252</v>
      </c>
      <c r="XP398" s="56"/>
      <c r="XS398" s="55">
        <f t="shared" si="2939"/>
        <v>46359</v>
      </c>
      <c r="XT398" s="56"/>
      <c r="XU398" s="242">
        <f>SUMPRODUCT(PRODUCE!$B391:$DY391,PRODUCE!$EB$57:$IY$57)</f>
        <v>0</v>
      </c>
      <c r="XV398" s="56"/>
      <c r="XW398" s="242">
        <f t="shared" si="2940"/>
        <v>0</v>
      </c>
      <c r="XX398" s="242">
        <f t="shared" si="2941"/>
        <v>2179</v>
      </c>
      <c r="XY398" s="56"/>
      <c r="YB398" s="55">
        <f t="shared" si="2942"/>
        <v>46359</v>
      </c>
      <c r="YC398" s="56"/>
      <c r="YD398" s="242">
        <f>SUMPRODUCT(PRODUCE!$B391:$DY391,PRODUCE!$EB$57:$IY$57)</f>
        <v>0</v>
      </c>
      <c r="YE398" s="56"/>
      <c r="YF398" s="242">
        <f t="shared" si="2943"/>
        <v>0</v>
      </c>
      <c r="YG398" s="242">
        <f t="shared" si="2944"/>
        <v>4019</v>
      </c>
      <c r="YH398" s="56"/>
      <c r="YK398" s="55">
        <f t="shared" si="2945"/>
        <v>46359</v>
      </c>
      <c r="YL398" s="56"/>
      <c r="YM398" s="242">
        <f>SUMPRODUCT(PRODUCE!$B391:$DY391,PRODUCE!$EB$57:$IY$57)</f>
        <v>0</v>
      </c>
      <c r="YN398" s="56"/>
      <c r="YO398" s="242">
        <f t="shared" si="2946"/>
        <v>0</v>
      </c>
      <c r="YP398" s="242">
        <f t="shared" si="2947"/>
        <v>-218</v>
      </c>
      <c r="YQ398" s="56"/>
      <c r="YT398" s="55">
        <f t="shared" si="2948"/>
        <v>46359</v>
      </c>
      <c r="YU398" s="56"/>
      <c r="YV398" s="242">
        <f>SUMPRODUCT(PRODUCE!$B391:$DY391,PRODUCE!$EB$57:$IY$57)</f>
        <v>0</v>
      </c>
      <c r="YW398" s="56"/>
      <c r="YX398" s="242">
        <f t="shared" si="2949"/>
        <v>0</v>
      </c>
      <c r="YY398" s="242">
        <f t="shared" si="2950"/>
        <v>0</v>
      </c>
      <c r="YZ398" s="56"/>
      <c r="ZC398" s="55">
        <f t="shared" si="2951"/>
        <v>46359</v>
      </c>
      <c r="ZD398" s="56"/>
      <c r="ZE398" s="242">
        <f>SUMPRODUCT(PRODUCE!$B391:$DY391,PRODUCE!$EB$57:$IY$57)</f>
        <v>0</v>
      </c>
      <c r="ZF398" s="56"/>
      <c r="ZG398" s="242">
        <f t="shared" si="2952"/>
        <v>0</v>
      </c>
      <c r="ZH398" s="242">
        <f t="shared" si="2953"/>
        <v>0</v>
      </c>
      <c r="ZI398" s="56"/>
      <c r="ZL398" s="55">
        <f t="shared" si="2954"/>
        <v>46359</v>
      </c>
      <c r="ZM398" s="56"/>
      <c r="ZN398" s="242">
        <f>SUMPRODUCT(PRODUCE!$B391:$DY391,PRODUCE!$EB$57:$IY$57)</f>
        <v>0</v>
      </c>
      <c r="ZO398" s="56"/>
      <c r="ZP398" s="242">
        <f t="shared" si="2955"/>
        <v>0</v>
      </c>
      <c r="ZQ398" s="242">
        <f t="shared" si="2956"/>
        <v>0</v>
      </c>
      <c r="ZR398" s="56"/>
      <c r="ZU398" s="55">
        <f t="shared" si="2957"/>
        <v>46359</v>
      </c>
      <c r="ZV398" s="56"/>
      <c r="ZW398" s="242">
        <f>SUMPRODUCT(PRODUCE!$B391:$DY391,PRODUCE!$EB$57:$IY$57)</f>
        <v>0</v>
      </c>
      <c r="ZX398" s="56"/>
      <c r="ZY398" s="242">
        <f t="shared" si="2958"/>
        <v>0</v>
      </c>
      <c r="ZZ398" s="242">
        <f t="shared" si="2959"/>
        <v>0</v>
      </c>
      <c r="AAA398" s="56"/>
      <c r="AAD398" s="55">
        <f t="shared" si="2960"/>
        <v>46359</v>
      </c>
      <c r="AAE398" s="56"/>
      <c r="AAF398" s="242">
        <f>SUMPRODUCT(PRODUCE!$B391:$DY391,PRODUCE!$EB$57:$IY$57)</f>
        <v>0</v>
      </c>
      <c r="AAG398" s="56"/>
      <c r="AAH398" s="242">
        <f t="shared" si="2961"/>
        <v>0</v>
      </c>
      <c r="AAI398" s="242">
        <f t="shared" si="2962"/>
        <v>0</v>
      </c>
      <c r="AAJ398" s="56"/>
      <c r="AAM398" s="55">
        <f t="shared" si="2963"/>
        <v>46359</v>
      </c>
      <c r="AAN398" s="56"/>
      <c r="AAO398" s="242">
        <f>SUMPRODUCT(PRODUCE!$B391:$DY391,PRODUCE!$EB$57:$IY$57)</f>
        <v>0</v>
      </c>
      <c r="AAP398" s="56"/>
      <c r="AAQ398" s="242">
        <f t="shared" si="2964"/>
        <v>0</v>
      </c>
      <c r="AAR398" s="242">
        <f t="shared" si="2965"/>
        <v>0</v>
      </c>
      <c r="AAS398" s="56"/>
      <c r="AAV398" s="55">
        <f t="shared" si="2966"/>
        <v>46359</v>
      </c>
      <c r="AAW398" s="56"/>
      <c r="AAX398" s="242">
        <f>SUMPRODUCT(PRODUCE!$B391:$DY391,PRODUCE!$EB$57:$IY$57)</f>
        <v>0</v>
      </c>
      <c r="AAY398" s="56"/>
      <c r="AAZ398" s="242">
        <f t="shared" si="2967"/>
        <v>0</v>
      </c>
      <c r="ABA398" s="242">
        <f t="shared" si="2968"/>
        <v>0</v>
      </c>
      <c r="ABB398" s="56"/>
      <c r="ABE398" s="55">
        <f t="shared" si="2969"/>
        <v>46359</v>
      </c>
      <c r="ABF398" s="56"/>
      <c r="ABG398" s="242">
        <f>SUMPRODUCT(PRODUCE!$B391:$DY391,PRODUCE!$EB$57:$IY$57)</f>
        <v>0</v>
      </c>
      <c r="ABH398" s="56"/>
      <c r="ABI398" s="242">
        <f t="shared" si="2970"/>
        <v>0</v>
      </c>
      <c r="ABJ398" s="242">
        <f t="shared" si="2971"/>
        <v>0</v>
      </c>
      <c r="ABK398" s="56"/>
    </row>
    <row r="399" spans="1:739" s="54" customFormat="1" ht="15" customHeight="1" outlineLevel="1">
      <c r="B399" s="478"/>
      <c r="C399" s="55">
        <v>46360</v>
      </c>
      <c r="D399" s="56"/>
      <c r="E399" s="57">
        <f>SUMPRODUCT(PRODUCE!$B392:$DY392,PRODUCE!$EB$7:$IY$7)</f>
        <v>0</v>
      </c>
      <c r="F399" s="56"/>
      <c r="G399" s="57">
        <f t="shared" si="2727"/>
        <v>0</v>
      </c>
      <c r="H399" s="57">
        <f t="shared" si="2728"/>
        <v>236936.6</v>
      </c>
      <c r="I399" s="289"/>
      <c r="L399" s="55">
        <f t="shared" si="2729"/>
        <v>46360</v>
      </c>
      <c r="M399" s="56"/>
      <c r="N399" s="59">
        <f>SUMPRODUCT(PRODUCE!$B392:$DY392,PRODUCE!$EB$8:$IY$8)</f>
        <v>0</v>
      </c>
      <c r="O399" s="56"/>
      <c r="P399" s="59">
        <f t="shared" si="2730"/>
        <v>0</v>
      </c>
      <c r="Q399" s="59">
        <f t="shared" si="2731"/>
        <v>53017.600000000071</v>
      </c>
      <c r="R399" s="56"/>
      <c r="U399" s="55">
        <f t="shared" si="2732"/>
        <v>46360</v>
      </c>
      <c r="V399" s="56"/>
      <c r="W399" s="60">
        <f>SUMPRODUCT(PRODUCE!$B392:$DY392,PRODUCE!$EB$9:$IY$9)</f>
        <v>0</v>
      </c>
      <c r="X399" s="56"/>
      <c r="Y399" s="60">
        <f t="shared" si="2733"/>
        <v>0</v>
      </c>
      <c r="Z399" s="60">
        <f t="shared" si="2734"/>
        <v>42674.199999999968</v>
      </c>
      <c r="AA399" s="56"/>
      <c r="AD399" s="55">
        <f t="shared" si="2735"/>
        <v>46360</v>
      </c>
      <c r="AE399" s="56"/>
      <c r="AF399" s="61">
        <f>SUMPRODUCT(PRODUCE!$B392:$DY392,PRODUCE!$EB$10:$IY$10)</f>
        <v>0</v>
      </c>
      <c r="AG399" s="56"/>
      <c r="AH399" s="61">
        <f t="shared" si="2736"/>
        <v>0</v>
      </c>
      <c r="AI399" s="61">
        <f t="shared" si="2737"/>
        <v>4522.2000000000189</v>
      </c>
      <c r="AJ399" s="56"/>
      <c r="AM399" s="55">
        <f t="shared" si="2738"/>
        <v>46360</v>
      </c>
      <c r="AN399" s="422"/>
      <c r="AO399" s="444">
        <f>SUMPRODUCT(PRODUCE!$B392:$DY392,PRODUCE!$EB$11:$IY$11)</f>
        <v>0</v>
      </c>
      <c r="AP399" s="422"/>
      <c r="AQ399" s="444">
        <f t="shared" si="2739"/>
        <v>0</v>
      </c>
      <c r="AR399" s="444">
        <f t="shared" si="2740"/>
        <v>0</v>
      </c>
      <c r="AS399" s="56"/>
      <c r="AV399" s="55">
        <f t="shared" si="2741"/>
        <v>46360</v>
      </c>
      <c r="AW399" s="56"/>
      <c r="AX399" s="62">
        <f>SUMPRODUCT(PRODUCE!$B392:$DY392,PRODUCE!$EB$12:$IY$12)</f>
        <v>0</v>
      </c>
      <c r="AY399" s="56"/>
      <c r="AZ399" s="62">
        <f t="shared" si="2742"/>
        <v>0</v>
      </c>
      <c r="BA399" s="62">
        <f t="shared" si="2743"/>
        <v>124.99999999999523</v>
      </c>
      <c r="BB399" s="56"/>
      <c r="BE399" s="55">
        <f t="shared" si="2744"/>
        <v>46360</v>
      </c>
      <c r="BF399" s="56"/>
      <c r="BG399" s="63">
        <f>SUMPRODUCT(PRODUCE!$B392:$DY392,PRODUCE!$EB$13:$IY$13)</f>
        <v>0</v>
      </c>
      <c r="BH399" s="56"/>
      <c r="BI399" s="63">
        <f t="shared" si="2745"/>
        <v>0</v>
      </c>
      <c r="BJ399" s="63">
        <f t="shared" si="2746"/>
        <v>26151.899999999998</v>
      </c>
      <c r="BK399" s="56"/>
      <c r="BN399" s="55">
        <f t="shared" si="2747"/>
        <v>46360</v>
      </c>
      <c r="BO399" s="56"/>
      <c r="BP399" s="64">
        <f>SUMPRODUCT(PRODUCE!$B392:$DY392,PRODUCE!$EB$14:$IY$14)</f>
        <v>0</v>
      </c>
      <c r="BQ399" s="56"/>
      <c r="BR399" s="64">
        <f t="shared" si="2748"/>
        <v>0</v>
      </c>
      <c r="BS399" s="64">
        <f t="shared" si="2749"/>
        <v>0</v>
      </c>
      <c r="BT399" s="56"/>
      <c r="BW399" s="55">
        <f t="shared" si="2750"/>
        <v>46360</v>
      </c>
      <c r="BX399" s="56"/>
      <c r="BY399" s="65">
        <f>SUMPRODUCT(PRODUCE!$B392:$DY392,PRODUCE!$EB$15:$IY$15)</f>
        <v>0</v>
      </c>
      <c r="BZ399" s="56"/>
      <c r="CA399" s="65">
        <f t="shared" si="2751"/>
        <v>0</v>
      </c>
      <c r="CB399" s="65">
        <f t="shared" si="2752"/>
        <v>2097.3399999999992</v>
      </c>
      <c r="CC399" s="56"/>
      <c r="CF399" s="55">
        <f t="shared" si="2753"/>
        <v>46360</v>
      </c>
      <c r="CG399" s="56"/>
      <c r="CH399" s="66">
        <f>SUMPRODUCT(PRODUCE!$B392:$DY392,PRODUCE!$EB$16:$IY$16)</f>
        <v>0</v>
      </c>
      <c r="CI399" s="56"/>
      <c r="CJ399" s="66">
        <f t="shared" si="2754"/>
        <v>0</v>
      </c>
      <c r="CK399" s="66">
        <f t="shared" si="2755"/>
        <v>-10277.079999999998</v>
      </c>
      <c r="CL399" s="56"/>
      <c r="CO399" s="55">
        <f t="shared" si="2756"/>
        <v>46360</v>
      </c>
      <c r="CP399" s="422"/>
      <c r="CQ399" s="470">
        <f>SUMPRODUCT(PRODUCE!$B392:$DY392,PRODUCE!$EB$17:$IY$17)</f>
        <v>0</v>
      </c>
      <c r="CR399" s="422"/>
      <c r="CS399" s="470">
        <f t="shared" si="2757"/>
        <v>0</v>
      </c>
      <c r="CT399" s="470">
        <f t="shared" si="2758"/>
        <v>0</v>
      </c>
      <c r="CU399" s="56"/>
      <c r="CX399" s="55">
        <f t="shared" si="2759"/>
        <v>46360</v>
      </c>
      <c r="CY399" s="56"/>
      <c r="CZ399" s="133">
        <f>SUMPRODUCT(PRODUCE!$B392:$DY392,PRODUCE!$EB$18:$IY$18)</f>
        <v>0</v>
      </c>
      <c r="DA399" s="56"/>
      <c r="DB399" s="133">
        <f t="shared" si="2760"/>
        <v>0</v>
      </c>
      <c r="DC399" s="133">
        <f t="shared" si="2761"/>
        <v>27438.200000000012</v>
      </c>
      <c r="DD399" s="56"/>
      <c r="DG399" s="55">
        <f t="shared" si="2762"/>
        <v>46360</v>
      </c>
      <c r="DH399" s="56"/>
      <c r="DI399" s="147">
        <f>SUMPRODUCT(PRODUCE!$B392:$DY392,PRODUCE!$EB$19:$IY$19)</f>
        <v>0</v>
      </c>
      <c r="DJ399" s="56"/>
      <c r="DK399" s="147">
        <f t="shared" si="2763"/>
        <v>0</v>
      </c>
      <c r="DL399" s="147">
        <f t="shared" si="2764"/>
        <v>18782.299999999981</v>
      </c>
      <c r="DM399" s="56"/>
      <c r="DP399" s="55">
        <f t="shared" si="2765"/>
        <v>46360</v>
      </c>
      <c r="DQ399" s="56"/>
      <c r="DR399" s="57">
        <f>SUMPRODUCT(PRODUCE!$B392:$DY392,PRODUCE!$EB$20:$IY$20)</f>
        <v>0</v>
      </c>
      <c r="DS399" s="56"/>
      <c r="DT399" s="57">
        <f t="shared" si="2766"/>
        <v>0</v>
      </c>
      <c r="DU399" s="57">
        <f t="shared" si="2767"/>
        <v>5800</v>
      </c>
      <c r="DV399" s="56"/>
      <c r="DY399" s="55">
        <f t="shared" si="2768"/>
        <v>46360</v>
      </c>
      <c r="DZ399" s="56"/>
      <c r="EA399" s="157">
        <f>SUMPRODUCT(PRODUCE!$B392:$DY392,PRODUCE!$EB$21:$IY$21)</f>
        <v>0</v>
      </c>
      <c r="EB399" s="56"/>
      <c r="EC399" s="157">
        <f t="shared" si="2769"/>
        <v>0</v>
      </c>
      <c r="ED399" s="157">
        <f t="shared" si="2770"/>
        <v>0</v>
      </c>
      <c r="EE399" s="56"/>
      <c r="EH399" s="55">
        <f t="shared" si="2771"/>
        <v>46360</v>
      </c>
      <c r="EI399" s="56"/>
      <c r="EJ399" s="162">
        <f>SUMPRODUCT(PRODUCE!$B392:$DY392,PRODUCE!$EB$22:$IY$22)</f>
        <v>0</v>
      </c>
      <c r="EK399" s="56"/>
      <c r="EL399" s="162">
        <f t="shared" si="2772"/>
        <v>0</v>
      </c>
      <c r="EM399" s="162">
        <f t="shared" si="2773"/>
        <v>0</v>
      </c>
      <c r="EN399" s="56"/>
      <c r="EQ399" s="55">
        <f t="shared" si="2774"/>
        <v>46360</v>
      </c>
      <c r="ER399" s="56"/>
      <c r="ES399" s="135">
        <f>SUMPRODUCT(PRODUCE!$B392:$DY392,PRODUCE!$EB$23:$IY$23)</f>
        <v>0</v>
      </c>
      <c r="ET399" s="56"/>
      <c r="EU399" s="135">
        <f t="shared" si="2775"/>
        <v>0</v>
      </c>
      <c r="EV399" s="135">
        <f t="shared" si="2776"/>
        <v>0</v>
      </c>
      <c r="EW399" s="56"/>
      <c r="EZ399" s="55">
        <f t="shared" si="2777"/>
        <v>46360</v>
      </c>
      <c r="FA399" s="56"/>
      <c r="FB399" s="175">
        <f>SUMPRODUCT(PRODUCE!$B392:$DY392,PRODUCE!$EB$24:$IY$24)</f>
        <v>0</v>
      </c>
      <c r="FC399" s="56"/>
      <c r="FD399" s="175">
        <f t="shared" si="2778"/>
        <v>0</v>
      </c>
      <c r="FE399" s="175">
        <f t="shared" si="2779"/>
        <v>0</v>
      </c>
      <c r="FF399" s="56"/>
      <c r="FI399" s="55">
        <f t="shared" si="2780"/>
        <v>46360</v>
      </c>
      <c r="FJ399" s="56"/>
      <c r="FK399" s="183">
        <f>SUMPRODUCT(PRODUCE!$B392:$DY392,PRODUCE!$EB$25:$IY$25)</f>
        <v>0</v>
      </c>
      <c r="FL399" s="56"/>
      <c r="FM399" s="183">
        <f t="shared" si="2781"/>
        <v>0</v>
      </c>
      <c r="FN399" s="183">
        <f t="shared" si="2782"/>
        <v>0</v>
      </c>
      <c r="FO399" s="56"/>
      <c r="FR399" s="55">
        <f t="shared" si="2783"/>
        <v>46360</v>
      </c>
      <c r="FS399" s="56"/>
      <c r="FT399" s="186">
        <f>SUMPRODUCT(PRODUCE!$B392:$DY392,PRODUCE!$EB$26:$IY$26)</f>
        <v>0</v>
      </c>
      <c r="FU399" s="56"/>
      <c r="FV399" s="186">
        <f t="shared" si="2784"/>
        <v>0</v>
      </c>
      <c r="FW399" s="186">
        <f t="shared" si="2785"/>
        <v>2020</v>
      </c>
      <c r="FX399" s="56"/>
      <c r="GA399" s="55">
        <f t="shared" si="2786"/>
        <v>46360</v>
      </c>
      <c r="GB399" s="56"/>
      <c r="GC399" s="137">
        <f>SUMPRODUCT(PRODUCE!$B392:$DY392,PRODUCE!$EB$27:$IY$27)</f>
        <v>0</v>
      </c>
      <c r="GD399" s="56"/>
      <c r="GE399" s="137">
        <f t="shared" si="2787"/>
        <v>0</v>
      </c>
      <c r="GF399" s="137">
        <f t="shared" si="2788"/>
        <v>960</v>
      </c>
      <c r="GG399" s="56"/>
      <c r="GI399" s="23"/>
      <c r="GJ399" s="55">
        <f t="shared" si="2789"/>
        <v>46360</v>
      </c>
      <c r="GK399" s="56"/>
      <c r="GL399" s="199">
        <f>SUMPRODUCT(PRODUCE!$B392:$DY392,PRODUCE!$EB$28:$IY$28)</f>
        <v>0</v>
      </c>
      <c r="GM399" s="56"/>
      <c r="GN399" s="199">
        <f t="shared" si="2790"/>
        <v>0</v>
      </c>
      <c r="GO399" s="199">
        <f t="shared" si="2791"/>
        <v>1760</v>
      </c>
      <c r="GP399" s="56"/>
      <c r="GS399" s="55">
        <f t="shared" si="2792"/>
        <v>46360</v>
      </c>
      <c r="GT399" s="56"/>
      <c r="GU399" s="195">
        <f>SUMPRODUCT(PRODUCE!$B392:$DY392,PRODUCE!$EB$29:$IY$29)</f>
        <v>0</v>
      </c>
      <c r="GV399" s="56"/>
      <c r="GW399" s="195">
        <f t="shared" si="2793"/>
        <v>0</v>
      </c>
      <c r="GX399" s="195">
        <f t="shared" si="2794"/>
        <v>400</v>
      </c>
      <c r="GY399" s="56"/>
      <c r="HB399" s="55">
        <f t="shared" si="2795"/>
        <v>46360</v>
      </c>
      <c r="HC399" s="56"/>
      <c r="HD399" s="191">
        <f>SUMPRODUCT(PRODUCE!$B392:$DY392,PRODUCE!$EB$30:$IY$30)</f>
        <v>0</v>
      </c>
      <c r="HE399" s="56"/>
      <c r="HF399" s="191">
        <f t="shared" si="2796"/>
        <v>0</v>
      </c>
      <c r="HG399" s="191">
        <f t="shared" si="2797"/>
        <v>3600</v>
      </c>
      <c r="HH399" s="56"/>
      <c r="HK399" s="55">
        <f t="shared" si="2798"/>
        <v>46360</v>
      </c>
      <c r="HL399" s="56"/>
      <c r="HM399" s="63">
        <f>SUMPRODUCT(PRODUCE!$B392:$DY392,PRODUCE!$EB$31:$IY$31)</f>
        <v>0</v>
      </c>
      <c r="HN399" s="56"/>
      <c r="HO399" s="63">
        <f t="shared" si="2799"/>
        <v>0</v>
      </c>
      <c r="HP399" s="63">
        <f t="shared" si="2800"/>
        <v>0</v>
      </c>
      <c r="HQ399" s="56"/>
      <c r="HU399" s="55">
        <f t="shared" si="2801"/>
        <v>46360</v>
      </c>
      <c r="HV399" s="56"/>
      <c r="HW399" s="242">
        <f>SUMPRODUCT(PRODUCE!$B392:$DY392,PRODUCE!$EB$32:$IY$32)</f>
        <v>0</v>
      </c>
      <c r="HX399" s="56"/>
      <c r="HY399" s="242">
        <f t="shared" si="2802"/>
        <v>0</v>
      </c>
      <c r="HZ399" s="242">
        <f t="shared" si="2803"/>
        <v>6120</v>
      </c>
      <c r="IA399" s="56"/>
      <c r="ID399" s="55">
        <f t="shared" si="2804"/>
        <v>46360</v>
      </c>
      <c r="IE399" s="56"/>
      <c r="IF399" s="242">
        <f>SUMPRODUCT(PRODUCE!$B392:$DY392,PRODUCE!$EB$33:$IY$33)</f>
        <v>0</v>
      </c>
      <c r="IG399" s="56"/>
      <c r="IH399" s="242">
        <f t="shared" si="2805"/>
        <v>0</v>
      </c>
      <c r="II399" s="242">
        <f t="shared" si="2806"/>
        <v>0</v>
      </c>
      <c r="IJ399" s="56"/>
      <c r="IM399" s="55">
        <f t="shared" si="2807"/>
        <v>46360</v>
      </c>
      <c r="IN399" s="56"/>
      <c r="IO399" s="242">
        <f>SUMPRODUCT(PRODUCE!$B392:$DY392,PRODUCE!$EB$34:$IY$34)</f>
        <v>0</v>
      </c>
      <c r="IP399" s="56"/>
      <c r="IQ399" s="242">
        <f t="shared" si="2808"/>
        <v>0</v>
      </c>
      <c r="IR399" s="242">
        <f t="shared" si="2809"/>
        <v>0</v>
      </c>
      <c r="IS399" s="56"/>
      <c r="IV399" s="55">
        <f t="shared" si="2810"/>
        <v>46360</v>
      </c>
      <c r="IW399" s="56"/>
      <c r="IX399" s="242">
        <f>SUMPRODUCT(PRODUCE!$B392:$DY392,PRODUCE!$EB$35:$IY$35)</f>
        <v>0</v>
      </c>
      <c r="IY399" s="56"/>
      <c r="IZ399" s="242">
        <f t="shared" si="2811"/>
        <v>0</v>
      </c>
      <c r="JA399" s="242">
        <f t="shared" si="2812"/>
        <v>2820</v>
      </c>
      <c r="JB399" s="56"/>
      <c r="JE399" s="55">
        <f t="shared" si="2813"/>
        <v>46360</v>
      </c>
      <c r="JF399" s="56"/>
      <c r="JG399" s="242">
        <f>SUMPRODUCT(PRODUCE!$B392:$DY392,PRODUCE!$EB$36:$IY$36)</f>
        <v>0</v>
      </c>
      <c r="JH399" s="56"/>
      <c r="JI399" s="242">
        <f t="shared" si="2814"/>
        <v>0</v>
      </c>
      <c r="JJ399" s="242">
        <f t="shared" si="2815"/>
        <v>0</v>
      </c>
      <c r="JK399" s="56"/>
      <c r="JN399" s="55">
        <f t="shared" si="2816"/>
        <v>46360</v>
      </c>
      <c r="JO399" s="56"/>
      <c r="JP399" s="242">
        <f>SUMPRODUCT(PRODUCE!$B392:$DY392,PRODUCE!$EB$37:$IY$37)</f>
        <v>0</v>
      </c>
      <c r="JQ399" s="56"/>
      <c r="JR399" s="242">
        <f t="shared" si="2817"/>
        <v>0</v>
      </c>
      <c r="JS399" s="242">
        <f t="shared" si="2818"/>
        <v>0</v>
      </c>
      <c r="JT399" s="56"/>
      <c r="JW399" s="55">
        <f t="shared" si="2819"/>
        <v>46360</v>
      </c>
      <c r="JX399" s="56"/>
      <c r="JY399" s="242">
        <f>SUMPRODUCT(PRODUCE!$B392:$DY392,PRODUCE!$EB$38:$IY$38)</f>
        <v>0</v>
      </c>
      <c r="JZ399" s="56"/>
      <c r="KA399" s="242">
        <f t="shared" si="2820"/>
        <v>0</v>
      </c>
      <c r="KB399" s="242">
        <f t="shared" si="2821"/>
        <v>2540</v>
      </c>
      <c r="KC399" s="56"/>
      <c r="KF399" s="55">
        <f t="shared" si="2822"/>
        <v>46360</v>
      </c>
      <c r="KG399" s="56"/>
      <c r="KH399" s="242">
        <f>SUMPRODUCT(PRODUCE!$B392:$DY392,PRODUCE!$EB$39:$IY$39)</f>
        <v>0</v>
      </c>
      <c r="KI399" s="56"/>
      <c r="KJ399" s="242">
        <f t="shared" si="2823"/>
        <v>0</v>
      </c>
      <c r="KK399" s="242">
        <f t="shared" si="2824"/>
        <v>2359.5</v>
      </c>
      <c r="KL399" s="56"/>
      <c r="KO399" s="55">
        <f t="shared" si="2825"/>
        <v>46360</v>
      </c>
      <c r="KP399" s="56"/>
      <c r="KQ399" s="242">
        <f>SUMPRODUCT(PRODUCE!$B392:$DY392,PRODUCE!$EB$40:$IY$40)</f>
        <v>0</v>
      </c>
      <c r="KR399" s="56"/>
      <c r="KS399" s="242">
        <f t="shared" si="2826"/>
        <v>0</v>
      </c>
      <c r="KT399" s="242">
        <f t="shared" si="2827"/>
        <v>1890</v>
      </c>
      <c r="KU399" s="56"/>
      <c r="KW399" s="23"/>
      <c r="KX399" s="55">
        <f t="shared" si="2828"/>
        <v>46360</v>
      </c>
      <c r="KY399" s="56"/>
      <c r="KZ399" s="242">
        <f>SUMPRODUCT(PRODUCE!$B392:$DY392,PRODUCE!$EB$41:$IY$41)</f>
        <v>0</v>
      </c>
      <c r="LA399" s="56"/>
      <c r="LB399" s="242">
        <f t="shared" si="2829"/>
        <v>0</v>
      </c>
      <c r="LC399" s="242">
        <f t="shared" si="2830"/>
        <v>3690</v>
      </c>
      <c r="LD399" s="56"/>
      <c r="LG399" s="55">
        <f t="shared" si="2831"/>
        <v>46360</v>
      </c>
      <c r="LH399" s="56"/>
      <c r="LI399" s="242">
        <f>SUMPRODUCT(PRODUCE!$B392:$DY392,PRODUCE!$EB$42:$IY$42)</f>
        <v>0</v>
      </c>
      <c r="LJ399" s="56"/>
      <c r="LK399" s="242">
        <f t="shared" si="2832"/>
        <v>0</v>
      </c>
      <c r="LL399" s="242">
        <f t="shared" si="2833"/>
        <v>4000</v>
      </c>
      <c r="LM399" s="56"/>
      <c r="LP399" s="55">
        <f t="shared" si="2834"/>
        <v>46360</v>
      </c>
      <c r="LQ399" s="56"/>
      <c r="LR399" s="242">
        <f>SUMPRODUCT(PRODUCE!$B414:$DY414,PRODUCE!$EB$43:$IY$43)</f>
        <v>0</v>
      </c>
      <c r="LS399" s="56"/>
      <c r="LT399" s="242">
        <f t="shared" si="2835"/>
        <v>0</v>
      </c>
      <c r="LU399" s="242">
        <f t="shared" si="2836"/>
        <v>0</v>
      </c>
      <c r="LV399" s="56"/>
      <c r="LY399" s="55">
        <f t="shared" si="2837"/>
        <v>46360</v>
      </c>
      <c r="LZ399" s="56"/>
      <c r="MA399" s="242">
        <f>SUMPRODUCT(PRODUCE!$B392:$DY392,PRODUCE!$EB$44:$IY$44)</f>
        <v>0</v>
      </c>
      <c r="MB399" s="56"/>
      <c r="MC399" s="242">
        <f t="shared" si="2838"/>
        <v>0</v>
      </c>
      <c r="MD399" s="242">
        <f t="shared" si="2839"/>
        <v>0</v>
      </c>
      <c r="ME399" s="56"/>
      <c r="MH399" s="55">
        <f t="shared" si="2840"/>
        <v>46360</v>
      </c>
      <c r="MI399" s="56"/>
      <c r="MJ399" s="242">
        <f>SUMPRODUCT(PRODUCE!$B392:$DY392,PRODUCE!$EB$45:$IY$45)</f>
        <v>0</v>
      </c>
      <c r="MK399" s="56"/>
      <c r="ML399" s="242">
        <f t="shared" si="2841"/>
        <v>0</v>
      </c>
      <c r="MM399" s="242">
        <f t="shared" si="2842"/>
        <v>0</v>
      </c>
      <c r="MN399" s="56"/>
      <c r="MQ399" s="55">
        <f t="shared" si="2843"/>
        <v>46360</v>
      </c>
      <c r="MR399" s="56"/>
      <c r="MS399" s="242">
        <f>SUMPRODUCT(PRODUCE!$B392:$DY392,PRODUCE!$EB$46:$IY$46)</f>
        <v>0</v>
      </c>
      <c r="MT399" s="56"/>
      <c r="MU399" s="242">
        <f t="shared" si="2844"/>
        <v>0</v>
      </c>
      <c r="MV399" s="242">
        <f t="shared" si="2845"/>
        <v>1625</v>
      </c>
      <c r="MW399" s="56"/>
      <c r="MZ399" s="55">
        <f t="shared" si="2846"/>
        <v>46360</v>
      </c>
      <c r="NA399" s="56"/>
      <c r="NB399" s="242">
        <f>SUMPRODUCT(PRODUCE!$B392:$DY392,PRODUCE!$EB$47:$IY$47)</f>
        <v>0</v>
      </c>
      <c r="NC399" s="56"/>
      <c r="ND399" s="242">
        <f t="shared" si="2847"/>
        <v>0</v>
      </c>
      <c r="NE399" s="242">
        <f t="shared" si="2848"/>
        <v>0</v>
      </c>
      <c r="NF399" s="56"/>
      <c r="NI399" s="55">
        <f t="shared" si="2849"/>
        <v>46360</v>
      </c>
      <c r="NJ399" s="56"/>
      <c r="NK399" s="242">
        <f>SUMPRODUCT(PRODUCE!$B392:$DY392,PRODUCE!$EB$48:$IY$48)</f>
        <v>0</v>
      </c>
      <c r="NL399" s="56"/>
      <c r="NM399" s="242">
        <f t="shared" si="2850"/>
        <v>0</v>
      </c>
      <c r="NN399" s="242">
        <f t="shared" si="2851"/>
        <v>1127</v>
      </c>
      <c r="NO399" s="56"/>
      <c r="NR399" s="55">
        <f t="shared" si="2852"/>
        <v>46360</v>
      </c>
      <c r="NS399" s="56"/>
      <c r="NT399" s="242">
        <f>SUMPRODUCT(PRODUCE!$B392:$DY392,PRODUCE!$EB$49:$IY$49)</f>
        <v>0</v>
      </c>
      <c r="NU399" s="56"/>
      <c r="NV399" s="242">
        <f t="shared" si="2853"/>
        <v>0</v>
      </c>
      <c r="NW399" s="242">
        <f t="shared" si="2854"/>
        <v>3111.9999999999995</v>
      </c>
      <c r="NX399" s="56"/>
      <c r="OA399" s="55">
        <f t="shared" si="2855"/>
        <v>46360</v>
      </c>
      <c r="OB399" s="56"/>
      <c r="OC399" s="242">
        <f>SUMPRODUCT(PRODUCE!$B392:$DY392,PRODUCE!$EB$50:$IY$50)</f>
        <v>0</v>
      </c>
      <c r="OD399" s="56"/>
      <c r="OE399" s="242">
        <f t="shared" si="2856"/>
        <v>0</v>
      </c>
      <c r="OF399" s="242">
        <f t="shared" si="2857"/>
        <v>1680.5</v>
      </c>
      <c r="OG399" s="56"/>
      <c r="OJ399" s="55">
        <f t="shared" si="2858"/>
        <v>46360</v>
      </c>
      <c r="OK399" s="56"/>
      <c r="OL399" s="242">
        <f>SUMPRODUCT(PRODUCE!$B392:$DY392,PRODUCE!$EB$51:$IY$51)</f>
        <v>0</v>
      </c>
      <c r="OM399" s="56"/>
      <c r="ON399" s="242">
        <f t="shared" si="2859"/>
        <v>0</v>
      </c>
      <c r="OO399" s="242">
        <f t="shared" si="2860"/>
        <v>0</v>
      </c>
      <c r="OP399" s="56"/>
      <c r="OS399" s="55">
        <f t="shared" si="2861"/>
        <v>46360</v>
      </c>
      <c r="OT399" s="56"/>
      <c r="OU399" s="242">
        <f>SUMPRODUCT(PRODUCE!$B392:$DY392,PRODUCE!$EB$52:$IY$52)</f>
        <v>0</v>
      </c>
      <c r="OV399" s="56"/>
      <c r="OW399" s="242">
        <f t="shared" si="2862"/>
        <v>0</v>
      </c>
      <c r="OX399" s="242">
        <f t="shared" si="2863"/>
        <v>1482</v>
      </c>
      <c r="OY399" s="56"/>
      <c r="PB399" s="55">
        <f t="shared" si="2864"/>
        <v>46360</v>
      </c>
      <c r="PC399" s="56"/>
      <c r="PD399" s="242">
        <f>SUMPRODUCT(PRODUCE!$B392:$DY392,PRODUCE!$EB$53:$IY$53)</f>
        <v>0</v>
      </c>
      <c r="PE399" s="56"/>
      <c r="PF399" s="242">
        <f t="shared" si="2865"/>
        <v>0</v>
      </c>
      <c r="PG399" s="242">
        <f t="shared" si="2866"/>
        <v>0</v>
      </c>
      <c r="PH399" s="56"/>
      <c r="PK399" s="55">
        <f t="shared" si="2867"/>
        <v>46360</v>
      </c>
      <c r="PL399" s="56"/>
      <c r="PM399" s="242">
        <f>SUMPRODUCT(PRODUCE!$B392:$DY392,PRODUCE!$EB$54:$IY$54)</f>
        <v>0</v>
      </c>
      <c r="PN399" s="56"/>
      <c r="PO399" s="242">
        <f t="shared" si="2868"/>
        <v>0</v>
      </c>
      <c r="PP399" s="242">
        <f t="shared" si="2869"/>
        <v>100</v>
      </c>
      <c r="PQ399" s="56"/>
      <c r="PT399" s="55">
        <f t="shared" si="2870"/>
        <v>46360</v>
      </c>
      <c r="PU399" s="56"/>
      <c r="PV399" s="242">
        <f>SUMPRODUCT(PRODUCE!$B392:$DY392,PRODUCE!$EB$55:$IY$55)</f>
        <v>0</v>
      </c>
      <c r="PW399" s="56"/>
      <c r="PX399" s="242">
        <f t="shared" si="2871"/>
        <v>0</v>
      </c>
      <c r="PY399" s="242">
        <f t="shared" si="2872"/>
        <v>13.960000000000036</v>
      </c>
      <c r="PZ399" s="56"/>
      <c r="QC399" s="55">
        <f t="shared" si="2873"/>
        <v>46360</v>
      </c>
      <c r="QD399" s="56"/>
      <c r="QE399" s="242">
        <f>SUMPRODUCT(PRODUCE!$B392:$DY392,PRODUCE!$EB$56:$IY$56)</f>
        <v>0</v>
      </c>
      <c r="QF399" s="56"/>
      <c r="QG399" s="242">
        <f t="shared" si="2874"/>
        <v>0</v>
      </c>
      <c r="QH399" s="242">
        <f t="shared" si="2875"/>
        <v>548</v>
      </c>
      <c r="QI399" s="56"/>
      <c r="QL399" s="55">
        <f t="shared" si="2876"/>
        <v>46360</v>
      </c>
      <c r="QM399" s="56"/>
      <c r="QN399" s="242">
        <f>SUMPRODUCT(PRODUCE!$B392:$DY392,PRODUCE!$EB$57:$IY$57)</f>
        <v>0</v>
      </c>
      <c r="QO399" s="56"/>
      <c r="QP399" s="242">
        <f t="shared" si="2877"/>
        <v>0</v>
      </c>
      <c r="QQ399" s="242">
        <f t="shared" si="2878"/>
        <v>0</v>
      </c>
      <c r="QR399" s="56"/>
      <c r="QU399" s="55">
        <f t="shared" si="2879"/>
        <v>46360</v>
      </c>
      <c r="QV399" s="56"/>
      <c r="QW399" s="242">
        <f>SUMPRODUCT(PRODUCE!$B392:$DY392,PRODUCE!$EB$57:$IY$57)</f>
        <v>0</v>
      </c>
      <c r="QX399" s="56"/>
      <c r="QY399" s="242">
        <f t="shared" si="2880"/>
        <v>0</v>
      </c>
      <c r="QZ399" s="242">
        <f t="shared" si="2881"/>
        <v>0</v>
      </c>
      <c r="RA399" s="56"/>
      <c r="RD399" s="55">
        <f t="shared" si="2882"/>
        <v>46360</v>
      </c>
      <c r="RE399" s="56"/>
      <c r="RF399" s="242">
        <f>SUMPRODUCT(PRODUCE!$B392:$DY392,PRODUCE!$EB$58:$IY$58)</f>
        <v>0</v>
      </c>
      <c r="RG399" s="56"/>
      <c r="RH399" s="242">
        <f t="shared" si="2883"/>
        <v>0</v>
      </c>
      <c r="RI399" s="242">
        <f t="shared" si="2884"/>
        <v>147.04000000000002</v>
      </c>
      <c r="RJ399" s="56"/>
      <c r="RM399" s="55">
        <f t="shared" si="2885"/>
        <v>46360</v>
      </c>
      <c r="RN399" s="56"/>
      <c r="RO399" s="242">
        <f>SUMPRODUCT(PRODUCE!$B392:$DY392,PRODUCE!$EB$57:$IY$57)</f>
        <v>0</v>
      </c>
      <c r="RP399" s="56"/>
      <c r="RQ399" s="242">
        <f t="shared" si="2886"/>
        <v>0</v>
      </c>
      <c r="RR399" s="242">
        <f t="shared" si="2887"/>
        <v>46.8</v>
      </c>
      <c r="RS399" s="56"/>
      <c r="RV399" s="55">
        <f t="shared" si="2888"/>
        <v>46360</v>
      </c>
      <c r="RW399" s="56"/>
      <c r="RX399" s="242">
        <f>SUMPRODUCT(PRODUCE!$B392:$DY392,PRODUCE!$EB$57:$IY$57)</f>
        <v>0</v>
      </c>
      <c r="RY399" s="56"/>
      <c r="RZ399" s="242">
        <f t="shared" si="2889"/>
        <v>0</v>
      </c>
      <c r="SA399" s="242">
        <f t="shared" si="2890"/>
        <v>0</v>
      </c>
      <c r="SB399" s="56"/>
      <c r="SE399" s="55">
        <f t="shared" si="2891"/>
        <v>46360</v>
      </c>
      <c r="SF399" s="56"/>
      <c r="SG399" s="242">
        <f>SUMPRODUCT(PRODUCE!$B392:$DY392,PRODUCE!$EB$61:$IY$61)</f>
        <v>0</v>
      </c>
      <c r="SH399" s="56"/>
      <c r="SI399" s="242">
        <f t="shared" si="2892"/>
        <v>0</v>
      </c>
      <c r="SJ399" s="242">
        <f t="shared" si="2893"/>
        <v>24.200000000000003</v>
      </c>
      <c r="SK399" s="56"/>
      <c r="SN399" s="55">
        <f t="shared" si="2894"/>
        <v>46360</v>
      </c>
      <c r="SO399" s="56"/>
      <c r="SP399" s="242">
        <f>SUMPRODUCT(PRODUCE!$B392:$DY392,PRODUCE!$EB$57:$IY$57)</f>
        <v>0</v>
      </c>
      <c r="SQ399" s="56"/>
      <c r="SR399" s="242">
        <f t="shared" si="2895"/>
        <v>0</v>
      </c>
      <c r="SS399" s="242">
        <f t="shared" si="2896"/>
        <v>32</v>
      </c>
      <c r="ST399" s="56"/>
      <c r="SW399" s="55">
        <f t="shared" si="2897"/>
        <v>46360</v>
      </c>
      <c r="SX399" s="56"/>
      <c r="SY399" s="242">
        <f>SUMPRODUCT(PRODUCE!$B392:$DY392,PRODUCE!$EB$57:$IY$57)</f>
        <v>0</v>
      </c>
      <c r="SZ399" s="56"/>
      <c r="TA399" s="242">
        <f t="shared" si="2898"/>
        <v>0</v>
      </c>
      <c r="TB399" s="242">
        <f t="shared" si="2899"/>
        <v>0</v>
      </c>
      <c r="TC399" s="56"/>
      <c r="TF399" s="55">
        <f t="shared" si="2900"/>
        <v>46360</v>
      </c>
      <c r="TG399" s="56"/>
      <c r="TH399" s="242">
        <f>SUMPRODUCT(PRODUCE!$B392:$DY392,PRODUCE!$EB$57:$IY$57)</f>
        <v>0</v>
      </c>
      <c r="TI399" s="56"/>
      <c r="TJ399" s="242">
        <f t="shared" si="2901"/>
        <v>0</v>
      </c>
      <c r="TK399" s="242">
        <f t="shared" si="2902"/>
        <v>0</v>
      </c>
      <c r="TL399" s="56"/>
      <c r="TO399" s="55">
        <f t="shared" si="2903"/>
        <v>46360</v>
      </c>
      <c r="TP399" s="56"/>
      <c r="TQ399" s="242">
        <f>SUMPRODUCT(PRODUCE!$B392:$DY392,PRODUCE!$EB$57:$IY$57)</f>
        <v>0</v>
      </c>
      <c r="TR399" s="56"/>
      <c r="TS399" s="242">
        <f t="shared" si="2904"/>
        <v>0</v>
      </c>
      <c r="TT399" s="242">
        <f t="shared" si="2905"/>
        <v>0</v>
      </c>
      <c r="TU399" s="56"/>
      <c r="TX399" s="55">
        <f t="shared" si="2906"/>
        <v>46360</v>
      </c>
      <c r="TY399" s="56"/>
      <c r="TZ399" s="242">
        <f>SUMPRODUCT(PRODUCE!$B392:$DY392,PRODUCE!$EB$57:$IY$57)</f>
        <v>0</v>
      </c>
      <c r="UA399" s="56"/>
      <c r="UB399" s="242">
        <f t="shared" si="2907"/>
        <v>0</v>
      </c>
      <c r="UC399" s="242">
        <f t="shared" si="2908"/>
        <v>46.799999999999983</v>
      </c>
      <c r="UD399" s="56"/>
      <c r="UG399" s="55">
        <f t="shared" si="2909"/>
        <v>46360</v>
      </c>
      <c r="UH399" s="56"/>
      <c r="UI399" s="242">
        <f>SUMPRODUCT(PRODUCE!$B392:$DY392,PRODUCE!$EB$57:$IY$57)</f>
        <v>0</v>
      </c>
      <c r="UJ399" s="56"/>
      <c r="UK399" s="242">
        <f t="shared" si="2910"/>
        <v>0</v>
      </c>
      <c r="UL399" s="242">
        <f t="shared" si="2911"/>
        <v>204</v>
      </c>
      <c r="UM399" s="56"/>
      <c r="UP399" s="55">
        <f t="shared" si="2912"/>
        <v>46360</v>
      </c>
      <c r="UQ399" s="56"/>
      <c r="UR399" s="242">
        <f>SUMPRODUCT(PRODUCE!$B392:$DY392,PRODUCE!$EB$57:$IY$57)</f>
        <v>0</v>
      </c>
      <c r="US399" s="56"/>
      <c r="UT399" s="242">
        <f t="shared" si="2913"/>
        <v>0</v>
      </c>
      <c r="UU399" s="242">
        <f t="shared" si="2914"/>
        <v>202.5</v>
      </c>
      <c r="UV399" s="56"/>
      <c r="UY399" s="55">
        <f t="shared" si="2915"/>
        <v>46360</v>
      </c>
      <c r="UZ399" s="56"/>
      <c r="VA399" s="242">
        <f>SUMPRODUCT(PRODUCE!$B392:$DY392,PRODUCE!$EB$57:$IY$57)</f>
        <v>0</v>
      </c>
      <c r="VB399" s="56"/>
      <c r="VC399" s="242">
        <f t="shared" si="2916"/>
        <v>0</v>
      </c>
      <c r="VD399" s="242">
        <f t="shared" si="2917"/>
        <v>41.600000000000023</v>
      </c>
      <c r="VE399" s="56"/>
      <c r="VH399" s="55">
        <f t="shared" si="2918"/>
        <v>46360</v>
      </c>
      <c r="VI399" s="56"/>
      <c r="VJ399" s="242">
        <f>SUMPRODUCT(PRODUCE!$B392:$DY392,PRODUCE!$EB$57:$IY$57)</f>
        <v>0</v>
      </c>
      <c r="VK399" s="56"/>
      <c r="VL399" s="242">
        <f t="shared" si="2919"/>
        <v>0</v>
      </c>
      <c r="VM399" s="242">
        <f t="shared" si="2920"/>
        <v>210</v>
      </c>
      <c r="VN399" s="56"/>
      <c r="VQ399" s="55">
        <f t="shared" si="2921"/>
        <v>46360</v>
      </c>
      <c r="VR399" s="56"/>
      <c r="VS399" s="242">
        <f>SUMPRODUCT(PRODUCE!$B392:$DY392,PRODUCE!$EB$57:$IY$57)</f>
        <v>0</v>
      </c>
      <c r="VT399" s="56"/>
      <c r="VU399" s="242">
        <f t="shared" si="2922"/>
        <v>0</v>
      </c>
      <c r="VV399" s="242">
        <f t="shared" si="2923"/>
        <v>0</v>
      </c>
      <c r="VW399" s="56"/>
      <c r="VZ399" s="55">
        <f t="shared" si="2924"/>
        <v>46360</v>
      </c>
      <c r="WA399" s="56"/>
      <c r="WB399" s="242">
        <f>SUMPRODUCT(PRODUCE!$B392:$DY392,PRODUCE!$EB$57:$IY$57)</f>
        <v>0</v>
      </c>
      <c r="WC399" s="56"/>
      <c r="WD399" s="242">
        <f t="shared" si="2925"/>
        <v>0</v>
      </c>
      <c r="WE399" s="242">
        <f t="shared" si="2926"/>
        <v>0</v>
      </c>
      <c r="WF399" s="56"/>
      <c r="WI399" s="55">
        <f t="shared" si="2927"/>
        <v>46360</v>
      </c>
      <c r="WJ399" s="56"/>
      <c r="WK399" s="242">
        <f>SUMPRODUCT(PRODUCE!$B392:$DY392,PRODUCE!$EB$57:$IY$57)</f>
        <v>0</v>
      </c>
      <c r="WL399" s="56"/>
      <c r="WM399" s="242">
        <f t="shared" si="2928"/>
        <v>0</v>
      </c>
      <c r="WN399" s="242">
        <f t="shared" si="2929"/>
        <v>1057</v>
      </c>
      <c r="WO399" s="56"/>
      <c r="WR399" s="55">
        <f t="shared" si="2930"/>
        <v>46360</v>
      </c>
      <c r="WS399" s="56"/>
      <c r="WT399" s="242">
        <f>SUMPRODUCT(PRODUCE!$B392:$DY392,PRODUCE!$EB$57:$IY$57)</f>
        <v>0</v>
      </c>
      <c r="WU399" s="56"/>
      <c r="WV399" s="242">
        <f t="shared" si="2931"/>
        <v>0</v>
      </c>
      <c r="WW399" s="242">
        <f t="shared" si="2932"/>
        <v>0</v>
      </c>
      <c r="WX399" s="56"/>
      <c r="XA399" s="55">
        <f t="shared" si="2933"/>
        <v>46360</v>
      </c>
      <c r="XB399" s="56"/>
      <c r="XC399" s="242">
        <f>SUMPRODUCT(PRODUCE!$B392:$DY392,PRODUCE!$EB$57:$IY$57)</f>
        <v>0</v>
      </c>
      <c r="XD399" s="56"/>
      <c r="XE399" s="242">
        <f t="shared" si="2934"/>
        <v>0</v>
      </c>
      <c r="XF399" s="242">
        <f t="shared" si="2935"/>
        <v>7507</v>
      </c>
      <c r="XG399" s="56"/>
      <c r="XJ399" s="55">
        <f t="shared" si="2936"/>
        <v>46360</v>
      </c>
      <c r="XK399" s="56"/>
      <c r="XL399" s="242">
        <f>SUMPRODUCT(PRODUCE!$B392:$DY392,PRODUCE!$EB$57:$IY$57)</f>
        <v>0</v>
      </c>
      <c r="XM399" s="56"/>
      <c r="XN399" s="242">
        <f t="shared" si="2937"/>
        <v>0</v>
      </c>
      <c r="XO399" s="242">
        <f t="shared" si="2938"/>
        <v>4252</v>
      </c>
      <c r="XP399" s="56"/>
      <c r="XS399" s="55">
        <f t="shared" si="2939"/>
        <v>46360</v>
      </c>
      <c r="XT399" s="56"/>
      <c r="XU399" s="242">
        <f>SUMPRODUCT(PRODUCE!$B392:$DY392,PRODUCE!$EB$57:$IY$57)</f>
        <v>0</v>
      </c>
      <c r="XV399" s="56"/>
      <c r="XW399" s="242">
        <f t="shared" si="2940"/>
        <v>0</v>
      </c>
      <c r="XX399" s="242">
        <f t="shared" si="2941"/>
        <v>2179</v>
      </c>
      <c r="XY399" s="56"/>
      <c r="YB399" s="55">
        <f t="shared" si="2942"/>
        <v>46360</v>
      </c>
      <c r="YC399" s="56"/>
      <c r="YD399" s="242">
        <f>SUMPRODUCT(PRODUCE!$B392:$DY392,PRODUCE!$EB$57:$IY$57)</f>
        <v>0</v>
      </c>
      <c r="YE399" s="56"/>
      <c r="YF399" s="242">
        <f t="shared" si="2943"/>
        <v>0</v>
      </c>
      <c r="YG399" s="242">
        <f t="shared" si="2944"/>
        <v>4019</v>
      </c>
      <c r="YH399" s="56"/>
      <c r="YK399" s="55">
        <f t="shared" si="2945"/>
        <v>46360</v>
      </c>
      <c r="YL399" s="56"/>
      <c r="YM399" s="242">
        <f>SUMPRODUCT(PRODUCE!$B392:$DY392,PRODUCE!$EB$57:$IY$57)</f>
        <v>0</v>
      </c>
      <c r="YN399" s="56"/>
      <c r="YO399" s="242">
        <f t="shared" si="2946"/>
        <v>0</v>
      </c>
      <c r="YP399" s="242">
        <f t="shared" si="2947"/>
        <v>-218</v>
      </c>
      <c r="YQ399" s="56"/>
      <c r="YT399" s="55">
        <f t="shared" si="2948"/>
        <v>46360</v>
      </c>
      <c r="YU399" s="56"/>
      <c r="YV399" s="242">
        <f>SUMPRODUCT(PRODUCE!$B392:$DY392,PRODUCE!$EB$57:$IY$57)</f>
        <v>0</v>
      </c>
      <c r="YW399" s="56"/>
      <c r="YX399" s="242">
        <f t="shared" si="2949"/>
        <v>0</v>
      </c>
      <c r="YY399" s="242">
        <f t="shared" si="2950"/>
        <v>0</v>
      </c>
      <c r="YZ399" s="56"/>
      <c r="ZC399" s="55">
        <f t="shared" si="2951"/>
        <v>46360</v>
      </c>
      <c r="ZD399" s="56"/>
      <c r="ZE399" s="242">
        <f>SUMPRODUCT(PRODUCE!$B392:$DY392,PRODUCE!$EB$57:$IY$57)</f>
        <v>0</v>
      </c>
      <c r="ZF399" s="56"/>
      <c r="ZG399" s="242">
        <f t="shared" si="2952"/>
        <v>0</v>
      </c>
      <c r="ZH399" s="242">
        <f t="shared" si="2953"/>
        <v>0</v>
      </c>
      <c r="ZI399" s="56"/>
      <c r="ZL399" s="55">
        <f t="shared" si="2954"/>
        <v>46360</v>
      </c>
      <c r="ZM399" s="56"/>
      <c r="ZN399" s="242">
        <f>SUMPRODUCT(PRODUCE!$B392:$DY392,PRODUCE!$EB$57:$IY$57)</f>
        <v>0</v>
      </c>
      <c r="ZO399" s="56"/>
      <c r="ZP399" s="242">
        <f t="shared" si="2955"/>
        <v>0</v>
      </c>
      <c r="ZQ399" s="242">
        <f t="shared" si="2956"/>
        <v>0</v>
      </c>
      <c r="ZR399" s="56"/>
      <c r="ZU399" s="55">
        <f t="shared" si="2957"/>
        <v>46360</v>
      </c>
      <c r="ZV399" s="56"/>
      <c r="ZW399" s="242">
        <f>SUMPRODUCT(PRODUCE!$B392:$DY392,PRODUCE!$EB$57:$IY$57)</f>
        <v>0</v>
      </c>
      <c r="ZX399" s="56"/>
      <c r="ZY399" s="242">
        <f t="shared" si="2958"/>
        <v>0</v>
      </c>
      <c r="ZZ399" s="242">
        <f t="shared" si="2959"/>
        <v>0</v>
      </c>
      <c r="AAA399" s="56"/>
      <c r="AAD399" s="55">
        <f t="shared" si="2960"/>
        <v>46360</v>
      </c>
      <c r="AAE399" s="56"/>
      <c r="AAF399" s="242">
        <f>SUMPRODUCT(PRODUCE!$B392:$DY392,PRODUCE!$EB$57:$IY$57)</f>
        <v>0</v>
      </c>
      <c r="AAG399" s="56"/>
      <c r="AAH399" s="242">
        <f t="shared" si="2961"/>
        <v>0</v>
      </c>
      <c r="AAI399" s="242">
        <f t="shared" si="2962"/>
        <v>0</v>
      </c>
      <c r="AAJ399" s="56"/>
      <c r="AAM399" s="55">
        <f t="shared" si="2963"/>
        <v>46360</v>
      </c>
      <c r="AAN399" s="56"/>
      <c r="AAO399" s="242">
        <f>SUMPRODUCT(PRODUCE!$B392:$DY392,PRODUCE!$EB$57:$IY$57)</f>
        <v>0</v>
      </c>
      <c r="AAP399" s="56"/>
      <c r="AAQ399" s="242">
        <f t="shared" si="2964"/>
        <v>0</v>
      </c>
      <c r="AAR399" s="242">
        <f t="shared" si="2965"/>
        <v>0</v>
      </c>
      <c r="AAS399" s="56"/>
      <c r="AAV399" s="55">
        <f t="shared" si="2966"/>
        <v>46360</v>
      </c>
      <c r="AAW399" s="56"/>
      <c r="AAX399" s="242">
        <f>SUMPRODUCT(PRODUCE!$B392:$DY392,PRODUCE!$EB$57:$IY$57)</f>
        <v>0</v>
      </c>
      <c r="AAY399" s="56"/>
      <c r="AAZ399" s="242">
        <f t="shared" si="2967"/>
        <v>0</v>
      </c>
      <c r="ABA399" s="242">
        <f t="shared" si="2968"/>
        <v>0</v>
      </c>
      <c r="ABB399" s="56"/>
      <c r="ABE399" s="55">
        <f t="shared" si="2969"/>
        <v>46360</v>
      </c>
      <c r="ABF399" s="56"/>
      <c r="ABG399" s="242">
        <f>SUMPRODUCT(PRODUCE!$B392:$DY392,PRODUCE!$EB$57:$IY$57)</f>
        <v>0</v>
      </c>
      <c r="ABH399" s="56"/>
      <c r="ABI399" s="242">
        <f t="shared" si="2970"/>
        <v>0</v>
      </c>
      <c r="ABJ399" s="242">
        <f t="shared" si="2971"/>
        <v>0</v>
      </c>
      <c r="ABK399" s="56"/>
    </row>
    <row r="400" spans="1:739" s="54" customFormat="1" ht="15" customHeight="1" outlineLevel="1">
      <c r="B400" s="478"/>
      <c r="C400" s="55">
        <v>46361</v>
      </c>
      <c r="D400" s="56"/>
      <c r="E400" s="57">
        <f>SUMPRODUCT(PRODUCE!$B393:$DY393,PRODUCE!$EB$7:$IY$7)</f>
        <v>0</v>
      </c>
      <c r="F400" s="56"/>
      <c r="G400" s="57">
        <f t="shared" si="2727"/>
        <v>0</v>
      </c>
      <c r="H400" s="57">
        <f t="shared" si="2728"/>
        <v>236936.6</v>
      </c>
      <c r="I400" s="289"/>
      <c r="L400" s="55">
        <f t="shared" si="2729"/>
        <v>46361</v>
      </c>
      <c r="M400" s="56"/>
      <c r="N400" s="59">
        <f>SUMPRODUCT(PRODUCE!$B393:$DY393,PRODUCE!$EB$8:$IY$8)</f>
        <v>0</v>
      </c>
      <c r="O400" s="56"/>
      <c r="P400" s="59">
        <f t="shared" si="2730"/>
        <v>0</v>
      </c>
      <c r="Q400" s="59">
        <f t="shared" si="2731"/>
        <v>53017.600000000071</v>
      </c>
      <c r="R400" s="56"/>
      <c r="U400" s="55">
        <f t="shared" si="2732"/>
        <v>46361</v>
      </c>
      <c r="V400" s="56"/>
      <c r="W400" s="60">
        <f>SUMPRODUCT(PRODUCE!$B393:$DY393,PRODUCE!$EB$9:$IY$9)</f>
        <v>0</v>
      </c>
      <c r="X400" s="56"/>
      <c r="Y400" s="60">
        <f t="shared" si="2733"/>
        <v>0</v>
      </c>
      <c r="Z400" s="60">
        <f t="shared" si="2734"/>
        <v>42674.199999999968</v>
      </c>
      <c r="AA400" s="56"/>
      <c r="AD400" s="55">
        <f t="shared" si="2735"/>
        <v>46361</v>
      </c>
      <c r="AE400" s="56"/>
      <c r="AF400" s="61">
        <f>SUMPRODUCT(PRODUCE!$B393:$DY393,PRODUCE!$EB$10:$IY$10)</f>
        <v>0</v>
      </c>
      <c r="AG400" s="56"/>
      <c r="AH400" s="61">
        <f t="shared" si="2736"/>
        <v>0</v>
      </c>
      <c r="AI400" s="61">
        <f t="shared" si="2737"/>
        <v>4522.2000000000189</v>
      </c>
      <c r="AJ400" s="56"/>
      <c r="AM400" s="55">
        <f t="shared" si="2738"/>
        <v>46361</v>
      </c>
      <c r="AN400" s="422"/>
      <c r="AO400" s="444">
        <f>SUMPRODUCT(PRODUCE!$B393:$DY393,PRODUCE!$EB$11:$IY$11)</f>
        <v>0</v>
      </c>
      <c r="AP400" s="422"/>
      <c r="AQ400" s="444">
        <f t="shared" si="2739"/>
        <v>0</v>
      </c>
      <c r="AR400" s="444">
        <f t="shared" si="2740"/>
        <v>0</v>
      </c>
      <c r="AS400" s="56"/>
      <c r="AV400" s="55">
        <f t="shared" si="2741"/>
        <v>46361</v>
      </c>
      <c r="AW400" s="56"/>
      <c r="AX400" s="62">
        <f>SUMPRODUCT(PRODUCE!$B393:$DY393,PRODUCE!$EB$12:$IY$12)</f>
        <v>0</v>
      </c>
      <c r="AY400" s="56"/>
      <c r="AZ400" s="62">
        <f t="shared" si="2742"/>
        <v>0</v>
      </c>
      <c r="BA400" s="62">
        <f t="shared" si="2743"/>
        <v>124.99999999999523</v>
      </c>
      <c r="BB400" s="56"/>
      <c r="BE400" s="55">
        <f t="shared" si="2744"/>
        <v>46361</v>
      </c>
      <c r="BF400" s="56"/>
      <c r="BG400" s="63">
        <f>SUMPRODUCT(PRODUCE!$B393:$DY393,PRODUCE!$EB$13:$IY$13)</f>
        <v>0</v>
      </c>
      <c r="BH400" s="56"/>
      <c r="BI400" s="63">
        <f t="shared" si="2745"/>
        <v>0</v>
      </c>
      <c r="BJ400" s="63">
        <f t="shared" si="2746"/>
        <v>26151.899999999998</v>
      </c>
      <c r="BK400" s="56"/>
      <c r="BN400" s="55">
        <f t="shared" si="2747"/>
        <v>46361</v>
      </c>
      <c r="BO400" s="56"/>
      <c r="BP400" s="64">
        <f>SUMPRODUCT(PRODUCE!$B393:$DY393,PRODUCE!$EB$14:$IY$14)</f>
        <v>0</v>
      </c>
      <c r="BQ400" s="56"/>
      <c r="BR400" s="64">
        <f t="shared" si="2748"/>
        <v>0</v>
      </c>
      <c r="BS400" s="64">
        <f t="shared" si="2749"/>
        <v>0</v>
      </c>
      <c r="BT400" s="56"/>
      <c r="BW400" s="55">
        <f t="shared" si="2750"/>
        <v>46361</v>
      </c>
      <c r="BX400" s="56"/>
      <c r="BY400" s="65">
        <f>SUMPRODUCT(PRODUCE!$B393:$DY393,PRODUCE!$EB$15:$IY$15)</f>
        <v>0</v>
      </c>
      <c r="BZ400" s="56"/>
      <c r="CA400" s="65">
        <f t="shared" si="2751"/>
        <v>0</v>
      </c>
      <c r="CB400" s="65">
        <f t="shared" si="2752"/>
        <v>2097.3399999999992</v>
      </c>
      <c r="CC400" s="56"/>
      <c r="CF400" s="55">
        <f t="shared" si="2753"/>
        <v>46361</v>
      </c>
      <c r="CG400" s="56"/>
      <c r="CH400" s="66">
        <f>SUMPRODUCT(PRODUCE!$B393:$DY393,PRODUCE!$EB$16:$IY$16)</f>
        <v>0</v>
      </c>
      <c r="CI400" s="56"/>
      <c r="CJ400" s="66">
        <f t="shared" si="2754"/>
        <v>0</v>
      </c>
      <c r="CK400" s="66">
        <f t="shared" si="2755"/>
        <v>-10277.079999999998</v>
      </c>
      <c r="CL400" s="56"/>
      <c r="CO400" s="55">
        <f t="shared" si="2756"/>
        <v>46361</v>
      </c>
      <c r="CP400" s="422"/>
      <c r="CQ400" s="470">
        <f>SUMPRODUCT(PRODUCE!$B393:$DY393,PRODUCE!$EB$17:$IY$17)</f>
        <v>0</v>
      </c>
      <c r="CR400" s="422"/>
      <c r="CS400" s="470">
        <f t="shared" si="2757"/>
        <v>0</v>
      </c>
      <c r="CT400" s="470">
        <f t="shared" si="2758"/>
        <v>0</v>
      </c>
      <c r="CU400" s="56"/>
      <c r="CX400" s="55">
        <f t="shared" si="2759"/>
        <v>46361</v>
      </c>
      <c r="CY400" s="56"/>
      <c r="CZ400" s="133">
        <f>SUMPRODUCT(PRODUCE!$B393:$DY393,PRODUCE!$EB$18:$IY$18)</f>
        <v>0</v>
      </c>
      <c r="DA400" s="56"/>
      <c r="DB400" s="133">
        <f t="shared" si="2760"/>
        <v>0</v>
      </c>
      <c r="DC400" s="133">
        <f t="shared" si="2761"/>
        <v>27438.200000000012</v>
      </c>
      <c r="DD400" s="56"/>
      <c r="DG400" s="55">
        <f t="shared" si="2762"/>
        <v>46361</v>
      </c>
      <c r="DH400" s="56"/>
      <c r="DI400" s="147">
        <f>SUMPRODUCT(PRODUCE!$B393:$DY393,PRODUCE!$EB$19:$IY$19)</f>
        <v>0</v>
      </c>
      <c r="DJ400" s="56"/>
      <c r="DK400" s="147">
        <f t="shared" si="2763"/>
        <v>0</v>
      </c>
      <c r="DL400" s="147">
        <f t="shared" si="2764"/>
        <v>18782.299999999981</v>
      </c>
      <c r="DM400" s="56"/>
      <c r="DP400" s="55">
        <f t="shared" si="2765"/>
        <v>46361</v>
      </c>
      <c r="DQ400" s="56"/>
      <c r="DR400" s="57">
        <f>SUMPRODUCT(PRODUCE!$B393:$DY393,PRODUCE!$EB$20:$IY$20)</f>
        <v>0</v>
      </c>
      <c r="DS400" s="56"/>
      <c r="DT400" s="57">
        <f t="shared" si="2766"/>
        <v>0</v>
      </c>
      <c r="DU400" s="57">
        <f t="shared" si="2767"/>
        <v>5800</v>
      </c>
      <c r="DV400" s="56"/>
      <c r="DY400" s="55">
        <f t="shared" si="2768"/>
        <v>46361</v>
      </c>
      <c r="DZ400" s="56"/>
      <c r="EA400" s="157">
        <f>SUMPRODUCT(PRODUCE!$B393:$DY393,PRODUCE!$EB$21:$IY$21)</f>
        <v>0</v>
      </c>
      <c r="EB400" s="56"/>
      <c r="EC400" s="157">
        <f t="shared" si="2769"/>
        <v>0</v>
      </c>
      <c r="ED400" s="157">
        <f t="shared" si="2770"/>
        <v>0</v>
      </c>
      <c r="EE400" s="56"/>
      <c r="EH400" s="55">
        <f t="shared" si="2771"/>
        <v>46361</v>
      </c>
      <c r="EI400" s="56"/>
      <c r="EJ400" s="162">
        <f>SUMPRODUCT(PRODUCE!$B393:$DY393,PRODUCE!$EB$22:$IY$22)</f>
        <v>0</v>
      </c>
      <c r="EK400" s="56"/>
      <c r="EL400" s="162">
        <f t="shared" si="2772"/>
        <v>0</v>
      </c>
      <c r="EM400" s="162">
        <f t="shared" si="2773"/>
        <v>0</v>
      </c>
      <c r="EN400" s="56"/>
      <c r="EQ400" s="55">
        <f t="shared" si="2774"/>
        <v>46361</v>
      </c>
      <c r="ER400" s="56"/>
      <c r="ES400" s="135">
        <f>SUMPRODUCT(PRODUCE!$B393:$DY393,PRODUCE!$EB$23:$IY$23)</f>
        <v>0</v>
      </c>
      <c r="ET400" s="56"/>
      <c r="EU400" s="135">
        <f t="shared" si="2775"/>
        <v>0</v>
      </c>
      <c r="EV400" s="135">
        <f t="shared" si="2776"/>
        <v>0</v>
      </c>
      <c r="EW400" s="56"/>
      <c r="EZ400" s="55">
        <f t="shared" si="2777"/>
        <v>46361</v>
      </c>
      <c r="FA400" s="56"/>
      <c r="FB400" s="175">
        <f>SUMPRODUCT(PRODUCE!$B393:$DY393,PRODUCE!$EB$24:$IY$24)</f>
        <v>0</v>
      </c>
      <c r="FC400" s="56"/>
      <c r="FD400" s="175">
        <f t="shared" si="2778"/>
        <v>0</v>
      </c>
      <c r="FE400" s="175">
        <f t="shared" si="2779"/>
        <v>0</v>
      </c>
      <c r="FF400" s="56"/>
      <c r="FI400" s="55">
        <f t="shared" si="2780"/>
        <v>46361</v>
      </c>
      <c r="FJ400" s="56"/>
      <c r="FK400" s="183">
        <f>SUMPRODUCT(PRODUCE!$B393:$DY393,PRODUCE!$EB$25:$IY$25)</f>
        <v>0</v>
      </c>
      <c r="FL400" s="56"/>
      <c r="FM400" s="183">
        <f t="shared" si="2781"/>
        <v>0</v>
      </c>
      <c r="FN400" s="183">
        <f t="shared" si="2782"/>
        <v>0</v>
      </c>
      <c r="FO400" s="56"/>
      <c r="FR400" s="55">
        <f t="shared" si="2783"/>
        <v>46361</v>
      </c>
      <c r="FS400" s="56"/>
      <c r="FT400" s="186">
        <f>SUMPRODUCT(PRODUCE!$B393:$DY393,PRODUCE!$EB$26:$IY$26)</f>
        <v>0</v>
      </c>
      <c r="FU400" s="56"/>
      <c r="FV400" s="186">
        <f t="shared" si="2784"/>
        <v>0</v>
      </c>
      <c r="FW400" s="186">
        <f t="shared" si="2785"/>
        <v>2020</v>
      </c>
      <c r="FX400" s="56"/>
      <c r="GA400" s="55">
        <f t="shared" si="2786"/>
        <v>46361</v>
      </c>
      <c r="GB400" s="56"/>
      <c r="GC400" s="137">
        <f>SUMPRODUCT(PRODUCE!$B393:$DY393,PRODUCE!$EB$27:$IY$27)</f>
        <v>0</v>
      </c>
      <c r="GD400" s="56"/>
      <c r="GE400" s="137">
        <f t="shared" si="2787"/>
        <v>0</v>
      </c>
      <c r="GF400" s="137">
        <f t="shared" si="2788"/>
        <v>960</v>
      </c>
      <c r="GG400" s="56"/>
      <c r="GI400" s="23"/>
      <c r="GJ400" s="55">
        <f t="shared" si="2789"/>
        <v>46361</v>
      </c>
      <c r="GK400" s="56"/>
      <c r="GL400" s="199">
        <f>SUMPRODUCT(PRODUCE!$B393:$DY393,PRODUCE!$EB$28:$IY$28)</f>
        <v>0</v>
      </c>
      <c r="GM400" s="56"/>
      <c r="GN400" s="199">
        <f t="shared" si="2790"/>
        <v>0</v>
      </c>
      <c r="GO400" s="199">
        <f t="shared" si="2791"/>
        <v>1760</v>
      </c>
      <c r="GP400" s="56"/>
      <c r="GS400" s="55">
        <f t="shared" si="2792"/>
        <v>46361</v>
      </c>
      <c r="GT400" s="56"/>
      <c r="GU400" s="195">
        <f>SUMPRODUCT(PRODUCE!$B393:$DY393,PRODUCE!$EB$29:$IY$29)</f>
        <v>0</v>
      </c>
      <c r="GV400" s="56"/>
      <c r="GW400" s="195">
        <f t="shared" si="2793"/>
        <v>0</v>
      </c>
      <c r="GX400" s="195">
        <f t="shared" si="2794"/>
        <v>400</v>
      </c>
      <c r="GY400" s="56"/>
      <c r="HB400" s="55">
        <f t="shared" si="2795"/>
        <v>46361</v>
      </c>
      <c r="HC400" s="56"/>
      <c r="HD400" s="191">
        <f>SUMPRODUCT(PRODUCE!$B393:$DY393,PRODUCE!$EB$30:$IY$30)</f>
        <v>0</v>
      </c>
      <c r="HE400" s="56"/>
      <c r="HF400" s="191">
        <f t="shared" si="2796"/>
        <v>0</v>
      </c>
      <c r="HG400" s="191">
        <f t="shared" si="2797"/>
        <v>3600</v>
      </c>
      <c r="HH400" s="56"/>
      <c r="HK400" s="55">
        <f t="shared" si="2798"/>
        <v>46361</v>
      </c>
      <c r="HL400" s="56"/>
      <c r="HM400" s="63">
        <f>SUMPRODUCT(PRODUCE!$B393:$DY393,PRODUCE!$EB$31:$IY$31)</f>
        <v>0</v>
      </c>
      <c r="HN400" s="56"/>
      <c r="HO400" s="63">
        <f t="shared" si="2799"/>
        <v>0</v>
      </c>
      <c r="HP400" s="63">
        <f t="shared" si="2800"/>
        <v>0</v>
      </c>
      <c r="HQ400" s="56"/>
      <c r="HU400" s="55">
        <f t="shared" si="2801"/>
        <v>46361</v>
      </c>
      <c r="HV400" s="56"/>
      <c r="HW400" s="242">
        <f>SUMPRODUCT(PRODUCE!$B393:$DY393,PRODUCE!$EB$32:$IY$32)</f>
        <v>0</v>
      </c>
      <c r="HX400" s="56"/>
      <c r="HY400" s="242">
        <f t="shared" si="2802"/>
        <v>0</v>
      </c>
      <c r="HZ400" s="242">
        <f t="shared" si="2803"/>
        <v>6120</v>
      </c>
      <c r="IA400" s="56"/>
      <c r="ID400" s="55">
        <f t="shared" si="2804"/>
        <v>46361</v>
      </c>
      <c r="IE400" s="56"/>
      <c r="IF400" s="242">
        <f>SUMPRODUCT(PRODUCE!$B393:$DY393,PRODUCE!$EB$33:$IY$33)</f>
        <v>0</v>
      </c>
      <c r="IG400" s="56"/>
      <c r="IH400" s="242">
        <f t="shared" si="2805"/>
        <v>0</v>
      </c>
      <c r="II400" s="242">
        <f t="shared" si="2806"/>
        <v>0</v>
      </c>
      <c r="IJ400" s="56"/>
      <c r="IM400" s="55">
        <f t="shared" si="2807"/>
        <v>46361</v>
      </c>
      <c r="IN400" s="56"/>
      <c r="IO400" s="242">
        <f>SUMPRODUCT(PRODUCE!$B393:$DY393,PRODUCE!$EB$34:$IY$34)</f>
        <v>0</v>
      </c>
      <c r="IP400" s="56"/>
      <c r="IQ400" s="242">
        <f t="shared" si="2808"/>
        <v>0</v>
      </c>
      <c r="IR400" s="242">
        <f t="shared" si="2809"/>
        <v>0</v>
      </c>
      <c r="IS400" s="56"/>
      <c r="IV400" s="55">
        <f t="shared" si="2810"/>
        <v>46361</v>
      </c>
      <c r="IW400" s="56"/>
      <c r="IX400" s="242">
        <f>SUMPRODUCT(PRODUCE!$B393:$DY393,PRODUCE!$EB$35:$IY$35)</f>
        <v>0</v>
      </c>
      <c r="IY400" s="56"/>
      <c r="IZ400" s="242">
        <f t="shared" si="2811"/>
        <v>0</v>
      </c>
      <c r="JA400" s="242">
        <f t="shared" si="2812"/>
        <v>2820</v>
      </c>
      <c r="JB400" s="56"/>
      <c r="JE400" s="55">
        <f t="shared" si="2813"/>
        <v>46361</v>
      </c>
      <c r="JF400" s="56"/>
      <c r="JG400" s="242">
        <f>SUMPRODUCT(PRODUCE!$B393:$DY393,PRODUCE!$EB$36:$IY$36)</f>
        <v>0</v>
      </c>
      <c r="JH400" s="56"/>
      <c r="JI400" s="242">
        <f t="shared" si="2814"/>
        <v>0</v>
      </c>
      <c r="JJ400" s="242">
        <f t="shared" si="2815"/>
        <v>0</v>
      </c>
      <c r="JK400" s="56"/>
      <c r="JN400" s="55">
        <f t="shared" si="2816"/>
        <v>46361</v>
      </c>
      <c r="JO400" s="56"/>
      <c r="JP400" s="242">
        <f>SUMPRODUCT(PRODUCE!$B393:$DY393,PRODUCE!$EB$37:$IY$37)</f>
        <v>0</v>
      </c>
      <c r="JQ400" s="56"/>
      <c r="JR400" s="242">
        <f t="shared" si="2817"/>
        <v>0</v>
      </c>
      <c r="JS400" s="242">
        <f t="shared" si="2818"/>
        <v>0</v>
      </c>
      <c r="JT400" s="56"/>
      <c r="JW400" s="55">
        <f t="shared" si="2819"/>
        <v>46361</v>
      </c>
      <c r="JX400" s="56"/>
      <c r="JY400" s="242">
        <f>SUMPRODUCT(PRODUCE!$B393:$DY393,PRODUCE!$EB$38:$IY$38)</f>
        <v>0</v>
      </c>
      <c r="JZ400" s="56"/>
      <c r="KA400" s="242">
        <f t="shared" si="2820"/>
        <v>0</v>
      </c>
      <c r="KB400" s="242">
        <f t="shared" si="2821"/>
        <v>2540</v>
      </c>
      <c r="KC400" s="56"/>
      <c r="KF400" s="55">
        <f t="shared" si="2822"/>
        <v>46361</v>
      </c>
      <c r="KG400" s="56"/>
      <c r="KH400" s="242">
        <f>SUMPRODUCT(PRODUCE!$B393:$DY393,PRODUCE!$EB$39:$IY$39)</f>
        <v>0</v>
      </c>
      <c r="KI400" s="56"/>
      <c r="KJ400" s="242">
        <f t="shared" si="2823"/>
        <v>0</v>
      </c>
      <c r="KK400" s="242">
        <f t="shared" si="2824"/>
        <v>2359.5</v>
      </c>
      <c r="KL400" s="56"/>
      <c r="KO400" s="55">
        <f t="shared" si="2825"/>
        <v>46361</v>
      </c>
      <c r="KP400" s="56"/>
      <c r="KQ400" s="242">
        <f>SUMPRODUCT(PRODUCE!$B393:$DY393,PRODUCE!$EB$40:$IY$40)</f>
        <v>0</v>
      </c>
      <c r="KR400" s="56"/>
      <c r="KS400" s="242">
        <f t="shared" si="2826"/>
        <v>0</v>
      </c>
      <c r="KT400" s="242">
        <f t="shared" si="2827"/>
        <v>1890</v>
      </c>
      <c r="KU400" s="56"/>
      <c r="KW400" s="23"/>
      <c r="KX400" s="55">
        <f t="shared" si="2828"/>
        <v>46361</v>
      </c>
      <c r="KY400" s="56"/>
      <c r="KZ400" s="242">
        <f>SUMPRODUCT(PRODUCE!$B393:$DY393,PRODUCE!$EB$41:$IY$41)</f>
        <v>0</v>
      </c>
      <c r="LA400" s="56"/>
      <c r="LB400" s="242">
        <f t="shared" si="2829"/>
        <v>0</v>
      </c>
      <c r="LC400" s="242">
        <f t="shared" si="2830"/>
        <v>3690</v>
      </c>
      <c r="LD400" s="56"/>
      <c r="LG400" s="55">
        <f t="shared" si="2831"/>
        <v>46361</v>
      </c>
      <c r="LH400" s="56"/>
      <c r="LI400" s="242">
        <f>SUMPRODUCT(PRODUCE!$B393:$DY393,PRODUCE!$EB$42:$IY$42)</f>
        <v>0</v>
      </c>
      <c r="LJ400" s="56"/>
      <c r="LK400" s="242">
        <f t="shared" si="2832"/>
        <v>0</v>
      </c>
      <c r="LL400" s="242">
        <f t="shared" si="2833"/>
        <v>4000</v>
      </c>
      <c r="LM400" s="56"/>
      <c r="LP400" s="55">
        <f t="shared" si="2834"/>
        <v>46361</v>
      </c>
      <c r="LQ400" s="56"/>
      <c r="LR400" s="242">
        <f>SUMPRODUCT(PRODUCE!$B415:$DY415,PRODUCE!$EB$43:$IY$43)</f>
        <v>0</v>
      </c>
      <c r="LS400" s="56"/>
      <c r="LT400" s="242">
        <f t="shared" si="2835"/>
        <v>0</v>
      </c>
      <c r="LU400" s="242">
        <f t="shared" si="2836"/>
        <v>0</v>
      </c>
      <c r="LV400" s="56"/>
      <c r="LY400" s="55">
        <f t="shared" si="2837"/>
        <v>46361</v>
      </c>
      <c r="LZ400" s="56"/>
      <c r="MA400" s="242">
        <f>SUMPRODUCT(PRODUCE!$B393:$DY393,PRODUCE!$EB$44:$IY$44)</f>
        <v>0</v>
      </c>
      <c r="MB400" s="56"/>
      <c r="MC400" s="242">
        <f t="shared" si="2838"/>
        <v>0</v>
      </c>
      <c r="MD400" s="242">
        <f t="shared" si="2839"/>
        <v>0</v>
      </c>
      <c r="ME400" s="56"/>
      <c r="MH400" s="55">
        <f t="shared" si="2840"/>
        <v>46361</v>
      </c>
      <c r="MI400" s="56"/>
      <c r="MJ400" s="242">
        <f>SUMPRODUCT(PRODUCE!$B393:$DY393,PRODUCE!$EB$45:$IY$45)</f>
        <v>0</v>
      </c>
      <c r="MK400" s="56">
        <v>18</v>
      </c>
      <c r="ML400" s="242">
        <f t="shared" si="2841"/>
        <v>-18</v>
      </c>
      <c r="MM400" s="242">
        <f t="shared" si="2842"/>
        <v>-18</v>
      </c>
      <c r="MN400" s="56"/>
      <c r="MQ400" s="55">
        <f t="shared" si="2843"/>
        <v>46361</v>
      </c>
      <c r="MR400" s="56"/>
      <c r="MS400" s="242">
        <f>SUMPRODUCT(PRODUCE!$B393:$DY393,PRODUCE!$EB$46:$IY$46)</f>
        <v>0</v>
      </c>
      <c r="MT400" s="56">
        <v>30</v>
      </c>
      <c r="MU400" s="242">
        <f t="shared" si="2844"/>
        <v>-30</v>
      </c>
      <c r="MV400" s="242">
        <f t="shared" si="2845"/>
        <v>1595</v>
      </c>
      <c r="MW400" s="56"/>
      <c r="MZ400" s="55">
        <f t="shared" si="2846"/>
        <v>46361</v>
      </c>
      <c r="NA400" s="56"/>
      <c r="NB400" s="242">
        <f>SUMPRODUCT(PRODUCE!$B393:$DY393,PRODUCE!$EB$47:$IY$47)</f>
        <v>0</v>
      </c>
      <c r="NC400" s="56"/>
      <c r="ND400" s="242">
        <f t="shared" si="2847"/>
        <v>0</v>
      </c>
      <c r="NE400" s="242">
        <f t="shared" si="2848"/>
        <v>0</v>
      </c>
      <c r="NF400" s="56"/>
      <c r="NI400" s="55">
        <f t="shared" si="2849"/>
        <v>46361</v>
      </c>
      <c r="NJ400" s="56"/>
      <c r="NK400" s="242">
        <f>SUMPRODUCT(PRODUCE!$B393:$DY393,PRODUCE!$EB$48:$IY$48)</f>
        <v>0</v>
      </c>
      <c r="NL400" s="56"/>
      <c r="NM400" s="242">
        <f t="shared" si="2850"/>
        <v>0</v>
      </c>
      <c r="NN400" s="242">
        <f t="shared" si="2851"/>
        <v>1127</v>
      </c>
      <c r="NO400" s="56"/>
      <c r="NR400" s="55">
        <f t="shared" si="2852"/>
        <v>46361</v>
      </c>
      <c r="NS400" s="56"/>
      <c r="NT400" s="242">
        <f>SUMPRODUCT(PRODUCE!$B393:$DY393,PRODUCE!$EB$49:$IY$49)</f>
        <v>0</v>
      </c>
      <c r="NU400" s="56"/>
      <c r="NV400" s="242">
        <f t="shared" si="2853"/>
        <v>0</v>
      </c>
      <c r="NW400" s="242">
        <f t="shared" si="2854"/>
        <v>3111.9999999999995</v>
      </c>
      <c r="NX400" s="56"/>
      <c r="OA400" s="55">
        <f t="shared" si="2855"/>
        <v>46361</v>
      </c>
      <c r="OB400" s="56"/>
      <c r="OC400" s="242">
        <f>SUMPRODUCT(PRODUCE!$B393:$DY393,PRODUCE!$EB$50:$IY$50)</f>
        <v>0</v>
      </c>
      <c r="OD400" s="56"/>
      <c r="OE400" s="242">
        <f t="shared" si="2856"/>
        <v>0</v>
      </c>
      <c r="OF400" s="242">
        <f t="shared" si="2857"/>
        <v>1680.5</v>
      </c>
      <c r="OG400" s="56"/>
      <c r="OJ400" s="55">
        <f t="shared" si="2858"/>
        <v>46361</v>
      </c>
      <c r="OK400" s="56"/>
      <c r="OL400" s="242">
        <f>SUMPRODUCT(PRODUCE!$B393:$DY393,PRODUCE!$EB$51:$IY$51)</f>
        <v>0</v>
      </c>
      <c r="OM400" s="56"/>
      <c r="ON400" s="242">
        <f t="shared" si="2859"/>
        <v>0</v>
      </c>
      <c r="OO400" s="242">
        <f t="shared" si="2860"/>
        <v>0</v>
      </c>
      <c r="OP400" s="56"/>
      <c r="OS400" s="55">
        <f t="shared" si="2861"/>
        <v>46361</v>
      </c>
      <c r="OT400" s="56"/>
      <c r="OU400" s="242">
        <f>SUMPRODUCT(PRODUCE!$B393:$DY393,PRODUCE!$EB$52:$IY$52)</f>
        <v>0</v>
      </c>
      <c r="OV400" s="56"/>
      <c r="OW400" s="242">
        <f t="shared" si="2862"/>
        <v>0</v>
      </c>
      <c r="OX400" s="242">
        <f t="shared" si="2863"/>
        <v>1482</v>
      </c>
      <c r="OY400" s="56"/>
      <c r="PB400" s="55">
        <f t="shared" si="2864"/>
        <v>46361</v>
      </c>
      <c r="PC400" s="56"/>
      <c r="PD400" s="242">
        <f>SUMPRODUCT(PRODUCE!$B393:$DY393,PRODUCE!$EB$53:$IY$53)</f>
        <v>0</v>
      </c>
      <c r="PE400" s="56"/>
      <c r="PF400" s="242">
        <f t="shared" si="2865"/>
        <v>0</v>
      </c>
      <c r="PG400" s="242">
        <f t="shared" si="2866"/>
        <v>0</v>
      </c>
      <c r="PH400" s="56"/>
      <c r="PK400" s="55">
        <f t="shared" si="2867"/>
        <v>46361</v>
      </c>
      <c r="PL400" s="56"/>
      <c r="PM400" s="242">
        <f>SUMPRODUCT(PRODUCE!$B393:$DY393,PRODUCE!$EB$54:$IY$54)</f>
        <v>0</v>
      </c>
      <c r="PN400" s="56"/>
      <c r="PO400" s="242">
        <f t="shared" si="2868"/>
        <v>0</v>
      </c>
      <c r="PP400" s="242">
        <f t="shared" si="2869"/>
        <v>100</v>
      </c>
      <c r="PQ400" s="56"/>
      <c r="PT400" s="55">
        <f t="shared" si="2870"/>
        <v>46361</v>
      </c>
      <c r="PU400" s="56"/>
      <c r="PV400" s="242">
        <f>SUMPRODUCT(PRODUCE!$B393:$DY393,PRODUCE!$EB$55:$IY$55)</f>
        <v>0</v>
      </c>
      <c r="PW400" s="56"/>
      <c r="PX400" s="242">
        <f t="shared" si="2871"/>
        <v>0</v>
      </c>
      <c r="PY400" s="242">
        <f t="shared" si="2872"/>
        <v>13.960000000000036</v>
      </c>
      <c r="PZ400" s="56"/>
      <c r="QC400" s="55">
        <f t="shared" si="2873"/>
        <v>46361</v>
      </c>
      <c r="QD400" s="56"/>
      <c r="QE400" s="242">
        <f>SUMPRODUCT(PRODUCE!$B393:$DY393,PRODUCE!$EB$56:$IY$56)</f>
        <v>0</v>
      </c>
      <c r="QF400" s="56"/>
      <c r="QG400" s="242">
        <f t="shared" si="2874"/>
        <v>0</v>
      </c>
      <c r="QH400" s="242">
        <f t="shared" si="2875"/>
        <v>548</v>
      </c>
      <c r="QI400" s="56"/>
      <c r="QL400" s="55">
        <f t="shared" si="2876"/>
        <v>46361</v>
      </c>
      <c r="QM400" s="56"/>
      <c r="QN400" s="242">
        <f>SUMPRODUCT(PRODUCE!$B393:$DY393,PRODUCE!$EB$57:$IY$57)</f>
        <v>0</v>
      </c>
      <c r="QO400" s="56"/>
      <c r="QP400" s="242">
        <f t="shared" si="2877"/>
        <v>0</v>
      </c>
      <c r="QQ400" s="242">
        <f t="shared" si="2878"/>
        <v>0</v>
      </c>
      <c r="QR400" s="56"/>
      <c r="QU400" s="55">
        <f t="shared" si="2879"/>
        <v>46361</v>
      </c>
      <c r="QV400" s="56"/>
      <c r="QW400" s="242">
        <f>SUMPRODUCT(PRODUCE!$B393:$DY393,PRODUCE!$EB$57:$IY$57)</f>
        <v>0</v>
      </c>
      <c r="QX400" s="56"/>
      <c r="QY400" s="242">
        <f t="shared" si="2880"/>
        <v>0</v>
      </c>
      <c r="QZ400" s="242">
        <f t="shared" si="2881"/>
        <v>0</v>
      </c>
      <c r="RA400" s="56"/>
      <c r="RD400" s="55">
        <f t="shared" si="2882"/>
        <v>46361</v>
      </c>
      <c r="RE400" s="56"/>
      <c r="RF400" s="242">
        <f>SUMPRODUCT(PRODUCE!$B393:$DY393,PRODUCE!$EB$58:$IY$58)</f>
        <v>0</v>
      </c>
      <c r="RG400" s="56"/>
      <c r="RH400" s="242">
        <f t="shared" si="2883"/>
        <v>0</v>
      </c>
      <c r="RI400" s="242">
        <f t="shared" si="2884"/>
        <v>147.04000000000002</v>
      </c>
      <c r="RJ400" s="56"/>
      <c r="RM400" s="55">
        <f t="shared" si="2885"/>
        <v>46361</v>
      </c>
      <c r="RN400" s="56"/>
      <c r="RO400" s="242">
        <f>SUMPRODUCT(PRODUCE!$B393:$DY393,PRODUCE!$EB$57:$IY$57)</f>
        <v>0</v>
      </c>
      <c r="RP400" s="56"/>
      <c r="RQ400" s="242">
        <f t="shared" si="2886"/>
        <v>0</v>
      </c>
      <c r="RR400" s="242">
        <f t="shared" si="2887"/>
        <v>46.8</v>
      </c>
      <c r="RS400" s="56"/>
      <c r="RV400" s="55">
        <f t="shared" si="2888"/>
        <v>46361</v>
      </c>
      <c r="RW400" s="56"/>
      <c r="RX400" s="242">
        <f>SUMPRODUCT(PRODUCE!$B393:$DY393,PRODUCE!$EB$57:$IY$57)</f>
        <v>0</v>
      </c>
      <c r="RY400" s="56"/>
      <c r="RZ400" s="242">
        <f t="shared" si="2889"/>
        <v>0</v>
      </c>
      <c r="SA400" s="242">
        <f t="shared" si="2890"/>
        <v>0</v>
      </c>
      <c r="SB400" s="56"/>
      <c r="SE400" s="55">
        <f t="shared" si="2891"/>
        <v>46361</v>
      </c>
      <c r="SF400" s="56"/>
      <c r="SG400" s="242">
        <f>SUMPRODUCT(PRODUCE!$B393:$DY393,PRODUCE!$EB$61:$IY$61)</f>
        <v>0</v>
      </c>
      <c r="SH400" s="56"/>
      <c r="SI400" s="242">
        <f t="shared" si="2892"/>
        <v>0</v>
      </c>
      <c r="SJ400" s="242">
        <f t="shared" si="2893"/>
        <v>24.200000000000003</v>
      </c>
      <c r="SK400" s="56"/>
      <c r="SN400" s="55">
        <f t="shared" si="2894"/>
        <v>46361</v>
      </c>
      <c r="SO400" s="56"/>
      <c r="SP400" s="242">
        <f>SUMPRODUCT(PRODUCE!$B393:$DY393,PRODUCE!$EB$57:$IY$57)</f>
        <v>0</v>
      </c>
      <c r="SQ400" s="56"/>
      <c r="SR400" s="242">
        <f t="shared" si="2895"/>
        <v>0</v>
      </c>
      <c r="SS400" s="242">
        <f t="shared" si="2896"/>
        <v>32</v>
      </c>
      <c r="ST400" s="56"/>
      <c r="SW400" s="55">
        <f t="shared" si="2897"/>
        <v>46361</v>
      </c>
      <c r="SX400" s="56"/>
      <c r="SY400" s="242">
        <f>SUMPRODUCT(PRODUCE!$B393:$DY393,PRODUCE!$EB$57:$IY$57)</f>
        <v>0</v>
      </c>
      <c r="SZ400" s="56"/>
      <c r="TA400" s="242">
        <f t="shared" si="2898"/>
        <v>0</v>
      </c>
      <c r="TB400" s="242">
        <f t="shared" si="2899"/>
        <v>0</v>
      </c>
      <c r="TC400" s="56"/>
      <c r="TF400" s="55">
        <f t="shared" si="2900"/>
        <v>46361</v>
      </c>
      <c r="TG400" s="56"/>
      <c r="TH400" s="242">
        <f>SUMPRODUCT(PRODUCE!$B393:$DY393,PRODUCE!$EB$57:$IY$57)</f>
        <v>0</v>
      </c>
      <c r="TI400" s="56"/>
      <c r="TJ400" s="242">
        <f t="shared" si="2901"/>
        <v>0</v>
      </c>
      <c r="TK400" s="242">
        <f t="shared" si="2902"/>
        <v>0</v>
      </c>
      <c r="TL400" s="56"/>
      <c r="TO400" s="55">
        <f t="shared" si="2903"/>
        <v>46361</v>
      </c>
      <c r="TP400" s="56"/>
      <c r="TQ400" s="242">
        <f>SUMPRODUCT(PRODUCE!$B393:$DY393,PRODUCE!$EB$57:$IY$57)</f>
        <v>0</v>
      </c>
      <c r="TR400" s="56"/>
      <c r="TS400" s="242">
        <f t="shared" si="2904"/>
        <v>0</v>
      </c>
      <c r="TT400" s="242">
        <f t="shared" si="2905"/>
        <v>0</v>
      </c>
      <c r="TU400" s="56"/>
      <c r="TX400" s="55">
        <f t="shared" si="2906"/>
        <v>46361</v>
      </c>
      <c r="TY400" s="56"/>
      <c r="TZ400" s="242">
        <f>SUMPRODUCT(PRODUCE!$B393:$DY393,PRODUCE!$EB$57:$IY$57)</f>
        <v>0</v>
      </c>
      <c r="UA400" s="56"/>
      <c r="UB400" s="242">
        <f t="shared" si="2907"/>
        <v>0</v>
      </c>
      <c r="UC400" s="242">
        <f t="shared" si="2908"/>
        <v>46.799999999999983</v>
      </c>
      <c r="UD400" s="56"/>
      <c r="UG400" s="55">
        <f t="shared" si="2909"/>
        <v>46361</v>
      </c>
      <c r="UH400" s="56"/>
      <c r="UI400" s="242">
        <f>SUMPRODUCT(PRODUCE!$B393:$DY393,PRODUCE!$EB$57:$IY$57)</f>
        <v>0</v>
      </c>
      <c r="UJ400" s="56"/>
      <c r="UK400" s="242">
        <f t="shared" si="2910"/>
        <v>0</v>
      </c>
      <c r="UL400" s="242">
        <f t="shared" si="2911"/>
        <v>204</v>
      </c>
      <c r="UM400" s="56"/>
      <c r="UP400" s="55">
        <f t="shared" si="2912"/>
        <v>46361</v>
      </c>
      <c r="UQ400" s="56"/>
      <c r="UR400" s="242">
        <f>SUMPRODUCT(PRODUCE!$B393:$DY393,PRODUCE!$EB$57:$IY$57)</f>
        <v>0</v>
      </c>
      <c r="US400" s="56"/>
      <c r="UT400" s="242">
        <f t="shared" si="2913"/>
        <v>0</v>
      </c>
      <c r="UU400" s="242">
        <f t="shared" si="2914"/>
        <v>202.5</v>
      </c>
      <c r="UV400" s="56"/>
      <c r="UY400" s="55">
        <f t="shared" si="2915"/>
        <v>46361</v>
      </c>
      <c r="UZ400" s="56"/>
      <c r="VA400" s="242">
        <f>SUMPRODUCT(PRODUCE!$B393:$DY393,PRODUCE!$EB$57:$IY$57)</f>
        <v>0</v>
      </c>
      <c r="VB400" s="56"/>
      <c r="VC400" s="242">
        <f t="shared" si="2916"/>
        <v>0</v>
      </c>
      <c r="VD400" s="242">
        <f t="shared" si="2917"/>
        <v>41.600000000000023</v>
      </c>
      <c r="VE400" s="56"/>
      <c r="VH400" s="55">
        <f t="shared" si="2918"/>
        <v>46361</v>
      </c>
      <c r="VI400" s="56"/>
      <c r="VJ400" s="242">
        <f>SUMPRODUCT(PRODUCE!$B393:$DY393,PRODUCE!$EB$57:$IY$57)</f>
        <v>0</v>
      </c>
      <c r="VK400" s="56"/>
      <c r="VL400" s="242">
        <f t="shared" si="2919"/>
        <v>0</v>
      </c>
      <c r="VM400" s="242">
        <f t="shared" si="2920"/>
        <v>210</v>
      </c>
      <c r="VN400" s="56"/>
      <c r="VQ400" s="55">
        <f t="shared" si="2921"/>
        <v>46361</v>
      </c>
      <c r="VR400" s="56"/>
      <c r="VS400" s="242">
        <f>SUMPRODUCT(PRODUCE!$B393:$DY393,PRODUCE!$EB$57:$IY$57)</f>
        <v>0</v>
      </c>
      <c r="VT400" s="56"/>
      <c r="VU400" s="242">
        <f t="shared" si="2922"/>
        <v>0</v>
      </c>
      <c r="VV400" s="242">
        <f t="shared" si="2923"/>
        <v>0</v>
      </c>
      <c r="VW400" s="56"/>
      <c r="VZ400" s="55">
        <f t="shared" si="2924"/>
        <v>46361</v>
      </c>
      <c r="WA400" s="56"/>
      <c r="WB400" s="242">
        <f>SUMPRODUCT(PRODUCE!$B393:$DY393,PRODUCE!$EB$57:$IY$57)</f>
        <v>0</v>
      </c>
      <c r="WC400" s="56"/>
      <c r="WD400" s="242">
        <f t="shared" si="2925"/>
        <v>0</v>
      </c>
      <c r="WE400" s="242">
        <f t="shared" si="2926"/>
        <v>0</v>
      </c>
      <c r="WF400" s="56"/>
      <c r="WI400" s="55">
        <f t="shared" si="2927"/>
        <v>46361</v>
      </c>
      <c r="WJ400" s="56"/>
      <c r="WK400" s="242">
        <f>SUMPRODUCT(PRODUCE!$B393:$DY393,PRODUCE!$EB$57:$IY$57)</f>
        <v>0</v>
      </c>
      <c r="WL400" s="56"/>
      <c r="WM400" s="242">
        <f t="shared" si="2928"/>
        <v>0</v>
      </c>
      <c r="WN400" s="242">
        <f t="shared" si="2929"/>
        <v>1057</v>
      </c>
      <c r="WO400" s="56"/>
      <c r="WR400" s="55">
        <f t="shared" si="2930"/>
        <v>46361</v>
      </c>
      <c r="WS400" s="56"/>
      <c r="WT400" s="242">
        <f>SUMPRODUCT(PRODUCE!$B393:$DY393,PRODUCE!$EB$57:$IY$57)</f>
        <v>0</v>
      </c>
      <c r="WU400" s="56"/>
      <c r="WV400" s="242">
        <f t="shared" si="2931"/>
        <v>0</v>
      </c>
      <c r="WW400" s="242">
        <f t="shared" si="2932"/>
        <v>0</v>
      </c>
      <c r="WX400" s="56"/>
      <c r="XA400" s="55">
        <f t="shared" si="2933"/>
        <v>46361</v>
      </c>
      <c r="XB400" s="56"/>
      <c r="XC400" s="242">
        <f>SUMPRODUCT(PRODUCE!$B393:$DY393,PRODUCE!$EB$57:$IY$57)</f>
        <v>0</v>
      </c>
      <c r="XD400" s="56"/>
      <c r="XE400" s="242">
        <f t="shared" si="2934"/>
        <v>0</v>
      </c>
      <c r="XF400" s="242">
        <f t="shared" si="2935"/>
        <v>7507</v>
      </c>
      <c r="XG400" s="56"/>
      <c r="XJ400" s="55">
        <f t="shared" si="2936"/>
        <v>46361</v>
      </c>
      <c r="XK400" s="56"/>
      <c r="XL400" s="242">
        <f>SUMPRODUCT(PRODUCE!$B393:$DY393,PRODUCE!$EB$57:$IY$57)</f>
        <v>0</v>
      </c>
      <c r="XM400" s="56"/>
      <c r="XN400" s="242">
        <f t="shared" si="2937"/>
        <v>0</v>
      </c>
      <c r="XO400" s="242">
        <f t="shared" si="2938"/>
        <v>4252</v>
      </c>
      <c r="XP400" s="56"/>
      <c r="XS400" s="55">
        <f t="shared" si="2939"/>
        <v>46361</v>
      </c>
      <c r="XT400" s="56"/>
      <c r="XU400" s="242">
        <f>SUMPRODUCT(PRODUCE!$B393:$DY393,PRODUCE!$EB$57:$IY$57)</f>
        <v>0</v>
      </c>
      <c r="XV400" s="56"/>
      <c r="XW400" s="242">
        <f t="shared" si="2940"/>
        <v>0</v>
      </c>
      <c r="XX400" s="242">
        <f t="shared" si="2941"/>
        <v>2179</v>
      </c>
      <c r="XY400" s="56"/>
      <c r="YB400" s="55">
        <f t="shared" si="2942"/>
        <v>46361</v>
      </c>
      <c r="YC400" s="56"/>
      <c r="YD400" s="242">
        <f>SUMPRODUCT(PRODUCE!$B393:$DY393,PRODUCE!$EB$57:$IY$57)</f>
        <v>0</v>
      </c>
      <c r="YE400" s="56"/>
      <c r="YF400" s="242">
        <f t="shared" si="2943"/>
        <v>0</v>
      </c>
      <c r="YG400" s="242">
        <f t="shared" si="2944"/>
        <v>4019</v>
      </c>
      <c r="YH400" s="56"/>
      <c r="YK400" s="55">
        <f t="shared" si="2945"/>
        <v>46361</v>
      </c>
      <c r="YL400" s="56"/>
      <c r="YM400" s="242">
        <f>SUMPRODUCT(PRODUCE!$B393:$DY393,PRODUCE!$EB$57:$IY$57)</f>
        <v>0</v>
      </c>
      <c r="YN400" s="56"/>
      <c r="YO400" s="242">
        <f t="shared" si="2946"/>
        <v>0</v>
      </c>
      <c r="YP400" s="242">
        <f t="shared" si="2947"/>
        <v>-218</v>
      </c>
      <c r="YQ400" s="56"/>
      <c r="YT400" s="55">
        <f t="shared" si="2948"/>
        <v>46361</v>
      </c>
      <c r="YU400" s="56"/>
      <c r="YV400" s="242">
        <f>SUMPRODUCT(PRODUCE!$B393:$DY393,PRODUCE!$EB$57:$IY$57)</f>
        <v>0</v>
      </c>
      <c r="YW400" s="56"/>
      <c r="YX400" s="242">
        <f t="shared" si="2949"/>
        <v>0</v>
      </c>
      <c r="YY400" s="242">
        <f t="shared" si="2950"/>
        <v>0</v>
      </c>
      <c r="YZ400" s="56"/>
      <c r="ZC400" s="55">
        <f t="shared" si="2951"/>
        <v>46361</v>
      </c>
      <c r="ZD400" s="56"/>
      <c r="ZE400" s="242">
        <f>SUMPRODUCT(PRODUCE!$B393:$DY393,PRODUCE!$EB$57:$IY$57)</f>
        <v>0</v>
      </c>
      <c r="ZF400" s="56"/>
      <c r="ZG400" s="242">
        <f t="shared" si="2952"/>
        <v>0</v>
      </c>
      <c r="ZH400" s="242">
        <f t="shared" si="2953"/>
        <v>0</v>
      </c>
      <c r="ZI400" s="56"/>
      <c r="ZL400" s="55">
        <f t="shared" si="2954"/>
        <v>46361</v>
      </c>
      <c r="ZM400" s="56"/>
      <c r="ZN400" s="242">
        <f>SUMPRODUCT(PRODUCE!$B393:$DY393,PRODUCE!$EB$57:$IY$57)</f>
        <v>0</v>
      </c>
      <c r="ZO400" s="56"/>
      <c r="ZP400" s="242">
        <f t="shared" si="2955"/>
        <v>0</v>
      </c>
      <c r="ZQ400" s="242">
        <f t="shared" si="2956"/>
        <v>0</v>
      </c>
      <c r="ZR400" s="56"/>
      <c r="ZU400" s="55">
        <f t="shared" si="2957"/>
        <v>46361</v>
      </c>
      <c r="ZV400" s="56"/>
      <c r="ZW400" s="242">
        <f>SUMPRODUCT(PRODUCE!$B393:$DY393,PRODUCE!$EB$57:$IY$57)</f>
        <v>0</v>
      </c>
      <c r="ZX400" s="56"/>
      <c r="ZY400" s="242">
        <f t="shared" si="2958"/>
        <v>0</v>
      </c>
      <c r="ZZ400" s="242">
        <f t="shared" si="2959"/>
        <v>0</v>
      </c>
      <c r="AAA400" s="56"/>
      <c r="AAD400" s="55">
        <f t="shared" si="2960"/>
        <v>46361</v>
      </c>
      <c r="AAE400" s="56"/>
      <c r="AAF400" s="242">
        <f>SUMPRODUCT(PRODUCE!$B393:$DY393,PRODUCE!$EB$57:$IY$57)</f>
        <v>0</v>
      </c>
      <c r="AAG400" s="56"/>
      <c r="AAH400" s="242">
        <f t="shared" si="2961"/>
        <v>0</v>
      </c>
      <c r="AAI400" s="242">
        <f t="shared" si="2962"/>
        <v>0</v>
      </c>
      <c r="AAJ400" s="56"/>
      <c r="AAM400" s="55">
        <f t="shared" si="2963"/>
        <v>46361</v>
      </c>
      <c r="AAN400" s="56"/>
      <c r="AAO400" s="242">
        <f>SUMPRODUCT(PRODUCE!$B393:$DY393,PRODUCE!$EB$57:$IY$57)</f>
        <v>0</v>
      </c>
      <c r="AAP400" s="56"/>
      <c r="AAQ400" s="242">
        <f t="shared" si="2964"/>
        <v>0</v>
      </c>
      <c r="AAR400" s="242">
        <f t="shared" si="2965"/>
        <v>0</v>
      </c>
      <c r="AAS400" s="56"/>
      <c r="AAV400" s="55">
        <f t="shared" si="2966"/>
        <v>46361</v>
      </c>
      <c r="AAW400" s="56"/>
      <c r="AAX400" s="242">
        <f>SUMPRODUCT(PRODUCE!$B393:$DY393,PRODUCE!$EB$57:$IY$57)</f>
        <v>0</v>
      </c>
      <c r="AAY400" s="56"/>
      <c r="AAZ400" s="242">
        <f t="shared" si="2967"/>
        <v>0</v>
      </c>
      <c r="ABA400" s="242">
        <f t="shared" si="2968"/>
        <v>0</v>
      </c>
      <c r="ABB400" s="56"/>
      <c r="ABE400" s="55">
        <f t="shared" si="2969"/>
        <v>46361</v>
      </c>
      <c r="ABF400" s="56"/>
      <c r="ABG400" s="242">
        <f>SUMPRODUCT(PRODUCE!$B393:$DY393,PRODUCE!$EB$57:$IY$57)</f>
        <v>0</v>
      </c>
      <c r="ABH400" s="56"/>
      <c r="ABI400" s="242">
        <f t="shared" si="2970"/>
        <v>0</v>
      </c>
      <c r="ABJ400" s="242">
        <f t="shared" si="2971"/>
        <v>0</v>
      </c>
      <c r="ABK400" s="56"/>
    </row>
    <row r="401" spans="2:739" s="54" customFormat="1" ht="15" customHeight="1" outlineLevel="1">
      <c r="B401" s="478"/>
      <c r="C401" s="55">
        <v>46362</v>
      </c>
      <c r="D401" s="56"/>
      <c r="E401" s="57">
        <f>SUMPRODUCT(PRODUCE!$B394:$DY394,PRODUCE!$EB$7:$IY$7)</f>
        <v>0</v>
      </c>
      <c r="F401" s="56"/>
      <c r="G401" s="57">
        <f t="shared" si="2727"/>
        <v>0</v>
      </c>
      <c r="H401" s="57">
        <f t="shared" si="2728"/>
        <v>236936.6</v>
      </c>
      <c r="I401" s="289"/>
      <c r="L401" s="55">
        <f t="shared" si="2729"/>
        <v>46362</v>
      </c>
      <c r="M401" s="56"/>
      <c r="N401" s="59">
        <f>SUMPRODUCT(PRODUCE!$B394:$DY394,PRODUCE!$EB$8:$IY$8)</f>
        <v>0</v>
      </c>
      <c r="O401" s="56"/>
      <c r="P401" s="59">
        <f t="shared" si="2730"/>
        <v>0</v>
      </c>
      <c r="Q401" s="59">
        <f t="shared" si="2731"/>
        <v>53017.600000000071</v>
      </c>
      <c r="R401" s="56"/>
      <c r="U401" s="55">
        <f t="shared" si="2732"/>
        <v>46362</v>
      </c>
      <c r="V401" s="56"/>
      <c r="W401" s="60">
        <f>SUMPRODUCT(PRODUCE!$B394:$DY394,PRODUCE!$EB$9:$IY$9)</f>
        <v>0</v>
      </c>
      <c r="X401" s="56"/>
      <c r="Y401" s="60">
        <f t="shared" si="2733"/>
        <v>0</v>
      </c>
      <c r="Z401" s="60">
        <f t="shared" si="2734"/>
        <v>42674.199999999968</v>
      </c>
      <c r="AA401" s="56"/>
      <c r="AD401" s="55">
        <f t="shared" si="2735"/>
        <v>46362</v>
      </c>
      <c r="AE401" s="56"/>
      <c r="AF401" s="61">
        <f>SUMPRODUCT(PRODUCE!$B394:$DY394,PRODUCE!$EB$10:$IY$10)</f>
        <v>0</v>
      </c>
      <c r="AG401" s="56"/>
      <c r="AH401" s="61">
        <f t="shared" si="2736"/>
        <v>0</v>
      </c>
      <c r="AI401" s="61">
        <f t="shared" si="2737"/>
        <v>4522.2000000000189</v>
      </c>
      <c r="AJ401" s="56"/>
      <c r="AM401" s="55">
        <f t="shared" si="2738"/>
        <v>46362</v>
      </c>
      <c r="AN401" s="422"/>
      <c r="AO401" s="444">
        <f>SUMPRODUCT(PRODUCE!$B394:$DY394,PRODUCE!$EB$11:$IY$11)</f>
        <v>0</v>
      </c>
      <c r="AP401" s="422"/>
      <c r="AQ401" s="444">
        <f t="shared" si="2739"/>
        <v>0</v>
      </c>
      <c r="AR401" s="444">
        <f t="shared" si="2740"/>
        <v>0</v>
      </c>
      <c r="AS401" s="56"/>
      <c r="AV401" s="55">
        <f t="shared" si="2741"/>
        <v>46362</v>
      </c>
      <c r="AW401" s="56"/>
      <c r="AX401" s="62">
        <f>SUMPRODUCT(PRODUCE!$B394:$DY394,PRODUCE!$EB$12:$IY$12)</f>
        <v>0</v>
      </c>
      <c r="AY401" s="56"/>
      <c r="AZ401" s="62">
        <f t="shared" si="2742"/>
        <v>0</v>
      </c>
      <c r="BA401" s="62">
        <f t="shared" si="2743"/>
        <v>124.99999999999523</v>
      </c>
      <c r="BB401" s="56"/>
      <c r="BE401" s="55">
        <f t="shared" si="2744"/>
        <v>46362</v>
      </c>
      <c r="BF401" s="56"/>
      <c r="BG401" s="63">
        <f>SUMPRODUCT(PRODUCE!$B394:$DY394,PRODUCE!$EB$13:$IY$13)</f>
        <v>0</v>
      </c>
      <c r="BH401" s="56"/>
      <c r="BI401" s="63">
        <f t="shared" si="2745"/>
        <v>0</v>
      </c>
      <c r="BJ401" s="63">
        <f t="shared" si="2746"/>
        <v>26151.899999999998</v>
      </c>
      <c r="BK401" s="56"/>
      <c r="BN401" s="55">
        <f t="shared" si="2747"/>
        <v>46362</v>
      </c>
      <c r="BO401" s="56"/>
      <c r="BP401" s="64">
        <f>SUMPRODUCT(PRODUCE!$B394:$DY394,PRODUCE!$EB$14:$IY$14)</f>
        <v>0</v>
      </c>
      <c r="BQ401" s="56"/>
      <c r="BR401" s="64">
        <f t="shared" si="2748"/>
        <v>0</v>
      </c>
      <c r="BS401" s="64">
        <f t="shared" si="2749"/>
        <v>0</v>
      </c>
      <c r="BT401" s="56"/>
      <c r="BW401" s="55">
        <f t="shared" si="2750"/>
        <v>46362</v>
      </c>
      <c r="BX401" s="56"/>
      <c r="BY401" s="65">
        <f>SUMPRODUCT(PRODUCE!$B394:$DY394,PRODUCE!$EB$15:$IY$15)</f>
        <v>0</v>
      </c>
      <c r="BZ401" s="56"/>
      <c r="CA401" s="65">
        <f t="shared" si="2751"/>
        <v>0</v>
      </c>
      <c r="CB401" s="65">
        <f t="shared" si="2752"/>
        <v>2097.3399999999992</v>
      </c>
      <c r="CC401" s="56"/>
      <c r="CF401" s="55">
        <f t="shared" si="2753"/>
        <v>46362</v>
      </c>
      <c r="CG401" s="56"/>
      <c r="CH401" s="66">
        <f>SUMPRODUCT(PRODUCE!$B394:$DY394,PRODUCE!$EB$16:$IY$16)</f>
        <v>0</v>
      </c>
      <c r="CI401" s="56"/>
      <c r="CJ401" s="66">
        <f t="shared" si="2754"/>
        <v>0</v>
      </c>
      <c r="CK401" s="66">
        <f t="shared" si="2755"/>
        <v>-10277.079999999998</v>
      </c>
      <c r="CL401" s="56"/>
      <c r="CO401" s="55">
        <f t="shared" si="2756"/>
        <v>46362</v>
      </c>
      <c r="CP401" s="422"/>
      <c r="CQ401" s="470">
        <f>SUMPRODUCT(PRODUCE!$B394:$DY394,PRODUCE!$EB$17:$IY$17)</f>
        <v>0</v>
      </c>
      <c r="CR401" s="422"/>
      <c r="CS401" s="470">
        <f t="shared" si="2757"/>
        <v>0</v>
      </c>
      <c r="CT401" s="470">
        <f t="shared" si="2758"/>
        <v>0</v>
      </c>
      <c r="CU401" s="56"/>
      <c r="CX401" s="55">
        <f t="shared" si="2759"/>
        <v>46362</v>
      </c>
      <c r="CY401" s="56"/>
      <c r="CZ401" s="133">
        <f>SUMPRODUCT(PRODUCE!$B394:$DY394,PRODUCE!$EB$18:$IY$18)</f>
        <v>0</v>
      </c>
      <c r="DA401" s="56"/>
      <c r="DB401" s="133">
        <f t="shared" si="2760"/>
        <v>0</v>
      </c>
      <c r="DC401" s="133">
        <f t="shared" si="2761"/>
        <v>27438.200000000012</v>
      </c>
      <c r="DD401" s="56"/>
      <c r="DG401" s="55">
        <f t="shared" si="2762"/>
        <v>46362</v>
      </c>
      <c r="DH401" s="56"/>
      <c r="DI401" s="147">
        <f>SUMPRODUCT(PRODUCE!$B394:$DY394,PRODUCE!$EB$19:$IY$19)</f>
        <v>0</v>
      </c>
      <c r="DJ401" s="56"/>
      <c r="DK401" s="147">
        <f t="shared" si="2763"/>
        <v>0</v>
      </c>
      <c r="DL401" s="147">
        <f t="shared" si="2764"/>
        <v>18782.299999999981</v>
      </c>
      <c r="DM401" s="56"/>
      <c r="DP401" s="55">
        <f t="shared" si="2765"/>
        <v>46362</v>
      </c>
      <c r="DQ401" s="56"/>
      <c r="DR401" s="57">
        <f>SUMPRODUCT(PRODUCE!$B394:$DY394,PRODUCE!$EB$20:$IY$20)</f>
        <v>0</v>
      </c>
      <c r="DS401" s="56"/>
      <c r="DT401" s="57">
        <f t="shared" si="2766"/>
        <v>0</v>
      </c>
      <c r="DU401" s="57">
        <f t="shared" si="2767"/>
        <v>5800</v>
      </c>
      <c r="DV401" s="56"/>
      <c r="DY401" s="55">
        <f t="shared" si="2768"/>
        <v>46362</v>
      </c>
      <c r="DZ401" s="56"/>
      <c r="EA401" s="157">
        <f>SUMPRODUCT(PRODUCE!$B394:$DY394,PRODUCE!$EB$21:$IY$21)</f>
        <v>0</v>
      </c>
      <c r="EB401" s="56"/>
      <c r="EC401" s="157">
        <f t="shared" si="2769"/>
        <v>0</v>
      </c>
      <c r="ED401" s="157">
        <f t="shared" si="2770"/>
        <v>0</v>
      </c>
      <c r="EE401" s="56"/>
      <c r="EH401" s="55">
        <f t="shared" si="2771"/>
        <v>46362</v>
      </c>
      <c r="EI401" s="56"/>
      <c r="EJ401" s="162">
        <f>SUMPRODUCT(PRODUCE!$B394:$DY394,PRODUCE!$EB$22:$IY$22)</f>
        <v>0</v>
      </c>
      <c r="EK401" s="56"/>
      <c r="EL401" s="162">
        <f t="shared" si="2772"/>
        <v>0</v>
      </c>
      <c r="EM401" s="162">
        <f t="shared" si="2773"/>
        <v>0</v>
      </c>
      <c r="EN401" s="56"/>
      <c r="EQ401" s="55">
        <f t="shared" si="2774"/>
        <v>46362</v>
      </c>
      <c r="ER401" s="56"/>
      <c r="ES401" s="135">
        <f>SUMPRODUCT(PRODUCE!$B394:$DY394,PRODUCE!$EB$23:$IY$23)</f>
        <v>0</v>
      </c>
      <c r="ET401" s="56"/>
      <c r="EU401" s="135">
        <f t="shared" si="2775"/>
        <v>0</v>
      </c>
      <c r="EV401" s="135">
        <f t="shared" si="2776"/>
        <v>0</v>
      </c>
      <c r="EW401" s="56"/>
      <c r="EZ401" s="55">
        <f t="shared" si="2777"/>
        <v>46362</v>
      </c>
      <c r="FA401" s="56"/>
      <c r="FB401" s="175">
        <f>SUMPRODUCT(PRODUCE!$B394:$DY394,PRODUCE!$EB$24:$IY$24)</f>
        <v>0</v>
      </c>
      <c r="FC401" s="56"/>
      <c r="FD401" s="175">
        <f t="shared" si="2778"/>
        <v>0</v>
      </c>
      <c r="FE401" s="175">
        <f t="shared" si="2779"/>
        <v>0</v>
      </c>
      <c r="FF401" s="56"/>
      <c r="FI401" s="55">
        <f t="shared" si="2780"/>
        <v>46362</v>
      </c>
      <c r="FJ401" s="56"/>
      <c r="FK401" s="183">
        <f>SUMPRODUCT(PRODUCE!$B394:$DY394,PRODUCE!$EB$25:$IY$25)</f>
        <v>0</v>
      </c>
      <c r="FL401" s="56"/>
      <c r="FM401" s="183">
        <f t="shared" si="2781"/>
        <v>0</v>
      </c>
      <c r="FN401" s="183">
        <f t="shared" si="2782"/>
        <v>0</v>
      </c>
      <c r="FO401" s="56"/>
      <c r="FR401" s="55">
        <f t="shared" si="2783"/>
        <v>46362</v>
      </c>
      <c r="FS401" s="56"/>
      <c r="FT401" s="186">
        <f>SUMPRODUCT(PRODUCE!$B394:$DY394,PRODUCE!$EB$26:$IY$26)</f>
        <v>0</v>
      </c>
      <c r="FU401" s="56"/>
      <c r="FV401" s="186">
        <f t="shared" si="2784"/>
        <v>0</v>
      </c>
      <c r="FW401" s="186">
        <f t="shared" si="2785"/>
        <v>2020</v>
      </c>
      <c r="FX401" s="56"/>
      <c r="GA401" s="55">
        <f t="shared" si="2786"/>
        <v>46362</v>
      </c>
      <c r="GB401" s="56"/>
      <c r="GC401" s="137">
        <f>SUMPRODUCT(PRODUCE!$B394:$DY394,PRODUCE!$EB$27:$IY$27)</f>
        <v>0</v>
      </c>
      <c r="GD401" s="56"/>
      <c r="GE401" s="137">
        <f t="shared" si="2787"/>
        <v>0</v>
      </c>
      <c r="GF401" s="137">
        <f t="shared" si="2788"/>
        <v>960</v>
      </c>
      <c r="GG401" s="56"/>
      <c r="GI401" s="23"/>
      <c r="GJ401" s="55">
        <f t="shared" si="2789"/>
        <v>46362</v>
      </c>
      <c r="GK401" s="56"/>
      <c r="GL401" s="199">
        <f>SUMPRODUCT(PRODUCE!$B394:$DY394,PRODUCE!$EB$28:$IY$28)</f>
        <v>0</v>
      </c>
      <c r="GM401" s="56"/>
      <c r="GN401" s="199">
        <f t="shared" si="2790"/>
        <v>0</v>
      </c>
      <c r="GO401" s="199">
        <f t="shared" si="2791"/>
        <v>1760</v>
      </c>
      <c r="GP401" s="56"/>
      <c r="GS401" s="55">
        <f t="shared" si="2792"/>
        <v>46362</v>
      </c>
      <c r="GT401" s="56"/>
      <c r="GU401" s="195">
        <f>SUMPRODUCT(PRODUCE!$B394:$DY394,PRODUCE!$EB$29:$IY$29)</f>
        <v>0</v>
      </c>
      <c r="GV401" s="56"/>
      <c r="GW401" s="195">
        <f t="shared" si="2793"/>
        <v>0</v>
      </c>
      <c r="GX401" s="195">
        <f t="shared" si="2794"/>
        <v>400</v>
      </c>
      <c r="GY401" s="56"/>
      <c r="HB401" s="55">
        <f t="shared" si="2795"/>
        <v>46362</v>
      </c>
      <c r="HC401" s="56"/>
      <c r="HD401" s="191">
        <f>SUMPRODUCT(PRODUCE!$B394:$DY394,PRODUCE!$EB$30:$IY$30)</f>
        <v>0</v>
      </c>
      <c r="HE401" s="56"/>
      <c r="HF401" s="191">
        <f t="shared" si="2796"/>
        <v>0</v>
      </c>
      <c r="HG401" s="191">
        <f t="shared" si="2797"/>
        <v>3600</v>
      </c>
      <c r="HH401" s="56"/>
      <c r="HK401" s="55">
        <f t="shared" si="2798"/>
        <v>46362</v>
      </c>
      <c r="HL401" s="56"/>
      <c r="HM401" s="63">
        <f>SUMPRODUCT(PRODUCE!$B394:$DY394,PRODUCE!$EB$31:$IY$31)</f>
        <v>0</v>
      </c>
      <c r="HN401" s="56"/>
      <c r="HO401" s="63">
        <f t="shared" si="2799"/>
        <v>0</v>
      </c>
      <c r="HP401" s="63">
        <f t="shared" si="2800"/>
        <v>0</v>
      </c>
      <c r="HQ401" s="56"/>
      <c r="HU401" s="55">
        <f t="shared" si="2801"/>
        <v>46362</v>
      </c>
      <c r="HV401" s="56"/>
      <c r="HW401" s="242">
        <f>SUMPRODUCT(PRODUCE!$B394:$DY394,PRODUCE!$EB$32:$IY$32)</f>
        <v>0</v>
      </c>
      <c r="HX401" s="56"/>
      <c r="HY401" s="242">
        <f t="shared" si="2802"/>
        <v>0</v>
      </c>
      <c r="HZ401" s="242">
        <f t="shared" si="2803"/>
        <v>6120</v>
      </c>
      <c r="IA401" s="56"/>
      <c r="ID401" s="55">
        <f t="shared" si="2804"/>
        <v>46362</v>
      </c>
      <c r="IE401" s="56"/>
      <c r="IF401" s="242">
        <f>SUMPRODUCT(PRODUCE!$B394:$DY394,PRODUCE!$EB$33:$IY$33)</f>
        <v>0</v>
      </c>
      <c r="IG401" s="56"/>
      <c r="IH401" s="242">
        <f t="shared" si="2805"/>
        <v>0</v>
      </c>
      <c r="II401" s="242">
        <f t="shared" si="2806"/>
        <v>0</v>
      </c>
      <c r="IJ401" s="56"/>
      <c r="IM401" s="55">
        <f t="shared" si="2807"/>
        <v>46362</v>
      </c>
      <c r="IN401" s="56"/>
      <c r="IO401" s="242">
        <f>SUMPRODUCT(PRODUCE!$B394:$DY394,PRODUCE!$EB$34:$IY$34)</f>
        <v>0</v>
      </c>
      <c r="IP401" s="56"/>
      <c r="IQ401" s="242">
        <f t="shared" si="2808"/>
        <v>0</v>
      </c>
      <c r="IR401" s="242">
        <f t="shared" si="2809"/>
        <v>0</v>
      </c>
      <c r="IS401" s="56"/>
      <c r="IV401" s="55">
        <f t="shared" si="2810"/>
        <v>46362</v>
      </c>
      <c r="IW401" s="56"/>
      <c r="IX401" s="242">
        <f>SUMPRODUCT(PRODUCE!$B394:$DY394,PRODUCE!$EB$35:$IY$35)</f>
        <v>0</v>
      </c>
      <c r="IY401" s="56"/>
      <c r="IZ401" s="242">
        <f t="shared" si="2811"/>
        <v>0</v>
      </c>
      <c r="JA401" s="242">
        <f t="shared" si="2812"/>
        <v>2820</v>
      </c>
      <c r="JB401" s="56"/>
      <c r="JE401" s="55">
        <f t="shared" si="2813"/>
        <v>46362</v>
      </c>
      <c r="JF401" s="56"/>
      <c r="JG401" s="242">
        <f>SUMPRODUCT(PRODUCE!$B394:$DY394,PRODUCE!$EB$36:$IY$36)</f>
        <v>0</v>
      </c>
      <c r="JH401" s="56"/>
      <c r="JI401" s="242">
        <f t="shared" si="2814"/>
        <v>0</v>
      </c>
      <c r="JJ401" s="242">
        <f t="shared" si="2815"/>
        <v>0</v>
      </c>
      <c r="JK401" s="56"/>
      <c r="JN401" s="55">
        <f t="shared" si="2816"/>
        <v>46362</v>
      </c>
      <c r="JO401" s="56"/>
      <c r="JP401" s="242">
        <f>SUMPRODUCT(PRODUCE!$B394:$DY394,PRODUCE!$EB$37:$IY$37)</f>
        <v>0</v>
      </c>
      <c r="JQ401" s="56"/>
      <c r="JR401" s="242">
        <f t="shared" si="2817"/>
        <v>0</v>
      </c>
      <c r="JS401" s="242">
        <f t="shared" si="2818"/>
        <v>0</v>
      </c>
      <c r="JT401" s="56"/>
      <c r="JW401" s="55">
        <f t="shared" si="2819"/>
        <v>46362</v>
      </c>
      <c r="JX401" s="56"/>
      <c r="JY401" s="242">
        <f>SUMPRODUCT(PRODUCE!$B394:$DY394,PRODUCE!$EB$38:$IY$38)</f>
        <v>0</v>
      </c>
      <c r="JZ401" s="56"/>
      <c r="KA401" s="242">
        <f t="shared" si="2820"/>
        <v>0</v>
      </c>
      <c r="KB401" s="242">
        <f t="shared" si="2821"/>
        <v>2540</v>
      </c>
      <c r="KC401" s="56"/>
      <c r="KF401" s="55">
        <f t="shared" si="2822"/>
        <v>46362</v>
      </c>
      <c r="KG401" s="56"/>
      <c r="KH401" s="242">
        <f>SUMPRODUCT(PRODUCE!$B394:$DY394,PRODUCE!$EB$39:$IY$39)</f>
        <v>0</v>
      </c>
      <c r="KI401" s="56"/>
      <c r="KJ401" s="242">
        <f t="shared" si="2823"/>
        <v>0</v>
      </c>
      <c r="KK401" s="242">
        <f t="shared" si="2824"/>
        <v>2359.5</v>
      </c>
      <c r="KL401" s="56"/>
      <c r="KO401" s="55">
        <f t="shared" si="2825"/>
        <v>46362</v>
      </c>
      <c r="KP401" s="56"/>
      <c r="KQ401" s="242">
        <f>SUMPRODUCT(PRODUCE!$B394:$DY394,PRODUCE!$EB$40:$IY$40)</f>
        <v>0</v>
      </c>
      <c r="KR401" s="56"/>
      <c r="KS401" s="242">
        <f t="shared" si="2826"/>
        <v>0</v>
      </c>
      <c r="KT401" s="242">
        <f t="shared" si="2827"/>
        <v>1890</v>
      </c>
      <c r="KU401" s="56"/>
      <c r="KW401" s="23"/>
      <c r="KX401" s="55">
        <f t="shared" si="2828"/>
        <v>46362</v>
      </c>
      <c r="KY401" s="56"/>
      <c r="KZ401" s="242">
        <f>SUMPRODUCT(PRODUCE!$B394:$DY394,PRODUCE!$EB$41:$IY$41)</f>
        <v>0</v>
      </c>
      <c r="LA401" s="56"/>
      <c r="LB401" s="242">
        <f t="shared" si="2829"/>
        <v>0</v>
      </c>
      <c r="LC401" s="242">
        <f t="shared" si="2830"/>
        <v>3690</v>
      </c>
      <c r="LD401" s="56"/>
      <c r="LG401" s="55">
        <f t="shared" si="2831"/>
        <v>46362</v>
      </c>
      <c r="LH401" s="56"/>
      <c r="LI401" s="242">
        <f>SUMPRODUCT(PRODUCE!$B394:$DY394,PRODUCE!$EB$42:$IY$42)</f>
        <v>0</v>
      </c>
      <c r="LJ401" s="56"/>
      <c r="LK401" s="242">
        <f t="shared" si="2832"/>
        <v>0</v>
      </c>
      <c r="LL401" s="242">
        <f t="shared" si="2833"/>
        <v>4000</v>
      </c>
      <c r="LM401" s="56"/>
      <c r="LP401" s="55">
        <f t="shared" si="2834"/>
        <v>46362</v>
      </c>
      <c r="LQ401" s="56"/>
      <c r="LR401" s="242">
        <f>SUMPRODUCT(PRODUCE!$B416:$DY416,PRODUCE!$EB$43:$IY$43)</f>
        <v>0</v>
      </c>
      <c r="LS401" s="56"/>
      <c r="LT401" s="242">
        <f t="shared" si="2835"/>
        <v>0</v>
      </c>
      <c r="LU401" s="242">
        <f t="shared" si="2836"/>
        <v>0</v>
      </c>
      <c r="LV401" s="56"/>
      <c r="LY401" s="55">
        <f t="shared" si="2837"/>
        <v>46362</v>
      </c>
      <c r="LZ401" s="56"/>
      <c r="MA401" s="242">
        <f>SUMPRODUCT(PRODUCE!$B394:$DY394,PRODUCE!$EB$44:$IY$44)</f>
        <v>0</v>
      </c>
      <c r="MB401" s="56"/>
      <c r="MC401" s="242">
        <f t="shared" si="2838"/>
        <v>0</v>
      </c>
      <c r="MD401" s="242">
        <f t="shared" si="2839"/>
        <v>0</v>
      </c>
      <c r="ME401" s="56"/>
      <c r="MH401" s="55">
        <f t="shared" si="2840"/>
        <v>46362</v>
      </c>
      <c r="MI401" s="56"/>
      <c r="MJ401" s="242">
        <f>SUMPRODUCT(PRODUCE!$B394:$DY394,PRODUCE!$EB$45:$IY$45)</f>
        <v>0</v>
      </c>
      <c r="MK401" s="56"/>
      <c r="ML401" s="242">
        <f t="shared" si="2841"/>
        <v>0</v>
      </c>
      <c r="MM401" s="242">
        <f t="shared" si="2842"/>
        <v>-18</v>
      </c>
      <c r="MN401" s="56"/>
      <c r="MQ401" s="55">
        <f t="shared" si="2843"/>
        <v>46362</v>
      </c>
      <c r="MR401" s="56"/>
      <c r="MS401" s="242">
        <f>SUMPRODUCT(PRODUCE!$B394:$DY394,PRODUCE!$EB$46:$IY$46)</f>
        <v>0</v>
      </c>
      <c r="MT401" s="56"/>
      <c r="MU401" s="242">
        <f t="shared" si="2844"/>
        <v>0</v>
      </c>
      <c r="MV401" s="242">
        <f t="shared" si="2845"/>
        <v>1595</v>
      </c>
      <c r="MW401" s="56"/>
      <c r="MZ401" s="55">
        <f t="shared" si="2846"/>
        <v>46362</v>
      </c>
      <c r="NA401" s="56"/>
      <c r="NB401" s="242">
        <f>SUMPRODUCT(PRODUCE!$B394:$DY394,PRODUCE!$EB$47:$IY$47)</f>
        <v>0</v>
      </c>
      <c r="NC401" s="56"/>
      <c r="ND401" s="242">
        <f t="shared" si="2847"/>
        <v>0</v>
      </c>
      <c r="NE401" s="242">
        <f t="shared" si="2848"/>
        <v>0</v>
      </c>
      <c r="NF401" s="56"/>
      <c r="NI401" s="55">
        <f t="shared" si="2849"/>
        <v>46362</v>
      </c>
      <c r="NJ401" s="56"/>
      <c r="NK401" s="242">
        <f>SUMPRODUCT(PRODUCE!$B394:$DY394,PRODUCE!$EB$48:$IY$48)</f>
        <v>0</v>
      </c>
      <c r="NL401" s="56"/>
      <c r="NM401" s="242">
        <f t="shared" si="2850"/>
        <v>0</v>
      </c>
      <c r="NN401" s="242">
        <f t="shared" si="2851"/>
        <v>1127</v>
      </c>
      <c r="NO401" s="56"/>
      <c r="NR401" s="55">
        <f t="shared" si="2852"/>
        <v>46362</v>
      </c>
      <c r="NS401" s="56"/>
      <c r="NT401" s="242">
        <f>SUMPRODUCT(PRODUCE!$B394:$DY394,PRODUCE!$EB$49:$IY$49)</f>
        <v>0</v>
      </c>
      <c r="NU401" s="56"/>
      <c r="NV401" s="242">
        <f t="shared" si="2853"/>
        <v>0</v>
      </c>
      <c r="NW401" s="242">
        <f t="shared" si="2854"/>
        <v>3111.9999999999995</v>
      </c>
      <c r="NX401" s="56"/>
      <c r="OA401" s="55">
        <f t="shared" si="2855"/>
        <v>46362</v>
      </c>
      <c r="OB401" s="56"/>
      <c r="OC401" s="242">
        <f>SUMPRODUCT(PRODUCE!$B394:$DY394,PRODUCE!$EB$50:$IY$50)</f>
        <v>0</v>
      </c>
      <c r="OD401" s="56"/>
      <c r="OE401" s="242">
        <f t="shared" si="2856"/>
        <v>0</v>
      </c>
      <c r="OF401" s="242">
        <f t="shared" si="2857"/>
        <v>1680.5</v>
      </c>
      <c r="OG401" s="56"/>
      <c r="OJ401" s="55">
        <f t="shared" si="2858"/>
        <v>46362</v>
      </c>
      <c r="OK401" s="56"/>
      <c r="OL401" s="242">
        <f>SUMPRODUCT(PRODUCE!$B394:$DY394,PRODUCE!$EB$51:$IY$51)</f>
        <v>0</v>
      </c>
      <c r="OM401" s="56"/>
      <c r="ON401" s="242">
        <f t="shared" si="2859"/>
        <v>0</v>
      </c>
      <c r="OO401" s="242">
        <f t="shared" si="2860"/>
        <v>0</v>
      </c>
      <c r="OP401" s="56"/>
      <c r="OS401" s="55">
        <f t="shared" si="2861"/>
        <v>46362</v>
      </c>
      <c r="OT401" s="56"/>
      <c r="OU401" s="242">
        <f>SUMPRODUCT(PRODUCE!$B394:$DY394,PRODUCE!$EB$52:$IY$52)</f>
        <v>0</v>
      </c>
      <c r="OV401" s="56"/>
      <c r="OW401" s="242">
        <f t="shared" si="2862"/>
        <v>0</v>
      </c>
      <c r="OX401" s="242">
        <f t="shared" si="2863"/>
        <v>1482</v>
      </c>
      <c r="OY401" s="56"/>
      <c r="PB401" s="55">
        <f t="shared" si="2864"/>
        <v>46362</v>
      </c>
      <c r="PC401" s="56"/>
      <c r="PD401" s="242">
        <f>SUMPRODUCT(PRODUCE!$B394:$DY394,PRODUCE!$EB$53:$IY$53)</f>
        <v>0</v>
      </c>
      <c r="PE401" s="56"/>
      <c r="PF401" s="242">
        <f t="shared" si="2865"/>
        <v>0</v>
      </c>
      <c r="PG401" s="242">
        <f t="shared" si="2866"/>
        <v>0</v>
      </c>
      <c r="PH401" s="56"/>
      <c r="PK401" s="55">
        <f t="shared" si="2867"/>
        <v>46362</v>
      </c>
      <c r="PL401" s="56"/>
      <c r="PM401" s="242">
        <f>SUMPRODUCT(PRODUCE!$B394:$DY394,PRODUCE!$EB$54:$IY$54)</f>
        <v>0</v>
      </c>
      <c r="PN401" s="56"/>
      <c r="PO401" s="242">
        <f t="shared" si="2868"/>
        <v>0</v>
      </c>
      <c r="PP401" s="242">
        <f t="shared" si="2869"/>
        <v>100</v>
      </c>
      <c r="PQ401" s="56"/>
      <c r="PT401" s="55">
        <f t="shared" si="2870"/>
        <v>46362</v>
      </c>
      <c r="PU401" s="56"/>
      <c r="PV401" s="242">
        <f>SUMPRODUCT(PRODUCE!$B394:$DY394,PRODUCE!$EB$55:$IY$55)</f>
        <v>0</v>
      </c>
      <c r="PW401" s="56"/>
      <c r="PX401" s="242">
        <f t="shared" si="2871"/>
        <v>0</v>
      </c>
      <c r="PY401" s="242">
        <f t="shared" si="2872"/>
        <v>13.960000000000036</v>
      </c>
      <c r="PZ401" s="56"/>
      <c r="QC401" s="55">
        <f t="shared" si="2873"/>
        <v>46362</v>
      </c>
      <c r="QD401" s="56"/>
      <c r="QE401" s="242">
        <f>SUMPRODUCT(PRODUCE!$B394:$DY394,PRODUCE!$EB$56:$IY$56)</f>
        <v>0</v>
      </c>
      <c r="QF401" s="56"/>
      <c r="QG401" s="242">
        <f t="shared" si="2874"/>
        <v>0</v>
      </c>
      <c r="QH401" s="242">
        <f t="shared" si="2875"/>
        <v>548</v>
      </c>
      <c r="QI401" s="56"/>
      <c r="QL401" s="55">
        <f t="shared" si="2876"/>
        <v>46362</v>
      </c>
      <c r="QM401" s="56"/>
      <c r="QN401" s="242">
        <f>SUMPRODUCT(PRODUCE!$B394:$DY394,PRODUCE!$EB$57:$IY$57)</f>
        <v>0</v>
      </c>
      <c r="QO401" s="56"/>
      <c r="QP401" s="242">
        <f t="shared" si="2877"/>
        <v>0</v>
      </c>
      <c r="QQ401" s="242">
        <f t="shared" si="2878"/>
        <v>0</v>
      </c>
      <c r="QR401" s="56"/>
      <c r="QU401" s="55">
        <f t="shared" si="2879"/>
        <v>46362</v>
      </c>
      <c r="QV401" s="56"/>
      <c r="QW401" s="242">
        <f>SUMPRODUCT(PRODUCE!$B394:$DY394,PRODUCE!$EB$57:$IY$57)</f>
        <v>0</v>
      </c>
      <c r="QX401" s="56"/>
      <c r="QY401" s="242">
        <f t="shared" si="2880"/>
        <v>0</v>
      </c>
      <c r="QZ401" s="242">
        <f t="shared" si="2881"/>
        <v>0</v>
      </c>
      <c r="RA401" s="56"/>
      <c r="RD401" s="55">
        <f t="shared" si="2882"/>
        <v>46362</v>
      </c>
      <c r="RE401" s="56"/>
      <c r="RF401" s="242">
        <f>SUMPRODUCT(PRODUCE!$B394:$DY394,PRODUCE!$EB$58:$IY$58)</f>
        <v>0</v>
      </c>
      <c r="RG401" s="56"/>
      <c r="RH401" s="242">
        <f t="shared" si="2883"/>
        <v>0</v>
      </c>
      <c r="RI401" s="242">
        <f t="shared" si="2884"/>
        <v>147.04000000000002</v>
      </c>
      <c r="RJ401" s="56"/>
      <c r="RM401" s="55">
        <f t="shared" si="2885"/>
        <v>46362</v>
      </c>
      <c r="RN401" s="56"/>
      <c r="RO401" s="242">
        <f>SUMPRODUCT(PRODUCE!$B394:$DY394,PRODUCE!$EB$57:$IY$57)</f>
        <v>0</v>
      </c>
      <c r="RP401" s="56"/>
      <c r="RQ401" s="242">
        <f t="shared" si="2886"/>
        <v>0</v>
      </c>
      <c r="RR401" s="242">
        <f t="shared" si="2887"/>
        <v>46.8</v>
      </c>
      <c r="RS401" s="56"/>
      <c r="RV401" s="55">
        <f t="shared" si="2888"/>
        <v>46362</v>
      </c>
      <c r="RW401" s="56"/>
      <c r="RX401" s="242">
        <f>SUMPRODUCT(PRODUCE!$B394:$DY394,PRODUCE!$EB$57:$IY$57)</f>
        <v>0</v>
      </c>
      <c r="RY401" s="56"/>
      <c r="RZ401" s="242">
        <f t="shared" si="2889"/>
        <v>0</v>
      </c>
      <c r="SA401" s="242">
        <f t="shared" si="2890"/>
        <v>0</v>
      </c>
      <c r="SB401" s="56"/>
      <c r="SE401" s="55">
        <f t="shared" si="2891"/>
        <v>46362</v>
      </c>
      <c r="SF401" s="56"/>
      <c r="SG401" s="242">
        <f>SUMPRODUCT(PRODUCE!$B394:$DY394,PRODUCE!$EB$61:$IY$61)</f>
        <v>0</v>
      </c>
      <c r="SH401" s="56"/>
      <c r="SI401" s="242">
        <f t="shared" si="2892"/>
        <v>0</v>
      </c>
      <c r="SJ401" s="242">
        <f t="shared" si="2893"/>
        <v>24.200000000000003</v>
      </c>
      <c r="SK401" s="56"/>
      <c r="SN401" s="55">
        <f t="shared" si="2894"/>
        <v>46362</v>
      </c>
      <c r="SO401" s="56"/>
      <c r="SP401" s="242">
        <f>SUMPRODUCT(PRODUCE!$B394:$DY394,PRODUCE!$EB$57:$IY$57)</f>
        <v>0</v>
      </c>
      <c r="SQ401" s="56"/>
      <c r="SR401" s="242">
        <f t="shared" si="2895"/>
        <v>0</v>
      </c>
      <c r="SS401" s="242">
        <f t="shared" si="2896"/>
        <v>32</v>
      </c>
      <c r="ST401" s="56"/>
      <c r="SW401" s="55">
        <f t="shared" si="2897"/>
        <v>46362</v>
      </c>
      <c r="SX401" s="56"/>
      <c r="SY401" s="242">
        <f>SUMPRODUCT(PRODUCE!$B394:$DY394,PRODUCE!$EB$57:$IY$57)</f>
        <v>0</v>
      </c>
      <c r="SZ401" s="56"/>
      <c r="TA401" s="242">
        <f t="shared" si="2898"/>
        <v>0</v>
      </c>
      <c r="TB401" s="242">
        <f t="shared" si="2899"/>
        <v>0</v>
      </c>
      <c r="TC401" s="56"/>
      <c r="TF401" s="55">
        <f t="shared" si="2900"/>
        <v>46362</v>
      </c>
      <c r="TG401" s="56"/>
      <c r="TH401" s="242">
        <f>SUMPRODUCT(PRODUCE!$B394:$DY394,PRODUCE!$EB$57:$IY$57)</f>
        <v>0</v>
      </c>
      <c r="TI401" s="56"/>
      <c r="TJ401" s="242">
        <f t="shared" si="2901"/>
        <v>0</v>
      </c>
      <c r="TK401" s="242">
        <f t="shared" si="2902"/>
        <v>0</v>
      </c>
      <c r="TL401" s="56"/>
      <c r="TO401" s="55">
        <f t="shared" si="2903"/>
        <v>46362</v>
      </c>
      <c r="TP401" s="56"/>
      <c r="TQ401" s="242">
        <f>SUMPRODUCT(PRODUCE!$B394:$DY394,PRODUCE!$EB$57:$IY$57)</f>
        <v>0</v>
      </c>
      <c r="TR401" s="56"/>
      <c r="TS401" s="242">
        <f t="shared" si="2904"/>
        <v>0</v>
      </c>
      <c r="TT401" s="242">
        <f t="shared" si="2905"/>
        <v>0</v>
      </c>
      <c r="TU401" s="56"/>
      <c r="TX401" s="55">
        <f t="shared" si="2906"/>
        <v>46362</v>
      </c>
      <c r="TY401" s="56"/>
      <c r="TZ401" s="242">
        <f>SUMPRODUCT(PRODUCE!$B394:$DY394,PRODUCE!$EB$57:$IY$57)</f>
        <v>0</v>
      </c>
      <c r="UA401" s="56"/>
      <c r="UB401" s="242">
        <f t="shared" si="2907"/>
        <v>0</v>
      </c>
      <c r="UC401" s="242">
        <f t="shared" si="2908"/>
        <v>46.799999999999983</v>
      </c>
      <c r="UD401" s="56"/>
      <c r="UG401" s="55">
        <f t="shared" si="2909"/>
        <v>46362</v>
      </c>
      <c r="UH401" s="56"/>
      <c r="UI401" s="242">
        <f>SUMPRODUCT(PRODUCE!$B394:$DY394,PRODUCE!$EB$57:$IY$57)</f>
        <v>0</v>
      </c>
      <c r="UJ401" s="56"/>
      <c r="UK401" s="242">
        <f t="shared" si="2910"/>
        <v>0</v>
      </c>
      <c r="UL401" s="242">
        <f t="shared" si="2911"/>
        <v>204</v>
      </c>
      <c r="UM401" s="56"/>
      <c r="UP401" s="55">
        <f t="shared" si="2912"/>
        <v>46362</v>
      </c>
      <c r="UQ401" s="56"/>
      <c r="UR401" s="242">
        <f>SUMPRODUCT(PRODUCE!$B394:$DY394,PRODUCE!$EB$57:$IY$57)</f>
        <v>0</v>
      </c>
      <c r="US401" s="56"/>
      <c r="UT401" s="242">
        <f t="shared" si="2913"/>
        <v>0</v>
      </c>
      <c r="UU401" s="242">
        <f t="shared" si="2914"/>
        <v>202.5</v>
      </c>
      <c r="UV401" s="56"/>
      <c r="UY401" s="55">
        <f t="shared" si="2915"/>
        <v>46362</v>
      </c>
      <c r="UZ401" s="56"/>
      <c r="VA401" s="242">
        <f>SUMPRODUCT(PRODUCE!$B394:$DY394,PRODUCE!$EB$57:$IY$57)</f>
        <v>0</v>
      </c>
      <c r="VB401" s="56"/>
      <c r="VC401" s="242">
        <f t="shared" si="2916"/>
        <v>0</v>
      </c>
      <c r="VD401" s="242">
        <f t="shared" si="2917"/>
        <v>41.600000000000023</v>
      </c>
      <c r="VE401" s="56"/>
      <c r="VH401" s="55">
        <f t="shared" si="2918"/>
        <v>46362</v>
      </c>
      <c r="VI401" s="56"/>
      <c r="VJ401" s="242">
        <f>SUMPRODUCT(PRODUCE!$B394:$DY394,PRODUCE!$EB$57:$IY$57)</f>
        <v>0</v>
      </c>
      <c r="VK401" s="56"/>
      <c r="VL401" s="242">
        <f t="shared" si="2919"/>
        <v>0</v>
      </c>
      <c r="VM401" s="242">
        <f t="shared" si="2920"/>
        <v>210</v>
      </c>
      <c r="VN401" s="56"/>
      <c r="VQ401" s="55">
        <f t="shared" si="2921"/>
        <v>46362</v>
      </c>
      <c r="VR401" s="56"/>
      <c r="VS401" s="242">
        <f>SUMPRODUCT(PRODUCE!$B394:$DY394,PRODUCE!$EB$57:$IY$57)</f>
        <v>0</v>
      </c>
      <c r="VT401" s="56"/>
      <c r="VU401" s="242">
        <f t="shared" si="2922"/>
        <v>0</v>
      </c>
      <c r="VV401" s="242">
        <f t="shared" si="2923"/>
        <v>0</v>
      </c>
      <c r="VW401" s="56"/>
      <c r="VZ401" s="55">
        <f t="shared" si="2924"/>
        <v>46362</v>
      </c>
      <c r="WA401" s="56"/>
      <c r="WB401" s="242">
        <f>SUMPRODUCT(PRODUCE!$B394:$DY394,PRODUCE!$EB$57:$IY$57)</f>
        <v>0</v>
      </c>
      <c r="WC401" s="56"/>
      <c r="WD401" s="242">
        <f t="shared" si="2925"/>
        <v>0</v>
      </c>
      <c r="WE401" s="242">
        <f t="shared" si="2926"/>
        <v>0</v>
      </c>
      <c r="WF401" s="56"/>
      <c r="WI401" s="55">
        <f t="shared" si="2927"/>
        <v>46362</v>
      </c>
      <c r="WJ401" s="56"/>
      <c r="WK401" s="242">
        <f>SUMPRODUCT(PRODUCE!$B394:$DY394,PRODUCE!$EB$57:$IY$57)</f>
        <v>0</v>
      </c>
      <c r="WL401" s="56"/>
      <c r="WM401" s="242">
        <f t="shared" si="2928"/>
        <v>0</v>
      </c>
      <c r="WN401" s="242">
        <f t="shared" si="2929"/>
        <v>1057</v>
      </c>
      <c r="WO401" s="56"/>
      <c r="WR401" s="55">
        <f t="shared" si="2930"/>
        <v>46362</v>
      </c>
      <c r="WS401" s="56"/>
      <c r="WT401" s="242">
        <f>SUMPRODUCT(PRODUCE!$B394:$DY394,PRODUCE!$EB$57:$IY$57)</f>
        <v>0</v>
      </c>
      <c r="WU401" s="56"/>
      <c r="WV401" s="242">
        <f t="shared" si="2931"/>
        <v>0</v>
      </c>
      <c r="WW401" s="242">
        <f t="shared" si="2932"/>
        <v>0</v>
      </c>
      <c r="WX401" s="56"/>
      <c r="XA401" s="55">
        <f t="shared" si="2933"/>
        <v>46362</v>
      </c>
      <c r="XB401" s="56"/>
      <c r="XC401" s="242">
        <f>SUMPRODUCT(PRODUCE!$B394:$DY394,PRODUCE!$EB$57:$IY$57)</f>
        <v>0</v>
      </c>
      <c r="XD401" s="56"/>
      <c r="XE401" s="242">
        <f t="shared" si="2934"/>
        <v>0</v>
      </c>
      <c r="XF401" s="242">
        <f t="shared" si="2935"/>
        <v>7507</v>
      </c>
      <c r="XG401" s="56"/>
      <c r="XJ401" s="55">
        <f t="shared" si="2936"/>
        <v>46362</v>
      </c>
      <c r="XK401" s="56"/>
      <c r="XL401" s="242">
        <f>SUMPRODUCT(PRODUCE!$B394:$DY394,PRODUCE!$EB$57:$IY$57)</f>
        <v>0</v>
      </c>
      <c r="XM401" s="56"/>
      <c r="XN401" s="242">
        <f t="shared" si="2937"/>
        <v>0</v>
      </c>
      <c r="XO401" s="242">
        <f t="shared" si="2938"/>
        <v>4252</v>
      </c>
      <c r="XP401" s="56"/>
      <c r="XS401" s="55">
        <f t="shared" si="2939"/>
        <v>46362</v>
      </c>
      <c r="XT401" s="56"/>
      <c r="XU401" s="242">
        <f>SUMPRODUCT(PRODUCE!$B394:$DY394,PRODUCE!$EB$57:$IY$57)</f>
        <v>0</v>
      </c>
      <c r="XV401" s="56"/>
      <c r="XW401" s="242">
        <f t="shared" si="2940"/>
        <v>0</v>
      </c>
      <c r="XX401" s="242">
        <f t="shared" si="2941"/>
        <v>2179</v>
      </c>
      <c r="XY401" s="56"/>
      <c r="YB401" s="55">
        <f t="shared" si="2942"/>
        <v>46362</v>
      </c>
      <c r="YC401" s="56"/>
      <c r="YD401" s="242">
        <f>SUMPRODUCT(PRODUCE!$B394:$DY394,PRODUCE!$EB$57:$IY$57)</f>
        <v>0</v>
      </c>
      <c r="YE401" s="56"/>
      <c r="YF401" s="242">
        <f t="shared" si="2943"/>
        <v>0</v>
      </c>
      <c r="YG401" s="242">
        <f t="shared" si="2944"/>
        <v>4019</v>
      </c>
      <c r="YH401" s="56"/>
      <c r="YK401" s="55">
        <f t="shared" si="2945"/>
        <v>46362</v>
      </c>
      <c r="YL401" s="56"/>
      <c r="YM401" s="242">
        <f>SUMPRODUCT(PRODUCE!$B394:$DY394,PRODUCE!$EB$57:$IY$57)</f>
        <v>0</v>
      </c>
      <c r="YN401" s="56"/>
      <c r="YO401" s="242">
        <f t="shared" si="2946"/>
        <v>0</v>
      </c>
      <c r="YP401" s="242">
        <f t="shared" si="2947"/>
        <v>-218</v>
      </c>
      <c r="YQ401" s="56"/>
      <c r="YT401" s="55">
        <f t="shared" si="2948"/>
        <v>46362</v>
      </c>
      <c r="YU401" s="56"/>
      <c r="YV401" s="242">
        <f>SUMPRODUCT(PRODUCE!$B394:$DY394,PRODUCE!$EB$57:$IY$57)</f>
        <v>0</v>
      </c>
      <c r="YW401" s="56"/>
      <c r="YX401" s="242">
        <f t="shared" si="2949"/>
        <v>0</v>
      </c>
      <c r="YY401" s="242">
        <f t="shared" si="2950"/>
        <v>0</v>
      </c>
      <c r="YZ401" s="56"/>
      <c r="ZC401" s="55">
        <f t="shared" si="2951"/>
        <v>46362</v>
      </c>
      <c r="ZD401" s="56"/>
      <c r="ZE401" s="242">
        <f>SUMPRODUCT(PRODUCE!$B394:$DY394,PRODUCE!$EB$57:$IY$57)</f>
        <v>0</v>
      </c>
      <c r="ZF401" s="56"/>
      <c r="ZG401" s="242">
        <f t="shared" si="2952"/>
        <v>0</v>
      </c>
      <c r="ZH401" s="242">
        <f t="shared" si="2953"/>
        <v>0</v>
      </c>
      <c r="ZI401" s="56"/>
      <c r="ZL401" s="55">
        <f t="shared" si="2954"/>
        <v>46362</v>
      </c>
      <c r="ZM401" s="56"/>
      <c r="ZN401" s="242">
        <f>SUMPRODUCT(PRODUCE!$B394:$DY394,PRODUCE!$EB$57:$IY$57)</f>
        <v>0</v>
      </c>
      <c r="ZO401" s="56"/>
      <c r="ZP401" s="242">
        <f t="shared" si="2955"/>
        <v>0</v>
      </c>
      <c r="ZQ401" s="242">
        <f t="shared" si="2956"/>
        <v>0</v>
      </c>
      <c r="ZR401" s="56"/>
      <c r="ZU401" s="55">
        <f t="shared" si="2957"/>
        <v>46362</v>
      </c>
      <c r="ZV401" s="56"/>
      <c r="ZW401" s="242">
        <f>SUMPRODUCT(PRODUCE!$B394:$DY394,PRODUCE!$EB$57:$IY$57)</f>
        <v>0</v>
      </c>
      <c r="ZX401" s="56"/>
      <c r="ZY401" s="242">
        <f t="shared" si="2958"/>
        <v>0</v>
      </c>
      <c r="ZZ401" s="242">
        <f t="shared" si="2959"/>
        <v>0</v>
      </c>
      <c r="AAA401" s="56"/>
      <c r="AAD401" s="55">
        <f t="shared" si="2960"/>
        <v>46362</v>
      </c>
      <c r="AAE401" s="56"/>
      <c r="AAF401" s="242">
        <f>SUMPRODUCT(PRODUCE!$B394:$DY394,PRODUCE!$EB$57:$IY$57)</f>
        <v>0</v>
      </c>
      <c r="AAG401" s="56"/>
      <c r="AAH401" s="242">
        <f t="shared" si="2961"/>
        <v>0</v>
      </c>
      <c r="AAI401" s="242">
        <f t="shared" si="2962"/>
        <v>0</v>
      </c>
      <c r="AAJ401" s="56"/>
      <c r="AAM401" s="55">
        <f t="shared" si="2963"/>
        <v>46362</v>
      </c>
      <c r="AAN401" s="56"/>
      <c r="AAO401" s="242">
        <f>SUMPRODUCT(PRODUCE!$B394:$DY394,PRODUCE!$EB$57:$IY$57)</f>
        <v>0</v>
      </c>
      <c r="AAP401" s="56"/>
      <c r="AAQ401" s="242">
        <f t="shared" si="2964"/>
        <v>0</v>
      </c>
      <c r="AAR401" s="242">
        <f t="shared" si="2965"/>
        <v>0</v>
      </c>
      <c r="AAS401" s="56"/>
      <c r="AAV401" s="55">
        <f t="shared" si="2966"/>
        <v>46362</v>
      </c>
      <c r="AAW401" s="56"/>
      <c r="AAX401" s="242">
        <f>SUMPRODUCT(PRODUCE!$B394:$DY394,PRODUCE!$EB$57:$IY$57)</f>
        <v>0</v>
      </c>
      <c r="AAY401" s="56"/>
      <c r="AAZ401" s="242">
        <f t="shared" si="2967"/>
        <v>0</v>
      </c>
      <c r="ABA401" s="242">
        <f t="shared" si="2968"/>
        <v>0</v>
      </c>
      <c r="ABB401" s="56"/>
      <c r="ABE401" s="55">
        <f t="shared" si="2969"/>
        <v>46362</v>
      </c>
      <c r="ABF401" s="56"/>
      <c r="ABG401" s="242">
        <f>SUMPRODUCT(PRODUCE!$B394:$DY394,PRODUCE!$EB$57:$IY$57)</f>
        <v>0</v>
      </c>
      <c r="ABH401" s="56"/>
      <c r="ABI401" s="242">
        <f t="shared" si="2970"/>
        <v>0</v>
      </c>
      <c r="ABJ401" s="242">
        <f t="shared" si="2971"/>
        <v>0</v>
      </c>
      <c r="ABK401" s="56"/>
    </row>
    <row r="402" spans="2:739" s="54" customFormat="1" ht="15" customHeight="1" outlineLevel="1">
      <c r="B402" s="478"/>
      <c r="C402" s="55">
        <v>46363</v>
      </c>
      <c r="D402" s="56"/>
      <c r="E402" s="57">
        <f>SUMPRODUCT(PRODUCE!$B395:$DY395,PRODUCE!$EB$7:$IY$7)</f>
        <v>0</v>
      </c>
      <c r="F402" s="56"/>
      <c r="G402" s="57">
        <f t="shared" si="2727"/>
        <v>0</v>
      </c>
      <c r="H402" s="57">
        <f t="shared" si="2728"/>
        <v>236936.6</v>
      </c>
      <c r="I402" s="289"/>
      <c r="L402" s="55">
        <f t="shared" si="2729"/>
        <v>46363</v>
      </c>
      <c r="M402" s="56"/>
      <c r="N402" s="59">
        <f>SUMPRODUCT(PRODUCE!$B395:$DY395,PRODUCE!$EB$8:$IY$8)</f>
        <v>0</v>
      </c>
      <c r="O402" s="56"/>
      <c r="P402" s="59">
        <f t="shared" si="2730"/>
        <v>0</v>
      </c>
      <c r="Q402" s="59">
        <f t="shared" si="2731"/>
        <v>53017.600000000071</v>
      </c>
      <c r="R402" s="56"/>
      <c r="U402" s="55">
        <f t="shared" si="2732"/>
        <v>46363</v>
      </c>
      <c r="V402" s="56"/>
      <c r="W402" s="60">
        <f>SUMPRODUCT(PRODUCE!$B395:$DY395,PRODUCE!$EB$9:$IY$9)</f>
        <v>0</v>
      </c>
      <c r="X402" s="56"/>
      <c r="Y402" s="60">
        <f t="shared" si="2733"/>
        <v>0</v>
      </c>
      <c r="Z402" s="60">
        <f t="shared" si="2734"/>
        <v>42674.199999999968</v>
      </c>
      <c r="AA402" s="56"/>
      <c r="AD402" s="55">
        <f t="shared" si="2735"/>
        <v>46363</v>
      </c>
      <c r="AE402" s="56"/>
      <c r="AF402" s="61">
        <f>SUMPRODUCT(PRODUCE!$B395:$DY395,PRODUCE!$EB$10:$IY$10)</f>
        <v>0</v>
      </c>
      <c r="AG402" s="56"/>
      <c r="AH402" s="61">
        <f t="shared" si="2736"/>
        <v>0</v>
      </c>
      <c r="AI402" s="61">
        <f t="shared" si="2737"/>
        <v>4522.2000000000189</v>
      </c>
      <c r="AJ402" s="56"/>
      <c r="AM402" s="55">
        <f t="shared" si="2738"/>
        <v>46363</v>
      </c>
      <c r="AN402" s="422"/>
      <c r="AO402" s="444">
        <f>SUMPRODUCT(PRODUCE!$B395:$DY395,PRODUCE!$EB$11:$IY$11)</f>
        <v>0</v>
      </c>
      <c r="AP402" s="422"/>
      <c r="AQ402" s="444">
        <f t="shared" si="2739"/>
        <v>0</v>
      </c>
      <c r="AR402" s="444">
        <f t="shared" si="2740"/>
        <v>0</v>
      </c>
      <c r="AS402" s="56"/>
      <c r="AV402" s="55">
        <f t="shared" si="2741"/>
        <v>46363</v>
      </c>
      <c r="AW402" s="56"/>
      <c r="AX402" s="62">
        <f>SUMPRODUCT(PRODUCE!$B395:$DY395,PRODUCE!$EB$12:$IY$12)</f>
        <v>0</v>
      </c>
      <c r="AY402" s="56"/>
      <c r="AZ402" s="62">
        <f t="shared" si="2742"/>
        <v>0</v>
      </c>
      <c r="BA402" s="62">
        <f t="shared" si="2743"/>
        <v>124.99999999999523</v>
      </c>
      <c r="BB402" s="56"/>
      <c r="BE402" s="55">
        <f t="shared" si="2744"/>
        <v>46363</v>
      </c>
      <c r="BF402" s="56"/>
      <c r="BG402" s="63">
        <f>SUMPRODUCT(PRODUCE!$B395:$DY395,PRODUCE!$EB$13:$IY$13)</f>
        <v>0</v>
      </c>
      <c r="BH402" s="56"/>
      <c r="BI402" s="63">
        <f t="shared" si="2745"/>
        <v>0</v>
      </c>
      <c r="BJ402" s="63">
        <f t="shared" si="2746"/>
        <v>26151.899999999998</v>
      </c>
      <c r="BK402" s="56"/>
      <c r="BN402" s="55">
        <f t="shared" si="2747"/>
        <v>46363</v>
      </c>
      <c r="BO402" s="56"/>
      <c r="BP402" s="64">
        <f>SUMPRODUCT(PRODUCE!$B395:$DY395,PRODUCE!$EB$14:$IY$14)</f>
        <v>0</v>
      </c>
      <c r="BQ402" s="56"/>
      <c r="BR402" s="64">
        <f t="shared" si="2748"/>
        <v>0</v>
      </c>
      <c r="BS402" s="64">
        <f t="shared" si="2749"/>
        <v>0</v>
      </c>
      <c r="BT402" s="56"/>
      <c r="BW402" s="55">
        <f t="shared" si="2750"/>
        <v>46363</v>
      </c>
      <c r="BX402" s="56"/>
      <c r="BY402" s="65">
        <f>SUMPRODUCT(PRODUCE!$B395:$DY395,PRODUCE!$EB$15:$IY$15)</f>
        <v>0</v>
      </c>
      <c r="BZ402" s="56"/>
      <c r="CA402" s="65">
        <f t="shared" si="2751"/>
        <v>0</v>
      </c>
      <c r="CB402" s="65">
        <f t="shared" si="2752"/>
        <v>2097.3399999999992</v>
      </c>
      <c r="CC402" s="56"/>
      <c r="CF402" s="55">
        <f t="shared" si="2753"/>
        <v>46363</v>
      </c>
      <c r="CG402" s="56"/>
      <c r="CH402" s="66">
        <f>SUMPRODUCT(PRODUCE!$B395:$DY395,PRODUCE!$EB$16:$IY$16)</f>
        <v>0</v>
      </c>
      <c r="CI402" s="56"/>
      <c r="CJ402" s="66">
        <f t="shared" si="2754"/>
        <v>0</v>
      </c>
      <c r="CK402" s="66">
        <f t="shared" si="2755"/>
        <v>-10277.079999999998</v>
      </c>
      <c r="CL402" s="56"/>
      <c r="CO402" s="55">
        <f t="shared" si="2756"/>
        <v>46363</v>
      </c>
      <c r="CP402" s="422"/>
      <c r="CQ402" s="470">
        <f>SUMPRODUCT(PRODUCE!$B395:$DY395,PRODUCE!$EB$17:$IY$17)</f>
        <v>0</v>
      </c>
      <c r="CR402" s="422"/>
      <c r="CS402" s="470">
        <f t="shared" si="2757"/>
        <v>0</v>
      </c>
      <c r="CT402" s="470">
        <f t="shared" si="2758"/>
        <v>0</v>
      </c>
      <c r="CU402" s="56"/>
      <c r="CX402" s="55">
        <f t="shared" si="2759"/>
        <v>46363</v>
      </c>
      <c r="CY402" s="56"/>
      <c r="CZ402" s="133">
        <f>SUMPRODUCT(PRODUCE!$B395:$DY395,PRODUCE!$EB$18:$IY$18)</f>
        <v>0</v>
      </c>
      <c r="DA402" s="56"/>
      <c r="DB402" s="133">
        <f t="shared" si="2760"/>
        <v>0</v>
      </c>
      <c r="DC402" s="133">
        <f t="shared" si="2761"/>
        <v>27438.200000000012</v>
      </c>
      <c r="DD402" s="56"/>
      <c r="DG402" s="55">
        <f t="shared" si="2762"/>
        <v>46363</v>
      </c>
      <c r="DH402" s="56"/>
      <c r="DI402" s="147">
        <f>SUMPRODUCT(PRODUCE!$B395:$DY395,PRODUCE!$EB$19:$IY$19)</f>
        <v>0</v>
      </c>
      <c r="DJ402" s="56"/>
      <c r="DK402" s="147">
        <f t="shared" si="2763"/>
        <v>0</v>
      </c>
      <c r="DL402" s="147">
        <f t="shared" si="2764"/>
        <v>18782.299999999981</v>
      </c>
      <c r="DM402" s="56"/>
      <c r="DP402" s="55">
        <f t="shared" si="2765"/>
        <v>46363</v>
      </c>
      <c r="DQ402" s="56"/>
      <c r="DR402" s="57">
        <f>SUMPRODUCT(PRODUCE!$B395:$DY395,PRODUCE!$EB$20:$IY$20)</f>
        <v>0</v>
      </c>
      <c r="DS402" s="56"/>
      <c r="DT402" s="57">
        <f t="shared" si="2766"/>
        <v>0</v>
      </c>
      <c r="DU402" s="57">
        <f t="shared" si="2767"/>
        <v>5800</v>
      </c>
      <c r="DV402" s="56"/>
      <c r="DY402" s="55">
        <f t="shared" si="2768"/>
        <v>46363</v>
      </c>
      <c r="DZ402" s="56"/>
      <c r="EA402" s="157">
        <f>SUMPRODUCT(PRODUCE!$B395:$DY395,PRODUCE!$EB$21:$IY$21)</f>
        <v>0</v>
      </c>
      <c r="EB402" s="56"/>
      <c r="EC402" s="157">
        <f t="shared" si="2769"/>
        <v>0</v>
      </c>
      <c r="ED402" s="157">
        <f t="shared" si="2770"/>
        <v>0</v>
      </c>
      <c r="EE402" s="56"/>
      <c r="EH402" s="55">
        <f t="shared" si="2771"/>
        <v>46363</v>
      </c>
      <c r="EI402" s="56"/>
      <c r="EJ402" s="162">
        <f>SUMPRODUCT(PRODUCE!$B395:$DY395,PRODUCE!$EB$22:$IY$22)</f>
        <v>0</v>
      </c>
      <c r="EK402" s="56"/>
      <c r="EL402" s="162">
        <f t="shared" si="2772"/>
        <v>0</v>
      </c>
      <c r="EM402" s="162">
        <f t="shared" si="2773"/>
        <v>0</v>
      </c>
      <c r="EN402" s="56"/>
      <c r="EQ402" s="55">
        <f t="shared" si="2774"/>
        <v>46363</v>
      </c>
      <c r="ER402" s="56"/>
      <c r="ES402" s="135">
        <f>SUMPRODUCT(PRODUCE!$B395:$DY395,PRODUCE!$EB$23:$IY$23)</f>
        <v>0</v>
      </c>
      <c r="ET402" s="56"/>
      <c r="EU402" s="135">
        <f t="shared" si="2775"/>
        <v>0</v>
      </c>
      <c r="EV402" s="135">
        <f t="shared" si="2776"/>
        <v>0</v>
      </c>
      <c r="EW402" s="56"/>
      <c r="EZ402" s="55">
        <f t="shared" si="2777"/>
        <v>46363</v>
      </c>
      <c r="FA402" s="56"/>
      <c r="FB402" s="175">
        <f>SUMPRODUCT(PRODUCE!$B395:$DY395,PRODUCE!$EB$24:$IY$24)</f>
        <v>0</v>
      </c>
      <c r="FC402" s="56"/>
      <c r="FD402" s="175">
        <f t="shared" si="2778"/>
        <v>0</v>
      </c>
      <c r="FE402" s="175">
        <f t="shared" si="2779"/>
        <v>0</v>
      </c>
      <c r="FF402" s="56"/>
      <c r="FI402" s="55">
        <f t="shared" si="2780"/>
        <v>46363</v>
      </c>
      <c r="FJ402" s="56"/>
      <c r="FK402" s="183">
        <f>SUMPRODUCT(PRODUCE!$B395:$DY395,PRODUCE!$EB$25:$IY$25)</f>
        <v>0</v>
      </c>
      <c r="FL402" s="56"/>
      <c r="FM402" s="183">
        <f t="shared" si="2781"/>
        <v>0</v>
      </c>
      <c r="FN402" s="183">
        <f t="shared" si="2782"/>
        <v>0</v>
      </c>
      <c r="FO402" s="56"/>
      <c r="FR402" s="55">
        <f t="shared" si="2783"/>
        <v>46363</v>
      </c>
      <c r="FS402" s="56"/>
      <c r="FT402" s="186">
        <f>SUMPRODUCT(PRODUCE!$B395:$DY395,PRODUCE!$EB$26:$IY$26)</f>
        <v>0</v>
      </c>
      <c r="FU402" s="56"/>
      <c r="FV402" s="186">
        <f t="shared" si="2784"/>
        <v>0</v>
      </c>
      <c r="FW402" s="186">
        <f t="shared" si="2785"/>
        <v>2020</v>
      </c>
      <c r="FX402" s="56"/>
      <c r="GA402" s="55">
        <f t="shared" si="2786"/>
        <v>46363</v>
      </c>
      <c r="GB402" s="56"/>
      <c r="GC402" s="137">
        <f>SUMPRODUCT(PRODUCE!$B395:$DY395,PRODUCE!$EB$27:$IY$27)</f>
        <v>0</v>
      </c>
      <c r="GD402" s="56"/>
      <c r="GE402" s="137">
        <f t="shared" si="2787"/>
        <v>0</v>
      </c>
      <c r="GF402" s="137">
        <f t="shared" si="2788"/>
        <v>960</v>
      </c>
      <c r="GG402" s="56"/>
      <c r="GI402" s="23"/>
      <c r="GJ402" s="55">
        <f t="shared" si="2789"/>
        <v>46363</v>
      </c>
      <c r="GK402" s="56"/>
      <c r="GL402" s="199">
        <f>SUMPRODUCT(PRODUCE!$B395:$DY395,PRODUCE!$EB$28:$IY$28)</f>
        <v>0</v>
      </c>
      <c r="GM402" s="56"/>
      <c r="GN402" s="199">
        <f t="shared" si="2790"/>
        <v>0</v>
      </c>
      <c r="GO402" s="199">
        <f t="shared" si="2791"/>
        <v>1760</v>
      </c>
      <c r="GP402" s="56"/>
      <c r="GS402" s="55">
        <f t="shared" si="2792"/>
        <v>46363</v>
      </c>
      <c r="GT402" s="56"/>
      <c r="GU402" s="195">
        <f>SUMPRODUCT(PRODUCE!$B395:$DY395,PRODUCE!$EB$29:$IY$29)</f>
        <v>0</v>
      </c>
      <c r="GV402" s="56"/>
      <c r="GW402" s="195">
        <f t="shared" si="2793"/>
        <v>0</v>
      </c>
      <c r="GX402" s="195">
        <f t="shared" si="2794"/>
        <v>400</v>
      </c>
      <c r="GY402" s="56"/>
      <c r="HB402" s="55">
        <f t="shared" si="2795"/>
        <v>46363</v>
      </c>
      <c r="HC402" s="56"/>
      <c r="HD402" s="191">
        <f>SUMPRODUCT(PRODUCE!$B395:$DY395,PRODUCE!$EB$30:$IY$30)</f>
        <v>0</v>
      </c>
      <c r="HE402" s="56"/>
      <c r="HF402" s="191">
        <f t="shared" si="2796"/>
        <v>0</v>
      </c>
      <c r="HG402" s="191">
        <f t="shared" si="2797"/>
        <v>3600</v>
      </c>
      <c r="HH402" s="56"/>
      <c r="HK402" s="55">
        <f t="shared" si="2798"/>
        <v>46363</v>
      </c>
      <c r="HL402" s="56"/>
      <c r="HM402" s="63">
        <f>SUMPRODUCT(PRODUCE!$B395:$DY395,PRODUCE!$EB$31:$IY$31)</f>
        <v>0</v>
      </c>
      <c r="HN402" s="56"/>
      <c r="HO402" s="63">
        <f t="shared" si="2799"/>
        <v>0</v>
      </c>
      <c r="HP402" s="63">
        <f t="shared" si="2800"/>
        <v>0</v>
      </c>
      <c r="HQ402" s="56"/>
      <c r="HU402" s="55">
        <f t="shared" si="2801"/>
        <v>46363</v>
      </c>
      <c r="HV402" s="56"/>
      <c r="HW402" s="242">
        <f>SUMPRODUCT(PRODUCE!$B395:$DY395,PRODUCE!$EB$32:$IY$32)</f>
        <v>0</v>
      </c>
      <c r="HX402" s="56"/>
      <c r="HY402" s="242">
        <f t="shared" si="2802"/>
        <v>0</v>
      </c>
      <c r="HZ402" s="242">
        <f t="shared" si="2803"/>
        <v>6120</v>
      </c>
      <c r="IA402" s="56"/>
      <c r="ID402" s="55">
        <f t="shared" si="2804"/>
        <v>46363</v>
      </c>
      <c r="IE402" s="56"/>
      <c r="IF402" s="242">
        <f>SUMPRODUCT(PRODUCE!$B395:$DY395,PRODUCE!$EB$33:$IY$33)</f>
        <v>0</v>
      </c>
      <c r="IG402" s="56"/>
      <c r="IH402" s="242">
        <f t="shared" si="2805"/>
        <v>0</v>
      </c>
      <c r="II402" s="242">
        <f t="shared" si="2806"/>
        <v>0</v>
      </c>
      <c r="IJ402" s="56"/>
      <c r="IM402" s="55">
        <f t="shared" si="2807"/>
        <v>46363</v>
      </c>
      <c r="IN402" s="56"/>
      <c r="IO402" s="242">
        <f>SUMPRODUCT(PRODUCE!$B395:$DY395,PRODUCE!$EB$34:$IY$34)</f>
        <v>0</v>
      </c>
      <c r="IP402" s="56"/>
      <c r="IQ402" s="242">
        <f t="shared" si="2808"/>
        <v>0</v>
      </c>
      <c r="IR402" s="242">
        <f t="shared" si="2809"/>
        <v>0</v>
      </c>
      <c r="IS402" s="56"/>
      <c r="IV402" s="55">
        <f t="shared" si="2810"/>
        <v>46363</v>
      </c>
      <c r="IW402" s="56"/>
      <c r="IX402" s="242">
        <f>SUMPRODUCT(PRODUCE!$B395:$DY395,PRODUCE!$EB$35:$IY$35)</f>
        <v>0</v>
      </c>
      <c r="IY402" s="56"/>
      <c r="IZ402" s="242">
        <f t="shared" si="2811"/>
        <v>0</v>
      </c>
      <c r="JA402" s="242">
        <f t="shared" si="2812"/>
        <v>2820</v>
      </c>
      <c r="JB402" s="56"/>
      <c r="JE402" s="55">
        <f t="shared" si="2813"/>
        <v>46363</v>
      </c>
      <c r="JF402" s="56"/>
      <c r="JG402" s="242">
        <f>SUMPRODUCT(PRODUCE!$B395:$DY395,PRODUCE!$EB$36:$IY$36)</f>
        <v>0</v>
      </c>
      <c r="JH402" s="56"/>
      <c r="JI402" s="242">
        <f t="shared" si="2814"/>
        <v>0</v>
      </c>
      <c r="JJ402" s="242">
        <f t="shared" si="2815"/>
        <v>0</v>
      </c>
      <c r="JK402" s="56"/>
      <c r="JN402" s="55">
        <f t="shared" si="2816"/>
        <v>46363</v>
      </c>
      <c r="JO402" s="56"/>
      <c r="JP402" s="242">
        <f>SUMPRODUCT(PRODUCE!$B395:$DY395,PRODUCE!$EB$37:$IY$37)</f>
        <v>0</v>
      </c>
      <c r="JQ402" s="56"/>
      <c r="JR402" s="242">
        <f t="shared" si="2817"/>
        <v>0</v>
      </c>
      <c r="JS402" s="242">
        <f t="shared" si="2818"/>
        <v>0</v>
      </c>
      <c r="JT402" s="56"/>
      <c r="JW402" s="55">
        <f t="shared" si="2819"/>
        <v>46363</v>
      </c>
      <c r="JX402" s="56"/>
      <c r="JY402" s="242">
        <f>SUMPRODUCT(PRODUCE!$B395:$DY395,PRODUCE!$EB$38:$IY$38)</f>
        <v>0</v>
      </c>
      <c r="JZ402" s="56"/>
      <c r="KA402" s="242">
        <f t="shared" si="2820"/>
        <v>0</v>
      </c>
      <c r="KB402" s="242">
        <f t="shared" si="2821"/>
        <v>2540</v>
      </c>
      <c r="KC402" s="56"/>
      <c r="KF402" s="55">
        <f t="shared" si="2822"/>
        <v>46363</v>
      </c>
      <c r="KG402" s="56"/>
      <c r="KH402" s="242">
        <f>SUMPRODUCT(PRODUCE!$B395:$DY395,PRODUCE!$EB$39:$IY$39)</f>
        <v>0</v>
      </c>
      <c r="KI402" s="56"/>
      <c r="KJ402" s="242">
        <f t="shared" si="2823"/>
        <v>0</v>
      </c>
      <c r="KK402" s="242">
        <f t="shared" si="2824"/>
        <v>2359.5</v>
      </c>
      <c r="KL402" s="56"/>
      <c r="KO402" s="55">
        <f t="shared" si="2825"/>
        <v>46363</v>
      </c>
      <c r="KP402" s="56"/>
      <c r="KQ402" s="242">
        <f>SUMPRODUCT(PRODUCE!$B395:$DY395,PRODUCE!$EB$40:$IY$40)</f>
        <v>0</v>
      </c>
      <c r="KR402" s="56"/>
      <c r="KS402" s="242">
        <f t="shared" si="2826"/>
        <v>0</v>
      </c>
      <c r="KT402" s="242">
        <f t="shared" si="2827"/>
        <v>1890</v>
      </c>
      <c r="KU402" s="56"/>
      <c r="KW402" s="23"/>
      <c r="KX402" s="55">
        <f t="shared" si="2828"/>
        <v>46363</v>
      </c>
      <c r="KY402" s="56"/>
      <c r="KZ402" s="242">
        <f>SUMPRODUCT(PRODUCE!$B395:$DY395,PRODUCE!$EB$41:$IY$41)</f>
        <v>0</v>
      </c>
      <c r="LA402" s="56"/>
      <c r="LB402" s="242">
        <f t="shared" si="2829"/>
        <v>0</v>
      </c>
      <c r="LC402" s="242">
        <f t="shared" si="2830"/>
        <v>3690</v>
      </c>
      <c r="LD402" s="56"/>
      <c r="LG402" s="55">
        <f t="shared" si="2831"/>
        <v>46363</v>
      </c>
      <c r="LH402" s="56"/>
      <c r="LI402" s="242">
        <f>SUMPRODUCT(PRODUCE!$B395:$DY395,PRODUCE!$EB$42:$IY$42)</f>
        <v>0</v>
      </c>
      <c r="LJ402" s="56"/>
      <c r="LK402" s="242">
        <f t="shared" si="2832"/>
        <v>0</v>
      </c>
      <c r="LL402" s="242">
        <f t="shared" si="2833"/>
        <v>4000</v>
      </c>
      <c r="LM402" s="56"/>
      <c r="LP402" s="55">
        <f t="shared" si="2834"/>
        <v>46363</v>
      </c>
      <c r="LQ402" s="56"/>
      <c r="LR402" s="242">
        <f>SUMPRODUCT(PRODUCE!$B417:$DY417,PRODUCE!$EB$43:$IY$43)</f>
        <v>0</v>
      </c>
      <c r="LS402" s="56"/>
      <c r="LT402" s="242">
        <f t="shared" si="2835"/>
        <v>0</v>
      </c>
      <c r="LU402" s="242">
        <f t="shared" si="2836"/>
        <v>0</v>
      </c>
      <c r="LV402" s="56"/>
      <c r="LY402" s="55">
        <f t="shared" si="2837"/>
        <v>46363</v>
      </c>
      <c r="LZ402" s="56"/>
      <c r="MA402" s="242">
        <f>SUMPRODUCT(PRODUCE!$B395:$DY395,PRODUCE!$EB$44:$IY$44)</f>
        <v>0</v>
      </c>
      <c r="MB402" s="56"/>
      <c r="MC402" s="242">
        <f t="shared" si="2838"/>
        <v>0</v>
      </c>
      <c r="MD402" s="242">
        <f t="shared" si="2839"/>
        <v>0</v>
      </c>
      <c r="ME402" s="56"/>
      <c r="MH402" s="55">
        <f t="shared" si="2840"/>
        <v>46363</v>
      </c>
      <c r="MI402" s="56"/>
      <c r="MJ402" s="242">
        <f>SUMPRODUCT(PRODUCE!$B395:$DY395,PRODUCE!$EB$45:$IY$45)</f>
        <v>0</v>
      </c>
      <c r="MK402" s="56"/>
      <c r="ML402" s="242">
        <f t="shared" si="2841"/>
        <v>0</v>
      </c>
      <c r="MM402" s="242">
        <f t="shared" si="2842"/>
        <v>-18</v>
      </c>
      <c r="MN402" s="56"/>
      <c r="MQ402" s="55">
        <f t="shared" si="2843"/>
        <v>46363</v>
      </c>
      <c r="MR402" s="56"/>
      <c r="MS402" s="242">
        <f>SUMPRODUCT(PRODUCE!$B395:$DY395,PRODUCE!$EB$46:$IY$46)</f>
        <v>0</v>
      </c>
      <c r="MT402" s="56"/>
      <c r="MU402" s="242">
        <f t="shared" si="2844"/>
        <v>0</v>
      </c>
      <c r="MV402" s="242">
        <f t="shared" si="2845"/>
        <v>1595</v>
      </c>
      <c r="MW402" s="56"/>
      <c r="MZ402" s="55">
        <f t="shared" si="2846"/>
        <v>46363</v>
      </c>
      <c r="NA402" s="56"/>
      <c r="NB402" s="242">
        <f>SUMPRODUCT(PRODUCE!$B395:$DY395,PRODUCE!$EB$47:$IY$47)</f>
        <v>0</v>
      </c>
      <c r="NC402" s="56"/>
      <c r="ND402" s="242">
        <f t="shared" si="2847"/>
        <v>0</v>
      </c>
      <c r="NE402" s="242">
        <f t="shared" si="2848"/>
        <v>0</v>
      </c>
      <c r="NF402" s="56"/>
      <c r="NI402" s="55">
        <f t="shared" si="2849"/>
        <v>46363</v>
      </c>
      <c r="NJ402" s="56"/>
      <c r="NK402" s="242">
        <f>SUMPRODUCT(PRODUCE!$B395:$DY395,PRODUCE!$EB$48:$IY$48)</f>
        <v>0</v>
      </c>
      <c r="NL402" s="56"/>
      <c r="NM402" s="242">
        <f t="shared" si="2850"/>
        <v>0</v>
      </c>
      <c r="NN402" s="242">
        <f t="shared" si="2851"/>
        <v>1127</v>
      </c>
      <c r="NO402" s="56"/>
      <c r="NR402" s="55">
        <f t="shared" si="2852"/>
        <v>46363</v>
      </c>
      <c r="NS402" s="56"/>
      <c r="NT402" s="242">
        <f>SUMPRODUCT(PRODUCE!$B395:$DY395,PRODUCE!$EB$49:$IY$49)</f>
        <v>0</v>
      </c>
      <c r="NU402" s="56"/>
      <c r="NV402" s="242">
        <f t="shared" si="2853"/>
        <v>0</v>
      </c>
      <c r="NW402" s="242">
        <f t="shared" si="2854"/>
        <v>3111.9999999999995</v>
      </c>
      <c r="NX402" s="56"/>
      <c r="OA402" s="55">
        <f t="shared" si="2855"/>
        <v>46363</v>
      </c>
      <c r="OB402" s="56"/>
      <c r="OC402" s="242">
        <f>SUMPRODUCT(PRODUCE!$B395:$DY395,PRODUCE!$EB$50:$IY$50)</f>
        <v>0</v>
      </c>
      <c r="OD402" s="56"/>
      <c r="OE402" s="242">
        <f t="shared" si="2856"/>
        <v>0</v>
      </c>
      <c r="OF402" s="242">
        <f t="shared" si="2857"/>
        <v>1680.5</v>
      </c>
      <c r="OG402" s="56"/>
      <c r="OJ402" s="55">
        <f t="shared" si="2858"/>
        <v>46363</v>
      </c>
      <c r="OK402" s="56"/>
      <c r="OL402" s="242">
        <f>SUMPRODUCT(PRODUCE!$B395:$DY395,PRODUCE!$EB$51:$IY$51)</f>
        <v>0</v>
      </c>
      <c r="OM402" s="56"/>
      <c r="ON402" s="242">
        <f t="shared" si="2859"/>
        <v>0</v>
      </c>
      <c r="OO402" s="242">
        <f t="shared" si="2860"/>
        <v>0</v>
      </c>
      <c r="OP402" s="56"/>
      <c r="OS402" s="55">
        <f t="shared" si="2861"/>
        <v>46363</v>
      </c>
      <c r="OT402" s="56"/>
      <c r="OU402" s="242">
        <f>SUMPRODUCT(PRODUCE!$B395:$DY395,PRODUCE!$EB$52:$IY$52)</f>
        <v>0</v>
      </c>
      <c r="OV402" s="56"/>
      <c r="OW402" s="242">
        <f t="shared" si="2862"/>
        <v>0</v>
      </c>
      <c r="OX402" s="242">
        <f t="shared" si="2863"/>
        <v>1482</v>
      </c>
      <c r="OY402" s="56"/>
      <c r="PB402" s="55">
        <f t="shared" si="2864"/>
        <v>46363</v>
      </c>
      <c r="PC402" s="56"/>
      <c r="PD402" s="242">
        <f>SUMPRODUCT(PRODUCE!$B395:$DY395,PRODUCE!$EB$53:$IY$53)</f>
        <v>0</v>
      </c>
      <c r="PE402" s="56"/>
      <c r="PF402" s="242">
        <f t="shared" si="2865"/>
        <v>0</v>
      </c>
      <c r="PG402" s="242">
        <f t="shared" si="2866"/>
        <v>0</v>
      </c>
      <c r="PH402" s="56"/>
      <c r="PK402" s="55">
        <f t="shared" si="2867"/>
        <v>46363</v>
      </c>
      <c r="PL402" s="56"/>
      <c r="PM402" s="242">
        <f>SUMPRODUCT(PRODUCE!$B395:$DY395,PRODUCE!$EB$54:$IY$54)</f>
        <v>0</v>
      </c>
      <c r="PN402" s="56"/>
      <c r="PO402" s="242">
        <f t="shared" si="2868"/>
        <v>0</v>
      </c>
      <c r="PP402" s="242">
        <f t="shared" si="2869"/>
        <v>100</v>
      </c>
      <c r="PQ402" s="56"/>
      <c r="PT402" s="55">
        <f t="shared" si="2870"/>
        <v>46363</v>
      </c>
      <c r="PU402" s="56"/>
      <c r="PV402" s="242">
        <f>SUMPRODUCT(PRODUCE!$B395:$DY395,PRODUCE!$EB$55:$IY$55)</f>
        <v>0</v>
      </c>
      <c r="PW402" s="56"/>
      <c r="PX402" s="242">
        <f t="shared" si="2871"/>
        <v>0</v>
      </c>
      <c r="PY402" s="242">
        <f t="shared" si="2872"/>
        <v>13.960000000000036</v>
      </c>
      <c r="PZ402" s="56"/>
      <c r="QC402" s="55">
        <f t="shared" si="2873"/>
        <v>46363</v>
      </c>
      <c r="QD402" s="56"/>
      <c r="QE402" s="242">
        <f>SUMPRODUCT(PRODUCE!$B395:$DY395,PRODUCE!$EB$56:$IY$56)</f>
        <v>0</v>
      </c>
      <c r="QF402" s="56"/>
      <c r="QG402" s="242">
        <f t="shared" si="2874"/>
        <v>0</v>
      </c>
      <c r="QH402" s="242">
        <f t="shared" si="2875"/>
        <v>548</v>
      </c>
      <c r="QI402" s="56"/>
      <c r="QL402" s="55">
        <f t="shared" si="2876"/>
        <v>46363</v>
      </c>
      <c r="QM402" s="56"/>
      <c r="QN402" s="242">
        <f>SUMPRODUCT(PRODUCE!$B395:$DY395,PRODUCE!$EB$57:$IY$57)</f>
        <v>0</v>
      </c>
      <c r="QO402" s="56"/>
      <c r="QP402" s="242">
        <f t="shared" si="2877"/>
        <v>0</v>
      </c>
      <c r="QQ402" s="242">
        <f t="shared" si="2878"/>
        <v>0</v>
      </c>
      <c r="QR402" s="56"/>
      <c r="QU402" s="55">
        <f t="shared" si="2879"/>
        <v>46363</v>
      </c>
      <c r="QV402" s="56"/>
      <c r="QW402" s="242">
        <f>SUMPRODUCT(PRODUCE!$B395:$DY395,PRODUCE!$EB$57:$IY$57)</f>
        <v>0</v>
      </c>
      <c r="QX402" s="56"/>
      <c r="QY402" s="242">
        <f t="shared" si="2880"/>
        <v>0</v>
      </c>
      <c r="QZ402" s="242">
        <f t="shared" si="2881"/>
        <v>0</v>
      </c>
      <c r="RA402" s="56"/>
      <c r="RD402" s="55">
        <f t="shared" si="2882"/>
        <v>46363</v>
      </c>
      <c r="RE402" s="56"/>
      <c r="RF402" s="242">
        <f>SUMPRODUCT(PRODUCE!$B395:$DY395,PRODUCE!$EB$58:$IY$58)</f>
        <v>0</v>
      </c>
      <c r="RG402" s="56"/>
      <c r="RH402" s="242">
        <f t="shared" si="2883"/>
        <v>0</v>
      </c>
      <c r="RI402" s="242">
        <f t="shared" si="2884"/>
        <v>147.04000000000002</v>
      </c>
      <c r="RJ402" s="56"/>
      <c r="RM402" s="55">
        <f t="shared" si="2885"/>
        <v>46363</v>
      </c>
      <c r="RN402" s="56"/>
      <c r="RO402" s="242">
        <f>SUMPRODUCT(PRODUCE!$B395:$DY395,PRODUCE!$EB$57:$IY$57)</f>
        <v>0</v>
      </c>
      <c r="RP402" s="56"/>
      <c r="RQ402" s="242">
        <f t="shared" si="2886"/>
        <v>0</v>
      </c>
      <c r="RR402" s="242">
        <f t="shared" si="2887"/>
        <v>46.8</v>
      </c>
      <c r="RS402" s="56"/>
      <c r="RV402" s="55">
        <f t="shared" si="2888"/>
        <v>46363</v>
      </c>
      <c r="RW402" s="56"/>
      <c r="RX402" s="242">
        <f>SUMPRODUCT(PRODUCE!$B395:$DY395,PRODUCE!$EB$57:$IY$57)</f>
        <v>0</v>
      </c>
      <c r="RY402" s="56"/>
      <c r="RZ402" s="242">
        <f t="shared" si="2889"/>
        <v>0</v>
      </c>
      <c r="SA402" s="242">
        <f t="shared" si="2890"/>
        <v>0</v>
      </c>
      <c r="SB402" s="56"/>
      <c r="SE402" s="55">
        <f t="shared" si="2891"/>
        <v>46363</v>
      </c>
      <c r="SF402" s="56"/>
      <c r="SG402" s="242">
        <f>SUMPRODUCT(PRODUCE!$B395:$DY395,PRODUCE!$EB$61:$IY$61)</f>
        <v>0</v>
      </c>
      <c r="SH402" s="56"/>
      <c r="SI402" s="242">
        <f t="shared" si="2892"/>
        <v>0</v>
      </c>
      <c r="SJ402" s="242">
        <f t="shared" si="2893"/>
        <v>24.200000000000003</v>
      </c>
      <c r="SK402" s="56"/>
      <c r="SN402" s="55">
        <f t="shared" si="2894"/>
        <v>46363</v>
      </c>
      <c r="SO402" s="56"/>
      <c r="SP402" s="242">
        <f>SUMPRODUCT(PRODUCE!$B395:$DY395,PRODUCE!$EB$57:$IY$57)</f>
        <v>0</v>
      </c>
      <c r="SQ402" s="56"/>
      <c r="SR402" s="242">
        <f t="shared" si="2895"/>
        <v>0</v>
      </c>
      <c r="SS402" s="242">
        <f t="shared" si="2896"/>
        <v>32</v>
      </c>
      <c r="ST402" s="56"/>
      <c r="SW402" s="55">
        <f t="shared" si="2897"/>
        <v>46363</v>
      </c>
      <c r="SX402" s="56"/>
      <c r="SY402" s="242">
        <f>SUMPRODUCT(PRODUCE!$B395:$DY395,PRODUCE!$EB$57:$IY$57)</f>
        <v>0</v>
      </c>
      <c r="SZ402" s="56"/>
      <c r="TA402" s="242">
        <f t="shared" si="2898"/>
        <v>0</v>
      </c>
      <c r="TB402" s="242">
        <f t="shared" si="2899"/>
        <v>0</v>
      </c>
      <c r="TC402" s="56"/>
      <c r="TF402" s="55">
        <f t="shared" si="2900"/>
        <v>46363</v>
      </c>
      <c r="TG402" s="56"/>
      <c r="TH402" s="242">
        <f>SUMPRODUCT(PRODUCE!$B395:$DY395,PRODUCE!$EB$57:$IY$57)</f>
        <v>0</v>
      </c>
      <c r="TI402" s="56"/>
      <c r="TJ402" s="242">
        <f t="shared" si="2901"/>
        <v>0</v>
      </c>
      <c r="TK402" s="242">
        <f t="shared" si="2902"/>
        <v>0</v>
      </c>
      <c r="TL402" s="56"/>
      <c r="TO402" s="55">
        <f t="shared" si="2903"/>
        <v>46363</v>
      </c>
      <c r="TP402" s="56"/>
      <c r="TQ402" s="242">
        <f>SUMPRODUCT(PRODUCE!$B395:$DY395,PRODUCE!$EB$57:$IY$57)</f>
        <v>0</v>
      </c>
      <c r="TR402" s="56"/>
      <c r="TS402" s="242">
        <f t="shared" si="2904"/>
        <v>0</v>
      </c>
      <c r="TT402" s="242">
        <f t="shared" si="2905"/>
        <v>0</v>
      </c>
      <c r="TU402" s="56"/>
      <c r="TX402" s="55">
        <f t="shared" si="2906"/>
        <v>46363</v>
      </c>
      <c r="TY402" s="56"/>
      <c r="TZ402" s="242">
        <f>SUMPRODUCT(PRODUCE!$B395:$DY395,PRODUCE!$EB$57:$IY$57)</f>
        <v>0</v>
      </c>
      <c r="UA402" s="56"/>
      <c r="UB402" s="242">
        <f t="shared" si="2907"/>
        <v>0</v>
      </c>
      <c r="UC402" s="242">
        <f t="shared" si="2908"/>
        <v>46.799999999999983</v>
      </c>
      <c r="UD402" s="56"/>
      <c r="UG402" s="55">
        <f t="shared" si="2909"/>
        <v>46363</v>
      </c>
      <c r="UH402" s="56"/>
      <c r="UI402" s="242">
        <f>SUMPRODUCT(PRODUCE!$B395:$DY395,PRODUCE!$EB$57:$IY$57)</f>
        <v>0</v>
      </c>
      <c r="UJ402" s="56"/>
      <c r="UK402" s="242">
        <f t="shared" si="2910"/>
        <v>0</v>
      </c>
      <c r="UL402" s="242">
        <f t="shared" si="2911"/>
        <v>204</v>
      </c>
      <c r="UM402" s="56"/>
      <c r="UP402" s="55">
        <f t="shared" si="2912"/>
        <v>46363</v>
      </c>
      <c r="UQ402" s="56"/>
      <c r="UR402" s="242">
        <f>SUMPRODUCT(PRODUCE!$B395:$DY395,PRODUCE!$EB$57:$IY$57)</f>
        <v>0</v>
      </c>
      <c r="US402" s="56"/>
      <c r="UT402" s="242">
        <f t="shared" si="2913"/>
        <v>0</v>
      </c>
      <c r="UU402" s="242">
        <f t="shared" si="2914"/>
        <v>202.5</v>
      </c>
      <c r="UV402" s="56"/>
      <c r="UY402" s="55">
        <f t="shared" si="2915"/>
        <v>46363</v>
      </c>
      <c r="UZ402" s="56"/>
      <c r="VA402" s="242">
        <f>SUMPRODUCT(PRODUCE!$B395:$DY395,PRODUCE!$EB$57:$IY$57)</f>
        <v>0</v>
      </c>
      <c r="VB402" s="56"/>
      <c r="VC402" s="242">
        <f t="shared" si="2916"/>
        <v>0</v>
      </c>
      <c r="VD402" s="242">
        <f t="shared" si="2917"/>
        <v>41.600000000000023</v>
      </c>
      <c r="VE402" s="56"/>
      <c r="VH402" s="55">
        <f t="shared" si="2918"/>
        <v>46363</v>
      </c>
      <c r="VI402" s="56"/>
      <c r="VJ402" s="242">
        <f>SUMPRODUCT(PRODUCE!$B395:$DY395,PRODUCE!$EB$57:$IY$57)</f>
        <v>0</v>
      </c>
      <c r="VK402" s="56"/>
      <c r="VL402" s="242">
        <f t="shared" si="2919"/>
        <v>0</v>
      </c>
      <c r="VM402" s="242">
        <f t="shared" si="2920"/>
        <v>210</v>
      </c>
      <c r="VN402" s="56"/>
      <c r="VQ402" s="55">
        <f t="shared" si="2921"/>
        <v>46363</v>
      </c>
      <c r="VR402" s="56"/>
      <c r="VS402" s="242">
        <f>SUMPRODUCT(PRODUCE!$B395:$DY395,PRODUCE!$EB$57:$IY$57)</f>
        <v>0</v>
      </c>
      <c r="VT402" s="56"/>
      <c r="VU402" s="242">
        <f t="shared" si="2922"/>
        <v>0</v>
      </c>
      <c r="VV402" s="242">
        <f t="shared" si="2923"/>
        <v>0</v>
      </c>
      <c r="VW402" s="56"/>
      <c r="VZ402" s="55">
        <f t="shared" si="2924"/>
        <v>46363</v>
      </c>
      <c r="WA402" s="56"/>
      <c r="WB402" s="242">
        <f>SUMPRODUCT(PRODUCE!$B395:$DY395,PRODUCE!$EB$57:$IY$57)</f>
        <v>0</v>
      </c>
      <c r="WC402" s="56"/>
      <c r="WD402" s="242">
        <f t="shared" si="2925"/>
        <v>0</v>
      </c>
      <c r="WE402" s="242">
        <f t="shared" si="2926"/>
        <v>0</v>
      </c>
      <c r="WF402" s="56"/>
      <c r="WI402" s="55">
        <f t="shared" si="2927"/>
        <v>46363</v>
      </c>
      <c r="WJ402" s="56"/>
      <c r="WK402" s="242">
        <f>SUMPRODUCT(PRODUCE!$B395:$DY395,PRODUCE!$EB$57:$IY$57)</f>
        <v>0</v>
      </c>
      <c r="WL402" s="56"/>
      <c r="WM402" s="242">
        <f t="shared" si="2928"/>
        <v>0</v>
      </c>
      <c r="WN402" s="242">
        <f t="shared" si="2929"/>
        <v>1057</v>
      </c>
      <c r="WO402" s="56"/>
      <c r="WR402" s="55">
        <f t="shared" si="2930"/>
        <v>46363</v>
      </c>
      <c r="WS402" s="56"/>
      <c r="WT402" s="242">
        <f>SUMPRODUCT(PRODUCE!$B395:$DY395,PRODUCE!$EB$57:$IY$57)</f>
        <v>0</v>
      </c>
      <c r="WU402" s="56"/>
      <c r="WV402" s="242">
        <f t="shared" si="2931"/>
        <v>0</v>
      </c>
      <c r="WW402" s="242">
        <f t="shared" si="2932"/>
        <v>0</v>
      </c>
      <c r="WX402" s="56"/>
      <c r="XA402" s="55">
        <f t="shared" si="2933"/>
        <v>46363</v>
      </c>
      <c r="XB402" s="56"/>
      <c r="XC402" s="242">
        <f>SUMPRODUCT(PRODUCE!$B395:$DY395,PRODUCE!$EB$57:$IY$57)</f>
        <v>0</v>
      </c>
      <c r="XD402" s="56"/>
      <c r="XE402" s="242">
        <f t="shared" si="2934"/>
        <v>0</v>
      </c>
      <c r="XF402" s="242">
        <f t="shared" si="2935"/>
        <v>7507</v>
      </c>
      <c r="XG402" s="56"/>
      <c r="XJ402" s="55">
        <f t="shared" si="2936"/>
        <v>46363</v>
      </c>
      <c r="XK402" s="56"/>
      <c r="XL402" s="242">
        <f>SUMPRODUCT(PRODUCE!$B395:$DY395,PRODUCE!$EB$57:$IY$57)</f>
        <v>0</v>
      </c>
      <c r="XM402" s="56"/>
      <c r="XN402" s="242">
        <f t="shared" si="2937"/>
        <v>0</v>
      </c>
      <c r="XO402" s="242">
        <f t="shared" si="2938"/>
        <v>4252</v>
      </c>
      <c r="XP402" s="56"/>
      <c r="XS402" s="55">
        <f t="shared" si="2939"/>
        <v>46363</v>
      </c>
      <c r="XT402" s="56"/>
      <c r="XU402" s="242">
        <f>SUMPRODUCT(PRODUCE!$B395:$DY395,PRODUCE!$EB$57:$IY$57)</f>
        <v>0</v>
      </c>
      <c r="XV402" s="56"/>
      <c r="XW402" s="242">
        <f t="shared" si="2940"/>
        <v>0</v>
      </c>
      <c r="XX402" s="242">
        <f t="shared" si="2941"/>
        <v>2179</v>
      </c>
      <c r="XY402" s="56"/>
      <c r="YB402" s="55">
        <f t="shared" si="2942"/>
        <v>46363</v>
      </c>
      <c r="YC402" s="56"/>
      <c r="YD402" s="242">
        <f>SUMPRODUCT(PRODUCE!$B395:$DY395,PRODUCE!$EB$57:$IY$57)</f>
        <v>0</v>
      </c>
      <c r="YE402" s="56"/>
      <c r="YF402" s="242">
        <f t="shared" si="2943"/>
        <v>0</v>
      </c>
      <c r="YG402" s="242">
        <f t="shared" si="2944"/>
        <v>4019</v>
      </c>
      <c r="YH402" s="56"/>
      <c r="YK402" s="55">
        <f t="shared" si="2945"/>
        <v>46363</v>
      </c>
      <c r="YL402" s="56"/>
      <c r="YM402" s="242">
        <f>SUMPRODUCT(PRODUCE!$B395:$DY395,PRODUCE!$EB$57:$IY$57)</f>
        <v>0</v>
      </c>
      <c r="YN402" s="56"/>
      <c r="YO402" s="242">
        <f t="shared" si="2946"/>
        <v>0</v>
      </c>
      <c r="YP402" s="242">
        <f t="shared" si="2947"/>
        <v>-218</v>
      </c>
      <c r="YQ402" s="56"/>
      <c r="YT402" s="55">
        <f t="shared" si="2948"/>
        <v>46363</v>
      </c>
      <c r="YU402" s="56"/>
      <c r="YV402" s="242">
        <f>SUMPRODUCT(PRODUCE!$B395:$DY395,PRODUCE!$EB$57:$IY$57)</f>
        <v>0</v>
      </c>
      <c r="YW402" s="56"/>
      <c r="YX402" s="242">
        <f t="shared" si="2949"/>
        <v>0</v>
      </c>
      <c r="YY402" s="242">
        <f t="shared" si="2950"/>
        <v>0</v>
      </c>
      <c r="YZ402" s="56"/>
      <c r="ZC402" s="55">
        <f t="shared" si="2951"/>
        <v>46363</v>
      </c>
      <c r="ZD402" s="56"/>
      <c r="ZE402" s="242">
        <f>SUMPRODUCT(PRODUCE!$B395:$DY395,PRODUCE!$EB$57:$IY$57)</f>
        <v>0</v>
      </c>
      <c r="ZF402" s="56"/>
      <c r="ZG402" s="242">
        <f t="shared" si="2952"/>
        <v>0</v>
      </c>
      <c r="ZH402" s="242">
        <f t="shared" si="2953"/>
        <v>0</v>
      </c>
      <c r="ZI402" s="56"/>
      <c r="ZL402" s="55">
        <f t="shared" si="2954"/>
        <v>46363</v>
      </c>
      <c r="ZM402" s="56"/>
      <c r="ZN402" s="242">
        <f>SUMPRODUCT(PRODUCE!$B395:$DY395,PRODUCE!$EB$57:$IY$57)</f>
        <v>0</v>
      </c>
      <c r="ZO402" s="56"/>
      <c r="ZP402" s="242">
        <f t="shared" si="2955"/>
        <v>0</v>
      </c>
      <c r="ZQ402" s="242">
        <f t="shared" si="2956"/>
        <v>0</v>
      </c>
      <c r="ZR402" s="56"/>
      <c r="ZU402" s="55">
        <f t="shared" si="2957"/>
        <v>46363</v>
      </c>
      <c r="ZV402" s="56"/>
      <c r="ZW402" s="242">
        <f>SUMPRODUCT(PRODUCE!$B395:$DY395,PRODUCE!$EB$57:$IY$57)</f>
        <v>0</v>
      </c>
      <c r="ZX402" s="56"/>
      <c r="ZY402" s="242">
        <f t="shared" si="2958"/>
        <v>0</v>
      </c>
      <c r="ZZ402" s="242">
        <f t="shared" si="2959"/>
        <v>0</v>
      </c>
      <c r="AAA402" s="56"/>
      <c r="AAD402" s="55">
        <f t="shared" si="2960"/>
        <v>46363</v>
      </c>
      <c r="AAE402" s="56"/>
      <c r="AAF402" s="242">
        <f>SUMPRODUCT(PRODUCE!$B395:$DY395,PRODUCE!$EB$57:$IY$57)</f>
        <v>0</v>
      </c>
      <c r="AAG402" s="56"/>
      <c r="AAH402" s="242">
        <f t="shared" si="2961"/>
        <v>0</v>
      </c>
      <c r="AAI402" s="242">
        <f t="shared" si="2962"/>
        <v>0</v>
      </c>
      <c r="AAJ402" s="56"/>
      <c r="AAM402" s="55">
        <f t="shared" si="2963"/>
        <v>46363</v>
      </c>
      <c r="AAN402" s="56"/>
      <c r="AAO402" s="242">
        <f>SUMPRODUCT(PRODUCE!$B395:$DY395,PRODUCE!$EB$57:$IY$57)</f>
        <v>0</v>
      </c>
      <c r="AAP402" s="56"/>
      <c r="AAQ402" s="242">
        <f t="shared" si="2964"/>
        <v>0</v>
      </c>
      <c r="AAR402" s="242">
        <f t="shared" si="2965"/>
        <v>0</v>
      </c>
      <c r="AAS402" s="56"/>
      <c r="AAV402" s="55">
        <f t="shared" si="2966"/>
        <v>46363</v>
      </c>
      <c r="AAW402" s="56"/>
      <c r="AAX402" s="242">
        <f>SUMPRODUCT(PRODUCE!$B395:$DY395,PRODUCE!$EB$57:$IY$57)</f>
        <v>0</v>
      </c>
      <c r="AAY402" s="56"/>
      <c r="AAZ402" s="242">
        <f t="shared" si="2967"/>
        <v>0</v>
      </c>
      <c r="ABA402" s="242">
        <f t="shared" si="2968"/>
        <v>0</v>
      </c>
      <c r="ABB402" s="56"/>
      <c r="ABE402" s="55">
        <f t="shared" si="2969"/>
        <v>46363</v>
      </c>
      <c r="ABF402" s="56"/>
      <c r="ABG402" s="242">
        <f>SUMPRODUCT(PRODUCE!$B395:$DY395,PRODUCE!$EB$57:$IY$57)</f>
        <v>0</v>
      </c>
      <c r="ABH402" s="56"/>
      <c r="ABI402" s="242">
        <f t="shared" si="2970"/>
        <v>0</v>
      </c>
      <c r="ABJ402" s="242">
        <f t="shared" si="2971"/>
        <v>0</v>
      </c>
      <c r="ABK402" s="56"/>
    </row>
    <row r="403" spans="2:739" s="54" customFormat="1" ht="15" customHeight="1" outlineLevel="1">
      <c r="B403" s="478"/>
      <c r="C403" s="55">
        <v>46364</v>
      </c>
      <c r="D403" s="56"/>
      <c r="E403" s="57">
        <f>SUMPRODUCT(PRODUCE!$B396:$DY396,PRODUCE!$EB$7:$IY$7)</f>
        <v>0</v>
      </c>
      <c r="F403" s="56"/>
      <c r="G403" s="57">
        <f t="shared" si="2727"/>
        <v>0</v>
      </c>
      <c r="H403" s="57">
        <f t="shared" si="2728"/>
        <v>236936.6</v>
      </c>
      <c r="I403" s="289"/>
      <c r="L403" s="55">
        <f t="shared" si="2729"/>
        <v>46364</v>
      </c>
      <c r="M403" s="56"/>
      <c r="N403" s="59">
        <f>SUMPRODUCT(PRODUCE!$B396:$DY396,PRODUCE!$EB$8:$IY$8)</f>
        <v>0</v>
      </c>
      <c r="O403" s="56"/>
      <c r="P403" s="59">
        <f t="shared" si="2730"/>
        <v>0</v>
      </c>
      <c r="Q403" s="59">
        <f t="shared" si="2731"/>
        <v>53017.600000000071</v>
      </c>
      <c r="R403" s="56"/>
      <c r="U403" s="55">
        <f t="shared" si="2732"/>
        <v>46364</v>
      </c>
      <c r="V403" s="56"/>
      <c r="W403" s="60">
        <f>SUMPRODUCT(PRODUCE!$B396:$DY396,PRODUCE!$EB$9:$IY$9)</f>
        <v>0</v>
      </c>
      <c r="X403" s="56"/>
      <c r="Y403" s="60">
        <f t="shared" si="2733"/>
        <v>0</v>
      </c>
      <c r="Z403" s="60">
        <f t="shared" si="2734"/>
        <v>42674.199999999968</v>
      </c>
      <c r="AA403" s="56"/>
      <c r="AD403" s="55">
        <f t="shared" si="2735"/>
        <v>46364</v>
      </c>
      <c r="AE403" s="56"/>
      <c r="AF403" s="61">
        <f>SUMPRODUCT(PRODUCE!$B396:$DY396,PRODUCE!$EB$10:$IY$10)</f>
        <v>0</v>
      </c>
      <c r="AG403" s="56"/>
      <c r="AH403" s="61">
        <f t="shared" si="2736"/>
        <v>0</v>
      </c>
      <c r="AI403" s="61">
        <f t="shared" si="2737"/>
        <v>4522.2000000000189</v>
      </c>
      <c r="AJ403" s="56"/>
      <c r="AM403" s="55">
        <f t="shared" si="2738"/>
        <v>46364</v>
      </c>
      <c r="AN403" s="422"/>
      <c r="AO403" s="444">
        <f>SUMPRODUCT(PRODUCE!$B396:$DY396,PRODUCE!$EB$11:$IY$11)</f>
        <v>0</v>
      </c>
      <c r="AP403" s="422"/>
      <c r="AQ403" s="444">
        <f t="shared" si="2739"/>
        <v>0</v>
      </c>
      <c r="AR403" s="444">
        <f t="shared" si="2740"/>
        <v>0</v>
      </c>
      <c r="AS403" s="56"/>
      <c r="AV403" s="55">
        <f t="shared" si="2741"/>
        <v>46364</v>
      </c>
      <c r="AW403" s="56"/>
      <c r="AX403" s="62">
        <f>SUMPRODUCT(PRODUCE!$B396:$DY396,PRODUCE!$EB$12:$IY$12)</f>
        <v>0</v>
      </c>
      <c r="AY403" s="56"/>
      <c r="AZ403" s="62">
        <f t="shared" si="2742"/>
        <v>0</v>
      </c>
      <c r="BA403" s="62">
        <f t="shared" si="2743"/>
        <v>124.99999999999523</v>
      </c>
      <c r="BB403" s="56"/>
      <c r="BE403" s="55">
        <f t="shared" si="2744"/>
        <v>46364</v>
      </c>
      <c r="BF403" s="56"/>
      <c r="BG403" s="63">
        <f>SUMPRODUCT(PRODUCE!$B396:$DY396,PRODUCE!$EB$13:$IY$13)</f>
        <v>0</v>
      </c>
      <c r="BH403" s="56"/>
      <c r="BI403" s="63">
        <f t="shared" si="2745"/>
        <v>0</v>
      </c>
      <c r="BJ403" s="63">
        <f t="shared" si="2746"/>
        <v>26151.899999999998</v>
      </c>
      <c r="BK403" s="56"/>
      <c r="BN403" s="55">
        <f t="shared" si="2747"/>
        <v>46364</v>
      </c>
      <c r="BO403" s="56"/>
      <c r="BP403" s="64">
        <f>SUMPRODUCT(PRODUCE!$B396:$DY396,PRODUCE!$EB$14:$IY$14)</f>
        <v>0</v>
      </c>
      <c r="BQ403" s="56"/>
      <c r="BR403" s="64">
        <f t="shared" si="2748"/>
        <v>0</v>
      </c>
      <c r="BS403" s="64">
        <f t="shared" si="2749"/>
        <v>0</v>
      </c>
      <c r="BT403" s="56"/>
      <c r="BW403" s="55">
        <f t="shared" si="2750"/>
        <v>46364</v>
      </c>
      <c r="BX403" s="56"/>
      <c r="BY403" s="65">
        <f>SUMPRODUCT(PRODUCE!$B396:$DY396,PRODUCE!$EB$15:$IY$15)</f>
        <v>0</v>
      </c>
      <c r="BZ403" s="56"/>
      <c r="CA403" s="65">
        <f t="shared" si="2751"/>
        <v>0</v>
      </c>
      <c r="CB403" s="65">
        <f t="shared" si="2752"/>
        <v>2097.3399999999992</v>
      </c>
      <c r="CC403" s="56"/>
      <c r="CF403" s="55">
        <f t="shared" si="2753"/>
        <v>46364</v>
      </c>
      <c r="CG403" s="56"/>
      <c r="CH403" s="66">
        <f>SUMPRODUCT(PRODUCE!$B396:$DY396,PRODUCE!$EB$16:$IY$16)</f>
        <v>0</v>
      </c>
      <c r="CI403" s="56"/>
      <c r="CJ403" s="66">
        <f t="shared" si="2754"/>
        <v>0</v>
      </c>
      <c r="CK403" s="66">
        <f t="shared" si="2755"/>
        <v>-10277.079999999998</v>
      </c>
      <c r="CL403" s="56"/>
      <c r="CO403" s="55">
        <f t="shared" si="2756"/>
        <v>46364</v>
      </c>
      <c r="CP403" s="422"/>
      <c r="CQ403" s="470">
        <f>SUMPRODUCT(PRODUCE!$B396:$DY396,PRODUCE!$EB$17:$IY$17)</f>
        <v>0</v>
      </c>
      <c r="CR403" s="422"/>
      <c r="CS403" s="470">
        <f t="shared" si="2757"/>
        <v>0</v>
      </c>
      <c r="CT403" s="470">
        <f t="shared" si="2758"/>
        <v>0</v>
      </c>
      <c r="CU403" s="56"/>
      <c r="CX403" s="55">
        <f t="shared" si="2759"/>
        <v>46364</v>
      </c>
      <c r="CY403" s="56"/>
      <c r="CZ403" s="133">
        <f>SUMPRODUCT(PRODUCE!$B396:$DY396,PRODUCE!$EB$18:$IY$18)</f>
        <v>0</v>
      </c>
      <c r="DA403" s="56"/>
      <c r="DB403" s="133">
        <f t="shared" si="2760"/>
        <v>0</v>
      </c>
      <c r="DC403" s="133">
        <f t="shared" si="2761"/>
        <v>27438.200000000012</v>
      </c>
      <c r="DD403" s="56"/>
      <c r="DG403" s="55">
        <f t="shared" si="2762"/>
        <v>46364</v>
      </c>
      <c r="DH403" s="56"/>
      <c r="DI403" s="147">
        <f>SUMPRODUCT(PRODUCE!$B396:$DY396,PRODUCE!$EB$19:$IY$19)</f>
        <v>0</v>
      </c>
      <c r="DJ403" s="56"/>
      <c r="DK403" s="147">
        <f t="shared" si="2763"/>
        <v>0</v>
      </c>
      <c r="DL403" s="147">
        <f t="shared" si="2764"/>
        <v>18782.299999999981</v>
      </c>
      <c r="DM403" s="56"/>
      <c r="DP403" s="55">
        <f t="shared" si="2765"/>
        <v>46364</v>
      </c>
      <c r="DQ403" s="56"/>
      <c r="DR403" s="57">
        <f>SUMPRODUCT(PRODUCE!$B396:$DY396,PRODUCE!$EB$20:$IY$20)</f>
        <v>0</v>
      </c>
      <c r="DS403" s="56"/>
      <c r="DT403" s="57">
        <f t="shared" si="2766"/>
        <v>0</v>
      </c>
      <c r="DU403" s="57">
        <f t="shared" si="2767"/>
        <v>5800</v>
      </c>
      <c r="DV403" s="56"/>
      <c r="DY403" s="55">
        <f t="shared" si="2768"/>
        <v>46364</v>
      </c>
      <c r="DZ403" s="56"/>
      <c r="EA403" s="157">
        <f>SUMPRODUCT(PRODUCE!$B396:$DY396,PRODUCE!$EB$21:$IY$21)</f>
        <v>0</v>
      </c>
      <c r="EB403" s="56"/>
      <c r="EC403" s="157">
        <f t="shared" si="2769"/>
        <v>0</v>
      </c>
      <c r="ED403" s="157">
        <f t="shared" si="2770"/>
        <v>0</v>
      </c>
      <c r="EE403" s="56"/>
      <c r="EH403" s="55">
        <f t="shared" si="2771"/>
        <v>46364</v>
      </c>
      <c r="EI403" s="56"/>
      <c r="EJ403" s="162">
        <f>SUMPRODUCT(PRODUCE!$B396:$DY396,PRODUCE!$EB$22:$IY$22)</f>
        <v>0</v>
      </c>
      <c r="EK403" s="56"/>
      <c r="EL403" s="162">
        <f t="shared" si="2772"/>
        <v>0</v>
      </c>
      <c r="EM403" s="162">
        <f t="shared" si="2773"/>
        <v>0</v>
      </c>
      <c r="EN403" s="56"/>
      <c r="EQ403" s="55">
        <f t="shared" si="2774"/>
        <v>46364</v>
      </c>
      <c r="ER403" s="56"/>
      <c r="ES403" s="135">
        <f>SUMPRODUCT(PRODUCE!$B396:$DY396,PRODUCE!$EB$23:$IY$23)</f>
        <v>0</v>
      </c>
      <c r="ET403" s="56"/>
      <c r="EU403" s="135">
        <f t="shared" si="2775"/>
        <v>0</v>
      </c>
      <c r="EV403" s="135">
        <f t="shared" si="2776"/>
        <v>0</v>
      </c>
      <c r="EW403" s="56"/>
      <c r="EZ403" s="55">
        <f t="shared" si="2777"/>
        <v>46364</v>
      </c>
      <c r="FA403" s="56"/>
      <c r="FB403" s="175">
        <f>SUMPRODUCT(PRODUCE!$B396:$DY396,PRODUCE!$EB$24:$IY$24)</f>
        <v>0</v>
      </c>
      <c r="FC403" s="56"/>
      <c r="FD403" s="175">
        <f t="shared" si="2778"/>
        <v>0</v>
      </c>
      <c r="FE403" s="175">
        <f t="shared" si="2779"/>
        <v>0</v>
      </c>
      <c r="FF403" s="56"/>
      <c r="FI403" s="55">
        <f t="shared" si="2780"/>
        <v>46364</v>
      </c>
      <c r="FJ403" s="56"/>
      <c r="FK403" s="183">
        <f>SUMPRODUCT(PRODUCE!$B396:$DY396,PRODUCE!$EB$25:$IY$25)</f>
        <v>0</v>
      </c>
      <c r="FL403" s="56"/>
      <c r="FM403" s="183">
        <f t="shared" si="2781"/>
        <v>0</v>
      </c>
      <c r="FN403" s="183">
        <f t="shared" si="2782"/>
        <v>0</v>
      </c>
      <c r="FO403" s="56"/>
      <c r="FR403" s="55">
        <f t="shared" si="2783"/>
        <v>46364</v>
      </c>
      <c r="FS403" s="56"/>
      <c r="FT403" s="186">
        <f>SUMPRODUCT(PRODUCE!$B396:$DY396,PRODUCE!$EB$26:$IY$26)</f>
        <v>0</v>
      </c>
      <c r="FU403" s="56"/>
      <c r="FV403" s="186">
        <f t="shared" si="2784"/>
        <v>0</v>
      </c>
      <c r="FW403" s="186">
        <f t="shared" si="2785"/>
        <v>2020</v>
      </c>
      <c r="FX403" s="56"/>
      <c r="GA403" s="55">
        <f t="shared" si="2786"/>
        <v>46364</v>
      </c>
      <c r="GB403" s="56"/>
      <c r="GC403" s="137">
        <f>SUMPRODUCT(PRODUCE!$B396:$DY396,PRODUCE!$EB$27:$IY$27)</f>
        <v>0</v>
      </c>
      <c r="GD403" s="56"/>
      <c r="GE403" s="137">
        <f t="shared" si="2787"/>
        <v>0</v>
      </c>
      <c r="GF403" s="137">
        <f t="shared" si="2788"/>
        <v>960</v>
      </c>
      <c r="GG403" s="56"/>
      <c r="GI403" s="23"/>
      <c r="GJ403" s="55">
        <f t="shared" si="2789"/>
        <v>46364</v>
      </c>
      <c r="GK403" s="56"/>
      <c r="GL403" s="199">
        <f>SUMPRODUCT(PRODUCE!$B396:$DY396,PRODUCE!$EB$28:$IY$28)</f>
        <v>0</v>
      </c>
      <c r="GM403" s="56"/>
      <c r="GN403" s="199">
        <f t="shared" si="2790"/>
        <v>0</v>
      </c>
      <c r="GO403" s="199">
        <f t="shared" si="2791"/>
        <v>1760</v>
      </c>
      <c r="GP403" s="56"/>
      <c r="GS403" s="55">
        <f t="shared" si="2792"/>
        <v>46364</v>
      </c>
      <c r="GT403" s="56"/>
      <c r="GU403" s="195">
        <f>SUMPRODUCT(PRODUCE!$B396:$DY396,PRODUCE!$EB$29:$IY$29)</f>
        <v>0</v>
      </c>
      <c r="GV403" s="56"/>
      <c r="GW403" s="195">
        <f t="shared" si="2793"/>
        <v>0</v>
      </c>
      <c r="GX403" s="195">
        <f t="shared" si="2794"/>
        <v>400</v>
      </c>
      <c r="GY403" s="56"/>
      <c r="HB403" s="55">
        <f t="shared" si="2795"/>
        <v>46364</v>
      </c>
      <c r="HC403" s="56"/>
      <c r="HD403" s="191">
        <f>SUMPRODUCT(PRODUCE!$B396:$DY396,PRODUCE!$EB$30:$IY$30)</f>
        <v>0</v>
      </c>
      <c r="HE403" s="56"/>
      <c r="HF403" s="191">
        <f t="shared" si="2796"/>
        <v>0</v>
      </c>
      <c r="HG403" s="191">
        <f t="shared" si="2797"/>
        <v>3600</v>
      </c>
      <c r="HH403" s="56"/>
      <c r="HK403" s="55">
        <f t="shared" si="2798"/>
        <v>46364</v>
      </c>
      <c r="HL403" s="56"/>
      <c r="HM403" s="63">
        <f>SUMPRODUCT(PRODUCE!$B396:$DY396,PRODUCE!$EB$31:$IY$31)</f>
        <v>0</v>
      </c>
      <c r="HN403" s="56"/>
      <c r="HO403" s="63">
        <f t="shared" si="2799"/>
        <v>0</v>
      </c>
      <c r="HP403" s="63">
        <f t="shared" si="2800"/>
        <v>0</v>
      </c>
      <c r="HQ403" s="56"/>
      <c r="HU403" s="55">
        <f t="shared" si="2801"/>
        <v>46364</v>
      </c>
      <c r="HV403" s="56"/>
      <c r="HW403" s="242">
        <f>SUMPRODUCT(PRODUCE!$B396:$DY396,PRODUCE!$EB$32:$IY$32)</f>
        <v>0</v>
      </c>
      <c r="HX403" s="56"/>
      <c r="HY403" s="242">
        <f t="shared" si="2802"/>
        <v>0</v>
      </c>
      <c r="HZ403" s="242">
        <f t="shared" si="2803"/>
        <v>6120</v>
      </c>
      <c r="IA403" s="56"/>
      <c r="ID403" s="55">
        <f t="shared" si="2804"/>
        <v>46364</v>
      </c>
      <c r="IE403" s="56"/>
      <c r="IF403" s="242">
        <f>SUMPRODUCT(PRODUCE!$B396:$DY396,PRODUCE!$EB$33:$IY$33)</f>
        <v>0</v>
      </c>
      <c r="IG403" s="56"/>
      <c r="IH403" s="242">
        <f t="shared" si="2805"/>
        <v>0</v>
      </c>
      <c r="II403" s="242">
        <f t="shared" si="2806"/>
        <v>0</v>
      </c>
      <c r="IJ403" s="56"/>
      <c r="IM403" s="55">
        <f t="shared" si="2807"/>
        <v>46364</v>
      </c>
      <c r="IN403" s="56"/>
      <c r="IO403" s="242">
        <f>SUMPRODUCT(PRODUCE!$B396:$DY396,PRODUCE!$EB$34:$IY$34)</f>
        <v>0</v>
      </c>
      <c r="IP403" s="56"/>
      <c r="IQ403" s="242">
        <f t="shared" si="2808"/>
        <v>0</v>
      </c>
      <c r="IR403" s="242">
        <f t="shared" si="2809"/>
        <v>0</v>
      </c>
      <c r="IS403" s="56"/>
      <c r="IV403" s="55">
        <f t="shared" si="2810"/>
        <v>46364</v>
      </c>
      <c r="IW403" s="56"/>
      <c r="IX403" s="242">
        <f>SUMPRODUCT(PRODUCE!$B396:$DY396,PRODUCE!$EB$35:$IY$35)</f>
        <v>0</v>
      </c>
      <c r="IY403" s="56"/>
      <c r="IZ403" s="242">
        <f t="shared" si="2811"/>
        <v>0</v>
      </c>
      <c r="JA403" s="242">
        <f t="shared" si="2812"/>
        <v>2820</v>
      </c>
      <c r="JB403" s="56"/>
      <c r="JE403" s="55">
        <f t="shared" si="2813"/>
        <v>46364</v>
      </c>
      <c r="JF403" s="56"/>
      <c r="JG403" s="242">
        <f>SUMPRODUCT(PRODUCE!$B396:$DY396,PRODUCE!$EB$36:$IY$36)</f>
        <v>0</v>
      </c>
      <c r="JH403" s="56"/>
      <c r="JI403" s="242">
        <f t="shared" si="2814"/>
        <v>0</v>
      </c>
      <c r="JJ403" s="242">
        <f t="shared" si="2815"/>
        <v>0</v>
      </c>
      <c r="JK403" s="56"/>
      <c r="JN403" s="55">
        <f t="shared" si="2816"/>
        <v>46364</v>
      </c>
      <c r="JO403" s="56"/>
      <c r="JP403" s="242">
        <f>SUMPRODUCT(PRODUCE!$B396:$DY396,PRODUCE!$EB$37:$IY$37)</f>
        <v>0</v>
      </c>
      <c r="JQ403" s="56"/>
      <c r="JR403" s="242">
        <f t="shared" si="2817"/>
        <v>0</v>
      </c>
      <c r="JS403" s="242">
        <f t="shared" si="2818"/>
        <v>0</v>
      </c>
      <c r="JT403" s="56"/>
      <c r="JW403" s="55">
        <f t="shared" si="2819"/>
        <v>46364</v>
      </c>
      <c r="JX403" s="56"/>
      <c r="JY403" s="242">
        <f>SUMPRODUCT(PRODUCE!$B396:$DY396,PRODUCE!$EB$38:$IY$38)</f>
        <v>0</v>
      </c>
      <c r="JZ403" s="56"/>
      <c r="KA403" s="242">
        <f t="shared" si="2820"/>
        <v>0</v>
      </c>
      <c r="KB403" s="242">
        <f t="shared" si="2821"/>
        <v>2540</v>
      </c>
      <c r="KC403" s="56"/>
      <c r="KF403" s="55">
        <f t="shared" si="2822"/>
        <v>46364</v>
      </c>
      <c r="KG403" s="56"/>
      <c r="KH403" s="242">
        <f>SUMPRODUCT(PRODUCE!$B396:$DY396,PRODUCE!$EB$39:$IY$39)</f>
        <v>0</v>
      </c>
      <c r="KI403" s="56"/>
      <c r="KJ403" s="242">
        <f t="shared" si="2823"/>
        <v>0</v>
      </c>
      <c r="KK403" s="242">
        <f t="shared" si="2824"/>
        <v>2359.5</v>
      </c>
      <c r="KL403" s="56"/>
      <c r="KO403" s="55">
        <f t="shared" si="2825"/>
        <v>46364</v>
      </c>
      <c r="KP403" s="56"/>
      <c r="KQ403" s="242">
        <f>SUMPRODUCT(PRODUCE!$B396:$DY396,PRODUCE!$EB$40:$IY$40)</f>
        <v>0</v>
      </c>
      <c r="KR403" s="56"/>
      <c r="KS403" s="242">
        <f t="shared" si="2826"/>
        <v>0</v>
      </c>
      <c r="KT403" s="242">
        <f t="shared" si="2827"/>
        <v>1890</v>
      </c>
      <c r="KU403" s="56"/>
      <c r="KW403" s="23"/>
      <c r="KX403" s="55">
        <f t="shared" si="2828"/>
        <v>46364</v>
      </c>
      <c r="KY403" s="56"/>
      <c r="KZ403" s="242">
        <f>SUMPRODUCT(PRODUCE!$B396:$DY396,PRODUCE!$EB$41:$IY$41)</f>
        <v>0</v>
      </c>
      <c r="LA403" s="56"/>
      <c r="LB403" s="242">
        <f t="shared" si="2829"/>
        <v>0</v>
      </c>
      <c r="LC403" s="242">
        <f t="shared" si="2830"/>
        <v>3690</v>
      </c>
      <c r="LD403" s="56"/>
      <c r="LG403" s="55">
        <f t="shared" si="2831"/>
        <v>46364</v>
      </c>
      <c r="LH403" s="56"/>
      <c r="LI403" s="242">
        <f>SUMPRODUCT(PRODUCE!$B396:$DY396,PRODUCE!$EB$42:$IY$42)</f>
        <v>0</v>
      </c>
      <c r="LJ403" s="56"/>
      <c r="LK403" s="242">
        <f t="shared" si="2832"/>
        <v>0</v>
      </c>
      <c r="LL403" s="242">
        <f t="shared" si="2833"/>
        <v>4000</v>
      </c>
      <c r="LM403" s="56"/>
      <c r="LP403" s="55">
        <f t="shared" si="2834"/>
        <v>46364</v>
      </c>
      <c r="LQ403" s="56"/>
      <c r="LR403" s="242">
        <f>SUMPRODUCT(PRODUCE!$B418:$DY418,PRODUCE!$EB$43:$IY$43)</f>
        <v>0</v>
      </c>
      <c r="LS403" s="56"/>
      <c r="LT403" s="242">
        <f t="shared" si="2835"/>
        <v>0</v>
      </c>
      <c r="LU403" s="242">
        <f t="shared" si="2836"/>
        <v>0</v>
      </c>
      <c r="LV403" s="56"/>
      <c r="LY403" s="55">
        <f t="shared" si="2837"/>
        <v>46364</v>
      </c>
      <c r="LZ403" s="56"/>
      <c r="MA403" s="242">
        <f>SUMPRODUCT(PRODUCE!$B396:$DY396,PRODUCE!$EB$44:$IY$44)</f>
        <v>0</v>
      </c>
      <c r="MB403" s="56"/>
      <c r="MC403" s="242">
        <f t="shared" si="2838"/>
        <v>0</v>
      </c>
      <c r="MD403" s="242">
        <f t="shared" si="2839"/>
        <v>0</v>
      </c>
      <c r="ME403" s="56"/>
      <c r="MH403" s="55">
        <f t="shared" si="2840"/>
        <v>46364</v>
      </c>
      <c r="MI403" s="56"/>
      <c r="MJ403" s="242">
        <f>SUMPRODUCT(PRODUCE!$B396:$DY396,PRODUCE!$EB$45:$IY$45)</f>
        <v>0</v>
      </c>
      <c r="MK403" s="56"/>
      <c r="ML403" s="242">
        <f t="shared" si="2841"/>
        <v>0</v>
      </c>
      <c r="MM403" s="242">
        <f t="shared" si="2842"/>
        <v>-18</v>
      </c>
      <c r="MN403" s="56"/>
      <c r="MQ403" s="55">
        <f t="shared" si="2843"/>
        <v>46364</v>
      </c>
      <c r="MR403" s="56"/>
      <c r="MS403" s="242">
        <f>SUMPRODUCT(PRODUCE!$B396:$DY396,PRODUCE!$EB$46:$IY$46)</f>
        <v>0</v>
      </c>
      <c r="MT403" s="56"/>
      <c r="MU403" s="242">
        <f t="shared" si="2844"/>
        <v>0</v>
      </c>
      <c r="MV403" s="242">
        <f t="shared" si="2845"/>
        <v>1595</v>
      </c>
      <c r="MW403" s="56"/>
      <c r="MZ403" s="55">
        <f t="shared" si="2846"/>
        <v>46364</v>
      </c>
      <c r="NA403" s="56"/>
      <c r="NB403" s="242">
        <f>SUMPRODUCT(PRODUCE!$B396:$DY396,PRODUCE!$EB$47:$IY$47)</f>
        <v>0</v>
      </c>
      <c r="NC403" s="56"/>
      <c r="ND403" s="242">
        <f t="shared" si="2847"/>
        <v>0</v>
      </c>
      <c r="NE403" s="242">
        <f t="shared" si="2848"/>
        <v>0</v>
      </c>
      <c r="NF403" s="56"/>
      <c r="NI403" s="55">
        <f t="shared" si="2849"/>
        <v>46364</v>
      </c>
      <c r="NJ403" s="56"/>
      <c r="NK403" s="242">
        <f>SUMPRODUCT(PRODUCE!$B396:$DY396,PRODUCE!$EB$48:$IY$48)</f>
        <v>0</v>
      </c>
      <c r="NL403" s="56"/>
      <c r="NM403" s="242">
        <f t="shared" si="2850"/>
        <v>0</v>
      </c>
      <c r="NN403" s="242">
        <f t="shared" si="2851"/>
        <v>1127</v>
      </c>
      <c r="NO403" s="56"/>
      <c r="NR403" s="55">
        <f t="shared" si="2852"/>
        <v>46364</v>
      </c>
      <c r="NS403" s="56"/>
      <c r="NT403" s="242">
        <f>SUMPRODUCT(PRODUCE!$B396:$DY396,PRODUCE!$EB$49:$IY$49)</f>
        <v>0</v>
      </c>
      <c r="NU403" s="56"/>
      <c r="NV403" s="242">
        <f t="shared" si="2853"/>
        <v>0</v>
      </c>
      <c r="NW403" s="242">
        <f t="shared" si="2854"/>
        <v>3111.9999999999995</v>
      </c>
      <c r="NX403" s="56"/>
      <c r="OA403" s="55">
        <f t="shared" si="2855"/>
        <v>46364</v>
      </c>
      <c r="OB403" s="56"/>
      <c r="OC403" s="242">
        <f>SUMPRODUCT(PRODUCE!$B396:$DY396,PRODUCE!$EB$50:$IY$50)</f>
        <v>0</v>
      </c>
      <c r="OD403" s="56"/>
      <c r="OE403" s="242">
        <f t="shared" si="2856"/>
        <v>0</v>
      </c>
      <c r="OF403" s="242">
        <f t="shared" si="2857"/>
        <v>1680.5</v>
      </c>
      <c r="OG403" s="56"/>
      <c r="OJ403" s="55">
        <f t="shared" si="2858"/>
        <v>46364</v>
      </c>
      <c r="OK403" s="56"/>
      <c r="OL403" s="242">
        <f>SUMPRODUCT(PRODUCE!$B396:$DY396,PRODUCE!$EB$51:$IY$51)</f>
        <v>0</v>
      </c>
      <c r="OM403" s="56"/>
      <c r="ON403" s="242">
        <f t="shared" si="2859"/>
        <v>0</v>
      </c>
      <c r="OO403" s="242">
        <f t="shared" si="2860"/>
        <v>0</v>
      </c>
      <c r="OP403" s="56"/>
      <c r="OS403" s="55">
        <f t="shared" si="2861"/>
        <v>46364</v>
      </c>
      <c r="OT403" s="56"/>
      <c r="OU403" s="242">
        <f>SUMPRODUCT(PRODUCE!$B396:$DY396,PRODUCE!$EB$52:$IY$52)</f>
        <v>0</v>
      </c>
      <c r="OV403" s="56"/>
      <c r="OW403" s="242">
        <f t="shared" si="2862"/>
        <v>0</v>
      </c>
      <c r="OX403" s="242">
        <f t="shared" si="2863"/>
        <v>1482</v>
      </c>
      <c r="OY403" s="56"/>
      <c r="PB403" s="55">
        <f t="shared" si="2864"/>
        <v>46364</v>
      </c>
      <c r="PC403" s="56"/>
      <c r="PD403" s="242">
        <f>SUMPRODUCT(PRODUCE!$B396:$DY396,PRODUCE!$EB$53:$IY$53)</f>
        <v>0</v>
      </c>
      <c r="PE403" s="56"/>
      <c r="PF403" s="242">
        <f t="shared" si="2865"/>
        <v>0</v>
      </c>
      <c r="PG403" s="242">
        <f t="shared" si="2866"/>
        <v>0</v>
      </c>
      <c r="PH403" s="56"/>
      <c r="PK403" s="55">
        <f t="shared" si="2867"/>
        <v>46364</v>
      </c>
      <c r="PL403" s="56"/>
      <c r="PM403" s="242">
        <f>SUMPRODUCT(PRODUCE!$B396:$DY396,PRODUCE!$EB$54:$IY$54)</f>
        <v>0</v>
      </c>
      <c r="PN403" s="56"/>
      <c r="PO403" s="242">
        <f t="shared" si="2868"/>
        <v>0</v>
      </c>
      <c r="PP403" s="242">
        <f t="shared" si="2869"/>
        <v>100</v>
      </c>
      <c r="PQ403" s="56"/>
      <c r="PT403" s="55">
        <f t="shared" si="2870"/>
        <v>46364</v>
      </c>
      <c r="PU403" s="56"/>
      <c r="PV403" s="242">
        <f>SUMPRODUCT(PRODUCE!$B396:$DY396,PRODUCE!$EB$55:$IY$55)</f>
        <v>0</v>
      </c>
      <c r="PW403" s="56"/>
      <c r="PX403" s="242">
        <f t="shared" si="2871"/>
        <v>0</v>
      </c>
      <c r="PY403" s="242">
        <f t="shared" si="2872"/>
        <v>13.960000000000036</v>
      </c>
      <c r="PZ403" s="56"/>
      <c r="QC403" s="55">
        <f t="shared" si="2873"/>
        <v>46364</v>
      </c>
      <c r="QD403" s="56"/>
      <c r="QE403" s="242">
        <f>SUMPRODUCT(PRODUCE!$B396:$DY396,PRODUCE!$EB$56:$IY$56)</f>
        <v>0</v>
      </c>
      <c r="QF403" s="56"/>
      <c r="QG403" s="242">
        <f t="shared" si="2874"/>
        <v>0</v>
      </c>
      <c r="QH403" s="242">
        <f t="shared" si="2875"/>
        <v>548</v>
      </c>
      <c r="QI403" s="56"/>
      <c r="QL403" s="55">
        <f t="shared" si="2876"/>
        <v>46364</v>
      </c>
      <c r="QM403" s="56"/>
      <c r="QN403" s="242">
        <f>SUMPRODUCT(PRODUCE!$B396:$DY396,PRODUCE!$EB$57:$IY$57)</f>
        <v>0</v>
      </c>
      <c r="QO403" s="56"/>
      <c r="QP403" s="242">
        <f t="shared" si="2877"/>
        <v>0</v>
      </c>
      <c r="QQ403" s="242">
        <f t="shared" si="2878"/>
        <v>0</v>
      </c>
      <c r="QR403" s="56"/>
      <c r="QU403" s="55">
        <f t="shared" si="2879"/>
        <v>46364</v>
      </c>
      <c r="QV403" s="56"/>
      <c r="QW403" s="242">
        <f>SUMPRODUCT(PRODUCE!$B396:$DY396,PRODUCE!$EB$57:$IY$57)</f>
        <v>0</v>
      </c>
      <c r="QX403" s="56"/>
      <c r="QY403" s="242">
        <f t="shared" si="2880"/>
        <v>0</v>
      </c>
      <c r="QZ403" s="242">
        <f t="shared" si="2881"/>
        <v>0</v>
      </c>
      <c r="RA403" s="56"/>
      <c r="RD403" s="55">
        <f t="shared" si="2882"/>
        <v>46364</v>
      </c>
      <c r="RE403" s="56"/>
      <c r="RF403" s="242">
        <f>SUMPRODUCT(PRODUCE!$B396:$DY396,PRODUCE!$EB$58:$IY$58)</f>
        <v>0</v>
      </c>
      <c r="RG403" s="56"/>
      <c r="RH403" s="242">
        <f t="shared" si="2883"/>
        <v>0</v>
      </c>
      <c r="RI403" s="242">
        <f t="shared" si="2884"/>
        <v>147.04000000000002</v>
      </c>
      <c r="RJ403" s="56"/>
      <c r="RM403" s="55">
        <f t="shared" si="2885"/>
        <v>46364</v>
      </c>
      <c r="RN403" s="56"/>
      <c r="RO403" s="242">
        <f>SUMPRODUCT(PRODUCE!$B396:$DY396,PRODUCE!$EB$57:$IY$57)</f>
        <v>0</v>
      </c>
      <c r="RP403" s="56"/>
      <c r="RQ403" s="242">
        <f t="shared" si="2886"/>
        <v>0</v>
      </c>
      <c r="RR403" s="242">
        <f t="shared" si="2887"/>
        <v>46.8</v>
      </c>
      <c r="RS403" s="56"/>
      <c r="RV403" s="55">
        <f t="shared" si="2888"/>
        <v>46364</v>
      </c>
      <c r="RW403" s="56"/>
      <c r="RX403" s="242">
        <f>SUMPRODUCT(PRODUCE!$B396:$DY396,PRODUCE!$EB$57:$IY$57)</f>
        <v>0</v>
      </c>
      <c r="RY403" s="56"/>
      <c r="RZ403" s="242">
        <f t="shared" si="2889"/>
        <v>0</v>
      </c>
      <c r="SA403" s="242">
        <f t="shared" si="2890"/>
        <v>0</v>
      </c>
      <c r="SB403" s="56"/>
      <c r="SE403" s="55">
        <f t="shared" si="2891"/>
        <v>46364</v>
      </c>
      <c r="SF403" s="56"/>
      <c r="SG403" s="242">
        <f>SUMPRODUCT(PRODUCE!$B396:$DY396,PRODUCE!$EB$61:$IY$61)</f>
        <v>0</v>
      </c>
      <c r="SH403" s="56"/>
      <c r="SI403" s="242">
        <f t="shared" si="2892"/>
        <v>0</v>
      </c>
      <c r="SJ403" s="242">
        <f t="shared" si="2893"/>
        <v>24.200000000000003</v>
      </c>
      <c r="SK403" s="56"/>
      <c r="SN403" s="55">
        <f t="shared" si="2894"/>
        <v>46364</v>
      </c>
      <c r="SO403" s="56"/>
      <c r="SP403" s="242">
        <f>SUMPRODUCT(PRODUCE!$B396:$DY396,PRODUCE!$EB$57:$IY$57)</f>
        <v>0</v>
      </c>
      <c r="SQ403" s="56"/>
      <c r="SR403" s="242">
        <f t="shared" si="2895"/>
        <v>0</v>
      </c>
      <c r="SS403" s="242">
        <f t="shared" si="2896"/>
        <v>32</v>
      </c>
      <c r="ST403" s="56"/>
      <c r="SW403" s="55">
        <f t="shared" si="2897"/>
        <v>46364</v>
      </c>
      <c r="SX403" s="56"/>
      <c r="SY403" s="242">
        <f>SUMPRODUCT(PRODUCE!$B396:$DY396,PRODUCE!$EB$57:$IY$57)</f>
        <v>0</v>
      </c>
      <c r="SZ403" s="56"/>
      <c r="TA403" s="242">
        <f t="shared" si="2898"/>
        <v>0</v>
      </c>
      <c r="TB403" s="242">
        <f t="shared" si="2899"/>
        <v>0</v>
      </c>
      <c r="TC403" s="56"/>
      <c r="TF403" s="55">
        <f t="shared" si="2900"/>
        <v>46364</v>
      </c>
      <c r="TG403" s="56"/>
      <c r="TH403" s="242">
        <f>SUMPRODUCT(PRODUCE!$B396:$DY396,PRODUCE!$EB$57:$IY$57)</f>
        <v>0</v>
      </c>
      <c r="TI403" s="56"/>
      <c r="TJ403" s="242">
        <f t="shared" si="2901"/>
        <v>0</v>
      </c>
      <c r="TK403" s="242">
        <f t="shared" si="2902"/>
        <v>0</v>
      </c>
      <c r="TL403" s="56"/>
      <c r="TO403" s="55">
        <f t="shared" si="2903"/>
        <v>46364</v>
      </c>
      <c r="TP403" s="56"/>
      <c r="TQ403" s="242">
        <f>SUMPRODUCT(PRODUCE!$B396:$DY396,PRODUCE!$EB$57:$IY$57)</f>
        <v>0</v>
      </c>
      <c r="TR403" s="56"/>
      <c r="TS403" s="242">
        <f t="shared" si="2904"/>
        <v>0</v>
      </c>
      <c r="TT403" s="242">
        <f t="shared" si="2905"/>
        <v>0</v>
      </c>
      <c r="TU403" s="56"/>
      <c r="TX403" s="55">
        <f t="shared" si="2906"/>
        <v>46364</v>
      </c>
      <c r="TY403" s="56"/>
      <c r="TZ403" s="242">
        <f>SUMPRODUCT(PRODUCE!$B396:$DY396,PRODUCE!$EB$57:$IY$57)</f>
        <v>0</v>
      </c>
      <c r="UA403" s="56"/>
      <c r="UB403" s="242">
        <f t="shared" si="2907"/>
        <v>0</v>
      </c>
      <c r="UC403" s="242">
        <f t="shared" si="2908"/>
        <v>46.799999999999983</v>
      </c>
      <c r="UD403" s="56"/>
      <c r="UG403" s="55">
        <f t="shared" si="2909"/>
        <v>46364</v>
      </c>
      <c r="UH403" s="56"/>
      <c r="UI403" s="242">
        <f>SUMPRODUCT(PRODUCE!$B396:$DY396,PRODUCE!$EB$57:$IY$57)</f>
        <v>0</v>
      </c>
      <c r="UJ403" s="56"/>
      <c r="UK403" s="242">
        <f t="shared" si="2910"/>
        <v>0</v>
      </c>
      <c r="UL403" s="242">
        <f t="shared" si="2911"/>
        <v>204</v>
      </c>
      <c r="UM403" s="56"/>
      <c r="UP403" s="55">
        <f t="shared" si="2912"/>
        <v>46364</v>
      </c>
      <c r="UQ403" s="56"/>
      <c r="UR403" s="242">
        <f>SUMPRODUCT(PRODUCE!$B396:$DY396,PRODUCE!$EB$57:$IY$57)</f>
        <v>0</v>
      </c>
      <c r="US403" s="56"/>
      <c r="UT403" s="242">
        <f t="shared" si="2913"/>
        <v>0</v>
      </c>
      <c r="UU403" s="242">
        <f t="shared" si="2914"/>
        <v>202.5</v>
      </c>
      <c r="UV403" s="56"/>
      <c r="UY403" s="55">
        <f t="shared" si="2915"/>
        <v>46364</v>
      </c>
      <c r="UZ403" s="56"/>
      <c r="VA403" s="242">
        <f>SUMPRODUCT(PRODUCE!$B396:$DY396,PRODUCE!$EB$57:$IY$57)</f>
        <v>0</v>
      </c>
      <c r="VB403" s="56"/>
      <c r="VC403" s="242">
        <f t="shared" si="2916"/>
        <v>0</v>
      </c>
      <c r="VD403" s="242">
        <f t="shared" si="2917"/>
        <v>41.600000000000023</v>
      </c>
      <c r="VE403" s="56"/>
      <c r="VH403" s="55">
        <f t="shared" si="2918"/>
        <v>46364</v>
      </c>
      <c r="VI403" s="56"/>
      <c r="VJ403" s="242">
        <f>SUMPRODUCT(PRODUCE!$B396:$DY396,PRODUCE!$EB$57:$IY$57)</f>
        <v>0</v>
      </c>
      <c r="VK403" s="56"/>
      <c r="VL403" s="242">
        <f t="shared" si="2919"/>
        <v>0</v>
      </c>
      <c r="VM403" s="242">
        <f t="shared" si="2920"/>
        <v>210</v>
      </c>
      <c r="VN403" s="56"/>
      <c r="VQ403" s="55">
        <f t="shared" si="2921"/>
        <v>46364</v>
      </c>
      <c r="VR403" s="56"/>
      <c r="VS403" s="242">
        <f>SUMPRODUCT(PRODUCE!$B396:$DY396,PRODUCE!$EB$57:$IY$57)</f>
        <v>0</v>
      </c>
      <c r="VT403" s="56"/>
      <c r="VU403" s="242">
        <f t="shared" si="2922"/>
        <v>0</v>
      </c>
      <c r="VV403" s="242">
        <f t="shared" si="2923"/>
        <v>0</v>
      </c>
      <c r="VW403" s="56"/>
      <c r="VZ403" s="55">
        <f t="shared" si="2924"/>
        <v>46364</v>
      </c>
      <c r="WA403" s="56"/>
      <c r="WB403" s="242">
        <f>SUMPRODUCT(PRODUCE!$B396:$DY396,PRODUCE!$EB$57:$IY$57)</f>
        <v>0</v>
      </c>
      <c r="WC403" s="56"/>
      <c r="WD403" s="242">
        <f t="shared" si="2925"/>
        <v>0</v>
      </c>
      <c r="WE403" s="242">
        <f t="shared" si="2926"/>
        <v>0</v>
      </c>
      <c r="WF403" s="56"/>
      <c r="WI403" s="55">
        <f t="shared" si="2927"/>
        <v>46364</v>
      </c>
      <c r="WJ403" s="56"/>
      <c r="WK403" s="242">
        <f>SUMPRODUCT(PRODUCE!$B396:$DY396,PRODUCE!$EB$57:$IY$57)</f>
        <v>0</v>
      </c>
      <c r="WL403" s="56"/>
      <c r="WM403" s="242">
        <f t="shared" si="2928"/>
        <v>0</v>
      </c>
      <c r="WN403" s="242">
        <f t="shared" si="2929"/>
        <v>1057</v>
      </c>
      <c r="WO403" s="56"/>
      <c r="WR403" s="55">
        <f t="shared" si="2930"/>
        <v>46364</v>
      </c>
      <c r="WS403" s="56"/>
      <c r="WT403" s="242">
        <f>SUMPRODUCT(PRODUCE!$B396:$DY396,PRODUCE!$EB$57:$IY$57)</f>
        <v>0</v>
      </c>
      <c r="WU403" s="56"/>
      <c r="WV403" s="242">
        <f t="shared" si="2931"/>
        <v>0</v>
      </c>
      <c r="WW403" s="242">
        <f t="shared" si="2932"/>
        <v>0</v>
      </c>
      <c r="WX403" s="56"/>
      <c r="XA403" s="55">
        <f t="shared" si="2933"/>
        <v>46364</v>
      </c>
      <c r="XB403" s="56"/>
      <c r="XC403" s="242">
        <f>SUMPRODUCT(PRODUCE!$B396:$DY396,PRODUCE!$EB$57:$IY$57)</f>
        <v>0</v>
      </c>
      <c r="XD403" s="56"/>
      <c r="XE403" s="242">
        <f t="shared" si="2934"/>
        <v>0</v>
      </c>
      <c r="XF403" s="242">
        <f t="shared" si="2935"/>
        <v>7507</v>
      </c>
      <c r="XG403" s="56"/>
      <c r="XJ403" s="55">
        <f t="shared" si="2936"/>
        <v>46364</v>
      </c>
      <c r="XK403" s="56"/>
      <c r="XL403" s="242">
        <f>SUMPRODUCT(PRODUCE!$B396:$DY396,PRODUCE!$EB$57:$IY$57)</f>
        <v>0</v>
      </c>
      <c r="XM403" s="56"/>
      <c r="XN403" s="242">
        <f t="shared" si="2937"/>
        <v>0</v>
      </c>
      <c r="XO403" s="242">
        <f t="shared" si="2938"/>
        <v>4252</v>
      </c>
      <c r="XP403" s="56"/>
      <c r="XS403" s="55">
        <f t="shared" si="2939"/>
        <v>46364</v>
      </c>
      <c r="XT403" s="56"/>
      <c r="XU403" s="242">
        <f>SUMPRODUCT(PRODUCE!$B396:$DY396,PRODUCE!$EB$57:$IY$57)</f>
        <v>0</v>
      </c>
      <c r="XV403" s="56"/>
      <c r="XW403" s="242">
        <f t="shared" si="2940"/>
        <v>0</v>
      </c>
      <c r="XX403" s="242">
        <f t="shared" si="2941"/>
        <v>2179</v>
      </c>
      <c r="XY403" s="56"/>
      <c r="YB403" s="55">
        <f t="shared" si="2942"/>
        <v>46364</v>
      </c>
      <c r="YC403" s="56"/>
      <c r="YD403" s="242">
        <f>SUMPRODUCT(PRODUCE!$B396:$DY396,PRODUCE!$EB$57:$IY$57)</f>
        <v>0</v>
      </c>
      <c r="YE403" s="56"/>
      <c r="YF403" s="242">
        <f t="shared" si="2943"/>
        <v>0</v>
      </c>
      <c r="YG403" s="242">
        <f t="shared" si="2944"/>
        <v>4019</v>
      </c>
      <c r="YH403" s="56"/>
      <c r="YK403" s="55">
        <f t="shared" si="2945"/>
        <v>46364</v>
      </c>
      <c r="YL403" s="56"/>
      <c r="YM403" s="242">
        <f>SUMPRODUCT(PRODUCE!$B396:$DY396,PRODUCE!$EB$57:$IY$57)</f>
        <v>0</v>
      </c>
      <c r="YN403" s="56"/>
      <c r="YO403" s="242">
        <f t="shared" si="2946"/>
        <v>0</v>
      </c>
      <c r="YP403" s="242">
        <f t="shared" si="2947"/>
        <v>-218</v>
      </c>
      <c r="YQ403" s="56"/>
      <c r="YT403" s="55">
        <f t="shared" si="2948"/>
        <v>46364</v>
      </c>
      <c r="YU403" s="56"/>
      <c r="YV403" s="242">
        <f>SUMPRODUCT(PRODUCE!$B396:$DY396,PRODUCE!$EB$57:$IY$57)</f>
        <v>0</v>
      </c>
      <c r="YW403" s="56"/>
      <c r="YX403" s="242">
        <f t="shared" si="2949"/>
        <v>0</v>
      </c>
      <c r="YY403" s="242">
        <f t="shared" si="2950"/>
        <v>0</v>
      </c>
      <c r="YZ403" s="56"/>
      <c r="ZC403" s="55">
        <f t="shared" si="2951"/>
        <v>46364</v>
      </c>
      <c r="ZD403" s="56"/>
      <c r="ZE403" s="242">
        <f>SUMPRODUCT(PRODUCE!$B396:$DY396,PRODUCE!$EB$57:$IY$57)</f>
        <v>0</v>
      </c>
      <c r="ZF403" s="56"/>
      <c r="ZG403" s="242">
        <f t="shared" si="2952"/>
        <v>0</v>
      </c>
      <c r="ZH403" s="242">
        <f t="shared" si="2953"/>
        <v>0</v>
      </c>
      <c r="ZI403" s="56"/>
      <c r="ZL403" s="55">
        <f t="shared" si="2954"/>
        <v>46364</v>
      </c>
      <c r="ZM403" s="56"/>
      <c r="ZN403" s="242">
        <f>SUMPRODUCT(PRODUCE!$B396:$DY396,PRODUCE!$EB$57:$IY$57)</f>
        <v>0</v>
      </c>
      <c r="ZO403" s="56"/>
      <c r="ZP403" s="242">
        <f t="shared" si="2955"/>
        <v>0</v>
      </c>
      <c r="ZQ403" s="242">
        <f t="shared" si="2956"/>
        <v>0</v>
      </c>
      <c r="ZR403" s="56"/>
      <c r="ZU403" s="55">
        <f t="shared" si="2957"/>
        <v>46364</v>
      </c>
      <c r="ZV403" s="56"/>
      <c r="ZW403" s="242">
        <f>SUMPRODUCT(PRODUCE!$B396:$DY396,PRODUCE!$EB$57:$IY$57)</f>
        <v>0</v>
      </c>
      <c r="ZX403" s="56"/>
      <c r="ZY403" s="242">
        <f t="shared" si="2958"/>
        <v>0</v>
      </c>
      <c r="ZZ403" s="242">
        <f t="shared" si="2959"/>
        <v>0</v>
      </c>
      <c r="AAA403" s="56"/>
      <c r="AAD403" s="55">
        <f t="shared" si="2960"/>
        <v>46364</v>
      </c>
      <c r="AAE403" s="56"/>
      <c r="AAF403" s="242">
        <f>SUMPRODUCT(PRODUCE!$B396:$DY396,PRODUCE!$EB$57:$IY$57)</f>
        <v>0</v>
      </c>
      <c r="AAG403" s="56"/>
      <c r="AAH403" s="242">
        <f t="shared" si="2961"/>
        <v>0</v>
      </c>
      <c r="AAI403" s="242">
        <f t="shared" si="2962"/>
        <v>0</v>
      </c>
      <c r="AAJ403" s="56"/>
      <c r="AAM403" s="55">
        <f t="shared" si="2963"/>
        <v>46364</v>
      </c>
      <c r="AAN403" s="56"/>
      <c r="AAO403" s="242">
        <f>SUMPRODUCT(PRODUCE!$B396:$DY396,PRODUCE!$EB$57:$IY$57)</f>
        <v>0</v>
      </c>
      <c r="AAP403" s="56"/>
      <c r="AAQ403" s="242">
        <f t="shared" si="2964"/>
        <v>0</v>
      </c>
      <c r="AAR403" s="242">
        <f t="shared" si="2965"/>
        <v>0</v>
      </c>
      <c r="AAS403" s="56"/>
      <c r="AAV403" s="55">
        <f t="shared" si="2966"/>
        <v>46364</v>
      </c>
      <c r="AAW403" s="56"/>
      <c r="AAX403" s="242">
        <f>SUMPRODUCT(PRODUCE!$B396:$DY396,PRODUCE!$EB$57:$IY$57)</f>
        <v>0</v>
      </c>
      <c r="AAY403" s="56"/>
      <c r="AAZ403" s="242">
        <f t="shared" si="2967"/>
        <v>0</v>
      </c>
      <c r="ABA403" s="242">
        <f t="shared" si="2968"/>
        <v>0</v>
      </c>
      <c r="ABB403" s="56"/>
      <c r="ABE403" s="55">
        <f t="shared" si="2969"/>
        <v>46364</v>
      </c>
      <c r="ABF403" s="56"/>
      <c r="ABG403" s="242">
        <f>SUMPRODUCT(PRODUCE!$B396:$DY396,PRODUCE!$EB$57:$IY$57)</f>
        <v>0</v>
      </c>
      <c r="ABH403" s="56"/>
      <c r="ABI403" s="242">
        <f t="shared" si="2970"/>
        <v>0</v>
      </c>
      <c r="ABJ403" s="242">
        <f t="shared" si="2971"/>
        <v>0</v>
      </c>
      <c r="ABK403" s="56"/>
    </row>
    <row r="404" spans="2:739" s="54" customFormat="1" ht="15" customHeight="1" outlineLevel="1">
      <c r="B404" s="478"/>
      <c r="C404" s="55">
        <v>46365</v>
      </c>
      <c r="D404" s="56"/>
      <c r="E404" s="57">
        <f>SUMPRODUCT(PRODUCE!$B397:$DY397,PRODUCE!$EB$7:$IY$7)</f>
        <v>0</v>
      </c>
      <c r="F404" s="56"/>
      <c r="G404" s="57">
        <f t="shared" si="2727"/>
        <v>0</v>
      </c>
      <c r="H404" s="57">
        <f t="shared" si="2728"/>
        <v>236936.6</v>
      </c>
      <c r="I404" s="289"/>
      <c r="L404" s="55">
        <f t="shared" si="2729"/>
        <v>46365</v>
      </c>
      <c r="M404" s="56"/>
      <c r="N404" s="59">
        <f>SUMPRODUCT(PRODUCE!$B397:$DY397,PRODUCE!$EB$8:$IY$8)</f>
        <v>0</v>
      </c>
      <c r="O404" s="56"/>
      <c r="P404" s="59">
        <f t="shared" si="2730"/>
        <v>0</v>
      </c>
      <c r="Q404" s="59">
        <f t="shared" si="2731"/>
        <v>53017.600000000071</v>
      </c>
      <c r="R404" s="56"/>
      <c r="U404" s="55">
        <f t="shared" si="2732"/>
        <v>46365</v>
      </c>
      <c r="V404" s="56"/>
      <c r="W404" s="60">
        <f>SUMPRODUCT(PRODUCE!$B397:$DY397,PRODUCE!$EB$9:$IY$9)</f>
        <v>0</v>
      </c>
      <c r="X404" s="56"/>
      <c r="Y404" s="60">
        <f t="shared" si="2733"/>
        <v>0</v>
      </c>
      <c r="Z404" s="60">
        <f t="shared" si="2734"/>
        <v>42674.199999999968</v>
      </c>
      <c r="AA404" s="56"/>
      <c r="AD404" s="55">
        <f t="shared" si="2735"/>
        <v>46365</v>
      </c>
      <c r="AE404" s="56"/>
      <c r="AF404" s="61">
        <f>SUMPRODUCT(PRODUCE!$B397:$DY397,PRODUCE!$EB$10:$IY$10)</f>
        <v>0</v>
      </c>
      <c r="AG404" s="56"/>
      <c r="AH404" s="61">
        <f t="shared" si="2736"/>
        <v>0</v>
      </c>
      <c r="AI404" s="61">
        <f t="shared" si="2737"/>
        <v>4522.2000000000189</v>
      </c>
      <c r="AJ404" s="56"/>
      <c r="AM404" s="55">
        <f t="shared" si="2738"/>
        <v>46365</v>
      </c>
      <c r="AN404" s="422"/>
      <c r="AO404" s="444">
        <f>SUMPRODUCT(PRODUCE!$B397:$DY397,PRODUCE!$EB$11:$IY$11)</f>
        <v>0</v>
      </c>
      <c r="AP404" s="422"/>
      <c r="AQ404" s="444">
        <f t="shared" si="2739"/>
        <v>0</v>
      </c>
      <c r="AR404" s="444">
        <f t="shared" si="2740"/>
        <v>0</v>
      </c>
      <c r="AS404" s="56"/>
      <c r="AV404" s="55">
        <f t="shared" si="2741"/>
        <v>46365</v>
      </c>
      <c r="AW404" s="56"/>
      <c r="AX404" s="62">
        <f>SUMPRODUCT(PRODUCE!$B397:$DY397,PRODUCE!$EB$12:$IY$12)</f>
        <v>0</v>
      </c>
      <c r="AY404" s="56"/>
      <c r="AZ404" s="62">
        <f t="shared" si="2742"/>
        <v>0</v>
      </c>
      <c r="BA404" s="62">
        <f t="shared" si="2743"/>
        <v>124.99999999999523</v>
      </c>
      <c r="BB404" s="56"/>
      <c r="BE404" s="55">
        <f t="shared" si="2744"/>
        <v>46365</v>
      </c>
      <c r="BF404" s="56"/>
      <c r="BG404" s="63">
        <f>SUMPRODUCT(PRODUCE!$B397:$DY397,PRODUCE!$EB$13:$IY$13)</f>
        <v>0</v>
      </c>
      <c r="BH404" s="56"/>
      <c r="BI404" s="63">
        <f t="shared" si="2745"/>
        <v>0</v>
      </c>
      <c r="BJ404" s="63">
        <f t="shared" si="2746"/>
        <v>26151.899999999998</v>
      </c>
      <c r="BK404" s="56"/>
      <c r="BN404" s="55">
        <f t="shared" si="2747"/>
        <v>46365</v>
      </c>
      <c r="BO404" s="56"/>
      <c r="BP404" s="64">
        <f>SUMPRODUCT(PRODUCE!$B397:$DY397,PRODUCE!$EB$14:$IY$14)</f>
        <v>0</v>
      </c>
      <c r="BQ404" s="56"/>
      <c r="BR404" s="64">
        <f t="shared" si="2748"/>
        <v>0</v>
      </c>
      <c r="BS404" s="64">
        <f t="shared" si="2749"/>
        <v>0</v>
      </c>
      <c r="BT404" s="56"/>
      <c r="BW404" s="55">
        <f t="shared" si="2750"/>
        <v>46365</v>
      </c>
      <c r="BX404" s="56"/>
      <c r="BY404" s="65">
        <f>SUMPRODUCT(PRODUCE!$B397:$DY397,PRODUCE!$EB$15:$IY$15)</f>
        <v>0</v>
      </c>
      <c r="BZ404" s="56"/>
      <c r="CA404" s="65">
        <f t="shared" si="2751"/>
        <v>0</v>
      </c>
      <c r="CB404" s="65">
        <f t="shared" si="2752"/>
        <v>2097.3399999999992</v>
      </c>
      <c r="CC404" s="56"/>
      <c r="CF404" s="55">
        <f t="shared" si="2753"/>
        <v>46365</v>
      </c>
      <c r="CG404" s="56"/>
      <c r="CH404" s="66">
        <f>SUMPRODUCT(PRODUCE!$B397:$DY397,PRODUCE!$EB$16:$IY$16)</f>
        <v>0</v>
      </c>
      <c r="CI404" s="56"/>
      <c r="CJ404" s="66">
        <f t="shared" si="2754"/>
        <v>0</v>
      </c>
      <c r="CK404" s="66">
        <f t="shared" si="2755"/>
        <v>-10277.079999999998</v>
      </c>
      <c r="CL404" s="56"/>
      <c r="CO404" s="55">
        <f t="shared" si="2756"/>
        <v>46365</v>
      </c>
      <c r="CP404" s="422"/>
      <c r="CQ404" s="470">
        <f>SUMPRODUCT(PRODUCE!$B397:$DY397,PRODUCE!$EB$17:$IY$17)</f>
        <v>0</v>
      </c>
      <c r="CR404" s="422"/>
      <c r="CS404" s="470">
        <f t="shared" si="2757"/>
        <v>0</v>
      </c>
      <c r="CT404" s="470">
        <f t="shared" si="2758"/>
        <v>0</v>
      </c>
      <c r="CU404" s="56"/>
      <c r="CX404" s="55">
        <f t="shared" si="2759"/>
        <v>46365</v>
      </c>
      <c r="CY404" s="56"/>
      <c r="CZ404" s="133">
        <f>SUMPRODUCT(PRODUCE!$B397:$DY397,PRODUCE!$EB$18:$IY$18)</f>
        <v>0</v>
      </c>
      <c r="DA404" s="56"/>
      <c r="DB404" s="133">
        <f t="shared" si="2760"/>
        <v>0</v>
      </c>
      <c r="DC404" s="133">
        <f t="shared" si="2761"/>
        <v>27438.200000000012</v>
      </c>
      <c r="DD404" s="56"/>
      <c r="DG404" s="55">
        <f t="shared" si="2762"/>
        <v>46365</v>
      </c>
      <c r="DH404" s="56"/>
      <c r="DI404" s="147">
        <f>SUMPRODUCT(PRODUCE!$B397:$DY397,PRODUCE!$EB$19:$IY$19)</f>
        <v>0</v>
      </c>
      <c r="DJ404" s="56"/>
      <c r="DK404" s="147">
        <f t="shared" si="2763"/>
        <v>0</v>
      </c>
      <c r="DL404" s="147">
        <f t="shared" si="2764"/>
        <v>18782.299999999981</v>
      </c>
      <c r="DM404" s="56"/>
      <c r="DP404" s="55">
        <f t="shared" si="2765"/>
        <v>46365</v>
      </c>
      <c r="DQ404" s="56"/>
      <c r="DR404" s="57">
        <f>SUMPRODUCT(PRODUCE!$B397:$DY397,PRODUCE!$EB$20:$IY$20)</f>
        <v>0</v>
      </c>
      <c r="DS404" s="56"/>
      <c r="DT404" s="57">
        <f t="shared" si="2766"/>
        <v>0</v>
      </c>
      <c r="DU404" s="57">
        <f t="shared" si="2767"/>
        <v>5800</v>
      </c>
      <c r="DV404" s="56"/>
      <c r="DY404" s="55">
        <f t="shared" si="2768"/>
        <v>46365</v>
      </c>
      <c r="DZ404" s="56"/>
      <c r="EA404" s="157">
        <f>SUMPRODUCT(PRODUCE!$B397:$DY397,PRODUCE!$EB$21:$IY$21)</f>
        <v>0</v>
      </c>
      <c r="EB404" s="56"/>
      <c r="EC404" s="157">
        <f t="shared" si="2769"/>
        <v>0</v>
      </c>
      <c r="ED404" s="157">
        <f t="shared" si="2770"/>
        <v>0</v>
      </c>
      <c r="EE404" s="56"/>
      <c r="EH404" s="55">
        <f t="shared" si="2771"/>
        <v>46365</v>
      </c>
      <c r="EI404" s="56"/>
      <c r="EJ404" s="162">
        <f>SUMPRODUCT(PRODUCE!$B397:$DY397,PRODUCE!$EB$22:$IY$22)</f>
        <v>0</v>
      </c>
      <c r="EK404" s="56"/>
      <c r="EL404" s="162">
        <f t="shared" si="2772"/>
        <v>0</v>
      </c>
      <c r="EM404" s="162">
        <f t="shared" si="2773"/>
        <v>0</v>
      </c>
      <c r="EN404" s="56"/>
      <c r="EQ404" s="55">
        <f t="shared" si="2774"/>
        <v>46365</v>
      </c>
      <c r="ER404" s="56"/>
      <c r="ES404" s="135">
        <f>SUMPRODUCT(PRODUCE!$B397:$DY397,PRODUCE!$EB$23:$IY$23)</f>
        <v>0</v>
      </c>
      <c r="ET404" s="56"/>
      <c r="EU404" s="135">
        <f t="shared" si="2775"/>
        <v>0</v>
      </c>
      <c r="EV404" s="135">
        <f t="shared" si="2776"/>
        <v>0</v>
      </c>
      <c r="EW404" s="56"/>
      <c r="EZ404" s="55">
        <f t="shared" si="2777"/>
        <v>46365</v>
      </c>
      <c r="FA404" s="56"/>
      <c r="FB404" s="175">
        <f>SUMPRODUCT(PRODUCE!$B397:$DY397,PRODUCE!$EB$24:$IY$24)</f>
        <v>0</v>
      </c>
      <c r="FC404" s="56"/>
      <c r="FD404" s="175">
        <f t="shared" si="2778"/>
        <v>0</v>
      </c>
      <c r="FE404" s="175">
        <f t="shared" si="2779"/>
        <v>0</v>
      </c>
      <c r="FF404" s="56"/>
      <c r="FI404" s="55">
        <f t="shared" si="2780"/>
        <v>46365</v>
      </c>
      <c r="FJ404" s="56"/>
      <c r="FK404" s="183">
        <f>SUMPRODUCT(PRODUCE!$B397:$DY397,PRODUCE!$EB$25:$IY$25)</f>
        <v>0</v>
      </c>
      <c r="FL404" s="56"/>
      <c r="FM404" s="183">
        <f t="shared" si="2781"/>
        <v>0</v>
      </c>
      <c r="FN404" s="183">
        <f t="shared" si="2782"/>
        <v>0</v>
      </c>
      <c r="FO404" s="56"/>
      <c r="FR404" s="55">
        <f t="shared" si="2783"/>
        <v>46365</v>
      </c>
      <c r="FS404" s="56"/>
      <c r="FT404" s="186">
        <f>SUMPRODUCT(PRODUCE!$B397:$DY397,PRODUCE!$EB$26:$IY$26)</f>
        <v>0</v>
      </c>
      <c r="FU404" s="56"/>
      <c r="FV404" s="186">
        <f t="shared" si="2784"/>
        <v>0</v>
      </c>
      <c r="FW404" s="186">
        <f t="shared" si="2785"/>
        <v>2020</v>
      </c>
      <c r="FX404" s="56"/>
      <c r="GA404" s="55">
        <f t="shared" si="2786"/>
        <v>46365</v>
      </c>
      <c r="GB404" s="56"/>
      <c r="GC404" s="137">
        <f>SUMPRODUCT(PRODUCE!$B397:$DY397,PRODUCE!$EB$27:$IY$27)</f>
        <v>0</v>
      </c>
      <c r="GD404" s="56"/>
      <c r="GE404" s="137">
        <f t="shared" si="2787"/>
        <v>0</v>
      </c>
      <c r="GF404" s="137">
        <f t="shared" si="2788"/>
        <v>960</v>
      </c>
      <c r="GG404" s="56"/>
      <c r="GI404" s="23"/>
      <c r="GJ404" s="55">
        <f t="shared" si="2789"/>
        <v>46365</v>
      </c>
      <c r="GK404" s="56"/>
      <c r="GL404" s="199">
        <f>SUMPRODUCT(PRODUCE!$B397:$DY397,PRODUCE!$EB$28:$IY$28)</f>
        <v>0</v>
      </c>
      <c r="GM404" s="56"/>
      <c r="GN404" s="199">
        <f t="shared" si="2790"/>
        <v>0</v>
      </c>
      <c r="GO404" s="199">
        <f t="shared" si="2791"/>
        <v>1760</v>
      </c>
      <c r="GP404" s="56"/>
      <c r="GS404" s="55">
        <f t="shared" si="2792"/>
        <v>46365</v>
      </c>
      <c r="GT404" s="56"/>
      <c r="GU404" s="195">
        <f>SUMPRODUCT(PRODUCE!$B397:$DY397,PRODUCE!$EB$29:$IY$29)</f>
        <v>0</v>
      </c>
      <c r="GV404" s="56"/>
      <c r="GW404" s="195">
        <f t="shared" si="2793"/>
        <v>0</v>
      </c>
      <c r="GX404" s="195">
        <f t="shared" si="2794"/>
        <v>400</v>
      </c>
      <c r="GY404" s="56"/>
      <c r="HB404" s="55">
        <f t="shared" si="2795"/>
        <v>46365</v>
      </c>
      <c r="HC404" s="56"/>
      <c r="HD404" s="191">
        <f>SUMPRODUCT(PRODUCE!$B397:$DY397,PRODUCE!$EB$30:$IY$30)</f>
        <v>0</v>
      </c>
      <c r="HE404" s="56"/>
      <c r="HF404" s="191">
        <f t="shared" si="2796"/>
        <v>0</v>
      </c>
      <c r="HG404" s="191">
        <f t="shared" si="2797"/>
        <v>3600</v>
      </c>
      <c r="HH404" s="56"/>
      <c r="HK404" s="55">
        <f t="shared" si="2798"/>
        <v>46365</v>
      </c>
      <c r="HL404" s="56"/>
      <c r="HM404" s="63">
        <f>SUMPRODUCT(PRODUCE!$B397:$DY397,PRODUCE!$EB$31:$IY$31)</f>
        <v>0</v>
      </c>
      <c r="HN404" s="56"/>
      <c r="HO404" s="63">
        <f t="shared" si="2799"/>
        <v>0</v>
      </c>
      <c r="HP404" s="63">
        <f t="shared" si="2800"/>
        <v>0</v>
      </c>
      <c r="HQ404" s="56"/>
      <c r="HU404" s="55">
        <f t="shared" si="2801"/>
        <v>46365</v>
      </c>
      <c r="HV404" s="56"/>
      <c r="HW404" s="242">
        <f>SUMPRODUCT(PRODUCE!$B397:$DY397,PRODUCE!$EB$32:$IY$32)</f>
        <v>0</v>
      </c>
      <c r="HX404" s="56"/>
      <c r="HY404" s="242">
        <f t="shared" si="2802"/>
        <v>0</v>
      </c>
      <c r="HZ404" s="242">
        <f t="shared" si="2803"/>
        <v>6120</v>
      </c>
      <c r="IA404" s="56"/>
      <c r="ID404" s="55">
        <f t="shared" si="2804"/>
        <v>46365</v>
      </c>
      <c r="IE404" s="56"/>
      <c r="IF404" s="242">
        <f>SUMPRODUCT(PRODUCE!$B397:$DY397,PRODUCE!$EB$33:$IY$33)</f>
        <v>0</v>
      </c>
      <c r="IG404" s="56"/>
      <c r="IH404" s="242">
        <f t="shared" si="2805"/>
        <v>0</v>
      </c>
      <c r="II404" s="242">
        <f t="shared" si="2806"/>
        <v>0</v>
      </c>
      <c r="IJ404" s="56"/>
      <c r="IM404" s="55">
        <f t="shared" si="2807"/>
        <v>46365</v>
      </c>
      <c r="IN404" s="56"/>
      <c r="IO404" s="242">
        <f>SUMPRODUCT(PRODUCE!$B397:$DY397,PRODUCE!$EB$34:$IY$34)</f>
        <v>0</v>
      </c>
      <c r="IP404" s="56"/>
      <c r="IQ404" s="242">
        <f t="shared" si="2808"/>
        <v>0</v>
      </c>
      <c r="IR404" s="242">
        <f t="shared" si="2809"/>
        <v>0</v>
      </c>
      <c r="IS404" s="56"/>
      <c r="IV404" s="55">
        <f t="shared" si="2810"/>
        <v>46365</v>
      </c>
      <c r="IW404" s="56"/>
      <c r="IX404" s="242">
        <f>SUMPRODUCT(PRODUCE!$B397:$DY397,PRODUCE!$EB$35:$IY$35)</f>
        <v>0</v>
      </c>
      <c r="IY404" s="56"/>
      <c r="IZ404" s="242">
        <f t="shared" si="2811"/>
        <v>0</v>
      </c>
      <c r="JA404" s="242">
        <f t="shared" si="2812"/>
        <v>2820</v>
      </c>
      <c r="JB404" s="56"/>
      <c r="JE404" s="55">
        <f t="shared" si="2813"/>
        <v>46365</v>
      </c>
      <c r="JF404" s="56"/>
      <c r="JG404" s="242">
        <f>SUMPRODUCT(PRODUCE!$B397:$DY397,PRODUCE!$EB$36:$IY$36)</f>
        <v>0</v>
      </c>
      <c r="JH404" s="56"/>
      <c r="JI404" s="242">
        <f t="shared" si="2814"/>
        <v>0</v>
      </c>
      <c r="JJ404" s="242">
        <f t="shared" si="2815"/>
        <v>0</v>
      </c>
      <c r="JK404" s="56"/>
      <c r="JN404" s="55">
        <f t="shared" si="2816"/>
        <v>46365</v>
      </c>
      <c r="JO404" s="56"/>
      <c r="JP404" s="242">
        <f>SUMPRODUCT(PRODUCE!$B397:$DY397,PRODUCE!$EB$37:$IY$37)</f>
        <v>0</v>
      </c>
      <c r="JQ404" s="56"/>
      <c r="JR404" s="242">
        <f t="shared" si="2817"/>
        <v>0</v>
      </c>
      <c r="JS404" s="242">
        <f t="shared" si="2818"/>
        <v>0</v>
      </c>
      <c r="JT404" s="56"/>
      <c r="JW404" s="55">
        <f t="shared" si="2819"/>
        <v>46365</v>
      </c>
      <c r="JX404" s="56"/>
      <c r="JY404" s="242">
        <f>SUMPRODUCT(PRODUCE!$B397:$DY397,PRODUCE!$EB$38:$IY$38)</f>
        <v>0</v>
      </c>
      <c r="JZ404" s="56"/>
      <c r="KA404" s="242">
        <f t="shared" si="2820"/>
        <v>0</v>
      </c>
      <c r="KB404" s="242">
        <f t="shared" si="2821"/>
        <v>2540</v>
      </c>
      <c r="KC404" s="56"/>
      <c r="KF404" s="55">
        <f t="shared" si="2822"/>
        <v>46365</v>
      </c>
      <c r="KG404" s="56"/>
      <c r="KH404" s="242">
        <f>SUMPRODUCT(PRODUCE!$B397:$DY397,PRODUCE!$EB$39:$IY$39)</f>
        <v>0</v>
      </c>
      <c r="KI404" s="56"/>
      <c r="KJ404" s="242">
        <f t="shared" si="2823"/>
        <v>0</v>
      </c>
      <c r="KK404" s="242">
        <f t="shared" si="2824"/>
        <v>2359.5</v>
      </c>
      <c r="KL404" s="56"/>
      <c r="KO404" s="55">
        <f t="shared" si="2825"/>
        <v>46365</v>
      </c>
      <c r="KP404" s="56"/>
      <c r="KQ404" s="242">
        <f>SUMPRODUCT(PRODUCE!$B397:$DY397,PRODUCE!$EB$40:$IY$40)</f>
        <v>0</v>
      </c>
      <c r="KR404" s="56"/>
      <c r="KS404" s="242">
        <f t="shared" si="2826"/>
        <v>0</v>
      </c>
      <c r="KT404" s="242">
        <f t="shared" si="2827"/>
        <v>1890</v>
      </c>
      <c r="KU404" s="56"/>
      <c r="KW404" s="23"/>
      <c r="KX404" s="55">
        <f t="shared" si="2828"/>
        <v>46365</v>
      </c>
      <c r="KY404" s="56"/>
      <c r="KZ404" s="242">
        <f>SUMPRODUCT(PRODUCE!$B397:$DY397,PRODUCE!$EB$41:$IY$41)</f>
        <v>0</v>
      </c>
      <c r="LA404" s="56"/>
      <c r="LB404" s="242">
        <f t="shared" si="2829"/>
        <v>0</v>
      </c>
      <c r="LC404" s="242">
        <f t="shared" si="2830"/>
        <v>3690</v>
      </c>
      <c r="LD404" s="56"/>
      <c r="LG404" s="55">
        <f t="shared" si="2831"/>
        <v>46365</v>
      </c>
      <c r="LH404" s="56"/>
      <c r="LI404" s="242">
        <f>SUMPRODUCT(PRODUCE!$B397:$DY397,PRODUCE!$EB$42:$IY$42)</f>
        <v>0</v>
      </c>
      <c r="LJ404" s="56"/>
      <c r="LK404" s="242">
        <f t="shared" si="2832"/>
        <v>0</v>
      </c>
      <c r="LL404" s="242">
        <f t="shared" si="2833"/>
        <v>4000</v>
      </c>
      <c r="LM404" s="56"/>
      <c r="LP404" s="55">
        <f t="shared" si="2834"/>
        <v>46365</v>
      </c>
      <c r="LQ404" s="56"/>
      <c r="LR404" s="242">
        <f>SUMPRODUCT(PRODUCE!$B419:$DY419,PRODUCE!$EB$43:$IY$43)</f>
        <v>0</v>
      </c>
      <c r="LS404" s="56"/>
      <c r="LT404" s="242">
        <f t="shared" si="2835"/>
        <v>0</v>
      </c>
      <c r="LU404" s="242">
        <f t="shared" si="2836"/>
        <v>0</v>
      </c>
      <c r="LV404" s="56"/>
      <c r="LY404" s="55">
        <f t="shared" si="2837"/>
        <v>46365</v>
      </c>
      <c r="LZ404" s="56"/>
      <c r="MA404" s="242">
        <f>SUMPRODUCT(PRODUCE!$B397:$DY397,PRODUCE!$EB$44:$IY$44)</f>
        <v>0</v>
      </c>
      <c r="MB404" s="56"/>
      <c r="MC404" s="242">
        <f t="shared" si="2838"/>
        <v>0</v>
      </c>
      <c r="MD404" s="242">
        <f t="shared" si="2839"/>
        <v>0</v>
      </c>
      <c r="ME404" s="56"/>
      <c r="MH404" s="55">
        <f t="shared" si="2840"/>
        <v>46365</v>
      </c>
      <c r="MI404" s="56"/>
      <c r="MJ404" s="242">
        <f>SUMPRODUCT(PRODUCE!$B397:$DY397,PRODUCE!$EB$45:$IY$45)</f>
        <v>0</v>
      </c>
      <c r="MK404" s="56"/>
      <c r="ML404" s="242">
        <f t="shared" si="2841"/>
        <v>0</v>
      </c>
      <c r="MM404" s="242">
        <f t="shared" si="2842"/>
        <v>-18</v>
      </c>
      <c r="MN404" s="56"/>
      <c r="MQ404" s="55">
        <f t="shared" si="2843"/>
        <v>46365</v>
      </c>
      <c r="MR404" s="56"/>
      <c r="MS404" s="242">
        <f>SUMPRODUCT(PRODUCE!$B397:$DY397,PRODUCE!$EB$46:$IY$46)</f>
        <v>0</v>
      </c>
      <c r="MT404" s="56"/>
      <c r="MU404" s="242">
        <f t="shared" si="2844"/>
        <v>0</v>
      </c>
      <c r="MV404" s="242">
        <f t="shared" si="2845"/>
        <v>1595</v>
      </c>
      <c r="MW404" s="56"/>
      <c r="MZ404" s="55">
        <f t="shared" si="2846"/>
        <v>46365</v>
      </c>
      <c r="NA404" s="56"/>
      <c r="NB404" s="242">
        <f>SUMPRODUCT(PRODUCE!$B397:$DY397,PRODUCE!$EB$47:$IY$47)</f>
        <v>0</v>
      </c>
      <c r="NC404" s="56"/>
      <c r="ND404" s="242">
        <f t="shared" si="2847"/>
        <v>0</v>
      </c>
      <c r="NE404" s="242">
        <f t="shared" si="2848"/>
        <v>0</v>
      </c>
      <c r="NF404" s="56"/>
      <c r="NI404" s="55">
        <f t="shared" si="2849"/>
        <v>46365</v>
      </c>
      <c r="NJ404" s="56"/>
      <c r="NK404" s="242">
        <f>SUMPRODUCT(PRODUCE!$B397:$DY397,PRODUCE!$EB$48:$IY$48)</f>
        <v>0</v>
      </c>
      <c r="NL404" s="56"/>
      <c r="NM404" s="242">
        <f t="shared" si="2850"/>
        <v>0</v>
      </c>
      <c r="NN404" s="242">
        <f t="shared" si="2851"/>
        <v>1127</v>
      </c>
      <c r="NO404" s="56"/>
      <c r="NR404" s="55">
        <f t="shared" si="2852"/>
        <v>46365</v>
      </c>
      <c r="NS404" s="56"/>
      <c r="NT404" s="242">
        <f>SUMPRODUCT(PRODUCE!$B397:$DY397,PRODUCE!$EB$49:$IY$49)</f>
        <v>0</v>
      </c>
      <c r="NU404" s="56"/>
      <c r="NV404" s="242">
        <f t="shared" si="2853"/>
        <v>0</v>
      </c>
      <c r="NW404" s="242">
        <f t="shared" si="2854"/>
        <v>3111.9999999999995</v>
      </c>
      <c r="NX404" s="56"/>
      <c r="OA404" s="55">
        <f t="shared" si="2855"/>
        <v>46365</v>
      </c>
      <c r="OB404" s="56"/>
      <c r="OC404" s="242">
        <f>SUMPRODUCT(PRODUCE!$B397:$DY397,PRODUCE!$EB$50:$IY$50)</f>
        <v>0</v>
      </c>
      <c r="OD404" s="56"/>
      <c r="OE404" s="242">
        <f t="shared" si="2856"/>
        <v>0</v>
      </c>
      <c r="OF404" s="242">
        <f t="shared" si="2857"/>
        <v>1680.5</v>
      </c>
      <c r="OG404" s="56"/>
      <c r="OJ404" s="55">
        <f t="shared" si="2858"/>
        <v>46365</v>
      </c>
      <c r="OK404" s="56"/>
      <c r="OL404" s="242">
        <f>SUMPRODUCT(PRODUCE!$B397:$DY397,PRODUCE!$EB$51:$IY$51)</f>
        <v>0</v>
      </c>
      <c r="OM404" s="56"/>
      <c r="ON404" s="242">
        <f t="shared" si="2859"/>
        <v>0</v>
      </c>
      <c r="OO404" s="242">
        <f t="shared" si="2860"/>
        <v>0</v>
      </c>
      <c r="OP404" s="56"/>
      <c r="OS404" s="55">
        <f t="shared" si="2861"/>
        <v>46365</v>
      </c>
      <c r="OT404" s="56"/>
      <c r="OU404" s="242">
        <f>SUMPRODUCT(PRODUCE!$B397:$DY397,PRODUCE!$EB$52:$IY$52)</f>
        <v>0</v>
      </c>
      <c r="OV404" s="56"/>
      <c r="OW404" s="242">
        <f t="shared" si="2862"/>
        <v>0</v>
      </c>
      <c r="OX404" s="242">
        <f t="shared" si="2863"/>
        <v>1482</v>
      </c>
      <c r="OY404" s="56"/>
      <c r="PB404" s="55">
        <f t="shared" si="2864"/>
        <v>46365</v>
      </c>
      <c r="PC404" s="56"/>
      <c r="PD404" s="242">
        <f>SUMPRODUCT(PRODUCE!$B397:$DY397,PRODUCE!$EB$53:$IY$53)</f>
        <v>0</v>
      </c>
      <c r="PE404" s="56"/>
      <c r="PF404" s="242">
        <f t="shared" si="2865"/>
        <v>0</v>
      </c>
      <c r="PG404" s="242">
        <f t="shared" si="2866"/>
        <v>0</v>
      </c>
      <c r="PH404" s="56"/>
      <c r="PK404" s="55">
        <f t="shared" si="2867"/>
        <v>46365</v>
      </c>
      <c r="PL404" s="56"/>
      <c r="PM404" s="242">
        <f>SUMPRODUCT(PRODUCE!$B397:$DY397,PRODUCE!$EB$54:$IY$54)</f>
        <v>0</v>
      </c>
      <c r="PN404" s="56"/>
      <c r="PO404" s="242">
        <f t="shared" si="2868"/>
        <v>0</v>
      </c>
      <c r="PP404" s="242">
        <f t="shared" si="2869"/>
        <v>100</v>
      </c>
      <c r="PQ404" s="56"/>
      <c r="PT404" s="55">
        <f t="shared" si="2870"/>
        <v>46365</v>
      </c>
      <c r="PU404" s="56"/>
      <c r="PV404" s="242">
        <f>SUMPRODUCT(PRODUCE!$B397:$DY397,PRODUCE!$EB$55:$IY$55)</f>
        <v>0</v>
      </c>
      <c r="PW404" s="56"/>
      <c r="PX404" s="242">
        <f t="shared" si="2871"/>
        <v>0</v>
      </c>
      <c r="PY404" s="242">
        <f t="shared" si="2872"/>
        <v>13.960000000000036</v>
      </c>
      <c r="PZ404" s="56"/>
      <c r="QC404" s="55">
        <f t="shared" si="2873"/>
        <v>46365</v>
      </c>
      <c r="QD404" s="56"/>
      <c r="QE404" s="242">
        <f>SUMPRODUCT(PRODUCE!$B397:$DY397,PRODUCE!$EB$56:$IY$56)</f>
        <v>0</v>
      </c>
      <c r="QF404" s="56"/>
      <c r="QG404" s="242">
        <f t="shared" si="2874"/>
        <v>0</v>
      </c>
      <c r="QH404" s="242">
        <f t="shared" si="2875"/>
        <v>548</v>
      </c>
      <c r="QI404" s="56"/>
      <c r="QL404" s="55">
        <f t="shared" si="2876"/>
        <v>46365</v>
      </c>
      <c r="QM404" s="56"/>
      <c r="QN404" s="242">
        <f>SUMPRODUCT(PRODUCE!$B397:$DY397,PRODUCE!$EB$57:$IY$57)</f>
        <v>0</v>
      </c>
      <c r="QO404" s="56"/>
      <c r="QP404" s="242">
        <f t="shared" si="2877"/>
        <v>0</v>
      </c>
      <c r="QQ404" s="242">
        <f t="shared" si="2878"/>
        <v>0</v>
      </c>
      <c r="QR404" s="56"/>
      <c r="QU404" s="55">
        <f t="shared" si="2879"/>
        <v>46365</v>
      </c>
      <c r="QV404" s="56"/>
      <c r="QW404" s="242">
        <f>SUMPRODUCT(PRODUCE!$B397:$DY397,PRODUCE!$EB$57:$IY$57)</f>
        <v>0</v>
      </c>
      <c r="QX404" s="56"/>
      <c r="QY404" s="242">
        <f t="shared" si="2880"/>
        <v>0</v>
      </c>
      <c r="QZ404" s="242">
        <f t="shared" si="2881"/>
        <v>0</v>
      </c>
      <c r="RA404" s="56"/>
      <c r="RD404" s="55">
        <f t="shared" si="2882"/>
        <v>46365</v>
      </c>
      <c r="RE404" s="56"/>
      <c r="RF404" s="242">
        <f>SUMPRODUCT(PRODUCE!$B397:$DY397,PRODUCE!$EB$58:$IY$58)</f>
        <v>0</v>
      </c>
      <c r="RG404" s="56"/>
      <c r="RH404" s="242">
        <f t="shared" si="2883"/>
        <v>0</v>
      </c>
      <c r="RI404" s="242">
        <f t="shared" si="2884"/>
        <v>147.04000000000002</v>
      </c>
      <c r="RJ404" s="56"/>
      <c r="RM404" s="55">
        <f t="shared" si="2885"/>
        <v>46365</v>
      </c>
      <c r="RN404" s="56"/>
      <c r="RO404" s="242">
        <f>SUMPRODUCT(PRODUCE!$B397:$DY397,PRODUCE!$EB$57:$IY$57)</f>
        <v>0</v>
      </c>
      <c r="RP404" s="56"/>
      <c r="RQ404" s="242">
        <f t="shared" si="2886"/>
        <v>0</v>
      </c>
      <c r="RR404" s="242">
        <f t="shared" si="2887"/>
        <v>46.8</v>
      </c>
      <c r="RS404" s="56"/>
      <c r="RV404" s="55">
        <f t="shared" si="2888"/>
        <v>46365</v>
      </c>
      <c r="RW404" s="56"/>
      <c r="RX404" s="242">
        <f>SUMPRODUCT(PRODUCE!$B397:$DY397,PRODUCE!$EB$57:$IY$57)</f>
        <v>0</v>
      </c>
      <c r="RY404" s="56"/>
      <c r="RZ404" s="242">
        <f t="shared" si="2889"/>
        <v>0</v>
      </c>
      <c r="SA404" s="242">
        <f t="shared" si="2890"/>
        <v>0</v>
      </c>
      <c r="SB404" s="56"/>
      <c r="SE404" s="55">
        <f t="shared" si="2891"/>
        <v>46365</v>
      </c>
      <c r="SF404" s="56"/>
      <c r="SG404" s="242">
        <f>SUMPRODUCT(PRODUCE!$B397:$DY397,PRODUCE!$EB$61:$IY$61)</f>
        <v>0</v>
      </c>
      <c r="SH404" s="56"/>
      <c r="SI404" s="242">
        <f t="shared" si="2892"/>
        <v>0</v>
      </c>
      <c r="SJ404" s="242">
        <f t="shared" si="2893"/>
        <v>24.200000000000003</v>
      </c>
      <c r="SK404" s="56"/>
      <c r="SN404" s="55">
        <f t="shared" si="2894"/>
        <v>46365</v>
      </c>
      <c r="SO404" s="56"/>
      <c r="SP404" s="242">
        <f>SUMPRODUCT(PRODUCE!$B397:$DY397,PRODUCE!$EB$57:$IY$57)</f>
        <v>0</v>
      </c>
      <c r="SQ404" s="56"/>
      <c r="SR404" s="242">
        <f t="shared" si="2895"/>
        <v>0</v>
      </c>
      <c r="SS404" s="242">
        <f t="shared" si="2896"/>
        <v>32</v>
      </c>
      <c r="ST404" s="56"/>
      <c r="SW404" s="55">
        <f t="shared" si="2897"/>
        <v>46365</v>
      </c>
      <c r="SX404" s="56"/>
      <c r="SY404" s="242">
        <f>SUMPRODUCT(PRODUCE!$B397:$DY397,PRODUCE!$EB$57:$IY$57)</f>
        <v>0</v>
      </c>
      <c r="SZ404" s="56"/>
      <c r="TA404" s="242">
        <f t="shared" si="2898"/>
        <v>0</v>
      </c>
      <c r="TB404" s="242">
        <f t="shared" si="2899"/>
        <v>0</v>
      </c>
      <c r="TC404" s="56"/>
      <c r="TF404" s="55">
        <f t="shared" si="2900"/>
        <v>46365</v>
      </c>
      <c r="TG404" s="56"/>
      <c r="TH404" s="242">
        <f>SUMPRODUCT(PRODUCE!$B397:$DY397,PRODUCE!$EB$57:$IY$57)</f>
        <v>0</v>
      </c>
      <c r="TI404" s="56"/>
      <c r="TJ404" s="242">
        <f t="shared" si="2901"/>
        <v>0</v>
      </c>
      <c r="TK404" s="242">
        <f t="shared" si="2902"/>
        <v>0</v>
      </c>
      <c r="TL404" s="56"/>
      <c r="TO404" s="55">
        <f t="shared" si="2903"/>
        <v>46365</v>
      </c>
      <c r="TP404" s="56"/>
      <c r="TQ404" s="242">
        <f>SUMPRODUCT(PRODUCE!$B397:$DY397,PRODUCE!$EB$57:$IY$57)</f>
        <v>0</v>
      </c>
      <c r="TR404" s="56"/>
      <c r="TS404" s="242">
        <f t="shared" si="2904"/>
        <v>0</v>
      </c>
      <c r="TT404" s="242">
        <f t="shared" si="2905"/>
        <v>0</v>
      </c>
      <c r="TU404" s="56"/>
      <c r="TX404" s="55">
        <f t="shared" si="2906"/>
        <v>46365</v>
      </c>
      <c r="TY404" s="56"/>
      <c r="TZ404" s="242">
        <f>SUMPRODUCT(PRODUCE!$B397:$DY397,PRODUCE!$EB$57:$IY$57)</f>
        <v>0</v>
      </c>
      <c r="UA404" s="56"/>
      <c r="UB404" s="242">
        <f t="shared" si="2907"/>
        <v>0</v>
      </c>
      <c r="UC404" s="242">
        <f t="shared" si="2908"/>
        <v>46.799999999999983</v>
      </c>
      <c r="UD404" s="56"/>
      <c r="UG404" s="55">
        <f t="shared" si="2909"/>
        <v>46365</v>
      </c>
      <c r="UH404" s="56"/>
      <c r="UI404" s="242">
        <f>SUMPRODUCT(PRODUCE!$B397:$DY397,PRODUCE!$EB$57:$IY$57)</f>
        <v>0</v>
      </c>
      <c r="UJ404" s="56"/>
      <c r="UK404" s="242">
        <f t="shared" si="2910"/>
        <v>0</v>
      </c>
      <c r="UL404" s="242">
        <f t="shared" si="2911"/>
        <v>204</v>
      </c>
      <c r="UM404" s="56"/>
      <c r="UP404" s="55">
        <f t="shared" si="2912"/>
        <v>46365</v>
      </c>
      <c r="UQ404" s="56"/>
      <c r="UR404" s="242">
        <f>SUMPRODUCT(PRODUCE!$B397:$DY397,PRODUCE!$EB$57:$IY$57)</f>
        <v>0</v>
      </c>
      <c r="US404" s="56"/>
      <c r="UT404" s="242">
        <f t="shared" si="2913"/>
        <v>0</v>
      </c>
      <c r="UU404" s="242">
        <f t="shared" si="2914"/>
        <v>202.5</v>
      </c>
      <c r="UV404" s="56"/>
      <c r="UY404" s="55">
        <f t="shared" si="2915"/>
        <v>46365</v>
      </c>
      <c r="UZ404" s="56"/>
      <c r="VA404" s="242">
        <f>SUMPRODUCT(PRODUCE!$B397:$DY397,PRODUCE!$EB$57:$IY$57)</f>
        <v>0</v>
      </c>
      <c r="VB404" s="56"/>
      <c r="VC404" s="242">
        <f t="shared" si="2916"/>
        <v>0</v>
      </c>
      <c r="VD404" s="242">
        <f t="shared" si="2917"/>
        <v>41.600000000000023</v>
      </c>
      <c r="VE404" s="56"/>
      <c r="VH404" s="55">
        <f t="shared" si="2918"/>
        <v>46365</v>
      </c>
      <c r="VI404" s="56"/>
      <c r="VJ404" s="242">
        <f>SUMPRODUCT(PRODUCE!$B397:$DY397,PRODUCE!$EB$57:$IY$57)</f>
        <v>0</v>
      </c>
      <c r="VK404" s="56"/>
      <c r="VL404" s="242">
        <f t="shared" si="2919"/>
        <v>0</v>
      </c>
      <c r="VM404" s="242">
        <f t="shared" si="2920"/>
        <v>210</v>
      </c>
      <c r="VN404" s="56"/>
      <c r="VQ404" s="55">
        <f t="shared" si="2921"/>
        <v>46365</v>
      </c>
      <c r="VR404" s="56"/>
      <c r="VS404" s="242">
        <f>SUMPRODUCT(PRODUCE!$B397:$DY397,PRODUCE!$EB$57:$IY$57)</f>
        <v>0</v>
      </c>
      <c r="VT404" s="56"/>
      <c r="VU404" s="242">
        <f t="shared" si="2922"/>
        <v>0</v>
      </c>
      <c r="VV404" s="242">
        <f t="shared" si="2923"/>
        <v>0</v>
      </c>
      <c r="VW404" s="56"/>
      <c r="VZ404" s="55">
        <f t="shared" si="2924"/>
        <v>46365</v>
      </c>
      <c r="WA404" s="56"/>
      <c r="WB404" s="242">
        <f>SUMPRODUCT(PRODUCE!$B397:$DY397,PRODUCE!$EB$57:$IY$57)</f>
        <v>0</v>
      </c>
      <c r="WC404" s="56"/>
      <c r="WD404" s="242">
        <f t="shared" si="2925"/>
        <v>0</v>
      </c>
      <c r="WE404" s="242">
        <f t="shared" si="2926"/>
        <v>0</v>
      </c>
      <c r="WF404" s="56"/>
      <c r="WI404" s="55">
        <f t="shared" si="2927"/>
        <v>46365</v>
      </c>
      <c r="WJ404" s="56"/>
      <c r="WK404" s="242">
        <f>SUMPRODUCT(PRODUCE!$B397:$DY397,PRODUCE!$EB$57:$IY$57)</f>
        <v>0</v>
      </c>
      <c r="WL404" s="56"/>
      <c r="WM404" s="242">
        <f t="shared" si="2928"/>
        <v>0</v>
      </c>
      <c r="WN404" s="242">
        <f t="shared" si="2929"/>
        <v>1057</v>
      </c>
      <c r="WO404" s="56"/>
      <c r="WR404" s="55">
        <f t="shared" si="2930"/>
        <v>46365</v>
      </c>
      <c r="WS404" s="56"/>
      <c r="WT404" s="242">
        <f>SUMPRODUCT(PRODUCE!$B397:$DY397,PRODUCE!$EB$57:$IY$57)</f>
        <v>0</v>
      </c>
      <c r="WU404" s="56"/>
      <c r="WV404" s="242">
        <f t="shared" si="2931"/>
        <v>0</v>
      </c>
      <c r="WW404" s="242">
        <f t="shared" si="2932"/>
        <v>0</v>
      </c>
      <c r="WX404" s="56"/>
      <c r="XA404" s="55">
        <f t="shared" si="2933"/>
        <v>46365</v>
      </c>
      <c r="XB404" s="56"/>
      <c r="XC404" s="242">
        <f>SUMPRODUCT(PRODUCE!$B397:$DY397,PRODUCE!$EB$57:$IY$57)</f>
        <v>0</v>
      </c>
      <c r="XD404" s="56"/>
      <c r="XE404" s="242">
        <f t="shared" si="2934"/>
        <v>0</v>
      </c>
      <c r="XF404" s="242">
        <f t="shared" si="2935"/>
        <v>7507</v>
      </c>
      <c r="XG404" s="56"/>
      <c r="XJ404" s="55">
        <f t="shared" si="2936"/>
        <v>46365</v>
      </c>
      <c r="XK404" s="56"/>
      <c r="XL404" s="242">
        <f>SUMPRODUCT(PRODUCE!$B397:$DY397,PRODUCE!$EB$57:$IY$57)</f>
        <v>0</v>
      </c>
      <c r="XM404" s="56"/>
      <c r="XN404" s="242">
        <f t="shared" si="2937"/>
        <v>0</v>
      </c>
      <c r="XO404" s="242">
        <f t="shared" si="2938"/>
        <v>4252</v>
      </c>
      <c r="XP404" s="56"/>
      <c r="XS404" s="55">
        <f t="shared" si="2939"/>
        <v>46365</v>
      </c>
      <c r="XT404" s="56"/>
      <c r="XU404" s="242">
        <f>SUMPRODUCT(PRODUCE!$B397:$DY397,PRODUCE!$EB$57:$IY$57)</f>
        <v>0</v>
      </c>
      <c r="XV404" s="56"/>
      <c r="XW404" s="242">
        <f t="shared" si="2940"/>
        <v>0</v>
      </c>
      <c r="XX404" s="242">
        <f t="shared" si="2941"/>
        <v>2179</v>
      </c>
      <c r="XY404" s="56"/>
      <c r="YB404" s="55">
        <f t="shared" si="2942"/>
        <v>46365</v>
      </c>
      <c r="YC404" s="56"/>
      <c r="YD404" s="242">
        <f>SUMPRODUCT(PRODUCE!$B397:$DY397,PRODUCE!$EB$57:$IY$57)</f>
        <v>0</v>
      </c>
      <c r="YE404" s="56"/>
      <c r="YF404" s="242">
        <f t="shared" si="2943"/>
        <v>0</v>
      </c>
      <c r="YG404" s="242">
        <f t="shared" si="2944"/>
        <v>4019</v>
      </c>
      <c r="YH404" s="56"/>
      <c r="YK404" s="55">
        <f t="shared" si="2945"/>
        <v>46365</v>
      </c>
      <c r="YL404" s="56"/>
      <c r="YM404" s="242">
        <f>SUMPRODUCT(PRODUCE!$B397:$DY397,PRODUCE!$EB$57:$IY$57)</f>
        <v>0</v>
      </c>
      <c r="YN404" s="56"/>
      <c r="YO404" s="242">
        <f t="shared" si="2946"/>
        <v>0</v>
      </c>
      <c r="YP404" s="242">
        <f t="shared" si="2947"/>
        <v>-218</v>
      </c>
      <c r="YQ404" s="56"/>
      <c r="YT404" s="55">
        <f t="shared" si="2948"/>
        <v>46365</v>
      </c>
      <c r="YU404" s="56"/>
      <c r="YV404" s="242">
        <f>SUMPRODUCT(PRODUCE!$B397:$DY397,PRODUCE!$EB$57:$IY$57)</f>
        <v>0</v>
      </c>
      <c r="YW404" s="56"/>
      <c r="YX404" s="242">
        <f t="shared" si="2949"/>
        <v>0</v>
      </c>
      <c r="YY404" s="242">
        <f t="shared" si="2950"/>
        <v>0</v>
      </c>
      <c r="YZ404" s="56"/>
      <c r="ZC404" s="55">
        <f t="shared" si="2951"/>
        <v>46365</v>
      </c>
      <c r="ZD404" s="56"/>
      <c r="ZE404" s="242">
        <f>SUMPRODUCT(PRODUCE!$B397:$DY397,PRODUCE!$EB$57:$IY$57)</f>
        <v>0</v>
      </c>
      <c r="ZF404" s="56"/>
      <c r="ZG404" s="242">
        <f t="shared" si="2952"/>
        <v>0</v>
      </c>
      <c r="ZH404" s="242">
        <f t="shared" si="2953"/>
        <v>0</v>
      </c>
      <c r="ZI404" s="56"/>
      <c r="ZL404" s="55">
        <f t="shared" si="2954"/>
        <v>46365</v>
      </c>
      <c r="ZM404" s="56"/>
      <c r="ZN404" s="242">
        <f>SUMPRODUCT(PRODUCE!$B397:$DY397,PRODUCE!$EB$57:$IY$57)</f>
        <v>0</v>
      </c>
      <c r="ZO404" s="56"/>
      <c r="ZP404" s="242">
        <f t="shared" si="2955"/>
        <v>0</v>
      </c>
      <c r="ZQ404" s="242">
        <f t="shared" si="2956"/>
        <v>0</v>
      </c>
      <c r="ZR404" s="56"/>
      <c r="ZU404" s="55">
        <f t="shared" si="2957"/>
        <v>46365</v>
      </c>
      <c r="ZV404" s="56"/>
      <c r="ZW404" s="242">
        <f>SUMPRODUCT(PRODUCE!$B397:$DY397,PRODUCE!$EB$57:$IY$57)</f>
        <v>0</v>
      </c>
      <c r="ZX404" s="56"/>
      <c r="ZY404" s="242">
        <f t="shared" si="2958"/>
        <v>0</v>
      </c>
      <c r="ZZ404" s="242">
        <f t="shared" si="2959"/>
        <v>0</v>
      </c>
      <c r="AAA404" s="56"/>
      <c r="AAD404" s="55">
        <f t="shared" si="2960"/>
        <v>46365</v>
      </c>
      <c r="AAE404" s="56"/>
      <c r="AAF404" s="242">
        <f>SUMPRODUCT(PRODUCE!$B397:$DY397,PRODUCE!$EB$57:$IY$57)</f>
        <v>0</v>
      </c>
      <c r="AAG404" s="56"/>
      <c r="AAH404" s="242">
        <f t="shared" si="2961"/>
        <v>0</v>
      </c>
      <c r="AAI404" s="242">
        <f t="shared" si="2962"/>
        <v>0</v>
      </c>
      <c r="AAJ404" s="56"/>
      <c r="AAM404" s="55">
        <f t="shared" si="2963"/>
        <v>46365</v>
      </c>
      <c r="AAN404" s="56"/>
      <c r="AAO404" s="242">
        <f>SUMPRODUCT(PRODUCE!$B397:$DY397,PRODUCE!$EB$57:$IY$57)</f>
        <v>0</v>
      </c>
      <c r="AAP404" s="56"/>
      <c r="AAQ404" s="242">
        <f t="shared" si="2964"/>
        <v>0</v>
      </c>
      <c r="AAR404" s="242">
        <f t="shared" si="2965"/>
        <v>0</v>
      </c>
      <c r="AAS404" s="56"/>
      <c r="AAV404" s="55">
        <f t="shared" si="2966"/>
        <v>46365</v>
      </c>
      <c r="AAW404" s="56"/>
      <c r="AAX404" s="242">
        <f>SUMPRODUCT(PRODUCE!$B397:$DY397,PRODUCE!$EB$57:$IY$57)</f>
        <v>0</v>
      </c>
      <c r="AAY404" s="56"/>
      <c r="AAZ404" s="242">
        <f t="shared" si="2967"/>
        <v>0</v>
      </c>
      <c r="ABA404" s="242">
        <f t="shared" si="2968"/>
        <v>0</v>
      </c>
      <c r="ABB404" s="56"/>
      <c r="ABE404" s="55">
        <f t="shared" si="2969"/>
        <v>46365</v>
      </c>
      <c r="ABF404" s="56"/>
      <c r="ABG404" s="242">
        <f>SUMPRODUCT(PRODUCE!$B397:$DY397,PRODUCE!$EB$57:$IY$57)</f>
        <v>0</v>
      </c>
      <c r="ABH404" s="56"/>
      <c r="ABI404" s="242">
        <f t="shared" si="2970"/>
        <v>0</v>
      </c>
      <c r="ABJ404" s="242">
        <f t="shared" si="2971"/>
        <v>0</v>
      </c>
      <c r="ABK404" s="56"/>
    </row>
    <row r="405" spans="2:739" s="54" customFormat="1" ht="15" customHeight="1" outlineLevel="1">
      <c r="B405" s="478"/>
      <c r="C405" s="55">
        <v>46366</v>
      </c>
      <c r="D405" s="56"/>
      <c r="E405" s="57">
        <f>SUMPRODUCT(PRODUCE!$B398:$DY398,PRODUCE!$EB$7:$IY$7)</f>
        <v>0</v>
      </c>
      <c r="F405" s="56"/>
      <c r="G405" s="57">
        <f t="shared" si="2727"/>
        <v>0</v>
      </c>
      <c r="H405" s="57">
        <f t="shared" si="2728"/>
        <v>236936.6</v>
      </c>
      <c r="I405" s="289"/>
      <c r="L405" s="55">
        <f t="shared" si="2729"/>
        <v>46366</v>
      </c>
      <c r="M405" s="56"/>
      <c r="N405" s="59">
        <f>SUMPRODUCT(PRODUCE!$B398:$DY398,PRODUCE!$EB$8:$IY$8)</f>
        <v>0</v>
      </c>
      <c r="O405" s="56"/>
      <c r="P405" s="59">
        <f t="shared" si="2730"/>
        <v>0</v>
      </c>
      <c r="Q405" s="59">
        <f t="shared" si="2731"/>
        <v>53017.600000000071</v>
      </c>
      <c r="R405" s="56"/>
      <c r="U405" s="55">
        <f t="shared" si="2732"/>
        <v>46366</v>
      </c>
      <c r="V405" s="56"/>
      <c r="W405" s="60">
        <f>SUMPRODUCT(PRODUCE!$B398:$DY398,PRODUCE!$EB$9:$IY$9)</f>
        <v>0</v>
      </c>
      <c r="X405" s="56"/>
      <c r="Y405" s="60">
        <f t="shared" si="2733"/>
        <v>0</v>
      </c>
      <c r="Z405" s="60">
        <f t="shared" si="2734"/>
        <v>42674.199999999968</v>
      </c>
      <c r="AA405" s="56"/>
      <c r="AD405" s="55">
        <f t="shared" si="2735"/>
        <v>46366</v>
      </c>
      <c r="AE405" s="56"/>
      <c r="AF405" s="61">
        <f>SUMPRODUCT(PRODUCE!$B398:$DY398,PRODUCE!$EB$10:$IY$10)</f>
        <v>0</v>
      </c>
      <c r="AG405" s="56"/>
      <c r="AH405" s="61">
        <f t="shared" si="2736"/>
        <v>0</v>
      </c>
      <c r="AI405" s="61">
        <f t="shared" si="2737"/>
        <v>4522.2000000000189</v>
      </c>
      <c r="AJ405" s="56"/>
      <c r="AM405" s="55">
        <f t="shared" si="2738"/>
        <v>46366</v>
      </c>
      <c r="AN405" s="422"/>
      <c r="AO405" s="444">
        <f>SUMPRODUCT(PRODUCE!$B398:$DY398,PRODUCE!$EB$11:$IY$11)</f>
        <v>0</v>
      </c>
      <c r="AP405" s="422"/>
      <c r="AQ405" s="444">
        <f t="shared" si="2739"/>
        <v>0</v>
      </c>
      <c r="AR405" s="444">
        <f t="shared" si="2740"/>
        <v>0</v>
      </c>
      <c r="AS405" s="56"/>
      <c r="AV405" s="55">
        <f t="shared" si="2741"/>
        <v>46366</v>
      </c>
      <c r="AW405" s="56"/>
      <c r="AX405" s="62">
        <f>SUMPRODUCT(PRODUCE!$B398:$DY398,PRODUCE!$EB$12:$IY$12)</f>
        <v>0</v>
      </c>
      <c r="AY405" s="56"/>
      <c r="AZ405" s="62">
        <f t="shared" si="2742"/>
        <v>0</v>
      </c>
      <c r="BA405" s="62">
        <f t="shared" si="2743"/>
        <v>124.99999999999523</v>
      </c>
      <c r="BB405" s="56"/>
      <c r="BE405" s="55">
        <f t="shared" si="2744"/>
        <v>46366</v>
      </c>
      <c r="BF405" s="56"/>
      <c r="BG405" s="63">
        <f>SUMPRODUCT(PRODUCE!$B398:$DY398,PRODUCE!$EB$13:$IY$13)</f>
        <v>0</v>
      </c>
      <c r="BH405" s="56"/>
      <c r="BI405" s="63">
        <f t="shared" si="2745"/>
        <v>0</v>
      </c>
      <c r="BJ405" s="63">
        <f t="shared" si="2746"/>
        <v>26151.899999999998</v>
      </c>
      <c r="BK405" s="56"/>
      <c r="BN405" s="55">
        <f t="shared" si="2747"/>
        <v>46366</v>
      </c>
      <c r="BO405" s="56"/>
      <c r="BP405" s="64">
        <f>SUMPRODUCT(PRODUCE!$B398:$DY398,PRODUCE!$EB$14:$IY$14)</f>
        <v>0</v>
      </c>
      <c r="BQ405" s="56"/>
      <c r="BR405" s="64">
        <f t="shared" si="2748"/>
        <v>0</v>
      </c>
      <c r="BS405" s="64">
        <f t="shared" si="2749"/>
        <v>0</v>
      </c>
      <c r="BT405" s="56"/>
      <c r="BW405" s="55">
        <f t="shared" si="2750"/>
        <v>46366</v>
      </c>
      <c r="BX405" s="56"/>
      <c r="BY405" s="65">
        <f>SUMPRODUCT(PRODUCE!$B398:$DY398,PRODUCE!$EB$15:$IY$15)</f>
        <v>0</v>
      </c>
      <c r="BZ405" s="56"/>
      <c r="CA405" s="65">
        <f t="shared" si="2751"/>
        <v>0</v>
      </c>
      <c r="CB405" s="65">
        <f t="shared" si="2752"/>
        <v>2097.3399999999992</v>
      </c>
      <c r="CC405" s="56"/>
      <c r="CF405" s="55">
        <f t="shared" si="2753"/>
        <v>46366</v>
      </c>
      <c r="CG405" s="56"/>
      <c r="CH405" s="66">
        <f>SUMPRODUCT(PRODUCE!$B398:$DY398,PRODUCE!$EB$16:$IY$16)</f>
        <v>0</v>
      </c>
      <c r="CI405" s="56"/>
      <c r="CJ405" s="66">
        <f t="shared" si="2754"/>
        <v>0</v>
      </c>
      <c r="CK405" s="66">
        <f t="shared" si="2755"/>
        <v>-10277.079999999998</v>
      </c>
      <c r="CL405" s="56"/>
      <c r="CO405" s="55">
        <f t="shared" si="2756"/>
        <v>46366</v>
      </c>
      <c r="CP405" s="422"/>
      <c r="CQ405" s="470">
        <f>SUMPRODUCT(PRODUCE!$B398:$DY398,PRODUCE!$EB$17:$IY$17)</f>
        <v>0</v>
      </c>
      <c r="CR405" s="422"/>
      <c r="CS405" s="470">
        <f t="shared" si="2757"/>
        <v>0</v>
      </c>
      <c r="CT405" s="470">
        <f t="shared" si="2758"/>
        <v>0</v>
      </c>
      <c r="CU405" s="56"/>
      <c r="CX405" s="55">
        <f t="shared" si="2759"/>
        <v>46366</v>
      </c>
      <c r="CY405" s="56"/>
      <c r="CZ405" s="133">
        <f>SUMPRODUCT(PRODUCE!$B398:$DY398,PRODUCE!$EB$18:$IY$18)</f>
        <v>0</v>
      </c>
      <c r="DA405" s="56"/>
      <c r="DB405" s="133">
        <f t="shared" si="2760"/>
        <v>0</v>
      </c>
      <c r="DC405" s="133">
        <f t="shared" si="2761"/>
        <v>27438.200000000012</v>
      </c>
      <c r="DD405" s="56"/>
      <c r="DG405" s="55">
        <f t="shared" si="2762"/>
        <v>46366</v>
      </c>
      <c r="DH405" s="56"/>
      <c r="DI405" s="147">
        <f>SUMPRODUCT(PRODUCE!$B398:$DY398,PRODUCE!$EB$19:$IY$19)</f>
        <v>0</v>
      </c>
      <c r="DJ405" s="56"/>
      <c r="DK405" s="147">
        <f t="shared" si="2763"/>
        <v>0</v>
      </c>
      <c r="DL405" s="147">
        <f t="shared" si="2764"/>
        <v>18782.299999999981</v>
      </c>
      <c r="DM405" s="56"/>
      <c r="DP405" s="55">
        <f t="shared" si="2765"/>
        <v>46366</v>
      </c>
      <c r="DQ405" s="56"/>
      <c r="DR405" s="57">
        <f>SUMPRODUCT(PRODUCE!$B398:$DY398,PRODUCE!$EB$20:$IY$20)</f>
        <v>0</v>
      </c>
      <c r="DS405" s="56"/>
      <c r="DT405" s="57">
        <f t="shared" si="2766"/>
        <v>0</v>
      </c>
      <c r="DU405" s="57">
        <f t="shared" si="2767"/>
        <v>5800</v>
      </c>
      <c r="DV405" s="56"/>
      <c r="DY405" s="55">
        <f t="shared" si="2768"/>
        <v>46366</v>
      </c>
      <c r="DZ405" s="56"/>
      <c r="EA405" s="157">
        <f>SUMPRODUCT(PRODUCE!$B398:$DY398,PRODUCE!$EB$21:$IY$21)</f>
        <v>0</v>
      </c>
      <c r="EB405" s="56"/>
      <c r="EC405" s="157">
        <f t="shared" si="2769"/>
        <v>0</v>
      </c>
      <c r="ED405" s="157">
        <f t="shared" si="2770"/>
        <v>0</v>
      </c>
      <c r="EE405" s="56"/>
      <c r="EH405" s="55">
        <f t="shared" si="2771"/>
        <v>46366</v>
      </c>
      <c r="EI405" s="56"/>
      <c r="EJ405" s="162">
        <f>SUMPRODUCT(PRODUCE!$B398:$DY398,PRODUCE!$EB$22:$IY$22)</f>
        <v>0</v>
      </c>
      <c r="EK405" s="56"/>
      <c r="EL405" s="162">
        <f t="shared" si="2772"/>
        <v>0</v>
      </c>
      <c r="EM405" s="162">
        <f t="shared" si="2773"/>
        <v>0</v>
      </c>
      <c r="EN405" s="56"/>
      <c r="EQ405" s="55">
        <f t="shared" si="2774"/>
        <v>46366</v>
      </c>
      <c r="ER405" s="56"/>
      <c r="ES405" s="135">
        <f>SUMPRODUCT(PRODUCE!$B398:$DY398,PRODUCE!$EB$23:$IY$23)</f>
        <v>0</v>
      </c>
      <c r="ET405" s="56"/>
      <c r="EU405" s="135">
        <f t="shared" si="2775"/>
        <v>0</v>
      </c>
      <c r="EV405" s="135">
        <f t="shared" si="2776"/>
        <v>0</v>
      </c>
      <c r="EW405" s="56"/>
      <c r="EZ405" s="55">
        <f t="shared" si="2777"/>
        <v>46366</v>
      </c>
      <c r="FA405" s="56"/>
      <c r="FB405" s="175">
        <f>SUMPRODUCT(PRODUCE!$B398:$DY398,PRODUCE!$EB$24:$IY$24)</f>
        <v>0</v>
      </c>
      <c r="FC405" s="56"/>
      <c r="FD405" s="175">
        <f t="shared" si="2778"/>
        <v>0</v>
      </c>
      <c r="FE405" s="175">
        <f t="shared" si="2779"/>
        <v>0</v>
      </c>
      <c r="FF405" s="56"/>
      <c r="FI405" s="55">
        <f t="shared" si="2780"/>
        <v>46366</v>
      </c>
      <c r="FJ405" s="56"/>
      <c r="FK405" s="183">
        <f>SUMPRODUCT(PRODUCE!$B398:$DY398,PRODUCE!$EB$25:$IY$25)</f>
        <v>0</v>
      </c>
      <c r="FL405" s="56"/>
      <c r="FM405" s="183">
        <f t="shared" si="2781"/>
        <v>0</v>
      </c>
      <c r="FN405" s="183">
        <f t="shared" si="2782"/>
        <v>0</v>
      </c>
      <c r="FO405" s="56"/>
      <c r="FR405" s="55">
        <f t="shared" si="2783"/>
        <v>46366</v>
      </c>
      <c r="FS405" s="56"/>
      <c r="FT405" s="186">
        <f>SUMPRODUCT(PRODUCE!$B398:$DY398,PRODUCE!$EB$26:$IY$26)</f>
        <v>0</v>
      </c>
      <c r="FU405" s="56"/>
      <c r="FV405" s="186">
        <f t="shared" si="2784"/>
        <v>0</v>
      </c>
      <c r="FW405" s="186">
        <f t="shared" si="2785"/>
        <v>2020</v>
      </c>
      <c r="FX405" s="56"/>
      <c r="GA405" s="55">
        <f t="shared" si="2786"/>
        <v>46366</v>
      </c>
      <c r="GB405" s="56"/>
      <c r="GC405" s="137">
        <f>SUMPRODUCT(PRODUCE!$B398:$DY398,PRODUCE!$EB$27:$IY$27)</f>
        <v>0</v>
      </c>
      <c r="GD405" s="56"/>
      <c r="GE405" s="137">
        <f t="shared" si="2787"/>
        <v>0</v>
      </c>
      <c r="GF405" s="137">
        <f t="shared" si="2788"/>
        <v>960</v>
      </c>
      <c r="GG405" s="56"/>
      <c r="GI405" s="23"/>
      <c r="GJ405" s="55">
        <f t="shared" si="2789"/>
        <v>46366</v>
      </c>
      <c r="GK405" s="56"/>
      <c r="GL405" s="199">
        <f>SUMPRODUCT(PRODUCE!$B398:$DY398,PRODUCE!$EB$28:$IY$28)</f>
        <v>0</v>
      </c>
      <c r="GM405" s="56"/>
      <c r="GN405" s="199">
        <f t="shared" si="2790"/>
        <v>0</v>
      </c>
      <c r="GO405" s="199">
        <f t="shared" si="2791"/>
        <v>1760</v>
      </c>
      <c r="GP405" s="56"/>
      <c r="GS405" s="55">
        <f t="shared" si="2792"/>
        <v>46366</v>
      </c>
      <c r="GT405" s="56"/>
      <c r="GU405" s="195">
        <f>SUMPRODUCT(PRODUCE!$B398:$DY398,PRODUCE!$EB$29:$IY$29)</f>
        <v>0</v>
      </c>
      <c r="GV405" s="56"/>
      <c r="GW405" s="195">
        <f t="shared" si="2793"/>
        <v>0</v>
      </c>
      <c r="GX405" s="195">
        <f t="shared" si="2794"/>
        <v>400</v>
      </c>
      <c r="GY405" s="56"/>
      <c r="HB405" s="55">
        <f t="shared" si="2795"/>
        <v>46366</v>
      </c>
      <c r="HC405" s="56"/>
      <c r="HD405" s="191">
        <f>SUMPRODUCT(PRODUCE!$B398:$DY398,PRODUCE!$EB$30:$IY$30)</f>
        <v>0</v>
      </c>
      <c r="HE405" s="56"/>
      <c r="HF405" s="191">
        <f t="shared" si="2796"/>
        <v>0</v>
      </c>
      <c r="HG405" s="191">
        <f t="shared" si="2797"/>
        <v>3600</v>
      </c>
      <c r="HH405" s="56"/>
      <c r="HK405" s="55">
        <f t="shared" si="2798"/>
        <v>46366</v>
      </c>
      <c r="HL405" s="56"/>
      <c r="HM405" s="63">
        <f>SUMPRODUCT(PRODUCE!$B398:$DY398,PRODUCE!$EB$31:$IY$31)</f>
        <v>0</v>
      </c>
      <c r="HN405" s="56"/>
      <c r="HO405" s="63">
        <f t="shared" si="2799"/>
        <v>0</v>
      </c>
      <c r="HP405" s="63">
        <f t="shared" si="2800"/>
        <v>0</v>
      </c>
      <c r="HQ405" s="56"/>
      <c r="HU405" s="55">
        <f t="shared" si="2801"/>
        <v>46366</v>
      </c>
      <c r="HV405" s="56"/>
      <c r="HW405" s="242">
        <f>SUMPRODUCT(PRODUCE!$B398:$DY398,PRODUCE!$EB$32:$IY$32)</f>
        <v>0</v>
      </c>
      <c r="HX405" s="56"/>
      <c r="HY405" s="242">
        <f t="shared" si="2802"/>
        <v>0</v>
      </c>
      <c r="HZ405" s="242">
        <f t="shared" si="2803"/>
        <v>6120</v>
      </c>
      <c r="IA405" s="56"/>
      <c r="ID405" s="55">
        <f t="shared" si="2804"/>
        <v>46366</v>
      </c>
      <c r="IE405" s="56"/>
      <c r="IF405" s="242">
        <f>SUMPRODUCT(PRODUCE!$B398:$DY398,PRODUCE!$EB$33:$IY$33)</f>
        <v>0</v>
      </c>
      <c r="IG405" s="56"/>
      <c r="IH405" s="242">
        <f t="shared" si="2805"/>
        <v>0</v>
      </c>
      <c r="II405" s="242">
        <f t="shared" si="2806"/>
        <v>0</v>
      </c>
      <c r="IJ405" s="56"/>
      <c r="IM405" s="55">
        <f t="shared" si="2807"/>
        <v>46366</v>
      </c>
      <c r="IN405" s="56"/>
      <c r="IO405" s="242">
        <f>SUMPRODUCT(PRODUCE!$B398:$DY398,PRODUCE!$EB$34:$IY$34)</f>
        <v>0</v>
      </c>
      <c r="IP405" s="56"/>
      <c r="IQ405" s="242">
        <f t="shared" si="2808"/>
        <v>0</v>
      </c>
      <c r="IR405" s="242">
        <f t="shared" si="2809"/>
        <v>0</v>
      </c>
      <c r="IS405" s="56"/>
      <c r="IV405" s="55">
        <f t="shared" si="2810"/>
        <v>46366</v>
      </c>
      <c r="IW405" s="56"/>
      <c r="IX405" s="242">
        <f>SUMPRODUCT(PRODUCE!$B398:$DY398,PRODUCE!$EB$35:$IY$35)</f>
        <v>0</v>
      </c>
      <c r="IY405" s="56"/>
      <c r="IZ405" s="242">
        <f t="shared" si="2811"/>
        <v>0</v>
      </c>
      <c r="JA405" s="242">
        <f t="shared" si="2812"/>
        <v>2820</v>
      </c>
      <c r="JB405" s="56"/>
      <c r="JE405" s="55">
        <f t="shared" si="2813"/>
        <v>46366</v>
      </c>
      <c r="JF405" s="56"/>
      <c r="JG405" s="242">
        <f>SUMPRODUCT(PRODUCE!$B398:$DY398,PRODUCE!$EB$36:$IY$36)</f>
        <v>0</v>
      </c>
      <c r="JH405" s="56"/>
      <c r="JI405" s="242">
        <f t="shared" si="2814"/>
        <v>0</v>
      </c>
      <c r="JJ405" s="242">
        <f t="shared" si="2815"/>
        <v>0</v>
      </c>
      <c r="JK405" s="56"/>
      <c r="JN405" s="55">
        <f t="shared" si="2816"/>
        <v>46366</v>
      </c>
      <c r="JO405" s="56"/>
      <c r="JP405" s="242">
        <f>SUMPRODUCT(PRODUCE!$B398:$DY398,PRODUCE!$EB$37:$IY$37)</f>
        <v>0</v>
      </c>
      <c r="JQ405" s="56"/>
      <c r="JR405" s="242">
        <f t="shared" si="2817"/>
        <v>0</v>
      </c>
      <c r="JS405" s="242">
        <f t="shared" si="2818"/>
        <v>0</v>
      </c>
      <c r="JT405" s="56"/>
      <c r="JW405" s="55">
        <f t="shared" si="2819"/>
        <v>46366</v>
      </c>
      <c r="JX405" s="56"/>
      <c r="JY405" s="242">
        <f>SUMPRODUCT(PRODUCE!$B398:$DY398,PRODUCE!$EB$38:$IY$38)</f>
        <v>0</v>
      </c>
      <c r="JZ405" s="56"/>
      <c r="KA405" s="242">
        <f t="shared" si="2820"/>
        <v>0</v>
      </c>
      <c r="KB405" s="242">
        <f t="shared" si="2821"/>
        <v>2540</v>
      </c>
      <c r="KC405" s="56"/>
      <c r="KF405" s="55">
        <f t="shared" si="2822"/>
        <v>46366</v>
      </c>
      <c r="KG405" s="56"/>
      <c r="KH405" s="242">
        <f>SUMPRODUCT(PRODUCE!$B398:$DY398,PRODUCE!$EB$39:$IY$39)</f>
        <v>0</v>
      </c>
      <c r="KI405" s="56"/>
      <c r="KJ405" s="242">
        <f t="shared" si="2823"/>
        <v>0</v>
      </c>
      <c r="KK405" s="242">
        <f t="shared" si="2824"/>
        <v>2359.5</v>
      </c>
      <c r="KL405" s="56"/>
      <c r="KO405" s="55">
        <f t="shared" si="2825"/>
        <v>46366</v>
      </c>
      <c r="KP405" s="56"/>
      <c r="KQ405" s="242">
        <f>SUMPRODUCT(PRODUCE!$B398:$DY398,PRODUCE!$EB$40:$IY$40)</f>
        <v>0</v>
      </c>
      <c r="KR405" s="56"/>
      <c r="KS405" s="242">
        <f t="shared" si="2826"/>
        <v>0</v>
      </c>
      <c r="KT405" s="242">
        <f t="shared" si="2827"/>
        <v>1890</v>
      </c>
      <c r="KU405" s="56"/>
      <c r="KW405" s="23"/>
      <c r="KX405" s="55">
        <f t="shared" si="2828"/>
        <v>46366</v>
      </c>
      <c r="KY405" s="56"/>
      <c r="KZ405" s="242">
        <f>SUMPRODUCT(PRODUCE!$B398:$DY398,PRODUCE!$EB$41:$IY$41)</f>
        <v>0</v>
      </c>
      <c r="LA405" s="56"/>
      <c r="LB405" s="242">
        <f t="shared" si="2829"/>
        <v>0</v>
      </c>
      <c r="LC405" s="242">
        <f t="shared" si="2830"/>
        <v>3690</v>
      </c>
      <c r="LD405" s="56"/>
      <c r="LG405" s="55">
        <f t="shared" si="2831"/>
        <v>46366</v>
      </c>
      <c r="LH405" s="56"/>
      <c r="LI405" s="242">
        <f>SUMPRODUCT(PRODUCE!$B398:$DY398,PRODUCE!$EB$42:$IY$42)</f>
        <v>0</v>
      </c>
      <c r="LJ405" s="56"/>
      <c r="LK405" s="242">
        <f t="shared" si="2832"/>
        <v>0</v>
      </c>
      <c r="LL405" s="242">
        <f t="shared" si="2833"/>
        <v>4000</v>
      </c>
      <c r="LM405" s="56"/>
      <c r="LP405" s="55">
        <f t="shared" si="2834"/>
        <v>46366</v>
      </c>
      <c r="LQ405" s="56"/>
      <c r="LR405" s="242">
        <f>SUMPRODUCT(PRODUCE!$B420:$DY420,PRODUCE!$EB$43:$IY$43)</f>
        <v>0</v>
      </c>
      <c r="LS405" s="56"/>
      <c r="LT405" s="242">
        <f t="shared" si="2835"/>
        <v>0</v>
      </c>
      <c r="LU405" s="242">
        <f t="shared" si="2836"/>
        <v>0</v>
      </c>
      <c r="LV405" s="56"/>
      <c r="LY405" s="55">
        <f t="shared" si="2837"/>
        <v>46366</v>
      </c>
      <c r="LZ405" s="56"/>
      <c r="MA405" s="242">
        <f>SUMPRODUCT(PRODUCE!$B398:$DY398,PRODUCE!$EB$44:$IY$44)</f>
        <v>0</v>
      </c>
      <c r="MB405" s="56"/>
      <c r="MC405" s="242">
        <f t="shared" si="2838"/>
        <v>0</v>
      </c>
      <c r="MD405" s="242">
        <f t="shared" si="2839"/>
        <v>0</v>
      </c>
      <c r="ME405" s="56"/>
      <c r="MH405" s="55">
        <f t="shared" si="2840"/>
        <v>46366</v>
      </c>
      <c r="MI405" s="56"/>
      <c r="MJ405" s="242">
        <f>SUMPRODUCT(PRODUCE!$B398:$DY398,PRODUCE!$EB$45:$IY$45)</f>
        <v>0</v>
      </c>
      <c r="MK405" s="56"/>
      <c r="ML405" s="242">
        <f t="shared" si="2841"/>
        <v>0</v>
      </c>
      <c r="MM405" s="242">
        <f t="shared" si="2842"/>
        <v>-18</v>
      </c>
      <c r="MN405" s="56"/>
      <c r="MQ405" s="55">
        <f t="shared" si="2843"/>
        <v>46366</v>
      </c>
      <c r="MR405" s="56"/>
      <c r="MS405" s="242">
        <f>SUMPRODUCT(PRODUCE!$B398:$DY398,PRODUCE!$EB$46:$IY$46)</f>
        <v>0</v>
      </c>
      <c r="MT405" s="56"/>
      <c r="MU405" s="242">
        <f t="shared" si="2844"/>
        <v>0</v>
      </c>
      <c r="MV405" s="242">
        <f t="shared" si="2845"/>
        <v>1595</v>
      </c>
      <c r="MW405" s="56"/>
      <c r="MZ405" s="55">
        <f t="shared" si="2846"/>
        <v>46366</v>
      </c>
      <c r="NA405" s="56"/>
      <c r="NB405" s="242">
        <f>SUMPRODUCT(PRODUCE!$B398:$DY398,PRODUCE!$EB$47:$IY$47)</f>
        <v>0</v>
      </c>
      <c r="NC405" s="56"/>
      <c r="ND405" s="242">
        <f t="shared" si="2847"/>
        <v>0</v>
      </c>
      <c r="NE405" s="242">
        <f t="shared" si="2848"/>
        <v>0</v>
      </c>
      <c r="NF405" s="56"/>
      <c r="NI405" s="55">
        <f t="shared" si="2849"/>
        <v>46366</v>
      </c>
      <c r="NJ405" s="56"/>
      <c r="NK405" s="242">
        <f>SUMPRODUCT(PRODUCE!$B398:$DY398,PRODUCE!$EB$48:$IY$48)</f>
        <v>0</v>
      </c>
      <c r="NL405" s="56"/>
      <c r="NM405" s="242">
        <f t="shared" si="2850"/>
        <v>0</v>
      </c>
      <c r="NN405" s="242">
        <f t="shared" si="2851"/>
        <v>1127</v>
      </c>
      <c r="NO405" s="56"/>
      <c r="NR405" s="55">
        <f t="shared" si="2852"/>
        <v>46366</v>
      </c>
      <c r="NS405" s="56"/>
      <c r="NT405" s="242">
        <f>SUMPRODUCT(PRODUCE!$B398:$DY398,PRODUCE!$EB$49:$IY$49)</f>
        <v>0</v>
      </c>
      <c r="NU405" s="56"/>
      <c r="NV405" s="242">
        <f t="shared" si="2853"/>
        <v>0</v>
      </c>
      <c r="NW405" s="242">
        <f t="shared" si="2854"/>
        <v>3111.9999999999995</v>
      </c>
      <c r="NX405" s="56"/>
      <c r="OA405" s="55">
        <f t="shared" si="2855"/>
        <v>46366</v>
      </c>
      <c r="OB405" s="56"/>
      <c r="OC405" s="242">
        <f>SUMPRODUCT(PRODUCE!$B398:$DY398,PRODUCE!$EB$50:$IY$50)</f>
        <v>0</v>
      </c>
      <c r="OD405" s="56"/>
      <c r="OE405" s="242">
        <f t="shared" si="2856"/>
        <v>0</v>
      </c>
      <c r="OF405" s="242">
        <f t="shared" si="2857"/>
        <v>1680.5</v>
      </c>
      <c r="OG405" s="56"/>
      <c r="OJ405" s="55">
        <f t="shared" si="2858"/>
        <v>46366</v>
      </c>
      <c r="OK405" s="56"/>
      <c r="OL405" s="242">
        <f>SUMPRODUCT(PRODUCE!$B398:$DY398,PRODUCE!$EB$51:$IY$51)</f>
        <v>0</v>
      </c>
      <c r="OM405" s="56"/>
      <c r="ON405" s="242">
        <f t="shared" si="2859"/>
        <v>0</v>
      </c>
      <c r="OO405" s="242">
        <f t="shared" si="2860"/>
        <v>0</v>
      </c>
      <c r="OP405" s="56"/>
      <c r="OS405" s="55">
        <f t="shared" si="2861"/>
        <v>46366</v>
      </c>
      <c r="OT405" s="56"/>
      <c r="OU405" s="242">
        <f>SUMPRODUCT(PRODUCE!$B398:$DY398,PRODUCE!$EB$52:$IY$52)</f>
        <v>0</v>
      </c>
      <c r="OV405" s="56"/>
      <c r="OW405" s="242">
        <f t="shared" si="2862"/>
        <v>0</v>
      </c>
      <c r="OX405" s="242">
        <f t="shared" si="2863"/>
        <v>1482</v>
      </c>
      <c r="OY405" s="56"/>
      <c r="PB405" s="55">
        <f t="shared" si="2864"/>
        <v>46366</v>
      </c>
      <c r="PC405" s="56"/>
      <c r="PD405" s="242">
        <f>SUMPRODUCT(PRODUCE!$B398:$DY398,PRODUCE!$EB$53:$IY$53)</f>
        <v>0</v>
      </c>
      <c r="PE405" s="56"/>
      <c r="PF405" s="242">
        <f t="shared" si="2865"/>
        <v>0</v>
      </c>
      <c r="PG405" s="242">
        <f t="shared" si="2866"/>
        <v>0</v>
      </c>
      <c r="PH405" s="56"/>
      <c r="PK405" s="55">
        <f t="shared" si="2867"/>
        <v>46366</v>
      </c>
      <c r="PL405" s="56"/>
      <c r="PM405" s="242">
        <f>SUMPRODUCT(PRODUCE!$B398:$DY398,PRODUCE!$EB$54:$IY$54)</f>
        <v>0</v>
      </c>
      <c r="PN405" s="56"/>
      <c r="PO405" s="242">
        <f t="shared" si="2868"/>
        <v>0</v>
      </c>
      <c r="PP405" s="242">
        <f t="shared" si="2869"/>
        <v>100</v>
      </c>
      <c r="PQ405" s="56"/>
      <c r="PT405" s="55">
        <f t="shared" si="2870"/>
        <v>46366</v>
      </c>
      <c r="PU405" s="56"/>
      <c r="PV405" s="242">
        <f>SUMPRODUCT(PRODUCE!$B398:$DY398,PRODUCE!$EB$55:$IY$55)</f>
        <v>0</v>
      </c>
      <c r="PW405" s="56"/>
      <c r="PX405" s="242">
        <f t="shared" si="2871"/>
        <v>0</v>
      </c>
      <c r="PY405" s="242">
        <f t="shared" si="2872"/>
        <v>13.960000000000036</v>
      </c>
      <c r="PZ405" s="56"/>
      <c r="QC405" s="55">
        <f t="shared" si="2873"/>
        <v>46366</v>
      </c>
      <c r="QD405" s="56"/>
      <c r="QE405" s="242">
        <f>SUMPRODUCT(PRODUCE!$B398:$DY398,PRODUCE!$EB$56:$IY$56)</f>
        <v>0</v>
      </c>
      <c r="QF405" s="56"/>
      <c r="QG405" s="242">
        <f t="shared" si="2874"/>
        <v>0</v>
      </c>
      <c r="QH405" s="242">
        <f t="shared" si="2875"/>
        <v>548</v>
      </c>
      <c r="QI405" s="56"/>
      <c r="QL405" s="55">
        <f t="shared" si="2876"/>
        <v>46366</v>
      </c>
      <c r="QM405" s="56"/>
      <c r="QN405" s="242">
        <f>SUMPRODUCT(PRODUCE!$B398:$DY398,PRODUCE!$EB$57:$IY$57)</f>
        <v>0</v>
      </c>
      <c r="QO405" s="56"/>
      <c r="QP405" s="242">
        <f t="shared" si="2877"/>
        <v>0</v>
      </c>
      <c r="QQ405" s="242">
        <f t="shared" si="2878"/>
        <v>0</v>
      </c>
      <c r="QR405" s="56"/>
      <c r="QU405" s="55">
        <f t="shared" si="2879"/>
        <v>46366</v>
      </c>
      <c r="QV405" s="56"/>
      <c r="QW405" s="242">
        <f>SUMPRODUCT(PRODUCE!$B398:$DY398,PRODUCE!$EB$57:$IY$57)</f>
        <v>0</v>
      </c>
      <c r="QX405" s="56"/>
      <c r="QY405" s="242">
        <f t="shared" si="2880"/>
        <v>0</v>
      </c>
      <c r="QZ405" s="242">
        <f t="shared" si="2881"/>
        <v>0</v>
      </c>
      <c r="RA405" s="56"/>
      <c r="RD405" s="55">
        <f t="shared" si="2882"/>
        <v>46366</v>
      </c>
      <c r="RE405" s="56"/>
      <c r="RF405" s="242">
        <f>SUMPRODUCT(PRODUCE!$B398:$DY398,PRODUCE!$EB$58:$IY$58)</f>
        <v>0</v>
      </c>
      <c r="RG405" s="56"/>
      <c r="RH405" s="242">
        <f t="shared" si="2883"/>
        <v>0</v>
      </c>
      <c r="RI405" s="242">
        <f t="shared" si="2884"/>
        <v>147.04000000000002</v>
      </c>
      <c r="RJ405" s="56"/>
      <c r="RM405" s="55">
        <f t="shared" si="2885"/>
        <v>46366</v>
      </c>
      <c r="RN405" s="56"/>
      <c r="RO405" s="242">
        <f>SUMPRODUCT(PRODUCE!$B398:$DY398,PRODUCE!$EB$57:$IY$57)</f>
        <v>0</v>
      </c>
      <c r="RP405" s="56"/>
      <c r="RQ405" s="242">
        <f t="shared" si="2886"/>
        <v>0</v>
      </c>
      <c r="RR405" s="242">
        <f t="shared" si="2887"/>
        <v>46.8</v>
      </c>
      <c r="RS405" s="56"/>
      <c r="RV405" s="55">
        <f t="shared" si="2888"/>
        <v>46366</v>
      </c>
      <c r="RW405" s="56"/>
      <c r="RX405" s="242">
        <f>SUMPRODUCT(PRODUCE!$B398:$DY398,PRODUCE!$EB$57:$IY$57)</f>
        <v>0</v>
      </c>
      <c r="RY405" s="56"/>
      <c r="RZ405" s="242">
        <f t="shared" si="2889"/>
        <v>0</v>
      </c>
      <c r="SA405" s="242">
        <f t="shared" si="2890"/>
        <v>0</v>
      </c>
      <c r="SB405" s="56"/>
      <c r="SE405" s="55">
        <f t="shared" si="2891"/>
        <v>46366</v>
      </c>
      <c r="SF405" s="56"/>
      <c r="SG405" s="242">
        <f>SUMPRODUCT(PRODUCE!$B398:$DY398,PRODUCE!$EB$61:$IY$61)</f>
        <v>0</v>
      </c>
      <c r="SH405" s="56"/>
      <c r="SI405" s="242">
        <f t="shared" si="2892"/>
        <v>0</v>
      </c>
      <c r="SJ405" s="242">
        <f t="shared" si="2893"/>
        <v>24.200000000000003</v>
      </c>
      <c r="SK405" s="56"/>
      <c r="SN405" s="55">
        <f t="shared" si="2894"/>
        <v>46366</v>
      </c>
      <c r="SO405" s="56"/>
      <c r="SP405" s="242">
        <f>SUMPRODUCT(PRODUCE!$B398:$DY398,PRODUCE!$EB$57:$IY$57)</f>
        <v>0</v>
      </c>
      <c r="SQ405" s="56"/>
      <c r="SR405" s="242">
        <f t="shared" si="2895"/>
        <v>0</v>
      </c>
      <c r="SS405" s="242">
        <f t="shared" si="2896"/>
        <v>32</v>
      </c>
      <c r="ST405" s="56"/>
      <c r="SW405" s="55">
        <f t="shared" si="2897"/>
        <v>46366</v>
      </c>
      <c r="SX405" s="56"/>
      <c r="SY405" s="242">
        <f>SUMPRODUCT(PRODUCE!$B398:$DY398,PRODUCE!$EB$57:$IY$57)</f>
        <v>0</v>
      </c>
      <c r="SZ405" s="56"/>
      <c r="TA405" s="242">
        <f t="shared" si="2898"/>
        <v>0</v>
      </c>
      <c r="TB405" s="242">
        <f t="shared" si="2899"/>
        <v>0</v>
      </c>
      <c r="TC405" s="56"/>
      <c r="TF405" s="55">
        <f t="shared" si="2900"/>
        <v>46366</v>
      </c>
      <c r="TG405" s="56"/>
      <c r="TH405" s="242">
        <f>SUMPRODUCT(PRODUCE!$B398:$DY398,PRODUCE!$EB$57:$IY$57)</f>
        <v>0</v>
      </c>
      <c r="TI405" s="56"/>
      <c r="TJ405" s="242">
        <f t="shared" si="2901"/>
        <v>0</v>
      </c>
      <c r="TK405" s="242">
        <f t="shared" si="2902"/>
        <v>0</v>
      </c>
      <c r="TL405" s="56"/>
      <c r="TO405" s="55">
        <f t="shared" si="2903"/>
        <v>46366</v>
      </c>
      <c r="TP405" s="56"/>
      <c r="TQ405" s="242">
        <f>SUMPRODUCT(PRODUCE!$B398:$DY398,PRODUCE!$EB$57:$IY$57)</f>
        <v>0</v>
      </c>
      <c r="TR405" s="56"/>
      <c r="TS405" s="242">
        <f t="shared" si="2904"/>
        <v>0</v>
      </c>
      <c r="TT405" s="242">
        <f t="shared" si="2905"/>
        <v>0</v>
      </c>
      <c r="TU405" s="56"/>
      <c r="TX405" s="55">
        <f t="shared" si="2906"/>
        <v>46366</v>
      </c>
      <c r="TY405" s="56"/>
      <c r="TZ405" s="242">
        <f>SUMPRODUCT(PRODUCE!$B398:$DY398,PRODUCE!$EB$57:$IY$57)</f>
        <v>0</v>
      </c>
      <c r="UA405" s="56"/>
      <c r="UB405" s="242">
        <f t="shared" si="2907"/>
        <v>0</v>
      </c>
      <c r="UC405" s="242">
        <f t="shared" si="2908"/>
        <v>46.799999999999983</v>
      </c>
      <c r="UD405" s="56"/>
      <c r="UG405" s="55">
        <f t="shared" si="2909"/>
        <v>46366</v>
      </c>
      <c r="UH405" s="56"/>
      <c r="UI405" s="242">
        <f>SUMPRODUCT(PRODUCE!$B398:$DY398,PRODUCE!$EB$57:$IY$57)</f>
        <v>0</v>
      </c>
      <c r="UJ405" s="56"/>
      <c r="UK405" s="242">
        <f t="shared" si="2910"/>
        <v>0</v>
      </c>
      <c r="UL405" s="242">
        <f t="shared" si="2911"/>
        <v>204</v>
      </c>
      <c r="UM405" s="56"/>
      <c r="UP405" s="55">
        <f t="shared" si="2912"/>
        <v>46366</v>
      </c>
      <c r="UQ405" s="56"/>
      <c r="UR405" s="242">
        <f>SUMPRODUCT(PRODUCE!$B398:$DY398,PRODUCE!$EB$57:$IY$57)</f>
        <v>0</v>
      </c>
      <c r="US405" s="56"/>
      <c r="UT405" s="242">
        <f t="shared" si="2913"/>
        <v>0</v>
      </c>
      <c r="UU405" s="242">
        <f t="shared" si="2914"/>
        <v>202.5</v>
      </c>
      <c r="UV405" s="56"/>
      <c r="UY405" s="55">
        <f t="shared" si="2915"/>
        <v>46366</v>
      </c>
      <c r="UZ405" s="56"/>
      <c r="VA405" s="242">
        <f>SUMPRODUCT(PRODUCE!$B398:$DY398,PRODUCE!$EB$57:$IY$57)</f>
        <v>0</v>
      </c>
      <c r="VB405" s="56"/>
      <c r="VC405" s="242">
        <f t="shared" si="2916"/>
        <v>0</v>
      </c>
      <c r="VD405" s="242">
        <f t="shared" si="2917"/>
        <v>41.600000000000023</v>
      </c>
      <c r="VE405" s="56"/>
      <c r="VH405" s="55">
        <f t="shared" si="2918"/>
        <v>46366</v>
      </c>
      <c r="VI405" s="56"/>
      <c r="VJ405" s="242">
        <f>SUMPRODUCT(PRODUCE!$B398:$DY398,PRODUCE!$EB$57:$IY$57)</f>
        <v>0</v>
      </c>
      <c r="VK405" s="56"/>
      <c r="VL405" s="242">
        <f t="shared" si="2919"/>
        <v>0</v>
      </c>
      <c r="VM405" s="242">
        <f t="shared" si="2920"/>
        <v>210</v>
      </c>
      <c r="VN405" s="56"/>
      <c r="VQ405" s="55">
        <f t="shared" si="2921"/>
        <v>46366</v>
      </c>
      <c r="VR405" s="56"/>
      <c r="VS405" s="242">
        <f>SUMPRODUCT(PRODUCE!$B398:$DY398,PRODUCE!$EB$57:$IY$57)</f>
        <v>0</v>
      </c>
      <c r="VT405" s="56"/>
      <c r="VU405" s="242">
        <f t="shared" si="2922"/>
        <v>0</v>
      </c>
      <c r="VV405" s="242">
        <f t="shared" si="2923"/>
        <v>0</v>
      </c>
      <c r="VW405" s="56"/>
      <c r="VZ405" s="55">
        <f t="shared" si="2924"/>
        <v>46366</v>
      </c>
      <c r="WA405" s="56"/>
      <c r="WB405" s="242">
        <f>SUMPRODUCT(PRODUCE!$B398:$DY398,PRODUCE!$EB$57:$IY$57)</f>
        <v>0</v>
      </c>
      <c r="WC405" s="56"/>
      <c r="WD405" s="242">
        <f t="shared" si="2925"/>
        <v>0</v>
      </c>
      <c r="WE405" s="242">
        <f t="shared" si="2926"/>
        <v>0</v>
      </c>
      <c r="WF405" s="56"/>
      <c r="WI405" s="55">
        <f t="shared" si="2927"/>
        <v>46366</v>
      </c>
      <c r="WJ405" s="56"/>
      <c r="WK405" s="242">
        <f>SUMPRODUCT(PRODUCE!$B398:$DY398,PRODUCE!$EB$57:$IY$57)</f>
        <v>0</v>
      </c>
      <c r="WL405" s="56"/>
      <c r="WM405" s="242">
        <f t="shared" si="2928"/>
        <v>0</v>
      </c>
      <c r="WN405" s="242">
        <f t="shared" si="2929"/>
        <v>1057</v>
      </c>
      <c r="WO405" s="56"/>
      <c r="WR405" s="55">
        <f t="shared" si="2930"/>
        <v>46366</v>
      </c>
      <c r="WS405" s="56"/>
      <c r="WT405" s="242">
        <f>SUMPRODUCT(PRODUCE!$B398:$DY398,PRODUCE!$EB$57:$IY$57)</f>
        <v>0</v>
      </c>
      <c r="WU405" s="56"/>
      <c r="WV405" s="242">
        <f t="shared" si="2931"/>
        <v>0</v>
      </c>
      <c r="WW405" s="242">
        <f t="shared" si="2932"/>
        <v>0</v>
      </c>
      <c r="WX405" s="56"/>
      <c r="XA405" s="55">
        <f t="shared" si="2933"/>
        <v>46366</v>
      </c>
      <c r="XB405" s="56"/>
      <c r="XC405" s="242">
        <f>SUMPRODUCT(PRODUCE!$B398:$DY398,PRODUCE!$EB$57:$IY$57)</f>
        <v>0</v>
      </c>
      <c r="XD405" s="56"/>
      <c r="XE405" s="242">
        <f t="shared" si="2934"/>
        <v>0</v>
      </c>
      <c r="XF405" s="242">
        <f t="shared" si="2935"/>
        <v>7507</v>
      </c>
      <c r="XG405" s="56"/>
      <c r="XJ405" s="55">
        <f t="shared" si="2936"/>
        <v>46366</v>
      </c>
      <c r="XK405" s="56"/>
      <c r="XL405" s="242">
        <f>SUMPRODUCT(PRODUCE!$B398:$DY398,PRODUCE!$EB$57:$IY$57)</f>
        <v>0</v>
      </c>
      <c r="XM405" s="56"/>
      <c r="XN405" s="242">
        <f t="shared" si="2937"/>
        <v>0</v>
      </c>
      <c r="XO405" s="242">
        <f t="shared" si="2938"/>
        <v>4252</v>
      </c>
      <c r="XP405" s="56"/>
      <c r="XS405" s="55">
        <f t="shared" si="2939"/>
        <v>46366</v>
      </c>
      <c r="XT405" s="56"/>
      <c r="XU405" s="242">
        <f>SUMPRODUCT(PRODUCE!$B398:$DY398,PRODUCE!$EB$57:$IY$57)</f>
        <v>0</v>
      </c>
      <c r="XV405" s="56"/>
      <c r="XW405" s="242">
        <f t="shared" si="2940"/>
        <v>0</v>
      </c>
      <c r="XX405" s="242">
        <f t="shared" si="2941"/>
        <v>2179</v>
      </c>
      <c r="XY405" s="56"/>
      <c r="YB405" s="55">
        <f t="shared" si="2942"/>
        <v>46366</v>
      </c>
      <c r="YC405" s="56"/>
      <c r="YD405" s="242">
        <f>SUMPRODUCT(PRODUCE!$B398:$DY398,PRODUCE!$EB$57:$IY$57)</f>
        <v>0</v>
      </c>
      <c r="YE405" s="56"/>
      <c r="YF405" s="242">
        <f t="shared" si="2943"/>
        <v>0</v>
      </c>
      <c r="YG405" s="242">
        <f t="shared" si="2944"/>
        <v>4019</v>
      </c>
      <c r="YH405" s="56"/>
      <c r="YK405" s="55">
        <f t="shared" si="2945"/>
        <v>46366</v>
      </c>
      <c r="YL405" s="56"/>
      <c r="YM405" s="242">
        <f>SUMPRODUCT(PRODUCE!$B398:$DY398,PRODUCE!$EB$57:$IY$57)</f>
        <v>0</v>
      </c>
      <c r="YN405" s="56"/>
      <c r="YO405" s="242">
        <f t="shared" si="2946"/>
        <v>0</v>
      </c>
      <c r="YP405" s="242">
        <f t="shared" si="2947"/>
        <v>-218</v>
      </c>
      <c r="YQ405" s="56"/>
      <c r="YT405" s="55">
        <f t="shared" si="2948"/>
        <v>46366</v>
      </c>
      <c r="YU405" s="56"/>
      <c r="YV405" s="242">
        <f>SUMPRODUCT(PRODUCE!$B398:$DY398,PRODUCE!$EB$57:$IY$57)</f>
        <v>0</v>
      </c>
      <c r="YW405" s="56"/>
      <c r="YX405" s="242">
        <f t="shared" si="2949"/>
        <v>0</v>
      </c>
      <c r="YY405" s="242">
        <f t="shared" si="2950"/>
        <v>0</v>
      </c>
      <c r="YZ405" s="56"/>
      <c r="ZC405" s="55">
        <f t="shared" si="2951"/>
        <v>46366</v>
      </c>
      <c r="ZD405" s="56"/>
      <c r="ZE405" s="242">
        <f>SUMPRODUCT(PRODUCE!$B398:$DY398,PRODUCE!$EB$57:$IY$57)</f>
        <v>0</v>
      </c>
      <c r="ZF405" s="56"/>
      <c r="ZG405" s="242">
        <f t="shared" si="2952"/>
        <v>0</v>
      </c>
      <c r="ZH405" s="242">
        <f t="shared" si="2953"/>
        <v>0</v>
      </c>
      <c r="ZI405" s="56"/>
      <c r="ZL405" s="55">
        <f t="shared" si="2954"/>
        <v>46366</v>
      </c>
      <c r="ZM405" s="56"/>
      <c r="ZN405" s="242">
        <f>SUMPRODUCT(PRODUCE!$B398:$DY398,PRODUCE!$EB$57:$IY$57)</f>
        <v>0</v>
      </c>
      <c r="ZO405" s="56"/>
      <c r="ZP405" s="242">
        <f t="shared" si="2955"/>
        <v>0</v>
      </c>
      <c r="ZQ405" s="242">
        <f t="shared" si="2956"/>
        <v>0</v>
      </c>
      <c r="ZR405" s="56"/>
      <c r="ZU405" s="55">
        <f t="shared" si="2957"/>
        <v>46366</v>
      </c>
      <c r="ZV405" s="56"/>
      <c r="ZW405" s="242">
        <f>SUMPRODUCT(PRODUCE!$B398:$DY398,PRODUCE!$EB$57:$IY$57)</f>
        <v>0</v>
      </c>
      <c r="ZX405" s="56"/>
      <c r="ZY405" s="242">
        <f t="shared" si="2958"/>
        <v>0</v>
      </c>
      <c r="ZZ405" s="242">
        <f t="shared" si="2959"/>
        <v>0</v>
      </c>
      <c r="AAA405" s="56"/>
      <c r="AAD405" s="55">
        <f t="shared" si="2960"/>
        <v>46366</v>
      </c>
      <c r="AAE405" s="56"/>
      <c r="AAF405" s="242">
        <f>SUMPRODUCT(PRODUCE!$B398:$DY398,PRODUCE!$EB$57:$IY$57)</f>
        <v>0</v>
      </c>
      <c r="AAG405" s="56"/>
      <c r="AAH405" s="242">
        <f t="shared" si="2961"/>
        <v>0</v>
      </c>
      <c r="AAI405" s="242">
        <f t="shared" si="2962"/>
        <v>0</v>
      </c>
      <c r="AAJ405" s="56"/>
      <c r="AAM405" s="55">
        <f t="shared" si="2963"/>
        <v>46366</v>
      </c>
      <c r="AAN405" s="56"/>
      <c r="AAO405" s="242">
        <f>SUMPRODUCT(PRODUCE!$B398:$DY398,PRODUCE!$EB$57:$IY$57)</f>
        <v>0</v>
      </c>
      <c r="AAP405" s="56"/>
      <c r="AAQ405" s="242">
        <f t="shared" si="2964"/>
        <v>0</v>
      </c>
      <c r="AAR405" s="242">
        <f t="shared" si="2965"/>
        <v>0</v>
      </c>
      <c r="AAS405" s="56"/>
      <c r="AAV405" s="55">
        <f t="shared" si="2966"/>
        <v>46366</v>
      </c>
      <c r="AAW405" s="56"/>
      <c r="AAX405" s="242">
        <f>SUMPRODUCT(PRODUCE!$B398:$DY398,PRODUCE!$EB$57:$IY$57)</f>
        <v>0</v>
      </c>
      <c r="AAY405" s="56"/>
      <c r="AAZ405" s="242">
        <f t="shared" si="2967"/>
        <v>0</v>
      </c>
      <c r="ABA405" s="242">
        <f t="shared" si="2968"/>
        <v>0</v>
      </c>
      <c r="ABB405" s="56"/>
      <c r="ABE405" s="55">
        <f t="shared" si="2969"/>
        <v>46366</v>
      </c>
      <c r="ABF405" s="56"/>
      <c r="ABG405" s="242">
        <f>SUMPRODUCT(PRODUCE!$B398:$DY398,PRODUCE!$EB$57:$IY$57)</f>
        <v>0</v>
      </c>
      <c r="ABH405" s="56"/>
      <c r="ABI405" s="242">
        <f t="shared" si="2970"/>
        <v>0</v>
      </c>
      <c r="ABJ405" s="242">
        <f t="shared" si="2971"/>
        <v>0</v>
      </c>
      <c r="ABK405" s="56"/>
    </row>
    <row r="406" spans="2:739" s="54" customFormat="1" ht="15" customHeight="1" outlineLevel="1">
      <c r="B406" s="478"/>
      <c r="C406" s="55">
        <v>46367</v>
      </c>
      <c r="D406" s="56"/>
      <c r="E406" s="57">
        <f>SUMPRODUCT(PRODUCE!$B399:$DY399,PRODUCE!$EB$7:$IY$7)</f>
        <v>0</v>
      </c>
      <c r="F406" s="56"/>
      <c r="G406" s="57">
        <f t="shared" si="2727"/>
        <v>0</v>
      </c>
      <c r="H406" s="57">
        <f t="shared" si="2728"/>
        <v>236936.6</v>
      </c>
      <c r="I406" s="289"/>
      <c r="L406" s="55">
        <f t="shared" si="2729"/>
        <v>46367</v>
      </c>
      <c r="M406" s="56"/>
      <c r="N406" s="59">
        <f>SUMPRODUCT(PRODUCE!$B399:$DY399,PRODUCE!$EB$8:$IY$8)</f>
        <v>0</v>
      </c>
      <c r="O406" s="56"/>
      <c r="P406" s="59">
        <f t="shared" si="2730"/>
        <v>0</v>
      </c>
      <c r="Q406" s="59">
        <f t="shared" si="2731"/>
        <v>53017.600000000071</v>
      </c>
      <c r="R406" s="56"/>
      <c r="U406" s="55">
        <f t="shared" si="2732"/>
        <v>46367</v>
      </c>
      <c r="V406" s="56"/>
      <c r="W406" s="60">
        <f>SUMPRODUCT(PRODUCE!$B399:$DY399,PRODUCE!$EB$9:$IY$9)</f>
        <v>0</v>
      </c>
      <c r="X406" s="56"/>
      <c r="Y406" s="60">
        <f t="shared" si="2733"/>
        <v>0</v>
      </c>
      <c r="Z406" s="60">
        <f t="shared" si="2734"/>
        <v>42674.199999999968</v>
      </c>
      <c r="AA406" s="56"/>
      <c r="AD406" s="55">
        <f t="shared" si="2735"/>
        <v>46367</v>
      </c>
      <c r="AE406" s="56"/>
      <c r="AF406" s="61">
        <f>SUMPRODUCT(PRODUCE!$B399:$DY399,PRODUCE!$EB$10:$IY$10)</f>
        <v>0</v>
      </c>
      <c r="AG406" s="56"/>
      <c r="AH406" s="61">
        <f t="shared" si="2736"/>
        <v>0</v>
      </c>
      <c r="AI406" s="61">
        <f t="shared" si="2737"/>
        <v>4522.2000000000189</v>
      </c>
      <c r="AJ406" s="56"/>
      <c r="AM406" s="55">
        <f t="shared" si="2738"/>
        <v>46367</v>
      </c>
      <c r="AN406" s="422"/>
      <c r="AO406" s="444">
        <f>SUMPRODUCT(PRODUCE!$B399:$DY399,PRODUCE!$EB$11:$IY$11)</f>
        <v>0</v>
      </c>
      <c r="AP406" s="422"/>
      <c r="AQ406" s="444">
        <f t="shared" si="2739"/>
        <v>0</v>
      </c>
      <c r="AR406" s="444">
        <f t="shared" si="2740"/>
        <v>0</v>
      </c>
      <c r="AS406" s="56"/>
      <c r="AV406" s="55">
        <f t="shared" si="2741"/>
        <v>46367</v>
      </c>
      <c r="AW406" s="56"/>
      <c r="AX406" s="62">
        <f>SUMPRODUCT(PRODUCE!$B399:$DY399,PRODUCE!$EB$12:$IY$12)</f>
        <v>0</v>
      </c>
      <c r="AY406" s="56"/>
      <c r="AZ406" s="62">
        <f t="shared" si="2742"/>
        <v>0</v>
      </c>
      <c r="BA406" s="62">
        <f t="shared" si="2743"/>
        <v>124.99999999999523</v>
      </c>
      <c r="BB406" s="56"/>
      <c r="BE406" s="55">
        <f t="shared" si="2744"/>
        <v>46367</v>
      </c>
      <c r="BF406" s="56"/>
      <c r="BG406" s="63">
        <f>SUMPRODUCT(PRODUCE!$B399:$DY399,PRODUCE!$EB$13:$IY$13)</f>
        <v>0</v>
      </c>
      <c r="BH406" s="56"/>
      <c r="BI406" s="63">
        <f t="shared" si="2745"/>
        <v>0</v>
      </c>
      <c r="BJ406" s="63">
        <f t="shared" si="2746"/>
        <v>26151.899999999998</v>
      </c>
      <c r="BK406" s="56"/>
      <c r="BN406" s="55">
        <f t="shared" si="2747"/>
        <v>46367</v>
      </c>
      <c r="BO406" s="56"/>
      <c r="BP406" s="64">
        <f>SUMPRODUCT(PRODUCE!$B399:$DY399,PRODUCE!$EB$14:$IY$14)</f>
        <v>0</v>
      </c>
      <c r="BQ406" s="56"/>
      <c r="BR406" s="64">
        <f t="shared" si="2748"/>
        <v>0</v>
      </c>
      <c r="BS406" s="64">
        <f t="shared" si="2749"/>
        <v>0</v>
      </c>
      <c r="BT406" s="56"/>
      <c r="BW406" s="55">
        <f t="shared" si="2750"/>
        <v>46367</v>
      </c>
      <c r="BX406" s="56"/>
      <c r="BY406" s="65">
        <f>SUMPRODUCT(PRODUCE!$B399:$DY399,PRODUCE!$EB$15:$IY$15)</f>
        <v>0</v>
      </c>
      <c r="BZ406" s="56"/>
      <c r="CA406" s="65">
        <f t="shared" si="2751"/>
        <v>0</v>
      </c>
      <c r="CB406" s="65">
        <f t="shared" si="2752"/>
        <v>2097.3399999999992</v>
      </c>
      <c r="CC406" s="56"/>
      <c r="CF406" s="55">
        <f t="shared" si="2753"/>
        <v>46367</v>
      </c>
      <c r="CG406" s="56"/>
      <c r="CH406" s="66">
        <f>SUMPRODUCT(PRODUCE!$B399:$DY399,PRODUCE!$EB$16:$IY$16)</f>
        <v>0</v>
      </c>
      <c r="CI406" s="56"/>
      <c r="CJ406" s="66">
        <f t="shared" si="2754"/>
        <v>0</v>
      </c>
      <c r="CK406" s="66">
        <f t="shared" si="2755"/>
        <v>-10277.079999999998</v>
      </c>
      <c r="CL406" s="56"/>
      <c r="CO406" s="55">
        <f t="shared" si="2756"/>
        <v>46367</v>
      </c>
      <c r="CP406" s="422"/>
      <c r="CQ406" s="470">
        <f>SUMPRODUCT(PRODUCE!$B399:$DY399,PRODUCE!$EB$17:$IY$17)</f>
        <v>0</v>
      </c>
      <c r="CR406" s="422"/>
      <c r="CS406" s="470">
        <f t="shared" si="2757"/>
        <v>0</v>
      </c>
      <c r="CT406" s="470">
        <f t="shared" si="2758"/>
        <v>0</v>
      </c>
      <c r="CU406" s="56"/>
      <c r="CX406" s="55">
        <f t="shared" si="2759"/>
        <v>46367</v>
      </c>
      <c r="CY406" s="56"/>
      <c r="CZ406" s="133">
        <f>SUMPRODUCT(PRODUCE!$B399:$DY399,PRODUCE!$EB$18:$IY$18)</f>
        <v>0</v>
      </c>
      <c r="DA406" s="56"/>
      <c r="DB406" s="133">
        <f t="shared" si="2760"/>
        <v>0</v>
      </c>
      <c r="DC406" s="133">
        <f t="shared" si="2761"/>
        <v>27438.200000000012</v>
      </c>
      <c r="DD406" s="56"/>
      <c r="DG406" s="55">
        <f t="shared" si="2762"/>
        <v>46367</v>
      </c>
      <c r="DH406" s="56"/>
      <c r="DI406" s="147">
        <f>SUMPRODUCT(PRODUCE!$B399:$DY399,PRODUCE!$EB$19:$IY$19)</f>
        <v>0</v>
      </c>
      <c r="DJ406" s="56"/>
      <c r="DK406" s="147">
        <f t="shared" si="2763"/>
        <v>0</v>
      </c>
      <c r="DL406" s="147">
        <f t="shared" si="2764"/>
        <v>18782.299999999981</v>
      </c>
      <c r="DM406" s="56"/>
      <c r="DP406" s="55">
        <f t="shared" si="2765"/>
        <v>46367</v>
      </c>
      <c r="DQ406" s="56"/>
      <c r="DR406" s="57">
        <f>SUMPRODUCT(PRODUCE!$B399:$DY399,PRODUCE!$EB$20:$IY$20)</f>
        <v>0</v>
      </c>
      <c r="DS406" s="56"/>
      <c r="DT406" s="57">
        <f t="shared" si="2766"/>
        <v>0</v>
      </c>
      <c r="DU406" s="57">
        <f t="shared" si="2767"/>
        <v>5800</v>
      </c>
      <c r="DV406" s="56"/>
      <c r="DY406" s="55">
        <f t="shared" si="2768"/>
        <v>46367</v>
      </c>
      <c r="DZ406" s="56"/>
      <c r="EA406" s="157">
        <f>SUMPRODUCT(PRODUCE!$B399:$DY399,PRODUCE!$EB$21:$IY$21)</f>
        <v>0</v>
      </c>
      <c r="EB406" s="56"/>
      <c r="EC406" s="157">
        <f t="shared" si="2769"/>
        <v>0</v>
      </c>
      <c r="ED406" s="157">
        <f t="shared" si="2770"/>
        <v>0</v>
      </c>
      <c r="EE406" s="56"/>
      <c r="EH406" s="55">
        <f t="shared" si="2771"/>
        <v>46367</v>
      </c>
      <c r="EI406" s="56"/>
      <c r="EJ406" s="162">
        <f>SUMPRODUCT(PRODUCE!$B399:$DY399,PRODUCE!$EB$22:$IY$22)</f>
        <v>0</v>
      </c>
      <c r="EK406" s="56"/>
      <c r="EL406" s="162">
        <f t="shared" si="2772"/>
        <v>0</v>
      </c>
      <c r="EM406" s="162">
        <f t="shared" si="2773"/>
        <v>0</v>
      </c>
      <c r="EN406" s="56"/>
      <c r="EQ406" s="55">
        <f t="shared" si="2774"/>
        <v>46367</v>
      </c>
      <c r="ER406" s="56"/>
      <c r="ES406" s="135">
        <f>SUMPRODUCT(PRODUCE!$B399:$DY399,PRODUCE!$EB$23:$IY$23)</f>
        <v>0</v>
      </c>
      <c r="ET406" s="56"/>
      <c r="EU406" s="135">
        <f t="shared" si="2775"/>
        <v>0</v>
      </c>
      <c r="EV406" s="135">
        <f t="shared" si="2776"/>
        <v>0</v>
      </c>
      <c r="EW406" s="56"/>
      <c r="EZ406" s="55">
        <f t="shared" si="2777"/>
        <v>46367</v>
      </c>
      <c r="FA406" s="56"/>
      <c r="FB406" s="175">
        <f>SUMPRODUCT(PRODUCE!$B399:$DY399,PRODUCE!$EB$24:$IY$24)</f>
        <v>0</v>
      </c>
      <c r="FC406" s="56"/>
      <c r="FD406" s="175">
        <f t="shared" si="2778"/>
        <v>0</v>
      </c>
      <c r="FE406" s="175">
        <f t="shared" si="2779"/>
        <v>0</v>
      </c>
      <c r="FF406" s="56"/>
      <c r="FI406" s="55">
        <f t="shared" si="2780"/>
        <v>46367</v>
      </c>
      <c r="FJ406" s="56"/>
      <c r="FK406" s="183">
        <f>SUMPRODUCT(PRODUCE!$B399:$DY399,PRODUCE!$EB$25:$IY$25)</f>
        <v>0</v>
      </c>
      <c r="FL406" s="56"/>
      <c r="FM406" s="183">
        <f t="shared" si="2781"/>
        <v>0</v>
      </c>
      <c r="FN406" s="183">
        <f t="shared" si="2782"/>
        <v>0</v>
      </c>
      <c r="FO406" s="56"/>
      <c r="FR406" s="55">
        <f t="shared" si="2783"/>
        <v>46367</v>
      </c>
      <c r="FS406" s="56"/>
      <c r="FT406" s="186">
        <f>SUMPRODUCT(PRODUCE!$B399:$DY399,PRODUCE!$EB$26:$IY$26)</f>
        <v>0</v>
      </c>
      <c r="FU406" s="56"/>
      <c r="FV406" s="186">
        <f t="shared" si="2784"/>
        <v>0</v>
      </c>
      <c r="FW406" s="186">
        <f t="shared" si="2785"/>
        <v>2020</v>
      </c>
      <c r="FX406" s="56"/>
      <c r="GA406" s="55">
        <f t="shared" si="2786"/>
        <v>46367</v>
      </c>
      <c r="GB406" s="56"/>
      <c r="GC406" s="137">
        <f>SUMPRODUCT(PRODUCE!$B399:$DY399,PRODUCE!$EB$27:$IY$27)</f>
        <v>0</v>
      </c>
      <c r="GD406" s="56"/>
      <c r="GE406" s="137">
        <f t="shared" si="2787"/>
        <v>0</v>
      </c>
      <c r="GF406" s="137">
        <f t="shared" si="2788"/>
        <v>960</v>
      </c>
      <c r="GG406" s="56"/>
      <c r="GI406" s="23"/>
      <c r="GJ406" s="55">
        <f t="shared" si="2789"/>
        <v>46367</v>
      </c>
      <c r="GK406" s="56"/>
      <c r="GL406" s="199">
        <f>SUMPRODUCT(PRODUCE!$B399:$DY399,PRODUCE!$EB$28:$IY$28)</f>
        <v>0</v>
      </c>
      <c r="GM406" s="56"/>
      <c r="GN406" s="199">
        <f t="shared" si="2790"/>
        <v>0</v>
      </c>
      <c r="GO406" s="199">
        <f t="shared" si="2791"/>
        <v>1760</v>
      </c>
      <c r="GP406" s="56"/>
      <c r="GS406" s="55">
        <f t="shared" si="2792"/>
        <v>46367</v>
      </c>
      <c r="GT406" s="56"/>
      <c r="GU406" s="195">
        <f>SUMPRODUCT(PRODUCE!$B399:$DY399,PRODUCE!$EB$29:$IY$29)</f>
        <v>0</v>
      </c>
      <c r="GV406" s="56"/>
      <c r="GW406" s="195">
        <f t="shared" si="2793"/>
        <v>0</v>
      </c>
      <c r="GX406" s="195">
        <f t="shared" si="2794"/>
        <v>400</v>
      </c>
      <c r="GY406" s="56"/>
      <c r="HB406" s="55">
        <f t="shared" si="2795"/>
        <v>46367</v>
      </c>
      <c r="HC406" s="56"/>
      <c r="HD406" s="191">
        <f>SUMPRODUCT(PRODUCE!$B399:$DY399,PRODUCE!$EB$30:$IY$30)</f>
        <v>0</v>
      </c>
      <c r="HE406" s="56"/>
      <c r="HF406" s="191">
        <f t="shared" si="2796"/>
        <v>0</v>
      </c>
      <c r="HG406" s="191">
        <f t="shared" si="2797"/>
        <v>3600</v>
      </c>
      <c r="HH406" s="56"/>
      <c r="HK406" s="55">
        <f t="shared" si="2798"/>
        <v>46367</v>
      </c>
      <c r="HL406" s="56"/>
      <c r="HM406" s="63">
        <f>SUMPRODUCT(PRODUCE!$B399:$DY399,PRODUCE!$EB$31:$IY$31)</f>
        <v>0</v>
      </c>
      <c r="HN406" s="56"/>
      <c r="HO406" s="63">
        <f t="shared" si="2799"/>
        <v>0</v>
      </c>
      <c r="HP406" s="63">
        <f t="shared" si="2800"/>
        <v>0</v>
      </c>
      <c r="HQ406" s="56"/>
      <c r="HU406" s="55">
        <f t="shared" si="2801"/>
        <v>46367</v>
      </c>
      <c r="HV406" s="56"/>
      <c r="HW406" s="242">
        <f>SUMPRODUCT(PRODUCE!$B399:$DY399,PRODUCE!$EB$32:$IY$32)</f>
        <v>0</v>
      </c>
      <c r="HX406" s="56"/>
      <c r="HY406" s="242">
        <f t="shared" si="2802"/>
        <v>0</v>
      </c>
      <c r="HZ406" s="242">
        <f t="shared" si="2803"/>
        <v>6120</v>
      </c>
      <c r="IA406" s="56"/>
      <c r="ID406" s="55">
        <f t="shared" si="2804"/>
        <v>46367</v>
      </c>
      <c r="IE406" s="56"/>
      <c r="IF406" s="242">
        <f>SUMPRODUCT(PRODUCE!$B399:$DY399,PRODUCE!$EB$33:$IY$33)</f>
        <v>0</v>
      </c>
      <c r="IG406" s="56"/>
      <c r="IH406" s="242">
        <f t="shared" si="2805"/>
        <v>0</v>
      </c>
      <c r="II406" s="242">
        <f t="shared" si="2806"/>
        <v>0</v>
      </c>
      <c r="IJ406" s="56"/>
      <c r="IM406" s="55">
        <f t="shared" si="2807"/>
        <v>46367</v>
      </c>
      <c r="IN406" s="56"/>
      <c r="IO406" s="242">
        <f>SUMPRODUCT(PRODUCE!$B399:$DY399,PRODUCE!$EB$34:$IY$34)</f>
        <v>0</v>
      </c>
      <c r="IP406" s="56"/>
      <c r="IQ406" s="242">
        <f t="shared" si="2808"/>
        <v>0</v>
      </c>
      <c r="IR406" s="242">
        <f t="shared" si="2809"/>
        <v>0</v>
      </c>
      <c r="IS406" s="56"/>
      <c r="IV406" s="55">
        <f t="shared" si="2810"/>
        <v>46367</v>
      </c>
      <c r="IW406" s="56"/>
      <c r="IX406" s="242">
        <f>SUMPRODUCT(PRODUCE!$B399:$DY399,PRODUCE!$EB$35:$IY$35)</f>
        <v>0</v>
      </c>
      <c r="IY406" s="56"/>
      <c r="IZ406" s="242">
        <f t="shared" si="2811"/>
        <v>0</v>
      </c>
      <c r="JA406" s="242">
        <f t="shared" si="2812"/>
        <v>2820</v>
      </c>
      <c r="JB406" s="56"/>
      <c r="JE406" s="55">
        <f t="shared" si="2813"/>
        <v>46367</v>
      </c>
      <c r="JF406" s="56"/>
      <c r="JG406" s="242">
        <f>SUMPRODUCT(PRODUCE!$B399:$DY399,PRODUCE!$EB$36:$IY$36)</f>
        <v>0</v>
      </c>
      <c r="JH406" s="56"/>
      <c r="JI406" s="242">
        <f t="shared" si="2814"/>
        <v>0</v>
      </c>
      <c r="JJ406" s="242">
        <f t="shared" si="2815"/>
        <v>0</v>
      </c>
      <c r="JK406" s="56"/>
      <c r="JN406" s="55">
        <f t="shared" si="2816"/>
        <v>46367</v>
      </c>
      <c r="JO406" s="56"/>
      <c r="JP406" s="242">
        <f>SUMPRODUCT(PRODUCE!$B399:$DY399,PRODUCE!$EB$37:$IY$37)</f>
        <v>0</v>
      </c>
      <c r="JQ406" s="56"/>
      <c r="JR406" s="242">
        <f t="shared" si="2817"/>
        <v>0</v>
      </c>
      <c r="JS406" s="242">
        <f t="shared" si="2818"/>
        <v>0</v>
      </c>
      <c r="JT406" s="56"/>
      <c r="JW406" s="55">
        <f t="shared" si="2819"/>
        <v>46367</v>
      </c>
      <c r="JX406" s="56"/>
      <c r="JY406" s="242">
        <f>SUMPRODUCT(PRODUCE!$B399:$DY399,PRODUCE!$EB$38:$IY$38)</f>
        <v>0</v>
      </c>
      <c r="JZ406" s="56"/>
      <c r="KA406" s="242">
        <f t="shared" si="2820"/>
        <v>0</v>
      </c>
      <c r="KB406" s="242">
        <f t="shared" si="2821"/>
        <v>2540</v>
      </c>
      <c r="KC406" s="56"/>
      <c r="KF406" s="55">
        <f t="shared" si="2822"/>
        <v>46367</v>
      </c>
      <c r="KG406" s="56"/>
      <c r="KH406" s="242">
        <f>SUMPRODUCT(PRODUCE!$B399:$DY399,PRODUCE!$EB$39:$IY$39)</f>
        <v>0</v>
      </c>
      <c r="KI406" s="56"/>
      <c r="KJ406" s="242">
        <f t="shared" si="2823"/>
        <v>0</v>
      </c>
      <c r="KK406" s="242">
        <f t="shared" si="2824"/>
        <v>2359.5</v>
      </c>
      <c r="KL406" s="56"/>
      <c r="KO406" s="55">
        <f t="shared" si="2825"/>
        <v>46367</v>
      </c>
      <c r="KP406" s="56"/>
      <c r="KQ406" s="242">
        <f>SUMPRODUCT(PRODUCE!$B399:$DY399,PRODUCE!$EB$40:$IY$40)</f>
        <v>0</v>
      </c>
      <c r="KR406" s="56"/>
      <c r="KS406" s="242">
        <f t="shared" si="2826"/>
        <v>0</v>
      </c>
      <c r="KT406" s="242">
        <f t="shared" si="2827"/>
        <v>1890</v>
      </c>
      <c r="KU406" s="56"/>
      <c r="KW406" s="23"/>
      <c r="KX406" s="55">
        <f t="shared" si="2828"/>
        <v>46367</v>
      </c>
      <c r="KY406" s="56"/>
      <c r="KZ406" s="242">
        <f>SUMPRODUCT(PRODUCE!$B399:$DY399,PRODUCE!$EB$41:$IY$41)</f>
        <v>0</v>
      </c>
      <c r="LA406" s="56"/>
      <c r="LB406" s="242">
        <f t="shared" si="2829"/>
        <v>0</v>
      </c>
      <c r="LC406" s="242">
        <f t="shared" si="2830"/>
        <v>3690</v>
      </c>
      <c r="LD406" s="56"/>
      <c r="LG406" s="55">
        <f t="shared" si="2831"/>
        <v>46367</v>
      </c>
      <c r="LH406" s="56"/>
      <c r="LI406" s="242">
        <f>SUMPRODUCT(PRODUCE!$B399:$DY399,PRODUCE!$EB$42:$IY$42)</f>
        <v>0</v>
      </c>
      <c r="LJ406" s="56"/>
      <c r="LK406" s="242">
        <f t="shared" si="2832"/>
        <v>0</v>
      </c>
      <c r="LL406" s="242">
        <f t="shared" si="2833"/>
        <v>4000</v>
      </c>
      <c r="LM406" s="56"/>
      <c r="LP406" s="55">
        <f t="shared" si="2834"/>
        <v>46367</v>
      </c>
      <c r="LQ406" s="56"/>
      <c r="LR406" s="242">
        <f>SUMPRODUCT(PRODUCE!$B421:$DY421,PRODUCE!$EB$43:$IY$43)</f>
        <v>0</v>
      </c>
      <c r="LS406" s="56"/>
      <c r="LT406" s="242">
        <f t="shared" si="2835"/>
        <v>0</v>
      </c>
      <c r="LU406" s="242">
        <f t="shared" si="2836"/>
        <v>0</v>
      </c>
      <c r="LV406" s="56"/>
      <c r="LY406" s="55">
        <f t="shared" si="2837"/>
        <v>46367</v>
      </c>
      <c r="LZ406" s="56"/>
      <c r="MA406" s="242">
        <f>SUMPRODUCT(PRODUCE!$B399:$DY399,PRODUCE!$EB$44:$IY$44)</f>
        <v>0</v>
      </c>
      <c r="MB406" s="56"/>
      <c r="MC406" s="242">
        <f t="shared" si="2838"/>
        <v>0</v>
      </c>
      <c r="MD406" s="242">
        <f t="shared" si="2839"/>
        <v>0</v>
      </c>
      <c r="ME406" s="56"/>
      <c r="MH406" s="55">
        <f t="shared" si="2840"/>
        <v>46367</v>
      </c>
      <c r="MI406" s="56"/>
      <c r="MJ406" s="242">
        <f>SUMPRODUCT(PRODUCE!$B399:$DY399,PRODUCE!$EB$45:$IY$45)</f>
        <v>0</v>
      </c>
      <c r="MK406" s="56"/>
      <c r="ML406" s="242">
        <f t="shared" si="2841"/>
        <v>0</v>
      </c>
      <c r="MM406" s="242">
        <f t="shared" si="2842"/>
        <v>-18</v>
      </c>
      <c r="MN406" s="56"/>
      <c r="MQ406" s="55">
        <f t="shared" si="2843"/>
        <v>46367</v>
      </c>
      <c r="MR406" s="56"/>
      <c r="MS406" s="242">
        <f>SUMPRODUCT(PRODUCE!$B399:$DY399,PRODUCE!$EB$46:$IY$46)</f>
        <v>0</v>
      </c>
      <c r="MT406" s="56">
        <v>36</v>
      </c>
      <c r="MU406" s="242">
        <f t="shared" si="2844"/>
        <v>-36</v>
      </c>
      <c r="MV406" s="242">
        <f t="shared" si="2845"/>
        <v>1559</v>
      </c>
      <c r="MW406" s="56"/>
      <c r="MZ406" s="55">
        <f t="shared" si="2846"/>
        <v>46367</v>
      </c>
      <c r="NA406" s="56"/>
      <c r="NB406" s="242">
        <f>SUMPRODUCT(PRODUCE!$B399:$DY399,PRODUCE!$EB$47:$IY$47)</f>
        <v>0</v>
      </c>
      <c r="NC406" s="56"/>
      <c r="ND406" s="242">
        <f t="shared" si="2847"/>
        <v>0</v>
      </c>
      <c r="NE406" s="242">
        <f t="shared" si="2848"/>
        <v>0</v>
      </c>
      <c r="NF406" s="56"/>
      <c r="NI406" s="55">
        <f t="shared" si="2849"/>
        <v>46367</v>
      </c>
      <c r="NJ406" s="56"/>
      <c r="NK406" s="242">
        <f>SUMPRODUCT(PRODUCE!$B399:$DY399,PRODUCE!$EB$48:$IY$48)</f>
        <v>0</v>
      </c>
      <c r="NL406" s="56"/>
      <c r="NM406" s="242">
        <f t="shared" si="2850"/>
        <v>0</v>
      </c>
      <c r="NN406" s="242">
        <f t="shared" si="2851"/>
        <v>1127</v>
      </c>
      <c r="NO406" s="56"/>
      <c r="NR406" s="55">
        <f t="shared" si="2852"/>
        <v>46367</v>
      </c>
      <c r="NS406" s="56"/>
      <c r="NT406" s="242">
        <f>SUMPRODUCT(PRODUCE!$B399:$DY399,PRODUCE!$EB$49:$IY$49)</f>
        <v>0</v>
      </c>
      <c r="NU406" s="56"/>
      <c r="NV406" s="242">
        <f t="shared" si="2853"/>
        <v>0</v>
      </c>
      <c r="NW406" s="242">
        <f t="shared" si="2854"/>
        <v>3111.9999999999995</v>
      </c>
      <c r="NX406" s="56"/>
      <c r="OA406" s="55">
        <f t="shared" si="2855"/>
        <v>46367</v>
      </c>
      <c r="OB406" s="56"/>
      <c r="OC406" s="242">
        <f>SUMPRODUCT(PRODUCE!$B399:$DY399,PRODUCE!$EB$50:$IY$50)</f>
        <v>0</v>
      </c>
      <c r="OD406" s="56"/>
      <c r="OE406" s="242">
        <f t="shared" si="2856"/>
        <v>0</v>
      </c>
      <c r="OF406" s="242">
        <f t="shared" si="2857"/>
        <v>1680.5</v>
      </c>
      <c r="OG406" s="56"/>
      <c r="OJ406" s="55">
        <f t="shared" si="2858"/>
        <v>46367</v>
      </c>
      <c r="OK406" s="56"/>
      <c r="OL406" s="242">
        <f>SUMPRODUCT(PRODUCE!$B399:$DY399,PRODUCE!$EB$51:$IY$51)</f>
        <v>0</v>
      </c>
      <c r="OM406" s="56"/>
      <c r="ON406" s="242">
        <f t="shared" si="2859"/>
        <v>0</v>
      </c>
      <c r="OO406" s="242">
        <f t="shared" si="2860"/>
        <v>0</v>
      </c>
      <c r="OP406" s="56"/>
      <c r="OS406" s="55">
        <f t="shared" si="2861"/>
        <v>46367</v>
      </c>
      <c r="OT406" s="56"/>
      <c r="OU406" s="242">
        <f>SUMPRODUCT(PRODUCE!$B399:$DY399,PRODUCE!$EB$52:$IY$52)</f>
        <v>0</v>
      </c>
      <c r="OV406" s="56"/>
      <c r="OW406" s="242">
        <f t="shared" si="2862"/>
        <v>0</v>
      </c>
      <c r="OX406" s="242">
        <f t="shared" si="2863"/>
        <v>1482</v>
      </c>
      <c r="OY406" s="56"/>
      <c r="PB406" s="55">
        <f t="shared" si="2864"/>
        <v>46367</v>
      </c>
      <c r="PC406" s="56"/>
      <c r="PD406" s="242">
        <f>SUMPRODUCT(PRODUCE!$B399:$DY399,PRODUCE!$EB$53:$IY$53)</f>
        <v>0</v>
      </c>
      <c r="PE406" s="56"/>
      <c r="PF406" s="242">
        <f t="shared" si="2865"/>
        <v>0</v>
      </c>
      <c r="PG406" s="242">
        <f t="shared" si="2866"/>
        <v>0</v>
      </c>
      <c r="PH406" s="56"/>
      <c r="PK406" s="55">
        <f t="shared" si="2867"/>
        <v>46367</v>
      </c>
      <c r="PL406" s="56"/>
      <c r="PM406" s="242">
        <f>SUMPRODUCT(PRODUCE!$B399:$DY399,PRODUCE!$EB$54:$IY$54)</f>
        <v>0</v>
      </c>
      <c r="PN406" s="56"/>
      <c r="PO406" s="242">
        <f t="shared" si="2868"/>
        <v>0</v>
      </c>
      <c r="PP406" s="242">
        <f t="shared" si="2869"/>
        <v>100</v>
      </c>
      <c r="PQ406" s="56"/>
      <c r="PT406" s="55">
        <f t="shared" si="2870"/>
        <v>46367</v>
      </c>
      <c r="PU406" s="56"/>
      <c r="PV406" s="242">
        <f>SUMPRODUCT(PRODUCE!$B399:$DY399,PRODUCE!$EB$55:$IY$55)</f>
        <v>0</v>
      </c>
      <c r="PW406" s="56"/>
      <c r="PX406" s="242">
        <f t="shared" si="2871"/>
        <v>0</v>
      </c>
      <c r="PY406" s="242">
        <f t="shared" si="2872"/>
        <v>13.960000000000036</v>
      </c>
      <c r="PZ406" s="56"/>
      <c r="QC406" s="55">
        <f t="shared" si="2873"/>
        <v>46367</v>
      </c>
      <c r="QD406" s="56"/>
      <c r="QE406" s="242">
        <f>SUMPRODUCT(PRODUCE!$B399:$DY399,PRODUCE!$EB$56:$IY$56)</f>
        <v>0</v>
      </c>
      <c r="QF406" s="56"/>
      <c r="QG406" s="242">
        <f t="shared" si="2874"/>
        <v>0</v>
      </c>
      <c r="QH406" s="242">
        <f t="shared" si="2875"/>
        <v>548</v>
      </c>
      <c r="QI406" s="56"/>
      <c r="QL406" s="55">
        <f t="shared" si="2876"/>
        <v>46367</v>
      </c>
      <c r="QM406" s="56"/>
      <c r="QN406" s="242">
        <f>SUMPRODUCT(PRODUCE!$B399:$DY399,PRODUCE!$EB$57:$IY$57)</f>
        <v>0</v>
      </c>
      <c r="QO406" s="56"/>
      <c r="QP406" s="242">
        <f t="shared" si="2877"/>
        <v>0</v>
      </c>
      <c r="QQ406" s="242">
        <f t="shared" si="2878"/>
        <v>0</v>
      </c>
      <c r="QR406" s="56"/>
      <c r="QU406" s="55">
        <f t="shared" si="2879"/>
        <v>46367</v>
      </c>
      <c r="QV406" s="56"/>
      <c r="QW406" s="242">
        <f>SUMPRODUCT(PRODUCE!$B399:$DY399,PRODUCE!$EB$57:$IY$57)</f>
        <v>0</v>
      </c>
      <c r="QX406" s="56"/>
      <c r="QY406" s="242">
        <f t="shared" si="2880"/>
        <v>0</v>
      </c>
      <c r="QZ406" s="242">
        <f t="shared" si="2881"/>
        <v>0</v>
      </c>
      <c r="RA406" s="56"/>
      <c r="RD406" s="55">
        <f t="shared" si="2882"/>
        <v>46367</v>
      </c>
      <c r="RE406" s="56"/>
      <c r="RF406" s="242">
        <f>SUMPRODUCT(PRODUCE!$B399:$DY399,PRODUCE!$EB$58:$IY$58)</f>
        <v>0</v>
      </c>
      <c r="RG406" s="56"/>
      <c r="RH406" s="242">
        <f t="shared" si="2883"/>
        <v>0</v>
      </c>
      <c r="RI406" s="242">
        <f t="shared" si="2884"/>
        <v>147.04000000000002</v>
      </c>
      <c r="RJ406" s="56"/>
      <c r="RM406" s="55">
        <f t="shared" si="2885"/>
        <v>46367</v>
      </c>
      <c r="RN406" s="56"/>
      <c r="RO406" s="242">
        <f>SUMPRODUCT(PRODUCE!$B399:$DY399,PRODUCE!$EB$57:$IY$57)</f>
        <v>0</v>
      </c>
      <c r="RP406" s="56"/>
      <c r="RQ406" s="242">
        <f t="shared" si="2886"/>
        <v>0</v>
      </c>
      <c r="RR406" s="242">
        <f t="shared" si="2887"/>
        <v>46.8</v>
      </c>
      <c r="RS406" s="56"/>
      <c r="RV406" s="55">
        <f t="shared" si="2888"/>
        <v>46367</v>
      </c>
      <c r="RW406" s="56"/>
      <c r="RX406" s="242">
        <f>SUMPRODUCT(PRODUCE!$B399:$DY399,PRODUCE!$EB$57:$IY$57)</f>
        <v>0</v>
      </c>
      <c r="RY406" s="56"/>
      <c r="RZ406" s="242">
        <f t="shared" si="2889"/>
        <v>0</v>
      </c>
      <c r="SA406" s="242">
        <f t="shared" si="2890"/>
        <v>0</v>
      </c>
      <c r="SB406" s="56"/>
      <c r="SE406" s="55">
        <f t="shared" si="2891"/>
        <v>46367</v>
      </c>
      <c r="SF406" s="56"/>
      <c r="SG406" s="242">
        <f>SUMPRODUCT(PRODUCE!$B399:$DY399,PRODUCE!$EB$61:$IY$61)</f>
        <v>0</v>
      </c>
      <c r="SH406" s="56"/>
      <c r="SI406" s="242">
        <f t="shared" si="2892"/>
        <v>0</v>
      </c>
      <c r="SJ406" s="242">
        <f t="shared" si="2893"/>
        <v>24.200000000000003</v>
      </c>
      <c r="SK406" s="56"/>
      <c r="SN406" s="55">
        <f t="shared" si="2894"/>
        <v>46367</v>
      </c>
      <c r="SO406" s="56"/>
      <c r="SP406" s="242">
        <f>SUMPRODUCT(PRODUCE!$B399:$DY399,PRODUCE!$EB$57:$IY$57)</f>
        <v>0</v>
      </c>
      <c r="SQ406" s="56"/>
      <c r="SR406" s="242">
        <f t="shared" si="2895"/>
        <v>0</v>
      </c>
      <c r="SS406" s="242">
        <f t="shared" si="2896"/>
        <v>32</v>
      </c>
      <c r="ST406" s="56"/>
      <c r="SW406" s="55">
        <f t="shared" si="2897"/>
        <v>46367</v>
      </c>
      <c r="SX406" s="56"/>
      <c r="SY406" s="242">
        <f>SUMPRODUCT(PRODUCE!$B399:$DY399,PRODUCE!$EB$57:$IY$57)</f>
        <v>0</v>
      </c>
      <c r="SZ406" s="56"/>
      <c r="TA406" s="242">
        <f t="shared" si="2898"/>
        <v>0</v>
      </c>
      <c r="TB406" s="242">
        <f t="shared" si="2899"/>
        <v>0</v>
      </c>
      <c r="TC406" s="56"/>
      <c r="TF406" s="55">
        <f t="shared" si="2900"/>
        <v>46367</v>
      </c>
      <c r="TG406" s="56"/>
      <c r="TH406" s="242">
        <f>SUMPRODUCT(PRODUCE!$B399:$DY399,PRODUCE!$EB$57:$IY$57)</f>
        <v>0</v>
      </c>
      <c r="TI406" s="56"/>
      <c r="TJ406" s="242">
        <f t="shared" si="2901"/>
        <v>0</v>
      </c>
      <c r="TK406" s="242">
        <f t="shared" si="2902"/>
        <v>0</v>
      </c>
      <c r="TL406" s="56"/>
      <c r="TO406" s="55">
        <f t="shared" si="2903"/>
        <v>46367</v>
      </c>
      <c r="TP406" s="56"/>
      <c r="TQ406" s="242">
        <f>SUMPRODUCT(PRODUCE!$B399:$DY399,PRODUCE!$EB$57:$IY$57)</f>
        <v>0</v>
      </c>
      <c r="TR406" s="56"/>
      <c r="TS406" s="242">
        <f t="shared" si="2904"/>
        <v>0</v>
      </c>
      <c r="TT406" s="242">
        <f t="shared" si="2905"/>
        <v>0</v>
      </c>
      <c r="TU406" s="56"/>
      <c r="TX406" s="55">
        <f t="shared" si="2906"/>
        <v>46367</v>
      </c>
      <c r="TY406" s="56"/>
      <c r="TZ406" s="242">
        <f>SUMPRODUCT(PRODUCE!$B399:$DY399,PRODUCE!$EB$57:$IY$57)</f>
        <v>0</v>
      </c>
      <c r="UA406" s="56"/>
      <c r="UB406" s="242">
        <f t="shared" si="2907"/>
        <v>0</v>
      </c>
      <c r="UC406" s="242">
        <f t="shared" si="2908"/>
        <v>46.799999999999983</v>
      </c>
      <c r="UD406" s="56"/>
      <c r="UG406" s="55">
        <f t="shared" si="2909"/>
        <v>46367</v>
      </c>
      <c r="UH406" s="56"/>
      <c r="UI406" s="242">
        <f>SUMPRODUCT(PRODUCE!$B399:$DY399,PRODUCE!$EB$57:$IY$57)</f>
        <v>0</v>
      </c>
      <c r="UJ406" s="56"/>
      <c r="UK406" s="242">
        <f t="shared" si="2910"/>
        <v>0</v>
      </c>
      <c r="UL406" s="242">
        <f t="shared" si="2911"/>
        <v>204</v>
      </c>
      <c r="UM406" s="56"/>
      <c r="UP406" s="55">
        <f t="shared" si="2912"/>
        <v>46367</v>
      </c>
      <c r="UQ406" s="56"/>
      <c r="UR406" s="242">
        <f>SUMPRODUCT(PRODUCE!$B399:$DY399,PRODUCE!$EB$57:$IY$57)</f>
        <v>0</v>
      </c>
      <c r="US406" s="56"/>
      <c r="UT406" s="242">
        <f t="shared" si="2913"/>
        <v>0</v>
      </c>
      <c r="UU406" s="242">
        <f t="shared" si="2914"/>
        <v>202.5</v>
      </c>
      <c r="UV406" s="56"/>
      <c r="UY406" s="55">
        <f t="shared" si="2915"/>
        <v>46367</v>
      </c>
      <c r="UZ406" s="56"/>
      <c r="VA406" s="242">
        <f>SUMPRODUCT(PRODUCE!$B399:$DY399,PRODUCE!$EB$57:$IY$57)</f>
        <v>0</v>
      </c>
      <c r="VB406" s="56"/>
      <c r="VC406" s="242">
        <f t="shared" si="2916"/>
        <v>0</v>
      </c>
      <c r="VD406" s="242">
        <f t="shared" si="2917"/>
        <v>41.600000000000023</v>
      </c>
      <c r="VE406" s="56"/>
      <c r="VH406" s="55">
        <f t="shared" si="2918"/>
        <v>46367</v>
      </c>
      <c r="VI406" s="56"/>
      <c r="VJ406" s="242">
        <f>SUMPRODUCT(PRODUCE!$B399:$DY399,PRODUCE!$EB$57:$IY$57)</f>
        <v>0</v>
      </c>
      <c r="VK406" s="56"/>
      <c r="VL406" s="242">
        <f t="shared" si="2919"/>
        <v>0</v>
      </c>
      <c r="VM406" s="242">
        <f t="shared" si="2920"/>
        <v>210</v>
      </c>
      <c r="VN406" s="56"/>
      <c r="VQ406" s="55">
        <f t="shared" si="2921"/>
        <v>46367</v>
      </c>
      <c r="VR406" s="56"/>
      <c r="VS406" s="242">
        <f>SUMPRODUCT(PRODUCE!$B399:$DY399,PRODUCE!$EB$57:$IY$57)</f>
        <v>0</v>
      </c>
      <c r="VT406" s="56"/>
      <c r="VU406" s="242">
        <f t="shared" si="2922"/>
        <v>0</v>
      </c>
      <c r="VV406" s="242">
        <f t="shared" si="2923"/>
        <v>0</v>
      </c>
      <c r="VW406" s="56"/>
      <c r="VZ406" s="55">
        <f t="shared" si="2924"/>
        <v>46367</v>
      </c>
      <c r="WA406" s="56"/>
      <c r="WB406" s="242">
        <f>SUMPRODUCT(PRODUCE!$B399:$DY399,PRODUCE!$EB$57:$IY$57)</f>
        <v>0</v>
      </c>
      <c r="WC406" s="56"/>
      <c r="WD406" s="242">
        <f t="shared" si="2925"/>
        <v>0</v>
      </c>
      <c r="WE406" s="242">
        <f t="shared" si="2926"/>
        <v>0</v>
      </c>
      <c r="WF406" s="56"/>
      <c r="WI406" s="55">
        <f t="shared" si="2927"/>
        <v>46367</v>
      </c>
      <c r="WJ406" s="56"/>
      <c r="WK406" s="242">
        <f>SUMPRODUCT(PRODUCE!$B399:$DY399,PRODUCE!$EB$57:$IY$57)</f>
        <v>0</v>
      </c>
      <c r="WL406" s="56"/>
      <c r="WM406" s="242">
        <f t="shared" si="2928"/>
        <v>0</v>
      </c>
      <c r="WN406" s="242">
        <f t="shared" si="2929"/>
        <v>1057</v>
      </c>
      <c r="WO406" s="56"/>
      <c r="WR406" s="55">
        <f t="shared" si="2930"/>
        <v>46367</v>
      </c>
      <c r="WS406" s="56"/>
      <c r="WT406" s="242">
        <f>SUMPRODUCT(PRODUCE!$B399:$DY399,PRODUCE!$EB$57:$IY$57)</f>
        <v>0</v>
      </c>
      <c r="WU406" s="56"/>
      <c r="WV406" s="242">
        <f t="shared" si="2931"/>
        <v>0</v>
      </c>
      <c r="WW406" s="242">
        <f t="shared" si="2932"/>
        <v>0</v>
      </c>
      <c r="WX406" s="56"/>
      <c r="XA406" s="55">
        <f t="shared" si="2933"/>
        <v>46367</v>
      </c>
      <c r="XB406" s="56"/>
      <c r="XC406" s="242">
        <f>SUMPRODUCT(PRODUCE!$B399:$DY399,PRODUCE!$EB$57:$IY$57)</f>
        <v>0</v>
      </c>
      <c r="XD406" s="56"/>
      <c r="XE406" s="242">
        <f t="shared" si="2934"/>
        <v>0</v>
      </c>
      <c r="XF406" s="242">
        <f t="shared" si="2935"/>
        <v>7507</v>
      </c>
      <c r="XG406" s="56"/>
      <c r="XJ406" s="55">
        <f t="shared" si="2936"/>
        <v>46367</v>
      </c>
      <c r="XK406" s="56"/>
      <c r="XL406" s="242">
        <f>SUMPRODUCT(PRODUCE!$B399:$DY399,PRODUCE!$EB$57:$IY$57)</f>
        <v>0</v>
      </c>
      <c r="XM406" s="56"/>
      <c r="XN406" s="242">
        <f t="shared" si="2937"/>
        <v>0</v>
      </c>
      <c r="XO406" s="242">
        <f t="shared" si="2938"/>
        <v>4252</v>
      </c>
      <c r="XP406" s="56"/>
      <c r="XS406" s="55">
        <f t="shared" si="2939"/>
        <v>46367</v>
      </c>
      <c r="XT406" s="56"/>
      <c r="XU406" s="242">
        <f>SUMPRODUCT(PRODUCE!$B399:$DY399,PRODUCE!$EB$57:$IY$57)</f>
        <v>0</v>
      </c>
      <c r="XV406" s="56"/>
      <c r="XW406" s="242">
        <f t="shared" si="2940"/>
        <v>0</v>
      </c>
      <c r="XX406" s="242">
        <f t="shared" si="2941"/>
        <v>2179</v>
      </c>
      <c r="XY406" s="56"/>
      <c r="YB406" s="55">
        <f t="shared" si="2942"/>
        <v>46367</v>
      </c>
      <c r="YC406" s="56"/>
      <c r="YD406" s="242">
        <f>SUMPRODUCT(PRODUCE!$B399:$DY399,PRODUCE!$EB$57:$IY$57)</f>
        <v>0</v>
      </c>
      <c r="YE406" s="56"/>
      <c r="YF406" s="242">
        <f t="shared" si="2943"/>
        <v>0</v>
      </c>
      <c r="YG406" s="242">
        <f t="shared" si="2944"/>
        <v>4019</v>
      </c>
      <c r="YH406" s="56"/>
      <c r="YK406" s="55">
        <f t="shared" si="2945"/>
        <v>46367</v>
      </c>
      <c r="YL406" s="56"/>
      <c r="YM406" s="242">
        <f>SUMPRODUCT(PRODUCE!$B399:$DY399,PRODUCE!$EB$57:$IY$57)</f>
        <v>0</v>
      </c>
      <c r="YN406" s="56"/>
      <c r="YO406" s="242">
        <f t="shared" si="2946"/>
        <v>0</v>
      </c>
      <c r="YP406" s="242">
        <f t="shared" si="2947"/>
        <v>-218</v>
      </c>
      <c r="YQ406" s="56"/>
      <c r="YT406" s="55">
        <f t="shared" si="2948"/>
        <v>46367</v>
      </c>
      <c r="YU406" s="56"/>
      <c r="YV406" s="242">
        <f>SUMPRODUCT(PRODUCE!$B399:$DY399,PRODUCE!$EB$57:$IY$57)</f>
        <v>0</v>
      </c>
      <c r="YW406" s="56"/>
      <c r="YX406" s="242">
        <f t="shared" si="2949"/>
        <v>0</v>
      </c>
      <c r="YY406" s="242">
        <f t="shared" si="2950"/>
        <v>0</v>
      </c>
      <c r="YZ406" s="56"/>
      <c r="ZC406" s="55">
        <f t="shared" si="2951"/>
        <v>46367</v>
      </c>
      <c r="ZD406" s="56"/>
      <c r="ZE406" s="242">
        <f>SUMPRODUCT(PRODUCE!$B399:$DY399,PRODUCE!$EB$57:$IY$57)</f>
        <v>0</v>
      </c>
      <c r="ZF406" s="56"/>
      <c r="ZG406" s="242">
        <f t="shared" si="2952"/>
        <v>0</v>
      </c>
      <c r="ZH406" s="242">
        <f t="shared" si="2953"/>
        <v>0</v>
      </c>
      <c r="ZI406" s="56"/>
      <c r="ZL406" s="55">
        <f t="shared" si="2954"/>
        <v>46367</v>
      </c>
      <c r="ZM406" s="56"/>
      <c r="ZN406" s="242">
        <f>SUMPRODUCT(PRODUCE!$B399:$DY399,PRODUCE!$EB$57:$IY$57)</f>
        <v>0</v>
      </c>
      <c r="ZO406" s="56"/>
      <c r="ZP406" s="242">
        <f t="shared" si="2955"/>
        <v>0</v>
      </c>
      <c r="ZQ406" s="242">
        <f t="shared" si="2956"/>
        <v>0</v>
      </c>
      <c r="ZR406" s="56"/>
      <c r="ZU406" s="55">
        <f t="shared" si="2957"/>
        <v>46367</v>
      </c>
      <c r="ZV406" s="56"/>
      <c r="ZW406" s="242">
        <f>SUMPRODUCT(PRODUCE!$B399:$DY399,PRODUCE!$EB$57:$IY$57)</f>
        <v>0</v>
      </c>
      <c r="ZX406" s="56"/>
      <c r="ZY406" s="242">
        <f t="shared" si="2958"/>
        <v>0</v>
      </c>
      <c r="ZZ406" s="242">
        <f t="shared" si="2959"/>
        <v>0</v>
      </c>
      <c r="AAA406" s="56"/>
      <c r="AAD406" s="55">
        <f t="shared" si="2960"/>
        <v>46367</v>
      </c>
      <c r="AAE406" s="56"/>
      <c r="AAF406" s="242">
        <f>SUMPRODUCT(PRODUCE!$B399:$DY399,PRODUCE!$EB$57:$IY$57)</f>
        <v>0</v>
      </c>
      <c r="AAG406" s="56"/>
      <c r="AAH406" s="242">
        <f t="shared" si="2961"/>
        <v>0</v>
      </c>
      <c r="AAI406" s="242">
        <f t="shared" si="2962"/>
        <v>0</v>
      </c>
      <c r="AAJ406" s="56"/>
      <c r="AAM406" s="55">
        <f t="shared" si="2963"/>
        <v>46367</v>
      </c>
      <c r="AAN406" s="56"/>
      <c r="AAO406" s="242">
        <f>SUMPRODUCT(PRODUCE!$B399:$DY399,PRODUCE!$EB$57:$IY$57)</f>
        <v>0</v>
      </c>
      <c r="AAP406" s="56"/>
      <c r="AAQ406" s="242">
        <f t="shared" si="2964"/>
        <v>0</v>
      </c>
      <c r="AAR406" s="242">
        <f t="shared" si="2965"/>
        <v>0</v>
      </c>
      <c r="AAS406" s="56"/>
      <c r="AAV406" s="55">
        <f t="shared" si="2966"/>
        <v>46367</v>
      </c>
      <c r="AAW406" s="56"/>
      <c r="AAX406" s="242">
        <f>SUMPRODUCT(PRODUCE!$B399:$DY399,PRODUCE!$EB$57:$IY$57)</f>
        <v>0</v>
      </c>
      <c r="AAY406" s="56"/>
      <c r="AAZ406" s="242">
        <f t="shared" si="2967"/>
        <v>0</v>
      </c>
      <c r="ABA406" s="242">
        <f t="shared" si="2968"/>
        <v>0</v>
      </c>
      <c r="ABB406" s="56"/>
      <c r="ABE406" s="55">
        <f t="shared" si="2969"/>
        <v>46367</v>
      </c>
      <c r="ABF406" s="56"/>
      <c r="ABG406" s="242">
        <f>SUMPRODUCT(PRODUCE!$B399:$DY399,PRODUCE!$EB$57:$IY$57)</f>
        <v>0</v>
      </c>
      <c r="ABH406" s="56"/>
      <c r="ABI406" s="242">
        <f t="shared" si="2970"/>
        <v>0</v>
      </c>
      <c r="ABJ406" s="242">
        <f t="shared" si="2971"/>
        <v>0</v>
      </c>
      <c r="ABK406" s="56"/>
    </row>
    <row r="407" spans="2:739" s="54" customFormat="1" ht="15" customHeight="1" outlineLevel="1">
      <c r="B407" s="478"/>
      <c r="C407" s="55">
        <v>46368</v>
      </c>
      <c r="D407" s="56"/>
      <c r="E407" s="57">
        <f>SUMPRODUCT(PRODUCE!$B400:$DY400,PRODUCE!$EB$7:$IY$7)</f>
        <v>0</v>
      </c>
      <c r="F407" s="56"/>
      <c r="G407" s="57">
        <f t="shared" si="2727"/>
        <v>0</v>
      </c>
      <c r="H407" s="57">
        <f t="shared" si="2728"/>
        <v>236936.6</v>
      </c>
      <c r="I407" s="289"/>
      <c r="L407" s="55">
        <f t="shared" si="2729"/>
        <v>46368</v>
      </c>
      <c r="M407" s="56"/>
      <c r="N407" s="59">
        <f>SUMPRODUCT(PRODUCE!$B400:$DY400,PRODUCE!$EB$8:$IY$8)</f>
        <v>0</v>
      </c>
      <c r="O407" s="56"/>
      <c r="P407" s="59">
        <f t="shared" si="2730"/>
        <v>0</v>
      </c>
      <c r="Q407" s="59">
        <f t="shared" si="2731"/>
        <v>53017.600000000071</v>
      </c>
      <c r="R407" s="56"/>
      <c r="U407" s="55">
        <f t="shared" si="2732"/>
        <v>46368</v>
      </c>
      <c r="V407" s="56"/>
      <c r="W407" s="60">
        <f>SUMPRODUCT(PRODUCE!$B400:$DY400,PRODUCE!$EB$9:$IY$9)</f>
        <v>0</v>
      </c>
      <c r="X407" s="56"/>
      <c r="Y407" s="60">
        <f t="shared" si="2733"/>
        <v>0</v>
      </c>
      <c r="Z407" s="60">
        <f t="shared" si="2734"/>
        <v>42674.199999999968</v>
      </c>
      <c r="AA407" s="56"/>
      <c r="AD407" s="55">
        <f t="shared" si="2735"/>
        <v>46368</v>
      </c>
      <c r="AE407" s="56"/>
      <c r="AF407" s="61">
        <f>SUMPRODUCT(PRODUCE!$B400:$DY400,PRODUCE!$EB$10:$IY$10)</f>
        <v>0</v>
      </c>
      <c r="AG407" s="56"/>
      <c r="AH407" s="61">
        <f t="shared" si="2736"/>
        <v>0</v>
      </c>
      <c r="AI407" s="61">
        <f t="shared" si="2737"/>
        <v>4522.2000000000189</v>
      </c>
      <c r="AJ407" s="56"/>
      <c r="AM407" s="55">
        <f t="shared" si="2738"/>
        <v>46368</v>
      </c>
      <c r="AN407" s="422"/>
      <c r="AO407" s="444">
        <f>SUMPRODUCT(PRODUCE!$B400:$DY400,PRODUCE!$EB$11:$IY$11)</f>
        <v>0</v>
      </c>
      <c r="AP407" s="422"/>
      <c r="AQ407" s="444">
        <f t="shared" si="2739"/>
        <v>0</v>
      </c>
      <c r="AR407" s="444">
        <f t="shared" si="2740"/>
        <v>0</v>
      </c>
      <c r="AS407" s="56"/>
      <c r="AV407" s="55">
        <f t="shared" si="2741"/>
        <v>46368</v>
      </c>
      <c r="AW407" s="56"/>
      <c r="AX407" s="62">
        <f>SUMPRODUCT(PRODUCE!$B400:$DY400,PRODUCE!$EB$12:$IY$12)</f>
        <v>0</v>
      </c>
      <c r="AY407" s="56"/>
      <c r="AZ407" s="62">
        <f t="shared" si="2742"/>
        <v>0</v>
      </c>
      <c r="BA407" s="62">
        <f t="shared" si="2743"/>
        <v>124.99999999999523</v>
      </c>
      <c r="BB407" s="56"/>
      <c r="BE407" s="55">
        <f t="shared" si="2744"/>
        <v>46368</v>
      </c>
      <c r="BF407" s="56"/>
      <c r="BG407" s="63">
        <f>SUMPRODUCT(PRODUCE!$B400:$DY400,PRODUCE!$EB$13:$IY$13)</f>
        <v>0</v>
      </c>
      <c r="BH407" s="56"/>
      <c r="BI407" s="63">
        <f t="shared" si="2745"/>
        <v>0</v>
      </c>
      <c r="BJ407" s="63">
        <f t="shared" si="2746"/>
        <v>26151.899999999998</v>
      </c>
      <c r="BK407" s="56"/>
      <c r="BN407" s="55">
        <f t="shared" si="2747"/>
        <v>46368</v>
      </c>
      <c r="BO407" s="56"/>
      <c r="BP407" s="64">
        <f>SUMPRODUCT(PRODUCE!$B400:$DY400,PRODUCE!$EB$14:$IY$14)</f>
        <v>0</v>
      </c>
      <c r="BQ407" s="56"/>
      <c r="BR407" s="64">
        <f t="shared" si="2748"/>
        <v>0</v>
      </c>
      <c r="BS407" s="64">
        <f t="shared" si="2749"/>
        <v>0</v>
      </c>
      <c r="BT407" s="56"/>
      <c r="BW407" s="55">
        <f t="shared" si="2750"/>
        <v>46368</v>
      </c>
      <c r="BX407" s="56"/>
      <c r="BY407" s="65">
        <f>SUMPRODUCT(PRODUCE!$B400:$DY400,PRODUCE!$EB$15:$IY$15)</f>
        <v>0</v>
      </c>
      <c r="BZ407" s="56"/>
      <c r="CA407" s="65">
        <f t="shared" si="2751"/>
        <v>0</v>
      </c>
      <c r="CB407" s="65">
        <f t="shared" si="2752"/>
        <v>2097.3399999999992</v>
      </c>
      <c r="CC407" s="56"/>
      <c r="CF407" s="55">
        <f t="shared" si="2753"/>
        <v>46368</v>
      </c>
      <c r="CG407" s="56"/>
      <c r="CH407" s="66">
        <f>SUMPRODUCT(PRODUCE!$B400:$DY400,PRODUCE!$EB$16:$IY$16)</f>
        <v>0</v>
      </c>
      <c r="CI407" s="56"/>
      <c r="CJ407" s="66">
        <f t="shared" si="2754"/>
        <v>0</v>
      </c>
      <c r="CK407" s="66">
        <f t="shared" si="2755"/>
        <v>-10277.079999999998</v>
      </c>
      <c r="CL407" s="56"/>
      <c r="CO407" s="55">
        <f t="shared" si="2756"/>
        <v>46368</v>
      </c>
      <c r="CP407" s="422"/>
      <c r="CQ407" s="470">
        <f>SUMPRODUCT(PRODUCE!$B400:$DY400,PRODUCE!$EB$17:$IY$17)</f>
        <v>0</v>
      </c>
      <c r="CR407" s="422"/>
      <c r="CS407" s="470">
        <f t="shared" si="2757"/>
        <v>0</v>
      </c>
      <c r="CT407" s="470">
        <f t="shared" si="2758"/>
        <v>0</v>
      </c>
      <c r="CU407" s="56"/>
      <c r="CX407" s="55">
        <f t="shared" si="2759"/>
        <v>46368</v>
      </c>
      <c r="CY407" s="56"/>
      <c r="CZ407" s="133">
        <f>SUMPRODUCT(PRODUCE!$B400:$DY400,PRODUCE!$EB$18:$IY$18)</f>
        <v>0</v>
      </c>
      <c r="DA407" s="56"/>
      <c r="DB407" s="133">
        <f t="shared" si="2760"/>
        <v>0</v>
      </c>
      <c r="DC407" s="133">
        <f t="shared" si="2761"/>
        <v>27438.200000000012</v>
      </c>
      <c r="DD407" s="56"/>
      <c r="DG407" s="55">
        <f t="shared" si="2762"/>
        <v>46368</v>
      </c>
      <c r="DH407" s="56"/>
      <c r="DI407" s="147">
        <f>SUMPRODUCT(PRODUCE!$B400:$DY400,PRODUCE!$EB$19:$IY$19)</f>
        <v>0</v>
      </c>
      <c r="DJ407" s="56"/>
      <c r="DK407" s="147">
        <f t="shared" si="2763"/>
        <v>0</v>
      </c>
      <c r="DL407" s="147">
        <f t="shared" si="2764"/>
        <v>18782.299999999981</v>
      </c>
      <c r="DM407" s="56"/>
      <c r="DP407" s="55">
        <f t="shared" si="2765"/>
        <v>46368</v>
      </c>
      <c r="DQ407" s="56"/>
      <c r="DR407" s="57">
        <f>SUMPRODUCT(PRODUCE!$B400:$DY400,PRODUCE!$EB$20:$IY$20)</f>
        <v>0</v>
      </c>
      <c r="DS407" s="56"/>
      <c r="DT407" s="57">
        <f t="shared" si="2766"/>
        <v>0</v>
      </c>
      <c r="DU407" s="57">
        <f t="shared" si="2767"/>
        <v>5800</v>
      </c>
      <c r="DV407" s="56"/>
      <c r="DY407" s="55">
        <f t="shared" si="2768"/>
        <v>46368</v>
      </c>
      <c r="DZ407" s="56"/>
      <c r="EA407" s="157">
        <f>SUMPRODUCT(PRODUCE!$B400:$DY400,PRODUCE!$EB$21:$IY$21)</f>
        <v>0</v>
      </c>
      <c r="EB407" s="56"/>
      <c r="EC407" s="157">
        <f t="shared" si="2769"/>
        <v>0</v>
      </c>
      <c r="ED407" s="157">
        <f t="shared" si="2770"/>
        <v>0</v>
      </c>
      <c r="EE407" s="56"/>
      <c r="EH407" s="55">
        <f t="shared" si="2771"/>
        <v>46368</v>
      </c>
      <c r="EI407" s="56"/>
      <c r="EJ407" s="162">
        <f>SUMPRODUCT(PRODUCE!$B400:$DY400,PRODUCE!$EB$22:$IY$22)</f>
        <v>0</v>
      </c>
      <c r="EK407" s="56"/>
      <c r="EL407" s="162">
        <f t="shared" si="2772"/>
        <v>0</v>
      </c>
      <c r="EM407" s="162">
        <f t="shared" si="2773"/>
        <v>0</v>
      </c>
      <c r="EN407" s="56"/>
      <c r="EQ407" s="55">
        <f t="shared" si="2774"/>
        <v>46368</v>
      </c>
      <c r="ER407" s="56"/>
      <c r="ES407" s="135">
        <f>SUMPRODUCT(PRODUCE!$B400:$DY400,PRODUCE!$EB$23:$IY$23)</f>
        <v>0</v>
      </c>
      <c r="ET407" s="56"/>
      <c r="EU407" s="135">
        <f t="shared" si="2775"/>
        <v>0</v>
      </c>
      <c r="EV407" s="135">
        <f t="shared" si="2776"/>
        <v>0</v>
      </c>
      <c r="EW407" s="56"/>
      <c r="EZ407" s="55">
        <f t="shared" si="2777"/>
        <v>46368</v>
      </c>
      <c r="FA407" s="56"/>
      <c r="FB407" s="175">
        <f>SUMPRODUCT(PRODUCE!$B400:$DY400,PRODUCE!$EB$24:$IY$24)</f>
        <v>0</v>
      </c>
      <c r="FC407" s="56"/>
      <c r="FD407" s="175">
        <f t="shared" si="2778"/>
        <v>0</v>
      </c>
      <c r="FE407" s="175">
        <f t="shared" si="2779"/>
        <v>0</v>
      </c>
      <c r="FF407" s="56"/>
      <c r="FI407" s="55">
        <f t="shared" si="2780"/>
        <v>46368</v>
      </c>
      <c r="FJ407" s="56"/>
      <c r="FK407" s="183">
        <f>SUMPRODUCT(PRODUCE!$B400:$DY400,PRODUCE!$EB$25:$IY$25)</f>
        <v>0</v>
      </c>
      <c r="FL407" s="56"/>
      <c r="FM407" s="183">
        <f t="shared" si="2781"/>
        <v>0</v>
      </c>
      <c r="FN407" s="183">
        <f t="shared" si="2782"/>
        <v>0</v>
      </c>
      <c r="FO407" s="56"/>
      <c r="FR407" s="55">
        <f t="shared" si="2783"/>
        <v>46368</v>
      </c>
      <c r="FS407" s="56"/>
      <c r="FT407" s="186">
        <f>SUMPRODUCT(PRODUCE!$B400:$DY400,PRODUCE!$EB$26:$IY$26)</f>
        <v>0</v>
      </c>
      <c r="FU407" s="56"/>
      <c r="FV407" s="186">
        <f t="shared" si="2784"/>
        <v>0</v>
      </c>
      <c r="FW407" s="186">
        <f t="shared" si="2785"/>
        <v>2020</v>
      </c>
      <c r="FX407" s="56"/>
      <c r="GA407" s="55">
        <f t="shared" si="2786"/>
        <v>46368</v>
      </c>
      <c r="GB407" s="56"/>
      <c r="GC407" s="137">
        <f>SUMPRODUCT(PRODUCE!$B400:$DY400,PRODUCE!$EB$27:$IY$27)</f>
        <v>0</v>
      </c>
      <c r="GD407" s="56"/>
      <c r="GE407" s="137">
        <f t="shared" si="2787"/>
        <v>0</v>
      </c>
      <c r="GF407" s="137">
        <f t="shared" si="2788"/>
        <v>960</v>
      </c>
      <c r="GG407" s="56"/>
      <c r="GI407" s="23"/>
      <c r="GJ407" s="55">
        <f t="shared" si="2789"/>
        <v>46368</v>
      </c>
      <c r="GK407" s="56"/>
      <c r="GL407" s="199">
        <f>SUMPRODUCT(PRODUCE!$B400:$DY400,PRODUCE!$EB$28:$IY$28)</f>
        <v>0</v>
      </c>
      <c r="GM407" s="56"/>
      <c r="GN407" s="199">
        <f t="shared" si="2790"/>
        <v>0</v>
      </c>
      <c r="GO407" s="199">
        <f t="shared" si="2791"/>
        <v>1760</v>
      </c>
      <c r="GP407" s="56"/>
      <c r="GS407" s="55">
        <f t="shared" si="2792"/>
        <v>46368</v>
      </c>
      <c r="GT407" s="56"/>
      <c r="GU407" s="195">
        <f>SUMPRODUCT(PRODUCE!$B400:$DY400,PRODUCE!$EB$29:$IY$29)</f>
        <v>0</v>
      </c>
      <c r="GV407" s="56"/>
      <c r="GW407" s="195">
        <f t="shared" si="2793"/>
        <v>0</v>
      </c>
      <c r="GX407" s="195">
        <f t="shared" si="2794"/>
        <v>400</v>
      </c>
      <c r="GY407" s="56"/>
      <c r="HB407" s="55">
        <f t="shared" si="2795"/>
        <v>46368</v>
      </c>
      <c r="HC407" s="56"/>
      <c r="HD407" s="191">
        <f>SUMPRODUCT(PRODUCE!$B400:$DY400,PRODUCE!$EB$30:$IY$30)</f>
        <v>0</v>
      </c>
      <c r="HE407" s="56"/>
      <c r="HF407" s="191">
        <f t="shared" si="2796"/>
        <v>0</v>
      </c>
      <c r="HG407" s="191">
        <f t="shared" si="2797"/>
        <v>3600</v>
      </c>
      <c r="HH407" s="56"/>
      <c r="HK407" s="55">
        <f t="shared" si="2798"/>
        <v>46368</v>
      </c>
      <c r="HL407" s="56"/>
      <c r="HM407" s="63">
        <f>SUMPRODUCT(PRODUCE!$B400:$DY400,PRODUCE!$EB$31:$IY$31)</f>
        <v>0</v>
      </c>
      <c r="HN407" s="56"/>
      <c r="HO407" s="63">
        <f t="shared" si="2799"/>
        <v>0</v>
      </c>
      <c r="HP407" s="63">
        <f t="shared" si="2800"/>
        <v>0</v>
      </c>
      <c r="HQ407" s="56"/>
      <c r="HU407" s="55">
        <f t="shared" si="2801"/>
        <v>46368</v>
      </c>
      <c r="HV407" s="56"/>
      <c r="HW407" s="242">
        <f>SUMPRODUCT(PRODUCE!$B400:$DY400,PRODUCE!$EB$32:$IY$32)</f>
        <v>0</v>
      </c>
      <c r="HX407" s="56"/>
      <c r="HY407" s="242">
        <f t="shared" si="2802"/>
        <v>0</v>
      </c>
      <c r="HZ407" s="242">
        <f t="shared" si="2803"/>
        <v>6120</v>
      </c>
      <c r="IA407" s="56"/>
      <c r="ID407" s="55">
        <f t="shared" si="2804"/>
        <v>46368</v>
      </c>
      <c r="IE407" s="56"/>
      <c r="IF407" s="242">
        <f>SUMPRODUCT(PRODUCE!$B400:$DY400,PRODUCE!$EB$33:$IY$33)</f>
        <v>0</v>
      </c>
      <c r="IG407" s="56"/>
      <c r="IH407" s="242">
        <f t="shared" si="2805"/>
        <v>0</v>
      </c>
      <c r="II407" s="242">
        <f t="shared" si="2806"/>
        <v>0</v>
      </c>
      <c r="IJ407" s="56"/>
      <c r="IM407" s="55">
        <f t="shared" si="2807"/>
        <v>46368</v>
      </c>
      <c r="IN407" s="56"/>
      <c r="IO407" s="242">
        <f>SUMPRODUCT(PRODUCE!$B400:$DY400,PRODUCE!$EB$34:$IY$34)</f>
        <v>0</v>
      </c>
      <c r="IP407" s="56"/>
      <c r="IQ407" s="242">
        <f t="shared" si="2808"/>
        <v>0</v>
      </c>
      <c r="IR407" s="242">
        <f t="shared" si="2809"/>
        <v>0</v>
      </c>
      <c r="IS407" s="56"/>
      <c r="IV407" s="55">
        <f t="shared" si="2810"/>
        <v>46368</v>
      </c>
      <c r="IW407" s="56"/>
      <c r="IX407" s="242">
        <f>SUMPRODUCT(PRODUCE!$B400:$DY400,PRODUCE!$EB$35:$IY$35)</f>
        <v>0</v>
      </c>
      <c r="IY407" s="56"/>
      <c r="IZ407" s="242">
        <f t="shared" si="2811"/>
        <v>0</v>
      </c>
      <c r="JA407" s="242">
        <f t="shared" si="2812"/>
        <v>2820</v>
      </c>
      <c r="JB407" s="56"/>
      <c r="JE407" s="55">
        <f t="shared" si="2813"/>
        <v>46368</v>
      </c>
      <c r="JF407" s="56"/>
      <c r="JG407" s="242">
        <f>SUMPRODUCT(PRODUCE!$B400:$DY400,PRODUCE!$EB$36:$IY$36)</f>
        <v>0</v>
      </c>
      <c r="JH407" s="56"/>
      <c r="JI407" s="242">
        <f t="shared" si="2814"/>
        <v>0</v>
      </c>
      <c r="JJ407" s="242">
        <f t="shared" si="2815"/>
        <v>0</v>
      </c>
      <c r="JK407" s="56"/>
      <c r="JN407" s="55">
        <f t="shared" si="2816"/>
        <v>46368</v>
      </c>
      <c r="JO407" s="56"/>
      <c r="JP407" s="242">
        <f>SUMPRODUCT(PRODUCE!$B400:$DY400,PRODUCE!$EB$37:$IY$37)</f>
        <v>0</v>
      </c>
      <c r="JQ407" s="56"/>
      <c r="JR407" s="242">
        <f t="shared" si="2817"/>
        <v>0</v>
      </c>
      <c r="JS407" s="242">
        <f t="shared" si="2818"/>
        <v>0</v>
      </c>
      <c r="JT407" s="56"/>
      <c r="JW407" s="55">
        <f t="shared" si="2819"/>
        <v>46368</v>
      </c>
      <c r="JX407" s="56"/>
      <c r="JY407" s="242">
        <f>SUMPRODUCT(PRODUCE!$B400:$DY400,PRODUCE!$EB$38:$IY$38)</f>
        <v>0</v>
      </c>
      <c r="JZ407" s="56"/>
      <c r="KA407" s="242">
        <f t="shared" si="2820"/>
        <v>0</v>
      </c>
      <c r="KB407" s="242">
        <f t="shared" si="2821"/>
        <v>2540</v>
      </c>
      <c r="KC407" s="56"/>
      <c r="KF407" s="55">
        <f t="shared" si="2822"/>
        <v>46368</v>
      </c>
      <c r="KG407" s="56"/>
      <c r="KH407" s="242">
        <f>SUMPRODUCT(PRODUCE!$B400:$DY400,PRODUCE!$EB$39:$IY$39)</f>
        <v>0</v>
      </c>
      <c r="KI407" s="56"/>
      <c r="KJ407" s="242">
        <f t="shared" si="2823"/>
        <v>0</v>
      </c>
      <c r="KK407" s="242">
        <f t="shared" si="2824"/>
        <v>2359.5</v>
      </c>
      <c r="KL407" s="56"/>
      <c r="KO407" s="55">
        <f t="shared" si="2825"/>
        <v>46368</v>
      </c>
      <c r="KP407" s="56"/>
      <c r="KQ407" s="242">
        <f>SUMPRODUCT(PRODUCE!$B400:$DY400,PRODUCE!$EB$40:$IY$40)</f>
        <v>0</v>
      </c>
      <c r="KR407" s="56"/>
      <c r="KS407" s="242">
        <f t="shared" si="2826"/>
        <v>0</v>
      </c>
      <c r="KT407" s="242">
        <f t="shared" si="2827"/>
        <v>1890</v>
      </c>
      <c r="KU407" s="56"/>
      <c r="KW407" s="23"/>
      <c r="KX407" s="55">
        <f t="shared" si="2828"/>
        <v>46368</v>
      </c>
      <c r="KY407" s="56"/>
      <c r="KZ407" s="242">
        <f>SUMPRODUCT(PRODUCE!$B400:$DY400,PRODUCE!$EB$41:$IY$41)</f>
        <v>0</v>
      </c>
      <c r="LA407" s="56"/>
      <c r="LB407" s="242">
        <f t="shared" si="2829"/>
        <v>0</v>
      </c>
      <c r="LC407" s="242">
        <f t="shared" si="2830"/>
        <v>3690</v>
      </c>
      <c r="LD407" s="56"/>
      <c r="LG407" s="55">
        <f t="shared" si="2831"/>
        <v>46368</v>
      </c>
      <c r="LH407" s="56"/>
      <c r="LI407" s="242">
        <f>SUMPRODUCT(PRODUCE!$B400:$DY400,PRODUCE!$EB$42:$IY$42)</f>
        <v>0</v>
      </c>
      <c r="LJ407" s="56"/>
      <c r="LK407" s="242">
        <f t="shared" si="2832"/>
        <v>0</v>
      </c>
      <c r="LL407" s="242">
        <f t="shared" si="2833"/>
        <v>4000</v>
      </c>
      <c r="LM407" s="56"/>
      <c r="LP407" s="55">
        <f t="shared" si="2834"/>
        <v>46368</v>
      </c>
      <c r="LQ407" s="56"/>
      <c r="LR407" s="242">
        <f>SUMPRODUCT(PRODUCE!$B422:$DY422,PRODUCE!$EB$43:$IY$43)</f>
        <v>0</v>
      </c>
      <c r="LS407" s="56"/>
      <c r="LT407" s="242">
        <f t="shared" si="2835"/>
        <v>0</v>
      </c>
      <c r="LU407" s="242">
        <f t="shared" si="2836"/>
        <v>0</v>
      </c>
      <c r="LV407" s="56"/>
      <c r="LY407" s="55">
        <f t="shared" si="2837"/>
        <v>46368</v>
      </c>
      <c r="LZ407" s="56"/>
      <c r="MA407" s="242">
        <f>SUMPRODUCT(PRODUCE!$B400:$DY400,PRODUCE!$EB$44:$IY$44)</f>
        <v>0</v>
      </c>
      <c r="MB407" s="56"/>
      <c r="MC407" s="242">
        <f t="shared" si="2838"/>
        <v>0</v>
      </c>
      <c r="MD407" s="242">
        <f t="shared" si="2839"/>
        <v>0</v>
      </c>
      <c r="ME407" s="56"/>
      <c r="MH407" s="55">
        <f t="shared" si="2840"/>
        <v>46368</v>
      </c>
      <c r="MI407" s="56"/>
      <c r="MJ407" s="242">
        <f>SUMPRODUCT(PRODUCE!$B400:$DY400,PRODUCE!$EB$45:$IY$45)</f>
        <v>0</v>
      </c>
      <c r="MK407" s="56"/>
      <c r="ML407" s="242">
        <f t="shared" si="2841"/>
        <v>0</v>
      </c>
      <c r="MM407" s="242">
        <f t="shared" si="2842"/>
        <v>-18</v>
      </c>
      <c r="MN407" s="56"/>
      <c r="MQ407" s="55">
        <f t="shared" si="2843"/>
        <v>46368</v>
      </c>
      <c r="MR407" s="56"/>
      <c r="MS407" s="242">
        <f>SUMPRODUCT(PRODUCE!$B400:$DY400,PRODUCE!$EB$46:$IY$46)</f>
        <v>0</v>
      </c>
      <c r="MT407" s="56"/>
      <c r="MU407" s="242">
        <f t="shared" si="2844"/>
        <v>0</v>
      </c>
      <c r="MV407" s="242">
        <f t="shared" si="2845"/>
        <v>1559</v>
      </c>
      <c r="MW407" s="56"/>
      <c r="MZ407" s="55">
        <f t="shared" si="2846"/>
        <v>46368</v>
      </c>
      <c r="NA407" s="56"/>
      <c r="NB407" s="242">
        <f>SUMPRODUCT(PRODUCE!$B400:$DY400,PRODUCE!$EB$47:$IY$47)</f>
        <v>0</v>
      </c>
      <c r="NC407" s="56"/>
      <c r="ND407" s="242">
        <f t="shared" si="2847"/>
        <v>0</v>
      </c>
      <c r="NE407" s="242">
        <f t="shared" si="2848"/>
        <v>0</v>
      </c>
      <c r="NF407" s="56"/>
      <c r="NI407" s="55">
        <f t="shared" si="2849"/>
        <v>46368</v>
      </c>
      <c r="NJ407" s="56"/>
      <c r="NK407" s="242">
        <f>SUMPRODUCT(PRODUCE!$B400:$DY400,PRODUCE!$EB$48:$IY$48)</f>
        <v>0</v>
      </c>
      <c r="NL407" s="56"/>
      <c r="NM407" s="242">
        <f t="shared" si="2850"/>
        <v>0</v>
      </c>
      <c r="NN407" s="242">
        <f t="shared" si="2851"/>
        <v>1127</v>
      </c>
      <c r="NO407" s="56"/>
      <c r="NR407" s="55">
        <f t="shared" si="2852"/>
        <v>46368</v>
      </c>
      <c r="NS407" s="56"/>
      <c r="NT407" s="242">
        <f>SUMPRODUCT(PRODUCE!$B400:$DY400,PRODUCE!$EB$49:$IY$49)</f>
        <v>0</v>
      </c>
      <c r="NU407" s="56"/>
      <c r="NV407" s="242">
        <f t="shared" si="2853"/>
        <v>0</v>
      </c>
      <c r="NW407" s="242">
        <f t="shared" si="2854"/>
        <v>3111.9999999999995</v>
      </c>
      <c r="NX407" s="56"/>
      <c r="OA407" s="55">
        <f t="shared" si="2855"/>
        <v>46368</v>
      </c>
      <c r="OB407" s="56"/>
      <c r="OC407" s="242">
        <f>SUMPRODUCT(PRODUCE!$B400:$DY400,PRODUCE!$EB$50:$IY$50)</f>
        <v>0</v>
      </c>
      <c r="OD407" s="56"/>
      <c r="OE407" s="242">
        <f t="shared" si="2856"/>
        <v>0</v>
      </c>
      <c r="OF407" s="242">
        <f t="shared" si="2857"/>
        <v>1680.5</v>
      </c>
      <c r="OG407" s="56"/>
      <c r="OJ407" s="55">
        <f t="shared" si="2858"/>
        <v>46368</v>
      </c>
      <c r="OK407" s="56"/>
      <c r="OL407" s="242">
        <f>SUMPRODUCT(PRODUCE!$B400:$DY400,PRODUCE!$EB$51:$IY$51)</f>
        <v>0</v>
      </c>
      <c r="OM407" s="56"/>
      <c r="ON407" s="242">
        <f t="shared" si="2859"/>
        <v>0</v>
      </c>
      <c r="OO407" s="242">
        <f t="shared" si="2860"/>
        <v>0</v>
      </c>
      <c r="OP407" s="56"/>
      <c r="OS407" s="55">
        <f t="shared" si="2861"/>
        <v>46368</v>
      </c>
      <c r="OT407" s="56"/>
      <c r="OU407" s="242">
        <f>SUMPRODUCT(PRODUCE!$B400:$DY400,PRODUCE!$EB$52:$IY$52)</f>
        <v>0</v>
      </c>
      <c r="OV407" s="56"/>
      <c r="OW407" s="242">
        <f t="shared" si="2862"/>
        <v>0</v>
      </c>
      <c r="OX407" s="242">
        <f t="shared" si="2863"/>
        <v>1482</v>
      </c>
      <c r="OY407" s="56"/>
      <c r="PB407" s="55">
        <f t="shared" si="2864"/>
        <v>46368</v>
      </c>
      <c r="PC407" s="56"/>
      <c r="PD407" s="242">
        <f>SUMPRODUCT(PRODUCE!$B400:$DY400,PRODUCE!$EB$53:$IY$53)</f>
        <v>0</v>
      </c>
      <c r="PE407" s="56"/>
      <c r="PF407" s="242">
        <f t="shared" si="2865"/>
        <v>0</v>
      </c>
      <c r="PG407" s="242">
        <f t="shared" si="2866"/>
        <v>0</v>
      </c>
      <c r="PH407" s="56"/>
      <c r="PK407" s="55">
        <f t="shared" si="2867"/>
        <v>46368</v>
      </c>
      <c r="PL407" s="56"/>
      <c r="PM407" s="242">
        <f>SUMPRODUCT(PRODUCE!$B400:$DY400,PRODUCE!$EB$54:$IY$54)</f>
        <v>0</v>
      </c>
      <c r="PN407" s="56"/>
      <c r="PO407" s="242">
        <f t="shared" si="2868"/>
        <v>0</v>
      </c>
      <c r="PP407" s="242">
        <f t="shared" si="2869"/>
        <v>100</v>
      </c>
      <c r="PQ407" s="56"/>
      <c r="PT407" s="55">
        <f t="shared" si="2870"/>
        <v>46368</v>
      </c>
      <c r="PU407" s="56"/>
      <c r="PV407" s="242">
        <f>SUMPRODUCT(PRODUCE!$B400:$DY400,PRODUCE!$EB$55:$IY$55)</f>
        <v>0</v>
      </c>
      <c r="PW407" s="56"/>
      <c r="PX407" s="242">
        <f t="shared" si="2871"/>
        <v>0</v>
      </c>
      <c r="PY407" s="242">
        <f t="shared" si="2872"/>
        <v>13.960000000000036</v>
      </c>
      <c r="PZ407" s="56"/>
      <c r="QC407" s="55">
        <f t="shared" si="2873"/>
        <v>46368</v>
      </c>
      <c r="QD407" s="56"/>
      <c r="QE407" s="242">
        <f>SUMPRODUCT(PRODUCE!$B400:$DY400,PRODUCE!$EB$56:$IY$56)</f>
        <v>0</v>
      </c>
      <c r="QF407" s="56"/>
      <c r="QG407" s="242">
        <f t="shared" si="2874"/>
        <v>0</v>
      </c>
      <c r="QH407" s="242">
        <f t="shared" si="2875"/>
        <v>548</v>
      </c>
      <c r="QI407" s="56"/>
      <c r="QL407" s="55">
        <f t="shared" si="2876"/>
        <v>46368</v>
      </c>
      <c r="QM407" s="56"/>
      <c r="QN407" s="242">
        <f>SUMPRODUCT(PRODUCE!$B400:$DY400,PRODUCE!$EB$57:$IY$57)</f>
        <v>0</v>
      </c>
      <c r="QO407" s="56"/>
      <c r="QP407" s="242">
        <f t="shared" si="2877"/>
        <v>0</v>
      </c>
      <c r="QQ407" s="242">
        <f t="shared" si="2878"/>
        <v>0</v>
      </c>
      <c r="QR407" s="56"/>
      <c r="QU407" s="55">
        <f t="shared" si="2879"/>
        <v>46368</v>
      </c>
      <c r="QV407" s="56"/>
      <c r="QW407" s="242">
        <f>SUMPRODUCT(PRODUCE!$B400:$DY400,PRODUCE!$EB$57:$IY$57)</f>
        <v>0</v>
      </c>
      <c r="QX407" s="56"/>
      <c r="QY407" s="242">
        <f t="shared" si="2880"/>
        <v>0</v>
      </c>
      <c r="QZ407" s="242">
        <f t="shared" si="2881"/>
        <v>0</v>
      </c>
      <c r="RA407" s="56"/>
      <c r="RD407" s="55">
        <f t="shared" si="2882"/>
        <v>46368</v>
      </c>
      <c r="RE407" s="56"/>
      <c r="RF407" s="242">
        <f>SUMPRODUCT(PRODUCE!$B400:$DY400,PRODUCE!$EB$58:$IY$58)</f>
        <v>0</v>
      </c>
      <c r="RG407" s="56"/>
      <c r="RH407" s="242">
        <f t="shared" si="2883"/>
        <v>0</v>
      </c>
      <c r="RI407" s="242">
        <f t="shared" si="2884"/>
        <v>147.04000000000002</v>
      </c>
      <c r="RJ407" s="56"/>
      <c r="RM407" s="55">
        <f t="shared" si="2885"/>
        <v>46368</v>
      </c>
      <c r="RN407" s="56"/>
      <c r="RO407" s="242">
        <f>SUMPRODUCT(PRODUCE!$B400:$DY400,PRODUCE!$EB$57:$IY$57)</f>
        <v>0</v>
      </c>
      <c r="RP407" s="56"/>
      <c r="RQ407" s="242">
        <f t="shared" si="2886"/>
        <v>0</v>
      </c>
      <c r="RR407" s="242">
        <f t="shared" si="2887"/>
        <v>46.8</v>
      </c>
      <c r="RS407" s="56"/>
      <c r="RV407" s="55">
        <f t="shared" si="2888"/>
        <v>46368</v>
      </c>
      <c r="RW407" s="56"/>
      <c r="RX407" s="242">
        <f>SUMPRODUCT(PRODUCE!$B400:$DY400,PRODUCE!$EB$57:$IY$57)</f>
        <v>0</v>
      </c>
      <c r="RY407" s="56"/>
      <c r="RZ407" s="242">
        <f t="shared" si="2889"/>
        <v>0</v>
      </c>
      <c r="SA407" s="242">
        <f t="shared" si="2890"/>
        <v>0</v>
      </c>
      <c r="SB407" s="56"/>
      <c r="SE407" s="55">
        <f t="shared" si="2891"/>
        <v>46368</v>
      </c>
      <c r="SF407" s="56"/>
      <c r="SG407" s="242">
        <f>SUMPRODUCT(PRODUCE!$B400:$DY400,PRODUCE!$EB$61:$IY$61)</f>
        <v>0</v>
      </c>
      <c r="SH407" s="56"/>
      <c r="SI407" s="242">
        <f t="shared" si="2892"/>
        <v>0</v>
      </c>
      <c r="SJ407" s="242">
        <f t="shared" si="2893"/>
        <v>24.200000000000003</v>
      </c>
      <c r="SK407" s="56"/>
      <c r="SN407" s="55">
        <f t="shared" si="2894"/>
        <v>46368</v>
      </c>
      <c r="SO407" s="56"/>
      <c r="SP407" s="242">
        <f>SUMPRODUCT(PRODUCE!$B400:$DY400,PRODUCE!$EB$57:$IY$57)</f>
        <v>0</v>
      </c>
      <c r="SQ407" s="56"/>
      <c r="SR407" s="242">
        <f t="shared" si="2895"/>
        <v>0</v>
      </c>
      <c r="SS407" s="242">
        <f t="shared" si="2896"/>
        <v>32</v>
      </c>
      <c r="ST407" s="56"/>
      <c r="SW407" s="55">
        <f t="shared" si="2897"/>
        <v>46368</v>
      </c>
      <c r="SX407" s="56"/>
      <c r="SY407" s="242">
        <f>SUMPRODUCT(PRODUCE!$B400:$DY400,PRODUCE!$EB$57:$IY$57)</f>
        <v>0</v>
      </c>
      <c r="SZ407" s="56"/>
      <c r="TA407" s="242">
        <f t="shared" si="2898"/>
        <v>0</v>
      </c>
      <c r="TB407" s="242">
        <f t="shared" si="2899"/>
        <v>0</v>
      </c>
      <c r="TC407" s="56"/>
      <c r="TF407" s="55">
        <f t="shared" si="2900"/>
        <v>46368</v>
      </c>
      <c r="TG407" s="56"/>
      <c r="TH407" s="242">
        <f>SUMPRODUCT(PRODUCE!$B400:$DY400,PRODUCE!$EB$57:$IY$57)</f>
        <v>0</v>
      </c>
      <c r="TI407" s="56"/>
      <c r="TJ407" s="242">
        <f t="shared" si="2901"/>
        <v>0</v>
      </c>
      <c r="TK407" s="242">
        <f t="shared" si="2902"/>
        <v>0</v>
      </c>
      <c r="TL407" s="56"/>
      <c r="TO407" s="55">
        <f t="shared" si="2903"/>
        <v>46368</v>
      </c>
      <c r="TP407" s="56"/>
      <c r="TQ407" s="242">
        <f>SUMPRODUCT(PRODUCE!$B400:$DY400,PRODUCE!$EB$57:$IY$57)</f>
        <v>0</v>
      </c>
      <c r="TR407" s="56"/>
      <c r="TS407" s="242">
        <f t="shared" si="2904"/>
        <v>0</v>
      </c>
      <c r="TT407" s="242">
        <f t="shared" si="2905"/>
        <v>0</v>
      </c>
      <c r="TU407" s="56"/>
      <c r="TX407" s="55">
        <f t="shared" si="2906"/>
        <v>46368</v>
      </c>
      <c r="TY407" s="56"/>
      <c r="TZ407" s="242">
        <f>SUMPRODUCT(PRODUCE!$B400:$DY400,PRODUCE!$EB$57:$IY$57)</f>
        <v>0</v>
      </c>
      <c r="UA407" s="56"/>
      <c r="UB407" s="242">
        <f t="shared" si="2907"/>
        <v>0</v>
      </c>
      <c r="UC407" s="242">
        <f t="shared" si="2908"/>
        <v>46.799999999999983</v>
      </c>
      <c r="UD407" s="56"/>
      <c r="UG407" s="55">
        <f t="shared" si="2909"/>
        <v>46368</v>
      </c>
      <c r="UH407" s="56"/>
      <c r="UI407" s="242">
        <f>SUMPRODUCT(PRODUCE!$B400:$DY400,PRODUCE!$EB$57:$IY$57)</f>
        <v>0</v>
      </c>
      <c r="UJ407" s="56"/>
      <c r="UK407" s="242">
        <f t="shared" si="2910"/>
        <v>0</v>
      </c>
      <c r="UL407" s="242">
        <f t="shared" si="2911"/>
        <v>204</v>
      </c>
      <c r="UM407" s="56"/>
      <c r="UP407" s="55">
        <f t="shared" si="2912"/>
        <v>46368</v>
      </c>
      <c r="UQ407" s="56"/>
      <c r="UR407" s="242">
        <f>SUMPRODUCT(PRODUCE!$B400:$DY400,PRODUCE!$EB$57:$IY$57)</f>
        <v>0</v>
      </c>
      <c r="US407" s="56"/>
      <c r="UT407" s="242">
        <f t="shared" si="2913"/>
        <v>0</v>
      </c>
      <c r="UU407" s="242">
        <f t="shared" si="2914"/>
        <v>202.5</v>
      </c>
      <c r="UV407" s="56"/>
      <c r="UY407" s="55">
        <f t="shared" si="2915"/>
        <v>46368</v>
      </c>
      <c r="UZ407" s="56"/>
      <c r="VA407" s="242">
        <f>SUMPRODUCT(PRODUCE!$B400:$DY400,PRODUCE!$EB$57:$IY$57)</f>
        <v>0</v>
      </c>
      <c r="VB407" s="56"/>
      <c r="VC407" s="242">
        <f t="shared" si="2916"/>
        <v>0</v>
      </c>
      <c r="VD407" s="242">
        <f t="shared" si="2917"/>
        <v>41.600000000000023</v>
      </c>
      <c r="VE407" s="56"/>
      <c r="VH407" s="55">
        <f t="shared" si="2918"/>
        <v>46368</v>
      </c>
      <c r="VI407" s="56"/>
      <c r="VJ407" s="242">
        <f>SUMPRODUCT(PRODUCE!$B400:$DY400,PRODUCE!$EB$57:$IY$57)</f>
        <v>0</v>
      </c>
      <c r="VK407" s="56"/>
      <c r="VL407" s="242">
        <f t="shared" si="2919"/>
        <v>0</v>
      </c>
      <c r="VM407" s="242">
        <f t="shared" si="2920"/>
        <v>210</v>
      </c>
      <c r="VN407" s="56"/>
      <c r="VQ407" s="55">
        <f t="shared" si="2921"/>
        <v>46368</v>
      </c>
      <c r="VR407" s="56"/>
      <c r="VS407" s="242">
        <f>SUMPRODUCT(PRODUCE!$B400:$DY400,PRODUCE!$EB$57:$IY$57)</f>
        <v>0</v>
      </c>
      <c r="VT407" s="56"/>
      <c r="VU407" s="242">
        <f t="shared" si="2922"/>
        <v>0</v>
      </c>
      <c r="VV407" s="242">
        <f t="shared" si="2923"/>
        <v>0</v>
      </c>
      <c r="VW407" s="56"/>
      <c r="VZ407" s="55">
        <f t="shared" si="2924"/>
        <v>46368</v>
      </c>
      <c r="WA407" s="56"/>
      <c r="WB407" s="242">
        <f>SUMPRODUCT(PRODUCE!$B400:$DY400,PRODUCE!$EB$57:$IY$57)</f>
        <v>0</v>
      </c>
      <c r="WC407" s="56"/>
      <c r="WD407" s="242">
        <f t="shared" si="2925"/>
        <v>0</v>
      </c>
      <c r="WE407" s="242">
        <f t="shared" si="2926"/>
        <v>0</v>
      </c>
      <c r="WF407" s="56"/>
      <c r="WI407" s="55">
        <f t="shared" si="2927"/>
        <v>46368</v>
      </c>
      <c r="WJ407" s="56"/>
      <c r="WK407" s="242">
        <f>SUMPRODUCT(PRODUCE!$B400:$DY400,PRODUCE!$EB$57:$IY$57)</f>
        <v>0</v>
      </c>
      <c r="WL407" s="56"/>
      <c r="WM407" s="242">
        <f t="shared" si="2928"/>
        <v>0</v>
      </c>
      <c r="WN407" s="242">
        <f t="shared" si="2929"/>
        <v>1057</v>
      </c>
      <c r="WO407" s="56"/>
      <c r="WR407" s="55">
        <f t="shared" si="2930"/>
        <v>46368</v>
      </c>
      <c r="WS407" s="56"/>
      <c r="WT407" s="242">
        <f>SUMPRODUCT(PRODUCE!$B400:$DY400,PRODUCE!$EB$57:$IY$57)</f>
        <v>0</v>
      </c>
      <c r="WU407" s="56"/>
      <c r="WV407" s="242">
        <f t="shared" si="2931"/>
        <v>0</v>
      </c>
      <c r="WW407" s="242">
        <f t="shared" si="2932"/>
        <v>0</v>
      </c>
      <c r="WX407" s="56"/>
      <c r="XA407" s="55">
        <f t="shared" si="2933"/>
        <v>46368</v>
      </c>
      <c r="XB407" s="56"/>
      <c r="XC407" s="242">
        <f>SUMPRODUCT(PRODUCE!$B400:$DY400,PRODUCE!$EB$57:$IY$57)</f>
        <v>0</v>
      </c>
      <c r="XD407" s="56"/>
      <c r="XE407" s="242">
        <f t="shared" si="2934"/>
        <v>0</v>
      </c>
      <c r="XF407" s="242">
        <f t="shared" si="2935"/>
        <v>7507</v>
      </c>
      <c r="XG407" s="56"/>
      <c r="XJ407" s="55">
        <f t="shared" si="2936"/>
        <v>46368</v>
      </c>
      <c r="XK407" s="56"/>
      <c r="XL407" s="242">
        <f>SUMPRODUCT(PRODUCE!$B400:$DY400,PRODUCE!$EB$57:$IY$57)</f>
        <v>0</v>
      </c>
      <c r="XM407" s="56"/>
      <c r="XN407" s="242">
        <f t="shared" si="2937"/>
        <v>0</v>
      </c>
      <c r="XO407" s="242">
        <f t="shared" si="2938"/>
        <v>4252</v>
      </c>
      <c r="XP407" s="56"/>
      <c r="XS407" s="55">
        <f t="shared" si="2939"/>
        <v>46368</v>
      </c>
      <c r="XT407" s="56"/>
      <c r="XU407" s="242">
        <f>SUMPRODUCT(PRODUCE!$B400:$DY400,PRODUCE!$EB$57:$IY$57)</f>
        <v>0</v>
      </c>
      <c r="XV407" s="56"/>
      <c r="XW407" s="242">
        <f t="shared" si="2940"/>
        <v>0</v>
      </c>
      <c r="XX407" s="242">
        <f t="shared" si="2941"/>
        <v>2179</v>
      </c>
      <c r="XY407" s="56"/>
      <c r="YB407" s="55">
        <f t="shared" si="2942"/>
        <v>46368</v>
      </c>
      <c r="YC407" s="56"/>
      <c r="YD407" s="242">
        <f>SUMPRODUCT(PRODUCE!$B400:$DY400,PRODUCE!$EB$57:$IY$57)</f>
        <v>0</v>
      </c>
      <c r="YE407" s="56"/>
      <c r="YF407" s="242">
        <f t="shared" si="2943"/>
        <v>0</v>
      </c>
      <c r="YG407" s="242">
        <f t="shared" si="2944"/>
        <v>4019</v>
      </c>
      <c r="YH407" s="56"/>
      <c r="YK407" s="55">
        <f t="shared" si="2945"/>
        <v>46368</v>
      </c>
      <c r="YL407" s="56"/>
      <c r="YM407" s="242">
        <f>SUMPRODUCT(PRODUCE!$B400:$DY400,PRODUCE!$EB$57:$IY$57)</f>
        <v>0</v>
      </c>
      <c r="YN407" s="56"/>
      <c r="YO407" s="242">
        <f t="shared" si="2946"/>
        <v>0</v>
      </c>
      <c r="YP407" s="242">
        <f t="shared" si="2947"/>
        <v>-218</v>
      </c>
      <c r="YQ407" s="56"/>
      <c r="YT407" s="55">
        <f t="shared" si="2948"/>
        <v>46368</v>
      </c>
      <c r="YU407" s="56"/>
      <c r="YV407" s="242">
        <f>SUMPRODUCT(PRODUCE!$B400:$DY400,PRODUCE!$EB$57:$IY$57)</f>
        <v>0</v>
      </c>
      <c r="YW407" s="56"/>
      <c r="YX407" s="242">
        <f t="shared" si="2949"/>
        <v>0</v>
      </c>
      <c r="YY407" s="242">
        <f t="shared" si="2950"/>
        <v>0</v>
      </c>
      <c r="YZ407" s="56"/>
      <c r="ZC407" s="55">
        <f t="shared" si="2951"/>
        <v>46368</v>
      </c>
      <c r="ZD407" s="56"/>
      <c r="ZE407" s="242">
        <f>SUMPRODUCT(PRODUCE!$B400:$DY400,PRODUCE!$EB$57:$IY$57)</f>
        <v>0</v>
      </c>
      <c r="ZF407" s="56"/>
      <c r="ZG407" s="242">
        <f t="shared" si="2952"/>
        <v>0</v>
      </c>
      <c r="ZH407" s="242">
        <f t="shared" si="2953"/>
        <v>0</v>
      </c>
      <c r="ZI407" s="56"/>
      <c r="ZL407" s="55">
        <f t="shared" si="2954"/>
        <v>46368</v>
      </c>
      <c r="ZM407" s="56"/>
      <c r="ZN407" s="242">
        <f>SUMPRODUCT(PRODUCE!$B400:$DY400,PRODUCE!$EB$57:$IY$57)</f>
        <v>0</v>
      </c>
      <c r="ZO407" s="56"/>
      <c r="ZP407" s="242">
        <f t="shared" si="2955"/>
        <v>0</v>
      </c>
      <c r="ZQ407" s="242">
        <f t="shared" si="2956"/>
        <v>0</v>
      </c>
      <c r="ZR407" s="56"/>
      <c r="ZU407" s="55">
        <f t="shared" si="2957"/>
        <v>46368</v>
      </c>
      <c r="ZV407" s="56"/>
      <c r="ZW407" s="242">
        <f>SUMPRODUCT(PRODUCE!$B400:$DY400,PRODUCE!$EB$57:$IY$57)</f>
        <v>0</v>
      </c>
      <c r="ZX407" s="56"/>
      <c r="ZY407" s="242">
        <f t="shared" si="2958"/>
        <v>0</v>
      </c>
      <c r="ZZ407" s="242">
        <f t="shared" si="2959"/>
        <v>0</v>
      </c>
      <c r="AAA407" s="56"/>
      <c r="AAD407" s="55">
        <f t="shared" si="2960"/>
        <v>46368</v>
      </c>
      <c r="AAE407" s="56"/>
      <c r="AAF407" s="242">
        <f>SUMPRODUCT(PRODUCE!$B400:$DY400,PRODUCE!$EB$57:$IY$57)</f>
        <v>0</v>
      </c>
      <c r="AAG407" s="56"/>
      <c r="AAH407" s="242">
        <f t="shared" si="2961"/>
        <v>0</v>
      </c>
      <c r="AAI407" s="242">
        <f t="shared" si="2962"/>
        <v>0</v>
      </c>
      <c r="AAJ407" s="56"/>
      <c r="AAM407" s="55">
        <f t="shared" si="2963"/>
        <v>46368</v>
      </c>
      <c r="AAN407" s="56"/>
      <c r="AAO407" s="242">
        <f>SUMPRODUCT(PRODUCE!$B400:$DY400,PRODUCE!$EB$57:$IY$57)</f>
        <v>0</v>
      </c>
      <c r="AAP407" s="56"/>
      <c r="AAQ407" s="242">
        <f t="shared" si="2964"/>
        <v>0</v>
      </c>
      <c r="AAR407" s="242">
        <f t="shared" si="2965"/>
        <v>0</v>
      </c>
      <c r="AAS407" s="56"/>
      <c r="AAV407" s="55">
        <f t="shared" si="2966"/>
        <v>46368</v>
      </c>
      <c r="AAW407" s="56"/>
      <c r="AAX407" s="242">
        <f>SUMPRODUCT(PRODUCE!$B400:$DY400,PRODUCE!$EB$57:$IY$57)</f>
        <v>0</v>
      </c>
      <c r="AAY407" s="56"/>
      <c r="AAZ407" s="242">
        <f t="shared" si="2967"/>
        <v>0</v>
      </c>
      <c r="ABA407" s="242">
        <f t="shared" si="2968"/>
        <v>0</v>
      </c>
      <c r="ABB407" s="56"/>
      <c r="ABE407" s="55">
        <f t="shared" si="2969"/>
        <v>46368</v>
      </c>
      <c r="ABF407" s="56"/>
      <c r="ABG407" s="242">
        <f>SUMPRODUCT(PRODUCE!$B400:$DY400,PRODUCE!$EB$57:$IY$57)</f>
        <v>0</v>
      </c>
      <c r="ABH407" s="56"/>
      <c r="ABI407" s="242">
        <f t="shared" si="2970"/>
        <v>0</v>
      </c>
      <c r="ABJ407" s="242">
        <f t="shared" si="2971"/>
        <v>0</v>
      </c>
      <c r="ABK407" s="56"/>
    </row>
    <row r="408" spans="2:739" s="54" customFormat="1" ht="15" customHeight="1" outlineLevel="1">
      <c r="B408" s="478"/>
      <c r="C408" s="55">
        <v>46369</v>
      </c>
      <c r="D408" s="56"/>
      <c r="E408" s="57">
        <f>SUMPRODUCT(PRODUCE!$B401:$DY401,PRODUCE!$EB$7:$IY$7)</f>
        <v>0</v>
      </c>
      <c r="F408" s="56"/>
      <c r="G408" s="57">
        <f t="shared" si="2727"/>
        <v>0</v>
      </c>
      <c r="H408" s="57">
        <f t="shared" si="2728"/>
        <v>236936.6</v>
      </c>
      <c r="I408" s="289"/>
      <c r="L408" s="55">
        <f t="shared" si="2729"/>
        <v>46369</v>
      </c>
      <c r="M408" s="56"/>
      <c r="N408" s="59">
        <f>SUMPRODUCT(PRODUCE!$B401:$DY401,PRODUCE!$EB$8:$IY$8)</f>
        <v>0</v>
      </c>
      <c r="O408" s="56"/>
      <c r="P408" s="59">
        <f t="shared" si="2730"/>
        <v>0</v>
      </c>
      <c r="Q408" s="59">
        <f t="shared" si="2731"/>
        <v>53017.600000000071</v>
      </c>
      <c r="R408" s="56"/>
      <c r="U408" s="55">
        <f t="shared" si="2732"/>
        <v>46369</v>
      </c>
      <c r="V408" s="56"/>
      <c r="W408" s="60">
        <f>SUMPRODUCT(PRODUCE!$B401:$DY401,PRODUCE!$EB$9:$IY$9)</f>
        <v>0</v>
      </c>
      <c r="X408" s="56"/>
      <c r="Y408" s="60">
        <f t="shared" si="2733"/>
        <v>0</v>
      </c>
      <c r="Z408" s="60">
        <f t="shared" si="2734"/>
        <v>42674.199999999968</v>
      </c>
      <c r="AA408" s="56"/>
      <c r="AD408" s="55">
        <f t="shared" si="2735"/>
        <v>46369</v>
      </c>
      <c r="AE408" s="56"/>
      <c r="AF408" s="61">
        <f>SUMPRODUCT(PRODUCE!$B401:$DY401,PRODUCE!$EB$10:$IY$10)</f>
        <v>0</v>
      </c>
      <c r="AG408" s="56"/>
      <c r="AH408" s="61">
        <f t="shared" si="2736"/>
        <v>0</v>
      </c>
      <c r="AI408" s="61">
        <f t="shared" si="2737"/>
        <v>4522.2000000000189</v>
      </c>
      <c r="AJ408" s="56"/>
      <c r="AM408" s="55">
        <f t="shared" si="2738"/>
        <v>46369</v>
      </c>
      <c r="AN408" s="422"/>
      <c r="AO408" s="444">
        <f>SUMPRODUCT(PRODUCE!$B401:$DY401,PRODUCE!$EB$11:$IY$11)</f>
        <v>0</v>
      </c>
      <c r="AP408" s="422"/>
      <c r="AQ408" s="444">
        <f t="shared" si="2739"/>
        <v>0</v>
      </c>
      <c r="AR408" s="444">
        <f t="shared" si="2740"/>
        <v>0</v>
      </c>
      <c r="AS408" s="56"/>
      <c r="AV408" s="55">
        <f t="shared" si="2741"/>
        <v>46369</v>
      </c>
      <c r="AW408" s="56"/>
      <c r="AX408" s="62">
        <f>SUMPRODUCT(PRODUCE!$B401:$DY401,PRODUCE!$EB$12:$IY$12)</f>
        <v>0</v>
      </c>
      <c r="AY408" s="56"/>
      <c r="AZ408" s="62">
        <f t="shared" si="2742"/>
        <v>0</v>
      </c>
      <c r="BA408" s="62">
        <f t="shared" si="2743"/>
        <v>124.99999999999523</v>
      </c>
      <c r="BB408" s="56"/>
      <c r="BE408" s="55">
        <f t="shared" si="2744"/>
        <v>46369</v>
      </c>
      <c r="BF408" s="56"/>
      <c r="BG408" s="63">
        <f>SUMPRODUCT(PRODUCE!$B401:$DY401,PRODUCE!$EB$13:$IY$13)</f>
        <v>0</v>
      </c>
      <c r="BH408" s="56"/>
      <c r="BI408" s="63">
        <f t="shared" si="2745"/>
        <v>0</v>
      </c>
      <c r="BJ408" s="63">
        <f t="shared" si="2746"/>
        <v>26151.899999999998</v>
      </c>
      <c r="BK408" s="56"/>
      <c r="BN408" s="55">
        <f t="shared" si="2747"/>
        <v>46369</v>
      </c>
      <c r="BO408" s="56"/>
      <c r="BP408" s="64">
        <f>SUMPRODUCT(PRODUCE!$B401:$DY401,PRODUCE!$EB$14:$IY$14)</f>
        <v>0</v>
      </c>
      <c r="BQ408" s="56"/>
      <c r="BR408" s="64">
        <f t="shared" si="2748"/>
        <v>0</v>
      </c>
      <c r="BS408" s="64">
        <f t="shared" si="2749"/>
        <v>0</v>
      </c>
      <c r="BT408" s="56"/>
      <c r="BW408" s="55">
        <f t="shared" si="2750"/>
        <v>46369</v>
      </c>
      <c r="BX408" s="56"/>
      <c r="BY408" s="65">
        <f>SUMPRODUCT(PRODUCE!$B401:$DY401,PRODUCE!$EB$15:$IY$15)</f>
        <v>0</v>
      </c>
      <c r="BZ408" s="56"/>
      <c r="CA408" s="65">
        <f t="shared" si="2751"/>
        <v>0</v>
      </c>
      <c r="CB408" s="65">
        <f t="shared" si="2752"/>
        <v>2097.3399999999992</v>
      </c>
      <c r="CC408" s="56"/>
      <c r="CF408" s="55">
        <f t="shared" si="2753"/>
        <v>46369</v>
      </c>
      <c r="CG408" s="56"/>
      <c r="CH408" s="66">
        <f>SUMPRODUCT(PRODUCE!$B401:$DY401,PRODUCE!$EB$16:$IY$16)</f>
        <v>0</v>
      </c>
      <c r="CI408" s="56"/>
      <c r="CJ408" s="66">
        <f t="shared" si="2754"/>
        <v>0</v>
      </c>
      <c r="CK408" s="66">
        <f t="shared" si="2755"/>
        <v>-10277.079999999998</v>
      </c>
      <c r="CL408" s="56"/>
      <c r="CO408" s="55">
        <f t="shared" si="2756"/>
        <v>46369</v>
      </c>
      <c r="CP408" s="422"/>
      <c r="CQ408" s="470">
        <f>SUMPRODUCT(PRODUCE!$B401:$DY401,PRODUCE!$EB$17:$IY$17)</f>
        <v>0</v>
      </c>
      <c r="CR408" s="422"/>
      <c r="CS408" s="470">
        <f t="shared" si="2757"/>
        <v>0</v>
      </c>
      <c r="CT408" s="470">
        <f t="shared" si="2758"/>
        <v>0</v>
      </c>
      <c r="CU408" s="56"/>
      <c r="CX408" s="55">
        <f t="shared" si="2759"/>
        <v>46369</v>
      </c>
      <c r="CY408" s="56"/>
      <c r="CZ408" s="133">
        <f>SUMPRODUCT(PRODUCE!$B401:$DY401,PRODUCE!$EB$18:$IY$18)</f>
        <v>0</v>
      </c>
      <c r="DA408" s="56"/>
      <c r="DB408" s="133">
        <f t="shared" si="2760"/>
        <v>0</v>
      </c>
      <c r="DC408" s="133">
        <f t="shared" si="2761"/>
        <v>27438.200000000012</v>
      </c>
      <c r="DD408" s="56"/>
      <c r="DG408" s="55">
        <f t="shared" si="2762"/>
        <v>46369</v>
      </c>
      <c r="DH408" s="56"/>
      <c r="DI408" s="147">
        <f>SUMPRODUCT(PRODUCE!$B401:$DY401,PRODUCE!$EB$19:$IY$19)</f>
        <v>0</v>
      </c>
      <c r="DJ408" s="56"/>
      <c r="DK408" s="147">
        <f t="shared" si="2763"/>
        <v>0</v>
      </c>
      <c r="DL408" s="147">
        <f t="shared" si="2764"/>
        <v>18782.299999999981</v>
      </c>
      <c r="DM408" s="56"/>
      <c r="DP408" s="55">
        <f t="shared" si="2765"/>
        <v>46369</v>
      </c>
      <c r="DQ408" s="56"/>
      <c r="DR408" s="57">
        <f>SUMPRODUCT(PRODUCE!$B401:$DY401,PRODUCE!$EB$20:$IY$20)</f>
        <v>0</v>
      </c>
      <c r="DS408" s="56"/>
      <c r="DT408" s="57">
        <f t="shared" si="2766"/>
        <v>0</v>
      </c>
      <c r="DU408" s="57">
        <f t="shared" si="2767"/>
        <v>5800</v>
      </c>
      <c r="DV408" s="56"/>
      <c r="DY408" s="55">
        <f t="shared" si="2768"/>
        <v>46369</v>
      </c>
      <c r="DZ408" s="56"/>
      <c r="EA408" s="157">
        <f>SUMPRODUCT(PRODUCE!$B401:$DY401,PRODUCE!$EB$21:$IY$21)</f>
        <v>0</v>
      </c>
      <c r="EB408" s="56"/>
      <c r="EC408" s="157">
        <f t="shared" si="2769"/>
        <v>0</v>
      </c>
      <c r="ED408" s="157">
        <f t="shared" si="2770"/>
        <v>0</v>
      </c>
      <c r="EE408" s="56"/>
      <c r="EH408" s="55">
        <f t="shared" si="2771"/>
        <v>46369</v>
      </c>
      <c r="EI408" s="56"/>
      <c r="EJ408" s="162">
        <f>SUMPRODUCT(PRODUCE!$B401:$DY401,PRODUCE!$EB$22:$IY$22)</f>
        <v>0</v>
      </c>
      <c r="EK408" s="56"/>
      <c r="EL408" s="162">
        <f t="shared" si="2772"/>
        <v>0</v>
      </c>
      <c r="EM408" s="162">
        <f t="shared" si="2773"/>
        <v>0</v>
      </c>
      <c r="EN408" s="56"/>
      <c r="EQ408" s="55">
        <f t="shared" si="2774"/>
        <v>46369</v>
      </c>
      <c r="ER408" s="56"/>
      <c r="ES408" s="135">
        <f>SUMPRODUCT(PRODUCE!$B401:$DY401,PRODUCE!$EB$23:$IY$23)</f>
        <v>0</v>
      </c>
      <c r="ET408" s="56"/>
      <c r="EU408" s="135">
        <f t="shared" si="2775"/>
        <v>0</v>
      </c>
      <c r="EV408" s="135">
        <f t="shared" si="2776"/>
        <v>0</v>
      </c>
      <c r="EW408" s="56"/>
      <c r="EZ408" s="55">
        <f t="shared" si="2777"/>
        <v>46369</v>
      </c>
      <c r="FA408" s="56"/>
      <c r="FB408" s="175">
        <f>SUMPRODUCT(PRODUCE!$B401:$DY401,PRODUCE!$EB$24:$IY$24)</f>
        <v>0</v>
      </c>
      <c r="FC408" s="56"/>
      <c r="FD408" s="175">
        <f t="shared" si="2778"/>
        <v>0</v>
      </c>
      <c r="FE408" s="175">
        <f t="shared" si="2779"/>
        <v>0</v>
      </c>
      <c r="FF408" s="56"/>
      <c r="FI408" s="55">
        <f t="shared" si="2780"/>
        <v>46369</v>
      </c>
      <c r="FJ408" s="56"/>
      <c r="FK408" s="183">
        <f>SUMPRODUCT(PRODUCE!$B401:$DY401,PRODUCE!$EB$25:$IY$25)</f>
        <v>0</v>
      </c>
      <c r="FL408" s="56"/>
      <c r="FM408" s="183">
        <f t="shared" si="2781"/>
        <v>0</v>
      </c>
      <c r="FN408" s="183">
        <f t="shared" si="2782"/>
        <v>0</v>
      </c>
      <c r="FO408" s="56"/>
      <c r="FR408" s="55">
        <f t="shared" si="2783"/>
        <v>46369</v>
      </c>
      <c r="FS408" s="56"/>
      <c r="FT408" s="186">
        <f>SUMPRODUCT(PRODUCE!$B401:$DY401,PRODUCE!$EB$26:$IY$26)</f>
        <v>0</v>
      </c>
      <c r="FU408" s="56"/>
      <c r="FV408" s="186">
        <f t="shared" si="2784"/>
        <v>0</v>
      </c>
      <c r="FW408" s="186">
        <f t="shared" si="2785"/>
        <v>2020</v>
      </c>
      <c r="FX408" s="56"/>
      <c r="GA408" s="55">
        <f t="shared" si="2786"/>
        <v>46369</v>
      </c>
      <c r="GB408" s="56"/>
      <c r="GC408" s="137">
        <f>SUMPRODUCT(PRODUCE!$B401:$DY401,PRODUCE!$EB$27:$IY$27)</f>
        <v>0</v>
      </c>
      <c r="GD408" s="56"/>
      <c r="GE408" s="137">
        <f t="shared" si="2787"/>
        <v>0</v>
      </c>
      <c r="GF408" s="137">
        <f t="shared" si="2788"/>
        <v>960</v>
      </c>
      <c r="GG408" s="56"/>
      <c r="GI408" s="23"/>
      <c r="GJ408" s="55">
        <f t="shared" si="2789"/>
        <v>46369</v>
      </c>
      <c r="GK408" s="56"/>
      <c r="GL408" s="199">
        <f>SUMPRODUCT(PRODUCE!$B401:$DY401,PRODUCE!$EB$28:$IY$28)</f>
        <v>0</v>
      </c>
      <c r="GM408" s="56"/>
      <c r="GN408" s="199">
        <f t="shared" si="2790"/>
        <v>0</v>
      </c>
      <c r="GO408" s="199">
        <f t="shared" si="2791"/>
        <v>1760</v>
      </c>
      <c r="GP408" s="56"/>
      <c r="GS408" s="55">
        <f t="shared" si="2792"/>
        <v>46369</v>
      </c>
      <c r="GT408" s="56"/>
      <c r="GU408" s="195">
        <f>SUMPRODUCT(PRODUCE!$B401:$DY401,PRODUCE!$EB$29:$IY$29)</f>
        <v>0</v>
      </c>
      <c r="GV408" s="56"/>
      <c r="GW408" s="195">
        <f t="shared" si="2793"/>
        <v>0</v>
      </c>
      <c r="GX408" s="195">
        <f t="shared" si="2794"/>
        <v>400</v>
      </c>
      <c r="GY408" s="56"/>
      <c r="HB408" s="55">
        <f t="shared" si="2795"/>
        <v>46369</v>
      </c>
      <c r="HC408" s="56"/>
      <c r="HD408" s="191">
        <f>SUMPRODUCT(PRODUCE!$B401:$DY401,PRODUCE!$EB$30:$IY$30)</f>
        <v>0</v>
      </c>
      <c r="HE408" s="56"/>
      <c r="HF408" s="191">
        <f t="shared" si="2796"/>
        <v>0</v>
      </c>
      <c r="HG408" s="191">
        <f t="shared" si="2797"/>
        <v>3600</v>
      </c>
      <c r="HH408" s="56"/>
      <c r="HK408" s="55">
        <f t="shared" si="2798"/>
        <v>46369</v>
      </c>
      <c r="HL408" s="56"/>
      <c r="HM408" s="63">
        <f>SUMPRODUCT(PRODUCE!$B401:$DY401,PRODUCE!$EB$31:$IY$31)</f>
        <v>0</v>
      </c>
      <c r="HN408" s="56"/>
      <c r="HO408" s="63">
        <f t="shared" si="2799"/>
        <v>0</v>
      </c>
      <c r="HP408" s="63">
        <f t="shared" si="2800"/>
        <v>0</v>
      </c>
      <c r="HQ408" s="56"/>
      <c r="HU408" s="55">
        <f t="shared" si="2801"/>
        <v>46369</v>
      </c>
      <c r="HV408" s="56"/>
      <c r="HW408" s="242">
        <f>SUMPRODUCT(PRODUCE!$B401:$DY401,PRODUCE!$EB$32:$IY$32)</f>
        <v>0</v>
      </c>
      <c r="HX408" s="56"/>
      <c r="HY408" s="242">
        <f t="shared" si="2802"/>
        <v>0</v>
      </c>
      <c r="HZ408" s="242">
        <f t="shared" si="2803"/>
        <v>6120</v>
      </c>
      <c r="IA408" s="56"/>
      <c r="ID408" s="55">
        <f t="shared" si="2804"/>
        <v>46369</v>
      </c>
      <c r="IE408" s="56"/>
      <c r="IF408" s="242">
        <f>SUMPRODUCT(PRODUCE!$B401:$DY401,PRODUCE!$EB$33:$IY$33)</f>
        <v>0</v>
      </c>
      <c r="IG408" s="56"/>
      <c r="IH408" s="242">
        <f t="shared" si="2805"/>
        <v>0</v>
      </c>
      <c r="II408" s="242">
        <f t="shared" si="2806"/>
        <v>0</v>
      </c>
      <c r="IJ408" s="56"/>
      <c r="IM408" s="55">
        <f t="shared" si="2807"/>
        <v>46369</v>
      </c>
      <c r="IN408" s="56"/>
      <c r="IO408" s="242">
        <f>SUMPRODUCT(PRODUCE!$B401:$DY401,PRODUCE!$EB$34:$IY$34)</f>
        <v>0</v>
      </c>
      <c r="IP408" s="56"/>
      <c r="IQ408" s="242">
        <f t="shared" si="2808"/>
        <v>0</v>
      </c>
      <c r="IR408" s="242">
        <f t="shared" si="2809"/>
        <v>0</v>
      </c>
      <c r="IS408" s="56"/>
      <c r="IV408" s="55">
        <f t="shared" si="2810"/>
        <v>46369</v>
      </c>
      <c r="IW408" s="56"/>
      <c r="IX408" s="242">
        <f>SUMPRODUCT(PRODUCE!$B401:$DY401,PRODUCE!$EB$35:$IY$35)</f>
        <v>0</v>
      </c>
      <c r="IY408" s="56"/>
      <c r="IZ408" s="242">
        <f t="shared" si="2811"/>
        <v>0</v>
      </c>
      <c r="JA408" s="242">
        <f t="shared" si="2812"/>
        <v>2820</v>
      </c>
      <c r="JB408" s="56"/>
      <c r="JE408" s="55">
        <f t="shared" si="2813"/>
        <v>46369</v>
      </c>
      <c r="JF408" s="56"/>
      <c r="JG408" s="242">
        <f>SUMPRODUCT(PRODUCE!$B401:$DY401,PRODUCE!$EB$36:$IY$36)</f>
        <v>0</v>
      </c>
      <c r="JH408" s="56"/>
      <c r="JI408" s="242">
        <f t="shared" si="2814"/>
        <v>0</v>
      </c>
      <c r="JJ408" s="242">
        <f t="shared" si="2815"/>
        <v>0</v>
      </c>
      <c r="JK408" s="56"/>
      <c r="JN408" s="55">
        <f t="shared" si="2816"/>
        <v>46369</v>
      </c>
      <c r="JO408" s="56"/>
      <c r="JP408" s="242">
        <f>SUMPRODUCT(PRODUCE!$B401:$DY401,PRODUCE!$EB$37:$IY$37)</f>
        <v>0</v>
      </c>
      <c r="JQ408" s="56"/>
      <c r="JR408" s="242">
        <f t="shared" si="2817"/>
        <v>0</v>
      </c>
      <c r="JS408" s="242">
        <f t="shared" si="2818"/>
        <v>0</v>
      </c>
      <c r="JT408" s="56"/>
      <c r="JW408" s="55">
        <f t="shared" si="2819"/>
        <v>46369</v>
      </c>
      <c r="JX408" s="56"/>
      <c r="JY408" s="242">
        <f>SUMPRODUCT(PRODUCE!$B401:$DY401,PRODUCE!$EB$38:$IY$38)</f>
        <v>0</v>
      </c>
      <c r="JZ408" s="56"/>
      <c r="KA408" s="242">
        <f t="shared" si="2820"/>
        <v>0</v>
      </c>
      <c r="KB408" s="242">
        <f t="shared" si="2821"/>
        <v>2540</v>
      </c>
      <c r="KC408" s="56"/>
      <c r="KF408" s="55">
        <f t="shared" si="2822"/>
        <v>46369</v>
      </c>
      <c r="KG408" s="56"/>
      <c r="KH408" s="242">
        <f>SUMPRODUCT(PRODUCE!$B401:$DY401,PRODUCE!$EB$39:$IY$39)</f>
        <v>0</v>
      </c>
      <c r="KI408" s="56"/>
      <c r="KJ408" s="242">
        <f t="shared" si="2823"/>
        <v>0</v>
      </c>
      <c r="KK408" s="242">
        <f t="shared" si="2824"/>
        <v>2359.5</v>
      </c>
      <c r="KL408" s="56"/>
      <c r="KO408" s="55">
        <f t="shared" si="2825"/>
        <v>46369</v>
      </c>
      <c r="KP408" s="56"/>
      <c r="KQ408" s="242">
        <f>SUMPRODUCT(PRODUCE!$B401:$DY401,PRODUCE!$EB$40:$IY$40)</f>
        <v>0</v>
      </c>
      <c r="KR408" s="56"/>
      <c r="KS408" s="242">
        <f t="shared" si="2826"/>
        <v>0</v>
      </c>
      <c r="KT408" s="242">
        <f t="shared" si="2827"/>
        <v>1890</v>
      </c>
      <c r="KU408" s="56"/>
      <c r="KW408" s="23"/>
      <c r="KX408" s="55">
        <f t="shared" si="2828"/>
        <v>46369</v>
      </c>
      <c r="KY408" s="56"/>
      <c r="KZ408" s="242">
        <f>SUMPRODUCT(PRODUCE!$B401:$DY401,PRODUCE!$EB$41:$IY$41)</f>
        <v>0</v>
      </c>
      <c r="LA408" s="56"/>
      <c r="LB408" s="242">
        <f t="shared" si="2829"/>
        <v>0</v>
      </c>
      <c r="LC408" s="242">
        <f t="shared" si="2830"/>
        <v>3690</v>
      </c>
      <c r="LD408" s="56"/>
      <c r="LG408" s="55">
        <f t="shared" si="2831"/>
        <v>46369</v>
      </c>
      <c r="LH408" s="56"/>
      <c r="LI408" s="242">
        <f>SUMPRODUCT(PRODUCE!$B401:$DY401,PRODUCE!$EB$42:$IY$42)</f>
        <v>0</v>
      </c>
      <c r="LJ408" s="56"/>
      <c r="LK408" s="242">
        <f t="shared" si="2832"/>
        <v>0</v>
      </c>
      <c r="LL408" s="242">
        <f t="shared" si="2833"/>
        <v>4000</v>
      </c>
      <c r="LM408" s="56"/>
      <c r="LP408" s="55">
        <f t="shared" si="2834"/>
        <v>46369</v>
      </c>
      <c r="LQ408" s="56"/>
      <c r="LR408" s="242">
        <f>SUMPRODUCT(PRODUCE!$B423:$DY423,PRODUCE!$EB$43:$IY$43)</f>
        <v>0</v>
      </c>
      <c r="LS408" s="56"/>
      <c r="LT408" s="242">
        <f t="shared" si="2835"/>
        <v>0</v>
      </c>
      <c r="LU408" s="242">
        <f t="shared" si="2836"/>
        <v>0</v>
      </c>
      <c r="LV408" s="56"/>
      <c r="LY408" s="55">
        <f t="shared" si="2837"/>
        <v>46369</v>
      </c>
      <c r="LZ408" s="56"/>
      <c r="MA408" s="242">
        <f>SUMPRODUCT(PRODUCE!$B401:$DY401,PRODUCE!$EB$44:$IY$44)</f>
        <v>0</v>
      </c>
      <c r="MB408" s="56"/>
      <c r="MC408" s="242">
        <f t="shared" si="2838"/>
        <v>0</v>
      </c>
      <c r="MD408" s="242">
        <f t="shared" si="2839"/>
        <v>0</v>
      </c>
      <c r="ME408" s="56"/>
      <c r="MH408" s="55">
        <f t="shared" si="2840"/>
        <v>46369</v>
      </c>
      <c r="MI408" s="56"/>
      <c r="MJ408" s="242">
        <f>SUMPRODUCT(PRODUCE!$B401:$DY401,PRODUCE!$EB$45:$IY$45)</f>
        <v>0</v>
      </c>
      <c r="MK408" s="56"/>
      <c r="ML408" s="242">
        <f t="shared" si="2841"/>
        <v>0</v>
      </c>
      <c r="MM408" s="242">
        <f t="shared" si="2842"/>
        <v>-18</v>
      </c>
      <c r="MN408" s="56"/>
      <c r="MQ408" s="55">
        <f t="shared" si="2843"/>
        <v>46369</v>
      </c>
      <c r="MR408" s="56"/>
      <c r="MS408" s="242">
        <f>SUMPRODUCT(PRODUCE!$B401:$DY401,PRODUCE!$EB$46:$IY$46)</f>
        <v>0</v>
      </c>
      <c r="MT408" s="56"/>
      <c r="MU408" s="242">
        <f t="shared" si="2844"/>
        <v>0</v>
      </c>
      <c r="MV408" s="242">
        <f t="shared" si="2845"/>
        <v>1559</v>
      </c>
      <c r="MW408" s="56"/>
      <c r="MZ408" s="55">
        <f t="shared" si="2846"/>
        <v>46369</v>
      </c>
      <c r="NA408" s="56"/>
      <c r="NB408" s="242">
        <f>SUMPRODUCT(PRODUCE!$B401:$DY401,PRODUCE!$EB$47:$IY$47)</f>
        <v>0</v>
      </c>
      <c r="NC408" s="56"/>
      <c r="ND408" s="242">
        <f t="shared" si="2847"/>
        <v>0</v>
      </c>
      <c r="NE408" s="242">
        <f t="shared" si="2848"/>
        <v>0</v>
      </c>
      <c r="NF408" s="56"/>
      <c r="NI408" s="55">
        <f t="shared" si="2849"/>
        <v>46369</v>
      </c>
      <c r="NJ408" s="56"/>
      <c r="NK408" s="242">
        <f>SUMPRODUCT(PRODUCE!$B401:$DY401,PRODUCE!$EB$48:$IY$48)</f>
        <v>0</v>
      </c>
      <c r="NL408" s="56"/>
      <c r="NM408" s="242">
        <f t="shared" si="2850"/>
        <v>0</v>
      </c>
      <c r="NN408" s="242">
        <f t="shared" si="2851"/>
        <v>1127</v>
      </c>
      <c r="NO408" s="56"/>
      <c r="NR408" s="55">
        <f t="shared" si="2852"/>
        <v>46369</v>
      </c>
      <c r="NS408" s="56"/>
      <c r="NT408" s="242">
        <f>SUMPRODUCT(PRODUCE!$B401:$DY401,PRODUCE!$EB$49:$IY$49)</f>
        <v>0</v>
      </c>
      <c r="NU408" s="56"/>
      <c r="NV408" s="242">
        <f t="shared" si="2853"/>
        <v>0</v>
      </c>
      <c r="NW408" s="242">
        <f t="shared" si="2854"/>
        <v>3111.9999999999995</v>
      </c>
      <c r="NX408" s="56"/>
      <c r="OA408" s="55">
        <f t="shared" si="2855"/>
        <v>46369</v>
      </c>
      <c r="OB408" s="56"/>
      <c r="OC408" s="242">
        <f>SUMPRODUCT(PRODUCE!$B401:$DY401,PRODUCE!$EB$50:$IY$50)</f>
        <v>0</v>
      </c>
      <c r="OD408" s="56"/>
      <c r="OE408" s="242">
        <f t="shared" si="2856"/>
        <v>0</v>
      </c>
      <c r="OF408" s="242">
        <f t="shared" si="2857"/>
        <v>1680.5</v>
      </c>
      <c r="OG408" s="56"/>
      <c r="OJ408" s="55">
        <f t="shared" si="2858"/>
        <v>46369</v>
      </c>
      <c r="OK408" s="56"/>
      <c r="OL408" s="242">
        <f>SUMPRODUCT(PRODUCE!$B401:$DY401,PRODUCE!$EB$51:$IY$51)</f>
        <v>0</v>
      </c>
      <c r="OM408" s="56"/>
      <c r="ON408" s="242">
        <f t="shared" si="2859"/>
        <v>0</v>
      </c>
      <c r="OO408" s="242">
        <f t="shared" si="2860"/>
        <v>0</v>
      </c>
      <c r="OP408" s="56"/>
      <c r="OS408" s="55">
        <f t="shared" si="2861"/>
        <v>46369</v>
      </c>
      <c r="OT408" s="56"/>
      <c r="OU408" s="242">
        <f>SUMPRODUCT(PRODUCE!$B401:$DY401,PRODUCE!$EB$52:$IY$52)</f>
        <v>0</v>
      </c>
      <c r="OV408" s="56"/>
      <c r="OW408" s="242">
        <f t="shared" si="2862"/>
        <v>0</v>
      </c>
      <c r="OX408" s="242">
        <f t="shared" si="2863"/>
        <v>1482</v>
      </c>
      <c r="OY408" s="56"/>
      <c r="PB408" s="55">
        <f t="shared" si="2864"/>
        <v>46369</v>
      </c>
      <c r="PC408" s="56"/>
      <c r="PD408" s="242">
        <f>SUMPRODUCT(PRODUCE!$B401:$DY401,PRODUCE!$EB$53:$IY$53)</f>
        <v>0</v>
      </c>
      <c r="PE408" s="56"/>
      <c r="PF408" s="242">
        <f t="shared" si="2865"/>
        <v>0</v>
      </c>
      <c r="PG408" s="242">
        <f t="shared" si="2866"/>
        <v>0</v>
      </c>
      <c r="PH408" s="56"/>
      <c r="PK408" s="55">
        <f t="shared" si="2867"/>
        <v>46369</v>
      </c>
      <c r="PL408" s="56"/>
      <c r="PM408" s="242">
        <f>SUMPRODUCT(PRODUCE!$B401:$DY401,PRODUCE!$EB$54:$IY$54)</f>
        <v>0</v>
      </c>
      <c r="PN408" s="56"/>
      <c r="PO408" s="242">
        <f t="shared" si="2868"/>
        <v>0</v>
      </c>
      <c r="PP408" s="242">
        <f t="shared" si="2869"/>
        <v>100</v>
      </c>
      <c r="PQ408" s="56"/>
      <c r="PT408" s="55">
        <f t="shared" si="2870"/>
        <v>46369</v>
      </c>
      <c r="PU408" s="56"/>
      <c r="PV408" s="242">
        <f>SUMPRODUCT(PRODUCE!$B401:$DY401,PRODUCE!$EB$55:$IY$55)</f>
        <v>0</v>
      </c>
      <c r="PW408" s="56"/>
      <c r="PX408" s="242">
        <f t="shared" si="2871"/>
        <v>0</v>
      </c>
      <c r="PY408" s="242">
        <f t="shared" si="2872"/>
        <v>13.960000000000036</v>
      </c>
      <c r="PZ408" s="56"/>
      <c r="QC408" s="55">
        <f t="shared" si="2873"/>
        <v>46369</v>
      </c>
      <c r="QD408" s="56"/>
      <c r="QE408" s="242">
        <f>SUMPRODUCT(PRODUCE!$B401:$DY401,PRODUCE!$EB$56:$IY$56)</f>
        <v>0</v>
      </c>
      <c r="QF408" s="56"/>
      <c r="QG408" s="242">
        <f t="shared" si="2874"/>
        <v>0</v>
      </c>
      <c r="QH408" s="242">
        <f t="shared" si="2875"/>
        <v>548</v>
      </c>
      <c r="QI408" s="56"/>
      <c r="QL408" s="55">
        <f t="shared" si="2876"/>
        <v>46369</v>
      </c>
      <c r="QM408" s="56"/>
      <c r="QN408" s="242">
        <f>SUMPRODUCT(PRODUCE!$B401:$DY401,PRODUCE!$EB$57:$IY$57)</f>
        <v>0</v>
      </c>
      <c r="QO408" s="56"/>
      <c r="QP408" s="242">
        <f t="shared" si="2877"/>
        <v>0</v>
      </c>
      <c r="QQ408" s="242">
        <f t="shared" si="2878"/>
        <v>0</v>
      </c>
      <c r="QR408" s="56"/>
      <c r="QU408" s="55">
        <f t="shared" si="2879"/>
        <v>46369</v>
      </c>
      <c r="QV408" s="56"/>
      <c r="QW408" s="242">
        <f>SUMPRODUCT(PRODUCE!$B401:$DY401,PRODUCE!$EB$57:$IY$57)</f>
        <v>0</v>
      </c>
      <c r="QX408" s="56"/>
      <c r="QY408" s="242">
        <f t="shared" si="2880"/>
        <v>0</v>
      </c>
      <c r="QZ408" s="242">
        <f t="shared" si="2881"/>
        <v>0</v>
      </c>
      <c r="RA408" s="56"/>
      <c r="RD408" s="55">
        <f t="shared" si="2882"/>
        <v>46369</v>
      </c>
      <c r="RE408" s="56"/>
      <c r="RF408" s="242">
        <f>SUMPRODUCT(PRODUCE!$B401:$DY401,PRODUCE!$EB$58:$IY$58)</f>
        <v>0</v>
      </c>
      <c r="RG408" s="56"/>
      <c r="RH408" s="242">
        <f t="shared" si="2883"/>
        <v>0</v>
      </c>
      <c r="RI408" s="242">
        <f t="shared" si="2884"/>
        <v>147.04000000000002</v>
      </c>
      <c r="RJ408" s="56"/>
      <c r="RM408" s="55">
        <f t="shared" si="2885"/>
        <v>46369</v>
      </c>
      <c r="RN408" s="56"/>
      <c r="RO408" s="242">
        <f>SUMPRODUCT(PRODUCE!$B401:$DY401,PRODUCE!$EB$57:$IY$57)</f>
        <v>0</v>
      </c>
      <c r="RP408" s="56"/>
      <c r="RQ408" s="242">
        <f t="shared" si="2886"/>
        <v>0</v>
      </c>
      <c r="RR408" s="242">
        <f t="shared" si="2887"/>
        <v>46.8</v>
      </c>
      <c r="RS408" s="56"/>
      <c r="RV408" s="55">
        <f t="shared" si="2888"/>
        <v>46369</v>
      </c>
      <c r="RW408" s="56"/>
      <c r="RX408" s="242">
        <f>SUMPRODUCT(PRODUCE!$B401:$DY401,PRODUCE!$EB$57:$IY$57)</f>
        <v>0</v>
      </c>
      <c r="RY408" s="56"/>
      <c r="RZ408" s="242">
        <f t="shared" si="2889"/>
        <v>0</v>
      </c>
      <c r="SA408" s="242">
        <f t="shared" si="2890"/>
        <v>0</v>
      </c>
      <c r="SB408" s="56"/>
      <c r="SE408" s="55">
        <f t="shared" si="2891"/>
        <v>46369</v>
      </c>
      <c r="SF408" s="56"/>
      <c r="SG408" s="242">
        <f>SUMPRODUCT(PRODUCE!$B401:$DY401,PRODUCE!$EB$61:$IY$61)</f>
        <v>0</v>
      </c>
      <c r="SH408" s="56"/>
      <c r="SI408" s="242">
        <f t="shared" si="2892"/>
        <v>0</v>
      </c>
      <c r="SJ408" s="242">
        <f t="shared" si="2893"/>
        <v>24.200000000000003</v>
      </c>
      <c r="SK408" s="56"/>
      <c r="SN408" s="55">
        <f t="shared" si="2894"/>
        <v>46369</v>
      </c>
      <c r="SO408" s="56"/>
      <c r="SP408" s="242">
        <f>SUMPRODUCT(PRODUCE!$B401:$DY401,PRODUCE!$EB$57:$IY$57)</f>
        <v>0</v>
      </c>
      <c r="SQ408" s="56"/>
      <c r="SR408" s="242">
        <f t="shared" si="2895"/>
        <v>0</v>
      </c>
      <c r="SS408" s="242">
        <f t="shared" si="2896"/>
        <v>32</v>
      </c>
      <c r="ST408" s="56"/>
      <c r="SW408" s="55">
        <f t="shared" si="2897"/>
        <v>46369</v>
      </c>
      <c r="SX408" s="56"/>
      <c r="SY408" s="242">
        <f>SUMPRODUCT(PRODUCE!$B401:$DY401,PRODUCE!$EB$57:$IY$57)</f>
        <v>0</v>
      </c>
      <c r="SZ408" s="56"/>
      <c r="TA408" s="242">
        <f t="shared" si="2898"/>
        <v>0</v>
      </c>
      <c r="TB408" s="242">
        <f t="shared" si="2899"/>
        <v>0</v>
      </c>
      <c r="TC408" s="56"/>
      <c r="TF408" s="55">
        <f t="shared" si="2900"/>
        <v>46369</v>
      </c>
      <c r="TG408" s="56"/>
      <c r="TH408" s="242">
        <f>SUMPRODUCT(PRODUCE!$B401:$DY401,PRODUCE!$EB$57:$IY$57)</f>
        <v>0</v>
      </c>
      <c r="TI408" s="56"/>
      <c r="TJ408" s="242">
        <f t="shared" si="2901"/>
        <v>0</v>
      </c>
      <c r="TK408" s="242">
        <f t="shared" si="2902"/>
        <v>0</v>
      </c>
      <c r="TL408" s="56"/>
      <c r="TO408" s="55">
        <f t="shared" si="2903"/>
        <v>46369</v>
      </c>
      <c r="TP408" s="56"/>
      <c r="TQ408" s="242">
        <f>SUMPRODUCT(PRODUCE!$B401:$DY401,PRODUCE!$EB$57:$IY$57)</f>
        <v>0</v>
      </c>
      <c r="TR408" s="56"/>
      <c r="TS408" s="242">
        <f t="shared" si="2904"/>
        <v>0</v>
      </c>
      <c r="TT408" s="242">
        <f t="shared" si="2905"/>
        <v>0</v>
      </c>
      <c r="TU408" s="56"/>
      <c r="TX408" s="55">
        <f t="shared" si="2906"/>
        <v>46369</v>
      </c>
      <c r="TY408" s="56"/>
      <c r="TZ408" s="242">
        <f>SUMPRODUCT(PRODUCE!$B401:$DY401,PRODUCE!$EB$57:$IY$57)</f>
        <v>0</v>
      </c>
      <c r="UA408" s="56"/>
      <c r="UB408" s="242">
        <f t="shared" si="2907"/>
        <v>0</v>
      </c>
      <c r="UC408" s="242">
        <f t="shared" si="2908"/>
        <v>46.799999999999983</v>
      </c>
      <c r="UD408" s="56"/>
      <c r="UG408" s="55">
        <f t="shared" si="2909"/>
        <v>46369</v>
      </c>
      <c r="UH408" s="56"/>
      <c r="UI408" s="242">
        <f>SUMPRODUCT(PRODUCE!$B401:$DY401,PRODUCE!$EB$57:$IY$57)</f>
        <v>0</v>
      </c>
      <c r="UJ408" s="56"/>
      <c r="UK408" s="242">
        <f t="shared" si="2910"/>
        <v>0</v>
      </c>
      <c r="UL408" s="242">
        <f t="shared" si="2911"/>
        <v>204</v>
      </c>
      <c r="UM408" s="56"/>
      <c r="UP408" s="55">
        <f t="shared" si="2912"/>
        <v>46369</v>
      </c>
      <c r="UQ408" s="56"/>
      <c r="UR408" s="242">
        <f>SUMPRODUCT(PRODUCE!$B401:$DY401,PRODUCE!$EB$57:$IY$57)</f>
        <v>0</v>
      </c>
      <c r="US408" s="56"/>
      <c r="UT408" s="242">
        <f t="shared" si="2913"/>
        <v>0</v>
      </c>
      <c r="UU408" s="242">
        <f t="shared" si="2914"/>
        <v>202.5</v>
      </c>
      <c r="UV408" s="56"/>
      <c r="UY408" s="55">
        <f t="shared" si="2915"/>
        <v>46369</v>
      </c>
      <c r="UZ408" s="56"/>
      <c r="VA408" s="242">
        <f>SUMPRODUCT(PRODUCE!$B401:$DY401,PRODUCE!$EB$57:$IY$57)</f>
        <v>0</v>
      </c>
      <c r="VB408" s="56"/>
      <c r="VC408" s="242">
        <f t="shared" si="2916"/>
        <v>0</v>
      </c>
      <c r="VD408" s="242">
        <f t="shared" si="2917"/>
        <v>41.600000000000023</v>
      </c>
      <c r="VE408" s="56"/>
      <c r="VH408" s="55">
        <f t="shared" si="2918"/>
        <v>46369</v>
      </c>
      <c r="VI408" s="56"/>
      <c r="VJ408" s="242">
        <f>SUMPRODUCT(PRODUCE!$B401:$DY401,PRODUCE!$EB$57:$IY$57)</f>
        <v>0</v>
      </c>
      <c r="VK408" s="56"/>
      <c r="VL408" s="242">
        <f t="shared" si="2919"/>
        <v>0</v>
      </c>
      <c r="VM408" s="242">
        <f t="shared" si="2920"/>
        <v>210</v>
      </c>
      <c r="VN408" s="56"/>
      <c r="VQ408" s="55">
        <f t="shared" si="2921"/>
        <v>46369</v>
      </c>
      <c r="VR408" s="56"/>
      <c r="VS408" s="242">
        <f>SUMPRODUCT(PRODUCE!$B401:$DY401,PRODUCE!$EB$57:$IY$57)</f>
        <v>0</v>
      </c>
      <c r="VT408" s="56"/>
      <c r="VU408" s="242">
        <f t="shared" si="2922"/>
        <v>0</v>
      </c>
      <c r="VV408" s="242">
        <f t="shared" si="2923"/>
        <v>0</v>
      </c>
      <c r="VW408" s="56"/>
      <c r="VZ408" s="55">
        <f t="shared" si="2924"/>
        <v>46369</v>
      </c>
      <c r="WA408" s="56"/>
      <c r="WB408" s="242">
        <f>SUMPRODUCT(PRODUCE!$B401:$DY401,PRODUCE!$EB$57:$IY$57)</f>
        <v>0</v>
      </c>
      <c r="WC408" s="56"/>
      <c r="WD408" s="242">
        <f t="shared" si="2925"/>
        <v>0</v>
      </c>
      <c r="WE408" s="242">
        <f t="shared" si="2926"/>
        <v>0</v>
      </c>
      <c r="WF408" s="56"/>
      <c r="WI408" s="55">
        <f t="shared" si="2927"/>
        <v>46369</v>
      </c>
      <c r="WJ408" s="56"/>
      <c r="WK408" s="242">
        <f>SUMPRODUCT(PRODUCE!$B401:$DY401,PRODUCE!$EB$57:$IY$57)</f>
        <v>0</v>
      </c>
      <c r="WL408" s="56"/>
      <c r="WM408" s="242">
        <f t="shared" si="2928"/>
        <v>0</v>
      </c>
      <c r="WN408" s="242">
        <f t="shared" si="2929"/>
        <v>1057</v>
      </c>
      <c r="WO408" s="56"/>
      <c r="WR408" s="55">
        <f t="shared" si="2930"/>
        <v>46369</v>
      </c>
      <c r="WS408" s="56"/>
      <c r="WT408" s="242">
        <f>SUMPRODUCT(PRODUCE!$B401:$DY401,PRODUCE!$EB$57:$IY$57)</f>
        <v>0</v>
      </c>
      <c r="WU408" s="56"/>
      <c r="WV408" s="242">
        <f t="shared" si="2931"/>
        <v>0</v>
      </c>
      <c r="WW408" s="242">
        <f t="shared" si="2932"/>
        <v>0</v>
      </c>
      <c r="WX408" s="56"/>
      <c r="XA408" s="55">
        <f t="shared" si="2933"/>
        <v>46369</v>
      </c>
      <c r="XB408" s="56"/>
      <c r="XC408" s="242">
        <f>SUMPRODUCT(PRODUCE!$B401:$DY401,PRODUCE!$EB$57:$IY$57)</f>
        <v>0</v>
      </c>
      <c r="XD408" s="56"/>
      <c r="XE408" s="242">
        <f t="shared" si="2934"/>
        <v>0</v>
      </c>
      <c r="XF408" s="242">
        <f t="shared" si="2935"/>
        <v>7507</v>
      </c>
      <c r="XG408" s="56"/>
      <c r="XJ408" s="55">
        <f t="shared" si="2936"/>
        <v>46369</v>
      </c>
      <c r="XK408" s="56"/>
      <c r="XL408" s="242">
        <f>SUMPRODUCT(PRODUCE!$B401:$DY401,PRODUCE!$EB$57:$IY$57)</f>
        <v>0</v>
      </c>
      <c r="XM408" s="56"/>
      <c r="XN408" s="242">
        <f t="shared" si="2937"/>
        <v>0</v>
      </c>
      <c r="XO408" s="242">
        <f t="shared" si="2938"/>
        <v>4252</v>
      </c>
      <c r="XP408" s="56"/>
      <c r="XS408" s="55">
        <f t="shared" si="2939"/>
        <v>46369</v>
      </c>
      <c r="XT408" s="56"/>
      <c r="XU408" s="242">
        <f>SUMPRODUCT(PRODUCE!$B401:$DY401,PRODUCE!$EB$57:$IY$57)</f>
        <v>0</v>
      </c>
      <c r="XV408" s="56"/>
      <c r="XW408" s="242">
        <f t="shared" si="2940"/>
        <v>0</v>
      </c>
      <c r="XX408" s="242">
        <f t="shared" si="2941"/>
        <v>2179</v>
      </c>
      <c r="XY408" s="56"/>
      <c r="YB408" s="55">
        <f t="shared" si="2942"/>
        <v>46369</v>
      </c>
      <c r="YC408" s="56"/>
      <c r="YD408" s="242">
        <f>SUMPRODUCT(PRODUCE!$B401:$DY401,PRODUCE!$EB$57:$IY$57)</f>
        <v>0</v>
      </c>
      <c r="YE408" s="56"/>
      <c r="YF408" s="242">
        <f t="shared" si="2943"/>
        <v>0</v>
      </c>
      <c r="YG408" s="242">
        <f t="shared" si="2944"/>
        <v>4019</v>
      </c>
      <c r="YH408" s="56"/>
      <c r="YK408" s="55">
        <f t="shared" si="2945"/>
        <v>46369</v>
      </c>
      <c r="YL408" s="56"/>
      <c r="YM408" s="242">
        <f>SUMPRODUCT(PRODUCE!$B401:$DY401,PRODUCE!$EB$57:$IY$57)</f>
        <v>0</v>
      </c>
      <c r="YN408" s="56"/>
      <c r="YO408" s="242">
        <f t="shared" si="2946"/>
        <v>0</v>
      </c>
      <c r="YP408" s="242">
        <f t="shared" si="2947"/>
        <v>-218</v>
      </c>
      <c r="YQ408" s="56"/>
      <c r="YT408" s="55">
        <f t="shared" si="2948"/>
        <v>46369</v>
      </c>
      <c r="YU408" s="56"/>
      <c r="YV408" s="242">
        <f>SUMPRODUCT(PRODUCE!$B401:$DY401,PRODUCE!$EB$57:$IY$57)</f>
        <v>0</v>
      </c>
      <c r="YW408" s="56"/>
      <c r="YX408" s="242">
        <f t="shared" si="2949"/>
        <v>0</v>
      </c>
      <c r="YY408" s="242">
        <f t="shared" si="2950"/>
        <v>0</v>
      </c>
      <c r="YZ408" s="56"/>
      <c r="ZC408" s="55">
        <f t="shared" si="2951"/>
        <v>46369</v>
      </c>
      <c r="ZD408" s="56"/>
      <c r="ZE408" s="242">
        <f>SUMPRODUCT(PRODUCE!$B401:$DY401,PRODUCE!$EB$57:$IY$57)</f>
        <v>0</v>
      </c>
      <c r="ZF408" s="56"/>
      <c r="ZG408" s="242">
        <f t="shared" si="2952"/>
        <v>0</v>
      </c>
      <c r="ZH408" s="242">
        <f t="shared" si="2953"/>
        <v>0</v>
      </c>
      <c r="ZI408" s="56"/>
      <c r="ZL408" s="55">
        <f t="shared" si="2954"/>
        <v>46369</v>
      </c>
      <c r="ZM408" s="56"/>
      <c r="ZN408" s="242">
        <f>SUMPRODUCT(PRODUCE!$B401:$DY401,PRODUCE!$EB$57:$IY$57)</f>
        <v>0</v>
      </c>
      <c r="ZO408" s="56"/>
      <c r="ZP408" s="242">
        <f t="shared" si="2955"/>
        <v>0</v>
      </c>
      <c r="ZQ408" s="242">
        <f t="shared" si="2956"/>
        <v>0</v>
      </c>
      <c r="ZR408" s="56"/>
      <c r="ZU408" s="55">
        <f t="shared" si="2957"/>
        <v>46369</v>
      </c>
      <c r="ZV408" s="56"/>
      <c r="ZW408" s="242">
        <f>SUMPRODUCT(PRODUCE!$B401:$DY401,PRODUCE!$EB$57:$IY$57)</f>
        <v>0</v>
      </c>
      <c r="ZX408" s="56"/>
      <c r="ZY408" s="242">
        <f t="shared" si="2958"/>
        <v>0</v>
      </c>
      <c r="ZZ408" s="242">
        <f t="shared" si="2959"/>
        <v>0</v>
      </c>
      <c r="AAA408" s="56"/>
      <c r="AAD408" s="55">
        <f t="shared" si="2960"/>
        <v>46369</v>
      </c>
      <c r="AAE408" s="56"/>
      <c r="AAF408" s="242">
        <f>SUMPRODUCT(PRODUCE!$B401:$DY401,PRODUCE!$EB$57:$IY$57)</f>
        <v>0</v>
      </c>
      <c r="AAG408" s="56"/>
      <c r="AAH408" s="242">
        <f t="shared" si="2961"/>
        <v>0</v>
      </c>
      <c r="AAI408" s="242">
        <f t="shared" si="2962"/>
        <v>0</v>
      </c>
      <c r="AAJ408" s="56"/>
      <c r="AAM408" s="55">
        <f t="shared" si="2963"/>
        <v>46369</v>
      </c>
      <c r="AAN408" s="56"/>
      <c r="AAO408" s="242">
        <f>SUMPRODUCT(PRODUCE!$B401:$DY401,PRODUCE!$EB$57:$IY$57)</f>
        <v>0</v>
      </c>
      <c r="AAP408" s="56"/>
      <c r="AAQ408" s="242">
        <f t="shared" si="2964"/>
        <v>0</v>
      </c>
      <c r="AAR408" s="242">
        <f t="shared" si="2965"/>
        <v>0</v>
      </c>
      <c r="AAS408" s="56"/>
      <c r="AAV408" s="55">
        <f t="shared" si="2966"/>
        <v>46369</v>
      </c>
      <c r="AAW408" s="56"/>
      <c r="AAX408" s="242">
        <f>SUMPRODUCT(PRODUCE!$B401:$DY401,PRODUCE!$EB$57:$IY$57)</f>
        <v>0</v>
      </c>
      <c r="AAY408" s="56"/>
      <c r="AAZ408" s="242">
        <f t="shared" si="2967"/>
        <v>0</v>
      </c>
      <c r="ABA408" s="242">
        <f t="shared" si="2968"/>
        <v>0</v>
      </c>
      <c r="ABB408" s="56"/>
      <c r="ABE408" s="55">
        <f t="shared" si="2969"/>
        <v>46369</v>
      </c>
      <c r="ABF408" s="56"/>
      <c r="ABG408" s="242">
        <f>SUMPRODUCT(PRODUCE!$B401:$DY401,PRODUCE!$EB$57:$IY$57)</f>
        <v>0</v>
      </c>
      <c r="ABH408" s="56"/>
      <c r="ABI408" s="242">
        <f t="shared" si="2970"/>
        <v>0</v>
      </c>
      <c r="ABJ408" s="242">
        <f t="shared" si="2971"/>
        <v>0</v>
      </c>
      <c r="ABK408" s="56"/>
    </row>
    <row r="409" spans="2:739" s="54" customFormat="1" ht="15" customHeight="1" outlineLevel="1">
      <c r="B409" s="478"/>
      <c r="C409" s="55">
        <v>46370</v>
      </c>
      <c r="D409" s="56"/>
      <c r="E409" s="57">
        <f>SUMPRODUCT(PRODUCE!$B402:$DY402,PRODUCE!$EB$7:$IY$7)</f>
        <v>0</v>
      </c>
      <c r="F409" s="56"/>
      <c r="G409" s="57">
        <f t="shared" si="2727"/>
        <v>0</v>
      </c>
      <c r="H409" s="57">
        <f t="shared" si="2728"/>
        <v>236936.6</v>
      </c>
      <c r="I409" s="289"/>
      <c r="L409" s="55">
        <f t="shared" si="2729"/>
        <v>46370</v>
      </c>
      <c r="M409" s="56"/>
      <c r="N409" s="59">
        <f>SUMPRODUCT(PRODUCE!$B402:$DY402,PRODUCE!$EB$8:$IY$8)</f>
        <v>0</v>
      </c>
      <c r="O409" s="56"/>
      <c r="P409" s="59">
        <f t="shared" si="2730"/>
        <v>0</v>
      </c>
      <c r="Q409" s="59">
        <f t="shared" si="2731"/>
        <v>53017.600000000071</v>
      </c>
      <c r="R409" s="56"/>
      <c r="U409" s="55">
        <f t="shared" si="2732"/>
        <v>46370</v>
      </c>
      <c r="V409" s="56"/>
      <c r="W409" s="60">
        <f>SUMPRODUCT(PRODUCE!$B402:$DY402,PRODUCE!$EB$9:$IY$9)</f>
        <v>0</v>
      </c>
      <c r="X409" s="56"/>
      <c r="Y409" s="60">
        <f t="shared" si="2733"/>
        <v>0</v>
      </c>
      <c r="Z409" s="60">
        <f t="shared" si="2734"/>
        <v>42674.199999999968</v>
      </c>
      <c r="AA409" s="56"/>
      <c r="AD409" s="55">
        <f t="shared" si="2735"/>
        <v>46370</v>
      </c>
      <c r="AE409" s="56"/>
      <c r="AF409" s="61">
        <f>SUMPRODUCT(PRODUCE!$B402:$DY402,PRODUCE!$EB$10:$IY$10)</f>
        <v>0</v>
      </c>
      <c r="AG409" s="56"/>
      <c r="AH409" s="61">
        <f t="shared" si="2736"/>
        <v>0</v>
      </c>
      <c r="AI409" s="61">
        <f t="shared" si="2737"/>
        <v>4522.2000000000189</v>
      </c>
      <c r="AJ409" s="56"/>
      <c r="AM409" s="55">
        <f t="shared" si="2738"/>
        <v>46370</v>
      </c>
      <c r="AN409" s="422"/>
      <c r="AO409" s="444">
        <f>SUMPRODUCT(PRODUCE!$B402:$DY402,PRODUCE!$EB$11:$IY$11)</f>
        <v>0</v>
      </c>
      <c r="AP409" s="422"/>
      <c r="AQ409" s="444">
        <f t="shared" si="2739"/>
        <v>0</v>
      </c>
      <c r="AR409" s="444">
        <f t="shared" si="2740"/>
        <v>0</v>
      </c>
      <c r="AS409" s="56"/>
      <c r="AV409" s="55">
        <f t="shared" si="2741"/>
        <v>46370</v>
      </c>
      <c r="AW409" s="56"/>
      <c r="AX409" s="62">
        <f>SUMPRODUCT(PRODUCE!$B402:$DY402,PRODUCE!$EB$12:$IY$12)</f>
        <v>0</v>
      </c>
      <c r="AY409" s="56"/>
      <c r="AZ409" s="62">
        <f t="shared" si="2742"/>
        <v>0</v>
      </c>
      <c r="BA409" s="62">
        <f t="shared" si="2743"/>
        <v>124.99999999999523</v>
      </c>
      <c r="BB409" s="56"/>
      <c r="BE409" s="55">
        <f t="shared" si="2744"/>
        <v>46370</v>
      </c>
      <c r="BF409" s="56"/>
      <c r="BG409" s="63">
        <f>SUMPRODUCT(PRODUCE!$B402:$DY402,PRODUCE!$EB$13:$IY$13)</f>
        <v>0</v>
      </c>
      <c r="BH409" s="56"/>
      <c r="BI409" s="63">
        <f t="shared" si="2745"/>
        <v>0</v>
      </c>
      <c r="BJ409" s="63">
        <f t="shared" si="2746"/>
        <v>26151.899999999998</v>
      </c>
      <c r="BK409" s="56"/>
      <c r="BN409" s="55">
        <f t="shared" si="2747"/>
        <v>46370</v>
      </c>
      <c r="BO409" s="56"/>
      <c r="BP409" s="64">
        <f>SUMPRODUCT(PRODUCE!$B402:$DY402,PRODUCE!$EB$14:$IY$14)</f>
        <v>0</v>
      </c>
      <c r="BQ409" s="56"/>
      <c r="BR409" s="64">
        <f t="shared" si="2748"/>
        <v>0</v>
      </c>
      <c r="BS409" s="64">
        <f t="shared" si="2749"/>
        <v>0</v>
      </c>
      <c r="BT409" s="56"/>
      <c r="BW409" s="55">
        <f t="shared" si="2750"/>
        <v>46370</v>
      </c>
      <c r="BX409" s="56"/>
      <c r="BY409" s="65">
        <f>SUMPRODUCT(PRODUCE!$B402:$DY402,PRODUCE!$EB$15:$IY$15)</f>
        <v>0</v>
      </c>
      <c r="BZ409" s="56"/>
      <c r="CA409" s="65">
        <f t="shared" si="2751"/>
        <v>0</v>
      </c>
      <c r="CB409" s="65">
        <f t="shared" si="2752"/>
        <v>2097.3399999999992</v>
      </c>
      <c r="CC409" s="56"/>
      <c r="CF409" s="55">
        <f t="shared" si="2753"/>
        <v>46370</v>
      </c>
      <c r="CG409" s="56"/>
      <c r="CH409" s="66">
        <f>SUMPRODUCT(PRODUCE!$B402:$DY402,PRODUCE!$EB$16:$IY$16)</f>
        <v>0</v>
      </c>
      <c r="CI409" s="56"/>
      <c r="CJ409" s="66">
        <f t="shared" si="2754"/>
        <v>0</v>
      </c>
      <c r="CK409" s="66">
        <f t="shared" si="2755"/>
        <v>-10277.079999999998</v>
      </c>
      <c r="CL409" s="56"/>
      <c r="CO409" s="55">
        <f t="shared" si="2756"/>
        <v>46370</v>
      </c>
      <c r="CP409" s="422"/>
      <c r="CQ409" s="470">
        <f>SUMPRODUCT(PRODUCE!$B402:$DY402,PRODUCE!$EB$17:$IY$17)</f>
        <v>0</v>
      </c>
      <c r="CR409" s="422"/>
      <c r="CS409" s="470">
        <f t="shared" si="2757"/>
        <v>0</v>
      </c>
      <c r="CT409" s="470">
        <f t="shared" si="2758"/>
        <v>0</v>
      </c>
      <c r="CU409" s="56"/>
      <c r="CX409" s="55">
        <f t="shared" si="2759"/>
        <v>46370</v>
      </c>
      <c r="CY409" s="56"/>
      <c r="CZ409" s="133">
        <f>SUMPRODUCT(PRODUCE!$B402:$DY402,PRODUCE!$EB$18:$IY$18)</f>
        <v>0</v>
      </c>
      <c r="DA409" s="56"/>
      <c r="DB409" s="133">
        <f t="shared" si="2760"/>
        <v>0</v>
      </c>
      <c r="DC409" s="133">
        <f t="shared" si="2761"/>
        <v>27438.200000000012</v>
      </c>
      <c r="DD409" s="56"/>
      <c r="DG409" s="55">
        <f t="shared" si="2762"/>
        <v>46370</v>
      </c>
      <c r="DH409" s="56"/>
      <c r="DI409" s="147">
        <f>SUMPRODUCT(PRODUCE!$B402:$DY402,PRODUCE!$EB$19:$IY$19)</f>
        <v>0</v>
      </c>
      <c r="DJ409" s="56"/>
      <c r="DK409" s="147">
        <f t="shared" si="2763"/>
        <v>0</v>
      </c>
      <c r="DL409" s="147">
        <f t="shared" si="2764"/>
        <v>18782.299999999981</v>
      </c>
      <c r="DM409" s="56"/>
      <c r="DP409" s="55">
        <f t="shared" si="2765"/>
        <v>46370</v>
      </c>
      <c r="DQ409" s="56"/>
      <c r="DR409" s="57">
        <f>SUMPRODUCT(PRODUCE!$B402:$DY402,PRODUCE!$EB$20:$IY$20)</f>
        <v>0</v>
      </c>
      <c r="DS409" s="56"/>
      <c r="DT409" s="57">
        <f t="shared" si="2766"/>
        <v>0</v>
      </c>
      <c r="DU409" s="57">
        <f t="shared" si="2767"/>
        <v>5800</v>
      </c>
      <c r="DV409" s="56"/>
      <c r="DY409" s="55">
        <f t="shared" si="2768"/>
        <v>46370</v>
      </c>
      <c r="DZ409" s="56"/>
      <c r="EA409" s="157">
        <f>SUMPRODUCT(PRODUCE!$B402:$DY402,PRODUCE!$EB$21:$IY$21)</f>
        <v>0</v>
      </c>
      <c r="EB409" s="56"/>
      <c r="EC409" s="157">
        <f t="shared" si="2769"/>
        <v>0</v>
      </c>
      <c r="ED409" s="157">
        <f t="shared" si="2770"/>
        <v>0</v>
      </c>
      <c r="EE409" s="56"/>
      <c r="EH409" s="55">
        <f t="shared" si="2771"/>
        <v>46370</v>
      </c>
      <c r="EI409" s="56"/>
      <c r="EJ409" s="162">
        <f>SUMPRODUCT(PRODUCE!$B402:$DY402,PRODUCE!$EB$22:$IY$22)</f>
        <v>0</v>
      </c>
      <c r="EK409" s="56"/>
      <c r="EL409" s="162">
        <f t="shared" si="2772"/>
        <v>0</v>
      </c>
      <c r="EM409" s="162">
        <f t="shared" si="2773"/>
        <v>0</v>
      </c>
      <c r="EN409" s="56"/>
      <c r="EQ409" s="55">
        <f t="shared" si="2774"/>
        <v>46370</v>
      </c>
      <c r="ER409" s="56"/>
      <c r="ES409" s="135">
        <f>SUMPRODUCT(PRODUCE!$B402:$DY402,PRODUCE!$EB$23:$IY$23)</f>
        <v>0</v>
      </c>
      <c r="ET409" s="56"/>
      <c r="EU409" s="135">
        <f t="shared" si="2775"/>
        <v>0</v>
      </c>
      <c r="EV409" s="135">
        <f t="shared" si="2776"/>
        <v>0</v>
      </c>
      <c r="EW409" s="56"/>
      <c r="EZ409" s="55">
        <f t="shared" si="2777"/>
        <v>46370</v>
      </c>
      <c r="FA409" s="56"/>
      <c r="FB409" s="175">
        <f>SUMPRODUCT(PRODUCE!$B402:$DY402,PRODUCE!$EB$24:$IY$24)</f>
        <v>0</v>
      </c>
      <c r="FC409" s="56"/>
      <c r="FD409" s="175">
        <f t="shared" si="2778"/>
        <v>0</v>
      </c>
      <c r="FE409" s="175">
        <f t="shared" si="2779"/>
        <v>0</v>
      </c>
      <c r="FF409" s="56"/>
      <c r="FI409" s="55">
        <f t="shared" si="2780"/>
        <v>46370</v>
      </c>
      <c r="FJ409" s="56"/>
      <c r="FK409" s="183">
        <f>SUMPRODUCT(PRODUCE!$B402:$DY402,PRODUCE!$EB$25:$IY$25)</f>
        <v>0</v>
      </c>
      <c r="FL409" s="56"/>
      <c r="FM409" s="183">
        <f t="shared" si="2781"/>
        <v>0</v>
      </c>
      <c r="FN409" s="183">
        <f t="shared" si="2782"/>
        <v>0</v>
      </c>
      <c r="FO409" s="56"/>
      <c r="FR409" s="55">
        <f t="shared" si="2783"/>
        <v>46370</v>
      </c>
      <c r="FS409" s="56"/>
      <c r="FT409" s="186">
        <f>SUMPRODUCT(PRODUCE!$B402:$DY402,PRODUCE!$EB$26:$IY$26)</f>
        <v>0</v>
      </c>
      <c r="FU409" s="56"/>
      <c r="FV409" s="186">
        <f t="shared" si="2784"/>
        <v>0</v>
      </c>
      <c r="FW409" s="186">
        <f t="shared" si="2785"/>
        <v>2020</v>
      </c>
      <c r="FX409" s="56"/>
      <c r="GA409" s="55">
        <f t="shared" si="2786"/>
        <v>46370</v>
      </c>
      <c r="GB409" s="56"/>
      <c r="GC409" s="137">
        <f>SUMPRODUCT(PRODUCE!$B402:$DY402,PRODUCE!$EB$27:$IY$27)</f>
        <v>0</v>
      </c>
      <c r="GD409" s="56"/>
      <c r="GE409" s="137">
        <f t="shared" si="2787"/>
        <v>0</v>
      </c>
      <c r="GF409" s="137">
        <f t="shared" si="2788"/>
        <v>960</v>
      </c>
      <c r="GG409" s="56"/>
      <c r="GI409" s="23"/>
      <c r="GJ409" s="55">
        <f t="shared" si="2789"/>
        <v>46370</v>
      </c>
      <c r="GK409" s="56"/>
      <c r="GL409" s="199">
        <f>SUMPRODUCT(PRODUCE!$B402:$DY402,PRODUCE!$EB$28:$IY$28)</f>
        <v>0</v>
      </c>
      <c r="GM409" s="56"/>
      <c r="GN409" s="199">
        <f t="shared" si="2790"/>
        <v>0</v>
      </c>
      <c r="GO409" s="199">
        <f t="shared" si="2791"/>
        <v>1760</v>
      </c>
      <c r="GP409" s="56"/>
      <c r="GS409" s="55">
        <f t="shared" si="2792"/>
        <v>46370</v>
      </c>
      <c r="GT409" s="56"/>
      <c r="GU409" s="195">
        <f>SUMPRODUCT(PRODUCE!$B402:$DY402,PRODUCE!$EB$29:$IY$29)</f>
        <v>0</v>
      </c>
      <c r="GV409" s="56"/>
      <c r="GW409" s="195">
        <f t="shared" si="2793"/>
        <v>0</v>
      </c>
      <c r="GX409" s="195">
        <f t="shared" si="2794"/>
        <v>400</v>
      </c>
      <c r="GY409" s="56"/>
      <c r="HB409" s="55">
        <f t="shared" si="2795"/>
        <v>46370</v>
      </c>
      <c r="HC409" s="56"/>
      <c r="HD409" s="191">
        <f>SUMPRODUCT(PRODUCE!$B402:$DY402,PRODUCE!$EB$30:$IY$30)</f>
        <v>0</v>
      </c>
      <c r="HE409" s="56"/>
      <c r="HF409" s="191">
        <f t="shared" si="2796"/>
        <v>0</v>
      </c>
      <c r="HG409" s="191">
        <f t="shared" si="2797"/>
        <v>3600</v>
      </c>
      <c r="HH409" s="56"/>
      <c r="HK409" s="55">
        <f t="shared" si="2798"/>
        <v>46370</v>
      </c>
      <c r="HL409" s="56"/>
      <c r="HM409" s="63">
        <f>SUMPRODUCT(PRODUCE!$B402:$DY402,PRODUCE!$EB$31:$IY$31)</f>
        <v>0</v>
      </c>
      <c r="HN409" s="56"/>
      <c r="HO409" s="63">
        <f t="shared" si="2799"/>
        <v>0</v>
      </c>
      <c r="HP409" s="63">
        <f t="shared" si="2800"/>
        <v>0</v>
      </c>
      <c r="HQ409" s="56"/>
      <c r="HU409" s="55">
        <f t="shared" si="2801"/>
        <v>46370</v>
      </c>
      <c r="HV409" s="56"/>
      <c r="HW409" s="242">
        <f>SUMPRODUCT(PRODUCE!$B402:$DY402,PRODUCE!$EB$32:$IY$32)</f>
        <v>0</v>
      </c>
      <c r="HX409" s="56"/>
      <c r="HY409" s="242">
        <f t="shared" si="2802"/>
        <v>0</v>
      </c>
      <c r="HZ409" s="242">
        <f t="shared" si="2803"/>
        <v>6120</v>
      </c>
      <c r="IA409" s="56"/>
      <c r="ID409" s="55">
        <f t="shared" si="2804"/>
        <v>46370</v>
      </c>
      <c r="IE409" s="56"/>
      <c r="IF409" s="242">
        <f>SUMPRODUCT(PRODUCE!$B402:$DY402,PRODUCE!$EB$33:$IY$33)</f>
        <v>0</v>
      </c>
      <c r="IG409" s="56"/>
      <c r="IH409" s="242">
        <f t="shared" si="2805"/>
        <v>0</v>
      </c>
      <c r="II409" s="242">
        <f t="shared" si="2806"/>
        <v>0</v>
      </c>
      <c r="IJ409" s="56"/>
      <c r="IM409" s="55">
        <f t="shared" si="2807"/>
        <v>46370</v>
      </c>
      <c r="IN409" s="56"/>
      <c r="IO409" s="242">
        <f>SUMPRODUCT(PRODUCE!$B402:$DY402,PRODUCE!$EB$34:$IY$34)</f>
        <v>0</v>
      </c>
      <c r="IP409" s="56"/>
      <c r="IQ409" s="242">
        <f t="shared" si="2808"/>
        <v>0</v>
      </c>
      <c r="IR409" s="242">
        <f t="shared" si="2809"/>
        <v>0</v>
      </c>
      <c r="IS409" s="56"/>
      <c r="IV409" s="55">
        <f t="shared" si="2810"/>
        <v>46370</v>
      </c>
      <c r="IW409" s="56"/>
      <c r="IX409" s="242">
        <f>SUMPRODUCT(PRODUCE!$B402:$DY402,PRODUCE!$EB$35:$IY$35)</f>
        <v>0</v>
      </c>
      <c r="IY409" s="56"/>
      <c r="IZ409" s="242">
        <f t="shared" si="2811"/>
        <v>0</v>
      </c>
      <c r="JA409" s="242">
        <f t="shared" si="2812"/>
        <v>2820</v>
      </c>
      <c r="JB409" s="56"/>
      <c r="JE409" s="55">
        <f t="shared" si="2813"/>
        <v>46370</v>
      </c>
      <c r="JF409" s="56"/>
      <c r="JG409" s="242">
        <f>SUMPRODUCT(PRODUCE!$B402:$DY402,PRODUCE!$EB$36:$IY$36)</f>
        <v>0</v>
      </c>
      <c r="JH409" s="56"/>
      <c r="JI409" s="242">
        <f t="shared" si="2814"/>
        <v>0</v>
      </c>
      <c r="JJ409" s="242">
        <f t="shared" si="2815"/>
        <v>0</v>
      </c>
      <c r="JK409" s="56"/>
      <c r="JN409" s="55">
        <f t="shared" si="2816"/>
        <v>46370</v>
      </c>
      <c r="JO409" s="56"/>
      <c r="JP409" s="242">
        <f>SUMPRODUCT(PRODUCE!$B402:$DY402,PRODUCE!$EB$37:$IY$37)</f>
        <v>0</v>
      </c>
      <c r="JQ409" s="56"/>
      <c r="JR409" s="242">
        <f t="shared" si="2817"/>
        <v>0</v>
      </c>
      <c r="JS409" s="242">
        <f t="shared" si="2818"/>
        <v>0</v>
      </c>
      <c r="JT409" s="56"/>
      <c r="JW409" s="55">
        <f t="shared" si="2819"/>
        <v>46370</v>
      </c>
      <c r="JX409" s="56"/>
      <c r="JY409" s="242">
        <f>SUMPRODUCT(PRODUCE!$B402:$DY402,PRODUCE!$EB$38:$IY$38)</f>
        <v>0</v>
      </c>
      <c r="JZ409" s="56"/>
      <c r="KA409" s="242">
        <f t="shared" si="2820"/>
        <v>0</v>
      </c>
      <c r="KB409" s="242">
        <f t="shared" si="2821"/>
        <v>2540</v>
      </c>
      <c r="KC409" s="56"/>
      <c r="KF409" s="55">
        <f t="shared" si="2822"/>
        <v>46370</v>
      </c>
      <c r="KG409" s="56"/>
      <c r="KH409" s="242">
        <f>SUMPRODUCT(PRODUCE!$B402:$DY402,PRODUCE!$EB$39:$IY$39)</f>
        <v>0</v>
      </c>
      <c r="KI409" s="56"/>
      <c r="KJ409" s="242">
        <f t="shared" si="2823"/>
        <v>0</v>
      </c>
      <c r="KK409" s="242">
        <f t="shared" si="2824"/>
        <v>2359.5</v>
      </c>
      <c r="KL409" s="56"/>
      <c r="KO409" s="55">
        <f t="shared" si="2825"/>
        <v>46370</v>
      </c>
      <c r="KP409" s="56"/>
      <c r="KQ409" s="242">
        <f>SUMPRODUCT(PRODUCE!$B402:$DY402,PRODUCE!$EB$40:$IY$40)</f>
        <v>0</v>
      </c>
      <c r="KR409" s="56"/>
      <c r="KS409" s="242">
        <f t="shared" si="2826"/>
        <v>0</v>
      </c>
      <c r="KT409" s="242">
        <f t="shared" si="2827"/>
        <v>1890</v>
      </c>
      <c r="KU409" s="56"/>
      <c r="KW409" s="23"/>
      <c r="KX409" s="55">
        <f t="shared" si="2828"/>
        <v>46370</v>
      </c>
      <c r="KY409" s="56"/>
      <c r="KZ409" s="242">
        <f>SUMPRODUCT(PRODUCE!$B402:$DY402,PRODUCE!$EB$41:$IY$41)</f>
        <v>0</v>
      </c>
      <c r="LA409" s="56"/>
      <c r="LB409" s="242">
        <f t="shared" si="2829"/>
        <v>0</v>
      </c>
      <c r="LC409" s="242">
        <f t="shared" si="2830"/>
        <v>3690</v>
      </c>
      <c r="LD409" s="56"/>
      <c r="LG409" s="55">
        <f t="shared" si="2831"/>
        <v>46370</v>
      </c>
      <c r="LH409" s="56"/>
      <c r="LI409" s="242">
        <f>SUMPRODUCT(PRODUCE!$B402:$DY402,PRODUCE!$EB$42:$IY$42)</f>
        <v>0</v>
      </c>
      <c r="LJ409" s="56"/>
      <c r="LK409" s="242">
        <f t="shared" si="2832"/>
        <v>0</v>
      </c>
      <c r="LL409" s="242">
        <f t="shared" si="2833"/>
        <v>4000</v>
      </c>
      <c r="LM409" s="56"/>
      <c r="LP409" s="55">
        <f t="shared" si="2834"/>
        <v>46370</v>
      </c>
      <c r="LQ409" s="56"/>
      <c r="LR409" s="242">
        <f>SUMPRODUCT(PRODUCE!$B424:$DY424,PRODUCE!$EB$43:$IY$43)</f>
        <v>0</v>
      </c>
      <c r="LS409" s="56"/>
      <c r="LT409" s="242">
        <f t="shared" si="2835"/>
        <v>0</v>
      </c>
      <c r="LU409" s="242">
        <f t="shared" si="2836"/>
        <v>0</v>
      </c>
      <c r="LV409" s="56"/>
      <c r="LY409" s="55">
        <f t="shared" si="2837"/>
        <v>46370</v>
      </c>
      <c r="LZ409" s="56"/>
      <c r="MA409" s="242">
        <f>SUMPRODUCT(PRODUCE!$B402:$DY402,PRODUCE!$EB$44:$IY$44)</f>
        <v>0</v>
      </c>
      <c r="MB409" s="56"/>
      <c r="MC409" s="242">
        <f t="shared" si="2838"/>
        <v>0</v>
      </c>
      <c r="MD409" s="242">
        <f t="shared" si="2839"/>
        <v>0</v>
      </c>
      <c r="ME409" s="56"/>
      <c r="MH409" s="55">
        <f t="shared" si="2840"/>
        <v>46370</v>
      </c>
      <c r="MI409" s="56"/>
      <c r="MJ409" s="242">
        <f>SUMPRODUCT(PRODUCE!$B402:$DY402,PRODUCE!$EB$45:$IY$45)</f>
        <v>0</v>
      </c>
      <c r="MK409" s="56"/>
      <c r="ML409" s="242">
        <f t="shared" si="2841"/>
        <v>0</v>
      </c>
      <c r="MM409" s="242">
        <f t="shared" si="2842"/>
        <v>-18</v>
      </c>
      <c r="MN409" s="56"/>
      <c r="MQ409" s="55">
        <f t="shared" si="2843"/>
        <v>46370</v>
      </c>
      <c r="MR409" s="56"/>
      <c r="MS409" s="242">
        <f>SUMPRODUCT(PRODUCE!$B402:$DY402,PRODUCE!$EB$46:$IY$46)</f>
        <v>0</v>
      </c>
      <c r="MT409" s="56"/>
      <c r="MU409" s="242">
        <f t="shared" si="2844"/>
        <v>0</v>
      </c>
      <c r="MV409" s="242">
        <f t="shared" si="2845"/>
        <v>1559</v>
      </c>
      <c r="MW409" s="56"/>
      <c r="MZ409" s="55">
        <f t="shared" si="2846"/>
        <v>46370</v>
      </c>
      <c r="NA409" s="56"/>
      <c r="NB409" s="242">
        <f>SUMPRODUCT(PRODUCE!$B402:$DY402,PRODUCE!$EB$47:$IY$47)</f>
        <v>0</v>
      </c>
      <c r="NC409" s="56"/>
      <c r="ND409" s="242">
        <f t="shared" si="2847"/>
        <v>0</v>
      </c>
      <c r="NE409" s="242">
        <f t="shared" si="2848"/>
        <v>0</v>
      </c>
      <c r="NF409" s="56"/>
      <c r="NI409" s="55">
        <f t="shared" si="2849"/>
        <v>46370</v>
      </c>
      <c r="NJ409" s="56"/>
      <c r="NK409" s="242">
        <f>SUMPRODUCT(PRODUCE!$B402:$DY402,PRODUCE!$EB$48:$IY$48)</f>
        <v>0</v>
      </c>
      <c r="NL409" s="56"/>
      <c r="NM409" s="242">
        <f t="shared" si="2850"/>
        <v>0</v>
      </c>
      <c r="NN409" s="242">
        <f t="shared" si="2851"/>
        <v>1127</v>
      </c>
      <c r="NO409" s="56"/>
      <c r="NR409" s="55">
        <f t="shared" si="2852"/>
        <v>46370</v>
      </c>
      <c r="NS409" s="56"/>
      <c r="NT409" s="242">
        <f>SUMPRODUCT(PRODUCE!$B402:$DY402,PRODUCE!$EB$49:$IY$49)</f>
        <v>0</v>
      </c>
      <c r="NU409" s="56"/>
      <c r="NV409" s="242">
        <f t="shared" si="2853"/>
        <v>0</v>
      </c>
      <c r="NW409" s="242">
        <f t="shared" si="2854"/>
        <v>3111.9999999999995</v>
      </c>
      <c r="NX409" s="56"/>
      <c r="OA409" s="55">
        <f t="shared" si="2855"/>
        <v>46370</v>
      </c>
      <c r="OB409" s="56"/>
      <c r="OC409" s="242">
        <f>SUMPRODUCT(PRODUCE!$B402:$DY402,PRODUCE!$EB$50:$IY$50)</f>
        <v>0</v>
      </c>
      <c r="OD409" s="56"/>
      <c r="OE409" s="242">
        <f t="shared" si="2856"/>
        <v>0</v>
      </c>
      <c r="OF409" s="242">
        <f t="shared" si="2857"/>
        <v>1680.5</v>
      </c>
      <c r="OG409" s="56"/>
      <c r="OJ409" s="55">
        <f t="shared" si="2858"/>
        <v>46370</v>
      </c>
      <c r="OK409" s="56"/>
      <c r="OL409" s="242">
        <f>SUMPRODUCT(PRODUCE!$B402:$DY402,PRODUCE!$EB$51:$IY$51)</f>
        <v>0</v>
      </c>
      <c r="OM409" s="56"/>
      <c r="ON409" s="242">
        <f t="shared" si="2859"/>
        <v>0</v>
      </c>
      <c r="OO409" s="242">
        <f t="shared" si="2860"/>
        <v>0</v>
      </c>
      <c r="OP409" s="56"/>
      <c r="OS409" s="55">
        <f t="shared" si="2861"/>
        <v>46370</v>
      </c>
      <c r="OT409" s="56"/>
      <c r="OU409" s="242">
        <f>SUMPRODUCT(PRODUCE!$B402:$DY402,PRODUCE!$EB$52:$IY$52)</f>
        <v>0</v>
      </c>
      <c r="OV409" s="56"/>
      <c r="OW409" s="242">
        <f t="shared" si="2862"/>
        <v>0</v>
      </c>
      <c r="OX409" s="242">
        <f t="shared" si="2863"/>
        <v>1482</v>
      </c>
      <c r="OY409" s="56"/>
      <c r="PB409" s="55">
        <f t="shared" si="2864"/>
        <v>46370</v>
      </c>
      <c r="PC409" s="56"/>
      <c r="PD409" s="242">
        <f>SUMPRODUCT(PRODUCE!$B402:$DY402,PRODUCE!$EB$53:$IY$53)</f>
        <v>0</v>
      </c>
      <c r="PE409" s="56"/>
      <c r="PF409" s="242">
        <f t="shared" si="2865"/>
        <v>0</v>
      </c>
      <c r="PG409" s="242">
        <f t="shared" si="2866"/>
        <v>0</v>
      </c>
      <c r="PH409" s="56"/>
      <c r="PK409" s="55">
        <f t="shared" si="2867"/>
        <v>46370</v>
      </c>
      <c r="PL409" s="56"/>
      <c r="PM409" s="242">
        <f>SUMPRODUCT(PRODUCE!$B402:$DY402,PRODUCE!$EB$54:$IY$54)</f>
        <v>0</v>
      </c>
      <c r="PN409" s="56"/>
      <c r="PO409" s="242">
        <f t="shared" si="2868"/>
        <v>0</v>
      </c>
      <c r="PP409" s="242">
        <f t="shared" si="2869"/>
        <v>100</v>
      </c>
      <c r="PQ409" s="56"/>
      <c r="PT409" s="55">
        <f t="shared" si="2870"/>
        <v>46370</v>
      </c>
      <c r="PU409" s="56"/>
      <c r="PV409" s="242">
        <f>SUMPRODUCT(PRODUCE!$B402:$DY402,PRODUCE!$EB$55:$IY$55)</f>
        <v>0</v>
      </c>
      <c r="PW409" s="56"/>
      <c r="PX409" s="242">
        <f t="shared" si="2871"/>
        <v>0</v>
      </c>
      <c r="PY409" s="242">
        <f t="shared" si="2872"/>
        <v>13.960000000000036</v>
      </c>
      <c r="PZ409" s="56"/>
      <c r="QC409" s="55">
        <f t="shared" si="2873"/>
        <v>46370</v>
      </c>
      <c r="QD409" s="56"/>
      <c r="QE409" s="242">
        <f>SUMPRODUCT(PRODUCE!$B402:$DY402,PRODUCE!$EB$56:$IY$56)</f>
        <v>0</v>
      </c>
      <c r="QF409" s="56"/>
      <c r="QG409" s="242">
        <f t="shared" si="2874"/>
        <v>0</v>
      </c>
      <c r="QH409" s="242">
        <f t="shared" si="2875"/>
        <v>548</v>
      </c>
      <c r="QI409" s="56"/>
      <c r="QL409" s="55">
        <f t="shared" si="2876"/>
        <v>46370</v>
      </c>
      <c r="QM409" s="56"/>
      <c r="QN409" s="242">
        <f>SUMPRODUCT(PRODUCE!$B402:$DY402,PRODUCE!$EB$57:$IY$57)</f>
        <v>0</v>
      </c>
      <c r="QO409" s="56"/>
      <c r="QP409" s="242">
        <f t="shared" si="2877"/>
        <v>0</v>
      </c>
      <c r="QQ409" s="242">
        <f t="shared" si="2878"/>
        <v>0</v>
      </c>
      <c r="QR409" s="56"/>
      <c r="QU409" s="55">
        <f t="shared" si="2879"/>
        <v>46370</v>
      </c>
      <c r="QV409" s="56"/>
      <c r="QW409" s="242">
        <f>SUMPRODUCT(PRODUCE!$B402:$DY402,PRODUCE!$EB$57:$IY$57)</f>
        <v>0</v>
      </c>
      <c r="QX409" s="56"/>
      <c r="QY409" s="242">
        <f t="shared" si="2880"/>
        <v>0</v>
      </c>
      <c r="QZ409" s="242">
        <f t="shared" si="2881"/>
        <v>0</v>
      </c>
      <c r="RA409" s="56"/>
      <c r="RD409" s="55">
        <f t="shared" si="2882"/>
        <v>46370</v>
      </c>
      <c r="RE409" s="56"/>
      <c r="RF409" s="242">
        <f>SUMPRODUCT(PRODUCE!$B402:$DY402,PRODUCE!$EB$58:$IY$58)</f>
        <v>0</v>
      </c>
      <c r="RG409" s="56"/>
      <c r="RH409" s="242">
        <f t="shared" si="2883"/>
        <v>0</v>
      </c>
      <c r="RI409" s="242">
        <f t="shared" si="2884"/>
        <v>147.04000000000002</v>
      </c>
      <c r="RJ409" s="56"/>
      <c r="RM409" s="55">
        <f t="shared" si="2885"/>
        <v>46370</v>
      </c>
      <c r="RN409" s="56"/>
      <c r="RO409" s="242">
        <f>SUMPRODUCT(PRODUCE!$B402:$DY402,PRODUCE!$EB$57:$IY$57)</f>
        <v>0</v>
      </c>
      <c r="RP409" s="56"/>
      <c r="RQ409" s="242">
        <f t="shared" si="2886"/>
        <v>0</v>
      </c>
      <c r="RR409" s="242">
        <f t="shared" si="2887"/>
        <v>46.8</v>
      </c>
      <c r="RS409" s="56"/>
      <c r="RV409" s="55">
        <f t="shared" si="2888"/>
        <v>46370</v>
      </c>
      <c r="RW409" s="56"/>
      <c r="RX409" s="242">
        <f>SUMPRODUCT(PRODUCE!$B402:$DY402,PRODUCE!$EB$57:$IY$57)</f>
        <v>0</v>
      </c>
      <c r="RY409" s="56"/>
      <c r="RZ409" s="242">
        <f t="shared" si="2889"/>
        <v>0</v>
      </c>
      <c r="SA409" s="242">
        <f t="shared" si="2890"/>
        <v>0</v>
      </c>
      <c r="SB409" s="56"/>
      <c r="SE409" s="55">
        <f t="shared" si="2891"/>
        <v>46370</v>
      </c>
      <c r="SF409" s="56"/>
      <c r="SG409" s="242">
        <f>SUMPRODUCT(PRODUCE!$B402:$DY402,PRODUCE!$EB$61:$IY$61)</f>
        <v>0</v>
      </c>
      <c r="SH409" s="56"/>
      <c r="SI409" s="242">
        <f t="shared" si="2892"/>
        <v>0</v>
      </c>
      <c r="SJ409" s="242">
        <f t="shared" si="2893"/>
        <v>24.200000000000003</v>
      </c>
      <c r="SK409" s="56"/>
      <c r="SN409" s="55">
        <f t="shared" si="2894"/>
        <v>46370</v>
      </c>
      <c r="SO409" s="56"/>
      <c r="SP409" s="242">
        <f>SUMPRODUCT(PRODUCE!$B402:$DY402,PRODUCE!$EB$57:$IY$57)</f>
        <v>0</v>
      </c>
      <c r="SQ409" s="56"/>
      <c r="SR409" s="242">
        <f t="shared" si="2895"/>
        <v>0</v>
      </c>
      <c r="SS409" s="242">
        <f t="shared" si="2896"/>
        <v>32</v>
      </c>
      <c r="ST409" s="56"/>
      <c r="SW409" s="55">
        <f t="shared" si="2897"/>
        <v>46370</v>
      </c>
      <c r="SX409" s="56"/>
      <c r="SY409" s="242">
        <f>SUMPRODUCT(PRODUCE!$B402:$DY402,PRODUCE!$EB$57:$IY$57)</f>
        <v>0</v>
      </c>
      <c r="SZ409" s="56"/>
      <c r="TA409" s="242">
        <f t="shared" si="2898"/>
        <v>0</v>
      </c>
      <c r="TB409" s="242">
        <f t="shared" si="2899"/>
        <v>0</v>
      </c>
      <c r="TC409" s="56"/>
      <c r="TF409" s="55">
        <f t="shared" si="2900"/>
        <v>46370</v>
      </c>
      <c r="TG409" s="56"/>
      <c r="TH409" s="242">
        <f>SUMPRODUCT(PRODUCE!$B402:$DY402,PRODUCE!$EB$57:$IY$57)</f>
        <v>0</v>
      </c>
      <c r="TI409" s="56"/>
      <c r="TJ409" s="242">
        <f t="shared" si="2901"/>
        <v>0</v>
      </c>
      <c r="TK409" s="242">
        <f t="shared" si="2902"/>
        <v>0</v>
      </c>
      <c r="TL409" s="56"/>
      <c r="TO409" s="55">
        <f t="shared" si="2903"/>
        <v>46370</v>
      </c>
      <c r="TP409" s="56"/>
      <c r="TQ409" s="242">
        <f>SUMPRODUCT(PRODUCE!$B402:$DY402,PRODUCE!$EB$57:$IY$57)</f>
        <v>0</v>
      </c>
      <c r="TR409" s="56"/>
      <c r="TS409" s="242">
        <f t="shared" si="2904"/>
        <v>0</v>
      </c>
      <c r="TT409" s="242">
        <f t="shared" si="2905"/>
        <v>0</v>
      </c>
      <c r="TU409" s="56"/>
      <c r="TX409" s="55">
        <f t="shared" si="2906"/>
        <v>46370</v>
      </c>
      <c r="TY409" s="56"/>
      <c r="TZ409" s="242">
        <f>SUMPRODUCT(PRODUCE!$B402:$DY402,PRODUCE!$EB$57:$IY$57)</f>
        <v>0</v>
      </c>
      <c r="UA409" s="56"/>
      <c r="UB409" s="242">
        <f t="shared" si="2907"/>
        <v>0</v>
      </c>
      <c r="UC409" s="242">
        <f t="shared" si="2908"/>
        <v>46.799999999999983</v>
      </c>
      <c r="UD409" s="56"/>
      <c r="UG409" s="55">
        <f t="shared" si="2909"/>
        <v>46370</v>
      </c>
      <c r="UH409" s="56"/>
      <c r="UI409" s="242">
        <f>SUMPRODUCT(PRODUCE!$B402:$DY402,PRODUCE!$EB$57:$IY$57)</f>
        <v>0</v>
      </c>
      <c r="UJ409" s="56"/>
      <c r="UK409" s="242">
        <f t="shared" si="2910"/>
        <v>0</v>
      </c>
      <c r="UL409" s="242">
        <f t="shared" si="2911"/>
        <v>204</v>
      </c>
      <c r="UM409" s="56"/>
      <c r="UP409" s="55">
        <f t="shared" si="2912"/>
        <v>46370</v>
      </c>
      <c r="UQ409" s="56"/>
      <c r="UR409" s="242">
        <f>SUMPRODUCT(PRODUCE!$B402:$DY402,PRODUCE!$EB$57:$IY$57)</f>
        <v>0</v>
      </c>
      <c r="US409" s="56"/>
      <c r="UT409" s="242">
        <f t="shared" si="2913"/>
        <v>0</v>
      </c>
      <c r="UU409" s="242">
        <f t="shared" si="2914"/>
        <v>202.5</v>
      </c>
      <c r="UV409" s="56"/>
      <c r="UY409" s="55">
        <f t="shared" si="2915"/>
        <v>46370</v>
      </c>
      <c r="UZ409" s="56"/>
      <c r="VA409" s="242">
        <f>SUMPRODUCT(PRODUCE!$B402:$DY402,PRODUCE!$EB$57:$IY$57)</f>
        <v>0</v>
      </c>
      <c r="VB409" s="56"/>
      <c r="VC409" s="242">
        <f t="shared" si="2916"/>
        <v>0</v>
      </c>
      <c r="VD409" s="242">
        <f t="shared" si="2917"/>
        <v>41.600000000000023</v>
      </c>
      <c r="VE409" s="56"/>
      <c r="VH409" s="55">
        <f t="shared" si="2918"/>
        <v>46370</v>
      </c>
      <c r="VI409" s="56"/>
      <c r="VJ409" s="242">
        <f>SUMPRODUCT(PRODUCE!$B402:$DY402,PRODUCE!$EB$57:$IY$57)</f>
        <v>0</v>
      </c>
      <c r="VK409" s="56"/>
      <c r="VL409" s="242">
        <f t="shared" si="2919"/>
        <v>0</v>
      </c>
      <c r="VM409" s="242">
        <f t="shared" si="2920"/>
        <v>210</v>
      </c>
      <c r="VN409" s="56"/>
      <c r="VQ409" s="55">
        <f t="shared" si="2921"/>
        <v>46370</v>
      </c>
      <c r="VR409" s="56"/>
      <c r="VS409" s="242">
        <f>SUMPRODUCT(PRODUCE!$B402:$DY402,PRODUCE!$EB$57:$IY$57)</f>
        <v>0</v>
      </c>
      <c r="VT409" s="56"/>
      <c r="VU409" s="242">
        <f t="shared" si="2922"/>
        <v>0</v>
      </c>
      <c r="VV409" s="242">
        <f t="shared" si="2923"/>
        <v>0</v>
      </c>
      <c r="VW409" s="56"/>
      <c r="VZ409" s="55">
        <f t="shared" si="2924"/>
        <v>46370</v>
      </c>
      <c r="WA409" s="56"/>
      <c r="WB409" s="242">
        <f>SUMPRODUCT(PRODUCE!$B402:$DY402,PRODUCE!$EB$57:$IY$57)</f>
        <v>0</v>
      </c>
      <c r="WC409" s="56"/>
      <c r="WD409" s="242">
        <f t="shared" si="2925"/>
        <v>0</v>
      </c>
      <c r="WE409" s="242">
        <f t="shared" si="2926"/>
        <v>0</v>
      </c>
      <c r="WF409" s="56"/>
      <c r="WI409" s="55">
        <f t="shared" si="2927"/>
        <v>46370</v>
      </c>
      <c r="WJ409" s="56"/>
      <c r="WK409" s="242">
        <f>SUMPRODUCT(PRODUCE!$B402:$DY402,PRODUCE!$EB$57:$IY$57)</f>
        <v>0</v>
      </c>
      <c r="WL409" s="56"/>
      <c r="WM409" s="242">
        <f t="shared" si="2928"/>
        <v>0</v>
      </c>
      <c r="WN409" s="242">
        <f t="shared" si="2929"/>
        <v>1057</v>
      </c>
      <c r="WO409" s="56"/>
      <c r="WR409" s="55">
        <f t="shared" si="2930"/>
        <v>46370</v>
      </c>
      <c r="WS409" s="56"/>
      <c r="WT409" s="242">
        <f>SUMPRODUCT(PRODUCE!$B402:$DY402,PRODUCE!$EB$57:$IY$57)</f>
        <v>0</v>
      </c>
      <c r="WU409" s="56"/>
      <c r="WV409" s="242">
        <f t="shared" si="2931"/>
        <v>0</v>
      </c>
      <c r="WW409" s="242">
        <f t="shared" si="2932"/>
        <v>0</v>
      </c>
      <c r="WX409" s="56"/>
      <c r="XA409" s="55">
        <f t="shared" si="2933"/>
        <v>46370</v>
      </c>
      <c r="XB409" s="56"/>
      <c r="XC409" s="242">
        <f>SUMPRODUCT(PRODUCE!$B402:$DY402,PRODUCE!$EB$57:$IY$57)</f>
        <v>0</v>
      </c>
      <c r="XD409" s="56"/>
      <c r="XE409" s="242">
        <f t="shared" si="2934"/>
        <v>0</v>
      </c>
      <c r="XF409" s="242">
        <f t="shared" si="2935"/>
        <v>7507</v>
      </c>
      <c r="XG409" s="56"/>
      <c r="XJ409" s="55">
        <f t="shared" si="2936"/>
        <v>46370</v>
      </c>
      <c r="XK409" s="56"/>
      <c r="XL409" s="242">
        <f>SUMPRODUCT(PRODUCE!$B402:$DY402,PRODUCE!$EB$57:$IY$57)</f>
        <v>0</v>
      </c>
      <c r="XM409" s="56"/>
      <c r="XN409" s="242">
        <f t="shared" si="2937"/>
        <v>0</v>
      </c>
      <c r="XO409" s="242">
        <f t="shared" si="2938"/>
        <v>4252</v>
      </c>
      <c r="XP409" s="56"/>
      <c r="XS409" s="55">
        <f t="shared" si="2939"/>
        <v>46370</v>
      </c>
      <c r="XT409" s="56"/>
      <c r="XU409" s="242">
        <f>SUMPRODUCT(PRODUCE!$B402:$DY402,PRODUCE!$EB$57:$IY$57)</f>
        <v>0</v>
      </c>
      <c r="XV409" s="56"/>
      <c r="XW409" s="242">
        <f t="shared" si="2940"/>
        <v>0</v>
      </c>
      <c r="XX409" s="242">
        <f t="shared" si="2941"/>
        <v>2179</v>
      </c>
      <c r="XY409" s="56"/>
      <c r="YB409" s="55">
        <f t="shared" si="2942"/>
        <v>46370</v>
      </c>
      <c r="YC409" s="56"/>
      <c r="YD409" s="242">
        <f>SUMPRODUCT(PRODUCE!$B402:$DY402,PRODUCE!$EB$57:$IY$57)</f>
        <v>0</v>
      </c>
      <c r="YE409" s="56"/>
      <c r="YF409" s="242">
        <f t="shared" si="2943"/>
        <v>0</v>
      </c>
      <c r="YG409" s="242">
        <f t="shared" si="2944"/>
        <v>4019</v>
      </c>
      <c r="YH409" s="56"/>
      <c r="YK409" s="55">
        <f t="shared" si="2945"/>
        <v>46370</v>
      </c>
      <c r="YL409" s="56"/>
      <c r="YM409" s="242">
        <f>SUMPRODUCT(PRODUCE!$B402:$DY402,PRODUCE!$EB$57:$IY$57)</f>
        <v>0</v>
      </c>
      <c r="YN409" s="56"/>
      <c r="YO409" s="242">
        <f t="shared" si="2946"/>
        <v>0</v>
      </c>
      <c r="YP409" s="242">
        <f t="shared" si="2947"/>
        <v>-218</v>
      </c>
      <c r="YQ409" s="56"/>
      <c r="YT409" s="55">
        <f t="shared" si="2948"/>
        <v>46370</v>
      </c>
      <c r="YU409" s="56"/>
      <c r="YV409" s="242">
        <f>SUMPRODUCT(PRODUCE!$B402:$DY402,PRODUCE!$EB$57:$IY$57)</f>
        <v>0</v>
      </c>
      <c r="YW409" s="56"/>
      <c r="YX409" s="242">
        <f t="shared" si="2949"/>
        <v>0</v>
      </c>
      <c r="YY409" s="242">
        <f t="shared" si="2950"/>
        <v>0</v>
      </c>
      <c r="YZ409" s="56"/>
      <c r="ZC409" s="55">
        <f t="shared" si="2951"/>
        <v>46370</v>
      </c>
      <c r="ZD409" s="56"/>
      <c r="ZE409" s="242">
        <f>SUMPRODUCT(PRODUCE!$B402:$DY402,PRODUCE!$EB$57:$IY$57)</f>
        <v>0</v>
      </c>
      <c r="ZF409" s="56"/>
      <c r="ZG409" s="242">
        <f t="shared" si="2952"/>
        <v>0</v>
      </c>
      <c r="ZH409" s="242">
        <f t="shared" si="2953"/>
        <v>0</v>
      </c>
      <c r="ZI409" s="56"/>
      <c r="ZL409" s="55">
        <f t="shared" si="2954"/>
        <v>46370</v>
      </c>
      <c r="ZM409" s="56"/>
      <c r="ZN409" s="242">
        <f>SUMPRODUCT(PRODUCE!$B402:$DY402,PRODUCE!$EB$57:$IY$57)</f>
        <v>0</v>
      </c>
      <c r="ZO409" s="56"/>
      <c r="ZP409" s="242">
        <f t="shared" si="2955"/>
        <v>0</v>
      </c>
      <c r="ZQ409" s="242">
        <f t="shared" si="2956"/>
        <v>0</v>
      </c>
      <c r="ZR409" s="56"/>
      <c r="ZU409" s="55">
        <f t="shared" si="2957"/>
        <v>46370</v>
      </c>
      <c r="ZV409" s="56"/>
      <c r="ZW409" s="242">
        <f>SUMPRODUCT(PRODUCE!$B402:$DY402,PRODUCE!$EB$57:$IY$57)</f>
        <v>0</v>
      </c>
      <c r="ZX409" s="56"/>
      <c r="ZY409" s="242">
        <f t="shared" si="2958"/>
        <v>0</v>
      </c>
      <c r="ZZ409" s="242">
        <f t="shared" si="2959"/>
        <v>0</v>
      </c>
      <c r="AAA409" s="56"/>
      <c r="AAD409" s="55">
        <f t="shared" si="2960"/>
        <v>46370</v>
      </c>
      <c r="AAE409" s="56"/>
      <c r="AAF409" s="242">
        <f>SUMPRODUCT(PRODUCE!$B402:$DY402,PRODUCE!$EB$57:$IY$57)</f>
        <v>0</v>
      </c>
      <c r="AAG409" s="56"/>
      <c r="AAH409" s="242">
        <f t="shared" si="2961"/>
        <v>0</v>
      </c>
      <c r="AAI409" s="242">
        <f t="shared" si="2962"/>
        <v>0</v>
      </c>
      <c r="AAJ409" s="56"/>
      <c r="AAM409" s="55">
        <f t="shared" si="2963"/>
        <v>46370</v>
      </c>
      <c r="AAN409" s="56"/>
      <c r="AAO409" s="242">
        <f>SUMPRODUCT(PRODUCE!$B402:$DY402,PRODUCE!$EB$57:$IY$57)</f>
        <v>0</v>
      </c>
      <c r="AAP409" s="56"/>
      <c r="AAQ409" s="242">
        <f t="shared" si="2964"/>
        <v>0</v>
      </c>
      <c r="AAR409" s="242">
        <f t="shared" si="2965"/>
        <v>0</v>
      </c>
      <c r="AAS409" s="56"/>
      <c r="AAV409" s="55">
        <f t="shared" si="2966"/>
        <v>46370</v>
      </c>
      <c r="AAW409" s="56"/>
      <c r="AAX409" s="242">
        <f>SUMPRODUCT(PRODUCE!$B402:$DY402,PRODUCE!$EB$57:$IY$57)</f>
        <v>0</v>
      </c>
      <c r="AAY409" s="56"/>
      <c r="AAZ409" s="242">
        <f t="shared" si="2967"/>
        <v>0</v>
      </c>
      <c r="ABA409" s="242">
        <f t="shared" si="2968"/>
        <v>0</v>
      </c>
      <c r="ABB409" s="56"/>
      <c r="ABE409" s="55">
        <f t="shared" si="2969"/>
        <v>46370</v>
      </c>
      <c r="ABF409" s="56"/>
      <c r="ABG409" s="242">
        <f>SUMPRODUCT(PRODUCE!$B402:$DY402,PRODUCE!$EB$57:$IY$57)</f>
        <v>0</v>
      </c>
      <c r="ABH409" s="56"/>
      <c r="ABI409" s="242">
        <f t="shared" si="2970"/>
        <v>0</v>
      </c>
      <c r="ABJ409" s="242">
        <f t="shared" si="2971"/>
        <v>0</v>
      </c>
      <c r="ABK409" s="56"/>
    </row>
    <row r="410" spans="2:739" s="54" customFormat="1" ht="15" customHeight="1" outlineLevel="1">
      <c r="B410" s="478"/>
      <c r="C410" s="55">
        <v>46371</v>
      </c>
      <c r="D410" s="56"/>
      <c r="E410" s="57">
        <f>SUMPRODUCT(PRODUCE!$B403:$DY403,PRODUCE!$EB$7:$IY$7)</f>
        <v>0</v>
      </c>
      <c r="F410" s="56"/>
      <c r="G410" s="57">
        <f t="shared" si="2727"/>
        <v>0</v>
      </c>
      <c r="H410" s="57">
        <f t="shared" si="2728"/>
        <v>236936.6</v>
      </c>
      <c r="I410" s="289"/>
      <c r="L410" s="55">
        <f t="shared" si="2729"/>
        <v>46371</v>
      </c>
      <c r="M410" s="56"/>
      <c r="N410" s="59">
        <f>SUMPRODUCT(PRODUCE!$B403:$DY403,PRODUCE!$EB$8:$IY$8)</f>
        <v>0</v>
      </c>
      <c r="O410" s="56"/>
      <c r="P410" s="59">
        <f t="shared" si="2730"/>
        <v>0</v>
      </c>
      <c r="Q410" s="59">
        <f t="shared" si="2731"/>
        <v>53017.600000000071</v>
      </c>
      <c r="R410" s="56"/>
      <c r="U410" s="55">
        <f t="shared" si="2732"/>
        <v>46371</v>
      </c>
      <c r="V410" s="56"/>
      <c r="W410" s="60">
        <f>SUMPRODUCT(PRODUCE!$B403:$DY403,PRODUCE!$EB$9:$IY$9)</f>
        <v>0</v>
      </c>
      <c r="X410" s="56"/>
      <c r="Y410" s="60">
        <f t="shared" si="2733"/>
        <v>0</v>
      </c>
      <c r="Z410" s="60">
        <f t="shared" si="2734"/>
        <v>42674.199999999968</v>
      </c>
      <c r="AA410" s="56"/>
      <c r="AD410" s="55">
        <f t="shared" si="2735"/>
        <v>46371</v>
      </c>
      <c r="AE410" s="56"/>
      <c r="AF410" s="61">
        <f>SUMPRODUCT(PRODUCE!$B403:$DY403,PRODUCE!$EB$10:$IY$10)</f>
        <v>0</v>
      </c>
      <c r="AG410" s="56"/>
      <c r="AH410" s="61">
        <f t="shared" si="2736"/>
        <v>0</v>
      </c>
      <c r="AI410" s="61">
        <f t="shared" si="2737"/>
        <v>4522.2000000000189</v>
      </c>
      <c r="AJ410" s="56"/>
      <c r="AM410" s="55">
        <f t="shared" si="2738"/>
        <v>46371</v>
      </c>
      <c r="AN410" s="422"/>
      <c r="AO410" s="444">
        <f>SUMPRODUCT(PRODUCE!$B403:$DY403,PRODUCE!$EB$11:$IY$11)</f>
        <v>0</v>
      </c>
      <c r="AP410" s="422"/>
      <c r="AQ410" s="444">
        <f t="shared" si="2739"/>
        <v>0</v>
      </c>
      <c r="AR410" s="444">
        <f t="shared" si="2740"/>
        <v>0</v>
      </c>
      <c r="AS410" s="56"/>
      <c r="AV410" s="55">
        <f t="shared" si="2741"/>
        <v>46371</v>
      </c>
      <c r="AW410" s="56"/>
      <c r="AX410" s="62">
        <f>SUMPRODUCT(PRODUCE!$B403:$DY403,PRODUCE!$EB$12:$IY$12)</f>
        <v>0</v>
      </c>
      <c r="AY410" s="56"/>
      <c r="AZ410" s="62">
        <f t="shared" si="2742"/>
        <v>0</v>
      </c>
      <c r="BA410" s="62">
        <f t="shared" si="2743"/>
        <v>124.99999999999523</v>
      </c>
      <c r="BB410" s="56"/>
      <c r="BE410" s="55">
        <f t="shared" si="2744"/>
        <v>46371</v>
      </c>
      <c r="BF410" s="56"/>
      <c r="BG410" s="63">
        <f>SUMPRODUCT(PRODUCE!$B403:$DY403,PRODUCE!$EB$13:$IY$13)</f>
        <v>0</v>
      </c>
      <c r="BH410" s="56"/>
      <c r="BI410" s="63">
        <f t="shared" si="2745"/>
        <v>0</v>
      </c>
      <c r="BJ410" s="63">
        <f t="shared" si="2746"/>
        <v>26151.899999999998</v>
      </c>
      <c r="BK410" s="56"/>
      <c r="BN410" s="55">
        <f t="shared" si="2747"/>
        <v>46371</v>
      </c>
      <c r="BO410" s="56"/>
      <c r="BP410" s="64">
        <f>SUMPRODUCT(PRODUCE!$B403:$DY403,PRODUCE!$EB$14:$IY$14)</f>
        <v>0</v>
      </c>
      <c r="BQ410" s="56"/>
      <c r="BR410" s="64">
        <f t="shared" si="2748"/>
        <v>0</v>
      </c>
      <c r="BS410" s="64">
        <f t="shared" si="2749"/>
        <v>0</v>
      </c>
      <c r="BT410" s="56"/>
      <c r="BW410" s="55">
        <f t="shared" si="2750"/>
        <v>46371</v>
      </c>
      <c r="BX410" s="56"/>
      <c r="BY410" s="65">
        <f>SUMPRODUCT(PRODUCE!$B403:$DY403,PRODUCE!$EB$15:$IY$15)</f>
        <v>0</v>
      </c>
      <c r="BZ410" s="56"/>
      <c r="CA410" s="65">
        <f t="shared" si="2751"/>
        <v>0</v>
      </c>
      <c r="CB410" s="65">
        <f t="shared" si="2752"/>
        <v>2097.3399999999992</v>
      </c>
      <c r="CC410" s="56"/>
      <c r="CF410" s="55">
        <f t="shared" si="2753"/>
        <v>46371</v>
      </c>
      <c r="CG410" s="56"/>
      <c r="CH410" s="66">
        <f>SUMPRODUCT(PRODUCE!$B403:$DY403,PRODUCE!$EB$16:$IY$16)</f>
        <v>0</v>
      </c>
      <c r="CI410" s="56"/>
      <c r="CJ410" s="66">
        <f t="shared" si="2754"/>
        <v>0</v>
      </c>
      <c r="CK410" s="66">
        <f t="shared" si="2755"/>
        <v>-10277.079999999998</v>
      </c>
      <c r="CL410" s="56"/>
      <c r="CO410" s="55">
        <f t="shared" si="2756"/>
        <v>46371</v>
      </c>
      <c r="CP410" s="422"/>
      <c r="CQ410" s="470">
        <f>SUMPRODUCT(PRODUCE!$B403:$DY403,PRODUCE!$EB$17:$IY$17)</f>
        <v>0</v>
      </c>
      <c r="CR410" s="422"/>
      <c r="CS410" s="470">
        <f t="shared" si="2757"/>
        <v>0</v>
      </c>
      <c r="CT410" s="470">
        <f t="shared" si="2758"/>
        <v>0</v>
      </c>
      <c r="CU410" s="56"/>
      <c r="CX410" s="55">
        <f t="shared" si="2759"/>
        <v>46371</v>
      </c>
      <c r="CY410" s="56"/>
      <c r="CZ410" s="133">
        <f>SUMPRODUCT(PRODUCE!$B403:$DY403,PRODUCE!$EB$18:$IY$18)</f>
        <v>0</v>
      </c>
      <c r="DA410" s="56"/>
      <c r="DB410" s="133">
        <f t="shared" si="2760"/>
        <v>0</v>
      </c>
      <c r="DC410" s="133">
        <f t="shared" si="2761"/>
        <v>27438.200000000012</v>
      </c>
      <c r="DD410" s="56"/>
      <c r="DG410" s="55">
        <f t="shared" si="2762"/>
        <v>46371</v>
      </c>
      <c r="DH410" s="56"/>
      <c r="DI410" s="147">
        <f>SUMPRODUCT(PRODUCE!$B403:$DY403,PRODUCE!$EB$19:$IY$19)</f>
        <v>0</v>
      </c>
      <c r="DJ410" s="56"/>
      <c r="DK410" s="147">
        <f t="shared" si="2763"/>
        <v>0</v>
      </c>
      <c r="DL410" s="147">
        <f t="shared" si="2764"/>
        <v>18782.299999999981</v>
      </c>
      <c r="DM410" s="56"/>
      <c r="DP410" s="55">
        <f t="shared" si="2765"/>
        <v>46371</v>
      </c>
      <c r="DQ410" s="56"/>
      <c r="DR410" s="57">
        <f>SUMPRODUCT(PRODUCE!$B403:$DY403,PRODUCE!$EB$20:$IY$20)</f>
        <v>0</v>
      </c>
      <c r="DS410" s="56"/>
      <c r="DT410" s="57">
        <f t="shared" si="2766"/>
        <v>0</v>
      </c>
      <c r="DU410" s="57">
        <f t="shared" si="2767"/>
        <v>5800</v>
      </c>
      <c r="DV410" s="56"/>
      <c r="DY410" s="55">
        <f t="shared" si="2768"/>
        <v>46371</v>
      </c>
      <c r="DZ410" s="56"/>
      <c r="EA410" s="157">
        <f>SUMPRODUCT(PRODUCE!$B403:$DY403,PRODUCE!$EB$21:$IY$21)</f>
        <v>0</v>
      </c>
      <c r="EB410" s="56"/>
      <c r="EC410" s="157">
        <f t="shared" si="2769"/>
        <v>0</v>
      </c>
      <c r="ED410" s="157">
        <f t="shared" si="2770"/>
        <v>0</v>
      </c>
      <c r="EE410" s="56"/>
      <c r="EH410" s="55">
        <f t="shared" si="2771"/>
        <v>46371</v>
      </c>
      <c r="EI410" s="56"/>
      <c r="EJ410" s="162">
        <f>SUMPRODUCT(PRODUCE!$B403:$DY403,PRODUCE!$EB$22:$IY$22)</f>
        <v>0</v>
      </c>
      <c r="EK410" s="56"/>
      <c r="EL410" s="162">
        <f t="shared" si="2772"/>
        <v>0</v>
      </c>
      <c r="EM410" s="162">
        <f t="shared" si="2773"/>
        <v>0</v>
      </c>
      <c r="EN410" s="56"/>
      <c r="EQ410" s="55">
        <f t="shared" si="2774"/>
        <v>46371</v>
      </c>
      <c r="ER410" s="56"/>
      <c r="ES410" s="135">
        <f>SUMPRODUCT(PRODUCE!$B403:$DY403,PRODUCE!$EB$23:$IY$23)</f>
        <v>0</v>
      </c>
      <c r="ET410" s="56"/>
      <c r="EU410" s="135">
        <f t="shared" si="2775"/>
        <v>0</v>
      </c>
      <c r="EV410" s="135">
        <f t="shared" si="2776"/>
        <v>0</v>
      </c>
      <c r="EW410" s="56"/>
      <c r="EZ410" s="55">
        <f t="shared" si="2777"/>
        <v>46371</v>
      </c>
      <c r="FA410" s="56"/>
      <c r="FB410" s="175">
        <f>SUMPRODUCT(PRODUCE!$B403:$DY403,PRODUCE!$EB$24:$IY$24)</f>
        <v>0</v>
      </c>
      <c r="FC410" s="56"/>
      <c r="FD410" s="175">
        <f t="shared" si="2778"/>
        <v>0</v>
      </c>
      <c r="FE410" s="175">
        <f t="shared" si="2779"/>
        <v>0</v>
      </c>
      <c r="FF410" s="56"/>
      <c r="FI410" s="55">
        <f t="shared" si="2780"/>
        <v>46371</v>
      </c>
      <c r="FJ410" s="56"/>
      <c r="FK410" s="183">
        <f>SUMPRODUCT(PRODUCE!$B403:$DY403,PRODUCE!$EB$25:$IY$25)</f>
        <v>0</v>
      </c>
      <c r="FL410" s="56"/>
      <c r="FM410" s="183">
        <f t="shared" si="2781"/>
        <v>0</v>
      </c>
      <c r="FN410" s="183">
        <f t="shared" si="2782"/>
        <v>0</v>
      </c>
      <c r="FO410" s="56"/>
      <c r="FR410" s="55">
        <f t="shared" si="2783"/>
        <v>46371</v>
      </c>
      <c r="FS410" s="56"/>
      <c r="FT410" s="186">
        <f>SUMPRODUCT(PRODUCE!$B403:$DY403,PRODUCE!$EB$26:$IY$26)</f>
        <v>0</v>
      </c>
      <c r="FU410" s="56"/>
      <c r="FV410" s="186">
        <f t="shared" si="2784"/>
        <v>0</v>
      </c>
      <c r="FW410" s="186">
        <f t="shared" si="2785"/>
        <v>2020</v>
      </c>
      <c r="FX410" s="56"/>
      <c r="GA410" s="55">
        <f t="shared" si="2786"/>
        <v>46371</v>
      </c>
      <c r="GB410" s="56"/>
      <c r="GC410" s="137">
        <f>SUMPRODUCT(PRODUCE!$B403:$DY403,PRODUCE!$EB$27:$IY$27)</f>
        <v>0</v>
      </c>
      <c r="GD410" s="56"/>
      <c r="GE410" s="137">
        <f t="shared" si="2787"/>
        <v>0</v>
      </c>
      <c r="GF410" s="137">
        <f t="shared" si="2788"/>
        <v>960</v>
      </c>
      <c r="GG410" s="56"/>
      <c r="GI410" s="23"/>
      <c r="GJ410" s="55">
        <f t="shared" si="2789"/>
        <v>46371</v>
      </c>
      <c r="GK410" s="56"/>
      <c r="GL410" s="199">
        <f>SUMPRODUCT(PRODUCE!$B403:$DY403,PRODUCE!$EB$28:$IY$28)</f>
        <v>0</v>
      </c>
      <c r="GM410" s="56"/>
      <c r="GN410" s="199">
        <f t="shared" si="2790"/>
        <v>0</v>
      </c>
      <c r="GO410" s="199">
        <f t="shared" si="2791"/>
        <v>1760</v>
      </c>
      <c r="GP410" s="56"/>
      <c r="GS410" s="55">
        <f t="shared" si="2792"/>
        <v>46371</v>
      </c>
      <c r="GT410" s="56"/>
      <c r="GU410" s="195">
        <f>SUMPRODUCT(PRODUCE!$B403:$DY403,PRODUCE!$EB$29:$IY$29)</f>
        <v>0</v>
      </c>
      <c r="GV410" s="56"/>
      <c r="GW410" s="195">
        <f t="shared" si="2793"/>
        <v>0</v>
      </c>
      <c r="GX410" s="195">
        <f t="shared" si="2794"/>
        <v>400</v>
      </c>
      <c r="GY410" s="56"/>
      <c r="HB410" s="55">
        <f t="shared" si="2795"/>
        <v>46371</v>
      </c>
      <c r="HC410" s="56"/>
      <c r="HD410" s="191">
        <f>SUMPRODUCT(PRODUCE!$B403:$DY403,PRODUCE!$EB$30:$IY$30)</f>
        <v>0</v>
      </c>
      <c r="HE410" s="56"/>
      <c r="HF410" s="191">
        <f t="shared" si="2796"/>
        <v>0</v>
      </c>
      <c r="HG410" s="191">
        <f t="shared" si="2797"/>
        <v>3600</v>
      </c>
      <c r="HH410" s="56"/>
      <c r="HK410" s="55">
        <f t="shared" si="2798"/>
        <v>46371</v>
      </c>
      <c r="HL410" s="56"/>
      <c r="HM410" s="63">
        <f>SUMPRODUCT(PRODUCE!$B403:$DY403,PRODUCE!$EB$31:$IY$31)</f>
        <v>0</v>
      </c>
      <c r="HN410" s="56"/>
      <c r="HO410" s="63">
        <f t="shared" si="2799"/>
        <v>0</v>
      </c>
      <c r="HP410" s="63">
        <f t="shared" si="2800"/>
        <v>0</v>
      </c>
      <c r="HQ410" s="56"/>
      <c r="HU410" s="55">
        <f t="shared" si="2801"/>
        <v>46371</v>
      </c>
      <c r="HV410" s="56"/>
      <c r="HW410" s="242">
        <f>SUMPRODUCT(PRODUCE!$B403:$DY403,PRODUCE!$EB$32:$IY$32)</f>
        <v>0</v>
      </c>
      <c r="HX410" s="56"/>
      <c r="HY410" s="242">
        <f t="shared" si="2802"/>
        <v>0</v>
      </c>
      <c r="HZ410" s="242">
        <f t="shared" si="2803"/>
        <v>6120</v>
      </c>
      <c r="IA410" s="56"/>
      <c r="ID410" s="55">
        <f t="shared" si="2804"/>
        <v>46371</v>
      </c>
      <c r="IE410" s="56"/>
      <c r="IF410" s="242">
        <f>SUMPRODUCT(PRODUCE!$B403:$DY403,PRODUCE!$EB$33:$IY$33)</f>
        <v>0</v>
      </c>
      <c r="IG410" s="56"/>
      <c r="IH410" s="242">
        <f t="shared" si="2805"/>
        <v>0</v>
      </c>
      <c r="II410" s="242">
        <f t="shared" si="2806"/>
        <v>0</v>
      </c>
      <c r="IJ410" s="56"/>
      <c r="IM410" s="55">
        <f t="shared" si="2807"/>
        <v>46371</v>
      </c>
      <c r="IN410" s="56"/>
      <c r="IO410" s="242">
        <f>SUMPRODUCT(PRODUCE!$B403:$DY403,PRODUCE!$EB$34:$IY$34)</f>
        <v>0</v>
      </c>
      <c r="IP410" s="56"/>
      <c r="IQ410" s="242">
        <f t="shared" si="2808"/>
        <v>0</v>
      </c>
      <c r="IR410" s="242">
        <f t="shared" si="2809"/>
        <v>0</v>
      </c>
      <c r="IS410" s="56"/>
      <c r="IV410" s="55">
        <f t="shared" si="2810"/>
        <v>46371</v>
      </c>
      <c r="IW410" s="56"/>
      <c r="IX410" s="242">
        <f>SUMPRODUCT(PRODUCE!$B403:$DY403,PRODUCE!$EB$35:$IY$35)</f>
        <v>0</v>
      </c>
      <c r="IY410" s="56"/>
      <c r="IZ410" s="242">
        <f t="shared" si="2811"/>
        <v>0</v>
      </c>
      <c r="JA410" s="242">
        <f t="shared" si="2812"/>
        <v>2820</v>
      </c>
      <c r="JB410" s="56"/>
      <c r="JE410" s="55">
        <f t="shared" si="2813"/>
        <v>46371</v>
      </c>
      <c r="JF410" s="56"/>
      <c r="JG410" s="242">
        <f>SUMPRODUCT(PRODUCE!$B403:$DY403,PRODUCE!$EB$36:$IY$36)</f>
        <v>0</v>
      </c>
      <c r="JH410" s="56"/>
      <c r="JI410" s="242">
        <f t="shared" si="2814"/>
        <v>0</v>
      </c>
      <c r="JJ410" s="242">
        <f t="shared" si="2815"/>
        <v>0</v>
      </c>
      <c r="JK410" s="56"/>
      <c r="JN410" s="55">
        <f t="shared" si="2816"/>
        <v>46371</v>
      </c>
      <c r="JO410" s="56"/>
      <c r="JP410" s="242">
        <f>SUMPRODUCT(PRODUCE!$B403:$DY403,PRODUCE!$EB$37:$IY$37)</f>
        <v>0</v>
      </c>
      <c r="JQ410" s="56"/>
      <c r="JR410" s="242">
        <f t="shared" si="2817"/>
        <v>0</v>
      </c>
      <c r="JS410" s="242">
        <f t="shared" si="2818"/>
        <v>0</v>
      </c>
      <c r="JT410" s="56"/>
      <c r="JW410" s="55">
        <f t="shared" si="2819"/>
        <v>46371</v>
      </c>
      <c r="JX410" s="56"/>
      <c r="JY410" s="242">
        <f>SUMPRODUCT(PRODUCE!$B403:$DY403,PRODUCE!$EB$38:$IY$38)</f>
        <v>0</v>
      </c>
      <c r="JZ410" s="56"/>
      <c r="KA410" s="242">
        <f t="shared" si="2820"/>
        <v>0</v>
      </c>
      <c r="KB410" s="242">
        <f t="shared" si="2821"/>
        <v>2540</v>
      </c>
      <c r="KC410" s="56"/>
      <c r="KF410" s="55">
        <f t="shared" si="2822"/>
        <v>46371</v>
      </c>
      <c r="KG410" s="56"/>
      <c r="KH410" s="242">
        <f>SUMPRODUCT(PRODUCE!$B403:$DY403,PRODUCE!$EB$39:$IY$39)</f>
        <v>0</v>
      </c>
      <c r="KI410" s="56"/>
      <c r="KJ410" s="242">
        <f t="shared" si="2823"/>
        <v>0</v>
      </c>
      <c r="KK410" s="242">
        <f t="shared" si="2824"/>
        <v>2359.5</v>
      </c>
      <c r="KL410" s="56"/>
      <c r="KO410" s="55">
        <f t="shared" si="2825"/>
        <v>46371</v>
      </c>
      <c r="KP410" s="56"/>
      <c r="KQ410" s="242">
        <f>SUMPRODUCT(PRODUCE!$B403:$DY403,PRODUCE!$EB$40:$IY$40)</f>
        <v>0</v>
      </c>
      <c r="KR410" s="56"/>
      <c r="KS410" s="242">
        <f t="shared" si="2826"/>
        <v>0</v>
      </c>
      <c r="KT410" s="242">
        <f t="shared" si="2827"/>
        <v>1890</v>
      </c>
      <c r="KU410" s="56"/>
      <c r="KW410" s="23"/>
      <c r="KX410" s="55">
        <f t="shared" si="2828"/>
        <v>46371</v>
      </c>
      <c r="KY410" s="56"/>
      <c r="KZ410" s="242">
        <f>SUMPRODUCT(PRODUCE!$B403:$DY403,PRODUCE!$EB$41:$IY$41)</f>
        <v>0</v>
      </c>
      <c r="LA410" s="56"/>
      <c r="LB410" s="242">
        <f t="shared" si="2829"/>
        <v>0</v>
      </c>
      <c r="LC410" s="242">
        <f t="shared" si="2830"/>
        <v>3690</v>
      </c>
      <c r="LD410" s="56"/>
      <c r="LG410" s="55">
        <f t="shared" si="2831"/>
        <v>46371</v>
      </c>
      <c r="LH410" s="56"/>
      <c r="LI410" s="242">
        <f>SUMPRODUCT(PRODUCE!$B403:$DY403,PRODUCE!$EB$42:$IY$42)</f>
        <v>0</v>
      </c>
      <c r="LJ410" s="56"/>
      <c r="LK410" s="242">
        <f t="shared" si="2832"/>
        <v>0</v>
      </c>
      <c r="LL410" s="242">
        <f t="shared" si="2833"/>
        <v>4000</v>
      </c>
      <c r="LM410" s="56"/>
      <c r="LP410" s="55">
        <f t="shared" si="2834"/>
        <v>46371</v>
      </c>
      <c r="LQ410" s="56"/>
      <c r="LR410" s="242">
        <f>SUMPRODUCT(PRODUCE!$B425:$DY425,PRODUCE!$EB$43:$IY$43)</f>
        <v>0</v>
      </c>
      <c r="LS410" s="56"/>
      <c r="LT410" s="242">
        <f t="shared" si="2835"/>
        <v>0</v>
      </c>
      <c r="LU410" s="242">
        <f t="shared" si="2836"/>
        <v>0</v>
      </c>
      <c r="LV410" s="56"/>
      <c r="LY410" s="55">
        <f t="shared" si="2837"/>
        <v>46371</v>
      </c>
      <c r="LZ410" s="56"/>
      <c r="MA410" s="242">
        <f>SUMPRODUCT(PRODUCE!$B403:$DY403,PRODUCE!$EB$44:$IY$44)</f>
        <v>0</v>
      </c>
      <c r="MB410" s="56"/>
      <c r="MC410" s="242">
        <f t="shared" si="2838"/>
        <v>0</v>
      </c>
      <c r="MD410" s="242">
        <f t="shared" si="2839"/>
        <v>0</v>
      </c>
      <c r="ME410" s="56"/>
      <c r="MH410" s="55">
        <f t="shared" si="2840"/>
        <v>46371</v>
      </c>
      <c r="MI410" s="56"/>
      <c r="MJ410" s="242">
        <f>SUMPRODUCT(PRODUCE!$B403:$DY403,PRODUCE!$EB$45:$IY$45)</f>
        <v>0</v>
      </c>
      <c r="MK410" s="56"/>
      <c r="ML410" s="242">
        <f t="shared" si="2841"/>
        <v>0</v>
      </c>
      <c r="MM410" s="242">
        <f t="shared" si="2842"/>
        <v>-18</v>
      </c>
      <c r="MN410" s="56"/>
      <c r="MQ410" s="55">
        <f t="shared" si="2843"/>
        <v>46371</v>
      </c>
      <c r="MR410" s="56"/>
      <c r="MS410" s="242">
        <f>SUMPRODUCT(PRODUCE!$B403:$DY403,PRODUCE!$EB$46:$IY$46)</f>
        <v>0</v>
      </c>
      <c r="MT410" s="56"/>
      <c r="MU410" s="242">
        <f t="shared" si="2844"/>
        <v>0</v>
      </c>
      <c r="MV410" s="242">
        <f t="shared" si="2845"/>
        <v>1559</v>
      </c>
      <c r="MW410" s="56"/>
      <c r="MZ410" s="55">
        <f t="shared" si="2846"/>
        <v>46371</v>
      </c>
      <c r="NA410" s="56"/>
      <c r="NB410" s="242">
        <f>SUMPRODUCT(PRODUCE!$B403:$DY403,PRODUCE!$EB$47:$IY$47)</f>
        <v>0</v>
      </c>
      <c r="NC410" s="56"/>
      <c r="ND410" s="242">
        <f t="shared" si="2847"/>
        <v>0</v>
      </c>
      <c r="NE410" s="242">
        <f t="shared" si="2848"/>
        <v>0</v>
      </c>
      <c r="NF410" s="56"/>
      <c r="NI410" s="55">
        <f t="shared" si="2849"/>
        <v>46371</v>
      </c>
      <c r="NJ410" s="56"/>
      <c r="NK410" s="242">
        <f>SUMPRODUCT(PRODUCE!$B403:$DY403,PRODUCE!$EB$48:$IY$48)</f>
        <v>0</v>
      </c>
      <c r="NL410" s="56"/>
      <c r="NM410" s="242">
        <f t="shared" si="2850"/>
        <v>0</v>
      </c>
      <c r="NN410" s="242">
        <f t="shared" si="2851"/>
        <v>1127</v>
      </c>
      <c r="NO410" s="56"/>
      <c r="NR410" s="55">
        <f t="shared" si="2852"/>
        <v>46371</v>
      </c>
      <c r="NS410" s="56"/>
      <c r="NT410" s="242">
        <f>SUMPRODUCT(PRODUCE!$B403:$DY403,PRODUCE!$EB$49:$IY$49)</f>
        <v>0</v>
      </c>
      <c r="NU410" s="56"/>
      <c r="NV410" s="242">
        <f t="shared" si="2853"/>
        <v>0</v>
      </c>
      <c r="NW410" s="242">
        <f t="shared" si="2854"/>
        <v>3111.9999999999995</v>
      </c>
      <c r="NX410" s="56"/>
      <c r="OA410" s="55">
        <f t="shared" si="2855"/>
        <v>46371</v>
      </c>
      <c r="OB410" s="56"/>
      <c r="OC410" s="242">
        <f>SUMPRODUCT(PRODUCE!$B403:$DY403,PRODUCE!$EB$50:$IY$50)</f>
        <v>0</v>
      </c>
      <c r="OD410" s="56"/>
      <c r="OE410" s="242">
        <f t="shared" si="2856"/>
        <v>0</v>
      </c>
      <c r="OF410" s="242">
        <f t="shared" si="2857"/>
        <v>1680.5</v>
      </c>
      <c r="OG410" s="56"/>
      <c r="OJ410" s="55">
        <f t="shared" si="2858"/>
        <v>46371</v>
      </c>
      <c r="OK410" s="56"/>
      <c r="OL410" s="242">
        <f>SUMPRODUCT(PRODUCE!$B403:$DY403,PRODUCE!$EB$51:$IY$51)</f>
        <v>0</v>
      </c>
      <c r="OM410" s="56"/>
      <c r="ON410" s="242">
        <f t="shared" si="2859"/>
        <v>0</v>
      </c>
      <c r="OO410" s="242">
        <f t="shared" si="2860"/>
        <v>0</v>
      </c>
      <c r="OP410" s="56"/>
      <c r="OS410" s="55">
        <f t="shared" si="2861"/>
        <v>46371</v>
      </c>
      <c r="OT410" s="56"/>
      <c r="OU410" s="242">
        <f>SUMPRODUCT(PRODUCE!$B403:$DY403,PRODUCE!$EB$52:$IY$52)</f>
        <v>0</v>
      </c>
      <c r="OV410" s="56"/>
      <c r="OW410" s="242">
        <f t="shared" si="2862"/>
        <v>0</v>
      </c>
      <c r="OX410" s="242">
        <f t="shared" si="2863"/>
        <v>1482</v>
      </c>
      <c r="OY410" s="56"/>
      <c r="PB410" s="55">
        <f t="shared" si="2864"/>
        <v>46371</v>
      </c>
      <c r="PC410" s="56"/>
      <c r="PD410" s="242">
        <f>SUMPRODUCT(PRODUCE!$B403:$DY403,PRODUCE!$EB$53:$IY$53)</f>
        <v>0</v>
      </c>
      <c r="PE410" s="56"/>
      <c r="PF410" s="242">
        <f t="shared" si="2865"/>
        <v>0</v>
      </c>
      <c r="PG410" s="242">
        <f t="shared" si="2866"/>
        <v>0</v>
      </c>
      <c r="PH410" s="56"/>
      <c r="PK410" s="55">
        <f t="shared" si="2867"/>
        <v>46371</v>
      </c>
      <c r="PL410" s="56"/>
      <c r="PM410" s="242">
        <f>SUMPRODUCT(PRODUCE!$B403:$DY403,PRODUCE!$EB$54:$IY$54)</f>
        <v>0</v>
      </c>
      <c r="PN410" s="56"/>
      <c r="PO410" s="242">
        <f t="shared" si="2868"/>
        <v>0</v>
      </c>
      <c r="PP410" s="242">
        <f t="shared" si="2869"/>
        <v>100</v>
      </c>
      <c r="PQ410" s="56"/>
      <c r="PT410" s="55">
        <f t="shared" si="2870"/>
        <v>46371</v>
      </c>
      <c r="PU410" s="56"/>
      <c r="PV410" s="242">
        <f>SUMPRODUCT(PRODUCE!$B403:$DY403,PRODUCE!$EB$55:$IY$55)</f>
        <v>0</v>
      </c>
      <c r="PW410" s="56"/>
      <c r="PX410" s="242">
        <f t="shared" si="2871"/>
        <v>0</v>
      </c>
      <c r="PY410" s="242">
        <f t="shared" si="2872"/>
        <v>13.960000000000036</v>
      </c>
      <c r="PZ410" s="56"/>
      <c r="QC410" s="55">
        <f t="shared" si="2873"/>
        <v>46371</v>
      </c>
      <c r="QD410" s="56"/>
      <c r="QE410" s="242">
        <f>SUMPRODUCT(PRODUCE!$B403:$DY403,PRODUCE!$EB$56:$IY$56)</f>
        <v>0</v>
      </c>
      <c r="QF410" s="56"/>
      <c r="QG410" s="242">
        <f t="shared" si="2874"/>
        <v>0</v>
      </c>
      <c r="QH410" s="242">
        <f t="shared" si="2875"/>
        <v>548</v>
      </c>
      <c r="QI410" s="56"/>
      <c r="QL410" s="55">
        <f t="shared" si="2876"/>
        <v>46371</v>
      </c>
      <c r="QM410" s="56"/>
      <c r="QN410" s="242">
        <f>SUMPRODUCT(PRODUCE!$B403:$DY403,PRODUCE!$EB$57:$IY$57)</f>
        <v>0</v>
      </c>
      <c r="QO410" s="56"/>
      <c r="QP410" s="242">
        <f t="shared" si="2877"/>
        <v>0</v>
      </c>
      <c r="QQ410" s="242">
        <f t="shared" si="2878"/>
        <v>0</v>
      </c>
      <c r="QR410" s="56"/>
      <c r="QU410" s="55">
        <f t="shared" si="2879"/>
        <v>46371</v>
      </c>
      <c r="QV410" s="56"/>
      <c r="QW410" s="242">
        <f>SUMPRODUCT(PRODUCE!$B403:$DY403,PRODUCE!$EB$57:$IY$57)</f>
        <v>0</v>
      </c>
      <c r="QX410" s="56"/>
      <c r="QY410" s="242">
        <f t="shared" si="2880"/>
        <v>0</v>
      </c>
      <c r="QZ410" s="242">
        <f t="shared" si="2881"/>
        <v>0</v>
      </c>
      <c r="RA410" s="56"/>
      <c r="RD410" s="55">
        <f t="shared" si="2882"/>
        <v>46371</v>
      </c>
      <c r="RE410" s="56"/>
      <c r="RF410" s="242">
        <f>SUMPRODUCT(PRODUCE!$B403:$DY403,PRODUCE!$EB$58:$IY$58)</f>
        <v>0</v>
      </c>
      <c r="RG410" s="56"/>
      <c r="RH410" s="242">
        <f t="shared" si="2883"/>
        <v>0</v>
      </c>
      <c r="RI410" s="242">
        <f t="shared" si="2884"/>
        <v>147.04000000000002</v>
      </c>
      <c r="RJ410" s="56"/>
      <c r="RM410" s="55">
        <f t="shared" si="2885"/>
        <v>46371</v>
      </c>
      <c r="RN410" s="56"/>
      <c r="RO410" s="242">
        <f>SUMPRODUCT(PRODUCE!$B403:$DY403,PRODUCE!$EB$57:$IY$57)</f>
        <v>0</v>
      </c>
      <c r="RP410" s="56"/>
      <c r="RQ410" s="242">
        <f t="shared" si="2886"/>
        <v>0</v>
      </c>
      <c r="RR410" s="242">
        <f t="shared" si="2887"/>
        <v>46.8</v>
      </c>
      <c r="RS410" s="56"/>
      <c r="RV410" s="55">
        <f t="shared" si="2888"/>
        <v>46371</v>
      </c>
      <c r="RW410" s="56"/>
      <c r="RX410" s="242">
        <f>SUMPRODUCT(PRODUCE!$B403:$DY403,PRODUCE!$EB$57:$IY$57)</f>
        <v>0</v>
      </c>
      <c r="RY410" s="56"/>
      <c r="RZ410" s="242">
        <f t="shared" si="2889"/>
        <v>0</v>
      </c>
      <c r="SA410" s="242">
        <f t="shared" si="2890"/>
        <v>0</v>
      </c>
      <c r="SB410" s="56"/>
      <c r="SE410" s="55">
        <f t="shared" si="2891"/>
        <v>46371</v>
      </c>
      <c r="SF410" s="56"/>
      <c r="SG410" s="242">
        <f>SUMPRODUCT(PRODUCE!$B403:$DY403,PRODUCE!$EB$61:$IY$61)</f>
        <v>0</v>
      </c>
      <c r="SH410" s="56"/>
      <c r="SI410" s="242">
        <f t="shared" si="2892"/>
        <v>0</v>
      </c>
      <c r="SJ410" s="242">
        <f t="shared" si="2893"/>
        <v>24.200000000000003</v>
      </c>
      <c r="SK410" s="56"/>
      <c r="SN410" s="55">
        <f t="shared" si="2894"/>
        <v>46371</v>
      </c>
      <c r="SO410" s="56"/>
      <c r="SP410" s="242">
        <f>SUMPRODUCT(PRODUCE!$B403:$DY403,PRODUCE!$EB$57:$IY$57)</f>
        <v>0</v>
      </c>
      <c r="SQ410" s="56"/>
      <c r="SR410" s="242">
        <f t="shared" si="2895"/>
        <v>0</v>
      </c>
      <c r="SS410" s="242">
        <f t="shared" si="2896"/>
        <v>32</v>
      </c>
      <c r="ST410" s="56"/>
      <c r="SW410" s="55">
        <f t="shared" si="2897"/>
        <v>46371</v>
      </c>
      <c r="SX410" s="56"/>
      <c r="SY410" s="242">
        <f>SUMPRODUCT(PRODUCE!$B403:$DY403,PRODUCE!$EB$57:$IY$57)</f>
        <v>0</v>
      </c>
      <c r="SZ410" s="56"/>
      <c r="TA410" s="242">
        <f t="shared" si="2898"/>
        <v>0</v>
      </c>
      <c r="TB410" s="242">
        <f t="shared" si="2899"/>
        <v>0</v>
      </c>
      <c r="TC410" s="56"/>
      <c r="TF410" s="55">
        <f t="shared" si="2900"/>
        <v>46371</v>
      </c>
      <c r="TG410" s="56"/>
      <c r="TH410" s="242">
        <f>SUMPRODUCT(PRODUCE!$B403:$DY403,PRODUCE!$EB$57:$IY$57)</f>
        <v>0</v>
      </c>
      <c r="TI410" s="56"/>
      <c r="TJ410" s="242">
        <f t="shared" si="2901"/>
        <v>0</v>
      </c>
      <c r="TK410" s="242">
        <f t="shared" si="2902"/>
        <v>0</v>
      </c>
      <c r="TL410" s="56"/>
      <c r="TO410" s="55">
        <f t="shared" si="2903"/>
        <v>46371</v>
      </c>
      <c r="TP410" s="56"/>
      <c r="TQ410" s="242">
        <f>SUMPRODUCT(PRODUCE!$B403:$DY403,PRODUCE!$EB$57:$IY$57)</f>
        <v>0</v>
      </c>
      <c r="TR410" s="56"/>
      <c r="TS410" s="242">
        <f t="shared" si="2904"/>
        <v>0</v>
      </c>
      <c r="TT410" s="242">
        <f t="shared" si="2905"/>
        <v>0</v>
      </c>
      <c r="TU410" s="56"/>
      <c r="TX410" s="55">
        <f t="shared" si="2906"/>
        <v>46371</v>
      </c>
      <c r="TY410" s="56"/>
      <c r="TZ410" s="242">
        <f>SUMPRODUCT(PRODUCE!$B403:$DY403,PRODUCE!$EB$57:$IY$57)</f>
        <v>0</v>
      </c>
      <c r="UA410" s="56"/>
      <c r="UB410" s="242">
        <f t="shared" si="2907"/>
        <v>0</v>
      </c>
      <c r="UC410" s="242">
        <f t="shared" si="2908"/>
        <v>46.799999999999983</v>
      </c>
      <c r="UD410" s="56"/>
      <c r="UG410" s="55">
        <f t="shared" si="2909"/>
        <v>46371</v>
      </c>
      <c r="UH410" s="56"/>
      <c r="UI410" s="242">
        <f>SUMPRODUCT(PRODUCE!$B403:$DY403,PRODUCE!$EB$57:$IY$57)</f>
        <v>0</v>
      </c>
      <c r="UJ410" s="56"/>
      <c r="UK410" s="242">
        <f t="shared" si="2910"/>
        <v>0</v>
      </c>
      <c r="UL410" s="242">
        <f t="shared" si="2911"/>
        <v>204</v>
      </c>
      <c r="UM410" s="56"/>
      <c r="UP410" s="55">
        <f t="shared" si="2912"/>
        <v>46371</v>
      </c>
      <c r="UQ410" s="56"/>
      <c r="UR410" s="242">
        <f>SUMPRODUCT(PRODUCE!$B403:$DY403,PRODUCE!$EB$57:$IY$57)</f>
        <v>0</v>
      </c>
      <c r="US410" s="56"/>
      <c r="UT410" s="242">
        <f t="shared" si="2913"/>
        <v>0</v>
      </c>
      <c r="UU410" s="242">
        <f t="shared" si="2914"/>
        <v>202.5</v>
      </c>
      <c r="UV410" s="56"/>
      <c r="UY410" s="55">
        <f t="shared" si="2915"/>
        <v>46371</v>
      </c>
      <c r="UZ410" s="56"/>
      <c r="VA410" s="242">
        <f>SUMPRODUCT(PRODUCE!$B403:$DY403,PRODUCE!$EB$57:$IY$57)</f>
        <v>0</v>
      </c>
      <c r="VB410" s="56"/>
      <c r="VC410" s="242">
        <f t="shared" si="2916"/>
        <v>0</v>
      </c>
      <c r="VD410" s="242">
        <f t="shared" si="2917"/>
        <v>41.600000000000023</v>
      </c>
      <c r="VE410" s="56"/>
      <c r="VH410" s="55">
        <f t="shared" si="2918"/>
        <v>46371</v>
      </c>
      <c r="VI410" s="56"/>
      <c r="VJ410" s="242">
        <f>SUMPRODUCT(PRODUCE!$B403:$DY403,PRODUCE!$EB$57:$IY$57)</f>
        <v>0</v>
      </c>
      <c r="VK410" s="56"/>
      <c r="VL410" s="242">
        <f t="shared" si="2919"/>
        <v>0</v>
      </c>
      <c r="VM410" s="242">
        <f t="shared" si="2920"/>
        <v>210</v>
      </c>
      <c r="VN410" s="56"/>
      <c r="VQ410" s="55">
        <f t="shared" si="2921"/>
        <v>46371</v>
      </c>
      <c r="VR410" s="56"/>
      <c r="VS410" s="242">
        <f>SUMPRODUCT(PRODUCE!$B403:$DY403,PRODUCE!$EB$57:$IY$57)</f>
        <v>0</v>
      </c>
      <c r="VT410" s="56"/>
      <c r="VU410" s="242">
        <f t="shared" si="2922"/>
        <v>0</v>
      </c>
      <c r="VV410" s="242">
        <f t="shared" si="2923"/>
        <v>0</v>
      </c>
      <c r="VW410" s="56"/>
      <c r="VZ410" s="55">
        <f t="shared" si="2924"/>
        <v>46371</v>
      </c>
      <c r="WA410" s="56"/>
      <c r="WB410" s="242">
        <f>SUMPRODUCT(PRODUCE!$B403:$DY403,PRODUCE!$EB$57:$IY$57)</f>
        <v>0</v>
      </c>
      <c r="WC410" s="56"/>
      <c r="WD410" s="242">
        <f t="shared" si="2925"/>
        <v>0</v>
      </c>
      <c r="WE410" s="242">
        <f t="shared" si="2926"/>
        <v>0</v>
      </c>
      <c r="WF410" s="56"/>
      <c r="WI410" s="55">
        <f t="shared" si="2927"/>
        <v>46371</v>
      </c>
      <c r="WJ410" s="56"/>
      <c r="WK410" s="242">
        <f>SUMPRODUCT(PRODUCE!$B403:$DY403,PRODUCE!$EB$57:$IY$57)</f>
        <v>0</v>
      </c>
      <c r="WL410" s="56"/>
      <c r="WM410" s="242">
        <f t="shared" si="2928"/>
        <v>0</v>
      </c>
      <c r="WN410" s="242">
        <f t="shared" si="2929"/>
        <v>1057</v>
      </c>
      <c r="WO410" s="56"/>
      <c r="WR410" s="55">
        <f t="shared" si="2930"/>
        <v>46371</v>
      </c>
      <c r="WS410" s="56"/>
      <c r="WT410" s="242">
        <f>SUMPRODUCT(PRODUCE!$B403:$DY403,PRODUCE!$EB$57:$IY$57)</f>
        <v>0</v>
      </c>
      <c r="WU410" s="56"/>
      <c r="WV410" s="242">
        <f t="shared" si="2931"/>
        <v>0</v>
      </c>
      <c r="WW410" s="242">
        <f t="shared" si="2932"/>
        <v>0</v>
      </c>
      <c r="WX410" s="56"/>
      <c r="XA410" s="55">
        <f t="shared" si="2933"/>
        <v>46371</v>
      </c>
      <c r="XB410" s="56"/>
      <c r="XC410" s="242">
        <f>SUMPRODUCT(PRODUCE!$B403:$DY403,PRODUCE!$EB$57:$IY$57)</f>
        <v>0</v>
      </c>
      <c r="XD410" s="56"/>
      <c r="XE410" s="242">
        <f t="shared" si="2934"/>
        <v>0</v>
      </c>
      <c r="XF410" s="242">
        <f t="shared" si="2935"/>
        <v>7507</v>
      </c>
      <c r="XG410" s="56"/>
      <c r="XJ410" s="55">
        <f t="shared" si="2936"/>
        <v>46371</v>
      </c>
      <c r="XK410" s="56"/>
      <c r="XL410" s="242">
        <f>SUMPRODUCT(PRODUCE!$B403:$DY403,PRODUCE!$EB$57:$IY$57)</f>
        <v>0</v>
      </c>
      <c r="XM410" s="56"/>
      <c r="XN410" s="242">
        <f t="shared" si="2937"/>
        <v>0</v>
      </c>
      <c r="XO410" s="242">
        <f t="shared" si="2938"/>
        <v>4252</v>
      </c>
      <c r="XP410" s="56"/>
      <c r="XS410" s="55">
        <f t="shared" si="2939"/>
        <v>46371</v>
      </c>
      <c r="XT410" s="56"/>
      <c r="XU410" s="242">
        <f>SUMPRODUCT(PRODUCE!$B403:$DY403,PRODUCE!$EB$57:$IY$57)</f>
        <v>0</v>
      </c>
      <c r="XV410" s="56"/>
      <c r="XW410" s="242">
        <f t="shared" si="2940"/>
        <v>0</v>
      </c>
      <c r="XX410" s="242">
        <f t="shared" si="2941"/>
        <v>2179</v>
      </c>
      <c r="XY410" s="56"/>
      <c r="YB410" s="55">
        <f t="shared" si="2942"/>
        <v>46371</v>
      </c>
      <c r="YC410" s="56"/>
      <c r="YD410" s="242">
        <f>SUMPRODUCT(PRODUCE!$B403:$DY403,PRODUCE!$EB$57:$IY$57)</f>
        <v>0</v>
      </c>
      <c r="YE410" s="56"/>
      <c r="YF410" s="242">
        <f t="shared" si="2943"/>
        <v>0</v>
      </c>
      <c r="YG410" s="242">
        <f t="shared" si="2944"/>
        <v>4019</v>
      </c>
      <c r="YH410" s="56"/>
      <c r="YK410" s="55">
        <f t="shared" si="2945"/>
        <v>46371</v>
      </c>
      <c r="YL410" s="56"/>
      <c r="YM410" s="242">
        <f>SUMPRODUCT(PRODUCE!$B403:$DY403,PRODUCE!$EB$57:$IY$57)</f>
        <v>0</v>
      </c>
      <c r="YN410" s="56"/>
      <c r="YO410" s="242">
        <f t="shared" si="2946"/>
        <v>0</v>
      </c>
      <c r="YP410" s="242">
        <f t="shared" si="2947"/>
        <v>-218</v>
      </c>
      <c r="YQ410" s="56"/>
      <c r="YT410" s="55">
        <f t="shared" si="2948"/>
        <v>46371</v>
      </c>
      <c r="YU410" s="56"/>
      <c r="YV410" s="242">
        <f>SUMPRODUCT(PRODUCE!$B403:$DY403,PRODUCE!$EB$57:$IY$57)</f>
        <v>0</v>
      </c>
      <c r="YW410" s="56"/>
      <c r="YX410" s="242">
        <f t="shared" si="2949"/>
        <v>0</v>
      </c>
      <c r="YY410" s="242">
        <f t="shared" si="2950"/>
        <v>0</v>
      </c>
      <c r="YZ410" s="56"/>
      <c r="ZC410" s="55">
        <f t="shared" si="2951"/>
        <v>46371</v>
      </c>
      <c r="ZD410" s="56"/>
      <c r="ZE410" s="242">
        <f>SUMPRODUCT(PRODUCE!$B403:$DY403,PRODUCE!$EB$57:$IY$57)</f>
        <v>0</v>
      </c>
      <c r="ZF410" s="56"/>
      <c r="ZG410" s="242">
        <f t="shared" si="2952"/>
        <v>0</v>
      </c>
      <c r="ZH410" s="242">
        <f t="shared" si="2953"/>
        <v>0</v>
      </c>
      <c r="ZI410" s="56"/>
      <c r="ZL410" s="55">
        <f t="shared" si="2954"/>
        <v>46371</v>
      </c>
      <c r="ZM410" s="56"/>
      <c r="ZN410" s="242">
        <f>SUMPRODUCT(PRODUCE!$B403:$DY403,PRODUCE!$EB$57:$IY$57)</f>
        <v>0</v>
      </c>
      <c r="ZO410" s="56"/>
      <c r="ZP410" s="242">
        <f t="shared" si="2955"/>
        <v>0</v>
      </c>
      <c r="ZQ410" s="242">
        <f t="shared" si="2956"/>
        <v>0</v>
      </c>
      <c r="ZR410" s="56"/>
      <c r="ZU410" s="55">
        <f t="shared" si="2957"/>
        <v>46371</v>
      </c>
      <c r="ZV410" s="56"/>
      <c r="ZW410" s="242">
        <f>SUMPRODUCT(PRODUCE!$B403:$DY403,PRODUCE!$EB$57:$IY$57)</f>
        <v>0</v>
      </c>
      <c r="ZX410" s="56"/>
      <c r="ZY410" s="242">
        <f t="shared" si="2958"/>
        <v>0</v>
      </c>
      <c r="ZZ410" s="242">
        <f t="shared" si="2959"/>
        <v>0</v>
      </c>
      <c r="AAA410" s="56"/>
      <c r="AAD410" s="55">
        <f t="shared" si="2960"/>
        <v>46371</v>
      </c>
      <c r="AAE410" s="56"/>
      <c r="AAF410" s="242">
        <f>SUMPRODUCT(PRODUCE!$B403:$DY403,PRODUCE!$EB$57:$IY$57)</f>
        <v>0</v>
      </c>
      <c r="AAG410" s="56"/>
      <c r="AAH410" s="242">
        <f t="shared" si="2961"/>
        <v>0</v>
      </c>
      <c r="AAI410" s="242">
        <f t="shared" si="2962"/>
        <v>0</v>
      </c>
      <c r="AAJ410" s="56"/>
      <c r="AAM410" s="55">
        <f t="shared" si="2963"/>
        <v>46371</v>
      </c>
      <c r="AAN410" s="56"/>
      <c r="AAO410" s="242">
        <f>SUMPRODUCT(PRODUCE!$B403:$DY403,PRODUCE!$EB$57:$IY$57)</f>
        <v>0</v>
      </c>
      <c r="AAP410" s="56"/>
      <c r="AAQ410" s="242">
        <f t="shared" si="2964"/>
        <v>0</v>
      </c>
      <c r="AAR410" s="242">
        <f t="shared" si="2965"/>
        <v>0</v>
      </c>
      <c r="AAS410" s="56"/>
      <c r="AAV410" s="55">
        <f t="shared" si="2966"/>
        <v>46371</v>
      </c>
      <c r="AAW410" s="56"/>
      <c r="AAX410" s="242">
        <f>SUMPRODUCT(PRODUCE!$B403:$DY403,PRODUCE!$EB$57:$IY$57)</f>
        <v>0</v>
      </c>
      <c r="AAY410" s="56"/>
      <c r="AAZ410" s="242">
        <f t="shared" si="2967"/>
        <v>0</v>
      </c>
      <c r="ABA410" s="242">
        <f t="shared" si="2968"/>
        <v>0</v>
      </c>
      <c r="ABB410" s="56"/>
      <c r="ABE410" s="55">
        <f t="shared" si="2969"/>
        <v>46371</v>
      </c>
      <c r="ABF410" s="56"/>
      <c r="ABG410" s="242">
        <f>SUMPRODUCT(PRODUCE!$B403:$DY403,PRODUCE!$EB$57:$IY$57)</f>
        <v>0</v>
      </c>
      <c r="ABH410" s="56"/>
      <c r="ABI410" s="242">
        <f t="shared" si="2970"/>
        <v>0</v>
      </c>
      <c r="ABJ410" s="242">
        <f t="shared" si="2971"/>
        <v>0</v>
      </c>
      <c r="ABK410" s="56"/>
    </row>
    <row r="411" spans="2:739" s="54" customFormat="1" ht="15" customHeight="1" outlineLevel="1">
      <c r="B411" s="478"/>
      <c r="C411" s="55">
        <v>46372</v>
      </c>
      <c r="D411" s="56"/>
      <c r="E411" s="57">
        <f>SUMPRODUCT(PRODUCE!$B404:$DY404,PRODUCE!$EB$7:$IY$7)</f>
        <v>0</v>
      </c>
      <c r="F411" s="56"/>
      <c r="G411" s="57">
        <f t="shared" si="2727"/>
        <v>0</v>
      </c>
      <c r="H411" s="57">
        <f t="shared" si="2728"/>
        <v>236936.6</v>
      </c>
      <c r="I411" s="289"/>
      <c r="L411" s="55">
        <f t="shared" si="2729"/>
        <v>46372</v>
      </c>
      <c r="M411" s="56"/>
      <c r="N411" s="59">
        <f>SUMPRODUCT(PRODUCE!$B404:$DY404,PRODUCE!$EB$8:$IY$8)</f>
        <v>0</v>
      </c>
      <c r="O411" s="56"/>
      <c r="P411" s="59">
        <f t="shared" si="2730"/>
        <v>0</v>
      </c>
      <c r="Q411" s="59">
        <f t="shared" si="2731"/>
        <v>53017.600000000071</v>
      </c>
      <c r="R411" s="56"/>
      <c r="U411" s="55">
        <f t="shared" si="2732"/>
        <v>46372</v>
      </c>
      <c r="V411" s="56"/>
      <c r="W411" s="60">
        <f>SUMPRODUCT(PRODUCE!$B404:$DY404,PRODUCE!$EB$9:$IY$9)</f>
        <v>0</v>
      </c>
      <c r="X411" s="56"/>
      <c r="Y411" s="60">
        <f t="shared" si="2733"/>
        <v>0</v>
      </c>
      <c r="Z411" s="60">
        <f t="shared" si="2734"/>
        <v>42674.199999999968</v>
      </c>
      <c r="AA411" s="56"/>
      <c r="AD411" s="55">
        <f t="shared" si="2735"/>
        <v>46372</v>
      </c>
      <c r="AE411" s="56"/>
      <c r="AF411" s="61">
        <f>SUMPRODUCT(PRODUCE!$B404:$DY404,PRODUCE!$EB$10:$IY$10)</f>
        <v>0</v>
      </c>
      <c r="AG411" s="56"/>
      <c r="AH411" s="61">
        <f t="shared" si="2736"/>
        <v>0</v>
      </c>
      <c r="AI411" s="61">
        <f t="shared" si="2737"/>
        <v>4522.2000000000189</v>
      </c>
      <c r="AJ411" s="56"/>
      <c r="AM411" s="55">
        <f t="shared" si="2738"/>
        <v>46372</v>
      </c>
      <c r="AN411" s="422"/>
      <c r="AO411" s="444">
        <f>SUMPRODUCT(PRODUCE!$B404:$DY404,PRODUCE!$EB$11:$IY$11)</f>
        <v>0</v>
      </c>
      <c r="AP411" s="422"/>
      <c r="AQ411" s="444">
        <f t="shared" si="2739"/>
        <v>0</v>
      </c>
      <c r="AR411" s="444">
        <f t="shared" si="2740"/>
        <v>0</v>
      </c>
      <c r="AS411" s="56"/>
      <c r="AV411" s="55">
        <f t="shared" si="2741"/>
        <v>46372</v>
      </c>
      <c r="AW411" s="56"/>
      <c r="AX411" s="62">
        <f>SUMPRODUCT(PRODUCE!$B404:$DY404,PRODUCE!$EB$12:$IY$12)</f>
        <v>0</v>
      </c>
      <c r="AY411" s="56"/>
      <c r="AZ411" s="62">
        <f t="shared" si="2742"/>
        <v>0</v>
      </c>
      <c r="BA411" s="62">
        <f t="shared" si="2743"/>
        <v>124.99999999999523</v>
      </c>
      <c r="BB411" s="56"/>
      <c r="BE411" s="55">
        <f t="shared" si="2744"/>
        <v>46372</v>
      </c>
      <c r="BF411" s="56"/>
      <c r="BG411" s="63">
        <f>SUMPRODUCT(PRODUCE!$B404:$DY404,PRODUCE!$EB$13:$IY$13)</f>
        <v>0</v>
      </c>
      <c r="BH411" s="56"/>
      <c r="BI411" s="63">
        <f t="shared" si="2745"/>
        <v>0</v>
      </c>
      <c r="BJ411" s="63">
        <f t="shared" si="2746"/>
        <v>26151.899999999998</v>
      </c>
      <c r="BK411" s="56"/>
      <c r="BN411" s="55">
        <f t="shared" si="2747"/>
        <v>46372</v>
      </c>
      <c r="BO411" s="56"/>
      <c r="BP411" s="64">
        <f>SUMPRODUCT(PRODUCE!$B404:$DY404,PRODUCE!$EB$14:$IY$14)</f>
        <v>0</v>
      </c>
      <c r="BQ411" s="56"/>
      <c r="BR411" s="64">
        <f t="shared" si="2748"/>
        <v>0</v>
      </c>
      <c r="BS411" s="64">
        <f t="shared" si="2749"/>
        <v>0</v>
      </c>
      <c r="BT411" s="56"/>
      <c r="BW411" s="55">
        <f t="shared" si="2750"/>
        <v>46372</v>
      </c>
      <c r="BX411" s="56"/>
      <c r="BY411" s="65">
        <f>SUMPRODUCT(PRODUCE!$B404:$DY404,PRODUCE!$EB$15:$IY$15)</f>
        <v>0</v>
      </c>
      <c r="BZ411" s="56"/>
      <c r="CA411" s="65">
        <f t="shared" si="2751"/>
        <v>0</v>
      </c>
      <c r="CB411" s="65">
        <f t="shared" si="2752"/>
        <v>2097.3399999999992</v>
      </c>
      <c r="CC411" s="56"/>
      <c r="CF411" s="55">
        <f t="shared" si="2753"/>
        <v>46372</v>
      </c>
      <c r="CG411" s="56"/>
      <c r="CH411" s="66">
        <f>SUMPRODUCT(PRODUCE!$B404:$DY404,PRODUCE!$EB$16:$IY$16)</f>
        <v>0</v>
      </c>
      <c r="CI411" s="56"/>
      <c r="CJ411" s="66">
        <f t="shared" si="2754"/>
        <v>0</v>
      </c>
      <c r="CK411" s="66">
        <f t="shared" si="2755"/>
        <v>-10277.079999999998</v>
      </c>
      <c r="CL411" s="56"/>
      <c r="CO411" s="55">
        <f t="shared" si="2756"/>
        <v>46372</v>
      </c>
      <c r="CP411" s="422"/>
      <c r="CQ411" s="470">
        <f>SUMPRODUCT(PRODUCE!$B404:$DY404,PRODUCE!$EB$17:$IY$17)</f>
        <v>0</v>
      </c>
      <c r="CR411" s="422"/>
      <c r="CS411" s="470">
        <f t="shared" si="2757"/>
        <v>0</v>
      </c>
      <c r="CT411" s="470">
        <f t="shared" si="2758"/>
        <v>0</v>
      </c>
      <c r="CU411" s="56"/>
      <c r="CX411" s="55">
        <f t="shared" si="2759"/>
        <v>46372</v>
      </c>
      <c r="CY411" s="56"/>
      <c r="CZ411" s="133">
        <f>SUMPRODUCT(PRODUCE!$B404:$DY404,PRODUCE!$EB$18:$IY$18)</f>
        <v>0</v>
      </c>
      <c r="DA411" s="56"/>
      <c r="DB411" s="133">
        <f t="shared" si="2760"/>
        <v>0</v>
      </c>
      <c r="DC411" s="133">
        <f t="shared" si="2761"/>
        <v>27438.200000000012</v>
      </c>
      <c r="DD411" s="56"/>
      <c r="DG411" s="55">
        <f t="shared" si="2762"/>
        <v>46372</v>
      </c>
      <c r="DH411" s="56"/>
      <c r="DI411" s="147">
        <f>SUMPRODUCT(PRODUCE!$B404:$DY404,PRODUCE!$EB$19:$IY$19)</f>
        <v>0</v>
      </c>
      <c r="DJ411" s="56"/>
      <c r="DK411" s="147">
        <f t="shared" si="2763"/>
        <v>0</v>
      </c>
      <c r="DL411" s="147">
        <f t="shared" si="2764"/>
        <v>18782.299999999981</v>
      </c>
      <c r="DM411" s="56"/>
      <c r="DP411" s="55">
        <f t="shared" si="2765"/>
        <v>46372</v>
      </c>
      <c r="DQ411" s="56"/>
      <c r="DR411" s="57">
        <f>SUMPRODUCT(PRODUCE!$B404:$DY404,PRODUCE!$EB$20:$IY$20)</f>
        <v>0</v>
      </c>
      <c r="DS411" s="56"/>
      <c r="DT411" s="57">
        <f t="shared" si="2766"/>
        <v>0</v>
      </c>
      <c r="DU411" s="57">
        <f t="shared" si="2767"/>
        <v>5800</v>
      </c>
      <c r="DV411" s="56"/>
      <c r="DY411" s="55">
        <f t="shared" si="2768"/>
        <v>46372</v>
      </c>
      <c r="DZ411" s="56"/>
      <c r="EA411" s="157">
        <f>SUMPRODUCT(PRODUCE!$B404:$DY404,PRODUCE!$EB$21:$IY$21)</f>
        <v>0</v>
      </c>
      <c r="EB411" s="56"/>
      <c r="EC411" s="157">
        <f t="shared" si="2769"/>
        <v>0</v>
      </c>
      <c r="ED411" s="157">
        <f t="shared" si="2770"/>
        <v>0</v>
      </c>
      <c r="EE411" s="56"/>
      <c r="EH411" s="55">
        <f t="shared" si="2771"/>
        <v>46372</v>
      </c>
      <c r="EI411" s="56"/>
      <c r="EJ411" s="162">
        <f>SUMPRODUCT(PRODUCE!$B404:$DY404,PRODUCE!$EB$22:$IY$22)</f>
        <v>0</v>
      </c>
      <c r="EK411" s="56"/>
      <c r="EL411" s="162">
        <f t="shared" si="2772"/>
        <v>0</v>
      </c>
      <c r="EM411" s="162">
        <f t="shared" si="2773"/>
        <v>0</v>
      </c>
      <c r="EN411" s="56"/>
      <c r="EQ411" s="55">
        <f t="shared" si="2774"/>
        <v>46372</v>
      </c>
      <c r="ER411" s="56"/>
      <c r="ES411" s="135">
        <f>SUMPRODUCT(PRODUCE!$B404:$DY404,PRODUCE!$EB$23:$IY$23)</f>
        <v>0</v>
      </c>
      <c r="ET411" s="56"/>
      <c r="EU411" s="135">
        <f t="shared" si="2775"/>
        <v>0</v>
      </c>
      <c r="EV411" s="135">
        <f t="shared" si="2776"/>
        <v>0</v>
      </c>
      <c r="EW411" s="56"/>
      <c r="EZ411" s="55">
        <f t="shared" si="2777"/>
        <v>46372</v>
      </c>
      <c r="FA411" s="56"/>
      <c r="FB411" s="175">
        <f>SUMPRODUCT(PRODUCE!$B404:$DY404,PRODUCE!$EB$24:$IY$24)</f>
        <v>0</v>
      </c>
      <c r="FC411" s="56"/>
      <c r="FD411" s="175">
        <f t="shared" si="2778"/>
        <v>0</v>
      </c>
      <c r="FE411" s="175">
        <f t="shared" si="2779"/>
        <v>0</v>
      </c>
      <c r="FF411" s="56"/>
      <c r="FI411" s="55">
        <f t="shared" si="2780"/>
        <v>46372</v>
      </c>
      <c r="FJ411" s="56"/>
      <c r="FK411" s="183">
        <f>SUMPRODUCT(PRODUCE!$B404:$DY404,PRODUCE!$EB$25:$IY$25)</f>
        <v>0</v>
      </c>
      <c r="FL411" s="56"/>
      <c r="FM411" s="183">
        <f t="shared" si="2781"/>
        <v>0</v>
      </c>
      <c r="FN411" s="183">
        <f t="shared" si="2782"/>
        <v>0</v>
      </c>
      <c r="FO411" s="56"/>
      <c r="FR411" s="55">
        <f t="shared" si="2783"/>
        <v>46372</v>
      </c>
      <c r="FS411" s="56"/>
      <c r="FT411" s="186">
        <f>SUMPRODUCT(PRODUCE!$B404:$DY404,PRODUCE!$EB$26:$IY$26)</f>
        <v>0</v>
      </c>
      <c r="FU411" s="56"/>
      <c r="FV411" s="186">
        <f t="shared" si="2784"/>
        <v>0</v>
      </c>
      <c r="FW411" s="186">
        <f t="shared" si="2785"/>
        <v>2020</v>
      </c>
      <c r="FX411" s="56"/>
      <c r="GA411" s="55">
        <f t="shared" si="2786"/>
        <v>46372</v>
      </c>
      <c r="GB411" s="56"/>
      <c r="GC411" s="137">
        <f>SUMPRODUCT(PRODUCE!$B404:$DY404,PRODUCE!$EB$27:$IY$27)</f>
        <v>0</v>
      </c>
      <c r="GD411" s="56"/>
      <c r="GE411" s="137">
        <f t="shared" si="2787"/>
        <v>0</v>
      </c>
      <c r="GF411" s="137">
        <f t="shared" si="2788"/>
        <v>960</v>
      </c>
      <c r="GG411" s="56"/>
      <c r="GI411" s="23"/>
      <c r="GJ411" s="55">
        <f t="shared" si="2789"/>
        <v>46372</v>
      </c>
      <c r="GK411" s="56"/>
      <c r="GL411" s="199">
        <f>SUMPRODUCT(PRODUCE!$B404:$DY404,PRODUCE!$EB$28:$IY$28)</f>
        <v>0</v>
      </c>
      <c r="GM411" s="56"/>
      <c r="GN411" s="199">
        <f t="shared" si="2790"/>
        <v>0</v>
      </c>
      <c r="GO411" s="199">
        <f t="shared" si="2791"/>
        <v>1760</v>
      </c>
      <c r="GP411" s="56"/>
      <c r="GS411" s="55">
        <f t="shared" si="2792"/>
        <v>46372</v>
      </c>
      <c r="GT411" s="56"/>
      <c r="GU411" s="195">
        <f>SUMPRODUCT(PRODUCE!$B404:$DY404,PRODUCE!$EB$29:$IY$29)</f>
        <v>0</v>
      </c>
      <c r="GV411" s="56"/>
      <c r="GW411" s="195">
        <f t="shared" si="2793"/>
        <v>0</v>
      </c>
      <c r="GX411" s="195">
        <f t="shared" si="2794"/>
        <v>400</v>
      </c>
      <c r="GY411" s="56"/>
      <c r="HB411" s="55">
        <f t="shared" si="2795"/>
        <v>46372</v>
      </c>
      <c r="HC411" s="56"/>
      <c r="HD411" s="191">
        <f>SUMPRODUCT(PRODUCE!$B404:$DY404,PRODUCE!$EB$30:$IY$30)</f>
        <v>0</v>
      </c>
      <c r="HE411" s="56"/>
      <c r="HF411" s="191">
        <f t="shared" si="2796"/>
        <v>0</v>
      </c>
      <c r="HG411" s="191">
        <f t="shared" si="2797"/>
        <v>3600</v>
      </c>
      <c r="HH411" s="56"/>
      <c r="HK411" s="55">
        <f t="shared" si="2798"/>
        <v>46372</v>
      </c>
      <c r="HL411" s="56"/>
      <c r="HM411" s="63">
        <f>SUMPRODUCT(PRODUCE!$B404:$DY404,PRODUCE!$EB$31:$IY$31)</f>
        <v>0</v>
      </c>
      <c r="HN411" s="56"/>
      <c r="HO411" s="63">
        <f t="shared" si="2799"/>
        <v>0</v>
      </c>
      <c r="HP411" s="63">
        <f t="shared" si="2800"/>
        <v>0</v>
      </c>
      <c r="HQ411" s="56"/>
      <c r="HU411" s="55">
        <f t="shared" si="2801"/>
        <v>46372</v>
      </c>
      <c r="HV411" s="56"/>
      <c r="HW411" s="242">
        <f>SUMPRODUCT(PRODUCE!$B404:$DY404,PRODUCE!$EB$32:$IY$32)</f>
        <v>0</v>
      </c>
      <c r="HX411" s="56"/>
      <c r="HY411" s="242">
        <f t="shared" si="2802"/>
        <v>0</v>
      </c>
      <c r="HZ411" s="242">
        <f t="shared" si="2803"/>
        <v>6120</v>
      </c>
      <c r="IA411" s="56"/>
      <c r="ID411" s="55">
        <f t="shared" si="2804"/>
        <v>46372</v>
      </c>
      <c r="IE411" s="56"/>
      <c r="IF411" s="242">
        <f>SUMPRODUCT(PRODUCE!$B404:$DY404,PRODUCE!$EB$33:$IY$33)</f>
        <v>0</v>
      </c>
      <c r="IG411" s="56"/>
      <c r="IH411" s="242">
        <f t="shared" si="2805"/>
        <v>0</v>
      </c>
      <c r="II411" s="242">
        <f t="shared" si="2806"/>
        <v>0</v>
      </c>
      <c r="IJ411" s="56"/>
      <c r="IM411" s="55">
        <f t="shared" si="2807"/>
        <v>46372</v>
      </c>
      <c r="IN411" s="56"/>
      <c r="IO411" s="242">
        <f>SUMPRODUCT(PRODUCE!$B404:$DY404,PRODUCE!$EB$34:$IY$34)</f>
        <v>0</v>
      </c>
      <c r="IP411" s="56"/>
      <c r="IQ411" s="242">
        <f t="shared" si="2808"/>
        <v>0</v>
      </c>
      <c r="IR411" s="242">
        <f t="shared" si="2809"/>
        <v>0</v>
      </c>
      <c r="IS411" s="56"/>
      <c r="IV411" s="55">
        <f t="shared" si="2810"/>
        <v>46372</v>
      </c>
      <c r="IW411" s="56"/>
      <c r="IX411" s="242">
        <f>SUMPRODUCT(PRODUCE!$B404:$DY404,PRODUCE!$EB$35:$IY$35)</f>
        <v>0</v>
      </c>
      <c r="IY411" s="56"/>
      <c r="IZ411" s="242">
        <f t="shared" si="2811"/>
        <v>0</v>
      </c>
      <c r="JA411" s="242">
        <f t="shared" si="2812"/>
        <v>2820</v>
      </c>
      <c r="JB411" s="56"/>
      <c r="JE411" s="55">
        <f t="shared" si="2813"/>
        <v>46372</v>
      </c>
      <c r="JF411" s="56"/>
      <c r="JG411" s="242">
        <f>SUMPRODUCT(PRODUCE!$B404:$DY404,PRODUCE!$EB$36:$IY$36)</f>
        <v>0</v>
      </c>
      <c r="JH411" s="56"/>
      <c r="JI411" s="242">
        <f t="shared" si="2814"/>
        <v>0</v>
      </c>
      <c r="JJ411" s="242">
        <f t="shared" si="2815"/>
        <v>0</v>
      </c>
      <c r="JK411" s="56"/>
      <c r="JN411" s="55">
        <f t="shared" si="2816"/>
        <v>46372</v>
      </c>
      <c r="JO411" s="56"/>
      <c r="JP411" s="242">
        <f>SUMPRODUCT(PRODUCE!$B404:$DY404,PRODUCE!$EB$37:$IY$37)</f>
        <v>0</v>
      </c>
      <c r="JQ411" s="56"/>
      <c r="JR411" s="242">
        <f t="shared" si="2817"/>
        <v>0</v>
      </c>
      <c r="JS411" s="242">
        <f t="shared" si="2818"/>
        <v>0</v>
      </c>
      <c r="JT411" s="56"/>
      <c r="JW411" s="55">
        <f t="shared" si="2819"/>
        <v>46372</v>
      </c>
      <c r="JX411" s="56"/>
      <c r="JY411" s="242">
        <f>SUMPRODUCT(PRODUCE!$B404:$DY404,PRODUCE!$EB$38:$IY$38)</f>
        <v>0</v>
      </c>
      <c r="JZ411" s="56"/>
      <c r="KA411" s="242">
        <f t="shared" si="2820"/>
        <v>0</v>
      </c>
      <c r="KB411" s="242">
        <f t="shared" si="2821"/>
        <v>2540</v>
      </c>
      <c r="KC411" s="56"/>
      <c r="KF411" s="55">
        <f t="shared" si="2822"/>
        <v>46372</v>
      </c>
      <c r="KG411" s="56"/>
      <c r="KH411" s="242">
        <f>SUMPRODUCT(PRODUCE!$B404:$DY404,PRODUCE!$EB$39:$IY$39)</f>
        <v>0</v>
      </c>
      <c r="KI411" s="56"/>
      <c r="KJ411" s="242">
        <f t="shared" si="2823"/>
        <v>0</v>
      </c>
      <c r="KK411" s="242">
        <f t="shared" si="2824"/>
        <v>2359.5</v>
      </c>
      <c r="KL411" s="56"/>
      <c r="KO411" s="55">
        <f t="shared" si="2825"/>
        <v>46372</v>
      </c>
      <c r="KP411" s="56"/>
      <c r="KQ411" s="242">
        <f>SUMPRODUCT(PRODUCE!$B404:$DY404,PRODUCE!$EB$40:$IY$40)</f>
        <v>0</v>
      </c>
      <c r="KR411" s="56"/>
      <c r="KS411" s="242">
        <f t="shared" si="2826"/>
        <v>0</v>
      </c>
      <c r="KT411" s="242">
        <f t="shared" si="2827"/>
        <v>1890</v>
      </c>
      <c r="KU411" s="56"/>
      <c r="KW411" s="23"/>
      <c r="KX411" s="55">
        <f t="shared" si="2828"/>
        <v>46372</v>
      </c>
      <c r="KY411" s="56"/>
      <c r="KZ411" s="242">
        <f>SUMPRODUCT(PRODUCE!$B404:$DY404,PRODUCE!$EB$41:$IY$41)</f>
        <v>0</v>
      </c>
      <c r="LA411" s="56"/>
      <c r="LB411" s="242">
        <f t="shared" si="2829"/>
        <v>0</v>
      </c>
      <c r="LC411" s="242">
        <f t="shared" si="2830"/>
        <v>3690</v>
      </c>
      <c r="LD411" s="56"/>
      <c r="LG411" s="55">
        <f t="shared" si="2831"/>
        <v>46372</v>
      </c>
      <c r="LH411" s="56"/>
      <c r="LI411" s="242">
        <f>SUMPRODUCT(PRODUCE!$B404:$DY404,PRODUCE!$EB$42:$IY$42)</f>
        <v>0</v>
      </c>
      <c r="LJ411" s="56"/>
      <c r="LK411" s="242">
        <f t="shared" si="2832"/>
        <v>0</v>
      </c>
      <c r="LL411" s="242">
        <f t="shared" si="2833"/>
        <v>4000</v>
      </c>
      <c r="LM411" s="56"/>
      <c r="LP411" s="55">
        <f t="shared" si="2834"/>
        <v>46372</v>
      </c>
      <c r="LQ411" s="56"/>
      <c r="LR411" s="242">
        <f>SUMPRODUCT(PRODUCE!$B426:$DY426,PRODUCE!$EB$43:$IY$43)</f>
        <v>0</v>
      </c>
      <c r="LS411" s="56"/>
      <c r="LT411" s="242">
        <f t="shared" si="2835"/>
        <v>0</v>
      </c>
      <c r="LU411" s="242">
        <f t="shared" si="2836"/>
        <v>0</v>
      </c>
      <c r="LV411" s="56"/>
      <c r="LY411" s="55">
        <f t="shared" si="2837"/>
        <v>46372</v>
      </c>
      <c r="LZ411" s="56"/>
      <c r="MA411" s="242">
        <f>SUMPRODUCT(PRODUCE!$B404:$DY404,PRODUCE!$EB$44:$IY$44)</f>
        <v>0</v>
      </c>
      <c r="MB411" s="56"/>
      <c r="MC411" s="242">
        <f t="shared" si="2838"/>
        <v>0</v>
      </c>
      <c r="MD411" s="242">
        <f t="shared" si="2839"/>
        <v>0</v>
      </c>
      <c r="ME411" s="56"/>
      <c r="MH411" s="55">
        <f t="shared" si="2840"/>
        <v>46372</v>
      </c>
      <c r="MI411" s="56"/>
      <c r="MJ411" s="242">
        <f>SUMPRODUCT(PRODUCE!$B404:$DY404,PRODUCE!$EB$45:$IY$45)</f>
        <v>0</v>
      </c>
      <c r="MK411" s="56"/>
      <c r="ML411" s="242">
        <f t="shared" si="2841"/>
        <v>0</v>
      </c>
      <c r="MM411" s="242">
        <f t="shared" si="2842"/>
        <v>-18</v>
      </c>
      <c r="MN411" s="56"/>
      <c r="MQ411" s="55">
        <f t="shared" si="2843"/>
        <v>46372</v>
      </c>
      <c r="MR411" s="56"/>
      <c r="MS411" s="242">
        <f>SUMPRODUCT(PRODUCE!$B404:$DY404,PRODUCE!$EB$46:$IY$46)</f>
        <v>0</v>
      </c>
      <c r="MT411" s="56"/>
      <c r="MU411" s="242">
        <f t="shared" si="2844"/>
        <v>0</v>
      </c>
      <c r="MV411" s="242">
        <f t="shared" si="2845"/>
        <v>1559</v>
      </c>
      <c r="MW411" s="56"/>
      <c r="MZ411" s="55">
        <f t="shared" si="2846"/>
        <v>46372</v>
      </c>
      <c r="NA411" s="56"/>
      <c r="NB411" s="242">
        <f>SUMPRODUCT(PRODUCE!$B404:$DY404,PRODUCE!$EB$47:$IY$47)</f>
        <v>0</v>
      </c>
      <c r="NC411" s="56"/>
      <c r="ND411" s="242">
        <f t="shared" si="2847"/>
        <v>0</v>
      </c>
      <c r="NE411" s="242">
        <f t="shared" si="2848"/>
        <v>0</v>
      </c>
      <c r="NF411" s="56"/>
      <c r="NI411" s="55">
        <f t="shared" si="2849"/>
        <v>46372</v>
      </c>
      <c r="NJ411" s="56"/>
      <c r="NK411" s="242">
        <f>SUMPRODUCT(PRODUCE!$B404:$DY404,PRODUCE!$EB$48:$IY$48)</f>
        <v>0</v>
      </c>
      <c r="NL411" s="56"/>
      <c r="NM411" s="242">
        <f t="shared" si="2850"/>
        <v>0</v>
      </c>
      <c r="NN411" s="242">
        <f t="shared" si="2851"/>
        <v>1127</v>
      </c>
      <c r="NO411" s="56"/>
      <c r="NR411" s="55">
        <f t="shared" si="2852"/>
        <v>46372</v>
      </c>
      <c r="NS411" s="56"/>
      <c r="NT411" s="242">
        <f>SUMPRODUCT(PRODUCE!$B404:$DY404,PRODUCE!$EB$49:$IY$49)</f>
        <v>0</v>
      </c>
      <c r="NU411" s="56"/>
      <c r="NV411" s="242">
        <f t="shared" si="2853"/>
        <v>0</v>
      </c>
      <c r="NW411" s="242">
        <f t="shared" si="2854"/>
        <v>3111.9999999999995</v>
      </c>
      <c r="NX411" s="56"/>
      <c r="OA411" s="55">
        <f t="shared" si="2855"/>
        <v>46372</v>
      </c>
      <c r="OB411" s="56"/>
      <c r="OC411" s="242">
        <f>SUMPRODUCT(PRODUCE!$B404:$DY404,PRODUCE!$EB$50:$IY$50)</f>
        <v>0</v>
      </c>
      <c r="OD411" s="56"/>
      <c r="OE411" s="242">
        <f t="shared" si="2856"/>
        <v>0</v>
      </c>
      <c r="OF411" s="242">
        <f t="shared" si="2857"/>
        <v>1680.5</v>
      </c>
      <c r="OG411" s="56"/>
      <c r="OJ411" s="55">
        <f t="shared" si="2858"/>
        <v>46372</v>
      </c>
      <c r="OK411" s="56"/>
      <c r="OL411" s="242">
        <f>SUMPRODUCT(PRODUCE!$B404:$DY404,PRODUCE!$EB$51:$IY$51)</f>
        <v>0</v>
      </c>
      <c r="OM411" s="56"/>
      <c r="ON411" s="242">
        <f t="shared" si="2859"/>
        <v>0</v>
      </c>
      <c r="OO411" s="242">
        <f t="shared" si="2860"/>
        <v>0</v>
      </c>
      <c r="OP411" s="56"/>
      <c r="OS411" s="55">
        <f t="shared" si="2861"/>
        <v>46372</v>
      </c>
      <c r="OT411" s="56"/>
      <c r="OU411" s="242">
        <f>SUMPRODUCT(PRODUCE!$B404:$DY404,PRODUCE!$EB$52:$IY$52)</f>
        <v>0</v>
      </c>
      <c r="OV411" s="56"/>
      <c r="OW411" s="242">
        <f t="shared" si="2862"/>
        <v>0</v>
      </c>
      <c r="OX411" s="242">
        <f t="shared" si="2863"/>
        <v>1482</v>
      </c>
      <c r="OY411" s="56"/>
      <c r="PB411" s="55">
        <f t="shared" si="2864"/>
        <v>46372</v>
      </c>
      <c r="PC411" s="56"/>
      <c r="PD411" s="242">
        <f>SUMPRODUCT(PRODUCE!$B404:$DY404,PRODUCE!$EB$53:$IY$53)</f>
        <v>0</v>
      </c>
      <c r="PE411" s="56"/>
      <c r="PF411" s="242">
        <f t="shared" si="2865"/>
        <v>0</v>
      </c>
      <c r="PG411" s="242">
        <f t="shared" si="2866"/>
        <v>0</v>
      </c>
      <c r="PH411" s="56"/>
      <c r="PK411" s="55">
        <f t="shared" si="2867"/>
        <v>46372</v>
      </c>
      <c r="PL411" s="56"/>
      <c r="PM411" s="242">
        <f>SUMPRODUCT(PRODUCE!$B404:$DY404,PRODUCE!$EB$54:$IY$54)</f>
        <v>0</v>
      </c>
      <c r="PN411" s="56"/>
      <c r="PO411" s="242">
        <f t="shared" si="2868"/>
        <v>0</v>
      </c>
      <c r="PP411" s="242">
        <f t="shared" si="2869"/>
        <v>100</v>
      </c>
      <c r="PQ411" s="56"/>
      <c r="PT411" s="55">
        <f t="shared" si="2870"/>
        <v>46372</v>
      </c>
      <c r="PU411" s="56"/>
      <c r="PV411" s="242">
        <f>SUMPRODUCT(PRODUCE!$B404:$DY404,PRODUCE!$EB$55:$IY$55)</f>
        <v>0</v>
      </c>
      <c r="PW411" s="56"/>
      <c r="PX411" s="242">
        <f t="shared" si="2871"/>
        <v>0</v>
      </c>
      <c r="PY411" s="242">
        <f t="shared" si="2872"/>
        <v>13.960000000000036</v>
      </c>
      <c r="PZ411" s="56"/>
      <c r="QC411" s="55">
        <f t="shared" si="2873"/>
        <v>46372</v>
      </c>
      <c r="QD411" s="56"/>
      <c r="QE411" s="242">
        <f>SUMPRODUCT(PRODUCE!$B404:$DY404,PRODUCE!$EB$56:$IY$56)</f>
        <v>0</v>
      </c>
      <c r="QF411" s="56"/>
      <c r="QG411" s="242">
        <f t="shared" si="2874"/>
        <v>0</v>
      </c>
      <c r="QH411" s="242">
        <f t="shared" si="2875"/>
        <v>548</v>
      </c>
      <c r="QI411" s="56"/>
      <c r="QL411" s="55">
        <f t="shared" si="2876"/>
        <v>46372</v>
      </c>
      <c r="QM411" s="56"/>
      <c r="QN411" s="242">
        <f>SUMPRODUCT(PRODUCE!$B404:$DY404,PRODUCE!$EB$57:$IY$57)</f>
        <v>0</v>
      </c>
      <c r="QO411" s="56"/>
      <c r="QP411" s="242">
        <f t="shared" si="2877"/>
        <v>0</v>
      </c>
      <c r="QQ411" s="242">
        <f t="shared" si="2878"/>
        <v>0</v>
      </c>
      <c r="QR411" s="56"/>
      <c r="QU411" s="55">
        <f t="shared" si="2879"/>
        <v>46372</v>
      </c>
      <c r="QV411" s="56"/>
      <c r="QW411" s="242">
        <f>SUMPRODUCT(PRODUCE!$B404:$DY404,PRODUCE!$EB$57:$IY$57)</f>
        <v>0</v>
      </c>
      <c r="QX411" s="56"/>
      <c r="QY411" s="242">
        <f t="shared" si="2880"/>
        <v>0</v>
      </c>
      <c r="QZ411" s="242">
        <f t="shared" si="2881"/>
        <v>0</v>
      </c>
      <c r="RA411" s="56"/>
      <c r="RD411" s="55">
        <f t="shared" si="2882"/>
        <v>46372</v>
      </c>
      <c r="RE411" s="56"/>
      <c r="RF411" s="242">
        <f>SUMPRODUCT(PRODUCE!$B404:$DY404,PRODUCE!$EB$58:$IY$58)</f>
        <v>0</v>
      </c>
      <c r="RG411" s="56"/>
      <c r="RH411" s="242">
        <f t="shared" si="2883"/>
        <v>0</v>
      </c>
      <c r="RI411" s="242">
        <f t="shared" si="2884"/>
        <v>147.04000000000002</v>
      </c>
      <c r="RJ411" s="56"/>
      <c r="RM411" s="55">
        <f t="shared" si="2885"/>
        <v>46372</v>
      </c>
      <c r="RN411" s="56"/>
      <c r="RO411" s="242">
        <f>SUMPRODUCT(PRODUCE!$B404:$DY404,PRODUCE!$EB$57:$IY$57)</f>
        <v>0</v>
      </c>
      <c r="RP411" s="56"/>
      <c r="RQ411" s="242">
        <f t="shared" si="2886"/>
        <v>0</v>
      </c>
      <c r="RR411" s="242">
        <f t="shared" si="2887"/>
        <v>46.8</v>
      </c>
      <c r="RS411" s="56"/>
      <c r="RV411" s="55">
        <f t="shared" si="2888"/>
        <v>46372</v>
      </c>
      <c r="RW411" s="56"/>
      <c r="RX411" s="242">
        <f>SUMPRODUCT(PRODUCE!$B404:$DY404,PRODUCE!$EB$57:$IY$57)</f>
        <v>0</v>
      </c>
      <c r="RY411" s="56"/>
      <c r="RZ411" s="242">
        <f t="shared" si="2889"/>
        <v>0</v>
      </c>
      <c r="SA411" s="242">
        <f t="shared" si="2890"/>
        <v>0</v>
      </c>
      <c r="SB411" s="56"/>
      <c r="SE411" s="55">
        <f t="shared" si="2891"/>
        <v>46372</v>
      </c>
      <c r="SF411" s="56"/>
      <c r="SG411" s="242">
        <f>SUMPRODUCT(PRODUCE!$B404:$DY404,PRODUCE!$EB$61:$IY$61)</f>
        <v>0</v>
      </c>
      <c r="SH411" s="56"/>
      <c r="SI411" s="242">
        <f t="shared" si="2892"/>
        <v>0</v>
      </c>
      <c r="SJ411" s="242">
        <f t="shared" si="2893"/>
        <v>24.200000000000003</v>
      </c>
      <c r="SK411" s="56"/>
      <c r="SN411" s="55">
        <f t="shared" si="2894"/>
        <v>46372</v>
      </c>
      <c r="SO411" s="56"/>
      <c r="SP411" s="242">
        <f>SUMPRODUCT(PRODUCE!$B404:$DY404,PRODUCE!$EB$57:$IY$57)</f>
        <v>0</v>
      </c>
      <c r="SQ411" s="56"/>
      <c r="SR411" s="242">
        <f t="shared" si="2895"/>
        <v>0</v>
      </c>
      <c r="SS411" s="242">
        <f t="shared" si="2896"/>
        <v>32</v>
      </c>
      <c r="ST411" s="56"/>
      <c r="SW411" s="55">
        <f t="shared" si="2897"/>
        <v>46372</v>
      </c>
      <c r="SX411" s="56"/>
      <c r="SY411" s="242">
        <f>SUMPRODUCT(PRODUCE!$B404:$DY404,PRODUCE!$EB$57:$IY$57)</f>
        <v>0</v>
      </c>
      <c r="SZ411" s="56"/>
      <c r="TA411" s="242">
        <f t="shared" si="2898"/>
        <v>0</v>
      </c>
      <c r="TB411" s="242">
        <f t="shared" si="2899"/>
        <v>0</v>
      </c>
      <c r="TC411" s="56"/>
      <c r="TF411" s="55">
        <f t="shared" si="2900"/>
        <v>46372</v>
      </c>
      <c r="TG411" s="56"/>
      <c r="TH411" s="242">
        <f>SUMPRODUCT(PRODUCE!$B404:$DY404,PRODUCE!$EB$57:$IY$57)</f>
        <v>0</v>
      </c>
      <c r="TI411" s="56"/>
      <c r="TJ411" s="242">
        <f t="shared" si="2901"/>
        <v>0</v>
      </c>
      <c r="TK411" s="242">
        <f t="shared" si="2902"/>
        <v>0</v>
      </c>
      <c r="TL411" s="56"/>
      <c r="TO411" s="55">
        <f t="shared" si="2903"/>
        <v>46372</v>
      </c>
      <c r="TP411" s="56"/>
      <c r="TQ411" s="242">
        <f>SUMPRODUCT(PRODUCE!$B404:$DY404,PRODUCE!$EB$57:$IY$57)</f>
        <v>0</v>
      </c>
      <c r="TR411" s="56"/>
      <c r="TS411" s="242">
        <f t="shared" si="2904"/>
        <v>0</v>
      </c>
      <c r="TT411" s="242">
        <f t="shared" si="2905"/>
        <v>0</v>
      </c>
      <c r="TU411" s="56"/>
      <c r="TX411" s="55">
        <f t="shared" si="2906"/>
        <v>46372</v>
      </c>
      <c r="TY411" s="56"/>
      <c r="TZ411" s="242">
        <f>SUMPRODUCT(PRODUCE!$B404:$DY404,PRODUCE!$EB$57:$IY$57)</f>
        <v>0</v>
      </c>
      <c r="UA411" s="56"/>
      <c r="UB411" s="242">
        <f t="shared" si="2907"/>
        <v>0</v>
      </c>
      <c r="UC411" s="242">
        <f t="shared" si="2908"/>
        <v>46.799999999999983</v>
      </c>
      <c r="UD411" s="56"/>
      <c r="UG411" s="55">
        <f t="shared" si="2909"/>
        <v>46372</v>
      </c>
      <c r="UH411" s="56"/>
      <c r="UI411" s="242">
        <f>SUMPRODUCT(PRODUCE!$B404:$DY404,PRODUCE!$EB$57:$IY$57)</f>
        <v>0</v>
      </c>
      <c r="UJ411" s="56"/>
      <c r="UK411" s="242">
        <f t="shared" si="2910"/>
        <v>0</v>
      </c>
      <c r="UL411" s="242">
        <f t="shared" si="2911"/>
        <v>204</v>
      </c>
      <c r="UM411" s="56"/>
      <c r="UP411" s="55">
        <f t="shared" si="2912"/>
        <v>46372</v>
      </c>
      <c r="UQ411" s="56"/>
      <c r="UR411" s="242">
        <f>SUMPRODUCT(PRODUCE!$B404:$DY404,PRODUCE!$EB$57:$IY$57)</f>
        <v>0</v>
      </c>
      <c r="US411" s="56"/>
      <c r="UT411" s="242">
        <f t="shared" si="2913"/>
        <v>0</v>
      </c>
      <c r="UU411" s="242">
        <f t="shared" si="2914"/>
        <v>202.5</v>
      </c>
      <c r="UV411" s="56"/>
      <c r="UY411" s="55">
        <f t="shared" si="2915"/>
        <v>46372</v>
      </c>
      <c r="UZ411" s="56"/>
      <c r="VA411" s="242">
        <f>SUMPRODUCT(PRODUCE!$B404:$DY404,PRODUCE!$EB$57:$IY$57)</f>
        <v>0</v>
      </c>
      <c r="VB411" s="56"/>
      <c r="VC411" s="242">
        <f t="shared" si="2916"/>
        <v>0</v>
      </c>
      <c r="VD411" s="242">
        <f t="shared" si="2917"/>
        <v>41.600000000000023</v>
      </c>
      <c r="VE411" s="56"/>
      <c r="VH411" s="55">
        <f t="shared" si="2918"/>
        <v>46372</v>
      </c>
      <c r="VI411" s="56"/>
      <c r="VJ411" s="242">
        <f>SUMPRODUCT(PRODUCE!$B404:$DY404,PRODUCE!$EB$57:$IY$57)</f>
        <v>0</v>
      </c>
      <c r="VK411" s="56"/>
      <c r="VL411" s="242">
        <f t="shared" si="2919"/>
        <v>0</v>
      </c>
      <c r="VM411" s="242">
        <f t="shared" si="2920"/>
        <v>210</v>
      </c>
      <c r="VN411" s="56"/>
      <c r="VQ411" s="55">
        <f t="shared" si="2921"/>
        <v>46372</v>
      </c>
      <c r="VR411" s="56"/>
      <c r="VS411" s="242">
        <f>SUMPRODUCT(PRODUCE!$B404:$DY404,PRODUCE!$EB$57:$IY$57)</f>
        <v>0</v>
      </c>
      <c r="VT411" s="56"/>
      <c r="VU411" s="242">
        <f t="shared" si="2922"/>
        <v>0</v>
      </c>
      <c r="VV411" s="242">
        <f t="shared" si="2923"/>
        <v>0</v>
      </c>
      <c r="VW411" s="56"/>
      <c r="VZ411" s="55">
        <f t="shared" si="2924"/>
        <v>46372</v>
      </c>
      <c r="WA411" s="56"/>
      <c r="WB411" s="242">
        <f>SUMPRODUCT(PRODUCE!$B404:$DY404,PRODUCE!$EB$57:$IY$57)</f>
        <v>0</v>
      </c>
      <c r="WC411" s="56"/>
      <c r="WD411" s="242">
        <f t="shared" si="2925"/>
        <v>0</v>
      </c>
      <c r="WE411" s="242">
        <f t="shared" si="2926"/>
        <v>0</v>
      </c>
      <c r="WF411" s="56"/>
      <c r="WI411" s="55">
        <f t="shared" si="2927"/>
        <v>46372</v>
      </c>
      <c r="WJ411" s="56"/>
      <c r="WK411" s="242">
        <f>SUMPRODUCT(PRODUCE!$B404:$DY404,PRODUCE!$EB$57:$IY$57)</f>
        <v>0</v>
      </c>
      <c r="WL411" s="56"/>
      <c r="WM411" s="242">
        <f t="shared" si="2928"/>
        <v>0</v>
      </c>
      <c r="WN411" s="242">
        <f t="shared" si="2929"/>
        <v>1057</v>
      </c>
      <c r="WO411" s="56"/>
      <c r="WR411" s="55">
        <f t="shared" si="2930"/>
        <v>46372</v>
      </c>
      <c r="WS411" s="56"/>
      <c r="WT411" s="242">
        <f>SUMPRODUCT(PRODUCE!$B404:$DY404,PRODUCE!$EB$57:$IY$57)</f>
        <v>0</v>
      </c>
      <c r="WU411" s="56"/>
      <c r="WV411" s="242">
        <f t="shared" si="2931"/>
        <v>0</v>
      </c>
      <c r="WW411" s="242">
        <f t="shared" si="2932"/>
        <v>0</v>
      </c>
      <c r="WX411" s="56"/>
      <c r="XA411" s="55">
        <f t="shared" si="2933"/>
        <v>46372</v>
      </c>
      <c r="XB411" s="56"/>
      <c r="XC411" s="242">
        <f>SUMPRODUCT(PRODUCE!$B404:$DY404,PRODUCE!$EB$57:$IY$57)</f>
        <v>0</v>
      </c>
      <c r="XD411" s="56"/>
      <c r="XE411" s="242">
        <f t="shared" si="2934"/>
        <v>0</v>
      </c>
      <c r="XF411" s="242">
        <f t="shared" si="2935"/>
        <v>7507</v>
      </c>
      <c r="XG411" s="56"/>
      <c r="XJ411" s="55">
        <f t="shared" si="2936"/>
        <v>46372</v>
      </c>
      <c r="XK411" s="56"/>
      <c r="XL411" s="242">
        <f>SUMPRODUCT(PRODUCE!$B404:$DY404,PRODUCE!$EB$57:$IY$57)</f>
        <v>0</v>
      </c>
      <c r="XM411" s="56"/>
      <c r="XN411" s="242">
        <f t="shared" si="2937"/>
        <v>0</v>
      </c>
      <c r="XO411" s="242">
        <f t="shared" si="2938"/>
        <v>4252</v>
      </c>
      <c r="XP411" s="56"/>
      <c r="XS411" s="55">
        <f t="shared" si="2939"/>
        <v>46372</v>
      </c>
      <c r="XT411" s="56"/>
      <c r="XU411" s="242">
        <f>SUMPRODUCT(PRODUCE!$B404:$DY404,PRODUCE!$EB$57:$IY$57)</f>
        <v>0</v>
      </c>
      <c r="XV411" s="56"/>
      <c r="XW411" s="242">
        <f t="shared" si="2940"/>
        <v>0</v>
      </c>
      <c r="XX411" s="242">
        <f t="shared" si="2941"/>
        <v>2179</v>
      </c>
      <c r="XY411" s="56"/>
      <c r="YB411" s="55">
        <f t="shared" si="2942"/>
        <v>46372</v>
      </c>
      <c r="YC411" s="56"/>
      <c r="YD411" s="242">
        <f>SUMPRODUCT(PRODUCE!$B404:$DY404,PRODUCE!$EB$57:$IY$57)</f>
        <v>0</v>
      </c>
      <c r="YE411" s="56"/>
      <c r="YF411" s="242">
        <f t="shared" si="2943"/>
        <v>0</v>
      </c>
      <c r="YG411" s="242">
        <f t="shared" si="2944"/>
        <v>4019</v>
      </c>
      <c r="YH411" s="56"/>
      <c r="YK411" s="55">
        <f t="shared" si="2945"/>
        <v>46372</v>
      </c>
      <c r="YL411" s="56"/>
      <c r="YM411" s="242">
        <f>SUMPRODUCT(PRODUCE!$B404:$DY404,PRODUCE!$EB$57:$IY$57)</f>
        <v>0</v>
      </c>
      <c r="YN411" s="56"/>
      <c r="YO411" s="242">
        <f t="shared" si="2946"/>
        <v>0</v>
      </c>
      <c r="YP411" s="242">
        <f t="shared" si="2947"/>
        <v>-218</v>
      </c>
      <c r="YQ411" s="56"/>
      <c r="YT411" s="55">
        <f t="shared" si="2948"/>
        <v>46372</v>
      </c>
      <c r="YU411" s="56"/>
      <c r="YV411" s="242">
        <f>SUMPRODUCT(PRODUCE!$B404:$DY404,PRODUCE!$EB$57:$IY$57)</f>
        <v>0</v>
      </c>
      <c r="YW411" s="56"/>
      <c r="YX411" s="242">
        <f t="shared" si="2949"/>
        <v>0</v>
      </c>
      <c r="YY411" s="242">
        <f t="shared" si="2950"/>
        <v>0</v>
      </c>
      <c r="YZ411" s="56"/>
      <c r="ZC411" s="55">
        <f t="shared" si="2951"/>
        <v>46372</v>
      </c>
      <c r="ZD411" s="56"/>
      <c r="ZE411" s="242">
        <f>SUMPRODUCT(PRODUCE!$B404:$DY404,PRODUCE!$EB$57:$IY$57)</f>
        <v>0</v>
      </c>
      <c r="ZF411" s="56"/>
      <c r="ZG411" s="242">
        <f t="shared" si="2952"/>
        <v>0</v>
      </c>
      <c r="ZH411" s="242">
        <f t="shared" si="2953"/>
        <v>0</v>
      </c>
      <c r="ZI411" s="56"/>
      <c r="ZL411" s="55">
        <f t="shared" si="2954"/>
        <v>46372</v>
      </c>
      <c r="ZM411" s="56"/>
      <c r="ZN411" s="242">
        <f>SUMPRODUCT(PRODUCE!$B404:$DY404,PRODUCE!$EB$57:$IY$57)</f>
        <v>0</v>
      </c>
      <c r="ZO411" s="56"/>
      <c r="ZP411" s="242">
        <f t="shared" si="2955"/>
        <v>0</v>
      </c>
      <c r="ZQ411" s="242">
        <f t="shared" si="2956"/>
        <v>0</v>
      </c>
      <c r="ZR411" s="56"/>
      <c r="ZU411" s="55">
        <f t="shared" si="2957"/>
        <v>46372</v>
      </c>
      <c r="ZV411" s="56"/>
      <c r="ZW411" s="242">
        <f>SUMPRODUCT(PRODUCE!$B404:$DY404,PRODUCE!$EB$57:$IY$57)</f>
        <v>0</v>
      </c>
      <c r="ZX411" s="56"/>
      <c r="ZY411" s="242">
        <f t="shared" si="2958"/>
        <v>0</v>
      </c>
      <c r="ZZ411" s="242">
        <f t="shared" si="2959"/>
        <v>0</v>
      </c>
      <c r="AAA411" s="56"/>
      <c r="AAD411" s="55">
        <f t="shared" si="2960"/>
        <v>46372</v>
      </c>
      <c r="AAE411" s="56"/>
      <c r="AAF411" s="242">
        <f>SUMPRODUCT(PRODUCE!$B404:$DY404,PRODUCE!$EB$57:$IY$57)</f>
        <v>0</v>
      </c>
      <c r="AAG411" s="56"/>
      <c r="AAH411" s="242">
        <f t="shared" si="2961"/>
        <v>0</v>
      </c>
      <c r="AAI411" s="242">
        <f t="shared" si="2962"/>
        <v>0</v>
      </c>
      <c r="AAJ411" s="56"/>
      <c r="AAM411" s="55">
        <f t="shared" si="2963"/>
        <v>46372</v>
      </c>
      <c r="AAN411" s="56"/>
      <c r="AAO411" s="242">
        <f>SUMPRODUCT(PRODUCE!$B404:$DY404,PRODUCE!$EB$57:$IY$57)</f>
        <v>0</v>
      </c>
      <c r="AAP411" s="56"/>
      <c r="AAQ411" s="242">
        <f t="shared" si="2964"/>
        <v>0</v>
      </c>
      <c r="AAR411" s="242">
        <f t="shared" si="2965"/>
        <v>0</v>
      </c>
      <c r="AAS411" s="56"/>
      <c r="AAV411" s="55">
        <f t="shared" si="2966"/>
        <v>46372</v>
      </c>
      <c r="AAW411" s="56"/>
      <c r="AAX411" s="242">
        <f>SUMPRODUCT(PRODUCE!$B404:$DY404,PRODUCE!$EB$57:$IY$57)</f>
        <v>0</v>
      </c>
      <c r="AAY411" s="56"/>
      <c r="AAZ411" s="242">
        <f t="shared" si="2967"/>
        <v>0</v>
      </c>
      <c r="ABA411" s="242">
        <f t="shared" si="2968"/>
        <v>0</v>
      </c>
      <c r="ABB411" s="56"/>
      <c r="ABE411" s="55">
        <f t="shared" si="2969"/>
        <v>46372</v>
      </c>
      <c r="ABF411" s="56"/>
      <c r="ABG411" s="242">
        <f>SUMPRODUCT(PRODUCE!$B404:$DY404,PRODUCE!$EB$57:$IY$57)</f>
        <v>0</v>
      </c>
      <c r="ABH411" s="56"/>
      <c r="ABI411" s="242">
        <f t="shared" si="2970"/>
        <v>0</v>
      </c>
      <c r="ABJ411" s="242">
        <f t="shared" si="2971"/>
        <v>0</v>
      </c>
      <c r="ABK411" s="56"/>
    </row>
    <row r="412" spans="2:739" s="54" customFormat="1" ht="15" customHeight="1" outlineLevel="1">
      <c r="B412" s="478"/>
      <c r="C412" s="55">
        <v>46373</v>
      </c>
      <c r="D412" s="56"/>
      <c r="E412" s="57">
        <f>SUMPRODUCT(PRODUCE!$B405:$DY405,PRODUCE!$EB$7:$IY$7)</f>
        <v>0</v>
      </c>
      <c r="F412" s="56"/>
      <c r="G412" s="57">
        <f t="shared" si="2727"/>
        <v>0</v>
      </c>
      <c r="H412" s="57">
        <f t="shared" si="2728"/>
        <v>236936.6</v>
      </c>
      <c r="I412" s="289"/>
      <c r="L412" s="55">
        <f t="shared" si="2729"/>
        <v>46373</v>
      </c>
      <c r="M412" s="56"/>
      <c r="N412" s="59">
        <f>SUMPRODUCT(PRODUCE!$B405:$DY405,PRODUCE!$EB$8:$IY$8)</f>
        <v>0</v>
      </c>
      <c r="O412" s="56"/>
      <c r="P412" s="59">
        <f t="shared" si="2730"/>
        <v>0</v>
      </c>
      <c r="Q412" s="59">
        <f t="shared" si="2731"/>
        <v>53017.600000000071</v>
      </c>
      <c r="R412" s="56"/>
      <c r="U412" s="55">
        <f t="shared" si="2732"/>
        <v>46373</v>
      </c>
      <c r="V412" s="56"/>
      <c r="W412" s="60">
        <f>SUMPRODUCT(PRODUCE!$B405:$DY405,PRODUCE!$EB$9:$IY$9)</f>
        <v>0</v>
      </c>
      <c r="X412" s="56"/>
      <c r="Y412" s="60">
        <f t="shared" si="2733"/>
        <v>0</v>
      </c>
      <c r="Z412" s="60">
        <f t="shared" si="2734"/>
        <v>42674.199999999968</v>
      </c>
      <c r="AA412" s="56"/>
      <c r="AD412" s="55">
        <f t="shared" si="2735"/>
        <v>46373</v>
      </c>
      <c r="AE412" s="56"/>
      <c r="AF412" s="61">
        <f>SUMPRODUCT(PRODUCE!$B405:$DY405,PRODUCE!$EB$10:$IY$10)</f>
        <v>0</v>
      </c>
      <c r="AG412" s="56"/>
      <c r="AH412" s="61">
        <f t="shared" si="2736"/>
        <v>0</v>
      </c>
      <c r="AI412" s="61">
        <f t="shared" si="2737"/>
        <v>4522.2000000000189</v>
      </c>
      <c r="AJ412" s="56"/>
      <c r="AM412" s="55">
        <f t="shared" si="2738"/>
        <v>46373</v>
      </c>
      <c r="AN412" s="422"/>
      <c r="AO412" s="444">
        <f>SUMPRODUCT(PRODUCE!$B405:$DY405,PRODUCE!$EB$11:$IY$11)</f>
        <v>0</v>
      </c>
      <c r="AP412" s="422"/>
      <c r="AQ412" s="444">
        <f t="shared" si="2739"/>
        <v>0</v>
      </c>
      <c r="AR412" s="444">
        <f t="shared" si="2740"/>
        <v>0</v>
      </c>
      <c r="AS412" s="56"/>
      <c r="AV412" s="55">
        <f t="shared" si="2741"/>
        <v>46373</v>
      </c>
      <c r="AW412" s="56"/>
      <c r="AX412" s="62">
        <f>SUMPRODUCT(PRODUCE!$B405:$DY405,PRODUCE!$EB$12:$IY$12)</f>
        <v>0</v>
      </c>
      <c r="AY412" s="56"/>
      <c r="AZ412" s="62">
        <f t="shared" si="2742"/>
        <v>0</v>
      </c>
      <c r="BA412" s="62">
        <f t="shared" si="2743"/>
        <v>124.99999999999523</v>
      </c>
      <c r="BB412" s="56"/>
      <c r="BE412" s="55">
        <f t="shared" si="2744"/>
        <v>46373</v>
      </c>
      <c r="BF412" s="56"/>
      <c r="BG412" s="63">
        <f>SUMPRODUCT(PRODUCE!$B405:$DY405,PRODUCE!$EB$13:$IY$13)</f>
        <v>0</v>
      </c>
      <c r="BH412" s="56"/>
      <c r="BI412" s="63">
        <f t="shared" si="2745"/>
        <v>0</v>
      </c>
      <c r="BJ412" s="63">
        <f t="shared" si="2746"/>
        <v>26151.899999999998</v>
      </c>
      <c r="BK412" s="56"/>
      <c r="BN412" s="55">
        <f t="shared" si="2747"/>
        <v>46373</v>
      </c>
      <c r="BO412" s="56"/>
      <c r="BP412" s="64">
        <f>SUMPRODUCT(PRODUCE!$B405:$DY405,PRODUCE!$EB$14:$IY$14)</f>
        <v>0</v>
      </c>
      <c r="BQ412" s="56"/>
      <c r="BR412" s="64">
        <f t="shared" si="2748"/>
        <v>0</v>
      </c>
      <c r="BS412" s="64">
        <f t="shared" si="2749"/>
        <v>0</v>
      </c>
      <c r="BT412" s="56"/>
      <c r="BW412" s="55">
        <f t="shared" si="2750"/>
        <v>46373</v>
      </c>
      <c r="BX412" s="56"/>
      <c r="BY412" s="65">
        <f>SUMPRODUCT(PRODUCE!$B405:$DY405,PRODUCE!$EB$15:$IY$15)</f>
        <v>0</v>
      </c>
      <c r="BZ412" s="56"/>
      <c r="CA412" s="65">
        <f t="shared" si="2751"/>
        <v>0</v>
      </c>
      <c r="CB412" s="65">
        <f t="shared" si="2752"/>
        <v>2097.3399999999992</v>
      </c>
      <c r="CC412" s="56"/>
      <c r="CF412" s="55">
        <f t="shared" si="2753"/>
        <v>46373</v>
      </c>
      <c r="CG412" s="56"/>
      <c r="CH412" s="66">
        <f>SUMPRODUCT(PRODUCE!$B405:$DY405,PRODUCE!$EB$16:$IY$16)</f>
        <v>0</v>
      </c>
      <c r="CI412" s="56"/>
      <c r="CJ412" s="66">
        <f t="shared" si="2754"/>
        <v>0</v>
      </c>
      <c r="CK412" s="66">
        <f t="shared" si="2755"/>
        <v>-10277.079999999998</v>
      </c>
      <c r="CL412" s="56"/>
      <c r="CO412" s="55">
        <f t="shared" si="2756"/>
        <v>46373</v>
      </c>
      <c r="CP412" s="422"/>
      <c r="CQ412" s="470">
        <f>SUMPRODUCT(PRODUCE!$B405:$DY405,PRODUCE!$EB$17:$IY$17)</f>
        <v>0</v>
      </c>
      <c r="CR412" s="422"/>
      <c r="CS412" s="470">
        <f t="shared" si="2757"/>
        <v>0</v>
      </c>
      <c r="CT412" s="470">
        <f t="shared" si="2758"/>
        <v>0</v>
      </c>
      <c r="CU412" s="56"/>
      <c r="CX412" s="55">
        <f t="shared" si="2759"/>
        <v>46373</v>
      </c>
      <c r="CY412" s="56"/>
      <c r="CZ412" s="133">
        <f>SUMPRODUCT(PRODUCE!$B405:$DY405,PRODUCE!$EB$18:$IY$18)</f>
        <v>0</v>
      </c>
      <c r="DA412" s="56"/>
      <c r="DB412" s="133">
        <f t="shared" si="2760"/>
        <v>0</v>
      </c>
      <c r="DC412" s="133">
        <f t="shared" si="2761"/>
        <v>27438.200000000012</v>
      </c>
      <c r="DD412" s="56"/>
      <c r="DG412" s="55">
        <f t="shared" si="2762"/>
        <v>46373</v>
      </c>
      <c r="DH412" s="56"/>
      <c r="DI412" s="147">
        <f>SUMPRODUCT(PRODUCE!$B405:$DY405,PRODUCE!$EB$19:$IY$19)</f>
        <v>0</v>
      </c>
      <c r="DJ412" s="56"/>
      <c r="DK412" s="147">
        <f t="shared" si="2763"/>
        <v>0</v>
      </c>
      <c r="DL412" s="147">
        <f t="shared" si="2764"/>
        <v>18782.299999999981</v>
      </c>
      <c r="DM412" s="56"/>
      <c r="DP412" s="55">
        <f t="shared" si="2765"/>
        <v>46373</v>
      </c>
      <c r="DQ412" s="56"/>
      <c r="DR412" s="57">
        <f>SUMPRODUCT(PRODUCE!$B405:$DY405,PRODUCE!$EB$20:$IY$20)</f>
        <v>0</v>
      </c>
      <c r="DS412" s="56"/>
      <c r="DT412" s="57">
        <f t="shared" si="2766"/>
        <v>0</v>
      </c>
      <c r="DU412" s="57">
        <f t="shared" si="2767"/>
        <v>5800</v>
      </c>
      <c r="DV412" s="56"/>
      <c r="DY412" s="55">
        <f t="shared" si="2768"/>
        <v>46373</v>
      </c>
      <c r="DZ412" s="56"/>
      <c r="EA412" s="157">
        <f>SUMPRODUCT(PRODUCE!$B405:$DY405,PRODUCE!$EB$21:$IY$21)</f>
        <v>0</v>
      </c>
      <c r="EB412" s="56"/>
      <c r="EC412" s="157">
        <f t="shared" si="2769"/>
        <v>0</v>
      </c>
      <c r="ED412" s="157">
        <f t="shared" si="2770"/>
        <v>0</v>
      </c>
      <c r="EE412" s="56"/>
      <c r="EH412" s="55">
        <f t="shared" si="2771"/>
        <v>46373</v>
      </c>
      <c r="EI412" s="56"/>
      <c r="EJ412" s="162">
        <f>SUMPRODUCT(PRODUCE!$B405:$DY405,PRODUCE!$EB$22:$IY$22)</f>
        <v>0</v>
      </c>
      <c r="EK412" s="56"/>
      <c r="EL412" s="162">
        <f t="shared" si="2772"/>
        <v>0</v>
      </c>
      <c r="EM412" s="162">
        <f t="shared" si="2773"/>
        <v>0</v>
      </c>
      <c r="EN412" s="56"/>
      <c r="EQ412" s="55">
        <f t="shared" si="2774"/>
        <v>46373</v>
      </c>
      <c r="ER412" s="56"/>
      <c r="ES412" s="135">
        <f>SUMPRODUCT(PRODUCE!$B405:$DY405,PRODUCE!$EB$23:$IY$23)</f>
        <v>0</v>
      </c>
      <c r="ET412" s="56"/>
      <c r="EU412" s="135">
        <f t="shared" si="2775"/>
        <v>0</v>
      </c>
      <c r="EV412" s="135">
        <f t="shared" si="2776"/>
        <v>0</v>
      </c>
      <c r="EW412" s="56"/>
      <c r="EZ412" s="55">
        <f t="shared" si="2777"/>
        <v>46373</v>
      </c>
      <c r="FA412" s="56"/>
      <c r="FB412" s="175">
        <f>SUMPRODUCT(PRODUCE!$B405:$DY405,PRODUCE!$EB$24:$IY$24)</f>
        <v>0</v>
      </c>
      <c r="FC412" s="56"/>
      <c r="FD412" s="175">
        <f t="shared" si="2778"/>
        <v>0</v>
      </c>
      <c r="FE412" s="175">
        <f t="shared" si="2779"/>
        <v>0</v>
      </c>
      <c r="FF412" s="56"/>
      <c r="FI412" s="55">
        <f t="shared" si="2780"/>
        <v>46373</v>
      </c>
      <c r="FJ412" s="56"/>
      <c r="FK412" s="183">
        <f>SUMPRODUCT(PRODUCE!$B405:$DY405,PRODUCE!$EB$25:$IY$25)</f>
        <v>0</v>
      </c>
      <c r="FL412" s="56"/>
      <c r="FM412" s="183">
        <f t="shared" si="2781"/>
        <v>0</v>
      </c>
      <c r="FN412" s="183">
        <f t="shared" si="2782"/>
        <v>0</v>
      </c>
      <c r="FO412" s="56"/>
      <c r="FR412" s="55">
        <f t="shared" si="2783"/>
        <v>46373</v>
      </c>
      <c r="FS412" s="56"/>
      <c r="FT412" s="186">
        <f>SUMPRODUCT(PRODUCE!$B405:$DY405,PRODUCE!$EB$26:$IY$26)</f>
        <v>0</v>
      </c>
      <c r="FU412" s="56"/>
      <c r="FV412" s="186">
        <f t="shared" si="2784"/>
        <v>0</v>
      </c>
      <c r="FW412" s="186">
        <f t="shared" si="2785"/>
        <v>2020</v>
      </c>
      <c r="FX412" s="56"/>
      <c r="GA412" s="55">
        <f t="shared" si="2786"/>
        <v>46373</v>
      </c>
      <c r="GB412" s="56"/>
      <c r="GC412" s="137">
        <f>SUMPRODUCT(PRODUCE!$B405:$DY405,PRODUCE!$EB$27:$IY$27)</f>
        <v>0</v>
      </c>
      <c r="GD412" s="56"/>
      <c r="GE412" s="137">
        <f t="shared" si="2787"/>
        <v>0</v>
      </c>
      <c r="GF412" s="137">
        <f t="shared" si="2788"/>
        <v>960</v>
      </c>
      <c r="GG412" s="56"/>
      <c r="GI412" s="23"/>
      <c r="GJ412" s="55">
        <f t="shared" si="2789"/>
        <v>46373</v>
      </c>
      <c r="GK412" s="56"/>
      <c r="GL412" s="199">
        <f>SUMPRODUCT(PRODUCE!$B405:$DY405,PRODUCE!$EB$28:$IY$28)</f>
        <v>0</v>
      </c>
      <c r="GM412" s="56"/>
      <c r="GN412" s="199">
        <f t="shared" si="2790"/>
        <v>0</v>
      </c>
      <c r="GO412" s="199">
        <f t="shared" si="2791"/>
        <v>1760</v>
      </c>
      <c r="GP412" s="56"/>
      <c r="GS412" s="55">
        <f t="shared" si="2792"/>
        <v>46373</v>
      </c>
      <c r="GT412" s="56"/>
      <c r="GU412" s="195">
        <f>SUMPRODUCT(PRODUCE!$B405:$DY405,PRODUCE!$EB$29:$IY$29)</f>
        <v>0</v>
      </c>
      <c r="GV412" s="56"/>
      <c r="GW412" s="195">
        <f t="shared" si="2793"/>
        <v>0</v>
      </c>
      <c r="GX412" s="195">
        <f t="shared" si="2794"/>
        <v>400</v>
      </c>
      <c r="GY412" s="56"/>
      <c r="HB412" s="55">
        <f t="shared" si="2795"/>
        <v>46373</v>
      </c>
      <c r="HC412" s="56"/>
      <c r="HD412" s="191">
        <f>SUMPRODUCT(PRODUCE!$B405:$DY405,PRODUCE!$EB$30:$IY$30)</f>
        <v>0</v>
      </c>
      <c r="HE412" s="56"/>
      <c r="HF412" s="191">
        <f t="shared" si="2796"/>
        <v>0</v>
      </c>
      <c r="HG412" s="191">
        <f t="shared" si="2797"/>
        <v>3600</v>
      </c>
      <c r="HH412" s="56"/>
      <c r="HK412" s="55">
        <f t="shared" si="2798"/>
        <v>46373</v>
      </c>
      <c r="HL412" s="56"/>
      <c r="HM412" s="63">
        <f>SUMPRODUCT(PRODUCE!$B405:$DY405,PRODUCE!$EB$31:$IY$31)</f>
        <v>0</v>
      </c>
      <c r="HN412" s="56"/>
      <c r="HO412" s="63">
        <f t="shared" si="2799"/>
        <v>0</v>
      </c>
      <c r="HP412" s="63">
        <f t="shared" si="2800"/>
        <v>0</v>
      </c>
      <c r="HQ412" s="56"/>
      <c r="HU412" s="55">
        <f t="shared" si="2801"/>
        <v>46373</v>
      </c>
      <c r="HV412" s="56"/>
      <c r="HW412" s="242">
        <f>SUMPRODUCT(PRODUCE!$B405:$DY405,PRODUCE!$EB$32:$IY$32)</f>
        <v>0</v>
      </c>
      <c r="HX412" s="56"/>
      <c r="HY412" s="242">
        <f t="shared" si="2802"/>
        <v>0</v>
      </c>
      <c r="HZ412" s="242">
        <f t="shared" si="2803"/>
        <v>6120</v>
      </c>
      <c r="IA412" s="56"/>
      <c r="ID412" s="55">
        <f t="shared" si="2804"/>
        <v>46373</v>
      </c>
      <c r="IE412" s="56"/>
      <c r="IF412" s="242">
        <f>SUMPRODUCT(PRODUCE!$B405:$DY405,PRODUCE!$EB$33:$IY$33)</f>
        <v>0</v>
      </c>
      <c r="IG412" s="56"/>
      <c r="IH412" s="242">
        <f t="shared" si="2805"/>
        <v>0</v>
      </c>
      <c r="II412" s="242">
        <f t="shared" si="2806"/>
        <v>0</v>
      </c>
      <c r="IJ412" s="56"/>
      <c r="IM412" s="55">
        <f t="shared" si="2807"/>
        <v>46373</v>
      </c>
      <c r="IN412" s="56"/>
      <c r="IO412" s="242">
        <f>SUMPRODUCT(PRODUCE!$B405:$DY405,PRODUCE!$EB$34:$IY$34)</f>
        <v>0</v>
      </c>
      <c r="IP412" s="56"/>
      <c r="IQ412" s="242">
        <f t="shared" si="2808"/>
        <v>0</v>
      </c>
      <c r="IR412" s="242">
        <f t="shared" si="2809"/>
        <v>0</v>
      </c>
      <c r="IS412" s="56"/>
      <c r="IV412" s="55">
        <f t="shared" si="2810"/>
        <v>46373</v>
      </c>
      <c r="IW412" s="56"/>
      <c r="IX412" s="242">
        <f>SUMPRODUCT(PRODUCE!$B405:$DY405,PRODUCE!$EB$35:$IY$35)</f>
        <v>0</v>
      </c>
      <c r="IY412" s="56"/>
      <c r="IZ412" s="242">
        <f t="shared" si="2811"/>
        <v>0</v>
      </c>
      <c r="JA412" s="242">
        <f t="shared" si="2812"/>
        <v>2820</v>
      </c>
      <c r="JB412" s="56"/>
      <c r="JE412" s="55">
        <f t="shared" si="2813"/>
        <v>46373</v>
      </c>
      <c r="JF412" s="56"/>
      <c r="JG412" s="242">
        <f>SUMPRODUCT(PRODUCE!$B405:$DY405,PRODUCE!$EB$36:$IY$36)</f>
        <v>0</v>
      </c>
      <c r="JH412" s="56"/>
      <c r="JI412" s="242">
        <f t="shared" si="2814"/>
        <v>0</v>
      </c>
      <c r="JJ412" s="242">
        <f t="shared" si="2815"/>
        <v>0</v>
      </c>
      <c r="JK412" s="56"/>
      <c r="JN412" s="55">
        <f t="shared" si="2816"/>
        <v>46373</v>
      </c>
      <c r="JO412" s="56"/>
      <c r="JP412" s="242">
        <f>SUMPRODUCT(PRODUCE!$B405:$DY405,PRODUCE!$EB$37:$IY$37)</f>
        <v>0</v>
      </c>
      <c r="JQ412" s="56"/>
      <c r="JR412" s="242">
        <f t="shared" si="2817"/>
        <v>0</v>
      </c>
      <c r="JS412" s="242">
        <f t="shared" si="2818"/>
        <v>0</v>
      </c>
      <c r="JT412" s="56"/>
      <c r="JW412" s="55">
        <f t="shared" si="2819"/>
        <v>46373</v>
      </c>
      <c r="JX412" s="56"/>
      <c r="JY412" s="242">
        <f>SUMPRODUCT(PRODUCE!$B405:$DY405,PRODUCE!$EB$38:$IY$38)</f>
        <v>0</v>
      </c>
      <c r="JZ412" s="56"/>
      <c r="KA412" s="242">
        <f t="shared" si="2820"/>
        <v>0</v>
      </c>
      <c r="KB412" s="242">
        <f t="shared" si="2821"/>
        <v>2540</v>
      </c>
      <c r="KC412" s="56"/>
      <c r="KF412" s="55">
        <f t="shared" si="2822"/>
        <v>46373</v>
      </c>
      <c r="KG412" s="56"/>
      <c r="KH412" s="242">
        <f>SUMPRODUCT(PRODUCE!$B405:$DY405,PRODUCE!$EB$39:$IY$39)</f>
        <v>0</v>
      </c>
      <c r="KI412" s="56"/>
      <c r="KJ412" s="242">
        <f t="shared" si="2823"/>
        <v>0</v>
      </c>
      <c r="KK412" s="242">
        <f t="shared" si="2824"/>
        <v>2359.5</v>
      </c>
      <c r="KL412" s="56"/>
      <c r="KO412" s="55">
        <f t="shared" si="2825"/>
        <v>46373</v>
      </c>
      <c r="KP412" s="56"/>
      <c r="KQ412" s="242">
        <f>SUMPRODUCT(PRODUCE!$B405:$DY405,PRODUCE!$EB$40:$IY$40)</f>
        <v>0</v>
      </c>
      <c r="KR412" s="56"/>
      <c r="KS412" s="242">
        <f t="shared" si="2826"/>
        <v>0</v>
      </c>
      <c r="KT412" s="242">
        <f t="shared" si="2827"/>
        <v>1890</v>
      </c>
      <c r="KU412" s="56"/>
      <c r="KW412" s="23"/>
      <c r="KX412" s="55">
        <f t="shared" si="2828"/>
        <v>46373</v>
      </c>
      <c r="KY412" s="56"/>
      <c r="KZ412" s="242">
        <f>SUMPRODUCT(PRODUCE!$B405:$DY405,PRODUCE!$EB$41:$IY$41)</f>
        <v>0</v>
      </c>
      <c r="LA412" s="56"/>
      <c r="LB412" s="242">
        <f t="shared" si="2829"/>
        <v>0</v>
      </c>
      <c r="LC412" s="242">
        <f t="shared" si="2830"/>
        <v>3690</v>
      </c>
      <c r="LD412" s="56"/>
      <c r="LG412" s="55">
        <f t="shared" si="2831"/>
        <v>46373</v>
      </c>
      <c r="LH412" s="56"/>
      <c r="LI412" s="242">
        <f>SUMPRODUCT(PRODUCE!$B405:$DY405,PRODUCE!$EB$42:$IY$42)</f>
        <v>0</v>
      </c>
      <c r="LJ412" s="56"/>
      <c r="LK412" s="242">
        <f t="shared" si="2832"/>
        <v>0</v>
      </c>
      <c r="LL412" s="242">
        <f t="shared" si="2833"/>
        <v>4000</v>
      </c>
      <c r="LM412" s="56"/>
      <c r="LP412" s="55">
        <f t="shared" si="2834"/>
        <v>46373</v>
      </c>
      <c r="LQ412" s="56"/>
      <c r="LR412" s="242">
        <f>SUMPRODUCT(PRODUCE!$B427:$DY427,PRODUCE!$EB$43:$IY$43)</f>
        <v>0</v>
      </c>
      <c r="LS412" s="56"/>
      <c r="LT412" s="242">
        <f t="shared" si="2835"/>
        <v>0</v>
      </c>
      <c r="LU412" s="242">
        <f t="shared" si="2836"/>
        <v>0</v>
      </c>
      <c r="LV412" s="56"/>
      <c r="LY412" s="55">
        <f t="shared" si="2837"/>
        <v>46373</v>
      </c>
      <c r="LZ412" s="56"/>
      <c r="MA412" s="242">
        <f>SUMPRODUCT(PRODUCE!$B405:$DY405,PRODUCE!$EB$44:$IY$44)</f>
        <v>0</v>
      </c>
      <c r="MB412" s="56"/>
      <c r="MC412" s="242">
        <f t="shared" si="2838"/>
        <v>0</v>
      </c>
      <c r="MD412" s="242">
        <f t="shared" si="2839"/>
        <v>0</v>
      </c>
      <c r="ME412" s="56"/>
      <c r="MH412" s="55">
        <f t="shared" si="2840"/>
        <v>46373</v>
      </c>
      <c r="MI412" s="56"/>
      <c r="MJ412" s="242">
        <f>SUMPRODUCT(PRODUCE!$B405:$DY405,PRODUCE!$EB$45:$IY$45)</f>
        <v>0</v>
      </c>
      <c r="MK412" s="56"/>
      <c r="ML412" s="242">
        <f t="shared" si="2841"/>
        <v>0</v>
      </c>
      <c r="MM412" s="242">
        <f t="shared" si="2842"/>
        <v>-18</v>
      </c>
      <c r="MN412" s="56"/>
      <c r="MQ412" s="55">
        <f t="shared" si="2843"/>
        <v>46373</v>
      </c>
      <c r="MR412" s="56"/>
      <c r="MS412" s="242">
        <f>SUMPRODUCT(PRODUCE!$B405:$DY405,PRODUCE!$EB$46:$IY$46)</f>
        <v>0</v>
      </c>
      <c r="MT412" s="56"/>
      <c r="MU412" s="242">
        <f t="shared" si="2844"/>
        <v>0</v>
      </c>
      <c r="MV412" s="242">
        <f t="shared" si="2845"/>
        <v>1559</v>
      </c>
      <c r="MW412" s="56"/>
      <c r="MZ412" s="55">
        <f t="shared" si="2846"/>
        <v>46373</v>
      </c>
      <c r="NA412" s="56"/>
      <c r="NB412" s="242">
        <f>SUMPRODUCT(PRODUCE!$B405:$DY405,PRODUCE!$EB$47:$IY$47)</f>
        <v>0</v>
      </c>
      <c r="NC412" s="56"/>
      <c r="ND412" s="242">
        <f t="shared" si="2847"/>
        <v>0</v>
      </c>
      <c r="NE412" s="242">
        <f t="shared" si="2848"/>
        <v>0</v>
      </c>
      <c r="NF412" s="56"/>
      <c r="NI412" s="55">
        <f t="shared" si="2849"/>
        <v>46373</v>
      </c>
      <c r="NJ412" s="56"/>
      <c r="NK412" s="242">
        <f>SUMPRODUCT(PRODUCE!$B405:$DY405,PRODUCE!$EB$48:$IY$48)</f>
        <v>0</v>
      </c>
      <c r="NL412" s="56"/>
      <c r="NM412" s="242">
        <f t="shared" si="2850"/>
        <v>0</v>
      </c>
      <c r="NN412" s="242">
        <f t="shared" si="2851"/>
        <v>1127</v>
      </c>
      <c r="NO412" s="56"/>
      <c r="NR412" s="55">
        <f t="shared" si="2852"/>
        <v>46373</v>
      </c>
      <c r="NS412" s="56"/>
      <c r="NT412" s="242">
        <f>SUMPRODUCT(PRODUCE!$B405:$DY405,PRODUCE!$EB$49:$IY$49)</f>
        <v>0</v>
      </c>
      <c r="NU412" s="56"/>
      <c r="NV412" s="242">
        <f t="shared" si="2853"/>
        <v>0</v>
      </c>
      <c r="NW412" s="242">
        <f t="shared" si="2854"/>
        <v>3111.9999999999995</v>
      </c>
      <c r="NX412" s="56"/>
      <c r="OA412" s="55">
        <f t="shared" si="2855"/>
        <v>46373</v>
      </c>
      <c r="OB412" s="56"/>
      <c r="OC412" s="242">
        <f>SUMPRODUCT(PRODUCE!$B405:$DY405,PRODUCE!$EB$50:$IY$50)</f>
        <v>0</v>
      </c>
      <c r="OD412" s="56"/>
      <c r="OE412" s="242">
        <f t="shared" si="2856"/>
        <v>0</v>
      </c>
      <c r="OF412" s="242">
        <f t="shared" si="2857"/>
        <v>1680.5</v>
      </c>
      <c r="OG412" s="56"/>
      <c r="OJ412" s="55">
        <f t="shared" si="2858"/>
        <v>46373</v>
      </c>
      <c r="OK412" s="56"/>
      <c r="OL412" s="242">
        <f>SUMPRODUCT(PRODUCE!$B405:$DY405,PRODUCE!$EB$51:$IY$51)</f>
        <v>0</v>
      </c>
      <c r="OM412" s="56"/>
      <c r="ON412" s="242">
        <f t="shared" si="2859"/>
        <v>0</v>
      </c>
      <c r="OO412" s="242">
        <f t="shared" si="2860"/>
        <v>0</v>
      </c>
      <c r="OP412" s="56"/>
      <c r="OS412" s="55">
        <f t="shared" si="2861"/>
        <v>46373</v>
      </c>
      <c r="OT412" s="56"/>
      <c r="OU412" s="242">
        <f>SUMPRODUCT(PRODUCE!$B405:$DY405,PRODUCE!$EB$52:$IY$52)</f>
        <v>0</v>
      </c>
      <c r="OV412" s="56"/>
      <c r="OW412" s="242">
        <f t="shared" si="2862"/>
        <v>0</v>
      </c>
      <c r="OX412" s="242">
        <f t="shared" si="2863"/>
        <v>1482</v>
      </c>
      <c r="OY412" s="56"/>
      <c r="PB412" s="55">
        <f t="shared" si="2864"/>
        <v>46373</v>
      </c>
      <c r="PC412" s="56"/>
      <c r="PD412" s="242">
        <f>SUMPRODUCT(PRODUCE!$B405:$DY405,PRODUCE!$EB$53:$IY$53)</f>
        <v>0</v>
      </c>
      <c r="PE412" s="56"/>
      <c r="PF412" s="242">
        <f t="shared" si="2865"/>
        <v>0</v>
      </c>
      <c r="PG412" s="242">
        <f t="shared" si="2866"/>
        <v>0</v>
      </c>
      <c r="PH412" s="56"/>
      <c r="PK412" s="55">
        <f t="shared" si="2867"/>
        <v>46373</v>
      </c>
      <c r="PL412" s="56"/>
      <c r="PM412" s="242">
        <f>SUMPRODUCT(PRODUCE!$B405:$DY405,PRODUCE!$EB$54:$IY$54)</f>
        <v>0</v>
      </c>
      <c r="PN412" s="56"/>
      <c r="PO412" s="242">
        <f t="shared" si="2868"/>
        <v>0</v>
      </c>
      <c r="PP412" s="242">
        <f t="shared" si="2869"/>
        <v>100</v>
      </c>
      <c r="PQ412" s="56"/>
      <c r="PT412" s="55">
        <f t="shared" si="2870"/>
        <v>46373</v>
      </c>
      <c r="PU412" s="56"/>
      <c r="PV412" s="242">
        <f>SUMPRODUCT(PRODUCE!$B405:$DY405,PRODUCE!$EB$55:$IY$55)</f>
        <v>0</v>
      </c>
      <c r="PW412" s="56"/>
      <c r="PX412" s="242">
        <f t="shared" si="2871"/>
        <v>0</v>
      </c>
      <c r="PY412" s="242">
        <f t="shared" si="2872"/>
        <v>13.960000000000036</v>
      </c>
      <c r="PZ412" s="56"/>
      <c r="QC412" s="55">
        <f t="shared" si="2873"/>
        <v>46373</v>
      </c>
      <c r="QD412" s="56"/>
      <c r="QE412" s="242">
        <f>SUMPRODUCT(PRODUCE!$B405:$DY405,PRODUCE!$EB$56:$IY$56)</f>
        <v>0</v>
      </c>
      <c r="QF412" s="56"/>
      <c r="QG412" s="242">
        <f t="shared" si="2874"/>
        <v>0</v>
      </c>
      <c r="QH412" s="242">
        <f t="shared" si="2875"/>
        <v>548</v>
      </c>
      <c r="QI412" s="56"/>
      <c r="QL412" s="55">
        <f t="shared" si="2876"/>
        <v>46373</v>
      </c>
      <c r="QM412" s="56"/>
      <c r="QN412" s="242">
        <f>SUMPRODUCT(PRODUCE!$B405:$DY405,PRODUCE!$EB$57:$IY$57)</f>
        <v>0</v>
      </c>
      <c r="QO412" s="56"/>
      <c r="QP412" s="242">
        <f t="shared" si="2877"/>
        <v>0</v>
      </c>
      <c r="QQ412" s="242">
        <f t="shared" si="2878"/>
        <v>0</v>
      </c>
      <c r="QR412" s="56"/>
      <c r="QU412" s="55">
        <f t="shared" si="2879"/>
        <v>46373</v>
      </c>
      <c r="QV412" s="56"/>
      <c r="QW412" s="242">
        <f>SUMPRODUCT(PRODUCE!$B405:$DY405,PRODUCE!$EB$57:$IY$57)</f>
        <v>0</v>
      </c>
      <c r="QX412" s="56"/>
      <c r="QY412" s="242">
        <f t="shared" si="2880"/>
        <v>0</v>
      </c>
      <c r="QZ412" s="242">
        <f t="shared" si="2881"/>
        <v>0</v>
      </c>
      <c r="RA412" s="56"/>
      <c r="RD412" s="55">
        <f t="shared" si="2882"/>
        <v>46373</v>
      </c>
      <c r="RE412" s="56"/>
      <c r="RF412" s="242">
        <f>SUMPRODUCT(PRODUCE!$B405:$DY405,PRODUCE!$EB$58:$IY$58)</f>
        <v>0</v>
      </c>
      <c r="RG412" s="56"/>
      <c r="RH412" s="242">
        <f t="shared" si="2883"/>
        <v>0</v>
      </c>
      <c r="RI412" s="242">
        <f t="shared" si="2884"/>
        <v>147.04000000000002</v>
      </c>
      <c r="RJ412" s="56"/>
      <c r="RM412" s="55">
        <f t="shared" si="2885"/>
        <v>46373</v>
      </c>
      <c r="RN412" s="56"/>
      <c r="RO412" s="242">
        <f>SUMPRODUCT(PRODUCE!$B405:$DY405,PRODUCE!$EB$57:$IY$57)</f>
        <v>0</v>
      </c>
      <c r="RP412" s="56"/>
      <c r="RQ412" s="242">
        <f t="shared" si="2886"/>
        <v>0</v>
      </c>
      <c r="RR412" s="242">
        <f t="shared" si="2887"/>
        <v>46.8</v>
      </c>
      <c r="RS412" s="56"/>
      <c r="RV412" s="55">
        <f t="shared" si="2888"/>
        <v>46373</v>
      </c>
      <c r="RW412" s="56"/>
      <c r="RX412" s="242">
        <f>SUMPRODUCT(PRODUCE!$B405:$DY405,PRODUCE!$EB$57:$IY$57)</f>
        <v>0</v>
      </c>
      <c r="RY412" s="56"/>
      <c r="RZ412" s="242">
        <f t="shared" si="2889"/>
        <v>0</v>
      </c>
      <c r="SA412" s="242">
        <f t="shared" si="2890"/>
        <v>0</v>
      </c>
      <c r="SB412" s="56"/>
      <c r="SE412" s="55">
        <f t="shared" si="2891"/>
        <v>46373</v>
      </c>
      <c r="SF412" s="56"/>
      <c r="SG412" s="242">
        <f>SUMPRODUCT(PRODUCE!$B405:$DY405,PRODUCE!$EB$61:$IY$61)</f>
        <v>0</v>
      </c>
      <c r="SH412" s="56"/>
      <c r="SI412" s="242">
        <f t="shared" si="2892"/>
        <v>0</v>
      </c>
      <c r="SJ412" s="242">
        <f t="shared" si="2893"/>
        <v>24.200000000000003</v>
      </c>
      <c r="SK412" s="56"/>
      <c r="SN412" s="55">
        <f t="shared" si="2894"/>
        <v>46373</v>
      </c>
      <c r="SO412" s="56"/>
      <c r="SP412" s="242">
        <f>SUMPRODUCT(PRODUCE!$B405:$DY405,PRODUCE!$EB$57:$IY$57)</f>
        <v>0</v>
      </c>
      <c r="SQ412" s="56"/>
      <c r="SR412" s="242">
        <f t="shared" si="2895"/>
        <v>0</v>
      </c>
      <c r="SS412" s="242">
        <f t="shared" si="2896"/>
        <v>32</v>
      </c>
      <c r="ST412" s="56"/>
      <c r="SW412" s="55">
        <f t="shared" si="2897"/>
        <v>46373</v>
      </c>
      <c r="SX412" s="56"/>
      <c r="SY412" s="242">
        <f>SUMPRODUCT(PRODUCE!$B405:$DY405,PRODUCE!$EB$57:$IY$57)</f>
        <v>0</v>
      </c>
      <c r="SZ412" s="56"/>
      <c r="TA412" s="242">
        <f t="shared" si="2898"/>
        <v>0</v>
      </c>
      <c r="TB412" s="242">
        <f t="shared" si="2899"/>
        <v>0</v>
      </c>
      <c r="TC412" s="56"/>
      <c r="TF412" s="55">
        <f t="shared" si="2900"/>
        <v>46373</v>
      </c>
      <c r="TG412" s="56"/>
      <c r="TH412" s="242">
        <f>SUMPRODUCT(PRODUCE!$B405:$DY405,PRODUCE!$EB$57:$IY$57)</f>
        <v>0</v>
      </c>
      <c r="TI412" s="56"/>
      <c r="TJ412" s="242">
        <f t="shared" si="2901"/>
        <v>0</v>
      </c>
      <c r="TK412" s="242">
        <f t="shared" si="2902"/>
        <v>0</v>
      </c>
      <c r="TL412" s="56"/>
      <c r="TO412" s="55">
        <f t="shared" si="2903"/>
        <v>46373</v>
      </c>
      <c r="TP412" s="56"/>
      <c r="TQ412" s="242">
        <f>SUMPRODUCT(PRODUCE!$B405:$DY405,PRODUCE!$EB$57:$IY$57)</f>
        <v>0</v>
      </c>
      <c r="TR412" s="56"/>
      <c r="TS412" s="242">
        <f t="shared" si="2904"/>
        <v>0</v>
      </c>
      <c r="TT412" s="242">
        <f t="shared" si="2905"/>
        <v>0</v>
      </c>
      <c r="TU412" s="56"/>
      <c r="TX412" s="55">
        <f t="shared" si="2906"/>
        <v>46373</v>
      </c>
      <c r="TY412" s="56"/>
      <c r="TZ412" s="242">
        <f>SUMPRODUCT(PRODUCE!$B405:$DY405,PRODUCE!$EB$57:$IY$57)</f>
        <v>0</v>
      </c>
      <c r="UA412" s="56"/>
      <c r="UB412" s="242">
        <f t="shared" si="2907"/>
        <v>0</v>
      </c>
      <c r="UC412" s="242">
        <f t="shared" si="2908"/>
        <v>46.799999999999983</v>
      </c>
      <c r="UD412" s="56"/>
      <c r="UG412" s="55">
        <f t="shared" si="2909"/>
        <v>46373</v>
      </c>
      <c r="UH412" s="56"/>
      <c r="UI412" s="242">
        <f>SUMPRODUCT(PRODUCE!$B405:$DY405,PRODUCE!$EB$57:$IY$57)</f>
        <v>0</v>
      </c>
      <c r="UJ412" s="56"/>
      <c r="UK412" s="242">
        <f t="shared" si="2910"/>
        <v>0</v>
      </c>
      <c r="UL412" s="242">
        <f t="shared" si="2911"/>
        <v>204</v>
      </c>
      <c r="UM412" s="56"/>
      <c r="UP412" s="55">
        <f t="shared" si="2912"/>
        <v>46373</v>
      </c>
      <c r="UQ412" s="56"/>
      <c r="UR412" s="242">
        <f>SUMPRODUCT(PRODUCE!$B405:$DY405,PRODUCE!$EB$57:$IY$57)</f>
        <v>0</v>
      </c>
      <c r="US412" s="56"/>
      <c r="UT412" s="242">
        <f t="shared" si="2913"/>
        <v>0</v>
      </c>
      <c r="UU412" s="242">
        <f t="shared" si="2914"/>
        <v>202.5</v>
      </c>
      <c r="UV412" s="56"/>
      <c r="UY412" s="55">
        <f t="shared" si="2915"/>
        <v>46373</v>
      </c>
      <c r="UZ412" s="56"/>
      <c r="VA412" s="242">
        <f>SUMPRODUCT(PRODUCE!$B405:$DY405,PRODUCE!$EB$57:$IY$57)</f>
        <v>0</v>
      </c>
      <c r="VB412" s="56"/>
      <c r="VC412" s="242">
        <f t="shared" si="2916"/>
        <v>0</v>
      </c>
      <c r="VD412" s="242">
        <f t="shared" si="2917"/>
        <v>41.600000000000023</v>
      </c>
      <c r="VE412" s="56"/>
      <c r="VH412" s="55">
        <f t="shared" si="2918"/>
        <v>46373</v>
      </c>
      <c r="VI412" s="56"/>
      <c r="VJ412" s="242">
        <f>SUMPRODUCT(PRODUCE!$B405:$DY405,PRODUCE!$EB$57:$IY$57)</f>
        <v>0</v>
      </c>
      <c r="VK412" s="56"/>
      <c r="VL412" s="242">
        <f t="shared" si="2919"/>
        <v>0</v>
      </c>
      <c r="VM412" s="242">
        <f t="shared" si="2920"/>
        <v>210</v>
      </c>
      <c r="VN412" s="56"/>
      <c r="VQ412" s="55">
        <f t="shared" si="2921"/>
        <v>46373</v>
      </c>
      <c r="VR412" s="56"/>
      <c r="VS412" s="242">
        <f>SUMPRODUCT(PRODUCE!$B405:$DY405,PRODUCE!$EB$57:$IY$57)</f>
        <v>0</v>
      </c>
      <c r="VT412" s="56"/>
      <c r="VU412" s="242">
        <f t="shared" si="2922"/>
        <v>0</v>
      </c>
      <c r="VV412" s="242">
        <f t="shared" si="2923"/>
        <v>0</v>
      </c>
      <c r="VW412" s="56"/>
      <c r="VZ412" s="55">
        <f t="shared" si="2924"/>
        <v>46373</v>
      </c>
      <c r="WA412" s="56"/>
      <c r="WB412" s="242">
        <f>SUMPRODUCT(PRODUCE!$B405:$DY405,PRODUCE!$EB$57:$IY$57)</f>
        <v>0</v>
      </c>
      <c r="WC412" s="56"/>
      <c r="WD412" s="242">
        <f t="shared" si="2925"/>
        <v>0</v>
      </c>
      <c r="WE412" s="242">
        <f t="shared" si="2926"/>
        <v>0</v>
      </c>
      <c r="WF412" s="56"/>
      <c r="WI412" s="55">
        <f t="shared" si="2927"/>
        <v>46373</v>
      </c>
      <c r="WJ412" s="56"/>
      <c r="WK412" s="242">
        <f>SUMPRODUCT(PRODUCE!$B405:$DY405,PRODUCE!$EB$57:$IY$57)</f>
        <v>0</v>
      </c>
      <c r="WL412" s="56"/>
      <c r="WM412" s="242">
        <f t="shared" si="2928"/>
        <v>0</v>
      </c>
      <c r="WN412" s="242">
        <f t="shared" si="2929"/>
        <v>1057</v>
      </c>
      <c r="WO412" s="56"/>
      <c r="WR412" s="55">
        <f t="shared" si="2930"/>
        <v>46373</v>
      </c>
      <c r="WS412" s="56"/>
      <c r="WT412" s="242">
        <f>SUMPRODUCT(PRODUCE!$B405:$DY405,PRODUCE!$EB$57:$IY$57)</f>
        <v>0</v>
      </c>
      <c r="WU412" s="56"/>
      <c r="WV412" s="242">
        <f t="shared" si="2931"/>
        <v>0</v>
      </c>
      <c r="WW412" s="242">
        <f t="shared" si="2932"/>
        <v>0</v>
      </c>
      <c r="WX412" s="56"/>
      <c r="XA412" s="55">
        <f t="shared" si="2933"/>
        <v>46373</v>
      </c>
      <c r="XB412" s="56"/>
      <c r="XC412" s="242">
        <f>SUMPRODUCT(PRODUCE!$B405:$DY405,PRODUCE!$EB$57:$IY$57)</f>
        <v>0</v>
      </c>
      <c r="XD412" s="56"/>
      <c r="XE412" s="242">
        <f t="shared" si="2934"/>
        <v>0</v>
      </c>
      <c r="XF412" s="242">
        <f t="shared" si="2935"/>
        <v>7507</v>
      </c>
      <c r="XG412" s="56"/>
      <c r="XJ412" s="55">
        <f t="shared" si="2936"/>
        <v>46373</v>
      </c>
      <c r="XK412" s="56"/>
      <c r="XL412" s="242">
        <f>SUMPRODUCT(PRODUCE!$B405:$DY405,PRODUCE!$EB$57:$IY$57)</f>
        <v>0</v>
      </c>
      <c r="XM412" s="56"/>
      <c r="XN412" s="242">
        <f t="shared" si="2937"/>
        <v>0</v>
      </c>
      <c r="XO412" s="242">
        <f t="shared" si="2938"/>
        <v>4252</v>
      </c>
      <c r="XP412" s="56"/>
      <c r="XS412" s="55">
        <f t="shared" si="2939"/>
        <v>46373</v>
      </c>
      <c r="XT412" s="56"/>
      <c r="XU412" s="242">
        <f>SUMPRODUCT(PRODUCE!$B405:$DY405,PRODUCE!$EB$57:$IY$57)</f>
        <v>0</v>
      </c>
      <c r="XV412" s="56"/>
      <c r="XW412" s="242">
        <f t="shared" si="2940"/>
        <v>0</v>
      </c>
      <c r="XX412" s="242">
        <f t="shared" si="2941"/>
        <v>2179</v>
      </c>
      <c r="XY412" s="56"/>
      <c r="YB412" s="55">
        <f t="shared" si="2942"/>
        <v>46373</v>
      </c>
      <c r="YC412" s="56"/>
      <c r="YD412" s="242">
        <f>SUMPRODUCT(PRODUCE!$B405:$DY405,PRODUCE!$EB$57:$IY$57)</f>
        <v>0</v>
      </c>
      <c r="YE412" s="56"/>
      <c r="YF412" s="242">
        <f t="shared" si="2943"/>
        <v>0</v>
      </c>
      <c r="YG412" s="242">
        <f t="shared" si="2944"/>
        <v>4019</v>
      </c>
      <c r="YH412" s="56"/>
      <c r="YK412" s="55">
        <f t="shared" si="2945"/>
        <v>46373</v>
      </c>
      <c r="YL412" s="56"/>
      <c r="YM412" s="242">
        <f>SUMPRODUCT(PRODUCE!$B405:$DY405,PRODUCE!$EB$57:$IY$57)</f>
        <v>0</v>
      </c>
      <c r="YN412" s="56"/>
      <c r="YO412" s="242">
        <f t="shared" si="2946"/>
        <v>0</v>
      </c>
      <c r="YP412" s="242">
        <f t="shared" si="2947"/>
        <v>-218</v>
      </c>
      <c r="YQ412" s="56"/>
      <c r="YT412" s="55">
        <f t="shared" si="2948"/>
        <v>46373</v>
      </c>
      <c r="YU412" s="56"/>
      <c r="YV412" s="242">
        <f>SUMPRODUCT(PRODUCE!$B405:$DY405,PRODUCE!$EB$57:$IY$57)</f>
        <v>0</v>
      </c>
      <c r="YW412" s="56"/>
      <c r="YX412" s="242">
        <f t="shared" si="2949"/>
        <v>0</v>
      </c>
      <c r="YY412" s="242">
        <f t="shared" si="2950"/>
        <v>0</v>
      </c>
      <c r="YZ412" s="56"/>
      <c r="ZC412" s="55">
        <f t="shared" si="2951"/>
        <v>46373</v>
      </c>
      <c r="ZD412" s="56"/>
      <c r="ZE412" s="242">
        <f>SUMPRODUCT(PRODUCE!$B405:$DY405,PRODUCE!$EB$57:$IY$57)</f>
        <v>0</v>
      </c>
      <c r="ZF412" s="56"/>
      <c r="ZG412" s="242">
        <f t="shared" si="2952"/>
        <v>0</v>
      </c>
      <c r="ZH412" s="242">
        <f t="shared" si="2953"/>
        <v>0</v>
      </c>
      <c r="ZI412" s="56"/>
      <c r="ZL412" s="55">
        <f t="shared" si="2954"/>
        <v>46373</v>
      </c>
      <c r="ZM412" s="56"/>
      <c r="ZN412" s="242">
        <f>SUMPRODUCT(PRODUCE!$B405:$DY405,PRODUCE!$EB$57:$IY$57)</f>
        <v>0</v>
      </c>
      <c r="ZO412" s="56"/>
      <c r="ZP412" s="242">
        <f t="shared" si="2955"/>
        <v>0</v>
      </c>
      <c r="ZQ412" s="242">
        <f t="shared" si="2956"/>
        <v>0</v>
      </c>
      <c r="ZR412" s="56"/>
      <c r="ZU412" s="55">
        <f t="shared" si="2957"/>
        <v>46373</v>
      </c>
      <c r="ZV412" s="56"/>
      <c r="ZW412" s="242">
        <f>SUMPRODUCT(PRODUCE!$B405:$DY405,PRODUCE!$EB$57:$IY$57)</f>
        <v>0</v>
      </c>
      <c r="ZX412" s="56"/>
      <c r="ZY412" s="242">
        <f t="shared" si="2958"/>
        <v>0</v>
      </c>
      <c r="ZZ412" s="242">
        <f t="shared" si="2959"/>
        <v>0</v>
      </c>
      <c r="AAA412" s="56"/>
      <c r="AAD412" s="55">
        <f t="shared" si="2960"/>
        <v>46373</v>
      </c>
      <c r="AAE412" s="56"/>
      <c r="AAF412" s="242">
        <f>SUMPRODUCT(PRODUCE!$B405:$DY405,PRODUCE!$EB$57:$IY$57)</f>
        <v>0</v>
      </c>
      <c r="AAG412" s="56"/>
      <c r="AAH412" s="242">
        <f t="shared" si="2961"/>
        <v>0</v>
      </c>
      <c r="AAI412" s="242">
        <f t="shared" si="2962"/>
        <v>0</v>
      </c>
      <c r="AAJ412" s="56"/>
      <c r="AAM412" s="55">
        <f t="shared" si="2963"/>
        <v>46373</v>
      </c>
      <c r="AAN412" s="56"/>
      <c r="AAO412" s="242">
        <f>SUMPRODUCT(PRODUCE!$B405:$DY405,PRODUCE!$EB$57:$IY$57)</f>
        <v>0</v>
      </c>
      <c r="AAP412" s="56"/>
      <c r="AAQ412" s="242">
        <f t="shared" si="2964"/>
        <v>0</v>
      </c>
      <c r="AAR412" s="242">
        <f t="shared" si="2965"/>
        <v>0</v>
      </c>
      <c r="AAS412" s="56"/>
      <c r="AAV412" s="55">
        <f t="shared" si="2966"/>
        <v>46373</v>
      </c>
      <c r="AAW412" s="56"/>
      <c r="AAX412" s="242">
        <f>SUMPRODUCT(PRODUCE!$B405:$DY405,PRODUCE!$EB$57:$IY$57)</f>
        <v>0</v>
      </c>
      <c r="AAY412" s="56"/>
      <c r="AAZ412" s="242">
        <f t="shared" si="2967"/>
        <v>0</v>
      </c>
      <c r="ABA412" s="242">
        <f t="shared" si="2968"/>
        <v>0</v>
      </c>
      <c r="ABB412" s="56"/>
      <c r="ABE412" s="55">
        <f t="shared" si="2969"/>
        <v>46373</v>
      </c>
      <c r="ABF412" s="56"/>
      <c r="ABG412" s="242">
        <f>SUMPRODUCT(PRODUCE!$B405:$DY405,PRODUCE!$EB$57:$IY$57)</f>
        <v>0</v>
      </c>
      <c r="ABH412" s="56"/>
      <c r="ABI412" s="242">
        <f t="shared" si="2970"/>
        <v>0</v>
      </c>
      <c r="ABJ412" s="242">
        <f t="shared" si="2971"/>
        <v>0</v>
      </c>
      <c r="ABK412" s="56"/>
    </row>
    <row r="413" spans="2:739" s="54" customFormat="1" ht="15" customHeight="1" outlineLevel="1">
      <c r="B413" s="478"/>
      <c r="C413" s="55">
        <v>46374</v>
      </c>
      <c r="D413" s="56"/>
      <c r="E413" s="57">
        <f>SUMPRODUCT(PRODUCE!$B406:$DY406,PRODUCE!$EB$7:$IY$7)</f>
        <v>0</v>
      </c>
      <c r="F413" s="56"/>
      <c r="G413" s="57">
        <f t="shared" si="2727"/>
        <v>0</v>
      </c>
      <c r="H413" s="57">
        <f t="shared" si="2728"/>
        <v>236936.6</v>
      </c>
      <c r="I413" s="289"/>
      <c r="L413" s="55">
        <f t="shared" si="2729"/>
        <v>46374</v>
      </c>
      <c r="M413" s="56"/>
      <c r="N413" s="59">
        <f>SUMPRODUCT(PRODUCE!$B406:$DY406,PRODUCE!$EB$8:$IY$8)</f>
        <v>0</v>
      </c>
      <c r="O413" s="56"/>
      <c r="P413" s="59">
        <f t="shared" si="2730"/>
        <v>0</v>
      </c>
      <c r="Q413" s="59">
        <f t="shared" si="2731"/>
        <v>53017.600000000071</v>
      </c>
      <c r="R413" s="56"/>
      <c r="U413" s="55">
        <f t="shared" si="2732"/>
        <v>46374</v>
      </c>
      <c r="V413" s="56"/>
      <c r="W413" s="60">
        <f>SUMPRODUCT(PRODUCE!$B406:$DY406,PRODUCE!$EB$9:$IY$9)</f>
        <v>0</v>
      </c>
      <c r="X413" s="56"/>
      <c r="Y413" s="60">
        <f t="shared" si="2733"/>
        <v>0</v>
      </c>
      <c r="Z413" s="60">
        <f t="shared" si="2734"/>
        <v>42674.199999999968</v>
      </c>
      <c r="AA413" s="56"/>
      <c r="AD413" s="55">
        <f t="shared" si="2735"/>
        <v>46374</v>
      </c>
      <c r="AE413" s="56"/>
      <c r="AF413" s="61">
        <f>SUMPRODUCT(PRODUCE!$B406:$DY406,PRODUCE!$EB$10:$IY$10)</f>
        <v>0</v>
      </c>
      <c r="AG413" s="56"/>
      <c r="AH413" s="61">
        <f t="shared" si="2736"/>
        <v>0</v>
      </c>
      <c r="AI413" s="61">
        <f t="shared" si="2737"/>
        <v>4522.2000000000189</v>
      </c>
      <c r="AJ413" s="56"/>
      <c r="AM413" s="55">
        <f t="shared" si="2738"/>
        <v>46374</v>
      </c>
      <c r="AN413" s="422"/>
      <c r="AO413" s="444">
        <f>SUMPRODUCT(PRODUCE!$B406:$DY406,PRODUCE!$EB$11:$IY$11)</f>
        <v>0</v>
      </c>
      <c r="AP413" s="422"/>
      <c r="AQ413" s="444">
        <f t="shared" si="2739"/>
        <v>0</v>
      </c>
      <c r="AR413" s="444">
        <f t="shared" si="2740"/>
        <v>0</v>
      </c>
      <c r="AS413" s="56"/>
      <c r="AV413" s="55">
        <f t="shared" si="2741"/>
        <v>46374</v>
      </c>
      <c r="AW413" s="56"/>
      <c r="AX413" s="62">
        <f>SUMPRODUCT(PRODUCE!$B406:$DY406,PRODUCE!$EB$12:$IY$12)</f>
        <v>0</v>
      </c>
      <c r="AY413" s="56"/>
      <c r="AZ413" s="62">
        <f t="shared" si="2742"/>
        <v>0</v>
      </c>
      <c r="BA413" s="62">
        <f t="shared" si="2743"/>
        <v>124.99999999999523</v>
      </c>
      <c r="BB413" s="56"/>
      <c r="BE413" s="55">
        <f t="shared" si="2744"/>
        <v>46374</v>
      </c>
      <c r="BF413" s="56"/>
      <c r="BG413" s="63">
        <f>SUMPRODUCT(PRODUCE!$B406:$DY406,PRODUCE!$EB$13:$IY$13)</f>
        <v>0</v>
      </c>
      <c r="BH413" s="56"/>
      <c r="BI413" s="63">
        <f t="shared" si="2745"/>
        <v>0</v>
      </c>
      <c r="BJ413" s="63">
        <f t="shared" si="2746"/>
        <v>26151.899999999998</v>
      </c>
      <c r="BK413" s="56"/>
      <c r="BN413" s="55">
        <f t="shared" si="2747"/>
        <v>46374</v>
      </c>
      <c r="BO413" s="56"/>
      <c r="BP413" s="64">
        <f>SUMPRODUCT(PRODUCE!$B406:$DY406,PRODUCE!$EB$14:$IY$14)</f>
        <v>0</v>
      </c>
      <c r="BQ413" s="56"/>
      <c r="BR413" s="64">
        <f t="shared" si="2748"/>
        <v>0</v>
      </c>
      <c r="BS413" s="64">
        <f t="shared" si="2749"/>
        <v>0</v>
      </c>
      <c r="BT413" s="56"/>
      <c r="BW413" s="55">
        <f t="shared" si="2750"/>
        <v>46374</v>
      </c>
      <c r="BX413" s="56"/>
      <c r="BY413" s="65">
        <f>SUMPRODUCT(PRODUCE!$B406:$DY406,PRODUCE!$EB$15:$IY$15)</f>
        <v>0</v>
      </c>
      <c r="BZ413" s="56"/>
      <c r="CA413" s="65">
        <f t="shared" si="2751"/>
        <v>0</v>
      </c>
      <c r="CB413" s="65">
        <f t="shared" si="2752"/>
        <v>2097.3399999999992</v>
      </c>
      <c r="CC413" s="56"/>
      <c r="CF413" s="55">
        <f t="shared" si="2753"/>
        <v>46374</v>
      </c>
      <c r="CG413" s="56"/>
      <c r="CH413" s="66">
        <f>SUMPRODUCT(PRODUCE!$B406:$DY406,PRODUCE!$EB$16:$IY$16)</f>
        <v>0</v>
      </c>
      <c r="CI413" s="56"/>
      <c r="CJ413" s="66">
        <f t="shared" si="2754"/>
        <v>0</v>
      </c>
      <c r="CK413" s="66">
        <f t="shared" si="2755"/>
        <v>-10277.079999999998</v>
      </c>
      <c r="CL413" s="56"/>
      <c r="CO413" s="55">
        <f t="shared" si="2756"/>
        <v>46374</v>
      </c>
      <c r="CP413" s="422"/>
      <c r="CQ413" s="470">
        <f>SUMPRODUCT(PRODUCE!$B406:$DY406,PRODUCE!$EB$17:$IY$17)</f>
        <v>0</v>
      </c>
      <c r="CR413" s="422"/>
      <c r="CS413" s="470">
        <f t="shared" si="2757"/>
        <v>0</v>
      </c>
      <c r="CT413" s="470">
        <f t="shared" si="2758"/>
        <v>0</v>
      </c>
      <c r="CU413" s="56"/>
      <c r="CX413" s="55">
        <f t="shared" si="2759"/>
        <v>46374</v>
      </c>
      <c r="CY413" s="56"/>
      <c r="CZ413" s="133">
        <f>SUMPRODUCT(PRODUCE!$B406:$DY406,PRODUCE!$EB$18:$IY$18)</f>
        <v>0</v>
      </c>
      <c r="DA413" s="56"/>
      <c r="DB413" s="133">
        <f t="shared" si="2760"/>
        <v>0</v>
      </c>
      <c r="DC413" s="133">
        <f t="shared" si="2761"/>
        <v>27438.200000000012</v>
      </c>
      <c r="DD413" s="56"/>
      <c r="DG413" s="55">
        <f t="shared" si="2762"/>
        <v>46374</v>
      </c>
      <c r="DH413" s="56"/>
      <c r="DI413" s="147">
        <f>SUMPRODUCT(PRODUCE!$B406:$DY406,PRODUCE!$EB$19:$IY$19)</f>
        <v>0</v>
      </c>
      <c r="DJ413" s="56"/>
      <c r="DK413" s="147">
        <f t="shared" si="2763"/>
        <v>0</v>
      </c>
      <c r="DL413" s="147">
        <f t="shared" si="2764"/>
        <v>18782.299999999981</v>
      </c>
      <c r="DM413" s="56"/>
      <c r="DP413" s="55">
        <f t="shared" si="2765"/>
        <v>46374</v>
      </c>
      <c r="DQ413" s="56"/>
      <c r="DR413" s="57">
        <f>SUMPRODUCT(PRODUCE!$B406:$DY406,PRODUCE!$EB$20:$IY$20)</f>
        <v>0</v>
      </c>
      <c r="DS413" s="56"/>
      <c r="DT413" s="57">
        <f t="shared" si="2766"/>
        <v>0</v>
      </c>
      <c r="DU413" s="57">
        <f t="shared" si="2767"/>
        <v>5800</v>
      </c>
      <c r="DV413" s="56"/>
      <c r="DY413" s="55">
        <f t="shared" si="2768"/>
        <v>46374</v>
      </c>
      <c r="DZ413" s="56"/>
      <c r="EA413" s="157">
        <f>SUMPRODUCT(PRODUCE!$B406:$DY406,PRODUCE!$EB$21:$IY$21)</f>
        <v>0</v>
      </c>
      <c r="EB413" s="56"/>
      <c r="EC413" s="157">
        <f t="shared" si="2769"/>
        <v>0</v>
      </c>
      <c r="ED413" s="157">
        <f t="shared" si="2770"/>
        <v>0</v>
      </c>
      <c r="EE413" s="56"/>
      <c r="EH413" s="55">
        <f t="shared" si="2771"/>
        <v>46374</v>
      </c>
      <c r="EI413" s="56"/>
      <c r="EJ413" s="162">
        <f>SUMPRODUCT(PRODUCE!$B406:$DY406,PRODUCE!$EB$22:$IY$22)</f>
        <v>0</v>
      </c>
      <c r="EK413" s="56"/>
      <c r="EL413" s="162">
        <f t="shared" si="2772"/>
        <v>0</v>
      </c>
      <c r="EM413" s="162">
        <f t="shared" si="2773"/>
        <v>0</v>
      </c>
      <c r="EN413" s="56"/>
      <c r="EQ413" s="55">
        <f t="shared" si="2774"/>
        <v>46374</v>
      </c>
      <c r="ER413" s="56"/>
      <c r="ES413" s="135">
        <f>SUMPRODUCT(PRODUCE!$B406:$DY406,PRODUCE!$EB$23:$IY$23)</f>
        <v>0</v>
      </c>
      <c r="ET413" s="56"/>
      <c r="EU413" s="135">
        <f t="shared" si="2775"/>
        <v>0</v>
      </c>
      <c r="EV413" s="135">
        <f t="shared" si="2776"/>
        <v>0</v>
      </c>
      <c r="EW413" s="56"/>
      <c r="EZ413" s="55">
        <f t="shared" si="2777"/>
        <v>46374</v>
      </c>
      <c r="FA413" s="56"/>
      <c r="FB413" s="175">
        <f>SUMPRODUCT(PRODUCE!$B406:$DY406,PRODUCE!$EB$24:$IY$24)</f>
        <v>0</v>
      </c>
      <c r="FC413" s="56"/>
      <c r="FD413" s="175">
        <f t="shared" si="2778"/>
        <v>0</v>
      </c>
      <c r="FE413" s="175">
        <f t="shared" si="2779"/>
        <v>0</v>
      </c>
      <c r="FF413" s="56"/>
      <c r="FI413" s="55">
        <f t="shared" si="2780"/>
        <v>46374</v>
      </c>
      <c r="FJ413" s="56"/>
      <c r="FK413" s="183">
        <f>SUMPRODUCT(PRODUCE!$B406:$DY406,PRODUCE!$EB$25:$IY$25)</f>
        <v>0</v>
      </c>
      <c r="FL413" s="56"/>
      <c r="FM413" s="183">
        <f t="shared" si="2781"/>
        <v>0</v>
      </c>
      <c r="FN413" s="183">
        <f t="shared" si="2782"/>
        <v>0</v>
      </c>
      <c r="FO413" s="56"/>
      <c r="FR413" s="55">
        <f t="shared" si="2783"/>
        <v>46374</v>
      </c>
      <c r="FS413" s="56"/>
      <c r="FT413" s="186">
        <f>SUMPRODUCT(PRODUCE!$B406:$DY406,PRODUCE!$EB$26:$IY$26)</f>
        <v>0</v>
      </c>
      <c r="FU413" s="56"/>
      <c r="FV413" s="186">
        <f t="shared" si="2784"/>
        <v>0</v>
      </c>
      <c r="FW413" s="186">
        <f t="shared" si="2785"/>
        <v>2020</v>
      </c>
      <c r="FX413" s="56"/>
      <c r="GA413" s="55">
        <f t="shared" si="2786"/>
        <v>46374</v>
      </c>
      <c r="GB413" s="56"/>
      <c r="GC413" s="137">
        <f>SUMPRODUCT(PRODUCE!$B406:$DY406,PRODUCE!$EB$27:$IY$27)</f>
        <v>0</v>
      </c>
      <c r="GD413" s="56"/>
      <c r="GE413" s="137">
        <f t="shared" si="2787"/>
        <v>0</v>
      </c>
      <c r="GF413" s="137">
        <f t="shared" si="2788"/>
        <v>960</v>
      </c>
      <c r="GG413" s="56"/>
      <c r="GI413" s="23"/>
      <c r="GJ413" s="55">
        <f t="shared" si="2789"/>
        <v>46374</v>
      </c>
      <c r="GK413" s="56"/>
      <c r="GL413" s="199">
        <f>SUMPRODUCT(PRODUCE!$B406:$DY406,PRODUCE!$EB$28:$IY$28)</f>
        <v>0</v>
      </c>
      <c r="GM413" s="56"/>
      <c r="GN413" s="199">
        <f t="shared" si="2790"/>
        <v>0</v>
      </c>
      <c r="GO413" s="199">
        <f t="shared" si="2791"/>
        <v>1760</v>
      </c>
      <c r="GP413" s="56"/>
      <c r="GS413" s="55">
        <f t="shared" si="2792"/>
        <v>46374</v>
      </c>
      <c r="GT413" s="56"/>
      <c r="GU413" s="195">
        <f>SUMPRODUCT(PRODUCE!$B406:$DY406,PRODUCE!$EB$29:$IY$29)</f>
        <v>0</v>
      </c>
      <c r="GV413" s="56"/>
      <c r="GW413" s="195">
        <f t="shared" si="2793"/>
        <v>0</v>
      </c>
      <c r="GX413" s="195">
        <f t="shared" si="2794"/>
        <v>400</v>
      </c>
      <c r="GY413" s="56"/>
      <c r="HB413" s="55">
        <f t="shared" si="2795"/>
        <v>46374</v>
      </c>
      <c r="HC413" s="56"/>
      <c r="HD413" s="191">
        <f>SUMPRODUCT(PRODUCE!$B406:$DY406,PRODUCE!$EB$30:$IY$30)</f>
        <v>0</v>
      </c>
      <c r="HE413" s="56"/>
      <c r="HF413" s="191">
        <f t="shared" si="2796"/>
        <v>0</v>
      </c>
      <c r="HG413" s="191">
        <f t="shared" si="2797"/>
        <v>3600</v>
      </c>
      <c r="HH413" s="56"/>
      <c r="HK413" s="55">
        <f t="shared" si="2798"/>
        <v>46374</v>
      </c>
      <c r="HL413" s="56"/>
      <c r="HM413" s="63">
        <f>SUMPRODUCT(PRODUCE!$B406:$DY406,PRODUCE!$EB$31:$IY$31)</f>
        <v>0</v>
      </c>
      <c r="HN413" s="56"/>
      <c r="HO413" s="63">
        <f t="shared" si="2799"/>
        <v>0</v>
      </c>
      <c r="HP413" s="63">
        <f t="shared" si="2800"/>
        <v>0</v>
      </c>
      <c r="HQ413" s="56"/>
      <c r="HU413" s="55">
        <f t="shared" si="2801"/>
        <v>46374</v>
      </c>
      <c r="HV413" s="56"/>
      <c r="HW413" s="242">
        <f>SUMPRODUCT(PRODUCE!$B406:$DY406,PRODUCE!$EB$32:$IY$32)</f>
        <v>0</v>
      </c>
      <c r="HX413" s="56"/>
      <c r="HY413" s="242">
        <f t="shared" si="2802"/>
        <v>0</v>
      </c>
      <c r="HZ413" s="242">
        <f t="shared" si="2803"/>
        <v>6120</v>
      </c>
      <c r="IA413" s="56"/>
      <c r="ID413" s="55">
        <f t="shared" si="2804"/>
        <v>46374</v>
      </c>
      <c r="IE413" s="56"/>
      <c r="IF413" s="242">
        <f>SUMPRODUCT(PRODUCE!$B406:$DY406,PRODUCE!$EB$33:$IY$33)</f>
        <v>0</v>
      </c>
      <c r="IG413" s="56"/>
      <c r="IH413" s="242">
        <f t="shared" si="2805"/>
        <v>0</v>
      </c>
      <c r="II413" s="242">
        <f t="shared" si="2806"/>
        <v>0</v>
      </c>
      <c r="IJ413" s="56"/>
      <c r="IM413" s="55">
        <f t="shared" si="2807"/>
        <v>46374</v>
      </c>
      <c r="IN413" s="56"/>
      <c r="IO413" s="242">
        <f>SUMPRODUCT(PRODUCE!$B406:$DY406,PRODUCE!$EB$34:$IY$34)</f>
        <v>0</v>
      </c>
      <c r="IP413" s="56"/>
      <c r="IQ413" s="242">
        <f t="shared" si="2808"/>
        <v>0</v>
      </c>
      <c r="IR413" s="242">
        <f t="shared" si="2809"/>
        <v>0</v>
      </c>
      <c r="IS413" s="56"/>
      <c r="IV413" s="55">
        <f t="shared" si="2810"/>
        <v>46374</v>
      </c>
      <c r="IW413" s="56"/>
      <c r="IX413" s="242">
        <f>SUMPRODUCT(PRODUCE!$B406:$DY406,PRODUCE!$EB$35:$IY$35)</f>
        <v>0</v>
      </c>
      <c r="IY413" s="56"/>
      <c r="IZ413" s="242">
        <f t="shared" si="2811"/>
        <v>0</v>
      </c>
      <c r="JA413" s="242">
        <f t="shared" si="2812"/>
        <v>2820</v>
      </c>
      <c r="JB413" s="56"/>
      <c r="JE413" s="55">
        <f t="shared" si="2813"/>
        <v>46374</v>
      </c>
      <c r="JF413" s="56"/>
      <c r="JG413" s="242">
        <f>SUMPRODUCT(PRODUCE!$B406:$DY406,PRODUCE!$EB$36:$IY$36)</f>
        <v>0</v>
      </c>
      <c r="JH413" s="56"/>
      <c r="JI413" s="242">
        <f t="shared" si="2814"/>
        <v>0</v>
      </c>
      <c r="JJ413" s="242">
        <f t="shared" si="2815"/>
        <v>0</v>
      </c>
      <c r="JK413" s="56"/>
      <c r="JN413" s="55">
        <f t="shared" si="2816"/>
        <v>46374</v>
      </c>
      <c r="JO413" s="56"/>
      <c r="JP413" s="242">
        <f>SUMPRODUCT(PRODUCE!$B406:$DY406,PRODUCE!$EB$37:$IY$37)</f>
        <v>0</v>
      </c>
      <c r="JQ413" s="56"/>
      <c r="JR413" s="242">
        <f t="shared" si="2817"/>
        <v>0</v>
      </c>
      <c r="JS413" s="242">
        <f t="shared" si="2818"/>
        <v>0</v>
      </c>
      <c r="JT413" s="56"/>
      <c r="JW413" s="55">
        <f t="shared" si="2819"/>
        <v>46374</v>
      </c>
      <c r="JX413" s="56"/>
      <c r="JY413" s="242">
        <f>SUMPRODUCT(PRODUCE!$B406:$DY406,PRODUCE!$EB$38:$IY$38)</f>
        <v>0</v>
      </c>
      <c r="JZ413" s="56"/>
      <c r="KA413" s="242">
        <f t="shared" si="2820"/>
        <v>0</v>
      </c>
      <c r="KB413" s="242">
        <f t="shared" si="2821"/>
        <v>2540</v>
      </c>
      <c r="KC413" s="56"/>
      <c r="KF413" s="55">
        <f t="shared" si="2822"/>
        <v>46374</v>
      </c>
      <c r="KG413" s="56"/>
      <c r="KH413" s="242">
        <f>SUMPRODUCT(PRODUCE!$B406:$DY406,PRODUCE!$EB$39:$IY$39)</f>
        <v>0</v>
      </c>
      <c r="KI413" s="56"/>
      <c r="KJ413" s="242">
        <f t="shared" si="2823"/>
        <v>0</v>
      </c>
      <c r="KK413" s="242">
        <f t="shared" si="2824"/>
        <v>2359.5</v>
      </c>
      <c r="KL413" s="56"/>
      <c r="KO413" s="55">
        <f t="shared" si="2825"/>
        <v>46374</v>
      </c>
      <c r="KP413" s="56"/>
      <c r="KQ413" s="242">
        <f>SUMPRODUCT(PRODUCE!$B406:$DY406,PRODUCE!$EB$40:$IY$40)</f>
        <v>0</v>
      </c>
      <c r="KR413" s="56"/>
      <c r="KS413" s="242">
        <f t="shared" si="2826"/>
        <v>0</v>
      </c>
      <c r="KT413" s="242">
        <f t="shared" si="2827"/>
        <v>1890</v>
      </c>
      <c r="KU413" s="56"/>
      <c r="KW413" s="23"/>
      <c r="KX413" s="55">
        <f t="shared" si="2828"/>
        <v>46374</v>
      </c>
      <c r="KY413" s="56"/>
      <c r="KZ413" s="242">
        <f>SUMPRODUCT(PRODUCE!$B406:$DY406,PRODUCE!$EB$41:$IY$41)</f>
        <v>0</v>
      </c>
      <c r="LA413" s="56"/>
      <c r="LB413" s="242">
        <f t="shared" si="2829"/>
        <v>0</v>
      </c>
      <c r="LC413" s="242">
        <f t="shared" si="2830"/>
        <v>3690</v>
      </c>
      <c r="LD413" s="56"/>
      <c r="LG413" s="55">
        <f t="shared" si="2831"/>
        <v>46374</v>
      </c>
      <c r="LH413" s="56"/>
      <c r="LI413" s="242">
        <f>SUMPRODUCT(PRODUCE!$B406:$DY406,PRODUCE!$EB$42:$IY$42)</f>
        <v>0</v>
      </c>
      <c r="LJ413" s="56"/>
      <c r="LK413" s="242">
        <f t="shared" si="2832"/>
        <v>0</v>
      </c>
      <c r="LL413" s="242">
        <f t="shared" si="2833"/>
        <v>4000</v>
      </c>
      <c r="LM413" s="56"/>
      <c r="LP413" s="55">
        <f t="shared" si="2834"/>
        <v>46374</v>
      </c>
      <c r="LQ413" s="56"/>
      <c r="LR413" s="242">
        <f>SUMPRODUCT(PRODUCE!$B428:$DY428,PRODUCE!$EB$43:$IY$43)</f>
        <v>0</v>
      </c>
      <c r="LS413" s="56"/>
      <c r="LT413" s="242">
        <f t="shared" si="2835"/>
        <v>0</v>
      </c>
      <c r="LU413" s="242">
        <f t="shared" si="2836"/>
        <v>0</v>
      </c>
      <c r="LV413" s="56"/>
      <c r="LY413" s="55">
        <f t="shared" si="2837"/>
        <v>46374</v>
      </c>
      <c r="LZ413" s="56"/>
      <c r="MA413" s="242">
        <f>SUMPRODUCT(PRODUCE!$B406:$DY406,PRODUCE!$EB$44:$IY$44)</f>
        <v>0</v>
      </c>
      <c r="MB413" s="56"/>
      <c r="MC413" s="242">
        <f t="shared" si="2838"/>
        <v>0</v>
      </c>
      <c r="MD413" s="242">
        <f t="shared" si="2839"/>
        <v>0</v>
      </c>
      <c r="ME413" s="56"/>
      <c r="MH413" s="55">
        <f t="shared" si="2840"/>
        <v>46374</v>
      </c>
      <c r="MI413" s="56"/>
      <c r="MJ413" s="242">
        <f>SUMPRODUCT(PRODUCE!$B406:$DY406,PRODUCE!$EB$45:$IY$45)</f>
        <v>0</v>
      </c>
      <c r="MK413" s="56"/>
      <c r="ML413" s="242">
        <f t="shared" si="2841"/>
        <v>0</v>
      </c>
      <c r="MM413" s="242">
        <f t="shared" si="2842"/>
        <v>-18</v>
      </c>
      <c r="MN413" s="56"/>
      <c r="MQ413" s="55">
        <f t="shared" si="2843"/>
        <v>46374</v>
      </c>
      <c r="MR413" s="56"/>
      <c r="MS413" s="242">
        <f>SUMPRODUCT(PRODUCE!$B406:$DY406,PRODUCE!$EB$46:$IY$46)</f>
        <v>0</v>
      </c>
      <c r="MT413" s="56"/>
      <c r="MU413" s="242">
        <f t="shared" si="2844"/>
        <v>0</v>
      </c>
      <c r="MV413" s="242">
        <f t="shared" si="2845"/>
        <v>1559</v>
      </c>
      <c r="MW413" s="56"/>
      <c r="MZ413" s="55">
        <f t="shared" si="2846"/>
        <v>46374</v>
      </c>
      <c r="NA413" s="56"/>
      <c r="NB413" s="242">
        <f>SUMPRODUCT(PRODUCE!$B406:$DY406,PRODUCE!$EB$47:$IY$47)</f>
        <v>0</v>
      </c>
      <c r="NC413" s="56"/>
      <c r="ND413" s="242">
        <f t="shared" si="2847"/>
        <v>0</v>
      </c>
      <c r="NE413" s="242">
        <f t="shared" si="2848"/>
        <v>0</v>
      </c>
      <c r="NF413" s="56"/>
      <c r="NI413" s="55">
        <f t="shared" si="2849"/>
        <v>46374</v>
      </c>
      <c r="NJ413" s="56"/>
      <c r="NK413" s="242">
        <f>SUMPRODUCT(PRODUCE!$B406:$DY406,PRODUCE!$EB$48:$IY$48)</f>
        <v>0</v>
      </c>
      <c r="NL413" s="56"/>
      <c r="NM413" s="242">
        <f t="shared" si="2850"/>
        <v>0</v>
      </c>
      <c r="NN413" s="242">
        <f t="shared" si="2851"/>
        <v>1127</v>
      </c>
      <c r="NO413" s="56"/>
      <c r="NR413" s="55">
        <f t="shared" si="2852"/>
        <v>46374</v>
      </c>
      <c r="NS413" s="56"/>
      <c r="NT413" s="242">
        <f>SUMPRODUCT(PRODUCE!$B406:$DY406,PRODUCE!$EB$49:$IY$49)</f>
        <v>0</v>
      </c>
      <c r="NU413" s="56"/>
      <c r="NV413" s="242">
        <f t="shared" si="2853"/>
        <v>0</v>
      </c>
      <c r="NW413" s="242">
        <f t="shared" si="2854"/>
        <v>3111.9999999999995</v>
      </c>
      <c r="NX413" s="56"/>
      <c r="OA413" s="55">
        <f t="shared" si="2855"/>
        <v>46374</v>
      </c>
      <c r="OB413" s="56"/>
      <c r="OC413" s="242">
        <f>SUMPRODUCT(PRODUCE!$B406:$DY406,PRODUCE!$EB$50:$IY$50)</f>
        <v>0</v>
      </c>
      <c r="OD413" s="56"/>
      <c r="OE413" s="242">
        <f t="shared" si="2856"/>
        <v>0</v>
      </c>
      <c r="OF413" s="242">
        <f t="shared" si="2857"/>
        <v>1680.5</v>
      </c>
      <c r="OG413" s="56"/>
      <c r="OJ413" s="55">
        <f t="shared" si="2858"/>
        <v>46374</v>
      </c>
      <c r="OK413" s="56"/>
      <c r="OL413" s="242">
        <f>SUMPRODUCT(PRODUCE!$B406:$DY406,PRODUCE!$EB$51:$IY$51)</f>
        <v>0</v>
      </c>
      <c r="OM413" s="56"/>
      <c r="ON413" s="242">
        <f t="shared" si="2859"/>
        <v>0</v>
      </c>
      <c r="OO413" s="242">
        <f t="shared" si="2860"/>
        <v>0</v>
      </c>
      <c r="OP413" s="56"/>
      <c r="OS413" s="55">
        <f t="shared" si="2861"/>
        <v>46374</v>
      </c>
      <c r="OT413" s="56"/>
      <c r="OU413" s="242">
        <f>SUMPRODUCT(PRODUCE!$B406:$DY406,PRODUCE!$EB$52:$IY$52)</f>
        <v>0</v>
      </c>
      <c r="OV413" s="56"/>
      <c r="OW413" s="242">
        <f t="shared" si="2862"/>
        <v>0</v>
      </c>
      <c r="OX413" s="242">
        <f t="shared" si="2863"/>
        <v>1482</v>
      </c>
      <c r="OY413" s="56"/>
      <c r="PB413" s="55">
        <f t="shared" si="2864"/>
        <v>46374</v>
      </c>
      <c r="PC413" s="56"/>
      <c r="PD413" s="242">
        <f>SUMPRODUCT(PRODUCE!$B406:$DY406,PRODUCE!$EB$53:$IY$53)</f>
        <v>0</v>
      </c>
      <c r="PE413" s="56"/>
      <c r="PF413" s="242">
        <f t="shared" si="2865"/>
        <v>0</v>
      </c>
      <c r="PG413" s="242">
        <f t="shared" si="2866"/>
        <v>0</v>
      </c>
      <c r="PH413" s="56"/>
      <c r="PK413" s="55">
        <f t="shared" si="2867"/>
        <v>46374</v>
      </c>
      <c r="PL413" s="56"/>
      <c r="PM413" s="242">
        <f>SUMPRODUCT(PRODUCE!$B406:$DY406,PRODUCE!$EB$54:$IY$54)</f>
        <v>0</v>
      </c>
      <c r="PN413" s="56"/>
      <c r="PO413" s="242">
        <f t="shared" si="2868"/>
        <v>0</v>
      </c>
      <c r="PP413" s="242">
        <f t="shared" si="2869"/>
        <v>100</v>
      </c>
      <c r="PQ413" s="56"/>
      <c r="PT413" s="55">
        <f t="shared" si="2870"/>
        <v>46374</v>
      </c>
      <c r="PU413" s="56"/>
      <c r="PV413" s="242">
        <f>SUMPRODUCT(PRODUCE!$B406:$DY406,PRODUCE!$EB$55:$IY$55)</f>
        <v>0</v>
      </c>
      <c r="PW413" s="56"/>
      <c r="PX413" s="242">
        <f t="shared" si="2871"/>
        <v>0</v>
      </c>
      <c r="PY413" s="242">
        <f t="shared" si="2872"/>
        <v>13.960000000000036</v>
      </c>
      <c r="PZ413" s="56"/>
      <c r="QC413" s="55">
        <f t="shared" si="2873"/>
        <v>46374</v>
      </c>
      <c r="QD413" s="56"/>
      <c r="QE413" s="242">
        <f>SUMPRODUCT(PRODUCE!$B406:$DY406,PRODUCE!$EB$56:$IY$56)</f>
        <v>0</v>
      </c>
      <c r="QF413" s="56"/>
      <c r="QG413" s="242">
        <f t="shared" si="2874"/>
        <v>0</v>
      </c>
      <c r="QH413" s="242">
        <f t="shared" si="2875"/>
        <v>548</v>
      </c>
      <c r="QI413" s="56"/>
      <c r="QL413" s="55">
        <f t="shared" si="2876"/>
        <v>46374</v>
      </c>
      <c r="QM413" s="56"/>
      <c r="QN413" s="242">
        <f>SUMPRODUCT(PRODUCE!$B406:$DY406,PRODUCE!$EB$57:$IY$57)</f>
        <v>0</v>
      </c>
      <c r="QO413" s="56"/>
      <c r="QP413" s="242">
        <f t="shared" si="2877"/>
        <v>0</v>
      </c>
      <c r="QQ413" s="242">
        <f t="shared" si="2878"/>
        <v>0</v>
      </c>
      <c r="QR413" s="56"/>
      <c r="QU413" s="55">
        <f t="shared" si="2879"/>
        <v>46374</v>
      </c>
      <c r="QV413" s="56"/>
      <c r="QW413" s="242">
        <f>SUMPRODUCT(PRODUCE!$B406:$DY406,PRODUCE!$EB$57:$IY$57)</f>
        <v>0</v>
      </c>
      <c r="QX413" s="56"/>
      <c r="QY413" s="242">
        <f t="shared" si="2880"/>
        <v>0</v>
      </c>
      <c r="QZ413" s="242">
        <f t="shared" si="2881"/>
        <v>0</v>
      </c>
      <c r="RA413" s="56"/>
      <c r="RD413" s="55">
        <f t="shared" si="2882"/>
        <v>46374</v>
      </c>
      <c r="RE413" s="56"/>
      <c r="RF413" s="242">
        <f>SUMPRODUCT(PRODUCE!$B406:$DY406,PRODUCE!$EB$58:$IY$58)</f>
        <v>0</v>
      </c>
      <c r="RG413" s="56"/>
      <c r="RH413" s="242">
        <f t="shared" si="2883"/>
        <v>0</v>
      </c>
      <c r="RI413" s="242">
        <f t="shared" si="2884"/>
        <v>147.04000000000002</v>
      </c>
      <c r="RJ413" s="56"/>
      <c r="RM413" s="55">
        <f t="shared" si="2885"/>
        <v>46374</v>
      </c>
      <c r="RN413" s="56"/>
      <c r="RO413" s="242">
        <f>SUMPRODUCT(PRODUCE!$B406:$DY406,PRODUCE!$EB$57:$IY$57)</f>
        <v>0</v>
      </c>
      <c r="RP413" s="56"/>
      <c r="RQ413" s="242">
        <f t="shared" si="2886"/>
        <v>0</v>
      </c>
      <c r="RR413" s="242">
        <f t="shared" si="2887"/>
        <v>46.8</v>
      </c>
      <c r="RS413" s="56"/>
      <c r="RV413" s="55">
        <f t="shared" si="2888"/>
        <v>46374</v>
      </c>
      <c r="RW413" s="56"/>
      <c r="RX413" s="242">
        <f>SUMPRODUCT(PRODUCE!$B406:$DY406,PRODUCE!$EB$57:$IY$57)</f>
        <v>0</v>
      </c>
      <c r="RY413" s="56"/>
      <c r="RZ413" s="242">
        <f t="shared" si="2889"/>
        <v>0</v>
      </c>
      <c r="SA413" s="242">
        <f t="shared" si="2890"/>
        <v>0</v>
      </c>
      <c r="SB413" s="56"/>
      <c r="SE413" s="55">
        <f t="shared" si="2891"/>
        <v>46374</v>
      </c>
      <c r="SF413" s="56"/>
      <c r="SG413" s="242">
        <f>SUMPRODUCT(PRODUCE!$B406:$DY406,PRODUCE!$EB$61:$IY$61)</f>
        <v>0</v>
      </c>
      <c r="SH413" s="56"/>
      <c r="SI413" s="242">
        <f t="shared" si="2892"/>
        <v>0</v>
      </c>
      <c r="SJ413" s="242">
        <f t="shared" si="2893"/>
        <v>24.200000000000003</v>
      </c>
      <c r="SK413" s="56"/>
      <c r="SN413" s="55">
        <f t="shared" si="2894"/>
        <v>46374</v>
      </c>
      <c r="SO413" s="56"/>
      <c r="SP413" s="242">
        <f>SUMPRODUCT(PRODUCE!$B406:$DY406,PRODUCE!$EB$57:$IY$57)</f>
        <v>0</v>
      </c>
      <c r="SQ413" s="56"/>
      <c r="SR413" s="242">
        <f t="shared" si="2895"/>
        <v>0</v>
      </c>
      <c r="SS413" s="242">
        <f t="shared" si="2896"/>
        <v>32</v>
      </c>
      <c r="ST413" s="56"/>
      <c r="SW413" s="55">
        <f t="shared" si="2897"/>
        <v>46374</v>
      </c>
      <c r="SX413" s="56"/>
      <c r="SY413" s="242">
        <f>SUMPRODUCT(PRODUCE!$B406:$DY406,PRODUCE!$EB$57:$IY$57)</f>
        <v>0</v>
      </c>
      <c r="SZ413" s="56"/>
      <c r="TA413" s="242">
        <f t="shared" si="2898"/>
        <v>0</v>
      </c>
      <c r="TB413" s="242">
        <f t="shared" si="2899"/>
        <v>0</v>
      </c>
      <c r="TC413" s="56"/>
      <c r="TF413" s="55">
        <f t="shared" si="2900"/>
        <v>46374</v>
      </c>
      <c r="TG413" s="56"/>
      <c r="TH413" s="242">
        <f>SUMPRODUCT(PRODUCE!$B406:$DY406,PRODUCE!$EB$57:$IY$57)</f>
        <v>0</v>
      </c>
      <c r="TI413" s="56"/>
      <c r="TJ413" s="242">
        <f t="shared" si="2901"/>
        <v>0</v>
      </c>
      <c r="TK413" s="242">
        <f t="shared" si="2902"/>
        <v>0</v>
      </c>
      <c r="TL413" s="56"/>
      <c r="TO413" s="55">
        <f t="shared" si="2903"/>
        <v>46374</v>
      </c>
      <c r="TP413" s="56"/>
      <c r="TQ413" s="242">
        <f>SUMPRODUCT(PRODUCE!$B406:$DY406,PRODUCE!$EB$57:$IY$57)</f>
        <v>0</v>
      </c>
      <c r="TR413" s="56"/>
      <c r="TS413" s="242">
        <f t="shared" si="2904"/>
        <v>0</v>
      </c>
      <c r="TT413" s="242">
        <f t="shared" si="2905"/>
        <v>0</v>
      </c>
      <c r="TU413" s="56"/>
      <c r="TX413" s="55">
        <f t="shared" si="2906"/>
        <v>46374</v>
      </c>
      <c r="TY413" s="56"/>
      <c r="TZ413" s="242">
        <f>SUMPRODUCT(PRODUCE!$B406:$DY406,PRODUCE!$EB$57:$IY$57)</f>
        <v>0</v>
      </c>
      <c r="UA413" s="56"/>
      <c r="UB413" s="242">
        <f t="shared" si="2907"/>
        <v>0</v>
      </c>
      <c r="UC413" s="242">
        <f t="shared" si="2908"/>
        <v>46.799999999999983</v>
      </c>
      <c r="UD413" s="56"/>
      <c r="UG413" s="55">
        <f t="shared" si="2909"/>
        <v>46374</v>
      </c>
      <c r="UH413" s="56"/>
      <c r="UI413" s="242">
        <f>SUMPRODUCT(PRODUCE!$B406:$DY406,PRODUCE!$EB$57:$IY$57)</f>
        <v>0</v>
      </c>
      <c r="UJ413" s="56"/>
      <c r="UK413" s="242">
        <f t="shared" si="2910"/>
        <v>0</v>
      </c>
      <c r="UL413" s="242">
        <f t="shared" si="2911"/>
        <v>204</v>
      </c>
      <c r="UM413" s="56"/>
      <c r="UP413" s="55">
        <f t="shared" si="2912"/>
        <v>46374</v>
      </c>
      <c r="UQ413" s="56"/>
      <c r="UR413" s="242">
        <f>SUMPRODUCT(PRODUCE!$B406:$DY406,PRODUCE!$EB$57:$IY$57)</f>
        <v>0</v>
      </c>
      <c r="US413" s="56"/>
      <c r="UT413" s="242">
        <f t="shared" si="2913"/>
        <v>0</v>
      </c>
      <c r="UU413" s="242">
        <f t="shared" si="2914"/>
        <v>202.5</v>
      </c>
      <c r="UV413" s="56"/>
      <c r="UY413" s="55">
        <f t="shared" si="2915"/>
        <v>46374</v>
      </c>
      <c r="UZ413" s="56"/>
      <c r="VA413" s="242">
        <f>SUMPRODUCT(PRODUCE!$B406:$DY406,PRODUCE!$EB$57:$IY$57)</f>
        <v>0</v>
      </c>
      <c r="VB413" s="56"/>
      <c r="VC413" s="242">
        <f t="shared" si="2916"/>
        <v>0</v>
      </c>
      <c r="VD413" s="242">
        <f t="shared" si="2917"/>
        <v>41.600000000000023</v>
      </c>
      <c r="VE413" s="56"/>
      <c r="VH413" s="55">
        <f t="shared" si="2918"/>
        <v>46374</v>
      </c>
      <c r="VI413" s="56"/>
      <c r="VJ413" s="242">
        <f>SUMPRODUCT(PRODUCE!$B406:$DY406,PRODUCE!$EB$57:$IY$57)</f>
        <v>0</v>
      </c>
      <c r="VK413" s="56"/>
      <c r="VL413" s="242">
        <f t="shared" si="2919"/>
        <v>0</v>
      </c>
      <c r="VM413" s="242">
        <f t="shared" si="2920"/>
        <v>210</v>
      </c>
      <c r="VN413" s="56"/>
      <c r="VQ413" s="55">
        <f t="shared" si="2921"/>
        <v>46374</v>
      </c>
      <c r="VR413" s="56"/>
      <c r="VS413" s="242">
        <f>SUMPRODUCT(PRODUCE!$B406:$DY406,PRODUCE!$EB$57:$IY$57)</f>
        <v>0</v>
      </c>
      <c r="VT413" s="56"/>
      <c r="VU413" s="242">
        <f t="shared" si="2922"/>
        <v>0</v>
      </c>
      <c r="VV413" s="242">
        <f t="shared" si="2923"/>
        <v>0</v>
      </c>
      <c r="VW413" s="56"/>
      <c r="VZ413" s="55">
        <f t="shared" si="2924"/>
        <v>46374</v>
      </c>
      <c r="WA413" s="56"/>
      <c r="WB413" s="242">
        <f>SUMPRODUCT(PRODUCE!$B406:$DY406,PRODUCE!$EB$57:$IY$57)</f>
        <v>0</v>
      </c>
      <c r="WC413" s="56"/>
      <c r="WD413" s="242">
        <f t="shared" si="2925"/>
        <v>0</v>
      </c>
      <c r="WE413" s="242">
        <f t="shared" si="2926"/>
        <v>0</v>
      </c>
      <c r="WF413" s="56"/>
      <c r="WI413" s="55">
        <f t="shared" si="2927"/>
        <v>46374</v>
      </c>
      <c r="WJ413" s="56"/>
      <c r="WK413" s="242">
        <f>SUMPRODUCT(PRODUCE!$B406:$DY406,PRODUCE!$EB$57:$IY$57)</f>
        <v>0</v>
      </c>
      <c r="WL413" s="56"/>
      <c r="WM413" s="242">
        <f t="shared" si="2928"/>
        <v>0</v>
      </c>
      <c r="WN413" s="242">
        <f t="shared" si="2929"/>
        <v>1057</v>
      </c>
      <c r="WO413" s="56"/>
      <c r="WR413" s="55">
        <f t="shared" si="2930"/>
        <v>46374</v>
      </c>
      <c r="WS413" s="56"/>
      <c r="WT413" s="242">
        <f>SUMPRODUCT(PRODUCE!$B406:$DY406,PRODUCE!$EB$57:$IY$57)</f>
        <v>0</v>
      </c>
      <c r="WU413" s="56"/>
      <c r="WV413" s="242">
        <f t="shared" si="2931"/>
        <v>0</v>
      </c>
      <c r="WW413" s="242">
        <f t="shared" si="2932"/>
        <v>0</v>
      </c>
      <c r="WX413" s="56"/>
      <c r="XA413" s="55">
        <f t="shared" si="2933"/>
        <v>46374</v>
      </c>
      <c r="XB413" s="56"/>
      <c r="XC413" s="242">
        <f>SUMPRODUCT(PRODUCE!$B406:$DY406,PRODUCE!$EB$57:$IY$57)</f>
        <v>0</v>
      </c>
      <c r="XD413" s="56"/>
      <c r="XE413" s="242">
        <f t="shared" si="2934"/>
        <v>0</v>
      </c>
      <c r="XF413" s="242">
        <f t="shared" si="2935"/>
        <v>7507</v>
      </c>
      <c r="XG413" s="56"/>
      <c r="XJ413" s="55">
        <f t="shared" si="2936"/>
        <v>46374</v>
      </c>
      <c r="XK413" s="56"/>
      <c r="XL413" s="242">
        <f>SUMPRODUCT(PRODUCE!$B406:$DY406,PRODUCE!$EB$57:$IY$57)</f>
        <v>0</v>
      </c>
      <c r="XM413" s="56"/>
      <c r="XN413" s="242">
        <f t="shared" si="2937"/>
        <v>0</v>
      </c>
      <c r="XO413" s="242">
        <f t="shared" si="2938"/>
        <v>4252</v>
      </c>
      <c r="XP413" s="56"/>
      <c r="XS413" s="55">
        <f t="shared" si="2939"/>
        <v>46374</v>
      </c>
      <c r="XT413" s="56"/>
      <c r="XU413" s="242">
        <f>SUMPRODUCT(PRODUCE!$B406:$DY406,PRODUCE!$EB$57:$IY$57)</f>
        <v>0</v>
      </c>
      <c r="XV413" s="56"/>
      <c r="XW413" s="242">
        <f t="shared" si="2940"/>
        <v>0</v>
      </c>
      <c r="XX413" s="242">
        <f t="shared" si="2941"/>
        <v>2179</v>
      </c>
      <c r="XY413" s="56"/>
      <c r="YB413" s="55">
        <f t="shared" si="2942"/>
        <v>46374</v>
      </c>
      <c r="YC413" s="56"/>
      <c r="YD413" s="242">
        <f>SUMPRODUCT(PRODUCE!$B406:$DY406,PRODUCE!$EB$57:$IY$57)</f>
        <v>0</v>
      </c>
      <c r="YE413" s="56"/>
      <c r="YF413" s="242">
        <f t="shared" si="2943"/>
        <v>0</v>
      </c>
      <c r="YG413" s="242">
        <f t="shared" si="2944"/>
        <v>4019</v>
      </c>
      <c r="YH413" s="56"/>
      <c r="YK413" s="55">
        <f t="shared" si="2945"/>
        <v>46374</v>
      </c>
      <c r="YL413" s="56"/>
      <c r="YM413" s="242">
        <f>SUMPRODUCT(PRODUCE!$B406:$DY406,PRODUCE!$EB$57:$IY$57)</f>
        <v>0</v>
      </c>
      <c r="YN413" s="56"/>
      <c r="YO413" s="242">
        <f t="shared" si="2946"/>
        <v>0</v>
      </c>
      <c r="YP413" s="242">
        <f t="shared" si="2947"/>
        <v>-218</v>
      </c>
      <c r="YQ413" s="56"/>
      <c r="YT413" s="55">
        <f t="shared" si="2948"/>
        <v>46374</v>
      </c>
      <c r="YU413" s="56"/>
      <c r="YV413" s="242">
        <f>SUMPRODUCT(PRODUCE!$B406:$DY406,PRODUCE!$EB$57:$IY$57)</f>
        <v>0</v>
      </c>
      <c r="YW413" s="56"/>
      <c r="YX413" s="242">
        <f t="shared" si="2949"/>
        <v>0</v>
      </c>
      <c r="YY413" s="242">
        <f t="shared" si="2950"/>
        <v>0</v>
      </c>
      <c r="YZ413" s="56"/>
      <c r="ZC413" s="55">
        <f t="shared" si="2951"/>
        <v>46374</v>
      </c>
      <c r="ZD413" s="56"/>
      <c r="ZE413" s="242">
        <f>SUMPRODUCT(PRODUCE!$B406:$DY406,PRODUCE!$EB$57:$IY$57)</f>
        <v>0</v>
      </c>
      <c r="ZF413" s="56"/>
      <c r="ZG413" s="242">
        <f t="shared" si="2952"/>
        <v>0</v>
      </c>
      <c r="ZH413" s="242">
        <f t="shared" si="2953"/>
        <v>0</v>
      </c>
      <c r="ZI413" s="56"/>
      <c r="ZL413" s="55">
        <f t="shared" si="2954"/>
        <v>46374</v>
      </c>
      <c r="ZM413" s="56"/>
      <c r="ZN413" s="242">
        <f>SUMPRODUCT(PRODUCE!$B406:$DY406,PRODUCE!$EB$57:$IY$57)</f>
        <v>0</v>
      </c>
      <c r="ZO413" s="56"/>
      <c r="ZP413" s="242">
        <f t="shared" si="2955"/>
        <v>0</v>
      </c>
      <c r="ZQ413" s="242">
        <f t="shared" si="2956"/>
        <v>0</v>
      </c>
      <c r="ZR413" s="56"/>
      <c r="ZU413" s="55">
        <f t="shared" si="2957"/>
        <v>46374</v>
      </c>
      <c r="ZV413" s="56"/>
      <c r="ZW413" s="242">
        <f>SUMPRODUCT(PRODUCE!$B406:$DY406,PRODUCE!$EB$57:$IY$57)</f>
        <v>0</v>
      </c>
      <c r="ZX413" s="56"/>
      <c r="ZY413" s="242">
        <f t="shared" si="2958"/>
        <v>0</v>
      </c>
      <c r="ZZ413" s="242">
        <f t="shared" si="2959"/>
        <v>0</v>
      </c>
      <c r="AAA413" s="56"/>
      <c r="AAD413" s="55">
        <f t="shared" si="2960"/>
        <v>46374</v>
      </c>
      <c r="AAE413" s="56"/>
      <c r="AAF413" s="242">
        <f>SUMPRODUCT(PRODUCE!$B406:$DY406,PRODUCE!$EB$57:$IY$57)</f>
        <v>0</v>
      </c>
      <c r="AAG413" s="56"/>
      <c r="AAH413" s="242">
        <f t="shared" si="2961"/>
        <v>0</v>
      </c>
      <c r="AAI413" s="242">
        <f t="shared" si="2962"/>
        <v>0</v>
      </c>
      <c r="AAJ413" s="56"/>
      <c r="AAM413" s="55">
        <f t="shared" si="2963"/>
        <v>46374</v>
      </c>
      <c r="AAN413" s="56"/>
      <c r="AAO413" s="242">
        <f>SUMPRODUCT(PRODUCE!$B406:$DY406,PRODUCE!$EB$57:$IY$57)</f>
        <v>0</v>
      </c>
      <c r="AAP413" s="56"/>
      <c r="AAQ413" s="242">
        <f t="shared" si="2964"/>
        <v>0</v>
      </c>
      <c r="AAR413" s="242">
        <f t="shared" si="2965"/>
        <v>0</v>
      </c>
      <c r="AAS413" s="56"/>
      <c r="AAV413" s="55">
        <f t="shared" si="2966"/>
        <v>46374</v>
      </c>
      <c r="AAW413" s="56"/>
      <c r="AAX413" s="242">
        <f>SUMPRODUCT(PRODUCE!$B406:$DY406,PRODUCE!$EB$57:$IY$57)</f>
        <v>0</v>
      </c>
      <c r="AAY413" s="56"/>
      <c r="AAZ413" s="242">
        <f t="shared" si="2967"/>
        <v>0</v>
      </c>
      <c r="ABA413" s="242">
        <f t="shared" si="2968"/>
        <v>0</v>
      </c>
      <c r="ABB413" s="56"/>
      <c r="ABE413" s="55">
        <f t="shared" si="2969"/>
        <v>46374</v>
      </c>
      <c r="ABF413" s="56"/>
      <c r="ABG413" s="242">
        <f>SUMPRODUCT(PRODUCE!$B406:$DY406,PRODUCE!$EB$57:$IY$57)</f>
        <v>0</v>
      </c>
      <c r="ABH413" s="56"/>
      <c r="ABI413" s="242">
        <f t="shared" si="2970"/>
        <v>0</v>
      </c>
      <c r="ABJ413" s="242">
        <f t="shared" si="2971"/>
        <v>0</v>
      </c>
      <c r="ABK413" s="56"/>
    </row>
    <row r="414" spans="2:739" s="54" customFormat="1" ht="15" customHeight="1" outlineLevel="1">
      <c r="B414" s="478"/>
      <c r="C414" s="55">
        <v>46375</v>
      </c>
      <c r="D414" s="56"/>
      <c r="E414" s="57">
        <f>SUMPRODUCT(PRODUCE!$B407:$DY407,PRODUCE!$EB$7:$IY$7)</f>
        <v>0</v>
      </c>
      <c r="F414" s="56"/>
      <c r="G414" s="57">
        <f t="shared" si="2727"/>
        <v>0</v>
      </c>
      <c r="H414" s="57">
        <f t="shared" si="2728"/>
        <v>236936.6</v>
      </c>
      <c r="I414" s="289"/>
      <c r="L414" s="55">
        <f t="shared" si="2729"/>
        <v>46375</v>
      </c>
      <c r="M414" s="56"/>
      <c r="N414" s="59">
        <f>SUMPRODUCT(PRODUCE!$B407:$DY407,PRODUCE!$EB$8:$IY$8)</f>
        <v>0</v>
      </c>
      <c r="O414" s="56"/>
      <c r="P414" s="59">
        <f t="shared" si="2730"/>
        <v>0</v>
      </c>
      <c r="Q414" s="59">
        <f t="shared" si="2731"/>
        <v>53017.600000000071</v>
      </c>
      <c r="R414" s="56"/>
      <c r="U414" s="55">
        <f t="shared" si="2732"/>
        <v>46375</v>
      </c>
      <c r="V414" s="56"/>
      <c r="W414" s="60">
        <f>SUMPRODUCT(PRODUCE!$B407:$DY407,PRODUCE!$EB$9:$IY$9)</f>
        <v>0</v>
      </c>
      <c r="X414" s="56"/>
      <c r="Y414" s="60">
        <f t="shared" si="2733"/>
        <v>0</v>
      </c>
      <c r="Z414" s="60">
        <f t="shared" si="2734"/>
        <v>42674.199999999968</v>
      </c>
      <c r="AA414" s="56"/>
      <c r="AD414" s="55">
        <f t="shared" si="2735"/>
        <v>46375</v>
      </c>
      <c r="AE414" s="56"/>
      <c r="AF414" s="61">
        <f>SUMPRODUCT(PRODUCE!$B407:$DY407,PRODUCE!$EB$10:$IY$10)</f>
        <v>0</v>
      </c>
      <c r="AG414" s="56"/>
      <c r="AH414" s="61">
        <f t="shared" si="2736"/>
        <v>0</v>
      </c>
      <c r="AI414" s="61">
        <f t="shared" si="2737"/>
        <v>4522.2000000000189</v>
      </c>
      <c r="AJ414" s="56"/>
      <c r="AM414" s="55">
        <f t="shared" si="2738"/>
        <v>46375</v>
      </c>
      <c r="AN414" s="422"/>
      <c r="AO414" s="444">
        <f>SUMPRODUCT(PRODUCE!$B407:$DY407,PRODUCE!$EB$11:$IY$11)</f>
        <v>0</v>
      </c>
      <c r="AP414" s="422"/>
      <c r="AQ414" s="444">
        <f t="shared" si="2739"/>
        <v>0</v>
      </c>
      <c r="AR414" s="444">
        <f t="shared" si="2740"/>
        <v>0</v>
      </c>
      <c r="AS414" s="56"/>
      <c r="AV414" s="55">
        <f t="shared" si="2741"/>
        <v>46375</v>
      </c>
      <c r="AW414" s="56"/>
      <c r="AX414" s="62">
        <f>SUMPRODUCT(PRODUCE!$B407:$DY407,PRODUCE!$EB$12:$IY$12)</f>
        <v>0</v>
      </c>
      <c r="AY414" s="56"/>
      <c r="AZ414" s="62">
        <f t="shared" si="2742"/>
        <v>0</v>
      </c>
      <c r="BA414" s="62">
        <f t="shared" si="2743"/>
        <v>124.99999999999523</v>
      </c>
      <c r="BB414" s="56"/>
      <c r="BE414" s="55">
        <f t="shared" si="2744"/>
        <v>46375</v>
      </c>
      <c r="BF414" s="56"/>
      <c r="BG414" s="63">
        <f>SUMPRODUCT(PRODUCE!$B407:$DY407,PRODUCE!$EB$13:$IY$13)</f>
        <v>0</v>
      </c>
      <c r="BH414" s="56"/>
      <c r="BI414" s="63">
        <f t="shared" si="2745"/>
        <v>0</v>
      </c>
      <c r="BJ414" s="63">
        <f t="shared" si="2746"/>
        <v>26151.899999999998</v>
      </c>
      <c r="BK414" s="56"/>
      <c r="BN414" s="55">
        <f t="shared" si="2747"/>
        <v>46375</v>
      </c>
      <c r="BO414" s="56"/>
      <c r="BP414" s="64">
        <f>SUMPRODUCT(PRODUCE!$B407:$DY407,PRODUCE!$EB$14:$IY$14)</f>
        <v>0</v>
      </c>
      <c r="BQ414" s="56"/>
      <c r="BR414" s="64">
        <f t="shared" si="2748"/>
        <v>0</v>
      </c>
      <c r="BS414" s="64">
        <f t="shared" si="2749"/>
        <v>0</v>
      </c>
      <c r="BT414" s="56"/>
      <c r="BW414" s="55">
        <f t="shared" si="2750"/>
        <v>46375</v>
      </c>
      <c r="BX414" s="56"/>
      <c r="BY414" s="65">
        <f>SUMPRODUCT(PRODUCE!$B407:$DY407,PRODUCE!$EB$15:$IY$15)</f>
        <v>0</v>
      </c>
      <c r="BZ414" s="56"/>
      <c r="CA414" s="65">
        <f t="shared" si="2751"/>
        <v>0</v>
      </c>
      <c r="CB414" s="65">
        <f t="shared" si="2752"/>
        <v>2097.3399999999992</v>
      </c>
      <c r="CC414" s="56"/>
      <c r="CF414" s="55">
        <f t="shared" si="2753"/>
        <v>46375</v>
      </c>
      <c r="CG414" s="56"/>
      <c r="CH414" s="66">
        <f>SUMPRODUCT(PRODUCE!$B407:$DY407,PRODUCE!$EB$16:$IY$16)</f>
        <v>0</v>
      </c>
      <c r="CI414" s="56"/>
      <c r="CJ414" s="66">
        <f t="shared" si="2754"/>
        <v>0</v>
      </c>
      <c r="CK414" s="66">
        <f t="shared" si="2755"/>
        <v>-10277.079999999998</v>
      </c>
      <c r="CL414" s="56"/>
      <c r="CO414" s="55">
        <f t="shared" si="2756"/>
        <v>46375</v>
      </c>
      <c r="CP414" s="422"/>
      <c r="CQ414" s="470">
        <f>SUMPRODUCT(PRODUCE!$B407:$DY407,PRODUCE!$EB$17:$IY$17)</f>
        <v>0</v>
      </c>
      <c r="CR414" s="422"/>
      <c r="CS414" s="470">
        <f t="shared" si="2757"/>
        <v>0</v>
      </c>
      <c r="CT414" s="470">
        <f t="shared" si="2758"/>
        <v>0</v>
      </c>
      <c r="CU414" s="56"/>
      <c r="CX414" s="55">
        <f t="shared" si="2759"/>
        <v>46375</v>
      </c>
      <c r="CY414" s="56"/>
      <c r="CZ414" s="133">
        <f>SUMPRODUCT(PRODUCE!$B407:$DY407,PRODUCE!$EB$18:$IY$18)</f>
        <v>0</v>
      </c>
      <c r="DA414" s="56"/>
      <c r="DB414" s="133">
        <f t="shared" si="2760"/>
        <v>0</v>
      </c>
      <c r="DC414" s="133">
        <f t="shared" si="2761"/>
        <v>27438.200000000012</v>
      </c>
      <c r="DD414" s="56"/>
      <c r="DG414" s="55">
        <f t="shared" si="2762"/>
        <v>46375</v>
      </c>
      <c r="DH414" s="56"/>
      <c r="DI414" s="147">
        <f>SUMPRODUCT(PRODUCE!$B407:$DY407,PRODUCE!$EB$19:$IY$19)</f>
        <v>0</v>
      </c>
      <c r="DJ414" s="56"/>
      <c r="DK414" s="147">
        <f t="shared" si="2763"/>
        <v>0</v>
      </c>
      <c r="DL414" s="147">
        <f t="shared" si="2764"/>
        <v>18782.299999999981</v>
      </c>
      <c r="DM414" s="56"/>
      <c r="DP414" s="55">
        <f t="shared" si="2765"/>
        <v>46375</v>
      </c>
      <c r="DQ414" s="56"/>
      <c r="DR414" s="57">
        <f>SUMPRODUCT(PRODUCE!$B407:$DY407,PRODUCE!$EB$20:$IY$20)</f>
        <v>0</v>
      </c>
      <c r="DS414" s="56"/>
      <c r="DT414" s="57">
        <f t="shared" si="2766"/>
        <v>0</v>
      </c>
      <c r="DU414" s="57">
        <f t="shared" si="2767"/>
        <v>5800</v>
      </c>
      <c r="DV414" s="56"/>
      <c r="DY414" s="55">
        <f t="shared" si="2768"/>
        <v>46375</v>
      </c>
      <c r="DZ414" s="56"/>
      <c r="EA414" s="157">
        <f>SUMPRODUCT(PRODUCE!$B407:$DY407,PRODUCE!$EB$21:$IY$21)</f>
        <v>0</v>
      </c>
      <c r="EB414" s="56"/>
      <c r="EC414" s="157">
        <f t="shared" si="2769"/>
        <v>0</v>
      </c>
      <c r="ED414" s="157">
        <f t="shared" si="2770"/>
        <v>0</v>
      </c>
      <c r="EE414" s="56"/>
      <c r="EH414" s="55">
        <f t="shared" si="2771"/>
        <v>46375</v>
      </c>
      <c r="EI414" s="56"/>
      <c r="EJ414" s="162">
        <f>SUMPRODUCT(PRODUCE!$B407:$DY407,PRODUCE!$EB$22:$IY$22)</f>
        <v>0</v>
      </c>
      <c r="EK414" s="56"/>
      <c r="EL414" s="162">
        <f t="shared" si="2772"/>
        <v>0</v>
      </c>
      <c r="EM414" s="162">
        <f t="shared" si="2773"/>
        <v>0</v>
      </c>
      <c r="EN414" s="56"/>
      <c r="EQ414" s="55">
        <f t="shared" si="2774"/>
        <v>46375</v>
      </c>
      <c r="ER414" s="56"/>
      <c r="ES414" s="135">
        <f>SUMPRODUCT(PRODUCE!$B407:$DY407,PRODUCE!$EB$23:$IY$23)</f>
        <v>0</v>
      </c>
      <c r="ET414" s="56"/>
      <c r="EU414" s="135">
        <f t="shared" si="2775"/>
        <v>0</v>
      </c>
      <c r="EV414" s="135">
        <f t="shared" si="2776"/>
        <v>0</v>
      </c>
      <c r="EW414" s="56"/>
      <c r="EZ414" s="55">
        <f t="shared" si="2777"/>
        <v>46375</v>
      </c>
      <c r="FA414" s="56"/>
      <c r="FB414" s="175">
        <f>SUMPRODUCT(PRODUCE!$B407:$DY407,PRODUCE!$EB$24:$IY$24)</f>
        <v>0</v>
      </c>
      <c r="FC414" s="56"/>
      <c r="FD414" s="175">
        <f t="shared" si="2778"/>
        <v>0</v>
      </c>
      <c r="FE414" s="175">
        <f t="shared" si="2779"/>
        <v>0</v>
      </c>
      <c r="FF414" s="56"/>
      <c r="FI414" s="55">
        <f t="shared" si="2780"/>
        <v>46375</v>
      </c>
      <c r="FJ414" s="56"/>
      <c r="FK414" s="183">
        <f>SUMPRODUCT(PRODUCE!$B407:$DY407,PRODUCE!$EB$25:$IY$25)</f>
        <v>0</v>
      </c>
      <c r="FL414" s="56"/>
      <c r="FM414" s="183">
        <f t="shared" si="2781"/>
        <v>0</v>
      </c>
      <c r="FN414" s="183">
        <f t="shared" si="2782"/>
        <v>0</v>
      </c>
      <c r="FO414" s="56"/>
      <c r="FR414" s="55">
        <f t="shared" si="2783"/>
        <v>46375</v>
      </c>
      <c r="FS414" s="56"/>
      <c r="FT414" s="186">
        <f>SUMPRODUCT(PRODUCE!$B407:$DY407,PRODUCE!$EB$26:$IY$26)</f>
        <v>0</v>
      </c>
      <c r="FU414" s="56"/>
      <c r="FV414" s="186">
        <f t="shared" si="2784"/>
        <v>0</v>
      </c>
      <c r="FW414" s="186">
        <f t="shared" si="2785"/>
        <v>2020</v>
      </c>
      <c r="FX414" s="56"/>
      <c r="GA414" s="55">
        <f t="shared" si="2786"/>
        <v>46375</v>
      </c>
      <c r="GB414" s="56"/>
      <c r="GC414" s="137">
        <f>SUMPRODUCT(PRODUCE!$B407:$DY407,PRODUCE!$EB$27:$IY$27)</f>
        <v>0</v>
      </c>
      <c r="GD414" s="56"/>
      <c r="GE414" s="137">
        <f t="shared" si="2787"/>
        <v>0</v>
      </c>
      <c r="GF414" s="137">
        <f t="shared" si="2788"/>
        <v>960</v>
      </c>
      <c r="GG414" s="56"/>
      <c r="GI414" s="23"/>
      <c r="GJ414" s="55">
        <f t="shared" si="2789"/>
        <v>46375</v>
      </c>
      <c r="GK414" s="56"/>
      <c r="GL414" s="199">
        <f>SUMPRODUCT(PRODUCE!$B407:$DY407,PRODUCE!$EB$28:$IY$28)</f>
        <v>0</v>
      </c>
      <c r="GM414" s="56"/>
      <c r="GN414" s="199">
        <f t="shared" si="2790"/>
        <v>0</v>
      </c>
      <c r="GO414" s="199">
        <f t="shared" si="2791"/>
        <v>1760</v>
      </c>
      <c r="GP414" s="56"/>
      <c r="GS414" s="55">
        <f t="shared" si="2792"/>
        <v>46375</v>
      </c>
      <c r="GT414" s="56"/>
      <c r="GU414" s="195">
        <f>SUMPRODUCT(PRODUCE!$B407:$DY407,PRODUCE!$EB$29:$IY$29)</f>
        <v>0</v>
      </c>
      <c r="GV414" s="56"/>
      <c r="GW414" s="195">
        <f t="shared" si="2793"/>
        <v>0</v>
      </c>
      <c r="GX414" s="195">
        <f t="shared" si="2794"/>
        <v>400</v>
      </c>
      <c r="GY414" s="56"/>
      <c r="HB414" s="55">
        <f t="shared" si="2795"/>
        <v>46375</v>
      </c>
      <c r="HC414" s="56"/>
      <c r="HD414" s="191">
        <f>SUMPRODUCT(PRODUCE!$B407:$DY407,PRODUCE!$EB$30:$IY$30)</f>
        <v>0</v>
      </c>
      <c r="HE414" s="56"/>
      <c r="HF414" s="191">
        <f t="shared" si="2796"/>
        <v>0</v>
      </c>
      <c r="HG414" s="191">
        <f t="shared" si="2797"/>
        <v>3600</v>
      </c>
      <c r="HH414" s="56"/>
      <c r="HK414" s="55">
        <f t="shared" si="2798"/>
        <v>46375</v>
      </c>
      <c r="HL414" s="56"/>
      <c r="HM414" s="63">
        <f>SUMPRODUCT(PRODUCE!$B407:$DY407,PRODUCE!$EB$31:$IY$31)</f>
        <v>0</v>
      </c>
      <c r="HN414" s="56"/>
      <c r="HO414" s="63">
        <f t="shared" si="2799"/>
        <v>0</v>
      </c>
      <c r="HP414" s="63">
        <f t="shared" si="2800"/>
        <v>0</v>
      </c>
      <c r="HQ414" s="56"/>
      <c r="HU414" s="55">
        <f t="shared" si="2801"/>
        <v>46375</v>
      </c>
      <c r="HV414" s="56"/>
      <c r="HW414" s="242">
        <f>SUMPRODUCT(PRODUCE!$B407:$DY407,PRODUCE!$EB$32:$IY$32)</f>
        <v>0</v>
      </c>
      <c r="HX414" s="56"/>
      <c r="HY414" s="242">
        <f t="shared" si="2802"/>
        <v>0</v>
      </c>
      <c r="HZ414" s="242">
        <f t="shared" si="2803"/>
        <v>6120</v>
      </c>
      <c r="IA414" s="56"/>
      <c r="ID414" s="55">
        <f t="shared" si="2804"/>
        <v>46375</v>
      </c>
      <c r="IE414" s="56"/>
      <c r="IF414" s="242">
        <f>SUMPRODUCT(PRODUCE!$B407:$DY407,PRODUCE!$EB$33:$IY$33)</f>
        <v>0</v>
      </c>
      <c r="IG414" s="56"/>
      <c r="IH414" s="242">
        <f t="shared" si="2805"/>
        <v>0</v>
      </c>
      <c r="II414" s="242">
        <f t="shared" si="2806"/>
        <v>0</v>
      </c>
      <c r="IJ414" s="56"/>
      <c r="IM414" s="55">
        <f t="shared" si="2807"/>
        <v>46375</v>
      </c>
      <c r="IN414" s="56"/>
      <c r="IO414" s="242">
        <f>SUMPRODUCT(PRODUCE!$B407:$DY407,PRODUCE!$EB$34:$IY$34)</f>
        <v>0</v>
      </c>
      <c r="IP414" s="56"/>
      <c r="IQ414" s="242">
        <f t="shared" si="2808"/>
        <v>0</v>
      </c>
      <c r="IR414" s="242">
        <f t="shared" si="2809"/>
        <v>0</v>
      </c>
      <c r="IS414" s="56"/>
      <c r="IV414" s="55">
        <f t="shared" si="2810"/>
        <v>46375</v>
      </c>
      <c r="IW414" s="56"/>
      <c r="IX414" s="242">
        <f>SUMPRODUCT(PRODUCE!$B407:$DY407,PRODUCE!$EB$35:$IY$35)</f>
        <v>0</v>
      </c>
      <c r="IY414" s="56"/>
      <c r="IZ414" s="242">
        <f t="shared" si="2811"/>
        <v>0</v>
      </c>
      <c r="JA414" s="242">
        <f t="shared" si="2812"/>
        <v>2820</v>
      </c>
      <c r="JB414" s="56"/>
      <c r="JE414" s="55">
        <f t="shared" si="2813"/>
        <v>46375</v>
      </c>
      <c r="JF414" s="56"/>
      <c r="JG414" s="242">
        <f>SUMPRODUCT(PRODUCE!$B407:$DY407,PRODUCE!$EB$36:$IY$36)</f>
        <v>0</v>
      </c>
      <c r="JH414" s="56"/>
      <c r="JI414" s="242">
        <f t="shared" si="2814"/>
        <v>0</v>
      </c>
      <c r="JJ414" s="242">
        <f t="shared" si="2815"/>
        <v>0</v>
      </c>
      <c r="JK414" s="56"/>
      <c r="JN414" s="55">
        <f t="shared" si="2816"/>
        <v>46375</v>
      </c>
      <c r="JO414" s="56"/>
      <c r="JP414" s="242">
        <f>SUMPRODUCT(PRODUCE!$B407:$DY407,PRODUCE!$EB$37:$IY$37)</f>
        <v>0</v>
      </c>
      <c r="JQ414" s="56"/>
      <c r="JR414" s="242">
        <f t="shared" si="2817"/>
        <v>0</v>
      </c>
      <c r="JS414" s="242">
        <f t="shared" si="2818"/>
        <v>0</v>
      </c>
      <c r="JT414" s="56"/>
      <c r="JW414" s="55">
        <f t="shared" si="2819"/>
        <v>46375</v>
      </c>
      <c r="JX414" s="56"/>
      <c r="JY414" s="242">
        <f>SUMPRODUCT(PRODUCE!$B407:$DY407,PRODUCE!$EB$38:$IY$38)</f>
        <v>0</v>
      </c>
      <c r="JZ414" s="56"/>
      <c r="KA414" s="242">
        <f t="shared" si="2820"/>
        <v>0</v>
      </c>
      <c r="KB414" s="242">
        <f t="shared" si="2821"/>
        <v>2540</v>
      </c>
      <c r="KC414" s="56"/>
      <c r="KF414" s="55">
        <f t="shared" si="2822"/>
        <v>46375</v>
      </c>
      <c r="KG414" s="56"/>
      <c r="KH414" s="242">
        <f>SUMPRODUCT(PRODUCE!$B407:$DY407,PRODUCE!$EB$39:$IY$39)</f>
        <v>0</v>
      </c>
      <c r="KI414" s="56"/>
      <c r="KJ414" s="242">
        <f t="shared" si="2823"/>
        <v>0</v>
      </c>
      <c r="KK414" s="242">
        <f t="shared" si="2824"/>
        <v>2359.5</v>
      </c>
      <c r="KL414" s="56"/>
      <c r="KO414" s="55">
        <f t="shared" si="2825"/>
        <v>46375</v>
      </c>
      <c r="KP414" s="56"/>
      <c r="KQ414" s="242">
        <f>SUMPRODUCT(PRODUCE!$B407:$DY407,PRODUCE!$EB$40:$IY$40)</f>
        <v>0</v>
      </c>
      <c r="KR414" s="56"/>
      <c r="KS414" s="242">
        <f t="shared" si="2826"/>
        <v>0</v>
      </c>
      <c r="KT414" s="242">
        <f t="shared" si="2827"/>
        <v>1890</v>
      </c>
      <c r="KU414" s="56"/>
      <c r="KW414" s="23"/>
      <c r="KX414" s="55">
        <f t="shared" si="2828"/>
        <v>46375</v>
      </c>
      <c r="KY414" s="56"/>
      <c r="KZ414" s="242">
        <f>SUMPRODUCT(PRODUCE!$B407:$DY407,PRODUCE!$EB$41:$IY$41)</f>
        <v>0</v>
      </c>
      <c r="LA414" s="56"/>
      <c r="LB414" s="242">
        <f t="shared" si="2829"/>
        <v>0</v>
      </c>
      <c r="LC414" s="242">
        <f t="shared" si="2830"/>
        <v>3690</v>
      </c>
      <c r="LD414" s="56"/>
      <c r="LG414" s="55">
        <f t="shared" si="2831"/>
        <v>46375</v>
      </c>
      <c r="LH414" s="56"/>
      <c r="LI414" s="242">
        <f>SUMPRODUCT(PRODUCE!$B407:$DY407,PRODUCE!$EB$42:$IY$42)</f>
        <v>0</v>
      </c>
      <c r="LJ414" s="56"/>
      <c r="LK414" s="242">
        <f t="shared" si="2832"/>
        <v>0</v>
      </c>
      <c r="LL414" s="242">
        <f t="shared" si="2833"/>
        <v>4000</v>
      </c>
      <c r="LM414" s="56"/>
      <c r="LP414" s="55">
        <f t="shared" si="2834"/>
        <v>46375</v>
      </c>
      <c r="LQ414" s="56"/>
      <c r="LR414" s="242">
        <f>SUMPRODUCT(PRODUCE!$B429:$DY429,PRODUCE!$EB$43:$IY$43)</f>
        <v>0</v>
      </c>
      <c r="LS414" s="56"/>
      <c r="LT414" s="242">
        <f t="shared" si="2835"/>
        <v>0</v>
      </c>
      <c r="LU414" s="242">
        <f t="shared" si="2836"/>
        <v>0</v>
      </c>
      <c r="LV414" s="56"/>
      <c r="LY414" s="55">
        <f t="shared" si="2837"/>
        <v>46375</v>
      </c>
      <c r="LZ414" s="56"/>
      <c r="MA414" s="242">
        <f>SUMPRODUCT(PRODUCE!$B407:$DY407,PRODUCE!$EB$44:$IY$44)</f>
        <v>0</v>
      </c>
      <c r="MB414" s="56"/>
      <c r="MC414" s="242">
        <f t="shared" si="2838"/>
        <v>0</v>
      </c>
      <c r="MD414" s="242">
        <f t="shared" si="2839"/>
        <v>0</v>
      </c>
      <c r="ME414" s="56"/>
      <c r="MH414" s="55">
        <f t="shared" si="2840"/>
        <v>46375</v>
      </c>
      <c r="MI414" s="56"/>
      <c r="MJ414" s="242">
        <f>SUMPRODUCT(PRODUCE!$B407:$DY407,PRODUCE!$EB$45:$IY$45)</f>
        <v>0</v>
      </c>
      <c r="MK414" s="56"/>
      <c r="ML414" s="242">
        <f t="shared" si="2841"/>
        <v>0</v>
      </c>
      <c r="MM414" s="242">
        <f t="shared" si="2842"/>
        <v>-18</v>
      </c>
      <c r="MN414" s="56"/>
      <c r="MQ414" s="55">
        <f t="shared" si="2843"/>
        <v>46375</v>
      </c>
      <c r="MR414" s="56"/>
      <c r="MS414" s="242">
        <f>SUMPRODUCT(PRODUCE!$B407:$DY407,PRODUCE!$EB$46:$IY$46)</f>
        <v>0</v>
      </c>
      <c r="MT414" s="56"/>
      <c r="MU414" s="242">
        <f t="shared" si="2844"/>
        <v>0</v>
      </c>
      <c r="MV414" s="242">
        <f t="shared" si="2845"/>
        <v>1559</v>
      </c>
      <c r="MW414" s="56"/>
      <c r="MZ414" s="55">
        <f t="shared" si="2846"/>
        <v>46375</v>
      </c>
      <c r="NA414" s="56"/>
      <c r="NB414" s="242">
        <f>SUMPRODUCT(PRODUCE!$B407:$DY407,PRODUCE!$EB$47:$IY$47)</f>
        <v>0</v>
      </c>
      <c r="NC414" s="56"/>
      <c r="ND414" s="242">
        <f t="shared" si="2847"/>
        <v>0</v>
      </c>
      <c r="NE414" s="242">
        <f t="shared" si="2848"/>
        <v>0</v>
      </c>
      <c r="NF414" s="56"/>
      <c r="NI414" s="55">
        <f t="shared" si="2849"/>
        <v>46375</v>
      </c>
      <c r="NJ414" s="56"/>
      <c r="NK414" s="242">
        <f>SUMPRODUCT(PRODUCE!$B407:$DY407,PRODUCE!$EB$48:$IY$48)</f>
        <v>0</v>
      </c>
      <c r="NL414" s="56"/>
      <c r="NM414" s="242">
        <f t="shared" si="2850"/>
        <v>0</v>
      </c>
      <c r="NN414" s="242">
        <f t="shared" si="2851"/>
        <v>1127</v>
      </c>
      <c r="NO414" s="56"/>
      <c r="NR414" s="55">
        <f t="shared" si="2852"/>
        <v>46375</v>
      </c>
      <c r="NS414" s="56"/>
      <c r="NT414" s="242">
        <f>SUMPRODUCT(PRODUCE!$B407:$DY407,PRODUCE!$EB$49:$IY$49)</f>
        <v>0</v>
      </c>
      <c r="NU414" s="56"/>
      <c r="NV414" s="242">
        <f t="shared" si="2853"/>
        <v>0</v>
      </c>
      <c r="NW414" s="242">
        <f t="shared" si="2854"/>
        <v>3111.9999999999995</v>
      </c>
      <c r="NX414" s="56"/>
      <c r="OA414" s="55">
        <f t="shared" si="2855"/>
        <v>46375</v>
      </c>
      <c r="OB414" s="56"/>
      <c r="OC414" s="242">
        <f>SUMPRODUCT(PRODUCE!$B407:$DY407,PRODUCE!$EB$50:$IY$50)</f>
        <v>0</v>
      </c>
      <c r="OD414" s="56"/>
      <c r="OE414" s="242">
        <f t="shared" si="2856"/>
        <v>0</v>
      </c>
      <c r="OF414" s="242">
        <f t="shared" si="2857"/>
        <v>1680.5</v>
      </c>
      <c r="OG414" s="56"/>
      <c r="OJ414" s="55">
        <f t="shared" si="2858"/>
        <v>46375</v>
      </c>
      <c r="OK414" s="56"/>
      <c r="OL414" s="242">
        <f>SUMPRODUCT(PRODUCE!$B407:$DY407,PRODUCE!$EB$51:$IY$51)</f>
        <v>0</v>
      </c>
      <c r="OM414" s="56"/>
      <c r="ON414" s="242">
        <f t="shared" si="2859"/>
        <v>0</v>
      </c>
      <c r="OO414" s="242">
        <f t="shared" si="2860"/>
        <v>0</v>
      </c>
      <c r="OP414" s="56"/>
      <c r="OS414" s="55">
        <f t="shared" si="2861"/>
        <v>46375</v>
      </c>
      <c r="OT414" s="56"/>
      <c r="OU414" s="242">
        <f>SUMPRODUCT(PRODUCE!$B407:$DY407,PRODUCE!$EB$52:$IY$52)</f>
        <v>0</v>
      </c>
      <c r="OV414" s="56"/>
      <c r="OW414" s="242">
        <f t="shared" si="2862"/>
        <v>0</v>
      </c>
      <c r="OX414" s="242">
        <f t="shared" si="2863"/>
        <v>1482</v>
      </c>
      <c r="OY414" s="56"/>
      <c r="PB414" s="55">
        <f t="shared" si="2864"/>
        <v>46375</v>
      </c>
      <c r="PC414" s="56"/>
      <c r="PD414" s="242">
        <f>SUMPRODUCT(PRODUCE!$B407:$DY407,PRODUCE!$EB$53:$IY$53)</f>
        <v>0</v>
      </c>
      <c r="PE414" s="56"/>
      <c r="PF414" s="242">
        <f t="shared" si="2865"/>
        <v>0</v>
      </c>
      <c r="PG414" s="242">
        <f t="shared" si="2866"/>
        <v>0</v>
      </c>
      <c r="PH414" s="56"/>
      <c r="PK414" s="55">
        <f t="shared" si="2867"/>
        <v>46375</v>
      </c>
      <c r="PL414" s="56"/>
      <c r="PM414" s="242">
        <f>SUMPRODUCT(PRODUCE!$B407:$DY407,PRODUCE!$EB$54:$IY$54)</f>
        <v>0</v>
      </c>
      <c r="PN414" s="56"/>
      <c r="PO414" s="242">
        <f t="shared" si="2868"/>
        <v>0</v>
      </c>
      <c r="PP414" s="242">
        <f t="shared" si="2869"/>
        <v>100</v>
      </c>
      <c r="PQ414" s="56"/>
      <c r="PT414" s="55">
        <f t="shared" si="2870"/>
        <v>46375</v>
      </c>
      <c r="PU414" s="56"/>
      <c r="PV414" s="242">
        <f>SUMPRODUCT(PRODUCE!$B407:$DY407,PRODUCE!$EB$55:$IY$55)</f>
        <v>0</v>
      </c>
      <c r="PW414" s="56"/>
      <c r="PX414" s="242">
        <f t="shared" si="2871"/>
        <v>0</v>
      </c>
      <c r="PY414" s="242">
        <f t="shared" si="2872"/>
        <v>13.960000000000036</v>
      </c>
      <c r="PZ414" s="56"/>
      <c r="QC414" s="55">
        <f t="shared" si="2873"/>
        <v>46375</v>
      </c>
      <c r="QD414" s="56"/>
      <c r="QE414" s="242">
        <f>SUMPRODUCT(PRODUCE!$B407:$DY407,PRODUCE!$EB$56:$IY$56)</f>
        <v>0</v>
      </c>
      <c r="QF414" s="56"/>
      <c r="QG414" s="242">
        <f t="shared" si="2874"/>
        <v>0</v>
      </c>
      <c r="QH414" s="242">
        <f t="shared" si="2875"/>
        <v>548</v>
      </c>
      <c r="QI414" s="56"/>
      <c r="QL414" s="55">
        <f t="shared" si="2876"/>
        <v>46375</v>
      </c>
      <c r="QM414" s="56"/>
      <c r="QN414" s="242">
        <f>SUMPRODUCT(PRODUCE!$B407:$DY407,PRODUCE!$EB$57:$IY$57)</f>
        <v>0</v>
      </c>
      <c r="QO414" s="56"/>
      <c r="QP414" s="242">
        <f t="shared" si="2877"/>
        <v>0</v>
      </c>
      <c r="QQ414" s="242">
        <f t="shared" si="2878"/>
        <v>0</v>
      </c>
      <c r="QR414" s="56"/>
      <c r="QU414" s="55">
        <f t="shared" si="2879"/>
        <v>46375</v>
      </c>
      <c r="QV414" s="56"/>
      <c r="QW414" s="242">
        <f>SUMPRODUCT(PRODUCE!$B407:$DY407,PRODUCE!$EB$57:$IY$57)</f>
        <v>0</v>
      </c>
      <c r="QX414" s="56"/>
      <c r="QY414" s="242">
        <f t="shared" si="2880"/>
        <v>0</v>
      </c>
      <c r="QZ414" s="242">
        <f t="shared" si="2881"/>
        <v>0</v>
      </c>
      <c r="RA414" s="56"/>
      <c r="RD414" s="55">
        <f t="shared" si="2882"/>
        <v>46375</v>
      </c>
      <c r="RE414" s="56"/>
      <c r="RF414" s="242">
        <f>SUMPRODUCT(PRODUCE!$B407:$DY407,PRODUCE!$EB$58:$IY$58)</f>
        <v>0</v>
      </c>
      <c r="RG414" s="56"/>
      <c r="RH414" s="242">
        <f t="shared" si="2883"/>
        <v>0</v>
      </c>
      <c r="RI414" s="242">
        <f t="shared" si="2884"/>
        <v>147.04000000000002</v>
      </c>
      <c r="RJ414" s="56"/>
      <c r="RM414" s="55">
        <f t="shared" si="2885"/>
        <v>46375</v>
      </c>
      <c r="RN414" s="56"/>
      <c r="RO414" s="242">
        <f>SUMPRODUCT(PRODUCE!$B407:$DY407,PRODUCE!$EB$57:$IY$57)</f>
        <v>0</v>
      </c>
      <c r="RP414" s="56"/>
      <c r="RQ414" s="242">
        <f t="shared" si="2886"/>
        <v>0</v>
      </c>
      <c r="RR414" s="242">
        <f t="shared" si="2887"/>
        <v>46.8</v>
      </c>
      <c r="RS414" s="56"/>
      <c r="RV414" s="55">
        <f t="shared" si="2888"/>
        <v>46375</v>
      </c>
      <c r="RW414" s="56"/>
      <c r="RX414" s="242">
        <f>SUMPRODUCT(PRODUCE!$B407:$DY407,PRODUCE!$EB$57:$IY$57)</f>
        <v>0</v>
      </c>
      <c r="RY414" s="56"/>
      <c r="RZ414" s="242">
        <f t="shared" si="2889"/>
        <v>0</v>
      </c>
      <c r="SA414" s="242">
        <f t="shared" si="2890"/>
        <v>0</v>
      </c>
      <c r="SB414" s="56"/>
      <c r="SE414" s="55">
        <f t="shared" si="2891"/>
        <v>46375</v>
      </c>
      <c r="SF414" s="56"/>
      <c r="SG414" s="242">
        <f>SUMPRODUCT(PRODUCE!$B407:$DY407,PRODUCE!$EB$61:$IY$61)</f>
        <v>0</v>
      </c>
      <c r="SH414" s="56"/>
      <c r="SI414" s="242">
        <f t="shared" si="2892"/>
        <v>0</v>
      </c>
      <c r="SJ414" s="242">
        <f t="shared" si="2893"/>
        <v>24.200000000000003</v>
      </c>
      <c r="SK414" s="56"/>
      <c r="SN414" s="55">
        <f t="shared" si="2894"/>
        <v>46375</v>
      </c>
      <c r="SO414" s="56"/>
      <c r="SP414" s="242">
        <f>SUMPRODUCT(PRODUCE!$B407:$DY407,PRODUCE!$EB$57:$IY$57)</f>
        <v>0</v>
      </c>
      <c r="SQ414" s="56"/>
      <c r="SR414" s="242">
        <f t="shared" si="2895"/>
        <v>0</v>
      </c>
      <c r="SS414" s="242">
        <f t="shared" si="2896"/>
        <v>32</v>
      </c>
      <c r="ST414" s="56"/>
      <c r="SW414" s="55">
        <f t="shared" si="2897"/>
        <v>46375</v>
      </c>
      <c r="SX414" s="56"/>
      <c r="SY414" s="242">
        <f>SUMPRODUCT(PRODUCE!$B407:$DY407,PRODUCE!$EB$57:$IY$57)</f>
        <v>0</v>
      </c>
      <c r="SZ414" s="56"/>
      <c r="TA414" s="242">
        <f t="shared" si="2898"/>
        <v>0</v>
      </c>
      <c r="TB414" s="242">
        <f t="shared" si="2899"/>
        <v>0</v>
      </c>
      <c r="TC414" s="56"/>
      <c r="TF414" s="55">
        <f t="shared" si="2900"/>
        <v>46375</v>
      </c>
      <c r="TG414" s="56"/>
      <c r="TH414" s="242">
        <f>SUMPRODUCT(PRODUCE!$B407:$DY407,PRODUCE!$EB$57:$IY$57)</f>
        <v>0</v>
      </c>
      <c r="TI414" s="56"/>
      <c r="TJ414" s="242">
        <f t="shared" si="2901"/>
        <v>0</v>
      </c>
      <c r="TK414" s="242">
        <f t="shared" si="2902"/>
        <v>0</v>
      </c>
      <c r="TL414" s="56"/>
      <c r="TO414" s="55">
        <f t="shared" si="2903"/>
        <v>46375</v>
      </c>
      <c r="TP414" s="56"/>
      <c r="TQ414" s="242">
        <f>SUMPRODUCT(PRODUCE!$B407:$DY407,PRODUCE!$EB$57:$IY$57)</f>
        <v>0</v>
      </c>
      <c r="TR414" s="56"/>
      <c r="TS414" s="242">
        <f t="shared" si="2904"/>
        <v>0</v>
      </c>
      <c r="TT414" s="242">
        <f t="shared" si="2905"/>
        <v>0</v>
      </c>
      <c r="TU414" s="56"/>
      <c r="TX414" s="55">
        <f t="shared" si="2906"/>
        <v>46375</v>
      </c>
      <c r="TY414" s="56"/>
      <c r="TZ414" s="242">
        <f>SUMPRODUCT(PRODUCE!$B407:$DY407,PRODUCE!$EB$57:$IY$57)</f>
        <v>0</v>
      </c>
      <c r="UA414" s="56"/>
      <c r="UB414" s="242">
        <f t="shared" si="2907"/>
        <v>0</v>
      </c>
      <c r="UC414" s="242">
        <f t="shared" si="2908"/>
        <v>46.799999999999983</v>
      </c>
      <c r="UD414" s="56"/>
      <c r="UG414" s="55">
        <f t="shared" si="2909"/>
        <v>46375</v>
      </c>
      <c r="UH414" s="56"/>
      <c r="UI414" s="242">
        <f>SUMPRODUCT(PRODUCE!$B407:$DY407,PRODUCE!$EB$57:$IY$57)</f>
        <v>0</v>
      </c>
      <c r="UJ414" s="56"/>
      <c r="UK414" s="242">
        <f t="shared" si="2910"/>
        <v>0</v>
      </c>
      <c r="UL414" s="242">
        <f t="shared" si="2911"/>
        <v>204</v>
      </c>
      <c r="UM414" s="56"/>
      <c r="UP414" s="55">
        <f t="shared" si="2912"/>
        <v>46375</v>
      </c>
      <c r="UQ414" s="56"/>
      <c r="UR414" s="242">
        <f>SUMPRODUCT(PRODUCE!$B407:$DY407,PRODUCE!$EB$57:$IY$57)</f>
        <v>0</v>
      </c>
      <c r="US414" s="56"/>
      <c r="UT414" s="242">
        <f t="shared" si="2913"/>
        <v>0</v>
      </c>
      <c r="UU414" s="242">
        <f t="shared" si="2914"/>
        <v>202.5</v>
      </c>
      <c r="UV414" s="56"/>
      <c r="UY414" s="55">
        <f t="shared" si="2915"/>
        <v>46375</v>
      </c>
      <c r="UZ414" s="56"/>
      <c r="VA414" s="242">
        <f>SUMPRODUCT(PRODUCE!$B407:$DY407,PRODUCE!$EB$57:$IY$57)</f>
        <v>0</v>
      </c>
      <c r="VB414" s="56"/>
      <c r="VC414" s="242">
        <f t="shared" si="2916"/>
        <v>0</v>
      </c>
      <c r="VD414" s="242">
        <f t="shared" si="2917"/>
        <v>41.600000000000023</v>
      </c>
      <c r="VE414" s="56"/>
      <c r="VH414" s="55">
        <f t="shared" si="2918"/>
        <v>46375</v>
      </c>
      <c r="VI414" s="56"/>
      <c r="VJ414" s="242">
        <f>SUMPRODUCT(PRODUCE!$B407:$DY407,PRODUCE!$EB$57:$IY$57)</f>
        <v>0</v>
      </c>
      <c r="VK414" s="56"/>
      <c r="VL414" s="242">
        <f t="shared" si="2919"/>
        <v>0</v>
      </c>
      <c r="VM414" s="242">
        <f t="shared" si="2920"/>
        <v>210</v>
      </c>
      <c r="VN414" s="56"/>
      <c r="VQ414" s="55">
        <f t="shared" si="2921"/>
        <v>46375</v>
      </c>
      <c r="VR414" s="56"/>
      <c r="VS414" s="242">
        <f>SUMPRODUCT(PRODUCE!$B407:$DY407,PRODUCE!$EB$57:$IY$57)</f>
        <v>0</v>
      </c>
      <c r="VT414" s="56"/>
      <c r="VU414" s="242">
        <f t="shared" si="2922"/>
        <v>0</v>
      </c>
      <c r="VV414" s="242">
        <f t="shared" si="2923"/>
        <v>0</v>
      </c>
      <c r="VW414" s="56"/>
      <c r="VZ414" s="55">
        <f t="shared" si="2924"/>
        <v>46375</v>
      </c>
      <c r="WA414" s="56"/>
      <c r="WB414" s="242">
        <f>SUMPRODUCT(PRODUCE!$B407:$DY407,PRODUCE!$EB$57:$IY$57)</f>
        <v>0</v>
      </c>
      <c r="WC414" s="56"/>
      <c r="WD414" s="242">
        <f t="shared" si="2925"/>
        <v>0</v>
      </c>
      <c r="WE414" s="242">
        <f t="shared" si="2926"/>
        <v>0</v>
      </c>
      <c r="WF414" s="56"/>
      <c r="WI414" s="55">
        <f t="shared" si="2927"/>
        <v>46375</v>
      </c>
      <c r="WJ414" s="56"/>
      <c r="WK414" s="242">
        <f>SUMPRODUCT(PRODUCE!$B407:$DY407,PRODUCE!$EB$57:$IY$57)</f>
        <v>0</v>
      </c>
      <c r="WL414" s="56"/>
      <c r="WM414" s="242">
        <f t="shared" si="2928"/>
        <v>0</v>
      </c>
      <c r="WN414" s="242">
        <f t="shared" si="2929"/>
        <v>1057</v>
      </c>
      <c r="WO414" s="56"/>
      <c r="WR414" s="55">
        <f t="shared" si="2930"/>
        <v>46375</v>
      </c>
      <c r="WS414" s="56"/>
      <c r="WT414" s="242">
        <f>SUMPRODUCT(PRODUCE!$B407:$DY407,PRODUCE!$EB$57:$IY$57)</f>
        <v>0</v>
      </c>
      <c r="WU414" s="56"/>
      <c r="WV414" s="242">
        <f t="shared" si="2931"/>
        <v>0</v>
      </c>
      <c r="WW414" s="242">
        <f t="shared" si="2932"/>
        <v>0</v>
      </c>
      <c r="WX414" s="56"/>
      <c r="XA414" s="55">
        <f t="shared" si="2933"/>
        <v>46375</v>
      </c>
      <c r="XB414" s="56"/>
      <c r="XC414" s="242">
        <f>SUMPRODUCT(PRODUCE!$B407:$DY407,PRODUCE!$EB$57:$IY$57)</f>
        <v>0</v>
      </c>
      <c r="XD414" s="56"/>
      <c r="XE414" s="242">
        <f t="shared" si="2934"/>
        <v>0</v>
      </c>
      <c r="XF414" s="242">
        <f t="shared" si="2935"/>
        <v>7507</v>
      </c>
      <c r="XG414" s="56"/>
      <c r="XJ414" s="55">
        <f t="shared" si="2936"/>
        <v>46375</v>
      </c>
      <c r="XK414" s="56"/>
      <c r="XL414" s="242">
        <f>SUMPRODUCT(PRODUCE!$B407:$DY407,PRODUCE!$EB$57:$IY$57)</f>
        <v>0</v>
      </c>
      <c r="XM414" s="56"/>
      <c r="XN414" s="242">
        <f t="shared" si="2937"/>
        <v>0</v>
      </c>
      <c r="XO414" s="242">
        <f t="shared" si="2938"/>
        <v>4252</v>
      </c>
      <c r="XP414" s="56"/>
      <c r="XS414" s="55">
        <f t="shared" si="2939"/>
        <v>46375</v>
      </c>
      <c r="XT414" s="56"/>
      <c r="XU414" s="242">
        <f>SUMPRODUCT(PRODUCE!$B407:$DY407,PRODUCE!$EB$57:$IY$57)</f>
        <v>0</v>
      </c>
      <c r="XV414" s="56"/>
      <c r="XW414" s="242">
        <f t="shared" si="2940"/>
        <v>0</v>
      </c>
      <c r="XX414" s="242">
        <f t="shared" si="2941"/>
        <v>2179</v>
      </c>
      <c r="XY414" s="56"/>
      <c r="YB414" s="55">
        <f t="shared" si="2942"/>
        <v>46375</v>
      </c>
      <c r="YC414" s="56"/>
      <c r="YD414" s="242">
        <f>SUMPRODUCT(PRODUCE!$B407:$DY407,PRODUCE!$EB$57:$IY$57)</f>
        <v>0</v>
      </c>
      <c r="YE414" s="56"/>
      <c r="YF414" s="242">
        <f t="shared" si="2943"/>
        <v>0</v>
      </c>
      <c r="YG414" s="242">
        <f t="shared" si="2944"/>
        <v>4019</v>
      </c>
      <c r="YH414" s="56"/>
      <c r="YK414" s="55">
        <f t="shared" si="2945"/>
        <v>46375</v>
      </c>
      <c r="YL414" s="56"/>
      <c r="YM414" s="242">
        <f>SUMPRODUCT(PRODUCE!$B407:$DY407,PRODUCE!$EB$57:$IY$57)</f>
        <v>0</v>
      </c>
      <c r="YN414" s="56"/>
      <c r="YO414" s="242">
        <f t="shared" si="2946"/>
        <v>0</v>
      </c>
      <c r="YP414" s="242">
        <f t="shared" si="2947"/>
        <v>-218</v>
      </c>
      <c r="YQ414" s="56"/>
      <c r="YT414" s="55">
        <f t="shared" si="2948"/>
        <v>46375</v>
      </c>
      <c r="YU414" s="56"/>
      <c r="YV414" s="242">
        <f>SUMPRODUCT(PRODUCE!$B407:$DY407,PRODUCE!$EB$57:$IY$57)</f>
        <v>0</v>
      </c>
      <c r="YW414" s="56"/>
      <c r="YX414" s="242">
        <f t="shared" si="2949"/>
        <v>0</v>
      </c>
      <c r="YY414" s="242">
        <f t="shared" si="2950"/>
        <v>0</v>
      </c>
      <c r="YZ414" s="56"/>
      <c r="ZC414" s="55">
        <f t="shared" si="2951"/>
        <v>46375</v>
      </c>
      <c r="ZD414" s="56"/>
      <c r="ZE414" s="242">
        <f>SUMPRODUCT(PRODUCE!$B407:$DY407,PRODUCE!$EB$57:$IY$57)</f>
        <v>0</v>
      </c>
      <c r="ZF414" s="56"/>
      <c r="ZG414" s="242">
        <f t="shared" si="2952"/>
        <v>0</v>
      </c>
      <c r="ZH414" s="242">
        <f t="shared" si="2953"/>
        <v>0</v>
      </c>
      <c r="ZI414" s="56"/>
      <c r="ZL414" s="55">
        <f t="shared" si="2954"/>
        <v>46375</v>
      </c>
      <c r="ZM414" s="56"/>
      <c r="ZN414" s="242">
        <f>SUMPRODUCT(PRODUCE!$B407:$DY407,PRODUCE!$EB$57:$IY$57)</f>
        <v>0</v>
      </c>
      <c r="ZO414" s="56"/>
      <c r="ZP414" s="242">
        <f t="shared" si="2955"/>
        <v>0</v>
      </c>
      <c r="ZQ414" s="242">
        <f t="shared" si="2956"/>
        <v>0</v>
      </c>
      <c r="ZR414" s="56"/>
      <c r="ZU414" s="55">
        <f t="shared" si="2957"/>
        <v>46375</v>
      </c>
      <c r="ZV414" s="56"/>
      <c r="ZW414" s="242">
        <f>SUMPRODUCT(PRODUCE!$B407:$DY407,PRODUCE!$EB$57:$IY$57)</f>
        <v>0</v>
      </c>
      <c r="ZX414" s="56"/>
      <c r="ZY414" s="242">
        <f t="shared" si="2958"/>
        <v>0</v>
      </c>
      <c r="ZZ414" s="242">
        <f t="shared" si="2959"/>
        <v>0</v>
      </c>
      <c r="AAA414" s="56"/>
      <c r="AAD414" s="55">
        <f t="shared" si="2960"/>
        <v>46375</v>
      </c>
      <c r="AAE414" s="56"/>
      <c r="AAF414" s="242">
        <f>SUMPRODUCT(PRODUCE!$B407:$DY407,PRODUCE!$EB$57:$IY$57)</f>
        <v>0</v>
      </c>
      <c r="AAG414" s="56"/>
      <c r="AAH414" s="242">
        <f t="shared" si="2961"/>
        <v>0</v>
      </c>
      <c r="AAI414" s="242">
        <f t="shared" si="2962"/>
        <v>0</v>
      </c>
      <c r="AAJ414" s="56"/>
      <c r="AAM414" s="55">
        <f t="shared" si="2963"/>
        <v>46375</v>
      </c>
      <c r="AAN414" s="56"/>
      <c r="AAO414" s="242">
        <f>SUMPRODUCT(PRODUCE!$B407:$DY407,PRODUCE!$EB$57:$IY$57)</f>
        <v>0</v>
      </c>
      <c r="AAP414" s="56"/>
      <c r="AAQ414" s="242">
        <f t="shared" si="2964"/>
        <v>0</v>
      </c>
      <c r="AAR414" s="242">
        <f t="shared" si="2965"/>
        <v>0</v>
      </c>
      <c r="AAS414" s="56"/>
      <c r="AAV414" s="55">
        <f t="shared" si="2966"/>
        <v>46375</v>
      </c>
      <c r="AAW414" s="56"/>
      <c r="AAX414" s="242">
        <f>SUMPRODUCT(PRODUCE!$B407:$DY407,PRODUCE!$EB$57:$IY$57)</f>
        <v>0</v>
      </c>
      <c r="AAY414" s="56"/>
      <c r="AAZ414" s="242">
        <f t="shared" si="2967"/>
        <v>0</v>
      </c>
      <c r="ABA414" s="242">
        <f t="shared" si="2968"/>
        <v>0</v>
      </c>
      <c r="ABB414" s="56"/>
      <c r="ABE414" s="55">
        <f t="shared" si="2969"/>
        <v>46375</v>
      </c>
      <c r="ABF414" s="56"/>
      <c r="ABG414" s="242">
        <f>SUMPRODUCT(PRODUCE!$B407:$DY407,PRODUCE!$EB$57:$IY$57)</f>
        <v>0</v>
      </c>
      <c r="ABH414" s="56"/>
      <c r="ABI414" s="242">
        <f t="shared" si="2970"/>
        <v>0</v>
      </c>
      <c r="ABJ414" s="242">
        <f t="shared" si="2971"/>
        <v>0</v>
      </c>
      <c r="ABK414" s="56"/>
    </row>
    <row r="415" spans="2:739" s="54" customFormat="1" ht="15" customHeight="1" outlineLevel="1">
      <c r="B415" s="478"/>
      <c r="C415" s="55">
        <v>46376</v>
      </c>
      <c r="D415" s="56"/>
      <c r="E415" s="57">
        <f>SUMPRODUCT(PRODUCE!$B408:$DY408,PRODUCE!$EB$7:$IY$7)</f>
        <v>0</v>
      </c>
      <c r="F415" s="56"/>
      <c r="G415" s="57">
        <f t="shared" si="2727"/>
        <v>0</v>
      </c>
      <c r="H415" s="57">
        <f t="shared" si="2728"/>
        <v>236936.6</v>
      </c>
      <c r="I415" s="289"/>
      <c r="L415" s="55">
        <f t="shared" si="2729"/>
        <v>46376</v>
      </c>
      <c r="M415" s="56"/>
      <c r="N415" s="59">
        <f>SUMPRODUCT(PRODUCE!$B408:$DY408,PRODUCE!$EB$8:$IY$8)</f>
        <v>0</v>
      </c>
      <c r="O415" s="56"/>
      <c r="P415" s="59">
        <f t="shared" si="2730"/>
        <v>0</v>
      </c>
      <c r="Q415" s="59">
        <f t="shared" si="2731"/>
        <v>53017.600000000071</v>
      </c>
      <c r="R415" s="56"/>
      <c r="U415" s="55">
        <f t="shared" si="2732"/>
        <v>46376</v>
      </c>
      <c r="V415" s="56"/>
      <c r="W415" s="60">
        <f>SUMPRODUCT(PRODUCE!$B408:$DY408,PRODUCE!$EB$9:$IY$9)</f>
        <v>0</v>
      </c>
      <c r="X415" s="56"/>
      <c r="Y415" s="60">
        <f t="shared" si="2733"/>
        <v>0</v>
      </c>
      <c r="Z415" s="60">
        <f t="shared" si="2734"/>
        <v>42674.199999999968</v>
      </c>
      <c r="AA415" s="56"/>
      <c r="AD415" s="55">
        <f t="shared" si="2735"/>
        <v>46376</v>
      </c>
      <c r="AE415" s="56"/>
      <c r="AF415" s="61">
        <f>SUMPRODUCT(PRODUCE!$B408:$DY408,PRODUCE!$EB$10:$IY$10)</f>
        <v>0</v>
      </c>
      <c r="AG415" s="56"/>
      <c r="AH415" s="61">
        <f t="shared" si="2736"/>
        <v>0</v>
      </c>
      <c r="AI415" s="61">
        <f t="shared" si="2737"/>
        <v>4522.2000000000189</v>
      </c>
      <c r="AJ415" s="56"/>
      <c r="AM415" s="55">
        <f t="shared" si="2738"/>
        <v>46376</v>
      </c>
      <c r="AN415" s="422"/>
      <c r="AO415" s="444">
        <f>SUMPRODUCT(PRODUCE!$B408:$DY408,PRODUCE!$EB$11:$IY$11)</f>
        <v>0</v>
      </c>
      <c r="AP415" s="422"/>
      <c r="AQ415" s="444">
        <f t="shared" si="2739"/>
        <v>0</v>
      </c>
      <c r="AR415" s="444">
        <f t="shared" si="2740"/>
        <v>0</v>
      </c>
      <c r="AS415" s="56"/>
      <c r="AV415" s="55">
        <f t="shared" si="2741"/>
        <v>46376</v>
      </c>
      <c r="AW415" s="56"/>
      <c r="AX415" s="62">
        <f>SUMPRODUCT(PRODUCE!$B408:$DY408,PRODUCE!$EB$12:$IY$12)</f>
        <v>0</v>
      </c>
      <c r="AY415" s="56"/>
      <c r="AZ415" s="62">
        <f t="shared" si="2742"/>
        <v>0</v>
      </c>
      <c r="BA415" s="62">
        <f t="shared" si="2743"/>
        <v>124.99999999999523</v>
      </c>
      <c r="BB415" s="56"/>
      <c r="BE415" s="55">
        <f t="shared" si="2744"/>
        <v>46376</v>
      </c>
      <c r="BF415" s="56"/>
      <c r="BG415" s="63">
        <f>SUMPRODUCT(PRODUCE!$B408:$DY408,PRODUCE!$EB$13:$IY$13)</f>
        <v>0</v>
      </c>
      <c r="BH415" s="56"/>
      <c r="BI415" s="63">
        <f t="shared" si="2745"/>
        <v>0</v>
      </c>
      <c r="BJ415" s="63">
        <f t="shared" si="2746"/>
        <v>26151.899999999998</v>
      </c>
      <c r="BK415" s="56"/>
      <c r="BN415" s="55">
        <f t="shared" si="2747"/>
        <v>46376</v>
      </c>
      <c r="BO415" s="56"/>
      <c r="BP415" s="64">
        <f>SUMPRODUCT(PRODUCE!$B408:$DY408,PRODUCE!$EB$14:$IY$14)</f>
        <v>0</v>
      </c>
      <c r="BQ415" s="56"/>
      <c r="BR415" s="64">
        <f t="shared" si="2748"/>
        <v>0</v>
      </c>
      <c r="BS415" s="64">
        <f t="shared" si="2749"/>
        <v>0</v>
      </c>
      <c r="BT415" s="56"/>
      <c r="BW415" s="55">
        <f t="shared" si="2750"/>
        <v>46376</v>
      </c>
      <c r="BX415" s="56"/>
      <c r="BY415" s="65">
        <f>SUMPRODUCT(PRODUCE!$B408:$DY408,PRODUCE!$EB$15:$IY$15)</f>
        <v>0</v>
      </c>
      <c r="BZ415" s="56"/>
      <c r="CA415" s="65">
        <f t="shared" si="2751"/>
        <v>0</v>
      </c>
      <c r="CB415" s="65">
        <f t="shared" si="2752"/>
        <v>2097.3399999999992</v>
      </c>
      <c r="CC415" s="56"/>
      <c r="CF415" s="55">
        <f t="shared" si="2753"/>
        <v>46376</v>
      </c>
      <c r="CG415" s="56"/>
      <c r="CH415" s="66">
        <f>SUMPRODUCT(PRODUCE!$B408:$DY408,PRODUCE!$EB$16:$IY$16)</f>
        <v>0</v>
      </c>
      <c r="CI415" s="56"/>
      <c r="CJ415" s="66">
        <f t="shared" si="2754"/>
        <v>0</v>
      </c>
      <c r="CK415" s="66">
        <f t="shared" si="2755"/>
        <v>-10277.079999999998</v>
      </c>
      <c r="CL415" s="56"/>
      <c r="CO415" s="55">
        <f t="shared" si="2756"/>
        <v>46376</v>
      </c>
      <c r="CP415" s="422"/>
      <c r="CQ415" s="470">
        <f>SUMPRODUCT(PRODUCE!$B408:$DY408,PRODUCE!$EB$17:$IY$17)</f>
        <v>0</v>
      </c>
      <c r="CR415" s="422"/>
      <c r="CS415" s="470">
        <f t="shared" si="2757"/>
        <v>0</v>
      </c>
      <c r="CT415" s="470">
        <f t="shared" si="2758"/>
        <v>0</v>
      </c>
      <c r="CU415" s="56"/>
      <c r="CX415" s="55">
        <f t="shared" si="2759"/>
        <v>46376</v>
      </c>
      <c r="CY415" s="56"/>
      <c r="CZ415" s="133">
        <f>SUMPRODUCT(PRODUCE!$B408:$DY408,PRODUCE!$EB$18:$IY$18)</f>
        <v>0</v>
      </c>
      <c r="DA415" s="56"/>
      <c r="DB415" s="133">
        <f t="shared" si="2760"/>
        <v>0</v>
      </c>
      <c r="DC415" s="133">
        <f t="shared" si="2761"/>
        <v>27438.200000000012</v>
      </c>
      <c r="DD415" s="56"/>
      <c r="DG415" s="55">
        <f t="shared" si="2762"/>
        <v>46376</v>
      </c>
      <c r="DH415" s="56"/>
      <c r="DI415" s="147">
        <f>SUMPRODUCT(PRODUCE!$B408:$DY408,PRODUCE!$EB$19:$IY$19)</f>
        <v>0</v>
      </c>
      <c r="DJ415" s="56"/>
      <c r="DK415" s="147">
        <f t="shared" si="2763"/>
        <v>0</v>
      </c>
      <c r="DL415" s="147">
        <f t="shared" si="2764"/>
        <v>18782.299999999981</v>
      </c>
      <c r="DM415" s="56"/>
      <c r="DP415" s="55">
        <f t="shared" si="2765"/>
        <v>46376</v>
      </c>
      <c r="DQ415" s="56"/>
      <c r="DR415" s="57">
        <f>SUMPRODUCT(PRODUCE!$B408:$DY408,PRODUCE!$EB$20:$IY$20)</f>
        <v>0</v>
      </c>
      <c r="DS415" s="56"/>
      <c r="DT415" s="57">
        <f t="shared" si="2766"/>
        <v>0</v>
      </c>
      <c r="DU415" s="57">
        <f t="shared" si="2767"/>
        <v>5800</v>
      </c>
      <c r="DV415" s="56"/>
      <c r="DY415" s="55">
        <f t="shared" si="2768"/>
        <v>46376</v>
      </c>
      <c r="DZ415" s="56"/>
      <c r="EA415" s="157">
        <f>SUMPRODUCT(PRODUCE!$B408:$DY408,PRODUCE!$EB$21:$IY$21)</f>
        <v>0</v>
      </c>
      <c r="EB415" s="56"/>
      <c r="EC415" s="157">
        <f t="shared" si="2769"/>
        <v>0</v>
      </c>
      <c r="ED415" s="157">
        <f t="shared" si="2770"/>
        <v>0</v>
      </c>
      <c r="EE415" s="56"/>
      <c r="EH415" s="55">
        <f t="shared" si="2771"/>
        <v>46376</v>
      </c>
      <c r="EI415" s="56"/>
      <c r="EJ415" s="162">
        <f>SUMPRODUCT(PRODUCE!$B408:$DY408,PRODUCE!$EB$22:$IY$22)</f>
        <v>0</v>
      </c>
      <c r="EK415" s="56"/>
      <c r="EL415" s="162">
        <f t="shared" si="2772"/>
        <v>0</v>
      </c>
      <c r="EM415" s="162">
        <f t="shared" si="2773"/>
        <v>0</v>
      </c>
      <c r="EN415" s="56"/>
      <c r="EQ415" s="55">
        <f t="shared" si="2774"/>
        <v>46376</v>
      </c>
      <c r="ER415" s="56"/>
      <c r="ES415" s="135">
        <f>SUMPRODUCT(PRODUCE!$B408:$DY408,PRODUCE!$EB$23:$IY$23)</f>
        <v>0</v>
      </c>
      <c r="ET415" s="56"/>
      <c r="EU415" s="135">
        <f t="shared" si="2775"/>
        <v>0</v>
      </c>
      <c r="EV415" s="135">
        <f t="shared" si="2776"/>
        <v>0</v>
      </c>
      <c r="EW415" s="56"/>
      <c r="EZ415" s="55">
        <f t="shared" si="2777"/>
        <v>46376</v>
      </c>
      <c r="FA415" s="56"/>
      <c r="FB415" s="175">
        <f>SUMPRODUCT(PRODUCE!$B408:$DY408,PRODUCE!$EB$24:$IY$24)</f>
        <v>0</v>
      </c>
      <c r="FC415" s="56"/>
      <c r="FD415" s="175">
        <f t="shared" si="2778"/>
        <v>0</v>
      </c>
      <c r="FE415" s="175">
        <f t="shared" si="2779"/>
        <v>0</v>
      </c>
      <c r="FF415" s="56"/>
      <c r="FI415" s="55">
        <f t="shared" si="2780"/>
        <v>46376</v>
      </c>
      <c r="FJ415" s="56"/>
      <c r="FK415" s="183">
        <f>SUMPRODUCT(PRODUCE!$B408:$DY408,PRODUCE!$EB$25:$IY$25)</f>
        <v>0</v>
      </c>
      <c r="FL415" s="56"/>
      <c r="FM415" s="183">
        <f t="shared" si="2781"/>
        <v>0</v>
      </c>
      <c r="FN415" s="183">
        <f t="shared" si="2782"/>
        <v>0</v>
      </c>
      <c r="FO415" s="56"/>
      <c r="FR415" s="55">
        <f t="shared" si="2783"/>
        <v>46376</v>
      </c>
      <c r="FS415" s="56"/>
      <c r="FT415" s="186">
        <f>SUMPRODUCT(PRODUCE!$B408:$DY408,PRODUCE!$EB$26:$IY$26)</f>
        <v>0</v>
      </c>
      <c r="FU415" s="56"/>
      <c r="FV415" s="186">
        <f t="shared" si="2784"/>
        <v>0</v>
      </c>
      <c r="FW415" s="186">
        <f t="shared" si="2785"/>
        <v>2020</v>
      </c>
      <c r="FX415" s="56"/>
      <c r="GA415" s="55">
        <f t="shared" si="2786"/>
        <v>46376</v>
      </c>
      <c r="GB415" s="56"/>
      <c r="GC415" s="137">
        <f>SUMPRODUCT(PRODUCE!$B408:$DY408,PRODUCE!$EB$27:$IY$27)</f>
        <v>0</v>
      </c>
      <c r="GD415" s="56"/>
      <c r="GE415" s="137">
        <f t="shared" si="2787"/>
        <v>0</v>
      </c>
      <c r="GF415" s="137">
        <f t="shared" si="2788"/>
        <v>960</v>
      </c>
      <c r="GG415" s="56"/>
      <c r="GI415" s="23"/>
      <c r="GJ415" s="55">
        <f t="shared" si="2789"/>
        <v>46376</v>
      </c>
      <c r="GK415" s="56"/>
      <c r="GL415" s="199">
        <f>SUMPRODUCT(PRODUCE!$B408:$DY408,PRODUCE!$EB$28:$IY$28)</f>
        <v>0</v>
      </c>
      <c r="GM415" s="56"/>
      <c r="GN415" s="199">
        <f t="shared" si="2790"/>
        <v>0</v>
      </c>
      <c r="GO415" s="199">
        <f t="shared" si="2791"/>
        <v>1760</v>
      </c>
      <c r="GP415" s="56"/>
      <c r="GS415" s="55">
        <f t="shared" si="2792"/>
        <v>46376</v>
      </c>
      <c r="GT415" s="56"/>
      <c r="GU415" s="195">
        <f>SUMPRODUCT(PRODUCE!$B408:$DY408,PRODUCE!$EB$29:$IY$29)</f>
        <v>0</v>
      </c>
      <c r="GV415" s="56"/>
      <c r="GW415" s="195">
        <f t="shared" si="2793"/>
        <v>0</v>
      </c>
      <c r="GX415" s="195">
        <f t="shared" si="2794"/>
        <v>400</v>
      </c>
      <c r="GY415" s="56"/>
      <c r="HB415" s="55">
        <f t="shared" si="2795"/>
        <v>46376</v>
      </c>
      <c r="HC415" s="56"/>
      <c r="HD415" s="191">
        <f>SUMPRODUCT(PRODUCE!$B408:$DY408,PRODUCE!$EB$30:$IY$30)</f>
        <v>0</v>
      </c>
      <c r="HE415" s="56"/>
      <c r="HF415" s="191">
        <f t="shared" si="2796"/>
        <v>0</v>
      </c>
      <c r="HG415" s="191">
        <f t="shared" si="2797"/>
        <v>3600</v>
      </c>
      <c r="HH415" s="56"/>
      <c r="HK415" s="55">
        <f t="shared" si="2798"/>
        <v>46376</v>
      </c>
      <c r="HL415" s="56"/>
      <c r="HM415" s="63">
        <f>SUMPRODUCT(PRODUCE!$B408:$DY408,PRODUCE!$EB$31:$IY$31)</f>
        <v>0</v>
      </c>
      <c r="HN415" s="56"/>
      <c r="HO415" s="63">
        <f t="shared" si="2799"/>
        <v>0</v>
      </c>
      <c r="HP415" s="63">
        <f t="shared" si="2800"/>
        <v>0</v>
      </c>
      <c r="HQ415" s="56"/>
      <c r="HU415" s="55">
        <f t="shared" si="2801"/>
        <v>46376</v>
      </c>
      <c r="HV415" s="56"/>
      <c r="HW415" s="242">
        <f>SUMPRODUCT(PRODUCE!$B408:$DY408,PRODUCE!$EB$32:$IY$32)</f>
        <v>0</v>
      </c>
      <c r="HX415" s="56"/>
      <c r="HY415" s="242">
        <f t="shared" si="2802"/>
        <v>0</v>
      </c>
      <c r="HZ415" s="242">
        <f t="shared" si="2803"/>
        <v>6120</v>
      </c>
      <c r="IA415" s="56"/>
      <c r="ID415" s="55">
        <f t="shared" si="2804"/>
        <v>46376</v>
      </c>
      <c r="IE415" s="56"/>
      <c r="IF415" s="242">
        <f>SUMPRODUCT(PRODUCE!$B408:$DY408,PRODUCE!$EB$33:$IY$33)</f>
        <v>0</v>
      </c>
      <c r="IG415" s="56"/>
      <c r="IH415" s="242">
        <f t="shared" si="2805"/>
        <v>0</v>
      </c>
      <c r="II415" s="242">
        <f t="shared" si="2806"/>
        <v>0</v>
      </c>
      <c r="IJ415" s="56"/>
      <c r="IM415" s="55">
        <f t="shared" si="2807"/>
        <v>46376</v>
      </c>
      <c r="IN415" s="56"/>
      <c r="IO415" s="242">
        <f>SUMPRODUCT(PRODUCE!$B408:$DY408,PRODUCE!$EB$34:$IY$34)</f>
        <v>0</v>
      </c>
      <c r="IP415" s="56"/>
      <c r="IQ415" s="242">
        <f t="shared" si="2808"/>
        <v>0</v>
      </c>
      <c r="IR415" s="242">
        <f t="shared" si="2809"/>
        <v>0</v>
      </c>
      <c r="IS415" s="56"/>
      <c r="IV415" s="55">
        <f t="shared" si="2810"/>
        <v>46376</v>
      </c>
      <c r="IW415" s="56"/>
      <c r="IX415" s="242">
        <f>SUMPRODUCT(PRODUCE!$B408:$DY408,PRODUCE!$EB$35:$IY$35)</f>
        <v>0</v>
      </c>
      <c r="IY415" s="56"/>
      <c r="IZ415" s="242">
        <f t="shared" si="2811"/>
        <v>0</v>
      </c>
      <c r="JA415" s="242">
        <f t="shared" si="2812"/>
        <v>2820</v>
      </c>
      <c r="JB415" s="56"/>
      <c r="JE415" s="55">
        <f t="shared" si="2813"/>
        <v>46376</v>
      </c>
      <c r="JF415" s="56"/>
      <c r="JG415" s="242">
        <f>SUMPRODUCT(PRODUCE!$B408:$DY408,PRODUCE!$EB$36:$IY$36)</f>
        <v>0</v>
      </c>
      <c r="JH415" s="56"/>
      <c r="JI415" s="242">
        <f t="shared" si="2814"/>
        <v>0</v>
      </c>
      <c r="JJ415" s="242">
        <f t="shared" si="2815"/>
        <v>0</v>
      </c>
      <c r="JK415" s="56"/>
      <c r="JN415" s="55">
        <f t="shared" si="2816"/>
        <v>46376</v>
      </c>
      <c r="JO415" s="56"/>
      <c r="JP415" s="242">
        <f>SUMPRODUCT(PRODUCE!$B408:$DY408,PRODUCE!$EB$37:$IY$37)</f>
        <v>0</v>
      </c>
      <c r="JQ415" s="56"/>
      <c r="JR415" s="242">
        <f t="shared" si="2817"/>
        <v>0</v>
      </c>
      <c r="JS415" s="242">
        <f t="shared" si="2818"/>
        <v>0</v>
      </c>
      <c r="JT415" s="56"/>
      <c r="JW415" s="55">
        <f t="shared" si="2819"/>
        <v>46376</v>
      </c>
      <c r="JX415" s="56"/>
      <c r="JY415" s="242">
        <f>SUMPRODUCT(PRODUCE!$B408:$DY408,PRODUCE!$EB$38:$IY$38)</f>
        <v>0</v>
      </c>
      <c r="JZ415" s="56"/>
      <c r="KA415" s="242">
        <f t="shared" si="2820"/>
        <v>0</v>
      </c>
      <c r="KB415" s="242">
        <f t="shared" si="2821"/>
        <v>2540</v>
      </c>
      <c r="KC415" s="56"/>
      <c r="KF415" s="55">
        <f t="shared" si="2822"/>
        <v>46376</v>
      </c>
      <c r="KG415" s="56"/>
      <c r="KH415" s="242">
        <f>SUMPRODUCT(PRODUCE!$B408:$DY408,PRODUCE!$EB$39:$IY$39)</f>
        <v>0</v>
      </c>
      <c r="KI415" s="56"/>
      <c r="KJ415" s="242">
        <f t="shared" si="2823"/>
        <v>0</v>
      </c>
      <c r="KK415" s="242">
        <f t="shared" si="2824"/>
        <v>2359.5</v>
      </c>
      <c r="KL415" s="56"/>
      <c r="KO415" s="55">
        <f t="shared" si="2825"/>
        <v>46376</v>
      </c>
      <c r="KP415" s="56"/>
      <c r="KQ415" s="242">
        <f>SUMPRODUCT(PRODUCE!$B408:$DY408,PRODUCE!$EB$40:$IY$40)</f>
        <v>0</v>
      </c>
      <c r="KR415" s="56"/>
      <c r="KS415" s="242">
        <f t="shared" si="2826"/>
        <v>0</v>
      </c>
      <c r="KT415" s="242">
        <f t="shared" si="2827"/>
        <v>1890</v>
      </c>
      <c r="KU415" s="56"/>
      <c r="KW415" s="23"/>
      <c r="KX415" s="55">
        <f t="shared" si="2828"/>
        <v>46376</v>
      </c>
      <c r="KY415" s="56"/>
      <c r="KZ415" s="242">
        <f>SUMPRODUCT(PRODUCE!$B408:$DY408,PRODUCE!$EB$41:$IY$41)</f>
        <v>0</v>
      </c>
      <c r="LA415" s="56"/>
      <c r="LB415" s="242">
        <f t="shared" si="2829"/>
        <v>0</v>
      </c>
      <c r="LC415" s="242">
        <f t="shared" si="2830"/>
        <v>3690</v>
      </c>
      <c r="LD415" s="56"/>
      <c r="LG415" s="55">
        <f t="shared" si="2831"/>
        <v>46376</v>
      </c>
      <c r="LH415" s="56"/>
      <c r="LI415" s="242">
        <f>SUMPRODUCT(PRODUCE!$B408:$DY408,PRODUCE!$EB$42:$IY$42)</f>
        <v>0</v>
      </c>
      <c r="LJ415" s="56"/>
      <c r="LK415" s="242">
        <f t="shared" si="2832"/>
        <v>0</v>
      </c>
      <c r="LL415" s="242">
        <f t="shared" si="2833"/>
        <v>4000</v>
      </c>
      <c r="LM415" s="56"/>
      <c r="LP415" s="55">
        <f t="shared" si="2834"/>
        <v>46376</v>
      </c>
      <c r="LQ415" s="56"/>
      <c r="LR415" s="242">
        <f>SUMPRODUCT(PRODUCE!$B430:$DY430,PRODUCE!$EB$43:$IY$43)</f>
        <v>0</v>
      </c>
      <c r="LS415" s="56"/>
      <c r="LT415" s="242">
        <f t="shared" si="2835"/>
        <v>0</v>
      </c>
      <c r="LU415" s="242">
        <f t="shared" si="2836"/>
        <v>0</v>
      </c>
      <c r="LV415" s="56"/>
      <c r="LY415" s="55">
        <f t="shared" si="2837"/>
        <v>46376</v>
      </c>
      <c r="LZ415" s="56"/>
      <c r="MA415" s="242">
        <f>SUMPRODUCT(PRODUCE!$B408:$DY408,PRODUCE!$EB$44:$IY$44)</f>
        <v>0</v>
      </c>
      <c r="MB415" s="56"/>
      <c r="MC415" s="242">
        <f t="shared" si="2838"/>
        <v>0</v>
      </c>
      <c r="MD415" s="242">
        <f t="shared" si="2839"/>
        <v>0</v>
      </c>
      <c r="ME415" s="56"/>
      <c r="MH415" s="55">
        <f t="shared" si="2840"/>
        <v>46376</v>
      </c>
      <c r="MI415" s="56"/>
      <c r="MJ415" s="242">
        <f>SUMPRODUCT(PRODUCE!$B408:$DY408,PRODUCE!$EB$45:$IY$45)</f>
        <v>0</v>
      </c>
      <c r="MK415" s="56"/>
      <c r="ML415" s="242">
        <f t="shared" si="2841"/>
        <v>0</v>
      </c>
      <c r="MM415" s="242">
        <f t="shared" si="2842"/>
        <v>-18</v>
      </c>
      <c r="MN415" s="56"/>
      <c r="MQ415" s="55">
        <f t="shared" si="2843"/>
        <v>46376</v>
      </c>
      <c r="MR415" s="56"/>
      <c r="MS415" s="242">
        <f>SUMPRODUCT(PRODUCE!$B408:$DY408,PRODUCE!$EB$46:$IY$46)</f>
        <v>0</v>
      </c>
      <c r="MT415" s="56"/>
      <c r="MU415" s="242">
        <f t="shared" si="2844"/>
        <v>0</v>
      </c>
      <c r="MV415" s="242">
        <f t="shared" si="2845"/>
        <v>1559</v>
      </c>
      <c r="MW415" s="56"/>
      <c r="MZ415" s="55">
        <f t="shared" si="2846"/>
        <v>46376</v>
      </c>
      <c r="NA415" s="56"/>
      <c r="NB415" s="242">
        <f>SUMPRODUCT(PRODUCE!$B408:$DY408,PRODUCE!$EB$47:$IY$47)</f>
        <v>0</v>
      </c>
      <c r="NC415" s="56"/>
      <c r="ND415" s="242">
        <f t="shared" si="2847"/>
        <v>0</v>
      </c>
      <c r="NE415" s="242">
        <f t="shared" si="2848"/>
        <v>0</v>
      </c>
      <c r="NF415" s="56"/>
      <c r="NI415" s="55">
        <f t="shared" si="2849"/>
        <v>46376</v>
      </c>
      <c r="NJ415" s="56"/>
      <c r="NK415" s="242">
        <f>SUMPRODUCT(PRODUCE!$B408:$DY408,PRODUCE!$EB$48:$IY$48)</f>
        <v>0</v>
      </c>
      <c r="NL415" s="56"/>
      <c r="NM415" s="242">
        <f t="shared" si="2850"/>
        <v>0</v>
      </c>
      <c r="NN415" s="242">
        <f t="shared" si="2851"/>
        <v>1127</v>
      </c>
      <c r="NO415" s="56"/>
      <c r="NR415" s="55">
        <f t="shared" si="2852"/>
        <v>46376</v>
      </c>
      <c r="NS415" s="56"/>
      <c r="NT415" s="242">
        <f>SUMPRODUCT(PRODUCE!$B408:$DY408,PRODUCE!$EB$49:$IY$49)</f>
        <v>0</v>
      </c>
      <c r="NU415" s="56"/>
      <c r="NV415" s="242">
        <f t="shared" si="2853"/>
        <v>0</v>
      </c>
      <c r="NW415" s="242">
        <f t="shared" si="2854"/>
        <v>3111.9999999999995</v>
      </c>
      <c r="NX415" s="56"/>
      <c r="OA415" s="55">
        <f t="shared" si="2855"/>
        <v>46376</v>
      </c>
      <c r="OB415" s="56"/>
      <c r="OC415" s="242">
        <f>SUMPRODUCT(PRODUCE!$B408:$DY408,PRODUCE!$EB$50:$IY$50)</f>
        <v>0</v>
      </c>
      <c r="OD415" s="56"/>
      <c r="OE415" s="242">
        <f t="shared" si="2856"/>
        <v>0</v>
      </c>
      <c r="OF415" s="242">
        <f t="shared" si="2857"/>
        <v>1680.5</v>
      </c>
      <c r="OG415" s="56"/>
      <c r="OJ415" s="55">
        <f t="shared" si="2858"/>
        <v>46376</v>
      </c>
      <c r="OK415" s="56"/>
      <c r="OL415" s="242">
        <f>SUMPRODUCT(PRODUCE!$B408:$DY408,PRODUCE!$EB$51:$IY$51)</f>
        <v>0</v>
      </c>
      <c r="OM415" s="56"/>
      <c r="ON415" s="242">
        <f t="shared" si="2859"/>
        <v>0</v>
      </c>
      <c r="OO415" s="242">
        <f t="shared" si="2860"/>
        <v>0</v>
      </c>
      <c r="OP415" s="56"/>
      <c r="OS415" s="55">
        <f t="shared" si="2861"/>
        <v>46376</v>
      </c>
      <c r="OT415" s="56"/>
      <c r="OU415" s="242">
        <f>SUMPRODUCT(PRODUCE!$B408:$DY408,PRODUCE!$EB$52:$IY$52)</f>
        <v>0</v>
      </c>
      <c r="OV415" s="56"/>
      <c r="OW415" s="242">
        <f t="shared" si="2862"/>
        <v>0</v>
      </c>
      <c r="OX415" s="242">
        <f t="shared" si="2863"/>
        <v>1482</v>
      </c>
      <c r="OY415" s="56"/>
      <c r="PB415" s="55">
        <f t="shared" si="2864"/>
        <v>46376</v>
      </c>
      <c r="PC415" s="56"/>
      <c r="PD415" s="242">
        <f>SUMPRODUCT(PRODUCE!$B408:$DY408,PRODUCE!$EB$53:$IY$53)</f>
        <v>0</v>
      </c>
      <c r="PE415" s="56"/>
      <c r="PF415" s="242">
        <f t="shared" si="2865"/>
        <v>0</v>
      </c>
      <c r="PG415" s="242">
        <f t="shared" si="2866"/>
        <v>0</v>
      </c>
      <c r="PH415" s="56"/>
      <c r="PK415" s="55">
        <f t="shared" si="2867"/>
        <v>46376</v>
      </c>
      <c r="PL415" s="56"/>
      <c r="PM415" s="242">
        <f>SUMPRODUCT(PRODUCE!$B408:$DY408,PRODUCE!$EB$54:$IY$54)</f>
        <v>0</v>
      </c>
      <c r="PN415" s="56"/>
      <c r="PO415" s="242">
        <f t="shared" si="2868"/>
        <v>0</v>
      </c>
      <c r="PP415" s="242">
        <f t="shared" si="2869"/>
        <v>100</v>
      </c>
      <c r="PQ415" s="56"/>
      <c r="PT415" s="55">
        <f t="shared" si="2870"/>
        <v>46376</v>
      </c>
      <c r="PU415" s="56"/>
      <c r="PV415" s="242">
        <f>SUMPRODUCT(PRODUCE!$B408:$DY408,PRODUCE!$EB$55:$IY$55)</f>
        <v>0</v>
      </c>
      <c r="PW415" s="56"/>
      <c r="PX415" s="242">
        <f t="shared" si="2871"/>
        <v>0</v>
      </c>
      <c r="PY415" s="242">
        <f t="shared" si="2872"/>
        <v>13.960000000000036</v>
      </c>
      <c r="PZ415" s="56"/>
      <c r="QC415" s="55">
        <f t="shared" si="2873"/>
        <v>46376</v>
      </c>
      <c r="QD415" s="56"/>
      <c r="QE415" s="242">
        <f>SUMPRODUCT(PRODUCE!$B408:$DY408,PRODUCE!$EB$56:$IY$56)</f>
        <v>0</v>
      </c>
      <c r="QF415" s="56"/>
      <c r="QG415" s="242">
        <f t="shared" si="2874"/>
        <v>0</v>
      </c>
      <c r="QH415" s="242">
        <f t="shared" si="2875"/>
        <v>548</v>
      </c>
      <c r="QI415" s="56"/>
      <c r="QL415" s="55">
        <f t="shared" si="2876"/>
        <v>46376</v>
      </c>
      <c r="QM415" s="56"/>
      <c r="QN415" s="242">
        <f>SUMPRODUCT(PRODUCE!$B408:$DY408,PRODUCE!$EB$57:$IY$57)</f>
        <v>0</v>
      </c>
      <c r="QO415" s="56"/>
      <c r="QP415" s="242">
        <f t="shared" si="2877"/>
        <v>0</v>
      </c>
      <c r="QQ415" s="242">
        <f t="shared" si="2878"/>
        <v>0</v>
      </c>
      <c r="QR415" s="56"/>
      <c r="QU415" s="55">
        <f t="shared" si="2879"/>
        <v>46376</v>
      </c>
      <c r="QV415" s="56"/>
      <c r="QW415" s="242">
        <f>SUMPRODUCT(PRODUCE!$B408:$DY408,PRODUCE!$EB$57:$IY$57)</f>
        <v>0</v>
      </c>
      <c r="QX415" s="56"/>
      <c r="QY415" s="242">
        <f t="shared" si="2880"/>
        <v>0</v>
      </c>
      <c r="QZ415" s="242">
        <f t="shared" si="2881"/>
        <v>0</v>
      </c>
      <c r="RA415" s="56"/>
      <c r="RD415" s="55">
        <f t="shared" si="2882"/>
        <v>46376</v>
      </c>
      <c r="RE415" s="56"/>
      <c r="RF415" s="242">
        <f>SUMPRODUCT(PRODUCE!$B408:$DY408,PRODUCE!$EB$58:$IY$58)</f>
        <v>0</v>
      </c>
      <c r="RG415" s="56"/>
      <c r="RH415" s="242">
        <f t="shared" si="2883"/>
        <v>0</v>
      </c>
      <c r="RI415" s="242">
        <f t="shared" si="2884"/>
        <v>147.04000000000002</v>
      </c>
      <c r="RJ415" s="56"/>
      <c r="RM415" s="55">
        <f t="shared" si="2885"/>
        <v>46376</v>
      </c>
      <c r="RN415" s="56"/>
      <c r="RO415" s="242">
        <f>SUMPRODUCT(PRODUCE!$B408:$DY408,PRODUCE!$EB$57:$IY$57)</f>
        <v>0</v>
      </c>
      <c r="RP415" s="56"/>
      <c r="RQ415" s="242">
        <f t="shared" si="2886"/>
        <v>0</v>
      </c>
      <c r="RR415" s="242">
        <f t="shared" si="2887"/>
        <v>46.8</v>
      </c>
      <c r="RS415" s="56"/>
      <c r="RV415" s="55">
        <f t="shared" si="2888"/>
        <v>46376</v>
      </c>
      <c r="RW415" s="56"/>
      <c r="RX415" s="242">
        <f>SUMPRODUCT(PRODUCE!$B408:$DY408,PRODUCE!$EB$57:$IY$57)</f>
        <v>0</v>
      </c>
      <c r="RY415" s="56"/>
      <c r="RZ415" s="242">
        <f t="shared" si="2889"/>
        <v>0</v>
      </c>
      <c r="SA415" s="242">
        <f t="shared" si="2890"/>
        <v>0</v>
      </c>
      <c r="SB415" s="56"/>
      <c r="SE415" s="55">
        <f t="shared" si="2891"/>
        <v>46376</v>
      </c>
      <c r="SF415" s="56"/>
      <c r="SG415" s="242">
        <f>SUMPRODUCT(PRODUCE!$B408:$DY408,PRODUCE!$EB$61:$IY$61)</f>
        <v>0</v>
      </c>
      <c r="SH415" s="56"/>
      <c r="SI415" s="242">
        <f t="shared" si="2892"/>
        <v>0</v>
      </c>
      <c r="SJ415" s="242">
        <f t="shared" si="2893"/>
        <v>24.200000000000003</v>
      </c>
      <c r="SK415" s="56"/>
      <c r="SN415" s="55">
        <f t="shared" si="2894"/>
        <v>46376</v>
      </c>
      <c r="SO415" s="56"/>
      <c r="SP415" s="242">
        <f>SUMPRODUCT(PRODUCE!$B408:$DY408,PRODUCE!$EB$57:$IY$57)</f>
        <v>0</v>
      </c>
      <c r="SQ415" s="56"/>
      <c r="SR415" s="242">
        <f t="shared" si="2895"/>
        <v>0</v>
      </c>
      <c r="SS415" s="242">
        <f t="shared" si="2896"/>
        <v>32</v>
      </c>
      <c r="ST415" s="56"/>
      <c r="SW415" s="55">
        <f t="shared" si="2897"/>
        <v>46376</v>
      </c>
      <c r="SX415" s="56"/>
      <c r="SY415" s="242">
        <f>SUMPRODUCT(PRODUCE!$B408:$DY408,PRODUCE!$EB$57:$IY$57)</f>
        <v>0</v>
      </c>
      <c r="SZ415" s="56"/>
      <c r="TA415" s="242">
        <f t="shared" si="2898"/>
        <v>0</v>
      </c>
      <c r="TB415" s="242">
        <f t="shared" si="2899"/>
        <v>0</v>
      </c>
      <c r="TC415" s="56"/>
      <c r="TF415" s="55">
        <f t="shared" si="2900"/>
        <v>46376</v>
      </c>
      <c r="TG415" s="56"/>
      <c r="TH415" s="242">
        <f>SUMPRODUCT(PRODUCE!$B408:$DY408,PRODUCE!$EB$57:$IY$57)</f>
        <v>0</v>
      </c>
      <c r="TI415" s="56"/>
      <c r="TJ415" s="242">
        <f t="shared" si="2901"/>
        <v>0</v>
      </c>
      <c r="TK415" s="242">
        <f t="shared" si="2902"/>
        <v>0</v>
      </c>
      <c r="TL415" s="56"/>
      <c r="TO415" s="55">
        <f t="shared" si="2903"/>
        <v>46376</v>
      </c>
      <c r="TP415" s="56"/>
      <c r="TQ415" s="242">
        <f>SUMPRODUCT(PRODUCE!$B408:$DY408,PRODUCE!$EB$57:$IY$57)</f>
        <v>0</v>
      </c>
      <c r="TR415" s="56"/>
      <c r="TS415" s="242">
        <f t="shared" si="2904"/>
        <v>0</v>
      </c>
      <c r="TT415" s="242">
        <f t="shared" si="2905"/>
        <v>0</v>
      </c>
      <c r="TU415" s="56"/>
      <c r="TX415" s="55">
        <f t="shared" si="2906"/>
        <v>46376</v>
      </c>
      <c r="TY415" s="56"/>
      <c r="TZ415" s="242">
        <f>SUMPRODUCT(PRODUCE!$B408:$DY408,PRODUCE!$EB$57:$IY$57)</f>
        <v>0</v>
      </c>
      <c r="UA415" s="56"/>
      <c r="UB415" s="242">
        <f t="shared" si="2907"/>
        <v>0</v>
      </c>
      <c r="UC415" s="242">
        <f t="shared" si="2908"/>
        <v>46.799999999999983</v>
      </c>
      <c r="UD415" s="56"/>
      <c r="UG415" s="55">
        <f t="shared" si="2909"/>
        <v>46376</v>
      </c>
      <c r="UH415" s="56"/>
      <c r="UI415" s="242">
        <f>SUMPRODUCT(PRODUCE!$B408:$DY408,PRODUCE!$EB$57:$IY$57)</f>
        <v>0</v>
      </c>
      <c r="UJ415" s="56"/>
      <c r="UK415" s="242">
        <f t="shared" si="2910"/>
        <v>0</v>
      </c>
      <c r="UL415" s="242">
        <f t="shared" si="2911"/>
        <v>204</v>
      </c>
      <c r="UM415" s="56"/>
      <c r="UP415" s="55">
        <f t="shared" si="2912"/>
        <v>46376</v>
      </c>
      <c r="UQ415" s="56"/>
      <c r="UR415" s="242">
        <f>SUMPRODUCT(PRODUCE!$B408:$DY408,PRODUCE!$EB$57:$IY$57)</f>
        <v>0</v>
      </c>
      <c r="US415" s="56"/>
      <c r="UT415" s="242">
        <f t="shared" si="2913"/>
        <v>0</v>
      </c>
      <c r="UU415" s="242">
        <f t="shared" si="2914"/>
        <v>202.5</v>
      </c>
      <c r="UV415" s="56"/>
      <c r="UY415" s="55">
        <f t="shared" si="2915"/>
        <v>46376</v>
      </c>
      <c r="UZ415" s="56"/>
      <c r="VA415" s="242">
        <f>SUMPRODUCT(PRODUCE!$B408:$DY408,PRODUCE!$EB$57:$IY$57)</f>
        <v>0</v>
      </c>
      <c r="VB415" s="56"/>
      <c r="VC415" s="242">
        <f t="shared" si="2916"/>
        <v>0</v>
      </c>
      <c r="VD415" s="242">
        <f t="shared" si="2917"/>
        <v>41.600000000000023</v>
      </c>
      <c r="VE415" s="56"/>
      <c r="VH415" s="55">
        <f t="shared" si="2918"/>
        <v>46376</v>
      </c>
      <c r="VI415" s="56"/>
      <c r="VJ415" s="242">
        <f>SUMPRODUCT(PRODUCE!$B408:$DY408,PRODUCE!$EB$57:$IY$57)</f>
        <v>0</v>
      </c>
      <c r="VK415" s="56"/>
      <c r="VL415" s="242">
        <f t="shared" si="2919"/>
        <v>0</v>
      </c>
      <c r="VM415" s="242">
        <f t="shared" si="2920"/>
        <v>210</v>
      </c>
      <c r="VN415" s="56"/>
      <c r="VQ415" s="55">
        <f t="shared" si="2921"/>
        <v>46376</v>
      </c>
      <c r="VR415" s="56"/>
      <c r="VS415" s="242">
        <f>SUMPRODUCT(PRODUCE!$B408:$DY408,PRODUCE!$EB$57:$IY$57)</f>
        <v>0</v>
      </c>
      <c r="VT415" s="56"/>
      <c r="VU415" s="242">
        <f t="shared" si="2922"/>
        <v>0</v>
      </c>
      <c r="VV415" s="242">
        <f t="shared" si="2923"/>
        <v>0</v>
      </c>
      <c r="VW415" s="56"/>
      <c r="VZ415" s="55">
        <f t="shared" si="2924"/>
        <v>46376</v>
      </c>
      <c r="WA415" s="56"/>
      <c r="WB415" s="242">
        <f>SUMPRODUCT(PRODUCE!$B408:$DY408,PRODUCE!$EB$57:$IY$57)</f>
        <v>0</v>
      </c>
      <c r="WC415" s="56"/>
      <c r="WD415" s="242">
        <f t="shared" si="2925"/>
        <v>0</v>
      </c>
      <c r="WE415" s="242">
        <f t="shared" si="2926"/>
        <v>0</v>
      </c>
      <c r="WF415" s="56"/>
      <c r="WI415" s="55">
        <f t="shared" si="2927"/>
        <v>46376</v>
      </c>
      <c r="WJ415" s="56"/>
      <c r="WK415" s="242">
        <f>SUMPRODUCT(PRODUCE!$B408:$DY408,PRODUCE!$EB$57:$IY$57)</f>
        <v>0</v>
      </c>
      <c r="WL415" s="56"/>
      <c r="WM415" s="242">
        <f t="shared" si="2928"/>
        <v>0</v>
      </c>
      <c r="WN415" s="242">
        <f t="shared" si="2929"/>
        <v>1057</v>
      </c>
      <c r="WO415" s="56"/>
      <c r="WR415" s="55">
        <f t="shared" si="2930"/>
        <v>46376</v>
      </c>
      <c r="WS415" s="56"/>
      <c r="WT415" s="242">
        <f>SUMPRODUCT(PRODUCE!$B408:$DY408,PRODUCE!$EB$57:$IY$57)</f>
        <v>0</v>
      </c>
      <c r="WU415" s="56"/>
      <c r="WV415" s="242">
        <f t="shared" si="2931"/>
        <v>0</v>
      </c>
      <c r="WW415" s="242">
        <f t="shared" si="2932"/>
        <v>0</v>
      </c>
      <c r="WX415" s="56"/>
      <c r="XA415" s="55">
        <f t="shared" si="2933"/>
        <v>46376</v>
      </c>
      <c r="XB415" s="56"/>
      <c r="XC415" s="242">
        <f>SUMPRODUCT(PRODUCE!$B408:$DY408,PRODUCE!$EB$57:$IY$57)</f>
        <v>0</v>
      </c>
      <c r="XD415" s="56"/>
      <c r="XE415" s="242">
        <f t="shared" si="2934"/>
        <v>0</v>
      </c>
      <c r="XF415" s="242">
        <f t="shared" si="2935"/>
        <v>7507</v>
      </c>
      <c r="XG415" s="56"/>
      <c r="XJ415" s="55">
        <f t="shared" si="2936"/>
        <v>46376</v>
      </c>
      <c r="XK415" s="56"/>
      <c r="XL415" s="242">
        <f>SUMPRODUCT(PRODUCE!$B408:$DY408,PRODUCE!$EB$57:$IY$57)</f>
        <v>0</v>
      </c>
      <c r="XM415" s="56"/>
      <c r="XN415" s="242">
        <f t="shared" si="2937"/>
        <v>0</v>
      </c>
      <c r="XO415" s="242">
        <f t="shared" si="2938"/>
        <v>4252</v>
      </c>
      <c r="XP415" s="56"/>
      <c r="XS415" s="55">
        <f t="shared" si="2939"/>
        <v>46376</v>
      </c>
      <c r="XT415" s="56"/>
      <c r="XU415" s="242">
        <f>SUMPRODUCT(PRODUCE!$B408:$DY408,PRODUCE!$EB$57:$IY$57)</f>
        <v>0</v>
      </c>
      <c r="XV415" s="56"/>
      <c r="XW415" s="242">
        <f t="shared" si="2940"/>
        <v>0</v>
      </c>
      <c r="XX415" s="242">
        <f t="shared" si="2941"/>
        <v>2179</v>
      </c>
      <c r="XY415" s="56"/>
      <c r="YB415" s="55">
        <f t="shared" si="2942"/>
        <v>46376</v>
      </c>
      <c r="YC415" s="56"/>
      <c r="YD415" s="242">
        <f>SUMPRODUCT(PRODUCE!$B408:$DY408,PRODUCE!$EB$57:$IY$57)</f>
        <v>0</v>
      </c>
      <c r="YE415" s="56"/>
      <c r="YF415" s="242">
        <f t="shared" si="2943"/>
        <v>0</v>
      </c>
      <c r="YG415" s="242">
        <f t="shared" si="2944"/>
        <v>4019</v>
      </c>
      <c r="YH415" s="56"/>
      <c r="YK415" s="55">
        <f t="shared" si="2945"/>
        <v>46376</v>
      </c>
      <c r="YL415" s="56"/>
      <c r="YM415" s="242">
        <f>SUMPRODUCT(PRODUCE!$B408:$DY408,PRODUCE!$EB$57:$IY$57)</f>
        <v>0</v>
      </c>
      <c r="YN415" s="56"/>
      <c r="YO415" s="242">
        <f t="shared" si="2946"/>
        <v>0</v>
      </c>
      <c r="YP415" s="242">
        <f t="shared" si="2947"/>
        <v>-218</v>
      </c>
      <c r="YQ415" s="56"/>
      <c r="YT415" s="55">
        <f t="shared" si="2948"/>
        <v>46376</v>
      </c>
      <c r="YU415" s="56"/>
      <c r="YV415" s="242">
        <f>SUMPRODUCT(PRODUCE!$B408:$DY408,PRODUCE!$EB$57:$IY$57)</f>
        <v>0</v>
      </c>
      <c r="YW415" s="56"/>
      <c r="YX415" s="242">
        <f t="shared" si="2949"/>
        <v>0</v>
      </c>
      <c r="YY415" s="242">
        <f t="shared" si="2950"/>
        <v>0</v>
      </c>
      <c r="YZ415" s="56"/>
      <c r="ZC415" s="55">
        <f t="shared" si="2951"/>
        <v>46376</v>
      </c>
      <c r="ZD415" s="56"/>
      <c r="ZE415" s="242">
        <f>SUMPRODUCT(PRODUCE!$B408:$DY408,PRODUCE!$EB$57:$IY$57)</f>
        <v>0</v>
      </c>
      <c r="ZF415" s="56"/>
      <c r="ZG415" s="242">
        <f t="shared" si="2952"/>
        <v>0</v>
      </c>
      <c r="ZH415" s="242">
        <f t="shared" si="2953"/>
        <v>0</v>
      </c>
      <c r="ZI415" s="56"/>
      <c r="ZL415" s="55">
        <f t="shared" si="2954"/>
        <v>46376</v>
      </c>
      <c r="ZM415" s="56"/>
      <c r="ZN415" s="242">
        <f>SUMPRODUCT(PRODUCE!$B408:$DY408,PRODUCE!$EB$57:$IY$57)</f>
        <v>0</v>
      </c>
      <c r="ZO415" s="56"/>
      <c r="ZP415" s="242">
        <f t="shared" si="2955"/>
        <v>0</v>
      </c>
      <c r="ZQ415" s="242">
        <f t="shared" si="2956"/>
        <v>0</v>
      </c>
      <c r="ZR415" s="56"/>
      <c r="ZU415" s="55">
        <f t="shared" si="2957"/>
        <v>46376</v>
      </c>
      <c r="ZV415" s="56"/>
      <c r="ZW415" s="242">
        <f>SUMPRODUCT(PRODUCE!$B408:$DY408,PRODUCE!$EB$57:$IY$57)</f>
        <v>0</v>
      </c>
      <c r="ZX415" s="56"/>
      <c r="ZY415" s="242">
        <f t="shared" si="2958"/>
        <v>0</v>
      </c>
      <c r="ZZ415" s="242">
        <f t="shared" si="2959"/>
        <v>0</v>
      </c>
      <c r="AAA415" s="56"/>
      <c r="AAD415" s="55">
        <f t="shared" si="2960"/>
        <v>46376</v>
      </c>
      <c r="AAE415" s="56"/>
      <c r="AAF415" s="242">
        <f>SUMPRODUCT(PRODUCE!$B408:$DY408,PRODUCE!$EB$57:$IY$57)</f>
        <v>0</v>
      </c>
      <c r="AAG415" s="56"/>
      <c r="AAH415" s="242">
        <f t="shared" si="2961"/>
        <v>0</v>
      </c>
      <c r="AAI415" s="242">
        <f t="shared" si="2962"/>
        <v>0</v>
      </c>
      <c r="AAJ415" s="56"/>
      <c r="AAM415" s="55">
        <f t="shared" si="2963"/>
        <v>46376</v>
      </c>
      <c r="AAN415" s="56"/>
      <c r="AAO415" s="242">
        <f>SUMPRODUCT(PRODUCE!$B408:$DY408,PRODUCE!$EB$57:$IY$57)</f>
        <v>0</v>
      </c>
      <c r="AAP415" s="56"/>
      <c r="AAQ415" s="242">
        <f t="shared" si="2964"/>
        <v>0</v>
      </c>
      <c r="AAR415" s="242">
        <f t="shared" si="2965"/>
        <v>0</v>
      </c>
      <c r="AAS415" s="56"/>
      <c r="AAV415" s="55">
        <f t="shared" si="2966"/>
        <v>46376</v>
      </c>
      <c r="AAW415" s="56"/>
      <c r="AAX415" s="242">
        <f>SUMPRODUCT(PRODUCE!$B408:$DY408,PRODUCE!$EB$57:$IY$57)</f>
        <v>0</v>
      </c>
      <c r="AAY415" s="56"/>
      <c r="AAZ415" s="242">
        <f t="shared" si="2967"/>
        <v>0</v>
      </c>
      <c r="ABA415" s="242">
        <f t="shared" si="2968"/>
        <v>0</v>
      </c>
      <c r="ABB415" s="56"/>
      <c r="ABE415" s="55">
        <f t="shared" si="2969"/>
        <v>46376</v>
      </c>
      <c r="ABF415" s="56"/>
      <c r="ABG415" s="242">
        <f>SUMPRODUCT(PRODUCE!$B408:$DY408,PRODUCE!$EB$57:$IY$57)</f>
        <v>0</v>
      </c>
      <c r="ABH415" s="56"/>
      <c r="ABI415" s="242">
        <f t="shared" si="2970"/>
        <v>0</v>
      </c>
      <c r="ABJ415" s="242">
        <f t="shared" si="2971"/>
        <v>0</v>
      </c>
      <c r="ABK415" s="56"/>
    </row>
    <row r="416" spans="2:739" s="54" customFormat="1" ht="15" customHeight="1" outlineLevel="1">
      <c r="B416" s="478"/>
      <c r="C416" s="55">
        <v>46377</v>
      </c>
      <c r="D416" s="56"/>
      <c r="E416" s="57">
        <f>SUMPRODUCT(PRODUCE!$B409:$DY409,PRODUCE!$EB$7:$IY$7)</f>
        <v>0</v>
      </c>
      <c r="F416" s="56"/>
      <c r="G416" s="57">
        <f t="shared" si="2727"/>
        <v>0</v>
      </c>
      <c r="H416" s="57">
        <f t="shared" si="2728"/>
        <v>236936.6</v>
      </c>
      <c r="I416" s="289"/>
      <c r="L416" s="55">
        <f t="shared" si="2729"/>
        <v>46377</v>
      </c>
      <c r="M416" s="56"/>
      <c r="N416" s="59">
        <f>SUMPRODUCT(PRODUCE!$B409:$DY409,PRODUCE!$EB$8:$IY$8)</f>
        <v>0</v>
      </c>
      <c r="O416" s="56"/>
      <c r="P416" s="59">
        <f t="shared" si="2730"/>
        <v>0</v>
      </c>
      <c r="Q416" s="59">
        <f t="shared" si="2731"/>
        <v>53017.600000000071</v>
      </c>
      <c r="R416" s="56"/>
      <c r="U416" s="55">
        <f t="shared" si="2732"/>
        <v>46377</v>
      </c>
      <c r="V416" s="56"/>
      <c r="W416" s="60">
        <f>SUMPRODUCT(PRODUCE!$B409:$DY409,PRODUCE!$EB$9:$IY$9)</f>
        <v>0</v>
      </c>
      <c r="X416" s="56"/>
      <c r="Y416" s="60">
        <f t="shared" si="2733"/>
        <v>0</v>
      </c>
      <c r="Z416" s="60">
        <f t="shared" si="2734"/>
        <v>42674.199999999968</v>
      </c>
      <c r="AA416" s="56"/>
      <c r="AD416" s="55">
        <f t="shared" si="2735"/>
        <v>46377</v>
      </c>
      <c r="AE416" s="56"/>
      <c r="AF416" s="61">
        <f>SUMPRODUCT(PRODUCE!$B409:$DY409,PRODUCE!$EB$10:$IY$10)</f>
        <v>0</v>
      </c>
      <c r="AG416" s="56"/>
      <c r="AH416" s="61">
        <f t="shared" si="2736"/>
        <v>0</v>
      </c>
      <c r="AI416" s="61">
        <f t="shared" si="2737"/>
        <v>4522.2000000000189</v>
      </c>
      <c r="AJ416" s="56"/>
      <c r="AM416" s="55">
        <f t="shared" si="2738"/>
        <v>46377</v>
      </c>
      <c r="AN416" s="422"/>
      <c r="AO416" s="444">
        <f>SUMPRODUCT(PRODUCE!$B409:$DY409,PRODUCE!$EB$11:$IY$11)</f>
        <v>0</v>
      </c>
      <c r="AP416" s="422"/>
      <c r="AQ416" s="444">
        <f t="shared" si="2739"/>
        <v>0</v>
      </c>
      <c r="AR416" s="444">
        <f t="shared" si="2740"/>
        <v>0</v>
      </c>
      <c r="AS416" s="56"/>
      <c r="AV416" s="55">
        <f t="shared" si="2741"/>
        <v>46377</v>
      </c>
      <c r="AW416" s="56"/>
      <c r="AX416" s="62">
        <f>SUMPRODUCT(PRODUCE!$B409:$DY409,PRODUCE!$EB$12:$IY$12)</f>
        <v>0</v>
      </c>
      <c r="AY416" s="56"/>
      <c r="AZ416" s="62">
        <f t="shared" si="2742"/>
        <v>0</v>
      </c>
      <c r="BA416" s="62">
        <f t="shared" si="2743"/>
        <v>124.99999999999523</v>
      </c>
      <c r="BB416" s="56"/>
      <c r="BE416" s="55">
        <f t="shared" si="2744"/>
        <v>46377</v>
      </c>
      <c r="BF416" s="56"/>
      <c r="BG416" s="63">
        <f>SUMPRODUCT(PRODUCE!$B409:$DY409,PRODUCE!$EB$13:$IY$13)</f>
        <v>0</v>
      </c>
      <c r="BH416" s="56"/>
      <c r="BI416" s="63">
        <f t="shared" si="2745"/>
        <v>0</v>
      </c>
      <c r="BJ416" s="63">
        <f t="shared" si="2746"/>
        <v>26151.899999999998</v>
      </c>
      <c r="BK416" s="56"/>
      <c r="BN416" s="55">
        <f t="shared" si="2747"/>
        <v>46377</v>
      </c>
      <c r="BO416" s="56"/>
      <c r="BP416" s="64">
        <f>SUMPRODUCT(PRODUCE!$B409:$DY409,PRODUCE!$EB$14:$IY$14)</f>
        <v>0</v>
      </c>
      <c r="BQ416" s="56"/>
      <c r="BR416" s="64">
        <f t="shared" si="2748"/>
        <v>0</v>
      </c>
      <c r="BS416" s="64">
        <f t="shared" si="2749"/>
        <v>0</v>
      </c>
      <c r="BT416" s="56"/>
      <c r="BW416" s="55">
        <f t="shared" si="2750"/>
        <v>46377</v>
      </c>
      <c r="BX416" s="56"/>
      <c r="BY416" s="65">
        <f>SUMPRODUCT(PRODUCE!$B409:$DY409,PRODUCE!$EB$15:$IY$15)</f>
        <v>0</v>
      </c>
      <c r="BZ416" s="56"/>
      <c r="CA416" s="65">
        <f t="shared" si="2751"/>
        <v>0</v>
      </c>
      <c r="CB416" s="65">
        <f t="shared" si="2752"/>
        <v>2097.3399999999992</v>
      </c>
      <c r="CC416" s="56"/>
      <c r="CF416" s="55">
        <f t="shared" si="2753"/>
        <v>46377</v>
      </c>
      <c r="CG416" s="56"/>
      <c r="CH416" s="66">
        <f>SUMPRODUCT(PRODUCE!$B409:$DY409,PRODUCE!$EB$16:$IY$16)</f>
        <v>0</v>
      </c>
      <c r="CI416" s="56"/>
      <c r="CJ416" s="66">
        <f t="shared" si="2754"/>
        <v>0</v>
      </c>
      <c r="CK416" s="66">
        <f t="shared" si="2755"/>
        <v>-10277.079999999998</v>
      </c>
      <c r="CL416" s="56"/>
      <c r="CO416" s="55">
        <f t="shared" si="2756"/>
        <v>46377</v>
      </c>
      <c r="CP416" s="422"/>
      <c r="CQ416" s="470">
        <f>SUMPRODUCT(PRODUCE!$B409:$DY409,PRODUCE!$EB$17:$IY$17)</f>
        <v>0</v>
      </c>
      <c r="CR416" s="422"/>
      <c r="CS416" s="470">
        <f t="shared" si="2757"/>
        <v>0</v>
      </c>
      <c r="CT416" s="470">
        <f t="shared" si="2758"/>
        <v>0</v>
      </c>
      <c r="CU416" s="56"/>
      <c r="CX416" s="55">
        <f t="shared" si="2759"/>
        <v>46377</v>
      </c>
      <c r="CY416" s="56"/>
      <c r="CZ416" s="133">
        <f>SUMPRODUCT(PRODUCE!$B409:$DY409,PRODUCE!$EB$18:$IY$18)</f>
        <v>0</v>
      </c>
      <c r="DA416" s="56"/>
      <c r="DB416" s="133">
        <f t="shared" si="2760"/>
        <v>0</v>
      </c>
      <c r="DC416" s="133">
        <f t="shared" si="2761"/>
        <v>27438.200000000012</v>
      </c>
      <c r="DD416" s="56"/>
      <c r="DG416" s="55">
        <f t="shared" si="2762"/>
        <v>46377</v>
      </c>
      <c r="DH416" s="56"/>
      <c r="DI416" s="147">
        <f>SUMPRODUCT(PRODUCE!$B409:$DY409,PRODUCE!$EB$19:$IY$19)</f>
        <v>0</v>
      </c>
      <c r="DJ416" s="56"/>
      <c r="DK416" s="147">
        <f t="shared" si="2763"/>
        <v>0</v>
      </c>
      <c r="DL416" s="147">
        <f t="shared" si="2764"/>
        <v>18782.299999999981</v>
      </c>
      <c r="DM416" s="56"/>
      <c r="DP416" s="55">
        <f t="shared" si="2765"/>
        <v>46377</v>
      </c>
      <c r="DQ416" s="56"/>
      <c r="DR416" s="57">
        <f>SUMPRODUCT(PRODUCE!$B409:$DY409,PRODUCE!$EB$20:$IY$20)</f>
        <v>0</v>
      </c>
      <c r="DS416" s="56"/>
      <c r="DT416" s="57">
        <f t="shared" si="2766"/>
        <v>0</v>
      </c>
      <c r="DU416" s="57">
        <f t="shared" si="2767"/>
        <v>5800</v>
      </c>
      <c r="DV416" s="56"/>
      <c r="DY416" s="55">
        <f t="shared" si="2768"/>
        <v>46377</v>
      </c>
      <c r="DZ416" s="56"/>
      <c r="EA416" s="157">
        <f>SUMPRODUCT(PRODUCE!$B409:$DY409,PRODUCE!$EB$21:$IY$21)</f>
        <v>0</v>
      </c>
      <c r="EB416" s="56"/>
      <c r="EC416" s="157">
        <f t="shared" si="2769"/>
        <v>0</v>
      </c>
      <c r="ED416" s="157">
        <f t="shared" si="2770"/>
        <v>0</v>
      </c>
      <c r="EE416" s="56"/>
      <c r="EH416" s="55">
        <f t="shared" si="2771"/>
        <v>46377</v>
      </c>
      <c r="EI416" s="56"/>
      <c r="EJ416" s="162">
        <f>SUMPRODUCT(PRODUCE!$B409:$DY409,PRODUCE!$EB$22:$IY$22)</f>
        <v>0</v>
      </c>
      <c r="EK416" s="56"/>
      <c r="EL416" s="162">
        <f t="shared" si="2772"/>
        <v>0</v>
      </c>
      <c r="EM416" s="162">
        <f t="shared" si="2773"/>
        <v>0</v>
      </c>
      <c r="EN416" s="56"/>
      <c r="EQ416" s="55">
        <f t="shared" si="2774"/>
        <v>46377</v>
      </c>
      <c r="ER416" s="56"/>
      <c r="ES416" s="135">
        <f>SUMPRODUCT(PRODUCE!$B409:$DY409,PRODUCE!$EB$23:$IY$23)</f>
        <v>0</v>
      </c>
      <c r="ET416" s="56"/>
      <c r="EU416" s="135">
        <f t="shared" si="2775"/>
        <v>0</v>
      </c>
      <c r="EV416" s="135">
        <f t="shared" si="2776"/>
        <v>0</v>
      </c>
      <c r="EW416" s="56"/>
      <c r="EZ416" s="55">
        <f t="shared" si="2777"/>
        <v>46377</v>
      </c>
      <c r="FA416" s="56"/>
      <c r="FB416" s="175">
        <f>SUMPRODUCT(PRODUCE!$B409:$DY409,PRODUCE!$EB$24:$IY$24)</f>
        <v>0</v>
      </c>
      <c r="FC416" s="56"/>
      <c r="FD416" s="175">
        <f t="shared" si="2778"/>
        <v>0</v>
      </c>
      <c r="FE416" s="175">
        <f t="shared" si="2779"/>
        <v>0</v>
      </c>
      <c r="FF416" s="56"/>
      <c r="FI416" s="55">
        <f t="shared" si="2780"/>
        <v>46377</v>
      </c>
      <c r="FJ416" s="56"/>
      <c r="FK416" s="183">
        <f>SUMPRODUCT(PRODUCE!$B409:$DY409,PRODUCE!$EB$25:$IY$25)</f>
        <v>0</v>
      </c>
      <c r="FL416" s="56"/>
      <c r="FM416" s="183">
        <f t="shared" si="2781"/>
        <v>0</v>
      </c>
      <c r="FN416" s="183">
        <f t="shared" si="2782"/>
        <v>0</v>
      </c>
      <c r="FO416" s="56"/>
      <c r="FR416" s="55">
        <f t="shared" si="2783"/>
        <v>46377</v>
      </c>
      <c r="FS416" s="56"/>
      <c r="FT416" s="186">
        <f>SUMPRODUCT(PRODUCE!$B409:$DY409,PRODUCE!$EB$26:$IY$26)</f>
        <v>0</v>
      </c>
      <c r="FU416" s="56"/>
      <c r="FV416" s="186">
        <f t="shared" si="2784"/>
        <v>0</v>
      </c>
      <c r="FW416" s="186">
        <f t="shared" si="2785"/>
        <v>2020</v>
      </c>
      <c r="FX416" s="56"/>
      <c r="GA416" s="55">
        <f t="shared" si="2786"/>
        <v>46377</v>
      </c>
      <c r="GB416" s="56"/>
      <c r="GC416" s="137">
        <f>SUMPRODUCT(PRODUCE!$B409:$DY409,PRODUCE!$EB$27:$IY$27)</f>
        <v>0</v>
      </c>
      <c r="GD416" s="56"/>
      <c r="GE416" s="137">
        <f t="shared" si="2787"/>
        <v>0</v>
      </c>
      <c r="GF416" s="137">
        <f t="shared" si="2788"/>
        <v>960</v>
      </c>
      <c r="GG416" s="56"/>
      <c r="GI416" s="23"/>
      <c r="GJ416" s="55">
        <f t="shared" si="2789"/>
        <v>46377</v>
      </c>
      <c r="GK416" s="56"/>
      <c r="GL416" s="199">
        <f>SUMPRODUCT(PRODUCE!$B409:$DY409,PRODUCE!$EB$28:$IY$28)</f>
        <v>0</v>
      </c>
      <c r="GM416" s="56"/>
      <c r="GN416" s="199">
        <f t="shared" si="2790"/>
        <v>0</v>
      </c>
      <c r="GO416" s="199">
        <f t="shared" si="2791"/>
        <v>1760</v>
      </c>
      <c r="GP416" s="56"/>
      <c r="GS416" s="55">
        <f t="shared" si="2792"/>
        <v>46377</v>
      </c>
      <c r="GT416" s="56"/>
      <c r="GU416" s="195">
        <f>SUMPRODUCT(PRODUCE!$B409:$DY409,PRODUCE!$EB$29:$IY$29)</f>
        <v>0</v>
      </c>
      <c r="GV416" s="56"/>
      <c r="GW416" s="195">
        <f t="shared" si="2793"/>
        <v>0</v>
      </c>
      <c r="GX416" s="195">
        <f t="shared" si="2794"/>
        <v>400</v>
      </c>
      <c r="GY416" s="56"/>
      <c r="HB416" s="55">
        <f t="shared" si="2795"/>
        <v>46377</v>
      </c>
      <c r="HC416" s="56"/>
      <c r="HD416" s="191">
        <f>SUMPRODUCT(PRODUCE!$B409:$DY409,PRODUCE!$EB$30:$IY$30)</f>
        <v>0</v>
      </c>
      <c r="HE416" s="56"/>
      <c r="HF416" s="191">
        <f t="shared" si="2796"/>
        <v>0</v>
      </c>
      <c r="HG416" s="191">
        <f t="shared" si="2797"/>
        <v>3600</v>
      </c>
      <c r="HH416" s="56"/>
      <c r="HK416" s="55">
        <f t="shared" si="2798"/>
        <v>46377</v>
      </c>
      <c r="HL416" s="56"/>
      <c r="HM416" s="63">
        <f>SUMPRODUCT(PRODUCE!$B409:$DY409,PRODUCE!$EB$31:$IY$31)</f>
        <v>0</v>
      </c>
      <c r="HN416" s="56"/>
      <c r="HO416" s="63">
        <f t="shared" si="2799"/>
        <v>0</v>
      </c>
      <c r="HP416" s="63">
        <f t="shared" si="2800"/>
        <v>0</v>
      </c>
      <c r="HQ416" s="56"/>
      <c r="HU416" s="55">
        <f t="shared" si="2801"/>
        <v>46377</v>
      </c>
      <c r="HV416" s="56"/>
      <c r="HW416" s="242">
        <f>SUMPRODUCT(PRODUCE!$B409:$DY409,PRODUCE!$EB$32:$IY$32)</f>
        <v>0</v>
      </c>
      <c r="HX416" s="56"/>
      <c r="HY416" s="242">
        <f t="shared" si="2802"/>
        <v>0</v>
      </c>
      <c r="HZ416" s="242">
        <f t="shared" si="2803"/>
        <v>6120</v>
      </c>
      <c r="IA416" s="56"/>
      <c r="ID416" s="55">
        <f t="shared" si="2804"/>
        <v>46377</v>
      </c>
      <c r="IE416" s="56"/>
      <c r="IF416" s="242">
        <f>SUMPRODUCT(PRODUCE!$B409:$DY409,PRODUCE!$EB$33:$IY$33)</f>
        <v>0</v>
      </c>
      <c r="IG416" s="56"/>
      <c r="IH416" s="242">
        <f t="shared" si="2805"/>
        <v>0</v>
      </c>
      <c r="II416" s="242">
        <f t="shared" si="2806"/>
        <v>0</v>
      </c>
      <c r="IJ416" s="56"/>
      <c r="IM416" s="55">
        <f t="shared" si="2807"/>
        <v>46377</v>
      </c>
      <c r="IN416" s="56"/>
      <c r="IO416" s="242">
        <f>SUMPRODUCT(PRODUCE!$B409:$DY409,PRODUCE!$EB$34:$IY$34)</f>
        <v>0</v>
      </c>
      <c r="IP416" s="56"/>
      <c r="IQ416" s="242">
        <f t="shared" si="2808"/>
        <v>0</v>
      </c>
      <c r="IR416" s="242">
        <f t="shared" si="2809"/>
        <v>0</v>
      </c>
      <c r="IS416" s="56"/>
      <c r="IV416" s="55">
        <f t="shared" si="2810"/>
        <v>46377</v>
      </c>
      <c r="IW416" s="56"/>
      <c r="IX416" s="242">
        <f>SUMPRODUCT(PRODUCE!$B409:$DY409,PRODUCE!$EB$35:$IY$35)</f>
        <v>0</v>
      </c>
      <c r="IY416" s="56"/>
      <c r="IZ416" s="242">
        <f t="shared" si="2811"/>
        <v>0</v>
      </c>
      <c r="JA416" s="242">
        <f t="shared" si="2812"/>
        <v>2820</v>
      </c>
      <c r="JB416" s="56"/>
      <c r="JE416" s="55">
        <f t="shared" si="2813"/>
        <v>46377</v>
      </c>
      <c r="JF416" s="56"/>
      <c r="JG416" s="242">
        <f>SUMPRODUCT(PRODUCE!$B409:$DY409,PRODUCE!$EB$36:$IY$36)</f>
        <v>0</v>
      </c>
      <c r="JH416" s="56"/>
      <c r="JI416" s="242">
        <f t="shared" si="2814"/>
        <v>0</v>
      </c>
      <c r="JJ416" s="242">
        <f t="shared" si="2815"/>
        <v>0</v>
      </c>
      <c r="JK416" s="56"/>
      <c r="JN416" s="55">
        <f t="shared" si="2816"/>
        <v>46377</v>
      </c>
      <c r="JO416" s="56"/>
      <c r="JP416" s="242">
        <f>SUMPRODUCT(PRODUCE!$B409:$DY409,PRODUCE!$EB$37:$IY$37)</f>
        <v>0</v>
      </c>
      <c r="JQ416" s="56"/>
      <c r="JR416" s="242">
        <f t="shared" si="2817"/>
        <v>0</v>
      </c>
      <c r="JS416" s="242">
        <f t="shared" si="2818"/>
        <v>0</v>
      </c>
      <c r="JT416" s="56"/>
      <c r="JW416" s="55">
        <f t="shared" si="2819"/>
        <v>46377</v>
      </c>
      <c r="JX416" s="56"/>
      <c r="JY416" s="242">
        <f>SUMPRODUCT(PRODUCE!$B409:$DY409,PRODUCE!$EB$38:$IY$38)</f>
        <v>0</v>
      </c>
      <c r="JZ416" s="56"/>
      <c r="KA416" s="242">
        <f t="shared" si="2820"/>
        <v>0</v>
      </c>
      <c r="KB416" s="242">
        <f t="shared" si="2821"/>
        <v>2540</v>
      </c>
      <c r="KC416" s="56"/>
      <c r="KF416" s="55">
        <f t="shared" si="2822"/>
        <v>46377</v>
      </c>
      <c r="KG416" s="56"/>
      <c r="KH416" s="242">
        <f>SUMPRODUCT(PRODUCE!$B409:$DY409,PRODUCE!$EB$39:$IY$39)</f>
        <v>0</v>
      </c>
      <c r="KI416" s="56"/>
      <c r="KJ416" s="242">
        <f t="shared" si="2823"/>
        <v>0</v>
      </c>
      <c r="KK416" s="242">
        <f t="shared" si="2824"/>
        <v>2359.5</v>
      </c>
      <c r="KL416" s="56"/>
      <c r="KO416" s="55">
        <f t="shared" si="2825"/>
        <v>46377</v>
      </c>
      <c r="KP416" s="56"/>
      <c r="KQ416" s="242">
        <f>SUMPRODUCT(PRODUCE!$B409:$DY409,PRODUCE!$EB$40:$IY$40)</f>
        <v>0</v>
      </c>
      <c r="KR416" s="56"/>
      <c r="KS416" s="242">
        <f t="shared" si="2826"/>
        <v>0</v>
      </c>
      <c r="KT416" s="242">
        <f t="shared" si="2827"/>
        <v>1890</v>
      </c>
      <c r="KU416" s="56"/>
      <c r="KW416" s="23"/>
      <c r="KX416" s="55">
        <f t="shared" si="2828"/>
        <v>46377</v>
      </c>
      <c r="KY416" s="56"/>
      <c r="KZ416" s="242">
        <f>SUMPRODUCT(PRODUCE!$B409:$DY409,PRODUCE!$EB$41:$IY$41)</f>
        <v>0</v>
      </c>
      <c r="LA416" s="56"/>
      <c r="LB416" s="242">
        <f t="shared" si="2829"/>
        <v>0</v>
      </c>
      <c r="LC416" s="242">
        <f t="shared" si="2830"/>
        <v>3690</v>
      </c>
      <c r="LD416" s="56"/>
      <c r="LG416" s="55">
        <f t="shared" si="2831"/>
        <v>46377</v>
      </c>
      <c r="LH416" s="56"/>
      <c r="LI416" s="242">
        <f>SUMPRODUCT(PRODUCE!$B409:$DY409,PRODUCE!$EB$42:$IY$42)</f>
        <v>0</v>
      </c>
      <c r="LJ416" s="56"/>
      <c r="LK416" s="242">
        <f t="shared" si="2832"/>
        <v>0</v>
      </c>
      <c r="LL416" s="242">
        <f t="shared" si="2833"/>
        <v>4000</v>
      </c>
      <c r="LM416" s="56"/>
      <c r="LP416" s="55">
        <f t="shared" si="2834"/>
        <v>46377</v>
      </c>
      <c r="LQ416" s="56"/>
      <c r="LR416" s="242">
        <f>SUMPRODUCT(PRODUCE!$B431:$DY431,PRODUCE!$EB$43:$IY$43)</f>
        <v>0</v>
      </c>
      <c r="LS416" s="56"/>
      <c r="LT416" s="242">
        <f t="shared" si="2835"/>
        <v>0</v>
      </c>
      <c r="LU416" s="242">
        <f t="shared" si="2836"/>
        <v>0</v>
      </c>
      <c r="LV416" s="56"/>
      <c r="LY416" s="55">
        <f t="shared" si="2837"/>
        <v>46377</v>
      </c>
      <c r="LZ416" s="56"/>
      <c r="MA416" s="242">
        <f>SUMPRODUCT(PRODUCE!$B409:$DY409,PRODUCE!$EB$44:$IY$44)</f>
        <v>0</v>
      </c>
      <c r="MB416" s="56"/>
      <c r="MC416" s="242">
        <f t="shared" si="2838"/>
        <v>0</v>
      </c>
      <c r="MD416" s="242">
        <f t="shared" si="2839"/>
        <v>0</v>
      </c>
      <c r="ME416" s="56"/>
      <c r="MH416" s="55">
        <f t="shared" si="2840"/>
        <v>46377</v>
      </c>
      <c r="MI416" s="56"/>
      <c r="MJ416" s="242">
        <f>SUMPRODUCT(PRODUCE!$B409:$DY409,PRODUCE!$EB$45:$IY$45)</f>
        <v>0</v>
      </c>
      <c r="MK416" s="56"/>
      <c r="ML416" s="242">
        <f t="shared" si="2841"/>
        <v>0</v>
      </c>
      <c r="MM416" s="242">
        <f t="shared" si="2842"/>
        <v>-18</v>
      </c>
      <c r="MN416" s="56"/>
      <c r="MQ416" s="55">
        <f t="shared" si="2843"/>
        <v>46377</v>
      </c>
      <c r="MR416" s="56"/>
      <c r="MS416" s="242">
        <f>SUMPRODUCT(PRODUCE!$B409:$DY409,PRODUCE!$EB$46:$IY$46)</f>
        <v>0</v>
      </c>
      <c r="MT416" s="56"/>
      <c r="MU416" s="242">
        <f t="shared" si="2844"/>
        <v>0</v>
      </c>
      <c r="MV416" s="242">
        <f t="shared" si="2845"/>
        <v>1559</v>
      </c>
      <c r="MW416" s="56"/>
      <c r="MZ416" s="55">
        <f t="shared" si="2846"/>
        <v>46377</v>
      </c>
      <c r="NA416" s="56"/>
      <c r="NB416" s="242">
        <f>SUMPRODUCT(PRODUCE!$B409:$DY409,PRODUCE!$EB$47:$IY$47)</f>
        <v>0</v>
      </c>
      <c r="NC416" s="56"/>
      <c r="ND416" s="242">
        <f t="shared" si="2847"/>
        <v>0</v>
      </c>
      <c r="NE416" s="242">
        <f t="shared" si="2848"/>
        <v>0</v>
      </c>
      <c r="NF416" s="56"/>
      <c r="NI416" s="55">
        <f t="shared" si="2849"/>
        <v>46377</v>
      </c>
      <c r="NJ416" s="56"/>
      <c r="NK416" s="242">
        <f>SUMPRODUCT(PRODUCE!$B409:$DY409,PRODUCE!$EB$48:$IY$48)</f>
        <v>0</v>
      </c>
      <c r="NL416" s="56"/>
      <c r="NM416" s="242">
        <f t="shared" si="2850"/>
        <v>0</v>
      </c>
      <c r="NN416" s="242">
        <f t="shared" si="2851"/>
        <v>1127</v>
      </c>
      <c r="NO416" s="56"/>
      <c r="NR416" s="55">
        <f t="shared" si="2852"/>
        <v>46377</v>
      </c>
      <c r="NS416" s="56"/>
      <c r="NT416" s="242">
        <f>SUMPRODUCT(PRODUCE!$B409:$DY409,PRODUCE!$EB$49:$IY$49)</f>
        <v>0</v>
      </c>
      <c r="NU416" s="56"/>
      <c r="NV416" s="242">
        <f t="shared" si="2853"/>
        <v>0</v>
      </c>
      <c r="NW416" s="242">
        <f t="shared" si="2854"/>
        <v>3111.9999999999995</v>
      </c>
      <c r="NX416" s="56"/>
      <c r="OA416" s="55">
        <f t="shared" si="2855"/>
        <v>46377</v>
      </c>
      <c r="OB416" s="56"/>
      <c r="OC416" s="242">
        <f>SUMPRODUCT(PRODUCE!$B409:$DY409,PRODUCE!$EB$50:$IY$50)</f>
        <v>0</v>
      </c>
      <c r="OD416" s="56"/>
      <c r="OE416" s="242">
        <f t="shared" si="2856"/>
        <v>0</v>
      </c>
      <c r="OF416" s="242">
        <f t="shared" si="2857"/>
        <v>1680.5</v>
      </c>
      <c r="OG416" s="56"/>
      <c r="OJ416" s="55">
        <f t="shared" si="2858"/>
        <v>46377</v>
      </c>
      <c r="OK416" s="56"/>
      <c r="OL416" s="242">
        <f>SUMPRODUCT(PRODUCE!$B409:$DY409,PRODUCE!$EB$51:$IY$51)</f>
        <v>0</v>
      </c>
      <c r="OM416" s="56"/>
      <c r="ON416" s="242">
        <f t="shared" si="2859"/>
        <v>0</v>
      </c>
      <c r="OO416" s="242">
        <f t="shared" si="2860"/>
        <v>0</v>
      </c>
      <c r="OP416" s="56"/>
      <c r="OS416" s="55">
        <f t="shared" si="2861"/>
        <v>46377</v>
      </c>
      <c r="OT416" s="56"/>
      <c r="OU416" s="242">
        <f>SUMPRODUCT(PRODUCE!$B409:$DY409,PRODUCE!$EB$52:$IY$52)</f>
        <v>0</v>
      </c>
      <c r="OV416" s="56"/>
      <c r="OW416" s="242">
        <f t="shared" si="2862"/>
        <v>0</v>
      </c>
      <c r="OX416" s="242">
        <f t="shared" si="2863"/>
        <v>1482</v>
      </c>
      <c r="OY416" s="56"/>
      <c r="PB416" s="55">
        <f t="shared" si="2864"/>
        <v>46377</v>
      </c>
      <c r="PC416" s="56"/>
      <c r="PD416" s="242">
        <f>SUMPRODUCT(PRODUCE!$B409:$DY409,PRODUCE!$EB$53:$IY$53)</f>
        <v>0</v>
      </c>
      <c r="PE416" s="56"/>
      <c r="PF416" s="242">
        <f t="shared" si="2865"/>
        <v>0</v>
      </c>
      <c r="PG416" s="242">
        <f t="shared" si="2866"/>
        <v>0</v>
      </c>
      <c r="PH416" s="56"/>
      <c r="PK416" s="55">
        <f t="shared" si="2867"/>
        <v>46377</v>
      </c>
      <c r="PL416" s="56"/>
      <c r="PM416" s="242">
        <f>SUMPRODUCT(PRODUCE!$B409:$DY409,PRODUCE!$EB$54:$IY$54)</f>
        <v>0</v>
      </c>
      <c r="PN416" s="56"/>
      <c r="PO416" s="242">
        <f t="shared" si="2868"/>
        <v>0</v>
      </c>
      <c r="PP416" s="242">
        <f t="shared" si="2869"/>
        <v>100</v>
      </c>
      <c r="PQ416" s="56"/>
      <c r="PT416" s="55">
        <f t="shared" si="2870"/>
        <v>46377</v>
      </c>
      <c r="PU416" s="56"/>
      <c r="PV416" s="242">
        <f>SUMPRODUCT(PRODUCE!$B409:$DY409,PRODUCE!$EB$55:$IY$55)</f>
        <v>0</v>
      </c>
      <c r="PW416" s="56"/>
      <c r="PX416" s="242">
        <f t="shared" si="2871"/>
        <v>0</v>
      </c>
      <c r="PY416" s="242">
        <f t="shared" si="2872"/>
        <v>13.960000000000036</v>
      </c>
      <c r="PZ416" s="56"/>
      <c r="QC416" s="55">
        <f t="shared" si="2873"/>
        <v>46377</v>
      </c>
      <c r="QD416" s="56"/>
      <c r="QE416" s="242">
        <f>SUMPRODUCT(PRODUCE!$B409:$DY409,PRODUCE!$EB$56:$IY$56)</f>
        <v>0</v>
      </c>
      <c r="QF416" s="56"/>
      <c r="QG416" s="242">
        <f t="shared" si="2874"/>
        <v>0</v>
      </c>
      <c r="QH416" s="242">
        <f t="shared" si="2875"/>
        <v>548</v>
      </c>
      <c r="QI416" s="56"/>
      <c r="QL416" s="55">
        <f t="shared" si="2876"/>
        <v>46377</v>
      </c>
      <c r="QM416" s="56"/>
      <c r="QN416" s="242">
        <f>SUMPRODUCT(PRODUCE!$B409:$DY409,PRODUCE!$EB$57:$IY$57)</f>
        <v>0</v>
      </c>
      <c r="QO416" s="56"/>
      <c r="QP416" s="242">
        <f t="shared" si="2877"/>
        <v>0</v>
      </c>
      <c r="QQ416" s="242">
        <f t="shared" si="2878"/>
        <v>0</v>
      </c>
      <c r="QR416" s="56"/>
      <c r="QU416" s="55">
        <f t="shared" si="2879"/>
        <v>46377</v>
      </c>
      <c r="QV416" s="56"/>
      <c r="QW416" s="242">
        <f>SUMPRODUCT(PRODUCE!$B409:$DY409,PRODUCE!$EB$57:$IY$57)</f>
        <v>0</v>
      </c>
      <c r="QX416" s="56"/>
      <c r="QY416" s="242">
        <f t="shared" si="2880"/>
        <v>0</v>
      </c>
      <c r="QZ416" s="242">
        <f t="shared" si="2881"/>
        <v>0</v>
      </c>
      <c r="RA416" s="56"/>
      <c r="RD416" s="55">
        <f t="shared" si="2882"/>
        <v>46377</v>
      </c>
      <c r="RE416" s="56"/>
      <c r="RF416" s="242">
        <f>SUMPRODUCT(PRODUCE!$B409:$DY409,PRODUCE!$EB$58:$IY$58)</f>
        <v>0</v>
      </c>
      <c r="RG416" s="56"/>
      <c r="RH416" s="242">
        <f t="shared" si="2883"/>
        <v>0</v>
      </c>
      <c r="RI416" s="242">
        <f t="shared" si="2884"/>
        <v>147.04000000000002</v>
      </c>
      <c r="RJ416" s="56"/>
      <c r="RM416" s="55">
        <f t="shared" si="2885"/>
        <v>46377</v>
      </c>
      <c r="RN416" s="56"/>
      <c r="RO416" s="242">
        <f>SUMPRODUCT(PRODUCE!$B409:$DY409,PRODUCE!$EB$57:$IY$57)</f>
        <v>0</v>
      </c>
      <c r="RP416" s="56"/>
      <c r="RQ416" s="242">
        <f t="shared" si="2886"/>
        <v>0</v>
      </c>
      <c r="RR416" s="242">
        <f t="shared" si="2887"/>
        <v>46.8</v>
      </c>
      <c r="RS416" s="56"/>
      <c r="RV416" s="55">
        <f t="shared" si="2888"/>
        <v>46377</v>
      </c>
      <c r="RW416" s="56"/>
      <c r="RX416" s="242">
        <f>SUMPRODUCT(PRODUCE!$B409:$DY409,PRODUCE!$EB$57:$IY$57)</f>
        <v>0</v>
      </c>
      <c r="RY416" s="56"/>
      <c r="RZ416" s="242">
        <f t="shared" si="2889"/>
        <v>0</v>
      </c>
      <c r="SA416" s="242">
        <f t="shared" si="2890"/>
        <v>0</v>
      </c>
      <c r="SB416" s="56"/>
      <c r="SE416" s="55">
        <f t="shared" si="2891"/>
        <v>46377</v>
      </c>
      <c r="SF416" s="56"/>
      <c r="SG416" s="242">
        <f>SUMPRODUCT(PRODUCE!$B409:$DY409,PRODUCE!$EB$61:$IY$61)</f>
        <v>0</v>
      </c>
      <c r="SH416" s="56"/>
      <c r="SI416" s="242">
        <f t="shared" si="2892"/>
        <v>0</v>
      </c>
      <c r="SJ416" s="242">
        <f t="shared" si="2893"/>
        <v>24.200000000000003</v>
      </c>
      <c r="SK416" s="56"/>
      <c r="SN416" s="55">
        <f t="shared" si="2894"/>
        <v>46377</v>
      </c>
      <c r="SO416" s="56"/>
      <c r="SP416" s="242">
        <f>SUMPRODUCT(PRODUCE!$B409:$DY409,PRODUCE!$EB$57:$IY$57)</f>
        <v>0</v>
      </c>
      <c r="SQ416" s="56"/>
      <c r="SR416" s="242">
        <f t="shared" si="2895"/>
        <v>0</v>
      </c>
      <c r="SS416" s="242">
        <f t="shared" si="2896"/>
        <v>32</v>
      </c>
      <c r="ST416" s="56"/>
      <c r="SW416" s="55">
        <f t="shared" si="2897"/>
        <v>46377</v>
      </c>
      <c r="SX416" s="56"/>
      <c r="SY416" s="242">
        <f>SUMPRODUCT(PRODUCE!$B409:$DY409,PRODUCE!$EB$57:$IY$57)</f>
        <v>0</v>
      </c>
      <c r="SZ416" s="56"/>
      <c r="TA416" s="242">
        <f t="shared" si="2898"/>
        <v>0</v>
      </c>
      <c r="TB416" s="242">
        <f t="shared" si="2899"/>
        <v>0</v>
      </c>
      <c r="TC416" s="56"/>
      <c r="TF416" s="55">
        <f t="shared" si="2900"/>
        <v>46377</v>
      </c>
      <c r="TG416" s="56"/>
      <c r="TH416" s="242">
        <f>SUMPRODUCT(PRODUCE!$B409:$DY409,PRODUCE!$EB$57:$IY$57)</f>
        <v>0</v>
      </c>
      <c r="TI416" s="56"/>
      <c r="TJ416" s="242">
        <f t="shared" si="2901"/>
        <v>0</v>
      </c>
      <c r="TK416" s="242">
        <f t="shared" si="2902"/>
        <v>0</v>
      </c>
      <c r="TL416" s="56"/>
      <c r="TO416" s="55">
        <f t="shared" si="2903"/>
        <v>46377</v>
      </c>
      <c r="TP416" s="56"/>
      <c r="TQ416" s="242">
        <f>SUMPRODUCT(PRODUCE!$B409:$DY409,PRODUCE!$EB$57:$IY$57)</f>
        <v>0</v>
      </c>
      <c r="TR416" s="56"/>
      <c r="TS416" s="242">
        <f t="shared" si="2904"/>
        <v>0</v>
      </c>
      <c r="TT416" s="242">
        <f t="shared" si="2905"/>
        <v>0</v>
      </c>
      <c r="TU416" s="56"/>
      <c r="TX416" s="55">
        <f t="shared" si="2906"/>
        <v>46377</v>
      </c>
      <c r="TY416" s="56"/>
      <c r="TZ416" s="242">
        <f>SUMPRODUCT(PRODUCE!$B409:$DY409,PRODUCE!$EB$57:$IY$57)</f>
        <v>0</v>
      </c>
      <c r="UA416" s="56"/>
      <c r="UB416" s="242">
        <f t="shared" si="2907"/>
        <v>0</v>
      </c>
      <c r="UC416" s="242">
        <f t="shared" si="2908"/>
        <v>46.799999999999983</v>
      </c>
      <c r="UD416" s="56"/>
      <c r="UG416" s="55">
        <f t="shared" si="2909"/>
        <v>46377</v>
      </c>
      <c r="UH416" s="56"/>
      <c r="UI416" s="242">
        <f>SUMPRODUCT(PRODUCE!$B409:$DY409,PRODUCE!$EB$57:$IY$57)</f>
        <v>0</v>
      </c>
      <c r="UJ416" s="56"/>
      <c r="UK416" s="242">
        <f t="shared" si="2910"/>
        <v>0</v>
      </c>
      <c r="UL416" s="242">
        <f t="shared" si="2911"/>
        <v>204</v>
      </c>
      <c r="UM416" s="56"/>
      <c r="UP416" s="55">
        <f t="shared" si="2912"/>
        <v>46377</v>
      </c>
      <c r="UQ416" s="56"/>
      <c r="UR416" s="242">
        <f>SUMPRODUCT(PRODUCE!$B409:$DY409,PRODUCE!$EB$57:$IY$57)</f>
        <v>0</v>
      </c>
      <c r="US416" s="56"/>
      <c r="UT416" s="242">
        <f t="shared" si="2913"/>
        <v>0</v>
      </c>
      <c r="UU416" s="242">
        <f t="shared" si="2914"/>
        <v>202.5</v>
      </c>
      <c r="UV416" s="56"/>
      <c r="UY416" s="55">
        <f t="shared" si="2915"/>
        <v>46377</v>
      </c>
      <c r="UZ416" s="56"/>
      <c r="VA416" s="242">
        <f>SUMPRODUCT(PRODUCE!$B409:$DY409,PRODUCE!$EB$57:$IY$57)</f>
        <v>0</v>
      </c>
      <c r="VB416" s="56"/>
      <c r="VC416" s="242">
        <f t="shared" si="2916"/>
        <v>0</v>
      </c>
      <c r="VD416" s="242">
        <f t="shared" si="2917"/>
        <v>41.600000000000023</v>
      </c>
      <c r="VE416" s="56"/>
      <c r="VH416" s="55">
        <f t="shared" si="2918"/>
        <v>46377</v>
      </c>
      <c r="VI416" s="56"/>
      <c r="VJ416" s="242">
        <f>SUMPRODUCT(PRODUCE!$B409:$DY409,PRODUCE!$EB$57:$IY$57)</f>
        <v>0</v>
      </c>
      <c r="VK416" s="56"/>
      <c r="VL416" s="242">
        <f t="shared" si="2919"/>
        <v>0</v>
      </c>
      <c r="VM416" s="242">
        <f t="shared" si="2920"/>
        <v>210</v>
      </c>
      <c r="VN416" s="56"/>
      <c r="VQ416" s="55">
        <f t="shared" si="2921"/>
        <v>46377</v>
      </c>
      <c r="VR416" s="56"/>
      <c r="VS416" s="242">
        <f>SUMPRODUCT(PRODUCE!$B409:$DY409,PRODUCE!$EB$57:$IY$57)</f>
        <v>0</v>
      </c>
      <c r="VT416" s="56"/>
      <c r="VU416" s="242">
        <f t="shared" si="2922"/>
        <v>0</v>
      </c>
      <c r="VV416" s="242">
        <f t="shared" si="2923"/>
        <v>0</v>
      </c>
      <c r="VW416" s="56"/>
      <c r="VZ416" s="55">
        <f t="shared" si="2924"/>
        <v>46377</v>
      </c>
      <c r="WA416" s="56"/>
      <c r="WB416" s="242">
        <f>SUMPRODUCT(PRODUCE!$B409:$DY409,PRODUCE!$EB$57:$IY$57)</f>
        <v>0</v>
      </c>
      <c r="WC416" s="56"/>
      <c r="WD416" s="242">
        <f t="shared" si="2925"/>
        <v>0</v>
      </c>
      <c r="WE416" s="242">
        <f t="shared" si="2926"/>
        <v>0</v>
      </c>
      <c r="WF416" s="56"/>
      <c r="WI416" s="55">
        <f t="shared" si="2927"/>
        <v>46377</v>
      </c>
      <c r="WJ416" s="56"/>
      <c r="WK416" s="242">
        <f>SUMPRODUCT(PRODUCE!$B409:$DY409,PRODUCE!$EB$57:$IY$57)</f>
        <v>0</v>
      </c>
      <c r="WL416" s="56"/>
      <c r="WM416" s="242">
        <f t="shared" si="2928"/>
        <v>0</v>
      </c>
      <c r="WN416" s="242">
        <f t="shared" si="2929"/>
        <v>1057</v>
      </c>
      <c r="WO416" s="56"/>
      <c r="WR416" s="55">
        <f t="shared" si="2930"/>
        <v>46377</v>
      </c>
      <c r="WS416" s="56"/>
      <c r="WT416" s="242">
        <f>SUMPRODUCT(PRODUCE!$B409:$DY409,PRODUCE!$EB$57:$IY$57)</f>
        <v>0</v>
      </c>
      <c r="WU416" s="56"/>
      <c r="WV416" s="242">
        <f t="shared" si="2931"/>
        <v>0</v>
      </c>
      <c r="WW416" s="242">
        <f t="shared" si="2932"/>
        <v>0</v>
      </c>
      <c r="WX416" s="56"/>
      <c r="XA416" s="55">
        <f t="shared" si="2933"/>
        <v>46377</v>
      </c>
      <c r="XB416" s="56"/>
      <c r="XC416" s="242">
        <f>SUMPRODUCT(PRODUCE!$B409:$DY409,PRODUCE!$EB$57:$IY$57)</f>
        <v>0</v>
      </c>
      <c r="XD416" s="56"/>
      <c r="XE416" s="242">
        <f t="shared" si="2934"/>
        <v>0</v>
      </c>
      <c r="XF416" s="242">
        <f t="shared" si="2935"/>
        <v>7507</v>
      </c>
      <c r="XG416" s="56"/>
      <c r="XJ416" s="55">
        <f t="shared" si="2936"/>
        <v>46377</v>
      </c>
      <c r="XK416" s="56"/>
      <c r="XL416" s="242">
        <f>SUMPRODUCT(PRODUCE!$B409:$DY409,PRODUCE!$EB$57:$IY$57)</f>
        <v>0</v>
      </c>
      <c r="XM416" s="56"/>
      <c r="XN416" s="242">
        <f t="shared" si="2937"/>
        <v>0</v>
      </c>
      <c r="XO416" s="242">
        <f t="shared" si="2938"/>
        <v>4252</v>
      </c>
      <c r="XP416" s="56"/>
      <c r="XS416" s="55">
        <f t="shared" si="2939"/>
        <v>46377</v>
      </c>
      <c r="XT416" s="56"/>
      <c r="XU416" s="242">
        <f>SUMPRODUCT(PRODUCE!$B409:$DY409,PRODUCE!$EB$57:$IY$57)</f>
        <v>0</v>
      </c>
      <c r="XV416" s="56"/>
      <c r="XW416" s="242">
        <f t="shared" si="2940"/>
        <v>0</v>
      </c>
      <c r="XX416" s="242">
        <f t="shared" si="2941"/>
        <v>2179</v>
      </c>
      <c r="XY416" s="56"/>
      <c r="YB416" s="55">
        <f t="shared" si="2942"/>
        <v>46377</v>
      </c>
      <c r="YC416" s="56"/>
      <c r="YD416" s="242">
        <f>SUMPRODUCT(PRODUCE!$B409:$DY409,PRODUCE!$EB$57:$IY$57)</f>
        <v>0</v>
      </c>
      <c r="YE416" s="56"/>
      <c r="YF416" s="242">
        <f t="shared" si="2943"/>
        <v>0</v>
      </c>
      <c r="YG416" s="242">
        <f t="shared" si="2944"/>
        <v>4019</v>
      </c>
      <c r="YH416" s="56"/>
      <c r="YK416" s="55">
        <f t="shared" si="2945"/>
        <v>46377</v>
      </c>
      <c r="YL416" s="56"/>
      <c r="YM416" s="242">
        <f>SUMPRODUCT(PRODUCE!$B409:$DY409,PRODUCE!$EB$57:$IY$57)</f>
        <v>0</v>
      </c>
      <c r="YN416" s="56"/>
      <c r="YO416" s="242">
        <f t="shared" si="2946"/>
        <v>0</v>
      </c>
      <c r="YP416" s="242">
        <f t="shared" si="2947"/>
        <v>-218</v>
      </c>
      <c r="YQ416" s="56"/>
      <c r="YT416" s="55">
        <f t="shared" si="2948"/>
        <v>46377</v>
      </c>
      <c r="YU416" s="56"/>
      <c r="YV416" s="242">
        <f>SUMPRODUCT(PRODUCE!$B409:$DY409,PRODUCE!$EB$57:$IY$57)</f>
        <v>0</v>
      </c>
      <c r="YW416" s="56"/>
      <c r="YX416" s="242">
        <f t="shared" si="2949"/>
        <v>0</v>
      </c>
      <c r="YY416" s="242">
        <f t="shared" si="2950"/>
        <v>0</v>
      </c>
      <c r="YZ416" s="56"/>
      <c r="ZC416" s="55">
        <f t="shared" si="2951"/>
        <v>46377</v>
      </c>
      <c r="ZD416" s="56"/>
      <c r="ZE416" s="242">
        <f>SUMPRODUCT(PRODUCE!$B409:$DY409,PRODUCE!$EB$57:$IY$57)</f>
        <v>0</v>
      </c>
      <c r="ZF416" s="56"/>
      <c r="ZG416" s="242">
        <f t="shared" si="2952"/>
        <v>0</v>
      </c>
      <c r="ZH416" s="242">
        <f t="shared" si="2953"/>
        <v>0</v>
      </c>
      <c r="ZI416" s="56"/>
      <c r="ZL416" s="55">
        <f t="shared" si="2954"/>
        <v>46377</v>
      </c>
      <c r="ZM416" s="56"/>
      <c r="ZN416" s="242">
        <f>SUMPRODUCT(PRODUCE!$B409:$DY409,PRODUCE!$EB$57:$IY$57)</f>
        <v>0</v>
      </c>
      <c r="ZO416" s="56"/>
      <c r="ZP416" s="242">
        <f t="shared" si="2955"/>
        <v>0</v>
      </c>
      <c r="ZQ416" s="242">
        <f t="shared" si="2956"/>
        <v>0</v>
      </c>
      <c r="ZR416" s="56"/>
      <c r="ZU416" s="55">
        <f t="shared" si="2957"/>
        <v>46377</v>
      </c>
      <c r="ZV416" s="56"/>
      <c r="ZW416" s="242">
        <f>SUMPRODUCT(PRODUCE!$B409:$DY409,PRODUCE!$EB$57:$IY$57)</f>
        <v>0</v>
      </c>
      <c r="ZX416" s="56"/>
      <c r="ZY416" s="242">
        <f t="shared" si="2958"/>
        <v>0</v>
      </c>
      <c r="ZZ416" s="242">
        <f t="shared" si="2959"/>
        <v>0</v>
      </c>
      <c r="AAA416" s="56"/>
      <c r="AAD416" s="55">
        <f t="shared" si="2960"/>
        <v>46377</v>
      </c>
      <c r="AAE416" s="56"/>
      <c r="AAF416" s="242">
        <f>SUMPRODUCT(PRODUCE!$B409:$DY409,PRODUCE!$EB$57:$IY$57)</f>
        <v>0</v>
      </c>
      <c r="AAG416" s="56"/>
      <c r="AAH416" s="242">
        <f t="shared" si="2961"/>
        <v>0</v>
      </c>
      <c r="AAI416" s="242">
        <f t="shared" si="2962"/>
        <v>0</v>
      </c>
      <c r="AAJ416" s="56"/>
      <c r="AAM416" s="55">
        <f t="shared" si="2963"/>
        <v>46377</v>
      </c>
      <c r="AAN416" s="56"/>
      <c r="AAO416" s="242">
        <f>SUMPRODUCT(PRODUCE!$B409:$DY409,PRODUCE!$EB$57:$IY$57)</f>
        <v>0</v>
      </c>
      <c r="AAP416" s="56"/>
      <c r="AAQ416" s="242">
        <f t="shared" si="2964"/>
        <v>0</v>
      </c>
      <c r="AAR416" s="242">
        <f t="shared" si="2965"/>
        <v>0</v>
      </c>
      <c r="AAS416" s="56"/>
      <c r="AAV416" s="55">
        <f t="shared" si="2966"/>
        <v>46377</v>
      </c>
      <c r="AAW416" s="56"/>
      <c r="AAX416" s="242">
        <f>SUMPRODUCT(PRODUCE!$B409:$DY409,PRODUCE!$EB$57:$IY$57)</f>
        <v>0</v>
      </c>
      <c r="AAY416" s="56"/>
      <c r="AAZ416" s="242">
        <f t="shared" si="2967"/>
        <v>0</v>
      </c>
      <c r="ABA416" s="242">
        <f t="shared" si="2968"/>
        <v>0</v>
      </c>
      <c r="ABB416" s="56"/>
      <c r="ABE416" s="55">
        <f t="shared" si="2969"/>
        <v>46377</v>
      </c>
      <c r="ABF416" s="56"/>
      <c r="ABG416" s="242">
        <f>SUMPRODUCT(PRODUCE!$B409:$DY409,PRODUCE!$EB$57:$IY$57)</f>
        <v>0</v>
      </c>
      <c r="ABH416" s="56"/>
      <c r="ABI416" s="242">
        <f t="shared" si="2970"/>
        <v>0</v>
      </c>
      <c r="ABJ416" s="242">
        <f t="shared" si="2971"/>
        <v>0</v>
      </c>
      <c r="ABK416" s="56"/>
    </row>
    <row r="417" spans="2:739" s="54" customFormat="1" ht="15" customHeight="1" outlineLevel="1">
      <c r="B417" s="478"/>
      <c r="C417" s="55">
        <v>46378</v>
      </c>
      <c r="D417" s="56"/>
      <c r="E417" s="57">
        <f>SUMPRODUCT(PRODUCE!$B410:$DY410,PRODUCE!$EB$7:$IY$7)</f>
        <v>0</v>
      </c>
      <c r="F417" s="56"/>
      <c r="G417" s="57">
        <f t="shared" si="2727"/>
        <v>0</v>
      </c>
      <c r="H417" s="57">
        <f t="shared" si="2728"/>
        <v>236936.6</v>
      </c>
      <c r="I417" s="289"/>
      <c r="L417" s="55">
        <f t="shared" si="2729"/>
        <v>46378</v>
      </c>
      <c r="M417" s="56"/>
      <c r="N417" s="59">
        <f>SUMPRODUCT(PRODUCE!$B410:$DY410,PRODUCE!$EB$8:$IY$8)</f>
        <v>0</v>
      </c>
      <c r="O417" s="56"/>
      <c r="P417" s="59">
        <f t="shared" si="2730"/>
        <v>0</v>
      </c>
      <c r="Q417" s="59">
        <f t="shared" si="2731"/>
        <v>53017.600000000071</v>
      </c>
      <c r="R417" s="56"/>
      <c r="U417" s="55">
        <f t="shared" si="2732"/>
        <v>46378</v>
      </c>
      <c r="V417" s="56"/>
      <c r="W417" s="60">
        <f>SUMPRODUCT(PRODUCE!$B410:$DY410,PRODUCE!$EB$9:$IY$9)</f>
        <v>0</v>
      </c>
      <c r="X417" s="56"/>
      <c r="Y417" s="60">
        <f t="shared" si="2733"/>
        <v>0</v>
      </c>
      <c r="Z417" s="60">
        <f t="shared" si="2734"/>
        <v>42674.199999999968</v>
      </c>
      <c r="AA417" s="56"/>
      <c r="AD417" s="55">
        <f t="shared" si="2735"/>
        <v>46378</v>
      </c>
      <c r="AE417" s="56"/>
      <c r="AF417" s="61">
        <f>SUMPRODUCT(PRODUCE!$B410:$DY410,PRODUCE!$EB$10:$IY$10)</f>
        <v>0</v>
      </c>
      <c r="AG417" s="56"/>
      <c r="AH417" s="61">
        <f t="shared" si="2736"/>
        <v>0</v>
      </c>
      <c r="AI417" s="61">
        <f t="shared" si="2737"/>
        <v>4522.2000000000189</v>
      </c>
      <c r="AJ417" s="56"/>
      <c r="AM417" s="55">
        <f t="shared" si="2738"/>
        <v>46378</v>
      </c>
      <c r="AN417" s="422"/>
      <c r="AO417" s="444">
        <f>SUMPRODUCT(PRODUCE!$B410:$DY410,PRODUCE!$EB$11:$IY$11)</f>
        <v>0</v>
      </c>
      <c r="AP417" s="422"/>
      <c r="AQ417" s="444">
        <f t="shared" si="2739"/>
        <v>0</v>
      </c>
      <c r="AR417" s="444">
        <f t="shared" si="2740"/>
        <v>0</v>
      </c>
      <c r="AS417" s="56"/>
      <c r="AV417" s="55">
        <f t="shared" si="2741"/>
        <v>46378</v>
      </c>
      <c r="AW417" s="56"/>
      <c r="AX417" s="62">
        <f>SUMPRODUCT(PRODUCE!$B410:$DY410,PRODUCE!$EB$12:$IY$12)</f>
        <v>0</v>
      </c>
      <c r="AY417" s="56"/>
      <c r="AZ417" s="62">
        <f t="shared" si="2742"/>
        <v>0</v>
      </c>
      <c r="BA417" s="62">
        <f t="shared" si="2743"/>
        <v>124.99999999999523</v>
      </c>
      <c r="BB417" s="56"/>
      <c r="BE417" s="55">
        <f t="shared" si="2744"/>
        <v>46378</v>
      </c>
      <c r="BF417" s="56"/>
      <c r="BG417" s="63">
        <f>SUMPRODUCT(PRODUCE!$B410:$DY410,PRODUCE!$EB$13:$IY$13)</f>
        <v>0</v>
      </c>
      <c r="BH417" s="56"/>
      <c r="BI417" s="63">
        <f t="shared" si="2745"/>
        <v>0</v>
      </c>
      <c r="BJ417" s="63">
        <f t="shared" si="2746"/>
        <v>26151.899999999998</v>
      </c>
      <c r="BK417" s="56"/>
      <c r="BN417" s="55">
        <f t="shared" si="2747"/>
        <v>46378</v>
      </c>
      <c r="BO417" s="56"/>
      <c r="BP417" s="64">
        <f>SUMPRODUCT(PRODUCE!$B410:$DY410,PRODUCE!$EB$14:$IY$14)</f>
        <v>0</v>
      </c>
      <c r="BQ417" s="56"/>
      <c r="BR417" s="64">
        <f t="shared" si="2748"/>
        <v>0</v>
      </c>
      <c r="BS417" s="64">
        <f t="shared" si="2749"/>
        <v>0</v>
      </c>
      <c r="BT417" s="56"/>
      <c r="BW417" s="55">
        <f t="shared" si="2750"/>
        <v>46378</v>
      </c>
      <c r="BX417" s="56"/>
      <c r="BY417" s="65">
        <f>SUMPRODUCT(PRODUCE!$B410:$DY410,PRODUCE!$EB$15:$IY$15)</f>
        <v>0</v>
      </c>
      <c r="BZ417" s="56"/>
      <c r="CA417" s="65">
        <f t="shared" si="2751"/>
        <v>0</v>
      </c>
      <c r="CB417" s="65">
        <f t="shared" si="2752"/>
        <v>2097.3399999999992</v>
      </c>
      <c r="CC417" s="56"/>
      <c r="CF417" s="55">
        <f t="shared" si="2753"/>
        <v>46378</v>
      </c>
      <c r="CG417" s="56"/>
      <c r="CH417" s="66">
        <f>SUMPRODUCT(PRODUCE!$B410:$DY410,PRODUCE!$EB$16:$IY$16)</f>
        <v>0</v>
      </c>
      <c r="CI417" s="56"/>
      <c r="CJ417" s="66">
        <f t="shared" si="2754"/>
        <v>0</v>
      </c>
      <c r="CK417" s="66">
        <f t="shared" si="2755"/>
        <v>-10277.079999999998</v>
      </c>
      <c r="CL417" s="56"/>
      <c r="CO417" s="55">
        <f t="shared" si="2756"/>
        <v>46378</v>
      </c>
      <c r="CP417" s="422"/>
      <c r="CQ417" s="470">
        <f>SUMPRODUCT(PRODUCE!$B410:$DY410,PRODUCE!$EB$17:$IY$17)</f>
        <v>0</v>
      </c>
      <c r="CR417" s="422"/>
      <c r="CS417" s="470">
        <f t="shared" si="2757"/>
        <v>0</v>
      </c>
      <c r="CT417" s="470">
        <f t="shared" si="2758"/>
        <v>0</v>
      </c>
      <c r="CU417" s="56"/>
      <c r="CX417" s="55">
        <f t="shared" si="2759"/>
        <v>46378</v>
      </c>
      <c r="CY417" s="56"/>
      <c r="CZ417" s="133">
        <f>SUMPRODUCT(PRODUCE!$B410:$DY410,PRODUCE!$EB$18:$IY$18)</f>
        <v>0</v>
      </c>
      <c r="DA417" s="56"/>
      <c r="DB417" s="133">
        <f t="shared" si="2760"/>
        <v>0</v>
      </c>
      <c r="DC417" s="133">
        <f t="shared" si="2761"/>
        <v>27438.200000000012</v>
      </c>
      <c r="DD417" s="56"/>
      <c r="DG417" s="55">
        <f t="shared" si="2762"/>
        <v>46378</v>
      </c>
      <c r="DH417" s="56"/>
      <c r="DI417" s="147">
        <f>SUMPRODUCT(PRODUCE!$B410:$DY410,PRODUCE!$EB$19:$IY$19)</f>
        <v>0</v>
      </c>
      <c r="DJ417" s="56"/>
      <c r="DK417" s="147">
        <f t="shared" si="2763"/>
        <v>0</v>
      </c>
      <c r="DL417" s="147">
        <f t="shared" si="2764"/>
        <v>18782.299999999981</v>
      </c>
      <c r="DM417" s="56"/>
      <c r="DP417" s="55">
        <f t="shared" si="2765"/>
        <v>46378</v>
      </c>
      <c r="DQ417" s="56"/>
      <c r="DR417" s="57">
        <f>SUMPRODUCT(PRODUCE!$B410:$DY410,PRODUCE!$EB$20:$IY$20)</f>
        <v>0</v>
      </c>
      <c r="DS417" s="56"/>
      <c r="DT417" s="57">
        <f t="shared" si="2766"/>
        <v>0</v>
      </c>
      <c r="DU417" s="57">
        <f t="shared" si="2767"/>
        <v>5800</v>
      </c>
      <c r="DV417" s="56"/>
      <c r="DY417" s="55">
        <f t="shared" si="2768"/>
        <v>46378</v>
      </c>
      <c r="DZ417" s="56"/>
      <c r="EA417" s="157">
        <f>SUMPRODUCT(PRODUCE!$B410:$DY410,PRODUCE!$EB$21:$IY$21)</f>
        <v>0</v>
      </c>
      <c r="EB417" s="56"/>
      <c r="EC417" s="157">
        <f t="shared" si="2769"/>
        <v>0</v>
      </c>
      <c r="ED417" s="157">
        <f t="shared" si="2770"/>
        <v>0</v>
      </c>
      <c r="EE417" s="56"/>
      <c r="EH417" s="55">
        <f t="shared" si="2771"/>
        <v>46378</v>
      </c>
      <c r="EI417" s="56"/>
      <c r="EJ417" s="162">
        <f>SUMPRODUCT(PRODUCE!$B410:$DY410,PRODUCE!$EB$22:$IY$22)</f>
        <v>0</v>
      </c>
      <c r="EK417" s="56"/>
      <c r="EL417" s="162">
        <f t="shared" si="2772"/>
        <v>0</v>
      </c>
      <c r="EM417" s="162">
        <f t="shared" si="2773"/>
        <v>0</v>
      </c>
      <c r="EN417" s="56"/>
      <c r="EQ417" s="55">
        <f t="shared" si="2774"/>
        <v>46378</v>
      </c>
      <c r="ER417" s="56"/>
      <c r="ES417" s="135">
        <f>SUMPRODUCT(PRODUCE!$B410:$DY410,PRODUCE!$EB$23:$IY$23)</f>
        <v>0</v>
      </c>
      <c r="ET417" s="56"/>
      <c r="EU417" s="135">
        <f t="shared" si="2775"/>
        <v>0</v>
      </c>
      <c r="EV417" s="135">
        <f t="shared" si="2776"/>
        <v>0</v>
      </c>
      <c r="EW417" s="56"/>
      <c r="EZ417" s="55">
        <f t="shared" si="2777"/>
        <v>46378</v>
      </c>
      <c r="FA417" s="56"/>
      <c r="FB417" s="175">
        <f>SUMPRODUCT(PRODUCE!$B410:$DY410,PRODUCE!$EB$24:$IY$24)</f>
        <v>0</v>
      </c>
      <c r="FC417" s="56"/>
      <c r="FD417" s="175">
        <f t="shared" si="2778"/>
        <v>0</v>
      </c>
      <c r="FE417" s="175">
        <f t="shared" si="2779"/>
        <v>0</v>
      </c>
      <c r="FF417" s="56"/>
      <c r="FI417" s="55">
        <f t="shared" si="2780"/>
        <v>46378</v>
      </c>
      <c r="FJ417" s="56"/>
      <c r="FK417" s="183">
        <f>SUMPRODUCT(PRODUCE!$B410:$DY410,PRODUCE!$EB$25:$IY$25)</f>
        <v>0</v>
      </c>
      <c r="FL417" s="56"/>
      <c r="FM417" s="183">
        <f t="shared" si="2781"/>
        <v>0</v>
      </c>
      <c r="FN417" s="183">
        <f t="shared" si="2782"/>
        <v>0</v>
      </c>
      <c r="FO417" s="56"/>
      <c r="FR417" s="55">
        <f t="shared" si="2783"/>
        <v>46378</v>
      </c>
      <c r="FS417" s="56"/>
      <c r="FT417" s="186">
        <f>SUMPRODUCT(PRODUCE!$B410:$DY410,PRODUCE!$EB$26:$IY$26)</f>
        <v>0</v>
      </c>
      <c r="FU417" s="56"/>
      <c r="FV417" s="186">
        <f t="shared" si="2784"/>
        <v>0</v>
      </c>
      <c r="FW417" s="186">
        <f t="shared" si="2785"/>
        <v>2020</v>
      </c>
      <c r="FX417" s="56"/>
      <c r="GA417" s="55">
        <f t="shared" si="2786"/>
        <v>46378</v>
      </c>
      <c r="GB417" s="56"/>
      <c r="GC417" s="137">
        <f>SUMPRODUCT(PRODUCE!$B410:$DY410,PRODUCE!$EB$27:$IY$27)</f>
        <v>0</v>
      </c>
      <c r="GD417" s="56"/>
      <c r="GE417" s="137">
        <f t="shared" si="2787"/>
        <v>0</v>
      </c>
      <c r="GF417" s="137">
        <f t="shared" si="2788"/>
        <v>960</v>
      </c>
      <c r="GG417" s="56"/>
      <c r="GI417" s="23"/>
      <c r="GJ417" s="55">
        <f t="shared" si="2789"/>
        <v>46378</v>
      </c>
      <c r="GK417" s="56"/>
      <c r="GL417" s="199">
        <f>SUMPRODUCT(PRODUCE!$B410:$DY410,PRODUCE!$EB$28:$IY$28)</f>
        <v>0</v>
      </c>
      <c r="GM417" s="56"/>
      <c r="GN417" s="199">
        <f t="shared" si="2790"/>
        <v>0</v>
      </c>
      <c r="GO417" s="199">
        <f t="shared" si="2791"/>
        <v>1760</v>
      </c>
      <c r="GP417" s="56"/>
      <c r="GS417" s="55">
        <f t="shared" si="2792"/>
        <v>46378</v>
      </c>
      <c r="GT417" s="56"/>
      <c r="GU417" s="195">
        <f>SUMPRODUCT(PRODUCE!$B410:$DY410,PRODUCE!$EB$29:$IY$29)</f>
        <v>0</v>
      </c>
      <c r="GV417" s="56"/>
      <c r="GW417" s="195">
        <f t="shared" si="2793"/>
        <v>0</v>
      </c>
      <c r="GX417" s="195">
        <f t="shared" si="2794"/>
        <v>400</v>
      </c>
      <c r="GY417" s="56"/>
      <c r="HB417" s="55">
        <f t="shared" si="2795"/>
        <v>46378</v>
      </c>
      <c r="HC417" s="56"/>
      <c r="HD417" s="191">
        <f>SUMPRODUCT(PRODUCE!$B410:$DY410,PRODUCE!$EB$30:$IY$30)</f>
        <v>0</v>
      </c>
      <c r="HE417" s="56"/>
      <c r="HF417" s="191">
        <f t="shared" si="2796"/>
        <v>0</v>
      </c>
      <c r="HG417" s="191">
        <f t="shared" si="2797"/>
        <v>3600</v>
      </c>
      <c r="HH417" s="56"/>
      <c r="HK417" s="55">
        <f t="shared" si="2798"/>
        <v>46378</v>
      </c>
      <c r="HL417" s="56"/>
      <c r="HM417" s="63">
        <f>SUMPRODUCT(PRODUCE!$B410:$DY410,PRODUCE!$EB$31:$IY$31)</f>
        <v>0</v>
      </c>
      <c r="HN417" s="56"/>
      <c r="HO417" s="63">
        <f t="shared" si="2799"/>
        <v>0</v>
      </c>
      <c r="HP417" s="63">
        <f t="shared" si="2800"/>
        <v>0</v>
      </c>
      <c r="HQ417" s="56"/>
      <c r="HU417" s="55">
        <f t="shared" si="2801"/>
        <v>46378</v>
      </c>
      <c r="HV417" s="56"/>
      <c r="HW417" s="242">
        <f>SUMPRODUCT(PRODUCE!$B410:$DY410,PRODUCE!$EB$32:$IY$32)</f>
        <v>0</v>
      </c>
      <c r="HX417" s="56"/>
      <c r="HY417" s="242">
        <f t="shared" si="2802"/>
        <v>0</v>
      </c>
      <c r="HZ417" s="242">
        <f t="shared" si="2803"/>
        <v>6120</v>
      </c>
      <c r="IA417" s="56"/>
      <c r="ID417" s="55">
        <f t="shared" si="2804"/>
        <v>46378</v>
      </c>
      <c r="IE417" s="56"/>
      <c r="IF417" s="242">
        <f>SUMPRODUCT(PRODUCE!$B410:$DY410,PRODUCE!$EB$33:$IY$33)</f>
        <v>0</v>
      </c>
      <c r="IG417" s="56"/>
      <c r="IH417" s="242">
        <f t="shared" si="2805"/>
        <v>0</v>
      </c>
      <c r="II417" s="242">
        <f t="shared" si="2806"/>
        <v>0</v>
      </c>
      <c r="IJ417" s="56"/>
      <c r="IM417" s="55">
        <f t="shared" si="2807"/>
        <v>46378</v>
      </c>
      <c r="IN417" s="56"/>
      <c r="IO417" s="242">
        <f>SUMPRODUCT(PRODUCE!$B410:$DY410,PRODUCE!$EB$34:$IY$34)</f>
        <v>0</v>
      </c>
      <c r="IP417" s="56"/>
      <c r="IQ417" s="242">
        <f t="shared" si="2808"/>
        <v>0</v>
      </c>
      <c r="IR417" s="242">
        <f t="shared" si="2809"/>
        <v>0</v>
      </c>
      <c r="IS417" s="56"/>
      <c r="IV417" s="55">
        <f t="shared" si="2810"/>
        <v>46378</v>
      </c>
      <c r="IW417" s="56"/>
      <c r="IX417" s="242">
        <f>SUMPRODUCT(PRODUCE!$B410:$DY410,PRODUCE!$EB$35:$IY$35)</f>
        <v>0</v>
      </c>
      <c r="IY417" s="56"/>
      <c r="IZ417" s="242">
        <f t="shared" si="2811"/>
        <v>0</v>
      </c>
      <c r="JA417" s="242">
        <f t="shared" si="2812"/>
        <v>2820</v>
      </c>
      <c r="JB417" s="56"/>
      <c r="JE417" s="55">
        <f t="shared" si="2813"/>
        <v>46378</v>
      </c>
      <c r="JF417" s="56"/>
      <c r="JG417" s="242">
        <f>SUMPRODUCT(PRODUCE!$B410:$DY410,PRODUCE!$EB$36:$IY$36)</f>
        <v>0</v>
      </c>
      <c r="JH417" s="56"/>
      <c r="JI417" s="242">
        <f t="shared" si="2814"/>
        <v>0</v>
      </c>
      <c r="JJ417" s="242">
        <f t="shared" si="2815"/>
        <v>0</v>
      </c>
      <c r="JK417" s="56"/>
      <c r="JN417" s="55">
        <f t="shared" si="2816"/>
        <v>46378</v>
      </c>
      <c r="JO417" s="56"/>
      <c r="JP417" s="242">
        <f>SUMPRODUCT(PRODUCE!$B410:$DY410,PRODUCE!$EB$37:$IY$37)</f>
        <v>0</v>
      </c>
      <c r="JQ417" s="56"/>
      <c r="JR417" s="242">
        <f t="shared" si="2817"/>
        <v>0</v>
      </c>
      <c r="JS417" s="242">
        <f t="shared" si="2818"/>
        <v>0</v>
      </c>
      <c r="JT417" s="56"/>
      <c r="JW417" s="55">
        <f t="shared" si="2819"/>
        <v>46378</v>
      </c>
      <c r="JX417" s="56"/>
      <c r="JY417" s="242">
        <f>SUMPRODUCT(PRODUCE!$B410:$DY410,PRODUCE!$EB$38:$IY$38)</f>
        <v>0</v>
      </c>
      <c r="JZ417" s="56"/>
      <c r="KA417" s="242">
        <f t="shared" si="2820"/>
        <v>0</v>
      </c>
      <c r="KB417" s="242">
        <f t="shared" si="2821"/>
        <v>2540</v>
      </c>
      <c r="KC417" s="56"/>
      <c r="KF417" s="55">
        <f t="shared" si="2822"/>
        <v>46378</v>
      </c>
      <c r="KG417" s="56"/>
      <c r="KH417" s="242">
        <f>SUMPRODUCT(PRODUCE!$B410:$DY410,PRODUCE!$EB$39:$IY$39)</f>
        <v>0</v>
      </c>
      <c r="KI417" s="56"/>
      <c r="KJ417" s="242">
        <f t="shared" si="2823"/>
        <v>0</v>
      </c>
      <c r="KK417" s="242">
        <f t="shared" si="2824"/>
        <v>2359.5</v>
      </c>
      <c r="KL417" s="56"/>
      <c r="KO417" s="55">
        <f t="shared" si="2825"/>
        <v>46378</v>
      </c>
      <c r="KP417" s="56"/>
      <c r="KQ417" s="242">
        <f>SUMPRODUCT(PRODUCE!$B410:$DY410,PRODUCE!$EB$40:$IY$40)</f>
        <v>0</v>
      </c>
      <c r="KR417" s="56"/>
      <c r="KS417" s="242">
        <f t="shared" si="2826"/>
        <v>0</v>
      </c>
      <c r="KT417" s="242">
        <f t="shared" si="2827"/>
        <v>1890</v>
      </c>
      <c r="KU417" s="56"/>
      <c r="KW417" s="23"/>
      <c r="KX417" s="55">
        <f t="shared" si="2828"/>
        <v>46378</v>
      </c>
      <c r="KY417" s="56"/>
      <c r="KZ417" s="242">
        <f>SUMPRODUCT(PRODUCE!$B410:$DY410,PRODUCE!$EB$41:$IY$41)</f>
        <v>0</v>
      </c>
      <c r="LA417" s="56"/>
      <c r="LB417" s="242">
        <f t="shared" si="2829"/>
        <v>0</v>
      </c>
      <c r="LC417" s="242">
        <f t="shared" si="2830"/>
        <v>3690</v>
      </c>
      <c r="LD417" s="56"/>
      <c r="LG417" s="55">
        <f t="shared" si="2831"/>
        <v>46378</v>
      </c>
      <c r="LH417" s="56"/>
      <c r="LI417" s="242">
        <f>SUMPRODUCT(PRODUCE!$B410:$DY410,PRODUCE!$EB$42:$IY$42)</f>
        <v>0</v>
      </c>
      <c r="LJ417" s="56"/>
      <c r="LK417" s="242">
        <f t="shared" si="2832"/>
        <v>0</v>
      </c>
      <c r="LL417" s="242">
        <f t="shared" si="2833"/>
        <v>4000</v>
      </c>
      <c r="LM417" s="56"/>
      <c r="LP417" s="55">
        <f t="shared" si="2834"/>
        <v>46378</v>
      </c>
      <c r="LQ417" s="56"/>
      <c r="LR417" s="242">
        <f>SUMPRODUCT(PRODUCE!$B432:$DY432,PRODUCE!$EB$43:$IY$43)</f>
        <v>0</v>
      </c>
      <c r="LS417" s="56"/>
      <c r="LT417" s="242">
        <f t="shared" si="2835"/>
        <v>0</v>
      </c>
      <c r="LU417" s="242">
        <f t="shared" si="2836"/>
        <v>0</v>
      </c>
      <c r="LV417" s="56"/>
      <c r="LY417" s="55">
        <f t="shared" si="2837"/>
        <v>46378</v>
      </c>
      <c r="LZ417" s="56"/>
      <c r="MA417" s="242">
        <f>SUMPRODUCT(PRODUCE!$B410:$DY410,PRODUCE!$EB$44:$IY$44)</f>
        <v>0</v>
      </c>
      <c r="MB417" s="56"/>
      <c r="MC417" s="242">
        <f t="shared" si="2838"/>
        <v>0</v>
      </c>
      <c r="MD417" s="242">
        <f t="shared" si="2839"/>
        <v>0</v>
      </c>
      <c r="ME417" s="56"/>
      <c r="MH417" s="55">
        <f t="shared" si="2840"/>
        <v>46378</v>
      </c>
      <c r="MI417" s="56"/>
      <c r="MJ417" s="242">
        <f>SUMPRODUCT(PRODUCE!$B410:$DY410,PRODUCE!$EB$45:$IY$45)</f>
        <v>0</v>
      </c>
      <c r="MK417" s="56"/>
      <c r="ML417" s="242">
        <f t="shared" si="2841"/>
        <v>0</v>
      </c>
      <c r="MM417" s="242">
        <f t="shared" si="2842"/>
        <v>-18</v>
      </c>
      <c r="MN417" s="56"/>
      <c r="MQ417" s="55">
        <f t="shared" si="2843"/>
        <v>46378</v>
      </c>
      <c r="MR417" s="56"/>
      <c r="MS417" s="242">
        <f>SUMPRODUCT(PRODUCE!$B410:$DY410,PRODUCE!$EB$46:$IY$46)</f>
        <v>0</v>
      </c>
      <c r="MT417" s="56"/>
      <c r="MU417" s="242">
        <f t="shared" si="2844"/>
        <v>0</v>
      </c>
      <c r="MV417" s="242">
        <f t="shared" si="2845"/>
        <v>1559</v>
      </c>
      <c r="MW417" s="56"/>
      <c r="MZ417" s="55">
        <f t="shared" si="2846"/>
        <v>46378</v>
      </c>
      <c r="NA417" s="56"/>
      <c r="NB417" s="242">
        <f>SUMPRODUCT(PRODUCE!$B410:$DY410,PRODUCE!$EB$47:$IY$47)</f>
        <v>0</v>
      </c>
      <c r="NC417" s="56"/>
      <c r="ND417" s="242">
        <f t="shared" si="2847"/>
        <v>0</v>
      </c>
      <c r="NE417" s="242">
        <f t="shared" si="2848"/>
        <v>0</v>
      </c>
      <c r="NF417" s="56"/>
      <c r="NI417" s="55">
        <f t="shared" si="2849"/>
        <v>46378</v>
      </c>
      <c r="NJ417" s="56"/>
      <c r="NK417" s="242">
        <f>SUMPRODUCT(PRODUCE!$B410:$DY410,PRODUCE!$EB$48:$IY$48)</f>
        <v>0</v>
      </c>
      <c r="NL417" s="56"/>
      <c r="NM417" s="242">
        <f t="shared" si="2850"/>
        <v>0</v>
      </c>
      <c r="NN417" s="242">
        <f t="shared" si="2851"/>
        <v>1127</v>
      </c>
      <c r="NO417" s="56"/>
      <c r="NR417" s="55">
        <f t="shared" si="2852"/>
        <v>46378</v>
      </c>
      <c r="NS417" s="56"/>
      <c r="NT417" s="242">
        <f>SUMPRODUCT(PRODUCE!$B410:$DY410,PRODUCE!$EB$49:$IY$49)</f>
        <v>0</v>
      </c>
      <c r="NU417" s="56"/>
      <c r="NV417" s="242">
        <f t="shared" si="2853"/>
        <v>0</v>
      </c>
      <c r="NW417" s="242">
        <f t="shared" si="2854"/>
        <v>3111.9999999999995</v>
      </c>
      <c r="NX417" s="56"/>
      <c r="OA417" s="55">
        <f t="shared" si="2855"/>
        <v>46378</v>
      </c>
      <c r="OB417" s="56"/>
      <c r="OC417" s="242">
        <f>SUMPRODUCT(PRODUCE!$B410:$DY410,PRODUCE!$EB$50:$IY$50)</f>
        <v>0</v>
      </c>
      <c r="OD417" s="56"/>
      <c r="OE417" s="242">
        <f t="shared" si="2856"/>
        <v>0</v>
      </c>
      <c r="OF417" s="242">
        <f t="shared" si="2857"/>
        <v>1680.5</v>
      </c>
      <c r="OG417" s="56"/>
      <c r="OJ417" s="55">
        <f t="shared" si="2858"/>
        <v>46378</v>
      </c>
      <c r="OK417" s="56"/>
      <c r="OL417" s="242">
        <f>SUMPRODUCT(PRODUCE!$B410:$DY410,PRODUCE!$EB$51:$IY$51)</f>
        <v>0</v>
      </c>
      <c r="OM417" s="56"/>
      <c r="ON417" s="242">
        <f t="shared" si="2859"/>
        <v>0</v>
      </c>
      <c r="OO417" s="242">
        <f t="shared" si="2860"/>
        <v>0</v>
      </c>
      <c r="OP417" s="56"/>
      <c r="OS417" s="55">
        <f t="shared" si="2861"/>
        <v>46378</v>
      </c>
      <c r="OT417" s="56"/>
      <c r="OU417" s="242">
        <f>SUMPRODUCT(PRODUCE!$B410:$DY410,PRODUCE!$EB$52:$IY$52)</f>
        <v>0</v>
      </c>
      <c r="OV417" s="56"/>
      <c r="OW417" s="242">
        <f t="shared" si="2862"/>
        <v>0</v>
      </c>
      <c r="OX417" s="242">
        <f t="shared" si="2863"/>
        <v>1482</v>
      </c>
      <c r="OY417" s="56"/>
      <c r="PB417" s="55">
        <f t="shared" si="2864"/>
        <v>46378</v>
      </c>
      <c r="PC417" s="56"/>
      <c r="PD417" s="242">
        <f>SUMPRODUCT(PRODUCE!$B410:$DY410,PRODUCE!$EB$53:$IY$53)</f>
        <v>0</v>
      </c>
      <c r="PE417" s="56"/>
      <c r="PF417" s="242">
        <f t="shared" si="2865"/>
        <v>0</v>
      </c>
      <c r="PG417" s="242">
        <f t="shared" si="2866"/>
        <v>0</v>
      </c>
      <c r="PH417" s="56"/>
      <c r="PK417" s="55">
        <f t="shared" si="2867"/>
        <v>46378</v>
      </c>
      <c r="PL417" s="56"/>
      <c r="PM417" s="242">
        <f>SUMPRODUCT(PRODUCE!$B410:$DY410,PRODUCE!$EB$54:$IY$54)</f>
        <v>0</v>
      </c>
      <c r="PN417" s="56"/>
      <c r="PO417" s="242">
        <f t="shared" si="2868"/>
        <v>0</v>
      </c>
      <c r="PP417" s="242">
        <f t="shared" si="2869"/>
        <v>100</v>
      </c>
      <c r="PQ417" s="56"/>
      <c r="PT417" s="55">
        <f t="shared" si="2870"/>
        <v>46378</v>
      </c>
      <c r="PU417" s="56"/>
      <c r="PV417" s="242">
        <f>SUMPRODUCT(PRODUCE!$B410:$DY410,PRODUCE!$EB$55:$IY$55)</f>
        <v>0</v>
      </c>
      <c r="PW417" s="56"/>
      <c r="PX417" s="242">
        <f t="shared" si="2871"/>
        <v>0</v>
      </c>
      <c r="PY417" s="242">
        <f t="shared" si="2872"/>
        <v>13.960000000000036</v>
      </c>
      <c r="PZ417" s="56"/>
      <c r="QC417" s="55">
        <f t="shared" si="2873"/>
        <v>46378</v>
      </c>
      <c r="QD417" s="56"/>
      <c r="QE417" s="242">
        <f>SUMPRODUCT(PRODUCE!$B410:$DY410,PRODUCE!$EB$56:$IY$56)</f>
        <v>0</v>
      </c>
      <c r="QF417" s="56"/>
      <c r="QG417" s="242">
        <f t="shared" si="2874"/>
        <v>0</v>
      </c>
      <c r="QH417" s="242">
        <f t="shared" si="2875"/>
        <v>548</v>
      </c>
      <c r="QI417" s="56"/>
      <c r="QL417" s="55">
        <f t="shared" si="2876"/>
        <v>46378</v>
      </c>
      <c r="QM417" s="56"/>
      <c r="QN417" s="242">
        <f>SUMPRODUCT(PRODUCE!$B410:$DY410,PRODUCE!$EB$57:$IY$57)</f>
        <v>0</v>
      </c>
      <c r="QO417" s="56"/>
      <c r="QP417" s="242">
        <f t="shared" si="2877"/>
        <v>0</v>
      </c>
      <c r="QQ417" s="242">
        <f t="shared" si="2878"/>
        <v>0</v>
      </c>
      <c r="QR417" s="56"/>
      <c r="QU417" s="55">
        <f t="shared" si="2879"/>
        <v>46378</v>
      </c>
      <c r="QV417" s="56"/>
      <c r="QW417" s="242">
        <f>SUMPRODUCT(PRODUCE!$B410:$DY410,PRODUCE!$EB$57:$IY$57)</f>
        <v>0</v>
      </c>
      <c r="QX417" s="56"/>
      <c r="QY417" s="242">
        <f t="shared" si="2880"/>
        <v>0</v>
      </c>
      <c r="QZ417" s="242">
        <f t="shared" si="2881"/>
        <v>0</v>
      </c>
      <c r="RA417" s="56"/>
      <c r="RD417" s="55">
        <f t="shared" si="2882"/>
        <v>46378</v>
      </c>
      <c r="RE417" s="56"/>
      <c r="RF417" s="242">
        <f>SUMPRODUCT(PRODUCE!$B410:$DY410,PRODUCE!$EB$58:$IY$58)</f>
        <v>0</v>
      </c>
      <c r="RG417" s="56"/>
      <c r="RH417" s="242">
        <f t="shared" si="2883"/>
        <v>0</v>
      </c>
      <c r="RI417" s="242">
        <f t="shared" si="2884"/>
        <v>147.04000000000002</v>
      </c>
      <c r="RJ417" s="56"/>
      <c r="RM417" s="55">
        <f t="shared" si="2885"/>
        <v>46378</v>
      </c>
      <c r="RN417" s="56"/>
      <c r="RO417" s="242">
        <f>SUMPRODUCT(PRODUCE!$B410:$DY410,PRODUCE!$EB$57:$IY$57)</f>
        <v>0</v>
      </c>
      <c r="RP417" s="56"/>
      <c r="RQ417" s="242">
        <f t="shared" si="2886"/>
        <v>0</v>
      </c>
      <c r="RR417" s="242">
        <f t="shared" si="2887"/>
        <v>46.8</v>
      </c>
      <c r="RS417" s="56"/>
      <c r="RV417" s="55">
        <f t="shared" si="2888"/>
        <v>46378</v>
      </c>
      <c r="RW417" s="56"/>
      <c r="RX417" s="242">
        <f>SUMPRODUCT(PRODUCE!$B410:$DY410,PRODUCE!$EB$57:$IY$57)</f>
        <v>0</v>
      </c>
      <c r="RY417" s="56"/>
      <c r="RZ417" s="242">
        <f t="shared" si="2889"/>
        <v>0</v>
      </c>
      <c r="SA417" s="242">
        <f t="shared" si="2890"/>
        <v>0</v>
      </c>
      <c r="SB417" s="56"/>
      <c r="SE417" s="55">
        <f t="shared" si="2891"/>
        <v>46378</v>
      </c>
      <c r="SF417" s="56"/>
      <c r="SG417" s="242">
        <f>SUMPRODUCT(PRODUCE!$B410:$DY410,PRODUCE!$EB$61:$IY$61)</f>
        <v>0</v>
      </c>
      <c r="SH417" s="56"/>
      <c r="SI417" s="242">
        <f t="shared" si="2892"/>
        <v>0</v>
      </c>
      <c r="SJ417" s="242">
        <f t="shared" si="2893"/>
        <v>24.200000000000003</v>
      </c>
      <c r="SK417" s="56"/>
      <c r="SN417" s="55">
        <f t="shared" si="2894"/>
        <v>46378</v>
      </c>
      <c r="SO417" s="56"/>
      <c r="SP417" s="242">
        <f>SUMPRODUCT(PRODUCE!$B410:$DY410,PRODUCE!$EB$57:$IY$57)</f>
        <v>0</v>
      </c>
      <c r="SQ417" s="56"/>
      <c r="SR417" s="242">
        <f t="shared" si="2895"/>
        <v>0</v>
      </c>
      <c r="SS417" s="242">
        <f t="shared" si="2896"/>
        <v>32</v>
      </c>
      <c r="ST417" s="56"/>
      <c r="SW417" s="55">
        <f t="shared" si="2897"/>
        <v>46378</v>
      </c>
      <c r="SX417" s="56"/>
      <c r="SY417" s="242">
        <f>SUMPRODUCT(PRODUCE!$B410:$DY410,PRODUCE!$EB$57:$IY$57)</f>
        <v>0</v>
      </c>
      <c r="SZ417" s="56"/>
      <c r="TA417" s="242">
        <f t="shared" si="2898"/>
        <v>0</v>
      </c>
      <c r="TB417" s="242">
        <f t="shared" si="2899"/>
        <v>0</v>
      </c>
      <c r="TC417" s="56"/>
      <c r="TF417" s="55">
        <f t="shared" si="2900"/>
        <v>46378</v>
      </c>
      <c r="TG417" s="56"/>
      <c r="TH417" s="242">
        <f>SUMPRODUCT(PRODUCE!$B410:$DY410,PRODUCE!$EB$57:$IY$57)</f>
        <v>0</v>
      </c>
      <c r="TI417" s="56"/>
      <c r="TJ417" s="242">
        <f t="shared" si="2901"/>
        <v>0</v>
      </c>
      <c r="TK417" s="242">
        <f t="shared" si="2902"/>
        <v>0</v>
      </c>
      <c r="TL417" s="56"/>
      <c r="TO417" s="55">
        <f t="shared" si="2903"/>
        <v>46378</v>
      </c>
      <c r="TP417" s="56"/>
      <c r="TQ417" s="242">
        <f>SUMPRODUCT(PRODUCE!$B410:$DY410,PRODUCE!$EB$57:$IY$57)</f>
        <v>0</v>
      </c>
      <c r="TR417" s="56"/>
      <c r="TS417" s="242">
        <f t="shared" si="2904"/>
        <v>0</v>
      </c>
      <c r="TT417" s="242">
        <f t="shared" si="2905"/>
        <v>0</v>
      </c>
      <c r="TU417" s="56"/>
      <c r="TX417" s="55">
        <f t="shared" si="2906"/>
        <v>46378</v>
      </c>
      <c r="TY417" s="56"/>
      <c r="TZ417" s="242">
        <f>SUMPRODUCT(PRODUCE!$B410:$DY410,PRODUCE!$EB$57:$IY$57)</f>
        <v>0</v>
      </c>
      <c r="UA417" s="56"/>
      <c r="UB417" s="242">
        <f t="shared" si="2907"/>
        <v>0</v>
      </c>
      <c r="UC417" s="242">
        <f t="shared" si="2908"/>
        <v>46.799999999999983</v>
      </c>
      <c r="UD417" s="56"/>
      <c r="UG417" s="55">
        <f t="shared" si="2909"/>
        <v>46378</v>
      </c>
      <c r="UH417" s="56"/>
      <c r="UI417" s="242">
        <f>SUMPRODUCT(PRODUCE!$B410:$DY410,PRODUCE!$EB$57:$IY$57)</f>
        <v>0</v>
      </c>
      <c r="UJ417" s="56"/>
      <c r="UK417" s="242">
        <f t="shared" si="2910"/>
        <v>0</v>
      </c>
      <c r="UL417" s="242">
        <f t="shared" si="2911"/>
        <v>204</v>
      </c>
      <c r="UM417" s="56"/>
      <c r="UP417" s="55">
        <f t="shared" si="2912"/>
        <v>46378</v>
      </c>
      <c r="UQ417" s="56"/>
      <c r="UR417" s="242">
        <f>SUMPRODUCT(PRODUCE!$B410:$DY410,PRODUCE!$EB$57:$IY$57)</f>
        <v>0</v>
      </c>
      <c r="US417" s="56"/>
      <c r="UT417" s="242">
        <f t="shared" si="2913"/>
        <v>0</v>
      </c>
      <c r="UU417" s="242">
        <f t="shared" si="2914"/>
        <v>202.5</v>
      </c>
      <c r="UV417" s="56"/>
      <c r="UY417" s="55">
        <f t="shared" si="2915"/>
        <v>46378</v>
      </c>
      <c r="UZ417" s="56"/>
      <c r="VA417" s="242">
        <f>SUMPRODUCT(PRODUCE!$B410:$DY410,PRODUCE!$EB$57:$IY$57)</f>
        <v>0</v>
      </c>
      <c r="VB417" s="56"/>
      <c r="VC417" s="242">
        <f t="shared" si="2916"/>
        <v>0</v>
      </c>
      <c r="VD417" s="242">
        <f t="shared" si="2917"/>
        <v>41.600000000000023</v>
      </c>
      <c r="VE417" s="56"/>
      <c r="VH417" s="55">
        <f t="shared" si="2918"/>
        <v>46378</v>
      </c>
      <c r="VI417" s="56"/>
      <c r="VJ417" s="242">
        <f>SUMPRODUCT(PRODUCE!$B410:$DY410,PRODUCE!$EB$57:$IY$57)</f>
        <v>0</v>
      </c>
      <c r="VK417" s="56"/>
      <c r="VL417" s="242">
        <f t="shared" si="2919"/>
        <v>0</v>
      </c>
      <c r="VM417" s="242">
        <f t="shared" si="2920"/>
        <v>210</v>
      </c>
      <c r="VN417" s="56"/>
      <c r="VQ417" s="55">
        <f t="shared" si="2921"/>
        <v>46378</v>
      </c>
      <c r="VR417" s="56"/>
      <c r="VS417" s="242">
        <f>SUMPRODUCT(PRODUCE!$B410:$DY410,PRODUCE!$EB$57:$IY$57)</f>
        <v>0</v>
      </c>
      <c r="VT417" s="56"/>
      <c r="VU417" s="242">
        <f t="shared" si="2922"/>
        <v>0</v>
      </c>
      <c r="VV417" s="242">
        <f t="shared" si="2923"/>
        <v>0</v>
      </c>
      <c r="VW417" s="56"/>
      <c r="VZ417" s="55">
        <f t="shared" si="2924"/>
        <v>46378</v>
      </c>
      <c r="WA417" s="56"/>
      <c r="WB417" s="242">
        <f>SUMPRODUCT(PRODUCE!$B410:$DY410,PRODUCE!$EB$57:$IY$57)</f>
        <v>0</v>
      </c>
      <c r="WC417" s="56"/>
      <c r="WD417" s="242">
        <f t="shared" si="2925"/>
        <v>0</v>
      </c>
      <c r="WE417" s="242">
        <f t="shared" si="2926"/>
        <v>0</v>
      </c>
      <c r="WF417" s="56"/>
      <c r="WI417" s="55">
        <f t="shared" si="2927"/>
        <v>46378</v>
      </c>
      <c r="WJ417" s="56"/>
      <c r="WK417" s="242">
        <f>SUMPRODUCT(PRODUCE!$B410:$DY410,PRODUCE!$EB$57:$IY$57)</f>
        <v>0</v>
      </c>
      <c r="WL417" s="56"/>
      <c r="WM417" s="242">
        <f t="shared" si="2928"/>
        <v>0</v>
      </c>
      <c r="WN417" s="242">
        <f t="shared" si="2929"/>
        <v>1057</v>
      </c>
      <c r="WO417" s="56"/>
      <c r="WR417" s="55">
        <f t="shared" si="2930"/>
        <v>46378</v>
      </c>
      <c r="WS417" s="56"/>
      <c r="WT417" s="242">
        <f>SUMPRODUCT(PRODUCE!$B410:$DY410,PRODUCE!$EB$57:$IY$57)</f>
        <v>0</v>
      </c>
      <c r="WU417" s="56"/>
      <c r="WV417" s="242">
        <f t="shared" si="2931"/>
        <v>0</v>
      </c>
      <c r="WW417" s="242">
        <f t="shared" si="2932"/>
        <v>0</v>
      </c>
      <c r="WX417" s="56"/>
      <c r="XA417" s="55">
        <f t="shared" si="2933"/>
        <v>46378</v>
      </c>
      <c r="XB417" s="56"/>
      <c r="XC417" s="242">
        <f>SUMPRODUCT(PRODUCE!$B410:$DY410,PRODUCE!$EB$57:$IY$57)</f>
        <v>0</v>
      </c>
      <c r="XD417" s="56"/>
      <c r="XE417" s="242">
        <f t="shared" si="2934"/>
        <v>0</v>
      </c>
      <c r="XF417" s="242">
        <f t="shared" si="2935"/>
        <v>7507</v>
      </c>
      <c r="XG417" s="56"/>
      <c r="XJ417" s="55">
        <f t="shared" si="2936"/>
        <v>46378</v>
      </c>
      <c r="XK417" s="56"/>
      <c r="XL417" s="242">
        <f>SUMPRODUCT(PRODUCE!$B410:$DY410,PRODUCE!$EB$57:$IY$57)</f>
        <v>0</v>
      </c>
      <c r="XM417" s="56"/>
      <c r="XN417" s="242">
        <f t="shared" si="2937"/>
        <v>0</v>
      </c>
      <c r="XO417" s="242">
        <f t="shared" si="2938"/>
        <v>4252</v>
      </c>
      <c r="XP417" s="56"/>
      <c r="XS417" s="55">
        <f t="shared" si="2939"/>
        <v>46378</v>
      </c>
      <c r="XT417" s="56"/>
      <c r="XU417" s="242">
        <f>SUMPRODUCT(PRODUCE!$B410:$DY410,PRODUCE!$EB$57:$IY$57)</f>
        <v>0</v>
      </c>
      <c r="XV417" s="56"/>
      <c r="XW417" s="242">
        <f t="shared" si="2940"/>
        <v>0</v>
      </c>
      <c r="XX417" s="242">
        <f t="shared" si="2941"/>
        <v>2179</v>
      </c>
      <c r="XY417" s="56"/>
      <c r="YB417" s="55">
        <f t="shared" si="2942"/>
        <v>46378</v>
      </c>
      <c r="YC417" s="56"/>
      <c r="YD417" s="242">
        <f>SUMPRODUCT(PRODUCE!$B410:$DY410,PRODUCE!$EB$57:$IY$57)</f>
        <v>0</v>
      </c>
      <c r="YE417" s="56"/>
      <c r="YF417" s="242">
        <f t="shared" si="2943"/>
        <v>0</v>
      </c>
      <c r="YG417" s="242">
        <f t="shared" si="2944"/>
        <v>4019</v>
      </c>
      <c r="YH417" s="56"/>
      <c r="YK417" s="55">
        <f t="shared" si="2945"/>
        <v>46378</v>
      </c>
      <c r="YL417" s="56"/>
      <c r="YM417" s="242">
        <f>SUMPRODUCT(PRODUCE!$B410:$DY410,PRODUCE!$EB$57:$IY$57)</f>
        <v>0</v>
      </c>
      <c r="YN417" s="56"/>
      <c r="YO417" s="242">
        <f t="shared" si="2946"/>
        <v>0</v>
      </c>
      <c r="YP417" s="242">
        <f t="shared" si="2947"/>
        <v>-218</v>
      </c>
      <c r="YQ417" s="56"/>
      <c r="YT417" s="55">
        <f t="shared" si="2948"/>
        <v>46378</v>
      </c>
      <c r="YU417" s="56"/>
      <c r="YV417" s="242">
        <f>SUMPRODUCT(PRODUCE!$B410:$DY410,PRODUCE!$EB$57:$IY$57)</f>
        <v>0</v>
      </c>
      <c r="YW417" s="56"/>
      <c r="YX417" s="242">
        <f t="shared" si="2949"/>
        <v>0</v>
      </c>
      <c r="YY417" s="242">
        <f t="shared" si="2950"/>
        <v>0</v>
      </c>
      <c r="YZ417" s="56"/>
      <c r="ZC417" s="55">
        <f t="shared" si="2951"/>
        <v>46378</v>
      </c>
      <c r="ZD417" s="56"/>
      <c r="ZE417" s="242">
        <f>SUMPRODUCT(PRODUCE!$B410:$DY410,PRODUCE!$EB$57:$IY$57)</f>
        <v>0</v>
      </c>
      <c r="ZF417" s="56"/>
      <c r="ZG417" s="242">
        <f t="shared" si="2952"/>
        <v>0</v>
      </c>
      <c r="ZH417" s="242">
        <f t="shared" si="2953"/>
        <v>0</v>
      </c>
      <c r="ZI417" s="56"/>
      <c r="ZL417" s="55">
        <f t="shared" si="2954"/>
        <v>46378</v>
      </c>
      <c r="ZM417" s="56"/>
      <c r="ZN417" s="242">
        <f>SUMPRODUCT(PRODUCE!$B410:$DY410,PRODUCE!$EB$57:$IY$57)</f>
        <v>0</v>
      </c>
      <c r="ZO417" s="56"/>
      <c r="ZP417" s="242">
        <f t="shared" si="2955"/>
        <v>0</v>
      </c>
      <c r="ZQ417" s="242">
        <f t="shared" si="2956"/>
        <v>0</v>
      </c>
      <c r="ZR417" s="56"/>
      <c r="ZU417" s="55">
        <f t="shared" si="2957"/>
        <v>46378</v>
      </c>
      <c r="ZV417" s="56"/>
      <c r="ZW417" s="242">
        <f>SUMPRODUCT(PRODUCE!$B410:$DY410,PRODUCE!$EB$57:$IY$57)</f>
        <v>0</v>
      </c>
      <c r="ZX417" s="56"/>
      <c r="ZY417" s="242">
        <f t="shared" si="2958"/>
        <v>0</v>
      </c>
      <c r="ZZ417" s="242">
        <f t="shared" si="2959"/>
        <v>0</v>
      </c>
      <c r="AAA417" s="56"/>
      <c r="AAD417" s="55">
        <f t="shared" si="2960"/>
        <v>46378</v>
      </c>
      <c r="AAE417" s="56"/>
      <c r="AAF417" s="242">
        <f>SUMPRODUCT(PRODUCE!$B410:$DY410,PRODUCE!$EB$57:$IY$57)</f>
        <v>0</v>
      </c>
      <c r="AAG417" s="56"/>
      <c r="AAH417" s="242">
        <f t="shared" si="2961"/>
        <v>0</v>
      </c>
      <c r="AAI417" s="242">
        <f t="shared" si="2962"/>
        <v>0</v>
      </c>
      <c r="AAJ417" s="56"/>
      <c r="AAM417" s="55">
        <f t="shared" si="2963"/>
        <v>46378</v>
      </c>
      <c r="AAN417" s="56"/>
      <c r="AAO417" s="242">
        <f>SUMPRODUCT(PRODUCE!$B410:$DY410,PRODUCE!$EB$57:$IY$57)</f>
        <v>0</v>
      </c>
      <c r="AAP417" s="56"/>
      <c r="AAQ417" s="242">
        <f t="shared" si="2964"/>
        <v>0</v>
      </c>
      <c r="AAR417" s="242">
        <f t="shared" si="2965"/>
        <v>0</v>
      </c>
      <c r="AAS417" s="56"/>
      <c r="AAV417" s="55">
        <f t="shared" si="2966"/>
        <v>46378</v>
      </c>
      <c r="AAW417" s="56"/>
      <c r="AAX417" s="242">
        <f>SUMPRODUCT(PRODUCE!$B410:$DY410,PRODUCE!$EB$57:$IY$57)</f>
        <v>0</v>
      </c>
      <c r="AAY417" s="56"/>
      <c r="AAZ417" s="242">
        <f t="shared" si="2967"/>
        <v>0</v>
      </c>
      <c r="ABA417" s="242">
        <f t="shared" si="2968"/>
        <v>0</v>
      </c>
      <c r="ABB417" s="56"/>
      <c r="ABE417" s="55">
        <f t="shared" si="2969"/>
        <v>46378</v>
      </c>
      <c r="ABF417" s="56"/>
      <c r="ABG417" s="242">
        <f>SUMPRODUCT(PRODUCE!$B410:$DY410,PRODUCE!$EB$57:$IY$57)</f>
        <v>0</v>
      </c>
      <c r="ABH417" s="56"/>
      <c r="ABI417" s="242">
        <f t="shared" si="2970"/>
        <v>0</v>
      </c>
      <c r="ABJ417" s="242">
        <f t="shared" si="2971"/>
        <v>0</v>
      </c>
      <c r="ABK417" s="56"/>
    </row>
    <row r="418" spans="2:739" s="54" customFormat="1" ht="15" customHeight="1" outlineLevel="1">
      <c r="B418" s="478"/>
      <c r="C418" s="55">
        <v>46379</v>
      </c>
      <c r="D418" s="56"/>
      <c r="E418" s="57">
        <f>SUMPRODUCT(PRODUCE!$B411:$DY411,PRODUCE!$EB$7:$IY$7)</f>
        <v>0</v>
      </c>
      <c r="F418" s="56"/>
      <c r="G418" s="57">
        <f t="shared" si="2727"/>
        <v>0</v>
      </c>
      <c r="H418" s="57">
        <f t="shared" si="2728"/>
        <v>236936.6</v>
      </c>
      <c r="I418" s="289"/>
      <c r="L418" s="55">
        <f t="shared" si="2729"/>
        <v>46379</v>
      </c>
      <c r="M418" s="56"/>
      <c r="N418" s="59">
        <f>SUMPRODUCT(PRODUCE!$B411:$DY411,PRODUCE!$EB$8:$IY$8)</f>
        <v>0</v>
      </c>
      <c r="O418" s="56"/>
      <c r="P418" s="59">
        <f t="shared" si="2730"/>
        <v>0</v>
      </c>
      <c r="Q418" s="59">
        <f t="shared" si="2731"/>
        <v>53017.600000000071</v>
      </c>
      <c r="R418" s="56"/>
      <c r="U418" s="55">
        <f t="shared" si="2732"/>
        <v>46379</v>
      </c>
      <c r="V418" s="56"/>
      <c r="W418" s="60">
        <f>SUMPRODUCT(PRODUCE!$B411:$DY411,PRODUCE!$EB$9:$IY$9)</f>
        <v>0</v>
      </c>
      <c r="X418" s="56"/>
      <c r="Y418" s="60">
        <f t="shared" si="2733"/>
        <v>0</v>
      </c>
      <c r="Z418" s="60">
        <f t="shared" si="2734"/>
        <v>42674.199999999968</v>
      </c>
      <c r="AA418" s="56"/>
      <c r="AD418" s="55">
        <f t="shared" si="2735"/>
        <v>46379</v>
      </c>
      <c r="AE418" s="56"/>
      <c r="AF418" s="61">
        <f>SUMPRODUCT(PRODUCE!$B411:$DY411,PRODUCE!$EB$10:$IY$10)</f>
        <v>0</v>
      </c>
      <c r="AG418" s="56"/>
      <c r="AH418" s="61">
        <f t="shared" si="2736"/>
        <v>0</v>
      </c>
      <c r="AI418" s="61">
        <f t="shared" si="2737"/>
        <v>4522.2000000000189</v>
      </c>
      <c r="AJ418" s="56"/>
      <c r="AM418" s="55">
        <f t="shared" si="2738"/>
        <v>46379</v>
      </c>
      <c r="AN418" s="422"/>
      <c r="AO418" s="444">
        <f>SUMPRODUCT(PRODUCE!$B411:$DY411,PRODUCE!$EB$11:$IY$11)</f>
        <v>0</v>
      </c>
      <c r="AP418" s="422"/>
      <c r="AQ418" s="444">
        <f t="shared" si="2739"/>
        <v>0</v>
      </c>
      <c r="AR418" s="444">
        <f t="shared" si="2740"/>
        <v>0</v>
      </c>
      <c r="AS418" s="56"/>
      <c r="AV418" s="55">
        <f t="shared" si="2741"/>
        <v>46379</v>
      </c>
      <c r="AW418" s="56"/>
      <c r="AX418" s="62">
        <f>SUMPRODUCT(PRODUCE!$B411:$DY411,PRODUCE!$EB$12:$IY$12)</f>
        <v>0</v>
      </c>
      <c r="AY418" s="56"/>
      <c r="AZ418" s="62">
        <f t="shared" si="2742"/>
        <v>0</v>
      </c>
      <c r="BA418" s="62">
        <f t="shared" si="2743"/>
        <v>124.99999999999523</v>
      </c>
      <c r="BB418" s="56"/>
      <c r="BE418" s="55">
        <f t="shared" si="2744"/>
        <v>46379</v>
      </c>
      <c r="BF418" s="56"/>
      <c r="BG418" s="63">
        <f>SUMPRODUCT(PRODUCE!$B411:$DY411,PRODUCE!$EB$13:$IY$13)</f>
        <v>0</v>
      </c>
      <c r="BH418" s="56"/>
      <c r="BI418" s="63">
        <f t="shared" si="2745"/>
        <v>0</v>
      </c>
      <c r="BJ418" s="63">
        <f t="shared" si="2746"/>
        <v>26151.899999999998</v>
      </c>
      <c r="BK418" s="56"/>
      <c r="BN418" s="55">
        <f t="shared" si="2747"/>
        <v>46379</v>
      </c>
      <c r="BO418" s="56"/>
      <c r="BP418" s="64">
        <f>SUMPRODUCT(PRODUCE!$B411:$DY411,PRODUCE!$EB$14:$IY$14)</f>
        <v>0</v>
      </c>
      <c r="BQ418" s="56"/>
      <c r="BR418" s="64">
        <f t="shared" si="2748"/>
        <v>0</v>
      </c>
      <c r="BS418" s="64">
        <f t="shared" si="2749"/>
        <v>0</v>
      </c>
      <c r="BT418" s="56"/>
      <c r="BW418" s="55">
        <f t="shared" si="2750"/>
        <v>46379</v>
      </c>
      <c r="BX418" s="56"/>
      <c r="BY418" s="65">
        <f>SUMPRODUCT(PRODUCE!$B411:$DY411,PRODUCE!$EB$15:$IY$15)</f>
        <v>0</v>
      </c>
      <c r="BZ418" s="56"/>
      <c r="CA418" s="65">
        <f t="shared" si="2751"/>
        <v>0</v>
      </c>
      <c r="CB418" s="65">
        <f t="shared" si="2752"/>
        <v>2097.3399999999992</v>
      </c>
      <c r="CC418" s="56"/>
      <c r="CF418" s="55">
        <f t="shared" si="2753"/>
        <v>46379</v>
      </c>
      <c r="CG418" s="56"/>
      <c r="CH418" s="66">
        <f>SUMPRODUCT(PRODUCE!$B411:$DY411,PRODUCE!$EB$16:$IY$16)</f>
        <v>0</v>
      </c>
      <c r="CI418" s="56"/>
      <c r="CJ418" s="66">
        <f t="shared" si="2754"/>
        <v>0</v>
      </c>
      <c r="CK418" s="66">
        <f t="shared" si="2755"/>
        <v>-10277.079999999998</v>
      </c>
      <c r="CL418" s="56"/>
      <c r="CO418" s="55">
        <f t="shared" si="2756"/>
        <v>46379</v>
      </c>
      <c r="CP418" s="422"/>
      <c r="CQ418" s="470">
        <f>SUMPRODUCT(PRODUCE!$B411:$DY411,PRODUCE!$EB$17:$IY$17)</f>
        <v>0</v>
      </c>
      <c r="CR418" s="422"/>
      <c r="CS418" s="470">
        <f t="shared" si="2757"/>
        <v>0</v>
      </c>
      <c r="CT418" s="470">
        <f t="shared" si="2758"/>
        <v>0</v>
      </c>
      <c r="CU418" s="56"/>
      <c r="CX418" s="55">
        <f t="shared" si="2759"/>
        <v>46379</v>
      </c>
      <c r="CY418" s="56"/>
      <c r="CZ418" s="133">
        <f>SUMPRODUCT(PRODUCE!$B411:$DY411,PRODUCE!$EB$18:$IY$18)</f>
        <v>0</v>
      </c>
      <c r="DA418" s="56"/>
      <c r="DB418" s="133">
        <f t="shared" si="2760"/>
        <v>0</v>
      </c>
      <c r="DC418" s="133">
        <f t="shared" si="2761"/>
        <v>27438.200000000012</v>
      </c>
      <c r="DD418" s="56"/>
      <c r="DG418" s="55">
        <f t="shared" si="2762"/>
        <v>46379</v>
      </c>
      <c r="DH418" s="56"/>
      <c r="DI418" s="147">
        <f>SUMPRODUCT(PRODUCE!$B411:$DY411,PRODUCE!$EB$19:$IY$19)</f>
        <v>0</v>
      </c>
      <c r="DJ418" s="56"/>
      <c r="DK418" s="147">
        <f t="shared" si="2763"/>
        <v>0</v>
      </c>
      <c r="DL418" s="147">
        <f t="shared" si="2764"/>
        <v>18782.299999999981</v>
      </c>
      <c r="DM418" s="56"/>
      <c r="DP418" s="55">
        <f t="shared" si="2765"/>
        <v>46379</v>
      </c>
      <c r="DQ418" s="56"/>
      <c r="DR418" s="57">
        <f>SUMPRODUCT(PRODUCE!$B411:$DY411,PRODUCE!$EB$20:$IY$20)</f>
        <v>0</v>
      </c>
      <c r="DS418" s="56"/>
      <c r="DT418" s="57">
        <f t="shared" si="2766"/>
        <v>0</v>
      </c>
      <c r="DU418" s="57">
        <f t="shared" si="2767"/>
        <v>5800</v>
      </c>
      <c r="DV418" s="56"/>
      <c r="DY418" s="55">
        <f t="shared" si="2768"/>
        <v>46379</v>
      </c>
      <c r="DZ418" s="56"/>
      <c r="EA418" s="157">
        <f>SUMPRODUCT(PRODUCE!$B411:$DY411,PRODUCE!$EB$21:$IY$21)</f>
        <v>0</v>
      </c>
      <c r="EB418" s="56"/>
      <c r="EC418" s="157">
        <f t="shared" si="2769"/>
        <v>0</v>
      </c>
      <c r="ED418" s="157">
        <f t="shared" si="2770"/>
        <v>0</v>
      </c>
      <c r="EE418" s="56"/>
      <c r="EH418" s="55">
        <f t="shared" si="2771"/>
        <v>46379</v>
      </c>
      <c r="EI418" s="56"/>
      <c r="EJ418" s="162">
        <f>SUMPRODUCT(PRODUCE!$B411:$DY411,PRODUCE!$EB$22:$IY$22)</f>
        <v>0</v>
      </c>
      <c r="EK418" s="56"/>
      <c r="EL418" s="162">
        <f t="shared" si="2772"/>
        <v>0</v>
      </c>
      <c r="EM418" s="162">
        <f t="shared" si="2773"/>
        <v>0</v>
      </c>
      <c r="EN418" s="56"/>
      <c r="EQ418" s="55">
        <f t="shared" si="2774"/>
        <v>46379</v>
      </c>
      <c r="ER418" s="56"/>
      <c r="ES418" s="135">
        <f>SUMPRODUCT(PRODUCE!$B411:$DY411,PRODUCE!$EB$23:$IY$23)</f>
        <v>0</v>
      </c>
      <c r="ET418" s="56"/>
      <c r="EU418" s="135">
        <f t="shared" si="2775"/>
        <v>0</v>
      </c>
      <c r="EV418" s="135">
        <f t="shared" si="2776"/>
        <v>0</v>
      </c>
      <c r="EW418" s="56"/>
      <c r="EZ418" s="55">
        <f t="shared" si="2777"/>
        <v>46379</v>
      </c>
      <c r="FA418" s="56"/>
      <c r="FB418" s="175">
        <f>SUMPRODUCT(PRODUCE!$B411:$DY411,PRODUCE!$EB$24:$IY$24)</f>
        <v>0</v>
      </c>
      <c r="FC418" s="56"/>
      <c r="FD418" s="175">
        <f t="shared" si="2778"/>
        <v>0</v>
      </c>
      <c r="FE418" s="175">
        <f t="shared" si="2779"/>
        <v>0</v>
      </c>
      <c r="FF418" s="56"/>
      <c r="FI418" s="55">
        <f t="shared" si="2780"/>
        <v>46379</v>
      </c>
      <c r="FJ418" s="56"/>
      <c r="FK418" s="183">
        <f>SUMPRODUCT(PRODUCE!$B411:$DY411,PRODUCE!$EB$25:$IY$25)</f>
        <v>0</v>
      </c>
      <c r="FL418" s="56"/>
      <c r="FM418" s="183">
        <f t="shared" si="2781"/>
        <v>0</v>
      </c>
      <c r="FN418" s="183">
        <f t="shared" si="2782"/>
        <v>0</v>
      </c>
      <c r="FO418" s="56"/>
      <c r="FR418" s="55">
        <f t="shared" si="2783"/>
        <v>46379</v>
      </c>
      <c r="FS418" s="56"/>
      <c r="FT418" s="186">
        <f>SUMPRODUCT(PRODUCE!$B411:$DY411,PRODUCE!$EB$26:$IY$26)</f>
        <v>0</v>
      </c>
      <c r="FU418" s="56"/>
      <c r="FV418" s="186">
        <f t="shared" si="2784"/>
        <v>0</v>
      </c>
      <c r="FW418" s="186">
        <f t="shared" si="2785"/>
        <v>2020</v>
      </c>
      <c r="FX418" s="56"/>
      <c r="GA418" s="55">
        <f t="shared" si="2786"/>
        <v>46379</v>
      </c>
      <c r="GB418" s="56"/>
      <c r="GC418" s="137">
        <f>SUMPRODUCT(PRODUCE!$B411:$DY411,PRODUCE!$EB$27:$IY$27)</f>
        <v>0</v>
      </c>
      <c r="GD418" s="56"/>
      <c r="GE418" s="137">
        <f t="shared" si="2787"/>
        <v>0</v>
      </c>
      <c r="GF418" s="137">
        <f t="shared" si="2788"/>
        <v>960</v>
      </c>
      <c r="GG418" s="56"/>
      <c r="GI418" s="23"/>
      <c r="GJ418" s="55">
        <f t="shared" si="2789"/>
        <v>46379</v>
      </c>
      <c r="GK418" s="56"/>
      <c r="GL418" s="199">
        <f>SUMPRODUCT(PRODUCE!$B411:$DY411,PRODUCE!$EB$28:$IY$28)</f>
        <v>0</v>
      </c>
      <c r="GM418" s="56"/>
      <c r="GN418" s="199">
        <f t="shared" si="2790"/>
        <v>0</v>
      </c>
      <c r="GO418" s="199">
        <f t="shared" si="2791"/>
        <v>1760</v>
      </c>
      <c r="GP418" s="56"/>
      <c r="GS418" s="55">
        <f t="shared" si="2792"/>
        <v>46379</v>
      </c>
      <c r="GT418" s="56"/>
      <c r="GU418" s="195">
        <f>SUMPRODUCT(PRODUCE!$B411:$DY411,PRODUCE!$EB$29:$IY$29)</f>
        <v>0</v>
      </c>
      <c r="GV418" s="56"/>
      <c r="GW418" s="195">
        <f t="shared" si="2793"/>
        <v>0</v>
      </c>
      <c r="GX418" s="195">
        <f t="shared" si="2794"/>
        <v>400</v>
      </c>
      <c r="GY418" s="56"/>
      <c r="HB418" s="55">
        <f t="shared" si="2795"/>
        <v>46379</v>
      </c>
      <c r="HC418" s="56"/>
      <c r="HD418" s="191">
        <f>SUMPRODUCT(PRODUCE!$B411:$DY411,PRODUCE!$EB$30:$IY$30)</f>
        <v>0</v>
      </c>
      <c r="HE418" s="56"/>
      <c r="HF418" s="191">
        <f t="shared" si="2796"/>
        <v>0</v>
      </c>
      <c r="HG418" s="191">
        <f t="shared" si="2797"/>
        <v>3600</v>
      </c>
      <c r="HH418" s="56"/>
      <c r="HK418" s="55">
        <f t="shared" si="2798"/>
        <v>46379</v>
      </c>
      <c r="HL418" s="56"/>
      <c r="HM418" s="63">
        <f>SUMPRODUCT(PRODUCE!$B411:$DY411,PRODUCE!$EB$31:$IY$31)</f>
        <v>0</v>
      </c>
      <c r="HN418" s="56"/>
      <c r="HO418" s="63">
        <f t="shared" si="2799"/>
        <v>0</v>
      </c>
      <c r="HP418" s="63">
        <f t="shared" si="2800"/>
        <v>0</v>
      </c>
      <c r="HQ418" s="56"/>
      <c r="HU418" s="55">
        <f t="shared" si="2801"/>
        <v>46379</v>
      </c>
      <c r="HV418" s="56"/>
      <c r="HW418" s="242">
        <f>SUMPRODUCT(PRODUCE!$B411:$DY411,PRODUCE!$EB$32:$IY$32)</f>
        <v>0</v>
      </c>
      <c r="HX418" s="56"/>
      <c r="HY418" s="242">
        <f t="shared" si="2802"/>
        <v>0</v>
      </c>
      <c r="HZ418" s="242">
        <f t="shared" si="2803"/>
        <v>6120</v>
      </c>
      <c r="IA418" s="56"/>
      <c r="ID418" s="55">
        <f t="shared" si="2804"/>
        <v>46379</v>
      </c>
      <c r="IE418" s="56"/>
      <c r="IF418" s="242">
        <f>SUMPRODUCT(PRODUCE!$B411:$DY411,PRODUCE!$EB$33:$IY$33)</f>
        <v>0</v>
      </c>
      <c r="IG418" s="56"/>
      <c r="IH418" s="242">
        <f t="shared" si="2805"/>
        <v>0</v>
      </c>
      <c r="II418" s="242">
        <f t="shared" si="2806"/>
        <v>0</v>
      </c>
      <c r="IJ418" s="56"/>
      <c r="IM418" s="55">
        <f t="shared" si="2807"/>
        <v>46379</v>
      </c>
      <c r="IN418" s="56"/>
      <c r="IO418" s="242">
        <f>SUMPRODUCT(PRODUCE!$B411:$DY411,PRODUCE!$EB$34:$IY$34)</f>
        <v>0</v>
      </c>
      <c r="IP418" s="56"/>
      <c r="IQ418" s="242">
        <f t="shared" si="2808"/>
        <v>0</v>
      </c>
      <c r="IR418" s="242">
        <f t="shared" si="2809"/>
        <v>0</v>
      </c>
      <c r="IS418" s="56"/>
      <c r="IV418" s="55">
        <f t="shared" si="2810"/>
        <v>46379</v>
      </c>
      <c r="IW418" s="56"/>
      <c r="IX418" s="242">
        <f>SUMPRODUCT(PRODUCE!$B411:$DY411,PRODUCE!$EB$35:$IY$35)</f>
        <v>0</v>
      </c>
      <c r="IY418" s="56"/>
      <c r="IZ418" s="242">
        <f t="shared" si="2811"/>
        <v>0</v>
      </c>
      <c r="JA418" s="242">
        <f t="shared" si="2812"/>
        <v>2820</v>
      </c>
      <c r="JB418" s="56"/>
      <c r="JE418" s="55">
        <f t="shared" si="2813"/>
        <v>46379</v>
      </c>
      <c r="JF418" s="56"/>
      <c r="JG418" s="242">
        <f>SUMPRODUCT(PRODUCE!$B411:$DY411,PRODUCE!$EB$36:$IY$36)</f>
        <v>0</v>
      </c>
      <c r="JH418" s="56"/>
      <c r="JI418" s="242">
        <f t="shared" si="2814"/>
        <v>0</v>
      </c>
      <c r="JJ418" s="242">
        <f t="shared" si="2815"/>
        <v>0</v>
      </c>
      <c r="JK418" s="56"/>
      <c r="JN418" s="55">
        <f t="shared" si="2816"/>
        <v>46379</v>
      </c>
      <c r="JO418" s="56"/>
      <c r="JP418" s="242">
        <f>SUMPRODUCT(PRODUCE!$B411:$DY411,PRODUCE!$EB$37:$IY$37)</f>
        <v>0</v>
      </c>
      <c r="JQ418" s="56"/>
      <c r="JR418" s="242">
        <f t="shared" si="2817"/>
        <v>0</v>
      </c>
      <c r="JS418" s="242">
        <f t="shared" si="2818"/>
        <v>0</v>
      </c>
      <c r="JT418" s="56"/>
      <c r="JW418" s="55">
        <f t="shared" si="2819"/>
        <v>46379</v>
      </c>
      <c r="JX418" s="56"/>
      <c r="JY418" s="242">
        <f>SUMPRODUCT(PRODUCE!$B411:$DY411,PRODUCE!$EB$38:$IY$38)</f>
        <v>0</v>
      </c>
      <c r="JZ418" s="56"/>
      <c r="KA418" s="242">
        <f t="shared" si="2820"/>
        <v>0</v>
      </c>
      <c r="KB418" s="242">
        <f t="shared" si="2821"/>
        <v>2540</v>
      </c>
      <c r="KC418" s="56"/>
      <c r="KF418" s="55">
        <f t="shared" si="2822"/>
        <v>46379</v>
      </c>
      <c r="KG418" s="56"/>
      <c r="KH418" s="242">
        <f>SUMPRODUCT(PRODUCE!$B411:$DY411,PRODUCE!$EB$39:$IY$39)</f>
        <v>0</v>
      </c>
      <c r="KI418" s="56"/>
      <c r="KJ418" s="242">
        <f t="shared" si="2823"/>
        <v>0</v>
      </c>
      <c r="KK418" s="242">
        <f t="shared" si="2824"/>
        <v>2359.5</v>
      </c>
      <c r="KL418" s="56"/>
      <c r="KO418" s="55">
        <f t="shared" si="2825"/>
        <v>46379</v>
      </c>
      <c r="KP418" s="56"/>
      <c r="KQ418" s="242">
        <f>SUMPRODUCT(PRODUCE!$B411:$DY411,PRODUCE!$EB$40:$IY$40)</f>
        <v>0</v>
      </c>
      <c r="KR418" s="56"/>
      <c r="KS418" s="242">
        <f t="shared" si="2826"/>
        <v>0</v>
      </c>
      <c r="KT418" s="242">
        <f t="shared" si="2827"/>
        <v>1890</v>
      </c>
      <c r="KU418" s="56"/>
      <c r="KW418" s="23"/>
      <c r="KX418" s="55">
        <f t="shared" si="2828"/>
        <v>46379</v>
      </c>
      <c r="KY418" s="56"/>
      <c r="KZ418" s="242">
        <f>SUMPRODUCT(PRODUCE!$B411:$DY411,PRODUCE!$EB$41:$IY$41)</f>
        <v>0</v>
      </c>
      <c r="LA418" s="56"/>
      <c r="LB418" s="242">
        <f t="shared" si="2829"/>
        <v>0</v>
      </c>
      <c r="LC418" s="242">
        <f t="shared" si="2830"/>
        <v>3690</v>
      </c>
      <c r="LD418" s="56"/>
      <c r="LG418" s="55">
        <f t="shared" si="2831"/>
        <v>46379</v>
      </c>
      <c r="LH418" s="56"/>
      <c r="LI418" s="242">
        <f>SUMPRODUCT(PRODUCE!$B411:$DY411,PRODUCE!$EB$42:$IY$42)</f>
        <v>0</v>
      </c>
      <c r="LJ418" s="56"/>
      <c r="LK418" s="242">
        <f t="shared" si="2832"/>
        <v>0</v>
      </c>
      <c r="LL418" s="242">
        <f t="shared" si="2833"/>
        <v>4000</v>
      </c>
      <c r="LM418" s="56"/>
      <c r="LP418" s="55">
        <f t="shared" si="2834"/>
        <v>46379</v>
      </c>
      <c r="LQ418" s="56"/>
      <c r="LR418" s="242">
        <f>SUMPRODUCT(PRODUCE!$B433:$DY433,PRODUCE!$EB$43:$IY$43)</f>
        <v>0</v>
      </c>
      <c r="LS418" s="56"/>
      <c r="LT418" s="242">
        <f t="shared" si="2835"/>
        <v>0</v>
      </c>
      <c r="LU418" s="242">
        <f t="shared" si="2836"/>
        <v>0</v>
      </c>
      <c r="LV418" s="56"/>
      <c r="LY418" s="55">
        <f t="shared" si="2837"/>
        <v>46379</v>
      </c>
      <c r="LZ418" s="56"/>
      <c r="MA418" s="242">
        <f>SUMPRODUCT(PRODUCE!$B411:$DY411,PRODUCE!$EB$44:$IY$44)</f>
        <v>0</v>
      </c>
      <c r="MB418" s="56"/>
      <c r="MC418" s="242">
        <f t="shared" si="2838"/>
        <v>0</v>
      </c>
      <c r="MD418" s="242">
        <f t="shared" si="2839"/>
        <v>0</v>
      </c>
      <c r="ME418" s="56"/>
      <c r="MH418" s="55">
        <f t="shared" si="2840"/>
        <v>46379</v>
      </c>
      <c r="MI418" s="56"/>
      <c r="MJ418" s="242">
        <f>SUMPRODUCT(PRODUCE!$B411:$DY411,PRODUCE!$EB$45:$IY$45)</f>
        <v>0</v>
      </c>
      <c r="MK418" s="56"/>
      <c r="ML418" s="242">
        <f t="shared" si="2841"/>
        <v>0</v>
      </c>
      <c r="MM418" s="242">
        <f t="shared" si="2842"/>
        <v>-18</v>
      </c>
      <c r="MN418" s="56"/>
      <c r="MQ418" s="55">
        <f t="shared" si="2843"/>
        <v>46379</v>
      </c>
      <c r="MR418" s="56"/>
      <c r="MS418" s="242">
        <f>SUMPRODUCT(PRODUCE!$B411:$DY411,PRODUCE!$EB$46:$IY$46)</f>
        <v>0</v>
      </c>
      <c r="MT418" s="56"/>
      <c r="MU418" s="242">
        <f t="shared" si="2844"/>
        <v>0</v>
      </c>
      <c r="MV418" s="242">
        <f t="shared" si="2845"/>
        <v>1559</v>
      </c>
      <c r="MW418" s="56"/>
      <c r="MZ418" s="55">
        <f t="shared" si="2846"/>
        <v>46379</v>
      </c>
      <c r="NA418" s="56"/>
      <c r="NB418" s="242">
        <f>SUMPRODUCT(PRODUCE!$B411:$DY411,PRODUCE!$EB$47:$IY$47)</f>
        <v>0</v>
      </c>
      <c r="NC418" s="56"/>
      <c r="ND418" s="242">
        <f t="shared" si="2847"/>
        <v>0</v>
      </c>
      <c r="NE418" s="242">
        <f t="shared" si="2848"/>
        <v>0</v>
      </c>
      <c r="NF418" s="56"/>
      <c r="NI418" s="55">
        <f t="shared" si="2849"/>
        <v>46379</v>
      </c>
      <c r="NJ418" s="56"/>
      <c r="NK418" s="242">
        <f>SUMPRODUCT(PRODUCE!$B411:$DY411,PRODUCE!$EB$48:$IY$48)</f>
        <v>0</v>
      </c>
      <c r="NL418" s="56"/>
      <c r="NM418" s="242">
        <f t="shared" si="2850"/>
        <v>0</v>
      </c>
      <c r="NN418" s="242">
        <f t="shared" si="2851"/>
        <v>1127</v>
      </c>
      <c r="NO418" s="56"/>
      <c r="NR418" s="55">
        <f t="shared" si="2852"/>
        <v>46379</v>
      </c>
      <c r="NS418" s="56"/>
      <c r="NT418" s="242">
        <f>SUMPRODUCT(PRODUCE!$B411:$DY411,PRODUCE!$EB$49:$IY$49)</f>
        <v>0</v>
      </c>
      <c r="NU418" s="56"/>
      <c r="NV418" s="242">
        <f t="shared" si="2853"/>
        <v>0</v>
      </c>
      <c r="NW418" s="242">
        <f t="shared" si="2854"/>
        <v>3111.9999999999995</v>
      </c>
      <c r="NX418" s="56"/>
      <c r="OA418" s="55">
        <f t="shared" si="2855"/>
        <v>46379</v>
      </c>
      <c r="OB418" s="56"/>
      <c r="OC418" s="242">
        <f>SUMPRODUCT(PRODUCE!$B411:$DY411,PRODUCE!$EB$50:$IY$50)</f>
        <v>0</v>
      </c>
      <c r="OD418" s="56"/>
      <c r="OE418" s="242">
        <f t="shared" si="2856"/>
        <v>0</v>
      </c>
      <c r="OF418" s="242">
        <f t="shared" si="2857"/>
        <v>1680.5</v>
      </c>
      <c r="OG418" s="56"/>
      <c r="OJ418" s="55">
        <f t="shared" si="2858"/>
        <v>46379</v>
      </c>
      <c r="OK418" s="56"/>
      <c r="OL418" s="242">
        <f>SUMPRODUCT(PRODUCE!$B411:$DY411,PRODUCE!$EB$51:$IY$51)</f>
        <v>0</v>
      </c>
      <c r="OM418" s="56"/>
      <c r="ON418" s="242">
        <f t="shared" si="2859"/>
        <v>0</v>
      </c>
      <c r="OO418" s="242">
        <f t="shared" si="2860"/>
        <v>0</v>
      </c>
      <c r="OP418" s="56"/>
      <c r="OS418" s="55">
        <f t="shared" si="2861"/>
        <v>46379</v>
      </c>
      <c r="OT418" s="56"/>
      <c r="OU418" s="242">
        <f>SUMPRODUCT(PRODUCE!$B411:$DY411,PRODUCE!$EB$52:$IY$52)</f>
        <v>0</v>
      </c>
      <c r="OV418" s="56"/>
      <c r="OW418" s="242">
        <f t="shared" si="2862"/>
        <v>0</v>
      </c>
      <c r="OX418" s="242">
        <f t="shared" si="2863"/>
        <v>1482</v>
      </c>
      <c r="OY418" s="56"/>
      <c r="PB418" s="55">
        <f t="shared" si="2864"/>
        <v>46379</v>
      </c>
      <c r="PC418" s="56"/>
      <c r="PD418" s="242">
        <f>SUMPRODUCT(PRODUCE!$B411:$DY411,PRODUCE!$EB$53:$IY$53)</f>
        <v>0</v>
      </c>
      <c r="PE418" s="56"/>
      <c r="PF418" s="242">
        <f t="shared" si="2865"/>
        <v>0</v>
      </c>
      <c r="PG418" s="242">
        <f t="shared" si="2866"/>
        <v>0</v>
      </c>
      <c r="PH418" s="56"/>
      <c r="PK418" s="55">
        <f t="shared" si="2867"/>
        <v>46379</v>
      </c>
      <c r="PL418" s="56"/>
      <c r="PM418" s="242">
        <f>SUMPRODUCT(PRODUCE!$B411:$DY411,PRODUCE!$EB$54:$IY$54)</f>
        <v>0</v>
      </c>
      <c r="PN418" s="56"/>
      <c r="PO418" s="242">
        <f t="shared" si="2868"/>
        <v>0</v>
      </c>
      <c r="PP418" s="242">
        <f t="shared" si="2869"/>
        <v>100</v>
      </c>
      <c r="PQ418" s="56"/>
      <c r="PT418" s="55">
        <f t="shared" si="2870"/>
        <v>46379</v>
      </c>
      <c r="PU418" s="56"/>
      <c r="PV418" s="242">
        <f>SUMPRODUCT(PRODUCE!$B411:$DY411,PRODUCE!$EB$55:$IY$55)</f>
        <v>0</v>
      </c>
      <c r="PW418" s="56"/>
      <c r="PX418" s="242">
        <f t="shared" si="2871"/>
        <v>0</v>
      </c>
      <c r="PY418" s="242">
        <f t="shared" si="2872"/>
        <v>13.960000000000036</v>
      </c>
      <c r="PZ418" s="56"/>
      <c r="QC418" s="55">
        <f t="shared" si="2873"/>
        <v>46379</v>
      </c>
      <c r="QD418" s="56"/>
      <c r="QE418" s="242">
        <f>SUMPRODUCT(PRODUCE!$B411:$DY411,PRODUCE!$EB$56:$IY$56)</f>
        <v>0</v>
      </c>
      <c r="QF418" s="56"/>
      <c r="QG418" s="242">
        <f t="shared" si="2874"/>
        <v>0</v>
      </c>
      <c r="QH418" s="242">
        <f t="shared" si="2875"/>
        <v>548</v>
      </c>
      <c r="QI418" s="56"/>
      <c r="QL418" s="55">
        <f t="shared" si="2876"/>
        <v>46379</v>
      </c>
      <c r="QM418" s="56"/>
      <c r="QN418" s="242">
        <f>SUMPRODUCT(PRODUCE!$B411:$DY411,PRODUCE!$EB$57:$IY$57)</f>
        <v>0</v>
      </c>
      <c r="QO418" s="56"/>
      <c r="QP418" s="242">
        <f t="shared" si="2877"/>
        <v>0</v>
      </c>
      <c r="QQ418" s="242">
        <f t="shared" si="2878"/>
        <v>0</v>
      </c>
      <c r="QR418" s="56"/>
      <c r="QU418" s="55">
        <f t="shared" si="2879"/>
        <v>46379</v>
      </c>
      <c r="QV418" s="56"/>
      <c r="QW418" s="242">
        <f>SUMPRODUCT(PRODUCE!$B411:$DY411,PRODUCE!$EB$57:$IY$57)</f>
        <v>0</v>
      </c>
      <c r="QX418" s="56"/>
      <c r="QY418" s="242">
        <f t="shared" si="2880"/>
        <v>0</v>
      </c>
      <c r="QZ418" s="242">
        <f t="shared" si="2881"/>
        <v>0</v>
      </c>
      <c r="RA418" s="56"/>
      <c r="RD418" s="55">
        <f t="shared" si="2882"/>
        <v>46379</v>
      </c>
      <c r="RE418" s="56"/>
      <c r="RF418" s="242">
        <f>SUMPRODUCT(PRODUCE!$B411:$DY411,PRODUCE!$EB$58:$IY$58)</f>
        <v>0</v>
      </c>
      <c r="RG418" s="56"/>
      <c r="RH418" s="242">
        <f t="shared" si="2883"/>
        <v>0</v>
      </c>
      <c r="RI418" s="242">
        <f t="shared" si="2884"/>
        <v>147.04000000000002</v>
      </c>
      <c r="RJ418" s="56"/>
      <c r="RM418" s="55">
        <f t="shared" si="2885"/>
        <v>46379</v>
      </c>
      <c r="RN418" s="56"/>
      <c r="RO418" s="242">
        <f>SUMPRODUCT(PRODUCE!$B411:$DY411,PRODUCE!$EB$57:$IY$57)</f>
        <v>0</v>
      </c>
      <c r="RP418" s="56"/>
      <c r="RQ418" s="242">
        <f t="shared" si="2886"/>
        <v>0</v>
      </c>
      <c r="RR418" s="242">
        <f t="shared" si="2887"/>
        <v>46.8</v>
      </c>
      <c r="RS418" s="56"/>
      <c r="RV418" s="55">
        <f t="shared" si="2888"/>
        <v>46379</v>
      </c>
      <c r="RW418" s="56"/>
      <c r="RX418" s="242">
        <f>SUMPRODUCT(PRODUCE!$B411:$DY411,PRODUCE!$EB$57:$IY$57)</f>
        <v>0</v>
      </c>
      <c r="RY418" s="56"/>
      <c r="RZ418" s="242">
        <f t="shared" si="2889"/>
        <v>0</v>
      </c>
      <c r="SA418" s="242">
        <f t="shared" si="2890"/>
        <v>0</v>
      </c>
      <c r="SB418" s="56"/>
      <c r="SE418" s="55">
        <f t="shared" si="2891"/>
        <v>46379</v>
      </c>
      <c r="SF418" s="56"/>
      <c r="SG418" s="242">
        <f>SUMPRODUCT(PRODUCE!$B411:$DY411,PRODUCE!$EB$61:$IY$61)</f>
        <v>0</v>
      </c>
      <c r="SH418" s="56"/>
      <c r="SI418" s="242">
        <f t="shared" si="2892"/>
        <v>0</v>
      </c>
      <c r="SJ418" s="242">
        <f t="shared" si="2893"/>
        <v>24.200000000000003</v>
      </c>
      <c r="SK418" s="56"/>
      <c r="SN418" s="55">
        <f t="shared" si="2894"/>
        <v>46379</v>
      </c>
      <c r="SO418" s="56"/>
      <c r="SP418" s="242">
        <f>SUMPRODUCT(PRODUCE!$B411:$DY411,PRODUCE!$EB$57:$IY$57)</f>
        <v>0</v>
      </c>
      <c r="SQ418" s="56"/>
      <c r="SR418" s="242">
        <f t="shared" si="2895"/>
        <v>0</v>
      </c>
      <c r="SS418" s="242">
        <f t="shared" si="2896"/>
        <v>32</v>
      </c>
      <c r="ST418" s="56"/>
      <c r="SW418" s="55">
        <f t="shared" si="2897"/>
        <v>46379</v>
      </c>
      <c r="SX418" s="56"/>
      <c r="SY418" s="242">
        <f>SUMPRODUCT(PRODUCE!$B411:$DY411,PRODUCE!$EB$57:$IY$57)</f>
        <v>0</v>
      </c>
      <c r="SZ418" s="56"/>
      <c r="TA418" s="242">
        <f t="shared" si="2898"/>
        <v>0</v>
      </c>
      <c r="TB418" s="242">
        <f t="shared" si="2899"/>
        <v>0</v>
      </c>
      <c r="TC418" s="56"/>
      <c r="TF418" s="55">
        <f t="shared" si="2900"/>
        <v>46379</v>
      </c>
      <c r="TG418" s="56"/>
      <c r="TH418" s="242">
        <f>SUMPRODUCT(PRODUCE!$B411:$DY411,PRODUCE!$EB$57:$IY$57)</f>
        <v>0</v>
      </c>
      <c r="TI418" s="56"/>
      <c r="TJ418" s="242">
        <f t="shared" si="2901"/>
        <v>0</v>
      </c>
      <c r="TK418" s="242">
        <f t="shared" si="2902"/>
        <v>0</v>
      </c>
      <c r="TL418" s="56"/>
      <c r="TO418" s="55">
        <f t="shared" si="2903"/>
        <v>46379</v>
      </c>
      <c r="TP418" s="56"/>
      <c r="TQ418" s="242">
        <f>SUMPRODUCT(PRODUCE!$B411:$DY411,PRODUCE!$EB$57:$IY$57)</f>
        <v>0</v>
      </c>
      <c r="TR418" s="56"/>
      <c r="TS418" s="242">
        <f t="shared" si="2904"/>
        <v>0</v>
      </c>
      <c r="TT418" s="242">
        <f t="shared" si="2905"/>
        <v>0</v>
      </c>
      <c r="TU418" s="56"/>
      <c r="TX418" s="55">
        <f t="shared" si="2906"/>
        <v>46379</v>
      </c>
      <c r="TY418" s="56"/>
      <c r="TZ418" s="242">
        <f>SUMPRODUCT(PRODUCE!$B411:$DY411,PRODUCE!$EB$57:$IY$57)</f>
        <v>0</v>
      </c>
      <c r="UA418" s="56"/>
      <c r="UB418" s="242">
        <f t="shared" si="2907"/>
        <v>0</v>
      </c>
      <c r="UC418" s="242">
        <f t="shared" si="2908"/>
        <v>46.799999999999983</v>
      </c>
      <c r="UD418" s="56"/>
      <c r="UG418" s="55">
        <f t="shared" si="2909"/>
        <v>46379</v>
      </c>
      <c r="UH418" s="56"/>
      <c r="UI418" s="242">
        <f>SUMPRODUCT(PRODUCE!$B411:$DY411,PRODUCE!$EB$57:$IY$57)</f>
        <v>0</v>
      </c>
      <c r="UJ418" s="56"/>
      <c r="UK418" s="242">
        <f t="shared" si="2910"/>
        <v>0</v>
      </c>
      <c r="UL418" s="242">
        <f t="shared" si="2911"/>
        <v>204</v>
      </c>
      <c r="UM418" s="56"/>
      <c r="UP418" s="55">
        <f t="shared" si="2912"/>
        <v>46379</v>
      </c>
      <c r="UQ418" s="56"/>
      <c r="UR418" s="242">
        <f>SUMPRODUCT(PRODUCE!$B411:$DY411,PRODUCE!$EB$57:$IY$57)</f>
        <v>0</v>
      </c>
      <c r="US418" s="56"/>
      <c r="UT418" s="242">
        <f t="shared" si="2913"/>
        <v>0</v>
      </c>
      <c r="UU418" s="242">
        <f t="shared" si="2914"/>
        <v>202.5</v>
      </c>
      <c r="UV418" s="56"/>
      <c r="UY418" s="55">
        <f t="shared" si="2915"/>
        <v>46379</v>
      </c>
      <c r="UZ418" s="56"/>
      <c r="VA418" s="242">
        <f>SUMPRODUCT(PRODUCE!$B411:$DY411,PRODUCE!$EB$57:$IY$57)</f>
        <v>0</v>
      </c>
      <c r="VB418" s="56"/>
      <c r="VC418" s="242">
        <f t="shared" si="2916"/>
        <v>0</v>
      </c>
      <c r="VD418" s="242">
        <f t="shared" si="2917"/>
        <v>41.600000000000023</v>
      </c>
      <c r="VE418" s="56"/>
      <c r="VH418" s="55">
        <f t="shared" si="2918"/>
        <v>46379</v>
      </c>
      <c r="VI418" s="56"/>
      <c r="VJ418" s="242">
        <f>SUMPRODUCT(PRODUCE!$B411:$DY411,PRODUCE!$EB$57:$IY$57)</f>
        <v>0</v>
      </c>
      <c r="VK418" s="56"/>
      <c r="VL418" s="242">
        <f t="shared" si="2919"/>
        <v>0</v>
      </c>
      <c r="VM418" s="242">
        <f t="shared" si="2920"/>
        <v>210</v>
      </c>
      <c r="VN418" s="56"/>
      <c r="VQ418" s="55">
        <f t="shared" si="2921"/>
        <v>46379</v>
      </c>
      <c r="VR418" s="56"/>
      <c r="VS418" s="242">
        <f>SUMPRODUCT(PRODUCE!$B411:$DY411,PRODUCE!$EB$57:$IY$57)</f>
        <v>0</v>
      </c>
      <c r="VT418" s="56"/>
      <c r="VU418" s="242">
        <f t="shared" si="2922"/>
        <v>0</v>
      </c>
      <c r="VV418" s="242">
        <f t="shared" si="2923"/>
        <v>0</v>
      </c>
      <c r="VW418" s="56"/>
      <c r="VZ418" s="55">
        <f t="shared" si="2924"/>
        <v>46379</v>
      </c>
      <c r="WA418" s="56"/>
      <c r="WB418" s="242">
        <f>SUMPRODUCT(PRODUCE!$B411:$DY411,PRODUCE!$EB$57:$IY$57)</f>
        <v>0</v>
      </c>
      <c r="WC418" s="56"/>
      <c r="WD418" s="242">
        <f t="shared" si="2925"/>
        <v>0</v>
      </c>
      <c r="WE418" s="242">
        <f t="shared" si="2926"/>
        <v>0</v>
      </c>
      <c r="WF418" s="56"/>
      <c r="WI418" s="55">
        <f t="shared" si="2927"/>
        <v>46379</v>
      </c>
      <c r="WJ418" s="56"/>
      <c r="WK418" s="242">
        <f>SUMPRODUCT(PRODUCE!$B411:$DY411,PRODUCE!$EB$57:$IY$57)</f>
        <v>0</v>
      </c>
      <c r="WL418" s="56"/>
      <c r="WM418" s="242">
        <f t="shared" si="2928"/>
        <v>0</v>
      </c>
      <c r="WN418" s="242">
        <f t="shared" si="2929"/>
        <v>1057</v>
      </c>
      <c r="WO418" s="56"/>
      <c r="WR418" s="55">
        <f t="shared" si="2930"/>
        <v>46379</v>
      </c>
      <c r="WS418" s="56"/>
      <c r="WT418" s="242">
        <f>SUMPRODUCT(PRODUCE!$B411:$DY411,PRODUCE!$EB$57:$IY$57)</f>
        <v>0</v>
      </c>
      <c r="WU418" s="56"/>
      <c r="WV418" s="242">
        <f t="shared" si="2931"/>
        <v>0</v>
      </c>
      <c r="WW418" s="242">
        <f t="shared" si="2932"/>
        <v>0</v>
      </c>
      <c r="WX418" s="56"/>
      <c r="XA418" s="55">
        <f t="shared" si="2933"/>
        <v>46379</v>
      </c>
      <c r="XB418" s="56"/>
      <c r="XC418" s="242">
        <f>SUMPRODUCT(PRODUCE!$B411:$DY411,PRODUCE!$EB$57:$IY$57)</f>
        <v>0</v>
      </c>
      <c r="XD418" s="56"/>
      <c r="XE418" s="242">
        <f t="shared" si="2934"/>
        <v>0</v>
      </c>
      <c r="XF418" s="242">
        <f t="shared" si="2935"/>
        <v>7507</v>
      </c>
      <c r="XG418" s="56"/>
      <c r="XJ418" s="55">
        <f t="shared" si="2936"/>
        <v>46379</v>
      </c>
      <c r="XK418" s="56"/>
      <c r="XL418" s="242">
        <f>SUMPRODUCT(PRODUCE!$B411:$DY411,PRODUCE!$EB$57:$IY$57)</f>
        <v>0</v>
      </c>
      <c r="XM418" s="56"/>
      <c r="XN418" s="242">
        <f t="shared" si="2937"/>
        <v>0</v>
      </c>
      <c r="XO418" s="242">
        <f t="shared" si="2938"/>
        <v>4252</v>
      </c>
      <c r="XP418" s="56"/>
      <c r="XS418" s="55">
        <f t="shared" si="2939"/>
        <v>46379</v>
      </c>
      <c r="XT418" s="56"/>
      <c r="XU418" s="242">
        <f>SUMPRODUCT(PRODUCE!$B411:$DY411,PRODUCE!$EB$57:$IY$57)</f>
        <v>0</v>
      </c>
      <c r="XV418" s="56"/>
      <c r="XW418" s="242">
        <f t="shared" si="2940"/>
        <v>0</v>
      </c>
      <c r="XX418" s="242">
        <f t="shared" si="2941"/>
        <v>2179</v>
      </c>
      <c r="XY418" s="56"/>
      <c r="YB418" s="55">
        <f t="shared" si="2942"/>
        <v>46379</v>
      </c>
      <c r="YC418" s="56"/>
      <c r="YD418" s="242">
        <f>SUMPRODUCT(PRODUCE!$B411:$DY411,PRODUCE!$EB$57:$IY$57)</f>
        <v>0</v>
      </c>
      <c r="YE418" s="56"/>
      <c r="YF418" s="242">
        <f t="shared" si="2943"/>
        <v>0</v>
      </c>
      <c r="YG418" s="242">
        <f t="shared" si="2944"/>
        <v>4019</v>
      </c>
      <c r="YH418" s="56"/>
      <c r="YK418" s="55">
        <f t="shared" si="2945"/>
        <v>46379</v>
      </c>
      <c r="YL418" s="56"/>
      <c r="YM418" s="242">
        <f>SUMPRODUCT(PRODUCE!$B411:$DY411,PRODUCE!$EB$57:$IY$57)</f>
        <v>0</v>
      </c>
      <c r="YN418" s="56"/>
      <c r="YO418" s="242">
        <f t="shared" si="2946"/>
        <v>0</v>
      </c>
      <c r="YP418" s="242">
        <f t="shared" si="2947"/>
        <v>-218</v>
      </c>
      <c r="YQ418" s="56"/>
      <c r="YT418" s="55">
        <f t="shared" si="2948"/>
        <v>46379</v>
      </c>
      <c r="YU418" s="56"/>
      <c r="YV418" s="242">
        <f>SUMPRODUCT(PRODUCE!$B411:$DY411,PRODUCE!$EB$57:$IY$57)</f>
        <v>0</v>
      </c>
      <c r="YW418" s="56"/>
      <c r="YX418" s="242">
        <f t="shared" si="2949"/>
        <v>0</v>
      </c>
      <c r="YY418" s="242">
        <f t="shared" si="2950"/>
        <v>0</v>
      </c>
      <c r="YZ418" s="56"/>
      <c r="ZC418" s="55">
        <f t="shared" si="2951"/>
        <v>46379</v>
      </c>
      <c r="ZD418" s="56"/>
      <c r="ZE418" s="242">
        <f>SUMPRODUCT(PRODUCE!$B411:$DY411,PRODUCE!$EB$57:$IY$57)</f>
        <v>0</v>
      </c>
      <c r="ZF418" s="56"/>
      <c r="ZG418" s="242">
        <f t="shared" si="2952"/>
        <v>0</v>
      </c>
      <c r="ZH418" s="242">
        <f t="shared" si="2953"/>
        <v>0</v>
      </c>
      <c r="ZI418" s="56"/>
      <c r="ZL418" s="55">
        <f t="shared" si="2954"/>
        <v>46379</v>
      </c>
      <c r="ZM418" s="56"/>
      <c r="ZN418" s="242">
        <f>SUMPRODUCT(PRODUCE!$B411:$DY411,PRODUCE!$EB$57:$IY$57)</f>
        <v>0</v>
      </c>
      <c r="ZO418" s="56"/>
      <c r="ZP418" s="242">
        <f t="shared" si="2955"/>
        <v>0</v>
      </c>
      <c r="ZQ418" s="242">
        <f t="shared" si="2956"/>
        <v>0</v>
      </c>
      <c r="ZR418" s="56"/>
      <c r="ZU418" s="55">
        <f t="shared" si="2957"/>
        <v>46379</v>
      </c>
      <c r="ZV418" s="56"/>
      <c r="ZW418" s="242">
        <f>SUMPRODUCT(PRODUCE!$B411:$DY411,PRODUCE!$EB$57:$IY$57)</f>
        <v>0</v>
      </c>
      <c r="ZX418" s="56"/>
      <c r="ZY418" s="242">
        <f t="shared" si="2958"/>
        <v>0</v>
      </c>
      <c r="ZZ418" s="242">
        <f t="shared" si="2959"/>
        <v>0</v>
      </c>
      <c r="AAA418" s="56"/>
      <c r="AAD418" s="55">
        <f t="shared" si="2960"/>
        <v>46379</v>
      </c>
      <c r="AAE418" s="56"/>
      <c r="AAF418" s="242">
        <f>SUMPRODUCT(PRODUCE!$B411:$DY411,PRODUCE!$EB$57:$IY$57)</f>
        <v>0</v>
      </c>
      <c r="AAG418" s="56"/>
      <c r="AAH418" s="242">
        <f t="shared" si="2961"/>
        <v>0</v>
      </c>
      <c r="AAI418" s="242">
        <f t="shared" si="2962"/>
        <v>0</v>
      </c>
      <c r="AAJ418" s="56"/>
      <c r="AAM418" s="55">
        <f t="shared" si="2963"/>
        <v>46379</v>
      </c>
      <c r="AAN418" s="56"/>
      <c r="AAO418" s="242">
        <f>SUMPRODUCT(PRODUCE!$B411:$DY411,PRODUCE!$EB$57:$IY$57)</f>
        <v>0</v>
      </c>
      <c r="AAP418" s="56"/>
      <c r="AAQ418" s="242">
        <f t="shared" si="2964"/>
        <v>0</v>
      </c>
      <c r="AAR418" s="242">
        <f t="shared" si="2965"/>
        <v>0</v>
      </c>
      <c r="AAS418" s="56"/>
      <c r="AAV418" s="55">
        <f t="shared" si="2966"/>
        <v>46379</v>
      </c>
      <c r="AAW418" s="56"/>
      <c r="AAX418" s="242">
        <f>SUMPRODUCT(PRODUCE!$B411:$DY411,PRODUCE!$EB$57:$IY$57)</f>
        <v>0</v>
      </c>
      <c r="AAY418" s="56"/>
      <c r="AAZ418" s="242">
        <f t="shared" si="2967"/>
        <v>0</v>
      </c>
      <c r="ABA418" s="242">
        <f t="shared" si="2968"/>
        <v>0</v>
      </c>
      <c r="ABB418" s="56"/>
      <c r="ABE418" s="55">
        <f t="shared" si="2969"/>
        <v>46379</v>
      </c>
      <c r="ABF418" s="56"/>
      <c r="ABG418" s="242">
        <f>SUMPRODUCT(PRODUCE!$B411:$DY411,PRODUCE!$EB$57:$IY$57)</f>
        <v>0</v>
      </c>
      <c r="ABH418" s="56"/>
      <c r="ABI418" s="242">
        <f t="shared" si="2970"/>
        <v>0</v>
      </c>
      <c r="ABJ418" s="242">
        <f t="shared" si="2971"/>
        <v>0</v>
      </c>
      <c r="ABK418" s="56"/>
    </row>
    <row r="419" spans="2:739" s="54" customFormat="1" ht="15" customHeight="1" outlineLevel="1">
      <c r="B419" s="478"/>
      <c r="C419" s="55">
        <v>46380</v>
      </c>
      <c r="D419" s="56"/>
      <c r="E419" s="57">
        <f>SUMPRODUCT(PRODUCE!$B412:$DY412,PRODUCE!$EB$7:$IY$7)</f>
        <v>0</v>
      </c>
      <c r="F419" s="56"/>
      <c r="G419" s="57">
        <f t="shared" si="2727"/>
        <v>0</v>
      </c>
      <c r="H419" s="57">
        <f t="shared" si="2728"/>
        <v>236936.6</v>
      </c>
      <c r="I419" s="289"/>
      <c r="L419" s="55">
        <f t="shared" si="2729"/>
        <v>46380</v>
      </c>
      <c r="M419" s="56"/>
      <c r="N419" s="59">
        <f>SUMPRODUCT(PRODUCE!$B412:$DY412,PRODUCE!$EB$8:$IY$8)</f>
        <v>0</v>
      </c>
      <c r="O419" s="56"/>
      <c r="P419" s="59">
        <f t="shared" si="2730"/>
        <v>0</v>
      </c>
      <c r="Q419" s="59">
        <f t="shared" si="2731"/>
        <v>53017.600000000071</v>
      </c>
      <c r="R419" s="56"/>
      <c r="U419" s="55">
        <f t="shared" si="2732"/>
        <v>46380</v>
      </c>
      <c r="V419" s="56"/>
      <c r="W419" s="60">
        <f>SUMPRODUCT(PRODUCE!$B412:$DY412,PRODUCE!$EB$9:$IY$9)</f>
        <v>0</v>
      </c>
      <c r="X419" s="56"/>
      <c r="Y419" s="60">
        <f t="shared" si="2733"/>
        <v>0</v>
      </c>
      <c r="Z419" s="60">
        <f t="shared" si="2734"/>
        <v>42674.199999999968</v>
      </c>
      <c r="AA419" s="56"/>
      <c r="AD419" s="55">
        <f t="shared" si="2735"/>
        <v>46380</v>
      </c>
      <c r="AE419" s="56"/>
      <c r="AF419" s="61">
        <f>SUMPRODUCT(PRODUCE!$B412:$DY412,PRODUCE!$EB$10:$IY$10)</f>
        <v>0</v>
      </c>
      <c r="AG419" s="56"/>
      <c r="AH419" s="61">
        <f t="shared" si="2736"/>
        <v>0</v>
      </c>
      <c r="AI419" s="61">
        <f t="shared" si="2737"/>
        <v>4522.2000000000189</v>
      </c>
      <c r="AJ419" s="56"/>
      <c r="AM419" s="55">
        <f t="shared" si="2738"/>
        <v>46380</v>
      </c>
      <c r="AN419" s="422"/>
      <c r="AO419" s="444">
        <f>SUMPRODUCT(PRODUCE!$B412:$DY412,PRODUCE!$EB$11:$IY$11)</f>
        <v>0</v>
      </c>
      <c r="AP419" s="422"/>
      <c r="AQ419" s="444">
        <f t="shared" si="2739"/>
        <v>0</v>
      </c>
      <c r="AR419" s="444">
        <f t="shared" si="2740"/>
        <v>0</v>
      </c>
      <c r="AS419" s="56"/>
      <c r="AV419" s="55">
        <f t="shared" si="2741"/>
        <v>46380</v>
      </c>
      <c r="AW419" s="56"/>
      <c r="AX419" s="62">
        <f>SUMPRODUCT(PRODUCE!$B412:$DY412,PRODUCE!$EB$12:$IY$12)</f>
        <v>0</v>
      </c>
      <c r="AY419" s="56"/>
      <c r="AZ419" s="62">
        <f t="shared" si="2742"/>
        <v>0</v>
      </c>
      <c r="BA419" s="62">
        <f t="shared" si="2743"/>
        <v>124.99999999999523</v>
      </c>
      <c r="BB419" s="56"/>
      <c r="BE419" s="55">
        <f t="shared" si="2744"/>
        <v>46380</v>
      </c>
      <c r="BF419" s="56"/>
      <c r="BG419" s="63">
        <f>SUMPRODUCT(PRODUCE!$B412:$DY412,PRODUCE!$EB$13:$IY$13)</f>
        <v>0</v>
      </c>
      <c r="BH419" s="56"/>
      <c r="BI419" s="63">
        <f t="shared" si="2745"/>
        <v>0</v>
      </c>
      <c r="BJ419" s="63">
        <f t="shared" si="2746"/>
        <v>26151.899999999998</v>
      </c>
      <c r="BK419" s="56"/>
      <c r="BN419" s="55">
        <f t="shared" si="2747"/>
        <v>46380</v>
      </c>
      <c r="BO419" s="56"/>
      <c r="BP419" s="64">
        <f>SUMPRODUCT(PRODUCE!$B412:$DY412,PRODUCE!$EB$14:$IY$14)</f>
        <v>0</v>
      </c>
      <c r="BQ419" s="56"/>
      <c r="BR419" s="64">
        <f t="shared" si="2748"/>
        <v>0</v>
      </c>
      <c r="BS419" s="64">
        <f t="shared" si="2749"/>
        <v>0</v>
      </c>
      <c r="BT419" s="56"/>
      <c r="BW419" s="55">
        <f t="shared" si="2750"/>
        <v>46380</v>
      </c>
      <c r="BX419" s="56"/>
      <c r="BY419" s="65">
        <f>SUMPRODUCT(PRODUCE!$B412:$DY412,PRODUCE!$EB$15:$IY$15)</f>
        <v>0</v>
      </c>
      <c r="BZ419" s="56"/>
      <c r="CA419" s="65">
        <f t="shared" si="2751"/>
        <v>0</v>
      </c>
      <c r="CB419" s="65">
        <f t="shared" si="2752"/>
        <v>2097.3399999999992</v>
      </c>
      <c r="CC419" s="56"/>
      <c r="CF419" s="55">
        <f t="shared" si="2753"/>
        <v>46380</v>
      </c>
      <c r="CG419" s="56"/>
      <c r="CH419" s="66">
        <f>SUMPRODUCT(PRODUCE!$B412:$DY412,PRODUCE!$EB$16:$IY$16)</f>
        <v>0</v>
      </c>
      <c r="CI419" s="56"/>
      <c r="CJ419" s="66">
        <f t="shared" si="2754"/>
        <v>0</v>
      </c>
      <c r="CK419" s="66">
        <f t="shared" si="2755"/>
        <v>-10277.079999999998</v>
      </c>
      <c r="CL419" s="56"/>
      <c r="CO419" s="55">
        <f t="shared" si="2756"/>
        <v>46380</v>
      </c>
      <c r="CP419" s="422"/>
      <c r="CQ419" s="470">
        <f>SUMPRODUCT(PRODUCE!$B412:$DY412,PRODUCE!$EB$17:$IY$17)</f>
        <v>0</v>
      </c>
      <c r="CR419" s="422"/>
      <c r="CS419" s="470">
        <f t="shared" si="2757"/>
        <v>0</v>
      </c>
      <c r="CT419" s="470">
        <f t="shared" si="2758"/>
        <v>0</v>
      </c>
      <c r="CU419" s="56"/>
      <c r="CX419" s="55">
        <f t="shared" si="2759"/>
        <v>46380</v>
      </c>
      <c r="CY419" s="56"/>
      <c r="CZ419" s="133">
        <f>SUMPRODUCT(PRODUCE!$B412:$DY412,PRODUCE!$EB$18:$IY$18)</f>
        <v>0</v>
      </c>
      <c r="DA419" s="56"/>
      <c r="DB419" s="133">
        <f t="shared" si="2760"/>
        <v>0</v>
      </c>
      <c r="DC419" s="133">
        <f t="shared" si="2761"/>
        <v>27438.200000000012</v>
      </c>
      <c r="DD419" s="56"/>
      <c r="DG419" s="55">
        <f t="shared" si="2762"/>
        <v>46380</v>
      </c>
      <c r="DH419" s="56"/>
      <c r="DI419" s="147">
        <f>SUMPRODUCT(PRODUCE!$B412:$DY412,PRODUCE!$EB$19:$IY$19)</f>
        <v>0</v>
      </c>
      <c r="DJ419" s="56"/>
      <c r="DK419" s="147">
        <f t="shared" si="2763"/>
        <v>0</v>
      </c>
      <c r="DL419" s="147">
        <f t="shared" si="2764"/>
        <v>18782.299999999981</v>
      </c>
      <c r="DM419" s="56"/>
      <c r="DP419" s="55">
        <f t="shared" si="2765"/>
        <v>46380</v>
      </c>
      <c r="DQ419" s="56"/>
      <c r="DR419" s="57">
        <f>SUMPRODUCT(PRODUCE!$B412:$DY412,PRODUCE!$EB$20:$IY$20)</f>
        <v>0</v>
      </c>
      <c r="DS419" s="56"/>
      <c r="DT419" s="57">
        <f t="shared" si="2766"/>
        <v>0</v>
      </c>
      <c r="DU419" s="57">
        <f t="shared" si="2767"/>
        <v>5800</v>
      </c>
      <c r="DV419" s="56"/>
      <c r="DY419" s="55">
        <f t="shared" si="2768"/>
        <v>46380</v>
      </c>
      <c r="DZ419" s="56"/>
      <c r="EA419" s="157">
        <f>SUMPRODUCT(PRODUCE!$B412:$DY412,PRODUCE!$EB$21:$IY$21)</f>
        <v>0</v>
      </c>
      <c r="EB419" s="56"/>
      <c r="EC419" s="157">
        <f t="shared" si="2769"/>
        <v>0</v>
      </c>
      <c r="ED419" s="157">
        <f t="shared" si="2770"/>
        <v>0</v>
      </c>
      <c r="EE419" s="56"/>
      <c r="EH419" s="55">
        <f t="shared" si="2771"/>
        <v>46380</v>
      </c>
      <c r="EI419" s="56"/>
      <c r="EJ419" s="162">
        <f>SUMPRODUCT(PRODUCE!$B412:$DY412,PRODUCE!$EB$22:$IY$22)</f>
        <v>0</v>
      </c>
      <c r="EK419" s="56"/>
      <c r="EL419" s="162">
        <f t="shared" si="2772"/>
        <v>0</v>
      </c>
      <c r="EM419" s="162">
        <f t="shared" si="2773"/>
        <v>0</v>
      </c>
      <c r="EN419" s="56"/>
      <c r="EQ419" s="55">
        <f t="shared" si="2774"/>
        <v>46380</v>
      </c>
      <c r="ER419" s="56"/>
      <c r="ES419" s="135">
        <f>SUMPRODUCT(PRODUCE!$B412:$DY412,PRODUCE!$EB$23:$IY$23)</f>
        <v>0</v>
      </c>
      <c r="ET419" s="56"/>
      <c r="EU419" s="135">
        <f t="shared" si="2775"/>
        <v>0</v>
      </c>
      <c r="EV419" s="135">
        <f t="shared" si="2776"/>
        <v>0</v>
      </c>
      <c r="EW419" s="56"/>
      <c r="EZ419" s="55">
        <f t="shared" si="2777"/>
        <v>46380</v>
      </c>
      <c r="FA419" s="56"/>
      <c r="FB419" s="175">
        <f>SUMPRODUCT(PRODUCE!$B412:$DY412,PRODUCE!$EB$24:$IY$24)</f>
        <v>0</v>
      </c>
      <c r="FC419" s="56"/>
      <c r="FD419" s="175">
        <f t="shared" si="2778"/>
        <v>0</v>
      </c>
      <c r="FE419" s="175">
        <f t="shared" si="2779"/>
        <v>0</v>
      </c>
      <c r="FF419" s="56"/>
      <c r="FI419" s="55">
        <f t="shared" si="2780"/>
        <v>46380</v>
      </c>
      <c r="FJ419" s="56"/>
      <c r="FK419" s="183">
        <f>SUMPRODUCT(PRODUCE!$B412:$DY412,PRODUCE!$EB$25:$IY$25)</f>
        <v>0</v>
      </c>
      <c r="FL419" s="56"/>
      <c r="FM419" s="183">
        <f t="shared" si="2781"/>
        <v>0</v>
      </c>
      <c r="FN419" s="183">
        <f t="shared" si="2782"/>
        <v>0</v>
      </c>
      <c r="FO419" s="56"/>
      <c r="FR419" s="55">
        <f t="shared" si="2783"/>
        <v>46380</v>
      </c>
      <c r="FS419" s="56"/>
      <c r="FT419" s="186">
        <f>SUMPRODUCT(PRODUCE!$B412:$DY412,PRODUCE!$EB$26:$IY$26)</f>
        <v>0</v>
      </c>
      <c r="FU419" s="56"/>
      <c r="FV419" s="186">
        <f t="shared" si="2784"/>
        <v>0</v>
      </c>
      <c r="FW419" s="186">
        <f t="shared" si="2785"/>
        <v>2020</v>
      </c>
      <c r="FX419" s="56"/>
      <c r="GA419" s="55">
        <f t="shared" si="2786"/>
        <v>46380</v>
      </c>
      <c r="GB419" s="56"/>
      <c r="GC419" s="137">
        <f>SUMPRODUCT(PRODUCE!$B412:$DY412,PRODUCE!$EB$27:$IY$27)</f>
        <v>0</v>
      </c>
      <c r="GD419" s="56"/>
      <c r="GE419" s="137">
        <f t="shared" si="2787"/>
        <v>0</v>
      </c>
      <c r="GF419" s="137">
        <f t="shared" si="2788"/>
        <v>960</v>
      </c>
      <c r="GG419" s="56"/>
      <c r="GI419" s="23"/>
      <c r="GJ419" s="55">
        <f t="shared" si="2789"/>
        <v>46380</v>
      </c>
      <c r="GK419" s="56"/>
      <c r="GL419" s="199">
        <f>SUMPRODUCT(PRODUCE!$B412:$DY412,PRODUCE!$EB$28:$IY$28)</f>
        <v>0</v>
      </c>
      <c r="GM419" s="56"/>
      <c r="GN419" s="199">
        <f t="shared" si="2790"/>
        <v>0</v>
      </c>
      <c r="GO419" s="199">
        <f t="shared" si="2791"/>
        <v>1760</v>
      </c>
      <c r="GP419" s="56"/>
      <c r="GS419" s="55">
        <f t="shared" si="2792"/>
        <v>46380</v>
      </c>
      <c r="GT419" s="56"/>
      <c r="GU419" s="195">
        <f>SUMPRODUCT(PRODUCE!$B412:$DY412,PRODUCE!$EB$29:$IY$29)</f>
        <v>0</v>
      </c>
      <c r="GV419" s="56"/>
      <c r="GW419" s="195">
        <f t="shared" si="2793"/>
        <v>0</v>
      </c>
      <c r="GX419" s="195">
        <f t="shared" si="2794"/>
        <v>400</v>
      </c>
      <c r="GY419" s="56"/>
      <c r="HB419" s="55">
        <f t="shared" si="2795"/>
        <v>46380</v>
      </c>
      <c r="HC419" s="56"/>
      <c r="HD419" s="191">
        <f>SUMPRODUCT(PRODUCE!$B412:$DY412,PRODUCE!$EB$30:$IY$30)</f>
        <v>0</v>
      </c>
      <c r="HE419" s="56"/>
      <c r="HF419" s="191">
        <f t="shared" si="2796"/>
        <v>0</v>
      </c>
      <c r="HG419" s="191">
        <f t="shared" si="2797"/>
        <v>3600</v>
      </c>
      <c r="HH419" s="56"/>
      <c r="HK419" s="55">
        <f t="shared" si="2798"/>
        <v>46380</v>
      </c>
      <c r="HL419" s="56"/>
      <c r="HM419" s="63">
        <f>SUMPRODUCT(PRODUCE!$B412:$DY412,PRODUCE!$EB$31:$IY$31)</f>
        <v>0</v>
      </c>
      <c r="HN419" s="56"/>
      <c r="HO419" s="63">
        <f t="shared" si="2799"/>
        <v>0</v>
      </c>
      <c r="HP419" s="63">
        <f t="shared" si="2800"/>
        <v>0</v>
      </c>
      <c r="HQ419" s="56"/>
      <c r="HU419" s="55">
        <f t="shared" si="2801"/>
        <v>46380</v>
      </c>
      <c r="HV419" s="56"/>
      <c r="HW419" s="242">
        <f>SUMPRODUCT(PRODUCE!$B412:$DY412,PRODUCE!$EB$32:$IY$32)</f>
        <v>0</v>
      </c>
      <c r="HX419" s="56"/>
      <c r="HY419" s="242">
        <f t="shared" si="2802"/>
        <v>0</v>
      </c>
      <c r="HZ419" s="242">
        <f t="shared" si="2803"/>
        <v>6120</v>
      </c>
      <c r="IA419" s="56"/>
      <c r="ID419" s="55">
        <f t="shared" si="2804"/>
        <v>46380</v>
      </c>
      <c r="IE419" s="56"/>
      <c r="IF419" s="242">
        <f>SUMPRODUCT(PRODUCE!$B412:$DY412,PRODUCE!$EB$33:$IY$33)</f>
        <v>0</v>
      </c>
      <c r="IG419" s="56"/>
      <c r="IH419" s="242">
        <f t="shared" si="2805"/>
        <v>0</v>
      </c>
      <c r="II419" s="242">
        <f t="shared" si="2806"/>
        <v>0</v>
      </c>
      <c r="IJ419" s="56"/>
      <c r="IM419" s="55">
        <f t="shared" si="2807"/>
        <v>46380</v>
      </c>
      <c r="IN419" s="56"/>
      <c r="IO419" s="242">
        <f>SUMPRODUCT(PRODUCE!$B412:$DY412,PRODUCE!$EB$34:$IY$34)</f>
        <v>0</v>
      </c>
      <c r="IP419" s="56"/>
      <c r="IQ419" s="242">
        <f t="shared" si="2808"/>
        <v>0</v>
      </c>
      <c r="IR419" s="242">
        <f t="shared" si="2809"/>
        <v>0</v>
      </c>
      <c r="IS419" s="56"/>
      <c r="IV419" s="55">
        <f t="shared" si="2810"/>
        <v>46380</v>
      </c>
      <c r="IW419" s="56"/>
      <c r="IX419" s="242">
        <f>SUMPRODUCT(PRODUCE!$B412:$DY412,PRODUCE!$EB$35:$IY$35)</f>
        <v>0</v>
      </c>
      <c r="IY419" s="56"/>
      <c r="IZ419" s="242">
        <f t="shared" si="2811"/>
        <v>0</v>
      </c>
      <c r="JA419" s="242">
        <f t="shared" si="2812"/>
        <v>2820</v>
      </c>
      <c r="JB419" s="56"/>
      <c r="JE419" s="55">
        <f t="shared" si="2813"/>
        <v>46380</v>
      </c>
      <c r="JF419" s="56"/>
      <c r="JG419" s="242">
        <f>SUMPRODUCT(PRODUCE!$B412:$DY412,PRODUCE!$EB$36:$IY$36)</f>
        <v>0</v>
      </c>
      <c r="JH419" s="56"/>
      <c r="JI419" s="242">
        <f t="shared" si="2814"/>
        <v>0</v>
      </c>
      <c r="JJ419" s="242">
        <f t="shared" si="2815"/>
        <v>0</v>
      </c>
      <c r="JK419" s="56"/>
      <c r="JN419" s="55">
        <f t="shared" si="2816"/>
        <v>46380</v>
      </c>
      <c r="JO419" s="56"/>
      <c r="JP419" s="242">
        <f>SUMPRODUCT(PRODUCE!$B412:$DY412,PRODUCE!$EB$37:$IY$37)</f>
        <v>0</v>
      </c>
      <c r="JQ419" s="56"/>
      <c r="JR419" s="242">
        <f t="shared" si="2817"/>
        <v>0</v>
      </c>
      <c r="JS419" s="242">
        <f t="shared" si="2818"/>
        <v>0</v>
      </c>
      <c r="JT419" s="56"/>
      <c r="JW419" s="55">
        <f t="shared" si="2819"/>
        <v>46380</v>
      </c>
      <c r="JX419" s="56"/>
      <c r="JY419" s="242">
        <f>SUMPRODUCT(PRODUCE!$B412:$DY412,PRODUCE!$EB$38:$IY$38)</f>
        <v>0</v>
      </c>
      <c r="JZ419" s="56"/>
      <c r="KA419" s="242">
        <f t="shared" si="2820"/>
        <v>0</v>
      </c>
      <c r="KB419" s="242">
        <f t="shared" si="2821"/>
        <v>2540</v>
      </c>
      <c r="KC419" s="56"/>
      <c r="KF419" s="55">
        <f t="shared" si="2822"/>
        <v>46380</v>
      </c>
      <c r="KG419" s="56"/>
      <c r="KH419" s="242">
        <f>SUMPRODUCT(PRODUCE!$B412:$DY412,PRODUCE!$EB$39:$IY$39)</f>
        <v>0</v>
      </c>
      <c r="KI419" s="56"/>
      <c r="KJ419" s="242">
        <f t="shared" si="2823"/>
        <v>0</v>
      </c>
      <c r="KK419" s="242">
        <f t="shared" si="2824"/>
        <v>2359.5</v>
      </c>
      <c r="KL419" s="56"/>
      <c r="KO419" s="55">
        <f t="shared" si="2825"/>
        <v>46380</v>
      </c>
      <c r="KP419" s="56"/>
      <c r="KQ419" s="242">
        <f>SUMPRODUCT(PRODUCE!$B412:$DY412,PRODUCE!$EB$40:$IY$40)</f>
        <v>0</v>
      </c>
      <c r="KR419" s="56"/>
      <c r="KS419" s="242">
        <f t="shared" si="2826"/>
        <v>0</v>
      </c>
      <c r="KT419" s="242">
        <f t="shared" si="2827"/>
        <v>1890</v>
      </c>
      <c r="KU419" s="56"/>
      <c r="KW419" s="23"/>
      <c r="KX419" s="55">
        <f t="shared" si="2828"/>
        <v>46380</v>
      </c>
      <c r="KY419" s="56"/>
      <c r="KZ419" s="242">
        <f>SUMPRODUCT(PRODUCE!$B412:$DY412,PRODUCE!$EB$41:$IY$41)</f>
        <v>0</v>
      </c>
      <c r="LA419" s="56"/>
      <c r="LB419" s="242">
        <f t="shared" si="2829"/>
        <v>0</v>
      </c>
      <c r="LC419" s="242">
        <f t="shared" si="2830"/>
        <v>3690</v>
      </c>
      <c r="LD419" s="56"/>
      <c r="LG419" s="55">
        <f t="shared" si="2831"/>
        <v>46380</v>
      </c>
      <c r="LH419" s="56"/>
      <c r="LI419" s="242">
        <f>SUMPRODUCT(PRODUCE!$B412:$DY412,PRODUCE!$EB$42:$IY$42)</f>
        <v>0</v>
      </c>
      <c r="LJ419" s="56"/>
      <c r="LK419" s="242">
        <f t="shared" si="2832"/>
        <v>0</v>
      </c>
      <c r="LL419" s="242">
        <f t="shared" si="2833"/>
        <v>4000</v>
      </c>
      <c r="LM419" s="56"/>
      <c r="LP419" s="55">
        <f t="shared" si="2834"/>
        <v>46380</v>
      </c>
      <c r="LQ419" s="56"/>
      <c r="LR419" s="242">
        <f>SUMPRODUCT(PRODUCE!$B434:$DY434,PRODUCE!$EB$43:$IY$43)</f>
        <v>0</v>
      </c>
      <c r="LS419" s="56"/>
      <c r="LT419" s="242">
        <f t="shared" si="2835"/>
        <v>0</v>
      </c>
      <c r="LU419" s="242">
        <f t="shared" si="2836"/>
        <v>0</v>
      </c>
      <c r="LV419" s="56"/>
      <c r="LY419" s="55">
        <f t="shared" si="2837"/>
        <v>46380</v>
      </c>
      <c r="LZ419" s="56"/>
      <c r="MA419" s="242">
        <f>SUMPRODUCT(PRODUCE!$B412:$DY412,PRODUCE!$EB$44:$IY$44)</f>
        <v>0</v>
      </c>
      <c r="MB419" s="56"/>
      <c r="MC419" s="242">
        <f t="shared" si="2838"/>
        <v>0</v>
      </c>
      <c r="MD419" s="242">
        <f t="shared" si="2839"/>
        <v>0</v>
      </c>
      <c r="ME419" s="56"/>
      <c r="MH419" s="55">
        <f t="shared" si="2840"/>
        <v>46380</v>
      </c>
      <c r="MI419" s="56"/>
      <c r="MJ419" s="242">
        <f>SUMPRODUCT(PRODUCE!$B412:$DY412,PRODUCE!$EB$45:$IY$45)</f>
        <v>0</v>
      </c>
      <c r="MK419" s="56"/>
      <c r="ML419" s="242">
        <f t="shared" si="2841"/>
        <v>0</v>
      </c>
      <c r="MM419" s="242">
        <f t="shared" si="2842"/>
        <v>-18</v>
      </c>
      <c r="MN419" s="56"/>
      <c r="MQ419" s="55">
        <f t="shared" si="2843"/>
        <v>46380</v>
      </c>
      <c r="MR419" s="56"/>
      <c r="MS419" s="242">
        <f>SUMPRODUCT(PRODUCE!$B412:$DY412,PRODUCE!$EB$46:$IY$46)</f>
        <v>0</v>
      </c>
      <c r="MT419" s="56"/>
      <c r="MU419" s="242">
        <f t="shared" si="2844"/>
        <v>0</v>
      </c>
      <c r="MV419" s="242">
        <f t="shared" si="2845"/>
        <v>1559</v>
      </c>
      <c r="MW419" s="56"/>
      <c r="MZ419" s="55">
        <f t="shared" si="2846"/>
        <v>46380</v>
      </c>
      <c r="NA419" s="56"/>
      <c r="NB419" s="242">
        <f>SUMPRODUCT(PRODUCE!$B412:$DY412,PRODUCE!$EB$47:$IY$47)</f>
        <v>0</v>
      </c>
      <c r="NC419" s="56"/>
      <c r="ND419" s="242">
        <f t="shared" si="2847"/>
        <v>0</v>
      </c>
      <c r="NE419" s="242">
        <f t="shared" si="2848"/>
        <v>0</v>
      </c>
      <c r="NF419" s="56"/>
      <c r="NI419" s="55">
        <f t="shared" si="2849"/>
        <v>46380</v>
      </c>
      <c r="NJ419" s="56"/>
      <c r="NK419" s="242">
        <f>SUMPRODUCT(PRODUCE!$B412:$DY412,PRODUCE!$EB$48:$IY$48)</f>
        <v>0</v>
      </c>
      <c r="NL419" s="56"/>
      <c r="NM419" s="242">
        <f t="shared" si="2850"/>
        <v>0</v>
      </c>
      <c r="NN419" s="242">
        <f t="shared" si="2851"/>
        <v>1127</v>
      </c>
      <c r="NO419" s="56"/>
      <c r="NR419" s="55">
        <f t="shared" si="2852"/>
        <v>46380</v>
      </c>
      <c r="NS419" s="56"/>
      <c r="NT419" s="242">
        <f>SUMPRODUCT(PRODUCE!$B412:$DY412,PRODUCE!$EB$49:$IY$49)</f>
        <v>0</v>
      </c>
      <c r="NU419" s="56"/>
      <c r="NV419" s="242">
        <f t="shared" si="2853"/>
        <v>0</v>
      </c>
      <c r="NW419" s="242">
        <f t="shared" si="2854"/>
        <v>3111.9999999999995</v>
      </c>
      <c r="NX419" s="56"/>
      <c r="OA419" s="55">
        <f t="shared" si="2855"/>
        <v>46380</v>
      </c>
      <c r="OB419" s="56"/>
      <c r="OC419" s="242">
        <f>SUMPRODUCT(PRODUCE!$B412:$DY412,PRODUCE!$EB$50:$IY$50)</f>
        <v>0</v>
      </c>
      <c r="OD419" s="56"/>
      <c r="OE419" s="242">
        <f t="shared" si="2856"/>
        <v>0</v>
      </c>
      <c r="OF419" s="242">
        <f t="shared" si="2857"/>
        <v>1680.5</v>
      </c>
      <c r="OG419" s="56"/>
      <c r="OJ419" s="55">
        <f t="shared" si="2858"/>
        <v>46380</v>
      </c>
      <c r="OK419" s="56"/>
      <c r="OL419" s="242">
        <f>SUMPRODUCT(PRODUCE!$B412:$DY412,PRODUCE!$EB$51:$IY$51)</f>
        <v>0</v>
      </c>
      <c r="OM419" s="56"/>
      <c r="ON419" s="242">
        <f t="shared" si="2859"/>
        <v>0</v>
      </c>
      <c r="OO419" s="242">
        <f t="shared" si="2860"/>
        <v>0</v>
      </c>
      <c r="OP419" s="56"/>
      <c r="OS419" s="55">
        <f t="shared" si="2861"/>
        <v>46380</v>
      </c>
      <c r="OT419" s="56"/>
      <c r="OU419" s="242">
        <f>SUMPRODUCT(PRODUCE!$B412:$DY412,PRODUCE!$EB$52:$IY$52)</f>
        <v>0</v>
      </c>
      <c r="OV419" s="56"/>
      <c r="OW419" s="242">
        <f t="shared" si="2862"/>
        <v>0</v>
      </c>
      <c r="OX419" s="242">
        <f t="shared" si="2863"/>
        <v>1482</v>
      </c>
      <c r="OY419" s="56"/>
      <c r="PB419" s="55">
        <f t="shared" si="2864"/>
        <v>46380</v>
      </c>
      <c r="PC419" s="56"/>
      <c r="PD419" s="242">
        <f>SUMPRODUCT(PRODUCE!$B412:$DY412,PRODUCE!$EB$53:$IY$53)</f>
        <v>0</v>
      </c>
      <c r="PE419" s="56"/>
      <c r="PF419" s="242">
        <f t="shared" si="2865"/>
        <v>0</v>
      </c>
      <c r="PG419" s="242">
        <f t="shared" si="2866"/>
        <v>0</v>
      </c>
      <c r="PH419" s="56"/>
      <c r="PK419" s="55">
        <f t="shared" si="2867"/>
        <v>46380</v>
      </c>
      <c r="PL419" s="56"/>
      <c r="PM419" s="242">
        <f>SUMPRODUCT(PRODUCE!$B412:$DY412,PRODUCE!$EB$54:$IY$54)</f>
        <v>0</v>
      </c>
      <c r="PN419" s="56"/>
      <c r="PO419" s="242">
        <f t="shared" si="2868"/>
        <v>0</v>
      </c>
      <c r="PP419" s="242">
        <f t="shared" si="2869"/>
        <v>100</v>
      </c>
      <c r="PQ419" s="56"/>
      <c r="PT419" s="55">
        <f t="shared" si="2870"/>
        <v>46380</v>
      </c>
      <c r="PU419" s="56"/>
      <c r="PV419" s="242">
        <f>SUMPRODUCT(PRODUCE!$B412:$DY412,PRODUCE!$EB$55:$IY$55)</f>
        <v>0</v>
      </c>
      <c r="PW419" s="56"/>
      <c r="PX419" s="242">
        <f t="shared" si="2871"/>
        <v>0</v>
      </c>
      <c r="PY419" s="242">
        <f t="shared" si="2872"/>
        <v>13.960000000000036</v>
      </c>
      <c r="PZ419" s="56"/>
      <c r="QC419" s="55">
        <f t="shared" si="2873"/>
        <v>46380</v>
      </c>
      <c r="QD419" s="56"/>
      <c r="QE419" s="242">
        <f>SUMPRODUCT(PRODUCE!$B412:$DY412,PRODUCE!$EB$56:$IY$56)</f>
        <v>0</v>
      </c>
      <c r="QF419" s="56"/>
      <c r="QG419" s="242">
        <f t="shared" si="2874"/>
        <v>0</v>
      </c>
      <c r="QH419" s="242">
        <f t="shared" si="2875"/>
        <v>548</v>
      </c>
      <c r="QI419" s="56"/>
      <c r="QL419" s="55">
        <f t="shared" si="2876"/>
        <v>46380</v>
      </c>
      <c r="QM419" s="56"/>
      <c r="QN419" s="242">
        <f>SUMPRODUCT(PRODUCE!$B412:$DY412,PRODUCE!$EB$57:$IY$57)</f>
        <v>0</v>
      </c>
      <c r="QO419" s="56"/>
      <c r="QP419" s="242">
        <f t="shared" si="2877"/>
        <v>0</v>
      </c>
      <c r="QQ419" s="242">
        <f t="shared" si="2878"/>
        <v>0</v>
      </c>
      <c r="QR419" s="56"/>
      <c r="QU419" s="55">
        <f t="shared" si="2879"/>
        <v>46380</v>
      </c>
      <c r="QV419" s="56"/>
      <c r="QW419" s="242">
        <f>SUMPRODUCT(PRODUCE!$B412:$DY412,PRODUCE!$EB$57:$IY$57)</f>
        <v>0</v>
      </c>
      <c r="QX419" s="56"/>
      <c r="QY419" s="242">
        <f t="shared" si="2880"/>
        <v>0</v>
      </c>
      <c r="QZ419" s="242">
        <f t="shared" si="2881"/>
        <v>0</v>
      </c>
      <c r="RA419" s="56"/>
      <c r="RD419" s="55">
        <f t="shared" si="2882"/>
        <v>46380</v>
      </c>
      <c r="RE419" s="56"/>
      <c r="RF419" s="242">
        <f>SUMPRODUCT(PRODUCE!$B412:$DY412,PRODUCE!$EB$58:$IY$58)</f>
        <v>0</v>
      </c>
      <c r="RG419" s="56"/>
      <c r="RH419" s="242">
        <f t="shared" si="2883"/>
        <v>0</v>
      </c>
      <c r="RI419" s="242">
        <f t="shared" si="2884"/>
        <v>147.04000000000002</v>
      </c>
      <c r="RJ419" s="56"/>
      <c r="RM419" s="55">
        <f t="shared" si="2885"/>
        <v>46380</v>
      </c>
      <c r="RN419" s="56"/>
      <c r="RO419" s="242">
        <f>SUMPRODUCT(PRODUCE!$B412:$DY412,PRODUCE!$EB$57:$IY$57)</f>
        <v>0</v>
      </c>
      <c r="RP419" s="56"/>
      <c r="RQ419" s="242">
        <f t="shared" si="2886"/>
        <v>0</v>
      </c>
      <c r="RR419" s="242">
        <f t="shared" si="2887"/>
        <v>46.8</v>
      </c>
      <c r="RS419" s="56"/>
      <c r="RV419" s="55">
        <f t="shared" si="2888"/>
        <v>46380</v>
      </c>
      <c r="RW419" s="56"/>
      <c r="RX419" s="242">
        <f>SUMPRODUCT(PRODUCE!$B412:$DY412,PRODUCE!$EB$57:$IY$57)</f>
        <v>0</v>
      </c>
      <c r="RY419" s="56"/>
      <c r="RZ419" s="242">
        <f t="shared" si="2889"/>
        <v>0</v>
      </c>
      <c r="SA419" s="242">
        <f t="shared" si="2890"/>
        <v>0</v>
      </c>
      <c r="SB419" s="56"/>
      <c r="SE419" s="55">
        <f t="shared" si="2891"/>
        <v>46380</v>
      </c>
      <c r="SF419" s="56"/>
      <c r="SG419" s="242">
        <f>SUMPRODUCT(PRODUCE!$B412:$DY412,PRODUCE!$EB$61:$IY$61)</f>
        <v>0</v>
      </c>
      <c r="SH419" s="56"/>
      <c r="SI419" s="242">
        <f t="shared" si="2892"/>
        <v>0</v>
      </c>
      <c r="SJ419" s="242">
        <f t="shared" si="2893"/>
        <v>24.200000000000003</v>
      </c>
      <c r="SK419" s="56"/>
      <c r="SN419" s="55">
        <f t="shared" si="2894"/>
        <v>46380</v>
      </c>
      <c r="SO419" s="56"/>
      <c r="SP419" s="242">
        <f>SUMPRODUCT(PRODUCE!$B412:$DY412,PRODUCE!$EB$57:$IY$57)</f>
        <v>0</v>
      </c>
      <c r="SQ419" s="56"/>
      <c r="SR419" s="242">
        <f t="shared" si="2895"/>
        <v>0</v>
      </c>
      <c r="SS419" s="242">
        <f t="shared" si="2896"/>
        <v>32</v>
      </c>
      <c r="ST419" s="56"/>
      <c r="SW419" s="55">
        <f t="shared" si="2897"/>
        <v>46380</v>
      </c>
      <c r="SX419" s="56"/>
      <c r="SY419" s="242">
        <f>SUMPRODUCT(PRODUCE!$B412:$DY412,PRODUCE!$EB$57:$IY$57)</f>
        <v>0</v>
      </c>
      <c r="SZ419" s="56"/>
      <c r="TA419" s="242">
        <f t="shared" si="2898"/>
        <v>0</v>
      </c>
      <c r="TB419" s="242">
        <f t="shared" si="2899"/>
        <v>0</v>
      </c>
      <c r="TC419" s="56"/>
      <c r="TF419" s="55">
        <f t="shared" si="2900"/>
        <v>46380</v>
      </c>
      <c r="TG419" s="56"/>
      <c r="TH419" s="242">
        <f>SUMPRODUCT(PRODUCE!$B412:$DY412,PRODUCE!$EB$57:$IY$57)</f>
        <v>0</v>
      </c>
      <c r="TI419" s="56"/>
      <c r="TJ419" s="242">
        <f t="shared" si="2901"/>
        <v>0</v>
      </c>
      <c r="TK419" s="242">
        <f t="shared" si="2902"/>
        <v>0</v>
      </c>
      <c r="TL419" s="56"/>
      <c r="TO419" s="55">
        <f t="shared" si="2903"/>
        <v>46380</v>
      </c>
      <c r="TP419" s="56"/>
      <c r="TQ419" s="242">
        <f>SUMPRODUCT(PRODUCE!$B412:$DY412,PRODUCE!$EB$57:$IY$57)</f>
        <v>0</v>
      </c>
      <c r="TR419" s="56"/>
      <c r="TS419" s="242">
        <f t="shared" si="2904"/>
        <v>0</v>
      </c>
      <c r="TT419" s="242">
        <f t="shared" si="2905"/>
        <v>0</v>
      </c>
      <c r="TU419" s="56"/>
      <c r="TX419" s="55">
        <f t="shared" si="2906"/>
        <v>46380</v>
      </c>
      <c r="TY419" s="56"/>
      <c r="TZ419" s="242">
        <f>SUMPRODUCT(PRODUCE!$B412:$DY412,PRODUCE!$EB$57:$IY$57)</f>
        <v>0</v>
      </c>
      <c r="UA419" s="56"/>
      <c r="UB419" s="242">
        <f t="shared" si="2907"/>
        <v>0</v>
      </c>
      <c r="UC419" s="242">
        <f t="shared" si="2908"/>
        <v>46.799999999999983</v>
      </c>
      <c r="UD419" s="56"/>
      <c r="UG419" s="55">
        <f t="shared" si="2909"/>
        <v>46380</v>
      </c>
      <c r="UH419" s="56"/>
      <c r="UI419" s="242">
        <f>SUMPRODUCT(PRODUCE!$B412:$DY412,PRODUCE!$EB$57:$IY$57)</f>
        <v>0</v>
      </c>
      <c r="UJ419" s="56"/>
      <c r="UK419" s="242">
        <f t="shared" si="2910"/>
        <v>0</v>
      </c>
      <c r="UL419" s="242">
        <f t="shared" si="2911"/>
        <v>204</v>
      </c>
      <c r="UM419" s="56"/>
      <c r="UP419" s="55">
        <f t="shared" si="2912"/>
        <v>46380</v>
      </c>
      <c r="UQ419" s="56"/>
      <c r="UR419" s="242">
        <f>SUMPRODUCT(PRODUCE!$B412:$DY412,PRODUCE!$EB$57:$IY$57)</f>
        <v>0</v>
      </c>
      <c r="US419" s="56"/>
      <c r="UT419" s="242">
        <f t="shared" si="2913"/>
        <v>0</v>
      </c>
      <c r="UU419" s="242">
        <f t="shared" si="2914"/>
        <v>202.5</v>
      </c>
      <c r="UV419" s="56"/>
      <c r="UY419" s="55">
        <f t="shared" si="2915"/>
        <v>46380</v>
      </c>
      <c r="UZ419" s="56"/>
      <c r="VA419" s="242">
        <f>SUMPRODUCT(PRODUCE!$B412:$DY412,PRODUCE!$EB$57:$IY$57)</f>
        <v>0</v>
      </c>
      <c r="VB419" s="56"/>
      <c r="VC419" s="242">
        <f t="shared" si="2916"/>
        <v>0</v>
      </c>
      <c r="VD419" s="242">
        <f t="shared" si="2917"/>
        <v>41.600000000000023</v>
      </c>
      <c r="VE419" s="56"/>
      <c r="VH419" s="55">
        <f t="shared" si="2918"/>
        <v>46380</v>
      </c>
      <c r="VI419" s="56"/>
      <c r="VJ419" s="242">
        <f>SUMPRODUCT(PRODUCE!$B412:$DY412,PRODUCE!$EB$57:$IY$57)</f>
        <v>0</v>
      </c>
      <c r="VK419" s="56"/>
      <c r="VL419" s="242">
        <f t="shared" si="2919"/>
        <v>0</v>
      </c>
      <c r="VM419" s="242">
        <f t="shared" si="2920"/>
        <v>210</v>
      </c>
      <c r="VN419" s="56"/>
      <c r="VQ419" s="55">
        <f t="shared" si="2921"/>
        <v>46380</v>
      </c>
      <c r="VR419" s="56"/>
      <c r="VS419" s="242">
        <f>SUMPRODUCT(PRODUCE!$B412:$DY412,PRODUCE!$EB$57:$IY$57)</f>
        <v>0</v>
      </c>
      <c r="VT419" s="56"/>
      <c r="VU419" s="242">
        <f t="shared" si="2922"/>
        <v>0</v>
      </c>
      <c r="VV419" s="242">
        <f t="shared" si="2923"/>
        <v>0</v>
      </c>
      <c r="VW419" s="56"/>
      <c r="VZ419" s="55">
        <f t="shared" si="2924"/>
        <v>46380</v>
      </c>
      <c r="WA419" s="56"/>
      <c r="WB419" s="242">
        <f>SUMPRODUCT(PRODUCE!$B412:$DY412,PRODUCE!$EB$57:$IY$57)</f>
        <v>0</v>
      </c>
      <c r="WC419" s="56"/>
      <c r="WD419" s="242">
        <f t="shared" si="2925"/>
        <v>0</v>
      </c>
      <c r="WE419" s="242">
        <f t="shared" si="2926"/>
        <v>0</v>
      </c>
      <c r="WF419" s="56"/>
      <c r="WI419" s="55">
        <f t="shared" si="2927"/>
        <v>46380</v>
      </c>
      <c r="WJ419" s="56"/>
      <c r="WK419" s="242">
        <f>SUMPRODUCT(PRODUCE!$B412:$DY412,PRODUCE!$EB$57:$IY$57)</f>
        <v>0</v>
      </c>
      <c r="WL419" s="56"/>
      <c r="WM419" s="242">
        <f t="shared" si="2928"/>
        <v>0</v>
      </c>
      <c r="WN419" s="242">
        <f t="shared" si="2929"/>
        <v>1057</v>
      </c>
      <c r="WO419" s="56"/>
      <c r="WR419" s="55">
        <f t="shared" si="2930"/>
        <v>46380</v>
      </c>
      <c r="WS419" s="56"/>
      <c r="WT419" s="242">
        <f>SUMPRODUCT(PRODUCE!$B412:$DY412,PRODUCE!$EB$57:$IY$57)</f>
        <v>0</v>
      </c>
      <c r="WU419" s="56"/>
      <c r="WV419" s="242">
        <f t="shared" si="2931"/>
        <v>0</v>
      </c>
      <c r="WW419" s="242">
        <f t="shared" si="2932"/>
        <v>0</v>
      </c>
      <c r="WX419" s="56"/>
      <c r="XA419" s="55">
        <f t="shared" si="2933"/>
        <v>46380</v>
      </c>
      <c r="XB419" s="56"/>
      <c r="XC419" s="242">
        <f>SUMPRODUCT(PRODUCE!$B412:$DY412,PRODUCE!$EB$57:$IY$57)</f>
        <v>0</v>
      </c>
      <c r="XD419" s="56"/>
      <c r="XE419" s="242">
        <f t="shared" si="2934"/>
        <v>0</v>
      </c>
      <c r="XF419" s="242">
        <f t="shared" si="2935"/>
        <v>7507</v>
      </c>
      <c r="XG419" s="56"/>
      <c r="XJ419" s="55">
        <f t="shared" si="2936"/>
        <v>46380</v>
      </c>
      <c r="XK419" s="56"/>
      <c r="XL419" s="242">
        <f>SUMPRODUCT(PRODUCE!$B412:$DY412,PRODUCE!$EB$57:$IY$57)</f>
        <v>0</v>
      </c>
      <c r="XM419" s="56"/>
      <c r="XN419" s="242">
        <f t="shared" si="2937"/>
        <v>0</v>
      </c>
      <c r="XO419" s="242">
        <f t="shared" si="2938"/>
        <v>4252</v>
      </c>
      <c r="XP419" s="56"/>
      <c r="XS419" s="55">
        <f t="shared" si="2939"/>
        <v>46380</v>
      </c>
      <c r="XT419" s="56"/>
      <c r="XU419" s="242">
        <f>SUMPRODUCT(PRODUCE!$B412:$DY412,PRODUCE!$EB$57:$IY$57)</f>
        <v>0</v>
      </c>
      <c r="XV419" s="56"/>
      <c r="XW419" s="242">
        <f t="shared" si="2940"/>
        <v>0</v>
      </c>
      <c r="XX419" s="242">
        <f t="shared" si="2941"/>
        <v>2179</v>
      </c>
      <c r="XY419" s="56"/>
      <c r="YB419" s="55">
        <f t="shared" si="2942"/>
        <v>46380</v>
      </c>
      <c r="YC419" s="56"/>
      <c r="YD419" s="242">
        <f>SUMPRODUCT(PRODUCE!$B412:$DY412,PRODUCE!$EB$57:$IY$57)</f>
        <v>0</v>
      </c>
      <c r="YE419" s="56"/>
      <c r="YF419" s="242">
        <f t="shared" si="2943"/>
        <v>0</v>
      </c>
      <c r="YG419" s="242">
        <f t="shared" si="2944"/>
        <v>4019</v>
      </c>
      <c r="YH419" s="56"/>
      <c r="YK419" s="55">
        <f t="shared" si="2945"/>
        <v>46380</v>
      </c>
      <c r="YL419" s="56"/>
      <c r="YM419" s="242">
        <f>SUMPRODUCT(PRODUCE!$B412:$DY412,PRODUCE!$EB$57:$IY$57)</f>
        <v>0</v>
      </c>
      <c r="YN419" s="56"/>
      <c r="YO419" s="242">
        <f t="shared" si="2946"/>
        <v>0</v>
      </c>
      <c r="YP419" s="242">
        <f t="shared" si="2947"/>
        <v>-218</v>
      </c>
      <c r="YQ419" s="56"/>
      <c r="YT419" s="55">
        <f t="shared" si="2948"/>
        <v>46380</v>
      </c>
      <c r="YU419" s="56"/>
      <c r="YV419" s="242">
        <f>SUMPRODUCT(PRODUCE!$B412:$DY412,PRODUCE!$EB$57:$IY$57)</f>
        <v>0</v>
      </c>
      <c r="YW419" s="56"/>
      <c r="YX419" s="242">
        <f t="shared" si="2949"/>
        <v>0</v>
      </c>
      <c r="YY419" s="242">
        <f t="shared" si="2950"/>
        <v>0</v>
      </c>
      <c r="YZ419" s="56"/>
      <c r="ZC419" s="55">
        <f t="shared" si="2951"/>
        <v>46380</v>
      </c>
      <c r="ZD419" s="56"/>
      <c r="ZE419" s="242">
        <f>SUMPRODUCT(PRODUCE!$B412:$DY412,PRODUCE!$EB$57:$IY$57)</f>
        <v>0</v>
      </c>
      <c r="ZF419" s="56"/>
      <c r="ZG419" s="242">
        <f t="shared" si="2952"/>
        <v>0</v>
      </c>
      <c r="ZH419" s="242">
        <f t="shared" si="2953"/>
        <v>0</v>
      </c>
      <c r="ZI419" s="56"/>
      <c r="ZL419" s="55">
        <f t="shared" si="2954"/>
        <v>46380</v>
      </c>
      <c r="ZM419" s="56"/>
      <c r="ZN419" s="242">
        <f>SUMPRODUCT(PRODUCE!$B412:$DY412,PRODUCE!$EB$57:$IY$57)</f>
        <v>0</v>
      </c>
      <c r="ZO419" s="56"/>
      <c r="ZP419" s="242">
        <f t="shared" si="2955"/>
        <v>0</v>
      </c>
      <c r="ZQ419" s="242">
        <f t="shared" si="2956"/>
        <v>0</v>
      </c>
      <c r="ZR419" s="56"/>
      <c r="ZU419" s="55">
        <f t="shared" si="2957"/>
        <v>46380</v>
      </c>
      <c r="ZV419" s="56"/>
      <c r="ZW419" s="242">
        <f>SUMPRODUCT(PRODUCE!$B412:$DY412,PRODUCE!$EB$57:$IY$57)</f>
        <v>0</v>
      </c>
      <c r="ZX419" s="56"/>
      <c r="ZY419" s="242">
        <f t="shared" si="2958"/>
        <v>0</v>
      </c>
      <c r="ZZ419" s="242">
        <f t="shared" si="2959"/>
        <v>0</v>
      </c>
      <c r="AAA419" s="56"/>
      <c r="AAD419" s="55">
        <f t="shared" si="2960"/>
        <v>46380</v>
      </c>
      <c r="AAE419" s="56"/>
      <c r="AAF419" s="242">
        <f>SUMPRODUCT(PRODUCE!$B412:$DY412,PRODUCE!$EB$57:$IY$57)</f>
        <v>0</v>
      </c>
      <c r="AAG419" s="56"/>
      <c r="AAH419" s="242">
        <f t="shared" si="2961"/>
        <v>0</v>
      </c>
      <c r="AAI419" s="242">
        <f t="shared" si="2962"/>
        <v>0</v>
      </c>
      <c r="AAJ419" s="56"/>
      <c r="AAM419" s="55">
        <f t="shared" si="2963"/>
        <v>46380</v>
      </c>
      <c r="AAN419" s="56"/>
      <c r="AAO419" s="242">
        <f>SUMPRODUCT(PRODUCE!$B412:$DY412,PRODUCE!$EB$57:$IY$57)</f>
        <v>0</v>
      </c>
      <c r="AAP419" s="56"/>
      <c r="AAQ419" s="242">
        <f t="shared" si="2964"/>
        <v>0</v>
      </c>
      <c r="AAR419" s="242">
        <f t="shared" si="2965"/>
        <v>0</v>
      </c>
      <c r="AAS419" s="56"/>
      <c r="AAV419" s="55">
        <f t="shared" si="2966"/>
        <v>46380</v>
      </c>
      <c r="AAW419" s="56"/>
      <c r="AAX419" s="242">
        <f>SUMPRODUCT(PRODUCE!$B412:$DY412,PRODUCE!$EB$57:$IY$57)</f>
        <v>0</v>
      </c>
      <c r="AAY419" s="56"/>
      <c r="AAZ419" s="242">
        <f t="shared" si="2967"/>
        <v>0</v>
      </c>
      <c r="ABA419" s="242">
        <f t="shared" si="2968"/>
        <v>0</v>
      </c>
      <c r="ABB419" s="56"/>
      <c r="ABE419" s="55">
        <f t="shared" si="2969"/>
        <v>46380</v>
      </c>
      <c r="ABF419" s="56"/>
      <c r="ABG419" s="242">
        <f>SUMPRODUCT(PRODUCE!$B412:$DY412,PRODUCE!$EB$57:$IY$57)</f>
        <v>0</v>
      </c>
      <c r="ABH419" s="56"/>
      <c r="ABI419" s="242">
        <f t="shared" si="2970"/>
        <v>0</v>
      </c>
      <c r="ABJ419" s="242">
        <f t="shared" si="2971"/>
        <v>0</v>
      </c>
      <c r="ABK419" s="56"/>
    </row>
    <row r="420" spans="2:739" s="54" customFormat="1" ht="15" customHeight="1" outlineLevel="1">
      <c r="B420" s="478"/>
      <c r="C420" s="55">
        <v>46381</v>
      </c>
      <c r="D420" s="56"/>
      <c r="E420" s="57">
        <f>SUMPRODUCT(PRODUCE!$B413:$DY413,PRODUCE!$EB$7:$IY$7)</f>
        <v>0</v>
      </c>
      <c r="F420" s="56"/>
      <c r="G420" s="57">
        <f t="shared" si="2727"/>
        <v>0</v>
      </c>
      <c r="H420" s="57">
        <f t="shared" si="2728"/>
        <v>236936.6</v>
      </c>
      <c r="I420" s="289"/>
      <c r="L420" s="55">
        <f t="shared" si="2729"/>
        <v>46381</v>
      </c>
      <c r="M420" s="56"/>
      <c r="N420" s="59">
        <f>SUMPRODUCT(PRODUCE!$B413:$DY413,PRODUCE!$EB$8:$IY$8)</f>
        <v>0</v>
      </c>
      <c r="O420" s="56"/>
      <c r="P420" s="59">
        <f t="shared" si="2730"/>
        <v>0</v>
      </c>
      <c r="Q420" s="59">
        <f t="shared" si="2731"/>
        <v>53017.600000000071</v>
      </c>
      <c r="R420" s="56"/>
      <c r="U420" s="55">
        <f t="shared" si="2732"/>
        <v>46381</v>
      </c>
      <c r="V420" s="56"/>
      <c r="W420" s="60">
        <f>SUMPRODUCT(PRODUCE!$B413:$DY413,PRODUCE!$EB$9:$IY$9)</f>
        <v>0</v>
      </c>
      <c r="X420" s="56"/>
      <c r="Y420" s="60">
        <f t="shared" si="2733"/>
        <v>0</v>
      </c>
      <c r="Z420" s="60">
        <f t="shared" si="2734"/>
        <v>42674.199999999968</v>
      </c>
      <c r="AA420" s="56"/>
      <c r="AD420" s="55">
        <f t="shared" si="2735"/>
        <v>46381</v>
      </c>
      <c r="AE420" s="56"/>
      <c r="AF420" s="61">
        <f>SUMPRODUCT(PRODUCE!$B413:$DY413,PRODUCE!$EB$10:$IY$10)</f>
        <v>0</v>
      </c>
      <c r="AG420" s="56"/>
      <c r="AH420" s="61">
        <f t="shared" si="2736"/>
        <v>0</v>
      </c>
      <c r="AI420" s="61">
        <f t="shared" si="2737"/>
        <v>4522.2000000000189</v>
      </c>
      <c r="AJ420" s="56"/>
      <c r="AM420" s="55">
        <f t="shared" si="2738"/>
        <v>46381</v>
      </c>
      <c r="AN420" s="422"/>
      <c r="AO420" s="444">
        <f>SUMPRODUCT(PRODUCE!$B413:$DY413,PRODUCE!$EB$11:$IY$11)</f>
        <v>0</v>
      </c>
      <c r="AP420" s="422"/>
      <c r="AQ420" s="444">
        <f t="shared" si="2739"/>
        <v>0</v>
      </c>
      <c r="AR420" s="444">
        <f t="shared" si="2740"/>
        <v>0</v>
      </c>
      <c r="AS420" s="56"/>
      <c r="AV420" s="55">
        <f t="shared" si="2741"/>
        <v>46381</v>
      </c>
      <c r="AW420" s="56"/>
      <c r="AX420" s="62">
        <f>SUMPRODUCT(PRODUCE!$B413:$DY413,PRODUCE!$EB$12:$IY$12)</f>
        <v>0</v>
      </c>
      <c r="AY420" s="56"/>
      <c r="AZ420" s="62">
        <f t="shared" si="2742"/>
        <v>0</v>
      </c>
      <c r="BA420" s="62">
        <f t="shared" si="2743"/>
        <v>124.99999999999523</v>
      </c>
      <c r="BB420" s="56"/>
      <c r="BE420" s="55">
        <f t="shared" si="2744"/>
        <v>46381</v>
      </c>
      <c r="BF420" s="56"/>
      <c r="BG420" s="63">
        <f>SUMPRODUCT(PRODUCE!$B413:$DY413,PRODUCE!$EB$13:$IY$13)</f>
        <v>0</v>
      </c>
      <c r="BH420" s="56"/>
      <c r="BI420" s="63">
        <f t="shared" si="2745"/>
        <v>0</v>
      </c>
      <c r="BJ420" s="63">
        <f t="shared" si="2746"/>
        <v>26151.899999999998</v>
      </c>
      <c r="BK420" s="56"/>
      <c r="BN420" s="55">
        <f t="shared" si="2747"/>
        <v>46381</v>
      </c>
      <c r="BO420" s="56"/>
      <c r="BP420" s="64">
        <f>SUMPRODUCT(PRODUCE!$B413:$DY413,PRODUCE!$EB$14:$IY$14)</f>
        <v>0</v>
      </c>
      <c r="BQ420" s="56"/>
      <c r="BR420" s="64">
        <f t="shared" si="2748"/>
        <v>0</v>
      </c>
      <c r="BS420" s="64">
        <f t="shared" si="2749"/>
        <v>0</v>
      </c>
      <c r="BT420" s="56"/>
      <c r="BW420" s="55">
        <f t="shared" si="2750"/>
        <v>46381</v>
      </c>
      <c r="BX420" s="56"/>
      <c r="BY420" s="65">
        <f>SUMPRODUCT(PRODUCE!$B413:$DY413,PRODUCE!$EB$15:$IY$15)</f>
        <v>0</v>
      </c>
      <c r="BZ420" s="56"/>
      <c r="CA420" s="65">
        <f t="shared" si="2751"/>
        <v>0</v>
      </c>
      <c r="CB420" s="65">
        <f t="shared" si="2752"/>
        <v>2097.3399999999992</v>
      </c>
      <c r="CC420" s="56"/>
      <c r="CF420" s="55">
        <f t="shared" si="2753"/>
        <v>46381</v>
      </c>
      <c r="CG420" s="56"/>
      <c r="CH420" s="66">
        <f>SUMPRODUCT(PRODUCE!$B413:$DY413,PRODUCE!$EB$16:$IY$16)</f>
        <v>0</v>
      </c>
      <c r="CI420" s="56"/>
      <c r="CJ420" s="66">
        <f t="shared" si="2754"/>
        <v>0</v>
      </c>
      <c r="CK420" s="66">
        <f t="shared" si="2755"/>
        <v>-10277.079999999998</v>
      </c>
      <c r="CL420" s="56"/>
      <c r="CO420" s="55">
        <f t="shared" si="2756"/>
        <v>46381</v>
      </c>
      <c r="CP420" s="422"/>
      <c r="CQ420" s="470">
        <f>SUMPRODUCT(PRODUCE!$B413:$DY413,PRODUCE!$EB$17:$IY$17)</f>
        <v>0</v>
      </c>
      <c r="CR420" s="422"/>
      <c r="CS420" s="470">
        <f t="shared" si="2757"/>
        <v>0</v>
      </c>
      <c r="CT420" s="470">
        <f t="shared" si="2758"/>
        <v>0</v>
      </c>
      <c r="CU420" s="56"/>
      <c r="CX420" s="55">
        <f t="shared" si="2759"/>
        <v>46381</v>
      </c>
      <c r="CY420" s="56"/>
      <c r="CZ420" s="133">
        <f>SUMPRODUCT(PRODUCE!$B413:$DY413,PRODUCE!$EB$18:$IY$18)</f>
        <v>0</v>
      </c>
      <c r="DA420" s="56"/>
      <c r="DB420" s="133">
        <f t="shared" si="2760"/>
        <v>0</v>
      </c>
      <c r="DC420" s="133">
        <f t="shared" si="2761"/>
        <v>27438.200000000012</v>
      </c>
      <c r="DD420" s="56"/>
      <c r="DG420" s="55">
        <f t="shared" si="2762"/>
        <v>46381</v>
      </c>
      <c r="DH420" s="56"/>
      <c r="DI420" s="147">
        <f>SUMPRODUCT(PRODUCE!$B413:$DY413,PRODUCE!$EB$19:$IY$19)</f>
        <v>0</v>
      </c>
      <c r="DJ420" s="56"/>
      <c r="DK420" s="147">
        <f t="shared" si="2763"/>
        <v>0</v>
      </c>
      <c r="DL420" s="147">
        <f t="shared" si="2764"/>
        <v>18782.299999999981</v>
      </c>
      <c r="DM420" s="56"/>
      <c r="DP420" s="55">
        <f t="shared" si="2765"/>
        <v>46381</v>
      </c>
      <c r="DQ420" s="56"/>
      <c r="DR420" s="57">
        <f>SUMPRODUCT(PRODUCE!$B413:$DY413,PRODUCE!$EB$20:$IY$20)</f>
        <v>0</v>
      </c>
      <c r="DS420" s="56"/>
      <c r="DT420" s="57">
        <f t="shared" si="2766"/>
        <v>0</v>
      </c>
      <c r="DU420" s="57">
        <f t="shared" si="2767"/>
        <v>5800</v>
      </c>
      <c r="DV420" s="56"/>
      <c r="DY420" s="55">
        <f t="shared" si="2768"/>
        <v>46381</v>
      </c>
      <c r="DZ420" s="56"/>
      <c r="EA420" s="157">
        <f>SUMPRODUCT(PRODUCE!$B413:$DY413,PRODUCE!$EB$21:$IY$21)</f>
        <v>0</v>
      </c>
      <c r="EB420" s="56"/>
      <c r="EC420" s="157">
        <f t="shared" si="2769"/>
        <v>0</v>
      </c>
      <c r="ED420" s="157">
        <f t="shared" si="2770"/>
        <v>0</v>
      </c>
      <c r="EE420" s="56"/>
      <c r="EH420" s="55">
        <f t="shared" si="2771"/>
        <v>46381</v>
      </c>
      <c r="EI420" s="56"/>
      <c r="EJ420" s="162">
        <f>SUMPRODUCT(PRODUCE!$B413:$DY413,PRODUCE!$EB$22:$IY$22)</f>
        <v>0</v>
      </c>
      <c r="EK420" s="56"/>
      <c r="EL420" s="162">
        <f t="shared" si="2772"/>
        <v>0</v>
      </c>
      <c r="EM420" s="162">
        <f t="shared" si="2773"/>
        <v>0</v>
      </c>
      <c r="EN420" s="56"/>
      <c r="EQ420" s="55">
        <f t="shared" si="2774"/>
        <v>46381</v>
      </c>
      <c r="ER420" s="56"/>
      <c r="ES420" s="135">
        <f>SUMPRODUCT(PRODUCE!$B413:$DY413,PRODUCE!$EB$23:$IY$23)</f>
        <v>0</v>
      </c>
      <c r="ET420" s="56"/>
      <c r="EU420" s="135">
        <f t="shared" si="2775"/>
        <v>0</v>
      </c>
      <c r="EV420" s="135">
        <f t="shared" si="2776"/>
        <v>0</v>
      </c>
      <c r="EW420" s="56"/>
      <c r="EZ420" s="55">
        <f t="shared" si="2777"/>
        <v>46381</v>
      </c>
      <c r="FA420" s="56"/>
      <c r="FB420" s="175">
        <f>SUMPRODUCT(PRODUCE!$B413:$DY413,PRODUCE!$EB$24:$IY$24)</f>
        <v>0</v>
      </c>
      <c r="FC420" s="56"/>
      <c r="FD420" s="175">
        <f t="shared" si="2778"/>
        <v>0</v>
      </c>
      <c r="FE420" s="175">
        <f t="shared" si="2779"/>
        <v>0</v>
      </c>
      <c r="FF420" s="56"/>
      <c r="FI420" s="55">
        <f t="shared" si="2780"/>
        <v>46381</v>
      </c>
      <c r="FJ420" s="56"/>
      <c r="FK420" s="183">
        <f>SUMPRODUCT(PRODUCE!$B413:$DY413,PRODUCE!$EB$25:$IY$25)</f>
        <v>0</v>
      </c>
      <c r="FL420" s="56"/>
      <c r="FM420" s="183">
        <f t="shared" si="2781"/>
        <v>0</v>
      </c>
      <c r="FN420" s="183">
        <f t="shared" si="2782"/>
        <v>0</v>
      </c>
      <c r="FO420" s="56"/>
      <c r="FR420" s="55">
        <f t="shared" si="2783"/>
        <v>46381</v>
      </c>
      <c r="FS420" s="56"/>
      <c r="FT420" s="186">
        <f>SUMPRODUCT(PRODUCE!$B413:$DY413,PRODUCE!$EB$26:$IY$26)</f>
        <v>0</v>
      </c>
      <c r="FU420" s="56"/>
      <c r="FV420" s="186">
        <f t="shared" si="2784"/>
        <v>0</v>
      </c>
      <c r="FW420" s="186">
        <f t="shared" si="2785"/>
        <v>2020</v>
      </c>
      <c r="FX420" s="56"/>
      <c r="GA420" s="55">
        <f t="shared" si="2786"/>
        <v>46381</v>
      </c>
      <c r="GB420" s="56"/>
      <c r="GC420" s="137">
        <f>SUMPRODUCT(PRODUCE!$B413:$DY413,PRODUCE!$EB$27:$IY$27)</f>
        <v>0</v>
      </c>
      <c r="GD420" s="56"/>
      <c r="GE420" s="137">
        <f t="shared" si="2787"/>
        <v>0</v>
      </c>
      <c r="GF420" s="137">
        <f t="shared" si="2788"/>
        <v>960</v>
      </c>
      <c r="GG420" s="56"/>
      <c r="GI420" s="23"/>
      <c r="GJ420" s="55">
        <f t="shared" si="2789"/>
        <v>46381</v>
      </c>
      <c r="GK420" s="56"/>
      <c r="GL420" s="199">
        <f>SUMPRODUCT(PRODUCE!$B413:$DY413,PRODUCE!$EB$28:$IY$28)</f>
        <v>0</v>
      </c>
      <c r="GM420" s="56"/>
      <c r="GN420" s="199">
        <f t="shared" si="2790"/>
        <v>0</v>
      </c>
      <c r="GO420" s="199">
        <f t="shared" si="2791"/>
        <v>1760</v>
      </c>
      <c r="GP420" s="56"/>
      <c r="GS420" s="55">
        <f t="shared" si="2792"/>
        <v>46381</v>
      </c>
      <c r="GT420" s="56"/>
      <c r="GU420" s="195">
        <f>SUMPRODUCT(PRODUCE!$B413:$DY413,PRODUCE!$EB$29:$IY$29)</f>
        <v>0</v>
      </c>
      <c r="GV420" s="56"/>
      <c r="GW420" s="195">
        <f t="shared" si="2793"/>
        <v>0</v>
      </c>
      <c r="GX420" s="195">
        <f t="shared" si="2794"/>
        <v>400</v>
      </c>
      <c r="GY420" s="56"/>
      <c r="HB420" s="55">
        <f t="shared" si="2795"/>
        <v>46381</v>
      </c>
      <c r="HC420" s="56"/>
      <c r="HD420" s="191">
        <f>SUMPRODUCT(PRODUCE!$B413:$DY413,PRODUCE!$EB$30:$IY$30)</f>
        <v>0</v>
      </c>
      <c r="HE420" s="56"/>
      <c r="HF420" s="191">
        <f t="shared" si="2796"/>
        <v>0</v>
      </c>
      <c r="HG420" s="191">
        <f t="shared" si="2797"/>
        <v>3600</v>
      </c>
      <c r="HH420" s="56"/>
      <c r="HK420" s="55">
        <f t="shared" si="2798"/>
        <v>46381</v>
      </c>
      <c r="HL420" s="56"/>
      <c r="HM420" s="63">
        <f>SUMPRODUCT(PRODUCE!$B413:$DY413,PRODUCE!$EB$31:$IY$31)</f>
        <v>0</v>
      </c>
      <c r="HN420" s="56"/>
      <c r="HO420" s="63">
        <f t="shared" si="2799"/>
        <v>0</v>
      </c>
      <c r="HP420" s="63">
        <f t="shared" si="2800"/>
        <v>0</v>
      </c>
      <c r="HQ420" s="56"/>
      <c r="HU420" s="55">
        <f t="shared" si="2801"/>
        <v>46381</v>
      </c>
      <c r="HV420" s="56"/>
      <c r="HW420" s="242">
        <f>SUMPRODUCT(PRODUCE!$B413:$DY413,PRODUCE!$EB$32:$IY$32)</f>
        <v>0</v>
      </c>
      <c r="HX420" s="56"/>
      <c r="HY420" s="242">
        <f t="shared" si="2802"/>
        <v>0</v>
      </c>
      <c r="HZ420" s="242">
        <f t="shared" si="2803"/>
        <v>6120</v>
      </c>
      <c r="IA420" s="56"/>
      <c r="ID420" s="55">
        <f t="shared" si="2804"/>
        <v>46381</v>
      </c>
      <c r="IE420" s="56"/>
      <c r="IF420" s="242">
        <f>SUMPRODUCT(PRODUCE!$B413:$DY413,PRODUCE!$EB$33:$IY$33)</f>
        <v>0</v>
      </c>
      <c r="IG420" s="56"/>
      <c r="IH420" s="242">
        <f t="shared" si="2805"/>
        <v>0</v>
      </c>
      <c r="II420" s="242">
        <f t="shared" si="2806"/>
        <v>0</v>
      </c>
      <c r="IJ420" s="56"/>
      <c r="IM420" s="55">
        <f t="shared" si="2807"/>
        <v>46381</v>
      </c>
      <c r="IN420" s="56"/>
      <c r="IO420" s="242">
        <f>SUMPRODUCT(PRODUCE!$B413:$DY413,PRODUCE!$EB$34:$IY$34)</f>
        <v>0</v>
      </c>
      <c r="IP420" s="56"/>
      <c r="IQ420" s="242">
        <f t="shared" si="2808"/>
        <v>0</v>
      </c>
      <c r="IR420" s="242">
        <f t="shared" si="2809"/>
        <v>0</v>
      </c>
      <c r="IS420" s="56"/>
      <c r="IV420" s="55">
        <f t="shared" si="2810"/>
        <v>46381</v>
      </c>
      <c r="IW420" s="56"/>
      <c r="IX420" s="242">
        <f>SUMPRODUCT(PRODUCE!$B413:$DY413,PRODUCE!$EB$35:$IY$35)</f>
        <v>0</v>
      </c>
      <c r="IY420" s="56"/>
      <c r="IZ420" s="242">
        <f t="shared" si="2811"/>
        <v>0</v>
      </c>
      <c r="JA420" s="242">
        <f t="shared" si="2812"/>
        <v>2820</v>
      </c>
      <c r="JB420" s="56"/>
      <c r="JE420" s="55">
        <f t="shared" si="2813"/>
        <v>46381</v>
      </c>
      <c r="JF420" s="56"/>
      <c r="JG420" s="242">
        <f>SUMPRODUCT(PRODUCE!$B413:$DY413,PRODUCE!$EB$36:$IY$36)</f>
        <v>0</v>
      </c>
      <c r="JH420" s="56"/>
      <c r="JI420" s="242">
        <f t="shared" si="2814"/>
        <v>0</v>
      </c>
      <c r="JJ420" s="242">
        <f t="shared" si="2815"/>
        <v>0</v>
      </c>
      <c r="JK420" s="56"/>
      <c r="JN420" s="55">
        <f t="shared" si="2816"/>
        <v>46381</v>
      </c>
      <c r="JO420" s="56"/>
      <c r="JP420" s="242">
        <f>SUMPRODUCT(PRODUCE!$B413:$DY413,PRODUCE!$EB$37:$IY$37)</f>
        <v>0</v>
      </c>
      <c r="JQ420" s="56"/>
      <c r="JR420" s="242">
        <f t="shared" si="2817"/>
        <v>0</v>
      </c>
      <c r="JS420" s="242">
        <f t="shared" si="2818"/>
        <v>0</v>
      </c>
      <c r="JT420" s="56"/>
      <c r="JW420" s="55">
        <f t="shared" si="2819"/>
        <v>46381</v>
      </c>
      <c r="JX420" s="56"/>
      <c r="JY420" s="242">
        <f>SUMPRODUCT(PRODUCE!$B413:$DY413,PRODUCE!$EB$38:$IY$38)</f>
        <v>0</v>
      </c>
      <c r="JZ420" s="56"/>
      <c r="KA420" s="242">
        <f t="shared" si="2820"/>
        <v>0</v>
      </c>
      <c r="KB420" s="242">
        <f t="shared" si="2821"/>
        <v>2540</v>
      </c>
      <c r="KC420" s="56"/>
      <c r="KF420" s="55">
        <f t="shared" si="2822"/>
        <v>46381</v>
      </c>
      <c r="KG420" s="56"/>
      <c r="KH420" s="242">
        <f>SUMPRODUCT(PRODUCE!$B413:$DY413,PRODUCE!$EB$39:$IY$39)</f>
        <v>0</v>
      </c>
      <c r="KI420" s="56"/>
      <c r="KJ420" s="242">
        <f t="shared" si="2823"/>
        <v>0</v>
      </c>
      <c r="KK420" s="242">
        <f t="shared" si="2824"/>
        <v>2359.5</v>
      </c>
      <c r="KL420" s="56"/>
      <c r="KO420" s="55">
        <f t="shared" si="2825"/>
        <v>46381</v>
      </c>
      <c r="KP420" s="56"/>
      <c r="KQ420" s="242">
        <f>SUMPRODUCT(PRODUCE!$B413:$DY413,PRODUCE!$EB$40:$IY$40)</f>
        <v>0</v>
      </c>
      <c r="KR420" s="56"/>
      <c r="KS420" s="242">
        <f t="shared" si="2826"/>
        <v>0</v>
      </c>
      <c r="KT420" s="242">
        <f t="shared" si="2827"/>
        <v>1890</v>
      </c>
      <c r="KU420" s="56"/>
      <c r="KW420" s="23"/>
      <c r="KX420" s="55">
        <f t="shared" si="2828"/>
        <v>46381</v>
      </c>
      <c r="KY420" s="56"/>
      <c r="KZ420" s="242">
        <f>SUMPRODUCT(PRODUCE!$B413:$DY413,PRODUCE!$EB$41:$IY$41)</f>
        <v>0</v>
      </c>
      <c r="LA420" s="56"/>
      <c r="LB420" s="242">
        <f t="shared" si="2829"/>
        <v>0</v>
      </c>
      <c r="LC420" s="242">
        <f t="shared" si="2830"/>
        <v>3690</v>
      </c>
      <c r="LD420" s="56"/>
      <c r="LG420" s="55">
        <f t="shared" si="2831"/>
        <v>46381</v>
      </c>
      <c r="LH420" s="56"/>
      <c r="LI420" s="242">
        <f>SUMPRODUCT(PRODUCE!$B413:$DY413,PRODUCE!$EB$42:$IY$42)</f>
        <v>0</v>
      </c>
      <c r="LJ420" s="56"/>
      <c r="LK420" s="242">
        <f t="shared" si="2832"/>
        <v>0</v>
      </c>
      <c r="LL420" s="242">
        <f t="shared" si="2833"/>
        <v>4000</v>
      </c>
      <c r="LM420" s="56"/>
      <c r="LP420" s="55">
        <f t="shared" si="2834"/>
        <v>46381</v>
      </c>
      <c r="LQ420" s="56"/>
      <c r="LR420" s="242">
        <f>SUMPRODUCT(PRODUCE!$B435:$DY435,PRODUCE!$EB$43:$IY$43)</f>
        <v>0</v>
      </c>
      <c r="LS420" s="56"/>
      <c r="LT420" s="242">
        <f t="shared" si="2835"/>
        <v>0</v>
      </c>
      <c r="LU420" s="242">
        <f t="shared" si="2836"/>
        <v>0</v>
      </c>
      <c r="LV420" s="56"/>
      <c r="LY420" s="55">
        <f t="shared" si="2837"/>
        <v>46381</v>
      </c>
      <c r="LZ420" s="56"/>
      <c r="MA420" s="242">
        <f>SUMPRODUCT(PRODUCE!$B413:$DY413,PRODUCE!$EB$44:$IY$44)</f>
        <v>0</v>
      </c>
      <c r="MB420" s="56"/>
      <c r="MC420" s="242">
        <f t="shared" si="2838"/>
        <v>0</v>
      </c>
      <c r="MD420" s="242">
        <f t="shared" si="2839"/>
        <v>0</v>
      </c>
      <c r="ME420" s="56"/>
      <c r="MH420" s="55">
        <f t="shared" si="2840"/>
        <v>46381</v>
      </c>
      <c r="MI420" s="56"/>
      <c r="MJ420" s="242">
        <f>SUMPRODUCT(PRODUCE!$B413:$DY413,PRODUCE!$EB$45:$IY$45)</f>
        <v>0</v>
      </c>
      <c r="MK420" s="56"/>
      <c r="ML420" s="242">
        <f t="shared" si="2841"/>
        <v>0</v>
      </c>
      <c r="MM420" s="242">
        <f t="shared" si="2842"/>
        <v>-18</v>
      </c>
      <c r="MN420" s="56"/>
      <c r="MQ420" s="55">
        <f t="shared" si="2843"/>
        <v>46381</v>
      </c>
      <c r="MR420" s="56"/>
      <c r="MS420" s="242">
        <f>SUMPRODUCT(PRODUCE!$B413:$DY413,PRODUCE!$EB$46:$IY$46)</f>
        <v>0</v>
      </c>
      <c r="MT420" s="56"/>
      <c r="MU420" s="242">
        <f t="shared" si="2844"/>
        <v>0</v>
      </c>
      <c r="MV420" s="242">
        <f t="shared" si="2845"/>
        <v>1559</v>
      </c>
      <c r="MW420" s="56"/>
      <c r="MZ420" s="55">
        <f t="shared" si="2846"/>
        <v>46381</v>
      </c>
      <c r="NA420" s="56"/>
      <c r="NB420" s="242">
        <f>SUMPRODUCT(PRODUCE!$B413:$DY413,PRODUCE!$EB$47:$IY$47)</f>
        <v>0</v>
      </c>
      <c r="NC420" s="56"/>
      <c r="ND420" s="242">
        <f t="shared" si="2847"/>
        <v>0</v>
      </c>
      <c r="NE420" s="242">
        <f t="shared" si="2848"/>
        <v>0</v>
      </c>
      <c r="NF420" s="56"/>
      <c r="NI420" s="55">
        <f t="shared" si="2849"/>
        <v>46381</v>
      </c>
      <c r="NJ420" s="56"/>
      <c r="NK420" s="242">
        <f>SUMPRODUCT(PRODUCE!$B413:$DY413,PRODUCE!$EB$48:$IY$48)</f>
        <v>0</v>
      </c>
      <c r="NL420" s="56"/>
      <c r="NM420" s="242">
        <f t="shared" si="2850"/>
        <v>0</v>
      </c>
      <c r="NN420" s="242">
        <f t="shared" si="2851"/>
        <v>1127</v>
      </c>
      <c r="NO420" s="56"/>
      <c r="NR420" s="55">
        <f t="shared" si="2852"/>
        <v>46381</v>
      </c>
      <c r="NS420" s="56"/>
      <c r="NT420" s="242">
        <f>SUMPRODUCT(PRODUCE!$B413:$DY413,PRODUCE!$EB$49:$IY$49)</f>
        <v>0</v>
      </c>
      <c r="NU420" s="56"/>
      <c r="NV420" s="242">
        <f t="shared" si="2853"/>
        <v>0</v>
      </c>
      <c r="NW420" s="242">
        <f t="shared" si="2854"/>
        <v>3111.9999999999995</v>
      </c>
      <c r="NX420" s="56"/>
      <c r="OA420" s="55">
        <f t="shared" si="2855"/>
        <v>46381</v>
      </c>
      <c r="OB420" s="56"/>
      <c r="OC420" s="242">
        <f>SUMPRODUCT(PRODUCE!$B413:$DY413,PRODUCE!$EB$50:$IY$50)</f>
        <v>0</v>
      </c>
      <c r="OD420" s="56"/>
      <c r="OE420" s="242">
        <f t="shared" si="2856"/>
        <v>0</v>
      </c>
      <c r="OF420" s="242">
        <f t="shared" si="2857"/>
        <v>1680.5</v>
      </c>
      <c r="OG420" s="56"/>
      <c r="OJ420" s="55">
        <f t="shared" si="2858"/>
        <v>46381</v>
      </c>
      <c r="OK420" s="56"/>
      <c r="OL420" s="242">
        <f>SUMPRODUCT(PRODUCE!$B413:$DY413,PRODUCE!$EB$51:$IY$51)</f>
        <v>0</v>
      </c>
      <c r="OM420" s="56"/>
      <c r="ON420" s="242">
        <f t="shared" si="2859"/>
        <v>0</v>
      </c>
      <c r="OO420" s="242">
        <f t="shared" si="2860"/>
        <v>0</v>
      </c>
      <c r="OP420" s="56"/>
      <c r="OS420" s="55">
        <f t="shared" si="2861"/>
        <v>46381</v>
      </c>
      <c r="OT420" s="56"/>
      <c r="OU420" s="242">
        <f>SUMPRODUCT(PRODUCE!$B413:$DY413,PRODUCE!$EB$52:$IY$52)</f>
        <v>0</v>
      </c>
      <c r="OV420" s="56"/>
      <c r="OW420" s="242">
        <f t="shared" si="2862"/>
        <v>0</v>
      </c>
      <c r="OX420" s="242">
        <f t="shared" si="2863"/>
        <v>1482</v>
      </c>
      <c r="OY420" s="56"/>
      <c r="PB420" s="55">
        <f t="shared" si="2864"/>
        <v>46381</v>
      </c>
      <c r="PC420" s="56"/>
      <c r="PD420" s="242">
        <f>SUMPRODUCT(PRODUCE!$B413:$DY413,PRODUCE!$EB$53:$IY$53)</f>
        <v>0</v>
      </c>
      <c r="PE420" s="56"/>
      <c r="PF420" s="242">
        <f t="shared" si="2865"/>
        <v>0</v>
      </c>
      <c r="PG420" s="242">
        <f t="shared" si="2866"/>
        <v>0</v>
      </c>
      <c r="PH420" s="56"/>
      <c r="PK420" s="55">
        <f t="shared" si="2867"/>
        <v>46381</v>
      </c>
      <c r="PL420" s="56"/>
      <c r="PM420" s="242">
        <f>SUMPRODUCT(PRODUCE!$B413:$DY413,PRODUCE!$EB$54:$IY$54)</f>
        <v>0</v>
      </c>
      <c r="PN420" s="56"/>
      <c r="PO420" s="242">
        <f t="shared" si="2868"/>
        <v>0</v>
      </c>
      <c r="PP420" s="242">
        <f t="shared" si="2869"/>
        <v>100</v>
      </c>
      <c r="PQ420" s="56"/>
      <c r="PT420" s="55">
        <f t="shared" si="2870"/>
        <v>46381</v>
      </c>
      <c r="PU420" s="56"/>
      <c r="PV420" s="242">
        <f>SUMPRODUCT(PRODUCE!$B413:$DY413,PRODUCE!$EB$55:$IY$55)</f>
        <v>0</v>
      </c>
      <c r="PW420" s="56"/>
      <c r="PX420" s="242">
        <f t="shared" si="2871"/>
        <v>0</v>
      </c>
      <c r="PY420" s="242">
        <f t="shared" si="2872"/>
        <v>13.960000000000036</v>
      </c>
      <c r="PZ420" s="56"/>
      <c r="QC420" s="55">
        <f t="shared" si="2873"/>
        <v>46381</v>
      </c>
      <c r="QD420" s="56"/>
      <c r="QE420" s="242">
        <f>SUMPRODUCT(PRODUCE!$B413:$DY413,PRODUCE!$EB$56:$IY$56)</f>
        <v>0</v>
      </c>
      <c r="QF420" s="56"/>
      <c r="QG420" s="242">
        <f t="shared" si="2874"/>
        <v>0</v>
      </c>
      <c r="QH420" s="242">
        <f t="shared" si="2875"/>
        <v>548</v>
      </c>
      <c r="QI420" s="56"/>
      <c r="QL420" s="55">
        <f t="shared" si="2876"/>
        <v>46381</v>
      </c>
      <c r="QM420" s="56"/>
      <c r="QN420" s="242">
        <f>SUMPRODUCT(PRODUCE!$B413:$DY413,PRODUCE!$EB$57:$IY$57)</f>
        <v>0</v>
      </c>
      <c r="QO420" s="56"/>
      <c r="QP420" s="242">
        <f t="shared" si="2877"/>
        <v>0</v>
      </c>
      <c r="QQ420" s="242">
        <f t="shared" si="2878"/>
        <v>0</v>
      </c>
      <c r="QR420" s="56"/>
      <c r="QU420" s="55">
        <f t="shared" si="2879"/>
        <v>46381</v>
      </c>
      <c r="QV420" s="56"/>
      <c r="QW420" s="242">
        <f>SUMPRODUCT(PRODUCE!$B413:$DY413,PRODUCE!$EB$57:$IY$57)</f>
        <v>0</v>
      </c>
      <c r="QX420" s="56"/>
      <c r="QY420" s="242">
        <f t="shared" si="2880"/>
        <v>0</v>
      </c>
      <c r="QZ420" s="242">
        <f t="shared" si="2881"/>
        <v>0</v>
      </c>
      <c r="RA420" s="56"/>
      <c r="RD420" s="55">
        <f t="shared" si="2882"/>
        <v>46381</v>
      </c>
      <c r="RE420" s="56"/>
      <c r="RF420" s="242">
        <f>SUMPRODUCT(PRODUCE!$B413:$DY413,PRODUCE!$EB$58:$IY$58)</f>
        <v>0</v>
      </c>
      <c r="RG420" s="56"/>
      <c r="RH420" s="242">
        <f t="shared" si="2883"/>
        <v>0</v>
      </c>
      <c r="RI420" s="242">
        <f t="shared" si="2884"/>
        <v>147.04000000000002</v>
      </c>
      <c r="RJ420" s="56"/>
      <c r="RM420" s="55">
        <f t="shared" si="2885"/>
        <v>46381</v>
      </c>
      <c r="RN420" s="56"/>
      <c r="RO420" s="242">
        <f>SUMPRODUCT(PRODUCE!$B413:$DY413,PRODUCE!$EB$57:$IY$57)</f>
        <v>0</v>
      </c>
      <c r="RP420" s="56"/>
      <c r="RQ420" s="242">
        <f t="shared" si="2886"/>
        <v>0</v>
      </c>
      <c r="RR420" s="242">
        <f t="shared" si="2887"/>
        <v>46.8</v>
      </c>
      <c r="RS420" s="56"/>
      <c r="RV420" s="55">
        <f t="shared" si="2888"/>
        <v>46381</v>
      </c>
      <c r="RW420" s="56"/>
      <c r="RX420" s="242">
        <f>SUMPRODUCT(PRODUCE!$B413:$DY413,PRODUCE!$EB$57:$IY$57)</f>
        <v>0</v>
      </c>
      <c r="RY420" s="56"/>
      <c r="RZ420" s="242">
        <f t="shared" si="2889"/>
        <v>0</v>
      </c>
      <c r="SA420" s="242">
        <f t="shared" si="2890"/>
        <v>0</v>
      </c>
      <c r="SB420" s="56"/>
      <c r="SE420" s="55">
        <f t="shared" si="2891"/>
        <v>46381</v>
      </c>
      <c r="SF420" s="56"/>
      <c r="SG420" s="242">
        <f>SUMPRODUCT(PRODUCE!$B413:$DY413,PRODUCE!$EB$61:$IY$61)</f>
        <v>0</v>
      </c>
      <c r="SH420" s="56"/>
      <c r="SI420" s="242">
        <f t="shared" si="2892"/>
        <v>0</v>
      </c>
      <c r="SJ420" s="242">
        <f t="shared" si="2893"/>
        <v>24.200000000000003</v>
      </c>
      <c r="SK420" s="56"/>
      <c r="SN420" s="55">
        <f t="shared" si="2894"/>
        <v>46381</v>
      </c>
      <c r="SO420" s="56"/>
      <c r="SP420" s="242">
        <f>SUMPRODUCT(PRODUCE!$B413:$DY413,PRODUCE!$EB$57:$IY$57)</f>
        <v>0</v>
      </c>
      <c r="SQ420" s="56"/>
      <c r="SR420" s="242">
        <f t="shared" si="2895"/>
        <v>0</v>
      </c>
      <c r="SS420" s="242">
        <f t="shared" si="2896"/>
        <v>32</v>
      </c>
      <c r="ST420" s="56"/>
      <c r="SW420" s="55">
        <f t="shared" si="2897"/>
        <v>46381</v>
      </c>
      <c r="SX420" s="56"/>
      <c r="SY420" s="242">
        <f>SUMPRODUCT(PRODUCE!$B413:$DY413,PRODUCE!$EB$57:$IY$57)</f>
        <v>0</v>
      </c>
      <c r="SZ420" s="56"/>
      <c r="TA420" s="242">
        <f t="shared" si="2898"/>
        <v>0</v>
      </c>
      <c r="TB420" s="242">
        <f t="shared" si="2899"/>
        <v>0</v>
      </c>
      <c r="TC420" s="56"/>
      <c r="TF420" s="55">
        <f t="shared" si="2900"/>
        <v>46381</v>
      </c>
      <c r="TG420" s="56"/>
      <c r="TH420" s="242">
        <f>SUMPRODUCT(PRODUCE!$B413:$DY413,PRODUCE!$EB$57:$IY$57)</f>
        <v>0</v>
      </c>
      <c r="TI420" s="56"/>
      <c r="TJ420" s="242">
        <f t="shared" si="2901"/>
        <v>0</v>
      </c>
      <c r="TK420" s="242">
        <f t="shared" si="2902"/>
        <v>0</v>
      </c>
      <c r="TL420" s="56"/>
      <c r="TO420" s="55">
        <f t="shared" si="2903"/>
        <v>46381</v>
      </c>
      <c r="TP420" s="56"/>
      <c r="TQ420" s="242">
        <f>SUMPRODUCT(PRODUCE!$B413:$DY413,PRODUCE!$EB$57:$IY$57)</f>
        <v>0</v>
      </c>
      <c r="TR420" s="56"/>
      <c r="TS420" s="242">
        <f t="shared" si="2904"/>
        <v>0</v>
      </c>
      <c r="TT420" s="242">
        <f t="shared" si="2905"/>
        <v>0</v>
      </c>
      <c r="TU420" s="56"/>
      <c r="TX420" s="55">
        <f t="shared" si="2906"/>
        <v>46381</v>
      </c>
      <c r="TY420" s="56"/>
      <c r="TZ420" s="242">
        <f>SUMPRODUCT(PRODUCE!$B413:$DY413,PRODUCE!$EB$57:$IY$57)</f>
        <v>0</v>
      </c>
      <c r="UA420" s="56"/>
      <c r="UB420" s="242">
        <f t="shared" si="2907"/>
        <v>0</v>
      </c>
      <c r="UC420" s="242">
        <f t="shared" si="2908"/>
        <v>46.799999999999983</v>
      </c>
      <c r="UD420" s="56"/>
      <c r="UG420" s="55">
        <f t="shared" si="2909"/>
        <v>46381</v>
      </c>
      <c r="UH420" s="56"/>
      <c r="UI420" s="242">
        <f>SUMPRODUCT(PRODUCE!$B413:$DY413,PRODUCE!$EB$57:$IY$57)</f>
        <v>0</v>
      </c>
      <c r="UJ420" s="56"/>
      <c r="UK420" s="242">
        <f t="shared" si="2910"/>
        <v>0</v>
      </c>
      <c r="UL420" s="242">
        <f t="shared" si="2911"/>
        <v>204</v>
      </c>
      <c r="UM420" s="56"/>
      <c r="UP420" s="55">
        <f t="shared" si="2912"/>
        <v>46381</v>
      </c>
      <c r="UQ420" s="56"/>
      <c r="UR420" s="242">
        <f>SUMPRODUCT(PRODUCE!$B413:$DY413,PRODUCE!$EB$57:$IY$57)</f>
        <v>0</v>
      </c>
      <c r="US420" s="56"/>
      <c r="UT420" s="242">
        <f t="shared" si="2913"/>
        <v>0</v>
      </c>
      <c r="UU420" s="242">
        <f t="shared" si="2914"/>
        <v>202.5</v>
      </c>
      <c r="UV420" s="56"/>
      <c r="UY420" s="55">
        <f t="shared" si="2915"/>
        <v>46381</v>
      </c>
      <c r="UZ420" s="56"/>
      <c r="VA420" s="242">
        <f>SUMPRODUCT(PRODUCE!$B413:$DY413,PRODUCE!$EB$57:$IY$57)</f>
        <v>0</v>
      </c>
      <c r="VB420" s="56"/>
      <c r="VC420" s="242">
        <f t="shared" si="2916"/>
        <v>0</v>
      </c>
      <c r="VD420" s="242">
        <f t="shared" si="2917"/>
        <v>41.600000000000023</v>
      </c>
      <c r="VE420" s="56"/>
      <c r="VH420" s="55">
        <f t="shared" si="2918"/>
        <v>46381</v>
      </c>
      <c r="VI420" s="56"/>
      <c r="VJ420" s="242">
        <f>SUMPRODUCT(PRODUCE!$B413:$DY413,PRODUCE!$EB$57:$IY$57)</f>
        <v>0</v>
      </c>
      <c r="VK420" s="56"/>
      <c r="VL420" s="242">
        <f t="shared" si="2919"/>
        <v>0</v>
      </c>
      <c r="VM420" s="242">
        <f t="shared" si="2920"/>
        <v>210</v>
      </c>
      <c r="VN420" s="56"/>
      <c r="VQ420" s="55">
        <f t="shared" si="2921"/>
        <v>46381</v>
      </c>
      <c r="VR420" s="56"/>
      <c r="VS420" s="242">
        <f>SUMPRODUCT(PRODUCE!$B413:$DY413,PRODUCE!$EB$57:$IY$57)</f>
        <v>0</v>
      </c>
      <c r="VT420" s="56"/>
      <c r="VU420" s="242">
        <f t="shared" si="2922"/>
        <v>0</v>
      </c>
      <c r="VV420" s="242">
        <f t="shared" si="2923"/>
        <v>0</v>
      </c>
      <c r="VW420" s="56"/>
      <c r="VZ420" s="55">
        <f t="shared" si="2924"/>
        <v>46381</v>
      </c>
      <c r="WA420" s="56"/>
      <c r="WB420" s="242">
        <f>SUMPRODUCT(PRODUCE!$B413:$DY413,PRODUCE!$EB$57:$IY$57)</f>
        <v>0</v>
      </c>
      <c r="WC420" s="56"/>
      <c r="WD420" s="242">
        <f t="shared" si="2925"/>
        <v>0</v>
      </c>
      <c r="WE420" s="242">
        <f t="shared" si="2926"/>
        <v>0</v>
      </c>
      <c r="WF420" s="56"/>
      <c r="WI420" s="55">
        <f t="shared" si="2927"/>
        <v>46381</v>
      </c>
      <c r="WJ420" s="56"/>
      <c r="WK420" s="242">
        <f>SUMPRODUCT(PRODUCE!$B413:$DY413,PRODUCE!$EB$57:$IY$57)</f>
        <v>0</v>
      </c>
      <c r="WL420" s="56"/>
      <c r="WM420" s="242">
        <f t="shared" si="2928"/>
        <v>0</v>
      </c>
      <c r="WN420" s="242">
        <f t="shared" si="2929"/>
        <v>1057</v>
      </c>
      <c r="WO420" s="56"/>
      <c r="WR420" s="55">
        <f t="shared" si="2930"/>
        <v>46381</v>
      </c>
      <c r="WS420" s="56"/>
      <c r="WT420" s="242">
        <f>SUMPRODUCT(PRODUCE!$B413:$DY413,PRODUCE!$EB$57:$IY$57)</f>
        <v>0</v>
      </c>
      <c r="WU420" s="56"/>
      <c r="WV420" s="242">
        <f t="shared" si="2931"/>
        <v>0</v>
      </c>
      <c r="WW420" s="242">
        <f t="shared" si="2932"/>
        <v>0</v>
      </c>
      <c r="WX420" s="56"/>
      <c r="XA420" s="55">
        <f t="shared" si="2933"/>
        <v>46381</v>
      </c>
      <c r="XB420" s="56"/>
      <c r="XC420" s="242">
        <f>SUMPRODUCT(PRODUCE!$B413:$DY413,PRODUCE!$EB$57:$IY$57)</f>
        <v>0</v>
      </c>
      <c r="XD420" s="56"/>
      <c r="XE420" s="242">
        <f t="shared" si="2934"/>
        <v>0</v>
      </c>
      <c r="XF420" s="242">
        <f t="shared" si="2935"/>
        <v>7507</v>
      </c>
      <c r="XG420" s="56"/>
      <c r="XJ420" s="55">
        <f t="shared" si="2936"/>
        <v>46381</v>
      </c>
      <c r="XK420" s="56"/>
      <c r="XL420" s="242">
        <f>SUMPRODUCT(PRODUCE!$B413:$DY413,PRODUCE!$EB$57:$IY$57)</f>
        <v>0</v>
      </c>
      <c r="XM420" s="56"/>
      <c r="XN420" s="242">
        <f t="shared" si="2937"/>
        <v>0</v>
      </c>
      <c r="XO420" s="242">
        <f t="shared" si="2938"/>
        <v>4252</v>
      </c>
      <c r="XP420" s="56"/>
      <c r="XS420" s="55">
        <f t="shared" si="2939"/>
        <v>46381</v>
      </c>
      <c r="XT420" s="56"/>
      <c r="XU420" s="242">
        <f>SUMPRODUCT(PRODUCE!$B413:$DY413,PRODUCE!$EB$57:$IY$57)</f>
        <v>0</v>
      </c>
      <c r="XV420" s="56"/>
      <c r="XW420" s="242">
        <f t="shared" si="2940"/>
        <v>0</v>
      </c>
      <c r="XX420" s="242">
        <f t="shared" si="2941"/>
        <v>2179</v>
      </c>
      <c r="XY420" s="56"/>
      <c r="YB420" s="55">
        <f t="shared" si="2942"/>
        <v>46381</v>
      </c>
      <c r="YC420" s="56"/>
      <c r="YD420" s="242">
        <f>SUMPRODUCT(PRODUCE!$B413:$DY413,PRODUCE!$EB$57:$IY$57)</f>
        <v>0</v>
      </c>
      <c r="YE420" s="56"/>
      <c r="YF420" s="242">
        <f t="shared" si="2943"/>
        <v>0</v>
      </c>
      <c r="YG420" s="242">
        <f t="shared" si="2944"/>
        <v>4019</v>
      </c>
      <c r="YH420" s="56"/>
      <c r="YK420" s="55">
        <f t="shared" si="2945"/>
        <v>46381</v>
      </c>
      <c r="YL420" s="56"/>
      <c r="YM420" s="242">
        <f>SUMPRODUCT(PRODUCE!$B413:$DY413,PRODUCE!$EB$57:$IY$57)</f>
        <v>0</v>
      </c>
      <c r="YN420" s="56"/>
      <c r="YO420" s="242">
        <f t="shared" si="2946"/>
        <v>0</v>
      </c>
      <c r="YP420" s="242">
        <f t="shared" si="2947"/>
        <v>-218</v>
      </c>
      <c r="YQ420" s="56"/>
      <c r="YT420" s="55">
        <f t="shared" si="2948"/>
        <v>46381</v>
      </c>
      <c r="YU420" s="56"/>
      <c r="YV420" s="242">
        <f>SUMPRODUCT(PRODUCE!$B413:$DY413,PRODUCE!$EB$57:$IY$57)</f>
        <v>0</v>
      </c>
      <c r="YW420" s="56"/>
      <c r="YX420" s="242">
        <f t="shared" si="2949"/>
        <v>0</v>
      </c>
      <c r="YY420" s="242">
        <f t="shared" si="2950"/>
        <v>0</v>
      </c>
      <c r="YZ420" s="56"/>
      <c r="ZC420" s="55">
        <f t="shared" si="2951"/>
        <v>46381</v>
      </c>
      <c r="ZD420" s="56"/>
      <c r="ZE420" s="242">
        <f>SUMPRODUCT(PRODUCE!$B413:$DY413,PRODUCE!$EB$57:$IY$57)</f>
        <v>0</v>
      </c>
      <c r="ZF420" s="56"/>
      <c r="ZG420" s="242">
        <f t="shared" si="2952"/>
        <v>0</v>
      </c>
      <c r="ZH420" s="242">
        <f t="shared" si="2953"/>
        <v>0</v>
      </c>
      <c r="ZI420" s="56"/>
      <c r="ZL420" s="55">
        <f t="shared" si="2954"/>
        <v>46381</v>
      </c>
      <c r="ZM420" s="56"/>
      <c r="ZN420" s="242">
        <f>SUMPRODUCT(PRODUCE!$B413:$DY413,PRODUCE!$EB$57:$IY$57)</f>
        <v>0</v>
      </c>
      <c r="ZO420" s="56"/>
      <c r="ZP420" s="242">
        <f t="shared" si="2955"/>
        <v>0</v>
      </c>
      <c r="ZQ420" s="242">
        <f t="shared" si="2956"/>
        <v>0</v>
      </c>
      <c r="ZR420" s="56"/>
      <c r="ZU420" s="55">
        <f t="shared" si="2957"/>
        <v>46381</v>
      </c>
      <c r="ZV420" s="56"/>
      <c r="ZW420" s="242">
        <f>SUMPRODUCT(PRODUCE!$B413:$DY413,PRODUCE!$EB$57:$IY$57)</f>
        <v>0</v>
      </c>
      <c r="ZX420" s="56"/>
      <c r="ZY420" s="242">
        <f t="shared" si="2958"/>
        <v>0</v>
      </c>
      <c r="ZZ420" s="242">
        <f t="shared" si="2959"/>
        <v>0</v>
      </c>
      <c r="AAA420" s="56"/>
      <c r="AAD420" s="55">
        <f t="shared" si="2960"/>
        <v>46381</v>
      </c>
      <c r="AAE420" s="56"/>
      <c r="AAF420" s="242">
        <f>SUMPRODUCT(PRODUCE!$B413:$DY413,PRODUCE!$EB$57:$IY$57)</f>
        <v>0</v>
      </c>
      <c r="AAG420" s="56"/>
      <c r="AAH420" s="242">
        <f t="shared" si="2961"/>
        <v>0</v>
      </c>
      <c r="AAI420" s="242">
        <f t="shared" si="2962"/>
        <v>0</v>
      </c>
      <c r="AAJ420" s="56"/>
      <c r="AAM420" s="55">
        <f t="shared" si="2963"/>
        <v>46381</v>
      </c>
      <c r="AAN420" s="56"/>
      <c r="AAO420" s="242">
        <f>SUMPRODUCT(PRODUCE!$B413:$DY413,PRODUCE!$EB$57:$IY$57)</f>
        <v>0</v>
      </c>
      <c r="AAP420" s="56"/>
      <c r="AAQ420" s="242">
        <f t="shared" si="2964"/>
        <v>0</v>
      </c>
      <c r="AAR420" s="242">
        <f t="shared" si="2965"/>
        <v>0</v>
      </c>
      <c r="AAS420" s="56"/>
      <c r="AAV420" s="55">
        <f t="shared" si="2966"/>
        <v>46381</v>
      </c>
      <c r="AAW420" s="56"/>
      <c r="AAX420" s="242">
        <f>SUMPRODUCT(PRODUCE!$B413:$DY413,PRODUCE!$EB$57:$IY$57)</f>
        <v>0</v>
      </c>
      <c r="AAY420" s="56"/>
      <c r="AAZ420" s="242">
        <f t="shared" si="2967"/>
        <v>0</v>
      </c>
      <c r="ABA420" s="242">
        <f t="shared" si="2968"/>
        <v>0</v>
      </c>
      <c r="ABB420" s="56"/>
      <c r="ABE420" s="55">
        <f t="shared" si="2969"/>
        <v>46381</v>
      </c>
      <c r="ABF420" s="56"/>
      <c r="ABG420" s="242">
        <f>SUMPRODUCT(PRODUCE!$B413:$DY413,PRODUCE!$EB$57:$IY$57)</f>
        <v>0</v>
      </c>
      <c r="ABH420" s="56"/>
      <c r="ABI420" s="242">
        <f t="shared" si="2970"/>
        <v>0</v>
      </c>
      <c r="ABJ420" s="242">
        <f t="shared" si="2971"/>
        <v>0</v>
      </c>
      <c r="ABK420" s="56"/>
    </row>
    <row r="421" spans="2:739" s="54" customFormat="1" ht="15" customHeight="1" outlineLevel="1">
      <c r="B421" s="478"/>
      <c r="C421" s="55">
        <v>46382</v>
      </c>
      <c r="D421" s="56"/>
      <c r="E421" s="57">
        <f>SUMPRODUCT(PRODUCE!$B414:$DY414,PRODUCE!$EB$7:$IY$7)</f>
        <v>0</v>
      </c>
      <c r="F421" s="56"/>
      <c r="G421" s="57">
        <f t="shared" si="2727"/>
        <v>0</v>
      </c>
      <c r="H421" s="57">
        <f t="shared" si="2728"/>
        <v>236936.6</v>
      </c>
      <c r="I421" s="289"/>
      <c r="L421" s="55">
        <f t="shared" si="2729"/>
        <v>46382</v>
      </c>
      <c r="M421" s="56"/>
      <c r="N421" s="59">
        <f>SUMPRODUCT(PRODUCE!$B414:$DY414,PRODUCE!$EB$8:$IY$8)</f>
        <v>0</v>
      </c>
      <c r="O421" s="56"/>
      <c r="P421" s="59">
        <f t="shared" si="2730"/>
        <v>0</v>
      </c>
      <c r="Q421" s="59">
        <f t="shared" si="2731"/>
        <v>53017.600000000071</v>
      </c>
      <c r="R421" s="56"/>
      <c r="U421" s="55">
        <f t="shared" si="2732"/>
        <v>46382</v>
      </c>
      <c r="V421" s="56"/>
      <c r="W421" s="60">
        <f>SUMPRODUCT(PRODUCE!$B414:$DY414,PRODUCE!$EB$9:$IY$9)</f>
        <v>0</v>
      </c>
      <c r="X421" s="56"/>
      <c r="Y421" s="60">
        <f t="shared" si="2733"/>
        <v>0</v>
      </c>
      <c r="Z421" s="60">
        <f t="shared" si="2734"/>
        <v>42674.199999999968</v>
      </c>
      <c r="AA421" s="56"/>
      <c r="AD421" s="55">
        <f t="shared" si="2735"/>
        <v>46382</v>
      </c>
      <c r="AE421" s="56"/>
      <c r="AF421" s="61">
        <f>SUMPRODUCT(PRODUCE!$B414:$DY414,PRODUCE!$EB$10:$IY$10)</f>
        <v>0</v>
      </c>
      <c r="AG421" s="56"/>
      <c r="AH421" s="61">
        <f t="shared" si="2736"/>
        <v>0</v>
      </c>
      <c r="AI421" s="61">
        <f t="shared" si="2737"/>
        <v>4522.2000000000189</v>
      </c>
      <c r="AJ421" s="56"/>
      <c r="AM421" s="55">
        <f t="shared" si="2738"/>
        <v>46382</v>
      </c>
      <c r="AN421" s="422"/>
      <c r="AO421" s="444">
        <f>SUMPRODUCT(PRODUCE!$B414:$DY414,PRODUCE!$EB$11:$IY$11)</f>
        <v>0</v>
      </c>
      <c r="AP421" s="422"/>
      <c r="AQ421" s="444">
        <f t="shared" si="2739"/>
        <v>0</v>
      </c>
      <c r="AR421" s="444">
        <f t="shared" si="2740"/>
        <v>0</v>
      </c>
      <c r="AS421" s="56"/>
      <c r="AV421" s="55">
        <f t="shared" si="2741"/>
        <v>46382</v>
      </c>
      <c r="AW421" s="56"/>
      <c r="AX421" s="62">
        <f>SUMPRODUCT(PRODUCE!$B414:$DY414,PRODUCE!$EB$12:$IY$12)</f>
        <v>0</v>
      </c>
      <c r="AY421" s="56"/>
      <c r="AZ421" s="62">
        <f t="shared" si="2742"/>
        <v>0</v>
      </c>
      <c r="BA421" s="62">
        <f t="shared" si="2743"/>
        <v>124.99999999999523</v>
      </c>
      <c r="BB421" s="56"/>
      <c r="BE421" s="55">
        <f t="shared" si="2744"/>
        <v>46382</v>
      </c>
      <c r="BF421" s="56"/>
      <c r="BG421" s="63">
        <f>SUMPRODUCT(PRODUCE!$B414:$DY414,PRODUCE!$EB$13:$IY$13)</f>
        <v>0</v>
      </c>
      <c r="BH421" s="56"/>
      <c r="BI421" s="63">
        <f t="shared" si="2745"/>
        <v>0</v>
      </c>
      <c r="BJ421" s="63">
        <f t="shared" si="2746"/>
        <v>26151.899999999998</v>
      </c>
      <c r="BK421" s="56"/>
      <c r="BN421" s="55">
        <f t="shared" si="2747"/>
        <v>46382</v>
      </c>
      <c r="BO421" s="56"/>
      <c r="BP421" s="64">
        <f>SUMPRODUCT(PRODUCE!$B414:$DY414,PRODUCE!$EB$14:$IY$14)</f>
        <v>0</v>
      </c>
      <c r="BQ421" s="56"/>
      <c r="BR421" s="64">
        <f t="shared" si="2748"/>
        <v>0</v>
      </c>
      <c r="BS421" s="64">
        <f t="shared" si="2749"/>
        <v>0</v>
      </c>
      <c r="BT421" s="56"/>
      <c r="BW421" s="55">
        <f t="shared" si="2750"/>
        <v>46382</v>
      </c>
      <c r="BX421" s="56"/>
      <c r="BY421" s="65">
        <f>SUMPRODUCT(PRODUCE!$B414:$DY414,PRODUCE!$EB$15:$IY$15)</f>
        <v>0</v>
      </c>
      <c r="BZ421" s="56"/>
      <c r="CA421" s="65">
        <f t="shared" si="2751"/>
        <v>0</v>
      </c>
      <c r="CB421" s="65">
        <f t="shared" si="2752"/>
        <v>2097.3399999999992</v>
      </c>
      <c r="CC421" s="56"/>
      <c r="CF421" s="55">
        <f t="shared" si="2753"/>
        <v>46382</v>
      </c>
      <c r="CG421" s="56"/>
      <c r="CH421" s="66">
        <f>SUMPRODUCT(PRODUCE!$B414:$DY414,PRODUCE!$EB$16:$IY$16)</f>
        <v>0</v>
      </c>
      <c r="CI421" s="56"/>
      <c r="CJ421" s="66">
        <f t="shared" si="2754"/>
        <v>0</v>
      </c>
      <c r="CK421" s="66">
        <f t="shared" si="2755"/>
        <v>-10277.079999999998</v>
      </c>
      <c r="CL421" s="56"/>
      <c r="CO421" s="55">
        <f t="shared" si="2756"/>
        <v>46382</v>
      </c>
      <c r="CP421" s="422"/>
      <c r="CQ421" s="470">
        <f>SUMPRODUCT(PRODUCE!$B414:$DY414,PRODUCE!$EB$17:$IY$17)</f>
        <v>0</v>
      </c>
      <c r="CR421" s="422"/>
      <c r="CS421" s="470">
        <f t="shared" si="2757"/>
        <v>0</v>
      </c>
      <c r="CT421" s="470">
        <f t="shared" si="2758"/>
        <v>0</v>
      </c>
      <c r="CU421" s="56"/>
      <c r="CX421" s="55">
        <f t="shared" si="2759"/>
        <v>46382</v>
      </c>
      <c r="CY421" s="56"/>
      <c r="CZ421" s="133">
        <f>SUMPRODUCT(PRODUCE!$B414:$DY414,PRODUCE!$EB$18:$IY$18)</f>
        <v>0</v>
      </c>
      <c r="DA421" s="56"/>
      <c r="DB421" s="133">
        <f t="shared" si="2760"/>
        <v>0</v>
      </c>
      <c r="DC421" s="133">
        <f t="shared" si="2761"/>
        <v>27438.200000000012</v>
      </c>
      <c r="DD421" s="56"/>
      <c r="DG421" s="55">
        <f t="shared" si="2762"/>
        <v>46382</v>
      </c>
      <c r="DH421" s="56"/>
      <c r="DI421" s="147">
        <f>SUMPRODUCT(PRODUCE!$B414:$DY414,PRODUCE!$EB$19:$IY$19)</f>
        <v>0</v>
      </c>
      <c r="DJ421" s="56"/>
      <c r="DK421" s="147">
        <f t="shared" si="2763"/>
        <v>0</v>
      </c>
      <c r="DL421" s="147">
        <f t="shared" si="2764"/>
        <v>18782.299999999981</v>
      </c>
      <c r="DM421" s="56"/>
      <c r="DP421" s="55">
        <f t="shared" si="2765"/>
        <v>46382</v>
      </c>
      <c r="DQ421" s="56"/>
      <c r="DR421" s="57">
        <f>SUMPRODUCT(PRODUCE!$B414:$DY414,PRODUCE!$EB$20:$IY$20)</f>
        <v>0</v>
      </c>
      <c r="DS421" s="56"/>
      <c r="DT421" s="57">
        <f t="shared" si="2766"/>
        <v>0</v>
      </c>
      <c r="DU421" s="57">
        <f t="shared" si="2767"/>
        <v>5800</v>
      </c>
      <c r="DV421" s="56"/>
      <c r="DY421" s="55">
        <f t="shared" si="2768"/>
        <v>46382</v>
      </c>
      <c r="DZ421" s="56"/>
      <c r="EA421" s="157">
        <f>SUMPRODUCT(PRODUCE!$B414:$DY414,PRODUCE!$EB$21:$IY$21)</f>
        <v>0</v>
      </c>
      <c r="EB421" s="56"/>
      <c r="EC421" s="157">
        <f t="shared" si="2769"/>
        <v>0</v>
      </c>
      <c r="ED421" s="157">
        <f t="shared" si="2770"/>
        <v>0</v>
      </c>
      <c r="EE421" s="56"/>
      <c r="EH421" s="55">
        <f t="shared" si="2771"/>
        <v>46382</v>
      </c>
      <c r="EI421" s="56"/>
      <c r="EJ421" s="162">
        <f>SUMPRODUCT(PRODUCE!$B414:$DY414,PRODUCE!$EB$22:$IY$22)</f>
        <v>0</v>
      </c>
      <c r="EK421" s="56"/>
      <c r="EL421" s="162">
        <f t="shared" si="2772"/>
        <v>0</v>
      </c>
      <c r="EM421" s="162">
        <f t="shared" si="2773"/>
        <v>0</v>
      </c>
      <c r="EN421" s="56"/>
      <c r="EQ421" s="55">
        <f t="shared" si="2774"/>
        <v>46382</v>
      </c>
      <c r="ER421" s="56"/>
      <c r="ES421" s="135">
        <f>SUMPRODUCT(PRODUCE!$B414:$DY414,PRODUCE!$EB$23:$IY$23)</f>
        <v>0</v>
      </c>
      <c r="ET421" s="56"/>
      <c r="EU421" s="135">
        <f t="shared" si="2775"/>
        <v>0</v>
      </c>
      <c r="EV421" s="135">
        <f t="shared" si="2776"/>
        <v>0</v>
      </c>
      <c r="EW421" s="56"/>
      <c r="EZ421" s="55">
        <f t="shared" si="2777"/>
        <v>46382</v>
      </c>
      <c r="FA421" s="56"/>
      <c r="FB421" s="175">
        <f>SUMPRODUCT(PRODUCE!$B414:$DY414,PRODUCE!$EB$24:$IY$24)</f>
        <v>0</v>
      </c>
      <c r="FC421" s="56"/>
      <c r="FD421" s="175">
        <f t="shared" si="2778"/>
        <v>0</v>
      </c>
      <c r="FE421" s="175">
        <f t="shared" si="2779"/>
        <v>0</v>
      </c>
      <c r="FF421" s="56"/>
      <c r="FI421" s="55">
        <f t="shared" si="2780"/>
        <v>46382</v>
      </c>
      <c r="FJ421" s="56"/>
      <c r="FK421" s="183">
        <f>SUMPRODUCT(PRODUCE!$B414:$DY414,PRODUCE!$EB$25:$IY$25)</f>
        <v>0</v>
      </c>
      <c r="FL421" s="56"/>
      <c r="FM421" s="183">
        <f t="shared" si="2781"/>
        <v>0</v>
      </c>
      <c r="FN421" s="183">
        <f t="shared" si="2782"/>
        <v>0</v>
      </c>
      <c r="FO421" s="56"/>
      <c r="FR421" s="55">
        <f t="shared" si="2783"/>
        <v>46382</v>
      </c>
      <c r="FS421" s="56"/>
      <c r="FT421" s="186">
        <f>SUMPRODUCT(PRODUCE!$B414:$DY414,PRODUCE!$EB$26:$IY$26)</f>
        <v>0</v>
      </c>
      <c r="FU421" s="56"/>
      <c r="FV421" s="186">
        <f t="shared" si="2784"/>
        <v>0</v>
      </c>
      <c r="FW421" s="186">
        <f t="shared" si="2785"/>
        <v>2020</v>
      </c>
      <c r="FX421" s="56"/>
      <c r="GA421" s="55">
        <f t="shared" si="2786"/>
        <v>46382</v>
      </c>
      <c r="GB421" s="56"/>
      <c r="GC421" s="137">
        <f>SUMPRODUCT(PRODUCE!$B414:$DY414,PRODUCE!$EB$27:$IY$27)</f>
        <v>0</v>
      </c>
      <c r="GD421" s="56"/>
      <c r="GE421" s="137">
        <f t="shared" si="2787"/>
        <v>0</v>
      </c>
      <c r="GF421" s="137">
        <f t="shared" si="2788"/>
        <v>960</v>
      </c>
      <c r="GG421" s="56"/>
      <c r="GI421" s="23"/>
      <c r="GJ421" s="55">
        <f t="shared" si="2789"/>
        <v>46382</v>
      </c>
      <c r="GK421" s="56"/>
      <c r="GL421" s="199">
        <f>SUMPRODUCT(PRODUCE!$B414:$DY414,PRODUCE!$EB$28:$IY$28)</f>
        <v>0</v>
      </c>
      <c r="GM421" s="56"/>
      <c r="GN421" s="199">
        <f t="shared" si="2790"/>
        <v>0</v>
      </c>
      <c r="GO421" s="199">
        <f t="shared" si="2791"/>
        <v>1760</v>
      </c>
      <c r="GP421" s="56"/>
      <c r="GS421" s="55">
        <f t="shared" si="2792"/>
        <v>46382</v>
      </c>
      <c r="GT421" s="56"/>
      <c r="GU421" s="195">
        <f>SUMPRODUCT(PRODUCE!$B414:$DY414,PRODUCE!$EB$29:$IY$29)</f>
        <v>0</v>
      </c>
      <c r="GV421" s="56"/>
      <c r="GW421" s="195">
        <f t="shared" si="2793"/>
        <v>0</v>
      </c>
      <c r="GX421" s="195">
        <f t="shared" si="2794"/>
        <v>400</v>
      </c>
      <c r="GY421" s="56"/>
      <c r="HB421" s="55">
        <f t="shared" si="2795"/>
        <v>46382</v>
      </c>
      <c r="HC421" s="56"/>
      <c r="HD421" s="191">
        <f>SUMPRODUCT(PRODUCE!$B414:$DY414,PRODUCE!$EB$30:$IY$30)</f>
        <v>0</v>
      </c>
      <c r="HE421" s="56"/>
      <c r="HF421" s="191">
        <f t="shared" si="2796"/>
        <v>0</v>
      </c>
      <c r="HG421" s="191">
        <f t="shared" si="2797"/>
        <v>3600</v>
      </c>
      <c r="HH421" s="56"/>
      <c r="HK421" s="55">
        <f t="shared" si="2798"/>
        <v>46382</v>
      </c>
      <c r="HL421" s="56"/>
      <c r="HM421" s="63">
        <f>SUMPRODUCT(PRODUCE!$B414:$DY414,PRODUCE!$EB$31:$IY$31)</f>
        <v>0</v>
      </c>
      <c r="HN421" s="56"/>
      <c r="HO421" s="63">
        <f t="shared" si="2799"/>
        <v>0</v>
      </c>
      <c r="HP421" s="63">
        <f t="shared" si="2800"/>
        <v>0</v>
      </c>
      <c r="HQ421" s="56"/>
      <c r="HU421" s="55">
        <f t="shared" si="2801"/>
        <v>46382</v>
      </c>
      <c r="HV421" s="56"/>
      <c r="HW421" s="242">
        <f>SUMPRODUCT(PRODUCE!$B414:$DY414,PRODUCE!$EB$32:$IY$32)</f>
        <v>0</v>
      </c>
      <c r="HX421" s="56"/>
      <c r="HY421" s="242">
        <f t="shared" si="2802"/>
        <v>0</v>
      </c>
      <c r="HZ421" s="242">
        <f t="shared" si="2803"/>
        <v>6120</v>
      </c>
      <c r="IA421" s="56"/>
      <c r="ID421" s="55">
        <f t="shared" si="2804"/>
        <v>46382</v>
      </c>
      <c r="IE421" s="56"/>
      <c r="IF421" s="242">
        <f>SUMPRODUCT(PRODUCE!$B414:$DY414,PRODUCE!$EB$33:$IY$33)</f>
        <v>0</v>
      </c>
      <c r="IG421" s="56"/>
      <c r="IH421" s="242">
        <f t="shared" si="2805"/>
        <v>0</v>
      </c>
      <c r="II421" s="242">
        <f t="shared" si="2806"/>
        <v>0</v>
      </c>
      <c r="IJ421" s="56"/>
      <c r="IM421" s="55">
        <f t="shared" si="2807"/>
        <v>46382</v>
      </c>
      <c r="IN421" s="56"/>
      <c r="IO421" s="242">
        <f>SUMPRODUCT(PRODUCE!$B414:$DY414,PRODUCE!$EB$34:$IY$34)</f>
        <v>0</v>
      </c>
      <c r="IP421" s="56"/>
      <c r="IQ421" s="242">
        <f t="shared" si="2808"/>
        <v>0</v>
      </c>
      <c r="IR421" s="242">
        <f t="shared" si="2809"/>
        <v>0</v>
      </c>
      <c r="IS421" s="56"/>
      <c r="IV421" s="55">
        <f t="shared" si="2810"/>
        <v>46382</v>
      </c>
      <c r="IW421" s="56"/>
      <c r="IX421" s="242">
        <f>SUMPRODUCT(PRODUCE!$B414:$DY414,PRODUCE!$EB$35:$IY$35)</f>
        <v>0</v>
      </c>
      <c r="IY421" s="56"/>
      <c r="IZ421" s="242">
        <f t="shared" si="2811"/>
        <v>0</v>
      </c>
      <c r="JA421" s="242">
        <f t="shared" si="2812"/>
        <v>2820</v>
      </c>
      <c r="JB421" s="56"/>
      <c r="JE421" s="55">
        <f t="shared" si="2813"/>
        <v>46382</v>
      </c>
      <c r="JF421" s="56"/>
      <c r="JG421" s="242">
        <f>SUMPRODUCT(PRODUCE!$B414:$DY414,PRODUCE!$EB$36:$IY$36)</f>
        <v>0</v>
      </c>
      <c r="JH421" s="56"/>
      <c r="JI421" s="242">
        <f t="shared" si="2814"/>
        <v>0</v>
      </c>
      <c r="JJ421" s="242">
        <f t="shared" si="2815"/>
        <v>0</v>
      </c>
      <c r="JK421" s="56"/>
      <c r="JN421" s="55">
        <f t="shared" si="2816"/>
        <v>46382</v>
      </c>
      <c r="JO421" s="56"/>
      <c r="JP421" s="242">
        <f>SUMPRODUCT(PRODUCE!$B414:$DY414,PRODUCE!$EB$37:$IY$37)</f>
        <v>0</v>
      </c>
      <c r="JQ421" s="56"/>
      <c r="JR421" s="242">
        <f t="shared" si="2817"/>
        <v>0</v>
      </c>
      <c r="JS421" s="242">
        <f t="shared" si="2818"/>
        <v>0</v>
      </c>
      <c r="JT421" s="56"/>
      <c r="JW421" s="55">
        <f t="shared" si="2819"/>
        <v>46382</v>
      </c>
      <c r="JX421" s="56"/>
      <c r="JY421" s="242">
        <f>SUMPRODUCT(PRODUCE!$B414:$DY414,PRODUCE!$EB$38:$IY$38)</f>
        <v>0</v>
      </c>
      <c r="JZ421" s="56"/>
      <c r="KA421" s="242">
        <f t="shared" si="2820"/>
        <v>0</v>
      </c>
      <c r="KB421" s="242">
        <f t="shared" si="2821"/>
        <v>2540</v>
      </c>
      <c r="KC421" s="56"/>
      <c r="KF421" s="55">
        <f t="shared" si="2822"/>
        <v>46382</v>
      </c>
      <c r="KG421" s="56"/>
      <c r="KH421" s="242">
        <f>SUMPRODUCT(PRODUCE!$B414:$DY414,PRODUCE!$EB$39:$IY$39)</f>
        <v>0</v>
      </c>
      <c r="KI421" s="56"/>
      <c r="KJ421" s="242">
        <f t="shared" si="2823"/>
        <v>0</v>
      </c>
      <c r="KK421" s="242">
        <f t="shared" si="2824"/>
        <v>2359.5</v>
      </c>
      <c r="KL421" s="56"/>
      <c r="KO421" s="55">
        <f t="shared" si="2825"/>
        <v>46382</v>
      </c>
      <c r="KP421" s="56"/>
      <c r="KQ421" s="242">
        <f>SUMPRODUCT(PRODUCE!$B414:$DY414,PRODUCE!$EB$40:$IY$40)</f>
        <v>0</v>
      </c>
      <c r="KR421" s="56"/>
      <c r="KS421" s="242">
        <f t="shared" si="2826"/>
        <v>0</v>
      </c>
      <c r="KT421" s="242">
        <f t="shared" si="2827"/>
        <v>1890</v>
      </c>
      <c r="KU421" s="56"/>
      <c r="KW421" s="23"/>
      <c r="KX421" s="55">
        <f t="shared" si="2828"/>
        <v>46382</v>
      </c>
      <c r="KY421" s="56"/>
      <c r="KZ421" s="242">
        <f>SUMPRODUCT(PRODUCE!$B414:$DY414,PRODUCE!$EB$41:$IY$41)</f>
        <v>0</v>
      </c>
      <c r="LA421" s="56"/>
      <c r="LB421" s="242">
        <f t="shared" si="2829"/>
        <v>0</v>
      </c>
      <c r="LC421" s="242">
        <f t="shared" si="2830"/>
        <v>3690</v>
      </c>
      <c r="LD421" s="56"/>
      <c r="LG421" s="55">
        <f t="shared" si="2831"/>
        <v>46382</v>
      </c>
      <c r="LH421" s="56"/>
      <c r="LI421" s="242">
        <f>SUMPRODUCT(PRODUCE!$B414:$DY414,PRODUCE!$EB$42:$IY$42)</f>
        <v>0</v>
      </c>
      <c r="LJ421" s="56"/>
      <c r="LK421" s="242">
        <f t="shared" si="2832"/>
        <v>0</v>
      </c>
      <c r="LL421" s="242">
        <f t="shared" si="2833"/>
        <v>4000</v>
      </c>
      <c r="LM421" s="56"/>
      <c r="LP421" s="55">
        <f t="shared" si="2834"/>
        <v>46382</v>
      </c>
      <c r="LQ421" s="56"/>
      <c r="LR421" s="242">
        <f>SUMPRODUCT(PRODUCE!$B436:$DY436,PRODUCE!$EB$43:$IY$43)</f>
        <v>0</v>
      </c>
      <c r="LS421" s="56"/>
      <c r="LT421" s="242">
        <f t="shared" si="2835"/>
        <v>0</v>
      </c>
      <c r="LU421" s="242">
        <f t="shared" si="2836"/>
        <v>0</v>
      </c>
      <c r="LV421" s="56"/>
      <c r="LY421" s="55">
        <f t="shared" si="2837"/>
        <v>46382</v>
      </c>
      <c r="LZ421" s="56"/>
      <c r="MA421" s="242">
        <f>SUMPRODUCT(PRODUCE!$B414:$DY414,PRODUCE!$EB$44:$IY$44)</f>
        <v>0</v>
      </c>
      <c r="MB421" s="56"/>
      <c r="MC421" s="242">
        <f t="shared" si="2838"/>
        <v>0</v>
      </c>
      <c r="MD421" s="242">
        <f t="shared" si="2839"/>
        <v>0</v>
      </c>
      <c r="ME421" s="56"/>
      <c r="MH421" s="55">
        <f t="shared" si="2840"/>
        <v>46382</v>
      </c>
      <c r="MI421" s="56"/>
      <c r="MJ421" s="242">
        <f>SUMPRODUCT(PRODUCE!$B414:$DY414,PRODUCE!$EB$45:$IY$45)</f>
        <v>0</v>
      </c>
      <c r="MK421" s="56"/>
      <c r="ML421" s="242">
        <f t="shared" si="2841"/>
        <v>0</v>
      </c>
      <c r="MM421" s="242">
        <f t="shared" si="2842"/>
        <v>-18</v>
      </c>
      <c r="MN421" s="56"/>
      <c r="MQ421" s="55">
        <f t="shared" si="2843"/>
        <v>46382</v>
      </c>
      <c r="MR421" s="56"/>
      <c r="MS421" s="242">
        <f>SUMPRODUCT(PRODUCE!$B414:$DY414,PRODUCE!$EB$46:$IY$46)</f>
        <v>0</v>
      </c>
      <c r="MT421" s="56"/>
      <c r="MU421" s="242">
        <f t="shared" si="2844"/>
        <v>0</v>
      </c>
      <c r="MV421" s="242">
        <f t="shared" si="2845"/>
        <v>1559</v>
      </c>
      <c r="MW421" s="56"/>
      <c r="MZ421" s="55">
        <f t="shared" si="2846"/>
        <v>46382</v>
      </c>
      <c r="NA421" s="56"/>
      <c r="NB421" s="242">
        <f>SUMPRODUCT(PRODUCE!$B414:$DY414,PRODUCE!$EB$47:$IY$47)</f>
        <v>0</v>
      </c>
      <c r="NC421" s="56"/>
      <c r="ND421" s="242">
        <f t="shared" si="2847"/>
        <v>0</v>
      </c>
      <c r="NE421" s="242">
        <f t="shared" si="2848"/>
        <v>0</v>
      </c>
      <c r="NF421" s="56"/>
      <c r="NI421" s="55">
        <f t="shared" si="2849"/>
        <v>46382</v>
      </c>
      <c r="NJ421" s="56"/>
      <c r="NK421" s="242">
        <f>SUMPRODUCT(PRODUCE!$B414:$DY414,PRODUCE!$EB$48:$IY$48)</f>
        <v>0</v>
      </c>
      <c r="NL421" s="56"/>
      <c r="NM421" s="242">
        <f t="shared" si="2850"/>
        <v>0</v>
      </c>
      <c r="NN421" s="242">
        <f t="shared" si="2851"/>
        <v>1127</v>
      </c>
      <c r="NO421" s="56"/>
      <c r="NR421" s="55">
        <f t="shared" si="2852"/>
        <v>46382</v>
      </c>
      <c r="NS421" s="56"/>
      <c r="NT421" s="242">
        <f>SUMPRODUCT(PRODUCE!$B414:$DY414,PRODUCE!$EB$49:$IY$49)</f>
        <v>0</v>
      </c>
      <c r="NU421" s="56"/>
      <c r="NV421" s="242">
        <f t="shared" si="2853"/>
        <v>0</v>
      </c>
      <c r="NW421" s="242">
        <f t="shared" si="2854"/>
        <v>3111.9999999999995</v>
      </c>
      <c r="NX421" s="56"/>
      <c r="OA421" s="55">
        <f t="shared" si="2855"/>
        <v>46382</v>
      </c>
      <c r="OB421" s="56"/>
      <c r="OC421" s="242">
        <f>SUMPRODUCT(PRODUCE!$B414:$DY414,PRODUCE!$EB$50:$IY$50)</f>
        <v>0</v>
      </c>
      <c r="OD421" s="56"/>
      <c r="OE421" s="242">
        <f t="shared" si="2856"/>
        <v>0</v>
      </c>
      <c r="OF421" s="242">
        <f t="shared" si="2857"/>
        <v>1680.5</v>
      </c>
      <c r="OG421" s="56"/>
      <c r="OJ421" s="55">
        <f t="shared" si="2858"/>
        <v>46382</v>
      </c>
      <c r="OK421" s="56"/>
      <c r="OL421" s="242">
        <f>SUMPRODUCT(PRODUCE!$B414:$DY414,PRODUCE!$EB$51:$IY$51)</f>
        <v>0</v>
      </c>
      <c r="OM421" s="56"/>
      <c r="ON421" s="242">
        <f t="shared" si="2859"/>
        <v>0</v>
      </c>
      <c r="OO421" s="242">
        <f t="shared" si="2860"/>
        <v>0</v>
      </c>
      <c r="OP421" s="56"/>
      <c r="OS421" s="55">
        <f t="shared" si="2861"/>
        <v>46382</v>
      </c>
      <c r="OT421" s="56"/>
      <c r="OU421" s="242">
        <f>SUMPRODUCT(PRODUCE!$B414:$DY414,PRODUCE!$EB$52:$IY$52)</f>
        <v>0</v>
      </c>
      <c r="OV421" s="56"/>
      <c r="OW421" s="242">
        <f t="shared" si="2862"/>
        <v>0</v>
      </c>
      <c r="OX421" s="242">
        <f t="shared" si="2863"/>
        <v>1482</v>
      </c>
      <c r="OY421" s="56"/>
      <c r="PB421" s="55">
        <f t="shared" si="2864"/>
        <v>46382</v>
      </c>
      <c r="PC421" s="56"/>
      <c r="PD421" s="242">
        <f>SUMPRODUCT(PRODUCE!$B414:$DY414,PRODUCE!$EB$53:$IY$53)</f>
        <v>0</v>
      </c>
      <c r="PE421" s="56"/>
      <c r="PF421" s="242">
        <f t="shared" si="2865"/>
        <v>0</v>
      </c>
      <c r="PG421" s="242">
        <f t="shared" si="2866"/>
        <v>0</v>
      </c>
      <c r="PH421" s="56"/>
      <c r="PK421" s="55">
        <f t="shared" si="2867"/>
        <v>46382</v>
      </c>
      <c r="PL421" s="56"/>
      <c r="PM421" s="242">
        <f>SUMPRODUCT(PRODUCE!$B414:$DY414,PRODUCE!$EB$54:$IY$54)</f>
        <v>0</v>
      </c>
      <c r="PN421" s="56"/>
      <c r="PO421" s="242">
        <f t="shared" si="2868"/>
        <v>0</v>
      </c>
      <c r="PP421" s="242">
        <f t="shared" si="2869"/>
        <v>100</v>
      </c>
      <c r="PQ421" s="56"/>
      <c r="PT421" s="55">
        <f t="shared" si="2870"/>
        <v>46382</v>
      </c>
      <c r="PU421" s="56"/>
      <c r="PV421" s="242">
        <f>SUMPRODUCT(PRODUCE!$B414:$DY414,PRODUCE!$EB$55:$IY$55)</f>
        <v>0</v>
      </c>
      <c r="PW421" s="56"/>
      <c r="PX421" s="242">
        <f t="shared" si="2871"/>
        <v>0</v>
      </c>
      <c r="PY421" s="242">
        <f t="shared" si="2872"/>
        <v>13.960000000000036</v>
      </c>
      <c r="PZ421" s="56"/>
      <c r="QC421" s="55">
        <f t="shared" si="2873"/>
        <v>46382</v>
      </c>
      <c r="QD421" s="56"/>
      <c r="QE421" s="242">
        <f>SUMPRODUCT(PRODUCE!$B414:$DY414,PRODUCE!$EB$56:$IY$56)</f>
        <v>0</v>
      </c>
      <c r="QF421" s="56"/>
      <c r="QG421" s="242">
        <f t="shared" si="2874"/>
        <v>0</v>
      </c>
      <c r="QH421" s="242">
        <f t="shared" si="2875"/>
        <v>548</v>
      </c>
      <c r="QI421" s="56"/>
      <c r="QL421" s="55">
        <f t="shared" si="2876"/>
        <v>46382</v>
      </c>
      <c r="QM421" s="56"/>
      <c r="QN421" s="242">
        <f>SUMPRODUCT(PRODUCE!$B414:$DY414,PRODUCE!$EB$57:$IY$57)</f>
        <v>0</v>
      </c>
      <c r="QO421" s="56"/>
      <c r="QP421" s="242">
        <f t="shared" si="2877"/>
        <v>0</v>
      </c>
      <c r="QQ421" s="242">
        <f t="shared" si="2878"/>
        <v>0</v>
      </c>
      <c r="QR421" s="56"/>
      <c r="QU421" s="55">
        <f t="shared" si="2879"/>
        <v>46382</v>
      </c>
      <c r="QV421" s="56"/>
      <c r="QW421" s="242">
        <f>SUMPRODUCT(PRODUCE!$B414:$DY414,PRODUCE!$EB$57:$IY$57)</f>
        <v>0</v>
      </c>
      <c r="QX421" s="56"/>
      <c r="QY421" s="242">
        <f t="shared" si="2880"/>
        <v>0</v>
      </c>
      <c r="QZ421" s="242">
        <f t="shared" si="2881"/>
        <v>0</v>
      </c>
      <c r="RA421" s="56"/>
      <c r="RD421" s="55">
        <f t="shared" si="2882"/>
        <v>46382</v>
      </c>
      <c r="RE421" s="56"/>
      <c r="RF421" s="242">
        <f>SUMPRODUCT(PRODUCE!$B414:$DY414,PRODUCE!$EB$58:$IY$58)</f>
        <v>0</v>
      </c>
      <c r="RG421" s="56"/>
      <c r="RH421" s="242">
        <f t="shared" si="2883"/>
        <v>0</v>
      </c>
      <c r="RI421" s="242">
        <f t="shared" si="2884"/>
        <v>147.04000000000002</v>
      </c>
      <c r="RJ421" s="56"/>
      <c r="RM421" s="55">
        <f t="shared" si="2885"/>
        <v>46382</v>
      </c>
      <c r="RN421" s="56"/>
      <c r="RO421" s="242">
        <f>SUMPRODUCT(PRODUCE!$B414:$DY414,PRODUCE!$EB$57:$IY$57)</f>
        <v>0</v>
      </c>
      <c r="RP421" s="56"/>
      <c r="RQ421" s="242">
        <f t="shared" si="2886"/>
        <v>0</v>
      </c>
      <c r="RR421" s="242">
        <f t="shared" si="2887"/>
        <v>46.8</v>
      </c>
      <c r="RS421" s="56"/>
      <c r="RV421" s="55">
        <f t="shared" si="2888"/>
        <v>46382</v>
      </c>
      <c r="RW421" s="56"/>
      <c r="RX421" s="242">
        <f>SUMPRODUCT(PRODUCE!$B414:$DY414,PRODUCE!$EB$57:$IY$57)</f>
        <v>0</v>
      </c>
      <c r="RY421" s="56"/>
      <c r="RZ421" s="242">
        <f t="shared" si="2889"/>
        <v>0</v>
      </c>
      <c r="SA421" s="242">
        <f t="shared" si="2890"/>
        <v>0</v>
      </c>
      <c r="SB421" s="56"/>
      <c r="SE421" s="55">
        <f t="shared" si="2891"/>
        <v>46382</v>
      </c>
      <c r="SF421" s="56"/>
      <c r="SG421" s="242">
        <f>SUMPRODUCT(PRODUCE!$B414:$DY414,PRODUCE!$EB$61:$IY$61)</f>
        <v>0</v>
      </c>
      <c r="SH421" s="56"/>
      <c r="SI421" s="242">
        <f t="shared" si="2892"/>
        <v>0</v>
      </c>
      <c r="SJ421" s="242">
        <f t="shared" si="2893"/>
        <v>24.200000000000003</v>
      </c>
      <c r="SK421" s="56"/>
      <c r="SN421" s="55">
        <f t="shared" si="2894"/>
        <v>46382</v>
      </c>
      <c r="SO421" s="56"/>
      <c r="SP421" s="242">
        <f>SUMPRODUCT(PRODUCE!$B414:$DY414,PRODUCE!$EB$57:$IY$57)</f>
        <v>0</v>
      </c>
      <c r="SQ421" s="56"/>
      <c r="SR421" s="242">
        <f t="shared" si="2895"/>
        <v>0</v>
      </c>
      <c r="SS421" s="242">
        <f t="shared" si="2896"/>
        <v>32</v>
      </c>
      <c r="ST421" s="56"/>
      <c r="SW421" s="55">
        <f t="shared" si="2897"/>
        <v>46382</v>
      </c>
      <c r="SX421" s="56"/>
      <c r="SY421" s="242">
        <f>SUMPRODUCT(PRODUCE!$B414:$DY414,PRODUCE!$EB$57:$IY$57)</f>
        <v>0</v>
      </c>
      <c r="SZ421" s="56"/>
      <c r="TA421" s="242">
        <f t="shared" si="2898"/>
        <v>0</v>
      </c>
      <c r="TB421" s="242">
        <f t="shared" si="2899"/>
        <v>0</v>
      </c>
      <c r="TC421" s="56"/>
      <c r="TF421" s="55">
        <f t="shared" si="2900"/>
        <v>46382</v>
      </c>
      <c r="TG421" s="56"/>
      <c r="TH421" s="242">
        <f>SUMPRODUCT(PRODUCE!$B414:$DY414,PRODUCE!$EB$57:$IY$57)</f>
        <v>0</v>
      </c>
      <c r="TI421" s="56"/>
      <c r="TJ421" s="242">
        <f t="shared" si="2901"/>
        <v>0</v>
      </c>
      <c r="TK421" s="242">
        <f t="shared" si="2902"/>
        <v>0</v>
      </c>
      <c r="TL421" s="56"/>
      <c r="TO421" s="55">
        <f t="shared" si="2903"/>
        <v>46382</v>
      </c>
      <c r="TP421" s="56"/>
      <c r="TQ421" s="242">
        <f>SUMPRODUCT(PRODUCE!$B414:$DY414,PRODUCE!$EB$57:$IY$57)</f>
        <v>0</v>
      </c>
      <c r="TR421" s="56"/>
      <c r="TS421" s="242">
        <f t="shared" si="2904"/>
        <v>0</v>
      </c>
      <c r="TT421" s="242">
        <f t="shared" si="2905"/>
        <v>0</v>
      </c>
      <c r="TU421" s="56"/>
      <c r="TX421" s="55">
        <f t="shared" si="2906"/>
        <v>46382</v>
      </c>
      <c r="TY421" s="56"/>
      <c r="TZ421" s="242">
        <f>SUMPRODUCT(PRODUCE!$B414:$DY414,PRODUCE!$EB$57:$IY$57)</f>
        <v>0</v>
      </c>
      <c r="UA421" s="56"/>
      <c r="UB421" s="242">
        <f t="shared" si="2907"/>
        <v>0</v>
      </c>
      <c r="UC421" s="242">
        <f t="shared" si="2908"/>
        <v>46.799999999999983</v>
      </c>
      <c r="UD421" s="56"/>
      <c r="UG421" s="55">
        <f t="shared" si="2909"/>
        <v>46382</v>
      </c>
      <c r="UH421" s="56"/>
      <c r="UI421" s="242">
        <f>SUMPRODUCT(PRODUCE!$B414:$DY414,PRODUCE!$EB$57:$IY$57)</f>
        <v>0</v>
      </c>
      <c r="UJ421" s="56"/>
      <c r="UK421" s="242">
        <f t="shared" si="2910"/>
        <v>0</v>
      </c>
      <c r="UL421" s="242">
        <f t="shared" si="2911"/>
        <v>204</v>
      </c>
      <c r="UM421" s="56"/>
      <c r="UP421" s="55">
        <f t="shared" si="2912"/>
        <v>46382</v>
      </c>
      <c r="UQ421" s="56"/>
      <c r="UR421" s="242">
        <f>SUMPRODUCT(PRODUCE!$B414:$DY414,PRODUCE!$EB$57:$IY$57)</f>
        <v>0</v>
      </c>
      <c r="US421" s="56"/>
      <c r="UT421" s="242">
        <f t="shared" si="2913"/>
        <v>0</v>
      </c>
      <c r="UU421" s="242">
        <f t="shared" si="2914"/>
        <v>202.5</v>
      </c>
      <c r="UV421" s="56"/>
      <c r="UY421" s="55">
        <f t="shared" si="2915"/>
        <v>46382</v>
      </c>
      <c r="UZ421" s="56"/>
      <c r="VA421" s="242">
        <f>SUMPRODUCT(PRODUCE!$B414:$DY414,PRODUCE!$EB$57:$IY$57)</f>
        <v>0</v>
      </c>
      <c r="VB421" s="56"/>
      <c r="VC421" s="242">
        <f t="shared" si="2916"/>
        <v>0</v>
      </c>
      <c r="VD421" s="242">
        <f t="shared" si="2917"/>
        <v>41.600000000000023</v>
      </c>
      <c r="VE421" s="56"/>
      <c r="VH421" s="55">
        <f t="shared" si="2918"/>
        <v>46382</v>
      </c>
      <c r="VI421" s="56"/>
      <c r="VJ421" s="242">
        <f>SUMPRODUCT(PRODUCE!$B414:$DY414,PRODUCE!$EB$57:$IY$57)</f>
        <v>0</v>
      </c>
      <c r="VK421" s="56"/>
      <c r="VL421" s="242">
        <f t="shared" si="2919"/>
        <v>0</v>
      </c>
      <c r="VM421" s="242">
        <f t="shared" si="2920"/>
        <v>210</v>
      </c>
      <c r="VN421" s="56"/>
      <c r="VQ421" s="55">
        <f t="shared" si="2921"/>
        <v>46382</v>
      </c>
      <c r="VR421" s="56"/>
      <c r="VS421" s="242">
        <f>SUMPRODUCT(PRODUCE!$B414:$DY414,PRODUCE!$EB$57:$IY$57)</f>
        <v>0</v>
      </c>
      <c r="VT421" s="56"/>
      <c r="VU421" s="242">
        <f t="shared" si="2922"/>
        <v>0</v>
      </c>
      <c r="VV421" s="242">
        <f t="shared" si="2923"/>
        <v>0</v>
      </c>
      <c r="VW421" s="56"/>
      <c r="VZ421" s="55">
        <f t="shared" si="2924"/>
        <v>46382</v>
      </c>
      <c r="WA421" s="56"/>
      <c r="WB421" s="242">
        <f>SUMPRODUCT(PRODUCE!$B414:$DY414,PRODUCE!$EB$57:$IY$57)</f>
        <v>0</v>
      </c>
      <c r="WC421" s="56"/>
      <c r="WD421" s="242">
        <f t="shared" si="2925"/>
        <v>0</v>
      </c>
      <c r="WE421" s="242">
        <f t="shared" si="2926"/>
        <v>0</v>
      </c>
      <c r="WF421" s="56"/>
      <c r="WI421" s="55">
        <f t="shared" si="2927"/>
        <v>46382</v>
      </c>
      <c r="WJ421" s="56"/>
      <c r="WK421" s="242">
        <f>SUMPRODUCT(PRODUCE!$B414:$DY414,PRODUCE!$EB$57:$IY$57)</f>
        <v>0</v>
      </c>
      <c r="WL421" s="56"/>
      <c r="WM421" s="242">
        <f t="shared" si="2928"/>
        <v>0</v>
      </c>
      <c r="WN421" s="242">
        <f t="shared" si="2929"/>
        <v>1057</v>
      </c>
      <c r="WO421" s="56"/>
      <c r="WR421" s="55">
        <f t="shared" si="2930"/>
        <v>46382</v>
      </c>
      <c r="WS421" s="56"/>
      <c r="WT421" s="242">
        <f>SUMPRODUCT(PRODUCE!$B414:$DY414,PRODUCE!$EB$57:$IY$57)</f>
        <v>0</v>
      </c>
      <c r="WU421" s="56"/>
      <c r="WV421" s="242">
        <f t="shared" si="2931"/>
        <v>0</v>
      </c>
      <c r="WW421" s="242">
        <f t="shared" si="2932"/>
        <v>0</v>
      </c>
      <c r="WX421" s="56"/>
      <c r="XA421" s="55">
        <f t="shared" si="2933"/>
        <v>46382</v>
      </c>
      <c r="XB421" s="56"/>
      <c r="XC421" s="242">
        <f>SUMPRODUCT(PRODUCE!$B414:$DY414,PRODUCE!$EB$57:$IY$57)</f>
        <v>0</v>
      </c>
      <c r="XD421" s="56"/>
      <c r="XE421" s="242">
        <f t="shared" si="2934"/>
        <v>0</v>
      </c>
      <c r="XF421" s="242">
        <f t="shared" si="2935"/>
        <v>7507</v>
      </c>
      <c r="XG421" s="56"/>
      <c r="XJ421" s="55">
        <f t="shared" si="2936"/>
        <v>46382</v>
      </c>
      <c r="XK421" s="56"/>
      <c r="XL421" s="242">
        <f>SUMPRODUCT(PRODUCE!$B414:$DY414,PRODUCE!$EB$57:$IY$57)</f>
        <v>0</v>
      </c>
      <c r="XM421" s="56"/>
      <c r="XN421" s="242">
        <f t="shared" si="2937"/>
        <v>0</v>
      </c>
      <c r="XO421" s="242">
        <f t="shared" si="2938"/>
        <v>4252</v>
      </c>
      <c r="XP421" s="56"/>
      <c r="XS421" s="55">
        <f t="shared" si="2939"/>
        <v>46382</v>
      </c>
      <c r="XT421" s="56"/>
      <c r="XU421" s="242">
        <f>SUMPRODUCT(PRODUCE!$B414:$DY414,PRODUCE!$EB$57:$IY$57)</f>
        <v>0</v>
      </c>
      <c r="XV421" s="56"/>
      <c r="XW421" s="242">
        <f t="shared" si="2940"/>
        <v>0</v>
      </c>
      <c r="XX421" s="242">
        <f t="shared" si="2941"/>
        <v>2179</v>
      </c>
      <c r="XY421" s="56"/>
      <c r="YB421" s="55">
        <f t="shared" si="2942"/>
        <v>46382</v>
      </c>
      <c r="YC421" s="56"/>
      <c r="YD421" s="242">
        <f>SUMPRODUCT(PRODUCE!$B414:$DY414,PRODUCE!$EB$57:$IY$57)</f>
        <v>0</v>
      </c>
      <c r="YE421" s="56"/>
      <c r="YF421" s="242">
        <f t="shared" si="2943"/>
        <v>0</v>
      </c>
      <c r="YG421" s="242">
        <f t="shared" si="2944"/>
        <v>4019</v>
      </c>
      <c r="YH421" s="56"/>
      <c r="YK421" s="55">
        <f t="shared" si="2945"/>
        <v>46382</v>
      </c>
      <c r="YL421" s="56"/>
      <c r="YM421" s="242">
        <f>SUMPRODUCT(PRODUCE!$B414:$DY414,PRODUCE!$EB$57:$IY$57)</f>
        <v>0</v>
      </c>
      <c r="YN421" s="56"/>
      <c r="YO421" s="242">
        <f t="shared" si="2946"/>
        <v>0</v>
      </c>
      <c r="YP421" s="242">
        <f t="shared" si="2947"/>
        <v>-218</v>
      </c>
      <c r="YQ421" s="56"/>
      <c r="YT421" s="55">
        <f t="shared" si="2948"/>
        <v>46382</v>
      </c>
      <c r="YU421" s="56"/>
      <c r="YV421" s="242">
        <f>SUMPRODUCT(PRODUCE!$B414:$DY414,PRODUCE!$EB$57:$IY$57)</f>
        <v>0</v>
      </c>
      <c r="YW421" s="56"/>
      <c r="YX421" s="242">
        <f t="shared" si="2949"/>
        <v>0</v>
      </c>
      <c r="YY421" s="242">
        <f t="shared" si="2950"/>
        <v>0</v>
      </c>
      <c r="YZ421" s="56"/>
      <c r="ZC421" s="55">
        <f t="shared" si="2951"/>
        <v>46382</v>
      </c>
      <c r="ZD421" s="56"/>
      <c r="ZE421" s="242">
        <f>SUMPRODUCT(PRODUCE!$B414:$DY414,PRODUCE!$EB$57:$IY$57)</f>
        <v>0</v>
      </c>
      <c r="ZF421" s="56"/>
      <c r="ZG421" s="242">
        <f t="shared" si="2952"/>
        <v>0</v>
      </c>
      <c r="ZH421" s="242">
        <f t="shared" si="2953"/>
        <v>0</v>
      </c>
      <c r="ZI421" s="56"/>
      <c r="ZL421" s="55">
        <f t="shared" si="2954"/>
        <v>46382</v>
      </c>
      <c r="ZM421" s="56"/>
      <c r="ZN421" s="242">
        <f>SUMPRODUCT(PRODUCE!$B414:$DY414,PRODUCE!$EB$57:$IY$57)</f>
        <v>0</v>
      </c>
      <c r="ZO421" s="56"/>
      <c r="ZP421" s="242">
        <f t="shared" si="2955"/>
        <v>0</v>
      </c>
      <c r="ZQ421" s="242">
        <f t="shared" si="2956"/>
        <v>0</v>
      </c>
      <c r="ZR421" s="56"/>
      <c r="ZU421" s="55">
        <f t="shared" si="2957"/>
        <v>46382</v>
      </c>
      <c r="ZV421" s="56"/>
      <c r="ZW421" s="242">
        <f>SUMPRODUCT(PRODUCE!$B414:$DY414,PRODUCE!$EB$57:$IY$57)</f>
        <v>0</v>
      </c>
      <c r="ZX421" s="56"/>
      <c r="ZY421" s="242">
        <f t="shared" si="2958"/>
        <v>0</v>
      </c>
      <c r="ZZ421" s="242">
        <f t="shared" si="2959"/>
        <v>0</v>
      </c>
      <c r="AAA421" s="56"/>
      <c r="AAD421" s="55">
        <f t="shared" si="2960"/>
        <v>46382</v>
      </c>
      <c r="AAE421" s="56"/>
      <c r="AAF421" s="242">
        <f>SUMPRODUCT(PRODUCE!$B414:$DY414,PRODUCE!$EB$57:$IY$57)</f>
        <v>0</v>
      </c>
      <c r="AAG421" s="56"/>
      <c r="AAH421" s="242">
        <f t="shared" si="2961"/>
        <v>0</v>
      </c>
      <c r="AAI421" s="242">
        <f t="shared" si="2962"/>
        <v>0</v>
      </c>
      <c r="AAJ421" s="56"/>
      <c r="AAM421" s="55">
        <f t="shared" si="2963"/>
        <v>46382</v>
      </c>
      <c r="AAN421" s="56"/>
      <c r="AAO421" s="242">
        <f>SUMPRODUCT(PRODUCE!$B414:$DY414,PRODUCE!$EB$57:$IY$57)</f>
        <v>0</v>
      </c>
      <c r="AAP421" s="56"/>
      <c r="AAQ421" s="242">
        <f t="shared" si="2964"/>
        <v>0</v>
      </c>
      <c r="AAR421" s="242">
        <f t="shared" si="2965"/>
        <v>0</v>
      </c>
      <c r="AAS421" s="56"/>
      <c r="AAV421" s="55">
        <f t="shared" si="2966"/>
        <v>46382</v>
      </c>
      <c r="AAW421" s="56"/>
      <c r="AAX421" s="242">
        <f>SUMPRODUCT(PRODUCE!$B414:$DY414,PRODUCE!$EB$57:$IY$57)</f>
        <v>0</v>
      </c>
      <c r="AAY421" s="56"/>
      <c r="AAZ421" s="242">
        <f t="shared" si="2967"/>
        <v>0</v>
      </c>
      <c r="ABA421" s="242">
        <f t="shared" si="2968"/>
        <v>0</v>
      </c>
      <c r="ABB421" s="56"/>
      <c r="ABE421" s="55">
        <f t="shared" si="2969"/>
        <v>46382</v>
      </c>
      <c r="ABF421" s="56"/>
      <c r="ABG421" s="242">
        <f>SUMPRODUCT(PRODUCE!$B414:$DY414,PRODUCE!$EB$57:$IY$57)</f>
        <v>0</v>
      </c>
      <c r="ABH421" s="56"/>
      <c r="ABI421" s="242">
        <f t="shared" si="2970"/>
        <v>0</v>
      </c>
      <c r="ABJ421" s="242">
        <f t="shared" si="2971"/>
        <v>0</v>
      </c>
      <c r="ABK421" s="56"/>
    </row>
    <row r="422" spans="2:739" s="54" customFormat="1" ht="15" customHeight="1" outlineLevel="1">
      <c r="B422" s="478"/>
      <c r="C422" s="55">
        <v>46383</v>
      </c>
      <c r="D422" s="56"/>
      <c r="E422" s="57">
        <f>SUMPRODUCT(PRODUCE!$B415:$DY415,PRODUCE!$EB$7:$IY$7)</f>
        <v>0</v>
      </c>
      <c r="F422" s="56"/>
      <c r="G422" s="57">
        <f t="shared" si="2727"/>
        <v>0</v>
      </c>
      <c r="H422" s="57">
        <f t="shared" si="2728"/>
        <v>236936.6</v>
      </c>
      <c r="I422" s="289"/>
      <c r="L422" s="55">
        <f t="shared" si="2729"/>
        <v>46383</v>
      </c>
      <c r="M422" s="56"/>
      <c r="N422" s="59">
        <f>SUMPRODUCT(PRODUCE!$B415:$DY415,PRODUCE!$EB$8:$IY$8)</f>
        <v>0</v>
      </c>
      <c r="O422" s="56"/>
      <c r="P422" s="59">
        <f t="shared" si="2730"/>
        <v>0</v>
      </c>
      <c r="Q422" s="59">
        <f t="shared" si="2731"/>
        <v>53017.600000000071</v>
      </c>
      <c r="R422" s="56"/>
      <c r="U422" s="55">
        <f t="shared" si="2732"/>
        <v>46383</v>
      </c>
      <c r="V422" s="56"/>
      <c r="W422" s="60">
        <f>SUMPRODUCT(PRODUCE!$B415:$DY415,PRODUCE!$EB$9:$IY$9)</f>
        <v>0</v>
      </c>
      <c r="X422" s="56"/>
      <c r="Y422" s="60">
        <f t="shared" si="2733"/>
        <v>0</v>
      </c>
      <c r="Z422" s="60">
        <f t="shared" si="2734"/>
        <v>42674.199999999968</v>
      </c>
      <c r="AA422" s="56"/>
      <c r="AD422" s="55">
        <f t="shared" si="2735"/>
        <v>46383</v>
      </c>
      <c r="AE422" s="56"/>
      <c r="AF422" s="61">
        <f>SUMPRODUCT(PRODUCE!$B415:$DY415,PRODUCE!$EB$10:$IY$10)</f>
        <v>0</v>
      </c>
      <c r="AG422" s="56"/>
      <c r="AH422" s="61">
        <f t="shared" si="2736"/>
        <v>0</v>
      </c>
      <c r="AI422" s="61">
        <f t="shared" si="2737"/>
        <v>4522.2000000000189</v>
      </c>
      <c r="AJ422" s="56"/>
      <c r="AM422" s="55">
        <f t="shared" si="2738"/>
        <v>46383</v>
      </c>
      <c r="AN422" s="422"/>
      <c r="AO422" s="444">
        <f>SUMPRODUCT(PRODUCE!$B415:$DY415,PRODUCE!$EB$11:$IY$11)</f>
        <v>0</v>
      </c>
      <c r="AP422" s="422"/>
      <c r="AQ422" s="444">
        <f t="shared" si="2739"/>
        <v>0</v>
      </c>
      <c r="AR422" s="444">
        <f t="shared" si="2740"/>
        <v>0</v>
      </c>
      <c r="AS422" s="56"/>
      <c r="AV422" s="55">
        <f t="shared" si="2741"/>
        <v>46383</v>
      </c>
      <c r="AW422" s="56"/>
      <c r="AX422" s="62">
        <f>SUMPRODUCT(PRODUCE!$B415:$DY415,PRODUCE!$EB$12:$IY$12)</f>
        <v>0</v>
      </c>
      <c r="AY422" s="56"/>
      <c r="AZ422" s="62">
        <f t="shared" si="2742"/>
        <v>0</v>
      </c>
      <c r="BA422" s="62">
        <f t="shared" si="2743"/>
        <v>124.99999999999523</v>
      </c>
      <c r="BB422" s="56"/>
      <c r="BE422" s="55">
        <f t="shared" si="2744"/>
        <v>46383</v>
      </c>
      <c r="BF422" s="56"/>
      <c r="BG422" s="63">
        <f>SUMPRODUCT(PRODUCE!$B415:$DY415,PRODUCE!$EB$13:$IY$13)</f>
        <v>0</v>
      </c>
      <c r="BH422" s="56"/>
      <c r="BI422" s="63">
        <f t="shared" si="2745"/>
        <v>0</v>
      </c>
      <c r="BJ422" s="63">
        <f t="shared" si="2746"/>
        <v>26151.899999999998</v>
      </c>
      <c r="BK422" s="56"/>
      <c r="BN422" s="55">
        <f t="shared" si="2747"/>
        <v>46383</v>
      </c>
      <c r="BO422" s="56"/>
      <c r="BP422" s="64">
        <f>SUMPRODUCT(PRODUCE!$B415:$DY415,PRODUCE!$EB$14:$IY$14)</f>
        <v>0</v>
      </c>
      <c r="BQ422" s="56"/>
      <c r="BR422" s="64">
        <f t="shared" si="2748"/>
        <v>0</v>
      </c>
      <c r="BS422" s="64">
        <f t="shared" si="2749"/>
        <v>0</v>
      </c>
      <c r="BT422" s="56"/>
      <c r="BW422" s="55">
        <f t="shared" si="2750"/>
        <v>46383</v>
      </c>
      <c r="BX422" s="56"/>
      <c r="BY422" s="65">
        <f>SUMPRODUCT(PRODUCE!$B415:$DY415,PRODUCE!$EB$15:$IY$15)</f>
        <v>0</v>
      </c>
      <c r="BZ422" s="56"/>
      <c r="CA422" s="65">
        <f t="shared" si="2751"/>
        <v>0</v>
      </c>
      <c r="CB422" s="65">
        <f t="shared" si="2752"/>
        <v>2097.3399999999992</v>
      </c>
      <c r="CC422" s="56"/>
      <c r="CF422" s="55">
        <f t="shared" si="2753"/>
        <v>46383</v>
      </c>
      <c r="CG422" s="56"/>
      <c r="CH422" s="66">
        <f>SUMPRODUCT(PRODUCE!$B415:$DY415,PRODUCE!$EB$16:$IY$16)</f>
        <v>0</v>
      </c>
      <c r="CI422" s="56"/>
      <c r="CJ422" s="66">
        <f t="shared" si="2754"/>
        <v>0</v>
      </c>
      <c r="CK422" s="66">
        <f t="shared" si="2755"/>
        <v>-10277.079999999998</v>
      </c>
      <c r="CL422" s="56"/>
      <c r="CO422" s="55">
        <f t="shared" si="2756"/>
        <v>46383</v>
      </c>
      <c r="CP422" s="422"/>
      <c r="CQ422" s="470">
        <f>SUMPRODUCT(PRODUCE!$B415:$DY415,PRODUCE!$EB$17:$IY$17)</f>
        <v>0</v>
      </c>
      <c r="CR422" s="422"/>
      <c r="CS422" s="470">
        <f t="shared" si="2757"/>
        <v>0</v>
      </c>
      <c r="CT422" s="470">
        <f t="shared" si="2758"/>
        <v>0</v>
      </c>
      <c r="CU422" s="56"/>
      <c r="CX422" s="55">
        <f t="shared" si="2759"/>
        <v>46383</v>
      </c>
      <c r="CY422" s="56"/>
      <c r="CZ422" s="133">
        <f>SUMPRODUCT(PRODUCE!$B415:$DY415,PRODUCE!$EB$18:$IY$18)</f>
        <v>0</v>
      </c>
      <c r="DA422" s="56"/>
      <c r="DB422" s="133">
        <f t="shared" si="2760"/>
        <v>0</v>
      </c>
      <c r="DC422" s="133">
        <f t="shared" si="2761"/>
        <v>27438.200000000012</v>
      </c>
      <c r="DD422" s="56"/>
      <c r="DG422" s="55">
        <f t="shared" si="2762"/>
        <v>46383</v>
      </c>
      <c r="DH422" s="56"/>
      <c r="DI422" s="147">
        <f>SUMPRODUCT(PRODUCE!$B415:$DY415,PRODUCE!$EB$19:$IY$19)</f>
        <v>0</v>
      </c>
      <c r="DJ422" s="56"/>
      <c r="DK422" s="147">
        <f t="shared" si="2763"/>
        <v>0</v>
      </c>
      <c r="DL422" s="147">
        <f t="shared" si="2764"/>
        <v>18782.299999999981</v>
      </c>
      <c r="DM422" s="56"/>
      <c r="DP422" s="55">
        <f t="shared" si="2765"/>
        <v>46383</v>
      </c>
      <c r="DQ422" s="56"/>
      <c r="DR422" s="57">
        <f>SUMPRODUCT(PRODUCE!$B415:$DY415,PRODUCE!$EB$20:$IY$20)</f>
        <v>0</v>
      </c>
      <c r="DS422" s="56"/>
      <c r="DT422" s="57">
        <f t="shared" si="2766"/>
        <v>0</v>
      </c>
      <c r="DU422" s="57">
        <f t="shared" si="2767"/>
        <v>5800</v>
      </c>
      <c r="DV422" s="56"/>
      <c r="DY422" s="55">
        <f t="shared" si="2768"/>
        <v>46383</v>
      </c>
      <c r="DZ422" s="56"/>
      <c r="EA422" s="157">
        <f>SUMPRODUCT(PRODUCE!$B415:$DY415,PRODUCE!$EB$21:$IY$21)</f>
        <v>0</v>
      </c>
      <c r="EB422" s="56"/>
      <c r="EC422" s="157">
        <f t="shared" si="2769"/>
        <v>0</v>
      </c>
      <c r="ED422" s="157">
        <f t="shared" si="2770"/>
        <v>0</v>
      </c>
      <c r="EE422" s="56"/>
      <c r="EH422" s="55">
        <f t="shared" si="2771"/>
        <v>46383</v>
      </c>
      <c r="EI422" s="56"/>
      <c r="EJ422" s="162">
        <f>SUMPRODUCT(PRODUCE!$B415:$DY415,PRODUCE!$EB$22:$IY$22)</f>
        <v>0</v>
      </c>
      <c r="EK422" s="56"/>
      <c r="EL422" s="162">
        <f t="shared" si="2772"/>
        <v>0</v>
      </c>
      <c r="EM422" s="162">
        <f t="shared" si="2773"/>
        <v>0</v>
      </c>
      <c r="EN422" s="56"/>
      <c r="EQ422" s="55">
        <f t="shared" si="2774"/>
        <v>46383</v>
      </c>
      <c r="ER422" s="56"/>
      <c r="ES422" s="135">
        <f>SUMPRODUCT(PRODUCE!$B415:$DY415,PRODUCE!$EB$23:$IY$23)</f>
        <v>0</v>
      </c>
      <c r="ET422" s="56"/>
      <c r="EU422" s="135">
        <f t="shared" si="2775"/>
        <v>0</v>
      </c>
      <c r="EV422" s="135">
        <f t="shared" si="2776"/>
        <v>0</v>
      </c>
      <c r="EW422" s="56"/>
      <c r="EZ422" s="55">
        <f t="shared" si="2777"/>
        <v>46383</v>
      </c>
      <c r="FA422" s="56"/>
      <c r="FB422" s="175">
        <f>SUMPRODUCT(PRODUCE!$B415:$DY415,PRODUCE!$EB$24:$IY$24)</f>
        <v>0</v>
      </c>
      <c r="FC422" s="56"/>
      <c r="FD422" s="175">
        <f t="shared" si="2778"/>
        <v>0</v>
      </c>
      <c r="FE422" s="175">
        <f t="shared" si="2779"/>
        <v>0</v>
      </c>
      <c r="FF422" s="56"/>
      <c r="FI422" s="55">
        <f t="shared" si="2780"/>
        <v>46383</v>
      </c>
      <c r="FJ422" s="56"/>
      <c r="FK422" s="183">
        <f>SUMPRODUCT(PRODUCE!$B415:$DY415,PRODUCE!$EB$25:$IY$25)</f>
        <v>0</v>
      </c>
      <c r="FL422" s="56"/>
      <c r="FM422" s="183">
        <f t="shared" si="2781"/>
        <v>0</v>
      </c>
      <c r="FN422" s="183">
        <f t="shared" si="2782"/>
        <v>0</v>
      </c>
      <c r="FO422" s="56"/>
      <c r="FR422" s="55">
        <f t="shared" si="2783"/>
        <v>46383</v>
      </c>
      <c r="FS422" s="56"/>
      <c r="FT422" s="186">
        <f>SUMPRODUCT(PRODUCE!$B415:$DY415,PRODUCE!$EB$26:$IY$26)</f>
        <v>0</v>
      </c>
      <c r="FU422" s="56"/>
      <c r="FV422" s="186">
        <f t="shared" si="2784"/>
        <v>0</v>
      </c>
      <c r="FW422" s="186">
        <f t="shared" si="2785"/>
        <v>2020</v>
      </c>
      <c r="FX422" s="56"/>
      <c r="GA422" s="55">
        <f t="shared" si="2786"/>
        <v>46383</v>
      </c>
      <c r="GB422" s="56"/>
      <c r="GC422" s="137">
        <f>SUMPRODUCT(PRODUCE!$B415:$DY415,PRODUCE!$EB$27:$IY$27)</f>
        <v>0</v>
      </c>
      <c r="GD422" s="56"/>
      <c r="GE422" s="137">
        <f t="shared" si="2787"/>
        <v>0</v>
      </c>
      <c r="GF422" s="137">
        <f t="shared" si="2788"/>
        <v>960</v>
      </c>
      <c r="GG422" s="56"/>
      <c r="GI422" s="23"/>
      <c r="GJ422" s="55">
        <f t="shared" si="2789"/>
        <v>46383</v>
      </c>
      <c r="GK422" s="56"/>
      <c r="GL422" s="199">
        <f>SUMPRODUCT(PRODUCE!$B415:$DY415,PRODUCE!$EB$28:$IY$28)</f>
        <v>0</v>
      </c>
      <c r="GM422" s="56"/>
      <c r="GN422" s="199">
        <f t="shared" si="2790"/>
        <v>0</v>
      </c>
      <c r="GO422" s="199">
        <f t="shared" si="2791"/>
        <v>1760</v>
      </c>
      <c r="GP422" s="56"/>
      <c r="GS422" s="55">
        <f t="shared" si="2792"/>
        <v>46383</v>
      </c>
      <c r="GT422" s="56"/>
      <c r="GU422" s="195">
        <f>SUMPRODUCT(PRODUCE!$B415:$DY415,PRODUCE!$EB$29:$IY$29)</f>
        <v>0</v>
      </c>
      <c r="GV422" s="56"/>
      <c r="GW422" s="195">
        <f t="shared" si="2793"/>
        <v>0</v>
      </c>
      <c r="GX422" s="195">
        <f t="shared" si="2794"/>
        <v>400</v>
      </c>
      <c r="GY422" s="56"/>
      <c r="HB422" s="55">
        <f t="shared" si="2795"/>
        <v>46383</v>
      </c>
      <c r="HC422" s="56"/>
      <c r="HD422" s="191">
        <f>SUMPRODUCT(PRODUCE!$B415:$DY415,PRODUCE!$EB$30:$IY$30)</f>
        <v>0</v>
      </c>
      <c r="HE422" s="56"/>
      <c r="HF422" s="191">
        <f t="shared" si="2796"/>
        <v>0</v>
      </c>
      <c r="HG422" s="191">
        <f t="shared" si="2797"/>
        <v>3600</v>
      </c>
      <c r="HH422" s="56"/>
      <c r="HK422" s="55">
        <f t="shared" si="2798"/>
        <v>46383</v>
      </c>
      <c r="HL422" s="56"/>
      <c r="HM422" s="63">
        <f>SUMPRODUCT(PRODUCE!$B415:$DY415,PRODUCE!$EB$31:$IY$31)</f>
        <v>0</v>
      </c>
      <c r="HN422" s="56"/>
      <c r="HO422" s="63">
        <f t="shared" si="2799"/>
        <v>0</v>
      </c>
      <c r="HP422" s="63">
        <f t="shared" si="2800"/>
        <v>0</v>
      </c>
      <c r="HQ422" s="56"/>
      <c r="HU422" s="55">
        <f t="shared" si="2801"/>
        <v>46383</v>
      </c>
      <c r="HV422" s="56"/>
      <c r="HW422" s="242">
        <f>SUMPRODUCT(PRODUCE!$B415:$DY415,PRODUCE!$EB$32:$IY$32)</f>
        <v>0</v>
      </c>
      <c r="HX422" s="56"/>
      <c r="HY422" s="242">
        <f t="shared" si="2802"/>
        <v>0</v>
      </c>
      <c r="HZ422" s="242">
        <f t="shared" si="2803"/>
        <v>6120</v>
      </c>
      <c r="IA422" s="56"/>
      <c r="ID422" s="55">
        <f t="shared" si="2804"/>
        <v>46383</v>
      </c>
      <c r="IE422" s="56"/>
      <c r="IF422" s="242">
        <f>SUMPRODUCT(PRODUCE!$B415:$DY415,PRODUCE!$EB$33:$IY$33)</f>
        <v>0</v>
      </c>
      <c r="IG422" s="56"/>
      <c r="IH422" s="242">
        <f t="shared" si="2805"/>
        <v>0</v>
      </c>
      <c r="II422" s="242">
        <f t="shared" si="2806"/>
        <v>0</v>
      </c>
      <c r="IJ422" s="56"/>
      <c r="IM422" s="55">
        <f t="shared" si="2807"/>
        <v>46383</v>
      </c>
      <c r="IN422" s="56"/>
      <c r="IO422" s="242">
        <f>SUMPRODUCT(PRODUCE!$B415:$DY415,PRODUCE!$EB$34:$IY$34)</f>
        <v>0</v>
      </c>
      <c r="IP422" s="56"/>
      <c r="IQ422" s="242">
        <f t="shared" si="2808"/>
        <v>0</v>
      </c>
      <c r="IR422" s="242">
        <f t="shared" si="2809"/>
        <v>0</v>
      </c>
      <c r="IS422" s="56"/>
      <c r="IV422" s="55">
        <f t="shared" si="2810"/>
        <v>46383</v>
      </c>
      <c r="IW422" s="56"/>
      <c r="IX422" s="242">
        <f>SUMPRODUCT(PRODUCE!$B415:$DY415,PRODUCE!$EB$35:$IY$35)</f>
        <v>0</v>
      </c>
      <c r="IY422" s="56"/>
      <c r="IZ422" s="242">
        <f t="shared" si="2811"/>
        <v>0</v>
      </c>
      <c r="JA422" s="242">
        <f t="shared" si="2812"/>
        <v>2820</v>
      </c>
      <c r="JB422" s="56"/>
      <c r="JE422" s="55">
        <f t="shared" si="2813"/>
        <v>46383</v>
      </c>
      <c r="JF422" s="56"/>
      <c r="JG422" s="242">
        <f>SUMPRODUCT(PRODUCE!$B415:$DY415,PRODUCE!$EB$36:$IY$36)</f>
        <v>0</v>
      </c>
      <c r="JH422" s="56"/>
      <c r="JI422" s="242">
        <f t="shared" si="2814"/>
        <v>0</v>
      </c>
      <c r="JJ422" s="242">
        <f t="shared" si="2815"/>
        <v>0</v>
      </c>
      <c r="JK422" s="56"/>
      <c r="JN422" s="55">
        <f t="shared" si="2816"/>
        <v>46383</v>
      </c>
      <c r="JO422" s="56"/>
      <c r="JP422" s="242">
        <f>SUMPRODUCT(PRODUCE!$B415:$DY415,PRODUCE!$EB$37:$IY$37)</f>
        <v>0</v>
      </c>
      <c r="JQ422" s="56"/>
      <c r="JR422" s="242">
        <f t="shared" si="2817"/>
        <v>0</v>
      </c>
      <c r="JS422" s="242">
        <f t="shared" si="2818"/>
        <v>0</v>
      </c>
      <c r="JT422" s="56"/>
      <c r="JW422" s="55">
        <f t="shared" si="2819"/>
        <v>46383</v>
      </c>
      <c r="JX422" s="56"/>
      <c r="JY422" s="242">
        <f>SUMPRODUCT(PRODUCE!$B415:$DY415,PRODUCE!$EB$38:$IY$38)</f>
        <v>0</v>
      </c>
      <c r="JZ422" s="56"/>
      <c r="KA422" s="242">
        <f t="shared" si="2820"/>
        <v>0</v>
      </c>
      <c r="KB422" s="242">
        <f t="shared" si="2821"/>
        <v>2540</v>
      </c>
      <c r="KC422" s="56"/>
      <c r="KF422" s="55">
        <f t="shared" si="2822"/>
        <v>46383</v>
      </c>
      <c r="KG422" s="56"/>
      <c r="KH422" s="242">
        <f>SUMPRODUCT(PRODUCE!$B415:$DY415,PRODUCE!$EB$39:$IY$39)</f>
        <v>0</v>
      </c>
      <c r="KI422" s="56"/>
      <c r="KJ422" s="242">
        <f t="shared" si="2823"/>
        <v>0</v>
      </c>
      <c r="KK422" s="242">
        <f t="shared" si="2824"/>
        <v>2359.5</v>
      </c>
      <c r="KL422" s="56"/>
      <c r="KO422" s="55">
        <f t="shared" si="2825"/>
        <v>46383</v>
      </c>
      <c r="KP422" s="56"/>
      <c r="KQ422" s="242">
        <f>SUMPRODUCT(PRODUCE!$B415:$DY415,PRODUCE!$EB$40:$IY$40)</f>
        <v>0</v>
      </c>
      <c r="KR422" s="56"/>
      <c r="KS422" s="242">
        <f t="shared" si="2826"/>
        <v>0</v>
      </c>
      <c r="KT422" s="242">
        <f t="shared" si="2827"/>
        <v>1890</v>
      </c>
      <c r="KU422" s="56"/>
      <c r="KW422" s="23"/>
      <c r="KX422" s="55">
        <f t="shared" si="2828"/>
        <v>46383</v>
      </c>
      <c r="KY422" s="56"/>
      <c r="KZ422" s="242">
        <f>SUMPRODUCT(PRODUCE!$B415:$DY415,PRODUCE!$EB$41:$IY$41)</f>
        <v>0</v>
      </c>
      <c r="LA422" s="56"/>
      <c r="LB422" s="242">
        <f t="shared" si="2829"/>
        <v>0</v>
      </c>
      <c r="LC422" s="242">
        <f t="shared" si="2830"/>
        <v>3690</v>
      </c>
      <c r="LD422" s="56"/>
      <c r="LG422" s="55">
        <f t="shared" si="2831"/>
        <v>46383</v>
      </c>
      <c r="LH422" s="56"/>
      <c r="LI422" s="242">
        <f>SUMPRODUCT(PRODUCE!$B415:$DY415,PRODUCE!$EB$42:$IY$42)</f>
        <v>0</v>
      </c>
      <c r="LJ422" s="56"/>
      <c r="LK422" s="242">
        <f t="shared" si="2832"/>
        <v>0</v>
      </c>
      <c r="LL422" s="242">
        <f t="shared" si="2833"/>
        <v>4000</v>
      </c>
      <c r="LM422" s="56"/>
      <c r="LP422" s="55">
        <f t="shared" si="2834"/>
        <v>46383</v>
      </c>
      <c r="LQ422" s="56"/>
      <c r="LR422" s="242">
        <f>SUMPRODUCT(PRODUCE!$B437:$DY437,PRODUCE!$EB$43:$IY$43)</f>
        <v>0</v>
      </c>
      <c r="LS422" s="56"/>
      <c r="LT422" s="242">
        <f t="shared" si="2835"/>
        <v>0</v>
      </c>
      <c r="LU422" s="242">
        <f t="shared" si="2836"/>
        <v>0</v>
      </c>
      <c r="LV422" s="56"/>
      <c r="LY422" s="55">
        <f t="shared" si="2837"/>
        <v>46383</v>
      </c>
      <c r="LZ422" s="56"/>
      <c r="MA422" s="242">
        <f>SUMPRODUCT(PRODUCE!$B415:$DY415,PRODUCE!$EB$44:$IY$44)</f>
        <v>0</v>
      </c>
      <c r="MB422" s="56"/>
      <c r="MC422" s="242">
        <f t="shared" si="2838"/>
        <v>0</v>
      </c>
      <c r="MD422" s="242">
        <f t="shared" si="2839"/>
        <v>0</v>
      </c>
      <c r="ME422" s="56"/>
      <c r="MH422" s="55">
        <f t="shared" si="2840"/>
        <v>46383</v>
      </c>
      <c r="MI422" s="56"/>
      <c r="MJ422" s="242">
        <f>SUMPRODUCT(PRODUCE!$B415:$DY415,PRODUCE!$EB$45:$IY$45)</f>
        <v>0</v>
      </c>
      <c r="MK422" s="56"/>
      <c r="ML422" s="242">
        <f t="shared" si="2841"/>
        <v>0</v>
      </c>
      <c r="MM422" s="242">
        <f t="shared" si="2842"/>
        <v>-18</v>
      </c>
      <c r="MN422" s="56"/>
      <c r="MQ422" s="55">
        <f t="shared" si="2843"/>
        <v>46383</v>
      </c>
      <c r="MR422" s="56"/>
      <c r="MS422" s="242">
        <f>SUMPRODUCT(PRODUCE!$B415:$DY415,PRODUCE!$EB$46:$IY$46)</f>
        <v>0</v>
      </c>
      <c r="MT422" s="56"/>
      <c r="MU422" s="242">
        <f t="shared" si="2844"/>
        <v>0</v>
      </c>
      <c r="MV422" s="242">
        <f t="shared" si="2845"/>
        <v>1559</v>
      </c>
      <c r="MW422" s="56"/>
      <c r="MZ422" s="55">
        <f t="shared" si="2846"/>
        <v>46383</v>
      </c>
      <c r="NA422" s="56"/>
      <c r="NB422" s="242">
        <f>SUMPRODUCT(PRODUCE!$B415:$DY415,PRODUCE!$EB$47:$IY$47)</f>
        <v>0</v>
      </c>
      <c r="NC422" s="56"/>
      <c r="ND422" s="242">
        <f t="shared" si="2847"/>
        <v>0</v>
      </c>
      <c r="NE422" s="242">
        <f t="shared" si="2848"/>
        <v>0</v>
      </c>
      <c r="NF422" s="56"/>
      <c r="NI422" s="55">
        <f t="shared" si="2849"/>
        <v>46383</v>
      </c>
      <c r="NJ422" s="56"/>
      <c r="NK422" s="242">
        <f>SUMPRODUCT(PRODUCE!$B415:$DY415,PRODUCE!$EB$48:$IY$48)</f>
        <v>0</v>
      </c>
      <c r="NL422" s="56"/>
      <c r="NM422" s="242">
        <f t="shared" si="2850"/>
        <v>0</v>
      </c>
      <c r="NN422" s="242">
        <f t="shared" si="2851"/>
        <v>1127</v>
      </c>
      <c r="NO422" s="56"/>
      <c r="NR422" s="55">
        <f t="shared" si="2852"/>
        <v>46383</v>
      </c>
      <c r="NS422" s="56"/>
      <c r="NT422" s="242">
        <f>SUMPRODUCT(PRODUCE!$B415:$DY415,PRODUCE!$EB$49:$IY$49)</f>
        <v>0</v>
      </c>
      <c r="NU422" s="56"/>
      <c r="NV422" s="242">
        <f t="shared" si="2853"/>
        <v>0</v>
      </c>
      <c r="NW422" s="242">
        <f t="shared" si="2854"/>
        <v>3111.9999999999995</v>
      </c>
      <c r="NX422" s="56"/>
      <c r="OA422" s="55">
        <f t="shared" si="2855"/>
        <v>46383</v>
      </c>
      <c r="OB422" s="56"/>
      <c r="OC422" s="242">
        <f>SUMPRODUCT(PRODUCE!$B415:$DY415,PRODUCE!$EB$50:$IY$50)</f>
        <v>0</v>
      </c>
      <c r="OD422" s="56"/>
      <c r="OE422" s="242">
        <f t="shared" si="2856"/>
        <v>0</v>
      </c>
      <c r="OF422" s="242">
        <f t="shared" si="2857"/>
        <v>1680.5</v>
      </c>
      <c r="OG422" s="56"/>
      <c r="OJ422" s="55">
        <f t="shared" si="2858"/>
        <v>46383</v>
      </c>
      <c r="OK422" s="56"/>
      <c r="OL422" s="242">
        <f>SUMPRODUCT(PRODUCE!$B415:$DY415,PRODUCE!$EB$51:$IY$51)</f>
        <v>0</v>
      </c>
      <c r="OM422" s="56"/>
      <c r="ON422" s="242">
        <f t="shared" si="2859"/>
        <v>0</v>
      </c>
      <c r="OO422" s="242">
        <f t="shared" si="2860"/>
        <v>0</v>
      </c>
      <c r="OP422" s="56"/>
      <c r="OS422" s="55">
        <f t="shared" si="2861"/>
        <v>46383</v>
      </c>
      <c r="OT422" s="56"/>
      <c r="OU422" s="242">
        <f>SUMPRODUCT(PRODUCE!$B415:$DY415,PRODUCE!$EB$52:$IY$52)</f>
        <v>0</v>
      </c>
      <c r="OV422" s="56"/>
      <c r="OW422" s="242">
        <f t="shared" si="2862"/>
        <v>0</v>
      </c>
      <c r="OX422" s="242">
        <f t="shared" si="2863"/>
        <v>1482</v>
      </c>
      <c r="OY422" s="56"/>
      <c r="PB422" s="55">
        <f t="shared" si="2864"/>
        <v>46383</v>
      </c>
      <c r="PC422" s="56"/>
      <c r="PD422" s="242">
        <f>SUMPRODUCT(PRODUCE!$B415:$DY415,PRODUCE!$EB$53:$IY$53)</f>
        <v>0</v>
      </c>
      <c r="PE422" s="56"/>
      <c r="PF422" s="242">
        <f t="shared" si="2865"/>
        <v>0</v>
      </c>
      <c r="PG422" s="242">
        <f t="shared" si="2866"/>
        <v>0</v>
      </c>
      <c r="PH422" s="56"/>
      <c r="PK422" s="55">
        <f t="shared" si="2867"/>
        <v>46383</v>
      </c>
      <c r="PL422" s="56"/>
      <c r="PM422" s="242">
        <f>SUMPRODUCT(PRODUCE!$B415:$DY415,PRODUCE!$EB$54:$IY$54)</f>
        <v>0</v>
      </c>
      <c r="PN422" s="56"/>
      <c r="PO422" s="242">
        <f t="shared" si="2868"/>
        <v>0</v>
      </c>
      <c r="PP422" s="242">
        <f t="shared" si="2869"/>
        <v>100</v>
      </c>
      <c r="PQ422" s="56"/>
      <c r="PT422" s="55">
        <f t="shared" si="2870"/>
        <v>46383</v>
      </c>
      <c r="PU422" s="56"/>
      <c r="PV422" s="242">
        <f>SUMPRODUCT(PRODUCE!$B415:$DY415,PRODUCE!$EB$55:$IY$55)</f>
        <v>0</v>
      </c>
      <c r="PW422" s="56"/>
      <c r="PX422" s="242">
        <f t="shared" si="2871"/>
        <v>0</v>
      </c>
      <c r="PY422" s="242">
        <f t="shared" si="2872"/>
        <v>13.960000000000036</v>
      </c>
      <c r="PZ422" s="56"/>
      <c r="QC422" s="55">
        <f t="shared" si="2873"/>
        <v>46383</v>
      </c>
      <c r="QD422" s="56"/>
      <c r="QE422" s="242">
        <f>SUMPRODUCT(PRODUCE!$B415:$DY415,PRODUCE!$EB$56:$IY$56)</f>
        <v>0</v>
      </c>
      <c r="QF422" s="56"/>
      <c r="QG422" s="242">
        <f t="shared" si="2874"/>
        <v>0</v>
      </c>
      <c r="QH422" s="242">
        <f t="shared" si="2875"/>
        <v>548</v>
      </c>
      <c r="QI422" s="56"/>
      <c r="QL422" s="55">
        <f t="shared" si="2876"/>
        <v>46383</v>
      </c>
      <c r="QM422" s="56"/>
      <c r="QN422" s="242">
        <f>SUMPRODUCT(PRODUCE!$B415:$DY415,PRODUCE!$EB$57:$IY$57)</f>
        <v>0</v>
      </c>
      <c r="QO422" s="56"/>
      <c r="QP422" s="242">
        <f t="shared" si="2877"/>
        <v>0</v>
      </c>
      <c r="QQ422" s="242">
        <f t="shared" si="2878"/>
        <v>0</v>
      </c>
      <c r="QR422" s="56"/>
      <c r="QU422" s="55">
        <f t="shared" si="2879"/>
        <v>46383</v>
      </c>
      <c r="QV422" s="56"/>
      <c r="QW422" s="242">
        <f>SUMPRODUCT(PRODUCE!$B415:$DY415,PRODUCE!$EB$57:$IY$57)</f>
        <v>0</v>
      </c>
      <c r="QX422" s="56"/>
      <c r="QY422" s="242">
        <f t="shared" si="2880"/>
        <v>0</v>
      </c>
      <c r="QZ422" s="242">
        <f t="shared" si="2881"/>
        <v>0</v>
      </c>
      <c r="RA422" s="56"/>
      <c r="RD422" s="55">
        <f t="shared" si="2882"/>
        <v>46383</v>
      </c>
      <c r="RE422" s="56"/>
      <c r="RF422" s="242">
        <f>SUMPRODUCT(PRODUCE!$B415:$DY415,PRODUCE!$EB$58:$IY$58)</f>
        <v>0</v>
      </c>
      <c r="RG422" s="56"/>
      <c r="RH422" s="242">
        <f t="shared" si="2883"/>
        <v>0</v>
      </c>
      <c r="RI422" s="242">
        <f t="shared" si="2884"/>
        <v>147.04000000000002</v>
      </c>
      <c r="RJ422" s="56"/>
      <c r="RM422" s="55">
        <f t="shared" si="2885"/>
        <v>46383</v>
      </c>
      <c r="RN422" s="56"/>
      <c r="RO422" s="242">
        <f>SUMPRODUCT(PRODUCE!$B415:$DY415,PRODUCE!$EB$57:$IY$57)</f>
        <v>0</v>
      </c>
      <c r="RP422" s="56"/>
      <c r="RQ422" s="242">
        <f t="shared" si="2886"/>
        <v>0</v>
      </c>
      <c r="RR422" s="242">
        <f t="shared" si="2887"/>
        <v>46.8</v>
      </c>
      <c r="RS422" s="56"/>
      <c r="RV422" s="55">
        <f t="shared" si="2888"/>
        <v>46383</v>
      </c>
      <c r="RW422" s="56"/>
      <c r="RX422" s="242">
        <f>SUMPRODUCT(PRODUCE!$B415:$DY415,PRODUCE!$EB$57:$IY$57)</f>
        <v>0</v>
      </c>
      <c r="RY422" s="56"/>
      <c r="RZ422" s="242">
        <f t="shared" si="2889"/>
        <v>0</v>
      </c>
      <c r="SA422" s="242">
        <f t="shared" si="2890"/>
        <v>0</v>
      </c>
      <c r="SB422" s="56"/>
      <c r="SE422" s="55">
        <f t="shared" si="2891"/>
        <v>46383</v>
      </c>
      <c r="SF422" s="56"/>
      <c r="SG422" s="242">
        <f>SUMPRODUCT(PRODUCE!$B415:$DY415,PRODUCE!$EB$61:$IY$61)</f>
        <v>0</v>
      </c>
      <c r="SH422" s="56"/>
      <c r="SI422" s="242">
        <f t="shared" si="2892"/>
        <v>0</v>
      </c>
      <c r="SJ422" s="242">
        <f t="shared" si="2893"/>
        <v>24.200000000000003</v>
      </c>
      <c r="SK422" s="56"/>
      <c r="SN422" s="55">
        <f t="shared" si="2894"/>
        <v>46383</v>
      </c>
      <c r="SO422" s="56"/>
      <c r="SP422" s="242">
        <f>SUMPRODUCT(PRODUCE!$B415:$DY415,PRODUCE!$EB$57:$IY$57)</f>
        <v>0</v>
      </c>
      <c r="SQ422" s="56"/>
      <c r="SR422" s="242">
        <f t="shared" si="2895"/>
        <v>0</v>
      </c>
      <c r="SS422" s="242">
        <f t="shared" si="2896"/>
        <v>32</v>
      </c>
      <c r="ST422" s="56"/>
      <c r="SW422" s="55">
        <f t="shared" si="2897"/>
        <v>46383</v>
      </c>
      <c r="SX422" s="56"/>
      <c r="SY422" s="242">
        <f>SUMPRODUCT(PRODUCE!$B415:$DY415,PRODUCE!$EB$57:$IY$57)</f>
        <v>0</v>
      </c>
      <c r="SZ422" s="56"/>
      <c r="TA422" s="242">
        <f t="shared" si="2898"/>
        <v>0</v>
      </c>
      <c r="TB422" s="242">
        <f t="shared" si="2899"/>
        <v>0</v>
      </c>
      <c r="TC422" s="56"/>
      <c r="TF422" s="55">
        <f t="shared" si="2900"/>
        <v>46383</v>
      </c>
      <c r="TG422" s="56"/>
      <c r="TH422" s="242">
        <f>SUMPRODUCT(PRODUCE!$B415:$DY415,PRODUCE!$EB$57:$IY$57)</f>
        <v>0</v>
      </c>
      <c r="TI422" s="56"/>
      <c r="TJ422" s="242">
        <f t="shared" si="2901"/>
        <v>0</v>
      </c>
      <c r="TK422" s="242">
        <f t="shared" si="2902"/>
        <v>0</v>
      </c>
      <c r="TL422" s="56"/>
      <c r="TO422" s="55">
        <f t="shared" si="2903"/>
        <v>46383</v>
      </c>
      <c r="TP422" s="56"/>
      <c r="TQ422" s="242">
        <f>SUMPRODUCT(PRODUCE!$B415:$DY415,PRODUCE!$EB$57:$IY$57)</f>
        <v>0</v>
      </c>
      <c r="TR422" s="56"/>
      <c r="TS422" s="242">
        <f t="shared" si="2904"/>
        <v>0</v>
      </c>
      <c r="TT422" s="242">
        <f t="shared" si="2905"/>
        <v>0</v>
      </c>
      <c r="TU422" s="56"/>
      <c r="TX422" s="55">
        <f t="shared" si="2906"/>
        <v>46383</v>
      </c>
      <c r="TY422" s="56"/>
      <c r="TZ422" s="242">
        <f>SUMPRODUCT(PRODUCE!$B415:$DY415,PRODUCE!$EB$57:$IY$57)</f>
        <v>0</v>
      </c>
      <c r="UA422" s="56"/>
      <c r="UB422" s="242">
        <f t="shared" si="2907"/>
        <v>0</v>
      </c>
      <c r="UC422" s="242">
        <f t="shared" si="2908"/>
        <v>46.799999999999983</v>
      </c>
      <c r="UD422" s="56"/>
      <c r="UG422" s="55">
        <f t="shared" si="2909"/>
        <v>46383</v>
      </c>
      <c r="UH422" s="56"/>
      <c r="UI422" s="242">
        <f>SUMPRODUCT(PRODUCE!$B415:$DY415,PRODUCE!$EB$57:$IY$57)</f>
        <v>0</v>
      </c>
      <c r="UJ422" s="56"/>
      <c r="UK422" s="242">
        <f t="shared" si="2910"/>
        <v>0</v>
      </c>
      <c r="UL422" s="242">
        <f t="shared" si="2911"/>
        <v>204</v>
      </c>
      <c r="UM422" s="56"/>
      <c r="UP422" s="55">
        <f t="shared" si="2912"/>
        <v>46383</v>
      </c>
      <c r="UQ422" s="56"/>
      <c r="UR422" s="242">
        <f>SUMPRODUCT(PRODUCE!$B415:$DY415,PRODUCE!$EB$57:$IY$57)</f>
        <v>0</v>
      </c>
      <c r="US422" s="56"/>
      <c r="UT422" s="242">
        <f t="shared" si="2913"/>
        <v>0</v>
      </c>
      <c r="UU422" s="242">
        <f t="shared" si="2914"/>
        <v>202.5</v>
      </c>
      <c r="UV422" s="56"/>
      <c r="UY422" s="55">
        <f t="shared" si="2915"/>
        <v>46383</v>
      </c>
      <c r="UZ422" s="56"/>
      <c r="VA422" s="242">
        <f>SUMPRODUCT(PRODUCE!$B415:$DY415,PRODUCE!$EB$57:$IY$57)</f>
        <v>0</v>
      </c>
      <c r="VB422" s="56"/>
      <c r="VC422" s="242">
        <f t="shared" si="2916"/>
        <v>0</v>
      </c>
      <c r="VD422" s="242">
        <f t="shared" si="2917"/>
        <v>41.600000000000023</v>
      </c>
      <c r="VE422" s="56"/>
      <c r="VH422" s="55">
        <f t="shared" si="2918"/>
        <v>46383</v>
      </c>
      <c r="VI422" s="56"/>
      <c r="VJ422" s="242">
        <f>SUMPRODUCT(PRODUCE!$B415:$DY415,PRODUCE!$EB$57:$IY$57)</f>
        <v>0</v>
      </c>
      <c r="VK422" s="56"/>
      <c r="VL422" s="242">
        <f t="shared" si="2919"/>
        <v>0</v>
      </c>
      <c r="VM422" s="242">
        <f t="shared" si="2920"/>
        <v>210</v>
      </c>
      <c r="VN422" s="56"/>
      <c r="VQ422" s="55">
        <f t="shared" si="2921"/>
        <v>46383</v>
      </c>
      <c r="VR422" s="56"/>
      <c r="VS422" s="242">
        <f>SUMPRODUCT(PRODUCE!$B415:$DY415,PRODUCE!$EB$57:$IY$57)</f>
        <v>0</v>
      </c>
      <c r="VT422" s="56"/>
      <c r="VU422" s="242">
        <f t="shared" si="2922"/>
        <v>0</v>
      </c>
      <c r="VV422" s="242">
        <f t="shared" si="2923"/>
        <v>0</v>
      </c>
      <c r="VW422" s="56"/>
      <c r="VZ422" s="55">
        <f t="shared" si="2924"/>
        <v>46383</v>
      </c>
      <c r="WA422" s="56"/>
      <c r="WB422" s="242">
        <f>SUMPRODUCT(PRODUCE!$B415:$DY415,PRODUCE!$EB$57:$IY$57)</f>
        <v>0</v>
      </c>
      <c r="WC422" s="56"/>
      <c r="WD422" s="242">
        <f t="shared" si="2925"/>
        <v>0</v>
      </c>
      <c r="WE422" s="242">
        <f t="shared" si="2926"/>
        <v>0</v>
      </c>
      <c r="WF422" s="56"/>
      <c r="WI422" s="55">
        <f t="shared" si="2927"/>
        <v>46383</v>
      </c>
      <c r="WJ422" s="56"/>
      <c r="WK422" s="242">
        <f>SUMPRODUCT(PRODUCE!$B415:$DY415,PRODUCE!$EB$57:$IY$57)</f>
        <v>0</v>
      </c>
      <c r="WL422" s="56"/>
      <c r="WM422" s="242">
        <f t="shared" si="2928"/>
        <v>0</v>
      </c>
      <c r="WN422" s="242">
        <f t="shared" si="2929"/>
        <v>1057</v>
      </c>
      <c r="WO422" s="56"/>
      <c r="WR422" s="55">
        <f t="shared" si="2930"/>
        <v>46383</v>
      </c>
      <c r="WS422" s="56"/>
      <c r="WT422" s="242">
        <f>SUMPRODUCT(PRODUCE!$B415:$DY415,PRODUCE!$EB$57:$IY$57)</f>
        <v>0</v>
      </c>
      <c r="WU422" s="56"/>
      <c r="WV422" s="242">
        <f t="shared" si="2931"/>
        <v>0</v>
      </c>
      <c r="WW422" s="242">
        <f t="shared" si="2932"/>
        <v>0</v>
      </c>
      <c r="WX422" s="56"/>
      <c r="XA422" s="55">
        <f t="shared" si="2933"/>
        <v>46383</v>
      </c>
      <c r="XB422" s="56"/>
      <c r="XC422" s="242">
        <f>SUMPRODUCT(PRODUCE!$B415:$DY415,PRODUCE!$EB$57:$IY$57)</f>
        <v>0</v>
      </c>
      <c r="XD422" s="56"/>
      <c r="XE422" s="242">
        <f t="shared" si="2934"/>
        <v>0</v>
      </c>
      <c r="XF422" s="242">
        <f t="shared" si="2935"/>
        <v>7507</v>
      </c>
      <c r="XG422" s="56"/>
      <c r="XJ422" s="55">
        <f t="shared" si="2936"/>
        <v>46383</v>
      </c>
      <c r="XK422" s="56"/>
      <c r="XL422" s="242">
        <f>SUMPRODUCT(PRODUCE!$B415:$DY415,PRODUCE!$EB$57:$IY$57)</f>
        <v>0</v>
      </c>
      <c r="XM422" s="56"/>
      <c r="XN422" s="242">
        <f t="shared" si="2937"/>
        <v>0</v>
      </c>
      <c r="XO422" s="242">
        <f t="shared" si="2938"/>
        <v>4252</v>
      </c>
      <c r="XP422" s="56"/>
      <c r="XS422" s="55">
        <f t="shared" si="2939"/>
        <v>46383</v>
      </c>
      <c r="XT422" s="56"/>
      <c r="XU422" s="242">
        <f>SUMPRODUCT(PRODUCE!$B415:$DY415,PRODUCE!$EB$57:$IY$57)</f>
        <v>0</v>
      </c>
      <c r="XV422" s="56"/>
      <c r="XW422" s="242">
        <f t="shared" si="2940"/>
        <v>0</v>
      </c>
      <c r="XX422" s="242">
        <f t="shared" si="2941"/>
        <v>2179</v>
      </c>
      <c r="XY422" s="56"/>
      <c r="YB422" s="55">
        <f t="shared" si="2942"/>
        <v>46383</v>
      </c>
      <c r="YC422" s="56"/>
      <c r="YD422" s="242">
        <f>SUMPRODUCT(PRODUCE!$B415:$DY415,PRODUCE!$EB$57:$IY$57)</f>
        <v>0</v>
      </c>
      <c r="YE422" s="56"/>
      <c r="YF422" s="242">
        <f t="shared" si="2943"/>
        <v>0</v>
      </c>
      <c r="YG422" s="242">
        <f t="shared" si="2944"/>
        <v>4019</v>
      </c>
      <c r="YH422" s="56"/>
      <c r="YK422" s="55">
        <f t="shared" si="2945"/>
        <v>46383</v>
      </c>
      <c r="YL422" s="56"/>
      <c r="YM422" s="242">
        <f>SUMPRODUCT(PRODUCE!$B415:$DY415,PRODUCE!$EB$57:$IY$57)</f>
        <v>0</v>
      </c>
      <c r="YN422" s="56"/>
      <c r="YO422" s="242">
        <f t="shared" si="2946"/>
        <v>0</v>
      </c>
      <c r="YP422" s="242">
        <f t="shared" si="2947"/>
        <v>-218</v>
      </c>
      <c r="YQ422" s="56"/>
      <c r="YT422" s="55">
        <f t="shared" si="2948"/>
        <v>46383</v>
      </c>
      <c r="YU422" s="56"/>
      <c r="YV422" s="242">
        <f>SUMPRODUCT(PRODUCE!$B415:$DY415,PRODUCE!$EB$57:$IY$57)</f>
        <v>0</v>
      </c>
      <c r="YW422" s="56"/>
      <c r="YX422" s="242">
        <f t="shared" si="2949"/>
        <v>0</v>
      </c>
      <c r="YY422" s="242">
        <f t="shared" si="2950"/>
        <v>0</v>
      </c>
      <c r="YZ422" s="56"/>
      <c r="ZC422" s="55">
        <f t="shared" si="2951"/>
        <v>46383</v>
      </c>
      <c r="ZD422" s="56"/>
      <c r="ZE422" s="242">
        <f>SUMPRODUCT(PRODUCE!$B415:$DY415,PRODUCE!$EB$57:$IY$57)</f>
        <v>0</v>
      </c>
      <c r="ZF422" s="56"/>
      <c r="ZG422" s="242">
        <f t="shared" si="2952"/>
        <v>0</v>
      </c>
      <c r="ZH422" s="242">
        <f t="shared" si="2953"/>
        <v>0</v>
      </c>
      <c r="ZI422" s="56"/>
      <c r="ZL422" s="55">
        <f t="shared" si="2954"/>
        <v>46383</v>
      </c>
      <c r="ZM422" s="56"/>
      <c r="ZN422" s="242">
        <f>SUMPRODUCT(PRODUCE!$B415:$DY415,PRODUCE!$EB$57:$IY$57)</f>
        <v>0</v>
      </c>
      <c r="ZO422" s="56"/>
      <c r="ZP422" s="242">
        <f t="shared" si="2955"/>
        <v>0</v>
      </c>
      <c r="ZQ422" s="242">
        <f t="shared" si="2956"/>
        <v>0</v>
      </c>
      <c r="ZR422" s="56"/>
      <c r="ZU422" s="55">
        <f t="shared" si="2957"/>
        <v>46383</v>
      </c>
      <c r="ZV422" s="56"/>
      <c r="ZW422" s="242">
        <f>SUMPRODUCT(PRODUCE!$B415:$DY415,PRODUCE!$EB$57:$IY$57)</f>
        <v>0</v>
      </c>
      <c r="ZX422" s="56"/>
      <c r="ZY422" s="242">
        <f t="shared" si="2958"/>
        <v>0</v>
      </c>
      <c r="ZZ422" s="242">
        <f t="shared" si="2959"/>
        <v>0</v>
      </c>
      <c r="AAA422" s="56"/>
      <c r="AAD422" s="55">
        <f t="shared" si="2960"/>
        <v>46383</v>
      </c>
      <c r="AAE422" s="56"/>
      <c r="AAF422" s="242">
        <f>SUMPRODUCT(PRODUCE!$B415:$DY415,PRODUCE!$EB$57:$IY$57)</f>
        <v>0</v>
      </c>
      <c r="AAG422" s="56"/>
      <c r="AAH422" s="242">
        <f t="shared" si="2961"/>
        <v>0</v>
      </c>
      <c r="AAI422" s="242">
        <f t="shared" si="2962"/>
        <v>0</v>
      </c>
      <c r="AAJ422" s="56"/>
      <c r="AAM422" s="55">
        <f t="shared" si="2963"/>
        <v>46383</v>
      </c>
      <c r="AAN422" s="56"/>
      <c r="AAO422" s="242">
        <f>SUMPRODUCT(PRODUCE!$B415:$DY415,PRODUCE!$EB$57:$IY$57)</f>
        <v>0</v>
      </c>
      <c r="AAP422" s="56"/>
      <c r="AAQ422" s="242">
        <f t="shared" si="2964"/>
        <v>0</v>
      </c>
      <c r="AAR422" s="242">
        <f t="shared" si="2965"/>
        <v>0</v>
      </c>
      <c r="AAS422" s="56"/>
      <c r="AAV422" s="55">
        <f t="shared" si="2966"/>
        <v>46383</v>
      </c>
      <c r="AAW422" s="56"/>
      <c r="AAX422" s="242">
        <f>SUMPRODUCT(PRODUCE!$B415:$DY415,PRODUCE!$EB$57:$IY$57)</f>
        <v>0</v>
      </c>
      <c r="AAY422" s="56"/>
      <c r="AAZ422" s="242">
        <f t="shared" si="2967"/>
        <v>0</v>
      </c>
      <c r="ABA422" s="242">
        <f t="shared" si="2968"/>
        <v>0</v>
      </c>
      <c r="ABB422" s="56"/>
      <c r="ABE422" s="55">
        <f t="shared" si="2969"/>
        <v>46383</v>
      </c>
      <c r="ABF422" s="56"/>
      <c r="ABG422" s="242">
        <f>SUMPRODUCT(PRODUCE!$B415:$DY415,PRODUCE!$EB$57:$IY$57)</f>
        <v>0</v>
      </c>
      <c r="ABH422" s="56"/>
      <c r="ABI422" s="242">
        <f t="shared" si="2970"/>
        <v>0</v>
      </c>
      <c r="ABJ422" s="242">
        <f t="shared" si="2971"/>
        <v>0</v>
      </c>
      <c r="ABK422" s="56"/>
    </row>
    <row r="423" spans="2:739" s="54" customFormat="1" ht="15" customHeight="1" outlineLevel="1">
      <c r="B423" s="478"/>
      <c r="C423" s="55">
        <v>46384</v>
      </c>
      <c r="D423" s="56"/>
      <c r="E423" s="57">
        <f>SUMPRODUCT(PRODUCE!$B416:$DY416,PRODUCE!$EB$7:$IY$7)</f>
        <v>0</v>
      </c>
      <c r="F423" s="56"/>
      <c r="G423" s="57">
        <f t="shared" si="2727"/>
        <v>0</v>
      </c>
      <c r="H423" s="57">
        <f t="shared" si="2728"/>
        <v>236936.6</v>
      </c>
      <c r="I423" s="289"/>
      <c r="L423" s="55">
        <f t="shared" si="2729"/>
        <v>46384</v>
      </c>
      <c r="M423" s="56"/>
      <c r="N423" s="59">
        <f>SUMPRODUCT(PRODUCE!$B416:$DY416,PRODUCE!$EB$8:$IY$8)</f>
        <v>0</v>
      </c>
      <c r="O423" s="56"/>
      <c r="P423" s="59">
        <f t="shared" si="2730"/>
        <v>0</v>
      </c>
      <c r="Q423" s="59">
        <f t="shared" si="2731"/>
        <v>53017.600000000071</v>
      </c>
      <c r="R423" s="56"/>
      <c r="U423" s="55">
        <f t="shared" si="2732"/>
        <v>46384</v>
      </c>
      <c r="V423" s="56"/>
      <c r="W423" s="60">
        <f>SUMPRODUCT(PRODUCE!$B416:$DY416,PRODUCE!$EB$9:$IY$9)</f>
        <v>0</v>
      </c>
      <c r="X423" s="56"/>
      <c r="Y423" s="60">
        <f t="shared" si="2733"/>
        <v>0</v>
      </c>
      <c r="Z423" s="60">
        <f t="shared" si="2734"/>
        <v>42674.199999999968</v>
      </c>
      <c r="AA423" s="56"/>
      <c r="AD423" s="55">
        <f t="shared" si="2735"/>
        <v>46384</v>
      </c>
      <c r="AE423" s="56"/>
      <c r="AF423" s="61">
        <f>SUMPRODUCT(PRODUCE!$B416:$DY416,PRODUCE!$EB$10:$IY$10)</f>
        <v>0</v>
      </c>
      <c r="AG423" s="56"/>
      <c r="AH423" s="61">
        <f t="shared" si="2736"/>
        <v>0</v>
      </c>
      <c r="AI423" s="61">
        <f t="shared" si="2737"/>
        <v>4522.2000000000189</v>
      </c>
      <c r="AJ423" s="56"/>
      <c r="AM423" s="55">
        <f t="shared" si="2738"/>
        <v>46384</v>
      </c>
      <c r="AN423" s="422"/>
      <c r="AO423" s="444">
        <f>SUMPRODUCT(PRODUCE!$B416:$DY416,PRODUCE!$EB$11:$IY$11)</f>
        <v>0</v>
      </c>
      <c r="AP423" s="422"/>
      <c r="AQ423" s="444">
        <f t="shared" si="2739"/>
        <v>0</v>
      </c>
      <c r="AR423" s="444">
        <f t="shared" si="2740"/>
        <v>0</v>
      </c>
      <c r="AS423" s="56"/>
      <c r="AV423" s="55">
        <f t="shared" si="2741"/>
        <v>46384</v>
      </c>
      <c r="AW423" s="56"/>
      <c r="AX423" s="62">
        <f>SUMPRODUCT(PRODUCE!$B416:$DY416,PRODUCE!$EB$12:$IY$12)</f>
        <v>0</v>
      </c>
      <c r="AY423" s="56"/>
      <c r="AZ423" s="62">
        <f t="shared" si="2742"/>
        <v>0</v>
      </c>
      <c r="BA423" s="62">
        <f t="shared" si="2743"/>
        <v>124.99999999999523</v>
      </c>
      <c r="BB423" s="56"/>
      <c r="BE423" s="55">
        <f t="shared" si="2744"/>
        <v>46384</v>
      </c>
      <c r="BF423" s="56"/>
      <c r="BG423" s="63">
        <f>SUMPRODUCT(PRODUCE!$B416:$DY416,PRODUCE!$EB$13:$IY$13)</f>
        <v>0</v>
      </c>
      <c r="BH423" s="56"/>
      <c r="BI423" s="63">
        <f t="shared" si="2745"/>
        <v>0</v>
      </c>
      <c r="BJ423" s="63">
        <f t="shared" si="2746"/>
        <v>26151.899999999998</v>
      </c>
      <c r="BK423" s="56"/>
      <c r="BN423" s="55">
        <f t="shared" si="2747"/>
        <v>46384</v>
      </c>
      <c r="BO423" s="56"/>
      <c r="BP423" s="64">
        <f>SUMPRODUCT(PRODUCE!$B416:$DY416,PRODUCE!$EB$14:$IY$14)</f>
        <v>0</v>
      </c>
      <c r="BQ423" s="56"/>
      <c r="BR423" s="64">
        <f t="shared" si="2748"/>
        <v>0</v>
      </c>
      <c r="BS423" s="64">
        <f t="shared" si="2749"/>
        <v>0</v>
      </c>
      <c r="BT423" s="56"/>
      <c r="BW423" s="55">
        <f t="shared" si="2750"/>
        <v>46384</v>
      </c>
      <c r="BX423" s="56"/>
      <c r="BY423" s="65">
        <f>SUMPRODUCT(PRODUCE!$B416:$DY416,PRODUCE!$EB$15:$IY$15)</f>
        <v>0</v>
      </c>
      <c r="BZ423" s="56"/>
      <c r="CA423" s="65">
        <f t="shared" si="2751"/>
        <v>0</v>
      </c>
      <c r="CB423" s="65">
        <f t="shared" si="2752"/>
        <v>2097.3399999999992</v>
      </c>
      <c r="CC423" s="56"/>
      <c r="CF423" s="55">
        <f t="shared" si="2753"/>
        <v>46384</v>
      </c>
      <c r="CG423" s="56"/>
      <c r="CH423" s="66">
        <f>SUMPRODUCT(PRODUCE!$B416:$DY416,PRODUCE!$EB$16:$IY$16)</f>
        <v>0</v>
      </c>
      <c r="CI423" s="56"/>
      <c r="CJ423" s="66">
        <f t="shared" si="2754"/>
        <v>0</v>
      </c>
      <c r="CK423" s="66">
        <f t="shared" si="2755"/>
        <v>-10277.079999999998</v>
      </c>
      <c r="CL423" s="56"/>
      <c r="CO423" s="55">
        <f t="shared" si="2756"/>
        <v>46384</v>
      </c>
      <c r="CP423" s="422"/>
      <c r="CQ423" s="470">
        <f>SUMPRODUCT(PRODUCE!$B416:$DY416,PRODUCE!$EB$17:$IY$17)</f>
        <v>0</v>
      </c>
      <c r="CR423" s="422"/>
      <c r="CS423" s="470">
        <f t="shared" si="2757"/>
        <v>0</v>
      </c>
      <c r="CT423" s="470">
        <f t="shared" si="2758"/>
        <v>0</v>
      </c>
      <c r="CU423" s="56"/>
      <c r="CX423" s="55">
        <f t="shared" si="2759"/>
        <v>46384</v>
      </c>
      <c r="CY423" s="56"/>
      <c r="CZ423" s="133">
        <f>SUMPRODUCT(PRODUCE!$B416:$DY416,PRODUCE!$EB$18:$IY$18)</f>
        <v>0</v>
      </c>
      <c r="DA423" s="56"/>
      <c r="DB423" s="133">
        <f t="shared" si="2760"/>
        <v>0</v>
      </c>
      <c r="DC423" s="133">
        <f t="shared" si="2761"/>
        <v>27438.200000000012</v>
      </c>
      <c r="DD423" s="56"/>
      <c r="DG423" s="55">
        <f t="shared" si="2762"/>
        <v>46384</v>
      </c>
      <c r="DH423" s="56"/>
      <c r="DI423" s="147">
        <f>SUMPRODUCT(PRODUCE!$B416:$DY416,PRODUCE!$EB$19:$IY$19)</f>
        <v>0</v>
      </c>
      <c r="DJ423" s="56"/>
      <c r="DK423" s="147">
        <f t="shared" si="2763"/>
        <v>0</v>
      </c>
      <c r="DL423" s="147">
        <f t="shared" si="2764"/>
        <v>18782.299999999981</v>
      </c>
      <c r="DM423" s="56"/>
      <c r="DP423" s="55">
        <f t="shared" si="2765"/>
        <v>46384</v>
      </c>
      <c r="DQ423" s="56"/>
      <c r="DR423" s="57">
        <f>SUMPRODUCT(PRODUCE!$B416:$DY416,PRODUCE!$EB$20:$IY$20)</f>
        <v>0</v>
      </c>
      <c r="DS423" s="56"/>
      <c r="DT423" s="57">
        <f t="shared" si="2766"/>
        <v>0</v>
      </c>
      <c r="DU423" s="57">
        <f t="shared" si="2767"/>
        <v>5800</v>
      </c>
      <c r="DV423" s="56"/>
      <c r="DY423" s="55">
        <f t="shared" si="2768"/>
        <v>46384</v>
      </c>
      <c r="DZ423" s="56"/>
      <c r="EA423" s="157">
        <f>SUMPRODUCT(PRODUCE!$B416:$DY416,PRODUCE!$EB$21:$IY$21)</f>
        <v>0</v>
      </c>
      <c r="EB423" s="56"/>
      <c r="EC423" s="157">
        <f t="shared" si="2769"/>
        <v>0</v>
      </c>
      <c r="ED423" s="157">
        <f t="shared" si="2770"/>
        <v>0</v>
      </c>
      <c r="EE423" s="56"/>
      <c r="EH423" s="55">
        <f t="shared" si="2771"/>
        <v>46384</v>
      </c>
      <c r="EI423" s="56"/>
      <c r="EJ423" s="162">
        <f>SUMPRODUCT(PRODUCE!$B416:$DY416,PRODUCE!$EB$22:$IY$22)</f>
        <v>0</v>
      </c>
      <c r="EK423" s="56"/>
      <c r="EL423" s="162">
        <f t="shared" si="2772"/>
        <v>0</v>
      </c>
      <c r="EM423" s="162">
        <f t="shared" si="2773"/>
        <v>0</v>
      </c>
      <c r="EN423" s="56"/>
      <c r="EQ423" s="55">
        <f t="shared" si="2774"/>
        <v>46384</v>
      </c>
      <c r="ER423" s="56"/>
      <c r="ES423" s="135">
        <f>SUMPRODUCT(PRODUCE!$B416:$DY416,PRODUCE!$EB$23:$IY$23)</f>
        <v>0</v>
      </c>
      <c r="ET423" s="56"/>
      <c r="EU423" s="135">
        <f t="shared" si="2775"/>
        <v>0</v>
      </c>
      <c r="EV423" s="135">
        <f t="shared" si="2776"/>
        <v>0</v>
      </c>
      <c r="EW423" s="56"/>
      <c r="EZ423" s="55">
        <f t="shared" si="2777"/>
        <v>46384</v>
      </c>
      <c r="FA423" s="56"/>
      <c r="FB423" s="175">
        <f>SUMPRODUCT(PRODUCE!$B416:$DY416,PRODUCE!$EB$24:$IY$24)</f>
        <v>0</v>
      </c>
      <c r="FC423" s="56"/>
      <c r="FD423" s="175">
        <f t="shared" si="2778"/>
        <v>0</v>
      </c>
      <c r="FE423" s="175">
        <f t="shared" si="2779"/>
        <v>0</v>
      </c>
      <c r="FF423" s="56"/>
      <c r="FI423" s="55">
        <f t="shared" si="2780"/>
        <v>46384</v>
      </c>
      <c r="FJ423" s="56"/>
      <c r="FK423" s="183">
        <f>SUMPRODUCT(PRODUCE!$B416:$DY416,PRODUCE!$EB$25:$IY$25)</f>
        <v>0</v>
      </c>
      <c r="FL423" s="56"/>
      <c r="FM423" s="183">
        <f t="shared" si="2781"/>
        <v>0</v>
      </c>
      <c r="FN423" s="183">
        <f t="shared" si="2782"/>
        <v>0</v>
      </c>
      <c r="FO423" s="56"/>
      <c r="FR423" s="55">
        <f t="shared" si="2783"/>
        <v>46384</v>
      </c>
      <c r="FS423" s="56"/>
      <c r="FT423" s="186">
        <f>SUMPRODUCT(PRODUCE!$B416:$DY416,PRODUCE!$EB$26:$IY$26)</f>
        <v>0</v>
      </c>
      <c r="FU423" s="56"/>
      <c r="FV423" s="186">
        <f t="shared" si="2784"/>
        <v>0</v>
      </c>
      <c r="FW423" s="186">
        <f t="shared" si="2785"/>
        <v>2020</v>
      </c>
      <c r="FX423" s="56"/>
      <c r="GA423" s="55">
        <f t="shared" si="2786"/>
        <v>46384</v>
      </c>
      <c r="GB423" s="56"/>
      <c r="GC423" s="137">
        <f>SUMPRODUCT(PRODUCE!$B416:$DY416,PRODUCE!$EB$27:$IY$27)</f>
        <v>0</v>
      </c>
      <c r="GD423" s="56"/>
      <c r="GE423" s="137">
        <f t="shared" si="2787"/>
        <v>0</v>
      </c>
      <c r="GF423" s="137">
        <f t="shared" si="2788"/>
        <v>960</v>
      </c>
      <c r="GG423" s="56"/>
      <c r="GI423" s="23"/>
      <c r="GJ423" s="55">
        <f t="shared" si="2789"/>
        <v>46384</v>
      </c>
      <c r="GK423" s="56"/>
      <c r="GL423" s="199">
        <f>SUMPRODUCT(PRODUCE!$B416:$DY416,PRODUCE!$EB$28:$IY$28)</f>
        <v>0</v>
      </c>
      <c r="GM423" s="56"/>
      <c r="GN423" s="199">
        <f t="shared" si="2790"/>
        <v>0</v>
      </c>
      <c r="GO423" s="199">
        <f t="shared" si="2791"/>
        <v>1760</v>
      </c>
      <c r="GP423" s="56"/>
      <c r="GS423" s="55">
        <f t="shared" si="2792"/>
        <v>46384</v>
      </c>
      <c r="GT423" s="56"/>
      <c r="GU423" s="195">
        <f>SUMPRODUCT(PRODUCE!$B416:$DY416,PRODUCE!$EB$29:$IY$29)</f>
        <v>0</v>
      </c>
      <c r="GV423" s="56"/>
      <c r="GW423" s="195">
        <f t="shared" si="2793"/>
        <v>0</v>
      </c>
      <c r="GX423" s="195">
        <f t="shared" si="2794"/>
        <v>400</v>
      </c>
      <c r="GY423" s="56"/>
      <c r="HB423" s="55">
        <f t="shared" si="2795"/>
        <v>46384</v>
      </c>
      <c r="HC423" s="56"/>
      <c r="HD423" s="191">
        <f>SUMPRODUCT(PRODUCE!$B416:$DY416,PRODUCE!$EB$30:$IY$30)</f>
        <v>0</v>
      </c>
      <c r="HE423" s="56"/>
      <c r="HF423" s="191">
        <f t="shared" si="2796"/>
        <v>0</v>
      </c>
      <c r="HG423" s="191">
        <f t="shared" si="2797"/>
        <v>3600</v>
      </c>
      <c r="HH423" s="56"/>
      <c r="HK423" s="55">
        <f t="shared" si="2798"/>
        <v>46384</v>
      </c>
      <c r="HL423" s="56"/>
      <c r="HM423" s="63">
        <f>SUMPRODUCT(PRODUCE!$B416:$DY416,PRODUCE!$EB$31:$IY$31)</f>
        <v>0</v>
      </c>
      <c r="HN423" s="56"/>
      <c r="HO423" s="63">
        <f t="shared" si="2799"/>
        <v>0</v>
      </c>
      <c r="HP423" s="63">
        <f t="shared" si="2800"/>
        <v>0</v>
      </c>
      <c r="HQ423" s="56"/>
      <c r="HU423" s="55">
        <f t="shared" si="2801"/>
        <v>46384</v>
      </c>
      <c r="HV423" s="56"/>
      <c r="HW423" s="242">
        <f>SUMPRODUCT(PRODUCE!$B416:$DY416,PRODUCE!$EB$32:$IY$32)</f>
        <v>0</v>
      </c>
      <c r="HX423" s="56"/>
      <c r="HY423" s="242">
        <f t="shared" si="2802"/>
        <v>0</v>
      </c>
      <c r="HZ423" s="242">
        <f t="shared" si="2803"/>
        <v>6120</v>
      </c>
      <c r="IA423" s="56"/>
      <c r="ID423" s="55">
        <f t="shared" si="2804"/>
        <v>46384</v>
      </c>
      <c r="IE423" s="56"/>
      <c r="IF423" s="242">
        <f>SUMPRODUCT(PRODUCE!$B416:$DY416,PRODUCE!$EB$33:$IY$33)</f>
        <v>0</v>
      </c>
      <c r="IG423" s="56"/>
      <c r="IH423" s="242">
        <f t="shared" si="2805"/>
        <v>0</v>
      </c>
      <c r="II423" s="242">
        <f t="shared" si="2806"/>
        <v>0</v>
      </c>
      <c r="IJ423" s="56"/>
      <c r="IM423" s="55">
        <f t="shared" si="2807"/>
        <v>46384</v>
      </c>
      <c r="IN423" s="56"/>
      <c r="IO423" s="242">
        <f>SUMPRODUCT(PRODUCE!$B416:$DY416,PRODUCE!$EB$34:$IY$34)</f>
        <v>0</v>
      </c>
      <c r="IP423" s="56"/>
      <c r="IQ423" s="242">
        <f t="shared" si="2808"/>
        <v>0</v>
      </c>
      <c r="IR423" s="242">
        <f t="shared" si="2809"/>
        <v>0</v>
      </c>
      <c r="IS423" s="56"/>
      <c r="IV423" s="55">
        <f t="shared" si="2810"/>
        <v>46384</v>
      </c>
      <c r="IW423" s="56"/>
      <c r="IX423" s="242">
        <f>SUMPRODUCT(PRODUCE!$B416:$DY416,PRODUCE!$EB$35:$IY$35)</f>
        <v>0</v>
      </c>
      <c r="IY423" s="56"/>
      <c r="IZ423" s="242">
        <f t="shared" si="2811"/>
        <v>0</v>
      </c>
      <c r="JA423" s="242">
        <f t="shared" si="2812"/>
        <v>2820</v>
      </c>
      <c r="JB423" s="56"/>
      <c r="JE423" s="55">
        <f t="shared" si="2813"/>
        <v>46384</v>
      </c>
      <c r="JF423" s="56"/>
      <c r="JG423" s="242">
        <f>SUMPRODUCT(PRODUCE!$B416:$DY416,PRODUCE!$EB$36:$IY$36)</f>
        <v>0</v>
      </c>
      <c r="JH423" s="56"/>
      <c r="JI423" s="242">
        <f t="shared" si="2814"/>
        <v>0</v>
      </c>
      <c r="JJ423" s="242">
        <f t="shared" si="2815"/>
        <v>0</v>
      </c>
      <c r="JK423" s="56"/>
      <c r="JN423" s="55">
        <f t="shared" si="2816"/>
        <v>46384</v>
      </c>
      <c r="JO423" s="56"/>
      <c r="JP423" s="242">
        <f>SUMPRODUCT(PRODUCE!$B416:$DY416,PRODUCE!$EB$37:$IY$37)</f>
        <v>0</v>
      </c>
      <c r="JQ423" s="56"/>
      <c r="JR423" s="242">
        <f t="shared" si="2817"/>
        <v>0</v>
      </c>
      <c r="JS423" s="242">
        <f t="shared" si="2818"/>
        <v>0</v>
      </c>
      <c r="JT423" s="56"/>
      <c r="JW423" s="55">
        <f t="shared" si="2819"/>
        <v>46384</v>
      </c>
      <c r="JX423" s="56"/>
      <c r="JY423" s="242">
        <f>SUMPRODUCT(PRODUCE!$B416:$DY416,PRODUCE!$EB$38:$IY$38)</f>
        <v>0</v>
      </c>
      <c r="JZ423" s="56"/>
      <c r="KA423" s="242">
        <f t="shared" si="2820"/>
        <v>0</v>
      </c>
      <c r="KB423" s="242">
        <f t="shared" si="2821"/>
        <v>2540</v>
      </c>
      <c r="KC423" s="56"/>
      <c r="KF423" s="55">
        <f t="shared" si="2822"/>
        <v>46384</v>
      </c>
      <c r="KG423" s="56"/>
      <c r="KH423" s="242">
        <f>SUMPRODUCT(PRODUCE!$B416:$DY416,PRODUCE!$EB$39:$IY$39)</f>
        <v>0</v>
      </c>
      <c r="KI423" s="56"/>
      <c r="KJ423" s="242">
        <f t="shared" si="2823"/>
        <v>0</v>
      </c>
      <c r="KK423" s="242">
        <f t="shared" si="2824"/>
        <v>2359.5</v>
      </c>
      <c r="KL423" s="56"/>
      <c r="KO423" s="55">
        <f t="shared" si="2825"/>
        <v>46384</v>
      </c>
      <c r="KP423" s="56"/>
      <c r="KQ423" s="242">
        <f>SUMPRODUCT(PRODUCE!$B416:$DY416,PRODUCE!$EB$40:$IY$40)</f>
        <v>0</v>
      </c>
      <c r="KR423" s="56"/>
      <c r="KS423" s="242">
        <f t="shared" si="2826"/>
        <v>0</v>
      </c>
      <c r="KT423" s="242">
        <f t="shared" si="2827"/>
        <v>1890</v>
      </c>
      <c r="KU423" s="56"/>
      <c r="KW423" s="23"/>
      <c r="KX423" s="55">
        <f t="shared" si="2828"/>
        <v>46384</v>
      </c>
      <c r="KY423" s="56"/>
      <c r="KZ423" s="242">
        <f>SUMPRODUCT(PRODUCE!$B416:$DY416,PRODUCE!$EB$41:$IY$41)</f>
        <v>0</v>
      </c>
      <c r="LA423" s="56"/>
      <c r="LB423" s="242">
        <f t="shared" si="2829"/>
        <v>0</v>
      </c>
      <c r="LC423" s="242">
        <f t="shared" si="2830"/>
        <v>3690</v>
      </c>
      <c r="LD423" s="56"/>
      <c r="LG423" s="55">
        <f t="shared" si="2831"/>
        <v>46384</v>
      </c>
      <c r="LH423" s="56"/>
      <c r="LI423" s="242">
        <f>SUMPRODUCT(PRODUCE!$B416:$DY416,PRODUCE!$EB$42:$IY$42)</f>
        <v>0</v>
      </c>
      <c r="LJ423" s="56"/>
      <c r="LK423" s="242">
        <f t="shared" si="2832"/>
        <v>0</v>
      </c>
      <c r="LL423" s="242">
        <f t="shared" si="2833"/>
        <v>4000</v>
      </c>
      <c r="LM423" s="56"/>
      <c r="LP423" s="55">
        <f t="shared" si="2834"/>
        <v>46384</v>
      </c>
      <c r="LQ423" s="56"/>
      <c r="LR423" s="242">
        <f>SUMPRODUCT(PRODUCE!$B438:$DY438,PRODUCE!$EB$43:$IY$43)</f>
        <v>0</v>
      </c>
      <c r="LS423" s="56"/>
      <c r="LT423" s="242">
        <f t="shared" si="2835"/>
        <v>0</v>
      </c>
      <c r="LU423" s="242">
        <f t="shared" si="2836"/>
        <v>0</v>
      </c>
      <c r="LV423" s="56"/>
      <c r="LY423" s="55">
        <f t="shared" si="2837"/>
        <v>46384</v>
      </c>
      <c r="LZ423" s="56"/>
      <c r="MA423" s="242">
        <f>SUMPRODUCT(PRODUCE!$B416:$DY416,PRODUCE!$EB$44:$IY$44)</f>
        <v>0</v>
      </c>
      <c r="MB423" s="56"/>
      <c r="MC423" s="242">
        <f t="shared" si="2838"/>
        <v>0</v>
      </c>
      <c r="MD423" s="242">
        <f t="shared" si="2839"/>
        <v>0</v>
      </c>
      <c r="ME423" s="56"/>
      <c r="MH423" s="55">
        <f t="shared" si="2840"/>
        <v>46384</v>
      </c>
      <c r="MI423" s="56"/>
      <c r="MJ423" s="242">
        <f>SUMPRODUCT(PRODUCE!$B416:$DY416,PRODUCE!$EB$45:$IY$45)</f>
        <v>0</v>
      </c>
      <c r="MK423" s="56"/>
      <c r="ML423" s="242">
        <f t="shared" si="2841"/>
        <v>0</v>
      </c>
      <c r="MM423" s="242">
        <f t="shared" si="2842"/>
        <v>-18</v>
      </c>
      <c r="MN423" s="56"/>
      <c r="MQ423" s="55">
        <f t="shared" si="2843"/>
        <v>46384</v>
      </c>
      <c r="MR423" s="56"/>
      <c r="MS423" s="242">
        <f>SUMPRODUCT(PRODUCE!$B416:$DY416,PRODUCE!$EB$46:$IY$46)</f>
        <v>0</v>
      </c>
      <c r="MT423" s="56"/>
      <c r="MU423" s="242">
        <f t="shared" si="2844"/>
        <v>0</v>
      </c>
      <c r="MV423" s="242">
        <f t="shared" si="2845"/>
        <v>1559</v>
      </c>
      <c r="MW423" s="56"/>
      <c r="MZ423" s="55">
        <f t="shared" si="2846"/>
        <v>46384</v>
      </c>
      <c r="NA423" s="56"/>
      <c r="NB423" s="242">
        <f>SUMPRODUCT(PRODUCE!$B416:$DY416,PRODUCE!$EB$47:$IY$47)</f>
        <v>0</v>
      </c>
      <c r="NC423" s="56"/>
      <c r="ND423" s="242">
        <f t="shared" si="2847"/>
        <v>0</v>
      </c>
      <c r="NE423" s="242">
        <f t="shared" si="2848"/>
        <v>0</v>
      </c>
      <c r="NF423" s="56"/>
      <c r="NI423" s="55">
        <f t="shared" si="2849"/>
        <v>46384</v>
      </c>
      <c r="NJ423" s="56"/>
      <c r="NK423" s="242">
        <f>SUMPRODUCT(PRODUCE!$B416:$DY416,PRODUCE!$EB$48:$IY$48)</f>
        <v>0</v>
      </c>
      <c r="NL423" s="56"/>
      <c r="NM423" s="242">
        <f t="shared" si="2850"/>
        <v>0</v>
      </c>
      <c r="NN423" s="242">
        <f t="shared" si="2851"/>
        <v>1127</v>
      </c>
      <c r="NO423" s="56"/>
      <c r="NR423" s="55">
        <f t="shared" si="2852"/>
        <v>46384</v>
      </c>
      <c r="NS423" s="56"/>
      <c r="NT423" s="242">
        <f>SUMPRODUCT(PRODUCE!$B416:$DY416,PRODUCE!$EB$49:$IY$49)</f>
        <v>0</v>
      </c>
      <c r="NU423" s="56"/>
      <c r="NV423" s="242">
        <f t="shared" si="2853"/>
        <v>0</v>
      </c>
      <c r="NW423" s="242">
        <f t="shared" si="2854"/>
        <v>3111.9999999999995</v>
      </c>
      <c r="NX423" s="56"/>
      <c r="OA423" s="55">
        <f t="shared" si="2855"/>
        <v>46384</v>
      </c>
      <c r="OB423" s="56"/>
      <c r="OC423" s="242">
        <f>SUMPRODUCT(PRODUCE!$B416:$DY416,PRODUCE!$EB$50:$IY$50)</f>
        <v>0</v>
      </c>
      <c r="OD423" s="56"/>
      <c r="OE423" s="242">
        <f t="shared" si="2856"/>
        <v>0</v>
      </c>
      <c r="OF423" s="242">
        <f t="shared" si="2857"/>
        <v>1680.5</v>
      </c>
      <c r="OG423" s="56"/>
      <c r="OJ423" s="55">
        <f t="shared" si="2858"/>
        <v>46384</v>
      </c>
      <c r="OK423" s="56"/>
      <c r="OL423" s="242">
        <f>SUMPRODUCT(PRODUCE!$B416:$DY416,PRODUCE!$EB$51:$IY$51)</f>
        <v>0</v>
      </c>
      <c r="OM423" s="56"/>
      <c r="ON423" s="242">
        <f t="shared" si="2859"/>
        <v>0</v>
      </c>
      <c r="OO423" s="242">
        <f t="shared" si="2860"/>
        <v>0</v>
      </c>
      <c r="OP423" s="56"/>
      <c r="OS423" s="55">
        <f t="shared" si="2861"/>
        <v>46384</v>
      </c>
      <c r="OT423" s="56"/>
      <c r="OU423" s="242">
        <f>SUMPRODUCT(PRODUCE!$B416:$DY416,PRODUCE!$EB$52:$IY$52)</f>
        <v>0</v>
      </c>
      <c r="OV423" s="56"/>
      <c r="OW423" s="242">
        <f t="shared" si="2862"/>
        <v>0</v>
      </c>
      <c r="OX423" s="242">
        <f t="shared" si="2863"/>
        <v>1482</v>
      </c>
      <c r="OY423" s="56"/>
      <c r="PB423" s="55">
        <f t="shared" si="2864"/>
        <v>46384</v>
      </c>
      <c r="PC423" s="56"/>
      <c r="PD423" s="242">
        <f>SUMPRODUCT(PRODUCE!$B416:$DY416,PRODUCE!$EB$53:$IY$53)</f>
        <v>0</v>
      </c>
      <c r="PE423" s="56"/>
      <c r="PF423" s="242">
        <f t="shared" si="2865"/>
        <v>0</v>
      </c>
      <c r="PG423" s="242">
        <f t="shared" si="2866"/>
        <v>0</v>
      </c>
      <c r="PH423" s="56"/>
      <c r="PK423" s="55">
        <f t="shared" si="2867"/>
        <v>46384</v>
      </c>
      <c r="PL423" s="56"/>
      <c r="PM423" s="242">
        <f>SUMPRODUCT(PRODUCE!$B416:$DY416,PRODUCE!$EB$54:$IY$54)</f>
        <v>0</v>
      </c>
      <c r="PN423" s="56"/>
      <c r="PO423" s="242">
        <f t="shared" si="2868"/>
        <v>0</v>
      </c>
      <c r="PP423" s="242">
        <f t="shared" si="2869"/>
        <v>100</v>
      </c>
      <c r="PQ423" s="56"/>
      <c r="PT423" s="55">
        <f t="shared" si="2870"/>
        <v>46384</v>
      </c>
      <c r="PU423" s="56"/>
      <c r="PV423" s="242">
        <f>SUMPRODUCT(PRODUCE!$B416:$DY416,PRODUCE!$EB$55:$IY$55)</f>
        <v>0</v>
      </c>
      <c r="PW423" s="56"/>
      <c r="PX423" s="242">
        <f t="shared" si="2871"/>
        <v>0</v>
      </c>
      <c r="PY423" s="242">
        <f t="shared" si="2872"/>
        <v>13.960000000000036</v>
      </c>
      <c r="PZ423" s="56"/>
      <c r="QC423" s="55">
        <f t="shared" si="2873"/>
        <v>46384</v>
      </c>
      <c r="QD423" s="56"/>
      <c r="QE423" s="242">
        <f>SUMPRODUCT(PRODUCE!$B416:$DY416,PRODUCE!$EB$56:$IY$56)</f>
        <v>0</v>
      </c>
      <c r="QF423" s="56"/>
      <c r="QG423" s="242">
        <f t="shared" si="2874"/>
        <v>0</v>
      </c>
      <c r="QH423" s="242">
        <f t="shared" si="2875"/>
        <v>548</v>
      </c>
      <c r="QI423" s="56"/>
      <c r="QL423" s="55">
        <f t="shared" si="2876"/>
        <v>46384</v>
      </c>
      <c r="QM423" s="56"/>
      <c r="QN423" s="242">
        <f>SUMPRODUCT(PRODUCE!$B416:$DY416,PRODUCE!$EB$57:$IY$57)</f>
        <v>0</v>
      </c>
      <c r="QO423" s="56"/>
      <c r="QP423" s="242">
        <f t="shared" si="2877"/>
        <v>0</v>
      </c>
      <c r="QQ423" s="242">
        <f t="shared" si="2878"/>
        <v>0</v>
      </c>
      <c r="QR423" s="56"/>
      <c r="QU423" s="55">
        <f t="shared" si="2879"/>
        <v>46384</v>
      </c>
      <c r="QV423" s="56"/>
      <c r="QW423" s="242">
        <f>SUMPRODUCT(PRODUCE!$B416:$DY416,PRODUCE!$EB$57:$IY$57)</f>
        <v>0</v>
      </c>
      <c r="QX423" s="56"/>
      <c r="QY423" s="242">
        <f t="shared" si="2880"/>
        <v>0</v>
      </c>
      <c r="QZ423" s="242">
        <f t="shared" si="2881"/>
        <v>0</v>
      </c>
      <c r="RA423" s="56"/>
      <c r="RD423" s="55">
        <f t="shared" si="2882"/>
        <v>46384</v>
      </c>
      <c r="RE423" s="56"/>
      <c r="RF423" s="242">
        <f>SUMPRODUCT(PRODUCE!$B416:$DY416,PRODUCE!$EB$58:$IY$58)</f>
        <v>0</v>
      </c>
      <c r="RG423" s="56"/>
      <c r="RH423" s="242">
        <f t="shared" si="2883"/>
        <v>0</v>
      </c>
      <c r="RI423" s="242">
        <f t="shared" si="2884"/>
        <v>147.04000000000002</v>
      </c>
      <c r="RJ423" s="56"/>
      <c r="RM423" s="55">
        <f t="shared" si="2885"/>
        <v>46384</v>
      </c>
      <c r="RN423" s="56"/>
      <c r="RO423" s="242">
        <f>SUMPRODUCT(PRODUCE!$B416:$DY416,PRODUCE!$EB$57:$IY$57)</f>
        <v>0</v>
      </c>
      <c r="RP423" s="56"/>
      <c r="RQ423" s="242">
        <f t="shared" si="2886"/>
        <v>0</v>
      </c>
      <c r="RR423" s="242">
        <f t="shared" si="2887"/>
        <v>46.8</v>
      </c>
      <c r="RS423" s="56"/>
      <c r="RV423" s="55">
        <f t="shared" si="2888"/>
        <v>46384</v>
      </c>
      <c r="RW423" s="56"/>
      <c r="RX423" s="242">
        <f>SUMPRODUCT(PRODUCE!$B416:$DY416,PRODUCE!$EB$57:$IY$57)</f>
        <v>0</v>
      </c>
      <c r="RY423" s="56"/>
      <c r="RZ423" s="242">
        <f t="shared" si="2889"/>
        <v>0</v>
      </c>
      <c r="SA423" s="242">
        <f t="shared" si="2890"/>
        <v>0</v>
      </c>
      <c r="SB423" s="56"/>
      <c r="SE423" s="55">
        <f t="shared" si="2891"/>
        <v>46384</v>
      </c>
      <c r="SF423" s="56"/>
      <c r="SG423" s="242">
        <f>SUMPRODUCT(PRODUCE!$B416:$DY416,PRODUCE!$EB$61:$IY$61)</f>
        <v>0</v>
      </c>
      <c r="SH423" s="56"/>
      <c r="SI423" s="242">
        <f t="shared" si="2892"/>
        <v>0</v>
      </c>
      <c r="SJ423" s="242">
        <f t="shared" si="2893"/>
        <v>24.200000000000003</v>
      </c>
      <c r="SK423" s="56"/>
      <c r="SN423" s="55">
        <f t="shared" si="2894"/>
        <v>46384</v>
      </c>
      <c r="SO423" s="56"/>
      <c r="SP423" s="242">
        <f>SUMPRODUCT(PRODUCE!$B416:$DY416,PRODUCE!$EB$57:$IY$57)</f>
        <v>0</v>
      </c>
      <c r="SQ423" s="56"/>
      <c r="SR423" s="242">
        <f t="shared" si="2895"/>
        <v>0</v>
      </c>
      <c r="SS423" s="242">
        <f t="shared" si="2896"/>
        <v>32</v>
      </c>
      <c r="ST423" s="56"/>
      <c r="SW423" s="55">
        <f t="shared" si="2897"/>
        <v>46384</v>
      </c>
      <c r="SX423" s="56"/>
      <c r="SY423" s="242">
        <f>SUMPRODUCT(PRODUCE!$B416:$DY416,PRODUCE!$EB$57:$IY$57)</f>
        <v>0</v>
      </c>
      <c r="SZ423" s="56"/>
      <c r="TA423" s="242">
        <f t="shared" si="2898"/>
        <v>0</v>
      </c>
      <c r="TB423" s="242">
        <f t="shared" si="2899"/>
        <v>0</v>
      </c>
      <c r="TC423" s="56"/>
      <c r="TF423" s="55">
        <f t="shared" si="2900"/>
        <v>46384</v>
      </c>
      <c r="TG423" s="56"/>
      <c r="TH423" s="242">
        <f>SUMPRODUCT(PRODUCE!$B416:$DY416,PRODUCE!$EB$57:$IY$57)</f>
        <v>0</v>
      </c>
      <c r="TI423" s="56"/>
      <c r="TJ423" s="242">
        <f t="shared" si="2901"/>
        <v>0</v>
      </c>
      <c r="TK423" s="242">
        <f t="shared" si="2902"/>
        <v>0</v>
      </c>
      <c r="TL423" s="56"/>
      <c r="TO423" s="55">
        <f t="shared" si="2903"/>
        <v>46384</v>
      </c>
      <c r="TP423" s="56"/>
      <c r="TQ423" s="242">
        <f>SUMPRODUCT(PRODUCE!$B416:$DY416,PRODUCE!$EB$57:$IY$57)</f>
        <v>0</v>
      </c>
      <c r="TR423" s="56"/>
      <c r="TS423" s="242">
        <f t="shared" si="2904"/>
        <v>0</v>
      </c>
      <c r="TT423" s="242">
        <f t="shared" si="2905"/>
        <v>0</v>
      </c>
      <c r="TU423" s="56"/>
      <c r="TX423" s="55">
        <f t="shared" si="2906"/>
        <v>46384</v>
      </c>
      <c r="TY423" s="56"/>
      <c r="TZ423" s="242">
        <f>SUMPRODUCT(PRODUCE!$B416:$DY416,PRODUCE!$EB$57:$IY$57)</f>
        <v>0</v>
      </c>
      <c r="UA423" s="56"/>
      <c r="UB423" s="242">
        <f t="shared" si="2907"/>
        <v>0</v>
      </c>
      <c r="UC423" s="242">
        <f t="shared" si="2908"/>
        <v>46.799999999999983</v>
      </c>
      <c r="UD423" s="56"/>
      <c r="UG423" s="55">
        <f t="shared" si="2909"/>
        <v>46384</v>
      </c>
      <c r="UH423" s="56"/>
      <c r="UI423" s="242">
        <f>SUMPRODUCT(PRODUCE!$B416:$DY416,PRODUCE!$EB$57:$IY$57)</f>
        <v>0</v>
      </c>
      <c r="UJ423" s="56"/>
      <c r="UK423" s="242">
        <f t="shared" si="2910"/>
        <v>0</v>
      </c>
      <c r="UL423" s="242">
        <f t="shared" si="2911"/>
        <v>204</v>
      </c>
      <c r="UM423" s="56"/>
      <c r="UP423" s="55">
        <f t="shared" si="2912"/>
        <v>46384</v>
      </c>
      <c r="UQ423" s="56"/>
      <c r="UR423" s="242">
        <f>SUMPRODUCT(PRODUCE!$B416:$DY416,PRODUCE!$EB$57:$IY$57)</f>
        <v>0</v>
      </c>
      <c r="US423" s="56"/>
      <c r="UT423" s="242">
        <f t="shared" si="2913"/>
        <v>0</v>
      </c>
      <c r="UU423" s="242">
        <f t="shared" si="2914"/>
        <v>202.5</v>
      </c>
      <c r="UV423" s="56"/>
      <c r="UY423" s="55">
        <f t="shared" si="2915"/>
        <v>46384</v>
      </c>
      <c r="UZ423" s="56"/>
      <c r="VA423" s="242">
        <f>SUMPRODUCT(PRODUCE!$B416:$DY416,PRODUCE!$EB$57:$IY$57)</f>
        <v>0</v>
      </c>
      <c r="VB423" s="56"/>
      <c r="VC423" s="242">
        <f t="shared" si="2916"/>
        <v>0</v>
      </c>
      <c r="VD423" s="242">
        <f t="shared" si="2917"/>
        <v>41.600000000000023</v>
      </c>
      <c r="VE423" s="56"/>
      <c r="VH423" s="55">
        <f t="shared" si="2918"/>
        <v>46384</v>
      </c>
      <c r="VI423" s="56"/>
      <c r="VJ423" s="242">
        <f>SUMPRODUCT(PRODUCE!$B416:$DY416,PRODUCE!$EB$57:$IY$57)</f>
        <v>0</v>
      </c>
      <c r="VK423" s="56"/>
      <c r="VL423" s="242">
        <f t="shared" si="2919"/>
        <v>0</v>
      </c>
      <c r="VM423" s="242">
        <f t="shared" si="2920"/>
        <v>210</v>
      </c>
      <c r="VN423" s="56"/>
      <c r="VQ423" s="55">
        <f t="shared" si="2921"/>
        <v>46384</v>
      </c>
      <c r="VR423" s="56"/>
      <c r="VS423" s="242">
        <f>SUMPRODUCT(PRODUCE!$B416:$DY416,PRODUCE!$EB$57:$IY$57)</f>
        <v>0</v>
      </c>
      <c r="VT423" s="56"/>
      <c r="VU423" s="242">
        <f t="shared" si="2922"/>
        <v>0</v>
      </c>
      <c r="VV423" s="242">
        <f t="shared" si="2923"/>
        <v>0</v>
      </c>
      <c r="VW423" s="56"/>
      <c r="VZ423" s="55">
        <f t="shared" si="2924"/>
        <v>46384</v>
      </c>
      <c r="WA423" s="56"/>
      <c r="WB423" s="242">
        <f>SUMPRODUCT(PRODUCE!$B416:$DY416,PRODUCE!$EB$57:$IY$57)</f>
        <v>0</v>
      </c>
      <c r="WC423" s="56"/>
      <c r="WD423" s="242">
        <f t="shared" si="2925"/>
        <v>0</v>
      </c>
      <c r="WE423" s="242">
        <f t="shared" si="2926"/>
        <v>0</v>
      </c>
      <c r="WF423" s="56"/>
      <c r="WI423" s="55">
        <f t="shared" si="2927"/>
        <v>46384</v>
      </c>
      <c r="WJ423" s="56"/>
      <c r="WK423" s="242">
        <f>SUMPRODUCT(PRODUCE!$B416:$DY416,PRODUCE!$EB$57:$IY$57)</f>
        <v>0</v>
      </c>
      <c r="WL423" s="56"/>
      <c r="WM423" s="242">
        <f t="shared" si="2928"/>
        <v>0</v>
      </c>
      <c r="WN423" s="242">
        <f t="shared" si="2929"/>
        <v>1057</v>
      </c>
      <c r="WO423" s="56"/>
      <c r="WR423" s="55">
        <f t="shared" si="2930"/>
        <v>46384</v>
      </c>
      <c r="WS423" s="56"/>
      <c r="WT423" s="242">
        <f>SUMPRODUCT(PRODUCE!$B416:$DY416,PRODUCE!$EB$57:$IY$57)</f>
        <v>0</v>
      </c>
      <c r="WU423" s="56"/>
      <c r="WV423" s="242">
        <f t="shared" si="2931"/>
        <v>0</v>
      </c>
      <c r="WW423" s="242">
        <f t="shared" si="2932"/>
        <v>0</v>
      </c>
      <c r="WX423" s="56"/>
      <c r="XA423" s="55">
        <f t="shared" si="2933"/>
        <v>46384</v>
      </c>
      <c r="XB423" s="56"/>
      <c r="XC423" s="242">
        <f>SUMPRODUCT(PRODUCE!$B416:$DY416,PRODUCE!$EB$57:$IY$57)</f>
        <v>0</v>
      </c>
      <c r="XD423" s="56"/>
      <c r="XE423" s="242">
        <f t="shared" si="2934"/>
        <v>0</v>
      </c>
      <c r="XF423" s="242">
        <f t="shared" si="2935"/>
        <v>7507</v>
      </c>
      <c r="XG423" s="56"/>
      <c r="XJ423" s="55">
        <f t="shared" si="2936"/>
        <v>46384</v>
      </c>
      <c r="XK423" s="56"/>
      <c r="XL423" s="242">
        <f>SUMPRODUCT(PRODUCE!$B416:$DY416,PRODUCE!$EB$57:$IY$57)</f>
        <v>0</v>
      </c>
      <c r="XM423" s="56"/>
      <c r="XN423" s="242">
        <f t="shared" si="2937"/>
        <v>0</v>
      </c>
      <c r="XO423" s="242">
        <f t="shared" si="2938"/>
        <v>4252</v>
      </c>
      <c r="XP423" s="56"/>
      <c r="XS423" s="55">
        <f t="shared" si="2939"/>
        <v>46384</v>
      </c>
      <c r="XT423" s="56"/>
      <c r="XU423" s="242">
        <f>SUMPRODUCT(PRODUCE!$B416:$DY416,PRODUCE!$EB$57:$IY$57)</f>
        <v>0</v>
      </c>
      <c r="XV423" s="56"/>
      <c r="XW423" s="242">
        <f t="shared" si="2940"/>
        <v>0</v>
      </c>
      <c r="XX423" s="242">
        <f t="shared" si="2941"/>
        <v>2179</v>
      </c>
      <c r="XY423" s="56"/>
      <c r="YB423" s="55">
        <f t="shared" si="2942"/>
        <v>46384</v>
      </c>
      <c r="YC423" s="56"/>
      <c r="YD423" s="242">
        <f>SUMPRODUCT(PRODUCE!$B416:$DY416,PRODUCE!$EB$57:$IY$57)</f>
        <v>0</v>
      </c>
      <c r="YE423" s="56"/>
      <c r="YF423" s="242">
        <f t="shared" si="2943"/>
        <v>0</v>
      </c>
      <c r="YG423" s="242">
        <f t="shared" si="2944"/>
        <v>4019</v>
      </c>
      <c r="YH423" s="56"/>
      <c r="YK423" s="55">
        <f t="shared" si="2945"/>
        <v>46384</v>
      </c>
      <c r="YL423" s="56"/>
      <c r="YM423" s="242">
        <f>SUMPRODUCT(PRODUCE!$B416:$DY416,PRODUCE!$EB$57:$IY$57)</f>
        <v>0</v>
      </c>
      <c r="YN423" s="56"/>
      <c r="YO423" s="242">
        <f t="shared" si="2946"/>
        <v>0</v>
      </c>
      <c r="YP423" s="242">
        <f t="shared" si="2947"/>
        <v>-218</v>
      </c>
      <c r="YQ423" s="56"/>
      <c r="YT423" s="55">
        <f t="shared" si="2948"/>
        <v>46384</v>
      </c>
      <c r="YU423" s="56"/>
      <c r="YV423" s="242">
        <f>SUMPRODUCT(PRODUCE!$B416:$DY416,PRODUCE!$EB$57:$IY$57)</f>
        <v>0</v>
      </c>
      <c r="YW423" s="56"/>
      <c r="YX423" s="242">
        <f t="shared" si="2949"/>
        <v>0</v>
      </c>
      <c r="YY423" s="242">
        <f t="shared" si="2950"/>
        <v>0</v>
      </c>
      <c r="YZ423" s="56"/>
      <c r="ZC423" s="55">
        <f t="shared" si="2951"/>
        <v>46384</v>
      </c>
      <c r="ZD423" s="56"/>
      <c r="ZE423" s="242">
        <f>SUMPRODUCT(PRODUCE!$B416:$DY416,PRODUCE!$EB$57:$IY$57)</f>
        <v>0</v>
      </c>
      <c r="ZF423" s="56"/>
      <c r="ZG423" s="242">
        <f t="shared" si="2952"/>
        <v>0</v>
      </c>
      <c r="ZH423" s="242">
        <f t="shared" si="2953"/>
        <v>0</v>
      </c>
      <c r="ZI423" s="56"/>
      <c r="ZL423" s="55">
        <f t="shared" si="2954"/>
        <v>46384</v>
      </c>
      <c r="ZM423" s="56"/>
      <c r="ZN423" s="242">
        <f>SUMPRODUCT(PRODUCE!$B416:$DY416,PRODUCE!$EB$57:$IY$57)</f>
        <v>0</v>
      </c>
      <c r="ZO423" s="56"/>
      <c r="ZP423" s="242">
        <f t="shared" si="2955"/>
        <v>0</v>
      </c>
      <c r="ZQ423" s="242">
        <f t="shared" si="2956"/>
        <v>0</v>
      </c>
      <c r="ZR423" s="56"/>
      <c r="ZU423" s="55">
        <f t="shared" si="2957"/>
        <v>46384</v>
      </c>
      <c r="ZV423" s="56"/>
      <c r="ZW423" s="242">
        <f>SUMPRODUCT(PRODUCE!$B416:$DY416,PRODUCE!$EB$57:$IY$57)</f>
        <v>0</v>
      </c>
      <c r="ZX423" s="56"/>
      <c r="ZY423" s="242">
        <f t="shared" si="2958"/>
        <v>0</v>
      </c>
      <c r="ZZ423" s="242">
        <f t="shared" si="2959"/>
        <v>0</v>
      </c>
      <c r="AAA423" s="56"/>
      <c r="AAD423" s="55">
        <f t="shared" si="2960"/>
        <v>46384</v>
      </c>
      <c r="AAE423" s="56"/>
      <c r="AAF423" s="242">
        <f>SUMPRODUCT(PRODUCE!$B416:$DY416,PRODUCE!$EB$57:$IY$57)</f>
        <v>0</v>
      </c>
      <c r="AAG423" s="56"/>
      <c r="AAH423" s="242">
        <f t="shared" si="2961"/>
        <v>0</v>
      </c>
      <c r="AAI423" s="242">
        <f t="shared" si="2962"/>
        <v>0</v>
      </c>
      <c r="AAJ423" s="56"/>
      <c r="AAM423" s="55">
        <f t="shared" si="2963"/>
        <v>46384</v>
      </c>
      <c r="AAN423" s="56"/>
      <c r="AAO423" s="242">
        <f>SUMPRODUCT(PRODUCE!$B416:$DY416,PRODUCE!$EB$57:$IY$57)</f>
        <v>0</v>
      </c>
      <c r="AAP423" s="56"/>
      <c r="AAQ423" s="242">
        <f t="shared" si="2964"/>
        <v>0</v>
      </c>
      <c r="AAR423" s="242">
        <f t="shared" si="2965"/>
        <v>0</v>
      </c>
      <c r="AAS423" s="56"/>
      <c r="AAV423" s="55">
        <f t="shared" si="2966"/>
        <v>46384</v>
      </c>
      <c r="AAW423" s="56"/>
      <c r="AAX423" s="242">
        <f>SUMPRODUCT(PRODUCE!$B416:$DY416,PRODUCE!$EB$57:$IY$57)</f>
        <v>0</v>
      </c>
      <c r="AAY423" s="56"/>
      <c r="AAZ423" s="242">
        <f t="shared" si="2967"/>
        <v>0</v>
      </c>
      <c r="ABA423" s="242">
        <f t="shared" si="2968"/>
        <v>0</v>
      </c>
      <c r="ABB423" s="56"/>
      <c r="ABE423" s="55">
        <f t="shared" si="2969"/>
        <v>46384</v>
      </c>
      <c r="ABF423" s="56"/>
      <c r="ABG423" s="242">
        <f>SUMPRODUCT(PRODUCE!$B416:$DY416,PRODUCE!$EB$57:$IY$57)</f>
        <v>0</v>
      </c>
      <c r="ABH423" s="56"/>
      <c r="ABI423" s="242">
        <f t="shared" si="2970"/>
        <v>0</v>
      </c>
      <c r="ABJ423" s="242">
        <f t="shared" si="2971"/>
        <v>0</v>
      </c>
      <c r="ABK423" s="56"/>
    </row>
    <row r="424" spans="2:739" s="54" customFormat="1" ht="15" customHeight="1" outlineLevel="1">
      <c r="B424" s="478"/>
      <c r="C424" s="55">
        <v>46385</v>
      </c>
      <c r="D424" s="56"/>
      <c r="E424" s="57">
        <f>SUMPRODUCT(PRODUCE!$B417:$DY417,PRODUCE!$EB$7:$IY$7)</f>
        <v>0</v>
      </c>
      <c r="F424" s="56"/>
      <c r="G424" s="57">
        <f t="shared" si="2727"/>
        <v>0</v>
      </c>
      <c r="H424" s="57">
        <f t="shared" si="2728"/>
        <v>236936.6</v>
      </c>
      <c r="I424" s="289"/>
      <c r="L424" s="55">
        <f t="shared" si="2729"/>
        <v>46385</v>
      </c>
      <c r="M424" s="56"/>
      <c r="N424" s="59">
        <f>SUMPRODUCT(PRODUCE!$B417:$DY417,PRODUCE!$EB$8:$IY$8)</f>
        <v>0</v>
      </c>
      <c r="O424" s="56"/>
      <c r="P424" s="59">
        <f t="shared" si="2730"/>
        <v>0</v>
      </c>
      <c r="Q424" s="59">
        <f t="shared" si="2731"/>
        <v>53017.600000000071</v>
      </c>
      <c r="R424" s="56"/>
      <c r="U424" s="55">
        <f t="shared" si="2732"/>
        <v>46385</v>
      </c>
      <c r="V424" s="56"/>
      <c r="W424" s="60">
        <f>SUMPRODUCT(PRODUCE!$B417:$DY417,PRODUCE!$EB$9:$IY$9)</f>
        <v>0</v>
      </c>
      <c r="X424" s="56"/>
      <c r="Y424" s="60">
        <f t="shared" si="2733"/>
        <v>0</v>
      </c>
      <c r="Z424" s="60">
        <f t="shared" si="2734"/>
        <v>42674.199999999968</v>
      </c>
      <c r="AA424" s="56"/>
      <c r="AD424" s="55">
        <f t="shared" si="2735"/>
        <v>46385</v>
      </c>
      <c r="AE424" s="56"/>
      <c r="AF424" s="61">
        <f>SUMPRODUCT(PRODUCE!$B417:$DY417,PRODUCE!$EB$10:$IY$10)</f>
        <v>0</v>
      </c>
      <c r="AG424" s="56"/>
      <c r="AH424" s="61">
        <f t="shared" si="2736"/>
        <v>0</v>
      </c>
      <c r="AI424" s="61">
        <f t="shared" si="2737"/>
        <v>4522.2000000000189</v>
      </c>
      <c r="AJ424" s="56"/>
      <c r="AM424" s="55">
        <f t="shared" si="2738"/>
        <v>46385</v>
      </c>
      <c r="AN424" s="422"/>
      <c r="AO424" s="444">
        <f>SUMPRODUCT(PRODUCE!$B417:$DY417,PRODUCE!$EB$11:$IY$11)</f>
        <v>0</v>
      </c>
      <c r="AP424" s="422"/>
      <c r="AQ424" s="444">
        <f t="shared" si="2739"/>
        <v>0</v>
      </c>
      <c r="AR424" s="444">
        <f t="shared" si="2740"/>
        <v>0</v>
      </c>
      <c r="AS424" s="56"/>
      <c r="AV424" s="55">
        <f t="shared" si="2741"/>
        <v>46385</v>
      </c>
      <c r="AW424" s="56"/>
      <c r="AX424" s="62">
        <f>SUMPRODUCT(PRODUCE!$B417:$DY417,PRODUCE!$EB$12:$IY$12)</f>
        <v>0</v>
      </c>
      <c r="AY424" s="56"/>
      <c r="AZ424" s="62">
        <f t="shared" si="2742"/>
        <v>0</v>
      </c>
      <c r="BA424" s="62">
        <f t="shared" si="2743"/>
        <v>124.99999999999523</v>
      </c>
      <c r="BB424" s="56"/>
      <c r="BE424" s="55">
        <f t="shared" si="2744"/>
        <v>46385</v>
      </c>
      <c r="BF424" s="56"/>
      <c r="BG424" s="63">
        <f>SUMPRODUCT(PRODUCE!$B417:$DY417,PRODUCE!$EB$13:$IY$13)</f>
        <v>0</v>
      </c>
      <c r="BH424" s="56"/>
      <c r="BI424" s="63">
        <f t="shared" si="2745"/>
        <v>0</v>
      </c>
      <c r="BJ424" s="63">
        <f t="shared" si="2746"/>
        <v>26151.899999999998</v>
      </c>
      <c r="BK424" s="56"/>
      <c r="BN424" s="55">
        <f t="shared" si="2747"/>
        <v>46385</v>
      </c>
      <c r="BO424" s="56"/>
      <c r="BP424" s="64">
        <f>SUMPRODUCT(PRODUCE!$B417:$DY417,PRODUCE!$EB$14:$IY$14)</f>
        <v>0</v>
      </c>
      <c r="BQ424" s="56"/>
      <c r="BR424" s="64">
        <f t="shared" si="2748"/>
        <v>0</v>
      </c>
      <c r="BS424" s="64">
        <f t="shared" si="2749"/>
        <v>0</v>
      </c>
      <c r="BT424" s="56"/>
      <c r="BW424" s="55">
        <f t="shared" si="2750"/>
        <v>46385</v>
      </c>
      <c r="BX424" s="56"/>
      <c r="BY424" s="65">
        <f>SUMPRODUCT(PRODUCE!$B417:$DY417,PRODUCE!$EB$15:$IY$15)</f>
        <v>0</v>
      </c>
      <c r="BZ424" s="56"/>
      <c r="CA424" s="65">
        <f t="shared" si="2751"/>
        <v>0</v>
      </c>
      <c r="CB424" s="65">
        <f t="shared" si="2752"/>
        <v>2097.3399999999992</v>
      </c>
      <c r="CC424" s="56"/>
      <c r="CF424" s="55">
        <f t="shared" si="2753"/>
        <v>46385</v>
      </c>
      <c r="CG424" s="56"/>
      <c r="CH424" s="66">
        <f>SUMPRODUCT(PRODUCE!$B417:$DY417,PRODUCE!$EB$16:$IY$16)</f>
        <v>0</v>
      </c>
      <c r="CI424" s="56"/>
      <c r="CJ424" s="66">
        <f t="shared" si="2754"/>
        <v>0</v>
      </c>
      <c r="CK424" s="66">
        <f t="shared" si="2755"/>
        <v>-10277.079999999998</v>
      </c>
      <c r="CL424" s="56"/>
      <c r="CO424" s="55">
        <f t="shared" si="2756"/>
        <v>46385</v>
      </c>
      <c r="CP424" s="422"/>
      <c r="CQ424" s="470">
        <f>SUMPRODUCT(PRODUCE!$B417:$DY417,PRODUCE!$EB$17:$IY$17)</f>
        <v>0</v>
      </c>
      <c r="CR424" s="422"/>
      <c r="CS424" s="470">
        <f t="shared" si="2757"/>
        <v>0</v>
      </c>
      <c r="CT424" s="470">
        <f t="shared" si="2758"/>
        <v>0</v>
      </c>
      <c r="CU424" s="56"/>
      <c r="CX424" s="55">
        <f t="shared" si="2759"/>
        <v>46385</v>
      </c>
      <c r="CY424" s="56"/>
      <c r="CZ424" s="133">
        <f>SUMPRODUCT(PRODUCE!$B417:$DY417,PRODUCE!$EB$18:$IY$18)</f>
        <v>0</v>
      </c>
      <c r="DA424" s="56"/>
      <c r="DB424" s="133">
        <f t="shared" si="2760"/>
        <v>0</v>
      </c>
      <c r="DC424" s="133">
        <f t="shared" si="2761"/>
        <v>27438.200000000012</v>
      </c>
      <c r="DD424" s="56"/>
      <c r="DG424" s="55">
        <f t="shared" si="2762"/>
        <v>46385</v>
      </c>
      <c r="DH424" s="56"/>
      <c r="DI424" s="147">
        <f>SUMPRODUCT(PRODUCE!$B417:$DY417,PRODUCE!$EB$19:$IY$19)</f>
        <v>0</v>
      </c>
      <c r="DJ424" s="56"/>
      <c r="DK424" s="147">
        <f t="shared" si="2763"/>
        <v>0</v>
      </c>
      <c r="DL424" s="147">
        <f t="shared" si="2764"/>
        <v>18782.299999999981</v>
      </c>
      <c r="DM424" s="56"/>
      <c r="DP424" s="55">
        <f t="shared" si="2765"/>
        <v>46385</v>
      </c>
      <c r="DQ424" s="56"/>
      <c r="DR424" s="57">
        <f>SUMPRODUCT(PRODUCE!$B417:$DY417,PRODUCE!$EB$20:$IY$20)</f>
        <v>0</v>
      </c>
      <c r="DS424" s="56"/>
      <c r="DT424" s="57">
        <f t="shared" si="2766"/>
        <v>0</v>
      </c>
      <c r="DU424" s="57">
        <f t="shared" si="2767"/>
        <v>5800</v>
      </c>
      <c r="DV424" s="56"/>
      <c r="DY424" s="55">
        <f t="shared" si="2768"/>
        <v>46385</v>
      </c>
      <c r="DZ424" s="56"/>
      <c r="EA424" s="157">
        <f>SUMPRODUCT(PRODUCE!$B417:$DY417,PRODUCE!$EB$21:$IY$21)</f>
        <v>0</v>
      </c>
      <c r="EB424" s="56"/>
      <c r="EC424" s="157">
        <f t="shared" si="2769"/>
        <v>0</v>
      </c>
      <c r="ED424" s="157">
        <f t="shared" si="2770"/>
        <v>0</v>
      </c>
      <c r="EE424" s="56"/>
      <c r="EH424" s="55">
        <f t="shared" si="2771"/>
        <v>46385</v>
      </c>
      <c r="EI424" s="56"/>
      <c r="EJ424" s="162">
        <f>SUMPRODUCT(PRODUCE!$B417:$DY417,PRODUCE!$EB$22:$IY$22)</f>
        <v>0</v>
      </c>
      <c r="EK424" s="56"/>
      <c r="EL424" s="162">
        <f t="shared" si="2772"/>
        <v>0</v>
      </c>
      <c r="EM424" s="162">
        <f t="shared" si="2773"/>
        <v>0</v>
      </c>
      <c r="EN424" s="56"/>
      <c r="EQ424" s="55">
        <f t="shared" si="2774"/>
        <v>46385</v>
      </c>
      <c r="ER424" s="56"/>
      <c r="ES424" s="135">
        <f>SUMPRODUCT(PRODUCE!$B417:$DY417,PRODUCE!$EB$23:$IY$23)</f>
        <v>0</v>
      </c>
      <c r="ET424" s="56"/>
      <c r="EU424" s="135">
        <f t="shared" si="2775"/>
        <v>0</v>
      </c>
      <c r="EV424" s="135">
        <f t="shared" si="2776"/>
        <v>0</v>
      </c>
      <c r="EW424" s="56"/>
      <c r="EZ424" s="55">
        <f t="shared" si="2777"/>
        <v>46385</v>
      </c>
      <c r="FA424" s="56"/>
      <c r="FB424" s="175">
        <f>SUMPRODUCT(PRODUCE!$B417:$DY417,PRODUCE!$EB$24:$IY$24)</f>
        <v>0</v>
      </c>
      <c r="FC424" s="56"/>
      <c r="FD424" s="175">
        <f t="shared" si="2778"/>
        <v>0</v>
      </c>
      <c r="FE424" s="175">
        <f t="shared" si="2779"/>
        <v>0</v>
      </c>
      <c r="FF424" s="56"/>
      <c r="FI424" s="55">
        <f t="shared" si="2780"/>
        <v>46385</v>
      </c>
      <c r="FJ424" s="56"/>
      <c r="FK424" s="183">
        <f>SUMPRODUCT(PRODUCE!$B417:$DY417,PRODUCE!$EB$25:$IY$25)</f>
        <v>0</v>
      </c>
      <c r="FL424" s="56"/>
      <c r="FM424" s="183">
        <f t="shared" si="2781"/>
        <v>0</v>
      </c>
      <c r="FN424" s="183">
        <f t="shared" si="2782"/>
        <v>0</v>
      </c>
      <c r="FO424" s="56"/>
      <c r="FR424" s="55">
        <f t="shared" si="2783"/>
        <v>46385</v>
      </c>
      <c r="FS424" s="56"/>
      <c r="FT424" s="186">
        <f>SUMPRODUCT(PRODUCE!$B417:$DY417,PRODUCE!$EB$26:$IY$26)</f>
        <v>0</v>
      </c>
      <c r="FU424" s="56"/>
      <c r="FV424" s="186">
        <f t="shared" si="2784"/>
        <v>0</v>
      </c>
      <c r="FW424" s="186">
        <f t="shared" si="2785"/>
        <v>2020</v>
      </c>
      <c r="FX424" s="56"/>
      <c r="GA424" s="55">
        <f t="shared" si="2786"/>
        <v>46385</v>
      </c>
      <c r="GB424" s="56"/>
      <c r="GC424" s="137">
        <f>SUMPRODUCT(PRODUCE!$B417:$DY417,PRODUCE!$EB$27:$IY$27)</f>
        <v>0</v>
      </c>
      <c r="GD424" s="56"/>
      <c r="GE424" s="137">
        <f t="shared" si="2787"/>
        <v>0</v>
      </c>
      <c r="GF424" s="137">
        <f t="shared" si="2788"/>
        <v>960</v>
      </c>
      <c r="GG424" s="56"/>
      <c r="GI424" s="23"/>
      <c r="GJ424" s="55">
        <f t="shared" si="2789"/>
        <v>46385</v>
      </c>
      <c r="GK424" s="56"/>
      <c r="GL424" s="199">
        <f>SUMPRODUCT(PRODUCE!$B417:$DY417,PRODUCE!$EB$28:$IY$28)</f>
        <v>0</v>
      </c>
      <c r="GM424" s="56"/>
      <c r="GN424" s="199">
        <f t="shared" si="2790"/>
        <v>0</v>
      </c>
      <c r="GO424" s="199">
        <f t="shared" si="2791"/>
        <v>1760</v>
      </c>
      <c r="GP424" s="56"/>
      <c r="GS424" s="55">
        <f t="shared" si="2792"/>
        <v>46385</v>
      </c>
      <c r="GT424" s="56"/>
      <c r="GU424" s="195">
        <f>SUMPRODUCT(PRODUCE!$B417:$DY417,PRODUCE!$EB$29:$IY$29)</f>
        <v>0</v>
      </c>
      <c r="GV424" s="56"/>
      <c r="GW424" s="195">
        <f t="shared" si="2793"/>
        <v>0</v>
      </c>
      <c r="GX424" s="195">
        <f t="shared" si="2794"/>
        <v>400</v>
      </c>
      <c r="GY424" s="56"/>
      <c r="HB424" s="55">
        <f t="shared" si="2795"/>
        <v>46385</v>
      </c>
      <c r="HC424" s="56"/>
      <c r="HD424" s="191">
        <f>SUMPRODUCT(PRODUCE!$B417:$DY417,PRODUCE!$EB$30:$IY$30)</f>
        <v>0</v>
      </c>
      <c r="HE424" s="56"/>
      <c r="HF424" s="191">
        <f t="shared" si="2796"/>
        <v>0</v>
      </c>
      <c r="HG424" s="191">
        <f t="shared" si="2797"/>
        <v>3600</v>
      </c>
      <c r="HH424" s="56"/>
      <c r="HK424" s="55">
        <f t="shared" si="2798"/>
        <v>46385</v>
      </c>
      <c r="HL424" s="56"/>
      <c r="HM424" s="63">
        <f>SUMPRODUCT(PRODUCE!$B417:$DY417,PRODUCE!$EB$31:$IY$31)</f>
        <v>0</v>
      </c>
      <c r="HN424" s="56"/>
      <c r="HO424" s="63">
        <f t="shared" si="2799"/>
        <v>0</v>
      </c>
      <c r="HP424" s="63">
        <f t="shared" si="2800"/>
        <v>0</v>
      </c>
      <c r="HQ424" s="56"/>
      <c r="HU424" s="55">
        <f t="shared" si="2801"/>
        <v>46385</v>
      </c>
      <c r="HV424" s="56"/>
      <c r="HW424" s="242">
        <f>SUMPRODUCT(PRODUCE!$B417:$DY417,PRODUCE!$EB$32:$IY$32)</f>
        <v>0</v>
      </c>
      <c r="HX424" s="56"/>
      <c r="HY424" s="242">
        <f t="shared" si="2802"/>
        <v>0</v>
      </c>
      <c r="HZ424" s="242">
        <f t="shared" si="2803"/>
        <v>6120</v>
      </c>
      <c r="IA424" s="56"/>
      <c r="ID424" s="55">
        <f t="shared" si="2804"/>
        <v>46385</v>
      </c>
      <c r="IE424" s="56"/>
      <c r="IF424" s="242">
        <f>SUMPRODUCT(PRODUCE!$B417:$DY417,PRODUCE!$EB$33:$IY$33)</f>
        <v>0</v>
      </c>
      <c r="IG424" s="56"/>
      <c r="IH424" s="242">
        <f t="shared" si="2805"/>
        <v>0</v>
      </c>
      <c r="II424" s="242">
        <f t="shared" si="2806"/>
        <v>0</v>
      </c>
      <c r="IJ424" s="56"/>
      <c r="IM424" s="55">
        <f t="shared" si="2807"/>
        <v>46385</v>
      </c>
      <c r="IN424" s="56"/>
      <c r="IO424" s="242">
        <f>SUMPRODUCT(PRODUCE!$B417:$DY417,PRODUCE!$EB$34:$IY$34)</f>
        <v>0</v>
      </c>
      <c r="IP424" s="56"/>
      <c r="IQ424" s="242">
        <f t="shared" si="2808"/>
        <v>0</v>
      </c>
      <c r="IR424" s="242">
        <f t="shared" si="2809"/>
        <v>0</v>
      </c>
      <c r="IS424" s="56"/>
      <c r="IV424" s="55">
        <f t="shared" si="2810"/>
        <v>46385</v>
      </c>
      <c r="IW424" s="56"/>
      <c r="IX424" s="242">
        <f>SUMPRODUCT(PRODUCE!$B417:$DY417,PRODUCE!$EB$35:$IY$35)</f>
        <v>0</v>
      </c>
      <c r="IY424" s="56"/>
      <c r="IZ424" s="242">
        <f t="shared" si="2811"/>
        <v>0</v>
      </c>
      <c r="JA424" s="242">
        <f t="shared" si="2812"/>
        <v>2820</v>
      </c>
      <c r="JB424" s="56"/>
      <c r="JE424" s="55">
        <f t="shared" si="2813"/>
        <v>46385</v>
      </c>
      <c r="JF424" s="56"/>
      <c r="JG424" s="242">
        <f>SUMPRODUCT(PRODUCE!$B417:$DY417,PRODUCE!$EB$36:$IY$36)</f>
        <v>0</v>
      </c>
      <c r="JH424" s="56"/>
      <c r="JI424" s="242">
        <f t="shared" si="2814"/>
        <v>0</v>
      </c>
      <c r="JJ424" s="242">
        <f t="shared" si="2815"/>
        <v>0</v>
      </c>
      <c r="JK424" s="56"/>
      <c r="JN424" s="55">
        <f t="shared" si="2816"/>
        <v>46385</v>
      </c>
      <c r="JO424" s="56"/>
      <c r="JP424" s="242">
        <f>SUMPRODUCT(PRODUCE!$B417:$DY417,PRODUCE!$EB$37:$IY$37)</f>
        <v>0</v>
      </c>
      <c r="JQ424" s="56"/>
      <c r="JR424" s="242">
        <f t="shared" si="2817"/>
        <v>0</v>
      </c>
      <c r="JS424" s="242">
        <f t="shared" si="2818"/>
        <v>0</v>
      </c>
      <c r="JT424" s="56"/>
      <c r="JW424" s="55">
        <f t="shared" si="2819"/>
        <v>46385</v>
      </c>
      <c r="JX424" s="56"/>
      <c r="JY424" s="242">
        <f>SUMPRODUCT(PRODUCE!$B417:$DY417,PRODUCE!$EB$38:$IY$38)</f>
        <v>0</v>
      </c>
      <c r="JZ424" s="56"/>
      <c r="KA424" s="242">
        <f t="shared" si="2820"/>
        <v>0</v>
      </c>
      <c r="KB424" s="242">
        <f t="shared" si="2821"/>
        <v>2540</v>
      </c>
      <c r="KC424" s="56"/>
      <c r="KF424" s="55">
        <f t="shared" si="2822"/>
        <v>46385</v>
      </c>
      <c r="KG424" s="56"/>
      <c r="KH424" s="242">
        <f>SUMPRODUCT(PRODUCE!$B417:$DY417,PRODUCE!$EB$39:$IY$39)</f>
        <v>0</v>
      </c>
      <c r="KI424" s="56"/>
      <c r="KJ424" s="242">
        <f t="shared" si="2823"/>
        <v>0</v>
      </c>
      <c r="KK424" s="242">
        <f t="shared" si="2824"/>
        <v>2359.5</v>
      </c>
      <c r="KL424" s="56"/>
      <c r="KO424" s="55">
        <f t="shared" si="2825"/>
        <v>46385</v>
      </c>
      <c r="KP424" s="56"/>
      <c r="KQ424" s="242">
        <f>SUMPRODUCT(PRODUCE!$B417:$DY417,PRODUCE!$EB$40:$IY$40)</f>
        <v>0</v>
      </c>
      <c r="KR424" s="56"/>
      <c r="KS424" s="242">
        <f t="shared" si="2826"/>
        <v>0</v>
      </c>
      <c r="KT424" s="242">
        <f t="shared" si="2827"/>
        <v>1890</v>
      </c>
      <c r="KU424" s="56"/>
      <c r="KW424" s="23"/>
      <c r="KX424" s="55">
        <f t="shared" si="2828"/>
        <v>46385</v>
      </c>
      <c r="KY424" s="56"/>
      <c r="KZ424" s="242">
        <f>SUMPRODUCT(PRODUCE!$B417:$DY417,PRODUCE!$EB$41:$IY$41)</f>
        <v>0</v>
      </c>
      <c r="LA424" s="56"/>
      <c r="LB424" s="242">
        <f t="shared" si="2829"/>
        <v>0</v>
      </c>
      <c r="LC424" s="242">
        <f t="shared" si="2830"/>
        <v>3690</v>
      </c>
      <c r="LD424" s="56"/>
      <c r="LG424" s="55">
        <f t="shared" si="2831"/>
        <v>46385</v>
      </c>
      <c r="LH424" s="56"/>
      <c r="LI424" s="242">
        <f>SUMPRODUCT(PRODUCE!$B417:$DY417,PRODUCE!$EB$42:$IY$42)</f>
        <v>0</v>
      </c>
      <c r="LJ424" s="56"/>
      <c r="LK424" s="242">
        <f t="shared" si="2832"/>
        <v>0</v>
      </c>
      <c r="LL424" s="242">
        <f t="shared" si="2833"/>
        <v>4000</v>
      </c>
      <c r="LM424" s="56"/>
      <c r="LP424" s="55">
        <f t="shared" si="2834"/>
        <v>46385</v>
      </c>
      <c r="LQ424" s="56"/>
      <c r="LR424" s="242">
        <f>SUMPRODUCT(PRODUCE!$B439:$DY439,PRODUCE!$EB$43:$IY$43)</f>
        <v>0</v>
      </c>
      <c r="LS424" s="56"/>
      <c r="LT424" s="242">
        <f t="shared" si="2835"/>
        <v>0</v>
      </c>
      <c r="LU424" s="242">
        <f t="shared" si="2836"/>
        <v>0</v>
      </c>
      <c r="LV424" s="56"/>
      <c r="LY424" s="55">
        <f t="shared" si="2837"/>
        <v>46385</v>
      </c>
      <c r="LZ424" s="56"/>
      <c r="MA424" s="242">
        <f>SUMPRODUCT(PRODUCE!$B417:$DY417,PRODUCE!$EB$44:$IY$44)</f>
        <v>0</v>
      </c>
      <c r="MB424" s="56"/>
      <c r="MC424" s="242">
        <f t="shared" si="2838"/>
        <v>0</v>
      </c>
      <c r="MD424" s="242">
        <f t="shared" si="2839"/>
        <v>0</v>
      </c>
      <c r="ME424" s="56"/>
      <c r="MH424" s="55">
        <f t="shared" si="2840"/>
        <v>46385</v>
      </c>
      <c r="MI424" s="56"/>
      <c r="MJ424" s="242">
        <f>SUMPRODUCT(PRODUCE!$B417:$DY417,PRODUCE!$EB$45:$IY$45)</f>
        <v>0</v>
      </c>
      <c r="MK424" s="56"/>
      <c r="ML424" s="242">
        <f t="shared" si="2841"/>
        <v>0</v>
      </c>
      <c r="MM424" s="242">
        <f t="shared" si="2842"/>
        <v>-18</v>
      </c>
      <c r="MN424" s="56"/>
      <c r="MQ424" s="55">
        <f t="shared" si="2843"/>
        <v>46385</v>
      </c>
      <c r="MR424" s="56"/>
      <c r="MS424" s="242">
        <f>SUMPRODUCT(PRODUCE!$B417:$DY417,PRODUCE!$EB$46:$IY$46)</f>
        <v>0</v>
      </c>
      <c r="MT424" s="56"/>
      <c r="MU424" s="242">
        <f t="shared" si="2844"/>
        <v>0</v>
      </c>
      <c r="MV424" s="242">
        <f t="shared" si="2845"/>
        <v>1559</v>
      </c>
      <c r="MW424" s="56"/>
      <c r="MZ424" s="55">
        <f t="shared" si="2846"/>
        <v>46385</v>
      </c>
      <c r="NA424" s="56"/>
      <c r="NB424" s="242">
        <f>SUMPRODUCT(PRODUCE!$B417:$DY417,PRODUCE!$EB$47:$IY$47)</f>
        <v>0</v>
      </c>
      <c r="NC424" s="56"/>
      <c r="ND424" s="242">
        <f t="shared" si="2847"/>
        <v>0</v>
      </c>
      <c r="NE424" s="242">
        <f t="shared" si="2848"/>
        <v>0</v>
      </c>
      <c r="NF424" s="56"/>
      <c r="NI424" s="55">
        <f t="shared" si="2849"/>
        <v>46385</v>
      </c>
      <c r="NJ424" s="56"/>
      <c r="NK424" s="242">
        <f>SUMPRODUCT(PRODUCE!$B417:$DY417,PRODUCE!$EB$48:$IY$48)</f>
        <v>0</v>
      </c>
      <c r="NL424" s="56"/>
      <c r="NM424" s="242">
        <f t="shared" si="2850"/>
        <v>0</v>
      </c>
      <c r="NN424" s="242">
        <f t="shared" si="2851"/>
        <v>1127</v>
      </c>
      <c r="NO424" s="56"/>
      <c r="NR424" s="55">
        <f t="shared" si="2852"/>
        <v>46385</v>
      </c>
      <c r="NS424" s="56"/>
      <c r="NT424" s="242">
        <f>SUMPRODUCT(PRODUCE!$B417:$DY417,PRODUCE!$EB$49:$IY$49)</f>
        <v>0</v>
      </c>
      <c r="NU424" s="56"/>
      <c r="NV424" s="242">
        <f t="shared" si="2853"/>
        <v>0</v>
      </c>
      <c r="NW424" s="242">
        <f t="shared" si="2854"/>
        <v>3111.9999999999995</v>
      </c>
      <c r="NX424" s="56"/>
      <c r="OA424" s="55">
        <f t="shared" si="2855"/>
        <v>46385</v>
      </c>
      <c r="OB424" s="56"/>
      <c r="OC424" s="242">
        <f>SUMPRODUCT(PRODUCE!$B417:$DY417,PRODUCE!$EB$50:$IY$50)</f>
        <v>0</v>
      </c>
      <c r="OD424" s="56"/>
      <c r="OE424" s="242">
        <f t="shared" si="2856"/>
        <v>0</v>
      </c>
      <c r="OF424" s="242">
        <f t="shared" si="2857"/>
        <v>1680.5</v>
      </c>
      <c r="OG424" s="56"/>
      <c r="OJ424" s="55">
        <f t="shared" si="2858"/>
        <v>46385</v>
      </c>
      <c r="OK424" s="56"/>
      <c r="OL424" s="242">
        <f>SUMPRODUCT(PRODUCE!$B417:$DY417,PRODUCE!$EB$51:$IY$51)</f>
        <v>0</v>
      </c>
      <c r="OM424" s="56"/>
      <c r="ON424" s="242">
        <f t="shared" si="2859"/>
        <v>0</v>
      </c>
      <c r="OO424" s="242">
        <f t="shared" si="2860"/>
        <v>0</v>
      </c>
      <c r="OP424" s="56"/>
      <c r="OS424" s="55">
        <f t="shared" si="2861"/>
        <v>46385</v>
      </c>
      <c r="OT424" s="56"/>
      <c r="OU424" s="242">
        <f>SUMPRODUCT(PRODUCE!$B417:$DY417,PRODUCE!$EB$52:$IY$52)</f>
        <v>0</v>
      </c>
      <c r="OV424" s="56"/>
      <c r="OW424" s="242">
        <f t="shared" si="2862"/>
        <v>0</v>
      </c>
      <c r="OX424" s="242">
        <f t="shared" si="2863"/>
        <v>1482</v>
      </c>
      <c r="OY424" s="56"/>
      <c r="PB424" s="55">
        <f t="shared" si="2864"/>
        <v>46385</v>
      </c>
      <c r="PC424" s="56"/>
      <c r="PD424" s="242">
        <f>SUMPRODUCT(PRODUCE!$B417:$DY417,PRODUCE!$EB$53:$IY$53)</f>
        <v>0</v>
      </c>
      <c r="PE424" s="56"/>
      <c r="PF424" s="242">
        <f t="shared" si="2865"/>
        <v>0</v>
      </c>
      <c r="PG424" s="242">
        <f t="shared" si="2866"/>
        <v>0</v>
      </c>
      <c r="PH424" s="56"/>
      <c r="PK424" s="55">
        <f t="shared" si="2867"/>
        <v>46385</v>
      </c>
      <c r="PL424" s="56"/>
      <c r="PM424" s="242">
        <f>SUMPRODUCT(PRODUCE!$B417:$DY417,PRODUCE!$EB$54:$IY$54)</f>
        <v>0</v>
      </c>
      <c r="PN424" s="56"/>
      <c r="PO424" s="242">
        <f t="shared" si="2868"/>
        <v>0</v>
      </c>
      <c r="PP424" s="242">
        <f t="shared" si="2869"/>
        <v>100</v>
      </c>
      <c r="PQ424" s="56"/>
      <c r="PT424" s="55">
        <f t="shared" si="2870"/>
        <v>46385</v>
      </c>
      <c r="PU424" s="56"/>
      <c r="PV424" s="242">
        <f>SUMPRODUCT(PRODUCE!$B417:$DY417,PRODUCE!$EB$55:$IY$55)</f>
        <v>0</v>
      </c>
      <c r="PW424" s="56"/>
      <c r="PX424" s="242">
        <f t="shared" si="2871"/>
        <v>0</v>
      </c>
      <c r="PY424" s="242">
        <f t="shared" si="2872"/>
        <v>13.960000000000036</v>
      </c>
      <c r="PZ424" s="56"/>
      <c r="QC424" s="55">
        <f t="shared" si="2873"/>
        <v>46385</v>
      </c>
      <c r="QD424" s="56"/>
      <c r="QE424" s="242">
        <f>SUMPRODUCT(PRODUCE!$B417:$DY417,PRODUCE!$EB$56:$IY$56)</f>
        <v>0</v>
      </c>
      <c r="QF424" s="56"/>
      <c r="QG424" s="242">
        <f t="shared" si="2874"/>
        <v>0</v>
      </c>
      <c r="QH424" s="242">
        <f t="shared" si="2875"/>
        <v>548</v>
      </c>
      <c r="QI424" s="56"/>
      <c r="QL424" s="55">
        <f t="shared" si="2876"/>
        <v>46385</v>
      </c>
      <c r="QM424" s="56"/>
      <c r="QN424" s="242">
        <f>SUMPRODUCT(PRODUCE!$B417:$DY417,PRODUCE!$EB$57:$IY$57)</f>
        <v>0</v>
      </c>
      <c r="QO424" s="56"/>
      <c r="QP424" s="242">
        <f t="shared" si="2877"/>
        <v>0</v>
      </c>
      <c r="QQ424" s="242">
        <f t="shared" si="2878"/>
        <v>0</v>
      </c>
      <c r="QR424" s="56"/>
      <c r="QU424" s="55">
        <f t="shared" si="2879"/>
        <v>46385</v>
      </c>
      <c r="QV424" s="56"/>
      <c r="QW424" s="242">
        <f>SUMPRODUCT(PRODUCE!$B417:$DY417,PRODUCE!$EB$57:$IY$57)</f>
        <v>0</v>
      </c>
      <c r="QX424" s="56"/>
      <c r="QY424" s="242">
        <f t="shared" si="2880"/>
        <v>0</v>
      </c>
      <c r="QZ424" s="242">
        <f t="shared" si="2881"/>
        <v>0</v>
      </c>
      <c r="RA424" s="56"/>
      <c r="RD424" s="55">
        <f t="shared" si="2882"/>
        <v>46385</v>
      </c>
      <c r="RE424" s="56"/>
      <c r="RF424" s="242">
        <f>SUMPRODUCT(PRODUCE!$B417:$DY417,PRODUCE!$EB$58:$IY$58)</f>
        <v>0</v>
      </c>
      <c r="RG424" s="56"/>
      <c r="RH424" s="242">
        <f t="shared" si="2883"/>
        <v>0</v>
      </c>
      <c r="RI424" s="242">
        <f t="shared" si="2884"/>
        <v>147.04000000000002</v>
      </c>
      <c r="RJ424" s="56"/>
      <c r="RM424" s="55">
        <f t="shared" si="2885"/>
        <v>46385</v>
      </c>
      <c r="RN424" s="56"/>
      <c r="RO424" s="242">
        <f>SUMPRODUCT(PRODUCE!$B417:$DY417,PRODUCE!$EB$57:$IY$57)</f>
        <v>0</v>
      </c>
      <c r="RP424" s="56"/>
      <c r="RQ424" s="242">
        <f t="shared" si="2886"/>
        <v>0</v>
      </c>
      <c r="RR424" s="242">
        <f t="shared" si="2887"/>
        <v>46.8</v>
      </c>
      <c r="RS424" s="56"/>
      <c r="RV424" s="55">
        <f t="shared" si="2888"/>
        <v>46385</v>
      </c>
      <c r="RW424" s="56"/>
      <c r="RX424" s="242">
        <f>SUMPRODUCT(PRODUCE!$B417:$DY417,PRODUCE!$EB$57:$IY$57)</f>
        <v>0</v>
      </c>
      <c r="RY424" s="56"/>
      <c r="RZ424" s="242">
        <f t="shared" si="2889"/>
        <v>0</v>
      </c>
      <c r="SA424" s="242">
        <f t="shared" si="2890"/>
        <v>0</v>
      </c>
      <c r="SB424" s="56"/>
      <c r="SE424" s="55">
        <f t="shared" si="2891"/>
        <v>46385</v>
      </c>
      <c r="SF424" s="56"/>
      <c r="SG424" s="242">
        <f>SUMPRODUCT(PRODUCE!$B417:$DY417,PRODUCE!$EB$61:$IY$61)</f>
        <v>0</v>
      </c>
      <c r="SH424" s="56"/>
      <c r="SI424" s="242">
        <f t="shared" si="2892"/>
        <v>0</v>
      </c>
      <c r="SJ424" s="242">
        <f t="shared" si="2893"/>
        <v>24.200000000000003</v>
      </c>
      <c r="SK424" s="56"/>
      <c r="SN424" s="55">
        <f t="shared" si="2894"/>
        <v>46385</v>
      </c>
      <c r="SO424" s="56"/>
      <c r="SP424" s="242">
        <f>SUMPRODUCT(PRODUCE!$B417:$DY417,PRODUCE!$EB$57:$IY$57)</f>
        <v>0</v>
      </c>
      <c r="SQ424" s="56"/>
      <c r="SR424" s="242">
        <f t="shared" si="2895"/>
        <v>0</v>
      </c>
      <c r="SS424" s="242">
        <f t="shared" si="2896"/>
        <v>32</v>
      </c>
      <c r="ST424" s="56"/>
      <c r="SW424" s="55">
        <f t="shared" si="2897"/>
        <v>46385</v>
      </c>
      <c r="SX424" s="56"/>
      <c r="SY424" s="242">
        <f>SUMPRODUCT(PRODUCE!$B417:$DY417,PRODUCE!$EB$57:$IY$57)</f>
        <v>0</v>
      </c>
      <c r="SZ424" s="56"/>
      <c r="TA424" s="242">
        <f t="shared" si="2898"/>
        <v>0</v>
      </c>
      <c r="TB424" s="242">
        <f t="shared" si="2899"/>
        <v>0</v>
      </c>
      <c r="TC424" s="56"/>
      <c r="TF424" s="55">
        <f t="shared" si="2900"/>
        <v>46385</v>
      </c>
      <c r="TG424" s="56"/>
      <c r="TH424" s="242">
        <f>SUMPRODUCT(PRODUCE!$B417:$DY417,PRODUCE!$EB$57:$IY$57)</f>
        <v>0</v>
      </c>
      <c r="TI424" s="56"/>
      <c r="TJ424" s="242">
        <f t="shared" si="2901"/>
        <v>0</v>
      </c>
      <c r="TK424" s="242">
        <f t="shared" si="2902"/>
        <v>0</v>
      </c>
      <c r="TL424" s="56"/>
      <c r="TO424" s="55">
        <f t="shared" si="2903"/>
        <v>46385</v>
      </c>
      <c r="TP424" s="56"/>
      <c r="TQ424" s="242">
        <f>SUMPRODUCT(PRODUCE!$B417:$DY417,PRODUCE!$EB$57:$IY$57)</f>
        <v>0</v>
      </c>
      <c r="TR424" s="56"/>
      <c r="TS424" s="242">
        <f t="shared" si="2904"/>
        <v>0</v>
      </c>
      <c r="TT424" s="242">
        <f t="shared" si="2905"/>
        <v>0</v>
      </c>
      <c r="TU424" s="56"/>
      <c r="TX424" s="55">
        <f t="shared" si="2906"/>
        <v>46385</v>
      </c>
      <c r="TY424" s="56"/>
      <c r="TZ424" s="242">
        <f>SUMPRODUCT(PRODUCE!$B417:$DY417,PRODUCE!$EB$57:$IY$57)</f>
        <v>0</v>
      </c>
      <c r="UA424" s="56"/>
      <c r="UB424" s="242">
        <f t="shared" si="2907"/>
        <v>0</v>
      </c>
      <c r="UC424" s="242">
        <f t="shared" si="2908"/>
        <v>46.799999999999983</v>
      </c>
      <c r="UD424" s="56"/>
      <c r="UG424" s="55">
        <f t="shared" si="2909"/>
        <v>46385</v>
      </c>
      <c r="UH424" s="56"/>
      <c r="UI424" s="242">
        <f>SUMPRODUCT(PRODUCE!$B417:$DY417,PRODUCE!$EB$57:$IY$57)</f>
        <v>0</v>
      </c>
      <c r="UJ424" s="56"/>
      <c r="UK424" s="242">
        <f t="shared" si="2910"/>
        <v>0</v>
      </c>
      <c r="UL424" s="242">
        <f t="shared" si="2911"/>
        <v>204</v>
      </c>
      <c r="UM424" s="56"/>
      <c r="UP424" s="55">
        <f t="shared" si="2912"/>
        <v>46385</v>
      </c>
      <c r="UQ424" s="56"/>
      <c r="UR424" s="242">
        <f>SUMPRODUCT(PRODUCE!$B417:$DY417,PRODUCE!$EB$57:$IY$57)</f>
        <v>0</v>
      </c>
      <c r="US424" s="56"/>
      <c r="UT424" s="242">
        <f t="shared" si="2913"/>
        <v>0</v>
      </c>
      <c r="UU424" s="242">
        <f t="shared" si="2914"/>
        <v>202.5</v>
      </c>
      <c r="UV424" s="56"/>
      <c r="UY424" s="55">
        <f t="shared" si="2915"/>
        <v>46385</v>
      </c>
      <c r="UZ424" s="56"/>
      <c r="VA424" s="242">
        <f>SUMPRODUCT(PRODUCE!$B417:$DY417,PRODUCE!$EB$57:$IY$57)</f>
        <v>0</v>
      </c>
      <c r="VB424" s="56"/>
      <c r="VC424" s="242">
        <f t="shared" si="2916"/>
        <v>0</v>
      </c>
      <c r="VD424" s="242">
        <f t="shared" si="2917"/>
        <v>41.600000000000023</v>
      </c>
      <c r="VE424" s="56"/>
      <c r="VH424" s="55">
        <f t="shared" si="2918"/>
        <v>46385</v>
      </c>
      <c r="VI424" s="56"/>
      <c r="VJ424" s="242">
        <f>SUMPRODUCT(PRODUCE!$B417:$DY417,PRODUCE!$EB$57:$IY$57)</f>
        <v>0</v>
      </c>
      <c r="VK424" s="56"/>
      <c r="VL424" s="242">
        <f t="shared" si="2919"/>
        <v>0</v>
      </c>
      <c r="VM424" s="242">
        <f t="shared" si="2920"/>
        <v>210</v>
      </c>
      <c r="VN424" s="56"/>
      <c r="VQ424" s="55">
        <f t="shared" si="2921"/>
        <v>46385</v>
      </c>
      <c r="VR424" s="56"/>
      <c r="VS424" s="242">
        <f>SUMPRODUCT(PRODUCE!$B417:$DY417,PRODUCE!$EB$57:$IY$57)</f>
        <v>0</v>
      </c>
      <c r="VT424" s="56"/>
      <c r="VU424" s="242">
        <f t="shared" si="2922"/>
        <v>0</v>
      </c>
      <c r="VV424" s="242">
        <f t="shared" si="2923"/>
        <v>0</v>
      </c>
      <c r="VW424" s="56"/>
      <c r="VZ424" s="55">
        <f t="shared" si="2924"/>
        <v>46385</v>
      </c>
      <c r="WA424" s="56"/>
      <c r="WB424" s="242">
        <f>SUMPRODUCT(PRODUCE!$B417:$DY417,PRODUCE!$EB$57:$IY$57)</f>
        <v>0</v>
      </c>
      <c r="WC424" s="56"/>
      <c r="WD424" s="242">
        <f t="shared" si="2925"/>
        <v>0</v>
      </c>
      <c r="WE424" s="242">
        <f t="shared" si="2926"/>
        <v>0</v>
      </c>
      <c r="WF424" s="56"/>
      <c r="WI424" s="55">
        <f t="shared" si="2927"/>
        <v>46385</v>
      </c>
      <c r="WJ424" s="56"/>
      <c r="WK424" s="242">
        <f>SUMPRODUCT(PRODUCE!$B417:$DY417,PRODUCE!$EB$57:$IY$57)</f>
        <v>0</v>
      </c>
      <c r="WL424" s="56"/>
      <c r="WM424" s="242">
        <f t="shared" si="2928"/>
        <v>0</v>
      </c>
      <c r="WN424" s="242">
        <f t="shared" si="2929"/>
        <v>1057</v>
      </c>
      <c r="WO424" s="56"/>
      <c r="WR424" s="55">
        <f t="shared" si="2930"/>
        <v>46385</v>
      </c>
      <c r="WS424" s="56"/>
      <c r="WT424" s="242">
        <f>SUMPRODUCT(PRODUCE!$B417:$DY417,PRODUCE!$EB$57:$IY$57)</f>
        <v>0</v>
      </c>
      <c r="WU424" s="56"/>
      <c r="WV424" s="242">
        <f t="shared" si="2931"/>
        <v>0</v>
      </c>
      <c r="WW424" s="242">
        <f t="shared" si="2932"/>
        <v>0</v>
      </c>
      <c r="WX424" s="56"/>
      <c r="XA424" s="55">
        <f t="shared" si="2933"/>
        <v>46385</v>
      </c>
      <c r="XB424" s="56"/>
      <c r="XC424" s="242">
        <f>SUMPRODUCT(PRODUCE!$B417:$DY417,PRODUCE!$EB$57:$IY$57)</f>
        <v>0</v>
      </c>
      <c r="XD424" s="56"/>
      <c r="XE424" s="242">
        <f t="shared" si="2934"/>
        <v>0</v>
      </c>
      <c r="XF424" s="242">
        <f t="shared" si="2935"/>
        <v>7507</v>
      </c>
      <c r="XG424" s="56"/>
      <c r="XJ424" s="55">
        <f t="shared" si="2936"/>
        <v>46385</v>
      </c>
      <c r="XK424" s="56"/>
      <c r="XL424" s="242">
        <f>SUMPRODUCT(PRODUCE!$B417:$DY417,PRODUCE!$EB$57:$IY$57)</f>
        <v>0</v>
      </c>
      <c r="XM424" s="56"/>
      <c r="XN424" s="242">
        <f t="shared" si="2937"/>
        <v>0</v>
      </c>
      <c r="XO424" s="242">
        <f t="shared" si="2938"/>
        <v>4252</v>
      </c>
      <c r="XP424" s="56"/>
      <c r="XS424" s="55">
        <f t="shared" si="2939"/>
        <v>46385</v>
      </c>
      <c r="XT424" s="56"/>
      <c r="XU424" s="242">
        <f>SUMPRODUCT(PRODUCE!$B417:$DY417,PRODUCE!$EB$57:$IY$57)</f>
        <v>0</v>
      </c>
      <c r="XV424" s="56"/>
      <c r="XW424" s="242">
        <f t="shared" si="2940"/>
        <v>0</v>
      </c>
      <c r="XX424" s="242">
        <f t="shared" si="2941"/>
        <v>2179</v>
      </c>
      <c r="XY424" s="56"/>
      <c r="YB424" s="55">
        <f t="shared" si="2942"/>
        <v>46385</v>
      </c>
      <c r="YC424" s="56"/>
      <c r="YD424" s="242">
        <f>SUMPRODUCT(PRODUCE!$B417:$DY417,PRODUCE!$EB$57:$IY$57)</f>
        <v>0</v>
      </c>
      <c r="YE424" s="56"/>
      <c r="YF424" s="242">
        <f t="shared" si="2943"/>
        <v>0</v>
      </c>
      <c r="YG424" s="242">
        <f t="shared" si="2944"/>
        <v>4019</v>
      </c>
      <c r="YH424" s="56"/>
      <c r="YK424" s="55">
        <f t="shared" si="2945"/>
        <v>46385</v>
      </c>
      <c r="YL424" s="56"/>
      <c r="YM424" s="242">
        <f>SUMPRODUCT(PRODUCE!$B417:$DY417,PRODUCE!$EB$57:$IY$57)</f>
        <v>0</v>
      </c>
      <c r="YN424" s="56"/>
      <c r="YO424" s="242">
        <f t="shared" si="2946"/>
        <v>0</v>
      </c>
      <c r="YP424" s="242">
        <f t="shared" si="2947"/>
        <v>-218</v>
      </c>
      <c r="YQ424" s="56"/>
      <c r="YT424" s="55">
        <f t="shared" si="2948"/>
        <v>46385</v>
      </c>
      <c r="YU424" s="56"/>
      <c r="YV424" s="242">
        <f>SUMPRODUCT(PRODUCE!$B417:$DY417,PRODUCE!$EB$57:$IY$57)</f>
        <v>0</v>
      </c>
      <c r="YW424" s="56"/>
      <c r="YX424" s="242">
        <f t="shared" si="2949"/>
        <v>0</v>
      </c>
      <c r="YY424" s="242">
        <f t="shared" si="2950"/>
        <v>0</v>
      </c>
      <c r="YZ424" s="56"/>
      <c r="ZC424" s="55">
        <f t="shared" si="2951"/>
        <v>46385</v>
      </c>
      <c r="ZD424" s="56"/>
      <c r="ZE424" s="242">
        <f>SUMPRODUCT(PRODUCE!$B417:$DY417,PRODUCE!$EB$57:$IY$57)</f>
        <v>0</v>
      </c>
      <c r="ZF424" s="56"/>
      <c r="ZG424" s="242">
        <f t="shared" si="2952"/>
        <v>0</v>
      </c>
      <c r="ZH424" s="242">
        <f t="shared" si="2953"/>
        <v>0</v>
      </c>
      <c r="ZI424" s="56"/>
      <c r="ZL424" s="55">
        <f t="shared" si="2954"/>
        <v>46385</v>
      </c>
      <c r="ZM424" s="56"/>
      <c r="ZN424" s="242">
        <f>SUMPRODUCT(PRODUCE!$B417:$DY417,PRODUCE!$EB$57:$IY$57)</f>
        <v>0</v>
      </c>
      <c r="ZO424" s="56"/>
      <c r="ZP424" s="242">
        <f t="shared" si="2955"/>
        <v>0</v>
      </c>
      <c r="ZQ424" s="242">
        <f t="shared" si="2956"/>
        <v>0</v>
      </c>
      <c r="ZR424" s="56"/>
      <c r="ZU424" s="55">
        <f t="shared" si="2957"/>
        <v>46385</v>
      </c>
      <c r="ZV424" s="56"/>
      <c r="ZW424" s="242">
        <f>SUMPRODUCT(PRODUCE!$B417:$DY417,PRODUCE!$EB$57:$IY$57)</f>
        <v>0</v>
      </c>
      <c r="ZX424" s="56"/>
      <c r="ZY424" s="242">
        <f t="shared" si="2958"/>
        <v>0</v>
      </c>
      <c r="ZZ424" s="242">
        <f t="shared" si="2959"/>
        <v>0</v>
      </c>
      <c r="AAA424" s="56"/>
      <c r="AAD424" s="55">
        <f t="shared" si="2960"/>
        <v>46385</v>
      </c>
      <c r="AAE424" s="56"/>
      <c r="AAF424" s="242">
        <f>SUMPRODUCT(PRODUCE!$B417:$DY417,PRODUCE!$EB$57:$IY$57)</f>
        <v>0</v>
      </c>
      <c r="AAG424" s="56"/>
      <c r="AAH424" s="242">
        <f t="shared" si="2961"/>
        <v>0</v>
      </c>
      <c r="AAI424" s="242">
        <f t="shared" si="2962"/>
        <v>0</v>
      </c>
      <c r="AAJ424" s="56"/>
      <c r="AAM424" s="55">
        <f t="shared" si="2963"/>
        <v>46385</v>
      </c>
      <c r="AAN424" s="56"/>
      <c r="AAO424" s="242">
        <f>SUMPRODUCT(PRODUCE!$B417:$DY417,PRODUCE!$EB$57:$IY$57)</f>
        <v>0</v>
      </c>
      <c r="AAP424" s="56"/>
      <c r="AAQ424" s="242">
        <f t="shared" si="2964"/>
        <v>0</v>
      </c>
      <c r="AAR424" s="242">
        <f t="shared" si="2965"/>
        <v>0</v>
      </c>
      <c r="AAS424" s="56"/>
      <c r="AAV424" s="55">
        <f t="shared" si="2966"/>
        <v>46385</v>
      </c>
      <c r="AAW424" s="56"/>
      <c r="AAX424" s="242">
        <f>SUMPRODUCT(PRODUCE!$B417:$DY417,PRODUCE!$EB$57:$IY$57)</f>
        <v>0</v>
      </c>
      <c r="AAY424" s="56"/>
      <c r="AAZ424" s="242">
        <f t="shared" si="2967"/>
        <v>0</v>
      </c>
      <c r="ABA424" s="242">
        <f t="shared" si="2968"/>
        <v>0</v>
      </c>
      <c r="ABB424" s="56"/>
      <c r="ABE424" s="55">
        <f t="shared" si="2969"/>
        <v>46385</v>
      </c>
      <c r="ABF424" s="56"/>
      <c r="ABG424" s="242">
        <f>SUMPRODUCT(PRODUCE!$B417:$DY417,PRODUCE!$EB$57:$IY$57)</f>
        <v>0</v>
      </c>
      <c r="ABH424" s="56"/>
      <c r="ABI424" s="242">
        <f t="shared" si="2970"/>
        <v>0</v>
      </c>
      <c r="ABJ424" s="242">
        <f t="shared" si="2971"/>
        <v>0</v>
      </c>
      <c r="ABK424" s="56"/>
    </row>
    <row r="425" spans="2:739" s="54" customFormat="1" ht="15" customHeight="1" outlineLevel="1">
      <c r="B425" s="478"/>
      <c r="C425" s="55">
        <v>46386</v>
      </c>
      <c r="D425" s="56"/>
      <c r="E425" s="57">
        <f>SUMPRODUCT(PRODUCE!$B418:$DY418,PRODUCE!$EB$7:$IY$7)</f>
        <v>0</v>
      </c>
      <c r="F425" s="56"/>
      <c r="G425" s="57">
        <f t="shared" si="2727"/>
        <v>0</v>
      </c>
      <c r="H425" s="57">
        <f t="shared" si="2728"/>
        <v>236936.6</v>
      </c>
      <c r="I425" s="289"/>
      <c r="L425" s="55">
        <f t="shared" si="2729"/>
        <v>46386</v>
      </c>
      <c r="M425" s="56"/>
      <c r="N425" s="59">
        <f>SUMPRODUCT(PRODUCE!$B418:$DY418,PRODUCE!$EB$8:$IY$8)</f>
        <v>0</v>
      </c>
      <c r="O425" s="56"/>
      <c r="P425" s="59">
        <f t="shared" si="2730"/>
        <v>0</v>
      </c>
      <c r="Q425" s="59">
        <f t="shared" si="2731"/>
        <v>53017.600000000071</v>
      </c>
      <c r="R425" s="56"/>
      <c r="U425" s="55">
        <f t="shared" si="2732"/>
        <v>46386</v>
      </c>
      <c r="V425" s="56"/>
      <c r="W425" s="60">
        <f>SUMPRODUCT(PRODUCE!$B418:$DY418,PRODUCE!$EB$9:$IY$9)</f>
        <v>0</v>
      </c>
      <c r="X425" s="56"/>
      <c r="Y425" s="60">
        <f t="shared" si="2733"/>
        <v>0</v>
      </c>
      <c r="Z425" s="60">
        <f t="shared" si="2734"/>
        <v>42674.199999999968</v>
      </c>
      <c r="AA425" s="56"/>
      <c r="AD425" s="55">
        <f t="shared" si="2735"/>
        <v>46386</v>
      </c>
      <c r="AE425" s="56"/>
      <c r="AF425" s="61">
        <f>SUMPRODUCT(PRODUCE!$B418:$DY418,PRODUCE!$EB$10:$IY$10)</f>
        <v>0</v>
      </c>
      <c r="AG425" s="56"/>
      <c r="AH425" s="61">
        <f t="shared" si="2736"/>
        <v>0</v>
      </c>
      <c r="AI425" s="61">
        <f t="shared" si="2737"/>
        <v>4522.2000000000189</v>
      </c>
      <c r="AJ425" s="56"/>
      <c r="AM425" s="55">
        <f t="shared" si="2738"/>
        <v>46386</v>
      </c>
      <c r="AN425" s="422"/>
      <c r="AO425" s="444">
        <f>SUMPRODUCT(PRODUCE!$B418:$DY418,PRODUCE!$EB$11:$IY$11)</f>
        <v>0</v>
      </c>
      <c r="AP425" s="422"/>
      <c r="AQ425" s="444">
        <f t="shared" si="2739"/>
        <v>0</v>
      </c>
      <c r="AR425" s="444">
        <f t="shared" si="2740"/>
        <v>0</v>
      </c>
      <c r="AS425" s="56"/>
      <c r="AV425" s="55">
        <f t="shared" si="2741"/>
        <v>46386</v>
      </c>
      <c r="AW425" s="56"/>
      <c r="AX425" s="62">
        <f>SUMPRODUCT(PRODUCE!$B418:$DY418,PRODUCE!$EB$12:$IY$12)</f>
        <v>0</v>
      </c>
      <c r="AY425" s="56"/>
      <c r="AZ425" s="62">
        <f t="shared" si="2742"/>
        <v>0</v>
      </c>
      <c r="BA425" s="62">
        <f t="shared" si="2743"/>
        <v>124.99999999999523</v>
      </c>
      <c r="BB425" s="56"/>
      <c r="BE425" s="55">
        <f t="shared" si="2744"/>
        <v>46386</v>
      </c>
      <c r="BF425" s="56"/>
      <c r="BG425" s="63">
        <f>SUMPRODUCT(PRODUCE!$B418:$DY418,PRODUCE!$EB$13:$IY$13)</f>
        <v>0</v>
      </c>
      <c r="BH425" s="56"/>
      <c r="BI425" s="63">
        <f t="shared" si="2745"/>
        <v>0</v>
      </c>
      <c r="BJ425" s="63">
        <f t="shared" si="2746"/>
        <v>26151.899999999998</v>
      </c>
      <c r="BK425" s="56"/>
      <c r="BN425" s="55">
        <f t="shared" si="2747"/>
        <v>46386</v>
      </c>
      <c r="BO425" s="56"/>
      <c r="BP425" s="64">
        <f>SUMPRODUCT(PRODUCE!$B418:$DY418,PRODUCE!$EB$14:$IY$14)</f>
        <v>0</v>
      </c>
      <c r="BQ425" s="56"/>
      <c r="BR425" s="64">
        <f t="shared" si="2748"/>
        <v>0</v>
      </c>
      <c r="BS425" s="64">
        <f t="shared" si="2749"/>
        <v>0</v>
      </c>
      <c r="BT425" s="56"/>
      <c r="BW425" s="55">
        <f t="shared" si="2750"/>
        <v>46386</v>
      </c>
      <c r="BX425" s="56"/>
      <c r="BY425" s="65">
        <f>SUMPRODUCT(PRODUCE!$B418:$DY418,PRODUCE!$EB$15:$IY$15)</f>
        <v>0</v>
      </c>
      <c r="BZ425" s="56"/>
      <c r="CA425" s="65">
        <f t="shared" si="2751"/>
        <v>0</v>
      </c>
      <c r="CB425" s="65">
        <f t="shared" si="2752"/>
        <v>2097.3399999999992</v>
      </c>
      <c r="CC425" s="56"/>
      <c r="CF425" s="55">
        <f t="shared" si="2753"/>
        <v>46386</v>
      </c>
      <c r="CG425" s="56"/>
      <c r="CH425" s="66">
        <f>SUMPRODUCT(PRODUCE!$B418:$DY418,PRODUCE!$EB$16:$IY$16)</f>
        <v>0</v>
      </c>
      <c r="CI425" s="56"/>
      <c r="CJ425" s="66">
        <f t="shared" si="2754"/>
        <v>0</v>
      </c>
      <c r="CK425" s="66">
        <f t="shared" si="2755"/>
        <v>-10277.079999999998</v>
      </c>
      <c r="CL425" s="56"/>
      <c r="CO425" s="55">
        <f t="shared" si="2756"/>
        <v>46386</v>
      </c>
      <c r="CP425" s="422"/>
      <c r="CQ425" s="470">
        <f>SUMPRODUCT(PRODUCE!$B418:$DY418,PRODUCE!$EB$17:$IY$17)</f>
        <v>0</v>
      </c>
      <c r="CR425" s="422"/>
      <c r="CS425" s="470">
        <f t="shared" si="2757"/>
        <v>0</v>
      </c>
      <c r="CT425" s="470">
        <f t="shared" si="2758"/>
        <v>0</v>
      </c>
      <c r="CU425" s="56"/>
      <c r="CX425" s="55">
        <f t="shared" si="2759"/>
        <v>46386</v>
      </c>
      <c r="CY425" s="56"/>
      <c r="CZ425" s="133">
        <f>SUMPRODUCT(PRODUCE!$B418:$DY418,PRODUCE!$EB$18:$IY$18)</f>
        <v>0</v>
      </c>
      <c r="DA425" s="56"/>
      <c r="DB425" s="133">
        <f t="shared" si="2760"/>
        <v>0</v>
      </c>
      <c r="DC425" s="133">
        <f t="shared" si="2761"/>
        <v>27438.200000000012</v>
      </c>
      <c r="DD425" s="56"/>
      <c r="DG425" s="55">
        <f t="shared" si="2762"/>
        <v>46386</v>
      </c>
      <c r="DH425" s="56"/>
      <c r="DI425" s="147">
        <f>SUMPRODUCT(PRODUCE!$B418:$DY418,PRODUCE!$EB$19:$IY$19)</f>
        <v>0</v>
      </c>
      <c r="DJ425" s="56"/>
      <c r="DK425" s="147">
        <f t="shared" si="2763"/>
        <v>0</v>
      </c>
      <c r="DL425" s="147">
        <f t="shared" si="2764"/>
        <v>18782.299999999981</v>
      </c>
      <c r="DM425" s="56"/>
      <c r="DP425" s="55">
        <f t="shared" si="2765"/>
        <v>46386</v>
      </c>
      <c r="DQ425" s="56"/>
      <c r="DR425" s="57">
        <f>SUMPRODUCT(PRODUCE!$B418:$DY418,PRODUCE!$EB$20:$IY$20)</f>
        <v>0</v>
      </c>
      <c r="DS425" s="56"/>
      <c r="DT425" s="57">
        <f t="shared" si="2766"/>
        <v>0</v>
      </c>
      <c r="DU425" s="57">
        <f t="shared" si="2767"/>
        <v>5800</v>
      </c>
      <c r="DV425" s="56"/>
      <c r="DY425" s="55">
        <f t="shared" si="2768"/>
        <v>46386</v>
      </c>
      <c r="DZ425" s="56"/>
      <c r="EA425" s="157">
        <f>SUMPRODUCT(PRODUCE!$B418:$DY418,PRODUCE!$EB$21:$IY$21)</f>
        <v>0</v>
      </c>
      <c r="EB425" s="56"/>
      <c r="EC425" s="157">
        <f t="shared" si="2769"/>
        <v>0</v>
      </c>
      <c r="ED425" s="157">
        <f t="shared" si="2770"/>
        <v>0</v>
      </c>
      <c r="EE425" s="56"/>
      <c r="EH425" s="55">
        <f t="shared" si="2771"/>
        <v>46386</v>
      </c>
      <c r="EI425" s="56"/>
      <c r="EJ425" s="162">
        <f>SUMPRODUCT(PRODUCE!$B418:$DY418,PRODUCE!$EB$22:$IY$22)</f>
        <v>0</v>
      </c>
      <c r="EK425" s="56"/>
      <c r="EL425" s="162">
        <f t="shared" si="2772"/>
        <v>0</v>
      </c>
      <c r="EM425" s="162">
        <f t="shared" si="2773"/>
        <v>0</v>
      </c>
      <c r="EN425" s="56"/>
      <c r="EQ425" s="55">
        <f t="shared" si="2774"/>
        <v>46386</v>
      </c>
      <c r="ER425" s="56"/>
      <c r="ES425" s="135">
        <f>SUMPRODUCT(PRODUCE!$B418:$DY418,PRODUCE!$EB$23:$IY$23)</f>
        <v>0</v>
      </c>
      <c r="ET425" s="56"/>
      <c r="EU425" s="135">
        <f t="shared" si="2775"/>
        <v>0</v>
      </c>
      <c r="EV425" s="135">
        <f t="shared" si="2776"/>
        <v>0</v>
      </c>
      <c r="EW425" s="56"/>
      <c r="EZ425" s="55">
        <f t="shared" si="2777"/>
        <v>46386</v>
      </c>
      <c r="FA425" s="56"/>
      <c r="FB425" s="175">
        <f>SUMPRODUCT(PRODUCE!$B418:$DY418,PRODUCE!$EB$24:$IY$24)</f>
        <v>0</v>
      </c>
      <c r="FC425" s="56"/>
      <c r="FD425" s="175">
        <f t="shared" si="2778"/>
        <v>0</v>
      </c>
      <c r="FE425" s="175">
        <f t="shared" si="2779"/>
        <v>0</v>
      </c>
      <c r="FF425" s="56"/>
      <c r="FI425" s="55">
        <f t="shared" si="2780"/>
        <v>46386</v>
      </c>
      <c r="FJ425" s="56"/>
      <c r="FK425" s="183">
        <f>SUMPRODUCT(PRODUCE!$B418:$DY418,PRODUCE!$EB$25:$IY$25)</f>
        <v>0</v>
      </c>
      <c r="FL425" s="56"/>
      <c r="FM425" s="183">
        <f t="shared" si="2781"/>
        <v>0</v>
      </c>
      <c r="FN425" s="183">
        <f t="shared" si="2782"/>
        <v>0</v>
      </c>
      <c r="FO425" s="56"/>
      <c r="FR425" s="55">
        <f t="shared" si="2783"/>
        <v>46386</v>
      </c>
      <c r="FS425" s="56"/>
      <c r="FT425" s="186">
        <f>SUMPRODUCT(PRODUCE!$B418:$DY418,PRODUCE!$EB$26:$IY$26)</f>
        <v>0</v>
      </c>
      <c r="FU425" s="56"/>
      <c r="FV425" s="186">
        <f t="shared" si="2784"/>
        <v>0</v>
      </c>
      <c r="FW425" s="186">
        <f t="shared" si="2785"/>
        <v>2020</v>
      </c>
      <c r="FX425" s="56"/>
      <c r="GA425" s="55">
        <f t="shared" si="2786"/>
        <v>46386</v>
      </c>
      <c r="GB425" s="56"/>
      <c r="GC425" s="137">
        <f>SUMPRODUCT(PRODUCE!$B418:$DY418,PRODUCE!$EB$27:$IY$27)</f>
        <v>0</v>
      </c>
      <c r="GD425" s="56"/>
      <c r="GE425" s="137">
        <f t="shared" si="2787"/>
        <v>0</v>
      </c>
      <c r="GF425" s="137">
        <f t="shared" si="2788"/>
        <v>960</v>
      </c>
      <c r="GG425" s="56"/>
      <c r="GI425" s="23"/>
      <c r="GJ425" s="55">
        <f t="shared" si="2789"/>
        <v>46386</v>
      </c>
      <c r="GK425" s="56"/>
      <c r="GL425" s="199">
        <f>SUMPRODUCT(PRODUCE!$B418:$DY418,PRODUCE!$EB$28:$IY$28)</f>
        <v>0</v>
      </c>
      <c r="GM425" s="56"/>
      <c r="GN425" s="199">
        <f t="shared" si="2790"/>
        <v>0</v>
      </c>
      <c r="GO425" s="199">
        <f t="shared" si="2791"/>
        <v>1760</v>
      </c>
      <c r="GP425" s="56"/>
      <c r="GS425" s="55">
        <f t="shared" si="2792"/>
        <v>46386</v>
      </c>
      <c r="GT425" s="56"/>
      <c r="GU425" s="195">
        <f>SUMPRODUCT(PRODUCE!$B418:$DY418,PRODUCE!$EB$29:$IY$29)</f>
        <v>0</v>
      </c>
      <c r="GV425" s="56"/>
      <c r="GW425" s="195">
        <f t="shared" si="2793"/>
        <v>0</v>
      </c>
      <c r="GX425" s="195">
        <f t="shared" si="2794"/>
        <v>400</v>
      </c>
      <c r="GY425" s="56"/>
      <c r="HB425" s="55">
        <f t="shared" si="2795"/>
        <v>46386</v>
      </c>
      <c r="HC425" s="56"/>
      <c r="HD425" s="191">
        <f>SUMPRODUCT(PRODUCE!$B418:$DY418,PRODUCE!$EB$30:$IY$30)</f>
        <v>0</v>
      </c>
      <c r="HE425" s="56"/>
      <c r="HF425" s="191">
        <f t="shared" si="2796"/>
        <v>0</v>
      </c>
      <c r="HG425" s="191">
        <f t="shared" si="2797"/>
        <v>3600</v>
      </c>
      <c r="HH425" s="56"/>
      <c r="HK425" s="55">
        <f t="shared" si="2798"/>
        <v>46386</v>
      </c>
      <c r="HL425" s="56"/>
      <c r="HM425" s="63">
        <f>SUMPRODUCT(PRODUCE!$B418:$DY418,PRODUCE!$EB$31:$IY$31)</f>
        <v>0</v>
      </c>
      <c r="HN425" s="56"/>
      <c r="HO425" s="63">
        <f t="shared" si="2799"/>
        <v>0</v>
      </c>
      <c r="HP425" s="63">
        <f t="shared" si="2800"/>
        <v>0</v>
      </c>
      <c r="HQ425" s="56"/>
      <c r="HU425" s="55">
        <f t="shared" si="2801"/>
        <v>46386</v>
      </c>
      <c r="HV425" s="56"/>
      <c r="HW425" s="242">
        <f>SUMPRODUCT(PRODUCE!$B418:$DY418,PRODUCE!$EB$32:$IY$32)</f>
        <v>0</v>
      </c>
      <c r="HX425" s="56"/>
      <c r="HY425" s="242">
        <f t="shared" si="2802"/>
        <v>0</v>
      </c>
      <c r="HZ425" s="242">
        <f t="shared" si="2803"/>
        <v>6120</v>
      </c>
      <c r="IA425" s="56"/>
      <c r="ID425" s="55">
        <f t="shared" si="2804"/>
        <v>46386</v>
      </c>
      <c r="IE425" s="56"/>
      <c r="IF425" s="242">
        <f>SUMPRODUCT(PRODUCE!$B418:$DY418,PRODUCE!$EB$33:$IY$33)</f>
        <v>0</v>
      </c>
      <c r="IG425" s="56"/>
      <c r="IH425" s="242">
        <f t="shared" si="2805"/>
        <v>0</v>
      </c>
      <c r="II425" s="242">
        <f t="shared" si="2806"/>
        <v>0</v>
      </c>
      <c r="IJ425" s="56"/>
      <c r="IM425" s="55">
        <f t="shared" si="2807"/>
        <v>46386</v>
      </c>
      <c r="IN425" s="56"/>
      <c r="IO425" s="242">
        <f>SUMPRODUCT(PRODUCE!$B418:$DY418,PRODUCE!$EB$34:$IY$34)</f>
        <v>0</v>
      </c>
      <c r="IP425" s="56"/>
      <c r="IQ425" s="242">
        <f t="shared" si="2808"/>
        <v>0</v>
      </c>
      <c r="IR425" s="242">
        <f t="shared" si="2809"/>
        <v>0</v>
      </c>
      <c r="IS425" s="56"/>
      <c r="IV425" s="55">
        <f t="shared" si="2810"/>
        <v>46386</v>
      </c>
      <c r="IW425" s="56"/>
      <c r="IX425" s="242">
        <f>SUMPRODUCT(PRODUCE!$B418:$DY418,PRODUCE!$EB$35:$IY$35)</f>
        <v>0</v>
      </c>
      <c r="IY425" s="56"/>
      <c r="IZ425" s="242">
        <f t="shared" si="2811"/>
        <v>0</v>
      </c>
      <c r="JA425" s="242">
        <f t="shared" si="2812"/>
        <v>2820</v>
      </c>
      <c r="JB425" s="56"/>
      <c r="JE425" s="55">
        <f t="shared" si="2813"/>
        <v>46386</v>
      </c>
      <c r="JF425" s="56"/>
      <c r="JG425" s="242">
        <f>SUMPRODUCT(PRODUCE!$B418:$DY418,PRODUCE!$EB$36:$IY$36)</f>
        <v>0</v>
      </c>
      <c r="JH425" s="56"/>
      <c r="JI425" s="242">
        <f t="shared" si="2814"/>
        <v>0</v>
      </c>
      <c r="JJ425" s="242">
        <f t="shared" si="2815"/>
        <v>0</v>
      </c>
      <c r="JK425" s="56"/>
      <c r="JN425" s="55">
        <f t="shared" si="2816"/>
        <v>46386</v>
      </c>
      <c r="JO425" s="56"/>
      <c r="JP425" s="242">
        <f>SUMPRODUCT(PRODUCE!$B418:$DY418,PRODUCE!$EB$37:$IY$37)</f>
        <v>0</v>
      </c>
      <c r="JQ425" s="56"/>
      <c r="JR425" s="242">
        <f t="shared" si="2817"/>
        <v>0</v>
      </c>
      <c r="JS425" s="242">
        <f t="shared" si="2818"/>
        <v>0</v>
      </c>
      <c r="JT425" s="56"/>
      <c r="JW425" s="55">
        <f t="shared" si="2819"/>
        <v>46386</v>
      </c>
      <c r="JX425" s="56"/>
      <c r="JY425" s="242">
        <f>SUMPRODUCT(PRODUCE!$B418:$DY418,PRODUCE!$EB$38:$IY$38)</f>
        <v>0</v>
      </c>
      <c r="JZ425" s="56"/>
      <c r="KA425" s="242">
        <f t="shared" si="2820"/>
        <v>0</v>
      </c>
      <c r="KB425" s="242">
        <f t="shared" si="2821"/>
        <v>2540</v>
      </c>
      <c r="KC425" s="56"/>
      <c r="KF425" s="55">
        <f t="shared" si="2822"/>
        <v>46386</v>
      </c>
      <c r="KG425" s="56"/>
      <c r="KH425" s="242">
        <f>SUMPRODUCT(PRODUCE!$B418:$DY418,PRODUCE!$EB$39:$IY$39)</f>
        <v>0</v>
      </c>
      <c r="KI425" s="56"/>
      <c r="KJ425" s="242">
        <f t="shared" si="2823"/>
        <v>0</v>
      </c>
      <c r="KK425" s="242">
        <f t="shared" si="2824"/>
        <v>2359.5</v>
      </c>
      <c r="KL425" s="56"/>
      <c r="KO425" s="55">
        <f t="shared" si="2825"/>
        <v>46386</v>
      </c>
      <c r="KP425" s="56"/>
      <c r="KQ425" s="242">
        <f>SUMPRODUCT(PRODUCE!$B418:$DY418,PRODUCE!$EB$40:$IY$40)</f>
        <v>0</v>
      </c>
      <c r="KR425" s="56"/>
      <c r="KS425" s="242">
        <f t="shared" si="2826"/>
        <v>0</v>
      </c>
      <c r="KT425" s="242">
        <f t="shared" si="2827"/>
        <v>1890</v>
      </c>
      <c r="KU425" s="56"/>
      <c r="KW425" s="23"/>
      <c r="KX425" s="55">
        <f t="shared" si="2828"/>
        <v>46386</v>
      </c>
      <c r="KY425" s="56"/>
      <c r="KZ425" s="242">
        <f>SUMPRODUCT(PRODUCE!$B418:$DY418,PRODUCE!$EB$41:$IY$41)</f>
        <v>0</v>
      </c>
      <c r="LA425" s="56"/>
      <c r="LB425" s="242">
        <f t="shared" si="2829"/>
        <v>0</v>
      </c>
      <c r="LC425" s="242">
        <f t="shared" si="2830"/>
        <v>3690</v>
      </c>
      <c r="LD425" s="56"/>
      <c r="LG425" s="55">
        <f t="shared" si="2831"/>
        <v>46386</v>
      </c>
      <c r="LH425" s="56"/>
      <c r="LI425" s="242">
        <f>SUMPRODUCT(PRODUCE!$B418:$DY418,PRODUCE!$EB$42:$IY$42)</f>
        <v>0</v>
      </c>
      <c r="LJ425" s="56"/>
      <c r="LK425" s="242">
        <f t="shared" si="2832"/>
        <v>0</v>
      </c>
      <c r="LL425" s="242">
        <f t="shared" si="2833"/>
        <v>4000</v>
      </c>
      <c r="LM425" s="56"/>
      <c r="LP425" s="55">
        <f t="shared" si="2834"/>
        <v>46386</v>
      </c>
      <c r="LQ425" s="56"/>
      <c r="LR425" s="242">
        <f>SUMPRODUCT(PRODUCE!$B440:$DY440,PRODUCE!$EB$43:$IY$43)</f>
        <v>0</v>
      </c>
      <c r="LS425" s="56"/>
      <c r="LT425" s="242">
        <f t="shared" si="2835"/>
        <v>0</v>
      </c>
      <c r="LU425" s="242">
        <f t="shared" si="2836"/>
        <v>0</v>
      </c>
      <c r="LV425" s="56"/>
      <c r="LY425" s="55">
        <f t="shared" si="2837"/>
        <v>46386</v>
      </c>
      <c r="LZ425" s="56"/>
      <c r="MA425" s="242">
        <f>SUMPRODUCT(PRODUCE!$B418:$DY418,PRODUCE!$EB$44:$IY$44)</f>
        <v>0</v>
      </c>
      <c r="MB425" s="56"/>
      <c r="MC425" s="242">
        <f t="shared" si="2838"/>
        <v>0</v>
      </c>
      <c r="MD425" s="242">
        <f t="shared" si="2839"/>
        <v>0</v>
      </c>
      <c r="ME425" s="56"/>
      <c r="MH425" s="55">
        <f t="shared" si="2840"/>
        <v>46386</v>
      </c>
      <c r="MI425" s="56"/>
      <c r="MJ425" s="242">
        <f>SUMPRODUCT(PRODUCE!$B418:$DY418,PRODUCE!$EB$45:$IY$45)</f>
        <v>0</v>
      </c>
      <c r="MK425" s="56"/>
      <c r="ML425" s="242">
        <f t="shared" si="2841"/>
        <v>0</v>
      </c>
      <c r="MM425" s="242">
        <f t="shared" si="2842"/>
        <v>-18</v>
      </c>
      <c r="MN425" s="56"/>
      <c r="MQ425" s="55">
        <f t="shared" si="2843"/>
        <v>46386</v>
      </c>
      <c r="MR425" s="56"/>
      <c r="MS425" s="242">
        <f>SUMPRODUCT(PRODUCE!$B418:$DY418,PRODUCE!$EB$46:$IY$46)</f>
        <v>0</v>
      </c>
      <c r="MT425" s="56"/>
      <c r="MU425" s="242">
        <f t="shared" si="2844"/>
        <v>0</v>
      </c>
      <c r="MV425" s="242">
        <f t="shared" si="2845"/>
        <v>1559</v>
      </c>
      <c r="MW425" s="56"/>
      <c r="MZ425" s="55">
        <f t="shared" si="2846"/>
        <v>46386</v>
      </c>
      <c r="NA425" s="56"/>
      <c r="NB425" s="242">
        <f>SUMPRODUCT(PRODUCE!$B418:$DY418,PRODUCE!$EB$47:$IY$47)</f>
        <v>0</v>
      </c>
      <c r="NC425" s="56"/>
      <c r="ND425" s="242">
        <f t="shared" si="2847"/>
        <v>0</v>
      </c>
      <c r="NE425" s="242">
        <f t="shared" si="2848"/>
        <v>0</v>
      </c>
      <c r="NF425" s="56"/>
      <c r="NI425" s="55">
        <f t="shared" si="2849"/>
        <v>46386</v>
      </c>
      <c r="NJ425" s="56"/>
      <c r="NK425" s="242">
        <f>SUMPRODUCT(PRODUCE!$B418:$DY418,PRODUCE!$EB$48:$IY$48)</f>
        <v>0</v>
      </c>
      <c r="NL425" s="56"/>
      <c r="NM425" s="242">
        <f t="shared" si="2850"/>
        <v>0</v>
      </c>
      <c r="NN425" s="242">
        <f t="shared" si="2851"/>
        <v>1127</v>
      </c>
      <c r="NO425" s="56"/>
      <c r="NR425" s="55">
        <f t="shared" si="2852"/>
        <v>46386</v>
      </c>
      <c r="NS425" s="56"/>
      <c r="NT425" s="242">
        <f>SUMPRODUCT(PRODUCE!$B418:$DY418,PRODUCE!$EB$49:$IY$49)</f>
        <v>0</v>
      </c>
      <c r="NU425" s="56"/>
      <c r="NV425" s="242">
        <f t="shared" si="2853"/>
        <v>0</v>
      </c>
      <c r="NW425" s="242">
        <f t="shared" si="2854"/>
        <v>3111.9999999999995</v>
      </c>
      <c r="NX425" s="56"/>
      <c r="OA425" s="55">
        <f t="shared" si="2855"/>
        <v>46386</v>
      </c>
      <c r="OB425" s="56"/>
      <c r="OC425" s="242">
        <f>SUMPRODUCT(PRODUCE!$B418:$DY418,PRODUCE!$EB$50:$IY$50)</f>
        <v>0</v>
      </c>
      <c r="OD425" s="56"/>
      <c r="OE425" s="242">
        <f t="shared" si="2856"/>
        <v>0</v>
      </c>
      <c r="OF425" s="242">
        <f t="shared" si="2857"/>
        <v>1680.5</v>
      </c>
      <c r="OG425" s="56"/>
      <c r="OJ425" s="55">
        <f t="shared" si="2858"/>
        <v>46386</v>
      </c>
      <c r="OK425" s="56"/>
      <c r="OL425" s="242">
        <f>SUMPRODUCT(PRODUCE!$B418:$DY418,PRODUCE!$EB$51:$IY$51)</f>
        <v>0</v>
      </c>
      <c r="OM425" s="56"/>
      <c r="ON425" s="242">
        <f t="shared" si="2859"/>
        <v>0</v>
      </c>
      <c r="OO425" s="242">
        <f t="shared" si="2860"/>
        <v>0</v>
      </c>
      <c r="OP425" s="56"/>
      <c r="OS425" s="55">
        <f t="shared" si="2861"/>
        <v>46386</v>
      </c>
      <c r="OT425" s="56"/>
      <c r="OU425" s="242">
        <f>SUMPRODUCT(PRODUCE!$B418:$DY418,PRODUCE!$EB$52:$IY$52)</f>
        <v>0</v>
      </c>
      <c r="OV425" s="56"/>
      <c r="OW425" s="242">
        <f t="shared" si="2862"/>
        <v>0</v>
      </c>
      <c r="OX425" s="242">
        <f t="shared" si="2863"/>
        <v>1482</v>
      </c>
      <c r="OY425" s="56"/>
      <c r="PB425" s="55">
        <f t="shared" si="2864"/>
        <v>46386</v>
      </c>
      <c r="PC425" s="56"/>
      <c r="PD425" s="242">
        <f>SUMPRODUCT(PRODUCE!$B418:$DY418,PRODUCE!$EB$53:$IY$53)</f>
        <v>0</v>
      </c>
      <c r="PE425" s="56"/>
      <c r="PF425" s="242">
        <f t="shared" si="2865"/>
        <v>0</v>
      </c>
      <c r="PG425" s="242">
        <f t="shared" si="2866"/>
        <v>0</v>
      </c>
      <c r="PH425" s="56"/>
      <c r="PK425" s="55">
        <f t="shared" si="2867"/>
        <v>46386</v>
      </c>
      <c r="PL425" s="56"/>
      <c r="PM425" s="242">
        <f>SUMPRODUCT(PRODUCE!$B418:$DY418,PRODUCE!$EB$54:$IY$54)</f>
        <v>0</v>
      </c>
      <c r="PN425" s="56"/>
      <c r="PO425" s="242">
        <f t="shared" si="2868"/>
        <v>0</v>
      </c>
      <c r="PP425" s="242">
        <f t="shared" si="2869"/>
        <v>100</v>
      </c>
      <c r="PQ425" s="56"/>
      <c r="PT425" s="55">
        <f t="shared" si="2870"/>
        <v>46386</v>
      </c>
      <c r="PU425" s="56"/>
      <c r="PV425" s="242">
        <f>SUMPRODUCT(PRODUCE!$B418:$DY418,PRODUCE!$EB$55:$IY$55)</f>
        <v>0</v>
      </c>
      <c r="PW425" s="56"/>
      <c r="PX425" s="242">
        <f t="shared" si="2871"/>
        <v>0</v>
      </c>
      <c r="PY425" s="242">
        <f t="shared" si="2872"/>
        <v>13.960000000000036</v>
      </c>
      <c r="PZ425" s="56"/>
      <c r="QC425" s="55">
        <f t="shared" si="2873"/>
        <v>46386</v>
      </c>
      <c r="QD425" s="56"/>
      <c r="QE425" s="242">
        <f>SUMPRODUCT(PRODUCE!$B418:$DY418,PRODUCE!$EB$56:$IY$56)</f>
        <v>0</v>
      </c>
      <c r="QF425" s="56"/>
      <c r="QG425" s="242">
        <f t="shared" si="2874"/>
        <v>0</v>
      </c>
      <c r="QH425" s="242">
        <f t="shared" si="2875"/>
        <v>548</v>
      </c>
      <c r="QI425" s="56"/>
      <c r="QL425" s="55">
        <f t="shared" si="2876"/>
        <v>46386</v>
      </c>
      <c r="QM425" s="56"/>
      <c r="QN425" s="242">
        <f>SUMPRODUCT(PRODUCE!$B418:$DY418,PRODUCE!$EB$57:$IY$57)</f>
        <v>0</v>
      </c>
      <c r="QO425" s="56"/>
      <c r="QP425" s="242">
        <f t="shared" si="2877"/>
        <v>0</v>
      </c>
      <c r="QQ425" s="242">
        <f t="shared" si="2878"/>
        <v>0</v>
      </c>
      <c r="QR425" s="56"/>
      <c r="QU425" s="55">
        <f t="shared" si="2879"/>
        <v>46386</v>
      </c>
      <c r="QV425" s="56"/>
      <c r="QW425" s="242">
        <f>SUMPRODUCT(PRODUCE!$B418:$DY418,PRODUCE!$EB$57:$IY$57)</f>
        <v>0</v>
      </c>
      <c r="QX425" s="56"/>
      <c r="QY425" s="242">
        <f t="shared" si="2880"/>
        <v>0</v>
      </c>
      <c r="QZ425" s="242">
        <f t="shared" si="2881"/>
        <v>0</v>
      </c>
      <c r="RA425" s="56"/>
      <c r="RD425" s="55">
        <f t="shared" si="2882"/>
        <v>46386</v>
      </c>
      <c r="RE425" s="56"/>
      <c r="RF425" s="242">
        <f>SUMPRODUCT(PRODUCE!$B418:$DY418,PRODUCE!$EB$58:$IY$58)</f>
        <v>0</v>
      </c>
      <c r="RG425" s="56"/>
      <c r="RH425" s="242">
        <f t="shared" si="2883"/>
        <v>0</v>
      </c>
      <c r="RI425" s="242">
        <f t="shared" si="2884"/>
        <v>147.04000000000002</v>
      </c>
      <c r="RJ425" s="56"/>
      <c r="RM425" s="55">
        <f t="shared" si="2885"/>
        <v>46386</v>
      </c>
      <c r="RN425" s="56"/>
      <c r="RO425" s="242">
        <f>SUMPRODUCT(PRODUCE!$B418:$DY418,PRODUCE!$EB$57:$IY$57)</f>
        <v>0</v>
      </c>
      <c r="RP425" s="56"/>
      <c r="RQ425" s="242">
        <f t="shared" si="2886"/>
        <v>0</v>
      </c>
      <c r="RR425" s="242">
        <f t="shared" si="2887"/>
        <v>46.8</v>
      </c>
      <c r="RS425" s="56"/>
      <c r="RV425" s="55">
        <f t="shared" si="2888"/>
        <v>46386</v>
      </c>
      <c r="RW425" s="56"/>
      <c r="RX425" s="242">
        <f>SUMPRODUCT(PRODUCE!$B418:$DY418,PRODUCE!$EB$57:$IY$57)</f>
        <v>0</v>
      </c>
      <c r="RY425" s="56"/>
      <c r="RZ425" s="242">
        <f t="shared" si="2889"/>
        <v>0</v>
      </c>
      <c r="SA425" s="242">
        <f t="shared" si="2890"/>
        <v>0</v>
      </c>
      <c r="SB425" s="56"/>
      <c r="SE425" s="55">
        <f t="shared" si="2891"/>
        <v>46386</v>
      </c>
      <c r="SF425" s="56"/>
      <c r="SG425" s="242">
        <f>SUMPRODUCT(PRODUCE!$B418:$DY418,PRODUCE!$EB$61:$IY$61)</f>
        <v>0</v>
      </c>
      <c r="SH425" s="56"/>
      <c r="SI425" s="242">
        <f t="shared" si="2892"/>
        <v>0</v>
      </c>
      <c r="SJ425" s="242">
        <f t="shared" si="2893"/>
        <v>24.200000000000003</v>
      </c>
      <c r="SK425" s="56"/>
      <c r="SN425" s="55">
        <f t="shared" si="2894"/>
        <v>46386</v>
      </c>
      <c r="SO425" s="56"/>
      <c r="SP425" s="242">
        <f>SUMPRODUCT(PRODUCE!$B418:$DY418,PRODUCE!$EB$57:$IY$57)</f>
        <v>0</v>
      </c>
      <c r="SQ425" s="56"/>
      <c r="SR425" s="242">
        <f t="shared" si="2895"/>
        <v>0</v>
      </c>
      <c r="SS425" s="242">
        <f t="shared" si="2896"/>
        <v>32</v>
      </c>
      <c r="ST425" s="56"/>
      <c r="SW425" s="55">
        <f t="shared" si="2897"/>
        <v>46386</v>
      </c>
      <c r="SX425" s="56"/>
      <c r="SY425" s="242">
        <f>SUMPRODUCT(PRODUCE!$B418:$DY418,PRODUCE!$EB$57:$IY$57)</f>
        <v>0</v>
      </c>
      <c r="SZ425" s="56"/>
      <c r="TA425" s="242">
        <f t="shared" si="2898"/>
        <v>0</v>
      </c>
      <c r="TB425" s="242">
        <f t="shared" si="2899"/>
        <v>0</v>
      </c>
      <c r="TC425" s="56"/>
      <c r="TF425" s="55">
        <f t="shared" si="2900"/>
        <v>46386</v>
      </c>
      <c r="TG425" s="56"/>
      <c r="TH425" s="242">
        <f>SUMPRODUCT(PRODUCE!$B418:$DY418,PRODUCE!$EB$57:$IY$57)</f>
        <v>0</v>
      </c>
      <c r="TI425" s="56"/>
      <c r="TJ425" s="242">
        <f t="shared" si="2901"/>
        <v>0</v>
      </c>
      <c r="TK425" s="242">
        <f t="shared" si="2902"/>
        <v>0</v>
      </c>
      <c r="TL425" s="56"/>
      <c r="TO425" s="55">
        <f t="shared" si="2903"/>
        <v>46386</v>
      </c>
      <c r="TP425" s="56"/>
      <c r="TQ425" s="242">
        <f>SUMPRODUCT(PRODUCE!$B418:$DY418,PRODUCE!$EB$57:$IY$57)</f>
        <v>0</v>
      </c>
      <c r="TR425" s="56"/>
      <c r="TS425" s="242">
        <f t="shared" si="2904"/>
        <v>0</v>
      </c>
      <c r="TT425" s="242">
        <f t="shared" si="2905"/>
        <v>0</v>
      </c>
      <c r="TU425" s="56"/>
      <c r="TX425" s="55">
        <f t="shared" si="2906"/>
        <v>46386</v>
      </c>
      <c r="TY425" s="56"/>
      <c r="TZ425" s="242">
        <f>SUMPRODUCT(PRODUCE!$B418:$DY418,PRODUCE!$EB$57:$IY$57)</f>
        <v>0</v>
      </c>
      <c r="UA425" s="56"/>
      <c r="UB425" s="242">
        <f t="shared" si="2907"/>
        <v>0</v>
      </c>
      <c r="UC425" s="242">
        <f t="shared" si="2908"/>
        <v>46.799999999999983</v>
      </c>
      <c r="UD425" s="56"/>
      <c r="UG425" s="55">
        <f t="shared" si="2909"/>
        <v>46386</v>
      </c>
      <c r="UH425" s="56"/>
      <c r="UI425" s="242">
        <f>SUMPRODUCT(PRODUCE!$B418:$DY418,PRODUCE!$EB$57:$IY$57)</f>
        <v>0</v>
      </c>
      <c r="UJ425" s="56"/>
      <c r="UK425" s="242">
        <f t="shared" si="2910"/>
        <v>0</v>
      </c>
      <c r="UL425" s="242">
        <f t="shared" si="2911"/>
        <v>204</v>
      </c>
      <c r="UM425" s="56"/>
      <c r="UP425" s="55">
        <f t="shared" si="2912"/>
        <v>46386</v>
      </c>
      <c r="UQ425" s="56"/>
      <c r="UR425" s="242">
        <f>SUMPRODUCT(PRODUCE!$B418:$DY418,PRODUCE!$EB$57:$IY$57)</f>
        <v>0</v>
      </c>
      <c r="US425" s="56"/>
      <c r="UT425" s="242">
        <f t="shared" si="2913"/>
        <v>0</v>
      </c>
      <c r="UU425" s="242">
        <f t="shared" si="2914"/>
        <v>202.5</v>
      </c>
      <c r="UV425" s="56"/>
      <c r="UY425" s="55">
        <f t="shared" si="2915"/>
        <v>46386</v>
      </c>
      <c r="UZ425" s="56"/>
      <c r="VA425" s="242">
        <f>SUMPRODUCT(PRODUCE!$B418:$DY418,PRODUCE!$EB$57:$IY$57)</f>
        <v>0</v>
      </c>
      <c r="VB425" s="56"/>
      <c r="VC425" s="242">
        <f t="shared" si="2916"/>
        <v>0</v>
      </c>
      <c r="VD425" s="242">
        <f t="shared" si="2917"/>
        <v>41.600000000000023</v>
      </c>
      <c r="VE425" s="56"/>
      <c r="VH425" s="55">
        <f t="shared" si="2918"/>
        <v>46386</v>
      </c>
      <c r="VI425" s="56"/>
      <c r="VJ425" s="242">
        <f>SUMPRODUCT(PRODUCE!$B418:$DY418,PRODUCE!$EB$57:$IY$57)</f>
        <v>0</v>
      </c>
      <c r="VK425" s="56"/>
      <c r="VL425" s="242">
        <f t="shared" si="2919"/>
        <v>0</v>
      </c>
      <c r="VM425" s="242">
        <f t="shared" si="2920"/>
        <v>210</v>
      </c>
      <c r="VN425" s="56"/>
      <c r="VQ425" s="55">
        <f t="shared" si="2921"/>
        <v>46386</v>
      </c>
      <c r="VR425" s="56"/>
      <c r="VS425" s="242">
        <f>SUMPRODUCT(PRODUCE!$B418:$DY418,PRODUCE!$EB$57:$IY$57)</f>
        <v>0</v>
      </c>
      <c r="VT425" s="56"/>
      <c r="VU425" s="242">
        <f t="shared" si="2922"/>
        <v>0</v>
      </c>
      <c r="VV425" s="242">
        <f t="shared" si="2923"/>
        <v>0</v>
      </c>
      <c r="VW425" s="56"/>
      <c r="VZ425" s="55">
        <f t="shared" si="2924"/>
        <v>46386</v>
      </c>
      <c r="WA425" s="56"/>
      <c r="WB425" s="242">
        <f>SUMPRODUCT(PRODUCE!$B418:$DY418,PRODUCE!$EB$57:$IY$57)</f>
        <v>0</v>
      </c>
      <c r="WC425" s="56"/>
      <c r="WD425" s="242">
        <f t="shared" si="2925"/>
        <v>0</v>
      </c>
      <c r="WE425" s="242">
        <f t="shared" si="2926"/>
        <v>0</v>
      </c>
      <c r="WF425" s="56"/>
      <c r="WI425" s="55">
        <f t="shared" si="2927"/>
        <v>46386</v>
      </c>
      <c r="WJ425" s="56"/>
      <c r="WK425" s="242">
        <f>SUMPRODUCT(PRODUCE!$B418:$DY418,PRODUCE!$EB$57:$IY$57)</f>
        <v>0</v>
      </c>
      <c r="WL425" s="56"/>
      <c r="WM425" s="242">
        <f t="shared" si="2928"/>
        <v>0</v>
      </c>
      <c r="WN425" s="242">
        <f t="shared" si="2929"/>
        <v>1057</v>
      </c>
      <c r="WO425" s="56"/>
      <c r="WR425" s="55">
        <f t="shared" si="2930"/>
        <v>46386</v>
      </c>
      <c r="WS425" s="56"/>
      <c r="WT425" s="242">
        <f>SUMPRODUCT(PRODUCE!$B418:$DY418,PRODUCE!$EB$57:$IY$57)</f>
        <v>0</v>
      </c>
      <c r="WU425" s="56"/>
      <c r="WV425" s="242">
        <f t="shared" si="2931"/>
        <v>0</v>
      </c>
      <c r="WW425" s="242">
        <f t="shared" si="2932"/>
        <v>0</v>
      </c>
      <c r="WX425" s="56"/>
      <c r="XA425" s="55">
        <f t="shared" si="2933"/>
        <v>46386</v>
      </c>
      <c r="XB425" s="56"/>
      <c r="XC425" s="242">
        <f>SUMPRODUCT(PRODUCE!$B418:$DY418,PRODUCE!$EB$57:$IY$57)</f>
        <v>0</v>
      </c>
      <c r="XD425" s="56"/>
      <c r="XE425" s="242">
        <f t="shared" si="2934"/>
        <v>0</v>
      </c>
      <c r="XF425" s="242">
        <f t="shared" si="2935"/>
        <v>7507</v>
      </c>
      <c r="XG425" s="56"/>
      <c r="XJ425" s="55">
        <f t="shared" si="2936"/>
        <v>46386</v>
      </c>
      <c r="XK425" s="56"/>
      <c r="XL425" s="242">
        <f>SUMPRODUCT(PRODUCE!$B418:$DY418,PRODUCE!$EB$57:$IY$57)</f>
        <v>0</v>
      </c>
      <c r="XM425" s="56"/>
      <c r="XN425" s="242">
        <f t="shared" si="2937"/>
        <v>0</v>
      </c>
      <c r="XO425" s="242">
        <f t="shared" si="2938"/>
        <v>4252</v>
      </c>
      <c r="XP425" s="56"/>
      <c r="XS425" s="55">
        <f t="shared" si="2939"/>
        <v>46386</v>
      </c>
      <c r="XT425" s="56"/>
      <c r="XU425" s="242">
        <f>SUMPRODUCT(PRODUCE!$B418:$DY418,PRODUCE!$EB$57:$IY$57)</f>
        <v>0</v>
      </c>
      <c r="XV425" s="56"/>
      <c r="XW425" s="242">
        <f t="shared" si="2940"/>
        <v>0</v>
      </c>
      <c r="XX425" s="242">
        <f t="shared" si="2941"/>
        <v>2179</v>
      </c>
      <c r="XY425" s="56"/>
      <c r="YB425" s="55">
        <f t="shared" si="2942"/>
        <v>46386</v>
      </c>
      <c r="YC425" s="56"/>
      <c r="YD425" s="242">
        <f>SUMPRODUCT(PRODUCE!$B418:$DY418,PRODUCE!$EB$57:$IY$57)</f>
        <v>0</v>
      </c>
      <c r="YE425" s="56"/>
      <c r="YF425" s="242">
        <f t="shared" si="2943"/>
        <v>0</v>
      </c>
      <c r="YG425" s="242">
        <f t="shared" si="2944"/>
        <v>4019</v>
      </c>
      <c r="YH425" s="56"/>
      <c r="YK425" s="55">
        <f t="shared" si="2945"/>
        <v>46386</v>
      </c>
      <c r="YL425" s="56"/>
      <c r="YM425" s="242">
        <f>SUMPRODUCT(PRODUCE!$B418:$DY418,PRODUCE!$EB$57:$IY$57)</f>
        <v>0</v>
      </c>
      <c r="YN425" s="56"/>
      <c r="YO425" s="242">
        <f t="shared" si="2946"/>
        <v>0</v>
      </c>
      <c r="YP425" s="242">
        <f t="shared" si="2947"/>
        <v>-218</v>
      </c>
      <c r="YQ425" s="56"/>
      <c r="YT425" s="55">
        <f t="shared" si="2948"/>
        <v>46386</v>
      </c>
      <c r="YU425" s="56"/>
      <c r="YV425" s="242">
        <f>SUMPRODUCT(PRODUCE!$B418:$DY418,PRODUCE!$EB$57:$IY$57)</f>
        <v>0</v>
      </c>
      <c r="YW425" s="56"/>
      <c r="YX425" s="242">
        <f t="shared" si="2949"/>
        <v>0</v>
      </c>
      <c r="YY425" s="242">
        <f t="shared" si="2950"/>
        <v>0</v>
      </c>
      <c r="YZ425" s="56"/>
      <c r="ZC425" s="55">
        <f t="shared" si="2951"/>
        <v>46386</v>
      </c>
      <c r="ZD425" s="56"/>
      <c r="ZE425" s="242">
        <f>SUMPRODUCT(PRODUCE!$B418:$DY418,PRODUCE!$EB$57:$IY$57)</f>
        <v>0</v>
      </c>
      <c r="ZF425" s="56"/>
      <c r="ZG425" s="242">
        <f t="shared" si="2952"/>
        <v>0</v>
      </c>
      <c r="ZH425" s="242">
        <f t="shared" si="2953"/>
        <v>0</v>
      </c>
      <c r="ZI425" s="56"/>
      <c r="ZL425" s="55">
        <f t="shared" si="2954"/>
        <v>46386</v>
      </c>
      <c r="ZM425" s="56"/>
      <c r="ZN425" s="242">
        <f>SUMPRODUCT(PRODUCE!$B418:$DY418,PRODUCE!$EB$57:$IY$57)</f>
        <v>0</v>
      </c>
      <c r="ZO425" s="56"/>
      <c r="ZP425" s="242">
        <f t="shared" si="2955"/>
        <v>0</v>
      </c>
      <c r="ZQ425" s="242">
        <f t="shared" si="2956"/>
        <v>0</v>
      </c>
      <c r="ZR425" s="56"/>
      <c r="ZU425" s="55">
        <f t="shared" si="2957"/>
        <v>46386</v>
      </c>
      <c r="ZV425" s="56"/>
      <c r="ZW425" s="242">
        <f>SUMPRODUCT(PRODUCE!$B418:$DY418,PRODUCE!$EB$57:$IY$57)</f>
        <v>0</v>
      </c>
      <c r="ZX425" s="56"/>
      <c r="ZY425" s="242">
        <f t="shared" si="2958"/>
        <v>0</v>
      </c>
      <c r="ZZ425" s="242">
        <f t="shared" si="2959"/>
        <v>0</v>
      </c>
      <c r="AAA425" s="56"/>
      <c r="AAD425" s="55">
        <f t="shared" si="2960"/>
        <v>46386</v>
      </c>
      <c r="AAE425" s="56"/>
      <c r="AAF425" s="242">
        <f>SUMPRODUCT(PRODUCE!$B418:$DY418,PRODUCE!$EB$57:$IY$57)</f>
        <v>0</v>
      </c>
      <c r="AAG425" s="56"/>
      <c r="AAH425" s="242">
        <f t="shared" si="2961"/>
        <v>0</v>
      </c>
      <c r="AAI425" s="242">
        <f t="shared" si="2962"/>
        <v>0</v>
      </c>
      <c r="AAJ425" s="56"/>
      <c r="AAM425" s="55">
        <f t="shared" si="2963"/>
        <v>46386</v>
      </c>
      <c r="AAN425" s="56"/>
      <c r="AAO425" s="242">
        <f>SUMPRODUCT(PRODUCE!$B418:$DY418,PRODUCE!$EB$57:$IY$57)</f>
        <v>0</v>
      </c>
      <c r="AAP425" s="56"/>
      <c r="AAQ425" s="242">
        <f t="shared" si="2964"/>
        <v>0</v>
      </c>
      <c r="AAR425" s="242">
        <f t="shared" si="2965"/>
        <v>0</v>
      </c>
      <c r="AAS425" s="56"/>
      <c r="AAV425" s="55">
        <f t="shared" si="2966"/>
        <v>46386</v>
      </c>
      <c r="AAW425" s="56"/>
      <c r="AAX425" s="242">
        <f>SUMPRODUCT(PRODUCE!$B418:$DY418,PRODUCE!$EB$57:$IY$57)</f>
        <v>0</v>
      </c>
      <c r="AAY425" s="56"/>
      <c r="AAZ425" s="242">
        <f t="shared" si="2967"/>
        <v>0</v>
      </c>
      <c r="ABA425" s="242">
        <f t="shared" si="2968"/>
        <v>0</v>
      </c>
      <c r="ABB425" s="56"/>
      <c r="ABE425" s="55">
        <f t="shared" si="2969"/>
        <v>46386</v>
      </c>
      <c r="ABF425" s="56"/>
      <c r="ABG425" s="242">
        <f>SUMPRODUCT(PRODUCE!$B418:$DY418,PRODUCE!$EB$57:$IY$57)</f>
        <v>0</v>
      </c>
      <c r="ABH425" s="56"/>
      <c r="ABI425" s="242">
        <f t="shared" si="2970"/>
        <v>0</v>
      </c>
      <c r="ABJ425" s="242">
        <f t="shared" si="2971"/>
        <v>0</v>
      </c>
      <c r="ABK425" s="56"/>
    </row>
    <row r="426" spans="2:739" s="54" customFormat="1" ht="15" customHeight="1" outlineLevel="1" thickBot="1">
      <c r="B426" s="478"/>
      <c r="C426" s="55">
        <v>46387</v>
      </c>
      <c r="D426" s="67"/>
      <c r="E426" s="57">
        <f>SUMPRODUCT(PRODUCE!$B419:$DY419,PRODUCE!$EB$7:$IY$7)</f>
        <v>0</v>
      </c>
      <c r="F426" s="67"/>
      <c r="G426" s="57">
        <f t="shared" si="2727"/>
        <v>0</v>
      </c>
      <c r="H426" s="57">
        <f t="shared" si="2728"/>
        <v>236936.6</v>
      </c>
      <c r="I426" s="289"/>
      <c r="L426" s="55">
        <f t="shared" si="2729"/>
        <v>46387</v>
      </c>
      <c r="M426" s="67"/>
      <c r="N426" s="59">
        <f>SUMPRODUCT(PRODUCE!$B419:$DY419,PRODUCE!$EB$8:$IY$8)</f>
        <v>0</v>
      </c>
      <c r="O426" s="67"/>
      <c r="P426" s="59">
        <f t="shared" si="2730"/>
        <v>0</v>
      </c>
      <c r="Q426" s="59">
        <f t="shared" si="2731"/>
        <v>53017.600000000071</v>
      </c>
      <c r="R426" s="56"/>
      <c r="U426" s="55">
        <f t="shared" si="2732"/>
        <v>46387</v>
      </c>
      <c r="V426" s="67"/>
      <c r="W426" s="60">
        <f>SUMPRODUCT(PRODUCE!$B419:$DY419,PRODUCE!$EB$9:$IY$9)</f>
        <v>0</v>
      </c>
      <c r="X426" s="67"/>
      <c r="Y426" s="60">
        <f t="shared" si="2733"/>
        <v>0</v>
      </c>
      <c r="Z426" s="60">
        <f t="shared" si="2734"/>
        <v>42674.199999999968</v>
      </c>
      <c r="AA426" s="56"/>
      <c r="AD426" s="55">
        <f t="shared" si="2735"/>
        <v>46387</v>
      </c>
      <c r="AE426" s="67"/>
      <c r="AF426" s="61">
        <f>SUMPRODUCT(PRODUCE!$B419:$DY419,PRODUCE!$EB$10:$IY$10)</f>
        <v>0</v>
      </c>
      <c r="AG426" s="67"/>
      <c r="AH426" s="61">
        <f t="shared" si="2736"/>
        <v>0</v>
      </c>
      <c r="AI426" s="61">
        <f t="shared" si="2737"/>
        <v>4522.2000000000189</v>
      </c>
      <c r="AJ426" s="56"/>
      <c r="AM426" s="55">
        <f t="shared" si="2738"/>
        <v>46387</v>
      </c>
      <c r="AN426" s="425"/>
      <c r="AO426" s="444">
        <f>SUMPRODUCT(PRODUCE!$B419:$DY419,PRODUCE!$EB$11:$IY$11)</f>
        <v>0</v>
      </c>
      <c r="AP426" s="425"/>
      <c r="AQ426" s="444">
        <f t="shared" si="2739"/>
        <v>0</v>
      </c>
      <c r="AR426" s="444">
        <f t="shared" si="2740"/>
        <v>0</v>
      </c>
      <c r="AS426" s="56"/>
      <c r="AV426" s="55">
        <f t="shared" si="2741"/>
        <v>46387</v>
      </c>
      <c r="AW426" s="67"/>
      <c r="AX426" s="62">
        <f>SUMPRODUCT(PRODUCE!$B419:$DY419,PRODUCE!$EB$12:$IY$12)</f>
        <v>0</v>
      </c>
      <c r="AY426" s="67"/>
      <c r="AZ426" s="62">
        <f t="shared" si="2742"/>
        <v>0</v>
      </c>
      <c r="BA426" s="62">
        <f t="shared" si="2743"/>
        <v>124.99999999999523</v>
      </c>
      <c r="BB426" s="56"/>
      <c r="BE426" s="55">
        <f t="shared" si="2744"/>
        <v>46387</v>
      </c>
      <c r="BF426" s="67"/>
      <c r="BG426" s="63">
        <f>SUMPRODUCT(PRODUCE!$B419:$DY419,PRODUCE!$EB$13:$IY$13)</f>
        <v>0</v>
      </c>
      <c r="BH426" s="67"/>
      <c r="BI426" s="63">
        <f t="shared" si="2745"/>
        <v>0</v>
      </c>
      <c r="BJ426" s="63">
        <f t="shared" si="2746"/>
        <v>26151.899999999998</v>
      </c>
      <c r="BK426" s="56"/>
      <c r="BN426" s="55">
        <f t="shared" si="2747"/>
        <v>46387</v>
      </c>
      <c r="BO426" s="67"/>
      <c r="BP426" s="64">
        <f>SUMPRODUCT(PRODUCE!$B419:$DY419,PRODUCE!$EB$14:$IY$14)</f>
        <v>0</v>
      </c>
      <c r="BQ426" s="67"/>
      <c r="BR426" s="64">
        <f t="shared" si="2748"/>
        <v>0</v>
      </c>
      <c r="BS426" s="64">
        <f t="shared" si="2749"/>
        <v>0</v>
      </c>
      <c r="BT426" s="56"/>
      <c r="BW426" s="55">
        <f t="shared" si="2750"/>
        <v>46387</v>
      </c>
      <c r="BX426" s="67"/>
      <c r="BY426" s="65">
        <f>SUMPRODUCT(PRODUCE!$B419:$DY419,PRODUCE!$EB$15:$IY$15)</f>
        <v>0</v>
      </c>
      <c r="BZ426" s="67"/>
      <c r="CA426" s="65">
        <f t="shared" si="2751"/>
        <v>0</v>
      </c>
      <c r="CB426" s="65">
        <f t="shared" si="2752"/>
        <v>2097.3399999999992</v>
      </c>
      <c r="CC426" s="56"/>
      <c r="CF426" s="55">
        <f t="shared" si="2753"/>
        <v>46387</v>
      </c>
      <c r="CG426" s="67"/>
      <c r="CH426" s="66">
        <f>SUMPRODUCT(PRODUCE!$B419:$DY419,PRODUCE!$EB$16:$IY$16)</f>
        <v>0</v>
      </c>
      <c r="CI426" s="67"/>
      <c r="CJ426" s="66">
        <f t="shared" si="2754"/>
        <v>0</v>
      </c>
      <c r="CK426" s="66">
        <f t="shared" si="2755"/>
        <v>-10277.079999999998</v>
      </c>
      <c r="CL426" s="56"/>
      <c r="CO426" s="55">
        <f t="shared" si="2756"/>
        <v>46387</v>
      </c>
      <c r="CP426" s="425"/>
      <c r="CQ426" s="470">
        <f>SUMPRODUCT(PRODUCE!$B419:$DY419,PRODUCE!$EB$17:$IY$17)</f>
        <v>0</v>
      </c>
      <c r="CR426" s="425"/>
      <c r="CS426" s="470">
        <f t="shared" si="2757"/>
        <v>0</v>
      </c>
      <c r="CT426" s="470">
        <f t="shared" si="2758"/>
        <v>0</v>
      </c>
      <c r="CU426" s="56"/>
      <c r="CX426" s="55">
        <f t="shared" si="2759"/>
        <v>46387</v>
      </c>
      <c r="CY426" s="67"/>
      <c r="CZ426" s="133">
        <f>SUMPRODUCT(PRODUCE!$B419:$DY419,PRODUCE!$EB$18:$IY$18)</f>
        <v>0</v>
      </c>
      <c r="DA426" s="67"/>
      <c r="DB426" s="133">
        <f t="shared" si="2760"/>
        <v>0</v>
      </c>
      <c r="DC426" s="133">
        <f t="shared" si="2761"/>
        <v>27438.200000000012</v>
      </c>
      <c r="DD426" s="56"/>
      <c r="DG426" s="55">
        <f t="shared" si="2762"/>
        <v>46387</v>
      </c>
      <c r="DH426" s="67"/>
      <c r="DI426" s="147">
        <f>SUMPRODUCT(PRODUCE!$B419:$DY419,PRODUCE!$EB$19:$IY$19)</f>
        <v>0</v>
      </c>
      <c r="DJ426" s="67"/>
      <c r="DK426" s="147">
        <f t="shared" si="2763"/>
        <v>0</v>
      </c>
      <c r="DL426" s="147">
        <f t="shared" si="2764"/>
        <v>18782.299999999981</v>
      </c>
      <c r="DM426" s="56"/>
      <c r="DP426" s="55">
        <f t="shared" si="2765"/>
        <v>46387</v>
      </c>
      <c r="DQ426" s="67"/>
      <c r="DR426" s="57">
        <f>SUMPRODUCT(PRODUCE!$B419:$DY419,PRODUCE!$EB$20:$IY$20)</f>
        <v>0</v>
      </c>
      <c r="DS426" s="67"/>
      <c r="DT426" s="57">
        <f t="shared" si="2766"/>
        <v>0</v>
      </c>
      <c r="DU426" s="57">
        <f t="shared" si="2767"/>
        <v>5800</v>
      </c>
      <c r="DV426" s="56"/>
      <c r="DY426" s="55">
        <f t="shared" si="2768"/>
        <v>46387</v>
      </c>
      <c r="DZ426" s="67"/>
      <c r="EA426" s="157">
        <f>SUMPRODUCT(PRODUCE!$B419:$DY419,PRODUCE!$EB$21:$IY$21)</f>
        <v>0</v>
      </c>
      <c r="EB426" s="67"/>
      <c r="EC426" s="157">
        <f t="shared" si="2769"/>
        <v>0</v>
      </c>
      <c r="ED426" s="157">
        <f t="shared" si="2770"/>
        <v>0</v>
      </c>
      <c r="EE426" s="56"/>
      <c r="EH426" s="55">
        <f t="shared" si="2771"/>
        <v>46387</v>
      </c>
      <c r="EI426" s="67"/>
      <c r="EJ426" s="162">
        <f>SUMPRODUCT(PRODUCE!$B419:$DY419,PRODUCE!$EB$22:$IY$22)</f>
        <v>0</v>
      </c>
      <c r="EK426" s="67"/>
      <c r="EL426" s="162">
        <f t="shared" si="2772"/>
        <v>0</v>
      </c>
      <c r="EM426" s="162">
        <f t="shared" si="2773"/>
        <v>0</v>
      </c>
      <c r="EN426" s="56"/>
      <c r="EQ426" s="55">
        <f t="shared" si="2774"/>
        <v>46387</v>
      </c>
      <c r="ER426" s="67"/>
      <c r="ES426" s="135">
        <f>SUMPRODUCT(PRODUCE!$B419:$DY419,PRODUCE!$EB$23:$IY$23)</f>
        <v>0</v>
      </c>
      <c r="ET426" s="67"/>
      <c r="EU426" s="135">
        <f t="shared" si="2775"/>
        <v>0</v>
      </c>
      <c r="EV426" s="135">
        <f t="shared" si="2776"/>
        <v>0</v>
      </c>
      <c r="EW426" s="56"/>
      <c r="EZ426" s="55">
        <f t="shared" si="2777"/>
        <v>46387</v>
      </c>
      <c r="FA426" s="67"/>
      <c r="FB426" s="175">
        <f>SUMPRODUCT(PRODUCE!$B419:$DY419,PRODUCE!$EB$24:$IY$24)</f>
        <v>0</v>
      </c>
      <c r="FC426" s="67"/>
      <c r="FD426" s="175">
        <f t="shared" si="2778"/>
        <v>0</v>
      </c>
      <c r="FE426" s="175">
        <f t="shared" si="2779"/>
        <v>0</v>
      </c>
      <c r="FF426" s="56"/>
      <c r="FI426" s="55">
        <f t="shared" si="2780"/>
        <v>46387</v>
      </c>
      <c r="FJ426" s="67"/>
      <c r="FK426" s="183">
        <f>SUMPRODUCT(PRODUCE!$B419:$DY419,PRODUCE!$EB$25:$IY$25)</f>
        <v>0</v>
      </c>
      <c r="FL426" s="67"/>
      <c r="FM426" s="183">
        <f t="shared" si="2781"/>
        <v>0</v>
      </c>
      <c r="FN426" s="183">
        <f t="shared" si="2782"/>
        <v>0</v>
      </c>
      <c r="FO426" s="56"/>
      <c r="FR426" s="55">
        <f t="shared" si="2783"/>
        <v>46387</v>
      </c>
      <c r="FS426" s="67"/>
      <c r="FT426" s="186">
        <f>SUMPRODUCT(PRODUCE!$B419:$DY419,PRODUCE!$EB$26:$IY$26)</f>
        <v>0</v>
      </c>
      <c r="FU426" s="67"/>
      <c r="FV426" s="186">
        <f t="shared" si="2784"/>
        <v>0</v>
      </c>
      <c r="FW426" s="186">
        <f t="shared" si="2785"/>
        <v>2020</v>
      </c>
      <c r="FX426" s="56"/>
      <c r="GA426" s="55">
        <f t="shared" si="2786"/>
        <v>46387</v>
      </c>
      <c r="GB426" s="67"/>
      <c r="GC426" s="137">
        <f>SUMPRODUCT(PRODUCE!$B419:$DY419,PRODUCE!$EB$27:$IY$27)</f>
        <v>0</v>
      </c>
      <c r="GD426" s="67"/>
      <c r="GE426" s="137">
        <f t="shared" si="2787"/>
        <v>0</v>
      </c>
      <c r="GF426" s="137">
        <f t="shared" si="2788"/>
        <v>960</v>
      </c>
      <c r="GG426" s="56"/>
      <c r="GI426" s="23"/>
      <c r="GJ426" s="55">
        <f t="shared" si="2789"/>
        <v>46387</v>
      </c>
      <c r="GK426" s="67"/>
      <c r="GL426" s="199">
        <f>SUMPRODUCT(PRODUCE!$B419:$DY419,PRODUCE!$EB$28:$IY$28)</f>
        <v>0</v>
      </c>
      <c r="GM426" s="67"/>
      <c r="GN426" s="199">
        <f t="shared" si="2790"/>
        <v>0</v>
      </c>
      <c r="GO426" s="199">
        <f t="shared" si="2791"/>
        <v>1760</v>
      </c>
      <c r="GP426" s="56"/>
      <c r="GS426" s="55">
        <f t="shared" si="2792"/>
        <v>46387</v>
      </c>
      <c r="GT426" s="67"/>
      <c r="GU426" s="195">
        <f>SUMPRODUCT(PRODUCE!$B419:$DY419,PRODUCE!$EB$29:$IY$29)</f>
        <v>0</v>
      </c>
      <c r="GV426" s="67"/>
      <c r="GW426" s="195">
        <f t="shared" si="2793"/>
        <v>0</v>
      </c>
      <c r="GX426" s="195">
        <f t="shared" si="2794"/>
        <v>400</v>
      </c>
      <c r="GY426" s="56"/>
      <c r="HB426" s="55">
        <f t="shared" si="2795"/>
        <v>46387</v>
      </c>
      <c r="HC426" s="67"/>
      <c r="HD426" s="191">
        <f>SUMPRODUCT(PRODUCE!$B419:$DY419,PRODUCE!$EB$30:$IY$30)</f>
        <v>0</v>
      </c>
      <c r="HE426" s="67"/>
      <c r="HF426" s="191">
        <f t="shared" si="2796"/>
        <v>0</v>
      </c>
      <c r="HG426" s="191">
        <f t="shared" si="2797"/>
        <v>3600</v>
      </c>
      <c r="HH426" s="56"/>
      <c r="HK426" s="55">
        <f t="shared" si="2798"/>
        <v>46387</v>
      </c>
      <c r="HL426" s="67"/>
      <c r="HM426" s="63">
        <f>SUMPRODUCT(PRODUCE!$B419:$DY419,PRODUCE!$EB$31:$IY$31)</f>
        <v>0</v>
      </c>
      <c r="HN426" s="67"/>
      <c r="HO426" s="63">
        <f t="shared" si="2799"/>
        <v>0</v>
      </c>
      <c r="HP426" s="63">
        <f t="shared" si="2800"/>
        <v>0</v>
      </c>
      <c r="HQ426" s="56"/>
      <c r="HU426" s="55">
        <f t="shared" si="2801"/>
        <v>46387</v>
      </c>
      <c r="HV426" s="67"/>
      <c r="HW426" s="242">
        <f>SUMPRODUCT(PRODUCE!$B419:$DY419,PRODUCE!$EB$32:$IY$32)</f>
        <v>0</v>
      </c>
      <c r="HX426" s="67"/>
      <c r="HY426" s="242">
        <f t="shared" si="2802"/>
        <v>0</v>
      </c>
      <c r="HZ426" s="242">
        <f t="shared" si="2803"/>
        <v>6120</v>
      </c>
      <c r="IA426" s="56"/>
      <c r="ID426" s="55">
        <f t="shared" si="2804"/>
        <v>46387</v>
      </c>
      <c r="IE426" s="67"/>
      <c r="IF426" s="242">
        <f>SUMPRODUCT(PRODUCE!$B419:$DY419,PRODUCE!$EB$33:$IY$33)</f>
        <v>0</v>
      </c>
      <c r="IG426" s="67"/>
      <c r="IH426" s="242">
        <f t="shared" si="2805"/>
        <v>0</v>
      </c>
      <c r="II426" s="242">
        <f t="shared" si="2806"/>
        <v>0</v>
      </c>
      <c r="IJ426" s="56"/>
      <c r="IM426" s="55">
        <f t="shared" si="2807"/>
        <v>46387</v>
      </c>
      <c r="IN426" s="67"/>
      <c r="IO426" s="242">
        <f>SUMPRODUCT(PRODUCE!$B419:$DY419,PRODUCE!$EB$34:$IY$34)</f>
        <v>0</v>
      </c>
      <c r="IP426" s="67"/>
      <c r="IQ426" s="242">
        <f t="shared" si="2808"/>
        <v>0</v>
      </c>
      <c r="IR426" s="242">
        <f t="shared" si="2809"/>
        <v>0</v>
      </c>
      <c r="IS426" s="56"/>
      <c r="IV426" s="55">
        <f t="shared" si="2810"/>
        <v>46387</v>
      </c>
      <c r="IW426" s="67"/>
      <c r="IX426" s="242">
        <f>SUMPRODUCT(PRODUCE!$B419:$DY419,PRODUCE!$EB$35:$IY$35)</f>
        <v>0</v>
      </c>
      <c r="IY426" s="67"/>
      <c r="IZ426" s="242">
        <f t="shared" si="2811"/>
        <v>0</v>
      </c>
      <c r="JA426" s="242">
        <f t="shared" si="2812"/>
        <v>2820</v>
      </c>
      <c r="JB426" s="56"/>
      <c r="JE426" s="55">
        <f t="shared" si="2813"/>
        <v>46387</v>
      </c>
      <c r="JF426" s="67"/>
      <c r="JG426" s="242">
        <f>SUMPRODUCT(PRODUCE!$B419:$DY419,PRODUCE!$EB$36:$IY$36)</f>
        <v>0</v>
      </c>
      <c r="JH426" s="67"/>
      <c r="JI426" s="242">
        <f t="shared" si="2814"/>
        <v>0</v>
      </c>
      <c r="JJ426" s="242">
        <f t="shared" si="2815"/>
        <v>0</v>
      </c>
      <c r="JK426" s="56"/>
      <c r="JN426" s="55">
        <f t="shared" si="2816"/>
        <v>46387</v>
      </c>
      <c r="JO426" s="67"/>
      <c r="JP426" s="242">
        <f>SUMPRODUCT(PRODUCE!$B419:$DY419,PRODUCE!$EB$37:$IY$37)</f>
        <v>0</v>
      </c>
      <c r="JQ426" s="67"/>
      <c r="JR426" s="242">
        <f t="shared" si="2817"/>
        <v>0</v>
      </c>
      <c r="JS426" s="242">
        <f t="shared" si="2818"/>
        <v>0</v>
      </c>
      <c r="JT426" s="56"/>
      <c r="JW426" s="55">
        <f t="shared" si="2819"/>
        <v>46387</v>
      </c>
      <c r="JX426" s="67"/>
      <c r="JY426" s="242">
        <f>SUMPRODUCT(PRODUCE!$B419:$DY419,PRODUCE!$EB$38:$IY$38)</f>
        <v>0</v>
      </c>
      <c r="JZ426" s="67"/>
      <c r="KA426" s="242">
        <f t="shared" si="2820"/>
        <v>0</v>
      </c>
      <c r="KB426" s="242">
        <f t="shared" si="2821"/>
        <v>2540</v>
      </c>
      <c r="KC426" s="56"/>
      <c r="KF426" s="55">
        <f t="shared" si="2822"/>
        <v>46387</v>
      </c>
      <c r="KG426" s="67"/>
      <c r="KH426" s="242">
        <f>SUMPRODUCT(PRODUCE!$B419:$DY419,PRODUCE!$EB$39:$IY$39)</f>
        <v>0</v>
      </c>
      <c r="KI426" s="67"/>
      <c r="KJ426" s="242">
        <f t="shared" si="2823"/>
        <v>0</v>
      </c>
      <c r="KK426" s="242">
        <f t="shared" si="2824"/>
        <v>2359.5</v>
      </c>
      <c r="KL426" s="56"/>
      <c r="KO426" s="55">
        <f t="shared" si="2825"/>
        <v>46387</v>
      </c>
      <c r="KP426" s="67"/>
      <c r="KQ426" s="242">
        <f>SUMPRODUCT(PRODUCE!$B419:$DY419,PRODUCE!$EB$40:$IY$40)</f>
        <v>0</v>
      </c>
      <c r="KR426" s="67"/>
      <c r="KS426" s="242">
        <f t="shared" si="2826"/>
        <v>0</v>
      </c>
      <c r="KT426" s="242">
        <f t="shared" si="2827"/>
        <v>1890</v>
      </c>
      <c r="KU426" s="56"/>
      <c r="KW426" s="23"/>
      <c r="KX426" s="55">
        <f t="shared" si="2828"/>
        <v>46387</v>
      </c>
      <c r="KY426" s="67"/>
      <c r="KZ426" s="242">
        <f>SUMPRODUCT(PRODUCE!$B419:$DY419,PRODUCE!$EB$41:$IY$41)</f>
        <v>0</v>
      </c>
      <c r="LA426" s="67"/>
      <c r="LB426" s="242">
        <f t="shared" si="2829"/>
        <v>0</v>
      </c>
      <c r="LC426" s="242">
        <f t="shared" si="2830"/>
        <v>3690</v>
      </c>
      <c r="LD426" s="56"/>
      <c r="LG426" s="55">
        <f t="shared" si="2831"/>
        <v>46387</v>
      </c>
      <c r="LH426" s="67"/>
      <c r="LI426" s="242">
        <f>SUMPRODUCT(PRODUCE!$B419:$DY419,PRODUCE!$EB$42:$IY$42)</f>
        <v>0</v>
      </c>
      <c r="LJ426" s="67"/>
      <c r="LK426" s="242">
        <f t="shared" si="2832"/>
        <v>0</v>
      </c>
      <c r="LL426" s="242">
        <f t="shared" si="2833"/>
        <v>4000</v>
      </c>
      <c r="LM426" s="56"/>
      <c r="LP426" s="55">
        <f t="shared" si="2834"/>
        <v>46387</v>
      </c>
      <c r="LQ426" s="67"/>
      <c r="LR426" s="242">
        <f>SUMPRODUCT(PRODUCE!$B441:$DY441,PRODUCE!$EB$43:$IY$43)</f>
        <v>0</v>
      </c>
      <c r="LS426" s="67"/>
      <c r="LT426" s="242">
        <f t="shared" si="2835"/>
        <v>0</v>
      </c>
      <c r="LU426" s="242">
        <f t="shared" si="2836"/>
        <v>0</v>
      </c>
      <c r="LV426" s="56"/>
      <c r="LY426" s="55">
        <f t="shared" si="2837"/>
        <v>46387</v>
      </c>
      <c r="LZ426" s="67"/>
      <c r="MA426" s="242">
        <f>SUMPRODUCT(PRODUCE!$B419:$DY419,PRODUCE!$EB$44:$IY$44)</f>
        <v>0</v>
      </c>
      <c r="MB426" s="67"/>
      <c r="MC426" s="242">
        <f t="shared" si="2838"/>
        <v>0</v>
      </c>
      <c r="MD426" s="242">
        <f t="shared" si="2839"/>
        <v>0</v>
      </c>
      <c r="ME426" s="56"/>
      <c r="MH426" s="55">
        <f t="shared" si="2840"/>
        <v>46387</v>
      </c>
      <c r="MI426" s="67"/>
      <c r="MJ426" s="242">
        <f>SUMPRODUCT(PRODUCE!$B419:$DY419,PRODUCE!$EB$45:$IY$45)</f>
        <v>0</v>
      </c>
      <c r="MK426" s="67"/>
      <c r="ML426" s="242">
        <f t="shared" si="2841"/>
        <v>0</v>
      </c>
      <c r="MM426" s="242">
        <f t="shared" si="2842"/>
        <v>-18</v>
      </c>
      <c r="MN426" s="56"/>
      <c r="MQ426" s="55">
        <f t="shared" si="2843"/>
        <v>46387</v>
      </c>
      <c r="MR426" s="67"/>
      <c r="MS426" s="242">
        <f>SUMPRODUCT(PRODUCE!$B419:$DY419,PRODUCE!$EB$46:$IY$46)</f>
        <v>0</v>
      </c>
      <c r="MT426" s="67"/>
      <c r="MU426" s="242">
        <f t="shared" si="2844"/>
        <v>0</v>
      </c>
      <c r="MV426" s="242">
        <f t="shared" si="2845"/>
        <v>1559</v>
      </c>
      <c r="MW426" s="56"/>
      <c r="MZ426" s="55">
        <f t="shared" si="2846"/>
        <v>46387</v>
      </c>
      <c r="NA426" s="67"/>
      <c r="NB426" s="242">
        <f>SUMPRODUCT(PRODUCE!$B419:$DY419,PRODUCE!$EB$47:$IY$47)</f>
        <v>0</v>
      </c>
      <c r="NC426" s="67"/>
      <c r="ND426" s="242">
        <f t="shared" si="2847"/>
        <v>0</v>
      </c>
      <c r="NE426" s="242">
        <f t="shared" si="2848"/>
        <v>0</v>
      </c>
      <c r="NF426" s="56"/>
      <c r="NI426" s="55">
        <f t="shared" si="2849"/>
        <v>46387</v>
      </c>
      <c r="NJ426" s="67"/>
      <c r="NK426" s="242">
        <f>SUMPRODUCT(PRODUCE!$B419:$DY419,PRODUCE!$EB$48:$IY$48)</f>
        <v>0</v>
      </c>
      <c r="NL426" s="67"/>
      <c r="NM426" s="242">
        <f t="shared" si="2850"/>
        <v>0</v>
      </c>
      <c r="NN426" s="242">
        <f t="shared" si="2851"/>
        <v>1127</v>
      </c>
      <c r="NO426" s="56"/>
      <c r="NR426" s="55">
        <f t="shared" si="2852"/>
        <v>46387</v>
      </c>
      <c r="NS426" s="67"/>
      <c r="NT426" s="242">
        <f>SUMPRODUCT(PRODUCE!$B419:$DY419,PRODUCE!$EB$49:$IY$49)</f>
        <v>0</v>
      </c>
      <c r="NU426" s="67"/>
      <c r="NV426" s="242">
        <f t="shared" si="2853"/>
        <v>0</v>
      </c>
      <c r="NW426" s="242">
        <f t="shared" si="2854"/>
        <v>3111.9999999999995</v>
      </c>
      <c r="NX426" s="56"/>
      <c r="OA426" s="55">
        <f t="shared" si="2855"/>
        <v>46387</v>
      </c>
      <c r="OB426" s="67"/>
      <c r="OC426" s="242">
        <f>SUMPRODUCT(PRODUCE!$B419:$DY419,PRODUCE!$EB$50:$IY$50)</f>
        <v>0</v>
      </c>
      <c r="OD426" s="67"/>
      <c r="OE426" s="242">
        <f t="shared" si="2856"/>
        <v>0</v>
      </c>
      <c r="OF426" s="242">
        <f t="shared" si="2857"/>
        <v>1680.5</v>
      </c>
      <c r="OG426" s="56"/>
      <c r="OJ426" s="55">
        <f t="shared" si="2858"/>
        <v>46387</v>
      </c>
      <c r="OK426" s="67"/>
      <c r="OL426" s="242">
        <f>SUMPRODUCT(PRODUCE!$B419:$DY419,PRODUCE!$EB$51:$IY$51)</f>
        <v>0</v>
      </c>
      <c r="OM426" s="67"/>
      <c r="ON426" s="242">
        <f t="shared" si="2859"/>
        <v>0</v>
      </c>
      <c r="OO426" s="242">
        <f t="shared" si="2860"/>
        <v>0</v>
      </c>
      <c r="OP426" s="56"/>
      <c r="OS426" s="55">
        <f t="shared" si="2861"/>
        <v>46387</v>
      </c>
      <c r="OT426" s="67"/>
      <c r="OU426" s="242">
        <f>SUMPRODUCT(PRODUCE!$B419:$DY419,PRODUCE!$EB$52:$IY$52)</f>
        <v>0</v>
      </c>
      <c r="OV426" s="67"/>
      <c r="OW426" s="242">
        <f t="shared" si="2862"/>
        <v>0</v>
      </c>
      <c r="OX426" s="242">
        <f t="shared" si="2863"/>
        <v>1482</v>
      </c>
      <c r="OY426" s="56"/>
      <c r="PB426" s="55">
        <f t="shared" si="2864"/>
        <v>46387</v>
      </c>
      <c r="PC426" s="67"/>
      <c r="PD426" s="242">
        <f>SUMPRODUCT(PRODUCE!$B419:$DY419,PRODUCE!$EB$53:$IY$53)</f>
        <v>0</v>
      </c>
      <c r="PE426" s="67"/>
      <c r="PF426" s="242">
        <f t="shared" si="2865"/>
        <v>0</v>
      </c>
      <c r="PG426" s="242">
        <f t="shared" si="2866"/>
        <v>0</v>
      </c>
      <c r="PH426" s="56"/>
      <c r="PK426" s="55">
        <f t="shared" si="2867"/>
        <v>46387</v>
      </c>
      <c r="PL426" s="67"/>
      <c r="PM426" s="242">
        <f>SUMPRODUCT(PRODUCE!$B419:$DY419,PRODUCE!$EB$54:$IY$54)</f>
        <v>0</v>
      </c>
      <c r="PN426" s="67"/>
      <c r="PO426" s="242">
        <f t="shared" si="2868"/>
        <v>0</v>
      </c>
      <c r="PP426" s="242">
        <f t="shared" si="2869"/>
        <v>100</v>
      </c>
      <c r="PQ426" s="56"/>
      <c r="PT426" s="55">
        <f t="shared" si="2870"/>
        <v>46387</v>
      </c>
      <c r="PU426" s="67"/>
      <c r="PV426" s="242">
        <f>SUMPRODUCT(PRODUCE!$B419:$DY419,PRODUCE!$EB$55:$IY$55)</f>
        <v>0</v>
      </c>
      <c r="PW426" s="67"/>
      <c r="PX426" s="242">
        <f t="shared" si="2871"/>
        <v>0</v>
      </c>
      <c r="PY426" s="242">
        <f t="shared" si="2872"/>
        <v>13.960000000000036</v>
      </c>
      <c r="PZ426" s="56"/>
      <c r="QC426" s="55">
        <f t="shared" si="2873"/>
        <v>46387</v>
      </c>
      <c r="QD426" s="67"/>
      <c r="QE426" s="242">
        <f>SUMPRODUCT(PRODUCE!$B419:$DY419,PRODUCE!$EB$56:$IY$56)</f>
        <v>0</v>
      </c>
      <c r="QF426" s="67"/>
      <c r="QG426" s="242">
        <f t="shared" si="2874"/>
        <v>0</v>
      </c>
      <c r="QH426" s="242">
        <f t="shared" si="2875"/>
        <v>548</v>
      </c>
      <c r="QI426" s="56"/>
      <c r="QL426" s="55">
        <f t="shared" si="2876"/>
        <v>46387</v>
      </c>
      <c r="QM426" s="67"/>
      <c r="QN426" s="242">
        <f>SUMPRODUCT(PRODUCE!$B419:$DY419,PRODUCE!$EB$57:$IY$57)</f>
        <v>0</v>
      </c>
      <c r="QO426" s="67"/>
      <c r="QP426" s="242">
        <f t="shared" si="2877"/>
        <v>0</v>
      </c>
      <c r="QQ426" s="242">
        <f t="shared" si="2878"/>
        <v>0</v>
      </c>
      <c r="QR426" s="56"/>
      <c r="QU426" s="55">
        <f t="shared" si="2879"/>
        <v>46387</v>
      </c>
      <c r="QV426" s="67"/>
      <c r="QW426" s="242">
        <f>SUMPRODUCT(PRODUCE!$B419:$DY419,PRODUCE!$EB$57:$IY$57)</f>
        <v>0</v>
      </c>
      <c r="QX426" s="67"/>
      <c r="QY426" s="242">
        <f t="shared" si="2880"/>
        <v>0</v>
      </c>
      <c r="QZ426" s="242">
        <f t="shared" si="2881"/>
        <v>0</v>
      </c>
      <c r="RA426" s="56"/>
      <c r="RD426" s="55">
        <f t="shared" si="2882"/>
        <v>46387</v>
      </c>
      <c r="RE426" s="67"/>
      <c r="RF426" s="242">
        <f>SUMPRODUCT(PRODUCE!$B419:$DY419,PRODUCE!$EB$58:$IY$58)</f>
        <v>0</v>
      </c>
      <c r="RG426" s="67"/>
      <c r="RH426" s="242">
        <f t="shared" si="2883"/>
        <v>0</v>
      </c>
      <c r="RI426" s="242">
        <f t="shared" si="2884"/>
        <v>147.04000000000002</v>
      </c>
      <c r="RJ426" s="56"/>
      <c r="RM426" s="55">
        <f t="shared" si="2885"/>
        <v>46387</v>
      </c>
      <c r="RN426" s="67"/>
      <c r="RO426" s="242">
        <f>SUMPRODUCT(PRODUCE!$B419:$DY419,PRODUCE!$EB$57:$IY$57)</f>
        <v>0</v>
      </c>
      <c r="RP426" s="67"/>
      <c r="RQ426" s="242">
        <f t="shared" si="2886"/>
        <v>0</v>
      </c>
      <c r="RR426" s="242">
        <f t="shared" si="2887"/>
        <v>46.8</v>
      </c>
      <c r="RS426" s="56"/>
      <c r="RV426" s="55">
        <f t="shared" si="2888"/>
        <v>46387</v>
      </c>
      <c r="RW426" s="67"/>
      <c r="RX426" s="242">
        <f>SUMPRODUCT(PRODUCE!$B419:$DY419,PRODUCE!$EB$57:$IY$57)</f>
        <v>0</v>
      </c>
      <c r="RY426" s="67"/>
      <c r="RZ426" s="242">
        <f t="shared" si="2889"/>
        <v>0</v>
      </c>
      <c r="SA426" s="242">
        <f t="shared" si="2890"/>
        <v>0</v>
      </c>
      <c r="SB426" s="56"/>
      <c r="SE426" s="55">
        <f t="shared" si="2891"/>
        <v>46387</v>
      </c>
      <c r="SF426" s="67"/>
      <c r="SG426" s="242">
        <f>SUMPRODUCT(PRODUCE!$B419:$DY419,PRODUCE!$EB$61:$IY$61)</f>
        <v>0</v>
      </c>
      <c r="SH426" s="67"/>
      <c r="SI426" s="242">
        <f t="shared" si="2892"/>
        <v>0</v>
      </c>
      <c r="SJ426" s="242">
        <f t="shared" si="2893"/>
        <v>24.200000000000003</v>
      </c>
      <c r="SK426" s="56"/>
      <c r="SN426" s="55">
        <f t="shared" si="2894"/>
        <v>46387</v>
      </c>
      <c r="SO426" s="67"/>
      <c r="SP426" s="242">
        <f>SUMPRODUCT(PRODUCE!$B419:$DY419,PRODUCE!$EB$57:$IY$57)</f>
        <v>0</v>
      </c>
      <c r="SQ426" s="67"/>
      <c r="SR426" s="242">
        <f t="shared" si="2895"/>
        <v>0</v>
      </c>
      <c r="SS426" s="242">
        <f t="shared" si="2896"/>
        <v>32</v>
      </c>
      <c r="ST426" s="56"/>
      <c r="SW426" s="55">
        <f t="shared" si="2897"/>
        <v>46387</v>
      </c>
      <c r="SX426" s="67"/>
      <c r="SY426" s="242">
        <f>SUMPRODUCT(PRODUCE!$B419:$DY419,PRODUCE!$EB$57:$IY$57)</f>
        <v>0</v>
      </c>
      <c r="SZ426" s="67"/>
      <c r="TA426" s="242">
        <f t="shared" si="2898"/>
        <v>0</v>
      </c>
      <c r="TB426" s="242">
        <f t="shared" si="2899"/>
        <v>0</v>
      </c>
      <c r="TC426" s="56"/>
      <c r="TF426" s="55">
        <f t="shared" si="2900"/>
        <v>46387</v>
      </c>
      <c r="TG426" s="67"/>
      <c r="TH426" s="242">
        <f>SUMPRODUCT(PRODUCE!$B419:$DY419,PRODUCE!$EB$57:$IY$57)</f>
        <v>0</v>
      </c>
      <c r="TI426" s="67"/>
      <c r="TJ426" s="242">
        <f t="shared" si="2901"/>
        <v>0</v>
      </c>
      <c r="TK426" s="242">
        <f t="shared" si="2902"/>
        <v>0</v>
      </c>
      <c r="TL426" s="56"/>
      <c r="TO426" s="55">
        <f t="shared" si="2903"/>
        <v>46387</v>
      </c>
      <c r="TP426" s="67"/>
      <c r="TQ426" s="242">
        <f>SUMPRODUCT(PRODUCE!$B419:$DY419,PRODUCE!$EB$57:$IY$57)</f>
        <v>0</v>
      </c>
      <c r="TR426" s="67"/>
      <c r="TS426" s="242">
        <f t="shared" si="2904"/>
        <v>0</v>
      </c>
      <c r="TT426" s="242">
        <f t="shared" si="2905"/>
        <v>0</v>
      </c>
      <c r="TU426" s="56"/>
      <c r="TX426" s="55">
        <f t="shared" si="2906"/>
        <v>46387</v>
      </c>
      <c r="TY426" s="67"/>
      <c r="TZ426" s="242">
        <f>SUMPRODUCT(PRODUCE!$B419:$DY419,PRODUCE!$EB$57:$IY$57)</f>
        <v>0</v>
      </c>
      <c r="UA426" s="67"/>
      <c r="UB426" s="242">
        <f t="shared" si="2907"/>
        <v>0</v>
      </c>
      <c r="UC426" s="242">
        <f t="shared" si="2908"/>
        <v>46.799999999999983</v>
      </c>
      <c r="UD426" s="56"/>
      <c r="UG426" s="55">
        <f t="shared" si="2909"/>
        <v>46387</v>
      </c>
      <c r="UH426" s="67"/>
      <c r="UI426" s="242">
        <f>SUMPRODUCT(PRODUCE!$B419:$DY419,PRODUCE!$EB$57:$IY$57)</f>
        <v>0</v>
      </c>
      <c r="UJ426" s="67"/>
      <c r="UK426" s="242">
        <f t="shared" si="2910"/>
        <v>0</v>
      </c>
      <c r="UL426" s="242">
        <f t="shared" si="2911"/>
        <v>204</v>
      </c>
      <c r="UM426" s="56"/>
      <c r="UP426" s="55">
        <f t="shared" si="2912"/>
        <v>46387</v>
      </c>
      <c r="UQ426" s="67"/>
      <c r="UR426" s="242">
        <f>SUMPRODUCT(PRODUCE!$B419:$DY419,PRODUCE!$EB$57:$IY$57)</f>
        <v>0</v>
      </c>
      <c r="US426" s="67"/>
      <c r="UT426" s="242">
        <f t="shared" si="2913"/>
        <v>0</v>
      </c>
      <c r="UU426" s="242">
        <f t="shared" si="2914"/>
        <v>202.5</v>
      </c>
      <c r="UV426" s="56"/>
      <c r="UY426" s="55">
        <f t="shared" si="2915"/>
        <v>46387</v>
      </c>
      <c r="UZ426" s="67"/>
      <c r="VA426" s="242">
        <f>SUMPRODUCT(PRODUCE!$B419:$DY419,PRODUCE!$EB$57:$IY$57)</f>
        <v>0</v>
      </c>
      <c r="VB426" s="67"/>
      <c r="VC426" s="242">
        <f t="shared" si="2916"/>
        <v>0</v>
      </c>
      <c r="VD426" s="242">
        <f t="shared" si="2917"/>
        <v>41.600000000000023</v>
      </c>
      <c r="VE426" s="56"/>
      <c r="VH426" s="55">
        <f t="shared" si="2918"/>
        <v>46387</v>
      </c>
      <c r="VI426" s="67"/>
      <c r="VJ426" s="242">
        <f>SUMPRODUCT(PRODUCE!$B419:$DY419,PRODUCE!$EB$57:$IY$57)</f>
        <v>0</v>
      </c>
      <c r="VK426" s="67"/>
      <c r="VL426" s="242">
        <f t="shared" si="2919"/>
        <v>0</v>
      </c>
      <c r="VM426" s="242">
        <f t="shared" si="2920"/>
        <v>210</v>
      </c>
      <c r="VN426" s="56"/>
      <c r="VQ426" s="55">
        <f t="shared" si="2921"/>
        <v>46387</v>
      </c>
      <c r="VR426" s="67"/>
      <c r="VS426" s="242">
        <f>SUMPRODUCT(PRODUCE!$B419:$DY419,PRODUCE!$EB$57:$IY$57)</f>
        <v>0</v>
      </c>
      <c r="VT426" s="67"/>
      <c r="VU426" s="242">
        <f t="shared" si="2922"/>
        <v>0</v>
      </c>
      <c r="VV426" s="242">
        <f t="shared" si="2923"/>
        <v>0</v>
      </c>
      <c r="VW426" s="56"/>
      <c r="VZ426" s="55">
        <f t="shared" si="2924"/>
        <v>46387</v>
      </c>
      <c r="WA426" s="67"/>
      <c r="WB426" s="242">
        <f>SUMPRODUCT(PRODUCE!$B419:$DY419,PRODUCE!$EB$57:$IY$57)</f>
        <v>0</v>
      </c>
      <c r="WC426" s="67"/>
      <c r="WD426" s="242">
        <f t="shared" si="2925"/>
        <v>0</v>
      </c>
      <c r="WE426" s="242">
        <f t="shared" si="2926"/>
        <v>0</v>
      </c>
      <c r="WF426" s="56"/>
      <c r="WI426" s="55">
        <f t="shared" si="2927"/>
        <v>46387</v>
      </c>
      <c r="WJ426" s="67"/>
      <c r="WK426" s="242">
        <f>SUMPRODUCT(PRODUCE!$B419:$DY419,PRODUCE!$EB$57:$IY$57)</f>
        <v>0</v>
      </c>
      <c r="WL426" s="67"/>
      <c r="WM426" s="242">
        <f t="shared" si="2928"/>
        <v>0</v>
      </c>
      <c r="WN426" s="242">
        <f t="shared" si="2929"/>
        <v>1057</v>
      </c>
      <c r="WO426" s="56"/>
      <c r="WR426" s="55">
        <f t="shared" si="2930"/>
        <v>46387</v>
      </c>
      <c r="WS426" s="67"/>
      <c r="WT426" s="242">
        <f>SUMPRODUCT(PRODUCE!$B419:$DY419,PRODUCE!$EB$57:$IY$57)</f>
        <v>0</v>
      </c>
      <c r="WU426" s="67"/>
      <c r="WV426" s="242">
        <f t="shared" si="2931"/>
        <v>0</v>
      </c>
      <c r="WW426" s="242">
        <f t="shared" si="2932"/>
        <v>0</v>
      </c>
      <c r="WX426" s="56"/>
      <c r="XA426" s="55">
        <f t="shared" si="2933"/>
        <v>46387</v>
      </c>
      <c r="XB426" s="67"/>
      <c r="XC426" s="242">
        <f>SUMPRODUCT(PRODUCE!$B419:$DY419,PRODUCE!$EB$57:$IY$57)</f>
        <v>0</v>
      </c>
      <c r="XD426" s="67"/>
      <c r="XE426" s="242">
        <f t="shared" si="2934"/>
        <v>0</v>
      </c>
      <c r="XF426" s="242">
        <f t="shared" si="2935"/>
        <v>7507</v>
      </c>
      <c r="XG426" s="56"/>
      <c r="XJ426" s="55">
        <f t="shared" si="2936"/>
        <v>46387</v>
      </c>
      <c r="XK426" s="67"/>
      <c r="XL426" s="242">
        <f>SUMPRODUCT(PRODUCE!$B419:$DY419,PRODUCE!$EB$57:$IY$57)</f>
        <v>0</v>
      </c>
      <c r="XM426" s="67"/>
      <c r="XN426" s="242">
        <f t="shared" si="2937"/>
        <v>0</v>
      </c>
      <c r="XO426" s="242">
        <f t="shared" si="2938"/>
        <v>4252</v>
      </c>
      <c r="XP426" s="56"/>
      <c r="XS426" s="55">
        <f t="shared" si="2939"/>
        <v>46387</v>
      </c>
      <c r="XT426" s="67"/>
      <c r="XU426" s="242">
        <f>SUMPRODUCT(PRODUCE!$B419:$DY419,PRODUCE!$EB$57:$IY$57)</f>
        <v>0</v>
      </c>
      <c r="XV426" s="67"/>
      <c r="XW426" s="242">
        <f t="shared" si="2940"/>
        <v>0</v>
      </c>
      <c r="XX426" s="242">
        <f t="shared" si="2941"/>
        <v>2179</v>
      </c>
      <c r="XY426" s="56"/>
      <c r="YB426" s="55">
        <f t="shared" si="2942"/>
        <v>46387</v>
      </c>
      <c r="YC426" s="67"/>
      <c r="YD426" s="242">
        <f>SUMPRODUCT(PRODUCE!$B419:$DY419,PRODUCE!$EB$57:$IY$57)</f>
        <v>0</v>
      </c>
      <c r="YE426" s="67"/>
      <c r="YF426" s="242">
        <f t="shared" si="2943"/>
        <v>0</v>
      </c>
      <c r="YG426" s="242">
        <f t="shared" si="2944"/>
        <v>4019</v>
      </c>
      <c r="YH426" s="56"/>
      <c r="YK426" s="55">
        <f t="shared" si="2945"/>
        <v>46387</v>
      </c>
      <c r="YL426" s="67"/>
      <c r="YM426" s="242">
        <f>SUMPRODUCT(PRODUCE!$B419:$DY419,PRODUCE!$EB$57:$IY$57)</f>
        <v>0</v>
      </c>
      <c r="YN426" s="67"/>
      <c r="YO426" s="242">
        <f t="shared" si="2946"/>
        <v>0</v>
      </c>
      <c r="YP426" s="242">
        <f t="shared" si="2947"/>
        <v>-218</v>
      </c>
      <c r="YQ426" s="56"/>
      <c r="YT426" s="55">
        <f t="shared" si="2948"/>
        <v>46387</v>
      </c>
      <c r="YU426" s="67"/>
      <c r="YV426" s="242">
        <f>SUMPRODUCT(PRODUCE!$B419:$DY419,PRODUCE!$EB$57:$IY$57)</f>
        <v>0</v>
      </c>
      <c r="YW426" s="67"/>
      <c r="YX426" s="242">
        <f t="shared" si="2949"/>
        <v>0</v>
      </c>
      <c r="YY426" s="242">
        <f t="shared" si="2950"/>
        <v>0</v>
      </c>
      <c r="YZ426" s="56"/>
      <c r="ZC426" s="55">
        <f t="shared" si="2951"/>
        <v>46387</v>
      </c>
      <c r="ZD426" s="67"/>
      <c r="ZE426" s="242">
        <f>SUMPRODUCT(PRODUCE!$B419:$DY419,PRODUCE!$EB$57:$IY$57)</f>
        <v>0</v>
      </c>
      <c r="ZF426" s="67"/>
      <c r="ZG426" s="242">
        <f t="shared" si="2952"/>
        <v>0</v>
      </c>
      <c r="ZH426" s="242">
        <f t="shared" si="2953"/>
        <v>0</v>
      </c>
      <c r="ZI426" s="56"/>
      <c r="ZL426" s="55">
        <f t="shared" si="2954"/>
        <v>46387</v>
      </c>
      <c r="ZM426" s="67"/>
      <c r="ZN426" s="242">
        <f>SUMPRODUCT(PRODUCE!$B419:$DY419,PRODUCE!$EB$57:$IY$57)</f>
        <v>0</v>
      </c>
      <c r="ZO426" s="67"/>
      <c r="ZP426" s="242">
        <f t="shared" si="2955"/>
        <v>0</v>
      </c>
      <c r="ZQ426" s="242">
        <f t="shared" si="2956"/>
        <v>0</v>
      </c>
      <c r="ZR426" s="56"/>
      <c r="ZU426" s="55">
        <f t="shared" si="2957"/>
        <v>46387</v>
      </c>
      <c r="ZV426" s="67"/>
      <c r="ZW426" s="242">
        <f>SUMPRODUCT(PRODUCE!$B419:$DY419,PRODUCE!$EB$57:$IY$57)</f>
        <v>0</v>
      </c>
      <c r="ZX426" s="67"/>
      <c r="ZY426" s="242">
        <f t="shared" si="2958"/>
        <v>0</v>
      </c>
      <c r="ZZ426" s="242">
        <f t="shared" si="2959"/>
        <v>0</v>
      </c>
      <c r="AAA426" s="56"/>
      <c r="AAD426" s="55">
        <f t="shared" si="2960"/>
        <v>46387</v>
      </c>
      <c r="AAE426" s="67"/>
      <c r="AAF426" s="242">
        <f>SUMPRODUCT(PRODUCE!$B419:$DY419,PRODUCE!$EB$57:$IY$57)</f>
        <v>0</v>
      </c>
      <c r="AAG426" s="67"/>
      <c r="AAH426" s="242">
        <f t="shared" si="2961"/>
        <v>0</v>
      </c>
      <c r="AAI426" s="242">
        <f t="shared" si="2962"/>
        <v>0</v>
      </c>
      <c r="AAJ426" s="56"/>
      <c r="AAM426" s="55">
        <f t="shared" si="2963"/>
        <v>46387</v>
      </c>
      <c r="AAN426" s="67"/>
      <c r="AAO426" s="242">
        <f>SUMPRODUCT(PRODUCE!$B419:$DY419,PRODUCE!$EB$57:$IY$57)</f>
        <v>0</v>
      </c>
      <c r="AAP426" s="67"/>
      <c r="AAQ426" s="242">
        <f t="shared" si="2964"/>
        <v>0</v>
      </c>
      <c r="AAR426" s="242">
        <f t="shared" si="2965"/>
        <v>0</v>
      </c>
      <c r="AAS426" s="56"/>
      <c r="AAV426" s="55">
        <f t="shared" si="2966"/>
        <v>46387</v>
      </c>
      <c r="AAW426" s="67"/>
      <c r="AAX426" s="242">
        <f>SUMPRODUCT(PRODUCE!$B419:$DY419,PRODUCE!$EB$57:$IY$57)</f>
        <v>0</v>
      </c>
      <c r="AAY426" s="67"/>
      <c r="AAZ426" s="242">
        <f t="shared" si="2967"/>
        <v>0</v>
      </c>
      <c r="ABA426" s="242">
        <f t="shared" si="2968"/>
        <v>0</v>
      </c>
      <c r="ABB426" s="56"/>
      <c r="ABE426" s="55">
        <f t="shared" si="2969"/>
        <v>46387</v>
      </c>
      <c r="ABF426" s="67"/>
      <c r="ABG426" s="242">
        <f>SUMPRODUCT(PRODUCE!$B419:$DY419,PRODUCE!$EB$57:$IY$57)</f>
        <v>0</v>
      </c>
      <c r="ABH426" s="67"/>
      <c r="ABI426" s="242">
        <f t="shared" si="2970"/>
        <v>0</v>
      </c>
      <c r="ABJ426" s="242">
        <f t="shared" si="2971"/>
        <v>0</v>
      </c>
      <c r="ABK426" s="56"/>
    </row>
    <row r="427" spans="2:739" ht="14.45" thickBot="1">
      <c r="B427" s="480">
        <f>SUM(B396:B426)</f>
        <v>0</v>
      </c>
      <c r="C427" s="68" t="s">
        <v>72</v>
      </c>
      <c r="D427" s="73">
        <f>SUM(D396:D426)</f>
        <v>0</v>
      </c>
      <c r="E427" s="73">
        <f>SUM(E396:E426)</f>
        <v>0</v>
      </c>
      <c r="F427" s="73">
        <f>SUM(F396:F426)</f>
        <v>0</v>
      </c>
      <c r="G427" s="73">
        <f>SUM(G396:G426)</f>
        <v>0</v>
      </c>
      <c r="H427" s="70">
        <f>H426</f>
        <v>236936.6</v>
      </c>
      <c r="I427" s="289"/>
      <c r="L427" s="68" t="s">
        <v>72</v>
      </c>
      <c r="M427" s="73">
        <f>SUM(M396:M426)</f>
        <v>0</v>
      </c>
      <c r="N427" s="73">
        <f>SUM(N396:N426)</f>
        <v>0</v>
      </c>
      <c r="O427" s="73">
        <f>SUM(O396:O426)</f>
        <v>0</v>
      </c>
      <c r="P427" s="73">
        <f>SUM(P396:P426)</f>
        <v>0</v>
      </c>
      <c r="Q427" s="70">
        <f>Q426</f>
        <v>53017.600000000071</v>
      </c>
      <c r="R427" s="71"/>
      <c r="U427" s="68" t="s">
        <v>72</v>
      </c>
      <c r="V427" s="73">
        <f>SUM(V396:V426)</f>
        <v>0</v>
      </c>
      <c r="W427" s="73">
        <f>SUM(W396:W426)</f>
        <v>0</v>
      </c>
      <c r="X427" s="73">
        <f>SUM(X396:X426)</f>
        <v>0</v>
      </c>
      <c r="Y427" s="73">
        <f>SUM(Y396:Y426)</f>
        <v>0</v>
      </c>
      <c r="Z427" s="70">
        <f>Z426</f>
        <v>42674.199999999968</v>
      </c>
      <c r="AA427" s="71"/>
      <c r="AD427" s="68" t="s">
        <v>72</v>
      </c>
      <c r="AE427" s="73">
        <f>SUM(AE396:AE426)</f>
        <v>0</v>
      </c>
      <c r="AF427" s="73">
        <f>SUM(AF396:AF426)</f>
        <v>0</v>
      </c>
      <c r="AG427" s="73">
        <f>SUM(AG396:AG426)</f>
        <v>0</v>
      </c>
      <c r="AH427" s="73">
        <f>SUM(AH396:AH426)</f>
        <v>0</v>
      </c>
      <c r="AI427" s="70">
        <f>AI426</f>
        <v>4522.2000000000189</v>
      </c>
      <c r="AJ427" s="71"/>
      <c r="AM427" s="68" t="s">
        <v>72</v>
      </c>
      <c r="AN427" s="426">
        <f>SUM(AN396:AN426)</f>
        <v>0</v>
      </c>
      <c r="AO427" s="426">
        <f>SUM(AO396:AO426)</f>
        <v>0</v>
      </c>
      <c r="AP427" s="426">
        <f>SUM(AP396:AP426)</f>
        <v>0</v>
      </c>
      <c r="AQ427" s="426">
        <f>SUM(AQ396:AQ426)</f>
        <v>0</v>
      </c>
      <c r="AR427" s="428">
        <f>AR426</f>
        <v>0</v>
      </c>
      <c r="AS427" s="71"/>
      <c r="AV427" s="68" t="s">
        <v>72</v>
      </c>
      <c r="AW427" s="73">
        <f>SUM(AW396:AW426)</f>
        <v>0</v>
      </c>
      <c r="AX427" s="73">
        <f>SUM(AX396:AX426)</f>
        <v>0</v>
      </c>
      <c r="AY427" s="73">
        <f>SUM(AY396:AY426)</f>
        <v>0</v>
      </c>
      <c r="AZ427" s="73">
        <f>SUM(AZ396:AZ426)</f>
        <v>0</v>
      </c>
      <c r="BA427" s="70">
        <f>BA426</f>
        <v>124.99999999999523</v>
      </c>
      <c r="BB427" s="71"/>
      <c r="BE427" s="68" t="s">
        <v>72</v>
      </c>
      <c r="BF427" s="73">
        <f>SUM(BF396:BF426)</f>
        <v>0</v>
      </c>
      <c r="BG427" s="73">
        <f>SUM(BG396:BG426)</f>
        <v>0</v>
      </c>
      <c r="BH427" s="73">
        <f>SUM(BH396:BH426)</f>
        <v>0</v>
      </c>
      <c r="BI427" s="73">
        <f>SUM(BI396:BI426)</f>
        <v>0</v>
      </c>
      <c r="BJ427" s="70">
        <f>BJ426</f>
        <v>26151.899999999998</v>
      </c>
      <c r="BK427" s="71"/>
      <c r="BN427" s="68" t="s">
        <v>72</v>
      </c>
      <c r="BO427" s="73">
        <f>SUM(BO396:BO426)</f>
        <v>0</v>
      </c>
      <c r="BP427" s="73">
        <f>SUM(BP396:BP426)</f>
        <v>0</v>
      </c>
      <c r="BQ427" s="73">
        <f>SUM(BQ396:BQ426)</f>
        <v>0</v>
      </c>
      <c r="BR427" s="73">
        <f>SUM(BR396:BR426)</f>
        <v>0</v>
      </c>
      <c r="BS427" s="70">
        <f>BS426</f>
        <v>0</v>
      </c>
      <c r="BT427" s="71"/>
      <c r="BW427" s="68" t="s">
        <v>72</v>
      </c>
      <c r="BX427" s="73">
        <f>SUM(BX396:BX426)</f>
        <v>0</v>
      </c>
      <c r="BY427" s="73">
        <f>SUM(BY396:BY426)</f>
        <v>0</v>
      </c>
      <c r="BZ427" s="73">
        <f>SUM(BZ396:BZ426)</f>
        <v>0</v>
      </c>
      <c r="CA427" s="73">
        <f>SUM(CA396:CA426)</f>
        <v>0</v>
      </c>
      <c r="CB427" s="70">
        <f>CB426</f>
        <v>2097.3399999999992</v>
      </c>
      <c r="CC427" s="71"/>
      <c r="CF427" s="68" t="s">
        <v>72</v>
      </c>
      <c r="CG427" s="73">
        <f>SUM(CG396:CG426)</f>
        <v>0</v>
      </c>
      <c r="CH427" s="73">
        <f>SUM(CH396:CH426)</f>
        <v>0</v>
      </c>
      <c r="CI427" s="73">
        <f>SUM(CI396:CI426)</f>
        <v>0</v>
      </c>
      <c r="CJ427" s="73">
        <f>SUM(CJ396:CJ426)</f>
        <v>0</v>
      </c>
      <c r="CK427" s="70">
        <f>CK426</f>
        <v>-10277.079999999998</v>
      </c>
      <c r="CL427" s="71"/>
      <c r="CO427" s="72" t="s">
        <v>72</v>
      </c>
      <c r="CP427" s="426">
        <f>SUM(CP396:CP426)</f>
        <v>0</v>
      </c>
      <c r="CQ427" s="426">
        <f>SUM(CQ396:CQ426)</f>
        <v>0</v>
      </c>
      <c r="CR427" s="426">
        <f>SUM(CR396:CR426)</f>
        <v>0</v>
      </c>
      <c r="CS427" s="426">
        <f>SUM(CS396:CS426)</f>
        <v>0</v>
      </c>
      <c r="CT427" s="428">
        <f>CT426</f>
        <v>0</v>
      </c>
      <c r="CU427" s="71"/>
      <c r="CX427" s="72" t="s">
        <v>72</v>
      </c>
      <c r="CY427" s="73">
        <f>SUM(CY396:CY426)</f>
        <v>0</v>
      </c>
      <c r="CZ427" s="73">
        <f>SUM(CZ396:CZ426)</f>
        <v>0</v>
      </c>
      <c r="DA427" s="73">
        <f>SUM(DA396:DA426)</f>
        <v>0</v>
      </c>
      <c r="DB427" s="73">
        <f>SUM(DB396:DB426)</f>
        <v>0</v>
      </c>
      <c r="DC427" s="70">
        <f>DC426</f>
        <v>27438.200000000012</v>
      </c>
      <c r="DD427" s="71"/>
      <c r="DG427" s="72" t="s">
        <v>72</v>
      </c>
      <c r="DH427" s="73">
        <f>SUM(DH396:DH426)</f>
        <v>0</v>
      </c>
      <c r="DI427" s="152">
        <f>SUM(DI396:DI426)</f>
        <v>0</v>
      </c>
      <c r="DJ427" s="73">
        <f>SUM(DJ396:DJ426)</f>
        <v>0</v>
      </c>
      <c r="DK427" s="152">
        <f>SUM(DK396:DK426)</f>
        <v>0</v>
      </c>
      <c r="DL427" s="154">
        <f>DL426</f>
        <v>18782.299999999981</v>
      </c>
      <c r="DM427" s="71"/>
      <c r="DP427" s="72" t="s">
        <v>72</v>
      </c>
      <c r="DQ427" s="73">
        <f>SUM(DQ396:DQ426)</f>
        <v>0</v>
      </c>
      <c r="DR427" s="73">
        <f>SUM(DR396:DR426)</f>
        <v>0</v>
      </c>
      <c r="DS427" s="73">
        <f>SUM(DS396:DS426)</f>
        <v>0</v>
      </c>
      <c r="DT427" s="73">
        <f>SUM(DT396:DT426)</f>
        <v>0</v>
      </c>
      <c r="DU427" s="70">
        <f>DU426</f>
        <v>5800</v>
      </c>
      <c r="DV427" s="71"/>
      <c r="DY427" s="72" t="s">
        <v>72</v>
      </c>
      <c r="DZ427" s="73">
        <f>SUM(DZ396:DZ426)</f>
        <v>0</v>
      </c>
      <c r="EA427" s="73">
        <f>SUM(EA396:EA426)</f>
        <v>0</v>
      </c>
      <c r="EB427" s="73">
        <f>SUM(EB396:EB426)</f>
        <v>0</v>
      </c>
      <c r="EC427" s="73">
        <f>SUM(EC396:EC426)</f>
        <v>0</v>
      </c>
      <c r="ED427" s="70">
        <f>ED426</f>
        <v>0</v>
      </c>
      <c r="EE427" s="71"/>
      <c r="EH427" s="72" t="s">
        <v>72</v>
      </c>
      <c r="EI427" s="73">
        <f>SUM(EI396:EI426)</f>
        <v>0</v>
      </c>
      <c r="EJ427" s="73">
        <f>SUM(EJ396:EJ426)</f>
        <v>0</v>
      </c>
      <c r="EK427" s="73">
        <f>SUM(EK396:EK426)</f>
        <v>0</v>
      </c>
      <c r="EL427" s="73">
        <f>SUM(EL396:EL426)</f>
        <v>0</v>
      </c>
      <c r="EM427" s="70">
        <f>EM426</f>
        <v>0</v>
      </c>
      <c r="EN427" s="71"/>
      <c r="EQ427" s="72" t="s">
        <v>72</v>
      </c>
      <c r="ER427" s="73">
        <f>SUM(ER396:ER426)</f>
        <v>0</v>
      </c>
      <c r="ES427" s="73">
        <f>SUM(ES396:ES426)</f>
        <v>0</v>
      </c>
      <c r="ET427" s="73">
        <f>SUM(ET396:ET426)</f>
        <v>0</v>
      </c>
      <c r="EU427" s="73">
        <f>SUM(EU396:EU426)</f>
        <v>0</v>
      </c>
      <c r="EV427" s="70">
        <f>EV426</f>
        <v>0</v>
      </c>
      <c r="EW427" s="71"/>
      <c r="EZ427" s="72" t="s">
        <v>72</v>
      </c>
      <c r="FA427" s="73">
        <f>SUM(FA396:FA426)</f>
        <v>0</v>
      </c>
      <c r="FB427" s="73">
        <f>SUM(FB396:FB426)</f>
        <v>0</v>
      </c>
      <c r="FC427" s="73">
        <f>SUM(FC396:FC426)</f>
        <v>0</v>
      </c>
      <c r="FD427" s="73">
        <f>SUM(FD396:FD426)</f>
        <v>0</v>
      </c>
      <c r="FE427" s="70">
        <f>FE426</f>
        <v>0</v>
      </c>
      <c r="FF427" s="71"/>
      <c r="FI427" s="72" t="s">
        <v>72</v>
      </c>
      <c r="FJ427" s="73">
        <f>SUM(FJ396:FJ426)</f>
        <v>0</v>
      </c>
      <c r="FK427" s="73">
        <f>SUM(FK396:FK426)</f>
        <v>0</v>
      </c>
      <c r="FL427" s="73">
        <f>SUM(FL396:FL426)</f>
        <v>0</v>
      </c>
      <c r="FM427" s="73">
        <f>SUM(FM396:FM426)</f>
        <v>0</v>
      </c>
      <c r="FN427" s="70">
        <f>FN426</f>
        <v>0</v>
      </c>
      <c r="FO427" s="71"/>
      <c r="FR427" s="72" t="s">
        <v>72</v>
      </c>
      <c r="FS427" s="73">
        <f>SUM(FS396:FS426)</f>
        <v>0</v>
      </c>
      <c r="FT427" s="73">
        <f>SUM(FT396:FT426)</f>
        <v>0</v>
      </c>
      <c r="FU427" s="73">
        <f>SUM(FU396:FU426)</f>
        <v>0</v>
      </c>
      <c r="FV427" s="73">
        <f>SUM(FV396:FV426)</f>
        <v>0</v>
      </c>
      <c r="FW427" s="70">
        <f>FW426</f>
        <v>2020</v>
      </c>
      <c r="FX427" s="71"/>
      <c r="GA427" s="72" t="s">
        <v>72</v>
      </c>
      <c r="GB427" s="73">
        <f>SUM(GB396:GB426)</f>
        <v>0</v>
      </c>
      <c r="GC427" s="73">
        <f>SUM(GC396:GC426)</f>
        <v>0</v>
      </c>
      <c r="GD427" s="73">
        <f>SUM(GD396:GD426)</f>
        <v>0</v>
      </c>
      <c r="GE427" s="73">
        <f>SUM(GE396:GE426)</f>
        <v>0</v>
      </c>
      <c r="GF427" s="70">
        <f>GF426</f>
        <v>960</v>
      </c>
      <c r="GG427" s="71"/>
      <c r="GJ427" s="72" t="s">
        <v>72</v>
      </c>
      <c r="GK427" s="73">
        <f>SUM(GK396:GK426)</f>
        <v>0</v>
      </c>
      <c r="GL427" s="73">
        <f>SUM(GL396:GL426)</f>
        <v>0</v>
      </c>
      <c r="GM427" s="73">
        <f>SUM(GM396:GM426)</f>
        <v>0</v>
      </c>
      <c r="GN427" s="73">
        <f>SUM(GN396:GN426)</f>
        <v>0</v>
      </c>
      <c r="GO427" s="70">
        <f>GO426</f>
        <v>1760</v>
      </c>
      <c r="GP427" s="71"/>
      <c r="GS427" s="72" t="s">
        <v>72</v>
      </c>
      <c r="GT427" s="73">
        <f>SUM(GT396:GT426)</f>
        <v>0</v>
      </c>
      <c r="GU427" s="73">
        <f>SUM(GU396:GU426)</f>
        <v>0</v>
      </c>
      <c r="GV427" s="73">
        <f>SUM(GV396:GV426)</f>
        <v>0</v>
      </c>
      <c r="GW427" s="73">
        <f>SUM(GW396:GW426)</f>
        <v>0</v>
      </c>
      <c r="GX427" s="70">
        <f>GX426</f>
        <v>400</v>
      </c>
      <c r="GY427" s="71"/>
      <c r="HB427" s="72" t="s">
        <v>72</v>
      </c>
      <c r="HC427" s="73">
        <f>SUM(HC396:HC426)</f>
        <v>0</v>
      </c>
      <c r="HD427" s="73">
        <f>SUM(HD396:HD426)</f>
        <v>0</v>
      </c>
      <c r="HE427" s="73">
        <f>SUM(HE396:HE426)</f>
        <v>0</v>
      </c>
      <c r="HF427" s="73">
        <f>SUM(HF396:HF426)</f>
        <v>0</v>
      </c>
      <c r="HG427" s="70">
        <f>HG426</f>
        <v>3600</v>
      </c>
      <c r="HH427" s="71"/>
      <c r="HK427" s="72" t="s">
        <v>72</v>
      </c>
      <c r="HL427" s="73">
        <f>SUM(HL396:HL426)</f>
        <v>0</v>
      </c>
      <c r="HM427" s="73">
        <f>SUM(HM396:HM426)</f>
        <v>0</v>
      </c>
      <c r="HN427" s="73">
        <f>SUM(HN396:HN426)</f>
        <v>0</v>
      </c>
      <c r="HO427" s="73">
        <f>SUM(HO396:HO426)</f>
        <v>0</v>
      </c>
      <c r="HP427" s="70">
        <f>HP426</f>
        <v>0</v>
      </c>
      <c r="HQ427" s="71"/>
      <c r="HU427" s="72" t="s">
        <v>72</v>
      </c>
      <c r="HV427" s="73">
        <f>SUM(HV396:HV426)</f>
        <v>0</v>
      </c>
      <c r="HW427" s="73">
        <f>SUM(HW396:HW426)</f>
        <v>0</v>
      </c>
      <c r="HX427" s="73">
        <f>SUM(HX396:HX426)</f>
        <v>0</v>
      </c>
      <c r="HY427" s="73">
        <f>SUM(HY396:HY426)</f>
        <v>0</v>
      </c>
      <c r="HZ427" s="70">
        <f>HZ426</f>
        <v>6120</v>
      </c>
      <c r="IA427" s="71"/>
      <c r="ID427" s="72" t="s">
        <v>72</v>
      </c>
      <c r="IE427" s="73">
        <f>SUM(IE396:IE426)</f>
        <v>0</v>
      </c>
      <c r="IF427" s="73">
        <f>SUM(IF396:IF426)</f>
        <v>0</v>
      </c>
      <c r="IG427" s="73">
        <f>SUM(IG396:IG426)</f>
        <v>0</v>
      </c>
      <c r="IH427" s="73">
        <f>SUM(IH396:IH426)</f>
        <v>0</v>
      </c>
      <c r="II427" s="70">
        <f>II426</f>
        <v>0</v>
      </c>
      <c r="IJ427" s="71"/>
      <c r="IM427" s="72" t="s">
        <v>72</v>
      </c>
      <c r="IN427" s="73">
        <f>SUM(IN396:IN426)</f>
        <v>0</v>
      </c>
      <c r="IO427" s="73">
        <f>SUM(IO396:IO426)</f>
        <v>0</v>
      </c>
      <c r="IP427" s="73">
        <f>SUM(IP396:IP426)</f>
        <v>0</v>
      </c>
      <c r="IQ427" s="73">
        <f>SUM(IQ396:IQ426)</f>
        <v>0</v>
      </c>
      <c r="IR427" s="70">
        <f>IR426</f>
        <v>0</v>
      </c>
      <c r="IS427" s="71"/>
      <c r="IV427" s="72" t="s">
        <v>72</v>
      </c>
      <c r="IW427" s="73">
        <f>SUM(IW396:IW426)</f>
        <v>0</v>
      </c>
      <c r="IX427" s="73">
        <f>SUM(IX396:IX426)</f>
        <v>0</v>
      </c>
      <c r="IY427" s="73">
        <f>SUM(IY396:IY426)</f>
        <v>0</v>
      </c>
      <c r="IZ427" s="73">
        <f>SUM(IZ396:IZ426)</f>
        <v>0</v>
      </c>
      <c r="JA427" s="70">
        <f>JA426</f>
        <v>2820</v>
      </c>
      <c r="JB427" s="71"/>
      <c r="JE427" s="72" t="s">
        <v>72</v>
      </c>
      <c r="JF427" s="73">
        <f>SUM(JF396:JF426)</f>
        <v>0</v>
      </c>
      <c r="JG427" s="73">
        <f>SUM(JG396:JG426)</f>
        <v>0</v>
      </c>
      <c r="JH427" s="73">
        <f>SUM(JH396:JH426)</f>
        <v>0</v>
      </c>
      <c r="JI427" s="73">
        <f>SUM(JI396:JI426)</f>
        <v>0</v>
      </c>
      <c r="JJ427" s="70">
        <f>JJ426</f>
        <v>0</v>
      </c>
      <c r="JK427" s="71"/>
      <c r="JN427" s="72" t="s">
        <v>72</v>
      </c>
      <c r="JO427" s="73">
        <f>SUM(JO396:JO426)</f>
        <v>0</v>
      </c>
      <c r="JP427" s="73">
        <f>SUM(JP396:JP426)</f>
        <v>0</v>
      </c>
      <c r="JQ427" s="73">
        <f>SUM(JQ396:JQ426)</f>
        <v>0</v>
      </c>
      <c r="JR427" s="73">
        <f>SUM(JR396:JR426)</f>
        <v>0</v>
      </c>
      <c r="JS427" s="70">
        <f>JS426</f>
        <v>0</v>
      </c>
      <c r="JT427" s="71"/>
      <c r="JW427" s="72" t="s">
        <v>72</v>
      </c>
      <c r="JX427" s="73">
        <f>SUM(JX396:JX426)</f>
        <v>0</v>
      </c>
      <c r="JY427" s="73">
        <f>SUM(JY396:JY426)</f>
        <v>0</v>
      </c>
      <c r="JZ427" s="73">
        <f>SUM(JZ396:JZ426)</f>
        <v>0</v>
      </c>
      <c r="KA427" s="73">
        <f>SUM(KA396:KA426)</f>
        <v>0</v>
      </c>
      <c r="KB427" s="70">
        <f>KB426</f>
        <v>2540</v>
      </c>
      <c r="KC427" s="71"/>
      <c r="KF427" s="72" t="s">
        <v>72</v>
      </c>
      <c r="KG427" s="73">
        <f>SUM(KG396:KG426)</f>
        <v>0</v>
      </c>
      <c r="KH427" s="73">
        <f>SUM(KH396:KH426)</f>
        <v>0</v>
      </c>
      <c r="KI427" s="73">
        <f>SUM(KI396:KI426)</f>
        <v>0</v>
      </c>
      <c r="KJ427" s="73">
        <f>SUM(KJ396:KJ426)</f>
        <v>0</v>
      </c>
      <c r="KK427" s="70">
        <f>KK426</f>
        <v>2359.5</v>
      </c>
      <c r="KL427" s="71"/>
      <c r="KO427" s="72" t="s">
        <v>72</v>
      </c>
      <c r="KP427" s="73">
        <f>SUM(KP396:KP426)</f>
        <v>0</v>
      </c>
      <c r="KQ427" s="73">
        <f>SUM(KQ396:KQ426)</f>
        <v>0</v>
      </c>
      <c r="KR427" s="73">
        <f>SUM(KR396:KR426)</f>
        <v>0</v>
      </c>
      <c r="KS427" s="73">
        <f>SUM(KS396:KS426)</f>
        <v>0</v>
      </c>
      <c r="KT427" s="70">
        <f>KT426</f>
        <v>1890</v>
      </c>
      <c r="KU427" s="71"/>
      <c r="KX427" s="72" t="s">
        <v>72</v>
      </c>
      <c r="KY427" s="73">
        <f>SUM(KY396:KY426)</f>
        <v>0</v>
      </c>
      <c r="KZ427" s="73">
        <f>SUM(KZ396:KZ426)</f>
        <v>0</v>
      </c>
      <c r="LA427" s="73">
        <f>SUM(LA396:LA426)</f>
        <v>0</v>
      </c>
      <c r="LB427" s="73">
        <f>SUM(LB396:LB426)</f>
        <v>0</v>
      </c>
      <c r="LC427" s="70">
        <f>LC426</f>
        <v>3690</v>
      </c>
      <c r="LD427" s="71"/>
      <c r="LG427" s="72" t="s">
        <v>72</v>
      </c>
      <c r="LH427" s="73">
        <f>SUM(LH396:LH426)</f>
        <v>0</v>
      </c>
      <c r="LI427" s="73">
        <f>SUM(LI396:LI426)</f>
        <v>0</v>
      </c>
      <c r="LJ427" s="73">
        <f>SUM(LJ396:LJ426)</f>
        <v>0</v>
      </c>
      <c r="LK427" s="73">
        <f>SUM(LK396:LK426)</f>
        <v>0</v>
      </c>
      <c r="LL427" s="70">
        <f>LL426</f>
        <v>4000</v>
      </c>
      <c r="LM427" s="71"/>
      <c r="LP427" s="72" t="s">
        <v>72</v>
      </c>
      <c r="LQ427" s="73">
        <f>SUM(LQ396:LQ426)</f>
        <v>0</v>
      </c>
      <c r="LR427" s="73">
        <f>SUM(LR396:LR426)</f>
        <v>0</v>
      </c>
      <c r="LS427" s="73">
        <f>SUM(LS396:LS426)</f>
        <v>0</v>
      </c>
      <c r="LT427" s="73">
        <f>SUM(LT396:LT426)</f>
        <v>0</v>
      </c>
      <c r="LU427" s="70">
        <f>LU426</f>
        <v>0</v>
      </c>
      <c r="LV427" s="71"/>
      <c r="LY427" s="72" t="s">
        <v>72</v>
      </c>
      <c r="LZ427" s="73">
        <f>SUM(LZ396:LZ426)</f>
        <v>0</v>
      </c>
      <c r="MA427" s="73">
        <f>SUM(MA396:MA426)</f>
        <v>0</v>
      </c>
      <c r="MB427" s="73">
        <f>SUM(MB396:MB426)</f>
        <v>0</v>
      </c>
      <c r="MC427" s="73">
        <f>SUM(MC396:MC426)</f>
        <v>0</v>
      </c>
      <c r="MD427" s="70">
        <f>MD426</f>
        <v>0</v>
      </c>
      <c r="ME427" s="71"/>
      <c r="MH427" s="72" t="s">
        <v>72</v>
      </c>
      <c r="MI427" s="73">
        <f>SUM(MI396:MI426)</f>
        <v>0</v>
      </c>
      <c r="MJ427" s="73">
        <f>SUM(MJ396:MJ426)</f>
        <v>0</v>
      </c>
      <c r="MK427" s="73">
        <f>SUM(MK396:MK426)</f>
        <v>18</v>
      </c>
      <c r="ML427" s="73">
        <f>SUM(ML396:ML426)</f>
        <v>-18</v>
      </c>
      <c r="MM427" s="70">
        <f>MM426</f>
        <v>-18</v>
      </c>
      <c r="MN427" s="71"/>
      <c r="MQ427" s="72" t="s">
        <v>72</v>
      </c>
      <c r="MR427" s="73">
        <f>SUM(MR396:MR426)</f>
        <v>0</v>
      </c>
      <c r="MS427" s="73">
        <f>SUM(MS396:MS426)</f>
        <v>0</v>
      </c>
      <c r="MT427" s="73">
        <f>SUM(MT396:MT426)</f>
        <v>66</v>
      </c>
      <c r="MU427" s="73">
        <f>SUM(MU396:MU426)</f>
        <v>-66</v>
      </c>
      <c r="MV427" s="70">
        <f>MV426</f>
        <v>1559</v>
      </c>
      <c r="MW427" s="71"/>
      <c r="MZ427" s="72" t="s">
        <v>72</v>
      </c>
      <c r="NA427" s="73">
        <f>SUM(NA396:NA426)</f>
        <v>0</v>
      </c>
      <c r="NB427" s="73">
        <f>SUM(NB396:NB426)</f>
        <v>0</v>
      </c>
      <c r="NC427" s="73">
        <f>SUM(NC396:NC426)</f>
        <v>0</v>
      </c>
      <c r="ND427" s="73">
        <f>SUM(ND396:ND426)</f>
        <v>0</v>
      </c>
      <c r="NE427" s="70">
        <f>NE426</f>
        <v>0</v>
      </c>
      <c r="NF427" s="71"/>
      <c r="NI427" s="72" t="s">
        <v>72</v>
      </c>
      <c r="NJ427" s="73">
        <f>SUM(NJ396:NJ426)</f>
        <v>0</v>
      </c>
      <c r="NK427" s="73">
        <f>SUM(NK396:NK426)</f>
        <v>0</v>
      </c>
      <c r="NL427" s="73">
        <f>SUM(NL396:NL426)</f>
        <v>0</v>
      </c>
      <c r="NM427" s="73">
        <f>SUM(NM396:NM426)</f>
        <v>0</v>
      </c>
      <c r="NN427" s="70">
        <f>NN426</f>
        <v>1127</v>
      </c>
      <c r="NO427" s="71"/>
      <c r="NR427" s="72" t="s">
        <v>72</v>
      </c>
      <c r="NS427" s="73">
        <f>SUM(NS396:NS426)</f>
        <v>0</v>
      </c>
      <c r="NT427" s="73">
        <f>SUM(NT396:NT426)</f>
        <v>0</v>
      </c>
      <c r="NU427" s="73">
        <f>SUM(NU396:NU426)</f>
        <v>0</v>
      </c>
      <c r="NV427" s="73">
        <f>SUM(NV396:NV426)</f>
        <v>0</v>
      </c>
      <c r="NW427" s="70">
        <f>NW426</f>
        <v>3111.9999999999995</v>
      </c>
      <c r="NX427" s="71"/>
      <c r="OA427" s="72" t="s">
        <v>72</v>
      </c>
      <c r="OB427" s="73">
        <f>SUM(OB396:OB426)</f>
        <v>0</v>
      </c>
      <c r="OC427" s="73">
        <f>SUM(OC396:OC426)</f>
        <v>0</v>
      </c>
      <c r="OD427" s="73">
        <f>SUM(OD396:OD426)</f>
        <v>0</v>
      </c>
      <c r="OE427" s="73">
        <f>SUM(OE396:OE426)</f>
        <v>0</v>
      </c>
      <c r="OF427" s="70">
        <f>OF426</f>
        <v>1680.5</v>
      </c>
      <c r="OG427" s="71"/>
      <c r="OJ427" s="72" t="s">
        <v>72</v>
      </c>
      <c r="OK427" s="73">
        <f>SUM(OK396:OK426)</f>
        <v>0</v>
      </c>
      <c r="OL427" s="73">
        <f>SUM(OL396:OL426)</f>
        <v>0</v>
      </c>
      <c r="OM427" s="73">
        <f>SUM(OM396:OM426)</f>
        <v>0</v>
      </c>
      <c r="ON427" s="73">
        <f>SUM(ON396:ON426)</f>
        <v>0</v>
      </c>
      <c r="OO427" s="70">
        <f>OO426</f>
        <v>0</v>
      </c>
      <c r="OP427" s="71"/>
      <c r="OS427" s="72" t="s">
        <v>72</v>
      </c>
      <c r="OT427" s="73">
        <f>SUM(OT396:OT426)</f>
        <v>0</v>
      </c>
      <c r="OU427" s="73">
        <f>SUM(OU396:OU426)</f>
        <v>0</v>
      </c>
      <c r="OV427" s="73">
        <f>SUM(OV396:OV426)</f>
        <v>0</v>
      </c>
      <c r="OW427" s="73">
        <f>SUM(OW396:OW426)</f>
        <v>0</v>
      </c>
      <c r="OX427" s="70">
        <f>OX426</f>
        <v>1482</v>
      </c>
      <c r="OY427" s="71"/>
      <c r="PB427" s="72" t="s">
        <v>72</v>
      </c>
      <c r="PC427" s="73">
        <f>SUM(PC396:PC426)</f>
        <v>0</v>
      </c>
      <c r="PD427" s="73">
        <f>SUM(PD396:PD426)</f>
        <v>0</v>
      </c>
      <c r="PE427" s="73">
        <f>SUM(PE396:PE426)</f>
        <v>0</v>
      </c>
      <c r="PF427" s="73">
        <f>SUM(PF396:PF426)</f>
        <v>0</v>
      </c>
      <c r="PG427" s="70">
        <f>PG426</f>
        <v>0</v>
      </c>
      <c r="PH427" s="71"/>
      <c r="PK427" s="72" t="s">
        <v>72</v>
      </c>
      <c r="PL427" s="73">
        <f>SUM(PL396:PL426)</f>
        <v>0</v>
      </c>
      <c r="PM427" s="73">
        <f>SUM(PM396:PM426)</f>
        <v>0</v>
      </c>
      <c r="PN427" s="73">
        <f>SUM(PN396:PN426)</f>
        <v>0</v>
      </c>
      <c r="PO427" s="73">
        <f>SUM(PO396:PO426)</f>
        <v>0</v>
      </c>
      <c r="PP427" s="70">
        <f>PP426</f>
        <v>100</v>
      </c>
      <c r="PQ427" s="71"/>
      <c r="PT427" s="72" t="s">
        <v>72</v>
      </c>
      <c r="PU427" s="73">
        <f>SUM(PU396:PU426)</f>
        <v>0</v>
      </c>
      <c r="PV427" s="73">
        <f>SUM(PV396:PV426)</f>
        <v>0</v>
      </c>
      <c r="PW427" s="73">
        <f>SUM(PW396:PW426)</f>
        <v>0</v>
      </c>
      <c r="PX427" s="73">
        <f>SUM(PX396:PX426)</f>
        <v>0</v>
      </c>
      <c r="PY427" s="70">
        <f>PY426</f>
        <v>13.960000000000036</v>
      </c>
      <c r="PZ427" s="71"/>
      <c r="QC427" s="72" t="s">
        <v>72</v>
      </c>
      <c r="QD427" s="73">
        <f>SUM(QD396:QD426)</f>
        <v>0</v>
      </c>
      <c r="QE427" s="73">
        <f>SUM(QE396:QE426)</f>
        <v>0</v>
      </c>
      <c r="QF427" s="73">
        <f>SUM(QF396:QF426)</f>
        <v>0</v>
      </c>
      <c r="QG427" s="73">
        <f>SUM(QG396:QG426)</f>
        <v>0</v>
      </c>
      <c r="QH427" s="70">
        <f>QH426</f>
        <v>548</v>
      </c>
      <c r="QI427" s="71"/>
      <c r="QL427" s="72" t="s">
        <v>72</v>
      </c>
      <c r="QM427" s="73">
        <f>SUM(QM396:QM426)</f>
        <v>0</v>
      </c>
      <c r="QN427" s="73">
        <f>SUM(QN396:QN426)</f>
        <v>0</v>
      </c>
      <c r="QO427" s="73">
        <f>SUM(QO396:QO426)</f>
        <v>0</v>
      </c>
      <c r="QP427" s="73">
        <f>SUM(QP396:QP426)</f>
        <v>0</v>
      </c>
      <c r="QQ427" s="70">
        <f>QQ426</f>
        <v>0</v>
      </c>
      <c r="QR427" s="71"/>
      <c r="QU427" s="72" t="s">
        <v>72</v>
      </c>
      <c r="QV427" s="73">
        <f>SUM(QV396:QV426)</f>
        <v>0</v>
      </c>
      <c r="QW427" s="73">
        <f>SUM(QW396:QW426)</f>
        <v>0</v>
      </c>
      <c r="QX427" s="73">
        <f>SUM(QX396:QX426)</f>
        <v>0</v>
      </c>
      <c r="QY427" s="73">
        <f>SUM(QY396:QY426)</f>
        <v>0</v>
      </c>
      <c r="QZ427" s="70">
        <f>QZ426</f>
        <v>0</v>
      </c>
      <c r="RA427" s="71"/>
      <c r="RD427" s="72" t="s">
        <v>72</v>
      </c>
      <c r="RE427" s="73">
        <f>SUM(RE396:RE426)</f>
        <v>0</v>
      </c>
      <c r="RF427" s="73">
        <f>SUM(RF396:RF426)</f>
        <v>0</v>
      </c>
      <c r="RG427" s="73">
        <f>SUM(RG396:RG426)</f>
        <v>0</v>
      </c>
      <c r="RH427" s="73">
        <f>SUM(RH396:RH426)</f>
        <v>0</v>
      </c>
      <c r="RI427" s="70">
        <f>RI426</f>
        <v>147.04000000000002</v>
      </c>
      <c r="RJ427" s="71"/>
      <c r="RM427" s="72" t="s">
        <v>72</v>
      </c>
      <c r="RN427" s="73">
        <f>SUM(RN396:RN426)</f>
        <v>0</v>
      </c>
      <c r="RO427" s="73">
        <f>SUM(RO396:RO426)</f>
        <v>0</v>
      </c>
      <c r="RP427" s="73">
        <f>SUM(RP396:RP426)</f>
        <v>0</v>
      </c>
      <c r="RQ427" s="73">
        <f>SUM(RQ396:RQ426)</f>
        <v>0</v>
      </c>
      <c r="RR427" s="70">
        <f>RR426</f>
        <v>46.8</v>
      </c>
      <c r="RS427" s="71"/>
      <c r="RV427" s="72" t="s">
        <v>72</v>
      </c>
      <c r="RW427" s="73">
        <f>SUM(RW396:RW426)</f>
        <v>0</v>
      </c>
      <c r="RX427" s="73">
        <f>SUM(RX396:RX426)</f>
        <v>0</v>
      </c>
      <c r="RY427" s="73">
        <f>SUM(RY396:RY426)</f>
        <v>0</v>
      </c>
      <c r="RZ427" s="73">
        <f>SUM(RZ396:RZ426)</f>
        <v>0</v>
      </c>
      <c r="SA427" s="70">
        <f>SA426</f>
        <v>0</v>
      </c>
      <c r="SB427" s="71"/>
      <c r="SE427" s="72" t="s">
        <v>72</v>
      </c>
      <c r="SF427" s="73">
        <f>SUM(SF396:SF426)</f>
        <v>0</v>
      </c>
      <c r="SG427" s="73">
        <f>SUM(SG396:SG426)</f>
        <v>0</v>
      </c>
      <c r="SH427" s="73">
        <f>SUM(SH396:SH426)</f>
        <v>0</v>
      </c>
      <c r="SI427" s="73">
        <f>SUM(SI396:SI426)</f>
        <v>0</v>
      </c>
      <c r="SJ427" s="70">
        <f>SJ426</f>
        <v>24.200000000000003</v>
      </c>
      <c r="SK427" s="71"/>
      <c r="SN427" s="72" t="s">
        <v>72</v>
      </c>
      <c r="SO427" s="73">
        <f>SUM(SO396:SO426)</f>
        <v>0</v>
      </c>
      <c r="SP427" s="73">
        <f>SUM(SP396:SP426)</f>
        <v>0</v>
      </c>
      <c r="SQ427" s="73">
        <f>SUM(SQ396:SQ426)</f>
        <v>0</v>
      </c>
      <c r="SR427" s="73">
        <f>SUM(SR396:SR426)</f>
        <v>0</v>
      </c>
      <c r="SS427" s="70">
        <f>SS426</f>
        <v>32</v>
      </c>
      <c r="ST427" s="71"/>
      <c r="SW427" s="72" t="s">
        <v>72</v>
      </c>
      <c r="SX427" s="73">
        <f>SUM(SX396:SX426)</f>
        <v>0</v>
      </c>
      <c r="SY427" s="73">
        <f>SUM(SY396:SY426)</f>
        <v>0</v>
      </c>
      <c r="SZ427" s="73">
        <f>SUM(SZ396:SZ426)</f>
        <v>0</v>
      </c>
      <c r="TA427" s="73">
        <f>SUM(TA396:TA426)</f>
        <v>0</v>
      </c>
      <c r="TB427" s="70">
        <f>TB426</f>
        <v>0</v>
      </c>
      <c r="TC427" s="71"/>
      <c r="TF427" s="72" t="s">
        <v>72</v>
      </c>
      <c r="TG427" s="73">
        <f>SUM(TG396:TG426)</f>
        <v>0</v>
      </c>
      <c r="TH427" s="73">
        <f>SUM(TH396:TH426)</f>
        <v>0</v>
      </c>
      <c r="TI427" s="73">
        <f>SUM(TI396:TI426)</f>
        <v>0</v>
      </c>
      <c r="TJ427" s="73">
        <f>SUM(TJ396:TJ426)</f>
        <v>0</v>
      </c>
      <c r="TK427" s="70">
        <f>TK426</f>
        <v>0</v>
      </c>
      <c r="TL427" s="71"/>
      <c r="TO427" s="72" t="s">
        <v>72</v>
      </c>
      <c r="TP427" s="73">
        <f>SUM(TP396:TP426)</f>
        <v>0</v>
      </c>
      <c r="TQ427" s="73">
        <f>SUM(TQ396:TQ426)</f>
        <v>0</v>
      </c>
      <c r="TR427" s="73">
        <f>SUM(TR396:TR426)</f>
        <v>0</v>
      </c>
      <c r="TS427" s="73">
        <f>SUM(TS396:TS426)</f>
        <v>0</v>
      </c>
      <c r="TT427" s="70">
        <f>TT426</f>
        <v>0</v>
      </c>
      <c r="TU427" s="71"/>
      <c r="TX427" s="72" t="s">
        <v>72</v>
      </c>
      <c r="TY427" s="73">
        <f>SUM(TY396:TY426)</f>
        <v>0</v>
      </c>
      <c r="TZ427" s="73">
        <f>SUM(TZ396:TZ426)</f>
        <v>0</v>
      </c>
      <c r="UA427" s="73">
        <f>SUM(UA396:UA426)</f>
        <v>0</v>
      </c>
      <c r="UB427" s="73">
        <f>SUM(UB396:UB426)</f>
        <v>0</v>
      </c>
      <c r="UC427" s="70">
        <f>UC426</f>
        <v>46.799999999999983</v>
      </c>
      <c r="UD427" s="71"/>
      <c r="UG427" s="72" t="s">
        <v>72</v>
      </c>
      <c r="UH427" s="73">
        <f>SUM(UH396:UH426)</f>
        <v>0</v>
      </c>
      <c r="UI427" s="73">
        <f>SUM(UI396:UI426)</f>
        <v>0</v>
      </c>
      <c r="UJ427" s="73">
        <f>SUM(UJ396:UJ426)</f>
        <v>0</v>
      </c>
      <c r="UK427" s="73">
        <f>SUM(UK396:UK426)</f>
        <v>0</v>
      </c>
      <c r="UL427" s="70">
        <f>UL426</f>
        <v>204</v>
      </c>
      <c r="UM427" s="71"/>
      <c r="UP427" s="72" t="s">
        <v>72</v>
      </c>
      <c r="UQ427" s="73">
        <f>SUM(UQ396:UQ426)</f>
        <v>0</v>
      </c>
      <c r="UR427" s="73">
        <f>SUM(UR396:UR426)</f>
        <v>0</v>
      </c>
      <c r="US427" s="73">
        <f>SUM(US396:US426)</f>
        <v>0</v>
      </c>
      <c r="UT427" s="73">
        <f>SUM(UT396:UT426)</f>
        <v>0</v>
      </c>
      <c r="UU427" s="70">
        <f>UU426</f>
        <v>202.5</v>
      </c>
      <c r="UV427" s="71"/>
      <c r="UY427" s="72" t="s">
        <v>72</v>
      </c>
      <c r="UZ427" s="73">
        <f>SUM(UZ396:UZ426)</f>
        <v>0</v>
      </c>
      <c r="VA427" s="73">
        <f>SUM(VA396:VA426)</f>
        <v>0</v>
      </c>
      <c r="VB427" s="73">
        <f>SUM(VB396:VB426)</f>
        <v>0</v>
      </c>
      <c r="VC427" s="73">
        <f>SUM(VC396:VC426)</f>
        <v>0</v>
      </c>
      <c r="VD427" s="70">
        <f>VD426</f>
        <v>41.600000000000023</v>
      </c>
      <c r="VE427" s="71"/>
      <c r="VH427" s="72" t="s">
        <v>72</v>
      </c>
      <c r="VI427" s="73">
        <f>SUM(VI396:VI426)</f>
        <v>0</v>
      </c>
      <c r="VJ427" s="73">
        <f>SUM(VJ396:VJ426)</f>
        <v>0</v>
      </c>
      <c r="VK427" s="73">
        <f>SUM(VK396:VK426)</f>
        <v>0</v>
      </c>
      <c r="VL427" s="73">
        <f>SUM(VL396:VL426)</f>
        <v>0</v>
      </c>
      <c r="VM427" s="70">
        <f>VM426</f>
        <v>210</v>
      </c>
      <c r="VN427" s="71"/>
      <c r="VQ427" s="72" t="s">
        <v>72</v>
      </c>
      <c r="VR427" s="73">
        <f>SUM(VR396:VR426)</f>
        <v>0</v>
      </c>
      <c r="VS427" s="73">
        <f>SUM(VS396:VS426)</f>
        <v>0</v>
      </c>
      <c r="VT427" s="73">
        <f>SUM(VT396:VT426)</f>
        <v>0</v>
      </c>
      <c r="VU427" s="73">
        <f>SUM(VU396:VU426)</f>
        <v>0</v>
      </c>
      <c r="VV427" s="70">
        <f>VV426</f>
        <v>0</v>
      </c>
      <c r="VW427" s="71"/>
      <c r="VZ427" s="72" t="s">
        <v>72</v>
      </c>
      <c r="WA427" s="73">
        <f>SUM(WA396:WA426)</f>
        <v>0</v>
      </c>
      <c r="WB427" s="73">
        <f>SUM(WB396:WB426)</f>
        <v>0</v>
      </c>
      <c r="WC427" s="73">
        <f>SUM(WC396:WC426)</f>
        <v>0</v>
      </c>
      <c r="WD427" s="73">
        <f>SUM(WD396:WD426)</f>
        <v>0</v>
      </c>
      <c r="WE427" s="70">
        <f>WE426</f>
        <v>0</v>
      </c>
      <c r="WF427" s="71"/>
      <c r="WI427" s="72" t="s">
        <v>72</v>
      </c>
      <c r="WJ427" s="73">
        <f>SUM(WJ396:WJ426)</f>
        <v>0</v>
      </c>
      <c r="WK427" s="73">
        <f>SUM(WK396:WK426)</f>
        <v>0</v>
      </c>
      <c r="WL427" s="73">
        <f>SUM(WL396:WL426)</f>
        <v>0</v>
      </c>
      <c r="WM427" s="73">
        <f>SUM(WM396:WM426)</f>
        <v>0</v>
      </c>
      <c r="WN427" s="70">
        <f>WN426</f>
        <v>1057</v>
      </c>
      <c r="WO427" s="71"/>
      <c r="WR427" s="72" t="s">
        <v>72</v>
      </c>
      <c r="WS427" s="73">
        <f>SUM(WS396:WS426)</f>
        <v>0</v>
      </c>
      <c r="WT427" s="73">
        <f>SUM(WT396:WT426)</f>
        <v>0</v>
      </c>
      <c r="WU427" s="73">
        <f>SUM(WU396:WU426)</f>
        <v>0</v>
      </c>
      <c r="WV427" s="73">
        <f>SUM(WV396:WV426)</f>
        <v>0</v>
      </c>
      <c r="WW427" s="70">
        <f>WW426</f>
        <v>0</v>
      </c>
      <c r="WX427" s="71"/>
      <c r="XA427" s="72" t="s">
        <v>72</v>
      </c>
      <c r="XB427" s="73">
        <f>SUM(XB396:XB426)</f>
        <v>0</v>
      </c>
      <c r="XC427" s="73">
        <f>SUM(XC396:XC426)</f>
        <v>0</v>
      </c>
      <c r="XD427" s="73">
        <f>SUM(XD396:XD426)</f>
        <v>0</v>
      </c>
      <c r="XE427" s="73">
        <f>SUM(XE396:XE426)</f>
        <v>0</v>
      </c>
      <c r="XF427" s="70">
        <f>XF426</f>
        <v>7507</v>
      </c>
      <c r="XG427" s="71"/>
      <c r="XJ427" s="72" t="s">
        <v>72</v>
      </c>
      <c r="XK427" s="73">
        <f>SUM(XK396:XK426)</f>
        <v>0</v>
      </c>
      <c r="XL427" s="73">
        <f>SUM(XL396:XL426)</f>
        <v>0</v>
      </c>
      <c r="XM427" s="73">
        <f>SUM(XM396:XM426)</f>
        <v>0</v>
      </c>
      <c r="XN427" s="73">
        <f>SUM(XN396:XN426)</f>
        <v>0</v>
      </c>
      <c r="XO427" s="70">
        <f>XO426</f>
        <v>4252</v>
      </c>
      <c r="XP427" s="71"/>
      <c r="XS427" s="72" t="s">
        <v>72</v>
      </c>
      <c r="XT427" s="73">
        <f>SUM(XT396:XT426)</f>
        <v>0</v>
      </c>
      <c r="XU427" s="73">
        <f>SUM(XU396:XU426)</f>
        <v>0</v>
      </c>
      <c r="XV427" s="73">
        <f>SUM(XV396:XV426)</f>
        <v>0</v>
      </c>
      <c r="XW427" s="73">
        <f>SUM(XW396:XW426)</f>
        <v>0</v>
      </c>
      <c r="XX427" s="70">
        <f>XX426</f>
        <v>2179</v>
      </c>
      <c r="XY427" s="71"/>
      <c r="YB427" s="72" t="s">
        <v>72</v>
      </c>
      <c r="YC427" s="73">
        <f>SUM(YC396:YC426)</f>
        <v>0</v>
      </c>
      <c r="YD427" s="73">
        <f>SUM(YD396:YD426)</f>
        <v>0</v>
      </c>
      <c r="YE427" s="73">
        <f>SUM(YE396:YE426)</f>
        <v>0</v>
      </c>
      <c r="YF427" s="73">
        <f>SUM(YF396:YF426)</f>
        <v>0</v>
      </c>
      <c r="YG427" s="70">
        <f>YG426</f>
        <v>4019</v>
      </c>
      <c r="YH427" s="71"/>
      <c r="YK427" s="72" t="s">
        <v>72</v>
      </c>
      <c r="YL427" s="73">
        <f>SUM(YL396:YL426)</f>
        <v>0</v>
      </c>
      <c r="YM427" s="73">
        <f>SUM(YM396:YM426)</f>
        <v>0</v>
      </c>
      <c r="YN427" s="73">
        <f>SUM(YN396:YN426)</f>
        <v>0</v>
      </c>
      <c r="YO427" s="73">
        <f>SUM(YO396:YO426)</f>
        <v>0</v>
      </c>
      <c r="YP427" s="70">
        <f>YP426</f>
        <v>-218</v>
      </c>
      <c r="YQ427" s="71"/>
      <c r="YT427" s="72" t="s">
        <v>72</v>
      </c>
      <c r="YU427" s="73">
        <f>SUM(YU396:YU426)</f>
        <v>0</v>
      </c>
      <c r="YV427" s="73">
        <f>SUM(YV396:YV426)</f>
        <v>0</v>
      </c>
      <c r="YW427" s="73">
        <f>SUM(YW396:YW426)</f>
        <v>0</v>
      </c>
      <c r="YX427" s="73">
        <f>SUM(YX396:YX426)</f>
        <v>0</v>
      </c>
      <c r="YY427" s="70">
        <f>YY426</f>
        <v>0</v>
      </c>
      <c r="YZ427" s="71"/>
      <c r="ZC427" s="72" t="s">
        <v>72</v>
      </c>
      <c r="ZD427" s="73">
        <f>SUM(ZD396:ZD426)</f>
        <v>0</v>
      </c>
      <c r="ZE427" s="73">
        <f>SUM(ZE396:ZE426)</f>
        <v>0</v>
      </c>
      <c r="ZF427" s="73">
        <f>SUM(ZF396:ZF426)</f>
        <v>0</v>
      </c>
      <c r="ZG427" s="73">
        <f>SUM(ZG396:ZG426)</f>
        <v>0</v>
      </c>
      <c r="ZH427" s="70">
        <f>ZH426</f>
        <v>0</v>
      </c>
      <c r="ZI427" s="71"/>
      <c r="ZL427" s="72" t="s">
        <v>72</v>
      </c>
      <c r="ZM427" s="73">
        <f>SUM(ZM396:ZM426)</f>
        <v>0</v>
      </c>
      <c r="ZN427" s="73">
        <f>SUM(ZN396:ZN426)</f>
        <v>0</v>
      </c>
      <c r="ZO427" s="73">
        <f>SUM(ZO396:ZO426)</f>
        <v>0</v>
      </c>
      <c r="ZP427" s="73">
        <f>SUM(ZP396:ZP426)</f>
        <v>0</v>
      </c>
      <c r="ZQ427" s="70">
        <f>ZQ426</f>
        <v>0</v>
      </c>
      <c r="ZR427" s="71"/>
      <c r="ZU427" s="72" t="s">
        <v>72</v>
      </c>
      <c r="ZV427" s="73">
        <f>SUM(ZV396:ZV426)</f>
        <v>0</v>
      </c>
      <c r="ZW427" s="73">
        <f>SUM(ZW396:ZW426)</f>
        <v>0</v>
      </c>
      <c r="ZX427" s="73">
        <f>SUM(ZX396:ZX426)</f>
        <v>0</v>
      </c>
      <c r="ZY427" s="73">
        <f>SUM(ZY396:ZY426)</f>
        <v>0</v>
      </c>
      <c r="ZZ427" s="70">
        <f>ZZ426</f>
        <v>0</v>
      </c>
      <c r="AAA427" s="71"/>
      <c r="AAD427" s="72" t="s">
        <v>72</v>
      </c>
      <c r="AAE427" s="73">
        <f>SUM(AAE396:AAE426)</f>
        <v>0</v>
      </c>
      <c r="AAF427" s="73">
        <f>SUM(AAF396:AAF426)</f>
        <v>0</v>
      </c>
      <c r="AAG427" s="73">
        <f>SUM(AAG396:AAG426)</f>
        <v>0</v>
      </c>
      <c r="AAH427" s="73">
        <f>SUM(AAH396:AAH426)</f>
        <v>0</v>
      </c>
      <c r="AAI427" s="70">
        <f>AAI426</f>
        <v>0</v>
      </c>
      <c r="AAJ427" s="71"/>
      <c r="AAM427" s="72" t="s">
        <v>72</v>
      </c>
      <c r="AAN427" s="73">
        <f>SUM(AAN396:AAN426)</f>
        <v>0</v>
      </c>
      <c r="AAO427" s="73">
        <f>SUM(AAO396:AAO426)</f>
        <v>0</v>
      </c>
      <c r="AAP427" s="73">
        <f>SUM(AAP396:AAP426)</f>
        <v>0</v>
      </c>
      <c r="AAQ427" s="73">
        <f>SUM(AAQ396:AAQ426)</f>
        <v>0</v>
      </c>
      <c r="AAR427" s="70">
        <f>AAR426</f>
        <v>0</v>
      </c>
      <c r="AAS427" s="71"/>
      <c r="AAV427" s="72" t="s">
        <v>72</v>
      </c>
      <c r="AAW427" s="73">
        <f>SUM(AAW396:AAW426)</f>
        <v>0</v>
      </c>
      <c r="AAX427" s="73">
        <f>SUM(AAX396:AAX426)</f>
        <v>0</v>
      </c>
      <c r="AAY427" s="73">
        <f>SUM(AAY396:AAY426)</f>
        <v>0</v>
      </c>
      <c r="AAZ427" s="73">
        <f>SUM(AAZ396:AAZ426)</f>
        <v>0</v>
      </c>
      <c r="ABA427" s="70">
        <f>ABA426</f>
        <v>0</v>
      </c>
      <c r="ABB427" s="71"/>
      <c r="ABE427" s="72" t="s">
        <v>72</v>
      </c>
      <c r="ABF427" s="73">
        <f>SUM(ABF396:ABF426)</f>
        <v>0</v>
      </c>
      <c r="ABG427" s="73">
        <f>SUM(ABG396:ABG426)</f>
        <v>0</v>
      </c>
      <c r="ABH427" s="73">
        <f>SUM(ABH396:ABH426)</f>
        <v>0</v>
      </c>
      <c r="ABI427" s="73">
        <f>SUM(ABI396:ABI426)</f>
        <v>0</v>
      </c>
      <c r="ABJ427" s="70">
        <f>ABJ426</f>
        <v>0</v>
      </c>
      <c r="ABK427" s="71"/>
    </row>
  </sheetData>
  <mergeCells count="1069">
    <mergeCell ref="VZ251:WE251"/>
    <mergeCell ref="WZ2:XF2"/>
    <mergeCell ref="XA3:XF3"/>
    <mergeCell ref="XA39:XF39"/>
    <mergeCell ref="XA73:XF73"/>
    <mergeCell ref="XA109:XF109"/>
    <mergeCell ref="XA144:XF144"/>
    <mergeCell ref="XA180:XF180"/>
    <mergeCell ref="XA215:XF215"/>
    <mergeCell ref="XA251:XF251"/>
    <mergeCell ref="XA287:XF287"/>
    <mergeCell ref="XA322:XF322"/>
    <mergeCell ref="XA358:XF358"/>
    <mergeCell ref="XA393:XF393"/>
    <mergeCell ref="WQ2:WW2"/>
    <mergeCell ref="WR3:WW3"/>
    <mergeCell ref="WR39:WW39"/>
    <mergeCell ref="WR73:WW73"/>
    <mergeCell ref="WR109:WW109"/>
    <mergeCell ref="WR144:WW144"/>
    <mergeCell ref="WR180:WW180"/>
    <mergeCell ref="WR215:WW215"/>
    <mergeCell ref="WR251:WW251"/>
    <mergeCell ref="WR287:WW287"/>
    <mergeCell ref="WR322:WW322"/>
    <mergeCell ref="WR358:WW358"/>
    <mergeCell ref="WR393:WW393"/>
    <mergeCell ref="OJ73:OO73"/>
    <mergeCell ref="OJ109:OO109"/>
    <mergeCell ref="OJ144:OO144"/>
    <mergeCell ref="OJ180:OO180"/>
    <mergeCell ref="OJ215:OO215"/>
    <mergeCell ref="OJ251:OO251"/>
    <mergeCell ref="OJ393:OO393"/>
    <mergeCell ref="VZ287:WE287"/>
    <mergeCell ref="VZ322:WE322"/>
    <mergeCell ref="VZ358:WE358"/>
    <mergeCell ref="VZ393:WE393"/>
    <mergeCell ref="WH2:WN2"/>
    <mergeCell ref="WI3:WN3"/>
    <mergeCell ref="WI39:WN39"/>
    <mergeCell ref="WI73:WN73"/>
    <mergeCell ref="WI109:WN109"/>
    <mergeCell ref="WI144:WN144"/>
    <mergeCell ref="WI180:WN180"/>
    <mergeCell ref="WI215:WN215"/>
    <mergeCell ref="WI251:WN251"/>
    <mergeCell ref="WI287:WN287"/>
    <mergeCell ref="WI322:WN322"/>
    <mergeCell ref="WI358:WN358"/>
    <mergeCell ref="WI393:WN393"/>
    <mergeCell ref="VY2:WE2"/>
    <mergeCell ref="VZ3:WE3"/>
    <mergeCell ref="VZ39:WE39"/>
    <mergeCell ref="VZ73:WE73"/>
    <mergeCell ref="VZ109:WE109"/>
    <mergeCell ref="VZ144:WE144"/>
    <mergeCell ref="VZ180:WE180"/>
    <mergeCell ref="VZ215:WE215"/>
    <mergeCell ref="OS393:OX393"/>
    <mergeCell ref="PB39:PG39"/>
    <mergeCell ref="PB73:PG73"/>
    <mergeCell ref="MH393:MM393"/>
    <mergeCell ref="MY2:NE2"/>
    <mergeCell ref="MZ3:NE3"/>
    <mergeCell ref="MZ39:NE39"/>
    <mergeCell ref="MZ73:NE73"/>
    <mergeCell ref="MZ109:NE109"/>
    <mergeCell ref="MZ144:NE144"/>
    <mergeCell ref="MZ180:NE180"/>
    <mergeCell ref="MZ215:NE215"/>
    <mergeCell ref="MZ251:NE251"/>
    <mergeCell ref="MZ287:NE287"/>
    <mergeCell ref="MZ322:NE322"/>
    <mergeCell ref="MZ358:NE358"/>
    <mergeCell ref="MZ393:NE393"/>
    <mergeCell ref="MG2:MM2"/>
    <mergeCell ref="MH3:MM3"/>
    <mergeCell ref="MH39:MM39"/>
    <mergeCell ref="MH73:MM73"/>
    <mergeCell ref="MH109:MM109"/>
    <mergeCell ref="MH144:MM144"/>
    <mergeCell ref="MH180:MM180"/>
    <mergeCell ref="MQ180:MV180"/>
    <mergeCell ref="MQ215:MV215"/>
    <mergeCell ref="MQ251:MV251"/>
    <mergeCell ref="MH215:MM215"/>
    <mergeCell ref="MH251:MM251"/>
    <mergeCell ref="MH287:MM287"/>
    <mergeCell ref="MH322:MM322"/>
    <mergeCell ref="MH358:MM358"/>
    <mergeCell ref="LP287:LU287"/>
    <mergeCell ref="LP322:LU322"/>
    <mergeCell ref="LP358:LU358"/>
    <mergeCell ref="LP393:LU393"/>
    <mergeCell ref="LX2:MD2"/>
    <mergeCell ref="LY3:MD3"/>
    <mergeCell ref="LY39:MD39"/>
    <mergeCell ref="LY73:MD73"/>
    <mergeCell ref="LY109:MD109"/>
    <mergeCell ref="LY144:MD144"/>
    <mergeCell ref="LY180:MD180"/>
    <mergeCell ref="LY215:MD215"/>
    <mergeCell ref="LY251:MD251"/>
    <mergeCell ref="LY287:MD287"/>
    <mergeCell ref="LY322:MD322"/>
    <mergeCell ref="LY358:MD358"/>
    <mergeCell ref="LY393:MD393"/>
    <mergeCell ref="LO2:LU2"/>
    <mergeCell ref="LP3:LU3"/>
    <mergeCell ref="LP39:LU39"/>
    <mergeCell ref="LP73:LU73"/>
    <mergeCell ref="LP109:LU109"/>
    <mergeCell ref="LP144:LU144"/>
    <mergeCell ref="LP180:LU180"/>
    <mergeCell ref="MQ287:MV287"/>
    <mergeCell ref="MQ322:MV322"/>
    <mergeCell ref="MQ358:MV358"/>
    <mergeCell ref="MQ393:MV393"/>
    <mergeCell ref="A1:C1"/>
    <mergeCell ref="CF215:CK215"/>
    <mergeCell ref="CF251:CK251"/>
    <mergeCell ref="CF287:CK287"/>
    <mergeCell ref="CF322:CK322"/>
    <mergeCell ref="CF358:CK358"/>
    <mergeCell ref="CF393:CK393"/>
    <mergeCell ref="CF3:CK3"/>
    <mergeCell ref="CF39:CK39"/>
    <mergeCell ref="CF73:CK73"/>
    <mergeCell ref="CF109:CK109"/>
    <mergeCell ref="CF144:CK144"/>
    <mergeCell ref="CF180:CK180"/>
    <mergeCell ref="BW215:CB215"/>
    <mergeCell ref="BW251:CB251"/>
    <mergeCell ref="BW287:CB287"/>
    <mergeCell ref="BW322:CB322"/>
    <mergeCell ref="BW358:CB358"/>
    <mergeCell ref="BW393:CB393"/>
    <mergeCell ref="BN358:BS358"/>
    <mergeCell ref="LP215:LU215"/>
    <mergeCell ref="LP251:LU251"/>
    <mergeCell ref="MP2:MV2"/>
    <mergeCell ref="MQ3:MV3"/>
    <mergeCell ref="MQ39:MV39"/>
    <mergeCell ref="MQ73:MV73"/>
    <mergeCell ref="MQ109:MV109"/>
    <mergeCell ref="MQ144:MV144"/>
    <mergeCell ref="BN393:BS393"/>
    <mergeCell ref="BV2:CB2"/>
    <mergeCell ref="CE2:CK2"/>
    <mergeCell ref="BW3:CB3"/>
    <mergeCell ref="BW39:CB39"/>
    <mergeCell ref="BW73:CB73"/>
    <mergeCell ref="BW109:CB109"/>
    <mergeCell ref="BW144:CB144"/>
    <mergeCell ref="BW180:CB180"/>
    <mergeCell ref="BN144:BS144"/>
    <mergeCell ref="BN180:BS180"/>
    <mergeCell ref="BN215:BS215"/>
    <mergeCell ref="BN251:BS251"/>
    <mergeCell ref="BM2:BS2"/>
    <mergeCell ref="BN3:BS3"/>
    <mergeCell ref="BN39:BS39"/>
    <mergeCell ref="BN73:BS73"/>
    <mergeCell ref="BN109:BS109"/>
    <mergeCell ref="BN287:BS287"/>
    <mergeCell ref="BN322:BS322"/>
    <mergeCell ref="AM393:AR393"/>
    <mergeCell ref="AV3:BA3"/>
    <mergeCell ref="AV39:BA39"/>
    <mergeCell ref="AV73:BA73"/>
    <mergeCell ref="AV109:BA109"/>
    <mergeCell ref="AV144:BA144"/>
    <mergeCell ref="AV393:BA393"/>
    <mergeCell ref="BE251:BJ251"/>
    <mergeCell ref="BE287:BJ287"/>
    <mergeCell ref="BE322:BJ322"/>
    <mergeCell ref="BE358:BJ358"/>
    <mergeCell ref="BE393:BJ393"/>
    <mergeCell ref="BE144:BJ144"/>
    <mergeCell ref="BE180:BJ180"/>
    <mergeCell ref="BE215:BJ215"/>
    <mergeCell ref="AM322:AR322"/>
    <mergeCell ref="AU2:BA2"/>
    <mergeCell ref="AV251:BA251"/>
    <mergeCell ref="AV287:BA287"/>
    <mergeCell ref="AV322:BA322"/>
    <mergeCell ref="AV358:BA358"/>
    <mergeCell ref="AL2:AR2"/>
    <mergeCell ref="AV180:BA180"/>
    <mergeCell ref="AV215:BA215"/>
    <mergeCell ref="AM358:AR358"/>
    <mergeCell ref="AM3:AR3"/>
    <mergeCell ref="AM39:AR39"/>
    <mergeCell ref="AM73:AR73"/>
    <mergeCell ref="AM109:AR109"/>
    <mergeCell ref="AM144:AR144"/>
    <mergeCell ref="AM180:AR180"/>
    <mergeCell ref="AM215:AR215"/>
    <mergeCell ref="AM251:AR251"/>
    <mergeCell ref="AM287:AR287"/>
    <mergeCell ref="BD2:BJ2"/>
    <mergeCell ref="BE3:BJ3"/>
    <mergeCell ref="BE39:BJ39"/>
    <mergeCell ref="BE73:BJ73"/>
    <mergeCell ref="BE109:BJ109"/>
    <mergeCell ref="AC2:AI2"/>
    <mergeCell ref="AD180:AI180"/>
    <mergeCell ref="AD215:AI215"/>
    <mergeCell ref="AD251:AI251"/>
    <mergeCell ref="AD287:AI287"/>
    <mergeCell ref="L322:Q322"/>
    <mergeCell ref="L358:Q358"/>
    <mergeCell ref="L393:Q393"/>
    <mergeCell ref="U3:Z3"/>
    <mergeCell ref="U39:Z39"/>
    <mergeCell ref="U73:Z73"/>
    <mergeCell ref="U109:Z109"/>
    <mergeCell ref="U144:Z144"/>
    <mergeCell ref="U180:Z180"/>
    <mergeCell ref="U215:Z215"/>
    <mergeCell ref="AD358:AI358"/>
    <mergeCell ref="AD393:AI393"/>
    <mergeCell ref="U251:Z251"/>
    <mergeCell ref="U287:Z287"/>
    <mergeCell ref="U322:Z322"/>
    <mergeCell ref="AD322:AI322"/>
    <mergeCell ref="AD3:AI3"/>
    <mergeCell ref="AD39:AI39"/>
    <mergeCell ref="AD73:AI73"/>
    <mergeCell ref="AD109:AI109"/>
    <mergeCell ref="AD144:AI144"/>
    <mergeCell ref="B2:H2"/>
    <mergeCell ref="K2:Q2"/>
    <mergeCell ref="T2:Z2"/>
    <mergeCell ref="C393:H393"/>
    <mergeCell ref="L3:Q3"/>
    <mergeCell ref="L39:Q39"/>
    <mergeCell ref="L73:Q73"/>
    <mergeCell ref="L109:Q109"/>
    <mergeCell ref="L144:Q144"/>
    <mergeCell ref="L180:Q180"/>
    <mergeCell ref="L215:Q215"/>
    <mergeCell ref="L251:Q251"/>
    <mergeCell ref="L287:Q287"/>
    <mergeCell ref="C180:H180"/>
    <mergeCell ref="C215:H215"/>
    <mergeCell ref="C251:H251"/>
    <mergeCell ref="C287:H287"/>
    <mergeCell ref="C322:H322"/>
    <mergeCell ref="C358:H358"/>
    <mergeCell ref="C3:H3"/>
    <mergeCell ref="C39:H39"/>
    <mergeCell ref="C73:H73"/>
    <mergeCell ref="C109:H109"/>
    <mergeCell ref="C144:H144"/>
    <mergeCell ref="U358:Z358"/>
    <mergeCell ref="U393:Z393"/>
    <mergeCell ref="CO287:CT287"/>
    <mergeCell ref="CO322:CT322"/>
    <mergeCell ref="CO358:CT358"/>
    <mergeCell ref="CO393:CT393"/>
    <mergeCell ref="CW2:DC2"/>
    <mergeCell ref="CX3:DC3"/>
    <mergeCell ref="CX39:DC39"/>
    <mergeCell ref="CX73:DC73"/>
    <mergeCell ref="CX109:DC109"/>
    <mergeCell ref="CX144:DC144"/>
    <mergeCell ref="CX180:DC180"/>
    <mergeCell ref="CX215:DC215"/>
    <mergeCell ref="CX251:DC251"/>
    <mergeCell ref="CX287:DC287"/>
    <mergeCell ref="CX322:DC322"/>
    <mergeCell ref="CX358:DC358"/>
    <mergeCell ref="CX393:DC393"/>
    <mergeCell ref="CN2:CT2"/>
    <mergeCell ref="CO3:CT3"/>
    <mergeCell ref="CO39:CT39"/>
    <mergeCell ref="CO73:CT73"/>
    <mergeCell ref="CO109:CT109"/>
    <mergeCell ref="CO144:CT144"/>
    <mergeCell ref="CO180:CT180"/>
    <mergeCell ref="CO215:CT215"/>
    <mergeCell ref="CO251:CT251"/>
    <mergeCell ref="DP180:DU180"/>
    <mergeCell ref="DG215:DL215"/>
    <mergeCell ref="DP215:DU215"/>
    <mergeCell ref="DG251:DL251"/>
    <mergeCell ref="DP251:DU251"/>
    <mergeCell ref="DG287:DL287"/>
    <mergeCell ref="DP287:DU287"/>
    <mergeCell ref="DF2:DL2"/>
    <mergeCell ref="DO2:DU2"/>
    <mergeCell ref="DG3:DL3"/>
    <mergeCell ref="DP3:DU3"/>
    <mergeCell ref="DG39:DL39"/>
    <mergeCell ref="DP39:DU39"/>
    <mergeCell ref="DG73:DL73"/>
    <mergeCell ref="DP73:DU73"/>
    <mergeCell ref="DG109:DL109"/>
    <mergeCell ref="DP109:DU109"/>
    <mergeCell ref="EH109:EM109"/>
    <mergeCell ref="EQ109:EV109"/>
    <mergeCell ref="EZ109:FE109"/>
    <mergeCell ref="FI109:FN109"/>
    <mergeCell ref="FR109:FW109"/>
    <mergeCell ref="EH144:EM144"/>
    <mergeCell ref="EQ144:EV144"/>
    <mergeCell ref="EZ144:FE144"/>
    <mergeCell ref="FI144:FN144"/>
    <mergeCell ref="FR144:FW144"/>
    <mergeCell ref="DG322:DL322"/>
    <mergeCell ref="DP322:DU322"/>
    <mergeCell ref="DG358:DL358"/>
    <mergeCell ref="DP358:DU358"/>
    <mergeCell ref="DG393:DL393"/>
    <mergeCell ref="DP393:DU393"/>
    <mergeCell ref="DX2:ED2"/>
    <mergeCell ref="DY3:ED3"/>
    <mergeCell ref="DY39:ED39"/>
    <mergeCell ref="DY73:ED73"/>
    <mergeCell ref="DY109:ED109"/>
    <mergeCell ref="DY144:ED144"/>
    <mergeCell ref="DY180:ED180"/>
    <mergeCell ref="DY215:ED215"/>
    <mergeCell ref="DY251:ED251"/>
    <mergeCell ref="DY287:ED287"/>
    <mergeCell ref="DY322:ED322"/>
    <mergeCell ref="DY358:ED358"/>
    <mergeCell ref="DY393:ED393"/>
    <mergeCell ref="DG144:DL144"/>
    <mergeCell ref="DP144:DU144"/>
    <mergeCell ref="DG180:DL180"/>
    <mergeCell ref="EQ358:EV358"/>
    <mergeCell ref="EZ358:FE358"/>
    <mergeCell ref="FI358:FN358"/>
    <mergeCell ref="FR358:FW358"/>
    <mergeCell ref="EH251:EM251"/>
    <mergeCell ref="EQ251:EV251"/>
    <mergeCell ref="EZ251:FE251"/>
    <mergeCell ref="FI251:FN251"/>
    <mergeCell ref="FR251:FW251"/>
    <mergeCell ref="EH287:EM287"/>
    <mergeCell ref="EQ287:EV287"/>
    <mergeCell ref="EZ287:FE287"/>
    <mergeCell ref="FI287:FN287"/>
    <mergeCell ref="FR287:FW287"/>
    <mergeCell ref="EH180:EM180"/>
    <mergeCell ref="EQ180:EV180"/>
    <mergeCell ref="EZ180:FE180"/>
    <mergeCell ref="FI180:FN180"/>
    <mergeCell ref="FR180:FW180"/>
    <mergeCell ref="EH215:EM215"/>
    <mergeCell ref="EQ215:EV215"/>
    <mergeCell ref="EZ215:FE215"/>
    <mergeCell ref="FI215:FN215"/>
    <mergeCell ref="FR215:FW215"/>
    <mergeCell ref="GJ287:GO287"/>
    <mergeCell ref="GS287:GX287"/>
    <mergeCell ref="HB287:HG287"/>
    <mergeCell ref="GA393:GF393"/>
    <mergeCell ref="GJ393:GO393"/>
    <mergeCell ref="GS393:GX393"/>
    <mergeCell ref="EG2:EM2"/>
    <mergeCell ref="EP2:EV2"/>
    <mergeCell ref="EY2:FE2"/>
    <mergeCell ref="FH2:FN2"/>
    <mergeCell ref="FQ2:FW2"/>
    <mergeCell ref="EH3:EM3"/>
    <mergeCell ref="EQ3:EV3"/>
    <mergeCell ref="EZ3:FE3"/>
    <mergeCell ref="FI3:FN3"/>
    <mergeCell ref="FR3:FW3"/>
    <mergeCell ref="EH39:EM39"/>
    <mergeCell ref="EQ39:EV39"/>
    <mergeCell ref="EZ39:FE39"/>
    <mergeCell ref="FI39:FN39"/>
    <mergeCell ref="FR39:FW39"/>
    <mergeCell ref="EH73:EM73"/>
    <mergeCell ref="EQ73:EV73"/>
    <mergeCell ref="EZ73:FE73"/>
    <mergeCell ref="FI73:FN73"/>
    <mergeCell ref="FR73:FW73"/>
    <mergeCell ref="EH322:EM322"/>
    <mergeCell ref="EQ322:EV322"/>
    <mergeCell ref="EZ322:FE322"/>
    <mergeCell ref="FI322:FN322"/>
    <mergeCell ref="FR322:FW322"/>
    <mergeCell ref="EH358:EM358"/>
    <mergeCell ref="GS144:GX144"/>
    <mergeCell ref="HB144:HG144"/>
    <mergeCell ref="HK144:HP144"/>
    <mergeCell ref="HJ2:HP2"/>
    <mergeCell ref="GA3:GF3"/>
    <mergeCell ref="GJ3:GO3"/>
    <mergeCell ref="GS3:GX3"/>
    <mergeCell ref="HB3:HG3"/>
    <mergeCell ref="HK3:HP3"/>
    <mergeCell ref="GA39:GF39"/>
    <mergeCell ref="GJ39:GO39"/>
    <mergeCell ref="GS39:GX39"/>
    <mergeCell ref="HB39:HG39"/>
    <mergeCell ref="HK39:HP39"/>
    <mergeCell ref="EH393:EM393"/>
    <mergeCell ref="EQ393:EV393"/>
    <mergeCell ref="EZ393:FE393"/>
    <mergeCell ref="FI393:FN393"/>
    <mergeCell ref="FR393:FW393"/>
    <mergeCell ref="FZ2:GF2"/>
    <mergeCell ref="GI2:GO2"/>
    <mergeCell ref="GR2:GX2"/>
    <mergeCell ref="HA2:HG2"/>
    <mergeCell ref="GA73:GF73"/>
    <mergeCell ref="GJ73:GO73"/>
    <mergeCell ref="GS73:GX73"/>
    <mergeCell ref="HB73:HG73"/>
    <mergeCell ref="GA180:GF180"/>
    <mergeCell ref="GJ180:GO180"/>
    <mergeCell ref="GS180:GX180"/>
    <mergeCell ref="HB180:HG180"/>
    <mergeCell ref="GA287:GF287"/>
    <mergeCell ref="HB393:HG393"/>
    <mergeCell ref="HK393:HP393"/>
    <mergeCell ref="HK287:HP287"/>
    <mergeCell ref="HK180:HP180"/>
    <mergeCell ref="HK73:HP73"/>
    <mergeCell ref="GA322:GF322"/>
    <mergeCell ref="GJ322:GO322"/>
    <mergeCell ref="GS322:GX322"/>
    <mergeCell ref="HB322:HG322"/>
    <mergeCell ref="HK322:HP322"/>
    <mergeCell ref="GA358:GF358"/>
    <mergeCell ref="GJ358:GO358"/>
    <mergeCell ref="GS358:GX358"/>
    <mergeCell ref="HB358:HG358"/>
    <mergeCell ref="HK358:HP358"/>
    <mergeCell ref="GA215:GF215"/>
    <mergeCell ref="GJ215:GO215"/>
    <mergeCell ref="GS215:GX215"/>
    <mergeCell ref="HB215:HG215"/>
    <mergeCell ref="HK215:HP215"/>
    <mergeCell ref="GA251:GF251"/>
    <mergeCell ref="GJ251:GO251"/>
    <mergeCell ref="GS251:GX251"/>
    <mergeCell ref="HB251:HG251"/>
    <mergeCell ref="HK251:HP251"/>
    <mergeCell ref="GA109:GF109"/>
    <mergeCell ref="GJ109:GO109"/>
    <mergeCell ref="GS109:GX109"/>
    <mergeCell ref="HB109:HG109"/>
    <mergeCell ref="HK109:HP109"/>
    <mergeCell ref="GA144:GF144"/>
    <mergeCell ref="GJ144:GO144"/>
    <mergeCell ref="HU287:HZ287"/>
    <mergeCell ref="HU322:HZ322"/>
    <mergeCell ref="HU358:HZ358"/>
    <mergeCell ref="HU393:HZ393"/>
    <mergeCell ref="IC2:II2"/>
    <mergeCell ref="ID3:II3"/>
    <mergeCell ref="ID39:II39"/>
    <mergeCell ref="ID73:II73"/>
    <mergeCell ref="ID109:II109"/>
    <mergeCell ref="ID144:II144"/>
    <mergeCell ref="ID180:II180"/>
    <mergeCell ref="ID215:II215"/>
    <mergeCell ref="ID251:II251"/>
    <mergeCell ref="ID287:II287"/>
    <mergeCell ref="ID322:II322"/>
    <mergeCell ref="ID358:II358"/>
    <mergeCell ref="ID393:II393"/>
    <mergeCell ref="HT2:HZ2"/>
    <mergeCell ref="HU3:HZ3"/>
    <mergeCell ref="HU39:HZ39"/>
    <mergeCell ref="HU73:HZ73"/>
    <mergeCell ref="HU109:HZ109"/>
    <mergeCell ref="HU144:HZ144"/>
    <mergeCell ref="HU180:HZ180"/>
    <mergeCell ref="HU215:HZ215"/>
    <mergeCell ref="HU251:HZ251"/>
    <mergeCell ref="JE73:JJ73"/>
    <mergeCell ref="JE109:JJ109"/>
    <mergeCell ref="JE144:JJ144"/>
    <mergeCell ref="JE180:JJ180"/>
    <mergeCell ref="JE215:JJ215"/>
    <mergeCell ref="JE251:JJ251"/>
    <mergeCell ref="IM287:IR287"/>
    <mergeCell ref="IM322:IR322"/>
    <mergeCell ref="IM358:IR358"/>
    <mergeCell ref="IM393:IR393"/>
    <mergeCell ref="IU2:JA2"/>
    <mergeCell ref="IV3:JA3"/>
    <mergeCell ref="IV39:JA39"/>
    <mergeCell ref="IV73:JA73"/>
    <mergeCell ref="IV109:JA109"/>
    <mergeCell ref="IV144:JA144"/>
    <mergeCell ref="IV180:JA180"/>
    <mergeCell ref="IV215:JA215"/>
    <mergeCell ref="IV251:JA251"/>
    <mergeCell ref="IV287:JA287"/>
    <mergeCell ref="IV322:JA322"/>
    <mergeCell ref="IV358:JA358"/>
    <mergeCell ref="IV393:JA393"/>
    <mergeCell ref="IL2:IR2"/>
    <mergeCell ref="IM3:IR3"/>
    <mergeCell ref="IM39:IR39"/>
    <mergeCell ref="IM73:IR73"/>
    <mergeCell ref="IM109:IR109"/>
    <mergeCell ref="IM144:IR144"/>
    <mergeCell ref="IM180:IR180"/>
    <mergeCell ref="IM215:IR215"/>
    <mergeCell ref="IM251:IR251"/>
    <mergeCell ref="JV2:KB2"/>
    <mergeCell ref="KE2:KK2"/>
    <mergeCell ref="KN2:KT2"/>
    <mergeCell ref="KW2:LC2"/>
    <mergeCell ref="JW3:KB3"/>
    <mergeCell ref="KF3:KK3"/>
    <mergeCell ref="KO3:KT3"/>
    <mergeCell ref="KX3:LC3"/>
    <mergeCell ref="JW39:KB39"/>
    <mergeCell ref="KF39:KK39"/>
    <mergeCell ref="KO39:KT39"/>
    <mergeCell ref="KX39:LC39"/>
    <mergeCell ref="JE287:JJ287"/>
    <mergeCell ref="JE322:JJ322"/>
    <mergeCell ref="JE358:JJ358"/>
    <mergeCell ref="JE393:JJ393"/>
    <mergeCell ref="JM2:JS2"/>
    <mergeCell ref="JN3:JS3"/>
    <mergeCell ref="JN39:JS39"/>
    <mergeCell ref="JN73:JS73"/>
    <mergeCell ref="JN109:JS109"/>
    <mergeCell ref="JN144:JS144"/>
    <mergeCell ref="JN180:JS180"/>
    <mergeCell ref="JN215:JS215"/>
    <mergeCell ref="JN251:JS251"/>
    <mergeCell ref="JN287:JS287"/>
    <mergeCell ref="JN322:JS322"/>
    <mergeCell ref="JN358:JS358"/>
    <mergeCell ref="JN393:JS393"/>
    <mergeCell ref="JD2:JJ2"/>
    <mergeCell ref="JE3:JJ3"/>
    <mergeCell ref="JE39:JJ39"/>
    <mergeCell ref="KF180:KK180"/>
    <mergeCell ref="KO180:KT180"/>
    <mergeCell ref="KX180:LC180"/>
    <mergeCell ref="JW215:KB215"/>
    <mergeCell ref="KF215:KK215"/>
    <mergeCell ref="KO215:KT215"/>
    <mergeCell ref="KX215:LC215"/>
    <mergeCell ref="JW251:KB251"/>
    <mergeCell ref="KF251:KK251"/>
    <mergeCell ref="KO251:KT251"/>
    <mergeCell ref="KX251:LC251"/>
    <mergeCell ref="JW73:KB73"/>
    <mergeCell ref="KF73:KK73"/>
    <mergeCell ref="KO73:KT73"/>
    <mergeCell ref="KX73:LC73"/>
    <mergeCell ref="JW109:KB109"/>
    <mergeCell ref="KF109:KK109"/>
    <mergeCell ref="KO109:KT109"/>
    <mergeCell ref="KX109:LC109"/>
    <mergeCell ref="JW144:KB144"/>
    <mergeCell ref="KF144:KK144"/>
    <mergeCell ref="KO144:KT144"/>
    <mergeCell ref="KX144:LC144"/>
    <mergeCell ref="CM1:CN1"/>
    <mergeCell ref="HS1:HT1"/>
    <mergeCell ref="JW393:KB393"/>
    <mergeCell ref="KF393:KK393"/>
    <mergeCell ref="KO393:KT393"/>
    <mergeCell ref="KX393:LC393"/>
    <mergeCell ref="LF2:LL2"/>
    <mergeCell ref="LG3:LL3"/>
    <mergeCell ref="LG39:LL39"/>
    <mergeCell ref="LG73:LL73"/>
    <mergeCell ref="LG109:LL109"/>
    <mergeCell ref="LG144:LL144"/>
    <mergeCell ref="LG180:LL180"/>
    <mergeCell ref="LG215:LL215"/>
    <mergeCell ref="LG251:LL251"/>
    <mergeCell ref="LG287:LL287"/>
    <mergeCell ref="LG322:LL322"/>
    <mergeCell ref="LG358:LL358"/>
    <mergeCell ref="LG393:LL393"/>
    <mergeCell ref="JW287:KB287"/>
    <mergeCell ref="KF287:KK287"/>
    <mergeCell ref="KO287:KT287"/>
    <mergeCell ref="KX287:LC287"/>
    <mergeCell ref="JW322:KB322"/>
    <mergeCell ref="KF322:KK322"/>
    <mergeCell ref="KO322:KT322"/>
    <mergeCell ref="KX322:LC322"/>
    <mergeCell ref="JW358:KB358"/>
    <mergeCell ref="KF358:KK358"/>
    <mergeCell ref="KO358:KT358"/>
    <mergeCell ref="KX358:LC358"/>
    <mergeCell ref="JW180:KB180"/>
    <mergeCell ref="NI393:NN393"/>
    <mergeCell ref="NZ2:OF2"/>
    <mergeCell ref="OA3:OF3"/>
    <mergeCell ref="OA39:OF39"/>
    <mergeCell ref="OA73:OF73"/>
    <mergeCell ref="OA109:OF109"/>
    <mergeCell ref="OA144:OF144"/>
    <mergeCell ref="OA180:OF180"/>
    <mergeCell ref="OA215:OF215"/>
    <mergeCell ref="OA251:OF251"/>
    <mergeCell ref="OA287:OF287"/>
    <mergeCell ref="OA322:OF322"/>
    <mergeCell ref="OA358:OF358"/>
    <mergeCell ref="OA393:OF393"/>
    <mergeCell ref="NH2:NN2"/>
    <mergeCell ref="NI3:NN3"/>
    <mergeCell ref="NI39:NN39"/>
    <mergeCell ref="NI73:NN73"/>
    <mergeCell ref="NI109:NN109"/>
    <mergeCell ref="NI144:NN144"/>
    <mergeCell ref="NI180:NN180"/>
    <mergeCell ref="NI215:NN215"/>
    <mergeCell ref="NI251:NN251"/>
    <mergeCell ref="NQ2:NW2"/>
    <mergeCell ref="NR393:NW393"/>
    <mergeCell ref="NR3:NW3"/>
    <mergeCell ref="NR39:NW39"/>
    <mergeCell ref="NR73:NW73"/>
    <mergeCell ref="NR109:NW109"/>
    <mergeCell ref="NR144:NW144"/>
    <mergeCell ref="NR180:NW180"/>
    <mergeCell ref="NR215:NW215"/>
    <mergeCell ref="OS215:OX215"/>
    <mergeCell ref="OS251:OX251"/>
    <mergeCell ref="NI287:NN287"/>
    <mergeCell ref="NI322:NN322"/>
    <mergeCell ref="NI358:NN358"/>
    <mergeCell ref="NR322:NW322"/>
    <mergeCell ref="NR358:NW358"/>
    <mergeCell ref="PB144:PG144"/>
    <mergeCell ref="PB180:PG180"/>
    <mergeCell ref="PB215:PG215"/>
    <mergeCell ref="PB251:PG251"/>
    <mergeCell ref="OJ287:OO287"/>
    <mergeCell ref="OJ322:OO322"/>
    <mergeCell ref="OJ358:OO358"/>
    <mergeCell ref="OS287:OX287"/>
    <mergeCell ref="OS322:OX322"/>
    <mergeCell ref="OS358:OX358"/>
    <mergeCell ref="NR251:NW251"/>
    <mergeCell ref="NR287:NW287"/>
    <mergeCell ref="PT144:PY144"/>
    <mergeCell ref="OI2:OO2"/>
    <mergeCell ref="OJ3:OO3"/>
    <mergeCell ref="OJ39:OO39"/>
    <mergeCell ref="PT215:PY215"/>
    <mergeCell ref="PT251:PY251"/>
    <mergeCell ref="PB287:PG287"/>
    <mergeCell ref="PB322:PG322"/>
    <mergeCell ref="PB358:PG358"/>
    <mergeCell ref="PB393:PG393"/>
    <mergeCell ref="PJ2:PP2"/>
    <mergeCell ref="PK3:PP3"/>
    <mergeCell ref="PK39:PP39"/>
    <mergeCell ref="PK73:PP73"/>
    <mergeCell ref="PK109:PP109"/>
    <mergeCell ref="PK144:PP144"/>
    <mergeCell ref="PK180:PP180"/>
    <mergeCell ref="PK215:PP215"/>
    <mergeCell ref="PK251:PP251"/>
    <mergeCell ref="PK287:PP287"/>
    <mergeCell ref="PK322:PP322"/>
    <mergeCell ref="PK358:PP358"/>
    <mergeCell ref="PK393:PP393"/>
    <mergeCell ref="PA2:PG2"/>
    <mergeCell ref="PB3:PG3"/>
    <mergeCell ref="OR2:OX2"/>
    <mergeCell ref="OS3:OX3"/>
    <mergeCell ref="OS39:OX39"/>
    <mergeCell ref="OS73:OX73"/>
    <mergeCell ref="OS109:OX109"/>
    <mergeCell ref="OS144:OX144"/>
    <mergeCell ref="OS180:OX180"/>
    <mergeCell ref="PT180:PY180"/>
    <mergeCell ref="QU287:QZ287"/>
    <mergeCell ref="QU322:QZ322"/>
    <mergeCell ref="QU358:QZ358"/>
    <mergeCell ref="QU393:QZ393"/>
    <mergeCell ref="QL287:QQ287"/>
    <mergeCell ref="QL322:QQ322"/>
    <mergeCell ref="QL358:QQ358"/>
    <mergeCell ref="QL393:QQ393"/>
    <mergeCell ref="PB109:PG109"/>
    <mergeCell ref="PT287:PY287"/>
    <mergeCell ref="PT322:PY322"/>
    <mergeCell ref="PT358:PY358"/>
    <mergeCell ref="PT393:PY393"/>
    <mergeCell ref="QB2:QH2"/>
    <mergeCell ref="QC3:QH3"/>
    <mergeCell ref="QC39:QH39"/>
    <mergeCell ref="QC73:QH73"/>
    <mergeCell ref="QC109:QH109"/>
    <mergeCell ref="QC144:QH144"/>
    <mergeCell ref="QC180:QH180"/>
    <mergeCell ref="QC215:QH215"/>
    <mergeCell ref="QC251:QH251"/>
    <mergeCell ref="QC287:QH287"/>
    <mergeCell ref="QC322:QH322"/>
    <mergeCell ref="QC358:QH358"/>
    <mergeCell ref="QC393:QH393"/>
    <mergeCell ref="PS2:PY2"/>
    <mergeCell ref="PT3:PY3"/>
    <mergeCell ref="PT39:PY39"/>
    <mergeCell ref="PT73:PY73"/>
    <mergeCell ref="PT109:PY109"/>
    <mergeCell ref="QT2:QZ2"/>
    <mergeCell ref="QU3:QZ3"/>
    <mergeCell ref="QU39:QZ39"/>
    <mergeCell ref="QU73:QZ73"/>
    <mergeCell ref="QU109:QZ109"/>
    <mergeCell ref="QU144:QZ144"/>
    <mergeCell ref="QU180:QZ180"/>
    <mergeCell ref="QU215:QZ215"/>
    <mergeCell ref="QU251:QZ251"/>
    <mergeCell ref="QK2:QQ2"/>
    <mergeCell ref="QL3:QQ3"/>
    <mergeCell ref="QL39:QQ39"/>
    <mergeCell ref="QL73:QQ73"/>
    <mergeCell ref="QL109:QQ109"/>
    <mergeCell ref="QL144:QQ144"/>
    <mergeCell ref="QL180:QQ180"/>
    <mergeCell ref="QL215:QQ215"/>
    <mergeCell ref="QL251:QQ251"/>
    <mergeCell ref="RV251:SA251"/>
    <mergeCell ref="RD287:RI287"/>
    <mergeCell ref="RD322:RI322"/>
    <mergeCell ref="RD358:RI358"/>
    <mergeCell ref="RD393:RI393"/>
    <mergeCell ref="RL2:RR2"/>
    <mergeCell ref="RM3:RR3"/>
    <mergeCell ref="RM39:RR39"/>
    <mergeCell ref="RM73:RR73"/>
    <mergeCell ref="RM109:RR109"/>
    <mergeCell ref="RM144:RR144"/>
    <mergeCell ref="RM180:RR180"/>
    <mergeCell ref="RM215:RR215"/>
    <mergeCell ref="RM251:RR251"/>
    <mergeCell ref="RM287:RR287"/>
    <mergeCell ref="RM322:RR322"/>
    <mergeCell ref="RM358:RR358"/>
    <mergeCell ref="RM393:RR393"/>
    <mergeCell ref="RC2:RI2"/>
    <mergeCell ref="RD3:RI3"/>
    <mergeCell ref="RD39:RI39"/>
    <mergeCell ref="RD73:RI73"/>
    <mergeCell ref="RD109:RI109"/>
    <mergeCell ref="RD144:RI144"/>
    <mergeCell ref="RD180:RI180"/>
    <mergeCell ref="RD215:RI215"/>
    <mergeCell ref="RD251:RI251"/>
    <mergeCell ref="SN39:SS39"/>
    <mergeCell ref="SN73:SS73"/>
    <mergeCell ref="SN109:SS109"/>
    <mergeCell ref="SN144:SS144"/>
    <mergeCell ref="SN180:SS180"/>
    <mergeCell ref="SN215:SS215"/>
    <mergeCell ref="SN251:SS251"/>
    <mergeCell ref="RV287:SA287"/>
    <mergeCell ref="RV322:SA322"/>
    <mergeCell ref="RV358:SA358"/>
    <mergeCell ref="RV393:SA393"/>
    <mergeCell ref="SD2:SJ2"/>
    <mergeCell ref="SE3:SJ3"/>
    <mergeCell ref="SE39:SJ39"/>
    <mergeCell ref="SE73:SJ73"/>
    <mergeCell ref="SE109:SJ109"/>
    <mergeCell ref="SE144:SJ144"/>
    <mergeCell ref="SE180:SJ180"/>
    <mergeCell ref="SE215:SJ215"/>
    <mergeCell ref="SE251:SJ251"/>
    <mergeCell ref="SE287:SJ287"/>
    <mergeCell ref="SE322:SJ322"/>
    <mergeCell ref="SE358:SJ358"/>
    <mergeCell ref="SE393:SJ393"/>
    <mergeCell ref="RU2:SA2"/>
    <mergeCell ref="RV3:SA3"/>
    <mergeCell ref="RV39:SA39"/>
    <mergeCell ref="RV73:SA73"/>
    <mergeCell ref="RV109:SA109"/>
    <mergeCell ref="RV144:SA144"/>
    <mergeCell ref="RV180:SA180"/>
    <mergeCell ref="RV215:SA215"/>
    <mergeCell ref="TF287:TK287"/>
    <mergeCell ref="TF322:TK322"/>
    <mergeCell ref="TF358:TK358"/>
    <mergeCell ref="TF393:TK393"/>
    <mergeCell ref="TE2:TK2"/>
    <mergeCell ref="TF3:TK3"/>
    <mergeCell ref="TF39:TK39"/>
    <mergeCell ref="TF73:TK73"/>
    <mergeCell ref="TF109:TK109"/>
    <mergeCell ref="TF144:TK144"/>
    <mergeCell ref="TF180:TK180"/>
    <mergeCell ref="TF215:TK215"/>
    <mergeCell ref="TF251:TK251"/>
    <mergeCell ref="SN287:SS287"/>
    <mergeCell ref="SN322:SS322"/>
    <mergeCell ref="SN358:SS358"/>
    <mergeCell ref="SN393:SS393"/>
    <mergeCell ref="SV2:TB2"/>
    <mergeCell ref="SW3:TB3"/>
    <mergeCell ref="SW39:TB39"/>
    <mergeCell ref="SW73:TB73"/>
    <mergeCell ref="SW109:TB109"/>
    <mergeCell ref="SW144:TB144"/>
    <mergeCell ref="SW180:TB180"/>
    <mergeCell ref="SW215:TB215"/>
    <mergeCell ref="SW251:TB251"/>
    <mergeCell ref="SW287:TB287"/>
    <mergeCell ref="SW322:TB322"/>
    <mergeCell ref="SW358:TB358"/>
    <mergeCell ref="SW393:TB393"/>
    <mergeCell ref="SM2:SS2"/>
    <mergeCell ref="SN3:SS3"/>
    <mergeCell ref="UG251:UL251"/>
    <mergeCell ref="TO287:TT287"/>
    <mergeCell ref="TO322:TT322"/>
    <mergeCell ref="TO358:TT358"/>
    <mergeCell ref="TO393:TT393"/>
    <mergeCell ref="TW2:UC2"/>
    <mergeCell ref="TX3:UC3"/>
    <mergeCell ref="TX39:UC39"/>
    <mergeCell ref="TX73:UC73"/>
    <mergeCell ref="TX109:UC109"/>
    <mergeCell ref="TX144:UC144"/>
    <mergeCell ref="TX180:UC180"/>
    <mergeCell ref="TX215:UC215"/>
    <mergeCell ref="TX251:UC251"/>
    <mergeCell ref="TX287:UC287"/>
    <mergeCell ref="TX322:UC322"/>
    <mergeCell ref="TX358:UC358"/>
    <mergeCell ref="TX393:UC393"/>
    <mergeCell ref="TN2:TT2"/>
    <mergeCell ref="TO3:TT3"/>
    <mergeCell ref="TO39:TT39"/>
    <mergeCell ref="TO73:TT73"/>
    <mergeCell ref="TO109:TT109"/>
    <mergeCell ref="TO144:TT144"/>
    <mergeCell ref="TO180:TT180"/>
    <mergeCell ref="TO215:TT215"/>
    <mergeCell ref="TO251:TT251"/>
    <mergeCell ref="UY39:VD39"/>
    <mergeCell ref="UY73:VD73"/>
    <mergeCell ref="UY109:VD109"/>
    <mergeCell ref="UY144:VD144"/>
    <mergeCell ref="UY180:VD180"/>
    <mergeCell ref="UY215:VD215"/>
    <mergeCell ref="UY251:VD251"/>
    <mergeCell ref="UG287:UL287"/>
    <mergeCell ref="UG322:UL322"/>
    <mergeCell ref="UG358:UL358"/>
    <mergeCell ref="UG393:UL393"/>
    <mergeCell ref="UO2:UU2"/>
    <mergeCell ref="UP3:UU3"/>
    <mergeCell ref="UP39:UU39"/>
    <mergeCell ref="UP73:UU73"/>
    <mergeCell ref="UP109:UU109"/>
    <mergeCell ref="UP144:UU144"/>
    <mergeCell ref="UP180:UU180"/>
    <mergeCell ref="UP215:UU215"/>
    <mergeCell ref="UP251:UU251"/>
    <mergeCell ref="UP287:UU287"/>
    <mergeCell ref="UP322:UU322"/>
    <mergeCell ref="UP358:UU358"/>
    <mergeCell ref="UP393:UU393"/>
    <mergeCell ref="UF2:UL2"/>
    <mergeCell ref="UG3:UL3"/>
    <mergeCell ref="UG39:UL39"/>
    <mergeCell ref="UG73:UL73"/>
    <mergeCell ref="UG109:UL109"/>
    <mergeCell ref="UG144:UL144"/>
    <mergeCell ref="UG180:UL180"/>
    <mergeCell ref="UG215:UL215"/>
    <mergeCell ref="VQ287:VV287"/>
    <mergeCell ref="VQ322:VV322"/>
    <mergeCell ref="VQ358:VV358"/>
    <mergeCell ref="VQ393:VV393"/>
    <mergeCell ref="VP2:VV2"/>
    <mergeCell ref="VQ3:VV3"/>
    <mergeCell ref="VQ39:VV39"/>
    <mergeCell ref="VQ73:VV73"/>
    <mergeCell ref="VQ109:VV109"/>
    <mergeCell ref="VQ144:VV144"/>
    <mergeCell ref="VQ180:VV180"/>
    <mergeCell ref="VQ215:VV215"/>
    <mergeCell ref="VQ251:VV251"/>
    <mergeCell ref="UY287:VD287"/>
    <mergeCell ref="UY322:VD322"/>
    <mergeCell ref="UY358:VD358"/>
    <mergeCell ref="UY393:VD393"/>
    <mergeCell ref="VG2:VM2"/>
    <mergeCell ref="VH3:VM3"/>
    <mergeCell ref="VH39:VM39"/>
    <mergeCell ref="VH73:VM73"/>
    <mergeCell ref="VH109:VM109"/>
    <mergeCell ref="VH144:VM144"/>
    <mergeCell ref="VH180:VM180"/>
    <mergeCell ref="VH215:VM215"/>
    <mergeCell ref="VH251:VM251"/>
    <mergeCell ref="VH287:VM287"/>
    <mergeCell ref="VH322:VM322"/>
    <mergeCell ref="VH358:VM358"/>
    <mergeCell ref="VH393:VM393"/>
    <mergeCell ref="UX2:VD2"/>
    <mergeCell ref="UY3:VD3"/>
    <mergeCell ref="XJ287:XO287"/>
    <mergeCell ref="XJ322:XO322"/>
    <mergeCell ref="XJ358:XO358"/>
    <mergeCell ref="XJ393:XO393"/>
    <mergeCell ref="XR2:XX2"/>
    <mergeCell ref="XS3:XX3"/>
    <mergeCell ref="XS39:XX39"/>
    <mergeCell ref="XS73:XX73"/>
    <mergeCell ref="XS109:XX109"/>
    <mergeCell ref="XS144:XX144"/>
    <mergeCell ref="XS180:XX180"/>
    <mergeCell ref="XS215:XX215"/>
    <mergeCell ref="XS251:XX251"/>
    <mergeCell ref="XS287:XX287"/>
    <mergeCell ref="XS322:XX322"/>
    <mergeCell ref="XS358:XX358"/>
    <mergeCell ref="XS393:XX393"/>
    <mergeCell ref="XI2:XO2"/>
    <mergeCell ref="XJ3:XO3"/>
    <mergeCell ref="XJ39:XO39"/>
    <mergeCell ref="XJ73:XO73"/>
    <mergeCell ref="XJ109:XO109"/>
    <mergeCell ref="XJ144:XO144"/>
    <mergeCell ref="XJ180:XO180"/>
    <mergeCell ref="XJ215:XO215"/>
    <mergeCell ref="XJ251:XO251"/>
    <mergeCell ref="YB287:YG287"/>
    <mergeCell ref="YB322:YG322"/>
    <mergeCell ref="YB358:YG358"/>
    <mergeCell ref="YB393:YG393"/>
    <mergeCell ref="YJ2:YP2"/>
    <mergeCell ref="YK3:YP3"/>
    <mergeCell ref="YK39:YP39"/>
    <mergeCell ref="YK73:YP73"/>
    <mergeCell ref="YK109:YP109"/>
    <mergeCell ref="YK144:YP144"/>
    <mergeCell ref="YK180:YP180"/>
    <mergeCell ref="YK215:YP215"/>
    <mergeCell ref="YK251:YP251"/>
    <mergeCell ref="YK287:YP287"/>
    <mergeCell ref="YK322:YP322"/>
    <mergeCell ref="YK358:YP358"/>
    <mergeCell ref="YK393:YP393"/>
    <mergeCell ref="YA2:YG2"/>
    <mergeCell ref="YB3:YG3"/>
    <mergeCell ref="YB39:YG39"/>
    <mergeCell ref="YB73:YG73"/>
    <mergeCell ref="YB109:YG109"/>
    <mergeCell ref="YB144:YG144"/>
    <mergeCell ref="YB180:YG180"/>
    <mergeCell ref="YB215:YG215"/>
    <mergeCell ref="YB251:YG251"/>
    <mergeCell ref="YT287:YY287"/>
    <mergeCell ref="YT322:YY322"/>
    <mergeCell ref="YT358:YY358"/>
    <mergeCell ref="YT393:YY393"/>
    <mergeCell ref="ZB2:ZH2"/>
    <mergeCell ref="ZC3:ZH3"/>
    <mergeCell ref="ZC39:ZH39"/>
    <mergeCell ref="ZC73:ZH73"/>
    <mergeCell ref="ZC109:ZH109"/>
    <mergeCell ref="ZC144:ZH144"/>
    <mergeCell ref="ZC180:ZH180"/>
    <mergeCell ref="ZC215:ZH215"/>
    <mergeCell ref="ZC251:ZH251"/>
    <mergeCell ref="ZC287:ZH287"/>
    <mergeCell ref="ZC322:ZH322"/>
    <mergeCell ref="ZC358:ZH358"/>
    <mergeCell ref="ZC393:ZH393"/>
    <mergeCell ref="YS2:YY2"/>
    <mergeCell ref="YT3:YY3"/>
    <mergeCell ref="YT39:YY39"/>
    <mergeCell ref="YT73:YY73"/>
    <mergeCell ref="YT109:YY109"/>
    <mergeCell ref="YT144:YY144"/>
    <mergeCell ref="YT180:YY180"/>
    <mergeCell ref="YT215:YY215"/>
    <mergeCell ref="YT251:YY251"/>
    <mergeCell ref="ZL287:ZQ287"/>
    <mergeCell ref="ZL322:ZQ322"/>
    <mergeCell ref="ZL358:ZQ358"/>
    <mergeCell ref="ZL393:ZQ393"/>
    <mergeCell ref="ZT2:ZZ2"/>
    <mergeCell ref="ZU3:ZZ3"/>
    <mergeCell ref="ZU39:ZZ39"/>
    <mergeCell ref="ZU73:ZZ73"/>
    <mergeCell ref="ZU109:ZZ109"/>
    <mergeCell ref="ZU144:ZZ144"/>
    <mergeCell ref="ZU180:ZZ180"/>
    <mergeCell ref="ZU215:ZZ215"/>
    <mergeCell ref="ZU251:ZZ251"/>
    <mergeCell ref="ZU287:ZZ287"/>
    <mergeCell ref="ZU322:ZZ322"/>
    <mergeCell ref="ZU358:ZZ358"/>
    <mergeCell ref="ZU393:ZZ393"/>
    <mergeCell ref="ZK2:ZQ2"/>
    <mergeCell ref="ZL3:ZQ3"/>
    <mergeCell ref="ZL39:ZQ39"/>
    <mergeCell ref="ZL73:ZQ73"/>
    <mergeCell ref="ZL109:ZQ109"/>
    <mergeCell ref="ZL144:ZQ144"/>
    <mergeCell ref="ZL180:ZQ180"/>
    <mergeCell ref="ZL215:ZQ215"/>
    <mergeCell ref="ZL251:ZQ251"/>
    <mergeCell ref="AAD287:AAI287"/>
    <mergeCell ref="AAD322:AAI322"/>
    <mergeCell ref="AAD358:AAI358"/>
    <mergeCell ref="AAD393:AAI393"/>
    <mergeCell ref="AAL2:AAR2"/>
    <mergeCell ref="AAM3:AAR3"/>
    <mergeCell ref="AAM39:AAR39"/>
    <mergeCell ref="AAM73:AAR73"/>
    <mergeCell ref="AAM109:AAR109"/>
    <mergeCell ref="AAM144:AAR144"/>
    <mergeCell ref="AAM180:AAR180"/>
    <mergeCell ref="AAM215:AAR215"/>
    <mergeCell ref="AAM251:AAR251"/>
    <mergeCell ref="AAM287:AAR287"/>
    <mergeCell ref="AAM322:AAR322"/>
    <mergeCell ref="AAM358:AAR358"/>
    <mergeCell ref="AAM393:AAR393"/>
    <mergeCell ref="AAC2:AAI2"/>
    <mergeCell ref="AAD3:AAI3"/>
    <mergeCell ref="AAD39:AAI39"/>
    <mergeCell ref="AAD73:AAI73"/>
    <mergeCell ref="AAD109:AAI109"/>
    <mergeCell ref="AAD144:AAI144"/>
    <mergeCell ref="AAD180:AAI180"/>
    <mergeCell ref="AAD215:AAI215"/>
    <mergeCell ref="AAD251:AAI251"/>
    <mergeCell ref="AAV287:ABA287"/>
    <mergeCell ref="AAV322:ABA322"/>
    <mergeCell ref="AAV358:ABA358"/>
    <mergeCell ref="AAV393:ABA393"/>
    <mergeCell ref="ABD2:ABJ2"/>
    <mergeCell ref="ABE3:ABJ3"/>
    <mergeCell ref="ABE39:ABJ39"/>
    <mergeCell ref="ABE73:ABJ73"/>
    <mergeCell ref="ABE109:ABJ109"/>
    <mergeCell ref="ABE144:ABJ144"/>
    <mergeCell ref="ABE180:ABJ180"/>
    <mergeCell ref="ABE215:ABJ215"/>
    <mergeCell ref="ABE251:ABJ251"/>
    <mergeCell ref="ABE287:ABJ287"/>
    <mergeCell ref="ABE322:ABJ322"/>
    <mergeCell ref="ABE358:ABJ358"/>
    <mergeCell ref="ABE393:ABJ393"/>
    <mergeCell ref="AAU2:ABA2"/>
    <mergeCell ref="AAV3:ABA3"/>
    <mergeCell ref="AAV39:ABA39"/>
    <mergeCell ref="AAV73:ABA73"/>
    <mergeCell ref="AAV109:ABA109"/>
    <mergeCell ref="AAV144:ABA144"/>
    <mergeCell ref="AAV180:ABA180"/>
    <mergeCell ref="AAV215:ABA215"/>
    <mergeCell ref="AAV251:ABA251"/>
  </mergeCells>
  <printOptions horizontalCentered="1"/>
  <pageMargins left="0.70866141732283472" right="7.874015748031496E-2" top="0.19685039370078741" bottom="0.19685039370078741" header="0" footer="0"/>
  <pageSetup paperSize="9" scale="10" orientation="portrait" blackAndWhite="1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E101"/>
  <sheetViews>
    <sheetView zoomScale="80" zoomScaleNormal="80" workbookViewId="0">
      <pane xSplit="1" ySplit="3" topLeftCell="B46" activePane="bottomRight" state="frozen"/>
      <selection pane="bottomRight" activeCell="E50" sqref="E50"/>
      <selection pane="bottomLeft" activeCell="A4" sqref="A4"/>
      <selection pane="topRight" activeCell="B1" sqref="B1"/>
    </sheetView>
  </sheetViews>
  <sheetFormatPr defaultColWidth="9.28515625" defaultRowHeight="15.6" outlineLevelRow="1" outlineLevelCol="1"/>
  <cols>
    <col min="1" max="1" width="20.7109375" style="4" customWidth="1"/>
    <col min="2" max="19" width="20.7109375" style="4" customWidth="1" outlineLevel="1"/>
    <col min="20" max="36" width="20.7109375" style="1" customWidth="1" outlineLevel="1"/>
    <col min="37" max="83" width="20.7109375" style="1" customWidth="1"/>
    <col min="84" max="16384" width="9.28515625" style="1"/>
  </cols>
  <sheetData>
    <row r="1" spans="1:83" s="21" customFormat="1" ht="50.1" customHeight="1">
      <c r="A1" s="538"/>
      <c r="B1" s="850" t="s">
        <v>311</v>
      </c>
      <c r="C1" s="850"/>
      <c r="D1" s="850"/>
      <c r="E1" s="850"/>
      <c r="F1" s="850"/>
      <c r="G1" s="850"/>
      <c r="H1" s="850"/>
      <c r="I1" s="850"/>
      <c r="J1" s="850"/>
      <c r="K1" s="850"/>
      <c r="L1" s="848"/>
      <c r="M1" s="848"/>
      <c r="N1" s="848"/>
      <c r="O1" s="848"/>
      <c r="P1" s="848"/>
      <c r="Q1" s="848"/>
      <c r="R1" s="848"/>
      <c r="S1" s="848"/>
      <c r="T1" s="848"/>
      <c r="U1" s="848"/>
      <c r="V1" s="848"/>
      <c r="W1" s="848"/>
      <c r="X1" s="848"/>
      <c r="Y1" s="848"/>
      <c r="Z1" s="848"/>
      <c r="AA1" s="851"/>
      <c r="AB1" s="851"/>
      <c r="AC1" s="851"/>
      <c r="AD1" s="851"/>
      <c r="AE1" s="851"/>
      <c r="AF1" s="851"/>
      <c r="AG1" s="851"/>
      <c r="AH1" s="851"/>
      <c r="AI1" s="851"/>
      <c r="AJ1" s="851"/>
      <c r="AK1" s="851"/>
      <c r="AL1" s="495"/>
      <c r="AM1" s="495"/>
      <c r="AN1" s="495"/>
      <c r="AO1" s="495"/>
      <c r="AP1" s="495"/>
    </row>
    <row r="2" spans="1:83" ht="16.149999999999999" thickBot="1">
      <c r="B2" s="849"/>
      <c r="C2" s="849"/>
      <c r="D2" s="849"/>
      <c r="E2" s="849"/>
      <c r="F2" s="849"/>
      <c r="G2" s="849"/>
      <c r="H2" s="849"/>
      <c r="I2" s="849"/>
      <c r="J2" s="849"/>
      <c r="K2" s="849"/>
    </row>
    <row r="3" spans="1:83" s="6" customFormat="1" ht="63" customHeight="1" thickBot="1">
      <c r="A3" s="539" t="s">
        <v>312</v>
      </c>
      <c r="B3" s="215" t="str">
        <f>PRODUCE!$EA$7</f>
        <v>MAIZE/CORN</v>
      </c>
      <c r="C3" s="216" t="str">
        <f>PRODUCE!$EA$8</f>
        <v>SOYBEAN MEAL (ARG)</v>
      </c>
      <c r="D3" s="217" t="str">
        <f>PRODUCE!$EA$9</f>
        <v>SOYBEAN FULL FAT</v>
      </c>
      <c r="E3" s="218" t="str">
        <f>PRODUCE!$EA$10</f>
        <v>WHEAT POLLARD</v>
      </c>
      <c r="F3" s="219" t="str">
        <f>PRODUCE!$EA$11</f>
        <v>WHEAT</v>
      </c>
      <c r="G3" s="220" t="str">
        <f>PRODUCE!$EA$12</f>
        <v>MEAT AND BONE MEAL</v>
      </c>
      <c r="H3" s="221" t="str">
        <f>PRODUCE!$EA$13</f>
        <v>CORN GLUTEN MEAL</v>
      </c>
      <c r="I3" s="222" t="str">
        <f>PRODUCE!$EA$14</f>
        <v>MEGAFAT (HARUMI)</v>
      </c>
      <c r="J3" s="223" t="str">
        <f>PRODUCE!$EA$15</f>
        <v>DCP 18%</v>
      </c>
      <c r="K3" s="224" t="str">
        <f>PRODUCE!$EA$16</f>
        <v>LIMESTONE POWDER (HARUMI)</v>
      </c>
      <c r="L3" s="225" t="str">
        <f>PRODUCE!$EA$17</f>
        <v>CHOLINE CHLORIDE 60%</v>
      </c>
      <c r="M3" s="226" t="str">
        <f>PRODUCE!$EA$18</f>
        <v>INDUSTRY FLOUR</v>
      </c>
      <c r="N3" s="227" t="str">
        <f>PRODUCE!$EA$19</f>
        <v>RICE BRAN</v>
      </c>
      <c r="O3" s="228" t="str">
        <f>PRODUCE!$EA$20</f>
        <v>EP 200</v>
      </c>
      <c r="P3" s="229" t="str">
        <f>PRODUCE!EA21</f>
        <v>SOYTIDE</v>
      </c>
      <c r="Q3" s="230" t="str">
        <f>PRODUCE!$EA$22</f>
        <v>DCP 18% (HARUMI)</v>
      </c>
      <c r="R3" s="231">
        <f>PRODUCE!$EA$23</f>
        <v>1</v>
      </c>
      <c r="S3" s="232">
        <f>PRODUCE!$EA$24</f>
        <v>2</v>
      </c>
      <c r="T3" s="233">
        <f>PRODUCE!$EA$25</f>
        <v>3</v>
      </c>
      <c r="U3" s="234" t="str">
        <f>PRODUCE!$EA$26</f>
        <v>PREMIX 1101 (20KG)</v>
      </c>
      <c r="V3" s="235" t="str">
        <f>PRODUCE!$EA$27</f>
        <v>PREMIX 1102 (20KG)</v>
      </c>
      <c r="W3" s="236" t="str">
        <f>PRODUCE!$EA$28</f>
        <v>PREMIX 1103 (20KG)</v>
      </c>
      <c r="X3" s="237" t="str">
        <f>PRODUCE!$EA$29</f>
        <v>PREMIX 311 (20KG)</v>
      </c>
      <c r="Y3" s="238" t="str">
        <f>PRODUCE!$EA$30</f>
        <v>PREMIX 312 (20KG)</v>
      </c>
      <c r="Z3" s="239">
        <f>PRODUCE!$EA$31</f>
        <v>1</v>
      </c>
      <c r="AA3" s="240" t="str">
        <f>PRODUCE!$EA$32</f>
        <v>PREMIX 8100 (20KG)</v>
      </c>
      <c r="AB3" s="240" t="str">
        <f>PRODUCE!$EA$33</f>
        <v>PREMIX 8101 (20KG)</v>
      </c>
      <c r="AC3" s="240" t="str">
        <f>PRODUCE!$EA$34</f>
        <v>PREMIX 8102 (20KG)</v>
      </c>
      <c r="AD3" s="240" t="str">
        <f>PRODUCE!$EA$35</f>
        <v>PREMIX 8103 (20KG)</v>
      </c>
      <c r="AE3" s="240" t="str">
        <f>PRODUCE!$EA$36</f>
        <v>PREMIX 8108 (20KG)</v>
      </c>
      <c r="AF3" s="240" t="str">
        <f>PRODUCE!$EA$37</f>
        <v>PREMIX 8109 (20KG)</v>
      </c>
      <c r="AG3" s="389" t="str">
        <f>PRODUCE!$EA$38</f>
        <v>YENMIX 121 (20KG)</v>
      </c>
      <c r="AH3" s="350" t="str">
        <f>PRODUCE!$EA$39</f>
        <v>YENMIX 122 (19.50KG)</v>
      </c>
      <c r="AI3" s="390" t="str">
        <f>PRODUCE!$EA$40</f>
        <v>YENMIX 123 (18.90KG)</v>
      </c>
      <c r="AJ3" s="240" t="str">
        <f>PRODUCE!$EA$41</f>
        <v>YENMIX 122 (20.50KG)</v>
      </c>
      <c r="AK3" s="240" t="str">
        <f>PRODUCE!$EA$42</f>
        <v>YENMIX 123 (20.00KG)</v>
      </c>
      <c r="AL3" s="240">
        <f>PRODUCE!$EA$43</f>
        <v>1</v>
      </c>
      <c r="AM3" s="240">
        <f>PRODUCE!$EA$44</f>
        <v>2</v>
      </c>
      <c r="AN3" s="240">
        <f>PRODUCE!$EA$45</f>
        <v>3</v>
      </c>
      <c r="AO3" s="240" t="str">
        <f>PRODUCE!$EA$46</f>
        <v>TOXISORB PREMIUM</v>
      </c>
      <c r="AP3" s="240" t="str">
        <f>PRODUCE!$EA$47</f>
        <v>SODIUM HUMATE 3.8% (HARUMI)</v>
      </c>
      <c r="AQ3" s="240" t="str">
        <f>PRODUCE!$EA$48</f>
        <v>TOXIWALL</v>
      </c>
      <c r="AR3" s="240" t="str">
        <f>PRODUCE!$EA$49</f>
        <v>SODIUM BICARBONATE</v>
      </c>
      <c r="AS3" s="240" t="str">
        <f>PRODUCE!$EA$50</f>
        <v>BMD 10%</v>
      </c>
      <c r="AT3" s="240" t="str">
        <f>PRODUCE!$EA$51</f>
        <v>SALT (HARUMI)</v>
      </c>
      <c r="AU3" s="240" t="str">
        <f>PRODUCE!$EA$52</f>
        <v>VISTABET 91</v>
      </c>
      <c r="AV3" s="240" t="str">
        <f>PRODUCE!$EA$53</f>
        <v>BETAFIN</v>
      </c>
      <c r="AW3" s="240" t="str">
        <f>PRODUCE!$EA$54</f>
        <v>8101 TOP UP</v>
      </c>
      <c r="AX3" s="240" t="str">
        <f>PRODUCE!$EA$55</f>
        <v>NORPONIN X03 (8102 TOP UP)</v>
      </c>
      <c r="AY3" s="240" t="str">
        <f>PRODUCE!$EA$56</f>
        <v>8102 TOP UP (4KG)</v>
      </c>
      <c r="AZ3" s="240" t="str">
        <f>PRODUCE!$EA$57</f>
        <v>8103 TOP UP (5KG)</v>
      </c>
      <c r="BA3" s="240" t="str">
        <f>PRODUCE!$EA$58</f>
        <v>L-ARGININE</v>
      </c>
      <c r="BB3" s="240" t="str">
        <f>PRODUCE!$EA$59</f>
        <v>DL-METHIONINE</v>
      </c>
      <c r="BC3" s="240" t="str">
        <f>PRODUCE!$EA$60</f>
        <v>L-THREONINE</v>
      </c>
      <c r="BD3" s="240" t="str">
        <f>PRODUCE!$EA$61</f>
        <v>L-LYSINE</v>
      </c>
      <c r="BE3" s="240" t="str">
        <f>PRODUCE!$EA$62</f>
        <v>FAECES DRY</v>
      </c>
      <c r="BF3" s="240" t="str">
        <f>PRODUCE!$EA$63</f>
        <v>ECOBIOL</v>
      </c>
      <c r="BG3" s="240" t="str">
        <f>PRODUCE!$EA$64</f>
        <v>ADDITIVE BROILER IMMUNE</v>
      </c>
      <c r="BH3" s="240" t="str">
        <f>PRODUCE!$EA$65</f>
        <v>MASTER CUBE (HARUMI)</v>
      </c>
      <c r="BI3" s="240" t="str">
        <f>PRODUCE!$EA$66</f>
        <v>1101 TOP UP (0.40KG)</v>
      </c>
      <c r="BJ3" s="240" t="str">
        <f>PRODUCE!$EA$67</f>
        <v>1102 TOP UP (0.60KG)</v>
      </c>
      <c r="BK3" s="240" t="str">
        <f>PRODUCE!$EA$68</f>
        <v>1103 TOP UP (2.00KG)</v>
      </c>
      <c r="BL3" s="240" t="str">
        <f>PRODUCE!$EA$69</f>
        <v>QUANTUM GLO 4%</v>
      </c>
      <c r="BM3" s="240" t="str">
        <f>PRODUCE!$EA$70</f>
        <v>SALT</v>
      </c>
      <c r="BN3" s="240" t="str">
        <f>PRODUCE!$EA$71</f>
        <v>OC 200 - OXYTET 20%</v>
      </c>
      <c r="BO3" s="240">
        <f>PRODUCE!$EA$72</f>
        <v>3</v>
      </c>
      <c r="BP3" s="387">
        <f>PRODUCE!$EA$73</f>
        <v>4</v>
      </c>
      <c r="BQ3" s="392" t="str">
        <f>PRODUCE!$EA$74</f>
        <v>WOVEN BAG (1101) - BLUE 50KG</v>
      </c>
      <c r="BR3" s="391" t="str">
        <f>PRODUCE!$EA$75</f>
        <v>WOVEN BAG (1102) - GREEN 50KG</v>
      </c>
      <c r="BS3" s="388" t="str">
        <f>PRODUCE!$EA$76</f>
        <v>WOVEN BAG (1103) - RED 50KG</v>
      </c>
      <c r="BT3" s="389" t="str">
        <f>PRODUCE!$EA$77</f>
        <v>PLAIN BAG 26" X 39" (50KG)</v>
      </c>
      <c r="BU3" s="350" t="str">
        <f>PRODUCE!$EA$78</f>
        <v>WOVEN BAG (8101) - KHAKI 50KG</v>
      </c>
      <c r="BV3" s="390" t="str">
        <f>PRODUCE!$EA$79</f>
        <v>WOVEN BAG (8102) - SKY BLUE 50KG</v>
      </c>
      <c r="BW3" s="240" t="str">
        <f>PRODUCE!$EA$80</f>
        <v>WOVEN BAG (8103) - BROWN 50KG</v>
      </c>
      <c r="BX3" s="240">
        <f>PRODUCE!$EA$81</f>
        <v>1</v>
      </c>
      <c r="BY3" s="240">
        <f>PRODUCE!$EA$82</f>
        <v>2</v>
      </c>
      <c r="BZ3" s="240">
        <f>PRODUCE!$EA$83</f>
        <v>3</v>
      </c>
      <c r="CA3" s="240">
        <f>PRODUCE!$EA$84</f>
        <v>4</v>
      </c>
      <c r="CB3" s="240">
        <f>PRODUCE!$EA$85</f>
        <v>5</v>
      </c>
      <c r="CC3" s="240">
        <f>PRODUCE!$EA$86</f>
        <v>6</v>
      </c>
      <c r="CD3" s="240">
        <f>PRODUCE!$EA$87</f>
        <v>7</v>
      </c>
      <c r="CE3" s="240">
        <f>PRODUCE!$EA$88</f>
        <v>8</v>
      </c>
    </row>
    <row r="4" spans="1:83" s="531" customFormat="1" outlineLevel="1">
      <c r="A4" s="536" t="s">
        <v>313</v>
      </c>
      <c r="B4" s="530">
        <f>'VAC &amp; MED'!H5</f>
        <v>47850.2</v>
      </c>
      <c r="C4" s="530">
        <f>'VAC &amp; MED'!Q5</f>
        <v>8696.2000000000007</v>
      </c>
      <c r="D4" s="530">
        <f>'VAC &amp; MED'!Z5</f>
        <v>40371.299999999996</v>
      </c>
      <c r="E4" s="530">
        <f>'VAC &amp; MED'!AI5</f>
        <v>33793.700000000012</v>
      </c>
      <c r="F4" s="530">
        <f>'VAC &amp; MED'!AR5</f>
        <v>0</v>
      </c>
      <c r="G4" s="530">
        <f>'VAC &amp; MED'!BA5</f>
        <v>29510.099999999991</v>
      </c>
      <c r="H4" s="530">
        <f>'VAC &amp; MED'!BJ5</f>
        <v>6360.0000000000073</v>
      </c>
      <c r="I4" s="530">
        <f>'VAC &amp; MED'!BS5</f>
        <v>0</v>
      </c>
      <c r="J4" s="530">
        <f>'VAC &amp; MED'!CB5</f>
        <v>512.5</v>
      </c>
      <c r="K4" s="530">
        <f>'VAC &amp; MED'!CK5</f>
        <v>0</v>
      </c>
      <c r="L4" s="530">
        <f>'VAC &amp; MED'!CT5</f>
        <v>0</v>
      </c>
      <c r="M4" s="530">
        <f>'VAC &amp; MED'!DC5</f>
        <v>0</v>
      </c>
      <c r="N4" s="530">
        <f>'VAC &amp; MED'!DL5</f>
        <v>31341.199999999997</v>
      </c>
      <c r="O4" s="530">
        <f>'VAC &amp; MED'!DU5</f>
        <v>0</v>
      </c>
      <c r="P4" s="530">
        <f>'VAC &amp; MED'!ED5</f>
        <v>0</v>
      </c>
      <c r="Q4" s="530">
        <f>'VAC &amp; MED'!EM5</f>
        <v>0</v>
      </c>
      <c r="R4" s="530">
        <f>'VAC &amp; MED'!EV5</f>
        <v>0</v>
      </c>
      <c r="S4" s="530">
        <f>'VAC &amp; MED'!FE5</f>
        <v>0</v>
      </c>
      <c r="T4" s="530">
        <f>'VAC &amp; MED'!FN5</f>
        <v>0</v>
      </c>
      <c r="U4" s="530">
        <f>'VAC &amp; MED'!FW5</f>
        <v>3540</v>
      </c>
      <c r="V4" s="530">
        <f>'VAC &amp; MED'!GF5</f>
        <v>1960</v>
      </c>
      <c r="W4" s="530">
        <f>'VAC &amp; MED'!GO5</f>
        <v>2960</v>
      </c>
      <c r="X4" s="530">
        <f>'VAC &amp; MED'!GX5</f>
        <v>0</v>
      </c>
      <c r="Y4" s="530">
        <f>'VAC &amp; MED'!HG5</f>
        <v>0</v>
      </c>
      <c r="Z4" s="530">
        <f>'VAC &amp; MED'!HP5</f>
        <v>0</v>
      </c>
      <c r="AA4" s="530">
        <f>'VAC &amp; MED'!HZ5</f>
        <v>3980</v>
      </c>
      <c r="AB4" s="530">
        <f>'VAC &amp; MED'!II5</f>
        <v>2960</v>
      </c>
      <c r="AC4" s="530">
        <f>'VAC &amp; MED'!IR5</f>
        <v>2040</v>
      </c>
      <c r="AD4" s="530">
        <f>'VAC &amp; MED'!JA5</f>
        <v>7520</v>
      </c>
      <c r="AE4" s="530">
        <f>'VAC &amp; MED'!JJ5</f>
        <v>6800</v>
      </c>
      <c r="AF4" s="530">
        <f>'VAC &amp; MED'!JS5</f>
        <v>4400</v>
      </c>
      <c r="AG4" s="530">
        <f>'VAC &amp; MED'!KB5</f>
        <v>0</v>
      </c>
      <c r="AH4" s="530">
        <f>'VAC &amp; MED'!KK5</f>
        <v>0</v>
      </c>
      <c r="AI4" s="530">
        <f>'VAC &amp; MED'!KT5</f>
        <v>0</v>
      </c>
      <c r="AJ4" s="530">
        <f>'VAC &amp; MED'!LC5</f>
        <v>0</v>
      </c>
      <c r="AK4" s="530">
        <f>'VAC &amp; MED'!LL5</f>
        <v>0</v>
      </c>
      <c r="AL4" s="530">
        <f>'VAC &amp; MED'!LU5</f>
        <v>0</v>
      </c>
      <c r="AM4" s="530">
        <f>'VAC &amp; MED'!MD5</f>
        <v>0</v>
      </c>
      <c r="AN4" s="530">
        <f>'VAC &amp; MED'!MM5</f>
        <v>0</v>
      </c>
      <c r="AO4" s="530">
        <f>'VAC &amp; MED'!MV5</f>
        <v>1531</v>
      </c>
      <c r="AP4" s="530">
        <f>'VAC &amp; MED'!NE5</f>
        <v>0</v>
      </c>
      <c r="AQ4" s="530">
        <f>'VAC &amp; MED'!NN5</f>
        <v>0</v>
      </c>
      <c r="AR4" s="530">
        <f>'VAC &amp; MED'!NW5</f>
        <v>0</v>
      </c>
      <c r="AS4" s="530">
        <f>'VAC &amp; MED'!OF5</f>
        <v>35.199999999999989</v>
      </c>
      <c r="AT4" s="530">
        <f>'VAC &amp; MED'!OO5</f>
        <v>0</v>
      </c>
      <c r="AU4" s="530">
        <f>'VAC &amp; MED'!OX5</f>
        <v>349</v>
      </c>
      <c r="AV4" s="530">
        <f>'VAC &amp; MED'!PG5</f>
        <v>0</v>
      </c>
      <c r="AW4" s="530">
        <f>'VAC &amp; MED'!PP5</f>
        <v>160</v>
      </c>
      <c r="AX4" s="530">
        <f>'VAC &amp; MED'!PY5</f>
        <v>13.960000000000036</v>
      </c>
      <c r="AY4" s="530">
        <f>'VAC &amp; MED'!QH5</f>
        <v>0</v>
      </c>
      <c r="AZ4" s="530">
        <f>'VAC &amp; MED'!QQ5</f>
        <v>0</v>
      </c>
      <c r="BA4" s="531">
        <f>'VAC &amp; MED'!QZ5</f>
        <v>207.6</v>
      </c>
      <c r="BB4" s="531">
        <f>'VAC &amp; MED'!RI5</f>
        <v>201.8</v>
      </c>
      <c r="BC4" s="531">
        <f>'VAC &amp; MED'!RR5</f>
        <v>22.720000000000002</v>
      </c>
      <c r="BD4" s="531">
        <f>'VAC &amp; MED'!SA5</f>
        <v>0</v>
      </c>
      <c r="BE4" s="531">
        <f>'VAC &amp; MED'!SJ5</f>
        <v>0</v>
      </c>
      <c r="BF4" s="531">
        <f>'VAC &amp; MED'!SS5</f>
        <v>0</v>
      </c>
      <c r="BG4" s="531">
        <f>'VAC &amp; MED'!TB5</f>
        <v>0</v>
      </c>
      <c r="BH4" s="531">
        <f>'VAC &amp; MED'!TK5</f>
        <v>0</v>
      </c>
      <c r="BI4" s="531">
        <f>'VAC &amp; MED'!TT5</f>
        <v>0</v>
      </c>
      <c r="BJ4" s="531">
        <f>'VAC &amp; MED'!UC5</f>
        <v>0</v>
      </c>
      <c r="BK4" s="531">
        <f>'VAC &amp; MED'!UL5</f>
        <v>0</v>
      </c>
      <c r="BL4" s="531">
        <f>'VAC &amp; MED'!UU5</f>
        <v>0</v>
      </c>
      <c r="BM4" s="531">
        <f>'VAC &amp; MED'!VD5</f>
        <v>-319.59999999999997</v>
      </c>
      <c r="BN4" s="531">
        <f>'VAC &amp; MED'!VM5</f>
        <v>0</v>
      </c>
      <c r="BO4" s="531">
        <f>'VAC &amp; MED'!VV5</f>
        <v>0</v>
      </c>
      <c r="BP4" s="531">
        <f>'VAC &amp; MED'!WE5</f>
        <v>0</v>
      </c>
      <c r="BQ4" s="531">
        <f>'VAC &amp; MED'!WN5</f>
        <v>5877</v>
      </c>
      <c r="BR4" s="531">
        <f>'VAC &amp; MED'!WW5</f>
        <v>5267</v>
      </c>
      <c r="BS4" s="531">
        <f>'VAC &amp; MED'!XF5</f>
        <v>4457</v>
      </c>
      <c r="BT4" s="531">
        <f>'VAC &amp; MED'!XO5</f>
        <v>6772</v>
      </c>
      <c r="BU4" s="531">
        <f>'VAC &amp; MED'!XX5</f>
        <v>1901</v>
      </c>
      <c r="BV4" s="531">
        <f>'VAC &amp; MED'!YG5</f>
        <v>4175</v>
      </c>
      <c r="BW4" s="531">
        <f>'VAC &amp; MED'!YP5</f>
        <v>0</v>
      </c>
      <c r="BX4" s="531">
        <f>'VAC &amp; MED'!YY5</f>
        <v>0</v>
      </c>
      <c r="BY4" s="531">
        <f>'VAC &amp; MED'!ZH5</f>
        <v>0</v>
      </c>
      <c r="BZ4" s="531">
        <f>'VAC &amp; MED'!ZQ5</f>
        <v>0</v>
      </c>
    </row>
    <row r="5" spans="1:83" s="531" customFormat="1" outlineLevel="1">
      <c r="A5" s="536" t="s">
        <v>314</v>
      </c>
      <c r="B5" s="530">
        <f>'VAC &amp; MED'!D37</f>
        <v>1015280</v>
      </c>
      <c r="C5" s="530">
        <f>'VAC &amp; MED'!M37</f>
        <v>361810</v>
      </c>
      <c r="D5" s="530">
        <f>'VAC &amp; MED'!V37</f>
        <v>90340</v>
      </c>
      <c r="E5" s="530">
        <f>'VAC &amp; MED'!AE37</f>
        <v>86570</v>
      </c>
      <c r="F5" s="530">
        <f>'VAC &amp; MED'!AN37</f>
        <v>0</v>
      </c>
      <c r="G5" s="530">
        <f>'VAC &amp; MED'!AW37</f>
        <v>31596.3</v>
      </c>
      <c r="H5" s="530">
        <f>'VAC &amp; MED'!BF37</f>
        <v>45437.7</v>
      </c>
      <c r="I5" s="530">
        <f>'VAC &amp; MED'!BO37</f>
        <v>28058.399999999998</v>
      </c>
      <c r="J5" s="530">
        <f>'VAC &amp; MED'!BX37</f>
        <v>3000</v>
      </c>
      <c r="K5" s="530">
        <f>'VAC &amp; MED'!CG37</f>
        <v>896.8</v>
      </c>
      <c r="L5" s="530">
        <f>'VAC &amp; MED'!CP37</f>
        <v>0</v>
      </c>
      <c r="M5" s="530">
        <f>'VAC &amp; MED'!CY37</f>
        <v>0</v>
      </c>
      <c r="N5" s="530">
        <f>'VAC &amp; MED'!DH37</f>
        <v>0</v>
      </c>
      <c r="O5" s="530">
        <f>'VAC &amp; MED'!DQ37</f>
        <v>0</v>
      </c>
      <c r="P5" s="530">
        <f>'VAC &amp; MED'!DZ37</f>
        <v>0</v>
      </c>
      <c r="Q5" s="530">
        <f>'VAC &amp; MED'!EI37</f>
        <v>0</v>
      </c>
      <c r="R5" s="530">
        <f>'VAC &amp; MED'!ER37</f>
        <v>0</v>
      </c>
      <c r="S5" s="530">
        <f>'VAC &amp; MED'!FA37</f>
        <v>0</v>
      </c>
      <c r="T5" s="530">
        <f>'VAC &amp; MED'!FJ37</f>
        <v>0</v>
      </c>
      <c r="U5" s="530">
        <f>'VAC &amp; MED'!FS37</f>
        <v>0</v>
      </c>
      <c r="V5" s="530">
        <f>'VAC &amp; MED'!GB37</f>
        <v>2000</v>
      </c>
      <c r="W5" s="530">
        <f>'VAC &amp; MED'!GK37</f>
        <v>8000</v>
      </c>
      <c r="X5" s="530">
        <f>'VAC &amp; MED'!GT37</f>
        <v>0</v>
      </c>
      <c r="Y5" s="530">
        <f>'VAC &amp; MED'!HC37</f>
        <v>0</v>
      </c>
      <c r="Z5" s="530">
        <f>'VAC &amp; MED'!HL37</f>
        <v>0</v>
      </c>
      <c r="AA5" s="530">
        <f>'VAC &amp; MED'!HV37</f>
        <v>4500</v>
      </c>
      <c r="AB5" s="530">
        <f>'VAC &amp; MED'!IE37</f>
        <v>2140</v>
      </c>
      <c r="AC5" s="530">
        <f>'VAC &amp; MED'!IN37</f>
        <v>24520</v>
      </c>
      <c r="AD5" s="530">
        <f>'VAC &amp; MED'!IW37</f>
        <v>12000</v>
      </c>
      <c r="AE5" s="530">
        <f>'VAC &amp; MED'!JF37</f>
        <v>0</v>
      </c>
      <c r="AF5" s="530">
        <f>'VAC &amp; MED'!JO37</f>
        <v>1000</v>
      </c>
      <c r="AG5" s="530">
        <f>'VAC &amp; MED'!JX37</f>
        <v>2260</v>
      </c>
      <c r="AH5" s="530">
        <f>'VAC &amp; MED'!KG37</f>
        <v>0</v>
      </c>
      <c r="AI5" s="530">
        <f>'VAC &amp; MED'!KP37</f>
        <v>0</v>
      </c>
      <c r="AJ5" s="530">
        <f>'VAC &amp; MED'!KY37</f>
        <v>0</v>
      </c>
      <c r="AK5" s="530">
        <f>'VAC &amp; MED'!LH37</f>
        <v>0</v>
      </c>
      <c r="AL5" s="530">
        <f>'VAC &amp; MED'!LQ37</f>
        <v>0</v>
      </c>
      <c r="AM5" s="530">
        <f>'VAC &amp; MED'!LZ37</f>
        <v>0</v>
      </c>
      <c r="AN5" s="530">
        <f>'VAC &amp; MED'!MI37</f>
        <v>0</v>
      </c>
      <c r="AO5" s="530">
        <f>'VAC &amp; MED'!MR37</f>
        <v>1000</v>
      </c>
      <c r="AP5" s="530">
        <f>'VAC &amp; MED'!NA37</f>
        <v>2994</v>
      </c>
      <c r="AQ5" s="530">
        <f>'VAC &amp; MED'!NJ37</f>
        <v>0</v>
      </c>
      <c r="AR5" s="530">
        <f>'VAC &amp; MED'!NS37</f>
        <v>0</v>
      </c>
      <c r="AS5" s="530">
        <f>'VAC &amp; MED'!OB37</f>
        <v>2101.3000000000002</v>
      </c>
      <c r="AT5" s="530">
        <f>'VAC &amp; MED'!OK37</f>
        <v>0</v>
      </c>
      <c r="AU5" s="530">
        <f>'VAC &amp; MED'!OT37</f>
        <v>0</v>
      </c>
      <c r="AV5" s="530">
        <f>'VAC &amp; MED'!PC37</f>
        <v>806</v>
      </c>
      <c r="AW5" s="530">
        <f>'VAC &amp; MED'!PL37</f>
        <v>0</v>
      </c>
      <c r="AX5" s="530">
        <f>'VAC &amp; MED'!PU37</f>
        <v>0</v>
      </c>
      <c r="AY5" s="530">
        <f>'VAC &amp; MED'!QD37</f>
        <v>0</v>
      </c>
      <c r="AZ5" s="530">
        <f>'VAC &amp; MED'!QM37</f>
        <v>0</v>
      </c>
      <c r="BA5" s="531">
        <f>'VAC &amp; MED'!QV37</f>
        <v>0</v>
      </c>
      <c r="BB5" s="531">
        <f>'VAC &amp; MED'!RE37</f>
        <v>0</v>
      </c>
      <c r="BC5" s="531">
        <f>'VAC &amp; MED'!RN37</f>
        <v>0</v>
      </c>
      <c r="BD5" s="531">
        <f>'VAC &amp; MED'!RW37</f>
        <v>0</v>
      </c>
      <c r="BE5" s="531">
        <f>'VAC &amp; MED'!SF37</f>
        <v>0</v>
      </c>
      <c r="BF5" s="531">
        <f>'VAC &amp; MED'!SO37</f>
        <v>0</v>
      </c>
      <c r="BG5" s="531">
        <f>'VAC &amp; MED'!SX37</f>
        <v>270</v>
      </c>
      <c r="BH5" s="531">
        <f>'VAC &amp; MED'!TG37</f>
        <v>0</v>
      </c>
      <c r="BI5" s="531">
        <f>'VAC &amp; MED'!TP37</f>
        <v>0</v>
      </c>
      <c r="BJ5" s="531">
        <f>'VAC &amp; MED'!TY37</f>
        <v>0</v>
      </c>
      <c r="BK5" s="531">
        <f>'VAC &amp; MED'!UH37</f>
        <v>0</v>
      </c>
      <c r="BL5" s="531">
        <f>'VAC &amp; MED'!UQ37</f>
        <v>0</v>
      </c>
      <c r="BM5" s="531">
        <f>'VAC &amp; MED'!UZ37</f>
        <v>361.2</v>
      </c>
      <c r="BN5" s="531">
        <f>'VAC &amp; MED'!VI37</f>
        <v>0</v>
      </c>
      <c r="BO5" s="531">
        <f>'VAC &amp; MED'!VR37</f>
        <v>0</v>
      </c>
      <c r="BP5" s="531">
        <f>'VAC &amp; MED'!WA37</f>
        <v>0</v>
      </c>
      <c r="BQ5" s="531">
        <f>'VAC &amp; MED'!WJ37</f>
        <v>4063</v>
      </c>
      <c r="BR5" s="531">
        <f>'VAC &amp; MED'!WS37</f>
        <v>2882</v>
      </c>
      <c r="BS5" s="531">
        <f>'VAC &amp; MED'!XB37</f>
        <v>4347</v>
      </c>
      <c r="BT5" s="531">
        <f>'VAC &amp; MED'!XK37</f>
        <v>3000</v>
      </c>
      <c r="BU5" s="531">
        <f>'VAC &amp; MED'!XT37</f>
        <v>0</v>
      </c>
      <c r="BV5" s="531">
        <f>'VAC &amp; MED'!YC37</f>
        <v>0</v>
      </c>
      <c r="BW5" s="531">
        <f>'VAC &amp; MED'!YL37</f>
        <v>0</v>
      </c>
      <c r="BX5" s="531">
        <f>'VAC &amp; MED'!YU37</f>
        <v>0</v>
      </c>
      <c r="BY5" s="531">
        <f>'VAC &amp; MED'!ZD37</f>
        <v>0</v>
      </c>
      <c r="BZ5" s="531">
        <f>'VAC &amp; MED'!ZM37</f>
        <v>0</v>
      </c>
    </row>
    <row r="6" spans="1:83" s="531" customFormat="1" outlineLevel="1">
      <c r="A6" s="536" t="s">
        <v>315</v>
      </c>
      <c r="B6" s="530">
        <f>'VAC &amp; MED'!E37</f>
        <v>816998.7</v>
      </c>
      <c r="C6" s="530">
        <f>'VAC &amp; MED'!N37</f>
        <v>321775.5</v>
      </c>
      <c r="D6" s="530">
        <f>'VAC &amp; MED'!W37</f>
        <v>80810</v>
      </c>
      <c r="E6" s="530">
        <f>'VAC &amp; MED'!AF37</f>
        <v>67570</v>
      </c>
      <c r="F6" s="530">
        <f>'VAC &amp; MED'!AO37</f>
        <v>0</v>
      </c>
      <c r="G6" s="530">
        <f>'VAC &amp; MED'!AX37</f>
        <v>26507</v>
      </c>
      <c r="H6" s="530">
        <f>'VAC &amp; MED'!BG37</f>
        <v>29930</v>
      </c>
      <c r="I6" s="530">
        <f>'VAC &amp; MED'!BP37</f>
        <v>28058</v>
      </c>
      <c r="J6" s="530">
        <f>'VAC &amp; MED'!BY37</f>
        <v>225</v>
      </c>
      <c r="K6" s="530">
        <f>'VAC &amp; MED'!CH37</f>
        <v>757.80000000000007</v>
      </c>
      <c r="L6" s="530">
        <f>'VAC &amp; MED'!CQ37</f>
        <v>0</v>
      </c>
      <c r="M6" s="530">
        <f>'VAC &amp; MED'!CZ37</f>
        <v>0</v>
      </c>
      <c r="N6" s="530">
        <f>'VAC &amp; MED'!DI37</f>
        <v>9170</v>
      </c>
      <c r="O6" s="530">
        <f>'VAC &amp; MED'!DR37</f>
        <v>0</v>
      </c>
      <c r="P6" s="530">
        <f>'VAC &amp; MED'!EA37</f>
        <v>0</v>
      </c>
      <c r="Q6" s="530">
        <f>'VAC &amp; MED'!EJ37</f>
        <v>0</v>
      </c>
      <c r="R6" s="530">
        <f>'VAC &amp; MED'!ES37</f>
        <v>0</v>
      </c>
      <c r="S6" s="530">
        <f>'VAC &amp; MED'!FB37</f>
        <v>0</v>
      </c>
      <c r="T6" s="530">
        <f>'VAC &amp; MED'!FK37</f>
        <v>0</v>
      </c>
      <c r="U6" s="530">
        <f>'VAC &amp; MED'!FT37</f>
        <v>320</v>
      </c>
      <c r="V6" s="530">
        <f>'VAC &amp; MED'!GC37</f>
        <v>0</v>
      </c>
      <c r="W6" s="530">
        <f>'VAC &amp; MED'!GL37</f>
        <v>7880</v>
      </c>
      <c r="X6" s="530">
        <f>'VAC &amp; MED'!GU37</f>
        <v>0</v>
      </c>
      <c r="Y6" s="530">
        <f>'VAC &amp; MED'!HD37</f>
        <v>0</v>
      </c>
      <c r="Z6" s="530">
        <f>'VAC &amp; MED'!HM37</f>
        <v>0</v>
      </c>
      <c r="AA6" s="530">
        <f>'VAC &amp; MED'!HW37</f>
        <v>2520</v>
      </c>
      <c r="AB6" s="530">
        <f>'VAC &amp; MED'!IF37</f>
        <v>0</v>
      </c>
      <c r="AC6" s="530">
        <f>'VAC &amp; MED'!IO37</f>
        <v>12320</v>
      </c>
      <c r="AD6" s="530">
        <f>'VAC &amp; MED'!IX37</f>
        <v>5240</v>
      </c>
      <c r="AE6" s="530">
        <f>'VAC &amp; MED'!JG37</f>
        <v>0</v>
      </c>
      <c r="AF6" s="530">
        <f>'VAC &amp; MED'!JP37</f>
        <v>0</v>
      </c>
      <c r="AG6" s="530">
        <f>'VAC &amp; MED'!JY37</f>
        <v>0</v>
      </c>
      <c r="AH6" s="530">
        <f>'VAC &amp; MED'!KH37</f>
        <v>0</v>
      </c>
      <c r="AI6" s="530">
        <f>'VAC &amp; MED'!KQ37</f>
        <v>0</v>
      </c>
      <c r="AJ6" s="530">
        <f>'VAC &amp; MED'!KZ37</f>
        <v>0</v>
      </c>
      <c r="AK6" s="530">
        <f>'VAC &amp; MED'!LI37</f>
        <v>0</v>
      </c>
      <c r="AL6" s="530">
        <f>'VAC &amp; MED'!LR37</f>
        <v>0</v>
      </c>
      <c r="AM6" s="530">
        <f>'VAC &amp; MED'!MA37</f>
        <v>0</v>
      </c>
      <c r="AN6" s="530">
        <f>'VAC &amp; MED'!MJ37</f>
        <v>0</v>
      </c>
      <c r="AO6" s="530">
        <f>'VAC &amp; MED'!MS37</f>
        <v>576</v>
      </c>
      <c r="AP6" s="530">
        <f>'VAC &amp; MED'!NB37</f>
        <v>3012</v>
      </c>
      <c r="AQ6" s="530">
        <f>'VAC &amp; MED'!NK37</f>
        <v>0</v>
      </c>
      <c r="AR6" s="530">
        <f>'VAC &amp; MED'!NU37</f>
        <v>0</v>
      </c>
      <c r="AS6" s="530">
        <f>'VAC &amp; MED'!OD37</f>
        <v>456</v>
      </c>
      <c r="AT6" s="530">
        <f>'VAC &amp; MED'!OM37</f>
        <v>0</v>
      </c>
      <c r="AU6" s="530">
        <f>'VAC &amp; MED'!OV37</f>
        <v>349</v>
      </c>
      <c r="AV6" s="530">
        <f>'VAC &amp; MED'!PE37</f>
        <v>806</v>
      </c>
      <c r="AW6" s="530">
        <f>'VAC &amp; MED'!PN37</f>
        <v>0</v>
      </c>
      <c r="AX6" s="530">
        <f>'VAC &amp; MED'!PW37</f>
        <v>0</v>
      </c>
      <c r="AY6" s="530">
        <f>'VAC &amp; MED'!QF37</f>
        <v>0</v>
      </c>
      <c r="AZ6" s="530">
        <f>'VAC &amp; MED'!QO37</f>
        <v>0</v>
      </c>
      <c r="BA6" s="531">
        <f>'VAC &amp; MED'!QX37</f>
        <v>0</v>
      </c>
      <c r="BB6" s="531">
        <f>'VAC &amp; MED'!RG37</f>
        <v>0</v>
      </c>
      <c r="BC6" s="531">
        <f>'VAC &amp; MED'!RP37</f>
        <v>0</v>
      </c>
      <c r="BD6" s="531">
        <f>'VAC &amp; MED'!RY37</f>
        <v>0</v>
      </c>
      <c r="BE6" s="531">
        <f>'VAC &amp; MED'!SH37</f>
        <v>0</v>
      </c>
      <c r="BF6" s="531">
        <f>'VAC &amp; MED'!SQ37</f>
        <v>0</v>
      </c>
      <c r="BG6" s="531">
        <f>'VAC &amp; MED'!SZ37</f>
        <v>0</v>
      </c>
      <c r="BH6" s="531">
        <f>'VAC &amp; MED'!TI37</f>
        <v>0</v>
      </c>
      <c r="BI6" s="531">
        <f>'VAC &amp; MED'!TR37</f>
        <v>0</v>
      </c>
      <c r="BJ6" s="531">
        <f>'VAC &amp; MED'!UA37</f>
        <v>0</v>
      </c>
      <c r="BK6" s="531">
        <f>'VAC &amp; MED'!UJ37</f>
        <v>0</v>
      </c>
      <c r="BL6" s="531">
        <f>'VAC &amp; MED'!US37</f>
        <v>0</v>
      </c>
      <c r="BM6" s="531">
        <f>'VAC &amp; MED'!VB37</f>
        <v>0</v>
      </c>
      <c r="BN6" s="531">
        <f>'VAC &amp; MED'!VK37</f>
        <v>0</v>
      </c>
      <c r="BO6" s="531">
        <f>'VAC &amp; MED'!VT37</f>
        <v>0</v>
      </c>
      <c r="BP6" s="531">
        <f>'VAC &amp; MED'!WC37</f>
        <v>0</v>
      </c>
      <c r="BQ6" s="531">
        <f>'VAC &amp; MED'!WL37</f>
        <v>331</v>
      </c>
      <c r="BR6" s="531">
        <f>'VAC &amp; MED'!WU37</f>
        <v>0</v>
      </c>
      <c r="BS6" s="531">
        <f>'VAC &amp; MED'!XD37</f>
        <v>7893</v>
      </c>
      <c r="BT6" s="531">
        <f>'VAC &amp; MED'!XM37</f>
        <v>3532</v>
      </c>
      <c r="BU6" s="531">
        <f>'VAC &amp; MED'!XV37</f>
        <v>0</v>
      </c>
      <c r="BV6" s="531">
        <f>'VAC &amp; MED'!YE37</f>
        <v>2290</v>
      </c>
      <c r="BW6" s="531">
        <f>'VAC &amp; MED'!YN37</f>
        <v>0</v>
      </c>
      <c r="BX6" s="531">
        <f>'VAC &amp; MED'!YW37</f>
        <v>0</v>
      </c>
      <c r="BY6" s="531">
        <f>'VAC &amp; MED'!ZF37</f>
        <v>0</v>
      </c>
      <c r="BZ6" s="531">
        <f>'VAC &amp; MED'!ZO37</f>
        <v>0</v>
      </c>
    </row>
    <row r="7" spans="1:83" s="531" customFormat="1" outlineLevel="1">
      <c r="A7" s="536" t="s">
        <v>316</v>
      </c>
      <c r="B7" s="530">
        <f>'VAC &amp; MED'!G37</f>
        <v>-4343.299999999992</v>
      </c>
      <c r="C7" s="530">
        <f>'VAC &amp; MED'!P37</f>
        <v>17.499999999976808</v>
      </c>
      <c r="D7" s="530">
        <f>'VAC &amp; MED'!Y37</f>
        <v>-16.300000000000637</v>
      </c>
      <c r="E7" s="530">
        <f>'VAC &amp; MED'!AH37</f>
        <v>-21.499999999999659</v>
      </c>
      <c r="F7" s="530">
        <f>'VAC &amp; MED'!AQ37</f>
        <v>0</v>
      </c>
      <c r="G7" s="530">
        <f>'VAC &amp; MED'!AZ37</f>
        <v>-282.69999999999965</v>
      </c>
      <c r="H7" s="530">
        <f>'VAC &amp; MED'!BI37</f>
        <v>56.399999999999977</v>
      </c>
      <c r="I7" s="530">
        <f>'VAC &amp; MED'!BR37</f>
        <v>-0.40000000000020464</v>
      </c>
      <c r="J7" s="530">
        <f>'VAC &amp; MED'!CA37</f>
        <v>-2.9999999999999929</v>
      </c>
      <c r="K7" s="530">
        <f>'VAC &amp; MED'!CJ37</f>
        <v>-138.99999999999994</v>
      </c>
      <c r="L7" s="530">
        <f>'VAC &amp; MED'!CS37</f>
        <v>0</v>
      </c>
      <c r="M7" s="530">
        <f>'VAC &amp; MED'!DB37</f>
        <v>0</v>
      </c>
      <c r="N7" s="530">
        <f>'VAC &amp; MED'!DK37</f>
        <v>1.5999999999997954</v>
      </c>
      <c r="O7" s="530">
        <f>'VAC &amp; MED'!DT37</f>
        <v>0</v>
      </c>
      <c r="P7" s="530">
        <f>'VAC &amp; MED'!EC37</f>
        <v>0</v>
      </c>
      <c r="Q7" s="530">
        <f>'VAC &amp; MED'!EL37</f>
        <v>0</v>
      </c>
      <c r="R7" s="530">
        <f>'VAC &amp; MED'!EU37</f>
        <v>0</v>
      </c>
      <c r="S7" s="530">
        <f>'VAC &amp; MED'!FD37</f>
        <v>0</v>
      </c>
      <c r="T7" s="530">
        <f>'VAC &amp; MED'!FM37</f>
        <v>0</v>
      </c>
      <c r="U7" s="530">
        <f>'VAC &amp; MED'!FV37</f>
        <v>320</v>
      </c>
      <c r="V7" s="530">
        <f>'VAC &amp; MED'!GE37</f>
        <v>0</v>
      </c>
      <c r="W7" s="530">
        <f>'VAC &amp; MED'!GN37</f>
        <v>160</v>
      </c>
      <c r="X7" s="530">
        <f>'VAC &amp; MED'!GW37</f>
        <v>0</v>
      </c>
      <c r="Y7" s="530">
        <f>'VAC &amp; MED'!HF37</f>
        <v>0</v>
      </c>
      <c r="Z7" s="530">
        <f>'VAC &amp; MED'!HO37</f>
        <v>0</v>
      </c>
      <c r="AA7" s="530">
        <f>'VAC &amp; MED'!HY37</f>
        <v>-520</v>
      </c>
      <c r="AB7" s="530">
        <f>'VAC &amp; MED'!IH37</f>
        <v>0</v>
      </c>
      <c r="AC7" s="530">
        <f>'VAC &amp; MED'!IQ37</f>
        <v>2000</v>
      </c>
      <c r="AD7" s="530">
        <f>'VAC &amp; MED'!IZ37</f>
        <v>-1160</v>
      </c>
      <c r="AE7" s="530">
        <f>'VAC &amp; MED'!JI37</f>
        <v>0</v>
      </c>
      <c r="AF7" s="530">
        <f>'VAC &amp; MED'!JR37</f>
        <v>0</v>
      </c>
      <c r="AG7" s="530">
        <f>'VAC &amp; MED'!KA37</f>
        <v>0</v>
      </c>
      <c r="AH7" s="530">
        <f>'VAC &amp; MED'!KJ37</f>
        <v>0</v>
      </c>
      <c r="AI7" s="530">
        <f>'VAC &amp; MED'!KS37</f>
        <v>0</v>
      </c>
      <c r="AJ7" s="530">
        <f>'VAC &amp; MED'!LB37</f>
        <v>0</v>
      </c>
      <c r="AK7" s="530">
        <f>'VAC &amp; MED'!LK37</f>
        <v>0</v>
      </c>
      <c r="AL7" s="530">
        <f>'VAC &amp; MED'!LT37</f>
        <v>0</v>
      </c>
      <c r="AM7" s="532"/>
      <c r="AN7" s="532"/>
      <c r="AO7" s="532"/>
      <c r="AP7" s="532"/>
      <c r="AQ7" s="532"/>
      <c r="AR7" s="532"/>
      <c r="AS7" s="532"/>
      <c r="AT7" s="532"/>
      <c r="AU7" s="532"/>
      <c r="AV7" s="532"/>
      <c r="AW7" s="532"/>
      <c r="AX7" s="532"/>
      <c r="AY7" s="532"/>
      <c r="AZ7" s="532"/>
      <c r="BA7" s="533"/>
      <c r="BB7" s="533"/>
      <c r="BC7" s="533"/>
      <c r="BD7" s="533"/>
      <c r="BE7" s="533"/>
      <c r="BF7" s="533"/>
      <c r="BG7" s="533"/>
      <c r="BH7" s="533"/>
      <c r="BI7" s="531">
        <f>'VAC &amp; MED'!TS37</f>
        <v>0</v>
      </c>
      <c r="BJ7" s="531">
        <f>'VAC &amp; MED'!UB37</f>
        <v>0</v>
      </c>
      <c r="BK7" s="531">
        <f>'VAC &amp; MED'!UK37</f>
        <v>0</v>
      </c>
      <c r="BL7" s="531">
        <f>'VAC &amp; MED'!UT37</f>
        <v>0</v>
      </c>
      <c r="BM7" s="531">
        <f>'VAC &amp; MED'!VC37</f>
        <v>0</v>
      </c>
      <c r="BN7" s="531">
        <f>'VAC &amp; MED'!VL37</f>
        <v>0</v>
      </c>
      <c r="BO7" s="531">
        <f>'VAC &amp; MED'!VU37</f>
        <v>0</v>
      </c>
      <c r="BP7" s="533"/>
      <c r="BQ7" s="533"/>
      <c r="BR7" s="533"/>
      <c r="BS7" s="533"/>
      <c r="BT7" s="533"/>
      <c r="BU7" s="533"/>
      <c r="BV7" s="533"/>
      <c r="BW7" s="533"/>
      <c r="BX7" s="533"/>
      <c r="BY7" s="533"/>
      <c r="BZ7" s="533"/>
      <c r="CA7" s="533"/>
      <c r="CB7" s="533"/>
      <c r="CC7" s="533"/>
      <c r="CD7" s="533"/>
      <c r="CE7" s="533"/>
    </row>
    <row r="8" spans="1:83" s="535" customFormat="1">
      <c r="A8" s="537" t="s">
        <v>171</v>
      </c>
      <c r="B8" s="534">
        <f>'VAC &amp; MED'!H37</f>
        <v>241788.19999999998</v>
      </c>
      <c r="C8" s="534">
        <f>'VAC &amp; MED'!Q37</f>
        <v>48748.2</v>
      </c>
      <c r="D8" s="534">
        <f>'VAC &amp; MED'!Z37</f>
        <v>49884.999999999985</v>
      </c>
      <c r="E8" s="534">
        <f>'VAC &amp; MED'!AI37</f>
        <v>52772.200000000012</v>
      </c>
      <c r="F8" s="534">
        <f>'VAC &amp; MED'!AR37</f>
        <v>0</v>
      </c>
      <c r="G8" s="534">
        <f>'VAC &amp; MED'!BA37</f>
        <v>34316.69999999999</v>
      </c>
      <c r="H8" s="534">
        <f>'VAC &amp; MED'!BJ37</f>
        <v>21924.100000000006</v>
      </c>
      <c r="I8" s="534">
        <f>'VAC &amp; MED'!BS37</f>
        <v>0</v>
      </c>
      <c r="J8" s="534">
        <f>'VAC &amp; MED'!CB37</f>
        <v>3284.5</v>
      </c>
      <c r="K8" s="534">
        <f>'VAC &amp; MED'!CK37</f>
        <v>0</v>
      </c>
      <c r="L8" s="534">
        <f>'VAC &amp; MED'!CT37</f>
        <v>0</v>
      </c>
      <c r="M8" s="534">
        <f>'VAC &amp; MED'!DC37</f>
        <v>0</v>
      </c>
      <c r="N8" s="534">
        <f>'VAC &amp; MED'!DL37</f>
        <v>22172.799999999996</v>
      </c>
      <c r="O8" s="534">
        <f>'VAC &amp; MED'!DU37</f>
        <v>0</v>
      </c>
      <c r="P8" s="534">
        <f>'VAC &amp; MED'!ED37</f>
        <v>0</v>
      </c>
      <c r="Q8" s="534">
        <f>'VAC &amp; MED'!EM37</f>
        <v>0</v>
      </c>
      <c r="R8" s="534">
        <f>'VAC &amp; MED'!EV37</f>
        <v>0</v>
      </c>
      <c r="S8" s="534">
        <f>'VAC &amp; MED'!FE37</f>
        <v>0</v>
      </c>
      <c r="T8" s="534">
        <f>'VAC &amp; MED'!FN37</f>
        <v>0</v>
      </c>
      <c r="U8" s="534">
        <f>'VAC &amp; MED'!FW37</f>
        <v>3540</v>
      </c>
      <c r="V8" s="534">
        <f>'VAC &amp; MED'!GF37</f>
        <v>3960</v>
      </c>
      <c r="W8" s="534">
        <f>'VAC &amp; MED'!GO37</f>
        <v>3240</v>
      </c>
      <c r="X8" s="534">
        <f>'VAC &amp; MED'!GX37</f>
        <v>0</v>
      </c>
      <c r="Y8" s="534">
        <f>'VAC &amp; MED'!HG37</f>
        <v>0</v>
      </c>
      <c r="Z8" s="534">
        <f>'VAC &amp; MED'!HP37</f>
        <v>0</v>
      </c>
      <c r="AA8" s="534">
        <f>'VAC &amp; MED'!HZ37</f>
        <v>5440</v>
      </c>
      <c r="AB8" s="534">
        <f>'VAC &amp; MED'!II37</f>
        <v>5100</v>
      </c>
      <c r="AC8" s="534">
        <f>'VAC &amp; MED'!IR37</f>
        <v>16240</v>
      </c>
      <c r="AD8" s="534">
        <f>'VAC &amp; MED'!JA37</f>
        <v>13120</v>
      </c>
      <c r="AE8" s="534">
        <f>'VAC &amp; MED'!JJ37</f>
        <v>6800</v>
      </c>
      <c r="AF8" s="534">
        <f>'VAC &amp; MED'!JS37</f>
        <v>5400</v>
      </c>
      <c r="AG8" s="534">
        <f>'VAC &amp; MED'!KB37</f>
        <v>2260</v>
      </c>
      <c r="AH8" s="534">
        <f>'VAC &amp; MED'!KK37</f>
        <v>0</v>
      </c>
      <c r="AI8" s="534">
        <f>'VAC &amp; MED'!KT37</f>
        <v>0</v>
      </c>
      <c r="AJ8" s="534">
        <f>'VAC &amp; MED'!LC37</f>
        <v>0</v>
      </c>
      <c r="AK8" s="534">
        <f>'VAC &amp; MED'!LL37</f>
        <v>0</v>
      </c>
      <c r="AL8" s="534">
        <f>'VAC &amp; MED'!LU37</f>
        <v>0</v>
      </c>
      <c r="AM8" s="534">
        <f>'VAC &amp; MED'!MD37</f>
        <v>0</v>
      </c>
      <c r="AN8" s="534">
        <f>'VAC &amp; MED'!MM37</f>
        <v>0</v>
      </c>
      <c r="AO8" s="534">
        <f>'VAC &amp; MED'!MV37</f>
        <v>1969</v>
      </c>
      <c r="AP8" s="534">
        <f>'VAC &amp; MED'!NE37</f>
        <v>0</v>
      </c>
      <c r="AQ8" s="534">
        <f>'VAC &amp; MED'!NN37</f>
        <v>0</v>
      </c>
      <c r="AR8" s="534">
        <f>'VAC &amp; MED'!NW37</f>
        <v>0</v>
      </c>
      <c r="AS8" s="534">
        <f>'VAC &amp; MED'!OF37</f>
        <v>1680.5</v>
      </c>
      <c r="AT8" s="534">
        <f>'VAC &amp; MED'!OO37</f>
        <v>0</v>
      </c>
      <c r="AU8" s="534">
        <f>'VAC &amp; MED'!OX37</f>
        <v>0</v>
      </c>
      <c r="AV8" s="534">
        <f>'VAC &amp; MED'!PG37</f>
        <v>0</v>
      </c>
      <c r="AW8" s="534">
        <f>'VAC &amp; MED'!PP37</f>
        <v>160</v>
      </c>
      <c r="AX8" s="534">
        <f>'VAC &amp; MED'!PY37</f>
        <v>13.960000000000036</v>
      </c>
      <c r="AY8" s="534">
        <f>'VAC &amp; MED'!QH37</f>
        <v>0</v>
      </c>
      <c r="AZ8" s="534">
        <f>'VAC &amp; MED'!QQ37</f>
        <v>0</v>
      </c>
      <c r="BA8" s="535">
        <f>'VAC &amp; MED'!QZ37</f>
        <v>207.6</v>
      </c>
      <c r="BB8" s="535">
        <f>'VAC &amp; MED'!RI37</f>
        <v>201.8</v>
      </c>
      <c r="BC8" s="535">
        <f>'VAC &amp; MED'!RR37</f>
        <v>22.720000000000002</v>
      </c>
      <c r="BD8" s="535">
        <f>'VAC &amp; MED'!SA37</f>
        <v>0</v>
      </c>
      <c r="BE8" s="535">
        <f>'VAC &amp; MED'!SJ37</f>
        <v>0</v>
      </c>
      <c r="BF8" s="535">
        <f>'VAC &amp; MED'!SS37</f>
        <v>0</v>
      </c>
      <c r="BG8" s="535">
        <f>'VAC &amp; MED'!TB37</f>
        <v>270</v>
      </c>
      <c r="BH8" s="535">
        <f>'VAC &amp; MED'!TK37</f>
        <v>0</v>
      </c>
      <c r="BI8" s="535">
        <f>'VAC &amp; MED'!TT37</f>
        <v>0</v>
      </c>
      <c r="BJ8" s="535">
        <f>'VAC &amp; MED'!UC37</f>
        <v>0</v>
      </c>
      <c r="BK8" s="535">
        <f>'VAC &amp; MED'!UL37</f>
        <v>0</v>
      </c>
      <c r="BL8" s="535">
        <f>'VAC &amp; MED'!UU37</f>
        <v>0</v>
      </c>
      <c r="BM8" s="535">
        <f>'VAC &amp; MED'!VD37</f>
        <v>41.600000000000023</v>
      </c>
      <c r="BN8" s="535">
        <f>'VAC &amp; MED'!VM37</f>
        <v>0</v>
      </c>
      <c r="BO8" s="535">
        <f>'VAC &amp; MED'!VV37</f>
        <v>0</v>
      </c>
      <c r="BP8" s="535">
        <f>'VAC &amp; MED'!WE37</f>
        <v>0</v>
      </c>
      <c r="BQ8" s="535">
        <f>'VAC &amp; MED'!WN37</f>
        <v>9609</v>
      </c>
      <c r="BR8" s="535">
        <f>'VAC &amp; MED'!WW37</f>
        <v>8149</v>
      </c>
      <c r="BS8" s="535">
        <f>'VAC &amp; MED'!XF37</f>
        <v>911</v>
      </c>
      <c r="BT8" s="535">
        <f>'VAC &amp; MED'!XO37</f>
        <v>6240</v>
      </c>
      <c r="BU8" s="535">
        <f>'VAC &amp; MED'!XX37</f>
        <v>1901</v>
      </c>
      <c r="BV8" s="535">
        <f>'VAC &amp; MED'!YG37</f>
        <v>1885</v>
      </c>
      <c r="BW8" s="535">
        <f>'VAC &amp; MED'!YP37</f>
        <v>0</v>
      </c>
      <c r="BX8" s="535">
        <f>'VAC &amp; MED'!YY37</f>
        <v>0</v>
      </c>
      <c r="BY8" s="535">
        <f>'VAC &amp; MED'!ZH37</f>
        <v>0</v>
      </c>
      <c r="BZ8" s="535">
        <f>'VAC &amp; MED'!ZQ37</f>
        <v>0</v>
      </c>
    </row>
    <row r="9" spans="1:83" s="2" customFormat="1" ht="16.149999999999999" thickBot="1">
      <c r="A9" s="537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</row>
    <row r="10" spans="1:83" s="2" customFormat="1" ht="63" customHeight="1" thickBot="1">
      <c r="A10" s="539" t="s">
        <v>196</v>
      </c>
      <c r="B10" s="215" t="str">
        <f>PRODUCE!$EA$7</f>
        <v>MAIZE/CORN</v>
      </c>
      <c r="C10" s="216" t="str">
        <f>PRODUCE!$EA$8</f>
        <v>SOYBEAN MEAL (ARG)</v>
      </c>
      <c r="D10" s="217" t="str">
        <f>PRODUCE!$EA$9</f>
        <v>SOYBEAN FULL FAT</v>
      </c>
      <c r="E10" s="218" t="str">
        <f>PRODUCE!$EA$10</f>
        <v>WHEAT POLLARD</v>
      </c>
      <c r="F10" s="219" t="str">
        <f>PRODUCE!$EA$11</f>
        <v>WHEAT</v>
      </c>
      <c r="G10" s="220" t="str">
        <f>PRODUCE!$EA$12</f>
        <v>MEAT AND BONE MEAL</v>
      </c>
      <c r="H10" s="221" t="str">
        <f>PRODUCE!$EA$13</f>
        <v>CORN GLUTEN MEAL</v>
      </c>
      <c r="I10" s="222" t="str">
        <f>PRODUCE!$EA$14</f>
        <v>MEGAFAT (HARUMI)</v>
      </c>
      <c r="J10" s="223" t="str">
        <f>PRODUCE!$EA$15</f>
        <v>DCP 18%</v>
      </c>
      <c r="K10" s="224" t="str">
        <f>PRODUCE!$EA$16</f>
        <v>LIMESTONE POWDER (HARUMI)</v>
      </c>
      <c r="L10" s="225" t="str">
        <f>PRODUCE!$EA$17</f>
        <v>CHOLINE CHLORIDE 60%</v>
      </c>
      <c r="M10" s="226" t="str">
        <f>PRODUCE!$EA$18</f>
        <v>INDUSTRY FLOUR</v>
      </c>
      <c r="N10" s="227" t="str">
        <f>PRODUCE!$EA$19</f>
        <v>RICE BRAN</v>
      </c>
      <c r="O10" s="228" t="str">
        <f>PRODUCE!$EA$20</f>
        <v>EP 200</v>
      </c>
      <c r="P10" s="229" t="str">
        <f>PRODUCE!$EA$21</f>
        <v>SOYTIDE</v>
      </c>
      <c r="Q10" s="230" t="str">
        <f>PRODUCE!$EA$22</f>
        <v>DCP 18% (HARUMI)</v>
      </c>
      <c r="R10" s="231">
        <f>PRODUCE!$EA$23</f>
        <v>1</v>
      </c>
      <c r="S10" s="232">
        <f>PRODUCE!$EA$24</f>
        <v>2</v>
      </c>
      <c r="T10" s="233">
        <f>PRODUCE!$EA$25</f>
        <v>3</v>
      </c>
      <c r="U10" s="234" t="str">
        <f>PRODUCE!$EA$26</f>
        <v>PREMIX 1101 (20KG)</v>
      </c>
      <c r="V10" s="235" t="str">
        <f>PRODUCE!$EA$27</f>
        <v>PREMIX 1102 (20KG)</v>
      </c>
      <c r="W10" s="236" t="str">
        <f>PRODUCE!$EA$28</f>
        <v>PREMIX 1103 (20KG)</v>
      </c>
      <c r="X10" s="237" t="str">
        <f>PRODUCE!$EA$29</f>
        <v>PREMIX 311 (20KG)</v>
      </c>
      <c r="Y10" s="238" t="str">
        <f>PRODUCE!$EA$30</f>
        <v>PREMIX 312 (20KG)</v>
      </c>
      <c r="Z10" s="239">
        <f>PRODUCE!$EA$31</f>
        <v>1</v>
      </c>
      <c r="AA10" s="240" t="str">
        <f>PRODUCE!$EA$32</f>
        <v>PREMIX 8100 (20KG)</v>
      </c>
      <c r="AB10" s="240" t="str">
        <f>PRODUCE!$EA$33</f>
        <v>PREMIX 8101 (20KG)</v>
      </c>
      <c r="AC10" s="240" t="str">
        <f>PRODUCE!$EA$34</f>
        <v>PREMIX 8102 (20KG)</v>
      </c>
      <c r="AD10" s="240" t="str">
        <f>PRODUCE!$EA$35</f>
        <v>PREMIX 8103 (20KG)</v>
      </c>
      <c r="AE10" s="240" t="str">
        <f>PRODUCE!$EA$36</f>
        <v>PREMIX 8108 (20KG)</v>
      </c>
      <c r="AF10" s="240" t="str">
        <f>PRODUCE!$EA$37</f>
        <v>PREMIX 8109 (20KG)</v>
      </c>
      <c r="AG10" s="240" t="str">
        <f>PRODUCE!$EA$38</f>
        <v>YENMIX 121 (20KG)</v>
      </c>
      <c r="AH10" s="240" t="str">
        <f>PRODUCE!$EA$39</f>
        <v>YENMIX 122 (19.50KG)</v>
      </c>
      <c r="AI10" s="240" t="str">
        <f>PRODUCE!$EA$40</f>
        <v>YENMIX 123 (18.90KG)</v>
      </c>
      <c r="AJ10" s="240" t="str">
        <f>PRODUCE!$EA$41</f>
        <v>YENMIX 122 (20.50KG)</v>
      </c>
      <c r="AK10" s="240" t="str">
        <f>PRODUCE!$EA$42</f>
        <v>YENMIX 123 (20.00KG)</v>
      </c>
      <c r="AL10" s="240">
        <f>PRODUCE!$EA$43</f>
        <v>1</v>
      </c>
      <c r="AM10" s="240">
        <f>PRODUCE!$EA$44</f>
        <v>2</v>
      </c>
      <c r="AN10" s="240">
        <f>PRODUCE!$EA$45</f>
        <v>3</v>
      </c>
      <c r="AO10" s="240" t="str">
        <f>PRODUCE!$EA$46</f>
        <v>TOXISORB PREMIUM</v>
      </c>
      <c r="AP10" s="240" t="str">
        <f>PRODUCE!$EA$47</f>
        <v>SODIUM HUMATE 3.8% (HARUMI)</v>
      </c>
      <c r="AQ10" s="240" t="str">
        <f>PRODUCE!$EA$48</f>
        <v>TOXIWALL</v>
      </c>
      <c r="AR10" s="240" t="str">
        <f>PRODUCE!$EA$49</f>
        <v>SODIUM BICARBONATE</v>
      </c>
      <c r="AS10" s="240" t="str">
        <f>PRODUCE!$EA$50</f>
        <v>BMD 10%</v>
      </c>
      <c r="AT10" s="240" t="str">
        <f>PRODUCE!$EA$51</f>
        <v>SALT (HARUMI)</v>
      </c>
      <c r="AU10" s="240" t="str">
        <f>PRODUCE!$EA$52</f>
        <v>VISTABET 91</v>
      </c>
      <c r="AV10" s="240" t="str">
        <f>PRODUCE!$EA$53</f>
        <v>BETAFIN</v>
      </c>
      <c r="AW10" s="240" t="str">
        <f>PRODUCE!$EA$54</f>
        <v>8101 TOP UP</v>
      </c>
      <c r="AX10" s="240" t="str">
        <f>PRODUCE!$EA$55</f>
        <v>NORPONIN X03 (8102 TOP UP)</v>
      </c>
      <c r="AY10" s="240" t="str">
        <f>PRODUCE!$EA$56</f>
        <v>8102 TOP UP (4KG)</v>
      </c>
      <c r="AZ10" s="240" t="str">
        <f>PRODUCE!$EA$57</f>
        <v>8103 TOP UP (5KG)</v>
      </c>
      <c r="BA10" s="240" t="str">
        <f>PRODUCE!$EA$58</f>
        <v>L-ARGININE</v>
      </c>
      <c r="BB10" s="240" t="str">
        <f>PRODUCE!$EA$59</f>
        <v>DL-METHIONINE</v>
      </c>
      <c r="BC10" s="240" t="str">
        <f>PRODUCE!$EA$60</f>
        <v>L-THREONINE</v>
      </c>
      <c r="BD10" s="240" t="str">
        <f>PRODUCE!$EA$61</f>
        <v>L-LYSINE</v>
      </c>
      <c r="BE10" s="240" t="str">
        <f>PRODUCE!$EA$62</f>
        <v>FAECES DRY</v>
      </c>
      <c r="BF10" s="240" t="str">
        <f>PRODUCE!$EA$63</f>
        <v>ECOBIOL</v>
      </c>
      <c r="BG10" s="240" t="str">
        <f>PRODUCE!$EA$64</f>
        <v>ADDITIVE BROILER IMMUNE</v>
      </c>
      <c r="BH10" s="240" t="str">
        <f>PRODUCE!$EA$65</f>
        <v>MASTER CUBE (HARUMI)</v>
      </c>
      <c r="BI10" s="240" t="str">
        <f>PRODUCE!$EA$66</f>
        <v>1101 TOP UP (0.40KG)</v>
      </c>
      <c r="BJ10" s="240" t="str">
        <f>PRODUCE!$EA$67</f>
        <v>1102 TOP UP (0.60KG)</v>
      </c>
      <c r="BK10" s="240" t="str">
        <f>PRODUCE!$EA$68</f>
        <v>1103 TOP UP (2.00KG)</v>
      </c>
      <c r="BL10" s="240" t="str">
        <f>PRODUCE!$EA$69</f>
        <v>QUANTUM GLO 4%</v>
      </c>
      <c r="BM10" s="240" t="str">
        <f>PRODUCE!$EA$70</f>
        <v>SALT</v>
      </c>
      <c r="BN10" s="240" t="str">
        <f>PRODUCE!$EA$71</f>
        <v>OC 200 - OXYTET 20%</v>
      </c>
      <c r="BO10" s="240">
        <f>PRODUCE!$EA$72</f>
        <v>3</v>
      </c>
      <c r="BP10" s="387">
        <f>PRODUCE!$EA$73</f>
        <v>4</v>
      </c>
      <c r="BQ10" s="392" t="str">
        <f>PRODUCE!$EA$74</f>
        <v>WOVEN BAG (1101) - BLUE 50KG</v>
      </c>
      <c r="BR10" s="391" t="str">
        <f>PRODUCE!$EA$75</f>
        <v>WOVEN BAG (1102) - GREEN 50KG</v>
      </c>
      <c r="BS10" s="388" t="str">
        <f>PRODUCE!$EA$76</f>
        <v>WOVEN BAG (1103) - RED 50KG</v>
      </c>
      <c r="BT10" s="389" t="str">
        <f>PRODUCE!$EA$77</f>
        <v>PLAIN BAG 26" X 39" (50KG)</v>
      </c>
      <c r="BU10" s="350" t="str">
        <f>PRODUCE!$EA$78</f>
        <v>WOVEN BAG (8101) - KHAKI 50KG</v>
      </c>
      <c r="BV10" s="390" t="str">
        <f>PRODUCE!$EA$79</f>
        <v>WOVEN BAG (8102) - SKY BLUE 50KG</v>
      </c>
      <c r="BW10" s="240" t="str">
        <f>PRODUCE!$EA$80</f>
        <v>WOVEN BAG (8103) - BROWN 50KG</v>
      </c>
      <c r="BX10" s="240">
        <f>PRODUCE!$EA$81</f>
        <v>1</v>
      </c>
      <c r="BY10" s="240">
        <f>PRODUCE!$EA$82</f>
        <v>2</v>
      </c>
      <c r="BZ10" s="240">
        <f>PRODUCE!$EA$83</f>
        <v>3</v>
      </c>
      <c r="CA10" s="240">
        <f>PRODUCE!$EA$84</f>
        <v>4</v>
      </c>
      <c r="CB10" s="240">
        <f>PRODUCE!$EA$85</f>
        <v>5</v>
      </c>
      <c r="CC10" s="240">
        <f>PRODUCE!$EA$86</f>
        <v>6</v>
      </c>
      <c r="CD10" s="240">
        <f>PRODUCE!$EA$87</f>
        <v>7</v>
      </c>
      <c r="CE10" s="240">
        <f>PRODUCE!$EA$88</f>
        <v>8</v>
      </c>
    </row>
    <row r="11" spans="1:83" s="531" customFormat="1" outlineLevel="1">
      <c r="A11" s="536" t="s">
        <v>313</v>
      </c>
      <c r="B11" s="530">
        <f>'VAC &amp; MED'!H41</f>
        <v>241788.19999999998</v>
      </c>
      <c r="C11" s="530">
        <f>'VAC &amp; MED'!Q41</f>
        <v>48748.2</v>
      </c>
      <c r="D11" s="530">
        <f>'VAC &amp; MED'!Z41</f>
        <v>49884.999999999985</v>
      </c>
      <c r="E11" s="530">
        <f>'VAC &amp; MED'!AI41</f>
        <v>52772.200000000012</v>
      </c>
      <c r="F11" s="530">
        <f>'VAC &amp; MED'!AR41</f>
        <v>0</v>
      </c>
      <c r="G11" s="530">
        <f>'VAC &amp; MED'!BA41</f>
        <v>34316.69999999999</v>
      </c>
      <c r="H11" s="530">
        <f>'VAC &amp; MED'!BJ41</f>
        <v>21924.100000000006</v>
      </c>
      <c r="I11" s="530">
        <f>'VAC &amp; MED'!BS41</f>
        <v>0</v>
      </c>
      <c r="J11" s="530">
        <f>'VAC &amp; MED'!CB41</f>
        <v>3284.5</v>
      </c>
      <c r="K11" s="530">
        <f>'VAC &amp; MED'!CK41</f>
        <v>0</v>
      </c>
      <c r="L11" s="530">
        <f>'VAC &amp; MED'!CT41</f>
        <v>0</v>
      </c>
      <c r="M11" s="530">
        <f>'VAC &amp; MED'!DC41</f>
        <v>0</v>
      </c>
      <c r="N11" s="530">
        <f>'VAC &amp; MED'!DL41</f>
        <v>22172.799999999996</v>
      </c>
      <c r="O11" s="530">
        <f>'VAC &amp; MED'!DU41</f>
        <v>0</v>
      </c>
      <c r="P11" s="530">
        <f>'VAC &amp; MED'!ED41</f>
        <v>0</v>
      </c>
      <c r="Q11" s="530">
        <f>'VAC &amp; MED'!EM41</f>
        <v>0</v>
      </c>
      <c r="R11" s="530">
        <f>'VAC &amp; MED'!EV41</f>
        <v>0</v>
      </c>
      <c r="S11" s="530">
        <f>'VAC &amp; MED'!FE41</f>
        <v>0</v>
      </c>
      <c r="T11" s="530">
        <f>'VAC &amp; MED'!FN41</f>
        <v>0</v>
      </c>
      <c r="U11" s="530">
        <f>'VAC &amp; MED'!FW41</f>
        <v>3540</v>
      </c>
      <c r="V11" s="530">
        <f>'VAC &amp; MED'!GF41</f>
        <v>3960</v>
      </c>
      <c r="W11" s="530">
        <f>'VAC &amp; MED'!GO41</f>
        <v>3240</v>
      </c>
      <c r="X11" s="530">
        <f>'VAC &amp; MED'!GX41</f>
        <v>0</v>
      </c>
      <c r="Y11" s="530">
        <f>'VAC &amp; MED'!HG41</f>
        <v>0</v>
      </c>
      <c r="Z11" s="530">
        <f>'VAC &amp; MED'!HP41</f>
        <v>0</v>
      </c>
      <c r="AA11" s="530">
        <f>'VAC &amp; MED'!HZ41</f>
        <v>5440</v>
      </c>
      <c r="AB11" s="530">
        <f>'VAC &amp; MED'!II41</f>
        <v>5100</v>
      </c>
      <c r="AC11" s="530">
        <f>'VAC &amp; MED'!IR41</f>
        <v>16240</v>
      </c>
      <c r="AD11" s="530">
        <f>'VAC &amp; MED'!JA41</f>
        <v>13120</v>
      </c>
      <c r="AE11" s="530">
        <f>'VAC &amp; MED'!JJ41</f>
        <v>6800</v>
      </c>
      <c r="AF11" s="530">
        <f>'VAC &amp; MED'!JS41</f>
        <v>5400</v>
      </c>
      <c r="AG11" s="530">
        <f>'VAC &amp; MED'!KB41</f>
        <v>2260</v>
      </c>
      <c r="AH11" s="530">
        <f>'VAC &amp; MED'!KK41</f>
        <v>0</v>
      </c>
      <c r="AI11" s="530">
        <f>'VAC &amp; MED'!KT41</f>
        <v>0</v>
      </c>
      <c r="AJ11" s="530">
        <f>'VAC &amp; MED'!LC41</f>
        <v>0</v>
      </c>
      <c r="AK11" s="530">
        <f>'VAC &amp; MED'!LL41</f>
        <v>0</v>
      </c>
      <c r="AL11" s="530">
        <f>'VAC &amp; MED'!LU41</f>
        <v>0</v>
      </c>
      <c r="AM11" s="530">
        <f>'VAC &amp; MED'!MD41</f>
        <v>0</v>
      </c>
      <c r="AN11" s="530">
        <f>'VAC &amp; MED'!MM41</f>
        <v>0</v>
      </c>
      <c r="AO11" s="530">
        <f>'VAC &amp; MED'!MV41</f>
        <v>1969</v>
      </c>
      <c r="AP11" s="530">
        <f>'VAC &amp; MED'!NE41</f>
        <v>0</v>
      </c>
      <c r="AQ11" s="530">
        <f>'VAC &amp; MED'!NN41</f>
        <v>0</v>
      </c>
      <c r="AR11" s="530">
        <f>'VAC &amp; MED'!NW41</f>
        <v>0</v>
      </c>
      <c r="AS11" s="530">
        <f>'VAC &amp; MED'!OF41</f>
        <v>1680.5</v>
      </c>
      <c r="AT11" s="530">
        <f>'VAC &amp; MED'!OO41</f>
        <v>0</v>
      </c>
      <c r="AU11" s="530">
        <f>'VAC &amp; MED'!OX41</f>
        <v>0</v>
      </c>
      <c r="AV11" s="530">
        <f>'VAC &amp; MED'!PG41</f>
        <v>0</v>
      </c>
      <c r="AW11" s="530">
        <f>'VAC &amp; MED'!PP41</f>
        <v>160</v>
      </c>
      <c r="AX11" s="530">
        <f>'VAC &amp; MED'!PY41</f>
        <v>13.960000000000036</v>
      </c>
      <c r="AY11" s="530">
        <f>'VAC &amp; MED'!QH41</f>
        <v>0</v>
      </c>
      <c r="AZ11" s="530">
        <f>'VAC &amp; MED'!QQ41</f>
        <v>0</v>
      </c>
      <c r="BA11" s="531">
        <f>'VAC &amp; MED'!QZ41</f>
        <v>207.6</v>
      </c>
      <c r="BB11" s="531">
        <f>'VAC &amp; MED'!RI41</f>
        <v>201.8</v>
      </c>
      <c r="BC11" s="531">
        <f>'VAC &amp; MED'!RR41</f>
        <v>22.720000000000002</v>
      </c>
      <c r="BD11" s="531">
        <f>'VAC &amp; MED'!SA41</f>
        <v>0</v>
      </c>
      <c r="BE11" s="531">
        <f>'VAC &amp; MED'!SJ41</f>
        <v>0</v>
      </c>
      <c r="BF11" s="531">
        <f>'VAC &amp; MED'!SS41</f>
        <v>0</v>
      </c>
      <c r="BG11" s="531">
        <f>'VAC &amp; MED'!TB41</f>
        <v>270</v>
      </c>
      <c r="BH11" s="531">
        <f>'VAC &amp; MED'!TK41</f>
        <v>0</v>
      </c>
      <c r="BI11" s="531">
        <f>'VAC &amp; MED'!TT41</f>
        <v>0</v>
      </c>
      <c r="BJ11" s="531">
        <f>'VAC &amp; MED'!UC41</f>
        <v>0</v>
      </c>
      <c r="BK11" s="531">
        <f>'VAC &amp; MED'!UL41</f>
        <v>0</v>
      </c>
      <c r="BL11" s="531">
        <f>'VAC &amp; MED'!UU41</f>
        <v>0</v>
      </c>
      <c r="BM11" s="531">
        <f>'VAC &amp; MED'!VD41</f>
        <v>41.600000000000023</v>
      </c>
      <c r="BN11" s="531">
        <f>'VAC &amp; MED'!VM41</f>
        <v>0</v>
      </c>
      <c r="BO11" s="531">
        <f>'VAC &amp; MED'!VV41</f>
        <v>0</v>
      </c>
      <c r="BP11" s="531">
        <f>'VAC &amp; MED'!WE41</f>
        <v>0</v>
      </c>
      <c r="BQ11" s="531">
        <f>'VAC &amp; MED'!WN41</f>
        <v>9609</v>
      </c>
      <c r="BR11" s="531">
        <f>'VAC &amp; MED'!WW41</f>
        <v>8149</v>
      </c>
      <c r="BS11" s="531">
        <f>'VAC &amp; MED'!XF41</f>
        <v>911</v>
      </c>
      <c r="BT11" s="531">
        <f>'VAC &amp; MED'!XO41</f>
        <v>6240</v>
      </c>
      <c r="BU11" s="531">
        <f>'VAC &amp; MED'!XX41</f>
        <v>1901</v>
      </c>
      <c r="BV11" s="531">
        <f>'VAC &amp; MED'!YG41</f>
        <v>1885</v>
      </c>
      <c r="BW11" s="531">
        <f>'VAC &amp; MED'!YP41</f>
        <v>0</v>
      </c>
      <c r="BX11" s="531">
        <f>'VAC &amp; MED'!YY41</f>
        <v>0</v>
      </c>
      <c r="BY11" s="531">
        <f>'VAC &amp; MED'!ZH41</f>
        <v>0</v>
      </c>
      <c r="BZ11" s="531">
        <f>'VAC &amp; MED'!ZQ41</f>
        <v>0</v>
      </c>
    </row>
    <row r="12" spans="1:83" s="531" customFormat="1" outlineLevel="1">
      <c r="A12" s="536" t="s">
        <v>314</v>
      </c>
      <c r="B12" s="530">
        <f>'VAC &amp; MED'!D71</f>
        <v>573310</v>
      </c>
      <c r="C12" s="530">
        <f>'VAC &amp; MED'!M71</f>
        <v>337880</v>
      </c>
      <c r="D12" s="530">
        <f>'VAC &amp; MED'!V71</f>
        <v>81220.5</v>
      </c>
      <c r="E12" s="530">
        <f>'VAC &amp; MED'!AE71</f>
        <v>19280</v>
      </c>
      <c r="F12" s="530">
        <f>'VAC &amp; MED'!AN71</f>
        <v>0</v>
      </c>
      <c r="G12" s="530">
        <f>'VAC &amp; MED'!AW71</f>
        <v>30480</v>
      </c>
      <c r="H12" s="530">
        <f>'VAC &amp; MED'!BF71</f>
        <v>22150</v>
      </c>
      <c r="I12" s="530">
        <f>'VAC &amp; MED'!BO71</f>
        <v>24926.6</v>
      </c>
      <c r="J12" s="530">
        <f>'VAC &amp; MED'!BX71</f>
        <v>2000</v>
      </c>
      <c r="K12" s="530">
        <f>'VAC &amp; MED'!CG71</f>
        <v>7573.8000000000011</v>
      </c>
      <c r="L12" s="530">
        <f>'VAC &amp; MED'!CP71</f>
        <v>0</v>
      </c>
      <c r="M12" s="530">
        <f>'VAC &amp; MED'!CY71</f>
        <v>86490</v>
      </c>
      <c r="N12" s="530">
        <f>'VAC &amp; MED'!DH71</f>
        <v>0</v>
      </c>
      <c r="O12" s="530">
        <f>'VAC &amp; MED'!DQ71</f>
        <v>2300</v>
      </c>
      <c r="P12" s="530">
        <f>'VAC &amp; MED'!DZ71</f>
        <v>10200</v>
      </c>
      <c r="Q12" s="530">
        <f>'VAC &amp; MED'!EI71</f>
        <v>0</v>
      </c>
      <c r="R12" s="530">
        <f>'VAC &amp; MED'!ER71</f>
        <v>0</v>
      </c>
      <c r="S12" s="530">
        <f>'VAC &amp; MED'!FA71</f>
        <v>0</v>
      </c>
      <c r="T12" s="530">
        <f>'VAC &amp; MED'!FJ71</f>
        <v>0</v>
      </c>
      <c r="U12" s="530">
        <f>'VAC &amp; MED'!FS71</f>
        <v>0</v>
      </c>
      <c r="V12" s="530">
        <f>'VAC &amp; MED'!GB71</f>
        <v>2000</v>
      </c>
      <c r="W12" s="530">
        <f>'VAC &amp; MED'!GK71</f>
        <v>2000</v>
      </c>
      <c r="X12" s="530">
        <f>'VAC &amp; MED'!GT71</f>
        <v>0</v>
      </c>
      <c r="Y12" s="530">
        <f>'VAC &amp; MED'!HC71</f>
        <v>0</v>
      </c>
      <c r="Z12" s="530">
        <f>'VAC &amp; MED'!HL71</f>
        <v>0</v>
      </c>
      <c r="AA12" s="530">
        <f>'VAC &amp; MED'!HV71</f>
        <v>0</v>
      </c>
      <c r="AB12" s="530">
        <f>'VAC &amp; MED'!IE71</f>
        <v>0</v>
      </c>
      <c r="AC12" s="530">
        <f>'VAC &amp; MED'!IN71</f>
        <v>0</v>
      </c>
      <c r="AD12" s="530">
        <f>'VAC &amp; MED'!IW71</f>
        <v>2000</v>
      </c>
      <c r="AE12" s="530">
        <f>'VAC &amp; MED'!JF71</f>
        <v>0</v>
      </c>
      <c r="AF12" s="530">
        <f>'VAC &amp; MED'!JO71</f>
        <v>0</v>
      </c>
      <c r="AG12" s="530">
        <f>'VAC &amp; MED'!JX71</f>
        <v>5340</v>
      </c>
      <c r="AH12" s="530">
        <f>'VAC &amp; MED'!KG71</f>
        <v>8775</v>
      </c>
      <c r="AI12" s="530">
        <f>'VAC &amp; MED'!KP71</f>
        <v>13230</v>
      </c>
      <c r="AJ12" s="530">
        <f>'VAC &amp; MED'!KY71</f>
        <v>0</v>
      </c>
      <c r="AK12" s="530">
        <f>'VAC &amp; MED'!LH71</f>
        <v>0</v>
      </c>
      <c r="AL12" s="530">
        <f>'VAC &amp; MED'!LQ71</f>
        <v>0</v>
      </c>
      <c r="AM12" s="530">
        <f>'VAC &amp; MED'!LZ71</f>
        <v>0</v>
      </c>
      <c r="AN12" s="530">
        <f>'VAC &amp; MED'!MI71</f>
        <v>0</v>
      </c>
      <c r="AO12" s="530">
        <f>'VAC &amp; MED'!MR71</f>
        <v>4500</v>
      </c>
      <c r="AP12" s="530">
        <f>'VAC &amp; MED'!NA71</f>
        <v>2863.2</v>
      </c>
      <c r="AQ12" s="530">
        <f>'VAC &amp; MED'!NJ71</f>
        <v>0</v>
      </c>
      <c r="AR12" s="530">
        <f>'VAC &amp; MED'!NS71</f>
        <v>3037.3</v>
      </c>
      <c r="AS12" s="530">
        <f>'VAC &amp; MED'!OB71</f>
        <v>0</v>
      </c>
      <c r="AT12" s="530">
        <f>'VAC &amp; MED'!OK71</f>
        <v>2953.3999999999996</v>
      </c>
      <c r="AU12" s="530">
        <f>'VAC &amp; MED'!OT71</f>
        <v>0</v>
      </c>
      <c r="AV12" s="530">
        <f>'VAC &amp; MED'!PC71</f>
        <v>316</v>
      </c>
      <c r="AW12" s="530">
        <f>'VAC &amp; MED'!PL71</f>
        <v>0</v>
      </c>
      <c r="AX12" s="530">
        <f>'VAC &amp; MED'!PU71</f>
        <v>0</v>
      </c>
      <c r="AY12" s="530">
        <f>'VAC &amp; MED'!QD71</f>
        <v>400</v>
      </c>
      <c r="AZ12" s="530">
        <f>'VAC &amp; MED'!QM71</f>
        <v>0</v>
      </c>
      <c r="BA12" s="531">
        <f>'VAC &amp; MED'!QV71</f>
        <v>0</v>
      </c>
      <c r="BB12" s="531">
        <f>'VAC &amp; MED'!RE71</f>
        <v>0</v>
      </c>
      <c r="BC12" s="531">
        <f>'VAC &amp; MED'!RN71</f>
        <v>24.08</v>
      </c>
      <c r="BD12" s="531">
        <f>'VAC &amp; MED'!RW71</f>
        <v>0</v>
      </c>
      <c r="BE12" s="531">
        <f>'VAC &amp; MED'!SF71</f>
        <v>0</v>
      </c>
      <c r="BF12" s="531">
        <f>'VAC &amp; MED'!SO71</f>
        <v>0</v>
      </c>
      <c r="BG12" s="531">
        <f>'VAC &amp; MED'!SX71</f>
        <v>0</v>
      </c>
      <c r="BH12" s="531">
        <f>'VAC &amp; MED'!TG71</f>
        <v>0</v>
      </c>
      <c r="BI12" s="531">
        <f>'VAC &amp; MED'!TP71</f>
        <v>0</v>
      </c>
      <c r="BJ12" s="531">
        <f>'VAC &amp; MED'!TY71</f>
        <v>0</v>
      </c>
      <c r="BK12" s="531">
        <f>'VAC &amp; MED'!UH71</f>
        <v>0</v>
      </c>
      <c r="BL12" s="531">
        <f>'VAC &amp; MED'!UQ71</f>
        <v>0</v>
      </c>
      <c r="BM12" s="531">
        <f>'VAC &amp; MED'!UZ71</f>
        <v>0</v>
      </c>
      <c r="BN12" s="531">
        <f>'VAC &amp; MED'!VI71</f>
        <v>0</v>
      </c>
      <c r="BO12" s="531">
        <f>'VAC &amp; MED'!VR71</f>
        <v>0</v>
      </c>
      <c r="BP12" s="531">
        <f>'VAC &amp; MED'!WA71</f>
        <v>0</v>
      </c>
      <c r="BQ12" s="531">
        <f>'VAC &amp; MED'!WJ71</f>
        <v>0</v>
      </c>
      <c r="BR12" s="531">
        <f>'VAC &amp; MED'!WS71</f>
        <v>0</v>
      </c>
      <c r="BS12" s="531">
        <f>'VAC &amp; MED'!XB71</f>
        <v>0</v>
      </c>
      <c r="BT12" s="531">
        <f>'VAC &amp; MED'!XK71</f>
        <v>10000</v>
      </c>
      <c r="BU12" s="531">
        <f>'VAC &amp; MED'!XT71</f>
        <v>0</v>
      </c>
      <c r="BV12" s="531">
        <f>'VAC &amp; MED'!YC71</f>
        <v>707</v>
      </c>
      <c r="BW12" s="531">
        <f>'VAC &amp; MED'!YL71</f>
        <v>0</v>
      </c>
      <c r="BX12" s="531">
        <f>'VAC &amp; MED'!YU71</f>
        <v>0</v>
      </c>
      <c r="BY12" s="531">
        <f>'VAC &amp; MED'!ZD71</f>
        <v>0</v>
      </c>
      <c r="BZ12" s="531">
        <f>'VAC &amp; MED'!ZM71</f>
        <v>0</v>
      </c>
    </row>
    <row r="13" spans="1:83" s="531" customFormat="1" outlineLevel="1">
      <c r="A13" s="536" t="s">
        <v>315</v>
      </c>
      <c r="B13" s="530">
        <f>'VAC &amp; MED'!E71</f>
        <v>693552.59999999986</v>
      </c>
      <c r="C13" s="530">
        <f>'VAC &amp; MED'!N71</f>
        <v>320855.5</v>
      </c>
      <c r="D13" s="530">
        <f>'VAC &amp; MED'!W71</f>
        <v>82722</v>
      </c>
      <c r="E13" s="530">
        <f>'VAC &amp; MED'!AF71</f>
        <v>37888</v>
      </c>
      <c r="F13" s="530">
        <f>'VAC &amp; MED'!AO71</f>
        <v>0</v>
      </c>
      <c r="G13" s="530">
        <f>'VAC &amp; MED'!AX71</f>
        <v>16988</v>
      </c>
      <c r="H13" s="530">
        <f>'VAC &amp; MED'!BG71</f>
        <v>36564</v>
      </c>
      <c r="I13" s="530">
        <f>'VAC &amp; MED'!BP71</f>
        <v>24928</v>
      </c>
      <c r="J13" s="530">
        <f>'VAC &amp; MED'!BY71</f>
        <v>4415.2999999999993</v>
      </c>
      <c r="K13" s="530">
        <f>'VAC &amp; MED'!CH71</f>
        <v>6622.2</v>
      </c>
      <c r="L13" s="530">
        <f>'VAC &amp; MED'!CQ71</f>
        <v>0</v>
      </c>
      <c r="M13" s="530">
        <f>'VAC &amp; MED'!CZ71</f>
        <v>31430</v>
      </c>
      <c r="N13" s="530">
        <f>'VAC &amp; MED'!DI71</f>
        <v>21860</v>
      </c>
      <c r="O13" s="530">
        <f>'VAC &amp; MED'!DR71</f>
        <v>0</v>
      </c>
      <c r="P13" s="530">
        <f>'VAC &amp; MED'!EA71</f>
        <v>4500</v>
      </c>
      <c r="Q13" s="530">
        <f>'VAC &amp; MED'!EJ71</f>
        <v>0</v>
      </c>
      <c r="R13" s="530">
        <f>'VAC &amp; MED'!ES71</f>
        <v>0</v>
      </c>
      <c r="S13" s="530">
        <f>'VAC &amp; MED'!FB71</f>
        <v>0</v>
      </c>
      <c r="T13" s="530">
        <f>'VAC &amp; MED'!FK71</f>
        <v>0</v>
      </c>
      <c r="U13" s="530">
        <f>'VAC &amp; MED'!FT71</f>
        <v>2920</v>
      </c>
      <c r="V13" s="530">
        <f>'VAC &amp; MED'!GC71</f>
        <v>0</v>
      </c>
      <c r="W13" s="530">
        <f>'VAC &amp; MED'!GL71</f>
        <v>320</v>
      </c>
      <c r="X13" s="530">
        <f>'VAC &amp; MED'!GU71</f>
        <v>0</v>
      </c>
      <c r="Y13" s="530">
        <f>'VAC &amp; MED'!HD71</f>
        <v>0</v>
      </c>
      <c r="Z13" s="530">
        <f>'VAC &amp; MED'!HM71</f>
        <v>0</v>
      </c>
      <c r="AA13" s="530">
        <f>'VAC &amp; MED'!HW71</f>
        <v>1040</v>
      </c>
      <c r="AB13" s="530">
        <f>'VAC &amp; MED'!IF71</f>
        <v>0</v>
      </c>
      <c r="AC13" s="530">
        <f>'VAC &amp; MED'!IO71</f>
        <v>7760</v>
      </c>
      <c r="AD13" s="530">
        <f>'VAC &amp; MED'!IW71</f>
        <v>2000</v>
      </c>
      <c r="AE13" s="530">
        <f>'VAC &amp; MED'!JG71</f>
        <v>0</v>
      </c>
      <c r="AF13" s="530">
        <f>'VAC &amp; MED'!JP71</f>
        <v>0</v>
      </c>
      <c r="AG13" s="530">
        <f>'VAC &amp; MED'!JY71</f>
        <v>3600</v>
      </c>
      <c r="AH13" s="530">
        <f>'VAC &amp; MED'!KH71</f>
        <v>6864</v>
      </c>
      <c r="AI13" s="530">
        <f>'VAC &amp; MED'!KQ71</f>
        <v>2948.3999999999996</v>
      </c>
      <c r="AJ13" s="530">
        <f>'VAC &amp; MED'!KZ71</f>
        <v>0</v>
      </c>
      <c r="AK13" s="530">
        <f>'VAC &amp; MED'!LI71</f>
        <v>0</v>
      </c>
      <c r="AL13" s="530">
        <f>'VAC &amp; MED'!LR71</f>
        <v>0</v>
      </c>
      <c r="AM13" s="530">
        <f>'VAC &amp; MED'!MA71</f>
        <v>0</v>
      </c>
      <c r="AN13" s="530">
        <f>'VAC &amp; MED'!MJ71</f>
        <v>0</v>
      </c>
      <c r="AO13" s="530">
        <f>'VAC &amp; MED'!MS71</f>
        <v>1677</v>
      </c>
      <c r="AP13" s="530">
        <f>'VAC &amp; MED'!NB71</f>
        <v>3462</v>
      </c>
      <c r="AQ13" s="530">
        <f>'VAC &amp; MED'!NK71</f>
        <v>0</v>
      </c>
      <c r="AR13" s="530">
        <f>'VAC &amp; MED'!NU71</f>
        <v>1089.5999999999999</v>
      </c>
      <c r="AS13" s="530">
        <f>'VAC &amp; MED'!OD71</f>
        <v>0</v>
      </c>
      <c r="AT13" s="530">
        <f>'VAC &amp; MED'!OM71</f>
        <v>2953.3999999999996</v>
      </c>
      <c r="AU13" s="530">
        <f>'VAC &amp; MED'!OV71</f>
        <v>0</v>
      </c>
      <c r="AV13" s="530">
        <f>'VAC &amp; MED'!PE71</f>
        <v>316</v>
      </c>
      <c r="AW13" s="530">
        <f>'VAC &amp; MED'!PN71</f>
        <v>60</v>
      </c>
      <c r="AX13" s="530">
        <f>'VAC &amp; MED'!PW71</f>
        <v>0</v>
      </c>
      <c r="AY13" s="530">
        <f>'VAC &amp; MED'!QF71</f>
        <v>56</v>
      </c>
      <c r="AZ13" s="530">
        <f>'VAC &amp; MED'!QO71</f>
        <v>0</v>
      </c>
      <c r="BA13" s="531">
        <f>'VAC &amp; MED'!QX71</f>
        <v>0</v>
      </c>
      <c r="BB13" s="531">
        <f>'VAC &amp; MED'!RG71</f>
        <v>4.76</v>
      </c>
      <c r="BC13" s="531">
        <f>'VAC &amp; MED'!RP71</f>
        <v>0</v>
      </c>
      <c r="BD13" s="531">
        <f>'VAC &amp; MED'!RY71</f>
        <v>0</v>
      </c>
      <c r="BE13" s="531">
        <f>'VAC &amp; MED'!SH71</f>
        <v>0</v>
      </c>
      <c r="BF13" s="531">
        <f>'VAC &amp; MED'!SQ71</f>
        <v>0</v>
      </c>
      <c r="BG13" s="531">
        <f>'VAC &amp; MED'!SZ71</f>
        <v>270</v>
      </c>
      <c r="BH13" s="531">
        <f>'VAC &amp; MED'!TI71</f>
        <v>0</v>
      </c>
      <c r="BI13" s="531">
        <f>'VAC &amp; MED'!TR71</f>
        <v>0</v>
      </c>
      <c r="BJ13" s="531">
        <f>'VAC &amp; MED'!UA71</f>
        <v>0</v>
      </c>
      <c r="BK13" s="531">
        <f>'VAC &amp; MED'!UJ71</f>
        <v>0</v>
      </c>
      <c r="BL13" s="531">
        <f>'VAC &amp; MED'!US71</f>
        <v>0</v>
      </c>
      <c r="BM13" s="531">
        <f>'VAC &amp; MED'!VB71</f>
        <v>0</v>
      </c>
      <c r="BN13" s="531">
        <f>'VAC &amp; MED'!VK71</f>
        <v>0</v>
      </c>
      <c r="BO13" s="531">
        <f>'VAC &amp; MED'!VT71</f>
        <v>0</v>
      </c>
      <c r="BP13" s="531">
        <f>'VAC &amp; MED'!WC71</f>
        <v>0</v>
      </c>
      <c r="BQ13" s="531">
        <f>'VAC &amp; MED'!WL71</f>
        <v>2981</v>
      </c>
      <c r="BR13" s="531">
        <f>'VAC &amp; MED'!WU71</f>
        <v>1590</v>
      </c>
      <c r="BS13" s="531">
        <f>'VAC &amp; MED'!XD71</f>
        <v>321</v>
      </c>
      <c r="BT13" s="531">
        <f>'VAC &amp; MED'!XM71</f>
        <v>12849</v>
      </c>
      <c r="BU13" s="531">
        <f>'VAC &amp; MED'!XV71</f>
        <v>0</v>
      </c>
      <c r="BV13" s="531">
        <f>'VAC &amp; MED'!YE71</f>
        <v>2592</v>
      </c>
      <c r="BW13" s="531">
        <f>'VAC &amp; MED'!YN71</f>
        <v>0</v>
      </c>
      <c r="BX13" s="531">
        <f>'VAC &amp; MED'!YW71</f>
        <v>0</v>
      </c>
      <c r="BY13" s="531">
        <f>'VAC &amp; MED'!ZF71</f>
        <v>0</v>
      </c>
      <c r="BZ13" s="531">
        <f>'VAC &amp; MED'!ZO71</f>
        <v>0</v>
      </c>
    </row>
    <row r="14" spans="1:83" s="531" customFormat="1" outlineLevel="1">
      <c r="A14" s="536" t="s">
        <v>316</v>
      </c>
      <c r="B14" s="530">
        <f>'VAC &amp; MED'!G71</f>
        <v>-29930.799999999996</v>
      </c>
      <c r="C14" s="530">
        <f>'VAC &amp; MED'!P71</f>
        <v>-676.10000000001946</v>
      </c>
      <c r="D14" s="530">
        <f>'VAC &amp; MED'!Y71</f>
        <v>-10.700000000005616</v>
      </c>
      <c r="E14" s="530">
        <f>'VAC &amp; MED'!AH71</f>
        <v>-25.999999999999261</v>
      </c>
      <c r="F14" s="530">
        <f>'VAC &amp; MED'!AQ71</f>
        <v>0</v>
      </c>
      <c r="G14" s="530">
        <f>'VAC &amp; MED'!AZ71</f>
        <v>-6.6999999999998181</v>
      </c>
      <c r="H14" s="530">
        <f>'VAC &amp; MED'!BI71</f>
        <v>-8.3000000000012051</v>
      </c>
      <c r="I14" s="530">
        <f>'VAC &amp; MED'!BR71</f>
        <v>1.4000000000002046</v>
      </c>
      <c r="J14" s="530">
        <f>'VAC &amp; MED'!CA71</f>
        <v>-861.19999999999982</v>
      </c>
      <c r="K14" s="530">
        <f>'VAC &amp; MED'!CJ71</f>
        <v>-951.59999999999991</v>
      </c>
      <c r="L14" s="530">
        <f>'VAC &amp; MED'!CS71</f>
        <v>0</v>
      </c>
      <c r="M14" s="530">
        <f>'VAC &amp; MED'!DB71</f>
        <v>-7.5999999999999091</v>
      </c>
      <c r="N14" s="530">
        <f>'VAC &amp; MED'!DK71</f>
        <v>-312.8</v>
      </c>
      <c r="O14" s="530">
        <f>'VAC &amp; MED'!DT71</f>
        <v>0</v>
      </c>
      <c r="P14" s="530">
        <f>'VAC &amp; MED'!EC71</f>
        <v>-3.2000000000002728</v>
      </c>
      <c r="Q14" s="530">
        <f>'VAC &amp; MED'!EL71</f>
        <v>0</v>
      </c>
      <c r="R14" s="530">
        <f>'VAC &amp; MED'!EU71</f>
        <v>0</v>
      </c>
      <c r="S14" s="530">
        <f>'VAC &amp; MED'!FD71</f>
        <v>0</v>
      </c>
      <c r="T14" s="530">
        <f>'VAC &amp; MED'!FM71</f>
        <v>0</v>
      </c>
      <c r="U14" s="530">
        <f>'VAC &amp; MED'!FV71</f>
        <v>0</v>
      </c>
      <c r="V14" s="530">
        <f>'VAC &amp; MED'!GE71</f>
        <v>0</v>
      </c>
      <c r="W14" s="530">
        <f>'VAC &amp; MED'!GN71</f>
        <v>320</v>
      </c>
      <c r="X14" s="530">
        <f>'VAC &amp; MED'!GW71</f>
        <v>0</v>
      </c>
      <c r="Y14" s="530">
        <f>'VAC &amp; MED'!HF71</f>
        <v>0</v>
      </c>
      <c r="Z14" s="530">
        <f>'VAC &amp; MED'!HO71</f>
        <v>0</v>
      </c>
      <c r="AA14" s="530">
        <f>'VAC &amp; MED'!HY71</f>
        <v>720</v>
      </c>
      <c r="AB14" s="530">
        <f>'VAC &amp; MED'!IH71</f>
        <v>0</v>
      </c>
      <c r="AC14" s="530">
        <f>'VAC &amp; MED'!IQ71</f>
        <v>1760</v>
      </c>
      <c r="AD14" s="530">
        <f>'VAC &amp; MED'!IZ71</f>
        <v>520</v>
      </c>
      <c r="AE14" s="530">
        <f>'VAC &amp; MED'!JI71</f>
        <v>-3480</v>
      </c>
      <c r="AF14" s="530">
        <f>'VAC &amp; MED'!JR71</f>
        <v>0</v>
      </c>
      <c r="AG14" s="530">
        <f>'VAC &amp; MED'!KA71</f>
        <v>0</v>
      </c>
      <c r="AH14" s="530">
        <f>'VAC &amp; MED'!KJ71</f>
        <v>-1911</v>
      </c>
      <c r="AI14" s="530">
        <f>'VAC &amp; MED'!KS71</f>
        <v>-3742.2</v>
      </c>
      <c r="AJ14" s="530">
        <f>'VAC &amp; MED'!LB71</f>
        <v>0</v>
      </c>
      <c r="AK14" s="530">
        <f>'VAC &amp; MED'!LK71</f>
        <v>0</v>
      </c>
      <c r="AL14" s="530">
        <f>'VAC &amp; MED'!LT71</f>
        <v>0</v>
      </c>
      <c r="AM14" s="532"/>
      <c r="AN14" s="532"/>
      <c r="AO14" s="532"/>
      <c r="AP14" s="532"/>
      <c r="AQ14" s="532"/>
      <c r="AR14" s="532"/>
      <c r="AS14" s="532"/>
      <c r="AT14" s="532"/>
      <c r="AU14" s="532"/>
      <c r="AV14" s="532"/>
      <c r="AW14" s="532"/>
      <c r="AX14" s="532"/>
      <c r="AY14" s="532"/>
      <c r="AZ14" s="532"/>
      <c r="BA14" s="533"/>
      <c r="BB14" s="533"/>
      <c r="BC14" s="533"/>
      <c r="BD14" s="533"/>
      <c r="BE14" s="533"/>
      <c r="BF14" s="533"/>
      <c r="BG14" s="533"/>
      <c r="BH14" s="533"/>
      <c r="BI14" s="531">
        <f>'VAC &amp; MED'!TS71</f>
        <v>0</v>
      </c>
      <c r="BJ14" s="531">
        <f>'VAC &amp; MED'!UB71</f>
        <v>0</v>
      </c>
      <c r="BK14" s="531">
        <f>'VAC &amp; MED'!UK71</f>
        <v>0</v>
      </c>
      <c r="BL14" s="531">
        <f>'VAC &amp; MED'!UT71</f>
        <v>0</v>
      </c>
      <c r="BM14" s="531">
        <f>'VAC &amp; MED'!VC71</f>
        <v>0</v>
      </c>
      <c r="BN14" s="531">
        <f>'VAC &amp; MED'!VL71</f>
        <v>0</v>
      </c>
      <c r="BO14" s="531">
        <f>'VAC &amp; MED'!VU71</f>
        <v>0</v>
      </c>
      <c r="BP14" s="533"/>
      <c r="BQ14" s="533"/>
      <c r="BR14" s="533"/>
      <c r="BS14" s="533"/>
      <c r="BT14" s="533"/>
      <c r="BU14" s="533"/>
      <c r="BV14" s="533"/>
      <c r="BW14" s="533"/>
      <c r="BX14" s="533"/>
      <c r="BY14" s="533"/>
      <c r="BZ14" s="533"/>
      <c r="CA14" s="533"/>
      <c r="CB14" s="533"/>
      <c r="CC14" s="533"/>
      <c r="CD14" s="533"/>
      <c r="CE14" s="533"/>
    </row>
    <row r="15" spans="1:83" s="535" customFormat="1">
      <c r="A15" s="537" t="s">
        <v>171</v>
      </c>
      <c r="B15" s="534">
        <f>'VAC &amp; MED'!H71</f>
        <v>91614.800000000017</v>
      </c>
      <c r="C15" s="534">
        <f>'VAC &amp; MED'!Q71</f>
        <v>65096.600000000035</v>
      </c>
      <c r="D15" s="534">
        <f>'VAC &amp; MED'!Z71</f>
        <v>48372.799999999974</v>
      </c>
      <c r="E15" s="534">
        <f>'VAC &amp; MED'!AI71</f>
        <v>34138.200000000019</v>
      </c>
      <c r="F15" s="534">
        <f>'VAC &amp; MED'!AR71</f>
        <v>0</v>
      </c>
      <c r="G15" s="534">
        <f>'VAC &amp; MED'!BA71</f>
        <v>47801.999999999985</v>
      </c>
      <c r="H15" s="534">
        <f>'VAC &amp; MED'!BJ71</f>
        <v>7501.8000000000047</v>
      </c>
      <c r="I15" s="534">
        <f>'VAC &amp; MED'!BS71</f>
        <v>0</v>
      </c>
      <c r="J15" s="534">
        <f>'VAC &amp; MED'!CB71</f>
        <v>8.0000000000001137</v>
      </c>
      <c r="K15" s="534">
        <f>'VAC &amp; MED'!CK71</f>
        <v>0</v>
      </c>
      <c r="L15" s="534">
        <f>'VAC &amp; MED'!CT71</f>
        <v>0</v>
      </c>
      <c r="M15" s="534">
        <f>'VAC &amp; MED'!DC71</f>
        <v>55052.4</v>
      </c>
      <c r="N15" s="534">
        <f>'VAC &amp; MED'!DL71</f>
        <v>-2.8421709430404007E-12</v>
      </c>
      <c r="O15" s="534">
        <f>'VAC &amp; MED'!DU71</f>
        <v>2300</v>
      </c>
      <c r="P15" s="534">
        <f>'VAC &amp; MED'!ED71</f>
        <v>5696.8</v>
      </c>
      <c r="Q15" s="534">
        <f>'VAC &amp; MED'!EM71</f>
        <v>0</v>
      </c>
      <c r="R15" s="534">
        <f>'VAC &amp; MED'!EV71</f>
        <v>0</v>
      </c>
      <c r="S15" s="534">
        <f>'VAC &amp; MED'!FE71</f>
        <v>0</v>
      </c>
      <c r="T15" s="534">
        <f>'VAC &amp; MED'!FN71</f>
        <v>0</v>
      </c>
      <c r="U15" s="534">
        <f>'VAC &amp; MED'!FW71</f>
        <v>620</v>
      </c>
      <c r="V15" s="534">
        <f>'VAC &amp; MED'!GF71</f>
        <v>5960</v>
      </c>
      <c r="W15" s="534">
        <f>'VAC &amp; MED'!GO71</f>
        <v>5240</v>
      </c>
      <c r="X15" s="534">
        <f>'VAC &amp; MED'!GX71</f>
        <v>0</v>
      </c>
      <c r="Y15" s="534">
        <f>'VAC &amp; MED'!HG71</f>
        <v>0</v>
      </c>
      <c r="Z15" s="534">
        <f>'VAC &amp; MED'!HP71</f>
        <v>0</v>
      </c>
      <c r="AA15" s="534">
        <f>'VAC &amp; MED'!HZ71</f>
        <v>5120</v>
      </c>
      <c r="AB15" s="534">
        <f>'VAC &amp; MED'!II71</f>
        <v>5100</v>
      </c>
      <c r="AC15" s="534">
        <f>'VAC &amp; MED'!IR71</f>
        <v>10240</v>
      </c>
      <c r="AD15" s="534">
        <f>'VAC &amp; MED'!JA71</f>
        <v>15120</v>
      </c>
      <c r="AE15" s="534">
        <f>'VAC &amp; MED'!JJ71</f>
        <v>3320</v>
      </c>
      <c r="AF15" s="534">
        <f>'VAC &amp; MED'!JS71</f>
        <v>5400</v>
      </c>
      <c r="AG15" s="534">
        <f>'VAC &amp; MED'!KB71</f>
        <v>4000</v>
      </c>
      <c r="AH15" s="534">
        <f>'VAC &amp; MED'!KK71</f>
        <v>0</v>
      </c>
      <c r="AI15" s="534">
        <f>'VAC &amp; MED'!KT71</f>
        <v>6539.4000000000005</v>
      </c>
      <c r="AJ15" s="534">
        <f>'VAC &amp; MED'!LC71</f>
        <v>0</v>
      </c>
      <c r="AK15" s="534">
        <f>'VAC &amp; MED'!LL71</f>
        <v>0</v>
      </c>
      <c r="AL15" s="534">
        <f>'VAC &amp; MED'!LU71</f>
        <v>0</v>
      </c>
      <c r="AM15" s="534">
        <f>'VAC &amp; MED'!MD71</f>
        <v>0</v>
      </c>
      <c r="AN15" s="534">
        <f>'VAC &amp; MED'!MM71</f>
        <v>0</v>
      </c>
      <c r="AO15" s="534">
        <f>'VAC &amp; MED'!MV71</f>
        <v>4123</v>
      </c>
      <c r="AP15" s="534">
        <f>'VAC &amp; MED'!NE71</f>
        <v>0</v>
      </c>
      <c r="AQ15" s="534">
        <f>'VAC &amp; MED'!NN71</f>
        <v>0</v>
      </c>
      <c r="AR15" s="534">
        <f>'VAC &amp; MED'!NW71</f>
        <v>1947.7</v>
      </c>
      <c r="AS15" s="534">
        <f>'VAC &amp; MED'!OF71</f>
        <v>1680.5</v>
      </c>
      <c r="AT15" s="534">
        <f>'VAC &amp; MED'!OO71</f>
        <v>0</v>
      </c>
      <c r="AU15" s="534">
        <f>'VAC &amp; MED'!OX71</f>
        <v>0</v>
      </c>
      <c r="AV15" s="534">
        <f>'VAC &amp; MED'!PG71</f>
        <v>0</v>
      </c>
      <c r="AW15" s="534">
        <f>'VAC &amp; MED'!PP71</f>
        <v>100</v>
      </c>
      <c r="AX15" s="534">
        <f>'VAC &amp; MED'!PY71</f>
        <v>13.960000000000036</v>
      </c>
      <c r="AY15" s="534">
        <f>'VAC &amp; MED'!QH71</f>
        <v>344</v>
      </c>
      <c r="AZ15" s="534">
        <f>'VAC &amp; MED'!QQ71</f>
        <v>0</v>
      </c>
      <c r="BA15" s="535">
        <f>'VAC &amp; MED'!QZ71</f>
        <v>207.6</v>
      </c>
      <c r="BB15" s="535">
        <f>'VAC &amp; MED'!RI71</f>
        <v>197.04000000000002</v>
      </c>
      <c r="BC15" s="535">
        <f>'VAC &amp; MED'!RR71</f>
        <v>46.8</v>
      </c>
      <c r="BD15" s="535">
        <f>'VAC &amp; MED'!SA71</f>
        <v>0</v>
      </c>
      <c r="BE15" s="535">
        <f>'VAC &amp; MED'!SJ71</f>
        <v>0</v>
      </c>
      <c r="BF15" s="535">
        <f>'VAC &amp; MED'!SS71</f>
        <v>0</v>
      </c>
      <c r="BG15" s="535">
        <f>'VAC &amp; MED'!TB71</f>
        <v>0</v>
      </c>
      <c r="BH15" s="535">
        <f>'VAC &amp; MED'!TK71</f>
        <v>0</v>
      </c>
      <c r="BI15" s="535">
        <f>'VAC &amp; MED'!TT71</f>
        <v>0</v>
      </c>
      <c r="BJ15" s="535">
        <f>'VAC &amp; MED'!UC71</f>
        <v>0</v>
      </c>
      <c r="BK15" s="535">
        <f>'VAC &amp; MED'!UL71</f>
        <v>0</v>
      </c>
      <c r="BL15" s="535">
        <f>'VAC &amp; MED'!UU71</f>
        <v>0</v>
      </c>
      <c r="BM15" s="535">
        <f>'VAC &amp; MED'!VD71</f>
        <v>41.600000000000023</v>
      </c>
      <c r="BN15" s="535">
        <f>'VAC &amp; MED'!VM71</f>
        <v>0</v>
      </c>
      <c r="BO15" s="535">
        <f>'VAC &amp; MED'!VV71</f>
        <v>0</v>
      </c>
      <c r="BP15" s="535">
        <f>'VAC &amp; MED'!WE71</f>
        <v>0</v>
      </c>
      <c r="BQ15" s="535">
        <f>'VAC &amp; MED'!WN71</f>
        <v>6628</v>
      </c>
      <c r="BR15" s="535">
        <f>'VAC &amp; MED'!WW71</f>
        <v>6559</v>
      </c>
      <c r="BS15" s="535">
        <f>'VAC &amp; MED'!XF71</f>
        <v>590</v>
      </c>
      <c r="BT15" s="535">
        <f>'VAC &amp; MED'!XO71</f>
        <v>3391</v>
      </c>
      <c r="BU15" s="535">
        <f>'VAC &amp; MED'!XX71</f>
        <v>1901</v>
      </c>
      <c r="BV15" s="535">
        <f>'VAC &amp; MED'!YG71</f>
        <v>0</v>
      </c>
      <c r="BW15" s="535">
        <f>'VAC &amp; MED'!YP71</f>
        <v>0</v>
      </c>
      <c r="BX15" s="535">
        <f>'VAC &amp; MED'!YY71</f>
        <v>0</v>
      </c>
      <c r="BY15" s="535">
        <f>'VAC &amp; MED'!ZH713</f>
        <v>0</v>
      </c>
      <c r="BZ15" s="535">
        <f>'VAC &amp; MED'!ZQ71</f>
        <v>0</v>
      </c>
    </row>
    <row r="16" spans="1:83" s="2" customFormat="1" ht="16.149999999999999" thickBot="1">
      <c r="A16" s="537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</row>
    <row r="17" spans="1:83" s="2" customFormat="1" ht="47.45" thickBot="1">
      <c r="A17" s="539" t="s">
        <v>214</v>
      </c>
      <c r="B17" s="215" t="str">
        <f>PRODUCE!$EA$7</f>
        <v>MAIZE/CORN</v>
      </c>
      <c r="C17" s="216" t="str">
        <f>PRODUCE!$EA$8</f>
        <v>SOYBEAN MEAL (ARG)</v>
      </c>
      <c r="D17" s="217" t="str">
        <f>PRODUCE!$EA$9</f>
        <v>SOYBEAN FULL FAT</v>
      </c>
      <c r="E17" s="218" t="str">
        <f>PRODUCE!$EA$10</f>
        <v>WHEAT POLLARD</v>
      </c>
      <c r="F17" s="219" t="str">
        <f>PRODUCE!$EA$11</f>
        <v>WHEAT</v>
      </c>
      <c r="G17" s="220" t="str">
        <f>PRODUCE!$EA$12</f>
        <v>MEAT AND BONE MEAL</v>
      </c>
      <c r="H17" s="221" t="str">
        <f>PRODUCE!$EA$13</f>
        <v>CORN GLUTEN MEAL</v>
      </c>
      <c r="I17" s="222" t="str">
        <f>PRODUCE!$EA$14</f>
        <v>MEGAFAT (HARUMI)</v>
      </c>
      <c r="J17" s="223" t="str">
        <f>PRODUCE!$EA$15</f>
        <v>DCP 18%</v>
      </c>
      <c r="K17" s="224" t="str">
        <f>PRODUCE!$EA$16</f>
        <v>LIMESTONE POWDER (HARUMI)</v>
      </c>
      <c r="L17" s="225" t="str">
        <f>PRODUCE!$EA$17</f>
        <v>CHOLINE CHLORIDE 60%</v>
      </c>
      <c r="M17" s="226" t="str">
        <f>PRODUCE!$EA$18</f>
        <v>INDUSTRY FLOUR</v>
      </c>
      <c r="N17" s="227" t="str">
        <f>PRODUCE!$EA$19</f>
        <v>RICE BRAN</v>
      </c>
      <c r="O17" s="228" t="str">
        <f>PRODUCE!$EA$20</f>
        <v>EP 200</v>
      </c>
      <c r="P17" s="229" t="str">
        <f>PRODUCE!$EA$21</f>
        <v>SOYTIDE</v>
      </c>
      <c r="Q17" s="230" t="str">
        <f>PRODUCE!$EA$22</f>
        <v>DCP 18% (HARUMI)</v>
      </c>
      <c r="R17" s="231">
        <f>PRODUCE!$EA$23</f>
        <v>1</v>
      </c>
      <c r="S17" s="232">
        <f>PRODUCE!$EA$24</f>
        <v>2</v>
      </c>
      <c r="T17" s="233">
        <f>PRODUCE!$EA$25</f>
        <v>3</v>
      </c>
      <c r="U17" s="234" t="str">
        <f>PRODUCE!$EA$26</f>
        <v>PREMIX 1101 (20KG)</v>
      </c>
      <c r="V17" s="235" t="str">
        <f>PRODUCE!$EA$27</f>
        <v>PREMIX 1102 (20KG)</v>
      </c>
      <c r="W17" s="236" t="str">
        <f>PRODUCE!$EA$28</f>
        <v>PREMIX 1103 (20KG)</v>
      </c>
      <c r="X17" s="237" t="str">
        <f>PRODUCE!$EA$29</f>
        <v>PREMIX 311 (20KG)</v>
      </c>
      <c r="Y17" s="238" t="str">
        <f>PRODUCE!$EA$30</f>
        <v>PREMIX 312 (20KG)</v>
      </c>
      <c r="Z17" s="239">
        <f>PRODUCE!$EA$31</f>
        <v>1</v>
      </c>
      <c r="AA17" s="240" t="str">
        <f>PRODUCE!$EA$32</f>
        <v>PREMIX 8100 (20KG)</v>
      </c>
      <c r="AB17" s="240" t="str">
        <f>PRODUCE!$EA$33</f>
        <v>PREMIX 8101 (20KG)</v>
      </c>
      <c r="AC17" s="240" t="str">
        <f>PRODUCE!$EA$34</f>
        <v>PREMIX 8102 (20KG)</v>
      </c>
      <c r="AD17" s="240" t="str">
        <f>PRODUCE!$EA$35</f>
        <v>PREMIX 8103 (20KG)</v>
      </c>
      <c r="AE17" s="240" t="str">
        <f>PRODUCE!$EA$36</f>
        <v>PREMIX 8108 (20KG)</v>
      </c>
      <c r="AF17" s="240" t="str">
        <f>PRODUCE!$EA$37</f>
        <v>PREMIX 8109 (20KG)</v>
      </c>
      <c r="AG17" s="240" t="str">
        <f>PRODUCE!$EA$38</f>
        <v>YENMIX 121 (20KG)</v>
      </c>
      <c r="AH17" s="240" t="str">
        <f>PRODUCE!$EA$39</f>
        <v>YENMIX 122 (19.50KG)</v>
      </c>
      <c r="AI17" s="240" t="str">
        <f>PRODUCE!$EA$40</f>
        <v>YENMIX 123 (18.90KG)</v>
      </c>
      <c r="AJ17" s="240" t="str">
        <f>PRODUCE!$EA$41</f>
        <v>YENMIX 122 (20.50KG)</v>
      </c>
      <c r="AK17" s="240" t="str">
        <f>PRODUCE!$EA$42</f>
        <v>YENMIX 123 (20.00KG)</v>
      </c>
      <c r="AL17" s="240">
        <f>PRODUCE!$EA$43</f>
        <v>1</v>
      </c>
      <c r="AM17" s="240">
        <f>PRODUCE!$EA$44</f>
        <v>2</v>
      </c>
      <c r="AN17" s="240">
        <f>PRODUCE!$EA$45</f>
        <v>3</v>
      </c>
      <c r="AO17" s="240" t="str">
        <f>PRODUCE!$EA$46</f>
        <v>TOXISORB PREMIUM</v>
      </c>
      <c r="AP17" s="240" t="str">
        <f>PRODUCE!$EA$47</f>
        <v>SODIUM HUMATE 3.8% (HARUMI)</v>
      </c>
      <c r="AQ17" s="240" t="str">
        <f>PRODUCE!$EA$48</f>
        <v>TOXIWALL</v>
      </c>
      <c r="AR17" s="240" t="str">
        <f>PRODUCE!$EA$49</f>
        <v>SODIUM BICARBONATE</v>
      </c>
      <c r="AS17" s="240" t="str">
        <f>PRODUCE!$EA$50</f>
        <v>BMD 10%</v>
      </c>
      <c r="AT17" s="240" t="str">
        <f>PRODUCE!$EA$51</f>
        <v>SALT (HARUMI)</v>
      </c>
      <c r="AU17" s="240" t="str">
        <f>PRODUCE!$EA$52</f>
        <v>VISTABET 91</v>
      </c>
      <c r="AV17" s="240" t="str">
        <f>PRODUCE!$EA$53</f>
        <v>BETAFIN</v>
      </c>
      <c r="AW17" s="240" t="str">
        <f>PRODUCE!$EA$54</f>
        <v>8101 TOP UP</v>
      </c>
      <c r="AX17" s="240" t="str">
        <f>PRODUCE!$EA$55</f>
        <v>NORPONIN X03 (8102 TOP UP)</v>
      </c>
      <c r="AY17" s="240" t="str">
        <f>PRODUCE!$EA$56</f>
        <v>8102 TOP UP (4KG)</v>
      </c>
      <c r="AZ17" s="240" t="str">
        <f>PRODUCE!$EA$57</f>
        <v>8103 TOP UP (5KG)</v>
      </c>
      <c r="BA17" s="240" t="str">
        <f>PRODUCE!$EA$58</f>
        <v>L-ARGININE</v>
      </c>
      <c r="BB17" s="240" t="str">
        <f>PRODUCE!$EA$59</f>
        <v>DL-METHIONINE</v>
      </c>
      <c r="BC17" s="240" t="str">
        <f>PRODUCE!$EA$60</f>
        <v>L-THREONINE</v>
      </c>
      <c r="BD17" s="240" t="str">
        <f>PRODUCE!$EA$61</f>
        <v>L-LYSINE</v>
      </c>
      <c r="BE17" s="240" t="str">
        <f>PRODUCE!$EA$62</f>
        <v>FAECES DRY</v>
      </c>
      <c r="BF17" s="240" t="str">
        <f>PRODUCE!$EA$63</f>
        <v>ECOBIOL</v>
      </c>
      <c r="BG17" s="240" t="str">
        <f>PRODUCE!$EA$64</f>
        <v>ADDITIVE BROILER IMMUNE</v>
      </c>
      <c r="BH17" s="240" t="str">
        <f>PRODUCE!$EA$65</f>
        <v>MASTER CUBE (HARUMI)</v>
      </c>
      <c r="BI17" s="240" t="str">
        <f>PRODUCE!$EA$66</f>
        <v>1101 TOP UP (0.40KG)</v>
      </c>
      <c r="BJ17" s="240" t="str">
        <f>PRODUCE!$EA$67</f>
        <v>1102 TOP UP (0.60KG)</v>
      </c>
      <c r="BK17" s="240" t="str">
        <f>PRODUCE!$EA$68</f>
        <v>1103 TOP UP (2.00KG)</v>
      </c>
      <c r="BL17" s="240" t="str">
        <f>PRODUCE!$EA$69</f>
        <v>QUANTUM GLO 4%</v>
      </c>
      <c r="BM17" s="240" t="str">
        <f>PRODUCE!$EA$70</f>
        <v>SALT</v>
      </c>
      <c r="BN17" s="240" t="str">
        <f>PRODUCE!$EA$71</f>
        <v>OC 200 - OXYTET 20%</v>
      </c>
      <c r="BO17" s="240">
        <f>PRODUCE!$EA$72</f>
        <v>3</v>
      </c>
      <c r="BP17" s="387">
        <f>PRODUCE!$EA$73</f>
        <v>4</v>
      </c>
      <c r="BQ17" s="392" t="str">
        <f>PRODUCE!$EA$74</f>
        <v>WOVEN BAG (1101) - BLUE 50KG</v>
      </c>
      <c r="BR17" s="391" t="str">
        <f>PRODUCE!$EA$75</f>
        <v>WOVEN BAG (1102) - GREEN 50KG</v>
      </c>
      <c r="BS17" s="388" t="str">
        <f>PRODUCE!$EA$76</f>
        <v>WOVEN BAG (1103) - RED 50KG</v>
      </c>
      <c r="BT17" s="389" t="str">
        <f>PRODUCE!$EA$77</f>
        <v>PLAIN BAG 26" X 39" (50KG)</v>
      </c>
      <c r="BU17" s="350" t="str">
        <f>PRODUCE!$EA$78</f>
        <v>WOVEN BAG (8101) - KHAKI 50KG</v>
      </c>
      <c r="BV17" s="390" t="str">
        <f>PRODUCE!$EA$79</f>
        <v>WOVEN BAG (8102) - SKY BLUE 50KG</v>
      </c>
      <c r="BW17" s="240" t="str">
        <f>PRODUCE!$EA$80</f>
        <v>WOVEN BAG (8103) - BROWN 50KG</v>
      </c>
      <c r="BX17" s="240">
        <f>PRODUCE!$EA$81</f>
        <v>1</v>
      </c>
      <c r="BY17" s="240">
        <f>PRODUCE!$EA$82</f>
        <v>2</v>
      </c>
      <c r="BZ17" s="240">
        <f>PRODUCE!$EA$83</f>
        <v>3</v>
      </c>
      <c r="CA17" s="240">
        <f>PRODUCE!$EA$84</f>
        <v>4</v>
      </c>
      <c r="CB17" s="240">
        <f>PRODUCE!$EA$85</f>
        <v>5</v>
      </c>
      <c r="CC17" s="240">
        <f>PRODUCE!$EA$86</f>
        <v>6</v>
      </c>
      <c r="CD17" s="240">
        <f>PRODUCE!$EA$87</f>
        <v>7</v>
      </c>
      <c r="CE17" s="240">
        <f>PRODUCE!$EA$88</f>
        <v>8</v>
      </c>
    </row>
    <row r="18" spans="1:83" s="531" customFormat="1" outlineLevel="1">
      <c r="A18" s="536" t="s">
        <v>313</v>
      </c>
      <c r="B18" s="530">
        <f>'VAC &amp; MED'!H75</f>
        <v>91614.800000000017</v>
      </c>
      <c r="C18" s="530">
        <f>'VAC &amp; MED'!Q75</f>
        <v>65096.600000000035</v>
      </c>
      <c r="D18" s="530">
        <f>'VAC &amp; MED'!Z75</f>
        <v>48372.799999999974</v>
      </c>
      <c r="E18" s="530">
        <f>'VAC &amp; MED'!AI75</f>
        <v>34138.200000000019</v>
      </c>
      <c r="F18" s="530">
        <f>'VAC &amp; MED'!AR75</f>
        <v>0</v>
      </c>
      <c r="G18" s="530">
        <f>'VAC &amp; MED'!BA75</f>
        <v>47801.999999999985</v>
      </c>
      <c r="H18" s="530">
        <f>'VAC &amp; MED'!BJ75</f>
        <v>7501.8000000000047</v>
      </c>
      <c r="I18" s="530">
        <f>'VAC &amp; MED'!BS75</f>
        <v>0</v>
      </c>
      <c r="J18" s="530">
        <f>'VAC &amp; MED'!CB75</f>
        <v>8.0000000000001137</v>
      </c>
      <c r="K18" s="530">
        <f>'VAC &amp; MED'!CK75</f>
        <v>0</v>
      </c>
      <c r="L18" s="530">
        <f>'VAC &amp; MED'!CT75</f>
        <v>0</v>
      </c>
      <c r="M18" s="530">
        <f>'VAC &amp; MED'!DC75</f>
        <v>55052.4</v>
      </c>
      <c r="N18" s="530">
        <f>'VAC &amp; MED'!DL75</f>
        <v>-2.8421709430404007E-12</v>
      </c>
      <c r="O18" s="530">
        <f>'VAC &amp; MED'!DU75</f>
        <v>2300</v>
      </c>
      <c r="P18" s="530">
        <f>'VAC &amp; MED'!ED75</f>
        <v>5696.8</v>
      </c>
      <c r="Q18" s="530">
        <f>'VAC &amp; MED'!EM19</f>
        <v>0</v>
      </c>
      <c r="R18" s="530">
        <f>'VAC &amp; MED'!EV75</f>
        <v>0</v>
      </c>
      <c r="S18" s="530">
        <f>'VAC &amp; MED'!FE75</f>
        <v>0</v>
      </c>
      <c r="T18" s="530">
        <f>'VAC &amp; MED'!FN75</f>
        <v>0</v>
      </c>
      <c r="U18" s="530">
        <f>'VAC &amp; MED'!FW75</f>
        <v>620</v>
      </c>
      <c r="V18" s="530">
        <f>'VAC &amp; MED'!GF75</f>
        <v>5960</v>
      </c>
      <c r="W18" s="530">
        <f>'VAC &amp; MED'!GO75</f>
        <v>5240</v>
      </c>
      <c r="X18" s="530">
        <f>'VAC &amp; MED'!GX75</f>
        <v>0</v>
      </c>
      <c r="Y18" s="530">
        <f>'VAC &amp; MED'!HG75</f>
        <v>0</v>
      </c>
      <c r="Z18" s="530">
        <f>'VAC &amp; MED'!HP75</f>
        <v>0</v>
      </c>
      <c r="AA18" s="530">
        <f>'VAC &amp; MED'!HZ75</f>
        <v>5120</v>
      </c>
      <c r="AB18" s="530">
        <f>'VAC &amp; MED'!II75</f>
        <v>5100</v>
      </c>
      <c r="AC18" s="530">
        <f>'VAC &amp; MED'!IR75</f>
        <v>10240</v>
      </c>
      <c r="AD18" s="530">
        <f>'VAC &amp; MED'!JA75</f>
        <v>15120</v>
      </c>
      <c r="AE18" s="530">
        <f>'VAC &amp; MED'!JJ75</f>
        <v>3320</v>
      </c>
      <c r="AF18" s="530">
        <f>'VAC &amp; MED'!JS19</f>
        <v>5400</v>
      </c>
      <c r="AG18" s="530">
        <f>'VAC &amp; MED'!KB75</f>
        <v>4000</v>
      </c>
      <c r="AH18" s="530">
        <f>'VAC &amp; MED'!KK75</f>
        <v>0</v>
      </c>
      <c r="AI18" s="530">
        <f>'VAC &amp; MED'!KT75</f>
        <v>6539.4000000000005</v>
      </c>
      <c r="AJ18" s="530">
        <f>'VAC &amp; MED'!LC75</f>
        <v>0</v>
      </c>
      <c r="AK18" s="530">
        <f>'VAC &amp; MED'!LL75</f>
        <v>0</v>
      </c>
      <c r="AL18" s="530">
        <f>'VAC &amp; MED'!LU75</f>
        <v>0</v>
      </c>
      <c r="AM18" s="530">
        <f>'VAC &amp; MED'!MD75</f>
        <v>0</v>
      </c>
      <c r="AN18" s="530">
        <f>'VAC &amp; MED'!MM75</f>
        <v>0</v>
      </c>
      <c r="AO18" s="530">
        <f>'VAC &amp; MED'!MV75</f>
        <v>4123</v>
      </c>
      <c r="AP18" s="530">
        <f>'VAC &amp; MED'!NE75</f>
        <v>0</v>
      </c>
      <c r="AQ18" s="530">
        <f>'VAC &amp; MED'!NN75</f>
        <v>0</v>
      </c>
      <c r="AR18" s="530">
        <f>'VAC &amp; MED'!NW75</f>
        <v>1947.7</v>
      </c>
      <c r="AS18" s="530">
        <f>'VAC &amp; MED'!OF75</f>
        <v>1680.5</v>
      </c>
      <c r="AT18" s="530">
        <f>'VAC &amp; MED'!OO75</f>
        <v>0</v>
      </c>
      <c r="AU18" s="530">
        <f>'VAC &amp; MED'!OX75</f>
        <v>0</v>
      </c>
      <c r="AV18" s="530">
        <f>'VAC &amp; MED'!PG75</f>
        <v>0</v>
      </c>
      <c r="AW18" s="530">
        <f>'VAC &amp; MED'!PP75</f>
        <v>100</v>
      </c>
      <c r="AX18" s="530">
        <f>'VAC &amp; MED'!PY75</f>
        <v>13.960000000000036</v>
      </c>
      <c r="AY18" s="530">
        <f>'VAC &amp; MED'!QH75</f>
        <v>344</v>
      </c>
      <c r="AZ18" s="530">
        <f>'VAC &amp; MED'!QQ75</f>
        <v>0</v>
      </c>
      <c r="BA18" s="531">
        <f>'VAC &amp; MED'!QZ75</f>
        <v>207.6</v>
      </c>
      <c r="BB18" s="531">
        <f>'VAC &amp; MED'!RI75</f>
        <v>197.04000000000002</v>
      </c>
      <c r="BC18" s="531">
        <f>'VAC &amp; MED'!RR75</f>
        <v>46.8</v>
      </c>
      <c r="BD18" s="531">
        <f>'VAC &amp; MED'!SA75</f>
        <v>0</v>
      </c>
      <c r="BE18" s="531">
        <f>'VAC &amp; MED'!SJ75</f>
        <v>0</v>
      </c>
      <c r="BF18" s="531">
        <f>'VAC &amp; MED'!SS75</f>
        <v>0</v>
      </c>
      <c r="BG18" s="531">
        <f>'VAC &amp; MED'!TB75</f>
        <v>0</v>
      </c>
      <c r="BH18" s="531">
        <f>'VAC &amp; MED'!TK75</f>
        <v>0</v>
      </c>
      <c r="BI18" s="531">
        <f>'VAC &amp; MED'!TT75</f>
        <v>0</v>
      </c>
      <c r="BJ18" s="531">
        <f>'VAC &amp; MED'!UC75</f>
        <v>0</v>
      </c>
      <c r="BK18" s="531">
        <f>'VAC &amp; MED'!UL75</f>
        <v>0</v>
      </c>
      <c r="BL18" s="531">
        <f>'VAC &amp; MED'!UU75</f>
        <v>0</v>
      </c>
      <c r="BM18" s="531">
        <f>'VAC &amp; MED'!VD75</f>
        <v>41.600000000000023</v>
      </c>
      <c r="BN18" s="531">
        <f>'VAC &amp; MED'!VM75</f>
        <v>0</v>
      </c>
      <c r="BO18" s="531">
        <f>'VAC &amp; MED'!VV75</f>
        <v>0</v>
      </c>
      <c r="BP18" s="531">
        <f>'VAC &amp; MED'!WE75</f>
        <v>0</v>
      </c>
      <c r="BQ18" s="531">
        <f>'VAC &amp; MED'!WN75</f>
        <v>6628</v>
      </c>
      <c r="BR18" s="531">
        <f>'VAC &amp; MED'!WW75</f>
        <v>6559</v>
      </c>
      <c r="BS18" s="531">
        <f>'VAC &amp; MED'!XF75</f>
        <v>590</v>
      </c>
      <c r="BT18" s="531">
        <f>'VAC &amp; MED'!XO75</f>
        <v>3391</v>
      </c>
      <c r="BU18" s="531">
        <f>'VAC &amp; MED'!XX75</f>
        <v>1901</v>
      </c>
      <c r="BV18" s="531">
        <f>'VAC &amp; MED'!YG75</f>
        <v>0</v>
      </c>
      <c r="BW18" s="531">
        <f>'VAC &amp; MED'!YP75</f>
        <v>0</v>
      </c>
      <c r="BX18" s="531">
        <f>'VAC &amp; MED'!YY75</f>
        <v>0</v>
      </c>
      <c r="BY18" s="531">
        <f>'VAC &amp; MED'!ZH75</f>
        <v>0</v>
      </c>
      <c r="BZ18" s="531">
        <f>'VAC &amp; MED'!ZQ75</f>
        <v>0</v>
      </c>
    </row>
    <row r="19" spans="1:83" s="531" customFormat="1" outlineLevel="1">
      <c r="A19" s="536" t="s">
        <v>314</v>
      </c>
      <c r="B19" s="530">
        <f>'VAC &amp; MED'!D107</f>
        <v>822130</v>
      </c>
      <c r="C19" s="530">
        <f>'VAC &amp; MED'!M107</f>
        <v>284831.8</v>
      </c>
      <c r="D19" s="530">
        <f>'VAC &amp; MED'!V107</f>
        <v>80280</v>
      </c>
      <c r="E19" s="530">
        <f>'VAC &amp; MED'!AE107</f>
        <v>30490</v>
      </c>
      <c r="F19" s="530">
        <f>'VAC &amp; MED'!AN107</f>
        <v>0</v>
      </c>
      <c r="G19" s="530">
        <f>'VAC &amp; MED'!AW107</f>
        <v>0</v>
      </c>
      <c r="H19" s="530">
        <f>'VAC &amp; MED'!BF107</f>
        <v>44369.7</v>
      </c>
      <c r="I19" s="530">
        <f>'VAC &amp; MED'!BO107</f>
        <v>33929.599999999999</v>
      </c>
      <c r="J19" s="530">
        <f>'VAC &amp; MED'!BX107</f>
        <v>18000</v>
      </c>
      <c r="K19" s="530">
        <f>'VAC &amp; MED'!CG107</f>
        <v>9326.7999999999993</v>
      </c>
      <c r="L19" s="530">
        <f>'VAC &amp; MED'!CP107</f>
        <v>0</v>
      </c>
      <c r="M19" s="530">
        <f>'VAC &amp; MED'!CY107</f>
        <v>35280</v>
      </c>
      <c r="N19" s="530">
        <f>'VAC &amp; MED'!DH107</f>
        <v>45900</v>
      </c>
      <c r="O19" s="530">
        <f>'VAC &amp; MED'!DQ107</f>
        <v>4850</v>
      </c>
      <c r="P19" s="530">
        <f>'VAC &amp; MED'!DZ107</f>
        <v>0</v>
      </c>
      <c r="Q19" s="530">
        <f>'VAC &amp; MED'!EI107</f>
        <v>0</v>
      </c>
      <c r="R19" s="530">
        <f>'VAC &amp; MED'!ER107</f>
        <v>0</v>
      </c>
      <c r="S19" s="530">
        <f>'VAC &amp; MED'!FA107</f>
        <v>0</v>
      </c>
      <c r="T19" s="530">
        <f>'VAC &amp; MED'!FJ107</f>
        <v>0</v>
      </c>
      <c r="U19" s="530">
        <f>'VAC &amp; MED'!FS107</f>
        <v>4000</v>
      </c>
      <c r="V19" s="530">
        <f>'VAC &amp; MED'!GB107</f>
        <v>4000</v>
      </c>
      <c r="W19" s="530">
        <f>'VAC &amp; MED'!GK107</f>
        <v>0</v>
      </c>
      <c r="X19" s="530">
        <f>'VAC &amp; MED'!GT107</f>
        <v>0</v>
      </c>
      <c r="Y19" s="530">
        <f>'VAC &amp; MED'!HC107</f>
        <v>0</v>
      </c>
      <c r="Z19" s="530">
        <f>'VAC &amp; MED'!HL107</f>
        <v>0</v>
      </c>
      <c r="AA19" s="530">
        <f>'VAC &amp; MED'!HV107</f>
        <v>0</v>
      </c>
      <c r="AB19" s="530">
        <f>'VAC &amp; MED'!IE107</f>
        <v>1440</v>
      </c>
      <c r="AC19" s="530">
        <f>'VAC &amp; MED'!IN107</f>
        <v>1300</v>
      </c>
      <c r="AD19" s="530">
        <f>'VAC &amp; MED'!IW107</f>
        <v>0</v>
      </c>
      <c r="AE19" s="530">
        <f>'VAC &amp; MED'!JF107</f>
        <v>1720</v>
      </c>
      <c r="AF19" s="530">
        <f>'VAC &amp; MED'!JO107</f>
        <v>3700</v>
      </c>
      <c r="AG19" s="530">
        <f>'VAC &amp; MED'!JX107</f>
        <v>4140</v>
      </c>
      <c r="AH19" s="530">
        <f>'VAC &amp; MED'!KG107</f>
        <v>12577.5</v>
      </c>
      <c r="AI19" s="530">
        <f>'VAC &amp; MED'!KP107</f>
        <v>8467.1999999999989</v>
      </c>
      <c r="AJ19" s="530">
        <f>'VAC &amp; MED'!KY107</f>
        <v>0</v>
      </c>
      <c r="AK19" s="530">
        <f>'VAC &amp; MED'!LH107</f>
        <v>0</v>
      </c>
      <c r="AL19" s="530">
        <f>'VAC &amp; MED'!LQ107</f>
        <v>0</v>
      </c>
      <c r="AM19" s="530">
        <f>'VAC &amp; MED'!LZ107</f>
        <v>0</v>
      </c>
      <c r="AN19" s="530">
        <f>'VAC &amp; MED'!MI107</f>
        <v>0</v>
      </c>
      <c r="AO19" s="530">
        <f>'VAC &amp; MED'!MR107</f>
        <v>2000</v>
      </c>
      <c r="AP19" s="530">
        <f>'VAC &amp; MED'!NA107</f>
        <v>2478</v>
      </c>
      <c r="AQ19" s="530">
        <f>'VAC &amp; MED'!NJ107</f>
        <v>2065</v>
      </c>
      <c r="AR19" s="530">
        <f>'VAC &amp; MED'!NS107</f>
        <v>3000</v>
      </c>
      <c r="AS19" s="530">
        <f>'VAC &amp; MED'!OB107</f>
        <v>0</v>
      </c>
      <c r="AT19" s="530">
        <f>'VAC &amp; MED'!OK107</f>
        <v>2160</v>
      </c>
      <c r="AU19" s="530">
        <f>'VAC &amp; MED'!OT107</f>
        <v>2000</v>
      </c>
      <c r="AV19" s="530">
        <f>'VAC &amp; MED'!PC107</f>
        <v>0</v>
      </c>
      <c r="AW19" s="530">
        <f>'VAC &amp; MED'!PL107</f>
        <v>0</v>
      </c>
      <c r="AX19" s="530">
        <f>'VAC &amp; MED'!PU107</f>
        <v>0</v>
      </c>
      <c r="AY19" s="530">
        <f>'VAC &amp; MED'!QD107</f>
        <v>868</v>
      </c>
      <c r="AZ19" s="530">
        <f>'VAC &amp; MED'!QM107</f>
        <v>400</v>
      </c>
      <c r="BA19" s="531">
        <f>'VAC &amp; MED'!QV107</f>
        <v>0</v>
      </c>
      <c r="BB19" s="531">
        <f>'VAC &amp; MED'!RE107</f>
        <v>0</v>
      </c>
      <c r="BC19" s="531">
        <f>'VAC &amp; MED'!RN107</f>
        <v>0</v>
      </c>
      <c r="BD19" s="531">
        <f>'VAC &amp; MED'!RW107</f>
        <v>0</v>
      </c>
      <c r="BE19" s="531">
        <f>'VAC &amp; MED'!SF107</f>
        <v>0</v>
      </c>
      <c r="BF19" s="531">
        <f>'VAC &amp; MED'!SO107</f>
        <v>0</v>
      </c>
      <c r="BG19" s="531">
        <f>'VAC &amp; MED'!SX107</f>
        <v>0</v>
      </c>
      <c r="BH19" s="531">
        <f>'VAC &amp; MED'!TG107</f>
        <v>0</v>
      </c>
      <c r="BI19" s="531">
        <f>'VAC &amp; MED'!TP107</f>
        <v>0</v>
      </c>
      <c r="BJ19" s="531">
        <f>'VAC &amp; MED'!TY107</f>
        <v>0</v>
      </c>
      <c r="BK19" s="531">
        <f>'VAC &amp; MED'!UH107</f>
        <v>0</v>
      </c>
      <c r="BL19" s="531">
        <f>'VAC &amp; MED'!UQ107</f>
        <v>0</v>
      </c>
      <c r="BM19" s="531">
        <f>'VAC &amp; MED'!UZ107</f>
        <v>0</v>
      </c>
      <c r="BN19" s="531">
        <f>'VAC &amp; MED'!VI107</f>
        <v>0</v>
      </c>
      <c r="BO19" s="531">
        <f>'VAC &amp; MED'!VR107</f>
        <v>0</v>
      </c>
      <c r="BP19" s="531">
        <f>'VAC &amp; MED'!WA107</f>
        <v>0</v>
      </c>
      <c r="BQ19" s="531">
        <f>'VAC &amp; MED'!WJ107</f>
        <v>0</v>
      </c>
      <c r="BR19" s="531">
        <f>'VAC &amp; MED'!WS107</f>
        <v>211</v>
      </c>
      <c r="BS19" s="531">
        <f>'VAC &amp; MED'!XB107</f>
        <v>6552</v>
      </c>
      <c r="BT19" s="531">
        <f>'VAC &amp; MED'!XK107</f>
        <v>8000</v>
      </c>
      <c r="BU19" s="531">
        <f>'VAC &amp; MED'!XT107</f>
        <v>0</v>
      </c>
      <c r="BV19" s="531">
        <f>'VAC &amp; MED'!YC107</f>
        <v>6459</v>
      </c>
      <c r="BW19" s="531">
        <f>'VAC &amp; MED'!YL107</f>
        <v>0</v>
      </c>
      <c r="BX19" s="531">
        <f>'VAC &amp; MED'!YU107</f>
        <v>0</v>
      </c>
      <c r="BY19" s="531">
        <f>'VAC &amp; MED'!ZD107</f>
        <v>0</v>
      </c>
      <c r="BZ19" s="531">
        <f>'VAC &amp; MED'!ZM107</f>
        <v>0</v>
      </c>
    </row>
    <row r="20" spans="1:83" s="531" customFormat="1" outlineLevel="1">
      <c r="A20" s="536" t="s">
        <v>315</v>
      </c>
      <c r="B20" s="530">
        <f>'VAC &amp; MED'!E107</f>
        <v>875753</v>
      </c>
      <c r="C20" s="530">
        <f>'VAC &amp; MED'!N107</f>
        <v>350598</v>
      </c>
      <c r="D20" s="530">
        <f>'VAC &amp; MED'!W107</f>
        <v>108618</v>
      </c>
      <c r="E20" s="530">
        <f>'VAC &amp; MED'!AF107</f>
        <v>38304</v>
      </c>
      <c r="F20" s="530">
        <f>'VAC &amp; MED'!AO107</f>
        <v>0</v>
      </c>
      <c r="G20" s="530">
        <f>'VAC &amp; MED'!AX107</f>
        <v>10569</v>
      </c>
      <c r="H20" s="530">
        <f>'VAC &amp; MED'!BG107</f>
        <v>51856</v>
      </c>
      <c r="I20" s="530">
        <f>'VAC &amp; MED'!BP107</f>
        <v>33930</v>
      </c>
      <c r="J20" s="530">
        <f>'VAC &amp; MED'!BY107</f>
        <v>6718.2</v>
      </c>
      <c r="K20" s="530">
        <f>'VAC &amp; MED'!CH107</f>
        <v>11948.8</v>
      </c>
      <c r="L20" s="530">
        <f>'VAC &amp; MED'!CQ107</f>
        <v>0</v>
      </c>
      <c r="M20" s="530">
        <f>'VAC &amp; MED'!CZ107</f>
        <v>58460</v>
      </c>
      <c r="N20" s="530">
        <f>'VAC &amp; MED'!DI107</f>
        <v>39280</v>
      </c>
      <c r="O20" s="530">
        <f>'VAC &amp; MED'!DR107</f>
        <v>0</v>
      </c>
      <c r="P20" s="530">
        <f>'VAC &amp; MED'!EB107</f>
        <v>3849.5</v>
      </c>
      <c r="Q20" s="530">
        <f>'VAC &amp; MED'!EJ107</f>
        <v>0</v>
      </c>
      <c r="R20" s="530">
        <f>'VAC &amp; MED'!ES107</f>
        <v>0</v>
      </c>
      <c r="S20" s="530">
        <f>'VAC &amp; MED'!FB107</f>
        <v>0</v>
      </c>
      <c r="T20" s="530">
        <f>'VAC &amp; MED'!FK107</f>
        <v>0</v>
      </c>
      <c r="U20" s="530">
        <f>'VAC &amp; MED'!FT107</f>
        <v>2640</v>
      </c>
      <c r="V20" s="530">
        <f>'VAC &amp; MED'!GC107</f>
        <v>6680</v>
      </c>
      <c r="W20" s="530">
        <f>'VAC &amp; MED'!GL107</f>
        <v>760</v>
      </c>
      <c r="X20" s="530">
        <f>'VAC &amp; MED'!GU107</f>
        <v>0</v>
      </c>
      <c r="Y20" s="530">
        <f>'VAC &amp; MED'!HD107</f>
        <v>0</v>
      </c>
      <c r="Z20" s="530">
        <f>'VAC &amp; MED'!HM107</f>
        <v>0</v>
      </c>
      <c r="AA20" s="530">
        <f>'VAC &amp; MED'!HW107</f>
        <v>0</v>
      </c>
      <c r="AB20" s="530">
        <f>'VAC &amp; MED'!IF107</f>
        <v>0</v>
      </c>
      <c r="AC20" s="530">
        <f>'VAC &amp; MED'!IO107</f>
        <v>0</v>
      </c>
      <c r="AD20" s="530">
        <f>'VAC &amp; MED'!IX107</f>
        <v>0</v>
      </c>
      <c r="AE20" s="530">
        <f>'VAC &amp; MED'!JG107</f>
        <v>0</v>
      </c>
      <c r="AF20" s="530">
        <f>'VAC &amp; MED'!JP107</f>
        <v>0</v>
      </c>
      <c r="AG20" s="530">
        <f>'VAC &amp; MED'!JY107</f>
        <v>3200</v>
      </c>
      <c r="AH20" s="530">
        <f>'VAC &amp; MED'!KH107</f>
        <v>6396</v>
      </c>
      <c r="AI20" s="530">
        <f>'VAC &amp; MED'!KQ107</f>
        <v>12096</v>
      </c>
      <c r="AJ20" s="530">
        <f>'VAC &amp; MED'!KZ107</f>
        <v>0</v>
      </c>
      <c r="AK20" s="530">
        <f>'VAC &amp; MED'!LI107</f>
        <v>0</v>
      </c>
      <c r="AL20" s="530">
        <f>'VAC &amp; MED'!LR107</f>
        <v>0</v>
      </c>
      <c r="AM20" s="530">
        <f>'VAC &amp; MED'!MA107</f>
        <v>0</v>
      </c>
      <c r="AN20" s="530">
        <f>'VAC &amp; MED'!MJ107</f>
        <v>0</v>
      </c>
      <c r="AO20" s="530">
        <f>'VAC &amp; MED'!MS107</f>
        <v>2308</v>
      </c>
      <c r="AP20" s="530">
        <f>'VAC &amp; MED'!NB107</f>
        <v>3384</v>
      </c>
      <c r="AQ20" s="530">
        <f>'VAC &amp; MED'!NK107</f>
        <v>50</v>
      </c>
      <c r="AR20" s="530">
        <f>'VAC &amp; MED'!NU107</f>
        <v>795.19999999999993</v>
      </c>
      <c r="AS20" s="530">
        <f>'VAC &amp; MED'!OD107</f>
        <v>0</v>
      </c>
      <c r="AT20" s="530">
        <f>'VAC &amp; MED'!OM107</f>
        <v>2160</v>
      </c>
      <c r="AU20" s="530">
        <f>'VAC &amp; MED'!OV107</f>
        <v>1000</v>
      </c>
      <c r="AV20" s="530">
        <f>'VAC &amp; MED'!PE107</f>
        <v>0</v>
      </c>
      <c r="AW20" s="530">
        <f>'VAC &amp; MED'!PN107</f>
        <v>0</v>
      </c>
      <c r="AX20" s="530">
        <f>'VAC &amp; MED'!PW107</f>
        <v>0</v>
      </c>
      <c r="AY20" s="530">
        <f>'VAC &amp; MED'!QF107</f>
        <v>0</v>
      </c>
      <c r="AZ20" s="530">
        <f>'VAC &amp; MED'!QO107</f>
        <v>0</v>
      </c>
      <c r="BA20" s="531">
        <f>'VAC &amp; MED'!QX107</f>
        <v>0</v>
      </c>
      <c r="BB20" s="531">
        <f>'VAC &amp; MED'!RG107</f>
        <v>0</v>
      </c>
      <c r="BC20" s="531">
        <f>'VAC &amp; MED'!RP107</f>
        <v>0</v>
      </c>
      <c r="BD20" s="531">
        <f>'VAC &amp; MED'!RY107</f>
        <v>0</v>
      </c>
      <c r="BE20" s="531">
        <f>'VAC &amp; MED'!SH107</f>
        <v>0</v>
      </c>
      <c r="BF20" s="531">
        <f>'VAC &amp; MED'!SQ107</f>
        <v>0</v>
      </c>
      <c r="BG20" s="531">
        <f>'VAC &amp; MED'!SZ107</f>
        <v>0</v>
      </c>
      <c r="BH20" s="531">
        <f>'VAC &amp; MED'!TI107</f>
        <v>0</v>
      </c>
      <c r="BI20" s="531">
        <f>'VAC &amp; MED'!TR107</f>
        <v>0</v>
      </c>
      <c r="BJ20" s="531">
        <f>'VAC &amp; MED'!UA107</f>
        <v>0</v>
      </c>
      <c r="BK20" s="531">
        <f>'VAC &amp; MED'!UJ107</f>
        <v>0</v>
      </c>
      <c r="BL20" s="531">
        <f>'VAC &amp; MED'!US107</f>
        <v>0</v>
      </c>
      <c r="BM20" s="531">
        <f>'VAC &amp; MED'!VB107</f>
        <v>0</v>
      </c>
      <c r="BN20" s="531">
        <f>'VAC &amp; MED'!VK107</f>
        <v>0</v>
      </c>
      <c r="BO20" s="531">
        <f>'VAC &amp; MED'!VT107</f>
        <v>0</v>
      </c>
      <c r="BP20" s="531">
        <f>'VAC &amp; MED'!WC107</f>
        <v>0</v>
      </c>
      <c r="BQ20" s="531">
        <f>'VAC &amp; MED'!WL107</f>
        <v>2739</v>
      </c>
      <c r="BR20" s="531">
        <f>'VAC &amp; MED'!WU107</f>
        <v>6770</v>
      </c>
      <c r="BS20" s="531">
        <f>'VAC &amp; MED'!XD107</f>
        <v>793</v>
      </c>
      <c r="BT20" s="531">
        <f>'VAC &amp; MED'!XM107</f>
        <v>5402</v>
      </c>
      <c r="BU20" s="531">
        <f>'VAC &amp; MED'!XV107</f>
        <v>0</v>
      </c>
      <c r="BV20" s="531">
        <f>'VAC &amp; MED'!YE107</f>
        <v>0</v>
      </c>
      <c r="BW20" s="531">
        <f>'VAC &amp; MED'!YN107</f>
        <v>0</v>
      </c>
      <c r="BX20" s="531">
        <f>'VAC &amp; MED'!YW107</f>
        <v>0</v>
      </c>
      <c r="BY20" s="531">
        <f>'VAC &amp; MED'!ZF107</f>
        <v>0</v>
      </c>
      <c r="BZ20" s="531">
        <f>'VAC &amp; MED'!ZO107</f>
        <v>0</v>
      </c>
    </row>
    <row r="21" spans="1:83" s="531" customFormat="1" outlineLevel="1">
      <c r="A21" s="536" t="s">
        <v>316</v>
      </c>
      <c r="B21" s="530">
        <f>'VAC &amp; MED'!G107</f>
        <v>-10151.800000000005</v>
      </c>
      <c r="C21" s="530">
        <f>'VAC &amp; MED'!P107</f>
        <v>-0.39999999999417923</v>
      </c>
      <c r="D21" s="530">
        <f>'VAC &amp; MED'!Y107</f>
        <v>-16.400000000003558</v>
      </c>
      <c r="E21" s="530">
        <f>'VAC &amp; MED'!AH107</f>
        <v>-31.499999999999659</v>
      </c>
      <c r="F21" s="530">
        <f>'VAC &amp; MED'!AQ107</f>
        <v>0</v>
      </c>
      <c r="G21" s="530">
        <f>'VAC &amp; MED'!AZ107</f>
        <v>-19846.3</v>
      </c>
      <c r="H21" s="530">
        <f>'VAC &amp; MED'!BI107</f>
        <v>-15.500000000000625</v>
      </c>
      <c r="I21" s="530">
        <f>'VAC &amp; MED'!BR107</f>
        <v>0.3999999999996362</v>
      </c>
      <c r="J21" s="530">
        <f>'VAC &amp; MED'!CA107</f>
        <v>523.10000000000048</v>
      </c>
      <c r="K21" s="530">
        <f>'VAC &amp; MED'!CJ107</f>
        <v>2622.0000000000014</v>
      </c>
      <c r="L21" s="530">
        <f>'VAC &amp; MED'!CS107</f>
        <v>0</v>
      </c>
      <c r="M21" s="530">
        <f>'VAC &amp; MED'!DB107</f>
        <v>-2.7000000000026603</v>
      </c>
      <c r="N21" s="530">
        <f>'VAC &amp; MED'!DK107</f>
        <v>38.999999999998657</v>
      </c>
      <c r="O21" s="530">
        <f>'VAC &amp; MED'!DT107</f>
        <v>0</v>
      </c>
      <c r="P21" s="530"/>
      <c r="Q21" s="530">
        <f>'VAC &amp; MED'!EL107</f>
        <v>0</v>
      </c>
      <c r="R21" s="530">
        <f>'VAC &amp; MED'!EU107</f>
        <v>0</v>
      </c>
      <c r="S21" s="530">
        <f>'VAC &amp; MED'!FD107</f>
        <v>0</v>
      </c>
      <c r="T21" s="530">
        <f>'VAC &amp; MED'!FM107</f>
        <v>0</v>
      </c>
      <c r="U21" s="530">
        <f>'VAC &amp; MED'!FV107</f>
        <v>0</v>
      </c>
      <c r="V21" s="530">
        <f>'VAC &amp; MED'!GE107</f>
        <v>-1280</v>
      </c>
      <c r="W21" s="530">
        <f>'VAC &amp; MED'!GN107</f>
        <v>320</v>
      </c>
      <c r="X21" s="530">
        <f>'VAC &amp; MED'!GW107</f>
        <v>0</v>
      </c>
      <c r="Y21" s="530">
        <f>'VAC &amp; MED'!HF107</f>
        <v>0</v>
      </c>
      <c r="Z21" s="530">
        <f>'VAC &amp; MED'!HO107</f>
        <v>0</v>
      </c>
      <c r="AA21" s="530">
        <f>'VAC &amp; MED'!HY107</f>
        <v>0</v>
      </c>
      <c r="AB21" s="530">
        <f>'VAC &amp; MED'!IH107</f>
        <v>0</v>
      </c>
      <c r="AC21" s="530">
        <f>'VAC &amp; MED'!IQ107</f>
        <v>0</v>
      </c>
      <c r="AD21" s="530">
        <f>'VAC &amp; MED'!IZ107</f>
        <v>0</v>
      </c>
      <c r="AE21" s="530">
        <f>'VAC &amp; MED'!JI107</f>
        <v>0</v>
      </c>
      <c r="AF21" s="530">
        <f>'VAC &amp; MED'!JR107</f>
        <v>0</v>
      </c>
      <c r="AG21" s="530">
        <f>'VAC &amp; MED'!KA107</f>
        <v>-720</v>
      </c>
      <c r="AH21" s="530">
        <f>'VAC &amp; MED'!KJ107</f>
        <v>1521</v>
      </c>
      <c r="AI21" s="530">
        <f>'VAC &amp; MED'!KS107</f>
        <v>3515.3999999999996</v>
      </c>
      <c r="AJ21" s="530">
        <f>'VAC &amp; MED'!LB107</f>
        <v>0</v>
      </c>
      <c r="AK21" s="530">
        <f>'VAC &amp; MED'!LK107</f>
        <v>0</v>
      </c>
      <c r="AL21" s="530">
        <f>'VAC &amp; MED'!LT107</f>
        <v>0</v>
      </c>
      <c r="AM21" s="532"/>
      <c r="AN21" s="532"/>
      <c r="AO21" s="532"/>
      <c r="AP21" s="532"/>
      <c r="AQ21" s="532"/>
      <c r="AR21" s="532"/>
      <c r="AS21" s="532"/>
      <c r="AT21" s="532"/>
      <c r="AU21" s="532"/>
      <c r="AV21" s="532"/>
      <c r="AW21" s="532"/>
      <c r="AX21" s="532"/>
      <c r="AY21" s="532"/>
      <c r="AZ21" s="532"/>
      <c r="BA21" s="533"/>
      <c r="BB21" s="533"/>
      <c r="BC21" s="533"/>
      <c r="BD21" s="533"/>
      <c r="BE21" s="533"/>
      <c r="BF21" s="533"/>
      <c r="BG21" s="533"/>
      <c r="BH21" s="533"/>
      <c r="BI21" s="531">
        <f>'VAC &amp; MED'!TS107</f>
        <v>0</v>
      </c>
      <c r="BJ21" s="531">
        <f>'VAC &amp; MED'!UB107</f>
        <v>0</v>
      </c>
      <c r="BK21" s="531">
        <f>'VAC &amp; MED'!UK107</f>
        <v>0</v>
      </c>
      <c r="BL21" s="531">
        <f>'VAC &amp; MED'!UT107</f>
        <v>0</v>
      </c>
      <c r="BM21" s="531">
        <f>'VAC &amp; MED'!VC107</f>
        <v>0</v>
      </c>
      <c r="BN21" s="531">
        <f>'VAC &amp; MED'!VL107</f>
        <v>0</v>
      </c>
      <c r="BO21" s="531">
        <f>'VAC &amp; MED'!VU107</f>
        <v>0</v>
      </c>
      <c r="BP21" s="533"/>
      <c r="BQ21" s="533"/>
      <c r="BR21" s="533"/>
      <c r="BS21" s="533"/>
      <c r="BT21" s="533"/>
      <c r="BU21" s="533"/>
      <c r="BV21" s="533"/>
      <c r="BW21" s="533"/>
      <c r="BX21" s="533"/>
      <c r="BY21" s="533"/>
      <c r="BZ21" s="533"/>
      <c r="CA21" s="533"/>
      <c r="CB21" s="533"/>
      <c r="CC21" s="533"/>
      <c r="CD21" s="533"/>
      <c r="CE21" s="533"/>
    </row>
    <row r="22" spans="1:83" s="535" customFormat="1">
      <c r="A22" s="537" t="s">
        <v>171</v>
      </c>
      <c r="B22" s="534">
        <f>'VAC &amp; MED'!H107</f>
        <v>27839.999999999964</v>
      </c>
      <c r="C22" s="534">
        <f>'VAC &amp; MED'!Q107</f>
        <v>-669.99999999991633</v>
      </c>
      <c r="D22" s="534">
        <f>'VAC &amp; MED'!Z107</f>
        <v>20018.399999999969</v>
      </c>
      <c r="E22" s="534">
        <f>'VAC &amp; MED'!AI107</f>
        <v>26292.700000000019</v>
      </c>
      <c r="F22" s="534">
        <f>'VAC &amp; MED'!AR107</f>
        <v>0</v>
      </c>
      <c r="G22" s="534">
        <f>'VAC &amp; MED'!BA107</f>
        <v>17386.69999999999</v>
      </c>
      <c r="H22" s="534">
        <f>'VAC &amp; MED'!BJ107</f>
        <v>1.8189894035458565E-12</v>
      </c>
      <c r="I22" s="534">
        <f>'VAC &amp; MED'!BS107</f>
        <v>0</v>
      </c>
      <c r="J22" s="534">
        <f>'VAC &amp; MED'!CB107</f>
        <v>11812.9</v>
      </c>
      <c r="K22" s="534">
        <f>'VAC &amp; MED'!CK107</f>
        <v>0</v>
      </c>
      <c r="L22" s="534">
        <f>'VAC &amp; MED'!CT107</f>
        <v>0</v>
      </c>
      <c r="M22" s="534">
        <f>'VAC &amp; MED'!DC107</f>
        <v>31869.7</v>
      </c>
      <c r="N22" s="534">
        <f>'VAC &amp; MED'!DL107</f>
        <v>6658.9999999999945</v>
      </c>
      <c r="O22" s="534">
        <f>'VAC &amp; MED'!DU107</f>
        <v>7150</v>
      </c>
      <c r="P22" s="534">
        <f>'VAC &amp; MED'!ED107</f>
        <v>1847.3000000000002</v>
      </c>
      <c r="Q22" s="534">
        <f>'VAC &amp; MED'!EM107</f>
        <v>0</v>
      </c>
      <c r="R22" s="534">
        <f>'VAC &amp; MED'!EV107</f>
        <v>0</v>
      </c>
      <c r="S22" s="534">
        <f>'VAC &amp; MED'!FE107</f>
        <v>0</v>
      </c>
      <c r="T22" s="534">
        <f>'VAC &amp; MED'!FN107</f>
        <v>0</v>
      </c>
      <c r="U22" s="534">
        <f>'VAC &amp; MED'!FW107</f>
        <v>1980</v>
      </c>
      <c r="V22" s="534">
        <f>'VAC &amp; MED'!GF107</f>
        <v>2000</v>
      </c>
      <c r="W22" s="534">
        <f>'VAC &amp; MED'!GO107</f>
        <v>4800</v>
      </c>
      <c r="X22" s="534">
        <f>'VAC &amp; MED'!GX107</f>
        <v>0</v>
      </c>
      <c r="Y22" s="534">
        <f>'VAC &amp; MED'!HG107</f>
        <v>0</v>
      </c>
      <c r="Z22" s="534">
        <f>'VAC &amp; MED'!HP107</f>
        <v>0</v>
      </c>
      <c r="AA22" s="534">
        <f>'VAC &amp; MED'!HZ107</f>
        <v>5120</v>
      </c>
      <c r="AB22" s="534">
        <f>'VAC &amp; MED'!II107</f>
        <v>6540</v>
      </c>
      <c r="AC22" s="534">
        <f>'VAC &amp; MED'!IR107</f>
        <v>11540</v>
      </c>
      <c r="AD22" s="534">
        <f>'VAC &amp; MED'!JA107</f>
        <v>15120</v>
      </c>
      <c r="AE22" s="534">
        <f>'VAC &amp; MED'!JJ107</f>
        <v>5040</v>
      </c>
      <c r="AF22" s="534">
        <f>'VAC &amp; MED'!JS107</f>
        <v>9100</v>
      </c>
      <c r="AG22" s="534">
        <f>'VAC &amp; MED'!KB107</f>
        <v>4220</v>
      </c>
      <c r="AH22" s="534">
        <f>'VAC &amp; MED'!KK107</f>
        <v>7702.5</v>
      </c>
      <c r="AI22" s="534">
        <f>'VAC &amp; MED'!KT107</f>
        <v>6426</v>
      </c>
      <c r="AJ22" s="534">
        <f>'VAC &amp; MED'!LC107</f>
        <v>0</v>
      </c>
      <c r="AK22" s="534">
        <f>'VAC &amp; MED'!LL107</f>
        <v>0</v>
      </c>
      <c r="AL22" s="534">
        <f>'VAC &amp; MED'!LU107</f>
        <v>0</v>
      </c>
      <c r="AM22" s="534">
        <f>'VAC &amp; MED'!MD107</f>
        <v>0</v>
      </c>
      <c r="AN22" s="534">
        <f>'VAC &amp; MED'!MM107</f>
        <v>0</v>
      </c>
      <c r="AO22" s="534">
        <f>'VAC &amp; MED'!MV107</f>
        <v>4195</v>
      </c>
      <c r="AP22" s="534">
        <f>'VAC &amp; MED'!NE107</f>
        <v>0</v>
      </c>
      <c r="AQ22" s="534">
        <f>'VAC &amp; MED'!NN107</f>
        <v>2065</v>
      </c>
      <c r="AR22" s="534">
        <f>'VAC &amp; MED'!NW107</f>
        <v>4152.5</v>
      </c>
      <c r="AS22" s="534">
        <f>'VAC &amp; MED'!OF107</f>
        <v>1680.5</v>
      </c>
      <c r="AT22" s="534">
        <f>'VAC &amp; MED'!OO107</f>
        <v>0</v>
      </c>
      <c r="AU22" s="534">
        <f>'VAC &amp; MED'!OX107</f>
        <v>1000</v>
      </c>
      <c r="AV22" s="534">
        <f>'VAC &amp; MED'!PG107</f>
        <v>0</v>
      </c>
      <c r="AW22" s="534">
        <f>'VAC &amp; MED'!PP107</f>
        <v>100</v>
      </c>
      <c r="AX22" s="534">
        <f>'VAC &amp; MED'!PY107</f>
        <v>13.960000000000036</v>
      </c>
      <c r="AY22" s="534">
        <f>'VAC &amp; MED'!QH107</f>
        <v>1212</v>
      </c>
      <c r="AZ22" s="534">
        <f>'VAC &amp; MED'!QQ107</f>
        <v>400</v>
      </c>
      <c r="BA22" s="535">
        <f>'VAC &amp; MED'!QZ107</f>
        <v>207.6</v>
      </c>
      <c r="BB22" s="535">
        <f>'VAC &amp; MED'!RI107</f>
        <v>197.04000000000002</v>
      </c>
      <c r="BC22" s="535">
        <f>'VAC &amp; MED'!RR107</f>
        <v>46.8</v>
      </c>
      <c r="BD22" s="535">
        <f>'VAC &amp; MED'!SA107</f>
        <v>0</v>
      </c>
      <c r="BE22" s="535">
        <f>'VAC &amp; MED'!SJ107</f>
        <v>0</v>
      </c>
      <c r="BF22" s="535">
        <f>'VAC &amp; MED'!SS107</f>
        <v>0</v>
      </c>
      <c r="BG22" s="535">
        <f>'VAC &amp; MED'!TB107</f>
        <v>0</v>
      </c>
      <c r="BH22" s="535">
        <f>'VAC &amp; MED'!TK107</f>
        <v>0</v>
      </c>
      <c r="BI22" s="535">
        <f>'VAC &amp; MED'!TT107</f>
        <v>0</v>
      </c>
      <c r="BJ22" s="535">
        <f>'VAC &amp; MED'!UC107</f>
        <v>0</v>
      </c>
      <c r="BK22" s="535">
        <f>'VAC &amp; MED'!UL107</f>
        <v>0</v>
      </c>
      <c r="BL22" s="535">
        <f>'VAC &amp; MED'!UU107</f>
        <v>0</v>
      </c>
      <c r="BM22" s="535">
        <f>'VAC &amp; MED'!VD107</f>
        <v>41.600000000000023</v>
      </c>
      <c r="BN22" s="535">
        <f>'VAC &amp; MED'!VM107</f>
        <v>0</v>
      </c>
      <c r="BO22" s="535">
        <f>'VAC &amp; MED'!VV107</f>
        <v>0</v>
      </c>
      <c r="BP22" s="535">
        <f>'VAC &amp; MED'!WE107</f>
        <v>0</v>
      </c>
      <c r="BQ22" s="535">
        <f>'VAC &amp; MED'!WN107</f>
        <v>3889</v>
      </c>
      <c r="BR22" s="535">
        <f>'VAC &amp; MED'!WW107</f>
        <v>0</v>
      </c>
      <c r="BS22" s="535">
        <f>'VAC &amp; MED'!XF107</f>
        <v>6349</v>
      </c>
      <c r="BT22" s="535">
        <f>'VAC &amp; MED'!XO107</f>
        <v>5989</v>
      </c>
      <c r="BU22" s="535">
        <f>'VAC &amp; MED'!XX107</f>
        <v>1901</v>
      </c>
      <c r="BV22" s="535">
        <f>'VAC &amp; MED'!YG107</f>
        <v>6459</v>
      </c>
      <c r="BW22" s="535">
        <f>'VAC &amp; MED'!YP107</f>
        <v>0</v>
      </c>
      <c r="BX22" s="535">
        <f>'VAC &amp; MED'!YY107</f>
        <v>0</v>
      </c>
      <c r="BY22" s="535">
        <f>'VAC &amp; MED'!ZH107</f>
        <v>0</v>
      </c>
      <c r="BZ22" s="535">
        <f>'VAC &amp; MED'!ZQ107</f>
        <v>0</v>
      </c>
    </row>
    <row r="23" spans="1:83" s="2" customFormat="1" ht="16.149999999999999" thickBot="1">
      <c r="A23" s="537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</row>
    <row r="24" spans="1:83" s="2" customFormat="1" ht="47.45" thickBot="1">
      <c r="A24" s="539" t="s">
        <v>236</v>
      </c>
      <c r="B24" s="215" t="str">
        <f>PRODUCE!$EA$7</f>
        <v>MAIZE/CORN</v>
      </c>
      <c r="C24" s="216" t="str">
        <f>PRODUCE!$EA$8</f>
        <v>SOYBEAN MEAL (ARG)</v>
      </c>
      <c r="D24" s="217" t="str">
        <f>PRODUCE!$EA$9</f>
        <v>SOYBEAN FULL FAT</v>
      </c>
      <c r="E24" s="218" t="str">
        <f>PRODUCE!$EA$10</f>
        <v>WHEAT POLLARD</v>
      </c>
      <c r="F24" s="219" t="str">
        <f>PRODUCE!$EA$11</f>
        <v>WHEAT</v>
      </c>
      <c r="G24" s="220" t="str">
        <f>PRODUCE!$EA$12</f>
        <v>MEAT AND BONE MEAL</v>
      </c>
      <c r="H24" s="221" t="str">
        <f>PRODUCE!$EA$13</f>
        <v>CORN GLUTEN MEAL</v>
      </c>
      <c r="I24" s="222" t="str">
        <f>PRODUCE!$EA$14</f>
        <v>MEGAFAT (HARUMI)</v>
      </c>
      <c r="J24" s="223" t="str">
        <f>PRODUCE!$EA$15</f>
        <v>DCP 18%</v>
      </c>
      <c r="K24" s="224" t="str">
        <f>PRODUCE!$EA$16</f>
        <v>LIMESTONE POWDER (HARUMI)</v>
      </c>
      <c r="L24" s="225" t="str">
        <f>PRODUCE!$EA$17</f>
        <v>CHOLINE CHLORIDE 60%</v>
      </c>
      <c r="M24" s="226" t="str">
        <f>PRODUCE!$EA$18</f>
        <v>INDUSTRY FLOUR</v>
      </c>
      <c r="N24" s="227" t="str">
        <f>PRODUCE!$EA$19</f>
        <v>RICE BRAN</v>
      </c>
      <c r="O24" s="228" t="str">
        <f>PRODUCE!$EA$20</f>
        <v>EP 200</v>
      </c>
      <c r="P24" s="229" t="str">
        <f>PRODUCE!$EA$21</f>
        <v>SOYTIDE</v>
      </c>
      <c r="Q24" s="230" t="str">
        <f>PRODUCE!$EA$22</f>
        <v>DCP 18% (HARUMI)</v>
      </c>
      <c r="R24" s="231">
        <f>PRODUCE!$EA$23</f>
        <v>1</v>
      </c>
      <c r="S24" s="232">
        <f>PRODUCE!$EA$24</f>
        <v>2</v>
      </c>
      <c r="T24" s="233">
        <f>PRODUCE!$EA$25</f>
        <v>3</v>
      </c>
      <c r="U24" s="234" t="str">
        <f>PRODUCE!$EA$26</f>
        <v>PREMIX 1101 (20KG)</v>
      </c>
      <c r="V24" s="235" t="str">
        <f>PRODUCE!$EA$27</f>
        <v>PREMIX 1102 (20KG)</v>
      </c>
      <c r="W24" s="236" t="str">
        <f>PRODUCE!$EA$28</f>
        <v>PREMIX 1103 (20KG)</v>
      </c>
      <c r="X24" s="237" t="str">
        <f>PRODUCE!$EA$29</f>
        <v>PREMIX 311 (20KG)</v>
      </c>
      <c r="Y24" s="238" t="str">
        <f>PRODUCE!$EA$30</f>
        <v>PREMIX 312 (20KG)</v>
      </c>
      <c r="Z24" s="239">
        <f>PRODUCE!$EA$31</f>
        <v>1</v>
      </c>
      <c r="AA24" s="240" t="str">
        <f>PRODUCE!$EA$32</f>
        <v>PREMIX 8100 (20KG)</v>
      </c>
      <c r="AB24" s="240" t="str">
        <f>PRODUCE!$EA$33</f>
        <v>PREMIX 8101 (20KG)</v>
      </c>
      <c r="AC24" s="240" t="str">
        <f>PRODUCE!$EA$34</f>
        <v>PREMIX 8102 (20KG)</v>
      </c>
      <c r="AD24" s="240" t="str">
        <f>PRODUCE!$EA$35</f>
        <v>PREMIX 8103 (20KG)</v>
      </c>
      <c r="AE24" s="240" t="str">
        <f>PRODUCE!$EA$36</f>
        <v>PREMIX 8108 (20KG)</v>
      </c>
      <c r="AF24" s="240" t="str">
        <f>PRODUCE!$EA$37</f>
        <v>PREMIX 8109 (20KG)</v>
      </c>
      <c r="AG24" s="240" t="str">
        <f>PRODUCE!$EA$38</f>
        <v>YENMIX 121 (20KG)</v>
      </c>
      <c r="AH24" s="240" t="str">
        <f>PRODUCE!$EA$39</f>
        <v>YENMIX 122 (19.50KG)</v>
      </c>
      <c r="AI24" s="240" t="str">
        <f>PRODUCE!$EA$40</f>
        <v>YENMIX 123 (18.90KG)</v>
      </c>
      <c r="AJ24" s="240" t="str">
        <f>PRODUCE!$EA$41</f>
        <v>YENMIX 122 (20.50KG)</v>
      </c>
      <c r="AK24" s="240" t="str">
        <f>PRODUCE!$EA$42</f>
        <v>YENMIX 123 (20.00KG)</v>
      </c>
      <c r="AL24" s="240">
        <f>PRODUCE!$EA$43</f>
        <v>1</v>
      </c>
      <c r="AM24" s="240">
        <f>PRODUCE!$EA$44</f>
        <v>2</v>
      </c>
      <c r="AN24" s="240">
        <f>PRODUCE!$EA$45</f>
        <v>3</v>
      </c>
      <c r="AO24" s="240" t="str">
        <f>PRODUCE!$EA$46</f>
        <v>TOXISORB PREMIUM</v>
      </c>
      <c r="AP24" s="240" t="str">
        <f>PRODUCE!$EA$47</f>
        <v>SODIUM HUMATE 3.8% (HARUMI)</v>
      </c>
      <c r="AQ24" s="240" t="str">
        <f>PRODUCE!$EA$48</f>
        <v>TOXIWALL</v>
      </c>
      <c r="AR24" s="240" t="str">
        <f>PRODUCE!$EA$49</f>
        <v>SODIUM BICARBONATE</v>
      </c>
      <c r="AS24" s="240" t="str">
        <f>PRODUCE!$EA$50</f>
        <v>BMD 10%</v>
      </c>
      <c r="AT24" s="240" t="str">
        <f>PRODUCE!$EA$51</f>
        <v>SALT (HARUMI)</v>
      </c>
      <c r="AU24" s="240" t="str">
        <f>PRODUCE!$EA$52</f>
        <v>VISTABET 91</v>
      </c>
      <c r="AV24" s="240" t="str">
        <f>PRODUCE!$EA$53</f>
        <v>BETAFIN</v>
      </c>
      <c r="AW24" s="240" t="str">
        <f>PRODUCE!$EA$54</f>
        <v>8101 TOP UP</v>
      </c>
      <c r="AX24" s="240" t="str">
        <f>PRODUCE!$EA$55</f>
        <v>NORPONIN X03 (8102 TOP UP)</v>
      </c>
      <c r="AY24" s="240" t="str">
        <f>PRODUCE!$EA$56</f>
        <v>8102 TOP UP (4KG)</v>
      </c>
      <c r="AZ24" s="240" t="str">
        <f>PRODUCE!$EA$57</f>
        <v>8103 TOP UP (5KG)</v>
      </c>
      <c r="BA24" s="240" t="str">
        <f>PRODUCE!$EA$58</f>
        <v>L-ARGININE</v>
      </c>
      <c r="BB24" s="240" t="str">
        <f>PRODUCE!$EA$59</f>
        <v>DL-METHIONINE</v>
      </c>
      <c r="BC24" s="240" t="str">
        <f>PRODUCE!$EA$60</f>
        <v>L-THREONINE</v>
      </c>
      <c r="BD24" s="240" t="str">
        <f>PRODUCE!$EA$61</f>
        <v>L-LYSINE</v>
      </c>
      <c r="BE24" s="240" t="str">
        <f>PRODUCE!$EA$62</f>
        <v>FAECES DRY</v>
      </c>
      <c r="BF24" s="240" t="str">
        <f>PRODUCE!$EA$63</f>
        <v>ECOBIOL</v>
      </c>
      <c r="BG24" s="240" t="str">
        <f>PRODUCE!$EA$64</f>
        <v>ADDITIVE BROILER IMMUNE</v>
      </c>
      <c r="BH24" s="240" t="str">
        <f>PRODUCE!$EA$65</f>
        <v>MASTER CUBE (HARUMI)</v>
      </c>
      <c r="BI24" s="240" t="str">
        <f>PRODUCE!$EA$66</f>
        <v>1101 TOP UP (0.40KG)</v>
      </c>
      <c r="BJ24" s="240" t="str">
        <f>PRODUCE!$EA$67</f>
        <v>1102 TOP UP (0.60KG)</v>
      </c>
      <c r="BK24" s="240" t="str">
        <f>PRODUCE!$EA$68</f>
        <v>1103 TOP UP (2.00KG)</v>
      </c>
      <c r="BL24" s="240" t="str">
        <f>PRODUCE!$EA$69</f>
        <v>QUANTUM GLO 4%</v>
      </c>
      <c r="BM24" s="240" t="str">
        <f>PRODUCE!$EA$70</f>
        <v>SALT</v>
      </c>
      <c r="BN24" s="240" t="str">
        <f>PRODUCE!$EA$71</f>
        <v>OC 200 - OXYTET 20%</v>
      </c>
      <c r="BO24" s="240">
        <f>PRODUCE!$EA$72</f>
        <v>3</v>
      </c>
      <c r="BP24" s="387">
        <f>PRODUCE!$EA$73</f>
        <v>4</v>
      </c>
      <c r="BQ24" s="392" t="str">
        <f>PRODUCE!$EA$74</f>
        <v>WOVEN BAG (1101) - BLUE 50KG</v>
      </c>
      <c r="BR24" s="391" t="str">
        <f>PRODUCE!$EA$75</f>
        <v>WOVEN BAG (1102) - GREEN 50KG</v>
      </c>
      <c r="BS24" s="388" t="str">
        <f>PRODUCE!$EA$76</f>
        <v>WOVEN BAG (1103) - RED 50KG</v>
      </c>
      <c r="BT24" s="389" t="str">
        <f>PRODUCE!$EA$77</f>
        <v>PLAIN BAG 26" X 39" (50KG)</v>
      </c>
      <c r="BU24" s="350" t="str">
        <f>PRODUCE!$EA$78</f>
        <v>WOVEN BAG (8101) - KHAKI 50KG</v>
      </c>
      <c r="BV24" s="390" t="str">
        <f>PRODUCE!$EA$79</f>
        <v>WOVEN BAG (8102) - SKY BLUE 50KG</v>
      </c>
      <c r="BW24" s="240" t="str">
        <f>PRODUCE!$EA$80</f>
        <v>WOVEN BAG (8103) - BROWN 50KG</v>
      </c>
      <c r="BX24" s="240">
        <f>PRODUCE!$EA$81</f>
        <v>1</v>
      </c>
      <c r="BY24" s="240">
        <f>PRODUCE!$EA$82</f>
        <v>2</v>
      </c>
      <c r="BZ24" s="240">
        <f>PRODUCE!$EA$83</f>
        <v>3</v>
      </c>
      <c r="CA24" s="240">
        <f>PRODUCE!$EA$84</f>
        <v>4</v>
      </c>
      <c r="CB24" s="240">
        <f>PRODUCE!$EA$85</f>
        <v>5</v>
      </c>
      <c r="CC24" s="240">
        <f>PRODUCE!$EA$86</f>
        <v>6</v>
      </c>
      <c r="CD24" s="240">
        <f>PRODUCE!$EA$87</f>
        <v>7</v>
      </c>
      <c r="CE24" s="240">
        <f>PRODUCE!$EA$88</f>
        <v>8</v>
      </c>
    </row>
    <row r="25" spans="1:83" s="531" customFormat="1" outlineLevel="1">
      <c r="A25" s="536" t="s">
        <v>313</v>
      </c>
      <c r="B25" s="530">
        <f>'VAC &amp; MED'!H111</f>
        <v>27839.999999999964</v>
      </c>
      <c r="C25" s="530">
        <f>'VAC &amp; MED'!Q111</f>
        <v>-669.99999999991633</v>
      </c>
      <c r="D25" s="530">
        <f>'VAC &amp; MED'!Z111</f>
        <v>20018.399999999969</v>
      </c>
      <c r="E25" s="530">
        <f>'VAC &amp; MED'!AI111</f>
        <v>26292.700000000019</v>
      </c>
      <c r="F25" s="530">
        <f>'VAC &amp; MED'!AR111</f>
        <v>0</v>
      </c>
      <c r="G25" s="530">
        <f>'VAC &amp; MED'!BA111</f>
        <v>17386.69999999999</v>
      </c>
      <c r="H25" s="530">
        <f>'VAC &amp; MED'!BJ111</f>
        <v>1.8189894035458565E-12</v>
      </c>
      <c r="I25" s="530">
        <f>'VAC &amp; MED'!BS111</f>
        <v>0</v>
      </c>
      <c r="J25" s="530">
        <f>'VAC &amp; MED'!CB111</f>
        <v>11812.9</v>
      </c>
      <c r="K25" s="530">
        <f>'VAC &amp; MED'!CK111</f>
        <v>0</v>
      </c>
      <c r="L25" s="530">
        <f>'VAC &amp; MED'!CT111</f>
        <v>0</v>
      </c>
      <c r="M25" s="530">
        <f>'VAC &amp; MED'!DC111</f>
        <v>31869.7</v>
      </c>
      <c r="N25" s="530">
        <f>'VAC &amp; MED'!DL111</f>
        <v>6658.9999999999945</v>
      </c>
      <c r="O25" s="530">
        <f>'VAC &amp; MED'!DU111</f>
        <v>7150</v>
      </c>
      <c r="P25" s="530">
        <f>'VAC &amp; MED'!ED111</f>
        <v>1847.3000000000002</v>
      </c>
      <c r="Q25" s="530">
        <f>'VAC &amp; MED'!EM111</f>
        <v>0</v>
      </c>
      <c r="R25" s="530">
        <f>'VAC &amp; MED'!EV111</f>
        <v>0</v>
      </c>
      <c r="S25" s="530">
        <f>'VAC &amp; MED'!FE111</f>
        <v>0</v>
      </c>
      <c r="T25" s="530">
        <f>'VAC &amp; MED'!FN111</f>
        <v>0</v>
      </c>
      <c r="U25" s="530">
        <f>'VAC &amp; MED'!FW111</f>
        <v>1980</v>
      </c>
      <c r="V25" s="530">
        <f>'VAC &amp; MED'!GF111</f>
        <v>2000</v>
      </c>
      <c r="W25" s="530">
        <f>'VAC &amp; MED'!GO111</f>
        <v>4800</v>
      </c>
      <c r="X25" s="530">
        <f>'VAC &amp; MED'!GX111</f>
        <v>0</v>
      </c>
      <c r="Y25" s="530">
        <f>'VAC &amp; MED'!HG111</f>
        <v>0</v>
      </c>
      <c r="Z25" s="530">
        <f>'VAC &amp; MED'!HP111</f>
        <v>0</v>
      </c>
      <c r="AA25" s="530">
        <f>'VAC &amp; MED'!HZ111</f>
        <v>5120</v>
      </c>
      <c r="AB25" s="530">
        <f>'VAC &amp; MED'!II111</f>
        <v>6540</v>
      </c>
      <c r="AC25" s="530">
        <f>'VAC &amp; MED'!IR111</f>
        <v>11540</v>
      </c>
      <c r="AD25" s="530">
        <f>'VAC &amp; MED'!JA111</f>
        <v>15120</v>
      </c>
      <c r="AE25" s="530">
        <f>'VAC &amp; MED'!JJ111</f>
        <v>5040</v>
      </c>
      <c r="AF25" s="530">
        <f>'VAC &amp; MED'!JS111</f>
        <v>9100</v>
      </c>
      <c r="AG25" s="530">
        <f>'VAC &amp; MED'!KB111</f>
        <v>4220</v>
      </c>
      <c r="AH25" s="530">
        <f>'VAC &amp; MED'!KK111</f>
        <v>7702.5</v>
      </c>
      <c r="AI25" s="530">
        <f>'VAC &amp; MED'!KT111</f>
        <v>6426</v>
      </c>
      <c r="AJ25" s="530">
        <f>'VAC &amp; MED'!LC111</f>
        <v>0</v>
      </c>
      <c r="AK25" s="530">
        <f>'VAC &amp; MED'!LL111</f>
        <v>0</v>
      </c>
      <c r="AL25" s="530">
        <f>'VAC &amp; MED'!LU111</f>
        <v>0</v>
      </c>
      <c r="AM25" s="530">
        <f>'VAC &amp; MED'!MD111</f>
        <v>0</v>
      </c>
      <c r="AN25" s="530">
        <f>'VAC &amp; MED'!MM111</f>
        <v>0</v>
      </c>
      <c r="AO25" s="530">
        <f>'VAC &amp; MED'!MV111</f>
        <v>4195</v>
      </c>
      <c r="AP25" s="530">
        <f>'VAC &amp; MED'!NE111</f>
        <v>0</v>
      </c>
      <c r="AQ25" s="530">
        <f>'VAC &amp; MED'!NN111</f>
        <v>2065</v>
      </c>
      <c r="AR25" s="530">
        <f>'VAC &amp; MED'!NW111</f>
        <v>4152.5</v>
      </c>
      <c r="AS25" s="530">
        <f>'VAC &amp; MED'!OF111</f>
        <v>1680.5</v>
      </c>
      <c r="AT25" s="530">
        <f>'VAC &amp; MED'!OO111</f>
        <v>0</v>
      </c>
      <c r="AU25" s="530">
        <f>'VAC &amp; MED'!OX111</f>
        <v>1000</v>
      </c>
      <c r="AV25" s="530">
        <f>'VAC &amp; MED'!PG111</f>
        <v>0</v>
      </c>
      <c r="AW25" s="530">
        <f>'VAC &amp; MED'!PP111</f>
        <v>100</v>
      </c>
      <c r="AX25" s="530">
        <f>'VAC &amp; MED'!PY111</f>
        <v>13.960000000000036</v>
      </c>
      <c r="AY25" s="530">
        <f>'VAC &amp; MED'!QH111</f>
        <v>1212</v>
      </c>
      <c r="AZ25" s="530">
        <f>'VAC &amp; MED'!QQ111</f>
        <v>400</v>
      </c>
      <c r="BA25" s="531">
        <f>'VAC &amp; MED'!QZ111</f>
        <v>207.6</v>
      </c>
      <c r="BB25" s="531">
        <f>'VAC &amp; MED'!RI111</f>
        <v>197.04000000000002</v>
      </c>
      <c r="BC25" s="531">
        <f>'VAC &amp; MED'!RR111</f>
        <v>46.8</v>
      </c>
      <c r="BD25" s="531">
        <f>'VAC &amp; MED'!SA111</f>
        <v>0</v>
      </c>
      <c r="BE25" s="531">
        <f>'VAC &amp; MED'!SJ111</f>
        <v>0</v>
      </c>
      <c r="BF25" s="531">
        <f>'VAC &amp; MED'!SS111</f>
        <v>0</v>
      </c>
      <c r="BG25" s="531">
        <f>'VAC &amp; MED'!TB111</f>
        <v>0</v>
      </c>
      <c r="BH25" s="531">
        <f>'VAC &amp; MED'!TK111</f>
        <v>0</v>
      </c>
      <c r="BI25" s="531">
        <f>'VAC &amp; MED'!TT111</f>
        <v>0</v>
      </c>
      <c r="BJ25" s="531">
        <f>'VAC &amp; MED'!UC111</f>
        <v>0</v>
      </c>
      <c r="BK25" s="531">
        <f>'VAC &amp; MED'!UL111</f>
        <v>0</v>
      </c>
      <c r="BL25" s="531">
        <f>'VAC &amp; MED'!UU111</f>
        <v>0</v>
      </c>
      <c r="BM25" s="531">
        <f>'VAC &amp; MED'!VD111</f>
        <v>41.600000000000023</v>
      </c>
      <c r="BN25" s="531">
        <f>'VAC &amp; MED'!VM111</f>
        <v>0</v>
      </c>
      <c r="BO25" s="531">
        <f>'VAC &amp; MED'!VV111</f>
        <v>0</v>
      </c>
      <c r="BP25" s="531">
        <f>'VAC &amp; MED'!WE111</f>
        <v>0</v>
      </c>
      <c r="BQ25" s="531">
        <f>'VAC &amp; MED'!WN111</f>
        <v>3889</v>
      </c>
      <c r="BR25" s="531">
        <f>'VAC &amp; MED'!WW111</f>
        <v>0</v>
      </c>
      <c r="BS25" s="531">
        <f>'VAC &amp; MED'!XF111</f>
        <v>6349</v>
      </c>
      <c r="BT25" s="531">
        <f>'VAC &amp; MED'!XO111</f>
        <v>5989</v>
      </c>
      <c r="BU25" s="531">
        <f>'VAC &amp; MED'!XX111</f>
        <v>1901</v>
      </c>
      <c r="BV25" s="531">
        <f>'VAC &amp; MED'!YG111</f>
        <v>6459</v>
      </c>
      <c r="BW25" s="531">
        <f>'VAC &amp; MED'!YP111</f>
        <v>0</v>
      </c>
      <c r="BX25" s="531">
        <f>'VAC &amp; MED'!YY111</f>
        <v>0</v>
      </c>
      <c r="BY25" s="531">
        <f>'VAC &amp; MED'!ZH111</f>
        <v>0</v>
      </c>
      <c r="BZ25" s="531">
        <f>'VAC &amp; MED'!ZQ111</f>
        <v>0</v>
      </c>
    </row>
    <row r="26" spans="1:83" s="531" customFormat="1" outlineLevel="1">
      <c r="A26" s="536" t="s">
        <v>314</v>
      </c>
      <c r="B26" s="530">
        <f>'VAC &amp; MED'!D142</f>
        <v>940890</v>
      </c>
      <c r="C26" s="530">
        <f>'VAC &amp; MED'!M142</f>
        <v>397200</v>
      </c>
      <c r="D26" s="530">
        <f>'VAC &amp; MED'!V142</f>
        <v>105360</v>
      </c>
      <c r="E26" s="530">
        <f>'VAC &amp; MED'!AE142</f>
        <v>27580</v>
      </c>
      <c r="F26" s="530">
        <f>'VAC &amp; MED'!AN142</f>
        <v>0</v>
      </c>
      <c r="G26" s="530">
        <f>'VAC &amp; MED'!AW142</f>
        <v>29980</v>
      </c>
      <c r="H26" s="530">
        <f>'VAC &amp; MED'!BF142</f>
        <v>78817.399999999994</v>
      </c>
      <c r="I26" s="530">
        <f>'VAC &amp; MED'!BO142</f>
        <v>30613.599999999999</v>
      </c>
      <c r="J26" s="530">
        <f>'VAC &amp; MED'!BX142</f>
        <v>0</v>
      </c>
      <c r="K26" s="530">
        <f>'VAC &amp; MED'!CG142</f>
        <v>12106.88</v>
      </c>
      <c r="L26" s="530">
        <f>'VAC &amp; MED'!CP142</f>
        <v>0</v>
      </c>
      <c r="M26" s="530">
        <f>'VAC &amp; MED'!CY142</f>
        <v>35420</v>
      </c>
      <c r="N26" s="530">
        <f>'VAC &amp; MED'!DH142</f>
        <v>68870</v>
      </c>
      <c r="O26" s="530">
        <f>'VAC &amp; MED'!DQ142</f>
        <v>0</v>
      </c>
      <c r="P26" s="530">
        <f>'VAC &amp; MED'!DZ142</f>
        <v>0</v>
      </c>
      <c r="Q26" s="530">
        <f>'VAC &amp; MED'!EI142</f>
        <v>0</v>
      </c>
      <c r="R26" s="530">
        <f>'VAC &amp; MED'!ER142</f>
        <v>0</v>
      </c>
      <c r="S26" s="530">
        <f>'VAC &amp; MED'!FA142</f>
        <v>0</v>
      </c>
      <c r="T26" s="530">
        <f>'VAC &amp; MED'!FJ142</f>
        <v>0</v>
      </c>
      <c r="U26" s="530">
        <f>'VAC &amp; MED'!FS142</f>
        <v>1980</v>
      </c>
      <c r="V26" s="530">
        <f>'VAC &amp; MED'!GB142</f>
        <v>8000</v>
      </c>
      <c r="W26" s="530">
        <f>'VAC &amp; MED'!GK142</f>
        <v>0</v>
      </c>
      <c r="X26" s="530">
        <f>'VAC &amp; MED'!GT142</f>
        <v>0</v>
      </c>
      <c r="Y26" s="530">
        <f>'VAC &amp; MED'!HC142</f>
        <v>0</v>
      </c>
      <c r="Z26" s="530">
        <f>'VAC &amp; MED'!HL142</f>
        <v>0</v>
      </c>
      <c r="AA26" s="530">
        <f>'VAC &amp; MED'!HV142</f>
        <v>2000</v>
      </c>
      <c r="AB26" s="530">
        <f>'VAC &amp; MED'!IE142</f>
        <v>0</v>
      </c>
      <c r="AC26" s="530">
        <f>'VAC &amp; MED'!IN142</f>
        <v>0</v>
      </c>
      <c r="AD26" s="530">
        <f>'VAC &amp; MED'!IW142</f>
        <v>0</v>
      </c>
      <c r="AE26" s="530">
        <f>'VAC &amp; MED'!JF142</f>
        <v>0</v>
      </c>
      <c r="AF26" s="530">
        <f>'VAC &amp; MED'!JO142</f>
        <v>0</v>
      </c>
      <c r="AG26" s="530">
        <f>'VAC &amp; MED'!JX142</f>
        <v>0</v>
      </c>
      <c r="AH26" s="530">
        <f>'VAC &amp; MED'!KG142</f>
        <v>1950</v>
      </c>
      <c r="AI26" s="530">
        <f>'VAC &amp; MED'!KP142</f>
        <v>0</v>
      </c>
      <c r="AJ26" s="530">
        <f>'VAC &amp; MED'!KY142</f>
        <v>8610</v>
      </c>
      <c r="AK26" s="530">
        <f>'VAC &amp; MED'!LH142</f>
        <v>4000</v>
      </c>
      <c r="AL26" s="530">
        <f>'VAC &amp; MED'!LQ142</f>
        <v>0</v>
      </c>
      <c r="AM26" s="530">
        <f>'VAC &amp; MED'!LZ142</f>
        <v>0</v>
      </c>
      <c r="AN26" s="530">
        <f>'VAC &amp; MED'!MI142</f>
        <v>0</v>
      </c>
      <c r="AO26" s="530">
        <f>'VAC &amp; MED'!MR142</f>
        <v>0</v>
      </c>
      <c r="AP26" s="530">
        <f>'VAC &amp; MED'!NA142</f>
        <v>3360</v>
      </c>
      <c r="AQ26" s="530">
        <f>'VAC &amp; MED'!NJ142</f>
        <v>0</v>
      </c>
      <c r="AR26" s="530">
        <f>'VAC &amp; MED'!NS142</f>
        <v>0</v>
      </c>
      <c r="AS26" s="530">
        <f>'VAC &amp; MED'!OB142</f>
        <v>0</v>
      </c>
      <c r="AT26" s="530">
        <f>'VAC &amp; MED'!OK142</f>
        <v>2628.9999999999995</v>
      </c>
      <c r="AU26" s="530">
        <f>'VAC &amp; MED'!OT142</f>
        <v>0</v>
      </c>
      <c r="AV26" s="530">
        <f>'VAC &amp; MED'!PC142</f>
        <v>0</v>
      </c>
      <c r="AW26" s="530">
        <f>'VAC &amp; MED'!PL142</f>
        <v>0</v>
      </c>
      <c r="AX26" s="530">
        <f>'VAC &amp; MED'!PU142</f>
        <v>0</v>
      </c>
      <c r="AY26" s="530">
        <f>'VAC &amp; MED'!QD142</f>
        <v>0</v>
      </c>
      <c r="AZ26" s="530">
        <f>'VAC &amp; MED'!QM142</f>
        <v>0</v>
      </c>
      <c r="BA26" s="531">
        <f>'VAC &amp; MED'!QV142</f>
        <v>0</v>
      </c>
      <c r="BB26" s="531">
        <f>'VAC &amp; MED'!RE142</f>
        <v>0</v>
      </c>
      <c r="BC26" s="531">
        <f>'VAC &amp; MED'!RN142</f>
        <v>0</v>
      </c>
      <c r="BD26" s="531">
        <f>'VAC &amp; MED'!RW142</f>
        <v>0</v>
      </c>
      <c r="BE26" s="531">
        <f>'VAC &amp; MED'!SF142</f>
        <v>125</v>
      </c>
      <c r="BF26" s="531">
        <f>'VAC &amp; MED'!SO142</f>
        <v>200</v>
      </c>
      <c r="BG26" s="531">
        <f>'VAC &amp; MED'!SX142</f>
        <v>0</v>
      </c>
      <c r="BH26" s="531">
        <f>'VAC &amp; MED'!TG142</f>
        <v>0</v>
      </c>
      <c r="BI26" s="531">
        <f>'VAC &amp; MED'!TP142</f>
        <v>0</v>
      </c>
      <c r="BJ26" s="531">
        <f>'VAC &amp; MED'!TY142</f>
        <v>0</v>
      </c>
      <c r="BK26" s="531">
        <f>'VAC &amp; MED'!UH142</f>
        <v>0</v>
      </c>
      <c r="BL26" s="531">
        <f>'VAC &amp; MED'!UQ142</f>
        <v>0</v>
      </c>
      <c r="BM26" s="531">
        <f>'VAC &amp; MED'!UZ142</f>
        <v>0</v>
      </c>
      <c r="BN26" s="531">
        <f>'VAC &amp; MED'!VI142</f>
        <v>0</v>
      </c>
      <c r="BO26" s="531">
        <f>'VAC &amp; MED'!VR142</f>
        <v>0</v>
      </c>
      <c r="BP26" s="531">
        <f>'VAC &amp; MED'!WA142</f>
        <v>0</v>
      </c>
      <c r="BQ26" s="531">
        <f>'VAC &amp; MED'!WJ142</f>
        <v>0</v>
      </c>
      <c r="BR26" s="531">
        <f>'VAC &amp; MED'!WS142</f>
        <v>8000</v>
      </c>
      <c r="BS26" s="531">
        <f>'VAC &amp; MED'!XB142</f>
        <v>8712</v>
      </c>
      <c r="BT26" s="531">
        <f>'VAC &amp; MED'!XK142</f>
        <v>2000</v>
      </c>
      <c r="BU26" s="531">
        <f>'VAC &amp; MED'!XT142</f>
        <v>0</v>
      </c>
      <c r="BV26" s="531">
        <f>'VAC &amp; MED'!YC142</f>
        <v>0</v>
      </c>
      <c r="BW26" s="531">
        <f>'VAC &amp; MED'!YL142</f>
        <v>0</v>
      </c>
      <c r="BX26" s="531">
        <f>'VAC &amp; MED'!YU142</f>
        <v>0</v>
      </c>
      <c r="BY26" s="531">
        <f>'VAC &amp; MED'!ZD142</f>
        <v>0</v>
      </c>
      <c r="BZ26" s="531">
        <f>'VAC &amp; MED'!ZM142</f>
        <v>0</v>
      </c>
    </row>
    <row r="27" spans="1:83" s="531" customFormat="1" outlineLevel="1">
      <c r="A27" s="536" t="s">
        <v>315</v>
      </c>
      <c r="B27" s="530">
        <f>'VAC &amp; MED'!E142</f>
        <v>800374.22000000009</v>
      </c>
      <c r="C27" s="530">
        <f>'VAC &amp; MED'!N142</f>
        <v>333251.31999999995</v>
      </c>
      <c r="D27" s="530">
        <f>'VAC &amp; MED'!W142</f>
        <v>94650.28</v>
      </c>
      <c r="E27" s="530">
        <f>'VAC &amp; MED'!AF142</f>
        <v>40808</v>
      </c>
      <c r="F27" s="530">
        <f>'VAC &amp; MED'!AO142</f>
        <v>0</v>
      </c>
      <c r="G27" s="530">
        <f>'VAC &amp; MED'!AX142</f>
        <v>9978</v>
      </c>
      <c r="H27" s="530">
        <f>'VAC &amp; MED'!BG142</f>
        <v>49268</v>
      </c>
      <c r="I27" s="530">
        <f>'VAC &amp; MED'!BP142</f>
        <v>31115.279999999999</v>
      </c>
      <c r="J27" s="530">
        <f>'VAC &amp; MED'!BY142</f>
        <v>5731.5</v>
      </c>
      <c r="K27" s="530">
        <f>'VAC &amp; MED'!CH142</f>
        <v>10832.36</v>
      </c>
      <c r="L27" s="530">
        <f>'VAC &amp; MED'!CQ142</f>
        <v>0</v>
      </c>
      <c r="M27" s="530">
        <f>'VAC &amp; MED'!CZ142</f>
        <v>43114.720000000001</v>
      </c>
      <c r="N27" s="530">
        <f>'VAC &amp; MED'!DI142</f>
        <v>32588</v>
      </c>
      <c r="O27" s="530">
        <f>'VAC &amp; MED'!DR142</f>
        <v>800</v>
      </c>
      <c r="P27" s="530">
        <f>'VAC &amp; MED'!EB142</f>
        <v>1847.3</v>
      </c>
      <c r="Q27" s="530">
        <f>'VAC &amp; MED'!EJ142</f>
        <v>0</v>
      </c>
      <c r="R27" s="530">
        <f>'VAC &amp; MED'!ES142</f>
        <v>0</v>
      </c>
      <c r="S27" s="530">
        <f>'VAC &amp; MED'!FB142</f>
        <v>0</v>
      </c>
      <c r="T27" s="530">
        <f>'VAC &amp; MED'!FK142</f>
        <v>0</v>
      </c>
      <c r="U27" s="530">
        <f>'VAC &amp; MED'!FT142</f>
        <v>1520</v>
      </c>
      <c r="V27" s="530">
        <f>'VAC &amp; MED'!GC142</f>
        <v>7040</v>
      </c>
      <c r="W27" s="530">
        <f>'VAC &amp; MED'!GL142</f>
        <v>1520</v>
      </c>
      <c r="X27" s="530">
        <f>'VAC &amp; MED'!GU142</f>
        <v>0</v>
      </c>
      <c r="Y27" s="530">
        <f>'VAC &amp; MED'!HD142</f>
        <v>0</v>
      </c>
      <c r="Z27" s="530">
        <f>'VAC &amp; MED'!HM142</f>
        <v>0</v>
      </c>
      <c r="AA27" s="530">
        <f>'VAC &amp; MED'!HW142</f>
        <v>760</v>
      </c>
      <c r="AB27" s="530">
        <f>'VAC &amp; MED'!IF142</f>
        <v>0</v>
      </c>
      <c r="AC27" s="530">
        <f>'VAC &amp; MED'!IO142</f>
        <v>0</v>
      </c>
      <c r="AD27" s="530">
        <f>'VAC &amp; MED'!IX142</f>
        <v>0</v>
      </c>
      <c r="AE27" s="530">
        <f>'VAC &amp; MED'!JG142</f>
        <v>960</v>
      </c>
      <c r="AF27" s="530">
        <f>'VAC &amp; MED'!JP142</f>
        <v>0</v>
      </c>
      <c r="AG27" s="530">
        <f>'VAC &amp; MED'!JY142</f>
        <v>2400</v>
      </c>
      <c r="AH27" s="530">
        <f>'VAC &amp; MED'!KH142</f>
        <v>10023</v>
      </c>
      <c r="AI27" s="530">
        <f>'VAC &amp; MED'!KQ142</f>
        <v>3628.7999999999997</v>
      </c>
      <c r="AJ27" s="530">
        <f>'VAC &amp; MED'!KZ142</f>
        <v>1557.9999999999998</v>
      </c>
      <c r="AK27" s="530">
        <f>'VAC &amp; MED'!LI142</f>
        <v>0</v>
      </c>
      <c r="AL27" s="530">
        <f>'VAC &amp; MED'!LR142</f>
        <v>0</v>
      </c>
      <c r="AM27" s="530">
        <f>'VAC &amp; MED'!MA142</f>
        <v>0</v>
      </c>
      <c r="AN27" s="530">
        <f>'VAC &amp; MED'!MJ142</f>
        <v>0</v>
      </c>
      <c r="AO27" s="530">
        <f>'VAC &amp; MED'!MS142</f>
        <v>407</v>
      </c>
      <c r="AP27" s="530">
        <f>'VAC &amp; MED'!NB142</f>
        <v>2964</v>
      </c>
      <c r="AQ27" s="530">
        <f>'VAC &amp; MED'!NK142</f>
        <v>834</v>
      </c>
      <c r="AR27" s="530">
        <f>'VAC &amp; MED'!NU142</f>
        <v>1029.5999999999999</v>
      </c>
      <c r="AS27" s="530">
        <f>'VAC &amp; MED'!OD142</f>
        <v>0</v>
      </c>
      <c r="AT27" s="530">
        <f>'VAC &amp; MED'!OM142</f>
        <v>2628.9999999999995</v>
      </c>
      <c r="AU27" s="530">
        <f>'VAC &amp; MED'!OV142</f>
        <v>18</v>
      </c>
      <c r="AV27" s="530">
        <f>'VAC &amp; MED'!PE142</f>
        <v>0</v>
      </c>
      <c r="AW27" s="530">
        <f>'VAC &amp; MED'!PN142</f>
        <v>0</v>
      </c>
      <c r="AX27" s="530">
        <f>'VAC &amp; MED'!PW142</f>
        <v>0</v>
      </c>
      <c r="AY27" s="530">
        <f>'VAC &amp; MED'!QF142</f>
        <v>616</v>
      </c>
      <c r="AZ27" s="530">
        <f>'VAC &amp; MED'!QO142</f>
        <v>0</v>
      </c>
      <c r="BA27" s="531">
        <f>'VAC &amp; MED'!QX142</f>
        <v>0</v>
      </c>
      <c r="BB27" s="531">
        <f>'VAC &amp; MED'!RG142</f>
        <v>50</v>
      </c>
      <c r="BC27" s="531">
        <f>'VAC &amp; MED'!RP142</f>
        <v>0</v>
      </c>
      <c r="BD27" s="531">
        <f>'VAC &amp; MED'!RY142</f>
        <v>0</v>
      </c>
      <c r="BE27" s="531">
        <f>'VAC &amp; MED'!SH142</f>
        <v>100.8</v>
      </c>
      <c r="BF27" s="531">
        <f>'VAC &amp; MED'!SQ142</f>
        <v>168</v>
      </c>
      <c r="BG27" s="531">
        <f>'VAC &amp; MED'!SZ142</f>
        <v>0</v>
      </c>
      <c r="BH27" s="531">
        <f>'VAC &amp; MED'!TI142</f>
        <v>0</v>
      </c>
      <c r="BI27" s="531">
        <f>'VAC &amp; MED'!TR142</f>
        <v>0</v>
      </c>
      <c r="BJ27" s="531">
        <f>'VAC &amp; MED'!UA142</f>
        <v>0</v>
      </c>
      <c r="BK27" s="531">
        <f>'VAC &amp; MED'!UJ142</f>
        <v>0</v>
      </c>
      <c r="BL27" s="531">
        <f>'VAC &amp; MED'!US142</f>
        <v>0</v>
      </c>
      <c r="BM27" s="531">
        <f>'VAC &amp; MED'!VB142</f>
        <v>0</v>
      </c>
      <c r="BN27" s="531">
        <f>'VAC &amp; MED'!VK142</f>
        <v>0</v>
      </c>
      <c r="BO27" s="531">
        <f>'VAC &amp; MED'!VT142</f>
        <v>0</v>
      </c>
      <c r="BP27" s="531">
        <f>'VAC &amp; MED'!WC142</f>
        <v>0</v>
      </c>
      <c r="BQ27" s="531">
        <f>'VAC &amp; MED'!WL142</f>
        <v>1572</v>
      </c>
      <c r="BR27" s="531">
        <f>'VAC &amp; MED'!WU142</f>
        <v>7224</v>
      </c>
      <c r="BS27" s="531">
        <f>'VAC &amp; MED'!XD142</f>
        <v>1606</v>
      </c>
      <c r="BT27" s="531">
        <f>'VAC &amp; MED'!XM142</f>
        <v>6508</v>
      </c>
      <c r="BU27" s="531">
        <f>'VAC &amp; MED'!XV142</f>
        <v>0</v>
      </c>
      <c r="BV27" s="531">
        <f>'VAC &amp; MED'!YE142</f>
        <v>0</v>
      </c>
      <c r="BW27" s="531">
        <f>'VAC &amp; MED'!YN142</f>
        <v>0</v>
      </c>
      <c r="BX27" s="531">
        <f>'VAC &amp; MED'!YW142</f>
        <v>0</v>
      </c>
      <c r="BY27" s="531">
        <f>'VAC &amp; MED'!ZF142</f>
        <v>0</v>
      </c>
      <c r="BZ27" s="531">
        <f>'VAC &amp; MED'!ZO142</f>
        <v>0</v>
      </c>
    </row>
    <row r="28" spans="1:83" s="531" customFormat="1" outlineLevel="1">
      <c r="A28" s="536" t="s">
        <v>316</v>
      </c>
      <c r="B28" s="530">
        <f>'VAC &amp; MED'!G142</f>
        <v>12.619999999981701</v>
      </c>
      <c r="C28" s="530">
        <f>'VAC &amp; MED'!P142</f>
        <v>-2.8800000000014734</v>
      </c>
      <c r="D28" s="530">
        <f>'VAC &amp; MED'!Y142</f>
        <v>289.07999999999356</v>
      </c>
      <c r="E28" s="530">
        <f>'VAC &amp; MED'!AH142</f>
        <v>-32.200000000000159</v>
      </c>
      <c r="F28" s="530">
        <f>'VAC &amp; MED'!AQ142</f>
        <v>0</v>
      </c>
      <c r="G28" s="530">
        <f>'VAC &amp; MED'!AZ142</f>
        <v>-1.5000000000000568</v>
      </c>
      <c r="H28" s="530">
        <f>'VAC &amp; MED'!BI142</f>
        <v>-12.200000000001182</v>
      </c>
      <c r="I28" s="530">
        <f>'VAC &amp; MED'!BR142</f>
        <v>501.67999999999984</v>
      </c>
      <c r="J28" s="530">
        <f>'VAC &amp; MED'!CA142</f>
        <v>-232.59999999999991</v>
      </c>
      <c r="K28" s="530">
        <f>'VAC &amp; MED'!CJ142</f>
        <v>-1274.5200000000002</v>
      </c>
      <c r="L28" s="530">
        <f>'VAC &amp; MED'!CS142</f>
        <v>0</v>
      </c>
      <c r="M28" s="530">
        <f>'VAC &amp; MED'!DB142</f>
        <v>-16.67999999999995</v>
      </c>
      <c r="N28" s="530">
        <f>'VAC &amp; MED'!DK142</f>
        <v>-1.4000000000000483</v>
      </c>
      <c r="O28" s="530">
        <f>'VAC &amp; MED'!DT142</f>
        <v>-550</v>
      </c>
      <c r="P28" s="530"/>
      <c r="Q28" s="530">
        <f>'VAC &amp; MED'!EL142</f>
        <v>0</v>
      </c>
      <c r="R28" s="530">
        <f>'VAC &amp; MED'!EU142</f>
        <v>0</v>
      </c>
      <c r="S28" s="530">
        <f>'VAC &amp; MED'!FD142</f>
        <v>0</v>
      </c>
      <c r="T28" s="530">
        <f>'VAC &amp; MED'!FM142</f>
        <v>0</v>
      </c>
      <c r="U28" s="530">
        <f>'VAC &amp; MED'!FV142</f>
        <v>-320</v>
      </c>
      <c r="V28" s="530">
        <f>'VAC &amp; MED'!GE142</f>
        <v>680</v>
      </c>
      <c r="W28" s="530">
        <f>'VAC &amp; MED'!GN142</f>
        <v>-1200</v>
      </c>
      <c r="X28" s="530">
        <f>'VAC &amp; MED'!GW142</f>
        <v>0</v>
      </c>
      <c r="Y28" s="530">
        <f>'VAC &amp; MED'!HF142</f>
        <v>0</v>
      </c>
      <c r="Z28" s="530">
        <f>'VAC &amp; MED'!HO142</f>
        <v>0</v>
      </c>
      <c r="AA28" s="530">
        <f>'VAC &amp; MED'!HY142</f>
        <v>0</v>
      </c>
      <c r="AB28" s="530">
        <f>'VAC &amp; MED'!IH142</f>
        <v>0</v>
      </c>
      <c r="AC28" s="530">
        <f>'VAC &amp; MED'!IQ142</f>
        <v>0</v>
      </c>
      <c r="AD28" s="530">
        <f>'VAC &amp; MED'!IZ142</f>
        <v>0</v>
      </c>
      <c r="AE28" s="530">
        <f>'VAC &amp; MED'!JI142</f>
        <v>-2120</v>
      </c>
      <c r="AF28" s="530">
        <f>'VAC &amp; MED'!JR142</f>
        <v>0</v>
      </c>
      <c r="AG28" s="530">
        <f>'VAC &amp; MED'!KA142</f>
        <v>720</v>
      </c>
      <c r="AH28" s="530">
        <f>'VAC &amp; MED'!KJ142</f>
        <v>390</v>
      </c>
      <c r="AI28" s="530">
        <f>'VAC &amp; MED'!KS142</f>
        <v>-718.19999999999982</v>
      </c>
      <c r="AJ28" s="530">
        <f>'VAC &amp; MED'!LB142</f>
        <v>-902</v>
      </c>
      <c r="AK28" s="530">
        <f>'VAC &amp; MED'!LK142</f>
        <v>0</v>
      </c>
      <c r="AL28" s="530">
        <f>'VAC &amp; MED'!LT142</f>
        <v>0</v>
      </c>
      <c r="AM28" s="532"/>
      <c r="AN28" s="532"/>
      <c r="AO28" s="532"/>
      <c r="AP28" s="532"/>
      <c r="AQ28" s="532"/>
      <c r="AR28" s="532"/>
      <c r="AS28" s="532"/>
      <c r="AT28" s="532"/>
      <c r="AU28" s="532"/>
      <c r="AV28" s="532"/>
      <c r="AW28" s="532"/>
      <c r="AX28" s="532"/>
      <c r="AY28" s="532"/>
      <c r="AZ28" s="532"/>
      <c r="BA28" s="533"/>
      <c r="BB28" s="533"/>
      <c r="BC28" s="533"/>
      <c r="BD28" s="533"/>
      <c r="BE28" s="533"/>
      <c r="BF28" s="533"/>
      <c r="BG28" s="533"/>
      <c r="BH28" s="533"/>
      <c r="BI28" s="531">
        <f>'VAC &amp; MED'!TS142</f>
        <v>0</v>
      </c>
      <c r="BJ28" s="531">
        <f>'VAC &amp; MED'!UB142</f>
        <v>0</v>
      </c>
      <c r="BK28" s="531">
        <f>'VAC &amp; MED'!UK142</f>
        <v>0</v>
      </c>
      <c r="BL28" s="531">
        <f>'VAC &amp; MED'!UT142</f>
        <v>0</v>
      </c>
      <c r="BM28" s="531">
        <f>'VAC &amp; MED'!VC142</f>
        <v>0</v>
      </c>
      <c r="BN28" s="531">
        <f>'VAC &amp; MED'!VL142</f>
        <v>0</v>
      </c>
      <c r="BO28" s="531">
        <f>'VAC &amp; MED'!VU142</f>
        <v>0</v>
      </c>
      <c r="BP28" s="533"/>
      <c r="BQ28" s="533"/>
      <c r="BR28" s="533"/>
      <c r="BS28" s="533"/>
      <c r="BT28" s="533"/>
      <c r="BU28" s="533"/>
      <c r="BV28" s="533"/>
      <c r="BW28" s="533"/>
      <c r="BX28" s="533"/>
      <c r="BY28" s="533"/>
      <c r="BZ28" s="533"/>
      <c r="CA28" s="533"/>
      <c r="CB28" s="533"/>
      <c r="CC28" s="533"/>
      <c r="CD28" s="533"/>
      <c r="CE28" s="533"/>
    </row>
    <row r="29" spans="1:83" s="531" customFormat="1">
      <c r="A29" s="536" t="s">
        <v>171</v>
      </c>
      <c r="B29" s="534">
        <f>'VAC &amp; MED'!H142</f>
        <v>168368.40000000005</v>
      </c>
      <c r="C29" s="534">
        <f>'VAC &amp; MED'!Q142</f>
        <v>63275.80000000009</v>
      </c>
      <c r="D29" s="534">
        <f>'VAC &amp; MED'!Z142</f>
        <v>31017.199999999972</v>
      </c>
      <c r="E29" s="534">
        <f>'VAC &amp; MED'!AI142</f>
        <v>13032.500000000016</v>
      </c>
      <c r="F29" s="534">
        <f>'VAC &amp; MED'!AR142</f>
        <v>0</v>
      </c>
      <c r="G29" s="534">
        <f>'VAC &amp; MED'!BA142</f>
        <v>37387.199999999997</v>
      </c>
      <c r="H29" s="534">
        <f>'VAC &amp; MED'!BJ142</f>
        <v>29537.199999999986</v>
      </c>
      <c r="I29" s="534">
        <f>'VAC &amp; MED'!BS142</f>
        <v>0</v>
      </c>
      <c r="J29" s="534">
        <f>'VAC &amp; MED'!CB142</f>
        <v>5848.7999999999993</v>
      </c>
      <c r="K29" s="534">
        <f>'VAC &amp; MED'!CK142</f>
        <v>0</v>
      </c>
      <c r="L29" s="534">
        <f>'VAC &amp; MED'!CT142</f>
        <v>0</v>
      </c>
      <c r="M29" s="534">
        <f>'VAC &amp; MED'!DC142</f>
        <v>24158.300000000003</v>
      </c>
      <c r="N29" s="534">
        <f>'VAC &amp; MED'!DL142</f>
        <v>42939.599999999984</v>
      </c>
      <c r="O29" s="534">
        <f>'VAC &amp; MED'!DU142</f>
        <v>5800</v>
      </c>
      <c r="P29" s="534">
        <f>'VAC &amp; MED'!ED142</f>
        <v>0</v>
      </c>
      <c r="Q29" s="534">
        <f>'VAC &amp; MED'!EM142</f>
        <v>0</v>
      </c>
      <c r="R29" s="534">
        <f>'VAC &amp; MED'!EV142</f>
        <v>0</v>
      </c>
      <c r="S29" s="534">
        <f>'VAC &amp; MED'!FE142</f>
        <v>0</v>
      </c>
      <c r="T29" s="534">
        <f>'VAC &amp; MED'!FN142</f>
        <v>0</v>
      </c>
      <c r="U29" s="534">
        <f>'VAC &amp; MED'!FW142</f>
        <v>2120</v>
      </c>
      <c r="V29" s="534">
        <f>'VAC &amp; MED'!GF142</f>
        <v>3640</v>
      </c>
      <c r="W29" s="534">
        <f>'VAC &amp; MED'!GO142</f>
        <v>2080</v>
      </c>
      <c r="X29" s="534">
        <f>'VAC &amp; MED'!GX142</f>
        <v>0</v>
      </c>
      <c r="Y29" s="534">
        <f>'VAC &amp; MED'!HG142</f>
        <v>0</v>
      </c>
      <c r="Z29" s="534">
        <f>'VAC &amp; MED'!HP142</f>
        <v>0</v>
      </c>
      <c r="AA29" s="534">
        <f>'VAC &amp; MED'!HZ142</f>
        <v>6360</v>
      </c>
      <c r="AB29" s="534">
        <f>'VAC &amp; MED'!II142</f>
        <v>6540</v>
      </c>
      <c r="AC29" s="534">
        <f>'VAC &amp; MED'!IR142</f>
        <v>11540</v>
      </c>
      <c r="AD29" s="534">
        <f>'VAC &amp; MED'!JA142</f>
        <v>15120</v>
      </c>
      <c r="AE29" s="534">
        <f>'VAC &amp; MED'!JJ142</f>
        <v>1960</v>
      </c>
      <c r="AF29" s="534">
        <f>'VAC &amp; MED'!JS142</f>
        <v>9100</v>
      </c>
      <c r="AG29" s="534">
        <f>'VAC &amp; MED'!KB142</f>
        <v>2540</v>
      </c>
      <c r="AH29" s="534">
        <f>'VAC &amp; MED'!KK142</f>
        <v>19.5</v>
      </c>
      <c r="AI29" s="534">
        <f>'VAC &amp; MED'!KT142</f>
        <v>2079</v>
      </c>
      <c r="AJ29" s="534">
        <f>'VAC &amp; MED'!LC142</f>
        <v>6150</v>
      </c>
      <c r="AK29" s="534">
        <f>'VAC &amp; MED'!LL142</f>
        <v>4000</v>
      </c>
      <c r="AL29" s="534">
        <f>'VAC &amp; MED'!LU142</f>
        <v>0</v>
      </c>
      <c r="AM29" s="534">
        <f>'VAC &amp; MED'!MD142</f>
        <v>0</v>
      </c>
      <c r="AN29" s="534">
        <f>'VAC &amp; MED'!MM142</f>
        <v>0</v>
      </c>
      <c r="AO29" s="534">
        <f>'VAC &amp; MED'!MV142</f>
        <v>3903</v>
      </c>
      <c r="AP29" s="534">
        <f>'VAC &amp; MED'!NE142</f>
        <v>0</v>
      </c>
      <c r="AQ29" s="534">
        <f>'VAC &amp; MED'!NN142</f>
        <v>1137</v>
      </c>
      <c r="AR29" s="534">
        <f>'VAC &amp; MED'!NW142</f>
        <v>3122.8999999999996</v>
      </c>
      <c r="AS29" s="534">
        <f>'VAC &amp; MED'!OF142</f>
        <v>1680.5</v>
      </c>
      <c r="AT29" s="534">
        <f>'VAC &amp; MED'!OO142</f>
        <v>0</v>
      </c>
      <c r="AU29" s="534">
        <f>'VAC &amp; MED'!OX142</f>
        <v>982</v>
      </c>
      <c r="AV29" s="534">
        <f>'VAC &amp; MED'!PG142</f>
        <v>0</v>
      </c>
      <c r="AW29" s="534">
        <f>'VAC &amp; MED'!PP142</f>
        <v>100</v>
      </c>
      <c r="AX29" s="534">
        <f>'VAC &amp; MED'!PY142</f>
        <v>13.960000000000036</v>
      </c>
      <c r="AY29" s="534">
        <f>'VAC &amp; MED'!QH142</f>
        <v>596</v>
      </c>
      <c r="AZ29" s="534">
        <f>'VAC &amp; MED'!QQ142</f>
        <v>400</v>
      </c>
      <c r="BA29" s="531">
        <f>'VAC &amp; MED'!QZ142</f>
        <v>207.6</v>
      </c>
      <c r="BB29" s="531">
        <f>'VAC &amp; MED'!RI142</f>
        <v>147.04000000000002</v>
      </c>
      <c r="BC29" s="531">
        <f>'VAC &amp; MED'!RR142</f>
        <v>46.8</v>
      </c>
      <c r="BD29" s="531">
        <f>'VAC &amp; MED'!SA142</f>
        <v>0</v>
      </c>
      <c r="BE29" s="531">
        <f>'VAC &amp; MED'!SJ142</f>
        <v>24.200000000000003</v>
      </c>
      <c r="BF29" s="531">
        <f>'VAC &amp; MED'!SS142</f>
        <v>32</v>
      </c>
      <c r="BG29" s="531">
        <f>'VAC &amp; MED'!TB142</f>
        <v>0</v>
      </c>
      <c r="BH29" s="531">
        <f>'VAC &amp; MED'!TK142</f>
        <v>0</v>
      </c>
      <c r="BI29" s="531">
        <f>'VAC &amp; MED'!TT142</f>
        <v>0</v>
      </c>
      <c r="BJ29" s="531">
        <f>'VAC &amp; MED'!UC142</f>
        <v>0</v>
      </c>
      <c r="BK29" s="531">
        <f>'VAC &amp; MED'!UL142</f>
        <v>0</v>
      </c>
      <c r="BL29" s="531">
        <f>'VAC &amp; MED'!UU142</f>
        <v>0</v>
      </c>
      <c r="BM29" s="531">
        <f>'VAC &amp; MED'!VD142</f>
        <v>41.600000000000023</v>
      </c>
      <c r="BN29" s="531">
        <f>'VAC &amp; MED'!VM142</f>
        <v>0</v>
      </c>
      <c r="BO29" s="531">
        <f>'VAC &amp; MED'!VV142</f>
        <v>0</v>
      </c>
      <c r="BP29" s="531">
        <f>'VAC &amp; MED'!WE142</f>
        <v>0</v>
      </c>
      <c r="BQ29" s="531">
        <f>'VAC &amp; MED'!WN142</f>
        <v>2317</v>
      </c>
      <c r="BR29" s="531">
        <f>'VAC &amp; MED'!WW142</f>
        <v>776</v>
      </c>
      <c r="BS29" s="531">
        <f>'VAC &amp; MED'!XF142</f>
        <v>13455</v>
      </c>
      <c r="BT29" s="531">
        <f>'VAC &amp; MED'!XO142</f>
        <v>1481</v>
      </c>
      <c r="BU29" s="531">
        <f>'VAC &amp; MED'!XX142</f>
        <v>1901</v>
      </c>
      <c r="BV29" s="531">
        <f>'VAC &amp; MED'!YG142</f>
        <v>6459</v>
      </c>
      <c r="BW29" s="531">
        <f>'VAC &amp; MED'!YP142</f>
        <v>0</v>
      </c>
      <c r="BX29" s="531">
        <f>'VAC &amp; MED'!YY142</f>
        <v>0</v>
      </c>
      <c r="BY29" s="531">
        <f>'VAC &amp; MED'!ZH142</f>
        <v>0</v>
      </c>
      <c r="BZ29" s="531">
        <f>'VAC &amp; MED'!ZQ142</f>
        <v>0</v>
      </c>
    </row>
    <row r="30" spans="1:83" ht="16.149999999999999" thickBot="1">
      <c r="A30" s="536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spans="1:83" s="2" customFormat="1" ht="47.45" thickBot="1">
      <c r="A31" s="539" t="s">
        <v>144</v>
      </c>
      <c r="B31" s="215" t="str">
        <f>PRODUCE!$EA$7</f>
        <v>MAIZE/CORN</v>
      </c>
      <c r="C31" s="216" t="str">
        <f>PRODUCE!$EA$8</f>
        <v>SOYBEAN MEAL (ARG)</v>
      </c>
      <c r="D31" s="217" t="str">
        <f>PRODUCE!$EA$9</f>
        <v>SOYBEAN FULL FAT</v>
      </c>
      <c r="E31" s="218" t="str">
        <f>PRODUCE!$EA$10</f>
        <v>WHEAT POLLARD</v>
      </c>
      <c r="F31" s="219" t="str">
        <f>PRODUCE!$EA$11</f>
        <v>WHEAT</v>
      </c>
      <c r="G31" s="220" t="str">
        <f>PRODUCE!$EA$12</f>
        <v>MEAT AND BONE MEAL</v>
      </c>
      <c r="H31" s="221" t="str">
        <f>PRODUCE!$EA$13</f>
        <v>CORN GLUTEN MEAL</v>
      </c>
      <c r="I31" s="222" t="str">
        <f>PRODUCE!$EA$14</f>
        <v>MEGAFAT (HARUMI)</v>
      </c>
      <c r="J31" s="223" t="str">
        <f>PRODUCE!$EA$15</f>
        <v>DCP 18%</v>
      </c>
      <c r="K31" s="224" t="str">
        <f>PRODUCE!$EA$16</f>
        <v>LIMESTONE POWDER (HARUMI)</v>
      </c>
      <c r="L31" s="225" t="str">
        <f>PRODUCE!$EA$17</f>
        <v>CHOLINE CHLORIDE 60%</v>
      </c>
      <c r="M31" s="226" t="str">
        <f>PRODUCE!$EA$18</f>
        <v>INDUSTRY FLOUR</v>
      </c>
      <c r="N31" s="227" t="str">
        <f>PRODUCE!$EA$19</f>
        <v>RICE BRAN</v>
      </c>
      <c r="O31" s="228" t="str">
        <f>PRODUCE!$EA$20</f>
        <v>EP 200</v>
      </c>
      <c r="P31" s="229" t="str">
        <f>PRODUCE!$EA$21</f>
        <v>SOYTIDE</v>
      </c>
      <c r="Q31" s="230" t="str">
        <f>PRODUCE!$EA$22</f>
        <v>DCP 18% (HARUMI)</v>
      </c>
      <c r="R31" s="231">
        <f>PRODUCE!$EA$23</f>
        <v>1</v>
      </c>
      <c r="S31" s="232">
        <f>PRODUCE!$EA$24</f>
        <v>2</v>
      </c>
      <c r="T31" s="233">
        <f>PRODUCE!$EA$25</f>
        <v>3</v>
      </c>
      <c r="U31" s="234" t="str">
        <f>PRODUCE!$EA$26</f>
        <v>PREMIX 1101 (20KG)</v>
      </c>
      <c r="V31" s="235" t="str">
        <f>PRODUCE!$EA$27</f>
        <v>PREMIX 1102 (20KG)</v>
      </c>
      <c r="W31" s="236" t="str">
        <f>PRODUCE!$EA$28</f>
        <v>PREMIX 1103 (20KG)</v>
      </c>
      <c r="X31" s="237" t="str">
        <f>PRODUCE!$EA$29</f>
        <v>PREMIX 311 (20KG)</v>
      </c>
      <c r="Y31" s="238" t="str">
        <f>PRODUCE!$EA$30</f>
        <v>PREMIX 312 (20KG)</v>
      </c>
      <c r="Z31" s="239">
        <f>PRODUCE!$EA$31</f>
        <v>1</v>
      </c>
      <c r="AA31" s="240" t="str">
        <f>PRODUCE!$EA$32</f>
        <v>PREMIX 8100 (20KG)</v>
      </c>
      <c r="AB31" s="240" t="str">
        <f>PRODUCE!$EA$33</f>
        <v>PREMIX 8101 (20KG)</v>
      </c>
      <c r="AC31" s="240" t="str">
        <f>PRODUCE!$EA$34</f>
        <v>PREMIX 8102 (20KG)</v>
      </c>
      <c r="AD31" s="240" t="str">
        <f>PRODUCE!$EA$35</f>
        <v>PREMIX 8103 (20KG)</v>
      </c>
      <c r="AE31" s="240" t="str">
        <f>PRODUCE!$EA$36</f>
        <v>PREMIX 8108 (20KG)</v>
      </c>
      <c r="AF31" s="240" t="str">
        <f>PRODUCE!$EA$37</f>
        <v>PREMIX 8109 (20KG)</v>
      </c>
      <c r="AG31" s="240" t="str">
        <f>PRODUCE!$EA$38</f>
        <v>YENMIX 121 (20KG)</v>
      </c>
      <c r="AH31" s="240" t="str">
        <f>PRODUCE!$EA$39</f>
        <v>YENMIX 122 (19.50KG)</v>
      </c>
      <c r="AI31" s="240" t="str">
        <f>PRODUCE!$EA$40</f>
        <v>YENMIX 123 (18.90KG)</v>
      </c>
      <c r="AJ31" s="240" t="str">
        <f>PRODUCE!$EA$41</f>
        <v>YENMIX 122 (20.50KG)</v>
      </c>
      <c r="AK31" s="240" t="str">
        <f>PRODUCE!$EA$42</f>
        <v>YENMIX 123 (20.00KG)</v>
      </c>
      <c r="AL31" s="240">
        <f>PRODUCE!$EA$43</f>
        <v>1</v>
      </c>
      <c r="AM31" s="240">
        <f>PRODUCE!$EA$44</f>
        <v>2</v>
      </c>
      <c r="AN31" s="240">
        <f>PRODUCE!$EA$45</f>
        <v>3</v>
      </c>
      <c r="AO31" s="240" t="str">
        <f>PRODUCE!$EA$46</f>
        <v>TOXISORB PREMIUM</v>
      </c>
      <c r="AP31" s="240" t="str">
        <f>PRODUCE!$EA$47</f>
        <v>SODIUM HUMATE 3.8% (HARUMI)</v>
      </c>
      <c r="AQ31" s="240" t="str">
        <f>PRODUCE!$EA$48</f>
        <v>TOXIWALL</v>
      </c>
      <c r="AR31" s="240" t="str">
        <f>PRODUCE!$EA$49</f>
        <v>SODIUM BICARBONATE</v>
      </c>
      <c r="AS31" s="240" t="str">
        <f>PRODUCE!$EA$50</f>
        <v>BMD 10%</v>
      </c>
      <c r="AT31" s="240" t="str">
        <f>PRODUCE!$EA$51</f>
        <v>SALT (HARUMI)</v>
      </c>
      <c r="AU31" s="240" t="str">
        <f>PRODUCE!$EA$52</f>
        <v>VISTABET 91</v>
      </c>
      <c r="AV31" s="240" t="str">
        <f>PRODUCE!$EA$53</f>
        <v>BETAFIN</v>
      </c>
      <c r="AW31" s="240" t="str">
        <f>PRODUCE!$EA$54</f>
        <v>8101 TOP UP</v>
      </c>
      <c r="AX31" s="240" t="str">
        <f>PRODUCE!$EA$55</f>
        <v>NORPONIN X03 (8102 TOP UP)</v>
      </c>
      <c r="AY31" s="240" t="str">
        <f>PRODUCE!$EA$56</f>
        <v>8102 TOP UP (4KG)</v>
      </c>
      <c r="AZ31" s="240" t="str">
        <f>PRODUCE!$EA$57</f>
        <v>8103 TOP UP (5KG)</v>
      </c>
      <c r="BA31" s="240" t="str">
        <f>PRODUCE!$EA$58</f>
        <v>L-ARGININE</v>
      </c>
      <c r="BB31" s="240" t="str">
        <f>PRODUCE!$EA$59</f>
        <v>DL-METHIONINE</v>
      </c>
      <c r="BC31" s="240" t="str">
        <f>PRODUCE!$EA$60</f>
        <v>L-THREONINE</v>
      </c>
      <c r="BD31" s="240" t="str">
        <f>PRODUCE!$EA$61</f>
        <v>L-LYSINE</v>
      </c>
      <c r="BE31" s="240" t="str">
        <f>PRODUCE!$EA$62</f>
        <v>FAECES DRY</v>
      </c>
      <c r="BF31" s="240" t="str">
        <f>PRODUCE!$EA$63</f>
        <v>ECOBIOL</v>
      </c>
      <c r="BG31" s="240" t="str">
        <f>PRODUCE!$EA$64</f>
        <v>ADDITIVE BROILER IMMUNE</v>
      </c>
      <c r="BH31" s="240" t="str">
        <f>PRODUCE!$EA$65</f>
        <v>MASTER CUBE (HARUMI)</v>
      </c>
      <c r="BI31" s="240" t="str">
        <f>PRODUCE!$EA$66</f>
        <v>1101 TOP UP (0.40KG)</v>
      </c>
      <c r="BJ31" s="240" t="str">
        <f>PRODUCE!$EA$67</f>
        <v>1102 TOP UP (0.60KG)</v>
      </c>
      <c r="BK31" s="240" t="str">
        <f>PRODUCE!$EA$68</f>
        <v>1103 TOP UP (2.00KG)</v>
      </c>
      <c r="BL31" s="240" t="str">
        <f>PRODUCE!$EA$69</f>
        <v>QUANTUM GLO 4%</v>
      </c>
      <c r="BM31" s="240" t="str">
        <f>PRODUCE!$EA$70</f>
        <v>SALT</v>
      </c>
      <c r="BN31" s="240" t="str">
        <f>PRODUCE!$EA$71</f>
        <v>OC 200 - OXYTET 20%</v>
      </c>
      <c r="BO31" s="240">
        <f>PRODUCE!$EA$72</f>
        <v>3</v>
      </c>
      <c r="BP31" s="387">
        <f>PRODUCE!$EA$73</f>
        <v>4</v>
      </c>
      <c r="BQ31" s="392" t="str">
        <f>PRODUCE!$EA$74</f>
        <v>WOVEN BAG (1101) - BLUE 50KG</v>
      </c>
      <c r="BR31" s="391" t="str">
        <f>PRODUCE!$EA$75</f>
        <v>WOVEN BAG (1102) - GREEN 50KG</v>
      </c>
      <c r="BS31" s="388" t="str">
        <f>PRODUCE!$EA$76</f>
        <v>WOVEN BAG (1103) - RED 50KG</v>
      </c>
      <c r="BT31" s="389" t="str">
        <f>PRODUCE!$EA$77</f>
        <v>PLAIN BAG 26" X 39" (50KG)</v>
      </c>
      <c r="BU31" s="350" t="str">
        <f>PRODUCE!$EA$78</f>
        <v>WOVEN BAG (8101) - KHAKI 50KG</v>
      </c>
      <c r="BV31" s="390" t="str">
        <f>PRODUCE!$EA$79</f>
        <v>WOVEN BAG (8102) - SKY BLUE 50KG</v>
      </c>
      <c r="BW31" s="240" t="str">
        <f>PRODUCE!$EA$80</f>
        <v>WOVEN BAG (8103) - BROWN 50KG</v>
      </c>
      <c r="BX31" s="240">
        <f>PRODUCE!$EA$81</f>
        <v>1</v>
      </c>
      <c r="BY31" s="240">
        <f>PRODUCE!$EA$82</f>
        <v>2</v>
      </c>
      <c r="BZ31" s="240">
        <f>PRODUCE!$EA$83</f>
        <v>3</v>
      </c>
      <c r="CA31" s="240">
        <f>PRODUCE!$EA$84</f>
        <v>4</v>
      </c>
      <c r="CB31" s="240">
        <f>PRODUCE!$EA$85</f>
        <v>5</v>
      </c>
      <c r="CC31" s="240">
        <f>PRODUCE!$EA$86</f>
        <v>6</v>
      </c>
      <c r="CD31" s="240">
        <f>PRODUCE!$EA$87</f>
        <v>7</v>
      </c>
      <c r="CE31" s="240">
        <f>PRODUCE!$EA$88</f>
        <v>8</v>
      </c>
    </row>
    <row r="32" spans="1:83" s="531" customFormat="1" outlineLevel="1">
      <c r="A32" s="536" t="s">
        <v>313</v>
      </c>
      <c r="B32" s="530">
        <f>'VAC &amp; MED'!H146</f>
        <v>168368.40000000005</v>
      </c>
      <c r="C32" s="530">
        <f>'VAC &amp; MED'!Q146</f>
        <v>63275.80000000009</v>
      </c>
      <c r="D32" s="530">
        <f>'VAC &amp; MED'!Z146</f>
        <v>31017.199999999972</v>
      </c>
      <c r="E32" s="530">
        <f>'VAC &amp; MED'!AI146</f>
        <v>13032.500000000016</v>
      </c>
      <c r="F32" s="530">
        <f>'VAC &amp; MED'!AR146</f>
        <v>0</v>
      </c>
      <c r="G32" s="530">
        <f>'VAC &amp; MED'!BA146</f>
        <v>37387.199999999997</v>
      </c>
      <c r="H32" s="530">
        <f>'VAC &amp; MED'!BJ146</f>
        <v>29537.199999999986</v>
      </c>
      <c r="I32" s="530">
        <f>'VAC &amp; MED'!BS146</f>
        <v>0</v>
      </c>
      <c r="J32" s="530">
        <f>'VAC &amp; MED'!CB146</f>
        <v>5848.7999999999993</v>
      </c>
      <c r="K32" s="530">
        <f>'VAC &amp; MED'!CK146</f>
        <v>0</v>
      </c>
      <c r="L32" s="530">
        <f>'VAC &amp; MED'!CT146</f>
        <v>0</v>
      </c>
      <c r="M32" s="530">
        <f>'VAC &amp; MED'!DC146</f>
        <v>24158.300000000003</v>
      </c>
      <c r="N32" s="530">
        <f>'VAC &amp; MED'!DL146</f>
        <v>42939.599999999984</v>
      </c>
      <c r="O32" s="530">
        <f>'VAC &amp; MED'!DU146</f>
        <v>5800</v>
      </c>
      <c r="P32" s="530">
        <f>'VAC &amp; MED'!ED146</f>
        <v>0</v>
      </c>
      <c r="Q32" s="530">
        <f>'VAC &amp; MED'!EM146</f>
        <v>0</v>
      </c>
      <c r="R32" s="530">
        <f>'VAC &amp; MED'!EV146</f>
        <v>0</v>
      </c>
      <c r="S32" s="530">
        <f>'VAC &amp; MED'!FE146</f>
        <v>0</v>
      </c>
      <c r="T32" s="530">
        <f>'VAC &amp; MED'!FN146</f>
        <v>0</v>
      </c>
      <c r="U32" s="530">
        <f>'VAC &amp; MED'!FW146</f>
        <v>2120</v>
      </c>
      <c r="V32" s="530">
        <f>'VAC &amp; MED'!GF146</f>
        <v>3640</v>
      </c>
      <c r="W32" s="530">
        <f>'VAC &amp; MED'!GO146</f>
        <v>2080</v>
      </c>
      <c r="X32" s="530">
        <f>'VAC &amp; MED'!GX146</f>
        <v>0</v>
      </c>
      <c r="Y32" s="530">
        <f>'VAC &amp; MED'!HG146</f>
        <v>0</v>
      </c>
      <c r="Z32" s="530">
        <f>'VAC &amp; MED'!HP146</f>
        <v>0</v>
      </c>
      <c r="AA32" s="530">
        <f>'VAC &amp; MED'!HZ146</f>
        <v>6360</v>
      </c>
      <c r="AB32" s="530">
        <f>'VAC &amp; MED'!II146</f>
        <v>6540</v>
      </c>
      <c r="AC32" s="530">
        <f>'VAC &amp; MED'!IR146</f>
        <v>11540</v>
      </c>
      <c r="AD32" s="530">
        <f>'VAC &amp; MED'!JA146</f>
        <v>15120</v>
      </c>
      <c r="AE32" s="530">
        <f>'VAC &amp; MED'!JJ146</f>
        <v>1960</v>
      </c>
      <c r="AF32" s="530">
        <f>'VAC &amp; MED'!JS146</f>
        <v>9100</v>
      </c>
      <c r="AG32" s="530">
        <f>'VAC &amp; MED'!KB146</f>
        <v>2540</v>
      </c>
      <c r="AH32" s="530">
        <f>'VAC &amp; MED'!KK146</f>
        <v>19.5</v>
      </c>
      <c r="AI32" s="530">
        <f>'VAC &amp; MED'!KT146</f>
        <v>2079</v>
      </c>
      <c r="AJ32" s="530">
        <f>'VAC &amp; MED'!LC146</f>
        <v>6150</v>
      </c>
      <c r="AK32" s="530">
        <f>'VAC &amp; MED'!LL146</f>
        <v>4000</v>
      </c>
      <c r="AL32" s="530">
        <f>'VAC &amp; MED'!LU146</f>
        <v>0</v>
      </c>
      <c r="AM32" s="530">
        <f>'VAC &amp; MED'!MD146</f>
        <v>0</v>
      </c>
      <c r="AN32" s="530">
        <f>'VAC &amp; MED'!MM146</f>
        <v>0</v>
      </c>
      <c r="AO32" s="530">
        <f>'VAC &amp; MED'!MV146</f>
        <v>3903</v>
      </c>
      <c r="AP32" s="530">
        <f>'VAC &amp; MED'!NE146</f>
        <v>0</v>
      </c>
      <c r="AQ32" s="530">
        <f>'VAC &amp; MED'!NN146</f>
        <v>1137</v>
      </c>
      <c r="AR32" s="530">
        <f>'VAC &amp; MED'!NW146</f>
        <v>3122.8999999999996</v>
      </c>
      <c r="AS32" s="530">
        <f>'VAC &amp; MED'!OF146</f>
        <v>1680.5</v>
      </c>
      <c r="AT32" s="530">
        <f>'VAC &amp; MED'!OO146</f>
        <v>0</v>
      </c>
      <c r="AU32" s="530">
        <f>'VAC &amp; MED'!OX146</f>
        <v>982</v>
      </c>
      <c r="AV32" s="530">
        <f>'VAC &amp; MED'!PG146</f>
        <v>0</v>
      </c>
      <c r="AW32" s="530">
        <f>'VAC &amp; MED'!PP146</f>
        <v>100</v>
      </c>
      <c r="AX32" s="530">
        <f>'VAC &amp; MED'!PY146</f>
        <v>13.960000000000036</v>
      </c>
      <c r="AY32" s="530">
        <f>'VAC &amp; MED'!QH146</f>
        <v>596</v>
      </c>
      <c r="AZ32" s="530">
        <f>'VAC &amp; MED'!QQ146</f>
        <v>400</v>
      </c>
      <c r="BA32" s="531">
        <f>'VAC &amp; MED'!QZ146</f>
        <v>207.6</v>
      </c>
      <c r="BB32" s="531">
        <f>'VAC &amp; MED'!RI146</f>
        <v>147.04000000000002</v>
      </c>
      <c r="BC32" s="531">
        <f>'VAC &amp; MED'!RR146</f>
        <v>46.8</v>
      </c>
      <c r="BD32" s="531">
        <f>'VAC &amp; MED'!SA146</f>
        <v>0</v>
      </c>
      <c r="BE32" s="531">
        <f>'VAC &amp; MED'!SJ146</f>
        <v>24.200000000000003</v>
      </c>
      <c r="BF32" s="531">
        <f>'VAC &amp; MED'!SS146</f>
        <v>32</v>
      </c>
      <c r="BG32" s="531">
        <f>'VAC &amp; MED'!TB146</f>
        <v>0</v>
      </c>
      <c r="BH32" s="531">
        <f>'VAC &amp; MED'!TK146</f>
        <v>0</v>
      </c>
      <c r="BI32" s="531">
        <f>'VAC &amp; MED'!TT146</f>
        <v>0</v>
      </c>
      <c r="BJ32" s="531">
        <f>'VAC &amp; MED'!UC146</f>
        <v>0</v>
      </c>
      <c r="BK32" s="531">
        <f>'VAC &amp; MED'!UL146</f>
        <v>0</v>
      </c>
      <c r="BL32" s="531">
        <f>'VAC &amp; MED'!UU146</f>
        <v>0</v>
      </c>
      <c r="BM32" s="531">
        <f>'VAC &amp; MED'!VD146</f>
        <v>41.600000000000023</v>
      </c>
      <c r="BN32" s="531">
        <f>'VAC &amp; MED'!VM146</f>
        <v>0</v>
      </c>
      <c r="BO32" s="531">
        <f>'VAC &amp; MED'!VV146</f>
        <v>0</v>
      </c>
      <c r="BP32" s="531">
        <f>'VAC &amp; MED'!WE146</f>
        <v>0</v>
      </c>
      <c r="BQ32" s="531">
        <f>'VAC &amp; MED'!WN146</f>
        <v>2317</v>
      </c>
      <c r="BR32" s="531">
        <f>'VAC &amp; MED'!WW146</f>
        <v>776</v>
      </c>
      <c r="BS32" s="531">
        <f>'VAC &amp; MED'!XF146</f>
        <v>13455</v>
      </c>
      <c r="BT32" s="531">
        <f>'VAC &amp; MED'!XO146</f>
        <v>1481</v>
      </c>
      <c r="BU32" s="531">
        <f>'VAC &amp; MED'!XX146</f>
        <v>1901</v>
      </c>
      <c r="BV32" s="531">
        <f>'VAC &amp; MED'!YG146</f>
        <v>6459</v>
      </c>
      <c r="BW32" s="531">
        <f>'VAC &amp; MED'!YP146</f>
        <v>0</v>
      </c>
      <c r="BX32" s="531">
        <f>'VAC &amp; MED'!YY146</f>
        <v>0</v>
      </c>
      <c r="BY32" s="531">
        <f>'VAC &amp; MED'!ZH146</f>
        <v>0</v>
      </c>
      <c r="BZ32" s="531">
        <f>'VAC &amp; MED'!ZQ146</f>
        <v>0</v>
      </c>
    </row>
    <row r="33" spans="1:83" s="531" customFormat="1" outlineLevel="1">
      <c r="A33" s="536" t="s">
        <v>314</v>
      </c>
      <c r="B33" s="530">
        <f>'VAC &amp; MED'!D178</f>
        <v>736930</v>
      </c>
      <c r="C33" s="530">
        <f>'VAC &amp; MED'!M178</f>
        <v>333130</v>
      </c>
      <c r="D33" s="530">
        <f>'VAC &amp; MED'!V178</f>
        <v>80070</v>
      </c>
      <c r="E33" s="530">
        <f>'VAC &amp; MED'!AE178</f>
        <v>30400</v>
      </c>
      <c r="F33" s="530">
        <f>'VAC &amp; MED'!AN178</f>
        <v>0</v>
      </c>
      <c r="G33" s="530">
        <f>'VAC &amp; MED'!AW178</f>
        <v>11920</v>
      </c>
      <c r="H33" s="530">
        <f>'VAC &amp; MED'!BF178</f>
        <v>27970</v>
      </c>
      <c r="I33" s="530">
        <f>'VAC &amp; MED'!BO178</f>
        <v>24921.199999999997</v>
      </c>
      <c r="J33" s="530">
        <f>'VAC &amp; MED'!BX178</f>
        <v>0</v>
      </c>
      <c r="K33" s="530">
        <f>'VAC &amp; MED'!CG178</f>
        <v>4445.7199999999993</v>
      </c>
      <c r="L33" s="530">
        <f>'VAC &amp; MED'!CP178</f>
        <v>0</v>
      </c>
      <c r="M33" s="530">
        <f>'VAC &amp; MED'!CY178</f>
        <v>0</v>
      </c>
      <c r="N33" s="530">
        <f>'VAC &amp; MED'!DH178</f>
        <v>0</v>
      </c>
      <c r="O33" s="530">
        <f>'VAC &amp; MED'!DQ178</f>
        <v>0</v>
      </c>
      <c r="P33" s="530">
        <f>'VAC &amp; MED'!DZ178</f>
        <v>0</v>
      </c>
      <c r="Q33" s="530">
        <f>'VAC &amp; MED'!EI178</f>
        <v>0</v>
      </c>
      <c r="R33" s="530">
        <f>'VAC &amp; MED'!ER178</f>
        <v>0</v>
      </c>
      <c r="S33" s="530">
        <f>'VAC &amp; MED'!FA178</f>
        <v>0</v>
      </c>
      <c r="T33" s="530">
        <f>'VAC &amp; MED'!FJ178</f>
        <v>0</v>
      </c>
      <c r="U33" s="530">
        <f>'VAC &amp; MED'!FS178</f>
        <v>2020</v>
      </c>
      <c r="V33" s="530">
        <f>'VAC &amp; MED'!GB178</f>
        <v>2000</v>
      </c>
      <c r="W33" s="530">
        <f>'VAC &amp; MED'!GK178</f>
        <v>6000</v>
      </c>
      <c r="X33" s="530">
        <f>'VAC &amp; MED'!GT178</f>
        <v>1600</v>
      </c>
      <c r="Y33" s="530">
        <f>'VAC &amp; MED'!HC178</f>
        <v>3600</v>
      </c>
      <c r="Z33" s="530">
        <f>'VAC &amp; MED'!HL178</f>
        <v>0</v>
      </c>
      <c r="AA33" s="530">
        <f>'VAC &amp; MED'!HV178</f>
        <v>2000</v>
      </c>
      <c r="AB33" s="530">
        <f>'VAC &amp; MED'!IE178</f>
        <v>180</v>
      </c>
      <c r="AC33" s="530">
        <f>'VAC &amp; MED'!IN178</f>
        <v>0</v>
      </c>
      <c r="AD33" s="530">
        <f>'VAC &amp; MED'!IW178</f>
        <v>0</v>
      </c>
      <c r="AE33" s="530">
        <f>'VAC &amp; MED'!JF178</f>
        <v>0</v>
      </c>
      <c r="AF33" s="530">
        <f>'VAC &amp; MED'!JO178</f>
        <v>0</v>
      </c>
      <c r="AG33" s="530">
        <f>'VAC &amp; MED'!JX178</f>
        <v>0</v>
      </c>
      <c r="AH33" s="530">
        <f>'VAC &amp; MED'!KG178</f>
        <v>2340</v>
      </c>
      <c r="AI33" s="530">
        <f>'VAC &amp; MED'!KP178</f>
        <v>0</v>
      </c>
      <c r="AJ33" s="530">
        <f>'VAC &amp; MED'!KY178</f>
        <v>0</v>
      </c>
      <c r="AK33" s="530">
        <f>'VAC &amp; MED'!LH178</f>
        <v>0</v>
      </c>
      <c r="AL33" s="530">
        <f>'VAC &amp; MED'!LQ178</f>
        <v>0</v>
      </c>
      <c r="AM33" s="530">
        <f>'VAC &amp; MED'!LZ178</f>
        <v>0</v>
      </c>
      <c r="AN33" s="530">
        <f>'VAC &amp; MED'!MI178</f>
        <v>0</v>
      </c>
      <c r="AO33" s="530">
        <f>'VAC &amp; MED'!MR178</f>
        <v>0</v>
      </c>
      <c r="AP33" s="530">
        <f>'VAC &amp; MED'!NA178</f>
        <v>2134</v>
      </c>
      <c r="AQ33" s="530">
        <f>'VAC &amp; MED'!NJ178</f>
        <v>0</v>
      </c>
      <c r="AR33" s="530">
        <f>'VAC &amp; MED'!NS178</f>
        <v>1.1000000000000001</v>
      </c>
      <c r="AS33" s="530">
        <f>'VAC &amp; MED'!OB178</f>
        <v>0</v>
      </c>
      <c r="AT33" s="530">
        <f>'VAC &amp; MED'!OK178</f>
        <v>324.39999999999998</v>
      </c>
      <c r="AU33" s="530">
        <f>'VAC &amp; MED'!OT178</f>
        <v>500</v>
      </c>
      <c r="AV33" s="530">
        <f>'VAC &amp; MED'!PC178</f>
        <v>0</v>
      </c>
      <c r="AW33" s="530">
        <f>'VAC &amp; MED'!PL178</f>
        <v>0</v>
      </c>
      <c r="AX33" s="530">
        <f>'VAC &amp; MED'!PU178</f>
        <v>0</v>
      </c>
      <c r="AY33" s="530">
        <f>'VAC &amp; MED'!QD178</f>
        <v>800</v>
      </c>
      <c r="AZ33" s="530">
        <f>'VAC &amp; MED'!QM178</f>
        <v>1940</v>
      </c>
      <c r="BA33" s="531">
        <f>'VAC &amp; MED'!QV178</f>
        <v>0</v>
      </c>
      <c r="BB33" s="531">
        <f>'VAC &amp; MED'!RE178</f>
        <v>0</v>
      </c>
      <c r="BC33" s="531">
        <f>'VAC &amp; MED'!RN178</f>
        <v>0</v>
      </c>
      <c r="BD33" s="531">
        <f>'VAC &amp; MED'!RW178</f>
        <v>0</v>
      </c>
      <c r="BE33" s="531">
        <f>'VAC &amp; MED'!SF178</f>
        <v>0</v>
      </c>
      <c r="BF33" s="531">
        <f>'VAC &amp; MED'!SO178</f>
        <v>0</v>
      </c>
      <c r="BG33" s="531">
        <f>'VAC &amp; MED'!SX178</f>
        <v>0</v>
      </c>
      <c r="BH33" s="531">
        <f>'VAC &amp; MED'!TG178</f>
        <v>50</v>
      </c>
      <c r="BI33" s="531">
        <f>'VAC &amp; MED'!TP178</f>
        <v>0</v>
      </c>
      <c r="BJ33" s="531">
        <f>'VAC &amp; MED'!TY178</f>
        <v>228</v>
      </c>
      <c r="BK33" s="531">
        <f>'VAC &amp; MED'!UH178</f>
        <v>1000</v>
      </c>
      <c r="BL33" s="531">
        <f>'VAC &amp; MED'!UQ178</f>
        <v>40</v>
      </c>
      <c r="BM33" s="531">
        <f>'VAC &amp; MED'!UZ178</f>
        <v>0</v>
      </c>
      <c r="BN33" s="531">
        <f>'VAC &amp; MED'!VI178</f>
        <v>0</v>
      </c>
      <c r="BO33" s="531">
        <f>'VAC &amp; MED'!VR178</f>
        <v>0</v>
      </c>
      <c r="BP33" s="531">
        <f>'VAC &amp; MED'!WA178</f>
        <v>0</v>
      </c>
      <c r="BQ33" s="531">
        <f>'VAC &amp; MED'!WJ178</f>
        <v>0</v>
      </c>
      <c r="BR33" s="531">
        <f>'VAC &amp; MED'!WS178</f>
        <v>0</v>
      </c>
      <c r="BS33" s="531">
        <f>'VAC &amp; MED'!XB178</f>
        <v>0</v>
      </c>
      <c r="BT33" s="531">
        <f>'VAC &amp; MED'!XK178</f>
        <v>8266</v>
      </c>
      <c r="BU33" s="531">
        <f>'VAC &amp; MED'!XT178</f>
        <v>0</v>
      </c>
      <c r="BV33" s="531">
        <f>'VAC &amp; MED'!YC178</f>
        <v>0</v>
      </c>
      <c r="BW33" s="531">
        <f>'VAC &amp; MED'!YL178</f>
        <v>0</v>
      </c>
      <c r="BX33" s="531">
        <f>'VAC &amp; MED'!YU178</f>
        <v>0</v>
      </c>
      <c r="BY33" s="531">
        <f>'VAC &amp; MED'!ZD178</f>
        <v>0</v>
      </c>
      <c r="BZ33" s="531">
        <f>'VAC &amp; MED'!ZM178</f>
        <v>0</v>
      </c>
    </row>
    <row r="34" spans="1:83" s="531" customFormat="1" outlineLevel="1">
      <c r="A34" s="536" t="s">
        <v>315</v>
      </c>
      <c r="B34" s="530">
        <f>'VAC &amp; MED'!E178</f>
        <v>660754.0199999999</v>
      </c>
      <c r="C34" s="530">
        <f>'VAC &amp; MED'!N178</f>
        <v>290450.74</v>
      </c>
      <c r="D34" s="530">
        <f>'VAC &amp; MED'!W178</f>
        <v>66390</v>
      </c>
      <c r="E34" s="530">
        <f>'VAC &amp; MED'!AF178</f>
        <v>30200</v>
      </c>
      <c r="F34" s="530">
        <f>'VAC &amp; MED'!AO178</f>
        <v>0</v>
      </c>
      <c r="G34" s="530">
        <f>'VAC &amp; MED'!AX178</f>
        <v>11155</v>
      </c>
      <c r="H34" s="530">
        <f>'VAC &amp; MED'!BG178</f>
        <v>23332</v>
      </c>
      <c r="I34" s="530">
        <f>'VAC &amp; MED'!BP178</f>
        <v>24921</v>
      </c>
      <c r="J34" s="530">
        <f>'VAC &amp; MED'!BY178</f>
        <v>921.77</v>
      </c>
      <c r="K34" s="530">
        <f>'VAC &amp; MED'!CH178</f>
        <v>4631.96</v>
      </c>
      <c r="L34" s="530">
        <f>'VAC &amp; MED'!CQ178</f>
        <v>0</v>
      </c>
      <c r="M34" s="530">
        <f>'VAC &amp; MED'!CZ178</f>
        <v>3580</v>
      </c>
      <c r="N34" s="530">
        <f>'VAC &amp; MED'!DI178</f>
        <v>7700</v>
      </c>
      <c r="O34" s="530">
        <f>'VAC &amp; MED'!DR178</f>
        <v>0</v>
      </c>
      <c r="P34" s="530">
        <f>'VAC &amp; MED'!EB178</f>
        <v>0</v>
      </c>
      <c r="Q34" s="530">
        <f>'VAC &amp; MED'!EJ178</f>
        <v>0</v>
      </c>
      <c r="R34" s="530">
        <f>'VAC &amp; MED'!ES178</f>
        <v>0</v>
      </c>
      <c r="S34" s="530">
        <f>'VAC &amp; MED'!FB178</f>
        <v>0</v>
      </c>
      <c r="T34" s="530">
        <f>'VAC &amp; MED'!FK178</f>
        <v>0</v>
      </c>
      <c r="U34" s="530">
        <f>'VAC &amp; MED'!FT178</f>
        <v>0</v>
      </c>
      <c r="V34" s="530">
        <f>'VAC &amp; MED'!GC178</f>
        <v>1520</v>
      </c>
      <c r="W34" s="530">
        <f>'VAC &amp; MED'!GL178</f>
        <v>6600</v>
      </c>
      <c r="X34" s="530">
        <f>'VAC &amp; MED'!GU178</f>
        <v>1000</v>
      </c>
      <c r="Y34" s="530">
        <f>'VAC &amp; MED'!HD178</f>
        <v>0</v>
      </c>
      <c r="Z34" s="530">
        <f>'VAC &amp; MED'!HM178</f>
        <v>0</v>
      </c>
      <c r="AA34" s="530">
        <f>'VAC &amp; MED'!HW178</f>
        <v>1560</v>
      </c>
      <c r="AB34" s="530">
        <f>'VAC &amp; MED'!IF178</f>
        <v>0</v>
      </c>
      <c r="AC34" s="530">
        <f>'VAC &amp; MED'!IO178</f>
        <v>0</v>
      </c>
      <c r="AD34" s="530">
        <f>'VAC &amp; MED'!IX178</f>
        <v>0</v>
      </c>
      <c r="AE34" s="530">
        <f>'VAC &amp; MED'!JG178</f>
        <v>6440</v>
      </c>
      <c r="AF34" s="530">
        <f>'VAC &amp; MED'!JP178</f>
        <v>3880</v>
      </c>
      <c r="AG34" s="530">
        <f>'VAC &amp; MED'!JY178</f>
        <v>0</v>
      </c>
      <c r="AH34" s="530">
        <f>'VAC &amp; MED'!KH178</f>
        <v>0</v>
      </c>
      <c r="AI34" s="530">
        <f>'VAC &amp; MED'!KQ178</f>
        <v>944.99999999999989</v>
      </c>
      <c r="AJ34" s="530">
        <f>'VAC &amp; MED'!KZ178</f>
        <v>0</v>
      </c>
      <c r="AK34" s="530">
        <f>'VAC &amp; MED'!LI178</f>
        <v>0</v>
      </c>
      <c r="AL34" s="530">
        <f>'VAC &amp; MED'!LR178</f>
        <v>0</v>
      </c>
      <c r="AM34" s="530">
        <f>'VAC &amp; MED'!MA178</f>
        <v>0</v>
      </c>
      <c r="AN34" s="530">
        <f>'VAC &amp; MED'!MJ178</f>
        <v>0</v>
      </c>
      <c r="AO34" s="530">
        <f>'VAC &amp; MED'!MS178</f>
        <v>212</v>
      </c>
      <c r="AP34" s="530">
        <f>'VAC &amp; MED'!NB178</f>
        <v>2182</v>
      </c>
      <c r="AQ34" s="530">
        <f>'VAC &amp; MED'!NK178</f>
        <v>50</v>
      </c>
      <c r="AR34" s="530">
        <f>'VAC &amp; MED'!NU178</f>
        <v>12</v>
      </c>
      <c r="AS34" s="530">
        <f>'VAC &amp; MED'!OD178</f>
        <v>0</v>
      </c>
      <c r="AT34" s="530">
        <f>'VAC &amp; MED'!OM178</f>
        <v>324.39999999999998</v>
      </c>
      <c r="AU34" s="530">
        <f>'VAC &amp; MED'!OV178</f>
        <v>0</v>
      </c>
      <c r="AV34" s="530">
        <f>'VAC &amp; MED'!PE178</f>
        <v>0</v>
      </c>
      <c r="AW34" s="530">
        <f>'VAC &amp; MED'!PN178</f>
        <v>0</v>
      </c>
      <c r="AX34" s="530">
        <f>'VAC &amp; MED'!PW178</f>
        <v>0</v>
      </c>
      <c r="AY34" s="530">
        <f>'VAC &amp; MED'!QF178</f>
        <v>1288</v>
      </c>
      <c r="AZ34" s="530">
        <f>'VAC &amp; MED'!QO178</f>
        <v>2095</v>
      </c>
      <c r="BA34" s="531">
        <f>'VAC &amp; MED'!QX178</f>
        <v>0</v>
      </c>
      <c r="BB34" s="531">
        <f>'VAC &amp; MED'!RG178</f>
        <v>0</v>
      </c>
      <c r="BC34" s="531">
        <f>'VAC &amp; MED'!RP178</f>
        <v>0</v>
      </c>
      <c r="BD34" s="531">
        <f>'VAC &amp; MED'!RY178</f>
        <v>0</v>
      </c>
      <c r="BE34" s="531">
        <f>'VAC &amp; MED'!SH178</f>
        <v>0</v>
      </c>
      <c r="BF34" s="531">
        <f>'VAC &amp; MED'!SQ178</f>
        <v>0</v>
      </c>
      <c r="BG34" s="531">
        <f>'VAC &amp; MED'!SZ178</f>
        <v>0</v>
      </c>
      <c r="BH34" s="531">
        <f>'VAC &amp; MED'!TI178</f>
        <v>50</v>
      </c>
      <c r="BI34" s="531">
        <f>'VAC &amp; MED'!TR178</f>
        <v>0</v>
      </c>
      <c r="BJ34" s="531">
        <f>'VAC &amp; MED'!UA178</f>
        <v>92.4</v>
      </c>
      <c r="BK34" s="531">
        <f>'VAC &amp; MED'!UJ178</f>
        <v>872</v>
      </c>
      <c r="BL34" s="531">
        <f>'VAC &amp; MED'!US178</f>
        <v>28.75</v>
      </c>
      <c r="BM34" s="531">
        <f>'VAC &amp; MED'!VB178</f>
        <v>0</v>
      </c>
      <c r="BN34" s="531">
        <f>'VAC &amp; MED'!VK178</f>
        <v>0</v>
      </c>
      <c r="BO34" s="531">
        <f>'VAC &amp; MED'!VT178</f>
        <v>0</v>
      </c>
      <c r="BP34" s="531">
        <f>'VAC &amp; MED'!WC178</f>
        <v>0</v>
      </c>
      <c r="BQ34" s="531">
        <f>'VAC &amp; MED'!WL178</f>
        <v>1118</v>
      </c>
      <c r="BR34" s="531">
        <f>'VAC &amp; MED'!WU178</f>
        <v>776</v>
      </c>
      <c r="BS34" s="531">
        <f>'VAC &amp; MED'!XD178</f>
        <v>6642</v>
      </c>
      <c r="BT34" s="531">
        <f>'VAC &amp; MED'!XM178</f>
        <v>1923</v>
      </c>
      <c r="BU34" s="531">
        <f>'VAC &amp; MED'!XV178</f>
        <v>280</v>
      </c>
      <c r="BV34" s="531">
        <f>'VAC &amp; MED'!YE178</f>
        <v>266</v>
      </c>
      <c r="BW34" s="531">
        <f>'VAC &amp; MED'!YN178</f>
        <v>0</v>
      </c>
      <c r="BX34" s="531">
        <f>'VAC &amp; MED'!YW178</f>
        <v>0</v>
      </c>
      <c r="BY34" s="531">
        <f>'VAC &amp; MED'!ZF178</f>
        <v>0</v>
      </c>
      <c r="BZ34" s="531">
        <f>'VAC &amp; MED'!ZO178</f>
        <v>0</v>
      </c>
    </row>
    <row r="35" spans="1:83" s="531" customFormat="1" outlineLevel="1">
      <c r="A35" s="536" t="s">
        <v>316</v>
      </c>
      <c r="B35" s="530">
        <f>'VAC &amp; MED'!G178</f>
        <v>-200.98000000002321</v>
      </c>
      <c r="C35" s="530">
        <f>'VAC &amp; MED'!P178</f>
        <v>2.1400000000014643</v>
      </c>
      <c r="D35" s="530">
        <f>'VAC &amp; MED'!Y178</f>
        <v>-10.899999999999238</v>
      </c>
      <c r="E35" s="530">
        <f>'VAC &amp; MED'!AH178</f>
        <v>-1039.0999999999995</v>
      </c>
      <c r="F35" s="530">
        <f>'VAC &amp; MED'!AQ178</f>
        <v>0</v>
      </c>
      <c r="G35" s="530">
        <f>'VAC &amp; MED'!AZ178</f>
        <v>-19585.500000000004</v>
      </c>
      <c r="H35" s="530">
        <f>'VAC &amp; MED'!BI178</f>
        <v>-11.199999999999875</v>
      </c>
      <c r="I35" s="530">
        <f>'VAC &amp; MED'!BR178</f>
        <v>-0.19999999999985363</v>
      </c>
      <c r="J35" s="530">
        <f>'VAC &amp; MED'!CA178</f>
        <v>156.10000000000008</v>
      </c>
      <c r="K35" s="530">
        <f>'VAC &amp; MED'!CJ178</f>
        <v>186.24000000000012</v>
      </c>
      <c r="L35" s="530">
        <f>'VAC &amp; MED'!CS178</f>
        <v>0</v>
      </c>
      <c r="M35" s="530">
        <f>'VAC &amp; MED'!DB178</f>
        <v>-954.40000000000009</v>
      </c>
      <c r="N35" s="530">
        <f>'VAC &amp; MED'!DK178</f>
        <v>-4.5999999999999659</v>
      </c>
      <c r="O35" s="530">
        <f>'VAC &amp; MED'!DT178</f>
        <v>0</v>
      </c>
      <c r="P35" s="530"/>
      <c r="Q35" s="530">
        <f>'VAC &amp; MED'!EL178</f>
        <v>0</v>
      </c>
      <c r="R35" s="530">
        <f>'VAC &amp; MED'!EU178</f>
        <v>0</v>
      </c>
      <c r="S35" s="530">
        <f>'VAC &amp; MED'!FD178</f>
        <v>0</v>
      </c>
      <c r="T35" s="530">
        <f>'VAC &amp; MED'!FM178</f>
        <v>0</v>
      </c>
      <c r="U35" s="530">
        <f>'VAC &amp; MED'!FV178</f>
        <v>0</v>
      </c>
      <c r="V35" s="530">
        <f>'VAC &amp; MED'!GE178</f>
        <v>920</v>
      </c>
      <c r="W35" s="530">
        <f>'VAC &amp; MED'!GN178</f>
        <v>280</v>
      </c>
      <c r="X35" s="530">
        <f>'VAC &amp; MED'!GW178</f>
        <v>0</v>
      </c>
      <c r="Y35" s="530">
        <f>'VAC &amp; MED'!HF178</f>
        <v>0</v>
      </c>
      <c r="Z35" s="530">
        <f>'VAC &amp; MED'!HO178</f>
        <v>0</v>
      </c>
      <c r="AA35" s="530">
        <f>'VAC &amp; MED'!HY178</f>
        <v>0</v>
      </c>
      <c r="AB35" s="530">
        <f>'VAC &amp; MED'!IH178</f>
        <v>-6000</v>
      </c>
      <c r="AC35" s="530">
        <f>'VAC &amp; MED'!IQ178</f>
        <v>-3400</v>
      </c>
      <c r="AD35" s="530">
        <f>'VAC &amp; MED'!IZ178</f>
        <v>-10160</v>
      </c>
      <c r="AE35" s="530">
        <f>'VAC &amp; MED'!JI178</f>
        <v>4480</v>
      </c>
      <c r="AF35" s="530">
        <f>'VAC &amp; MED'!JR178</f>
        <v>-1880</v>
      </c>
      <c r="AG35" s="530">
        <f>'VAC &amp; MED'!KA178</f>
        <v>0</v>
      </c>
      <c r="AH35" s="530">
        <f>'VAC &amp; MED'!KJ178</f>
        <v>0</v>
      </c>
      <c r="AI35" s="530">
        <f>'VAC &amp; MED'!KS178</f>
        <v>755.99999999999989</v>
      </c>
      <c r="AJ35" s="530">
        <f>'VAC &amp; MED'!LB178</f>
        <v>-2460</v>
      </c>
      <c r="AK35" s="530">
        <f>'VAC &amp; MED'!LK178</f>
        <v>0</v>
      </c>
      <c r="AL35" s="530">
        <f>'VAC &amp; MED'!LT178</f>
        <v>0</v>
      </c>
      <c r="AM35" s="532"/>
      <c r="AN35" s="532"/>
      <c r="AO35" s="532"/>
      <c r="AP35" s="532"/>
      <c r="AQ35" s="532"/>
      <c r="AR35" s="532"/>
      <c r="AS35" s="532"/>
      <c r="AT35" s="532"/>
      <c r="AU35" s="532"/>
      <c r="AV35" s="532"/>
      <c r="AW35" s="532"/>
      <c r="AX35" s="532"/>
      <c r="AY35" s="532"/>
      <c r="AZ35" s="532"/>
      <c r="BA35" s="533"/>
      <c r="BB35" s="533"/>
      <c r="BC35" s="533"/>
      <c r="BD35" s="533"/>
      <c r="BE35" s="533"/>
      <c r="BF35" s="533"/>
      <c r="BG35" s="533"/>
      <c r="BH35" s="533"/>
      <c r="BI35" s="531">
        <f>'VAC &amp; MED'!TS178</f>
        <v>0</v>
      </c>
      <c r="BJ35" s="531">
        <f>'VAC &amp; MED'!UB178</f>
        <v>-92.4</v>
      </c>
      <c r="BK35" s="531">
        <f>'VAC &amp; MED'!UK178</f>
        <v>-752</v>
      </c>
      <c r="BL35" s="531">
        <f>'VAC &amp; MED'!UT178</f>
        <v>-28.75</v>
      </c>
      <c r="BM35" s="531">
        <f>'VAC &amp; MED'!VC178</f>
        <v>0</v>
      </c>
      <c r="BN35" s="531">
        <f>'VAC &amp; MED'!VL178</f>
        <v>0</v>
      </c>
      <c r="BO35" s="531">
        <f>'VAC &amp; MED'!VU178</f>
        <v>745</v>
      </c>
      <c r="BP35" s="533"/>
      <c r="BQ35" s="533"/>
      <c r="BR35" s="533"/>
      <c r="BS35" s="533"/>
      <c r="BT35" s="533"/>
      <c r="BU35" s="533"/>
      <c r="BV35" s="533"/>
      <c r="BW35" s="533"/>
      <c r="BX35" s="533"/>
      <c r="BY35" s="533"/>
      <c r="BZ35" s="533"/>
      <c r="CA35" s="533"/>
      <c r="CB35" s="533"/>
      <c r="CC35" s="533"/>
      <c r="CD35" s="533"/>
      <c r="CE35" s="533"/>
    </row>
    <row r="36" spans="1:83" s="535" customFormat="1">
      <c r="A36" s="537" t="s">
        <v>171</v>
      </c>
      <c r="B36" s="534">
        <f>'VAC &amp; MED'!H178</f>
        <v>244343.40000000008</v>
      </c>
      <c r="C36" s="534">
        <f>'VAC &amp; MED'!Q178</f>
        <v>105957.20000000007</v>
      </c>
      <c r="D36" s="534">
        <f>'VAC &amp; MED'!Z178</f>
        <v>44686.299999999974</v>
      </c>
      <c r="E36" s="534">
        <f>'VAC &amp; MED'!AI178</f>
        <v>12193.400000000018</v>
      </c>
      <c r="F36" s="534">
        <f>'VAC &amp; MED'!AR178</f>
        <v>0</v>
      </c>
      <c r="G36" s="534">
        <f>'VAC &amp; MED'!BA178</f>
        <v>18566.699999999997</v>
      </c>
      <c r="H36" s="534">
        <f>'VAC &amp; MED'!BJ178</f>
        <v>34163.999999999993</v>
      </c>
      <c r="I36" s="534">
        <f>'VAC &amp; MED'!BS178</f>
        <v>0</v>
      </c>
      <c r="J36" s="534">
        <f>'VAC &amp; MED'!CB178</f>
        <v>5083.1299999999992</v>
      </c>
      <c r="K36" s="534">
        <f>'VAC &amp; MED'!CK178</f>
        <v>0</v>
      </c>
      <c r="L36" s="534">
        <f>'VAC &amp; MED'!CT178</f>
        <v>0</v>
      </c>
      <c r="M36" s="534">
        <f>'VAC &amp; MED'!DC178</f>
        <v>19623.900000000005</v>
      </c>
      <c r="N36" s="534">
        <f>'VAC &amp; MED'!DL178</f>
        <v>35234.999999999985</v>
      </c>
      <c r="O36" s="534">
        <f>'VAC &amp; MED'!DU178</f>
        <v>5800</v>
      </c>
      <c r="P36" s="534">
        <f>'VAC &amp; MED'!ED178</f>
        <v>0</v>
      </c>
      <c r="Q36" s="534">
        <f>'VAC &amp; MED'!EM178</f>
        <v>0</v>
      </c>
      <c r="R36" s="534">
        <f>'VAC &amp; MED'!EV178</f>
        <v>0</v>
      </c>
      <c r="S36" s="534">
        <f>'VAC &amp; MED'!FE178</f>
        <v>0</v>
      </c>
      <c r="T36" s="534">
        <f>'VAC &amp; MED'!FN178</f>
        <v>0</v>
      </c>
      <c r="U36" s="534">
        <f>'VAC &amp; MED'!FW178</f>
        <v>4140</v>
      </c>
      <c r="V36" s="534">
        <f>'VAC &amp; MED'!GF178</f>
        <v>5040</v>
      </c>
      <c r="W36" s="534">
        <f>'VAC &amp; MED'!GO178</f>
        <v>1760</v>
      </c>
      <c r="X36" s="534">
        <f>'VAC &amp; MED'!GX178</f>
        <v>600</v>
      </c>
      <c r="Y36" s="534">
        <f>'VAC &amp; MED'!HG178</f>
        <v>3600</v>
      </c>
      <c r="Z36" s="534">
        <f>'VAC &amp; MED'!HP178</f>
        <v>0</v>
      </c>
      <c r="AA36" s="534">
        <f>'VAC &amp; MED'!HZ178</f>
        <v>6800</v>
      </c>
      <c r="AB36" s="534">
        <f>'VAC &amp; MED'!II178</f>
        <v>720</v>
      </c>
      <c r="AC36" s="534">
        <f>'VAC &amp; MED'!IR178</f>
        <v>8140</v>
      </c>
      <c r="AD36" s="534">
        <f>'VAC &amp; MED'!JA178</f>
        <v>4960</v>
      </c>
      <c r="AE36" s="534">
        <f>'VAC &amp; MED'!JJ178</f>
        <v>0</v>
      </c>
      <c r="AF36" s="534">
        <f>'VAC &amp; MED'!JS178</f>
        <v>3340</v>
      </c>
      <c r="AG36" s="534">
        <f>'VAC &amp; MED'!KB178</f>
        <v>2540</v>
      </c>
      <c r="AH36" s="534">
        <f>'VAC &amp; MED'!KK178</f>
        <v>2359.5</v>
      </c>
      <c r="AI36" s="534">
        <f>'VAC &amp; MED'!KT178</f>
        <v>1890</v>
      </c>
      <c r="AJ36" s="534">
        <f>'VAC &amp; MED'!LC178</f>
        <v>3690</v>
      </c>
      <c r="AK36" s="534">
        <f>'VAC &amp; MED'!LL178</f>
        <v>4000</v>
      </c>
      <c r="AL36" s="534">
        <f>'VAC &amp; MED'!LU178</f>
        <v>0</v>
      </c>
      <c r="AM36" s="534">
        <f>'VAC &amp; MED'!MD178</f>
        <v>0</v>
      </c>
      <c r="AN36" s="534">
        <f>'VAC &amp; MED'!MM178</f>
        <v>0</v>
      </c>
      <c r="AO36" s="534">
        <f>'VAC &amp; MED'!MV178</f>
        <v>3724</v>
      </c>
      <c r="AP36" s="534">
        <f>'VAC &amp; MED'!NE178</f>
        <v>0</v>
      </c>
      <c r="AQ36" s="534">
        <f>'VAC &amp; MED'!NN178</f>
        <v>1127</v>
      </c>
      <c r="AR36" s="534">
        <f>'VAC &amp; MED'!NW178</f>
        <v>3111.9999999999995</v>
      </c>
      <c r="AS36" s="534">
        <f>'VAC &amp; MED'!OF178</f>
        <v>1680.5</v>
      </c>
      <c r="AT36" s="534">
        <f>'VAC &amp; MED'!OO178</f>
        <v>0</v>
      </c>
      <c r="AU36" s="534">
        <f>'VAC &amp; MED'!OX178</f>
        <v>1482</v>
      </c>
      <c r="AV36" s="534">
        <f>'VAC &amp; MED'!PG178</f>
        <v>0</v>
      </c>
      <c r="AW36" s="534">
        <f>'VAC &amp; MED'!PP178</f>
        <v>100</v>
      </c>
      <c r="AX36" s="534">
        <f>'VAC &amp; MED'!PY178</f>
        <v>13.960000000000036</v>
      </c>
      <c r="AY36" s="534">
        <f>'VAC &amp; MED'!QH178</f>
        <v>108</v>
      </c>
      <c r="AZ36" s="534">
        <f>'VAC &amp; MED'!QQ178</f>
        <v>245</v>
      </c>
      <c r="BA36" s="535">
        <f>'VAC &amp; MED'!QZ178</f>
        <v>207.6</v>
      </c>
      <c r="BB36" s="535">
        <f>'VAC &amp; MED'!RI178</f>
        <v>147.04000000000002</v>
      </c>
      <c r="BC36" s="535">
        <f>'VAC &amp; MED'!RR178</f>
        <v>46.8</v>
      </c>
      <c r="BD36" s="535">
        <f>'VAC &amp; MED'!SA178</f>
        <v>0</v>
      </c>
      <c r="BE36" s="535">
        <f>'VAC &amp; MED'!SJ178</f>
        <v>24.200000000000003</v>
      </c>
      <c r="BF36" s="535">
        <f>'VAC &amp; MED'!SS178</f>
        <v>32</v>
      </c>
      <c r="BG36" s="535">
        <f>'VAC &amp; MED'!TB178</f>
        <v>0</v>
      </c>
      <c r="BH36" s="535">
        <f>'VAC &amp; MED'!TK178</f>
        <v>0</v>
      </c>
      <c r="BI36" s="535">
        <f>'VAC &amp; MED'!TT178</f>
        <v>0</v>
      </c>
      <c r="BJ36" s="535">
        <f>'VAC &amp; MED'!UC178</f>
        <v>135.6</v>
      </c>
      <c r="BK36" s="535">
        <f>'VAC &amp; MED'!UL178</f>
        <v>128</v>
      </c>
      <c r="BL36" s="535">
        <f>'VAC &amp; MED'!UU178</f>
        <v>11.25</v>
      </c>
      <c r="BM36" s="535">
        <f>'VAC &amp; MED'!VD178</f>
        <v>41.600000000000023</v>
      </c>
      <c r="BN36" s="535">
        <f>'VAC &amp; MED'!VM178</f>
        <v>0</v>
      </c>
      <c r="BO36" s="535">
        <f>'VAC &amp; MED'!VV178</f>
        <v>0</v>
      </c>
      <c r="BP36" s="535">
        <f>'VAC &amp; MED'!WE178</f>
        <v>0</v>
      </c>
      <c r="BQ36" s="535">
        <f>'VAC &amp; MED'!WN178</f>
        <v>1199</v>
      </c>
      <c r="BR36" s="535">
        <f>'VAC &amp; MED'!WW178</f>
        <v>0</v>
      </c>
      <c r="BS36" s="535">
        <f>'VAC &amp; MED'!XF178</f>
        <v>6813</v>
      </c>
      <c r="BT36" s="535">
        <f>'VAC &amp; MED'!XO178</f>
        <v>7824</v>
      </c>
      <c r="BU36" s="535">
        <f>'VAC &amp; MED'!XX178</f>
        <v>1621</v>
      </c>
      <c r="BV36" s="535">
        <f>'VAC &amp; MED'!YG178</f>
        <v>6193</v>
      </c>
      <c r="BW36" s="535">
        <f>'VAC &amp; MED'!YP178</f>
        <v>0</v>
      </c>
      <c r="BX36" s="535">
        <f>'VAC &amp; MED'!YY178</f>
        <v>0</v>
      </c>
      <c r="BY36" s="535">
        <f>'VAC &amp; MED'!ZH178</f>
        <v>0</v>
      </c>
      <c r="BZ36" s="535">
        <f>'VAC &amp; MED'!ZQ178</f>
        <v>0</v>
      </c>
    </row>
    <row r="37" spans="1:83" s="2" customFormat="1" ht="16.149999999999999" thickBot="1">
      <c r="A37" s="537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</row>
    <row r="38" spans="1:83" s="2" customFormat="1" ht="47.45" thickBot="1">
      <c r="A38" s="539" t="s">
        <v>278</v>
      </c>
      <c r="B38" s="215" t="str">
        <f>PRODUCE!$EA$7</f>
        <v>MAIZE/CORN</v>
      </c>
      <c r="C38" s="216" t="str">
        <f>PRODUCE!$EA$8</f>
        <v>SOYBEAN MEAL (ARG)</v>
      </c>
      <c r="D38" s="217" t="str">
        <f>PRODUCE!$EA$9</f>
        <v>SOYBEAN FULL FAT</v>
      </c>
      <c r="E38" s="218" t="str">
        <f>PRODUCE!$EA$10</f>
        <v>WHEAT POLLARD</v>
      </c>
      <c r="F38" s="219" t="str">
        <f>PRODUCE!$EA$11</f>
        <v>WHEAT</v>
      </c>
      <c r="G38" s="220" t="str">
        <f>PRODUCE!$EA$12</f>
        <v>MEAT AND BONE MEAL</v>
      </c>
      <c r="H38" s="221" t="str">
        <f>PRODUCE!$EA$13</f>
        <v>CORN GLUTEN MEAL</v>
      </c>
      <c r="I38" s="222" t="str">
        <f>PRODUCE!$EA$14</f>
        <v>MEGAFAT (HARUMI)</v>
      </c>
      <c r="J38" s="223" t="str">
        <f>PRODUCE!$EA$15</f>
        <v>DCP 18%</v>
      </c>
      <c r="K38" s="224" t="str">
        <f>PRODUCE!$EA$16</f>
        <v>LIMESTONE POWDER (HARUMI)</v>
      </c>
      <c r="L38" s="225" t="str">
        <f>PRODUCE!$EA$17</f>
        <v>CHOLINE CHLORIDE 60%</v>
      </c>
      <c r="M38" s="226" t="str">
        <f>PRODUCE!$EA$18</f>
        <v>INDUSTRY FLOUR</v>
      </c>
      <c r="N38" s="227" t="str">
        <f>PRODUCE!$EA$19</f>
        <v>RICE BRAN</v>
      </c>
      <c r="O38" s="228" t="str">
        <f>PRODUCE!$EA$20</f>
        <v>EP 200</v>
      </c>
      <c r="P38" s="229" t="str">
        <f>PRODUCE!$EA$21</f>
        <v>SOYTIDE</v>
      </c>
      <c r="Q38" s="230" t="str">
        <f>PRODUCE!$EA$22</f>
        <v>DCP 18% (HARUMI)</v>
      </c>
      <c r="R38" s="231">
        <f>PRODUCE!$EA$23</f>
        <v>1</v>
      </c>
      <c r="S38" s="232">
        <f>PRODUCE!$EA$24</f>
        <v>2</v>
      </c>
      <c r="T38" s="233">
        <f>PRODUCE!$EA$25</f>
        <v>3</v>
      </c>
      <c r="U38" s="234" t="str">
        <f>PRODUCE!$EA$26</f>
        <v>PREMIX 1101 (20KG)</v>
      </c>
      <c r="V38" s="235" t="str">
        <f>PRODUCE!$EA$27</f>
        <v>PREMIX 1102 (20KG)</v>
      </c>
      <c r="W38" s="236" t="str">
        <f>PRODUCE!$EA$28</f>
        <v>PREMIX 1103 (20KG)</v>
      </c>
      <c r="X38" s="237" t="str">
        <f>PRODUCE!$EA$29</f>
        <v>PREMIX 311 (20KG)</v>
      </c>
      <c r="Y38" s="238" t="str">
        <f>PRODUCE!$EA$30</f>
        <v>PREMIX 312 (20KG)</v>
      </c>
      <c r="Z38" s="239">
        <f>PRODUCE!$EA$31</f>
        <v>1</v>
      </c>
      <c r="AA38" s="240" t="str">
        <f>PRODUCE!$EA$32</f>
        <v>PREMIX 8100 (20KG)</v>
      </c>
      <c r="AB38" s="240" t="str">
        <f>PRODUCE!$EA$33</f>
        <v>PREMIX 8101 (20KG)</v>
      </c>
      <c r="AC38" s="240" t="str">
        <f>PRODUCE!$EA$34</f>
        <v>PREMIX 8102 (20KG)</v>
      </c>
      <c r="AD38" s="240" t="str">
        <f>PRODUCE!$EA$35</f>
        <v>PREMIX 8103 (20KG)</v>
      </c>
      <c r="AE38" s="240" t="str">
        <f>PRODUCE!$EA$36</f>
        <v>PREMIX 8108 (20KG)</v>
      </c>
      <c r="AF38" s="240" t="str">
        <f>PRODUCE!$EA$37</f>
        <v>PREMIX 8109 (20KG)</v>
      </c>
      <c r="AG38" s="240" t="str">
        <f>PRODUCE!$EA$38</f>
        <v>YENMIX 121 (20KG)</v>
      </c>
      <c r="AH38" s="240" t="str">
        <f>PRODUCE!$EA$39</f>
        <v>YENMIX 122 (19.50KG)</v>
      </c>
      <c r="AI38" s="240" t="str">
        <f>PRODUCE!$EA$40</f>
        <v>YENMIX 123 (18.90KG)</v>
      </c>
      <c r="AJ38" s="240" t="str">
        <f>PRODUCE!$EA$41</f>
        <v>YENMIX 122 (20.50KG)</v>
      </c>
      <c r="AK38" s="240" t="str">
        <f>PRODUCE!$EA$42</f>
        <v>YENMIX 123 (20.00KG)</v>
      </c>
      <c r="AL38" s="240">
        <f>PRODUCE!$EA$43</f>
        <v>1</v>
      </c>
      <c r="AM38" s="240">
        <f>PRODUCE!$EA$44</f>
        <v>2</v>
      </c>
      <c r="AN38" s="240">
        <f>PRODUCE!$EA$45</f>
        <v>3</v>
      </c>
      <c r="AO38" s="240" t="str">
        <f>PRODUCE!$EA$46</f>
        <v>TOXISORB PREMIUM</v>
      </c>
      <c r="AP38" s="240" t="str">
        <f>PRODUCE!$EA$47</f>
        <v>SODIUM HUMATE 3.8% (HARUMI)</v>
      </c>
      <c r="AQ38" s="240" t="str">
        <f>PRODUCE!$EA$48</f>
        <v>TOXIWALL</v>
      </c>
      <c r="AR38" s="240" t="str">
        <f>PRODUCE!$EA$49</f>
        <v>SODIUM BICARBONATE</v>
      </c>
      <c r="AS38" s="240" t="str">
        <f>PRODUCE!$EA$50</f>
        <v>BMD 10%</v>
      </c>
      <c r="AT38" s="240" t="str">
        <f>PRODUCE!$EA$51</f>
        <v>SALT (HARUMI)</v>
      </c>
      <c r="AU38" s="240" t="str">
        <f>PRODUCE!$EA$52</f>
        <v>VISTABET 91</v>
      </c>
      <c r="AV38" s="240" t="str">
        <f>PRODUCE!$EA$53</f>
        <v>BETAFIN</v>
      </c>
      <c r="AW38" s="240" t="str">
        <f>PRODUCE!$EA$54</f>
        <v>8101 TOP UP</v>
      </c>
      <c r="AX38" s="240" t="str">
        <f>PRODUCE!$EA$55</f>
        <v>NORPONIN X03 (8102 TOP UP)</v>
      </c>
      <c r="AY38" s="240" t="str">
        <f>PRODUCE!$EA$56</f>
        <v>8102 TOP UP (4KG)</v>
      </c>
      <c r="AZ38" s="240" t="str">
        <f>PRODUCE!$EA$57</f>
        <v>8103 TOP UP (5KG)</v>
      </c>
      <c r="BA38" s="240" t="str">
        <f>PRODUCE!$EA$58</f>
        <v>L-ARGININE</v>
      </c>
      <c r="BB38" s="240" t="str">
        <f>PRODUCE!$EA$59</f>
        <v>DL-METHIONINE</v>
      </c>
      <c r="BC38" s="240" t="str">
        <f>PRODUCE!$EA$60</f>
        <v>L-THREONINE</v>
      </c>
      <c r="BD38" s="240" t="str">
        <f>PRODUCE!$EA$61</f>
        <v>L-LYSINE</v>
      </c>
      <c r="BE38" s="240" t="str">
        <f>PRODUCE!$EA$62</f>
        <v>FAECES DRY</v>
      </c>
      <c r="BF38" s="240" t="str">
        <f>PRODUCE!$EA$63</f>
        <v>ECOBIOL</v>
      </c>
      <c r="BG38" s="240" t="str">
        <f>PRODUCE!$EA$64</f>
        <v>ADDITIVE BROILER IMMUNE</v>
      </c>
      <c r="BH38" s="240" t="str">
        <f>PRODUCE!$EA$65</f>
        <v>MASTER CUBE (HARUMI)</v>
      </c>
      <c r="BI38" s="240" t="str">
        <f>PRODUCE!$EA$66</f>
        <v>1101 TOP UP (0.40KG)</v>
      </c>
      <c r="BJ38" s="240" t="str">
        <f>PRODUCE!$EA$67</f>
        <v>1102 TOP UP (0.60KG)</v>
      </c>
      <c r="BK38" s="240" t="str">
        <f>PRODUCE!$EA$68</f>
        <v>1103 TOP UP (2.00KG)</v>
      </c>
      <c r="BL38" s="240" t="str">
        <f>PRODUCE!$EA$69</f>
        <v>QUANTUM GLO 4%</v>
      </c>
      <c r="BM38" s="240" t="str">
        <f>PRODUCE!$EA$70</f>
        <v>SALT</v>
      </c>
      <c r="BN38" s="240" t="str">
        <f>PRODUCE!$EA$71</f>
        <v>OC 200 - OXYTET 20%</v>
      </c>
      <c r="BO38" s="240">
        <f>PRODUCE!$EA$72</f>
        <v>3</v>
      </c>
      <c r="BP38" s="387">
        <f>PRODUCE!$EA$73</f>
        <v>4</v>
      </c>
      <c r="BQ38" s="392" t="str">
        <f>PRODUCE!$EA$74</f>
        <v>WOVEN BAG (1101) - BLUE 50KG</v>
      </c>
      <c r="BR38" s="391" t="str">
        <f>PRODUCE!$EA$75</f>
        <v>WOVEN BAG (1102) - GREEN 50KG</v>
      </c>
      <c r="BS38" s="388" t="str">
        <f>PRODUCE!$EA$76</f>
        <v>WOVEN BAG (1103) - RED 50KG</v>
      </c>
      <c r="BT38" s="389" t="str">
        <f>PRODUCE!$EA$77</f>
        <v>PLAIN BAG 26" X 39" (50KG)</v>
      </c>
      <c r="BU38" s="350" t="str">
        <f>PRODUCE!$EA$78</f>
        <v>WOVEN BAG (8101) - KHAKI 50KG</v>
      </c>
      <c r="BV38" s="390" t="str">
        <f>PRODUCE!$EA$79</f>
        <v>WOVEN BAG (8102) - SKY BLUE 50KG</v>
      </c>
      <c r="BW38" s="240" t="str">
        <f>PRODUCE!$EA$80</f>
        <v>WOVEN BAG (8103) - BROWN 50KG</v>
      </c>
      <c r="BX38" s="240">
        <f>PRODUCE!$EA$81</f>
        <v>1</v>
      </c>
      <c r="BY38" s="240">
        <f>PRODUCE!$EA$82</f>
        <v>2</v>
      </c>
      <c r="BZ38" s="240">
        <f>PRODUCE!$EA$83</f>
        <v>3</v>
      </c>
      <c r="CA38" s="240">
        <f>PRODUCE!$EA$84</f>
        <v>4</v>
      </c>
      <c r="CB38" s="240">
        <f>PRODUCE!$EA$85</f>
        <v>5</v>
      </c>
      <c r="CC38" s="240">
        <f>PRODUCE!$EA$86</f>
        <v>6</v>
      </c>
      <c r="CD38" s="240">
        <f>PRODUCE!$EA$87</f>
        <v>7</v>
      </c>
      <c r="CE38" s="240">
        <f>PRODUCE!$EA$88</f>
        <v>8</v>
      </c>
    </row>
    <row r="39" spans="1:83" s="531" customFormat="1" outlineLevel="1">
      <c r="A39" s="536" t="s">
        <v>313</v>
      </c>
      <c r="B39" s="530">
        <f>'VAC &amp; MED'!H182</f>
        <v>244343.40000000008</v>
      </c>
      <c r="C39" s="530">
        <f>'VAC &amp; MED'!Q182</f>
        <v>105957.20000000007</v>
      </c>
      <c r="D39" s="530">
        <f>'VAC &amp; MED'!Z182</f>
        <v>44686.299999999974</v>
      </c>
      <c r="E39" s="530">
        <f>'VAC &amp; MED'!AI182</f>
        <v>12193.400000000018</v>
      </c>
      <c r="F39" s="530">
        <f>'VAC &amp; MED'!AR182</f>
        <v>0</v>
      </c>
      <c r="G39" s="530">
        <f>'VAC &amp; MED'!BA182</f>
        <v>18566.699999999997</v>
      </c>
      <c r="H39" s="530">
        <f>'VAC &amp; MED'!BJ182</f>
        <v>34163.999999999993</v>
      </c>
      <c r="I39" s="530">
        <f>'VAC &amp; MED'!BS182</f>
        <v>0</v>
      </c>
      <c r="J39" s="530">
        <f>'VAC &amp; MED'!CB182</f>
        <v>5083.1299999999992</v>
      </c>
      <c r="K39" s="530">
        <f>'VAC &amp; MED'!CK182</f>
        <v>0</v>
      </c>
      <c r="L39" s="530">
        <f>'VAC &amp; MED'!CT182</f>
        <v>0</v>
      </c>
      <c r="M39" s="530">
        <f>'VAC &amp; MED'!DC182</f>
        <v>19623.900000000005</v>
      </c>
      <c r="N39" s="530">
        <f>'VAC &amp; MED'!DL182</f>
        <v>35234.999999999985</v>
      </c>
      <c r="O39" s="530">
        <f>'VAC &amp; MED'!DU182</f>
        <v>5800</v>
      </c>
      <c r="P39" s="530">
        <f>'VAC &amp; MED'!ED182</f>
        <v>0</v>
      </c>
      <c r="Q39" s="530">
        <f>'VAC &amp; MED'!EM182</f>
        <v>0</v>
      </c>
      <c r="R39" s="530">
        <f>'VAC &amp; MED'!EV182</f>
        <v>0</v>
      </c>
      <c r="S39" s="530">
        <f>'VAC &amp; MED'!FE182</f>
        <v>0</v>
      </c>
      <c r="T39" s="530">
        <f>'VAC &amp; MED'!FN182</f>
        <v>0</v>
      </c>
      <c r="U39" s="530">
        <f>'VAC &amp; MED'!FW182</f>
        <v>4140</v>
      </c>
      <c r="V39" s="530">
        <f>'VAC &amp; MED'!GF182</f>
        <v>5040</v>
      </c>
      <c r="W39" s="530">
        <f>'VAC &amp; MED'!GO182</f>
        <v>1760</v>
      </c>
      <c r="X39" s="530">
        <f>'VAC &amp; MED'!GX182</f>
        <v>600</v>
      </c>
      <c r="Y39" s="530">
        <f>'VAC &amp; MED'!HG182</f>
        <v>3600</v>
      </c>
      <c r="Z39" s="530">
        <f>'VAC &amp; MED'!HP182</f>
        <v>0</v>
      </c>
      <c r="AA39" s="530">
        <f>'VAC &amp; MED'!HZ182</f>
        <v>6800</v>
      </c>
      <c r="AB39" s="530">
        <f>'VAC &amp; MED'!II182</f>
        <v>720</v>
      </c>
      <c r="AC39" s="530">
        <f>'VAC &amp; MED'!IR182</f>
        <v>8140</v>
      </c>
      <c r="AD39" s="530">
        <f>'VAC &amp; MED'!JA182</f>
        <v>4960</v>
      </c>
      <c r="AE39" s="530">
        <f>'VAC &amp; MED'!JJ182</f>
        <v>0</v>
      </c>
      <c r="AF39" s="530">
        <f>'VAC &amp; MED'!JS182</f>
        <v>3340</v>
      </c>
      <c r="AG39" s="530">
        <f>'VAC &amp; MED'!KB182</f>
        <v>2540</v>
      </c>
      <c r="AH39" s="530">
        <f>'VAC &amp; MED'!KK182</f>
        <v>2359.5</v>
      </c>
      <c r="AI39" s="530">
        <f>'VAC &amp; MED'!KT182</f>
        <v>1890</v>
      </c>
      <c r="AJ39" s="530">
        <f>'VAC &amp; MED'!LC182</f>
        <v>3690</v>
      </c>
      <c r="AK39" s="530">
        <f>'VAC &amp; MED'!LL182</f>
        <v>4000</v>
      </c>
      <c r="AL39" s="530">
        <f>'VAC &amp; MED'!LU182</f>
        <v>0</v>
      </c>
      <c r="AM39" s="530">
        <f>'VAC &amp; MED'!MD182</f>
        <v>0</v>
      </c>
      <c r="AN39" s="530">
        <f>'VAC &amp; MED'!MM182</f>
        <v>0</v>
      </c>
      <c r="AO39" s="530">
        <f>'VAC &amp; MED'!MV182</f>
        <v>3724</v>
      </c>
      <c r="AP39" s="530">
        <f>'VAC &amp; MED'!NE182</f>
        <v>0</v>
      </c>
      <c r="AQ39" s="530">
        <f>'VAC &amp; MED'!NN182</f>
        <v>1127</v>
      </c>
      <c r="AR39" s="530">
        <f>'VAC &amp; MED'!NW182</f>
        <v>3111.9999999999995</v>
      </c>
      <c r="AS39" s="530">
        <f>'VAC &amp; MED'!OF182</f>
        <v>1680.5</v>
      </c>
      <c r="AT39" s="530">
        <f>'VAC &amp; MED'!OO182</f>
        <v>0</v>
      </c>
      <c r="AU39" s="530">
        <f>'VAC &amp; MED'!OX182</f>
        <v>1482</v>
      </c>
      <c r="AV39" s="530">
        <f>'VAC &amp; MED'!PG182</f>
        <v>0</v>
      </c>
      <c r="AW39" s="530">
        <f>'VAC &amp; MED'!PP182</f>
        <v>100</v>
      </c>
      <c r="AX39" s="530">
        <f>'VAC &amp; MED'!PY182</f>
        <v>13.960000000000036</v>
      </c>
      <c r="AY39" s="530">
        <f>'VAC &amp; MED'!QH182</f>
        <v>108</v>
      </c>
      <c r="AZ39" s="530">
        <f>'VAC &amp; MED'!QQ182</f>
        <v>245</v>
      </c>
      <c r="BA39" s="531">
        <f>'VAC &amp; MED'!QZ182</f>
        <v>207.6</v>
      </c>
      <c r="BB39" s="531">
        <f>'VAC &amp; MED'!RI182</f>
        <v>147.04000000000002</v>
      </c>
      <c r="BC39" s="531">
        <f>'VAC &amp; MED'!RR182</f>
        <v>46.8</v>
      </c>
      <c r="BD39" s="531">
        <f>'VAC &amp; MED'!SA182</f>
        <v>0</v>
      </c>
      <c r="BE39" s="531">
        <f>'VAC &amp; MED'!SJ182</f>
        <v>24.200000000000003</v>
      </c>
      <c r="BF39" s="531">
        <f>'VAC &amp; MED'!SS182</f>
        <v>32</v>
      </c>
      <c r="BG39" s="531">
        <f>'VAC &amp; MED'!TB182</f>
        <v>0</v>
      </c>
      <c r="BH39" s="531">
        <f>'VAC &amp; MED'!TK182</f>
        <v>0</v>
      </c>
      <c r="BI39" s="531">
        <f>'VAC &amp; MED'!TT182</f>
        <v>0</v>
      </c>
      <c r="BJ39" s="531">
        <f>'VAC &amp; MED'!UC182</f>
        <v>135.6</v>
      </c>
      <c r="BK39" s="531">
        <f>'VAC &amp; MED'!UL182</f>
        <v>128</v>
      </c>
      <c r="BL39" s="531">
        <f>'VAC &amp; MED'!UU182</f>
        <v>11.25</v>
      </c>
      <c r="BM39" s="531">
        <f>'VAC &amp; MED'!VD182</f>
        <v>41.600000000000023</v>
      </c>
      <c r="BN39" s="531">
        <f>'VAC &amp; MED'!VM182</f>
        <v>0</v>
      </c>
      <c r="BO39" s="531">
        <f>'VAC &amp; MED'!VV182</f>
        <v>0</v>
      </c>
      <c r="BP39" s="531">
        <f>'VAC &amp; MED'!WE182</f>
        <v>0</v>
      </c>
      <c r="BQ39" s="531">
        <f>'VAC &amp; MED'!WN182</f>
        <v>1199</v>
      </c>
      <c r="BR39" s="531">
        <f>'VAC &amp; MED'!WW182</f>
        <v>0</v>
      </c>
      <c r="BS39" s="531">
        <f>'VAC &amp; MED'!XF182</f>
        <v>6813</v>
      </c>
      <c r="BT39" s="531">
        <f>'VAC &amp; MED'!XO182</f>
        <v>7824</v>
      </c>
      <c r="BU39" s="531">
        <f>'VAC &amp; MED'!XX182</f>
        <v>1621</v>
      </c>
      <c r="BV39" s="531">
        <f>'VAC &amp; MED'!YG182</f>
        <v>6193</v>
      </c>
      <c r="BW39" s="531">
        <f>'VAC &amp; MED'!YP182</f>
        <v>0</v>
      </c>
      <c r="BX39" s="531">
        <f>'VAC &amp; MED'!YY182</f>
        <v>0</v>
      </c>
      <c r="BY39" s="531">
        <f>'VAC &amp; MED'!ZH182</f>
        <v>0</v>
      </c>
      <c r="BZ39" s="531">
        <f>'VAC &amp; MED'!ZQ182</f>
        <v>0</v>
      </c>
    </row>
    <row r="40" spans="1:83" s="531" customFormat="1" outlineLevel="1">
      <c r="A40" s="536" t="s">
        <v>314</v>
      </c>
      <c r="B40" s="530">
        <f>'VAC &amp; MED'!D213</f>
        <v>462870</v>
      </c>
      <c r="C40" s="530">
        <f>'VAC &amp; MED'!M213</f>
        <v>230900</v>
      </c>
      <c r="D40" s="530">
        <f>'VAC &amp; MED'!V213</f>
        <v>45100</v>
      </c>
      <c r="E40" s="530">
        <f>'VAC &amp; MED'!AE213</f>
        <v>22380</v>
      </c>
      <c r="F40" s="530">
        <f>'VAC &amp; MED'!AN213</f>
        <v>0</v>
      </c>
      <c r="G40" s="530">
        <f>'VAC &amp; MED'!AW213</f>
        <v>0</v>
      </c>
      <c r="H40" s="530">
        <f>'VAC &amp; MED'!BF213</f>
        <v>11000</v>
      </c>
      <c r="I40" s="530">
        <f>'VAC &amp; MED'!BO213</f>
        <v>12039.3</v>
      </c>
      <c r="J40" s="530">
        <f>'VAC &amp; MED'!BX213</f>
        <v>0</v>
      </c>
      <c r="K40" s="530">
        <f>'VAC &amp; MED'!CG213</f>
        <v>6166.9700000000012</v>
      </c>
      <c r="L40" s="530">
        <f>'VAC &amp; MED'!CP213</f>
        <v>0</v>
      </c>
      <c r="M40" s="530">
        <f>'VAC &amp; MED'!CY213</f>
        <v>1880.8</v>
      </c>
      <c r="N40" s="530">
        <f>'VAC &amp; MED'!DH213</f>
        <v>0</v>
      </c>
      <c r="O40" s="530">
        <f>'VAC &amp; MED'!DQ213</f>
        <v>0</v>
      </c>
      <c r="P40" s="530">
        <f>'VAC &amp; MED'!DZ213</f>
        <v>0</v>
      </c>
      <c r="Q40" s="530">
        <f>'VAC &amp; MED'!EI213</f>
        <v>351.76</v>
      </c>
      <c r="R40" s="530">
        <f>'VAC &amp; MED'!ER213</f>
        <v>0</v>
      </c>
      <c r="S40" s="530">
        <f>'VAC &amp; MED'!FA213</f>
        <v>0</v>
      </c>
      <c r="T40" s="530">
        <f>'VAC &amp; MED'!FJ213</f>
        <v>0</v>
      </c>
      <c r="U40" s="530">
        <f>'VAC &amp; MED'!FS213</f>
        <v>0</v>
      </c>
      <c r="V40" s="530">
        <f>'VAC &amp; MED'!GB213</f>
        <v>0</v>
      </c>
      <c r="W40" s="530">
        <f>'VAC &amp; MED'!GK213</f>
        <v>0</v>
      </c>
      <c r="X40" s="530">
        <f>'VAC &amp; MED'!GT213</f>
        <v>1000</v>
      </c>
      <c r="Y40" s="530">
        <f>'VAC &amp; MED'!HC213</f>
        <v>0</v>
      </c>
      <c r="Z40" s="530">
        <f>'VAC &amp; MED'!HL213</f>
        <v>0</v>
      </c>
      <c r="AA40" s="530">
        <f>'VAC &amp; MED'!HV213</f>
        <v>0</v>
      </c>
      <c r="AB40" s="530">
        <f>'VAC &amp; MED'!IE213</f>
        <v>0</v>
      </c>
      <c r="AC40" s="530">
        <f>'VAC &amp; MED'!IN213</f>
        <v>0</v>
      </c>
      <c r="AD40" s="530">
        <f>'VAC &amp; MED'!IW213</f>
        <v>0</v>
      </c>
      <c r="AE40" s="530">
        <f>'VAC &amp; MED'!JF213</f>
        <v>0</v>
      </c>
      <c r="AF40" s="530">
        <f>'VAC &amp; MED'!JO213</f>
        <v>0</v>
      </c>
      <c r="AG40" s="530">
        <f>'VAC &amp; MED'!JX213</f>
        <v>0</v>
      </c>
      <c r="AH40" s="530">
        <f>'VAC &amp; MED'!KG213</f>
        <v>0</v>
      </c>
      <c r="AI40" s="530">
        <f>'VAC &amp; MED'!KP213</f>
        <v>0</v>
      </c>
      <c r="AJ40" s="530">
        <f>'VAC &amp; MED'!KY213</f>
        <v>0</v>
      </c>
      <c r="AK40" s="530">
        <f>'VAC &amp; MED'!LH213</f>
        <v>0</v>
      </c>
      <c r="AL40" s="530">
        <f>'VAC &amp; MED'!LQ213</f>
        <v>0</v>
      </c>
      <c r="AM40" s="530">
        <f>'VAC &amp; MED'!LZ213</f>
        <v>0</v>
      </c>
      <c r="AN40" s="530">
        <f>'VAC &amp; MED'!MI213</f>
        <v>0</v>
      </c>
      <c r="AO40" s="530">
        <f>'VAC &amp; MED'!MR213</f>
        <v>144</v>
      </c>
      <c r="AP40" s="530">
        <f>'VAC &amp; MED'!NA213</f>
        <v>6990</v>
      </c>
      <c r="AQ40" s="530">
        <f>'VAC &amp; MED'!NJ213</f>
        <v>0</v>
      </c>
      <c r="AR40" s="530">
        <f>'VAC &amp; MED'!NS213</f>
        <v>0</v>
      </c>
      <c r="AS40" s="530">
        <f>'VAC &amp; MED'!OB213</f>
        <v>0</v>
      </c>
      <c r="AT40" s="530">
        <f>'VAC &amp; MED'!OK213</f>
        <v>1209.4000000000001</v>
      </c>
      <c r="AU40" s="530">
        <f>'VAC &amp; MED'!OT213</f>
        <v>0</v>
      </c>
      <c r="AV40" s="530">
        <f>'VAC &amp; MED'!PC213</f>
        <v>0</v>
      </c>
      <c r="AW40" s="530">
        <f>'VAC &amp; MED'!PL213</f>
        <v>0</v>
      </c>
      <c r="AX40" s="530">
        <f>'VAC &amp; MED'!PU213</f>
        <v>0</v>
      </c>
      <c r="AY40" s="530">
        <f>'VAC &amp; MED'!QD213</f>
        <v>1628</v>
      </c>
      <c r="AZ40" s="530">
        <f>'VAC &amp; MED'!QM213</f>
        <v>625</v>
      </c>
      <c r="BA40" s="531">
        <f>'VAC &amp; MED'!QV213</f>
        <v>0</v>
      </c>
      <c r="BB40" s="531">
        <f>'VAC &amp; MED'!RE213</f>
        <v>0</v>
      </c>
      <c r="BC40" s="531">
        <f>'VAC &amp; MED'!RN213</f>
        <v>0</v>
      </c>
      <c r="BD40" s="531">
        <f>'VAC &amp; MED'!RW213</f>
        <v>0</v>
      </c>
      <c r="BE40" s="531">
        <f>'VAC &amp; MED'!SF213</f>
        <v>0</v>
      </c>
      <c r="BF40" s="531">
        <f>'VAC &amp; MED'!SO213</f>
        <v>0</v>
      </c>
      <c r="BG40" s="531">
        <f>'VAC &amp; MED'!SX213</f>
        <v>0</v>
      </c>
      <c r="BH40" s="531">
        <f>'VAC &amp; MED'!TG213</f>
        <v>60</v>
      </c>
      <c r="BI40" s="531">
        <f>'VAC &amp; MED'!TP213</f>
        <v>82.4</v>
      </c>
      <c r="BJ40" s="531">
        <f>'VAC &amp; MED'!TY213</f>
        <v>33.6</v>
      </c>
      <c r="BK40" s="531">
        <f>'VAC &amp; MED'!UH213</f>
        <v>76</v>
      </c>
      <c r="BL40" s="531">
        <f>'VAC &amp; MED'!UQ213</f>
        <v>240</v>
      </c>
      <c r="BM40" s="531">
        <f>'VAC &amp; MED'!UZ213</f>
        <v>0</v>
      </c>
      <c r="BN40" s="531">
        <f>'VAC &amp; MED'!VI213</f>
        <v>250</v>
      </c>
      <c r="BO40" s="531">
        <f>'VAC &amp; MED'!VR213</f>
        <v>0</v>
      </c>
      <c r="BP40" s="531">
        <f>'VAC &amp; MED'!WA213</f>
        <v>0</v>
      </c>
      <c r="BQ40" s="531">
        <f>'VAC &amp; MED'!WJ213</f>
        <v>0</v>
      </c>
      <c r="BR40" s="531">
        <f>'VAC &amp; MED'!WS213</f>
        <v>0</v>
      </c>
      <c r="BS40" s="531">
        <f>'VAC &amp; MED'!XB213</f>
        <v>694</v>
      </c>
      <c r="BT40" s="531">
        <f>'VAC &amp; MED'!XK213</f>
        <v>417</v>
      </c>
      <c r="BU40" s="531">
        <f>'VAC &amp; MED'!XT213</f>
        <v>558</v>
      </c>
      <c r="BV40" s="531">
        <f>'VAC &amp; MED'!YC213</f>
        <v>121</v>
      </c>
      <c r="BW40" s="531">
        <f>'VAC &amp; MED'!YL213</f>
        <v>0</v>
      </c>
      <c r="BX40" s="531">
        <f>'VAC &amp; MED'!YU213</f>
        <v>0</v>
      </c>
      <c r="BY40" s="531">
        <f>'VAC &amp; MED'!ZD213</f>
        <v>0</v>
      </c>
      <c r="BZ40" s="531">
        <f>'VAC &amp; MED'!ZM213</f>
        <v>0</v>
      </c>
    </row>
    <row r="41" spans="1:83" s="531" customFormat="1" outlineLevel="1">
      <c r="A41" s="536" t="s">
        <v>315</v>
      </c>
      <c r="B41" s="530">
        <f>'VAC &amp; MED'!E213</f>
        <v>566158.56999999995</v>
      </c>
      <c r="C41" s="530">
        <f>'VAC &amp; MED'!N213</f>
        <v>285356.79000000004</v>
      </c>
      <c r="D41" s="530">
        <f>'VAC &amp; MED'!W213</f>
        <v>57040</v>
      </c>
      <c r="E41" s="530">
        <f>'VAC &amp; MED'!AF213</f>
        <v>1200</v>
      </c>
      <c r="F41" s="530">
        <f>'VAC &amp; MED'!AO213</f>
        <v>0</v>
      </c>
      <c r="G41" s="530">
        <f>'VAC &amp; MED'!AX213</f>
        <v>4620</v>
      </c>
      <c r="H41" s="530">
        <f>'VAC &amp; MED'!BG213</f>
        <v>8613</v>
      </c>
      <c r="I41" s="530">
        <f>'VAC &amp; MED'!BP213</f>
        <v>11039</v>
      </c>
      <c r="J41" s="530">
        <f>'VAC &amp; MED'!BY213</f>
        <v>4131.72</v>
      </c>
      <c r="K41" s="530">
        <f>'VAC &amp; MED'!CH213</f>
        <v>2052.36</v>
      </c>
      <c r="L41" s="530">
        <f>'VAC &amp; MED'!CQ213</f>
        <v>0</v>
      </c>
      <c r="M41" s="530">
        <f>'VAC &amp; MED'!CZ213</f>
        <v>12480</v>
      </c>
      <c r="N41" s="530">
        <f>'VAC &amp; MED'!DI213</f>
        <v>300</v>
      </c>
      <c r="O41" s="530">
        <f>'VAC &amp; MED'!DR213</f>
        <v>0</v>
      </c>
      <c r="P41" s="530">
        <f>'VAC &amp; MED'!EB213</f>
        <v>0</v>
      </c>
      <c r="Q41" s="530">
        <f>'VAC &amp; MED'!EJ213</f>
        <v>0</v>
      </c>
      <c r="R41" s="530">
        <f>'VAC &amp; MED'!ES213</f>
        <v>0</v>
      </c>
      <c r="S41" s="530">
        <f>'VAC &amp; MED'!FB213</f>
        <v>0</v>
      </c>
      <c r="T41" s="530">
        <f>'VAC &amp; MED'!FK213</f>
        <v>0</v>
      </c>
      <c r="U41" s="530">
        <f>'VAC &amp; MED'!FT213</f>
        <v>0</v>
      </c>
      <c r="V41" s="530">
        <f>'VAC &amp; MED'!GC213</f>
        <v>0</v>
      </c>
      <c r="W41" s="530">
        <f>'VAC &amp; MED'!GL213</f>
        <v>0</v>
      </c>
      <c r="X41" s="530">
        <f>'VAC &amp; MED'!GU213</f>
        <v>1200</v>
      </c>
      <c r="Y41" s="530">
        <f>'VAC &amp; MED'!HD213</f>
        <v>0</v>
      </c>
      <c r="Z41" s="530">
        <f>'VAC &amp; MED'!HM213</f>
        <v>0</v>
      </c>
      <c r="AA41" s="530">
        <f>'VAC &amp; MED'!HW213</f>
        <v>120</v>
      </c>
      <c r="AB41" s="530">
        <f>'VAC &amp; MED'!IF213</f>
        <v>0</v>
      </c>
      <c r="AC41" s="530">
        <f>'VAC &amp; MED'!IO213</f>
        <v>0</v>
      </c>
      <c r="AD41" s="530">
        <f>'VAC &amp; MED'!IX213</f>
        <v>0</v>
      </c>
      <c r="AE41" s="530">
        <f>'VAC &amp; MED'!JG213</f>
        <v>0</v>
      </c>
      <c r="AF41" s="530">
        <f>'VAC &amp; MED'!JP213</f>
        <v>6280</v>
      </c>
      <c r="AG41" s="530">
        <f>'VAC &amp; MED'!JY213</f>
        <v>0</v>
      </c>
      <c r="AH41" s="530">
        <f>'VAC &amp; MED'!KH213</f>
        <v>0</v>
      </c>
      <c r="AI41" s="530">
        <f>'VAC &amp; MED'!KQ213</f>
        <v>0</v>
      </c>
      <c r="AJ41" s="530">
        <f>'VAC &amp; MED'!KZ213</f>
        <v>0</v>
      </c>
      <c r="AK41" s="530">
        <f>'VAC &amp; MED'!LI213</f>
        <v>0</v>
      </c>
      <c r="AL41" s="530">
        <f>'VAC &amp; MED'!LR213</f>
        <v>0</v>
      </c>
      <c r="AM41" s="530">
        <f>'VAC &amp; MED'!MA213</f>
        <v>0</v>
      </c>
      <c r="AN41" s="530">
        <f>'VAC &amp; MED'!MJ213</f>
        <v>0</v>
      </c>
      <c r="AO41" s="530">
        <f>'VAC &amp; MED'!MS213</f>
        <v>3</v>
      </c>
      <c r="AP41" s="530">
        <f>'VAC &amp; MED'!NB213</f>
        <v>1260</v>
      </c>
      <c r="AQ41" s="530">
        <f>'VAC &amp; MED'!NK213</f>
        <v>0</v>
      </c>
      <c r="AR41" s="530">
        <f>'VAC &amp; MED'!NU213</f>
        <v>0</v>
      </c>
      <c r="AS41" s="530">
        <f>'VAC &amp; MED'!OD213</f>
        <v>0</v>
      </c>
      <c r="AT41" s="530">
        <f>'VAC &amp; MED'!OM213</f>
        <v>1209.4000000000001</v>
      </c>
      <c r="AU41" s="530">
        <f>'VAC &amp; MED'!OV213</f>
        <v>0</v>
      </c>
      <c r="AV41" s="530">
        <f>'VAC &amp; MED'!PE213</f>
        <v>0</v>
      </c>
      <c r="AW41" s="530">
        <f>'VAC &amp; MED'!PN213</f>
        <v>0</v>
      </c>
      <c r="AX41" s="530">
        <f>'VAC &amp; MED'!PW213</f>
        <v>0</v>
      </c>
      <c r="AY41" s="530">
        <f>'VAC &amp; MED'!QF213</f>
        <v>0</v>
      </c>
      <c r="AZ41" s="530">
        <f>'VAC &amp; MED'!QO213</f>
        <v>620</v>
      </c>
      <c r="BA41" s="531">
        <f>'VAC &amp; MED'!QX213</f>
        <v>0</v>
      </c>
      <c r="BB41" s="531">
        <f>'VAC &amp; MED'!RG213</f>
        <v>0</v>
      </c>
      <c r="BC41" s="531">
        <f>'VAC &amp; MED'!RP213</f>
        <v>0</v>
      </c>
      <c r="BD41" s="531">
        <f>'VAC &amp; MED'!RY213</f>
        <v>0</v>
      </c>
      <c r="BE41" s="531">
        <f>'VAC &amp; MED'!SH213</f>
        <v>0</v>
      </c>
      <c r="BF41" s="531">
        <f>'VAC &amp; MED'!SQ213</f>
        <v>0</v>
      </c>
      <c r="BG41" s="531">
        <f>'VAC &amp; MED'!SZ213</f>
        <v>0</v>
      </c>
      <c r="BH41" s="531">
        <f>'VAC &amp; MED'!TI213</f>
        <v>60</v>
      </c>
      <c r="BI41" s="531">
        <f>'VAC &amp; MED'!TR213</f>
        <v>60</v>
      </c>
      <c r="BJ41" s="531">
        <f>'VAC &amp; MED'!UA213</f>
        <v>122.4</v>
      </c>
      <c r="BK41" s="531">
        <f>'VAC &amp; MED'!UJ213</f>
        <v>0</v>
      </c>
      <c r="BL41" s="531">
        <f>'VAC &amp; MED'!US213</f>
        <v>0</v>
      </c>
      <c r="BM41" s="531">
        <f>'VAC &amp; MED'!VB213</f>
        <v>0</v>
      </c>
      <c r="BN41" s="531">
        <f>'VAC &amp; MED'!VK213</f>
        <v>40</v>
      </c>
      <c r="BO41" s="531">
        <f>'VAC &amp; MED'!VT213</f>
        <v>0</v>
      </c>
      <c r="BP41" s="531">
        <f>'VAC &amp; MED'!WC213</f>
        <v>0</v>
      </c>
      <c r="BQ41" s="531">
        <f>'VAC &amp; MED'!WL213</f>
        <v>142</v>
      </c>
      <c r="BR41" s="531">
        <f>'VAC &amp; MED'!WU213</f>
        <v>0</v>
      </c>
      <c r="BS41" s="531">
        <f>'VAC &amp; MED'!XD213</f>
        <v>0</v>
      </c>
      <c r="BT41" s="531">
        <f>'VAC &amp; MED'!XM213</f>
        <v>3989</v>
      </c>
      <c r="BU41" s="531">
        <f>'VAC &amp; MED'!XV213</f>
        <v>0</v>
      </c>
      <c r="BV41" s="531">
        <f>'VAC &amp; MED'!YE213</f>
        <v>2295</v>
      </c>
      <c r="BW41" s="531">
        <f>'VAC &amp; MED'!YN213</f>
        <v>0</v>
      </c>
      <c r="BX41" s="531">
        <f>'VAC &amp; MED'!YW213</f>
        <v>0</v>
      </c>
      <c r="BY41" s="531">
        <f>'VAC &amp; MED'!ZF213</f>
        <v>0</v>
      </c>
      <c r="BZ41" s="531">
        <f>'VAC &amp; MED'!ZO213</f>
        <v>0</v>
      </c>
    </row>
    <row r="42" spans="1:83" s="531" customFormat="1" outlineLevel="1">
      <c r="A42" s="536" t="s">
        <v>316</v>
      </c>
      <c r="B42" s="530">
        <f>'VAC &amp; MED'!G213</f>
        <v>-37447.030000000028</v>
      </c>
      <c r="C42" s="530">
        <f>'VAC &amp; MED'!P213</f>
        <v>-1.2099999999870761</v>
      </c>
      <c r="D42" s="530">
        <f>'VAC &amp; MED'!Y213</f>
        <v>-14.2999999999995</v>
      </c>
      <c r="E42" s="530">
        <f>'VAC &amp; MED'!AH213</f>
        <v>-0.69999999999993179</v>
      </c>
      <c r="F42" s="530">
        <f>'VAC &amp; MED'!AQ213</f>
        <v>0</v>
      </c>
      <c r="G42" s="530">
        <f>'VAC &amp; MED'!AZ213</f>
        <v>-0.49999999999981526</v>
      </c>
      <c r="H42" s="530">
        <f>'VAC &amp; MED'!BI213</f>
        <v>396.69999999999982</v>
      </c>
      <c r="I42" s="530">
        <f>'VAC &amp; MED'!BR213</f>
        <v>-1000.3000000000001</v>
      </c>
      <c r="J42" s="530">
        <f>'VAC &amp; MED'!CA213</f>
        <v>1437.3700000000001</v>
      </c>
      <c r="K42" s="530">
        <f>'VAC &amp; MED'!CJ213</f>
        <v>-4114.6100000000006</v>
      </c>
      <c r="L42" s="530">
        <f>'VAC &amp; MED'!CS213</f>
        <v>0</v>
      </c>
      <c r="M42" s="530">
        <f>'VAC &amp; MED'!DB213</f>
        <v>-534.79999999999995</v>
      </c>
      <c r="N42" s="530">
        <f>'VAC &amp; MED'!DK213</f>
        <v>-0.5</v>
      </c>
      <c r="O42" s="530">
        <f>'VAC &amp; MED'!DT213</f>
        <v>0</v>
      </c>
      <c r="P42" s="530"/>
      <c r="Q42" s="530">
        <f>'VAC &amp; MED'!EL213</f>
        <v>-351.76</v>
      </c>
      <c r="R42" s="530">
        <f>'VAC &amp; MED'!EU213</f>
        <v>0</v>
      </c>
      <c r="S42" s="530">
        <f>'VAC &amp; MED'!FD213</f>
        <v>0</v>
      </c>
      <c r="T42" s="530">
        <f>'VAC &amp; MED'!FM213</f>
        <v>0</v>
      </c>
      <c r="U42" s="530">
        <f>'VAC &amp; MED'!FV213</f>
        <v>-2980</v>
      </c>
      <c r="V42" s="530">
        <f>'VAC &amp; MED'!GE213</f>
        <v>-4080</v>
      </c>
      <c r="W42" s="530">
        <f>'VAC &amp; MED'!GN213</f>
        <v>0</v>
      </c>
      <c r="X42" s="530">
        <f>'VAC &amp; MED'!GW213</f>
        <v>0</v>
      </c>
      <c r="Y42" s="530">
        <f>'VAC &amp; MED'!HF213</f>
        <v>0</v>
      </c>
      <c r="Z42" s="530">
        <f>'VAC &amp; MED'!HO213</f>
        <v>0</v>
      </c>
      <c r="AA42" s="530">
        <f>'VAC &amp; MED'!HY213</f>
        <v>0</v>
      </c>
      <c r="AB42" s="530">
        <f>'VAC &amp; MED'!IH213</f>
        <v>0</v>
      </c>
      <c r="AC42" s="530">
        <f>'VAC &amp; MED'!IQ213</f>
        <v>-1620</v>
      </c>
      <c r="AD42" s="530">
        <f>'VAC &amp; MED'!IZ213</f>
        <v>0</v>
      </c>
      <c r="AE42" s="530">
        <f>'VAC &amp; MED'!JI213</f>
        <v>0</v>
      </c>
      <c r="AF42" s="530">
        <f>'VAC &amp; MED'!JR213</f>
        <v>2940</v>
      </c>
      <c r="AG42" s="530">
        <f>'VAC &amp; MED'!KA213</f>
        <v>0</v>
      </c>
      <c r="AH42" s="530">
        <f>'VAC &amp; MED'!KJ213</f>
        <v>0</v>
      </c>
      <c r="AI42" s="530">
        <f>'VAC &amp; MED'!KS213</f>
        <v>0</v>
      </c>
      <c r="AJ42" s="530">
        <f>'VAC &amp; MED'!LB213</f>
        <v>0</v>
      </c>
      <c r="AK42" s="530">
        <f>'VAC &amp; MED'!LK213</f>
        <v>0</v>
      </c>
      <c r="AL42" s="530">
        <f>'VAC &amp; MED'!LT213</f>
        <v>0</v>
      </c>
      <c r="AM42" s="532"/>
      <c r="AN42" s="532"/>
      <c r="AO42" s="532"/>
      <c r="AP42" s="532"/>
      <c r="AQ42" s="532"/>
      <c r="AR42" s="532"/>
      <c r="AS42" s="532"/>
      <c r="AT42" s="532"/>
      <c r="AU42" s="532"/>
      <c r="AV42" s="532"/>
      <c r="AW42" s="532"/>
      <c r="AX42" s="532"/>
      <c r="AY42" s="532"/>
      <c r="AZ42" s="532"/>
      <c r="BA42" s="533"/>
      <c r="BB42" s="533"/>
      <c r="BC42" s="533"/>
      <c r="BD42" s="533"/>
      <c r="BE42" s="533"/>
      <c r="BF42" s="533"/>
      <c r="BG42" s="533"/>
      <c r="BH42" s="533"/>
      <c r="BI42" s="531">
        <f>'VAC &amp; MED'!TS213</f>
        <v>-60</v>
      </c>
      <c r="BJ42" s="531">
        <f>'VAC &amp; MED'!UB213</f>
        <v>-122.4</v>
      </c>
      <c r="BK42" s="531">
        <f>'VAC &amp; MED'!UK213</f>
        <v>0</v>
      </c>
      <c r="BL42" s="531">
        <f>'VAC &amp; MED'!UT213</f>
        <v>0</v>
      </c>
      <c r="BM42" s="531">
        <f>'VAC &amp; MED'!VC213</f>
        <v>0</v>
      </c>
      <c r="BN42" s="531">
        <f>'VAC &amp; MED'!VL213</f>
        <v>-40</v>
      </c>
      <c r="BO42" s="531">
        <f>'VAC &amp; MED'!VU213</f>
        <v>785</v>
      </c>
      <c r="BP42" s="533"/>
      <c r="BQ42" s="533"/>
      <c r="BR42" s="533"/>
      <c r="BS42" s="533"/>
      <c r="BT42" s="533"/>
      <c r="BU42" s="533"/>
      <c r="BV42" s="533"/>
      <c r="BW42" s="533"/>
      <c r="BX42" s="533"/>
      <c r="BY42" s="533"/>
      <c r="BZ42" s="533"/>
      <c r="CA42" s="533"/>
      <c r="CB42" s="533"/>
      <c r="CC42" s="533"/>
      <c r="CD42" s="533"/>
      <c r="CE42" s="533"/>
    </row>
    <row r="43" spans="1:83" s="535" customFormat="1">
      <c r="A43" s="537" t="s">
        <v>171</v>
      </c>
      <c r="B43" s="534">
        <f>'VAC &amp; MED'!H213</f>
        <v>103607.80000000006</v>
      </c>
      <c r="C43" s="534">
        <f>'VAC &amp; MED'!Q213</f>
        <v>51499.20000000007</v>
      </c>
      <c r="D43" s="534">
        <f>'VAC &amp; MED'!Z213</f>
        <v>32731.999999999971</v>
      </c>
      <c r="E43" s="534">
        <f>'VAC &amp; MED'!AI213</f>
        <v>33372.700000000019</v>
      </c>
      <c r="F43" s="534">
        <f>'VAC &amp; MED'!AR213</f>
        <v>0</v>
      </c>
      <c r="G43" s="534">
        <f>'VAC &amp; MED'!BA213</f>
        <v>13946.199999999997</v>
      </c>
      <c r="H43" s="534">
        <f>'VAC &amp; MED'!BJ213</f>
        <v>36947.699999999997</v>
      </c>
      <c r="I43" s="534">
        <f>'VAC &amp; MED'!BS213</f>
        <v>0</v>
      </c>
      <c r="J43" s="534">
        <f>'VAC &amp; MED'!CB213</f>
        <v>2388.7799999999988</v>
      </c>
      <c r="K43" s="534">
        <f>'VAC &amp; MED'!CK213</f>
        <v>0</v>
      </c>
      <c r="L43" s="534">
        <f>'VAC &amp; MED'!CT213</f>
        <v>0</v>
      </c>
      <c r="M43" s="534">
        <f>'VAC &amp; MED'!DC213</f>
        <v>8489.9000000000069</v>
      </c>
      <c r="N43" s="534">
        <f>'VAC &amp; MED'!DL213</f>
        <v>34934.499999999985</v>
      </c>
      <c r="O43" s="534">
        <f>'VAC &amp; MED'!DU213</f>
        <v>5800</v>
      </c>
      <c r="P43" s="534">
        <f>'VAC &amp; MED'!ED213</f>
        <v>0</v>
      </c>
      <c r="Q43" s="534">
        <f>'VAC &amp; MED'!EM213</f>
        <v>0</v>
      </c>
      <c r="R43" s="534">
        <f>'VAC &amp; MED'!EV213</f>
        <v>0</v>
      </c>
      <c r="S43" s="534">
        <f>'VAC &amp; MED'!FE213</f>
        <v>0</v>
      </c>
      <c r="T43" s="534">
        <f>'VAC &amp; MED'!FN213</f>
        <v>0</v>
      </c>
      <c r="U43" s="534">
        <f>'VAC &amp; MED'!FW213</f>
        <v>1160</v>
      </c>
      <c r="V43" s="534">
        <f>'VAC &amp; MED'!GF213</f>
        <v>960</v>
      </c>
      <c r="W43" s="534">
        <f>'VAC &amp; MED'!GO213</f>
        <v>1760</v>
      </c>
      <c r="X43" s="534">
        <f>'VAC &amp; MED'!GX213</f>
        <v>400</v>
      </c>
      <c r="Y43" s="534">
        <f>'VAC &amp; MED'!HG213</f>
        <v>3600</v>
      </c>
      <c r="Z43" s="534">
        <f>'VAC &amp; MED'!HP213</f>
        <v>0</v>
      </c>
      <c r="AA43" s="534">
        <f>'VAC &amp; MED'!HZ213</f>
        <v>6680</v>
      </c>
      <c r="AB43" s="534">
        <f>'VAC &amp; MED'!II213</f>
        <v>720</v>
      </c>
      <c r="AC43" s="534">
        <f>'VAC &amp; MED'!IR213</f>
        <v>6520</v>
      </c>
      <c r="AD43" s="534">
        <f>'VAC &amp; MED'!JA213</f>
        <v>4960</v>
      </c>
      <c r="AE43" s="534">
        <f>'VAC &amp; MED'!JJ213</f>
        <v>0</v>
      </c>
      <c r="AF43" s="534">
        <f>'VAC &amp; MED'!JS213</f>
        <v>0</v>
      </c>
      <c r="AG43" s="534">
        <f>'VAC &amp; MED'!KB213</f>
        <v>2540</v>
      </c>
      <c r="AH43" s="534">
        <f>'VAC &amp; MED'!KK213</f>
        <v>2359.5</v>
      </c>
      <c r="AI43" s="534">
        <f>'VAC &amp; MED'!KT213</f>
        <v>1890</v>
      </c>
      <c r="AJ43" s="534">
        <f>'VAC &amp; MED'!LC213</f>
        <v>3690</v>
      </c>
      <c r="AK43" s="534">
        <f>'VAC &amp; MED'!LL213</f>
        <v>4000</v>
      </c>
      <c r="AL43" s="534">
        <f>'VAC &amp; MED'!LU213</f>
        <v>0</v>
      </c>
      <c r="AM43" s="534">
        <f>'VAC &amp; MED'!MD213</f>
        <v>0</v>
      </c>
      <c r="AN43" s="534">
        <f>'VAC &amp; MED'!MM213</f>
        <v>0</v>
      </c>
      <c r="AO43" s="534">
        <f>'VAC &amp; MED'!MV213</f>
        <v>3595</v>
      </c>
      <c r="AP43" s="534">
        <f>'VAC &amp; MED'!NE213</f>
        <v>0</v>
      </c>
      <c r="AQ43" s="534">
        <f>'VAC &amp; MED'!NN213</f>
        <v>1127</v>
      </c>
      <c r="AR43" s="534">
        <f>'VAC &amp; MED'!NW213</f>
        <v>3111.9999999999995</v>
      </c>
      <c r="AS43" s="534">
        <f>'VAC &amp; MED'!OF213</f>
        <v>1680.5</v>
      </c>
      <c r="AT43" s="534">
        <f>'VAC &amp; MED'!OO213</f>
        <v>0</v>
      </c>
      <c r="AU43" s="534">
        <f>'VAC &amp; MED'!OX213</f>
        <v>1482</v>
      </c>
      <c r="AV43" s="534">
        <f>'VAC &amp; MED'!PG213</f>
        <v>0</v>
      </c>
      <c r="AW43" s="534">
        <f>'VAC &amp; MED'!PP213</f>
        <v>100</v>
      </c>
      <c r="AX43" s="534">
        <f>'VAC &amp; MED'!PY213</f>
        <v>13.960000000000036</v>
      </c>
      <c r="AY43" s="534">
        <f>'VAC &amp; MED'!QH213</f>
        <v>1736</v>
      </c>
      <c r="AZ43" s="534">
        <f>'VAC &amp; MED'!QQ213</f>
        <v>250</v>
      </c>
      <c r="BA43" s="535">
        <f>'VAC &amp; MED'!QZ213</f>
        <v>207.6</v>
      </c>
      <c r="BB43" s="535">
        <f>'VAC &amp; MED'!RI213</f>
        <v>147.04000000000002</v>
      </c>
      <c r="BC43" s="535">
        <f>'VAC &amp; MED'!RR213</f>
        <v>46.8</v>
      </c>
      <c r="BD43" s="535">
        <f>'VAC &amp; MED'!SA213</f>
        <v>0</v>
      </c>
      <c r="BE43" s="535">
        <f>'VAC &amp; MED'!SJ213</f>
        <v>24.200000000000003</v>
      </c>
      <c r="BF43" s="535">
        <f>'VAC &amp; MED'!SS213</f>
        <v>32</v>
      </c>
      <c r="BG43" s="535">
        <f>'VAC &amp; MED'!TB213</f>
        <v>0</v>
      </c>
      <c r="BH43" s="535">
        <f>'VAC &amp; MED'!TK213</f>
        <v>0</v>
      </c>
      <c r="BI43" s="535">
        <f>'VAC &amp; MED'!TT213</f>
        <v>22.400000000000006</v>
      </c>
      <c r="BJ43" s="535">
        <f>'VAC &amp; MED'!UC213</f>
        <v>46.799999999999983</v>
      </c>
      <c r="BK43" s="535">
        <f>'VAC &amp; MED'!UL213</f>
        <v>204</v>
      </c>
      <c r="BL43" s="535">
        <f>'VAC &amp; MED'!UU213</f>
        <v>251.25</v>
      </c>
      <c r="BM43" s="535">
        <f>'VAC &amp; MED'!VD213</f>
        <v>41.600000000000023</v>
      </c>
      <c r="BN43" s="535">
        <f>'VAC &amp; MED'!VM213</f>
        <v>210</v>
      </c>
      <c r="BO43" s="535">
        <f>'VAC &amp; MED'!VV213</f>
        <v>0</v>
      </c>
      <c r="BP43" s="535">
        <f>'VAC &amp; MED'!WE213</f>
        <v>0</v>
      </c>
      <c r="BQ43" s="535">
        <f>'VAC &amp; MED'!WN213</f>
        <v>1057</v>
      </c>
      <c r="BR43" s="535">
        <f>'VAC &amp; MED'!WW213</f>
        <v>0</v>
      </c>
      <c r="BS43" s="535">
        <f>'VAC &amp; MED'!XF213</f>
        <v>7507</v>
      </c>
      <c r="BT43" s="535">
        <f>'VAC &amp; MED'!XO213</f>
        <v>4252</v>
      </c>
      <c r="BU43" s="535">
        <f>'VAC &amp; MED'!XX213</f>
        <v>2179</v>
      </c>
      <c r="BV43" s="535">
        <f>'VAC &amp; MED'!YG213</f>
        <v>4019</v>
      </c>
      <c r="BW43" s="535">
        <f>'VAC &amp; MED'!YP213</f>
        <v>0</v>
      </c>
      <c r="BX43" s="535">
        <f>'VAC &amp; MED'!YY213</f>
        <v>0</v>
      </c>
      <c r="BY43" s="535">
        <f>'VAC &amp; MED'!ZH213</f>
        <v>0</v>
      </c>
      <c r="BZ43" s="535">
        <f>'VAC &amp; MED'!ZQ213</f>
        <v>0</v>
      </c>
    </row>
    <row r="44" spans="1:83" s="535" customFormat="1" ht="16.149999999999999" thickBot="1">
      <c r="A44" s="537"/>
      <c r="B44" s="534"/>
      <c r="C44" s="534"/>
      <c r="D44" s="534"/>
      <c r="E44" s="534"/>
      <c r="F44" s="534"/>
      <c r="G44" s="534"/>
      <c r="H44" s="534"/>
      <c r="I44" s="534"/>
      <c r="J44" s="534"/>
      <c r="K44" s="534"/>
      <c r="L44" s="534"/>
      <c r="M44" s="534"/>
      <c r="N44" s="534"/>
      <c r="O44" s="534"/>
      <c r="P44" s="534"/>
      <c r="Q44" s="534"/>
      <c r="R44" s="534"/>
      <c r="S44" s="534"/>
      <c r="T44" s="534"/>
      <c r="U44" s="534"/>
      <c r="V44" s="534"/>
      <c r="W44" s="534"/>
      <c r="X44" s="534"/>
      <c r="Y44" s="534"/>
      <c r="Z44" s="534"/>
      <c r="AA44" s="534"/>
      <c r="AB44" s="534"/>
      <c r="AC44" s="534"/>
      <c r="AD44" s="534"/>
      <c r="AE44" s="534"/>
      <c r="AF44" s="534"/>
      <c r="AG44" s="534"/>
      <c r="AH44" s="534"/>
      <c r="AI44" s="534"/>
      <c r="AJ44" s="534"/>
    </row>
    <row r="45" spans="1:83" s="2" customFormat="1" ht="47.45" thickBot="1">
      <c r="A45" s="539" t="s">
        <v>296</v>
      </c>
      <c r="B45" s="215" t="str">
        <f>PRODUCE!$EA$7</f>
        <v>MAIZE/CORN</v>
      </c>
      <c r="C45" s="216" t="str">
        <f>PRODUCE!$EA$8</f>
        <v>SOYBEAN MEAL (ARG)</v>
      </c>
      <c r="D45" s="217" t="str">
        <f>PRODUCE!$EA$9</f>
        <v>SOYBEAN FULL FAT</v>
      </c>
      <c r="E45" s="218" t="str">
        <f>PRODUCE!$EA$10</f>
        <v>WHEAT POLLARD</v>
      </c>
      <c r="F45" s="219" t="str">
        <f>PRODUCE!$EA$11</f>
        <v>WHEAT</v>
      </c>
      <c r="G45" s="220" t="str">
        <f>PRODUCE!$EA$12</f>
        <v>MEAT AND BONE MEAL</v>
      </c>
      <c r="H45" s="221" t="str">
        <f>PRODUCE!$EA$13</f>
        <v>CORN GLUTEN MEAL</v>
      </c>
      <c r="I45" s="222" t="str">
        <f>PRODUCE!$EA$14</f>
        <v>MEGAFAT (HARUMI)</v>
      </c>
      <c r="J45" s="223" t="str">
        <f>PRODUCE!$EA$15</f>
        <v>DCP 18%</v>
      </c>
      <c r="K45" s="224" t="str">
        <f>PRODUCE!$EA$16</f>
        <v>LIMESTONE POWDER (HARUMI)</v>
      </c>
      <c r="L45" s="225" t="str">
        <f>PRODUCE!$EA$17</f>
        <v>CHOLINE CHLORIDE 60%</v>
      </c>
      <c r="M45" s="226" t="str">
        <f>PRODUCE!$EA$18</f>
        <v>INDUSTRY FLOUR</v>
      </c>
      <c r="N45" s="227" t="str">
        <f>PRODUCE!$EA$19</f>
        <v>RICE BRAN</v>
      </c>
      <c r="O45" s="228" t="str">
        <f>PRODUCE!$EA$20</f>
        <v>EP 200</v>
      </c>
      <c r="P45" s="229" t="str">
        <f>PRODUCE!$EA$21</f>
        <v>SOYTIDE</v>
      </c>
      <c r="Q45" s="230" t="str">
        <f>PRODUCE!$EA$22</f>
        <v>DCP 18% (HARUMI)</v>
      </c>
      <c r="R45" s="231">
        <f>PRODUCE!$EA$23</f>
        <v>1</v>
      </c>
      <c r="S45" s="232">
        <f>PRODUCE!$EA$24</f>
        <v>2</v>
      </c>
      <c r="T45" s="233">
        <f>PRODUCE!$EA$25</f>
        <v>3</v>
      </c>
      <c r="U45" s="234" t="str">
        <f>PRODUCE!$EA$26</f>
        <v>PREMIX 1101 (20KG)</v>
      </c>
      <c r="V45" s="235" t="str">
        <f>PRODUCE!$EA$27</f>
        <v>PREMIX 1102 (20KG)</v>
      </c>
      <c r="W45" s="236" t="str">
        <f>PRODUCE!$EA$28</f>
        <v>PREMIX 1103 (20KG)</v>
      </c>
      <c r="X45" s="237" t="str">
        <f>PRODUCE!$EA$29</f>
        <v>PREMIX 311 (20KG)</v>
      </c>
      <c r="Y45" s="238" t="str">
        <f>PRODUCE!$EA$30</f>
        <v>PREMIX 312 (20KG)</v>
      </c>
      <c r="Z45" s="239">
        <f>PRODUCE!$EA$31</f>
        <v>1</v>
      </c>
      <c r="AA45" s="240" t="str">
        <f>PRODUCE!$EA$32</f>
        <v>PREMIX 8100 (20KG)</v>
      </c>
      <c r="AB45" s="240" t="str">
        <f>PRODUCE!$EA$33</f>
        <v>PREMIX 8101 (20KG)</v>
      </c>
      <c r="AC45" s="240" t="str">
        <f>PRODUCE!$EA$34</f>
        <v>PREMIX 8102 (20KG)</v>
      </c>
      <c r="AD45" s="240" t="str">
        <f>PRODUCE!$EA$35</f>
        <v>PREMIX 8103 (20KG)</v>
      </c>
      <c r="AE45" s="240" t="str">
        <f>PRODUCE!$EA$36</f>
        <v>PREMIX 8108 (20KG)</v>
      </c>
      <c r="AF45" s="240" t="str">
        <f>PRODUCE!$EA$37</f>
        <v>PREMIX 8109 (20KG)</v>
      </c>
      <c r="AG45" s="240" t="str">
        <f>PRODUCE!$EA$38</f>
        <v>YENMIX 121 (20KG)</v>
      </c>
      <c r="AH45" s="240" t="str">
        <f>PRODUCE!$EA$39</f>
        <v>YENMIX 122 (19.50KG)</v>
      </c>
      <c r="AI45" s="240" t="str">
        <f>PRODUCE!$EA$40</f>
        <v>YENMIX 123 (18.90KG)</v>
      </c>
      <c r="AJ45" s="240" t="str">
        <f>PRODUCE!$EA$41</f>
        <v>YENMIX 122 (20.50KG)</v>
      </c>
      <c r="AK45" s="240" t="str">
        <f>PRODUCE!$EA$42</f>
        <v>YENMIX 123 (20.00KG)</v>
      </c>
      <c r="AL45" s="240">
        <f>PRODUCE!$EA$43</f>
        <v>1</v>
      </c>
      <c r="AM45" s="240">
        <f>PRODUCE!$EA$44</f>
        <v>2</v>
      </c>
      <c r="AN45" s="240">
        <f>PRODUCE!$EA$45</f>
        <v>3</v>
      </c>
      <c r="AO45" s="240" t="str">
        <f>PRODUCE!$EA$46</f>
        <v>TOXISORB PREMIUM</v>
      </c>
      <c r="AP45" s="240" t="str">
        <f>PRODUCE!$EA$47</f>
        <v>SODIUM HUMATE 3.8% (HARUMI)</v>
      </c>
      <c r="AQ45" s="240" t="str">
        <f>PRODUCE!$EA$48</f>
        <v>TOXIWALL</v>
      </c>
      <c r="AR45" s="240" t="str">
        <f>PRODUCE!$EA$49</f>
        <v>SODIUM BICARBONATE</v>
      </c>
      <c r="AS45" s="240" t="str">
        <f>PRODUCE!$EA$50</f>
        <v>BMD 10%</v>
      </c>
      <c r="AT45" s="240" t="str">
        <f>PRODUCE!$EA$51</f>
        <v>SALT (HARUMI)</v>
      </c>
      <c r="AU45" s="240" t="str">
        <f>PRODUCE!$EA$52</f>
        <v>VISTABET 91</v>
      </c>
      <c r="AV45" s="240" t="str">
        <f>PRODUCE!$EA$53</f>
        <v>BETAFIN</v>
      </c>
      <c r="AW45" s="240" t="str">
        <f>PRODUCE!$EA$54</f>
        <v>8101 TOP UP</v>
      </c>
      <c r="AX45" s="240" t="str">
        <f>PRODUCE!$EA$55</f>
        <v>NORPONIN X03 (8102 TOP UP)</v>
      </c>
      <c r="AY45" s="240" t="str">
        <f>PRODUCE!$EA$56</f>
        <v>8102 TOP UP (4KG)</v>
      </c>
      <c r="AZ45" s="240" t="str">
        <f>PRODUCE!$EA$57</f>
        <v>8103 TOP UP (5KG)</v>
      </c>
      <c r="BA45" s="240" t="str">
        <f>PRODUCE!$EA$58</f>
        <v>L-ARGININE</v>
      </c>
      <c r="BB45" s="240" t="str">
        <f>PRODUCE!$EA$59</f>
        <v>DL-METHIONINE</v>
      </c>
      <c r="BC45" s="240" t="str">
        <f>PRODUCE!$EA$60</f>
        <v>L-THREONINE</v>
      </c>
      <c r="BD45" s="240" t="str">
        <f>PRODUCE!$EA$61</f>
        <v>L-LYSINE</v>
      </c>
      <c r="BE45" s="240" t="str">
        <f>PRODUCE!$EA$62</f>
        <v>FAECES DRY</v>
      </c>
      <c r="BF45" s="240" t="str">
        <f>PRODUCE!$EA$63</f>
        <v>ECOBIOL</v>
      </c>
      <c r="BG45" s="240" t="str">
        <f>PRODUCE!$EA$64</f>
        <v>ADDITIVE BROILER IMMUNE</v>
      </c>
      <c r="BH45" s="240" t="str">
        <f>PRODUCE!$EA$65</f>
        <v>MASTER CUBE (HARUMI)</v>
      </c>
      <c r="BI45" s="240" t="str">
        <f>PRODUCE!$EA$66</f>
        <v>1101 TOP UP (0.40KG)</v>
      </c>
      <c r="BJ45" s="240" t="str">
        <f>PRODUCE!$EA$67</f>
        <v>1102 TOP UP (0.60KG)</v>
      </c>
      <c r="BK45" s="240" t="str">
        <f>PRODUCE!$EA$68</f>
        <v>1103 TOP UP (2.00KG)</v>
      </c>
      <c r="BL45" s="240" t="str">
        <f>PRODUCE!$EA$69</f>
        <v>QUANTUM GLO 4%</v>
      </c>
      <c r="BM45" s="240" t="str">
        <f>PRODUCE!$EA$70</f>
        <v>SALT</v>
      </c>
      <c r="BN45" s="240" t="str">
        <f>PRODUCE!$EA$71</f>
        <v>OC 200 - OXYTET 20%</v>
      </c>
      <c r="BO45" s="240">
        <f>PRODUCE!$EA$72</f>
        <v>3</v>
      </c>
      <c r="BP45" s="387">
        <f>PRODUCE!$EA$73</f>
        <v>4</v>
      </c>
      <c r="BQ45" s="392" t="str">
        <f>PRODUCE!$EA$74</f>
        <v>WOVEN BAG (1101) - BLUE 50KG</v>
      </c>
      <c r="BR45" s="391" t="str">
        <f>PRODUCE!$EA$75</f>
        <v>WOVEN BAG (1102) - GREEN 50KG</v>
      </c>
      <c r="BS45" s="388" t="str">
        <f>PRODUCE!$EA$76</f>
        <v>WOVEN BAG (1103) - RED 50KG</v>
      </c>
      <c r="BT45" s="389" t="str">
        <f>PRODUCE!$EA$77</f>
        <v>PLAIN BAG 26" X 39" (50KG)</v>
      </c>
      <c r="BU45" s="350" t="str">
        <f>PRODUCE!$EA$78</f>
        <v>WOVEN BAG (8101) - KHAKI 50KG</v>
      </c>
      <c r="BV45" s="390" t="str">
        <f>PRODUCE!$EA$79</f>
        <v>WOVEN BAG (8102) - SKY BLUE 50KG</v>
      </c>
      <c r="BW45" s="240" t="str">
        <f>PRODUCE!$EA$80</f>
        <v>WOVEN BAG (8103) - BROWN 50KG</v>
      </c>
      <c r="BX45" s="240">
        <f>PRODUCE!$EA$81</f>
        <v>1</v>
      </c>
      <c r="BY45" s="240">
        <f>PRODUCE!$EA$82</f>
        <v>2</v>
      </c>
      <c r="BZ45" s="240">
        <f>PRODUCE!$EA$83</f>
        <v>3</v>
      </c>
      <c r="CA45" s="240">
        <f>PRODUCE!$EA$84</f>
        <v>4</v>
      </c>
      <c r="CB45" s="240">
        <f>PRODUCE!$EA$85</f>
        <v>5</v>
      </c>
      <c r="CC45" s="240">
        <f>PRODUCE!$EA$86</f>
        <v>6</v>
      </c>
      <c r="CD45" s="240">
        <f>PRODUCE!$EA$87</f>
        <v>7</v>
      </c>
      <c r="CE45" s="240">
        <f>PRODUCE!$EA$88</f>
        <v>8</v>
      </c>
    </row>
    <row r="46" spans="1:83" s="531" customFormat="1" outlineLevel="1">
      <c r="A46" s="536" t="s">
        <v>313</v>
      </c>
      <c r="B46" s="530">
        <f>'VAC &amp; MED'!H217</f>
        <v>103607.80000000006</v>
      </c>
      <c r="C46" s="530">
        <f>'VAC &amp; MED'!Q217</f>
        <v>51499.20000000007</v>
      </c>
      <c r="D46" s="530">
        <f>'VAC &amp; MED'!Z217</f>
        <v>32731.999999999971</v>
      </c>
      <c r="E46" s="530">
        <f>'VAC &amp; MED'!AI217</f>
        <v>33372.700000000019</v>
      </c>
      <c r="F46" s="530">
        <f>'VAC &amp; MED'!AR217</f>
        <v>0</v>
      </c>
      <c r="G46" s="530">
        <f>'VAC &amp; MED'!BA217</f>
        <v>13946.199999999997</v>
      </c>
      <c r="H46" s="530">
        <f>'VAC &amp; MED'!BJ217</f>
        <v>36947.699999999997</v>
      </c>
      <c r="I46" s="530">
        <f>'VAC &amp; MED'!BS217</f>
        <v>0</v>
      </c>
      <c r="J46" s="530">
        <f>'VAC &amp; MED'!CB217</f>
        <v>2388.7799999999988</v>
      </c>
      <c r="K46" s="530">
        <f>'VAC &amp; MED'!CK217</f>
        <v>0</v>
      </c>
      <c r="L46" s="530">
        <f>'VAC &amp; MED'!CT217</f>
        <v>0</v>
      </c>
      <c r="M46" s="530">
        <f>'VAC &amp; MED'!DC217</f>
        <v>8489.9000000000069</v>
      </c>
      <c r="N46" s="530">
        <f>'VAC &amp; MED'!DL217</f>
        <v>34934.499999999985</v>
      </c>
      <c r="O46" s="530">
        <f>'VAC &amp; MED'!DU217</f>
        <v>5800</v>
      </c>
      <c r="P46" s="530">
        <f>'VAC &amp; MED'!ED217</f>
        <v>0</v>
      </c>
      <c r="Q46" s="530">
        <f>'VAC &amp; MED'!EM217</f>
        <v>0</v>
      </c>
      <c r="R46" s="530">
        <f>'VAC &amp; MED'!EV217</f>
        <v>0</v>
      </c>
      <c r="S46" s="530">
        <f>'VAC &amp; MED'!FE217</f>
        <v>0</v>
      </c>
      <c r="T46" s="530">
        <f>'VAC &amp; MED'!FN217</f>
        <v>0</v>
      </c>
      <c r="U46" s="530">
        <f>'VAC &amp; MED'!FW217</f>
        <v>1160</v>
      </c>
      <c r="V46" s="530">
        <f>'VAC &amp; MED'!GF217</f>
        <v>960</v>
      </c>
      <c r="W46" s="530">
        <f>'VAC &amp; MED'!GO217</f>
        <v>1760</v>
      </c>
      <c r="X46" s="530">
        <f>'VAC &amp; MED'!GX217</f>
        <v>400</v>
      </c>
      <c r="Y46" s="530">
        <f>'VAC &amp; MED'!HG217</f>
        <v>3600</v>
      </c>
      <c r="Z46" s="530">
        <f>'VAC &amp; MED'!HP217</f>
        <v>0</v>
      </c>
      <c r="AA46" s="530">
        <f>'VAC &amp; MED'!HZ217</f>
        <v>6680</v>
      </c>
      <c r="AB46" s="530">
        <f>'VAC &amp; MED'!II217</f>
        <v>720</v>
      </c>
      <c r="AC46" s="530">
        <f>'VAC &amp; MED'!IR217</f>
        <v>6520</v>
      </c>
      <c r="AD46" s="530">
        <f>'VAC &amp; MED'!JA217</f>
        <v>4960</v>
      </c>
      <c r="AE46" s="530">
        <f>'VAC &amp; MED'!JJ217</f>
        <v>0</v>
      </c>
      <c r="AF46" s="530">
        <f>'VAC &amp; MED'!JS217</f>
        <v>0</v>
      </c>
      <c r="AG46" s="530">
        <f>'VAC &amp; MED'!KB217</f>
        <v>2540</v>
      </c>
      <c r="AH46" s="530">
        <f>'VAC &amp; MED'!KK217</f>
        <v>2359.5</v>
      </c>
      <c r="AI46" s="530">
        <f>'VAC &amp; MED'!KT217</f>
        <v>1890</v>
      </c>
      <c r="AJ46" s="530">
        <f>'VAC &amp; MED'!LC217</f>
        <v>3690</v>
      </c>
      <c r="AK46" s="530">
        <f>'VAC &amp; MED'!LL217</f>
        <v>4000</v>
      </c>
      <c r="AL46" s="530">
        <f>'VAC &amp; MED'!LU217</f>
        <v>0</v>
      </c>
      <c r="AM46" s="530">
        <f>'VAC &amp; MED'!MD217</f>
        <v>0</v>
      </c>
      <c r="AN46" s="530">
        <f>'VAC &amp; MED'!MM217</f>
        <v>0</v>
      </c>
      <c r="AO46" s="530">
        <f>'VAC &amp; MED'!MV217</f>
        <v>3595</v>
      </c>
      <c r="AP46" s="530">
        <f>'VAC &amp; MED'!NE217</f>
        <v>0</v>
      </c>
      <c r="AQ46" s="530">
        <f>'VAC &amp; MED'!NN217</f>
        <v>1127</v>
      </c>
      <c r="AR46" s="530">
        <f>'VAC &amp; MED'!NW217</f>
        <v>3111.9999999999995</v>
      </c>
      <c r="AS46" s="530">
        <f>'VAC &amp; MED'!OF217</f>
        <v>1680.5</v>
      </c>
      <c r="AT46" s="530">
        <f>'VAC &amp; MED'!OO217</f>
        <v>0</v>
      </c>
      <c r="AU46" s="530">
        <f>'VAC &amp; MED'!OX217</f>
        <v>1482</v>
      </c>
      <c r="AV46" s="530">
        <f>'VAC &amp; MED'!PG217</f>
        <v>0</v>
      </c>
      <c r="AW46" s="530">
        <f>'VAC &amp; MED'!PP217</f>
        <v>100</v>
      </c>
      <c r="AX46" s="530">
        <f>'VAC &amp; MED'!PY217</f>
        <v>13.960000000000036</v>
      </c>
      <c r="AY46" s="530">
        <f>'VAC &amp; MED'!QH217</f>
        <v>1736</v>
      </c>
      <c r="AZ46" s="530">
        <f>'VAC &amp; MED'!QQ217</f>
        <v>250</v>
      </c>
      <c r="BA46" s="531">
        <f>'VAC &amp; MED'!QZ217</f>
        <v>207.6</v>
      </c>
      <c r="BB46" s="531">
        <f>'VAC &amp; MED'!RI217</f>
        <v>147.04000000000002</v>
      </c>
      <c r="BC46" s="531">
        <f>'VAC &amp; MED'!RR217</f>
        <v>46.8</v>
      </c>
      <c r="BD46" s="531">
        <f>'VAC &amp; MED'!SA217</f>
        <v>0</v>
      </c>
      <c r="BE46" s="531">
        <f>'VAC &amp; MED'!SJ217</f>
        <v>24.200000000000003</v>
      </c>
      <c r="BF46" s="531">
        <f>'VAC &amp; MED'!SS217</f>
        <v>32</v>
      </c>
      <c r="BG46" s="531">
        <f>'VAC &amp; MED'!TB217</f>
        <v>0</v>
      </c>
      <c r="BH46" s="531">
        <f>'VAC &amp; MED'!TK217</f>
        <v>0</v>
      </c>
      <c r="BI46" s="531">
        <f>'VAC &amp; MED'!TT217</f>
        <v>22.400000000000006</v>
      </c>
      <c r="BJ46" s="531">
        <f>'VAC &amp; MED'!UC217</f>
        <v>46.799999999999983</v>
      </c>
      <c r="BK46" s="531">
        <f>'VAC &amp; MED'!UL217</f>
        <v>204</v>
      </c>
      <c r="BL46" s="531">
        <f>'VAC &amp; MED'!UU217</f>
        <v>251.25</v>
      </c>
      <c r="BM46" s="531">
        <f>'VAC &amp; MED'!VD217</f>
        <v>41.600000000000023</v>
      </c>
      <c r="BN46" s="531">
        <f>'VAC &amp; MED'!VM217</f>
        <v>210</v>
      </c>
      <c r="BO46" s="531">
        <f>'VAC &amp; MED'!VV217</f>
        <v>0</v>
      </c>
      <c r="BP46" s="531">
        <f>'VAC &amp; MED'!WE217</f>
        <v>0</v>
      </c>
      <c r="BQ46" s="531">
        <f>'VAC &amp; MED'!WN217</f>
        <v>1057</v>
      </c>
      <c r="BR46" s="531">
        <f>'VAC &amp; MED'!WW217</f>
        <v>0</v>
      </c>
      <c r="BS46" s="531">
        <f>'VAC &amp; MED'!XF217</f>
        <v>7507</v>
      </c>
      <c r="BT46" s="531">
        <f>'VAC &amp; MED'!XO217</f>
        <v>4252</v>
      </c>
      <c r="BU46" s="531">
        <f>'VAC &amp; MED'!XX217</f>
        <v>2179</v>
      </c>
      <c r="BV46" s="531">
        <f>'VAC &amp; MED'!YG217</f>
        <v>4019</v>
      </c>
      <c r="BW46" s="531">
        <f>'VAC &amp; MED'!YP217</f>
        <v>0</v>
      </c>
      <c r="BX46" s="531">
        <f>'VAC &amp; MED'!YY217</f>
        <v>0</v>
      </c>
      <c r="BY46" s="531">
        <f>'VAC &amp; MED'!ZH217</f>
        <v>0</v>
      </c>
      <c r="BZ46" s="531">
        <f>'VAC &amp; MED'!ZQ217</f>
        <v>0</v>
      </c>
    </row>
    <row r="47" spans="1:83" s="531" customFormat="1" outlineLevel="1">
      <c r="A47" s="536" t="s">
        <v>314</v>
      </c>
      <c r="B47" s="530">
        <f>'VAC &amp; MED'!D249</f>
        <v>786310</v>
      </c>
      <c r="C47" s="530">
        <f>'VAC &amp; MED'!M249</f>
        <v>339170</v>
      </c>
      <c r="D47" s="530">
        <f>'VAC &amp; MED'!V249</f>
        <v>80250</v>
      </c>
      <c r="E47" s="530">
        <f>'VAC &amp; MED'!AE249</f>
        <v>0</v>
      </c>
      <c r="F47" s="530">
        <f>'VAC &amp; MED'!AN249</f>
        <v>0</v>
      </c>
      <c r="G47" s="530">
        <f>'VAC &amp; MED'!AW249</f>
        <v>0</v>
      </c>
      <c r="H47" s="530">
        <f>'VAC &amp; MED'!BF249</f>
        <v>0</v>
      </c>
      <c r="I47" s="530">
        <f>'VAC &amp; MED'!BO249</f>
        <v>13602.5</v>
      </c>
      <c r="J47" s="530">
        <f>'VAC &amp; MED'!BX249</f>
        <v>6000</v>
      </c>
      <c r="K47" s="530">
        <f>'VAC &amp; MED'!CG249</f>
        <v>0</v>
      </c>
      <c r="L47" s="530">
        <f>'VAC &amp; MED'!CP249</f>
        <v>0</v>
      </c>
      <c r="M47" s="530">
        <f>'VAC &amp; MED'!CY249</f>
        <v>35201.4</v>
      </c>
      <c r="N47" s="530">
        <f>'VAC &amp; MED'!DH249</f>
        <v>0</v>
      </c>
      <c r="O47" s="530">
        <f>'VAC &amp; MED'!DQ249</f>
        <v>0</v>
      </c>
      <c r="P47" s="530">
        <f>'VAC &amp; MED'!DZ249</f>
        <v>0</v>
      </c>
      <c r="Q47" s="530">
        <f>'VAC &amp; MED'!EI249</f>
        <v>4011.58</v>
      </c>
      <c r="R47" s="530">
        <f>'VAC &amp; MED'!ER249</f>
        <v>0</v>
      </c>
      <c r="S47" s="530">
        <f>'VAC &amp; MED'!FA249</f>
        <v>0</v>
      </c>
      <c r="T47" s="530">
        <f>'VAC &amp; MED'!FJ249</f>
        <v>0</v>
      </c>
      <c r="U47" s="530">
        <f>'VAC &amp; MED'!FS249</f>
        <v>0</v>
      </c>
      <c r="V47" s="530">
        <f>'VAC &amp; MED'!GB249</f>
        <v>0</v>
      </c>
      <c r="W47" s="530">
        <f>'VAC &amp; MED'!GK249</f>
        <v>0</v>
      </c>
      <c r="X47" s="530">
        <f>'VAC &amp; MED'!GT249</f>
        <v>0</v>
      </c>
      <c r="Y47" s="530">
        <f>'VAC &amp; MED'!HC249</f>
        <v>0</v>
      </c>
      <c r="Z47" s="530">
        <f>'VAC &amp; MED'!HL249</f>
        <v>0</v>
      </c>
      <c r="AA47" s="530">
        <f>'VAC &amp; MED'!HV249</f>
        <v>0</v>
      </c>
      <c r="AB47" s="530">
        <f>'VAC &amp; MED'!IE249</f>
        <v>0</v>
      </c>
      <c r="AC47" s="530">
        <f>'VAC &amp; MED'!IN249</f>
        <v>0</v>
      </c>
      <c r="AD47" s="530">
        <f>'VAC &amp; MED'!IW249</f>
        <v>0</v>
      </c>
      <c r="AE47" s="530">
        <f>'VAC &amp; MED'!JF249</f>
        <v>0</v>
      </c>
      <c r="AF47" s="530">
        <f>'VAC &amp; MED'!JO249</f>
        <v>0</v>
      </c>
      <c r="AG47" s="530">
        <f>'VAC &amp; MED'!JX249</f>
        <v>0</v>
      </c>
      <c r="AH47" s="530">
        <f>'VAC &amp; MED'!KG249</f>
        <v>0</v>
      </c>
      <c r="AI47" s="530">
        <f>'VAC &amp; MED'!KP249</f>
        <v>0</v>
      </c>
      <c r="AJ47" s="530">
        <f>'VAC &amp; MED'!KY249</f>
        <v>0</v>
      </c>
      <c r="AK47" s="530">
        <f>'VAC &amp; MED'!LH249</f>
        <v>0</v>
      </c>
      <c r="AL47" s="530">
        <f>'VAC &amp; MED'!LQ249</f>
        <v>0</v>
      </c>
      <c r="AM47" s="530">
        <f>'VAC &amp; MED'!LZ249</f>
        <v>0</v>
      </c>
      <c r="AN47" s="530">
        <f>'VAC &amp; MED'!MI249</f>
        <v>0</v>
      </c>
      <c r="AO47" s="530">
        <f>'VAC &amp; MED'!MR249</f>
        <v>0</v>
      </c>
      <c r="AP47" s="530">
        <f>'VAC &amp; MED'!NA249</f>
        <v>12006</v>
      </c>
      <c r="AQ47" s="530">
        <f>'VAC &amp; MED'!NJ249</f>
        <v>0</v>
      </c>
      <c r="AR47" s="530">
        <f>'VAC &amp; MED'!NS249</f>
        <v>0</v>
      </c>
      <c r="AS47" s="530">
        <f>'VAC &amp; MED'!OB249</f>
        <v>0</v>
      </c>
      <c r="AT47" s="530">
        <f>'VAC &amp; MED'!OK249</f>
        <v>2089.6</v>
      </c>
      <c r="AU47" s="530">
        <f>'VAC &amp; MED'!OT249</f>
        <v>0</v>
      </c>
      <c r="AV47" s="530">
        <f>'VAC &amp; MED'!PC249</f>
        <v>0</v>
      </c>
      <c r="AW47" s="530">
        <f>'VAC &amp; MED'!PL249</f>
        <v>0</v>
      </c>
      <c r="AX47" s="530">
        <f>'VAC &amp; MED'!PU249</f>
        <v>0</v>
      </c>
      <c r="AY47" s="530">
        <f>'VAC &amp; MED'!QD249</f>
        <v>484</v>
      </c>
      <c r="AZ47" s="530">
        <f>'VAC &amp; MED'!QM249</f>
        <v>0</v>
      </c>
      <c r="BA47" s="531">
        <f>'VAC &amp; MED'!QV249</f>
        <v>0</v>
      </c>
      <c r="BB47" s="531">
        <f>'VAC &amp; MED'!RE249</f>
        <v>0</v>
      </c>
      <c r="BC47" s="531">
        <f>'VAC &amp; MED'!RN249</f>
        <v>0</v>
      </c>
      <c r="BD47" s="531">
        <f>'VAC &amp; MED'!RW249</f>
        <v>0</v>
      </c>
      <c r="BE47" s="531">
        <f>'VAC &amp; MED'!SF249</f>
        <v>0</v>
      </c>
      <c r="BF47" s="531">
        <f>'VAC &amp; MED'!SO249</f>
        <v>0</v>
      </c>
      <c r="BG47" s="531">
        <f>'VAC &amp; MED'!SX249</f>
        <v>0</v>
      </c>
      <c r="BH47" s="531">
        <f>'VAC &amp; MED'!TG249</f>
        <v>0</v>
      </c>
      <c r="BI47" s="531">
        <f>'VAC &amp; MED'!TP249</f>
        <v>0</v>
      </c>
      <c r="BJ47" s="531">
        <f>'VAC &amp; MED'!TY249</f>
        <v>0</v>
      </c>
      <c r="BK47" s="531">
        <f>'VAC &amp; MED'!UH249</f>
        <v>0</v>
      </c>
      <c r="BL47" s="531">
        <f>'VAC &amp; MED'!UQ249</f>
        <v>0</v>
      </c>
      <c r="BM47" s="531">
        <f>'VAC &amp; MED'!UZ249</f>
        <v>0</v>
      </c>
      <c r="BN47" s="531">
        <f>'VAC &amp; MED'!VI249</f>
        <v>0</v>
      </c>
      <c r="BO47" s="531">
        <f>'VAC &amp; MED'!VR249</f>
        <v>0</v>
      </c>
      <c r="BP47" s="531">
        <f>'VAC &amp; MED'!WA249</f>
        <v>0</v>
      </c>
      <c r="BQ47" s="531">
        <f>'VAC &amp; MED'!WJ249</f>
        <v>0</v>
      </c>
      <c r="BR47" s="531">
        <f>'VAC &amp; MED'!WS249</f>
        <v>0</v>
      </c>
      <c r="BS47" s="531">
        <f>'VAC &amp; MED'!XB249</f>
        <v>0</v>
      </c>
      <c r="BT47" s="531">
        <f>'VAC &amp; MED'!XK249</f>
        <v>0</v>
      </c>
      <c r="BU47" s="531">
        <f>'VAC &amp; MED'!XT249</f>
        <v>0</v>
      </c>
      <c r="BV47" s="531">
        <f>'VAC &amp; MED'!YC249</f>
        <v>0</v>
      </c>
      <c r="BW47" s="531">
        <f>'VAC &amp; MED'!YL249</f>
        <v>0</v>
      </c>
      <c r="BX47" s="531">
        <f>'VAC &amp; MED'!YU249</f>
        <v>0</v>
      </c>
      <c r="BY47" s="531">
        <f>'VAC &amp; MED'!ZD249</f>
        <v>0</v>
      </c>
      <c r="BZ47" s="531">
        <f>'VAC &amp; MED'!ZM249</f>
        <v>0</v>
      </c>
    </row>
    <row r="48" spans="1:83" s="531" customFormat="1" outlineLevel="1">
      <c r="A48" s="536" t="s">
        <v>315</v>
      </c>
      <c r="B48" s="530">
        <f>'VAC &amp; MED'!E249</f>
        <v>345123.8</v>
      </c>
      <c r="C48" s="530">
        <f>'VAC &amp; MED'!N249</f>
        <v>193692.6</v>
      </c>
      <c r="D48" s="530">
        <f>'VAC &amp; MED'!W249</f>
        <v>32980</v>
      </c>
      <c r="E48" s="530">
        <f>'VAC &amp; MED'!AF249</f>
        <v>1500</v>
      </c>
      <c r="F48" s="530">
        <f>'VAC &amp; MED'!AO249</f>
        <v>0</v>
      </c>
      <c r="G48" s="530">
        <f>'VAC &amp; MED'!AX249</f>
        <v>1826</v>
      </c>
      <c r="H48" s="530">
        <f>'VAC &amp; MED'!BG249</f>
        <v>4416</v>
      </c>
      <c r="I48" s="530">
        <f>'VAC &amp; MED'!BP249</f>
        <v>6673</v>
      </c>
      <c r="J48" s="530">
        <f>'VAC &amp; MED'!BY249</f>
        <v>3159.8300000000004</v>
      </c>
      <c r="K48" s="530">
        <f>'VAC &amp; MED'!CH249</f>
        <v>1394</v>
      </c>
      <c r="L48" s="530">
        <f>'VAC &amp; MED'!CQ249</f>
        <v>0</v>
      </c>
      <c r="M48" s="530">
        <f>'VAC &amp; MED'!CZ249</f>
        <v>7320</v>
      </c>
      <c r="N48" s="530">
        <f>'VAC &amp; MED'!DI249</f>
        <v>2650</v>
      </c>
      <c r="O48" s="530">
        <f>'VAC &amp; MED'!DR249</f>
        <v>0</v>
      </c>
      <c r="P48" s="530">
        <f>'VAC &amp; MED'!EB249</f>
        <v>0</v>
      </c>
      <c r="Q48" s="530">
        <f>'VAC &amp; MED'!EJ249</f>
        <v>0</v>
      </c>
      <c r="R48" s="530">
        <f>'VAC &amp; MED'!ES249</f>
        <v>0</v>
      </c>
      <c r="S48" s="530">
        <f>'VAC &amp; MED'!FB249</f>
        <v>0</v>
      </c>
      <c r="T48" s="530">
        <f>'VAC &amp; MED'!FK249</f>
        <v>0</v>
      </c>
      <c r="U48" s="530">
        <f>'VAC &amp; MED'!FT249</f>
        <v>320</v>
      </c>
      <c r="V48" s="530">
        <f>'VAC &amp; MED'!GC249</f>
        <v>280</v>
      </c>
      <c r="W48" s="530">
        <f>'VAC &amp; MED'!GL249</f>
        <v>0</v>
      </c>
      <c r="X48" s="530">
        <f>'VAC &amp; MED'!GU249</f>
        <v>0</v>
      </c>
      <c r="Y48" s="530">
        <f>'VAC &amp; MED'!HD249</f>
        <v>0</v>
      </c>
      <c r="Z48" s="530">
        <f>'VAC &amp; MED'!HM249</f>
        <v>0</v>
      </c>
      <c r="AA48" s="530">
        <f>'VAC &amp; MED'!HW249</f>
        <v>760</v>
      </c>
      <c r="AB48" s="530">
        <f>'VAC &amp; MED'!IF249</f>
        <v>0</v>
      </c>
      <c r="AC48" s="530">
        <f>'VAC &amp; MED'!IO249</f>
        <v>840</v>
      </c>
      <c r="AD48" s="530">
        <f>'VAC &amp; MED'!IX249</f>
        <v>0</v>
      </c>
      <c r="AE48" s="530">
        <f>'VAC &amp; MED'!JG249</f>
        <v>0</v>
      </c>
      <c r="AF48" s="530">
        <f>'VAC &amp; MED'!JP249</f>
        <v>2520</v>
      </c>
      <c r="AG48" s="530">
        <f>'VAC &amp; MED'!JY249</f>
        <v>0</v>
      </c>
      <c r="AH48" s="530">
        <f>'VAC &amp; MED'!KH249</f>
        <v>0</v>
      </c>
      <c r="AI48" s="530">
        <f>'VAC &amp; MED'!KR249</f>
        <v>0</v>
      </c>
      <c r="AJ48" s="530">
        <f>'VAC &amp; MED'!KZ249</f>
        <v>0</v>
      </c>
      <c r="AK48" s="530">
        <f>'VAC &amp; MED'!LI249</f>
        <v>0</v>
      </c>
      <c r="AL48" s="530">
        <f>'VAC &amp; MED'!LR249</f>
        <v>0</v>
      </c>
      <c r="AM48" s="530">
        <f>'VAC &amp; MED'!MA249</f>
        <v>0</v>
      </c>
      <c r="AN48" s="530">
        <f>'VAC &amp; MED'!MJ249</f>
        <v>0</v>
      </c>
      <c r="AO48" s="530">
        <f>'VAC &amp; MED'!MS249</f>
        <v>34</v>
      </c>
      <c r="AP48" s="530">
        <f>'VAC &amp; MED'!NB249</f>
        <v>618</v>
      </c>
      <c r="AQ48" s="530">
        <f>'VAC &amp; MED'!NK249</f>
        <v>0</v>
      </c>
      <c r="AR48" s="530">
        <f>'VAC &amp; MED'!NU249</f>
        <v>0</v>
      </c>
      <c r="AS48" s="530">
        <f>'VAC &amp; MED'!OC249</f>
        <v>0</v>
      </c>
      <c r="AT48" s="530">
        <f>'VAC &amp; MED'!OM249</f>
        <v>2089.6</v>
      </c>
      <c r="AU48" s="530">
        <f>'VAC &amp; MED'!OV249</f>
        <v>0</v>
      </c>
      <c r="AV48" s="530">
        <f>'VAC &amp; MED'!PE249</f>
        <v>0</v>
      </c>
      <c r="AW48" s="530">
        <f>'VAC &amp; MED'!PN249</f>
        <v>0</v>
      </c>
      <c r="AX48" s="530">
        <f>'VAC &amp; MED'!PW249</f>
        <v>0</v>
      </c>
      <c r="AY48" s="530">
        <f>'VAC &amp; MED'!QF249</f>
        <v>936</v>
      </c>
      <c r="AZ48" s="530">
        <f>'VAC &amp; MED'!QO249</f>
        <v>250</v>
      </c>
      <c r="BA48" s="531">
        <f>'VAC &amp; MED'!QX249</f>
        <v>0</v>
      </c>
      <c r="BB48" s="531">
        <f>'VAC &amp; MED'!RG249</f>
        <v>0</v>
      </c>
      <c r="BC48" s="531">
        <f>'VAC &amp; MED'!RP249</f>
        <v>0</v>
      </c>
      <c r="BD48" s="531">
        <f>'VAC &amp; MED'!RY249</f>
        <v>0</v>
      </c>
      <c r="BE48" s="531">
        <f>'VAC &amp; MED'!SH249</f>
        <v>0</v>
      </c>
      <c r="BF48" s="531">
        <f>'VAC &amp; MED'!SQ249</f>
        <v>0</v>
      </c>
      <c r="BG48" s="531">
        <f>'VAC &amp; MED'!SZ249</f>
        <v>0</v>
      </c>
      <c r="BH48" s="531">
        <f>'VAC &amp; MED'!TI249</f>
        <v>0</v>
      </c>
      <c r="BI48" s="531">
        <f>'VAC &amp; MED'!TR249</f>
        <v>12</v>
      </c>
      <c r="BJ48" s="531">
        <f>'VAC &amp; MED'!UA249</f>
        <v>0</v>
      </c>
      <c r="BK48" s="531">
        <f>'VAC &amp; MED'!UJ249</f>
        <v>0</v>
      </c>
      <c r="BL48" s="531">
        <f>'VAC &amp; MED'!US249</f>
        <v>48.75</v>
      </c>
      <c r="BM48" s="531">
        <f>'VAC &amp; MED'!VB249</f>
        <v>0</v>
      </c>
      <c r="BN48" s="531">
        <f>'VAC &amp; MED'!VK249</f>
        <v>0</v>
      </c>
      <c r="BO48" s="531">
        <f>'VAC &amp; MED'!VT249</f>
        <v>0</v>
      </c>
      <c r="BP48" s="531">
        <f>'VAC &amp; MED'!WC249</f>
        <v>0</v>
      </c>
      <c r="BQ48" s="531">
        <f>'VAC &amp; MED'!WL249</f>
        <v>0</v>
      </c>
      <c r="BR48" s="531">
        <f>'VAC &amp; MED'!WU249</f>
        <v>0</v>
      </c>
      <c r="BS48" s="531">
        <f>'VAC &amp; MED'!XD249</f>
        <v>0</v>
      </c>
      <c r="BT48" s="531">
        <f>'VAC &amp; MED'!XM249</f>
        <v>0</v>
      </c>
      <c r="BU48" s="531">
        <f>'VAC &amp; MED'!XV249</f>
        <v>0</v>
      </c>
      <c r="BV48" s="531">
        <f>'VAC &amp; MED'!YE249</f>
        <v>0</v>
      </c>
      <c r="BW48" s="531">
        <f>'VAC &amp; MED'!YN249</f>
        <v>0</v>
      </c>
      <c r="BX48" s="531">
        <f>'VAC &amp; MED'!YW249</f>
        <v>0</v>
      </c>
      <c r="BY48" s="531">
        <f>'VAC &amp; MED'!ZF249</f>
        <v>0</v>
      </c>
      <c r="BZ48" s="531">
        <f>'VAC &amp; MED'!ZO249</f>
        <v>0</v>
      </c>
    </row>
    <row r="49" spans="1:83" s="531" customFormat="1" outlineLevel="1">
      <c r="A49" s="536" t="s">
        <v>316</v>
      </c>
      <c r="B49" s="530">
        <f>'VAC &amp; MED'!G249</f>
        <v>-353844.60000000003</v>
      </c>
      <c r="C49" s="530">
        <f>'VAC &amp; MED'!P249</f>
        <v>-143959.00000000003</v>
      </c>
      <c r="D49" s="530">
        <f>'VAC &amp; MED'!Y249</f>
        <v>-37327.80000000001</v>
      </c>
      <c r="E49" s="530">
        <f>'VAC &amp; MED'!AH249</f>
        <v>-27350.5</v>
      </c>
      <c r="F49" s="530">
        <f>'VAC &amp; MED'!AQ249</f>
        <v>0</v>
      </c>
      <c r="G49" s="530">
        <f>'VAC &amp; MED'!AZ249</f>
        <v>-11995.2</v>
      </c>
      <c r="H49" s="530">
        <f>'VAC &amp; MED'!BI249</f>
        <v>-6379.8000000000011</v>
      </c>
      <c r="I49" s="530">
        <f>'VAC &amp; MED'!BR249</f>
        <v>-6929.4999999999982</v>
      </c>
      <c r="J49" s="530">
        <f>'VAC &amp; MED'!CA249</f>
        <v>-1906.4499999999998</v>
      </c>
      <c r="K49" s="530">
        <f>'VAC &amp; MED'!CJ249</f>
        <v>-8883.0799999999981</v>
      </c>
      <c r="L49" s="530">
        <f>'VAC &amp; MED'!CS249</f>
        <v>0</v>
      </c>
      <c r="M49" s="530">
        <f>'VAC &amp; MED'!DB249</f>
        <v>-8933.1</v>
      </c>
      <c r="N49" s="530">
        <f>'VAC &amp; MED'!DK249</f>
        <v>-13502.2</v>
      </c>
      <c r="O49" s="530">
        <f>'VAC &amp; MED'!DT249</f>
        <v>0</v>
      </c>
      <c r="P49" s="530"/>
      <c r="Q49" s="530">
        <f>'VAC &amp; MED'!EL249</f>
        <v>-4011.58</v>
      </c>
      <c r="R49" s="530">
        <f>'VAC &amp; MED'!EU249</f>
        <v>0</v>
      </c>
      <c r="S49" s="530">
        <f>'VAC &amp; MED'!FD249</f>
        <v>0</v>
      </c>
      <c r="T49" s="530">
        <f>'VAC &amp; MED'!FM249</f>
        <v>0</v>
      </c>
      <c r="U49" s="530">
        <f>'VAC &amp; MED'!FV249</f>
        <v>-300</v>
      </c>
      <c r="V49" s="530">
        <f>'VAC &amp; MED'!GE249</f>
        <v>280</v>
      </c>
      <c r="W49" s="530">
        <f>'VAC &amp; MED'!GN249</f>
        <v>0</v>
      </c>
      <c r="X49" s="530">
        <f>'VAC &amp; MED'!GW249</f>
        <v>0</v>
      </c>
      <c r="Y49" s="530">
        <f>'VAC &amp; MED'!HF249</f>
        <v>0</v>
      </c>
      <c r="Z49" s="530">
        <f>'VAC &amp; MED'!HO249</f>
        <v>0</v>
      </c>
      <c r="AA49" s="530">
        <f>'VAC &amp; MED'!HY249</f>
        <v>0</v>
      </c>
      <c r="AB49" s="530">
        <f>'VAC &amp; MED'!IH249</f>
        <v>0</v>
      </c>
      <c r="AC49" s="530">
        <f>'VAC &amp; MED'!IQ249</f>
        <v>-4000</v>
      </c>
      <c r="AD49" s="530">
        <f>'VAC &amp; MED'!IZ249</f>
        <v>0</v>
      </c>
      <c r="AE49" s="530">
        <f>'VAC &amp; MED'!JI249</f>
        <v>0</v>
      </c>
      <c r="AF49" s="530">
        <f>'VAC &amp; MED'!JR249</f>
        <v>2520</v>
      </c>
      <c r="AG49" s="530">
        <f>'VAC &amp; MED'!KA249</f>
        <v>0</v>
      </c>
      <c r="AH49" s="530">
        <f>'VAC &amp; MED'!KJ249</f>
        <v>0</v>
      </c>
      <c r="AI49" s="530"/>
      <c r="AJ49" s="530">
        <f>'VAC &amp; MED'!LB249</f>
        <v>0</v>
      </c>
      <c r="AK49" s="530">
        <f>'VAC &amp; MED'!LK249</f>
        <v>0</v>
      </c>
      <c r="AL49" s="530">
        <f>'VAC &amp; MED'!LT249</f>
        <v>0</v>
      </c>
      <c r="AM49" s="532"/>
      <c r="AN49" s="532"/>
      <c r="AO49" s="532"/>
      <c r="AP49" s="532"/>
      <c r="AQ49" s="532"/>
      <c r="AR49" s="532"/>
      <c r="AS49" s="532"/>
      <c r="AT49" s="532"/>
      <c r="AU49" s="532"/>
      <c r="AV49" s="532"/>
      <c r="AW49" s="532"/>
      <c r="AX49" s="532"/>
      <c r="AY49" s="532"/>
      <c r="AZ49" s="532"/>
      <c r="BA49" s="533"/>
      <c r="BB49" s="533"/>
      <c r="BC49" s="533"/>
      <c r="BD49" s="533"/>
      <c r="BE49" s="533"/>
      <c r="BF49" s="533"/>
      <c r="BG49" s="533"/>
      <c r="BH49" s="533"/>
      <c r="BI49" s="531">
        <f>'VAC &amp; MED'!TS249</f>
        <v>303</v>
      </c>
      <c r="BJ49" s="531">
        <f>'VAC &amp; MED'!UB249</f>
        <v>315</v>
      </c>
      <c r="BK49" s="531">
        <f>'VAC &amp; MED'!UK249</f>
        <v>315</v>
      </c>
      <c r="BL49" s="531">
        <f>'VAC &amp; MED'!UT249</f>
        <v>-48.75</v>
      </c>
      <c r="BM49" s="531">
        <f>'VAC &amp; MED'!VC249</f>
        <v>0</v>
      </c>
      <c r="BN49" s="531">
        <f>'VAC &amp; MED'!VL249</f>
        <v>0</v>
      </c>
      <c r="BO49" s="531">
        <f>'VAC &amp; MED'!VU249</f>
        <v>315</v>
      </c>
      <c r="BP49" s="533"/>
      <c r="BQ49" s="533"/>
      <c r="BR49" s="533"/>
      <c r="BS49" s="533"/>
      <c r="BT49" s="533"/>
      <c r="BU49" s="533"/>
      <c r="BV49" s="533"/>
      <c r="BW49" s="533"/>
      <c r="BX49" s="533"/>
      <c r="BY49" s="533"/>
      <c r="BZ49" s="533"/>
      <c r="CA49" s="533"/>
      <c r="CB49" s="533"/>
      <c r="CC49" s="533"/>
      <c r="CD49" s="533"/>
      <c r="CE49" s="533"/>
    </row>
    <row r="50" spans="1:83" s="535" customFormat="1">
      <c r="A50" s="537" t="s">
        <v>171</v>
      </c>
      <c r="B50" s="534">
        <f>'VAC &amp; MED'!H249</f>
        <v>190949.40000000002</v>
      </c>
      <c r="C50" s="534">
        <f>'VAC &amp; MED'!Q249</f>
        <v>53017.600000000071</v>
      </c>
      <c r="D50" s="534">
        <f>'VAC &amp; MED'!Z249</f>
        <v>42674.199999999968</v>
      </c>
      <c r="E50" s="534">
        <f>'VAC &amp; MED'!AI249</f>
        <v>4522.2000000000189</v>
      </c>
      <c r="F50" s="534">
        <f>'VAC &amp; MED'!AR249</f>
        <v>0</v>
      </c>
      <c r="G50" s="534">
        <f>'VAC &amp; MED'!BA249</f>
        <v>124.99999999999523</v>
      </c>
      <c r="H50" s="534">
        <f>'VAC &amp; MED'!BJ249</f>
        <v>26151.899999999998</v>
      </c>
      <c r="I50" s="534">
        <f>'VAC &amp; MED'!BS249</f>
        <v>0</v>
      </c>
      <c r="J50" s="534">
        <f>'VAC &amp; MED'!CB249</f>
        <v>3322.4999999999986</v>
      </c>
      <c r="K50" s="534">
        <f>'VAC &amp; MED'!CK249</f>
        <v>-10277.079999999998</v>
      </c>
      <c r="L50" s="534">
        <f>'VAC &amp; MED'!CT249</f>
        <v>0</v>
      </c>
      <c r="M50" s="534">
        <f>'VAC &amp; MED'!DC249</f>
        <v>27438.200000000012</v>
      </c>
      <c r="N50" s="534">
        <f>'VAC &amp; MED'!DL249</f>
        <v>18782.299999999981</v>
      </c>
      <c r="O50" s="534">
        <f>'VAC &amp; MED'!DU249</f>
        <v>5800</v>
      </c>
      <c r="P50" s="534">
        <f>'VAC &amp; MED'!ED249</f>
        <v>0</v>
      </c>
      <c r="Q50" s="534">
        <f>'VAC &amp; MED'!EM249</f>
        <v>0</v>
      </c>
      <c r="R50" s="534">
        <f>'VAC &amp; MED'!EV249</f>
        <v>0</v>
      </c>
      <c r="S50" s="534">
        <f>'VAC &amp; MED'!FE249</f>
        <v>0</v>
      </c>
      <c r="T50" s="534">
        <f>'VAC &amp; MED'!FN249</f>
        <v>0</v>
      </c>
      <c r="U50" s="534">
        <f>'VAC &amp; MED'!FW249</f>
        <v>540</v>
      </c>
      <c r="V50" s="534">
        <f>'VAC &amp; MED'!GF249</f>
        <v>960</v>
      </c>
      <c r="W50" s="534">
        <f>'VAC &amp; MED'!GO249</f>
        <v>1760</v>
      </c>
      <c r="X50" s="534">
        <f>'VAC &amp; MED'!GX249</f>
        <v>400</v>
      </c>
      <c r="Y50" s="534">
        <f>'VAC &amp; MED'!HG249</f>
        <v>3600</v>
      </c>
      <c r="Z50" s="534">
        <f>'VAC &amp; MED'!HP249</f>
        <v>0</v>
      </c>
      <c r="AA50" s="534">
        <f>'VAC &amp; MED'!HZ249</f>
        <v>5920</v>
      </c>
      <c r="AB50" s="534">
        <f>'VAC &amp; MED'!II249</f>
        <v>720</v>
      </c>
      <c r="AC50" s="534">
        <f>'VAC &amp; MED'!IR249</f>
        <v>1680</v>
      </c>
      <c r="AD50" s="534">
        <f>'VAC &amp; MED'!JA249</f>
        <v>4960</v>
      </c>
      <c r="AE50" s="534">
        <f>'VAC &amp; MED'!JJ249</f>
        <v>0</v>
      </c>
      <c r="AF50" s="534">
        <f>'VAC &amp; MED'!JS249</f>
        <v>0</v>
      </c>
      <c r="AG50" s="534">
        <f>'VAC &amp; MED'!KB249</f>
        <v>2540</v>
      </c>
      <c r="AH50" s="534">
        <f>'VAC &amp; MED'!KK249</f>
        <v>2359.5</v>
      </c>
      <c r="AI50" s="534">
        <f>'VAC &amp; MED'!KT249</f>
        <v>1890</v>
      </c>
      <c r="AJ50" s="534">
        <f>'VAC &amp; MED'!LC249</f>
        <v>3690</v>
      </c>
      <c r="AK50" s="534">
        <f>'VAC &amp; MED'!LL249</f>
        <v>4000</v>
      </c>
      <c r="AL50" s="534">
        <f>'VAC &amp; MED'!LU249</f>
        <v>0</v>
      </c>
      <c r="AM50" s="534">
        <f>'VAC &amp; MED'!MD249</f>
        <v>0</v>
      </c>
      <c r="AN50" s="534">
        <f>'VAC &amp; MED'!MM249</f>
        <v>0</v>
      </c>
      <c r="AO50" s="534">
        <f>'VAC &amp; MED'!MV249</f>
        <v>2216</v>
      </c>
      <c r="AP50" s="534">
        <f>'VAC &amp; MED'!NE249</f>
        <v>0</v>
      </c>
      <c r="AQ50" s="534">
        <f>'VAC &amp; MED'!NN249</f>
        <v>1127</v>
      </c>
      <c r="AR50" s="534">
        <f>'VAC &amp; MED'!NW249</f>
        <v>3111.9999999999995</v>
      </c>
      <c r="AS50" s="534">
        <f>'VAC &amp; MED'!OF249</f>
        <v>1680.5</v>
      </c>
      <c r="AT50" s="534">
        <f>'VAC &amp; MED'!OO249</f>
        <v>0</v>
      </c>
      <c r="AU50" s="534">
        <f>'VAC &amp; MED'!OX249</f>
        <v>1482</v>
      </c>
      <c r="AV50" s="534">
        <f>'VAC &amp; MED'!PG249</f>
        <v>0</v>
      </c>
      <c r="AW50" s="534">
        <f>'VAC &amp; MED'!PP249</f>
        <v>100</v>
      </c>
      <c r="AX50" s="534">
        <f>'VAC &amp; MED'!PY249</f>
        <v>13.960000000000036</v>
      </c>
      <c r="AY50" s="534">
        <f>'VAC &amp; MED'!QH249</f>
        <v>1284</v>
      </c>
      <c r="AZ50" s="534">
        <f>'VAC &amp; MED'!QQ249</f>
        <v>0</v>
      </c>
      <c r="BA50" s="535">
        <f>'VAC &amp; MED'!QZ249</f>
        <v>207.6</v>
      </c>
      <c r="BB50" s="535">
        <f>'VAC &amp; MED'!RI249</f>
        <v>147.04000000000002</v>
      </c>
      <c r="BC50" s="535">
        <f>'VAC &amp; MED'!RR249</f>
        <v>46.8</v>
      </c>
      <c r="BD50" s="535">
        <f>'VAC &amp; MED'!SA249</f>
        <v>0</v>
      </c>
      <c r="BE50" s="535">
        <f>'VAC &amp; MED'!SJ249</f>
        <v>24.200000000000003</v>
      </c>
      <c r="BF50" s="535">
        <f>'VAC &amp; MED'!SS249</f>
        <v>32</v>
      </c>
      <c r="BG50" s="535">
        <f>'VAC &amp; MED'!TB249</f>
        <v>0</v>
      </c>
      <c r="BH50" s="535">
        <f>'VAC &amp; MED'!TK249</f>
        <v>0</v>
      </c>
      <c r="BI50" s="535">
        <f>'VAC &amp; MED'!TT249</f>
        <v>10.400000000000006</v>
      </c>
      <c r="BJ50" s="535">
        <f>'VAC &amp; MED'!UC249</f>
        <v>46.799999999999983</v>
      </c>
      <c r="BK50" s="535">
        <f>'VAC &amp; MED'!UL249</f>
        <v>204</v>
      </c>
      <c r="BL50" s="535">
        <f>'VAC &amp; MED'!UU249</f>
        <v>202.5</v>
      </c>
      <c r="BM50" s="535">
        <f>'VAC &amp; MED'!VD249</f>
        <v>41.600000000000023</v>
      </c>
      <c r="BN50" s="535">
        <f>'VAC &amp; MED'!VM249</f>
        <v>210</v>
      </c>
      <c r="BO50" s="535">
        <f>'VAC &amp; MED'!VV249</f>
        <v>0</v>
      </c>
      <c r="BP50" s="535">
        <f>'VAC &amp; MED'!WE249</f>
        <v>0</v>
      </c>
      <c r="BQ50" s="535">
        <f>'VAC &amp; MED'!WN249</f>
        <v>1057</v>
      </c>
      <c r="BR50" s="535">
        <f>'VAC &amp; MED'!WW249</f>
        <v>0</v>
      </c>
      <c r="BS50" s="535">
        <f>'VAC &amp; MED'!XF249</f>
        <v>7507</v>
      </c>
      <c r="BT50" s="535">
        <f>'VAC &amp; MED'!XO249</f>
        <v>4252</v>
      </c>
      <c r="BU50" s="535">
        <f>'VAC &amp; MED'!XX249</f>
        <v>2179</v>
      </c>
      <c r="BV50" s="535">
        <f>'VAC &amp; MED'!YG249</f>
        <v>4019</v>
      </c>
      <c r="BW50" s="535">
        <f>'VAC &amp; MED'!YP249</f>
        <v>0</v>
      </c>
      <c r="BX50" s="535">
        <f>'VAC &amp; MED'!YY249</f>
        <v>0</v>
      </c>
      <c r="BY50" s="535">
        <f>'VAC &amp; MED'!ZH249</f>
        <v>0</v>
      </c>
      <c r="BZ50" s="535">
        <f>'VAC &amp; MED'!ZQ249</f>
        <v>0</v>
      </c>
    </row>
    <row r="51" spans="1:83" s="2" customFormat="1" ht="16.149999999999999" thickBot="1">
      <c r="A51" s="537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spans="1:83" s="2" customFormat="1" ht="47.45" thickBot="1">
      <c r="A52" s="539" t="s">
        <v>299</v>
      </c>
      <c r="B52" s="215" t="str">
        <f>PRODUCE!$EA$7</f>
        <v>MAIZE/CORN</v>
      </c>
      <c r="C52" s="216" t="str">
        <f>PRODUCE!$EA$8</f>
        <v>SOYBEAN MEAL (ARG)</v>
      </c>
      <c r="D52" s="217" t="str">
        <f>PRODUCE!$EA$9</f>
        <v>SOYBEAN FULL FAT</v>
      </c>
      <c r="E52" s="218" t="str">
        <f>PRODUCE!$EA$10</f>
        <v>WHEAT POLLARD</v>
      </c>
      <c r="F52" s="219" t="str">
        <f>PRODUCE!$EA$11</f>
        <v>WHEAT</v>
      </c>
      <c r="G52" s="220" t="str">
        <f>PRODUCE!$EA$12</f>
        <v>MEAT AND BONE MEAL</v>
      </c>
      <c r="H52" s="221" t="str">
        <f>PRODUCE!$EA$13</f>
        <v>CORN GLUTEN MEAL</v>
      </c>
      <c r="I52" s="222" t="str">
        <f>PRODUCE!$EA$14</f>
        <v>MEGAFAT (HARUMI)</v>
      </c>
      <c r="J52" s="223" t="str">
        <f>PRODUCE!$EA$15</f>
        <v>DCP 18%</v>
      </c>
      <c r="K52" s="224" t="str">
        <f>PRODUCE!$EA$16</f>
        <v>LIMESTONE POWDER (HARUMI)</v>
      </c>
      <c r="L52" s="225" t="str">
        <f>PRODUCE!$EA$17</f>
        <v>CHOLINE CHLORIDE 60%</v>
      </c>
      <c r="M52" s="226" t="str">
        <f>PRODUCE!$EA$18</f>
        <v>INDUSTRY FLOUR</v>
      </c>
      <c r="N52" s="227" t="str">
        <f>PRODUCE!$EA$19</f>
        <v>RICE BRAN</v>
      </c>
      <c r="O52" s="228" t="str">
        <f>PRODUCE!$EA$20</f>
        <v>EP 200</v>
      </c>
      <c r="P52" s="229" t="str">
        <f>PRODUCE!$EA$21</f>
        <v>SOYTIDE</v>
      </c>
      <c r="Q52" s="230" t="str">
        <f>PRODUCE!$EA$22</f>
        <v>DCP 18% (HARUMI)</v>
      </c>
      <c r="R52" s="231">
        <f>PRODUCE!$EA$23</f>
        <v>1</v>
      </c>
      <c r="S52" s="232">
        <f>PRODUCE!$EA$24</f>
        <v>2</v>
      </c>
      <c r="T52" s="233">
        <f>PRODUCE!$EA$25</f>
        <v>3</v>
      </c>
      <c r="U52" s="234" t="str">
        <f>PRODUCE!$EA$26</f>
        <v>PREMIX 1101 (20KG)</v>
      </c>
      <c r="V52" s="235" t="str">
        <f>PRODUCE!$EA$27</f>
        <v>PREMIX 1102 (20KG)</v>
      </c>
      <c r="W52" s="236" t="str">
        <f>PRODUCE!$EA$28</f>
        <v>PREMIX 1103 (20KG)</v>
      </c>
      <c r="X52" s="237" t="str">
        <f>PRODUCE!$EA$29</f>
        <v>PREMIX 311 (20KG)</v>
      </c>
      <c r="Y52" s="238" t="str">
        <f>PRODUCE!$EA$30</f>
        <v>PREMIX 312 (20KG)</v>
      </c>
      <c r="Z52" s="239">
        <f>PRODUCE!$EA$31</f>
        <v>1</v>
      </c>
      <c r="AA52" s="240" t="str">
        <f>PRODUCE!$EA$32</f>
        <v>PREMIX 8100 (20KG)</v>
      </c>
      <c r="AB52" s="240" t="str">
        <f>PRODUCE!$EA$33</f>
        <v>PREMIX 8101 (20KG)</v>
      </c>
      <c r="AC52" s="240" t="str">
        <f>PRODUCE!$EA$34</f>
        <v>PREMIX 8102 (20KG)</v>
      </c>
      <c r="AD52" s="240" t="str">
        <f>PRODUCE!$EA$35</f>
        <v>PREMIX 8103 (20KG)</v>
      </c>
      <c r="AE52" s="240" t="str">
        <f>PRODUCE!$EA$36</f>
        <v>PREMIX 8108 (20KG)</v>
      </c>
      <c r="AF52" s="240" t="str">
        <f>PRODUCE!$EA$37</f>
        <v>PREMIX 8109 (20KG)</v>
      </c>
      <c r="AG52" s="240" t="str">
        <f>PRODUCE!$EA$38</f>
        <v>YENMIX 121 (20KG)</v>
      </c>
      <c r="AH52" s="240" t="str">
        <f>PRODUCE!$EA$39</f>
        <v>YENMIX 122 (19.50KG)</v>
      </c>
      <c r="AI52" s="240" t="str">
        <f>PRODUCE!$EA$40</f>
        <v>YENMIX 123 (18.90KG)</v>
      </c>
      <c r="AJ52" s="240" t="str">
        <f>PRODUCE!$EA$41</f>
        <v>YENMIX 122 (20.50KG)</v>
      </c>
      <c r="AK52" s="240" t="str">
        <f>PRODUCE!$EA$42</f>
        <v>YENMIX 123 (20.00KG)</v>
      </c>
      <c r="AL52" s="240">
        <f>PRODUCE!$EA$43</f>
        <v>1</v>
      </c>
      <c r="AM52" s="240">
        <f>PRODUCE!$EA$44</f>
        <v>2</v>
      </c>
      <c r="AN52" s="240">
        <f>PRODUCE!$EA$45</f>
        <v>3</v>
      </c>
      <c r="AO52" s="240" t="str">
        <f>PRODUCE!$EA$46</f>
        <v>TOXISORB PREMIUM</v>
      </c>
      <c r="AP52" s="240" t="str">
        <f>PRODUCE!$EA$47</f>
        <v>SODIUM HUMATE 3.8% (HARUMI)</v>
      </c>
      <c r="AQ52" s="240" t="str">
        <f>PRODUCE!$EA$48</f>
        <v>TOXIWALL</v>
      </c>
      <c r="AR52" s="240" t="str">
        <f>PRODUCE!$EA$49</f>
        <v>SODIUM BICARBONATE</v>
      </c>
      <c r="AS52" s="240" t="str">
        <f>PRODUCE!$EA$50</f>
        <v>BMD 10%</v>
      </c>
      <c r="AT52" s="240" t="str">
        <f>PRODUCE!$EA$51</f>
        <v>SALT (HARUMI)</v>
      </c>
      <c r="AU52" s="240" t="str">
        <f>PRODUCE!$EA$52</f>
        <v>VISTABET 91</v>
      </c>
      <c r="AV52" s="240" t="str">
        <f>PRODUCE!$EA$53</f>
        <v>BETAFIN</v>
      </c>
      <c r="AW52" s="240" t="str">
        <f>PRODUCE!$EA$54</f>
        <v>8101 TOP UP</v>
      </c>
      <c r="AX52" s="240" t="str">
        <f>PRODUCE!$EA$55</f>
        <v>NORPONIN X03 (8102 TOP UP)</v>
      </c>
      <c r="AY52" s="240" t="str">
        <f>PRODUCE!$EA$56</f>
        <v>8102 TOP UP (4KG)</v>
      </c>
      <c r="AZ52" s="240" t="str">
        <f>PRODUCE!$EA$57</f>
        <v>8103 TOP UP (5KG)</v>
      </c>
      <c r="BA52" s="240" t="str">
        <f>PRODUCE!$EA$58</f>
        <v>L-ARGININE</v>
      </c>
      <c r="BB52" s="240" t="str">
        <f>PRODUCE!$EA$59</f>
        <v>DL-METHIONINE</v>
      </c>
      <c r="BC52" s="240" t="str">
        <f>PRODUCE!$EA$60</f>
        <v>L-THREONINE</v>
      </c>
      <c r="BD52" s="240" t="str">
        <f>PRODUCE!$EA$61</f>
        <v>L-LYSINE</v>
      </c>
      <c r="BE52" s="240" t="str">
        <f>PRODUCE!$EA$62</f>
        <v>FAECES DRY</v>
      </c>
      <c r="BF52" s="240" t="str">
        <f>PRODUCE!$EA$63</f>
        <v>ECOBIOL</v>
      </c>
      <c r="BG52" s="240" t="str">
        <f>PRODUCE!$EA$64</f>
        <v>ADDITIVE BROILER IMMUNE</v>
      </c>
      <c r="BH52" s="240" t="str">
        <f>PRODUCE!$EA$65</f>
        <v>MASTER CUBE (HARUMI)</v>
      </c>
      <c r="BI52" s="240" t="str">
        <f>PRODUCE!$EA$66</f>
        <v>1101 TOP UP (0.40KG)</v>
      </c>
      <c r="BJ52" s="240" t="str">
        <f>PRODUCE!$EA$67</f>
        <v>1102 TOP UP (0.60KG)</v>
      </c>
      <c r="BK52" s="240" t="str">
        <f>PRODUCE!$EA$68</f>
        <v>1103 TOP UP (2.00KG)</v>
      </c>
      <c r="BL52" s="240" t="str">
        <f>PRODUCE!$EA$69</f>
        <v>QUANTUM GLO 4%</v>
      </c>
      <c r="BM52" s="240" t="str">
        <f>PRODUCE!$EA$70</f>
        <v>SALT</v>
      </c>
      <c r="BN52" s="240" t="str">
        <f>PRODUCE!$EA$71</f>
        <v>OC 200 - OXYTET 20%</v>
      </c>
      <c r="BO52" s="240">
        <f>PRODUCE!$EA$72</f>
        <v>3</v>
      </c>
      <c r="BP52" s="387">
        <f>PRODUCE!$EA$73</f>
        <v>4</v>
      </c>
      <c r="BQ52" s="392" t="str">
        <f>PRODUCE!$EA$74</f>
        <v>WOVEN BAG (1101) - BLUE 50KG</v>
      </c>
      <c r="BR52" s="391" t="str">
        <f>PRODUCE!$EA$75</f>
        <v>WOVEN BAG (1102) - GREEN 50KG</v>
      </c>
      <c r="BS52" s="388" t="str">
        <f>PRODUCE!$EA$76</f>
        <v>WOVEN BAG (1103) - RED 50KG</v>
      </c>
      <c r="BT52" s="389" t="str">
        <f>PRODUCE!$EA$77</f>
        <v>PLAIN BAG 26" X 39" (50KG)</v>
      </c>
      <c r="BU52" s="350" t="str">
        <f>PRODUCE!$EA$78</f>
        <v>WOVEN BAG (8101) - KHAKI 50KG</v>
      </c>
      <c r="BV52" s="390" t="str">
        <f>PRODUCE!$EA$79</f>
        <v>WOVEN BAG (8102) - SKY BLUE 50KG</v>
      </c>
      <c r="BW52" s="240" t="str">
        <f>PRODUCE!$EA$80</f>
        <v>WOVEN BAG (8103) - BROWN 50KG</v>
      </c>
      <c r="BX52" s="240">
        <f>PRODUCE!$EA$81</f>
        <v>1</v>
      </c>
      <c r="BY52" s="240">
        <f>PRODUCE!$EA$82</f>
        <v>2</v>
      </c>
      <c r="BZ52" s="240">
        <f>PRODUCE!$EA$83</f>
        <v>3</v>
      </c>
      <c r="CA52" s="240">
        <f>PRODUCE!$EA$84</f>
        <v>4</v>
      </c>
      <c r="CB52" s="240">
        <f>PRODUCE!$EA$85</f>
        <v>5</v>
      </c>
      <c r="CC52" s="240">
        <f>PRODUCE!$EA$86</f>
        <v>6</v>
      </c>
      <c r="CD52" s="240">
        <f>PRODUCE!$EA$87</f>
        <v>7</v>
      </c>
      <c r="CE52" s="240">
        <f>PRODUCE!$EA$88</f>
        <v>8</v>
      </c>
    </row>
    <row r="53" spans="1:83" s="531" customFormat="1" outlineLevel="1">
      <c r="A53" s="536" t="s">
        <v>313</v>
      </c>
      <c r="B53" s="530">
        <f>'VAC &amp; MED'!H253</f>
        <v>190949.40000000002</v>
      </c>
      <c r="C53" s="530">
        <f>'VAC &amp; MED'!Q253</f>
        <v>53017.600000000071</v>
      </c>
      <c r="D53" s="530">
        <f>'VAC &amp; MED'!Z253</f>
        <v>42674.199999999968</v>
      </c>
      <c r="E53" s="530">
        <f>'VAC &amp; MED'!AI253</f>
        <v>4522.2000000000189</v>
      </c>
      <c r="F53" s="530">
        <f>'VAC &amp; MED'!AR253</f>
        <v>0</v>
      </c>
      <c r="G53" s="530">
        <f>'VAC &amp; MED'!BA253</f>
        <v>124.99999999999523</v>
      </c>
      <c r="H53" s="530">
        <f>'VAC &amp; MED'!BJ253</f>
        <v>26151.899999999998</v>
      </c>
      <c r="I53" s="530">
        <f>'VAC &amp; MED'!BS253</f>
        <v>0</v>
      </c>
      <c r="J53" s="530">
        <f>'VAC &amp; MED'!CB253</f>
        <v>3322.4999999999986</v>
      </c>
      <c r="K53" s="530">
        <f>'VAC &amp; MED'!CK253</f>
        <v>-10277.079999999998</v>
      </c>
      <c r="L53" s="530">
        <f>'VAC &amp; MED'!CT253</f>
        <v>0</v>
      </c>
      <c r="M53" s="530">
        <f>'VAC &amp; MED'!DC253</f>
        <v>27438.200000000012</v>
      </c>
      <c r="N53" s="530">
        <f>'VAC &amp; MED'!DL253</f>
        <v>18782.299999999981</v>
      </c>
      <c r="O53" s="530">
        <f>'VAC &amp; MED'!DU253</f>
        <v>5800</v>
      </c>
      <c r="P53" s="530">
        <f>'VAC &amp; MED'!ED253</f>
        <v>0</v>
      </c>
      <c r="Q53" s="530">
        <f>'VAC &amp; MED'!EM253</f>
        <v>0</v>
      </c>
      <c r="R53" s="530">
        <f>'VAC &amp; MED'!EV253</f>
        <v>0</v>
      </c>
      <c r="S53" s="530">
        <f>'VAC &amp; MED'!FE253</f>
        <v>0</v>
      </c>
      <c r="T53" s="530">
        <f>'VAC &amp; MED'!FN253</f>
        <v>0</v>
      </c>
      <c r="U53" s="530">
        <f>'VAC &amp; MED'!FW253</f>
        <v>540</v>
      </c>
      <c r="V53" s="530">
        <f>'VAC &amp; MED'!GF253</f>
        <v>960</v>
      </c>
      <c r="W53" s="530">
        <f>'VAC &amp; MED'!GO253</f>
        <v>1760</v>
      </c>
      <c r="X53" s="530">
        <f>'VAC &amp; MED'!GX253</f>
        <v>400</v>
      </c>
      <c r="Y53" s="530">
        <f>'VAC &amp; MED'!HG253</f>
        <v>3600</v>
      </c>
      <c r="Z53" s="530">
        <f>'VAC &amp; MED'!HP253</f>
        <v>0</v>
      </c>
      <c r="AA53" s="530">
        <f>'VAC &amp; MED'!HZ253</f>
        <v>5920</v>
      </c>
      <c r="AB53" s="530">
        <f>'VAC &amp; MED'!II253</f>
        <v>720</v>
      </c>
      <c r="AC53" s="530">
        <f>'VAC &amp; MED'!IR253</f>
        <v>1680</v>
      </c>
      <c r="AD53" s="530">
        <f>'VAC &amp; MED'!JA253</f>
        <v>4960</v>
      </c>
      <c r="AE53" s="530">
        <f>'VAC &amp; MED'!JJ253</f>
        <v>0</v>
      </c>
      <c r="AF53" s="530">
        <f>'VAC &amp; MED'!JS253</f>
        <v>0</v>
      </c>
      <c r="AG53" s="530">
        <f>'VAC &amp; MED'!KB253</f>
        <v>2540</v>
      </c>
      <c r="AH53" s="530">
        <f>'VAC &amp; MED'!KK253</f>
        <v>2359.5</v>
      </c>
      <c r="AI53" s="530">
        <f>'VAC &amp; MED'!KT253</f>
        <v>1890</v>
      </c>
      <c r="AJ53" s="530">
        <f>'VAC &amp; MED'!LC253</f>
        <v>3690</v>
      </c>
      <c r="AK53" s="530">
        <f>'VAC &amp; MED'!LL253</f>
        <v>4000</v>
      </c>
      <c r="AL53" s="530">
        <f>'VAC &amp; MED'!LU253</f>
        <v>0</v>
      </c>
      <c r="AM53" s="530">
        <f>'VAC &amp; MED'!MD253</f>
        <v>0</v>
      </c>
      <c r="AN53" s="530">
        <f>'VAC &amp; MED'!MM253</f>
        <v>0</v>
      </c>
      <c r="AO53" s="530">
        <f>'VAC &amp; MED'!MV253</f>
        <v>2216</v>
      </c>
      <c r="AP53" s="530">
        <f>'VAC &amp; MED'!NE253</f>
        <v>0</v>
      </c>
      <c r="AQ53" s="530">
        <f>'VAC &amp; MED'!NN253</f>
        <v>1127</v>
      </c>
      <c r="AR53" s="530">
        <f>'VAC &amp; MED'!NW253</f>
        <v>3111.9999999999995</v>
      </c>
      <c r="AS53" s="530">
        <f>'VAC &amp; MED'!OF253</f>
        <v>1680.5</v>
      </c>
      <c r="AT53" s="530">
        <f>'VAC &amp; MED'!OO253</f>
        <v>0</v>
      </c>
      <c r="AU53" s="530">
        <f>'VAC &amp; MED'!OX253</f>
        <v>1482</v>
      </c>
      <c r="AV53" s="530">
        <f>'VAC &amp; MED'!PG253</f>
        <v>0</v>
      </c>
      <c r="AW53" s="530">
        <f>'VAC &amp; MED'!PP253</f>
        <v>100</v>
      </c>
      <c r="AX53" s="530">
        <f>'VAC &amp; MED'!PY253</f>
        <v>13.960000000000036</v>
      </c>
      <c r="AY53" s="530">
        <f>'VAC &amp; MED'!QH253</f>
        <v>1284</v>
      </c>
      <c r="AZ53" s="530">
        <f>'VAC &amp; MED'!QQ253</f>
        <v>0</v>
      </c>
      <c r="BA53" s="531">
        <f>'VAC &amp; MED'!QZ253</f>
        <v>207.6</v>
      </c>
      <c r="BB53" s="531">
        <f>'VAC &amp; MED'!RI253</f>
        <v>147.04000000000002</v>
      </c>
      <c r="BC53" s="531">
        <f>'VAC &amp; MED'!RR253</f>
        <v>46.8</v>
      </c>
      <c r="BD53" s="531">
        <f>'VAC &amp; MED'!SA253</f>
        <v>0</v>
      </c>
      <c r="BE53" s="531">
        <f>'VAC &amp; MED'!SJ253</f>
        <v>24.200000000000003</v>
      </c>
      <c r="BF53" s="531">
        <f>'VAC &amp; MED'!SS253</f>
        <v>32</v>
      </c>
      <c r="BG53" s="531">
        <f>'VAC &amp; MED'!TB253</f>
        <v>0</v>
      </c>
      <c r="BH53" s="531">
        <f>'VAC &amp; MED'!TK253</f>
        <v>0</v>
      </c>
      <c r="BI53" s="531">
        <f>'VAC &amp; MED'!TT253</f>
        <v>10.400000000000006</v>
      </c>
      <c r="BJ53" s="531">
        <f>'VAC &amp; MED'!UC253</f>
        <v>46.799999999999983</v>
      </c>
      <c r="BK53" s="531">
        <f>'VAC &amp; MED'!UL253</f>
        <v>204</v>
      </c>
      <c r="BL53" s="531">
        <f>'VAC &amp; MED'!UU253</f>
        <v>202.5</v>
      </c>
      <c r="BM53" s="531">
        <f>'VAC &amp; MED'!VD253</f>
        <v>41.600000000000023</v>
      </c>
      <c r="BN53" s="531">
        <f>'VAC &amp; MED'!VM253</f>
        <v>210</v>
      </c>
      <c r="BO53" s="531">
        <f>'VAC &amp; MED'!VV253</f>
        <v>0</v>
      </c>
      <c r="BP53" s="531">
        <f>'VAC &amp; MED'!WE253</f>
        <v>0</v>
      </c>
      <c r="BQ53" s="531">
        <f>'VAC &amp; MED'!WN253</f>
        <v>1057</v>
      </c>
      <c r="BR53" s="531">
        <f>'VAC &amp; MED'!WW253</f>
        <v>0</v>
      </c>
      <c r="BS53" s="531">
        <f>'VAC &amp; MED'!XF253</f>
        <v>7507</v>
      </c>
      <c r="BT53" s="531">
        <f>'VAC &amp; MED'!XO253</f>
        <v>4252</v>
      </c>
      <c r="BU53" s="531">
        <f>'VAC &amp; MED'!XX253</f>
        <v>2179</v>
      </c>
      <c r="BV53" s="531">
        <f>'VAC &amp; MED'!YG253</f>
        <v>4019</v>
      </c>
      <c r="BW53" s="531">
        <f>'VAC &amp; MED'!YP253</f>
        <v>0</v>
      </c>
      <c r="BX53" s="531">
        <f>'VAC &amp; MED'!YY253</f>
        <v>0</v>
      </c>
      <c r="BY53" s="531">
        <f>'VAC &amp; MED'!ZH253</f>
        <v>0</v>
      </c>
      <c r="BZ53" s="531">
        <f>'VAC &amp; MED'!ZQ253</f>
        <v>0</v>
      </c>
    </row>
    <row r="54" spans="1:83" s="531" customFormat="1" outlineLevel="1">
      <c r="A54" s="536" t="s">
        <v>314</v>
      </c>
      <c r="B54" s="530">
        <f>'VAC &amp; MED'!D285</f>
        <v>98452</v>
      </c>
      <c r="C54" s="530">
        <f>'VAC &amp; MED'!M285</f>
        <v>0</v>
      </c>
      <c r="D54" s="530">
        <f>'VAC &amp; MED'!V285</f>
        <v>0</v>
      </c>
      <c r="E54" s="530">
        <f>'VAC &amp; MED'!AE285</f>
        <v>0</v>
      </c>
      <c r="F54" s="530">
        <f>'VAC &amp; MED'!AN285</f>
        <v>0</v>
      </c>
      <c r="G54" s="530">
        <f>'VAC &amp; MED'!AW285</f>
        <v>0</v>
      </c>
      <c r="H54" s="530">
        <f>'VAC &amp; MED'!BF285</f>
        <v>0</v>
      </c>
      <c r="I54" s="530">
        <f>'VAC &amp; MED'!BO285</f>
        <v>0</v>
      </c>
      <c r="J54" s="530">
        <f>'VAC &amp; MED'!BX285</f>
        <v>0</v>
      </c>
      <c r="K54" s="530">
        <f>'VAC &amp; MED'!CG285</f>
        <v>0</v>
      </c>
      <c r="L54" s="530">
        <f>'VAC &amp; MED'!CP285</f>
        <v>0</v>
      </c>
      <c r="M54" s="530">
        <f>'VAC &amp; MED'!CY285</f>
        <v>0</v>
      </c>
      <c r="N54" s="530">
        <f>'VAC &amp; MED'!DH285</f>
        <v>0</v>
      </c>
      <c r="O54" s="530">
        <f>'VAC &amp; MED'!DQ285</f>
        <v>0</v>
      </c>
      <c r="P54" s="530">
        <f>'VAC &amp; MED'!DZ285</f>
        <v>0</v>
      </c>
      <c r="Q54" s="530">
        <f>'VAC &amp; MED'!EI285</f>
        <v>0</v>
      </c>
      <c r="R54" s="530">
        <f>'VAC &amp; MED'!ER285</f>
        <v>0</v>
      </c>
      <c r="S54" s="530">
        <f>'VAC &amp; MED'!FA285</f>
        <v>0</v>
      </c>
      <c r="T54" s="530">
        <f>'VAC &amp; MED'!FJ285</f>
        <v>0</v>
      </c>
      <c r="U54" s="530">
        <f>'VAC &amp; MED'!FS285</f>
        <v>2000</v>
      </c>
      <c r="V54" s="530">
        <f>'VAC &amp; MED'!GB285</f>
        <v>0</v>
      </c>
      <c r="W54" s="530">
        <f>'VAC &amp; MED'!GK285</f>
        <v>0</v>
      </c>
      <c r="X54" s="530">
        <f>'VAC &amp; MED'!GT285</f>
        <v>0</v>
      </c>
      <c r="Y54" s="530">
        <f>'VAC &amp; MED'!HC285</f>
        <v>0</v>
      </c>
      <c r="Z54" s="530">
        <f>'VAC &amp; MED'!HL285</f>
        <v>0</v>
      </c>
      <c r="AA54" s="530">
        <f>'VAC &amp; MED'!HV285</f>
        <v>2000</v>
      </c>
      <c r="AB54" s="530">
        <f>'VAC &amp; MED'!IE285</f>
        <v>0</v>
      </c>
      <c r="AC54" s="530">
        <f>'VAC &amp; MED'!IN285</f>
        <v>0</v>
      </c>
      <c r="AD54" s="530">
        <f>'VAC &amp; MED'!IW285</f>
        <v>0</v>
      </c>
      <c r="AE54" s="530">
        <f>'VAC &amp; MED'!JF285</f>
        <v>0</v>
      </c>
      <c r="AF54" s="530">
        <f>'VAC &amp; MED'!JO285</f>
        <v>0</v>
      </c>
      <c r="AG54" s="530">
        <f>'VAC &amp; MED'!JX285</f>
        <v>0</v>
      </c>
      <c r="AH54" s="530">
        <f>'VAC &amp; MED'!KG285</f>
        <v>0</v>
      </c>
      <c r="AI54" s="530">
        <f>'VAC &amp; MED'!KP285</f>
        <v>0</v>
      </c>
      <c r="AJ54" s="530">
        <f>'VAC &amp; MED'!KY285</f>
        <v>0</v>
      </c>
      <c r="AK54" s="530">
        <f>'VAC &amp; MED'!LH285</f>
        <v>0</v>
      </c>
      <c r="AL54" s="530">
        <f>'VAC &amp; MED'!LQ285</f>
        <v>0</v>
      </c>
      <c r="AM54" s="530">
        <f>'VAC &amp; MED'!LZ285</f>
        <v>0</v>
      </c>
      <c r="AN54" s="530">
        <f>'VAC &amp; MED'!MI285</f>
        <v>0</v>
      </c>
      <c r="AO54" s="530">
        <f>'VAC &amp; MED'!MR285</f>
        <v>0</v>
      </c>
      <c r="AP54" s="530">
        <f>'VAC &amp; MED'!NA285</f>
        <v>0</v>
      </c>
      <c r="AQ54" s="530">
        <f>'VAC &amp; MED'!NJ285</f>
        <v>0</v>
      </c>
      <c r="AR54" s="530">
        <f>'VAC &amp; MED'!NS285</f>
        <v>0</v>
      </c>
      <c r="AS54" s="530">
        <f>'VAC &amp; MED'!OB285</f>
        <v>0</v>
      </c>
      <c r="AT54" s="530">
        <f>'VAC &amp; MED'!OK285</f>
        <v>0</v>
      </c>
      <c r="AU54" s="530">
        <f>'VAC &amp; MED'!OT285</f>
        <v>0</v>
      </c>
      <c r="AV54" s="530">
        <f>'VAC &amp; MED'!PC285</f>
        <v>0</v>
      </c>
      <c r="AW54" s="530">
        <f>'VAC &amp; MED'!PL285</f>
        <v>0</v>
      </c>
      <c r="AX54" s="530">
        <f>'VAC &amp; MED'!PU285</f>
        <v>0</v>
      </c>
      <c r="AY54" s="530">
        <f>'VAC &amp; MED'!QD285</f>
        <v>0</v>
      </c>
      <c r="AZ54" s="530">
        <f>'VAC &amp; MED'!QM285</f>
        <v>0</v>
      </c>
      <c r="BA54" s="531">
        <f>'VAC &amp; MED'!QV285</f>
        <v>0</v>
      </c>
      <c r="BB54" s="531">
        <f>'VAC &amp; MED'!RE285</f>
        <v>0</v>
      </c>
      <c r="BC54" s="531">
        <f>'VAC &amp; MED'!RN285</f>
        <v>0</v>
      </c>
      <c r="BD54" s="531">
        <f>'VAC &amp; MED'!RW285</f>
        <v>0</v>
      </c>
      <c r="BE54" s="531">
        <f>'VAC &amp; MED'!SF285</f>
        <v>0</v>
      </c>
      <c r="BF54" s="531">
        <f>'VAC &amp; MED'!SO285</f>
        <v>0</v>
      </c>
      <c r="BG54" s="531">
        <f>'VAC &amp; MED'!SX285</f>
        <v>0</v>
      </c>
      <c r="BH54" s="531">
        <f>'VAC &amp; MED'!TG285</f>
        <v>0</v>
      </c>
      <c r="BI54" s="531">
        <f>'VAC &amp; MED'!TP285</f>
        <v>0</v>
      </c>
      <c r="BJ54" s="531">
        <f>'VAC &amp; MED'!TY285</f>
        <v>0</v>
      </c>
      <c r="BK54" s="531">
        <f>'VAC &amp; MED'!UH285</f>
        <v>0</v>
      </c>
      <c r="BL54" s="531">
        <f>'VAC &amp; MED'!UQ285</f>
        <v>0</v>
      </c>
      <c r="BM54" s="531">
        <f>'VAC &amp; MED'!UZ285</f>
        <v>0</v>
      </c>
      <c r="BN54" s="531">
        <f>'VAC &amp; MED'!VI285</f>
        <v>0</v>
      </c>
      <c r="BO54" s="531">
        <f>'VAC &amp; MED'!VR285</f>
        <v>0</v>
      </c>
      <c r="BP54" s="531">
        <f>'VAC &amp; MED'!WA285</f>
        <v>0</v>
      </c>
      <c r="BQ54" s="531">
        <f>'VAC &amp; MED'!WJ285</f>
        <v>0</v>
      </c>
      <c r="BR54" s="531">
        <f>'VAC &amp; MED'!WS285</f>
        <v>0</v>
      </c>
      <c r="BS54" s="531">
        <f>'VAC &amp; MED'!XB285</f>
        <v>0</v>
      </c>
      <c r="BT54" s="531">
        <f>'VAC &amp; MED'!XK285</f>
        <v>0</v>
      </c>
      <c r="BU54" s="531">
        <f>'VAC &amp; MED'!XT285</f>
        <v>0</v>
      </c>
      <c r="BV54" s="531">
        <f>'VAC &amp; MED'!YC285</f>
        <v>0</v>
      </c>
      <c r="BW54" s="531">
        <f>'VAC &amp; MED'!YL285</f>
        <v>0</v>
      </c>
      <c r="BX54" s="531">
        <f>'VAC &amp; MED'!YU285</f>
        <v>0</v>
      </c>
      <c r="BY54" s="531">
        <f>'VAC &amp; MED'!ZD285</f>
        <v>0</v>
      </c>
      <c r="BZ54" s="531">
        <f>'VAC &amp; MED'!ZM285</f>
        <v>0</v>
      </c>
    </row>
    <row r="55" spans="1:83" s="531" customFormat="1" outlineLevel="1">
      <c r="A55" s="536" t="s">
        <v>315</v>
      </c>
      <c r="B55" s="530">
        <f>'VAC &amp; MED'!E285</f>
        <v>139911.36000000002</v>
      </c>
      <c r="C55" s="530">
        <f>'VAC &amp; MED'!N285</f>
        <v>71452.899999999994</v>
      </c>
      <c r="D55" s="530">
        <f>'VAC &amp; MED'!W285</f>
        <v>13450</v>
      </c>
      <c r="E55" s="530">
        <f>'VAC &amp; MED'!AF285</f>
        <v>1000</v>
      </c>
      <c r="F55" s="530">
        <f>'VAC &amp; MED'!AO285</f>
        <v>0</v>
      </c>
      <c r="G55" s="530">
        <f>'VAC &amp; MED'!AX285</f>
        <v>2255.1999999999998</v>
      </c>
      <c r="H55" s="530">
        <f>'VAC &amp; MED'!BG285</f>
        <v>1279.5</v>
      </c>
      <c r="I55" s="530">
        <f>'VAC &amp; MED'!BP285</f>
        <v>2622.5</v>
      </c>
      <c r="J55" s="530">
        <f>'VAC &amp; MED'!BY285</f>
        <v>1067.1500000000001</v>
      </c>
      <c r="K55" s="530">
        <f>'VAC &amp; MED'!CH285</f>
        <v>299.43999999999994</v>
      </c>
      <c r="L55" s="530">
        <f>'VAC &amp; MED'!CQ285</f>
        <v>0</v>
      </c>
      <c r="M55" s="530">
        <f>'VAC &amp; MED'!CZ285</f>
        <v>2600</v>
      </c>
      <c r="N55" s="530">
        <f>'VAC &amp; MED'!DI285</f>
        <v>3750</v>
      </c>
      <c r="O55" s="530">
        <f>'VAC &amp; MED'!DR285</f>
        <v>0</v>
      </c>
      <c r="P55" s="530">
        <f>'VAC &amp; MED'!EB285</f>
        <v>0</v>
      </c>
      <c r="Q55" s="530">
        <f>'VAC &amp; MED'!EJ285</f>
        <v>0</v>
      </c>
      <c r="R55" s="530">
        <f>'VAC &amp; MED'!ES285</f>
        <v>0</v>
      </c>
      <c r="S55" s="530">
        <f>'VAC &amp; MED'!FB285</f>
        <v>0</v>
      </c>
      <c r="T55" s="530">
        <f>'VAC &amp; MED'!FK285</f>
        <v>0</v>
      </c>
      <c r="U55" s="530">
        <f>'VAC &amp; MED'!FT285</f>
        <v>400</v>
      </c>
      <c r="V55" s="530">
        <f>'VAC &amp; MED'!GC285</f>
        <v>0</v>
      </c>
      <c r="W55" s="530">
        <f>'VAC &amp; MED'!GL285</f>
        <v>600</v>
      </c>
      <c r="X55" s="530">
        <f>'VAC &amp; MED'!GU285</f>
        <v>0</v>
      </c>
      <c r="Y55" s="530">
        <f>'VAC &amp; MED'!HD285</f>
        <v>0</v>
      </c>
      <c r="Z55" s="530">
        <f>'VAC &amp; MED'!HN285</f>
        <v>0</v>
      </c>
      <c r="AA55" s="530">
        <f>'VAC &amp; MED'!HW285</f>
        <v>880</v>
      </c>
      <c r="AB55" s="530">
        <f>'VAC &amp; MED'!IF285</f>
        <v>0</v>
      </c>
      <c r="AC55" s="530">
        <f>'VAC &amp; MED'!IO285</f>
        <v>0</v>
      </c>
      <c r="AD55" s="530">
        <f>'VAC &amp; MED'!IX285</f>
        <v>0</v>
      </c>
      <c r="AE55" s="530">
        <f>'VAC &amp; MED'!JG285</f>
        <v>20</v>
      </c>
      <c r="AF55" s="530">
        <f>'VAC &amp; MED'!JP285</f>
        <v>0</v>
      </c>
      <c r="AG55" s="530">
        <f>'VAC &amp; MED'!JY285</f>
        <v>0</v>
      </c>
      <c r="AH55" s="530">
        <f>'VAC &amp; MED'!KH285</f>
        <v>0</v>
      </c>
      <c r="AI55" s="530">
        <f>'VAC &amp; MED'!KR285</f>
        <v>0</v>
      </c>
      <c r="AJ55" s="530">
        <f>'VAC &amp; MED'!KZ285</f>
        <v>0</v>
      </c>
      <c r="AK55" s="530">
        <f>'VAC &amp; MED'!LI285</f>
        <v>0</v>
      </c>
      <c r="AL55" s="530">
        <f>'VAC &amp; MED'!LR285</f>
        <v>0</v>
      </c>
      <c r="AM55" s="530">
        <f>'VAC &amp; MED'!MA285</f>
        <v>0</v>
      </c>
      <c r="AN55" s="530">
        <f>'VAC &amp; MED'!MJ285</f>
        <v>0</v>
      </c>
      <c r="AO55" s="530">
        <f>'VAC &amp; MED'!MS285</f>
        <v>32</v>
      </c>
      <c r="AP55" s="530">
        <f>'VAC &amp; MED'!NB285</f>
        <v>135</v>
      </c>
      <c r="AQ55" s="530">
        <f>'VAC &amp; MED'!NK285</f>
        <v>0</v>
      </c>
      <c r="AR55" s="530">
        <f>'VAC &amp; MED'!NU285</f>
        <v>0</v>
      </c>
      <c r="AS55" s="530">
        <f>'VAC &amp; MED'!OC285</f>
        <v>0</v>
      </c>
      <c r="AT55" s="530">
        <f>'VAC &amp; MED'!OM285</f>
        <v>0</v>
      </c>
      <c r="AU55" s="530">
        <f>'VAC &amp; MED'!OV285</f>
        <v>0</v>
      </c>
      <c r="AV55" s="530">
        <f>'VAC &amp; MED'!PE285</f>
        <v>0</v>
      </c>
      <c r="AW55" s="530">
        <f>'VAC &amp; MED'!PN285</f>
        <v>0</v>
      </c>
      <c r="AX55" s="530">
        <f>'VAC &amp; MED'!PW285</f>
        <v>0</v>
      </c>
      <c r="AY55" s="530">
        <f>'VAC &amp; MED'!QF285</f>
        <v>736</v>
      </c>
      <c r="AZ55" s="530">
        <f>'VAC &amp; MED'!QO285</f>
        <v>0</v>
      </c>
      <c r="BA55" s="531">
        <f>'VAC &amp; MED'!QX285</f>
        <v>207.6</v>
      </c>
      <c r="BB55" s="531">
        <f>'VAC &amp; MED'!RG285</f>
        <v>0</v>
      </c>
      <c r="BC55" s="531">
        <f>'VAC &amp; MED'!RP285</f>
        <v>0</v>
      </c>
      <c r="BD55" s="531">
        <f>'VAC &amp; MED'!RY285</f>
        <v>0</v>
      </c>
      <c r="BE55" s="531">
        <f>'VAC &amp; MED'!SH285</f>
        <v>0</v>
      </c>
      <c r="BF55" s="531">
        <f>'VAC &amp; MED'!SQ285</f>
        <v>0</v>
      </c>
      <c r="BG55" s="531">
        <f>'VAC &amp; MED'!SZ285</f>
        <v>0</v>
      </c>
      <c r="BH55" s="531">
        <f>'VAC &amp; MED'!TI285</f>
        <v>0</v>
      </c>
      <c r="BI55" s="531">
        <f>'VAC &amp; MED'!TR285</f>
        <v>10.4</v>
      </c>
      <c r="BJ55" s="531">
        <f>'VAC &amp; MED'!UA285</f>
        <v>0</v>
      </c>
      <c r="BK55" s="531">
        <f>'VAC &amp; MED'!UJ285</f>
        <v>0</v>
      </c>
      <c r="BL55" s="531">
        <f>'VAC &amp; MED'!US285</f>
        <v>0</v>
      </c>
      <c r="BM55" s="531">
        <f>'VAC &amp; MED'!VB285</f>
        <v>0</v>
      </c>
      <c r="BN55" s="531">
        <f>'VAC &amp; MED'!VK285</f>
        <v>0</v>
      </c>
      <c r="BO55" s="531">
        <f>'VAC &amp; MED'!VT285</f>
        <v>0</v>
      </c>
      <c r="BP55" s="531">
        <f>'VAC &amp; MED'!WC285</f>
        <v>0</v>
      </c>
      <c r="BQ55" s="531">
        <f>'VAC &amp; MED'!WL285</f>
        <v>0</v>
      </c>
      <c r="BR55" s="531">
        <f>'VAC &amp; MED'!WU285</f>
        <v>0</v>
      </c>
      <c r="BS55" s="531">
        <f>'VAC &amp; MED'!XD285</f>
        <v>0</v>
      </c>
      <c r="BT55" s="531">
        <f>'VAC &amp; MED'!XM285</f>
        <v>0</v>
      </c>
      <c r="BU55" s="531">
        <f>'VAC &amp; MED'!XV285</f>
        <v>0</v>
      </c>
      <c r="BV55" s="531">
        <f>'VAC &amp; MED'!YE285</f>
        <v>0</v>
      </c>
      <c r="BW55" s="531">
        <f>'VAC &amp; MED'!YN285</f>
        <v>218</v>
      </c>
      <c r="BX55" s="531">
        <f>'VAC &amp; MED'!YW285</f>
        <v>0</v>
      </c>
      <c r="BY55" s="531">
        <f>'VAC &amp; MED'!ZF285</f>
        <v>0</v>
      </c>
      <c r="BZ55" s="531">
        <f>'VAC &amp; MED'!ZO285</f>
        <v>0</v>
      </c>
    </row>
    <row r="56" spans="1:83" s="531" customFormat="1" outlineLevel="1">
      <c r="A56" s="536" t="s">
        <v>316</v>
      </c>
      <c r="B56" s="530">
        <f>'VAC &amp; MED'!G285</f>
        <v>87446.560000000012</v>
      </c>
      <c r="C56" s="530">
        <f>'VAC &amp; MED'!P285</f>
        <v>71452.899999999994</v>
      </c>
      <c r="D56" s="530">
        <f>'VAC &amp; MED'!Y285</f>
        <v>13450</v>
      </c>
      <c r="E56" s="530">
        <f>'VAC &amp; MED'!AH285</f>
        <v>1000</v>
      </c>
      <c r="F56" s="530">
        <f>'VAC &amp; MED'!AQ285</f>
        <v>0</v>
      </c>
      <c r="G56" s="530">
        <f>'VAC &amp; MED'!AZ285</f>
        <v>2255.1999999999998</v>
      </c>
      <c r="H56" s="530">
        <f>'VAC &amp; MED'!BI285</f>
        <v>1279.5</v>
      </c>
      <c r="I56" s="530">
        <f>'VAC &amp; MED'!BR285</f>
        <v>2622.5</v>
      </c>
      <c r="J56" s="530">
        <f>'VAC &amp; MED'!CA285</f>
        <v>-158.00999999999988</v>
      </c>
      <c r="K56" s="530">
        <f>'VAC &amp; MED'!CJ285</f>
        <v>299.43999999999994</v>
      </c>
      <c r="L56" s="530">
        <f>'VAC &amp; MED'!CS285</f>
        <v>0</v>
      </c>
      <c r="M56" s="530">
        <f>'VAC &amp; MED'!DB285</f>
        <v>2600</v>
      </c>
      <c r="N56" s="530">
        <f>'VAC &amp; MED'!DK285</f>
        <v>3750</v>
      </c>
      <c r="O56" s="530">
        <f>'VAC &amp; MED'!DT285</f>
        <v>0</v>
      </c>
      <c r="P56" s="530"/>
      <c r="Q56" s="530">
        <f>'VAC &amp; MED'!EL285</f>
        <v>0</v>
      </c>
      <c r="R56" s="530">
        <f>'VAC &amp; MED'!EU285</f>
        <v>0</v>
      </c>
      <c r="S56" s="530">
        <f>'VAC &amp; MED'!FD285</f>
        <v>0</v>
      </c>
      <c r="T56" s="530">
        <f>'VAC &amp; MED'!FM285</f>
        <v>0</v>
      </c>
      <c r="U56" s="530">
        <f>'VAC &amp; MED'!FV285</f>
        <v>-120</v>
      </c>
      <c r="V56" s="530">
        <f>'VAC &amp; MED'!GE285</f>
        <v>0</v>
      </c>
      <c r="W56" s="530">
        <f>'VAC &amp; MED'!GN285</f>
        <v>600</v>
      </c>
      <c r="X56" s="530">
        <f>'VAC &amp; MED'!GW285</f>
        <v>0</v>
      </c>
      <c r="Y56" s="530">
        <f>'VAC &amp; MED'!HF285</f>
        <v>0</v>
      </c>
      <c r="Z56" s="530"/>
      <c r="AA56" s="530">
        <f>'VAC &amp; MED'!HY285</f>
        <v>-920</v>
      </c>
      <c r="AB56" s="530">
        <f>'VAC &amp; MED'!IH285</f>
        <v>-720</v>
      </c>
      <c r="AC56" s="530">
        <f>'VAC &amp; MED'!IQ285</f>
        <v>-1680</v>
      </c>
      <c r="AD56" s="530">
        <f>'VAC &amp; MED'!IZ285</f>
        <v>-2140</v>
      </c>
      <c r="AE56" s="530">
        <f>'VAC &amp; MED'!JI285</f>
        <v>20</v>
      </c>
      <c r="AF56" s="530">
        <f>'VAC &amp; MED'!JR285</f>
        <v>0</v>
      </c>
      <c r="AG56" s="530">
        <f>'VAC &amp; MED'!KA285</f>
        <v>0</v>
      </c>
      <c r="AH56" s="530">
        <f>'VAC &amp; MED'!KJ285</f>
        <v>0</v>
      </c>
      <c r="AI56" s="530"/>
      <c r="AJ56" s="530">
        <f>'VAC &amp; MED'!LB285</f>
        <v>0</v>
      </c>
      <c r="AK56" s="530">
        <f>'VAC &amp; MED'!LK285</f>
        <v>0</v>
      </c>
      <c r="AL56" s="530">
        <f>'VAC &amp; MED'!LT285</f>
        <v>0</v>
      </c>
      <c r="AM56" s="532"/>
      <c r="AN56" s="532"/>
      <c r="AO56" s="532"/>
      <c r="AP56" s="532"/>
      <c r="AQ56" s="532"/>
      <c r="AR56" s="532"/>
      <c r="AS56" s="532"/>
      <c r="AT56" s="532"/>
      <c r="AU56" s="532"/>
      <c r="AV56" s="532"/>
      <c r="AW56" s="532"/>
      <c r="AX56" s="532"/>
      <c r="AY56" s="532"/>
      <c r="AZ56" s="532"/>
      <c r="BA56" s="533"/>
      <c r="BB56" s="533"/>
      <c r="BC56" s="533"/>
      <c r="BD56" s="533"/>
      <c r="BE56" s="533"/>
      <c r="BF56" s="533"/>
      <c r="BG56" s="533"/>
      <c r="BH56" s="533"/>
      <c r="BI56" s="531">
        <f>'VAC &amp; MED'!TS285</f>
        <v>-10.4</v>
      </c>
      <c r="BJ56" s="531">
        <f>'VAC &amp; MED'!UB285</f>
        <v>0</v>
      </c>
      <c r="BK56" s="531">
        <f>'VAC &amp; MED'!UK285</f>
        <v>0</v>
      </c>
      <c r="BL56" s="531">
        <f>'VAC &amp; MED'!UT285</f>
        <v>0</v>
      </c>
      <c r="BM56" s="531">
        <f>'VAC &amp; MED'!VC285</f>
        <v>0</v>
      </c>
      <c r="BN56" s="531">
        <f>'VAC &amp; MED'!VL285</f>
        <v>0</v>
      </c>
      <c r="BO56" s="531">
        <f>'VAC &amp; MED'!VU285</f>
        <v>0</v>
      </c>
      <c r="BP56" s="533"/>
      <c r="BQ56" s="533"/>
      <c r="BR56" s="533"/>
      <c r="BS56" s="533"/>
      <c r="BT56" s="533"/>
      <c r="BU56" s="533"/>
      <c r="BV56" s="533"/>
      <c r="BW56" s="533"/>
      <c r="BX56" s="533"/>
      <c r="BY56" s="533"/>
      <c r="BZ56" s="533"/>
      <c r="CA56" s="533"/>
      <c r="CB56" s="533"/>
      <c r="CC56" s="533"/>
      <c r="CD56" s="533"/>
      <c r="CE56" s="533"/>
    </row>
    <row r="57" spans="1:83" s="535" customFormat="1">
      <c r="A57" s="537" t="s">
        <v>171</v>
      </c>
      <c r="B57" s="534">
        <f>'VAC &amp; MED'!H285</f>
        <v>236936.6</v>
      </c>
      <c r="C57" s="534">
        <f>'VAC &amp; MED'!Q285</f>
        <v>53017.600000000071</v>
      </c>
      <c r="D57" s="534">
        <f>'VAC &amp; MED'!Z285</f>
        <v>42674.199999999968</v>
      </c>
      <c r="E57" s="534">
        <f>'VAC &amp; MED'!AI285</f>
        <v>4522.2000000000189</v>
      </c>
      <c r="F57" s="534">
        <f>'VAC &amp; MED'!AR285</f>
        <v>0</v>
      </c>
      <c r="G57" s="534">
        <f>'VAC &amp; MED'!BA285</f>
        <v>124.99999999999523</v>
      </c>
      <c r="H57" s="534">
        <f>'VAC &amp; MED'!BJ285</f>
        <v>26151.899999999998</v>
      </c>
      <c r="I57" s="534">
        <f>'VAC &amp; MED'!BS285</f>
        <v>0</v>
      </c>
      <c r="J57" s="534">
        <f>'VAC &amp; MED'!CB285</f>
        <v>2097.3399999999992</v>
      </c>
      <c r="K57" s="534">
        <f>'VAC &amp; MED'!CK285</f>
        <v>-10277.079999999998</v>
      </c>
      <c r="L57" s="534">
        <f>'VAC &amp; MED'!CT285</f>
        <v>0</v>
      </c>
      <c r="M57" s="534">
        <f>'VAC &amp; MED'!DC285</f>
        <v>27438.200000000012</v>
      </c>
      <c r="N57" s="534">
        <f>'VAC &amp; MED'!DL285</f>
        <v>18782.299999999981</v>
      </c>
      <c r="O57" s="534">
        <f>'VAC &amp; MED'!DU285</f>
        <v>5800</v>
      </c>
      <c r="P57" s="534">
        <f>'VAC &amp; MED'!ED285</f>
        <v>0</v>
      </c>
      <c r="Q57" s="534">
        <f>'VAC &amp; MED'!EM285</f>
        <v>0</v>
      </c>
      <c r="R57" s="534">
        <f>'VAC &amp; MED'!EV285</f>
        <v>0</v>
      </c>
      <c r="S57" s="534">
        <f>'VAC &amp; MED'!FE285</f>
        <v>0</v>
      </c>
      <c r="T57" s="534">
        <f>'VAC &amp; MED'!FN285</f>
        <v>0</v>
      </c>
      <c r="U57" s="534">
        <f>'VAC &amp; MED'!FW285</f>
        <v>2020</v>
      </c>
      <c r="V57" s="534">
        <f>'VAC &amp; MED'!GF285</f>
        <v>960</v>
      </c>
      <c r="W57" s="534">
        <f>'VAC &amp; MED'!GO285</f>
        <v>1760</v>
      </c>
      <c r="X57" s="534">
        <f>'VAC &amp; MED'!GX285</f>
        <v>400</v>
      </c>
      <c r="Y57" s="534">
        <f>'VAC &amp; MED'!HG285</f>
        <v>3600</v>
      </c>
      <c r="Z57" s="534">
        <f>'VAC &amp; MED'!HP285</f>
        <v>0</v>
      </c>
      <c r="AA57" s="534">
        <f>'VAC &amp; MED'!HZ285</f>
        <v>6120</v>
      </c>
      <c r="AB57" s="534">
        <f>'VAC &amp; MED'!II285</f>
        <v>0</v>
      </c>
      <c r="AC57" s="534">
        <f>'VAC &amp; MED'!IR285</f>
        <v>0</v>
      </c>
      <c r="AD57" s="534">
        <f>'VAC &amp; MED'!JA285</f>
        <v>2820</v>
      </c>
      <c r="AE57" s="534">
        <f>'VAC &amp; MED'!JJ285</f>
        <v>0</v>
      </c>
      <c r="AF57" s="534">
        <f>'VAC &amp; MED'!JS285</f>
        <v>0</v>
      </c>
      <c r="AG57" s="534">
        <f>'VAC &amp; MED'!KB285</f>
        <v>2540</v>
      </c>
      <c r="AH57" s="534">
        <f>'VAC &amp; MED'!KK285</f>
        <v>2359.5</v>
      </c>
      <c r="AI57" s="534">
        <f>'VAC &amp; MED'!KT285</f>
        <v>1890</v>
      </c>
      <c r="AJ57" s="534">
        <f>'VAC &amp; MED'!LC285</f>
        <v>3690</v>
      </c>
      <c r="AK57" s="534">
        <f>'VAC &amp; MED'!LL285</f>
        <v>4000</v>
      </c>
      <c r="AL57" s="534">
        <f>'VAC &amp; MED'!LU285</f>
        <v>0</v>
      </c>
      <c r="AM57" s="534">
        <f>'VAC &amp; MED'!MD285</f>
        <v>0</v>
      </c>
      <c r="AN57" s="534">
        <f>'VAC &amp; MED'!MM285</f>
        <v>0</v>
      </c>
      <c r="AO57" s="534">
        <f>'VAC &amp; MED'!MV285</f>
        <v>1625</v>
      </c>
      <c r="AP57" s="534">
        <f>'VAC &amp; MED'!NE285</f>
        <v>0</v>
      </c>
      <c r="AQ57" s="534">
        <f>'VAC &amp; MED'!NN285</f>
        <v>1127</v>
      </c>
      <c r="AR57" s="534">
        <f>'VAC &amp; MED'!NW285</f>
        <v>3111.9999999999995</v>
      </c>
      <c r="AS57" s="534">
        <f>'VAC &amp; MED'!OF285</f>
        <v>1680.5</v>
      </c>
      <c r="AT57" s="534">
        <f>'VAC &amp; MED'!OO285</f>
        <v>0</v>
      </c>
      <c r="AU57" s="534">
        <f>'VAC &amp; MED'!OX285</f>
        <v>1482</v>
      </c>
      <c r="AV57" s="534">
        <f>'VAC &amp; MED'!PG285</f>
        <v>0</v>
      </c>
      <c r="AW57" s="534">
        <f>'VAC &amp; MED'!PP285</f>
        <v>100</v>
      </c>
      <c r="AX57" s="534">
        <f>'VAC &amp; MED'!PY285</f>
        <v>13.960000000000036</v>
      </c>
      <c r="AY57" s="534">
        <f>'VAC &amp; MED'!QH285</f>
        <v>548</v>
      </c>
      <c r="AZ57" s="534">
        <f>'VAC &amp; MED'!QQ285</f>
        <v>0</v>
      </c>
      <c r="BA57" s="535">
        <f>'VAC &amp; MED'!QZ285</f>
        <v>0</v>
      </c>
      <c r="BB57" s="535">
        <f>'VAC &amp; MED'!RI285</f>
        <v>147.04000000000002</v>
      </c>
      <c r="BC57" s="535">
        <f>'VAC &amp; MED'!RR285</f>
        <v>46.8</v>
      </c>
      <c r="BD57" s="535">
        <f>'VAC &amp; MED'!SA285</f>
        <v>0</v>
      </c>
      <c r="BE57" s="535">
        <f>'VAC &amp; MED'!SJ285</f>
        <v>24.200000000000003</v>
      </c>
      <c r="BF57" s="535">
        <f>'VAC &amp; MED'!SS285</f>
        <v>32</v>
      </c>
      <c r="BG57" s="535">
        <f>'VAC &amp; MED'!TB285</f>
        <v>0</v>
      </c>
      <c r="BH57" s="535">
        <f>'VAC &amp; MED'!TK285</f>
        <v>0</v>
      </c>
      <c r="BI57" s="535">
        <f>'VAC &amp; MED'!TT285</f>
        <v>0</v>
      </c>
      <c r="BJ57" s="535">
        <f>'VAC &amp; MED'!UC285</f>
        <v>46.799999999999983</v>
      </c>
      <c r="BK57" s="535">
        <f>'VAC &amp; MED'!UL285</f>
        <v>204</v>
      </c>
      <c r="BL57" s="535">
        <f>'VAC &amp; MED'!UU285</f>
        <v>202.5</v>
      </c>
      <c r="BM57" s="535">
        <f>'VAC &amp; MED'!VD285</f>
        <v>41.600000000000023</v>
      </c>
      <c r="BN57" s="535">
        <f>'VAC &amp; MED'!VM285</f>
        <v>210</v>
      </c>
      <c r="BO57" s="535">
        <f>'VAC &amp; MED'!VV285</f>
        <v>0</v>
      </c>
      <c r="BP57" s="535">
        <f>'VAC &amp; MED'!WE285</f>
        <v>0</v>
      </c>
      <c r="BQ57" s="535">
        <f>'VAC &amp; MED'!WN285</f>
        <v>1057</v>
      </c>
      <c r="BR57" s="535">
        <f>'VAC &amp; MED'!WW285</f>
        <v>0</v>
      </c>
      <c r="BS57" s="535">
        <f>'VAC &amp; MED'!XF285</f>
        <v>7507</v>
      </c>
      <c r="BT57" s="535">
        <f>'VAC &amp; MED'!XO285</f>
        <v>4252</v>
      </c>
      <c r="BU57" s="535">
        <f>'VAC &amp; MED'!XX285</f>
        <v>2179</v>
      </c>
      <c r="BV57" s="535">
        <f>'VAC &amp; MED'!YG285</f>
        <v>4019</v>
      </c>
      <c r="BW57" s="535">
        <f>'VAC &amp; MED'!YP285</f>
        <v>-218</v>
      </c>
      <c r="BX57" s="535">
        <f>'VAC &amp; MED'!YY285</f>
        <v>0</v>
      </c>
      <c r="BY57" s="535">
        <f>'VAC &amp; MED'!ZH285</f>
        <v>0</v>
      </c>
      <c r="BZ57" s="535">
        <f>'VAC &amp; MED'!ZQ285</f>
        <v>0</v>
      </c>
    </row>
    <row r="58" spans="1:83" s="2" customFormat="1" ht="16.149999999999999" thickBot="1">
      <c r="A58" s="537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</row>
    <row r="59" spans="1:83" s="2" customFormat="1" ht="47.45" thickBot="1">
      <c r="A59" s="539" t="s">
        <v>307</v>
      </c>
      <c r="B59" s="215" t="str">
        <f>PRODUCE!$EA$7</f>
        <v>MAIZE/CORN</v>
      </c>
      <c r="C59" s="216" t="str">
        <f>PRODUCE!$EA$8</f>
        <v>SOYBEAN MEAL (ARG)</v>
      </c>
      <c r="D59" s="217" t="str">
        <f>PRODUCE!$EA$9</f>
        <v>SOYBEAN FULL FAT</v>
      </c>
      <c r="E59" s="218" t="str">
        <f>PRODUCE!$EA$10</f>
        <v>WHEAT POLLARD</v>
      </c>
      <c r="F59" s="219" t="str">
        <f>PRODUCE!$EA$11</f>
        <v>WHEAT</v>
      </c>
      <c r="G59" s="220" t="str">
        <f>PRODUCE!$EA$12</f>
        <v>MEAT AND BONE MEAL</v>
      </c>
      <c r="H59" s="221" t="str">
        <f>PRODUCE!$EA$13</f>
        <v>CORN GLUTEN MEAL</v>
      </c>
      <c r="I59" s="222" t="str">
        <f>PRODUCE!$EA$14</f>
        <v>MEGAFAT (HARUMI)</v>
      </c>
      <c r="J59" s="223" t="str">
        <f>PRODUCE!$EA$15</f>
        <v>DCP 18%</v>
      </c>
      <c r="K59" s="224" t="str">
        <f>PRODUCE!$EA$16</f>
        <v>LIMESTONE POWDER (HARUMI)</v>
      </c>
      <c r="L59" s="225" t="str">
        <f>PRODUCE!$EA$17</f>
        <v>CHOLINE CHLORIDE 60%</v>
      </c>
      <c r="M59" s="226" t="str">
        <f>PRODUCE!$EA$18</f>
        <v>INDUSTRY FLOUR</v>
      </c>
      <c r="N59" s="227" t="str">
        <f>PRODUCE!$EA$19</f>
        <v>RICE BRAN</v>
      </c>
      <c r="O59" s="228" t="str">
        <f>PRODUCE!$EA$20</f>
        <v>EP 200</v>
      </c>
      <c r="P59" s="229" t="str">
        <f>PRODUCE!$EA$21</f>
        <v>SOYTIDE</v>
      </c>
      <c r="Q59" s="230" t="str">
        <f>PRODUCE!$EA$22</f>
        <v>DCP 18% (HARUMI)</v>
      </c>
      <c r="R59" s="231">
        <f>PRODUCE!$EA$23</f>
        <v>1</v>
      </c>
      <c r="S59" s="232">
        <f>PRODUCE!$EA$24</f>
        <v>2</v>
      </c>
      <c r="T59" s="233">
        <f>PRODUCE!$EA$25</f>
        <v>3</v>
      </c>
      <c r="U59" s="234" t="str">
        <f>PRODUCE!$EA$26</f>
        <v>PREMIX 1101 (20KG)</v>
      </c>
      <c r="V59" s="235" t="str">
        <f>PRODUCE!$EA$27</f>
        <v>PREMIX 1102 (20KG)</v>
      </c>
      <c r="W59" s="236" t="str">
        <f>PRODUCE!$EA$28</f>
        <v>PREMIX 1103 (20KG)</v>
      </c>
      <c r="X59" s="237" t="str">
        <f>PRODUCE!$EA$29</f>
        <v>PREMIX 311 (20KG)</v>
      </c>
      <c r="Y59" s="238" t="str">
        <f>PRODUCE!$EA$30</f>
        <v>PREMIX 312 (20KG)</v>
      </c>
      <c r="Z59" s="239">
        <f>PRODUCE!$EA$31</f>
        <v>1</v>
      </c>
      <c r="AA59" s="240" t="str">
        <f>PRODUCE!$EA$32</f>
        <v>PREMIX 8100 (20KG)</v>
      </c>
      <c r="AB59" s="240" t="str">
        <f>PRODUCE!$EA$33</f>
        <v>PREMIX 8101 (20KG)</v>
      </c>
      <c r="AC59" s="240" t="str">
        <f>PRODUCE!$EA$34</f>
        <v>PREMIX 8102 (20KG)</v>
      </c>
      <c r="AD59" s="240" t="str">
        <f>PRODUCE!$EA$35</f>
        <v>PREMIX 8103 (20KG)</v>
      </c>
      <c r="AE59" s="240" t="str">
        <f>PRODUCE!$EA$36</f>
        <v>PREMIX 8108 (20KG)</v>
      </c>
      <c r="AF59" s="240" t="str">
        <f>PRODUCE!$EA$37</f>
        <v>PREMIX 8109 (20KG)</v>
      </c>
      <c r="AG59" s="240" t="str">
        <f>PRODUCE!$EA$38</f>
        <v>YENMIX 121 (20KG)</v>
      </c>
      <c r="AH59" s="240" t="str">
        <f>PRODUCE!$EA$39</f>
        <v>YENMIX 122 (19.50KG)</v>
      </c>
      <c r="AI59" s="240" t="str">
        <f>PRODUCE!$EA$40</f>
        <v>YENMIX 123 (18.90KG)</v>
      </c>
      <c r="AJ59" s="240" t="str">
        <f>PRODUCE!$EA$41</f>
        <v>YENMIX 122 (20.50KG)</v>
      </c>
      <c r="AK59" s="240" t="str">
        <f>PRODUCE!$EA$42</f>
        <v>YENMIX 123 (20.00KG)</v>
      </c>
      <c r="AL59" s="240">
        <f>PRODUCE!$EA$43</f>
        <v>1</v>
      </c>
      <c r="AM59" s="240">
        <f>PRODUCE!$EA$44</f>
        <v>2</v>
      </c>
      <c r="AN59" s="240">
        <f>PRODUCE!$EA$45</f>
        <v>3</v>
      </c>
      <c r="AO59" s="240" t="str">
        <f>PRODUCE!$EA$46</f>
        <v>TOXISORB PREMIUM</v>
      </c>
      <c r="AP59" s="240" t="str">
        <f>PRODUCE!$EA$47</f>
        <v>SODIUM HUMATE 3.8% (HARUMI)</v>
      </c>
      <c r="AQ59" s="240" t="str">
        <f>PRODUCE!$EA$48</f>
        <v>TOXIWALL</v>
      </c>
      <c r="AR59" s="240" t="str">
        <f>PRODUCE!$EA$49</f>
        <v>SODIUM BICARBONATE</v>
      </c>
      <c r="AS59" s="240" t="str">
        <f>PRODUCE!$EA$50</f>
        <v>BMD 10%</v>
      </c>
      <c r="AT59" s="240" t="str">
        <f>PRODUCE!$EA$51</f>
        <v>SALT (HARUMI)</v>
      </c>
      <c r="AU59" s="240" t="str">
        <f>PRODUCE!$EA$52</f>
        <v>VISTABET 91</v>
      </c>
      <c r="AV59" s="240" t="str">
        <f>PRODUCE!$EA$53</f>
        <v>BETAFIN</v>
      </c>
      <c r="AW59" s="240" t="str">
        <f>PRODUCE!$EA$54</f>
        <v>8101 TOP UP</v>
      </c>
      <c r="AX59" s="240" t="str">
        <f>PRODUCE!$EA$55</f>
        <v>NORPONIN X03 (8102 TOP UP)</v>
      </c>
      <c r="AY59" s="240" t="str">
        <f>PRODUCE!$EA$56</f>
        <v>8102 TOP UP (4KG)</v>
      </c>
      <c r="AZ59" s="240" t="str">
        <f>PRODUCE!$EA$57</f>
        <v>8103 TOP UP (5KG)</v>
      </c>
      <c r="BA59" s="240" t="str">
        <f>PRODUCE!$EA$58</f>
        <v>L-ARGININE</v>
      </c>
      <c r="BB59" s="240" t="str">
        <f>PRODUCE!$EA$59</f>
        <v>DL-METHIONINE</v>
      </c>
      <c r="BC59" s="240" t="str">
        <f>PRODUCE!$EA$60</f>
        <v>L-THREONINE</v>
      </c>
      <c r="BD59" s="240" t="str">
        <f>PRODUCE!$EA$61</f>
        <v>L-LYSINE</v>
      </c>
      <c r="BE59" s="240" t="str">
        <f>PRODUCE!$EA$62</f>
        <v>FAECES DRY</v>
      </c>
      <c r="BF59" s="240" t="str">
        <f>PRODUCE!$EA$63</f>
        <v>ECOBIOL</v>
      </c>
      <c r="BG59" s="240" t="str">
        <f>PRODUCE!$EA$64</f>
        <v>ADDITIVE BROILER IMMUNE</v>
      </c>
      <c r="BH59" s="240" t="str">
        <f>PRODUCE!$EA$65</f>
        <v>MASTER CUBE (HARUMI)</v>
      </c>
      <c r="BI59" s="240" t="str">
        <f>PRODUCE!$EA$66</f>
        <v>1101 TOP UP (0.40KG)</v>
      </c>
      <c r="BJ59" s="240" t="str">
        <f>PRODUCE!$EA$67</f>
        <v>1102 TOP UP (0.60KG)</v>
      </c>
      <c r="BK59" s="240" t="str">
        <f>PRODUCE!$EA$68</f>
        <v>1103 TOP UP (2.00KG)</v>
      </c>
      <c r="BL59" s="240" t="str">
        <f>PRODUCE!$EA$69</f>
        <v>QUANTUM GLO 4%</v>
      </c>
      <c r="BM59" s="240" t="str">
        <f>PRODUCE!$EA$70</f>
        <v>SALT</v>
      </c>
      <c r="BN59" s="240" t="str">
        <f>PRODUCE!$EA$71</f>
        <v>OC 200 - OXYTET 20%</v>
      </c>
      <c r="BO59" s="240">
        <f>PRODUCE!$EA$72</f>
        <v>3</v>
      </c>
      <c r="BP59" s="387">
        <f>PRODUCE!$EA$73</f>
        <v>4</v>
      </c>
      <c r="BQ59" s="392" t="str">
        <f>PRODUCE!$EA$74</f>
        <v>WOVEN BAG (1101) - BLUE 50KG</v>
      </c>
      <c r="BR59" s="391" t="str">
        <f>PRODUCE!$EA$75</f>
        <v>WOVEN BAG (1102) - GREEN 50KG</v>
      </c>
      <c r="BS59" s="388" t="str">
        <f>PRODUCE!$EA$76</f>
        <v>WOVEN BAG (1103) - RED 50KG</v>
      </c>
      <c r="BT59" s="389" t="str">
        <f>PRODUCE!$EA$77</f>
        <v>PLAIN BAG 26" X 39" (50KG)</v>
      </c>
      <c r="BU59" s="350" t="str">
        <f>PRODUCE!$EA$78</f>
        <v>WOVEN BAG (8101) - KHAKI 50KG</v>
      </c>
      <c r="BV59" s="390" t="str">
        <f>PRODUCE!$EA$79</f>
        <v>WOVEN BAG (8102) - SKY BLUE 50KG</v>
      </c>
      <c r="BW59" s="240" t="str">
        <f>PRODUCE!$EA$80</f>
        <v>WOVEN BAG (8103) - BROWN 50KG</v>
      </c>
      <c r="BX59" s="240">
        <f>PRODUCE!$EA$81</f>
        <v>1</v>
      </c>
      <c r="BY59" s="240">
        <f>PRODUCE!$EA$82</f>
        <v>2</v>
      </c>
      <c r="BZ59" s="240">
        <f>PRODUCE!$EA$83</f>
        <v>3</v>
      </c>
      <c r="CA59" s="240">
        <f>PRODUCE!$EA$84</f>
        <v>4</v>
      </c>
      <c r="CB59" s="240">
        <f>PRODUCE!$EA$85</f>
        <v>5</v>
      </c>
      <c r="CC59" s="240">
        <f>PRODUCE!$EA$86</f>
        <v>6</v>
      </c>
      <c r="CD59" s="240">
        <f>PRODUCE!$EA$87</f>
        <v>7</v>
      </c>
      <c r="CE59" s="240">
        <f>PRODUCE!$EA$88</f>
        <v>8</v>
      </c>
    </row>
    <row r="60" spans="1:83" s="531" customFormat="1" outlineLevel="1">
      <c r="A60" s="536" t="s">
        <v>313</v>
      </c>
      <c r="B60" s="530">
        <f>'VAC &amp; MED'!H289</f>
        <v>236936.6</v>
      </c>
      <c r="C60" s="530">
        <f>'VAC &amp; MED'!Q289</f>
        <v>53017.600000000071</v>
      </c>
      <c r="D60" s="530">
        <f>'VAC &amp; MED'!Z289</f>
        <v>42674.199999999968</v>
      </c>
      <c r="E60" s="530">
        <f>'VAC &amp; MED'!AI289</f>
        <v>4522.2000000000189</v>
      </c>
      <c r="F60" s="530">
        <f>'VAC &amp; MED'!AR289</f>
        <v>0</v>
      </c>
      <c r="G60" s="530">
        <f>'VAC &amp; MED'!BA289</f>
        <v>124.99999999999523</v>
      </c>
      <c r="H60" s="530">
        <f>'VAC &amp; MED'!BJ289</f>
        <v>26151.899999999998</v>
      </c>
      <c r="I60" s="530">
        <f>'VAC &amp; MED'!BS289</f>
        <v>0</v>
      </c>
      <c r="J60" s="530">
        <f>'VAC &amp; MED'!CB289</f>
        <v>2097.3399999999992</v>
      </c>
      <c r="K60" s="530">
        <f>'VAC &amp; MED'!CK289</f>
        <v>-10277.079999999998</v>
      </c>
      <c r="L60" s="530">
        <f>'VAC &amp; MED'!CT289</f>
        <v>0</v>
      </c>
      <c r="M60" s="530">
        <f>'VAC &amp; MED'!DC289</f>
        <v>27438.200000000012</v>
      </c>
      <c r="N60" s="530">
        <f>'VAC &amp; MED'!DL289</f>
        <v>18782.299999999981</v>
      </c>
      <c r="O60" s="530">
        <f>'VAC &amp; MED'!DU289</f>
        <v>5800</v>
      </c>
      <c r="P60" s="530">
        <f>'VAC &amp; MED'!ED289</f>
        <v>0</v>
      </c>
      <c r="Q60" s="530">
        <f>'VAC &amp; MED'!EM289</f>
        <v>0</v>
      </c>
      <c r="R60" s="530">
        <f>'VAC &amp; MED'!EV289</f>
        <v>0</v>
      </c>
      <c r="S60" s="530">
        <f>'VAC &amp; MED'!FE289</f>
        <v>0</v>
      </c>
      <c r="T60" s="530">
        <f>'VAC &amp; MED'!FN289</f>
        <v>0</v>
      </c>
      <c r="U60" s="530">
        <f>'VAC &amp; MED'!FW289</f>
        <v>2020</v>
      </c>
      <c r="V60" s="530">
        <f>'VAC &amp; MED'!GF289</f>
        <v>960</v>
      </c>
      <c r="W60" s="530">
        <f>'VAC &amp; MED'!GO289</f>
        <v>1760</v>
      </c>
      <c r="X60" s="530">
        <f>'VAC &amp; MED'!GX289</f>
        <v>400</v>
      </c>
      <c r="Y60" s="530">
        <f>'VAC &amp; MED'!HG289</f>
        <v>3600</v>
      </c>
      <c r="Z60" s="530">
        <f>'VAC &amp; MED'!HP289</f>
        <v>0</v>
      </c>
      <c r="AA60" s="530">
        <f>'VAC &amp; MED'!HZ289</f>
        <v>6120</v>
      </c>
      <c r="AB60" s="530">
        <f>'VAC &amp; MED'!II289</f>
        <v>0</v>
      </c>
      <c r="AC60" s="530">
        <f>'VAC &amp; MED'!IR289</f>
        <v>0</v>
      </c>
      <c r="AD60" s="530">
        <f>'VAC &amp; MED'!JA289</f>
        <v>2820</v>
      </c>
      <c r="AE60" s="530">
        <f>'VAC &amp; MED'!JJ289</f>
        <v>0</v>
      </c>
      <c r="AF60" s="530">
        <f>'VAC &amp; MED'!JS289</f>
        <v>0</v>
      </c>
      <c r="AG60" s="530">
        <f>'VAC &amp; MED'!KB289</f>
        <v>2540</v>
      </c>
      <c r="AH60" s="530">
        <f>'VAC &amp; MED'!KK289</f>
        <v>2359.5</v>
      </c>
      <c r="AI60" s="530">
        <f>'VAC &amp; MED'!KT289</f>
        <v>1890</v>
      </c>
      <c r="AJ60" s="530">
        <f>'VAC &amp; MED'!LC289</f>
        <v>3690</v>
      </c>
      <c r="AK60" s="530">
        <f>'VAC &amp; MED'!LL289</f>
        <v>4000</v>
      </c>
      <c r="AL60" s="530">
        <f>'VAC &amp; MED'!LU289</f>
        <v>0</v>
      </c>
      <c r="AM60" s="530">
        <f>'VAC &amp; MED'!MD289</f>
        <v>0</v>
      </c>
      <c r="AN60" s="530">
        <f>'VAC &amp; MED'!MM289</f>
        <v>0</v>
      </c>
      <c r="AO60" s="530">
        <f>'VAC &amp; MED'!MV289</f>
        <v>1625</v>
      </c>
      <c r="AP60" s="530">
        <f>'VAC &amp; MED'!NE289</f>
        <v>0</v>
      </c>
      <c r="AQ60" s="530">
        <f>'VAC &amp; MED'!NN289</f>
        <v>1127</v>
      </c>
      <c r="AR60" s="530">
        <f>'VAC &amp; MED'!NW289</f>
        <v>3111.9999999999995</v>
      </c>
      <c r="AS60" s="530">
        <f>'VAC &amp; MED'!OF289</f>
        <v>1680.5</v>
      </c>
      <c r="AT60" s="530">
        <f>'VAC &amp; MED'!OO289</f>
        <v>0</v>
      </c>
      <c r="AU60" s="530">
        <f>'VAC &amp; MED'!OX289</f>
        <v>1482</v>
      </c>
      <c r="AV60" s="530">
        <f>'VAC &amp; MED'!PG289</f>
        <v>0</v>
      </c>
      <c r="AW60" s="530">
        <f>'VAC &amp; MED'!PP289</f>
        <v>100</v>
      </c>
      <c r="AX60" s="530">
        <f>'VAC &amp; MED'!PY289</f>
        <v>13.960000000000036</v>
      </c>
      <c r="AY60" s="530">
        <f>'VAC &amp; MED'!QH289</f>
        <v>548</v>
      </c>
      <c r="AZ60" s="530">
        <f>'VAC &amp; MED'!QQ289</f>
        <v>0</v>
      </c>
      <c r="BA60" s="531">
        <f>'VAC &amp; MED'!QZ289</f>
        <v>0</v>
      </c>
      <c r="BB60" s="531">
        <f>'VAC &amp; MED'!RI289</f>
        <v>147.04000000000002</v>
      </c>
      <c r="BC60" s="531">
        <f>'VAC &amp; MED'!RR289</f>
        <v>46.8</v>
      </c>
      <c r="BD60" s="531">
        <f>'VAC &amp; MED'!SA289</f>
        <v>0</v>
      </c>
      <c r="BE60" s="531">
        <f>'VAC &amp; MED'!SJ289</f>
        <v>24.200000000000003</v>
      </c>
      <c r="BF60" s="531">
        <f>'VAC &amp; MED'!SS289</f>
        <v>32</v>
      </c>
      <c r="BG60" s="531">
        <f>'VAC &amp; MED'!TB289</f>
        <v>0</v>
      </c>
      <c r="BH60" s="531">
        <f>'VAC &amp; MED'!TK289</f>
        <v>0</v>
      </c>
      <c r="BI60" s="531">
        <f>'VAC &amp; MED'!TT289</f>
        <v>0</v>
      </c>
      <c r="BJ60" s="531">
        <f>'VAC &amp; MED'!UC289</f>
        <v>46.799999999999983</v>
      </c>
      <c r="BK60" s="531">
        <f>'VAC &amp; MED'!UL289</f>
        <v>204</v>
      </c>
      <c r="BL60" s="531">
        <f>'VAC &amp; MED'!UU289</f>
        <v>202.5</v>
      </c>
      <c r="BM60" s="531">
        <f>'VAC &amp; MED'!VD289</f>
        <v>41.600000000000023</v>
      </c>
      <c r="BN60" s="531">
        <f>'VAC &amp; MED'!VM289</f>
        <v>210</v>
      </c>
      <c r="BO60" s="531">
        <f>'VAC &amp; MED'!VV289</f>
        <v>0</v>
      </c>
      <c r="BP60" s="531">
        <f>'VAC &amp; MED'!WE289</f>
        <v>0</v>
      </c>
      <c r="BQ60" s="531">
        <f>'VAC &amp; MED'!WN289</f>
        <v>1057</v>
      </c>
      <c r="BR60" s="531">
        <f>'VAC &amp; MED'!WW289</f>
        <v>0</v>
      </c>
      <c r="BS60" s="531">
        <f>'VAC &amp; MED'!XF289</f>
        <v>7507</v>
      </c>
      <c r="BT60" s="531">
        <f>'VAC &amp; MED'!XO289</f>
        <v>4252</v>
      </c>
      <c r="BU60" s="531">
        <f>'VAC &amp; MED'!XX289</f>
        <v>2179</v>
      </c>
      <c r="BV60" s="531">
        <f>'VAC &amp; MED'!YG289</f>
        <v>4019</v>
      </c>
      <c r="BW60" s="531">
        <f>'VAC &amp; MED'!YP289</f>
        <v>-218</v>
      </c>
      <c r="BX60" s="531">
        <f>'VAC &amp; MED'!YY289</f>
        <v>0</v>
      </c>
      <c r="BY60" s="531">
        <f>'VAC &amp; MED'!ZH289</f>
        <v>0</v>
      </c>
      <c r="BZ60" s="531">
        <f>'VAC &amp; MED'!ZQ289</f>
        <v>0</v>
      </c>
    </row>
    <row r="61" spans="1:83" s="531" customFormat="1" outlineLevel="1">
      <c r="A61" s="536" t="s">
        <v>314</v>
      </c>
      <c r="B61" s="530">
        <f>'VAC &amp; MED'!D320</f>
        <v>0</v>
      </c>
      <c r="C61" s="530">
        <f>'VAC &amp; MED'!M320</f>
        <v>0</v>
      </c>
      <c r="D61" s="530">
        <f>'VAC &amp; MED'!V320</f>
        <v>0</v>
      </c>
      <c r="E61" s="530">
        <f>'VAC &amp; MED'!AE320</f>
        <v>0</v>
      </c>
      <c r="F61" s="530">
        <f>'VAC &amp; MED'!AN320</f>
        <v>0</v>
      </c>
      <c r="G61" s="530">
        <f>'VAC &amp; MED'!AW320</f>
        <v>0</v>
      </c>
      <c r="H61" s="530">
        <f>'VAC &amp; MED'!BF320</f>
        <v>0</v>
      </c>
      <c r="I61" s="530">
        <f>'VAC &amp; MED'!BO320</f>
        <v>0</v>
      </c>
      <c r="J61" s="530">
        <f>'VAC &amp; MED'!BX320</f>
        <v>0</v>
      </c>
      <c r="K61" s="530">
        <f>'VAC &amp; MED'!CG320</f>
        <v>0</v>
      </c>
      <c r="L61" s="530">
        <f>'VAC &amp; MED'!CP320</f>
        <v>0</v>
      </c>
      <c r="M61" s="530">
        <f>'VAC &amp; MED'!CY320</f>
        <v>0</v>
      </c>
      <c r="N61" s="530">
        <f>'VAC &amp; MED'!DH320</f>
        <v>0</v>
      </c>
      <c r="O61" s="530">
        <f>'VAC &amp; MED'!DQ320</f>
        <v>0</v>
      </c>
      <c r="P61" s="530">
        <f>'VAC &amp; MED'!DZ320</f>
        <v>0</v>
      </c>
      <c r="Q61" s="530">
        <f>'VAC &amp; MED'!EI320</f>
        <v>0</v>
      </c>
      <c r="R61" s="530">
        <f>'VAC &amp; MED'!ER320</f>
        <v>0</v>
      </c>
      <c r="S61" s="530">
        <f>'VAC &amp; MED'!FA320</f>
        <v>0</v>
      </c>
      <c r="T61" s="530">
        <f>'VAC &amp; MED'!FJ320</f>
        <v>0</v>
      </c>
      <c r="U61" s="530">
        <f>'VAC &amp; MED'!FS320</f>
        <v>0</v>
      </c>
      <c r="V61" s="530">
        <f>'VAC &amp; MED'!GB320</f>
        <v>0</v>
      </c>
      <c r="W61" s="530">
        <f>'VAC &amp; MED'!GK320</f>
        <v>0</v>
      </c>
      <c r="X61" s="530">
        <f>'VAC &amp; MED'!GT320</f>
        <v>0</v>
      </c>
      <c r="Y61" s="530">
        <f>'VAC &amp; MED'!HC320</f>
        <v>0</v>
      </c>
      <c r="Z61" s="530">
        <f>'VAC &amp; MED'!HL320</f>
        <v>0</v>
      </c>
      <c r="AA61" s="530">
        <f>'VAC &amp; MED'!HV320</f>
        <v>0</v>
      </c>
      <c r="AB61" s="530">
        <f>'VAC &amp; MED'!IE320</f>
        <v>0</v>
      </c>
      <c r="AC61" s="530">
        <f>'VAC &amp; MED'!IN320</f>
        <v>0</v>
      </c>
      <c r="AD61" s="530">
        <f>'VAC &amp; MED'!IW320</f>
        <v>0</v>
      </c>
      <c r="AE61" s="530">
        <f>'VAC &amp; MED'!JF320</f>
        <v>0</v>
      </c>
      <c r="AF61" s="530">
        <f>'VAC &amp; MED'!JO320</f>
        <v>0</v>
      </c>
      <c r="AG61" s="530">
        <f>'VAC &amp; MED'!JX320</f>
        <v>0</v>
      </c>
      <c r="AH61" s="530">
        <f>'VAC &amp; MED'!KG320</f>
        <v>0</v>
      </c>
      <c r="AI61" s="530">
        <f>'VAC &amp; MED'!KP320</f>
        <v>0</v>
      </c>
      <c r="AJ61" s="530">
        <f>'VAC &amp; MED'!KY320</f>
        <v>0</v>
      </c>
      <c r="AK61" s="530">
        <f>'VAC &amp; MED'!LH320</f>
        <v>0</v>
      </c>
      <c r="AL61" s="530">
        <f>'VAC &amp; MED'!LQ320</f>
        <v>0</v>
      </c>
      <c r="AM61" s="530">
        <f>'VAC &amp; MED'!LZ320</f>
        <v>0</v>
      </c>
      <c r="AN61" s="530">
        <f>'VAC &amp; MED'!MI320</f>
        <v>0</v>
      </c>
      <c r="AO61" s="530">
        <f>'VAC &amp; MED'!MR320</f>
        <v>0</v>
      </c>
      <c r="AP61" s="530">
        <f>'VAC &amp; MED'!NA320</f>
        <v>0</v>
      </c>
      <c r="AQ61" s="530">
        <f>'VAC &amp; MED'!NJ320</f>
        <v>0</v>
      </c>
      <c r="AR61" s="530">
        <f>'VAC &amp; MED'!NS320</f>
        <v>0</v>
      </c>
      <c r="AS61" s="530">
        <f>'VAC &amp; MED'!OB320</f>
        <v>0</v>
      </c>
      <c r="AT61" s="530">
        <f>'VAC &amp; MED'!OK320</f>
        <v>0</v>
      </c>
      <c r="AU61" s="530">
        <f>'VAC &amp; MED'!OT320</f>
        <v>0</v>
      </c>
      <c r="AV61" s="530">
        <f>'VAC &amp; MED'!PC320</f>
        <v>0</v>
      </c>
      <c r="AW61" s="530">
        <f>'VAC &amp; MED'!PL320</f>
        <v>0</v>
      </c>
      <c r="AX61" s="530">
        <f>'VAC &amp; MED'!PU320</f>
        <v>0</v>
      </c>
      <c r="AY61" s="530">
        <f>'VAC &amp; MED'!QD320</f>
        <v>0</v>
      </c>
      <c r="AZ61" s="530">
        <f>'VAC &amp; MED'!QM320</f>
        <v>0</v>
      </c>
      <c r="BA61" s="531">
        <f>'VAC &amp; MED'!QV320</f>
        <v>0</v>
      </c>
      <c r="BB61" s="531">
        <f>'VAC &amp; MED'!RE320</f>
        <v>0</v>
      </c>
      <c r="BC61" s="531">
        <f>'VAC &amp; MED'!RN320</f>
        <v>0</v>
      </c>
      <c r="BD61" s="531">
        <f>'VAC &amp; MED'!RW320</f>
        <v>0</v>
      </c>
      <c r="BE61" s="531">
        <f>'VAC &amp; MED'!SF320</f>
        <v>0</v>
      </c>
      <c r="BF61" s="531">
        <f>'VAC &amp; MED'!SO320</f>
        <v>0</v>
      </c>
      <c r="BG61" s="531">
        <f>'VAC &amp; MED'!SX320</f>
        <v>0</v>
      </c>
      <c r="BH61" s="531">
        <f>'VAC &amp; MED'!TG320</f>
        <v>0</v>
      </c>
      <c r="BI61" s="531">
        <f>'VAC &amp; MED'!TP320</f>
        <v>0</v>
      </c>
      <c r="BJ61" s="531">
        <f>'VAC &amp; MED'!TY320</f>
        <v>0</v>
      </c>
      <c r="BK61" s="531">
        <f>'VAC &amp; MED'!UH320</f>
        <v>0</v>
      </c>
      <c r="BL61" s="531">
        <f>'VAC &amp; MED'!UQ320</f>
        <v>0</v>
      </c>
      <c r="BM61" s="531">
        <f>'VAC &amp; MED'!UZ320</f>
        <v>0</v>
      </c>
      <c r="BN61" s="531">
        <f>'VAC &amp; MED'!VI320</f>
        <v>0</v>
      </c>
      <c r="BO61" s="531">
        <f>'VAC &amp; MED'!VR320</f>
        <v>0</v>
      </c>
      <c r="BP61" s="531">
        <f>'VAC &amp; MED'!WA320</f>
        <v>0</v>
      </c>
      <c r="BQ61" s="531">
        <f>'VAC &amp; MED'!WJ320</f>
        <v>0</v>
      </c>
      <c r="BR61" s="531">
        <f>'VAC &amp; MED'!WS320</f>
        <v>0</v>
      </c>
      <c r="BS61" s="531">
        <f>'VAC &amp; MED'!XB320</f>
        <v>0</v>
      </c>
      <c r="BT61" s="531">
        <f>'VAC &amp; MED'!XK320</f>
        <v>0</v>
      </c>
      <c r="BU61" s="531">
        <f>'VAC &amp; MED'!XT320</f>
        <v>0</v>
      </c>
      <c r="BV61" s="531">
        <f>'VAC &amp; MED'!YC320</f>
        <v>0</v>
      </c>
      <c r="BW61" s="531">
        <f>'VAC &amp; MED'!YL320</f>
        <v>0</v>
      </c>
      <c r="BX61" s="531">
        <f>'VAC &amp; MED'!YU320</f>
        <v>0</v>
      </c>
      <c r="BY61" s="531">
        <f>'VAC &amp; MED'!ZD320</f>
        <v>0</v>
      </c>
      <c r="BZ61" s="531">
        <f>'VAC &amp; MED'!ZM320</f>
        <v>0</v>
      </c>
    </row>
    <row r="62" spans="1:83" s="531" customFormat="1" outlineLevel="1">
      <c r="A62" s="536" t="s">
        <v>315</v>
      </c>
      <c r="B62" s="530">
        <f>'VAC &amp; MED'!E320</f>
        <v>0</v>
      </c>
      <c r="C62" s="530">
        <f>'VAC &amp; MED'!N320</f>
        <v>0</v>
      </c>
      <c r="D62" s="530">
        <f>'VAC &amp; MED'!W320</f>
        <v>0</v>
      </c>
      <c r="E62" s="530">
        <f>'VAC &amp; MED'!AF320</f>
        <v>0</v>
      </c>
      <c r="F62" s="530">
        <f>'VAC &amp; MED'!AO320</f>
        <v>0</v>
      </c>
      <c r="G62" s="530">
        <f>'VAC &amp; MED'!AX320</f>
        <v>0</v>
      </c>
      <c r="H62" s="530">
        <f>'VAC &amp; MED'!BG320</f>
        <v>0</v>
      </c>
      <c r="I62" s="530">
        <f>'VAC &amp; MED'!BP320</f>
        <v>0</v>
      </c>
      <c r="J62" s="530">
        <f>'VAC &amp; MED'!BY320</f>
        <v>0</v>
      </c>
      <c r="K62" s="530">
        <f>'VAC &amp; MED'!CH320</f>
        <v>0</v>
      </c>
      <c r="L62" s="530">
        <f>'VAC &amp; MED'!CQ320</f>
        <v>0</v>
      </c>
      <c r="M62" s="530">
        <f>'VAC &amp; MED'!CZ320</f>
        <v>0</v>
      </c>
      <c r="N62" s="530">
        <f>'VAC &amp; MED'!DI320</f>
        <v>0</v>
      </c>
      <c r="O62" s="530">
        <f>'VAC &amp; MED'!DR320</f>
        <v>0</v>
      </c>
      <c r="P62" s="530">
        <f>'VAC &amp; MED'!EB320</f>
        <v>0</v>
      </c>
      <c r="Q62" s="530">
        <f>'VAC &amp; MED'!EJ320</f>
        <v>0</v>
      </c>
      <c r="R62" s="530">
        <f>'VAC &amp; MED'!ES320</f>
        <v>0</v>
      </c>
      <c r="S62" s="530">
        <f>'VAC &amp; MED'!FB320</f>
        <v>0</v>
      </c>
      <c r="T62" s="530">
        <f>'VAC &amp; MED'!FK320</f>
        <v>0</v>
      </c>
      <c r="U62" s="530">
        <f>'VAC &amp; MED'!FT320</f>
        <v>0</v>
      </c>
      <c r="V62" s="530">
        <f>'VAC &amp; MED'!GC320</f>
        <v>0</v>
      </c>
      <c r="W62" s="530">
        <f>'VAC &amp; MED'!GL320</f>
        <v>0</v>
      </c>
      <c r="X62" s="530">
        <f>'VAC &amp; MED'!GU320</f>
        <v>0</v>
      </c>
      <c r="Y62" s="530">
        <f>'VAC &amp; MED'!HD320</f>
        <v>0</v>
      </c>
      <c r="Z62" s="530">
        <f>'VAC &amp; MED'!HM320</f>
        <v>0</v>
      </c>
      <c r="AA62" s="530">
        <f>'VAC &amp; MED'!HW320</f>
        <v>0</v>
      </c>
      <c r="AB62" s="530">
        <f>'VAC &amp; MED'!IF320</f>
        <v>0</v>
      </c>
      <c r="AC62" s="530">
        <f>'VAC &amp; MED'!IO320</f>
        <v>0</v>
      </c>
      <c r="AD62" s="530">
        <f>'VAC &amp; MED'!IX320</f>
        <v>0</v>
      </c>
      <c r="AE62" s="530">
        <f>'VAC &amp; MED'!JG320</f>
        <v>0</v>
      </c>
      <c r="AF62" s="530">
        <f>'VAC &amp; MED'!JP320</f>
        <v>0</v>
      </c>
      <c r="AG62" s="530">
        <f>'VAC &amp; MED'!JY320</f>
        <v>0</v>
      </c>
      <c r="AH62" s="530">
        <f>'VAC &amp; MED'!KH320</f>
        <v>0</v>
      </c>
      <c r="AI62" s="530">
        <f>'VAC &amp; MED'!KR320</f>
        <v>0</v>
      </c>
      <c r="AJ62" s="530">
        <f>'VAC &amp; MED'!KZ320</f>
        <v>0</v>
      </c>
      <c r="AK62" s="530">
        <f>'VAC &amp; MED'!LI320</f>
        <v>0</v>
      </c>
      <c r="AL62" s="530">
        <f>'VAC &amp; MED'!LR320</f>
        <v>0</v>
      </c>
      <c r="AM62" s="530">
        <f>'VAC &amp; MED'!MA320</f>
        <v>0</v>
      </c>
      <c r="AN62" s="530">
        <f>'VAC &amp; MED'!MJ320</f>
        <v>0</v>
      </c>
      <c r="AO62" s="530">
        <f>'VAC &amp; MED'!MS320</f>
        <v>0</v>
      </c>
      <c r="AP62" s="530">
        <f>'VAC &amp; MED'!NB320</f>
        <v>0</v>
      </c>
      <c r="AQ62" s="530">
        <f>'VAC &amp; MED'!NK320</f>
        <v>0</v>
      </c>
      <c r="AR62" s="530">
        <f>'VAC &amp; MED'!NU320</f>
        <v>0</v>
      </c>
      <c r="AS62" s="530">
        <f>'VAC &amp; MED'!OC320</f>
        <v>0</v>
      </c>
      <c r="AT62" s="530">
        <f>'VAC &amp; MED'!OM320</f>
        <v>0</v>
      </c>
      <c r="AU62" s="530">
        <f>'VAC &amp; MED'!OV320</f>
        <v>0</v>
      </c>
      <c r="AV62" s="530">
        <f>'VAC &amp; MED'!PE320</f>
        <v>0</v>
      </c>
      <c r="AW62" s="530">
        <f>'VAC &amp; MED'!PN320</f>
        <v>0</v>
      </c>
      <c r="AX62" s="530">
        <f>'VAC &amp; MED'!PW320</f>
        <v>0</v>
      </c>
      <c r="AY62" s="530">
        <f>'VAC &amp; MED'!QF320</f>
        <v>0</v>
      </c>
      <c r="AZ62" s="530">
        <f>'VAC &amp; MED'!QO320</f>
        <v>0</v>
      </c>
      <c r="BA62" s="531">
        <f>'VAC &amp; MED'!QX320</f>
        <v>0</v>
      </c>
      <c r="BB62" s="531">
        <f>'VAC &amp; MED'!RG320</f>
        <v>0</v>
      </c>
      <c r="BC62" s="531">
        <f>'VAC &amp; MED'!RP320</f>
        <v>0</v>
      </c>
      <c r="BD62" s="531">
        <f>'VAC &amp; MED'!RY320</f>
        <v>0</v>
      </c>
      <c r="BE62" s="531">
        <f>'VAC &amp; MED'!SH320</f>
        <v>0</v>
      </c>
      <c r="BF62" s="531">
        <f>'VAC &amp; MED'!SQ320</f>
        <v>0</v>
      </c>
      <c r="BG62" s="531">
        <f>'VAC &amp; MED'!SZ320</f>
        <v>0</v>
      </c>
      <c r="BH62" s="531">
        <f>'VAC &amp; MED'!TI320</f>
        <v>0</v>
      </c>
      <c r="BI62" s="531">
        <f>'VAC &amp; MED'!TR320</f>
        <v>0</v>
      </c>
      <c r="BJ62" s="531">
        <f>'VAC &amp; MED'!UA320</f>
        <v>0</v>
      </c>
      <c r="BK62" s="531">
        <f>'VAC &amp; MED'!UJ320</f>
        <v>0</v>
      </c>
      <c r="BL62" s="531">
        <f>'VAC &amp; MED'!US320</f>
        <v>0</v>
      </c>
      <c r="BM62" s="531">
        <f>'VAC &amp; MED'!VB320</f>
        <v>0</v>
      </c>
      <c r="BN62" s="531">
        <f>'VAC &amp; MED'!VK320</f>
        <v>0</v>
      </c>
      <c r="BO62" s="531">
        <f>'VAC &amp; MED'!VT320</f>
        <v>0</v>
      </c>
      <c r="BP62" s="531">
        <f>'VAC &amp; MED'!WC320</f>
        <v>0</v>
      </c>
      <c r="BQ62" s="531">
        <f>'VAC &amp; MED'!WL320</f>
        <v>0</v>
      </c>
      <c r="BR62" s="531">
        <f>'VAC &amp; MED'!WU320</f>
        <v>0</v>
      </c>
      <c r="BS62" s="531">
        <f>'VAC &amp; MED'!XD320</f>
        <v>0</v>
      </c>
      <c r="BT62" s="531">
        <f>'VAC &amp; MED'!XM320</f>
        <v>0</v>
      </c>
      <c r="BU62" s="531">
        <f>'VAC &amp; MED'!XV320</f>
        <v>0</v>
      </c>
      <c r="BV62" s="531">
        <f>'VAC &amp; MED'!YE320</f>
        <v>0</v>
      </c>
      <c r="BW62" s="531">
        <f>'VAC &amp; MED'!YN320</f>
        <v>0</v>
      </c>
      <c r="BX62" s="531">
        <f>'VAC &amp; MED'!YW320</f>
        <v>0</v>
      </c>
      <c r="BY62" s="531">
        <f>'VAC &amp; MED'!ZF320</f>
        <v>0</v>
      </c>
      <c r="BZ62" s="531">
        <f>'VAC &amp; MED'!ZO320</f>
        <v>0</v>
      </c>
    </row>
    <row r="63" spans="1:83" s="531" customFormat="1" outlineLevel="1">
      <c r="A63" s="536" t="s">
        <v>316</v>
      </c>
      <c r="B63" s="530">
        <f>'VAC &amp; MED'!G320</f>
        <v>0</v>
      </c>
      <c r="C63" s="530">
        <f>'VAC &amp; MED'!P320</f>
        <v>0</v>
      </c>
      <c r="D63" s="530">
        <f>'VAC &amp; MED'!Y320</f>
        <v>0</v>
      </c>
      <c r="E63" s="530">
        <f>'VAC &amp; MED'!AH320</f>
        <v>0</v>
      </c>
      <c r="F63" s="530">
        <f>'VAC &amp; MED'!AQ320</f>
        <v>0</v>
      </c>
      <c r="G63" s="530">
        <f>'VAC &amp; MED'!AZ320</f>
        <v>0</v>
      </c>
      <c r="H63" s="530">
        <f>'VAC &amp; MED'!BI320</f>
        <v>0</v>
      </c>
      <c r="I63" s="530">
        <f>'VAC &amp; MED'!BR320</f>
        <v>0</v>
      </c>
      <c r="J63" s="530">
        <f>'VAC &amp; MED'!CA320</f>
        <v>0</v>
      </c>
      <c r="K63" s="530">
        <f>'VAC &amp; MED'!CJ320</f>
        <v>0</v>
      </c>
      <c r="L63" s="530">
        <f>'VAC &amp; MED'!CS320</f>
        <v>0</v>
      </c>
      <c r="M63" s="530">
        <f>'VAC &amp; MED'!DB320</f>
        <v>0</v>
      </c>
      <c r="N63" s="530">
        <f>'VAC &amp; MED'!DK320</f>
        <v>0</v>
      </c>
      <c r="O63" s="530">
        <f>'VAC &amp; MED'!DT320</f>
        <v>0</v>
      </c>
      <c r="P63" s="530"/>
      <c r="Q63" s="530">
        <f>'VAC &amp; MED'!EL320</f>
        <v>0</v>
      </c>
      <c r="R63" s="530">
        <f>'VAC &amp; MED'!EU320</f>
        <v>0</v>
      </c>
      <c r="S63" s="530">
        <f>'VAC &amp; MED'!FD320</f>
        <v>0</v>
      </c>
      <c r="T63" s="530">
        <f>'VAC &amp; MED'!FM320</f>
        <v>0</v>
      </c>
      <c r="U63" s="530">
        <f>'VAC &amp; MED'!FV320</f>
        <v>0</v>
      </c>
      <c r="V63" s="530">
        <f>'VAC &amp; MED'!GE320</f>
        <v>0</v>
      </c>
      <c r="W63" s="530">
        <f>'VAC &amp; MED'!GN320</f>
        <v>0</v>
      </c>
      <c r="X63" s="530">
        <f>'VAC &amp; MED'!GW320</f>
        <v>0</v>
      </c>
      <c r="Y63" s="530">
        <f>'VAC &amp; MED'!HF320</f>
        <v>0</v>
      </c>
      <c r="Z63" s="530">
        <f>'VAC &amp; MED'!HO320</f>
        <v>0</v>
      </c>
      <c r="AA63" s="530">
        <f>'VAC &amp; MED'!HY320</f>
        <v>0</v>
      </c>
      <c r="AB63" s="530">
        <f>'VAC &amp; MED'!IH320</f>
        <v>0</v>
      </c>
      <c r="AC63" s="530">
        <f>'VAC &amp; MED'!IQ320</f>
        <v>0</v>
      </c>
      <c r="AD63" s="530">
        <f>'VAC &amp; MED'!IZ320</f>
        <v>0</v>
      </c>
      <c r="AE63" s="530">
        <f>'VAC &amp; MED'!JI320</f>
        <v>0</v>
      </c>
      <c r="AF63" s="530">
        <f>'VAC &amp; MED'!JR320</f>
        <v>0</v>
      </c>
      <c r="AG63" s="530">
        <f>'VAC &amp; MED'!KA320</f>
        <v>0</v>
      </c>
      <c r="AH63" s="530">
        <f>'VAC &amp; MED'!KJ320</f>
        <v>0</v>
      </c>
      <c r="AI63" s="530"/>
      <c r="AJ63" s="530">
        <f>'VAC &amp; MED'!LB320</f>
        <v>0</v>
      </c>
      <c r="AK63" s="530">
        <f>'VAC &amp; MED'!LK320</f>
        <v>0</v>
      </c>
      <c r="AL63" s="530">
        <f>'VAC &amp; MED'!LT320</f>
        <v>0</v>
      </c>
      <c r="AM63" s="532"/>
      <c r="AN63" s="532"/>
      <c r="AO63" s="532"/>
      <c r="AP63" s="532"/>
      <c r="AQ63" s="532"/>
      <c r="AR63" s="532"/>
      <c r="AS63" s="532"/>
      <c r="AT63" s="532"/>
      <c r="AU63" s="532"/>
      <c r="AV63" s="532"/>
      <c r="AW63" s="532"/>
      <c r="AX63" s="532"/>
      <c r="AY63" s="532"/>
      <c r="AZ63" s="532"/>
      <c r="BA63" s="533"/>
      <c r="BB63" s="533"/>
      <c r="BC63" s="533"/>
      <c r="BD63" s="533"/>
      <c r="BE63" s="533"/>
      <c r="BF63" s="533"/>
      <c r="BG63" s="533"/>
      <c r="BH63" s="533"/>
      <c r="BI63" s="531">
        <f>'VAC &amp; MED'!TS320</f>
        <v>0</v>
      </c>
      <c r="BJ63" s="531">
        <f>'VAC &amp; MED'!UB320</f>
        <v>0</v>
      </c>
      <c r="BK63" s="531">
        <f>'VAC &amp; MED'!UK320</f>
        <v>0</v>
      </c>
      <c r="BL63" s="531">
        <f>'VAC &amp; MED'!UT320</f>
        <v>0</v>
      </c>
      <c r="BM63" s="531">
        <f>'VAC &amp; MED'!VC320</f>
        <v>0</v>
      </c>
      <c r="BN63" s="531">
        <f>'VAC &amp; MED'!VL320</f>
        <v>0</v>
      </c>
      <c r="BO63" s="531">
        <f>'VAC &amp; MED'!VU320</f>
        <v>0</v>
      </c>
      <c r="BP63" s="533"/>
      <c r="BQ63" s="533"/>
      <c r="BR63" s="533"/>
      <c r="BS63" s="533"/>
      <c r="BT63" s="533"/>
      <c r="BU63" s="533"/>
      <c r="BV63" s="533"/>
      <c r="BW63" s="533"/>
      <c r="BX63" s="533"/>
      <c r="BY63" s="533"/>
      <c r="BZ63" s="533"/>
      <c r="CA63" s="533"/>
      <c r="CB63" s="533"/>
      <c r="CC63" s="533"/>
      <c r="CD63" s="533"/>
      <c r="CE63" s="533"/>
    </row>
    <row r="64" spans="1:83" s="535" customFormat="1">
      <c r="A64" s="537" t="s">
        <v>171</v>
      </c>
      <c r="B64" s="534">
        <f>'VAC &amp; MED'!H320</f>
        <v>236936.6</v>
      </c>
      <c r="C64" s="534">
        <f>'VAC &amp; MED'!Q320</f>
        <v>53017.600000000071</v>
      </c>
      <c r="D64" s="534">
        <f>'VAC &amp; MED'!Z320</f>
        <v>42674.199999999968</v>
      </c>
      <c r="E64" s="534">
        <f>'VAC &amp; MED'!AI320</f>
        <v>4522.2000000000189</v>
      </c>
      <c r="F64" s="534">
        <f>'VAC &amp; MED'!AR320</f>
        <v>0</v>
      </c>
      <c r="G64" s="534">
        <f>'VAC &amp; MED'!BA320</f>
        <v>124.99999999999523</v>
      </c>
      <c r="H64" s="534">
        <f>'VAC &amp; MED'!BJ320</f>
        <v>26151.899999999998</v>
      </c>
      <c r="I64" s="534">
        <f>'VAC &amp; MED'!BS320</f>
        <v>0</v>
      </c>
      <c r="J64" s="534">
        <f>'VAC &amp; MED'!CB320</f>
        <v>2097.3399999999992</v>
      </c>
      <c r="K64" s="534">
        <f>'VAC &amp; MED'!CK320</f>
        <v>-10277.079999999998</v>
      </c>
      <c r="L64" s="534">
        <f>'VAC &amp; MED'!CT320</f>
        <v>0</v>
      </c>
      <c r="M64" s="534">
        <f>'VAC &amp; MED'!DC320</f>
        <v>27438.200000000012</v>
      </c>
      <c r="N64" s="534">
        <f>'VAC &amp; MED'!DL320</f>
        <v>18782.299999999981</v>
      </c>
      <c r="O64" s="534">
        <f>'VAC &amp; MED'!DU320</f>
        <v>5800</v>
      </c>
      <c r="P64" s="534">
        <f>'VAC &amp; MED'!ED320</f>
        <v>0</v>
      </c>
      <c r="Q64" s="534">
        <f>'VAC &amp; MED'!EM320</f>
        <v>0</v>
      </c>
      <c r="R64" s="534">
        <f>'VAC &amp; MED'!EV320</f>
        <v>0</v>
      </c>
      <c r="S64" s="534">
        <f>'VAC &amp; MED'!FE320</f>
        <v>0</v>
      </c>
      <c r="T64" s="534">
        <f>'VAC &amp; MED'!FN320</f>
        <v>0</v>
      </c>
      <c r="U64" s="534">
        <f>'VAC &amp; MED'!FW320</f>
        <v>2020</v>
      </c>
      <c r="V64" s="534">
        <f>'VAC &amp; MED'!GF320</f>
        <v>960</v>
      </c>
      <c r="W64" s="534">
        <f>'VAC &amp; MED'!GO320</f>
        <v>1760</v>
      </c>
      <c r="X64" s="534">
        <f>'VAC &amp; MED'!GX320</f>
        <v>400</v>
      </c>
      <c r="Y64" s="534">
        <f>'VAC &amp; MED'!HG320</f>
        <v>3600</v>
      </c>
      <c r="Z64" s="534">
        <f>'VAC &amp; MED'!HP320</f>
        <v>0</v>
      </c>
      <c r="AA64" s="534">
        <f>'VAC &amp; MED'!HZ320</f>
        <v>6120</v>
      </c>
      <c r="AB64" s="534">
        <f>'VAC &amp; MED'!II320</f>
        <v>0</v>
      </c>
      <c r="AC64" s="534">
        <f>'VAC &amp; MED'!IR320</f>
        <v>0</v>
      </c>
      <c r="AD64" s="534">
        <f>'VAC &amp; MED'!JA320</f>
        <v>2820</v>
      </c>
      <c r="AE64" s="534">
        <f>'VAC &amp; MED'!JJ320</f>
        <v>0</v>
      </c>
      <c r="AF64" s="534">
        <f>'VAC &amp; MED'!JS320</f>
        <v>0</v>
      </c>
      <c r="AG64" s="534">
        <f>'VAC &amp; MED'!KB320</f>
        <v>2540</v>
      </c>
      <c r="AH64" s="534">
        <f>'VAC &amp; MED'!KK320</f>
        <v>2359.5</v>
      </c>
      <c r="AI64" s="534">
        <f>'VAC &amp; MED'!KT320</f>
        <v>1890</v>
      </c>
      <c r="AJ64" s="534">
        <f>'VAC &amp; MED'!LC320</f>
        <v>3690</v>
      </c>
      <c r="AK64" s="534">
        <f>'VAC &amp; MED'!LL320</f>
        <v>4000</v>
      </c>
      <c r="AL64" s="534">
        <f>'VAC &amp; MED'!LU320</f>
        <v>0</v>
      </c>
      <c r="AM64" s="534">
        <f>'VAC &amp; MED'!MD320</f>
        <v>0</v>
      </c>
      <c r="AN64" s="534">
        <f>'VAC &amp; MED'!MM320</f>
        <v>0</v>
      </c>
      <c r="AO64" s="534">
        <f>'VAC &amp; MED'!MV320</f>
        <v>1625</v>
      </c>
      <c r="AP64" s="534">
        <f>'VAC &amp; MED'!NE320</f>
        <v>0</v>
      </c>
      <c r="AQ64" s="534">
        <f>'VAC &amp; MED'!NN320</f>
        <v>1127</v>
      </c>
      <c r="AR64" s="534">
        <f>'VAC &amp; MED'!NW320</f>
        <v>3111.9999999999995</v>
      </c>
      <c r="AS64" s="534">
        <f>'VAC &amp; MED'!OF320</f>
        <v>1680.5</v>
      </c>
      <c r="AT64" s="534">
        <f>'VAC &amp; MED'!OO320</f>
        <v>0</v>
      </c>
      <c r="AU64" s="534">
        <f>'VAC &amp; MED'!OX320</f>
        <v>1482</v>
      </c>
      <c r="AV64" s="534">
        <f>'VAC &amp; MED'!PG320</f>
        <v>0</v>
      </c>
      <c r="AW64" s="534">
        <f>'VAC &amp; MED'!PP320</f>
        <v>100</v>
      </c>
      <c r="AX64" s="534">
        <f>'VAC &amp; MED'!PY320</f>
        <v>13.960000000000036</v>
      </c>
      <c r="AY64" s="534">
        <f>'VAC &amp; MED'!QH320</f>
        <v>548</v>
      </c>
      <c r="AZ64" s="534">
        <f>'VAC &amp; MED'!QQ320</f>
        <v>0</v>
      </c>
      <c r="BA64" s="535">
        <f>'VAC &amp; MED'!QZ320</f>
        <v>0</v>
      </c>
      <c r="BB64" s="535">
        <f>'VAC &amp; MED'!RI320</f>
        <v>147.04000000000002</v>
      </c>
      <c r="BC64" s="535">
        <f>'VAC &amp; MED'!RR320</f>
        <v>46.8</v>
      </c>
      <c r="BD64" s="535">
        <f>'VAC &amp; MED'!SA320</f>
        <v>0</v>
      </c>
      <c r="BE64" s="535">
        <f>'VAC &amp; MED'!SJ320</f>
        <v>24.200000000000003</v>
      </c>
      <c r="BF64" s="535">
        <f>'VAC &amp; MED'!SS320</f>
        <v>32</v>
      </c>
      <c r="BG64" s="535">
        <f>'VAC &amp; MED'!TB320</f>
        <v>0</v>
      </c>
      <c r="BH64" s="535">
        <f>'VAC &amp; MED'!TK320</f>
        <v>0</v>
      </c>
      <c r="BI64" s="535">
        <f>'VAC &amp; MED'!TT320</f>
        <v>0</v>
      </c>
      <c r="BJ64" s="535">
        <f>'VAC &amp; MED'!UC320</f>
        <v>46.799999999999983</v>
      </c>
      <c r="BK64" s="535">
        <f>'VAC &amp; MED'!UL320</f>
        <v>204</v>
      </c>
      <c r="BL64" s="535">
        <f>'VAC &amp; MED'!UU320</f>
        <v>202.5</v>
      </c>
      <c r="BM64" s="535">
        <f>'VAC &amp; MED'!VD320</f>
        <v>41.600000000000023</v>
      </c>
      <c r="BN64" s="535">
        <f>'VAC &amp; MED'!VM320</f>
        <v>210</v>
      </c>
      <c r="BO64" s="535">
        <f>'VAC &amp; MED'!VV320</f>
        <v>0</v>
      </c>
      <c r="BP64" s="535">
        <f>'VAC &amp; MED'!WE320</f>
        <v>0</v>
      </c>
      <c r="BQ64" s="535">
        <f>'VAC &amp; MED'!WN320</f>
        <v>1057</v>
      </c>
      <c r="BR64" s="535">
        <f>'VAC &amp; MED'!WW320</f>
        <v>0</v>
      </c>
      <c r="BS64" s="535">
        <f>'VAC &amp; MED'!XF320</f>
        <v>7507</v>
      </c>
      <c r="BT64" s="535">
        <f>'VAC &amp; MED'!XO320</f>
        <v>4252</v>
      </c>
      <c r="BU64" s="535">
        <f>'VAC &amp; MED'!XX320</f>
        <v>2179</v>
      </c>
      <c r="BV64" s="535">
        <f>'VAC &amp; MED'!YG320</f>
        <v>4019</v>
      </c>
      <c r="BW64" s="535">
        <f>'VAC &amp; MED'!YP320</f>
        <v>-218</v>
      </c>
      <c r="BX64" s="535">
        <f>'VAC &amp; MED'!YY320</f>
        <v>0</v>
      </c>
      <c r="BY64" s="535">
        <f>'VAC &amp; MED'!ZH320</f>
        <v>0</v>
      </c>
      <c r="BZ64" s="535">
        <f>'VAC &amp; MED'!ZQ320</f>
        <v>0</v>
      </c>
    </row>
    <row r="65" spans="1:83" s="2" customFormat="1" ht="16.149999999999999" thickBot="1">
      <c r="A65" s="537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</row>
    <row r="66" spans="1:83" s="2" customFormat="1" ht="47.45" thickBot="1">
      <c r="A66" s="539" t="s">
        <v>308</v>
      </c>
      <c r="B66" s="215" t="str">
        <f>PRODUCE!$EA$7</f>
        <v>MAIZE/CORN</v>
      </c>
      <c r="C66" s="216" t="str">
        <f>PRODUCE!$EA$8</f>
        <v>SOYBEAN MEAL (ARG)</v>
      </c>
      <c r="D66" s="217" t="str">
        <f>PRODUCE!$EA$9</f>
        <v>SOYBEAN FULL FAT</v>
      </c>
      <c r="E66" s="218" t="str">
        <f>PRODUCE!$EA$10</f>
        <v>WHEAT POLLARD</v>
      </c>
      <c r="F66" s="219" t="str">
        <f>PRODUCE!$EA$11</f>
        <v>WHEAT</v>
      </c>
      <c r="G66" s="220" t="str">
        <f>PRODUCE!$EA$12</f>
        <v>MEAT AND BONE MEAL</v>
      </c>
      <c r="H66" s="221" t="str">
        <f>PRODUCE!$EA$13</f>
        <v>CORN GLUTEN MEAL</v>
      </c>
      <c r="I66" s="222" t="str">
        <f>PRODUCE!$EA$14</f>
        <v>MEGAFAT (HARUMI)</v>
      </c>
      <c r="J66" s="223" t="str">
        <f>PRODUCE!$EA$15</f>
        <v>DCP 18%</v>
      </c>
      <c r="K66" s="224" t="str">
        <f>PRODUCE!$EA$16</f>
        <v>LIMESTONE POWDER (HARUMI)</v>
      </c>
      <c r="L66" s="225" t="str">
        <f>PRODUCE!$EA$17</f>
        <v>CHOLINE CHLORIDE 60%</v>
      </c>
      <c r="M66" s="226" t="str">
        <f>PRODUCE!$EA$18</f>
        <v>INDUSTRY FLOUR</v>
      </c>
      <c r="N66" s="227" t="str">
        <f>PRODUCE!$EA$19</f>
        <v>RICE BRAN</v>
      </c>
      <c r="O66" s="228" t="str">
        <f>PRODUCE!$EA$20</f>
        <v>EP 200</v>
      </c>
      <c r="P66" s="229" t="str">
        <f>PRODUCE!$EA$21</f>
        <v>SOYTIDE</v>
      </c>
      <c r="Q66" s="230" t="str">
        <f>PRODUCE!$EA$22</f>
        <v>DCP 18% (HARUMI)</v>
      </c>
      <c r="R66" s="231">
        <f>PRODUCE!$EA$23</f>
        <v>1</v>
      </c>
      <c r="S66" s="232">
        <f>PRODUCE!$EA$24</f>
        <v>2</v>
      </c>
      <c r="T66" s="233">
        <f>PRODUCE!$EA$25</f>
        <v>3</v>
      </c>
      <c r="U66" s="234" t="str">
        <f>PRODUCE!$EA$26</f>
        <v>PREMIX 1101 (20KG)</v>
      </c>
      <c r="V66" s="235" t="str">
        <f>PRODUCE!$EA$27</f>
        <v>PREMIX 1102 (20KG)</v>
      </c>
      <c r="W66" s="236" t="str">
        <f>PRODUCE!$EA$28</f>
        <v>PREMIX 1103 (20KG)</v>
      </c>
      <c r="X66" s="237" t="str">
        <f>PRODUCE!$EA$29</f>
        <v>PREMIX 311 (20KG)</v>
      </c>
      <c r="Y66" s="238" t="str">
        <f>PRODUCE!$EA$30</f>
        <v>PREMIX 312 (20KG)</v>
      </c>
      <c r="Z66" s="239">
        <f>PRODUCE!$EA$31</f>
        <v>1</v>
      </c>
      <c r="AA66" s="240" t="str">
        <f>PRODUCE!$EA$32</f>
        <v>PREMIX 8100 (20KG)</v>
      </c>
      <c r="AB66" s="240" t="str">
        <f>PRODUCE!$EA$33</f>
        <v>PREMIX 8101 (20KG)</v>
      </c>
      <c r="AC66" s="240" t="str">
        <f>PRODUCE!$EA$34</f>
        <v>PREMIX 8102 (20KG)</v>
      </c>
      <c r="AD66" s="240" t="str">
        <f>PRODUCE!$EA$35</f>
        <v>PREMIX 8103 (20KG)</v>
      </c>
      <c r="AE66" s="240" t="str">
        <f>PRODUCE!$EA$36</f>
        <v>PREMIX 8108 (20KG)</v>
      </c>
      <c r="AF66" s="240" t="str">
        <f>PRODUCE!$EA$37</f>
        <v>PREMIX 8109 (20KG)</v>
      </c>
      <c r="AG66" s="240" t="str">
        <f>PRODUCE!$EA$38</f>
        <v>YENMIX 121 (20KG)</v>
      </c>
      <c r="AH66" s="240" t="str">
        <f>PRODUCE!$EA$39</f>
        <v>YENMIX 122 (19.50KG)</v>
      </c>
      <c r="AI66" s="240" t="str">
        <f>PRODUCE!$EA$40</f>
        <v>YENMIX 123 (18.90KG)</v>
      </c>
      <c r="AJ66" s="240" t="str">
        <f>PRODUCE!$EA$41</f>
        <v>YENMIX 122 (20.50KG)</v>
      </c>
      <c r="AK66" s="240" t="str">
        <f>PRODUCE!$EA$42</f>
        <v>YENMIX 123 (20.00KG)</v>
      </c>
      <c r="AL66" s="240">
        <f>PRODUCE!$EA$43</f>
        <v>1</v>
      </c>
      <c r="AM66" s="240">
        <f>PRODUCE!$EA$44</f>
        <v>2</v>
      </c>
      <c r="AN66" s="240">
        <f>PRODUCE!$EA$45</f>
        <v>3</v>
      </c>
      <c r="AO66" s="240" t="str">
        <f>PRODUCE!$EA$46</f>
        <v>TOXISORB PREMIUM</v>
      </c>
      <c r="AP66" s="240" t="str">
        <f>PRODUCE!$EA$47</f>
        <v>SODIUM HUMATE 3.8% (HARUMI)</v>
      </c>
      <c r="AQ66" s="240" t="str">
        <f>PRODUCE!$EA$48</f>
        <v>TOXIWALL</v>
      </c>
      <c r="AR66" s="240" t="str">
        <f>PRODUCE!$EA$49</f>
        <v>SODIUM BICARBONATE</v>
      </c>
      <c r="AS66" s="240" t="str">
        <f>PRODUCE!$EA$50</f>
        <v>BMD 10%</v>
      </c>
      <c r="AT66" s="240" t="str">
        <f>PRODUCE!$EA$51</f>
        <v>SALT (HARUMI)</v>
      </c>
      <c r="AU66" s="240" t="str">
        <f>PRODUCE!$EA$52</f>
        <v>VISTABET 91</v>
      </c>
      <c r="AV66" s="240" t="str">
        <f>PRODUCE!$EA$53</f>
        <v>BETAFIN</v>
      </c>
      <c r="AW66" s="240" t="str">
        <f>PRODUCE!$EA$54</f>
        <v>8101 TOP UP</v>
      </c>
      <c r="AX66" s="240" t="str">
        <f>PRODUCE!$EA$55</f>
        <v>NORPONIN X03 (8102 TOP UP)</v>
      </c>
      <c r="AY66" s="240" t="str">
        <f>PRODUCE!$EA$56</f>
        <v>8102 TOP UP (4KG)</v>
      </c>
      <c r="AZ66" s="240" t="str">
        <f>PRODUCE!$EA$57</f>
        <v>8103 TOP UP (5KG)</v>
      </c>
      <c r="BA66" s="240" t="str">
        <f>PRODUCE!$EA$58</f>
        <v>L-ARGININE</v>
      </c>
      <c r="BB66" s="240" t="str">
        <f>PRODUCE!$EA$59</f>
        <v>DL-METHIONINE</v>
      </c>
      <c r="BC66" s="240" t="str">
        <f>PRODUCE!$EA$60</f>
        <v>L-THREONINE</v>
      </c>
      <c r="BD66" s="240" t="str">
        <f>PRODUCE!$EA$61</f>
        <v>L-LYSINE</v>
      </c>
      <c r="BE66" s="240" t="str">
        <f>PRODUCE!$EA$62</f>
        <v>FAECES DRY</v>
      </c>
      <c r="BF66" s="240" t="str">
        <f>PRODUCE!$EA$63</f>
        <v>ECOBIOL</v>
      </c>
      <c r="BG66" s="240" t="str">
        <f>PRODUCE!$EA$64</f>
        <v>ADDITIVE BROILER IMMUNE</v>
      </c>
      <c r="BH66" s="240" t="str">
        <f>PRODUCE!$EA$65</f>
        <v>MASTER CUBE (HARUMI)</v>
      </c>
      <c r="BI66" s="240" t="str">
        <f>PRODUCE!$EA$66</f>
        <v>1101 TOP UP (0.40KG)</v>
      </c>
      <c r="BJ66" s="240" t="str">
        <f>PRODUCE!$EA$67</f>
        <v>1102 TOP UP (0.60KG)</v>
      </c>
      <c r="BK66" s="240" t="str">
        <f>PRODUCE!$EA$68</f>
        <v>1103 TOP UP (2.00KG)</v>
      </c>
      <c r="BL66" s="240" t="str">
        <f>PRODUCE!$EA$69</f>
        <v>QUANTUM GLO 4%</v>
      </c>
      <c r="BM66" s="240" t="str">
        <f>PRODUCE!$EA$70</f>
        <v>SALT</v>
      </c>
      <c r="BN66" s="240" t="str">
        <f>PRODUCE!$EA$71</f>
        <v>OC 200 - OXYTET 20%</v>
      </c>
      <c r="BO66" s="240">
        <f>PRODUCE!$EA$72</f>
        <v>3</v>
      </c>
      <c r="BP66" s="387">
        <f>PRODUCE!$EA$73</f>
        <v>4</v>
      </c>
      <c r="BQ66" s="392" t="str">
        <f>PRODUCE!$EA$74</f>
        <v>WOVEN BAG (1101) - BLUE 50KG</v>
      </c>
      <c r="BR66" s="391" t="str">
        <f>PRODUCE!$EA$75</f>
        <v>WOVEN BAG (1102) - GREEN 50KG</v>
      </c>
      <c r="BS66" s="388" t="str">
        <f>PRODUCE!$EA$76</f>
        <v>WOVEN BAG (1103) - RED 50KG</v>
      </c>
      <c r="BT66" s="389" t="str">
        <f>PRODUCE!$EA$77</f>
        <v>PLAIN BAG 26" X 39" (50KG)</v>
      </c>
      <c r="BU66" s="350" t="str">
        <f>PRODUCE!$EA$78</f>
        <v>WOVEN BAG (8101) - KHAKI 50KG</v>
      </c>
      <c r="BV66" s="390" t="str">
        <f>PRODUCE!$EA$79</f>
        <v>WOVEN BAG (8102) - SKY BLUE 50KG</v>
      </c>
      <c r="BW66" s="240" t="str">
        <f>PRODUCE!$EA$80</f>
        <v>WOVEN BAG (8103) - BROWN 50KG</v>
      </c>
      <c r="BX66" s="240">
        <f>PRODUCE!$EA$81</f>
        <v>1</v>
      </c>
      <c r="BY66" s="240">
        <f>PRODUCE!$EA$82</f>
        <v>2</v>
      </c>
      <c r="BZ66" s="240">
        <f>PRODUCE!$EA$83</f>
        <v>3</v>
      </c>
      <c r="CA66" s="240">
        <f>PRODUCE!$EA$84</f>
        <v>4</v>
      </c>
      <c r="CB66" s="240">
        <f>PRODUCE!$EA$85</f>
        <v>5</v>
      </c>
      <c r="CC66" s="240">
        <f>PRODUCE!$EA$86</f>
        <v>6</v>
      </c>
      <c r="CD66" s="240">
        <f>PRODUCE!$EA$87</f>
        <v>7</v>
      </c>
      <c r="CE66" s="240">
        <f>PRODUCE!$EA$88</f>
        <v>8</v>
      </c>
    </row>
    <row r="67" spans="1:83" s="531" customFormat="1" outlineLevel="1">
      <c r="A67" s="536" t="s">
        <v>313</v>
      </c>
      <c r="B67" s="530">
        <f>'VAC &amp; MED'!H324</f>
        <v>236936.6</v>
      </c>
      <c r="C67" s="530">
        <f>'VAC &amp; MED'!Q324</f>
        <v>53017.600000000071</v>
      </c>
      <c r="D67" s="530">
        <f>'VAC &amp; MED'!Z324</f>
        <v>42674.199999999968</v>
      </c>
      <c r="E67" s="530">
        <f>'VAC &amp; MED'!AI324</f>
        <v>4522.2000000000189</v>
      </c>
      <c r="F67" s="530">
        <f>'VAC &amp; MED'!AR324</f>
        <v>0</v>
      </c>
      <c r="G67" s="530">
        <f>'VAC &amp; MED'!BA324</f>
        <v>124.99999999999523</v>
      </c>
      <c r="H67" s="530">
        <f>'VAC &amp; MED'!BJ324</f>
        <v>26151.899999999998</v>
      </c>
      <c r="I67" s="530">
        <f>'VAC &amp; MED'!BS324</f>
        <v>0</v>
      </c>
      <c r="J67" s="530">
        <f>'VAC &amp; MED'!CB324</f>
        <v>2097.3399999999992</v>
      </c>
      <c r="K67" s="530">
        <f>'VAC &amp; MED'!CK324</f>
        <v>-10277.079999999998</v>
      </c>
      <c r="L67" s="530">
        <f>'VAC &amp; MED'!CT324</f>
        <v>0</v>
      </c>
      <c r="M67" s="530">
        <f>'VAC &amp; MED'!DC324</f>
        <v>27438.200000000012</v>
      </c>
      <c r="N67" s="530">
        <f>'VAC &amp; MED'!DL324</f>
        <v>18782.299999999981</v>
      </c>
      <c r="O67" s="530">
        <f>'VAC &amp; MED'!DU324</f>
        <v>5800</v>
      </c>
      <c r="P67" s="530">
        <f>'VAC &amp; MED'!ED324</f>
        <v>0</v>
      </c>
      <c r="Q67" s="530">
        <f>'VAC &amp; MED'!EM324</f>
        <v>0</v>
      </c>
      <c r="R67" s="530">
        <f>'VAC &amp; MED'!EV324</f>
        <v>0</v>
      </c>
      <c r="S67" s="530">
        <f>'VAC &amp; MED'!FE324</f>
        <v>0</v>
      </c>
      <c r="T67" s="530">
        <f>'VAC &amp; MED'!FN324</f>
        <v>0</v>
      </c>
      <c r="U67" s="530">
        <f>'VAC &amp; MED'!FW324</f>
        <v>2020</v>
      </c>
      <c r="V67" s="530">
        <f>'VAC &amp; MED'!GF324</f>
        <v>960</v>
      </c>
      <c r="W67" s="530">
        <f>'VAC &amp; MED'!GO324</f>
        <v>1760</v>
      </c>
      <c r="X67" s="530">
        <f>'VAC &amp; MED'!GX324</f>
        <v>400</v>
      </c>
      <c r="Y67" s="530">
        <f>'VAC &amp; MED'!HG324</f>
        <v>3600</v>
      </c>
      <c r="Z67" s="530">
        <f>'VAC &amp; MED'!HP324</f>
        <v>0</v>
      </c>
      <c r="AA67" s="530">
        <f>'VAC &amp; MED'!HZ324</f>
        <v>6120</v>
      </c>
      <c r="AB67" s="530">
        <f>'VAC &amp; MED'!II324</f>
        <v>0</v>
      </c>
      <c r="AC67" s="530">
        <f>'VAC &amp; MED'!IR324</f>
        <v>0</v>
      </c>
      <c r="AD67" s="530">
        <f>'VAC &amp; MED'!JA324</f>
        <v>2820</v>
      </c>
      <c r="AE67" s="530">
        <f>'VAC &amp; MED'!JJ324</f>
        <v>0</v>
      </c>
      <c r="AF67" s="530">
        <f>'VAC &amp; MED'!JS324</f>
        <v>0</v>
      </c>
      <c r="AG67" s="530">
        <f>'VAC &amp; MED'!KB324</f>
        <v>2540</v>
      </c>
      <c r="AH67" s="530">
        <f>'VAC &amp; MED'!KK324</f>
        <v>2359.5</v>
      </c>
      <c r="AI67" s="530">
        <f>'VAC &amp; MED'!KT324</f>
        <v>1890</v>
      </c>
      <c r="AJ67" s="530">
        <f>'VAC &amp; MED'!LC324</f>
        <v>3690</v>
      </c>
      <c r="AK67" s="530">
        <f>'VAC &amp; MED'!LL324</f>
        <v>4000</v>
      </c>
      <c r="AL67" s="530">
        <f>'VAC &amp; MED'!LU324</f>
        <v>0</v>
      </c>
      <c r="AM67" s="530">
        <f>'VAC &amp; MED'!MD324</f>
        <v>0</v>
      </c>
      <c r="AN67" s="530">
        <f>'VAC &amp; MED'!MM324</f>
        <v>0</v>
      </c>
      <c r="AO67" s="530">
        <f>'VAC &amp; MED'!MV324</f>
        <v>1625</v>
      </c>
      <c r="AP67" s="530">
        <f>'VAC &amp; MED'!NE324</f>
        <v>0</v>
      </c>
      <c r="AQ67" s="530">
        <f>'VAC &amp; MED'!NN324</f>
        <v>1127</v>
      </c>
      <c r="AR67" s="530">
        <f>'VAC &amp; MED'!NW324</f>
        <v>3111.9999999999995</v>
      </c>
      <c r="AS67" s="530">
        <f>'VAC &amp; MED'!OF324</f>
        <v>1680.5</v>
      </c>
      <c r="AT67" s="530">
        <f>'VAC &amp; MED'!OO324</f>
        <v>0</v>
      </c>
      <c r="AU67" s="530">
        <f>'VAC &amp; MED'!OX324</f>
        <v>1482</v>
      </c>
      <c r="AV67" s="530">
        <f>'VAC &amp; MED'!PG324</f>
        <v>0</v>
      </c>
      <c r="AW67" s="530">
        <f>'VAC &amp; MED'!PP324</f>
        <v>100</v>
      </c>
      <c r="AX67" s="530">
        <f>'VAC &amp; MED'!PY324</f>
        <v>13.960000000000036</v>
      </c>
      <c r="AY67" s="530">
        <f>'VAC &amp; MED'!QH324</f>
        <v>548</v>
      </c>
      <c r="AZ67" s="530">
        <f>'VAC &amp; MED'!QQ324</f>
        <v>0</v>
      </c>
      <c r="BA67" s="531">
        <f>'VAC &amp; MED'!QZ324</f>
        <v>0</v>
      </c>
      <c r="BB67" s="531">
        <f>'VAC &amp; MED'!RI324</f>
        <v>147.04000000000002</v>
      </c>
      <c r="BC67" s="531">
        <f>'VAC &amp; MED'!RR324</f>
        <v>46.8</v>
      </c>
      <c r="BD67" s="531">
        <f>'VAC &amp; MED'!SA324</f>
        <v>0</v>
      </c>
      <c r="BE67" s="531">
        <f>'VAC &amp; MED'!SJ324</f>
        <v>24.200000000000003</v>
      </c>
      <c r="BF67" s="531">
        <f>'VAC &amp; MED'!SS324</f>
        <v>32</v>
      </c>
      <c r="BG67" s="531">
        <f>'VAC &amp; MED'!TB324</f>
        <v>0</v>
      </c>
      <c r="BH67" s="531">
        <f>'VAC &amp; MED'!TK324</f>
        <v>0</v>
      </c>
      <c r="BI67" s="531">
        <f>'VAC &amp; MED'!TT324</f>
        <v>0</v>
      </c>
      <c r="BJ67" s="531">
        <f>'VAC &amp; MED'!UC324</f>
        <v>46.799999999999983</v>
      </c>
      <c r="BK67" s="531">
        <f>'VAC &amp; MED'!UL324</f>
        <v>204</v>
      </c>
      <c r="BL67" s="531">
        <f>'VAC &amp; MED'!UU324</f>
        <v>202.5</v>
      </c>
      <c r="BM67" s="531">
        <f>'VAC &amp; MED'!VD324</f>
        <v>41.600000000000023</v>
      </c>
      <c r="BN67" s="531">
        <f>'VAC &amp; MED'!VM324</f>
        <v>210</v>
      </c>
      <c r="BO67" s="531">
        <f>'VAC &amp; MED'!VV324</f>
        <v>0</v>
      </c>
      <c r="BP67" s="531">
        <f>'VAC &amp; MED'!WE324</f>
        <v>0</v>
      </c>
      <c r="BQ67" s="531">
        <f>'VAC &amp; MED'!WN324</f>
        <v>1057</v>
      </c>
      <c r="BR67" s="531">
        <f>'VAC &amp; MED'!WW324</f>
        <v>0</v>
      </c>
      <c r="BS67" s="531">
        <f>'VAC &amp; MED'!XF324</f>
        <v>7507</v>
      </c>
      <c r="BT67" s="531">
        <f>'VAC &amp; MED'!XO324</f>
        <v>4252</v>
      </c>
      <c r="BU67" s="531">
        <f>'VAC &amp; MED'!XX324</f>
        <v>2179</v>
      </c>
      <c r="BV67" s="531">
        <f>'VAC &amp; MED'!YG324</f>
        <v>4019</v>
      </c>
      <c r="BW67" s="531">
        <f>'VAC &amp; MED'!YP324</f>
        <v>-218</v>
      </c>
      <c r="BX67" s="531">
        <f>'VAC &amp; MED'!YY324</f>
        <v>0</v>
      </c>
      <c r="BY67" s="531">
        <f>'VAC &amp; MED'!ZH324</f>
        <v>0</v>
      </c>
      <c r="BZ67" s="531">
        <f>'VAC &amp; MED'!ZQ324</f>
        <v>0</v>
      </c>
    </row>
    <row r="68" spans="1:83" s="531" customFormat="1" outlineLevel="1">
      <c r="A68" s="536" t="s">
        <v>314</v>
      </c>
      <c r="B68" s="530">
        <f>'VAC &amp; MED'!D356</f>
        <v>0</v>
      </c>
      <c r="C68" s="530">
        <f>'VAC &amp; MED'!M356</f>
        <v>0</v>
      </c>
      <c r="D68" s="530">
        <f>'VAC &amp; MED'!V356</f>
        <v>0</v>
      </c>
      <c r="E68" s="530">
        <f>'VAC &amp; MED'!AE356</f>
        <v>0</v>
      </c>
      <c r="F68" s="530">
        <f>'VAC &amp; MED'!AN356</f>
        <v>0</v>
      </c>
      <c r="G68" s="530">
        <f>'VAC &amp; MED'!AW356</f>
        <v>0</v>
      </c>
      <c r="H68" s="530">
        <f>'VAC &amp; MED'!BF356</f>
        <v>0</v>
      </c>
      <c r="I68" s="530">
        <f>'VAC &amp; MED'!BO356</f>
        <v>0</v>
      </c>
      <c r="J68" s="530">
        <f>'VAC &amp; MED'!BX356</f>
        <v>0</v>
      </c>
      <c r="K68" s="530">
        <f>'VAC &amp; MED'!CG356</f>
        <v>0</v>
      </c>
      <c r="L68" s="530">
        <f>'VAC &amp; MED'!CP356</f>
        <v>0</v>
      </c>
      <c r="M68" s="530">
        <f>'VAC &amp; MED'!CY356</f>
        <v>0</v>
      </c>
      <c r="N68" s="530">
        <f>'VAC &amp; MED'!DH356</f>
        <v>0</v>
      </c>
      <c r="O68" s="530">
        <f>'VAC &amp; MED'!DQ356</f>
        <v>0</v>
      </c>
      <c r="P68" s="530">
        <f>'VAC &amp; MED'!DZ356</f>
        <v>0</v>
      </c>
      <c r="Q68" s="530">
        <f>'VAC &amp; MED'!EI356</f>
        <v>0</v>
      </c>
      <c r="R68" s="530">
        <f>'VAC &amp; MED'!ER356</f>
        <v>0</v>
      </c>
      <c r="S68" s="530">
        <f>'VAC &amp; MED'!FA356</f>
        <v>0</v>
      </c>
      <c r="T68" s="530">
        <f>'VAC &amp; MED'!FJ356</f>
        <v>0</v>
      </c>
      <c r="U68" s="530">
        <f>'VAC &amp; MED'!FS356</f>
        <v>0</v>
      </c>
      <c r="V68" s="530">
        <f>'VAC &amp; MED'!GB356</f>
        <v>0</v>
      </c>
      <c r="W68" s="530">
        <f>'VAC &amp; MED'!GK356</f>
        <v>0</v>
      </c>
      <c r="X68" s="530">
        <f>'VAC &amp; MED'!GT356</f>
        <v>0</v>
      </c>
      <c r="Y68" s="530">
        <f>'VAC &amp; MED'!HC356</f>
        <v>0</v>
      </c>
      <c r="Z68" s="530">
        <f>'VAC &amp; MED'!HL356</f>
        <v>0</v>
      </c>
      <c r="AA68" s="530">
        <f>'VAC &amp; MED'!HV356</f>
        <v>0</v>
      </c>
      <c r="AB68" s="530">
        <f>'VAC &amp; MED'!IE356</f>
        <v>0</v>
      </c>
      <c r="AC68" s="530">
        <f>'VAC &amp; MED'!IN356</f>
        <v>0</v>
      </c>
      <c r="AD68" s="530">
        <f>'VAC &amp; MED'!IW356</f>
        <v>0</v>
      </c>
      <c r="AE68" s="530">
        <f>'VAC &amp; MED'!JF356</f>
        <v>0</v>
      </c>
      <c r="AF68" s="530">
        <f>'VAC &amp; MED'!JO356</f>
        <v>0</v>
      </c>
      <c r="AG68" s="530">
        <f>'VAC &amp; MED'!JX356</f>
        <v>0</v>
      </c>
      <c r="AH68" s="530">
        <f>'VAC &amp; MED'!KG356</f>
        <v>0</v>
      </c>
      <c r="AI68" s="530">
        <f>'VAC &amp; MED'!KP356</f>
        <v>0</v>
      </c>
      <c r="AJ68" s="530">
        <f>'VAC &amp; MED'!KY356</f>
        <v>0</v>
      </c>
      <c r="AK68" s="530">
        <f>'VAC &amp; MED'!LH356</f>
        <v>0</v>
      </c>
      <c r="AL68" s="530">
        <f>'VAC &amp; MED'!LQ356</f>
        <v>0</v>
      </c>
      <c r="AM68" s="530">
        <f>'VAC &amp; MED'!LZ356</f>
        <v>0</v>
      </c>
      <c r="AN68" s="530">
        <f>'VAC &amp; MED'!MI356</f>
        <v>0</v>
      </c>
      <c r="AO68" s="530">
        <f>'VAC &amp; MED'!MR356</f>
        <v>0</v>
      </c>
      <c r="AP68" s="530">
        <f>'VAC &amp; MED'!NA356</f>
        <v>0</v>
      </c>
      <c r="AQ68" s="530">
        <f>'VAC &amp; MED'!NJ356</f>
        <v>0</v>
      </c>
      <c r="AR68" s="530">
        <f>'VAC &amp; MED'!NS356</f>
        <v>0</v>
      </c>
      <c r="AS68" s="530">
        <f>'VAC &amp; MED'!OB356</f>
        <v>0</v>
      </c>
      <c r="AT68" s="530">
        <f>'VAC &amp; MED'!OK356</f>
        <v>0</v>
      </c>
      <c r="AU68" s="530">
        <f>'VAC &amp; MED'!OT356</f>
        <v>0</v>
      </c>
      <c r="AV68" s="530">
        <f>'VAC &amp; MED'!PC356</f>
        <v>0</v>
      </c>
      <c r="AW68" s="530">
        <f>'VAC &amp; MED'!PL356</f>
        <v>0</v>
      </c>
      <c r="AX68" s="530">
        <f>'VAC &amp; MED'!PU356</f>
        <v>0</v>
      </c>
      <c r="AY68" s="530">
        <f>'VAC &amp; MED'!QD356</f>
        <v>0</v>
      </c>
      <c r="AZ68" s="530">
        <f>'VAC &amp; MED'!QM356</f>
        <v>0</v>
      </c>
      <c r="BA68" s="531">
        <f>'VAC &amp; MED'!QV356</f>
        <v>0</v>
      </c>
      <c r="BB68" s="531">
        <f>'VAC &amp; MED'!RE356</f>
        <v>0</v>
      </c>
      <c r="BC68" s="531">
        <f>'VAC &amp; MED'!RN356</f>
        <v>0</v>
      </c>
      <c r="BD68" s="531">
        <f>'VAC &amp; MED'!RW356</f>
        <v>0</v>
      </c>
      <c r="BE68" s="531">
        <f>'VAC &amp; MED'!SF356</f>
        <v>0</v>
      </c>
      <c r="BF68" s="531">
        <f>'VAC &amp; MED'!SO356</f>
        <v>0</v>
      </c>
      <c r="BG68" s="531">
        <f>'VAC &amp; MED'!SX356</f>
        <v>0</v>
      </c>
      <c r="BH68" s="531">
        <f>'VAC &amp; MED'!TG356</f>
        <v>0</v>
      </c>
      <c r="BI68" s="531">
        <f>'VAC &amp; MED'!TP356</f>
        <v>0</v>
      </c>
      <c r="BJ68" s="531">
        <f>'VAC &amp; MED'!TY356</f>
        <v>0</v>
      </c>
      <c r="BK68" s="531">
        <f>'VAC &amp; MED'!UH356</f>
        <v>0</v>
      </c>
      <c r="BL68" s="531">
        <f>'VAC &amp; MED'!UQ356</f>
        <v>0</v>
      </c>
      <c r="BM68" s="531">
        <f>'VAC &amp; MED'!UZ356</f>
        <v>0</v>
      </c>
      <c r="BN68" s="531">
        <f>'VAC &amp; MED'!VI356</f>
        <v>0</v>
      </c>
      <c r="BO68" s="531">
        <f>'VAC &amp; MED'!VR356</f>
        <v>0</v>
      </c>
      <c r="BP68" s="531">
        <f>'VAC &amp; MED'!WA356</f>
        <v>0</v>
      </c>
      <c r="BQ68" s="531">
        <f>'VAC &amp; MED'!WJ356</f>
        <v>0</v>
      </c>
      <c r="BR68" s="531">
        <f>'VAC &amp; MED'!WS356</f>
        <v>0</v>
      </c>
      <c r="BS68" s="531">
        <f>'VAC &amp; MED'!XB356</f>
        <v>0</v>
      </c>
      <c r="BT68" s="531">
        <f>'VAC &amp; MED'!XK356</f>
        <v>0</v>
      </c>
      <c r="BU68" s="531">
        <f>'VAC &amp; MED'!XT356</f>
        <v>0</v>
      </c>
      <c r="BV68" s="531">
        <f>'VAC &amp; MED'!YC356</f>
        <v>0</v>
      </c>
      <c r="BW68" s="531">
        <f>'VAC &amp; MED'!YL356</f>
        <v>0</v>
      </c>
      <c r="BX68" s="531">
        <f>'VAC &amp; MED'!YU356</f>
        <v>0</v>
      </c>
      <c r="BY68" s="531">
        <f>'VAC &amp; MED'!ZD356</f>
        <v>0</v>
      </c>
      <c r="BZ68" s="531">
        <f>'VAC &amp; MED'!ZM356</f>
        <v>0</v>
      </c>
    </row>
    <row r="69" spans="1:83" s="531" customFormat="1" outlineLevel="1">
      <c r="A69" s="536" t="s">
        <v>315</v>
      </c>
      <c r="B69" s="530">
        <f>'VAC &amp; MED'!E356</f>
        <v>0</v>
      </c>
      <c r="C69" s="530">
        <f>'VAC &amp; MED'!N356</f>
        <v>0</v>
      </c>
      <c r="D69" s="530">
        <f>'VAC &amp; MED'!W356</f>
        <v>0</v>
      </c>
      <c r="E69" s="530">
        <f>'VAC &amp; MED'!AF356</f>
        <v>0</v>
      </c>
      <c r="F69" s="530">
        <f>'VAC &amp; MED'!AO356</f>
        <v>0</v>
      </c>
      <c r="G69" s="530">
        <f>'VAC &amp; MED'!AX356</f>
        <v>0</v>
      </c>
      <c r="H69" s="530">
        <f>'VAC &amp; MED'!BG356</f>
        <v>0</v>
      </c>
      <c r="I69" s="530">
        <f>'VAC &amp; MED'!BP356</f>
        <v>0</v>
      </c>
      <c r="J69" s="530">
        <f>'VAC &amp; MED'!BY356</f>
        <v>0</v>
      </c>
      <c r="K69" s="530">
        <f>'VAC &amp; MED'!CH356</f>
        <v>0</v>
      </c>
      <c r="L69" s="530">
        <f>'VAC &amp; MED'!CQ356</f>
        <v>0</v>
      </c>
      <c r="M69" s="530">
        <f>'VAC &amp; MED'!CZ356</f>
        <v>0</v>
      </c>
      <c r="N69" s="530">
        <f>'VAC &amp; MED'!DI356</f>
        <v>0</v>
      </c>
      <c r="O69" s="530">
        <f>'VAC &amp; MED'!DR356</f>
        <v>0</v>
      </c>
      <c r="P69" s="530">
        <f>'VAC &amp; MED'!EB356</f>
        <v>0</v>
      </c>
      <c r="Q69" s="530">
        <f>'VAC &amp; MED'!EJ356</f>
        <v>0</v>
      </c>
      <c r="R69" s="530">
        <f>'VAC &amp; MED'!ES356</f>
        <v>0</v>
      </c>
      <c r="S69" s="530">
        <f>'VAC &amp; MED'!FB356</f>
        <v>0</v>
      </c>
      <c r="T69" s="530">
        <f>'VAC &amp; MED'!FK356</f>
        <v>0</v>
      </c>
      <c r="U69" s="530">
        <f>'VAC &amp; MED'!FT356</f>
        <v>0</v>
      </c>
      <c r="V69" s="530">
        <f>'VAC &amp; MED'!GC356</f>
        <v>0</v>
      </c>
      <c r="W69" s="530">
        <f>'VAC &amp; MED'!GL356</f>
        <v>0</v>
      </c>
      <c r="X69" s="530">
        <f>'VAC &amp; MED'!GU356</f>
        <v>0</v>
      </c>
      <c r="Y69" s="530">
        <f>'VAC &amp; MED'!HD356</f>
        <v>0</v>
      </c>
      <c r="Z69" s="530">
        <f>'VAC &amp; MED'!HM356</f>
        <v>0</v>
      </c>
      <c r="AA69" s="530">
        <f>'VAC &amp; MED'!HW356</f>
        <v>0</v>
      </c>
      <c r="AB69" s="530">
        <f>'VAC &amp; MED'!IF356</f>
        <v>0</v>
      </c>
      <c r="AC69" s="530">
        <f>'VAC &amp; MED'!IO356</f>
        <v>0</v>
      </c>
      <c r="AD69" s="530">
        <f>'VAC &amp; MED'!IX356</f>
        <v>0</v>
      </c>
      <c r="AE69" s="530">
        <f>'VAC &amp; MED'!JG356</f>
        <v>0</v>
      </c>
      <c r="AF69" s="530">
        <f>'VAC &amp; MED'!JP356</f>
        <v>0</v>
      </c>
      <c r="AG69" s="530">
        <f>'VAC &amp; MED'!JY356</f>
        <v>0</v>
      </c>
      <c r="AH69" s="530">
        <f>'VAC &amp; MED'!KH356</f>
        <v>0</v>
      </c>
      <c r="AI69" s="530">
        <f>'VAC &amp; MED'!KR356</f>
        <v>0</v>
      </c>
      <c r="AJ69" s="530">
        <f>'VAC &amp; MED'!KZ356</f>
        <v>0</v>
      </c>
      <c r="AK69" s="530">
        <f>'VAC &amp; MED'!LI356</f>
        <v>0</v>
      </c>
      <c r="AL69" s="530">
        <f>'VAC &amp; MED'!LR356</f>
        <v>0</v>
      </c>
      <c r="AM69" s="530">
        <f>'VAC &amp; MED'!MA356</f>
        <v>0</v>
      </c>
      <c r="AN69" s="530">
        <f>'VAC &amp; MED'!MJ356</f>
        <v>0</v>
      </c>
      <c r="AO69" s="530">
        <f>'VAC &amp; MED'!MS356</f>
        <v>0</v>
      </c>
      <c r="AP69" s="530">
        <f>'VAC &amp; MED'!NB356</f>
        <v>0</v>
      </c>
      <c r="AQ69" s="530">
        <f>'VAC &amp; MED'!NK356</f>
        <v>0</v>
      </c>
      <c r="AR69" s="530">
        <f>'VAC &amp; MED'!NU356</f>
        <v>0</v>
      </c>
      <c r="AS69" s="530">
        <f>'VAC &amp; MED'!OD356</f>
        <v>0</v>
      </c>
      <c r="AT69" s="530">
        <f>'VAC &amp; MED'!OM356</f>
        <v>0</v>
      </c>
      <c r="AU69" s="530">
        <f>'VAC &amp; MED'!OV356</f>
        <v>0</v>
      </c>
      <c r="AV69" s="530">
        <f>'VAC &amp; MED'!PE356</f>
        <v>0</v>
      </c>
      <c r="AW69" s="530">
        <f>'VAC &amp; MED'!PN356</f>
        <v>0</v>
      </c>
      <c r="AX69" s="530">
        <f>'VAC &amp; MED'!PW356</f>
        <v>0</v>
      </c>
      <c r="AY69" s="530">
        <f>'VAC &amp; MED'!QF356</f>
        <v>0</v>
      </c>
      <c r="AZ69" s="530">
        <f>'VAC &amp; MED'!QO356</f>
        <v>0</v>
      </c>
      <c r="BA69" s="531">
        <f>'VAC &amp; MED'!QX356</f>
        <v>0</v>
      </c>
      <c r="BB69" s="531">
        <f>'VAC &amp; MED'!RG356</f>
        <v>0</v>
      </c>
      <c r="BC69" s="531">
        <f>'VAC &amp; MED'!RP356</f>
        <v>0</v>
      </c>
      <c r="BD69" s="531">
        <f>'VAC &amp; MED'!RY356</f>
        <v>0</v>
      </c>
      <c r="BE69" s="531">
        <f>'VAC &amp; MED'!SH356</f>
        <v>0</v>
      </c>
      <c r="BF69" s="531">
        <f>'VAC &amp; MED'!SQ356</f>
        <v>0</v>
      </c>
      <c r="BG69" s="531">
        <f>'VAC &amp; MED'!SZ356</f>
        <v>0</v>
      </c>
      <c r="BH69" s="531">
        <f>'VAC &amp; MED'!TI356</f>
        <v>0</v>
      </c>
      <c r="BI69" s="531">
        <f>'VAC &amp; MED'!TR356</f>
        <v>0</v>
      </c>
      <c r="BJ69" s="531">
        <f>'VAC &amp; MED'!UA356</f>
        <v>0</v>
      </c>
      <c r="BK69" s="531">
        <f>'VAC &amp; MED'!UJ356</f>
        <v>0</v>
      </c>
      <c r="BL69" s="531">
        <f>'VAC &amp; MED'!US356</f>
        <v>0</v>
      </c>
      <c r="BM69" s="531">
        <f>'VAC &amp; MED'!VB356</f>
        <v>0</v>
      </c>
      <c r="BN69" s="531">
        <f>'VAC &amp; MED'!VK356</f>
        <v>0</v>
      </c>
      <c r="BO69" s="531">
        <f>'VAC &amp; MED'!VT356</f>
        <v>0</v>
      </c>
      <c r="BP69" s="531">
        <f>'VAC &amp; MED'!WC356</f>
        <v>0</v>
      </c>
      <c r="BQ69" s="531">
        <f>'VAC &amp; MED'!WL356</f>
        <v>0</v>
      </c>
      <c r="BR69" s="531">
        <f>'VAC &amp; MED'!WU356</f>
        <v>0</v>
      </c>
      <c r="BS69" s="531">
        <f>'VAC &amp; MED'!XD356</f>
        <v>0</v>
      </c>
      <c r="BT69" s="531">
        <f>'VAC &amp; MED'!XM356</f>
        <v>0</v>
      </c>
      <c r="BU69" s="531">
        <f>'VAC &amp; MED'!XV356</f>
        <v>0</v>
      </c>
      <c r="BV69" s="531">
        <f>'VAC &amp; MED'!YE356</f>
        <v>0</v>
      </c>
      <c r="BW69" s="531">
        <f>'VAC &amp; MED'!YN356</f>
        <v>0</v>
      </c>
      <c r="BX69" s="531">
        <f>'VAC &amp; MED'!YW356</f>
        <v>0</v>
      </c>
      <c r="BY69" s="531">
        <f>'VAC &amp; MED'!ZF356</f>
        <v>0</v>
      </c>
      <c r="BZ69" s="531">
        <f>'VAC &amp; MED'!ZO356</f>
        <v>0</v>
      </c>
    </row>
    <row r="70" spans="1:83" s="531" customFormat="1" outlineLevel="1">
      <c r="A70" s="536" t="s">
        <v>316</v>
      </c>
      <c r="B70" s="530">
        <f>'VAC &amp; MED'!G356</f>
        <v>0</v>
      </c>
      <c r="C70" s="530">
        <f>'VAC &amp; MED'!P356</f>
        <v>0</v>
      </c>
      <c r="D70" s="530">
        <f>'VAC &amp; MED'!Y356</f>
        <v>0</v>
      </c>
      <c r="E70" s="530">
        <f>'VAC &amp; MED'!AH356</f>
        <v>0</v>
      </c>
      <c r="F70" s="530">
        <f>'VAC &amp; MED'!AQ356</f>
        <v>0</v>
      </c>
      <c r="G70" s="530">
        <f>'VAC &amp; MED'!AZ356</f>
        <v>0</v>
      </c>
      <c r="H70" s="530">
        <f>'VAC &amp; MED'!BI356</f>
        <v>0</v>
      </c>
      <c r="I70" s="530">
        <f>'VAC &amp; MED'!BR356</f>
        <v>0</v>
      </c>
      <c r="J70" s="530">
        <f>'VAC &amp; MED'!CA356</f>
        <v>0</v>
      </c>
      <c r="K70" s="530">
        <f>'VAC &amp; MED'!CJ356</f>
        <v>0</v>
      </c>
      <c r="L70" s="530">
        <f>'VAC &amp; MED'!CS356</f>
        <v>0</v>
      </c>
      <c r="M70" s="530">
        <f>'VAC &amp; MED'!DB356</f>
        <v>0</v>
      </c>
      <c r="N70" s="530">
        <f>'VAC &amp; MED'!DK356</f>
        <v>0</v>
      </c>
      <c r="O70" s="530">
        <f>'VAC &amp; MED'!DT356</f>
        <v>0</v>
      </c>
      <c r="P70" s="530"/>
      <c r="Q70" s="530">
        <f>'VAC &amp; MED'!EL356</f>
        <v>0</v>
      </c>
      <c r="R70" s="530">
        <f>'VAC &amp; MED'!EU356</f>
        <v>0</v>
      </c>
      <c r="S70" s="530">
        <f>'VAC &amp; MED'!FD356</f>
        <v>0</v>
      </c>
      <c r="T70" s="530">
        <f>'VAC &amp; MED'!FM356</f>
        <v>0</v>
      </c>
      <c r="U70" s="530">
        <f>'VAC &amp; MED'!FV356</f>
        <v>0</v>
      </c>
      <c r="V70" s="530">
        <f>'VAC &amp; MED'!GE356</f>
        <v>0</v>
      </c>
      <c r="W70" s="530">
        <f>'VAC &amp; MED'!GN356</f>
        <v>0</v>
      </c>
      <c r="X70" s="530">
        <f>'VAC &amp; MED'!GW356</f>
        <v>0</v>
      </c>
      <c r="Y70" s="530">
        <f>'VAC &amp; MED'!HF356</f>
        <v>0</v>
      </c>
      <c r="Z70" s="530">
        <f>'VAC &amp; MED'!HO356</f>
        <v>0</v>
      </c>
      <c r="AA70" s="530">
        <f>'VAC &amp; MED'!HY356</f>
        <v>0</v>
      </c>
      <c r="AB70" s="530">
        <f>'VAC &amp; MED'!IH356</f>
        <v>0</v>
      </c>
      <c r="AC70" s="530">
        <f>'VAC &amp; MED'!IQ356</f>
        <v>0</v>
      </c>
      <c r="AD70" s="530">
        <f>'VAC &amp; MED'!IZ356</f>
        <v>0</v>
      </c>
      <c r="AE70" s="530">
        <f>'VAC &amp; MED'!JI356</f>
        <v>0</v>
      </c>
      <c r="AF70" s="530">
        <f>'VAC &amp; MED'!JR356</f>
        <v>0</v>
      </c>
      <c r="AG70" s="530">
        <f>'VAC &amp; MED'!KA356</f>
        <v>0</v>
      </c>
      <c r="AH70" s="530">
        <f>'VAC &amp; MED'!KJ356</f>
        <v>0</v>
      </c>
      <c r="AI70" s="530"/>
      <c r="AJ70" s="530">
        <f>'VAC &amp; MED'!LB356</f>
        <v>0</v>
      </c>
      <c r="AK70" s="530">
        <f>'VAC &amp; MED'!LK356</f>
        <v>0</v>
      </c>
      <c r="AL70" s="530">
        <f>'VAC &amp; MED'!LT356</f>
        <v>0</v>
      </c>
      <c r="AM70" s="532"/>
      <c r="AN70" s="532"/>
      <c r="AO70" s="532"/>
      <c r="AP70" s="532"/>
      <c r="AQ70" s="532"/>
      <c r="AR70" s="532"/>
      <c r="AS70" s="532"/>
      <c r="AT70" s="532"/>
      <c r="AU70" s="532"/>
      <c r="AV70" s="532"/>
      <c r="AW70" s="532"/>
      <c r="AX70" s="532"/>
      <c r="AY70" s="532"/>
      <c r="AZ70" s="532"/>
      <c r="BA70" s="533"/>
      <c r="BB70" s="533"/>
      <c r="BC70" s="533"/>
      <c r="BD70" s="533"/>
      <c r="BE70" s="533"/>
      <c r="BF70" s="533"/>
      <c r="BG70" s="533"/>
      <c r="BH70" s="533"/>
      <c r="BI70" s="531">
        <f>'VAC &amp; MED'!TS356</f>
        <v>0</v>
      </c>
      <c r="BJ70" s="531">
        <f>'VAC &amp; MED'!UB356</f>
        <v>0</v>
      </c>
      <c r="BK70" s="531">
        <f>'VAC &amp; MED'!UK356</f>
        <v>0</v>
      </c>
      <c r="BL70" s="531">
        <f>'VAC &amp; MED'!UT356</f>
        <v>0</v>
      </c>
      <c r="BM70" s="531">
        <f>'VAC &amp; MED'!VC356</f>
        <v>0</v>
      </c>
      <c r="BN70" s="531">
        <f>'VAC &amp; MED'!VL356</f>
        <v>0</v>
      </c>
      <c r="BO70" s="531">
        <f>'VAC &amp; MED'!VU356</f>
        <v>0</v>
      </c>
      <c r="BP70" s="533"/>
      <c r="BQ70" s="533"/>
      <c r="BR70" s="533"/>
      <c r="BS70" s="533"/>
      <c r="BT70" s="533"/>
      <c r="BU70" s="533"/>
      <c r="BV70" s="533"/>
      <c r="BW70" s="533"/>
      <c r="BX70" s="533"/>
      <c r="BY70" s="533"/>
      <c r="BZ70" s="533"/>
      <c r="CA70" s="533"/>
      <c r="CB70" s="533"/>
      <c r="CC70" s="533"/>
      <c r="CD70" s="533"/>
      <c r="CE70" s="533"/>
    </row>
    <row r="71" spans="1:83" s="535" customFormat="1">
      <c r="A71" s="537" t="s">
        <v>171</v>
      </c>
      <c r="B71" s="534">
        <f>'VAC &amp; MED'!H356</f>
        <v>236936.6</v>
      </c>
      <c r="C71" s="534">
        <f>'VAC &amp; MED'!Q356</f>
        <v>53017.600000000071</v>
      </c>
      <c r="D71" s="534">
        <f>'VAC &amp; MED'!Z356</f>
        <v>42674.199999999968</v>
      </c>
      <c r="E71" s="534">
        <f>'VAC &amp; MED'!AI356</f>
        <v>4522.2000000000189</v>
      </c>
      <c r="F71" s="534">
        <f>'VAC &amp; MED'!AR356</f>
        <v>0</v>
      </c>
      <c r="G71" s="534">
        <f>'VAC &amp; MED'!BA356</f>
        <v>124.99999999999523</v>
      </c>
      <c r="H71" s="534">
        <f>'VAC &amp; MED'!BJ356</f>
        <v>26151.899999999998</v>
      </c>
      <c r="I71" s="534">
        <f>'VAC &amp; MED'!BS356</f>
        <v>0</v>
      </c>
      <c r="J71" s="534">
        <f>'VAC &amp; MED'!CB356</f>
        <v>2097.3399999999992</v>
      </c>
      <c r="K71" s="534">
        <f>'VAC &amp; MED'!CK356</f>
        <v>-10277.079999999998</v>
      </c>
      <c r="L71" s="534">
        <f>'VAC &amp; MED'!CT356</f>
        <v>0</v>
      </c>
      <c r="M71" s="534">
        <f>'VAC &amp; MED'!DC356</f>
        <v>27438.200000000012</v>
      </c>
      <c r="N71" s="534">
        <f>'VAC &amp; MED'!DL356</f>
        <v>18782.299999999981</v>
      </c>
      <c r="O71" s="534">
        <f>'VAC &amp; MED'!DU356</f>
        <v>5800</v>
      </c>
      <c r="P71" s="534">
        <f>'VAC &amp; MED'!ED356</f>
        <v>0</v>
      </c>
      <c r="Q71" s="534">
        <f>'VAC &amp; MED'!EM356</f>
        <v>0</v>
      </c>
      <c r="R71" s="534">
        <f>'VAC &amp; MED'!EV356</f>
        <v>0</v>
      </c>
      <c r="S71" s="534">
        <f>'VAC &amp; MED'!FE356</f>
        <v>0</v>
      </c>
      <c r="T71" s="534">
        <f>'VAC &amp; MED'!FN356</f>
        <v>0</v>
      </c>
      <c r="U71" s="534">
        <f>'VAC &amp; MED'!FW356</f>
        <v>2020</v>
      </c>
      <c r="V71" s="534">
        <f>'VAC &amp; MED'!GF356</f>
        <v>960</v>
      </c>
      <c r="W71" s="534">
        <f>'VAC &amp; MED'!GO356</f>
        <v>1760</v>
      </c>
      <c r="X71" s="534">
        <f>'VAC &amp; MED'!GX356</f>
        <v>400</v>
      </c>
      <c r="Y71" s="534">
        <f>'VAC &amp; MED'!HG356</f>
        <v>3600</v>
      </c>
      <c r="Z71" s="534">
        <f>'VAC &amp; MED'!HP356</f>
        <v>0</v>
      </c>
      <c r="AA71" s="534">
        <f>'VAC &amp; MED'!HZ356</f>
        <v>6120</v>
      </c>
      <c r="AB71" s="534">
        <f>'VAC &amp; MED'!II356</f>
        <v>0</v>
      </c>
      <c r="AC71" s="534">
        <f>'VAC &amp; MED'!IR356</f>
        <v>0</v>
      </c>
      <c r="AD71" s="534">
        <f>'VAC &amp; MED'!JA356</f>
        <v>2820</v>
      </c>
      <c r="AE71" s="534">
        <f>'VAC &amp; MED'!JJ356</f>
        <v>0</v>
      </c>
      <c r="AF71" s="534">
        <f>'VAC &amp; MED'!JS356</f>
        <v>0</v>
      </c>
      <c r="AG71" s="534">
        <f>'VAC &amp; MED'!KB356</f>
        <v>2540</v>
      </c>
      <c r="AH71" s="534">
        <f>'VAC &amp; MED'!KK356</f>
        <v>2359.5</v>
      </c>
      <c r="AI71" s="534">
        <f>'VAC &amp; MED'!KT356</f>
        <v>1890</v>
      </c>
      <c r="AJ71" s="534">
        <f>'VAC &amp; MED'!LC356</f>
        <v>3690</v>
      </c>
      <c r="AK71" s="534">
        <f>'VAC &amp; MED'!LL356</f>
        <v>4000</v>
      </c>
      <c r="AL71" s="534">
        <f>'VAC &amp; MED'!LU356</f>
        <v>0</v>
      </c>
      <c r="AM71" s="534">
        <f>'VAC &amp; MED'!MD356</f>
        <v>0</v>
      </c>
      <c r="AN71" s="534">
        <f>'VAC &amp; MED'!MM356</f>
        <v>0</v>
      </c>
      <c r="AO71" s="534">
        <f>'VAC &amp; MED'!MV356</f>
        <v>1625</v>
      </c>
      <c r="AP71" s="534">
        <f>'VAC &amp; MED'!NE356</f>
        <v>0</v>
      </c>
      <c r="AQ71" s="534">
        <f>'VAC &amp; MED'!NN356</f>
        <v>1127</v>
      </c>
      <c r="AR71" s="534">
        <f>'VAC &amp; MED'!NW356</f>
        <v>3111.9999999999995</v>
      </c>
      <c r="AS71" s="534">
        <f>'VAC &amp; MED'!OF356</f>
        <v>1680.5</v>
      </c>
      <c r="AT71" s="534">
        <f>'VAC &amp; MED'!OO356</f>
        <v>0</v>
      </c>
      <c r="AU71" s="534">
        <f>'VAC &amp; MED'!OX356</f>
        <v>1482</v>
      </c>
      <c r="AV71" s="534">
        <f>'VAC &amp; MED'!PG356</f>
        <v>0</v>
      </c>
      <c r="AW71" s="534">
        <f>'VAC &amp; MED'!PP356</f>
        <v>100</v>
      </c>
      <c r="AX71" s="534">
        <f>'VAC &amp; MED'!PY356</f>
        <v>13.960000000000036</v>
      </c>
      <c r="AY71" s="534">
        <f>'VAC &amp; MED'!QH356</f>
        <v>548</v>
      </c>
      <c r="AZ71" s="534">
        <f>'VAC &amp; MED'!QQ356</f>
        <v>0</v>
      </c>
      <c r="BA71" s="535">
        <f>'VAC &amp; MED'!QZ356</f>
        <v>0</v>
      </c>
      <c r="BB71" s="535">
        <f>'VAC &amp; MED'!RI356</f>
        <v>147.04000000000002</v>
      </c>
      <c r="BC71" s="535">
        <f>'VAC &amp; MED'!RR356</f>
        <v>46.8</v>
      </c>
      <c r="BD71" s="535">
        <f>'VAC &amp; MED'!SA356</f>
        <v>0</v>
      </c>
      <c r="BE71" s="535">
        <f>'VAC &amp; MED'!SJ356</f>
        <v>24.200000000000003</v>
      </c>
      <c r="BF71" s="535">
        <f>'VAC &amp; MED'!SS356</f>
        <v>32</v>
      </c>
      <c r="BG71" s="535">
        <f>'VAC &amp; MED'!TB356</f>
        <v>0</v>
      </c>
      <c r="BH71" s="535">
        <f>'VAC &amp; MED'!TK356</f>
        <v>0</v>
      </c>
      <c r="BI71" s="535">
        <f>'VAC &amp; MED'!TT356</f>
        <v>0</v>
      </c>
      <c r="BJ71" s="535">
        <f>'VAC &amp; MED'!UC356</f>
        <v>46.799999999999983</v>
      </c>
      <c r="BK71" s="535">
        <f>'VAC &amp; MED'!UL356</f>
        <v>204</v>
      </c>
      <c r="BL71" s="535">
        <f>'VAC &amp; MED'!UU356</f>
        <v>202.5</v>
      </c>
      <c r="BM71" s="535">
        <f>'VAC &amp; MED'!VD356</f>
        <v>41.600000000000023</v>
      </c>
      <c r="BN71" s="535">
        <f>'VAC &amp; MED'!VM356</f>
        <v>210</v>
      </c>
      <c r="BO71" s="535">
        <f>'VAC &amp; MED'!VV356</f>
        <v>0</v>
      </c>
      <c r="BP71" s="535">
        <f>'VAC &amp; MED'!WE356</f>
        <v>0</v>
      </c>
      <c r="BQ71" s="535">
        <f>'VAC &amp; MED'!WN356</f>
        <v>1057</v>
      </c>
      <c r="BR71" s="535">
        <f>'VAC &amp; MED'!WW356</f>
        <v>0</v>
      </c>
      <c r="BS71" s="535">
        <f>'VAC &amp; MED'!XF356</f>
        <v>7507</v>
      </c>
      <c r="BT71" s="535">
        <f>'VAC &amp; MED'!XO356</f>
        <v>4252</v>
      </c>
      <c r="BU71" s="535">
        <f>'VAC &amp; MED'!XX356</f>
        <v>2179</v>
      </c>
      <c r="BV71" s="535">
        <f>'VAC &amp; MED'!YG356</f>
        <v>4019</v>
      </c>
      <c r="BW71" s="535">
        <f>'VAC &amp; MED'!YP356</f>
        <v>-218</v>
      </c>
      <c r="BX71" s="535">
        <f>'VAC &amp; MED'!YY356</f>
        <v>0</v>
      </c>
      <c r="BY71" s="535">
        <f>'VAC &amp; MED'!ZH356</f>
        <v>0</v>
      </c>
      <c r="BZ71" s="535">
        <f>'VAC &amp; MED'!ZQ356</f>
        <v>0</v>
      </c>
    </row>
    <row r="72" spans="1:83" s="2" customFormat="1" ht="16.149999999999999" thickBot="1">
      <c r="A72" s="537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</row>
    <row r="73" spans="1:83" s="2" customFormat="1" ht="47.45" thickBot="1">
      <c r="A73" s="539" t="s">
        <v>309</v>
      </c>
      <c r="B73" s="215" t="str">
        <f>PRODUCE!$EA$7</f>
        <v>MAIZE/CORN</v>
      </c>
      <c r="C73" s="216" t="str">
        <f>PRODUCE!$EA$8</f>
        <v>SOYBEAN MEAL (ARG)</v>
      </c>
      <c r="D73" s="217" t="str">
        <f>PRODUCE!$EA$9</f>
        <v>SOYBEAN FULL FAT</v>
      </c>
      <c r="E73" s="218" t="str">
        <f>PRODUCE!$EA$10</f>
        <v>WHEAT POLLARD</v>
      </c>
      <c r="F73" s="219" t="str">
        <f>PRODUCE!$EA$11</f>
        <v>WHEAT</v>
      </c>
      <c r="G73" s="220" t="str">
        <f>PRODUCE!$EA$12</f>
        <v>MEAT AND BONE MEAL</v>
      </c>
      <c r="H73" s="221" t="str">
        <f>PRODUCE!$EA$13</f>
        <v>CORN GLUTEN MEAL</v>
      </c>
      <c r="I73" s="222" t="str">
        <f>PRODUCE!$EA$14</f>
        <v>MEGAFAT (HARUMI)</v>
      </c>
      <c r="J73" s="223" t="str">
        <f>PRODUCE!$EA$15</f>
        <v>DCP 18%</v>
      </c>
      <c r="K73" s="224" t="str">
        <f>PRODUCE!$EA$16</f>
        <v>LIMESTONE POWDER (HARUMI)</v>
      </c>
      <c r="L73" s="225" t="str">
        <f>PRODUCE!$EA$17</f>
        <v>CHOLINE CHLORIDE 60%</v>
      </c>
      <c r="M73" s="226" t="str">
        <f>PRODUCE!$EA$18</f>
        <v>INDUSTRY FLOUR</v>
      </c>
      <c r="N73" s="227" t="str">
        <f>PRODUCE!$EA$19</f>
        <v>RICE BRAN</v>
      </c>
      <c r="O73" s="228" t="str">
        <f>PRODUCE!$EA$20</f>
        <v>EP 200</v>
      </c>
      <c r="P73" s="229" t="str">
        <f>PRODUCE!$EA$21</f>
        <v>SOYTIDE</v>
      </c>
      <c r="Q73" s="230" t="str">
        <f>PRODUCE!$EA$22</f>
        <v>DCP 18% (HARUMI)</v>
      </c>
      <c r="R73" s="231">
        <f>PRODUCE!$EA$23</f>
        <v>1</v>
      </c>
      <c r="S73" s="232">
        <f>PRODUCE!$EA$24</f>
        <v>2</v>
      </c>
      <c r="T73" s="233">
        <f>PRODUCE!$EA$25</f>
        <v>3</v>
      </c>
      <c r="U73" s="234" t="str">
        <f>PRODUCE!$EA$26</f>
        <v>PREMIX 1101 (20KG)</v>
      </c>
      <c r="V73" s="235" t="str">
        <f>PRODUCE!$EA$27</f>
        <v>PREMIX 1102 (20KG)</v>
      </c>
      <c r="W73" s="236" t="str">
        <f>PRODUCE!$EA$28</f>
        <v>PREMIX 1103 (20KG)</v>
      </c>
      <c r="X73" s="237" t="str">
        <f>PRODUCE!$EA$29</f>
        <v>PREMIX 311 (20KG)</v>
      </c>
      <c r="Y73" s="238" t="str">
        <f>PRODUCE!$EA$30</f>
        <v>PREMIX 312 (20KG)</v>
      </c>
      <c r="Z73" s="239">
        <f>PRODUCE!$EA$31</f>
        <v>1</v>
      </c>
      <c r="AA73" s="240" t="str">
        <f>PRODUCE!$EA$32</f>
        <v>PREMIX 8100 (20KG)</v>
      </c>
      <c r="AB73" s="240" t="str">
        <f>PRODUCE!$EA$33</f>
        <v>PREMIX 8101 (20KG)</v>
      </c>
      <c r="AC73" s="240" t="str">
        <f>PRODUCE!$EA$34</f>
        <v>PREMIX 8102 (20KG)</v>
      </c>
      <c r="AD73" s="240" t="str">
        <f>PRODUCE!$EA$35</f>
        <v>PREMIX 8103 (20KG)</v>
      </c>
      <c r="AE73" s="240" t="str">
        <f>PRODUCE!$EA$36</f>
        <v>PREMIX 8108 (20KG)</v>
      </c>
      <c r="AF73" s="240" t="str">
        <f>PRODUCE!$EA$37</f>
        <v>PREMIX 8109 (20KG)</v>
      </c>
      <c r="AG73" s="240" t="str">
        <f>PRODUCE!$EA$38</f>
        <v>YENMIX 121 (20KG)</v>
      </c>
      <c r="AH73" s="240" t="str">
        <f>PRODUCE!$EA$39</f>
        <v>YENMIX 122 (19.50KG)</v>
      </c>
      <c r="AI73" s="240" t="str">
        <f>PRODUCE!$EA$40</f>
        <v>YENMIX 123 (18.90KG)</v>
      </c>
      <c r="AJ73" s="240" t="str">
        <f>PRODUCE!$EA$41</f>
        <v>YENMIX 122 (20.50KG)</v>
      </c>
      <c r="AK73" s="240" t="str">
        <f>PRODUCE!$EA$42</f>
        <v>YENMIX 123 (20.00KG)</v>
      </c>
      <c r="AL73" s="240">
        <f>PRODUCE!$EA$43</f>
        <v>1</v>
      </c>
      <c r="AM73" s="240">
        <f>PRODUCE!$EA$44</f>
        <v>2</v>
      </c>
      <c r="AN73" s="240">
        <f>PRODUCE!$EA$45</f>
        <v>3</v>
      </c>
      <c r="AO73" s="240" t="str">
        <f>PRODUCE!$EA$46</f>
        <v>TOXISORB PREMIUM</v>
      </c>
      <c r="AP73" s="240" t="str">
        <f>PRODUCE!$EA$47</f>
        <v>SODIUM HUMATE 3.8% (HARUMI)</v>
      </c>
      <c r="AQ73" s="240" t="str">
        <f>PRODUCE!$EA$48</f>
        <v>TOXIWALL</v>
      </c>
      <c r="AR73" s="240" t="str">
        <f>PRODUCE!$EA$49</f>
        <v>SODIUM BICARBONATE</v>
      </c>
      <c r="AS73" s="240" t="str">
        <f>PRODUCE!$EA$50</f>
        <v>BMD 10%</v>
      </c>
      <c r="AT73" s="240" t="str">
        <f>PRODUCE!$EA$51</f>
        <v>SALT (HARUMI)</v>
      </c>
      <c r="AU73" s="240" t="str">
        <f>PRODUCE!$EA$52</f>
        <v>VISTABET 91</v>
      </c>
      <c r="AV73" s="240" t="str">
        <f>PRODUCE!$EA$53</f>
        <v>BETAFIN</v>
      </c>
      <c r="AW73" s="240" t="str">
        <f>PRODUCE!$EA$54</f>
        <v>8101 TOP UP</v>
      </c>
      <c r="AX73" s="240" t="str">
        <f>PRODUCE!$EA$55</f>
        <v>NORPONIN X03 (8102 TOP UP)</v>
      </c>
      <c r="AY73" s="240" t="str">
        <f>PRODUCE!$EA$56</f>
        <v>8102 TOP UP (4KG)</v>
      </c>
      <c r="AZ73" s="240" t="str">
        <f>PRODUCE!$EA$57</f>
        <v>8103 TOP UP (5KG)</v>
      </c>
      <c r="BA73" s="240" t="str">
        <f>PRODUCE!$EA$58</f>
        <v>L-ARGININE</v>
      </c>
      <c r="BB73" s="240" t="str">
        <f>PRODUCE!$EA$59</f>
        <v>DL-METHIONINE</v>
      </c>
      <c r="BC73" s="240" t="str">
        <f>PRODUCE!$EA$60</f>
        <v>L-THREONINE</v>
      </c>
      <c r="BD73" s="240" t="str">
        <f>PRODUCE!$EA$61</f>
        <v>L-LYSINE</v>
      </c>
      <c r="BE73" s="240" t="str">
        <f>PRODUCE!$EA$62</f>
        <v>FAECES DRY</v>
      </c>
      <c r="BF73" s="240" t="str">
        <f>PRODUCE!$EA$63</f>
        <v>ECOBIOL</v>
      </c>
      <c r="BG73" s="240" t="str">
        <f>PRODUCE!$EA$64</f>
        <v>ADDITIVE BROILER IMMUNE</v>
      </c>
      <c r="BH73" s="240" t="str">
        <f>PRODUCE!$EA$65</f>
        <v>MASTER CUBE (HARUMI)</v>
      </c>
      <c r="BI73" s="240" t="str">
        <f>PRODUCE!$EA$66</f>
        <v>1101 TOP UP (0.40KG)</v>
      </c>
      <c r="BJ73" s="240" t="str">
        <f>PRODUCE!$EA$67</f>
        <v>1102 TOP UP (0.60KG)</v>
      </c>
      <c r="BK73" s="240" t="str">
        <f>PRODUCE!$EA$68</f>
        <v>1103 TOP UP (2.00KG)</v>
      </c>
      <c r="BL73" s="240" t="str">
        <f>PRODUCE!$EA$69</f>
        <v>QUANTUM GLO 4%</v>
      </c>
      <c r="BM73" s="240" t="str">
        <f>PRODUCE!$EA$70</f>
        <v>SALT</v>
      </c>
      <c r="BN73" s="240" t="str">
        <f>PRODUCE!$EA$71</f>
        <v>OC 200 - OXYTET 20%</v>
      </c>
      <c r="BO73" s="240">
        <f>PRODUCE!$EA$72</f>
        <v>3</v>
      </c>
      <c r="BP73" s="387">
        <f>PRODUCE!$EA$73</f>
        <v>4</v>
      </c>
      <c r="BQ73" s="392" t="str">
        <f>PRODUCE!$EA$74</f>
        <v>WOVEN BAG (1101) - BLUE 50KG</v>
      </c>
      <c r="BR73" s="391" t="str">
        <f>PRODUCE!$EA$75</f>
        <v>WOVEN BAG (1102) - GREEN 50KG</v>
      </c>
      <c r="BS73" s="388" t="str">
        <f>PRODUCE!$EA$76</f>
        <v>WOVEN BAG (1103) - RED 50KG</v>
      </c>
      <c r="BT73" s="389" t="str">
        <f>PRODUCE!$EA$77</f>
        <v>PLAIN BAG 26" X 39" (50KG)</v>
      </c>
      <c r="BU73" s="350" t="str">
        <f>PRODUCE!$EA$78</f>
        <v>WOVEN BAG (8101) - KHAKI 50KG</v>
      </c>
      <c r="BV73" s="390" t="str">
        <f>PRODUCE!$EA$79</f>
        <v>WOVEN BAG (8102) - SKY BLUE 50KG</v>
      </c>
      <c r="BW73" s="240" t="str">
        <f>PRODUCE!$EA$80</f>
        <v>WOVEN BAG (8103) - BROWN 50KG</v>
      </c>
      <c r="BX73" s="240">
        <f>PRODUCE!$EA$81</f>
        <v>1</v>
      </c>
      <c r="BY73" s="240">
        <f>PRODUCE!$EA$82</f>
        <v>2</v>
      </c>
      <c r="BZ73" s="240">
        <f>PRODUCE!$EA$83</f>
        <v>3</v>
      </c>
      <c r="CA73" s="240">
        <f>PRODUCE!$EA$84</f>
        <v>4</v>
      </c>
      <c r="CB73" s="240">
        <f>PRODUCE!$EA$85</f>
        <v>5</v>
      </c>
      <c r="CC73" s="240">
        <f>PRODUCE!$EA$86</f>
        <v>6</v>
      </c>
      <c r="CD73" s="240">
        <f>PRODUCE!$EA$87</f>
        <v>7</v>
      </c>
      <c r="CE73" s="240">
        <f>PRODUCE!$EA$88</f>
        <v>8</v>
      </c>
    </row>
    <row r="74" spans="1:83" s="531" customFormat="1" outlineLevel="1">
      <c r="A74" s="536" t="s">
        <v>313</v>
      </c>
      <c r="B74" s="530">
        <f>'VAC &amp; MED'!H360</f>
        <v>236936.6</v>
      </c>
      <c r="C74" s="530">
        <f>'VAC &amp; MED'!Q360</f>
        <v>53017.600000000071</v>
      </c>
      <c r="D74" s="530">
        <f>'VAC &amp; MED'!Z360</f>
        <v>42674.199999999968</v>
      </c>
      <c r="E74" s="530">
        <f>'VAC &amp; MED'!AI360</f>
        <v>4522.2000000000189</v>
      </c>
      <c r="F74" s="530">
        <f>'VAC &amp; MED'!AR360</f>
        <v>0</v>
      </c>
      <c r="G74" s="530">
        <f>'VAC &amp; MED'!BA360</f>
        <v>124.99999999999523</v>
      </c>
      <c r="H74" s="530">
        <f>'VAC &amp; MED'!BJ360</f>
        <v>26151.899999999998</v>
      </c>
      <c r="I74" s="530">
        <f>'VAC &amp; MED'!BS360</f>
        <v>0</v>
      </c>
      <c r="J74" s="530">
        <f>'VAC &amp; MED'!CB360</f>
        <v>2097.3399999999992</v>
      </c>
      <c r="K74" s="530">
        <f>'VAC &amp; MED'!CK360</f>
        <v>-10277.079999999998</v>
      </c>
      <c r="L74" s="530">
        <f>'VAC &amp; MED'!CT360</f>
        <v>0</v>
      </c>
      <c r="M74" s="530">
        <f>'VAC &amp; MED'!DC360</f>
        <v>27438.200000000012</v>
      </c>
      <c r="N74" s="530">
        <f>'VAC &amp; MED'!DL360</f>
        <v>18782.299999999981</v>
      </c>
      <c r="O74" s="530">
        <f>'VAC &amp; MED'!DU360</f>
        <v>5800</v>
      </c>
      <c r="P74" s="530">
        <f>'VAC &amp; MED'!ED360</f>
        <v>0</v>
      </c>
      <c r="Q74" s="530">
        <f>'VAC &amp; MED'!EM360</f>
        <v>0</v>
      </c>
      <c r="R74" s="530">
        <f>'VAC &amp; MED'!EV360</f>
        <v>0</v>
      </c>
      <c r="S74" s="530">
        <f>'VAC &amp; MED'!FE360</f>
        <v>0</v>
      </c>
      <c r="T74" s="530">
        <f>'VAC &amp; MED'!FN360</f>
        <v>0</v>
      </c>
      <c r="U74" s="530">
        <f>'VAC &amp; MED'!FW360</f>
        <v>2020</v>
      </c>
      <c r="V74" s="530">
        <f>'VAC &amp; MED'!GF360</f>
        <v>960</v>
      </c>
      <c r="W74" s="530">
        <f>'VAC &amp; MED'!GO360</f>
        <v>1760</v>
      </c>
      <c r="X74" s="530">
        <f>'VAC &amp; MED'!GX360</f>
        <v>400</v>
      </c>
      <c r="Y74" s="530">
        <f>'VAC &amp; MED'!HG360</f>
        <v>3600</v>
      </c>
      <c r="Z74" s="530">
        <f>'VAC &amp; MED'!HP360</f>
        <v>0</v>
      </c>
      <c r="AA74" s="530">
        <f>'VAC &amp; MED'!HZ360</f>
        <v>6120</v>
      </c>
      <c r="AB74" s="530">
        <f>'VAC &amp; MED'!II360</f>
        <v>0</v>
      </c>
      <c r="AC74" s="530">
        <f>'VAC &amp; MED'!IR360</f>
        <v>0</v>
      </c>
      <c r="AD74" s="530">
        <f>'VAC &amp; MED'!JA360</f>
        <v>2820</v>
      </c>
      <c r="AE74" s="530">
        <f>'VAC &amp; MED'!JJ360</f>
        <v>0</v>
      </c>
      <c r="AF74" s="530">
        <f>'VAC &amp; MED'!JS360</f>
        <v>0</v>
      </c>
      <c r="AG74" s="530">
        <f>'VAC &amp; MED'!KB360</f>
        <v>2540</v>
      </c>
      <c r="AH74" s="530">
        <f>'VAC &amp; MED'!KK360</f>
        <v>2359.5</v>
      </c>
      <c r="AI74" s="530">
        <f>'VAC &amp; MED'!KT360</f>
        <v>1890</v>
      </c>
      <c r="AJ74" s="530">
        <f>'VAC &amp; MED'!LC360</f>
        <v>3690</v>
      </c>
      <c r="AK74" s="530">
        <f>'VAC &amp; MED'!LL360</f>
        <v>4000</v>
      </c>
      <c r="AL74" s="530">
        <f>'VAC &amp; MED'!LU360</f>
        <v>0</v>
      </c>
      <c r="AM74" s="530">
        <f>'VAC &amp; MED'!MD360</f>
        <v>0</v>
      </c>
      <c r="AN74" s="530">
        <f>'VAC &amp; MED'!MM360</f>
        <v>0</v>
      </c>
      <c r="AO74" s="530">
        <f>'VAC &amp; MED'!MV360</f>
        <v>1625</v>
      </c>
      <c r="AP74" s="530">
        <f>'VAC &amp; MED'!NE360</f>
        <v>0</v>
      </c>
      <c r="AQ74" s="530">
        <f>'VAC &amp; MED'!NN360</f>
        <v>1127</v>
      </c>
      <c r="AR74" s="530">
        <f>'VAC &amp; MED'!NW360</f>
        <v>3111.9999999999995</v>
      </c>
      <c r="AS74" s="530">
        <f>'VAC &amp; MED'!OF360</f>
        <v>1680.5</v>
      </c>
      <c r="AT74" s="530">
        <f>'VAC &amp; MED'!OO360</f>
        <v>0</v>
      </c>
      <c r="AU74" s="530">
        <f>'VAC &amp; MED'!OX360</f>
        <v>1482</v>
      </c>
      <c r="AV74" s="530">
        <f>'VAC &amp; MED'!PG360</f>
        <v>0</v>
      </c>
      <c r="AW74" s="530">
        <f>'VAC &amp; MED'!PP360</f>
        <v>100</v>
      </c>
      <c r="AX74" s="530">
        <f>'VAC &amp; MED'!PY360</f>
        <v>13.960000000000036</v>
      </c>
      <c r="AY74" s="530">
        <f>'VAC &amp; MED'!QH360</f>
        <v>548</v>
      </c>
      <c r="AZ74" s="530">
        <f>'VAC &amp; MED'!QQ360</f>
        <v>0</v>
      </c>
      <c r="BA74" s="531">
        <f>'VAC &amp; MED'!QZ360</f>
        <v>0</v>
      </c>
      <c r="BB74" s="531">
        <f>'VAC &amp; MED'!RI360</f>
        <v>147.04000000000002</v>
      </c>
      <c r="BC74" s="531">
        <f>'VAC &amp; MED'!RR360</f>
        <v>46.8</v>
      </c>
      <c r="BD74" s="531">
        <f>'VAC &amp; MED'!SA360</f>
        <v>0</v>
      </c>
      <c r="BE74" s="531">
        <f>'VAC &amp; MED'!SJ360</f>
        <v>24.200000000000003</v>
      </c>
      <c r="BF74" s="531">
        <f>'VAC &amp; MED'!SS360</f>
        <v>32</v>
      </c>
      <c r="BG74" s="531">
        <f>'VAC &amp; MED'!TB360</f>
        <v>0</v>
      </c>
      <c r="BH74" s="531">
        <f>'VAC &amp; MED'!TK360</f>
        <v>0</v>
      </c>
      <c r="BI74" s="531">
        <f>'VAC &amp; MED'!TT360</f>
        <v>0</v>
      </c>
      <c r="BJ74" s="531">
        <f>'VAC &amp; MED'!UC360</f>
        <v>46.799999999999983</v>
      </c>
      <c r="BK74" s="531">
        <f>'VAC &amp; MED'!UL360</f>
        <v>204</v>
      </c>
      <c r="BL74" s="531">
        <f>'VAC &amp; MED'!UU360</f>
        <v>202.5</v>
      </c>
      <c r="BM74" s="531">
        <f>'VAC &amp; MED'!VD360</f>
        <v>41.600000000000023</v>
      </c>
      <c r="BN74" s="531">
        <f>'VAC &amp; MED'!VM360</f>
        <v>210</v>
      </c>
      <c r="BO74" s="531">
        <f>'VAC &amp; MED'!VV360</f>
        <v>0</v>
      </c>
      <c r="BP74" s="531">
        <f>'VAC &amp; MED'!WE360</f>
        <v>0</v>
      </c>
      <c r="BQ74" s="531">
        <f>'VAC &amp; MED'!WN360</f>
        <v>1057</v>
      </c>
      <c r="BR74" s="531">
        <f>'VAC &amp; MED'!WW360</f>
        <v>0</v>
      </c>
      <c r="BS74" s="531">
        <f>'VAC &amp; MED'!XF360</f>
        <v>7507</v>
      </c>
      <c r="BT74" s="531">
        <f>'VAC &amp; MED'!XO360</f>
        <v>4252</v>
      </c>
      <c r="BU74" s="531">
        <f>'VAC &amp; MED'!XX360</f>
        <v>2179</v>
      </c>
      <c r="BV74" s="531">
        <f>'VAC &amp; MED'!YG360</f>
        <v>4019</v>
      </c>
      <c r="BW74" s="531">
        <f>'VAC &amp; MED'!YP360</f>
        <v>-218</v>
      </c>
      <c r="BX74" s="531">
        <f>'VAC &amp; MED'!YY360</f>
        <v>0</v>
      </c>
      <c r="BY74" s="531">
        <f>'VAC &amp; MED'!ZH360</f>
        <v>0</v>
      </c>
      <c r="BZ74" s="531">
        <f>'VAC &amp; MED'!ZQ360</f>
        <v>0</v>
      </c>
    </row>
    <row r="75" spans="1:83" s="531" customFormat="1" outlineLevel="1">
      <c r="A75" s="536" t="s">
        <v>314</v>
      </c>
      <c r="B75" s="530">
        <f>'VAC &amp; MED'!D391</f>
        <v>0</v>
      </c>
      <c r="C75" s="530">
        <f>'VAC &amp; MED'!M391</f>
        <v>0</v>
      </c>
      <c r="D75" s="530">
        <f>'VAC &amp; MED'!V391</f>
        <v>0</v>
      </c>
      <c r="E75" s="530">
        <f>'VAC &amp; MED'!AE391</f>
        <v>0</v>
      </c>
      <c r="F75" s="530">
        <f>'VAC &amp; MED'!AN391</f>
        <v>0</v>
      </c>
      <c r="G75" s="530">
        <f>'VAC &amp; MED'!AW391</f>
        <v>0</v>
      </c>
      <c r="H75" s="530">
        <f>'VAC &amp; MED'!BF391</f>
        <v>0</v>
      </c>
      <c r="I75" s="530">
        <f>'VAC &amp; MED'!BO391</f>
        <v>0</v>
      </c>
      <c r="J75" s="530">
        <f>'VAC &amp; MED'!BX391</f>
        <v>0</v>
      </c>
      <c r="K75" s="530">
        <f>'VAC &amp; MED'!CG391</f>
        <v>0</v>
      </c>
      <c r="L75" s="530">
        <f>'VAC &amp; MED'!CP391</f>
        <v>0</v>
      </c>
      <c r="M75" s="530">
        <f>'VAC &amp; MED'!CY391</f>
        <v>0</v>
      </c>
      <c r="N75" s="530">
        <f>'VAC &amp; MED'!DH391</f>
        <v>0</v>
      </c>
      <c r="O75" s="530">
        <f>'VAC &amp; MED'!DQ391</f>
        <v>0</v>
      </c>
      <c r="P75" s="530">
        <f>'VAC &amp; MED'!DZ391</f>
        <v>0</v>
      </c>
      <c r="Q75" s="530">
        <f>'VAC &amp; MED'!EI391</f>
        <v>0</v>
      </c>
      <c r="R75" s="530">
        <f>'VAC &amp; MED'!ER391</f>
        <v>0</v>
      </c>
      <c r="S75" s="530">
        <f>'VAC &amp; MED'!FA391</f>
        <v>0</v>
      </c>
      <c r="T75" s="530">
        <f>'VAC &amp; MED'!FJ391</f>
        <v>0</v>
      </c>
      <c r="U75" s="530">
        <f>'VAC &amp; MED'!FS391</f>
        <v>0</v>
      </c>
      <c r="V75" s="530">
        <f>'VAC &amp; MED'!GB391</f>
        <v>0</v>
      </c>
      <c r="W75" s="530">
        <f>'VAC &amp; MED'!GK391</f>
        <v>0</v>
      </c>
      <c r="X75" s="530">
        <f>'VAC &amp; MED'!GT391</f>
        <v>0</v>
      </c>
      <c r="Y75" s="530">
        <f>'VAC &amp; MED'!HC391</f>
        <v>0</v>
      </c>
      <c r="Z75" s="530">
        <f>'VAC &amp; MED'!HL391</f>
        <v>0</v>
      </c>
      <c r="AA75" s="530">
        <f>'VAC &amp; MED'!HV391</f>
        <v>0</v>
      </c>
      <c r="AB75" s="530">
        <f>'VAC &amp; MED'!IE391</f>
        <v>0</v>
      </c>
      <c r="AC75" s="530">
        <f>'VAC &amp; MED'!IN391</f>
        <v>0</v>
      </c>
      <c r="AD75" s="530">
        <f>'VAC &amp; MED'!IW391</f>
        <v>0</v>
      </c>
      <c r="AE75" s="530">
        <f>'VAC &amp; MED'!JF391</f>
        <v>0</v>
      </c>
      <c r="AF75" s="530">
        <f>'VAC &amp; MED'!JO391</f>
        <v>0</v>
      </c>
      <c r="AG75" s="530">
        <f>'VAC &amp; MED'!JX391</f>
        <v>0</v>
      </c>
      <c r="AH75" s="530">
        <f>'VAC &amp; MED'!KG391</f>
        <v>0</v>
      </c>
      <c r="AI75" s="530">
        <f>'VAC &amp; MED'!KP391</f>
        <v>0</v>
      </c>
      <c r="AJ75" s="530">
        <f>'VAC &amp; MED'!KY391</f>
        <v>0</v>
      </c>
      <c r="AK75" s="530">
        <f>'VAC &amp; MED'!LH391</f>
        <v>0</v>
      </c>
      <c r="AL75" s="530">
        <f>'VAC &amp; MED'!LQ391</f>
        <v>0</v>
      </c>
      <c r="AM75" s="530">
        <f>'VAC &amp; MED'!LZ391</f>
        <v>0</v>
      </c>
      <c r="AN75" s="530">
        <f>'VAC &amp; MED'!MI391</f>
        <v>0</v>
      </c>
      <c r="AO75" s="530">
        <f>'VAC &amp; MED'!MR391</f>
        <v>0</v>
      </c>
      <c r="AP75" s="530">
        <f>'VAC &amp; MED'!NA391</f>
        <v>0</v>
      </c>
      <c r="AQ75" s="530">
        <f>'VAC &amp; MED'!NJ391</f>
        <v>0</v>
      </c>
      <c r="AR75" s="530">
        <f>'VAC &amp; MED'!NS391</f>
        <v>0</v>
      </c>
      <c r="AS75" s="530">
        <f>'VAC &amp; MED'!OB391</f>
        <v>0</v>
      </c>
      <c r="AT75" s="530">
        <f>'VAC &amp; MED'!OK391</f>
        <v>0</v>
      </c>
      <c r="AU75" s="530">
        <f>'VAC &amp; MED'!OT391</f>
        <v>0</v>
      </c>
      <c r="AV75" s="530">
        <f>'VAC &amp; MED'!PC391</f>
        <v>0</v>
      </c>
      <c r="AW75" s="530">
        <f>'VAC &amp; MED'!PL391</f>
        <v>0</v>
      </c>
      <c r="AX75" s="530">
        <f>'VAC &amp; MED'!PU391</f>
        <v>0</v>
      </c>
      <c r="AY75" s="530">
        <f>'VAC &amp; MED'!QD391</f>
        <v>0</v>
      </c>
      <c r="AZ75" s="530">
        <f>'VAC &amp; MED'!QM391</f>
        <v>0</v>
      </c>
      <c r="BA75" s="531">
        <f>'VAC &amp; MED'!QV391</f>
        <v>0</v>
      </c>
      <c r="BB75" s="531">
        <f>'VAC &amp; MED'!RE391</f>
        <v>0</v>
      </c>
      <c r="BC75" s="531">
        <f>'VAC &amp; MED'!RN391</f>
        <v>0</v>
      </c>
      <c r="BD75" s="531">
        <f>'VAC &amp; MED'!RW391</f>
        <v>0</v>
      </c>
      <c r="BE75" s="531">
        <f>'VAC &amp; MED'!SF391</f>
        <v>0</v>
      </c>
      <c r="BF75" s="531">
        <f>'VAC &amp; MED'!SO391</f>
        <v>0</v>
      </c>
      <c r="BG75" s="531">
        <f>'VAC &amp; MED'!SX391</f>
        <v>0</v>
      </c>
      <c r="BH75" s="531">
        <f>'VAC &amp; MED'!TG391</f>
        <v>0</v>
      </c>
      <c r="BI75" s="531">
        <f>'VAC &amp; MED'!TP391</f>
        <v>0</v>
      </c>
      <c r="BJ75" s="531">
        <f>'VAC &amp; MED'!TY391</f>
        <v>0</v>
      </c>
      <c r="BK75" s="531">
        <f>'VAC &amp; MED'!UH391</f>
        <v>0</v>
      </c>
      <c r="BL75" s="531">
        <f>'VAC &amp; MED'!UQ391</f>
        <v>0</v>
      </c>
      <c r="BM75" s="531">
        <f>'VAC &amp; MED'!UZ391</f>
        <v>0</v>
      </c>
      <c r="BN75" s="531">
        <f>'VAC &amp; MED'!VI391</f>
        <v>0</v>
      </c>
      <c r="BO75" s="531">
        <f>'VAC &amp; MED'!VR391</f>
        <v>0</v>
      </c>
      <c r="BP75" s="531">
        <f>'VAC &amp; MED'!WA391</f>
        <v>0</v>
      </c>
      <c r="BQ75" s="531">
        <f>'VAC &amp; MED'!WJ391</f>
        <v>0</v>
      </c>
      <c r="BR75" s="531">
        <f>'VAC &amp; MED'!WS391</f>
        <v>0</v>
      </c>
      <c r="BS75" s="531">
        <f>'VAC &amp; MED'!XB391</f>
        <v>0</v>
      </c>
      <c r="BT75" s="531">
        <f>'VAC &amp; MED'!XK391</f>
        <v>0</v>
      </c>
      <c r="BU75" s="531">
        <f>'VAC &amp; MED'!XT391</f>
        <v>0</v>
      </c>
      <c r="BV75" s="531">
        <f>'VAC &amp; MED'!YC391</f>
        <v>0</v>
      </c>
      <c r="BW75" s="531">
        <f>'VAC &amp; MED'!YL391</f>
        <v>0</v>
      </c>
      <c r="BX75" s="531">
        <f>'VAC &amp; MED'!YU391</f>
        <v>0</v>
      </c>
      <c r="BY75" s="531">
        <f>'VAC &amp; MED'!ZD391</f>
        <v>0</v>
      </c>
      <c r="BZ75" s="531">
        <f>'VAC &amp; MED'!ZM391</f>
        <v>0</v>
      </c>
    </row>
    <row r="76" spans="1:83" s="531" customFormat="1" outlineLevel="1">
      <c r="A76" s="536" t="s">
        <v>315</v>
      </c>
      <c r="B76" s="530">
        <f>'VAC &amp; MED'!E391</f>
        <v>0</v>
      </c>
      <c r="C76" s="530">
        <f>'VAC &amp; MED'!N391</f>
        <v>0</v>
      </c>
      <c r="D76" s="530">
        <f>'VAC &amp; MED'!W391</f>
        <v>0</v>
      </c>
      <c r="E76" s="530">
        <f>'VAC &amp; MED'!AF391</f>
        <v>0</v>
      </c>
      <c r="F76" s="530">
        <f>'VAC &amp; MED'!AO391</f>
        <v>0</v>
      </c>
      <c r="G76" s="530">
        <f>'VAC &amp; MED'!AX391</f>
        <v>0</v>
      </c>
      <c r="H76" s="530">
        <f>'VAC &amp; MED'!BG391</f>
        <v>0</v>
      </c>
      <c r="I76" s="530">
        <f>'VAC &amp; MED'!BP391</f>
        <v>0</v>
      </c>
      <c r="J76" s="530">
        <f>'VAC &amp; MED'!BY391</f>
        <v>0</v>
      </c>
      <c r="K76" s="530">
        <f>'VAC &amp; MED'!CH391</f>
        <v>0</v>
      </c>
      <c r="L76" s="530">
        <f>'VAC &amp; MED'!CQ391</f>
        <v>0</v>
      </c>
      <c r="M76" s="530">
        <f>'VAC &amp; MED'!CZ391</f>
        <v>0</v>
      </c>
      <c r="N76" s="530">
        <f>'VAC &amp; MED'!DI391</f>
        <v>0</v>
      </c>
      <c r="O76" s="530">
        <f>'VAC &amp; MED'!DR391</f>
        <v>0</v>
      </c>
      <c r="P76" s="530">
        <f>'VAC &amp; MED'!EB391</f>
        <v>0</v>
      </c>
      <c r="Q76" s="530">
        <f>'VAC &amp; MED'!EJ391</f>
        <v>0</v>
      </c>
      <c r="R76" s="530">
        <f>'VAC &amp; MED'!ES391</f>
        <v>0</v>
      </c>
      <c r="S76" s="530">
        <f>'VAC &amp; MED'!FB391</f>
        <v>0</v>
      </c>
      <c r="T76" s="530">
        <f>'VAC &amp; MED'!FK391</f>
        <v>0</v>
      </c>
      <c r="U76" s="530">
        <f>'VAC &amp; MED'!FT391</f>
        <v>0</v>
      </c>
      <c r="V76" s="530">
        <f>'VAC &amp; MED'!GC391</f>
        <v>0</v>
      </c>
      <c r="W76" s="530">
        <f>'VAC &amp; MED'!GL391</f>
        <v>0</v>
      </c>
      <c r="X76" s="530">
        <f>'VAC &amp; MED'!GU391</f>
        <v>0</v>
      </c>
      <c r="Y76" s="530">
        <f>'VAC &amp; MED'!HD391</f>
        <v>0</v>
      </c>
      <c r="Z76" s="530">
        <f>'VAC &amp; MED'!HM391</f>
        <v>0</v>
      </c>
      <c r="AA76" s="530">
        <f>'VAC &amp; MED'!HW391</f>
        <v>0</v>
      </c>
      <c r="AB76" s="530">
        <f>'VAC &amp; MED'!IF391</f>
        <v>0</v>
      </c>
      <c r="AC76" s="530">
        <f>'VAC &amp; MED'!IO391</f>
        <v>0</v>
      </c>
      <c r="AD76" s="530">
        <f>'VAC &amp; MED'!IX391</f>
        <v>0</v>
      </c>
      <c r="AE76" s="530">
        <f>'VAC &amp; MED'!JG391</f>
        <v>0</v>
      </c>
      <c r="AF76" s="530">
        <f>'VAC &amp; MED'!JP391</f>
        <v>0</v>
      </c>
      <c r="AG76" s="530">
        <f>'VAC &amp; MED'!JY391</f>
        <v>0</v>
      </c>
      <c r="AH76" s="530">
        <f>'VAC &amp; MED'!KH391</f>
        <v>0</v>
      </c>
      <c r="AI76" s="530">
        <f>'VAC &amp; MED'!KR391</f>
        <v>0</v>
      </c>
      <c r="AJ76" s="530">
        <f>'VAC &amp; MED'!KZ391</f>
        <v>0</v>
      </c>
      <c r="AK76" s="530">
        <f>'VAC &amp; MED'!LI391</f>
        <v>0</v>
      </c>
      <c r="AL76" s="530">
        <f>'VAC &amp; MED'!LR391</f>
        <v>0</v>
      </c>
      <c r="AM76" s="530">
        <f>'VAC &amp; MED'!MA391</f>
        <v>0</v>
      </c>
      <c r="AN76" s="530">
        <f>'VAC &amp; MED'!MJ391</f>
        <v>0</v>
      </c>
      <c r="AO76" s="530">
        <f>'VAC &amp; MED'!MS391</f>
        <v>0</v>
      </c>
      <c r="AP76" s="530">
        <f>'VAC &amp; MED'!NB391</f>
        <v>0</v>
      </c>
      <c r="AQ76" s="530">
        <f>'VAC &amp; MED'!NK391</f>
        <v>0</v>
      </c>
      <c r="AR76" s="530">
        <f>'VAC &amp; MED'!NU391</f>
        <v>0</v>
      </c>
      <c r="AS76" s="530">
        <f>'VAC &amp; MED'!OD391</f>
        <v>0</v>
      </c>
      <c r="AT76" s="530">
        <f>'VAC &amp; MED'!OM391</f>
        <v>0</v>
      </c>
      <c r="AU76" s="530">
        <f>'VAC &amp; MED'!OV391</f>
        <v>0</v>
      </c>
      <c r="AV76" s="530">
        <f>'VAC &amp; MED'!PE391</f>
        <v>0</v>
      </c>
      <c r="AW76" s="530">
        <f>'VAC &amp; MED'!PN391</f>
        <v>0</v>
      </c>
      <c r="AX76" s="530">
        <f>'VAC &amp; MED'!PW391</f>
        <v>0</v>
      </c>
      <c r="AY76" s="530">
        <f>'VAC &amp; MED'!QE391</f>
        <v>0</v>
      </c>
      <c r="AZ76" s="530">
        <f>'VAC &amp; MED'!QN391</f>
        <v>0</v>
      </c>
      <c r="BA76" s="531">
        <f>'VAC &amp; MED'!QX391</f>
        <v>0</v>
      </c>
      <c r="BB76" s="531">
        <f>'VAC &amp; MED'!RG391</f>
        <v>0</v>
      </c>
      <c r="BC76" s="531">
        <f>'VAC &amp; MED'!RP391</f>
        <v>0</v>
      </c>
      <c r="BD76" s="531">
        <f>'VAC &amp; MED'!RY391</f>
        <v>0</v>
      </c>
      <c r="BE76" s="531">
        <f>'VAC &amp; MED'!SH391</f>
        <v>0</v>
      </c>
      <c r="BF76" s="531">
        <f>'VAC &amp; MED'!SQ391</f>
        <v>0</v>
      </c>
      <c r="BG76" s="531">
        <f>'VAC &amp; MED'!SZ391</f>
        <v>0</v>
      </c>
      <c r="BH76" s="531">
        <f>'VAC &amp; MED'!TI391</f>
        <v>0</v>
      </c>
      <c r="BI76" s="531">
        <f>'VAC &amp; MED'!TR391</f>
        <v>0</v>
      </c>
      <c r="BJ76" s="531">
        <f>'VAC &amp; MED'!UA391</f>
        <v>0</v>
      </c>
      <c r="BK76" s="531">
        <f>'VAC &amp; MED'!UJ391</f>
        <v>0</v>
      </c>
      <c r="BL76" s="531">
        <f>'VAC &amp; MED'!US391</f>
        <v>0</v>
      </c>
      <c r="BM76" s="531">
        <f>'VAC &amp; MED'!VB391</f>
        <v>0</v>
      </c>
      <c r="BN76" s="531">
        <f>'VAC &amp; MED'!VK391</f>
        <v>0</v>
      </c>
      <c r="BO76" s="531">
        <f>'VAC &amp; MED'!VT391</f>
        <v>0</v>
      </c>
      <c r="BP76" s="531">
        <f>'VAC &amp; MED'!WC391</f>
        <v>0</v>
      </c>
      <c r="BQ76" s="531">
        <f>'VAC &amp; MED'!WL391</f>
        <v>0</v>
      </c>
      <c r="BR76" s="531">
        <f>'VAC &amp; MED'!WU391</f>
        <v>0</v>
      </c>
      <c r="BS76" s="531">
        <f>'VAC &amp; MED'!XD391</f>
        <v>0</v>
      </c>
      <c r="BT76" s="531">
        <f>'VAC &amp; MED'!XM391</f>
        <v>0</v>
      </c>
      <c r="BU76" s="531">
        <f>'VAC &amp; MED'!XV391</f>
        <v>0</v>
      </c>
      <c r="BV76" s="531">
        <f>'VAC &amp; MED'!YE391</f>
        <v>0</v>
      </c>
      <c r="BW76" s="531">
        <f>'VAC &amp; MED'!YN391</f>
        <v>0</v>
      </c>
      <c r="BX76" s="531">
        <f>'VAC &amp; MED'!YW391</f>
        <v>0</v>
      </c>
      <c r="BY76" s="531">
        <f>'VAC &amp; MED'!ZF391</f>
        <v>0</v>
      </c>
      <c r="BZ76" s="531">
        <f>'VAC &amp; MED'!ZO391</f>
        <v>0</v>
      </c>
    </row>
    <row r="77" spans="1:83" s="531" customFormat="1" outlineLevel="1">
      <c r="A77" s="536" t="s">
        <v>316</v>
      </c>
      <c r="B77" s="530">
        <f>'VAC &amp; MED'!G391</f>
        <v>0</v>
      </c>
      <c r="C77" s="530">
        <f>'VAC &amp; MED'!P391</f>
        <v>0</v>
      </c>
      <c r="D77" s="530">
        <f>'VAC &amp; MED'!Y391</f>
        <v>0</v>
      </c>
      <c r="E77" s="530">
        <f>'VAC &amp; MED'!AH391</f>
        <v>0</v>
      </c>
      <c r="F77" s="530">
        <f>'VAC &amp; MED'!AQ391</f>
        <v>0</v>
      </c>
      <c r="G77" s="530">
        <f>'VAC &amp; MED'!AZ391</f>
        <v>0</v>
      </c>
      <c r="H77" s="530">
        <f>'VAC &amp; MED'!BI391</f>
        <v>0</v>
      </c>
      <c r="I77" s="530">
        <f>'VAC &amp; MED'!BR391</f>
        <v>0</v>
      </c>
      <c r="J77" s="530">
        <f>'VAC &amp; MED'!CA391</f>
        <v>0</v>
      </c>
      <c r="K77" s="530">
        <f>'VAC &amp; MED'!CJ391</f>
        <v>0</v>
      </c>
      <c r="L77" s="530">
        <f>'VAC &amp; MED'!CS391</f>
        <v>0</v>
      </c>
      <c r="M77" s="530">
        <f>'VAC &amp; MED'!DB391</f>
        <v>0</v>
      </c>
      <c r="N77" s="530">
        <f>'VAC &amp; MED'!DK391</f>
        <v>0</v>
      </c>
      <c r="O77" s="530">
        <f>'VAC &amp; MED'!DT391</f>
        <v>0</v>
      </c>
      <c r="P77" s="530"/>
      <c r="Q77" s="530">
        <f>'VAC &amp; MED'!EL391</f>
        <v>0</v>
      </c>
      <c r="R77" s="530">
        <f>'VAC &amp; MED'!EU391</f>
        <v>0</v>
      </c>
      <c r="S77" s="530">
        <f>'VAC &amp; MED'!FD391</f>
        <v>0</v>
      </c>
      <c r="T77" s="530">
        <f>'VAC &amp; MED'!FM391</f>
        <v>0</v>
      </c>
      <c r="U77" s="530">
        <f>'VAC &amp; MED'!FV391</f>
        <v>0</v>
      </c>
      <c r="V77" s="530">
        <f>'VAC &amp; MED'!GE391</f>
        <v>0</v>
      </c>
      <c r="W77" s="530">
        <f>'VAC &amp; MED'!GN391</f>
        <v>0</v>
      </c>
      <c r="X77" s="530">
        <f>'VAC &amp; MED'!GW391</f>
        <v>0</v>
      </c>
      <c r="Y77" s="530">
        <f>'VAC &amp; MED'!HF391</f>
        <v>0</v>
      </c>
      <c r="Z77" s="530">
        <f>'VAC &amp; MED'!HO391</f>
        <v>0</v>
      </c>
      <c r="AA77" s="530">
        <f>'VAC &amp; MED'!HY391</f>
        <v>0</v>
      </c>
      <c r="AB77" s="530">
        <f>'VAC &amp; MED'!IH391</f>
        <v>0</v>
      </c>
      <c r="AC77" s="530">
        <f>'VAC &amp; MED'!IQ391</f>
        <v>0</v>
      </c>
      <c r="AD77" s="530">
        <f>'VAC &amp; MED'!IZ391</f>
        <v>0</v>
      </c>
      <c r="AE77" s="530">
        <f>'VAC &amp; MED'!JI391</f>
        <v>0</v>
      </c>
      <c r="AF77" s="530">
        <f>'VAC &amp; MED'!JR391</f>
        <v>0</v>
      </c>
      <c r="AG77" s="530">
        <f>'VAC &amp; MED'!KA391</f>
        <v>0</v>
      </c>
      <c r="AH77" s="530">
        <f>'VAC &amp; MED'!KJ391</f>
        <v>0</v>
      </c>
      <c r="AI77" s="530"/>
      <c r="AJ77" s="530">
        <f>'VAC &amp; MED'!LB391</f>
        <v>0</v>
      </c>
      <c r="AK77" s="530">
        <f>'VAC &amp; MED'!LK391</f>
        <v>0</v>
      </c>
      <c r="AL77" s="530">
        <f>'VAC &amp; MED'!LT391</f>
        <v>0</v>
      </c>
      <c r="AM77" s="532"/>
      <c r="AN77" s="532"/>
      <c r="AO77" s="532"/>
      <c r="AP77" s="532"/>
      <c r="AQ77" s="532"/>
      <c r="AR77" s="532"/>
      <c r="AS77" s="532"/>
      <c r="AT77" s="532"/>
      <c r="AU77" s="532"/>
      <c r="AV77" s="532"/>
      <c r="AW77" s="532"/>
      <c r="AX77" s="532"/>
      <c r="AY77" s="532"/>
      <c r="AZ77" s="532"/>
      <c r="BA77" s="533"/>
      <c r="BB77" s="533"/>
      <c r="BC77" s="533"/>
      <c r="BD77" s="533"/>
      <c r="BE77" s="533"/>
      <c r="BF77" s="533"/>
      <c r="BG77" s="533"/>
      <c r="BH77" s="533"/>
      <c r="BI77" s="531">
        <f>'VAC &amp; MED'!TS391</f>
        <v>0</v>
      </c>
      <c r="BJ77" s="531">
        <f>'VAC &amp; MED'!UB391</f>
        <v>0</v>
      </c>
      <c r="BK77" s="531">
        <f>'VAC &amp; MED'!UK391</f>
        <v>0</v>
      </c>
      <c r="BL77" s="531">
        <f>'VAC &amp; MED'!UT391</f>
        <v>0</v>
      </c>
      <c r="BM77" s="531">
        <f>'VAC &amp; MED'!VC391</f>
        <v>0</v>
      </c>
      <c r="BN77" s="531">
        <f>'VAC &amp; MED'!VL391</f>
        <v>0</v>
      </c>
      <c r="BO77" s="531">
        <f>'VAC &amp; MED'!VU391</f>
        <v>0</v>
      </c>
      <c r="BP77" s="533"/>
      <c r="BQ77" s="533"/>
      <c r="BR77" s="533"/>
      <c r="BS77" s="533"/>
      <c r="BT77" s="533"/>
      <c r="BU77" s="533"/>
      <c r="BV77" s="533"/>
      <c r="BW77" s="533"/>
      <c r="BX77" s="533"/>
      <c r="BY77" s="533"/>
      <c r="BZ77" s="533"/>
      <c r="CA77" s="533"/>
      <c r="CB77" s="533"/>
      <c r="CC77" s="533"/>
      <c r="CD77" s="533"/>
      <c r="CE77" s="533"/>
    </row>
    <row r="78" spans="1:83" s="535" customFormat="1">
      <c r="A78" s="537" t="s">
        <v>171</v>
      </c>
      <c r="B78" s="534">
        <f>'VAC &amp; MED'!H391</f>
        <v>236936.6</v>
      </c>
      <c r="C78" s="534">
        <f>'VAC &amp; MED'!Q391</f>
        <v>53017.600000000071</v>
      </c>
      <c r="D78" s="534">
        <f>'VAC &amp; MED'!Z391</f>
        <v>42674.199999999968</v>
      </c>
      <c r="E78" s="534">
        <f>'VAC &amp; MED'!AI391</f>
        <v>4522.2000000000189</v>
      </c>
      <c r="F78" s="534">
        <f>'VAC &amp; MED'!AR391</f>
        <v>0</v>
      </c>
      <c r="G78" s="534">
        <f>'VAC &amp; MED'!BA391</f>
        <v>124.99999999999523</v>
      </c>
      <c r="H78" s="534">
        <f>'VAC &amp; MED'!BJ391</f>
        <v>26151.899999999998</v>
      </c>
      <c r="I78" s="534">
        <f>'VAC &amp; MED'!BS391</f>
        <v>0</v>
      </c>
      <c r="J78" s="534">
        <f>'VAC &amp; MED'!CB391</f>
        <v>2097.3399999999992</v>
      </c>
      <c r="K78" s="534">
        <f>'VAC &amp; MED'!CK391</f>
        <v>-10277.079999999998</v>
      </c>
      <c r="L78" s="534">
        <f>'VAC &amp; MED'!CT391</f>
        <v>0</v>
      </c>
      <c r="M78" s="534">
        <f>'VAC &amp; MED'!DC391</f>
        <v>27438.200000000012</v>
      </c>
      <c r="N78" s="534">
        <f>'VAC &amp; MED'!DL391</f>
        <v>18782.299999999981</v>
      </c>
      <c r="O78" s="534">
        <f>'VAC &amp; MED'!DU391</f>
        <v>5800</v>
      </c>
      <c r="P78" s="534">
        <f>'VAC &amp; MED'!ED391</f>
        <v>0</v>
      </c>
      <c r="Q78" s="534">
        <f>'VAC &amp; MED'!EM391</f>
        <v>0</v>
      </c>
      <c r="R78" s="534">
        <f>'VAC &amp; MED'!EV391</f>
        <v>0</v>
      </c>
      <c r="S78" s="534">
        <f>'VAC &amp; MED'!FE391</f>
        <v>0</v>
      </c>
      <c r="T78" s="534">
        <f>'VAC &amp; MED'!FN391</f>
        <v>0</v>
      </c>
      <c r="U78" s="534">
        <f>'VAC &amp; MED'!FW391</f>
        <v>2020</v>
      </c>
      <c r="V78" s="534">
        <f>'VAC &amp; MED'!GF391</f>
        <v>960</v>
      </c>
      <c r="W78" s="534">
        <f>'VAC &amp; MED'!GO391</f>
        <v>1760</v>
      </c>
      <c r="X78" s="534">
        <f>'VAC &amp; MED'!GX391</f>
        <v>400</v>
      </c>
      <c r="Y78" s="534">
        <f>'VAC &amp; MED'!HG391</f>
        <v>3600</v>
      </c>
      <c r="Z78" s="534">
        <f>'VAC &amp; MED'!HP391</f>
        <v>0</v>
      </c>
      <c r="AA78" s="534">
        <f>'VAC &amp; MED'!HZ391</f>
        <v>6120</v>
      </c>
      <c r="AB78" s="534">
        <f>'VAC &amp; MED'!II391</f>
        <v>0</v>
      </c>
      <c r="AC78" s="534">
        <f>'VAC &amp; MED'!IR391</f>
        <v>0</v>
      </c>
      <c r="AD78" s="534">
        <f>'VAC &amp; MED'!JA391</f>
        <v>2820</v>
      </c>
      <c r="AE78" s="534">
        <f>'VAC &amp; MED'!JJ391</f>
        <v>0</v>
      </c>
      <c r="AF78" s="534">
        <f>'VAC &amp; MED'!JS391</f>
        <v>0</v>
      </c>
      <c r="AG78" s="534">
        <f>'VAC &amp; MED'!KB391</f>
        <v>2540</v>
      </c>
      <c r="AH78" s="534">
        <f>'VAC &amp; MED'!KK391</f>
        <v>2359.5</v>
      </c>
      <c r="AI78" s="534">
        <f>'VAC &amp; MED'!KT391</f>
        <v>1890</v>
      </c>
      <c r="AJ78" s="534">
        <f>'VAC &amp; MED'!LC391</f>
        <v>3690</v>
      </c>
      <c r="AK78" s="534">
        <f>'VAC &amp; MED'!LL391</f>
        <v>4000</v>
      </c>
      <c r="AL78" s="534">
        <f>'VAC &amp; MED'!LU391</f>
        <v>0</v>
      </c>
      <c r="AM78" s="534">
        <f>'VAC &amp; MED'!MD391</f>
        <v>0</v>
      </c>
      <c r="AN78" s="534">
        <f>'VAC &amp; MED'!MM391</f>
        <v>0</v>
      </c>
      <c r="AO78" s="534">
        <f>'VAC &amp; MED'!MV391</f>
        <v>1625</v>
      </c>
      <c r="AP78" s="534">
        <f>'VAC &amp; MED'!NE391</f>
        <v>0</v>
      </c>
      <c r="AQ78" s="534">
        <f>'VAC &amp; MED'!NN391</f>
        <v>1127</v>
      </c>
      <c r="AR78" s="534">
        <f>'VAC &amp; MED'!NW391</f>
        <v>3111.9999999999995</v>
      </c>
      <c r="AS78" s="534">
        <f>'VAC &amp; MED'!OF391</f>
        <v>1680.5</v>
      </c>
      <c r="AT78" s="534">
        <f>'VAC &amp; MED'!OO391</f>
        <v>0</v>
      </c>
      <c r="AU78" s="534">
        <f>'VAC &amp; MED'!OX391</f>
        <v>1482</v>
      </c>
      <c r="AV78" s="534">
        <f>'VAC &amp; MED'!PG391</f>
        <v>0</v>
      </c>
      <c r="AW78" s="534">
        <f>'VAC &amp; MED'!PP391</f>
        <v>100</v>
      </c>
      <c r="AX78" s="534">
        <f>'VAC &amp; MED'!PY391</f>
        <v>13.960000000000036</v>
      </c>
      <c r="AY78" s="534">
        <f>'VAC &amp; MED'!QH391</f>
        <v>548</v>
      </c>
      <c r="AZ78" s="534">
        <f>'VAC &amp; MED'!QQ391</f>
        <v>0</v>
      </c>
      <c r="BA78" s="535">
        <f>'VAC &amp; MED'!QZ391</f>
        <v>0</v>
      </c>
      <c r="BB78" s="535">
        <f>'VAC &amp; MED'!RI391</f>
        <v>147.04000000000002</v>
      </c>
      <c r="BC78" s="535">
        <f>'VAC &amp; MED'!RR391</f>
        <v>46.8</v>
      </c>
      <c r="BD78" s="535">
        <f>'VAC &amp; MED'!SA391</f>
        <v>0</v>
      </c>
      <c r="BE78" s="535">
        <f>'VAC &amp; MED'!SJ391</f>
        <v>24.200000000000003</v>
      </c>
      <c r="BF78" s="535">
        <f>'VAC &amp; MED'!SS391</f>
        <v>32</v>
      </c>
      <c r="BG78" s="535">
        <f>'VAC &amp; MED'!TB391</f>
        <v>0</v>
      </c>
      <c r="BH78" s="535">
        <f>'VAC &amp; MED'!TK391</f>
        <v>0</v>
      </c>
      <c r="BI78" s="535">
        <f>'VAC &amp; MED'!TT391</f>
        <v>0</v>
      </c>
      <c r="BJ78" s="535">
        <f>'VAC &amp; MED'!UC391</f>
        <v>46.799999999999983</v>
      </c>
      <c r="BK78" s="535">
        <f>'VAC &amp; MED'!UL391</f>
        <v>204</v>
      </c>
      <c r="BL78" s="535">
        <f>'VAC &amp; MED'!UU391</f>
        <v>202.5</v>
      </c>
      <c r="BM78" s="535">
        <f>'VAC &amp; MED'!VD391</f>
        <v>41.600000000000023</v>
      </c>
      <c r="BN78" s="535">
        <f>'VAC &amp; MED'!VM391</f>
        <v>210</v>
      </c>
      <c r="BO78" s="535">
        <f>'VAC &amp; MED'!VV391</f>
        <v>0</v>
      </c>
      <c r="BP78" s="535">
        <f>'VAC &amp; MED'!WE391</f>
        <v>0</v>
      </c>
      <c r="BQ78" s="535">
        <f>'VAC &amp; MED'!WN391</f>
        <v>1057</v>
      </c>
      <c r="BR78" s="535">
        <f>'VAC &amp; MED'!WW391</f>
        <v>0</v>
      </c>
      <c r="BS78" s="535">
        <f>'VAC &amp; MED'!XF391</f>
        <v>7507</v>
      </c>
      <c r="BT78" s="535">
        <f>'VAC &amp; MED'!XO391</f>
        <v>4252</v>
      </c>
      <c r="BU78" s="535">
        <f>'VAC &amp; MED'!XX391</f>
        <v>2179</v>
      </c>
      <c r="BV78" s="535">
        <f>'VAC &amp; MED'!YG391</f>
        <v>4019</v>
      </c>
      <c r="BW78" s="535">
        <f>'VAC &amp; MED'!YP391</f>
        <v>-218</v>
      </c>
      <c r="BX78" s="535">
        <f>'VAC &amp; MED'!YY391</f>
        <v>0</v>
      </c>
      <c r="BY78" s="535">
        <f>'VAC &amp; MED'!ZH391</f>
        <v>0</v>
      </c>
      <c r="BZ78" s="535">
        <f>'VAC &amp; MED'!ZQ391</f>
        <v>0</v>
      </c>
    </row>
    <row r="79" spans="1:83" s="2" customFormat="1" ht="16.149999999999999" thickBot="1">
      <c r="A79" s="537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</row>
    <row r="80" spans="1:83" s="2" customFormat="1" ht="47.45" thickBot="1">
      <c r="A80" s="539" t="s">
        <v>310</v>
      </c>
      <c r="B80" s="215" t="str">
        <f>PRODUCE!$EA$7</f>
        <v>MAIZE/CORN</v>
      </c>
      <c r="C80" s="216" t="str">
        <f>PRODUCE!$EA$8</f>
        <v>SOYBEAN MEAL (ARG)</v>
      </c>
      <c r="D80" s="217" t="str">
        <f>PRODUCE!$EA$9</f>
        <v>SOYBEAN FULL FAT</v>
      </c>
      <c r="E80" s="218" t="str">
        <f>PRODUCE!$EA$10</f>
        <v>WHEAT POLLARD</v>
      </c>
      <c r="F80" s="219" t="str">
        <f>PRODUCE!$EA$11</f>
        <v>WHEAT</v>
      </c>
      <c r="G80" s="220" t="str">
        <f>PRODUCE!$EA$12</f>
        <v>MEAT AND BONE MEAL</v>
      </c>
      <c r="H80" s="221" t="str">
        <f>PRODUCE!$EA$13</f>
        <v>CORN GLUTEN MEAL</v>
      </c>
      <c r="I80" s="222" t="str">
        <f>PRODUCE!$EA$14</f>
        <v>MEGAFAT (HARUMI)</v>
      </c>
      <c r="J80" s="223" t="str">
        <f>PRODUCE!$EA$15</f>
        <v>DCP 18%</v>
      </c>
      <c r="K80" s="224" t="str">
        <f>PRODUCE!$EA$16</f>
        <v>LIMESTONE POWDER (HARUMI)</v>
      </c>
      <c r="L80" s="225" t="str">
        <f>PRODUCE!$EA$17</f>
        <v>CHOLINE CHLORIDE 60%</v>
      </c>
      <c r="M80" s="226" t="str">
        <f>PRODUCE!$EA$18</f>
        <v>INDUSTRY FLOUR</v>
      </c>
      <c r="N80" s="227" t="str">
        <f>PRODUCE!$EA$19</f>
        <v>RICE BRAN</v>
      </c>
      <c r="O80" s="228" t="str">
        <f>PRODUCE!$EA$20</f>
        <v>EP 200</v>
      </c>
      <c r="P80" s="229" t="str">
        <f>PRODUCE!$EA$21</f>
        <v>SOYTIDE</v>
      </c>
      <c r="Q80" s="230" t="str">
        <f>PRODUCE!$EA$22</f>
        <v>DCP 18% (HARUMI)</v>
      </c>
      <c r="R80" s="231">
        <f>PRODUCE!$EA$23</f>
        <v>1</v>
      </c>
      <c r="S80" s="232">
        <f>PRODUCE!$EA$24</f>
        <v>2</v>
      </c>
      <c r="T80" s="233">
        <f>PRODUCE!$EA$25</f>
        <v>3</v>
      </c>
      <c r="U80" s="234" t="str">
        <f>PRODUCE!$EA$26</f>
        <v>PREMIX 1101 (20KG)</v>
      </c>
      <c r="V80" s="235" t="str">
        <f>PRODUCE!$EA$27</f>
        <v>PREMIX 1102 (20KG)</v>
      </c>
      <c r="W80" s="236" t="str">
        <f>PRODUCE!$EA$28</f>
        <v>PREMIX 1103 (20KG)</v>
      </c>
      <c r="X80" s="237" t="str">
        <f>PRODUCE!$EA$29</f>
        <v>PREMIX 311 (20KG)</v>
      </c>
      <c r="Y80" s="238" t="str">
        <f>PRODUCE!$EA$30</f>
        <v>PREMIX 312 (20KG)</v>
      </c>
      <c r="Z80" s="239">
        <f>PRODUCE!$EA$31</f>
        <v>1</v>
      </c>
      <c r="AA80" s="240" t="str">
        <f>PRODUCE!$EA$32</f>
        <v>PREMIX 8100 (20KG)</v>
      </c>
      <c r="AB80" s="240" t="str">
        <f>PRODUCE!$EA$33</f>
        <v>PREMIX 8101 (20KG)</v>
      </c>
      <c r="AC80" s="240" t="str">
        <f>PRODUCE!$EA$34</f>
        <v>PREMIX 8102 (20KG)</v>
      </c>
      <c r="AD80" s="240" t="str">
        <f>PRODUCE!$EA$35</f>
        <v>PREMIX 8103 (20KG)</v>
      </c>
      <c r="AE80" s="240" t="str">
        <f>PRODUCE!$EA$36</f>
        <v>PREMIX 8108 (20KG)</v>
      </c>
      <c r="AF80" s="240" t="str">
        <f>PRODUCE!$EA$37</f>
        <v>PREMIX 8109 (20KG)</v>
      </c>
      <c r="AG80" s="240" t="str">
        <f>PRODUCE!$EA$38</f>
        <v>YENMIX 121 (20KG)</v>
      </c>
      <c r="AH80" s="240" t="str">
        <f>PRODUCE!$EA$39</f>
        <v>YENMIX 122 (19.50KG)</v>
      </c>
      <c r="AI80" s="240" t="str">
        <f>PRODUCE!$EA$40</f>
        <v>YENMIX 123 (18.90KG)</v>
      </c>
      <c r="AJ80" s="240" t="str">
        <f>PRODUCE!$EA$41</f>
        <v>YENMIX 122 (20.50KG)</v>
      </c>
      <c r="AK80" s="240" t="str">
        <f>PRODUCE!$EA$42</f>
        <v>YENMIX 123 (20.00KG)</v>
      </c>
      <c r="AL80" s="240">
        <f>PRODUCE!$EA$43</f>
        <v>1</v>
      </c>
      <c r="AM80" s="240">
        <f>PRODUCE!$EA$44</f>
        <v>2</v>
      </c>
      <c r="AN80" s="240">
        <f>PRODUCE!$EA$45</f>
        <v>3</v>
      </c>
      <c r="AO80" s="240" t="str">
        <f>PRODUCE!$EA$46</f>
        <v>TOXISORB PREMIUM</v>
      </c>
      <c r="AP80" s="240" t="str">
        <f>PRODUCE!$EA$47</f>
        <v>SODIUM HUMATE 3.8% (HARUMI)</v>
      </c>
      <c r="AQ80" s="240" t="str">
        <f>PRODUCE!$EA$48</f>
        <v>TOXIWALL</v>
      </c>
      <c r="AR80" s="240" t="str">
        <f>PRODUCE!$EA$49</f>
        <v>SODIUM BICARBONATE</v>
      </c>
      <c r="AS80" s="240" t="str">
        <f>PRODUCE!$EA$50</f>
        <v>BMD 10%</v>
      </c>
      <c r="AT80" s="240" t="str">
        <f>PRODUCE!$EA$51</f>
        <v>SALT (HARUMI)</v>
      </c>
      <c r="AU80" s="240" t="str">
        <f>PRODUCE!$EA$52</f>
        <v>VISTABET 91</v>
      </c>
      <c r="AV80" s="240" t="str">
        <f>PRODUCE!$EA$53</f>
        <v>BETAFIN</v>
      </c>
      <c r="AW80" s="240" t="str">
        <f>PRODUCE!$EA$54</f>
        <v>8101 TOP UP</v>
      </c>
      <c r="AX80" s="240" t="str">
        <f>PRODUCE!$EA$55</f>
        <v>NORPONIN X03 (8102 TOP UP)</v>
      </c>
      <c r="AY80" s="240" t="str">
        <f>PRODUCE!$EA$56</f>
        <v>8102 TOP UP (4KG)</v>
      </c>
      <c r="AZ80" s="240" t="str">
        <f>PRODUCE!$EA$57</f>
        <v>8103 TOP UP (5KG)</v>
      </c>
      <c r="BA80" s="240" t="str">
        <f>PRODUCE!$EA$58</f>
        <v>L-ARGININE</v>
      </c>
      <c r="BB80" s="240" t="str">
        <f>PRODUCE!$EA$59</f>
        <v>DL-METHIONINE</v>
      </c>
      <c r="BC80" s="240" t="str">
        <f>PRODUCE!$EA$60</f>
        <v>L-THREONINE</v>
      </c>
      <c r="BD80" s="240" t="str">
        <f>PRODUCE!$EA$61</f>
        <v>L-LYSINE</v>
      </c>
      <c r="BE80" s="240" t="str">
        <f>PRODUCE!$EA$62</f>
        <v>FAECES DRY</v>
      </c>
      <c r="BF80" s="240" t="str">
        <f>PRODUCE!$EA$63</f>
        <v>ECOBIOL</v>
      </c>
      <c r="BG80" s="240" t="str">
        <f>PRODUCE!$EA$64</f>
        <v>ADDITIVE BROILER IMMUNE</v>
      </c>
      <c r="BH80" s="240" t="str">
        <f>PRODUCE!$EA$65</f>
        <v>MASTER CUBE (HARUMI)</v>
      </c>
      <c r="BI80" s="240" t="str">
        <f>PRODUCE!$EA$66</f>
        <v>1101 TOP UP (0.40KG)</v>
      </c>
      <c r="BJ80" s="240" t="str">
        <f>PRODUCE!$EA$67</f>
        <v>1102 TOP UP (0.60KG)</v>
      </c>
      <c r="BK80" s="240" t="str">
        <f>PRODUCE!$EA$68</f>
        <v>1103 TOP UP (2.00KG)</v>
      </c>
      <c r="BL80" s="240" t="str">
        <f>PRODUCE!$EA$69</f>
        <v>QUANTUM GLO 4%</v>
      </c>
      <c r="BM80" s="240" t="str">
        <f>PRODUCE!$EA$70</f>
        <v>SALT</v>
      </c>
      <c r="BN80" s="240" t="str">
        <f>PRODUCE!$EA$71</f>
        <v>OC 200 - OXYTET 20%</v>
      </c>
      <c r="BO80" s="240">
        <f>PRODUCE!$EA$72</f>
        <v>3</v>
      </c>
      <c r="BP80" s="387">
        <f>PRODUCE!$EA$73</f>
        <v>4</v>
      </c>
      <c r="BQ80" s="392" t="str">
        <f>PRODUCE!$EA$74</f>
        <v>WOVEN BAG (1101) - BLUE 50KG</v>
      </c>
      <c r="BR80" s="391" t="str">
        <f>PRODUCE!$EA$75</f>
        <v>WOVEN BAG (1102) - GREEN 50KG</v>
      </c>
      <c r="BS80" s="388" t="str">
        <f>PRODUCE!$EA$76</f>
        <v>WOVEN BAG (1103) - RED 50KG</v>
      </c>
      <c r="BT80" s="389" t="str">
        <f>PRODUCE!$EA$77</f>
        <v>PLAIN BAG 26" X 39" (50KG)</v>
      </c>
      <c r="BU80" s="350" t="str">
        <f>PRODUCE!$EA$78</f>
        <v>WOVEN BAG (8101) - KHAKI 50KG</v>
      </c>
      <c r="BV80" s="390" t="str">
        <f>PRODUCE!$EA$79</f>
        <v>WOVEN BAG (8102) - SKY BLUE 50KG</v>
      </c>
      <c r="BW80" s="240" t="str">
        <f>PRODUCE!$EA$80</f>
        <v>WOVEN BAG (8103) - BROWN 50KG</v>
      </c>
      <c r="BX80" s="240">
        <f>PRODUCE!$EA$81</f>
        <v>1</v>
      </c>
      <c r="BY80" s="240">
        <f>PRODUCE!$EA$82</f>
        <v>2</v>
      </c>
      <c r="BZ80" s="240">
        <f>PRODUCE!$EA$83</f>
        <v>3</v>
      </c>
      <c r="CA80" s="240">
        <f>PRODUCE!$EA$84</f>
        <v>4</v>
      </c>
      <c r="CB80" s="240">
        <f>PRODUCE!$EA$85</f>
        <v>5</v>
      </c>
      <c r="CC80" s="240">
        <f>PRODUCE!$EA$86</f>
        <v>6</v>
      </c>
      <c r="CD80" s="240">
        <f>PRODUCE!$EA$87</f>
        <v>7</v>
      </c>
      <c r="CE80" s="240">
        <f>PRODUCE!$EA$88</f>
        <v>8</v>
      </c>
    </row>
    <row r="81" spans="1:83" s="531" customFormat="1" outlineLevel="1">
      <c r="A81" s="536" t="s">
        <v>313</v>
      </c>
      <c r="B81" s="530">
        <f>'VAC &amp; MED'!H395</f>
        <v>236936.6</v>
      </c>
      <c r="C81" s="530">
        <f>'VAC &amp; MED'!Q395</f>
        <v>53017.600000000071</v>
      </c>
      <c r="D81" s="530">
        <f>'VAC &amp; MED'!Z395</f>
        <v>42674.199999999968</v>
      </c>
      <c r="E81" s="530">
        <f>'VAC &amp; MED'!AI395</f>
        <v>4522.2000000000189</v>
      </c>
      <c r="F81" s="530">
        <f>'VAC &amp; MED'!AR395</f>
        <v>0</v>
      </c>
      <c r="G81" s="530">
        <f>'VAC &amp; MED'!BA395</f>
        <v>124.99999999999523</v>
      </c>
      <c r="H81" s="530">
        <f>'VAC &amp; MED'!BJ395</f>
        <v>26151.899999999998</v>
      </c>
      <c r="I81" s="530">
        <f>'VAC &amp; MED'!BS395</f>
        <v>0</v>
      </c>
      <c r="J81" s="530">
        <f>'VAC &amp; MED'!CB395</f>
        <v>2097.3399999999992</v>
      </c>
      <c r="K81" s="530">
        <f>'VAC &amp; MED'!CK395</f>
        <v>-10277.079999999998</v>
      </c>
      <c r="L81" s="530">
        <f>'VAC &amp; MED'!CT395</f>
        <v>0</v>
      </c>
      <c r="M81" s="530">
        <f>'VAC &amp; MED'!DC395</f>
        <v>27438.200000000012</v>
      </c>
      <c r="N81" s="530">
        <f>'VAC &amp; MED'!DL395</f>
        <v>18782.299999999981</v>
      </c>
      <c r="O81" s="530">
        <f>'VAC &amp; MED'!DU395</f>
        <v>5800</v>
      </c>
      <c r="P81" s="530">
        <f>'VAC &amp; MED'!ED395</f>
        <v>0</v>
      </c>
      <c r="Q81" s="530">
        <f>'VAC &amp; MED'!EM395</f>
        <v>0</v>
      </c>
      <c r="R81" s="530">
        <f>'VAC &amp; MED'!EV395</f>
        <v>0</v>
      </c>
      <c r="S81" s="530">
        <f>'VAC &amp; MED'!FE395</f>
        <v>0</v>
      </c>
      <c r="T81" s="530">
        <f>'VAC &amp; MED'!FN395</f>
        <v>0</v>
      </c>
      <c r="U81" s="530">
        <f>'VAC &amp; MED'!FW395</f>
        <v>2020</v>
      </c>
      <c r="V81" s="530">
        <f>'VAC &amp; MED'!GF395</f>
        <v>960</v>
      </c>
      <c r="W81" s="530">
        <f>'VAC &amp; MED'!GO395</f>
        <v>1760</v>
      </c>
      <c r="X81" s="530">
        <f>'VAC &amp; MED'!GX395</f>
        <v>400</v>
      </c>
      <c r="Y81" s="530">
        <f>'VAC &amp; MED'!HG395</f>
        <v>3600</v>
      </c>
      <c r="Z81" s="530">
        <f>'VAC &amp; MED'!HP395</f>
        <v>0</v>
      </c>
      <c r="AA81" s="530">
        <f>'VAC &amp; MED'!HZ395</f>
        <v>6120</v>
      </c>
      <c r="AB81" s="530">
        <f>'VAC &amp; MED'!II395</f>
        <v>0</v>
      </c>
      <c r="AC81" s="530">
        <f>'VAC &amp; MED'!IR395</f>
        <v>0</v>
      </c>
      <c r="AD81" s="530">
        <f>'VAC &amp; MED'!JA395</f>
        <v>2820</v>
      </c>
      <c r="AE81" s="530">
        <f>'VAC &amp; MED'!JJ395</f>
        <v>0</v>
      </c>
      <c r="AF81" s="530">
        <f>'VAC &amp; MED'!JS395</f>
        <v>0</v>
      </c>
      <c r="AG81" s="530">
        <f>'VAC &amp; MED'!KB395</f>
        <v>2540</v>
      </c>
      <c r="AH81" s="530">
        <f>'VAC &amp; MED'!KK395</f>
        <v>2359.5</v>
      </c>
      <c r="AI81" s="530">
        <f>'VAC &amp; MED'!KT395</f>
        <v>1890</v>
      </c>
      <c r="AJ81" s="530">
        <f>'VAC &amp; MED'!LC395</f>
        <v>3690</v>
      </c>
      <c r="AK81" s="530">
        <f>'VAC &amp; MED'!LL395</f>
        <v>4000</v>
      </c>
      <c r="AL81" s="530">
        <f>'VAC &amp; MED'!LU395</f>
        <v>0</v>
      </c>
      <c r="AM81" s="530">
        <f>'VAC &amp; MED'!MD395</f>
        <v>0</v>
      </c>
      <c r="AN81" s="530">
        <f>'VAC &amp; MED'!MM395</f>
        <v>0</v>
      </c>
      <c r="AO81" s="530">
        <f>'VAC &amp; MED'!MV395</f>
        <v>1625</v>
      </c>
      <c r="AP81" s="530">
        <f>'VAC &amp; MED'!NE395</f>
        <v>0</v>
      </c>
      <c r="AQ81" s="530">
        <f>'VAC &amp; MED'!NN395</f>
        <v>1127</v>
      </c>
      <c r="AR81" s="530">
        <f>'VAC &amp; MED'!NW395</f>
        <v>3111.9999999999995</v>
      </c>
      <c r="AS81" s="530">
        <f>'VAC &amp; MED'!OF395</f>
        <v>1680.5</v>
      </c>
      <c r="AT81" s="530">
        <f>'VAC &amp; MED'!OO395</f>
        <v>0</v>
      </c>
      <c r="AU81" s="530">
        <f>'VAC &amp; MED'!OX395</f>
        <v>1482</v>
      </c>
      <c r="AV81" s="530">
        <f>'VAC &amp; MED'!PG395</f>
        <v>0</v>
      </c>
      <c r="AW81" s="530">
        <f>'VAC &amp; MED'!PP395</f>
        <v>100</v>
      </c>
      <c r="AX81" s="530">
        <f>'VAC &amp; MED'!PY395</f>
        <v>13.960000000000036</v>
      </c>
      <c r="AY81" s="530">
        <f>'VAC &amp; MED'!QH395</f>
        <v>548</v>
      </c>
      <c r="AZ81" s="530">
        <f>'VAC &amp; MED'!QQ395</f>
        <v>0</v>
      </c>
      <c r="BA81" s="531">
        <f>'VAC &amp; MED'!QZ395</f>
        <v>0</v>
      </c>
      <c r="BB81" s="531">
        <f>'VAC &amp; MED'!RI395</f>
        <v>147.04000000000002</v>
      </c>
      <c r="BC81" s="531">
        <f>'VAC &amp; MED'!RR395</f>
        <v>46.8</v>
      </c>
      <c r="BD81" s="531">
        <f>'VAC &amp; MED'!SA395</f>
        <v>0</v>
      </c>
      <c r="BE81" s="531">
        <f>'VAC &amp; MED'!SJ395</f>
        <v>24.200000000000003</v>
      </c>
      <c r="BF81" s="531">
        <f>'VAC &amp; MED'!SS395</f>
        <v>32</v>
      </c>
      <c r="BG81" s="531">
        <f>'VAC &amp; MED'!TB395</f>
        <v>0</v>
      </c>
      <c r="BH81" s="531">
        <f>'VAC &amp; MED'!TK395</f>
        <v>0</v>
      </c>
      <c r="BI81" s="531">
        <f>'VAC &amp; MED'!TT395</f>
        <v>0</v>
      </c>
      <c r="BJ81" s="531">
        <f>'VAC &amp; MED'!UC395</f>
        <v>46.799999999999983</v>
      </c>
      <c r="BK81" s="531">
        <f>'VAC &amp; MED'!UL395</f>
        <v>204</v>
      </c>
      <c r="BL81" s="531">
        <f>'VAC &amp; MED'!UU395</f>
        <v>202.5</v>
      </c>
      <c r="BM81" s="531">
        <f>'VAC &amp; MED'!VD395</f>
        <v>41.600000000000023</v>
      </c>
      <c r="BN81" s="531">
        <f>'VAC &amp; MED'!VM395</f>
        <v>210</v>
      </c>
      <c r="BO81" s="531">
        <f>'VAC &amp; MED'!VV395</f>
        <v>0</v>
      </c>
      <c r="BP81" s="531">
        <f>'VAC &amp; MED'!WE395</f>
        <v>0</v>
      </c>
      <c r="BQ81" s="531">
        <f>'VAC &amp; MED'!WN395</f>
        <v>1057</v>
      </c>
      <c r="BR81" s="531">
        <f>'VAC &amp; MED'!WW395</f>
        <v>0</v>
      </c>
      <c r="BS81" s="531">
        <f>'VAC &amp; MED'!XF395</f>
        <v>7507</v>
      </c>
      <c r="BT81" s="531">
        <f>'VAC &amp; MED'!XO395</f>
        <v>4252</v>
      </c>
      <c r="BU81" s="531">
        <f>'VAC &amp; MED'!XX395</f>
        <v>2179</v>
      </c>
      <c r="BV81" s="531">
        <f>'VAC &amp; MED'!YG395</f>
        <v>4019</v>
      </c>
      <c r="BW81" s="531">
        <f>'VAC &amp; MED'!YP395</f>
        <v>-218</v>
      </c>
      <c r="BX81" s="531">
        <f>'VAC &amp; MED'!YY395</f>
        <v>0</v>
      </c>
      <c r="BY81" s="531">
        <f>'VAC &amp; MED'!ZH395</f>
        <v>0</v>
      </c>
      <c r="BZ81" s="531">
        <f>'VAC &amp; MED'!ZQ395</f>
        <v>0</v>
      </c>
    </row>
    <row r="82" spans="1:83" s="531" customFormat="1" outlineLevel="1">
      <c r="A82" s="536" t="s">
        <v>314</v>
      </c>
      <c r="B82" s="530">
        <f>'VAC &amp; MED'!D427</f>
        <v>0</v>
      </c>
      <c r="C82" s="530">
        <f>'VAC &amp; MED'!M427</f>
        <v>0</v>
      </c>
      <c r="D82" s="530">
        <f>'VAC &amp; MED'!V427</f>
        <v>0</v>
      </c>
      <c r="E82" s="530">
        <f>'VAC &amp; MED'!AE427</f>
        <v>0</v>
      </c>
      <c r="F82" s="530">
        <f>'VAC &amp; MED'!AN427</f>
        <v>0</v>
      </c>
      <c r="G82" s="530">
        <f>'VAC &amp; MED'!AW427</f>
        <v>0</v>
      </c>
      <c r="H82" s="530">
        <f>'VAC &amp; MED'!BF427</f>
        <v>0</v>
      </c>
      <c r="I82" s="530">
        <f>'VAC &amp; MED'!BO427</f>
        <v>0</v>
      </c>
      <c r="J82" s="530">
        <f>'VAC &amp; MED'!BX427</f>
        <v>0</v>
      </c>
      <c r="K82" s="530">
        <f>'VAC &amp; MED'!CG427</f>
        <v>0</v>
      </c>
      <c r="L82" s="530">
        <f>'VAC &amp; MED'!CP427</f>
        <v>0</v>
      </c>
      <c r="M82" s="530">
        <f>'VAC &amp; MED'!CY427</f>
        <v>0</v>
      </c>
      <c r="N82" s="530">
        <f>'VAC &amp; MED'!DH427</f>
        <v>0</v>
      </c>
      <c r="O82" s="530">
        <f>'VAC &amp; MED'!DQ427</f>
        <v>0</v>
      </c>
      <c r="P82" s="530">
        <f>'VAC &amp; MED'!DZ427</f>
        <v>0</v>
      </c>
      <c r="Q82" s="530">
        <f>'VAC &amp; MED'!EI427</f>
        <v>0</v>
      </c>
      <c r="R82" s="530">
        <f>'VAC &amp; MED'!ER427</f>
        <v>0</v>
      </c>
      <c r="S82" s="530">
        <f>'VAC &amp; MED'!FA427</f>
        <v>0</v>
      </c>
      <c r="T82" s="530">
        <f>'VAC &amp; MED'!FJ427</f>
        <v>0</v>
      </c>
      <c r="U82" s="530">
        <f>'VAC &amp; MED'!FS427</f>
        <v>0</v>
      </c>
      <c r="V82" s="530">
        <f>'VAC &amp; MED'!GB427</f>
        <v>0</v>
      </c>
      <c r="W82" s="530">
        <f>'VAC &amp; MED'!GK427</f>
        <v>0</v>
      </c>
      <c r="X82" s="530">
        <f>'VAC &amp; MED'!GT427</f>
        <v>0</v>
      </c>
      <c r="Y82" s="530">
        <f>'VAC &amp; MED'!HC427</f>
        <v>0</v>
      </c>
      <c r="Z82" s="530">
        <f>'VAC &amp; MED'!HL427</f>
        <v>0</v>
      </c>
      <c r="AA82" s="530">
        <f>'VAC &amp; MED'!HV427</f>
        <v>0</v>
      </c>
      <c r="AB82" s="530">
        <f>'VAC &amp; MED'!IE427</f>
        <v>0</v>
      </c>
      <c r="AC82" s="530">
        <f>'VAC &amp; MED'!IN427</f>
        <v>0</v>
      </c>
      <c r="AD82" s="530">
        <f>'VAC &amp; MED'!IW427</f>
        <v>0</v>
      </c>
      <c r="AE82" s="530">
        <f>'VAC &amp; MED'!JF427</f>
        <v>0</v>
      </c>
      <c r="AF82" s="530">
        <f>'VAC &amp; MED'!JO427</f>
        <v>0</v>
      </c>
      <c r="AG82" s="530">
        <f>'VAC &amp; MED'!JX427</f>
        <v>0</v>
      </c>
      <c r="AH82" s="530">
        <f>'VAC &amp; MED'!KG427</f>
        <v>0</v>
      </c>
      <c r="AI82" s="530">
        <f>'VAC &amp; MED'!KP427</f>
        <v>0</v>
      </c>
      <c r="AJ82" s="530">
        <f>'VAC &amp; MED'!KY427</f>
        <v>0</v>
      </c>
      <c r="AK82" s="530">
        <f>'VAC &amp; MED'!LH427</f>
        <v>0</v>
      </c>
      <c r="AL82" s="530">
        <f>'VAC &amp; MED'!LQ427</f>
        <v>0</v>
      </c>
      <c r="AM82" s="530">
        <f>'VAC &amp; MED'!LZ427</f>
        <v>0</v>
      </c>
      <c r="AN82" s="530">
        <f>'VAC &amp; MED'!MI427</f>
        <v>0</v>
      </c>
      <c r="AO82" s="530">
        <f>'VAC &amp; MED'!MR427</f>
        <v>0</v>
      </c>
      <c r="AP82" s="530">
        <f>'VAC &amp; MED'!NA427</f>
        <v>0</v>
      </c>
      <c r="AQ82" s="530">
        <f>'VAC &amp; MED'!NJ427</f>
        <v>0</v>
      </c>
      <c r="AR82" s="530">
        <f>'VAC &amp; MED'!NS427</f>
        <v>0</v>
      </c>
      <c r="AS82" s="530">
        <f>'VAC &amp; MED'!OB427</f>
        <v>0</v>
      </c>
      <c r="AT82" s="530">
        <f>'VAC &amp; MED'!OK427</f>
        <v>0</v>
      </c>
      <c r="AU82" s="530">
        <f>'VAC &amp; MED'!OT427</f>
        <v>0</v>
      </c>
      <c r="AV82" s="530">
        <f>'VAC &amp; MED'!PC427</f>
        <v>0</v>
      </c>
      <c r="AW82" s="530">
        <f>'VAC &amp; MED'!PL427</f>
        <v>0</v>
      </c>
      <c r="AX82" s="530">
        <f>'VAC &amp; MED'!PU427</f>
        <v>0</v>
      </c>
      <c r="AY82" s="530">
        <f>'VAC &amp; MED'!QD427</f>
        <v>0</v>
      </c>
      <c r="AZ82" s="530">
        <f>'VAC &amp; MED'!QM427</f>
        <v>0</v>
      </c>
      <c r="BA82" s="531">
        <f>'VAC &amp; MED'!QV427</f>
        <v>0</v>
      </c>
      <c r="BB82" s="531">
        <f>'VAC &amp; MED'!RE427</f>
        <v>0</v>
      </c>
      <c r="BC82" s="531">
        <f>'VAC &amp; MED'!RN427</f>
        <v>0</v>
      </c>
      <c r="BD82" s="531">
        <f>'VAC &amp; MED'!RW427</f>
        <v>0</v>
      </c>
      <c r="BE82" s="531">
        <f>'VAC &amp; MED'!SF427</f>
        <v>0</v>
      </c>
      <c r="BF82" s="531">
        <f>'VAC &amp; MED'!SO427</f>
        <v>0</v>
      </c>
      <c r="BG82" s="531">
        <f>'VAC &amp; MED'!SX427</f>
        <v>0</v>
      </c>
      <c r="BH82" s="531">
        <f>'VAC &amp; MED'!TG427</f>
        <v>0</v>
      </c>
      <c r="BI82" s="531">
        <f>'VAC &amp; MED'!TP427</f>
        <v>0</v>
      </c>
      <c r="BJ82" s="531">
        <f>'VAC &amp; MED'!TY427</f>
        <v>0</v>
      </c>
      <c r="BK82" s="531">
        <f>'VAC &amp; MED'!UH427</f>
        <v>0</v>
      </c>
      <c r="BL82" s="531">
        <f>'VAC &amp; MED'!UQ427</f>
        <v>0</v>
      </c>
      <c r="BM82" s="531">
        <f>'VAC &amp; MED'!UZ427</f>
        <v>0</v>
      </c>
      <c r="BN82" s="531">
        <f>'VAC &amp; MED'!VI427</f>
        <v>0</v>
      </c>
      <c r="BO82" s="531">
        <f>'VAC &amp; MED'!VR427</f>
        <v>0</v>
      </c>
      <c r="BP82" s="531">
        <f>'VAC &amp; MED'!WA427</f>
        <v>0</v>
      </c>
      <c r="BQ82" s="531">
        <f>'VAC &amp; MED'!WJ427</f>
        <v>0</v>
      </c>
      <c r="BR82" s="531">
        <f>'VAC &amp; MED'!WS427</f>
        <v>0</v>
      </c>
      <c r="BS82" s="531">
        <f>'VAC &amp; MED'!XB427</f>
        <v>0</v>
      </c>
      <c r="BT82" s="531">
        <f>'VAC &amp; MED'!XK427</f>
        <v>0</v>
      </c>
      <c r="BU82" s="531">
        <f>'VAC &amp; MED'!XT427</f>
        <v>0</v>
      </c>
      <c r="BV82" s="531">
        <f>'VAC &amp; MED'!YC427</f>
        <v>0</v>
      </c>
      <c r="BW82" s="531">
        <f>'VAC &amp; MED'!YL427</f>
        <v>0</v>
      </c>
      <c r="BX82" s="531">
        <f>'VAC &amp; MED'!YU427</f>
        <v>0</v>
      </c>
      <c r="BY82" s="531">
        <f>'VAC &amp; MED'!ZD427</f>
        <v>0</v>
      </c>
      <c r="BZ82" s="531">
        <f>'VAC &amp; MED'!ZM427</f>
        <v>0</v>
      </c>
    </row>
    <row r="83" spans="1:83" s="531" customFormat="1" outlineLevel="1">
      <c r="A83" s="536" t="s">
        <v>315</v>
      </c>
      <c r="B83" s="530">
        <f>'VAC &amp; MED'!E427</f>
        <v>0</v>
      </c>
      <c r="C83" s="530">
        <f>'VAC &amp; MED'!N427</f>
        <v>0</v>
      </c>
      <c r="D83" s="530">
        <f>'VAC &amp; MED'!W427</f>
        <v>0</v>
      </c>
      <c r="E83" s="530">
        <f>'VAC &amp; MED'!AF427</f>
        <v>0</v>
      </c>
      <c r="F83" s="530">
        <f>'VAC &amp; MED'!AO427</f>
        <v>0</v>
      </c>
      <c r="G83" s="530">
        <f>'VAC &amp; MED'!AX427</f>
        <v>0</v>
      </c>
      <c r="H83" s="530">
        <f>'VAC &amp; MED'!BG427</f>
        <v>0</v>
      </c>
      <c r="I83" s="530">
        <f>'VAC &amp; MED'!BP427</f>
        <v>0</v>
      </c>
      <c r="J83" s="530">
        <f>'VAC &amp; MED'!BY427</f>
        <v>0</v>
      </c>
      <c r="K83" s="530">
        <f>'VAC &amp; MED'!CH427</f>
        <v>0</v>
      </c>
      <c r="L83" s="530">
        <f>'VAC &amp; MED'!CQ427</f>
        <v>0</v>
      </c>
      <c r="M83" s="530">
        <f>'VAC &amp; MED'!CZ427</f>
        <v>0</v>
      </c>
      <c r="N83" s="530">
        <f>'VAC &amp; MED'!DI427</f>
        <v>0</v>
      </c>
      <c r="O83" s="530">
        <f>'VAC &amp; MED'!DR427</f>
        <v>0</v>
      </c>
      <c r="P83" s="530">
        <f>'VAC &amp; MED'!EB427</f>
        <v>0</v>
      </c>
      <c r="Q83" s="530">
        <f>'VAC &amp; MED'!EJ427</f>
        <v>0</v>
      </c>
      <c r="R83" s="530">
        <f>'VAC &amp; MED'!ES427</f>
        <v>0</v>
      </c>
      <c r="S83" s="530">
        <f>'VAC &amp; MED'!FB427</f>
        <v>0</v>
      </c>
      <c r="T83" s="530">
        <f>'VAC &amp; MED'!FK427</f>
        <v>0</v>
      </c>
      <c r="U83" s="530">
        <f>'VAC &amp; MED'!FT427</f>
        <v>0</v>
      </c>
      <c r="V83" s="530">
        <f>'VAC &amp; MED'!GC427</f>
        <v>0</v>
      </c>
      <c r="W83" s="530">
        <f>'VAC &amp; MED'!GL427</f>
        <v>0</v>
      </c>
      <c r="X83" s="530">
        <f>'VAC &amp; MED'!GU427</f>
        <v>0</v>
      </c>
      <c r="Y83" s="530">
        <f>'VAC &amp; MED'!HD427</f>
        <v>0</v>
      </c>
      <c r="Z83" s="530">
        <f>'VAC &amp; MED'!HM427</f>
        <v>0</v>
      </c>
      <c r="AA83" s="530">
        <f>'VAC &amp; MED'!HW427</f>
        <v>0</v>
      </c>
      <c r="AB83" s="530">
        <f>'VAC &amp; MED'!IF427</f>
        <v>0</v>
      </c>
      <c r="AC83" s="530">
        <f>'VAC &amp; MED'!IO427</f>
        <v>0</v>
      </c>
      <c r="AD83" s="530">
        <f>'VAC &amp; MED'!IX427</f>
        <v>0</v>
      </c>
      <c r="AE83" s="530">
        <f>'VAC &amp; MED'!JG427</f>
        <v>0</v>
      </c>
      <c r="AF83" s="530">
        <f>'VAC &amp; MED'!JP427</f>
        <v>0</v>
      </c>
      <c r="AG83" s="530">
        <f>'VAC &amp; MED'!JY427</f>
        <v>0</v>
      </c>
      <c r="AH83" s="530">
        <f>'VAC &amp; MED'!KH427</f>
        <v>0</v>
      </c>
      <c r="AI83" s="530">
        <f>'VAC &amp; MED'!KR427</f>
        <v>0</v>
      </c>
      <c r="AJ83" s="530">
        <f>'VAC &amp; MED'!KZ427</f>
        <v>0</v>
      </c>
      <c r="AK83" s="530">
        <f>'VAC &amp; MED'!LI427</f>
        <v>0</v>
      </c>
      <c r="AL83" s="530">
        <f>'VAC &amp; MED'!LR427</f>
        <v>0</v>
      </c>
      <c r="AM83" s="530">
        <f>'VAC &amp; MED'!MA427</f>
        <v>0</v>
      </c>
      <c r="AN83" s="530">
        <f>'VAC &amp; MED'!MJ427</f>
        <v>0</v>
      </c>
      <c r="AO83" s="530">
        <f>'VAC &amp; MED'!MS427</f>
        <v>0</v>
      </c>
      <c r="AP83" s="530">
        <f>'VAC &amp; MED'!NB427</f>
        <v>0</v>
      </c>
      <c r="AQ83" s="530">
        <f>'VAC &amp; MED'!NK427</f>
        <v>0</v>
      </c>
      <c r="AR83" s="530">
        <f>'VAC &amp; MED'!NU427</f>
        <v>0</v>
      </c>
      <c r="AS83" s="530">
        <f>'VAC &amp; MED'!OD427</f>
        <v>0</v>
      </c>
      <c r="AT83" s="530">
        <f>'VAC &amp; MED'!OM427</f>
        <v>0</v>
      </c>
      <c r="AU83" s="530">
        <f>'VAC &amp; MED'!OV427</f>
        <v>0</v>
      </c>
      <c r="AV83" s="530">
        <f>'VAC &amp; MED'!PE427</f>
        <v>0</v>
      </c>
      <c r="AW83" s="530">
        <f>'VAC &amp; MED'!PN427</f>
        <v>0</v>
      </c>
      <c r="AX83" s="530">
        <f>'VAC &amp; MED'!PN427</f>
        <v>0</v>
      </c>
      <c r="AY83" s="530">
        <f>'VAC &amp; MED'!QE427</f>
        <v>0</v>
      </c>
      <c r="AZ83" s="530">
        <f>'VAC &amp; MED'!QN427</f>
        <v>0</v>
      </c>
      <c r="BA83" s="531">
        <f>'VAC &amp; MED'!QX427</f>
        <v>0</v>
      </c>
      <c r="BB83" s="531">
        <f>'VAC &amp; MED'!RG427</f>
        <v>0</v>
      </c>
      <c r="BC83" s="531">
        <f>'VAC &amp; MED'!RP427</f>
        <v>0</v>
      </c>
      <c r="BD83" s="531">
        <f>'VAC &amp; MED'!RY427</f>
        <v>0</v>
      </c>
      <c r="BE83" s="531">
        <f>'VAC &amp; MED'!SH427</f>
        <v>0</v>
      </c>
      <c r="BF83" s="531">
        <f>'VAC &amp; MED'!SQ427</f>
        <v>0</v>
      </c>
      <c r="BG83" s="531">
        <f>'VAC &amp; MED'!SZ427</f>
        <v>0</v>
      </c>
      <c r="BH83" s="531">
        <f>'VAC &amp; MED'!TI427</f>
        <v>0</v>
      </c>
      <c r="BI83" s="531">
        <f>'VAC &amp; MED'!TR427</f>
        <v>0</v>
      </c>
      <c r="BJ83" s="531">
        <f>'VAC &amp; MED'!UA427</f>
        <v>0</v>
      </c>
      <c r="BK83" s="531">
        <f>'VAC &amp; MED'!UJ427</f>
        <v>0</v>
      </c>
      <c r="BL83" s="531">
        <f>'VAC &amp; MED'!UR427</f>
        <v>0</v>
      </c>
      <c r="BM83" s="531">
        <f>'VAC &amp; MED'!VB427</f>
        <v>0</v>
      </c>
      <c r="BN83" s="531">
        <f>'VAC &amp; MED'!VK427</f>
        <v>0</v>
      </c>
      <c r="BO83" s="531">
        <f>'VAC &amp; MED'!VT427</f>
        <v>0</v>
      </c>
      <c r="BP83" s="531">
        <f>'VAC &amp; MED'!WC427</f>
        <v>0</v>
      </c>
      <c r="BQ83" s="531">
        <f>'VAC &amp; MED'!WL427</f>
        <v>0</v>
      </c>
      <c r="BR83" s="531">
        <f>'VAC &amp; MED'!WU427</f>
        <v>0</v>
      </c>
      <c r="BS83" s="531">
        <f>'VAC &amp; MED'!XD427</f>
        <v>0</v>
      </c>
      <c r="BT83" s="531">
        <f>'VAC &amp; MED'!XM427</f>
        <v>0</v>
      </c>
      <c r="BU83" s="531">
        <f>'VAC &amp; MED'!XV427</f>
        <v>0</v>
      </c>
      <c r="BV83" s="531">
        <f>'VAC &amp; MED'!YE427</f>
        <v>0</v>
      </c>
      <c r="BW83" s="531">
        <f>'VAC &amp; MED'!YN427</f>
        <v>0</v>
      </c>
      <c r="BX83" s="531">
        <f>'VAC &amp; MED'!YW427</f>
        <v>0</v>
      </c>
      <c r="BY83" s="531">
        <f>'VAC &amp; MED'!ZF427</f>
        <v>0</v>
      </c>
      <c r="BZ83" s="531">
        <f>'VAC &amp; MED'!ZO427</f>
        <v>0</v>
      </c>
    </row>
    <row r="84" spans="1:83" s="531" customFormat="1" outlineLevel="1">
      <c r="A84" s="536" t="s">
        <v>316</v>
      </c>
      <c r="B84" s="530">
        <f>'VAC &amp; MED'!G427</f>
        <v>0</v>
      </c>
      <c r="C84" s="530">
        <f>'VAC &amp; MED'!P427</f>
        <v>0</v>
      </c>
      <c r="D84" s="530">
        <f>'VAC &amp; MED'!Y427</f>
        <v>0</v>
      </c>
      <c r="E84" s="530">
        <f>'VAC &amp; MED'!AH427</f>
        <v>0</v>
      </c>
      <c r="F84" s="530">
        <f>'VAC &amp; MED'!AQ427</f>
        <v>0</v>
      </c>
      <c r="G84" s="530">
        <f>'VAC &amp; MED'!AZ427</f>
        <v>0</v>
      </c>
      <c r="H84" s="530">
        <f>'VAC &amp; MED'!BI427</f>
        <v>0</v>
      </c>
      <c r="I84" s="530">
        <f>'VAC &amp; MED'!BR427</f>
        <v>0</v>
      </c>
      <c r="J84" s="530">
        <f>'VAC &amp; MED'!CA427</f>
        <v>0</v>
      </c>
      <c r="K84" s="530">
        <f>'VAC &amp; MED'!CJ427</f>
        <v>0</v>
      </c>
      <c r="L84" s="530">
        <f>'VAC &amp; MED'!CS427</f>
        <v>0</v>
      </c>
      <c r="M84" s="530">
        <f>'VAC &amp; MED'!DB427</f>
        <v>0</v>
      </c>
      <c r="N84" s="530">
        <f>'VAC &amp; MED'!DK427</f>
        <v>0</v>
      </c>
      <c r="O84" s="530">
        <f>'VAC &amp; MED'!DT427</f>
        <v>0</v>
      </c>
      <c r="P84" s="530"/>
      <c r="Q84" s="530">
        <f>'VAC &amp; MED'!EL427</f>
        <v>0</v>
      </c>
      <c r="R84" s="530">
        <f>'VAC &amp; MED'!EU427</f>
        <v>0</v>
      </c>
      <c r="S84" s="530">
        <f>'VAC &amp; MED'!FD427</f>
        <v>0</v>
      </c>
      <c r="T84" s="530">
        <f>'VAC &amp; MED'!FM427</f>
        <v>0</v>
      </c>
      <c r="U84" s="530">
        <f>'VAC &amp; MED'!FV427</f>
        <v>0</v>
      </c>
      <c r="V84" s="530">
        <f>'VAC &amp; MED'!GE427</f>
        <v>0</v>
      </c>
      <c r="W84" s="530">
        <f>'VAC &amp; MED'!GN427</f>
        <v>0</v>
      </c>
      <c r="X84" s="530">
        <f>'VAC &amp; MED'!GW427</f>
        <v>0</v>
      </c>
      <c r="Y84" s="530">
        <f>'VAC &amp; MED'!HF427</f>
        <v>0</v>
      </c>
      <c r="Z84" s="530">
        <f>'VAC &amp; MED'!HO427</f>
        <v>0</v>
      </c>
      <c r="AA84" s="530">
        <f>'VAC &amp; MED'!HY427</f>
        <v>0</v>
      </c>
      <c r="AB84" s="530">
        <f>'VAC &amp; MED'!IH427</f>
        <v>0</v>
      </c>
      <c r="AC84" s="530">
        <f>'VAC &amp; MED'!IQ427</f>
        <v>0</v>
      </c>
      <c r="AD84" s="530">
        <f>'VAC &amp; MED'!IZ427</f>
        <v>0</v>
      </c>
      <c r="AE84" s="530">
        <f>'VAC &amp; MED'!JI427</f>
        <v>0</v>
      </c>
      <c r="AF84" s="530">
        <f>'VAC &amp; MED'!JR427</f>
        <v>0</v>
      </c>
      <c r="AG84" s="530">
        <f>'VAC &amp; MED'!KA427</f>
        <v>0</v>
      </c>
      <c r="AH84" s="530">
        <f>'VAC &amp; MED'!KJ427</f>
        <v>0</v>
      </c>
      <c r="AI84" s="530"/>
      <c r="AJ84" s="530">
        <f>'VAC &amp; MED'!LB427</f>
        <v>0</v>
      </c>
      <c r="AK84" s="530">
        <f>'VAC &amp; MED'!LK427</f>
        <v>0</v>
      </c>
      <c r="AL84" s="530">
        <f>'VAC &amp; MED'!LT427</f>
        <v>0</v>
      </c>
      <c r="AM84" s="532"/>
      <c r="AN84" s="532"/>
      <c r="AO84" s="532"/>
      <c r="AP84" s="532"/>
      <c r="AQ84" s="532"/>
      <c r="AR84" s="532"/>
      <c r="AS84" s="532"/>
      <c r="AT84" s="532"/>
      <c r="AU84" s="532"/>
      <c r="AV84" s="532"/>
      <c r="AW84" s="532"/>
      <c r="AX84" s="532"/>
      <c r="AY84" s="532"/>
      <c r="AZ84" s="532"/>
      <c r="BA84" s="533"/>
      <c r="BB84" s="533"/>
      <c r="BC84" s="533"/>
      <c r="BD84" s="533"/>
      <c r="BE84" s="533"/>
      <c r="BF84" s="533"/>
      <c r="BG84" s="533"/>
      <c r="BH84" s="533"/>
      <c r="BI84" s="531">
        <f>'VAC &amp; MED'!TS427</f>
        <v>0</v>
      </c>
      <c r="BJ84" s="531">
        <f>'VAC &amp; MED'!UB427</f>
        <v>0</v>
      </c>
      <c r="BK84" s="531">
        <f>'VAC &amp; MED'!UK427</f>
        <v>0</v>
      </c>
      <c r="BL84" s="531">
        <f>'VAC &amp; MED'!US427</f>
        <v>0</v>
      </c>
      <c r="BM84" s="531">
        <f>'VAC &amp; MED'!VC427</f>
        <v>0</v>
      </c>
      <c r="BN84" s="531">
        <f>'VAC &amp; MED'!VL427</f>
        <v>0</v>
      </c>
      <c r="BO84" s="531">
        <f>'VAC &amp; MED'!VU427</f>
        <v>0</v>
      </c>
      <c r="BP84" s="533"/>
      <c r="BQ84" s="533"/>
      <c r="BR84" s="533"/>
      <c r="BS84" s="533"/>
      <c r="BT84" s="533"/>
      <c r="BU84" s="533"/>
      <c r="BV84" s="533"/>
      <c r="BW84" s="533"/>
      <c r="BX84" s="533"/>
      <c r="BY84" s="533"/>
      <c r="BZ84" s="533"/>
      <c r="CA84" s="533"/>
      <c r="CB84" s="533"/>
      <c r="CC84" s="533"/>
      <c r="CD84" s="533"/>
      <c r="CE84" s="533"/>
    </row>
    <row r="85" spans="1:83" s="535" customFormat="1">
      <c r="A85" s="537" t="s">
        <v>171</v>
      </c>
      <c r="B85" s="534">
        <f>'VAC &amp; MED'!H427</f>
        <v>236936.6</v>
      </c>
      <c r="C85" s="534">
        <f>'VAC &amp; MED'!Q427</f>
        <v>53017.600000000071</v>
      </c>
      <c r="D85" s="534">
        <f>'VAC &amp; MED'!Z427</f>
        <v>42674.199999999968</v>
      </c>
      <c r="E85" s="534">
        <f>'VAC &amp; MED'!AI427</f>
        <v>4522.2000000000189</v>
      </c>
      <c r="F85" s="534">
        <f>'VAC &amp; MED'!AR427</f>
        <v>0</v>
      </c>
      <c r="G85" s="534">
        <f>'VAC &amp; MED'!BA427</f>
        <v>124.99999999999523</v>
      </c>
      <c r="H85" s="534">
        <f>'VAC &amp; MED'!BJ427</f>
        <v>26151.899999999998</v>
      </c>
      <c r="I85" s="534">
        <f>'VAC &amp; MED'!BS427</f>
        <v>0</v>
      </c>
      <c r="J85" s="534">
        <f>'VAC &amp; MED'!CB427</f>
        <v>2097.3399999999992</v>
      </c>
      <c r="K85" s="534">
        <f>'VAC &amp; MED'!CK427</f>
        <v>-10277.079999999998</v>
      </c>
      <c r="L85" s="534">
        <f>'VAC &amp; MED'!CT427</f>
        <v>0</v>
      </c>
      <c r="M85" s="534">
        <f>'VAC &amp; MED'!DC427</f>
        <v>27438.200000000012</v>
      </c>
      <c r="N85" s="534">
        <f>'VAC &amp; MED'!DL427</f>
        <v>18782.299999999981</v>
      </c>
      <c r="O85" s="534">
        <f>'VAC &amp; MED'!DU427</f>
        <v>5800</v>
      </c>
      <c r="P85" s="534">
        <f>'VAC &amp; MED'!ED427</f>
        <v>0</v>
      </c>
      <c r="Q85" s="534">
        <f>'VAC &amp; MED'!EM427</f>
        <v>0</v>
      </c>
      <c r="R85" s="534">
        <f>'VAC &amp; MED'!EV427</f>
        <v>0</v>
      </c>
      <c r="S85" s="534">
        <f>'VAC &amp; MED'!FE427</f>
        <v>0</v>
      </c>
      <c r="T85" s="534">
        <f>'VAC &amp; MED'!FN427</f>
        <v>0</v>
      </c>
      <c r="U85" s="534">
        <f>'VAC &amp; MED'!FW427</f>
        <v>2020</v>
      </c>
      <c r="V85" s="534">
        <f>'VAC &amp; MED'!GF427</f>
        <v>960</v>
      </c>
      <c r="W85" s="534">
        <f>'VAC &amp; MED'!GO427</f>
        <v>1760</v>
      </c>
      <c r="X85" s="534">
        <f>'VAC &amp; MED'!GX427</f>
        <v>400</v>
      </c>
      <c r="Y85" s="534">
        <f>'VAC &amp; MED'!HG427</f>
        <v>3600</v>
      </c>
      <c r="Z85" s="534">
        <f>'VAC &amp; MED'!HP427</f>
        <v>0</v>
      </c>
      <c r="AA85" s="534">
        <f>'VAC &amp; MED'!HZ427</f>
        <v>6120</v>
      </c>
      <c r="AB85" s="534">
        <f>'VAC &amp; MED'!II427</f>
        <v>0</v>
      </c>
      <c r="AC85" s="534">
        <f>'VAC &amp; MED'!IR427</f>
        <v>0</v>
      </c>
      <c r="AD85" s="534">
        <f>'VAC &amp; MED'!JA427</f>
        <v>2820</v>
      </c>
      <c r="AE85" s="534">
        <f>'VAC &amp; MED'!JJ427</f>
        <v>0</v>
      </c>
      <c r="AF85" s="534">
        <f>'VAC &amp; MED'!JS427</f>
        <v>0</v>
      </c>
      <c r="AG85" s="534">
        <f>'VAC &amp; MED'!KB427</f>
        <v>2540</v>
      </c>
      <c r="AH85" s="534">
        <f>'VAC &amp; MED'!KK427</f>
        <v>2359.5</v>
      </c>
      <c r="AI85" s="534">
        <f>'VAC &amp; MED'!KT427</f>
        <v>1890</v>
      </c>
      <c r="AJ85" s="534">
        <f>'VAC &amp; MED'!LC427</f>
        <v>3690</v>
      </c>
      <c r="AK85" s="534">
        <f>'VAC &amp; MED'!LL427</f>
        <v>4000</v>
      </c>
      <c r="AL85" s="534">
        <f>'VAC &amp; MED'!LU427</f>
        <v>0</v>
      </c>
      <c r="AM85" s="534">
        <f>'VAC &amp; MED'!MD427</f>
        <v>0</v>
      </c>
      <c r="AN85" s="534">
        <f>'VAC &amp; MED'!MM427</f>
        <v>-18</v>
      </c>
      <c r="AO85" s="534">
        <f>'VAC &amp; MED'!MV427</f>
        <v>1559</v>
      </c>
      <c r="AP85" s="534">
        <f>'VAC &amp; MED'!NE427</f>
        <v>0</v>
      </c>
      <c r="AQ85" s="534">
        <f>'VAC &amp; MED'!NN427</f>
        <v>1127</v>
      </c>
      <c r="AR85" s="534">
        <f>'VAC &amp; MED'!NW427</f>
        <v>3111.9999999999995</v>
      </c>
      <c r="AS85" s="534">
        <f>'VAC &amp; MED'!OF427</f>
        <v>1680.5</v>
      </c>
      <c r="AT85" s="534">
        <f>'VAC &amp; MED'!OO427</f>
        <v>0</v>
      </c>
      <c r="AU85" s="534">
        <f>'VAC &amp; MED'!OX427</f>
        <v>1482</v>
      </c>
      <c r="AV85" s="534">
        <f>'VAC &amp; MED'!PG427</f>
        <v>0</v>
      </c>
      <c r="AW85" s="534">
        <f>'VAC &amp; MED'!PP427</f>
        <v>100</v>
      </c>
      <c r="AX85" s="534">
        <f>'VAC &amp; MED'!PY427</f>
        <v>13.960000000000036</v>
      </c>
      <c r="AY85" s="534">
        <f>'VAC &amp; MED'!QH427</f>
        <v>548</v>
      </c>
      <c r="AZ85" s="534">
        <f>'VAC &amp; MED'!QQ427</f>
        <v>0</v>
      </c>
      <c r="BA85" s="535">
        <f>'VAC &amp; MED'!QZ427</f>
        <v>0</v>
      </c>
      <c r="BB85" s="535">
        <f>'VAC &amp; MED'!RI427</f>
        <v>147.04000000000002</v>
      </c>
      <c r="BC85" s="535">
        <f>'VAC &amp; MED'!RR427</f>
        <v>46.8</v>
      </c>
      <c r="BD85" s="535">
        <f>'VAC &amp; MED'!SA427</f>
        <v>0</v>
      </c>
      <c r="BE85" s="535">
        <f>'VAC &amp; MED'!SJ427</f>
        <v>24.200000000000003</v>
      </c>
      <c r="BF85" s="535">
        <f>'VAC &amp; MED'!SS427</f>
        <v>32</v>
      </c>
      <c r="BG85" s="535">
        <f>'VAC &amp; MED'!TB427</f>
        <v>0</v>
      </c>
      <c r="BH85" s="535">
        <f>'VAC &amp; MED'!TK427</f>
        <v>0</v>
      </c>
      <c r="BI85" s="535">
        <f>'VAC &amp; MED'!TT427</f>
        <v>0</v>
      </c>
      <c r="BJ85" s="535">
        <f>'VAC &amp; MED'!UC427</f>
        <v>46.799999999999983</v>
      </c>
      <c r="BK85" s="535">
        <f>'VAC &amp; MED'!UL427</f>
        <v>204</v>
      </c>
      <c r="BL85" s="535">
        <f>'VAC &amp; MED'!UU427</f>
        <v>202.5</v>
      </c>
      <c r="BM85" s="535">
        <f>'VAC &amp; MED'!VD427</f>
        <v>41.600000000000023</v>
      </c>
      <c r="BN85" s="535">
        <f>'VAC &amp; MED'!VM427</f>
        <v>210</v>
      </c>
      <c r="BO85" s="535">
        <f>'VAC &amp; MED'!VV427</f>
        <v>0</v>
      </c>
      <c r="BP85" s="535">
        <f>'VAC &amp; MED'!WE427</f>
        <v>0</v>
      </c>
      <c r="BQ85" s="535">
        <f>'VAC &amp; MED'!WN427</f>
        <v>1057</v>
      </c>
      <c r="BR85" s="535">
        <f>'VAC &amp; MED'!WW427</f>
        <v>0</v>
      </c>
      <c r="BS85" s="535">
        <f>'VAC &amp; MED'!XF427</f>
        <v>7507</v>
      </c>
      <c r="BT85" s="535">
        <f>'VAC &amp; MED'!XO427</f>
        <v>4252</v>
      </c>
      <c r="BU85" s="535">
        <f>'VAC &amp; MED'!XX427</f>
        <v>2179</v>
      </c>
      <c r="BV85" s="535">
        <f>'VAC &amp; MED'!YG427</f>
        <v>4019</v>
      </c>
      <c r="BW85" s="535">
        <f>'VAC &amp; MED'!YP427</f>
        <v>-218</v>
      </c>
      <c r="BX85" s="535">
        <f>'VAC &amp; MED'!YY427</f>
        <v>0</v>
      </c>
      <c r="BY85" s="535">
        <f>'VAC &amp; MED'!ZH427</f>
        <v>0</v>
      </c>
      <c r="BZ85" s="535">
        <f>'VAC &amp; MED'!ZQ427</f>
        <v>0</v>
      </c>
    </row>
    <row r="86" spans="1:83">
      <c r="T86" s="4"/>
      <c r="U86" s="4"/>
      <c r="V86" s="4"/>
      <c r="W86" s="4"/>
      <c r="X86" s="4"/>
      <c r="Y86" s="4"/>
      <c r="Z86" s="4"/>
    </row>
    <row r="87" spans="1:83">
      <c r="T87" s="4"/>
      <c r="U87" s="4"/>
      <c r="V87" s="4"/>
      <c r="W87" s="4"/>
      <c r="X87" s="4"/>
      <c r="Y87" s="4"/>
      <c r="Z87" s="4"/>
    </row>
    <row r="88" spans="1:83">
      <c r="T88" s="4"/>
      <c r="U88" s="4"/>
      <c r="V88" s="4"/>
      <c r="W88" s="4"/>
      <c r="X88" s="4"/>
      <c r="Y88" s="4"/>
      <c r="Z88" s="4"/>
    </row>
    <row r="89" spans="1:83">
      <c r="B89" s="418" t="s">
        <v>317</v>
      </c>
      <c r="T89" s="4"/>
      <c r="U89" s="4"/>
      <c r="V89" s="4"/>
      <c r="W89" s="4"/>
      <c r="X89" s="4"/>
      <c r="Y89" s="4"/>
      <c r="Z89" s="4"/>
    </row>
    <row r="90" spans="1:83">
      <c r="B90" s="4" t="s">
        <v>318</v>
      </c>
      <c r="T90" s="4"/>
      <c r="U90" s="4"/>
    </row>
    <row r="91" spans="1:83">
      <c r="B91" s="4" t="s">
        <v>319</v>
      </c>
    </row>
    <row r="92" spans="1:83">
      <c r="B92" s="4" t="s">
        <v>320</v>
      </c>
    </row>
    <row r="93" spans="1:83">
      <c r="B93" s="4" t="s">
        <v>321</v>
      </c>
    </row>
    <row r="94" spans="1:83">
      <c r="B94" s="4" t="s">
        <v>322</v>
      </c>
    </row>
    <row r="95" spans="1:83">
      <c r="B95" s="4" t="s">
        <v>323</v>
      </c>
    </row>
    <row r="96" spans="1:83">
      <c r="B96" s="4" t="s">
        <v>324</v>
      </c>
    </row>
    <row r="97" spans="2:2">
      <c r="B97" s="4" t="s">
        <v>325</v>
      </c>
    </row>
    <row r="98" spans="2:2">
      <c r="B98" s="4" t="s">
        <v>326</v>
      </c>
    </row>
    <row r="99" spans="2:2">
      <c r="B99" s="4" t="s">
        <v>327</v>
      </c>
    </row>
    <row r="100" spans="2:2">
      <c r="B100" s="4" t="s">
        <v>328</v>
      </c>
    </row>
    <row r="101" spans="2:2">
      <c r="B101" s="4" t="s">
        <v>329</v>
      </c>
    </row>
  </sheetData>
  <mergeCells count="4">
    <mergeCell ref="L1:Z1"/>
    <mergeCell ref="B2:K2"/>
    <mergeCell ref="B1:K1"/>
    <mergeCell ref="AA1:A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C322"/>
  <sheetViews>
    <sheetView topLeftCell="A94" workbookViewId="0">
      <selection activeCell="D5" sqref="D5"/>
    </sheetView>
  </sheetViews>
  <sheetFormatPr defaultColWidth="9.28515625" defaultRowHeight="13.15"/>
  <cols>
    <col min="1" max="1" width="5.7109375" style="305" bestFit="1" customWidth="1"/>
    <col min="2" max="2" width="38.7109375" style="306" customWidth="1"/>
    <col min="3" max="3" width="5.7109375" style="331" customWidth="1"/>
    <col min="4" max="4" width="12.28515625" style="307" bestFit="1" customWidth="1"/>
    <col min="5" max="5" width="13.42578125" style="307" bestFit="1" customWidth="1"/>
    <col min="6" max="6" width="15.28515625" style="307" customWidth="1"/>
    <col min="7" max="7" width="14.7109375" style="307" bestFit="1" customWidth="1"/>
    <col min="8" max="8" width="14" style="307" customWidth="1"/>
    <col min="9" max="9" width="13.28515625" style="307" bestFit="1" customWidth="1"/>
    <col min="10" max="11" width="13.7109375" style="307" bestFit="1" customWidth="1"/>
    <col min="12" max="12" width="41.7109375" style="307" bestFit="1" customWidth="1"/>
    <col min="13" max="13" width="1.42578125" style="307" bestFit="1" customWidth="1"/>
    <col min="14" max="14" width="14" style="307" bestFit="1" customWidth="1"/>
    <col min="15" max="15" width="13" style="307" bestFit="1" customWidth="1"/>
    <col min="16" max="16" width="3.42578125" style="307" customWidth="1"/>
    <col min="17" max="17" width="15.7109375" style="307" bestFit="1" customWidth="1"/>
    <col min="18" max="18" width="11.28515625" style="317" bestFit="1" customWidth="1"/>
    <col min="19" max="19" width="45.28515625" style="307" bestFit="1" customWidth="1"/>
    <col min="20" max="20" width="14.7109375" style="309" bestFit="1" customWidth="1"/>
    <col min="21" max="21" width="13.7109375" style="307" bestFit="1" customWidth="1"/>
    <col min="22" max="22" width="9.28515625" style="306"/>
    <col min="23" max="23" width="34.28515625" style="306" bestFit="1" customWidth="1"/>
    <col min="24" max="25" width="9.28515625" style="306"/>
    <col min="26" max="27" width="9.42578125" style="306" bestFit="1" customWidth="1"/>
    <col min="28" max="28" width="9.28515625" style="306"/>
    <col min="29" max="29" width="10.28515625" style="306" bestFit="1" customWidth="1"/>
    <col min="30" max="16384" width="9.28515625" style="306"/>
  </cols>
  <sheetData>
    <row r="1" spans="1:29">
      <c r="A1" s="496"/>
      <c r="B1" s="291" t="str">
        <f>SUMMARY!B90</f>
        <v>HARUMI Stock - JAN 2026</v>
      </c>
      <c r="C1" s="337"/>
      <c r="D1" s="344"/>
      <c r="E1" s="344"/>
      <c r="F1" s="344"/>
      <c r="G1" s="344"/>
      <c r="H1" s="344"/>
      <c r="I1" s="497"/>
      <c r="J1" s="852"/>
      <c r="K1" s="852"/>
      <c r="L1" s="498"/>
      <c r="M1" s="498"/>
      <c r="N1" s="498"/>
      <c r="O1" s="339"/>
      <c r="P1" s="339"/>
      <c r="Q1" s="853" t="s">
        <v>330</v>
      </c>
      <c r="R1" s="853"/>
      <c r="S1" s="853"/>
      <c r="T1" s="853"/>
      <c r="U1" s="853"/>
      <c r="V1" s="329"/>
      <c r="W1" s="329"/>
      <c r="X1" s="329"/>
      <c r="Y1" s="329"/>
      <c r="Z1" s="329"/>
      <c r="AA1" s="329"/>
      <c r="AB1" s="329"/>
      <c r="AC1" s="329"/>
    </row>
    <row r="2" spans="1:29" s="305" customFormat="1" ht="26.45">
      <c r="A2" s="311" t="s">
        <v>331</v>
      </c>
      <c r="B2" s="312" t="s">
        <v>332</v>
      </c>
      <c r="C2" s="313" t="s">
        <v>333</v>
      </c>
      <c r="D2" s="313" t="s">
        <v>334</v>
      </c>
      <c r="E2" s="313" t="s">
        <v>335</v>
      </c>
      <c r="F2" s="313" t="s">
        <v>166</v>
      </c>
      <c r="G2" s="313" t="s">
        <v>168</v>
      </c>
      <c r="H2" s="313" t="s">
        <v>336</v>
      </c>
      <c r="I2" s="293" t="s">
        <v>337</v>
      </c>
      <c r="J2" s="294" t="s">
        <v>338</v>
      </c>
      <c r="K2" s="313" t="s">
        <v>339</v>
      </c>
      <c r="L2" s="313" t="s">
        <v>170</v>
      </c>
      <c r="M2" s="314"/>
      <c r="N2" s="294" t="s">
        <v>340</v>
      </c>
      <c r="O2" s="313" t="s">
        <v>330</v>
      </c>
      <c r="P2" s="315"/>
      <c r="Q2" s="297" t="s">
        <v>341</v>
      </c>
      <c r="R2" s="304" t="s">
        <v>164</v>
      </c>
      <c r="S2" s="298" t="s">
        <v>342</v>
      </c>
      <c r="T2" s="316" t="s">
        <v>343</v>
      </c>
      <c r="U2" s="298" t="s">
        <v>344</v>
      </c>
      <c r="V2" s="496"/>
      <c r="W2" s="496"/>
      <c r="X2" s="496"/>
      <c r="Y2" s="496"/>
      <c r="Z2" s="496"/>
      <c r="AA2" s="496"/>
      <c r="AB2" s="496"/>
      <c r="AC2" s="496"/>
    </row>
    <row r="3" spans="1:29">
      <c r="A3" s="311"/>
      <c r="B3" s="290" t="s">
        <v>345</v>
      </c>
      <c r="C3" s="313"/>
      <c r="D3" s="292"/>
      <c r="E3" s="292"/>
      <c r="F3" s="292"/>
      <c r="G3" s="292"/>
      <c r="H3" s="292"/>
      <c r="I3" s="293"/>
      <c r="J3" s="294"/>
      <c r="K3" s="292"/>
      <c r="L3" s="292"/>
      <c r="M3" s="295"/>
      <c r="N3" s="294"/>
      <c r="O3" s="292"/>
      <c r="P3" s="296"/>
      <c r="Q3" s="297"/>
      <c r="R3" s="304"/>
      <c r="S3" s="298"/>
      <c r="T3" s="308"/>
      <c r="U3" s="298"/>
      <c r="V3" s="329"/>
      <c r="W3" s="329"/>
      <c r="X3" s="329"/>
      <c r="Y3" s="329"/>
      <c r="Z3" s="329"/>
      <c r="AA3" s="329"/>
      <c r="AB3" s="329"/>
      <c r="AC3" s="329"/>
    </row>
    <row r="4" spans="1:29">
      <c r="A4" s="338"/>
      <c r="B4" s="413" t="str">
        <f>SUMMARY!B3</f>
        <v>MAIZE/CORN</v>
      </c>
      <c r="C4" s="338" t="s">
        <v>346</v>
      </c>
      <c r="D4" s="336">
        <f>SUMMARY!B4</f>
        <v>47850.2</v>
      </c>
      <c r="E4" s="336">
        <f>SUMMARY!B5</f>
        <v>1015280</v>
      </c>
      <c r="F4" s="336">
        <f>SUMMARY!B6</f>
        <v>816998.7</v>
      </c>
      <c r="G4" s="336">
        <f>SUMMARY!B7</f>
        <v>-4343.299999999992</v>
      </c>
      <c r="H4" s="336">
        <f>SUMMARY!B8</f>
        <v>241788.19999999998</v>
      </c>
      <c r="I4" s="336"/>
      <c r="J4" s="336"/>
      <c r="K4" s="336"/>
      <c r="L4" s="336"/>
      <c r="M4" s="339"/>
      <c r="N4" s="336"/>
      <c r="O4" s="413">
        <f>N4-H4</f>
        <v>-241788.19999999998</v>
      </c>
      <c r="P4" s="339"/>
      <c r="Q4" s="336"/>
      <c r="R4" s="499"/>
      <c r="S4" s="336"/>
      <c r="T4" s="500"/>
      <c r="U4" s="336"/>
      <c r="V4" s="329"/>
      <c r="W4" s="501"/>
      <c r="X4" s="329"/>
      <c r="Y4" s="502"/>
      <c r="Z4" s="502"/>
      <c r="AA4" s="502"/>
      <c r="AB4" s="502"/>
      <c r="AC4" s="502"/>
    </row>
    <row r="5" spans="1:29">
      <c r="A5" s="338"/>
      <c r="B5" s="413" t="str">
        <f>SUMMARY!C3</f>
        <v>SOYBEAN MEAL (ARG)</v>
      </c>
      <c r="C5" s="338" t="s">
        <v>346</v>
      </c>
      <c r="D5" s="336">
        <f>SUMMARY!C4</f>
        <v>8696.2000000000007</v>
      </c>
      <c r="E5" s="336">
        <f>SUMMARY!C5</f>
        <v>361810</v>
      </c>
      <c r="F5" s="336">
        <f>SUMMARY!C6</f>
        <v>321775.5</v>
      </c>
      <c r="G5" s="336">
        <f>SUMMARY!C7</f>
        <v>17.499999999976808</v>
      </c>
      <c r="H5" s="336">
        <f>SUMMARY!C8</f>
        <v>48748.2</v>
      </c>
      <c r="I5" s="336"/>
      <c r="J5" s="336"/>
      <c r="K5" s="336"/>
      <c r="L5" s="336"/>
      <c r="M5" s="339"/>
      <c r="N5" s="336"/>
      <c r="O5" s="413">
        <f t="shared" ref="O5:O78" si="0">N5-H5</f>
        <v>-48748.2</v>
      </c>
      <c r="P5" s="339"/>
      <c r="Q5" s="336"/>
      <c r="R5" s="499"/>
      <c r="S5" s="336"/>
      <c r="T5" s="500"/>
      <c r="U5" s="336"/>
      <c r="V5" s="329"/>
      <c r="W5" s="501"/>
      <c r="X5" s="329"/>
      <c r="Y5" s="502"/>
      <c r="Z5" s="502"/>
      <c r="AA5" s="502"/>
      <c r="AB5" s="502"/>
      <c r="AC5" s="502"/>
    </row>
    <row r="6" spans="1:29">
      <c r="A6" s="338"/>
      <c r="B6" s="413" t="str">
        <f>SUMMARY!D3</f>
        <v>SOYBEAN FULL FAT</v>
      </c>
      <c r="C6" s="338" t="s">
        <v>346</v>
      </c>
      <c r="D6" s="336">
        <f>SUMMARY!D4</f>
        <v>40371.299999999996</v>
      </c>
      <c r="E6" s="336">
        <f>SUMMARY!D5</f>
        <v>90340</v>
      </c>
      <c r="F6" s="336">
        <f>SUMMARY!D6</f>
        <v>80810</v>
      </c>
      <c r="G6" s="336">
        <f>SUMMARY!D7</f>
        <v>-16.300000000000637</v>
      </c>
      <c r="H6" s="336">
        <f>SUMMARY!D8</f>
        <v>49884.999999999985</v>
      </c>
      <c r="I6" s="336"/>
      <c r="J6" s="336"/>
      <c r="K6" s="336"/>
      <c r="L6" s="336"/>
      <c r="M6" s="339"/>
      <c r="N6" s="336"/>
      <c r="O6" s="413">
        <f t="shared" si="0"/>
        <v>-49884.999999999985</v>
      </c>
      <c r="P6" s="339"/>
      <c r="Q6" s="336"/>
      <c r="R6" s="499"/>
      <c r="S6" s="336"/>
      <c r="T6" s="500"/>
      <c r="U6" s="336"/>
      <c r="V6" s="329"/>
      <c r="W6" s="501"/>
      <c r="X6" s="329"/>
      <c r="Y6" s="502"/>
      <c r="Z6" s="502"/>
      <c r="AA6" s="502"/>
      <c r="AB6" s="502"/>
      <c r="AC6" s="502"/>
    </row>
    <row r="7" spans="1:29">
      <c r="A7" s="338"/>
      <c r="B7" s="413" t="str">
        <f>SUMMARY!E3</f>
        <v>WHEAT POLLARD</v>
      </c>
      <c r="C7" s="338" t="s">
        <v>346</v>
      </c>
      <c r="D7" s="336">
        <f>SUMMARY!E4</f>
        <v>33793.700000000012</v>
      </c>
      <c r="E7" s="336">
        <f>SUMMARY!E5</f>
        <v>86570</v>
      </c>
      <c r="F7" s="336">
        <f>SUMMARY!E6</f>
        <v>67570</v>
      </c>
      <c r="G7" s="336">
        <f>SUMMARY!E7</f>
        <v>-21.499999999999659</v>
      </c>
      <c r="H7" s="336">
        <f>SUMMARY!E8</f>
        <v>52772.200000000012</v>
      </c>
      <c r="I7" s="336"/>
      <c r="J7" s="336"/>
      <c r="K7" s="336"/>
      <c r="L7" s="336"/>
      <c r="M7" s="339"/>
      <c r="N7" s="336"/>
      <c r="O7" s="413">
        <f t="shared" si="0"/>
        <v>-52772.200000000012</v>
      </c>
      <c r="P7" s="339"/>
      <c r="Q7" s="503"/>
      <c r="R7" s="504"/>
      <c r="S7" s="505"/>
      <c r="T7" s="505"/>
      <c r="U7" s="336"/>
      <c r="V7" s="329"/>
      <c r="W7" s="501"/>
      <c r="X7" s="329"/>
      <c r="Y7" s="502"/>
      <c r="Z7" s="502"/>
      <c r="AA7" s="502"/>
      <c r="AB7" s="502"/>
      <c r="AC7" s="502"/>
    </row>
    <row r="8" spans="1:29">
      <c r="A8" s="338"/>
      <c r="B8" s="413" t="str">
        <f>SUMMARY!F3</f>
        <v>WHEAT</v>
      </c>
      <c r="C8" s="338" t="s">
        <v>346</v>
      </c>
      <c r="D8" s="336">
        <f>SUMMARY!F4</f>
        <v>0</v>
      </c>
      <c r="E8" s="336">
        <f>SUMMARY!F5</f>
        <v>0</v>
      </c>
      <c r="F8" s="336">
        <f>SUMMARY!F6</f>
        <v>0</v>
      </c>
      <c r="G8" s="336">
        <f>SUMMARY!F7</f>
        <v>0</v>
      </c>
      <c r="H8" s="336">
        <f>SUMMARY!F8</f>
        <v>0</v>
      </c>
      <c r="I8" s="336"/>
      <c r="J8" s="336"/>
      <c r="K8" s="336"/>
      <c r="L8" s="336"/>
      <c r="M8" s="339"/>
      <c r="N8" s="336"/>
      <c r="O8" s="413">
        <f t="shared" si="0"/>
        <v>0</v>
      </c>
      <c r="P8" s="339"/>
      <c r="Q8" s="336"/>
      <c r="R8" s="499"/>
      <c r="S8" s="336"/>
      <c r="T8" s="500"/>
      <c r="U8" s="336"/>
      <c r="V8" s="329"/>
      <c r="W8" s="501"/>
      <c r="X8" s="329"/>
      <c r="Y8" s="502"/>
      <c r="Z8" s="502"/>
      <c r="AA8" s="502"/>
      <c r="AB8" s="502"/>
      <c r="AC8" s="502"/>
    </row>
    <row r="9" spans="1:29">
      <c r="A9" s="338"/>
      <c r="B9" s="413" t="str">
        <f>SUMMARY!G3</f>
        <v>MEAT AND BONE MEAL</v>
      </c>
      <c r="C9" s="338" t="s">
        <v>346</v>
      </c>
      <c r="D9" s="336">
        <f>SUMMARY!G4</f>
        <v>29510.099999999991</v>
      </c>
      <c r="E9" s="336">
        <f>SUMMARY!G5</f>
        <v>31596.3</v>
      </c>
      <c r="F9" s="336">
        <f>SUMMARY!G6</f>
        <v>26507</v>
      </c>
      <c r="G9" s="336">
        <f>SUMMARY!G7</f>
        <v>-282.69999999999965</v>
      </c>
      <c r="H9" s="336">
        <f>SUMMARY!G8</f>
        <v>34316.69999999999</v>
      </c>
      <c r="I9" s="336"/>
      <c r="J9" s="336"/>
      <c r="K9" s="336"/>
      <c r="L9" s="336"/>
      <c r="M9" s="339"/>
      <c r="N9" s="336"/>
      <c r="O9" s="413">
        <f t="shared" si="0"/>
        <v>-34316.69999999999</v>
      </c>
      <c r="P9" s="339"/>
      <c r="Q9" s="336"/>
      <c r="R9" s="499"/>
      <c r="S9" s="336"/>
      <c r="T9" s="500"/>
      <c r="U9" s="336"/>
      <c r="V9" s="329"/>
      <c r="W9" s="501"/>
      <c r="X9" s="329"/>
      <c r="Y9" s="502"/>
      <c r="Z9" s="502"/>
      <c r="AA9" s="502"/>
      <c r="AB9" s="502"/>
      <c r="AC9" s="502"/>
    </row>
    <row r="10" spans="1:29">
      <c r="A10" s="338"/>
      <c r="B10" s="413" t="str">
        <f>SUMMARY!H3</f>
        <v>CORN GLUTEN MEAL</v>
      </c>
      <c r="C10" s="338" t="s">
        <v>346</v>
      </c>
      <c r="D10" s="336">
        <f>SUMMARY!H4</f>
        <v>6360.0000000000073</v>
      </c>
      <c r="E10" s="336">
        <f>SUMMARY!H5</f>
        <v>45437.7</v>
      </c>
      <c r="F10" s="336">
        <f>SUMMARY!H6</f>
        <v>29930</v>
      </c>
      <c r="G10" s="336">
        <f>SUMMARY!H7</f>
        <v>56.399999999999977</v>
      </c>
      <c r="H10" s="336">
        <f>SUMMARY!H8</f>
        <v>21924.100000000006</v>
      </c>
      <c r="I10" s="336"/>
      <c r="J10" s="336"/>
      <c r="K10" s="336"/>
      <c r="L10" s="336"/>
      <c r="M10" s="339"/>
      <c r="N10" s="336"/>
      <c r="O10" s="413">
        <f t="shared" si="0"/>
        <v>-21924.100000000006</v>
      </c>
      <c r="P10" s="339"/>
      <c r="Q10" s="336"/>
      <c r="R10" s="499"/>
      <c r="S10" s="336"/>
      <c r="T10" s="500"/>
      <c r="U10" s="336"/>
      <c r="V10" s="329"/>
      <c r="W10" s="501"/>
      <c r="X10" s="329"/>
      <c r="Y10" s="502"/>
      <c r="Z10" s="502"/>
      <c r="AA10" s="502"/>
      <c r="AB10" s="502"/>
      <c r="AC10" s="502"/>
    </row>
    <row r="11" spans="1:29">
      <c r="A11" s="338"/>
      <c r="B11" s="413" t="str">
        <f>SUMMARY!I3</f>
        <v>MEGAFAT (HARUMI)</v>
      </c>
      <c r="C11" s="338" t="s">
        <v>346</v>
      </c>
      <c r="D11" s="336">
        <f>SUMMARY!I4</f>
        <v>0</v>
      </c>
      <c r="E11" s="336">
        <f>SUMMARY!I5</f>
        <v>28058.399999999998</v>
      </c>
      <c r="F11" s="336">
        <f>SUMMARY!I6</f>
        <v>28058</v>
      </c>
      <c r="G11" s="336">
        <f>SUMMARY!I7</f>
        <v>-0.40000000000020464</v>
      </c>
      <c r="H11" s="336">
        <f>SUMMARY!I8</f>
        <v>0</v>
      </c>
      <c r="I11" s="336"/>
      <c r="J11" s="300"/>
      <c r="K11" s="300"/>
      <c r="L11" s="336"/>
      <c r="M11" s="339"/>
      <c r="N11" s="336"/>
      <c r="O11" s="413">
        <f t="shared" si="0"/>
        <v>0</v>
      </c>
      <c r="P11" s="339"/>
      <c r="Q11" s="336"/>
      <c r="R11" s="499"/>
      <c r="S11" s="336"/>
      <c r="T11" s="500"/>
      <c r="U11" s="336"/>
      <c r="V11" s="329"/>
      <c r="W11" s="501"/>
      <c r="X11" s="329"/>
      <c r="Y11" s="502"/>
      <c r="Z11" s="502"/>
      <c r="AA11" s="502"/>
      <c r="AB11" s="502"/>
      <c r="AC11" s="502"/>
    </row>
    <row r="12" spans="1:29">
      <c r="A12" s="338"/>
      <c r="B12" s="413" t="str">
        <f>SUMMARY!J3</f>
        <v>DCP 18%</v>
      </c>
      <c r="C12" s="338" t="s">
        <v>346</v>
      </c>
      <c r="D12" s="336">
        <f>SUMMARY!J4</f>
        <v>512.5</v>
      </c>
      <c r="E12" s="336">
        <f>SUMMARY!J5</f>
        <v>3000</v>
      </c>
      <c r="F12" s="336">
        <f>SUMMARY!J6</f>
        <v>225</v>
      </c>
      <c r="G12" s="336">
        <f>SUMMARY!J7</f>
        <v>-2.9999999999999929</v>
      </c>
      <c r="H12" s="336">
        <f>SUMMARY!J8</f>
        <v>3284.5</v>
      </c>
      <c r="I12" s="336"/>
      <c r="J12" s="301"/>
      <c r="K12" s="336"/>
      <c r="L12" s="336"/>
      <c r="M12" s="339"/>
      <c r="N12" s="336"/>
      <c r="O12" s="413">
        <f t="shared" si="0"/>
        <v>-3284.5</v>
      </c>
      <c r="P12" s="339"/>
      <c r="Q12" s="336"/>
      <c r="R12" s="499"/>
      <c r="S12" s="336"/>
      <c r="T12" s="500"/>
      <c r="U12" s="336"/>
      <c r="V12" s="329"/>
      <c r="W12" s="501"/>
      <c r="X12" s="329"/>
      <c r="Y12" s="502"/>
      <c r="Z12" s="502"/>
      <c r="AA12" s="502"/>
      <c r="AB12" s="502"/>
      <c r="AC12" s="502"/>
    </row>
    <row r="13" spans="1:29">
      <c r="A13" s="338"/>
      <c r="B13" s="413" t="str">
        <f>SUMMARY!K3</f>
        <v>LIMESTONE POWDER (HARUMI)</v>
      </c>
      <c r="C13" s="338" t="s">
        <v>346</v>
      </c>
      <c r="D13" s="336">
        <f>SUMMARY!K4</f>
        <v>0</v>
      </c>
      <c r="E13" s="336">
        <f>SUMMARY!K5</f>
        <v>896.8</v>
      </c>
      <c r="F13" s="336">
        <f>SUMMARY!K6</f>
        <v>757.80000000000007</v>
      </c>
      <c r="G13" s="336">
        <f>SUMMARY!K7</f>
        <v>-138.99999999999994</v>
      </c>
      <c r="H13" s="336">
        <f>SUMMARY!K8</f>
        <v>0</v>
      </c>
      <c r="I13" s="336"/>
      <c r="J13" s="301"/>
      <c r="K13" s="336"/>
      <c r="L13" s="336"/>
      <c r="M13" s="339"/>
      <c r="N13" s="336"/>
      <c r="O13" s="413">
        <f t="shared" si="0"/>
        <v>0</v>
      </c>
      <c r="P13" s="339"/>
      <c r="Q13" s="336"/>
      <c r="R13" s="499"/>
      <c r="S13" s="336"/>
      <c r="T13" s="500"/>
      <c r="U13" s="336"/>
      <c r="V13" s="329"/>
      <c r="W13" s="501"/>
      <c r="X13" s="329"/>
      <c r="Y13" s="502"/>
      <c r="Z13" s="502"/>
      <c r="AA13" s="502"/>
      <c r="AB13" s="502"/>
      <c r="AC13" s="502"/>
    </row>
    <row r="14" spans="1:29">
      <c r="A14" s="338"/>
      <c r="B14" s="413" t="str">
        <f>SUMMARY!L3</f>
        <v>CHOLINE CHLORIDE 60%</v>
      </c>
      <c r="C14" s="338" t="s">
        <v>346</v>
      </c>
      <c r="D14" s="336">
        <f>SUMMARY!L4</f>
        <v>0</v>
      </c>
      <c r="E14" s="336">
        <f>SUMMARY!L5</f>
        <v>0</v>
      </c>
      <c r="F14" s="336">
        <f>SUMMARY!L6</f>
        <v>0</v>
      </c>
      <c r="G14" s="336">
        <f>SUMMARY!L7</f>
        <v>0</v>
      </c>
      <c r="H14" s="336">
        <f>SUMMARY!L8</f>
        <v>0</v>
      </c>
      <c r="I14" s="336"/>
      <c r="J14" s="301"/>
      <c r="K14" s="336"/>
      <c r="L14" s="336"/>
      <c r="M14" s="339"/>
      <c r="N14" s="336"/>
      <c r="O14" s="413">
        <f t="shared" si="0"/>
        <v>0</v>
      </c>
      <c r="P14" s="339"/>
      <c r="Q14" s="336"/>
      <c r="R14" s="499"/>
      <c r="S14" s="336"/>
      <c r="T14" s="500"/>
      <c r="U14" s="336"/>
      <c r="V14" s="329"/>
      <c r="W14" s="501"/>
      <c r="X14" s="329"/>
      <c r="Y14" s="502"/>
      <c r="Z14" s="502"/>
      <c r="AA14" s="502"/>
      <c r="AB14" s="502"/>
      <c r="AC14" s="502"/>
    </row>
    <row r="15" spans="1:29">
      <c r="A15" s="338"/>
      <c r="B15" s="413" t="str">
        <f>SUMMARY!M3</f>
        <v>INDUSTRY FLOUR</v>
      </c>
      <c r="C15" s="338" t="s">
        <v>346</v>
      </c>
      <c r="D15" s="336">
        <f>SUMMARY!M4</f>
        <v>0</v>
      </c>
      <c r="E15" s="336">
        <f>SUMMARY!M5</f>
        <v>0</v>
      </c>
      <c r="F15" s="336">
        <f>SUMMARY!M6</f>
        <v>0</v>
      </c>
      <c r="G15" s="336">
        <f>SUMMARY!M7</f>
        <v>0</v>
      </c>
      <c r="H15" s="336">
        <f>SUMMARY!M8</f>
        <v>0</v>
      </c>
      <c r="I15" s="336"/>
      <c r="J15" s="300"/>
      <c r="K15" s="336"/>
      <c r="L15" s="336"/>
      <c r="M15" s="339"/>
      <c r="N15" s="336"/>
      <c r="O15" s="413">
        <f t="shared" si="0"/>
        <v>0</v>
      </c>
      <c r="P15" s="339"/>
      <c r="Q15" s="336"/>
      <c r="R15" s="499"/>
      <c r="S15" s="336"/>
      <c r="T15" s="500"/>
      <c r="U15" s="336"/>
      <c r="V15" s="329"/>
      <c r="W15" s="501"/>
      <c r="X15" s="329"/>
      <c r="Y15" s="502"/>
      <c r="Z15" s="502"/>
      <c r="AA15" s="502"/>
      <c r="AB15" s="502"/>
      <c r="AC15" s="502"/>
    </row>
    <row r="16" spans="1:29">
      <c r="A16" s="338"/>
      <c r="B16" s="413" t="str">
        <f>SUMMARY!N3</f>
        <v>RICE BRAN</v>
      </c>
      <c r="C16" s="338" t="s">
        <v>346</v>
      </c>
      <c r="D16" s="336">
        <f>SUMMARY!N4</f>
        <v>31341.199999999997</v>
      </c>
      <c r="E16" s="336">
        <f>SUMMARY!N5</f>
        <v>0</v>
      </c>
      <c r="F16" s="336">
        <f>SUMMARY!N6</f>
        <v>9170</v>
      </c>
      <c r="G16" s="336">
        <f>SUMMARY!N7</f>
        <v>1.5999999999997954</v>
      </c>
      <c r="H16" s="336">
        <f>SUMMARY!N8</f>
        <v>22172.799999999996</v>
      </c>
      <c r="I16" s="336"/>
      <c r="J16" s="300"/>
      <c r="K16" s="336"/>
      <c r="L16" s="336"/>
      <c r="M16" s="339"/>
      <c r="N16" s="336"/>
      <c r="O16" s="413">
        <f t="shared" si="0"/>
        <v>-22172.799999999996</v>
      </c>
      <c r="P16" s="339"/>
      <c r="Q16" s="336"/>
      <c r="R16" s="499"/>
      <c r="S16" s="336"/>
      <c r="T16" s="500"/>
      <c r="U16" s="336"/>
      <c r="V16" s="329"/>
      <c r="W16" s="501"/>
      <c r="X16" s="329"/>
      <c r="Y16" s="502"/>
      <c r="Z16" s="502"/>
      <c r="AA16" s="502"/>
      <c r="AB16" s="502"/>
      <c r="AC16" s="502"/>
    </row>
    <row r="17" spans="1:29">
      <c r="A17" s="338"/>
      <c r="B17" s="413" t="str">
        <f>SUMMARY!O3</f>
        <v>EP 200</v>
      </c>
      <c r="C17" s="338" t="s">
        <v>346</v>
      </c>
      <c r="D17" s="336">
        <f>SUMMARY!O4</f>
        <v>0</v>
      </c>
      <c r="E17" s="336">
        <f>SUMMARY!O5</f>
        <v>0</v>
      </c>
      <c r="F17" s="336">
        <f>SUMMARY!O6</f>
        <v>0</v>
      </c>
      <c r="G17" s="336">
        <f>SUMMARY!O7</f>
        <v>0</v>
      </c>
      <c r="H17" s="336">
        <f>SUMMARY!O8</f>
        <v>0</v>
      </c>
      <c r="I17" s="336"/>
      <c r="J17" s="300"/>
      <c r="K17" s="336"/>
      <c r="L17" s="336"/>
      <c r="M17" s="339"/>
      <c r="N17" s="336"/>
      <c r="O17" s="413">
        <f t="shared" si="0"/>
        <v>0</v>
      </c>
      <c r="P17" s="339"/>
      <c r="Q17" s="336"/>
      <c r="R17" s="499"/>
      <c r="S17" s="336"/>
      <c r="T17" s="500"/>
      <c r="U17" s="336"/>
      <c r="V17" s="329"/>
      <c r="W17" s="501"/>
      <c r="X17" s="329"/>
      <c r="Y17" s="502"/>
      <c r="Z17" s="502"/>
      <c r="AA17" s="502"/>
      <c r="AB17" s="502"/>
      <c r="AC17" s="502"/>
    </row>
    <row r="18" spans="1:29">
      <c r="A18" s="338"/>
      <c r="B18" s="413" t="str">
        <f>SUMMARY!P3</f>
        <v>SOYTIDE</v>
      </c>
      <c r="C18" s="338" t="s">
        <v>346</v>
      </c>
      <c r="D18" s="336">
        <f>SUMMARY!P4</f>
        <v>0</v>
      </c>
      <c r="E18" s="336">
        <f>SUMMARY!P5</f>
        <v>0</v>
      </c>
      <c r="F18" s="336">
        <f>SUMMARY!P6</f>
        <v>0</v>
      </c>
      <c r="G18" s="336">
        <f>SUMMARY!P7</f>
        <v>0</v>
      </c>
      <c r="H18" s="336">
        <f>SUMMARY!P8</f>
        <v>0</v>
      </c>
      <c r="I18" s="336"/>
      <c r="J18" s="336"/>
      <c r="K18" s="336"/>
      <c r="L18" s="336"/>
      <c r="M18" s="339"/>
      <c r="N18" s="336"/>
      <c r="O18" s="413">
        <f t="shared" si="0"/>
        <v>0</v>
      </c>
      <c r="P18" s="339"/>
      <c r="Q18" s="336"/>
      <c r="R18" s="499"/>
      <c r="S18" s="336"/>
      <c r="T18" s="500"/>
      <c r="U18" s="336"/>
      <c r="V18" s="329"/>
      <c r="W18" s="501"/>
      <c r="X18" s="329"/>
      <c r="Y18" s="502"/>
      <c r="Z18" s="502"/>
      <c r="AA18" s="502"/>
      <c r="AB18" s="502"/>
      <c r="AC18" s="502"/>
    </row>
    <row r="19" spans="1:29">
      <c r="A19" s="338"/>
      <c r="B19" s="413" t="str">
        <f>SUMMARY!Q3</f>
        <v>DCP 18% (HARUMI)</v>
      </c>
      <c r="C19" s="338" t="s">
        <v>346</v>
      </c>
      <c r="D19" s="336">
        <f>SUMMARY!Q4</f>
        <v>0</v>
      </c>
      <c r="E19" s="336">
        <f>SUMMARY!Q5</f>
        <v>0</v>
      </c>
      <c r="F19" s="336">
        <f>SUMMARY!Q6</f>
        <v>0</v>
      </c>
      <c r="G19" s="336">
        <f>SUMMARY!Q7</f>
        <v>0</v>
      </c>
      <c r="H19" s="336">
        <f>SUMMARY!Q8</f>
        <v>0</v>
      </c>
      <c r="I19" s="336"/>
      <c r="J19" s="336"/>
      <c r="K19" s="336"/>
      <c r="L19" s="336"/>
      <c r="M19" s="339"/>
      <c r="N19" s="336"/>
      <c r="O19" s="413">
        <f t="shared" si="0"/>
        <v>0</v>
      </c>
      <c r="P19" s="339"/>
      <c r="Q19" s="336"/>
      <c r="R19" s="499"/>
      <c r="S19" s="336"/>
      <c r="T19" s="500"/>
      <c r="U19" s="336"/>
      <c r="V19" s="329"/>
      <c r="W19" s="501"/>
      <c r="X19" s="329"/>
      <c r="Y19" s="502"/>
      <c r="Z19" s="502"/>
      <c r="AA19" s="502"/>
      <c r="AB19" s="502"/>
      <c r="AC19" s="502"/>
    </row>
    <row r="20" spans="1:29">
      <c r="A20" s="338"/>
      <c r="B20" s="413">
        <f>SUMMARY!R3</f>
        <v>1</v>
      </c>
      <c r="C20" s="338" t="s">
        <v>346</v>
      </c>
      <c r="D20" s="336">
        <f>SUMMARY!R4</f>
        <v>0</v>
      </c>
      <c r="E20" s="336">
        <f>SUMMARY!R5</f>
        <v>0</v>
      </c>
      <c r="F20" s="336">
        <f>SUMMARY!R6</f>
        <v>0</v>
      </c>
      <c r="G20" s="336">
        <f>SUMMARY!R7</f>
        <v>0</v>
      </c>
      <c r="H20" s="336">
        <f>SUMMARY!R8</f>
        <v>0</v>
      </c>
      <c r="I20" s="336"/>
      <c r="J20" s="336"/>
      <c r="K20" s="336"/>
      <c r="L20" s="336"/>
      <c r="M20" s="339"/>
      <c r="N20" s="336"/>
      <c r="O20" s="413">
        <f t="shared" si="0"/>
        <v>0</v>
      </c>
      <c r="P20" s="339"/>
      <c r="Q20" s="336"/>
      <c r="R20" s="499"/>
      <c r="S20" s="336"/>
      <c r="T20" s="500"/>
      <c r="U20" s="336"/>
      <c r="V20" s="329"/>
      <c r="W20" s="501"/>
      <c r="X20" s="329"/>
      <c r="Y20" s="502"/>
      <c r="Z20" s="502"/>
      <c r="AA20" s="502"/>
      <c r="AB20" s="502"/>
      <c r="AC20" s="502"/>
    </row>
    <row r="21" spans="1:29">
      <c r="A21" s="338"/>
      <c r="B21" s="413">
        <f>SUMMARY!S3</f>
        <v>2</v>
      </c>
      <c r="C21" s="338" t="s">
        <v>346</v>
      </c>
      <c r="D21" s="336">
        <f>SUMMARY!S4</f>
        <v>0</v>
      </c>
      <c r="E21" s="336">
        <f>SUMMARY!S5</f>
        <v>0</v>
      </c>
      <c r="F21" s="336">
        <f>SUMMARY!S6</f>
        <v>0</v>
      </c>
      <c r="G21" s="336">
        <f>SUMMARY!S7</f>
        <v>0</v>
      </c>
      <c r="H21" s="336">
        <f>SUMMARY!S8</f>
        <v>0</v>
      </c>
      <c r="I21" s="336"/>
      <c r="J21" s="336"/>
      <c r="K21" s="336"/>
      <c r="L21" s="336"/>
      <c r="M21" s="339"/>
      <c r="N21" s="336"/>
      <c r="O21" s="413">
        <f t="shared" si="0"/>
        <v>0</v>
      </c>
      <c r="P21" s="339"/>
      <c r="Q21" s="336"/>
      <c r="R21" s="499"/>
      <c r="S21" s="336"/>
      <c r="T21" s="500"/>
      <c r="U21" s="336"/>
      <c r="V21" s="329"/>
      <c r="W21" s="501"/>
      <c r="X21" s="329"/>
      <c r="Y21" s="502"/>
      <c r="Z21" s="502"/>
      <c r="AA21" s="502"/>
      <c r="AB21" s="502"/>
      <c r="AC21" s="502"/>
    </row>
    <row r="22" spans="1:29">
      <c r="A22" s="338"/>
      <c r="B22" s="413">
        <f>SUMMARY!T3</f>
        <v>3</v>
      </c>
      <c r="C22" s="338" t="s">
        <v>346</v>
      </c>
      <c r="D22" s="336">
        <f>SUMMARY!T4</f>
        <v>0</v>
      </c>
      <c r="E22" s="336">
        <f>SUMMARY!T5</f>
        <v>0</v>
      </c>
      <c r="F22" s="336">
        <f>SUMMARY!T6</f>
        <v>0</v>
      </c>
      <c r="G22" s="336">
        <f>SUMMARY!T7</f>
        <v>0</v>
      </c>
      <c r="H22" s="336">
        <f>SUMMARY!T8</f>
        <v>0</v>
      </c>
      <c r="I22" s="336"/>
      <c r="J22" s="336"/>
      <c r="K22" s="336"/>
      <c r="L22" s="336"/>
      <c r="M22" s="339"/>
      <c r="N22" s="336"/>
      <c r="O22" s="413">
        <f t="shared" si="0"/>
        <v>0</v>
      </c>
      <c r="P22" s="339"/>
      <c r="Q22" s="336"/>
      <c r="R22" s="499"/>
      <c r="S22" s="336"/>
      <c r="T22" s="500"/>
      <c r="U22" s="336"/>
      <c r="V22" s="329"/>
      <c r="W22" s="501"/>
      <c r="X22" s="329"/>
      <c r="Y22" s="502"/>
      <c r="Z22" s="502"/>
      <c r="AA22" s="502"/>
      <c r="AB22" s="502"/>
      <c r="AC22" s="502"/>
    </row>
    <row r="23" spans="1:29">
      <c r="A23" s="338"/>
      <c r="B23" s="413"/>
      <c r="C23" s="338"/>
      <c r="D23" s="336"/>
      <c r="E23" s="336"/>
      <c r="F23" s="336"/>
      <c r="G23" s="336"/>
      <c r="H23" s="336"/>
      <c r="I23" s="336"/>
      <c r="J23" s="336"/>
      <c r="K23" s="336"/>
      <c r="L23" s="336"/>
      <c r="M23" s="339"/>
      <c r="N23" s="336"/>
      <c r="O23" s="413"/>
      <c r="P23" s="339"/>
      <c r="Q23" s="336"/>
      <c r="R23" s="499"/>
      <c r="S23" s="336"/>
      <c r="T23" s="500"/>
      <c r="U23" s="336"/>
      <c r="V23" s="329"/>
      <c r="W23" s="501"/>
      <c r="X23" s="329"/>
      <c r="Y23" s="502"/>
      <c r="Z23" s="502"/>
      <c r="AA23" s="502"/>
      <c r="AB23" s="502"/>
      <c r="AC23" s="502"/>
    </row>
    <row r="24" spans="1:29">
      <c r="A24" s="338"/>
      <c r="B24" s="310" t="s">
        <v>347</v>
      </c>
      <c r="C24" s="338"/>
      <c r="D24" s="336"/>
      <c r="E24" s="336"/>
      <c r="F24" s="336"/>
      <c r="G24" s="336"/>
      <c r="H24" s="336"/>
      <c r="I24" s="336"/>
      <c r="J24" s="336"/>
      <c r="K24" s="336"/>
      <c r="L24" s="336"/>
      <c r="M24" s="339"/>
      <c r="N24" s="336"/>
      <c r="O24" s="413"/>
      <c r="P24" s="339"/>
      <c r="Q24" s="336"/>
      <c r="R24" s="499"/>
      <c r="S24" s="336"/>
      <c r="T24" s="500"/>
      <c r="U24" s="336"/>
      <c r="V24" s="329"/>
      <c r="W24" s="501"/>
      <c r="X24" s="329"/>
      <c r="Y24" s="502"/>
      <c r="Z24" s="502"/>
      <c r="AA24" s="502"/>
      <c r="AB24" s="502"/>
      <c r="AC24" s="502"/>
    </row>
    <row r="25" spans="1:29">
      <c r="A25" s="338"/>
      <c r="B25" s="413" t="str">
        <f>SUMMARY!U3</f>
        <v>PREMIX 1101 (20KG)</v>
      </c>
      <c r="C25" s="338" t="s">
        <v>346</v>
      </c>
      <c r="D25" s="336">
        <f>SUMMARY!U4</f>
        <v>3540</v>
      </c>
      <c r="E25" s="336">
        <f>SUMMARY!U5</f>
        <v>0</v>
      </c>
      <c r="F25" s="336">
        <f>SUMMARY!U6</f>
        <v>320</v>
      </c>
      <c r="G25" s="336">
        <f>SUMMARY!U7</f>
        <v>320</v>
      </c>
      <c r="H25" s="336">
        <f>SUMMARY!U8</f>
        <v>3540</v>
      </c>
      <c r="I25" s="336"/>
      <c r="J25" s="336"/>
      <c r="K25" s="336"/>
      <c r="L25" s="336"/>
      <c r="M25" s="339"/>
      <c r="N25" s="336"/>
      <c r="O25" s="413">
        <f t="shared" si="0"/>
        <v>-3540</v>
      </c>
      <c r="P25" s="339"/>
      <c r="Q25" s="336"/>
      <c r="R25" s="499"/>
      <c r="S25" s="336"/>
      <c r="T25" s="500"/>
      <c r="U25" s="336"/>
      <c r="V25" s="329"/>
      <c r="W25" s="501"/>
      <c r="X25" s="329"/>
      <c r="Y25" s="502"/>
      <c r="Z25" s="502"/>
      <c r="AA25" s="502"/>
      <c r="AB25" s="502"/>
      <c r="AC25" s="502"/>
    </row>
    <row r="26" spans="1:29">
      <c r="A26" s="338"/>
      <c r="B26" s="413" t="str">
        <f>SUMMARY!V3</f>
        <v>PREMIX 1102 (20KG)</v>
      </c>
      <c r="C26" s="338" t="s">
        <v>346</v>
      </c>
      <c r="D26" s="336">
        <f>SUMMARY!V4</f>
        <v>1960</v>
      </c>
      <c r="E26" s="336">
        <f>SUMMARY!V5</f>
        <v>2000</v>
      </c>
      <c r="F26" s="336">
        <f>SUMMARY!V6</f>
        <v>0</v>
      </c>
      <c r="G26" s="336">
        <f>SUMMARY!V7</f>
        <v>0</v>
      </c>
      <c r="H26" s="336">
        <f>SUMMARY!V8</f>
        <v>3960</v>
      </c>
      <c r="I26" s="336"/>
      <c r="J26" s="336"/>
      <c r="K26" s="336"/>
      <c r="L26" s="336"/>
      <c r="M26" s="339"/>
      <c r="N26" s="336"/>
      <c r="O26" s="413">
        <f t="shared" si="0"/>
        <v>-3960</v>
      </c>
      <c r="P26" s="339"/>
      <c r="Q26" s="336"/>
      <c r="R26" s="499"/>
      <c r="S26" s="336"/>
      <c r="T26" s="500"/>
      <c r="U26" s="336"/>
      <c r="V26" s="329"/>
      <c r="W26" s="501"/>
      <c r="X26" s="329"/>
      <c r="Y26" s="502"/>
      <c r="Z26" s="502"/>
      <c r="AA26" s="502"/>
      <c r="AB26" s="502"/>
      <c r="AC26" s="502"/>
    </row>
    <row r="27" spans="1:29">
      <c r="A27" s="338"/>
      <c r="B27" s="413" t="str">
        <f>SUMMARY!W3</f>
        <v>PREMIX 1103 (20KG)</v>
      </c>
      <c r="C27" s="338" t="s">
        <v>346</v>
      </c>
      <c r="D27" s="336">
        <f>SUMMARY!W4</f>
        <v>2960</v>
      </c>
      <c r="E27" s="336">
        <f>SUMMARY!W5</f>
        <v>8000</v>
      </c>
      <c r="F27" s="336">
        <f>SUMMARY!W6</f>
        <v>7880</v>
      </c>
      <c r="G27" s="336">
        <f>SUMMARY!W7</f>
        <v>160</v>
      </c>
      <c r="H27" s="336">
        <f>SUMMARY!W8</f>
        <v>3240</v>
      </c>
      <c r="I27" s="336"/>
      <c r="J27" s="336"/>
      <c r="K27" s="336"/>
      <c r="L27" s="336"/>
      <c r="M27" s="339"/>
      <c r="N27" s="336"/>
      <c r="O27" s="413">
        <f t="shared" si="0"/>
        <v>-3240</v>
      </c>
      <c r="P27" s="339"/>
      <c r="Q27" s="336"/>
      <c r="R27" s="499"/>
      <c r="S27" s="336"/>
      <c r="T27" s="500"/>
      <c r="U27" s="336"/>
      <c r="V27" s="329"/>
      <c r="W27" s="501"/>
      <c r="X27" s="329"/>
      <c r="Y27" s="502"/>
      <c r="Z27" s="502"/>
      <c r="AA27" s="502"/>
      <c r="AB27" s="502"/>
      <c r="AC27" s="502"/>
    </row>
    <row r="28" spans="1:29">
      <c r="A28" s="338"/>
      <c r="B28" s="413" t="str">
        <f>SUMMARY!X3</f>
        <v>PREMIX 311 (20KG)</v>
      </c>
      <c r="C28" s="338" t="s">
        <v>346</v>
      </c>
      <c r="D28" s="336">
        <f>SUMMARY!X4</f>
        <v>0</v>
      </c>
      <c r="E28" s="336">
        <f>SUMMARY!X5</f>
        <v>0</v>
      </c>
      <c r="F28" s="336">
        <f>SUMMARY!X6</f>
        <v>0</v>
      </c>
      <c r="G28" s="336">
        <f>SUMMARY!X7</f>
        <v>0</v>
      </c>
      <c r="H28" s="336">
        <f>SUMMARY!X8</f>
        <v>0</v>
      </c>
      <c r="I28" s="336"/>
      <c r="J28" s="336"/>
      <c r="K28" s="336"/>
      <c r="L28" s="336"/>
      <c r="M28" s="339"/>
      <c r="N28" s="336"/>
      <c r="O28" s="413">
        <f t="shared" si="0"/>
        <v>0</v>
      </c>
      <c r="P28" s="339"/>
      <c r="Q28" s="336"/>
      <c r="R28" s="499"/>
      <c r="S28" s="336"/>
      <c r="T28" s="500"/>
      <c r="U28" s="336"/>
      <c r="V28" s="329"/>
      <c r="W28" s="501"/>
      <c r="X28" s="329"/>
      <c r="Y28" s="502"/>
      <c r="Z28" s="502"/>
      <c r="AA28" s="502"/>
      <c r="AB28" s="502"/>
      <c r="AC28" s="502"/>
    </row>
    <row r="29" spans="1:29">
      <c r="A29" s="338"/>
      <c r="B29" s="413" t="str">
        <f>SUMMARY!Y3</f>
        <v>PREMIX 312 (20KG)</v>
      </c>
      <c r="C29" s="338" t="s">
        <v>346</v>
      </c>
      <c r="D29" s="336">
        <f>SUMMARY!Y4</f>
        <v>0</v>
      </c>
      <c r="E29" s="336">
        <f>SUMMARY!Y5</f>
        <v>0</v>
      </c>
      <c r="F29" s="336">
        <f>SUMMARY!Y6</f>
        <v>0</v>
      </c>
      <c r="G29" s="336">
        <f>SUMMARY!Y7</f>
        <v>0</v>
      </c>
      <c r="H29" s="336">
        <f>SUMMARY!Y8</f>
        <v>0</v>
      </c>
      <c r="I29" s="336"/>
      <c r="J29" s="336"/>
      <c r="K29" s="336"/>
      <c r="L29" s="336"/>
      <c r="M29" s="339"/>
      <c r="N29" s="336"/>
      <c r="O29" s="413">
        <f t="shared" si="0"/>
        <v>0</v>
      </c>
      <c r="P29" s="339"/>
      <c r="Q29" s="336"/>
      <c r="R29" s="499"/>
      <c r="S29" s="336"/>
      <c r="T29" s="500"/>
      <c r="U29" s="336"/>
      <c r="V29" s="329"/>
      <c r="W29" s="501"/>
      <c r="X29" s="329"/>
      <c r="Y29" s="502"/>
      <c r="Z29" s="502"/>
      <c r="AA29" s="502"/>
      <c r="AB29" s="502"/>
      <c r="AC29" s="502"/>
    </row>
    <row r="30" spans="1:29">
      <c r="A30" s="338"/>
      <c r="B30" s="413">
        <f>SUMMARY!Z3</f>
        <v>1</v>
      </c>
      <c r="C30" s="338" t="s">
        <v>346</v>
      </c>
      <c r="D30" s="336">
        <f>SUMMARY!Z4</f>
        <v>0</v>
      </c>
      <c r="E30" s="336">
        <f>SUMMARY!Z5</f>
        <v>0</v>
      </c>
      <c r="F30" s="336">
        <f>SUMMARY!Z6</f>
        <v>0</v>
      </c>
      <c r="G30" s="336">
        <f>SUMMARY!Z7</f>
        <v>0</v>
      </c>
      <c r="H30" s="336">
        <f>SUMMARY!Z8</f>
        <v>0</v>
      </c>
      <c r="I30" s="336"/>
      <c r="J30" s="336"/>
      <c r="K30" s="336"/>
      <c r="L30" s="336"/>
      <c r="M30" s="339"/>
      <c r="N30" s="336"/>
      <c r="O30" s="413">
        <f t="shared" si="0"/>
        <v>0</v>
      </c>
      <c r="P30" s="339"/>
      <c r="Q30" s="336"/>
      <c r="R30" s="499"/>
      <c r="S30" s="336"/>
      <c r="T30" s="500"/>
      <c r="U30" s="336"/>
      <c r="V30" s="329"/>
      <c r="W30" s="501"/>
      <c r="X30" s="329"/>
      <c r="Y30" s="502"/>
      <c r="Z30" s="502"/>
      <c r="AA30" s="502"/>
      <c r="AB30" s="502"/>
      <c r="AC30" s="502"/>
    </row>
    <row r="31" spans="1:29">
      <c r="A31" s="338"/>
      <c r="B31" s="413" t="str">
        <f>SUMMARY!AA3</f>
        <v>PREMIX 8100 (20KG)</v>
      </c>
      <c r="C31" s="338" t="s">
        <v>346</v>
      </c>
      <c r="D31" s="336">
        <f>SUMMARY!AA4</f>
        <v>3980</v>
      </c>
      <c r="E31" s="336">
        <f>SUMMARY!AA5</f>
        <v>4500</v>
      </c>
      <c r="F31" s="336">
        <f>SUMMARY!AA6</f>
        <v>2520</v>
      </c>
      <c r="G31" s="336">
        <f>SUMMARY!AA7</f>
        <v>-520</v>
      </c>
      <c r="H31" s="336">
        <f>SUMMARY!AA8</f>
        <v>5440</v>
      </c>
      <c r="I31" s="336"/>
      <c r="J31" s="336"/>
      <c r="K31" s="336"/>
      <c r="L31" s="336"/>
      <c r="M31" s="339"/>
      <c r="N31" s="336"/>
      <c r="O31" s="413">
        <f t="shared" si="0"/>
        <v>-5440</v>
      </c>
      <c r="P31" s="339"/>
      <c r="Q31" s="336"/>
      <c r="R31" s="499"/>
      <c r="S31" s="336"/>
      <c r="T31" s="500"/>
      <c r="U31" s="336"/>
      <c r="V31" s="329"/>
      <c r="W31" s="501"/>
      <c r="X31" s="329"/>
      <c r="Y31" s="502"/>
      <c r="Z31" s="502"/>
      <c r="AA31" s="502"/>
      <c r="AB31" s="502"/>
      <c r="AC31" s="502"/>
    </row>
    <row r="32" spans="1:29">
      <c r="A32" s="338"/>
      <c r="B32" s="413" t="str">
        <f>SUMMARY!AB3</f>
        <v>PREMIX 8101 (20KG)</v>
      </c>
      <c r="C32" s="338" t="s">
        <v>346</v>
      </c>
      <c r="D32" s="336">
        <f>SUMMARY!AB4</f>
        <v>2960</v>
      </c>
      <c r="E32" s="336">
        <f>SUMMARY!AB5</f>
        <v>2140</v>
      </c>
      <c r="F32" s="336">
        <f>SUMMARY!AB6</f>
        <v>0</v>
      </c>
      <c r="G32" s="336">
        <f>SUMMARY!AB7</f>
        <v>0</v>
      </c>
      <c r="H32" s="336">
        <f>SUMMARY!AB8</f>
        <v>5100</v>
      </c>
      <c r="I32" s="336"/>
      <c r="J32" s="336"/>
      <c r="K32" s="336"/>
      <c r="L32" s="336"/>
      <c r="M32" s="339"/>
      <c r="N32" s="336"/>
      <c r="O32" s="413">
        <f t="shared" si="0"/>
        <v>-5100</v>
      </c>
      <c r="P32" s="339"/>
      <c r="Q32" s="336"/>
      <c r="R32" s="499"/>
      <c r="S32" s="336"/>
      <c r="T32" s="500"/>
      <c r="U32" s="336"/>
      <c r="V32" s="329"/>
      <c r="W32" s="501"/>
      <c r="X32" s="329"/>
      <c r="Y32" s="502"/>
      <c r="Z32" s="502"/>
      <c r="AA32" s="502"/>
      <c r="AB32" s="502"/>
      <c r="AC32" s="502"/>
    </row>
    <row r="33" spans="1:29">
      <c r="A33" s="338"/>
      <c r="B33" s="413" t="str">
        <f>SUMMARY!AC3</f>
        <v>PREMIX 8102 (20KG)</v>
      </c>
      <c r="C33" s="338" t="s">
        <v>346</v>
      </c>
      <c r="D33" s="336">
        <f>SUMMARY!AC4</f>
        <v>2040</v>
      </c>
      <c r="E33" s="336">
        <f>SUMMARY!AC5</f>
        <v>24520</v>
      </c>
      <c r="F33" s="336">
        <f>SUMMARY!AC6</f>
        <v>12320</v>
      </c>
      <c r="G33" s="336">
        <f>SUMMARY!AC7</f>
        <v>2000</v>
      </c>
      <c r="H33" s="336">
        <f>SUMMARY!AC8</f>
        <v>16240</v>
      </c>
      <c r="I33" s="336"/>
      <c r="J33" s="336"/>
      <c r="K33" s="336"/>
      <c r="L33" s="336"/>
      <c r="M33" s="339"/>
      <c r="N33" s="336"/>
      <c r="O33" s="413">
        <f t="shared" si="0"/>
        <v>-16240</v>
      </c>
      <c r="P33" s="339"/>
      <c r="Q33" s="336"/>
      <c r="R33" s="499"/>
      <c r="S33" s="336"/>
      <c r="T33" s="500"/>
      <c r="U33" s="336"/>
      <c r="V33" s="329"/>
      <c r="W33" s="501"/>
      <c r="X33" s="329"/>
      <c r="Y33" s="502"/>
      <c r="Z33" s="502"/>
      <c r="AA33" s="502"/>
      <c r="AB33" s="502"/>
      <c r="AC33" s="502"/>
    </row>
    <row r="34" spans="1:29">
      <c r="A34" s="338"/>
      <c r="B34" s="413" t="str">
        <f>SUMMARY!AD3</f>
        <v>PREMIX 8103 (20KG)</v>
      </c>
      <c r="C34" s="338" t="s">
        <v>346</v>
      </c>
      <c r="D34" s="336">
        <f>SUMMARY!AD4</f>
        <v>7520</v>
      </c>
      <c r="E34" s="336">
        <f>SUMMARY!AD5</f>
        <v>12000</v>
      </c>
      <c r="F34" s="336">
        <f>SUMMARY!AD6</f>
        <v>5240</v>
      </c>
      <c r="G34" s="336">
        <f>SUMMARY!AD7</f>
        <v>-1160</v>
      </c>
      <c r="H34" s="336">
        <f>SUMMARY!AD8</f>
        <v>13120</v>
      </c>
      <c r="I34" s="336"/>
      <c r="J34" s="336"/>
      <c r="K34" s="336"/>
      <c r="L34" s="336"/>
      <c r="M34" s="339"/>
      <c r="N34" s="336"/>
      <c r="O34" s="413">
        <f t="shared" si="0"/>
        <v>-13120</v>
      </c>
      <c r="P34" s="339"/>
      <c r="Q34" s="336"/>
      <c r="R34" s="499"/>
      <c r="S34" s="336"/>
      <c r="T34" s="500"/>
      <c r="U34" s="336"/>
      <c r="V34" s="329"/>
      <c r="W34" s="501"/>
      <c r="X34" s="329"/>
      <c r="Y34" s="502"/>
      <c r="Z34" s="502"/>
      <c r="AA34" s="502"/>
      <c r="AB34" s="502"/>
      <c r="AC34" s="502"/>
    </row>
    <row r="35" spans="1:29">
      <c r="A35" s="338"/>
      <c r="B35" s="413" t="str">
        <f>SUMMARY!AE3</f>
        <v>PREMIX 8108 (20KG)</v>
      </c>
      <c r="C35" s="338" t="s">
        <v>346</v>
      </c>
      <c r="D35" s="336">
        <f>SUMMARY!AE4</f>
        <v>6800</v>
      </c>
      <c r="E35" s="336">
        <f>SUMMARY!AE5</f>
        <v>0</v>
      </c>
      <c r="F35" s="336">
        <f>SUMMARY!AE6</f>
        <v>0</v>
      </c>
      <c r="G35" s="336">
        <f>SUMMARY!AE7</f>
        <v>0</v>
      </c>
      <c r="H35" s="336">
        <f>SUMMARY!AE8</f>
        <v>6800</v>
      </c>
      <c r="I35" s="336"/>
      <c r="J35" s="336"/>
      <c r="K35" s="336"/>
      <c r="L35" s="336"/>
      <c r="M35" s="339"/>
      <c r="N35" s="336"/>
      <c r="O35" s="413">
        <f t="shared" si="0"/>
        <v>-6800</v>
      </c>
      <c r="P35" s="339"/>
      <c r="Q35" s="336"/>
      <c r="R35" s="499"/>
      <c r="S35" s="336"/>
      <c r="T35" s="500"/>
      <c r="U35" s="336"/>
      <c r="V35" s="329"/>
      <c r="W35" s="501"/>
      <c r="X35" s="329"/>
      <c r="Y35" s="502"/>
      <c r="Z35" s="502"/>
      <c r="AA35" s="502"/>
      <c r="AB35" s="502"/>
      <c r="AC35" s="502"/>
    </row>
    <row r="36" spans="1:29">
      <c r="A36" s="338"/>
      <c r="B36" s="413" t="str">
        <f>SUMMARY!AF3</f>
        <v>PREMIX 8109 (20KG)</v>
      </c>
      <c r="C36" s="338" t="s">
        <v>346</v>
      </c>
      <c r="D36" s="336">
        <f>SUMMARY!AF4</f>
        <v>4400</v>
      </c>
      <c r="E36" s="336">
        <f>SUMMARY!AF5</f>
        <v>1000</v>
      </c>
      <c r="F36" s="336">
        <f>SUMMARY!AF6</f>
        <v>0</v>
      </c>
      <c r="G36" s="336">
        <f>SUMMARY!AF7</f>
        <v>0</v>
      </c>
      <c r="H36" s="336">
        <f>SUMMARY!AF8</f>
        <v>5400</v>
      </c>
      <c r="I36" s="336"/>
      <c r="J36" s="336"/>
      <c r="K36" s="336"/>
      <c r="L36" s="336"/>
      <c r="M36" s="339"/>
      <c r="N36" s="336"/>
      <c r="O36" s="413">
        <f t="shared" si="0"/>
        <v>-5400</v>
      </c>
      <c r="P36" s="339"/>
      <c r="Q36" s="336"/>
      <c r="R36" s="499"/>
      <c r="S36" s="336"/>
      <c r="T36" s="500"/>
      <c r="U36" s="336"/>
      <c r="V36" s="329"/>
      <c r="W36" s="501"/>
      <c r="X36" s="329"/>
      <c r="Y36" s="502"/>
      <c r="Z36" s="502"/>
      <c r="AA36" s="502"/>
      <c r="AB36" s="502"/>
      <c r="AC36" s="502"/>
    </row>
    <row r="37" spans="1:29">
      <c r="A37" s="338"/>
      <c r="B37" s="413" t="str">
        <f>SUMMARY!AG3</f>
        <v>YENMIX 121 (20KG)</v>
      </c>
      <c r="C37" s="338" t="s">
        <v>346</v>
      </c>
      <c r="D37" s="336">
        <f>SUMMARY!AG4</f>
        <v>0</v>
      </c>
      <c r="E37" s="336">
        <f>SUMMARY!AG5</f>
        <v>2260</v>
      </c>
      <c r="F37" s="336">
        <f>SUMMARY!AG6</f>
        <v>0</v>
      </c>
      <c r="G37" s="336">
        <f>SUMMARY!AG7</f>
        <v>0</v>
      </c>
      <c r="H37" s="336">
        <f>SUMMARY!AG8</f>
        <v>2260</v>
      </c>
      <c r="I37" s="336"/>
      <c r="J37" s="336"/>
      <c r="K37" s="336"/>
      <c r="L37" s="336"/>
      <c r="M37" s="339"/>
      <c r="N37" s="336"/>
      <c r="O37" s="413">
        <f t="shared" si="0"/>
        <v>-2260</v>
      </c>
      <c r="P37" s="339"/>
      <c r="Q37" s="336"/>
      <c r="R37" s="499"/>
      <c r="S37" s="336"/>
      <c r="T37" s="500"/>
      <c r="U37" s="336"/>
      <c r="V37" s="329"/>
      <c r="W37" s="501"/>
      <c r="X37" s="329"/>
      <c r="Y37" s="502"/>
      <c r="Z37" s="502"/>
      <c r="AA37" s="502"/>
      <c r="AB37" s="502"/>
      <c r="AC37" s="502"/>
    </row>
    <row r="38" spans="1:29">
      <c r="A38" s="338"/>
      <c r="B38" s="413" t="str">
        <f>SUMMARY!AH3</f>
        <v>YENMIX 122 (19.50KG)</v>
      </c>
      <c r="C38" s="338" t="s">
        <v>346</v>
      </c>
      <c r="D38" s="336">
        <f>SUMMARY!AH4</f>
        <v>0</v>
      </c>
      <c r="E38" s="336">
        <f>SUMMARY!AH5</f>
        <v>0</v>
      </c>
      <c r="F38" s="336">
        <f>SUMMARY!AH6</f>
        <v>0</v>
      </c>
      <c r="G38" s="336">
        <f>SUMMARY!AH7</f>
        <v>0</v>
      </c>
      <c r="H38" s="336">
        <f>SUMMARY!AH8</f>
        <v>0</v>
      </c>
      <c r="I38" s="336"/>
      <c r="J38" s="336"/>
      <c r="K38" s="336"/>
      <c r="L38" s="336"/>
      <c r="M38" s="339"/>
      <c r="N38" s="336"/>
      <c r="O38" s="413">
        <f t="shared" si="0"/>
        <v>0</v>
      </c>
      <c r="P38" s="339"/>
      <c r="Q38" s="336"/>
      <c r="R38" s="499"/>
      <c r="S38" s="336"/>
      <c r="T38" s="500"/>
      <c r="U38" s="336"/>
      <c r="V38" s="329"/>
      <c r="W38" s="501"/>
      <c r="X38" s="329"/>
      <c r="Y38" s="502"/>
      <c r="Z38" s="502"/>
      <c r="AA38" s="502"/>
      <c r="AB38" s="502"/>
      <c r="AC38" s="502"/>
    </row>
    <row r="39" spans="1:29">
      <c r="A39" s="338"/>
      <c r="B39" s="413" t="str">
        <f>SUMMARY!AI3</f>
        <v>YENMIX 123 (18.90KG)</v>
      </c>
      <c r="C39" s="338" t="s">
        <v>346</v>
      </c>
      <c r="D39" s="336">
        <f>SUMMARY!AI4</f>
        <v>0</v>
      </c>
      <c r="E39" s="336">
        <f>SUMMARY!AI5</f>
        <v>0</v>
      </c>
      <c r="F39" s="336">
        <f>SUMMARY!AI6</f>
        <v>0</v>
      </c>
      <c r="G39" s="336">
        <f>SUMMARY!AI7</f>
        <v>0</v>
      </c>
      <c r="H39" s="336">
        <f>SUMMARY!AI8</f>
        <v>0</v>
      </c>
      <c r="I39" s="336"/>
      <c r="J39" s="336"/>
      <c r="K39" s="336"/>
      <c r="L39" s="336"/>
      <c r="M39" s="339"/>
      <c r="N39" s="336"/>
      <c r="O39" s="413">
        <f t="shared" si="0"/>
        <v>0</v>
      </c>
      <c r="P39" s="339"/>
      <c r="Q39" s="336"/>
      <c r="R39" s="499"/>
      <c r="S39" s="336"/>
      <c r="T39" s="500"/>
      <c r="U39" s="336"/>
      <c r="V39" s="329"/>
      <c r="W39" s="501"/>
      <c r="X39" s="329"/>
      <c r="Y39" s="502"/>
      <c r="Z39" s="502"/>
      <c r="AA39" s="502"/>
      <c r="AB39" s="502"/>
      <c r="AC39" s="502"/>
    </row>
    <row r="40" spans="1:29">
      <c r="A40" s="338"/>
      <c r="B40" s="413" t="str">
        <f>SUMMARY!AJ3</f>
        <v>YENMIX 122 (20.50KG)</v>
      </c>
      <c r="C40" s="338" t="s">
        <v>346</v>
      </c>
      <c r="D40" s="336">
        <f>SUMMARY!AJ4</f>
        <v>0</v>
      </c>
      <c r="E40" s="336">
        <f>SUMMARY!AJ5</f>
        <v>0</v>
      </c>
      <c r="F40" s="336">
        <f>SUMMARY!AJ6</f>
        <v>0</v>
      </c>
      <c r="G40" s="336">
        <f>SUMMARY!AJ7</f>
        <v>0</v>
      </c>
      <c r="H40" s="336">
        <f>SUMMARY!AJ8</f>
        <v>0</v>
      </c>
      <c r="I40" s="336"/>
      <c r="J40" s="336"/>
      <c r="K40" s="336"/>
      <c r="L40" s="336"/>
      <c r="M40" s="339"/>
      <c r="N40" s="336"/>
      <c r="O40" s="413">
        <f t="shared" si="0"/>
        <v>0</v>
      </c>
      <c r="P40" s="339"/>
      <c r="Q40" s="336"/>
      <c r="R40" s="499"/>
      <c r="S40" s="336"/>
      <c r="T40" s="500"/>
      <c r="U40" s="336"/>
      <c r="V40" s="329"/>
      <c r="W40" s="501"/>
      <c r="X40" s="329"/>
      <c r="Y40" s="502"/>
      <c r="Z40" s="502"/>
      <c r="AA40" s="502"/>
      <c r="AB40" s="502"/>
      <c r="AC40" s="502"/>
    </row>
    <row r="41" spans="1:29">
      <c r="A41" s="338"/>
      <c r="B41" s="413" t="str">
        <f>SUMMARY!AK3</f>
        <v>YENMIX 123 (20.00KG)</v>
      </c>
      <c r="C41" s="338" t="s">
        <v>346</v>
      </c>
      <c r="D41" s="336">
        <f>SUMMARY!AK4</f>
        <v>0</v>
      </c>
      <c r="E41" s="336">
        <f>SUMMARY!AK5</f>
        <v>0</v>
      </c>
      <c r="F41" s="336">
        <f>SUMMARY!AK6</f>
        <v>0</v>
      </c>
      <c r="G41" s="336">
        <f>SUMMARY!AK7</f>
        <v>0</v>
      </c>
      <c r="H41" s="336">
        <f>SUMMARY!AK8</f>
        <v>0</v>
      </c>
      <c r="I41" s="336"/>
      <c r="J41" s="336"/>
      <c r="K41" s="336"/>
      <c r="L41" s="336"/>
      <c r="M41" s="339"/>
      <c r="N41" s="336"/>
      <c r="O41" s="413">
        <f t="shared" si="0"/>
        <v>0</v>
      </c>
      <c r="P41" s="339"/>
      <c r="Q41" s="336"/>
      <c r="R41" s="499"/>
      <c r="S41" s="336"/>
      <c r="T41" s="500"/>
      <c r="U41" s="336"/>
      <c r="V41" s="329"/>
      <c r="W41" s="501"/>
      <c r="X41" s="329"/>
      <c r="Y41" s="502"/>
      <c r="Z41" s="502"/>
      <c r="AA41" s="502"/>
      <c r="AB41" s="502"/>
      <c r="AC41" s="502"/>
    </row>
    <row r="42" spans="1:29">
      <c r="A42" s="338"/>
      <c r="B42" s="413">
        <f>SUMMARY!AL3</f>
        <v>1</v>
      </c>
      <c r="C42" s="338" t="s">
        <v>346</v>
      </c>
      <c r="D42" s="336">
        <f>SUMMARY!AL4</f>
        <v>0</v>
      </c>
      <c r="E42" s="336">
        <f>SUMMARY!AL5</f>
        <v>0</v>
      </c>
      <c r="F42" s="336">
        <f>SUMMARY!AL6</f>
        <v>0</v>
      </c>
      <c r="G42" s="336">
        <f>SUMMARY!AL7</f>
        <v>0</v>
      </c>
      <c r="H42" s="336">
        <f>SUMMARY!AL8</f>
        <v>0</v>
      </c>
      <c r="I42" s="336"/>
      <c r="J42" s="336"/>
      <c r="K42" s="336"/>
      <c r="L42" s="336"/>
      <c r="M42" s="339"/>
      <c r="N42" s="336"/>
      <c r="O42" s="413">
        <f t="shared" si="0"/>
        <v>0</v>
      </c>
      <c r="P42" s="339"/>
      <c r="Q42" s="336"/>
      <c r="R42" s="336"/>
      <c r="S42" s="336"/>
      <c r="T42" s="336"/>
      <c r="U42" s="336"/>
      <c r="V42" s="329"/>
      <c r="W42" s="501"/>
      <c r="X42" s="329"/>
      <c r="Y42" s="502"/>
      <c r="Z42" s="502"/>
      <c r="AA42" s="502"/>
      <c r="AB42" s="502"/>
      <c r="AC42" s="502"/>
    </row>
    <row r="43" spans="1:29">
      <c r="A43" s="338"/>
      <c r="B43" s="413">
        <f>SUMMARY!AM3</f>
        <v>2</v>
      </c>
      <c r="C43" s="338" t="s">
        <v>346</v>
      </c>
      <c r="D43" s="336">
        <f>SUMMARY!AM4</f>
        <v>0</v>
      </c>
      <c r="E43" s="336">
        <f>SUMMARY!AM5</f>
        <v>0</v>
      </c>
      <c r="F43" s="336">
        <f>SUMMARY!AM6</f>
        <v>0</v>
      </c>
      <c r="G43" s="336">
        <f>SUMMARY!AM7</f>
        <v>0</v>
      </c>
      <c r="H43" s="336">
        <f>SUMMARY!AM8</f>
        <v>0</v>
      </c>
      <c r="I43" s="336"/>
      <c r="J43" s="336"/>
      <c r="K43" s="336"/>
      <c r="L43" s="336"/>
      <c r="M43" s="339"/>
      <c r="N43" s="336"/>
      <c r="O43" s="413">
        <f t="shared" si="0"/>
        <v>0</v>
      </c>
      <c r="P43" s="339"/>
      <c r="Q43" s="336"/>
      <c r="R43" s="336"/>
      <c r="S43" s="336"/>
      <c r="T43" s="336"/>
      <c r="U43" s="336"/>
      <c r="V43" s="329"/>
      <c r="W43" s="501"/>
      <c r="X43" s="329"/>
      <c r="Y43" s="502"/>
      <c r="Z43" s="502"/>
      <c r="AA43" s="502"/>
      <c r="AB43" s="502"/>
      <c r="AC43" s="502"/>
    </row>
    <row r="44" spans="1:29">
      <c r="A44" s="338"/>
      <c r="B44" s="413">
        <f>SUMMARY!AN3</f>
        <v>3</v>
      </c>
      <c r="C44" s="338" t="s">
        <v>346</v>
      </c>
      <c r="D44" s="336">
        <f>SUMMARY!AN4</f>
        <v>0</v>
      </c>
      <c r="E44" s="336">
        <f>SUMMARY!AN5</f>
        <v>0</v>
      </c>
      <c r="F44" s="336">
        <f>SUMMARY!AN6</f>
        <v>0</v>
      </c>
      <c r="G44" s="336">
        <f>SUMMARY!AN7</f>
        <v>0</v>
      </c>
      <c r="H44" s="336">
        <f>SUMMARY!AN8</f>
        <v>0</v>
      </c>
      <c r="I44" s="336"/>
      <c r="J44" s="336"/>
      <c r="K44" s="336"/>
      <c r="L44" s="336"/>
      <c r="M44" s="339"/>
      <c r="N44" s="336"/>
      <c r="O44" s="413">
        <f t="shared" si="0"/>
        <v>0</v>
      </c>
      <c r="P44" s="339"/>
      <c r="Q44" s="336"/>
      <c r="R44" s="336"/>
      <c r="S44" s="336"/>
      <c r="T44" s="336"/>
      <c r="U44" s="336"/>
      <c r="V44" s="329"/>
      <c r="W44" s="501"/>
      <c r="X44" s="329"/>
      <c r="Y44" s="502"/>
      <c r="Z44" s="502"/>
      <c r="AA44" s="502"/>
      <c r="AB44" s="502"/>
      <c r="AC44" s="502"/>
    </row>
    <row r="45" spans="1:29">
      <c r="A45" s="338"/>
      <c r="B45" s="413" t="str">
        <f>SUMMARY!AO3</f>
        <v>TOXISORB PREMIUM</v>
      </c>
      <c r="C45" s="338" t="s">
        <v>346</v>
      </c>
      <c r="D45" s="336">
        <f>SUMMARY!AO4</f>
        <v>1531</v>
      </c>
      <c r="E45" s="336">
        <f>SUMMARY!AO5</f>
        <v>1000</v>
      </c>
      <c r="F45" s="336">
        <f>SUMMARY!AO6</f>
        <v>576</v>
      </c>
      <c r="G45" s="336">
        <f>SUMMARY!AO7</f>
        <v>0</v>
      </c>
      <c r="H45" s="336">
        <f>SUMMARY!AO8</f>
        <v>1969</v>
      </c>
      <c r="I45" s="336"/>
      <c r="J45" s="336"/>
      <c r="K45" s="336"/>
      <c r="L45" s="336"/>
      <c r="M45" s="339"/>
      <c r="N45" s="336"/>
      <c r="O45" s="413">
        <f t="shared" si="0"/>
        <v>-1969</v>
      </c>
      <c r="P45" s="339"/>
      <c r="Q45" s="336"/>
      <c r="R45" s="499"/>
      <c r="S45" s="336"/>
      <c r="T45" s="500"/>
      <c r="U45" s="336"/>
      <c r="V45" s="329"/>
      <c r="W45" s="501"/>
      <c r="X45" s="329"/>
      <c r="Y45" s="502"/>
      <c r="Z45" s="502"/>
      <c r="AA45" s="502"/>
      <c r="AB45" s="502"/>
      <c r="AC45" s="502"/>
    </row>
    <row r="46" spans="1:29">
      <c r="A46" s="338"/>
      <c r="B46" s="413" t="str">
        <f>SUMMARY!AP3</f>
        <v>SODIUM HUMATE 3.8% (HARUMI)</v>
      </c>
      <c r="C46" s="338" t="s">
        <v>346</v>
      </c>
      <c r="D46" s="336">
        <f>SUMMARY!AP4</f>
        <v>0</v>
      </c>
      <c r="E46" s="336">
        <f>SUMMARY!AP5</f>
        <v>2994</v>
      </c>
      <c r="F46" s="336">
        <f>SUMMARY!AP6</f>
        <v>3012</v>
      </c>
      <c r="G46" s="336">
        <f>SUMMARY!AP7</f>
        <v>0</v>
      </c>
      <c r="H46" s="336">
        <f>SUMMARY!AP8</f>
        <v>0</v>
      </c>
      <c r="I46" s="336"/>
      <c r="J46" s="336"/>
      <c r="K46" s="336"/>
      <c r="L46" s="336"/>
      <c r="M46" s="339"/>
      <c r="N46" s="336"/>
      <c r="O46" s="413">
        <f t="shared" si="0"/>
        <v>0</v>
      </c>
      <c r="P46" s="339"/>
      <c r="Q46" s="336"/>
      <c r="R46" s="499"/>
      <c r="S46" s="336"/>
      <c r="T46" s="500"/>
      <c r="U46" s="336"/>
      <c r="V46" s="329"/>
      <c r="W46" s="501"/>
      <c r="X46" s="329"/>
      <c r="Y46" s="502"/>
      <c r="Z46" s="502"/>
      <c r="AA46" s="502"/>
      <c r="AB46" s="502"/>
      <c r="AC46" s="502"/>
    </row>
    <row r="47" spans="1:29">
      <c r="A47" s="338"/>
      <c r="B47" s="413" t="str">
        <f>SUMMARY!AR3</f>
        <v>SODIUM BICARBONATE</v>
      </c>
      <c r="C47" s="338" t="s">
        <v>346</v>
      </c>
      <c r="D47" s="336">
        <f>SUMMARY!AR4</f>
        <v>0</v>
      </c>
      <c r="E47" s="336">
        <f>SUMMARY!AR5</f>
        <v>0</v>
      </c>
      <c r="F47" s="336">
        <f>SUMMARY!AR6</f>
        <v>0</v>
      </c>
      <c r="G47" s="475">
        <f>SUMMARY!AR7</f>
        <v>0</v>
      </c>
      <c r="H47" s="336">
        <f>SUMMARY!AR8</f>
        <v>0</v>
      </c>
      <c r="I47" s="336"/>
      <c r="J47" s="336"/>
      <c r="K47" s="336"/>
      <c r="L47" s="336"/>
      <c r="M47" s="339"/>
      <c r="N47" s="336"/>
      <c r="O47" s="413"/>
      <c r="P47" s="339"/>
      <c r="Q47" s="336"/>
      <c r="R47" s="499"/>
      <c r="S47" s="336"/>
      <c r="T47" s="500"/>
      <c r="U47" s="336"/>
      <c r="V47" s="329"/>
      <c r="W47" s="501"/>
      <c r="X47" s="329"/>
      <c r="Y47" s="502"/>
      <c r="Z47" s="502"/>
      <c r="AA47" s="502"/>
      <c r="AB47" s="502"/>
      <c r="AC47" s="502"/>
    </row>
    <row r="48" spans="1:29">
      <c r="A48" s="338"/>
      <c r="B48" s="413" t="str">
        <f>SUMMARY!AS3</f>
        <v>BMD 10%</v>
      </c>
      <c r="C48" s="338" t="s">
        <v>346</v>
      </c>
      <c r="D48" s="336"/>
      <c r="E48" s="336"/>
      <c r="F48" s="336"/>
      <c r="G48" s="475"/>
      <c r="H48" s="336"/>
      <c r="I48" s="336"/>
      <c r="J48" s="336"/>
      <c r="K48" s="336"/>
      <c r="L48" s="336"/>
      <c r="M48" s="339"/>
      <c r="N48" s="336"/>
      <c r="O48" s="413"/>
      <c r="P48" s="339"/>
      <c r="Q48" s="336"/>
      <c r="R48" s="499"/>
      <c r="S48" s="336"/>
      <c r="T48" s="500"/>
      <c r="U48" s="336"/>
      <c r="V48" s="329"/>
      <c r="W48" s="501"/>
      <c r="X48" s="329"/>
      <c r="Y48" s="502"/>
      <c r="Z48" s="502"/>
      <c r="AA48" s="502"/>
      <c r="AB48" s="502"/>
      <c r="AC48" s="502"/>
    </row>
    <row r="49" spans="1:29">
      <c r="A49" s="338"/>
      <c r="B49" s="413" t="str">
        <f>SUMMARY!AT3</f>
        <v>SALT (HARUMI)</v>
      </c>
      <c r="C49" s="338" t="s">
        <v>346</v>
      </c>
      <c r="D49" s="336"/>
      <c r="E49" s="336"/>
      <c r="F49" s="336"/>
      <c r="G49" s="475"/>
      <c r="H49" s="336"/>
      <c r="I49" s="336"/>
      <c r="J49" s="336"/>
      <c r="K49" s="336"/>
      <c r="L49" s="336"/>
      <c r="M49" s="339"/>
      <c r="N49" s="336"/>
      <c r="O49" s="413"/>
      <c r="P49" s="339"/>
      <c r="Q49" s="336"/>
      <c r="R49" s="499"/>
      <c r="S49" s="336"/>
      <c r="T49" s="500"/>
      <c r="U49" s="336"/>
      <c r="V49" s="329"/>
      <c r="W49" s="501"/>
      <c r="X49" s="329"/>
      <c r="Y49" s="502"/>
      <c r="Z49" s="502"/>
      <c r="AA49" s="502"/>
      <c r="AB49" s="502"/>
      <c r="AC49" s="502"/>
    </row>
    <row r="50" spans="1:29">
      <c r="A50" s="338"/>
      <c r="B50" s="413" t="str">
        <f>SUMMARY!AU3</f>
        <v>VISTABET 91</v>
      </c>
      <c r="C50" s="338" t="s">
        <v>346</v>
      </c>
      <c r="D50" s="336"/>
      <c r="E50" s="336"/>
      <c r="F50" s="336"/>
      <c r="G50" s="475"/>
      <c r="H50" s="336"/>
      <c r="I50" s="336"/>
      <c r="J50" s="336"/>
      <c r="K50" s="336"/>
      <c r="L50" s="336"/>
      <c r="M50" s="339"/>
      <c r="N50" s="336"/>
      <c r="O50" s="413"/>
      <c r="P50" s="339"/>
      <c r="Q50" s="336"/>
      <c r="R50" s="499"/>
      <c r="S50" s="336"/>
      <c r="T50" s="500"/>
      <c r="U50" s="336"/>
      <c r="V50" s="329"/>
      <c r="W50" s="501"/>
      <c r="X50" s="329"/>
      <c r="Y50" s="502"/>
      <c r="Z50" s="502"/>
      <c r="AA50" s="502"/>
      <c r="AB50" s="502"/>
      <c r="AC50" s="502"/>
    </row>
    <row r="51" spans="1:29">
      <c r="A51" s="338"/>
      <c r="B51" s="413" t="str">
        <f>SUMMARY!AV3</f>
        <v>BETAFIN</v>
      </c>
      <c r="C51" s="338" t="s">
        <v>346</v>
      </c>
      <c r="D51" s="336"/>
      <c r="E51" s="336"/>
      <c r="F51" s="336"/>
      <c r="G51" s="475"/>
      <c r="H51" s="336"/>
      <c r="I51" s="336"/>
      <c r="J51" s="336"/>
      <c r="K51" s="336"/>
      <c r="L51" s="336"/>
      <c r="M51" s="339"/>
      <c r="N51" s="336"/>
      <c r="O51" s="413"/>
      <c r="P51" s="339"/>
      <c r="Q51" s="336"/>
      <c r="R51" s="499"/>
      <c r="S51" s="336"/>
      <c r="T51" s="500"/>
      <c r="U51" s="336"/>
      <c r="V51" s="329"/>
      <c r="W51" s="501"/>
      <c r="X51" s="329"/>
      <c r="Y51" s="502"/>
      <c r="Z51" s="502"/>
      <c r="AA51" s="502"/>
      <c r="AB51" s="502"/>
      <c r="AC51" s="502"/>
    </row>
    <row r="52" spans="1:29">
      <c r="A52" s="338"/>
      <c r="B52" s="413" t="str">
        <f>SUMMARY!AW3</f>
        <v>8101 TOP UP</v>
      </c>
      <c r="C52" s="338" t="s">
        <v>346</v>
      </c>
      <c r="D52" s="336"/>
      <c r="E52" s="336"/>
      <c r="F52" s="336"/>
      <c r="G52" s="475"/>
      <c r="H52" s="336"/>
      <c r="I52" s="336"/>
      <c r="J52" s="336"/>
      <c r="K52" s="336"/>
      <c r="L52" s="336"/>
      <c r="M52" s="339"/>
      <c r="N52" s="336"/>
      <c r="O52" s="413"/>
      <c r="P52" s="339"/>
      <c r="Q52" s="336"/>
      <c r="R52" s="499"/>
      <c r="S52" s="336"/>
      <c r="T52" s="500"/>
      <c r="U52" s="336"/>
      <c r="V52" s="329"/>
      <c r="W52" s="501"/>
      <c r="X52" s="329"/>
      <c r="Y52" s="502"/>
      <c r="Z52" s="502"/>
      <c r="AA52" s="502"/>
      <c r="AB52" s="502"/>
      <c r="AC52" s="502"/>
    </row>
    <row r="53" spans="1:29">
      <c r="A53" s="338"/>
      <c r="B53" s="413" t="str">
        <f>SUMMARY!AX3</f>
        <v>NORPONIN X03 (8102 TOP UP)</v>
      </c>
      <c r="C53" s="338" t="s">
        <v>346</v>
      </c>
      <c r="D53" s="336"/>
      <c r="E53" s="336"/>
      <c r="F53" s="336"/>
      <c r="G53" s="475"/>
      <c r="H53" s="336"/>
      <c r="I53" s="336"/>
      <c r="J53" s="336"/>
      <c r="K53" s="336"/>
      <c r="L53" s="336"/>
      <c r="M53" s="339"/>
      <c r="N53" s="336"/>
      <c r="O53" s="413"/>
      <c r="P53" s="339"/>
      <c r="Q53" s="336"/>
      <c r="R53" s="499"/>
      <c r="S53" s="336"/>
      <c r="T53" s="500"/>
      <c r="U53" s="336"/>
      <c r="V53" s="329"/>
      <c r="W53" s="501"/>
      <c r="X53" s="329"/>
      <c r="Y53" s="502"/>
      <c r="Z53" s="502"/>
      <c r="AA53" s="502"/>
      <c r="AB53" s="502"/>
      <c r="AC53" s="502"/>
    </row>
    <row r="54" spans="1:29">
      <c r="A54" s="338"/>
      <c r="B54" s="413" t="str">
        <f>SUMMARY!AY3</f>
        <v>8102 TOP UP (4KG)</v>
      </c>
      <c r="C54" s="338" t="s">
        <v>346</v>
      </c>
      <c r="D54" s="336"/>
      <c r="E54" s="336"/>
      <c r="F54" s="336"/>
      <c r="G54" s="475"/>
      <c r="H54" s="336"/>
      <c r="I54" s="336"/>
      <c r="J54" s="336"/>
      <c r="K54" s="336"/>
      <c r="L54" s="336"/>
      <c r="M54" s="339"/>
      <c r="N54" s="336"/>
      <c r="O54" s="413"/>
      <c r="P54" s="339"/>
      <c r="Q54" s="336"/>
      <c r="R54" s="499"/>
      <c r="S54" s="336"/>
      <c r="T54" s="500"/>
      <c r="U54" s="336"/>
      <c r="V54" s="329"/>
      <c r="W54" s="501"/>
      <c r="X54" s="329"/>
      <c r="Y54" s="502"/>
      <c r="Z54" s="502"/>
      <c r="AA54" s="502"/>
      <c r="AB54" s="502"/>
      <c r="AC54" s="502"/>
    </row>
    <row r="55" spans="1:29">
      <c r="A55" s="338"/>
      <c r="B55" s="413" t="str">
        <f>SUMMARY!AZ3</f>
        <v>8103 TOP UP (5KG)</v>
      </c>
      <c r="C55" s="338" t="s">
        <v>346</v>
      </c>
      <c r="D55" s="336"/>
      <c r="E55" s="336"/>
      <c r="F55" s="336"/>
      <c r="G55" s="475"/>
      <c r="H55" s="336"/>
      <c r="I55" s="336"/>
      <c r="J55" s="336"/>
      <c r="K55" s="336"/>
      <c r="L55" s="336"/>
      <c r="M55" s="339"/>
      <c r="N55" s="336"/>
      <c r="O55" s="413"/>
      <c r="P55" s="339"/>
      <c r="Q55" s="336"/>
      <c r="R55" s="499"/>
      <c r="S55" s="336"/>
      <c r="T55" s="500"/>
      <c r="U55" s="336"/>
      <c r="V55" s="329"/>
      <c r="W55" s="501"/>
      <c r="X55" s="329"/>
      <c r="Y55" s="502"/>
      <c r="Z55" s="502"/>
      <c r="AA55" s="502"/>
      <c r="AB55" s="502"/>
      <c r="AC55" s="502"/>
    </row>
    <row r="56" spans="1:29">
      <c r="A56" s="338"/>
      <c r="B56" s="413" t="str">
        <f>SUMMARY!BA3</f>
        <v>L-ARGININE</v>
      </c>
      <c r="C56" s="338" t="s">
        <v>346</v>
      </c>
      <c r="D56" s="336"/>
      <c r="E56" s="336"/>
      <c r="F56" s="336"/>
      <c r="G56" s="475"/>
      <c r="H56" s="336"/>
      <c r="I56" s="336"/>
      <c r="J56" s="336"/>
      <c r="K56" s="336"/>
      <c r="L56" s="336"/>
      <c r="M56" s="339"/>
      <c r="N56" s="336"/>
      <c r="O56" s="413"/>
      <c r="P56" s="339"/>
      <c r="Q56" s="336"/>
      <c r="R56" s="499"/>
      <c r="S56" s="336"/>
      <c r="T56" s="500"/>
      <c r="U56" s="336"/>
      <c r="V56" s="329"/>
      <c r="W56" s="501"/>
      <c r="X56" s="329"/>
      <c r="Y56" s="502"/>
      <c r="Z56" s="502"/>
      <c r="AA56" s="502"/>
      <c r="AB56" s="502"/>
      <c r="AC56" s="502"/>
    </row>
    <row r="57" spans="1:29">
      <c r="A57" s="338"/>
      <c r="B57" s="413" t="str">
        <f>SUMMARY!BB3</f>
        <v>DL-METHIONINE</v>
      </c>
      <c r="C57" s="338" t="s">
        <v>346</v>
      </c>
      <c r="D57" s="336"/>
      <c r="E57" s="336"/>
      <c r="F57" s="336"/>
      <c r="G57" s="475"/>
      <c r="H57" s="336"/>
      <c r="I57" s="336"/>
      <c r="J57" s="336"/>
      <c r="K57" s="336"/>
      <c r="L57" s="336"/>
      <c r="M57" s="339"/>
      <c r="N57" s="336"/>
      <c r="O57" s="413"/>
      <c r="P57" s="339"/>
      <c r="Q57" s="336"/>
      <c r="R57" s="499"/>
      <c r="S57" s="336"/>
      <c r="T57" s="500"/>
      <c r="U57" s="336"/>
      <c r="V57" s="329"/>
      <c r="W57" s="501"/>
      <c r="X57" s="329"/>
      <c r="Y57" s="502"/>
      <c r="Z57" s="502"/>
      <c r="AA57" s="502"/>
      <c r="AB57" s="502"/>
      <c r="AC57" s="502"/>
    </row>
    <row r="58" spans="1:29">
      <c r="A58" s="338"/>
      <c r="B58" s="413" t="str">
        <f>SUMMARY!BC3</f>
        <v>L-THREONINE</v>
      </c>
      <c r="C58" s="338" t="s">
        <v>346</v>
      </c>
      <c r="D58" s="336"/>
      <c r="E58" s="336"/>
      <c r="F58" s="336"/>
      <c r="G58" s="475"/>
      <c r="H58" s="336"/>
      <c r="I58" s="336"/>
      <c r="J58" s="336"/>
      <c r="K58" s="336"/>
      <c r="L58" s="336"/>
      <c r="M58" s="339"/>
      <c r="N58" s="336"/>
      <c r="O58" s="413"/>
      <c r="P58" s="339"/>
      <c r="Q58" s="336"/>
      <c r="R58" s="499"/>
      <c r="S58" s="336"/>
      <c r="T58" s="500"/>
      <c r="U58" s="336"/>
      <c r="V58" s="329"/>
      <c r="W58" s="501"/>
      <c r="X58" s="329"/>
      <c r="Y58" s="502"/>
      <c r="Z58" s="502"/>
      <c r="AA58" s="502"/>
      <c r="AB58" s="502"/>
      <c r="AC58" s="502"/>
    </row>
    <row r="59" spans="1:29">
      <c r="A59" s="338"/>
      <c r="B59" s="413" t="str">
        <f>SUMMARY!BD3</f>
        <v>L-LYSINE</v>
      </c>
      <c r="C59" s="338" t="s">
        <v>346</v>
      </c>
      <c r="D59" s="336"/>
      <c r="E59" s="336"/>
      <c r="F59" s="336"/>
      <c r="G59" s="475"/>
      <c r="H59" s="336"/>
      <c r="I59" s="336"/>
      <c r="J59" s="336"/>
      <c r="K59" s="336"/>
      <c r="L59" s="336"/>
      <c r="M59" s="339"/>
      <c r="N59" s="336"/>
      <c r="O59" s="413"/>
      <c r="P59" s="339"/>
      <c r="Q59" s="336"/>
      <c r="R59" s="499"/>
      <c r="S59" s="336"/>
      <c r="T59" s="500"/>
      <c r="U59" s="336"/>
      <c r="V59" s="329"/>
      <c r="W59" s="501"/>
      <c r="X59" s="329"/>
      <c r="Y59" s="502"/>
      <c r="Z59" s="502"/>
      <c r="AA59" s="502"/>
      <c r="AB59" s="502"/>
      <c r="AC59" s="502"/>
    </row>
    <row r="60" spans="1:29">
      <c r="A60" s="338"/>
      <c r="B60" s="413" t="str">
        <f>SUMMARY!BE3</f>
        <v>FAECES DRY</v>
      </c>
      <c r="C60" s="338" t="s">
        <v>346</v>
      </c>
      <c r="D60" s="336"/>
      <c r="E60" s="336"/>
      <c r="F60" s="336"/>
      <c r="G60" s="475"/>
      <c r="H60" s="336"/>
      <c r="I60" s="336"/>
      <c r="J60" s="336"/>
      <c r="K60" s="336"/>
      <c r="L60" s="336"/>
      <c r="M60" s="339"/>
      <c r="N60" s="336"/>
      <c r="O60" s="413"/>
      <c r="P60" s="339"/>
      <c r="Q60" s="336"/>
      <c r="R60" s="499"/>
      <c r="S60" s="336"/>
      <c r="T60" s="500"/>
      <c r="U60" s="336"/>
      <c r="V60" s="329"/>
      <c r="W60" s="501"/>
      <c r="X60" s="329"/>
      <c r="Y60" s="502"/>
      <c r="Z60" s="502"/>
      <c r="AA60" s="502"/>
      <c r="AB60" s="502"/>
      <c r="AC60" s="502"/>
    </row>
    <row r="61" spans="1:29">
      <c r="A61" s="338"/>
      <c r="B61" s="413" t="str">
        <f>SUMMARY!BF3</f>
        <v>ECOBIOL</v>
      </c>
      <c r="C61" s="338" t="s">
        <v>346</v>
      </c>
      <c r="D61" s="336"/>
      <c r="E61" s="336"/>
      <c r="F61" s="336"/>
      <c r="G61" s="475"/>
      <c r="H61" s="336"/>
      <c r="I61" s="336"/>
      <c r="J61" s="336"/>
      <c r="K61" s="336"/>
      <c r="L61" s="336"/>
      <c r="M61" s="339"/>
      <c r="N61" s="336"/>
      <c r="O61" s="413"/>
      <c r="P61" s="339"/>
      <c r="Q61" s="336"/>
      <c r="R61" s="499"/>
      <c r="S61" s="336"/>
      <c r="T61" s="500"/>
      <c r="U61" s="336"/>
      <c r="V61" s="329"/>
      <c r="W61" s="501"/>
      <c r="X61" s="329"/>
      <c r="Y61" s="502"/>
      <c r="Z61" s="502"/>
      <c r="AA61" s="502"/>
      <c r="AB61" s="502"/>
      <c r="AC61" s="502"/>
    </row>
    <row r="62" spans="1:29">
      <c r="A62" s="338"/>
      <c r="B62" s="413" t="str">
        <f>SUMMARY!BG3</f>
        <v>ADDITIVE BROILER IMMUNE</v>
      </c>
      <c r="C62" s="338" t="s">
        <v>346</v>
      </c>
      <c r="D62" s="336"/>
      <c r="E62" s="336"/>
      <c r="F62" s="336"/>
      <c r="G62" s="475"/>
      <c r="H62" s="336"/>
      <c r="I62" s="336"/>
      <c r="J62" s="336"/>
      <c r="K62" s="336"/>
      <c r="L62" s="336"/>
      <c r="M62" s="339"/>
      <c r="N62" s="336"/>
      <c r="O62" s="413"/>
      <c r="P62" s="339"/>
      <c r="Q62" s="336"/>
      <c r="R62" s="499"/>
      <c r="S62" s="336"/>
      <c r="T62" s="500"/>
      <c r="U62" s="336"/>
      <c r="V62" s="329"/>
      <c r="W62" s="501"/>
      <c r="X62" s="329"/>
      <c r="Y62" s="502"/>
      <c r="Z62" s="502"/>
      <c r="AA62" s="502"/>
      <c r="AB62" s="502"/>
      <c r="AC62" s="502"/>
    </row>
    <row r="63" spans="1:29">
      <c r="A63" s="338"/>
      <c r="B63" s="413" t="str">
        <f>SUMMARY!BH3</f>
        <v>MASTER CUBE (HARUMI)</v>
      </c>
      <c r="C63" s="338" t="s">
        <v>346</v>
      </c>
      <c r="D63" s="336"/>
      <c r="E63" s="336"/>
      <c r="F63" s="336"/>
      <c r="G63" s="475"/>
      <c r="H63" s="336"/>
      <c r="I63" s="336"/>
      <c r="J63" s="336"/>
      <c r="K63" s="336"/>
      <c r="L63" s="336"/>
      <c r="M63" s="339"/>
      <c r="N63" s="336"/>
      <c r="O63" s="413"/>
      <c r="P63" s="339"/>
      <c r="Q63" s="336"/>
      <c r="R63" s="499"/>
      <c r="S63" s="336"/>
      <c r="T63" s="500"/>
      <c r="U63" s="336"/>
      <c r="V63" s="329"/>
      <c r="W63" s="501"/>
      <c r="X63" s="329"/>
      <c r="Y63" s="502"/>
      <c r="Z63" s="502"/>
      <c r="AA63" s="502"/>
      <c r="AB63" s="502"/>
      <c r="AC63" s="502"/>
    </row>
    <row r="64" spans="1:29">
      <c r="A64" s="338"/>
      <c r="B64" s="413" t="str">
        <f>SUMMARY!BI3</f>
        <v>1101 TOP UP (0.40KG)</v>
      </c>
      <c r="C64" s="338" t="s">
        <v>346</v>
      </c>
      <c r="D64" s="336"/>
      <c r="E64" s="336"/>
      <c r="F64" s="336"/>
      <c r="G64" s="475"/>
      <c r="H64" s="336"/>
      <c r="I64" s="336"/>
      <c r="J64" s="336"/>
      <c r="K64" s="336"/>
      <c r="L64" s="336"/>
      <c r="M64" s="339"/>
      <c r="N64" s="336"/>
      <c r="O64" s="413"/>
      <c r="P64" s="339"/>
      <c r="Q64" s="336"/>
      <c r="R64" s="499"/>
      <c r="S64" s="336"/>
      <c r="T64" s="500"/>
      <c r="U64" s="336"/>
      <c r="V64" s="329"/>
      <c r="W64" s="501"/>
      <c r="X64" s="329"/>
      <c r="Y64" s="502"/>
      <c r="Z64" s="502"/>
      <c r="AA64" s="502"/>
      <c r="AB64" s="502"/>
      <c r="AC64" s="502"/>
    </row>
    <row r="65" spans="1:29">
      <c r="A65" s="338"/>
      <c r="B65" s="413" t="str">
        <f>SUMMARY!BJ3</f>
        <v>1102 TOP UP (0.60KG)</v>
      </c>
      <c r="C65" s="338" t="s">
        <v>346</v>
      </c>
      <c r="D65" s="336"/>
      <c r="E65" s="336"/>
      <c r="F65" s="336"/>
      <c r="G65" s="475"/>
      <c r="H65" s="336"/>
      <c r="I65" s="336"/>
      <c r="J65" s="336"/>
      <c r="K65" s="336"/>
      <c r="L65" s="336"/>
      <c r="M65" s="339"/>
      <c r="N65" s="336"/>
      <c r="O65" s="413"/>
      <c r="P65" s="339"/>
      <c r="Q65" s="336"/>
      <c r="R65" s="499"/>
      <c r="S65" s="336"/>
      <c r="T65" s="500"/>
      <c r="U65" s="336"/>
      <c r="V65" s="329"/>
      <c r="W65" s="501"/>
      <c r="X65" s="329"/>
      <c r="Y65" s="502"/>
      <c r="Z65" s="502"/>
      <c r="AA65" s="502"/>
      <c r="AB65" s="502"/>
      <c r="AC65" s="502"/>
    </row>
    <row r="66" spans="1:29">
      <c r="A66" s="338"/>
      <c r="B66" s="413" t="str">
        <f>SUMMARY!BK3</f>
        <v>1103 TOP UP (2.00KG)</v>
      </c>
      <c r="C66" s="338" t="s">
        <v>346</v>
      </c>
      <c r="D66" s="336"/>
      <c r="E66" s="336"/>
      <c r="F66" s="336"/>
      <c r="G66" s="475"/>
      <c r="H66" s="336"/>
      <c r="I66" s="336"/>
      <c r="J66" s="336"/>
      <c r="K66" s="336"/>
      <c r="L66" s="336"/>
      <c r="M66" s="339"/>
      <c r="N66" s="336"/>
      <c r="O66" s="413"/>
      <c r="P66" s="339"/>
      <c r="Q66" s="336"/>
      <c r="R66" s="499"/>
      <c r="S66" s="336"/>
      <c r="T66" s="500"/>
      <c r="U66" s="336"/>
      <c r="V66" s="329"/>
      <c r="W66" s="501"/>
      <c r="X66" s="329"/>
      <c r="Y66" s="502"/>
      <c r="Z66" s="502"/>
      <c r="AA66" s="502"/>
      <c r="AB66" s="502"/>
      <c r="AC66" s="502"/>
    </row>
    <row r="67" spans="1:29">
      <c r="A67" s="338"/>
      <c r="B67" s="413" t="str">
        <f>SUMMARY!BL3</f>
        <v>QUANTUM GLO 4%</v>
      </c>
      <c r="C67" s="338" t="s">
        <v>346</v>
      </c>
      <c r="D67" s="336"/>
      <c r="E67" s="336"/>
      <c r="F67" s="336"/>
      <c r="G67" s="475"/>
      <c r="H67" s="336"/>
      <c r="I67" s="336"/>
      <c r="J67" s="336"/>
      <c r="K67" s="336"/>
      <c r="L67" s="336"/>
      <c r="M67" s="339"/>
      <c r="N67" s="336"/>
      <c r="O67" s="413"/>
      <c r="P67" s="339"/>
      <c r="Q67" s="336"/>
      <c r="R67" s="499"/>
      <c r="S67" s="336"/>
      <c r="T67" s="500"/>
      <c r="U67" s="336"/>
      <c r="V67" s="329"/>
      <c r="W67" s="501"/>
      <c r="X67" s="329"/>
      <c r="Y67" s="502"/>
      <c r="Z67" s="502"/>
      <c r="AA67" s="502"/>
      <c r="AB67" s="502"/>
      <c r="AC67" s="502"/>
    </row>
    <row r="68" spans="1:29">
      <c r="A68" s="338"/>
      <c r="B68" s="413" t="str">
        <f>SUMMARY!BM3</f>
        <v>SALT</v>
      </c>
      <c r="C68" s="338" t="s">
        <v>346</v>
      </c>
      <c r="D68" s="336"/>
      <c r="E68" s="336"/>
      <c r="F68" s="336"/>
      <c r="G68" s="475"/>
      <c r="H68" s="336"/>
      <c r="I68" s="336"/>
      <c r="J68" s="336"/>
      <c r="K68" s="336"/>
      <c r="L68" s="336"/>
      <c r="M68" s="339"/>
      <c r="N68" s="336"/>
      <c r="O68" s="413"/>
      <c r="P68" s="339"/>
      <c r="Q68" s="336"/>
      <c r="R68" s="499"/>
      <c r="S68" s="336"/>
      <c r="T68" s="500"/>
      <c r="U68" s="336"/>
      <c r="V68" s="329"/>
      <c r="W68" s="501"/>
      <c r="X68" s="329"/>
      <c r="Y68" s="502"/>
      <c r="Z68" s="502"/>
      <c r="AA68" s="502"/>
      <c r="AB68" s="502"/>
      <c r="AC68" s="502"/>
    </row>
    <row r="69" spans="1:29">
      <c r="A69" s="338"/>
      <c r="B69" s="413" t="str">
        <f>SUMMARY!BN3</f>
        <v>OC 200 - OXYTET 20%</v>
      </c>
      <c r="C69" s="338" t="s">
        <v>346</v>
      </c>
      <c r="D69" s="336"/>
      <c r="E69" s="336"/>
      <c r="F69" s="336"/>
      <c r="G69" s="475"/>
      <c r="H69" s="336"/>
      <c r="I69" s="336"/>
      <c r="J69" s="336"/>
      <c r="K69" s="336"/>
      <c r="L69" s="336"/>
      <c r="M69" s="339"/>
      <c r="N69" s="336"/>
      <c r="O69" s="413"/>
      <c r="P69" s="339"/>
      <c r="Q69" s="336"/>
      <c r="R69" s="499"/>
      <c r="S69" s="336"/>
      <c r="T69" s="500"/>
      <c r="U69" s="336"/>
      <c r="V69" s="329"/>
      <c r="W69" s="501"/>
      <c r="X69" s="329"/>
      <c r="Y69" s="502"/>
      <c r="Z69" s="502"/>
      <c r="AA69" s="502"/>
      <c r="AB69" s="502"/>
      <c r="AC69" s="502"/>
    </row>
    <row r="70" spans="1:29">
      <c r="A70" s="338"/>
      <c r="B70" s="413">
        <f>SUMMARY!BO3</f>
        <v>3</v>
      </c>
      <c r="C70" s="338" t="s">
        <v>346</v>
      </c>
      <c r="D70" s="336"/>
      <c r="E70" s="336"/>
      <c r="F70" s="336"/>
      <c r="G70" s="475"/>
      <c r="H70" s="336"/>
      <c r="I70" s="336"/>
      <c r="J70" s="336"/>
      <c r="K70" s="336"/>
      <c r="L70" s="336"/>
      <c r="M70" s="339"/>
      <c r="N70" s="336"/>
      <c r="O70" s="413"/>
      <c r="P70" s="339"/>
      <c r="Q70" s="336"/>
      <c r="R70" s="499"/>
      <c r="S70" s="336"/>
      <c r="T70" s="500"/>
      <c r="U70" s="336"/>
      <c r="V70" s="329"/>
      <c r="W70" s="501"/>
      <c r="X70" s="329"/>
      <c r="Y70" s="502"/>
      <c r="Z70" s="502"/>
      <c r="AA70" s="502"/>
      <c r="AB70" s="502"/>
      <c r="AC70" s="502"/>
    </row>
    <row r="71" spans="1:29">
      <c r="A71" s="338"/>
      <c r="B71" s="413">
        <f>SUMMARY!BP3</f>
        <v>4</v>
      </c>
      <c r="C71" s="338" t="s">
        <v>346</v>
      </c>
      <c r="D71" s="336"/>
      <c r="E71" s="336"/>
      <c r="F71" s="336"/>
      <c r="G71" s="475"/>
      <c r="H71" s="336"/>
      <c r="I71" s="336"/>
      <c r="J71" s="336"/>
      <c r="K71" s="336"/>
      <c r="L71" s="336"/>
      <c r="M71" s="339"/>
      <c r="N71" s="336"/>
      <c r="O71" s="413"/>
      <c r="P71" s="339"/>
      <c r="Q71" s="336"/>
      <c r="R71" s="499"/>
      <c r="S71" s="336"/>
      <c r="T71" s="500"/>
      <c r="U71" s="336"/>
      <c r="V71" s="329"/>
      <c r="W71" s="501"/>
      <c r="X71" s="329"/>
      <c r="Y71" s="502"/>
      <c r="Z71" s="502"/>
      <c r="AA71" s="502"/>
      <c r="AB71" s="502"/>
      <c r="AC71" s="502"/>
    </row>
    <row r="72" spans="1:29">
      <c r="A72" s="338"/>
      <c r="B72" s="413"/>
      <c r="C72" s="338"/>
      <c r="D72" s="336"/>
      <c r="E72" s="336"/>
      <c r="F72" s="336"/>
      <c r="G72" s="336"/>
      <c r="H72" s="336"/>
      <c r="I72" s="336"/>
      <c r="J72" s="336"/>
      <c r="K72" s="336"/>
      <c r="L72" s="336"/>
      <c r="M72" s="339"/>
      <c r="N72" s="336"/>
      <c r="O72" s="413"/>
      <c r="P72" s="339"/>
      <c r="Q72" s="336"/>
      <c r="R72" s="499"/>
      <c r="S72" s="336"/>
      <c r="T72" s="500"/>
      <c r="U72" s="336"/>
      <c r="V72" s="329"/>
      <c r="W72" s="501"/>
      <c r="X72" s="329"/>
      <c r="Y72" s="502"/>
      <c r="Z72" s="502"/>
      <c r="AA72" s="502"/>
      <c r="AB72" s="502"/>
      <c r="AC72" s="502"/>
    </row>
    <row r="73" spans="1:29">
      <c r="A73" s="338"/>
      <c r="B73" s="310" t="s">
        <v>348</v>
      </c>
      <c r="C73" s="338"/>
      <c r="D73" s="336"/>
      <c r="E73" s="336"/>
      <c r="F73" s="336"/>
      <c r="G73" s="336"/>
      <c r="H73" s="336"/>
      <c r="I73" s="336"/>
      <c r="J73" s="336"/>
      <c r="K73" s="336"/>
      <c r="L73" s="336"/>
      <c r="M73" s="339"/>
      <c r="N73" s="336"/>
      <c r="O73" s="413"/>
      <c r="P73" s="339"/>
      <c r="Q73" s="336"/>
      <c r="R73" s="499"/>
      <c r="S73" s="336"/>
      <c r="T73" s="500"/>
      <c r="U73" s="336"/>
      <c r="V73" s="329"/>
      <c r="W73" s="501"/>
      <c r="X73" s="329"/>
      <c r="Y73" s="502"/>
      <c r="Z73" s="502"/>
      <c r="AA73" s="502"/>
      <c r="AB73" s="502"/>
      <c r="AC73" s="502"/>
    </row>
    <row r="74" spans="1:29">
      <c r="A74" s="338"/>
      <c r="B74" s="413" t="str">
        <f>SUMMARY!BQ3</f>
        <v>WOVEN BAG (1101) - BLUE 50KG</v>
      </c>
      <c r="C74" s="338" t="s">
        <v>349</v>
      </c>
      <c r="D74" s="336"/>
      <c r="E74" s="336"/>
      <c r="F74" s="336"/>
      <c r="G74" s="336"/>
      <c r="H74" s="336"/>
      <c r="I74" s="336"/>
      <c r="J74" s="336"/>
      <c r="K74" s="336"/>
      <c r="L74" s="336"/>
      <c r="M74" s="339"/>
      <c r="N74" s="336"/>
      <c r="O74" s="413">
        <f t="shared" si="0"/>
        <v>0</v>
      </c>
      <c r="P74" s="339"/>
      <c r="Q74" s="336"/>
      <c r="R74" s="499"/>
      <c r="S74" s="336"/>
      <c r="T74" s="500"/>
      <c r="U74" s="336"/>
      <c r="V74" s="329"/>
      <c r="W74" s="501"/>
      <c r="X74" s="329"/>
      <c r="Y74" s="502"/>
      <c r="Z74" s="502"/>
      <c r="AA74" s="502"/>
      <c r="AB74" s="502"/>
      <c r="AC74" s="502"/>
    </row>
    <row r="75" spans="1:29">
      <c r="A75" s="338"/>
      <c r="B75" s="413" t="str">
        <f>SUMMARY!BR3</f>
        <v>WOVEN BAG (1102) - GREEN 50KG</v>
      </c>
      <c r="C75" s="338" t="s">
        <v>349</v>
      </c>
      <c r="D75" s="336"/>
      <c r="E75" s="336"/>
      <c r="F75" s="336"/>
      <c r="G75" s="336"/>
      <c r="H75" s="336"/>
      <c r="I75" s="336"/>
      <c r="J75" s="336"/>
      <c r="K75" s="336"/>
      <c r="L75" s="336"/>
      <c r="M75" s="339"/>
      <c r="N75" s="336"/>
      <c r="O75" s="413">
        <f t="shared" si="0"/>
        <v>0</v>
      </c>
      <c r="P75" s="339"/>
      <c r="Q75" s="336"/>
      <c r="R75" s="499"/>
      <c r="S75" s="336"/>
      <c r="T75" s="500"/>
      <c r="U75" s="336"/>
      <c r="V75" s="329"/>
      <c r="W75" s="501"/>
      <c r="X75" s="329"/>
      <c r="Y75" s="502"/>
      <c r="Z75" s="502"/>
      <c r="AA75" s="502"/>
      <c r="AB75" s="502"/>
      <c r="AC75" s="502"/>
    </row>
    <row r="76" spans="1:29">
      <c r="A76" s="338"/>
      <c r="B76" s="413" t="str">
        <f>SUMMARY!BS3</f>
        <v>WOVEN BAG (1103) - RED 50KG</v>
      </c>
      <c r="C76" s="338" t="s">
        <v>349</v>
      </c>
      <c r="D76" s="336"/>
      <c r="E76" s="336"/>
      <c r="F76" s="336"/>
      <c r="G76" s="336"/>
      <c r="H76" s="336"/>
      <c r="I76" s="336"/>
      <c r="J76" s="336"/>
      <c r="K76" s="336"/>
      <c r="L76" s="336"/>
      <c r="M76" s="339"/>
      <c r="N76" s="336"/>
      <c r="O76" s="413">
        <f t="shared" si="0"/>
        <v>0</v>
      </c>
      <c r="P76" s="339"/>
      <c r="Q76" s="336"/>
      <c r="R76" s="499"/>
      <c r="S76" s="336"/>
      <c r="T76" s="500"/>
      <c r="U76" s="336"/>
      <c r="V76" s="329"/>
      <c r="W76" s="501"/>
      <c r="X76" s="329"/>
      <c r="Y76" s="502"/>
      <c r="Z76" s="502"/>
      <c r="AA76" s="502"/>
      <c r="AB76" s="502"/>
      <c r="AC76" s="502"/>
    </row>
    <row r="77" spans="1:29">
      <c r="A77" s="338"/>
      <c r="B77" s="413" t="str">
        <f>SUMMARY!BT3</f>
        <v>PLAIN BAG 26" X 39" (50KG)</v>
      </c>
      <c r="C77" s="338" t="s">
        <v>349</v>
      </c>
      <c r="D77" s="336"/>
      <c r="E77" s="336"/>
      <c r="F77" s="336"/>
      <c r="G77" s="336"/>
      <c r="H77" s="336"/>
      <c r="I77" s="336"/>
      <c r="J77" s="336"/>
      <c r="K77" s="336"/>
      <c r="L77" s="336"/>
      <c r="M77" s="339"/>
      <c r="N77" s="336"/>
      <c r="O77" s="413">
        <f t="shared" si="0"/>
        <v>0</v>
      </c>
      <c r="P77" s="339"/>
      <c r="Q77" s="336"/>
      <c r="R77" s="499"/>
      <c r="S77" s="336"/>
      <c r="T77" s="500"/>
      <c r="U77" s="336"/>
      <c r="V77" s="329"/>
      <c r="W77" s="501"/>
      <c r="X77" s="329"/>
      <c r="Y77" s="502"/>
      <c r="Z77" s="502"/>
      <c r="AA77" s="502"/>
      <c r="AB77" s="502"/>
      <c r="AC77" s="502"/>
    </row>
    <row r="78" spans="1:29">
      <c r="A78" s="338"/>
      <c r="B78" s="413" t="str">
        <f>SUMMARY!BU3</f>
        <v>WOVEN BAG (8101) - KHAKI 50KG</v>
      </c>
      <c r="C78" s="338" t="s">
        <v>349</v>
      </c>
      <c r="D78" s="336"/>
      <c r="E78" s="336"/>
      <c r="F78" s="336"/>
      <c r="G78" s="336"/>
      <c r="H78" s="336"/>
      <c r="I78" s="336"/>
      <c r="J78" s="336"/>
      <c r="K78" s="336"/>
      <c r="L78" s="336"/>
      <c r="M78" s="339"/>
      <c r="N78" s="336"/>
      <c r="O78" s="413">
        <f t="shared" si="0"/>
        <v>0</v>
      </c>
      <c r="P78" s="339"/>
      <c r="Q78" s="336"/>
      <c r="R78" s="499"/>
      <c r="S78" s="336"/>
      <c r="T78" s="500"/>
      <c r="U78" s="336"/>
      <c r="V78" s="329"/>
      <c r="W78" s="501"/>
      <c r="X78" s="329"/>
      <c r="Y78" s="502"/>
      <c r="Z78" s="502"/>
      <c r="AA78" s="502"/>
      <c r="AB78" s="502"/>
      <c r="AC78" s="502"/>
    </row>
    <row r="79" spans="1:29">
      <c r="A79" s="338"/>
      <c r="B79" s="413" t="str">
        <f>SUMMARY!BV3</f>
        <v>WOVEN BAG (8102) - SKY BLUE 50KG</v>
      </c>
      <c r="C79" s="338" t="s">
        <v>349</v>
      </c>
      <c r="D79" s="336"/>
      <c r="E79" s="336"/>
      <c r="F79" s="336"/>
      <c r="G79" s="336"/>
      <c r="H79" s="336"/>
      <c r="I79" s="336"/>
      <c r="J79" s="336"/>
      <c r="K79" s="336"/>
      <c r="L79" s="336"/>
      <c r="M79" s="339"/>
      <c r="N79" s="336"/>
      <c r="O79" s="413"/>
      <c r="P79" s="339"/>
      <c r="Q79" s="336"/>
      <c r="R79" s="499"/>
      <c r="S79" s="336"/>
      <c r="T79" s="500"/>
      <c r="U79" s="336"/>
      <c r="V79" s="329"/>
      <c r="W79" s="501"/>
      <c r="X79" s="329"/>
      <c r="Y79" s="502"/>
      <c r="Z79" s="502"/>
      <c r="AA79" s="502"/>
      <c r="AB79" s="502"/>
      <c r="AC79" s="502"/>
    </row>
    <row r="80" spans="1:29">
      <c r="A80" s="338"/>
      <c r="B80" s="413" t="str">
        <f>SUMMARY!BW3</f>
        <v>WOVEN BAG (8103) - BROWN 50KG</v>
      </c>
      <c r="C80" s="338" t="s">
        <v>349</v>
      </c>
      <c r="D80" s="336"/>
      <c r="E80" s="336"/>
      <c r="F80" s="336"/>
      <c r="G80" s="336"/>
      <c r="H80" s="336"/>
      <c r="I80" s="336"/>
      <c r="J80" s="336"/>
      <c r="K80" s="336"/>
      <c r="L80" s="336"/>
      <c r="M80" s="339"/>
      <c r="N80" s="336"/>
      <c r="O80" s="413"/>
      <c r="P80" s="339"/>
      <c r="Q80" s="336"/>
      <c r="R80" s="499"/>
      <c r="S80" s="336"/>
      <c r="T80" s="500"/>
      <c r="U80" s="336"/>
      <c r="V80" s="329"/>
      <c r="W80" s="501"/>
      <c r="X80" s="329"/>
      <c r="Y80" s="502"/>
      <c r="Z80" s="502"/>
      <c r="AA80" s="502"/>
      <c r="AB80" s="502"/>
      <c r="AC80" s="502"/>
    </row>
    <row r="81" spans="1:21">
      <c r="A81" s="338"/>
      <c r="B81" s="413">
        <f>SUMMARY!BX3</f>
        <v>1</v>
      </c>
      <c r="C81" s="338" t="s">
        <v>349</v>
      </c>
      <c r="D81" s="336"/>
      <c r="E81" s="336"/>
      <c r="F81" s="336"/>
      <c r="G81" s="336"/>
      <c r="H81" s="336"/>
      <c r="I81" s="336"/>
      <c r="J81" s="336"/>
      <c r="K81" s="336"/>
      <c r="L81" s="336"/>
      <c r="M81" s="339"/>
      <c r="N81" s="303"/>
      <c r="O81" s="303"/>
      <c r="P81" s="339"/>
      <c r="Q81" s="336"/>
      <c r="R81" s="499"/>
      <c r="S81" s="336"/>
      <c r="T81" s="500"/>
      <c r="U81" s="336"/>
    </row>
    <row r="82" spans="1:21">
      <c r="A82" s="338"/>
      <c r="B82" s="413">
        <f>SUMMARY!BY3</f>
        <v>2</v>
      </c>
      <c r="C82" s="338" t="s">
        <v>349</v>
      </c>
      <c r="D82" s="356"/>
      <c r="E82" s="356"/>
      <c r="F82" s="356"/>
      <c r="G82" s="356"/>
      <c r="H82" s="356"/>
      <c r="I82" s="336"/>
      <c r="J82" s="336"/>
      <c r="K82" s="356"/>
      <c r="L82" s="336"/>
      <c r="M82" s="339"/>
      <c r="N82" s="303"/>
      <c r="O82" s="303"/>
      <c r="P82" s="339"/>
      <c r="Q82" s="336"/>
      <c r="R82" s="499"/>
      <c r="S82" s="336"/>
      <c r="T82" s="500"/>
      <c r="U82" s="336"/>
    </row>
    <row r="83" spans="1:21">
      <c r="A83" s="338"/>
      <c r="B83" s="413">
        <f>SUMMARY!BZ3</f>
        <v>3</v>
      </c>
      <c r="C83" s="338" t="s">
        <v>349</v>
      </c>
      <c r="D83" s="356"/>
      <c r="E83" s="356"/>
      <c r="F83" s="356"/>
      <c r="G83" s="356"/>
      <c r="H83" s="356"/>
      <c r="I83" s="336"/>
      <c r="J83" s="336"/>
      <c r="K83" s="356"/>
      <c r="L83" s="336"/>
      <c r="M83" s="339"/>
      <c r="N83" s="303"/>
      <c r="O83" s="303"/>
      <c r="P83" s="339"/>
      <c r="Q83" s="336"/>
      <c r="R83" s="499"/>
      <c r="S83" s="336"/>
      <c r="T83" s="500"/>
      <c r="U83" s="336"/>
    </row>
    <row r="84" spans="1:21">
      <c r="A84" s="338"/>
      <c r="B84" s="413">
        <f>SUMMARY!CA3</f>
        <v>4</v>
      </c>
      <c r="C84" s="338" t="s">
        <v>349</v>
      </c>
      <c r="D84" s="356"/>
      <c r="E84" s="356"/>
      <c r="F84" s="356"/>
      <c r="G84" s="356"/>
      <c r="H84" s="356"/>
      <c r="I84" s="336"/>
      <c r="J84" s="336"/>
      <c r="K84" s="356"/>
      <c r="L84" s="336"/>
      <c r="M84" s="339"/>
      <c r="N84" s="303"/>
      <c r="O84" s="303"/>
      <c r="P84" s="339"/>
      <c r="Q84" s="336"/>
      <c r="R84" s="499"/>
      <c r="S84" s="336"/>
      <c r="T84" s="500"/>
      <c r="U84" s="336"/>
    </row>
    <row r="85" spans="1:21">
      <c r="A85" s="338"/>
      <c r="B85" s="413">
        <f>SUMMARY!CB3</f>
        <v>5</v>
      </c>
      <c r="C85" s="338" t="s">
        <v>349</v>
      </c>
      <c r="D85" s="356"/>
      <c r="E85" s="356"/>
      <c r="F85" s="356"/>
      <c r="G85" s="356"/>
      <c r="H85" s="356"/>
      <c r="I85" s="336"/>
      <c r="J85" s="336"/>
      <c r="K85" s="356"/>
      <c r="L85" s="336"/>
      <c r="M85" s="339"/>
      <c r="N85" s="303"/>
      <c r="O85" s="303"/>
      <c r="P85" s="339"/>
      <c r="Q85" s="336"/>
      <c r="R85" s="499"/>
      <c r="S85" s="336"/>
      <c r="T85" s="500"/>
      <c r="U85" s="336"/>
    </row>
    <row r="86" spans="1:21">
      <c r="A86" s="338"/>
      <c r="B86" s="413">
        <f>SUMMARY!CC3</f>
        <v>6</v>
      </c>
      <c r="C86" s="338" t="s">
        <v>349</v>
      </c>
      <c r="D86" s="356"/>
      <c r="E86" s="356"/>
      <c r="F86" s="356"/>
      <c r="G86" s="356"/>
      <c r="H86" s="356"/>
      <c r="I86" s="336"/>
      <c r="J86" s="336"/>
      <c r="K86" s="356"/>
      <c r="L86" s="336"/>
      <c r="M86" s="339"/>
      <c r="N86" s="303"/>
      <c r="O86" s="303"/>
      <c r="P86" s="339"/>
      <c r="Q86" s="336"/>
      <c r="R86" s="499"/>
      <c r="S86" s="336"/>
      <c r="T86" s="500"/>
      <c r="U86" s="336"/>
    </row>
    <row r="87" spans="1:21">
      <c r="A87" s="338"/>
      <c r="B87" s="413">
        <f>SUMMARY!CD3</f>
        <v>7</v>
      </c>
      <c r="C87" s="338" t="s">
        <v>349</v>
      </c>
      <c r="D87" s="356"/>
      <c r="E87" s="356"/>
      <c r="F87" s="356"/>
      <c r="G87" s="356"/>
      <c r="H87" s="356"/>
      <c r="I87" s="336"/>
      <c r="J87" s="336"/>
      <c r="K87" s="356"/>
      <c r="L87" s="336"/>
      <c r="M87" s="339"/>
      <c r="N87" s="303"/>
      <c r="O87" s="303"/>
      <c r="P87" s="339"/>
      <c r="Q87" s="336"/>
      <c r="R87" s="499"/>
      <c r="S87" s="336"/>
      <c r="T87" s="500"/>
      <c r="U87" s="336"/>
    </row>
    <row r="88" spans="1:21">
      <c r="A88" s="338"/>
      <c r="B88" s="413">
        <f>SUMMARY!CE3</f>
        <v>8</v>
      </c>
      <c r="C88" s="338" t="s">
        <v>349</v>
      </c>
      <c r="D88" s="356"/>
      <c r="E88" s="356"/>
      <c r="F88" s="356"/>
      <c r="G88" s="356"/>
      <c r="H88" s="356"/>
      <c r="I88" s="336"/>
      <c r="J88" s="336"/>
      <c r="K88" s="356"/>
      <c r="L88" s="336"/>
      <c r="M88" s="339"/>
      <c r="N88" s="303"/>
      <c r="O88" s="303"/>
      <c r="P88" s="339"/>
      <c r="Q88" s="336"/>
      <c r="R88" s="499"/>
      <c r="S88" s="336"/>
      <c r="T88" s="500"/>
      <c r="U88" s="336"/>
    </row>
    <row r="89" spans="1:21">
      <c r="A89" s="338"/>
      <c r="B89" s="413"/>
      <c r="C89" s="338"/>
      <c r="D89" s="356"/>
      <c r="E89" s="356"/>
      <c r="F89" s="356"/>
      <c r="G89" s="356"/>
      <c r="H89" s="356"/>
      <c r="I89" s="336"/>
      <c r="J89" s="336"/>
      <c r="K89" s="356"/>
      <c r="L89" s="336"/>
      <c r="M89" s="339"/>
      <c r="N89" s="303"/>
      <c r="O89" s="303"/>
      <c r="P89" s="339"/>
      <c r="Q89" s="336"/>
      <c r="R89" s="499"/>
      <c r="S89" s="336"/>
      <c r="T89" s="500"/>
      <c r="U89" s="336"/>
    </row>
    <row r="90" spans="1:21" ht="13.9" thickBot="1">
      <c r="A90" s="338"/>
      <c r="B90" s="302" t="s">
        <v>72</v>
      </c>
      <c r="C90" s="475"/>
      <c r="D90" s="506">
        <f>SUM(D4:D81)</f>
        <v>236126.2</v>
      </c>
      <c r="E90" s="506">
        <f>SUM(E4:E81)</f>
        <v>1723403.2</v>
      </c>
      <c r="F90" s="506">
        <f>SUM(F4:F81)</f>
        <v>1413670</v>
      </c>
      <c r="G90" s="506">
        <f>SUM(G4:G81)</f>
        <v>-3930.700000000018</v>
      </c>
      <c r="H90" s="506">
        <f>SUM(H4:H81)</f>
        <v>541960.69999999995</v>
      </c>
      <c r="I90" s="336"/>
      <c r="J90" s="336"/>
      <c r="K90" s="507">
        <f>SUM(K4:K81)</f>
        <v>0</v>
      </c>
      <c r="L90" s="508"/>
      <c r="M90" s="339"/>
      <c r="N90" s="303"/>
      <c r="O90" s="303"/>
      <c r="P90" s="339"/>
      <c r="Q90" s="336"/>
      <c r="R90" s="499"/>
      <c r="S90" s="336"/>
      <c r="T90" s="500"/>
      <c r="U90" s="336"/>
    </row>
    <row r="91" spans="1:21">
      <c r="A91" s="496"/>
      <c r="B91" s="501"/>
      <c r="C91" s="473"/>
      <c r="D91" s="339"/>
      <c r="E91" s="339"/>
      <c r="F91" s="339"/>
      <c r="G91" s="339"/>
      <c r="H91" s="339"/>
      <c r="I91" s="339"/>
      <c r="J91" s="339"/>
      <c r="K91" s="339"/>
      <c r="L91" s="339"/>
      <c r="M91" s="339"/>
      <c r="N91" s="299"/>
      <c r="O91" s="299"/>
      <c r="P91" s="339"/>
      <c r="Q91" s="339"/>
      <c r="R91" s="509"/>
      <c r="S91" s="339"/>
      <c r="T91" s="510"/>
      <c r="U91" s="339"/>
    </row>
    <row r="92" spans="1:21">
      <c r="A92" s="496"/>
      <c r="B92" s="501"/>
      <c r="C92" s="473"/>
      <c r="D92" s="339">
        <f>D90-SUM(SUMMARY!B4:AZ4)</f>
        <v>-558.16000000000349</v>
      </c>
      <c r="E92" s="339">
        <f>E90-SUM(SUMMARY!B5:AZ5)</f>
        <v>-2907.3000000000466</v>
      </c>
      <c r="F92" s="339">
        <f>F90-SUM(SUMMARY!B6:AZ6)</f>
        <v>-1611</v>
      </c>
      <c r="G92" s="339">
        <f>G90-SUM(SUMMARY!B7:AZ7)</f>
        <v>0</v>
      </c>
      <c r="H92" s="339">
        <f>H90-SUM(SUMMARY!B8:AZ8)</f>
        <v>-1854.4599999999627</v>
      </c>
      <c r="I92" s="339"/>
      <c r="J92" s="339"/>
      <c r="K92" s="339"/>
      <c r="L92" s="339"/>
      <c r="M92" s="339"/>
      <c r="N92" s="299"/>
      <c r="O92" s="299"/>
      <c r="P92" s="339"/>
      <c r="Q92" s="339"/>
      <c r="R92" s="509"/>
      <c r="S92" s="339"/>
      <c r="T92" s="510"/>
      <c r="U92" s="339"/>
    </row>
    <row r="94" spans="1:21">
      <c r="A94" s="338"/>
      <c r="B94" s="467" t="s">
        <v>318</v>
      </c>
      <c r="C94" s="475"/>
      <c r="D94" s="336"/>
      <c r="E94" s="336"/>
      <c r="F94" s="336"/>
      <c r="G94" s="336"/>
      <c r="H94" s="336"/>
      <c r="I94" s="339"/>
      <c r="J94" s="339"/>
      <c r="K94" s="339"/>
      <c r="L94" s="339"/>
      <c r="M94" s="339"/>
      <c r="N94" s="339"/>
      <c r="O94" s="339"/>
      <c r="P94" s="339"/>
      <c r="Q94" s="339"/>
      <c r="R94" s="509"/>
      <c r="S94" s="339"/>
      <c r="T94" s="510"/>
      <c r="U94" s="339"/>
    </row>
    <row r="95" spans="1:21">
      <c r="A95" s="338" t="s">
        <v>331</v>
      </c>
      <c r="B95" s="474" t="s">
        <v>332</v>
      </c>
      <c r="C95" s="475" t="s">
        <v>333</v>
      </c>
      <c r="D95" s="475" t="s">
        <v>334</v>
      </c>
      <c r="E95" s="475" t="s">
        <v>335</v>
      </c>
      <c r="F95" s="475" t="s">
        <v>166</v>
      </c>
      <c r="G95" s="475" t="s">
        <v>168</v>
      </c>
      <c r="H95" s="475" t="s">
        <v>336</v>
      </c>
      <c r="I95" s="339"/>
      <c r="J95" s="339"/>
      <c r="K95" s="339"/>
      <c r="L95" s="339"/>
      <c r="M95" s="339"/>
      <c r="N95" s="339"/>
      <c r="O95" s="339"/>
      <c r="P95" s="339"/>
      <c r="Q95" s="339"/>
      <c r="R95" s="509"/>
      <c r="S95" s="339"/>
      <c r="T95" s="510"/>
      <c r="U95" s="339"/>
    </row>
    <row r="96" spans="1:21">
      <c r="A96" s="338"/>
      <c r="B96" s="467" t="s">
        <v>345</v>
      </c>
      <c r="C96" s="475"/>
      <c r="D96" s="336"/>
      <c r="E96" s="336"/>
      <c r="F96" s="336"/>
      <c r="G96" s="336"/>
      <c r="H96" s="336"/>
      <c r="I96" s="339"/>
      <c r="J96" s="339"/>
      <c r="K96" s="339"/>
      <c r="L96" s="339"/>
      <c r="M96" s="339"/>
      <c r="N96" s="339"/>
      <c r="O96" s="339"/>
      <c r="P96" s="339"/>
      <c r="Q96" s="339"/>
      <c r="R96" s="509"/>
      <c r="S96" s="339"/>
      <c r="T96" s="510"/>
      <c r="U96" s="339"/>
    </row>
    <row r="97" spans="1:10">
      <c r="A97" s="338">
        <v>1</v>
      </c>
      <c r="B97" s="474" t="s">
        <v>7</v>
      </c>
      <c r="C97" s="475" t="s">
        <v>346</v>
      </c>
      <c r="D97" s="336">
        <v>47850.2</v>
      </c>
      <c r="E97" s="336">
        <v>1015280</v>
      </c>
      <c r="F97" s="336">
        <f>821342-4346.4</f>
        <v>816995.6</v>
      </c>
      <c r="G97" s="336">
        <v>-4346.3999999999996</v>
      </c>
      <c r="H97" s="468">
        <f t="shared" ref="H97:H106" si="1">D97+E97-F97+G97</f>
        <v>241788.19999999998</v>
      </c>
      <c r="I97" s="339">
        <v>47850.200000000114</v>
      </c>
      <c r="J97" s="339" t="s">
        <v>7</v>
      </c>
    </row>
    <row r="98" spans="1:10">
      <c r="A98" s="338">
        <v>2</v>
      </c>
      <c r="B98" s="474" t="s">
        <v>8</v>
      </c>
      <c r="C98" s="475" t="s">
        <v>346</v>
      </c>
      <c r="D98" s="336">
        <v>8696.2000000000007</v>
      </c>
      <c r="E98" s="336">
        <f>361810-2200</f>
        <v>359610</v>
      </c>
      <c r="F98" s="336">
        <v>321757.99999999994</v>
      </c>
      <c r="G98" s="336">
        <v>2200</v>
      </c>
      <c r="H98" s="468">
        <f t="shared" si="1"/>
        <v>48748.20000000007</v>
      </c>
      <c r="I98" s="339">
        <v>8696.1999999999061</v>
      </c>
      <c r="J98" s="339" t="s">
        <v>8</v>
      </c>
    </row>
    <row r="99" spans="1:10">
      <c r="A99" s="338">
        <v>3</v>
      </c>
      <c r="B99" s="474" t="s">
        <v>9</v>
      </c>
      <c r="C99" s="475" t="s">
        <v>346</v>
      </c>
      <c r="D99" s="336">
        <v>40371.299999999996</v>
      </c>
      <c r="E99" s="336">
        <v>90340</v>
      </c>
      <c r="F99" s="336">
        <v>80826.300000000032</v>
      </c>
      <c r="G99" s="336"/>
      <c r="H99" s="468">
        <f t="shared" si="1"/>
        <v>49884.999999999956</v>
      </c>
      <c r="I99" s="339">
        <v>40371.300000000017</v>
      </c>
      <c r="J99" s="339" t="s">
        <v>9</v>
      </c>
    </row>
    <row r="100" spans="1:10">
      <c r="A100" s="338">
        <v>4</v>
      </c>
      <c r="B100" s="474" t="s">
        <v>10</v>
      </c>
      <c r="C100" s="475" t="s">
        <v>346</v>
      </c>
      <c r="D100" s="336">
        <v>33793.700000000012</v>
      </c>
      <c r="E100" s="336">
        <v>86570</v>
      </c>
      <c r="F100" s="336">
        <v>67591.5</v>
      </c>
      <c r="G100" s="336"/>
      <c r="H100" s="468">
        <f t="shared" si="1"/>
        <v>52772.200000000012</v>
      </c>
      <c r="I100" s="339">
        <v>33793.700000000026</v>
      </c>
      <c r="J100" s="339" t="s">
        <v>10</v>
      </c>
    </row>
    <row r="101" spans="1:10">
      <c r="A101" s="338">
        <v>5</v>
      </c>
      <c r="B101" s="474" t="s">
        <v>12</v>
      </c>
      <c r="C101" s="475" t="s">
        <v>346</v>
      </c>
      <c r="D101" s="336">
        <v>29510.099999999991</v>
      </c>
      <c r="E101" s="336">
        <f>31596.3-566.3</f>
        <v>31030</v>
      </c>
      <c r="F101" s="336">
        <v>26789.699999999993</v>
      </c>
      <c r="G101" s="336">
        <v>566.29999999999995</v>
      </c>
      <c r="H101" s="468">
        <f t="shared" si="1"/>
        <v>34316.699999999997</v>
      </c>
      <c r="I101" s="339">
        <v>29510.099999999991</v>
      </c>
      <c r="J101" s="339" t="s">
        <v>12</v>
      </c>
    </row>
    <row r="102" spans="1:10">
      <c r="A102" s="338">
        <v>6</v>
      </c>
      <c r="B102" s="474" t="s">
        <v>13</v>
      </c>
      <c r="C102" s="475" t="s">
        <v>346</v>
      </c>
      <c r="D102" s="336">
        <v>6360.0000000000073</v>
      </c>
      <c r="E102" s="336">
        <f>45437.7-1257.7</f>
        <v>44180</v>
      </c>
      <c r="F102" s="336">
        <v>29873.600000000002</v>
      </c>
      <c r="G102" s="336">
        <v>1257.7</v>
      </c>
      <c r="H102" s="468">
        <f t="shared" si="1"/>
        <v>21924.100000000006</v>
      </c>
      <c r="I102" s="339">
        <v>6360</v>
      </c>
      <c r="J102" s="339" t="s">
        <v>13</v>
      </c>
    </row>
    <row r="103" spans="1:10">
      <c r="A103" s="338">
        <v>7</v>
      </c>
      <c r="B103" s="474" t="s">
        <v>350</v>
      </c>
      <c r="C103" s="475" t="s">
        <v>346</v>
      </c>
      <c r="D103" s="336">
        <v>0</v>
      </c>
      <c r="E103" s="336">
        <v>28058.399999999998</v>
      </c>
      <c r="F103" s="336">
        <v>28058.399999999998</v>
      </c>
      <c r="G103" s="336"/>
      <c r="H103" s="468">
        <f t="shared" si="1"/>
        <v>0</v>
      </c>
      <c r="I103" s="339">
        <v>0</v>
      </c>
      <c r="J103" s="339" t="s">
        <v>350</v>
      </c>
    </row>
    <row r="104" spans="1:10">
      <c r="A104" s="338">
        <v>8</v>
      </c>
      <c r="B104" s="474" t="s">
        <v>15</v>
      </c>
      <c r="C104" s="475" t="s">
        <v>346</v>
      </c>
      <c r="D104" s="336">
        <v>512.5</v>
      </c>
      <c r="E104" s="336">
        <v>3000</v>
      </c>
      <c r="F104" s="336">
        <v>228</v>
      </c>
      <c r="G104" s="336"/>
      <c r="H104" s="468">
        <f t="shared" si="1"/>
        <v>3284.5</v>
      </c>
      <c r="I104" s="339">
        <v>512.5</v>
      </c>
      <c r="J104" s="339" t="s">
        <v>15</v>
      </c>
    </row>
    <row r="105" spans="1:10">
      <c r="A105" s="338">
        <v>9</v>
      </c>
      <c r="B105" s="474" t="s">
        <v>351</v>
      </c>
      <c r="C105" s="475" t="s">
        <v>346</v>
      </c>
      <c r="D105" s="336">
        <v>0</v>
      </c>
      <c r="E105" s="336">
        <v>896.8</v>
      </c>
      <c r="F105" s="336">
        <v>896.8</v>
      </c>
      <c r="G105" s="336"/>
      <c r="H105" s="468">
        <f t="shared" si="1"/>
        <v>0</v>
      </c>
      <c r="I105" s="339">
        <v>0</v>
      </c>
      <c r="J105" s="339" t="s">
        <v>351</v>
      </c>
    </row>
    <row r="106" spans="1:10">
      <c r="A106" s="338">
        <v>10</v>
      </c>
      <c r="B106" s="474" t="s">
        <v>19</v>
      </c>
      <c r="C106" s="475" t="s">
        <v>346</v>
      </c>
      <c r="D106" s="336">
        <v>31341.199999999997</v>
      </c>
      <c r="E106" s="336">
        <v>0</v>
      </c>
      <c r="F106" s="336">
        <v>9168.4</v>
      </c>
      <c r="G106" s="336"/>
      <c r="H106" s="468">
        <f t="shared" si="1"/>
        <v>22172.799999999996</v>
      </c>
      <c r="I106" s="339">
        <v>31341.200000000001</v>
      </c>
      <c r="J106" s="339" t="s">
        <v>19</v>
      </c>
    </row>
    <row r="107" spans="1:10">
      <c r="A107" s="338"/>
      <c r="B107" s="474"/>
      <c r="C107" s="475"/>
      <c r="D107" s="336"/>
      <c r="E107" s="336"/>
      <c r="F107" s="336"/>
      <c r="G107" s="336"/>
      <c r="H107" s="336"/>
      <c r="I107" s="339"/>
      <c r="J107" s="339"/>
    </row>
    <row r="108" spans="1:10">
      <c r="A108" s="338"/>
      <c r="B108" s="467" t="s">
        <v>347</v>
      </c>
      <c r="C108" s="475"/>
      <c r="D108" s="336"/>
      <c r="E108" s="336"/>
      <c r="F108" s="336"/>
      <c r="G108" s="336"/>
      <c r="H108" s="336"/>
      <c r="I108" s="339"/>
      <c r="J108" s="339"/>
    </row>
    <row r="109" spans="1:10">
      <c r="A109" s="338">
        <v>1</v>
      </c>
      <c r="B109" s="474" t="s">
        <v>23</v>
      </c>
      <c r="C109" s="475" t="s">
        <v>346</v>
      </c>
      <c r="D109" s="336">
        <v>3540</v>
      </c>
      <c r="E109" s="336">
        <v>0</v>
      </c>
      <c r="F109" s="336">
        <v>0</v>
      </c>
      <c r="G109" s="336"/>
      <c r="H109" s="468">
        <f t="shared" ref="H109:H130" si="2">D109+E109-F109+G109</f>
        <v>3540</v>
      </c>
      <c r="I109" s="339"/>
      <c r="J109" s="339"/>
    </row>
    <row r="110" spans="1:10">
      <c r="A110" s="338">
        <v>2</v>
      </c>
      <c r="B110" s="474" t="s">
        <v>24</v>
      </c>
      <c r="C110" s="475" t="s">
        <v>346</v>
      </c>
      <c r="D110" s="336">
        <v>1960</v>
      </c>
      <c r="E110" s="336">
        <v>2000</v>
      </c>
      <c r="F110" s="336">
        <v>0</v>
      </c>
      <c r="G110" s="336"/>
      <c r="H110" s="468">
        <f t="shared" si="2"/>
        <v>3960</v>
      </c>
      <c r="I110" s="339"/>
      <c r="J110" s="339"/>
    </row>
    <row r="111" spans="1:10">
      <c r="A111" s="338">
        <v>3</v>
      </c>
      <c r="B111" s="474" t="s">
        <v>25</v>
      </c>
      <c r="C111" s="475" t="s">
        <v>346</v>
      </c>
      <c r="D111" s="336">
        <v>2960</v>
      </c>
      <c r="E111" s="336">
        <f>8000-4000</f>
        <v>4000</v>
      </c>
      <c r="F111" s="336">
        <v>7720</v>
      </c>
      <c r="G111" s="336">
        <v>4000</v>
      </c>
      <c r="H111" s="468">
        <f t="shared" si="2"/>
        <v>3240</v>
      </c>
      <c r="I111" s="339"/>
      <c r="J111" s="339"/>
    </row>
    <row r="112" spans="1:10">
      <c r="A112" s="338">
        <v>4</v>
      </c>
      <c r="B112" s="474" t="s">
        <v>28</v>
      </c>
      <c r="C112" s="475" t="s">
        <v>346</v>
      </c>
      <c r="D112" s="336">
        <v>3980</v>
      </c>
      <c r="E112" s="336">
        <v>0</v>
      </c>
      <c r="F112" s="336">
        <v>3040</v>
      </c>
      <c r="G112" s="336">
        <v>500</v>
      </c>
      <c r="H112" s="468">
        <f t="shared" si="2"/>
        <v>1440</v>
      </c>
      <c r="I112" s="339"/>
      <c r="J112" s="339"/>
    </row>
    <row r="113" spans="1:8">
      <c r="A113" s="338">
        <v>5</v>
      </c>
      <c r="B113" s="474" t="s">
        <v>29</v>
      </c>
      <c r="C113" s="475" t="s">
        <v>346</v>
      </c>
      <c r="D113" s="336">
        <v>2960</v>
      </c>
      <c r="E113" s="336">
        <v>0</v>
      </c>
      <c r="F113" s="336">
        <v>0</v>
      </c>
      <c r="G113" s="336">
        <v>2140</v>
      </c>
      <c r="H113" s="468">
        <f t="shared" si="2"/>
        <v>5100</v>
      </c>
    </row>
    <row r="114" spans="1:8">
      <c r="A114" s="338">
        <v>6</v>
      </c>
      <c r="B114" s="474" t="s">
        <v>30</v>
      </c>
      <c r="C114" s="475" t="s">
        <v>346</v>
      </c>
      <c r="D114" s="336">
        <v>2040</v>
      </c>
      <c r="E114" s="336">
        <f>24520-2520</f>
        <v>22000</v>
      </c>
      <c r="F114" s="336">
        <v>13520</v>
      </c>
      <c r="G114" s="336">
        <v>2520</v>
      </c>
      <c r="H114" s="468">
        <f t="shared" si="2"/>
        <v>13040</v>
      </c>
    </row>
    <row r="115" spans="1:8">
      <c r="A115" s="338">
        <v>7</v>
      </c>
      <c r="B115" s="474" t="s">
        <v>31</v>
      </c>
      <c r="C115" s="475" t="s">
        <v>346</v>
      </c>
      <c r="D115" s="336">
        <v>7520</v>
      </c>
      <c r="E115" s="336">
        <v>12000</v>
      </c>
      <c r="F115" s="336">
        <v>5200</v>
      </c>
      <c r="G115" s="336"/>
      <c r="H115" s="468">
        <f t="shared" si="2"/>
        <v>14320</v>
      </c>
    </row>
    <row r="116" spans="1:8">
      <c r="A116" s="338">
        <v>8</v>
      </c>
      <c r="B116" s="474" t="s">
        <v>32</v>
      </c>
      <c r="C116" s="475" t="s">
        <v>346</v>
      </c>
      <c r="D116" s="336">
        <v>6800</v>
      </c>
      <c r="E116" s="336">
        <v>0</v>
      </c>
      <c r="F116" s="336">
        <v>0</v>
      </c>
      <c r="G116" s="336"/>
      <c r="H116" s="468">
        <f t="shared" si="2"/>
        <v>6800</v>
      </c>
    </row>
    <row r="117" spans="1:8">
      <c r="A117" s="338">
        <v>9</v>
      </c>
      <c r="B117" s="474" t="s">
        <v>33</v>
      </c>
      <c r="C117" s="475" t="s">
        <v>346</v>
      </c>
      <c r="D117" s="336">
        <v>4400</v>
      </c>
      <c r="E117" s="336">
        <v>1000</v>
      </c>
      <c r="F117" s="336">
        <v>0</v>
      </c>
      <c r="G117" s="336"/>
      <c r="H117" s="468">
        <f t="shared" si="2"/>
        <v>5400</v>
      </c>
    </row>
    <row r="118" spans="1:8">
      <c r="A118" s="338">
        <v>10</v>
      </c>
      <c r="B118" s="474" t="s">
        <v>34</v>
      </c>
      <c r="C118" s="475" t="s">
        <v>346</v>
      </c>
      <c r="D118" s="336">
        <v>0</v>
      </c>
      <c r="E118" s="336">
        <v>2260</v>
      </c>
      <c r="F118" s="336">
        <v>0</v>
      </c>
      <c r="G118" s="336"/>
      <c r="H118" s="468">
        <f t="shared" si="2"/>
        <v>2260</v>
      </c>
    </row>
    <row r="119" spans="1:8">
      <c r="A119" s="338">
        <v>11</v>
      </c>
      <c r="B119" s="474" t="s">
        <v>39</v>
      </c>
      <c r="C119" s="475" t="s">
        <v>346</v>
      </c>
      <c r="D119" s="336">
        <v>1531</v>
      </c>
      <c r="E119" s="336">
        <v>1000</v>
      </c>
      <c r="F119" s="336">
        <v>562</v>
      </c>
      <c r="G119" s="336"/>
      <c r="H119" s="468">
        <f t="shared" si="2"/>
        <v>1969</v>
      </c>
    </row>
    <row r="120" spans="1:8">
      <c r="A120" s="338">
        <v>12</v>
      </c>
      <c r="B120" s="474" t="s">
        <v>352</v>
      </c>
      <c r="C120" s="475" t="s">
        <v>346</v>
      </c>
      <c r="D120" s="336">
        <v>0</v>
      </c>
      <c r="E120" s="336">
        <v>2994</v>
      </c>
      <c r="F120" s="336">
        <v>2994</v>
      </c>
      <c r="G120" s="336"/>
      <c r="H120" s="468">
        <f t="shared" si="2"/>
        <v>0</v>
      </c>
    </row>
    <row r="121" spans="1:8">
      <c r="A121" s="338">
        <v>13</v>
      </c>
      <c r="B121" s="474" t="s">
        <v>43</v>
      </c>
      <c r="C121" s="475" t="s">
        <v>346</v>
      </c>
      <c r="D121" s="336">
        <v>35.199999999999989</v>
      </c>
      <c r="E121" s="336">
        <v>2100</v>
      </c>
      <c r="F121" s="336">
        <v>456</v>
      </c>
      <c r="G121" s="336"/>
      <c r="H121" s="468">
        <f t="shared" si="2"/>
        <v>1679.1999999999998</v>
      </c>
    </row>
    <row r="122" spans="1:8">
      <c r="A122" s="338">
        <v>14</v>
      </c>
      <c r="B122" s="474" t="s">
        <v>63</v>
      </c>
      <c r="C122" s="475" t="s">
        <v>346</v>
      </c>
      <c r="D122" s="336">
        <v>-319.59999999999997</v>
      </c>
      <c r="E122" s="336">
        <v>0</v>
      </c>
      <c r="F122" s="336">
        <v>0</v>
      </c>
      <c r="G122" s="336"/>
      <c r="H122" s="468">
        <f t="shared" si="2"/>
        <v>-319.59999999999997</v>
      </c>
    </row>
    <row r="123" spans="1:8">
      <c r="A123" s="338">
        <v>15</v>
      </c>
      <c r="B123" s="474" t="s">
        <v>45</v>
      </c>
      <c r="C123" s="475" t="s">
        <v>346</v>
      </c>
      <c r="D123" s="336">
        <v>349</v>
      </c>
      <c r="E123" s="336"/>
      <c r="F123" s="336">
        <v>282</v>
      </c>
      <c r="G123" s="336"/>
      <c r="H123" s="468">
        <f>D123+E123-F123+G123</f>
        <v>67</v>
      </c>
    </row>
    <row r="124" spans="1:8">
      <c r="A124" s="338">
        <v>16</v>
      </c>
      <c r="B124" s="474" t="s">
        <v>46</v>
      </c>
      <c r="C124" s="475" t="s">
        <v>346</v>
      </c>
      <c r="D124" s="336">
        <v>0</v>
      </c>
      <c r="E124" s="336">
        <v>806</v>
      </c>
      <c r="F124" s="336">
        <v>806</v>
      </c>
      <c r="G124" s="336"/>
      <c r="H124" s="468">
        <f t="shared" si="2"/>
        <v>0</v>
      </c>
    </row>
    <row r="125" spans="1:8">
      <c r="A125" s="338">
        <v>17</v>
      </c>
      <c r="B125" s="474" t="s">
        <v>47</v>
      </c>
      <c r="C125" s="475" t="s">
        <v>346</v>
      </c>
      <c r="D125" s="336">
        <v>160</v>
      </c>
      <c r="E125" s="336">
        <v>0</v>
      </c>
      <c r="F125" s="336">
        <v>0</v>
      </c>
      <c r="G125" s="336"/>
      <c r="H125" s="468">
        <f t="shared" si="2"/>
        <v>160</v>
      </c>
    </row>
    <row r="126" spans="1:8">
      <c r="A126" s="338">
        <v>18</v>
      </c>
      <c r="B126" s="474" t="s">
        <v>48</v>
      </c>
      <c r="C126" s="475" t="s">
        <v>346</v>
      </c>
      <c r="D126" s="336">
        <v>13.960000000000036</v>
      </c>
      <c r="E126" s="336">
        <v>0</v>
      </c>
      <c r="F126" s="336">
        <v>0</v>
      </c>
      <c r="G126" s="336"/>
      <c r="H126" s="468">
        <f t="shared" si="2"/>
        <v>13.960000000000036</v>
      </c>
    </row>
    <row r="127" spans="1:8">
      <c r="A127" s="338">
        <v>19</v>
      </c>
      <c r="B127" s="474" t="s">
        <v>51</v>
      </c>
      <c r="C127" s="475" t="s">
        <v>346</v>
      </c>
      <c r="D127" s="336">
        <v>207.6</v>
      </c>
      <c r="E127" s="336">
        <v>0</v>
      </c>
      <c r="F127" s="336">
        <v>0</v>
      </c>
      <c r="G127" s="336"/>
      <c r="H127" s="468">
        <f t="shared" si="2"/>
        <v>207.6</v>
      </c>
    </row>
    <row r="128" spans="1:8">
      <c r="A128" s="338">
        <v>20</v>
      </c>
      <c r="B128" s="474" t="s">
        <v>52</v>
      </c>
      <c r="C128" s="475" t="s">
        <v>346</v>
      </c>
      <c r="D128" s="336">
        <v>201.8</v>
      </c>
      <c r="E128" s="336">
        <v>0</v>
      </c>
      <c r="F128" s="336">
        <v>0</v>
      </c>
      <c r="G128" s="336"/>
      <c r="H128" s="468">
        <f t="shared" si="2"/>
        <v>201.8</v>
      </c>
    </row>
    <row r="129" spans="1:8">
      <c r="A129" s="338">
        <v>21</v>
      </c>
      <c r="B129" s="474" t="s">
        <v>53</v>
      </c>
      <c r="C129" s="475" t="s">
        <v>346</v>
      </c>
      <c r="D129" s="336">
        <v>22.720000000000002</v>
      </c>
      <c r="E129" s="336">
        <v>0</v>
      </c>
      <c r="F129" s="336">
        <v>0</v>
      </c>
      <c r="G129" s="336"/>
      <c r="H129" s="468">
        <f t="shared" si="2"/>
        <v>22.720000000000002</v>
      </c>
    </row>
    <row r="130" spans="1:8">
      <c r="A130" s="338">
        <v>22</v>
      </c>
      <c r="B130" s="474" t="s">
        <v>57</v>
      </c>
      <c r="C130" s="475" t="s">
        <v>346</v>
      </c>
      <c r="D130" s="336">
        <v>0</v>
      </c>
      <c r="E130" s="336">
        <v>270</v>
      </c>
      <c r="F130" s="336">
        <v>0</v>
      </c>
      <c r="G130" s="336"/>
      <c r="H130" s="468">
        <f t="shared" si="2"/>
        <v>270</v>
      </c>
    </row>
    <row r="131" spans="1:8">
      <c r="A131" s="338"/>
      <c r="B131" s="474"/>
      <c r="C131" s="475"/>
      <c r="D131" s="336"/>
      <c r="E131" s="336"/>
      <c r="F131" s="336"/>
      <c r="G131" s="336"/>
      <c r="H131" s="336"/>
    </row>
    <row r="132" spans="1:8">
      <c r="A132" s="338"/>
      <c r="B132" s="467" t="s">
        <v>348</v>
      </c>
      <c r="C132" s="475"/>
      <c r="D132" s="336"/>
      <c r="E132" s="336"/>
      <c r="F132" s="336"/>
      <c r="G132" s="336"/>
      <c r="H132" s="336"/>
    </row>
    <row r="133" spans="1:8">
      <c r="A133" s="338">
        <v>1</v>
      </c>
      <c r="B133" s="474" t="s">
        <v>65</v>
      </c>
      <c r="C133" s="475" t="s">
        <v>349</v>
      </c>
      <c r="D133" s="336">
        <v>5877</v>
      </c>
      <c r="E133" s="336">
        <v>4063</v>
      </c>
      <c r="F133" s="336">
        <v>331</v>
      </c>
      <c r="G133" s="336"/>
      <c r="H133" s="468">
        <f t="shared" ref="H133:H138" si="3">D133+E133-F133+G133</f>
        <v>9609</v>
      </c>
    </row>
    <row r="134" spans="1:8">
      <c r="A134" s="338">
        <v>2</v>
      </c>
      <c r="B134" s="474" t="s">
        <v>66</v>
      </c>
      <c r="C134" s="475" t="s">
        <v>349</v>
      </c>
      <c r="D134" s="336">
        <v>5267</v>
      </c>
      <c r="E134" s="336">
        <v>2882</v>
      </c>
      <c r="F134" s="336">
        <v>0</v>
      </c>
      <c r="G134" s="336"/>
      <c r="H134" s="468">
        <f t="shared" si="3"/>
        <v>8149</v>
      </c>
    </row>
    <row r="135" spans="1:8">
      <c r="A135" s="338">
        <v>3</v>
      </c>
      <c r="B135" s="474" t="s">
        <v>67</v>
      </c>
      <c r="C135" s="475" t="s">
        <v>349</v>
      </c>
      <c r="D135" s="336">
        <v>4457</v>
      </c>
      <c r="E135" s="336">
        <v>4347</v>
      </c>
      <c r="F135" s="336">
        <v>7893</v>
      </c>
      <c r="G135" s="336"/>
      <c r="H135" s="468">
        <f t="shared" si="3"/>
        <v>911</v>
      </c>
    </row>
    <row r="136" spans="1:8">
      <c r="A136" s="338">
        <v>4</v>
      </c>
      <c r="B136" s="474" t="s">
        <v>68</v>
      </c>
      <c r="C136" s="475" t="s">
        <v>349</v>
      </c>
      <c r="D136" s="336">
        <v>6772</v>
      </c>
      <c r="E136" s="336">
        <v>3000</v>
      </c>
      <c r="F136" s="336">
        <v>3532</v>
      </c>
      <c r="G136" s="336"/>
      <c r="H136" s="468">
        <f t="shared" si="3"/>
        <v>6240</v>
      </c>
    </row>
    <row r="137" spans="1:8">
      <c r="A137" s="338">
        <v>5</v>
      </c>
      <c r="B137" s="474" t="s">
        <v>69</v>
      </c>
      <c r="C137" s="475" t="s">
        <v>349</v>
      </c>
      <c r="D137" s="336">
        <v>1901</v>
      </c>
      <c r="E137" s="336">
        <v>0</v>
      </c>
      <c r="F137" s="336">
        <v>0</v>
      </c>
      <c r="G137" s="336"/>
      <c r="H137" s="468">
        <f t="shared" si="3"/>
        <v>1901</v>
      </c>
    </row>
    <row r="138" spans="1:8">
      <c r="A138" s="338">
        <v>6</v>
      </c>
      <c r="B138" s="474" t="s">
        <v>70</v>
      </c>
      <c r="C138" s="475" t="s">
        <v>349</v>
      </c>
      <c r="D138" s="336">
        <v>4175</v>
      </c>
      <c r="E138" s="336">
        <v>0</v>
      </c>
      <c r="F138" s="336">
        <v>0</v>
      </c>
      <c r="G138" s="336"/>
      <c r="H138" s="468">
        <f t="shared" si="3"/>
        <v>4175</v>
      </c>
    </row>
    <row r="139" spans="1:8">
      <c r="A139" s="338"/>
      <c r="B139" s="474"/>
      <c r="C139" s="475"/>
      <c r="D139" s="336"/>
      <c r="E139" s="336"/>
      <c r="F139" s="336"/>
      <c r="G139" s="336"/>
      <c r="H139" s="336"/>
    </row>
    <row r="140" spans="1:8" ht="13.9" thickBot="1">
      <c r="A140" s="338"/>
      <c r="B140" s="467" t="s">
        <v>72</v>
      </c>
      <c r="C140" s="298"/>
      <c r="D140" s="469">
        <f t="shared" ref="D140:G140" si="4">SUM(D97:D138)</f>
        <v>265245.88</v>
      </c>
      <c r="E140" s="469">
        <f t="shared" si="4"/>
        <v>1723687.2</v>
      </c>
      <c r="F140" s="469">
        <f t="shared" si="4"/>
        <v>1428522.2999999998</v>
      </c>
      <c r="G140" s="469">
        <f t="shared" si="4"/>
        <v>8837.6</v>
      </c>
      <c r="H140" s="469">
        <f>SUM(H97:H138)</f>
        <v>569248.37999999989</v>
      </c>
    </row>
    <row r="141" spans="1:8" ht="13.9" thickTop="1">
      <c r="A141" s="496"/>
      <c r="B141" s="329"/>
      <c r="C141" s="473"/>
      <c r="D141" s="339"/>
      <c r="E141" s="339"/>
      <c r="F141" s="339"/>
      <c r="G141" s="339"/>
      <c r="H141" s="339"/>
    </row>
    <row r="142" spans="1:8">
      <c r="A142" s="496"/>
      <c r="B142" s="472" t="s">
        <v>353</v>
      </c>
      <c r="C142" s="473"/>
      <c r="D142" s="339"/>
      <c r="E142" s="339"/>
      <c r="F142" s="339"/>
      <c r="G142" s="339"/>
      <c r="H142" s="339"/>
    </row>
    <row r="143" spans="1:8">
      <c r="A143" s="496"/>
      <c r="B143" s="474" t="s">
        <v>8</v>
      </c>
      <c r="C143" s="475" t="s">
        <v>346</v>
      </c>
      <c r="D143" s="336">
        <v>2200</v>
      </c>
      <c r="E143" s="339"/>
      <c r="F143" s="339"/>
      <c r="G143" s="339"/>
      <c r="H143" s="339"/>
    </row>
    <row r="144" spans="1:8">
      <c r="A144" s="496"/>
      <c r="B144" s="474" t="s">
        <v>12</v>
      </c>
      <c r="C144" s="475" t="s">
        <v>346</v>
      </c>
      <c r="D144" s="336">
        <v>566.29999999999995</v>
      </c>
      <c r="E144" s="339"/>
      <c r="F144" s="339"/>
      <c r="G144" s="339"/>
      <c r="H144" s="339"/>
    </row>
    <row r="145" spans="2:8">
      <c r="B145" s="474" t="s">
        <v>13</v>
      </c>
      <c r="C145" s="475" t="s">
        <v>346</v>
      </c>
      <c r="D145" s="336">
        <v>1257.7</v>
      </c>
      <c r="E145" s="339"/>
      <c r="F145" s="339"/>
      <c r="G145" s="339"/>
      <c r="H145" s="339"/>
    </row>
    <row r="146" spans="2:8">
      <c r="B146" s="329" t="s">
        <v>354</v>
      </c>
      <c r="C146" s="473"/>
      <c r="D146" s="339"/>
      <c r="E146" s="339"/>
      <c r="F146" s="339"/>
      <c r="G146" s="339"/>
      <c r="H146" s="339"/>
    </row>
    <row r="147" spans="2:8">
      <c r="B147" s="329"/>
      <c r="C147" s="473"/>
      <c r="D147" s="339"/>
      <c r="E147" s="339"/>
      <c r="F147" s="339"/>
      <c r="G147" s="339"/>
      <c r="H147" s="339"/>
    </row>
    <row r="148" spans="2:8">
      <c r="B148" s="474" t="s">
        <v>25</v>
      </c>
      <c r="C148" s="475" t="s">
        <v>346</v>
      </c>
      <c r="D148" s="336">
        <v>4000</v>
      </c>
      <c r="E148" s="339"/>
      <c r="F148" s="339"/>
      <c r="G148" s="339"/>
      <c r="H148" s="339"/>
    </row>
    <row r="149" spans="2:8">
      <c r="B149" s="474" t="s">
        <v>28</v>
      </c>
      <c r="C149" s="475" t="s">
        <v>346</v>
      </c>
      <c r="D149" s="336">
        <v>500</v>
      </c>
      <c r="E149" s="339"/>
      <c r="F149" s="339"/>
      <c r="G149" s="339"/>
      <c r="H149" s="339"/>
    </row>
    <row r="150" spans="2:8">
      <c r="B150" s="474" t="s">
        <v>29</v>
      </c>
      <c r="C150" s="475" t="s">
        <v>346</v>
      </c>
      <c r="D150" s="336">
        <v>2140</v>
      </c>
      <c r="E150" s="339"/>
      <c r="F150" s="339"/>
      <c r="G150" s="339"/>
      <c r="H150" s="339"/>
    </row>
    <row r="151" spans="2:8">
      <c r="B151" s="474" t="s">
        <v>30</v>
      </c>
      <c r="C151" s="475" t="s">
        <v>346</v>
      </c>
      <c r="D151" s="336">
        <v>2520</v>
      </c>
      <c r="E151" s="339"/>
      <c r="F151" s="339"/>
      <c r="G151" s="339"/>
      <c r="H151" s="339"/>
    </row>
    <row r="152" spans="2:8">
      <c r="B152" s="329" t="s">
        <v>355</v>
      </c>
      <c r="C152" s="473"/>
      <c r="D152" s="339"/>
      <c r="E152" s="339"/>
      <c r="F152" s="339"/>
      <c r="G152" s="339"/>
      <c r="H152" s="339"/>
    </row>
    <row r="153" spans="2:8">
      <c r="B153" s="329" t="s">
        <v>356</v>
      </c>
      <c r="C153" s="473"/>
      <c r="D153" s="339"/>
      <c r="E153" s="339"/>
      <c r="F153" s="339"/>
      <c r="G153" s="339"/>
      <c r="H153" s="339"/>
    </row>
    <row r="154" spans="2:8">
      <c r="B154" s="329"/>
      <c r="C154" s="473"/>
      <c r="D154" s="339"/>
      <c r="E154" s="339"/>
      <c r="F154" s="339"/>
      <c r="G154" s="339"/>
      <c r="H154" s="339"/>
    </row>
    <row r="155" spans="2:8">
      <c r="B155" s="472" t="s">
        <v>357</v>
      </c>
      <c r="C155" s="473"/>
      <c r="D155" s="339"/>
      <c r="E155" s="339"/>
      <c r="F155" s="339"/>
      <c r="G155" s="339"/>
      <c r="H155" s="339"/>
    </row>
    <row r="156" spans="2:8">
      <c r="B156" s="474" t="s">
        <v>7</v>
      </c>
      <c r="C156" s="475" t="s">
        <v>346</v>
      </c>
      <c r="D156" s="336">
        <v>-4346.3999999999996</v>
      </c>
      <c r="E156" s="339"/>
      <c r="F156" s="339"/>
      <c r="G156" s="339"/>
      <c r="H156" s="339"/>
    </row>
    <row r="157" spans="2:8">
      <c r="B157" s="329" t="s">
        <v>354</v>
      </c>
      <c r="C157" s="473"/>
      <c r="D157" s="339"/>
      <c r="E157" s="339"/>
      <c r="F157" s="339"/>
      <c r="G157" s="339"/>
      <c r="H157" s="339"/>
    </row>
    <row r="158" spans="2:8">
      <c r="B158" s="329"/>
      <c r="C158" s="473"/>
      <c r="D158" s="339"/>
      <c r="E158" s="339"/>
      <c r="F158" s="339"/>
      <c r="G158" s="339"/>
      <c r="H158" s="339"/>
    </row>
    <row r="159" spans="2:8">
      <c r="B159" s="329"/>
      <c r="C159" s="473"/>
      <c r="D159" s="339"/>
      <c r="E159" s="339"/>
      <c r="F159" s="339"/>
      <c r="G159" s="339"/>
      <c r="H159" s="339"/>
    </row>
    <row r="160" spans="2:8">
      <c r="B160" s="329"/>
      <c r="C160" s="473"/>
      <c r="D160" s="339"/>
      <c r="E160" s="339"/>
      <c r="F160" s="339"/>
      <c r="G160" s="339"/>
      <c r="H160" s="339"/>
    </row>
    <row r="161" spans="1:8">
      <c r="A161" s="496"/>
      <c r="B161" s="329"/>
      <c r="C161" s="473"/>
      <c r="D161" s="339"/>
      <c r="E161" s="339"/>
      <c r="F161" s="339"/>
      <c r="G161" s="339"/>
      <c r="H161" s="339"/>
    </row>
    <row r="162" spans="1:8">
      <c r="A162" s="496"/>
      <c r="B162" s="329"/>
      <c r="C162" s="473"/>
      <c r="D162" s="339"/>
      <c r="E162" s="339"/>
      <c r="F162" s="339"/>
      <c r="G162" s="339"/>
      <c r="H162" s="339"/>
    </row>
    <row r="163" spans="1:8">
      <c r="A163" s="496"/>
      <c r="B163" s="329"/>
      <c r="C163" s="473"/>
      <c r="D163" s="339"/>
      <c r="E163" s="339"/>
      <c r="F163" s="339"/>
      <c r="G163" s="339"/>
      <c r="H163" s="339"/>
    </row>
    <row r="164" spans="1:8">
      <c r="A164" s="496"/>
      <c r="B164" s="329"/>
      <c r="C164" s="473"/>
      <c r="D164" s="339"/>
      <c r="E164" s="339"/>
      <c r="F164" s="339"/>
      <c r="G164" s="339"/>
      <c r="H164" s="339"/>
    </row>
    <row r="165" spans="1:8">
      <c r="A165" s="496"/>
      <c r="B165" s="329"/>
      <c r="C165" s="473"/>
      <c r="D165" s="339"/>
      <c r="E165" s="339"/>
      <c r="F165" s="339"/>
      <c r="G165" s="339"/>
      <c r="H165" s="339"/>
    </row>
    <row r="166" spans="1:8">
      <c r="A166" s="496"/>
      <c r="B166" s="329"/>
      <c r="C166" s="473"/>
      <c r="D166" s="339"/>
      <c r="E166" s="339"/>
      <c r="F166" s="339"/>
      <c r="G166" s="339"/>
      <c r="H166" s="339"/>
    </row>
    <row r="167" spans="1:8">
      <c r="A167" s="496"/>
      <c r="B167" s="329" t="s">
        <v>358</v>
      </c>
      <c r="C167" s="473"/>
      <c r="D167" s="339"/>
      <c r="E167" s="339"/>
      <c r="F167" s="339"/>
      <c r="G167" s="339" t="s">
        <v>359</v>
      </c>
      <c r="H167" s="339"/>
    </row>
    <row r="170" spans="1:8">
      <c r="A170" s="496"/>
      <c r="B170" s="329"/>
      <c r="C170" s="473"/>
      <c r="D170" s="339"/>
      <c r="E170" s="339"/>
      <c r="F170" s="339"/>
      <c r="G170" s="339"/>
      <c r="H170" s="339" t="s">
        <v>360</v>
      </c>
    </row>
    <row r="171" spans="1:8">
      <c r="A171" s="338"/>
      <c r="B171" s="467" t="s">
        <v>318</v>
      </c>
      <c r="C171" s="475"/>
      <c r="D171" s="336"/>
      <c r="E171" s="336"/>
      <c r="F171" s="336"/>
      <c r="G171" s="336"/>
      <c r="H171" s="336"/>
    </row>
    <row r="172" spans="1:8">
      <c r="A172" s="338" t="s">
        <v>331</v>
      </c>
      <c r="B172" s="474" t="s">
        <v>332</v>
      </c>
      <c r="C172" s="475" t="s">
        <v>333</v>
      </c>
      <c r="D172" s="475" t="s">
        <v>334</v>
      </c>
      <c r="E172" s="475" t="s">
        <v>335</v>
      </c>
      <c r="F172" s="475" t="s">
        <v>166</v>
      </c>
      <c r="G172" s="475" t="s">
        <v>168</v>
      </c>
      <c r="H172" s="475" t="s">
        <v>336</v>
      </c>
    </row>
    <row r="173" spans="1:8">
      <c r="A173" s="338"/>
      <c r="B173" s="467" t="s">
        <v>345</v>
      </c>
      <c r="C173" s="475"/>
      <c r="D173" s="336"/>
      <c r="E173" s="336"/>
      <c r="F173" s="336"/>
      <c r="G173" s="336"/>
      <c r="H173" s="336"/>
    </row>
    <row r="174" spans="1:8">
      <c r="A174" s="338">
        <v>1</v>
      </c>
      <c r="B174" s="474" t="s">
        <v>7</v>
      </c>
      <c r="C174" s="475" t="s">
        <v>346</v>
      </c>
      <c r="D174" s="336">
        <v>47850.2</v>
      </c>
      <c r="E174" s="336">
        <v>1015280</v>
      </c>
      <c r="F174" s="336">
        <f>821342-4346.4</f>
        <v>816995.6</v>
      </c>
      <c r="G174" s="336">
        <v>-4346.3999999999996</v>
      </c>
      <c r="H174" s="468">
        <f t="shared" ref="H174:H183" si="5">D174+E174-F174+G174</f>
        <v>241788.19999999998</v>
      </c>
    </row>
    <row r="175" spans="1:8">
      <c r="A175" s="338">
        <v>2</v>
      </c>
      <c r="B175" s="474" t="s">
        <v>8</v>
      </c>
      <c r="C175" s="475" t="s">
        <v>346</v>
      </c>
      <c r="D175" s="336">
        <v>8696.2000000000007</v>
      </c>
      <c r="E175" s="336">
        <f>361810-2200</f>
        <v>359610</v>
      </c>
      <c r="F175" s="336">
        <v>321757.99999999994</v>
      </c>
      <c r="G175" s="336">
        <v>2200</v>
      </c>
      <c r="H175" s="468">
        <f t="shared" si="5"/>
        <v>48748.20000000007</v>
      </c>
    </row>
    <row r="176" spans="1:8">
      <c r="A176" s="338">
        <v>3</v>
      </c>
      <c r="B176" s="474" t="s">
        <v>9</v>
      </c>
      <c r="C176" s="475" t="s">
        <v>346</v>
      </c>
      <c r="D176" s="336">
        <v>40371.299999999996</v>
      </c>
      <c r="E176" s="336">
        <v>90340</v>
      </c>
      <c r="F176" s="336">
        <v>80826.300000000032</v>
      </c>
      <c r="G176" s="336"/>
      <c r="H176" s="468">
        <f t="shared" si="5"/>
        <v>49884.999999999956</v>
      </c>
    </row>
    <row r="177" spans="1:8">
      <c r="A177" s="338">
        <v>4</v>
      </c>
      <c r="B177" s="474" t="s">
        <v>10</v>
      </c>
      <c r="C177" s="475" t="s">
        <v>346</v>
      </c>
      <c r="D177" s="336">
        <v>33793.700000000012</v>
      </c>
      <c r="E177" s="336">
        <v>86570</v>
      </c>
      <c r="F177" s="336">
        <v>67591.5</v>
      </c>
      <c r="G177" s="336"/>
      <c r="H177" s="468">
        <f t="shared" si="5"/>
        <v>52772.200000000012</v>
      </c>
    </row>
    <row r="178" spans="1:8">
      <c r="A178" s="338">
        <v>5</v>
      </c>
      <c r="B178" s="474" t="s">
        <v>12</v>
      </c>
      <c r="C178" s="475" t="s">
        <v>346</v>
      </c>
      <c r="D178" s="336">
        <v>29510.099999999991</v>
      </c>
      <c r="E178" s="336">
        <f>31596.3-566.3</f>
        <v>31030</v>
      </c>
      <c r="F178" s="336">
        <v>26789.699999999993</v>
      </c>
      <c r="G178" s="336">
        <v>566.29999999999995</v>
      </c>
      <c r="H178" s="468">
        <f t="shared" si="5"/>
        <v>34316.699999999997</v>
      </c>
    </row>
    <row r="179" spans="1:8">
      <c r="A179" s="338">
        <v>6</v>
      </c>
      <c r="B179" s="474" t="s">
        <v>13</v>
      </c>
      <c r="C179" s="475" t="s">
        <v>346</v>
      </c>
      <c r="D179" s="336">
        <v>6360.0000000000073</v>
      </c>
      <c r="E179" s="336">
        <f>45437.7-1257.7</f>
        <v>44180</v>
      </c>
      <c r="F179" s="336">
        <v>29873.600000000002</v>
      </c>
      <c r="G179" s="336">
        <v>1257.7</v>
      </c>
      <c r="H179" s="468">
        <f t="shared" si="5"/>
        <v>21924.100000000006</v>
      </c>
    </row>
    <row r="180" spans="1:8">
      <c r="A180" s="338">
        <v>7</v>
      </c>
      <c r="B180" s="474" t="s">
        <v>350</v>
      </c>
      <c r="C180" s="475" t="s">
        <v>346</v>
      </c>
      <c r="D180" s="336">
        <v>0</v>
      </c>
      <c r="E180" s="336">
        <v>28058.399999999998</v>
      </c>
      <c r="F180" s="336">
        <v>28058.399999999998</v>
      </c>
      <c r="G180" s="336"/>
      <c r="H180" s="468">
        <f t="shared" si="5"/>
        <v>0</v>
      </c>
    </row>
    <row r="181" spans="1:8">
      <c r="A181" s="338">
        <v>8</v>
      </c>
      <c r="B181" s="474" t="s">
        <v>15</v>
      </c>
      <c r="C181" s="475" t="s">
        <v>346</v>
      </c>
      <c r="D181" s="336">
        <v>512.5</v>
      </c>
      <c r="E181" s="336">
        <v>3000</v>
      </c>
      <c r="F181" s="336">
        <v>228</v>
      </c>
      <c r="G181" s="336"/>
      <c r="H181" s="468">
        <f t="shared" si="5"/>
        <v>3284.5</v>
      </c>
    </row>
    <row r="182" spans="1:8">
      <c r="A182" s="338">
        <v>9</v>
      </c>
      <c r="B182" s="474" t="s">
        <v>351</v>
      </c>
      <c r="C182" s="475" t="s">
        <v>346</v>
      </c>
      <c r="D182" s="336">
        <v>0</v>
      </c>
      <c r="E182" s="336">
        <v>896.8</v>
      </c>
      <c r="F182" s="336">
        <v>896.8</v>
      </c>
      <c r="G182" s="336"/>
      <c r="H182" s="468">
        <f t="shared" si="5"/>
        <v>0</v>
      </c>
    </row>
    <row r="183" spans="1:8">
      <c r="A183" s="338">
        <v>10</v>
      </c>
      <c r="B183" s="474" t="s">
        <v>19</v>
      </c>
      <c r="C183" s="475" t="s">
        <v>346</v>
      </c>
      <c r="D183" s="336">
        <v>31341.199999999997</v>
      </c>
      <c r="E183" s="336">
        <v>0</v>
      </c>
      <c r="F183" s="336">
        <v>9168.4</v>
      </c>
      <c r="G183" s="336"/>
      <c r="H183" s="468">
        <f t="shared" si="5"/>
        <v>22172.799999999996</v>
      </c>
    </row>
    <row r="184" spans="1:8">
      <c r="A184" s="338"/>
      <c r="B184" s="474"/>
      <c r="C184" s="475"/>
      <c r="D184" s="336"/>
      <c r="E184" s="336"/>
      <c r="F184" s="336"/>
      <c r="G184" s="336"/>
      <c r="H184" s="336"/>
    </row>
    <row r="185" spans="1:8">
      <c r="A185" s="338"/>
      <c r="B185" s="467" t="s">
        <v>347</v>
      </c>
      <c r="C185" s="475"/>
      <c r="D185" s="336"/>
      <c r="E185" s="336"/>
      <c r="F185" s="336"/>
      <c r="G185" s="336"/>
      <c r="H185" s="336"/>
    </row>
    <row r="186" spans="1:8">
      <c r="A186" s="338">
        <v>1</v>
      </c>
      <c r="B186" s="474" t="s">
        <v>23</v>
      </c>
      <c r="C186" s="475" t="s">
        <v>346</v>
      </c>
      <c r="D186" s="336">
        <v>3540</v>
      </c>
      <c r="E186" s="336">
        <v>0</v>
      </c>
      <c r="F186" s="336">
        <v>0</v>
      </c>
      <c r="G186" s="336"/>
      <c r="H186" s="468">
        <f t="shared" ref="H186:H199" si="6">D186+E186-F186+G186</f>
        <v>3540</v>
      </c>
    </row>
    <row r="187" spans="1:8">
      <c r="A187" s="338">
        <v>2</v>
      </c>
      <c r="B187" s="474" t="s">
        <v>24</v>
      </c>
      <c r="C187" s="475" t="s">
        <v>346</v>
      </c>
      <c r="D187" s="336">
        <v>1960</v>
      </c>
      <c r="E187" s="336">
        <v>2000</v>
      </c>
      <c r="F187" s="336">
        <v>0</v>
      </c>
      <c r="G187" s="336"/>
      <c r="H187" s="468">
        <f t="shared" si="6"/>
        <v>3960</v>
      </c>
    </row>
    <row r="188" spans="1:8">
      <c r="A188" s="338">
        <v>3</v>
      </c>
      <c r="B188" s="474" t="s">
        <v>25</v>
      </c>
      <c r="C188" s="475" t="s">
        <v>346</v>
      </c>
      <c r="D188" s="336">
        <v>2960</v>
      </c>
      <c r="E188" s="336">
        <f>8000-4000</f>
        <v>4000</v>
      </c>
      <c r="F188" s="336">
        <v>7720</v>
      </c>
      <c r="G188" s="336">
        <v>4000</v>
      </c>
      <c r="H188" s="468">
        <f t="shared" si="6"/>
        <v>3240</v>
      </c>
    </row>
    <row r="189" spans="1:8">
      <c r="A189" s="338">
        <v>4</v>
      </c>
      <c r="B189" s="474" t="s">
        <v>28</v>
      </c>
      <c r="C189" s="475" t="s">
        <v>346</v>
      </c>
      <c r="D189" s="336">
        <v>3980</v>
      </c>
      <c r="E189" s="336">
        <v>0</v>
      </c>
      <c r="F189" s="336">
        <v>3040</v>
      </c>
      <c r="G189" s="336">
        <v>500</v>
      </c>
      <c r="H189" s="468">
        <f t="shared" si="6"/>
        <v>1440</v>
      </c>
    </row>
    <row r="190" spans="1:8">
      <c r="A190" s="338">
        <v>5</v>
      </c>
      <c r="B190" s="474" t="s">
        <v>29</v>
      </c>
      <c r="C190" s="475" t="s">
        <v>346</v>
      </c>
      <c r="D190" s="336">
        <v>2960</v>
      </c>
      <c r="E190" s="336">
        <v>0</v>
      </c>
      <c r="F190" s="336">
        <v>0</v>
      </c>
      <c r="G190" s="336">
        <v>2140</v>
      </c>
      <c r="H190" s="468">
        <f t="shared" si="6"/>
        <v>5100</v>
      </c>
    </row>
    <row r="191" spans="1:8">
      <c r="A191" s="338">
        <v>6</v>
      </c>
      <c r="B191" s="474" t="s">
        <v>30</v>
      </c>
      <c r="C191" s="475" t="s">
        <v>346</v>
      </c>
      <c r="D191" s="336">
        <v>2040</v>
      </c>
      <c r="E191" s="336">
        <f>24520-2520</f>
        <v>22000</v>
      </c>
      <c r="F191" s="336">
        <v>13520</v>
      </c>
      <c r="G191" s="336">
        <v>2520</v>
      </c>
      <c r="H191" s="468">
        <f t="shared" si="6"/>
        <v>13040</v>
      </c>
    </row>
    <row r="192" spans="1:8">
      <c r="A192" s="338">
        <v>7</v>
      </c>
      <c r="B192" s="474" t="s">
        <v>31</v>
      </c>
      <c r="C192" s="475" t="s">
        <v>346</v>
      </c>
      <c r="D192" s="336">
        <v>7520</v>
      </c>
      <c r="E192" s="336">
        <v>12000</v>
      </c>
      <c r="F192" s="336">
        <v>5200</v>
      </c>
      <c r="G192" s="336"/>
      <c r="H192" s="468">
        <f t="shared" si="6"/>
        <v>14320</v>
      </c>
    </row>
    <row r="193" spans="1:8">
      <c r="A193" s="338">
        <v>8</v>
      </c>
      <c r="B193" s="474" t="s">
        <v>32</v>
      </c>
      <c r="C193" s="475" t="s">
        <v>346</v>
      </c>
      <c r="D193" s="336">
        <v>6800</v>
      </c>
      <c r="E193" s="336">
        <v>0</v>
      </c>
      <c r="F193" s="336">
        <v>0</v>
      </c>
      <c r="G193" s="336"/>
      <c r="H193" s="468">
        <f t="shared" si="6"/>
        <v>6800</v>
      </c>
    </row>
    <row r="194" spans="1:8">
      <c r="A194" s="338">
        <v>9</v>
      </c>
      <c r="B194" s="474" t="s">
        <v>33</v>
      </c>
      <c r="C194" s="475" t="s">
        <v>346</v>
      </c>
      <c r="D194" s="336">
        <v>4400</v>
      </c>
      <c r="E194" s="336">
        <v>1000</v>
      </c>
      <c r="F194" s="336">
        <v>0</v>
      </c>
      <c r="G194" s="336"/>
      <c r="H194" s="468">
        <f t="shared" si="6"/>
        <v>5400</v>
      </c>
    </row>
    <row r="195" spans="1:8">
      <c r="A195" s="338">
        <v>10</v>
      </c>
      <c r="B195" s="474" t="s">
        <v>34</v>
      </c>
      <c r="C195" s="475" t="s">
        <v>346</v>
      </c>
      <c r="D195" s="336">
        <v>0</v>
      </c>
      <c r="E195" s="336">
        <v>2260</v>
      </c>
      <c r="F195" s="336">
        <v>0</v>
      </c>
      <c r="G195" s="336"/>
      <c r="H195" s="468">
        <f t="shared" si="6"/>
        <v>2260</v>
      </c>
    </row>
    <row r="196" spans="1:8">
      <c r="A196" s="338">
        <v>11</v>
      </c>
      <c r="B196" s="474" t="s">
        <v>39</v>
      </c>
      <c r="C196" s="475" t="s">
        <v>346</v>
      </c>
      <c r="D196" s="336">
        <v>1531</v>
      </c>
      <c r="E196" s="336">
        <v>1000</v>
      </c>
      <c r="F196" s="336">
        <v>562</v>
      </c>
      <c r="G196" s="336"/>
      <c r="H196" s="468">
        <f t="shared" si="6"/>
        <v>1969</v>
      </c>
    </row>
    <row r="197" spans="1:8">
      <c r="A197" s="338">
        <v>12</v>
      </c>
      <c r="B197" s="474" t="s">
        <v>352</v>
      </c>
      <c r="C197" s="475" t="s">
        <v>346</v>
      </c>
      <c r="D197" s="336">
        <v>0</v>
      </c>
      <c r="E197" s="336">
        <v>2994</v>
      </c>
      <c r="F197" s="336">
        <v>2994</v>
      </c>
      <c r="G197" s="336"/>
      <c r="H197" s="468">
        <f t="shared" si="6"/>
        <v>0</v>
      </c>
    </row>
    <row r="198" spans="1:8">
      <c r="A198" s="338">
        <v>13</v>
      </c>
      <c r="B198" s="474" t="s">
        <v>43</v>
      </c>
      <c r="C198" s="475" t="s">
        <v>346</v>
      </c>
      <c r="D198" s="336">
        <v>35.199999999999989</v>
      </c>
      <c r="E198" s="336">
        <v>2100</v>
      </c>
      <c r="F198" s="336">
        <v>456</v>
      </c>
      <c r="G198" s="336"/>
      <c r="H198" s="468">
        <f t="shared" si="6"/>
        <v>1679.1999999999998</v>
      </c>
    </row>
    <row r="199" spans="1:8">
      <c r="A199" s="338">
        <v>14</v>
      </c>
      <c r="B199" s="474" t="s">
        <v>63</v>
      </c>
      <c r="C199" s="475" t="s">
        <v>346</v>
      </c>
      <c r="D199" s="336">
        <v>-319.59999999999997</v>
      </c>
      <c r="E199" s="336">
        <v>0</v>
      </c>
      <c r="F199" s="336">
        <v>0</v>
      </c>
      <c r="G199" s="336"/>
      <c r="H199" s="468">
        <f t="shared" si="6"/>
        <v>-319.59999999999997</v>
      </c>
    </row>
    <row r="200" spans="1:8">
      <c r="A200" s="338">
        <v>15</v>
      </c>
      <c r="B200" s="474" t="s">
        <v>45</v>
      </c>
      <c r="C200" s="475" t="s">
        <v>346</v>
      </c>
      <c r="D200" s="336">
        <v>349</v>
      </c>
      <c r="E200" s="336"/>
      <c r="F200" s="336">
        <v>282</v>
      </c>
      <c r="G200" s="336"/>
      <c r="H200" s="468">
        <f>D200+E200-F200+G200</f>
        <v>67</v>
      </c>
    </row>
    <row r="201" spans="1:8">
      <c r="A201" s="338">
        <v>16</v>
      </c>
      <c r="B201" s="474" t="s">
        <v>46</v>
      </c>
      <c r="C201" s="475" t="s">
        <v>346</v>
      </c>
      <c r="D201" s="336">
        <v>0</v>
      </c>
      <c r="E201" s="336">
        <v>806</v>
      </c>
      <c r="F201" s="336">
        <v>806</v>
      </c>
      <c r="G201" s="336"/>
      <c r="H201" s="468">
        <f t="shared" ref="H201:H207" si="7">D201+E201-F201+G201</f>
        <v>0</v>
      </c>
    </row>
    <row r="202" spans="1:8">
      <c r="A202" s="338">
        <v>17</v>
      </c>
      <c r="B202" s="474" t="s">
        <v>47</v>
      </c>
      <c r="C202" s="475" t="s">
        <v>346</v>
      </c>
      <c r="D202" s="336">
        <v>160</v>
      </c>
      <c r="E202" s="336">
        <v>0</v>
      </c>
      <c r="F202" s="336">
        <v>0</v>
      </c>
      <c r="G202" s="336"/>
      <c r="H202" s="468">
        <f t="shared" si="7"/>
        <v>160</v>
      </c>
    </row>
    <row r="203" spans="1:8">
      <c r="A203" s="338">
        <v>18</v>
      </c>
      <c r="B203" s="474" t="s">
        <v>48</v>
      </c>
      <c r="C203" s="475" t="s">
        <v>346</v>
      </c>
      <c r="D203" s="336">
        <v>13.960000000000036</v>
      </c>
      <c r="E203" s="336">
        <v>0</v>
      </c>
      <c r="F203" s="336">
        <v>0</v>
      </c>
      <c r="G203" s="336"/>
      <c r="H203" s="468">
        <f t="shared" si="7"/>
        <v>13.960000000000036</v>
      </c>
    </row>
    <row r="204" spans="1:8">
      <c r="A204" s="338">
        <v>19</v>
      </c>
      <c r="B204" s="474" t="s">
        <v>51</v>
      </c>
      <c r="C204" s="475" t="s">
        <v>346</v>
      </c>
      <c r="D204" s="336">
        <v>207.6</v>
      </c>
      <c r="E204" s="336">
        <v>0</v>
      </c>
      <c r="F204" s="336">
        <v>0</v>
      </c>
      <c r="G204" s="336"/>
      <c r="H204" s="468">
        <f t="shared" si="7"/>
        <v>207.6</v>
      </c>
    </row>
    <row r="205" spans="1:8">
      <c r="A205" s="338">
        <v>20</v>
      </c>
      <c r="B205" s="474" t="s">
        <v>52</v>
      </c>
      <c r="C205" s="475" t="s">
        <v>346</v>
      </c>
      <c r="D205" s="336">
        <v>201.8</v>
      </c>
      <c r="E205" s="336">
        <v>0</v>
      </c>
      <c r="F205" s="336">
        <v>0</v>
      </c>
      <c r="G205" s="336"/>
      <c r="H205" s="468">
        <f t="shared" si="7"/>
        <v>201.8</v>
      </c>
    </row>
    <row r="206" spans="1:8">
      <c r="A206" s="338">
        <v>21</v>
      </c>
      <c r="B206" s="474" t="s">
        <v>53</v>
      </c>
      <c r="C206" s="475" t="s">
        <v>346</v>
      </c>
      <c r="D206" s="336">
        <v>22.720000000000002</v>
      </c>
      <c r="E206" s="336">
        <v>0</v>
      </c>
      <c r="F206" s="336">
        <v>0</v>
      </c>
      <c r="G206" s="336"/>
      <c r="H206" s="468">
        <f t="shared" si="7"/>
        <v>22.720000000000002</v>
      </c>
    </row>
    <row r="207" spans="1:8">
      <c r="A207" s="338">
        <v>22</v>
      </c>
      <c r="B207" s="474" t="s">
        <v>57</v>
      </c>
      <c r="C207" s="475" t="s">
        <v>346</v>
      </c>
      <c r="D207" s="336">
        <v>0</v>
      </c>
      <c r="E207" s="336">
        <v>270</v>
      </c>
      <c r="F207" s="336">
        <v>0</v>
      </c>
      <c r="G207" s="336"/>
      <c r="H207" s="468">
        <f t="shared" si="7"/>
        <v>270</v>
      </c>
    </row>
    <row r="208" spans="1:8">
      <c r="A208" s="338"/>
      <c r="B208" s="474"/>
      <c r="C208" s="475"/>
      <c r="D208" s="336"/>
      <c r="E208" s="336"/>
      <c r="F208" s="336"/>
      <c r="G208" s="336"/>
      <c r="H208" s="336"/>
    </row>
    <row r="209" spans="1:8">
      <c r="A209" s="338"/>
      <c r="B209" s="467" t="s">
        <v>348</v>
      </c>
      <c r="C209" s="475"/>
      <c r="D209" s="336"/>
      <c r="E209" s="336"/>
      <c r="F209" s="336"/>
      <c r="G209" s="336"/>
      <c r="H209" s="336"/>
    </row>
    <row r="210" spans="1:8">
      <c r="A210" s="338">
        <v>1</v>
      </c>
      <c r="B210" s="474" t="s">
        <v>65</v>
      </c>
      <c r="C210" s="475" t="s">
        <v>349</v>
      </c>
      <c r="D210" s="336">
        <v>5877</v>
      </c>
      <c r="E210" s="336">
        <v>4063</v>
      </c>
      <c r="F210" s="336">
        <v>331</v>
      </c>
      <c r="G210" s="336"/>
      <c r="H210" s="468">
        <f t="shared" ref="H210:H215" si="8">D210+E210-F210+G210</f>
        <v>9609</v>
      </c>
    </row>
    <row r="211" spans="1:8">
      <c r="A211" s="338">
        <v>2</v>
      </c>
      <c r="B211" s="474" t="s">
        <v>66</v>
      </c>
      <c r="C211" s="475" t="s">
        <v>349</v>
      </c>
      <c r="D211" s="336">
        <v>5267</v>
      </c>
      <c r="E211" s="336">
        <v>2882</v>
      </c>
      <c r="F211" s="336">
        <v>0</v>
      </c>
      <c r="G211" s="336"/>
      <c r="H211" s="468">
        <f t="shared" si="8"/>
        <v>8149</v>
      </c>
    </row>
    <row r="212" spans="1:8">
      <c r="A212" s="338">
        <v>3</v>
      </c>
      <c r="B212" s="474" t="s">
        <v>67</v>
      </c>
      <c r="C212" s="475" t="s">
        <v>349</v>
      </c>
      <c r="D212" s="336">
        <v>4457</v>
      </c>
      <c r="E212" s="336">
        <v>4347</v>
      </c>
      <c r="F212" s="336">
        <v>7893</v>
      </c>
      <c r="G212" s="336"/>
      <c r="H212" s="468">
        <f t="shared" si="8"/>
        <v>911</v>
      </c>
    </row>
    <row r="213" spans="1:8">
      <c r="A213" s="338">
        <v>4</v>
      </c>
      <c r="B213" s="474" t="s">
        <v>68</v>
      </c>
      <c r="C213" s="475" t="s">
        <v>349</v>
      </c>
      <c r="D213" s="336">
        <v>6772</v>
      </c>
      <c r="E213" s="336">
        <v>3000</v>
      </c>
      <c r="F213" s="336">
        <v>3532</v>
      </c>
      <c r="G213" s="336"/>
      <c r="H213" s="468">
        <f t="shared" si="8"/>
        <v>6240</v>
      </c>
    </row>
    <row r="214" spans="1:8">
      <c r="A214" s="338">
        <v>5</v>
      </c>
      <c r="B214" s="474" t="s">
        <v>69</v>
      </c>
      <c r="C214" s="475" t="s">
        <v>349</v>
      </c>
      <c r="D214" s="336">
        <v>1901</v>
      </c>
      <c r="E214" s="336">
        <v>0</v>
      </c>
      <c r="F214" s="336">
        <v>0</v>
      </c>
      <c r="G214" s="336"/>
      <c r="H214" s="468">
        <f t="shared" si="8"/>
        <v>1901</v>
      </c>
    </row>
    <row r="215" spans="1:8">
      <c r="A215" s="338">
        <v>6</v>
      </c>
      <c r="B215" s="474" t="s">
        <v>70</v>
      </c>
      <c r="C215" s="475" t="s">
        <v>349</v>
      </c>
      <c r="D215" s="336">
        <v>4175</v>
      </c>
      <c r="E215" s="336">
        <v>0</v>
      </c>
      <c r="F215" s="336">
        <v>2290</v>
      </c>
      <c r="G215" s="336"/>
      <c r="H215" s="468">
        <f t="shared" si="8"/>
        <v>1885</v>
      </c>
    </row>
    <row r="216" spans="1:8">
      <c r="A216" s="338"/>
      <c r="B216" s="474"/>
      <c r="C216" s="475"/>
      <c r="D216" s="336"/>
      <c r="E216" s="336"/>
      <c r="F216" s="336"/>
      <c r="G216" s="336"/>
      <c r="H216" s="336"/>
    </row>
    <row r="217" spans="1:8" ht="13.9" thickBot="1">
      <c r="A217" s="338"/>
      <c r="B217" s="467" t="s">
        <v>72</v>
      </c>
      <c r="C217" s="298"/>
      <c r="D217" s="469">
        <f t="shared" ref="D217:G217" si="9">SUM(D174:D215)</f>
        <v>265245.88</v>
      </c>
      <c r="E217" s="469">
        <f t="shared" si="9"/>
        <v>1723687.2</v>
      </c>
      <c r="F217" s="469">
        <f t="shared" si="9"/>
        <v>1430812.2999999998</v>
      </c>
      <c r="G217" s="469">
        <f t="shared" si="9"/>
        <v>8837.6</v>
      </c>
      <c r="H217" s="469">
        <f>SUM(H174:H215)</f>
        <v>566958.37999999989</v>
      </c>
    </row>
    <row r="218" spans="1:8" ht="13.9" thickTop="1">
      <c r="A218" s="496"/>
      <c r="B218" s="329"/>
      <c r="C218" s="473"/>
      <c r="D218" s="339"/>
      <c r="E218" s="339"/>
      <c r="F218" s="339"/>
      <c r="G218" s="339"/>
      <c r="H218" s="339"/>
    </row>
    <row r="219" spans="1:8">
      <c r="A219" s="496"/>
      <c r="B219" s="472" t="s">
        <v>353</v>
      </c>
      <c r="C219" s="473"/>
      <c r="D219" s="339"/>
      <c r="E219" s="339"/>
      <c r="F219" s="339"/>
      <c r="G219" s="339"/>
      <c r="H219" s="339"/>
    </row>
    <row r="220" spans="1:8">
      <c r="A220" s="496"/>
      <c r="B220" s="474" t="s">
        <v>8</v>
      </c>
      <c r="C220" s="475" t="s">
        <v>346</v>
      </c>
      <c r="D220" s="336">
        <v>2200</v>
      </c>
      <c r="E220" s="339"/>
      <c r="F220" s="339"/>
      <c r="G220" s="339"/>
      <c r="H220" s="339"/>
    </row>
    <row r="221" spans="1:8">
      <c r="A221" s="496"/>
      <c r="B221" s="474" t="s">
        <v>12</v>
      </c>
      <c r="C221" s="475" t="s">
        <v>346</v>
      </c>
      <c r="D221" s="336">
        <v>566.29999999999995</v>
      </c>
      <c r="E221" s="339"/>
      <c r="F221" s="339"/>
      <c r="G221" s="339"/>
      <c r="H221" s="339"/>
    </row>
    <row r="222" spans="1:8">
      <c r="A222" s="496"/>
      <c r="B222" s="474" t="s">
        <v>13</v>
      </c>
      <c r="C222" s="475" t="s">
        <v>346</v>
      </c>
      <c r="D222" s="336">
        <v>1257.7</v>
      </c>
      <c r="E222" s="339"/>
      <c r="F222" s="339"/>
      <c r="G222" s="339"/>
      <c r="H222" s="339"/>
    </row>
    <row r="223" spans="1:8">
      <c r="A223" s="496"/>
      <c r="B223" s="329" t="s">
        <v>354</v>
      </c>
      <c r="C223" s="473"/>
      <c r="D223" s="339"/>
      <c r="E223" s="339"/>
      <c r="F223" s="339"/>
      <c r="G223" s="339"/>
      <c r="H223" s="339"/>
    </row>
    <row r="224" spans="1:8">
      <c r="A224" s="496"/>
      <c r="B224" s="329"/>
      <c r="C224" s="473"/>
      <c r="D224" s="339"/>
      <c r="E224" s="339"/>
      <c r="F224" s="339"/>
      <c r="G224" s="339"/>
      <c r="H224" s="339"/>
    </row>
    <row r="225" spans="2:8">
      <c r="B225" s="474" t="s">
        <v>25</v>
      </c>
      <c r="C225" s="475" t="s">
        <v>346</v>
      </c>
      <c r="D225" s="336">
        <v>4000</v>
      </c>
      <c r="E225" s="339"/>
      <c r="F225" s="339"/>
      <c r="G225" s="339"/>
      <c r="H225" s="339"/>
    </row>
    <row r="226" spans="2:8">
      <c r="B226" s="474" t="s">
        <v>28</v>
      </c>
      <c r="C226" s="475" t="s">
        <v>346</v>
      </c>
      <c r="D226" s="336">
        <v>500</v>
      </c>
      <c r="E226" s="339"/>
      <c r="F226" s="339"/>
      <c r="G226" s="339"/>
      <c r="H226" s="339"/>
    </row>
    <row r="227" spans="2:8">
      <c r="B227" s="474" t="s">
        <v>29</v>
      </c>
      <c r="C227" s="475" t="s">
        <v>346</v>
      </c>
      <c r="D227" s="336">
        <v>2140</v>
      </c>
      <c r="E227" s="339"/>
      <c r="F227" s="339"/>
      <c r="G227" s="339"/>
      <c r="H227" s="339"/>
    </row>
    <row r="228" spans="2:8">
      <c r="B228" s="474" t="s">
        <v>30</v>
      </c>
      <c r="C228" s="475" t="s">
        <v>346</v>
      </c>
      <c r="D228" s="336">
        <v>2520</v>
      </c>
      <c r="E228" s="339"/>
      <c r="F228" s="339"/>
      <c r="G228" s="339"/>
      <c r="H228" s="339"/>
    </row>
    <row r="229" spans="2:8">
      <c r="B229" s="329" t="s">
        <v>355</v>
      </c>
      <c r="C229" s="473"/>
      <c r="D229" s="339"/>
      <c r="E229" s="339"/>
      <c r="F229" s="339"/>
      <c r="G229" s="339"/>
      <c r="H229" s="339"/>
    </row>
    <row r="230" spans="2:8">
      <c r="B230" s="329" t="s">
        <v>356</v>
      </c>
      <c r="C230" s="473"/>
      <c r="D230" s="339"/>
      <c r="E230" s="339"/>
      <c r="F230" s="339"/>
      <c r="G230" s="339"/>
      <c r="H230" s="339"/>
    </row>
    <row r="231" spans="2:8">
      <c r="B231" s="329"/>
      <c r="C231" s="473"/>
      <c r="D231" s="339"/>
      <c r="E231" s="339"/>
      <c r="F231" s="339"/>
      <c r="G231" s="339"/>
      <c r="H231" s="339"/>
    </row>
    <row r="232" spans="2:8">
      <c r="B232" s="472" t="s">
        <v>357</v>
      </c>
      <c r="C232" s="473"/>
      <c r="D232" s="339"/>
      <c r="E232" s="339"/>
      <c r="F232" s="339"/>
      <c r="G232" s="339"/>
      <c r="H232" s="339"/>
    </row>
    <row r="233" spans="2:8">
      <c r="B233" s="474" t="s">
        <v>7</v>
      </c>
      <c r="C233" s="475" t="s">
        <v>346</v>
      </c>
      <c r="D233" s="336">
        <v>-4346.3999999999996</v>
      </c>
      <c r="E233" s="339"/>
      <c r="F233" s="339"/>
      <c r="G233" s="339"/>
      <c r="H233" s="339"/>
    </row>
    <row r="234" spans="2:8">
      <c r="B234" s="329" t="s">
        <v>354</v>
      </c>
      <c r="C234" s="473"/>
      <c r="D234" s="339"/>
      <c r="E234" s="339"/>
      <c r="F234" s="339"/>
      <c r="G234" s="339"/>
      <c r="H234" s="339"/>
    </row>
    <row r="235" spans="2:8">
      <c r="B235" s="329"/>
      <c r="C235" s="473"/>
      <c r="D235" s="339"/>
      <c r="E235" s="339"/>
      <c r="F235" s="339"/>
      <c r="G235" s="339"/>
      <c r="H235" s="339"/>
    </row>
    <row r="236" spans="2:8">
      <c r="B236" s="329"/>
      <c r="C236" s="473"/>
      <c r="D236" s="339"/>
      <c r="E236" s="339"/>
      <c r="F236" s="339"/>
      <c r="G236" s="339"/>
      <c r="H236" s="339"/>
    </row>
    <row r="237" spans="2:8">
      <c r="B237" s="329"/>
      <c r="C237" s="473"/>
      <c r="D237" s="339"/>
      <c r="E237" s="339"/>
      <c r="F237" s="339"/>
      <c r="G237" s="339"/>
      <c r="H237" s="339"/>
    </row>
    <row r="238" spans="2:8">
      <c r="B238" s="329"/>
      <c r="C238" s="473"/>
      <c r="D238" s="339"/>
      <c r="E238" s="339"/>
      <c r="F238" s="339"/>
      <c r="G238" s="339"/>
      <c r="H238" s="339"/>
    </row>
    <row r="239" spans="2:8">
      <c r="B239" s="329"/>
      <c r="C239" s="473"/>
      <c r="D239" s="339"/>
      <c r="E239" s="339"/>
      <c r="F239" s="339"/>
      <c r="G239" s="339"/>
      <c r="H239" s="339"/>
    </row>
    <row r="240" spans="2:8">
      <c r="B240" s="329"/>
      <c r="C240" s="473"/>
      <c r="D240" s="339"/>
      <c r="E240" s="339"/>
      <c r="F240" s="339"/>
      <c r="G240" s="339"/>
      <c r="H240" s="339"/>
    </row>
    <row r="241" spans="1:8">
      <c r="A241" s="496"/>
      <c r="B241" s="329"/>
      <c r="C241" s="473"/>
      <c r="D241" s="339"/>
      <c r="E241" s="339"/>
      <c r="F241" s="339"/>
      <c r="G241" s="339"/>
      <c r="H241" s="339"/>
    </row>
    <row r="242" spans="1:8">
      <c r="A242" s="496"/>
      <c r="B242" s="329"/>
      <c r="C242" s="473"/>
      <c r="D242" s="339"/>
      <c r="E242" s="339"/>
      <c r="F242" s="339"/>
      <c r="G242" s="339"/>
      <c r="H242" s="339"/>
    </row>
    <row r="243" spans="1:8">
      <c r="A243" s="496"/>
      <c r="B243" s="329"/>
      <c r="C243" s="473"/>
      <c r="D243" s="339"/>
      <c r="E243" s="339"/>
      <c r="F243" s="339"/>
      <c r="G243" s="339"/>
      <c r="H243" s="339"/>
    </row>
    <row r="244" spans="1:8">
      <c r="A244" s="496"/>
      <c r="B244" s="329" t="s">
        <v>358</v>
      </c>
      <c r="C244" s="473"/>
      <c r="D244" s="339"/>
      <c r="E244" s="339"/>
      <c r="F244" s="339"/>
      <c r="G244" s="339" t="s">
        <v>359</v>
      </c>
      <c r="H244" s="339"/>
    </row>
    <row r="246" spans="1:8">
      <c r="A246" s="496"/>
      <c r="B246" s="329"/>
      <c r="C246" s="473"/>
      <c r="D246" s="339"/>
      <c r="E246" s="339"/>
      <c r="F246" s="339"/>
      <c r="G246" s="339"/>
      <c r="H246" s="476" t="s">
        <v>361</v>
      </c>
    </row>
    <row r="247" spans="1:8">
      <c r="A247" s="338"/>
      <c r="B247" s="467" t="s">
        <v>318</v>
      </c>
      <c r="C247" s="475"/>
      <c r="D247" s="336"/>
      <c r="E247" s="336"/>
      <c r="F247" s="336"/>
      <c r="G247" s="336"/>
      <c r="H247" s="336"/>
    </row>
    <row r="248" spans="1:8">
      <c r="A248" s="338" t="s">
        <v>331</v>
      </c>
      <c r="B248" s="474" t="s">
        <v>332</v>
      </c>
      <c r="C248" s="475" t="s">
        <v>333</v>
      </c>
      <c r="D248" s="475" t="s">
        <v>334</v>
      </c>
      <c r="E248" s="475" t="s">
        <v>335</v>
      </c>
      <c r="F248" s="475" t="s">
        <v>166</v>
      </c>
      <c r="G248" s="475" t="s">
        <v>168</v>
      </c>
      <c r="H248" s="475" t="s">
        <v>336</v>
      </c>
    </row>
    <row r="249" spans="1:8">
      <c r="A249" s="338"/>
      <c r="B249" s="467" t="s">
        <v>345</v>
      </c>
      <c r="C249" s="475"/>
      <c r="D249" s="336"/>
      <c r="E249" s="336"/>
      <c r="F249" s="336"/>
      <c r="G249" s="336"/>
      <c r="H249" s="336"/>
    </row>
    <row r="250" spans="1:8">
      <c r="A250" s="338">
        <v>1</v>
      </c>
      <c r="B250" s="474" t="s">
        <v>7</v>
      </c>
      <c r="C250" s="475" t="s">
        <v>346</v>
      </c>
      <c r="D250" s="336">
        <v>47850.2</v>
      </c>
      <c r="E250" s="336">
        <v>1015280</v>
      </c>
      <c r="F250" s="336">
        <f>821342-4346.4</f>
        <v>816995.6</v>
      </c>
      <c r="G250" s="336">
        <v>-4346.3999999999996</v>
      </c>
      <c r="H250" s="468">
        <f t="shared" ref="H250:H259" si="10">D250+E250-F250+G250</f>
        <v>241788.19999999998</v>
      </c>
    </row>
    <row r="251" spans="1:8">
      <c r="A251" s="338">
        <v>2</v>
      </c>
      <c r="B251" s="474" t="s">
        <v>8</v>
      </c>
      <c r="C251" s="475" t="s">
        <v>346</v>
      </c>
      <c r="D251" s="336">
        <v>8696.2000000000007</v>
      </c>
      <c r="E251" s="336">
        <f>361810-2200</f>
        <v>359610</v>
      </c>
      <c r="F251" s="336">
        <v>321757.99999999994</v>
      </c>
      <c r="G251" s="336">
        <v>2200</v>
      </c>
      <c r="H251" s="468">
        <f t="shared" si="10"/>
        <v>48748.20000000007</v>
      </c>
    </row>
    <row r="252" spans="1:8">
      <c r="A252" s="338">
        <v>3</v>
      </c>
      <c r="B252" s="474" t="s">
        <v>9</v>
      </c>
      <c r="C252" s="475" t="s">
        <v>346</v>
      </c>
      <c r="D252" s="336">
        <v>40371.299999999996</v>
      </c>
      <c r="E252" s="336">
        <v>90340</v>
      </c>
      <c r="F252" s="336">
        <v>80826.300000000032</v>
      </c>
      <c r="G252" s="336"/>
      <c r="H252" s="468">
        <f t="shared" si="10"/>
        <v>49884.999999999956</v>
      </c>
    </row>
    <row r="253" spans="1:8">
      <c r="A253" s="338">
        <v>4</v>
      </c>
      <c r="B253" s="474" t="s">
        <v>10</v>
      </c>
      <c r="C253" s="475" t="s">
        <v>346</v>
      </c>
      <c r="D253" s="336">
        <v>33793.700000000012</v>
      </c>
      <c r="E253" s="336">
        <v>86570</v>
      </c>
      <c r="F253" s="336">
        <v>67591.5</v>
      </c>
      <c r="G253" s="336"/>
      <c r="H253" s="468">
        <f t="shared" si="10"/>
        <v>52772.200000000012</v>
      </c>
    </row>
    <row r="254" spans="1:8">
      <c r="A254" s="338">
        <v>5</v>
      </c>
      <c r="B254" s="474" t="s">
        <v>12</v>
      </c>
      <c r="C254" s="475" t="s">
        <v>346</v>
      </c>
      <c r="D254" s="336">
        <v>29510.099999999991</v>
      </c>
      <c r="E254" s="336">
        <f>31596.3-566.3</f>
        <v>31030</v>
      </c>
      <c r="F254" s="336">
        <v>26789.699999999993</v>
      </c>
      <c r="G254" s="336">
        <v>566.29999999999995</v>
      </c>
      <c r="H254" s="468">
        <f t="shared" si="10"/>
        <v>34316.699999999997</v>
      </c>
    </row>
    <row r="255" spans="1:8">
      <c r="A255" s="338">
        <v>6</v>
      </c>
      <c r="B255" s="474" t="s">
        <v>13</v>
      </c>
      <c r="C255" s="475" t="s">
        <v>346</v>
      </c>
      <c r="D255" s="336">
        <v>6360.0000000000073</v>
      </c>
      <c r="E255" s="336">
        <f>45437.7-1257.7</f>
        <v>44180</v>
      </c>
      <c r="F255" s="336">
        <v>29873.600000000002</v>
      </c>
      <c r="G255" s="336">
        <v>1257.7</v>
      </c>
      <c r="H255" s="468">
        <f t="shared" si="10"/>
        <v>21924.100000000006</v>
      </c>
    </row>
    <row r="256" spans="1:8">
      <c r="A256" s="338">
        <v>7</v>
      </c>
      <c r="B256" s="474" t="s">
        <v>350</v>
      </c>
      <c r="C256" s="475" t="s">
        <v>346</v>
      </c>
      <c r="D256" s="336">
        <v>0</v>
      </c>
      <c r="E256" s="336">
        <v>28058.399999999998</v>
      </c>
      <c r="F256" s="336">
        <v>28058.399999999998</v>
      </c>
      <c r="G256" s="336"/>
      <c r="H256" s="468">
        <f t="shared" si="10"/>
        <v>0</v>
      </c>
    </row>
    <row r="257" spans="1:8">
      <c r="A257" s="338">
        <v>8</v>
      </c>
      <c r="B257" s="474" t="s">
        <v>15</v>
      </c>
      <c r="C257" s="475" t="s">
        <v>346</v>
      </c>
      <c r="D257" s="336">
        <v>512.5</v>
      </c>
      <c r="E257" s="336">
        <v>3000</v>
      </c>
      <c r="F257" s="336">
        <v>228</v>
      </c>
      <c r="G257" s="336"/>
      <c r="H257" s="468">
        <f t="shared" si="10"/>
        <v>3284.5</v>
      </c>
    </row>
    <row r="258" spans="1:8">
      <c r="A258" s="338">
        <v>9</v>
      </c>
      <c r="B258" s="474" t="s">
        <v>351</v>
      </c>
      <c r="C258" s="475" t="s">
        <v>346</v>
      </c>
      <c r="D258" s="336">
        <v>0</v>
      </c>
      <c r="E258" s="336">
        <v>896.8</v>
      </c>
      <c r="F258" s="336">
        <v>896.8</v>
      </c>
      <c r="G258" s="336"/>
      <c r="H258" s="468">
        <f t="shared" si="10"/>
        <v>0</v>
      </c>
    </row>
    <row r="259" spans="1:8">
      <c r="A259" s="338">
        <v>10</v>
      </c>
      <c r="B259" s="474" t="s">
        <v>19</v>
      </c>
      <c r="C259" s="475" t="s">
        <v>346</v>
      </c>
      <c r="D259" s="336">
        <v>31341.199999999997</v>
      </c>
      <c r="E259" s="336">
        <v>0</v>
      </c>
      <c r="F259" s="336">
        <v>9168.4</v>
      </c>
      <c r="G259" s="336"/>
      <c r="H259" s="468">
        <f t="shared" si="10"/>
        <v>22172.799999999996</v>
      </c>
    </row>
    <row r="260" spans="1:8">
      <c r="A260" s="338"/>
      <c r="B260" s="474"/>
      <c r="C260" s="475"/>
      <c r="D260" s="336"/>
      <c r="E260" s="336"/>
      <c r="F260" s="336"/>
      <c r="G260" s="336"/>
      <c r="H260" s="336"/>
    </row>
    <row r="261" spans="1:8">
      <c r="A261" s="338"/>
      <c r="B261" s="467" t="s">
        <v>347</v>
      </c>
      <c r="C261" s="475"/>
      <c r="D261" s="336"/>
      <c r="E261" s="336"/>
      <c r="F261" s="336"/>
      <c r="G261" s="336"/>
      <c r="H261" s="336"/>
    </row>
    <row r="262" spans="1:8">
      <c r="A262" s="338">
        <v>1</v>
      </c>
      <c r="B262" s="474" t="s">
        <v>23</v>
      </c>
      <c r="C262" s="475" t="s">
        <v>346</v>
      </c>
      <c r="D262" s="336">
        <v>3540</v>
      </c>
      <c r="E262" s="336">
        <v>0</v>
      </c>
      <c r="F262" s="336">
        <v>0</v>
      </c>
      <c r="G262" s="336"/>
      <c r="H262" s="468">
        <f t="shared" ref="H262:H275" si="11">D262+E262-F262+G262</f>
        <v>3540</v>
      </c>
    </row>
    <row r="263" spans="1:8">
      <c r="A263" s="338">
        <v>2</v>
      </c>
      <c r="B263" s="474" t="s">
        <v>24</v>
      </c>
      <c r="C263" s="475" t="s">
        <v>346</v>
      </c>
      <c r="D263" s="336">
        <v>1960</v>
      </c>
      <c r="E263" s="336">
        <v>2000</v>
      </c>
      <c r="F263" s="336">
        <v>0</v>
      </c>
      <c r="G263" s="336"/>
      <c r="H263" s="468">
        <f t="shared" si="11"/>
        <v>3960</v>
      </c>
    </row>
    <row r="264" spans="1:8">
      <c r="A264" s="338">
        <v>3</v>
      </c>
      <c r="B264" s="474" t="s">
        <v>25</v>
      </c>
      <c r="C264" s="475" t="s">
        <v>346</v>
      </c>
      <c r="D264" s="336">
        <v>2960</v>
      </c>
      <c r="E264" s="336">
        <f>8000-4000</f>
        <v>4000</v>
      </c>
      <c r="F264" s="336">
        <v>7720</v>
      </c>
      <c r="G264" s="336">
        <v>4000</v>
      </c>
      <c r="H264" s="468">
        <f t="shared" si="11"/>
        <v>3240</v>
      </c>
    </row>
    <row r="265" spans="1:8">
      <c r="A265" s="338">
        <v>4</v>
      </c>
      <c r="B265" s="474" t="s">
        <v>28</v>
      </c>
      <c r="C265" s="475" t="s">
        <v>346</v>
      </c>
      <c r="D265" s="336">
        <v>3980</v>
      </c>
      <c r="E265" s="511">
        <v>4000</v>
      </c>
      <c r="F265" s="336">
        <v>3040</v>
      </c>
      <c r="G265" s="336">
        <v>500</v>
      </c>
      <c r="H265" s="468">
        <f t="shared" si="11"/>
        <v>5440</v>
      </c>
    </row>
    <row r="266" spans="1:8">
      <c r="A266" s="338">
        <v>5</v>
      </c>
      <c r="B266" s="474" t="s">
        <v>29</v>
      </c>
      <c r="C266" s="475" t="s">
        <v>346</v>
      </c>
      <c r="D266" s="336">
        <v>2960</v>
      </c>
      <c r="E266" s="336">
        <v>0</v>
      </c>
      <c r="F266" s="336">
        <v>0</v>
      </c>
      <c r="G266" s="336">
        <v>2140</v>
      </c>
      <c r="H266" s="468">
        <f t="shared" si="11"/>
        <v>5100</v>
      </c>
    </row>
    <row r="267" spans="1:8">
      <c r="A267" s="338">
        <v>6</v>
      </c>
      <c r="B267" s="474" t="s">
        <v>30</v>
      </c>
      <c r="C267" s="475" t="s">
        <v>346</v>
      </c>
      <c r="D267" s="336">
        <v>2040</v>
      </c>
      <c r="E267" s="336">
        <f>24520-2520</f>
        <v>22000</v>
      </c>
      <c r="F267" s="511">
        <v>10320</v>
      </c>
      <c r="G267" s="336">
        <v>2520</v>
      </c>
      <c r="H267" s="468">
        <f t="shared" si="11"/>
        <v>16240</v>
      </c>
    </row>
    <row r="268" spans="1:8">
      <c r="A268" s="338">
        <v>7</v>
      </c>
      <c r="B268" s="474" t="s">
        <v>31</v>
      </c>
      <c r="C268" s="475" t="s">
        <v>346</v>
      </c>
      <c r="D268" s="336">
        <v>7520</v>
      </c>
      <c r="E268" s="336">
        <v>12000</v>
      </c>
      <c r="F268" s="511">
        <v>6400</v>
      </c>
      <c r="G268" s="336"/>
      <c r="H268" s="468">
        <f t="shared" si="11"/>
        <v>13120</v>
      </c>
    </row>
    <row r="269" spans="1:8">
      <c r="A269" s="338">
        <v>8</v>
      </c>
      <c r="B269" s="474" t="s">
        <v>32</v>
      </c>
      <c r="C269" s="475" t="s">
        <v>346</v>
      </c>
      <c r="D269" s="336">
        <v>6800</v>
      </c>
      <c r="E269" s="336">
        <v>0</v>
      </c>
      <c r="F269" s="336">
        <v>0</v>
      </c>
      <c r="G269" s="336"/>
      <c r="H269" s="468">
        <f t="shared" si="11"/>
        <v>6800</v>
      </c>
    </row>
    <row r="270" spans="1:8">
      <c r="A270" s="338">
        <v>9</v>
      </c>
      <c r="B270" s="474" t="s">
        <v>33</v>
      </c>
      <c r="C270" s="475" t="s">
        <v>346</v>
      </c>
      <c r="D270" s="336">
        <v>4400</v>
      </c>
      <c r="E270" s="336">
        <v>1000</v>
      </c>
      <c r="F270" s="336">
        <v>0</v>
      </c>
      <c r="G270" s="336"/>
      <c r="H270" s="468">
        <f t="shared" si="11"/>
        <v>5400</v>
      </c>
    </row>
    <row r="271" spans="1:8">
      <c r="A271" s="338">
        <v>10</v>
      </c>
      <c r="B271" s="474" t="s">
        <v>34</v>
      </c>
      <c r="C271" s="475" t="s">
        <v>346</v>
      </c>
      <c r="D271" s="336">
        <v>0</v>
      </c>
      <c r="E271" s="336">
        <v>2260</v>
      </c>
      <c r="F271" s="336">
        <v>0</v>
      </c>
      <c r="G271" s="336"/>
      <c r="H271" s="468">
        <f t="shared" si="11"/>
        <v>2260</v>
      </c>
    </row>
    <row r="272" spans="1:8">
      <c r="A272" s="338">
        <v>11</v>
      </c>
      <c r="B272" s="474" t="s">
        <v>39</v>
      </c>
      <c r="C272" s="475" t="s">
        <v>346</v>
      </c>
      <c r="D272" s="336">
        <v>1531</v>
      </c>
      <c r="E272" s="336">
        <v>1000</v>
      </c>
      <c r="F272" s="336">
        <v>562</v>
      </c>
      <c r="G272" s="336"/>
      <c r="H272" s="468">
        <f t="shared" si="11"/>
        <v>1969</v>
      </c>
    </row>
    <row r="273" spans="1:8">
      <c r="A273" s="338">
        <v>12</v>
      </c>
      <c r="B273" s="474" t="s">
        <v>352</v>
      </c>
      <c r="C273" s="475" t="s">
        <v>346</v>
      </c>
      <c r="D273" s="336">
        <v>0</v>
      </c>
      <c r="E273" s="336">
        <v>2994</v>
      </c>
      <c r="F273" s="336">
        <v>2994</v>
      </c>
      <c r="G273" s="336"/>
      <c r="H273" s="468">
        <f t="shared" si="11"/>
        <v>0</v>
      </c>
    </row>
    <row r="274" spans="1:8">
      <c r="A274" s="338">
        <v>13</v>
      </c>
      <c r="B274" s="474" t="s">
        <v>43</v>
      </c>
      <c r="C274" s="475" t="s">
        <v>346</v>
      </c>
      <c r="D274" s="336">
        <v>35.199999999999989</v>
      </c>
      <c r="E274" s="336">
        <v>2100</v>
      </c>
      <c r="F274" s="336">
        <v>456</v>
      </c>
      <c r="G274" s="511">
        <v>1.3</v>
      </c>
      <c r="H274" s="468">
        <f t="shared" si="11"/>
        <v>1680.4999999999998</v>
      </c>
    </row>
    <row r="275" spans="1:8">
      <c r="A275" s="338">
        <v>14</v>
      </c>
      <c r="B275" s="474" t="s">
        <v>63</v>
      </c>
      <c r="C275" s="475" t="s">
        <v>346</v>
      </c>
      <c r="D275" s="336">
        <v>-319.59999999999997</v>
      </c>
      <c r="E275" s="336">
        <v>0</v>
      </c>
      <c r="F275" s="336">
        <v>0</v>
      </c>
      <c r="G275" s="511">
        <v>361.2</v>
      </c>
      <c r="H275" s="468">
        <f t="shared" si="11"/>
        <v>41.600000000000023</v>
      </c>
    </row>
    <row r="276" spans="1:8">
      <c r="A276" s="338">
        <v>15</v>
      </c>
      <c r="B276" s="474" t="s">
        <v>45</v>
      </c>
      <c r="C276" s="475" t="s">
        <v>346</v>
      </c>
      <c r="D276" s="336">
        <v>349</v>
      </c>
      <c r="E276" s="336"/>
      <c r="F276" s="511">
        <v>349</v>
      </c>
      <c r="G276" s="336"/>
      <c r="H276" s="468">
        <f>D276+E276-F276+G276</f>
        <v>0</v>
      </c>
    </row>
    <row r="277" spans="1:8">
      <c r="A277" s="338">
        <v>16</v>
      </c>
      <c r="B277" s="474" t="s">
        <v>46</v>
      </c>
      <c r="C277" s="475" t="s">
        <v>346</v>
      </c>
      <c r="D277" s="336">
        <v>0</v>
      </c>
      <c r="E277" s="336">
        <v>806</v>
      </c>
      <c r="F277" s="336">
        <v>806</v>
      </c>
      <c r="G277" s="336"/>
      <c r="H277" s="468">
        <f t="shared" ref="H277:H283" si="12">D277+E277-F277+G277</f>
        <v>0</v>
      </c>
    </row>
    <row r="278" spans="1:8">
      <c r="A278" s="338">
        <v>17</v>
      </c>
      <c r="B278" s="474" t="s">
        <v>47</v>
      </c>
      <c r="C278" s="475" t="s">
        <v>346</v>
      </c>
      <c r="D278" s="336">
        <v>160</v>
      </c>
      <c r="E278" s="336">
        <v>0</v>
      </c>
      <c r="F278" s="336">
        <v>0</v>
      </c>
      <c r="G278" s="336"/>
      <c r="H278" s="468">
        <f t="shared" si="12"/>
        <v>160</v>
      </c>
    </row>
    <row r="279" spans="1:8">
      <c r="A279" s="338">
        <v>18</v>
      </c>
      <c r="B279" s="474" t="s">
        <v>48</v>
      </c>
      <c r="C279" s="475" t="s">
        <v>346</v>
      </c>
      <c r="D279" s="336">
        <v>13.960000000000036</v>
      </c>
      <c r="E279" s="336">
        <v>0</v>
      </c>
      <c r="F279" s="336">
        <v>0</v>
      </c>
      <c r="G279" s="336"/>
      <c r="H279" s="468">
        <f t="shared" si="12"/>
        <v>13.960000000000036</v>
      </c>
    </row>
    <row r="280" spans="1:8">
      <c r="A280" s="338">
        <v>19</v>
      </c>
      <c r="B280" s="474" t="s">
        <v>51</v>
      </c>
      <c r="C280" s="475" t="s">
        <v>346</v>
      </c>
      <c r="D280" s="336">
        <v>207.6</v>
      </c>
      <c r="E280" s="336">
        <v>0</v>
      </c>
      <c r="F280" s="336">
        <v>0</v>
      </c>
      <c r="G280" s="336"/>
      <c r="H280" s="468">
        <f t="shared" si="12"/>
        <v>207.6</v>
      </c>
    </row>
    <row r="281" spans="1:8">
      <c r="A281" s="338">
        <v>20</v>
      </c>
      <c r="B281" s="474" t="s">
        <v>52</v>
      </c>
      <c r="C281" s="475" t="s">
        <v>346</v>
      </c>
      <c r="D281" s="336">
        <v>201.8</v>
      </c>
      <c r="E281" s="336">
        <v>0</v>
      </c>
      <c r="F281" s="336">
        <v>0</v>
      </c>
      <c r="G281" s="336"/>
      <c r="H281" s="468">
        <f t="shared" si="12"/>
        <v>201.8</v>
      </c>
    </row>
    <row r="282" spans="1:8">
      <c r="A282" s="338">
        <v>21</v>
      </c>
      <c r="B282" s="474" t="s">
        <v>53</v>
      </c>
      <c r="C282" s="475" t="s">
        <v>346</v>
      </c>
      <c r="D282" s="336">
        <v>22.720000000000002</v>
      </c>
      <c r="E282" s="336">
        <v>0</v>
      </c>
      <c r="F282" s="336">
        <v>0</v>
      </c>
      <c r="G282" s="336"/>
      <c r="H282" s="468">
        <f t="shared" si="12"/>
        <v>22.720000000000002</v>
      </c>
    </row>
    <row r="283" spans="1:8">
      <c r="A283" s="338">
        <v>22</v>
      </c>
      <c r="B283" s="474" t="s">
        <v>57</v>
      </c>
      <c r="C283" s="475" t="s">
        <v>346</v>
      </c>
      <c r="D283" s="336">
        <v>0</v>
      </c>
      <c r="E283" s="336">
        <v>270</v>
      </c>
      <c r="F283" s="336">
        <v>0</v>
      </c>
      <c r="G283" s="336"/>
      <c r="H283" s="468">
        <f t="shared" si="12"/>
        <v>270</v>
      </c>
    </row>
    <row r="284" spans="1:8">
      <c r="A284" s="338"/>
      <c r="B284" s="474"/>
      <c r="C284" s="475"/>
      <c r="D284" s="336"/>
      <c r="E284" s="336"/>
      <c r="F284" s="336"/>
      <c r="G284" s="336"/>
      <c r="H284" s="336"/>
    </row>
    <row r="285" spans="1:8">
      <c r="A285" s="338"/>
      <c r="B285" s="467" t="s">
        <v>348</v>
      </c>
      <c r="C285" s="475"/>
      <c r="D285" s="336"/>
      <c r="E285" s="336"/>
      <c r="F285" s="336"/>
      <c r="G285" s="336"/>
      <c r="H285" s="336"/>
    </row>
    <row r="286" spans="1:8">
      <c r="A286" s="338">
        <v>1</v>
      </c>
      <c r="B286" s="474" t="s">
        <v>65</v>
      </c>
      <c r="C286" s="475" t="s">
        <v>349</v>
      </c>
      <c r="D286" s="336">
        <v>5877</v>
      </c>
      <c r="E286" s="336">
        <v>4063</v>
      </c>
      <c r="F286" s="336">
        <v>331</v>
      </c>
      <c r="G286" s="336"/>
      <c r="H286" s="468">
        <f t="shared" ref="H286:H291" si="13">D286+E286-F286+G286</f>
        <v>9609</v>
      </c>
    </row>
    <row r="287" spans="1:8">
      <c r="A287" s="338">
        <v>2</v>
      </c>
      <c r="B287" s="474" t="s">
        <v>66</v>
      </c>
      <c r="C287" s="475" t="s">
        <v>349</v>
      </c>
      <c r="D287" s="336">
        <v>5267</v>
      </c>
      <c r="E287" s="336">
        <v>2882</v>
      </c>
      <c r="F287" s="336">
        <v>0</v>
      </c>
      <c r="G287" s="336"/>
      <c r="H287" s="468">
        <f t="shared" si="13"/>
        <v>8149</v>
      </c>
    </row>
    <row r="288" spans="1:8">
      <c r="A288" s="338">
        <v>3</v>
      </c>
      <c r="B288" s="474" t="s">
        <v>67</v>
      </c>
      <c r="C288" s="475" t="s">
        <v>349</v>
      </c>
      <c r="D288" s="336">
        <v>4457</v>
      </c>
      <c r="E288" s="336">
        <v>4347</v>
      </c>
      <c r="F288" s="336">
        <v>7893</v>
      </c>
      <c r="G288" s="336"/>
      <c r="H288" s="468">
        <f t="shared" si="13"/>
        <v>911</v>
      </c>
    </row>
    <row r="289" spans="1:8">
      <c r="A289" s="338">
        <v>4</v>
      </c>
      <c r="B289" s="474" t="s">
        <v>68</v>
      </c>
      <c r="C289" s="475" t="s">
        <v>349</v>
      </c>
      <c r="D289" s="336">
        <v>6772</v>
      </c>
      <c r="E289" s="336">
        <v>3000</v>
      </c>
      <c r="F289" s="336">
        <v>3532</v>
      </c>
      <c r="G289" s="336"/>
      <c r="H289" s="468">
        <f t="shared" si="13"/>
        <v>6240</v>
      </c>
    </row>
    <row r="290" spans="1:8">
      <c r="A290" s="338">
        <v>5</v>
      </c>
      <c r="B290" s="474" t="s">
        <v>69</v>
      </c>
      <c r="C290" s="475" t="s">
        <v>349</v>
      </c>
      <c r="D290" s="336">
        <v>1901</v>
      </c>
      <c r="E290" s="336">
        <v>0</v>
      </c>
      <c r="F290" s="336">
        <v>0</v>
      </c>
      <c r="G290" s="336"/>
      <c r="H290" s="468">
        <f t="shared" si="13"/>
        <v>1901</v>
      </c>
    </row>
    <row r="291" spans="1:8">
      <c r="A291" s="338">
        <v>6</v>
      </c>
      <c r="B291" s="474" t="s">
        <v>70</v>
      </c>
      <c r="C291" s="475" t="s">
        <v>349</v>
      </c>
      <c r="D291" s="336">
        <v>4175</v>
      </c>
      <c r="E291" s="336">
        <v>0</v>
      </c>
      <c r="F291" s="511">
        <v>2290</v>
      </c>
      <c r="G291" s="336"/>
      <c r="H291" s="468">
        <f t="shared" si="13"/>
        <v>1885</v>
      </c>
    </row>
    <row r="292" spans="1:8">
      <c r="A292" s="338"/>
      <c r="B292" s="474"/>
      <c r="C292" s="475"/>
      <c r="D292" s="336"/>
      <c r="E292" s="336"/>
      <c r="F292" s="336"/>
      <c r="G292" s="336"/>
      <c r="H292" s="336"/>
    </row>
    <row r="293" spans="1:8" ht="13.9" thickBot="1">
      <c r="A293" s="338"/>
      <c r="B293" s="467" t="s">
        <v>72</v>
      </c>
      <c r="C293" s="298"/>
      <c r="D293" s="469">
        <f t="shared" ref="D293:G293" si="14">SUM(D250:D291)</f>
        <v>265245.88</v>
      </c>
      <c r="E293" s="469">
        <f t="shared" si="14"/>
        <v>1727687.2</v>
      </c>
      <c r="F293" s="469">
        <f t="shared" si="14"/>
        <v>1428879.2999999998</v>
      </c>
      <c r="G293" s="469">
        <f t="shared" si="14"/>
        <v>9200.1</v>
      </c>
      <c r="H293" s="469">
        <f>SUM(H250:H291)</f>
        <v>573253.87999999989</v>
      </c>
    </row>
    <row r="294" spans="1:8" ht="13.9" thickTop="1">
      <c r="A294" s="496"/>
      <c r="B294" s="329"/>
      <c r="C294" s="473"/>
      <c r="D294" s="339"/>
      <c r="E294" s="339"/>
      <c r="F294" s="339"/>
      <c r="G294" s="339"/>
      <c r="H294" s="339"/>
    </row>
    <row r="295" spans="1:8">
      <c r="A295" s="496"/>
      <c r="B295" s="472" t="s">
        <v>353</v>
      </c>
      <c r="C295" s="473"/>
      <c r="D295" s="339"/>
      <c r="E295" s="339"/>
      <c r="F295" s="339"/>
      <c r="G295" s="339"/>
      <c r="H295" s="339"/>
    </row>
    <row r="296" spans="1:8">
      <c r="A296" s="496"/>
      <c r="B296" s="474" t="s">
        <v>8</v>
      </c>
      <c r="C296" s="475" t="s">
        <v>346</v>
      </c>
      <c r="D296" s="336">
        <v>2200</v>
      </c>
      <c r="E296" s="339"/>
      <c r="F296" s="339"/>
      <c r="G296" s="339"/>
      <c r="H296" s="339"/>
    </row>
    <row r="297" spans="1:8">
      <c r="A297" s="496"/>
      <c r="B297" s="474" t="s">
        <v>12</v>
      </c>
      <c r="C297" s="475" t="s">
        <v>346</v>
      </c>
      <c r="D297" s="336">
        <v>566.29999999999995</v>
      </c>
      <c r="E297" s="339"/>
      <c r="F297" s="339"/>
      <c r="G297" s="339"/>
      <c r="H297" s="339"/>
    </row>
    <row r="298" spans="1:8">
      <c r="A298" s="496"/>
      <c r="B298" s="474" t="s">
        <v>13</v>
      </c>
      <c r="C298" s="475" t="s">
        <v>346</v>
      </c>
      <c r="D298" s="336">
        <v>1257.7</v>
      </c>
      <c r="E298" s="339"/>
      <c r="F298" s="339"/>
      <c r="G298" s="339"/>
      <c r="H298" s="339"/>
    </row>
    <row r="299" spans="1:8">
      <c r="A299" s="496"/>
      <c r="B299" s="474" t="s">
        <v>43</v>
      </c>
      <c r="C299" s="475" t="s">
        <v>346</v>
      </c>
      <c r="D299" s="336">
        <v>1.3</v>
      </c>
      <c r="E299" s="339"/>
      <c r="F299" s="339"/>
      <c r="G299" s="339"/>
      <c r="H299" s="339"/>
    </row>
    <row r="300" spans="1:8">
      <c r="A300" s="496"/>
      <c r="B300" s="474" t="s">
        <v>63</v>
      </c>
      <c r="C300" s="475" t="s">
        <v>346</v>
      </c>
      <c r="D300" s="336">
        <v>361.2</v>
      </c>
      <c r="E300" s="339"/>
      <c r="F300" s="339"/>
      <c r="G300" s="339"/>
      <c r="H300" s="339"/>
    </row>
    <row r="301" spans="1:8">
      <c r="A301" s="496"/>
      <c r="B301" s="329" t="s">
        <v>354</v>
      </c>
      <c r="C301" s="473"/>
      <c r="D301" s="339"/>
      <c r="E301" s="339"/>
      <c r="F301" s="339"/>
      <c r="G301" s="339"/>
      <c r="H301" s="339"/>
    </row>
    <row r="302" spans="1:8">
      <c r="A302" s="496"/>
      <c r="B302" s="329"/>
      <c r="C302" s="473"/>
      <c r="D302" s="339"/>
      <c r="E302" s="339"/>
      <c r="F302" s="339"/>
      <c r="G302" s="339"/>
      <c r="H302" s="339"/>
    </row>
    <row r="303" spans="1:8">
      <c r="A303" s="496"/>
      <c r="B303" s="474" t="s">
        <v>25</v>
      </c>
      <c r="C303" s="475" t="s">
        <v>346</v>
      </c>
      <c r="D303" s="336">
        <v>4000</v>
      </c>
      <c r="E303" s="339"/>
      <c r="F303" s="339"/>
      <c r="G303" s="339"/>
      <c r="H303" s="339"/>
    </row>
    <row r="304" spans="1:8">
      <c r="A304" s="496"/>
      <c r="B304" s="474" t="s">
        <v>28</v>
      </c>
      <c r="C304" s="475" t="s">
        <v>346</v>
      </c>
      <c r="D304" s="336">
        <v>500</v>
      </c>
      <c r="E304" s="339"/>
      <c r="F304" s="339"/>
      <c r="G304" s="339"/>
      <c r="H304" s="339"/>
    </row>
    <row r="305" spans="2:8">
      <c r="B305" s="474" t="s">
        <v>29</v>
      </c>
      <c r="C305" s="475" t="s">
        <v>346</v>
      </c>
      <c r="D305" s="336">
        <v>2140</v>
      </c>
      <c r="E305" s="339"/>
      <c r="F305" s="339"/>
      <c r="G305" s="339"/>
      <c r="H305" s="339"/>
    </row>
    <row r="306" spans="2:8">
      <c r="B306" s="474" t="s">
        <v>30</v>
      </c>
      <c r="C306" s="475" t="s">
        <v>346</v>
      </c>
      <c r="D306" s="336">
        <v>2520</v>
      </c>
      <c r="E306" s="339"/>
      <c r="F306" s="339"/>
      <c r="G306" s="339"/>
      <c r="H306" s="339"/>
    </row>
    <row r="307" spans="2:8">
      <c r="B307" s="329" t="s">
        <v>355</v>
      </c>
      <c r="C307" s="473"/>
      <c r="D307" s="339"/>
      <c r="E307" s="339"/>
      <c r="F307" s="339"/>
      <c r="G307" s="339"/>
      <c r="H307" s="339"/>
    </row>
    <row r="308" spans="2:8">
      <c r="B308" s="329" t="s">
        <v>356</v>
      </c>
      <c r="C308" s="473"/>
      <c r="D308" s="339"/>
      <c r="E308" s="339"/>
      <c r="F308" s="339"/>
      <c r="G308" s="339"/>
      <c r="H308" s="339"/>
    </row>
    <row r="309" spans="2:8">
      <c r="B309" s="329"/>
      <c r="C309" s="473"/>
      <c r="D309" s="339"/>
      <c r="E309" s="339"/>
      <c r="F309" s="339"/>
      <c r="G309" s="339"/>
      <c r="H309" s="339"/>
    </row>
    <row r="310" spans="2:8">
      <c r="B310" s="472" t="s">
        <v>357</v>
      </c>
      <c r="C310" s="473"/>
      <c r="D310" s="339"/>
      <c r="E310" s="339"/>
      <c r="F310" s="339"/>
      <c r="G310" s="339"/>
      <c r="H310" s="339"/>
    </row>
    <row r="311" spans="2:8">
      <c r="B311" s="474" t="s">
        <v>7</v>
      </c>
      <c r="C311" s="475" t="s">
        <v>346</v>
      </c>
      <c r="D311" s="336">
        <v>-4346.3999999999996</v>
      </c>
      <c r="E311" s="339"/>
      <c r="F311" s="339"/>
      <c r="G311" s="339"/>
      <c r="H311" s="339"/>
    </row>
    <row r="312" spans="2:8">
      <c r="B312" s="329" t="s">
        <v>354</v>
      </c>
      <c r="C312" s="473"/>
      <c r="D312" s="339"/>
      <c r="E312" s="339"/>
      <c r="F312" s="339"/>
      <c r="G312" s="339"/>
      <c r="H312" s="339"/>
    </row>
    <row r="313" spans="2:8">
      <c r="B313" s="329"/>
      <c r="C313" s="473"/>
      <c r="D313" s="339"/>
      <c r="E313" s="339"/>
      <c r="F313" s="339"/>
      <c r="G313" s="339"/>
      <c r="H313" s="339"/>
    </row>
    <row r="314" spans="2:8">
      <c r="B314" s="329"/>
      <c r="C314" s="473"/>
      <c r="D314" s="339"/>
      <c r="E314" s="339"/>
      <c r="F314" s="339"/>
      <c r="G314" s="339"/>
      <c r="H314" s="339"/>
    </row>
    <row r="315" spans="2:8">
      <c r="B315" s="329"/>
      <c r="C315" s="473"/>
      <c r="D315" s="339"/>
      <c r="E315" s="339"/>
      <c r="F315" s="339"/>
      <c r="G315" s="339"/>
      <c r="H315" s="339"/>
    </row>
    <row r="316" spans="2:8">
      <c r="B316" s="329"/>
      <c r="C316" s="473"/>
      <c r="D316" s="339"/>
      <c r="E316" s="339"/>
      <c r="F316" s="339"/>
      <c r="G316" s="339"/>
      <c r="H316" s="339"/>
    </row>
    <row r="317" spans="2:8">
      <c r="B317" s="329"/>
      <c r="C317" s="473"/>
      <c r="D317" s="339"/>
      <c r="E317" s="339"/>
      <c r="F317" s="339"/>
      <c r="G317" s="339"/>
      <c r="H317" s="339"/>
    </row>
    <row r="318" spans="2:8">
      <c r="B318" s="329"/>
      <c r="C318" s="473"/>
      <c r="D318" s="339"/>
      <c r="E318" s="339"/>
      <c r="F318" s="339"/>
      <c r="G318" s="339"/>
      <c r="H318" s="339"/>
    </row>
    <row r="319" spans="2:8">
      <c r="B319" s="329"/>
      <c r="C319" s="473"/>
      <c r="D319" s="339"/>
      <c r="E319" s="339"/>
      <c r="F319" s="339"/>
      <c r="G319" s="339"/>
      <c r="H319" s="339"/>
    </row>
    <row r="320" spans="2:8">
      <c r="B320" s="329"/>
      <c r="C320" s="473"/>
      <c r="D320" s="339"/>
      <c r="E320" s="339"/>
      <c r="F320" s="339"/>
      <c r="G320" s="339"/>
      <c r="H320" s="339"/>
    </row>
    <row r="321" spans="2:8">
      <c r="B321" s="329"/>
      <c r="C321" s="473"/>
      <c r="D321" s="339"/>
      <c r="E321" s="339"/>
      <c r="F321" s="339"/>
      <c r="G321" s="339"/>
      <c r="H321" s="339"/>
    </row>
    <row r="322" spans="2:8">
      <c r="B322" s="329" t="s">
        <v>358</v>
      </c>
      <c r="C322" s="473"/>
      <c r="D322" s="339"/>
      <c r="E322" s="339"/>
      <c r="F322" s="339"/>
      <c r="G322" s="339" t="s">
        <v>359</v>
      </c>
      <c r="H322" s="339"/>
    </row>
  </sheetData>
  <autoFilter ref="A2:AC92" xr:uid="{00000000-0009-0000-0000-000004000000}"/>
  <mergeCells count="2">
    <mergeCell ref="J1:K1"/>
    <mergeCell ref="Q1:U1"/>
  </mergeCells>
  <printOptions horizontalCentered="1" verticalCentered="1"/>
  <pageMargins left="0.78740157480314965" right="7.874015748031496E-2" top="0.39370078740157483" bottom="0.39370078740157483" header="0.31496062992125984" footer="0.31496062992125984"/>
  <pageSetup paperSize="9" scale="1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C250"/>
  <sheetViews>
    <sheetView zoomScaleNormal="100" workbookViewId="0">
      <selection activeCell="F208" sqref="F208"/>
    </sheetView>
  </sheetViews>
  <sheetFormatPr defaultColWidth="9.28515625" defaultRowHeight="13.15"/>
  <cols>
    <col min="1" max="1" width="5.7109375" style="305" bestFit="1" customWidth="1"/>
    <col min="2" max="2" width="38.7109375" style="306" customWidth="1"/>
    <col min="3" max="3" width="5.7109375" style="331" customWidth="1"/>
    <col min="4" max="4" width="12.28515625" style="307" bestFit="1" customWidth="1"/>
    <col min="5" max="5" width="13.42578125" style="307" bestFit="1" customWidth="1"/>
    <col min="6" max="6" width="13.85546875" style="307" customWidth="1"/>
    <col min="7" max="7" width="14.7109375" style="307" bestFit="1" customWidth="1"/>
    <col min="8" max="8" width="14.28515625" style="307" customWidth="1"/>
    <col min="9" max="9" width="13.28515625" style="307" bestFit="1" customWidth="1"/>
    <col min="10" max="11" width="13.7109375" style="307" bestFit="1" customWidth="1"/>
    <col min="12" max="12" width="41.7109375" style="307" bestFit="1" customWidth="1"/>
    <col min="13" max="13" width="1.42578125" style="307" bestFit="1" customWidth="1"/>
    <col min="14" max="14" width="14" style="307" bestFit="1" customWidth="1"/>
    <col min="15" max="15" width="13" style="307" bestFit="1" customWidth="1"/>
    <col min="16" max="16" width="3.42578125" style="307" customWidth="1"/>
    <col min="17" max="17" width="15.7109375" style="307" bestFit="1" customWidth="1"/>
    <col min="18" max="18" width="11.28515625" style="317" bestFit="1" customWidth="1"/>
    <col min="19" max="19" width="45.28515625" style="307" bestFit="1" customWidth="1"/>
    <col min="20" max="20" width="14.7109375" style="309" bestFit="1" customWidth="1"/>
    <col min="21" max="21" width="13.7109375" style="307" bestFit="1" customWidth="1"/>
    <col min="22" max="22" width="9.28515625" style="306"/>
    <col min="23" max="23" width="34.28515625" style="306" bestFit="1" customWidth="1"/>
    <col min="24" max="25" width="9.28515625" style="306"/>
    <col min="26" max="27" width="9.42578125" style="306" bestFit="1" customWidth="1"/>
    <col min="28" max="28" width="9.28515625" style="306"/>
    <col min="29" max="29" width="10.28515625" style="306" bestFit="1" customWidth="1"/>
    <col min="30" max="16384" width="9.28515625" style="306"/>
  </cols>
  <sheetData>
    <row r="1" spans="1:29">
      <c r="A1" s="496"/>
      <c r="B1" s="291" t="str">
        <f>SUMMARY!B91</f>
        <v>HARUMI Stock - FEB 2026</v>
      </c>
      <c r="C1" s="337"/>
      <c r="D1" s="344"/>
      <c r="E1" s="344"/>
      <c r="F1" s="344"/>
      <c r="G1" s="344"/>
      <c r="H1" s="344"/>
      <c r="I1" s="497"/>
      <c r="J1" s="852"/>
      <c r="K1" s="852"/>
      <c r="L1" s="498"/>
      <c r="M1" s="498"/>
      <c r="N1" s="498"/>
      <c r="O1" s="339"/>
      <c r="P1" s="339"/>
      <c r="Q1" s="853" t="s">
        <v>330</v>
      </c>
      <c r="R1" s="853"/>
      <c r="S1" s="853"/>
      <c r="T1" s="853"/>
      <c r="U1" s="853"/>
      <c r="V1" s="329"/>
      <c r="W1" s="329"/>
      <c r="X1" s="329"/>
      <c r="Y1" s="329"/>
      <c r="Z1" s="329"/>
      <c r="AA1" s="329"/>
      <c r="AB1" s="329"/>
      <c r="AC1" s="329"/>
    </row>
    <row r="2" spans="1:29" s="305" customFormat="1" ht="26.45">
      <c r="A2" s="311" t="s">
        <v>331</v>
      </c>
      <c r="B2" s="312" t="s">
        <v>332</v>
      </c>
      <c r="C2" s="313" t="s">
        <v>333</v>
      </c>
      <c r="D2" s="313" t="s">
        <v>334</v>
      </c>
      <c r="E2" s="313" t="s">
        <v>335</v>
      </c>
      <c r="F2" s="313" t="s">
        <v>166</v>
      </c>
      <c r="G2" s="313" t="s">
        <v>168</v>
      </c>
      <c r="H2" s="313" t="s">
        <v>336</v>
      </c>
      <c r="I2" s="293" t="s">
        <v>337</v>
      </c>
      <c r="J2" s="294" t="s">
        <v>338</v>
      </c>
      <c r="K2" s="313" t="s">
        <v>339</v>
      </c>
      <c r="L2" s="313" t="s">
        <v>170</v>
      </c>
      <c r="M2" s="314"/>
      <c r="N2" s="294" t="s">
        <v>340</v>
      </c>
      <c r="O2" s="313" t="s">
        <v>330</v>
      </c>
      <c r="P2" s="315"/>
      <c r="Q2" s="297" t="s">
        <v>341</v>
      </c>
      <c r="R2" s="304" t="s">
        <v>164</v>
      </c>
      <c r="S2" s="298" t="s">
        <v>342</v>
      </c>
      <c r="T2" s="316" t="s">
        <v>343</v>
      </c>
      <c r="U2" s="298" t="s">
        <v>344</v>
      </c>
      <c r="V2" s="496"/>
      <c r="W2" s="496"/>
      <c r="X2" s="496"/>
      <c r="Y2" s="496"/>
      <c r="Z2" s="496"/>
      <c r="AA2" s="496"/>
      <c r="AB2" s="496"/>
      <c r="AC2" s="496"/>
    </row>
    <row r="3" spans="1:29">
      <c r="A3" s="311"/>
      <c r="B3" s="290" t="s">
        <v>345</v>
      </c>
      <c r="C3" s="313"/>
      <c r="D3" s="292"/>
      <c r="E3" s="292"/>
      <c r="F3" s="292"/>
      <c r="G3" s="292"/>
      <c r="H3" s="292"/>
      <c r="I3" s="293"/>
      <c r="J3" s="294"/>
      <c r="K3" s="292"/>
      <c r="L3" s="292"/>
      <c r="M3" s="295"/>
      <c r="N3" s="294"/>
      <c r="O3" s="292"/>
      <c r="P3" s="296"/>
      <c r="Q3" s="297"/>
      <c r="R3" s="304"/>
      <c r="S3" s="298"/>
      <c r="T3" s="308"/>
      <c r="U3" s="298"/>
      <c r="V3" s="329"/>
      <c r="W3" s="329"/>
      <c r="X3" s="329"/>
      <c r="Y3" s="329"/>
      <c r="Z3" s="329"/>
      <c r="AA3" s="329"/>
      <c r="AB3" s="329"/>
      <c r="AC3" s="329"/>
    </row>
    <row r="4" spans="1:29">
      <c r="A4" s="338"/>
      <c r="B4" s="413" t="str">
        <f>SUMMARY!B3</f>
        <v>MAIZE/CORN</v>
      </c>
      <c r="C4" s="338" t="s">
        <v>346</v>
      </c>
      <c r="D4" s="336">
        <f>SUMMARY!B11</f>
        <v>241788.19999999998</v>
      </c>
      <c r="E4" s="336">
        <f>SUMMARY!B12</f>
        <v>573310</v>
      </c>
      <c r="F4" s="336">
        <f>SUMMARY!B13</f>
        <v>693552.59999999986</v>
      </c>
      <c r="G4" s="336">
        <f>SUMMARY!B14</f>
        <v>-29930.799999999996</v>
      </c>
      <c r="H4" s="336">
        <f>SUMMARY!B15</f>
        <v>91614.800000000017</v>
      </c>
      <c r="I4" s="336"/>
      <c r="J4" s="336"/>
      <c r="K4" s="336"/>
      <c r="L4" s="336"/>
      <c r="M4" s="339"/>
      <c r="N4" s="336"/>
      <c r="O4" s="413">
        <f>N4-H4</f>
        <v>-91614.800000000017</v>
      </c>
      <c r="P4" s="339"/>
      <c r="Q4" s="336"/>
      <c r="R4" s="499"/>
      <c r="S4" s="336"/>
      <c r="T4" s="500"/>
      <c r="U4" s="336"/>
      <c r="V4" s="329"/>
      <c r="W4" s="501"/>
      <c r="X4" s="329"/>
      <c r="Y4" s="502"/>
      <c r="Z4" s="502"/>
      <c r="AA4" s="502"/>
      <c r="AB4" s="502"/>
      <c r="AC4" s="502"/>
    </row>
    <row r="5" spans="1:29">
      <c r="A5" s="338"/>
      <c r="B5" s="413" t="str">
        <f>SUMMARY!C3</f>
        <v>SOYBEAN MEAL (ARG)</v>
      </c>
      <c r="C5" s="338" t="s">
        <v>346</v>
      </c>
      <c r="D5" s="336">
        <f>SUMMARY!C11</f>
        <v>48748.2</v>
      </c>
      <c r="E5" s="336">
        <f>SUMMARY!C12</f>
        <v>337880</v>
      </c>
      <c r="F5" s="336">
        <f>SUMMARY!C13</f>
        <v>320855.5</v>
      </c>
      <c r="G5" s="336">
        <f>SUMMARY!C14</f>
        <v>-676.10000000001946</v>
      </c>
      <c r="H5" s="336">
        <f>SUMMARY!C15</f>
        <v>65096.600000000035</v>
      </c>
      <c r="I5" s="336"/>
      <c r="J5" s="336"/>
      <c r="K5" s="336"/>
      <c r="L5" s="336"/>
      <c r="M5" s="339"/>
      <c r="N5" s="336"/>
      <c r="O5" s="413">
        <f t="shared" ref="O5:O58" si="0">N5-H5</f>
        <v>-65096.600000000035</v>
      </c>
      <c r="P5" s="339"/>
      <c r="Q5" s="336"/>
      <c r="R5" s="499"/>
      <c r="S5" s="336"/>
      <c r="T5" s="500"/>
      <c r="U5" s="336"/>
      <c r="V5" s="329"/>
      <c r="W5" s="501"/>
      <c r="X5" s="329"/>
      <c r="Y5" s="502"/>
      <c r="Z5" s="502"/>
      <c r="AA5" s="502"/>
      <c r="AB5" s="502"/>
      <c r="AC5" s="502"/>
    </row>
    <row r="6" spans="1:29">
      <c r="A6" s="338"/>
      <c r="B6" s="413" t="str">
        <f>SUMMARY!D3</f>
        <v>SOYBEAN FULL FAT</v>
      </c>
      <c r="C6" s="338" t="s">
        <v>346</v>
      </c>
      <c r="D6" s="336">
        <f>SUMMARY!D11</f>
        <v>49884.999999999985</v>
      </c>
      <c r="E6" s="336">
        <f>SUMMARY!D12</f>
        <v>81220.5</v>
      </c>
      <c r="F6" s="336">
        <f>SUMMARY!D13</f>
        <v>82722</v>
      </c>
      <c r="G6" s="336">
        <f>SUMMARY!D14</f>
        <v>-10.700000000005616</v>
      </c>
      <c r="H6" s="336">
        <f>SUMMARY!D15</f>
        <v>48372.799999999974</v>
      </c>
      <c r="I6" s="336"/>
      <c r="J6" s="336"/>
      <c r="K6" s="336"/>
      <c r="L6" s="336"/>
      <c r="M6" s="339"/>
      <c r="N6" s="336"/>
      <c r="O6" s="413">
        <f t="shared" si="0"/>
        <v>-48372.799999999974</v>
      </c>
      <c r="P6" s="339"/>
      <c r="Q6" s="336"/>
      <c r="R6" s="499"/>
      <c r="S6" s="336"/>
      <c r="T6" s="500"/>
      <c r="U6" s="336"/>
      <c r="V6" s="329"/>
      <c r="W6" s="501"/>
      <c r="X6" s="329"/>
      <c r="Y6" s="502"/>
      <c r="Z6" s="502"/>
      <c r="AA6" s="502"/>
      <c r="AB6" s="502"/>
      <c r="AC6" s="502"/>
    </row>
    <row r="7" spans="1:29">
      <c r="A7" s="338"/>
      <c r="B7" s="413" t="str">
        <f>SUMMARY!E3</f>
        <v>WHEAT POLLARD</v>
      </c>
      <c r="C7" s="338" t="s">
        <v>346</v>
      </c>
      <c r="D7" s="336">
        <f>SUMMARY!E11</f>
        <v>52772.200000000012</v>
      </c>
      <c r="E7" s="336">
        <f>SUMMARY!E12</f>
        <v>19280</v>
      </c>
      <c r="F7" s="336">
        <f>SUMMARY!E13</f>
        <v>37888</v>
      </c>
      <c r="G7" s="336">
        <f>SUMMARY!E14</f>
        <v>-25.999999999999261</v>
      </c>
      <c r="H7" s="336">
        <f>SUMMARY!E15</f>
        <v>34138.200000000019</v>
      </c>
      <c r="I7" s="336"/>
      <c r="J7" s="336"/>
      <c r="K7" s="336"/>
      <c r="L7" s="336"/>
      <c r="M7" s="339"/>
      <c r="N7" s="336"/>
      <c r="O7" s="413">
        <f t="shared" si="0"/>
        <v>-34138.200000000019</v>
      </c>
      <c r="P7" s="339"/>
      <c r="Q7" s="503"/>
      <c r="R7" s="504"/>
      <c r="S7" s="505"/>
      <c r="T7" s="505"/>
      <c r="U7" s="336"/>
      <c r="V7" s="329"/>
      <c r="W7" s="501"/>
      <c r="X7" s="329"/>
      <c r="Y7" s="502"/>
      <c r="Z7" s="502"/>
      <c r="AA7" s="502"/>
      <c r="AB7" s="502"/>
      <c r="AC7" s="502"/>
    </row>
    <row r="8" spans="1:29">
      <c r="A8" s="338"/>
      <c r="B8" s="413" t="str">
        <f>SUMMARY!F3</f>
        <v>WHEAT</v>
      </c>
      <c r="C8" s="338" t="s">
        <v>346</v>
      </c>
      <c r="D8" s="336">
        <f>SUMMARY!F11</f>
        <v>0</v>
      </c>
      <c r="E8" s="336">
        <f>SUMMARY!F12</f>
        <v>0</v>
      </c>
      <c r="F8" s="336">
        <f>SUMMARY!F13</f>
        <v>0</v>
      </c>
      <c r="G8" s="336">
        <f>SUMMARY!F14</f>
        <v>0</v>
      </c>
      <c r="H8" s="336">
        <f>SUMMARY!F15</f>
        <v>0</v>
      </c>
      <c r="I8" s="336"/>
      <c r="J8" s="336"/>
      <c r="K8" s="336"/>
      <c r="L8" s="336"/>
      <c r="M8" s="339"/>
      <c r="N8" s="336"/>
      <c r="O8" s="413">
        <f t="shared" si="0"/>
        <v>0</v>
      </c>
      <c r="P8" s="339"/>
      <c r="Q8" s="336"/>
      <c r="R8" s="499"/>
      <c r="S8" s="336"/>
      <c r="T8" s="500"/>
      <c r="U8" s="336"/>
      <c r="V8" s="329"/>
      <c r="W8" s="501"/>
      <c r="X8" s="329"/>
      <c r="Y8" s="502"/>
      <c r="Z8" s="502"/>
      <c r="AA8" s="502"/>
      <c r="AB8" s="502"/>
      <c r="AC8" s="502"/>
    </row>
    <row r="9" spans="1:29">
      <c r="A9" s="338"/>
      <c r="B9" s="413" t="str">
        <f>SUMMARY!G3</f>
        <v>MEAT AND BONE MEAL</v>
      </c>
      <c r="C9" s="338" t="s">
        <v>346</v>
      </c>
      <c r="D9" s="336">
        <f>SUMMARY!G11</f>
        <v>34316.69999999999</v>
      </c>
      <c r="E9" s="336">
        <f>SUMMARY!G12</f>
        <v>30480</v>
      </c>
      <c r="F9" s="336">
        <f>SUMMARY!G13</f>
        <v>16988</v>
      </c>
      <c r="G9" s="336">
        <f>SUMMARY!G14</f>
        <v>-6.6999999999998181</v>
      </c>
      <c r="H9" s="336">
        <f>SUMMARY!G15</f>
        <v>47801.999999999985</v>
      </c>
      <c r="I9" s="336"/>
      <c r="J9" s="336"/>
      <c r="K9" s="336"/>
      <c r="L9" s="336"/>
      <c r="M9" s="339"/>
      <c r="N9" s="336"/>
      <c r="O9" s="413">
        <f t="shared" si="0"/>
        <v>-47801.999999999985</v>
      </c>
      <c r="P9" s="339"/>
      <c r="Q9" s="336"/>
      <c r="R9" s="499"/>
      <c r="S9" s="336"/>
      <c r="T9" s="500"/>
      <c r="U9" s="336"/>
      <c r="V9" s="329"/>
      <c r="W9" s="501"/>
      <c r="X9" s="329"/>
      <c r="Y9" s="502"/>
      <c r="Z9" s="502"/>
      <c r="AA9" s="502"/>
      <c r="AB9" s="502"/>
      <c r="AC9" s="502"/>
    </row>
    <row r="10" spans="1:29">
      <c r="A10" s="338"/>
      <c r="B10" s="413" t="str">
        <f>SUMMARY!H3</f>
        <v>CORN GLUTEN MEAL</v>
      </c>
      <c r="C10" s="338" t="s">
        <v>346</v>
      </c>
      <c r="D10" s="336">
        <f>SUMMARY!H11</f>
        <v>21924.100000000006</v>
      </c>
      <c r="E10" s="336">
        <f>SUMMARY!H12</f>
        <v>22150</v>
      </c>
      <c r="F10" s="336">
        <f>SUMMARY!H13</f>
        <v>36564</v>
      </c>
      <c r="G10" s="336">
        <f>SUMMARY!H14</f>
        <v>-8.3000000000012051</v>
      </c>
      <c r="H10" s="336">
        <f>SUMMARY!H15</f>
        <v>7501.8000000000047</v>
      </c>
      <c r="I10" s="336"/>
      <c r="J10" s="336"/>
      <c r="K10" s="336"/>
      <c r="L10" s="336"/>
      <c r="M10" s="339"/>
      <c r="N10" s="336"/>
      <c r="O10" s="413">
        <f t="shared" si="0"/>
        <v>-7501.8000000000047</v>
      </c>
      <c r="P10" s="339"/>
      <c r="Q10" s="336"/>
      <c r="R10" s="499"/>
      <c r="S10" s="336"/>
      <c r="T10" s="500"/>
      <c r="U10" s="336"/>
      <c r="V10" s="329"/>
      <c r="W10" s="501"/>
      <c r="X10" s="329"/>
      <c r="Y10" s="502"/>
      <c r="Z10" s="502"/>
      <c r="AA10" s="502"/>
      <c r="AB10" s="502"/>
      <c r="AC10" s="502"/>
    </row>
    <row r="11" spans="1:29">
      <c r="A11" s="338"/>
      <c r="B11" s="413" t="str">
        <f>SUMMARY!I3</f>
        <v>MEGAFAT (HARUMI)</v>
      </c>
      <c r="C11" s="338" t="s">
        <v>346</v>
      </c>
      <c r="D11" s="336">
        <f>SUMMARY!I11</f>
        <v>0</v>
      </c>
      <c r="E11" s="336">
        <f>SUMMARY!I12</f>
        <v>24926.6</v>
      </c>
      <c r="F11" s="336">
        <f>SUMMARY!I13</f>
        <v>24928</v>
      </c>
      <c r="G11" s="336">
        <f>SUMMARY!I14</f>
        <v>1.4000000000002046</v>
      </c>
      <c r="H11" s="336">
        <f>SUMMARY!I15</f>
        <v>0</v>
      </c>
      <c r="I11" s="336"/>
      <c r="J11" s="300"/>
      <c r="K11" s="300"/>
      <c r="L11" s="336"/>
      <c r="M11" s="339"/>
      <c r="N11" s="336"/>
      <c r="O11" s="413">
        <f t="shared" si="0"/>
        <v>0</v>
      </c>
      <c r="P11" s="339"/>
      <c r="Q11" s="336"/>
      <c r="R11" s="499"/>
      <c r="S11" s="336"/>
      <c r="T11" s="500"/>
      <c r="U11" s="336"/>
      <c r="V11" s="329"/>
      <c r="W11" s="501"/>
      <c r="X11" s="329"/>
      <c r="Y11" s="502"/>
      <c r="Z11" s="502"/>
      <c r="AA11" s="502"/>
      <c r="AB11" s="502"/>
      <c r="AC11" s="502"/>
    </row>
    <row r="12" spans="1:29">
      <c r="A12" s="338"/>
      <c r="B12" s="413" t="str">
        <f>SUMMARY!J3</f>
        <v>DCP 18%</v>
      </c>
      <c r="C12" s="338" t="s">
        <v>346</v>
      </c>
      <c r="D12" s="336">
        <f>SUMMARY!J11</f>
        <v>3284.5</v>
      </c>
      <c r="E12" s="336">
        <f>SUMMARY!J12</f>
        <v>2000</v>
      </c>
      <c r="F12" s="336">
        <f>SUMMARY!J13</f>
        <v>4415.2999999999993</v>
      </c>
      <c r="G12" s="336">
        <f>SUMMARY!J14</f>
        <v>-861.19999999999982</v>
      </c>
      <c r="H12" s="336">
        <f>SUMMARY!J15</f>
        <v>8.0000000000001137</v>
      </c>
      <c r="I12" s="336"/>
      <c r="J12" s="301"/>
      <c r="K12" s="336"/>
      <c r="L12" s="336"/>
      <c r="M12" s="339"/>
      <c r="N12" s="336"/>
      <c r="O12" s="413">
        <f t="shared" si="0"/>
        <v>-8.0000000000001137</v>
      </c>
      <c r="P12" s="339"/>
      <c r="Q12" s="336"/>
      <c r="R12" s="499"/>
      <c r="S12" s="336"/>
      <c r="T12" s="500"/>
      <c r="U12" s="336"/>
      <c r="V12" s="329"/>
      <c r="W12" s="501"/>
      <c r="X12" s="329"/>
      <c r="Y12" s="502"/>
      <c r="Z12" s="502"/>
      <c r="AA12" s="502"/>
      <c r="AB12" s="502"/>
      <c r="AC12" s="502"/>
    </row>
    <row r="13" spans="1:29">
      <c r="A13" s="338"/>
      <c r="B13" s="413" t="str">
        <f>SUMMARY!K3</f>
        <v>LIMESTONE POWDER (HARUMI)</v>
      </c>
      <c r="C13" s="338" t="s">
        <v>346</v>
      </c>
      <c r="D13" s="336">
        <f>SUMMARY!K11</f>
        <v>0</v>
      </c>
      <c r="E13" s="336">
        <f>SUMMARY!K12</f>
        <v>7573.8000000000011</v>
      </c>
      <c r="F13" s="336">
        <f>SUMMARY!K13</f>
        <v>6622.2</v>
      </c>
      <c r="G13" s="336">
        <f>SUMMARY!K14</f>
        <v>-951.59999999999991</v>
      </c>
      <c r="H13" s="336">
        <f>SUMMARY!K15</f>
        <v>0</v>
      </c>
      <c r="I13" s="336"/>
      <c r="J13" s="301"/>
      <c r="K13" s="336"/>
      <c r="L13" s="336"/>
      <c r="M13" s="339"/>
      <c r="N13" s="336"/>
      <c r="O13" s="413">
        <f t="shared" si="0"/>
        <v>0</v>
      </c>
      <c r="P13" s="339"/>
      <c r="Q13" s="336"/>
      <c r="R13" s="499"/>
      <c r="S13" s="336"/>
      <c r="T13" s="500"/>
      <c r="U13" s="336"/>
      <c r="V13" s="329"/>
      <c r="W13" s="501"/>
      <c r="X13" s="329"/>
      <c r="Y13" s="502"/>
      <c r="Z13" s="502"/>
      <c r="AA13" s="502"/>
      <c r="AB13" s="502"/>
      <c r="AC13" s="502"/>
    </row>
    <row r="14" spans="1:29">
      <c r="A14" s="338"/>
      <c r="B14" s="413" t="str">
        <f>SUMMARY!L3</f>
        <v>CHOLINE CHLORIDE 60%</v>
      </c>
      <c r="C14" s="338" t="s">
        <v>346</v>
      </c>
      <c r="D14" s="336">
        <f>SUMMARY!L11</f>
        <v>0</v>
      </c>
      <c r="E14" s="336">
        <f>SUMMARY!L12</f>
        <v>0</v>
      </c>
      <c r="F14" s="336">
        <f>SUMMARY!L13</f>
        <v>0</v>
      </c>
      <c r="G14" s="336">
        <f>SUMMARY!L14</f>
        <v>0</v>
      </c>
      <c r="H14" s="336">
        <f>SUMMARY!L15</f>
        <v>0</v>
      </c>
      <c r="I14" s="336"/>
      <c r="J14" s="301"/>
      <c r="K14" s="336"/>
      <c r="L14" s="336"/>
      <c r="M14" s="339"/>
      <c r="N14" s="336"/>
      <c r="O14" s="413">
        <f t="shared" si="0"/>
        <v>0</v>
      </c>
      <c r="P14" s="339"/>
      <c r="Q14" s="336"/>
      <c r="R14" s="499"/>
      <c r="S14" s="336"/>
      <c r="T14" s="500"/>
      <c r="U14" s="336"/>
      <c r="V14" s="329"/>
      <c r="W14" s="501"/>
      <c r="X14" s="329"/>
      <c r="Y14" s="502"/>
      <c r="Z14" s="502"/>
      <c r="AA14" s="502"/>
      <c r="AB14" s="502"/>
      <c r="AC14" s="502"/>
    </row>
    <row r="15" spans="1:29">
      <c r="A15" s="338"/>
      <c r="B15" s="413" t="str">
        <f>SUMMARY!M3</f>
        <v>INDUSTRY FLOUR</v>
      </c>
      <c r="C15" s="338" t="s">
        <v>346</v>
      </c>
      <c r="D15" s="336">
        <f>SUMMARY!M11</f>
        <v>0</v>
      </c>
      <c r="E15" s="336">
        <f>SUMMARY!M12</f>
        <v>86490</v>
      </c>
      <c r="F15" s="336">
        <f>SUMMARY!M13</f>
        <v>31430</v>
      </c>
      <c r="G15" s="336">
        <f>SUMMARY!M14</f>
        <v>-7.5999999999999091</v>
      </c>
      <c r="H15" s="336">
        <f>SUMMARY!M15</f>
        <v>55052.4</v>
      </c>
      <c r="I15" s="336"/>
      <c r="J15" s="300"/>
      <c r="K15" s="336"/>
      <c r="L15" s="336"/>
      <c r="M15" s="339"/>
      <c r="N15" s="336"/>
      <c r="O15" s="413">
        <f t="shared" si="0"/>
        <v>-55052.4</v>
      </c>
      <c r="P15" s="339"/>
      <c r="Q15" s="336"/>
      <c r="R15" s="499"/>
      <c r="S15" s="336"/>
      <c r="T15" s="500"/>
      <c r="U15" s="336"/>
      <c r="V15" s="329"/>
      <c r="W15" s="501"/>
      <c r="X15" s="329"/>
      <c r="Y15" s="502"/>
      <c r="Z15" s="502"/>
      <c r="AA15" s="502"/>
      <c r="AB15" s="502"/>
      <c r="AC15" s="502"/>
    </row>
    <row r="16" spans="1:29">
      <c r="A16" s="338"/>
      <c r="B16" s="413" t="str">
        <f>SUMMARY!N3</f>
        <v>RICE BRAN</v>
      </c>
      <c r="C16" s="338" t="s">
        <v>346</v>
      </c>
      <c r="D16" s="336">
        <f>SUMMARY!N11</f>
        <v>22172.799999999996</v>
      </c>
      <c r="E16" s="336">
        <f>SUMMARY!N12</f>
        <v>0</v>
      </c>
      <c r="F16" s="336">
        <f>SUMMARY!N13</f>
        <v>21860</v>
      </c>
      <c r="G16" s="336">
        <f>SUMMARY!N14</f>
        <v>-312.8</v>
      </c>
      <c r="H16" s="336">
        <f>SUMMARY!N15</f>
        <v>-2.8421709430404007E-12</v>
      </c>
      <c r="I16" s="336"/>
      <c r="J16" s="300"/>
      <c r="K16" s="336"/>
      <c r="L16" s="336"/>
      <c r="M16" s="339"/>
      <c r="N16" s="336"/>
      <c r="O16" s="413">
        <f t="shared" si="0"/>
        <v>2.8421709430404007E-12</v>
      </c>
      <c r="P16" s="339"/>
      <c r="Q16" s="336"/>
      <c r="R16" s="499"/>
      <c r="S16" s="336"/>
      <c r="T16" s="500"/>
      <c r="U16" s="336"/>
      <c r="V16" s="329"/>
      <c r="W16" s="501"/>
      <c r="X16" s="329"/>
      <c r="Y16" s="502"/>
      <c r="Z16" s="502"/>
      <c r="AA16" s="502"/>
      <c r="AB16" s="502"/>
      <c r="AC16" s="502"/>
    </row>
    <row r="17" spans="1:29">
      <c r="A17" s="338"/>
      <c r="B17" s="413" t="str">
        <f>SUMMARY!O3</f>
        <v>EP 200</v>
      </c>
      <c r="C17" s="338" t="s">
        <v>346</v>
      </c>
      <c r="D17" s="336">
        <f>SUMMARY!O11</f>
        <v>0</v>
      </c>
      <c r="E17" s="336">
        <f>SUMMARY!O12</f>
        <v>2300</v>
      </c>
      <c r="F17" s="336">
        <f>SUMMARY!O12</f>
        <v>2300</v>
      </c>
      <c r="G17" s="336">
        <f>SUMMARY!O14</f>
        <v>0</v>
      </c>
      <c r="H17" s="336">
        <f>SUMMARY!O15</f>
        <v>2300</v>
      </c>
      <c r="I17" s="336"/>
      <c r="J17" s="300"/>
      <c r="K17" s="336"/>
      <c r="L17" s="336"/>
      <c r="M17" s="339"/>
      <c r="N17" s="336"/>
      <c r="O17" s="413">
        <f t="shared" si="0"/>
        <v>-2300</v>
      </c>
      <c r="P17" s="339"/>
      <c r="Q17" s="336"/>
      <c r="R17" s="499"/>
      <c r="S17" s="336"/>
      <c r="T17" s="500"/>
      <c r="U17" s="336"/>
      <c r="V17" s="329"/>
      <c r="W17" s="501"/>
      <c r="X17" s="329"/>
      <c r="Y17" s="502"/>
      <c r="Z17" s="502"/>
      <c r="AA17" s="502"/>
      <c r="AB17" s="502"/>
      <c r="AC17" s="502"/>
    </row>
    <row r="18" spans="1:29">
      <c r="A18" s="338"/>
      <c r="B18" s="413" t="str">
        <f>SUMMARY!P3</f>
        <v>SOYTIDE</v>
      </c>
      <c r="C18" s="338" t="s">
        <v>346</v>
      </c>
      <c r="D18" s="336">
        <f>SUMMARY!P11</f>
        <v>0</v>
      </c>
      <c r="E18" s="336">
        <f>SUMMARY!P12</f>
        <v>10200</v>
      </c>
      <c r="F18" s="336">
        <f>SUMMARY!P13</f>
        <v>4500</v>
      </c>
      <c r="G18" s="336">
        <f>SUMMARY!P14</f>
        <v>-3.2000000000002728</v>
      </c>
      <c r="H18" s="336">
        <f>SUMMARY!P15</f>
        <v>5696.8</v>
      </c>
      <c r="I18" s="336"/>
      <c r="J18" s="336"/>
      <c r="K18" s="336"/>
      <c r="L18" s="336"/>
      <c r="M18" s="339"/>
      <c r="N18" s="336"/>
      <c r="O18" s="413">
        <f t="shared" si="0"/>
        <v>-5696.8</v>
      </c>
      <c r="P18" s="339"/>
      <c r="Q18" s="336"/>
      <c r="R18" s="499"/>
      <c r="S18" s="336"/>
      <c r="T18" s="500"/>
      <c r="U18" s="336"/>
      <c r="V18" s="329"/>
      <c r="W18" s="501"/>
      <c r="X18" s="329"/>
      <c r="Y18" s="502"/>
      <c r="Z18" s="502"/>
      <c r="AA18" s="502"/>
      <c r="AB18" s="502"/>
      <c r="AC18" s="502"/>
    </row>
    <row r="19" spans="1:29">
      <c r="A19" s="338"/>
      <c r="B19" s="413" t="str">
        <f>SUMMARY!Q3</f>
        <v>DCP 18% (HARUMI)</v>
      </c>
      <c r="C19" s="338" t="s">
        <v>346</v>
      </c>
      <c r="D19" s="336">
        <f>SUMMARY!Q11</f>
        <v>0</v>
      </c>
      <c r="E19" s="336">
        <f>SUMMARY!Q12</f>
        <v>0</v>
      </c>
      <c r="F19" s="336">
        <f>SUMMARY!Q13</f>
        <v>0</v>
      </c>
      <c r="G19" s="336">
        <f>SUMMARY!Q14</f>
        <v>0</v>
      </c>
      <c r="H19" s="336">
        <f>SUMMARY!Q15</f>
        <v>0</v>
      </c>
      <c r="I19" s="336"/>
      <c r="J19" s="336"/>
      <c r="K19" s="336"/>
      <c r="L19" s="336"/>
      <c r="M19" s="339"/>
      <c r="N19" s="336"/>
      <c r="O19" s="413">
        <f t="shared" si="0"/>
        <v>0</v>
      </c>
      <c r="P19" s="339"/>
      <c r="Q19" s="336"/>
      <c r="R19" s="499"/>
      <c r="S19" s="336"/>
      <c r="T19" s="500"/>
      <c r="U19" s="336"/>
      <c r="V19" s="329"/>
      <c r="W19" s="501"/>
      <c r="X19" s="329"/>
      <c r="Y19" s="502"/>
      <c r="Z19" s="502"/>
      <c r="AA19" s="502"/>
      <c r="AB19" s="502"/>
      <c r="AC19" s="502"/>
    </row>
    <row r="20" spans="1:29">
      <c r="A20" s="338"/>
      <c r="B20" s="413">
        <f>SUMMARY!R3</f>
        <v>1</v>
      </c>
      <c r="C20" s="338" t="s">
        <v>346</v>
      </c>
      <c r="D20" s="336">
        <f>SUMMARY!R11</f>
        <v>0</v>
      </c>
      <c r="E20" s="336">
        <f>SUMMARY!R12</f>
        <v>0</v>
      </c>
      <c r="F20" s="336">
        <f>SUMMARY!R13</f>
        <v>0</v>
      </c>
      <c r="G20" s="336">
        <f>SUMMARY!R14</f>
        <v>0</v>
      </c>
      <c r="H20" s="336">
        <f>SUMMARY!R15</f>
        <v>0</v>
      </c>
      <c r="I20" s="336"/>
      <c r="J20" s="336"/>
      <c r="K20" s="336"/>
      <c r="L20" s="336"/>
      <c r="M20" s="339"/>
      <c r="N20" s="336"/>
      <c r="O20" s="413">
        <f t="shared" si="0"/>
        <v>0</v>
      </c>
      <c r="P20" s="339"/>
      <c r="Q20" s="336"/>
      <c r="R20" s="499"/>
      <c r="S20" s="336"/>
      <c r="T20" s="500"/>
      <c r="U20" s="336"/>
      <c r="V20" s="329"/>
      <c r="W20" s="501"/>
      <c r="X20" s="329"/>
      <c r="Y20" s="502"/>
      <c r="Z20" s="502"/>
      <c r="AA20" s="502"/>
      <c r="AB20" s="502"/>
      <c r="AC20" s="502"/>
    </row>
    <row r="21" spans="1:29">
      <c r="A21" s="338"/>
      <c r="B21" s="413">
        <f>SUMMARY!S3</f>
        <v>2</v>
      </c>
      <c r="C21" s="338" t="s">
        <v>346</v>
      </c>
      <c r="D21" s="336">
        <f>SUMMARY!S11</f>
        <v>0</v>
      </c>
      <c r="E21" s="336">
        <f>SUMMARY!S12</f>
        <v>0</v>
      </c>
      <c r="F21" s="336">
        <f>SUMMARY!S13</f>
        <v>0</v>
      </c>
      <c r="G21" s="336">
        <f>SUMMARY!S14</f>
        <v>0</v>
      </c>
      <c r="H21" s="336">
        <f>SUMMARY!S15</f>
        <v>0</v>
      </c>
      <c r="I21" s="336"/>
      <c r="J21" s="336"/>
      <c r="K21" s="336"/>
      <c r="L21" s="336"/>
      <c r="M21" s="339"/>
      <c r="N21" s="336"/>
      <c r="O21" s="413">
        <f t="shared" si="0"/>
        <v>0</v>
      </c>
      <c r="P21" s="339"/>
      <c r="Q21" s="336"/>
      <c r="R21" s="499"/>
      <c r="S21" s="336"/>
      <c r="T21" s="500"/>
      <c r="U21" s="336"/>
      <c r="V21" s="329"/>
      <c r="W21" s="501"/>
      <c r="X21" s="329"/>
      <c r="Y21" s="502"/>
      <c r="Z21" s="502"/>
      <c r="AA21" s="502"/>
      <c r="AB21" s="502"/>
      <c r="AC21" s="502"/>
    </row>
    <row r="22" spans="1:29">
      <c r="A22" s="338"/>
      <c r="B22" s="413">
        <f>SUMMARY!T3</f>
        <v>3</v>
      </c>
      <c r="C22" s="338" t="s">
        <v>346</v>
      </c>
      <c r="D22" s="336">
        <f>SUMMARY!T11</f>
        <v>0</v>
      </c>
      <c r="E22" s="336">
        <f>SUMMARY!T12</f>
        <v>0</v>
      </c>
      <c r="F22" s="336">
        <f>SUMMARY!T13</f>
        <v>0</v>
      </c>
      <c r="G22" s="336">
        <f>SUMMARY!T14</f>
        <v>0</v>
      </c>
      <c r="H22" s="336">
        <f>SUMMARY!T15</f>
        <v>0</v>
      </c>
      <c r="I22" s="336"/>
      <c r="J22" s="336"/>
      <c r="K22" s="336"/>
      <c r="L22" s="336"/>
      <c r="M22" s="339"/>
      <c r="N22" s="336"/>
      <c r="O22" s="413">
        <f t="shared" si="0"/>
        <v>0</v>
      </c>
      <c r="P22" s="339"/>
      <c r="Q22" s="336"/>
      <c r="R22" s="499"/>
      <c r="S22" s="336"/>
      <c r="T22" s="500"/>
      <c r="U22" s="336"/>
      <c r="V22" s="329"/>
      <c r="W22" s="501"/>
      <c r="X22" s="329"/>
      <c r="Y22" s="502"/>
      <c r="Z22" s="502"/>
      <c r="AA22" s="502"/>
      <c r="AB22" s="502"/>
      <c r="AC22" s="502"/>
    </row>
    <row r="23" spans="1:29">
      <c r="A23" s="338"/>
      <c r="B23" s="413"/>
      <c r="C23" s="338"/>
      <c r="D23" s="336"/>
      <c r="E23" s="336"/>
      <c r="F23" s="336"/>
      <c r="G23" s="336"/>
      <c r="H23" s="336"/>
      <c r="I23" s="336"/>
      <c r="J23" s="336"/>
      <c r="K23" s="336"/>
      <c r="L23" s="336"/>
      <c r="M23" s="339"/>
      <c r="N23" s="336"/>
      <c r="O23" s="413"/>
      <c r="P23" s="339"/>
      <c r="Q23" s="336"/>
      <c r="R23" s="499"/>
      <c r="S23" s="336"/>
      <c r="T23" s="500"/>
      <c r="U23" s="336"/>
      <c r="V23" s="329"/>
      <c r="W23" s="501"/>
      <c r="X23" s="329"/>
      <c r="Y23" s="502"/>
      <c r="Z23" s="502"/>
      <c r="AA23" s="502"/>
      <c r="AB23" s="502"/>
      <c r="AC23" s="502"/>
    </row>
    <row r="24" spans="1:29">
      <c r="A24" s="338"/>
      <c r="B24" s="310" t="s">
        <v>347</v>
      </c>
      <c r="C24" s="338"/>
      <c r="D24" s="336"/>
      <c r="E24" s="336"/>
      <c r="F24" s="336"/>
      <c r="G24" s="336"/>
      <c r="H24" s="336"/>
      <c r="I24" s="336"/>
      <c r="J24" s="336"/>
      <c r="K24" s="336"/>
      <c r="L24" s="336"/>
      <c r="M24" s="339"/>
      <c r="N24" s="336"/>
      <c r="O24" s="413"/>
      <c r="P24" s="339"/>
      <c r="Q24" s="336"/>
      <c r="R24" s="499"/>
      <c r="S24" s="336"/>
      <c r="T24" s="500"/>
      <c r="U24" s="336"/>
      <c r="V24" s="329"/>
      <c r="W24" s="501"/>
      <c r="X24" s="329"/>
      <c r="Y24" s="502"/>
      <c r="Z24" s="502"/>
      <c r="AA24" s="502"/>
      <c r="AB24" s="502"/>
      <c r="AC24" s="502"/>
    </row>
    <row r="25" spans="1:29">
      <c r="A25" s="338"/>
      <c r="B25" s="413" t="str">
        <f>SUMMARY!U3</f>
        <v>PREMIX 1101 (20KG)</v>
      </c>
      <c r="C25" s="338" t="s">
        <v>346</v>
      </c>
      <c r="D25" s="336">
        <f>SUMMARY!U11</f>
        <v>3540</v>
      </c>
      <c r="E25" s="336">
        <f>SUMMARY!U12</f>
        <v>0</v>
      </c>
      <c r="F25" s="336">
        <f>SUMMARY!U13</f>
        <v>2920</v>
      </c>
      <c r="G25" s="336">
        <f>SUMMARY!U14</f>
        <v>0</v>
      </c>
      <c r="H25" s="336">
        <f>SUMMARY!U15</f>
        <v>620</v>
      </c>
      <c r="I25" s="336"/>
      <c r="J25" s="336"/>
      <c r="K25" s="336"/>
      <c r="L25" s="336"/>
      <c r="M25" s="339"/>
      <c r="N25" s="336"/>
      <c r="O25" s="413">
        <f t="shared" si="0"/>
        <v>-620</v>
      </c>
      <c r="P25" s="339"/>
      <c r="Q25" s="336"/>
      <c r="R25" s="499"/>
      <c r="S25" s="336"/>
      <c r="T25" s="500"/>
      <c r="U25" s="336"/>
      <c r="V25" s="329"/>
      <c r="W25" s="501"/>
      <c r="X25" s="329"/>
      <c r="Y25" s="502"/>
      <c r="Z25" s="502"/>
      <c r="AA25" s="502"/>
      <c r="AB25" s="502"/>
      <c r="AC25" s="502"/>
    </row>
    <row r="26" spans="1:29">
      <c r="A26" s="338"/>
      <c r="B26" s="413" t="str">
        <f>SUMMARY!V3</f>
        <v>PREMIX 1102 (20KG)</v>
      </c>
      <c r="C26" s="338" t="s">
        <v>346</v>
      </c>
      <c r="D26" s="336">
        <f>SUMMARY!V11</f>
        <v>3960</v>
      </c>
      <c r="E26" s="336">
        <f>SUMMARY!V12</f>
        <v>2000</v>
      </c>
      <c r="F26" s="336">
        <f>SUMMARY!V13</f>
        <v>0</v>
      </c>
      <c r="G26" s="336">
        <f>SUMMARY!V14</f>
        <v>0</v>
      </c>
      <c r="H26" s="336">
        <f>SUMMARY!V15</f>
        <v>5960</v>
      </c>
      <c r="I26" s="336"/>
      <c r="J26" s="336"/>
      <c r="K26" s="336"/>
      <c r="L26" s="336"/>
      <c r="M26" s="339"/>
      <c r="N26" s="336"/>
      <c r="O26" s="413">
        <f t="shared" si="0"/>
        <v>-5960</v>
      </c>
      <c r="P26" s="339"/>
      <c r="Q26" s="336"/>
      <c r="R26" s="499"/>
      <c r="S26" s="336"/>
      <c r="T26" s="500"/>
      <c r="U26" s="336"/>
      <c r="V26" s="329"/>
      <c r="W26" s="501"/>
      <c r="X26" s="329"/>
      <c r="Y26" s="502"/>
      <c r="Z26" s="502"/>
      <c r="AA26" s="502"/>
      <c r="AB26" s="502"/>
      <c r="AC26" s="502"/>
    </row>
    <row r="27" spans="1:29">
      <c r="A27" s="338"/>
      <c r="B27" s="413" t="str">
        <f>SUMMARY!W3</f>
        <v>PREMIX 1103 (20KG)</v>
      </c>
      <c r="C27" s="338" t="s">
        <v>346</v>
      </c>
      <c r="D27" s="336">
        <f>SUMMARY!W11</f>
        <v>3240</v>
      </c>
      <c r="E27" s="336">
        <f>SUMMARY!W12</f>
        <v>2000</v>
      </c>
      <c r="F27" s="336">
        <f>SUMMARY!W13</f>
        <v>320</v>
      </c>
      <c r="G27" s="336">
        <f>SUMMARY!W14</f>
        <v>320</v>
      </c>
      <c r="H27" s="336">
        <f>SUMMARY!W15</f>
        <v>5240</v>
      </c>
      <c r="I27" s="336"/>
      <c r="J27" s="336"/>
      <c r="K27" s="336"/>
      <c r="L27" s="336"/>
      <c r="M27" s="339"/>
      <c r="N27" s="336"/>
      <c r="O27" s="413">
        <f t="shared" si="0"/>
        <v>-5240</v>
      </c>
      <c r="P27" s="339"/>
      <c r="Q27" s="336"/>
      <c r="R27" s="499"/>
      <c r="S27" s="336"/>
      <c r="T27" s="500"/>
      <c r="U27" s="336"/>
      <c r="V27" s="329"/>
      <c r="W27" s="501"/>
      <c r="X27" s="329"/>
      <c r="Y27" s="502"/>
      <c r="Z27" s="502"/>
      <c r="AA27" s="502"/>
      <c r="AB27" s="502"/>
      <c r="AC27" s="502"/>
    </row>
    <row r="28" spans="1:29">
      <c r="A28" s="338"/>
      <c r="B28" s="413" t="str">
        <f>SUMMARY!X3</f>
        <v>PREMIX 311 (20KG)</v>
      </c>
      <c r="C28" s="338" t="s">
        <v>346</v>
      </c>
      <c r="D28" s="336">
        <f>SUMMARY!X11</f>
        <v>0</v>
      </c>
      <c r="E28" s="336">
        <f>SUMMARY!X12</f>
        <v>0</v>
      </c>
      <c r="F28" s="336">
        <f>SUMMARY!X13</f>
        <v>0</v>
      </c>
      <c r="G28" s="336">
        <f>SUMMARY!X14</f>
        <v>0</v>
      </c>
      <c r="H28" s="336">
        <f>SUMMARY!X15</f>
        <v>0</v>
      </c>
      <c r="I28" s="336"/>
      <c r="J28" s="336"/>
      <c r="K28" s="336"/>
      <c r="L28" s="336"/>
      <c r="M28" s="339"/>
      <c r="N28" s="336"/>
      <c r="O28" s="413">
        <f t="shared" si="0"/>
        <v>0</v>
      </c>
      <c r="P28" s="339"/>
      <c r="Q28" s="336"/>
      <c r="R28" s="499"/>
      <c r="S28" s="336"/>
      <c r="T28" s="500"/>
      <c r="U28" s="336"/>
      <c r="V28" s="329"/>
      <c r="W28" s="501"/>
      <c r="X28" s="329"/>
      <c r="Y28" s="502"/>
      <c r="Z28" s="502"/>
      <c r="AA28" s="502"/>
      <c r="AB28" s="502"/>
      <c r="AC28" s="502"/>
    </row>
    <row r="29" spans="1:29">
      <c r="A29" s="338"/>
      <c r="B29" s="413" t="str">
        <f>SUMMARY!Y3</f>
        <v>PREMIX 312 (20KG)</v>
      </c>
      <c r="C29" s="338" t="s">
        <v>346</v>
      </c>
      <c r="D29" s="336">
        <f>SUMMARY!Y11</f>
        <v>0</v>
      </c>
      <c r="E29" s="336">
        <f>SUMMARY!Y12</f>
        <v>0</v>
      </c>
      <c r="F29" s="336">
        <f>SUMMARY!Y13</f>
        <v>0</v>
      </c>
      <c r="G29" s="336">
        <f>SUMMARY!Y14</f>
        <v>0</v>
      </c>
      <c r="H29" s="336">
        <f>SUMMARY!Y15</f>
        <v>0</v>
      </c>
      <c r="I29" s="336"/>
      <c r="J29" s="336"/>
      <c r="K29" s="336"/>
      <c r="L29" s="336"/>
      <c r="M29" s="339"/>
      <c r="N29" s="336"/>
      <c r="O29" s="413">
        <f t="shared" si="0"/>
        <v>0</v>
      </c>
      <c r="P29" s="339"/>
      <c r="Q29" s="336"/>
      <c r="R29" s="499"/>
      <c r="S29" s="336"/>
      <c r="T29" s="500"/>
      <c r="U29" s="336"/>
      <c r="V29" s="329"/>
      <c r="W29" s="501"/>
      <c r="X29" s="329"/>
      <c r="Y29" s="502"/>
      <c r="Z29" s="502"/>
      <c r="AA29" s="502"/>
      <c r="AB29" s="502"/>
      <c r="AC29" s="502"/>
    </row>
    <row r="30" spans="1:29">
      <c r="A30" s="338"/>
      <c r="B30" s="413">
        <f>SUMMARY!Z3</f>
        <v>1</v>
      </c>
      <c r="C30" s="338" t="s">
        <v>346</v>
      </c>
      <c r="D30" s="336">
        <f>SUMMARY!Z11</f>
        <v>0</v>
      </c>
      <c r="E30" s="336">
        <f>SUMMARY!Z12</f>
        <v>0</v>
      </c>
      <c r="F30" s="336">
        <f>SUMMARY!Z13</f>
        <v>0</v>
      </c>
      <c r="G30" s="336">
        <f>SUMMARY!Z14</f>
        <v>0</v>
      </c>
      <c r="H30" s="336">
        <f>SUMMARY!Z15</f>
        <v>0</v>
      </c>
      <c r="I30" s="336"/>
      <c r="J30" s="336"/>
      <c r="K30" s="336"/>
      <c r="L30" s="336"/>
      <c r="M30" s="339"/>
      <c r="N30" s="336"/>
      <c r="O30" s="413">
        <f t="shared" si="0"/>
        <v>0</v>
      </c>
      <c r="P30" s="339"/>
      <c r="Q30" s="336"/>
      <c r="R30" s="499"/>
      <c r="S30" s="336"/>
      <c r="T30" s="500"/>
      <c r="U30" s="336"/>
      <c r="V30" s="329"/>
      <c r="W30" s="501"/>
      <c r="X30" s="329"/>
      <c r="Y30" s="502"/>
      <c r="Z30" s="502"/>
      <c r="AA30" s="502"/>
      <c r="AB30" s="502"/>
      <c r="AC30" s="502"/>
    </row>
    <row r="31" spans="1:29">
      <c r="A31" s="338"/>
      <c r="B31" s="413" t="str">
        <f>SUMMARY!AA3</f>
        <v>PREMIX 8100 (20KG)</v>
      </c>
      <c r="C31" s="338" t="s">
        <v>346</v>
      </c>
      <c r="D31" s="336">
        <f>SUMMARY!AA11</f>
        <v>5440</v>
      </c>
      <c r="E31" s="336">
        <f>SUMMARY!AA12</f>
        <v>0</v>
      </c>
      <c r="F31" s="336">
        <f>SUMMARY!AA13</f>
        <v>1040</v>
      </c>
      <c r="G31" s="336">
        <f>SUMMARY!AA14</f>
        <v>720</v>
      </c>
      <c r="H31" s="336">
        <f>SUMMARY!AA15</f>
        <v>5120</v>
      </c>
      <c r="I31" s="336"/>
      <c r="J31" s="336"/>
      <c r="K31" s="336"/>
      <c r="L31" s="336"/>
      <c r="M31" s="339"/>
      <c r="N31" s="336"/>
      <c r="O31" s="413">
        <f t="shared" si="0"/>
        <v>-5120</v>
      </c>
      <c r="P31" s="339"/>
      <c r="Q31" s="336"/>
      <c r="R31" s="499"/>
      <c r="S31" s="336"/>
      <c r="T31" s="500"/>
      <c r="U31" s="336"/>
      <c r="V31" s="329"/>
      <c r="W31" s="501"/>
      <c r="X31" s="329"/>
      <c r="Y31" s="502"/>
      <c r="Z31" s="502"/>
      <c r="AA31" s="502"/>
      <c r="AB31" s="502"/>
      <c r="AC31" s="502"/>
    </row>
    <row r="32" spans="1:29">
      <c r="A32" s="338"/>
      <c r="B32" s="413" t="str">
        <f>SUMMARY!AB3</f>
        <v>PREMIX 8101 (20KG)</v>
      </c>
      <c r="C32" s="338" t="s">
        <v>346</v>
      </c>
      <c r="D32" s="336">
        <f>SUMMARY!AB11</f>
        <v>5100</v>
      </c>
      <c r="E32" s="336">
        <f>SUMMARY!AB12</f>
        <v>0</v>
      </c>
      <c r="F32" s="336">
        <f>SUMMARY!AB13</f>
        <v>0</v>
      </c>
      <c r="G32" s="336">
        <f>SUMMARY!AB14</f>
        <v>0</v>
      </c>
      <c r="H32" s="336">
        <f>SUMMARY!AB15</f>
        <v>5100</v>
      </c>
      <c r="I32" s="336"/>
      <c r="J32" s="336"/>
      <c r="K32" s="336"/>
      <c r="L32" s="336"/>
      <c r="M32" s="339"/>
      <c r="N32" s="336"/>
      <c r="O32" s="413">
        <f t="shared" si="0"/>
        <v>-5100</v>
      </c>
      <c r="P32" s="339"/>
      <c r="Q32" s="336"/>
      <c r="R32" s="499"/>
      <c r="S32" s="336"/>
      <c r="T32" s="500"/>
      <c r="U32" s="336"/>
      <c r="V32" s="329"/>
      <c r="W32" s="501"/>
      <c r="X32" s="329"/>
      <c r="Y32" s="502"/>
      <c r="Z32" s="502"/>
      <c r="AA32" s="502"/>
      <c r="AB32" s="502"/>
      <c r="AC32" s="502"/>
    </row>
    <row r="33" spans="1:29">
      <c r="A33" s="338"/>
      <c r="B33" s="413" t="str">
        <f>SUMMARY!AC3</f>
        <v>PREMIX 8102 (20KG)</v>
      </c>
      <c r="C33" s="338" t="s">
        <v>346</v>
      </c>
      <c r="D33" s="336">
        <f>SUMMARY!AC11</f>
        <v>16240</v>
      </c>
      <c r="E33" s="336">
        <f>SUMMARY!AC12</f>
        <v>0</v>
      </c>
      <c r="F33" s="336">
        <f>SUMMARY!AC13</f>
        <v>7760</v>
      </c>
      <c r="G33" s="336">
        <f>SUMMARY!AC13</f>
        <v>7760</v>
      </c>
      <c r="H33" s="336">
        <f>SUMMARY!AC15</f>
        <v>10240</v>
      </c>
      <c r="I33" s="336"/>
      <c r="J33" s="336"/>
      <c r="K33" s="336"/>
      <c r="L33" s="336"/>
      <c r="M33" s="339"/>
      <c r="N33" s="336"/>
      <c r="O33" s="413">
        <f t="shared" si="0"/>
        <v>-10240</v>
      </c>
      <c r="P33" s="339"/>
      <c r="Q33" s="336"/>
      <c r="R33" s="499"/>
      <c r="S33" s="336"/>
      <c r="T33" s="500"/>
      <c r="U33" s="336"/>
      <c r="V33" s="329"/>
      <c r="W33" s="501"/>
      <c r="X33" s="329"/>
      <c r="Y33" s="502"/>
      <c r="Z33" s="502"/>
      <c r="AA33" s="502"/>
      <c r="AB33" s="502"/>
      <c r="AC33" s="502"/>
    </row>
    <row r="34" spans="1:29">
      <c r="A34" s="338"/>
      <c r="B34" s="413" t="str">
        <f>SUMMARY!AD3</f>
        <v>PREMIX 8103 (20KG)</v>
      </c>
      <c r="C34" s="338" t="s">
        <v>346</v>
      </c>
      <c r="D34" s="336">
        <f>SUMMARY!AD11</f>
        <v>13120</v>
      </c>
      <c r="E34" s="336">
        <f>SUMMARY!AD12</f>
        <v>2000</v>
      </c>
      <c r="F34" s="336">
        <f>SUMMARY!AD13</f>
        <v>2000</v>
      </c>
      <c r="G34" s="336">
        <f>SUMMARY!AD14</f>
        <v>520</v>
      </c>
      <c r="H34" s="336">
        <f>SUMMARY!AD15</f>
        <v>15120</v>
      </c>
      <c r="I34" s="336"/>
      <c r="J34" s="336"/>
      <c r="K34" s="336"/>
      <c r="L34" s="336"/>
      <c r="M34" s="339"/>
      <c r="N34" s="336"/>
      <c r="O34" s="413">
        <f t="shared" si="0"/>
        <v>-15120</v>
      </c>
      <c r="P34" s="339"/>
      <c r="Q34" s="336"/>
      <c r="R34" s="499"/>
      <c r="S34" s="336"/>
      <c r="T34" s="500"/>
      <c r="U34" s="336"/>
      <c r="V34" s="329"/>
      <c r="W34" s="501"/>
      <c r="X34" s="329"/>
      <c r="Y34" s="502"/>
      <c r="Z34" s="502"/>
      <c r="AA34" s="502"/>
      <c r="AB34" s="502"/>
      <c r="AC34" s="502"/>
    </row>
    <row r="35" spans="1:29">
      <c r="A35" s="338"/>
      <c r="B35" s="413" t="str">
        <f>SUMMARY!AE3</f>
        <v>PREMIX 8108 (20KG)</v>
      </c>
      <c r="C35" s="338" t="s">
        <v>346</v>
      </c>
      <c r="D35" s="508">
        <f>SUMMARY!AE11</f>
        <v>6800</v>
      </c>
      <c r="E35" s="508">
        <f>SUMMARY!AE12</f>
        <v>0</v>
      </c>
      <c r="F35" s="508">
        <f>SUMMARY!AE13</f>
        <v>0</v>
      </c>
      <c r="G35" s="508">
        <f>SUMMARY!AE14</f>
        <v>-3480</v>
      </c>
      <c r="H35" s="508">
        <f>SUMMARY!AE15</f>
        <v>3320</v>
      </c>
      <c r="I35" s="508"/>
      <c r="J35" s="508"/>
      <c r="K35" s="508"/>
      <c r="L35" s="508"/>
      <c r="M35" s="512"/>
      <c r="N35" s="508"/>
      <c r="O35" s="413">
        <f t="shared" si="0"/>
        <v>-3320</v>
      </c>
      <c r="P35" s="512"/>
      <c r="Q35" s="508"/>
      <c r="R35" s="513"/>
      <c r="S35" s="508"/>
      <c r="T35" s="514"/>
      <c r="U35" s="508"/>
      <c r="V35" s="329"/>
      <c r="W35" s="501"/>
      <c r="X35" s="329"/>
      <c r="Y35" s="502"/>
      <c r="Z35" s="502"/>
      <c r="AA35" s="502"/>
      <c r="AB35" s="502"/>
      <c r="AC35" s="502"/>
    </row>
    <row r="36" spans="1:29">
      <c r="A36" s="338"/>
      <c r="B36" s="413" t="str">
        <f>SUMMARY!AF3</f>
        <v>PREMIX 8109 (20KG)</v>
      </c>
      <c r="C36" s="338" t="s">
        <v>346</v>
      </c>
      <c r="D36" s="336">
        <f>SUMMARY!AF11</f>
        <v>5400</v>
      </c>
      <c r="E36" s="336">
        <f>SUMMARY!AF12</f>
        <v>0</v>
      </c>
      <c r="F36" s="336">
        <f>SUMMARY!AF13</f>
        <v>0</v>
      </c>
      <c r="G36" s="336">
        <f>SUMMARY!AF14</f>
        <v>0</v>
      </c>
      <c r="H36" s="336">
        <f>SUMMARY!AF15</f>
        <v>5400</v>
      </c>
      <c r="I36" s="336"/>
      <c r="J36" s="336"/>
      <c r="K36" s="336"/>
      <c r="L36" s="336"/>
      <c r="M36" s="339"/>
      <c r="N36" s="336"/>
      <c r="O36" s="413">
        <f t="shared" si="0"/>
        <v>-5400</v>
      </c>
      <c r="P36" s="339"/>
      <c r="Q36" s="336"/>
      <c r="R36" s="499"/>
      <c r="S36" s="336"/>
      <c r="T36" s="500"/>
      <c r="U36" s="336"/>
      <c r="V36" s="329"/>
      <c r="W36" s="501"/>
      <c r="X36" s="329"/>
      <c r="Y36" s="502"/>
      <c r="Z36" s="502"/>
      <c r="AA36" s="502"/>
      <c r="AB36" s="502"/>
      <c r="AC36" s="502"/>
    </row>
    <row r="37" spans="1:29">
      <c r="A37" s="338"/>
      <c r="B37" s="413" t="str">
        <f>SUMMARY!AG3</f>
        <v>YENMIX 121 (20KG)</v>
      </c>
      <c r="C37" s="338" t="s">
        <v>346</v>
      </c>
      <c r="D37" s="336">
        <f>SUMMARY!AG11</f>
        <v>2260</v>
      </c>
      <c r="E37" s="336">
        <f>SUMMARY!AG12</f>
        <v>5340</v>
      </c>
      <c r="F37" s="336">
        <f>SUMMARY!AG13</f>
        <v>3600</v>
      </c>
      <c r="G37" s="336">
        <f>SUMMARY!AG14</f>
        <v>0</v>
      </c>
      <c r="H37" s="336">
        <f>SUMMARY!AG15</f>
        <v>4000</v>
      </c>
      <c r="I37" s="336"/>
      <c r="J37" s="336"/>
      <c r="K37" s="336"/>
      <c r="L37" s="336"/>
      <c r="M37" s="339"/>
      <c r="N37" s="336"/>
      <c r="O37" s="413">
        <f t="shared" si="0"/>
        <v>-4000</v>
      </c>
      <c r="P37" s="339"/>
      <c r="Q37" s="336"/>
      <c r="R37" s="499"/>
      <c r="S37" s="336"/>
      <c r="T37" s="500"/>
      <c r="U37" s="336"/>
      <c r="V37" s="329"/>
      <c r="W37" s="501"/>
      <c r="X37" s="329"/>
      <c r="Y37" s="502"/>
      <c r="Z37" s="502"/>
      <c r="AA37" s="502"/>
      <c r="AB37" s="502"/>
      <c r="AC37" s="502"/>
    </row>
    <row r="38" spans="1:29">
      <c r="A38" s="338"/>
      <c r="B38" s="413" t="str">
        <f>SUMMARY!AH3</f>
        <v>YENMIX 122 (19.50KG)</v>
      </c>
      <c r="C38" s="338" t="s">
        <v>346</v>
      </c>
      <c r="D38" s="336">
        <f>SUMMARY!AH11</f>
        <v>0</v>
      </c>
      <c r="E38" s="336">
        <f>SUMMARY!AH12</f>
        <v>8775</v>
      </c>
      <c r="F38" s="336">
        <f>SUMMARY!AH13</f>
        <v>6864</v>
      </c>
      <c r="G38" s="336">
        <f>SUMMARY!AH14</f>
        <v>-1911</v>
      </c>
      <c r="H38" s="336">
        <f>SUMMARY!AH15</f>
        <v>0</v>
      </c>
      <c r="I38" s="336"/>
      <c r="J38" s="336"/>
      <c r="K38" s="336"/>
      <c r="L38" s="336"/>
      <c r="M38" s="339"/>
      <c r="N38" s="336"/>
      <c r="O38" s="413">
        <f t="shared" si="0"/>
        <v>0</v>
      </c>
      <c r="P38" s="339"/>
      <c r="Q38" s="336"/>
      <c r="R38" s="499"/>
      <c r="S38" s="336"/>
      <c r="T38" s="500"/>
      <c r="U38" s="336"/>
      <c r="V38" s="329"/>
      <c r="W38" s="501"/>
      <c r="X38" s="329"/>
      <c r="Y38" s="502"/>
      <c r="Z38" s="502"/>
      <c r="AA38" s="502"/>
      <c r="AB38" s="502"/>
      <c r="AC38" s="502"/>
    </row>
    <row r="39" spans="1:29">
      <c r="A39" s="338"/>
      <c r="B39" s="413" t="str">
        <f>SUMMARY!AI3</f>
        <v>YENMIX 123 (18.90KG)</v>
      </c>
      <c r="C39" s="338" t="s">
        <v>346</v>
      </c>
      <c r="D39" s="336">
        <f>SUMMARY!AI11</f>
        <v>0</v>
      </c>
      <c r="E39" s="336">
        <f>SUMMARY!AI12</f>
        <v>13230</v>
      </c>
      <c r="F39" s="336">
        <f>SUMMARY!AI13</f>
        <v>2948.3999999999996</v>
      </c>
      <c r="G39" s="336">
        <f>SUMMARY!AI14</f>
        <v>-3742.2</v>
      </c>
      <c r="H39" s="336">
        <f>SUMMARY!AI15</f>
        <v>6539.4000000000005</v>
      </c>
      <c r="I39" s="336"/>
      <c r="J39" s="336"/>
      <c r="K39" s="336"/>
      <c r="L39" s="336"/>
      <c r="M39" s="339"/>
      <c r="N39" s="336"/>
      <c r="O39" s="413">
        <f t="shared" si="0"/>
        <v>-6539.4000000000005</v>
      </c>
      <c r="P39" s="339"/>
      <c r="Q39" s="336"/>
      <c r="R39" s="499"/>
      <c r="S39" s="336"/>
      <c r="T39" s="500"/>
      <c r="U39" s="336"/>
      <c r="V39" s="329"/>
      <c r="W39" s="501"/>
      <c r="X39" s="329"/>
      <c r="Y39" s="502"/>
      <c r="Z39" s="502"/>
      <c r="AA39" s="502"/>
      <c r="AB39" s="502"/>
      <c r="AC39" s="502"/>
    </row>
    <row r="40" spans="1:29">
      <c r="A40" s="338"/>
      <c r="B40" s="413" t="str">
        <f>SUMMARY!AJ3</f>
        <v>YENMIX 122 (20.50KG)</v>
      </c>
      <c r="C40" s="338" t="s">
        <v>346</v>
      </c>
      <c r="D40" s="336">
        <f>SUMMARY!AJ11</f>
        <v>0</v>
      </c>
      <c r="E40" s="336">
        <f>SUMMARY!AJ12</f>
        <v>0</v>
      </c>
      <c r="F40" s="336">
        <f>SUMMARY!AJ13</f>
        <v>0</v>
      </c>
      <c r="G40" s="336">
        <f>SUMMARY!AJ14</f>
        <v>0</v>
      </c>
      <c r="H40" s="336">
        <f>SUMMARY!AJ15</f>
        <v>0</v>
      </c>
      <c r="I40" s="336"/>
      <c r="J40" s="336"/>
      <c r="K40" s="336"/>
      <c r="L40" s="336"/>
      <c r="M40" s="339"/>
      <c r="N40" s="336"/>
      <c r="O40" s="413">
        <f t="shared" si="0"/>
        <v>0</v>
      </c>
      <c r="P40" s="339"/>
      <c r="Q40" s="336"/>
      <c r="R40" s="499"/>
      <c r="S40" s="336"/>
      <c r="T40" s="500"/>
      <c r="U40" s="336"/>
      <c r="V40" s="329"/>
      <c r="W40" s="501"/>
      <c r="X40" s="329"/>
      <c r="Y40" s="502"/>
      <c r="Z40" s="502"/>
      <c r="AA40" s="502"/>
      <c r="AB40" s="502"/>
      <c r="AC40" s="502"/>
    </row>
    <row r="41" spans="1:29">
      <c r="A41" s="338"/>
      <c r="B41" s="413" t="str">
        <f>SUMMARY!AK3</f>
        <v>YENMIX 123 (20.00KG)</v>
      </c>
      <c r="C41" s="338" t="s">
        <v>346</v>
      </c>
      <c r="D41" s="336">
        <f>SUMMARY!AK11</f>
        <v>0</v>
      </c>
      <c r="E41" s="336">
        <f>SUMMARY!AK12</f>
        <v>0</v>
      </c>
      <c r="F41" s="336">
        <f>SUMMARY!AK13</f>
        <v>0</v>
      </c>
      <c r="G41" s="336">
        <f>SUMMARY!AK14</f>
        <v>0</v>
      </c>
      <c r="H41" s="336">
        <f>SUMMARY!AK15</f>
        <v>0</v>
      </c>
      <c r="I41" s="336"/>
      <c r="J41" s="336"/>
      <c r="K41" s="336"/>
      <c r="L41" s="336"/>
      <c r="M41" s="339"/>
      <c r="N41" s="336"/>
      <c r="O41" s="413">
        <f t="shared" si="0"/>
        <v>0</v>
      </c>
      <c r="P41" s="339"/>
      <c r="Q41" s="336"/>
      <c r="R41" s="499"/>
      <c r="S41" s="336"/>
      <c r="T41" s="500"/>
      <c r="U41" s="336"/>
      <c r="V41" s="329"/>
      <c r="W41" s="501"/>
      <c r="X41" s="329"/>
      <c r="Y41" s="502"/>
      <c r="Z41" s="502"/>
      <c r="AA41" s="502"/>
      <c r="AB41" s="502"/>
      <c r="AC41" s="502"/>
    </row>
    <row r="42" spans="1:29">
      <c r="A42" s="338"/>
      <c r="B42" s="413">
        <f>SUMMARY!AL3</f>
        <v>1</v>
      </c>
      <c r="C42" s="338" t="s">
        <v>346</v>
      </c>
      <c r="D42" s="336">
        <f>SUMMARY!AL11</f>
        <v>0</v>
      </c>
      <c r="E42" s="336">
        <f>SUMMARY!AL12</f>
        <v>0</v>
      </c>
      <c r="F42" s="336">
        <f>SUMMARY!AL13</f>
        <v>0</v>
      </c>
      <c r="G42" s="336">
        <f>SUMMARY!AL14</f>
        <v>0</v>
      </c>
      <c r="H42" s="336">
        <f>SUMMARY!AL15</f>
        <v>0</v>
      </c>
      <c r="I42" s="336"/>
      <c r="J42" s="336"/>
      <c r="K42" s="336"/>
      <c r="L42" s="336"/>
      <c r="M42" s="339"/>
      <c r="N42" s="336"/>
      <c r="O42" s="413">
        <f t="shared" si="0"/>
        <v>0</v>
      </c>
      <c r="P42" s="339"/>
      <c r="Q42" s="336"/>
      <c r="R42" s="336"/>
      <c r="S42" s="336"/>
      <c r="T42" s="336"/>
      <c r="U42" s="336"/>
      <c r="V42" s="329"/>
      <c r="W42" s="501"/>
      <c r="X42" s="329"/>
      <c r="Y42" s="502"/>
      <c r="Z42" s="502"/>
      <c r="AA42" s="502"/>
      <c r="AB42" s="502"/>
      <c r="AC42" s="502"/>
    </row>
    <row r="43" spans="1:29">
      <c r="A43" s="338"/>
      <c r="B43" s="413">
        <f>SUMMARY!AM3</f>
        <v>2</v>
      </c>
      <c r="C43" s="338" t="s">
        <v>346</v>
      </c>
      <c r="D43" s="336">
        <f>SUMMARY!AM11</f>
        <v>0</v>
      </c>
      <c r="E43" s="336">
        <f>SUMMARY!AM12</f>
        <v>0</v>
      </c>
      <c r="F43" s="336">
        <f>SUMMARY!AM13</f>
        <v>0</v>
      </c>
      <c r="G43" s="336">
        <f>SUMMARY!AM14</f>
        <v>0</v>
      </c>
      <c r="H43" s="336">
        <f>SUMMARY!AM15</f>
        <v>0</v>
      </c>
      <c r="I43" s="336"/>
      <c r="J43" s="336"/>
      <c r="K43" s="336"/>
      <c r="L43" s="336"/>
      <c r="M43" s="339"/>
      <c r="N43" s="336"/>
      <c r="O43" s="413">
        <f t="shared" si="0"/>
        <v>0</v>
      </c>
      <c r="P43" s="339"/>
      <c r="Q43" s="336"/>
      <c r="R43" s="336"/>
      <c r="S43" s="336"/>
      <c r="T43" s="336"/>
      <c r="U43" s="336"/>
      <c r="V43" s="329"/>
      <c r="W43" s="501"/>
      <c r="X43" s="329"/>
      <c r="Y43" s="502"/>
      <c r="Z43" s="502"/>
      <c r="AA43" s="502"/>
      <c r="AB43" s="502"/>
      <c r="AC43" s="502"/>
    </row>
    <row r="44" spans="1:29">
      <c r="A44" s="338"/>
      <c r="B44" s="413">
        <f>SUMMARY!AN3</f>
        <v>3</v>
      </c>
      <c r="C44" s="338" t="s">
        <v>346</v>
      </c>
      <c r="D44" s="336">
        <f>SUMMARY!AN11</f>
        <v>0</v>
      </c>
      <c r="E44" s="336">
        <f>SUMMARY!AN12</f>
        <v>0</v>
      </c>
      <c r="F44" s="336">
        <f>SUMMARY!AN13</f>
        <v>0</v>
      </c>
      <c r="G44" s="336">
        <f>SUMMARY!AN14</f>
        <v>0</v>
      </c>
      <c r="H44" s="336">
        <f>SUMMARY!AN15</f>
        <v>0</v>
      </c>
      <c r="I44" s="336"/>
      <c r="J44" s="336"/>
      <c r="K44" s="336"/>
      <c r="L44" s="336"/>
      <c r="M44" s="339"/>
      <c r="N44" s="336"/>
      <c r="O44" s="413">
        <f t="shared" si="0"/>
        <v>0</v>
      </c>
      <c r="P44" s="339"/>
      <c r="Q44" s="336"/>
      <c r="R44" s="336"/>
      <c r="S44" s="336"/>
      <c r="T44" s="336"/>
      <c r="U44" s="336"/>
      <c r="V44" s="329"/>
      <c r="W44" s="501"/>
      <c r="X44" s="329"/>
      <c r="Y44" s="502"/>
      <c r="Z44" s="502"/>
      <c r="AA44" s="502"/>
      <c r="AB44" s="502"/>
      <c r="AC44" s="502"/>
    </row>
    <row r="45" spans="1:29">
      <c r="A45" s="338"/>
      <c r="B45" s="413" t="str">
        <f>SUMMARY!AO3</f>
        <v>TOXISORB PREMIUM</v>
      </c>
      <c r="C45" s="338" t="s">
        <v>346</v>
      </c>
      <c r="D45" s="336">
        <f>SUMMARY!AO11</f>
        <v>1969</v>
      </c>
      <c r="E45" s="336">
        <f>SUMMARY!AO12</f>
        <v>4500</v>
      </c>
      <c r="F45" s="336">
        <f>SUMMARY!AO13</f>
        <v>1677</v>
      </c>
      <c r="G45" s="336">
        <f>SUMMARY!AO14</f>
        <v>0</v>
      </c>
      <c r="H45" s="336">
        <f>SUMMARY!AO15</f>
        <v>4123</v>
      </c>
      <c r="I45" s="336"/>
      <c r="J45" s="336"/>
      <c r="K45" s="336"/>
      <c r="L45" s="336"/>
      <c r="M45" s="339"/>
      <c r="N45" s="336"/>
      <c r="O45" s="413">
        <f t="shared" si="0"/>
        <v>-4123</v>
      </c>
      <c r="P45" s="339"/>
      <c r="Q45" s="336"/>
      <c r="R45" s="499"/>
      <c r="S45" s="336"/>
      <c r="T45" s="500"/>
      <c r="U45" s="336"/>
      <c r="V45" s="329"/>
      <c r="W45" s="501"/>
      <c r="X45" s="329"/>
      <c r="Y45" s="502"/>
      <c r="Z45" s="502"/>
      <c r="AA45" s="502"/>
      <c r="AB45" s="502"/>
      <c r="AC45" s="502"/>
    </row>
    <row r="46" spans="1:29">
      <c r="A46" s="338"/>
      <c r="B46" s="413" t="str">
        <f>SUMMARY!AP3</f>
        <v>SODIUM HUMATE 3.8% (HARUMI)</v>
      </c>
      <c r="C46" s="338" t="s">
        <v>346</v>
      </c>
      <c r="D46" s="336">
        <f>SUMMARY!AP11</f>
        <v>0</v>
      </c>
      <c r="E46" s="336">
        <f>SUMMARY!AP12</f>
        <v>2863.2</v>
      </c>
      <c r="F46" s="336">
        <f>SUMMARY!AP13</f>
        <v>3462</v>
      </c>
      <c r="G46" s="336">
        <f>SUMMARY!AP14</f>
        <v>0</v>
      </c>
      <c r="H46" s="336">
        <f>SUMMARY!AP15</f>
        <v>0</v>
      </c>
      <c r="I46" s="336"/>
      <c r="J46" s="336"/>
      <c r="K46" s="336"/>
      <c r="L46" s="336"/>
      <c r="M46" s="339"/>
      <c r="N46" s="336"/>
      <c r="O46" s="413">
        <f t="shared" si="0"/>
        <v>0</v>
      </c>
      <c r="P46" s="339"/>
      <c r="Q46" s="336"/>
      <c r="R46" s="499"/>
      <c r="S46" s="336"/>
      <c r="T46" s="500"/>
      <c r="U46" s="336"/>
      <c r="V46" s="329"/>
      <c r="W46" s="501"/>
      <c r="X46" s="329"/>
      <c r="Y46" s="502"/>
      <c r="Z46" s="502"/>
      <c r="AA46" s="502"/>
      <c r="AB46" s="502"/>
      <c r="AC46" s="502"/>
    </row>
    <row r="47" spans="1:29">
      <c r="A47" s="338"/>
      <c r="B47" s="413" t="str">
        <f>SUMMARY!AR3</f>
        <v>SODIUM BICARBONATE</v>
      </c>
      <c r="C47" s="338" t="s">
        <v>346</v>
      </c>
      <c r="D47" s="336">
        <f>SUMMARY!AR11</f>
        <v>0</v>
      </c>
      <c r="E47" s="336">
        <f>SUMMARY!AR12</f>
        <v>3037.3</v>
      </c>
      <c r="F47" s="336">
        <f>SUMMARY!AR13</f>
        <v>1089.5999999999999</v>
      </c>
      <c r="G47" s="475">
        <f>SUMMARY!AR14</f>
        <v>0</v>
      </c>
      <c r="H47" s="336">
        <f>SUMMARY!AR15</f>
        <v>1947.7</v>
      </c>
      <c r="I47" s="336"/>
      <c r="J47" s="336"/>
      <c r="K47" s="336"/>
      <c r="L47" s="336"/>
      <c r="M47" s="339"/>
      <c r="N47" s="336"/>
      <c r="O47" s="413"/>
      <c r="P47" s="339"/>
      <c r="Q47" s="336"/>
      <c r="R47" s="499"/>
      <c r="S47" s="336"/>
      <c r="T47" s="500"/>
      <c r="U47" s="336"/>
      <c r="V47" s="329"/>
      <c r="W47" s="501"/>
      <c r="X47" s="329"/>
      <c r="Y47" s="502"/>
      <c r="Z47" s="502"/>
      <c r="AA47" s="502"/>
      <c r="AB47" s="502"/>
      <c r="AC47" s="502"/>
    </row>
    <row r="48" spans="1:29">
      <c r="A48" s="338"/>
      <c r="B48" s="413" t="str">
        <f>SUMMARY!AS3</f>
        <v>BMD 10%</v>
      </c>
      <c r="C48" s="338" t="s">
        <v>346</v>
      </c>
      <c r="D48" s="336"/>
      <c r="E48" s="336"/>
      <c r="F48" s="336"/>
      <c r="G48" s="336"/>
      <c r="H48" s="336"/>
      <c r="I48" s="336"/>
      <c r="J48" s="336"/>
      <c r="K48" s="336"/>
      <c r="L48" s="336"/>
      <c r="M48" s="339"/>
      <c r="N48" s="336"/>
      <c r="O48" s="413"/>
      <c r="P48" s="339"/>
      <c r="Q48" s="336"/>
      <c r="R48" s="499"/>
      <c r="S48" s="336"/>
      <c r="T48" s="500"/>
      <c r="U48" s="336"/>
      <c r="V48" s="329"/>
      <c r="W48" s="501"/>
      <c r="X48" s="329"/>
      <c r="Y48" s="502"/>
      <c r="Z48" s="502"/>
      <c r="AA48" s="502"/>
      <c r="AB48" s="502"/>
      <c r="AC48" s="502"/>
    </row>
    <row r="49" spans="1:29">
      <c r="A49" s="338"/>
      <c r="B49" s="413" t="str">
        <f>SUMMARY!AT3</f>
        <v>SALT (HARUMI)</v>
      </c>
      <c r="C49" s="338" t="s">
        <v>346</v>
      </c>
      <c r="D49" s="336"/>
      <c r="E49" s="336"/>
      <c r="F49" s="336"/>
      <c r="G49" s="336"/>
      <c r="H49" s="336"/>
      <c r="I49" s="336"/>
      <c r="J49" s="336"/>
      <c r="K49" s="336"/>
      <c r="L49" s="336"/>
      <c r="M49" s="339"/>
      <c r="N49" s="336"/>
      <c r="O49" s="413"/>
      <c r="P49" s="339"/>
      <c r="Q49" s="336"/>
      <c r="R49" s="499"/>
      <c r="S49" s="336"/>
      <c r="T49" s="500"/>
      <c r="U49" s="336"/>
      <c r="V49" s="329"/>
      <c r="W49" s="501"/>
      <c r="X49" s="329"/>
      <c r="Y49" s="502"/>
      <c r="Z49" s="502"/>
      <c r="AA49" s="502"/>
      <c r="AB49" s="502"/>
      <c r="AC49" s="502"/>
    </row>
    <row r="50" spans="1:29">
      <c r="A50" s="338"/>
      <c r="B50" s="413" t="str">
        <f>SUMMARY!AU3</f>
        <v>VISTABET 91</v>
      </c>
      <c r="C50" s="338" t="s">
        <v>346</v>
      </c>
      <c r="D50" s="336">
        <f>SUMMARY!AQ11</f>
        <v>0</v>
      </c>
      <c r="E50" s="336">
        <f>SUMMARY!AQ12</f>
        <v>0</v>
      </c>
      <c r="F50" s="336">
        <f>SUMMARY!AQ13</f>
        <v>0</v>
      </c>
      <c r="G50" s="336">
        <f>SUMMARY!AQ14</f>
        <v>0</v>
      </c>
      <c r="H50" s="336">
        <f>SUMMARY!AQ15</f>
        <v>0</v>
      </c>
      <c r="I50" s="336"/>
      <c r="J50" s="336"/>
      <c r="K50" s="336"/>
      <c r="L50" s="336"/>
      <c r="M50" s="339"/>
      <c r="N50" s="336"/>
      <c r="O50" s="413">
        <f t="shared" si="0"/>
        <v>0</v>
      </c>
      <c r="P50" s="339"/>
      <c r="Q50" s="336"/>
      <c r="R50" s="499"/>
      <c r="S50" s="336"/>
      <c r="T50" s="500"/>
      <c r="U50" s="336"/>
      <c r="V50" s="329"/>
      <c r="W50" s="501"/>
      <c r="X50" s="329"/>
      <c r="Y50" s="502"/>
      <c r="Z50" s="502"/>
      <c r="AA50" s="502"/>
      <c r="AB50" s="502"/>
      <c r="AC50" s="502"/>
    </row>
    <row r="51" spans="1:29">
      <c r="A51" s="338"/>
      <c r="B51" s="413" t="str">
        <f>SUMMARY!AV3</f>
        <v>BETAFIN</v>
      </c>
      <c r="C51" s="338" t="s">
        <v>346</v>
      </c>
      <c r="D51" s="336">
        <f>SUMMARY!AS11</f>
        <v>1680.5</v>
      </c>
      <c r="E51" s="336">
        <f>SUMMARY!AS12</f>
        <v>0</v>
      </c>
      <c r="F51" s="336">
        <f>SUMMARY!AS13</f>
        <v>0</v>
      </c>
      <c r="G51" s="336">
        <f>SUMMARY!AS14</f>
        <v>0</v>
      </c>
      <c r="H51" s="336">
        <f>SUMMARY!AS15</f>
        <v>1680.5</v>
      </c>
      <c r="I51" s="336"/>
      <c r="J51" s="336"/>
      <c r="K51" s="336"/>
      <c r="L51" s="336"/>
      <c r="M51" s="339"/>
      <c r="N51" s="336"/>
      <c r="O51" s="413">
        <f t="shared" si="0"/>
        <v>-1680.5</v>
      </c>
      <c r="P51" s="339"/>
      <c r="Q51" s="336"/>
      <c r="R51" s="499"/>
      <c r="S51" s="336"/>
      <c r="T51" s="500"/>
      <c r="U51" s="336"/>
      <c r="V51" s="329"/>
      <c r="W51" s="501"/>
      <c r="X51" s="329"/>
      <c r="Y51" s="502"/>
      <c r="Z51" s="502"/>
      <c r="AA51" s="502"/>
      <c r="AB51" s="502"/>
      <c r="AC51" s="502"/>
    </row>
    <row r="52" spans="1:29">
      <c r="A52" s="338"/>
      <c r="B52" s="413" t="str">
        <f>SUMMARY!AW3</f>
        <v>8101 TOP UP</v>
      </c>
      <c r="C52" s="338" t="s">
        <v>346</v>
      </c>
      <c r="D52" s="336">
        <f>SUMMARY!AT11</f>
        <v>0</v>
      </c>
      <c r="E52" s="336">
        <f>SUMMARY!AT12</f>
        <v>2953.3999999999996</v>
      </c>
      <c r="F52" s="336">
        <f>SUMMARY!AT13</f>
        <v>2953.3999999999996</v>
      </c>
      <c r="G52" s="336">
        <f>SUMMARY!AT14</f>
        <v>0</v>
      </c>
      <c r="H52" s="336">
        <f>SUMMARY!AT15</f>
        <v>0</v>
      </c>
      <c r="I52" s="336"/>
      <c r="J52" s="336"/>
      <c r="K52" s="336"/>
      <c r="L52" s="336"/>
      <c r="M52" s="339"/>
      <c r="N52" s="336"/>
      <c r="O52" s="413">
        <f t="shared" si="0"/>
        <v>0</v>
      </c>
      <c r="P52" s="339"/>
      <c r="Q52" s="336"/>
      <c r="R52" s="499"/>
      <c r="S52" s="336"/>
      <c r="T52" s="500"/>
      <c r="U52" s="336"/>
      <c r="V52" s="329"/>
      <c r="W52" s="501"/>
      <c r="X52" s="329"/>
      <c r="Y52" s="502"/>
      <c r="Z52" s="502"/>
      <c r="AA52" s="502"/>
      <c r="AB52" s="502"/>
      <c r="AC52" s="502"/>
    </row>
    <row r="53" spans="1:29">
      <c r="A53" s="338"/>
      <c r="B53" s="413" t="str">
        <f>SUMMARY!AX3</f>
        <v>NORPONIN X03 (8102 TOP UP)</v>
      </c>
      <c r="C53" s="338" t="s">
        <v>346</v>
      </c>
      <c r="D53" s="336">
        <f>SUMMARY!AU11</f>
        <v>0</v>
      </c>
      <c r="E53" s="336">
        <f>SUMMARY!AU12</f>
        <v>0</v>
      </c>
      <c r="F53" s="336">
        <f>SUMMARY!AU13</f>
        <v>0</v>
      </c>
      <c r="G53" s="336">
        <f>SUMMARY!AU14</f>
        <v>0</v>
      </c>
      <c r="H53" s="336">
        <f>SUMMARY!AU15</f>
        <v>0</v>
      </c>
      <c r="I53" s="336"/>
      <c r="J53" s="336"/>
      <c r="K53" s="336"/>
      <c r="L53" s="336"/>
      <c r="M53" s="339"/>
      <c r="N53" s="336"/>
      <c r="O53" s="413">
        <f t="shared" si="0"/>
        <v>0</v>
      </c>
      <c r="P53" s="339"/>
      <c r="Q53" s="336"/>
      <c r="R53" s="499"/>
      <c r="S53" s="336"/>
      <c r="T53" s="500"/>
      <c r="U53" s="336"/>
      <c r="V53" s="329"/>
      <c r="W53" s="501"/>
      <c r="X53" s="329"/>
      <c r="Y53" s="502"/>
      <c r="Z53" s="502"/>
      <c r="AA53" s="502"/>
      <c r="AB53" s="502"/>
      <c r="AC53" s="502"/>
    </row>
    <row r="54" spans="1:29">
      <c r="A54" s="338"/>
      <c r="B54" s="413" t="str">
        <f>SUMMARY!AY3</f>
        <v>8102 TOP UP (4KG)</v>
      </c>
      <c r="C54" s="338" t="s">
        <v>346</v>
      </c>
      <c r="D54" s="336">
        <f>SUMMARY!AV11</f>
        <v>0</v>
      </c>
      <c r="E54" s="336">
        <f>SUMMARY!AV12</f>
        <v>316</v>
      </c>
      <c r="F54" s="336">
        <f>SUMMARY!AV13</f>
        <v>316</v>
      </c>
      <c r="G54" s="336">
        <f>SUMMARY!AV14</f>
        <v>0</v>
      </c>
      <c r="H54" s="336">
        <f>SUMMARY!AV15</f>
        <v>0</v>
      </c>
      <c r="I54" s="336"/>
      <c r="J54" s="336"/>
      <c r="K54" s="336"/>
      <c r="L54" s="336"/>
      <c r="M54" s="339"/>
      <c r="N54" s="336"/>
      <c r="O54" s="413">
        <f t="shared" si="0"/>
        <v>0</v>
      </c>
      <c r="P54" s="339"/>
      <c r="Q54" s="336"/>
      <c r="R54" s="499"/>
      <c r="S54" s="336"/>
      <c r="T54" s="500"/>
      <c r="U54" s="336"/>
      <c r="V54" s="329"/>
      <c r="W54" s="501"/>
      <c r="X54" s="329"/>
      <c r="Y54" s="502"/>
      <c r="Z54" s="502"/>
      <c r="AA54" s="502"/>
      <c r="AB54" s="502"/>
      <c r="AC54" s="502"/>
    </row>
    <row r="55" spans="1:29">
      <c r="A55" s="338"/>
      <c r="B55" s="413" t="str">
        <f>SUMMARY!AZ3</f>
        <v>8103 TOP UP (5KG)</v>
      </c>
      <c r="C55" s="338" t="s">
        <v>346</v>
      </c>
      <c r="D55" s="336">
        <f>SUMMARY!AZ11</f>
        <v>0</v>
      </c>
      <c r="E55" s="336">
        <f>SUMMARY!AW12</f>
        <v>0</v>
      </c>
      <c r="F55" s="336">
        <f>SUMMARY!AW13</f>
        <v>60</v>
      </c>
      <c r="G55" s="336">
        <f>SUMMARY!AW14</f>
        <v>0</v>
      </c>
      <c r="H55" s="336">
        <f>SUMMARY!AZ15</f>
        <v>0</v>
      </c>
      <c r="I55" s="336"/>
      <c r="J55" s="336"/>
      <c r="K55" s="336"/>
      <c r="L55" s="336"/>
      <c r="M55" s="339"/>
      <c r="N55" s="336"/>
      <c r="O55" s="413">
        <f t="shared" si="0"/>
        <v>0</v>
      </c>
      <c r="P55" s="339"/>
      <c r="Q55" s="336"/>
      <c r="R55" s="499"/>
      <c r="S55" s="336"/>
      <c r="T55" s="500"/>
      <c r="U55" s="336"/>
      <c r="V55" s="329"/>
      <c r="W55" s="501"/>
      <c r="X55" s="329"/>
      <c r="Y55" s="502"/>
      <c r="Z55" s="502"/>
      <c r="AA55" s="502"/>
      <c r="AB55" s="502"/>
      <c r="AC55" s="502"/>
    </row>
    <row r="56" spans="1:29">
      <c r="A56" s="338"/>
      <c r="B56" s="413" t="str">
        <f>SUMMARY!BA3</f>
        <v>L-ARGININE</v>
      </c>
      <c r="C56" s="338" t="s">
        <v>346</v>
      </c>
      <c r="D56" s="336">
        <f>SUMMARY!AX11</f>
        <v>13.960000000000036</v>
      </c>
      <c r="E56" s="336">
        <f>SUMMARY!AX12</f>
        <v>0</v>
      </c>
      <c r="F56" s="336">
        <f>SUMMARY!AX13</f>
        <v>0</v>
      </c>
      <c r="G56" s="336">
        <f>SUMMARY!AX14</f>
        <v>0</v>
      </c>
      <c r="H56" s="336">
        <f>SUMMARY!AX15</f>
        <v>13.960000000000036</v>
      </c>
      <c r="I56" s="336"/>
      <c r="J56" s="336"/>
      <c r="K56" s="336"/>
      <c r="L56" s="336"/>
      <c r="M56" s="339"/>
      <c r="N56" s="336"/>
      <c r="O56" s="413">
        <f t="shared" si="0"/>
        <v>-13.960000000000036</v>
      </c>
      <c r="P56" s="339"/>
      <c r="Q56" s="336"/>
      <c r="R56" s="499"/>
      <c r="S56" s="336"/>
      <c r="T56" s="500"/>
      <c r="U56" s="336"/>
      <c r="V56" s="329"/>
      <c r="W56" s="501"/>
      <c r="X56" s="329"/>
      <c r="Y56" s="502"/>
      <c r="Z56" s="502"/>
      <c r="AA56" s="502"/>
      <c r="AB56" s="502"/>
      <c r="AC56" s="502"/>
    </row>
    <row r="57" spans="1:29">
      <c r="A57" s="338"/>
      <c r="B57" s="413" t="str">
        <f>SUMMARY!BB3</f>
        <v>DL-METHIONINE</v>
      </c>
      <c r="C57" s="338" t="s">
        <v>346</v>
      </c>
      <c r="D57" s="336">
        <f>SUMMARY!AY11</f>
        <v>0</v>
      </c>
      <c r="E57" s="336">
        <f>SUMMARY!AY12</f>
        <v>400</v>
      </c>
      <c r="F57" s="336">
        <f>SUMMARY!AY13</f>
        <v>56</v>
      </c>
      <c r="G57" s="336">
        <f>SUMMARY!AY14</f>
        <v>0</v>
      </c>
      <c r="H57" s="336">
        <f>SUMMARY!AY15</f>
        <v>344</v>
      </c>
      <c r="I57" s="336"/>
      <c r="J57" s="336"/>
      <c r="K57" s="336"/>
      <c r="L57" s="336"/>
      <c r="M57" s="339"/>
      <c r="N57" s="336"/>
      <c r="O57" s="413">
        <f t="shared" si="0"/>
        <v>-344</v>
      </c>
      <c r="P57" s="339"/>
      <c r="Q57" s="336"/>
      <c r="R57" s="499"/>
      <c r="S57" s="336"/>
      <c r="T57" s="500"/>
      <c r="U57" s="336"/>
      <c r="V57" s="329"/>
      <c r="W57" s="501"/>
      <c r="X57" s="329"/>
      <c r="Y57" s="502"/>
      <c r="Z57" s="502"/>
      <c r="AA57" s="502"/>
      <c r="AB57" s="502"/>
      <c r="AC57" s="502"/>
    </row>
    <row r="58" spans="1:29">
      <c r="A58" s="338"/>
      <c r="B58" s="413" t="str">
        <f>SUMMARY!BC3</f>
        <v>L-THREONINE</v>
      </c>
      <c r="C58" s="338" t="s">
        <v>346</v>
      </c>
      <c r="D58" s="336">
        <f>SUMMARY!AZ11</f>
        <v>0</v>
      </c>
      <c r="E58" s="336">
        <f>SUMMARY!AZ12</f>
        <v>0</v>
      </c>
      <c r="F58" s="336">
        <f>SUMMARY!AZ13</f>
        <v>0</v>
      </c>
      <c r="G58" s="336">
        <f>SUMMARY!AZ14</f>
        <v>0</v>
      </c>
      <c r="H58" s="336">
        <f>SUMMARY!AZ15</f>
        <v>0</v>
      </c>
      <c r="I58" s="336"/>
      <c r="J58" s="336"/>
      <c r="K58" s="336"/>
      <c r="L58" s="336"/>
      <c r="M58" s="339"/>
      <c r="N58" s="336"/>
      <c r="O58" s="413">
        <f t="shared" si="0"/>
        <v>0</v>
      </c>
      <c r="P58" s="339"/>
      <c r="Q58" s="336"/>
      <c r="R58" s="499"/>
      <c r="S58" s="336"/>
      <c r="T58" s="500"/>
      <c r="U58" s="336"/>
      <c r="V58" s="329"/>
      <c r="W58" s="501"/>
      <c r="X58" s="329"/>
      <c r="Y58" s="502"/>
      <c r="Z58" s="502"/>
      <c r="AA58" s="502"/>
      <c r="AB58" s="502"/>
      <c r="AC58" s="502"/>
    </row>
    <row r="59" spans="1:29">
      <c r="A59" s="338"/>
      <c r="B59" s="413" t="str">
        <f>SUMMARY!BD3</f>
        <v>L-LYSINE</v>
      </c>
      <c r="C59" s="338" t="s">
        <v>346</v>
      </c>
      <c r="D59" s="336"/>
      <c r="E59" s="336"/>
      <c r="F59" s="336"/>
      <c r="G59" s="336"/>
      <c r="H59" s="336"/>
      <c r="I59" s="336"/>
      <c r="J59" s="336"/>
      <c r="K59" s="336"/>
      <c r="L59" s="336"/>
      <c r="M59" s="339"/>
      <c r="N59" s="336"/>
      <c r="O59" s="413"/>
      <c r="P59" s="339"/>
      <c r="Q59" s="336"/>
      <c r="R59" s="499"/>
      <c r="S59" s="336"/>
      <c r="T59" s="500"/>
      <c r="U59" s="336"/>
      <c r="V59" s="329"/>
      <c r="W59" s="501"/>
      <c r="X59" s="329"/>
      <c r="Y59" s="502"/>
      <c r="Z59" s="502"/>
      <c r="AA59" s="502"/>
      <c r="AB59" s="502"/>
      <c r="AC59" s="502"/>
    </row>
    <row r="60" spans="1:29">
      <c r="A60" s="338"/>
      <c r="B60" s="413" t="str">
        <f>SUMMARY!BE3</f>
        <v>FAECES DRY</v>
      </c>
      <c r="C60" s="338" t="s">
        <v>346</v>
      </c>
      <c r="D60" s="336"/>
      <c r="E60" s="336"/>
      <c r="F60" s="336"/>
      <c r="G60" s="336"/>
      <c r="H60" s="336"/>
      <c r="I60" s="336"/>
      <c r="J60" s="336"/>
      <c r="K60" s="336"/>
      <c r="L60" s="336"/>
      <c r="M60" s="339"/>
      <c r="N60" s="336"/>
      <c r="O60" s="413"/>
      <c r="P60" s="339"/>
      <c r="Q60" s="336"/>
      <c r="R60" s="499"/>
      <c r="S60" s="336"/>
      <c r="T60" s="500"/>
      <c r="U60" s="336"/>
      <c r="V60" s="329"/>
      <c r="W60" s="501"/>
      <c r="X60" s="329"/>
      <c r="Y60" s="502"/>
      <c r="Z60" s="502"/>
      <c r="AA60" s="502"/>
      <c r="AB60" s="502"/>
      <c r="AC60" s="502"/>
    </row>
    <row r="61" spans="1:29">
      <c r="A61" s="338"/>
      <c r="B61" s="413" t="str">
        <f>SUMMARY!BF3</f>
        <v>ECOBIOL</v>
      </c>
      <c r="C61" s="338" t="s">
        <v>346</v>
      </c>
      <c r="D61" s="336"/>
      <c r="E61" s="336"/>
      <c r="F61" s="336"/>
      <c r="G61" s="336"/>
      <c r="H61" s="336"/>
      <c r="I61" s="336"/>
      <c r="J61" s="336"/>
      <c r="K61" s="336"/>
      <c r="L61" s="336"/>
      <c r="M61" s="339"/>
      <c r="N61" s="303"/>
      <c r="O61" s="303"/>
      <c r="P61" s="339"/>
      <c r="Q61" s="336"/>
      <c r="R61" s="499"/>
      <c r="S61" s="336"/>
      <c r="T61" s="500"/>
      <c r="U61" s="336"/>
      <c r="V61" s="329"/>
      <c r="W61" s="329"/>
      <c r="X61" s="329"/>
      <c r="Y61" s="329"/>
      <c r="Z61" s="329"/>
      <c r="AA61" s="329"/>
      <c r="AB61" s="329"/>
      <c r="AC61" s="329"/>
    </row>
    <row r="62" spans="1:29">
      <c r="A62" s="338"/>
      <c r="B62" s="413" t="str">
        <f>SUMMARY!BG3</f>
        <v>ADDITIVE BROILER IMMUNE</v>
      </c>
      <c r="C62" s="338" t="s">
        <v>346</v>
      </c>
      <c r="D62" s="356"/>
      <c r="E62" s="356"/>
      <c r="F62" s="356"/>
      <c r="G62" s="356"/>
      <c r="H62" s="356"/>
      <c r="I62" s="336"/>
      <c r="J62" s="336"/>
      <c r="K62" s="356"/>
      <c r="L62" s="336"/>
      <c r="M62" s="339"/>
      <c r="N62" s="303"/>
      <c r="O62" s="303"/>
      <c r="P62" s="339"/>
      <c r="Q62" s="336"/>
      <c r="R62" s="499"/>
      <c r="S62" s="336"/>
      <c r="T62" s="500"/>
      <c r="U62" s="336"/>
      <c r="V62" s="329"/>
      <c r="W62" s="329"/>
      <c r="X62" s="329"/>
      <c r="Y62" s="329"/>
      <c r="Z62" s="329"/>
      <c r="AA62" s="329"/>
      <c r="AB62" s="329"/>
      <c r="AC62" s="329"/>
    </row>
    <row r="63" spans="1:29">
      <c r="A63" s="338"/>
      <c r="B63" s="413" t="str">
        <f>SUMMARY!BH3</f>
        <v>MASTER CUBE (HARUMI)</v>
      </c>
      <c r="C63" s="338" t="s">
        <v>346</v>
      </c>
      <c r="D63" s="356"/>
      <c r="E63" s="356"/>
      <c r="F63" s="356"/>
      <c r="G63" s="356"/>
      <c r="H63" s="356"/>
      <c r="I63" s="336"/>
      <c r="J63" s="336"/>
      <c r="K63" s="356"/>
      <c r="L63" s="336"/>
      <c r="M63" s="339"/>
      <c r="N63" s="303"/>
      <c r="O63" s="303"/>
      <c r="P63" s="339"/>
      <c r="Q63" s="336"/>
      <c r="R63" s="499"/>
      <c r="S63" s="336"/>
      <c r="T63" s="500"/>
      <c r="U63" s="336"/>
      <c r="V63" s="329"/>
      <c r="W63" s="329"/>
      <c r="X63" s="329"/>
      <c r="Y63" s="329"/>
      <c r="Z63" s="329"/>
      <c r="AA63" s="329"/>
      <c r="AB63" s="329"/>
      <c r="AC63" s="329"/>
    </row>
    <row r="64" spans="1:29">
      <c r="A64" s="338"/>
      <c r="B64" s="413" t="str">
        <f>SUMMARY!BI3</f>
        <v>1101 TOP UP (0.40KG)</v>
      </c>
      <c r="C64" s="338" t="s">
        <v>346</v>
      </c>
      <c r="D64" s="356"/>
      <c r="E64" s="356"/>
      <c r="F64" s="356"/>
      <c r="G64" s="356"/>
      <c r="H64" s="356"/>
      <c r="I64" s="336"/>
      <c r="J64" s="336"/>
      <c r="K64" s="356"/>
      <c r="L64" s="336"/>
      <c r="M64" s="339"/>
      <c r="N64" s="303"/>
      <c r="O64" s="303"/>
      <c r="P64" s="339"/>
      <c r="Q64" s="336"/>
      <c r="R64" s="499"/>
      <c r="S64" s="336"/>
      <c r="T64" s="500"/>
      <c r="U64" s="336"/>
      <c r="V64" s="329"/>
      <c r="W64" s="329"/>
      <c r="X64" s="329"/>
      <c r="Y64" s="329"/>
      <c r="Z64" s="329"/>
      <c r="AA64" s="329"/>
      <c r="AB64" s="329"/>
      <c r="AC64" s="329"/>
    </row>
    <row r="65" spans="1:21">
      <c r="A65" s="338"/>
      <c r="B65" s="413" t="str">
        <f>SUMMARY!BJ3</f>
        <v>1102 TOP UP (0.60KG)</v>
      </c>
      <c r="C65" s="338" t="s">
        <v>346</v>
      </c>
      <c r="D65" s="356"/>
      <c r="E65" s="356"/>
      <c r="F65" s="356"/>
      <c r="G65" s="356"/>
      <c r="H65" s="356"/>
      <c r="I65" s="336"/>
      <c r="J65" s="336"/>
      <c r="K65" s="356"/>
      <c r="L65" s="336"/>
      <c r="M65" s="339"/>
      <c r="N65" s="303"/>
      <c r="O65" s="303"/>
      <c r="P65" s="339"/>
      <c r="Q65" s="336"/>
      <c r="R65" s="499"/>
      <c r="S65" s="336"/>
      <c r="T65" s="500"/>
      <c r="U65" s="336"/>
    </row>
    <row r="66" spans="1:21">
      <c r="A66" s="338"/>
      <c r="B66" s="413" t="str">
        <f>SUMMARY!BK3</f>
        <v>1103 TOP UP (2.00KG)</v>
      </c>
      <c r="C66" s="338" t="s">
        <v>346</v>
      </c>
      <c r="D66" s="356"/>
      <c r="E66" s="356"/>
      <c r="F66" s="356"/>
      <c r="G66" s="356"/>
      <c r="H66" s="356"/>
      <c r="I66" s="336"/>
      <c r="J66" s="336"/>
      <c r="K66" s="356"/>
      <c r="L66" s="336"/>
      <c r="M66" s="339"/>
      <c r="N66" s="303"/>
      <c r="O66" s="303"/>
      <c r="P66" s="339"/>
      <c r="Q66" s="336"/>
      <c r="R66" s="499"/>
      <c r="S66" s="336"/>
      <c r="T66" s="500"/>
      <c r="U66" s="336"/>
    </row>
    <row r="67" spans="1:21">
      <c r="A67" s="338"/>
      <c r="B67" s="413" t="str">
        <f>SUMMARY!BL3</f>
        <v>QUANTUM GLO 4%</v>
      </c>
      <c r="C67" s="338" t="s">
        <v>346</v>
      </c>
      <c r="D67" s="356"/>
      <c r="E67" s="356"/>
      <c r="F67" s="356"/>
      <c r="G67" s="356"/>
      <c r="H67" s="356"/>
      <c r="I67" s="336"/>
      <c r="J67" s="336"/>
      <c r="K67" s="356"/>
      <c r="L67" s="336"/>
      <c r="M67" s="339"/>
      <c r="N67" s="303"/>
      <c r="O67" s="303"/>
      <c r="P67" s="339"/>
      <c r="Q67" s="336"/>
      <c r="R67" s="499"/>
      <c r="S67" s="336"/>
      <c r="T67" s="500"/>
      <c r="U67" s="336"/>
    </row>
    <row r="68" spans="1:21">
      <c r="A68" s="338"/>
      <c r="B68" s="413" t="str">
        <f>SUMMARY!BM3</f>
        <v>SALT</v>
      </c>
      <c r="C68" s="338" t="s">
        <v>346</v>
      </c>
      <c r="D68" s="356"/>
      <c r="E68" s="356"/>
      <c r="F68" s="356"/>
      <c r="G68" s="356"/>
      <c r="H68" s="356"/>
      <c r="I68" s="336"/>
      <c r="J68" s="336"/>
      <c r="K68" s="356"/>
      <c r="L68" s="336"/>
      <c r="M68" s="339"/>
      <c r="N68" s="303"/>
      <c r="O68" s="303"/>
      <c r="P68" s="339"/>
      <c r="Q68" s="336"/>
      <c r="R68" s="499"/>
      <c r="S68" s="336"/>
      <c r="T68" s="500"/>
      <c r="U68" s="336"/>
    </row>
    <row r="69" spans="1:21">
      <c r="A69" s="338"/>
      <c r="B69" s="413" t="str">
        <f>SUMMARY!BN3</f>
        <v>OC 200 - OXYTET 20%</v>
      </c>
      <c r="C69" s="338" t="s">
        <v>346</v>
      </c>
      <c r="D69" s="356"/>
      <c r="E69" s="356"/>
      <c r="F69" s="356"/>
      <c r="G69" s="356"/>
      <c r="H69" s="356"/>
      <c r="I69" s="336"/>
      <c r="J69" s="336"/>
      <c r="K69" s="356"/>
      <c r="L69" s="336"/>
      <c r="M69" s="339"/>
      <c r="N69" s="303"/>
      <c r="O69" s="303"/>
      <c r="P69" s="339"/>
      <c r="Q69" s="336"/>
      <c r="R69" s="499"/>
      <c r="S69" s="336"/>
      <c r="T69" s="500"/>
      <c r="U69" s="336"/>
    </row>
    <row r="70" spans="1:21">
      <c r="A70" s="338"/>
      <c r="B70" s="413">
        <f>SUMMARY!BO3</f>
        <v>3</v>
      </c>
      <c r="C70" s="338" t="s">
        <v>346</v>
      </c>
      <c r="D70" s="356"/>
      <c r="E70" s="356"/>
      <c r="F70" s="356"/>
      <c r="G70" s="356"/>
      <c r="H70" s="356"/>
      <c r="I70" s="336"/>
      <c r="J70" s="336"/>
      <c r="K70" s="356"/>
      <c r="L70" s="336"/>
      <c r="M70" s="339"/>
      <c r="N70" s="303"/>
      <c r="O70" s="303"/>
      <c r="P70" s="339"/>
      <c r="Q70" s="336"/>
      <c r="R70" s="499"/>
      <c r="S70" s="336"/>
      <c r="T70" s="500"/>
      <c r="U70" s="336"/>
    </row>
    <row r="71" spans="1:21">
      <c r="A71" s="338"/>
      <c r="B71" s="413">
        <f>SUMMARY!BP3</f>
        <v>4</v>
      </c>
      <c r="C71" s="338" t="s">
        <v>346</v>
      </c>
      <c r="D71" s="356"/>
      <c r="E71" s="356"/>
      <c r="F71" s="356"/>
      <c r="G71" s="356"/>
      <c r="H71" s="356"/>
      <c r="I71" s="336"/>
      <c r="J71" s="336"/>
      <c r="K71" s="356"/>
      <c r="L71" s="336"/>
      <c r="M71" s="339"/>
      <c r="N71" s="303"/>
      <c r="O71" s="303"/>
      <c r="P71" s="339"/>
      <c r="Q71" s="336"/>
      <c r="R71" s="499"/>
      <c r="S71" s="336"/>
      <c r="T71" s="500"/>
      <c r="U71" s="336"/>
    </row>
    <row r="72" spans="1:21">
      <c r="A72" s="338"/>
      <c r="B72" s="413"/>
      <c r="C72" s="338"/>
      <c r="D72" s="356"/>
      <c r="E72" s="356"/>
      <c r="F72" s="356"/>
      <c r="G72" s="356"/>
      <c r="H72" s="356"/>
      <c r="I72" s="336"/>
      <c r="J72" s="336"/>
      <c r="K72" s="356"/>
      <c r="L72" s="336"/>
      <c r="M72" s="339"/>
      <c r="N72" s="303"/>
      <c r="O72" s="303"/>
      <c r="P72" s="339"/>
      <c r="Q72" s="336"/>
      <c r="R72" s="499"/>
      <c r="S72" s="336"/>
      <c r="T72" s="500"/>
      <c r="U72" s="336"/>
    </row>
    <row r="73" spans="1:21">
      <c r="A73" s="338"/>
      <c r="B73" s="310" t="s">
        <v>348</v>
      </c>
      <c r="C73" s="338"/>
      <c r="D73" s="356"/>
      <c r="E73" s="356"/>
      <c r="F73" s="356"/>
      <c r="G73" s="356"/>
      <c r="H73" s="356"/>
      <c r="I73" s="336"/>
      <c r="J73" s="336"/>
      <c r="K73" s="356"/>
      <c r="L73" s="336"/>
      <c r="M73" s="339"/>
      <c r="N73" s="303"/>
      <c r="O73" s="303"/>
      <c r="P73" s="339"/>
      <c r="Q73" s="336"/>
      <c r="R73" s="499"/>
      <c r="S73" s="336"/>
      <c r="T73" s="500"/>
      <c r="U73" s="336"/>
    </row>
    <row r="74" spans="1:21">
      <c r="A74" s="338"/>
      <c r="B74" s="413" t="str">
        <f>SUMMARY!BQ3</f>
        <v>WOVEN BAG (1101) - BLUE 50KG</v>
      </c>
      <c r="C74" s="338" t="s">
        <v>349</v>
      </c>
      <c r="D74" s="356"/>
      <c r="E74" s="356"/>
      <c r="F74" s="356"/>
      <c r="G74" s="356"/>
      <c r="H74" s="356"/>
      <c r="I74" s="336"/>
      <c r="J74" s="336"/>
      <c r="K74" s="356"/>
      <c r="L74" s="336"/>
      <c r="M74" s="339"/>
      <c r="N74" s="303"/>
      <c r="O74" s="303"/>
      <c r="P74" s="339"/>
      <c r="Q74" s="336"/>
      <c r="R74" s="499"/>
      <c r="S74" s="336"/>
      <c r="T74" s="500"/>
      <c r="U74" s="336"/>
    </row>
    <row r="75" spans="1:21">
      <c r="A75" s="338"/>
      <c r="B75" s="413" t="str">
        <f>SUMMARY!BR3</f>
        <v>WOVEN BAG (1102) - GREEN 50KG</v>
      </c>
      <c r="C75" s="338" t="s">
        <v>349</v>
      </c>
      <c r="D75" s="356"/>
      <c r="E75" s="356"/>
      <c r="F75" s="356"/>
      <c r="G75" s="356"/>
      <c r="H75" s="356"/>
      <c r="I75" s="336"/>
      <c r="J75" s="336"/>
      <c r="K75" s="356"/>
      <c r="L75" s="336"/>
      <c r="M75" s="339"/>
      <c r="N75" s="303"/>
      <c r="O75" s="303"/>
      <c r="P75" s="339"/>
      <c r="Q75" s="336"/>
      <c r="R75" s="499"/>
      <c r="S75" s="336"/>
      <c r="T75" s="500"/>
      <c r="U75" s="336"/>
    </row>
    <row r="76" spans="1:21">
      <c r="A76" s="338"/>
      <c r="B76" s="413" t="str">
        <f>SUMMARY!BS3</f>
        <v>WOVEN BAG (1103) - RED 50KG</v>
      </c>
      <c r="C76" s="338" t="s">
        <v>349</v>
      </c>
      <c r="D76" s="356"/>
      <c r="E76" s="356"/>
      <c r="F76" s="356"/>
      <c r="G76" s="356"/>
      <c r="H76" s="356"/>
      <c r="I76" s="336"/>
      <c r="J76" s="336"/>
      <c r="K76" s="356"/>
      <c r="L76" s="336"/>
      <c r="M76" s="339"/>
      <c r="N76" s="303"/>
      <c r="O76" s="303"/>
      <c r="P76" s="339"/>
      <c r="Q76" s="336"/>
      <c r="R76" s="499"/>
      <c r="S76" s="336"/>
      <c r="T76" s="500"/>
      <c r="U76" s="336"/>
    </row>
    <row r="77" spans="1:21">
      <c r="A77" s="338"/>
      <c r="B77" s="413" t="str">
        <f>SUMMARY!BT3</f>
        <v>PLAIN BAG 26" X 39" (50KG)</v>
      </c>
      <c r="C77" s="338" t="s">
        <v>349</v>
      </c>
      <c r="D77" s="356"/>
      <c r="E77" s="356"/>
      <c r="F77" s="356"/>
      <c r="G77" s="356"/>
      <c r="H77" s="356"/>
      <c r="I77" s="336"/>
      <c r="J77" s="336"/>
      <c r="K77" s="356"/>
      <c r="L77" s="336"/>
      <c r="M77" s="339"/>
      <c r="N77" s="303"/>
      <c r="O77" s="303"/>
      <c r="P77" s="339"/>
      <c r="Q77" s="336"/>
      <c r="R77" s="499"/>
      <c r="S77" s="336"/>
      <c r="T77" s="500"/>
      <c r="U77" s="336"/>
    </row>
    <row r="78" spans="1:21">
      <c r="A78" s="338"/>
      <c r="B78" s="413" t="str">
        <f>SUMMARY!BU3</f>
        <v>WOVEN BAG (8101) - KHAKI 50KG</v>
      </c>
      <c r="C78" s="338" t="s">
        <v>349</v>
      </c>
      <c r="D78" s="356"/>
      <c r="E78" s="356"/>
      <c r="F78" s="356"/>
      <c r="G78" s="356"/>
      <c r="H78" s="356"/>
      <c r="I78" s="336"/>
      <c r="J78" s="336"/>
      <c r="K78" s="356"/>
      <c r="L78" s="336"/>
      <c r="M78" s="339"/>
      <c r="N78" s="303"/>
      <c r="O78" s="303"/>
      <c r="P78" s="339"/>
      <c r="Q78" s="336"/>
      <c r="R78" s="499"/>
      <c r="S78" s="336"/>
      <c r="T78" s="500"/>
      <c r="U78" s="336"/>
    </row>
    <row r="79" spans="1:21">
      <c r="A79" s="338"/>
      <c r="B79" s="413" t="str">
        <f>SUMMARY!BV3</f>
        <v>WOVEN BAG (8102) - SKY BLUE 50KG</v>
      </c>
      <c r="C79" s="338" t="s">
        <v>349</v>
      </c>
      <c r="D79" s="356"/>
      <c r="E79" s="356"/>
      <c r="F79" s="356"/>
      <c r="G79" s="356"/>
      <c r="H79" s="356"/>
      <c r="I79" s="336"/>
      <c r="J79" s="336"/>
      <c r="K79" s="356"/>
      <c r="L79" s="336"/>
      <c r="M79" s="339"/>
      <c r="N79" s="303"/>
      <c r="O79" s="303"/>
      <c r="P79" s="339"/>
      <c r="Q79" s="336"/>
      <c r="R79" s="499"/>
      <c r="S79" s="336"/>
      <c r="T79" s="500"/>
      <c r="U79" s="336"/>
    </row>
    <row r="80" spans="1:21">
      <c r="A80" s="338"/>
      <c r="B80" s="413" t="str">
        <f>SUMMARY!BW3</f>
        <v>WOVEN BAG (8103) - BROWN 50KG</v>
      </c>
      <c r="C80" s="338" t="s">
        <v>349</v>
      </c>
      <c r="D80" s="356"/>
      <c r="E80" s="356"/>
      <c r="F80" s="356"/>
      <c r="G80" s="356"/>
      <c r="H80" s="356"/>
      <c r="I80" s="336"/>
      <c r="J80" s="336"/>
      <c r="K80" s="356"/>
      <c r="L80" s="336"/>
      <c r="M80" s="339"/>
      <c r="N80" s="303"/>
      <c r="O80" s="303"/>
      <c r="P80" s="339"/>
      <c r="Q80" s="336"/>
      <c r="R80" s="499"/>
      <c r="S80" s="336"/>
      <c r="T80" s="500"/>
      <c r="U80" s="336"/>
    </row>
    <row r="81" spans="1:21">
      <c r="A81" s="338"/>
      <c r="B81" s="413">
        <f>SUMMARY!BX3</f>
        <v>1</v>
      </c>
      <c r="C81" s="338" t="s">
        <v>349</v>
      </c>
      <c r="D81" s="356"/>
      <c r="E81" s="356"/>
      <c r="F81" s="356"/>
      <c r="G81" s="356"/>
      <c r="H81" s="356"/>
      <c r="I81" s="336"/>
      <c r="J81" s="336"/>
      <c r="K81" s="356"/>
      <c r="L81" s="336"/>
      <c r="M81" s="339"/>
      <c r="N81" s="303"/>
      <c r="O81" s="303"/>
      <c r="P81" s="339"/>
      <c r="Q81" s="336"/>
      <c r="R81" s="499"/>
      <c r="S81" s="336"/>
      <c r="T81" s="500"/>
      <c r="U81" s="336"/>
    </row>
    <row r="82" spans="1:21">
      <c r="A82" s="338"/>
      <c r="B82" s="413">
        <f>SUMMARY!BY3</f>
        <v>2</v>
      </c>
      <c r="C82" s="338" t="s">
        <v>349</v>
      </c>
      <c r="D82" s="356"/>
      <c r="E82" s="356"/>
      <c r="F82" s="356"/>
      <c r="G82" s="356"/>
      <c r="H82" s="356"/>
      <c r="I82" s="336"/>
      <c r="J82" s="336"/>
      <c r="K82" s="356"/>
      <c r="L82" s="336"/>
      <c r="M82" s="339"/>
      <c r="N82" s="303"/>
      <c r="O82" s="303"/>
      <c r="P82" s="339"/>
      <c r="Q82" s="336"/>
      <c r="R82" s="499"/>
      <c r="S82" s="336"/>
      <c r="T82" s="500"/>
      <c r="U82" s="336"/>
    </row>
    <row r="83" spans="1:21">
      <c r="A83" s="338"/>
      <c r="B83" s="413">
        <f>SUMMARY!BZ3</f>
        <v>3</v>
      </c>
      <c r="C83" s="338" t="s">
        <v>349</v>
      </c>
      <c r="D83" s="356"/>
      <c r="E83" s="356"/>
      <c r="F83" s="356"/>
      <c r="G83" s="356"/>
      <c r="H83" s="356"/>
      <c r="I83" s="336"/>
      <c r="J83" s="336"/>
      <c r="K83" s="356"/>
      <c r="L83" s="336"/>
      <c r="M83" s="339"/>
      <c r="N83" s="303"/>
      <c r="O83" s="303"/>
      <c r="P83" s="339"/>
      <c r="Q83" s="336"/>
      <c r="R83" s="499"/>
      <c r="S83" s="336"/>
      <c r="T83" s="500"/>
      <c r="U83" s="336"/>
    </row>
    <row r="84" spans="1:21">
      <c r="A84" s="338"/>
      <c r="B84" s="413">
        <f>SUMMARY!CA3</f>
        <v>4</v>
      </c>
      <c r="C84" s="338" t="s">
        <v>349</v>
      </c>
      <c r="D84" s="356"/>
      <c r="E84" s="356"/>
      <c r="F84" s="356"/>
      <c r="G84" s="356"/>
      <c r="H84" s="356"/>
      <c r="I84" s="336"/>
      <c r="J84" s="336"/>
      <c r="K84" s="356"/>
      <c r="L84" s="336"/>
      <c r="M84" s="339"/>
      <c r="N84" s="303"/>
      <c r="O84" s="303"/>
      <c r="P84" s="339"/>
      <c r="Q84" s="336"/>
      <c r="R84" s="499"/>
      <c r="S84" s="336"/>
      <c r="T84" s="500"/>
      <c r="U84" s="336"/>
    </row>
    <row r="85" spans="1:21">
      <c r="A85" s="338"/>
      <c r="B85" s="413">
        <f>SUMMARY!CB3</f>
        <v>5</v>
      </c>
      <c r="C85" s="338" t="s">
        <v>349</v>
      </c>
      <c r="D85" s="356"/>
      <c r="E85" s="356"/>
      <c r="F85" s="356"/>
      <c r="G85" s="356"/>
      <c r="H85" s="356"/>
      <c r="I85" s="336"/>
      <c r="J85" s="336"/>
      <c r="K85" s="356"/>
      <c r="L85" s="336"/>
      <c r="M85" s="339"/>
      <c r="N85" s="303"/>
      <c r="O85" s="303"/>
      <c r="P85" s="339"/>
      <c r="Q85" s="336"/>
      <c r="R85" s="499"/>
      <c r="S85" s="336"/>
      <c r="T85" s="500"/>
      <c r="U85" s="336"/>
    </row>
    <row r="86" spans="1:21">
      <c r="A86" s="338"/>
      <c r="B86" s="413">
        <f>SUMMARY!CC3</f>
        <v>6</v>
      </c>
      <c r="C86" s="338" t="s">
        <v>349</v>
      </c>
      <c r="D86" s="356"/>
      <c r="E86" s="356"/>
      <c r="F86" s="356"/>
      <c r="G86" s="356"/>
      <c r="H86" s="356"/>
      <c r="I86" s="336"/>
      <c r="J86" s="336"/>
      <c r="K86" s="356"/>
      <c r="L86" s="336"/>
      <c r="M86" s="339"/>
      <c r="N86" s="303"/>
      <c r="O86" s="303"/>
      <c r="P86" s="339"/>
      <c r="Q86" s="336"/>
      <c r="R86" s="499"/>
      <c r="S86" s="336"/>
      <c r="T86" s="500"/>
      <c r="U86" s="336"/>
    </row>
    <row r="87" spans="1:21">
      <c r="A87" s="338"/>
      <c r="B87" s="413">
        <f>SUMMARY!CD3</f>
        <v>7</v>
      </c>
      <c r="C87" s="338" t="s">
        <v>349</v>
      </c>
      <c r="D87" s="356"/>
      <c r="E87" s="356"/>
      <c r="F87" s="356"/>
      <c r="G87" s="356"/>
      <c r="H87" s="356"/>
      <c r="I87" s="336"/>
      <c r="J87" s="336"/>
      <c r="K87" s="356"/>
      <c r="L87" s="336"/>
      <c r="M87" s="339"/>
      <c r="N87" s="303"/>
      <c r="O87" s="303"/>
      <c r="P87" s="339"/>
      <c r="Q87" s="336"/>
      <c r="R87" s="499"/>
      <c r="S87" s="336"/>
      <c r="T87" s="500"/>
      <c r="U87" s="336"/>
    </row>
    <row r="88" spans="1:21">
      <c r="A88" s="338"/>
      <c r="B88" s="413">
        <f>SUMMARY!CE3</f>
        <v>8</v>
      </c>
      <c r="C88" s="338" t="s">
        <v>349</v>
      </c>
      <c r="D88" s="356"/>
      <c r="E88" s="356"/>
      <c r="F88" s="356"/>
      <c r="G88" s="356"/>
      <c r="H88" s="356"/>
      <c r="I88" s="336"/>
      <c r="J88" s="336"/>
      <c r="K88" s="356"/>
      <c r="L88" s="336"/>
      <c r="M88" s="339"/>
      <c r="N88" s="303"/>
      <c r="O88" s="303"/>
      <c r="P88" s="339"/>
      <c r="Q88" s="336"/>
      <c r="R88" s="499"/>
      <c r="S88" s="336"/>
      <c r="T88" s="500"/>
      <c r="U88" s="336"/>
    </row>
    <row r="89" spans="1:21">
      <c r="A89" s="338"/>
      <c r="B89" s="413"/>
      <c r="C89" s="338"/>
      <c r="D89" s="356"/>
      <c r="E89" s="356"/>
      <c r="F89" s="356"/>
      <c r="G89" s="356"/>
      <c r="H89" s="356"/>
      <c r="I89" s="336"/>
      <c r="J89" s="336"/>
      <c r="K89" s="356"/>
      <c r="L89" s="336"/>
      <c r="M89" s="339"/>
      <c r="N89" s="303"/>
      <c r="O89" s="303"/>
      <c r="P89" s="339"/>
      <c r="Q89" s="336"/>
      <c r="R89" s="499"/>
      <c r="S89" s="336"/>
      <c r="T89" s="500"/>
      <c r="U89" s="336"/>
    </row>
    <row r="90" spans="1:21" ht="13.9" thickBot="1">
      <c r="A90" s="338"/>
      <c r="B90" s="302" t="s">
        <v>72</v>
      </c>
      <c r="C90" s="475"/>
      <c r="D90" s="506">
        <f>SUM(D4:D61)</f>
        <v>543655.15999999992</v>
      </c>
      <c r="E90" s="506">
        <f>SUM(E4:E61)</f>
        <v>1245225.8</v>
      </c>
      <c r="F90" s="506">
        <f>SUM(F4:F61)</f>
        <v>1321691.9999999998</v>
      </c>
      <c r="G90" s="506">
        <f>SUM(G4:G61)</f>
        <v>-32606.800000000021</v>
      </c>
      <c r="H90" s="506">
        <f>SUM(H4:H61)</f>
        <v>432351.96000000008</v>
      </c>
      <c r="I90" s="336"/>
      <c r="J90" s="336"/>
      <c r="K90" s="507">
        <f>SUM(K4:K61)</f>
        <v>0</v>
      </c>
      <c r="L90" s="508"/>
      <c r="M90" s="339"/>
      <c r="N90" s="303"/>
      <c r="O90" s="303"/>
      <c r="P90" s="339"/>
      <c r="Q90" s="336"/>
      <c r="R90" s="499"/>
      <c r="S90" s="336"/>
      <c r="T90" s="500"/>
      <c r="U90" s="336"/>
    </row>
    <row r="91" spans="1:21">
      <c r="A91" s="496"/>
      <c r="B91" s="501"/>
      <c r="C91" s="473"/>
      <c r="D91" s="339"/>
      <c r="E91" s="339"/>
      <c r="F91" s="339"/>
      <c r="G91" s="339"/>
      <c r="H91" s="339"/>
      <c r="I91" s="339"/>
      <c r="J91" s="339"/>
      <c r="K91" s="339"/>
      <c r="L91" s="339"/>
      <c r="M91" s="339"/>
      <c r="N91" s="299"/>
      <c r="O91" s="299"/>
      <c r="P91" s="339"/>
      <c r="Q91" s="339"/>
      <c r="R91" s="509"/>
      <c r="S91" s="339"/>
      <c r="T91" s="510"/>
      <c r="U91" s="339"/>
    </row>
    <row r="92" spans="1:21">
      <c r="A92" s="496"/>
      <c r="B92" s="501"/>
      <c r="C92" s="473"/>
      <c r="D92" s="339">
        <f>D90-SUM(SUMMARY!B11:AZ11)</f>
        <v>-160</v>
      </c>
      <c r="E92" s="339">
        <f>E90-SUM(SUMMARY!B12:AZ12)</f>
        <v>0</v>
      </c>
      <c r="F92" s="339">
        <f>F90-SUM(SUMMARY!B13:AZ13)</f>
        <v>2300</v>
      </c>
      <c r="G92" s="339">
        <f>G90-SUM(SUMMARY!B14:AZ14)</f>
        <v>5999.9999999999964</v>
      </c>
      <c r="H92" s="339">
        <f>H90-SUM(SUMMARY!B15:AZ15)</f>
        <v>-100</v>
      </c>
      <c r="I92" s="339"/>
      <c r="J92" s="339"/>
      <c r="K92" s="339"/>
      <c r="L92" s="339"/>
      <c r="M92" s="339"/>
      <c r="N92" s="299"/>
      <c r="O92" s="299"/>
      <c r="P92" s="339"/>
      <c r="Q92" s="339"/>
      <c r="R92" s="509"/>
      <c r="S92" s="339"/>
      <c r="T92" s="510"/>
      <c r="U92" s="339"/>
    </row>
    <row r="93" spans="1:21">
      <c r="A93" s="496"/>
      <c r="B93" s="329"/>
      <c r="C93" s="496"/>
      <c r="D93" s="339"/>
      <c r="E93" s="339"/>
      <c r="F93" s="339"/>
      <c r="G93" s="339"/>
      <c r="H93" s="339"/>
      <c r="I93" s="339"/>
      <c r="J93" s="339"/>
      <c r="K93" s="339"/>
      <c r="L93" s="339"/>
      <c r="M93" s="339"/>
      <c r="N93" s="299"/>
      <c r="O93" s="299"/>
      <c r="P93" s="339"/>
      <c r="Q93" s="339"/>
      <c r="R93" s="509"/>
      <c r="S93" s="339"/>
      <c r="T93" s="510"/>
      <c r="U93" s="339"/>
    </row>
    <row r="94" spans="1:21">
      <c r="A94" s="338"/>
      <c r="B94" s="467" t="s">
        <v>319</v>
      </c>
      <c r="C94" s="475"/>
      <c r="D94" s="336"/>
      <c r="E94" s="336"/>
      <c r="F94" s="336"/>
      <c r="G94" s="336"/>
      <c r="H94" s="336"/>
      <c r="I94" s="339"/>
      <c r="J94" s="339"/>
      <c r="K94" s="339"/>
      <c r="L94" s="339"/>
      <c r="M94" s="339"/>
      <c r="N94" s="339"/>
      <c r="O94" s="339"/>
      <c r="P94" s="339"/>
      <c r="Q94" s="339"/>
      <c r="R94" s="509"/>
      <c r="S94" s="339"/>
      <c r="T94" s="510"/>
      <c r="U94" s="339"/>
    </row>
    <row r="95" spans="1:21">
      <c r="A95" s="338" t="s">
        <v>331</v>
      </c>
      <c r="B95" s="474" t="s">
        <v>332</v>
      </c>
      <c r="C95" s="475" t="s">
        <v>333</v>
      </c>
      <c r="D95" s="475" t="s">
        <v>334</v>
      </c>
      <c r="E95" s="475" t="s">
        <v>335</v>
      </c>
      <c r="F95" s="475" t="s">
        <v>166</v>
      </c>
      <c r="G95" s="475" t="s">
        <v>168</v>
      </c>
      <c r="H95" s="475" t="s">
        <v>336</v>
      </c>
      <c r="I95" s="339"/>
      <c r="J95" s="339"/>
      <c r="K95" s="339"/>
      <c r="L95" s="339"/>
      <c r="M95" s="339"/>
      <c r="N95" s="339"/>
      <c r="O95" s="339"/>
      <c r="P95" s="339"/>
      <c r="Q95" s="339"/>
      <c r="R95" s="509"/>
      <c r="S95" s="339"/>
      <c r="T95" s="510"/>
      <c r="U95" s="339"/>
    </row>
    <row r="96" spans="1:21">
      <c r="A96" s="338"/>
      <c r="B96" s="467" t="s">
        <v>345</v>
      </c>
      <c r="C96" s="475"/>
      <c r="D96" s="336"/>
      <c r="E96" s="336"/>
      <c r="F96" s="336"/>
      <c r="G96" s="336"/>
      <c r="H96" s="336"/>
      <c r="I96" s="339"/>
      <c r="J96" s="339"/>
      <c r="K96" s="339"/>
      <c r="L96" s="339"/>
      <c r="M96" s="339"/>
      <c r="N96" s="339"/>
      <c r="O96" s="339"/>
      <c r="P96" s="339"/>
      <c r="Q96" s="339"/>
      <c r="R96" s="509"/>
      <c r="S96" s="339"/>
      <c r="T96" s="510"/>
      <c r="U96" s="339"/>
    </row>
    <row r="97" spans="1:9">
      <c r="A97" s="338">
        <v>1</v>
      </c>
      <c r="B97" s="474" t="s">
        <v>7</v>
      </c>
      <c r="C97" s="475" t="s">
        <v>346</v>
      </c>
      <c r="D97" s="336">
        <v>241788.19999999998</v>
      </c>
      <c r="E97" s="336">
        <v>573310</v>
      </c>
      <c r="F97" s="336">
        <f>723483.4-30000</f>
        <v>693483.4</v>
      </c>
      <c r="G97" s="336">
        <v>-30000</v>
      </c>
      <c r="H97" s="468">
        <f t="shared" ref="H97:H109" si="1">D97+E97-F97+G97</f>
        <v>91614.79999999993</v>
      </c>
      <c r="I97" s="339">
        <v>241788.19999999998</v>
      </c>
    </row>
    <row r="98" spans="1:9">
      <c r="A98" s="338">
        <v>2</v>
      </c>
      <c r="B98" s="474" t="s">
        <v>8</v>
      </c>
      <c r="C98" s="475" t="s">
        <v>346</v>
      </c>
      <c r="D98" s="336">
        <v>48748.2</v>
      </c>
      <c r="E98" s="336">
        <v>337880</v>
      </c>
      <c r="F98" s="336">
        <f>321531.6-670</f>
        <v>320861.59999999998</v>
      </c>
      <c r="G98" s="336">
        <v>-670</v>
      </c>
      <c r="H98" s="468">
        <f t="shared" si="1"/>
        <v>65096.600000000035</v>
      </c>
      <c r="I98" s="339">
        <v>48748.20000000007</v>
      </c>
    </row>
    <row r="99" spans="1:9">
      <c r="A99" s="338">
        <v>3</v>
      </c>
      <c r="B99" s="474" t="s">
        <v>9</v>
      </c>
      <c r="C99" s="475" t="s">
        <v>346</v>
      </c>
      <c r="D99" s="336">
        <v>49884.999999999985</v>
      </c>
      <c r="E99" s="336">
        <f>81220.5-0.5</f>
        <v>81220</v>
      </c>
      <c r="F99" s="336">
        <v>82732.699999999983</v>
      </c>
      <c r="G99" s="336">
        <v>0.5</v>
      </c>
      <c r="H99" s="468">
        <f t="shared" si="1"/>
        <v>48372.800000000017</v>
      </c>
      <c r="I99" s="339">
        <v>49884.999999999956</v>
      </c>
    </row>
    <row r="100" spans="1:9">
      <c r="A100" s="338">
        <v>4</v>
      </c>
      <c r="B100" s="474" t="s">
        <v>10</v>
      </c>
      <c r="C100" s="475" t="s">
        <v>346</v>
      </c>
      <c r="D100" s="336">
        <v>52772.200000000012</v>
      </c>
      <c r="E100" s="336">
        <v>19280</v>
      </c>
      <c r="F100" s="336">
        <v>37914</v>
      </c>
      <c r="G100" s="336"/>
      <c r="H100" s="468">
        <f t="shared" si="1"/>
        <v>34138.200000000012</v>
      </c>
      <c r="I100" s="339">
        <v>52772.200000000012</v>
      </c>
    </row>
    <row r="101" spans="1:9">
      <c r="A101" s="338">
        <v>5</v>
      </c>
      <c r="B101" s="474" t="s">
        <v>12</v>
      </c>
      <c r="C101" s="475" t="s">
        <v>346</v>
      </c>
      <c r="D101" s="336">
        <v>34316.69999999999</v>
      </c>
      <c r="E101" s="336">
        <f>30480-280</f>
        <v>30200</v>
      </c>
      <c r="F101" s="336">
        <v>16994.699999999997</v>
      </c>
      <c r="G101" s="336">
        <v>280</v>
      </c>
      <c r="H101" s="468">
        <f t="shared" si="1"/>
        <v>47801.999999999993</v>
      </c>
      <c r="I101" s="339">
        <v>34316.699999999997</v>
      </c>
    </row>
    <row r="102" spans="1:9">
      <c r="A102" s="338">
        <v>6</v>
      </c>
      <c r="B102" s="474" t="s">
        <v>13</v>
      </c>
      <c r="C102" s="475" t="s">
        <v>346</v>
      </c>
      <c r="D102" s="336">
        <v>21924.100000000006</v>
      </c>
      <c r="E102" s="336">
        <v>22150</v>
      </c>
      <c r="F102" s="336">
        <v>36572.300000000003</v>
      </c>
      <c r="G102" s="336"/>
      <c r="H102" s="468">
        <f t="shared" si="1"/>
        <v>7501.8000000000029</v>
      </c>
      <c r="I102" s="339">
        <v>21924.100000000006</v>
      </c>
    </row>
    <row r="103" spans="1:9">
      <c r="A103" s="338">
        <v>7</v>
      </c>
      <c r="B103" s="474" t="s">
        <v>350</v>
      </c>
      <c r="C103" s="475" t="s">
        <v>346</v>
      </c>
      <c r="D103" s="336">
        <v>0</v>
      </c>
      <c r="E103" s="336">
        <v>24926.6</v>
      </c>
      <c r="F103" s="336">
        <v>24926.6</v>
      </c>
      <c r="G103" s="336"/>
      <c r="H103" s="468">
        <f t="shared" si="1"/>
        <v>0</v>
      </c>
      <c r="I103" s="339">
        <v>0</v>
      </c>
    </row>
    <row r="104" spans="1:9">
      <c r="A104" s="338">
        <v>8</v>
      </c>
      <c r="B104" s="474" t="s">
        <v>15</v>
      </c>
      <c r="C104" s="475" t="s">
        <v>346</v>
      </c>
      <c r="D104" s="336">
        <v>3284.5</v>
      </c>
      <c r="E104" s="336">
        <v>2000</v>
      </c>
      <c r="F104" s="336">
        <v>5276.5</v>
      </c>
      <c r="G104" s="336"/>
      <c r="H104" s="468">
        <f t="shared" si="1"/>
        <v>8</v>
      </c>
      <c r="I104" s="339">
        <v>3284.5</v>
      </c>
    </row>
    <row r="105" spans="1:9">
      <c r="A105" s="338">
        <v>9</v>
      </c>
      <c r="B105" s="474" t="s">
        <v>351</v>
      </c>
      <c r="C105" s="475" t="s">
        <v>346</v>
      </c>
      <c r="D105" s="336">
        <v>0</v>
      </c>
      <c r="E105" s="336">
        <v>7573.8000000000011</v>
      </c>
      <c r="F105" s="336">
        <v>7573.8000000000011</v>
      </c>
      <c r="G105" s="336"/>
      <c r="H105" s="468">
        <f t="shared" si="1"/>
        <v>0</v>
      </c>
      <c r="I105" s="339">
        <v>0</v>
      </c>
    </row>
    <row r="106" spans="1:9">
      <c r="A106" s="338">
        <v>10</v>
      </c>
      <c r="B106" s="474" t="s">
        <v>18</v>
      </c>
      <c r="C106" s="475" t="s">
        <v>346</v>
      </c>
      <c r="D106" s="336">
        <v>0</v>
      </c>
      <c r="E106" s="336">
        <v>86490</v>
      </c>
      <c r="F106" s="336">
        <v>31437.599999999999</v>
      </c>
      <c r="G106" s="336"/>
      <c r="H106" s="468">
        <f t="shared" si="1"/>
        <v>55052.4</v>
      </c>
      <c r="I106" s="339">
        <v>22172.799999999996</v>
      </c>
    </row>
    <row r="107" spans="1:9">
      <c r="A107" s="338">
        <v>11</v>
      </c>
      <c r="B107" s="474" t="s">
        <v>19</v>
      </c>
      <c r="C107" s="475" t="s">
        <v>346</v>
      </c>
      <c r="D107" s="336">
        <v>22172.799999999996</v>
      </c>
      <c r="E107" s="336">
        <v>0</v>
      </c>
      <c r="F107" s="336">
        <f>22172.8-310.6</f>
        <v>21862.2</v>
      </c>
      <c r="G107" s="336">
        <v>-310.60000000000002</v>
      </c>
      <c r="H107" s="468">
        <v>0</v>
      </c>
      <c r="I107" s="339"/>
    </row>
    <row r="108" spans="1:9">
      <c r="A108" s="338">
        <v>12</v>
      </c>
      <c r="B108" s="474" t="s">
        <v>20</v>
      </c>
      <c r="C108" s="475" t="s">
        <v>346</v>
      </c>
      <c r="D108" s="336">
        <v>0</v>
      </c>
      <c r="E108" s="511">
        <v>2300</v>
      </c>
      <c r="F108" s="336">
        <v>0</v>
      </c>
      <c r="G108" s="336"/>
      <c r="H108" s="468">
        <f t="shared" si="1"/>
        <v>2300</v>
      </c>
      <c r="I108" s="339"/>
    </row>
    <row r="109" spans="1:9">
      <c r="A109" s="338">
        <v>13</v>
      </c>
      <c r="B109" s="474" t="s">
        <v>21</v>
      </c>
      <c r="C109" s="475" t="s">
        <v>346</v>
      </c>
      <c r="D109" s="336">
        <v>0</v>
      </c>
      <c r="E109" s="336">
        <v>10200</v>
      </c>
      <c r="F109" s="336">
        <v>4503.2000000000007</v>
      </c>
      <c r="G109" s="336"/>
      <c r="H109" s="468">
        <f t="shared" si="1"/>
        <v>5696.7999999999993</v>
      </c>
      <c r="I109" s="339"/>
    </row>
    <row r="110" spans="1:9">
      <c r="A110" s="338"/>
      <c r="B110" s="474"/>
      <c r="C110" s="475"/>
      <c r="D110" s="336"/>
      <c r="E110" s="336"/>
      <c r="F110" s="336"/>
      <c r="G110" s="336"/>
      <c r="H110" s="336"/>
      <c r="I110" s="339"/>
    </row>
    <row r="111" spans="1:9">
      <c r="A111" s="338"/>
      <c r="B111" s="467" t="s">
        <v>347</v>
      </c>
      <c r="C111" s="475"/>
      <c r="D111" s="336"/>
      <c r="E111" s="336"/>
      <c r="F111" s="336"/>
      <c r="G111" s="336"/>
      <c r="H111" s="336"/>
      <c r="I111" s="339"/>
    </row>
    <row r="112" spans="1:9">
      <c r="A112" s="338">
        <v>1</v>
      </c>
      <c r="B112" s="474" t="s">
        <v>23</v>
      </c>
      <c r="C112" s="475" t="s">
        <v>346</v>
      </c>
      <c r="D112" s="336">
        <v>3540</v>
      </c>
      <c r="E112" s="336">
        <v>0</v>
      </c>
      <c r="F112" s="336">
        <v>2920</v>
      </c>
      <c r="G112" s="336"/>
      <c r="H112" s="468">
        <f t="shared" ref="H112:H137" si="2">D112+E112-F112+G112</f>
        <v>620</v>
      </c>
      <c r="I112" s="339">
        <v>3540</v>
      </c>
    </row>
    <row r="113" spans="1:10">
      <c r="A113" s="338">
        <v>2</v>
      </c>
      <c r="B113" s="474" t="s">
        <v>24</v>
      </c>
      <c r="C113" s="475" t="s">
        <v>346</v>
      </c>
      <c r="D113" s="336">
        <v>3960</v>
      </c>
      <c r="E113" s="336">
        <v>2000</v>
      </c>
      <c r="F113" s="336">
        <v>0</v>
      </c>
      <c r="G113" s="336"/>
      <c r="H113" s="468">
        <f t="shared" si="2"/>
        <v>5960</v>
      </c>
      <c r="I113" s="339">
        <v>3960</v>
      </c>
      <c r="J113" s="339"/>
    </row>
    <row r="114" spans="1:10">
      <c r="A114" s="338">
        <v>3</v>
      </c>
      <c r="B114" s="474" t="s">
        <v>25</v>
      </c>
      <c r="C114" s="475" t="s">
        <v>346</v>
      </c>
      <c r="D114" s="336">
        <v>3240</v>
      </c>
      <c r="E114" s="336">
        <v>2000</v>
      </c>
      <c r="F114" s="336">
        <v>0</v>
      </c>
      <c r="G114" s="336"/>
      <c r="H114" s="468">
        <f t="shared" si="2"/>
        <v>5240</v>
      </c>
      <c r="I114" s="339">
        <v>3240</v>
      </c>
      <c r="J114" s="339"/>
    </row>
    <row r="115" spans="1:10">
      <c r="A115" s="338">
        <v>4</v>
      </c>
      <c r="B115" s="474" t="s">
        <v>28</v>
      </c>
      <c r="C115" s="475" t="s">
        <v>346</v>
      </c>
      <c r="D115" s="336">
        <v>5440</v>
      </c>
      <c r="E115" s="336">
        <v>0</v>
      </c>
      <c r="F115" s="336">
        <v>320</v>
      </c>
      <c r="G115" s="336"/>
      <c r="H115" s="468">
        <f t="shared" si="2"/>
        <v>5120</v>
      </c>
      <c r="I115" s="339">
        <v>5440</v>
      </c>
      <c r="J115" s="339"/>
    </row>
    <row r="116" spans="1:10">
      <c r="A116" s="338">
        <v>5</v>
      </c>
      <c r="B116" s="474" t="s">
        <v>29</v>
      </c>
      <c r="C116" s="475" t="s">
        <v>346</v>
      </c>
      <c r="D116" s="336">
        <v>5100</v>
      </c>
      <c r="E116" s="336">
        <v>0</v>
      </c>
      <c r="F116" s="336">
        <v>0</v>
      </c>
      <c r="G116" s="336"/>
      <c r="H116" s="468">
        <f t="shared" si="2"/>
        <v>5100</v>
      </c>
      <c r="I116" s="339">
        <v>5100</v>
      </c>
      <c r="J116" s="339"/>
    </row>
    <row r="117" spans="1:10">
      <c r="A117" s="338">
        <v>6</v>
      </c>
      <c r="B117" s="474" t="s">
        <v>30</v>
      </c>
      <c r="C117" s="475" t="s">
        <v>346</v>
      </c>
      <c r="D117" s="336">
        <v>16240</v>
      </c>
      <c r="E117" s="336">
        <v>0</v>
      </c>
      <c r="F117" s="336">
        <v>6000</v>
      </c>
      <c r="G117" s="336"/>
      <c r="H117" s="468">
        <f t="shared" si="2"/>
        <v>10240</v>
      </c>
      <c r="I117" s="339">
        <v>16240</v>
      </c>
      <c r="J117" s="339"/>
    </row>
    <row r="118" spans="1:10">
      <c r="A118" s="338">
        <v>7</v>
      </c>
      <c r="B118" s="474" t="s">
        <v>31</v>
      </c>
      <c r="C118" s="475" t="s">
        <v>346</v>
      </c>
      <c r="D118" s="336">
        <v>13120</v>
      </c>
      <c r="E118" s="336">
        <v>2000</v>
      </c>
      <c r="F118" s="336">
        <v>0</v>
      </c>
      <c r="G118" s="336"/>
      <c r="H118" s="468">
        <f t="shared" si="2"/>
        <v>15120</v>
      </c>
      <c r="I118" s="339">
        <v>14320</v>
      </c>
      <c r="J118" s="339"/>
    </row>
    <row r="119" spans="1:10">
      <c r="A119" s="338">
        <v>8</v>
      </c>
      <c r="B119" s="474" t="s">
        <v>32</v>
      </c>
      <c r="C119" s="475" t="s">
        <v>346</v>
      </c>
      <c r="D119" s="336">
        <v>6800</v>
      </c>
      <c r="E119" s="336">
        <v>0</v>
      </c>
      <c r="F119" s="336">
        <v>3480</v>
      </c>
      <c r="G119" s="336"/>
      <c r="H119" s="468">
        <f t="shared" si="2"/>
        <v>3320</v>
      </c>
      <c r="I119" s="339">
        <v>6800</v>
      </c>
      <c r="J119" s="339"/>
    </row>
    <row r="120" spans="1:10">
      <c r="A120" s="338">
        <v>9</v>
      </c>
      <c r="B120" s="474" t="s">
        <v>33</v>
      </c>
      <c r="C120" s="475" t="s">
        <v>346</v>
      </c>
      <c r="D120" s="336">
        <v>5400</v>
      </c>
      <c r="E120" s="336">
        <v>0</v>
      </c>
      <c r="F120" s="336">
        <v>0</v>
      </c>
      <c r="G120" s="336"/>
      <c r="H120" s="468">
        <f t="shared" si="2"/>
        <v>5400</v>
      </c>
      <c r="I120" s="339">
        <v>5400</v>
      </c>
      <c r="J120" s="339"/>
    </row>
    <row r="121" spans="1:10">
      <c r="A121" s="338">
        <v>10</v>
      </c>
      <c r="B121" s="474" t="s">
        <v>34</v>
      </c>
      <c r="C121" s="475" t="s">
        <v>346</v>
      </c>
      <c r="D121" s="336">
        <v>2260</v>
      </c>
      <c r="E121" s="336">
        <v>5340</v>
      </c>
      <c r="F121" s="336">
        <v>3600</v>
      </c>
      <c r="G121" s="336"/>
      <c r="H121" s="468">
        <f t="shared" si="2"/>
        <v>4000</v>
      </c>
      <c r="I121" s="339">
        <v>2260</v>
      </c>
      <c r="J121" s="339"/>
    </row>
    <row r="122" spans="1:10">
      <c r="A122" s="338">
        <v>11</v>
      </c>
      <c r="B122" s="474" t="s">
        <v>35</v>
      </c>
      <c r="C122" s="475" t="s">
        <v>346</v>
      </c>
      <c r="D122" s="336">
        <v>0</v>
      </c>
      <c r="E122" s="336">
        <v>8775</v>
      </c>
      <c r="F122" s="336">
        <v>5031</v>
      </c>
      <c r="G122" s="336"/>
      <c r="H122" s="468">
        <f t="shared" si="2"/>
        <v>3744</v>
      </c>
      <c r="I122" s="339"/>
      <c r="J122" s="339"/>
    </row>
    <row r="123" spans="1:10">
      <c r="A123" s="338">
        <v>12</v>
      </c>
      <c r="B123" s="474" t="s">
        <v>36</v>
      </c>
      <c r="C123" s="475" t="s">
        <v>346</v>
      </c>
      <c r="D123" s="336">
        <v>0</v>
      </c>
      <c r="E123" s="336">
        <v>13230</v>
      </c>
      <c r="F123" s="336">
        <v>4120.2</v>
      </c>
      <c r="G123" s="336"/>
      <c r="H123" s="468">
        <f t="shared" si="2"/>
        <v>9109.7999999999993</v>
      </c>
      <c r="I123" s="339"/>
      <c r="J123" s="339"/>
    </row>
    <row r="124" spans="1:10">
      <c r="A124" s="338">
        <v>13</v>
      </c>
      <c r="B124" s="474" t="s">
        <v>39</v>
      </c>
      <c r="C124" s="475" t="s">
        <v>346</v>
      </c>
      <c r="D124" s="336">
        <v>1969</v>
      </c>
      <c r="E124" s="336">
        <v>4500</v>
      </c>
      <c r="F124" s="336">
        <v>2346</v>
      </c>
      <c r="G124" s="336"/>
      <c r="H124" s="468">
        <f t="shared" si="2"/>
        <v>4123</v>
      </c>
      <c r="I124" s="339"/>
      <c r="J124" s="339" t="s">
        <v>39</v>
      </c>
    </row>
    <row r="125" spans="1:10">
      <c r="A125" s="338">
        <v>14</v>
      </c>
      <c r="B125" s="474" t="s">
        <v>352</v>
      </c>
      <c r="C125" s="475" t="s">
        <v>346</v>
      </c>
      <c r="D125" s="336">
        <v>0</v>
      </c>
      <c r="E125" s="336">
        <v>2863.2</v>
      </c>
      <c r="F125" s="336">
        <v>2863.2</v>
      </c>
      <c r="G125" s="336"/>
      <c r="H125" s="468">
        <f t="shared" si="2"/>
        <v>0</v>
      </c>
      <c r="I125" s="339"/>
      <c r="J125" s="339" t="s">
        <v>352</v>
      </c>
    </row>
    <row r="126" spans="1:10">
      <c r="A126" s="338">
        <v>15</v>
      </c>
      <c r="B126" s="474" t="s">
        <v>42</v>
      </c>
      <c r="C126" s="475" t="s">
        <v>346</v>
      </c>
      <c r="D126" s="336">
        <v>0</v>
      </c>
      <c r="E126" s="336">
        <f>3037.3-67.3</f>
        <v>2970</v>
      </c>
      <c r="F126" s="336">
        <v>1089.5999999999999</v>
      </c>
      <c r="G126" s="336">
        <v>67.3</v>
      </c>
      <c r="H126" s="468">
        <f t="shared" si="2"/>
        <v>1947.7</v>
      </c>
      <c r="I126" s="339"/>
      <c r="J126" s="339" t="s">
        <v>43</v>
      </c>
    </row>
    <row r="127" spans="1:10">
      <c r="A127" s="338">
        <v>16</v>
      </c>
      <c r="B127" s="474" t="s">
        <v>43</v>
      </c>
      <c r="C127" s="475" t="s">
        <v>346</v>
      </c>
      <c r="D127" s="336">
        <v>1680.5</v>
      </c>
      <c r="E127" s="336">
        <v>0</v>
      </c>
      <c r="F127" s="336">
        <v>0</v>
      </c>
      <c r="G127" s="336"/>
      <c r="H127" s="468">
        <f t="shared" si="2"/>
        <v>1680.5</v>
      </c>
      <c r="I127" s="339"/>
      <c r="J127" s="339" t="s">
        <v>63</v>
      </c>
    </row>
    <row r="128" spans="1:10">
      <c r="A128" s="338">
        <v>17</v>
      </c>
      <c r="B128" s="474" t="s">
        <v>63</v>
      </c>
      <c r="C128" s="475" t="s">
        <v>346</v>
      </c>
      <c r="D128" s="336">
        <v>41.600000000000023</v>
      </c>
      <c r="E128" s="336">
        <v>2953.3999999999996</v>
      </c>
      <c r="F128" s="336">
        <v>2953.3999999999996</v>
      </c>
      <c r="G128" s="336"/>
      <c r="H128" s="468">
        <f t="shared" si="2"/>
        <v>41.599999999999909</v>
      </c>
      <c r="I128" s="339"/>
      <c r="J128" s="339" t="s">
        <v>45</v>
      </c>
    </row>
    <row r="129" spans="1:10">
      <c r="A129" s="338">
        <v>18</v>
      </c>
      <c r="B129" s="474" t="s">
        <v>45</v>
      </c>
      <c r="C129" s="475" t="s">
        <v>346</v>
      </c>
      <c r="D129" s="336">
        <v>0</v>
      </c>
      <c r="E129" s="336">
        <v>0</v>
      </c>
      <c r="F129" s="336">
        <v>0</v>
      </c>
      <c r="G129" s="336"/>
      <c r="H129" s="468">
        <f t="shared" si="2"/>
        <v>0</v>
      </c>
      <c r="I129" s="339"/>
      <c r="J129" s="339" t="s">
        <v>46</v>
      </c>
    </row>
    <row r="130" spans="1:10">
      <c r="A130" s="338">
        <v>19</v>
      </c>
      <c r="B130" s="474" t="s">
        <v>46</v>
      </c>
      <c r="C130" s="475" t="s">
        <v>346</v>
      </c>
      <c r="D130" s="336">
        <v>0</v>
      </c>
      <c r="E130" s="336">
        <v>806</v>
      </c>
      <c r="F130" s="336">
        <v>806</v>
      </c>
      <c r="G130" s="336"/>
      <c r="H130" s="468">
        <f t="shared" si="2"/>
        <v>0</v>
      </c>
      <c r="I130" s="339"/>
      <c r="J130" s="339" t="s">
        <v>47</v>
      </c>
    </row>
    <row r="131" spans="1:10">
      <c r="A131" s="338">
        <v>20</v>
      </c>
      <c r="B131" s="474" t="s">
        <v>47</v>
      </c>
      <c r="C131" s="475" t="s">
        <v>346</v>
      </c>
      <c r="D131" s="336">
        <v>160</v>
      </c>
      <c r="E131" s="336">
        <v>0</v>
      </c>
      <c r="F131" s="336">
        <v>60</v>
      </c>
      <c r="G131" s="336"/>
      <c r="H131" s="468">
        <f t="shared" si="2"/>
        <v>100</v>
      </c>
      <c r="I131" s="339"/>
      <c r="J131" s="339" t="s">
        <v>48</v>
      </c>
    </row>
    <row r="132" spans="1:10">
      <c r="A132" s="338">
        <v>21</v>
      </c>
      <c r="B132" s="474" t="s">
        <v>48</v>
      </c>
      <c r="C132" s="475" t="s">
        <v>346</v>
      </c>
      <c r="D132" s="336">
        <v>13.960000000000036</v>
      </c>
      <c r="E132" s="336">
        <v>0</v>
      </c>
      <c r="F132" s="336">
        <v>0</v>
      </c>
      <c r="G132" s="336"/>
      <c r="H132" s="468">
        <f t="shared" si="2"/>
        <v>13.960000000000036</v>
      </c>
      <c r="I132" s="339"/>
      <c r="J132" s="339" t="s">
        <v>51</v>
      </c>
    </row>
    <row r="133" spans="1:10">
      <c r="A133" s="338">
        <v>22</v>
      </c>
      <c r="B133" s="474" t="s">
        <v>103</v>
      </c>
      <c r="C133" s="475" t="s">
        <v>346</v>
      </c>
      <c r="D133" s="336">
        <v>0</v>
      </c>
      <c r="E133" s="336">
        <v>400</v>
      </c>
      <c r="F133" s="336">
        <v>56</v>
      </c>
      <c r="G133" s="336"/>
      <c r="H133" s="468">
        <f t="shared" si="2"/>
        <v>344</v>
      </c>
      <c r="I133" s="339"/>
      <c r="J133" s="339" t="s">
        <v>52</v>
      </c>
    </row>
    <row r="134" spans="1:10">
      <c r="A134" s="338">
        <v>23</v>
      </c>
      <c r="B134" s="474" t="s">
        <v>51</v>
      </c>
      <c r="C134" s="475" t="s">
        <v>346</v>
      </c>
      <c r="D134" s="336">
        <v>207.6</v>
      </c>
      <c r="E134" s="336">
        <v>0</v>
      </c>
      <c r="F134" s="336">
        <v>0</v>
      </c>
      <c r="G134" s="336"/>
      <c r="H134" s="468">
        <f t="shared" si="2"/>
        <v>207.6</v>
      </c>
      <c r="I134" s="339"/>
      <c r="J134" s="339" t="s">
        <v>57</v>
      </c>
    </row>
    <row r="135" spans="1:10">
      <c r="A135" s="338">
        <v>24</v>
      </c>
      <c r="B135" s="474" t="s">
        <v>52</v>
      </c>
      <c r="C135" s="475" t="s">
        <v>346</v>
      </c>
      <c r="D135" s="336">
        <v>201.8</v>
      </c>
      <c r="E135" s="336">
        <v>0</v>
      </c>
      <c r="F135" s="336">
        <v>0</v>
      </c>
      <c r="G135" s="336">
        <v>-4.76</v>
      </c>
      <c r="H135" s="468">
        <f t="shared" si="2"/>
        <v>197.04000000000002</v>
      </c>
      <c r="I135" s="339"/>
      <c r="J135" s="339"/>
    </row>
    <row r="136" spans="1:10">
      <c r="A136" s="338">
        <v>25</v>
      </c>
      <c r="B136" s="474" t="s">
        <v>53</v>
      </c>
      <c r="C136" s="475" t="s">
        <v>346</v>
      </c>
      <c r="D136" s="336">
        <v>22.720000000000002</v>
      </c>
      <c r="E136" s="336">
        <v>0</v>
      </c>
      <c r="F136" s="336">
        <v>0</v>
      </c>
      <c r="G136" s="336">
        <v>24.08</v>
      </c>
      <c r="H136" s="468">
        <f t="shared" si="2"/>
        <v>46.8</v>
      </c>
      <c r="I136" s="339"/>
      <c r="J136" s="339"/>
    </row>
    <row r="137" spans="1:10">
      <c r="A137" s="338">
        <v>26</v>
      </c>
      <c r="B137" s="474" t="s">
        <v>57</v>
      </c>
      <c r="C137" s="475" t="s">
        <v>346</v>
      </c>
      <c r="D137" s="336">
        <v>270</v>
      </c>
      <c r="E137" s="336">
        <v>0</v>
      </c>
      <c r="F137" s="336">
        <v>270</v>
      </c>
      <c r="G137" s="336"/>
      <c r="H137" s="468">
        <f t="shared" si="2"/>
        <v>0</v>
      </c>
      <c r="I137" s="339"/>
      <c r="J137" s="339"/>
    </row>
    <row r="138" spans="1:10">
      <c r="A138" s="338"/>
      <c r="B138" s="474"/>
      <c r="C138" s="475"/>
      <c r="D138" s="336"/>
      <c r="E138" s="336"/>
      <c r="F138" s="336"/>
      <c r="G138" s="336"/>
      <c r="H138" s="336"/>
      <c r="I138" s="339"/>
      <c r="J138" s="339"/>
    </row>
    <row r="139" spans="1:10">
      <c r="A139" s="338"/>
      <c r="B139" s="467" t="s">
        <v>348</v>
      </c>
      <c r="C139" s="475"/>
      <c r="D139" s="336"/>
      <c r="E139" s="336"/>
      <c r="F139" s="336"/>
      <c r="G139" s="336"/>
      <c r="H139" s="336"/>
      <c r="I139" s="339"/>
      <c r="J139" s="339"/>
    </row>
    <row r="140" spans="1:10">
      <c r="A140" s="338">
        <v>1</v>
      </c>
      <c r="B140" s="474" t="s">
        <v>65</v>
      </c>
      <c r="C140" s="475" t="s">
        <v>349</v>
      </c>
      <c r="D140" s="468">
        <v>9609</v>
      </c>
      <c r="E140" s="336">
        <v>0</v>
      </c>
      <c r="F140" s="336">
        <v>2981</v>
      </c>
      <c r="G140" s="336"/>
      <c r="H140" s="468">
        <f t="shared" ref="H140:H145" si="3">D140+E140-F140+G140</f>
        <v>6628</v>
      </c>
      <c r="I140" s="339"/>
      <c r="J140" s="339"/>
    </row>
    <row r="141" spans="1:10">
      <c r="A141" s="338">
        <v>2</v>
      </c>
      <c r="B141" s="474" t="s">
        <v>66</v>
      </c>
      <c r="C141" s="475" t="s">
        <v>349</v>
      </c>
      <c r="D141" s="468">
        <v>8149</v>
      </c>
      <c r="E141" s="336">
        <v>0</v>
      </c>
      <c r="F141" s="336">
        <v>1590</v>
      </c>
      <c r="G141" s="336"/>
      <c r="H141" s="468">
        <f t="shared" si="3"/>
        <v>6559</v>
      </c>
      <c r="I141" s="339"/>
      <c r="J141" s="339"/>
    </row>
    <row r="142" spans="1:10">
      <c r="A142" s="338">
        <v>3</v>
      </c>
      <c r="B142" s="474" t="s">
        <v>67</v>
      </c>
      <c r="C142" s="475" t="s">
        <v>349</v>
      </c>
      <c r="D142" s="468">
        <v>911</v>
      </c>
      <c r="E142" s="336">
        <v>0</v>
      </c>
      <c r="F142" s="336">
        <v>321</v>
      </c>
      <c r="G142" s="336"/>
      <c r="H142" s="468">
        <f t="shared" si="3"/>
        <v>590</v>
      </c>
      <c r="I142" s="339"/>
      <c r="J142" s="339"/>
    </row>
    <row r="143" spans="1:10">
      <c r="A143" s="338">
        <v>4</v>
      </c>
      <c r="B143" s="474" t="s">
        <v>68</v>
      </c>
      <c r="C143" s="475" t="s">
        <v>349</v>
      </c>
      <c r="D143" s="468">
        <v>6240</v>
      </c>
      <c r="E143" s="336">
        <v>10000</v>
      </c>
      <c r="F143" s="336">
        <v>12849</v>
      </c>
      <c r="G143" s="336"/>
      <c r="H143" s="468">
        <f t="shared" si="3"/>
        <v>3391</v>
      </c>
      <c r="I143" s="339"/>
      <c r="J143" s="339"/>
    </row>
    <row r="144" spans="1:10">
      <c r="A144" s="338">
        <v>5</v>
      </c>
      <c r="B144" s="474" t="s">
        <v>69</v>
      </c>
      <c r="C144" s="475" t="s">
        <v>349</v>
      </c>
      <c r="D144" s="468">
        <v>1901</v>
      </c>
      <c r="E144" s="336">
        <v>0</v>
      </c>
      <c r="F144" s="336">
        <v>0</v>
      </c>
      <c r="G144" s="336"/>
      <c r="H144" s="468">
        <f t="shared" si="3"/>
        <v>1901</v>
      </c>
      <c r="I144" s="339"/>
      <c r="J144" s="339"/>
    </row>
    <row r="145" spans="1:8">
      <c r="A145" s="338">
        <v>6</v>
      </c>
      <c r="B145" s="474" t="s">
        <v>70</v>
      </c>
      <c r="C145" s="475" t="s">
        <v>349</v>
      </c>
      <c r="D145" s="468">
        <v>1885</v>
      </c>
      <c r="E145" s="336"/>
      <c r="F145" s="336">
        <v>2592</v>
      </c>
      <c r="G145" s="336">
        <v>707</v>
      </c>
      <c r="H145" s="468">
        <f t="shared" si="3"/>
        <v>0</v>
      </c>
    </row>
    <row r="146" spans="1:8">
      <c r="A146" s="338"/>
      <c r="B146" s="474"/>
      <c r="C146" s="475"/>
      <c r="D146" s="336"/>
      <c r="E146" s="336"/>
      <c r="F146" s="336"/>
      <c r="G146" s="336"/>
      <c r="H146" s="336"/>
    </row>
    <row r="147" spans="1:8" ht="13.9" thickBot="1">
      <c r="A147" s="338"/>
      <c r="B147" s="467" t="s">
        <v>72</v>
      </c>
      <c r="C147" s="298"/>
      <c r="D147" s="469">
        <f>SUM(D97:D145)</f>
        <v>573253.87999999989</v>
      </c>
      <c r="E147" s="469">
        <f>SUM(E97:E145)</f>
        <v>1255368</v>
      </c>
      <c r="F147" s="469">
        <f>SUM(F97:F145)</f>
        <v>1340387</v>
      </c>
      <c r="G147" s="469">
        <f>SUM(G97:G145)</f>
        <v>-29906.479999999996</v>
      </c>
      <c r="H147" s="469">
        <f>SUM(H97:H145)</f>
        <v>458328.39999999991</v>
      </c>
    </row>
    <row r="148" spans="1:8" ht="13.9" thickTop="1">
      <c r="A148" s="496"/>
      <c r="B148" s="329"/>
      <c r="C148" s="473"/>
      <c r="D148" s="339"/>
      <c r="E148" s="339"/>
      <c r="F148" s="339"/>
      <c r="G148" s="339"/>
      <c r="H148" s="339"/>
    </row>
    <row r="149" spans="1:8">
      <c r="A149" s="496"/>
      <c r="B149" s="472" t="s">
        <v>353</v>
      </c>
      <c r="C149" s="473"/>
      <c r="D149" s="339"/>
      <c r="E149" s="339"/>
      <c r="F149" s="339"/>
      <c r="G149" s="339"/>
      <c r="H149" s="339"/>
    </row>
    <row r="150" spans="1:8">
      <c r="A150" s="496"/>
      <c r="B150" s="474" t="s">
        <v>9</v>
      </c>
      <c r="C150" s="475" t="s">
        <v>346</v>
      </c>
      <c r="D150" s="336">
        <v>0.5</v>
      </c>
      <c r="E150" s="339"/>
      <c r="F150" s="339"/>
      <c r="G150" s="339"/>
      <c r="H150" s="339"/>
    </row>
    <row r="151" spans="1:8">
      <c r="A151" s="496"/>
      <c r="B151" s="474" t="s">
        <v>12</v>
      </c>
      <c r="C151" s="475" t="s">
        <v>346</v>
      </c>
      <c r="D151" s="336">
        <v>280</v>
      </c>
      <c r="E151" s="339"/>
      <c r="F151" s="339"/>
      <c r="G151" s="339"/>
      <c r="H151" s="339"/>
    </row>
    <row r="152" spans="1:8">
      <c r="A152" s="496"/>
      <c r="B152" s="474" t="s">
        <v>42</v>
      </c>
      <c r="C152" s="475" t="s">
        <v>346</v>
      </c>
      <c r="D152" s="336">
        <v>67.3</v>
      </c>
      <c r="E152" s="339"/>
      <c r="F152" s="339"/>
      <c r="G152" s="339"/>
      <c r="H152" s="339"/>
    </row>
    <row r="153" spans="1:8">
      <c r="A153" s="496"/>
      <c r="B153" s="474" t="s">
        <v>53</v>
      </c>
      <c r="C153" s="475" t="s">
        <v>346</v>
      </c>
      <c r="D153" s="336">
        <v>24.08</v>
      </c>
      <c r="E153" s="339"/>
      <c r="F153" s="339"/>
      <c r="G153" s="339"/>
      <c r="H153" s="339"/>
    </row>
    <row r="154" spans="1:8">
      <c r="A154" s="496"/>
      <c r="B154" s="474" t="s">
        <v>70</v>
      </c>
      <c r="C154" s="475" t="s">
        <v>349</v>
      </c>
      <c r="D154" s="336">
        <v>707</v>
      </c>
      <c r="E154" s="339"/>
      <c r="F154" s="339"/>
      <c r="G154" s="339"/>
      <c r="H154" s="339"/>
    </row>
    <row r="155" spans="1:8">
      <c r="A155" s="496"/>
      <c r="B155" s="329" t="s">
        <v>354</v>
      </c>
      <c r="C155" s="473"/>
      <c r="D155" s="339"/>
      <c r="E155" s="339"/>
      <c r="F155" s="339"/>
      <c r="G155" s="339"/>
      <c r="H155" s="339"/>
    </row>
    <row r="156" spans="1:8">
      <c r="A156" s="496"/>
      <c r="B156" s="329"/>
      <c r="C156" s="473"/>
      <c r="D156" s="339"/>
      <c r="E156" s="339"/>
      <c r="F156" s="339"/>
      <c r="G156" s="339"/>
      <c r="H156" s="339"/>
    </row>
    <row r="157" spans="1:8">
      <c r="A157" s="496"/>
      <c r="B157" s="329"/>
      <c r="C157" s="473"/>
      <c r="D157" s="339"/>
      <c r="E157" s="339"/>
      <c r="F157" s="339"/>
      <c r="G157" s="339"/>
      <c r="H157" s="339"/>
    </row>
    <row r="158" spans="1:8">
      <c r="A158" s="496"/>
      <c r="B158" s="472" t="s">
        <v>357</v>
      </c>
      <c r="C158" s="473"/>
      <c r="D158" s="339"/>
      <c r="E158" s="339"/>
      <c r="F158" s="339"/>
      <c r="G158" s="339"/>
      <c r="H158" s="339"/>
    </row>
    <row r="159" spans="1:8">
      <c r="A159" s="496"/>
      <c r="B159" s="474" t="s">
        <v>7</v>
      </c>
      <c r="C159" s="475" t="s">
        <v>346</v>
      </c>
      <c r="D159" s="336">
        <v>-30000</v>
      </c>
      <c r="E159" s="339"/>
      <c r="F159" s="339"/>
      <c r="G159" s="339"/>
      <c r="H159" s="339"/>
    </row>
    <row r="160" spans="1:8">
      <c r="A160" s="496"/>
      <c r="B160" s="474" t="s">
        <v>8</v>
      </c>
      <c r="C160" s="475" t="s">
        <v>346</v>
      </c>
      <c r="D160" s="336">
        <v>-670</v>
      </c>
      <c r="E160" s="339"/>
      <c r="F160" s="339"/>
      <c r="G160" s="339"/>
      <c r="H160" s="339"/>
    </row>
    <row r="161" spans="1:8">
      <c r="A161" s="496"/>
      <c r="B161" s="474" t="s">
        <v>19</v>
      </c>
      <c r="C161" s="475" t="s">
        <v>346</v>
      </c>
      <c r="D161" s="336">
        <v>-310.60000000000002</v>
      </c>
      <c r="E161" s="339"/>
      <c r="F161" s="339"/>
      <c r="G161" s="339"/>
      <c r="H161" s="339"/>
    </row>
    <row r="162" spans="1:8">
      <c r="A162" s="496"/>
      <c r="B162" s="474" t="s">
        <v>52</v>
      </c>
      <c r="C162" s="475" t="s">
        <v>346</v>
      </c>
      <c r="D162" s="336">
        <v>-4.76</v>
      </c>
      <c r="E162" s="339"/>
      <c r="F162" s="339"/>
      <c r="G162" s="339"/>
      <c r="H162" s="339"/>
    </row>
    <row r="163" spans="1:8">
      <c r="A163" s="496"/>
      <c r="B163" s="329" t="s">
        <v>354</v>
      </c>
      <c r="C163" s="473"/>
      <c r="D163" s="339"/>
      <c r="E163" s="339"/>
      <c r="F163" s="339"/>
      <c r="G163" s="339"/>
      <c r="H163" s="339"/>
    </row>
    <row r="164" spans="1:8">
      <c r="A164" s="496"/>
      <c r="B164" s="329"/>
      <c r="C164" s="473"/>
      <c r="D164" s="339"/>
      <c r="E164" s="339"/>
      <c r="F164" s="339"/>
      <c r="G164" s="339"/>
      <c r="H164" s="339"/>
    </row>
    <row r="165" spans="1:8">
      <c r="A165" s="496"/>
      <c r="B165" s="329"/>
      <c r="C165" s="473"/>
      <c r="D165" s="339"/>
      <c r="E165" s="339"/>
      <c r="F165" s="339"/>
      <c r="G165" s="339"/>
      <c r="H165" s="339"/>
    </row>
    <row r="166" spans="1:8">
      <c r="A166" s="496"/>
      <c r="B166" s="329"/>
      <c r="C166" s="473"/>
      <c r="D166" s="339"/>
      <c r="E166" s="339"/>
      <c r="F166" s="339"/>
      <c r="G166" s="339"/>
      <c r="H166" s="339"/>
    </row>
    <row r="167" spans="1:8">
      <c r="A167" s="496"/>
      <c r="B167" s="329"/>
      <c r="C167" s="473"/>
      <c r="D167" s="339"/>
      <c r="E167" s="339"/>
      <c r="F167" s="339"/>
      <c r="G167" s="339"/>
      <c r="H167" s="339"/>
    </row>
    <row r="168" spans="1:8">
      <c r="A168" s="496"/>
      <c r="B168" s="329"/>
      <c r="C168" s="473"/>
      <c r="D168" s="339"/>
      <c r="E168" s="339"/>
      <c r="F168" s="339"/>
      <c r="G168" s="339"/>
      <c r="H168" s="339"/>
    </row>
    <row r="169" spans="1:8">
      <c r="A169" s="496"/>
      <c r="B169" s="329"/>
      <c r="C169" s="473"/>
      <c r="D169" s="339"/>
      <c r="E169" s="339"/>
      <c r="F169" s="339"/>
      <c r="G169" s="339"/>
      <c r="H169" s="339"/>
    </row>
    <row r="170" spans="1:8">
      <c r="A170" s="496"/>
      <c r="B170" s="329" t="s">
        <v>358</v>
      </c>
      <c r="C170" s="473"/>
      <c r="D170" s="339"/>
      <c r="E170" s="339"/>
      <c r="F170" s="339"/>
      <c r="G170" s="339" t="s">
        <v>359</v>
      </c>
      <c r="H170" s="339"/>
    </row>
    <row r="173" spans="1:8">
      <c r="A173" s="496"/>
      <c r="B173" s="329"/>
      <c r="C173" s="473"/>
      <c r="D173" s="339"/>
      <c r="E173" s="339"/>
      <c r="F173" s="339"/>
      <c r="G173" s="339"/>
      <c r="H173" s="519" t="s">
        <v>362</v>
      </c>
    </row>
    <row r="174" spans="1:8">
      <c r="A174" s="338"/>
      <c r="B174" s="467" t="s">
        <v>319</v>
      </c>
      <c r="C174" s="475"/>
      <c r="D174" s="336"/>
      <c r="E174" s="336"/>
      <c r="F174" s="336"/>
      <c r="G174" s="336"/>
      <c r="H174" s="336"/>
    </row>
    <row r="175" spans="1:8">
      <c r="A175" s="338" t="s">
        <v>331</v>
      </c>
      <c r="B175" s="474" t="s">
        <v>332</v>
      </c>
      <c r="C175" s="475" t="s">
        <v>333</v>
      </c>
      <c r="D175" s="475" t="s">
        <v>334</v>
      </c>
      <c r="E175" s="475" t="s">
        <v>335</v>
      </c>
      <c r="F175" s="475" t="s">
        <v>166</v>
      </c>
      <c r="G175" s="475" t="s">
        <v>168</v>
      </c>
      <c r="H175" s="475" t="s">
        <v>336</v>
      </c>
    </row>
    <row r="176" spans="1:8">
      <c r="A176" s="338"/>
      <c r="B176" s="467" t="s">
        <v>345</v>
      </c>
      <c r="C176" s="475"/>
      <c r="D176" s="336"/>
      <c r="E176" s="336"/>
      <c r="F176" s="336"/>
      <c r="G176" s="336"/>
      <c r="H176" s="336"/>
    </row>
    <row r="177" spans="1:8">
      <c r="A177" s="338">
        <v>1</v>
      </c>
      <c r="B177" s="474" t="s">
        <v>7</v>
      </c>
      <c r="C177" s="475" t="s">
        <v>346</v>
      </c>
      <c r="D177" s="336">
        <v>241788.19999999998</v>
      </c>
      <c r="E177" s="336">
        <v>573310</v>
      </c>
      <c r="F177" s="336">
        <f>723483.4-30000</f>
        <v>693483.4</v>
      </c>
      <c r="G177" s="336">
        <v>-30000</v>
      </c>
      <c r="H177" s="468">
        <f t="shared" ref="H177:H186" si="4">D177+E177-F177+G177</f>
        <v>91614.79999999993</v>
      </c>
    </row>
    <row r="178" spans="1:8">
      <c r="A178" s="338">
        <v>2</v>
      </c>
      <c r="B178" s="474" t="s">
        <v>8</v>
      </c>
      <c r="C178" s="475" t="s">
        <v>346</v>
      </c>
      <c r="D178" s="336">
        <v>48748.2</v>
      </c>
      <c r="E178" s="336">
        <v>337880</v>
      </c>
      <c r="F178" s="336">
        <f>321531.6-670</f>
        <v>320861.59999999998</v>
      </c>
      <c r="G178" s="336">
        <v>-670</v>
      </c>
      <c r="H178" s="468">
        <f t="shared" si="4"/>
        <v>65096.600000000035</v>
      </c>
    </row>
    <row r="179" spans="1:8">
      <c r="A179" s="338">
        <v>3</v>
      </c>
      <c r="B179" s="474" t="s">
        <v>9</v>
      </c>
      <c r="C179" s="475" t="s">
        <v>346</v>
      </c>
      <c r="D179" s="336">
        <v>49884.999999999985</v>
      </c>
      <c r="E179" s="336">
        <f>81220.5-0.5</f>
        <v>81220</v>
      </c>
      <c r="F179" s="336">
        <v>82732.699999999983</v>
      </c>
      <c r="G179" s="336">
        <v>0.5</v>
      </c>
      <c r="H179" s="468">
        <f t="shared" si="4"/>
        <v>48372.800000000017</v>
      </c>
    </row>
    <row r="180" spans="1:8">
      <c r="A180" s="338">
        <v>4</v>
      </c>
      <c r="B180" s="474" t="s">
        <v>10</v>
      </c>
      <c r="C180" s="475" t="s">
        <v>346</v>
      </c>
      <c r="D180" s="336">
        <v>52772.200000000012</v>
      </c>
      <c r="E180" s="336">
        <v>19280</v>
      </c>
      <c r="F180" s="336">
        <v>37914</v>
      </c>
      <c r="G180" s="336"/>
      <c r="H180" s="468">
        <f t="shared" si="4"/>
        <v>34138.200000000012</v>
      </c>
    </row>
    <row r="181" spans="1:8">
      <c r="A181" s="338">
        <v>5</v>
      </c>
      <c r="B181" s="474" t="s">
        <v>12</v>
      </c>
      <c r="C181" s="475" t="s">
        <v>346</v>
      </c>
      <c r="D181" s="336">
        <v>34316.69999999999</v>
      </c>
      <c r="E181" s="336">
        <f>30480-280</f>
        <v>30200</v>
      </c>
      <c r="F181" s="336">
        <v>16994.699999999997</v>
      </c>
      <c r="G181" s="336">
        <v>280</v>
      </c>
      <c r="H181" s="468">
        <f t="shared" si="4"/>
        <v>47801.999999999993</v>
      </c>
    </row>
    <row r="182" spans="1:8">
      <c r="A182" s="338">
        <v>6</v>
      </c>
      <c r="B182" s="474" t="s">
        <v>13</v>
      </c>
      <c r="C182" s="475" t="s">
        <v>346</v>
      </c>
      <c r="D182" s="336">
        <v>21924.100000000006</v>
      </c>
      <c r="E182" s="336">
        <v>22150</v>
      </c>
      <c r="F182" s="336">
        <v>36572.300000000003</v>
      </c>
      <c r="G182" s="336"/>
      <c r="H182" s="468">
        <f t="shared" si="4"/>
        <v>7501.8000000000029</v>
      </c>
    </row>
    <row r="183" spans="1:8">
      <c r="A183" s="338">
        <v>7</v>
      </c>
      <c r="B183" s="474" t="s">
        <v>350</v>
      </c>
      <c r="C183" s="475" t="s">
        <v>346</v>
      </c>
      <c r="D183" s="336">
        <v>0</v>
      </c>
      <c r="E183" s="336">
        <v>24926.6</v>
      </c>
      <c r="F183" s="336">
        <v>24926.6</v>
      </c>
      <c r="G183" s="336"/>
      <c r="H183" s="468">
        <f t="shared" si="4"/>
        <v>0</v>
      </c>
    </row>
    <row r="184" spans="1:8">
      <c r="A184" s="338">
        <v>8</v>
      </c>
      <c r="B184" s="474" t="s">
        <v>15</v>
      </c>
      <c r="C184" s="475" t="s">
        <v>346</v>
      </c>
      <c r="D184" s="336">
        <v>3284.5</v>
      </c>
      <c r="E184" s="336">
        <v>2000</v>
      </c>
      <c r="F184" s="336">
        <v>5276.5</v>
      </c>
      <c r="G184" s="336"/>
      <c r="H184" s="468">
        <f t="shared" si="4"/>
        <v>8</v>
      </c>
    </row>
    <row r="185" spans="1:8">
      <c r="A185" s="338">
        <v>9</v>
      </c>
      <c r="B185" s="474" t="s">
        <v>351</v>
      </c>
      <c r="C185" s="475" t="s">
        <v>346</v>
      </c>
      <c r="D185" s="336">
        <v>0</v>
      </c>
      <c r="E185" s="336">
        <v>7573.8000000000011</v>
      </c>
      <c r="F185" s="336">
        <v>7573.8000000000011</v>
      </c>
      <c r="G185" s="336"/>
      <c r="H185" s="468">
        <f t="shared" si="4"/>
        <v>0</v>
      </c>
    </row>
    <row r="186" spans="1:8">
      <c r="A186" s="338">
        <v>10</v>
      </c>
      <c r="B186" s="474" t="s">
        <v>18</v>
      </c>
      <c r="C186" s="475" t="s">
        <v>346</v>
      </c>
      <c r="D186" s="336">
        <v>0</v>
      </c>
      <c r="E186" s="336">
        <v>86490</v>
      </c>
      <c r="F186" s="336">
        <v>31437.599999999999</v>
      </c>
      <c r="G186" s="336"/>
      <c r="H186" s="468">
        <f t="shared" si="4"/>
        <v>55052.4</v>
      </c>
    </row>
    <row r="187" spans="1:8">
      <c r="A187" s="338">
        <v>11</v>
      </c>
      <c r="B187" s="474" t="s">
        <v>19</v>
      </c>
      <c r="C187" s="475" t="s">
        <v>346</v>
      </c>
      <c r="D187" s="336">
        <v>22172.799999999996</v>
      </c>
      <c r="E187" s="336">
        <v>0</v>
      </c>
      <c r="F187" s="336">
        <f>22172.8-310.6</f>
        <v>21862.2</v>
      </c>
      <c r="G187" s="336">
        <v>-310.60000000000002</v>
      </c>
      <c r="H187" s="468">
        <v>0</v>
      </c>
    </row>
    <row r="188" spans="1:8">
      <c r="A188" s="338">
        <v>12</v>
      </c>
      <c r="B188" s="474" t="s">
        <v>20</v>
      </c>
      <c r="C188" s="475" t="s">
        <v>346</v>
      </c>
      <c r="D188" s="336">
        <v>0</v>
      </c>
      <c r="E188" s="508">
        <v>2300</v>
      </c>
      <c r="F188" s="336">
        <v>0</v>
      </c>
      <c r="G188" s="336"/>
      <c r="H188" s="468">
        <f t="shared" ref="H188:H189" si="5">D188+E188-F188+G188</f>
        <v>2300</v>
      </c>
    </row>
    <row r="189" spans="1:8">
      <c r="A189" s="338">
        <v>13</v>
      </c>
      <c r="B189" s="474" t="s">
        <v>21</v>
      </c>
      <c r="C189" s="475" t="s">
        <v>346</v>
      </c>
      <c r="D189" s="336">
        <v>0</v>
      </c>
      <c r="E189" s="336">
        <v>10200</v>
      </c>
      <c r="F189" s="336">
        <v>4503.2000000000007</v>
      </c>
      <c r="G189" s="336"/>
      <c r="H189" s="468">
        <f t="shared" si="5"/>
        <v>5696.7999999999993</v>
      </c>
    </row>
    <row r="190" spans="1:8">
      <c r="A190" s="338"/>
      <c r="B190" s="474"/>
      <c r="C190" s="475"/>
      <c r="D190" s="336"/>
      <c r="E190" s="336"/>
      <c r="F190" s="336"/>
      <c r="G190" s="336"/>
      <c r="H190" s="336"/>
    </row>
    <row r="191" spans="1:8">
      <c r="A191" s="338"/>
      <c r="B191" s="467" t="s">
        <v>347</v>
      </c>
      <c r="C191" s="475"/>
      <c r="D191" s="336"/>
      <c r="E191" s="336"/>
      <c r="F191" s="336"/>
      <c r="G191" s="336"/>
      <c r="H191" s="336"/>
    </row>
    <row r="192" spans="1:8">
      <c r="A192" s="338">
        <v>1</v>
      </c>
      <c r="B192" s="474" t="s">
        <v>23</v>
      </c>
      <c r="C192" s="475" t="s">
        <v>346</v>
      </c>
      <c r="D192" s="336">
        <v>3540</v>
      </c>
      <c r="E192" s="336">
        <v>0</v>
      </c>
      <c r="F192" s="336">
        <v>2920</v>
      </c>
      <c r="G192" s="336"/>
      <c r="H192" s="468">
        <f t="shared" ref="H192:H217" si="6">D192+E192-F192+G192</f>
        <v>620</v>
      </c>
    </row>
    <row r="193" spans="1:8">
      <c r="A193" s="338">
        <v>2</v>
      </c>
      <c r="B193" s="474" t="s">
        <v>24</v>
      </c>
      <c r="C193" s="475" t="s">
        <v>346</v>
      </c>
      <c r="D193" s="336">
        <v>3960</v>
      </c>
      <c r="E193" s="336">
        <v>2000</v>
      </c>
      <c r="F193" s="336">
        <v>0</v>
      </c>
      <c r="G193" s="336"/>
      <c r="H193" s="468">
        <f t="shared" si="6"/>
        <v>5960</v>
      </c>
    </row>
    <row r="194" spans="1:8">
      <c r="A194" s="338">
        <v>3</v>
      </c>
      <c r="B194" s="474" t="s">
        <v>25</v>
      </c>
      <c r="C194" s="475" t="s">
        <v>346</v>
      </c>
      <c r="D194" s="336">
        <v>3240</v>
      </c>
      <c r="E194" s="336">
        <v>2000</v>
      </c>
      <c r="F194" s="336">
        <v>0</v>
      </c>
      <c r="G194" s="336"/>
      <c r="H194" s="468">
        <f t="shared" si="6"/>
        <v>5240</v>
      </c>
    </row>
    <row r="195" spans="1:8">
      <c r="A195" s="338">
        <v>4</v>
      </c>
      <c r="B195" s="474" t="s">
        <v>28</v>
      </c>
      <c r="C195" s="475" t="s">
        <v>346</v>
      </c>
      <c r="D195" s="336">
        <v>5440</v>
      </c>
      <c r="E195" s="336">
        <v>0</v>
      </c>
      <c r="F195" s="336">
        <v>320</v>
      </c>
      <c r="G195" s="336"/>
      <c r="H195" s="468">
        <f t="shared" si="6"/>
        <v>5120</v>
      </c>
    </row>
    <row r="196" spans="1:8">
      <c r="A196" s="338">
        <v>5</v>
      </c>
      <c r="B196" s="474" t="s">
        <v>29</v>
      </c>
      <c r="C196" s="475" t="s">
        <v>346</v>
      </c>
      <c r="D196" s="336">
        <v>5100</v>
      </c>
      <c r="E196" s="336">
        <v>0</v>
      </c>
      <c r="F196" s="336">
        <v>0</v>
      </c>
      <c r="G196" s="336"/>
      <c r="H196" s="468">
        <f t="shared" si="6"/>
        <v>5100</v>
      </c>
    </row>
    <row r="197" spans="1:8">
      <c r="A197" s="338">
        <v>6</v>
      </c>
      <c r="B197" s="474" t="s">
        <v>30</v>
      </c>
      <c r="C197" s="475" t="s">
        <v>346</v>
      </c>
      <c r="D197" s="336">
        <v>16240</v>
      </c>
      <c r="E197" s="336">
        <v>0</v>
      </c>
      <c r="F197" s="336">
        <v>6000</v>
      </c>
      <c r="G197" s="336"/>
      <c r="H197" s="468">
        <f t="shared" si="6"/>
        <v>10240</v>
      </c>
    </row>
    <row r="198" spans="1:8">
      <c r="A198" s="338">
        <v>7</v>
      </c>
      <c r="B198" s="474" t="s">
        <v>31</v>
      </c>
      <c r="C198" s="475" t="s">
        <v>346</v>
      </c>
      <c r="D198" s="336">
        <v>13120</v>
      </c>
      <c r="E198" s="336">
        <v>2000</v>
      </c>
      <c r="F198" s="336">
        <v>0</v>
      </c>
      <c r="G198" s="336"/>
      <c r="H198" s="468">
        <f t="shared" si="6"/>
        <v>15120</v>
      </c>
    </row>
    <row r="199" spans="1:8">
      <c r="A199" s="338">
        <v>8</v>
      </c>
      <c r="B199" s="474" t="s">
        <v>32</v>
      </c>
      <c r="C199" s="475" t="s">
        <v>346</v>
      </c>
      <c r="D199" s="336">
        <v>6800</v>
      </c>
      <c r="E199" s="336">
        <v>0</v>
      </c>
      <c r="F199" s="336">
        <v>3480</v>
      </c>
      <c r="G199" s="336"/>
      <c r="H199" s="468">
        <f t="shared" si="6"/>
        <v>3320</v>
      </c>
    </row>
    <row r="200" spans="1:8">
      <c r="A200" s="338">
        <v>9</v>
      </c>
      <c r="B200" s="474" t="s">
        <v>33</v>
      </c>
      <c r="C200" s="475" t="s">
        <v>346</v>
      </c>
      <c r="D200" s="336">
        <v>5400</v>
      </c>
      <c r="E200" s="336">
        <v>0</v>
      </c>
      <c r="F200" s="336">
        <v>0</v>
      </c>
      <c r="G200" s="336"/>
      <c r="H200" s="468">
        <f t="shared" si="6"/>
        <v>5400</v>
      </c>
    </row>
    <row r="201" spans="1:8">
      <c r="A201" s="338">
        <v>10</v>
      </c>
      <c r="B201" s="474" t="s">
        <v>34</v>
      </c>
      <c r="C201" s="475" t="s">
        <v>346</v>
      </c>
      <c r="D201" s="336">
        <v>2260</v>
      </c>
      <c r="E201" s="336">
        <v>5340</v>
      </c>
      <c r="F201" s="336">
        <v>3600</v>
      </c>
      <c r="G201" s="336"/>
      <c r="H201" s="468">
        <f t="shared" si="6"/>
        <v>4000</v>
      </c>
    </row>
    <row r="202" spans="1:8">
      <c r="A202" s="338">
        <v>11</v>
      </c>
      <c r="B202" s="474" t="s">
        <v>35</v>
      </c>
      <c r="C202" s="475" t="s">
        <v>346</v>
      </c>
      <c r="D202" s="336">
        <v>0</v>
      </c>
      <c r="E202" s="336">
        <v>8775</v>
      </c>
      <c r="F202" s="511">
        <v>8775</v>
      </c>
      <c r="G202" s="336"/>
      <c r="H202" s="520">
        <f t="shared" si="6"/>
        <v>0</v>
      </c>
    </row>
    <row r="203" spans="1:8">
      <c r="A203" s="338">
        <v>12</v>
      </c>
      <c r="B203" s="474" t="s">
        <v>36</v>
      </c>
      <c r="C203" s="475" t="s">
        <v>346</v>
      </c>
      <c r="D203" s="336">
        <v>0</v>
      </c>
      <c r="E203" s="336">
        <v>13230</v>
      </c>
      <c r="F203" s="511">
        <v>6690.5999999999995</v>
      </c>
      <c r="G203" s="336"/>
      <c r="H203" s="520">
        <f t="shared" si="6"/>
        <v>6539.4000000000005</v>
      </c>
    </row>
    <row r="204" spans="1:8">
      <c r="A204" s="338">
        <v>13</v>
      </c>
      <c r="B204" s="474" t="s">
        <v>39</v>
      </c>
      <c r="C204" s="475" t="s">
        <v>346</v>
      </c>
      <c r="D204" s="336">
        <v>1969</v>
      </c>
      <c r="E204" s="336">
        <v>4500</v>
      </c>
      <c r="F204" s="336">
        <v>2346</v>
      </c>
      <c r="G204" s="336"/>
      <c r="H204" s="468">
        <f t="shared" si="6"/>
        <v>4123</v>
      </c>
    </row>
    <row r="205" spans="1:8">
      <c r="A205" s="338">
        <v>14</v>
      </c>
      <c r="B205" s="474" t="s">
        <v>352</v>
      </c>
      <c r="C205" s="475" t="s">
        <v>346</v>
      </c>
      <c r="D205" s="336">
        <v>0</v>
      </c>
      <c r="E205" s="336">
        <v>2863.2</v>
      </c>
      <c r="F205" s="336">
        <v>2863.2</v>
      </c>
      <c r="G205" s="336"/>
      <c r="H205" s="468">
        <f t="shared" si="6"/>
        <v>0</v>
      </c>
    </row>
    <row r="206" spans="1:8">
      <c r="A206" s="338">
        <v>15</v>
      </c>
      <c r="B206" s="474" t="s">
        <v>42</v>
      </c>
      <c r="C206" s="475" t="s">
        <v>346</v>
      </c>
      <c r="D206" s="336">
        <v>0</v>
      </c>
      <c r="E206" s="336">
        <f>3037.3-67.3</f>
        <v>2970</v>
      </c>
      <c r="F206" s="336">
        <v>1089.5999999999999</v>
      </c>
      <c r="G206" s="336">
        <v>67.3</v>
      </c>
      <c r="H206" s="468">
        <f t="shared" si="6"/>
        <v>1947.7</v>
      </c>
    </row>
    <row r="207" spans="1:8">
      <c r="A207" s="338">
        <v>16</v>
      </c>
      <c r="B207" s="474" t="s">
        <v>43</v>
      </c>
      <c r="C207" s="475" t="s">
        <v>346</v>
      </c>
      <c r="D207" s="336">
        <v>1680.5</v>
      </c>
      <c r="E207" s="336">
        <v>0</v>
      </c>
      <c r="F207" s="336">
        <v>0</v>
      </c>
      <c r="G207" s="336"/>
      <c r="H207" s="468">
        <f t="shared" si="6"/>
        <v>1680.5</v>
      </c>
    </row>
    <row r="208" spans="1:8">
      <c r="A208" s="338">
        <v>17</v>
      </c>
      <c r="B208" s="474" t="s">
        <v>63</v>
      </c>
      <c r="C208" s="475" t="s">
        <v>346</v>
      </c>
      <c r="D208" s="336">
        <v>41.600000000000023</v>
      </c>
      <c r="E208" s="336">
        <v>2953.3999999999996</v>
      </c>
      <c r="F208" s="336">
        <v>2953.3999999999996</v>
      </c>
      <c r="G208" s="336"/>
      <c r="H208" s="468">
        <f t="shared" si="6"/>
        <v>41.599999999999909</v>
      </c>
    </row>
    <row r="209" spans="1:8">
      <c r="A209" s="338">
        <v>18</v>
      </c>
      <c r="B209" s="474" t="s">
        <v>45</v>
      </c>
      <c r="C209" s="475" t="s">
        <v>346</v>
      </c>
      <c r="D209" s="336">
        <v>0</v>
      </c>
      <c r="E209" s="336">
        <v>0</v>
      </c>
      <c r="F209" s="336">
        <v>0</v>
      </c>
      <c r="G209" s="336"/>
      <c r="H209" s="468">
        <f t="shared" si="6"/>
        <v>0</v>
      </c>
    </row>
    <row r="210" spans="1:8">
      <c r="A210" s="338">
        <v>19</v>
      </c>
      <c r="B210" s="474" t="s">
        <v>46</v>
      </c>
      <c r="C210" s="475" t="s">
        <v>346</v>
      </c>
      <c r="D210" s="336">
        <v>0</v>
      </c>
      <c r="E210" s="336">
        <v>806</v>
      </c>
      <c r="F210" s="336">
        <v>806</v>
      </c>
      <c r="G210" s="336"/>
      <c r="H210" s="468">
        <f t="shared" si="6"/>
        <v>0</v>
      </c>
    </row>
    <row r="211" spans="1:8">
      <c r="A211" s="338">
        <v>20</v>
      </c>
      <c r="B211" s="474" t="s">
        <v>47</v>
      </c>
      <c r="C211" s="475" t="s">
        <v>346</v>
      </c>
      <c r="D211" s="336">
        <v>160</v>
      </c>
      <c r="E211" s="336">
        <v>0</v>
      </c>
      <c r="F211" s="336">
        <v>60</v>
      </c>
      <c r="G211" s="336"/>
      <c r="H211" s="468">
        <f t="shared" si="6"/>
        <v>100</v>
      </c>
    </row>
    <row r="212" spans="1:8">
      <c r="A212" s="338">
        <v>21</v>
      </c>
      <c r="B212" s="474" t="s">
        <v>48</v>
      </c>
      <c r="C212" s="475" t="s">
        <v>346</v>
      </c>
      <c r="D212" s="336">
        <v>13.960000000000036</v>
      </c>
      <c r="E212" s="336">
        <v>0</v>
      </c>
      <c r="F212" s="336">
        <v>0</v>
      </c>
      <c r="G212" s="336"/>
      <c r="H212" s="468">
        <f t="shared" si="6"/>
        <v>13.960000000000036</v>
      </c>
    </row>
    <row r="213" spans="1:8">
      <c r="A213" s="338">
        <v>22</v>
      </c>
      <c r="B213" s="474" t="s">
        <v>103</v>
      </c>
      <c r="C213" s="475" t="s">
        <v>346</v>
      </c>
      <c r="D213" s="336">
        <v>0</v>
      </c>
      <c r="E213" s="336">
        <v>400</v>
      </c>
      <c r="F213" s="336">
        <v>56</v>
      </c>
      <c r="G213" s="336"/>
      <c r="H213" s="468">
        <f t="shared" si="6"/>
        <v>344</v>
      </c>
    </row>
    <row r="214" spans="1:8">
      <c r="A214" s="338">
        <v>23</v>
      </c>
      <c r="B214" s="474" t="s">
        <v>51</v>
      </c>
      <c r="C214" s="475" t="s">
        <v>346</v>
      </c>
      <c r="D214" s="336">
        <v>207.6</v>
      </c>
      <c r="E214" s="336">
        <v>0</v>
      </c>
      <c r="F214" s="336">
        <v>0</v>
      </c>
      <c r="G214" s="336"/>
      <c r="H214" s="468">
        <f t="shared" si="6"/>
        <v>207.6</v>
      </c>
    </row>
    <row r="215" spans="1:8">
      <c r="A215" s="338">
        <v>24</v>
      </c>
      <c r="B215" s="474" t="s">
        <v>52</v>
      </c>
      <c r="C215" s="475" t="s">
        <v>346</v>
      </c>
      <c r="D215" s="336">
        <v>201.8</v>
      </c>
      <c r="E215" s="336">
        <v>0</v>
      </c>
      <c r="F215" s="336">
        <v>0</v>
      </c>
      <c r="G215" s="336">
        <v>-4.76</v>
      </c>
      <c r="H215" s="468">
        <f t="shared" si="6"/>
        <v>197.04000000000002</v>
      </c>
    </row>
    <row r="216" spans="1:8">
      <c r="A216" s="338">
        <v>25</v>
      </c>
      <c r="B216" s="474" t="s">
        <v>53</v>
      </c>
      <c r="C216" s="475" t="s">
        <v>346</v>
      </c>
      <c r="D216" s="336">
        <v>22.720000000000002</v>
      </c>
      <c r="E216" s="336">
        <v>0</v>
      </c>
      <c r="F216" s="336">
        <v>0</v>
      </c>
      <c r="G216" s="336">
        <v>24.08</v>
      </c>
      <c r="H216" s="468">
        <f t="shared" si="6"/>
        <v>46.8</v>
      </c>
    </row>
    <row r="217" spans="1:8">
      <c r="A217" s="338">
        <v>26</v>
      </c>
      <c r="B217" s="474" t="s">
        <v>57</v>
      </c>
      <c r="C217" s="475" t="s">
        <v>346</v>
      </c>
      <c r="D217" s="336">
        <v>270</v>
      </c>
      <c r="E217" s="336">
        <v>0</v>
      </c>
      <c r="F217" s="336">
        <v>270</v>
      </c>
      <c r="G217" s="336"/>
      <c r="H217" s="468">
        <f t="shared" si="6"/>
        <v>0</v>
      </c>
    </row>
    <row r="218" spans="1:8">
      <c r="A218" s="338"/>
      <c r="B218" s="474"/>
      <c r="C218" s="475"/>
      <c r="D218" s="336"/>
      <c r="E218" s="336"/>
      <c r="F218" s="336"/>
      <c r="G218" s="336"/>
      <c r="H218" s="336"/>
    </row>
    <row r="219" spans="1:8">
      <c r="A219" s="338"/>
      <c r="B219" s="467" t="s">
        <v>348</v>
      </c>
      <c r="C219" s="475"/>
      <c r="D219" s="336"/>
      <c r="E219" s="336"/>
      <c r="F219" s="336"/>
      <c r="G219" s="336"/>
      <c r="H219" s="336"/>
    </row>
    <row r="220" spans="1:8">
      <c r="A220" s="338">
        <v>1</v>
      </c>
      <c r="B220" s="474" t="s">
        <v>65</v>
      </c>
      <c r="C220" s="475" t="s">
        <v>349</v>
      </c>
      <c r="D220" s="468">
        <v>9609</v>
      </c>
      <c r="E220" s="336">
        <v>0</v>
      </c>
      <c r="F220" s="336">
        <v>2981</v>
      </c>
      <c r="G220" s="336"/>
      <c r="H220" s="468">
        <f t="shared" ref="H220:H225" si="7">D220+E220-F220+G220</f>
        <v>6628</v>
      </c>
    </row>
    <row r="221" spans="1:8">
      <c r="A221" s="338">
        <v>2</v>
      </c>
      <c r="B221" s="474" t="s">
        <v>66</v>
      </c>
      <c r="C221" s="475" t="s">
        <v>349</v>
      </c>
      <c r="D221" s="468">
        <v>8149</v>
      </c>
      <c r="E221" s="336">
        <v>0</v>
      </c>
      <c r="F221" s="336">
        <v>1590</v>
      </c>
      <c r="G221" s="336"/>
      <c r="H221" s="468">
        <f t="shared" si="7"/>
        <v>6559</v>
      </c>
    </row>
    <row r="222" spans="1:8">
      <c r="A222" s="338">
        <v>3</v>
      </c>
      <c r="B222" s="474" t="s">
        <v>67</v>
      </c>
      <c r="C222" s="475" t="s">
        <v>349</v>
      </c>
      <c r="D222" s="468">
        <v>911</v>
      </c>
      <c r="E222" s="336">
        <v>0</v>
      </c>
      <c r="F222" s="336">
        <v>321</v>
      </c>
      <c r="G222" s="336"/>
      <c r="H222" s="468">
        <f t="shared" si="7"/>
        <v>590</v>
      </c>
    </row>
    <row r="223" spans="1:8">
      <c r="A223" s="338">
        <v>4</v>
      </c>
      <c r="B223" s="474" t="s">
        <v>68</v>
      </c>
      <c r="C223" s="475" t="s">
        <v>349</v>
      </c>
      <c r="D223" s="468">
        <v>6240</v>
      </c>
      <c r="E223" s="336">
        <v>10000</v>
      </c>
      <c r="F223" s="336">
        <v>12849</v>
      </c>
      <c r="G223" s="336"/>
      <c r="H223" s="468">
        <f t="shared" si="7"/>
        <v>3391</v>
      </c>
    </row>
    <row r="224" spans="1:8">
      <c r="A224" s="338">
        <v>5</v>
      </c>
      <c r="B224" s="474" t="s">
        <v>69</v>
      </c>
      <c r="C224" s="475" t="s">
        <v>349</v>
      </c>
      <c r="D224" s="468">
        <v>1901</v>
      </c>
      <c r="E224" s="336">
        <v>0</v>
      </c>
      <c r="F224" s="336">
        <v>0</v>
      </c>
      <c r="G224" s="336"/>
      <c r="H224" s="468">
        <f t="shared" si="7"/>
        <v>1901</v>
      </c>
    </row>
    <row r="225" spans="1:8">
      <c r="A225" s="338">
        <v>6</v>
      </c>
      <c r="B225" s="474" t="s">
        <v>70</v>
      </c>
      <c r="C225" s="475" t="s">
        <v>349</v>
      </c>
      <c r="D225" s="468">
        <v>1885</v>
      </c>
      <c r="E225" s="336"/>
      <c r="F225" s="336">
        <v>2592</v>
      </c>
      <c r="G225" s="336">
        <v>707</v>
      </c>
      <c r="H225" s="468">
        <f t="shared" si="7"/>
        <v>0</v>
      </c>
    </row>
    <row r="226" spans="1:8">
      <c r="A226" s="338"/>
      <c r="B226" s="474"/>
      <c r="C226" s="475"/>
      <c r="D226" s="336"/>
      <c r="E226" s="336"/>
      <c r="F226" s="336"/>
      <c r="G226" s="336"/>
      <c r="H226" s="336"/>
    </row>
    <row r="227" spans="1:8" ht="13.9" thickBot="1">
      <c r="A227" s="338"/>
      <c r="B227" s="467" t="s">
        <v>72</v>
      </c>
      <c r="C227" s="298"/>
      <c r="D227" s="469">
        <f>SUM(D177:D225)</f>
        <v>573253.87999999989</v>
      </c>
      <c r="E227" s="469">
        <f>SUM(E177:E225)</f>
        <v>1255368</v>
      </c>
      <c r="F227" s="469">
        <f>SUM(F177:F225)</f>
        <v>1346701.4000000001</v>
      </c>
      <c r="G227" s="469">
        <f>SUM(G177:G225)</f>
        <v>-29906.479999999996</v>
      </c>
      <c r="H227" s="469">
        <f>SUM(H177:H225)</f>
        <v>452013.99999999994</v>
      </c>
    </row>
    <row r="228" spans="1:8" ht="13.9" thickTop="1">
      <c r="A228" s="496"/>
      <c r="B228" s="329"/>
      <c r="C228" s="473"/>
      <c r="D228" s="339"/>
      <c r="E228" s="339"/>
      <c r="F228" s="339"/>
      <c r="G228" s="339"/>
      <c r="H228" s="339"/>
    </row>
    <row r="229" spans="1:8">
      <c r="A229" s="496"/>
      <c r="B229" s="472" t="s">
        <v>353</v>
      </c>
      <c r="C229" s="473"/>
      <c r="D229" s="339"/>
      <c r="E229" s="339"/>
      <c r="F229" s="339"/>
      <c r="G229" s="339"/>
      <c r="H229" s="339"/>
    </row>
    <row r="230" spans="1:8">
      <c r="A230" s="496"/>
      <c r="B230" s="474" t="s">
        <v>9</v>
      </c>
      <c r="C230" s="475" t="s">
        <v>346</v>
      </c>
      <c r="D230" s="336">
        <v>0.5</v>
      </c>
      <c r="E230" s="339"/>
      <c r="F230" s="339"/>
      <c r="G230" s="339"/>
      <c r="H230" s="339"/>
    </row>
    <row r="231" spans="1:8">
      <c r="A231" s="496"/>
      <c r="B231" s="474" t="s">
        <v>12</v>
      </c>
      <c r="C231" s="475" t="s">
        <v>346</v>
      </c>
      <c r="D231" s="336">
        <v>280</v>
      </c>
      <c r="E231" s="339"/>
      <c r="F231" s="339"/>
      <c r="G231" s="339"/>
      <c r="H231" s="339"/>
    </row>
    <row r="232" spans="1:8">
      <c r="A232" s="496"/>
      <c r="B232" s="474" t="s">
        <v>42</v>
      </c>
      <c r="C232" s="475" t="s">
        <v>346</v>
      </c>
      <c r="D232" s="336">
        <v>67.3</v>
      </c>
      <c r="E232" s="339"/>
      <c r="F232" s="339"/>
      <c r="G232" s="339"/>
      <c r="H232" s="339"/>
    </row>
    <row r="233" spans="1:8">
      <c r="A233" s="496"/>
      <c r="B233" s="474" t="s">
        <v>53</v>
      </c>
      <c r="C233" s="475" t="s">
        <v>346</v>
      </c>
      <c r="D233" s="336">
        <v>24.08</v>
      </c>
      <c r="E233" s="339"/>
      <c r="F233" s="339"/>
      <c r="G233" s="339"/>
      <c r="H233" s="339"/>
    </row>
    <row r="234" spans="1:8">
      <c r="A234" s="496"/>
      <c r="B234" s="474" t="s">
        <v>70</v>
      </c>
      <c r="C234" s="475" t="s">
        <v>349</v>
      </c>
      <c r="D234" s="336">
        <v>707</v>
      </c>
      <c r="E234" s="339"/>
      <c r="F234" s="339"/>
      <c r="G234" s="339"/>
      <c r="H234" s="339"/>
    </row>
    <row r="235" spans="1:8">
      <c r="A235" s="496"/>
      <c r="B235" s="329" t="s">
        <v>354</v>
      </c>
      <c r="C235" s="473"/>
      <c r="D235" s="339"/>
      <c r="E235" s="339"/>
      <c r="F235" s="339"/>
      <c r="G235" s="339"/>
      <c r="H235" s="339"/>
    </row>
    <row r="236" spans="1:8">
      <c r="A236" s="496"/>
      <c r="B236" s="329"/>
      <c r="C236" s="473"/>
      <c r="D236" s="339"/>
      <c r="E236" s="339"/>
      <c r="F236" s="339"/>
      <c r="G236" s="339"/>
      <c r="H236" s="339"/>
    </row>
    <row r="237" spans="1:8">
      <c r="A237" s="496"/>
      <c r="B237" s="329"/>
      <c r="C237" s="473"/>
      <c r="D237" s="339"/>
      <c r="E237" s="339"/>
      <c r="F237" s="339"/>
      <c r="G237" s="339"/>
      <c r="H237" s="339"/>
    </row>
    <row r="238" spans="1:8">
      <c r="A238" s="496"/>
      <c r="B238" s="472" t="s">
        <v>357</v>
      </c>
      <c r="C238" s="473"/>
      <c r="D238" s="339"/>
      <c r="E238" s="339"/>
      <c r="F238" s="339"/>
      <c r="G238" s="339"/>
      <c r="H238" s="339"/>
    </row>
    <row r="239" spans="1:8">
      <c r="A239" s="496"/>
      <c r="B239" s="474" t="s">
        <v>7</v>
      </c>
      <c r="C239" s="475" t="s">
        <v>346</v>
      </c>
      <c r="D239" s="336">
        <v>-30000</v>
      </c>
      <c r="E239" s="339"/>
      <c r="F239" s="339"/>
      <c r="G239" s="339"/>
      <c r="H239" s="339"/>
    </row>
    <row r="240" spans="1:8">
      <c r="A240" s="496"/>
      <c r="B240" s="474" t="s">
        <v>8</v>
      </c>
      <c r="C240" s="475" t="s">
        <v>346</v>
      </c>
      <c r="D240" s="336">
        <v>-670</v>
      </c>
      <c r="E240" s="339"/>
      <c r="F240" s="339"/>
      <c r="G240" s="339"/>
      <c r="H240" s="339"/>
    </row>
    <row r="241" spans="2:8">
      <c r="B241" s="474" t="s">
        <v>19</v>
      </c>
      <c r="C241" s="475" t="s">
        <v>346</v>
      </c>
      <c r="D241" s="336">
        <v>-310.60000000000002</v>
      </c>
      <c r="E241" s="339"/>
      <c r="F241" s="339"/>
      <c r="G241" s="339"/>
      <c r="H241" s="339"/>
    </row>
    <row r="242" spans="2:8">
      <c r="B242" s="474" t="s">
        <v>52</v>
      </c>
      <c r="C242" s="475" t="s">
        <v>346</v>
      </c>
      <c r="D242" s="336">
        <v>-4.76</v>
      </c>
      <c r="E242" s="339"/>
      <c r="F242" s="339"/>
      <c r="G242" s="339"/>
      <c r="H242" s="339"/>
    </row>
    <row r="243" spans="2:8">
      <c r="B243" s="329" t="s">
        <v>354</v>
      </c>
      <c r="C243" s="473"/>
      <c r="D243" s="339"/>
      <c r="E243" s="339"/>
      <c r="F243" s="339"/>
      <c r="G243" s="339"/>
      <c r="H243" s="339"/>
    </row>
    <row r="244" spans="2:8">
      <c r="B244" s="329"/>
      <c r="C244" s="473"/>
      <c r="D244" s="339"/>
      <c r="E244" s="339"/>
      <c r="F244" s="339"/>
      <c r="G244" s="339"/>
      <c r="H244" s="339"/>
    </row>
    <row r="245" spans="2:8">
      <c r="B245" s="329"/>
      <c r="C245" s="473"/>
      <c r="D245" s="339"/>
      <c r="E245" s="339"/>
      <c r="F245" s="339"/>
      <c r="G245" s="339"/>
      <c r="H245" s="339"/>
    </row>
    <row r="246" spans="2:8">
      <c r="B246" s="329"/>
      <c r="C246" s="473"/>
      <c r="D246" s="339"/>
      <c r="E246" s="339"/>
      <c r="F246" s="339"/>
      <c r="G246" s="339"/>
      <c r="H246" s="339"/>
    </row>
    <row r="247" spans="2:8">
      <c r="B247" s="329"/>
      <c r="C247" s="473"/>
      <c r="D247" s="339"/>
      <c r="E247" s="339"/>
      <c r="F247" s="339"/>
      <c r="G247" s="339"/>
      <c r="H247" s="339"/>
    </row>
    <row r="248" spans="2:8">
      <c r="B248" s="329"/>
      <c r="C248" s="473"/>
      <c r="D248" s="339"/>
      <c r="E248" s="339"/>
      <c r="F248" s="339"/>
      <c r="G248" s="339"/>
      <c r="H248" s="339"/>
    </row>
    <row r="249" spans="2:8">
      <c r="B249" s="329"/>
      <c r="C249" s="473"/>
      <c r="D249" s="339"/>
      <c r="E249" s="339"/>
      <c r="F249" s="339"/>
      <c r="G249" s="339"/>
      <c r="H249" s="339"/>
    </row>
    <row r="250" spans="2:8">
      <c r="B250" s="329" t="s">
        <v>358</v>
      </c>
      <c r="C250" s="473"/>
      <c r="D250" s="339"/>
      <c r="E250" s="339"/>
      <c r="F250" s="339"/>
      <c r="G250" s="339" t="s">
        <v>359</v>
      </c>
      <c r="H250" s="339"/>
    </row>
  </sheetData>
  <autoFilter ref="A2:AC93" xr:uid="{00000000-0009-0000-0000-000005000000}"/>
  <mergeCells count="2">
    <mergeCell ref="J1:K1"/>
    <mergeCell ref="Q1:U1"/>
  </mergeCells>
  <printOptions horizontalCentered="1" verticalCentered="1"/>
  <pageMargins left="0.70866141732283472" right="0.19685039370078741" top="7.874015748031496E-2" bottom="7.874015748031496E-2" header="0" footer="0"/>
  <pageSetup paperSize="9" scale="2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C532"/>
  <sheetViews>
    <sheetView topLeftCell="A270" zoomScaleNormal="100" workbookViewId="0">
      <selection activeCell="G267" activeCellId="1" sqref="E267 G267"/>
    </sheetView>
  </sheetViews>
  <sheetFormatPr defaultColWidth="9.28515625" defaultRowHeight="13.15"/>
  <cols>
    <col min="1" max="1" width="5.7109375" style="305" bestFit="1" customWidth="1"/>
    <col min="2" max="2" width="38.7109375" style="306" customWidth="1"/>
    <col min="3" max="3" width="5.7109375" style="331" customWidth="1"/>
    <col min="4" max="4" width="12.28515625" style="307" bestFit="1" customWidth="1"/>
    <col min="5" max="5" width="13.42578125" style="307" bestFit="1" customWidth="1"/>
    <col min="6" max="6" width="13.85546875" style="307" customWidth="1"/>
    <col min="7" max="7" width="14.7109375" style="307" bestFit="1" customWidth="1"/>
    <col min="8" max="8" width="17" style="307" customWidth="1"/>
    <col min="9" max="9" width="13.28515625" style="307" bestFit="1" customWidth="1"/>
    <col min="10" max="11" width="13.7109375" style="307" bestFit="1" customWidth="1"/>
    <col min="12" max="12" width="41.7109375" style="307" bestFit="1" customWidth="1"/>
    <col min="13" max="13" width="1.42578125" style="307" bestFit="1" customWidth="1"/>
    <col min="14" max="14" width="14" style="307" bestFit="1" customWidth="1"/>
    <col min="15" max="15" width="13" style="307" bestFit="1" customWidth="1"/>
    <col min="16" max="16" width="3.42578125" style="307" customWidth="1"/>
    <col min="17" max="17" width="15.7109375" style="307" bestFit="1" customWidth="1"/>
    <col min="18" max="18" width="11.28515625" style="317" bestFit="1" customWidth="1"/>
    <col min="19" max="19" width="45.28515625" style="307" bestFit="1" customWidth="1"/>
    <col min="20" max="20" width="14.7109375" style="309" bestFit="1" customWidth="1"/>
    <col min="21" max="21" width="13.7109375" style="307" bestFit="1" customWidth="1"/>
    <col min="22" max="22" width="9.28515625" style="306"/>
    <col min="23" max="23" width="34.28515625" style="306" bestFit="1" customWidth="1"/>
    <col min="24" max="25" width="9.28515625" style="306"/>
    <col min="26" max="27" width="9.42578125" style="306" bestFit="1" customWidth="1"/>
    <col min="28" max="28" width="9.28515625" style="306"/>
    <col min="29" max="29" width="10.28515625" style="306" bestFit="1" customWidth="1"/>
    <col min="30" max="16384" width="9.28515625" style="306"/>
  </cols>
  <sheetData>
    <row r="1" spans="1:29">
      <c r="A1" s="496"/>
      <c r="B1" s="291" t="str">
        <f>SUMMARY!B92</f>
        <v>HARUMI Stock - MAR 2026</v>
      </c>
      <c r="C1" s="337"/>
      <c r="D1" s="344"/>
      <c r="E1" s="344"/>
      <c r="F1" s="344"/>
      <c r="G1" s="344"/>
      <c r="H1" s="344"/>
      <c r="I1" s="497"/>
      <c r="J1" s="852"/>
      <c r="K1" s="852"/>
      <c r="L1" s="498"/>
      <c r="M1" s="498"/>
      <c r="N1" s="498"/>
      <c r="O1" s="339"/>
      <c r="P1" s="339"/>
      <c r="Q1" s="853" t="s">
        <v>330</v>
      </c>
      <c r="R1" s="853"/>
      <c r="S1" s="853"/>
      <c r="T1" s="853"/>
      <c r="U1" s="853"/>
      <c r="V1" s="329"/>
      <c r="W1" s="329"/>
      <c r="X1" s="329"/>
      <c r="Y1" s="329"/>
      <c r="Z1" s="329"/>
      <c r="AA1" s="329"/>
      <c r="AB1" s="329"/>
      <c r="AC1" s="329"/>
    </row>
    <row r="2" spans="1:29" s="305" customFormat="1" ht="26.45">
      <c r="A2" s="311" t="s">
        <v>331</v>
      </c>
      <c r="B2" s="312" t="s">
        <v>332</v>
      </c>
      <c r="C2" s="313" t="s">
        <v>333</v>
      </c>
      <c r="D2" s="313" t="s">
        <v>334</v>
      </c>
      <c r="E2" s="313" t="s">
        <v>335</v>
      </c>
      <c r="F2" s="313" t="s">
        <v>166</v>
      </c>
      <c r="G2" s="313" t="s">
        <v>168</v>
      </c>
      <c r="H2" s="313" t="s">
        <v>336</v>
      </c>
      <c r="I2" s="293" t="s">
        <v>337</v>
      </c>
      <c r="J2" s="294" t="s">
        <v>338</v>
      </c>
      <c r="K2" s="313" t="s">
        <v>339</v>
      </c>
      <c r="L2" s="313" t="s">
        <v>170</v>
      </c>
      <c r="M2" s="314"/>
      <c r="N2" s="294" t="s">
        <v>340</v>
      </c>
      <c r="O2" s="313" t="s">
        <v>330</v>
      </c>
      <c r="P2" s="315"/>
      <c r="Q2" s="297" t="s">
        <v>341</v>
      </c>
      <c r="R2" s="304" t="s">
        <v>164</v>
      </c>
      <c r="S2" s="298" t="s">
        <v>342</v>
      </c>
      <c r="T2" s="316" t="s">
        <v>343</v>
      </c>
      <c r="U2" s="298" t="s">
        <v>344</v>
      </c>
      <c r="V2" s="496"/>
      <c r="W2" s="496"/>
      <c r="X2" s="496"/>
      <c r="Y2" s="496"/>
      <c r="Z2" s="496"/>
      <c r="AA2" s="496"/>
      <c r="AB2" s="496"/>
      <c r="AC2" s="496"/>
    </row>
    <row r="3" spans="1:29">
      <c r="A3" s="311"/>
      <c r="B3" s="290" t="s">
        <v>345</v>
      </c>
      <c r="C3" s="313"/>
      <c r="D3" s="292"/>
      <c r="E3" s="292"/>
      <c r="F3" s="292"/>
      <c r="G3" s="292"/>
      <c r="H3" s="292"/>
      <c r="I3" s="293"/>
      <c r="J3" s="294"/>
      <c r="K3" s="292"/>
      <c r="L3" s="292"/>
      <c r="M3" s="295"/>
      <c r="N3" s="294"/>
      <c r="O3" s="292"/>
      <c r="P3" s="296"/>
      <c r="Q3" s="297"/>
      <c r="R3" s="304"/>
      <c r="S3" s="298"/>
      <c r="T3" s="308"/>
      <c r="U3" s="298"/>
      <c r="V3" s="329"/>
      <c r="W3" s="329"/>
      <c r="X3" s="329"/>
      <c r="Y3" s="329"/>
      <c r="Z3" s="329"/>
      <c r="AA3" s="329"/>
      <c r="AB3" s="329"/>
      <c r="AC3" s="329"/>
    </row>
    <row r="4" spans="1:29">
      <c r="A4" s="338"/>
      <c r="B4" s="413" t="str">
        <f>SUMMARY!B3</f>
        <v>MAIZE/CORN</v>
      </c>
      <c r="C4" s="338" t="s">
        <v>346</v>
      </c>
      <c r="D4" s="336">
        <f>SUMMARY!B18</f>
        <v>91614.800000000017</v>
      </c>
      <c r="E4" s="336">
        <f>SUMMARY!B19</f>
        <v>822130</v>
      </c>
      <c r="F4" s="336">
        <f>SUMMARY!B20</f>
        <v>875753</v>
      </c>
      <c r="G4" s="336">
        <f>SUMMARY!B21</f>
        <v>-10151.800000000005</v>
      </c>
      <c r="H4" s="336">
        <f>SUMMARY!B22</f>
        <v>27839.999999999964</v>
      </c>
      <c r="I4" s="336"/>
      <c r="J4" s="336"/>
      <c r="K4" s="336"/>
      <c r="L4" s="336"/>
      <c r="M4" s="339"/>
      <c r="N4" s="336"/>
      <c r="O4" s="413">
        <f>N4-H4</f>
        <v>-27839.999999999964</v>
      </c>
      <c r="P4" s="339"/>
      <c r="Q4" s="336"/>
      <c r="R4" s="499"/>
      <c r="S4" s="336"/>
      <c r="T4" s="500"/>
      <c r="U4" s="336"/>
      <c r="V4" s="329"/>
      <c r="W4" s="501"/>
      <c r="X4" s="329"/>
      <c r="Y4" s="502"/>
      <c r="Z4" s="502"/>
      <c r="AA4" s="502"/>
      <c r="AB4" s="502"/>
      <c r="AC4" s="502"/>
    </row>
    <row r="5" spans="1:29">
      <c r="A5" s="338"/>
      <c r="B5" s="413" t="str">
        <f>SUMMARY!C3</f>
        <v>SOYBEAN MEAL (ARG)</v>
      </c>
      <c r="C5" s="338" t="s">
        <v>346</v>
      </c>
      <c r="D5" s="336">
        <f>SUMMARY!C18</f>
        <v>65096.600000000035</v>
      </c>
      <c r="E5" s="336">
        <f>SUMMARY!C19</f>
        <v>284831.8</v>
      </c>
      <c r="F5" s="336">
        <f>SUMMARY!C20</f>
        <v>350598</v>
      </c>
      <c r="G5" s="336">
        <f>SUMMARY!C21</f>
        <v>-0.39999999999417923</v>
      </c>
      <c r="H5" s="336">
        <f>SUMMARY!C22</f>
        <v>-669.99999999991633</v>
      </c>
      <c r="I5" s="336"/>
      <c r="J5" s="336"/>
      <c r="K5" s="336"/>
      <c r="L5" s="336"/>
      <c r="M5" s="339"/>
      <c r="N5" s="336"/>
      <c r="O5" s="413">
        <f t="shared" ref="O5:O58" si="0">N5-H5</f>
        <v>669.99999999991633</v>
      </c>
      <c r="P5" s="339"/>
      <c r="Q5" s="336"/>
      <c r="R5" s="499"/>
      <c r="S5" s="336"/>
      <c r="T5" s="500"/>
      <c r="U5" s="336"/>
      <c r="V5" s="329"/>
      <c r="W5" s="501"/>
      <c r="X5" s="329"/>
      <c r="Y5" s="502"/>
      <c r="Z5" s="502"/>
      <c r="AA5" s="502"/>
      <c r="AB5" s="502"/>
      <c r="AC5" s="502"/>
    </row>
    <row r="6" spans="1:29">
      <c r="A6" s="338"/>
      <c r="B6" s="413" t="str">
        <f>SUMMARY!D3</f>
        <v>SOYBEAN FULL FAT</v>
      </c>
      <c r="C6" s="338" t="s">
        <v>346</v>
      </c>
      <c r="D6" s="336">
        <f>SUMMARY!D18</f>
        <v>48372.799999999974</v>
      </c>
      <c r="E6" s="336">
        <f>SUMMARY!D19</f>
        <v>80280</v>
      </c>
      <c r="F6" s="336">
        <f>SUMMARY!D20</f>
        <v>108618</v>
      </c>
      <c r="G6" s="336">
        <f>SUMMARY!D21</f>
        <v>-16.400000000003558</v>
      </c>
      <c r="H6" s="336">
        <f>SUMMARY!D22</f>
        <v>20018.399999999969</v>
      </c>
      <c r="I6" s="336"/>
      <c r="J6" s="336"/>
      <c r="K6" s="336"/>
      <c r="L6" s="336"/>
      <c r="M6" s="339"/>
      <c r="N6" s="336"/>
      <c r="O6" s="413">
        <f t="shared" si="0"/>
        <v>-20018.399999999969</v>
      </c>
      <c r="P6" s="339"/>
      <c r="Q6" s="336"/>
      <c r="R6" s="499"/>
      <c r="S6" s="336"/>
      <c r="T6" s="500"/>
      <c r="U6" s="336"/>
      <c r="V6" s="329"/>
      <c r="W6" s="501"/>
      <c r="X6" s="329"/>
      <c r="Y6" s="502"/>
      <c r="Z6" s="502"/>
      <c r="AA6" s="502"/>
      <c r="AB6" s="502"/>
      <c r="AC6" s="502"/>
    </row>
    <row r="7" spans="1:29">
      <c r="A7" s="338"/>
      <c r="B7" s="413" t="str">
        <f>SUMMARY!E3</f>
        <v>WHEAT POLLARD</v>
      </c>
      <c r="C7" s="338" t="s">
        <v>346</v>
      </c>
      <c r="D7" s="336">
        <f>SUMMARY!E18</f>
        <v>34138.200000000019</v>
      </c>
      <c r="E7" s="336">
        <f>SUMMARY!E19</f>
        <v>30490</v>
      </c>
      <c r="F7" s="336">
        <f>SUMMARY!E20</f>
        <v>38304</v>
      </c>
      <c r="G7" s="336">
        <f>SUMMARY!E21</f>
        <v>-31.499999999999659</v>
      </c>
      <c r="H7" s="336">
        <f>SUMMARY!E22</f>
        <v>26292.700000000019</v>
      </c>
      <c r="I7" s="336"/>
      <c r="J7" s="336"/>
      <c r="K7" s="336"/>
      <c r="L7" s="336"/>
      <c r="M7" s="339"/>
      <c r="N7" s="336"/>
      <c r="O7" s="413">
        <f t="shared" si="0"/>
        <v>-26292.700000000019</v>
      </c>
      <c r="P7" s="339"/>
      <c r="Q7" s="503"/>
      <c r="R7" s="504"/>
      <c r="S7" s="505"/>
      <c r="T7" s="505"/>
      <c r="U7" s="336"/>
      <c r="V7" s="329"/>
      <c r="W7" s="501"/>
      <c r="X7" s="329"/>
      <c r="Y7" s="502"/>
      <c r="Z7" s="502"/>
      <c r="AA7" s="502"/>
      <c r="AB7" s="502"/>
      <c r="AC7" s="502"/>
    </row>
    <row r="8" spans="1:29">
      <c r="A8" s="338"/>
      <c r="B8" s="413" t="str">
        <f>SUMMARY!F3</f>
        <v>WHEAT</v>
      </c>
      <c r="C8" s="338" t="s">
        <v>346</v>
      </c>
      <c r="D8" s="336">
        <f>SUMMARY!F18</f>
        <v>0</v>
      </c>
      <c r="E8" s="336">
        <f>SUMMARY!F19</f>
        <v>0</v>
      </c>
      <c r="F8" s="336">
        <f>SUMMARY!F20</f>
        <v>0</v>
      </c>
      <c r="G8" s="336">
        <f>SUMMARY!F21</f>
        <v>0</v>
      </c>
      <c r="H8" s="336">
        <f>SUMMARY!F22</f>
        <v>0</v>
      </c>
      <c r="I8" s="336"/>
      <c r="J8" s="336"/>
      <c r="K8" s="336"/>
      <c r="L8" s="336"/>
      <c r="M8" s="339"/>
      <c r="N8" s="336"/>
      <c r="O8" s="413">
        <f t="shared" si="0"/>
        <v>0</v>
      </c>
      <c r="P8" s="339"/>
      <c r="Q8" s="336"/>
      <c r="R8" s="499"/>
      <c r="S8" s="336"/>
      <c r="T8" s="500"/>
      <c r="U8" s="336"/>
      <c r="V8" s="329"/>
      <c r="W8" s="501"/>
      <c r="X8" s="329"/>
      <c r="Y8" s="502"/>
      <c r="Z8" s="502"/>
      <c r="AA8" s="502"/>
      <c r="AB8" s="502"/>
      <c r="AC8" s="502"/>
    </row>
    <row r="9" spans="1:29">
      <c r="A9" s="338"/>
      <c r="B9" s="413" t="str">
        <f>SUMMARY!G3</f>
        <v>MEAT AND BONE MEAL</v>
      </c>
      <c r="C9" s="338" t="s">
        <v>346</v>
      </c>
      <c r="D9" s="336">
        <f>SUMMARY!G18</f>
        <v>47801.999999999985</v>
      </c>
      <c r="E9" s="336">
        <f>SUMMARY!G19</f>
        <v>0</v>
      </c>
      <c r="F9" s="336">
        <f>SUMMARY!G20</f>
        <v>10569</v>
      </c>
      <c r="G9" s="336">
        <f>SUMMARY!G21</f>
        <v>-19846.3</v>
      </c>
      <c r="H9" s="336">
        <f>SUMMARY!G22</f>
        <v>17386.69999999999</v>
      </c>
      <c r="I9" s="336"/>
      <c r="J9" s="336"/>
      <c r="K9" s="336"/>
      <c r="L9" s="336"/>
      <c r="M9" s="339"/>
      <c r="N9" s="336"/>
      <c r="O9" s="413">
        <f t="shared" si="0"/>
        <v>-17386.69999999999</v>
      </c>
      <c r="P9" s="339"/>
      <c r="Q9" s="336"/>
      <c r="R9" s="499"/>
      <c r="S9" s="336"/>
      <c r="T9" s="500"/>
      <c r="U9" s="336"/>
      <c r="V9" s="329"/>
      <c r="W9" s="501"/>
      <c r="X9" s="329"/>
      <c r="Y9" s="502"/>
      <c r="Z9" s="502"/>
      <c r="AA9" s="502"/>
      <c r="AB9" s="502"/>
      <c r="AC9" s="502"/>
    </row>
    <row r="10" spans="1:29">
      <c r="A10" s="338"/>
      <c r="B10" s="413" t="str">
        <f>SUMMARY!H3</f>
        <v>CORN GLUTEN MEAL</v>
      </c>
      <c r="C10" s="338" t="s">
        <v>346</v>
      </c>
      <c r="D10" s="336">
        <f>SUMMARY!H18</f>
        <v>7501.8000000000047</v>
      </c>
      <c r="E10" s="336">
        <f>SUMMARY!H19</f>
        <v>44369.7</v>
      </c>
      <c r="F10" s="336">
        <f>SUMMARY!H20</f>
        <v>51856</v>
      </c>
      <c r="G10" s="336">
        <f>SUMMARY!H21</f>
        <v>-15.500000000000625</v>
      </c>
      <c r="H10" s="336">
        <f>SUMMARY!H22</f>
        <v>1.8189894035458565E-12</v>
      </c>
      <c r="I10" s="336"/>
      <c r="J10" s="336"/>
      <c r="K10" s="336"/>
      <c r="L10" s="336"/>
      <c r="M10" s="339"/>
      <c r="N10" s="336"/>
      <c r="O10" s="413">
        <f t="shared" si="0"/>
        <v>-1.8189894035458565E-12</v>
      </c>
      <c r="P10" s="339"/>
      <c r="Q10" s="336"/>
      <c r="R10" s="499"/>
      <c r="S10" s="336"/>
      <c r="T10" s="500"/>
      <c r="U10" s="336"/>
      <c r="V10" s="329"/>
      <c r="W10" s="501"/>
      <c r="X10" s="329"/>
      <c r="Y10" s="502"/>
      <c r="Z10" s="502"/>
      <c r="AA10" s="502"/>
      <c r="AB10" s="502"/>
      <c r="AC10" s="502"/>
    </row>
    <row r="11" spans="1:29">
      <c r="A11" s="338"/>
      <c r="B11" s="413" t="str">
        <f>SUMMARY!I3</f>
        <v>MEGAFAT (HARUMI)</v>
      </c>
      <c r="C11" s="338" t="s">
        <v>346</v>
      </c>
      <c r="D11" s="336">
        <f>SUMMARY!I18</f>
        <v>0</v>
      </c>
      <c r="E11" s="336">
        <f>SUMMARY!I19</f>
        <v>33929.599999999999</v>
      </c>
      <c r="F11" s="336">
        <f>SUMMARY!I20</f>
        <v>33930</v>
      </c>
      <c r="G11" s="336">
        <f>SUMMARY!I21</f>
        <v>0.3999999999996362</v>
      </c>
      <c r="H11" s="336">
        <f>SUMMARY!I22</f>
        <v>0</v>
      </c>
      <c r="I11" s="336"/>
      <c r="J11" s="300"/>
      <c r="K11" s="300"/>
      <c r="L11" s="336"/>
      <c r="M11" s="339"/>
      <c r="N11" s="336"/>
      <c r="O11" s="413">
        <f t="shared" si="0"/>
        <v>0</v>
      </c>
      <c r="P11" s="339"/>
      <c r="Q11" s="336"/>
      <c r="R11" s="499"/>
      <c r="S11" s="336"/>
      <c r="T11" s="500"/>
      <c r="U11" s="336"/>
      <c r="V11" s="329"/>
      <c r="W11" s="501"/>
      <c r="X11" s="329"/>
      <c r="Y11" s="502"/>
      <c r="Z11" s="502"/>
      <c r="AA11" s="502"/>
      <c r="AB11" s="502"/>
      <c r="AC11" s="502"/>
    </row>
    <row r="12" spans="1:29">
      <c r="A12" s="338"/>
      <c r="B12" s="413" t="str">
        <f>SUMMARY!J3</f>
        <v>DCP 18%</v>
      </c>
      <c r="C12" s="338" t="s">
        <v>346</v>
      </c>
      <c r="D12" s="336">
        <f>SUMMARY!J18</f>
        <v>8.0000000000001137</v>
      </c>
      <c r="E12" s="336">
        <f>SUMMARY!J19</f>
        <v>18000</v>
      </c>
      <c r="F12" s="336">
        <f>SUMMARY!J20</f>
        <v>6718.2</v>
      </c>
      <c r="G12" s="336">
        <f>SUMMARY!J21</f>
        <v>523.10000000000048</v>
      </c>
      <c r="H12" s="336">
        <f>SUMMARY!J22</f>
        <v>11812.9</v>
      </c>
      <c r="I12" s="336"/>
      <c r="J12" s="301"/>
      <c r="K12" s="336"/>
      <c r="L12" s="336"/>
      <c r="M12" s="339"/>
      <c r="N12" s="336"/>
      <c r="O12" s="413">
        <f t="shared" si="0"/>
        <v>-11812.9</v>
      </c>
      <c r="P12" s="339"/>
      <c r="Q12" s="336"/>
      <c r="R12" s="499"/>
      <c r="S12" s="336"/>
      <c r="T12" s="500"/>
      <c r="U12" s="336"/>
      <c r="V12" s="329"/>
      <c r="W12" s="501"/>
      <c r="X12" s="329"/>
      <c r="Y12" s="502"/>
      <c r="Z12" s="502"/>
      <c r="AA12" s="502"/>
      <c r="AB12" s="502"/>
      <c r="AC12" s="502"/>
    </row>
    <row r="13" spans="1:29">
      <c r="A13" s="338"/>
      <c r="B13" s="413" t="str">
        <f>SUMMARY!K3</f>
        <v>LIMESTONE POWDER (HARUMI)</v>
      </c>
      <c r="C13" s="338" t="s">
        <v>346</v>
      </c>
      <c r="D13" s="336">
        <f>SUMMARY!K18</f>
        <v>0</v>
      </c>
      <c r="E13" s="336">
        <f>SUMMARY!K19</f>
        <v>9326.7999999999993</v>
      </c>
      <c r="F13" s="336">
        <f>SUMMARY!K20</f>
        <v>11948.8</v>
      </c>
      <c r="G13" s="336">
        <f>SUMMARY!K21</f>
        <v>2622.0000000000014</v>
      </c>
      <c r="H13" s="336">
        <f>SUMMARY!K22</f>
        <v>0</v>
      </c>
      <c r="I13" s="336"/>
      <c r="J13" s="301"/>
      <c r="K13" s="336"/>
      <c r="L13" s="336"/>
      <c r="M13" s="339"/>
      <c r="N13" s="336"/>
      <c r="O13" s="413">
        <f t="shared" si="0"/>
        <v>0</v>
      </c>
      <c r="P13" s="339"/>
      <c r="Q13" s="336"/>
      <c r="R13" s="499"/>
      <c r="S13" s="336"/>
      <c r="T13" s="500"/>
      <c r="U13" s="336"/>
      <c r="V13" s="329"/>
      <c r="W13" s="501"/>
      <c r="X13" s="329"/>
      <c r="Y13" s="502"/>
      <c r="Z13" s="502"/>
      <c r="AA13" s="502"/>
      <c r="AB13" s="502"/>
      <c r="AC13" s="502"/>
    </row>
    <row r="14" spans="1:29">
      <c r="A14" s="338"/>
      <c r="B14" s="413" t="str">
        <f>SUMMARY!L3</f>
        <v>CHOLINE CHLORIDE 60%</v>
      </c>
      <c r="C14" s="338" t="s">
        <v>346</v>
      </c>
      <c r="D14" s="336">
        <f>SUMMARY!L18</f>
        <v>0</v>
      </c>
      <c r="E14" s="336">
        <f>SUMMARY!L19</f>
        <v>0</v>
      </c>
      <c r="F14" s="336">
        <f>SUMMARY!L20</f>
        <v>0</v>
      </c>
      <c r="G14" s="336">
        <f>SUMMARY!L21</f>
        <v>0</v>
      </c>
      <c r="H14" s="336">
        <f>SUMMARY!L22</f>
        <v>0</v>
      </c>
      <c r="I14" s="336"/>
      <c r="J14" s="301"/>
      <c r="K14" s="336"/>
      <c r="L14" s="336"/>
      <c r="M14" s="339"/>
      <c r="N14" s="336"/>
      <c r="O14" s="413">
        <f t="shared" si="0"/>
        <v>0</v>
      </c>
      <c r="P14" s="339"/>
      <c r="Q14" s="336"/>
      <c r="R14" s="499"/>
      <c r="S14" s="336"/>
      <c r="T14" s="500"/>
      <c r="U14" s="336"/>
      <c r="V14" s="329"/>
      <c r="W14" s="501"/>
      <c r="X14" s="329"/>
      <c r="Y14" s="502"/>
      <c r="Z14" s="502"/>
      <c r="AA14" s="502"/>
      <c r="AB14" s="502"/>
      <c r="AC14" s="502"/>
    </row>
    <row r="15" spans="1:29">
      <c r="A15" s="338"/>
      <c r="B15" s="413" t="str">
        <f>SUMMARY!M3</f>
        <v>INDUSTRY FLOUR</v>
      </c>
      <c r="C15" s="338" t="s">
        <v>346</v>
      </c>
      <c r="D15" s="336">
        <f>SUMMARY!M18</f>
        <v>55052.4</v>
      </c>
      <c r="E15" s="336">
        <f>SUMMARY!M19</f>
        <v>35280</v>
      </c>
      <c r="F15" s="336">
        <f>SUMMARY!M20</f>
        <v>58460</v>
      </c>
      <c r="G15" s="336">
        <f>SUMMARY!M21</f>
        <v>-2.7000000000026603</v>
      </c>
      <c r="H15" s="336">
        <f>SUMMARY!M22</f>
        <v>31869.7</v>
      </c>
      <c r="I15" s="336"/>
      <c r="J15" s="300"/>
      <c r="K15" s="336"/>
      <c r="L15" s="336"/>
      <c r="M15" s="339"/>
      <c r="N15" s="336"/>
      <c r="O15" s="413">
        <f t="shared" si="0"/>
        <v>-31869.7</v>
      </c>
      <c r="P15" s="339"/>
      <c r="Q15" s="336"/>
      <c r="R15" s="499"/>
      <c r="S15" s="336"/>
      <c r="T15" s="500"/>
      <c r="U15" s="336"/>
      <c r="V15" s="329"/>
      <c r="W15" s="501"/>
      <c r="X15" s="329"/>
      <c r="Y15" s="502"/>
      <c r="Z15" s="502"/>
      <c r="AA15" s="502"/>
      <c r="AB15" s="502"/>
      <c r="AC15" s="502"/>
    </row>
    <row r="16" spans="1:29">
      <c r="A16" s="338"/>
      <c r="B16" s="413" t="str">
        <f>SUMMARY!N3</f>
        <v>RICE BRAN</v>
      </c>
      <c r="C16" s="338" t="s">
        <v>346</v>
      </c>
      <c r="D16" s="336">
        <f>SUMMARY!N18</f>
        <v>-2.8421709430404007E-12</v>
      </c>
      <c r="E16" s="336">
        <f>SUMMARY!N19</f>
        <v>45900</v>
      </c>
      <c r="F16" s="336">
        <f>SUMMARY!N20</f>
        <v>39280</v>
      </c>
      <c r="G16" s="336">
        <f>SUMMARY!N21</f>
        <v>38.999999999998657</v>
      </c>
      <c r="H16" s="336">
        <f>SUMMARY!N22</f>
        <v>6658.9999999999945</v>
      </c>
      <c r="I16" s="336"/>
      <c r="J16" s="300"/>
      <c r="K16" s="336"/>
      <c r="L16" s="336"/>
      <c r="M16" s="339"/>
      <c r="N16" s="336"/>
      <c r="O16" s="413">
        <f t="shared" si="0"/>
        <v>-6658.9999999999945</v>
      </c>
      <c r="P16" s="339"/>
      <c r="Q16" s="336"/>
      <c r="R16" s="499"/>
      <c r="S16" s="336"/>
      <c r="T16" s="500"/>
      <c r="U16" s="336"/>
      <c r="V16" s="329"/>
      <c r="W16" s="501"/>
      <c r="X16" s="329"/>
      <c r="Y16" s="502"/>
      <c r="Z16" s="502"/>
      <c r="AA16" s="502"/>
      <c r="AB16" s="502"/>
      <c r="AC16" s="502"/>
    </row>
    <row r="17" spans="1:29">
      <c r="A17" s="338"/>
      <c r="B17" s="413" t="str">
        <f>SUMMARY!O3</f>
        <v>EP 200</v>
      </c>
      <c r="C17" s="338" t="s">
        <v>346</v>
      </c>
      <c r="D17" s="336">
        <f>SUMMARY!O18</f>
        <v>2300</v>
      </c>
      <c r="E17" s="336">
        <f>SUMMARY!O19</f>
        <v>4850</v>
      </c>
      <c r="F17" s="336">
        <f>SUMMARY!O20</f>
        <v>0</v>
      </c>
      <c r="G17" s="336">
        <f>SUMMARY!O21</f>
        <v>0</v>
      </c>
      <c r="H17" s="336">
        <f>SUMMARY!O22</f>
        <v>7150</v>
      </c>
      <c r="I17" s="336"/>
      <c r="J17" s="300"/>
      <c r="K17" s="336"/>
      <c r="L17" s="336"/>
      <c r="M17" s="339"/>
      <c r="N17" s="336"/>
      <c r="O17" s="413">
        <f t="shared" si="0"/>
        <v>-7150</v>
      </c>
      <c r="P17" s="339"/>
      <c r="Q17" s="336"/>
      <c r="R17" s="499"/>
      <c r="S17" s="336"/>
      <c r="T17" s="500"/>
      <c r="U17" s="336"/>
      <c r="V17" s="329"/>
      <c r="W17" s="501"/>
      <c r="X17" s="329"/>
      <c r="Y17" s="502"/>
      <c r="Z17" s="502"/>
      <c r="AA17" s="502"/>
      <c r="AB17" s="502"/>
      <c r="AC17" s="502"/>
    </row>
    <row r="18" spans="1:29">
      <c r="A18" s="338"/>
      <c r="B18" s="413" t="str">
        <f>SUMMARY!P3</f>
        <v>SOYTIDE</v>
      </c>
      <c r="C18" s="338" t="s">
        <v>346</v>
      </c>
      <c r="D18" s="336">
        <f>SUMMARY!P18</f>
        <v>5696.8</v>
      </c>
      <c r="E18" s="336">
        <f>SUMMARY!P19</f>
        <v>0</v>
      </c>
      <c r="F18" s="336">
        <f>SUMMARY!P20</f>
        <v>3849.5</v>
      </c>
      <c r="G18" s="336">
        <f>SUMMARY!P21</f>
        <v>0</v>
      </c>
      <c r="H18" s="336">
        <f>SUMMARY!P22</f>
        <v>1847.3000000000002</v>
      </c>
      <c r="I18" s="336"/>
      <c r="J18" s="336"/>
      <c r="K18" s="336"/>
      <c r="L18" s="336"/>
      <c r="M18" s="339"/>
      <c r="N18" s="336"/>
      <c r="O18" s="413">
        <f t="shared" si="0"/>
        <v>-1847.3000000000002</v>
      </c>
      <c r="P18" s="339"/>
      <c r="Q18" s="336"/>
      <c r="R18" s="499"/>
      <c r="S18" s="336"/>
      <c r="T18" s="500"/>
      <c r="U18" s="336"/>
      <c r="V18" s="329"/>
      <c r="W18" s="501"/>
      <c r="X18" s="329"/>
      <c r="Y18" s="502"/>
      <c r="Z18" s="502"/>
      <c r="AA18" s="502"/>
      <c r="AB18" s="502"/>
      <c r="AC18" s="502"/>
    </row>
    <row r="19" spans="1:29">
      <c r="A19" s="338"/>
      <c r="B19" s="413" t="str">
        <f>SUMMARY!Q3</f>
        <v>DCP 18% (HARUMI)</v>
      </c>
      <c r="C19" s="338" t="s">
        <v>346</v>
      </c>
      <c r="D19" s="336">
        <f>SUMMARY!Q18</f>
        <v>0</v>
      </c>
      <c r="E19" s="336">
        <f>SUMMARY!Q19</f>
        <v>0</v>
      </c>
      <c r="F19" s="336">
        <f>SUMMARY!Q20</f>
        <v>0</v>
      </c>
      <c r="G19" s="336">
        <f>SUMMARY!Q21</f>
        <v>0</v>
      </c>
      <c r="H19" s="336">
        <f>SUMMARY!Q22</f>
        <v>0</v>
      </c>
      <c r="I19" s="336"/>
      <c r="J19" s="336"/>
      <c r="K19" s="336"/>
      <c r="L19" s="336"/>
      <c r="M19" s="339"/>
      <c r="N19" s="336"/>
      <c r="O19" s="413">
        <f t="shared" si="0"/>
        <v>0</v>
      </c>
      <c r="P19" s="339"/>
      <c r="Q19" s="336"/>
      <c r="R19" s="499"/>
      <c r="S19" s="336"/>
      <c r="T19" s="500"/>
      <c r="U19" s="336"/>
      <c r="V19" s="329"/>
      <c r="W19" s="501"/>
      <c r="X19" s="329"/>
      <c r="Y19" s="502"/>
      <c r="Z19" s="502"/>
      <c r="AA19" s="502"/>
      <c r="AB19" s="502"/>
      <c r="AC19" s="502"/>
    </row>
    <row r="20" spans="1:29">
      <c r="A20" s="338"/>
      <c r="B20" s="413">
        <f>SUMMARY!R3</f>
        <v>1</v>
      </c>
      <c r="C20" s="338" t="s">
        <v>346</v>
      </c>
      <c r="D20" s="336">
        <f>SUMMARY!R18</f>
        <v>0</v>
      </c>
      <c r="E20" s="336">
        <f>SUMMARY!R19</f>
        <v>0</v>
      </c>
      <c r="F20" s="336">
        <f>SUMMARY!R20</f>
        <v>0</v>
      </c>
      <c r="G20" s="336">
        <f>SUMMARY!R21</f>
        <v>0</v>
      </c>
      <c r="H20" s="336">
        <f>SUMMARY!R22</f>
        <v>0</v>
      </c>
      <c r="I20" s="336"/>
      <c r="J20" s="336"/>
      <c r="K20" s="336"/>
      <c r="L20" s="336"/>
      <c r="M20" s="339"/>
      <c r="N20" s="336"/>
      <c r="O20" s="413">
        <f t="shared" si="0"/>
        <v>0</v>
      </c>
      <c r="P20" s="339"/>
      <c r="Q20" s="336"/>
      <c r="R20" s="499"/>
      <c r="S20" s="336"/>
      <c r="T20" s="500"/>
      <c r="U20" s="336"/>
      <c r="V20" s="329"/>
      <c r="W20" s="501"/>
      <c r="X20" s="329"/>
      <c r="Y20" s="502"/>
      <c r="Z20" s="502"/>
      <c r="AA20" s="502"/>
      <c r="AB20" s="502"/>
      <c r="AC20" s="502"/>
    </row>
    <row r="21" spans="1:29">
      <c r="A21" s="338"/>
      <c r="B21" s="413">
        <f>SUMMARY!S3</f>
        <v>2</v>
      </c>
      <c r="C21" s="338" t="s">
        <v>346</v>
      </c>
      <c r="D21" s="336">
        <f>SUMMARY!S18</f>
        <v>0</v>
      </c>
      <c r="E21" s="336">
        <f>SUMMARY!S19</f>
        <v>0</v>
      </c>
      <c r="F21" s="336">
        <f>SUMMARY!S20</f>
        <v>0</v>
      </c>
      <c r="G21" s="336">
        <f>SUMMARY!S21</f>
        <v>0</v>
      </c>
      <c r="H21" s="336">
        <f>SUMMARY!S22</f>
        <v>0</v>
      </c>
      <c r="I21" s="336"/>
      <c r="J21" s="336"/>
      <c r="K21" s="336"/>
      <c r="L21" s="336"/>
      <c r="M21" s="339"/>
      <c r="N21" s="336"/>
      <c r="O21" s="413">
        <f t="shared" si="0"/>
        <v>0</v>
      </c>
      <c r="P21" s="339"/>
      <c r="Q21" s="336"/>
      <c r="R21" s="499"/>
      <c r="S21" s="336"/>
      <c r="T21" s="500"/>
      <c r="U21" s="336"/>
      <c r="V21" s="329"/>
      <c r="W21" s="501"/>
      <c r="X21" s="329"/>
      <c r="Y21" s="502"/>
      <c r="Z21" s="502"/>
      <c r="AA21" s="502"/>
      <c r="AB21" s="502"/>
      <c r="AC21" s="502"/>
    </row>
    <row r="22" spans="1:29">
      <c r="A22" s="338"/>
      <c r="B22" s="413">
        <f>SUMMARY!T3</f>
        <v>3</v>
      </c>
      <c r="C22" s="338" t="s">
        <v>346</v>
      </c>
      <c r="D22" s="336">
        <f>SUMMARY!T18</f>
        <v>0</v>
      </c>
      <c r="E22" s="336">
        <f>SUMMARY!T19</f>
        <v>0</v>
      </c>
      <c r="F22" s="336">
        <f>SUMMARY!T20</f>
        <v>0</v>
      </c>
      <c r="G22" s="336">
        <f>SUMMARY!T21</f>
        <v>0</v>
      </c>
      <c r="H22" s="336">
        <f>SUMMARY!T22</f>
        <v>0</v>
      </c>
      <c r="I22" s="336"/>
      <c r="J22" s="336"/>
      <c r="K22" s="336"/>
      <c r="L22" s="336"/>
      <c r="M22" s="339"/>
      <c r="N22" s="336"/>
      <c r="O22" s="413">
        <f t="shared" si="0"/>
        <v>0</v>
      </c>
      <c r="P22" s="339"/>
      <c r="Q22" s="336"/>
      <c r="R22" s="499"/>
      <c r="S22" s="336"/>
      <c r="T22" s="500"/>
      <c r="U22" s="336"/>
      <c r="V22" s="329"/>
      <c r="W22" s="501"/>
      <c r="X22" s="329"/>
      <c r="Y22" s="502"/>
      <c r="Z22" s="502"/>
      <c r="AA22" s="502"/>
      <c r="AB22" s="502"/>
      <c r="AC22" s="502"/>
    </row>
    <row r="23" spans="1:29">
      <c r="A23" s="338"/>
      <c r="B23" s="413"/>
      <c r="C23" s="338"/>
      <c r="D23" s="336"/>
      <c r="E23" s="336"/>
      <c r="F23" s="336"/>
      <c r="G23" s="336"/>
      <c r="H23" s="336"/>
      <c r="I23" s="336"/>
      <c r="J23" s="336"/>
      <c r="K23" s="336"/>
      <c r="L23" s="336"/>
      <c r="M23" s="339"/>
      <c r="N23" s="336"/>
      <c r="O23" s="413"/>
      <c r="P23" s="339"/>
      <c r="Q23" s="336"/>
      <c r="R23" s="499"/>
      <c r="S23" s="336"/>
      <c r="T23" s="500"/>
      <c r="U23" s="336"/>
      <c r="V23" s="329"/>
      <c r="W23" s="501"/>
      <c r="X23" s="329"/>
      <c r="Y23" s="502"/>
      <c r="Z23" s="502"/>
      <c r="AA23" s="502"/>
      <c r="AB23" s="502"/>
      <c r="AC23" s="502"/>
    </row>
    <row r="24" spans="1:29">
      <c r="A24" s="338"/>
      <c r="B24" s="310" t="s">
        <v>347</v>
      </c>
      <c r="C24" s="338"/>
      <c r="D24" s="336"/>
      <c r="E24" s="336"/>
      <c r="F24" s="336"/>
      <c r="G24" s="336"/>
      <c r="H24" s="336"/>
      <c r="I24" s="336"/>
      <c r="J24" s="336"/>
      <c r="K24" s="336"/>
      <c r="L24" s="336"/>
      <c r="M24" s="339"/>
      <c r="N24" s="336"/>
      <c r="O24" s="413"/>
      <c r="P24" s="339"/>
      <c r="Q24" s="336"/>
      <c r="R24" s="499"/>
      <c r="S24" s="336"/>
      <c r="T24" s="500"/>
      <c r="U24" s="336"/>
      <c r="V24" s="329"/>
      <c r="W24" s="501"/>
      <c r="X24" s="329"/>
      <c r="Y24" s="502"/>
      <c r="Z24" s="502"/>
      <c r="AA24" s="502"/>
      <c r="AB24" s="502"/>
      <c r="AC24" s="502"/>
    </row>
    <row r="25" spans="1:29">
      <c r="A25" s="338"/>
      <c r="B25" s="413" t="str">
        <f>SUMMARY!U3</f>
        <v>PREMIX 1101 (20KG)</v>
      </c>
      <c r="C25" s="338" t="s">
        <v>346</v>
      </c>
      <c r="D25" s="336">
        <f>SUMMARY!U18</f>
        <v>620</v>
      </c>
      <c r="E25" s="336">
        <f>SUMMARY!U19</f>
        <v>4000</v>
      </c>
      <c r="F25" s="336">
        <f>SUMMARY!U20</f>
        <v>2640</v>
      </c>
      <c r="G25" s="336">
        <f>SUMMARY!U21</f>
        <v>0</v>
      </c>
      <c r="H25" s="336">
        <f>SUMMARY!U22</f>
        <v>1980</v>
      </c>
      <c r="I25" s="336"/>
      <c r="J25" s="336"/>
      <c r="K25" s="336"/>
      <c r="L25" s="336"/>
      <c r="M25" s="339"/>
      <c r="N25" s="336"/>
      <c r="O25" s="413">
        <f t="shared" si="0"/>
        <v>-1980</v>
      </c>
      <c r="P25" s="339"/>
      <c r="Q25" s="336"/>
      <c r="R25" s="499"/>
      <c r="S25" s="336"/>
      <c r="T25" s="500"/>
      <c r="U25" s="336"/>
      <c r="V25" s="329"/>
      <c r="W25" s="501"/>
      <c r="X25" s="329"/>
      <c r="Y25" s="502"/>
      <c r="Z25" s="502"/>
      <c r="AA25" s="502"/>
      <c r="AB25" s="502"/>
      <c r="AC25" s="502"/>
    </row>
    <row r="26" spans="1:29">
      <c r="A26" s="338"/>
      <c r="B26" s="413" t="str">
        <f>SUMMARY!V3</f>
        <v>PREMIX 1102 (20KG)</v>
      </c>
      <c r="C26" s="338" t="s">
        <v>346</v>
      </c>
      <c r="D26" s="336">
        <f>SUMMARY!V18</f>
        <v>5960</v>
      </c>
      <c r="E26" s="336">
        <f>SUMMARY!V19</f>
        <v>4000</v>
      </c>
      <c r="F26" s="336">
        <f>SUMMARY!V20</f>
        <v>6680</v>
      </c>
      <c r="G26" s="336">
        <f>SUMMARY!V21</f>
        <v>-1280</v>
      </c>
      <c r="H26" s="336">
        <f>SUMMARY!V22</f>
        <v>2000</v>
      </c>
      <c r="I26" s="336"/>
      <c r="J26" s="336"/>
      <c r="K26" s="336"/>
      <c r="L26" s="336"/>
      <c r="M26" s="339"/>
      <c r="N26" s="336"/>
      <c r="O26" s="413">
        <f t="shared" si="0"/>
        <v>-2000</v>
      </c>
      <c r="P26" s="339"/>
      <c r="Q26" s="336"/>
      <c r="R26" s="499"/>
      <c r="S26" s="336"/>
      <c r="T26" s="500"/>
      <c r="U26" s="336"/>
      <c r="V26" s="329"/>
      <c r="W26" s="501"/>
      <c r="X26" s="329"/>
      <c r="Y26" s="502"/>
      <c r="Z26" s="502"/>
      <c r="AA26" s="502"/>
      <c r="AB26" s="502"/>
      <c r="AC26" s="502"/>
    </row>
    <row r="27" spans="1:29">
      <c r="A27" s="338"/>
      <c r="B27" s="413" t="str">
        <f>SUMMARY!W3</f>
        <v>PREMIX 1103 (20KG)</v>
      </c>
      <c r="C27" s="338" t="s">
        <v>346</v>
      </c>
      <c r="D27" s="336">
        <f>SUMMARY!W18</f>
        <v>5240</v>
      </c>
      <c r="E27" s="336">
        <f>SUMMARY!W19</f>
        <v>0</v>
      </c>
      <c r="F27" s="336">
        <f>SUMMARY!W20</f>
        <v>760</v>
      </c>
      <c r="G27" s="336">
        <f>SUMMARY!W21</f>
        <v>320</v>
      </c>
      <c r="H27" s="336">
        <f>SUMMARY!W22</f>
        <v>4800</v>
      </c>
      <c r="I27" s="336"/>
      <c r="J27" s="336"/>
      <c r="K27" s="336"/>
      <c r="L27" s="336"/>
      <c r="M27" s="339"/>
      <c r="N27" s="336"/>
      <c r="O27" s="413">
        <f t="shared" si="0"/>
        <v>-4800</v>
      </c>
      <c r="P27" s="339"/>
      <c r="Q27" s="336"/>
      <c r="R27" s="499"/>
      <c r="S27" s="336"/>
      <c r="T27" s="500"/>
      <c r="U27" s="336"/>
      <c r="V27" s="329"/>
      <c r="W27" s="501"/>
      <c r="X27" s="329"/>
      <c r="Y27" s="502"/>
      <c r="Z27" s="502"/>
      <c r="AA27" s="502"/>
      <c r="AB27" s="502"/>
      <c r="AC27" s="502"/>
    </row>
    <row r="28" spans="1:29">
      <c r="A28" s="338"/>
      <c r="B28" s="413" t="str">
        <f>SUMMARY!X3</f>
        <v>PREMIX 311 (20KG)</v>
      </c>
      <c r="C28" s="338" t="s">
        <v>346</v>
      </c>
      <c r="D28" s="336">
        <f>SUMMARY!X18</f>
        <v>0</v>
      </c>
      <c r="E28" s="336">
        <f>SUMMARY!X19</f>
        <v>0</v>
      </c>
      <c r="F28" s="336">
        <f>SUMMARY!X20</f>
        <v>0</v>
      </c>
      <c r="G28" s="336">
        <f>SUMMARY!X21</f>
        <v>0</v>
      </c>
      <c r="H28" s="336">
        <f>SUMMARY!X22</f>
        <v>0</v>
      </c>
      <c r="I28" s="336"/>
      <c r="J28" s="336"/>
      <c r="K28" s="336"/>
      <c r="L28" s="336"/>
      <c r="M28" s="339"/>
      <c r="N28" s="336"/>
      <c r="O28" s="413">
        <f t="shared" si="0"/>
        <v>0</v>
      </c>
      <c r="P28" s="339"/>
      <c r="Q28" s="336"/>
      <c r="R28" s="499"/>
      <c r="S28" s="336"/>
      <c r="T28" s="500"/>
      <c r="U28" s="336"/>
      <c r="V28" s="329"/>
      <c r="W28" s="501"/>
      <c r="X28" s="329"/>
      <c r="Y28" s="502"/>
      <c r="Z28" s="502"/>
      <c r="AA28" s="502"/>
      <c r="AB28" s="502"/>
      <c r="AC28" s="502"/>
    </row>
    <row r="29" spans="1:29">
      <c r="A29" s="338"/>
      <c r="B29" s="413" t="str">
        <f>SUMMARY!Y3</f>
        <v>PREMIX 312 (20KG)</v>
      </c>
      <c r="C29" s="338" t="s">
        <v>346</v>
      </c>
      <c r="D29" s="336">
        <f>SUMMARY!Y18</f>
        <v>0</v>
      </c>
      <c r="E29" s="336">
        <f>SUMMARY!Y19</f>
        <v>0</v>
      </c>
      <c r="F29" s="336">
        <f>SUMMARY!Y20</f>
        <v>0</v>
      </c>
      <c r="G29" s="336">
        <f>SUMMARY!Y21</f>
        <v>0</v>
      </c>
      <c r="H29" s="336">
        <f>SUMMARY!Y22</f>
        <v>0</v>
      </c>
      <c r="I29" s="336"/>
      <c r="J29" s="336"/>
      <c r="K29" s="336"/>
      <c r="L29" s="336"/>
      <c r="M29" s="339"/>
      <c r="N29" s="336"/>
      <c r="O29" s="413">
        <f t="shared" si="0"/>
        <v>0</v>
      </c>
      <c r="P29" s="339"/>
      <c r="Q29" s="336"/>
      <c r="R29" s="499"/>
      <c r="S29" s="336"/>
      <c r="T29" s="500"/>
      <c r="U29" s="336"/>
      <c r="V29" s="329"/>
      <c r="W29" s="501"/>
      <c r="X29" s="329"/>
      <c r="Y29" s="502"/>
      <c r="Z29" s="502"/>
      <c r="AA29" s="502"/>
      <c r="AB29" s="502"/>
      <c r="AC29" s="502"/>
    </row>
    <row r="30" spans="1:29">
      <c r="A30" s="338"/>
      <c r="B30" s="413">
        <f>SUMMARY!Z3</f>
        <v>1</v>
      </c>
      <c r="C30" s="338" t="s">
        <v>346</v>
      </c>
      <c r="D30" s="336">
        <f>SUMMARY!Z18</f>
        <v>0</v>
      </c>
      <c r="E30" s="336">
        <f>SUMMARY!Z19</f>
        <v>0</v>
      </c>
      <c r="F30" s="336">
        <f>SUMMARY!Z20</f>
        <v>0</v>
      </c>
      <c r="G30" s="336">
        <f>SUMMARY!Z21</f>
        <v>0</v>
      </c>
      <c r="H30" s="336">
        <f>SUMMARY!Z22</f>
        <v>0</v>
      </c>
      <c r="I30" s="336"/>
      <c r="J30" s="336"/>
      <c r="K30" s="336"/>
      <c r="L30" s="336"/>
      <c r="M30" s="339"/>
      <c r="N30" s="336"/>
      <c r="O30" s="413">
        <f t="shared" si="0"/>
        <v>0</v>
      </c>
      <c r="P30" s="339"/>
      <c r="Q30" s="336"/>
      <c r="R30" s="499"/>
      <c r="S30" s="336"/>
      <c r="T30" s="500"/>
      <c r="U30" s="336"/>
      <c r="V30" s="329"/>
      <c r="W30" s="501"/>
      <c r="X30" s="329"/>
      <c r="Y30" s="502"/>
      <c r="Z30" s="502"/>
      <c r="AA30" s="502"/>
      <c r="AB30" s="502"/>
      <c r="AC30" s="502"/>
    </row>
    <row r="31" spans="1:29">
      <c r="A31" s="338"/>
      <c r="B31" s="413" t="str">
        <f>SUMMARY!AA3</f>
        <v>PREMIX 8100 (20KG)</v>
      </c>
      <c r="C31" s="338" t="s">
        <v>346</v>
      </c>
      <c r="D31" s="336">
        <f>SUMMARY!AA18</f>
        <v>5120</v>
      </c>
      <c r="E31" s="336">
        <f>SUMMARY!AA19</f>
        <v>0</v>
      </c>
      <c r="F31" s="336">
        <f>SUMMARY!AA20</f>
        <v>0</v>
      </c>
      <c r="G31" s="336">
        <f>SUMMARY!AA21</f>
        <v>0</v>
      </c>
      <c r="H31" s="336">
        <f>SUMMARY!AA22</f>
        <v>5120</v>
      </c>
      <c r="I31" s="336"/>
      <c r="J31" s="336"/>
      <c r="K31" s="336"/>
      <c r="L31" s="336"/>
      <c r="M31" s="339"/>
      <c r="N31" s="336"/>
      <c r="O31" s="413">
        <f t="shared" si="0"/>
        <v>-5120</v>
      </c>
      <c r="P31" s="339"/>
      <c r="Q31" s="336"/>
      <c r="R31" s="499"/>
      <c r="S31" s="336"/>
      <c r="T31" s="500"/>
      <c r="U31" s="336"/>
      <c r="V31" s="329"/>
      <c r="W31" s="501"/>
      <c r="X31" s="329"/>
      <c r="Y31" s="502"/>
      <c r="Z31" s="502"/>
      <c r="AA31" s="502"/>
      <c r="AB31" s="502"/>
      <c r="AC31" s="502"/>
    </row>
    <row r="32" spans="1:29">
      <c r="A32" s="338"/>
      <c r="B32" s="413" t="str">
        <f>SUMMARY!AB3</f>
        <v>PREMIX 8101 (20KG)</v>
      </c>
      <c r="C32" s="338" t="s">
        <v>346</v>
      </c>
      <c r="D32" s="336">
        <f>SUMMARY!AB18</f>
        <v>5100</v>
      </c>
      <c r="E32" s="336">
        <f>SUMMARY!AB19</f>
        <v>1440</v>
      </c>
      <c r="F32" s="336">
        <f>SUMMARY!AB20</f>
        <v>0</v>
      </c>
      <c r="G32" s="336">
        <f>SUMMARY!AB21</f>
        <v>0</v>
      </c>
      <c r="H32" s="336">
        <f>SUMMARY!AB22</f>
        <v>6540</v>
      </c>
      <c r="I32" s="336"/>
      <c r="J32" s="336"/>
      <c r="K32" s="336"/>
      <c r="L32" s="336"/>
      <c r="M32" s="339"/>
      <c r="N32" s="336"/>
      <c r="O32" s="413">
        <f t="shared" si="0"/>
        <v>-6540</v>
      </c>
      <c r="P32" s="339"/>
      <c r="Q32" s="336"/>
      <c r="R32" s="499"/>
      <c r="S32" s="336"/>
      <c r="T32" s="500"/>
      <c r="U32" s="336"/>
      <c r="V32" s="329"/>
      <c r="W32" s="501"/>
      <c r="X32" s="329"/>
      <c r="Y32" s="502"/>
      <c r="Z32" s="502"/>
      <c r="AA32" s="502"/>
      <c r="AB32" s="502"/>
      <c r="AC32" s="502"/>
    </row>
    <row r="33" spans="1:29">
      <c r="A33" s="338"/>
      <c r="B33" s="413" t="str">
        <f>SUMMARY!AC3</f>
        <v>PREMIX 8102 (20KG)</v>
      </c>
      <c r="C33" s="338" t="s">
        <v>346</v>
      </c>
      <c r="D33" s="336">
        <f>SUMMARY!AC18</f>
        <v>10240</v>
      </c>
      <c r="E33" s="336">
        <f>SUMMARY!AC19</f>
        <v>1300</v>
      </c>
      <c r="F33" s="336">
        <f>SUMMARY!AC20</f>
        <v>0</v>
      </c>
      <c r="G33" s="336">
        <f>SUMMARY!AC21</f>
        <v>0</v>
      </c>
      <c r="H33" s="336">
        <f>SUMMARY!AC22</f>
        <v>11540</v>
      </c>
      <c r="I33" s="336"/>
      <c r="J33" s="336"/>
      <c r="K33" s="336"/>
      <c r="L33" s="336"/>
      <c r="M33" s="339"/>
      <c r="N33" s="336"/>
      <c r="O33" s="413">
        <f t="shared" si="0"/>
        <v>-11540</v>
      </c>
      <c r="P33" s="339"/>
      <c r="Q33" s="336"/>
      <c r="R33" s="499"/>
      <c r="S33" s="336"/>
      <c r="T33" s="500"/>
      <c r="U33" s="336"/>
      <c r="V33" s="329"/>
      <c r="W33" s="501"/>
      <c r="X33" s="329"/>
      <c r="Y33" s="502"/>
      <c r="Z33" s="502"/>
      <c r="AA33" s="502"/>
      <c r="AB33" s="502"/>
      <c r="AC33" s="502"/>
    </row>
    <row r="34" spans="1:29">
      <c r="A34" s="338"/>
      <c r="B34" s="413" t="str">
        <f>SUMMARY!AD3</f>
        <v>PREMIX 8103 (20KG)</v>
      </c>
      <c r="C34" s="338" t="s">
        <v>346</v>
      </c>
      <c r="D34" s="336">
        <f>SUMMARY!AD18</f>
        <v>15120</v>
      </c>
      <c r="E34" s="336">
        <f>SUMMARY!AD19</f>
        <v>0</v>
      </c>
      <c r="F34" s="336">
        <f>SUMMARY!AD20</f>
        <v>0</v>
      </c>
      <c r="G34" s="336">
        <f>SUMMARY!AD21</f>
        <v>0</v>
      </c>
      <c r="H34" s="336">
        <f>SUMMARY!AD22</f>
        <v>15120</v>
      </c>
      <c r="I34" s="336"/>
      <c r="J34" s="336"/>
      <c r="K34" s="336"/>
      <c r="L34" s="336"/>
      <c r="M34" s="339"/>
      <c r="N34" s="336"/>
      <c r="O34" s="413">
        <f t="shared" si="0"/>
        <v>-15120</v>
      </c>
      <c r="P34" s="339"/>
      <c r="Q34" s="336"/>
      <c r="R34" s="499"/>
      <c r="S34" s="336"/>
      <c r="T34" s="500"/>
      <c r="U34" s="336"/>
      <c r="V34" s="329"/>
      <c r="W34" s="501"/>
      <c r="X34" s="329"/>
      <c r="Y34" s="502"/>
      <c r="Z34" s="502"/>
      <c r="AA34" s="502"/>
      <c r="AB34" s="502"/>
      <c r="AC34" s="502"/>
    </row>
    <row r="35" spans="1:29">
      <c r="A35" s="338"/>
      <c r="B35" s="413" t="str">
        <f>SUMMARY!AE3</f>
        <v>PREMIX 8108 (20KG)</v>
      </c>
      <c r="C35" s="338" t="s">
        <v>346</v>
      </c>
      <c r="D35" s="336">
        <f>SUMMARY!AE18</f>
        <v>3320</v>
      </c>
      <c r="E35" s="336">
        <f>SUMMARY!AE19</f>
        <v>1720</v>
      </c>
      <c r="F35" s="336">
        <f>SUMMARY!AE20</f>
        <v>0</v>
      </c>
      <c r="G35" s="336">
        <f>SUMMARY!AE21</f>
        <v>0</v>
      </c>
      <c r="H35" s="336">
        <f>SUMMARY!AE22</f>
        <v>5040</v>
      </c>
      <c r="I35" s="336"/>
      <c r="J35" s="336"/>
      <c r="K35" s="336"/>
      <c r="L35" s="336"/>
      <c r="M35" s="339"/>
      <c r="N35" s="336"/>
      <c r="O35" s="413">
        <f t="shared" si="0"/>
        <v>-5040</v>
      </c>
      <c r="P35" s="339"/>
      <c r="Q35" s="336"/>
      <c r="R35" s="499"/>
      <c r="S35" s="336"/>
      <c r="T35" s="500"/>
      <c r="U35" s="336"/>
      <c r="V35" s="329"/>
      <c r="W35" s="501"/>
      <c r="X35" s="329"/>
      <c r="Y35" s="502"/>
      <c r="Z35" s="502"/>
      <c r="AA35" s="502"/>
      <c r="AB35" s="502"/>
      <c r="AC35" s="502"/>
    </row>
    <row r="36" spans="1:29">
      <c r="A36" s="338"/>
      <c r="B36" s="413" t="str">
        <f>SUMMARY!AF3</f>
        <v>PREMIX 8109 (20KG)</v>
      </c>
      <c r="C36" s="338" t="s">
        <v>346</v>
      </c>
      <c r="D36" s="336">
        <f>SUMMARY!AF18</f>
        <v>5400</v>
      </c>
      <c r="E36" s="336">
        <f>SUMMARY!AF19</f>
        <v>3700</v>
      </c>
      <c r="F36" s="336">
        <f>SUMMARY!AF20</f>
        <v>0</v>
      </c>
      <c r="G36" s="336">
        <f>SUMMARY!AF21</f>
        <v>0</v>
      </c>
      <c r="H36" s="336">
        <f>SUMMARY!AF22</f>
        <v>9100</v>
      </c>
      <c r="I36" s="336"/>
      <c r="J36" s="336"/>
      <c r="K36" s="336"/>
      <c r="L36" s="336"/>
      <c r="M36" s="339"/>
      <c r="N36" s="336"/>
      <c r="O36" s="413">
        <f t="shared" si="0"/>
        <v>-9100</v>
      </c>
      <c r="P36" s="339"/>
      <c r="Q36" s="336"/>
      <c r="R36" s="499"/>
      <c r="S36" s="336"/>
      <c r="T36" s="500"/>
      <c r="U36" s="336"/>
      <c r="V36" s="329"/>
      <c r="W36" s="501"/>
      <c r="X36" s="329"/>
      <c r="Y36" s="502"/>
      <c r="Z36" s="502"/>
      <c r="AA36" s="502"/>
      <c r="AB36" s="502"/>
      <c r="AC36" s="502"/>
    </row>
    <row r="37" spans="1:29">
      <c r="A37" s="338"/>
      <c r="B37" s="413" t="str">
        <f>SUMMARY!AG3</f>
        <v>YENMIX 121 (20KG)</v>
      </c>
      <c r="C37" s="338" t="s">
        <v>346</v>
      </c>
      <c r="D37" s="336">
        <f>SUMMARY!AG18</f>
        <v>4000</v>
      </c>
      <c r="E37" s="336">
        <f>SUMMARY!AG19</f>
        <v>4140</v>
      </c>
      <c r="F37" s="336">
        <f>SUMMARY!AG20</f>
        <v>3200</v>
      </c>
      <c r="G37" s="336">
        <f>SUMMARY!AG21</f>
        <v>-720</v>
      </c>
      <c r="H37" s="336">
        <f>SUMMARY!AG22</f>
        <v>4220</v>
      </c>
      <c r="I37" s="336"/>
      <c r="J37" s="336"/>
      <c r="K37" s="336"/>
      <c r="L37" s="336"/>
      <c r="M37" s="339"/>
      <c r="N37" s="336"/>
      <c r="O37" s="413">
        <f t="shared" si="0"/>
        <v>-4220</v>
      </c>
      <c r="P37" s="339"/>
      <c r="Q37" s="336"/>
      <c r="R37" s="499"/>
      <c r="S37" s="336"/>
      <c r="T37" s="500"/>
      <c r="U37" s="336"/>
      <c r="V37" s="329"/>
      <c r="W37" s="501"/>
      <c r="X37" s="329"/>
      <c r="Y37" s="502"/>
      <c r="Z37" s="502"/>
      <c r="AA37" s="502"/>
      <c r="AB37" s="502"/>
      <c r="AC37" s="502"/>
    </row>
    <row r="38" spans="1:29">
      <c r="A38" s="338"/>
      <c r="B38" s="413" t="str">
        <f>SUMMARY!AH3</f>
        <v>YENMIX 122 (19.50KG)</v>
      </c>
      <c r="C38" s="338" t="s">
        <v>346</v>
      </c>
      <c r="D38" s="336">
        <f>SUMMARY!AH18</f>
        <v>0</v>
      </c>
      <c r="E38" s="336">
        <f>SUMMARY!AH19</f>
        <v>12577.5</v>
      </c>
      <c r="F38" s="336">
        <f>SUMMARY!AH20</f>
        <v>6396</v>
      </c>
      <c r="G38" s="336">
        <f>SUMMARY!AH21</f>
        <v>1521</v>
      </c>
      <c r="H38" s="336">
        <f>SUMMARY!AH22</f>
        <v>7702.5</v>
      </c>
      <c r="I38" s="336"/>
      <c r="J38" s="336"/>
      <c r="K38" s="336"/>
      <c r="L38" s="336"/>
      <c r="M38" s="339"/>
      <c r="N38" s="336"/>
      <c r="O38" s="413">
        <f t="shared" si="0"/>
        <v>-7702.5</v>
      </c>
      <c r="P38" s="339"/>
      <c r="Q38" s="336"/>
      <c r="R38" s="499"/>
      <c r="S38" s="336"/>
      <c r="T38" s="500"/>
      <c r="U38" s="336"/>
      <c r="V38" s="329"/>
      <c r="W38" s="501"/>
      <c r="X38" s="329"/>
      <c r="Y38" s="502"/>
      <c r="Z38" s="502"/>
      <c r="AA38" s="502"/>
      <c r="AB38" s="502"/>
      <c r="AC38" s="502"/>
    </row>
    <row r="39" spans="1:29">
      <c r="A39" s="338"/>
      <c r="B39" s="413" t="str">
        <f>SUMMARY!AI3</f>
        <v>YENMIX 123 (18.90KG)</v>
      </c>
      <c r="C39" s="338" t="s">
        <v>346</v>
      </c>
      <c r="D39" s="336">
        <f>SUMMARY!AI18</f>
        <v>6539.4000000000005</v>
      </c>
      <c r="E39" s="336">
        <f>SUMMARY!AI19</f>
        <v>8467.1999999999989</v>
      </c>
      <c r="F39" s="336">
        <f>SUMMARY!AI20</f>
        <v>12096</v>
      </c>
      <c r="G39" s="336">
        <f>SUMMARY!AI21</f>
        <v>3515.3999999999996</v>
      </c>
      <c r="H39" s="336">
        <f>SUMMARY!AI22</f>
        <v>6426</v>
      </c>
      <c r="I39" s="336"/>
      <c r="J39" s="336"/>
      <c r="K39" s="336"/>
      <c r="L39" s="336"/>
      <c r="M39" s="339"/>
      <c r="N39" s="336"/>
      <c r="O39" s="413">
        <f t="shared" si="0"/>
        <v>-6426</v>
      </c>
      <c r="P39" s="339"/>
      <c r="Q39" s="336"/>
      <c r="R39" s="499"/>
      <c r="S39" s="336"/>
      <c r="T39" s="500"/>
      <c r="U39" s="336"/>
      <c r="V39" s="329"/>
      <c r="W39" s="501"/>
      <c r="X39" s="329"/>
      <c r="Y39" s="502"/>
      <c r="Z39" s="502"/>
      <c r="AA39" s="502"/>
      <c r="AB39" s="502"/>
      <c r="AC39" s="502"/>
    </row>
    <row r="40" spans="1:29">
      <c r="A40" s="338"/>
      <c r="B40" s="413" t="str">
        <f>SUMMARY!AJ3</f>
        <v>YENMIX 122 (20.50KG)</v>
      </c>
      <c r="C40" s="338" t="s">
        <v>346</v>
      </c>
      <c r="D40" s="336">
        <f>SUMMARY!AJ18</f>
        <v>0</v>
      </c>
      <c r="E40" s="336">
        <f>SUMMARY!AJ19</f>
        <v>0</v>
      </c>
      <c r="F40" s="336">
        <f>SUMMARY!AJ20</f>
        <v>0</v>
      </c>
      <c r="G40" s="336">
        <f>SUMMARY!AJ21</f>
        <v>0</v>
      </c>
      <c r="H40" s="336">
        <f>SUMMARY!AJ22</f>
        <v>0</v>
      </c>
      <c r="I40" s="336"/>
      <c r="J40" s="336"/>
      <c r="K40" s="336"/>
      <c r="L40" s="336"/>
      <c r="M40" s="339"/>
      <c r="N40" s="336"/>
      <c r="O40" s="413">
        <f t="shared" si="0"/>
        <v>0</v>
      </c>
      <c r="P40" s="339"/>
      <c r="Q40" s="336"/>
      <c r="R40" s="499"/>
      <c r="S40" s="336"/>
      <c r="T40" s="500"/>
      <c r="U40" s="336"/>
      <c r="V40" s="329"/>
      <c r="W40" s="501"/>
      <c r="X40" s="329"/>
      <c r="Y40" s="502"/>
      <c r="Z40" s="502"/>
      <c r="AA40" s="502"/>
      <c r="AB40" s="502"/>
      <c r="AC40" s="502"/>
    </row>
    <row r="41" spans="1:29">
      <c r="A41" s="338"/>
      <c r="B41" s="413" t="str">
        <f>SUMMARY!AK3</f>
        <v>YENMIX 123 (20.00KG)</v>
      </c>
      <c r="C41" s="338" t="s">
        <v>346</v>
      </c>
      <c r="D41" s="336">
        <f>SUMMARY!AK18</f>
        <v>0</v>
      </c>
      <c r="E41" s="336">
        <f>SUMMARY!AK19</f>
        <v>0</v>
      </c>
      <c r="F41" s="336">
        <f>SUMMARY!AK20</f>
        <v>0</v>
      </c>
      <c r="G41" s="336">
        <f>SUMMARY!AK21</f>
        <v>0</v>
      </c>
      <c r="H41" s="336">
        <f>SUMMARY!AK22</f>
        <v>0</v>
      </c>
      <c r="I41" s="336"/>
      <c r="J41" s="336"/>
      <c r="K41" s="336"/>
      <c r="L41" s="336"/>
      <c r="M41" s="339"/>
      <c r="N41" s="336"/>
      <c r="O41" s="413">
        <f t="shared" si="0"/>
        <v>0</v>
      </c>
      <c r="P41" s="339"/>
      <c r="Q41" s="336"/>
      <c r="R41" s="499"/>
      <c r="S41" s="336"/>
      <c r="T41" s="500"/>
      <c r="U41" s="336"/>
      <c r="V41" s="329"/>
      <c r="W41" s="501"/>
      <c r="X41" s="329"/>
      <c r="Y41" s="502"/>
      <c r="Z41" s="502"/>
      <c r="AA41" s="502"/>
      <c r="AB41" s="502"/>
      <c r="AC41" s="502"/>
    </row>
    <row r="42" spans="1:29">
      <c r="A42" s="338"/>
      <c r="B42" s="413">
        <f>SUMMARY!AL3</f>
        <v>1</v>
      </c>
      <c r="C42" s="338" t="s">
        <v>346</v>
      </c>
      <c r="D42" s="336">
        <f>SUMMARY!AL18</f>
        <v>0</v>
      </c>
      <c r="E42" s="336">
        <f>SUMMARY!AL19</f>
        <v>0</v>
      </c>
      <c r="F42" s="336">
        <f>SUMMARY!AL20</f>
        <v>0</v>
      </c>
      <c r="G42" s="336">
        <f>SUMMARY!AL21</f>
        <v>0</v>
      </c>
      <c r="H42" s="336">
        <f>SUMMARY!AL22</f>
        <v>0</v>
      </c>
      <c r="I42" s="336"/>
      <c r="J42" s="336"/>
      <c r="K42" s="336"/>
      <c r="L42" s="336"/>
      <c r="M42" s="339"/>
      <c r="N42" s="336"/>
      <c r="O42" s="413">
        <f t="shared" si="0"/>
        <v>0</v>
      </c>
      <c r="P42" s="339"/>
      <c r="Q42" s="336"/>
      <c r="R42" s="336"/>
      <c r="S42" s="336"/>
      <c r="T42" s="336"/>
      <c r="U42" s="336"/>
      <c r="V42" s="329"/>
      <c r="W42" s="501"/>
      <c r="X42" s="329"/>
      <c r="Y42" s="502"/>
      <c r="Z42" s="502"/>
      <c r="AA42" s="502"/>
      <c r="AB42" s="502"/>
      <c r="AC42" s="502"/>
    </row>
    <row r="43" spans="1:29">
      <c r="A43" s="338"/>
      <c r="B43" s="413">
        <f>SUMMARY!AM3</f>
        <v>2</v>
      </c>
      <c r="C43" s="338" t="s">
        <v>346</v>
      </c>
      <c r="D43" s="336">
        <f>SUMMARY!AM18</f>
        <v>0</v>
      </c>
      <c r="E43" s="336">
        <f>SUMMARY!AM19</f>
        <v>0</v>
      </c>
      <c r="F43" s="336">
        <f>SUMMARY!AM20</f>
        <v>0</v>
      </c>
      <c r="G43" s="336">
        <f>SUMMARY!AM21</f>
        <v>0</v>
      </c>
      <c r="H43" s="336">
        <f>SUMMARY!AM22</f>
        <v>0</v>
      </c>
      <c r="I43" s="336"/>
      <c r="J43" s="336"/>
      <c r="K43" s="336"/>
      <c r="L43" s="336"/>
      <c r="M43" s="339"/>
      <c r="N43" s="336"/>
      <c r="O43" s="413">
        <f t="shared" si="0"/>
        <v>0</v>
      </c>
      <c r="P43" s="339"/>
      <c r="Q43" s="336"/>
      <c r="R43" s="336"/>
      <c r="S43" s="336"/>
      <c r="T43" s="336"/>
      <c r="U43" s="336"/>
      <c r="V43" s="329"/>
      <c r="W43" s="501"/>
      <c r="X43" s="329"/>
      <c r="Y43" s="502"/>
      <c r="Z43" s="502"/>
      <c r="AA43" s="502"/>
      <c r="AB43" s="502"/>
      <c r="AC43" s="502"/>
    </row>
    <row r="44" spans="1:29">
      <c r="A44" s="338"/>
      <c r="B44" s="413">
        <f>SUMMARY!AN3</f>
        <v>3</v>
      </c>
      <c r="C44" s="338" t="s">
        <v>346</v>
      </c>
      <c r="D44" s="336">
        <f>SUMMARY!AN18</f>
        <v>0</v>
      </c>
      <c r="E44" s="336">
        <f>SUMMARY!AN19</f>
        <v>0</v>
      </c>
      <c r="F44" s="336">
        <f>SUMMARY!AN20</f>
        <v>0</v>
      </c>
      <c r="G44" s="336">
        <f>SUMMARY!AN21</f>
        <v>0</v>
      </c>
      <c r="H44" s="336">
        <f>SUMMARY!AN22</f>
        <v>0</v>
      </c>
      <c r="I44" s="336"/>
      <c r="J44" s="336"/>
      <c r="K44" s="336"/>
      <c r="L44" s="336"/>
      <c r="M44" s="339"/>
      <c r="N44" s="336"/>
      <c r="O44" s="413">
        <f t="shared" si="0"/>
        <v>0</v>
      </c>
      <c r="P44" s="339"/>
      <c r="Q44" s="336"/>
      <c r="R44" s="336"/>
      <c r="S44" s="336"/>
      <c r="T44" s="336"/>
      <c r="U44" s="336"/>
      <c r="V44" s="329"/>
      <c r="W44" s="501"/>
      <c r="X44" s="329"/>
      <c r="Y44" s="502"/>
      <c r="Z44" s="502"/>
      <c r="AA44" s="502"/>
      <c r="AB44" s="502"/>
      <c r="AC44" s="502"/>
    </row>
    <row r="45" spans="1:29">
      <c r="A45" s="338"/>
      <c r="B45" s="413" t="str">
        <f>SUMMARY!AO3</f>
        <v>TOXISORB PREMIUM</v>
      </c>
      <c r="C45" s="338" t="s">
        <v>346</v>
      </c>
      <c r="D45" s="336">
        <f>SUMMARY!AO18</f>
        <v>4123</v>
      </c>
      <c r="E45" s="336">
        <f>SUMMARY!AO19</f>
        <v>2000</v>
      </c>
      <c r="F45" s="336">
        <f>SUMMARY!AO20</f>
        <v>2308</v>
      </c>
      <c r="G45" s="336">
        <f>SUMMARY!AO21</f>
        <v>0</v>
      </c>
      <c r="H45" s="336">
        <f>SUMMARY!AO22</f>
        <v>4195</v>
      </c>
      <c r="I45" s="336"/>
      <c r="J45" s="336"/>
      <c r="K45" s="336"/>
      <c r="L45" s="336"/>
      <c r="M45" s="339"/>
      <c r="N45" s="336"/>
      <c r="O45" s="413">
        <f t="shared" si="0"/>
        <v>-4195</v>
      </c>
      <c r="P45" s="339"/>
      <c r="Q45" s="336"/>
      <c r="R45" s="499"/>
      <c r="S45" s="336"/>
      <c r="T45" s="500"/>
      <c r="U45" s="336"/>
      <c r="V45" s="329"/>
      <c r="W45" s="501"/>
      <c r="X45" s="329"/>
      <c r="Y45" s="502"/>
      <c r="Z45" s="502"/>
      <c r="AA45" s="502"/>
      <c r="AB45" s="502"/>
      <c r="AC45" s="502"/>
    </row>
    <row r="46" spans="1:29">
      <c r="A46" s="338"/>
      <c r="B46" s="413" t="str">
        <f>SUMMARY!AP3</f>
        <v>SODIUM HUMATE 3.8% (HARUMI)</v>
      </c>
      <c r="C46" s="338" t="s">
        <v>346</v>
      </c>
      <c r="D46" s="336">
        <f>SUMMARY!AP18</f>
        <v>0</v>
      </c>
      <c r="E46" s="336">
        <f>SUMMARY!AP19</f>
        <v>2478</v>
      </c>
      <c r="F46" s="336">
        <f>SUMMARY!AP20</f>
        <v>3384</v>
      </c>
      <c r="G46" s="336">
        <f>SUMMARY!AP21</f>
        <v>0</v>
      </c>
      <c r="H46" s="336">
        <f>SUMMARY!AP22</f>
        <v>0</v>
      </c>
      <c r="I46" s="336"/>
      <c r="J46" s="336"/>
      <c r="K46" s="336"/>
      <c r="L46" s="336"/>
      <c r="M46" s="339"/>
      <c r="N46" s="336"/>
      <c r="O46" s="413">
        <f t="shared" si="0"/>
        <v>0</v>
      </c>
      <c r="P46" s="339"/>
      <c r="Q46" s="336"/>
      <c r="R46" s="499"/>
      <c r="S46" s="336"/>
      <c r="T46" s="500"/>
      <c r="U46" s="336"/>
      <c r="V46" s="329"/>
      <c r="W46" s="501"/>
      <c r="X46" s="329"/>
      <c r="Y46" s="502"/>
      <c r="Z46" s="502"/>
      <c r="AA46" s="502"/>
      <c r="AB46" s="502"/>
      <c r="AC46" s="502"/>
    </row>
    <row r="47" spans="1:29">
      <c r="A47" s="338"/>
      <c r="B47" s="413" t="str">
        <f>SUMMARY!AR3</f>
        <v>SODIUM BICARBONATE</v>
      </c>
      <c r="C47" s="338" t="s">
        <v>346</v>
      </c>
      <c r="D47" s="336">
        <f>SUMMARY!AR18</f>
        <v>1947.7</v>
      </c>
      <c r="E47" s="336">
        <f>SUMMARY!AR19</f>
        <v>3000</v>
      </c>
      <c r="F47" s="336">
        <f>SUMMARY!AR20</f>
        <v>795.19999999999993</v>
      </c>
      <c r="G47" s="475">
        <f>SUMMARY!AR21</f>
        <v>0</v>
      </c>
      <c r="H47" s="336">
        <f>SUMMARY!AR22</f>
        <v>4152.5</v>
      </c>
      <c r="I47" s="336"/>
      <c r="J47" s="336"/>
      <c r="K47" s="336"/>
      <c r="L47" s="336"/>
      <c r="M47" s="339"/>
      <c r="N47" s="336"/>
      <c r="O47" s="413"/>
      <c r="P47" s="339"/>
      <c r="Q47" s="336"/>
      <c r="R47" s="499"/>
      <c r="S47" s="336"/>
      <c r="T47" s="500"/>
      <c r="U47" s="336"/>
      <c r="V47" s="329"/>
      <c r="W47" s="501"/>
      <c r="X47" s="329"/>
      <c r="Y47" s="502"/>
      <c r="Z47" s="502"/>
      <c r="AA47" s="502"/>
      <c r="AB47" s="502"/>
      <c r="AC47" s="502"/>
    </row>
    <row r="48" spans="1:29">
      <c r="A48" s="338"/>
      <c r="B48" s="413"/>
      <c r="C48" s="338"/>
      <c r="D48" s="336"/>
      <c r="E48" s="336"/>
      <c r="F48" s="336"/>
      <c r="G48" s="336"/>
      <c r="H48" s="336"/>
      <c r="I48" s="336"/>
      <c r="J48" s="336"/>
      <c r="K48" s="336"/>
      <c r="L48" s="336"/>
      <c r="M48" s="339"/>
      <c r="N48" s="336"/>
      <c r="O48" s="413"/>
      <c r="P48" s="339"/>
      <c r="Q48" s="336"/>
      <c r="R48" s="499"/>
      <c r="S48" s="336"/>
      <c r="T48" s="500"/>
      <c r="U48" s="336"/>
      <c r="V48" s="329"/>
      <c r="W48" s="501"/>
      <c r="X48" s="329"/>
      <c r="Y48" s="502"/>
      <c r="Z48" s="502"/>
      <c r="AA48" s="502"/>
      <c r="AB48" s="502"/>
      <c r="AC48" s="502"/>
    </row>
    <row r="49" spans="1:29">
      <c r="A49" s="338"/>
      <c r="B49" s="310" t="s">
        <v>348</v>
      </c>
      <c r="C49" s="338"/>
      <c r="D49" s="336"/>
      <c r="E49" s="336"/>
      <c r="F49" s="336"/>
      <c r="G49" s="336"/>
      <c r="H49" s="336"/>
      <c r="I49" s="336"/>
      <c r="J49" s="336"/>
      <c r="K49" s="336"/>
      <c r="L49" s="336"/>
      <c r="M49" s="339"/>
      <c r="N49" s="336"/>
      <c r="O49" s="413"/>
      <c r="P49" s="339"/>
      <c r="Q49" s="336"/>
      <c r="R49" s="499"/>
      <c r="S49" s="336"/>
      <c r="T49" s="500"/>
      <c r="U49" s="336"/>
      <c r="V49" s="329"/>
      <c r="W49" s="501"/>
      <c r="X49" s="329"/>
      <c r="Y49" s="502"/>
      <c r="Z49" s="502"/>
      <c r="AA49" s="502"/>
      <c r="AB49" s="502"/>
      <c r="AC49" s="502"/>
    </row>
    <row r="50" spans="1:29">
      <c r="A50" s="338"/>
      <c r="B50" s="413" t="str">
        <f>SUMMARY!AQ3</f>
        <v>TOXIWALL</v>
      </c>
      <c r="C50" s="338" t="s">
        <v>349</v>
      </c>
      <c r="D50" s="336">
        <f>SUMMARY!AQ18</f>
        <v>0</v>
      </c>
      <c r="E50" s="336">
        <f>SUMMARY!AQ19</f>
        <v>2065</v>
      </c>
      <c r="F50" s="336">
        <f>SUMMARY!AQ20</f>
        <v>50</v>
      </c>
      <c r="G50" s="336">
        <f>SUMMARY!AQ21</f>
        <v>0</v>
      </c>
      <c r="H50" s="336">
        <f>SUMMARY!AQ22</f>
        <v>2065</v>
      </c>
      <c r="I50" s="336"/>
      <c r="J50" s="336"/>
      <c r="K50" s="336"/>
      <c r="L50" s="336"/>
      <c r="M50" s="339"/>
      <c r="N50" s="336"/>
      <c r="O50" s="413">
        <f t="shared" si="0"/>
        <v>-2065</v>
      </c>
      <c r="P50" s="339"/>
      <c r="Q50" s="336"/>
      <c r="R50" s="499"/>
      <c r="S50" s="336"/>
      <c r="T50" s="500"/>
      <c r="U50" s="336"/>
      <c r="V50" s="329"/>
      <c r="W50" s="501"/>
      <c r="X50" s="329"/>
      <c r="Y50" s="502"/>
      <c r="Z50" s="502"/>
      <c r="AA50" s="502"/>
      <c r="AB50" s="502"/>
      <c r="AC50" s="502"/>
    </row>
    <row r="51" spans="1:29">
      <c r="A51" s="338"/>
      <c r="B51" s="413" t="str">
        <f>SUMMARY!AS3</f>
        <v>BMD 10%</v>
      </c>
      <c r="C51" s="338" t="s">
        <v>349</v>
      </c>
      <c r="D51" s="336">
        <f>SUMMARY!AS18</f>
        <v>1680.5</v>
      </c>
      <c r="E51" s="336">
        <f>SUMMARY!AS19</f>
        <v>0</v>
      </c>
      <c r="F51" s="336">
        <f>SUMMARY!AS20</f>
        <v>0</v>
      </c>
      <c r="G51" s="336">
        <f>SUMMARY!AS21</f>
        <v>0</v>
      </c>
      <c r="H51" s="336">
        <f>SUMMARY!AS22</f>
        <v>1680.5</v>
      </c>
      <c r="I51" s="336"/>
      <c r="J51" s="336"/>
      <c r="K51" s="336"/>
      <c r="L51" s="336"/>
      <c r="M51" s="339"/>
      <c r="N51" s="336"/>
      <c r="O51" s="413">
        <f t="shared" si="0"/>
        <v>-1680.5</v>
      </c>
      <c r="P51" s="339"/>
      <c r="Q51" s="336"/>
      <c r="R51" s="499"/>
      <c r="S51" s="336"/>
      <c r="T51" s="500"/>
      <c r="U51" s="336"/>
      <c r="V51" s="329"/>
      <c r="W51" s="501"/>
      <c r="X51" s="329"/>
      <c r="Y51" s="502"/>
      <c r="Z51" s="502"/>
      <c r="AA51" s="502"/>
      <c r="AB51" s="502"/>
      <c r="AC51" s="502"/>
    </row>
    <row r="52" spans="1:29">
      <c r="A52" s="338"/>
      <c r="B52" s="413" t="str">
        <f>SUMMARY!AT3</f>
        <v>SALT (HARUMI)</v>
      </c>
      <c r="C52" s="338" t="s">
        <v>349</v>
      </c>
      <c r="D52" s="336">
        <f>SUMMARY!AT18</f>
        <v>0</v>
      </c>
      <c r="E52" s="336">
        <f>SUMMARY!AT19</f>
        <v>2160</v>
      </c>
      <c r="F52" s="336">
        <f>SUMMARY!AT20</f>
        <v>2160</v>
      </c>
      <c r="G52" s="336">
        <f>SUMMARY!AT21</f>
        <v>0</v>
      </c>
      <c r="H52" s="336">
        <f>SUMMARY!AT22</f>
        <v>0</v>
      </c>
      <c r="I52" s="336"/>
      <c r="J52" s="336"/>
      <c r="K52" s="336"/>
      <c r="L52" s="336"/>
      <c r="M52" s="339"/>
      <c r="N52" s="336"/>
      <c r="O52" s="413">
        <f t="shared" si="0"/>
        <v>0</v>
      </c>
      <c r="P52" s="339"/>
      <c r="Q52" s="336"/>
      <c r="R52" s="499"/>
      <c r="S52" s="336"/>
      <c r="T52" s="500"/>
      <c r="U52" s="336"/>
      <c r="V52" s="329"/>
      <c r="W52" s="501"/>
      <c r="X52" s="329"/>
      <c r="Y52" s="502"/>
      <c r="Z52" s="502"/>
      <c r="AA52" s="502"/>
      <c r="AB52" s="502"/>
      <c r="AC52" s="502"/>
    </row>
    <row r="53" spans="1:29">
      <c r="A53" s="338"/>
      <c r="B53" s="413" t="str">
        <f>SUMMARY!AU3</f>
        <v>VISTABET 91</v>
      </c>
      <c r="C53" s="338" t="s">
        <v>349</v>
      </c>
      <c r="D53" s="336">
        <f>SUMMARY!AU18</f>
        <v>0</v>
      </c>
      <c r="E53" s="336">
        <f>SUMMARY!AU19</f>
        <v>2000</v>
      </c>
      <c r="F53" s="336">
        <f>SUMMARY!AU20</f>
        <v>1000</v>
      </c>
      <c r="G53" s="336">
        <f>SUMMARY!AU21</f>
        <v>0</v>
      </c>
      <c r="H53" s="336">
        <f>SUMMARY!AU22</f>
        <v>1000</v>
      </c>
      <c r="I53" s="336"/>
      <c r="J53" s="336"/>
      <c r="K53" s="336"/>
      <c r="L53" s="336"/>
      <c r="M53" s="339"/>
      <c r="N53" s="336"/>
      <c r="O53" s="413">
        <f t="shared" si="0"/>
        <v>-1000</v>
      </c>
      <c r="P53" s="339"/>
      <c r="Q53" s="336"/>
      <c r="R53" s="499"/>
      <c r="S53" s="336"/>
      <c r="T53" s="500"/>
      <c r="U53" s="336"/>
      <c r="V53" s="329"/>
      <c r="W53" s="501"/>
      <c r="X53" s="329"/>
      <c r="Y53" s="502"/>
      <c r="Z53" s="502"/>
      <c r="AA53" s="502"/>
      <c r="AB53" s="502"/>
      <c r="AC53" s="502"/>
    </row>
    <row r="54" spans="1:29">
      <c r="A54" s="338"/>
      <c r="B54" s="413" t="str">
        <f>SUMMARY!AV3</f>
        <v>BETAFIN</v>
      </c>
      <c r="C54" s="338" t="s">
        <v>349</v>
      </c>
      <c r="D54" s="336">
        <f>SUMMARY!AV18</f>
        <v>0</v>
      </c>
      <c r="E54" s="336">
        <f>SUMMARY!AV19</f>
        <v>0</v>
      </c>
      <c r="F54" s="336">
        <f>SUMMARY!AV20</f>
        <v>0</v>
      </c>
      <c r="G54" s="336">
        <f>SUMMARY!AV21</f>
        <v>0</v>
      </c>
      <c r="H54" s="336">
        <f>SUMMARY!AV22</f>
        <v>0</v>
      </c>
      <c r="I54" s="336"/>
      <c r="J54" s="336"/>
      <c r="K54" s="336"/>
      <c r="L54" s="336"/>
      <c r="M54" s="339"/>
      <c r="N54" s="336"/>
      <c r="O54" s="413">
        <f t="shared" si="0"/>
        <v>0</v>
      </c>
      <c r="P54" s="339"/>
      <c r="Q54" s="336"/>
      <c r="R54" s="499"/>
      <c r="S54" s="336"/>
      <c r="T54" s="500"/>
      <c r="U54" s="336"/>
      <c r="V54" s="329"/>
      <c r="W54" s="501"/>
      <c r="X54" s="329"/>
      <c r="Y54" s="502"/>
      <c r="Z54" s="502"/>
      <c r="AA54" s="502"/>
      <c r="AB54" s="502"/>
      <c r="AC54" s="502"/>
    </row>
    <row r="55" spans="1:29">
      <c r="A55" s="338"/>
      <c r="B55" s="413" t="str">
        <f>SUMMARY!AW3</f>
        <v>8101 TOP UP</v>
      </c>
      <c r="C55" s="338" t="s">
        <v>349</v>
      </c>
      <c r="D55" s="336">
        <f>SUMMARY!AW18</f>
        <v>100</v>
      </c>
      <c r="E55" s="336">
        <f>SUMMARY!AW19</f>
        <v>0</v>
      </c>
      <c r="F55" s="336">
        <f>SUMMARY!AW20</f>
        <v>0</v>
      </c>
      <c r="G55" s="336">
        <f>SUMMARY!AW21</f>
        <v>0</v>
      </c>
      <c r="H55" s="336">
        <f>SUMMARY!AW22</f>
        <v>100</v>
      </c>
      <c r="I55" s="336"/>
      <c r="J55" s="336"/>
      <c r="K55" s="336"/>
      <c r="L55" s="336"/>
      <c r="M55" s="339"/>
      <c r="N55" s="336"/>
      <c r="O55" s="413">
        <f t="shared" si="0"/>
        <v>-100</v>
      </c>
      <c r="P55" s="339"/>
      <c r="Q55" s="336"/>
      <c r="R55" s="499"/>
      <c r="S55" s="336"/>
      <c r="T55" s="500"/>
      <c r="U55" s="336"/>
      <c r="V55" s="329"/>
      <c r="W55" s="501"/>
      <c r="X55" s="329"/>
      <c r="Y55" s="502"/>
      <c r="Z55" s="502"/>
      <c r="AA55" s="502"/>
      <c r="AB55" s="502"/>
      <c r="AC55" s="502"/>
    </row>
    <row r="56" spans="1:29">
      <c r="A56" s="338"/>
      <c r="B56" s="413" t="str">
        <f>SUMMARY!AX3</f>
        <v>NORPONIN X03 (8102 TOP UP)</v>
      </c>
      <c r="C56" s="338" t="s">
        <v>349</v>
      </c>
      <c r="D56" s="336">
        <f>SUMMARY!AX18</f>
        <v>13.960000000000036</v>
      </c>
      <c r="E56" s="336">
        <f>SUMMARY!AX19</f>
        <v>0</v>
      </c>
      <c r="F56" s="336">
        <f>SUMMARY!AX20</f>
        <v>0</v>
      </c>
      <c r="G56" s="336">
        <f>SUMMARY!AX21</f>
        <v>0</v>
      </c>
      <c r="H56" s="336">
        <f>SUMMARY!AX22</f>
        <v>13.960000000000036</v>
      </c>
      <c r="I56" s="336"/>
      <c r="J56" s="336"/>
      <c r="K56" s="336"/>
      <c r="L56" s="336"/>
      <c r="M56" s="339"/>
      <c r="N56" s="336"/>
      <c r="O56" s="413">
        <f t="shared" si="0"/>
        <v>-13.960000000000036</v>
      </c>
      <c r="P56" s="339"/>
      <c r="Q56" s="336"/>
      <c r="R56" s="499"/>
      <c r="S56" s="336"/>
      <c r="T56" s="500"/>
      <c r="U56" s="336"/>
      <c r="V56" s="329"/>
      <c r="W56" s="501"/>
      <c r="X56" s="329"/>
      <c r="Y56" s="502"/>
      <c r="Z56" s="502"/>
      <c r="AA56" s="502"/>
      <c r="AB56" s="502"/>
      <c r="AC56" s="502"/>
    </row>
    <row r="57" spans="1:29">
      <c r="A57" s="338"/>
      <c r="B57" s="413" t="str">
        <f>SUMMARY!AY3</f>
        <v>8102 TOP UP (4KG)</v>
      </c>
      <c r="C57" s="338" t="s">
        <v>349</v>
      </c>
      <c r="D57" s="336">
        <f>SUMMARY!AY18</f>
        <v>344</v>
      </c>
      <c r="E57" s="336">
        <f>SUMMARY!AY19</f>
        <v>868</v>
      </c>
      <c r="F57" s="336">
        <f>SUMMARY!AY20</f>
        <v>0</v>
      </c>
      <c r="G57" s="336">
        <f>SUMMARY!AY21</f>
        <v>0</v>
      </c>
      <c r="H57" s="336">
        <f>SUMMARY!AY22</f>
        <v>1212</v>
      </c>
      <c r="I57" s="336"/>
      <c r="J57" s="336"/>
      <c r="K57" s="336"/>
      <c r="L57" s="336"/>
      <c r="M57" s="339"/>
      <c r="N57" s="336"/>
      <c r="O57" s="413">
        <f t="shared" si="0"/>
        <v>-1212</v>
      </c>
      <c r="P57" s="339"/>
      <c r="Q57" s="336"/>
      <c r="R57" s="499"/>
      <c r="S57" s="336"/>
      <c r="T57" s="500"/>
      <c r="U57" s="336"/>
      <c r="V57" s="329"/>
      <c r="W57" s="501"/>
      <c r="X57" s="329"/>
      <c r="Y57" s="502"/>
      <c r="Z57" s="502"/>
      <c r="AA57" s="502"/>
      <c r="AB57" s="502"/>
      <c r="AC57" s="502"/>
    </row>
    <row r="58" spans="1:29">
      <c r="A58" s="338"/>
      <c r="B58" s="413" t="str">
        <f>SUMMARY!AZ3</f>
        <v>8103 TOP UP (5KG)</v>
      </c>
      <c r="C58" s="338" t="s">
        <v>349</v>
      </c>
      <c r="D58" s="336">
        <f>SUMMARY!AZ18</f>
        <v>0</v>
      </c>
      <c r="E58" s="336">
        <f>SUMMARY!AZ19</f>
        <v>400</v>
      </c>
      <c r="F58" s="336">
        <f>SUMMARY!AZ20</f>
        <v>0</v>
      </c>
      <c r="G58" s="336">
        <f>SUMMARY!AZ21</f>
        <v>0</v>
      </c>
      <c r="H58" s="336">
        <f>SUMMARY!AZ22</f>
        <v>400</v>
      </c>
      <c r="I58" s="336"/>
      <c r="J58" s="336"/>
      <c r="K58" s="336"/>
      <c r="L58" s="336"/>
      <c r="M58" s="339"/>
      <c r="N58" s="336"/>
      <c r="O58" s="413">
        <f t="shared" si="0"/>
        <v>-400</v>
      </c>
      <c r="P58" s="339"/>
      <c r="Q58" s="336"/>
      <c r="R58" s="499"/>
      <c r="S58" s="336"/>
      <c r="T58" s="500"/>
      <c r="U58" s="336"/>
      <c r="V58" s="329"/>
      <c r="W58" s="501"/>
      <c r="X58" s="329"/>
      <c r="Y58" s="502"/>
      <c r="Z58" s="502"/>
      <c r="AA58" s="502"/>
      <c r="AB58" s="502"/>
      <c r="AC58" s="502"/>
    </row>
    <row r="59" spans="1:29">
      <c r="A59" s="338"/>
      <c r="B59" s="413" t="str">
        <f>SUMMARY!BA3</f>
        <v>L-ARGININE</v>
      </c>
      <c r="C59" s="338" t="s">
        <v>346</v>
      </c>
      <c r="D59" s="336"/>
      <c r="E59" s="336"/>
      <c r="F59" s="336"/>
      <c r="G59" s="336"/>
      <c r="H59" s="336"/>
      <c r="I59" s="336"/>
      <c r="J59" s="336"/>
      <c r="K59" s="336"/>
      <c r="L59" s="336"/>
      <c r="M59" s="339"/>
      <c r="N59" s="336"/>
      <c r="O59" s="413"/>
      <c r="P59" s="339"/>
      <c r="Q59" s="336"/>
      <c r="R59" s="499"/>
      <c r="S59" s="336"/>
      <c r="T59" s="500"/>
      <c r="U59" s="336"/>
      <c r="V59" s="329"/>
      <c r="W59" s="501"/>
      <c r="X59" s="329"/>
      <c r="Y59" s="502"/>
      <c r="Z59" s="502"/>
      <c r="AA59" s="502"/>
      <c r="AB59" s="502"/>
      <c r="AC59" s="502"/>
    </row>
    <row r="60" spans="1:29">
      <c r="A60" s="338"/>
      <c r="B60" s="413" t="str">
        <f>SUMMARY!BB3</f>
        <v>DL-METHIONINE</v>
      </c>
      <c r="C60" s="338" t="s">
        <v>346</v>
      </c>
      <c r="D60" s="336"/>
      <c r="E60" s="336"/>
      <c r="F60" s="336"/>
      <c r="G60" s="336"/>
      <c r="H60" s="336"/>
      <c r="I60" s="336"/>
      <c r="J60" s="336"/>
      <c r="K60" s="336"/>
      <c r="L60" s="336"/>
      <c r="M60" s="339"/>
      <c r="N60" s="336"/>
      <c r="O60" s="413"/>
      <c r="P60" s="339"/>
      <c r="Q60" s="336"/>
      <c r="R60" s="499"/>
      <c r="S60" s="336"/>
      <c r="T60" s="500"/>
      <c r="U60" s="336"/>
      <c r="V60" s="329"/>
      <c r="W60" s="501"/>
      <c r="X60" s="329"/>
      <c r="Y60" s="502"/>
      <c r="Z60" s="502"/>
      <c r="AA60" s="502"/>
      <c r="AB60" s="502"/>
      <c r="AC60" s="502"/>
    </row>
    <row r="61" spans="1:29">
      <c r="A61" s="338"/>
      <c r="B61" s="413" t="str">
        <f>SUMMARY!BC3</f>
        <v>L-THREONINE</v>
      </c>
      <c r="C61" s="338" t="s">
        <v>346</v>
      </c>
      <c r="D61" s="336"/>
      <c r="E61" s="336"/>
      <c r="F61" s="336"/>
      <c r="G61" s="336"/>
      <c r="H61" s="336"/>
      <c r="I61" s="336"/>
      <c r="J61" s="336"/>
      <c r="K61" s="336"/>
      <c r="L61" s="336"/>
      <c r="M61" s="339"/>
      <c r="N61" s="303"/>
      <c r="O61" s="303"/>
      <c r="P61" s="339"/>
      <c r="Q61" s="336"/>
      <c r="R61" s="499"/>
      <c r="S61" s="336"/>
      <c r="T61" s="500"/>
      <c r="U61" s="336"/>
      <c r="V61" s="329"/>
      <c r="W61" s="329"/>
      <c r="X61" s="329"/>
      <c r="Y61" s="329"/>
      <c r="Z61" s="329"/>
      <c r="AA61" s="329"/>
      <c r="AB61" s="329"/>
      <c r="AC61" s="329"/>
    </row>
    <row r="62" spans="1:29">
      <c r="A62" s="338"/>
      <c r="B62" s="413" t="str">
        <f>SUMMARY!BD3</f>
        <v>L-LYSINE</v>
      </c>
      <c r="C62" s="338" t="s">
        <v>346</v>
      </c>
      <c r="D62" s="356"/>
      <c r="E62" s="356"/>
      <c r="F62" s="356"/>
      <c r="G62" s="356"/>
      <c r="H62" s="356"/>
      <c r="I62" s="336"/>
      <c r="J62" s="336"/>
      <c r="K62" s="356"/>
      <c r="L62" s="336"/>
      <c r="M62" s="339"/>
      <c r="N62" s="303"/>
      <c r="O62" s="303"/>
      <c r="P62" s="339"/>
      <c r="Q62" s="336"/>
      <c r="R62" s="499"/>
      <c r="S62" s="336"/>
      <c r="T62" s="500"/>
      <c r="U62" s="336"/>
      <c r="V62" s="329"/>
      <c r="W62" s="329"/>
      <c r="X62" s="329"/>
      <c r="Y62" s="329"/>
      <c r="Z62" s="329"/>
      <c r="AA62" s="329"/>
      <c r="AB62" s="329"/>
      <c r="AC62" s="329"/>
    </row>
    <row r="63" spans="1:29">
      <c r="A63" s="338"/>
      <c r="B63" s="413"/>
      <c r="C63" s="338"/>
      <c r="D63" s="356"/>
      <c r="E63" s="356"/>
      <c r="F63" s="356"/>
      <c r="G63" s="356"/>
      <c r="H63" s="356"/>
      <c r="I63" s="336"/>
      <c r="J63" s="336"/>
      <c r="K63" s="356"/>
      <c r="L63" s="336"/>
      <c r="M63" s="339"/>
      <c r="N63" s="303"/>
      <c r="O63" s="303"/>
      <c r="P63" s="339"/>
      <c r="Q63" s="336"/>
      <c r="R63" s="499"/>
      <c r="S63" s="336"/>
      <c r="T63" s="500"/>
      <c r="U63" s="336"/>
      <c r="V63" s="329"/>
      <c r="W63" s="329"/>
      <c r="X63" s="329"/>
      <c r="Y63" s="329"/>
      <c r="Z63" s="329"/>
      <c r="AA63" s="329"/>
      <c r="AB63" s="329"/>
      <c r="AC63" s="329"/>
    </row>
    <row r="64" spans="1:29">
      <c r="A64" s="338"/>
      <c r="B64" s="413"/>
      <c r="C64" s="338"/>
      <c r="D64" s="356"/>
      <c r="E64" s="356"/>
      <c r="F64" s="356"/>
      <c r="G64" s="356"/>
      <c r="H64" s="356"/>
      <c r="I64" s="336"/>
      <c r="J64" s="336"/>
      <c r="K64" s="356"/>
      <c r="L64" s="336"/>
      <c r="M64" s="339"/>
      <c r="N64" s="303"/>
      <c r="O64" s="303"/>
      <c r="P64" s="339"/>
      <c r="Q64" s="336"/>
      <c r="R64" s="499"/>
      <c r="S64" s="336"/>
      <c r="T64" s="500"/>
      <c r="U64" s="336"/>
      <c r="V64" s="329"/>
      <c r="W64" s="329"/>
      <c r="X64" s="329"/>
      <c r="Y64" s="329"/>
      <c r="Z64" s="329"/>
      <c r="AA64" s="329"/>
      <c r="AB64" s="329"/>
      <c r="AC64" s="329"/>
    </row>
    <row r="65" spans="1:21">
      <c r="A65" s="338"/>
      <c r="B65" s="413"/>
      <c r="C65" s="338"/>
      <c r="D65" s="356"/>
      <c r="E65" s="356"/>
      <c r="F65" s="356"/>
      <c r="G65" s="356"/>
      <c r="H65" s="356"/>
      <c r="I65" s="336"/>
      <c r="J65" s="336"/>
      <c r="K65" s="356"/>
      <c r="L65" s="336"/>
      <c r="M65" s="339"/>
      <c r="N65" s="303"/>
      <c r="O65" s="303"/>
      <c r="P65" s="339"/>
      <c r="Q65" s="336"/>
      <c r="R65" s="499"/>
      <c r="S65" s="336"/>
      <c r="T65" s="500"/>
      <c r="U65" s="336"/>
    </row>
    <row r="66" spans="1:21">
      <c r="A66" s="338"/>
      <c r="B66" s="413"/>
      <c r="C66" s="338"/>
      <c r="D66" s="356"/>
      <c r="E66" s="356"/>
      <c r="F66" s="356"/>
      <c r="G66" s="356"/>
      <c r="H66" s="356"/>
      <c r="I66" s="336"/>
      <c r="J66" s="336"/>
      <c r="K66" s="356"/>
      <c r="L66" s="336"/>
      <c r="M66" s="339"/>
      <c r="N66" s="303"/>
      <c r="O66" s="303"/>
      <c r="P66" s="339"/>
      <c r="Q66" s="336"/>
      <c r="R66" s="499"/>
      <c r="S66" s="336"/>
      <c r="T66" s="500"/>
      <c r="U66" s="336"/>
    </row>
    <row r="67" spans="1:21">
      <c r="A67" s="338"/>
      <c r="B67" s="413"/>
      <c r="C67" s="338"/>
      <c r="D67" s="356"/>
      <c r="E67" s="356"/>
      <c r="F67" s="356"/>
      <c r="G67" s="356"/>
      <c r="H67" s="356"/>
      <c r="I67" s="336"/>
      <c r="J67" s="336"/>
      <c r="K67" s="356"/>
      <c r="L67" s="336"/>
      <c r="M67" s="339"/>
      <c r="N67" s="303"/>
      <c r="O67" s="303"/>
      <c r="P67" s="339"/>
      <c r="Q67" s="336"/>
      <c r="R67" s="499"/>
      <c r="S67" s="336"/>
      <c r="T67" s="500"/>
      <c r="U67" s="336"/>
    </row>
    <row r="68" spans="1:21">
      <c r="A68" s="338"/>
      <c r="B68" s="413"/>
      <c r="C68" s="338"/>
      <c r="D68" s="356"/>
      <c r="E68" s="356"/>
      <c r="F68" s="356"/>
      <c r="G68" s="356"/>
      <c r="H68" s="356"/>
      <c r="I68" s="336"/>
      <c r="J68" s="336"/>
      <c r="K68" s="356"/>
      <c r="L68" s="336"/>
      <c r="M68" s="339"/>
      <c r="N68" s="303"/>
      <c r="O68" s="303"/>
      <c r="P68" s="339"/>
      <c r="Q68" s="336"/>
      <c r="R68" s="499"/>
      <c r="S68" s="336"/>
      <c r="T68" s="500"/>
      <c r="U68" s="336"/>
    </row>
    <row r="69" spans="1:21">
      <c r="A69" s="338"/>
      <c r="B69" s="413"/>
      <c r="C69" s="338"/>
      <c r="D69" s="356"/>
      <c r="E69" s="356"/>
      <c r="F69" s="356"/>
      <c r="G69" s="356"/>
      <c r="H69" s="356"/>
      <c r="I69" s="336"/>
      <c r="J69" s="336"/>
      <c r="K69" s="356"/>
      <c r="L69" s="336"/>
      <c r="M69" s="339"/>
      <c r="N69" s="303"/>
      <c r="O69" s="303"/>
      <c r="P69" s="339"/>
      <c r="Q69" s="336"/>
      <c r="R69" s="499"/>
      <c r="S69" s="336"/>
      <c r="T69" s="500"/>
      <c r="U69" s="336"/>
    </row>
    <row r="70" spans="1:21">
      <c r="A70" s="338"/>
      <c r="B70" s="413"/>
      <c r="C70" s="338"/>
      <c r="D70" s="356"/>
      <c r="E70" s="356"/>
      <c r="F70" s="356"/>
      <c r="G70" s="356"/>
      <c r="H70" s="356"/>
      <c r="I70" s="336"/>
      <c r="J70" s="336"/>
      <c r="K70" s="356"/>
      <c r="L70" s="336"/>
      <c r="M70" s="339"/>
      <c r="N70" s="303"/>
      <c r="O70" s="303"/>
      <c r="P70" s="339"/>
      <c r="Q70" s="336"/>
      <c r="R70" s="499"/>
      <c r="S70" s="336"/>
      <c r="T70" s="500"/>
      <c r="U70" s="336"/>
    </row>
    <row r="71" spans="1:21">
      <c r="A71" s="338"/>
      <c r="B71" s="413"/>
      <c r="C71" s="338"/>
      <c r="D71" s="356"/>
      <c r="E71" s="356"/>
      <c r="F71" s="356"/>
      <c r="G71" s="356"/>
      <c r="H71" s="356"/>
      <c r="I71" s="336"/>
      <c r="J71" s="336"/>
      <c r="K71" s="356"/>
      <c r="L71" s="336"/>
      <c r="M71" s="339"/>
      <c r="N71" s="303"/>
      <c r="O71" s="303"/>
      <c r="P71" s="339"/>
      <c r="Q71" s="336"/>
      <c r="R71" s="499"/>
      <c r="S71" s="336"/>
      <c r="T71" s="500"/>
      <c r="U71" s="336"/>
    </row>
    <row r="72" spans="1:21">
      <c r="A72" s="338"/>
      <c r="B72" s="413"/>
      <c r="C72" s="338"/>
      <c r="D72" s="356"/>
      <c r="E72" s="356"/>
      <c r="F72" s="356"/>
      <c r="G72" s="356"/>
      <c r="H72" s="356"/>
      <c r="I72" s="336"/>
      <c r="J72" s="336"/>
      <c r="K72" s="356"/>
      <c r="L72" s="336"/>
      <c r="M72" s="339"/>
      <c r="N72" s="303"/>
      <c r="O72" s="303"/>
      <c r="P72" s="339"/>
      <c r="Q72" s="336"/>
      <c r="R72" s="499"/>
      <c r="S72" s="336"/>
      <c r="T72" s="500"/>
      <c r="U72" s="336"/>
    </row>
    <row r="73" spans="1:21">
      <c r="A73" s="338"/>
      <c r="B73" s="413"/>
      <c r="C73" s="338"/>
      <c r="D73" s="356"/>
      <c r="E73" s="356"/>
      <c r="F73" s="356"/>
      <c r="G73" s="356"/>
      <c r="H73" s="356"/>
      <c r="I73" s="336"/>
      <c r="J73" s="336"/>
      <c r="K73" s="356"/>
      <c r="L73" s="336"/>
      <c r="M73" s="339"/>
      <c r="N73" s="303"/>
      <c r="O73" s="303"/>
      <c r="P73" s="339"/>
      <c r="Q73" s="336"/>
      <c r="R73" s="499"/>
      <c r="S73" s="336"/>
      <c r="T73" s="500"/>
      <c r="U73" s="336"/>
    </row>
    <row r="74" spans="1:21">
      <c r="A74" s="338"/>
      <c r="B74" s="413"/>
      <c r="C74" s="338"/>
      <c r="D74" s="356"/>
      <c r="E74" s="356"/>
      <c r="F74" s="356"/>
      <c r="G74" s="356"/>
      <c r="H74" s="356"/>
      <c r="I74" s="336"/>
      <c r="J74" s="336"/>
      <c r="K74" s="356"/>
      <c r="L74" s="336"/>
      <c r="M74" s="339"/>
      <c r="N74" s="303"/>
      <c r="O74" s="303"/>
      <c r="P74" s="339"/>
      <c r="Q74" s="336"/>
      <c r="R74" s="499"/>
      <c r="S74" s="336"/>
      <c r="T74" s="500"/>
      <c r="U74" s="336"/>
    </row>
    <row r="75" spans="1:21">
      <c r="A75" s="338"/>
      <c r="B75" s="413"/>
      <c r="C75" s="338"/>
      <c r="D75" s="356"/>
      <c r="E75" s="356"/>
      <c r="F75" s="356"/>
      <c r="G75" s="356"/>
      <c r="H75" s="356"/>
      <c r="I75" s="336"/>
      <c r="J75" s="336"/>
      <c r="K75" s="356"/>
      <c r="L75" s="336"/>
      <c r="M75" s="339"/>
      <c r="N75" s="303"/>
      <c r="O75" s="303"/>
      <c r="P75" s="339"/>
      <c r="Q75" s="336"/>
      <c r="R75" s="499"/>
      <c r="S75" s="336"/>
      <c r="T75" s="500"/>
      <c r="U75" s="336"/>
    </row>
    <row r="76" spans="1:21">
      <c r="A76" s="338"/>
      <c r="B76" s="413"/>
      <c r="C76" s="338"/>
      <c r="D76" s="356"/>
      <c r="E76" s="356"/>
      <c r="F76" s="356"/>
      <c r="G76" s="356"/>
      <c r="H76" s="356"/>
      <c r="I76" s="336"/>
      <c r="J76" s="336"/>
      <c r="K76" s="356"/>
      <c r="L76" s="336"/>
      <c r="M76" s="339"/>
      <c r="N76" s="303"/>
      <c r="O76" s="303"/>
      <c r="P76" s="339"/>
      <c r="Q76" s="336"/>
      <c r="R76" s="499"/>
      <c r="S76" s="336"/>
      <c r="T76" s="500"/>
      <c r="U76" s="336"/>
    </row>
    <row r="77" spans="1:21">
      <c r="A77" s="338"/>
      <c r="B77" s="413"/>
      <c r="C77" s="338"/>
      <c r="D77" s="356"/>
      <c r="E77" s="356"/>
      <c r="F77" s="356"/>
      <c r="G77" s="356"/>
      <c r="H77" s="356"/>
      <c r="I77" s="336"/>
      <c r="J77" s="336"/>
      <c r="K77" s="356"/>
      <c r="L77" s="336"/>
      <c r="M77" s="339"/>
      <c r="N77" s="303"/>
      <c r="O77" s="303"/>
      <c r="P77" s="339"/>
      <c r="Q77" s="336"/>
      <c r="R77" s="499"/>
      <c r="S77" s="336"/>
      <c r="T77" s="500"/>
      <c r="U77" s="336"/>
    </row>
    <row r="78" spans="1:21">
      <c r="A78" s="338"/>
      <c r="B78" s="413"/>
      <c r="C78" s="338"/>
      <c r="D78" s="356"/>
      <c r="E78" s="356"/>
      <c r="F78" s="356"/>
      <c r="G78" s="356"/>
      <c r="H78" s="356"/>
      <c r="I78" s="336"/>
      <c r="J78" s="336"/>
      <c r="K78" s="356"/>
      <c r="L78" s="336"/>
      <c r="M78" s="339"/>
      <c r="N78" s="303"/>
      <c r="O78" s="303"/>
      <c r="P78" s="339"/>
      <c r="Q78" s="336"/>
      <c r="R78" s="499"/>
      <c r="S78" s="336"/>
      <c r="T78" s="500"/>
      <c r="U78" s="336"/>
    </row>
    <row r="79" spans="1:21">
      <c r="A79" s="338"/>
      <c r="B79" s="413"/>
      <c r="C79" s="338"/>
      <c r="D79" s="356"/>
      <c r="E79" s="356"/>
      <c r="F79" s="356"/>
      <c r="G79" s="356"/>
      <c r="H79" s="356"/>
      <c r="I79" s="336"/>
      <c r="J79" s="336"/>
      <c r="K79" s="356"/>
      <c r="L79" s="336"/>
      <c r="M79" s="339"/>
      <c r="N79" s="303"/>
      <c r="O79" s="303"/>
      <c r="P79" s="339"/>
      <c r="Q79" s="336"/>
      <c r="R79" s="499"/>
      <c r="S79" s="336"/>
      <c r="T79" s="500"/>
      <c r="U79" s="336"/>
    </row>
    <row r="80" spans="1:21">
      <c r="A80" s="338"/>
      <c r="B80" s="413"/>
      <c r="C80" s="338"/>
      <c r="D80" s="356"/>
      <c r="E80" s="356"/>
      <c r="F80" s="356"/>
      <c r="G80" s="356"/>
      <c r="H80" s="356"/>
      <c r="I80" s="336"/>
      <c r="J80" s="336"/>
      <c r="K80" s="356"/>
      <c r="L80" s="336"/>
      <c r="M80" s="339"/>
      <c r="N80" s="303"/>
      <c r="O80" s="303"/>
      <c r="P80" s="339"/>
      <c r="Q80" s="336"/>
      <c r="R80" s="499"/>
      <c r="S80" s="336"/>
      <c r="T80" s="500"/>
      <c r="U80" s="336"/>
    </row>
    <row r="81" spans="1:21">
      <c r="A81" s="338"/>
      <c r="B81" s="413"/>
      <c r="C81" s="338"/>
      <c r="D81" s="356"/>
      <c r="E81" s="356"/>
      <c r="F81" s="356"/>
      <c r="G81" s="356"/>
      <c r="H81" s="356"/>
      <c r="I81" s="336"/>
      <c r="J81" s="336"/>
      <c r="K81" s="356"/>
      <c r="L81" s="336"/>
      <c r="M81" s="339"/>
      <c r="N81" s="303"/>
      <c r="O81" s="303"/>
      <c r="P81" s="339"/>
      <c r="Q81" s="336"/>
      <c r="R81" s="499"/>
      <c r="S81" s="336"/>
      <c r="T81" s="500"/>
      <c r="U81" s="336"/>
    </row>
    <row r="82" spans="1:21">
      <c r="A82" s="338"/>
      <c r="B82" s="413"/>
      <c r="C82" s="338"/>
      <c r="D82" s="356"/>
      <c r="E82" s="356"/>
      <c r="F82" s="356"/>
      <c r="G82" s="356"/>
      <c r="H82" s="356"/>
      <c r="I82" s="336"/>
      <c r="J82" s="336"/>
      <c r="K82" s="356"/>
      <c r="L82" s="336"/>
      <c r="M82" s="339"/>
      <c r="N82" s="303"/>
      <c r="O82" s="303"/>
      <c r="P82" s="339"/>
      <c r="Q82" s="336"/>
      <c r="R82" s="499"/>
      <c r="S82" s="336"/>
      <c r="T82" s="500"/>
      <c r="U82" s="336"/>
    </row>
    <row r="83" spans="1:21">
      <c r="A83" s="338"/>
      <c r="B83" s="413"/>
      <c r="C83" s="338"/>
      <c r="D83" s="356"/>
      <c r="E83" s="356"/>
      <c r="F83" s="356"/>
      <c r="G83" s="356"/>
      <c r="H83" s="356"/>
      <c r="I83" s="336"/>
      <c r="J83" s="336"/>
      <c r="K83" s="356"/>
      <c r="L83" s="336"/>
      <c r="M83" s="339"/>
      <c r="N83" s="303"/>
      <c r="O83" s="303"/>
      <c r="P83" s="339"/>
      <c r="Q83" s="336"/>
      <c r="R83" s="499"/>
      <c r="S83" s="336"/>
      <c r="T83" s="500"/>
      <c r="U83" s="336"/>
    </row>
    <row r="84" spans="1:21">
      <c r="A84" s="338"/>
      <c r="B84" s="413"/>
      <c r="C84" s="338"/>
      <c r="D84" s="356"/>
      <c r="E84" s="356"/>
      <c r="F84" s="356"/>
      <c r="G84" s="356"/>
      <c r="H84" s="356"/>
      <c r="I84" s="336"/>
      <c r="J84" s="336"/>
      <c r="K84" s="356"/>
      <c r="L84" s="336"/>
      <c r="M84" s="339"/>
      <c r="N84" s="303"/>
      <c r="O84" s="303"/>
      <c r="P84" s="339"/>
      <c r="Q84" s="336"/>
      <c r="R84" s="499"/>
      <c r="S84" s="336"/>
      <c r="T84" s="500"/>
      <c r="U84" s="336"/>
    </row>
    <row r="85" spans="1:21">
      <c r="A85" s="338"/>
      <c r="B85" s="413"/>
      <c r="C85" s="338"/>
      <c r="D85" s="356"/>
      <c r="E85" s="356"/>
      <c r="F85" s="356"/>
      <c r="G85" s="356"/>
      <c r="H85" s="356"/>
      <c r="I85" s="336"/>
      <c r="J85" s="336"/>
      <c r="K85" s="356"/>
      <c r="L85" s="336"/>
      <c r="M85" s="339"/>
      <c r="N85" s="303"/>
      <c r="O85" s="303"/>
      <c r="P85" s="339"/>
      <c r="Q85" s="336"/>
      <c r="R85" s="499"/>
      <c r="S85" s="336"/>
      <c r="T85" s="500"/>
      <c r="U85" s="336"/>
    </row>
    <row r="86" spans="1:21">
      <c r="A86" s="338"/>
      <c r="B86" s="413"/>
      <c r="C86" s="338"/>
      <c r="D86" s="356"/>
      <c r="E86" s="356"/>
      <c r="F86" s="356"/>
      <c r="G86" s="356"/>
      <c r="H86" s="356"/>
      <c r="I86" s="336"/>
      <c r="J86" s="336"/>
      <c r="K86" s="356"/>
      <c r="L86" s="336"/>
      <c r="M86" s="339"/>
      <c r="N86" s="303"/>
      <c r="O86" s="303"/>
      <c r="P86" s="339"/>
      <c r="Q86" s="336"/>
      <c r="R86" s="499"/>
      <c r="S86" s="336"/>
      <c r="T86" s="500"/>
      <c r="U86" s="336"/>
    </row>
    <row r="87" spans="1:21">
      <c r="A87" s="338"/>
      <c r="B87" s="413"/>
      <c r="C87" s="338"/>
      <c r="D87" s="356"/>
      <c r="E87" s="356"/>
      <c r="F87" s="356"/>
      <c r="G87" s="356"/>
      <c r="H87" s="356"/>
      <c r="I87" s="336"/>
      <c r="J87" s="336"/>
      <c r="K87" s="356"/>
      <c r="L87" s="336"/>
      <c r="M87" s="339"/>
      <c r="N87" s="303"/>
      <c r="O87" s="303"/>
      <c r="P87" s="339"/>
      <c r="Q87" s="336"/>
      <c r="R87" s="499"/>
      <c r="S87" s="336"/>
      <c r="T87" s="500"/>
      <c r="U87" s="336"/>
    </row>
    <row r="88" spans="1:21" ht="13.9" thickBot="1">
      <c r="A88" s="338"/>
      <c r="B88" s="302" t="s">
        <v>72</v>
      </c>
      <c r="C88" s="475"/>
      <c r="D88" s="506">
        <f>SUM(D4:D61)</f>
        <v>432451.96000000008</v>
      </c>
      <c r="E88" s="506">
        <f>SUM(E4:E61)</f>
        <v>1465703.6</v>
      </c>
      <c r="F88" s="506">
        <f>SUM(F4:F61)</f>
        <v>1631353.7</v>
      </c>
      <c r="G88" s="506">
        <f>SUM(G4:G61)</f>
        <v>-23523.700000000004</v>
      </c>
      <c r="H88" s="506">
        <f>SUM(H4:H61)</f>
        <v>244614.16</v>
      </c>
      <c r="I88" s="336"/>
      <c r="J88" s="336"/>
      <c r="K88" s="507">
        <f>SUM(K4:K61)</f>
        <v>0</v>
      </c>
      <c r="L88" s="508"/>
      <c r="M88" s="339"/>
      <c r="N88" s="303"/>
      <c r="O88" s="303"/>
      <c r="P88" s="339"/>
      <c r="Q88" s="336"/>
      <c r="R88" s="499"/>
      <c r="S88" s="336"/>
      <c r="T88" s="500"/>
      <c r="U88" s="336"/>
    </row>
    <row r="89" spans="1:21">
      <c r="A89" s="496"/>
      <c r="B89" s="501"/>
      <c r="C89" s="473"/>
      <c r="D89" s="339"/>
      <c r="E89" s="339"/>
      <c r="F89" s="339"/>
      <c r="G89" s="339"/>
      <c r="H89" s="339"/>
      <c r="I89" s="339"/>
      <c r="J89" s="339"/>
      <c r="K89" s="339"/>
      <c r="L89" s="339"/>
      <c r="M89" s="339"/>
      <c r="N89" s="299"/>
      <c r="O89" s="299"/>
      <c r="P89" s="339"/>
      <c r="Q89" s="339"/>
      <c r="R89" s="509"/>
      <c r="S89" s="339"/>
      <c r="T89" s="510"/>
      <c r="U89" s="339"/>
    </row>
    <row r="90" spans="1:21">
      <c r="A90" s="496"/>
      <c r="B90" s="501"/>
      <c r="C90" s="473"/>
      <c r="D90" s="339">
        <f>D88-SUM(SUMMARY!B18:AZ18)</f>
        <v>0</v>
      </c>
      <c r="E90" s="339">
        <f>E88-SUM(SUMMARY!B19:AZ19)</f>
        <v>0</v>
      </c>
      <c r="F90" s="339">
        <f>F88-SUM(SUMMARY!B20:AZ20)</f>
        <v>0</v>
      </c>
      <c r="G90" s="339">
        <f>G88-SUM(SUMMARY!B21:AZ21)</f>
        <v>0</v>
      </c>
      <c r="H90" s="339">
        <f>H88-SUM(SUMMARY!B22:AZ22)</f>
        <v>0</v>
      </c>
      <c r="I90" s="339"/>
      <c r="J90" s="339"/>
      <c r="K90" s="339"/>
      <c r="L90" s="339"/>
      <c r="M90" s="339"/>
      <c r="N90" s="299"/>
      <c r="O90" s="299"/>
      <c r="P90" s="339"/>
      <c r="Q90" s="339"/>
      <c r="R90" s="509"/>
      <c r="S90" s="339"/>
      <c r="T90" s="510"/>
      <c r="U90" s="339"/>
    </row>
    <row r="92" spans="1:21">
      <c r="A92" s="338"/>
      <c r="B92" s="467" t="s">
        <v>320</v>
      </c>
      <c r="C92" s="475"/>
      <c r="D92" s="336"/>
      <c r="E92" s="336"/>
      <c r="F92" s="336"/>
      <c r="G92" s="336"/>
      <c r="H92" s="336"/>
      <c r="I92" s="339"/>
      <c r="J92" s="339"/>
      <c r="K92" s="339"/>
      <c r="L92" s="339"/>
      <c r="M92" s="339"/>
      <c r="N92" s="339"/>
      <c r="O92" s="339"/>
      <c r="P92" s="339"/>
      <c r="Q92" s="339"/>
      <c r="R92" s="509"/>
      <c r="S92" s="339"/>
      <c r="T92" s="510"/>
      <c r="U92" s="339"/>
    </row>
    <row r="93" spans="1:21">
      <c r="A93" s="338" t="s">
        <v>331</v>
      </c>
      <c r="B93" s="474" t="s">
        <v>332</v>
      </c>
      <c r="C93" s="475" t="s">
        <v>333</v>
      </c>
      <c r="D93" s="475" t="s">
        <v>334</v>
      </c>
      <c r="E93" s="475" t="s">
        <v>335</v>
      </c>
      <c r="F93" s="475" t="s">
        <v>166</v>
      </c>
      <c r="G93" s="475" t="s">
        <v>168</v>
      </c>
      <c r="H93" s="475" t="s">
        <v>336</v>
      </c>
      <c r="I93" s="339"/>
      <c r="J93" s="339"/>
      <c r="K93" s="339"/>
      <c r="L93" s="339"/>
      <c r="M93" s="339"/>
      <c r="N93" s="339"/>
      <c r="O93" s="339"/>
      <c r="P93" s="339"/>
      <c r="Q93" s="339"/>
      <c r="R93" s="509"/>
      <c r="S93" s="339"/>
      <c r="T93" s="510"/>
      <c r="U93" s="339"/>
    </row>
    <row r="94" spans="1:21">
      <c r="A94" s="338"/>
      <c r="B94" s="467" t="s">
        <v>345</v>
      </c>
      <c r="C94" s="475"/>
      <c r="D94" s="336"/>
      <c r="E94" s="336"/>
      <c r="F94" s="336"/>
      <c r="G94" s="336"/>
      <c r="H94" s="336"/>
      <c r="I94" s="339"/>
      <c r="J94" s="339"/>
      <c r="K94" s="339"/>
      <c r="L94" s="339"/>
      <c r="M94" s="339"/>
      <c r="N94" s="339"/>
      <c r="O94" s="339"/>
      <c r="P94" s="339"/>
      <c r="Q94" s="339"/>
      <c r="R94" s="509"/>
      <c r="S94" s="339"/>
      <c r="T94" s="510"/>
      <c r="U94" s="339"/>
    </row>
    <row r="95" spans="1:21">
      <c r="A95" s="338">
        <v>1</v>
      </c>
      <c r="B95" s="474" t="s">
        <v>7</v>
      </c>
      <c r="C95" s="475" t="s">
        <v>346</v>
      </c>
      <c r="D95" s="336">
        <v>91614.800000000017</v>
      </c>
      <c r="E95" s="336">
        <v>822130</v>
      </c>
      <c r="F95" s="336">
        <f>885904.8-10147</f>
        <v>875757.8</v>
      </c>
      <c r="G95" s="336">
        <v>-10147</v>
      </c>
      <c r="H95" s="468">
        <f t="shared" ref="H95:H107" si="1">D95+E95-F95+G95</f>
        <v>27840</v>
      </c>
      <c r="I95" s="339"/>
      <c r="J95" s="339"/>
      <c r="K95" s="339"/>
      <c r="L95" s="339"/>
      <c r="M95" s="339"/>
      <c r="N95" s="339"/>
      <c r="O95" s="339"/>
      <c r="P95" s="339"/>
      <c r="Q95" s="339"/>
      <c r="R95" s="509"/>
      <c r="S95" s="339"/>
      <c r="T95" s="510"/>
      <c r="U95" s="339"/>
    </row>
    <row r="96" spans="1:21">
      <c r="A96" s="338">
        <v>2</v>
      </c>
      <c r="B96" s="474" t="s">
        <v>8</v>
      </c>
      <c r="C96" s="475" t="s">
        <v>346</v>
      </c>
      <c r="D96" s="336">
        <v>65096.600000000035</v>
      </c>
      <c r="E96" s="336">
        <f>284831.8-3371.8</f>
        <v>281460</v>
      </c>
      <c r="F96" s="336">
        <v>350598.39999999997</v>
      </c>
      <c r="G96" s="336">
        <v>3371.8</v>
      </c>
      <c r="H96" s="468">
        <f t="shared" si="1"/>
        <v>-669.99999999992997</v>
      </c>
      <c r="I96" s="339"/>
      <c r="J96" s="339"/>
      <c r="K96" s="339"/>
      <c r="L96" s="339"/>
      <c r="M96" s="339"/>
      <c r="N96" s="339"/>
      <c r="O96" s="339"/>
      <c r="P96" s="339"/>
      <c r="Q96" s="339"/>
      <c r="R96" s="509"/>
      <c r="S96" s="339"/>
      <c r="T96" s="510"/>
      <c r="U96" s="339"/>
    </row>
    <row r="97" spans="1:8">
      <c r="A97" s="338">
        <v>3</v>
      </c>
      <c r="B97" s="474" t="s">
        <v>9</v>
      </c>
      <c r="C97" s="475" t="s">
        <v>346</v>
      </c>
      <c r="D97" s="336">
        <v>48372.799999999974</v>
      </c>
      <c r="E97" s="336">
        <v>80280</v>
      </c>
      <c r="F97" s="336">
        <v>108634.4</v>
      </c>
      <c r="G97" s="336"/>
      <c r="H97" s="468">
        <f t="shared" si="1"/>
        <v>20018.39999999998</v>
      </c>
    </row>
    <row r="98" spans="1:8">
      <c r="A98" s="338">
        <v>4</v>
      </c>
      <c r="B98" s="474" t="s">
        <v>10</v>
      </c>
      <c r="C98" s="475" t="s">
        <v>346</v>
      </c>
      <c r="D98" s="336">
        <v>34138.200000000019</v>
      </c>
      <c r="E98" s="336">
        <v>30490</v>
      </c>
      <c r="F98" s="336">
        <v>38335.5</v>
      </c>
      <c r="G98" s="336"/>
      <c r="H98" s="468">
        <f t="shared" si="1"/>
        <v>26292.700000000019</v>
      </c>
    </row>
    <row r="99" spans="1:8">
      <c r="A99" s="338">
        <v>5</v>
      </c>
      <c r="B99" s="474" t="s">
        <v>12</v>
      </c>
      <c r="C99" s="475" t="s">
        <v>346</v>
      </c>
      <c r="D99" s="336">
        <v>47801.999999999985</v>
      </c>
      <c r="E99" s="336">
        <v>0</v>
      </c>
      <c r="F99" s="336">
        <f>30415.3-19840</f>
        <v>10575.3</v>
      </c>
      <c r="G99" s="336">
        <v>-19840</v>
      </c>
      <c r="H99" s="468">
        <f t="shared" si="1"/>
        <v>17386.699999999983</v>
      </c>
    </row>
    <row r="100" spans="1:8">
      <c r="A100" s="338">
        <v>6</v>
      </c>
      <c r="B100" s="474" t="s">
        <v>13</v>
      </c>
      <c r="C100" s="475" t="s">
        <v>346</v>
      </c>
      <c r="D100" s="336">
        <v>7501.8000000000047</v>
      </c>
      <c r="E100" s="336">
        <v>0</v>
      </c>
      <c r="F100" s="336">
        <v>51871.5</v>
      </c>
      <c r="G100" s="336">
        <f>15960+28320+89.7</f>
        <v>44369.7</v>
      </c>
      <c r="H100" s="468">
        <f t="shared" si="1"/>
        <v>0</v>
      </c>
    </row>
    <row r="101" spans="1:8">
      <c r="A101" s="338">
        <v>7</v>
      </c>
      <c r="B101" s="474" t="s">
        <v>350</v>
      </c>
      <c r="C101" s="475" t="s">
        <v>346</v>
      </c>
      <c r="D101" s="336">
        <v>0</v>
      </c>
      <c r="E101" s="336">
        <v>33929.599999999999</v>
      </c>
      <c r="F101" s="336">
        <v>33929.599999999999</v>
      </c>
      <c r="G101" s="336"/>
      <c r="H101" s="468">
        <f t="shared" si="1"/>
        <v>0</v>
      </c>
    </row>
    <row r="102" spans="1:8">
      <c r="A102" s="338">
        <v>8</v>
      </c>
      <c r="B102" s="474" t="s">
        <v>15</v>
      </c>
      <c r="C102" s="475" t="s">
        <v>346</v>
      </c>
      <c r="D102" s="336">
        <v>8.0000000000001137</v>
      </c>
      <c r="E102" s="336">
        <v>18000</v>
      </c>
      <c r="F102" s="336">
        <v>6195.0999999999995</v>
      </c>
      <c r="G102" s="336"/>
      <c r="H102" s="468">
        <f t="shared" si="1"/>
        <v>11812.900000000001</v>
      </c>
    </row>
    <row r="103" spans="1:8">
      <c r="A103" s="338">
        <v>9</v>
      </c>
      <c r="B103" s="474" t="s">
        <v>351</v>
      </c>
      <c r="C103" s="475" t="s">
        <v>346</v>
      </c>
      <c r="D103" s="336">
        <v>0</v>
      </c>
      <c r="E103" s="336">
        <v>9326.7999999999993</v>
      </c>
      <c r="F103" s="336">
        <v>9326.7999999999993</v>
      </c>
      <c r="G103" s="336"/>
      <c r="H103" s="468">
        <f t="shared" si="1"/>
        <v>0</v>
      </c>
    </row>
    <row r="104" spans="1:8">
      <c r="A104" s="338">
        <v>10</v>
      </c>
      <c r="B104" s="474" t="s">
        <v>18</v>
      </c>
      <c r="C104" s="475" t="s">
        <v>346</v>
      </c>
      <c r="D104" s="336">
        <v>55052.4</v>
      </c>
      <c r="E104" s="336">
        <v>35280</v>
      </c>
      <c r="F104" s="336">
        <v>58462.7</v>
      </c>
      <c r="G104" s="336"/>
      <c r="H104" s="468">
        <f t="shared" si="1"/>
        <v>31869.699999999997</v>
      </c>
    </row>
    <row r="105" spans="1:8">
      <c r="A105" s="338">
        <v>11</v>
      </c>
      <c r="B105" s="474" t="s">
        <v>19</v>
      </c>
      <c r="C105" s="475" t="s">
        <v>346</v>
      </c>
      <c r="D105" s="336">
        <v>0</v>
      </c>
      <c r="E105" s="336">
        <v>45900</v>
      </c>
      <c r="F105" s="336">
        <v>39241.000000000007</v>
      </c>
      <c r="G105" s="336"/>
      <c r="H105" s="468">
        <f t="shared" si="1"/>
        <v>6658.9999999999927</v>
      </c>
    </row>
    <row r="106" spans="1:8">
      <c r="A106" s="338">
        <v>12</v>
      </c>
      <c r="B106" s="474" t="s">
        <v>20</v>
      </c>
      <c r="C106" s="475" t="s">
        <v>346</v>
      </c>
      <c r="D106" s="336">
        <v>2300</v>
      </c>
      <c r="E106" s="336">
        <v>0</v>
      </c>
      <c r="F106" s="336">
        <v>0</v>
      </c>
      <c r="G106" s="336">
        <v>4850</v>
      </c>
      <c r="H106" s="468">
        <f t="shared" si="1"/>
        <v>7150</v>
      </c>
    </row>
    <row r="107" spans="1:8">
      <c r="A107" s="338">
        <v>13</v>
      </c>
      <c r="B107" s="474" t="s">
        <v>21</v>
      </c>
      <c r="C107" s="475" t="s">
        <v>346</v>
      </c>
      <c r="D107" s="336">
        <v>5696.8</v>
      </c>
      <c r="E107" s="336">
        <v>0</v>
      </c>
      <c r="F107" s="336">
        <v>3849.5</v>
      </c>
      <c r="G107" s="336"/>
      <c r="H107" s="468">
        <f t="shared" si="1"/>
        <v>1847.3000000000002</v>
      </c>
    </row>
    <row r="108" spans="1:8">
      <c r="A108" s="338"/>
      <c r="B108" s="474"/>
      <c r="C108" s="475"/>
      <c r="D108" s="336"/>
      <c r="E108" s="336"/>
      <c r="F108" s="336"/>
      <c r="G108" s="336"/>
      <c r="H108" s="336"/>
    </row>
    <row r="109" spans="1:8">
      <c r="A109" s="338"/>
      <c r="B109" s="467" t="s">
        <v>347</v>
      </c>
      <c r="C109" s="475"/>
      <c r="D109" s="336"/>
      <c r="E109" s="336"/>
      <c r="F109" s="336"/>
      <c r="G109" s="336"/>
      <c r="H109" s="336"/>
    </row>
    <row r="110" spans="1:8">
      <c r="A110" s="338">
        <v>1</v>
      </c>
      <c r="B110" s="474" t="s">
        <v>23</v>
      </c>
      <c r="C110" s="475" t="s">
        <v>346</v>
      </c>
      <c r="D110" s="336">
        <v>620</v>
      </c>
      <c r="E110" s="336">
        <v>4000</v>
      </c>
      <c r="F110" s="336">
        <v>2640</v>
      </c>
      <c r="G110" s="336"/>
      <c r="H110" s="468">
        <f t="shared" ref="H110:H135" si="2">D110+E110-F110+G110</f>
        <v>1980</v>
      </c>
    </row>
    <row r="111" spans="1:8">
      <c r="A111" s="338">
        <v>2</v>
      </c>
      <c r="B111" s="474" t="s">
        <v>24</v>
      </c>
      <c r="C111" s="475" t="s">
        <v>346</v>
      </c>
      <c r="D111" s="336">
        <v>5960</v>
      </c>
      <c r="E111" s="336">
        <v>4000</v>
      </c>
      <c r="F111" s="336">
        <v>7960</v>
      </c>
      <c r="G111" s="336"/>
      <c r="H111" s="468">
        <f t="shared" si="2"/>
        <v>2000</v>
      </c>
    </row>
    <row r="112" spans="1:8">
      <c r="A112" s="338">
        <v>3</v>
      </c>
      <c r="B112" s="474" t="s">
        <v>25</v>
      </c>
      <c r="C112" s="475" t="s">
        <v>346</v>
      </c>
      <c r="D112" s="336">
        <v>5240</v>
      </c>
      <c r="E112" s="336">
        <v>0</v>
      </c>
      <c r="F112" s="336">
        <v>440</v>
      </c>
      <c r="G112" s="336"/>
      <c r="H112" s="468">
        <f t="shared" si="2"/>
        <v>4800</v>
      </c>
    </row>
    <row r="113" spans="1:10">
      <c r="A113" s="338">
        <v>4</v>
      </c>
      <c r="B113" s="474" t="s">
        <v>28</v>
      </c>
      <c r="C113" s="475" t="s">
        <v>346</v>
      </c>
      <c r="D113" s="336">
        <v>5120</v>
      </c>
      <c r="E113" s="336">
        <v>0</v>
      </c>
      <c r="F113" s="336">
        <v>0</v>
      </c>
      <c r="G113" s="336"/>
      <c r="H113" s="468">
        <f t="shared" si="2"/>
        <v>5120</v>
      </c>
      <c r="I113" s="339"/>
      <c r="J113" s="339"/>
    </row>
    <row r="114" spans="1:10">
      <c r="A114" s="338">
        <v>5</v>
      </c>
      <c r="B114" s="474" t="s">
        <v>29</v>
      </c>
      <c r="C114" s="475" t="s">
        <v>346</v>
      </c>
      <c r="D114" s="336">
        <v>5100</v>
      </c>
      <c r="E114" s="336">
        <v>0</v>
      </c>
      <c r="F114" s="336">
        <v>0</v>
      </c>
      <c r="G114" s="336">
        <v>1440</v>
      </c>
      <c r="H114" s="468">
        <f t="shared" si="2"/>
        <v>6540</v>
      </c>
      <c r="I114" s="339">
        <f>H114/20</f>
        <v>327</v>
      </c>
      <c r="J114" s="339"/>
    </row>
    <row r="115" spans="1:10">
      <c r="A115" s="338">
        <v>6</v>
      </c>
      <c r="B115" s="474" t="s">
        <v>30</v>
      </c>
      <c r="C115" s="475" t="s">
        <v>346</v>
      </c>
      <c r="D115" s="336">
        <v>10240</v>
      </c>
      <c r="E115" s="336">
        <v>0</v>
      </c>
      <c r="F115" s="336">
        <v>0</v>
      </c>
      <c r="G115" s="336">
        <v>1300</v>
      </c>
      <c r="H115" s="468">
        <f t="shared" si="2"/>
        <v>11540</v>
      </c>
      <c r="I115" s="339"/>
      <c r="J115" s="339"/>
    </row>
    <row r="116" spans="1:10">
      <c r="A116" s="338">
        <v>7</v>
      </c>
      <c r="B116" s="474" t="s">
        <v>31</v>
      </c>
      <c r="C116" s="475" t="s">
        <v>346</v>
      </c>
      <c r="D116" s="336">
        <v>15120</v>
      </c>
      <c r="E116" s="336">
        <v>0</v>
      </c>
      <c r="F116" s="336">
        <v>0</v>
      </c>
      <c r="G116" s="336"/>
      <c r="H116" s="468">
        <f t="shared" si="2"/>
        <v>15120</v>
      </c>
      <c r="I116" s="339"/>
      <c r="J116" s="339"/>
    </row>
    <row r="117" spans="1:10">
      <c r="A117" s="338">
        <v>8</v>
      </c>
      <c r="B117" s="474" t="s">
        <v>32</v>
      </c>
      <c r="C117" s="475" t="s">
        <v>346</v>
      </c>
      <c r="D117" s="336">
        <v>3320</v>
      </c>
      <c r="E117" s="336">
        <v>0</v>
      </c>
      <c r="F117" s="336">
        <v>0</v>
      </c>
      <c r="G117" s="336">
        <v>1720</v>
      </c>
      <c r="H117" s="468">
        <f t="shared" si="2"/>
        <v>5040</v>
      </c>
      <c r="I117" s="339"/>
      <c r="J117" s="339"/>
    </row>
    <row r="118" spans="1:10">
      <c r="A118" s="338">
        <v>9</v>
      </c>
      <c r="B118" s="474" t="s">
        <v>33</v>
      </c>
      <c r="C118" s="475" t="s">
        <v>346</v>
      </c>
      <c r="D118" s="336">
        <v>5400</v>
      </c>
      <c r="E118" s="336">
        <v>0</v>
      </c>
      <c r="F118" s="336">
        <v>0</v>
      </c>
      <c r="G118" s="336">
        <v>3700</v>
      </c>
      <c r="H118" s="468">
        <f t="shared" si="2"/>
        <v>9100</v>
      </c>
      <c r="I118" s="339"/>
      <c r="J118" s="339"/>
    </row>
    <row r="119" spans="1:10">
      <c r="A119" s="338">
        <v>10</v>
      </c>
      <c r="B119" s="474" t="s">
        <v>34</v>
      </c>
      <c r="C119" s="475" t="s">
        <v>346</v>
      </c>
      <c r="D119" s="336">
        <v>4000</v>
      </c>
      <c r="E119" s="336">
        <f>4140-1140</f>
        <v>3000</v>
      </c>
      <c r="F119" s="511">
        <v>3920</v>
      </c>
      <c r="G119" s="336">
        <v>1140</v>
      </c>
      <c r="H119" s="468">
        <f t="shared" si="2"/>
        <v>4220</v>
      </c>
      <c r="I119" s="339"/>
      <c r="J119" s="339"/>
    </row>
    <row r="120" spans="1:10">
      <c r="A120" s="338">
        <v>11</v>
      </c>
      <c r="B120" s="474" t="s">
        <v>35</v>
      </c>
      <c r="C120" s="475" t="s">
        <v>346</v>
      </c>
      <c r="D120" s="336">
        <v>3744</v>
      </c>
      <c r="E120" s="336">
        <f>12577.5-1852.5</f>
        <v>10725</v>
      </c>
      <c r="F120" s="511">
        <v>4875</v>
      </c>
      <c r="G120" s="336">
        <v>1852.5</v>
      </c>
      <c r="H120" s="468">
        <f t="shared" si="2"/>
        <v>11446.5</v>
      </c>
      <c r="I120" s="339"/>
      <c r="J120" s="339"/>
    </row>
    <row r="121" spans="1:10">
      <c r="A121" s="338">
        <v>12</v>
      </c>
      <c r="B121" s="474" t="s">
        <v>36</v>
      </c>
      <c r="C121" s="475" t="s">
        <v>346</v>
      </c>
      <c r="D121" s="336">
        <v>9109.7999999999993</v>
      </c>
      <c r="E121" s="336">
        <f>8467.2-907.2</f>
        <v>7560.0000000000009</v>
      </c>
      <c r="F121" s="511">
        <v>8580.5999999999985</v>
      </c>
      <c r="G121" s="336">
        <v>907.2</v>
      </c>
      <c r="H121" s="468">
        <f t="shared" si="2"/>
        <v>8996.4000000000015</v>
      </c>
      <c r="I121" s="339"/>
      <c r="J121" s="339"/>
    </row>
    <row r="122" spans="1:10">
      <c r="A122" s="338">
        <v>13</v>
      </c>
      <c r="B122" s="474" t="s">
        <v>39</v>
      </c>
      <c r="C122" s="475" t="s">
        <v>346</v>
      </c>
      <c r="D122" s="336">
        <v>4123</v>
      </c>
      <c r="E122" s="336">
        <v>2000</v>
      </c>
      <c r="F122" s="336">
        <v>1928</v>
      </c>
      <c r="G122" s="336"/>
      <c r="H122" s="468">
        <f t="shared" si="2"/>
        <v>4195</v>
      </c>
      <c r="I122" s="339"/>
      <c r="J122" s="339" t="s">
        <v>39</v>
      </c>
    </row>
    <row r="123" spans="1:10">
      <c r="A123" s="338">
        <v>14</v>
      </c>
      <c r="B123" s="474" t="s">
        <v>352</v>
      </c>
      <c r="C123" s="475" t="s">
        <v>346</v>
      </c>
      <c r="D123" s="336">
        <v>0</v>
      </c>
      <c r="E123" s="336">
        <v>2478</v>
      </c>
      <c r="F123" s="336">
        <v>2478</v>
      </c>
      <c r="G123" s="336"/>
      <c r="H123" s="468">
        <f t="shared" si="2"/>
        <v>0</v>
      </c>
      <c r="I123" s="339"/>
      <c r="J123" s="339" t="s">
        <v>352</v>
      </c>
    </row>
    <row r="124" spans="1:10">
      <c r="A124" s="338">
        <v>15</v>
      </c>
      <c r="B124" s="474" t="s">
        <v>42</v>
      </c>
      <c r="C124" s="475" t="s">
        <v>346</v>
      </c>
      <c r="D124" s="336">
        <v>1947.7</v>
      </c>
      <c r="E124" s="336">
        <v>3000</v>
      </c>
      <c r="F124" s="336">
        <v>795.19999999999993</v>
      </c>
      <c r="G124" s="336"/>
      <c r="H124" s="468">
        <f t="shared" si="2"/>
        <v>4152.5</v>
      </c>
      <c r="I124" s="339"/>
      <c r="J124" s="339" t="s">
        <v>42</v>
      </c>
    </row>
    <row r="125" spans="1:10">
      <c r="A125" s="338">
        <v>16</v>
      </c>
      <c r="B125" s="474" t="s">
        <v>41</v>
      </c>
      <c r="C125" s="475" t="s">
        <v>346</v>
      </c>
      <c r="D125" s="336">
        <v>0</v>
      </c>
      <c r="E125" s="336">
        <v>2065</v>
      </c>
      <c r="F125" s="336">
        <v>0</v>
      </c>
      <c r="G125" s="336"/>
      <c r="H125" s="468">
        <f t="shared" si="2"/>
        <v>2065</v>
      </c>
      <c r="I125" s="339"/>
      <c r="J125" s="329"/>
    </row>
    <row r="126" spans="1:10">
      <c r="A126" s="338">
        <v>17</v>
      </c>
      <c r="B126" s="474" t="s">
        <v>43</v>
      </c>
      <c r="C126" s="475" t="s">
        <v>346</v>
      </c>
      <c r="D126" s="336">
        <v>1680.5</v>
      </c>
      <c r="E126" s="336">
        <v>0</v>
      </c>
      <c r="F126" s="336">
        <v>0</v>
      </c>
      <c r="G126" s="336"/>
      <c r="H126" s="468">
        <f t="shared" si="2"/>
        <v>1680.5</v>
      </c>
      <c r="I126" s="339"/>
      <c r="J126" s="339" t="s">
        <v>43</v>
      </c>
    </row>
    <row r="127" spans="1:10">
      <c r="A127" s="338">
        <v>18</v>
      </c>
      <c r="B127" s="474" t="s">
        <v>63</v>
      </c>
      <c r="C127" s="475" t="s">
        <v>346</v>
      </c>
      <c r="D127" s="336">
        <v>41.600000000000023</v>
      </c>
      <c r="E127" s="336">
        <v>2160</v>
      </c>
      <c r="F127" s="336">
        <v>2160</v>
      </c>
      <c r="G127" s="336"/>
      <c r="H127" s="468">
        <f t="shared" si="2"/>
        <v>41.599999999999909</v>
      </c>
      <c r="I127" s="339"/>
      <c r="J127" s="339" t="s">
        <v>63</v>
      </c>
    </row>
    <row r="128" spans="1:10">
      <c r="A128" s="338">
        <v>19</v>
      </c>
      <c r="B128" s="474" t="s">
        <v>45</v>
      </c>
      <c r="C128" s="475" t="s">
        <v>346</v>
      </c>
      <c r="D128" s="336">
        <v>0</v>
      </c>
      <c r="E128" s="336">
        <v>2000</v>
      </c>
      <c r="F128" s="336">
        <v>0</v>
      </c>
      <c r="G128" s="336"/>
      <c r="H128" s="468">
        <f t="shared" si="2"/>
        <v>2000</v>
      </c>
      <c r="I128" s="339"/>
      <c r="J128" s="339" t="s">
        <v>45</v>
      </c>
    </row>
    <row r="129" spans="1:10">
      <c r="A129" s="338">
        <v>20</v>
      </c>
      <c r="B129" s="474" t="s">
        <v>46</v>
      </c>
      <c r="C129" s="475" t="s">
        <v>346</v>
      </c>
      <c r="D129" s="336">
        <v>0</v>
      </c>
      <c r="E129" s="336">
        <v>0</v>
      </c>
      <c r="F129" s="336">
        <v>0</v>
      </c>
      <c r="G129" s="336"/>
      <c r="H129" s="468">
        <f t="shared" si="2"/>
        <v>0</v>
      </c>
      <c r="I129" s="339"/>
      <c r="J129" s="339" t="s">
        <v>46</v>
      </c>
    </row>
    <row r="130" spans="1:10">
      <c r="A130" s="338">
        <v>21</v>
      </c>
      <c r="B130" s="474" t="s">
        <v>47</v>
      </c>
      <c r="C130" s="475" t="s">
        <v>346</v>
      </c>
      <c r="D130" s="336">
        <v>100</v>
      </c>
      <c r="E130" s="336">
        <v>0</v>
      </c>
      <c r="F130" s="336">
        <v>0</v>
      </c>
      <c r="G130" s="336"/>
      <c r="H130" s="468">
        <f t="shared" si="2"/>
        <v>100</v>
      </c>
      <c r="I130" s="339"/>
      <c r="J130" s="339" t="s">
        <v>47</v>
      </c>
    </row>
    <row r="131" spans="1:10">
      <c r="A131" s="338">
        <v>22</v>
      </c>
      <c r="B131" s="474" t="s">
        <v>48</v>
      </c>
      <c r="C131" s="475" t="s">
        <v>346</v>
      </c>
      <c r="D131" s="336">
        <v>13.960000000000036</v>
      </c>
      <c r="E131" s="336">
        <v>0</v>
      </c>
      <c r="F131" s="336">
        <v>0</v>
      </c>
      <c r="G131" s="336"/>
      <c r="H131" s="468">
        <f t="shared" si="2"/>
        <v>13.960000000000036</v>
      </c>
      <c r="I131" s="339"/>
      <c r="J131" s="339" t="s">
        <v>48</v>
      </c>
    </row>
    <row r="132" spans="1:10">
      <c r="A132" s="338">
        <v>23</v>
      </c>
      <c r="B132" s="474" t="s">
        <v>103</v>
      </c>
      <c r="C132" s="475" t="s">
        <v>346</v>
      </c>
      <c r="D132" s="336">
        <v>344</v>
      </c>
      <c r="E132" s="336">
        <v>868</v>
      </c>
      <c r="F132" s="336">
        <v>0</v>
      </c>
      <c r="G132" s="336"/>
      <c r="H132" s="468">
        <f t="shared" si="2"/>
        <v>1212</v>
      </c>
      <c r="I132" s="339"/>
      <c r="J132" s="339" t="s">
        <v>103</v>
      </c>
    </row>
    <row r="133" spans="1:10">
      <c r="A133" s="338">
        <v>24</v>
      </c>
      <c r="B133" s="474" t="s">
        <v>51</v>
      </c>
      <c r="C133" s="475" t="s">
        <v>346</v>
      </c>
      <c r="D133" s="336">
        <v>207.6</v>
      </c>
      <c r="E133" s="336">
        <v>0</v>
      </c>
      <c r="F133" s="336">
        <v>0</v>
      </c>
      <c r="G133" s="336"/>
      <c r="H133" s="468">
        <f t="shared" si="2"/>
        <v>207.6</v>
      </c>
      <c r="I133" s="339"/>
      <c r="J133" s="339" t="s">
        <v>51</v>
      </c>
    </row>
    <row r="134" spans="1:10">
      <c r="A134" s="338">
        <v>25</v>
      </c>
      <c r="B134" s="474" t="s">
        <v>52</v>
      </c>
      <c r="C134" s="475" t="s">
        <v>346</v>
      </c>
      <c r="D134" s="336">
        <v>197.04000000000002</v>
      </c>
      <c r="E134" s="336">
        <v>0</v>
      </c>
      <c r="F134" s="336">
        <v>0</v>
      </c>
      <c r="G134" s="336"/>
      <c r="H134" s="468">
        <f t="shared" si="2"/>
        <v>197.04000000000002</v>
      </c>
      <c r="I134" s="339"/>
      <c r="J134" s="339" t="s">
        <v>52</v>
      </c>
    </row>
    <row r="135" spans="1:10">
      <c r="A135" s="338">
        <v>26</v>
      </c>
      <c r="B135" s="474" t="s">
        <v>53</v>
      </c>
      <c r="C135" s="475" t="s">
        <v>346</v>
      </c>
      <c r="D135" s="336">
        <v>46.8</v>
      </c>
      <c r="E135" s="336">
        <v>0</v>
      </c>
      <c r="F135" s="336">
        <v>0</v>
      </c>
      <c r="G135" s="336"/>
      <c r="H135" s="468">
        <f t="shared" si="2"/>
        <v>46.8</v>
      </c>
      <c r="I135" s="339"/>
      <c r="J135" s="339" t="s">
        <v>53</v>
      </c>
    </row>
    <row r="136" spans="1:10">
      <c r="A136" s="338"/>
      <c r="B136" s="474"/>
      <c r="C136" s="475"/>
      <c r="D136" s="336"/>
      <c r="E136" s="336"/>
      <c r="F136" s="336"/>
      <c r="G136" s="336"/>
      <c r="H136" s="336"/>
      <c r="I136" s="339"/>
      <c r="J136" s="339"/>
    </row>
    <row r="137" spans="1:10">
      <c r="A137" s="338"/>
      <c r="B137" s="467" t="s">
        <v>348</v>
      </c>
      <c r="C137" s="475"/>
      <c r="D137" s="336"/>
      <c r="E137" s="336"/>
      <c r="F137" s="336"/>
      <c r="G137" s="336"/>
      <c r="H137" s="336"/>
      <c r="I137" s="339"/>
      <c r="J137" s="339"/>
    </row>
    <row r="138" spans="1:10">
      <c r="A138" s="338">
        <v>1</v>
      </c>
      <c r="B138" s="474" t="s">
        <v>65</v>
      </c>
      <c r="C138" s="475" t="s">
        <v>349</v>
      </c>
      <c r="D138" s="336">
        <v>6628</v>
      </c>
      <c r="E138" s="336">
        <v>0</v>
      </c>
      <c r="F138" s="336">
        <v>2739</v>
      </c>
      <c r="G138" s="336"/>
      <c r="H138" s="468">
        <f t="shared" ref="H138:H143" si="3">D138+E138-F138+G138</f>
        <v>3889</v>
      </c>
      <c r="I138" s="339"/>
      <c r="J138" s="339"/>
    </row>
    <row r="139" spans="1:10">
      <c r="A139" s="338">
        <v>2</v>
      </c>
      <c r="B139" s="474" t="s">
        <v>66</v>
      </c>
      <c r="C139" s="475" t="s">
        <v>349</v>
      </c>
      <c r="D139" s="336">
        <v>6559</v>
      </c>
      <c r="E139" s="336">
        <v>0</v>
      </c>
      <c r="F139" s="336">
        <v>6770</v>
      </c>
      <c r="G139" s="336">
        <v>211</v>
      </c>
      <c r="H139" s="468">
        <f t="shared" si="3"/>
        <v>0</v>
      </c>
      <c r="I139" s="339"/>
      <c r="J139" s="339"/>
    </row>
    <row r="140" spans="1:10">
      <c r="A140" s="338">
        <v>3</v>
      </c>
      <c r="B140" s="474" t="s">
        <v>67</v>
      </c>
      <c r="C140" s="475" t="s">
        <v>349</v>
      </c>
      <c r="D140" s="336">
        <v>590</v>
      </c>
      <c r="E140" s="336">
        <v>6552</v>
      </c>
      <c r="F140" s="336">
        <v>793</v>
      </c>
      <c r="G140" s="336"/>
      <c r="H140" s="468">
        <f t="shared" si="3"/>
        <v>6349</v>
      </c>
      <c r="I140" s="339"/>
      <c r="J140" s="339"/>
    </row>
    <row r="141" spans="1:10">
      <c r="A141" s="338">
        <v>4</v>
      </c>
      <c r="B141" s="474" t="s">
        <v>68</v>
      </c>
      <c r="C141" s="475" t="s">
        <v>349</v>
      </c>
      <c r="D141" s="336">
        <v>3391</v>
      </c>
      <c r="E141" s="336">
        <v>8000</v>
      </c>
      <c r="F141" s="336">
        <v>5402</v>
      </c>
      <c r="G141" s="336"/>
      <c r="H141" s="468">
        <f t="shared" si="3"/>
        <v>5989</v>
      </c>
      <c r="I141" s="339"/>
      <c r="J141" s="339"/>
    </row>
    <row r="142" spans="1:10">
      <c r="A142" s="338">
        <v>5</v>
      </c>
      <c r="B142" s="474" t="s">
        <v>69</v>
      </c>
      <c r="C142" s="475" t="s">
        <v>349</v>
      </c>
      <c r="D142" s="336">
        <v>1901</v>
      </c>
      <c r="E142" s="336">
        <v>0</v>
      </c>
      <c r="F142" s="336">
        <v>0</v>
      </c>
      <c r="G142" s="336"/>
      <c r="H142" s="468">
        <f t="shared" si="3"/>
        <v>1901</v>
      </c>
      <c r="I142" s="339"/>
      <c r="J142" s="339"/>
    </row>
    <row r="143" spans="1:10">
      <c r="A143" s="338">
        <v>6</v>
      </c>
      <c r="B143" s="474" t="s">
        <v>70</v>
      </c>
      <c r="C143" s="475" t="s">
        <v>349</v>
      </c>
      <c r="D143" s="336">
        <v>0</v>
      </c>
      <c r="E143" s="336">
        <v>6459</v>
      </c>
      <c r="F143" s="336">
        <v>0</v>
      </c>
      <c r="G143" s="336"/>
      <c r="H143" s="468">
        <f t="shared" si="3"/>
        <v>6459</v>
      </c>
      <c r="I143" s="339"/>
      <c r="J143" s="339"/>
    </row>
    <row r="144" spans="1:10">
      <c r="A144" s="338"/>
      <c r="B144" s="474"/>
      <c r="C144" s="475"/>
      <c r="D144" s="336"/>
      <c r="E144" s="336"/>
      <c r="F144" s="336"/>
      <c r="G144" s="336"/>
      <c r="H144" s="336"/>
      <c r="I144" s="339"/>
      <c r="J144" s="339"/>
    </row>
    <row r="145" spans="1:8" ht="13.9" thickBot="1">
      <c r="A145" s="338"/>
      <c r="B145" s="467" t="s">
        <v>72</v>
      </c>
      <c r="C145" s="298"/>
      <c r="D145" s="469">
        <f>SUM(D95:D143)</f>
        <v>458328.39999999997</v>
      </c>
      <c r="E145" s="469">
        <f>SUM(E95:E143)</f>
        <v>1421663.4000000001</v>
      </c>
      <c r="F145" s="469">
        <f>SUM(F95:F143)</f>
        <v>1638258.4000000001</v>
      </c>
      <c r="G145" s="469">
        <f>SUM(G95:G143)</f>
        <v>34875.199999999997</v>
      </c>
      <c r="H145" s="469">
        <f>SUM(H95:H143)</f>
        <v>276608.59999999998</v>
      </c>
    </row>
    <row r="146" spans="1:8" ht="13.9" thickTop="1">
      <c r="A146" s="496"/>
      <c r="B146" s="329"/>
      <c r="C146" s="473"/>
      <c r="D146" s="339"/>
      <c r="E146" s="339"/>
      <c r="F146" s="339"/>
      <c r="G146" s="339"/>
      <c r="H146" s="339"/>
    </row>
    <row r="166" spans="2:8">
      <c r="B166" s="329" t="s">
        <v>358</v>
      </c>
      <c r="C166" s="473"/>
      <c r="D166" s="339"/>
      <c r="E166" s="339"/>
      <c r="F166" s="339"/>
      <c r="G166" s="339" t="s">
        <v>359</v>
      </c>
      <c r="H166" s="339"/>
    </row>
    <row r="168" spans="2:8">
      <c r="B168" s="472" t="s">
        <v>320</v>
      </c>
      <c r="C168" s="473"/>
      <c r="D168" s="339"/>
      <c r="E168" s="339"/>
      <c r="F168" s="339"/>
      <c r="G168" s="339"/>
      <c r="H168" s="339"/>
    </row>
    <row r="170" spans="2:8">
      <c r="B170" s="472" t="s">
        <v>353</v>
      </c>
      <c r="C170" s="473"/>
      <c r="D170" s="339"/>
      <c r="E170" s="339"/>
      <c r="F170" s="339"/>
      <c r="G170" s="339"/>
      <c r="H170" s="339"/>
    </row>
    <row r="171" spans="2:8">
      <c r="B171" s="474" t="s">
        <v>8</v>
      </c>
      <c r="C171" s="475" t="s">
        <v>346</v>
      </c>
      <c r="D171" s="336">
        <v>3371.8</v>
      </c>
      <c r="E171" s="339"/>
      <c r="F171" s="339"/>
      <c r="G171" s="339"/>
      <c r="H171" s="339"/>
    </row>
    <row r="172" spans="2:8">
      <c r="B172" s="474" t="s">
        <v>13</v>
      </c>
      <c r="C172" s="475" t="s">
        <v>346</v>
      </c>
      <c r="D172" s="336">
        <v>89.7</v>
      </c>
      <c r="E172" s="339"/>
      <c r="F172" s="339"/>
      <c r="G172" s="339"/>
      <c r="H172" s="339"/>
    </row>
    <row r="173" spans="2:8">
      <c r="B173" s="474" t="s">
        <v>66</v>
      </c>
      <c r="C173" s="475" t="s">
        <v>349</v>
      </c>
      <c r="D173" s="336">
        <v>211</v>
      </c>
      <c r="E173" s="339"/>
      <c r="F173" s="339"/>
      <c r="G173" s="339"/>
      <c r="H173" s="339"/>
    </row>
    <row r="174" spans="2:8">
      <c r="B174" s="329" t="s">
        <v>354</v>
      </c>
      <c r="C174" s="473"/>
      <c r="D174" s="339"/>
      <c r="E174" s="339"/>
      <c r="F174" s="339"/>
      <c r="G174" s="339"/>
      <c r="H174" s="339"/>
    </row>
    <row r="175" spans="2:8">
      <c r="B175" s="329"/>
      <c r="C175" s="473"/>
      <c r="D175" s="339"/>
      <c r="E175" s="339"/>
      <c r="F175" s="339"/>
      <c r="G175" s="339"/>
      <c r="H175" s="339"/>
    </row>
    <row r="176" spans="2:8">
      <c r="B176" s="474" t="s">
        <v>13</v>
      </c>
      <c r="C176" s="475" t="s">
        <v>346</v>
      </c>
      <c r="D176" s="336">
        <v>15960</v>
      </c>
      <c r="E176" s="339"/>
      <c r="F176" s="339"/>
      <c r="G176" s="339"/>
      <c r="H176" s="339"/>
    </row>
    <row r="177" spans="2:4">
      <c r="B177" s="329" t="s">
        <v>363</v>
      </c>
      <c r="C177" s="477"/>
      <c r="D177" s="515"/>
    </row>
    <row r="178" spans="2:4">
      <c r="B178" s="329" t="s">
        <v>364</v>
      </c>
      <c r="C178" s="477"/>
      <c r="D178" s="515"/>
    </row>
    <row r="179" spans="2:4">
      <c r="B179" s="329"/>
      <c r="C179" s="477"/>
      <c r="D179" s="515"/>
    </row>
    <row r="180" spans="2:4">
      <c r="B180" s="474" t="s">
        <v>13</v>
      </c>
      <c r="C180" s="475" t="s">
        <v>346</v>
      </c>
      <c r="D180" s="336">
        <v>28320</v>
      </c>
    </row>
    <row r="181" spans="2:4">
      <c r="B181" s="329" t="s">
        <v>355</v>
      </c>
      <c r="C181" s="473"/>
      <c r="D181" s="339"/>
    </row>
    <row r="182" spans="2:4">
      <c r="B182" s="329" t="s">
        <v>365</v>
      </c>
      <c r="C182" s="473"/>
      <c r="D182" s="339"/>
    </row>
    <row r="183" spans="2:4">
      <c r="B183" s="329"/>
      <c r="C183" s="473"/>
      <c r="D183" s="339"/>
    </row>
    <row r="184" spans="2:4">
      <c r="B184" s="329"/>
      <c r="C184" s="473"/>
      <c r="D184" s="339"/>
    </row>
    <row r="185" spans="2:4">
      <c r="B185" s="474" t="s">
        <v>34</v>
      </c>
      <c r="C185" s="475" t="s">
        <v>346</v>
      </c>
      <c r="D185" s="336">
        <v>1140</v>
      </c>
    </row>
    <row r="186" spans="2:4">
      <c r="B186" s="474" t="s">
        <v>35</v>
      </c>
      <c r="C186" s="475" t="s">
        <v>346</v>
      </c>
      <c r="D186" s="336">
        <v>1852.5</v>
      </c>
    </row>
    <row r="187" spans="2:4">
      <c r="B187" s="474" t="s">
        <v>36</v>
      </c>
      <c r="C187" s="475" t="s">
        <v>346</v>
      </c>
      <c r="D187" s="336">
        <v>907.2</v>
      </c>
    </row>
    <row r="188" spans="2:4">
      <c r="B188" s="474" t="s">
        <v>20</v>
      </c>
      <c r="C188" s="475" t="s">
        <v>346</v>
      </c>
      <c r="D188" s="336">
        <v>4850</v>
      </c>
    </row>
    <row r="189" spans="2:4">
      <c r="B189" s="329" t="s">
        <v>363</v>
      </c>
      <c r="C189" s="473"/>
      <c r="D189" s="339"/>
    </row>
    <row r="190" spans="2:4">
      <c r="B190" s="329" t="s">
        <v>366</v>
      </c>
      <c r="C190" s="473"/>
      <c r="D190" s="339"/>
    </row>
    <row r="191" spans="2:4">
      <c r="B191" s="329"/>
      <c r="C191" s="473"/>
      <c r="D191" s="339"/>
    </row>
    <row r="192" spans="2:4">
      <c r="B192" s="474" t="s">
        <v>29</v>
      </c>
      <c r="C192" s="475" t="s">
        <v>346</v>
      </c>
      <c r="D192" s="336">
        <v>1440</v>
      </c>
    </row>
    <row r="193" spans="2:4">
      <c r="B193" s="474" t="s">
        <v>30</v>
      </c>
      <c r="C193" s="475" t="s">
        <v>346</v>
      </c>
      <c r="D193" s="336">
        <v>1300</v>
      </c>
    </row>
    <row r="194" spans="2:4">
      <c r="B194" s="474" t="s">
        <v>32</v>
      </c>
      <c r="C194" s="475" t="s">
        <v>346</v>
      </c>
      <c r="D194" s="336">
        <v>1720</v>
      </c>
    </row>
    <row r="195" spans="2:4">
      <c r="B195" s="474" t="s">
        <v>33</v>
      </c>
      <c r="C195" s="475" t="s">
        <v>346</v>
      </c>
      <c r="D195" s="336">
        <v>3700</v>
      </c>
    </row>
    <row r="196" spans="2:4">
      <c r="B196" s="329" t="s">
        <v>363</v>
      </c>
      <c r="C196" s="473"/>
      <c r="D196" s="339"/>
    </row>
    <row r="197" spans="2:4">
      <c r="B197" s="329" t="s">
        <v>367</v>
      </c>
      <c r="C197" s="473"/>
      <c r="D197" s="339"/>
    </row>
    <row r="198" spans="2:4">
      <c r="B198" s="329"/>
      <c r="C198" s="473"/>
      <c r="D198" s="339"/>
    </row>
    <row r="199" spans="2:4">
      <c r="B199" s="472" t="s">
        <v>357</v>
      </c>
      <c r="C199" s="473"/>
      <c r="D199" s="339"/>
    </row>
    <row r="200" spans="2:4">
      <c r="B200" s="474" t="s">
        <v>7</v>
      </c>
      <c r="C200" s="475" t="s">
        <v>346</v>
      </c>
      <c r="D200" s="336">
        <v>-10147</v>
      </c>
    </row>
    <row r="201" spans="2:4">
      <c r="B201" s="329" t="s">
        <v>354</v>
      </c>
      <c r="C201" s="473"/>
      <c r="D201" s="339"/>
    </row>
    <row r="203" spans="2:4">
      <c r="B203" s="474" t="s">
        <v>12</v>
      </c>
      <c r="C203" s="475" t="s">
        <v>346</v>
      </c>
      <c r="D203" s="336">
        <v>-19840</v>
      </c>
    </row>
    <row r="204" spans="2:4">
      <c r="B204" s="329" t="s">
        <v>355</v>
      </c>
      <c r="C204" s="473"/>
      <c r="D204" s="339"/>
    </row>
    <row r="205" spans="2:4">
      <c r="B205" s="329" t="s">
        <v>368</v>
      </c>
      <c r="C205" s="473"/>
      <c r="D205" s="339"/>
    </row>
    <row r="235" spans="1:8">
      <c r="A235" s="496"/>
      <c r="B235" s="329" t="s">
        <v>358</v>
      </c>
      <c r="C235" s="473"/>
      <c r="D235" s="339"/>
      <c r="E235" s="339"/>
      <c r="F235" s="339"/>
      <c r="G235" s="339" t="s">
        <v>359</v>
      </c>
      <c r="H235" s="339"/>
    </row>
    <row r="238" spans="1:8">
      <c r="A238" s="496"/>
      <c r="B238" s="329"/>
      <c r="C238" s="473"/>
      <c r="D238" s="339"/>
      <c r="E238" s="339"/>
      <c r="F238" s="339"/>
      <c r="G238" s="339"/>
      <c r="H238" s="519" t="s">
        <v>362</v>
      </c>
    </row>
    <row r="239" spans="1:8">
      <c r="A239" s="338"/>
      <c r="B239" s="467" t="s">
        <v>320</v>
      </c>
      <c r="C239" s="475"/>
      <c r="D239" s="336"/>
      <c r="E239" s="336"/>
      <c r="F239" s="336"/>
      <c r="G239" s="336"/>
      <c r="H239" s="336"/>
    </row>
    <row r="240" spans="1:8">
      <c r="A240" s="338" t="s">
        <v>331</v>
      </c>
      <c r="B240" s="474" t="s">
        <v>332</v>
      </c>
      <c r="C240" s="475" t="s">
        <v>333</v>
      </c>
      <c r="D240" s="475" t="s">
        <v>334</v>
      </c>
      <c r="E240" s="475" t="s">
        <v>335</v>
      </c>
      <c r="F240" s="475" t="s">
        <v>166</v>
      </c>
      <c r="G240" s="475" t="s">
        <v>168</v>
      </c>
      <c r="H240" s="475" t="s">
        <v>336</v>
      </c>
    </row>
    <row r="241" spans="1:8">
      <c r="A241" s="338"/>
      <c r="B241" s="467" t="s">
        <v>345</v>
      </c>
      <c r="C241" s="475"/>
      <c r="D241" s="336"/>
      <c r="E241" s="336"/>
      <c r="F241" s="336"/>
      <c r="G241" s="336"/>
      <c r="H241" s="336"/>
    </row>
    <row r="242" spans="1:8">
      <c r="A242" s="338">
        <v>1</v>
      </c>
      <c r="B242" s="474" t="s">
        <v>7</v>
      </c>
      <c r="C242" s="475" t="s">
        <v>346</v>
      </c>
      <c r="D242" s="336">
        <v>91614.800000000017</v>
      </c>
      <c r="E242" s="336">
        <v>822130</v>
      </c>
      <c r="F242" s="336">
        <f>885904.8-10147</f>
        <v>875757.8</v>
      </c>
      <c r="G242" s="336">
        <v>-10147</v>
      </c>
      <c r="H242" s="468">
        <f t="shared" ref="H242:H254" si="4">D242+E242-F242+G242</f>
        <v>27840</v>
      </c>
    </row>
    <row r="243" spans="1:8">
      <c r="A243" s="338">
        <v>2</v>
      </c>
      <c r="B243" s="474" t="s">
        <v>8</v>
      </c>
      <c r="C243" s="475" t="s">
        <v>346</v>
      </c>
      <c r="D243" s="336">
        <v>65096.600000000035</v>
      </c>
      <c r="E243" s="336">
        <f>284831.8-3371.8</f>
        <v>281460</v>
      </c>
      <c r="F243" s="336">
        <v>350598.39999999997</v>
      </c>
      <c r="G243" s="511">
        <v>4041.8</v>
      </c>
      <c r="H243" s="520">
        <f t="shared" si="4"/>
        <v>7.0031092036515474E-11</v>
      </c>
    </row>
    <row r="244" spans="1:8">
      <c r="A244" s="338">
        <v>3</v>
      </c>
      <c r="B244" s="474" t="s">
        <v>9</v>
      </c>
      <c r="C244" s="475" t="s">
        <v>346</v>
      </c>
      <c r="D244" s="336">
        <v>48372.799999999974</v>
      </c>
      <c r="E244" s="336">
        <v>80280</v>
      </c>
      <c r="F244" s="336">
        <v>108634.4</v>
      </c>
      <c r="G244" s="336"/>
      <c r="H244" s="468">
        <f t="shared" si="4"/>
        <v>20018.39999999998</v>
      </c>
    </row>
    <row r="245" spans="1:8">
      <c r="A245" s="338">
        <v>4</v>
      </c>
      <c r="B245" s="474" t="s">
        <v>10</v>
      </c>
      <c r="C245" s="475" t="s">
        <v>346</v>
      </c>
      <c r="D245" s="336">
        <v>34138.200000000019</v>
      </c>
      <c r="E245" s="336">
        <v>30490</v>
      </c>
      <c r="F245" s="336">
        <v>38335.5</v>
      </c>
      <c r="G245" s="336"/>
      <c r="H245" s="468">
        <f t="shared" si="4"/>
        <v>26292.700000000019</v>
      </c>
    </row>
    <row r="246" spans="1:8">
      <c r="A246" s="338">
        <v>5</v>
      </c>
      <c r="B246" s="474" t="s">
        <v>12</v>
      </c>
      <c r="C246" s="475" t="s">
        <v>346</v>
      </c>
      <c r="D246" s="336">
        <v>47801.999999999985</v>
      </c>
      <c r="E246" s="336">
        <v>0</v>
      </c>
      <c r="F246" s="336">
        <f>30415.3-19840</f>
        <v>10575.3</v>
      </c>
      <c r="G246" s="336">
        <v>-19840</v>
      </c>
      <c r="H246" s="468">
        <f t="shared" si="4"/>
        <v>17386.699999999983</v>
      </c>
    </row>
    <row r="247" spans="1:8">
      <c r="A247" s="338">
        <v>6</v>
      </c>
      <c r="B247" s="474" t="s">
        <v>13</v>
      </c>
      <c r="C247" s="475" t="s">
        <v>346</v>
      </c>
      <c r="D247" s="336">
        <v>7501.8000000000047</v>
      </c>
      <c r="E247" s="336">
        <v>0</v>
      </c>
      <c r="F247" s="336">
        <v>51871.5</v>
      </c>
      <c r="G247" s="336">
        <f>15960+28320+89.7</f>
        <v>44369.7</v>
      </c>
      <c r="H247" s="468">
        <f t="shared" si="4"/>
        <v>0</v>
      </c>
    </row>
    <row r="248" spans="1:8">
      <c r="A248" s="338">
        <v>7</v>
      </c>
      <c r="B248" s="474" t="s">
        <v>350</v>
      </c>
      <c r="C248" s="475" t="s">
        <v>346</v>
      </c>
      <c r="D248" s="336">
        <v>0</v>
      </c>
      <c r="E248" s="336">
        <v>33929.599999999999</v>
      </c>
      <c r="F248" s="336">
        <v>33929.599999999999</v>
      </c>
      <c r="G248" s="336"/>
      <c r="H248" s="468">
        <f t="shared" si="4"/>
        <v>0</v>
      </c>
    </row>
    <row r="249" spans="1:8">
      <c r="A249" s="338">
        <v>8</v>
      </c>
      <c r="B249" s="474" t="s">
        <v>15</v>
      </c>
      <c r="C249" s="475" t="s">
        <v>346</v>
      </c>
      <c r="D249" s="336">
        <v>8.0000000000001137</v>
      </c>
      <c r="E249" s="336">
        <v>18000</v>
      </c>
      <c r="F249" s="336">
        <v>6195.0999999999995</v>
      </c>
      <c r="G249" s="336"/>
      <c r="H249" s="468">
        <f t="shared" si="4"/>
        <v>11812.900000000001</v>
      </c>
    </row>
    <row r="250" spans="1:8">
      <c r="A250" s="338">
        <v>9</v>
      </c>
      <c r="B250" s="474" t="s">
        <v>351</v>
      </c>
      <c r="C250" s="475" t="s">
        <v>346</v>
      </c>
      <c r="D250" s="336">
        <v>0</v>
      </c>
      <c r="E250" s="336">
        <v>9326.7999999999993</v>
      </c>
      <c r="F250" s="336">
        <v>9326.7999999999993</v>
      </c>
      <c r="G250" s="336"/>
      <c r="H250" s="468">
        <f t="shared" si="4"/>
        <v>0</v>
      </c>
    </row>
    <row r="251" spans="1:8">
      <c r="A251" s="338">
        <v>10</v>
      </c>
      <c r="B251" s="474" t="s">
        <v>18</v>
      </c>
      <c r="C251" s="475" t="s">
        <v>346</v>
      </c>
      <c r="D251" s="336">
        <v>55052.4</v>
      </c>
      <c r="E251" s="336">
        <v>35280</v>
      </c>
      <c r="F251" s="336">
        <v>58462.7</v>
      </c>
      <c r="G251" s="336"/>
      <c r="H251" s="468">
        <f t="shared" si="4"/>
        <v>31869.699999999997</v>
      </c>
    </row>
    <row r="252" spans="1:8">
      <c r="A252" s="338">
        <v>11</v>
      </c>
      <c r="B252" s="474" t="s">
        <v>19</v>
      </c>
      <c r="C252" s="475" t="s">
        <v>346</v>
      </c>
      <c r="D252" s="336">
        <v>0</v>
      </c>
      <c r="E252" s="336">
        <v>45900</v>
      </c>
      <c r="F252" s="336">
        <v>39241.000000000007</v>
      </c>
      <c r="G252" s="336"/>
      <c r="H252" s="468">
        <f t="shared" si="4"/>
        <v>6658.9999999999927</v>
      </c>
    </row>
    <row r="253" spans="1:8">
      <c r="A253" s="338">
        <v>12</v>
      </c>
      <c r="B253" s="474" t="s">
        <v>20</v>
      </c>
      <c r="C253" s="475" t="s">
        <v>346</v>
      </c>
      <c r="D253" s="336">
        <v>2300</v>
      </c>
      <c r="E253" s="336">
        <v>0</v>
      </c>
      <c r="F253" s="336">
        <v>0</v>
      </c>
      <c r="G253" s="336">
        <v>4850</v>
      </c>
      <c r="H253" s="468">
        <f t="shared" si="4"/>
        <v>7150</v>
      </c>
    </row>
    <row r="254" spans="1:8">
      <c r="A254" s="338">
        <v>13</v>
      </c>
      <c r="B254" s="474" t="s">
        <v>21</v>
      </c>
      <c r="C254" s="475" t="s">
        <v>346</v>
      </c>
      <c r="D254" s="336">
        <v>5696.8</v>
      </c>
      <c r="E254" s="336">
        <v>0</v>
      </c>
      <c r="F254" s="336">
        <v>3849.5</v>
      </c>
      <c r="G254" s="336"/>
      <c r="H254" s="468">
        <f t="shared" si="4"/>
        <v>1847.3000000000002</v>
      </c>
    </row>
    <row r="255" spans="1:8">
      <c r="A255" s="338"/>
      <c r="B255" s="474"/>
      <c r="C255" s="475"/>
      <c r="D255" s="336"/>
      <c r="E255" s="336"/>
      <c r="F255" s="336"/>
      <c r="G255" s="336"/>
      <c r="H255" s="336"/>
    </row>
    <row r="256" spans="1:8">
      <c r="A256" s="338"/>
      <c r="B256" s="467" t="s">
        <v>347</v>
      </c>
      <c r="C256" s="475"/>
      <c r="D256" s="336"/>
      <c r="E256" s="336"/>
      <c r="F256" s="336"/>
      <c r="G256" s="336"/>
      <c r="H256" s="336"/>
    </row>
    <row r="257" spans="1:8">
      <c r="A257" s="338">
        <v>1</v>
      </c>
      <c r="B257" s="474" t="s">
        <v>23</v>
      </c>
      <c r="C257" s="475" t="s">
        <v>346</v>
      </c>
      <c r="D257" s="336">
        <v>620</v>
      </c>
      <c r="E257" s="336">
        <v>4000</v>
      </c>
      <c r="F257" s="336">
        <v>2640</v>
      </c>
      <c r="G257" s="336"/>
      <c r="H257" s="468">
        <f t="shared" ref="H257:H282" si="5">D257+E257-F257+G257</f>
        <v>1980</v>
      </c>
    </row>
    <row r="258" spans="1:8">
      <c r="A258" s="338">
        <v>2</v>
      </c>
      <c r="B258" s="474" t="s">
        <v>24</v>
      </c>
      <c r="C258" s="475" t="s">
        <v>346</v>
      </c>
      <c r="D258" s="336">
        <v>5960</v>
      </c>
      <c r="E258" s="336">
        <v>4000</v>
      </c>
      <c r="F258" s="336">
        <v>7960</v>
      </c>
      <c r="G258" s="336"/>
      <c r="H258" s="468">
        <f t="shared" si="5"/>
        <v>2000</v>
      </c>
    </row>
    <row r="259" spans="1:8">
      <c r="A259" s="338">
        <v>3</v>
      </c>
      <c r="B259" s="474" t="s">
        <v>25</v>
      </c>
      <c r="C259" s="475" t="s">
        <v>346</v>
      </c>
      <c r="D259" s="336">
        <v>5240</v>
      </c>
      <c r="E259" s="336">
        <v>0</v>
      </c>
      <c r="F259" s="336">
        <v>440</v>
      </c>
      <c r="G259" s="336"/>
      <c r="H259" s="468">
        <f t="shared" si="5"/>
        <v>4800</v>
      </c>
    </row>
    <row r="260" spans="1:8">
      <c r="A260" s="338">
        <v>4</v>
      </c>
      <c r="B260" s="474" t="s">
        <v>28</v>
      </c>
      <c r="C260" s="475" t="s">
        <v>346</v>
      </c>
      <c r="D260" s="336">
        <v>5120</v>
      </c>
      <c r="E260" s="336">
        <v>0</v>
      </c>
      <c r="F260" s="336">
        <v>0</v>
      </c>
      <c r="G260" s="336"/>
      <c r="H260" s="468">
        <f t="shared" si="5"/>
        <v>5120</v>
      </c>
    </row>
    <row r="261" spans="1:8">
      <c r="A261" s="338">
        <v>5</v>
      </c>
      <c r="B261" s="474" t="s">
        <v>29</v>
      </c>
      <c r="C261" s="475" t="s">
        <v>346</v>
      </c>
      <c r="D261" s="336">
        <v>5100</v>
      </c>
      <c r="E261" s="336">
        <v>0</v>
      </c>
      <c r="F261" s="336">
        <v>0</v>
      </c>
      <c r="G261" s="336">
        <v>1440</v>
      </c>
      <c r="H261" s="468">
        <f t="shared" si="5"/>
        <v>6540</v>
      </c>
    </row>
    <row r="262" spans="1:8">
      <c r="A262" s="338">
        <v>6</v>
      </c>
      <c r="B262" s="474" t="s">
        <v>30</v>
      </c>
      <c r="C262" s="475" t="s">
        <v>346</v>
      </c>
      <c r="D262" s="336">
        <v>10240</v>
      </c>
      <c r="E262" s="336">
        <v>0</v>
      </c>
      <c r="F262" s="336">
        <v>0</v>
      </c>
      <c r="G262" s="336">
        <v>1300</v>
      </c>
      <c r="H262" s="468">
        <f t="shared" si="5"/>
        <v>11540</v>
      </c>
    </row>
    <row r="263" spans="1:8">
      <c r="A263" s="338">
        <v>7</v>
      </c>
      <c r="B263" s="474" t="s">
        <v>31</v>
      </c>
      <c r="C263" s="475" t="s">
        <v>346</v>
      </c>
      <c r="D263" s="336">
        <v>15120</v>
      </c>
      <c r="E263" s="336">
        <v>0</v>
      </c>
      <c r="F263" s="336">
        <v>0</v>
      </c>
      <c r="G263" s="336"/>
      <c r="H263" s="468">
        <f t="shared" si="5"/>
        <v>15120</v>
      </c>
    </row>
    <row r="264" spans="1:8">
      <c r="A264" s="338">
        <v>8</v>
      </c>
      <c r="B264" s="474" t="s">
        <v>32</v>
      </c>
      <c r="C264" s="475" t="s">
        <v>346</v>
      </c>
      <c r="D264" s="336">
        <v>3320</v>
      </c>
      <c r="E264" s="336">
        <v>0</v>
      </c>
      <c r="F264" s="336">
        <v>0</v>
      </c>
      <c r="G264" s="336">
        <v>1720</v>
      </c>
      <c r="H264" s="468">
        <f t="shared" si="5"/>
        <v>5040</v>
      </c>
    </row>
    <row r="265" spans="1:8">
      <c r="A265" s="338">
        <v>9</v>
      </c>
      <c r="B265" s="474" t="s">
        <v>33</v>
      </c>
      <c r="C265" s="475" t="s">
        <v>346</v>
      </c>
      <c r="D265" s="336">
        <v>5400</v>
      </c>
      <c r="E265" s="336">
        <v>0</v>
      </c>
      <c r="F265" s="336">
        <v>0</v>
      </c>
      <c r="G265" s="336">
        <v>3700</v>
      </c>
      <c r="H265" s="468">
        <f t="shared" si="5"/>
        <v>9100</v>
      </c>
    </row>
    <row r="266" spans="1:8">
      <c r="A266" s="338">
        <v>10</v>
      </c>
      <c r="B266" s="474" t="s">
        <v>34</v>
      </c>
      <c r="C266" s="475" t="s">
        <v>346</v>
      </c>
      <c r="D266" s="336">
        <v>4000</v>
      </c>
      <c r="E266" s="336">
        <f>4140-1140</f>
        <v>3000</v>
      </c>
      <c r="F266" s="508">
        <v>3920</v>
      </c>
      <c r="G266" s="336">
        <v>1140</v>
      </c>
      <c r="H266" s="468">
        <f t="shared" si="5"/>
        <v>4220</v>
      </c>
    </row>
    <row r="267" spans="1:8">
      <c r="A267" s="338">
        <v>11</v>
      </c>
      <c r="B267" s="474" t="s">
        <v>35</v>
      </c>
      <c r="C267" s="475" t="s">
        <v>346</v>
      </c>
      <c r="D267" s="511">
        <v>0</v>
      </c>
      <c r="E267" s="336">
        <f>12577.5-1852.5</f>
        <v>10725</v>
      </c>
      <c r="F267" s="508">
        <v>4875</v>
      </c>
      <c r="G267" s="336">
        <v>1852.5</v>
      </c>
      <c r="H267" s="468">
        <f t="shared" si="5"/>
        <v>7702.5</v>
      </c>
    </row>
    <row r="268" spans="1:8">
      <c r="A268" s="338">
        <v>12</v>
      </c>
      <c r="B268" s="474" t="s">
        <v>36</v>
      </c>
      <c r="C268" s="475" t="s">
        <v>346</v>
      </c>
      <c r="D268" s="511">
        <v>6539.4000000000005</v>
      </c>
      <c r="E268" s="336">
        <f>8467.2-907.2</f>
        <v>7560.0000000000009</v>
      </c>
      <c r="F268" s="508">
        <v>8580.5999999999985</v>
      </c>
      <c r="G268" s="336">
        <v>907.2</v>
      </c>
      <c r="H268" s="468">
        <f t="shared" si="5"/>
        <v>6426.0000000000027</v>
      </c>
    </row>
    <row r="269" spans="1:8">
      <c r="A269" s="338">
        <v>13</v>
      </c>
      <c r="B269" s="474" t="s">
        <v>39</v>
      </c>
      <c r="C269" s="475" t="s">
        <v>346</v>
      </c>
      <c r="D269" s="336">
        <v>4123</v>
      </c>
      <c r="E269" s="336">
        <v>2000</v>
      </c>
      <c r="F269" s="336">
        <v>1928</v>
      </c>
      <c r="G269" s="336"/>
      <c r="H269" s="468">
        <f t="shared" si="5"/>
        <v>4195</v>
      </c>
    </row>
    <row r="270" spans="1:8">
      <c r="A270" s="338">
        <v>14</v>
      </c>
      <c r="B270" s="474" t="s">
        <v>352</v>
      </c>
      <c r="C270" s="475" t="s">
        <v>346</v>
      </c>
      <c r="D270" s="336">
        <v>0</v>
      </c>
      <c r="E270" s="336">
        <v>2478</v>
      </c>
      <c r="F270" s="336">
        <v>2478</v>
      </c>
      <c r="G270" s="336"/>
      <c r="H270" s="468">
        <f t="shared" si="5"/>
        <v>0</v>
      </c>
    </row>
    <row r="271" spans="1:8">
      <c r="A271" s="338">
        <v>15</v>
      </c>
      <c r="B271" s="474" t="s">
        <v>42</v>
      </c>
      <c r="C271" s="475" t="s">
        <v>346</v>
      </c>
      <c r="D271" s="336">
        <v>1947.7</v>
      </c>
      <c r="E271" s="336">
        <v>3000</v>
      </c>
      <c r="F271" s="336">
        <v>795.19999999999993</v>
      </c>
      <c r="G271" s="336"/>
      <c r="H271" s="468">
        <f t="shared" si="5"/>
        <v>4152.5</v>
      </c>
    </row>
    <row r="272" spans="1:8">
      <c r="A272" s="338">
        <v>16</v>
      </c>
      <c r="B272" s="474" t="s">
        <v>41</v>
      </c>
      <c r="C272" s="475" t="s">
        <v>346</v>
      </c>
      <c r="D272" s="336">
        <v>0</v>
      </c>
      <c r="E272" s="336">
        <v>2065</v>
      </c>
      <c r="F272" s="336">
        <v>0</v>
      </c>
      <c r="G272" s="336"/>
      <c r="H272" s="468">
        <f t="shared" si="5"/>
        <v>2065</v>
      </c>
    </row>
    <row r="273" spans="1:9">
      <c r="A273" s="338">
        <v>17</v>
      </c>
      <c r="B273" s="474" t="s">
        <v>43</v>
      </c>
      <c r="C273" s="475" t="s">
        <v>346</v>
      </c>
      <c r="D273" s="336">
        <v>1680.5</v>
      </c>
      <c r="E273" s="336">
        <v>0</v>
      </c>
      <c r="F273" s="336">
        <v>0</v>
      </c>
      <c r="G273" s="336"/>
      <c r="H273" s="468">
        <f t="shared" si="5"/>
        <v>1680.5</v>
      </c>
      <c r="I273" s="339"/>
    </row>
    <row r="274" spans="1:9">
      <c r="A274" s="338">
        <v>18</v>
      </c>
      <c r="B274" s="474" t="s">
        <v>63</v>
      </c>
      <c r="C274" s="475" t="s">
        <v>346</v>
      </c>
      <c r="D274" s="336">
        <v>41.600000000000023</v>
      </c>
      <c r="E274" s="336">
        <v>2160</v>
      </c>
      <c r="F274" s="336">
        <v>2160</v>
      </c>
      <c r="G274" s="336"/>
      <c r="H274" s="468">
        <f t="shared" si="5"/>
        <v>41.599999999999909</v>
      </c>
      <c r="I274" s="339"/>
    </row>
    <row r="275" spans="1:9">
      <c r="A275" s="338">
        <v>19</v>
      </c>
      <c r="B275" s="474" t="s">
        <v>45</v>
      </c>
      <c r="C275" s="475" t="s">
        <v>346</v>
      </c>
      <c r="D275" s="336">
        <v>0</v>
      </c>
      <c r="E275" s="336">
        <v>2000</v>
      </c>
      <c r="F275" s="511">
        <v>1000</v>
      </c>
      <c r="G275" s="336"/>
      <c r="H275" s="520">
        <f t="shared" si="5"/>
        <v>1000</v>
      </c>
      <c r="I275" s="339"/>
    </row>
    <row r="276" spans="1:9">
      <c r="A276" s="338">
        <v>20</v>
      </c>
      <c r="B276" s="474" t="s">
        <v>47</v>
      </c>
      <c r="C276" s="475" t="s">
        <v>346</v>
      </c>
      <c r="D276" s="336">
        <v>100</v>
      </c>
      <c r="E276" s="336">
        <v>0</v>
      </c>
      <c r="F276" s="336">
        <v>0</v>
      </c>
      <c r="G276" s="336"/>
      <c r="H276" s="468">
        <f t="shared" si="5"/>
        <v>100</v>
      </c>
      <c r="I276" s="339"/>
    </row>
    <row r="277" spans="1:9">
      <c r="A277" s="338">
        <v>21</v>
      </c>
      <c r="B277" s="474" t="s">
        <v>48</v>
      </c>
      <c r="C277" s="475" t="s">
        <v>346</v>
      </c>
      <c r="D277" s="336">
        <v>13.960000000000036</v>
      </c>
      <c r="E277" s="336">
        <v>0</v>
      </c>
      <c r="F277" s="336">
        <v>0</v>
      </c>
      <c r="G277" s="336"/>
      <c r="H277" s="468">
        <f t="shared" si="5"/>
        <v>13.960000000000036</v>
      </c>
      <c r="I277" s="339"/>
    </row>
    <row r="278" spans="1:9">
      <c r="A278" s="338">
        <v>22</v>
      </c>
      <c r="B278" s="474" t="s">
        <v>103</v>
      </c>
      <c r="C278" s="475" t="s">
        <v>346</v>
      </c>
      <c r="D278" s="336">
        <v>344</v>
      </c>
      <c r="E278" s="336">
        <v>868</v>
      </c>
      <c r="F278" s="336">
        <v>0</v>
      </c>
      <c r="G278" s="336"/>
      <c r="H278" s="468">
        <f t="shared" si="5"/>
        <v>1212</v>
      </c>
      <c r="I278" s="339"/>
    </row>
    <row r="279" spans="1:9">
      <c r="A279" s="338">
        <v>23</v>
      </c>
      <c r="B279" s="474" t="s">
        <v>104</v>
      </c>
      <c r="C279" s="475" t="s">
        <v>346</v>
      </c>
      <c r="D279" s="336">
        <v>0</v>
      </c>
      <c r="E279" s="511">
        <v>400</v>
      </c>
      <c r="F279" s="336">
        <v>0</v>
      </c>
      <c r="G279" s="336"/>
      <c r="H279" s="520">
        <f t="shared" si="5"/>
        <v>400</v>
      </c>
      <c r="I279" s="339" t="s">
        <v>369</v>
      </c>
    </row>
    <row r="280" spans="1:9">
      <c r="A280" s="338">
        <v>24</v>
      </c>
      <c r="B280" s="474" t="s">
        <v>51</v>
      </c>
      <c r="C280" s="475" t="s">
        <v>346</v>
      </c>
      <c r="D280" s="336">
        <v>207.6</v>
      </c>
      <c r="E280" s="336">
        <v>0</v>
      </c>
      <c r="F280" s="336">
        <v>0</v>
      </c>
      <c r="G280" s="336"/>
      <c r="H280" s="468">
        <f t="shared" si="5"/>
        <v>207.6</v>
      </c>
      <c r="I280" s="339"/>
    </row>
    <row r="281" spans="1:9">
      <c r="A281" s="338">
        <v>25</v>
      </c>
      <c r="B281" s="474" t="s">
        <v>52</v>
      </c>
      <c r="C281" s="475" t="s">
        <v>346</v>
      </c>
      <c r="D281" s="336">
        <v>197.04000000000002</v>
      </c>
      <c r="E281" s="336">
        <v>0</v>
      </c>
      <c r="F281" s="511">
        <v>50</v>
      </c>
      <c r="G281" s="336"/>
      <c r="H281" s="520">
        <f t="shared" si="5"/>
        <v>147.04000000000002</v>
      </c>
      <c r="I281" s="339"/>
    </row>
    <row r="282" spans="1:9">
      <c r="A282" s="338">
        <v>26</v>
      </c>
      <c r="B282" s="474" t="s">
        <v>53</v>
      </c>
      <c r="C282" s="475" t="s">
        <v>346</v>
      </c>
      <c r="D282" s="336">
        <v>46.8</v>
      </c>
      <c r="E282" s="336">
        <v>0</v>
      </c>
      <c r="F282" s="336">
        <v>0</v>
      </c>
      <c r="G282" s="336"/>
      <c r="H282" s="468">
        <f t="shared" si="5"/>
        <v>46.8</v>
      </c>
      <c r="I282" s="339"/>
    </row>
    <row r="283" spans="1:9">
      <c r="A283" s="338"/>
      <c r="B283" s="474"/>
      <c r="C283" s="475"/>
      <c r="D283" s="336"/>
      <c r="E283" s="336"/>
      <c r="F283" s="336"/>
      <c r="G283" s="336"/>
      <c r="H283" s="336"/>
      <c r="I283" s="339"/>
    </row>
    <row r="284" spans="1:9">
      <c r="A284" s="338"/>
      <c r="B284" s="467" t="s">
        <v>348</v>
      </c>
      <c r="C284" s="475"/>
      <c r="D284" s="336"/>
      <c r="E284" s="336"/>
      <c r="F284" s="336"/>
      <c r="G284" s="336"/>
      <c r="H284" s="336"/>
      <c r="I284" s="339"/>
    </row>
    <row r="285" spans="1:9">
      <c r="A285" s="338">
        <v>1</v>
      </c>
      <c r="B285" s="474" t="s">
        <v>65</v>
      </c>
      <c r="C285" s="475" t="s">
        <v>349</v>
      </c>
      <c r="D285" s="336">
        <v>6628</v>
      </c>
      <c r="E285" s="336">
        <v>0</v>
      </c>
      <c r="F285" s="336">
        <v>2739</v>
      </c>
      <c r="G285" s="336"/>
      <c r="H285" s="468">
        <f t="shared" ref="H285:H290" si="6">D285+E285-F285+G285</f>
        <v>3889</v>
      </c>
      <c r="I285" s="339"/>
    </row>
    <row r="286" spans="1:9">
      <c r="A286" s="338">
        <v>2</v>
      </c>
      <c r="B286" s="474" t="s">
        <v>66</v>
      </c>
      <c r="C286" s="475" t="s">
        <v>349</v>
      </c>
      <c r="D286" s="336">
        <v>6559</v>
      </c>
      <c r="E286" s="336">
        <v>0</v>
      </c>
      <c r="F286" s="336">
        <v>6770</v>
      </c>
      <c r="G286" s="336">
        <v>211</v>
      </c>
      <c r="H286" s="468">
        <f t="shared" si="6"/>
        <v>0</v>
      </c>
      <c r="I286" s="339"/>
    </row>
    <row r="287" spans="1:9">
      <c r="A287" s="338">
        <v>3</v>
      </c>
      <c r="B287" s="474" t="s">
        <v>67</v>
      </c>
      <c r="C287" s="475" t="s">
        <v>349</v>
      </c>
      <c r="D287" s="336">
        <v>590</v>
      </c>
      <c r="E287" s="336">
        <v>6552</v>
      </c>
      <c r="F287" s="336">
        <v>793</v>
      </c>
      <c r="G287" s="336"/>
      <c r="H287" s="468">
        <f t="shared" si="6"/>
        <v>6349</v>
      </c>
      <c r="I287" s="339"/>
    </row>
    <row r="288" spans="1:9">
      <c r="A288" s="338">
        <v>4</v>
      </c>
      <c r="B288" s="474" t="s">
        <v>68</v>
      </c>
      <c r="C288" s="475" t="s">
        <v>349</v>
      </c>
      <c r="D288" s="336">
        <v>3391</v>
      </c>
      <c r="E288" s="336">
        <v>8000</v>
      </c>
      <c r="F288" s="336">
        <v>5402</v>
      </c>
      <c r="G288" s="336"/>
      <c r="H288" s="468">
        <f t="shared" si="6"/>
        <v>5989</v>
      </c>
      <c r="I288" s="339"/>
    </row>
    <row r="289" spans="1:8">
      <c r="A289" s="338">
        <v>5</v>
      </c>
      <c r="B289" s="474" t="s">
        <v>69</v>
      </c>
      <c r="C289" s="475" t="s">
        <v>349</v>
      </c>
      <c r="D289" s="336">
        <v>1901</v>
      </c>
      <c r="E289" s="336">
        <v>0</v>
      </c>
      <c r="F289" s="336">
        <v>0</v>
      </c>
      <c r="G289" s="336"/>
      <c r="H289" s="468">
        <f t="shared" si="6"/>
        <v>1901</v>
      </c>
    </row>
    <row r="290" spans="1:8">
      <c r="A290" s="338">
        <v>6</v>
      </c>
      <c r="B290" s="474" t="s">
        <v>70</v>
      </c>
      <c r="C290" s="475" t="s">
        <v>349</v>
      </c>
      <c r="D290" s="336">
        <v>0</v>
      </c>
      <c r="E290" s="336">
        <v>6459</v>
      </c>
      <c r="F290" s="336">
        <v>0</v>
      </c>
      <c r="G290" s="336"/>
      <c r="H290" s="468">
        <f t="shared" si="6"/>
        <v>6459</v>
      </c>
    </row>
    <row r="291" spans="1:8">
      <c r="A291" s="338"/>
      <c r="B291" s="474"/>
      <c r="C291" s="475"/>
      <c r="D291" s="336"/>
      <c r="E291" s="336"/>
      <c r="F291" s="336"/>
      <c r="G291" s="336"/>
      <c r="H291" s="336"/>
    </row>
    <row r="292" spans="1:8" ht="13.9" thickBot="1">
      <c r="A292" s="338"/>
      <c r="B292" s="467" t="s">
        <v>72</v>
      </c>
      <c r="C292" s="298"/>
      <c r="D292" s="469">
        <f>SUM(D242:D290)</f>
        <v>452014</v>
      </c>
      <c r="E292" s="469">
        <f>SUM(E242:E290)</f>
        <v>1422063.4000000001</v>
      </c>
      <c r="F292" s="469">
        <f>SUM(F242:F290)</f>
        <v>1639308.4000000001</v>
      </c>
      <c r="G292" s="469">
        <f>SUM(G242:G290)</f>
        <v>35545.199999999997</v>
      </c>
      <c r="H292" s="469">
        <f>SUM(H242:H290)</f>
        <v>270314.2</v>
      </c>
    </row>
    <row r="293" spans="1:8" ht="13.9" thickTop="1">
      <c r="A293" s="496"/>
      <c r="B293" s="329"/>
      <c r="C293" s="473"/>
      <c r="D293" s="339"/>
      <c r="E293" s="339"/>
      <c r="F293" s="339"/>
      <c r="G293" s="339"/>
      <c r="H293" s="339"/>
    </row>
    <row r="313" spans="2:8">
      <c r="B313" s="329" t="s">
        <v>358</v>
      </c>
      <c r="C313" s="473"/>
      <c r="D313" s="339"/>
      <c r="E313" s="339"/>
      <c r="F313" s="339"/>
      <c r="G313" s="339" t="s">
        <v>359</v>
      </c>
      <c r="H313" s="339"/>
    </row>
    <row r="314" spans="2:8">
      <c r="B314" s="329"/>
      <c r="C314" s="473"/>
      <c r="D314" s="339"/>
      <c r="E314" s="339"/>
      <c r="F314" s="339"/>
      <c r="G314" s="339"/>
      <c r="H314" s="339"/>
    </row>
    <row r="315" spans="2:8">
      <c r="B315" s="329"/>
      <c r="C315" s="473"/>
      <c r="D315" s="339"/>
      <c r="E315" s="339"/>
      <c r="F315" s="339"/>
      <c r="G315" s="339"/>
      <c r="H315" s="339"/>
    </row>
    <row r="316" spans="2:8">
      <c r="B316" s="329"/>
      <c r="C316" s="473"/>
      <c r="D316" s="339"/>
      <c r="E316" s="339"/>
      <c r="F316" s="339"/>
      <c r="G316" s="339"/>
      <c r="H316" s="519" t="s">
        <v>362</v>
      </c>
    </row>
    <row r="317" spans="2:8">
      <c r="B317" s="472" t="s">
        <v>320</v>
      </c>
      <c r="C317" s="473"/>
      <c r="D317" s="339"/>
      <c r="E317" s="339"/>
      <c r="F317" s="339"/>
      <c r="G317" s="339"/>
      <c r="H317" s="339"/>
    </row>
    <row r="319" spans="2:8">
      <c r="B319" s="472" t="s">
        <v>353</v>
      </c>
      <c r="C319" s="473"/>
      <c r="D319" s="339"/>
      <c r="E319" s="339"/>
      <c r="F319" s="339"/>
      <c r="G319" s="339"/>
      <c r="H319" s="339"/>
    </row>
    <row r="320" spans="2:8">
      <c r="B320" s="474" t="s">
        <v>8</v>
      </c>
      <c r="C320" s="475" t="s">
        <v>346</v>
      </c>
      <c r="D320" s="511">
        <v>4041.8</v>
      </c>
      <c r="E320" s="339"/>
      <c r="F320" s="339"/>
      <c r="G320" s="339"/>
      <c r="H320" s="339"/>
    </row>
    <row r="321" spans="2:8">
      <c r="B321" s="474" t="s">
        <v>13</v>
      </c>
      <c r="C321" s="475" t="s">
        <v>346</v>
      </c>
      <c r="D321" s="336">
        <v>89.7</v>
      </c>
      <c r="E321" s="339"/>
      <c r="F321" s="339"/>
      <c r="G321" s="339"/>
      <c r="H321" s="339"/>
    </row>
    <row r="322" spans="2:8">
      <c r="B322" s="474" t="s">
        <v>66</v>
      </c>
      <c r="C322" s="475" t="s">
        <v>349</v>
      </c>
      <c r="D322" s="336">
        <v>211</v>
      </c>
      <c r="E322" s="339"/>
      <c r="F322" s="339"/>
      <c r="G322" s="339"/>
      <c r="H322" s="339"/>
    </row>
    <row r="323" spans="2:8">
      <c r="B323" s="329" t="s">
        <v>354</v>
      </c>
      <c r="C323" s="473"/>
      <c r="D323" s="339"/>
      <c r="E323" s="339"/>
      <c r="F323" s="339"/>
      <c r="G323" s="339"/>
      <c r="H323" s="339"/>
    </row>
    <row r="324" spans="2:8">
      <c r="B324" s="329"/>
      <c r="C324" s="473"/>
      <c r="D324" s="339"/>
      <c r="E324" s="339"/>
      <c r="F324" s="339"/>
      <c r="G324" s="339"/>
      <c r="H324" s="339"/>
    </row>
    <row r="325" spans="2:8">
      <c r="B325" s="474" t="s">
        <v>13</v>
      </c>
      <c r="C325" s="475" t="s">
        <v>346</v>
      </c>
      <c r="D325" s="336">
        <v>15960</v>
      </c>
      <c r="E325" s="339"/>
      <c r="F325" s="339"/>
      <c r="G325" s="339"/>
      <c r="H325" s="339"/>
    </row>
    <row r="326" spans="2:8">
      <c r="B326" s="329" t="s">
        <v>363</v>
      </c>
      <c r="C326" s="477"/>
      <c r="D326" s="515"/>
      <c r="E326" s="339"/>
      <c r="F326" s="339"/>
      <c r="G326" s="339"/>
      <c r="H326" s="339"/>
    </row>
    <row r="327" spans="2:8">
      <c r="B327" s="329" t="s">
        <v>364</v>
      </c>
      <c r="C327" s="477"/>
      <c r="D327" s="515"/>
      <c r="E327" s="339"/>
      <c r="F327" s="339"/>
      <c r="G327" s="339"/>
      <c r="H327" s="339"/>
    </row>
    <row r="328" spans="2:8">
      <c r="B328" s="329"/>
      <c r="C328" s="477"/>
      <c r="D328" s="515"/>
      <c r="E328" s="339"/>
      <c r="F328" s="339"/>
      <c r="G328" s="339"/>
      <c r="H328" s="339"/>
    </row>
    <row r="329" spans="2:8">
      <c r="B329" s="474" t="s">
        <v>13</v>
      </c>
      <c r="C329" s="475" t="s">
        <v>346</v>
      </c>
      <c r="D329" s="336">
        <v>28320</v>
      </c>
      <c r="E329" s="339"/>
      <c r="F329" s="339"/>
      <c r="G329" s="339"/>
      <c r="H329" s="339"/>
    </row>
    <row r="330" spans="2:8">
      <c r="B330" s="329" t="s">
        <v>355</v>
      </c>
      <c r="C330" s="473"/>
      <c r="D330" s="339"/>
      <c r="E330" s="339"/>
      <c r="F330" s="339"/>
      <c r="G330" s="339"/>
      <c r="H330" s="339"/>
    </row>
    <row r="331" spans="2:8">
      <c r="B331" s="329" t="s">
        <v>365</v>
      </c>
      <c r="C331" s="473"/>
      <c r="D331" s="339"/>
      <c r="E331" s="339"/>
      <c r="F331" s="339"/>
      <c r="G331" s="339"/>
      <c r="H331" s="339"/>
    </row>
    <row r="332" spans="2:8">
      <c r="B332" s="329"/>
      <c r="C332" s="473"/>
      <c r="D332" s="339"/>
      <c r="E332" s="339"/>
      <c r="F332" s="339"/>
      <c r="G332" s="339"/>
      <c r="H332" s="339"/>
    </row>
    <row r="333" spans="2:8">
      <c r="B333" s="329"/>
      <c r="C333" s="473"/>
      <c r="D333" s="339"/>
      <c r="E333" s="339"/>
      <c r="F333" s="339"/>
      <c r="G333" s="339"/>
      <c r="H333" s="339"/>
    </row>
    <row r="334" spans="2:8">
      <c r="B334" s="474" t="s">
        <v>34</v>
      </c>
      <c r="C334" s="475" t="s">
        <v>346</v>
      </c>
      <c r="D334" s="336">
        <v>1140</v>
      </c>
      <c r="E334" s="339"/>
      <c r="F334" s="339"/>
      <c r="G334" s="339"/>
      <c r="H334" s="339"/>
    </row>
    <row r="335" spans="2:8">
      <c r="B335" s="474" t="s">
        <v>35</v>
      </c>
      <c r="C335" s="475" t="s">
        <v>346</v>
      </c>
      <c r="D335" s="336">
        <v>1852.5</v>
      </c>
      <c r="E335" s="339"/>
      <c r="F335" s="339"/>
      <c r="G335" s="339"/>
      <c r="H335" s="339"/>
    </row>
    <row r="336" spans="2:8">
      <c r="B336" s="474" t="s">
        <v>36</v>
      </c>
      <c r="C336" s="475" t="s">
        <v>346</v>
      </c>
      <c r="D336" s="336">
        <v>907.2</v>
      </c>
      <c r="E336" s="339"/>
      <c r="F336" s="339"/>
      <c r="G336" s="339"/>
      <c r="H336" s="339"/>
    </row>
    <row r="337" spans="2:4">
      <c r="B337" s="474" t="s">
        <v>20</v>
      </c>
      <c r="C337" s="475" t="s">
        <v>346</v>
      </c>
      <c r="D337" s="336">
        <v>4850</v>
      </c>
    </row>
    <row r="338" spans="2:4">
      <c r="B338" s="329" t="s">
        <v>363</v>
      </c>
      <c r="C338" s="473"/>
      <c r="D338" s="339"/>
    </row>
    <row r="339" spans="2:4">
      <c r="B339" s="329" t="s">
        <v>366</v>
      </c>
      <c r="C339" s="473"/>
      <c r="D339" s="339"/>
    </row>
    <row r="340" spans="2:4">
      <c r="B340" s="329"/>
      <c r="C340" s="473"/>
      <c r="D340" s="339"/>
    </row>
    <row r="341" spans="2:4">
      <c r="B341" s="474" t="s">
        <v>29</v>
      </c>
      <c r="C341" s="475" t="s">
        <v>346</v>
      </c>
      <c r="D341" s="336">
        <v>1440</v>
      </c>
    </row>
    <row r="342" spans="2:4">
      <c r="B342" s="474" t="s">
        <v>30</v>
      </c>
      <c r="C342" s="475" t="s">
        <v>346</v>
      </c>
      <c r="D342" s="336">
        <v>1300</v>
      </c>
    </row>
    <row r="343" spans="2:4">
      <c r="B343" s="474" t="s">
        <v>32</v>
      </c>
      <c r="C343" s="475" t="s">
        <v>346</v>
      </c>
      <c r="D343" s="336">
        <v>1720</v>
      </c>
    </row>
    <row r="344" spans="2:4">
      <c r="B344" s="474" t="s">
        <v>33</v>
      </c>
      <c r="C344" s="475" t="s">
        <v>346</v>
      </c>
      <c r="D344" s="336">
        <v>3700</v>
      </c>
    </row>
    <row r="345" spans="2:4">
      <c r="B345" s="329" t="s">
        <v>363</v>
      </c>
      <c r="C345" s="473"/>
      <c r="D345" s="339"/>
    </row>
    <row r="346" spans="2:4">
      <c r="B346" s="329" t="s">
        <v>367</v>
      </c>
      <c r="C346" s="473"/>
      <c r="D346" s="339"/>
    </row>
    <row r="347" spans="2:4">
      <c r="B347" s="329"/>
      <c r="C347" s="473"/>
      <c r="D347" s="339"/>
    </row>
    <row r="348" spans="2:4">
      <c r="B348" s="472" t="s">
        <v>357</v>
      </c>
      <c r="C348" s="473"/>
      <c r="D348" s="339"/>
    </row>
    <row r="349" spans="2:4">
      <c r="B349" s="474" t="s">
        <v>7</v>
      </c>
      <c r="C349" s="475" t="s">
        <v>346</v>
      </c>
      <c r="D349" s="336">
        <v>-10147</v>
      </c>
    </row>
    <row r="350" spans="2:4">
      <c r="B350" s="329" t="s">
        <v>354</v>
      </c>
      <c r="C350" s="473"/>
      <c r="D350" s="339"/>
    </row>
    <row r="352" spans="2:4">
      <c r="B352" s="474" t="s">
        <v>12</v>
      </c>
      <c r="C352" s="475" t="s">
        <v>346</v>
      </c>
      <c r="D352" s="336">
        <v>-19840</v>
      </c>
    </row>
    <row r="353" spans="2:4">
      <c r="B353" s="329" t="s">
        <v>355</v>
      </c>
      <c r="C353" s="473"/>
      <c r="D353" s="339"/>
    </row>
    <row r="354" spans="2:4">
      <c r="B354" s="329" t="s">
        <v>368</v>
      </c>
      <c r="C354" s="473"/>
      <c r="D354" s="339"/>
    </row>
    <row r="384" spans="2:8">
      <c r="B384" s="329" t="s">
        <v>358</v>
      </c>
      <c r="C384" s="473"/>
      <c r="D384" s="339"/>
      <c r="E384" s="339"/>
      <c r="F384" s="339"/>
      <c r="G384" s="339" t="s">
        <v>359</v>
      </c>
      <c r="H384" s="339"/>
    </row>
    <row r="388" spans="1:9">
      <c r="A388" s="496"/>
      <c r="B388" s="329"/>
      <c r="C388" s="473"/>
      <c r="D388" s="339"/>
      <c r="E388" s="339"/>
      <c r="F388" s="339"/>
      <c r="G388" s="339"/>
      <c r="H388" s="519" t="s">
        <v>370</v>
      </c>
      <c r="I388" s="522" t="s">
        <v>371</v>
      </c>
    </row>
    <row r="389" spans="1:9">
      <c r="A389" s="338"/>
      <c r="B389" s="467" t="s">
        <v>320</v>
      </c>
      <c r="C389" s="475"/>
      <c r="D389" s="336"/>
      <c r="E389" s="336"/>
      <c r="F389" s="336"/>
      <c r="G389" s="336"/>
      <c r="H389" s="336"/>
      <c r="I389" s="339"/>
    </row>
    <row r="390" spans="1:9">
      <c r="A390" s="338" t="s">
        <v>331</v>
      </c>
      <c r="B390" s="474" t="s">
        <v>332</v>
      </c>
      <c r="C390" s="475" t="s">
        <v>333</v>
      </c>
      <c r="D390" s="475" t="s">
        <v>334</v>
      </c>
      <c r="E390" s="475" t="s">
        <v>335</v>
      </c>
      <c r="F390" s="475" t="s">
        <v>166</v>
      </c>
      <c r="G390" s="475" t="s">
        <v>168</v>
      </c>
      <c r="H390" s="475" t="s">
        <v>336</v>
      </c>
      <c r="I390" s="339"/>
    </row>
    <row r="391" spans="1:9">
      <c r="A391" s="338"/>
      <c r="B391" s="467" t="s">
        <v>345</v>
      </c>
      <c r="C391" s="475"/>
      <c r="D391" s="336"/>
      <c r="E391" s="336"/>
      <c r="F391" s="336"/>
      <c r="G391" s="336"/>
      <c r="H391" s="336"/>
      <c r="I391" s="339"/>
    </row>
    <row r="392" spans="1:9">
      <c r="A392" s="338">
        <v>1</v>
      </c>
      <c r="B392" s="474" t="s">
        <v>7</v>
      </c>
      <c r="C392" s="475" t="s">
        <v>346</v>
      </c>
      <c r="D392" s="336">
        <v>91614.800000000017</v>
      </c>
      <c r="E392" s="336">
        <v>822130</v>
      </c>
      <c r="F392" s="336">
        <f>885904.8-10147</f>
        <v>875757.8</v>
      </c>
      <c r="G392" s="336">
        <v>-10147</v>
      </c>
      <c r="H392" s="468">
        <f t="shared" ref="H392:H404" si="7">D392+E392-F392+G392</f>
        <v>27840</v>
      </c>
      <c r="I392" s="339"/>
    </row>
    <row r="393" spans="1:9">
      <c r="A393" s="338">
        <v>2</v>
      </c>
      <c r="B393" s="474" t="s">
        <v>8</v>
      </c>
      <c r="C393" s="475" t="s">
        <v>346</v>
      </c>
      <c r="D393" s="336">
        <v>65096.600000000035</v>
      </c>
      <c r="E393" s="336">
        <f>284831.8-3371.8</f>
        <v>281460</v>
      </c>
      <c r="F393" s="336">
        <v>350598.39999999997</v>
      </c>
      <c r="G393" s="336">
        <v>3371.8</v>
      </c>
      <c r="H393" s="468">
        <f t="shared" si="7"/>
        <v>-669.99999999992997</v>
      </c>
      <c r="I393" s="339"/>
    </row>
    <row r="394" spans="1:9">
      <c r="A394" s="338">
        <v>3</v>
      </c>
      <c r="B394" s="474" t="s">
        <v>9</v>
      </c>
      <c r="C394" s="475" t="s">
        <v>346</v>
      </c>
      <c r="D394" s="336">
        <v>48372.799999999974</v>
      </c>
      <c r="E394" s="336">
        <v>80280</v>
      </c>
      <c r="F394" s="336">
        <v>108634.4</v>
      </c>
      <c r="G394" s="336"/>
      <c r="H394" s="468">
        <f t="shared" si="7"/>
        <v>20018.39999999998</v>
      </c>
      <c r="I394" s="339"/>
    </row>
    <row r="395" spans="1:9">
      <c r="A395" s="338">
        <v>4</v>
      </c>
      <c r="B395" s="474" t="s">
        <v>10</v>
      </c>
      <c r="C395" s="475" t="s">
        <v>346</v>
      </c>
      <c r="D395" s="336">
        <v>34138.200000000019</v>
      </c>
      <c r="E395" s="336">
        <v>30490</v>
      </c>
      <c r="F395" s="336">
        <v>38335.5</v>
      </c>
      <c r="G395" s="336"/>
      <c r="H395" s="468">
        <f t="shared" si="7"/>
        <v>26292.700000000019</v>
      </c>
      <c r="I395" s="339"/>
    </row>
    <row r="396" spans="1:9">
      <c r="A396" s="338">
        <v>5</v>
      </c>
      <c r="B396" s="474" t="s">
        <v>12</v>
      </c>
      <c r="C396" s="475" t="s">
        <v>346</v>
      </c>
      <c r="D396" s="336">
        <v>47801.999999999985</v>
      </c>
      <c r="E396" s="336">
        <v>0</v>
      </c>
      <c r="F396" s="336">
        <f>30415.3-19840</f>
        <v>10575.3</v>
      </c>
      <c r="G396" s="336">
        <v>-19840</v>
      </c>
      <c r="H396" s="468">
        <f t="shared" si="7"/>
        <v>17386.699999999983</v>
      </c>
      <c r="I396" s="339"/>
    </row>
    <row r="397" spans="1:9">
      <c r="A397" s="338">
        <v>6</v>
      </c>
      <c r="B397" s="474" t="s">
        <v>13</v>
      </c>
      <c r="C397" s="475" t="s">
        <v>346</v>
      </c>
      <c r="D397" s="336">
        <v>7501.8000000000047</v>
      </c>
      <c r="E397" s="336">
        <v>0</v>
      </c>
      <c r="F397" s="336">
        <v>51871.5</v>
      </c>
      <c r="G397" s="336">
        <f>15960+28320+89.7</f>
        <v>44369.7</v>
      </c>
      <c r="H397" s="468">
        <f t="shared" si="7"/>
        <v>0</v>
      </c>
      <c r="I397" s="339"/>
    </row>
    <row r="398" spans="1:9">
      <c r="A398" s="338">
        <v>7</v>
      </c>
      <c r="B398" s="474" t="s">
        <v>350</v>
      </c>
      <c r="C398" s="475" t="s">
        <v>346</v>
      </c>
      <c r="D398" s="336">
        <v>0</v>
      </c>
      <c r="E398" s="336">
        <v>33929.599999999999</v>
      </c>
      <c r="F398" s="336">
        <v>33929.599999999999</v>
      </c>
      <c r="G398" s="336"/>
      <c r="H398" s="468">
        <f t="shared" si="7"/>
        <v>0</v>
      </c>
      <c r="I398" s="339"/>
    </row>
    <row r="399" spans="1:9">
      <c r="A399" s="338">
        <v>8</v>
      </c>
      <c r="B399" s="474" t="s">
        <v>15</v>
      </c>
      <c r="C399" s="475" t="s">
        <v>346</v>
      </c>
      <c r="D399" s="336">
        <v>8.0000000000001137</v>
      </c>
      <c r="E399" s="336">
        <v>18000</v>
      </c>
      <c r="F399" s="336">
        <v>6195.0999999999995</v>
      </c>
      <c r="G399" s="336"/>
      <c r="H399" s="468">
        <f t="shared" si="7"/>
        <v>11812.900000000001</v>
      </c>
      <c r="I399" s="339"/>
    </row>
    <row r="400" spans="1:9">
      <c r="A400" s="338">
        <v>9</v>
      </c>
      <c r="B400" s="474" t="s">
        <v>351</v>
      </c>
      <c r="C400" s="475" t="s">
        <v>346</v>
      </c>
      <c r="D400" s="336">
        <v>0</v>
      </c>
      <c r="E400" s="336">
        <v>9326.7999999999993</v>
      </c>
      <c r="F400" s="336">
        <v>9326.7999999999993</v>
      </c>
      <c r="G400" s="336"/>
      <c r="H400" s="468">
        <f t="shared" si="7"/>
        <v>0</v>
      </c>
      <c r="I400" s="339"/>
    </row>
    <row r="401" spans="1:8">
      <c r="A401" s="338">
        <v>10</v>
      </c>
      <c r="B401" s="474" t="s">
        <v>18</v>
      </c>
      <c r="C401" s="475" t="s">
        <v>346</v>
      </c>
      <c r="D401" s="336">
        <v>55052.4</v>
      </c>
      <c r="E401" s="336">
        <v>35280</v>
      </c>
      <c r="F401" s="336">
        <v>58462.7</v>
      </c>
      <c r="G401" s="336"/>
      <c r="H401" s="468">
        <f t="shared" si="7"/>
        <v>31869.699999999997</v>
      </c>
    </row>
    <row r="402" spans="1:8">
      <c r="A402" s="338">
        <v>11</v>
      </c>
      <c r="B402" s="474" t="s">
        <v>19</v>
      </c>
      <c r="C402" s="475" t="s">
        <v>346</v>
      </c>
      <c r="D402" s="336">
        <v>0</v>
      </c>
      <c r="E402" s="336">
        <v>45900</v>
      </c>
      <c r="F402" s="336">
        <v>39241.000000000007</v>
      </c>
      <c r="G402" s="336"/>
      <c r="H402" s="468">
        <f t="shared" si="7"/>
        <v>6658.9999999999927</v>
      </c>
    </row>
    <row r="403" spans="1:8">
      <c r="A403" s="338">
        <v>12</v>
      </c>
      <c r="B403" s="474" t="s">
        <v>20</v>
      </c>
      <c r="C403" s="475" t="s">
        <v>346</v>
      </c>
      <c r="D403" s="336">
        <v>2300</v>
      </c>
      <c r="E403" s="336">
        <v>0</v>
      </c>
      <c r="F403" s="336">
        <v>0</v>
      </c>
      <c r="G403" s="336">
        <v>4850</v>
      </c>
      <c r="H403" s="468">
        <f t="shared" si="7"/>
        <v>7150</v>
      </c>
    </row>
    <row r="404" spans="1:8">
      <c r="A404" s="338">
        <v>13</v>
      </c>
      <c r="B404" s="474" t="s">
        <v>21</v>
      </c>
      <c r="C404" s="475" t="s">
        <v>346</v>
      </c>
      <c r="D404" s="336">
        <v>5696.8</v>
      </c>
      <c r="E404" s="336">
        <v>0</v>
      </c>
      <c r="F404" s="336">
        <v>3849.5</v>
      </c>
      <c r="G404" s="336"/>
      <c r="H404" s="468">
        <f t="shared" si="7"/>
        <v>1847.3000000000002</v>
      </c>
    </row>
    <row r="405" spans="1:8">
      <c r="A405" s="338"/>
      <c r="B405" s="474"/>
      <c r="C405" s="475"/>
      <c r="D405" s="336"/>
      <c r="E405" s="336"/>
      <c r="F405" s="336"/>
      <c r="G405" s="336"/>
      <c r="H405" s="336"/>
    </row>
    <row r="406" spans="1:8">
      <c r="A406" s="338"/>
      <c r="B406" s="467" t="s">
        <v>347</v>
      </c>
      <c r="C406" s="475"/>
      <c r="D406" s="336"/>
      <c r="E406" s="336"/>
      <c r="F406" s="336"/>
      <c r="G406" s="336"/>
      <c r="H406" s="336"/>
    </row>
    <row r="407" spans="1:8">
      <c r="A407" s="338">
        <v>1</v>
      </c>
      <c r="B407" s="474" t="s">
        <v>23</v>
      </c>
      <c r="C407" s="475" t="s">
        <v>346</v>
      </c>
      <c r="D407" s="336">
        <v>620</v>
      </c>
      <c r="E407" s="336">
        <v>4000</v>
      </c>
      <c r="F407" s="336">
        <v>2640</v>
      </c>
      <c r="G407" s="336"/>
      <c r="H407" s="468">
        <f t="shared" ref="H407:H432" si="8">D407+E407-F407+G407</f>
        <v>1980</v>
      </c>
    </row>
    <row r="408" spans="1:8">
      <c r="A408" s="338">
        <v>2</v>
      </c>
      <c r="B408" s="474" t="s">
        <v>24</v>
      </c>
      <c r="C408" s="475" t="s">
        <v>346</v>
      </c>
      <c r="D408" s="336">
        <v>5960</v>
      </c>
      <c r="E408" s="336">
        <v>4000</v>
      </c>
      <c r="F408" s="336">
        <v>7960</v>
      </c>
      <c r="G408" s="336"/>
      <c r="H408" s="468">
        <f t="shared" si="8"/>
        <v>2000</v>
      </c>
    </row>
    <row r="409" spans="1:8">
      <c r="A409" s="338">
        <v>3</v>
      </c>
      <c r="B409" s="474" t="s">
        <v>25</v>
      </c>
      <c r="C409" s="475" t="s">
        <v>346</v>
      </c>
      <c r="D409" s="336">
        <v>5240</v>
      </c>
      <c r="E409" s="336">
        <v>0</v>
      </c>
      <c r="F409" s="336">
        <v>440</v>
      </c>
      <c r="G409" s="336"/>
      <c r="H409" s="468">
        <f t="shared" si="8"/>
        <v>4800</v>
      </c>
    </row>
    <row r="410" spans="1:8">
      <c r="A410" s="338">
        <v>4</v>
      </c>
      <c r="B410" s="474" t="s">
        <v>28</v>
      </c>
      <c r="C410" s="475" t="s">
        <v>346</v>
      </c>
      <c r="D410" s="336">
        <v>5120</v>
      </c>
      <c r="E410" s="336">
        <v>0</v>
      </c>
      <c r="F410" s="336">
        <v>0</v>
      </c>
      <c r="G410" s="336"/>
      <c r="H410" s="468">
        <f t="shared" si="8"/>
        <v>5120</v>
      </c>
    </row>
    <row r="411" spans="1:8">
      <c r="A411" s="338">
        <v>5</v>
      </c>
      <c r="B411" s="474" t="s">
        <v>29</v>
      </c>
      <c r="C411" s="475" t="s">
        <v>346</v>
      </c>
      <c r="D411" s="336">
        <v>5100</v>
      </c>
      <c r="E411" s="336">
        <v>0</v>
      </c>
      <c r="F411" s="336">
        <v>0</v>
      </c>
      <c r="G411" s="336">
        <v>1440</v>
      </c>
      <c r="H411" s="468">
        <f t="shared" si="8"/>
        <v>6540</v>
      </c>
    </row>
    <row r="412" spans="1:8">
      <c r="A412" s="338">
        <v>6</v>
      </c>
      <c r="B412" s="474" t="s">
        <v>30</v>
      </c>
      <c r="C412" s="475" t="s">
        <v>346</v>
      </c>
      <c r="D412" s="336">
        <v>10240</v>
      </c>
      <c r="E412" s="336">
        <v>0</v>
      </c>
      <c r="F412" s="336">
        <v>0</v>
      </c>
      <c r="G412" s="336">
        <v>1300</v>
      </c>
      <c r="H412" s="468">
        <f t="shared" si="8"/>
        <v>11540</v>
      </c>
    </row>
    <row r="413" spans="1:8">
      <c r="A413" s="338">
        <v>7</v>
      </c>
      <c r="B413" s="474" t="s">
        <v>31</v>
      </c>
      <c r="C413" s="475" t="s">
        <v>346</v>
      </c>
      <c r="D413" s="336">
        <v>15120</v>
      </c>
      <c r="E413" s="336">
        <v>0</v>
      </c>
      <c r="F413" s="336">
        <v>0</v>
      </c>
      <c r="G413" s="336"/>
      <c r="H413" s="468">
        <f t="shared" si="8"/>
        <v>15120</v>
      </c>
    </row>
    <row r="414" spans="1:8">
      <c r="A414" s="338">
        <v>8</v>
      </c>
      <c r="B414" s="474" t="s">
        <v>32</v>
      </c>
      <c r="C414" s="475" t="s">
        <v>346</v>
      </c>
      <c r="D414" s="336">
        <v>3320</v>
      </c>
      <c r="E414" s="336">
        <v>0</v>
      </c>
      <c r="F414" s="336">
        <v>0</v>
      </c>
      <c r="G414" s="336">
        <v>1720</v>
      </c>
      <c r="H414" s="468">
        <f t="shared" si="8"/>
        <v>5040</v>
      </c>
    </row>
    <row r="415" spans="1:8">
      <c r="A415" s="338">
        <v>9</v>
      </c>
      <c r="B415" s="474" t="s">
        <v>33</v>
      </c>
      <c r="C415" s="475" t="s">
        <v>346</v>
      </c>
      <c r="D415" s="336">
        <v>5400</v>
      </c>
      <c r="E415" s="336">
        <v>0</v>
      </c>
      <c r="F415" s="336">
        <v>0</v>
      </c>
      <c r="G415" s="336">
        <v>3700</v>
      </c>
      <c r="H415" s="468">
        <f t="shared" si="8"/>
        <v>9100</v>
      </c>
    </row>
    <row r="416" spans="1:8">
      <c r="A416" s="338">
        <v>10</v>
      </c>
      <c r="B416" s="474" t="s">
        <v>34</v>
      </c>
      <c r="C416" s="475" t="s">
        <v>346</v>
      </c>
      <c r="D416" s="336">
        <v>4000</v>
      </c>
      <c r="E416" s="336">
        <f>4140-1140</f>
        <v>3000</v>
      </c>
      <c r="F416" s="508">
        <v>3920</v>
      </c>
      <c r="G416" s="336">
        <v>1140</v>
      </c>
      <c r="H416" s="468">
        <f t="shared" si="8"/>
        <v>4220</v>
      </c>
    </row>
    <row r="417" spans="1:8">
      <c r="A417" s="338">
        <v>11</v>
      </c>
      <c r="B417" s="474" t="s">
        <v>35</v>
      </c>
      <c r="C417" s="475" t="s">
        <v>346</v>
      </c>
      <c r="D417" s="511">
        <v>0</v>
      </c>
      <c r="E417" s="336">
        <f>12577.5-1852.5</f>
        <v>10725</v>
      </c>
      <c r="F417" s="508">
        <v>4875</v>
      </c>
      <c r="G417" s="336">
        <v>1852.5</v>
      </c>
      <c r="H417" s="468">
        <f t="shared" si="8"/>
        <v>7702.5</v>
      </c>
    </row>
    <row r="418" spans="1:8">
      <c r="A418" s="338">
        <v>12</v>
      </c>
      <c r="B418" s="474" t="s">
        <v>36</v>
      </c>
      <c r="C418" s="475" t="s">
        <v>346</v>
      </c>
      <c r="D418" s="511">
        <v>6539.4000000000005</v>
      </c>
      <c r="E418" s="336">
        <f>8467.2-907.2</f>
        <v>7560.0000000000009</v>
      </c>
      <c r="F418" s="508">
        <v>8580.5999999999985</v>
      </c>
      <c r="G418" s="336">
        <v>907.2</v>
      </c>
      <c r="H418" s="468">
        <f t="shared" si="8"/>
        <v>6426.0000000000027</v>
      </c>
    </row>
    <row r="419" spans="1:8">
      <c r="A419" s="338">
        <v>13</v>
      </c>
      <c r="B419" s="474" t="s">
        <v>39</v>
      </c>
      <c r="C419" s="475" t="s">
        <v>346</v>
      </c>
      <c r="D419" s="336">
        <v>4123</v>
      </c>
      <c r="E419" s="336">
        <v>2000</v>
      </c>
      <c r="F419" s="336">
        <v>1928</v>
      </c>
      <c r="G419" s="336"/>
      <c r="H419" s="468">
        <f t="shared" si="8"/>
        <v>4195</v>
      </c>
    </row>
    <row r="420" spans="1:8">
      <c r="A420" s="338">
        <v>14</v>
      </c>
      <c r="B420" s="474" t="s">
        <v>352</v>
      </c>
      <c r="C420" s="475" t="s">
        <v>346</v>
      </c>
      <c r="D420" s="336">
        <v>0</v>
      </c>
      <c r="E420" s="336">
        <v>2478</v>
      </c>
      <c r="F420" s="336">
        <v>2478</v>
      </c>
      <c r="G420" s="336"/>
      <c r="H420" s="468">
        <f t="shared" si="8"/>
        <v>0</v>
      </c>
    </row>
    <row r="421" spans="1:8">
      <c r="A421" s="338">
        <v>15</v>
      </c>
      <c r="B421" s="474" t="s">
        <v>42</v>
      </c>
      <c r="C421" s="475" t="s">
        <v>346</v>
      </c>
      <c r="D421" s="336">
        <v>1947.7</v>
      </c>
      <c r="E421" s="336">
        <v>3000</v>
      </c>
      <c r="F421" s="336">
        <v>795.19999999999993</v>
      </c>
      <c r="G421" s="336"/>
      <c r="H421" s="468">
        <f t="shared" si="8"/>
        <v>4152.5</v>
      </c>
    </row>
    <row r="422" spans="1:8">
      <c r="A422" s="338">
        <v>16</v>
      </c>
      <c r="B422" s="474" t="s">
        <v>41</v>
      </c>
      <c r="C422" s="475" t="s">
        <v>346</v>
      </c>
      <c r="D422" s="336">
        <v>0</v>
      </c>
      <c r="E422" s="336">
        <v>2065</v>
      </c>
      <c r="F422" s="336">
        <v>0</v>
      </c>
      <c r="G422" s="336"/>
      <c r="H422" s="468">
        <f t="shared" si="8"/>
        <v>2065</v>
      </c>
    </row>
    <row r="423" spans="1:8">
      <c r="A423" s="338">
        <v>17</v>
      </c>
      <c r="B423" s="474" t="s">
        <v>43</v>
      </c>
      <c r="C423" s="475" t="s">
        <v>346</v>
      </c>
      <c r="D423" s="336">
        <v>1680.5</v>
      </c>
      <c r="E423" s="336">
        <v>0</v>
      </c>
      <c r="F423" s="336">
        <v>0</v>
      </c>
      <c r="G423" s="336"/>
      <c r="H423" s="468">
        <f t="shared" si="8"/>
        <v>1680.5</v>
      </c>
    </row>
    <row r="424" spans="1:8">
      <c r="A424" s="338">
        <v>18</v>
      </c>
      <c r="B424" s="474" t="s">
        <v>63</v>
      </c>
      <c r="C424" s="475" t="s">
        <v>346</v>
      </c>
      <c r="D424" s="336">
        <v>41.600000000000023</v>
      </c>
      <c r="E424" s="336">
        <v>2160</v>
      </c>
      <c r="F424" s="336">
        <v>2160</v>
      </c>
      <c r="G424" s="336"/>
      <c r="H424" s="468">
        <f t="shared" si="8"/>
        <v>41.599999999999909</v>
      </c>
    </row>
    <row r="425" spans="1:8">
      <c r="A425" s="338">
        <v>19</v>
      </c>
      <c r="B425" s="474" t="s">
        <v>45</v>
      </c>
      <c r="C425" s="475" t="s">
        <v>346</v>
      </c>
      <c r="D425" s="336">
        <v>0</v>
      </c>
      <c r="E425" s="336">
        <v>2000</v>
      </c>
      <c r="F425" s="336">
        <v>0</v>
      </c>
      <c r="G425" s="336"/>
      <c r="H425" s="468">
        <f t="shared" si="8"/>
        <v>2000</v>
      </c>
    </row>
    <row r="426" spans="1:8">
      <c r="A426" s="338">
        <v>20</v>
      </c>
      <c r="B426" s="474" t="s">
        <v>46</v>
      </c>
      <c r="C426" s="475" t="s">
        <v>346</v>
      </c>
      <c r="D426" s="336">
        <v>0</v>
      </c>
      <c r="E426" s="336">
        <v>0</v>
      </c>
      <c r="F426" s="336">
        <v>0</v>
      </c>
      <c r="G426" s="336"/>
      <c r="H426" s="468">
        <f t="shared" si="8"/>
        <v>0</v>
      </c>
    </row>
    <row r="427" spans="1:8">
      <c r="A427" s="338">
        <v>21</v>
      </c>
      <c r="B427" s="474" t="s">
        <v>47</v>
      </c>
      <c r="C427" s="475" t="s">
        <v>346</v>
      </c>
      <c r="D427" s="336">
        <v>100</v>
      </c>
      <c r="E427" s="336">
        <v>0</v>
      </c>
      <c r="F427" s="336">
        <v>0</v>
      </c>
      <c r="G427" s="336"/>
      <c r="H427" s="468">
        <f t="shared" si="8"/>
        <v>100</v>
      </c>
    </row>
    <row r="428" spans="1:8">
      <c r="A428" s="338">
        <v>22</v>
      </c>
      <c r="B428" s="474" t="s">
        <v>48</v>
      </c>
      <c r="C428" s="475" t="s">
        <v>346</v>
      </c>
      <c r="D428" s="336">
        <v>13.960000000000036</v>
      </c>
      <c r="E428" s="336">
        <v>0</v>
      </c>
      <c r="F428" s="336">
        <v>0</v>
      </c>
      <c r="G428" s="336"/>
      <c r="H428" s="468">
        <f t="shared" si="8"/>
        <v>13.960000000000036</v>
      </c>
    </row>
    <row r="429" spans="1:8">
      <c r="A429" s="338">
        <v>23</v>
      </c>
      <c r="B429" s="474" t="s">
        <v>103</v>
      </c>
      <c r="C429" s="475" t="s">
        <v>346</v>
      </c>
      <c r="D429" s="336">
        <v>344</v>
      </c>
      <c r="E429" s="336">
        <v>868</v>
      </c>
      <c r="F429" s="336">
        <v>0</v>
      </c>
      <c r="G429" s="336"/>
      <c r="H429" s="468">
        <f t="shared" si="8"/>
        <v>1212</v>
      </c>
    </row>
    <row r="430" spans="1:8">
      <c r="A430" s="338">
        <v>24</v>
      </c>
      <c r="B430" s="474" t="s">
        <v>51</v>
      </c>
      <c r="C430" s="475" t="s">
        <v>346</v>
      </c>
      <c r="D430" s="336">
        <v>207.6</v>
      </c>
      <c r="E430" s="336">
        <v>0</v>
      </c>
      <c r="F430" s="336">
        <v>0</v>
      </c>
      <c r="G430" s="336"/>
      <c r="H430" s="468">
        <f t="shared" si="8"/>
        <v>207.6</v>
      </c>
    </row>
    <row r="431" spans="1:8">
      <c r="A431" s="338">
        <v>25</v>
      </c>
      <c r="B431" s="474" t="s">
        <v>52</v>
      </c>
      <c r="C431" s="475" t="s">
        <v>346</v>
      </c>
      <c r="D431" s="336">
        <v>197.04000000000002</v>
      </c>
      <c r="E431" s="336">
        <v>0</v>
      </c>
      <c r="F431" s="336">
        <v>0</v>
      </c>
      <c r="G431" s="336"/>
      <c r="H431" s="468">
        <f t="shared" si="8"/>
        <v>197.04000000000002</v>
      </c>
    </row>
    <row r="432" spans="1:8">
      <c r="A432" s="338">
        <v>26</v>
      </c>
      <c r="B432" s="474" t="s">
        <v>53</v>
      </c>
      <c r="C432" s="475" t="s">
        <v>346</v>
      </c>
      <c r="D432" s="336">
        <v>46.8</v>
      </c>
      <c r="E432" s="336">
        <v>0</v>
      </c>
      <c r="F432" s="336">
        <v>0</v>
      </c>
      <c r="G432" s="336"/>
      <c r="H432" s="468">
        <f t="shared" si="8"/>
        <v>46.8</v>
      </c>
    </row>
    <row r="433" spans="1:8">
      <c r="A433" s="338"/>
      <c r="B433" s="474"/>
      <c r="C433" s="475"/>
      <c r="D433" s="336"/>
      <c r="E433" s="336"/>
      <c r="F433" s="336"/>
      <c r="G433" s="336"/>
      <c r="H433" s="336"/>
    </row>
    <row r="434" spans="1:8">
      <c r="A434" s="338"/>
      <c r="B434" s="467" t="s">
        <v>348</v>
      </c>
      <c r="C434" s="475"/>
      <c r="D434" s="336"/>
      <c r="E434" s="336"/>
      <c r="F434" s="336"/>
      <c r="G434" s="336"/>
      <c r="H434" s="336"/>
    </row>
    <row r="435" spans="1:8">
      <c r="A435" s="338">
        <v>1</v>
      </c>
      <c r="B435" s="474" t="s">
        <v>65</v>
      </c>
      <c r="C435" s="475" t="s">
        <v>349</v>
      </c>
      <c r="D435" s="336">
        <v>6628</v>
      </c>
      <c r="E435" s="336">
        <v>0</v>
      </c>
      <c r="F435" s="336">
        <v>2739</v>
      </c>
      <c r="G435" s="336"/>
      <c r="H435" s="468">
        <f t="shared" ref="H435:H440" si="9">D435+E435-F435+G435</f>
        <v>3889</v>
      </c>
    </row>
    <row r="436" spans="1:8">
      <c r="A436" s="338">
        <v>2</v>
      </c>
      <c r="B436" s="474" t="s">
        <v>66</v>
      </c>
      <c r="C436" s="475" t="s">
        <v>349</v>
      </c>
      <c r="D436" s="336">
        <v>6559</v>
      </c>
      <c r="E436" s="336">
        <v>0</v>
      </c>
      <c r="F436" s="336">
        <v>6770</v>
      </c>
      <c r="G436" s="336">
        <v>211</v>
      </c>
      <c r="H436" s="468">
        <f t="shared" si="9"/>
        <v>0</v>
      </c>
    </row>
    <row r="437" spans="1:8">
      <c r="A437" s="338">
        <v>3</v>
      </c>
      <c r="B437" s="474" t="s">
        <v>67</v>
      </c>
      <c r="C437" s="475" t="s">
        <v>349</v>
      </c>
      <c r="D437" s="336">
        <v>590</v>
      </c>
      <c r="E437" s="336">
        <v>6552</v>
      </c>
      <c r="F437" s="336">
        <v>793</v>
      </c>
      <c r="G437" s="336"/>
      <c r="H437" s="468">
        <f t="shared" si="9"/>
        <v>6349</v>
      </c>
    </row>
    <row r="438" spans="1:8">
      <c r="A438" s="338">
        <v>4</v>
      </c>
      <c r="B438" s="474" t="s">
        <v>68</v>
      </c>
      <c r="C438" s="475" t="s">
        <v>349</v>
      </c>
      <c r="D438" s="336">
        <v>3391</v>
      </c>
      <c r="E438" s="336">
        <v>8000</v>
      </c>
      <c r="F438" s="336">
        <v>5402</v>
      </c>
      <c r="G438" s="336"/>
      <c r="H438" s="468">
        <f t="shared" si="9"/>
        <v>5989</v>
      </c>
    </row>
    <row r="439" spans="1:8">
      <c r="A439" s="338">
        <v>5</v>
      </c>
      <c r="B439" s="474" t="s">
        <v>69</v>
      </c>
      <c r="C439" s="475" t="s">
        <v>349</v>
      </c>
      <c r="D439" s="336">
        <v>1901</v>
      </c>
      <c r="E439" s="336">
        <v>0</v>
      </c>
      <c r="F439" s="336">
        <v>0</v>
      </c>
      <c r="G439" s="336"/>
      <c r="H439" s="468">
        <f t="shared" si="9"/>
        <v>1901</v>
      </c>
    </row>
    <row r="440" spans="1:8">
      <c r="A440" s="338">
        <v>6</v>
      </c>
      <c r="B440" s="474" t="s">
        <v>70</v>
      </c>
      <c r="C440" s="475" t="s">
        <v>349</v>
      </c>
      <c r="D440" s="336">
        <v>0</v>
      </c>
      <c r="E440" s="336">
        <v>6459</v>
      </c>
      <c r="F440" s="336">
        <v>0</v>
      </c>
      <c r="G440" s="336"/>
      <c r="H440" s="468">
        <f t="shared" si="9"/>
        <v>6459</v>
      </c>
    </row>
    <row r="441" spans="1:8">
      <c r="A441" s="338"/>
      <c r="B441" s="474"/>
      <c r="C441" s="475"/>
      <c r="D441" s="336"/>
      <c r="E441" s="336"/>
      <c r="F441" s="336"/>
      <c r="G441" s="336"/>
      <c r="H441" s="336"/>
    </row>
    <row r="442" spans="1:8" ht="13.9" thickBot="1">
      <c r="A442" s="338"/>
      <c r="B442" s="467" t="s">
        <v>72</v>
      </c>
      <c r="C442" s="298"/>
      <c r="D442" s="469">
        <f>SUM(D392:D440)</f>
        <v>452014</v>
      </c>
      <c r="E442" s="469">
        <f>SUM(E392:E440)</f>
        <v>1421663.4000000001</v>
      </c>
      <c r="F442" s="469">
        <f>SUM(F392:F440)</f>
        <v>1638258.4000000001</v>
      </c>
      <c r="G442" s="469">
        <f>SUM(G392:G440)</f>
        <v>34875.199999999997</v>
      </c>
      <c r="H442" s="469">
        <f>SUM(H392:H440)</f>
        <v>270294.2</v>
      </c>
    </row>
    <row r="443" spans="1:8" ht="13.9" thickTop="1">
      <c r="A443" s="496"/>
      <c r="B443" s="329"/>
      <c r="C443" s="473"/>
      <c r="D443" s="339"/>
      <c r="E443" s="339"/>
      <c r="F443" s="339"/>
      <c r="G443" s="339"/>
      <c r="H443" s="339"/>
    </row>
    <row r="463" spans="2:8">
      <c r="B463" s="329" t="s">
        <v>358</v>
      </c>
      <c r="C463" s="473"/>
      <c r="D463" s="339"/>
      <c r="E463" s="339"/>
      <c r="F463" s="339"/>
      <c r="G463" s="339" t="s">
        <v>359</v>
      </c>
      <c r="H463" s="339"/>
    </row>
    <row r="465" spans="2:8">
      <c r="B465" s="472" t="s">
        <v>320</v>
      </c>
      <c r="C465" s="473"/>
      <c r="D465" s="339"/>
      <c r="E465" s="339"/>
      <c r="F465" s="339"/>
      <c r="G465" s="339"/>
      <c r="H465" s="339"/>
    </row>
    <row r="467" spans="2:8">
      <c r="B467" s="472" t="s">
        <v>353</v>
      </c>
      <c r="C467" s="473"/>
      <c r="D467" s="339"/>
      <c r="E467" s="339"/>
      <c r="F467" s="339"/>
      <c r="G467" s="339"/>
      <c r="H467" s="339"/>
    </row>
    <row r="468" spans="2:8">
      <c r="B468" s="474" t="s">
        <v>8</v>
      </c>
      <c r="C468" s="475" t="s">
        <v>346</v>
      </c>
      <c r="D468" s="336">
        <v>3371.8</v>
      </c>
      <c r="E468" s="339"/>
      <c r="F468" s="339"/>
      <c r="G468" s="339"/>
      <c r="H468" s="339"/>
    </row>
    <row r="469" spans="2:8">
      <c r="B469" s="474" t="s">
        <v>13</v>
      </c>
      <c r="C469" s="475" t="s">
        <v>346</v>
      </c>
      <c r="D469" s="336">
        <v>89.7</v>
      </c>
      <c r="E469" s="339"/>
      <c r="F469" s="339"/>
      <c r="G469" s="339"/>
      <c r="H469" s="339"/>
    </row>
    <row r="470" spans="2:8">
      <c r="B470" s="474" t="s">
        <v>66</v>
      </c>
      <c r="C470" s="475" t="s">
        <v>349</v>
      </c>
      <c r="D470" s="336">
        <v>211</v>
      </c>
      <c r="E470" s="339"/>
      <c r="F470" s="339"/>
      <c r="G470" s="339"/>
      <c r="H470" s="339"/>
    </row>
    <row r="471" spans="2:8">
      <c r="B471" s="329" t="s">
        <v>354</v>
      </c>
      <c r="C471" s="473"/>
      <c r="D471" s="339"/>
      <c r="E471" s="339"/>
      <c r="F471" s="339"/>
      <c r="G471" s="339"/>
      <c r="H471" s="339"/>
    </row>
    <row r="472" spans="2:8">
      <c r="B472" s="329"/>
      <c r="C472" s="473"/>
      <c r="D472" s="339"/>
      <c r="E472" s="339"/>
      <c r="F472" s="339"/>
      <c r="G472" s="339"/>
      <c r="H472" s="339"/>
    </row>
    <row r="473" spans="2:8">
      <c r="B473" s="474" t="s">
        <v>13</v>
      </c>
      <c r="C473" s="475" t="s">
        <v>346</v>
      </c>
      <c r="D473" s="336">
        <v>15960</v>
      </c>
      <c r="E473" s="339"/>
      <c r="F473" s="339"/>
      <c r="G473" s="339"/>
      <c r="H473" s="339"/>
    </row>
    <row r="474" spans="2:8">
      <c r="B474" s="329" t="s">
        <v>363</v>
      </c>
      <c r="C474" s="477"/>
      <c r="D474" s="515"/>
      <c r="E474" s="339"/>
      <c r="F474" s="339"/>
      <c r="G474" s="339"/>
      <c r="H474" s="339"/>
    </row>
    <row r="475" spans="2:8">
      <c r="B475" s="329" t="s">
        <v>364</v>
      </c>
      <c r="C475" s="477"/>
      <c r="D475" s="515"/>
      <c r="E475" s="339"/>
      <c r="F475" s="339"/>
      <c r="G475" s="339"/>
      <c r="H475" s="339"/>
    </row>
    <row r="476" spans="2:8">
      <c r="B476" s="329"/>
      <c r="C476" s="477"/>
      <c r="D476" s="515"/>
      <c r="E476" s="339"/>
      <c r="F476" s="339"/>
      <c r="G476" s="339"/>
      <c r="H476" s="339"/>
    </row>
    <row r="477" spans="2:8">
      <c r="B477" s="474" t="s">
        <v>13</v>
      </c>
      <c r="C477" s="475" t="s">
        <v>346</v>
      </c>
      <c r="D477" s="336">
        <v>28320</v>
      </c>
      <c r="E477" s="339"/>
      <c r="F477" s="339"/>
      <c r="G477" s="339"/>
      <c r="H477" s="339"/>
    </row>
    <row r="478" spans="2:8">
      <c r="B478" s="329" t="s">
        <v>355</v>
      </c>
      <c r="C478" s="473"/>
      <c r="D478" s="339"/>
      <c r="E478" s="339"/>
      <c r="F478" s="339"/>
      <c r="G478" s="339"/>
      <c r="H478" s="339"/>
    </row>
    <row r="479" spans="2:8">
      <c r="B479" s="329" t="s">
        <v>365</v>
      </c>
      <c r="C479" s="473"/>
      <c r="D479" s="339"/>
      <c r="E479" s="339"/>
      <c r="F479" s="339"/>
      <c r="G479" s="339"/>
      <c r="H479" s="339"/>
    </row>
    <row r="480" spans="2:8">
      <c r="B480" s="329"/>
      <c r="C480" s="473"/>
      <c r="D480" s="339"/>
      <c r="E480" s="339"/>
      <c r="F480" s="339"/>
      <c r="G480" s="339"/>
      <c r="H480" s="339"/>
    </row>
    <row r="481" spans="2:4">
      <c r="B481" s="329"/>
      <c r="C481" s="473"/>
      <c r="D481" s="339"/>
    </row>
    <row r="482" spans="2:4">
      <c r="B482" s="474" t="s">
        <v>34</v>
      </c>
      <c r="C482" s="475" t="s">
        <v>346</v>
      </c>
      <c r="D482" s="336">
        <v>1140</v>
      </c>
    </row>
    <row r="483" spans="2:4">
      <c r="B483" s="474" t="s">
        <v>35</v>
      </c>
      <c r="C483" s="475" t="s">
        <v>346</v>
      </c>
      <c r="D483" s="336">
        <v>1852.5</v>
      </c>
    </row>
    <row r="484" spans="2:4">
      <c r="B484" s="474" t="s">
        <v>36</v>
      </c>
      <c r="C484" s="475" t="s">
        <v>346</v>
      </c>
      <c r="D484" s="336">
        <v>907.2</v>
      </c>
    </row>
    <row r="485" spans="2:4">
      <c r="B485" s="474" t="s">
        <v>20</v>
      </c>
      <c r="C485" s="475" t="s">
        <v>346</v>
      </c>
      <c r="D485" s="336">
        <v>4850</v>
      </c>
    </row>
    <row r="486" spans="2:4">
      <c r="B486" s="329" t="s">
        <v>363</v>
      </c>
      <c r="C486" s="473"/>
      <c r="D486" s="339"/>
    </row>
    <row r="487" spans="2:4">
      <c r="B487" s="329" t="s">
        <v>366</v>
      </c>
      <c r="C487" s="473"/>
      <c r="D487" s="339"/>
    </row>
    <row r="488" spans="2:4">
      <c r="B488" s="329"/>
      <c r="C488" s="473"/>
      <c r="D488" s="339"/>
    </row>
    <row r="489" spans="2:4">
      <c r="B489" s="474" t="s">
        <v>29</v>
      </c>
      <c r="C489" s="475" t="s">
        <v>346</v>
      </c>
      <c r="D489" s="336">
        <v>1440</v>
      </c>
    </row>
    <row r="490" spans="2:4">
      <c r="B490" s="474" t="s">
        <v>30</v>
      </c>
      <c r="C490" s="475" t="s">
        <v>346</v>
      </c>
      <c r="D490" s="336">
        <v>1300</v>
      </c>
    </row>
    <row r="491" spans="2:4">
      <c r="B491" s="474" t="s">
        <v>32</v>
      </c>
      <c r="C491" s="475" t="s">
        <v>346</v>
      </c>
      <c r="D491" s="336">
        <v>1720</v>
      </c>
    </row>
    <row r="492" spans="2:4">
      <c r="B492" s="474" t="s">
        <v>33</v>
      </c>
      <c r="C492" s="475" t="s">
        <v>346</v>
      </c>
      <c r="D492" s="336">
        <v>3700</v>
      </c>
    </row>
    <row r="493" spans="2:4">
      <c r="B493" s="329" t="s">
        <v>363</v>
      </c>
      <c r="C493" s="473"/>
      <c r="D493" s="339"/>
    </row>
    <row r="494" spans="2:4">
      <c r="B494" s="329" t="s">
        <v>367</v>
      </c>
      <c r="C494" s="473"/>
      <c r="D494" s="339"/>
    </row>
    <row r="495" spans="2:4">
      <c r="B495" s="329"/>
      <c r="C495" s="473"/>
      <c r="D495" s="339"/>
    </row>
    <row r="496" spans="2:4">
      <c r="B496" s="472" t="s">
        <v>357</v>
      </c>
      <c r="C496" s="473"/>
      <c r="D496" s="339"/>
    </row>
    <row r="497" spans="2:4">
      <c r="B497" s="474" t="s">
        <v>7</v>
      </c>
      <c r="C497" s="475" t="s">
        <v>346</v>
      </c>
      <c r="D497" s="336">
        <v>-10147</v>
      </c>
    </row>
    <row r="498" spans="2:4">
      <c r="B498" s="329" t="s">
        <v>354</v>
      </c>
      <c r="C498" s="473"/>
      <c r="D498" s="339"/>
    </row>
    <row r="500" spans="2:4">
      <c r="B500" s="474" t="s">
        <v>12</v>
      </c>
      <c r="C500" s="475" t="s">
        <v>346</v>
      </c>
      <c r="D500" s="336">
        <v>-19840</v>
      </c>
    </row>
    <row r="501" spans="2:4">
      <c r="B501" s="329" t="s">
        <v>355</v>
      </c>
      <c r="C501" s="473"/>
      <c r="D501" s="339"/>
    </row>
    <row r="502" spans="2:4">
      <c r="B502" s="329" t="s">
        <v>368</v>
      </c>
      <c r="C502" s="473"/>
      <c r="D502" s="339"/>
    </row>
    <row r="532" spans="2:8">
      <c r="B532" s="329" t="s">
        <v>358</v>
      </c>
      <c r="C532" s="473"/>
      <c r="D532" s="339"/>
      <c r="E532" s="339"/>
      <c r="F532" s="339"/>
      <c r="G532" s="339" t="s">
        <v>359</v>
      </c>
      <c r="H532" s="339"/>
    </row>
  </sheetData>
  <autoFilter ref="A2:AC90" xr:uid="{00000000-0009-0000-0000-000006000000}"/>
  <mergeCells count="2">
    <mergeCell ref="J1:K1"/>
    <mergeCell ref="Q1:U1"/>
  </mergeCells>
  <printOptions horizontalCentered="1" verticalCentered="1"/>
  <pageMargins left="0.70866141732283472" right="0.19685039370078741" top="7.874015748031496E-2" bottom="7.874015748031496E-2" header="0" footer="0"/>
  <pageSetup paperSize="9" scale="11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C310"/>
  <sheetViews>
    <sheetView topLeftCell="A115" workbookViewId="0">
      <selection activeCell="H126" sqref="H126"/>
    </sheetView>
  </sheetViews>
  <sheetFormatPr defaultColWidth="9.28515625" defaultRowHeight="13.15"/>
  <cols>
    <col min="1" max="1" width="6" style="305" bestFit="1" customWidth="1"/>
    <col min="2" max="2" width="36.85546875" style="306" customWidth="1"/>
    <col min="3" max="3" width="5" style="331" customWidth="1"/>
    <col min="4" max="4" width="12.28515625" style="307" bestFit="1" customWidth="1"/>
    <col min="5" max="5" width="13.42578125" style="307" bestFit="1" customWidth="1"/>
    <col min="6" max="6" width="14.140625" style="307" customWidth="1"/>
    <col min="7" max="7" width="14.7109375" style="307" bestFit="1" customWidth="1"/>
    <col min="8" max="8" width="13.42578125" style="307" customWidth="1"/>
    <col min="9" max="9" width="13.28515625" style="307" bestFit="1" customWidth="1"/>
    <col min="10" max="11" width="13.7109375" style="307" bestFit="1" customWidth="1"/>
    <col min="12" max="12" width="41.7109375" style="307" bestFit="1" customWidth="1"/>
    <col min="13" max="13" width="1.42578125" style="307" bestFit="1" customWidth="1"/>
    <col min="14" max="14" width="14" style="307" bestFit="1" customWidth="1"/>
    <col min="15" max="15" width="13" style="307" bestFit="1" customWidth="1"/>
    <col min="16" max="16" width="3.42578125" style="307" customWidth="1"/>
    <col min="17" max="17" width="15.7109375" style="307" bestFit="1" customWidth="1"/>
    <col min="18" max="18" width="11.28515625" style="317" bestFit="1" customWidth="1"/>
    <col min="19" max="19" width="45.28515625" style="307" bestFit="1" customWidth="1"/>
    <col min="20" max="20" width="14.7109375" style="309" bestFit="1" customWidth="1"/>
    <col min="21" max="21" width="13.7109375" style="307" bestFit="1" customWidth="1"/>
    <col min="22" max="22" width="9.28515625" style="306"/>
    <col min="23" max="23" width="34.28515625" style="306" bestFit="1" customWidth="1"/>
    <col min="24" max="25" width="9.28515625" style="306"/>
    <col min="26" max="27" width="9.42578125" style="306" bestFit="1" customWidth="1"/>
    <col min="28" max="28" width="9.28515625" style="306"/>
    <col min="29" max="29" width="10.28515625" style="306" bestFit="1" customWidth="1"/>
    <col min="30" max="16384" width="9.28515625" style="306"/>
  </cols>
  <sheetData>
    <row r="1" spans="1:29">
      <c r="A1" s="496"/>
      <c r="B1" s="291" t="str">
        <f>SUMMARY!B93</f>
        <v>HARUMI Stock - APR 2026</v>
      </c>
      <c r="C1" s="337"/>
      <c r="D1" s="344"/>
      <c r="E1" s="344"/>
      <c r="F1" s="344"/>
      <c r="G1" s="344"/>
      <c r="H1" s="344"/>
      <c r="I1" s="497"/>
      <c r="J1" s="852"/>
      <c r="K1" s="852"/>
      <c r="L1" s="498"/>
      <c r="M1" s="498"/>
      <c r="N1" s="498"/>
      <c r="O1" s="339"/>
      <c r="P1" s="339"/>
      <c r="Q1" s="853" t="s">
        <v>330</v>
      </c>
      <c r="R1" s="853"/>
      <c r="S1" s="853"/>
      <c r="T1" s="853"/>
      <c r="U1" s="853"/>
      <c r="V1" s="329"/>
      <c r="W1" s="329"/>
      <c r="X1" s="329"/>
      <c r="Y1" s="329"/>
      <c r="Z1" s="329"/>
      <c r="AA1" s="329"/>
      <c r="AB1" s="329"/>
      <c r="AC1" s="329"/>
    </row>
    <row r="2" spans="1:29" s="305" customFormat="1" ht="26.45">
      <c r="A2" s="311" t="s">
        <v>331</v>
      </c>
      <c r="B2" s="312" t="s">
        <v>332</v>
      </c>
      <c r="C2" s="313" t="s">
        <v>333</v>
      </c>
      <c r="D2" s="313" t="s">
        <v>334</v>
      </c>
      <c r="E2" s="313" t="s">
        <v>335</v>
      </c>
      <c r="F2" s="313" t="s">
        <v>166</v>
      </c>
      <c r="G2" s="313" t="s">
        <v>168</v>
      </c>
      <c r="H2" s="313" t="s">
        <v>336</v>
      </c>
      <c r="I2" s="293" t="s">
        <v>337</v>
      </c>
      <c r="J2" s="294" t="s">
        <v>338</v>
      </c>
      <c r="K2" s="313" t="s">
        <v>339</v>
      </c>
      <c r="L2" s="313" t="s">
        <v>170</v>
      </c>
      <c r="M2" s="314"/>
      <c r="N2" s="294" t="s">
        <v>340</v>
      </c>
      <c r="O2" s="313" t="s">
        <v>330</v>
      </c>
      <c r="P2" s="315"/>
      <c r="Q2" s="297" t="s">
        <v>341</v>
      </c>
      <c r="R2" s="304" t="s">
        <v>164</v>
      </c>
      <c r="S2" s="298" t="s">
        <v>342</v>
      </c>
      <c r="T2" s="316" t="s">
        <v>343</v>
      </c>
      <c r="U2" s="298" t="s">
        <v>344</v>
      </c>
      <c r="V2" s="496"/>
      <c r="W2" s="496"/>
      <c r="X2" s="496"/>
      <c r="Y2" s="496"/>
      <c r="Z2" s="496"/>
      <c r="AA2" s="496"/>
      <c r="AB2" s="496"/>
      <c r="AC2" s="496"/>
    </row>
    <row r="3" spans="1:29">
      <c r="A3" s="311"/>
      <c r="B3" s="290" t="s">
        <v>345</v>
      </c>
      <c r="C3" s="313"/>
      <c r="D3" s="292"/>
      <c r="E3" s="292"/>
      <c r="F3" s="292"/>
      <c r="G3" s="292"/>
      <c r="H3" s="292"/>
      <c r="I3" s="293"/>
      <c r="J3" s="294"/>
      <c r="K3" s="292"/>
      <c r="L3" s="292"/>
      <c r="M3" s="295"/>
      <c r="N3" s="294"/>
      <c r="O3" s="292"/>
      <c r="P3" s="296"/>
      <c r="Q3" s="297"/>
      <c r="R3" s="304"/>
      <c r="S3" s="298"/>
      <c r="T3" s="308"/>
      <c r="U3" s="298"/>
      <c r="V3" s="329"/>
      <c r="W3" s="329"/>
      <c r="X3" s="329"/>
      <c r="Y3" s="329"/>
      <c r="Z3" s="329"/>
      <c r="AA3" s="329"/>
      <c r="AB3" s="329"/>
      <c r="AC3" s="329"/>
    </row>
    <row r="4" spans="1:29">
      <c r="A4" s="338"/>
      <c r="B4" s="413" t="str">
        <f>SUMMARY!B3</f>
        <v>MAIZE/CORN</v>
      </c>
      <c r="C4" s="338" t="s">
        <v>346</v>
      </c>
      <c r="D4" s="336">
        <f>SUMMARY!B25</f>
        <v>27839.999999999964</v>
      </c>
      <c r="E4" s="336">
        <f>SUMMARY!B26</f>
        <v>940890</v>
      </c>
      <c r="F4" s="336">
        <f>SUMMARY!B27</f>
        <v>800374.22000000009</v>
      </c>
      <c r="G4" s="336">
        <f>SUMMARY!B28</f>
        <v>12.619999999981701</v>
      </c>
      <c r="H4" s="336">
        <f>SUMMARY!B29</f>
        <v>168368.40000000005</v>
      </c>
      <c r="I4" s="336"/>
      <c r="J4" s="336"/>
      <c r="K4" s="336"/>
      <c r="L4" s="336"/>
      <c r="M4" s="339"/>
      <c r="N4" s="336"/>
      <c r="O4" s="413">
        <f>N4-H4</f>
        <v>-168368.40000000005</v>
      </c>
      <c r="P4" s="339"/>
      <c r="Q4" s="336"/>
      <c r="R4" s="499"/>
      <c r="S4" s="336"/>
      <c r="T4" s="500"/>
      <c r="U4" s="336"/>
      <c r="V4" s="329"/>
      <c r="W4" s="501"/>
      <c r="X4" s="329"/>
      <c r="Y4" s="502"/>
      <c r="Z4" s="502"/>
      <c r="AA4" s="502"/>
      <c r="AB4" s="502"/>
      <c r="AC4" s="502"/>
    </row>
    <row r="5" spans="1:29">
      <c r="A5" s="338"/>
      <c r="B5" s="413" t="str">
        <f>SUMMARY!C3</f>
        <v>SOYBEAN MEAL (ARG)</v>
      </c>
      <c r="C5" s="338" t="s">
        <v>346</v>
      </c>
      <c r="D5" s="336">
        <f>SUMMARY!C25</f>
        <v>-669.99999999991633</v>
      </c>
      <c r="E5" s="336">
        <f>SUMMARY!C26</f>
        <v>397200</v>
      </c>
      <c r="F5" s="336">
        <f>SUMMARY!C27</f>
        <v>333251.31999999995</v>
      </c>
      <c r="G5" s="336">
        <f>SUMMARY!C28</f>
        <v>-2.8800000000014734</v>
      </c>
      <c r="H5" s="336">
        <f>SUMMARY!C29</f>
        <v>63275.80000000009</v>
      </c>
      <c r="I5" s="336"/>
      <c r="J5" s="336"/>
      <c r="K5" s="336"/>
      <c r="L5" s="336"/>
      <c r="M5" s="339"/>
      <c r="N5" s="336"/>
      <c r="O5" s="413">
        <f t="shared" ref="O5:O58" si="0">N5-H5</f>
        <v>-63275.80000000009</v>
      </c>
      <c r="P5" s="339"/>
      <c r="Q5" s="336"/>
      <c r="R5" s="499"/>
      <c r="S5" s="336"/>
      <c r="T5" s="500"/>
      <c r="U5" s="336"/>
      <c r="V5" s="329"/>
      <c r="W5" s="501"/>
      <c r="X5" s="329"/>
      <c r="Y5" s="502"/>
      <c r="Z5" s="502"/>
      <c r="AA5" s="502"/>
      <c r="AB5" s="502"/>
      <c r="AC5" s="502"/>
    </row>
    <row r="6" spans="1:29">
      <c r="A6" s="338"/>
      <c r="B6" s="413" t="str">
        <f>SUMMARY!D3</f>
        <v>SOYBEAN FULL FAT</v>
      </c>
      <c r="C6" s="338" t="s">
        <v>346</v>
      </c>
      <c r="D6" s="336">
        <f>SUMMARY!D25</f>
        <v>20018.399999999969</v>
      </c>
      <c r="E6" s="336">
        <f>SUMMARY!D26</f>
        <v>105360</v>
      </c>
      <c r="F6" s="336">
        <f>SUMMARY!D27</f>
        <v>94650.28</v>
      </c>
      <c r="G6" s="336">
        <f>SUMMARY!D28</f>
        <v>289.07999999999356</v>
      </c>
      <c r="H6" s="336">
        <f>SUMMARY!D29</f>
        <v>31017.199999999972</v>
      </c>
      <c r="I6" s="336"/>
      <c r="J6" s="336"/>
      <c r="K6" s="336"/>
      <c r="L6" s="336"/>
      <c r="M6" s="339"/>
      <c r="N6" s="336"/>
      <c r="O6" s="413">
        <f t="shared" si="0"/>
        <v>-31017.199999999972</v>
      </c>
      <c r="P6" s="339"/>
      <c r="Q6" s="336"/>
      <c r="R6" s="499"/>
      <c r="S6" s="336"/>
      <c r="T6" s="500"/>
      <c r="U6" s="336"/>
      <c r="V6" s="329"/>
      <c r="W6" s="501"/>
      <c r="X6" s="329"/>
      <c r="Y6" s="502"/>
      <c r="Z6" s="502"/>
      <c r="AA6" s="502"/>
      <c r="AB6" s="502"/>
      <c r="AC6" s="502"/>
    </row>
    <row r="7" spans="1:29">
      <c r="A7" s="338"/>
      <c r="B7" s="413" t="str">
        <f>SUMMARY!E3</f>
        <v>WHEAT POLLARD</v>
      </c>
      <c r="C7" s="338" t="s">
        <v>346</v>
      </c>
      <c r="D7" s="336">
        <f>SUMMARY!E25</f>
        <v>26292.700000000019</v>
      </c>
      <c r="E7" s="336">
        <f>SUMMARY!E26</f>
        <v>27580</v>
      </c>
      <c r="F7" s="336">
        <f>SUMMARY!E27</f>
        <v>40808</v>
      </c>
      <c r="G7" s="336">
        <f>SUMMARY!E28</f>
        <v>-32.200000000000159</v>
      </c>
      <c r="H7" s="336">
        <f>SUMMARY!E29</f>
        <v>13032.500000000016</v>
      </c>
      <c r="I7" s="336"/>
      <c r="J7" s="336"/>
      <c r="K7" s="336"/>
      <c r="L7" s="336"/>
      <c r="M7" s="339"/>
      <c r="N7" s="336"/>
      <c r="O7" s="413">
        <f t="shared" si="0"/>
        <v>-13032.500000000016</v>
      </c>
      <c r="P7" s="339"/>
      <c r="Q7" s="503"/>
      <c r="R7" s="504"/>
      <c r="S7" s="505"/>
      <c r="T7" s="505"/>
      <c r="U7" s="336"/>
      <c r="V7" s="329"/>
      <c r="W7" s="501"/>
      <c r="X7" s="329"/>
      <c r="Y7" s="502"/>
      <c r="Z7" s="502"/>
      <c r="AA7" s="502"/>
      <c r="AB7" s="502"/>
      <c r="AC7" s="502"/>
    </row>
    <row r="8" spans="1:29">
      <c r="A8" s="338"/>
      <c r="B8" s="413" t="str">
        <f>SUMMARY!F3</f>
        <v>WHEAT</v>
      </c>
      <c r="C8" s="338" t="s">
        <v>346</v>
      </c>
      <c r="D8" s="336">
        <f>SUMMARY!F25</f>
        <v>0</v>
      </c>
      <c r="E8" s="336">
        <f>SUMMARY!F26</f>
        <v>0</v>
      </c>
      <c r="F8" s="336">
        <f>SUMMARY!F27</f>
        <v>0</v>
      </c>
      <c r="G8" s="336">
        <f>SUMMARY!F28</f>
        <v>0</v>
      </c>
      <c r="H8" s="336">
        <f>SUMMARY!F29</f>
        <v>0</v>
      </c>
      <c r="I8" s="336"/>
      <c r="J8" s="336"/>
      <c r="K8" s="336"/>
      <c r="L8" s="336"/>
      <c r="M8" s="339"/>
      <c r="N8" s="336"/>
      <c r="O8" s="413">
        <f t="shared" si="0"/>
        <v>0</v>
      </c>
      <c r="P8" s="339"/>
      <c r="Q8" s="336"/>
      <c r="R8" s="499"/>
      <c r="S8" s="336"/>
      <c r="T8" s="500"/>
      <c r="U8" s="336"/>
      <c r="V8" s="329"/>
      <c r="W8" s="501"/>
      <c r="X8" s="329"/>
      <c r="Y8" s="502"/>
      <c r="Z8" s="502"/>
      <c r="AA8" s="502"/>
      <c r="AB8" s="502"/>
      <c r="AC8" s="502"/>
    </row>
    <row r="9" spans="1:29">
      <c r="A9" s="338"/>
      <c r="B9" s="413" t="str">
        <f>SUMMARY!G3</f>
        <v>MEAT AND BONE MEAL</v>
      </c>
      <c r="C9" s="338" t="s">
        <v>346</v>
      </c>
      <c r="D9" s="336">
        <f>SUMMARY!G25</f>
        <v>17386.69999999999</v>
      </c>
      <c r="E9" s="336">
        <f>SUMMARY!G26</f>
        <v>29980</v>
      </c>
      <c r="F9" s="336">
        <f>SUMMARY!G27</f>
        <v>9978</v>
      </c>
      <c r="G9" s="336">
        <f>SUMMARY!G28</f>
        <v>-1.5000000000000568</v>
      </c>
      <c r="H9" s="336">
        <f>SUMMARY!G29</f>
        <v>37387.199999999997</v>
      </c>
      <c r="I9" s="336"/>
      <c r="J9" s="336"/>
      <c r="K9" s="336"/>
      <c r="L9" s="336"/>
      <c r="M9" s="339"/>
      <c r="N9" s="336"/>
      <c r="O9" s="413">
        <f t="shared" si="0"/>
        <v>-37387.199999999997</v>
      </c>
      <c r="P9" s="339"/>
      <c r="Q9" s="336"/>
      <c r="R9" s="499"/>
      <c r="S9" s="336"/>
      <c r="T9" s="500"/>
      <c r="U9" s="336"/>
      <c r="V9" s="329"/>
      <c r="W9" s="501"/>
      <c r="X9" s="329"/>
      <c r="Y9" s="502"/>
      <c r="Z9" s="502"/>
      <c r="AA9" s="502"/>
      <c r="AB9" s="502"/>
      <c r="AC9" s="502"/>
    </row>
    <row r="10" spans="1:29">
      <c r="A10" s="338"/>
      <c r="B10" s="413" t="str">
        <f>SUMMARY!H3</f>
        <v>CORN GLUTEN MEAL</v>
      </c>
      <c r="C10" s="338" t="s">
        <v>346</v>
      </c>
      <c r="D10" s="336">
        <f>SUMMARY!H25</f>
        <v>1.8189894035458565E-12</v>
      </c>
      <c r="E10" s="336">
        <f>SUMMARY!H26</f>
        <v>78817.399999999994</v>
      </c>
      <c r="F10" s="336">
        <f>SUMMARY!H27</f>
        <v>49268</v>
      </c>
      <c r="G10" s="336">
        <f>SUMMARY!H28</f>
        <v>-12.200000000001182</v>
      </c>
      <c r="H10" s="336">
        <f>SUMMARY!H29</f>
        <v>29537.199999999986</v>
      </c>
      <c r="I10" s="336"/>
      <c r="J10" s="336"/>
      <c r="K10" s="336"/>
      <c r="L10" s="336"/>
      <c r="M10" s="339"/>
      <c r="N10" s="336"/>
      <c r="O10" s="413">
        <f t="shared" si="0"/>
        <v>-29537.199999999986</v>
      </c>
      <c r="P10" s="339"/>
      <c r="Q10" s="336"/>
      <c r="R10" s="499"/>
      <c r="S10" s="336"/>
      <c r="T10" s="500"/>
      <c r="U10" s="336"/>
      <c r="V10" s="329"/>
      <c r="W10" s="501"/>
      <c r="X10" s="329"/>
      <c r="Y10" s="502"/>
      <c r="Z10" s="502"/>
      <c r="AA10" s="502"/>
      <c r="AB10" s="502"/>
      <c r="AC10" s="502"/>
    </row>
    <row r="11" spans="1:29">
      <c r="A11" s="338"/>
      <c r="B11" s="413" t="str">
        <f>SUMMARY!I3</f>
        <v>MEGAFAT (HARUMI)</v>
      </c>
      <c r="C11" s="338" t="s">
        <v>346</v>
      </c>
      <c r="D11" s="336">
        <f>SUMMARY!I25</f>
        <v>0</v>
      </c>
      <c r="E11" s="336">
        <f>SUMMARY!I26</f>
        <v>30613.599999999999</v>
      </c>
      <c r="F11" s="336">
        <f>SUMMARY!I27</f>
        <v>31115.279999999999</v>
      </c>
      <c r="G11" s="336">
        <f>SUMMARY!I28</f>
        <v>501.67999999999984</v>
      </c>
      <c r="H11" s="336">
        <f>SUMMARY!I29</f>
        <v>0</v>
      </c>
      <c r="I11" s="336"/>
      <c r="J11" s="300"/>
      <c r="K11" s="300"/>
      <c r="L11" s="336"/>
      <c r="M11" s="339"/>
      <c r="N11" s="336"/>
      <c r="O11" s="413">
        <f t="shared" si="0"/>
        <v>0</v>
      </c>
      <c r="P11" s="339"/>
      <c r="Q11" s="336"/>
      <c r="R11" s="499"/>
      <c r="S11" s="336"/>
      <c r="T11" s="500"/>
      <c r="U11" s="336"/>
      <c r="V11" s="329"/>
      <c r="W11" s="501"/>
      <c r="X11" s="329"/>
      <c r="Y11" s="502"/>
      <c r="Z11" s="502"/>
      <c r="AA11" s="502"/>
      <c r="AB11" s="502"/>
      <c r="AC11" s="502"/>
    </row>
    <row r="12" spans="1:29">
      <c r="A12" s="338"/>
      <c r="B12" s="413" t="str">
        <f>SUMMARY!J3</f>
        <v>DCP 18%</v>
      </c>
      <c r="C12" s="338" t="s">
        <v>346</v>
      </c>
      <c r="D12" s="336">
        <f>SUMMARY!J25</f>
        <v>11812.9</v>
      </c>
      <c r="E12" s="336">
        <f>SUMMARY!J26</f>
        <v>0</v>
      </c>
      <c r="F12" s="336">
        <f>SUMMARY!J27</f>
        <v>5731.5</v>
      </c>
      <c r="G12" s="336">
        <f>SUMMARY!J28</f>
        <v>-232.59999999999991</v>
      </c>
      <c r="H12" s="336">
        <f>SUMMARY!J29</f>
        <v>5848.7999999999993</v>
      </c>
      <c r="I12" s="336"/>
      <c r="J12" s="301"/>
      <c r="K12" s="336"/>
      <c r="L12" s="336"/>
      <c r="M12" s="339"/>
      <c r="N12" s="336"/>
      <c r="O12" s="413">
        <f t="shared" si="0"/>
        <v>-5848.7999999999993</v>
      </c>
      <c r="P12" s="339"/>
      <c r="Q12" s="336"/>
      <c r="R12" s="499"/>
      <c r="S12" s="336"/>
      <c r="T12" s="500"/>
      <c r="U12" s="336"/>
      <c r="V12" s="329"/>
      <c r="W12" s="501"/>
      <c r="X12" s="329"/>
      <c r="Y12" s="502"/>
      <c r="Z12" s="502"/>
      <c r="AA12" s="502"/>
      <c r="AB12" s="502"/>
      <c r="AC12" s="502"/>
    </row>
    <row r="13" spans="1:29">
      <c r="A13" s="338"/>
      <c r="B13" s="413" t="str">
        <f>SUMMARY!K3</f>
        <v>LIMESTONE POWDER (HARUMI)</v>
      </c>
      <c r="C13" s="338" t="s">
        <v>346</v>
      </c>
      <c r="D13" s="336">
        <f>SUMMARY!K25</f>
        <v>0</v>
      </c>
      <c r="E13" s="336">
        <f>SUMMARY!K26</f>
        <v>12106.88</v>
      </c>
      <c r="F13" s="336">
        <f>SUMMARY!K27</f>
        <v>10832.36</v>
      </c>
      <c r="G13" s="336">
        <f>SUMMARY!K28</f>
        <v>-1274.5200000000002</v>
      </c>
      <c r="H13" s="336">
        <f>SUMMARY!K29</f>
        <v>0</v>
      </c>
      <c r="I13" s="336"/>
      <c r="J13" s="301"/>
      <c r="K13" s="336"/>
      <c r="L13" s="336"/>
      <c r="M13" s="339"/>
      <c r="N13" s="336"/>
      <c r="O13" s="413">
        <f t="shared" si="0"/>
        <v>0</v>
      </c>
      <c r="P13" s="339"/>
      <c r="Q13" s="336"/>
      <c r="R13" s="499"/>
      <c r="S13" s="336"/>
      <c r="T13" s="500"/>
      <c r="U13" s="336"/>
      <c r="V13" s="329"/>
      <c r="W13" s="501"/>
      <c r="X13" s="329"/>
      <c r="Y13" s="502"/>
      <c r="Z13" s="502"/>
      <c r="AA13" s="502"/>
      <c r="AB13" s="502"/>
      <c r="AC13" s="502"/>
    </row>
    <row r="14" spans="1:29">
      <c r="A14" s="338"/>
      <c r="B14" s="413" t="str">
        <f>SUMMARY!L3</f>
        <v>CHOLINE CHLORIDE 60%</v>
      </c>
      <c r="C14" s="338" t="s">
        <v>346</v>
      </c>
      <c r="D14" s="336">
        <f>SUMMARY!L25</f>
        <v>0</v>
      </c>
      <c r="E14" s="336">
        <f>SUMMARY!L26</f>
        <v>0</v>
      </c>
      <c r="F14" s="336">
        <f>SUMMARY!L27</f>
        <v>0</v>
      </c>
      <c r="G14" s="336">
        <f>SUMMARY!L28</f>
        <v>0</v>
      </c>
      <c r="H14" s="336">
        <f>SUMMARY!L29</f>
        <v>0</v>
      </c>
      <c r="I14" s="336"/>
      <c r="J14" s="301"/>
      <c r="K14" s="336"/>
      <c r="L14" s="336"/>
      <c r="M14" s="339"/>
      <c r="N14" s="336"/>
      <c r="O14" s="413">
        <f t="shared" si="0"/>
        <v>0</v>
      </c>
      <c r="P14" s="339"/>
      <c r="Q14" s="336"/>
      <c r="R14" s="499"/>
      <c r="S14" s="336"/>
      <c r="T14" s="500"/>
      <c r="U14" s="336"/>
      <c r="V14" s="329"/>
      <c r="W14" s="501"/>
      <c r="X14" s="329"/>
      <c r="Y14" s="502"/>
      <c r="Z14" s="502"/>
      <c r="AA14" s="502"/>
      <c r="AB14" s="502"/>
      <c r="AC14" s="502"/>
    </row>
    <row r="15" spans="1:29">
      <c r="A15" s="338"/>
      <c r="B15" s="413" t="str">
        <f>SUMMARY!M3</f>
        <v>INDUSTRY FLOUR</v>
      </c>
      <c r="C15" s="338" t="s">
        <v>346</v>
      </c>
      <c r="D15" s="336">
        <f>SUMMARY!M25</f>
        <v>31869.7</v>
      </c>
      <c r="E15" s="336">
        <f>SUMMARY!M26</f>
        <v>35420</v>
      </c>
      <c r="F15" s="336">
        <f>SUMMARY!M27</f>
        <v>43114.720000000001</v>
      </c>
      <c r="G15" s="336">
        <f>SUMMARY!M28</f>
        <v>-16.67999999999995</v>
      </c>
      <c r="H15" s="336">
        <f>SUMMARY!M29</f>
        <v>24158.300000000003</v>
      </c>
      <c r="I15" s="336"/>
      <c r="J15" s="300"/>
      <c r="K15" s="336"/>
      <c r="L15" s="336"/>
      <c r="M15" s="339"/>
      <c r="N15" s="336"/>
      <c r="O15" s="413">
        <f t="shared" si="0"/>
        <v>-24158.300000000003</v>
      </c>
      <c r="P15" s="339"/>
      <c r="Q15" s="336"/>
      <c r="R15" s="499"/>
      <c r="S15" s="336"/>
      <c r="T15" s="500"/>
      <c r="U15" s="336"/>
      <c r="V15" s="329"/>
      <c r="W15" s="501"/>
      <c r="X15" s="329"/>
      <c r="Y15" s="502"/>
      <c r="Z15" s="502"/>
      <c r="AA15" s="502"/>
      <c r="AB15" s="502"/>
      <c r="AC15" s="502"/>
    </row>
    <row r="16" spans="1:29">
      <c r="A16" s="338"/>
      <c r="B16" s="413" t="str">
        <f>SUMMARY!N3</f>
        <v>RICE BRAN</v>
      </c>
      <c r="C16" s="338" t="s">
        <v>346</v>
      </c>
      <c r="D16" s="336">
        <f>SUMMARY!N25</f>
        <v>6658.9999999999945</v>
      </c>
      <c r="E16" s="336">
        <f>SUMMARY!N26</f>
        <v>68870</v>
      </c>
      <c r="F16" s="336">
        <f>SUMMARY!N27</f>
        <v>32588</v>
      </c>
      <c r="G16" s="336">
        <f>SUMMARY!N28</f>
        <v>-1.4000000000000483</v>
      </c>
      <c r="H16" s="336">
        <f>SUMMARY!N29</f>
        <v>42939.599999999984</v>
      </c>
      <c r="I16" s="336"/>
      <c r="J16" s="300"/>
      <c r="K16" s="336"/>
      <c r="L16" s="336"/>
      <c r="M16" s="339"/>
      <c r="N16" s="336"/>
      <c r="O16" s="413">
        <f t="shared" si="0"/>
        <v>-42939.599999999984</v>
      </c>
      <c r="P16" s="339"/>
      <c r="Q16" s="336"/>
      <c r="R16" s="499"/>
      <c r="S16" s="336"/>
      <c r="T16" s="500"/>
      <c r="U16" s="336"/>
      <c r="V16" s="329"/>
      <c r="W16" s="501"/>
      <c r="X16" s="329"/>
      <c r="Y16" s="502"/>
      <c r="Z16" s="502"/>
      <c r="AA16" s="502"/>
      <c r="AB16" s="502"/>
      <c r="AC16" s="502"/>
    </row>
    <row r="17" spans="1:29">
      <c r="A17" s="338"/>
      <c r="B17" s="413" t="str">
        <f>SUMMARY!O3</f>
        <v>EP 200</v>
      </c>
      <c r="C17" s="338" t="s">
        <v>346</v>
      </c>
      <c r="D17" s="336">
        <f>SUMMARY!O25</f>
        <v>7150</v>
      </c>
      <c r="E17" s="336">
        <f>SUMMARY!O26</f>
        <v>0</v>
      </c>
      <c r="F17" s="336">
        <f>SUMMARY!O27</f>
        <v>800</v>
      </c>
      <c r="G17" s="336">
        <f>SUMMARY!O28</f>
        <v>-550</v>
      </c>
      <c r="H17" s="336">
        <f>SUMMARY!O29</f>
        <v>5800</v>
      </c>
      <c r="I17" s="336"/>
      <c r="J17" s="300"/>
      <c r="K17" s="336"/>
      <c r="L17" s="336"/>
      <c r="M17" s="339"/>
      <c r="N17" s="336"/>
      <c r="O17" s="413">
        <f t="shared" si="0"/>
        <v>-5800</v>
      </c>
      <c r="P17" s="339"/>
      <c r="Q17" s="336"/>
      <c r="R17" s="499"/>
      <c r="S17" s="336"/>
      <c r="T17" s="500"/>
      <c r="U17" s="336"/>
      <c r="V17" s="329"/>
      <c r="W17" s="501"/>
      <c r="X17" s="329"/>
      <c r="Y17" s="502"/>
      <c r="Z17" s="502"/>
      <c r="AA17" s="502"/>
      <c r="AB17" s="502"/>
      <c r="AC17" s="502"/>
    </row>
    <row r="18" spans="1:29">
      <c r="A18" s="338"/>
      <c r="B18" s="413" t="str">
        <f>SUMMARY!P3</f>
        <v>SOYTIDE</v>
      </c>
      <c r="C18" s="338" t="s">
        <v>346</v>
      </c>
      <c r="D18" s="336">
        <f>SUMMARY!P25</f>
        <v>1847.3000000000002</v>
      </c>
      <c r="E18" s="336">
        <f>SUMMARY!P26</f>
        <v>0</v>
      </c>
      <c r="F18" s="336">
        <f>SUMMARY!P27</f>
        <v>1847.3</v>
      </c>
      <c r="G18" s="336">
        <f>SUMMARY!P28</f>
        <v>0</v>
      </c>
      <c r="H18" s="336">
        <f>SUMMARY!P29</f>
        <v>0</v>
      </c>
      <c r="I18" s="336"/>
      <c r="J18" s="336"/>
      <c r="K18" s="336"/>
      <c r="L18" s="336"/>
      <c r="M18" s="339"/>
      <c r="N18" s="336"/>
      <c r="O18" s="413">
        <f t="shared" si="0"/>
        <v>0</v>
      </c>
      <c r="P18" s="339"/>
      <c r="Q18" s="336"/>
      <c r="R18" s="499"/>
      <c r="S18" s="336"/>
      <c r="T18" s="500"/>
      <c r="U18" s="336"/>
      <c r="V18" s="329"/>
      <c r="W18" s="501"/>
      <c r="X18" s="329"/>
      <c r="Y18" s="502"/>
      <c r="Z18" s="502"/>
      <c r="AA18" s="502"/>
      <c r="AB18" s="502"/>
      <c r="AC18" s="502"/>
    </row>
    <row r="19" spans="1:29">
      <c r="A19" s="338"/>
      <c r="B19" s="413" t="str">
        <f>SUMMARY!Q3</f>
        <v>DCP 18% (HARUMI)</v>
      </c>
      <c r="C19" s="338" t="s">
        <v>346</v>
      </c>
      <c r="D19" s="336">
        <f>SUMMARY!Q25</f>
        <v>0</v>
      </c>
      <c r="E19" s="336">
        <f>SUMMARY!Q26</f>
        <v>0</v>
      </c>
      <c r="F19" s="336">
        <f>SUMMARY!Q27</f>
        <v>0</v>
      </c>
      <c r="G19" s="336">
        <f>SUMMARY!Q28</f>
        <v>0</v>
      </c>
      <c r="H19" s="336">
        <f>SUMMARY!Q29</f>
        <v>0</v>
      </c>
      <c r="I19" s="336"/>
      <c r="J19" s="336"/>
      <c r="K19" s="336"/>
      <c r="L19" s="336"/>
      <c r="M19" s="339"/>
      <c r="N19" s="336"/>
      <c r="O19" s="413">
        <f t="shared" si="0"/>
        <v>0</v>
      </c>
      <c r="P19" s="339"/>
      <c r="Q19" s="336"/>
      <c r="R19" s="499"/>
      <c r="S19" s="336"/>
      <c r="T19" s="500"/>
      <c r="U19" s="336"/>
      <c r="V19" s="329"/>
      <c r="W19" s="501"/>
      <c r="X19" s="329"/>
      <c r="Y19" s="502"/>
      <c r="Z19" s="502"/>
      <c r="AA19" s="502"/>
      <c r="AB19" s="502"/>
      <c r="AC19" s="502"/>
    </row>
    <row r="20" spans="1:29">
      <c r="A20" s="338"/>
      <c r="B20" s="413">
        <f>SUMMARY!R3</f>
        <v>1</v>
      </c>
      <c r="C20" s="338" t="s">
        <v>346</v>
      </c>
      <c r="D20" s="336">
        <f>SUMMARY!R25</f>
        <v>0</v>
      </c>
      <c r="E20" s="336">
        <f>SUMMARY!R26</f>
        <v>0</v>
      </c>
      <c r="F20" s="336">
        <f>SUMMARY!R27</f>
        <v>0</v>
      </c>
      <c r="G20" s="336">
        <f>SUMMARY!R28</f>
        <v>0</v>
      </c>
      <c r="H20" s="336">
        <f>SUMMARY!R29</f>
        <v>0</v>
      </c>
      <c r="I20" s="336"/>
      <c r="J20" s="336"/>
      <c r="K20" s="336"/>
      <c r="L20" s="336"/>
      <c r="M20" s="339"/>
      <c r="N20" s="336"/>
      <c r="O20" s="413">
        <f t="shared" si="0"/>
        <v>0</v>
      </c>
      <c r="P20" s="339"/>
      <c r="Q20" s="336"/>
      <c r="R20" s="499"/>
      <c r="S20" s="336"/>
      <c r="T20" s="500"/>
      <c r="U20" s="336"/>
      <c r="V20" s="329"/>
      <c r="W20" s="501"/>
      <c r="X20" s="329"/>
      <c r="Y20" s="502"/>
      <c r="Z20" s="502"/>
      <c r="AA20" s="502"/>
      <c r="AB20" s="502"/>
      <c r="AC20" s="502"/>
    </row>
    <row r="21" spans="1:29">
      <c r="A21" s="338"/>
      <c r="B21" s="413">
        <f>SUMMARY!S3</f>
        <v>2</v>
      </c>
      <c r="C21" s="338" t="s">
        <v>346</v>
      </c>
      <c r="D21" s="336">
        <f>SUMMARY!S25</f>
        <v>0</v>
      </c>
      <c r="E21" s="336">
        <f>SUMMARY!S26</f>
        <v>0</v>
      </c>
      <c r="F21" s="336">
        <f>SUMMARY!S27</f>
        <v>0</v>
      </c>
      <c r="G21" s="336">
        <f>SUMMARY!S28</f>
        <v>0</v>
      </c>
      <c r="H21" s="336">
        <f>SUMMARY!S29</f>
        <v>0</v>
      </c>
      <c r="I21" s="336"/>
      <c r="J21" s="336"/>
      <c r="K21" s="336"/>
      <c r="L21" s="336"/>
      <c r="M21" s="339"/>
      <c r="N21" s="336"/>
      <c r="O21" s="413">
        <f t="shared" si="0"/>
        <v>0</v>
      </c>
      <c r="P21" s="339"/>
      <c r="Q21" s="336"/>
      <c r="R21" s="499"/>
      <c r="S21" s="336"/>
      <c r="T21" s="500"/>
      <c r="U21" s="336"/>
      <c r="V21" s="329"/>
      <c r="W21" s="501"/>
      <c r="X21" s="329"/>
      <c r="Y21" s="502"/>
      <c r="Z21" s="502"/>
      <c r="AA21" s="502"/>
      <c r="AB21" s="502"/>
      <c r="AC21" s="502"/>
    </row>
    <row r="22" spans="1:29">
      <c r="A22" s="338"/>
      <c r="B22" s="413">
        <f>SUMMARY!T3</f>
        <v>3</v>
      </c>
      <c r="C22" s="338" t="s">
        <v>346</v>
      </c>
      <c r="D22" s="336">
        <f>SUMMARY!T25</f>
        <v>0</v>
      </c>
      <c r="E22" s="336">
        <f>SUMMARY!T26</f>
        <v>0</v>
      </c>
      <c r="F22" s="336">
        <f>SUMMARY!T27</f>
        <v>0</v>
      </c>
      <c r="G22" s="336">
        <f>SUMMARY!T28</f>
        <v>0</v>
      </c>
      <c r="H22" s="336">
        <f>SUMMARY!T29</f>
        <v>0</v>
      </c>
      <c r="I22" s="336"/>
      <c r="J22" s="336"/>
      <c r="K22" s="336"/>
      <c r="L22" s="336"/>
      <c r="M22" s="339"/>
      <c r="N22" s="336"/>
      <c r="O22" s="413">
        <f t="shared" si="0"/>
        <v>0</v>
      </c>
      <c r="P22" s="339"/>
      <c r="Q22" s="336"/>
      <c r="R22" s="499"/>
      <c r="S22" s="336"/>
      <c r="T22" s="500"/>
      <c r="U22" s="336"/>
      <c r="V22" s="329"/>
      <c r="W22" s="501"/>
      <c r="X22" s="329"/>
      <c r="Y22" s="502"/>
      <c r="Z22" s="502"/>
      <c r="AA22" s="502"/>
      <c r="AB22" s="502"/>
      <c r="AC22" s="502"/>
    </row>
    <row r="23" spans="1:29">
      <c r="A23" s="338"/>
      <c r="B23" s="413"/>
      <c r="C23" s="338"/>
      <c r="D23" s="336"/>
      <c r="E23" s="336"/>
      <c r="F23" s="336"/>
      <c r="G23" s="336"/>
      <c r="H23" s="336"/>
      <c r="I23" s="336"/>
      <c r="J23" s="336"/>
      <c r="K23" s="336"/>
      <c r="L23" s="336"/>
      <c r="M23" s="339"/>
      <c r="N23" s="336"/>
      <c r="O23" s="413"/>
      <c r="P23" s="339"/>
      <c r="Q23" s="336"/>
      <c r="R23" s="499"/>
      <c r="S23" s="336"/>
      <c r="T23" s="500"/>
      <c r="U23" s="336"/>
      <c r="V23" s="329"/>
      <c r="W23" s="501"/>
      <c r="X23" s="329"/>
      <c r="Y23" s="502"/>
      <c r="Z23" s="502"/>
      <c r="AA23" s="502"/>
      <c r="AB23" s="502"/>
      <c r="AC23" s="502"/>
    </row>
    <row r="24" spans="1:29">
      <c r="A24" s="338"/>
      <c r="B24" s="310" t="s">
        <v>347</v>
      </c>
      <c r="C24" s="338"/>
      <c r="D24" s="336"/>
      <c r="E24" s="336"/>
      <c r="F24" s="336"/>
      <c r="G24" s="336"/>
      <c r="H24" s="336"/>
      <c r="I24" s="336"/>
      <c r="J24" s="336"/>
      <c r="K24" s="336"/>
      <c r="L24" s="336"/>
      <c r="M24" s="339"/>
      <c r="N24" s="336"/>
      <c r="O24" s="413"/>
      <c r="P24" s="339"/>
      <c r="Q24" s="336"/>
      <c r="R24" s="499"/>
      <c r="S24" s="336"/>
      <c r="T24" s="500"/>
      <c r="U24" s="336"/>
      <c r="V24" s="329"/>
      <c r="W24" s="501"/>
      <c r="X24" s="329"/>
      <c r="Y24" s="502"/>
      <c r="Z24" s="502"/>
      <c r="AA24" s="502"/>
      <c r="AB24" s="502"/>
      <c r="AC24" s="502"/>
    </row>
    <row r="25" spans="1:29">
      <c r="A25" s="338"/>
      <c r="B25" s="413" t="str">
        <f>SUMMARY!U3</f>
        <v>PREMIX 1101 (20KG)</v>
      </c>
      <c r="C25" s="338" t="s">
        <v>346</v>
      </c>
      <c r="D25" s="336">
        <f>SUMMARY!U25</f>
        <v>1980</v>
      </c>
      <c r="E25" s="336">
        <f>SUMMARY!U26</f>
        <v>1980</v>
      </c>
      <c r="F25" s="336">
        <f>SUMMARY!U27</f>
        <v>1520</v>
      </c>
      <c r="G25" s="336">
        <f>SUMMARY!U28</f>
        <v>-320</v>
      </c>
      <c r="H25" s="336">
        <f>SUMMARY!U29</f>
        <v>2120</v>
      </c>
      <c r="I25" s="336"/>
      <c r="J25" s="336"/>
      <c r="K25" s="336"/>
      <c r="L25" s="336"/>
      <c r="M25" s="339"/>
      <c r="N25" s="336"/>
      <c r="O25" s="413">
        <f t="shared" si="0"/>
        <v>-2120</v>
      </c>
      <c r="P25" s="339"/>
      <c r="Q25" s="336"/>
      <c r="R25" s="499"/>
      <c r="S25" s="336"/>
      <c r="T25" s="500"/>
      <c r="U25" s="336"/>
      <c r="V25" s="329"/>
      <c r="W25" s="501"/>
      <c r="X25" s="329"/>
      <c r="Y25" s="502"/>
      <c r="Z25" s="502"/>
      <c r="AA25" s="502"/>
      <c r="AB25" s="502"/>
      <c r="AC25" s="502"/>
    </row>
    <row r="26" spans="1:29">
      <c r="A26" s="338"/>
      <c r="B26" s="413" t="str">
        <f>SUMMARY!V3</f>
        <v>PREMIX 1102 (20KG)</v>
      </c>
      <c r="C26" s="338" t="s">
        <v>346</v>
      </c>
      <c r="D26" s="336">
        <f>SUMMARY!V25</f>
        <v>2000</v>
      </c>
      <c r="E26" s="336">
        <f>SUMMARY!V26</f>
        <v>8000</v>
      </c>
      <c r="F26" s="336">
        <f>SUMMARY!V27</f>
        <v>7040</v>
      </c>
      <c r="G26" s="336">
        <f>SUMMARY!V28</f>
        <v>680</v>
      </c>
      <c r="H26" s="336">
        <f>SUMMARY!V29</f>
        <v>3640</v>
      </c>
      <c r="I26" s="336"/>
      <c r="J26" s="336"/>
      <c r="K26" s="336"/>
      <c r="L26" s="336"/>
      <c r="M26" s="339"/>
      <c r="N26" s="336"/>
      <c r="O26" s="413">
        <f t="shared" si="0"/>
        <v>-3640</v>
      </c>
      <c r="P26" s="339"/>
      <c r="Q26" s="336"/>
      <c r="R26" s="499"/>
      <c r="S26" s="336"/>
      <c r="T26" s="500"/>
      <c r="U26" s="336"/>
      <c r="V26" s="329"/>
      <c r="W26" s="501"/>
      <c r="X26" s="329"/>
      <c r="Y26" s="502"/>
      <c r="Z26" s="502"/>
      <c r="AA26" s="502"/>
      <c r="AB26" s="502"/>
      <c r="AC26" s="502"/>
    </row>
    <row r="27" spans="1:29">
      <c r="A27" s="338"/>
      <c r="B27" s="413" t="str">
        <f>SUMMARY!W3</f>
        <v>PREMIX 1103 (20KG)</v>
      </c>
      <c r="C27" s="338" t="s">
        <v>346</v>
      </c>
      <c r="D27" s="336">
        <f>SUMMARY!W25</f>
        <v>4800</v>
      </c>
      <c r="E27" s="336">
        <f>SUMMARY!W26</f>
        <v>0</v>
      </c>
      <c r="F27" s="336">
        <f>SUMMARY!W27</f>
        <v>1520</v>
      </c>
      <c r="G27" s="336">
        <f>SUMMARY!W28</f>
        <v>-1200</v>
      </c>
      <c r="H27" s="336">
        <f>SUMMARY!W29</f>
        <v>2080</v>
      </c>
      <c r="I27" s="336"/>
      <c r="J27" s="336"/>
      <c r="K27" s="336"/>
      <c r="L27" s="336"/>
      <c r="M27" s="339"/>
      <c r="N27" s="336"/>
      <c r="O27" s="413">
        <f t="shared" si="0"/>
        <v>-2080</v>
      </c>
      <c r="P27" s="339"/>
      <c r="Q27" s="336"/>
      <c r="R27" s="499"/>
      <c r="S27" s="336"/>
      <c r="T27" s="500"/>
      <c r="U27" s="336"/>
      <c r="V27" s="329"/>
      <c r="W27" s="501"/>
      <c r="X27" s="329"/>
      <c r="Y27" s="502"/>
      <c r="Z27" s="502"/>
      <c r="AA27" s="502"/>
      <c r="AB27" s="502"/>
      <c r="AC27" s="502"/>
    </row>
    <row r="28" spans="1:29">
      <c r="A28" s="338"/>
      <c r="B28" s="413" t="str">
        <f>SUMMARY!X3</f>
        <v>PREMIX 311 (20KG)</v>
      </c>
      <c r="C28" s="338" t="s">
        <v>346</v>
      </c>
      <c r="D28" s="336">
        <f>SUMMARY!X25</f>
        <v>0</v>
      </c>
      <c r="E28" s="336">
        <f>SUMMARY!X26</f>
        <v>0</v>
      </c>
      <c r="F28" s="336">
        <f>SUMMARY!X27</f>
        <v>0</v>
      </c>
      <c r="G28" s="336">
        <f>SUMMARY!X28</f>
        <v>0</v>
      </c>
      <c r="H28" s="336">
        <f>SUMMARY!X29</f>
        <v>0</v>
      </c>
      <c r="I28" s="336"/>
      <c r="J28" s="336"/>
      <c r="K28" s="336"/>
      <c r="L28" s="336"/>
      <c r="M28" s="339"/>
      <c r="N28" s="336"/>
      <c r="O28" s="413">
        <f t="shared" si="0"/>
        <v>0</v>
      </c>
      <c r="P28" s="339"/>
      <c r="Q28" s="336"/>
      <c r="R28" s="499"/>
      <c r="S28" s="336"/>
      <c r="T28" s="500"/>
      <c r="U28" s="336"/>
      <c r="V28" s="329"/>
      <c r="W28" s="501"/>
      <c r="X28" s="329"/>
      <c r="Y28" s="502"/>
      <c r="Z28" s="502"/>
      <c r="AA28" s="502"/>
      <c r="AB28" s="502"/>
      <c r="AC28" s="502"/>
    </row>
    <row r="29" spans="1:29">
      <c r="A29" s="338"/>
      <c r="B29" s="413" t="str">
        <f>SUMMARY!Y3</f>
        <v>PREMIX 312 (20KG)</v>
      </c>
      <c r="C29" s="338" t="s">
        <v>346</v>
      </c>
      <c r="D29" s="336">
        <f>SUMMARY!Y25</f>
        <v>0</v>
      </c>
      <c r="E29" s="336">
        <f>SUMMARY!Y26</f>
        <v>0</v>
      </c>
      <c r="F29" s="336">
        <f>SUMMARY!Y27</f>
        <v>0</v>
      </c>
      <c r="G29" s="336">
        <f>SUMMARY!Y28</f>
        <v>0</v>
      </c>
      <c r="H29" s="336">
        <f>SUMMARY!Y29</f>
        <v>0</v>
      </c>
      <c r="I29" s="336"/>
      <c r="J29" s="336"/>
      <c r="K29" s="336"/>
      <c r="L29" s="336"/>
      <c r="M29" s="339"/>
      <c r="N29" s="336"/>
      <c r="O29" s="413">
        <f t="shared" si="0"/>
        <v>0</v>
      </c>
      <c r="P29" s="339"/>
      <c r="Q29" s="336"/>
      <c r="R29" s="499"/>
      <c r="S29" s="336"/>
      <c r="T29" s="500"/>
      <c r="U29" s="336"/>
      <c r="V29" s="329"/>
      <c r="W29" s="501"/>
      <c r="X29" s="329"/>
      <c r="Y29" s="502"/>
      <c r="Z29" s="502"/>
      <c r="AA29" s="502"/>
      <c r="AB29" s="502"/>
      <c r="AC29" s="502"/>
    </row>
    <row r="30" spans="1:29">
      <c r="A30" s="338"/>
      <c r="B30" s="413">
        <f>SUMMARY!Z3</f>
        <v>1</v>
      </c>
      <c r="C30" s="338" t="s">
        <v>346</v>
      </c>
      <c r="D30" s="336">
        <f>SUMMARY!Z25</f>
        <v>0</v>
      </c>
      <c r="E30" s="336">
        <f>SUMMARY!Z26</f>
        <v>0</v>
      </c>
      <c r="F30" s="336">
        <f>SUMMARY!Z27</f>
        <v>0</v>
      </c>
      <c r="G30" s="336">
        <f>SUMMARY!Z28</f>
        <v>0</v>
      </c>
      <c r="H30" s="336">
        <f>SUMMARY!Z29</f>
        <v>0</v>
      </c>
      <c r="I30" s="336"/>
      <c r="J30" s="336"/>
      <c r="K30" s="336"/>
      <c r="L30" s="336"/>
      <c r="M30" s="339"/>
      <c r="N30" s="336"/>
      <c r="O30" s="413">
        <f t="shared" si="0"/>
        <v>0</v>
      </c>
      <c r="P30" s="339"/>
      <c r="Q30" s="336"/>
      <c r="R30" s="499"/>
      <c r="S30" s="336"/>
      <c r="T30" s="500"/>
      <c r="U30" s="336"/>
      <c r="V30" s="329"/>
      <c r="W30" s="501"/>
      <c r="X30" s="329"/>
      <c r="Y30" s="502"/>
      <c r="Z30" s="502"/>
      <c r="AA30" s="502"/>
      <c r="AB30" s="502"/>
      <c r="AC30" s="502"/>
    </row>
    <row r="31" spans="1:29">
      <c r="A31" s="338"/>
      <c r="B31" s="413" t="str">
        <f>SUMMARY!AA3</f>
        <v>PREMIX 8100 (20KG)</v>
      </c>
      <c r="C31" s="338" t="s">
        <v>346</v>
      </c>
      <c r="D31" s="336">
        <f>SUMMARY!AA25</f>
        <v>5120</v>
      </c>
      <c r="E31" s="336">
        <f>SUMMARY!AA26</f>
        <v>2000</v>
      </c>
      <c r="F31" s="336">
        <f>SUMMARY!AA27</f>
        <v>760</v>
      </c>
      <c r="G31" s="336">
        <f>SUMMARY!AA28</f>
        <v>0</v>
      </c>
      <c r="H31" s="336">
        <f>SUMMARY!AA29</f>
        <v>6360</v>
      </c>
      <c r="I31" s="336"/>
      <c r="J31" s="336"/>
      <c r="K31" s="336"/>
      <c r="L31" s="336"/>
      <c r="M31" s="339"/>
      <c r="N31" s="336"/>
      <c r="O31" s="413">
        <f t="shared" si="0"/>
        <v>-6360</v>
      </c>
      <c r="P31" s="339"/>
      <c r="Q31" s="336"/>
      <c r="R31" s="499"/>
      <c r="S31" s="336"/>
      <c r="T31" s="500"/>
      <c r="U31" s="336"/>
      <c r="V31" s="329"/>
      <c r="W31" s="501"/>
      <c r="X31" s="329"/>
      <c r="Y31" s="502"/>
      <c r="Z31" s="502"/>
      <c r="AA31" s="502"/>
      <c r="AB31" s="502"/>
      <c r="AC31" s="502"/>
    </row>
    <row r="32" spans="1:29">
      <c r="A32" s="338"/>
      <c r="B32" s="413" t="str">
        <f>SUMMARY!AB3</f>
        <v>PREMIX 8101 (20KG)</v>
      </c>
      <c r="C32" s="338" t="s">
        <v>346</v>
      </c>
      <c r="D32" s="336">
        <f>SUMMARY!AB25</f>
        <v>6540</v>
      </c>
      <c r="E32" s="336">
        <f>SUMMARY!AB26</f>
        <v>0</v>
      </c>
      <c r="F32" s="336">
        <f>SUMMARY!AB27</f>
        <v>0</v>
      </c>
      <c r="G32" s="336">
        <f>SUMMARY!AB28</f>
        <v>0</v>
      </c>
      <c r="H32" s="336">
        <f>SUMMARY!AB29</f>
        <v>6540</v>
      </c>
      <c r="I32" s="336"/>
      <c r="J32" s="336"/>
      <c r="K32" s="336"/>
      <c r="L32" s="336"/>
      <c r="M32" s="339"/>
      <c r="N32" s="336"/>
      <c r="O32" s="413">
        <f t="shared" si="0"/>
        <v>-6540</v>
      </c>
      <c r="P32" s="339"/>
      <c r="Q32" s="336"/>
      <c r="R32" s="499"/>
      <c r="S32" s="336"/>
      <c r="T32" s="500"/>
      <c r="U32" s="336"/>
      <c r="V32" s="329"/>
      <c r="W32" s="501"/>
      <c r="X32" s="329"/>
      <c r="Y32" s="502"/>
      <c r="Z32" s="502"/>
      <c r="AA32" s="502"/>
      <c r="AB32" s="502"/>
      <c r="AC32" s="502"/>
    </row>
    <row r="33" spans="1:29">
      <c r="A33" s="338"/>
      <c r="B33" s="413" t="str">
        <f>SUMMARY!AC3</f>
        <v>PREMIX 8102 (20KG)</v>
      </c>
      <c r="C33" s="338" t="s">
        <v>346</v>
      </c>
      <c r="D33" s="336">
        <f>SUMMARY!AC25</f>
        <v>11540</v>
      </c>
      <c r="E33" s="336">
        <f>SUMMARY!AC26</f>
        <v>0</v>
      </c>
      <c r="F33" s="336">
        <f>SUMMARY!AC27</f>
        <v>0</v>
      </c>
      <c r="G33" s="336">
        <f>SUMMARY!AC28</f>
        <v>0</v>
      </c>
      <c r="H33" s="336">
        <f>SUMMARY!AC29</f>
        <v>11540</v>
      </c>
      <c r="I33" s="336"/>
      <c r="J33" s="336"/>
      <c r="K33" s="336"/>
      <c r="L33" s="336"/>
      <c r="M33" s="339"/>
      <c r="N33" s="336"/>
      <c r="O33" s="413">
        <f t="shared" si="0"/>
        <v>-11540</v>
      </c>
      <c r="P33" s="339"/>
      <c r="Q33" s="336"/>
      <c r="R33" s="499"/>
      <c r="S33" s="336"/>
      <c r="T33" s="500"/>
      <c r="U33" s="336"/>
      <c r="V33" s="329"/>
      <c r="W33" s="501"/>
      <c r="X33" s="329"/>
      <c r="Y33" s="502"/>
      <c r="Z33" s="502"/>
      <c r="AA33" s="502"/>
      <c r="AB33" s="502"/>
      <c r="AC33" s="502"/>
    </row>
    <row r="34" spans="1:29">
      <c r="A34" s="338"/>
      <c r="B34" s="413" t="str">
        <f>SUMMARY!AD3</f>
        <v>PREMIX 8103 (20KG)</v>
      </c>
      <c r="C34" s="338" t="s">
        <v>346</v>
      </c>
      <c r="D34" s="336">
        <f>SUMMARY!AD25</f>
        <v>15120</v>
      </c>
      <c r="E34" s="336">
        <f>SUMMARY!AD26</f>
        <v>0</v>
      </c>
      <c r="F34" s="336">
        <f>SUMMARY!AD27</f>
        <v>0</v>
      </c>
      <c r="G34" s="336">
        <f>SUMMARY!AD28</f>
        <v>0</v>
      </c>
      <c r="H34" s="336">
        <f>SUMMARY!AD29</f>
        <v>15120</v>
      </c>
      <c r="I34" s="336"/>
      <c r="J34" s="336"/>
      <c r="K34" s="336"/>
      <c r="L34" s="336"/>
      <c r="M34" s="339"/>
      <c r="N34" s="336"/>
      <c r="O34" s="413">
        <f t="shared" si="0"/>
        <v>-15120</v>
      </c>
      <c r="P34" s="339"/>
      <c r="Q34" s="336"/>
      <c r="R34" s="499"/>
      <c r="S34" s="336"/>
      <c r="T34" s="500"/>
      <c r="U34" s="336"/>
      <c r="V34" s="329"/>
      <c r="W34" s="501"/>
      <c r="X34" s="329"/>
      <c r="Y34" s="502"/>
      <c r="Z34" s="502"/>
      <c r="AA34" s="502"/>
      <c r="AB34" s="502"/>
      <c r="AC34" s="502"/>
    </row>
    <row r="35" spans="1:29">
      <c r="A35" s="338"/>
      <c r="B35" s="413" t="str">
        <f>SUMMARY!AE3</f>
        <v>PREMIX 8108 (20KG)</v>
      </c>
      <c r="C35" s="338" t="s">
        <v>346</v>
      </c>
      <c r="D35" s="336">
        <f>SUMMARY!AE25</f>
        <v>5040</v>
      </c>
      <c r="E35" s="336">
        <f>SUMMARY!AE26</f>
        <v>0</v>
      </c>
      <c r="F35" s="336">
        <f>SUMMARY!AE27</f>
        <v>960</v>
      </c>
      <c r="G35" s="336">
        <f>SUMMARY!AE28</f>
        <v>-2120</v>
      </c>
      <c r="H35" s="336">
        <f>SUMMARY!AE29</f>
        <v>1960</v>
      </c>
      <c r="I35" s="336"/>
      <c r="J35" s="336"/>
      <c r="K35" s="336"/>
      <c r="L35" s="336"/>
      <c r="M35" s="339"/>
      <c r="N35" s="336"/>
      <c r="O35" s="413">
        <f t="shared" si="0"/>
        <v>-1960</v>
      </c>
      <c r="P35" s="339"/>
      <c r="Q35" s="336"/>
      <c r="R35" s="499"/>
      <c r="S35" s="336"/>
      <c r="T35" s="500"/>
      <c r="U35" s="336"/>
      <c r="V35" s="329"/>
      <c r="W35" s="501"/>
      <c r="X35" s="329"/>
      <c r="Y35" s="502"/>
      <c r="Z35" s="502"/>
      <c r="AA35" s="502"/>
      <c r="AB35" s="502"/>
      <c r="AC35" s="502"/>
    </row>
    <row r="36" spans="1:29">
      <c r="A36" s="338"/>
      <c r="B36" s="413" t="str">
        <f>SUMMARY!AF3</f>
        <v>PREMIX 8109 (20KG)</v>
      </c>
      <c r="C36" s="338" t="s">
        <v>346</v>
      </c>
      <c r="D36" s="336">
        <f>SUMMARY!AF25</f>
        <v>9100</v>
      </c>
      <c r="E36" s="336">
        <f>SUMMARY!AF26</f>
        <v>0</v>
      </c>
      <c r="F36" s="336">
        <f>SUMMARY!AF27</f>
        <v>0</v>
      </c>
      <c r="G36" s="336">
        <f>SUMMARY!AF28</f>
        <v>0</v>
      </c>
      <c r="H36" s="336">
        <f>SUMMARY!AF29</f>
        <v>9100</v>
      </c>
      <c r="I36" s="336"/>
      <c r="J36" s="336"/>
      <c r="K36" s="336"/>
      <c r="L36" s="336"/>
      <c r="M36" s="339"/>
      <c r="N36" s="336"/>
      <c r="O36" s="413">
        <f t="shared" si="0"/>
        <v>-9100</v>
      </c>
      <c r="P36" s="339"/>
      <c r="Q36" s="336"/>
      <c r="R36" s="499"/>
      <c r="S36" s="336"/>
      <c r="T36" s="500"/>
      <c r="U36" s="336"/>
      <c r="V36" s="329"/>
      <c r="W36" s="501"/>
      <c r="X36" s="329"/>
      <c r="Y36" s="502"/>
      <c r="Z36" s="502"/>
      <c r="AA36" s="502"/>
      <c r="AB36" s="502"/>
      <c r="AC36" s="502"/>
    </row>
    <row r="37" spans="1:29">
      <c r="A37" s="338"/>
      <c r="B37" s="413" t="str">
        <f>SUMMARY!AG3</f>
        <v>YENMIX 121 (20KG)</v>
      </c>
      <c r="C37" s="338" t="s">
        <v>346</v>
      </c>
      <c r="D37" s="336">
        <f>SUMMARY!AG25</f>
        <v>4220</v>
      </c>
      <c r="E37" s="336">
        <f>SUMMARY!AG26</f>
        <v>0</v>
      </c>
      <c r="F37" s="336">
        <f>SUMMARY!AG27</f>
        <v>2400</v>
      </c>
      <c r="G37" s="336">
        <f>SUMMARY!AG28</f>
        <v>720</v>
      </c>
      <c r="H37" s="336">
        <f>SUMMARY!AG29</f>
        <v>2540</v>
      </c>
      <c r="I37" s="336"/>
      <c r="J37" s="336"/>
      <c r="K37" s="336"/>
      <c r="L37" s="336"/>
      <c r="M37" s="339"/>
      <c r="N37" s="336"/>
      <c r="O37" s="413">
        <f t="shared" si="0"/>
        <v>-2540</v>
      </c>
      <c r="P37" s="339"/>
      <c r="Q37" s="336"/>
      <c r="R37" s="499"/>
      <c r="S37" s="336"/>
      <c r="T37" s="500"/>
      <c r="U37" s="336"/>
      <c r="V37" s="329"/>
      <c r="W37" s="501"/>
      <c r="X37" s="329"/>
      <c r="Y37" s="502"/>
      <c r="Z37" s="502"/>
      <c r="AA37" s="502"/>
      <c r="AB37" s="502"/>
      <c r="AC37" s="502"/>
    </row>
    <row r="38" spans="1:29">
      <c r="A38" s="338"/>
      <c r="B38" s="413" t="str">
        <f>SUMMARY!AH3</f>
        <v>YENMIX 122 (19.50KG)</v>
      </c>
      <c r="C38" s="338" t="s">
        <v>346</v>
      </c>
      <c r="D38" s="336">
        <f>SUMMARY!AH25</f>
        <v>7702.5</v>
      </c>
      <c r="E38" s="336">
        <f>SUMMARY!AH26</f>
        <v>1950</v>
      </c>
      <c r="F38" s="336">
        <f>SUMMARY!AH27</f>
        <v>10023</v>
      </c>
      <c r="G38" s="336">
        <f>SUMMARY!AH28</f>
        <v>390</v>
      </c>
      <c r="H38" s="336">
        <f>SUMMARY!AH29</f>
        <v>19.5</v>
      </c>
      <c r="I38" s="336"/>
      <c r="J38" s="336"/>
      <c r="K38" s="336"/>
      <c r="L38" s="336"/>
      <c r="M38" s="339"/>
      <c r="N38" s="336"/>
      <c r="O38" s="413">
        <f t="shared" si="0"/>
        <v>-19.5</v>
      </c>
      <c r="P38" s="339"/>
      <c r="Q38" s="336"/>
      <c r="R38" s="499"/>
      <c r="S38" s="336"/>
      <c r="T38" s="500"/>
      <c r="U38" s="336"/>
      <c r="V38" s="329"/>
      <c r="W38" s="501"/>
      <c r="X38" s="329"/>
      <c r="Y38" s="502"/>
      <c r="Z38" s="502"/>
      <c r="AA38" s="502"/>
      <c r="AB38" s="502"/>
      <c r="AC38" s="502"/>
    </row>
    <row r="39" spans="1:29">
      <c r="A39" s="338"/>
      <c r="B39" s="413" t="str">
        <f>SUMMARY!AI3</f>
        <v>YENMIX 123 (18.90KG)</v>
      </c>
      <c r="C39" s="338" t="s">
        <v>346</v>
      </c>
      <c r="D39" s="336">
        <f>SUMMARY!AI25</f>
        <v>6426</v>
      </c>
      <c r="E39" s="336">
        <f>SUMMARY!AI26</f>
        <v>0</v>
      </c>
      <c r="F39" s="336">
        <f>SUMMARY!AI27</f>
        <v>3628.7999999999997</v>
      </c>
      <c r="G39" s="336">
        <f>SUMMARY!AI28</f>
        <v>-718.19999999999982</v>
      </c>
      <c r="H39" s="336">
        <f>SUMMARY!AI29</f>
        <v>2079</v>
      </c>
      <c r="I39" s="336"/>
      <c r="J39" s="336"/>
      <c r="K39" s="336"/>
      <c r="L39" s="336"/>
      <c r="M39" s="339"/>
      <c r="N39" s="336"/>
      <c r="O39" s="413">
        <f t="shared" si="0"/>
        <v>-2079</v>
      </c>
      <c r="P39" s="339"/>
      <c r="Q39" s="336"/>
      <c r="R39" s="499"/>
      <c r="S39" s="336"/>
      <c r="T39" s="500"/>
      <c r="U39" s="336"/>
      <c r="V39" s="329"/>
      <c r="W39" s="501"/>
      <c r="X39" s="329"/>
      <c r="Y39" s="502"/>
      <c r="Z39" s="502"/>
      <c r="AA39" s="502"/>
      <c r="AB39" s="502"/>
      <c r="AC39" s="502"/>
    </row>
    <row r="40" spans="1:29">
      <c r="A40" s="338"/>
      <c r="B40" s="413" t="str">
        <f>SUMMARY!AJ3</f>
        <v>YENMIX 122 (20.50KG)</v>
      </c>
      <c r="C40" s="338" t="s">
        <v>346</v>
      </c>
      <c r="D40" s="336">
        <f>SUMMARY!AJ25</f>
        <v>0</v>
      </c>
      <c r="E40" s="336">
        <f>SUMMARY!AJ26</f>
        <v>8610</v>
      </c>
      <c r="F40" s="336">
        <f>SUMMARY!AJ27</f>
        <v>1557.9999999999998</v>
      </c>
      <c r="G40" s="336">
        <f>SUMMARY!AJ28</f>
        <v>-902</v>
      </c>
      <c r="H40" s="336">
        <f>SUMMARY!AJ29</f>
        <v>6150</v>
      </c>
      <c r="I40" s="336"/>
      <c r="J40" s="336"/>
      <c r="K40" s="336"/>
      <c r="L40" s="336"/>
      <c r="M40" s="339"/>
      <c r="N40" s="336"/>
      <c r="O40" s="413">
        <f t="shared" si="0"/>
        <v>-6150</v>
      </c>
      <c r="P40" s="339"/>
      <c r="Q40" s="336"/>
      <c r="R40" s="499"/>
      <c r="S40" s="336"/>
      <c r="T40" s="500"/>
      <c r="U40" s="336"/>
      <c r="V40" s="329"/>
      <c r="W40" s="501"/>
      <c r="X40" s="329"/>
      <c r="Y40" s="502"/>
      <c r="Z40" s="502"/>
      <c r="AA40" s="502"/>
      <c r="AB40" s="502"/>
      <c r="AC40" s="502"/>
    </row>
    <row r="41" spans="1:29">
      <c r="A41" s="338"/>
      <c r="B41" s="413" t="str">
        <f>SUMMARY!AK3</f>
        <v>YENMIX 123 (20.00KG)</v>
      </c>
      <c r="C41" s="338" t="s">
        <v>346</v>
      </c>
      <c r="D41" s="336">
        <f>SUMMARY!AK25</f>
        <v>0</v>
      </c>
      <c r="E41" s="336">
        <f>SUMMARY!AK26</f>
        <v>4000</v>
      </c>
      <c r="F41" s="336">
        <f>SUMMARY!AK27</f>
        <v>0</v>
      </c>
      <c r="G41" s="336">
        <f>SUMMARY!AK28</f>
        <v>0</v>
      </c>
      <c r="H41" s="336">
        <f>SUMMARY!AK29</f>
        <v>4000</v>
      </c>
      <c r="I41" s="336"/>
      <c r="J41" s="336"/>
      <c r="K41" s="336"/>
      <c r="L41" s="336"/>
      <c r="M41" s="339"/>
      <c r="N41" s="336"/>
      <c r="O41" s="413">
        <f t="shared" si="0"/>
        <v>-4000</v>
      </c>
      <c r="P41" s="339"/>
      <c r="Q41" s="336"/>
      <c r="R41" s="499"/>
      <c r="S41" s="336"/>
      <c r="T41" s="500"/>
      <c r="U41" s="336"/>
      <c r="V41" s="329"/>
      <c r="W41" s="501"/>
      <c r="X41" s="329"/>
      <c r="Y41" s="502"/>
      <c r="Z41" s="502"/>
      <c r="AA41" s="502"/>
      <c r="AB41" s="502"/>
      <c r="AC41" s="502"/>
    </row>
    <row r="42" spans="1:29">
      <c r="A42" s="338"/>
      <c r="B42" s="413">
        <f>SUMMARY!AL3</f>
        <v>1</v>
      </c>
      <c r="C42" s="338" t="s">
        <v>346</v>
      </c>
      <c r="D42" s="336">
        <f>SUMMARY!AL25</f>
        <v>0</v>
      </c>
      <c r="E42" s="336">
        <f>SUMMARY!AL26</f>
        <v>0</v>
      </c>
      <c r="F42" s="336">
        <f>SUMMARY!AL27</f>
        <v>0</v>
      </c>
      <c r="G42" s="336">
        <f>SUMMARY!AL28</f>
        <v>0</v>
      </c>
      <c r="H42" s="336">
        <f>SUMMARY!AL29</f>
        <v>0</v>
      </c>
      <c r="I42" s="336"/>
      <c r="J42" s="336"/>
      <c r="K42" s="336"/>
      <c r="L42" s="336"/>
      <c r="M42" s="339"/>
      <c r="N42" s="336"/>
      <c r="O42" s="413">
        <f t="shared" si="0"/>
        <v>0</v>
      </c>
      <c r="P42" s="339"/>
      <c r="Q42" s="336"/>
      <c r="R42" s="336"/>
      <c r="S42" s="336"/>
      <c r="T42" s="336"/>
      <c r="U42" s="336"/>
      <c r="V42" s="329"/>
      <c r="W42" s="501"/>
      <c r="X42" s="329"/>
      <c r="Y42" s="502"/>
      <c r="Z42" s="502"/>
      <c r="AA42" s="502"/>
      <c r="AB42" s="502"/>
      <c r="AC42" s="502"/>
    </row>
    <row r="43" spans="1:29">
      <c r="A43" s="338"/>
      <c r="B43" s="413">
        <f>SUMMARY!AM3</f>
        <v>2</v>
      </c>
      <c r="C43" s="338" t="s">
        <v>346</v>
      </c>
      <c r="D43" s="336">
        <f>SUMMARY!AM25</f>
        <v>0</v>
      </c>
      <c r="E43" s="336">
        <f>SUMMARY!AM26</f>
        <v>0</v>
      </c>
      <c r="F43" s="336">
        <f>SUMMARY!AM27</f>
        <v>0</v>
      </c>
      <c r="G43" s="336">
        <f>SUMMARY!AM28</f>
        <v>0</v>
      </c>
      <c r="H43" s="336">
        <f>SUMMARY!AM29</f>
        <v>0</v>
      </c>
      <c r="I43" s="336"/>
      <c r="J43" s="336"/>
      <c r="K43" s="336"/>
      <c r="L43" s="336"/>
      <c r="M43" s="339"/>
      <c r="N43" s="336"/>
      <c r="O43" s="413">
        <f t="shared" si="0"/>
        <v>0</v>
      </c>
      <c r="P43" s="339"/>
      <c r="Q43" s="336"/>
      <c r="R43" s="336"/>
      <c r="S43" s="336"/>
      <c r="T43" s="336"/>
      <c r="U43" s="336"/>
      <c r="V43" s="329"/>
      <c r="W43" s="501"/>
      <c r="X43" s="329"/>
      <c r="Y43" s="502"/>
      <c r="Z43" s="502"/>
      <c r="AA43" s="502"/>
      <c r="AB43" s="502"/>
      <c r="AC43" s="502"/>
    </row>
    <row r="44" spans="1:29">
      <c r="A44" s="338"/>
      <c r="B44" s="413">
        <f>SUMMARY!AN3</f>
        <v>3</v>
      </c>
      <c r="C44" s="338" t="s">
        <v>346</v>
      </c>
      <c r="D44" s="336">
        <f>SUMMARY!AN25</f>
        <v>0</v>
      </c>
      <c r="E44" s="336">
        <f>SUMMARY!AN26</f>
        <v>0</v>
      </c>
      <c r="F44" s="336">
        <f>SUMMARY!AN27</f>
        <v>0</v>
      </c>
      <c r="G44" s="336">
        <f>SUMMARY!AN28</f>
        <v>0</v>
      </c>
      <c r="H44" s="336">
        <f>SUMMARY!AN29</f>
        <v>0</v>
      </c>
      <c r="I44" s="336"/>
      <c r="J44" s="336"/>
      <c r="K44" s="336"/>
      <c r="L44" s="336"/>
      <c r="M44" s="339"/>
      <c r="N44" s="336"/>
      <c r="O44" s="413">
        <f t="shared" si="0"/>
        <v>0</v>
      </c>
      <c r="P44" s="339"/>
      <c r="Q44" s="336"/>
      <c r="R44" s="336"/>
      <c r="S44" s="336"/>
      <c r="T44" s="336"/>
      <c r="U44" s="336"/>
      <c r="V44" s="329"/>
      <c r="W44" s="501"/>
      <c r="X44" s="329"/>
      <c r="Y44" s="502"/>
      <c r="Z44" s="502"/>
      <c r="AA44" s="502"/>
      <c r="AB44" s="502"/>
      <c r="AC44" s="502"/>
    </row>
    <row r="45" spans="1:29">
      <c r="A45" s="338"/>
      <c r="B45" s="413" t="str">
        <f>SUMMARY!AO3</f>
        <v>TOXISORB PREMIUM</v>
      </c>
      <c r="C45" s="338" t="s">
        <v>346</v>
      </c>
      <c r="D45" s="336">
        <f>SUMMARY!AO25</f>
        <v>4195</v>
      </c>
      <c r="E45" s="336">
        <f>SUMMARY!AO26</f>
        <v>0</v>
      </c>
      <c r="F45" s="336">
        <f>SUMMARY!AO27</f>
        <v>407</v>
      </c>
      <c r="G45" s="336">
        <f>SUMMARY!AO28</f>
        <v>0</v>
      </c>
      <c r="H45" s="336">
        <f>SUMMARY!AO29</f>
        <v>3903</v>
      </c>
      <c r="I45" s="336"/>
      <c r="J45" s="336"/>
      <c r="K45" s="336"/>
      <c r="L45" s="336"/>
      <c r="M45" s="339"/>
      <c r="N45" s="336"/>
      <c r="O45" s="413">
        <f t="shared" si="0"/>
        <v>-3903</v>
      </c>
      <c r="P45" s="339"/>
      <c r="Q45" s="336"/>
      <c r="R45" s="499"/>
      <c r="S45" s="336"/>
      <c r="T45" s="500"/>
      <c r="U45" s="336"/>
      <c r="V45" s="329"/>
      <c r="W45" s="501"/>
      <c r="X45" s="329"/>
      <c r="Y45" s="502"/>
      <c r="Z45" s="502"/>
      <c r="AA45" s="502"/>
      <c r="AB45" s="502"/>
      <c r="AC45" s="502"/>
    </row>
    <row r="46" spans="1:29">
      <c r="A46" s="338"/>
      <c r="B46" s="413" t="str">
        <f>SUMMARY!AP3</f>
        <v>SODIUM HUMATE 3.8% (HARUMI)</v>
      </c>
      <c r="C46" s="338" t="s">
        <v>346</v>
      </c>
      <c r="D46" s="336">
        <f>SUMMARY!AP25</f>
        <v>0</v>
      </c>
      <c r="E46" s="336">
        <f>SUMMARY!AP26</f>
        <v>3360</v>
      </c>
      <c r="F46" s="336">
        <f>SUMMARY!AP27</f>
        <v>2964</v>
      </c>
      <c r="G46" s="336">
        <f>SUMMARY!AP28</f>
        <v>0</v>
      </c>
      <c r="H46" s="336">
        <f>SUMMARY!AP29</f>
        <v>0</v>
      </c>
      <c r="I46" s="336"/>
      <c r="J46" s="336"/>
      <c r="K46" s="336"/>
      <c r="L46" s="336"/>
      <c r="M46" s="339"/>
      <c r="N46" s="336"/>
      <c r="O46" s="413">
        <f t="shared" si="0"/>
        <v>0</v>
      </c>
      <c r="P46" s="339"/>
      <c r="Q46" s="336"/>
      <c r="R46" s="499"/>
      <c r="S46" s="336"/>
      <c r="T46" s="500"/>
      <c r="U46" s="336"/>
      <c r="V46" s="329"/>
      <c r="W46" s="501"/>
      <c r="X46" s="329"/>
      <c r="Y46" s="502"/>
      <c r="Z46" s="502"/>
      <c r="AA46" s="502"/>
      <c r="AB46" s="502"/>
      <c r="AC46" s="502"/>
    </row>
    <row r="47" spans="1:29">
      <c r="A47" s="338"/>
      <c r="B47" s="413" t="str">
        <f>SUMMARY!AR3</f>
        <v>SODIUM BICARBONATE</v>
      </c>
      <c r="C47" s="338" t="s">
        <v>346</v>
      </c>
      <c r="D47" s="336">
        <f>SUMMARY!AR25</f>
        <v>4152.5</v>
      </c>
      <c r="E47" s="336">
        <f>SUMMARY!AR26</f>
        <v>0</v>
      </c>
      <c r="F47" s="336">
        <f>SUMMARY!AR27</f>
        <v>1029.5999999999999</v>
      </c>
      <c r="G47" s="336">
        <f>SUMMARY!AR28</f>
        <v>0</v>
      </c>
      <c r="H47" s="336">
        <f>SUMMARY!AR29</f>
        <v>3122.8999999999996</v>
      </c>
      <c r="I47" s="336"/>
      <c r="J47" s="336"/>
      <c r="K47" s="336"/>
      <c r="L47" s="336"/>
      <c r="M47" s="339"/>
      <c r="N47" s="336"/>
      <c r="O47" s="413"/>
      <c r="P47" s="339"/>
      <c r="Q47" s="336"/>
      <c r="R47" s="499"/>
      <c r="S47" s="336"/>
      <c r="T47" s="500"/>
      <c r="U47" s="336"/>
      <c r="V47" s="329"/>
      <c r="W47" s="501"/>
      <c r="X47" s="329"/>
      <c r="Y47" s="502"/>
      <c r="Z47" s="502"/>
      <c r="AA47" s="502"/>
      <c r="AB47" s="502"/>
      <c r="AC47" s="502"/>
    </row>
    <row r="48" spans="1:29">
      <c r="A48" s="338"/>
      <c r="B48" s="413"/>
      <c r="C48" s="338"/>
      <c r="D48" s="336"/>
      <c r="E48" s="336"/>
      <c r="F48" s="336"/>
      <c r="G48" s="336"/>
      <c r="H48" s="336"/>
      <c r="I48" s="336"/>
      <c r="J48" s="336"/>
      <c r="K48" s="336"/>
      <c r="L48" s="336"/>
      <c r="M48" s="339"/>
      <c r="N48" s="336"/>
      <c r="O48" s="413"/>
      <c r="P48" s="339"/>
      <c r="Q48" s="336"/>
      <c r="R48" s="499"/>
      <c r="S48" s="336"/>
      <c r="T48" s="500"/>
      <c r="U48" s="336"/>
      <c r="V48" s="329"/>
      <c r="W48" s="501"/>
      <c r="X48" s="329"/>
      <c r="Y48" s="502"/>
      <c r="Z48" s="502"/>
      <c r="AA48" s="502"/>
      <c r="AB48" s="502"/>
      <c r="AC48" s="502"/>
    </row>
    <row r="49" spans="1:29">
      <c r="A49" s="338"/>
      <c r="B49" s="310" t="s">
        <v>348</v>
      </c>
      <c r="C49" s="338"/>
      <c r="D49" s="336"/>
      <c r="E49" s="336"/>
      <c r="F49" s="336"/>
      <c r="G49" s="336"/>
      <c r="H49" s="336"/>
      <c r="I49" s="336"/>
      <c r="J49" s="336"/>
      <c r="K49" s="336"/>
      <c r="L49" s="336"/>
      <c r="M49" s="339"/>
      <c r="N49" s="336"/>
      <c r="O49" s="413"/>
      <c r="P49" s="339"/>
      <c r="Q49" s="336"/>
      <c r="R49" s="499"/>
      <c r="S49" s="336"/>
      <c r="T49" s="500"/>
      <c r="U49" s="336"/>
      <c r="V49" s="329"/>
      <c r="W49" s="501"/>
      <c r="X49" s="329"/>
      <c r="Y49" s="502"/>
      <c r="Z49" s="502"/>
      <c r="AA49" s="502"/>
      <c r="AB49" s="502"/>
      <c r="AC49" s="502"/>
    </row>
    <row r="50" spans="1:29">
      <c r="A50" s="338"/>
      <c r="B50" s="413" t="str">
        <f>SUMMARY!AQ3</f>
        <v>TOXIWALL</v>
      </c>
      <c r="C50" s="338" t="s">
        <v>349</v>
      </c>
      <c r="D50" s="336">
        <f>SUMMARY!AQ25</f>
        <v>2065</v>
      </c>
      <c r="E50" s="336">
        <f>SUMMARY!AQ26</f>
        <v>0</v>
      </c>
      <c r="F50" s="336">
        <f>SUMMARY!AQ27</f>
        <v>834</v>
      </c>
      <c r="G50" s="336">
        <f>SUMMARY!AQ28</f>
        <v>0</v>
      </c>
      <c r="H50" s="336">
        <f>SUMMARY!AQ29</f>
        <v>1137</v>
      </c>
      <c r="I50" s="336"/>
      <c r="J50" s="336"/>
      <c r="K50" s="336"/>
      <c r="L50" s="336"/>
      <c r="M50" s="339"/>
      <c r="N50" s="336"/>
      <c r="O50" s="413">
        <f t="shared" si="0"/>
        <v>-1137</v>
      </c>
      <c r="P50" s="339"/>
      <c r="Q50" s="336"/>
      <c r="R50" s="499"/>
      <c r="S50" s="336"/>
      <c r="T50" s="500"/>
      <c r="U50" s="336"/>
      <c r="V50" s="329"/>
      <c r="W50" s="501"/>
      <c r="X50" s="329"/>
      <c r="Y50" s="502"/>
      <c r="Z50" s="502"/>
      <c r="AA50" s="502"/>
      <c r="AB50" s="502"/>
      <c r="AC50" s="502"/>
    </row>
    <row r="51" spans="1:29">
      <c r="A51" s="338"/>
      <c r="B51" s="413" t="str">
        <f>SUMMARY!AS3</f>
        <v>BMD 10%</v>
      </c>
      <c r="C51" s="338" t="s">
        <v>349</v>
      </c>
      <c r="D51" s="336">
        <f>SUMMARY!AS25</f>
        <v>1680.5</v>
      </c>
      <c r="E51" s="336">
        <f>SUMMARY!AS26</f>
        <v>0</v>
      </c>
      <c r="F51" s="336">
        <f>SUMMARY!AS27</f>
        <v>0</v>
      </c>
      <c r="G51" s="336">
        <f>SUMMARY!AS28</f>
        <v>0</v>
      </c>
      <c r="H51" s="336">
        <f>SUMMARY!AS29</f>
        <v>1680.5</v>
      </c>
      <c r="I51" s="336"/>
      <c r="J51" s="336"/>
      <c r="K51" s="336"/>
      <c r="L51" s="336"/>
      <c r="M51" s="339"/>
      <c r="N51" s="336"/>
      <c r="O51" s="413">
        <f t="shared" si="0"/>
        <v>-1680.5</v>
      </c>
      <c r="P51" s="339"/>
      <c r="Q51" s="336"/>
      <c r="R51" s="499"/>
      <c r="S51" s="336"/>
      <c r="T51" s="500"/>
      <c r="U51" s="336"/>
      <c r="V51" s="329"/>
      <c r="W51" s="501"/>
      <c r="X51" s="329"/>
      <c r="Y51" s="502"/>
      <c r="Z51" s="502"/>
      <c r="AA51" s="502"/>
      <c r="AB51" s="502"/>
      <c r="AC51" s="502"/>
    </row>
    <row r="52" spans="1:29">
      <c r="A52" s="338"/>
      <c r="B52" s="413" t="str">
        <f>SUMMARY!AT3</f>
        <v>SALT (HARUMI)</v>
      </c>
      <c r="C52" s="338" t="s">
        <v>349</v>
      </c>
      <c r="D52" s="336">
        <f>SUMMARY!AT25</f>
        <v>0</v>
      </c>
      <c r="E52" s="336">
        <f>SUMMARY!AT26</f>
        <v>2628.9999999999995</v>
      </c>
      <c r="F52" s="336">
        <f>SUMMARY!AT27</f>
        <v>2628.9999999999995</v>
      </c>
      <c r="G52" s="336">
        <f>SUMMARY!AT28</f>
        <v>0</v>
      </c>
      <c r="H52" s="336">
        <f>SUMMARY!AT29</f>
        <v>0</v>
      </c>
      <c r="I52" s="336"/>
      <c r="J52" s="336"/>
      <c r="K52" s="336"/>
      <c r="L52" s="336"/>
      <c r="M52" s="339"/>
      <c r="N52" s="336"/>
      <c r="O52" s="413">
        <f t="shared" si="0"/>
        <v>0</v>
      </c>
      <c r="P52" s="339"/>
      <c r="Q52" s="336"/>
      <c r="R52" s="499"/>
      <c r="S52" s="336"/>
      <c r="T52" s="500"/>
      <c r="U52" s="336"/>
      <c r="V52" s="329"/>
      <c r="W52" s="501"/>
      <c r="X52" s="329"/>
      <c r="Y52" s="502"/>
      <c r="Z52" s="502"/>
      <c r="AA52" s="502"/>
      <c r="AB52" s="502"/>
      <c r="AC52" s="502"/>
    </row>
    <row r="53" spans="1:29">
      <c r="A53" s="338"/>
      <c r="B53" s="413" t="str">
        <f>SUMMARY!AU3</f>
        <v>VISTABET 91</v>
      </c>
      <c r="C53" s="338" t="s">
        <v>349</v>
      </c>
      <c r="D53" s="336">
        <f>SUMMARY!AU25</f>
        <v>1000</v>
      </c>
      <c r="E53" s="336">
        <f>SUMMARY!AU26</f>
        <v>0</v>
      </c>
      <c r="F53" s="336">
        <f>SUMMARY!AU27</f>
        <v>18</v>
      </c>
      <c r="G53" s="336">
        <f>SUMMARY!AU28</f>
        <v>0</v>
      </c>
      <c r="H53" s="336">
        <f>SUMMARY!AU29</f>
        <v>982</v>
      </c>
      <c r="I53" s="336"/>
      <c r="J53" s="336"/>
      <c r="K53" s="336"/>
      <c r="L53" s="336"/>
      <c r="M53" s="339"/>
      <c r="N53" s="336"/>
      <c r="O53" s="413">
        <f t="shared" si="0"/>
        <v>-982</v>
      </c>
      <c r="P53" s="339"/>
      <c r="Q53" s="336"/>
      <c r="R53" s="499"/>
      <c r="S53" s="336"/>
      <c r="T53" s="500"/>
      <c r="U53" s="336"/>
      <c r="V53" s="329"/>
      <c r="W53" s="501"/>
      <c r="X53" s="329"/>
      <c r="Y53" s="502"/>
      <c r="Z53" s="502"/>
      <c r="AA53" s="502"/>
      <c r="AB53" s="502"/>
      <c r="AC53" s="502"/>
    </row>
    <row r="54" spans="1:29">
      <c r="A54" s="338"/>
      <c r="B54" s="413" t="str">
        <f>SUMMARY!AV3</f>
        <v>BETAFIN</v>
      </c>
      <c r="C54" s="338" t="s">
        <v>349</v>
      </c>
      <c r="D54" s="336">
        <f>SUMMARY!AV25</f>
        <v>0</v>
      </c>
      <c r="E54" s="336">
        <f>SUMMARY!AV26</f>
        <v>0</v>
      </c>
      <c r="F54" s="336">
        <f>SUMMARY!AV27</f>
        <v>0</v>
      </c>
      <c r="G54" s="336">
        <f>SUMMARY!AV28</f>
        <v>0</v>
      </c>
      <c r="H54" s="336">
        <f>SUMMARY!AV29</f>
        <v>0</v>
      </c>
      <c r="I54" s="336"/>
      <c r="J54" s="336"/>
      <c r="K54" s="336"/>
      <c r="L54" s="336"/>
      <c r="M54" s="339"/>
      <c r="N54" s="336"/>
      <c r="O54" s="413">
        <f t="shared" si="0"/>
        <v>0</v>
      </c>
      <c r="P54" s="339"/>
      <c r="Q54" s="336"/>
      <c r="R54" s="499"/>
      <c r="S54" s="336"/>
      <c r="T54" s="500"/>
      <c r="U54" s="336"/>
      <c r="V54" s="329"/>
      <c r="W54" s="501"/>
      <c r="X54" s="329"/>
      <c r="Y54" s="502"/>
      <c r="Z54" s="502"/>
      <c r="AA54" s="502"/>
      <c r="AB54" s="502"/>
      <c r="AC54" s="502"/>
    </row>
    <row r="55" spans="1:29">
      <c r="A55" s="338"/>
      <c r="B55" s="413" t="str">
        <f>SUMMARY!AW3</f>
        <v>8101 TOP UP</v>
      </c>
      <c r="C55" s="338" t="s">
        <v>349</v>
      </c>
      <c r="D55" s="336">
        <f>SUMMARY!AW25</f>
        <v>100</v>
      </c>
      <c r="E55" s="336">
        <f>SUMMARY!AW26</f>
        <v>0</v>
      </c>
      <c r="F55" s="336">
        <f>SUMMARY!AW27</f>
        <v>0</v>
      </c>
      <c r="G55" s="336">
        <f>SUMMARY!AW28</f>
        <v>0</v>
      </c>
      <c r="H55" s="336">
        <f>SUMMARY!AW29</f>
        <v>100</v>
      </c>
      <c r="I55" s="336"/>
      <c r="J55" s="336"/>
      <c r="K55" s="336"/>
      <c r="L55" s="336"/>
      <c r="M55" s="339"/>
      <c r="N55" s="336"/>
      <c r="O55" s="413">
        <f t="shared" si="0"/>
        <v>-100</v>
      </c>
      <c r="P55" s="339"/>
      <c r="Q55" s="336"/>
      <c r="R55" s="499"/>
      <c r="S55" s="336"/>
      <c r="T55" s="500"/>
      <c r="U55" s="336"/>
      <c r="V55" s="329"/>
      <c r="W55" s="501"/>
      <c r="X55" s="329"/>
      <c r="Y55" s="502"/>
      <c r="Z55" s="502"/>
      <c r="AA55" s="502"/>
      <c r="AB55" s="502"/>
      <c r="AC55" s="502"/>
    </row>
    <row r="56" spans="1:29">
      <c r="A56" s="338"/>
      <c r="B56" s="413" t="str">
        <f>SUMMARY!AX3</f>
        <v>NORPONIN X03 (8102 TOP UP)</v>
      </c>
      <c r="C56" s="338" t="s">
        <v>349</v>
      </c>
      <c r="D56" s="336">
        <f>SUMMARY!AX25</f>
        <v>13.960000000000036</v>
      </c>
      <c r="E56" s="336">
        <f>SUMMARY!AX26</f>
        <v>0</v>
      </c>
      <c r="F56" s="336">
        <f>SUMMARY!AX27</f>
        <v>0</v>
      </c>
      <c r="G56" s="336">
        <f>SUMMARY!AX28</f>
        <v>0</v>
      </c>
      <c r="H56" s="336">
        <f>SUMMARY!AX29</f>
        <v>13.960000000000036</v>
      </c>
      <c r="I56" s="336"/>
      <c r="J56" s="336"/>
      <c r="K56" s="336"/>
      <c r="L56" s="336"/>
      <c r="M56" s="339"/>
      <c r="N56" s="336"/>
      <c r="O56" s="413">
        <f t="shared" si="0"/>
        <v>-13.960000000000036</v>
      </c>
      <c r="P56" s="339"/>
      <c r="Q56" s="336"/>
      <c r="R56" s="499"/>
      <c r="S56" s="336"/>
      <c r="T56" s="500"/>
      <c r="U56" s="336"/>
      <c r="V56" s="329"/>
      <c r="W56" s="501"/>
      <c r="X56" s="329"/>
      <c r="Y56" s="502"/>
      <c r="Z56" s="502"/>
      <c r="AA56" s="502"/>
      <c r="AB56" s="502"/>
      <c r="AC56" s="502"/>
    </row>
    <row r="57" spans="1:29">
      <c r="A57" s="338"/>
      <c r="B57" s="413" t="str">
        <f>SUMMARY!AY3</f>
        <v>8102 TOP UP (4KG)</v>
      </c>
      <c r="C57" s="338" t="s">
        <v>349</v>
      </c>
      <c r="D57" s="336">
        <f>SUMMARY!AY25</f>
        <v>1212</v>
      </c>
      <c r="E57" s="336">
        <f>SUMMARY!AY26</f>
        <v>0</v>
      </c>
      <c r="F57" s="336">
        <f>SUMMARY!AY27</f>
        <v>616</v>
      </c>
      <c r="G57" s="336">
        <f>SUMMARY!AY28</f>
        <v>0</v>
      </c>
      <c r="H57" s="336">
        <f>SUMMARY!AY29</f>
        <v>596</v>
      </c>
      <c r="I57" s="336"/>
      <c r="J57" s="336"/>
      <c r="K57" s="336"/>
      <c r="L57" s="336"/>
      <c r="M57" s="339"/>
      <c r="N57" s="336"/>
      <c r="O57" s="413">
        <f t="shared" si="0"/>
        <v>-596</v>
      </c>
      <c r="P57" s="339"/>
      <c r="Q57" s="336"/>
      <c r="R57" s="499"/>
      <c r="S57" s="336"/>
      <c r="T57" s="500"/>
      <c r="U57" s="336"/>
      <c r="V57" s="329"/>
      <c r="W57" s="501"/>
      <c r="X57" s="329"/>
      <c r="Y57" s="502"/>
      <c r="Z57" s="502"/>
      <c r="AA57" s="502"/>
      <c r="AB57" s="502"/>
      <c r="AC57" s="502"/>
    </row>
    <row r="58" spans="1:29">
      <c r="A58" s="338"/>
      <c r="B58" s="413" t="str">
        <f>SUMMARY!AZ3</f>
        <v>8103 TOP UP (5KG)</v>
      </c>
      <c r="C58" s="338" t="s">
        <v>349</v>
      </c>
      <c r="D58" s="336">
        <f>SUMMARY!AZ25</f>
        <v>400</v>
      </c>
      <c r="E58" s="336">
        <f>SUMMARY!AZ26</f>
        <v>0</v>
      </c>
      <c r="F58" s="336">
        <f>SUMMARY!AZ27</f>
        <v>0</v>
      </c>
      <c r="G58" s="336">
        <f>SUMMARY!AZ28</f>
        <v>0</v>
      </c>
      <c r="H58" s="336">
        <f>SUMMARY!AZ29</f>
        <v>400</v>
      </c>
      <c r="I58" s="336"/>
      <c r="J58" s="336"/>
      <c r="K58" s="336"/>
      <c r="L58" s="336"/>
      <c r="M58" s="339"/>
      <c r="N58" s="336"/>
      <c r="O58" s="413">
        <f t="shared" si="0"/>
        <v>-400</v>
      </c>
      <c r="P58" s="339"/>
      <c r="Q58" s="336"/>
      <c r="R58" s="499"/>
      <c r="S58" s="336"/>
      <c r="T58" s="500"/>
      <c r="U58" s="336"/>
      <c r="V58" s="329"/>
      <c r="W58" s="501"/>
      <c r="X58" s="329"/>
      <c r="Y58" s="502"/>
      <c r="Z58" s="502"/>
      <c r="AA58" s="502"/>
      <c r="AB58" s="502"/>
      <c r="AC58" s="502"/>
    </row>
    <row r="59" spans="1:29">
      <c r="A59" s="338"/>
      <c r="B59" s="413" t="str">
        <f>SUMMARY!BA3</f>
        <v>L-ARGININE</v>
      </c>
      <c r="C59" s="338" t="s">
        <v>346</v>
      </c>
      <c r="D59" s="336"/>
      <c r="E59" s="336"/>
      <c r="F59" s="336"/>
      <c r="G59" s="336"/>
      <c r="H59" s="336"/>
      <c r="I59" s="336"/>
      <c r="J59" s="336"/>
      <c r="K59" s="336"/>
      <c r="L59" s="336"/>
      <c r="M59" s="339"/>
      <c r="N59" s="336"/>
      <c r="O59" s="413"/>
      <c r="P59" s="339"/>
      <c r="Q59" s="336"/>
      <c r="R59" s="499"/>
      <c r="S59" s="336"/>
      <c r="T59" s="500"/>
      <c r="U59" s="336"/>
      <c r="V59" s="329"/>
      <c r="W59" s="501"/>
      <c r="X59" s="329"/>
      <c r="Y59" s="502"/>
      <c r="Z59" s="502"/>
      <c r="AA59" s="502"/>
      <c r="AB59" s="502"/>
      <c r="AC59" s="502"/>
    </row>
    <row r="60" spans="1:29">
      <c r="A60" s="338"/>
      <c r="B60" s="413" t="str">
        <f>SUMMARY!BB3</f>
        <v>DL-METHIONINE</v>
      </c>
      <c r="C60" s="338" t="s">
        <v>346</v>
      </c>
      <c r="D60" s="336"/>
      <c r="E60" s="336"/>
      <c r="F60" s="336"/>
      <c r="G60" s="336"/>
      <c r="H60" s="336"/>
      <c r="I60" s="336"/>
      <c r="J60" s="336"/>
      <c r="K60" s="336"/>
      <c r="L60" s="336"/>
      <c r="M60" s="339"/>
      <c r="N60" s="336"/>
      <c r="O60" s="413"/>
      <c r="P60" s="339"/>
      <c r="Q60" s="336"/>
      <c r="R60" s="499"/>
      <c r="S60" s="336"/>
      <c r="T60" s="500"/>
      <c r="U60" s="336"/>
      <c r="V60" s="329"/>
      <c r="W60" s="501"/>
      <c r="X60" s="329"/>
      <c r="Y60" s="502"/>
      <c r="Z60" s="502"/>
      <c r="AA60" s="502"/>
      <c r="AB60" s="502"/>
      <c r="AC60" s="502"/>
    </row>
    <row r="61" spans="1:29">
      <c r="A61" s="338"/>
      <c r="B61" s="413" t="str">
        <f>SUMMARY!BC3</f>
        <v>L-THREONINE</v>
      </c>
      <c r="C61" s="338" t="s">
        <v>346</v>
      </c>
      <c r="D61" s="336"/>
      <c r="E61" s="336"/>
      <c r="F61" s="336"/>
      <c r="G61" s="336"/>
      <c r="H61" s="336"/>
      <c r="I61" s="336"/>
      <c r="J61" s="336"/>
      <c r="K61" s="336"/>
      <c r="L61" s="336"/>
      <c r="M61" s="339"/>
      <c r="N61" s="303"/>
      <c r="O61" s="303"/>
      <c r="P61" s="339"/>
      <c r="Q61" s="336"/>
      <c r="R61" s="499"/>
      <c r="S61" s="336"/>
      <c r="T61" s="500"/>
      <c r="U61" s="336"/>
      <c r="V61" s="329"/>
      <c r="W61" s="329"/>
      <c r="X61" s="329"/>
      <c r="Y61" s="329"/>
      <c r="Z61" s="329"/>
      <c r="AA61" s="329"/>
      <c r="AB61" s="329"/>
      <c r="AC61" s="329"/>
    </row>
    <row r="62" spans="1:29">
      <c r="A62" s="338"/>
      <c r="B62" s="413" t="str">
        <f>SUMMARY!BD3</f>
        <v>L-LYSINE</v>
      </c>
      <c r="C62" s="338" t="s">
        <v>346</v>
      </c>
      <c r="D62" s="356"/>
      <c r="E62" s="356"/>
      <c r="F62" s="356"/>
      <c r="G62" s="356"/>
      <c r="H62" s="356"/>
      <c r="I62" s="336"/>
      <c r="J62" s="336"/>
      <c r="K62" s="356"/>
      <c r="L62" s="336"/>
      <c r="M62" s="339"/>
      <c r="N62" s="303"/>
      <c r="O62" s="303"/>
      <c r="P62" s="339"/>
      <c r="Q62" s="336"/>
      <c r="R62" s="499"/>
      <c r="S62" s="336"/>
      <c r="T62" s="500"/>
      <c r="U62" s="336"/>
      <c r="V62" s="329"/>
      <c r="W62" s="329"/>
      <c r="X62" s="329"/>
      <c r="Y62" s="329"/>
      <c r="Z62" s="329"/>
      <c r="AA62" s="329"/>
      <c r="AB62" s="329"/>
      <c r="AC62" s="329"/>
    </row>
    <row r="63" spans="1:29">
      <c r="A63" s="338"/>
      <c r="B63" s="413"/>
      <c r="C63" s="338"/>
      <c r="D63" s="356"/>
      <c r="E63" s="356"/>
      <c r="F63" s="356"/>
      <c r="G63" s="356"/>
      <c r="H63" s="356"/>
      <c r="I63" s="336"/>
      <c r="J63" s="336"/>
      <c r="K63" s="356"/>
      <c r="L63" s="336"/>
      <c r="M63" s="339"/>
      <c r="N63" s="303"/>
      <c r="O63" s="303"/>
      <c r="P63" s="339"/>
      <c r="Q63" s="336"/>
      <c r="R63" s="499"/>
      <c r="S63" s="336"/>
      <c r="T63" s="500"/>
      <c r="U63" s="336"/>
      <c r="V63" s="329"/>
      <c r="W63" s="329"/>
      <c r="X63" s="329"/>
      <c r="Y63" s="329"/>
      <c r="Z63" s="329"/>
      <c r="AA63" s="329"/>
      <c r="AB63" s="329"/>
      <c r="AC63" s="329"/>
    </row>
    <row r="64" spans="1:29">
      <c r="A64" s="338"/>
      <c r="B64" s="413"/>
      <c r="C64" s="338"/>
      <c r="D64" s="356"/>
      <c r="E64" s="356"/>
      <c r="F64" s="356"/>
      <c r="G64" s="356"/>
      <c r="H64" s="356"/>
      <c r="I64" s="336"/>
      <c r="J64" s="336"/>
      <c r="K64" s="356"/>
      <c r="L64" s="336"/>
      <c r="M64" s="339"/>
      <c r="N64" s="303"/>
      <c r="O64" s="303"/>
      <c r="P64" s="339"/>
      <c r="Q64" s="336"/>
      <c r="R64" s="499"/>
      <c r="S64" s="336"/>
      <c r="T64" s="500"/>
      <c r="U64" s="336"/>
      <c r="V64" s="329"/>
      <c r="W64" s="329"/>
      <c r="X64" s="329"/>
      <c r="Y64" s="329"/>
      <c r="Z64" s="329"/>
      <c r="AA64" s="329"/>
      <c r="AB64" s="329"/>
      <c r="AC64" s="329"/>
    </row>
    <row r="65" spans="1:21" ht="13.9" thickBot="1">
      <c r="A65" s="338"/>
      <c r="B65" s="302" t="s">
        <v>72</v>
      </c>
      <c r="C65" s="475"/>
      <c r="D65" s="506">
        <f>SUM(D4:D61)</f>
        <v>244614.16</v>
      </c>
      <c r="E65" s="506">
        <f>SUM(E4:E61)</f>
        <v>1759366.88</v>
      </c>
      <c r="F65" s="506">
        <f>SUM(F4:F61)</f>
        <v>1492266.3800000004</v>
      </c>
      <c r="G65" s="506">
        <f>SUM(G4:G61)</f>
        <v>-4790.8000000000275</v>
      </c>
      <c r="H65" s="506">
        <f>SUM(H4:H61)</f>
        <v>506548.8600000001</v>
      </c>
      <c r="I65" s="336"/>
      <c r="J65" s="336"/>
      <c r="K65" s="507">
        <f>SUM(K4:K61)</f>
        <v>0</v>
      </c>
      <c r="L65" s="508"/>
      <c r="M65" s="339"/>
      <c r="N65" s="303"/>
      <c r="O65" s="303"/>
      <c r="P65" s="339"/>
      <c r="Q65" s="336"/>
      <c r="R65" s="499"/>
      <c r="S65" s="336"/>
      <c r="T65" s="500"/>
      <c r="U65" s="336"/>
    </row>
    <row r="66" spans="1:21">
      <c r="A66" s="496"/>
      <c r="B66" s="501"/>
      <c r="C66" s="473"/>
      <c r="D66" s="339"/>
      <c r="E66" s="339"/>
      <c r="F66" s="339"/>
      <c r="G66" s="339"/>
      <c r="H66" s="339"/>
      <c r="I66" s="339"/>
      <c r="J66" s="339"/>
      <c r="K66" s="339"/>
      <c r="L66" s="339"/>
      <c r="M66" s="339"/>
      <c r="N66" s="299"/>
      <c r="O66" s="299"/>
      <c r="P66" s="339"/>
      <c r="Q66" s="339"/>
      <c r="R66" s="509"/>
      <c r="S66" s="339"/>
      <c r="T66" s="510"/>
      <c r="U66" s="339"/>
    </row>
    <row r="67" spans="1:21">
      <c r="A67" s="496"/>
      <c r="B67" s="501"/>
      <c r="C67" s="473"/>
      <c r="D67" s="339">
        <f>D65-SUM(SUMMARY!B25:AZ25)</f>
        <v>0</v>
      </c>
      <c r="E67" s="339">
        <f>E65-SUM(SUMMARY!B26:AZ26)</f>
        <v>0</v>
      </c>
      <c r="F67" s="339">
        <f>F65-SUM(SUMMARY!B27:AZ27)</f>
        <v>0</v>
      </c>
      <c r="G67" s="339">
        <f>G65-SUM(SUMMARY!B28:AZ28)</f>
        <v>0</v>
      </c>
      <c r="H67" s="339">
        <f>H65-SUM(SUMMARY!B29:AZ29)</f>
        <v>0</v>
      </c>
      <c r="I67" s="339"/>
      <c r="J67" s="339"/>
      <c r="K67" s="339"/>
      <c r="L67" s="339"/>
      <c r="M67" s="339"/>
      <c r="N67" s="299"/>
      <c r="O67" s="299"/>
      <c r="P67" s="339"/>
      <c r="Q67" s="339"/>
      <c r="R67" s="509"/>
      <c r="S67" s="339"/>
      <c r="T67" s="510"/>
      <c r="U67" s="339"/>
    </row>
    <row r="68" spans="1:21">
      <c r="A68" s="496"/>
      <c r="B68" s="329"/>
      <c r="C68" s="496"/>
      <c r="D68" s="339"/>
      <c r="E68" s="339"/>
      <c r="F68" s="339"/>
      <c r="G68" s="339"/>
      <c r="H68" s="339"/>
      <c r="I68" s="339"/>
      <c r="J68" s="339"/>
      <c r="K68" s="339"/>
      <c r="L68" s="339"/>
      <c r="M68" s="339"/>
      <c r="N68" s="299"/>
      <c r="O68" s="299"/>
      <c r="P68" s="339"/>
      <c r="Q68" s="339"/>
      <c r="R68" s="509"/>
      <c r="S68" s="339"/>
      <c r="T68" s="510"/>
      <c r="U68" s="339"/>
    </row>
    <row r="69" spans="1:21">
      <c r="A69" s="338"/>
      <c r="B69" s="467" t="s">
        <v>321</v>
      </c>
      <c r="C69" s="475"/>
      <c r="D69" s="336"/>
      <c r="E69" s="336"/>
      <c r="F69" s="336"/>
      <c r="G69" s="336"/>
      <c r="H69" s="336"/>
      <c r="I69" s="339"/>
      <c r="J69" s="339"/>
      <c r="K69" s="339"/>
      <c r="L69" s="339"/>
      <c r="M69" s="339"/>
      <c r="N69" s="339"/>
      <c r="O69" s="339"/>
      <c r="P69" s="339"/>
      <c r="Q69" s="339"/>
      <c r="R69" s="509"/>
      <c r="S69" s="339"/>
      <c r="T69" s="510"/>
      <c r="U69" s="339"/>
    </row>
    <row r="70" spans="1:21">
      <c r="A70" s="338" t="s">
        <v>331</v>
      </c>
      <c r="B70" s="474" t="s">
        <v>332</v>
      </c>
      <c r="C70" s="475" t="s">
        <v>333</v>
      </c>
      <c r="D70" s="475" t="s">
        <v>334</v>
      </c>
      <c r="E70" s="475" t="s">
        <v>335</v>
      </c>
      <c r="F70" s="475" t="s">
        <v>166</v>
      </c>
      <c r="G70" s="475" t="s">
        <v>168</v>
      </c>
      <c r="H70" s="475" t="s">
        <v>336</v>
      </c>
      <c r="I70" s="339"/>
      <c r="J70" s="339"/>
      <c r="K70" s="339"/>
      <c r="L70" s="339"/>
      <c r="M70" s="339"/>
      <c r="N70" s="339"/>
      <c r="O70" s="339"/>
      <c r="P70" s="339"/>
      <c r="Q70" s="339"/>
      <c r="R70" s="509"/>
      <c r="S70" s="339"/>
      <c r="T70" s="510"/>
      <c r="U70" s="339"/>
    </row>
    <row r="71" spans="1:21">
      <c r="A71" s="338"/>
      <c r="B71" s="467" t="s">
        <v>345</v>
      </c>
      <c r="C71" s="475"/>
      <c r="D71" s="336"/>
      <c r="E71" s="336"/>
      <c r="F71" s="336"/>
      <c r="G71" s="336"/>
      <c r="H71" s="336"/>
      <c r="I71" s="339"/>
      <c r="J71" s="339"/>
      <c r="K71" s="339"/>
      <c r="L71" s="339"/>
      <c r="M71" s="339"/>
      <c r="N71" s="339"/>
      <c r="O71" s="339"/>
      <c r="P71" s="339"/>
      <c r="Q71" s="339"/>
      <c r="R71" s="509"/>
      <c r="S71" s="339"/>
      <c r="T71" s="510"/>
      <c r="U71" s="339"/>
    </row>
    <row r="72" spans="1:21">
      <c r="A72" s="338">
        <v>1</v>
      </c>
      <c r="B72" s="474" t="s">
        <v>7</v>
      </c>
      <c r="C72" s="475" t="s">
        <v>346</v>
      </c>
      <c r="D72" s="336">
        <v>27839.999999999964</v>
      </c>
      <c r="E72" s="336">
        <v>940890</v>
      </c>
      <c r="F72" s="336">
        <v>800361.60000000009</v>
      </c>
      <c r="G72" s="336"/>
      <c r="H72" s="468">
        <f t="shared" ref="H72:H84" si="1">D72+E72-F72+G72</f>
        <v>168368.39999999991</v>
      </c>
      <c r="I72" s="339">
        <v>27840</v>
      </c>
      <c r="J72" s="339" t="s">
        <v>7</v>
      </c>
      <c r="K72" s="339"/>
      <c r="L72" s="339"/>
      <c r="M72" s="339"/>
      <c r="N72" s="339"/>
      <c r="O72" s="339"/>
      <c r="P72" s="339"/>
      <c r="Q72" s="339"/>
      <c r="R72" s="509"/>
      <c r="S72" s="339"/>
      <c r="T72" s="510"/>
      <c r="U72" s="339"/>
    </row>
    <row r="73" spans="1:21">
      <c r="A73" s="338">
        <v>2</v>
      </c>
      <c r="B73" s="474" t="s">
        <v>8</v>
      </c>
      <c r="C73" s="475" t="s">
        <v>346</v>
      </c>
      <c r="D73" s="336">
        <v>0</v>
      </c>
      <c r="E73" s="336">
        <f>397200-670</f>
        <v>396530</v>
      </c>
      <c r="F73" s="336">
        <v>333254.19999999995</v>
      </c>
      <c r="G73" s="336"/>
      <c r="H73" s="468">
        <f t="shared" si="1"/>
        <v>63275.800000000047</v>
      </c>
      <c r="I73" s="339">
        <v>-669.99999999992997</v>
      </c>
      <c r="J73" s="339" t="s">
        <v>8</v>
      </c>
      <c r="K73" s="339"/>
      <c r="L73" s="339"/>
      <c r="M73" s="339"/>
      <c r="N73" s="339"/>
      <c r="O73" s="339"/>
      <c r="P73" s="339"/>
      <c r="Q73" s="339"/>
      <c r="R73" s="509"/>
      <c r="S73" s="339"/>
      <c r="T73" s="510"/>
      <c r="U73" s="339"/>
    </row>
    <row r="74" spans="1:21">
      <c r="A74" s="338">
        <v>3</v>
      </c>
      <c r="B74" s="474" t="s">
        <v>9</v>
      </c>
      <c r="C74" s="475" t="s">
        <v>346</v>
      </c>
      <c r="D74" s="336">
        <v>20018.399999999969</v>
      </c>
      <c r="E74" s="336">
        <v>105360</v>
      </c>
      <c r="F74" s="336">
        <v>94361.2</v>
      </c>
      <c r="G74" s="336"/>
      <c r="H74" s="468">
        <f t="shared" si="1"/>
        <v>31017.199999999968</v>
      </c>
      <c r="I74" s="339">
        <v>20018.39999999998</v>
      </c>
      <c r="J74" s="339" t="s">
        <v>9</v>
      </c>
      <c r="K74" s="339"/>
      <c r="L74" s="339"/>
      <c r="M74" s="339"/>
      <c r="N74" s="339"/>
      <c r="O74" s="339"/>
      <c r="P74" s="339"/>
      <c r="Q74" s="339"/>
      <c r="R74" s="509"/>
      <c r="S74" s="339"/>
      <c r="T74" s="510"/>
      <c r="U74" s="339"/>
    </row>
    <row r="75" spans="1:21">
      <c r="A75" s="338">
        <v>4</v>
      </c>
      <c r="B75" s="474" t="s">
        <v>10</v>
      </c>
      <c r="C75" s="475" t="s">
        <v>346</v>
      </c>
      <c r="D75" s="336">
        <v>26292.700000000019</v>
      </c>
      <c r="E75" s="336">
        <v>27580</v>
      </c>
      <c r="F75" s="336">
        <v>40840.200000000004</v>
      </c>
      <c r="G75" s="336"/>
      <c r="H75" s="468">
        <f t="shared" si="1"/>
        <v>13032.500000000015</v>
      </c>
      <c r="I75" s="339">
        <v>26292.700000000019</v>
      </c>
      <c r="J75" s="339" t="s">
        <v>10</v>
      </c>
      <c r="K75" s="339"/>
      <c r="L75" s="339"/>
      <c r="M75" s="339"/>
      <c r="N75" s="339"/>
      <c r="O75" s="339"/>
      <c r="P75" s="339"/>
      <c r="Q75" s="339"/>
      <c r="R75" s="509"/>
      <c r="S75" s="339"/>
      <c r="T75" s="510"/>
      <c r="U75" s="339"/>
    </row>
    <row r="76" spans="1:21">
      <c r="A76" s="338">
        <v>5</v>
      </c>
      <c r="B76" s="474" t="s">
        <v>12</v>
      </c>
      <c r="C76" s="475" t="s">
        <v>346</v>
      </c>
      <c r="D76" s="336">
        <v>17386.69999999999</v>
      </c>
      <c r="E76" s="336">
        <v>29980</v>
      </c>
      <c r="F76" s="336">
        <v>9979.5000000000018</v>
      </c>
      <c r="G76" s="336"/>
      <c r="H76" s="468">
        <f t="shared" si="1"/>
        <v>37387.19999999999</v>
      </c>
      <c r="I76" s="339">
        <v>17386.699999999983</v>
      </c>
      <c r="J76" s="339" t="s">
        <v>12</v>
      </c>
      <c r="K76" s="339"/>
      <c r="L76" s="339"/>
      <c r="M76" s="339"/>
      <c r="N76" s="339"/>
      <c r="O76" s="339"/>
      <c r="P76" s="339"/>
      <c r="Q76" s="339"/>
      <c r="R76" s="509"/>
      <c r="S76" s="339"/>
      <c r="T76" s="510"/>
      <c r="U76" s="339"/>
    </row>
    <row r="77" spans="1:21">
      <c r="A77" s="338">
        <v>6</v>
      </c>
      <c r="B77" s="474" t="s">
        <v>13</v>
      </c>
      <c r="C77" s="475" t="s">
        <v>346</v>
      </c>
      <c r="D77" s="336">
        <v>0</v>
      </c>
      <c r="E77" s="336">
        <f>78817.4-28080</f>
        <v>50737.399999999994</v>
      </c>
      <c r="F77" s="336">
        <v>49280.200000000004</v>
      </c>
      <c r="G77" s="336">
        <v>28080</v>
      </c>
      <c r="H77" s="468">
        <f t="shared" si="1"/>
        <v>29537.19999999999</v>
      </c>
      <c r="I77" s="339">
        <v>0</v>
      </c>
      <c r="J77" s="339" t="s">
        <v>13</v>
      </c>
      <c r="K77" s="339"/>
      <c r="L77" s="339"/>
      <c r="M77" s="339"/>
      <c r="N77" s="339"/>
      <c r="O77" s="339"/>
      <c r="P77" s="339"/>
      <c r="Q77" s="339"/>
      <c r="R77" s="509"/>
      <c r="S77" s="339"/>
      <c r="T77" s="510"/>
      <c r="U77" s="339"/>
    </row>
    <row r="78" spans="1:21">
      <c r="A78" s="338">
        <v>7</v>
      </c>
      <c r="B78" s="474" t="s">
        <v>350</v>
      </c>
      <c r="C78" s="475" t="s">
        <v>346</v>
      </c>
      <c r="D78" s="336">
        <v>0</v>
      </c>
      <c r="E78" s="336">
        <v>30613.599999999999</v>
      </c>
      <c r="F78" s="336">
        <v>30613.599999999999</v>
      </c>
      <c r="G78" s="336"/>
      <c r="H78" s="468">
        <f t="shared" si="1"/>
        <v>0</v>
      </c>
      <c r="I78" s="339">
        <v>0</v>
      </c>
      <c r="J78" s="339" t="s">
        <v>350</v>
      </c>
      <c r="K78" s="339"/>
      <c r="L78" s="339"/>
      <c r="M78" s="339"/>
      <c r="N78" s="339"/>
      <c r="O78" s="339"/>
      <c r="P78" s="339"/>
      <c r="Q78" s="339"/>
      <c r="R78" s="509"/>
      <c r="S78" s="339"/>
      <c r="T78" s="510"/>
      <c r="U78" s="339"/>
    </row>
    <row r="79" spans="1:21">
      <c r="A79" s="338">
        <v>8</v>
      </c>
      <c r="B79" s="474" t="s">
        <v>15</v>
      </c>
      <c r="C79" s="475" t="s">
        <v>346</v>
      </c>
      <c r="D79" s="336">
        <v>11812.9</v>
      </c>
      <c r="E79" s="336">
        <v>0</v>
      </c>
      <c r="F79" s="336">
        <v>5964.1</v>
      </c>
      <c r="G79" s="336"/>
      <c r="H79" s="468">
        <f t="shared" si="1"/>
        <v>5848.7999999999993</v>
      </c>
      <c r="I79" s="339">
        <v>11812.900000000001</v>
      </c>
      <c r="J79" s="339" t="s">
        <v>15</v>
      </c>
      <c r="K79" s="339"/>
      <c r="L79" s="339"/>
      <c r="M79" s="339"/>
      <c r="N79" s="339"/>
      <c r="O79" s="339"/>
      <c r="P79" s="339"/>
      <c r="Q79" s="339"/>
      <c r="R79" s="509"/>
      <c r="S79" s="339"/>
      <c r="T79" s="510"/>
      <c r="U79" s="339"/>
    </row>
    <row r="80" spans="1:21">
      <c r="A80" s="338">
        <v>9</v>
      </c>
      <c r="B80" s="474" t="s">
        <v>351</v>
      </c>
      <c r="C80" s="475" t="s">
        <v>346</v>
      </c>
      <c r="D80" s="336">
        <v>0</v>
      </c>
      <c r="E80" s="336">
        <v>12106.88</v>
      </c>
      <c r="F80" s="336">
        <v>12106.88</v>
      </c>
      <c r="G80" s="336"/>
      <c r="H80" s="468">
        <f t="shared" si="1"/>
        <v>0</v>
      </c>
      <c r="I80" s="339">
        <v>0</v>
      </c>
      <c r="J80" s="339" t="s">
        <v>351</v>
      </c>
      <c r="K80" s="339"/>
      <c r="L80" s="339"/>
      <c r="M80" s="339"/>
      <c r="N80" s="339"/>
      <c r="O80" s="339"/>
      <c r="P80" s="339"/>
      <c r="Q80" s="339"/>
      <c r="R80" s="509"/>
      <c r="S80" s="339"/>
      <c r="T80" s="510"/>
      <c r="U80" s="339"/>
    </row>
    <row r="81" spans="1:10">
      <c r="A81" s="338">
        <v>10</v>
      </c>
      <c r="B81" s="474" t="s">
        <v>18</v>
      </c>
      <c r="C81" s="475" t="s">
        <v>346</v>
      </c>
      <c r="D81" s="336">
        <v>31869.7</v>
      </c>
      <c r="E81" s="336">
        <v>35420</v>
      </c>
      <c r="F81" s="336">
        <v>43131.399999999994</v>
      </c>
      <c r="G81" s="336"/>
      <c r="H81" s="468">
        <f t="shared" si="1"/>
        <v>24158.300000000003</v>
      </c>
      <c r="I81" s="339">
        <v>31869.699999999997</v>
      </c>
      <c r="J81" s="339" t="s">
        <v>18</v>
      </c>
    </row>
    <row r="82" spans="1:10">
      <c r="A82" s="338">
        <v>11</v>
      </c>
      <c r="B82" s="474" t="s">
        <v>19</v>
      </c>
      <c r="C82" s="475" t="s">
        <v>346</v>
      </c>
      <c r="D82" s="336">
        <v>6658.9999999999945</v>
      </c>
      <c r="E82" s="336">
        <v>68870</v>
      </c>
      <c r="F82" s="336">
        <v>32589.4</v>
      </c>
      <c r="G82" s="336"/>
      <c r="H82" s="468">
        <f t="shared" si="1"/>
        <v>42939.6</v>
      </c>
      <c r="I82" s="339">
        <v>6658.9999999999927</v>
      </c>
      <c r="J82" s="339" t="s">
        <v>19</v>
      </c>
    </row>
    <row r="83" spans="1:10">
      <c r="A83" s="338">
        <v>12</v>
      </c>
      <c r="B83" s="474" t="s">
        <v>20</v>
      </c>
      <c r="C83" s="475" t="s">
        <v>346</v>
      </c>
      <c r="D83" s="336">
        <v>7150</v>
      </c>
      <c r="E83" s="336">
        <v>0</v>
      </c>
      <c r="F83" s="336">
        <v>1350</v>
      </c>
      <c r="G83" s="336"/>
      <c r="H83" s="468">
        <f t="shared" si="1"/>
        <v>5800</v>
      </c>
      <c r="I83" s="339">
        <v>7150</v>
      </c>
      <c r="J83" s="339" t="s">
        <v>20</v>
      </c>
    </row>
    <row r="84" spans="1:10">
      <c r="A84" s="338">
        <v>13</v>
      </c>
      <c r="B84" s="474" t="s">
        <v>21</v>
      </c>
      <c r="C84" s="475" t="s">
        <v>346</v>
      </c>
      <c r="D84" s="336">
        <v>1847.3000000000002</v>
      </c>
      <c r="E84" s="336">
        <v>0</v>
      </c>
      <c r="F84" s="336">
        <f>1847.3-147.3</f>
        <v>1700</v>
      </c>
      <c r="G84" s="336">
        <v>-147.30000000000001</v>
      </c>
      <c r="H84" s="468">
        <f t="shared" si="1"/>
        <v>0</v>
      </c>
      <c r="I84" s="339">
        <v>1847.3000000000002</v>
      </c>
      <c r="J84" s="339" t="s">
        <v>21</v>
      </c>
    </row>
    <row r="85" spans="1:10">
      <c r="A85" s="338"/>
      <c r="B85" s="474"/>
      <c r="C85" s="475"/>
      <c r="D85" s="336"/>
      <c r="E85" s="336"/>
      <c r="F85" s="336"/>
      <c r="G85" s="336"/>
      <c r="H85" s="336"/>
      <c r="I85" s="339"/>
      <c r="J85" s="339"/>
    </row>
    <row r="86" spans="1:10">
      <c r="A86" s="338"/>
      <c r="B86" s="467" t="s">
        <v>347</v>
      </c>
      <c r="C86" s="475"/>
      <c r="D86" s="336"/>
      <c r="E86" s="336"/>
      <c r="F86" s="336"/>
      <c r="G86" s="336"/>
      <c r="H86" s="336"/>
      <c r="I86" s="337" t="s">
        <v>372</v>
      </c>
      <c r="J86" s="339"/>
    </row>
    <row r="87" spans="1:10">
      <c r="A87" s="338">
        <v>1</v>
      </c>
      <c r="B87" s="474" t="s">
        <v>23</v>
      </c>
      <c r="C87" s="475" t="s">
        <v>346</v>
      </c>
      <c r="D87" s="336">
        <v>1980</v>
      </c>
      <c r="E87" s="336">
        <v>1980</v>
      </c>
      <c r="F87" s="336">
        <v>1840</v>
      </c>
      <c r="G87" s="336"/>
      <c r="H87" s="468">
        <f t="shared" ref="H87:H116" si="2">D87+E87-F87+G87</f>
        <v>2120</v>
      </c>
      <c r="I87" s="473">
        <f>H87/20</f>
        <v>106</v>
      </c>
      <c r="J87" s="339" t="s">
        <v>23</v>
      </c>
    </row>
    <row r="88" spans="1:10">
      <c r="A88" s="338">
        <v>2</v>
      </c>
      <c r="B88" s="474" t="s">
        <v>24</v>
      </c>
      <c r="C88" s="475" t="s">
        <v>346</v>
      </c>
      <c r="D88" s="336">
        <v>2000</v>
      </c>
      <c r="E88" s="336">
        <v>8000</v>
      </c>
      <c r="F88" s="336">
        <v>6360</v>
      </c>
      <c r="G88" s="336"/>
      <c r="H88" s="468">
        <f t="shared" si="2"/>
        <v>3640</v>
      </c>
      <c r="I88" s="473">
        <f t="shared" ref="I88:I96" si="3">H88/20</f>
        <v>182</v>
      </c>
      <c r="J88" s="339" t="s">
        <v>24</v>
      </c>
    </row>
    <row r="89" spans="1:10">
      <c r="A89" s="338">
        <v>3</v>
      </c>
      <c r="B89" s="474" t="s">
        <v>25</v>
      </c>
      <c r="C89" s="475" t="s">
        <v>346</v>
      </c>
      <c r="D89" s="336">
        <v>4800</v>
      </c>
      <c r="E89" s="336">
        <v>0</v>
      </c>
      <c r="F89" s="336">
        <v>2720</v>
      </c>
      <c r="G89" s="336"/>
      <c r="H89" s="468">
        <f t="shared" si="2"/>
        <v>2080</v>
      </c>
      <c r="I89" s="473">
        <f t="shared" si="3"/>
        <v>104</v>
      </c>
      <c r="J89" s="339" t="s">
        <v>25</v>
      </c>
    </row>
    <row r="90" spans="1:10">
      <c r="A90" s="338">
        <v>4</v>
      </c>
      <c r="B90" s="474" t="s">
        <v>28</v>
      </c>
      <c r="C90" s="475" t="s">
        <v>346</v>
      </c>
      <c r="D90" s="336">
        <v>5120</v>
      </c>
      <c r="E90" s="336">
        <v>2000</v>
      </c>
      <c r="F90" s="336">
        <v>760</v>
      </c>
      <c r="G90" s="336"/>
      <c r="H90" s="468">
        <f t="shared" si="2"/>
        <v>6360</v>
      </c>
      <c r="I90" s="473">
        <f t="shared" si="3"/>
        <v>318</v>
      </c>
      <c r="J90" s="339" t="s">
        <v>28</v>
      </c>
    </row>
    <row r="91" spans="1:10">
      <c r="A91" s="338">
        <v>5</v>
      </c>
      <c r="B91" s="474" t="s">
        <v>29</v>
      </c>
      <c r="C91" s="475" t="s">
        <v>346</v>
      </c>
      <c r="D91" s="336">
        <v>6540</v>
      </c>
      <c r="E91" s="336">
        <v>0</v>
      </c>
      <c r="F91" s="336">
        <v>0</v>
      </c>
      <c r="G91" s="336"/>
      <c r="H91" s="468">
        <f t="shared" si="2"/>
        <v>6540</v>
      </c>
      <c r="I91" s="473">
        <f t="shared" si="3"/>
        <v>327</v>
      </c>
      <c r="J91" s="339" t="s">
        <v>29</v>
      </c>
    </row>
    <row r="92" spans="1:10">
      <c r="A92" s="338">
        <v>6</v>
      </c>
      <c r="B92" s="474" t="s">
        <v>30</v>
      </c>
      <c r="C92" s="475" t="s">
        <v>346</v>
      </c>
      <c r="D92" s="336">
        <v>11540</v>
      </c>
      <c r="E92" s="336">
        <v>0</v>
      </c>
      <c r="F92" s="336">
        <v>0</v>
      </c>
      <c r="G92" s="336"/>
      <c r="H92" s="468">
        <f t="shared" si="2"/>
        <v>11540</v>
      </c>
      <c r="I92" s="473">
        <f t="shared" si="3"/>
        <v>577</v>
      </c>
      <c r="J92" s="339" t="s">
        <v>30</v>
      </c>
    </row>
    <row r="93" spans="1:10">
      <c r="A93" s="338">
        <v>7</v>
      </c>
      <c r="B93" s="474" t="s">
        <v>31</v>
      </c>
      <c r="C93" s="475" t="s">
        <v>346</v>
      </c>
      <c r="D93" s="336">
        <v>15120</v>
      </c>
      <c r="E93" s="336">
        <v>0</v>
      </c>
      <c r="F93" s="336">
        <v>0</v>
      </c>
      <c r="G93" s="336"/>
      <c r="H93" s="468">
        <f t="shared" si="2"/>
        <v>15120</v>
      </c>
      <c r="I93" s="473">
        <f t="shared" si="3"/>
        <v>756</v>
      </c>
      <c r="J93" s="339" t="s">
        <v>31</v>
      </c>
    </row>
    <row r="94" spans="1:10">
      <c r="A94" s="338">
        <v>8</v>
      </c>
      <c r="B94" s="474" t="s">
        <v>32</v>
      </c>
      <c r="C94" s="475" t="s">
        <v>346</v>
      </c>
      <c r="D94" s="336">
        <v>5040</v>
      </c>
      <c r="E94" s="336">
        <v>0</v>
      </c>
      <c r="F94" s="336">
        <v>3080</v>
      </c>
      <c r="G94" s="336"/>
      <c r="H94" s="468">
        <f t="shared" si="2"/>
        <v>1960</v>
      </c>
      <c r="I94" s="473">
        <f t="shared" si="3"/>
        <v>98</v>
      </c>
      <c r="J94" s="339" t="s">
        <v>32</v>
      </c>
    </row>
    <row r="95" spans="1:10">
      <c r="A95" s="338">
        <v>9</v>
      </c>
      <c r="B95" s="474" t="s">
        <v>33</v>
      </c>
      <c r="C95" s="475" t="s">
        <v>346</v>
      </c>
      <c r="D95" s="336">
        <v>9100</v>
      </c>
      <c r="E95" s="336">
        <v>0</v>
      </c>
      <c r="F95" s="336">
        <v>0</v>
      </c>
      <c r="G95" s="336"/>
      <c r="H95" s="468">
        <f t="shared" si="2"/>
        <v>9100</v>
      </c>
      <c r="I95" s="473">
        <f t="shared" si="3"/>
        <v>455</v>
      </c>
      <c r="J95" s="339" t="s">
        <v>33</v>
      </c>
    </row>
    <row r="96" spans="1:10">
      <c r="A96" s="338">
        <v>10</v>
      </c>
      <c r="B96" s="474" t="s">
        <v>34</v>
      </c>
      <c r="C96" s="475" t="s">
        <v>346</v>
      </c>
      <c r="D96" s="336">
        <v>4220</v>
      </c>
      <c r="E96" s="336">
        <v>0</v>
      </c>
      <c r="F96" s="336">
        <v>1680</v>
      </c>
      <c r="G96" s="336"/>
      <c r="H96" s="468">
        <f t="shared" si="2"/>
        <v>2540</v>
      </c>
      <c r="I96" s="473">
        <f t="shared" si="3"/>
        <v>127</v>
      </c>
      <c r="J96" s="339" t="s">
        <v>34</v>
      </c>
    </row>
    <row r="97" spans="1:10">
      <c r="A97" s="338">
        <v>11</v>
      </c>
      <c r="B97" s="474" t="s">
        <v>35</v>
      </c>
      <c r="C97" s="475" t="s">
        <v>346</v>
      </c>
      <c r="D97" s="336">
        <v>7702.5</v>
      </c>
      <c r="E97" s="336">
        <v>1950</v>
      </c>
      <c r="F97" s="336">
        <v>9633</v>
      </c>
      <c r="G97" s="336"/>
      <c r="H97" s="468">
        <f t="shared" si="2"/>
        <v>19.5</v>
      </c>
      <c r="I97" s="473">
        <f>H97/19.5</f>
        <v>1</v>
      </c>
      <c r="J97" s="339" t="s">
        <v>35</v>
      </c>
    </row>
    <row r="98" spans="1:10">
      <c r="A98" s="338">
        <v>12</v>
      </c>
      <c r="B98" s="474" t="s">
        <v>36</v>
      </c>
      <c r="C98" s="475" t="s">
        <v>346</v>
      </c>
      <c r="D98" s="336">
        <v>6426.0000000000027</v>
      </c>
      <c r="E98" s="336">
        <v>0</v>
      </c>
      <c r="F98" s="336">
        <v>4347</v>
      </c>
      <c r="G98" s="336"/>
      <c r="H98" s="468">
        <f t="shared" si="2"/>
        <v>2079.0000000000027</v>
      </c>
      <c r="I98" s="473">
        <f>H98/18.9</f>
        <v>110.00000000000016</v>
      </c>
      <c r="J98" s="339" t="s">
        <v>36</v>
      </c>
    </row>
    <row r="99" spans="1:10">
      <c r="A99" s="338">
        <v>13</v>
      </c>
      <c r="B99" s="474" t="s">
        <v>37</v>
      </c>
      <c r="C99" s="475" t="s">
        <v>346</v>
      </c>
      <c r="D99" s="336">
        <v>0</v>
      </c>
      <c r="E99" s="336">
        <v>8610</v>
      </c>
      <c r="F99" s="336">
        <v>2460</v>
      </c>
      <c r="G99" s="336"/>
      <c r="H99" s="468">
        <f t="shared" si="2"/>
        <v>6150</v>
      </c>
      <c r="I99" s="473">
        <f>H99/20.5</f>
        <v>300</v>
      </c>
      <c r="J99" s="339"/>
    </row>
    <row r="100" spans="1:10">
      <c r="A100" s="338">
        <v>14</v>
      </c>
      <c r="B100" s="474" t="s">
        <v>38</v>
      </c>
      <c r="C100" s="475" t="s">
        <v>346</v>
      </c>
      <c r="D100" s="336">
        <v>0</v>
      </c>
      <c r="E100" s="336">
        <v>4000</v>
      </c>
      <c r="F100" s="336">
        <v>0</v>
      </c>
      <c r="G100" s="336"/>
      <c r="H100" s="468">
        <f t="shared" si="2"/>
        <v>4000</v>
      </c>
      <c r="I100" s="473">
        <f>H100/20</f>
        <v>200</v>
      </c>
      <c r="J100" s="339"/>
    </row>
    <row r="101" spans="1:10">
      <c r="A101" s="338">
        <v>15</v>
      </c>
      <c r="B101" s="474" t="s">
        <v>39</v>
      </c>
      <c r="C101" s="475" t="s">
        <v>346</v>
      </c>
      <c r="D101" s="336">
        <v>4195</v>
      </c>
      <c r="E101" s="336">
        <v>0</v>
      </c>
      <c r="F101" s="336">
        <v>292</v>
      </c>
      <c r="G101" s="336"/>
      <c r="H101" s="468">
        <f t="shared" si="2"/>
        <v>3903</v>
      </c>
      <c r="I101" s="339"/>
      <c r="J101" s="339" t="s">
        <v>39</v>
      </c>
    </row>
    <row r="102" spans="1:10">
      <c r="A102" s="338">
        <v>16</v>
      </c>
      <c r="B102" s="474" t="s">
        <v>352</v>
      </c>
      <c r="C102" s="475" t="s">
        <v>346</v>
      </c>
      <c r="D102" s="336">
        <v>0</v>
      </c>
      <c r="E102" s="336">
        <v>3360</v>
      </c>
      <c r="F102" s="336">
        <v>3360</v>
      </c>
      <c r="G102" s="336"/>
      <c r="H102" s="468">
        <f t="shared" si="2"/>
        <v>0</v>
      </c>
      <c r="I102" s="339"/>
      <c r="J102" s="339" t="s">
        <v>352</v>
      </c>
    </row>
    <row r="103" spans="1:10">
      <c r="A103" s="338">
        <v>17</v>
      </c>
      <c r="B103" s="474" t="s">
        <v>42</v>
      </c>
      <c r="C103" s="475" t="s">
        <v>346</v>
      </c>
      <c r="D103" s="336">
        <v>4152.5</v>
      </c>
      <c r="E103" s="336">
        <v>0</v>
      </c>
      <c r="F103" s="336">
        <v>1029.5999999999999</v>
      </c>
      <c r="G103" s="336"/>
      <c r="H103" s="468">
        <f t="shared" si="2"/>
        <v>3122.9</v>
      </c>
      <c r="I103" s="339"/>
      <c r="J103" s="339" t="s">
        <v>42</v>
      </c>
    </row>
    <row r="104" spans="1:10">
      <c r="A104" s="338">
        <v>18</v>
      </c>
      <c r="B104" s="474" t="s">
        <v>41</v>
      </c>
      <c r="C104" s="475" t="s">
        <v>346</v>
      </c>
      <c r="D104" s="336">
        <v>2065</v>
      </c>
      <c r="E104" s="336">
        <v>0</v>
      </c>
      <c r="F104" s="336">
        <v>928</v>
      </c>
      <c r="G104" s="336"/>
      <c r="H104" s="468">
        <f t="shared" si="2"/>
        <v>1137</v>
      </c>
      <c r="I104" s="339"/>
      <c r="J104" s="339" t="s">
        <v>41</v>
      </c>
    </row>
    <row r="105" spans="1:10">
      <c r="A105" s="338">
        <v>19</v>
      </c>
      <c r="B105" s="474" t="s">
        <v>43</v>
      </c>
      <c r="C105" s="475" t="s">
        <v>346</v>
      </c>
      <c r="D105" s="336">
        <v>1680.5</v>
      </c>
      <c r="E105" s="336">
        <v>0</v>
      </c>
      <c r="F105" s="336">
        <v>0</v>
      </c>
      <c r="G105" s="336"/>
      <c r="H105" s="468">
        <f t="shared" si="2"/>
        <v>1680.5</v>
      </c>
      <c r="I105" s="339"/>
      <c r="J105" s="339" t="s">
        <v>43</v>
      </c>
    </row>
    <row r="106" spans="1:10">
      <c r="A106" s="338">
        <v>20</v>
      </c>
      <c r="B106" s="474" t="s">
        <v>63</v>
      </c>
      <c r="C106" s="475" t="s">
        <v>346</v>
      </c>
      <c r="D106" s="336">
        <v>41.599999999999909</v>
      </c>
      <c r="E106" s="336">
        <v>2628.9999999999995</v>
      </c>
      <c r="F106" s="336">
        <v>2628.9999999999995</v>
      </c>
      <c r="G106" s="336"/>
      <c r="H106" s="468">
        <f t="shared" si="2"/>
        <v>41.599999999999909</v>
      </c>
      <c r="I106" s="339"/>
      <c r="J106" s="339" t="s">
        <v>63</v>
      </c>
    </row>
    <row r="107" spans="1:10">
      <c r="A107" s="338">
        <v>21</v>
      </c>
      <c r="B107" s="474" t="s">
        <v>45</v>
      </c>
      <c r="C107" s="475" t="s">
        <v>346</v>
      </c>
      <c r="D107" s="336">
        <v>1000</v>
      </c>
      <c r="E107" s="336">
        <v>0</v>
      </c>
      <c r="F107" s="336">
        <v>18</v>
      </c>
      <c r="G107" s="336"/>
      <c r="H107" s="468">
        <f t="shared" si="2"/>
        <v>982</v>
      </c>
      <c r="I107" s="339"/>
      <c r="J107" s="339" t="s">
        <v>45</v>
      </c>
    </row>
    <row r="108" spans="1:10">
      <c r="A108" s="338">
        <v>22</v>
      </c>
      <c r="B108" s="474" t="s">
        <v>47</v>
      </c>
      <c r="C108" s="475" t="s">
        <v>346</v>
      </c>
      <c r="D108" s="336">
        <v>100</v>
      </c>
      <c r="E108" s="336">
        <v>0</v>
      </c>
      <c r="F108" s="336">
        <v>0</v>
      </c>
      <c r="G108" s="336"/>
      <c r="H108" s="468">
        <f t="shared" si="2"/>
        <v>100</v>
      </c>
      <c r="I108" s="339"/>
      <c r="J108" s="339" t="s">
        <v>47</v>
      </c>
    </row>
    <row r="109" spans="1:10">
      <c r="A109" s="338">
        <v>23</v>
      </c>
      <c r="B109" s="474" t="s">
        <v>48</v>
      </c>
      <c r="C109" s="475" t="s">
        <v>346</v>
      </c>
      <c r="D109" s="336">
        <v>13.960000000000036</v>
      </c>
      <c r="E109" s="336">
        <v>0</v>
      </c>
      <c r="F109" s="336">
        <v>0</v>
      </c>
      <c r="G109" s="336"/>
      <c r="H109" s="468">
        <f t="shared" si="2"/>
        <v>13.960000000000036</v>
      </c>
      <c r="I109" s="339"/>
      <c r="J109" s="339" t="s">
        <v>48</v>
      </c>
    </row>
    <row r="110" spans="1:10">
      <c r="A110" s="338">
        <v>24</v>
      </c>
      <c r="B110" s="474" t="s">
        <v>103</v>
      </c>
      <c r="C110" s="475" t="s">
        <v>346</v>
      </c>
      <c r="D110" s="336">
        <v>1212</v>
      </c>
      <c r="E110" s="336">
        <v>0</v>
      </c>
      <c r="F110" s="336">
        <v>616</v>
      </c>
      <c r="G110" s="336"/>
      <c r="H110" s="468">
        <f t="shared" si="2"/>
        <v>596</v>
      </c>
      <c r="I110" s="339"/>
      <c r="J110" s="339" t="s">
        <v>103</v>
      </c>
    </row>
    <row r="111" spans="1:10">
      <c r="A111" s="338">
        <v>25</v>
      </c>
      <c r="B111" s="474" t="s">
        <v>104</v>
      </c>
      <c r="C111" s="475" t="s">
        <v>346</v>
      </c>
      <c r="D111" s="336">
        <v>400</v>
      </c>
      <c r="E111" s="336">
        <v>0</v>
      </c>
      <c r="F111" s="336">
        <v>0</v>
      </c>
      <c r="G111" s="336"/>
      <c r="H111" s="468">
        <f t="shared" si="2"/>
        <v>400</v>
      </c>
      <c r="I111" s="339"/>
      <c r="J111" s="339"/>
    </row>
    <row r="112" spans="1:10">
      <c r="A112" s="338">
        <v>26</v>
      </c>
      <c r="B112" s="474" t="s">
        <v>51</v>
      </c>
      <c r="C112" s="475" t="s">
        <v>346</v>
      </c>
      <c r="D112" s="336">
        <v>207.6</v>
      </c>
      <c r="E112" s="336">
        <v>0</v>
      </c>
      <c r="F112" s="336">
        <v>0</v>
      </c>
      <c r="G112" s="336"/>
      <c r="H112" s="468">
        <f t="shared" si="2"/>
        <v>207.6</v>
      </c>
      <c r="I112" s="339"/>
      <c r="J112" s="339" t="s">
        <v>51</v>
      </c>
    </row>
    <row r="113" spans="1:10">
      <c r="A113" s="338">
        <v>27</v>
      </c>
      <c r="B113" s="474" t="s">
        <v>52</v>
      </c>
      <c r="C113" s="475" t="s">
        <v>346</v>
      </c>
      <c r="D113" s="336">
        <v>147.04000000000002</v>
      </c>
      <c r="E113" s="336">
        <v>0</v>
      </c>
      <c r="F113" s="336">
        <v>0</v>
      </c>
      <c r="G113" s="336"/>
      <c r="H113" s="468">
        <f t="shared" si="2"/>
        <v>147.04000000000002</v>
      </c>
      <c r="I113" s="339"/>
      <c r="J113" s="339" t="s">
        <v>52</v>
      </c>
    </row>
    <row r="114" spans="1:10">
      <c r="A114" s="338">
        <v>28</v>
      </c>
      <c r="B114" s="474" t="s">
        <v>53</v>
      </c>
      <c r="C114" s="475" t="s">
        <v>346</v>
      </c>
      <c r="D114" s="336">
        <v>46.8</v>
      </c>
      <c r="E114" s="336">
        <v>0</v>
      </c>
      <c r="F114" s="336">
        <v>0</v>
      </c>
      <c r="G114" s="336"/>
      <c r="H114" s="468">
        <f t="shared" si="2"/>
        <v>46.8</v>
      </c>
      <c r="I114" s="339"/>
      <c r="J114" s="339" t="s">
        <v>53</v>
      </c>
    </row>
    <row r="115" spans="1:10">
      <c r="A115" s="338">
        <v>29</v>
      </c>
      <c r="B115" s="474" t="s">
        <v>55</v>
      </c>
      <c r="C115" s="475" t="s">
        <v>346</v>
      </c>
      <c r="D115" s="336">
        <v>0</v>
      </c>
      <c r="E115" s="336">
        <v>125</v>
      </c>
      <c r="F115" s="336">
        <v>100.8</v>
      </c>
      <c r="G115" s="336"/>
      <c r="H115" s="468">
        <f t="shared" si="2"/>
        <v>24.200000000000003</v>
      </c>
      <c r="I115" s="339"/>
      <c r="J115" s="339"/>
    </row>
    <row r="116" spans="1:10">
      <c r="A116" s="338">
        <v>30</v>
      </c>
      <c r="B116" s="474" t="s">
        <v>56</v>
      </c>
      <c r="C116" s="475" t="s">
        <v>346</v>
      </c>
      <c r="D116" s="336">
        <v>0</v>
      </c>
      <c r="E116" s="336">
        <v>200</v>
      </c>
      <c r="F116" s="336">
        <v>168</v>
      </c>
      <c r="G116" s="336"/>
      <c r="H116" s="468">
        <f t="shared" si="2"/>
        <v>32</v>
      </c>
      <c r="I116" s="339"/>
      <c r="J116" s="339"/>
    </row>
    <row r="117" spans="1:10">
      <c r="A117" s="338"/>
      <c r="B117" s="474"/>
      <c r="C117" s="475"/>
      <c r="D117" s="336"/>
      <c r="E117" s="336"/>
      <c r="F117" s="336"/>
      <c r="G117" s="336"/>
      <c r="H117" s="336"/>
      <c r="I117" s="339"/>
      <c r="J117" s="339"/>
    </row>
    <row r="118" spans="1:10">
      <c r="A118" s="338"/>
      <c r="B118" s="467" t="s">
        <v>348</v>
      </c>
      <c r="C118" s="475"/>
      <c r="D118" s="336"/>
      <c r="E118" s="336"/>
      <c r="F118" s="336"/>
      <c r="G118" s="336"/>
      <c r="H118" s="336"/>
      <c r="I118" s="339"/>
      <c r="J118" s="339"/>
    </row>
    <row r="119" spans="1:10">
      <c r="A119" s="338">
        <v>1</v>
      </c>
      <c r="B119" s="474" t="s">
        <v>65</v>
      </c>
      <c r="C119" s="475" t="s">
        <v>349</v>
      </c>
      <c r="D119" s="336">
        <v>3889</v>
      </c>
      <c r="E119" s="336">
        <v>0</v>
      </c>
      <c r="F119" s="336">
        <v>1572</v>
      </c>
      <c r="G119" s="336"/>
      <c r="H119" s="468">
        <f t="shared" ref="H119:H124" si="4">D119+E119-F119+G119</f>
        <v>2317</v>
      </c>
      <c r="I119" s="339"/>
      <c r="J119" s="339"/>
    </row>
    <row r="120" spans="1:10">
      <c r="A120" s="338">
        <v>2</v>
      </c>
      <c r="B120" s="474" t="s">
        <v>66</v>
      </c>
      <c r="C120" s="475" t="s">
        <v>349</v>
      </c>
      <c r="D120" s="336">
        <v>0</v>
      </c>
      <c r="E120" s="336">
        <v>8000</v>
      </c>
      <c r="F120" s="336">
        <v>7224</v>
      </c>
      <c r="G120" s="336"/>
      <c r="H120" s="468">
        <f t="shared" si="4"/>
        <v>776</v>
      </c>
      <c r="I120" s="339"/>
      <c r="J120" s="339"/>
    </row>
    <row r="121" spans="1:10">
      <c r="A121" s="338">
        <v>3</v>
      </c>
      <c r="B121" s="474" t="s">
        <v>67</v>
      </c>
      <c r="C121" s="475" t="s">
        <v>349</v>
      </c>
      <c r="D121" s="336">
        <v>6349</v>
      </c>
      <c r="E121" s="336">
        <v>8519</v>
      </c>
      <c r="F121" s="336">
        <v>1606</v>
      </c>
      <c r="G121" s="336">
        <v>193</v>
      </c>
      <c r="H121" s="468">
        <f t="shared" si="4"/>
        <v>13455</v>
      </c>
      <c r="I121" s="339"/>
      <c r="J121" s="339"/>
    </row>
    <row r="122" spans="1:10">
      <c r="A122" s="338">
        <v>4</v>
      </c>
      <c r="B122" s="474" t="s">
        <v>68</v>
      </c>
      <c r="C122" s="475" t="s">
        <v>349</v>
      </c>
      <c r="D122" s="336">
        <v>5989</v>
      </c>
      <c r="E122" s="336">
        <v>2000</v>
      </c>
      <c r="F122" s="336">
        <v>6508</v>
      </c>
      <c r="G122" s="336"/>
      <c r="H122" s="521">
        <f t="shared" si="4"/>
        <v>1481</v>
      </c>
      <c r="I122" s="339"/>
      <c r="J122" s="339"/>
    </row>
    <row r="123" spans="1:10">
      <c r="A123" s="338">
        <v>5</v>
      </c>
      <c r="B123" s="474" t="s">
        <v>69</v>
      </c>
      <c r="C123" s="475" t="s">
        <v>349</v>
      </c>
      <c r="D123" s="336">
        <v>1901</v>
      </c>
      <c r="E123" s="336">
        <v>0</v>
      </c>
      <c r="F123" s="336">
        <v>0</v>
      </c>
      <c r="G123" s="336"/>
      <c r="H123" s="468">
        <f t="shared" si="4"/>
        <v>1901</v>
      </c>
      <c r="I123" s="339"/>
      <c r="J123" s="339"/>
    </row>
    <row r="124" spans="1:10">
      <c r="A124" s="338">
        <v>6</v>
      </c>
      <c r="B124" s="474" t="s">
        <v>70</v>
      </c>
      <c r="C124" s="475" t="s">
        <v>349</v>
      </c>
      <c r="D124" s="336">
        <v>6459</v>
      </c>
      <c r="E124" s="336">
        <v>0</v>
      </c>
      <c r="F124" s="336">
        <v>0</v>
      </c>
      <c r="G124" s="336"/>
      <c r="H124" s="468">
        <f t="shared" si="4"/>
        <v>6459</v>
      </c>
      <c r="I124" s="339"/>
      <c r="J124" s="339"/>
    </row>
    <row r="125" spans="1:10">
      <c r="A125" s="338"/>
      <c r="B125" s="474"/>
      <c r="C125" s="475"/>
      <c r="D125" s="336"/>
      <c r="E125" s="336"/>
      <c r="F125" s="336"/>
      <c r="G125" s="336"/>
      <c r="H125" s="336"/>
      <c r="I125" s="339"/>
      <c r="J125" s="339"/>
    </row>
    <row r="126" spans="1:10" ht="13.9" thickBot="1">
      <c r="A126" s="338"/>
      <c r="B126" s="467" t="s">
        <v>72</v>
      </c>
      <c r="C126" s="298"/>
      <c r="D126" s="469">
        <f t="shared" ref="D126:G126" si="5">SUM(D72:D125)</f>
        <v>270314.19999999995</v>
      </c>
      <c r="E126" s="469">
        <f t="shared" si="5"/>
        <v>1749460.88</v>
      </c>
      <c r="F126" s="469">
        <f t="shared" si="5"/>
        <v>1514463.68</v>
      </c>
      <c r="G126" s="469">
        <f t="shared" si="5"/>
        <v>28125.7</v>
      </c>
      <c r="H126" s="469">
        <f>SUM(H72:H125)</f>
        <v>533437.09999999986</v>
      </c>
      <c r="I126" s="339"/>
      <c r="J126" s="339"/>
    </row>
    <row r="127" spans="1:10" ht="13.9" thickTop="1">
      <c r="A127" s="496"/>
      <c r="B127" s="329"/>
      <c r="C127" s="473"/>
      <c r="D127" s="339"/>
      <c r="E127" s="339"/>
      <c r="F127" s="339"/>
      <c r="G127" s="339"/>
      <c r="H127" s="339"/>
      <c r="I127" s="339"/>
      <c r="J127" s="339"/>
    </row>
    <row r="129" spans="2:4">
      <c r="B129" s="472" t="s">
        <v>321</v>
      </c>
      <c r="C129" s="473"/>
      <c r="D129" s="339"/>
    </row>
    <row r="131" spans="2:4">
      <c r="B131" s="472" t="s">
        <v>353</v>
      </c>
      <c r="C131" s="473"/>
      <c r="D131" s="339"/>
    </row>
    <row r="132" spans="2:4">
      <c r="B132" s="474" t="s">
        <v>67</v>
      </c>
      <c r="C132" s="475" t="s">
        <v>349</v>
      </c>
      <c r="D132" s="336">
        <v>193</v>
      </c>
    </row>
    <row r="133" spans="2:4">
      <c r="B133" s="329" t="s">
        <v>354</v>
      </c>
      <c r="C133" s="473"/>
      <c r="D133" s="339"/>
    </row>
    <row r="134" spans="2:4">
      <c r="B134" s="329"/>
      <c r="C134" s="473"/>
      <c r="D134" s="339"/>
    </row>
    <row r="135" spans="2:4">
      <c r="B135" s="474" t="s">
        <v>13</v>
      </c>
      <c r="C135" s="475" t="s">
        <v>346</v>
      </c>
      <c r="D135" s="336">
        <v>28080</v>
      </c>
    </row>
    <row r="136" spans="2:4">
      <c r="B136" s="329" t="s">
        <v>363</v>
      </c>
      <c r="C136" s="477"/>
      <c r="D136" s="515"/>
    </row>
    <row r="137" spans="2:4">
      <c r="B137" s="329" t="s">
        <v>373</v>
      </c>
      <c r="C137" s="477"/>
      <c r="D137" s="515"/>
    </row>
    <row r="138" spans="2:4">
      <c r="B138" s="329"/>
      <c r="C138" s="473"/>
      <c r="D138" s="339"/>
    </row>
    <row r="139" spans="2:4">
      <c r="B139" s="472" t="s">
        <v>357</v>
      </c>
      <c r="C139" s="473"/>
      <c r="D139" s="339"/>
    </row>
    <row r="140" spans="2:4">
      <c r="B140" s="474" t="s">
        <v>21</v>
      </c>
      <c r="C140" s="475" t="s">
        <v>346</v>
      </c>
      <c r="D140" s="336">
        <v>-147.30000000000001</v>
      </c>
    </row>
    <row r="141" spans="2:4">
      <c r="B141" s="329" t="s">
        <v>354</v>
      </c>
      <c r="C141" s="473"/>
      <c r="D141" s="339"/>
    </row>
    <row r="146" spans="1:9">
      <c r="A146" s="496"/>
      <c r="B146" s="329" t="s">
        <v>358</v>
      </c>
      <c r="C146" s="473"/>
      <c r="D146" s="339"/>
      <c r="E146" s="339"/>
      <c r="F146" s="339"/>
      <c r="G146" s="339" t="s">
        <v>359</v>
      </c>
      <c r="H146" s="339"/>
      <c r="I146" s="339"/>
    </row>
    <row r="149" spans="1:9">
      <c r="A149" s="496"/>
      <c r="B149" s="329"/>
      <c r="C149" s="473"/>
      <c r="D149" s="339"/>
      <c r="E149" s="339"/>
      <c r="F149" s="339"/>
      <c r="G149" s="339"/>
      <c r="H149" s="519" t="s">
        <v>370</v>
      </c>
      <c r="I149" s="522" t="s">
        <v>374</v>
      </c>
    </row>
    <row r="150" spans="1:9">
      <c r="A150" s="338"/>
      <c r="B150" s="467" t="s">
        <v>321</v>
      </c>
      <c r="C150" s="475"/>
      <c r="D150" s="336"/>
      <c r="E150" s="336"/>
      <c r="F150" s="336"/>
      <c r="G150" s="336"/>
      <c r="H150" s="336"/>
      <c r="I150" s="339"/>
    </row>
    <row r="151" spans="1:9">
      <c r="A151" s="338" t="s">
        <v>331</v>
      </c>
      <c r="B151" s="474" t="s">
        <v>332</v>
      </c>
      <c r="C151" s="475" t="s">
        <v>333</v>
      </c>
      <c r="D151" s="475" t="s">
        <v>334</v>
      </c>
      <c r="E151" s="475" t="s">
        <v>335</v>
      </c>
      <c r="F151" s="475" t="s">
        <v>166</v>
      </c>
      <c r="G151" s="475" t="s">
        <v>168</v>
      </c>
      <c r="H151" s="475" t="s">
        <v>336</v>
      </c>
      <c r="I151" s="339"/>
    </row>
    <row r="152" spans="1:9">
      <c r="A152" s="338"/>
      <c r="B152" s="467" t="s">
        <v>345</v>
      </c>
      <c r="C152" s="475"/>
      <c r="D152" s="336"/>
      <c r="E152" s="336"/>
      <c r="F152" s="336"/>
      <c r="G152" s="336"/>
      <c r="H152" s="336"/>
      <c r="I152" s="339"/>
    </row>
    <row r="153" spans="1:9">
      <c r="A153" s="338">
        <v>1</v>
      </c>
      <c r="B153" s="474" t="s">
        <v>7</v>
      </c>
      <c r="C153" s="475" t="s">
        <v>346</v>
      </c>
      <c r="D153" s="336">
        <v>27839.999999999964</v>
      </c>
      <c r="E153" s="336">
        <v>940890</v>
      </c>
      <c r="F153" s="336">
        <v>800361.60000000009</v>
      </c>
      <c r="G153" s="336"/>
      <c r="H153" s="468">
        <f t="shared" ref="H153:H165" si="6">D153+E153-F153+G153</f>
        <v>168368.39999999991</v>
      </c>
      <c r="I153" s="339">
        <v>27840</v>
      </c>
    </row>
    <row r="154" spans="1:9">
      <c r="A154" s="338">
        <v>2</v>
      </c>
      <c r="B154" s="474" t="s">
        <v>8</v>
      </c>
      <c r="C154" s="475" t="s">
        <v>346</v>
      </c>
      <c r="D154" s="336">
        <v>-669.99999999992997</v>
      </c>
      <c r="E154" s="336">
        <f>397200-670</f>
        <v>396530</v>
      </c>
      <c r="F154" s="336">
        <v>333254.19999999995</v>
      </c>
      <c r="G154" s="336">
        <v>670</v>
      </c>
      <c r="H154" s="468">
        <f t="shared" si="6"/>
        <v>63275.800000000105</v>
      </c>
      <c r="I154" s="339">
        <v>-669.99999999992997</v>
      </c>
    </row>
    <row r="155" spans="1:9">
      <c r="A155" s="338">
        <v>3</v>
      </c>
      <c r="B155" s="474" t="s">
        <v>9</v>
      </c>
      <c r="C155" s="475" t="s">
        <v>346</v>
      </c>
      <c r="D155" s="336">
        <v>20018.399999999969</v>
      </c>
      <c r="E155" s="336">
        <v>105360</v>
      </c>
      <c r="F155" s="336">
        <v>94361.2</v>
      </c>
      <c r="G155" s="336"/>
      <c r="H155" s="468">
        <f t="shared" si="6"/>
        <v>31017.199999999968</v>
      </c>
      <c r="I155" s="339">
        <v>20018.39999999998</v>
      </c>
    </row>
    <row r="156" spans="1:9">
      <c r="A156" s="338">
        <v>4</v>
      </c>
      <c r="B156" s="474" t="s">
        <v>10</v>
      </c>
      <c r="C156" s="475" t="s">
        <v>346</v>
      </c>
      <c r="D156" s="336">
        <v>26292.700000000019</v>
      </c>
      <c r="E156" s="336">
        <v>27580</v>
      </c>
      <c r="F156" s="336">
        <v>40840.200000000004</v>
      </c>
      <c r="G156" s="336"/>
      <c r="H156" s="468">
        <f t="shared" si="6"/>
        <v>13032.500000000015</v>
      </c>
      <c r="I156" s="339">
        <v>26292.700000000019</v>
      </c>
    </row>
    <row r="157" spans="1:9">
      <c r="A157" s="338">
        <v>5</v>
      </c>
      <c r="B157" s="474" t="s">
        <v>12</v>
      </c>
      <c r="C157" s="475" t="s">
        <v>346</v>
      </c>
      <c r="D157" s="336">
        <v>17386.69999999999</v>
      </c>
      <c r="E157" s="336">
        <v>29980</v>
      </c>
      <c r="F157" s="336">
        <v>9979.5000000000018</v>
      </c>
      <c r="G157" s="336"/>
      <c r="H157" s="468">
        <f t="shared" si="6"/>
        <v>37387.19999999999</v>
      </c>
      <c r="I157" s="339">
        <v>17386.699999999983</v>
      </c>
    </row>
    <row r="158" spans="1:9">
      <c r="A158" s="338">
        <v>6</v>
      </c>
      <c r="B158" s="474" t="s">
        <v>13</v>
      </c>
      <c r="C158" s="475" t="s">
        <v>346</v>
      </c>
      <c r="D158" s="336">
        <v>0</v>
      </c>
      <c r="E158" s="336">
        <f>78817.4-28080</f>
        <v>50737.399999999994</v>
      </c>
      <c r="F158" s="336">
        <v>49280.200000000004</v>
      </c>
      <c r="G158" s="336">
        <v>28080</v>
      </c>
      <c r="H158" s="468">
        <f t="shared" si="6"/>
        <v>29537.19999999999</v>
      </c>
      <c r="I158" s="339">
        <v>0</v>
      </c>
    </row>
    <row r="159" spans="1:9">
      <c r="A159" s="338">
        <v>7</v>
      </c>
      <c r="B159" s="474" t="s">
        <v>350</v>
      </c>
      <c r="C159" s="475" t="s">
        <v>346</v>
      </c>
      <c r="D159" s="336">
        <v>0</v>
      </c>
      <c r="E159" s="336">
        <v>30613.599999999999</v>
      </c>
      <c r="F159" s="336">
        <v>30613.599999999999</v>
      </c>
      <c r="G159" s="336"/>
      <c r="H159" s="468">
        <f t="shared" si="6"/>
        <v>0</v>
      </c>
      <c r="I159" s="339">
        <v>0</v>
      </c>
    </row>
    <row r="160" spans="1:9">
      <c r="A160" s="338">
        <v>8</v>
      </c>
      <c r="B160" s="474" t="s">
        <v>15</v>
      </c>
      <c r="C160" s="475" t="s">
        <v>346</v>
      </c>
      <c r="D160" s="336">
        <v>11812.9</v>
      </c>
      <c r="E160" s="336">
        <v>0</v>
      </c>
      <c r="F160" s="336">
        <v>5964.1</v>
      </c>
      <c r="G160" s="336"/>
      <c r="H160" s="468">
        <f t="shared" si="6"/>
        <v>5848.7999999999993</v>
      </c>
      <c r="I160" s="339">
        <v>11812.900000000001</v>
      </c>
    </row>
    <row r="161" spans="1:10">
      <c r="A161" s="338">
        <v>9</v>
      </c>
      <c r="B161" s="474" t="s">
        <v>351</v>
      </c>
      <c r="C161" s="475" t="s">
        <v>346</v>
      </c>
      <c r="D161" s="336">
        <v>0</v>
      </c>
      <c r="E161" s="336">
        <v>12106.88</v>
      </c>
      <c r="F161" s="336">
        <v>12106.88</v>
      </c>
      <c r="G161" s="336"/>
      <c r="H161" s="468">
        <f t="shared" si="6"/>
        <v>0</v>
      </c>
      <c r="I161" s="339">
        <v>0</v>
      </c>
      <c r="J161" s="339"/>
    </row>
    <row r="162" spans="1:10">
      <c r="A162" s="338">
        <v>10</v>
      </c>
      <c r="B162" s="474" t="s">
        <v>18</v>
      </c>
      <c r="C162" s="475" t="s">
        <v>346</v>
      </c>
      <c r="D162" s="336">
        <v>31869.7</v>
      </c>
      <c r="E162" s="336">
        <v>35420</v>
      </c>
      <c r="F162" s="336">
        <v>43131.399999999994</v>
      </c>
      <c r="G162" s="336"/>
      <c r="H162" s="468">
        <f t="shared" si="6"/>
        <v>24158.300000000003</v>
      </c>
      <c r="I162" s="339">
        <v>31869.699999999997</v>
      </c>
      <c r="J162" s="339"/>
    </row>
    <row r="163" spans="1:10">
      <c r="A163" s="338">
        <v>11</v>
      </c>
      <c r="B163" s="474" t="s">
        <v>19</v>
      </c>
      <c r="C163" s="475" t="s">
        <v>346</v>
      </c>
      <c r="D163" s="336">
        <v>6658.9999999999945</v>
      </c>
      <c r="E163" s="336">
        <v>68870</v>
      </c>
      <c r="F163" s="336">
        <v>32589.4</v>
      </c>
      <c r="G163" s="336"/>
      <c r="H163" s="468">
        <f t="shared" si="6"/>
        <v>42939.6</v>
      </c>
      <c r="I163" s="339">
        <v>6658.9999999999927</v>
      </c>
      <c r="J163" s="339"/>
    </row>
    <row r="164" spans="1:10">
      <c r="A164" s="338">
        <v>12</v>
      </c>
      <c r="B164" s="474" t="s">
        <v>20</v>
      </c>
      <c r="C164" s="475" t="s">
        <v>346</v>
      </c>
      <c r="D164" s="336">
        <v>7150</v>
      </c>
      <c r="E164" s="336">
        <v>0</v>
      </c>
      <c r="F164" s="336">
        <v>1350</v>
      </c>
      <c r="G164" s="336"/>
      <c r="H164" s="468">
        <f t="shared" si="6"/>
        <v>5800</v>
      </c>
      <c r="I164" s="339">
        <v>7150</v>
      </c>
      <c r="J164" s="339"/>
    </row>
    <row r="165" spans="1:10">
      <c r="A165" s="338">
        <v>13</v>
      </c>
      <c r="B165" s="474" t="s">
        <v>21</v>
      </c>
      <c r="C165" s="475" t="s">
        <v>346</v>
      </c>
      <c r="D165" s="336">
        <v>1847.3000000000002</v>
      </c>
      <c r="E165" s="336">
        <v>0</v>
      </c>
      <c r="F165" s="336">
        <f>1847.3-147.3</f>
        <v>1700</v>
      </c>
      <c r="G165" s="336">
        <v>-147.30000000000001</v>
      </c>
      <c r="H165" s="468">
        <f t="shared" si="6"/>
        <v>0</v>
      </c>
      <c r="I165" s="339">
        <v>1847.3000000000002</v>
      </c>
      <c r="J165" s="339"/>
    </row>
    <row r="166" spans="1:10">
      <c r="A166" s="338"/>
      <c r="B166" s="474"/>
      <c r="C166" s="475"/>
      <c r="D166" s="336"/>
      <c r="E166" s="336"/>
      <c r="F166" s="336"/>
      <c r="G166" s="336"/>
      <c r="H166" s="336"/>
      <c r="I166" s="339"/>
      <c r="J166" s="339"/>
    </row>
    <row r="167" spans="1:10">
      <c r="A167" s="338"/>
      <c r="B167" s="467" t="s">
        <v>347</v>
      </c>
      <c r="C167" s="475"/>
      <c r="D167" s="336"/>
      <c r="E167" s="336"/>
      <c r="F167" s="336"/>
      <c r="G167" s="336"/>
      <c r="H167" s="336"/>
      <c r="I167" s="339"/>
      <c r="J167" s="339"/>
    </row>
    <row r="168" spans="1:10">
      <c r="A168" s="338">
        <v>1</v>
      </c>
      <c r="B168" s="474" t="s">
        <v>23</v>
      </c>
      <c r="C168" s="475" t="s">
        <v>346</v>
      </c>
      <c r="D168" s="336">
        <v>1980</v>
      </c>
      <c r="E168" s="336">
        <v>1980</v>
      </c>
      <c r="F168" s="336">
        <v>1840</v>
      </c>
      <c r="G168" s="336"/>
      <c r="H168" s="468">
        <f t="shared" ref="H168:H197" si="7">D168+E168-F168+G168</f>
        <v>2120</v>
      </c>
      <c r="I168" s="339">
        <v>1980</v>
      </c>
      <c r="J168" s="339"/>
    </row>
    <row r="169" spans="1:10">
      <c r="A169" s="338">
        <v>2</v>
      </c>
      <c r="B169" s="474" t="s">
        <v>24</v>
      </c>
      <c r="C169" s="475" t="s">
        <v>346</v>
      </c>
      <c r="D169" s="336">
        <v>2000</v>
      </c>
      <c r="E169" s="336">
        <v>8000</v>
      </c>
      <c r="F169" s="336">
        <v>6360</v>
      </c>
      <c r="G169" s="336"/>
      <c r="H169" s="468">
        <f t="shared" si="7"/>
        <v>3640</v>
      </c>
      <c r="I169" s="339">
        <v>2000</v>
      </c>
      <c r="J169" s="339"/>
    </row>
    <row r="170" spans="1:10">
      <c r="A170" s="338">
        <v>3</v>
      </c>
      <c r="B170" s="474" t="s">
        <v>25</v>
      </c>
      <c r="C170" s="475" t="s">
        <v>346</v>
      </c>
      <c r="D170" s="336">
        <v>4800</v>
      </c>
      <c r="E170" s="336">
        <v>0</v>
      </c>
      <c r="F170" s="336">
        <v>2720</v>
      </c>
      <c r="G170" s="336"/>
      <c r="H170" s="468">
        <f t="shared" si="7"/>
        <v>2080</v>
      </c>
      <c r="I170" s="339">
        <v>4800</v>
      </c>
      <c r="J170" s="339"/>
    </row>
    <row r="171" spans="1:10">
      <c r="A171" s="338">
        <v>4</v>
      </c>
      <c r="B171" s="474" t="s">
        <v>28</v>
      </c>
      <c r="C171" s="475" t="s">
        <v>346</v>
      </c>
      <c r="D171" s="336">
        <v>5120</v>
      </c>
      <c r="E171" s="336">
        <v>2000</v>
      </c>
      <c r="F171" s="336">
        <v>760</v>
      </c>
      <c r="G171" s="336"/>
      <c r="H171" s="468">
        <f t="shared" si="7"/>
        <v>6360</v>
      </c>
      <c r="I171" s="339">
        <v>5120</v>
      </c>
      <c r="J171" s="339">
        <f>H171/20</f>
        <v>318</v>
      </c>
    </row>
    <row r="172" spans="1:10">
      <c r="A172" s="338">
        <v>5</v>
      </c>
      <c r="B172" s="474" t="s">
        <v>29</v>
      </c>
      <c r="C172" s="475" t="s">
        <v>346</v>
      </c>
      <c r="D172" s="336">
        <v>6540</v>
      </c>
      <c r="E172" s="336">
        <v>0</v>
      </c>
      <c r="F172" s="336">
        <v>0</v>
      </c>
      <c r="G172" s="336"/>
      <c r="H172" s="468">
        <f t="shared" si="7"/>
        <v>6540</v>
      </c>
      <c r="I172" s="339">
        <v>6540</v>
      </c>
      <c r="J172" s="339"/>
    </row>
    <row r="173" spans="1:10">
      <c r="A173" s="338">
        <v>6</v>
      </c>
      <c r="B173" s="474" t="s">
        <v>30</v>
      </c>
      <c r="C173" s="475" t="s">
        <v>346</v>
      </c>
      <c r="D173" s="336">
        <v>11540</v>
      </c>
      <c r="E173" s="336">
        <v>0</v>
      </c>
      <c r="F173" s="336">
        <v>0</v>
      </c>
      <c r="G173" s="336"/>
      <c r="H173" s="468">
        <f t="shared" si="7"/>
        <v>11540</v>
      </c>
      <c r="I173" s="339">
        <v>11540</v>
      </c>
      <c r="J173" s="339"/>
    </row>
    <row r="174" spans="1:10">
      <c r="A174" s="338">
        <v>7</v>
      </c>
      <c r="B174" s="474" t="s">
        <v>31</v>
      </c>
      <c r="C174" s="475" t="s">
        <v>346</v>
      </c>
      <c r="D174" s="336">
        <v>15120</v>
      </c>
      <c r="E174" s="336">
        <v>0</v>
      </c>
      <c r="F174" s="336">
        <v>0</v>
      </c>
      <c r="G174" s="336"/>
      <c r="H174" s="468">
        <f t="shared" si="7"/>
        <v>15120</v>
      </c>
      <c r="I174" s="339">
        <v>15120</v>
      </c>
      <c r="J174" s="339"/>
    </row>
    <row r="175" spans="1:10">
      <c r="A175" s="338">
        <v>8</v>
      </c>
      <c r="B175" s="474" t="s">
        <v>32</v>
      </c>
      <c r="C175" s="475" t="s">
        <v>346</v>
      </c>
      <c r="D175" s="336">
        <v>5040</v>
      </c>
      <c r="E175" s="336">
        <v>0</v>
      </c>
      <c r="F175" s="336">
        <v>3080</v>
      </c>
      <c r="G175" s="336"/>
      <c r="H175" s="468">
        <f t="shared" si="7"/>
        <v>1960</v>
      </c>
      <c r="I175" s="339">
        <v>5040</v>
      </c>
      <c r="J175" s="339"/>
    </row>
    <row r="176" spans="1:10">
      <c r="A176" s="338">
        <v>9</v>
      </c>
      <c r="B176" s="474" t="s">
        <v>33</v>
      </c>
      <c r="C176" s="475" t="s">
        <v>346</v>
      </c>
      <c r="D176" s="336">
        <v>9100</v>
      </c>
      <c r="E176" s="336">
        <v>0</v>
      </c>
      <c r="F176" s="336">
        <v>0</v>
      </c>
      <c r="G176" s="336"/>
      <c r="H176" s="468">
        <f t="shared" si="7"/>
        <v>9100</v>
      </c>
      <c r="I176" s="339">
        <v>9100</v>
      </c>
      <c r="J176" s="339"/>
    </row>
    <row r="177" spans="1:10">
      <c r="A177" s="338">
        <v>10</v>
      </c>
      <c r="B177" s="474" t="s">
        <v>34</v>
      </c>
      <c r="C177" s="475" t="s">
        <v>346</v>
      </c>
      <c r="D177" s="336">
        <v>4220</v>
      </c>
      <c r="E177" s="336">
        <v>0</v>
      </c>
      <c r="F177" s="336">
        <v>1680</v>
      </c>
      <c r="G177" s="336"/>
      <c r="H177" s="468">
        <f t="shared" si="7"/>
        <v>2540</v>
      </c>
      <c r="I177" s="339">
        <v>4220</v>
      </c>
      <c r="J177" s="339"/>
    </row>
    <row r="178" spans="1:10">
      <c r="A178" s="338">
        <v>11</v>
      </c>
      <c r="B178" s="474" t="s">
        <v>35</v>
      </c>
      <c r="C178" s="475" t="s">
        <v>346</v>
      </c>
      <c r="D178" s="336">
        <v>11446.5</v>
      </c>
      <c r="E178" s="336">
        <v>1950</v>
      </c>
      <c r="F178" s="511">
        <f>9633+3744</f>
        <v>13377</v>
      </c>
      <c r="G178" s="336"/>
      <c r="H178" s="468">
        <f t="shared" si="7"/>
        <v>19.5</v>
      </c>
      <c r="I178" s="339">
        <v>11446.5</v>
      </c>
      <c r="J178" s="339"/>
    </row>
    <row r="179" spans="1:10">
      <c r="A179" s="338">
        <v>12</v>
      </c>
      <c r="B179" s="474" t="s">
        <v>36</v>
      </c>
      <c r="C179" s="475" t="s">
        <v>346</v>
      </c>
      <c r="D179" s="336">
        <v>8996.4000000000015</v>
      </c>
      <c r="E179" s="336">
        <v>0</v>
      </c>
      <c r="F179" s="511">
        <f>4347+2570.4</f>
        <v>6917.4</v>
      </c>
      <c r="G179" s="336"/>
      <c r="H179" s="468">
        <f t="shared" si="7"/>
        <v>2079.0000000000018</v>
      </c>
      <c r="I179" s="339">
        <v>8996.4000000000015</v>
      </c>
      <c r="J179" s="339"/>
    </row>
    <row r="180" spans="1:10">
      <c r="A180" s="338">
        <v>13</v>
      </c>
      <c r="B180" s="474" t="s">
        <v>37</v>
      </c>
      <c r="C180" s="475" t="s">
        <v>346</v>
      </c>
      <c r="D180" s="336">
        <v>0</v>
      </c>
      <c r="E180" s="336">
        <v>8610</v>
      </c>
      <c r="F180" s="336">
        <v>2460</v>
      </c>
      <c r="G180" s="336"/>
      <c r="H180" s="468">
        <f t="shared" si="7"/>
        <v>6150</v>
      </c>
      <c r="I180" s="339"/>
      <c r="J180" s="339"/>
    </row>
    <row r="181" spans="1:10">
      <c r="A181" s="338">
        <v>14</v>
      </c>
      <c r="B181" s="474" t="s">
        <v>38</v>
      </c>
      <c r="C181" s="475" t="s">
        <v>346</v>
      </c>
      <c r="D181" s="336">
        <v>0</v>
      </c>
      <c r="E181" s="336">
        <v>4000</v>
      </c>
      <c r="F181" s="336">
        <v>0</v>
      </c>
      <c r="G181" s="336"/>
      <c r="H181" s="468">
        <f t="shared" si="7"/>
        <v>4000</v>
      </c>
      <c r="I181" s="339"/>
      <c r="J181" s="339"/>
    </row>
    <row r="182" spans="1:10">
      <c r="A182" s="338">
        <v>15</v>
      </c>
      <c r="B182" s="474" t="s">
        <v>39</v>
      </c>
      <c r="C182" s="475" t="s">
        <v>346</v>
      </c>
      <c r="D182" s="336">
        <v>4195</v>
      </c>
      <c r="E182" s="336">
        <v>0</v>
      </c>
      <c r="F182" s="336">
        <v>292</v>
      </c>
      <c r="G182" s="336"/>
      <c r="H182" s="468">
        <f t="shared" si="7"/>
        <v>3903</v>
      </c>
      <c r="I182" s="339">
        <v>4195</v>
      </c>
      <c r="J182" s="339" t="s">
        <v>39</v>
      </c>
    </row>
    <row r="183" spans="1:10">
      <c r="A183" s="338">
        <v>16</v>
      </c>
      <c r="B183" s="474" t="s">
        <v>352</v>
      </c>
      <c r="C183" s="475" t="s">
        <v>346</v>
      </c>
      <c r="D183" s="336">
        <v>0</v>
      </c>
      <c r="E183" s="336">
        <v>3360</v>
      </c>
      <c r="F183" s="336">
        <v>3360</v>
      </c>
      <c r="G183" s="336"/>
      <c r="H183" s="468">
        <f t="shared" si="7"/>
        <v>0</v>
      </c>
      <c r="I183" s="339">
        <v>0</v>
      </c>
      <c r="J183" s="339" t="s">
        <v>352</v>
      </c>
    </row>
    <row r="184" spans="1:10">
      <c r="A184" s="338">
        <v>17</v>
      </c>
      <c r="B184" s="474" t="s">
        <v>42</v>
      </c>
      <c r="C184" s="475" t="s">
        <v>346</v>
      </c>
      <c r="D184" s="336">
        <v>4152.5</v>
      </c>
      <c r="E184" s="336">
        <v>0</v>
      </c>
      <c r="F184" s="336">
        <v>1029.5999999999999</v>
      </c>
      <c r="G184" s="336"/>
      <c r="H184" s="468">
        <f t="shared" si="7"/>
        <v>3122.9</v>
      </c>
      <c r="I184" s="339">
        <v>4152.5</v>
      </c>
      <c r="J184" s="339" t="s">
        <v>42</v>
      </c>
    </row>
    <row r="185" spans="1:10">
      <c r="A185" s="338">
        <v>18</v>
      </c>
      <c r="B185" s="474" t="s">
        <v>41</v>
      </c>
      <c r="C185" s="475" t="s">
        <v>346</v>
      </c>
      <c r="D185" s="336">
        <v>2065</v>
      </c>
      <c r="E185" s="336">
        <v>0</v>
      </c>
      <c r="F185" s="336">
        <v>928</v>
      </c>
      <c r="G185" s="336"/>
      <c r="H185" s="468">
        <f t="shared" si="7"/>
        <v>1137</v>
      </c>
      <c r="I185" s="339">
        <v>2065</v>
      </c>
      <c r="J185" s="339" t="s">
        <v>41</v>
      </c>
    </row>
    <row r="186" spans="1:10">
      <c r="A186" s="338">
        <v>19</v>
      </c>
      <c r="B186" s="474" t="s">
        <v>43</v>
      </c>
      <c r="C186" s="475" t="s">
        <v>346</v>
      </c>
      <c r="D186" s="336">
        <v>1680.5</v>
      </c>
      <c r="E186" s="336">
        <v>0</v>
      </c>
      <c r="F186" s="336">
        <v>0</v>
      </c>
      <c r="G186" s="336"/>
      <c r="H186" s="468">
        <f t="shared" si="7"/>
        <v>1680.5</v>
      </c>
      <c r="I186" s="339">
        <v>1680.5</v>
      </c>
      <c r="J186" s="339" t="s">
        <v>43</v>
      </c>
    </row>
    <row r="187" spans="1:10">
      <c r="A187" s="338">
        <v>20</v>
      </c>
      <c r="B187" s="474" t="s">
        <v>63</v>
      </c>
      <c r="C187" s="475" t="s">
        <v>346</v>
      </c>
      <c r="D187" s="336">
        <v>41.599999999999909</v>
      </c>
      <c r="E187" s="336">
        <v>2628.9999999999995</v>
      </c>
      <c r="F187" s="336">
        <v>2628.9999999999995</v>
      </c>
      <c r="G187" s="336"/>
      <c r="H187" s="468">
        <f t="shared" si="7"/>
        <v>41.599999999999909</v>
      </c>
      <c r="I187" s="339">
        <v>41.599999999999909</v>
      </c>
      <c r="J187" s="339" t="s">
        <v>63</v>
      </c>
    </row>
    <row r="188" spans="1:10">
      <c r="A188" s="338">
        <v>21</v>
      </c>
      <c r="B188" s="474" t="s">
        <v>45</v>
      </c>
      <c r="C188" s="475" t="s">
        <v>346</v>
      </c>
      <c r="D188" s="336">
        <v>2000</v>
      </c>
      <c r="E188" s="336">
        <v>0</v>
      </c>
      <c r="F188" s="511">
        <f>18+1000</f>
        <v>1018</v>
      </c>
      <c r="G188" s="336"/>
      <c r="H188" s="468">
        <f t="shared" si="7"/>
        <v>982</v>
      </c>
      <c r="I188" s="339">
        <v>2000</v>
      </c>
      <c r="J188" s="339" t="s">
        <v>45</v>
      </c>
    </row>
    <row r="189" spans="1:10">
      <c r="A189" s="338">
        <v>22</v>
      </c>
      <c r="B189" s="474" t="s">
        <v>47</v>
      </c>
      <c r="C189" s="475" t="s">
        <v>346</v>
      </c>
      <c r="D189" s="336">
        <v>100</v>
      </c>
      <c r="E189" s="336">
        <v>0</v>
      </c>
      <c r="F189" s="336">
        <v>0</v>
      </c>
      <c r="G189" s="336"/>
      <c r="H189" s="468">
        <f t="shared" si="7"/>
        <v>100</v>
      </c>
      <c r="I189" s="339">
        <v>100</v>
      </c>
      <c r="J189" s="339" t="s">
        <v>47</v>
      </c>
    </row>
    <row r="190" spans="1:10">
      <c r="A190" s="338">
        <v>23</v>
      </c>
      <c r="B190" s="474" t="s">
        <v>48</v>
      </c>
      <c r="C190" s="475" t="s">
        <v>346</v>
      </c>
      <c r="D190" s="336">
        <v>13.960000000000036</v>
      </c>
      <c r="E190" s="336">
        <v>0</v>
      </c>
      <c r="F190" s="336">
        <v>0</v>
      </c>
      <c r="G190" s="336"/>
      <c r="H190" s="468">
        <f t="shared" si="7"/>
        <v>13.960000000000036</v>
      </c>
      <c r="I190" s="339">
        <v>13.960000000000036</v>
      </c>
      <c r="J190" s="339" t="s">
        <v>48</v>
      </c>
    </row>
    <row r="191" spans="1:10">
      <c r="A191" s="338">
        <v>24</v>
      </c>
      <c r="B191" s="474" t="s">
        <v>103</v>
      </c>
      <c r="C191" s="475" t="s">
        <v>346</v>
      </c>
      <c r="D191" s="336">
        <v>1212</v>
      </c>
      <c r="E191" s="336">
        <v>0</v>
      </c>
      <c r="F191" s="336">
        <v>616</v>
      </c>
      <c r="G191" s="336"/>
      <c r="H191" s="468">
        <f t="shared" si="7"/>
        <v>596</v>
      </c>
      <c r="I191" s="339">
        <v>1212</v>
      </c>
      <c r="J191" s="339" t="s">
        <v>103</v>
      </c>
    </row>
    <row r="192" spans="1:10">
      <c r="A192" s="338">
        <v>25</v>
      </c>
      <c r="B192" s="474" t="s">
        <v>104</v>
      </c>
      <c r="C192" s="475" t="s">
        <v>346</v>
      </c>
      <c r="D192" s="336">
        <v>0</v>
      </c>
      <c r="E192" s="511">
        <v>400</v>
      </c>
      <c r="F192" s="336">
        <v>0</v>
      </c>
      <c r="G192" s="336"/>
      <c r="H192" s="468">
        <f t="shared" si="7"/>
        <v>400</v>
      </c>
      <c r="I192" s="339"/>
      <c r="J192" s="339" t="s">
        <v>51</v>
      </c>
    </row>
    <row r="193" spans="1:10">
      <c r="A193" s="338">
        <v>26</v>
      </c>
      <c r="B193" s="474" t="s">
        <v>51</v>
      </c>
      <c r="C193" s="475" t="s">
        <v>346</v>
      </c>
      <c r="D193" s="336">
        <v>207.6</v>
      </c>
      <c r="E193" s="336">
        <v>0</v>
      </c>
      <c r="F193" s="336">
        <v>0</v>
      </c>
      <c r="G193" s="336"/>
      <c r="H193" s="468">
        <f t="shared" si="7"/>
        <v>207.6</v>
      </c>
      <c r="I193" s="339">
        <v>207.6</v>
      </c>
      <c r="J193" s="339" t="s">
        <v>52</v>
      </c>
    </row>
    <row r="194" spans="1:10">
      <c r="A194" s="338">
        <v>27</v>
      </c>
      <c r="B194" s="474" t="s">
        <v>52</v>
      </c>
      <c r="C194" s="475" t="s">
        <v>346</v>
      </c>
      <c r="D194" s="336">
        <v>197.04000000000002</v>
      </c>
      <c r="E194" s="336">
        <v>0</v>
      </c>
      <c r="F194" s="511">
        <v>50</v>
      </c>
      <c r="G194" s="336"/>
      <c r="H194" s="468">
        <f t="shared" si="7"/>
        <v>147.04000000000002</v>
      </c>
      <c r="I194" s="339">
        <v>197.04000000000002</v>
      </c>
      <c r="J194" s="339" t="s">
        <v>53</v>
      </c>
    </row>
    <row r="195" spans="1:10">
      <c r="A195" s="338">
        <v>28</v>
      </c>
      <c r="B195" s="474" t="s">
        <v>53</v>
      </c>
      <c r="C195" s="475" t="s">
        <v>346</v>
      </c>
      <c r="D195" s="336">
        <v>46.8</v>
      </c>
      <c r="E195" s="336">
        <v>0</v>
      </c>
      <c r="F195" s="336">
        <v>0</v>
      </c>
      <c r="G195" s="336"/>
      <c r="H195" s="468">
        <f t="shared" si="7"/>
        <v>46.8</v>
      </c>
      <c r="I195" s="339">
        <v>46.8</v>
      </c>
      <c r="J195" s="339"/>
    </row>
    <row r="196" spans="1:10">
      <c r="A196" s="338">
        <v>29</v>
      </c>
      <c r="B196" s="474" t="s">
        <v>55</v>
      </c>
      <c r="C196" s="475" t="s">
        <v>346</v>
      </c>
      <c r="D196" s="336">
        <v>0</v>
      </c>
      <c r="E196" s="336">
        <v>125</v>
      </c>
      <c r="F196" s="336">
        <v>100.8</v>
      </c>
      <c r="G196" s="336"/>
      <c r="H196" s="468">
        <f t="shared" si="7"/>
        <v>24.200000000000003</v>
      </c>
      <c r="I196" s="339"/>
      <c r="J196" s="339"/>
    </row>
    <row r="197" spans="1:10">
      <c r="A197" s="338">
        <v>30</v>
      </c>
      <c r="B197" s="474" t="s">
        <v>56</v>
      </c>
      <c r="C197" s="475" t="s">
        <v>346</v>
      </c>
      <c r="D197" s="336">
        <v>0</v>
      </c>
      <c r="E197" s="336">
        <v>200</v>
      </c>
      <c r="F197" s="336">
        <v>168</v>
      </c>
      <c r="G197" s="336"/>
      <c r="H197" s="468">
        <f t="shared" si="7"/>
        <v>32</v>
      </c>
      <c r="I197" s="339"/>
      <c r="J197" s="339"/>
    </row>
    <row r="198" spans="1:10">
      <c r="A198" s="338"/>
      <c r="B198" s="474"/>
      <c r="C198" s="475"/>
      <c r="D198" s="336"/>
      <c r="E198" s="336"/>
      <c r="F198" s="336"/>
      <c r="G198" s="336"/>
      <c r="H198" s="336"/>
      <c r="I198" s="339"/>
      <c r="J198" s="339"/>
    </row>
    <row r="199" spans="1:10">
      <c r="A199" s="338"/>
      <c r="B199" s="467" t="s">
        <v>348</v>
      </c>
      <c r="C199" s="475"/>
      <c r="D199" s="336"/>
      <c r="E199" s="336"/>
      <c r="F199" s="336"/>
      <c r="G199" s="336"/>
      <c r="H199" s="336"/>
      <c r="I199" s="339"/>
      <c r="J199" s="339"/>
    </row>
    <row r="200" spans="1:10">
      <c r="A200" s="338">
        <v>1</v>
      </c>
      <c r="B200" s="474" t="s">
        <v>65</v>
      </c>
      <c r="C200" s="475" t="s">
        <v>349</v>
      </c>
      <c r="D200" s="336">
        <v>3889</v>
      </c>
      <c r="E200" s="336">
        <v>0</v>
      </c>
      <c r="F200" s="336">
        <v>1572</v>
      </c>
      <c r="G200" s="336"/>
      <c r="H200" s="468">
        <f t="shared" ref="H200:H205" si="8">D200+E200-F200+G200</f>
        <v>2317</v>
      </c>
      <c r="I200" s="339"/>
      <c r="J200" s="339"/>
    </row>
    <row r="201" spans="1:10">
      <c r="A201" s="338">
        <v>2</v>
      </c>
      <c r="B201" s="474" t="s">
        <v>66</v>
      </c>
      <c r="C201" s="475" t="s">
        <v>349</v>
      </c>
      <c r="D201" s="336">
        <v>0</v>
      </c>
      <c r="E201" s="336">
        <v>8000</v>
      </c>
      <c r="F201" s="336">
        <v>7224</v>
      </c>
      <c r="G201" s="336"/>
      <c r="H201" s="468">
        <f t="shared" si="8"/>
        <v>776</v>
      </c>
      <c r="I201" s="339"/>
      <c r="J201" s="339"/>
    </row>
    <row r="202" spans="1:10">
      <c r="A202" s="338">
        <v>3</v>
      </c>
      <c r="B202" s="474" t="s">
        <v>67</v>
      </c>
      <c r="C202" s="475" t="s">
        <v>349</v>
      </c>
      <c r="D202" s="336">
        <v>6349</v>
      </c>
      <c r="E202" s="336">
        <v>8519</v>
      </c>
      <c r="F202" s="336">
        <v>1606</v>
      </c>
      <c r="G202" s="336">
        <v>193</v>
      </c>
      <c r="H202" s="468">
        <f t="shared" si="8"/>
        <v>13455</v>
      </c>
      <c r="I202" s="339"/>
      <c r="J202" s="339"/>
    </row>
    <row r="203" spans="1:10">
      <c r="A203" s="338">
        <v>4</v>
      </c>
      <c r="B203" s="474" t="s">
        <v>68</v>
      </c>
      <c r="C203" s="475" t="s">
        <v>349</v>
      </c>
      <c r="D203" s="336">
        <v>5989</v>
      </c>
      <c r="E203" s="336">
        <v>2000</v>
      </c>
      <c r="F203" s="336">
        <v>6508</v>
      </c>
      <c r="G203" s="336"/>
      <c r="H203" s="521">
        <f t="shared" si="8"/>
        <v>1481</v>
      </c>
      <c r="I203" s="339"/>
      <c r="J203" s="339"/>
    </row>
    <row r="204" spans="1:10">
      <c r="A204" s="338">
        <v>5</v>
      </c>
      <c r="B204" s="474" t="s">
        <v>69</v>
      </c>
      <c r="C204" s="475" t="s">
        <v>349</v>
      </c>
      <c r="D204" s="336">
        <v>1901</v>
      </c>
      <c r="E204" s="336">
        <v>0</v>
      </c>
      <c r="F204" s="336">
        <v>0</v>
      </c>
      <c r="G204" s="336"/>
      <c r="H204" s="468">
        <f t="shared" si="8"/>
        <v>1901</v>
      </c>
      <c r="I204" s="339"/>
      <c r="J204" s="339"/>
    </row>
    <row r="205" spans="1:10">
      <c r="A205" s="338">
        <v>6</v>
      </c>
      <c r="B205" s="474" t="s">
        <v>70</v>
      </c>
      <c r="C205" s="475" t="s">
        <v>349</v>
      </c>
      <c r="D205" s="336">
        <v>6459</v>
      </c>
      <c r="E205" s="336">
        <v>0</v>
      </c>
      <c r="F205" s="336">
        <v>0</v>
      </c>
      <c r="G205" s="336"/>
      <c r="H205" s="468">
        <f t="shared" si="8"/>
        <v>6459</v>
      </c>
      <c r="I205" s="339"/>
      <c r="J205" s="339"/>
    </row>
    <row r="206" spans="1:10">
      <c r="A206" s="338"/>
      <c r="B206" s="474"/>
      <c r="C206" s="475"/>
      <c r="D206" s="336"/>
      <c r="E206" s="336"/>
      <c r="F206" s="336"/>
      <c r="G206" s="336"/>
      <c r="H206" s="336"/>
      <c r="I206" s="339"/>
      <c r="J206" s="339"/>
    </row>
    <row r="207" spans="1:10" ht="13.9" thickBot="1">
      <c r="A207" s="338"/>
      <c r="B207" s="467" t="s">
        <v>72</v>
      </c>
      <c r="C207" s="298"/>
      <c r="D207" s="469">
        <f t="shared" ref="D207:G207" si="9">SUM(D153:D206)</f>
        <v>276608.59999999998</v>
      </c>
      <c r="E207" s="469">
        <f t="shared" si="9"/>
        <v>1749860.88</v>
      </c>
      <c r="F207" s="469">
        <f t="shared" si="9"/>
        <v>1521828.0799999998</v>
      </c>
      <c r="G207" s="469">
        <f t="shared" si="9"/>
        <v>28795.7</v>
      </c>
      <c r="H207" s="469">
        <f>SUM(H153:H206)</f>
        <v>533437.09999999986</v>
      </c>
      <c r="I207" s="339"/>
      <c r="J207" s="339"/>
    </row>
    <row r="208" spans="1:10" ht="13.9" thickTop="1">
      <c r="A208" s="496"/>
      <c r="B208" s="329"/>
      <c r="C208" s="473"/>
      <c r="D208" s="339"/>
      <c r="E208" s="339"/>
      <c r="F208" s="339"/>
      <c r="G208" s="339"/>
      <c r="H208" s="339"/>
      <c r="I208" s="339"/>
      <c r="J208" s="339"/>
    </row>
    <row r="210" spans="2:4">
      <c r="B210" s="472" t="s">
        <v>321</v>
      </c>
      <c r="C210" s="473"/>
      <c r="D210" s="339"/>
    </row>
    <row r="212" spans="2:4">
      <c r="B212" s="472" t="s">
        <v>353</v>
      </c>
      <c r="C212" s="473"/>
      <c r="D212" s="339"/>
    </row>
    <row r="213" spans="2:4">
      <c r="B213" s="474" t="s">
        <v>8</v>
      </c>
      <c r="C213" s="475" t="s">
        <v>346</v>
      </c>
      <c r="D213" s="336">
        <v>670</v>
      </c>
    </row>
    <row r="214" spans="2:4">
      <c r="B214" s="474" t="s">
        <v>67</v>
      </c>
      <c r="C214" s="475" t="s">
        <v>349</v>
      </c>
      <c r="D214" s="336">
        <v>193</v>
      </c>
    </row>
    <row r="215" spans="2:4">
      <c r="B215" s="329" t="s">
        <v>354</v>
      </c>
      <c r="C215" s="473"/>
      <c r="D215" s="339"/>
    </row>
    <row r="216" spans="2:4">
      <c r="B216" s="329"/>
      <c r="C216" s="473"/>
      <c r="D216" s="339"/>
    </row>
    <row r="217" spans="2:4">
      <c r="B217" s="474" t="s">
        <v>13</v>
      </c>
      <c r="C217" s="475" t="s">
        <v>346</v>
      </c>
      <c r="D217" s="336">
        <v>28080</v>
      </c>
    </row>
    <row r="218" spans="2:4">
      <c r="B218" s="329" t="s">
        <v>363</v>
      </c>
      <c r="C218" s="477"/>
      <c r="D218" s="515"/>
    </row>
    <row r="219" spans="2:4">
      <c r="B219" s="329" t="s">
        <v>373</v>
      </c>
      <c r="C219" s="477"/>
      <c r="D219" s="515"/>
    </row>
    <row r="220" spans="2:4">
      <c r="B220" s="329"/>
      <c r="C220" s="473"/>
      <c r="D220" s="339"/>
    </row>
    <row r="221" spans="2:4">
      <c r="B221" s="472" t="s">
        <v>357</v>
      </c>
      <c r="C221" s="473"/>
      <c r="D221" s="339"/>
    </row>
    <row r="222" spans="2:4">
      <c r="B222" s="474" t="s">
        <v>21</v>
      </c>
      <c r="C222" s="475" t="s">
        <v>346</v>
      </c>
      <c r="D222" s="336">
        <v>-147.30000000000001</v>
      </c>
    </row>
    <row r="223" spans="2:4">
      <c r="B223" s="329" t="s">
        <v>354</v>
      </c>
      <c r="C223" s="473"/>
      <c r="D223" s="339"/>
    </row>
    <row r="228" spans="1:9">
      <c r="A228" s="496"/>
      <c r="B228" s="329" t="s">
        <v>358</v>
      </c>
      <c r="C228" s="473"/>
      <c r="D228" s="339"/>
      <c r="E228" s="339"/>
      <c r="F228" s="339"/>
      <c r="G228" s="339" t="s">
        <v>359</v>
      </c>
      <c r="H228" s="339"/>
      <c r="I228" s="339"/>
    </row>
    <row r="231" spans="1:9">
      <c r="A231" s="496"/>
      <c r="B231" s="329"/>
      <c r="C231" s="473"/>
      <c r="D231" s="339"/>
      <c r="E231" s="339"/>
      <c r="F231" s="339"/>
      <c r="G231" s="339"/>
      <c r="H231" s="519" t="s">
        <v>370</v>
      </c>
      <c r="I231" s="522" t="s">
        <v>375</v>
      </c>
    </row>
    <row r="232" spans="1:9">
      <c r="A232" s="338"/>
      <c r="B232" s="467" t="s">
        <v>321</v>
      </c>
      <c r="C232" s="475"/>
      <c r="D232" s="336"/>
      <c r="E232" s="336"/>
      <c r="F232" s="336"/>
      <c r="G232" s="336"/>
      <c r="H232" s="336"/>
      <c r="I232" s="339"/>
    </row>
    <row r="233" spans="1:9">
      <c r="A233" s="338" t="s">
        <v>331</v>
      </c>
      <c r="B233" s="474" t="s">
        <v>332</v>
      </c>
      <c r="C233" s="475" t="s">
        <v>333</v>
      </c>
      <c r="D233" s="475" t="s">
        <v>334</v>
      </c>
      <c r="E233" s="475" t="s">
        <v>335</v>
      </c>
      <c r="F233" s="475" t="s">
        <v>166</v>
      </c>
      <c r="G233" s="475" t="s">
        <v>168</v>
      </c>
      <c r="H233" s="475" t="s">
        <v>336</v>
      </c>
      <c r="I233" s="339"/>
    </row>
    <row r="234" spans="1:9">
      <c r="A234" s="338"/>
      <c r="B234" s="467" t="s">
        <v>345</v>
      </c>
      <c r="C234" s="475"/>
      <c r="D234" s="336"/>
      <c r="E234" s="336"/>
      <c r="F234" s="336"/>
      <c r="G234" s="336"/>
      <c r="H234" s="336"/>
      <c r="I234" s="339"/>
    </row>
    <row r="235" spans="1:9">
      <c r="A235" s="338">
        <v>1</v>
      </c>
      <c r="B235" s="474" t="s">
        <v>7</v>
      </c>
      <c r="C235" s="475" t="s">
        <v>346</v>
      </c>
      <c r="D235" s="336">
        <v>27839.999999999964</v>
      </c>
      <c r="E235" s="336">
        <v>940890</v>
      </c>
      <c r="F235" s="336">
        <v>800361.60000000009</v>
      </c>
      <c r="G235" s="336"/>
      <c r="H235" s="468">
        <f t="shared" ref="H235:H247" si="10">D235+E235-F235+G235</f>
        <v>168368.39999999991</v>
      </c>
      <c r="I235" s="339">
        <v>27840</v>
      </c>
    </row>
    <row r="236" spans="1:9">
      <c r="A236" s="338">
        <v>2</v>
      </c>
      <c r="B236" s="474" t="s">
        <v>8</v>
      </c>
      <c r="C236" s="475" t="s">
        <v>346</v>
      </c>
      <c r="D236" s="336">
        <v>-669.99999999992997</v>
      </c>
      <c r="E236" s="336">
        <f>397200-670</f>
        <v>396530</v>
      </c>
      <c r="F236" s="336">
        <v>333254.19999999995</v>
      </c>
      <c r="G236" s="336">
        <v>670</v>
      </c>
      <c r="H236" s="468">
        <f t="shared" si="10"/>
        <v>63275.800000000105</v>
      </c>
      <c r="I236" s="339">
        <v>-669.99999999992997</v>
      </c>
    </row>
    <row r="237" spans="1:9">
      <c r="A237" s="338">
        <v>3</v>
      </c>
      <c r="B237" s="474" t="s">
        <v>9</v>
      </c>
      <c r="C237" s="475" t="s">
        <v>346</v>
      </c>
      <c r="D237" s="336">
        <v>20018.399999999969</v>
      </c>
      <c r="E237" s="336">
        <v>105360</v>
      </c>
      <c r="F237" s="336">
        <v>94361.2</v>
      </c>
      <c r="G237" s="336"/>
      <c r="H237" s="468">
        <f t="shared" si="10"/>
        <v>31017.199999999968</v>
      </c>
      <c r="I237" s="339">
        <v>20018.39999999998</v>
      </c>
    </row>
    <row r="238" spans="1:9">
      <c r="A238" s="338">
        <v>4</v>
      </c>
      <c r="B238" s="474" t="s">
        <v>10</v>
      </c>
      <c r="C238" s="475" t="s">
        <v>346</v>
      </c>
      <c r="D238" s="336">
        <v>26292.700000000019</v>
      </c>
      <c r="E238" s="336">
        <v>27580</v>
      </c>
      <c r="F238" s="336">
        <v>40840.200000000004</v>
      </c>
      <c r="G238" s="336"/>
      <c r="H238" s="468">
        <f t="shared" si="10"/>
        <v>13032.500000000015</v>
      </c>
      <c r="I238" s="339">
        <v>26292.700000000019</v>
      </c>
    </row>
    <row r="239" spans="1:9">
      <c r="A239" s="338">
        <v>5</v>
      </c>
      <c r="B239" s="474" t="s">
        <v>12</v>
      </c>
      <c r="C239" s="475" t="s">
        <v>346</v>
      </c>
      <c r="D239" s="336">
        <v>17386.69999999999</v>
      </c>
      <c r="E239" s="336">
        <v>29980</v>
      </c>
      <c r="F239" s="336">
        <v>9979.5000000000018</v>
      </c>
      <c r="G239" s="336"/>
      <c r="H239" s="468">
        <f t="shared" si="10"/>
        <v>37387.19999999999</v>
      </c>
      <c r="I239" s="339">
        <v>17386.699999999983</v>
      </c>
    </row>
    <row r="240" spans="1:9">
      <c r="A240" s="338">
        <v>6</v>
      </c>
      <c r="B240" s="474" t="s">
        <v>13</v>
      </c>
      <c r="C240" s="475" t="s">
        <v>346</v>
      </c>
      <c r="D240" s="336">
        <v>0</v>
      </c>
      <c r="E240" s="336">
        <f>78817.4-28080</f>
        <v>50737.399999999994</v>
      </c>
      <c r="F240" s="336">
        <v>49280.200000000004</v>
      </c>
      <c r="G240" s="336">
        <v>28080</v>
      </c>
      <c r="H240" s="468">
        <f t="shared" si="10"/>
        <v>29537.19999999999</v>
      </c>
      <c r="I240" s="339">
        <v>0</v>
      </c>
    </row>
    <row r="241" spans="1:9">
      <c r="A241" s="338">
        <v>7</v>
      </c>
      <c r="B241" s="474" t="s">
        <v>350</v>
      </c>
      <c r="C241" s="475" t="s">
        <v>346</v>
      </c>
      <c r="D241" s="336">
        <v>0</v>
      </c>
      <c r="E241" s="336">
        <v>30613.599999999999</v>
      </c>
      <c r="F241" s="336">
        <v>30613.599999999999</v>
      </c>
      <c r="G241" s="336"/>
      <c r="H241" s="468">
        <f t="shared" si="10"/>
        <v>0</v>
      </c>
      <c r="I241" s="339">
        <v>0</v>
      </c>
    </row>
    <row r="242" spans="1:9">
      <c r="A242" s="338">
        <v>8</v>
      </c>
      <c r="B242" s="474" t="s">
        <v>15</v>
      </c>
      <c r="C242" s="475" t="s">
        <v>346</v>
      </c>
      <c r="D242" s="336">
        <v>11812.9</v>
      </c>
      <c r="E242" s="336">
        <v>0</v>
      </c>
      <c r="F242" s="336">
        <v>5964.1</v>
      </c>
      <c r="G242" s="336"/>
      <c r="H242" s="468">
        <f t="shared" si="10"/>
        <v>5848.7999999999993</v>
      </c>
      <c r="I242" s="339">
        <v>11812.900000000001</v>
      </c>
    </row>
    <row r="243" spans="1:9">
      <c r="A243" s="338">
        <v>9</v>
      </c>
      <c r="B243" s="474" t="s">
        <v>351</v>
      </c>
      <c r="C243" s="475" t="s">
        <v>346</v>
      </c>
      <c r="D243" s="336">
        <v>0</v>
      </c>
      <c r="E243" s="336">
        <v>12106.88</v>
      </c>
      <c r="F243" s="336">
        <v>12106.88</v>
      </c>
      <c r="G243" s="336"/>
      <c r="H243" s="468">
        <f t="shared" si="10"/>
        <v>0</v>
      </c>
      <c r="I243" s="339">
        <v>0</v>
      </c>
    </row>
    <row r="244" spans="1:9">
      <c r="A244" s="338">
        <v>10</v>
      </c>
      <c r="B244" s="474" t="s">
        <v>18</v>
      </c>
      <c r="C244" s="475" t="s">
        <v>346</v>
      </c>
      <c r="D244" s="336">
        <v>31869.7</v>
      </c>
      <c r="E244" s="336">
        <v>35420</v>
      </c>
      <c r="F244" s="336">
        <v>43131.399999999994</v>
      </c>
      <c r="G244" s="336"/>
      <c r="H244" s="468">
        <f t="shared" si="10"/>
        <v>24158.300000000003</v>
      </c>
      <c r="I244" s="339">
        <v>31869.699999999997</v>
      </c>
    </row>
    <row r="245" spans="1:9">
      <c r="A245" s="338">
        <v>11</v>
      </c>
      <c r="B245" s="474" t="s">
        <v>19</v>
      </c>
      <c r="C245" s="475" t="s">
        <v>346</v>
      </c>
      <c r="D245" s="336">
        <v>6658.9999999999945</v>
      </c>
      <c r="E245" s="336">
        <v>68870</v>
      </c>
      <c r="F245" s="336">
        <v>32589.4</v>
      </c>
      <c r="G245" s="336"/>
      <c r="H245" s="468">
        <f t="shared" si="10"/>
        <v>42939.6</v>
      </c>
      <c r="I245" s="339">
        <v>6658.9999999999927</v>
      </c>
    </row>
    <row r="246" spans="1:9">
      <c r="A246" s="338">
        <v>12</v>
      </c>
      <c r="B246" s="474" t="s">
        <v>20</v>
      </c>
      <c r="C246" s="475" t="s">
        <v>346</v>
      </c>
      <c r="D246" s="336">
        <v>7150</v>
      </c>
      <c r="E246" s="336">
        <v>0</v>
      </c>
      <c r="F246" s="336">
        <v>1350</v>
      </c>
      <c r="G246" s="336"/>
      <c r="H246" s="468">
        <f t="shared" si="10"/>
        <v>5800</v>
      </c>
      <c r="I246" s="339">
        <v>7150</v>
      </c>
    </row>
    <row r="247" spans="1:9">
      <c r="A247" s="338">
        <v>13</v>
      </c>
      <c r="B247" s="474" t="s">
        <v>21</v>
      </c>
      <c r="C247" s="475" t="s">
        <v>346</v>
      </c>
      <c r="D247" s="336">
        <v>1847.3000000000002</v>
      </c>
      <c r="E247" s="336">
        <v>0</v>
      </c>
      <c r="F247" s="336">
        <f>1847.3-147.3</f>
        <v>1700</v>
      </c>
      <c r="G247" s="336">
        <v>-147.30000000000001</v>
      </c>
      <c r="H247" s="468">
        <f t="shared" si="10"/>
        <v>0</v>
      </c>
      <c r="I247" s="339">
        <v>1847.3000000000002</v>
      </c>
    </row>
    <row r="248" spans="1:9">
      <c r="A248" s="338"/>
      <c r="B248" s="474"/>
      <c r="C248" s="475"/>
      <c r="D248" s="336"/>
      <c r="E248" s="336"/>
      <c r="F248" s="336"/>
      <c r="G248" s="336"/>
      <c r="H248" s="336"/>
      <c r="I248" s="339"/>
    </row>
    <row r="249" spans="1:9">
      <c r="A249" s="338"/>
      <c r="B249" s="467" t="s">
        <v>347</v>
      </c>
      <c r="C249" s="475"/>
      <c r="D249" s="336"/>
      <c r="E249" s="336"/>
      <c r="F249" s="336"/>
      <c r="G249" s="336"/>
      <c r="H249" s="336"/>
      <c r="I249" s="339"/>
    </row>
    <row r="250" spans="1:9">
      <c r="A250" s="338">
        <v>1</v>
      </c>
      <c r="B250" s="474" t="s">
        <v>23</v>
      </c>
      <c r="C250" s="475" t="s">
        <v>346</v>
      </c>
      <c r="D250" s="336">
        <v>1980</v>
      </c>
      <c r="E250" s="336">
        <v>1980</v>
      </c>
      <c r="F250" s="336">
        <v>1840</v>
      </c>
      <c r="G250" s="336"/>
      <c r="H250" s="468">
        <f t="shared" ref="H250:H279" si="11">D250+E250-F250+G250</f>
        <v>2120</v>
      </c>
      <c r="I250" s="339">
        <v>1980</v>
      </c>
    </row>
    <row r="251" spans="1:9">
      <c r="A251" s="338">
        <v>2</v>
      </c>
      <c r="B251" s="474" t="s">
        <v>24</v>
      </c>
      <c r="C251" s="475" t="s">
        <v>346</v>
      </c>
      <c r="D251" s="336">
        <v>2000</v>
      </c>
      <c r="E251" s="336">
        <v>8000</v>
      </c>
      <c r="F251" s="336">
        <v>6360</v>
      </c>
      <c r="G251" s="336"/>
      <c r="H251" s="468">
        <f t="shared" si="11"/>
        <v>3640</v>
      </c>
      <c r="I251" s="339">
        <v>2000</v>
      </c>
    </row>
    <row r="252" spans="1:9">
      <c r="A252" s="338">
        <v>3</v>
      </c>
      <c r="B252" s="474" t="s">
        <v>25</v>
      </c>
      <c r="C252" s="475" t="s">
        <v>346</v>
      </c>
      <c r="D252" s="336">
        <v>4800</v>
      </c>
      <c r="E252" s="336">
        <v>0</v>
      </c>
      <c r="F252" s="336">
        <v>2720</v>
      </c>
      <c r="G252" s="336"/>
      <c r="H252" s="468">
        <f t="shared" si="11"/>
        <v>2080</v>
      </c>
      <c r="I252" s="339">
        <v>4800</v>
      </c>
    </row>
    <row r="253" spans="1:9">
      <c r="A253" s="338">
        <v>4</v>
      </c>
      <c r="B253" s="474" t="s">
        <v>28</v>
      </c>
      <c r="C253" s="475" t="s">
        <v>346</v>
      </c>
      <c r="D253" s="336">
        <v>5120</v>
      </c>
      <c r="E253" s="336">
        <v>2000</v>
      </c>
      <c r="F253" s="336">
        <v>760</v>
      </c>
      <c r="G253" s="336"/>
      <c r="H253" s="468">
        <f t="shared" si="11"/>
        <v>6360</v>
      </c>
      <c r="I253" s="339">
        <v>5120</v>
      </c>
    </row>
    <row r="254" spans="1:9">
      <c r="A254" s="338">
        <v>5</v>
      </c>
      <c r="B254" s="474" t="s">
        <v>29</v>
      </c>
      <c r="C254" s="475" t="s">
        <v>346</v>
      </c>
      <c r="D254" s="336">
        <v>6540</v>
      </c>
      <c r="E254" s="336">
        <v>0</v>
      </c>
      <c r="F254" s="336">
        <v>0</v>
      </c>
      <c r="G254" s="336"/>
      <c r="H254" s="468">
        <f t="shared" si="11"/>
        <v>6540</v>
      </c>
      <c r="I254" s="339">
        <v>6540</v>
      </c>
    </row>
    <row r="255" spans="1:9">
      <c r="A255" s="338">
        <v>6</v>
      </c>
      <c r="B255" s="474" t="s">
        <v>30</v>
      </c>
      <c r="C255" s="475" t="s">
        <v>346</v>
      </c>
      <c r="D255" s="336">
        <v>11540</v>
      </c>
      <c r="E255" s="336">
        <v>0</v>
      </c>
      <c r="F255" s="336">
        <v>0</v>
      </c>
      <c r="G255" s="336"/>
      <c r="H255" s="468">
        <f t="shared" si="11"/>
        <v>11540</v>
      </c>
      <c r="I255" s="339">
        <v>11540</v>
      </c>
    </row>
    <row r="256" spans="1:9">
      <c r="A256" s="338">
        <v>7</v>
      </c>
      <c r="B256" s="474" t="s">
        <v>31</v>
      </c>
      <c r="C256" s="475" t="s">
        <v>346</v>
      </c>
      <c r="D256" s="336">
        <v>15120</v>
      </c>
      <c r="E256" s="336">
        <v>0</v>
      </c>
      <c r="F256" s="336">
        <v>0</v>
      </c>
      <c r="G256" s="336"/>
      <c r="H256" s="468">
        <f t="shared" si="11"/>
        <v>15120</v>
      </c>
      <c r="I256" s="339">
        <v>15120</v>
      </c>
    </row>
    <row r="257" spans="1:12">
      <c r="A257" s="338">
        <v>8</v>
      </c>
      <c r="B257" s="474" t="s">
        <v>32</v>
      </c>
      <c r="C257" s="475" t="s">
        <v>346</v>
      </c>
      <c r="D257" s="336">
        <v>5040</v>
      </c>
      <c r="E257" s="336">
        <v>0</v>
      </c>
      <c r="F257" s="336">
        <v>3080</v>
      </c>
      <c r="G257" s="336"/>
      <c r="H257" s="468">
        <f t="shared" si="11"/>
        <v>1960</v>
      </c>
      <c r="I257" s="339">
        <v>5040</v>
      </c>
      <c r="J257" s="339"/>
      <c r="K257" s="339"/>
      <c r="L257" s="339"/>
    </row>
    <row r="258" spans="1:12">
      <c r="A258" s="338">
        <v>9</v>
      </c>
      <c r="B258" s="474" t="s">
        <v>33</v>
      </c>
      <c r="C258" s="475" t="s">
        <v>346</v>
      </c>
      <c r="D258" s="336">
        <v>9100</v>
      </c>
      <c r="E258" s="336">
        <v>0</v>
      </c>
      <c r="F258" s="336">
        <v>0</v>
      </c>
      <c r="G258" s="336"/>
      <c r="H258" s="468">
        <f t="shared" si="11"/>
        <v>9100</v>
      </c>
      <c r="I258" s="339">
        <v>9100</v>
      </c>
      <c r="J258" s="339"/>
      <c r="K258" s="339"/>
      <c r="L258" s="339"/>
    </row>
    <row r="259" spans="1:12">
      <c r="A259" s="338">
        <v>10</v>
      </c>
      <c r="B259" s="474" t="s">
        <v>34</v>
      </c>
      <c r="C259" s="475" t="s">
        <v>346</v>
      </c>
      <c r="D259" s="336">
        <v>4220</v>
      </c>
      <c r="E259" s="336">
        <v>0</v>
      </c>
      <c r="F259" s="336">
        <v>1680</v>
      </c>
      <c r="G259" s="336"/>
      <c r="H259" s="468">
        <f t="shared" si="11"/>
        <v>2540</v>
      </c>
      <c r="I259" s="339">
        <v>4220</v>
      </c>
      <c r="J259" s="339"/>
      <c r="K259" s="339"/>
      <c r="L259" s="553">
        <f>H259/20</f>
        <v>127</v>
      </c>
    </row>
    <row r="260" spans="1:12">
      <c r="A260" s="338">
        <v>11</v>
      </c>
      <c r="B260" s="474" t="s">
        <v>35</v>
      </c>
      <c r="C260" s="475" t="s">
        <v>346</v>
      </c>
      <c r="D260" s="336">
        <v>11446.5</v>
      </c>
      <c r="E260" s="336">
        <v>1950</v>
      </c>
      <c r="F260" s="508">
        <f>9633+3744</f>
        <v>13377</v>
      </c>
      <c r="G260" s="336"/>
      <c r="H260" s="468">
        <f t="shared" si="11"/>
        <v>19.5</v>
      </c>
      <c r="I260" s="339">
        <v>11446.5</v>
      </c>
      <c r="J260" s="522">
        <v>13377</v>
      </c>
      <c r="K260" s="339" t="s">
        <v>315</v>
      </c>
      <c r="L260" s="553">
        <f>H260/19.5</f>
        <v>1</v>
      </c>
    </row>
    <row r="261" spans="1:12">
      <c r="A261" s="338">
        <v>12</v>
      </c>
      <c r="B261" s="474" t="s">
        <v>36</v>
      </c>
      <c r="C261" s="475" t="s">
        <v>346</v>
      </c>
      <c r="D261" s="336">
        <v>8996.4000000000015</v>
      </c>
      <c r="E261" s="336">
        <v>0</v>
      </c>
      <c r="F261" s="508">
        <f>4347+2570.4</f>
        <v>6917.4</v>
      </c>
      <c r="G261" s="336"/>
      <c r="H261" s="468">
        <f t="shared" si="11"/>
        <v>2079.0000000000018</v>
      </c>
      <c r="I261" s="339">
        <v>8996.4000000000015</v>
      </c>
      <c r="J261" s="522">
        <v>6917.4</v>
      </c>
      <c r="K261" s="339" t="s">
        <v>315</v>
      </c>
      <c r="L261" s="553">
        <f>H261/18.9</f>
        <v>110.0000000000001</v>
      </c>
    </row>
    <row r="262" spans="1:12">
      <c r="A262" s="338">
        <v>13</v>
      </c>
      <c r="B262" s="474" t="s">
        <v>37</v>
      </c>
      <c r="C262" s="475" t="s">
        <v>346</v>
      </c>
      <c r="D262" s="336">
        <v>0</v>
      </c>
      <c r="E262" s="336">
        <v>8610</v>
      </c>
      <c r="F262" s="508">
        <v>2460</v>
      </c>
      <c r="G262" s="336"/>
      <c r="H262" s="468">
        <f t="shared" si="11"/>
        <v>6150</v>
      </c>
      <c r="I262" s="339"/>
      <c r="J262" s="339"/>
      <c r="K262" s="339"/>
      <c r="L262" s="553">
        <f>H262/20.5</f>
        <v>300</v>
      </c>
    </row>
    <row r="263" spans="1:12">
      <c r="A263" s="338">
        <v>14</v>
      </c>
      <c r="B263" s="474" t="s">
        <v>38</v>
      </c>
      <c r="C263" s="475" t="s">
        <v>346</v>
      </c>
      <c r="D263" s="336">
        <v>0</v>
      </c>
      <c r="E263" s="336">
        <v>4000</v>
      </c>
      <c r="F263" s="336">
        <v>0</v>
      </c>
      <c r="G263" s="336"/>
      <c r="H263" s="468">
        <f t="shared" si="11"/>
        <v>4000</v>
      </c>
      <c r="I263" s="339"/>
      <c r="J263" s="339"/>
      <c r="K263" s="339"/>
      <c r="L263" s="553">
        <f>H263/20</f>
        <v>200</v>
      </c>
    </row>
    <row r="264" spans="1:12">
      <c r="A264" s="338">
        <v>15</v>
      </c>
      <c r="B264" s="474" t="s">
        <v>39</v>
      </c>
      <c r="C264" s="475" t="s">
        <v>346</v>
      </c>
      <c r="D264" s="336">
        <v>4195</v>
      </c>
      <c r="E264" s="336">
        <v>0</v>
      </c>
      <c r="F264" s="336">
        <v>292</v>
      </c>
      <c r="G264" s="336"/>
      <c r="H264" s="468">
        <f t="shared" si="11"/>
        <v>3903</v>
      </c>
      <c r="I264" s="339">
        <v>4195</v>
      </c>
      <c r="J264" s="339"/>
      <c r="K264" s="339"/>
      <c r="L264" s="339"/>
    </row>
    <row r="265" spans="1:12">
      <c r="A265" s="338">
        <v>16</v>
      </c>
      <c r="B265" s="474" t="s">
        <v>352</v>
      </c>
      <c r="C265" s="475" t="s">
        <v>346</v>
      </c>
      <c r="D265" s="336">
        <v>0</v>
      </c>
      <c r="E265" s="336">
        <v>3360</v>
      </c>
      <c r="F265" s="336">
        <v>3360</v>
      </c>
      <c r="G265" s="336"/>
      <c r="H265" s="468">
        <f t="shared" si="11"/>
        <v>0</v>
      </c>
      <c r="I265" s="339">
        <v>0</v>
      </c>
      <c r="J265" s="339"/>
      <c r="K265" s="339"/>
      <c r="L265" s="339"/>
    </row>
    <row r="266" spans="1:12">
      <c r="A266" s="338">
        <v>17</v>
      </c>
      <c r="B266" s="474" t="s">
        <v>42</v>
      </c>
      <c r="C266" s="475" t="s">
        <v>346</v>
      </c>
      <c r="D266" s="336">
        <v>4152.5</v>
      </c>
      <c r="E266" s="336">
        <v>0</v>
      </c>
      <c r="F266" s="336">
        <v>1029.5999999999999</v>
      </c>
      <c r="G266" s="336"/>
      <c r="H266" s="468">
        <f t="shared" si="11"/>
        <v>3122.9</v>
      </c>
      <c r="I266" s="339">
        <v>4152.5</v>
      </c>
      <c r="J266" s="339"/>
      <c r="K266" s="339"/>
      <c r="L266" s="339"/>
    </row>
    <row r="267" spans="1:12">
      <c r="A267" s="338">
        <v>18</v>
      </c>
      <c r="B267" s="474" t="s">
        <v>41</v>
      </c>
      <c r="C267" s="475" t="s">
        <v>346</v>
      </c>
      <c r="D267" s="336">
        <v>2065</v>
      </c>
      <c r="E267" s="336">
        <v>0</v>
      </c>
      <c r="F267" s="336">
        <v>928</v>
      </c>
      <c r="G267" s="336"/>
      <c r="H267" s="468">
        <f t="shared" si="11"/>
        <v>1137</v>
      </c>
      <c r="I267" s="339">
        <v>2065</v>
      </c>
      <c r="J267" s="339"/>
      <c r="K267" s="339"/>
      <c r="L267" s="339"/>
    </row>
    <row r="268" spans="1:12">
      <c r="A268" s="338">
        <v>19</v>
      </c>
      <c r="B268" s="474" t="s">
        <v>43</v>
      </c>
      <c r="C268" s="475" t="s">
        <v>346</v>
      </c>
      <c r="D268" s="336">
        <v>1680.5</v>
      </c>
      <c r="E268" s="336">
        <v>0</v>
      </c>
      <c r="F268" s="336">
        <v>0</v>
      </c>
      <c r="G268" s="336"/>
      <c r="H268" s="468">
        <f t="shared" si="11"/>
        <v>1680.5</v>
      </c>
      <c r="I268" s="339">
        <v>1680.5</v>
      </c>
      <c r="J268" s="339"/>
      <c r="K268" s="339"/>
      <c r="L268" s="339"/>
    </row>
    <row r="269" spans="1:12">
      <c r="A269" s="338">
        <v>20</v>
      </c>
      <c r="B269" s="474" t="s">
        <v>63</v>
      </c>
      <c r="C269" s="475" t="s">
        <v>346</v>
      </c>
      <c r="D269" s="336">
        <v>41.599999999999909</v>
      </c>
      <c r="E269" s="336">
        <v>2628.9999999999995</v>
      </c>
      <c r="F269" s="336">
        <v>2628.9999999999995</v>
      </c>
      <c r="G269" s="336"/>
      <c r="H269" s="468">
        <f t="shared" si="11"/>
        <v>41.599999999999909</v>
      </c>
      <c r="I269" s="339">
        <v>41.599999999999909</v>
      </c>
      <c r="J269" s="339"/>
      <c r="K269" s="339"/>
      <c r="L269" s="339"/>
    </row>
    <row r="270" spans="1:12">
      <c r="A270" s="338">
        <v>21</v>
      </c>
      <c r="B270" s="474" t="s">
        <v>45</v>
      </c>
      <c r="C270" s="475" t="s">
        <v>346</v>
      </c>
      <c r="D270" s="336">
        <v>2000</v>
      </c>
      <c r="E270" s="336">
        <v>0</v>
      </c>
      <c r="F270" s="508">
        <f>18+1000</f>
        <v>1018</v>
      </c>
      <c r="G270" s="336"/>
      <c r="H270" s="468">
        <f t="shared" si="11"/>
        <v>982</v>
      </c>
      <c r="I270" s="339">
        <v>2000</v>
      </c>
      <c r="J270" s="522">
        <v>1018</v>
      </c>
      <c r="K270" s="339" t="s">
        <v>315</v>
      </c>
      <c r="L270" s="339"/>
    </row>
    <row r="271" spans="1:12">
      <c r="A271" s="338">
        <v>22</v>
      </c>
      <c r="B271" s="474" t="s">
        <v>47</v>
      </c>
      <c r="C271" s="475" t="s">
        <v>346</v>
      </c>
      <c r="D271" s="336">
        <v>100</v>
      </c>
      <c r="E271" s="336">
        <v>0</v>
      </c>
      <c r="F271" s="336">
        <v>0</v>
      </c>
      <c r="G271" s="336"/>
      <c r="H271" s="468">
        <f t="shared" si="11"/>
        <v>100</v>
      </c>
      <c r="I271" s="339">
        <v>100</v>
      </c>
      <c r="J271" s="339"/>
      <c r="K271" s="339"/>
      <c r="L271" s="339"/>
    </row>
    <row r="272" spans="1:12">
      <c r="A272" s="338">
        <v>23</v>
      </c>
      <c r="B272" s="474" t="s">
        <v>48</v>
      </c>
      <c r="C272" s="475" t="s">
        <v>346</v>
      </c>
      <c r="D272" s="336">
        <v>13.960000000000036</v>
      </c>
      <c r="E272" s="336">
        <v>0</v>
      </c>
      <c r="F272" s="336">
        <v>0</v>
      </c>
      <c r="G272" s="336"/>
      <c r="H272" s="468">
        <f t="shared" si="11"/>
        <v>13.960000000000036</v>
      </c>
      <c r="I272" s="339">
        <v>13.960000000000036</v>
      </c>
      <c r="J272" s="339"/>
      <c r="K272" s="339"/>
      <c r="L272" s="339"/>
    </row>
    <row r="273" spans="1:11">
      <c r="A273" s="338">
        <v>24</v>
      </c>
      <c r="B273" s="474" t="s">
        <v>103</v>
      </c>
      <c r="C273" s="475" t="s">
        <v>346</v>
      </c>
      <c r="D273" s="336">
        <v>1212</v>
      </c>
      <c r="E273" s="336">
        <v>0</v>
      </c>
      <c r="F273" s="336">
        <v>616</v>
      </c>
      <c r="G273" s="336"/>
      <c r="H273" s="468">
        <f t="shared" si="11"/>
        <v>596</v>
      </c>
      <c r="I273" s="339">
        <v>1212</v>
      </c>
      <c r="J273" s="339"/>
      <c r="K273" s="339"/>
    </row>
    <row r="274" spans="1:11">
      <c r="A274" s="338">
        <v>25</v>
      </c>
      <c r="B274" s="474" t="s">
        <v>104</v>
      </c>
      <c r="C274" s="475" t="s">
        <v>346</v>
      </c>
      <c r="D274" s="336">
        <v>0</v>
      </c>
      <c r="E274" s="508">
        <v>400</v>
      </c>
      <c r="F274" s="336">
        <v>0</v>
      </c>
      <c r="G274" s="336"/>
      <c r="H274" s="468">
        <f t="shared" si="11"/>
        <v>400</v>
      </c>
      <c r="I274" s="339"/>
      <c r="J274" s="522">
        <v>400</v>
      </c>
      <c r="K274" s="339" t="s">
        <v>314</v>
      </c>
    </row>
    <row r="275" spans="1:11">
      <c r="A275" s="338">
        <v>26</v>
      </c>
      <c r="B275" s="474" t="s">
        <v>51</v>
      </c>
      <c r="C275" s="475" t="s">
        <v>346</v>
      </c>
      <c r="D275" s="336">
        <v>207.6</v>
      </c>
      <c r="E275" s="508">
        <v>0</v>
      </c>
      <c r="F275" s="336">
        <v>0</v>
      </c>
      <c r="G275" s="336"/>
      <c r="H275" s="468">
        <f t="shared" si="11"/>
        <v>207.6</v>
      </c>
      <c r="I275" s="339">
        <v>207.6</v>
      </c>
      <c r="J275" s="339"/>
      <c r="K275" s="339"/>
    </row>
    <row r="276" spans="1:11">
      <c r="A276" s="338">
        <v>27</v>
      </c>
      <c r="B276" s="474" t="s">
        <v>52</v>
      </c>
      <c r="C276" s="475" t="s">
        <v>346</v>
      </c>
      <c r="D276" s="336">
        <v>197.04000000000002</v>
      </c>
      <c r="E276" s="336">
        <v>0</v>
      </c>
      <c r="F276" s="508">
        <v>50</v>
      </c>
      <c r="G276" s="336"/>
      <c r="H276" s="468">
        <f t="shared" si="11"/>
        <v>147.04000000000002</v>
      </c>
      <c r="I276" s="339">
        <v>197.04000000000002</v>
      </c>
      <c r="J276" s="522">
        <v>50</v>
      </c>
      <c r="K276" s="339" t="s">
        <v>315</v>
      </c>
    </row>
    <row r="277" spans="1:11">
      <c r="A277" s="338">
        <v>28</v>
      </c>
      <c r="B277" s="474" t="s">
        <v>53</v>
      </c>
      <c r="C277" s="475" t="s">
        <v>346</v>
      </c>
      <c r="D277" s="336">
        <v>46.8</v>
      </c>
      <c r="E277" s="336">
        <v>0</v>
      </c>
      <c r="F277" s="336">
        <v>0</v>
      </c>
      <c r="G277" s="336"/>
      <c r="H277" s="468">
        <f t="shared" si="11"/>
        <v>46.8</v>
      </c>
      <c r="I277" s="339">
        <v>46.8</v>
      </c>
      <c r="J277" s="339"/>
      <c r="K277" s="339"/>
    </row>
    <row r="278" spans="1:11">
      <c r="A278" s="338">
        <v>29</v>
      </c>
      <c r="B278" s="474" t="s">
        <v>55</v>
      </c>
      <c r="C278" s="475" t="s">
        <v>346</v>
      </c>
      <c r="D278" s="336">
        <v>0</v>
      </c>
      <c r="E278" s="336">
        <v>125</v>
      </c>
      <c r="F278" s="336">
        <v>100.8</v>
      </c>
      <c r="G278" s="336"/>
      <c r="H278" s="468">
        <f t="shared" si="11"/>
        <v>24.200000000000003</v>
      </c>
      <c r="I278" s="339"/>
      <c r="J278" s="339"/>
      <c r="K278" s="339"/>
    </row>
    <row r="279" spans="1:11">
      <c r="A279" s="338">
        <v>30</v>
      </c>
      <c r="B279" s="474" t="s">
        <v>56</v>
      </c>
      <c r="C279" s="475" t="s">
        <v>346</v>
      </c>
      <c r="D279" s="336">
        <v>0</v>
      </c>
      <c r="E279" s="336">
        <v>200</v>
      </c>
      <c r="F279" s="336">
        <v>168</v>
      </c>
      <c r="G279" s="336"/>
      <c r="H279" s="468">
        <f t="shared" si="11"/>
        <v>32</v>
      </c>
      <c r="I279" s="339"/>
      <c r="J279" s="339"/>
      <c r="K279" s="339"/>
    </row>
    <row r="280" spans="1:11">
      <c r="A280" s="338"/>
      <c r="B280" s="474"/>
      <c r="C280" s="475"/>
      <c r="D280" s="336"/>
      <c r="E280" s="336"/>
      <c r="F280" s="336"/>
      <c r="G280" s="336"/>
      <c r="H280" s="336"/>
      <c r="I280" s="339"/>
      <c r="J280" s="339"/>
      <c r="K280" s="339"/>
    </row>
    <row r="281" spans="1:11">
      <c r="A281" s="338"/>
      <c r="B281" s="467" t="s">
        <v>348</v>
      </c>
      <c r="C281" s="475"/>
      <c r="D281" s="336"/>
      <c r="E281" s="336"/>
      <c r="F281" s="336"/>
      <c r="G281" s="336"/>
      <c r="H281" s="336"/>
      <c r="I281" s="339"/>
      <c r="J281" s="339"/>
      <c r="K281" s="339"/>
    </row>
    <row r="282" spans="1:11">
      <c r="A282" s="338">
        <v>1</v>
      </c>
      <c r="B282" s="474" t="s">
        <v>65</v>
      </c>
      <c r="C282" s="475" t="s">
        <v>349</v>
      </c>
      <c r="D282" s="336">
        <v>3889</v>
      </c>
      <c r="E282" s="336">
        <v>0</v>
      </c>
      <c r="F282" s="336">
        <v>1572</v>
      </c>
      <c r="G282" s="336"/>
      <c r="H282" s="468">
        <f t="shared" ref="H282:H287" si="12">D282+E282-F282+G282</f>
        <v>2317</v>
      </c>
      <c r="I282" s="339"/>
      <c r="J282" s="339"/>
      <c r="K282" s="339"/>
    </row>
    <row r="283" spans="1:11">
      <c r="A283" s="338">
        <v>2</v>
      </c>
      <c r="B283" s="474" t="s">
        <v>66</v>
      </c>
      <c r="C283" s="475" t="s">
        <v>349</v>
      </c>
      <c r="D283" s="336">
        <v>0</v>
      </c>
      <c r="E283" s="336">
        <v>8000</v>
      </c>
      <c r="F283" s="336">
        <v>7224</v>
      </c>
      <c r="G283" s="336"/>
      <c r="H283" s="468">
        <f t="shared" si="12"/>
        <v>776</v>
      </c>
      <c r="I283" s="339"/>
      <c r="J283" s="339"/>
      <c r="K283" s="339"/>
    </row>
    <row r="284" spans="1:11">
      <c r="A284" s="338">
        <v>3</v>
      </c>
      <c r="B284" s="474" t="s">
        <v>67</v>
      </c>
      <c r="C284" s="475" t="s">
        <v>349</v>
      </c>
      <c r="D284" s="336">
        <v>6349</v>
      </c>
      <c r="E284" s="336">
        <v>8519</v>
      </c>
      <c r="F284" s="336">
        <v>1606</v>
      </c>
      <c r="G284" s="336">
        <v>193</v>
      </c>
      <c r="H284" s="468">
        <f t="shared" si="12"/>
        <v>13455</v>
      </c>
      <c r="I284" s="339"/>
      <c r="J284" s="339"/>
      <c r="K284" s="339"/>
    </row>
    <row r="285" spans="1:11">
      <c r="A285" s="338">
        <v>4</v>
      </c>
      <c r="B285" s="474" t="s">
        <v>68</v>
      </c>
      <c r="C285" s="475" t="s">
        <v>349</v>
      </c>
      <c r="D285" s="336">
        <v>5989</v>
      </c>
      <c r="E285" s="336">
        <v>2000</v>
      </c>
      <c r="F285" s="336">
        <v>6508</v>
      </c>
      <c r="G285" s="336"/>
      <c r="H285" s="521">
        <f t="shared" si="12"/>
        <v>1481</v>
      </c>
      <c r="I285" s="339"/>
      <c r="J285" s="339"/>
      <c r="K285" s="339"/>
    </row>
    <row r="286" spans="1:11">
      <c r="A286" s="338">
        <v>5</v>
      </c>
      <c r="B286" s="474" t="s">
        <v>69</v>
      </c>
      <c r="C286" s="475" t="s">
        <v>349</v>
      </c>
      <c r="D286" s="336">
        <v>1901</v>
      </c>
      <c r="E286" s="336">
        <v>0</v>
      </c>
      <c r="F286" s="336">
        <v>0</v>
      </c>
      <c r="G286" s="336"/>
      <c r="H286" s="468">
        <f t="shared" si="12"/>
        <v>1901</v>
      </c>
      <c r="I286" s="339"/>
      <c r="J286" s="339"/>
      <c r="K286" s="339"/>
    </row>
    <row r="287" spans="1:11">
      <c r="A287" s="338">
        <v>6</v>
      </c>
      <c r="B287" s="474" t="s">
        <v>70</v>
      </c>
      <c r="C287" s="475" t="s">
        <v>349</v>
      </c>
      <c r="D287" s="336">
        <v>6459</v>
      </c>
      <c r="E287" s="336">
        <v>0</v>
      </c>
      <c r="F287" s="336">
        <v>0</v>
      </c>
      <c r="G287" s="336"/>
      <c r="H287" s="468">
        <f t="shared" si="12"/>
        <v>6459</v>
      </c>
      <c r="I287" s="339"/>
      <c r="J287" s="339"/>
      <c r="K287" s="339"/>
    </row>
    <row r="288" spans="1:11">
      <c r="A288" s="338"/>
      <c r="B288" s="474"/>
      <c r="C288" s="475"/>
      <c r="D288" s="336"/>
      <c r="E288" s="336"/>
      <c r="F288" s="336"/>
      <c r="G288" s="336"/>
      <c r="H288" s="336"/>
      <c r="I288" s="339"/>
      <c r="J288" s="339"/>
      <c r="K288" s="339"/>
    </row>
    <row r="289" spans="1:8" ht="13.9" thickBot="1">
      <c r="A289" s="338"/>
      <c r="B289" s="467" t="s">
        <v>72</v>
      </c>
      <c r="C289" s="298"/>
      <c r="D289" s="469">
        <f t="shared" ref="D289:G289" si="13">SUM(D235:D288)</f>
        <v>276608.59999999998</v>
      </c>
      <c r="E289" s="469">
        <f t="shared" si="13"/>
        <v>1749860.88</v>
      </c>
      <c r="F289" s="469">
        <f t="shared" si="13"/>
        <v>1521828.0799999998</v>
      </c>
      <c r="G289" s="469">
        <f t="shared" si="13"/>
        <v>28795.7</v>
      </c>
      <c r="H289" s="469">
        <f>SUM(H235:H288)</f>
        <v>533437.09999999986</v>
      </c>
    </row>
    <row r="290" spans="1:8" ht="13.9" thickTop="1">
      <c r="A290" s="496"/>
      <c r="B290" s="329"/>
      <c r="C290" s="473"/>
      <c r="D290" s="339"/>
      <c r="E290" s="339"/>
      <c r="F290" s="339"/>
      <c r="G290" s="339"/>
      <c r="H290" s="339"/>
    </row>
    <row r="292" spans="1:8">
      <c r="A292" s="496"/>
      <c r="B292" s="472" t="s">
        <v>321</v>
      </c>
      <c r="C292" s="473"/>
      <c r="D292" s="339"/>
      <c r="E292" s="339"/>
      <c r="F292" s="339"/>
      <c r="G292" s="339"/>
      <c r="H292" s="339"/>
    </row>
    <row r="294" spans="1:8">
      <c r="A294" s="496"/>
      <c r="B294" s="472" t="s">
        <v>353</v>
      </c>
      <c r="C294" s="473"/>
      <c r="D294" s="339"/>
      <c r="E294" s="339"/>
      <c r="F294" s="339"/>
      <c r="G294" s="339"/>
      <c r="H294" s="339"/>
    </row>
    <row r="295" spans="1:8">
      <c r="A295" s="496"/>
      <c r="B295" s="474" t="s">
        <v>8</v>
      </c>
      <c r="C295" s="475" t="s">
        <v>346</v>
      </c>
      <c r="D295" s="336">
        <v>670</v>
      </c>
      <c r="E295" s="339"/>
      <c r="F295" s="339"/>
      <c r="G295" s="339"/>
      <c r="H295" s="339"/>
    </row>
    <row r="296" spans="1:8">
      <c r="A296" s="496"/>
      <c r="B296" s="474" t="s">
        <v>67</v>
      </c>
      <c r="C296" s="475" t="s">
        <v>349</v>
      </c>
      <c r="D296" s="336">
        <v>193</v>
      </c>
      <c r="E296" s="339"/>
      <c r="F296" s="339"/>
      <c r="G296" s="339"/>
      <c r="H296" s="339"/>
    </row>
    <row r="297" spans="1:8">
      <c r="A297" s="496"/>
      <c r="B297" s="329" t="s">
        <v>354</v>
      </c>
      <c r="C297" s="473"/>
      <c r="D297" s="339"/>
      <c r="E297" s="339"/>
      <c r="F297" s="339"/>
      <c r="G297" s="339"/>
      <c r="H297" s="339"/>
    </row>
    <row r="298" spans="1:8">
      <c r="A298" s="496"/>
      <c r="B298" s="329"/>
      <c r="C298" s="473"/>
      <c r="D298" s="339"/>
      <c r="E298" s="339"/>
      <c r="F298" s="339"/>
      <c r="G298" s="339"/>
      <c r="H298" s="339"/>
    </row>
    <row r="299" spans="1:8">
      <c r="A299" s="496"/>
      <c r="B299" s="474" t="s">
        <v>13</v>
      </c>
      <c r="C299" s="475" t="s">
        <v>346</v>
      </c>
      <c r="D299" s="336">
        <v>28080</v>
      </c>
      <c r="E299" s="339"/>
      <c r="F299" s="339"/>
      <c r="G299" s="339"/>
      <c r="H299" s="339"/>
    </row>
    <row r="300" spans="1:8">
      <c r="A300" s="496"/>
      <c r="B300" s="329" t="s">
        <v>363</v>
      </c>
      <c r="C300" s="477"/>
      <c r="D300" s="515"/>
      <c r="E300" s="339"/>
      <c r="F300" s="339"/>
      <c r="G300" s="339"/>
      <c r="H300" s="339"/>
    </row>
    <row r="301" spans="1:8">
      <c r="A301" s="496"/>
      <c r="B301" s="329" t="s">
        <v>373</v>
      </c>
      <c r="C301" s="477"/>
      <c r="D301" s="515"/>
      <c r="E301" s="339"/>
      <c r="F301" s="339"/>
      <c r="G301" s="339"/>
      <c r="H301" s="339"/>
    </row>
    <row r="302" spans="1:8">
      <c r="A302" s="496"/>
      <c r="B302" s="329"/>
      <c r="C302" s="473"/>
      <c r="D302" s="339"/>
      <c r="E302" s="339"/>
      <c r="F302" s="339"/>
      <c r="G302" s="339"/>
      <c r="H302" s="339"/>
    </row>
    <row r="303" spans="1:8">
      <c r="A303" s="496"/>
      <c r="B303" s="472" t="s">
        <v>357</v>
      </c>
      <c r="C303" s="473"/>
      <c r="D303" s="339"/>
      <c r="E303" s="339"/>
      <c r="F303" s="339"/>
      <c r="G303" s="339"/>
      <c r="H303" s="339"/>
    </row>
    <row r="304" spans="1:8">
      <c r="A304" s="496"/>
      <c r="B304" s="474" t="s">
        <v>21</v>
      </c>
      <c r="C304" s="475" t="s">
        <v>346</v>
      </c>
      <c r="D304" s="336">
        <v>-147.30000000000001</v>
      </c>
      <c r="E304" s="339"/>
      <c r="F304" s="339"/>
      <c r="G304" s="339"/>
      <c r="H304" s="339"/>
    </row>
    <row r="305" spans="2:8">
      <c r="B305" s="329" t="s">
        <v>354</v>
      </c>
      <c r="C305" s="473"/>
      <c r="D305" s="339"/>
      <c r="E305" s="339"/>
      <c r="F305" s="339"/>
      <c r="G305" s="339"/>
      <c r="H305" s="339"/>
    </row>
    <row r="310" spans="2:8">
      <c r="B310" s="329" t="s">
        <v>358</v>
      </c>
      <c r="C310" s="473"/>
      <c r="D310" s="339"/>
      <c r="E310" s="339"/>
      <c r="F310" s="339"/>
      <c r="G310" s="339" t="s">
        <v>359</v>
      </c>
      <c r="H310" s="339"/>
    </row>
  </sheetData>
  <autoFilter ref="A2:AC68" xr:uid="{00000000-0009-0000-0000-000007000000}"/>
  <mergeCells count="2">
    <mergeCell ref="J1:K1"/>
    <mergeCell ref="Q1:U1"/>
  </mergeCells>
  <printOptions horizontalCentered="1" verticalCentered="1"/>
  <pageMargins left="0.78740157480314965" right="7.874015748031496E-2" top="7.874015748031496E-2" bottom="7.874015748031496E-2" header="0" footer="0"/>
  <pageSetup paperSize="9" scale="2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C214"/>
  <sheetViews>
    <sheetView topLeftCell="A120" workbookViewId="0">
      <selection activeCell="F134" sqref="F134"/>
    </sheetView>
  </sheetViews>
  <sheetFormatPr defaultColWidth="9.28515625" defaultRowHeight="13.15"/>
  <cols>
    <col min="1" max="1" width="5.7109375" style="305" bestFit="1" customWidth="1"/>
    <col min="2" max="2" width="35.5703125" style="306" customWidth="1"/>
    <col min="3" max="3" width="5" style="331" customWidth="1"/>
    <col min="4" max="4" width="12.28515625" style="307" bestFit="1" customWidth="1"/>
    <col min="5" max="5" width="13.42578125" style="307" bestFit="1" customWidth="1"/>
    <col min="6" max="6" width="14.5703125" style="307" customWidth="1"/>
    <col min="7" max="7" width="14.7109375" style="307" bestFit="1" customWidth="1"/>
    <col min="8" max="8" width="13.5703125" style="307" customWidth="1"/>
    <col min="9" max="9" width="13.28515625" style="307" bestFit="1" customWidth="1"/>
    <col min="10" max="11" width="13.7109375" style="307" bestFit="1" customWidth="1"/>
    <col min="12" max="12" width="41.7109375" style="307" bestFit="1" customWidth="1"/>
    <col min="13" max="13" width="1.42578125" style="307" bestFit="1" customWidth="1"/>
    <col min="14" max="14" width="14" style="307" bestFit="1" customWidth="1"/>
    <col min="15" max="15" width="13" style="307" bestFit="1" customWidth="1"/>
    <col min="16" max="16" width="3.42578125" style="307" customWidth="1"/>
    <col min="17" max="17" width="15.7109375" style="307" bestFit="1" customWidth="1"/>
    <col min="18" max="18" width="11.28515625" style="317" bestFit="1" customWidth="1"/>
    <col min="19" max="19" width="45.28515625" style="307" bestFit="1" customWidth="1"/>
    <col min="20" max="20" width="14.7109375" style="309" bestFit="1" customWidth="1"/>
    <col min="21" max="21" width="13.7109375" style="307" bestFit="1" customWidth="1"/>
    <col min="22" max="22" width="9.28515625" style="306"/>
    <col min="23" max="23" width="34.28515625" style="306" bestFit="1" customWidth="1"/>
    <col min="24" max="25" width="9.28515625" style="306"/>
    <col min="26" max="27" width="9.42578125" style="306" bestFit="1" customWidth="1"/>
    <col min="28" max="28" width="9.28515625" style="306"/>
    <col min="29" max="29" width="10.28515625" style="306" bestFit="1" customWidth="1"/>
    <col min="30" max="16384" width="9.28515625" style="306"/>
  </cols>
  <sheetData>
    <row r="1" spans="1:29">
      <c r="A1" s="496"/>
      <c r="B1" s="291" t="str">
        <f>SUMMARY!B94</f>
        <v>HARUMI Stock - MAY 2026</v>
      </c>
      <c r="C1" s="337"/>
      <c r="D1" s="344"/>
      <c r="E1" s="344"/>
      <c r="F1" s="344"/>
      <c r="G1" s="344"/>
      <c r="H1" s="344"/>
      <c r="I1" s="497"/>
      <c r="J1" s="852"/>
      <c r="K1" s="852"/>
      <c r="L1" s="498"/>
      <c r="M1" s="498"/>
      <c r="N1" s="498"/>
      <c r="O1" s="339"/>
      <c r="P1" s="339"/>
      <c r="Q1" s="853" t="s">
        <v>330</v>
      </c>
      <c r="R1" s="853"/>
      <c r="S1" s="853"/>
      <c r="T1" s="853"/>
      <c r="U1" s="853"/>
      <c r="V1" s="329"/>
      <c r="W1" s="329"/>
      <c r="X1" s="329"/>
      <c r="Y1" s="329"/>
      <c r="Z1" s="329"/>
      <c r="AA1" s="329"/>
      <c r="AB1" s="329"/>
      <c r="AC1" s="329"/>
    </row>
    <row r="2" spans="1:29" s="305" customFormat="1" ht="26.45">
      <c r="A2" s="311" t="s">
        <v>331</v>
      </c>
      <c r="B2" s="312" t="s">
        <v>332</v>
      </c>
      <c r="C2" s="313" t="s">
        <v>333</v>
      </c>
      <c r="D2" s="313" t="s">
        <v>334</v>
      </c>
      <c r="E2" s="313" t="s">
        <v>335</v>
      </c>
      <c r="F2" s="313" t="s">
        <v>166</v>
      </c>
      <c r="G2" s="313" t="s">
        <v>168</v>
      </c>
      <c r="H2" s="313" t="s">
        <v>336</v>
      </c>
      <c r="I2" s="293" t="s">
        <v>337</v>
      </c>
      <c r="J2" s="294" t="s">
        <v>338</v>
      </c>
      <c r="K2" s="313" t="s">
        <v>339</v>
      </c>
      <c r="L2" s="313" t="s">
        <v>170</v>
      </c>
      <c r="M2" s="314"/>
      <c r="N2" s="294" t="s">
        <v>340</v>
      </c>
      <c r="O2" s="313" t="s">
        <v>330</v>
      </c>
      <c r="P2" s="315"/>
      <c r="Q2" s="297" t="s">
        <v>341</v>
      </c>
      <c r="R2" s="304" t="s">
        <v>164</v>
      </c>
      <c r="S2" s="298" t="s">
        <v>342</v>
      </c>
      <c r="T2" s="316" t="s">
        <v>343</v>
      </c>
      <c r="U2" s="298" t="s">
        <v>344</v>
      </c>
      <c r="V2" s="496"/>
      <c r="W2" s="496"/>
      <c r="X2" s="496"/>
      <c r="Y2" s="496"/>
      <c r="Z2" s="496"/>
      <c r="AA2" s="496"/>
      <c r="AB2" s="496"/>
      <c r="AC2" s="496"/>
    </row>
    <row r="3" spans="1:29">
      <c r="A3" s="311"/>
      <c r="B3" s="290" t="s">
        <v>345</v>
      </c>
      <c r="C3" s="313"/>
      <c r="D3" s="292"/>
      <c r="E3" s="292"/>
      <c r="F3" s="292"/>
      <c r="G3" s="292"/>
      <c r="H3" s="292"/>
      <c r="I3" s="293"/>
      <c r="J3" s="294"/>
      <c r="K3" s="292"/>
      <c r="L3" s="292"/>
      <c r="M3" s="295"/>
      <c r="N3" s="294"/>
      <c r="O3" s="292"/>
      <c r="P3" s="296"/>
      <c r="Q3" s="297"/>
      <c r="R3" s="304"/>
      <c r="S3" s="298"/>
      <c r="T3" s="308"/>
      <c r="U3" s="298"/>
      <c r="V3" s="329"/>
      <c r="W3" s="329"/>
      <c r="X3" s="329"/>
      <c r="Y3" s="329"/>
      <c r="Z3" s="329"/>
      <c r="AA3" s="329"/>
      <c r="AB3" s="329"/>
      <c r="AC3" s="329"/>
    </row>
    <row r="4" spans="1:29">
      <c r="A4" s="338"/>
      <c r="B4" s="413" t="str">
        <f>SUMMARY!B3</f>
        <v>MAIZE/CORN</v>
      </c>
      <c r="C4" s="338" t="s">
        <v>346</v>
      </c>
      <c r="D4" s="336">
        <f>SUMMARY!B32</f>
        <v>168368.40000000005</v>
      </c>
      <c r="E4" s="336">
        <f>SUMMARY!B33</f>
        <v>736930</v>
      </c>
      <c r="F4" s="336">
        <f>SUMMARY!B34</f>
        <v>660754.0199999999</v>
      </c>
      <c r="G4" s="336">
        <f>SUMMARY!B35</f>
        <v>-200.98000000002321</v>
      </c>
      <c r="H4" s="336">
        <f>SUMMARY!B36</f>
        <v>244343.40000000008</v>
      </c>
      <c r="I4" s="336"/>
      <c r="J4" s="336"/>
      <c r="K4" s="336"/>
      <c r="L4" s="336"/>
      <c r="M4" s="339"/>
      <c r="N4" s="336"/>
      <c r="O4" s="413">
        <f>N4-H4</f>
        <v>-244343.40000000008</v>
      </c>
      <c r="P4" s="339"/>
      <c r="Q4" s="336"/>
      <c r="R4" s="499"/>
      <c r="S4" s="336"/>
      <c r="T4" s="500"/>
      <c r="U4" s="336"/>
      <c r="V4" s="329"/>
      <c r="W4" s="501"/>
      <c r="X4" s="329"/>
      <c r="Y4" s="502"/>
      <c r="Z4" s="502"/>
      <c r="AA4" s="502"/>
      <c r="AB4" s="502"/>
      <c r="AC4" s="502"/>
    </row>
    <row r="5" spans="1:29">
      <c r="A5" s="338"/>
      <c r="B5" s="413" t="str">
        <f>SUMMARY!C3</f>
        <v>SOYBEAN MEAL (ARG)</v>
      </c>
      <c r="C5" s="338" t="s">
        <v>346</v>
      </c>
      <c r="D5" s="336">
        <f>SUMMARY!C32</f>
        <v>63275.80000000009</v>
      </c>
      <c r="E5" s="336">
        <f>SUMMARY!C33</f>
        <v>333130</v>
      </c>
      <c r="F5" s="336">
        <f>SUMMARY!C34</f>
        <v>290450.74</v>
      </c>
      <c r="G5" s="336">
        <f>SUMMARY!C35</f>
        <v>2.1400000000014643</v>
      </c>
      <c r="H5" s="336">
        <f>SUMMARY!C36</f>
        <v>105957.20000000007</v>
      </c>
      <c r="I5" s="336"/>
      <c r="J5" s="336"/>
      <c r="K5" s="336"/>
      <c r="L5" s="336"/>
      <c r="M5" s="339"/>
      <c r="N5" s="336"/>
      <c r="O5" s="413">
        <f t="shared" ref="O5:O59" si="0">N5-H5</f>
        <v>-105957.20000000007</v>
      </c>
      <c r="P5" s="339"/>
      <c r="Q5" s="336"/>
      <c r="R5" s="499"/>
      <c r="S5" s="336"/>
      <c r="T5" s="500"/>
      <c r="U5" s="336"/>
      <c r="V5" s="329"/>
      <c r="W5" s="501"/>
      <c r="X5" s="329"/>
      <c r="Y5" s="502"/>
      <c r="Z5" s="502"/>
      <c r="AA5" s="502"/>
      <c r="AB5" s="502"/>
      <c r="AC5" s="502"/>
    </row>
    <row r="6" spans="1:29">
      <c r="A6" s="338"/>
      <c r="B6" s="413" t="str">
        <f>SUMMARY!D3</f>
        <v>SOYBEAN FULL FAT</v>
      </c>
      <c r="C6" s="338" t="s">
        <v>346</v>
      </c>
      <c r="D6" s="336">
        <f>SUMMARY!D32</f>
        <v>31017.199999999972</v>
      </c>
      <c r="E6" s="336">
        <f>SUMMARY!D33</f>
        <v>80070</v>
      </c>
      <c r="F6" s="336">
        <f>SUMMARY!D34</f>
        <v>66390</v>
      </c>
      <c r="G6" s="336">
        <f>SUMMARY!D35</f>
        <v>-10.899999999999238</v>
      </c>
      <c r="H6" s="336">
        <f>SUMMARY!D36</f>
        <v>44686.299999999974</v>
      </c>
      <c r="I6" s="336"/>
      <c r="J6" s="336"/>
      <c r="K6" s="336"/>
      <c r="L6" s="336"/>
      <c r="M6" s="339"/>
      <c r="N6" s="336"/>
      <c r="O6" s="413">
        <f t="shared" si="0"/>
        <v>-44686.299999999974</v>
      </c>
      <c r="P6" s="339"/>
      <c r="Q6" s="336"/>
      <c r="R6" s="499"/>
      <c r="S6" s="336"/>
      <c r="T6" s="500"/>
      <c r="U6" s="336"/>
      <c r="V6" s="329"/>
      <c r="W6" s="501"/>
      <c r="X6" s="329"/>
      <c r="Y6" s="502"/>
      <c r="Z6" s="502"/>
      <c r="AA6" s="502"/>
      <c r="AB6" s="502"/>
      <c r="AC6" s="502"/>
    </row>
    <row r="7" spans="1:29">
      <c r="A7" s="338"/>
      <c r="B7" s="413" t="str">
        <f>SUMMARY!E3</f>
        <v>WHEAT POLLARD</v>
      </c>
      <c r="C7" s="338" t="s">
        <v>346</v>
      </c>
      <c r="D7" s="336">
        <f>SUMMARY!E32</f>
        <v>13032.500000000016</v>
      </c>
      <c r="E7" s="336">
        <f>SUMMARY!E33</f>
        <v>30400</v>
      </c>
      <c r="F7" s="336">
        <f>SUMMARY!E34</f>
        <v>30200</v>
      </c>
      <c r="G7" s="336">
        <f>SUMMARY!E35</f>
        <v>-1039.0999999999995</v>
      </c>
      <c r="H7" s="336">
        <f>SUMMARY!E36</f>
        <v>12193.400000000018</v>
      </c>
      <c r="I7" s="336"/>
      <c r="J7" s="336"/>
      <c r="K7" s="336"/>
      <c r="L7" s="336"/>
      <c r="M7" s="339"/>
      <c r="N7" s="336"/>
      <c r="O7" s="413">
        <f t="shared" si="0"/>
        <v>-12193.400000000018</v>
      </c>
      <c r="P7" s="339"/>
      <c r="Q7" s="503"/>
      <c r="R7" s="504"/>
      <c r="S7" s="505"/>
      <c r="T7" s="505"/>
      <c r="U7" s="336"/>
      <c r="V7" s="329"/>
      <c r="W7" s="501"/>
      <c r="X7" s="329"/>
      <c r="Y7" s="502"/>
      <c r="Z7" s="502"/>
      <c r="AA7" s="502"/>
      <c r="AB7" s="502"/>
      <c r="AC7" s="502"/>
    </row>
    <row r="8" spans="1:29">
      <c r="A8" s="338"/>
      <c r="B8" s="413" t="str">
        <f>SUMMARY!F3</f>
        <v>WHEAT</v>
      </c>
      <c r="C8" s="338" t="s">
        <v>346</v>
      </c>
      <c r="D8" s="336">
        <f>SUMMARY!F32</f>
        <v>0</v>
      </c>
      <c r="E8" s="336">
        <f>SUMMARY!F33</f>
        <v>0</v>
      </c>
      <c r="F8" s="336">
        <f>SUMMARY!F34</f>
        <v>0</v>
      </c>
      <c r="G8" s="336">
        <f>SUMMARY!F35</f>
        <v>0</v>
      </c>
      <c r="H8" s="336">
        <f>SUMMARY!F36</f>
        <v>0</v>
      </c>
      <c r="I8" s="336"/>
      <c r="J8" s="336"/>
      <c r="K8" s="336"/>
      <c r="L8" s="336"/>
      <c r="M8" s="339"/>
      <c r="N8" s="336"/>
      <c r="O8" s="413">
        <f t="shared" si="0"/>
        <v>0</v>
      </c>
      <c r="P8" s="339"/>
      <c r="Q8" s="336"/>
      <c r="R8" s="499"/>
      <c r="S8" s="336"/>
      <c r="T8" s="500"/>
      <c r="U8" s="336"/>
      <c r="V8" s="329"/>
      <c r="W8" s="501"/>
      <c r="X8" s="329"/>
      <c r="Y8" s="502"/>
      <c r="Z8" s="502"/>
      <c r="AA8" s="502"/>
      <c r="AB8" s="502"/>
      <c r="AC8" s="502"/>
    </row>
    <row r="9" spans="1:29">
      <c r="A9" s="338"/>
      <c r="B9" s="413" t="str">
        <f>SUMMARY!G3</f>
        <v>MEAT AND BONE MEAL</v>
      </c>
      <c r="C9" s="338" t="s">
        <v>346</v>
      </c>
      <c r="D9" s="336">
        <f>SUMMARY!G32</f>
        <v>37387.199999999997</v>
      </c>
      <c r="E9" s="336">
        <f>SUMMARY!G33</f>
        <v>11920</v>
      </c>
      <c r="F9" s="336">
        <f>SUMMARY!G34</f>
        <v>11155</v>
      </c>
      <c r="G9" s="336">
        <f>SUMMARY!G35</f>
        <v>-19585.500000000004</v>
      </c>
      <c r="H9" s="336">
        <f>SUMMARY!G36</f>
        <v>18566.699999999997</v>
      </c>
      <c r="I9" s="336"/>
      <c r="J9" s="336"/>
      <c r="K9" s="336"/>
      <c r="L9" s="336"/>
      <c r="M9" s="339"/>
      <c r="N9" s="336"/>
      <c r="O9" s="413">
        <f t="shared" si="0"/>
        <v>-18566.699999999997</v>
      </c>
      <c r="P9" s="339"/>
      <c r="Q9" s="336"/>
      <c r="R9" s="499"/>
      <c r="S9" s="336"/>
      <c r="T9" s="500"/>
      <c r="U9" s="336"/>
      <c r="V9" s="329"/>
      <c r="W9" s="501"/>
      <c r="X9" s="329"/>
      <c r="Y9" s="502"/>
      <c r="Z9" s="502"/>
      <c r="AA9" s="502"/>
      <c r="AB9" s="502"/>
      <c r="AC9" s="502"/>
    </row>
    <row r="10" spans="1:29">
      <c r="A10" s="338"/>
      <c r="B10" s="413" t="str">
        <f>SUMMARY!H3</f>
        <v>CORN GLUTEN MEAL</v>
      </c>
      <c r="C10" s="338" t="s">
        <v>346</v>
      </c>
      <c r="D10" s="336">
        <f>SUMMARY!H32</f>
        <v>29537.199999999986</v>
      </c>
      <c r="E10" s="336">
        <f>SUMMARY!H33</f>
        <v>27970</v>
      </c>
      <c r="F10" s="336">
        <f>SUMMARY!H34</f>
        <v>23332</v>
      </c>
      <c r="G10" s="336">
        <f>SUMMARY!H35</f>
        <v>-11.199999999999875</v>
      </c>
      <c r="H10" s="336">
        <f>SUMMARY!H36</f>
        <v>34163.999999999993</v>
      </c>
      <c r="I10" s="336"/>
      <c r="J10" s="336"/>
      <c r="K10" s="336"/>
      <c r="L10" s="336"/>
      <c r="M10" s="339"/>
      <c r="N10" s="336"/>
      <c r="O10" s="413">
        <f t="shared" si="0"/>
        <v>-34163.999999999993</v>
      </c>
      <c r="P10" s="339"/>
      <c r="Q10" s="336"/>
      <c r="R10" s="499"/>
      <c r="S10" s="336"/>
      <c r="T10" s="500"/>
      <c r="U10" s="336"/>
      <c r="V10" s="329"/>
      <c r="W10" s="501"/>
      <c r="X10" s="329"/>
      <c r="Y10" s="502"/>
      <c r="Z10" s="502"/>
      <c r="AA10" s="502"/>
      <c r="AB10" s="502"/>
      <c r="AC10" s="502"/>
    </row>
    <row r="11" spans="1:29">
      <c r="A11" s="338"/>
      <c r="B11" s="413" t="str">
        <f>SUMMARY!I3</f>
        <v>MEGAFAT (HARUMI)</v>
      </c>
      <c r="C11" s="338" t="s">
        <v>346</v>
      </c>
      <c r="D11" s="336">
        <f>SUMMARY!I32</f>
        <v>0</v>
      </c>
      <c r="E11" s="336">
        <f>SUMMARY!I33</f>
        <v>24921.199999999997</v>
      </c>
      <c r="F11" s="336">
        <f>SUMMARY!I34</f>
        <v>24921</v>
      </c>
      <c r="G11" s="336">
        <f>SUMMARY!I35</f>
        <v>-0.19999999999985363</v>
      </c>
      <c r="H11" s="336">
        <f>SUMMARY!I36</f>
        <v>0</v>
      </c>
      <c r="I11" s="336"/>
      <c r="J11" s="300"/>
      <c r="K11" s="300"/>
      <c r="L11" s="336"/>
      <c r="M11" s="339"/>
      <c r="N11" s="336"/>
      <c r="O11" s="413">
        <f t="shared" si="0"/>
        <v>0</v>
      </c>
      <c r="P11" s="339"/>
      <c r="Q11" s="336"/>
      <c r="R11" s="499"/>
      <c r="S11" s="336"/>
      <c r="T11" s="500"/>
      <c r="U11" s="336"/>
      <c r="V11" s="329"/>
      <c r="W11" s="501"/>
      <c r="X11" s="329"/>
      <c r="Y11" s="502"/>
      <c r="Z11" s="502"/>
      <c r="AA11" s="502"/>
      <c r="AB11" s="502"/>
      <c r="AC11" s="502"/>
    </row>
    <row r="12" spans="1:29">
      <c r="A12" s="338"/>
      <c r="B12" s="413" t="str">
        <f>SUMMARY!J3</f>
        <v>DCP 18%</v>
      </c>
      <c r="C12" s="338" t="s">
        <v>346</v>
      </c>
      <c r="D12" s="336">
        <f>SUMMARY!J32</f>
        <v>5848.7999999999993</v>
      </c>
      <c r="E12" s="336">
        <f>SUMMARY!J33</f>
        <v>0</v>
      </c>
      <c r="F12" s="336">
        <f>SUMMARY!J34</f>
        <v>921.77</v>
      </c>
      <c r="G12" s="336">
        <f>SUMMARY!J35</f>
        <v>156.10000000000008</v>
      </c>
      <c r="H12" s="336">
        <f>SUMMARY!J36</f>
        <v>5083.1299999999992</v>
      </c>
      <c r="I12" s="336"/>
      <c r="J12" s="301"/>
      <c r="K12" s="336"/>
      <c r="L12" s="336"/>
      <c r="M12" s="339"/>
      <c r="N12" s="336"/>
      <c r="O12" s="413">
        <f t="shared" si="0"/>
        <v>-5083.1299999999992</v>
      </c>
      <c r="P12" s="339"/>
      <c r="Q12" s="336"/>
      <c r="R12" s="499"/>
      <c r="S12" s="336"/>
      <c r="T12" s="500"/>
      <c r="U12" s="336"/>
      <c r="V12" s="329"/>
      <c r="W12" s="501"/>
      <c r="X12" s="329"/>
      <c r="Y12" s="502"/>
      <c r="Z12" s="502"/>
      <c r="AA12" s="502"/>
      <c r="AB12" s="502"/>
      <c r="AC12" s="502"/>
    </row>
    <row r="13" spans="1:29">
      <c r="A13" s="338"/>
      <c r="B13" s="413" t="str">
        <f>SUMMARY!K3</f>
        <v>LIMESTONE POWDER (HARUMI)</v>
      </c>
      <c r="C13" s="338" t="s">
        <v>346</v>
      </c>
      <c r="D13" s="336">
        <f>SUMMARY!K32</f>
        <v>0</v>
      </c>
      <c r="E13" s="336">
        <f>SUMMARY!K33</f>
        <v>4445.7199999999993</v>
      </c>
      <c r="F13" s="336">
        <f>SUMMARY!K34</f>
        <v>4631.96</v>
      </c>
      <c r="G13" s="336">
        <f>SUMMARY!K35</f>
        <v>186.24000000000012</v>
      </c>
      <c r="H13" s="336">
        <f>SUMMARY!K36</f>
        <v>0</v>
      </c>
      <c r="I13" s="336"/>
      <c r="J13" s="301"/>
      <c r="K13" s="336"/>
      <c r="L13" s="336"/>
      <c r="M13" s="339"/>
      <c r="N13" s="336"/>
      <c r="O13" s="413">
        <f t="shared" si="0"/>
        <v>0</v>
      </c>
      <c r="P13" s="339"/>
      <c r="Q13" s="336"/>
      <c r="R13" s="499"/>
      <c r="S13" s="336"/>
      <c r="T13" s="500"/>
      <c r="U13" s="336"/>
      <c r="V13" s="329"/>
      <c r="W13" s="501"/>
      <c r="X13" s="329"/>
      <c r="Y13" s="502"/>
      <c r="Z13" s="502"/>
      <c r="AA13" s="502"/>
      <c r="AB13" s="502"/>
      <c r="AC13" s="502"/>
    </row>
    <row r="14" spans="1:29">
      <c r="A14" s="338"/>
      <c r="B14" s="413" t="str">
        <f>SUMMARY!L3</f>
        <v>CHOLINE CHLORIDE 60%</v>
      </c>
      <c r="C14" s="338" t="s">
        <v>346</v>
      </c>
      <c r="D14" s="336">
        <f>SUMMARY!L32</f>
        <v>0</v>
      </c>
      <c r="E14" s="336">
        <f>SUMMARY!L33</f>
        <v>0</v>
      </c>
      <c r="F14" s="336">
        <f>SUMMARY!L34</f>
        <v>0</v>
      </c>
      <c r="G14" s="336">
        <f>SUMMARY!L35</f>
        <v>0</v>
      </c>
      <c r="H14" s="336">
        <f>SUMMARY!L36</f>
        <v>0</v>
      </c>
      <c r="I14" s="336"/>
      <c r="J14" s="301"/>
      <c r="K14" s="336"/>
      <c r="L14" s="336"/>
      <c r="M14" s="339"/>
      <c r="N14" s="336"/>
      <c r="O14" s="413">
        <f t="shared" si="0"/>
        <v>0</v>
      </c>
      <c r="P14" s="339"/>
      <c r="Q14" s="336"/>
      <c r="R14" s="499"/>
      <c r="S14" s="336"/>
      <c r="T14" s="500"/>
      <c r="U14" s="336"/>
      <c r="V14" s="329"/>
      <c r="W14" s="501"/>
      <c r="X14" s="329"/>
      <c r="Y14" s="502"/>
      <c r="Z14" s="502"/>
      <c r="AA14" s="502"/>
      <c r="AB14" s="502"/>
      <c r="AC14" s="502"/>
    </row>
    <row r="15" spans="1:29">
      <c r="A15" s="338"/>
      <c r="B15" s="413" t="str">
        <f>SUMMARY!M3</f>
        <v>INDUSTRY FLOUR</v>
      </c>
      <c r="C15" s="338" t="s">
        <v>346</v>
      </c>
      <c r="D15" s="336">
        <f>SUMMARY!M32</f>
        <v>24158.300000000003</v>
      </c>
      <c r="E15" s="336">
        <f>SUMMARY!M33</f>
        <v>0</v>
      </c>
      <c r="F15" s="336">
        <f>SUMMARY!M34</f>
        <v>3580</v>
      </c>
      <c r="G15" s="336">
        <f>SUMMARY!M35</f>
        <v>-954.40000000000009</v>
      </c>
      <c r="H15" s="336">
        <f>SUMMARY!M36</f>
        <v>19623.900000000005</v>
      </c>
      <c r="I15" s="336"/>
      <c r="J15" s="300"/>
      <c r="K15" s="336"/>
      <c r="L15" s="336"/>
      <c r="M15" s="339"/>
      <c r="N15" s="336"/>
      <c r="O15" s="413">
        <f t="shared" si="0"/>
        <v>-19623.900000000005</v>
      </c>
      <c r="P15" s="339"/>
      <c r="Q15" s="336"/>
      <c r="R15" s="499"/>
      <c r="S15" s="336"/>
      <c r="T15" s="500"/>
      <c r="U15" s="336"/>
      <c r="V15" s="329"/>
      <c r="W15" s="501"/>
      <c r="X15" s="329"/>
      <c r="Y15" s="502"/>
      <c r="Z15" s="502"/>
      <c r="AA15" s="502"/>
      <c r="AB15" s="502"/>
      <c r="AC15" s="502"/>
    </row>
    <row r="16" spans="1:29">
      <c r="A16" s="338"/>
      <c r="B16" s="413" t="str">
        <f>SUMMARY!N3</f>
        <v>RICE BRAN</v>
      </c>
      <c r="C16" s="338" t="s">
        <v>346</v>
      </c>
      <c r="D16" s="336">
        <f>SUMMARY!N32</f>
        <v>42939.599999999984</v>
      </c>
      <c r="E16" s="336">
        <f>SUMMARY!N33</f>
        <v>0</v>
      </c>
      <c r="F16" s="336">
        <f>SUMMARY!N34</f>
        <v>7700</v>
      </c>
      <c r="G16" s="336">
        <f>SUMMARY!N35</f>
        <v>-4.5999999999999659</v>
      </c>
      <c r="H16" s="336">
        <f>SUMMARY!N36</f>
        <v>35234.999999999985</v>
      </c>
      <c r="I16" s="336"/>
      <c r="J16" s="300"/>
      <c r="K16" s="336"/>
      <c r="L16" s="336"/>
      <c r="M16" s="339"/>
      <c r="N16" s="336"/>
      <c r="O16" s="413">
        <f t="shared" si="0"/>
        <v>-35234.999999999985</v>
      </c>
      <c r="P16" s="339"/>
      <c r="Q16" s="336"/>
      <c r="R16" s="499"/>
      <c r="S16" s="336"/>
      <c r="T16" s="500"/>
      <c r="U16" s="336"/>
      <c r="V16" s="329"/>
      <c r="W16" s="501"/>
      <c r="X16" s="329"/>
      <c r="Y16" s="502"/>
      <c r="Z16" s="502"/>
      <c r="AA16" s="502"/>
      <c r="AB16" s="502"/>
      <c r="AC16" s="502"/>
    </row>
    <row r="17" spans="1:29">
      <c r="A17" s="338"/>
      <c r="B17" s="413" t="str">
        <f>SUMMARY!O3</f>
        <v>EP 200</v>
      </c>
      <c r="C17" s="338" t="s">
        <v>346</v>
      </c>
      <c r="D17" s="336">
        <f>SUMMARY!O32</f>
        <v>5800</v>
      </c>
      <c r="E17" s="336">
        <f>SUMMARY!O33</f>
        <v>0</v>
      </c>
      <c r="F17" s="336">
        <f>SUMMARY!O34</f>
        <v>0</v>
      </c>
      <c r="G17" s="336">
        <f>SUMMARY!O35</f>
        <v>0</v>
      </c>
      <c r="H17" s="336">
        <f>SUMMARY!O36</f>
        <v>5800</v>
      </c>
      <c r="I17" s="336"/>
      <c r="J17" s="300"/>
      <c r="K17" s="336"/>
      <c r="L17" s="336"/>
      <c r="M17" s="339"/>
      <c r="N17" s="336"/>
      <c r="O17" s="413">
        <f t="shared" si="0"/>
        <v>-5800</v>
      </c>
      <c r="P17" s="339"/>
      <c r="Q17" s="336"/>
      <c r="R17" s="499"/>
      <c r="S17" s="336"/>
      <c r="T17" s="500"/>
      <c r="U17" s="336"/>
      <c r="V17" s="329"/>
      <c r="W17" s="501"/>
      <c r="X17" s="329"/>
      <c r="Y17" s="502"/>
      <c r="Z17" s="502"/>
      <c r="AA17" s="502"/>
      <c r="AB17" s="502"/>
      <c r="AC17" s="502"/>
    </row>
    <row r="18" spans="1:29">
      <c r="A18" s="338"/>
      <c r="B18" s="413" t="str">
        <f>SUMMARY!P3</f>
        <v>SOYTIDE</v>
      </c>
      <c r="C18" s="338" t="s">
        <v>346</v>
      </c>
      <c r="D18" s="336">
        <f>SUMMARY!P32</f>
        <v>0</v>
      </c>
      <c r="E18" s="336">
        <f>SUMMARY!P33</f>
        <v>0</v>
      </c>
      <c r="F18" s="336">
        <f>SUMMARY!P34</f>
        <v>0</v>
      </c>
      <c r="G18" s="336">
        <f>SUMMARY!P35</f>
        <v>0</v>
      </c>
      <c r="H18" s="336">
        <f>SUMMARY!P36</f>
        <v>0</v>
      </c>
      <c r="I18" s="336"/>
      <c r="J18" s="336"/>
      <c r="K18" s="336"/>
      <c r="L18" s="336"/>
      <c r="M18" s="339"/>
      <c r="N18" s="336"/>
      <c r="O18" s="413">
        <f t="shared" si="0"/>
        <v>0</v>
      </c>
      <c r="P18" s="339"/>
      <c r="Q18" s="336"/>
      <c r="R18" s="499"/>
      <c r="S18" s="336"/>
      <c r="T18" s="500"/>
      <c r="U18" s="336"/>
      <c r="V18" s="329"/>
      <c r="W18" s="501"/>
      <c r="X18" s="329"/>
      <c r="Y18" s="502"/>
      <c r="Z18" s="502"/>
      <c r="AA18" s="502"/>
      <c r="AB18" s="502"/>
      <c r="AC18" s="502"/>
    </row>
    <row r="19" spans="1:29">
      <c r="A19" s="338"/>
      <c r="B19" s="413" t="str">
        <f>SUMMARY!Q3</f>
        <v>DCP 18% (HARUMI)</v>
      </c>
      <c r="C19" s="338" t="s">
        <v>346</v>
      </c>
      <c r="D19" s="336">
        <f>SUMMARY!Q32</f>
        <v>0</v>
      </c>
      <c r="E19" s="336">
        <f>SUMMARY!Q33</f>
        <v>0</v>
      </c>
      <c r="F19" s="336">
        <f>SUMMARY!Q34</f>
        <v>0</v>
      </c>
      <c r="G19" s="336">
        <f>SUMMARY!Q35</f>
        <v>0</v>
      </c>
      <c r="H19" s="336">
        <f>SUMMARY!Q36</f>
        <v>0</v>
      </c>
      <c r="I19" s="336"/>
      <c r="J19" s="336"/>
      <c r="K19" s="336"/>
      <c r="L19" s="336"/>
      <c r="M19" s="339"/>
      <c r="N19" s="336"/>
      <c r="O19" s="413">
        <f t="shared" si="0"/>
        <v>0</v>
      </c>
      <c r="P19" s="339"/>
      <c r="Q19" s="336"/>
      <c r="R19" s="499"/>
      <c r="S19" s="336"/>
      <c r="T19" s="500"/>
      <c r="U19" s="336"/>
      <c r="V19" s="329"/>
      <c r="W19" s="501"/>
      <c r="X19" s="329"/>
      <c r="Y19" s="502"/>
      <c r="Z19" s="502"/>
      <c r="AA19" s="502"/>
      <c r="AB19" s="502"/>
      <c r="AC19" s="502"/>
    </row>
    <row r="20" spans="1:29">
      <c r="A20" s="338"/>
      <c r="B20" s="413">
        <f>SUMMARY!R3</f>
        <v>1</v>
      </c>
      <c r="C20" s="338" t="s">
        <v>346</v>
      </c>
      <c r="D20" s="336">
        <f>SUMMARY!R32</f>
        <v>0</v>
      </c>
      <c r="E20" s="336">
        <f>SUMMARY!R33</f>
        <v>0</v>
      </c>
      <c r="F20" s="336">
        <f>SUMMARY!R34</f>
        <v>0</v>
      </c>
      <c r="G20" s="336">
        <f>SUMMARY!R35</f>
        <v>0</v>
      </c>
      <c r="H20" s="336">
        <f>SUMMARY!R36</f>
        <v>0</v>
      </c>
      <c r="I20" s="336"/>
      <c r="J20" s="336"/>
      <c r="K20" s="336"/>
      <c r="L20" s="336"/>
      <c r="M20" s="339"/>
      <c r="N20" s="336"/>
      <c r="O20" s="413">
        <f t="shared" si="0"/>
        <v>0</v>
      </c>
      <c r="P20" s="339"/>
      <c r="Q20" s="336"/>
      <c r="R20" s="499"/>
      <c r="S20" s="336"/>
      <c r="T20" s="500"/>
      <c r="U20" s="336"/>
      <c r="V20" s="329"/>
      <c r="W20" s="501"/>
      <c r="X20" s="329"/>
      <c r="Y20" s="502"/>
      <c r="Z20" s="502"/>
      <c r="AA20" s="502"/>
      <c r="AB20" s="502"/>
      <c r="AC20" s="502"/>
    </row>
    <row r="21" spans="1:29">
      <c r="A21" s="338"/>
      <c r="B21" s="413">
        <f>SUMMARY!S3</f>
        <v>2</v>
      </c>
      <c r="C21" s="338" t="s">
        <v>346</v>
      </c>
      <c r="D21" s="336">
        <f>SUMMARY!S32</f>
        <v>0</v>
      </c>
      <c r="E21" s="336">
        <f>SUMMARY!S33</f>
        <v>0</v>
      </c>
      <c r="F21" s="336">
        <f>SUMMARY!S34</f>
        <v>0</v>
      </c>
      <c r="G21" s="336">
        <f>SUMMARY!S35</f>
        <v>0</v>
      </c>
      <c r="H21" s="336">
        <f>SUMMARY!S36</f>
        <v>0</v>
      </c>
      <c r="I21" s="336"/>
      <c r="J21" s="336"/>
      <c r="K21" s="336"/>
      <c r="L21" s="336"/>
      <c r="M21" s="339"/>
      <c r="N21" s="336"/>
      <c r="O21" s="413">
        <f t="shared" si="0"/>
        <v>0</v>
      </c>
      <c r="P21" s="339"/>
      <c r="Q21" s="336"/>
      <c r="R21" s="499"/>
      <c r="S21" s="336"/>
      <c r="T21" s="500"/>
      <c r="U21" s="336"/>
      <c r="V21" s="329"/>
      <c r="W21" s="501"/>
      <c r="X21" s="329"/>
      <c r="Y21" s="502"/>
      <c r="Z21" s="502"/>
      <c r="AA21" s="502"/>
      <c r="AB21" s="502"/>
      <c r="AC21" s="502"/>
    </row>
    <row r="22" spans="1:29">
      <c r="A22" s="338"/>
      <c r="B22" s="413">
        <f>SUMMARY!T3</f>
        <v>3</v>
      </c>
      <c r="C22" s="338" t="s">
        <v>346</v>
      </c>
      <c r="D22" s="336">
        <f>SUMMARY!T32</f>
        <v>0</v>
      </c>
      <c r="E22" s="336">
        <f>SUMMARY!T33</f>
        <v>0</v>
      </c>
      <c r="F22" s="336">
        <f>SUMMARY!T34</f>
        <v>0</v>
      </c>
      <c r="G22" s="336">
        <f>SUMMARY!T35</f>
        <v>0</v>
      </c>
      <c r="H22" s="336">
        <f>SUMMARY!T36</f>
        <v>0</v>
      </c>
      <c r="I22" s="336"/>
      <c r="J22" s="336"/>
      <c r="K22" s="336"/>
      <c r="L22" s="336"/>
      <c r="M22" s="339"/>
      <c r="N22" s="336"/>
      <c r="O22" s="413">
        <f t="shared" si="0"/>
        <v>0</v>
      </c>
      <c r="P22" s="339"/>
      <c r="Q22" s="336"/>
      <c r="R22" s="499"/>
      <c r="S22" s="336"/>
      <c r="T22" s="500"/>
      <c r="U22" s="336"/>
      <c r="V22" s="329"/>
      <c r="W22" s="501"/>
      <c r="X22" s="329"/>
      <c r="Y22" s="502"/>
      <c r="Z22" s="502"/>
      <c r="AA22" s="502"/>
      <c r="AB22" s="502"/>
      <c r="AC22" s="502"/>
    </row>
    <row r="23" spans="1:29">
      <c r="A23" s="338"/>
      <c r="B23" s="413"/>
      <c r="C23" s="338"/>
      <c r="D23" s="336"/>
      <c r="E23" s="336"/>
      <c r="F23" s="336"/>
      <c r="G23" s="336"/>
      <c r="H23" s="336"/>
      <c r="I23" s="336"/>
      <c r="J23" s="336"/>
      <c r="K23" s="336"/>
      <c r="L23" s="336"/>
      <c r="M23" s="339"/>
      <c r="N23" s="336"/>
      <c r="O23" s="413"/>
      <c r="P23" s="339"/>
      <c r="Q23" s="336"/>
      <c r="R23" s="499"/>
      <c r="S23" s="336"/>
      <c r="T23" s="500"/>
      <c r="U23" s="336"/>
      <c r="V23" s="329"/>
      <c r="W23" s="501"/>
      <c r="X23" s="329"/>
      <c r="Y23" s="502"/>
      <c r="Z23" s="502"/>
      <c r="AA23" s="502"/>
      <c r="AB23" s="502"/>
      <c r="AC23" s="502"/>
    </row>
    <row r="24" spans="1:29">
      <c r="A24" s="338"/>
      <c r="B24" s="310" t="s">
        <v>347</v>
      </c>
      <c r="C24" s="338"/>
      <c r="D24" s="336"/>
      <c r="E24" s="336"/>
      <c r="F24" s="336"/>
      <c r="G24" s="336"/>
      <c r="H24" s="336"/>
      <c r="I24" s="336"/>
      <c r="J24" s="336"/>
      <c r="K24" s="336"/>
      <c r="L24" s="336"/>
      <c r="M24" s="339"/>
      <c r="N24" s="336"/>
      <c r="O24" s="413"/>
      <c r="P24" s="339"/>
      <c r="Q24" s="336"/>
      <c r="R24" s="499"/>
      <c r="S24" s="336"/>
      <c r="T24" s="500"/>
      <c r="U24" s="336"/>
      <c r="V24" s="329"/>
      <c r="W24" s="501"/>
      <c r="X24" s="329"/>
      <c r="Y24" s="502"/>
      <c r="Z24" s="502"/>
      <c r="AA24" s="502"/>
      <c r="AB24" s="502"/>
      <c r="AC24" s="502"/>
    </row>
    <row r="25" spans="1:29">
      <c r="A25" s="338"/>
      <c r="B25" s="413" t="str">
        <f>SUMMARY!U3</f>
        <v>PREMIX 1101 (20KG)</v>
      </c>
      <c r="C25" s="338" t="s">
        <v>346</v>
      </c>
      <c r="D25" s="336">
        <f>SUMMARY!U32</f>
        <v>2120</v>
      </c>
      <c r="E25" s="336">
        <f>SUMMARY!U33</f>
        <v>2020</v>
      </c>
      <c r="F25" s="336">
        <f>SUMMARY!U34</f>
        <v>0</v>
      </c>
      <c r="G25" s="336">
        <f>SUMMARY!U35</f>
        <v>0</v>
      </c>
      <c r="H25" s="336">
        <f>SUMMARY!U36</f>
        <v>4140</v>
      </c>
      <c r="I25" s="336"/>
      <c r="J25" s="336"/>
      <c r="K25" s="336"/>
      <c r="L25" s="336"/>
      <c r="M25" s="339"/>
      <c r="N25" s="336"/>
      <c r="O25" s="413">
        <f t="shared" si="0"/>
        <v>-4140</v>
      </c>
      <c r="P25" s="339"/>
      <c r="Q25" s="336"/>
      <c r="R25" s="499"/>
      <c r="S25" s="336"/>
      <c r="T25" s="500"/>
      <c r="U25" s="336"/>
      <c r="V25" s="329"/>
      <c r="W25" s="501"/>
      <c r="X25" s="329"/>
      <c r="Y25" s="502"/>
      <c r="Z25" s="502"/>
      <c r="AA25" s="502"/>
      <c r="AB25" s="502"/>
      <c r="AC25" s="502"/>
    </row>
    <row r="26" spans="1:29">
      <c r="A26" s="338"/>
      <c r="B26" s="413" t="str">
        <f>SUMMARY!V3</f>
        <v>PREMIX 1102 (20KG)</v>
      </c>
      <c r="C26" s="338" t="s">
        <v>346</v>
      </c>
      <c r="D26" s="336">
        <f>SUMMARY!V32</f>
        <v>3640</v>
      </c>
      <c r="E26" s="336">
        <f>SUMMARY!V33</f>
        <v>2000</v>
      </c>
      <c r="F26" s="336">
        <f>SUMMARY!V34</f>
        <v>1520</v>
      </c>
      <c r="G26" s="336">
        <f>SUMMARY!V35</f>
        <v>920</v>
      </c>
      <c r="H26" s="336">
        <f>SUMMARY!V36</f>
        <v>5040</v>
      </c>
      <c r="I26" s="336"/>
      <c r="J26" s="336"/>
      <c r="K26" s="336"/>
      <c r="L26" s="336"/>
      <c r="M26" s="339"/>
      <c r="N26" s="336"/>
      <c r="O26" s="413">
        <f t="shared" si="0"/>
        <v>-5040</v>
      </c>
      <c r="P26" s="339"/>
      <c r="Q26" s="336"/>
      <c r="R26" s="499"/>
      <c r="S26" s="336"/>
      <c r="T26" s="500"/>
      <c r="U26" s="336"/>
      <c r="V26" s="329"/>
      <c r="W26" s="501"/>
      <c r="X26" s="329"/>
      <c r="Y26" s="502"/>
      <c r="Z26" s="502"/>
      <c r="AA26" s="502"/>
      <c r="AB26" s="502"/>
      <c r="AC26" s="502"/>
    </row>
    <row r="27" spans="1:29">
      <c r="A27" s="338"/>
      <c r="B27" s="413" t="str">
        <f>SUMMARY!W3</f>
        <v>PREMIX 1103 (20KG)</v>
      </c>
      <c r="C27" s="338" t="s">
        <v>346</v>
      </c>
      <c r="D27" s="336">
        <f>SUMMARY!W32</f>
        <v>2080</v>
      </c>
      <c r="E27" s="336">
        <f>SUMMARY!W33</f>
        <v>6000</v>
      </c>
      <c r="F27" s="336">
        <f>SUMMARY!W34</f>
        <v>6600</v>
      </c>
      <c r="G27" s="336">
        <f>SUMMARY!W35</f>
        <v>280</v>
      </c>
      <c r="H27" s="336">
        <f>SUMMARY!W36</f>
        <v>1760</v>
      </c>
      <c r="I27" s="336"/>
      <c r="J27" s="336"/>
      <c r="K27" s="336"/>
      <c r="L27" s="336"/>
      <c r="M27" s="339"/>
      <c r="N27" s="336"/>
      <c r="O27" s="413">
        <f t="shared" si="0"/>
        <v>-1760</v>
      </c>
      <c r="P27" s="339"/>
      <c r="Q27" s="336"/>
      <c r="R27" s="499"/>
      <c r="S27" s="336"/>
      <c r="T27" s="500"/>
      <c r="U27" s="336"/>
      <c r="V27" s="329"/>
      <c r="W27" s="501"/>
      <c r="X27" s="329"/>
      <c r="Y27" s="502"/>
      <c r="Z27" s="502"/>
      <c r="AA27" s="502"/>
      <c r="AB27" s="502"/>
      <c r="AC27" s="502"/>
    </row>
    <row r="28" spans="1:29">
      <c r="A28" s="338"/>
      <c r="B28" s="413" t="str">
        <f>SUMMARY!X3</f>
        <v>PREMIX 311 (20KG)</v>
      </c>
      <c r="C28" s="338" t="s">
        <v>346</v>
      </c>
      <c r="D28" s="336">
        <f>SUMMARY!X32</f>
        <v>0</v>
      </c>
      <c r="E28" s="336">
        <f>SUMMARY!X33</f>
        <v>1600</v>
      </c>
      <c r="F28" s="336">
        <f>SUMMARY!X34</f>
        <v>1000</v>
      </c>
      <c r="G28" s="336">
        <f>SUMMARY!X35</f>
        <v>0</v>
      </c>
      <c r="H28" s="336">
        <f>SUMMARY!X36</f>
        <v>600</v>
      </c>
      <c r="I28" s="336"/>
      <c r="J28" s="336"/>
      <c r="K28" s="336"/>
      <c r="L28" s="336"/>
      <c r="M28" s="339"/>
      <c r="N28" s="336"/>
      <c r="O28" s="413">
        <f t="shared" si="0"/>
        <v>-600</v>
      </c>
      <c r="P28" s="339"/>
      <c r="Q28" s="336"/>
      <c r="R28" s="499"/>
      <c r="S28" s="336"/>
      <c r="T28" s="500"/>
      <c r="U28" s="336"/>
      <c r="V28" s="329"/>
      <c r="W28" s="501"/>
      <c r="X28" s="329"/>
      <c r="Y28" s="502"/>
      <c r="Z28" s="502"/>
      <c r="AA28" s="502"/>
      <c r="AB28" s="502"/>
      <c r="AC28" s="502"/>
    </row>
    <row r="29" spans="1:29">
      <c r="A29" s="338"/>
      <c r="B29" s="413" t="str">
        <f>SUMMARY!Y3</f>
        <v>PREMIX 312 (20KG)</v>
      </c>
      <c r="C29" s="338" t="s">
        <v>346</v>
      </c>
      <c r="D29" s="336">
        <f>SUMMARY!Y32</f>
        <v>0</v>
      </c>
      <c r="E29" s="336">
        <f>SUMMARY!Y33</f>
        <v>3600</v>
      </c>
      <c r="F29" s="336">
        <f>SUMMARY!Y34</f>
        <v>0</v>
      </c>
      <c r="G29" s="336">
        <f>SUMMARY!Y35</f>
        <v>0</v>
      </c>
      <c r="H29" s="336">
        <f>SUMMARY!Y36</f>
        <v>3600</v>
      </c>
      <c r="I29" s="336"/>
      <c r="J29" s="336"/>
      <c r="K29" s="336"/>
      <c r="L29" s="336"/>
      <c r="M29" s="339"/>
      <c r="N29" s="336"/>
      <c r="O29" s="413">
        <f t="shared" si="0"/>
        <v>-3600</v>
      </c>
      <c r="P29" s="339"/>
      <c r="Q29" s="336"/>
      <c r="R29" s="499"/>
      <c r="S29" s="336"/>
      <c r="T29" s="500"/>
      <c r="U29" s="336"/>
      <c r="V29" s="329"/>
      <c r="W29" s="501"/>
      <c r="X29" s="329"/>
      <c r="Y29" s="502"/>
      <c r="Z29" s="502"/>
      <c r="AA29" s="502"/>
      <c r="AB29" s="502"/>
      <c r="AC29" s="502"/>
    </row>
    <row r="30" spans="1:29">
      <c r="A30" s="338"/>
      <c r="B30" s="413">
        <f>SUMMARY!Z3</f>
        <v>1</v>
      </c>
      <c r="C30" s="338" t="s">
        <v>346</v>
      </c>
      <c r="D30" s="336">
        <f>SUMMARY!Z32</f>
        <v>0</v>
      </c>
      <c r="E30" s="336">
        <f>SUMMARY!Z33</f>
        <v>0</v>
      </c>
      <c r="F30" s="336">
        <f>SUMMARY!Z34</f>
        <v>0</v>
      </c>
      <c r="G30" s="336">
        <f>SUMMARY!Z35</f>
        <v>0</v>
      </c>
      <c r="H30" s="336">
        <f>SUMMARY!Z36</f>
        <v>0</v>
      </c>
      <c r="I30" s="336"/>
      <c r="J30" s="336"/>
      <c r="K30" s="336"/>
      <c r="L30" s="336"/>
      <c r="M30" s="339"/>
      <c r="N30" s="336"/>
      <c r="O30" s="413">
        <f t="shared" si="0"/>
        <v>0</v>
      </c>
      <c r="P30" s="339"/>
      <c r="Q30" s="336"/>
      <c r="R30" s="499"/>
      <c r="S30" s="336"/>
      <c r="T30" s="500"/>
      <c r="U30" s="336"/>
      <c r="V30" s="329"/>
      <c r="W30" s="501"/>
      <c r="X30" s="329"/>
      <c r="Y30" s="502"/>
      <c r="Z30" s="502"/>
      <c r="AA30" s="502"/>
      <c r="AB30" s="502"/>
      <c r="AC30" s="502"/>
    </row>
    <row r="31" spans="1:29">
      <c r="A31" s="338"/>
      <c r="B31" s="413" t="str">
        <f>SUMMARY!AA3</f>
        <v>PREMIX 8100 (20KG)</v>
      </c>
      <c r="C31" s="338" t="s">
        <v>346</v>
      </c>
      <c r="D31" s="336">
        <f>SUMMARY!AA32</f>
        <v>6360</v>
      </c>
      <c r="E31" s="336">
        <f>SUMMARY!AA33</f>
        <v>2000</v>
      </c>
      <c r="F31" s="336">
        <f>SUMMARY!AA34</f>
        <v>1560</v>
      </c>
      <c r="G31" s="336">
        <f>SUMMARY!AA35</f>
        <v>0</v>
      </c>
      <c r="H31" s="336">
        <f>SUMMARY!AA36</f>
        <v>6800</v>
      </c>
      <c r="I31" s="336"/>
      <c r="J31" s="336"/>
      <c r="K31" s="336"/>
      <c r="L31" s="336"/>
      <c r="M31" s="339"/>
      <c r="N31" s="336"/>
      <c r="O31" s="413">
        <f t="shared" si="0"/>
        <v>-6800</v>
      </c>
      <c r="P31" s="339"/>
      <c r="Q31" s="336"/>
      <c r="R31" s="499"/>
      <c r="S31" s="336"/>
      <c r="T31" s="500"/>
      <c r="U31" s="336"/>
      <c r="V31" s="329"/>
      <c r="W31" s="501"/>
      <c r="X31" s="329"/>
      <c r="Y31" s="502"/>
      <c r="Z31" s="502"/>
      <c r="AA31" s="502"/>
      <c r="AB31" s="502"/>
      <c r="AC31" s="502"/>
    </row>
    <row r="32" spans="1:29">
      <c r="A32" s="338"/>
      <c r="B32" s="413" t="str">
        <f>SUMMARY!AB3</f>
        <v>PREMIX 8101 (20KG)</v>
      </c>
      <c r="C32" s="338" t="s">
        <v>346</v>
      </c>
      <c r="D32" s="336">
        <f>SUMMARY!AB32</f>
        <v>6540</v>
      </c>
      <c r="E32" s="336">
        <f>SUMMARY!AB33</f>
        <v>180</v>
      </c>
      <c r="F32" s="336">
        <f>SUMMARY!AB34</f>
        <v>0</v>
      </c>
      <c r="G32" s="336">
        <f>SUMMARY!AB35</f>
        <v>-6000</v>
      </c>
      <c r="H32" s="336">
        <f>SUMMARY!AB36</f>
        <v>720</v>
      </c>
      <c r="I32" s="336"/>
      <c r="J32" s="336"/>
      <c r="K32" s="336"/>
      <c r="L32" s="336"/>
      <c r="M32" s="339"/>
      <c r="N32" s="336"/>
      <c r="O32" s="413">
        <f t="shared" si="0"/>
        <v>-720</v>
      </c>
      <c r="P32" s="339"/>
      <c r="Q32" s="336"/>
      <c r="R32" s="499"/>
      <c r="S32" s="336"/>
      <c r="T32" s="500"/>
      <c r="U32" s="336"/>
      <c r="V32" s="329"/>
      <c r="W32" s="501"/>
      <c r="X32" s="329"/>
      <c r="Y32" s="502"/>
      <c r="Z32" s="502"/>
      <c r="AA32" s="502"/>
      <c r="AB32" s="502"/>
      <c r="AC32" s="502"/>
    </row>
    <row r="33" spans="1:29">
      <c r="A33" s="338"/>
      <c r="B33" s="413" t="str">
        <f>SUMMARY!AC3</f>
        <v>PREMIX 8102 (20KG)</v>
      </c>
      <c r="C33" s="338" t="s">
        <v>346</v>
      </c>
      <c r="D33" s="336">
        <f>SUMMARY!AC32</f>
        <v>11540</v>
      </c>
      <c r="E33" s="336">
        <f>SUMMARY!AC33</f>
        <v>0</v>
      </c>
      <c r="F33" s="336">
        <f>SUMMARY!AC34</f>
        <v>0</v>
      </c>
      <c r="G33" s="336">
        <f>SUMMARY!AC35</f>
        <v>-3400</v>
      </c>
      <c r="H33" s="336">
        <f>SUMMARY!AC36</f>
        <v>8140</v>
      </c>
      <c r="I33" s="336"/>
      <c r="J33" s="336"/>
      <c r="K33" s="336"/>
      <c r="L33" s="336"/>
      <c r="M33" s="339"/>
      <c r="N33" s="336"/>
      <c r="O33" s="413">
        <f t="shared" si="0"/>
        <v>-8140</v>
      </c>
      <c r="P33" s="339"/>
      <c r="Q33" s="336"/>
      <c r="R33" s="499"/>
      <c r="S33" s="336"/>
      <c r="T33" s="500"/>
      <c r="U33" s="336"/>
      <c r="V33" s="329"/>
      <c r="W33" s="501"/>
      <c r="X33" s="329"/>
      <c r="Y33" s="502"/>
      <c r="Z33" s="502"/>
      <c r="AA33" s="502"/>
      <c r="AB33" s="502"/>
      <c r="AC33" s="502"/>
    </row>
    <row r="34" spans="1:29">
      <c r="A34" s="338"/>
      <c r="B34" s="413" t="str">
        <f>SUMMARY!AD3</f>
        <v>PREMIX 8103 (20KG)</v>
      </c>
      <c r="C34" s="338" t="s">
        <v>346</v>
      </c>
      <c r="D34" s="336">
        <f>SUMMARY!AD32</f>
        <v>15120</v>
      </c>
      <c r="E34" s="336">
        <f>SUMMARY!AD33</f>
        <v>0</v>
      </c>
      <c r="F34" s="336">
        <f>SUMMARY!AD34</f>
        <v>0</v>
      </c>
      <c r="G34" s="336">
        <f>SUMMARY!AD35</f>
        <v>-10160</v>
      </c>
      <c r="H34" s="336">
        <f>SUMMARY!AD36</f>
        <v>4960</v>
      </c>
      <c r="I34" s="336"/>
      <c r="J34" s="336"/>
      <c r="K34" s="336"/>
      <c r="L34" s="336"/>
      <c r="M34" s="339"/>
      <c r="N34" s="336"/>
      <c r="O34" s="413">
        <f t="shared" si="0"/>
        <v>-4960</v>
      </c>
      <c r="P34" s="339"/>
      <c r="Q34" s="336"/>
      <c r="R34" s="499"/>
      <c r="S34" s="336"/>
      <c r="T34" s="500"/>
      <c r="U34" s="336"/>
      <c r="V34" s="329"/>
      <c r="W34" s="501"/>
      <c r="X34" s="329"/>
      <c r="Y34" s="502"/>
      <c r="Z34" s="502"/>
      <c r="AA34" s="502"/>
      <c r="AB34" s="502"/>
      <c r="AC34" s="502"/>
    </row>
    <row r="35" spans="1:29">
      <c r="A35" s="338"/>
      <c r="B35" s="413" t="str">
        <f>SUMMARY!AE3</f>
        <v>PREMIX 8108 (20KG)</v>
      </c>
      <c r="C35" s="338" t="s">
        <v>346</v>
      </c>
      <c r="D35" s="336">
        <f>SUMMARY!AE32</f>
        <v>1960</v>
      </c>
      <c r="E35" s="336">
        <f>SUMMARY!AE33</f>
        <v>0</v>
      </c>
      <c r="F35" s="336">
        <f>SUMMARY!AE34</f>
        <v>6440</v>
      </c>
      <c r="G35" s="336">
        <f>SUMMARY!AE35</f>
        <v>4480</v>
      </c>
      <c r="H35" s="336">
        <f>SUMMARY!AE36</f>
        <v>0</v>
      </c>
      <c r="I35" s="336"/>
      <c r="J35" s="336"/>
      <c r="K35" s="336"/>
      <c r="L35" s="336"/>
      <c r="M35" s="339"/>
      <c r="N35" s="336"/>
      <c r="O35" s="413">
        <f t="shared" si="0"/>
        <v>0</v>
      </c>
      <c r="P35" s="339"/>
      <c r="Q35" s="336"/>
      <c r="R35" s="499"/>
      <c r="S35" s="336"/>
      <c r="T35" s="500"/>
      <c r="U35" s="336"/>
      <c r="V35" s="329"/>
      <c r="W35" s="501"/>
      <c r="X35" s="329"/>
      <c r="Y35" s="502"/>
      <c r="Z35" s="502"/>
      <c r="AA35" s="502"/>
      <c r="AB35" s="502"/>
      <c r="AC35" s="502"/>
    </row>
    <row r="36" spans="1:29">
      <c r="A36" s="338"/>
      <c r="B36" s="413" t="str">
        <f>SUMMARY!AF3</f>
        <v>PREMIX 8109 (20KG)</v>
      </c>
      <c r="C36" s="338" t="s">
        <v>346</v>
      </c>
      <c r="D36" s="336">
        <f>SUMMARY!AF32</f>
        <v>9100</v>
      </c>
      <c r="E36" s="336">
        <f>SUMMARY!AF33</f>
        <v>0</v>
      </c>
      <c r="F36" s="336">
        <f>SUMMARY!AF34</f>
        <v>3880</v>
      </c>
      <c r="G36" s="336">
        <f>SUMMARY!AF35</f>
        <v>-1880</v>
      </c>
      <c r="H36" s="336">
        <f>SUMMARY!AF36</f>
        <v>3340</v>
      </c>
      <c r="I36" s="336"/>
      <c r="J36" s="336"/>
      <c r="K36" s="336"/>
      <c r="L36" s="336"/>
      <c r="M36" s="339"/>
      <c r="N36" s="336"/>
      <c r="O36" s="413">
        <f t="shared" si="0"/>
        <v>-3340</v>
      </c>
      <c r="P36" s="339"/>
      <c r="Q36" s="336"/>
      <c r="R36" s="499"/>
      <c r="S36" s="336"/>
      <c r="T36" s="500"/>
      <c r="U36" s="336"/>
      <c r="V36" s="329"/>
      <c r="W36" s="501"/>
      <c r="X36" s="329"/>
      <c r="Y36" s="502"/>
      <c r="Z36" s="502"/>
      <c r="AA36" s="502"/>
      <c r="AB36" s="502"/>
      <c r="AC36" s="502"/>
    </row>
    <row r="37" spans="1:29">
      <c r="A37" s="338"/>
      <c r="B37" s="413" t="str">
        <f>SUMMARY!AG3</f>
        <v>YENMIX 121 (20KG)</v>
      </c>
      <c r="C37" s="338" t="s">
        <v>346</v>
      </c>
      <c r="D37" s="336">
        <f>SUMMARY!AG32</f>
        <v>2540</v>
      </c>
      <c r="E37" s="336">
        <f>SUMMARY!AG33</f>
        <v>0</v>
      </c>
      <c r="F37" s="336">
        <f>SUMMARY!AG34</f>
        <v>0</v>
      </c>
      <c r="G37" s="336">
        <f>SUMMARY!AG35</f>
        <v>0</v>
      </c>
      <c r="H37" s="336">
        <f>SUMMARY!AG36</f>
        <v>2540</v>
      </c>
      <c r="I37" s="336"/>
      <c r="J37" s="336"/>
      <c r="K37" s="336"/>
      <c r="L37" s="336"/>
      <c r="M37" s="339"/>
      <c r="N37" s="336"/>
      <c r="O37" s="413">
        <f t="shared" si="0"/>
        <v>-2540</v>
      </c>
      <c r="P37" s="339"/>
      <c r="Q37" s="336"/>
      <c r="R37" s="499"/>
      <c r="S37" s="336"/>
      <c r="T37" s="500"/>
      <c r="U37" s="336"/>
      <c r="V37" s="329"/>
      <c r="W37" s="501"/>
      <c r="X37" s="329"/>
      <c r="Y37" s="502"/>
      <c r="Z37" s="502"/>
      <c r="AA37" s="502"/>
      <c r="AB37" s="502"/>
      <c r="AC37" s="502"/>
    </row>
    <row r="38" spans="1:29">
      <c r="A38" s="338"/>
      <c r="B38" s="413" t="str">
        <f>SUMMARY!AH3</f>
        <v>YENMIX 122 (19.50KG)</v>
      </c>
      <c r="C38" s="338" t="s">
        <v>346</v>
      </c>
      <c r="D38" s="336">
        <f>SUMMARY!AH32</f>
        <v>19.5</v>
      </c>
      <c r="E38" s="336">
        <f>SUMMARY!AH33</f>
        <v>2340</v>
      </c>
      <c r="F38" s="336">
        <f>SUMMARY!AH34</f>
        <v>0</v>
      </c>
      <c r="G38" s="336">
        <f>SUMMARY!AH35</f>
        <v>0</v>
      </c>
      <c r="H38" s="336">
        <f>SUMMARY!AH36</f>
        <v>2359.5</v>
      </c>
      <c r="I38" s="336"/>
      <c r="J38" s="336"/>
      <c r="K38" s="336"/>
      <c r="L38" s="336"/>
      <c r="M38" s="339"/>
      <c r="N38" s="336"/>
      <c r="O38" s="413">
        <f t="shared" si="0"/>
        <v>-2359.5</v>
      </c>
      <c r="P38" s="339"/>
      <c r="Q38" s="336"/>
      <c r="R38" s="499"/>
      <c r="S38" s="336"/>
      <c r="T38" s="500"/>
      <c r="U38" s="336"/>
      <c r="V38" s="329"/>
      <c r="W38" s="501"/>
      <c r="X38" s="329"/>
      <c r="Y38" s="502"/>
      <c r="Z38" s="502"/>
      <c r="AA38" s="502"/>
      <c r="AB38" s="502"/>
      <c r="AC38" s="502"/>
    </row>
    <row r="39" spans="1:29">
      <c r="A39" s="338"/>
      <c r="B39" s="413" t="str">
        <f>SUMMARY!AI3</f>
        <v>YENMIX 123 (18.90KG)</v>
      </c>
      <c r="C39" s="338" t="s">
        <v>346</v>
      </c>
      <c r="D39" s="336">
        <f>SUMMARY!AI32</f>
        <v>2079</v>
      </c>
      <c r="E39" s="336">
        <f>SUMMARY!AI33</f>
        <v>0</v>
      </c>
      <c r="F39" s="336">
        <f>SUMMARY!AI34</f>
        <v>944.99999999999989</v>
      </c>
      <c r="G39" s="336">
        <f>SUMMARY!AI35</f>
        <v>755.99999999999989</v>
      </c>
      <c r="H39" s="336">
        <f>SUMMARY!AI36</f>
        <v>1890</v>
      </c>
      <c r="I39" s="336"/>
      <c r="J39" s="336"/>
      <c r="K39" s="336"/>
      <c r="L39" s="336"/>
      <c r="M39" s="339"/>
      <c r="N39" s="336"/>
      <c r="O39" s="413">
        <f t="shared" si="0"/>
        <v>-1890</v>
      </c>
      <c r="P39" s="339"/>
      <c r="Q39" s="336"/>
      <c r="R39" s="499"/>
      <c r="S39" s="336"/>
      <c r="T39" s="500"/>
      <c r="U39" s="336"/>
      <c r="V39" s="329"/>
      <c r="W39" s="501"/>
      <c r="X39" s="329"/>
      <c r="Y39" s="502"/>
      <c r="Z39" s="502"/>
      <c r="AA39" s="502"/>
      <c r="AB39" s="502"/>
      <c r="AC39" s="502"/>
    </row>
    <row r="40" spans="1:29">
      <c r="A40" s="338"/>
      <c r="B40" s="413" t="str">
        <f>SUMMARY!AJ3</f>
        <v>YENMIX 122 (20.50KG)</v>
      </c>
      <c r="C40" s="338" t="s">
        <v>346</v>
      </c>
      <c r="D40" s="336">
        <f>SUMMARY!AJ32</f>
        <v>6150</v>
      </c>
      <c r="E40" s="336">
        <f>SUMMARY!AJ33</f>
        <v>0</v>
      </c>
      <c r="F40" s="336">
        <f>SUMMARY!AJ34</f>
        <v>0</v>
      </c>
      <c r="G40" s="336">
        <f>SUMMARY!AJ35</f>
        <v>-2460</v>
      </c>
      <c r="H40" s="336">
        <f>SUMMARY!AJ36</f>
        <v>3690</v>
      </c>
      <c r="I40" s="336"/>
      <c r="J40" s="336"/>
      <c r="K40" s="336"/>
      <c r="L40" s="336"/>
      <c r="M40" s="339"/>
      <c r="N40" s="336"/>
      <c r="O40" s="413">
        <f t="shared" si="0"/>
        <v>-3690</v>
      </c>
      <c r="P40" s="339"/>
      <c r="Q40" s="336"/>
      <c r="R40" s="499"/>
      <c r="S40" s="336"/>
      <c r="T40" s="500"/>
      <c r="U40" s="336"/>
      <c r="V40" s="329"/>
      <c r="W40" s="501"/>
      <c r="X40" s="329"/>
      <c r="Y40" s="502"/>
      <c r="Z40" s="502"/>
      <c r="AA40" s="502"/>
      <c r="AB40" s="502"/>
      <c r="AC40" s="502"/>
    </row>
    <row r="41" spans="1:29">
      <c r="A41" s="338"/>
      <c r="B41" s="413" t="str">
        <f>SUMMARY!AK3</f>
        <v>YENMIX 123 (20.00KG)</v>
      </c>
      <c r="C41" s="338" t="s">
        <v>346</v>
      </c>
      <c r="D41" s="336">
        <f>SUMMARY!AK32</f>
        <v>4000</v>
      </c>
      <c r="E41" s="336">
        <f>SUMMARY!AK33</f>
        <v>0</v>
      </c>
      <c r="F41" s="336">
        <f>SUMMARY!AK34</f>
        <v>0</v>
      </c>
      <c r="G41" s="336">
        <f>SUMMARY!AK35</f>
        <v>0</v>
      </c>
      <c r="H41" s="336">
        <f>SUMMARY!AK36</f>
        <v>4000</v>
      </c>
      <c r="I41" s="336"/>
      <c r="J41" s="336"/>
      <c r="K41" s="336"/>
      <c r="L41" s="336"/>
      <c r="M41" s="339"/>
      <c r="N41" s="336"/>
      <c r="O41" s="413">
        <f t="shared" si="0"/>
        <v>-4000</v>
      </c>
      <c r="P41" s="339"/>
      <c r="Q41" s="336"/>
      <c r="R41" s="499"/>
      <c r="S41" s="336"/>
      <c r="T41" s="500"/>
      <c r="U41" s="336"/>
      <c r="V41" s="329"/>
      <c r="W41" s="501"/>
      <c r="X41" s="329"/>
      <c r="Y41" s="502"/>
      <c r="Z41" s="502"/>
      <c r="AA41" s="502"/>
      <c r="AB41" s="502"/>
      <c r="AC41" s="502"/>
    </row>
    <row r="42" spans="1:29">
      <c r="A42" s="338"/>
      <c r="B42" s="413">
        <f>SUMMARY!AL3</f>
        <v>1</v>
      </c>
      <c r="C42" s="338" t="s">
        <v>346</v>
      </c>
      <c r="D42" s="336">
        <f>SUMMARY!AL32</f>
        <v>0</v>
      </c>
      <c r="E42" s="336">
        <f>SUMMARY!AL33</f>
        <v>0</v>
      </c>
      <c r="F42" s="336">
        <f>SUMMARY!AL34</f>
        <v>0</v>
      </c>
      <c r="G42" s="336">
        <f>SUMMARY!AL35</f>
        <v>0</v>
      </c>
      <c r="H42" s="336">
        <f>SUMMARY!AL36</f>
        <v>0</v>
      </c>
      <c r="I42" s="336"/>
      <c r="J42" s="336"/>
      <c r="K42" s="336"/>
      <c r="L42" s="336"/>
      <c r="M42" s="339"/>
      <c r="N42" s="336"/>
      <c r="O42" s="413">
        <f t="shared" si="0"/>
        <v>0</v>
      </c>
      <c r="P42" s="339"/>
      <c r="Q42" s="336"/>
      <c r="R42" s="336"/>
      <c r="S42" s="336"/>
      <c r="T42" s="336"/>
      <c r="U42" s="336"/>
      <c r="V42" s="329"/>
      <c r="W42" s="501"/>
      <c r="X42" s="329"/>
      <c r="Y42" s="502"/>
      <c r="Z42" s="502"/>
      <c r="AA42" s="502"/>
      <c r="AB42" s="502"/>
      <c r="AC42" s="502"/>
    </row>
    <row r="43" spans="1:29">
      <c r="A43" s="338"/>
      <c r="B43" s="413">
        <f>SUMMARY!AM3</f>
        <v>2</v>
      </c>
      <c r="C43" s="338" t="s">
        <v>346</v>
      </c>
      <c r="D43" s="336">
        <f>SUMMARY!AM32</f>
        <v>0</v>
      </c>
      <c r="E43" s="336">
        <f>SUMMARY!AM33</f>
        <v>0</v>
      </c>
      <c r="F43" s="336">
        <f>SUMMARY!AM34</f>
        <v>0</v>
      </c>
      <c r="G43" s="336">
        <f>SUMMARY!AM35</f>
        <v>0</v>
      </c>
      <c r="H43" s="336">
        <f>SUMMARY!AM36</f>
        <v>0</v>
      </c>
      <c r="I43" s="336"/>
      <c r="J43" s="336"/>
      <c r="K43" s="336"/>
      <c r="L43" s="336"/>
      <c r="M43" s="339"/>
      <c r="N43" s="336"/>
      <c r="O43" s="413">
        <f t="shared" si="0"/>
        <v>0</v>
      </c>
      <c r="P43" s="339"/>
      <c r="Q43" s="336"/>
      <c r="R43" s="336"/>
      <c r="S43" s="336"/>
      <c r="T43" s="336"/>
      <c r="U43" s="336"/>
      <c r="V43" s="329"/>
      <c r="W43" s="501"/>
      <c r="X43" s="329"/>
      <c r="Y43" s="502"/>
      <c r="Z43" s="502"/>
      <c r="AA43" s="502"/>
      <c r="AB43" s="502"/>
      <c r="AC43" s="502"/>
    </row>
    <row r="44" spans="1:29">
      <c r="A44" s="338"/>
      <c r="B44" s="413">
        <f>SUMMARY!AN3</f>
        <v>3</v>
      </c>
      <c r="C44" s="338" t="s">
        <v>346</v>
      </c>
      <c r="D44" s="336">
        <f>SUMMARY!AN32</f>
        <v>0</v>
      </c>
      <c r="E44" s="336">
        <f>SUMMARY!AN33</f>
        <v>0</v>
      </c>
      <c r="F44" s="336">
        <f>SUMMARY!AN34</f>
        <v>0</v>
      </c>
      <c r="G44" s="336">
        <f>SUMMARY!AN35</f>
        <v>0</v>
      </c>
      <c r="H44" s="336">
        <f>SUMMARY!AN36</f>
        <v>0</v>
      </c>
      <c r="I44" s="336"/>
      <c r="J44" s="336"/>
      <c r="K44" s="336"/>
      <c r="L44" s="336"/>
      <c r="M44" s="339"/>
      <c r="N44" s="336"/>
      <c r="O44" s="413">
        <f t="shared" si="0"/>
        <v>0</v>
      </c>
      <c r="P44" s="339"/>
      <c r="Q44" s="336"/>
      <c r="R44" s="336"/>
      <c r="S44" s="336"/>
      <c r="T44" s="336"/>
      <c r="U44" s="336"/>
      <c r="V44" s="329"/>
      <c r="W44" s="501"/>
      <c r="X44" s="329"/>
      <c r="Y44" s="502"/>
      <c r="Z44" s="502"/>
      <c r="AA44" s="502"/>
      <c r="AB44" s="502"/>
      <c r="AC44" s="502"/>
    </row>
    <row r="45" spans="1:29">
      <c r="A45" s="338"/>
      <c r="B45" s="413" t="str">
        <f>SUMMARY!AO3</f>
        <v>TOXISORB PREMIUM</v>
      </c>
      <c r="C45" s="338" t="s">
        <v>346</v>
      </c>
      <c r="D45" s="336">
        <f>SUMMARY!AO32</f>
        <v>3903</v>
      </c>
      <c r="E45" s="336">
        <f>SUMMARY!AO33</f>
        <v>0</v>
      </c>
      <c r="F45" s="336">
        <f>SUMMARY!AO34</f>
        <v>212</v>
      </c>
      <c r="G45" s="336">
        <f>SUMMARY!AO35</f>
        <v>0</v>
      </c>
      <c r="H45" s="336">
        <f>SUMMARY!AO36</f>
        <v>3724</v>
      </c>
      <c r="I45" s="336"/>
      <c r="J45" s="336"/>
      <c r="K45" s="336"/>
      <c r="L45" s="336"/>
      <c r="M45" s="339"/>
      <c r="N45" s="336"/>
      <c r="O45" s="413">
        <f t="shared" si="0"/>
        <v>-3724</v>
      </c>
      <c r="P45" s="339"/>
      <c r="Q45" s="336"/>
      <c r="R45" s="499"/>
      <c r="S45" s="336"/>
      <c r="T45" s="500"/>
      <c r="U45" s="336"/>
      <c r="V45" s="329"/>
      <c r="W45" s="501"/>
      <c r="X45" s="329"/>
      <c r="Y45" s="502"/>
      <c r="Z45" s="502"/>
      <c r="AA45" s="502"/>
      <c r="AB45" s="502"/>
      <c r="AC45" s="502"/>
    </row>
    <row r="46" spans="1:29">
      <c r="A46" s="338"/>
      <c r="B46" s="413" t="str">
        <f>SUMMARY!AP3</f>
        <v>SODIUM HUMATE 3.8% (HARUMI)</v>
      </c>
      <c r="C46" s="338" t="s">
        <v>346</v>
      </c>
      <c r="D46" s="336">
        <f>SUMMARY!AP32</f>
        <v>0</v>
      </c>
      <c r="E46" s="336">
        <f>SUMMARY!AP33</f>
        <v>2134</v>
      </c>
      <c r="F46" s="336">
        <f>SUMMARY!AP34</f>
        <v>2182</v>
      </c>
      <c r="G46" s="336">
        <f>SUMMARY!AP35</f>
        <v>0</v>
      </c>
      <c r="H46" s="336">
        <f>SUMMARY!AP36</f>
        <v>0</v>
      </c>
      <c r="I46" s="336"/>
      <c r="J46" s="336"/>
      <c r="K46" s="336"/>
      <c r="L46" s="336"/>
      <c r="M46" s="339"/>
      <c r="N46" s="336"/>
      <c r="O46" s="413">
        <f t="shared" si="0"/>
        <v>0</v>
      </c>
      <c r="P46" s="339"/>
      <c r="Q46" s="336"/>
      <c r="R46" s="499"/>
      <c r="S46" s="336"/>
      <c r="T46" s="500"/>
      <c r="U46" s="336"/>
      <c r="V46" s="329"/>
      <c r="W46" s="501"/>
      <c r="X46" s="329"/>
      <c r="Y46" s="502"/>
      <c r="Z46" s="502"/>
      <c r="AA46" s="502"/>
      <c r="AB46" s="502"/>
      <c r="AC46" s="502"/>
    </row>
    <row r="47" spans="1:29">
      <c r="A47" s="338"/>
      <c r="B47" s="413"/>
      <c r="C47" s="338"/>
      <c r="D47" s="336"/>
      <c r="E47" s="336"/>
      <c r="F47" s="336"/>
      <c r="G47" s="336"/>
      <c r="H47" s="336"/>
      <c r="I47" s="336"/>
      <c r="J47" s="336"/>
      <c r="K47" s="336"/>
      <c r="L47" s="336"/>
      <c r="M47" s="339"/>
      <c r="N47" s="336"/>
      <c r="O47" s="413"/>
      <c r="P47" s="339"/>
      <c r="Q47" s="336"/>
      <c r="R47" s="499"/>
      <c r="S47" s="336"/>
      <c r="T47" s="500"/>
      <c r="U47" s="336"/>
      <c r="V47" s="329"/>
      <c r="W47" s="501"/>
      <c r="X47" s="329"/>
      <c r="Y47" s="502"/>
      <c r="Z47" s="502"/>
      <c r="AA47" s="502"/>
      <c r="AB47" s="502"/>
      <c r="AC47" s="502"/>
    </row>
    <row r="48" spans="1:29">
      <c r="A48" s="338"/>
      <c r="B48" s="413" t="str">
        <f>SUMMARY!AR3</f>
        <v>SODIUM BICARBONATE</v>
      </c>
      <c r="C48" s="338" t="s">
        <v>346</v>
      </c>
      <c r="D48" s="336">
        <f>SUMMARY!AR32</f>
        <v>3122.8999999999996</v>
      </c>
      <c r="E48" s="336">
        <f>SUMMARY!AR33</f>
        <v>1.1000000000000001</v>
      </c>
      <c r="F48" s="336">
        <f>SUMMARY!AR34</f>
        <v>12</v>
      </c>
      <c r="G48" s="336">
        <f>SUMMARY!AR35</f>
        <v>0</v>
      </c>
      <c r="H48" s="336">
        <f>SUMMARY!AR36</f>
        <v>3111.9999999999995</v>
      </c>
      <c r="I48" s="336"/>
      <c r="J48" s="336"/>
      <c r="K48" s="336"/>
      <c r="L48" s="336"/>
      <c r="M48" s="339"/>
      <c r="N48" s="336"/>
      <c r="O48" s="413"/>
      <c r="P48" s="339"/>
      <c r="Q48" s="336"/>
      <c r="R48" s="499"/>
      <c r="S48" s="336"/>
      <c r="T48" s="500"/>
      <c r="U48" s="336"/>
      <c r="V48" s="329"/>
      <c r="W48" s="501"/>
      <c r="X48" s="329"/>
      <c r="Y48" s="502"/>
      <c r="Z48" s="502"/>
      <c r="AA48" s="502"/>
      <c r="AB48" s="502"/>
      <c r="AC48" s="502"/>
    </row>
    <row r="49" spans="1:29">
      <c r="A49" s="338"/>
      <c r="B49" s="413"/>
      <c r="C49" s="338"/>
      <c r="D49" s="336"/>
      <c r="E49" s="336"/>
      <c r="F49" s="336"/>
      <c r="G49" s="336"/>
      <c r="H49" s="336"/>
      <c r="I49" s="336"/>
      <c r="J49" s="336"/>
      <c r="K49" s="336"/>
      <c r="L49" s="336"/>
      <c r="M49" s="339"/>
      <c r="N49" s="336"/>
      <c r="O49" s="413"/>
      <c r="P49" s="339"/>
      <c r="Q49" s="336"/>
      <c r="R49" s="499"/>
      <c r="S49" s="336"/>
      <c r="T49" s="500"/>
      <c r="U49" s="336"/>
      <c r="V49" s="329"/>
      <c r="W49" s="501"/>
      <c r="X49" s="329"/>
      <c r="Y49" s="502"/>
      <c r="Z49" s="502"/>
      <c r="AA49" s="502"/>
      <c r="AB49" s="502"/>
      <c r="AC49" s="502"/>
    </row>
    <row r="50" spans="1:29">
      <c r="A50" s="338"/>
      <c r="B50" s="310"/>
      <c r="C50" s="338"/>
      <c r="D50" s="336"/>
      <c r="E50" s="336"/>
      <c r="F50" s="336"/>
      <c r="G50" s="336"/>
      <c r="H50" s="336"/>
      <c r="I50" s="336"/>
      <c r="J50" s="336"/>
      <c r="K50" s="336"/>
      <c r="L50" s="336"/>
      <c r="M50" s="339"/>
      <c r="N50" s="336"/>
      <c r="O50" s="413"/>
      <c r="P50" s="339"/>
      <c r="Q50" s="336"/>
      <c r="R50" s="499"/>
      <c r="S50" s="336"/>
      <c r="T50" s="500"/>
      <c r="U50" s="336"/>
      <c r="V50" s="329"/>
      <c r="W50" s="501"/>
      <c r="X50" s="329"/>
      <c r="Y50" s="502"/>
      <c r="Z50" s="502"/>
      <c r="AA50" s="502"/>
      <c r="AB50" s="502"/>
      <c r="AC50" s="502"/>
    </row>
    <row r="51" spans="1:29">
      <c r="A51" s="338"/>
      <c r="B51" s="413" t="str">
        <f>SUMMARY!AQ3</f>
        <v>TOXIWALL</v>
      </c>
      <c r="C51" s="338" t="s">
        <v>346</v>
      </c>
      <c r="D51" s="336">
        <f>SUMMARY!AQ32</f>
        <v>1137</v>
      </c>
      <c r="E51" s="336">
        <f>SUMMARY!AQ33</f>
        <v>0</v>
      </c>
      <c r="F51" s="336">
        <f>SUMMARY!AQ34</f>
        <v>50</v>
      </c>
      <c r="G51" s="336">
        <f>SUMMARY!AQ35</f>
        <v>0</v>
      </c>
      <c r="H51" s="336">
        <f>SUMMARY!AQ36</f>
        <v>1127</v>
      </c>
      <c r="I51" s="336"/>
      <c r="J51" s="336"/>
      <c r="K51" s="336"/>
      <c r="L51" s="336"/>
      <c r="M51" s="339"/>
      <c r="N51" s="336"/>
      <c r="O51" s="413">
        <f t="shared" si="0"/>
        <v>-1127</v>
      </c>
      <c r="P51" s="339"/>
      <c r="Q51" s="336"/>
      <c r="R51" s="499"/>
      <c r="S51" s="336"/>
      <c r="T51" s="500"/>
      <c r="U51" s="336"/>
      <c r="V51" s="329"/>
      <c r="W51" s="501"/>
      <c r="X51" s="329"/>
      <c r="Y51" s="502"/>
      <c r="Z51" s="502"/>
      <c r="AA51" s="502"/>
      <c r="AB51" s="502"/>
      <c r="AC51" s="502"/>
    </row>
    <row r="52" spans="1:29">
      <c r="A52" s="338"/>
      <c r="B52" s="413" t="str">
        <f>SUMMARY!AS3</f>
        <v>BMD 10%</v>
      </c>
      <c r="C52" s="338" t="s">
        <v>346</v>
      </c>
      <c r="D52" s="336">
        <f>SUMMARY!AS32</f>
        <v>1680.5</v>
      </c>
      <c r="E52" s="336">
        <f>SUMMARY!AS33</f>
        <v>0</v>
      </c>
      <c r="F52" s="336">
        <f>SUMMARY!AS34</f>
        <v>0</v>
      </c>
      <c r="G52" s="336">
        <f>SUMMARY!AS35</f>
        <v>0</v>
      </c>
      <c r="H52" s="336">
        <f>SUMMARY!AS36</f>
        <v>1680.5</v>
      </c>
      <c r="I52" s="336"/>
      <c r="J52" s="336"/>
      <c r="K52" s="336"/>
      <c r="L52" s="336"/>
      <c r="M52" s="339"/>
      <c r="N52" s="336"/>
      <c r="O52" s="413">
        <f t="shared" si="0"/>
        <v>-1680.5</v>
      </c>
      <c r="P52" s="339"/>
      <c r="Q52" s="336"/>
      <c r="R52" s="499"/>
      <c r="S52" s="336"/>
      <c r="T52" s="500"/>
      <c r="U52" s="336"/>
      <c r="V52" s="329"/>
      <c r="W52" s="501"/>
      <c r="X52" s="329"/>
      <c r="Y52" s="502"/>
      <c r="Z52" s="502"/>
      <c r="AA52" s="502"/>
      <c r="AB52" s="502"/>
      <c r="AC52" s="502"/>
    </row>
    <row r="53" spans="1:29">
      <c r="A53" s="338"/>
      <c r="B53" s="413" t="str">
        <f>SUMMARY!AT3</f>
        <v>SALT (HARUMI)</v>
      </c>
      <c r="C53" s="338" t="s">
        <v>346</v>
      </c>
      <c r="D53" s="336">
        <f>SUMMARY!AT32</f>
        <v>0</v>
      </c>
      <c r="E53" s="336">
        <f>SUMMARY!AT33</f>
        <v>324.39999999999998</v>
      </c>
      <c r="F53" s="336">
        <f>SUMMARY!AT34</f>
        <v>324.39999999999998</v>
      </c>
      <c r="G53" s="336">
        <f>SUMMARY!AT35</f>
        <v>0</v>
      </c>
      <c r="H53" s="336">
        <f>SUMMARY!AT36</f>
        <v>0</v>
      </c>
      <c r="I53" s="336"/>
      <c r="J53" s="336"/>
      <c r="K53" s="336"/>
      <c r="L53" s="336"/>
      <c r="M53" s="339"/>
      <c r="N53" s="336"/>
      <c r="O53" s="413">
        <f t="shared" si="0"/>
        <v>0</v>
      </c>
      <c r="P53" s="339"/>
      <c r="Q53" s="336"/>
      <c r="R53" s="499"/>
      <c r="S53" s="336"/>
      <c r="T53" s="500"/>
      <c r="U53" s="336"/>
      <c r="V53" s="329"/>
      <c r="W53" s="501"/>
      <c r="X53" s="329"/>
      <c r="Y53" s="502"/>
      <c r="Z53" s="502"/>
      <c r="AA53" s="502"/>
      <c r="AB53" s="502"/>
      <c r="AC53" s="502"/>
    </row>
    <row r="54" spans="1:29">
      <c r="A54" s="338"/>
      <c r="B54" s="413" t="str">
        <f>SUMMARY!AU3</f>
        <v>VISTABET 91</v>
      </c>
      <c r="C54" s="338" t="s">
        <v>346</v>
      </c>
      <c r="D54" s="336">
        <f>SUMMARY!AU32</f>
        <v>982</v>
      </c>
      <c r="E54" s="336">
        <f>SUMMARY!AU33</f>
        <v>500</v>
      </c>
      <c r="F54" s="336">
        <f>SUMMARY!AU34</f>
        <v>0</v>
      </c>
      <c r="G54" s="336">
        <f>SUMMARY!AU35</f>
        <v>0</v>
      </c>
      <c r="H54" s="336">
        <f>SUMMARY!AU36</f>
        <v>1482</v>
      </c>
      <c r="I54" s="336"/>
      <c r="J54" s="336"/>
      <c r="K54" s="336"/>
      <c r="L54" s="336"/>
      <c r="M54" s="339"/>
      <c r="N54" s="336"/>
      <c r="O54" s="413">
        <f t="shared" si="0"/>
        <v>-1482</v>
      </c>
      <c r="P54" s="339"/>
      <c r="Q54" s="336"/>
      <c r="R54" s="499"/>
      <c r="S54" s="336"/>
      <c r="T54" s="500"/>
      <c r="U54" s="336"/>
      <c r="V54" s="329"/>
      <c r="W54" s="501"/>
      <c r="X54" s="329"/>
      <c r="Y54" s="502"/>
      <c r="Z54" s="502"/>
      <c r="AA54" s="502"/>
      <c r="AB54" s="502"/>
      <c r="AC54" s="502"/>
    </row>
    <row r="55" spans="1:29">
      <c r="A55" s="338"/>
      <c r="B55" s="413" t="str">
        <f>SUMMARY!AV3</f>
        <v>BETAFIN</v>
      </c>
      <c r="C55" s="338" t="s">
        <v>346</v>
      </c>
      <c r="D55" s="336">
        <f>SUMMARY!AV32</f>
        <v>0</v>
      </c>
      <c r="E55" s="336">
        <f>SUMMARY!AV33</f>
        <v>0</v>
      </c>
      <c r="F55" s="336">
        <f>SUMMARY!AV34</f>
        <v>0</v>
      </c>
      <c r="G55" s="336">
        <f>SUMMARY!AV35</f>
        <v>0</v>
      </c>
      <c r="H55" s="336">
        <f>SUMMARY!AV36</f>
        <v>0</v>
      </c>
      <c r="I55" s="336"/>
      <c r="J55" s="336"/>
      <c r="K55" s="336"/>
      <c r="L55" s="336"/>
      <c r="M55" s="339"/>
      <c r="N55" s="336"/>
      <c r="O55" s="413">
        <f t="shared" si="0"/>
        <v>0</v>
      </c>
      <c r="P55" s="339"/>
      <c r="Q55" s="336"/>
      <c r="R55" s="499"/>
      <c r="S55" s="336"/>
      <c r="T55" s="500"/>
      <c r="U55" s="336"/>
      <c r="V55" s="329"/>
      <c r="W55" s="501"/>
      <c r="X55" s="329"/>
      <c r="Y55" s="502"/>
      <c r="Z55" s="502"/>
      <c r="AA55" s="502"/>
      <c r="AB55" s="502"/>
      <c r="AC55" s="502"/>
    </row>
    <row r="56" spans="1:29">
      <c r="A56" s="338"/>
      <c r="B56" s="413" t="str">
        <f>SUMMARY!AW3</f>
        <v>8101 TOP UP</v>
      </c>
      <c r="C56" s="338" t="s">
        <v>346</v>
      </c>
      <c r="D56" s="336">
        <f>SUMMARY!AW32</f>
        <v>100</v>
      </c>
      <c r="E56" s="336">
        <f>SUMMARY!AW33</f>
        <v>0</v>
      </c>
      <c r="F56" s="336">
        <f>SUMMARY!AW34</f>
        <v>0</v>
      </c>
      <c r="G56" s="336">
        <f>SUMMARY!AW35</f>
        <v>0</v>
      </c>
      <c r="H56" s="336">
        <f>SUMMARY!AW36</f>
        <v>100</v>
      </c>
      <c r="I56" s="336"/>
      <c r="J56" s="336"/>
      <c r="K56" s="336"/>
      <c r="L56" s="336"/>
      <c r="M56" s="339"/>
      <c r="N56" s="336"/>
      <c r="O56" s="413">
        <f t="shared" si="0"/>
        <v>-100</v>
      </c>
      <c r="P56" s="339"/>
      <c r="Q56" s="336"/>
      <c r="R56" s="499"/>
      <c r="S56" s="336"/>
      <c r="T56" s="500"/>
      <c r="U56" s="336"/>
      <c r="V56" s="329"/>
      <c r="W56" s="501"/>
      <c r="X56" s="329"/>
      <c r="Y56" s="502"/>
      <c r="Z56" s="502"/>
      <c r="AA56" s="502"/>
      <c r="AB56" s="502"/>
      <c r="AC56" s="502"/>
    </row>
    <row r="57" spans="1:29">
      <c r="A57" s="338"/>
      <c r="B57" s="413" t="str">
        <f>SUMMARY!AX3</f>
        <v>NORPONIN X03 (8102 TOP UP)</v>
      </c>
      <c r="C57" s="338" t="s">
        <v>346</v>
      </c>
      <c r="D57" s="336">
        <f>SUMMARY!AX32</f>
        <v>13.960000000000036</v>
      </c>
      <c r="E57" s="336">
        <f>SUMMARY!AX33</f>
        <v>0</v>
      </c>
      <c r="F57" s="336">
        <f>SUMMARY!AX34</f>
        <v>0</v>
      </c>
      <c r="G57" s="336">
        <f>SUMMARY!AX35</f>
        <v>0</v>
      </c>
      <c r="H57" s="336">
        <f>SUMMARY!AX36</f>
        <v>13.960000000000036</v>
      </c>
      <c r="I57" s="336"/>
      <c r="J57" s="336"/>
      <c r="K57" s="336"/>
      <c r="L57" s="336"/>
      <c r="M57" s="339"/>
      <c r="N57" s="336"/>
      <c r="O57" s="413">
        <f t="shared" si="0"/>
        <v>-13.960000000000036</v>
      </c>
      <c r="P57" s="339"/>
      <c r="Q57" s="336"/>
      <c r="R57" s="499"/>
      <c r="S57" s="336"/>
      <c r="T57" s="500"/>
      <c r="U57" s="336"/>
      <c r="V57" s="329"/>
      <c r="W57" s="501"/>
      <c r="X57" s="329"/>
      <c r="Y57" s="502"/>
      <c r="Z57" s="502"/>
      <c r="AA57" s="502"/>
      <c r="AB57" s="502"/>
      <c r="AC57" s="502"/>
    </row>
    <row r="58" spans="1:29">
      <c r="A58" s="338"/>
      <c r="B58" s="413" t="str">
        <f>SUMMARY!AY3</f>
        <v>8102 TOP UP (4KG)</v>
      </c>
      <c r="C58" s="338" t="s">
        <v>346</v>
      </c>
      <c r="D58" s="336">
        <f>SUMMARY!AY32</f>
        <v>596</v>
      </c>
      <c r="E58" s="336">
        <f>SUMMARY!AY33</f>
        <v>800</v>
      </c>
      <c r="F58" s="336">
        <f>SUMMARY!AY34</f>
        <v>1288</v>
      </c>
      <c r="G58" s="336">
        <f>SUMMARY!AY35</f>
        <v>0</v>
      </c>
      <c r="H58" s="336">
        <f>SUMMARY!AY36</f>
        <v>108</v>
      </c>
      <c r="I58" s="336"/>
      <c r="J58" s="336"/>
      <c r="K58" s="336"/>
      <c r="L58" s="336"/>
      <c r="M58" s="339"/>
      <c r="N58" s="336"/>
      <c r="O58" s="413">
        <f t="shared" si="0"/>
        <v>-108</v>
      </c>
      <c r="P58" s="339"/>
      <c r="Q58" s="336"/>
      <c r="R58" s="499"/>
      <c r="S58" s="336"/>
      <c r="T58" s="500"/>
      <c r="U58" s="336"/>
      <c r="V58" s="329"/>
      <c r="W58" s="501"/>
      <c r="X58" s="329"/>
      <c r="Y58" s="502"/>
      <c r="Z58" s="502"/>
      <c r="AA58" s="502"/>
      <c r="AB58" s="502"/>
      <c r="AC58" s="502"/>
    </row>
    <row r="59" spans="1:29">
      <c r="A59" s="338"/>
      <c r="B59" s="413" t="str">
        <f>SUMMARY!AZ3</f>
        <v>8103 TOP UP (5KG)</v>
      </c>
      <c r="C59" s="338" t="s">
        <v>346</v>
      </c>
      <c r="D59" s="336">
        <f>SUMMARY!AZ32</f>
        <v>400</v>
      </c>
      <c r="E59" s="336">
        <f>SUMMARY!AZ33</f>
        <v>1940</v>
      </c>
      <c r="F59" s="336">
        <f>SUMMARY!AZ34</f>
        <v>2095</v>
      </c>
      <c r="G59" s="336">
        <f>SUMMARY!AZ35</f>
        <v>0</v>
      </c>
      <c r="H59" s="336">
        <f>SUMMARY!AZ36</f>
        <v>245</v>
      </c>
      <c r="I59" s="336"/>
      <c r="J59" s="336"/>
      <c r="K59" s="336"/>
      <c r="L59" s="336"/>
      <c r="M59" s="339"/>
      <c r="N59" s="336"/>
      <c r="O59" s="413">
        <f t="shared" si="0"/>
        <v>-245</v>
      </c>
      <c r="P59" s="339"/>
      <c r="Q59" s="336"/>
      <c r="R59" s="499"/>
      <c r="S59" s="336"/>
      <c r="T59" s="500"/>
      <c r="U59" s="336"/>
      <c r="V59" s="329"/>
      <c r="W59" s="501"/>
      <c r="X59" s="329"/>
      <c r="Y59" s="502"/>
      <c r="Z59" s="502"/>
      <c r="AA59" s="502"/>
      <c r="AB59" s="502"/>
      <c r="AC59" s="502"/>
    </row>
    <row r="60" spans="1:29">
      <c r="A60" s="338"/>
      <c r="B60" s="413" t="str">
        <f>SUMMARY!BA3</f>
        <v>L-ARGININE</v>
      </c>
      <c r="C60" s="338" t="s">
        <v>346</v>
      </c>
      <c r="D60" s="336"/>
      <c r="E60" s="336"/>
      <c r="F60" s="336"/>
      <c r="G60" s="336"/>
      <c r="H60" s="336"/>
      <c r="I60" s="336"/>
      <c r="J60" s="336"/>
      <c r="K60" s="336"/>
      <c r="L60" s="336"/>
      <c r="M60" s="339"/>
      <c r="N60" s="336"/>
      <c r="O60" s="413"/>
      <c r="P60" s="339"/>
      <c r="Q60" s="336"/>
      <c r="R60" s="499"/>
      <c r="S60" s="336"/>
      <c r="T60" s="500"/>
      <c r="U60" s="336"/>
      <c r="V60" s="329"/>
      <c r="W60" s="501"/>
      <c r="X60" s="329"/>
      <c r="Y60" s="502"/>
      <c r="Z60" s="502"/>
      <c r="AA60" s="502"/>
      <c r="AB60" s="502"/>
      <c r="AC60" s="502"/>
    </row>
    <row r="61" spans="1:29">
      <c r="A61" s="338"/>
      <c r="B61" s="413" t="str">
        <f>SUMMARY!BB3</f>
        <v>DL-METHIONINE</v>
      </c>
      <c r="C61" s="338" t="s">
        <v>346</v>
      </c>
      <c r="D61" s="336"/>
      <c r="E61" s="336"/>
      <c r="F61" s="336"/>
      <c r="G61" s="336"/>
      <c r="H61" s="336"/>
      <c r="I61" s="336"/>
      <c r="J61" s="336"/>
      <c r="K61" s="336"/>
      <c r="L61" s="336"/>
      <c r="M61" s="339"/>
      <c r="N61" s="336"/>
      <c r="O61" s="413"/>
      <c r="P61" s="339"/>
      <c r="Q61" s="336"/>
      <c r="R61" s="499"/>
      <c r="S61" s="336"/>
      <c r="T61" s="500"/>
      <c r="U61" s="336"/>
      <c r="V61" s="329"/>
      <c r="W61" s="501"/>
      <c r="X61" s="329"/>
      <c r="Y61" s="502"/>
      <c r="Z61" s="502"/>
      <c r="AA61" s="502"/>
      <c r="AB61" s="502"/>
      <c r="AC61" s="502"/>
    </row>
    <row r="62" spans="1:29">
      <c r="A62" s="338"/>
      <c r="B62" s="413" t="str">
        <f>SUMMARY!BC3</f>
        <v>L-THREONINE</v>
      </c>
      <c r="C62" s="338" t="s">
        <v>346</v>
      </c>
      <c r="D62" s="336"/>
      <c r="E62" s="336"/>
      <c r="F62" s="336"/>
      <c r="G62" s="336"/>
      <c r="H62" s="336"/>
      <c r="I62" s="336"/>
      <c r="J62" s="336"/>
      <c r="K62" s="336"/>
      <c r="L62" s="336"/>
      <c r="M62" s="339"/>
      <c r="N62" s="303"/>
      <c r="O62" s="303"/>
      <c r="P62" s="339"/>
      <c r="Q62" s="336"/>
      <c r="R62" s="499"/>
      <c r="S62" s="336"/>
      <c r="T62" s="500"/>
      <c r="U62" s="336"/>
      <c r="V62" s="329"/>
      <c r="W62" s="329"/>
      <c r="X62" s="329"/>
      <c r="Y62" s="329"/>
      <c r="Z62" s="329"/>
      <c r="AA62" s="329"/>
      <c r="AB62" s="329"/>
      <c r="AC62" s="329"/>
    </row>
    <row r="63" spans="1:29">
      <c r="A63" s="338"/>
      <c r="B63" s="413" t="str">
        <f>SUMMARY!BD3</f>
        <v>L-LYSINE</v>
      </c>
      <c r="C63" s="338" t="s">
        <v>346</v>
      </c>
      <c r="D63" s="356"/>
      <c r="E63" s="356"/>
      <c r="F63" s="356"/>
      <c r="G63" s="356"/>
      <c r="H63" s="356"/>
      <c r="I63" s="336"/>
      <c r="J63" s="336"/>
      <c r="K63" s="356"/>
      <c r="L63" s="336"/>
      <c r="M63" s="339"/>
      <c r="N63" s="303"/>
      <c r="O63" s="303"/>
      <c r="P63" s="339"/>
      <c r="Q63" s="336"/>
      <c r="R63" s="499"/>
      <c r="S63" s="336"/>
      <c r="T63" s="500"/>
      <c r="U63" s="336"/>
      <c r="V63" s="329"/>
      <c r="W63" s="329"/>
      <c r="X63" s="329"/>
      <c r="Y63" s="329"/>
      <c r="Z63" s="329"/>
      <c r="AA63" s="329"/>
      <c r="AB63" s="329"/>
      <c r="AC63" s="329"/>
    </row>
    <row r="64" spans="1:29">
      <c r="A64" s="338"/>
      <c r="B64" s="413"/>
      <c r="C64" s="338"/>
      <c r="D64" s="356"/>
      <c r="E64" s="356"/>
      <c r="F64" s="356"/>
      <c r="G64" s="356"/>
      <c r="H64" s="356"/>
      <c r="I64" s="336"/>
      <c r="J64" s="336"/>
      <c r="K64" s="356"/>
      <c r="L64" s="336"/>
      <c r="M64" s="339"/>
      <c r="N64" s="303"/>
      <c r="O64" s="303"/>
      <c r="P64" s="339"/>
      <c r="Q64" s="336"/>
      <c r="R64" s="499"/>
      <c r="S64" s="336"/>
      <c r="T64" s="500"/>
      <c r="U64" s="336"/>
      <c r="V64" s="329"/>
      <c r="W64" s="329"/>
      <c r="X64" s="329"/>
      <c r="Y64" s="329"/>
      <c r="Z64" s="329"/>
      <c r="AA64" s="329"/>
      <c r="AB64" s="329"/>
      <c r="AC64" s="329"/>
    </row>
    <row r="65" spans="1:29">
      <c r="A65" s="338"/>
      <c r="B65" s="310" t="s">
        <v>348</v>
      </c>
      <c r="C65" s="338"/>
      <c r="D65" s="356"/>
      <c r="E65" s="356"/>
      <c r="F65" s="356"/>
      <c r="G65" s="356"/>
      <c r="H65" s="356"/>
      <c r="I65" s="336"/>
      <c r="J65" s="336"/>
      <c r="K65" s="356"/>
      <c r="L65" s="336"/>
      <c r="M65" s="339"/>
      <c r="N65" s="303"/>
      <c r="O65" s="303"/>
      <c r="P65" s="339"/>
      <c r="Q65" s="336"/>
      <c r="R65" s="499"/>
      <c r="S65" s="336"/>
      <c r="T65" s="500"/>
      <c r="U65" s="336"/>
      <c r="V65" s="329"/>
      <c r="W65" s="329"/>
      <c r="X65" s="329"/>
      <c r="Y65" s="329"/>
      <c r="Z65" s="329"/>
      <c r="AA65" s="329"/>
      <c r="AB65" s="329"/>
      <c r="AC65" s="329"/>
    </row>
    <row r="66" spans="1:29">
      <c r="A66" s="338"/>
      <c r="B66" s="413"/>
      <c r="C66" s="338" t="s">
        <v>349</v>
      </c>
      <c r="D66" s="356"/>
      <c r="E66" s="356"/>
      <c r="F66" s="356"/>
      <c r="G66" s="356"/>
      <c r="H66" s="356"/>
      <c r="I66" s="336"/>
      <c r="J66" s="336"/>
      <c r="K66" s="356"/>
      <c r="L66" s="336"/>
      <c r="M66" s="339"/>
      <c r="N66" s="303"/>
      <c r="O66" s="303"/>
      <c r="P66" s="339"/>
      <c r="Q66" s="336"/>
      <c r="R66" s="499"/>
      <c r="S66" s="336"/>
      <c r="T66" s="500"/>
      <c r="U66" s="336"/>
      <c r="V66" s="329"/>
      <c r="W66" s="329"/>
      <c r="X66" s="329"/>
      <c r="Y66" s="329"/>
      <c r="Z66" s="329"/>
      <c r="AA66" s="329"/>
      <c r="AB66" s="329"/>
      <c r="AC66" s="329"/>
    </row>
    <row r="67" spans="1:29">
      <c r="A67" s="338"/>
      <c r="B67" s="413"/>
      <c r="C67" s="338" t="s">
        <v>349</v>
      </c>
      <c r="D67" s="356"/>
      <c r="E67" s="356"/>
      <c r="F67" s="356"/>
      <c r="G67" s="356"/>
      <c r="H67" s="356"/>
      <c r="I67" s="336"/>
      <c r="J67" s="336"/>
      <c r="K67" s="356"/>
      <c r="L67" s="336"/>
      <c r="M67" s="339"/>
      <c r="N67" s="303"/>
      <c r="O67" s="303"/>
      <c r="P67" s="339"/>
      <c r="Q67" s="336"/>
      <c r="R67" s="499"/>
      <c r="S67" s="336"/>
      <c r="T67" s="500"/>
      <c r="U67" s="336"/>
      <c r="V67" s="329"/>
      <c r="W67" s="329"/>
      <c r="X67" s="329"/>
      <c r="Y67" s="329"/>
      <c r="Z67" s="329"/>
      <c r="AA67" s="329"/>
      <c r="AB67" s="329"/>
      <c r="AC67" s="329"/>
    </row>
    <row r="68" spans="1:29">
      <c r="A68" s="338"/>
      <c r="B68" s="413"/>
      <c r="C68" s="338"/>
      <c r="D68" s="356"/>
      <c r="E68" s="356"/>
      <c r="F68" s="356"/>
      <c r="G68" s="356"/>
      <c r="H68" s="356"/>
      <c r="I68" s="336"/>
      <c r="J68" s="336"/>
      <c r="K68" s="356"/>
      <c r="L68" s="336"/>
      <c r="M68" s="339"/>
      <c r="N68" s="303"/>
      <c r="O68" s="303"/>
      <c r="P68" s="339"/>
      <c r="Q68" s="336"/>
      <c r="R68" s="499"/>
      <c r="S68" s="336"/>
      <c r="T68" s="500"/>
      <c r="U68" s="336"/>
      <c r="V68" s="329"/>
      <c r="W68" s="329"/>
      <c r="X68" s="329"/>
      <c r="Y68" s="329"/>
      <c r="Z68" s="329"/>
      <c r="AA68" s="329"/>
      <c r="AB68" s="329"/>
      <c r="AC68" s="329"/>
    </row>
    <row r="69" spans="1:29" ht="13.9" thickBot="1">
      <c r="A69" s="338"/>
      <c r="B69" s="302" t="s">
        <v>72</v>
      </c>
      <c r="C69" s="475"/>
      <c r="D69" s="506">
        <f>SUM(D4:D62)</f>
        <v>506548.8600000001</v>
      </c>
      <c r="E69" s="506">
        <f>SUM(E4:E62)</f>
        <v>1275226.42</v>
      </c>
      <c r="F69" s="506">
        <f>SUM(F4:F62)</f>
        <v>1152144.8899999997</v>
      </c>
      <c r="G69" s="506">
        <f>SUM(G4:G62)</f>
        <v>-38926.400000000023</v>
      </c>
      <c r="H69" s="506">
        <f>SUM(H4:H62)</f>
        <v>590824.99000000022</v>
      </c>
      <c r="I69" s="336"/>
      <c r="J69" s="336"/>
      <c r="K69" s="507">
        <f>SUM(K4:K62)</f>
        <v>0</v>
      </c>
      <c r="L69" s="508"/>
      <c r="M69" s="339"/>
      <c r="N69" s="303"/>
      <c r="O69" s="303"/>
      <c r="P69" s="339"/>
      <c r="Q69" s="336"/>
      <c r="R69" s="499"/>
      <c r="S69" s="336"/>
      <c r="T69" s="500"/>
      <c r="U69" s="336"/>
      <c r="V69" s="329"/>
      <c r="W69" s="329"/>
      <c r="X69" s="329"/>
      <c r="Y69" s="329"/>
      <c r="Z69" s="329"/>
      <c r="AA69" s="329"/>
      <c r="AB69" s="329"/>
      <c r="AC69" s="329"/>
    </row>
    <row r="70" spans="1:29">
      <c r="A70" s="496"/>
      <c r="B70" s="501"/>
      <c r="C70" s="473"/>
      <c r="D70" s="339"/>
      <c r="E70" s="339"/>
      <c r="F70" s="339"/>
      <c r="G70" s="339"/>
      <c r="H70" s="339"/>
      <c r="I70" s="339"/>
      <c r="J70" s="339"/>
      <c r="K70" s="339"/>
      <c r="L70" s="339"/>
      <c r="M70" s="339"/>
      <c r="N70" s="299"/>
      <c r="O70" s="299"/>
      <c r="P70" s="339"/>
      <c r="Q70" s="339"/>
      <c r="R70" s="509"/>
      <c r="S70" s="339"/>
      <c r="T70" s="510"/>
      <c r="U70" s="339"/>
      <c r="V70" s="329"/>
      <c r="W70" s="329"/>
      <c r="X70" s="329"/>
      <c r="Y70" s="329"/>
      <c r="Z70" s="329"/>
      <c r="AA70" s="329"/>
      <c r="AB70" s="329"/>
      <c r="AC70" s="329"/>
    </row>
    <row r="71" spans="1:29">
      <c r="A71" s="496"/>
      <c r="B71" s="501"/>
      <c r="C71" s="473"/>
      <c r="D71" s="339">
        <f>D69-SUM(SUMMARY!B25:AZ25)</f>
        <v>261934.7000000001</v>
      </c>
      <c r="E71" s="339">
        <f>E69-SUM(SUMMARY!B26:AZ26)</f>
        <v>-484140.45999999996</v>
      </c>
      <c r="F71" s="339">
        <f>F69-SUM(SUMMARY!B27:AZ27)</f>
        <v>-340121.49000000069</v>
      </c>
      <c r="G71" s="339">
        <f>G69-SUM(SUMMARY!B28:AZ28)</f>
        <v>-34135.599999999999</v>
      </c>
      <c r="H71" s="339">
        <f>H69-SUM(SUMMARY!B29:AZ29)</f>
        <v>84276.130000000121</v>
      </c>
      <c r="I71" s="339"/>
      <c r="J71" s="339"/>
      <c r="K71" s="339"/>
      <c r="L71" s="339"/>
      <c r="M71" s="339"/>
      <c r="N71" s="299"/>
      <c r="O71" s="299"/>
      <c r="P71" s="339"/>
      <c r="Q71" s="339"/>
      <c r="R71" s="509"/>
      <c r="S71" s="339"/>
      <c r="T71" s="510"/>
      <c r="U71" s="339"/>
      <c r="V71" s="329"/>
      <c r="W71" s="329"/>
      <c r="X71" s="329"/>
      <c r="Y71" s="329"/>
      <c r="Z71" s="329"/>
      <c r="AA71" s="329"/>
      <c r="AB71" s="329"/>
      <c r="AC71" s="329"/>
    </row>
    <row r="72" spans="1:29">
      <c r="A72" s="496"/>
      <c r="B72" s="329"/>
      <c r="C72" s="496"/>
      <c r="D72" s="339"/>
      <c r="E72" s="339"/>
      <c r="F72" s="339"/>
      <c r="G72" s="339"/>
      <c r="H72" s="339"/>
      <c r="I72" s="339"/>
      <c r="J72" s="339"/>
      <c r="K72" s="339"/>
      <c r="L72" s="339"/>
      <c r="M72" s="339"/>
      <c r="N72" s="299"/>
      <c r="O72" s="299"/>
      <c r="P72" s="339"/>
      <c r="Q72" s="339"/>
      <c r="R72" s="509"/>
      <c r="S72" s="339"/>
      <c r="T72" s="510"/>
      <c r="U72" s="339"/>
      <c r="V72" s="329"/>
      <c r="W72" s="329"/>
      <c r="X72" s="329"/>
      <c r="Y72" s="329"/>
      <c r="Z72" s="329"/>
      <c r="AA72" s="329"/>
      <c r="AB72" s="329"/>
      <c r="AC72" s="329"/>
    </row>
    <row r="73" spans="1:29">
      <c r="A73" s="338"/>
      <c r="B73" s="467" t="s">
        <v>322</v>
      </c>
      <c r="C73" s="475"/>
      <c r="D73" s="336"/>
      <c r="E73" s="336"/>
      <c r="F73" s="336"/>
      <c r="G73" s="336"/>
      <c r="H73" s="336"/>
      <c r="I73" s="339"/>
      <c r="J73" s="339"/>
      <c r="K73" s="339"/>
      <c r="L73" s="339"/>
      <c r="M73" s="339"/>
      <c r="N73" s="339"/>
      <c r="O73" s="339"/>
      <c r="P73" s="339"/>
      <c r="Q73" s="339"/>
      <c r="R73" s="509"/>
      <c r="S73" s="339"/>
      <c r="T73" s="510"/>
      <c r="U73" s="339"/>
      <c r="V73" s="329"/>
      <c r="W73" s="329"/>
      <c r="X73" s="329"/>
      <c r="Y73" s="329"/>
      <c r="Z73" s="329"/>
      <c r="AA73" s="329"/>
      <c r="AB73" s="329"/>
      <c r="AC73" s="329"/>
    </row>
    <row r="74" spans="1:29">
      <c r="A74" s="338" t="s">
        <v>331</v>
      </c>
      <c r="B74" s="474" t="s">
        <v>332</v>
      </c>
      <c r="C74" s="475" t="s">
        <v>333</v>
      </c>
      <c r="D74" s="475" t="s">
        <v>334</v>
      </c>
      <c r="E74" s="475" t="s">
        <v>335</v>
      </c>
      <c r="F74" s="475" t="s">
        <v>166</v>
      </c>
      <c r="G74" s="475" t="s">
        <v>168</v>
      </c>
      <c r="H74" s="475" t="s">
        <v>336</v>
      </c>
      <c r="I74" s="339"/>
      <c r="J74" s="339"/>
      <c r="K74" s="339"/>
      <c r="L74" s="339"/>
      <c r="M74" s="339"/>
      <c r="N74" s="339"/>
      <c r="O74" s="339"/>
      <c r="P74" s="339"/>
      <c r="Q74" s="339"/>
      <c r="R74" s="509"/>
      <c r="S74" s="339"/>
      <c r="T74" s="510"/>
      <c r="U74" s="339"/>
      <c r="V74" s="329"/>
      <c r="W74" s="329"/>
      <c r="X74" s="329"/>
      <c r="Y74" s="329"/>
      <c r="Z74" s="329"/>
      <c r="AA74" s="329"/>
      <c r="AB74" s="329"/>
      <c r="AC74" s="329"/>
    </row>
    <row r="75" spans="1:29">
      <c r="A75" s="338"/>
      <c r="B75" s="467" t="s">
        <v>345</v>
      </c>
      <c r="C75" s="475"/>
      <c r="D75" s="336"/>
      <c r="E75" s="336"/>
      <c r="F75" s="336"/>
      <c r="G75" s="336"/>
      <c r="H75" s="336"/>
      <c r="I75" s="339"/>
      <c r="J75" s="339"/>
      <c r="K75" s="339"/>
      <c r="L75" s="339"/>
      <c r="M75" s="339"/>
      <c r="N75" s="339"/>
      <c r="O75" s="339"/>
      <c r="P75" s="339"/>
      <c r="Q75" s="339"/>
      <c r="R75" s="509"/>
      <c r="S75" s="339"/>
      <c r="T75" s="510"/>
      <c r="U75" s="339"/>
      <c r="V75" s="329"/>
      <c r="W75" s="329"/>
      <c r="X75" s="329"/>
      <c r="Y75" s="329"/>
      <c r="Z75" s="329"/>
      <c r="AA75" s="329"/>
      <c r="AB75" s="329"/>
      <c r="AC75" s="329"/>
    </row>
    <row r="76" spans="1:29">
      <c r="A76" s="338">
        <v>1</v>
      </c>
      <c r="B76" s="474" t="s">
        <v>7</v>
      </c>
      <c r="C76" s="475" t="s">
        <v>346</v>
      </c>
      <c r="D76" s="336">
        <v>168368.40000000005</v>
      </c>
      <c r="E76" s="336">
        <v>736930</v>
      </c>
      <c r="F76" s="336">
        <v>660955.00000000012</v>
      </c>
      <c r="G76" s="336"/>
      <c r="H76" s="468">
        <f t="shared" ref="H76:H87" si="1">D76+E76-F76+G76</f>
        <v>244343.39999999991</v>
      </c>
      <c r="I76" s="339">
        <v>168368.39999999991</v>
      </c>
      <c r="J76" s="339"/>
      <c r="K76" s="339"/>
      <c r="L76" s="339"/>
      <c r="M76" s="339"/>
      <c r="N76" s="339"/>
      <c r="O76" s="339"/>
      <c r="P76" s="339"/>
      <c r="Q76" s="339"/>
      <c r="R76" s="509"/>
      <c r="S76" s="339"/>
      <c r="T76" s="510"/>
      <c r="U76" s="339"/>
      <c r="V76" s="329"/>
      <c r="W76" s="329"/>
      <c r="X76" s="329"/>
      <c r="Y76" s="329"/>
      <c r="Z76" s="329"/>
      <c r="AA76" s="329"/>
      <c r="AB76" s="329"/>
      <c r="AC76" s="329"/>
    </row>
    <row r="77" spans="1:29">
      <c r="A77" s="338">
        <v>2</v>
      </c>
      <c r="B77" s="474" t="s">
        <v>8</v>
      </c>
      <c r="C77" s="475" t="s">
        <v>346</v>
      </c>
      <c r="D77" s="336">
        <v>63275.80000000009</v>
      </c>
      <c r="E77" s="336">
        <v>333130</v>
      </c>
      <c r="F77" s="336">
        <v>290448.59999999998</v>
      </c>
      <c r="G77" s="336"/>
      <c r="H77" s="468">
        <f t="shared" si="1"/>
        <v>105957.20000000013</v>
      </c>
      <c r="I77" s="339">
        <v>63275.800000000105</v>
      </c>
      <c r="J77" s="339"/>
      <c r="K77" s="339"/>
      <c r="L77" s="339"/>
      <c r="M77" s="339"/>
      <c r="N77" s="339"/>
      <c r="O77" s="339"/>
      <c r="P77" s="339"/>
      <c r="Q77" s="339"/>
      <c r="R77" s="509"/>
      <c r="S77" s="339"/>
      <c r="T77" s="510"/>
      <c r="U77" s="339"/>
      <c r="V77" s="329"/>
      <c r="W77" s="329"/>
      <c r="X77" s="329"/>
      <c r="Y77" s="329"/>
      <c r="Z77" s="329"/>
      <c r="AA77" s="329"/>
      <c r="AB77" s="329"/>
      <c r="AC77" s="329"/>
    </row>
    <row r="78" spans="1:29">
      <c r="A78" s="338">
        <v>3</v>
      </c>
      <c r="B78" s="474" t="s">
        <v>9</v>
      </c>
      <c r="C78" s="475" t="s">
        <v>346</v>
      </c>
      <c r="D78" s="336">
        <v>31017.199999999972</v>
      </c>
      <c r="E78" s="336">
        <v>80070</v>
      </c>
      <c r="F78" s="336">
        <v>66400.899999999994</v>
      </c>
      <c r="G78" s="336"/>
      <c r="H78" s="468">
        <f t="shared" si="1"/>
        <v>44686.299999999974</v>
      </c>
      <c r="I78" s="339">
        <v>31017.199999999968</v>
      </c>
      <c r="J78" s="339"/>
      <c r="K78" s="339"/>
      <c r="L78" s="339"/>
      <c r="M78" s="339"/>
      <c r="N78" s="339"/>
      <c r="O78" s="339"/>
      <c r="P78" s="339"/>
      <c r="Q78" s="339"/>
      <c r="R78" s="509"/>
      <c r="S78" s="339"/>
      <c r="T78" s="510"/>
      <c r="U78" s="339"/>
      <c r="V78" s="329"/>
      <c r="W78" s="329"/>
      <c r="X78" s="329"/>
      <c r="Y78" s="329"/>
      <c r="Z78" s="329"/>
      <c r="AA78" s="329"/>
      <c r="AB78" s="329"/>
      <c r="AC78" s="329"/>
    </row>
    <row r="79" spans="1:29">
      <c r="A79" s="338">
        <v>4</v>
      </c>
      <c r="B79" s="474" t="s">
        <v>10</v>
      </c>
      <c r="C79" s="475" t="s">
        <v>346</v>
      </c>
      <c r="D79" s="336">
        <v>13032.500000000016</v>
      </c>
      <c r="E79" s="336">
        <v>30400</v>
      </c>
      <c r="F79" s="336">
        <f>31239.1-1029.6</f>
        <v>30209.5</v>
      </c>
      <c r="G79" s="336">
        <v>-1029.5999999999999</v>
      </c>
      <c r="H79" s="468">
        <f t="shared" si="1"/>
        <v>12193.400000000014</v>
      </c>
      <c r="I79" s="339">
        <v>13032.500000000015</v>
      </c>
      <c r="J79" s="339"/>
      <c r="K79" s="339"/>
      <c r="L79" s="339"/>
      <c r="M79" s="339"/>
      <c r="N79" s="339"/>
      <c r="O79" s="339"/>
      <c r="P79" s="339"/>
      <c r="Q79" s="339"/>
      <c r="R79" s="509"/>
      <c r="S79" s="339"/>
      <c r="T79" s="510"/>
      <c r="U79" s="339"/>
      <c r="V79" s="329"/>
      <c r="W79" s="329"/>
      <c r="X79" s="329"/>
      <c r="Y79" s="329"/>
      <c r="Z79" s="329"/>
      <c r="AA79" s="329"/>
      <c r="AB79" s="329"/>
      <c r="AC79" s="329"/>
    </row>
    <row r="80" spans="1:29">
      <c r="A80" s="338">
        <v>5</v>
      </c>
      <c r="B80" s="474" t="s">
        <v>12</v>
      </c>
      <c r="C80" s="475" t="s">
        <v>346</v>
      </c>
      <c r="D80" s="336">
        <v>37387.199999999997</v>
      </c>
      <c r="E80" s="336">
        <v>11920</v>
      </c>
      <c r="F80" s="336">
        <f>30740.5-19580</f>
        <v>11160.5</v>
      </c>
      <c r="G80" s="336">
        <v>-19580</v>
      </c>
      <c r="H80" s="468">
        <f t="shared" si="1"/>
        <v>18566.699999999997</v>
      </c>
      <c r="I80" s="339">
        <v>37387.19999999999</v>
      </c>
      <c r="J80" s="339"/>
      <c r="K80" s="339"/>
      <c r="L80" s="339"/>
      <c r="M80" s="339"/>
      <c r="N80" s="339"/>
      <c r="O80" s="339"/>
      <c r="P80" s="339"/>
      <c r="Q80" s="339"/>
      <c r="R80" s="509"/>
      <c r="S80" s="339"/>
      <c r="T80" s="510"/>
      <c r="U80" s="339"/>
      <c r="V80" s="329"/>
      <c r="W80" s="329"/>
      <c r="X80" s="329"/>
      <c r="Y80" s="329"/>
      <c r="Z80" s="329"/>
      <c r="AA80" s="329"/>
      <c r="AB80" s="329"/>
      <c r="AC80" s="329"/>
    </row>
    <row r="81" spans="1:9">
      <c r="A81" s="338">
        <v>6</v>
      </c>
      <c r="B81" s="474" t="s">
        <v>13</v>
      </c>
      <c r="C81" s="475" t="s">
        <v>346</v>
      </c>
      <c r="D81" s="336">
        <v>29537.199999999986</v>
      </c>
      <c r="E81" s="336">
        <v>0</v>
      </c>
      <c r="F81" s="336">
        <v>23343.199999999997</v>
      </c>
      <c r="G81" s="336">
        <v>27970</v>
      </c>
      <c r="H81" s="468">
        <f t="shared" si="1"/>
        <v>34163.999999999985</v>
      </c>
      <c r="I81" s="339">
        <v>29537.19999999999</v>
      </c>
    </row>
    <row r="82" spans="1:9">
      <c r="A82" s="338">
        <v>7</v>
      </c>
      <c r="B82" s="474" t="s">
        <v>14</v>
      </c>
      <c r="C82" s="475" t="s">
        <v>346</v>
      </c>
      <c r="D82" s="336">
        <v>0</v>
      </c>
      <c r="E82" s="336">
        <v>24921.199999999997</v>
      </c>
      <c r="F82" s="336">
        <v>24921.199999999997</v>
      </c>
      <c r="G82" s="336"/>
      <c r="H82" s="468">
        <f>D82+E82-F82+G82</f>
        <v>0</v>
      </c>
      <c r="I82" s="339"/>
    </row>
    <row r="83" spans="1:9">
      <c r="A83" s="338">
        <v>8</v>
      </c>
      <c r="B83" s="474" t="s">
        <v>15</v>
      </c>
      <c r="C83" s="475" t="s">
        <v>346</v>
      </c>
      <c r="D83" s="336">
        <v>5848.7999999999993</v>
      </c>
      <c r="E83" s="336">
        <v>0</v>
      </c>
      <c r="F83" s="336">
        <v>765.67</v>
      </c>
      <c r="G83" s="336"/>
      <c r="H83" s="468">
        <f t="shared" si="1"/>
        <v>5083.1299999999992</v>
      </c>
      <c r="I83" s="339">
        <v>5848.7999999999993</v>
      </c>
    </row>
    <row r="84" spans="1:9">
      <c r="A84" s="338">
        <v>9</v>
      </c>
      <c r="B84" s="474" t="s">
        <v>16</v>
      </c>
      <c r="C84" s="475" t="s">
        <v>346</v>
      </c>
      <c r="D84" s="336">
        <v>0</v>
      </c>
      <c r="E84" s="336">
        <v>4445.7199999999993</v>
      </c>
      <c r="F84" s="336">
        <v>4445.7199999999993</v>
      </c>
      <c r="G84" s="336"/>
      <c r="H84" s="468">
        <f t="shared" si="1"/>
        <v>0</v>
      </c>
      <c r="I84" s="339"/>
    </row>
    <row r="85" spans="1:9">
      <c r="A85" s="338">
        <v>10</v>
      </c>
      <c r="B85" s="474" t="s">
        <v>18</v>
      </c>
      <c r="C85" s="475" t="s">
        <v>346</v>
      </c>
      <c r="D85" s="336">
        <v>24158.300000000003</v>
      </c>
      <c r="E85" s="336">
        <v>0</v>
      </c>
      <c r="F85" s="336">
        <v>4534.3999999999996</v>
      </c>
      <c r="G85" s="336"/>
      <c r="H85" s="468">
        <f t="shared" si="1"/>
        <v>19623.900000000001</v>
      </c>
      <c r="I85" s="339">
        <v>24158.300000000003</v>
      </c>
    </row>
    <row r="86" spans="1:9">
      <c r="A86" s="338">
        <v>11</v>
      </c>
      <c r="B86" s="474" t="s">
        <v>19</v>
      </c>
      <c r="C86" s="475" t="s">
        <v>346</v>
      </c>
      <c r="D86" s="336">
        <v>42939.599999999984</v>
      </c>
      <c r="E86" s="336">
        <v>0</v>
      </c>
      <c r="F86" s="336">
        <v>7704.6</v>
      </c>
      <c r="G86" s="336"/>
      <c r="H86" s="468">
        <f t="shared" si="1"/>
        <v>35234.999999999985</v>
      </c>
      <c r="I86" s="339">
        <v>42939.6</v>
      </c>
    </row>
    <row r="87" spans="1:9">
      <c r="A87" s="338">
        <v>12</v>
      </c>
      <c r="B87" s="474" t="s">
        <v>20</v>
      </c>
      <c r="C87" s="475" t="s">
        <v>346</v>
      </c>
      <c r="D87" s="336">
        <v>5800</v>
      </c>
      <c r="E87" s="336">
        <v>0</v>
      </c>
      <c r="F87" s="336">
        <v>0</v>
      </c>
      <c r="G87" s="336"/>
      <c r="H87" s="468">
        <f t="shared" si="1"/>
        <v>5800</v>
      </c>
      <c r="I87" s="339">
        <v>5800</v>
      </c>
    </row>
    <row r="88" spans="1:9">
      <c r="A88" s="338">
        <v>13</v>
      </c>
      <c r="B88" s="474" t="s">
        <v>22</v>
      </c>
      <c r="C88" s="475" t="s">
        <v>346</v>
      </c>
      <c r="D88" s="336">
        <v>0</v>
      </c>
      <c r="E88" s="336">
        <v>0</v>
      </c>
      <c r="F88" s="336">
        <v>0</v>
      </c>
      <c r="G88" s="336"/>
      <c r="H88" s="468">
        <f t="shared" ref="H88" si="2">D88+E88-F88+G88</f>
        <v>0</v>
      </c>
      <c r="I88" s="339">
        <v>0</v>
      </c>
    </row>
    <row r="89" spans="1:9">
      <c r="A89" s="338"/>
      <c r="B89" s="474"/>
      <c r="C89" s="475"/>
      <c r="D89" s="336"/>
      <c r="E89" s="336"/>
      <c r="F89" s="336"/>
      <c r="G89" s="336"/>
      <c r="H89" s="336"/>
      <c r="I89" s="339">
        <v>0</v>
      </c>
    </row>
    <row r="90" spans="1:9">
      <c r="A90" s="338"/>
      <c r="B90" s="467" t="s">
        <v>347</v>
      </c>
      <c r="C90" s="475"/>
      <c r="D90" s="336"/>
      <c r="E90" s="336"/>
      <c r="F90" s="336"/>
      <c r="G90" s="336"/>
      <c r="H90" s="336"/>
      <c r="I90" s="339"/>
    </row>
    <row r="91" spans="1:9">
      <c r="A91" s="338">
        <v>1</v>
      </c>
      <c r="B91" s="474" t="s">
        <v>23</v>
      </c>
      <c r="C91" s="475" t="s">
        <v>346</v>
      </c>
      <c r="D91" s="336">
        <v>2120</v>
      </c>
      <c r="E91" s="336">
        <v>2020</v>
      </c>
      <c r="F91" s="336">
        <v>0</v>
      </c>
      <c r="G91" s="336"/>
      <c r="H91" s="521">
        <f t="shared" ref="H91:H127" si="3">D91+E91-F91+G91</f>
        <v>4140</v>
      </c>
      <c r="I91" s="339">
        <v>2120</v>
      </c>
    </row>
    <row r="92" spans="1:9">
      <c r="A92" s="338">
        <v>2</v>
      </c>
      <c r="B92" s="474" t="s">
        <v>24</v>
      </c>
      <c r="C92" s="475" t="s">
        <v>346</v>
      </c>
      <c r="D92" s="336">
        <v>3640</v>
      </c>
      <c r="E92" s="336">
        <v>2000</v>
      </c>
      <c r="F92" s="336">
        <v>600</v>
      </c>
      <c r="G92" s="336"/>
      <c r="H92" s="521">
        <f t="shared" si="3"/>
        <v>5040</v>
      </c>
      <c r="I92" s="339">
        <v>3640</v>
      </c>
    </row>
    <row r="93" spans="1:9">
      <c r="A93" s="338">
        <v>3</v>
      </c>
      <c r="B93" s="474" t="s">
        <v>25</v>
      </c>
      <c r="C93" s="475" t="s">
        <v>346</v>
      </c>
      <c r="D93" s="336">
        <v>2080</v>
      </c>
      <c r="E93" s="336">
        <v>6000</v>
      </c>
      <c r="F93" s="336">
        <v>6320</v>
      </c>
      <c r="G93" s="336"/>
      <c r="H93" s="521">
        <f t="shared" si="3"/>
        <v>1760</v>
      </c>
      <c r="I93" s="339">
        <v>2080</v>
      </c>
    </row>
    <row r="94" spans="1:9">
      <c r="A94" s="338">
        <v>4</v>
      </c>
      <c r="B94" s="474" t="s">
        <v>26</v>
      </c>
      <c r="C94" s="475" t="s">
        <v>346</v>
      </c>
      <c r="D94" s="336">
        <v>0</v>
      </c>
      <c r="E94" s="336">
        <v>1600</v>
      </c>
      <c r="F94" s="336">
        <v>1000</v>
      </c>
      <c r="G94" s="336"/>
      <c r="H94" s="521">
        <f t="shared" si="3"/>
        <v>600</v>
      </c>
      <c r="I94" s="339"/>
    </row>
    <row r="95" spans="1:9">
      <c r="A95" s="338">
        <v>5</v>
      </c>
      <c r="B95" s="474" t="s">
        <v>27</v>
      </c>
      <c r="C95" s="475" t="s">
        <v>346</v>
      </c>
      <c r="D95" s="336">
        <v>0</v>
      </c>
      <c r="E95" s="336">
        <v>3600</v>
      </c>
      <c r="F95" s="336">
        <v>0</v>
      </c>
      <c r="G95" s="336"/>
      <c r="H95" s="521">
        <f t="shared" si="3"/>
        <v>3600</v>
      </c>
      <c r="I95" s="339"/>
    </row>
    <row r="96" spans="1:9">
      <c r="A96" s="338">
        <v>6</v>
      </c>
      <c r="B96" s="474" t="s">
        <v>28</v>
      </c>
      <c r="C96" s="475" t="s">
        <v>346</v>
      </c>
      <c r="D96" s="336">
        <v>6360</v>
      </c>
      <c r="E96" s="336">
        <v>2000</v>
      </c>
      <c r="F96" s="336">
        <v>1560</v>
      </c>
      <c r="G96" s="336"/>
      <c r="H96" s="521">
        <f t="shared" si="3"/>
        <v>6800</v>
      </c>
      <c r="I96" s="339">
        <v>6360</v>
      </c>
    </row>
    <row r="97" spans="1:10">
      <c r="A97" s="338">
        <v>7</v>
      </c>
      <c r="B97" s="474" t="s">
        <v>29</v>
      </c>
      <c r="C97" s="475" t="s">
        <v>346</v>
      </c>
      <c r="D97" s="336">
        <v>6540</v>
      </c>
      <c r="E97" s="336">
        <v>180</v>
      </c>
      <c r="F97" s="336"/>
      <c r="G97" s="336">
        <v>-6000</v>
      </c>
      <c r="H97" s="521">
        <f t="shared" si="3"/>
        <v>720</v>
      </c>
      <c r="I97" s="339">
        <v>6540</v>
      </c>
      <c r="J97" s="339"/>
    </row>
    <row r="98" spans="1:10">
      <c r="A98" s="338">
        <v>8</v>
      </c>
      <c r="B98" s="474" t="s">
        <v>30</v>
      </c>
      <c r="C98" s="475" t="s">
        <v>346</v>
      </c>
      <c r="D98" s="336">
        <v>11540</v>
      </c>
      <c r="E98" s="336">
        <v>0</v>
      </c>
      <c r="F98" s="336">
        <v>0</v>
      </c>
      <c r="G98" s="336">
        <v>-3400</v>
      </c>
      <c r="H98" s="521">
        <f t="shared" si="3"/>
        <v>8140</v>
      </c>
      <c r="I98" s="339">
        <v>11540</v>
      </c>
      <c r="J98" s="339"/>
    </row>
    <row r="99" spans="1:10">
      <c r="A99" s="338">
        <v>9</v>
      </c>
      <c r="B99" s="474" t="s">
        <v>31</v>
      </c>
      <c r="C99" s="475" t="s">
        <v>346</v>
      </c>
      <c r="D99" s="336">
        <v>15120</v>
      </c>
      <c r="E99" s="336">
        <v>0</v>
      </c>
      <c r="F99" s="336">
        <v>0</v>
      </c>
      <c r="G99" s="336">
        <v>-10160</v>
      </c>
      <c r="H99" s="521">
        <f t="shared" si="3"/>
        <v>4960</v>
      </c>
      <c r="I99" s="339">
        <v>15120</v>
      </c>
      <c r="J99" s="339"/>
    </row>
    <row r="100" spans="1:10">
      <c r="A100" s="338">
        <v>10</v>
      </c>
      <c r="B100" s="474" t="s">
        <v>32</v>
      </c>
      <c r="C100" s="475" t="s">
        <v>346</v>
      </c>
      <c r="D100" s="336">
        <v>1960</v>
      </c>
      <c r="E100" s="336">
        <v>0</v>
      </c>
      <c r="F100" s="336">
        <v>1960</v>
      </c>
      <c r="G100" s="336"/>
      <c r="H100" s="521">
        <f t="shared" si="3"/>
        <v>0</v>
      </c>
      <c r="I100" s="339">
        <v>1960</v>
      </c>
      <c r="J100" s="339"/>
    </row>
    <row r="101" spans="1:10">
      <c r="A101" s="338">
        <v>11</v>
      </c>
      <c r="B101" s="474" t="s">
        <v>33</v>
      </c>
      <c r="C101" s="475" t="s">
        <v>346</v>
      </c>
      <c r="D101" s="336">
        <v>9100</v>
      </c>
      <c r="E101" s="336">
        <v>0</v>
      </c>
      <c r="F101" s="336">
        <v>5760</v>
      </c>
      <c r="G101" s="336"/>
      <c r="H101" s="521">
        <f t="shared" si="3"/>
        <v>3340</v>
      </c>
      <c r="I101" s="339">
        <v>9100</v>
      </c>
      <c r="J101" s="339"/>
    </row>
    <row r="102" spans="1:10">
      <c r="A102" s="338">
        <v>12</v>
      </c>
      <c r="B102" s="474" t="s">
        <v>34</v>
      </c>
      <c r="C102" s="475" t="s">
        <v>346</v>
      </c>
      <c r="D102" s="336">
        <v>2540</v>
      </c>
      <c r="E102" s="336">
        <v>0</v>
      </c>
      <c r="F102" s="336">
        <v>0</v>
      </c>
      <c r="G102" s="336"/>
      <c r="H102" s="521">
        <f t="shared" si="3"/>
        <v>2540</v>
      </c>
      <c r="I102" s="339">
        <v>2540</v>
      </c>
      <c r="J102" s="339"/>
    </row>
    <row r="103" spans="1:10">
      <c r="A103" s="338">
        <v>13</v>
      </c>
      <c r="B103" s="474" t="s">
        <v>35</v>
      </c>
      <c r="C103" s="475" t="s">
        <v>346</v>
      </c>
      <c r="D103" s="336">
        <v>19.5</v>
      </c>
      <c r="E103" s="336"/>
      <c r="F103" s="336">
        <v>0</v>
      </c>
      <c r="G103" s="336">
        <v>2340</v>
      </c>
      <c r="H103" s="521">
        <f t="shared" si="3"/>
        <v>2359.5</v>
      </c>
      <c r="I103" s="339">
        <v>19.5</v>
      </c>
      <c r="J103" s="339"/>
    </row>
    <row r="104" spans="1:10">
      <c r="A104" s="338">
        <v>14</v>
      </c>
      <c r="B104" s="474" t="s">
        <v>36</v>
      </c>
      <c r="C104" s="475" t="s">
        <v>346</v>
      </c>
      <c r="D104" s="336">
        <v>2079</v>
      </c>
      <c r="E104" s="336">
        <v>0</v>
      </c>
      <c r="F104" s="336">
        <v>189</v>
      </c>
      <c r="G104" s="336"/>
      <c r="H104" s="468">
        <f t="shared" si="3"/>
        <v>1890</v>
      </c>
      <c r="I104" s="339">
        <v>2079.0000000000018</v>
      </c>
      <c r="J104" s="339"/>
    </row>
    <row r="105" spans="1:10">
      <c r="A105" s="338">
        <v>15</v>
      </c>
      <c r="B105" s="474" t="s">
        <v>37</v>
      </c>
      <c r="C105" s="475" t="s">
        <v>346</v>
      </c>
      <c r="D105" s="336">
        <v>6150</v>
      </c>
      <c r="E105" s="336">
        <v>0</v>
      </c>
      <c r="F105" s="336">
        <v>0</v>
      </c>
      <c r="G105" s="336">
        <v>-2460</v>
      </c>
      <c r="H105" s="468">
        <f t="shared" si="3"/>
        <v>3690</v>
      </c>
      <c r="I105" s="339">
        <v>6150</v>
      </c>
      <c r="J105" s="339"/>
    </row>
    <row r="106" spans="1:10">
      <c r="A106" s="338">
        <v>16</v>
      </c>
      <c r="B106" s="474" t="s">
        <v>38</v>
      </c>
      <c r="C106" s="475" t="s">
        <v>346</v>
      </c>
      <c r="D106" s="336">
        <v>4000</v>
      </c>
      <c r="E106" s="336">
        <v>0</v>
      </c>
      <c r="F106" s="336">
        <v>0</v>
      </c>
      <c r="G106" s="336"/>
      <c r="H106" s="468">
        <f t="shared" si="3"/>
        <v>4000</v>
      </c>
      <c r="I106" s="339">
        <v>4000</v>
      </c>
      <c r="J106" s="339"/>
    </row>
    <row r="107" spans="1:10">
      <c r="A107" s="338">
        <v>17</v>
      </c>
      <c r="B107" s="474" t="s">
        <v>39</v>
      </c>
      <c r="C107" s="475" t="s">
        <v>346</v>
      </c>
      <c r="D107" s="336">
        <v>3903</v>
      </c>
      <c r="E107" s="336">
        <v>0</v>
      </c>
      <c r="F107" s="336">
        <v>179</v>
      </c>
      <c r="G107" s="336"/>
      <c r="H107" s="468">
        <f t="shared" si="3"/>
        <v>3724</v>
      </c>
      <c r="I107" s="339"/>
      <c r="J107" s="339"/>
    </row>
    <row r="108" spans="1:10">
      <c r="A108" s="338">
        <v>18</v>
      </c>
      <c r="B108" s="474" t="s">
        <v>40</v>
      </c>
      <c r="C108" s="475" t="s">
        <v>346</v>
      </c>
      <c r="D108" s="336">
        <v>0</v>
      </c>
      <c r="E108" s="336">
        <v>2134</v>
      </c>
      <c r="F108" s="336">
        <v>2134</v>
      </c>
      <c r="G108" s="336"/>
      <c r="H108" s="468">
        <f t="shared" si="3"/>
        <v>0</v>
      </c>
      <c r="I108" s="339"/>
      <c r="J108" s="339"/>
    </row>
    <row r="109" spans="1:10">
      <c r="A109" s="338">
        <v>19</v>
      </c>
      <c r="B109" s="474" t="s">
        <v>41</v>
      </c>
      <c r="C109" s="475" t="s">
        <v>346</v>
      </c>
      <c r="D109" s="336">
        <v>1137</v>
      </c>
      <c r="E109" s="336">
        <v>0</v>
      </c>
      <c r="F109" s="336">
        <v>10</v>
      </c>
      <c r="G109" s="336"/>
      <c r="H109" s="468">
        <f t="shared" ref="H109" si="4">D109+E109-F109+G109</f>
        <v>1127</v>
      </c>
      <c r="I109" s="339"/>
      <c r="J109" s="339"/>
    </row>
    <row r="110" spans="1:10">
      <c r="A110" s="338">
        <v>20</v>
      </c>
      <c r="B110" s="474" t="s">
        <v>42</v>
      </c>
      <c r="C110" s="475" t="s">
        <v>346</v>
      </c>
      <c r="D110" s="336">
        <v>3122.9</v>
      </c>
      <c r="E110" s="336">
        <v>0</v>
      </c>
      <c r="F110" s="336">
        <v>12</v>
      </c>
      <c r="G110" s="336">
        <v>1.1000000000000001</v>
      </c>
      <c r="H110" s="468">
        <f t="shared" si="3"/>
        <v>3112</v>
      </c>
      <c r="I110" s="339"/>
      <c r="J110" s="339"/>
    </row>
    <row r="111" spans="1:10">
      <c r="A111" s="338">
        <v>21</v>
      </c>
      <c r="B111" s="474" t="s">
        <v>43</v>
      </c>
      <c r="C111" s="475" t="s">
        <v>346</v>
      </c>
      <c r="D111" s="336">
        <v>1680.5</v>
      </c>
      <c r="E111" s="336">
        <v>0</v>
      </c>
      <c r="F111" s="336">
        <v>0</v>
      </c>
      <c r="G111" s="336"/>
      <c r="H111" s="468">
        <f t="shared" si="3"/>
        <v>1680.5</v>
      </c>
      <c r="I111" s="339"/>
      <c r="J111" s="339"/>
    </row>
    <row r="112" spans="1:10">
      <c r="A112" s="338">
        <v>22</v>
      </c>
      <c r="B112" s="474" t="s">
        <v>44</v>
      </c>
      <c r="C112" s="475" t="s">
        <v>346</v>
      </c>
      <c r="D112" s="336">
        <v>0</v>
      </c>
      <c r="E112" s="336">
        <v>324.39999999999998</v>
      </c>
      <c r="F112" s="336">
        <v>324.39999999999998</v>
      </c>
      <c r="G112" s="336"/>
      <c r="H112" s="468">
        <f t="shared" si="3"/>
        <v>0</v>
      </c>
      <c r="I112" s="339"/>
      <c r="J112" s="339"/>
    </row>
    <row r="113" spans="1:8">
      <c r="A113" s="338">
        <v>23</v>
      </c>
      <c r="B113" s="474" t="s">
        <v>45</v>
      </c>
      <c r="C113" s="475" t="s">
        <v>346</v>
      </c>
      <c r="D113" s="336">
        <v>982</v>
      </c>
      <c r="E113" s="336">
        <v>500</v>
      </c>
      <c r="F113" s="336">
        <v>0</v>
      </c>
      <c r="G113" s="336"/>
      <c r="H113" s="468">
        <f t="shared" si="3"/>
        <v>1482</v>
      </c>
    </row>
    <row r="114" spans="1:8">
      <c r="A114" s="338">
        <v>24</v>
      </c>
      <c r="B114" s="474" t="s">
        <v>47</v>
      </c>
      <c r="C114" s="475" t="s">
        <v>346</v>
      </c>
      <c r="D114" s="336">
        <v>100</v>
      </c>
      <c r="E114" s="336">
        <v>0</v>
      </c>
      <c r="F114" s="336">
        <v>0</v>
      </c>
      <c r="G114" s="336"/>
      <c r="H114" s="468">
        <f t="shared" si="3"/>
        <v>100</v>
      </c>
    </row>
    <row r="115" spans="1:8">
      <c r="A115" s="338">
        <v>25</v>
      </c>
      <c r="B115" s="474" t="s">
        <v>48</v>
      </c>
      <c r="C115" s="475" t="s">
        <v>346</v>
      </c>
      <c r="D115" s="336">
        <v>13.960000000000036</v>
      </c>
      <c r="E115" s="336">
        <v>0</v>
      </c>
      <c r="F115" s="336">
        <v>0</v>
      </c>
      <c r="G115" s="336"/>
      <c r="H115" s="468">
        <f t="shared" si="3"/>
        <v>13.960000000000036</v>
      </c>
    </row>
    <row r="116" spans="1:8">
      <c r="A116" s="338">
        <v>26</v>
      </c>
      <c r="B116" s="474" t="s">
        <v>49</v>
      </c>
      <c r="C116" s="475" t="s">
        <v>346</v>
      </c>
      <c r="D116" s="336">
        <v>596</v>
      </c>
      <c r="E116" s="336">
        <v>800</v>
      </c>
      <c r="F116" s="336">
        <v>520</v>
      </c>
      <c r="G116" s="336">
        <v>-768</v>
      </c>
      <c r="H116" s="468">
        <f t="shared" si="3"/>
        <v>108</v>
      </c>
    </row>
    <row r="117" spans="1:8">
      <c r="A117" s="338">
        <v>27</v>
      </c>
      <c r="B117" s="474" t="s">
        <v>50</v>
      </c>
      <c r="C117" s="475" t="s">
        <v>346</v>
      </c>
      <c r="D117" s="336">
        <v>400</v>
      </c>
      <c r="E117" s="336">
        <v>1940</v>
      </c>
      <c r="F117" s="336">
        <v>895</v>
      </c>
      <c r="G117" s="336">
        <v>-1200</v>
      </c>
      <c r="H117" s="468">
        <f t="shared" si="3"/>
        <v>245</v>
      </c>
    </row>
    <row r="118" spans="1:8">
      <c r="A118" s="338">
        <v>28</v>
      </c>
      <c r="B118" s="474" t="s">
        <v>51</v>
      </c>
      <c r="C118" s="475" t="s">
        <v>346</v>
      </c>
      <c r="D118" s="336">
        <v>207.6</v>
      </c>
      <c r="E118" s="336">
        <v>0</v>
      </c>
      <c r="F118" s="336">
        <v>0</v>
      </c>
      <c r="G118" s="336"/>
      <c r="H118" s="468">
        <f t="shared" si="3"/>
        <v>207.6</v>
      </c>
    </row>
    <row r="119" spans="1:8">
      <c r="A119" s="338">
        <v>29</v>
      </c>
      <c r="B119" s="474" t="s">
        <v>52</v>
      </c>
      <c r="C119" s="475" t="s">
        <v>346</v>
      </c>
      <c r="D119" s="336">
        <v>147.04000000000002</v>
      </c>
      <c r="E119" s="336">
        <v>0</v>
      </c>
      <c r="F119" s="336">
        <v>0</v>
      </c>
      <c r="G119" s="336"/>
      <c r="H119" s="468">
        <f t="shared" si="3"/>
        <v>147.04000000000002</v>
      </c>
    </row>
    <row r="120" spans="1:8">
      <c r="A120" s="338">
        <v>30</v>
      </c>
      <c r="B120" s="474" t="s">
        <v>53</v>
      </c>
      <c r="C120" s="475" t="s">
        <v>346</v>
      </c>
      <c r="D120" s="336">
        <v>46.8</v>
      </c>
      <c r="E120" s="336">
        <v>0</v>
      </c>
      <c r="F120" s="336">
        <v>0</v>
      </c>
      <c r="G120" s="336"/>
      <c r="H120" s="468">
        <f t="shared" si="3"/>
        <v>46.8</v>
      </c>
    </row>
    <row r="121" spans="1:8">
      <c r="A121" s="338">
        <v>31</v>
      </c>
      <c r="B121" s="474" t="s">
        <v>55</v>
      </c>
      <c r="C121" s="475" t="s">
        <v>346</v>
      </c>
      <c r="D121" s="336">
        <v>24.200000000000003</v>
      </c>
      <c r="E121" s="336">
        <v>0</v>
      </c>
      <c r="F121" s="336">
        <v>0</v>
      </c>
      <c r="G121" s="336"/>
      <c r="H121" s="468">
        <f t="shared" si="3"/>
        <v>24.200000000000003</v>
      </c>
    </row>
    <row r="122" spans="1:8">
      <c r="A122" s="338">
        <v>32</v>
      </c>
      <c r="B122" s="474" t="s">
        <v>56</v>
      </c>
      <c r="C122" s="475" t="s">
        <v>346</v>
      </c>
      <c r="D122" s="336">
        <v>32</v>
      </c>
      <c r="E122" s="336">
        <v>0</v>
      </c>
      <c r="F122" s="336">
        <v>0</v>
      </c>
      <c r="G122" s="336"/>
      <c r="H122" s="468">
        <f t="shared" si="3"/>
        <v>32</v>
      </c>
    </row>
    <row r="123" spans="1:8">
      <c r="A123" s="338">
        <v>33</v>
      </c>
      <c r="B123" s="474" t="s">
        <v>58</v>
      </c>
      <c r="C123" s="475" t="s">
        <v>346</v>
      </c>
      <c r="D123" s="336">
        <v>0</v>
      </c>
      <c r="E123" s="336">
        <v>50</v>
      </c>
      <c r="F123" s="336">
        <v>50</v>
      </c>
      <c r="G123" s="336"/>
      <c r="H123" s="468">
        <f t="shared" si="3"/>
        <v>0</v>
      </c>
    </row>
    <row r="124" spans="1:8">
      <c r="A124" s="338">
        <v>34</v>
      </c>
      <c r="B124" s="474" t="s">
        <v>59</v>
      </c>
      <c r="C124" s="475" t="s">
        <v>346</v>
      </c>
      <c r="D124" s="336">
        <v>0</v>
      </c>
      <c r="E124" s="336">
        <v>0</v>
      </c>
      <c r="F124" s="336">
        <v>0</v>
      </c>
      <c r="G124" s="336"/>
      <c r="H124" s="468">
        <f t="shared" si="3"/>
        <v>0</v>
      </c>
    </row>
    <row r="125" spans="1:8">
      <c r="A125" s="338">
        <v>35</v>
      </c>
      <c r="B125" s="474" t="s">
        <v>60</v>
      </c>
      <c r="C125" s="475" t="s">
        <v>346</v>
      </c>
      <c r="D125" s="336">
        <v>0</v>
      </c>
      <c r="E125" s="336">
        <v>228</v>
      </c>
      <c r="F125" s="336">
        <v>0</v>
      </c>
      <c r="G125" s="336">
        <v>-92.4</v>
      </c>
      <c r="H125" s="468">
        <f t="shared" si="3"/>
        <v>135.6</v>
      </c>
    </row>
    <row r="126" spans="1:8">
      <c r="A126" s="338">
        <v>36</v>
      </c>
      <c r="B126" s="474" t="s">
        <v>61</v>
      </c>
      <c r="C126" s="475" t="s">
        <v>346</v>
      </c>
      <c r="D126" s="336">
        <v>0</v>
      </c>
      <c r="E126" s="336">
        <v>1000</v>
      </c>
      <c r="F126" s="336">
        <v>172</v>
      </c>
      <c r="G126" s="336">
        <f>-346-354</f>
        <v>-700</v>
      </c>
      <c r="H126" s="468">
        <f t="shared" si="3"/>
        <v>128</v>
      </c>
    </row>
    <row r="127" spans="1:8">
      <c r="A127" s="338">
        <v>37</v>
      </c>
      <c r="B127" s="474" t="s">
        <v>62</v>
      </c>
      <c r="C127" s="475" t="s">
        <v>346</v>
      </c>
      <c r="D127" s="336">
        <v>0</v>
      </c>
      <c r="E127" s="336">
        <v>40</v>
      </c>
      <c r="F127" s="336">
        <v>28.75</v>
      </c>
      <c r="G127" s="336"/>
      <c r="H127" s="468">
        <f t="shared" si="3"/>
        <v>11.25</v>
      </c>
    </row>
    <row r="128" spans="1:8">
      <c r="A128" s="338">
        <v>38</v>
      </c>
      <c r="B128" s="474" t="s">
        <v>63</v>
      </c>
      <c r="C128" s="475" t="s">
        <v>346</v>
      </c>
      <c r="D128" s="336">
        <v>41.599999999999909</v>
      </c>
      <c r="E128" s="336">
        <v>0</v>
      </c>
      <c r="F128" s="336">
        <v>0</v>
      </c>
      <c r="G128" s="336"/>
      <c r="H128" s="468">
        <f t="shared" ref="H128:H129" si="5">D128+E128-F128+G128</f>
        <v>41.599999999999909</v>
      </c>
    </row>
    <row r="129" spans="1:8">
      <c r="A129" s="338">
        <v>39</v>
      </c>
      <c r="B129" s="474" t="s">
        <v>64</v>
      </c>
      <c r="C129" s="475" t="s">
        <v>346</v>
      </c>
      <c r="D129" s="336">
        <v>0</v>
      </c>
      <c r="E129" s="336">
        <v>0</v>
      </c>
      <c r="F129" s="336">
        <v>0</v>
      </c>
      <c r="G129" s="336"/>
      <c r="H129" s="468">
        <f t="shared" si="5"/>
        <v>0</v>
      </c>
    </row>
    <row r="130" spans="1:8">
      <c r="A130" s="338"/>
      <c r="B130" s="474"/>
      <c r="C130" s="475"/>
      <c r="D130" s="336"/>
      <c r="E130" s="336"/>
      <c r="F130" s="336"/>
      <c r="G130" s="336"/>
      <c r="H130" s="336"/>
    </row>
    <row r="131" spans="1:8">
      <c r="A131" s="338"/>
      <c r="B131" s="467" t="s">
        <v>348</v>
      </c>
      <c r="C131" s="475"/>
      <c r="D131" s="336"/>
      <c r="E131" s="336"/>
      <c r="F131" s="336"/>
      <c r="G131" s="336"/>
      <c r="H131" s="336"/>
    </row>
    <row r="132" spans="1:8">
      <c r="A132" s="338">
        <v>1</v>
      </c>
      <c r="B132" s="474" t="s">
        <v>65</v>
      </c>
      <c r="C132" s="475" t="s">
        <v>349</v>
      </c>
      <c r="D132" s="336">
        <v>2317</v>
      </c>
      <c r="E132" s="336">
        <v>0</v>
      </c>
      <c r="F132" s="336">
        <v>1118</v>
      </c>
      <c r="G132" s="336"/>
      <c r="H132" s="468">
        <f t="shared" ref="H132:H137" si="6">D132+E132-F132+G132</f>
        <v>1199</v>
      </c>
    </row>
    <row r="133" spans="1:8">
      <c r="A133" s="338">
        <v>2</v>
      </c>
      <c r="B133" s="474" t="s">
        <v>66</v>
      </c>
      <c r="C133" s="475" t="s">
        <v>349</v>
      </c>
      <c r="D133" s="336">
        <v>776</v>
      </c>
      <c r="E133" s="336">
        <v>0</v>
      </c>
      <c r="F133" s="336">
        <v>776</v>
      </c>
      <c r="G133" s="336"/>
      <c r="H133" s="468">
        <f t="shared" si="6"/>
        <v>0</v>
      </c>
    </row>
    <row r="134" spans="1:8">
      <c r="A134" s="338">
        <v>3</v>
      </c>
      <c r="B134" s="474" t="s">
        <v>67</v>
      </c>
      <c r="C134" s="475" t="s">
        <v>349</v>
      </c>
      <c r="D134" s="336">
        <v>13455</v>
      </c>
      <c r="E134" s="336"/>
      <c r="F134" s="336">
        <v>6642</v>
      </c>
      <c r="G134" s="336"/>
      <c r="H134" s="468">
        <f t="shared" si="6"/>
        <v>6813</v>
      </c>
    </row>
    <row r="135" spans="1:8">
      <c r="A135" s="338">
        <v>4</v>
      </c>
      <c r="B135" s="474" t="s">
        <v>68</v>
      </c>
      <c r="C135" s="475" t="s">
        <v>349</v>
      </c>
      <c r="D135" s="336">
        <v>1481</v>
      </c>
      <c r="E135" s="336">
        <v>8000</v>
      </c>
      <c r="F135" s="336">
        <v>1923</v>
      </c>
      <c r="G135" s="336">
        <v>266</v>
      </c>
      <c r="H135" s="468">
        <f t="shared" si="6"/>
        <v>7824</v>
      </c>
    </row>
    <row r="136" spans="1:8">
      <c r="A136" s="338">
        <v>5</v>
      </c>
      <c r="B136" s="474" t="s">
        <v>69</v>
      </c>
      <c r="C136" s="475" t="s">
        <v>349</v>
      </c>
      <c r="D136" s="336">
        <v>1901</v>
      </c>
      <c r="E136" s="336"/>
      <c r="F136" s="336">
        <v>280</v>
      </c>
      <c r="G136" s="336"/>
      <c r="H136" s="468">
        <f t="shared" si="6"/>
        <v>1621</v>
      </c>
    </row>
    <row r="137" spans="1:8">
      <c r="A137" s="338">
        <v>6</v>
      </c>
      <c r="B137" s="474" t="s">
        <v>70</v>
      </c>
      <c r="C137" s="475" t="s">
        <v>349</v>
      </c>
      <c r="D137" s="336">
        <v>6459</v>
      </c>
      <c r="E137" s="336"/>
      <c r="F137" s="336">
        <v>266</v>
      </c>
      <c r="G137" s="336"/>
      <c r="H137" s="468">
        <f t="shared" si="6"/>
        <v>6193</v>
      </c>
    </row>
    <row r="138" spans="1:8">
      <c r="A138" s="338"/>
      <c r="B138" s="474"/>
      <c r="C138" s="475"/>
      <c r="D138" s="336"/>
      <c r="E138" s="336"/>
      <c r="F138" s="336"/>
      <c r="G138" s="336"/>
      <c r="H138" s="336"/>
    </row>
    <row r="139" spans="1:8" ht="13.9" thickBot="1">
      <c r="A139" s="338"/>
      <c r="B139" s="467" t="s">
        <v>72</v>
      </c>
      <c r="C139" s="298"/>
      <c r="D139" s="469">
        <f t="shared" ref="D139:G139" si="7">SUM(D76:D138)</f>
        <v>533437.10000000009</v>
      </c>
      <c r="E139" s="469">
        <f t="shared" si="7"/>
        <v>1254233.3199999998</v>
      </c>
      <c r="F139" s="469">
        <f t="shared" si="7"/>
        <v>1157608.4399999997</v>
      </c>
      <c r="G139" s="469">
        <f t="shared" si="7"/>
        <v>-14812.899999999998</v>
      </c>
      <c r="H139" s="469">
        <f>SUM(H76:H138)</f>
        <v>615249.07999999996</v>
      </c>
    </row>
    <row r="140" spans="1:8" ht="13.9" thickTop="1">
      <c r="A140" s="496"/>
      <c r="B140" s="329"/>
      <c r="C140" s="473"/>
      <c r="D140" s="339"/>
      <c r="E140" s="339"/>
      <c r="F140" s="339"/>
      <c r="G140" s="339"/>
      <c r="H140" s="339"/>
    </row>
    <row r="145" spans="2:8">
      <c r="B145" s="329" t="s">
        <v>358</v>
      </c>
      <c r="C145" s="473"/>
      <c r="D145" s="339"/>
      <c r="E145" s="339"/>
      <c r="F145" s="339"/>
      <c r="G145" s="339" t="s">
        <v>359</v>
      </c>
      <c r="H145" s="339"/>
    </row>
    <row r="148" spans="2:8">
      <c r="B148" s="472" t="s">
        <v>322</v>
      </c>
      <c r="C148" s="473"/>
      <c r="D148" s="339"/>
      <c r="E148" s="339"/>
      <c r="F148" s="339"/>
      <c r="G148" s="339"/>
      <c r="H148" s="339"/>
    </row>
    <row r="150" spans="2:8">
      <c r="B150" s="472" t="s">
        <v>353</v>
      </c>
      <c r="C150" s="473"/>
      <c r="D150" s="339"/>
      <c r="E150" s="339"/>
      <c r="F150" s="339"/>
      <c r="G150" s="339"/>
      <c r="H150" s="339"/>
    </row>
    <row r="151" spans="2:8">
      <c r="B151" s="474" t="s">
        <v>376</v>
      </c>
      <c r="C151" s="475" t="s">
        <v>346</v>
      </c>
      <c r="D151" s="336">
        <v>27970</v>
      </c>
      <c r="E151" s="339"/>
      <c r="F151" s="339"/>
      <c r="G151" s="339"/>
      <c r="H151" s="339"/>
    </row>
    <row r="152" spans="2:8">
      <c r="B152" s="329" t="s">
        <v>363</v>
      </c>
      <c r="C152" s="473"/>
      <c r="D152" s="339"/>
      <c r="E152" s="339"/>
      <c r="F152" s="339"/>
      <c r="G152" s="339"/>
      <c r="H152" s="339"/>
    </row>
    <row r="153" spans="2:8">
      <c r="B153" s="329" t="s">
        <v>377</v>
      </c>
      <c r="C153" s="473"/>
      <c r="D153" s="339"/>
      <c r="E153" s="339"/>
      <c r="F153" s="339"/>
      <c r="G153" s="339"/>
      <c r="H153" s="339"/>
    </row>
    <row r="155" spans="2:8">
      <c r="B155" s="474" t="s">
        <v>42</v>
      </c>
      <c r="C155" s="475" t="s">
        <v>346</v>
      </c>
      <c r="D155" s="336">
        <v>1.1000000000000001</v>
      </c>
      <c r="E155" s="339"/>
      <c r="F155" s="339"/>
      <c r="G155" s="339"/>
      <c r="H155" s="339"/>
    </row>
    <row r="156" spans="2:8">
      <c r="B156" s="474" t="s">
        <v>68</v>
      </c>
      <c r="C156" s="475" t="s">
        <v>349</v>
      </c>
      <c r="D156" s="336">
        <v>266</v>
      </c>
      <c r="E156" s="339"/>
      <c r="F156" s="339"/>
      <c r="G156" s="339"/>
      <c r="H156" s="339"/>
    </row>
    <row r="157" spans="2:8">
      <c r="B157" s="329" t="s">
        <v>354</v>
      </c>
      <c r="C157" s="473"/>
      <c r="D157" s="339"/>
      <c r="E157" s="339"/>
      <c r="F157" s="339"/>
      <c r="G157" s="339"/>
      <c r="H157" s="339"/>
    </row>
    <row r="159" spans="2:8">
      <c r="B159" s="474" t="s">
        <v>35</v>
      </c>
      <c r="C159" s="475" t="s">
        <v>346</v>
      </c>
      <c r="D159" s="336">
        <v>2340</v>
      </c>
      <c r="E159" s="339"/>
      <c r="F159" s="339"/>
      <c r="G159" s="339"/>
      <c r="H159" s="339"/>
    </row>
    <row r="160" spans="2:8">
      <c r="B160" s="329" t="s">
        <v>378</v>
      </c>
      <c r="C160" s="473"/>
      <c r="D160" s="339"/>
      <c r="E160" s="339"/>
      <c r="F160" s="339"/>
      <c r="G160" s="339"/>
      <c r="H160" s="339"/>
    </row>
    <row r="162" spans="2:4">
      <c r="B162" s="472" t="s">
        <v>357</v>
      </c>
      <c r="C162" s="473"/>
      <c r="D162" s="339"/>
    </row>
    <row r="163" spans="2:4">
      <c r="B163" s="474" t="s">
        <v>10</v>
      </c>
      <c r="C163" s="475" t="s">
        <v>346</v>
      </c>
      <c r="D163" s="336">
        <v>-1029.5999999999999</v>
      </c>
    </row>
    <row r="164" spans="2:4">
      <c r="B164" s="329" t="s">
        <v>354</v>
      </c>
      <c r="C164" s="473"/>
      <c r="D164" s="339"/>
    </row>
    <row r="166" spans="2:4">
      <c r="B166" s="474" t="s">
        <v>379</v>
      </c>
      <c r="C166" s="475" t="s">
        <v>346</v>
      </c>
      <c r="D166" s="336">
        <v>-19580</v>
      </c>
    </row>
    <row r="167" spans="2:4">
      <c r="B167" s="329" t="s">
        <v>380</v>
      </c>
      <c r="C167" s="473"/>
      <c r="D167" s="339"/>
    </row>
    <row r="168" spans="2:4">
      <c r="B168" s="329" t="s">
        <v>381</v>
      </c>
      <c r="C168" s="473"/>
      <c r="D168" s="339"/>
    </row>
    <row r="170" spans="2:4">
      <c r="B170" s="474" t="s">
        <v>29</v>
      </c>
      <c r="C170" s="475" t="s">
        <v>346</v>
      </c>
      <c r="D170" s="336">
        <v>-6000</v>
      </c>
    </row>
    <row r="171" spans="2:4">
      <c r="B171" s="329" t="s">
        <v>382</v>
      </c>
      <c r="C171" s="473"/>
      <c r="D171" s="339"/>
    </row>
    <row r="172" spans="2:4">
      <c r="B172" s="329" t="s">
        <v>383</v>
      </c>
      <c r="C172" s="473"/>
      <c r="D172" s="339"/>
    </row>
    <row r="174" spans="2:4">
      <c r="B174" s="474" t="s">
        <v>30</v>
      </c>
      <c r="C174" s="475" t="s">
        <v>346</v>
      </c>
      <c r="D174" s="336">
        <f>SUM(D175:D178)</f>
        <v>-3400</v>
      </c>
    </row>
    <row r="175" spans="2:4">
      <c r="B175" s="329" t="s">
        <v>384</v>
      </c>
      <c r="C175" s="473"/>
      <c r="D175" s="339"/>
    </row>
    <row r="176" spans="2:4">
      <c r="B176" s="329" t="s">
        <v>385</v>
      </c>
      <c r="C176" s="473"/>
      <c r="D176" s="339">
        <v>-3360</v>
      </c>
    </row>
    <row r="177" spans="2:4">
      <c r="B177" s="329" t="s">
        <v>384</v>
      </c>
      <c r="C177" s="473"/>
      <c r="D177" s="339"/>
    </row>
    <row r="178" spans="2:4">
      <c r="B178" s="329" t="s">
        <v>386</v>
      </c>
      <c r="C178" s="473"/>
      <c r="D178" s="339">
        <v>-40</v>
      </c>
    </row>
    <row r="179" spans="2:4">
      <c r="B179" s="329"/>
      <c r="C179" s="473"/>
      <c r="D179" s="339"/>
    </row>
    <row r="180" spans="2:4">
      <c r="B180" s="474" t="s">
        <v>31</v>
      </c>
      <c r="C180" s="475" t="s">
        <v>346</v>
      </c>
      <c r="D180" s="336">
        <f>SUM(D181:D184)</f>
        <v>-7900</v>
      </c>
    </row>
    <row r="181" spans="2:4">
      <c r="B181" s="329" t="s">
        <v>384</v>
      </c>
      <c r="C181" s="473"/>
      <c r="D181" s="339"/>
    </row>
    <row r="182" spans="2:4">
      <c r="B182" s="329" t="s">
        <v>385</v>
      </c>
      <c r="C182" s="473"/>
      <c r="D182" s="339">
        <v>-3900</v>
      </c>
    </row>
    <row r="183" spans="2:4">
      <c r="B183" s="329" t="s">
        <v>384</v>
      </c>
      <c r="C183" s="473"/>
      <c r="D183" s="339"/>
    </row>
    <row r="184" spans="2:4">
      <c r="B184" s="329" t="s">
        <v>386</v>
      </c>
      <c r="C184" s="473"/>
      <c r="D184" s="339">
        <v>-4000</v>
      </c>
    </row>
    <row r="185" spans="2:4">
      <c r="B185" s="329"/>
      <c r="C185" s="473"/>
      <c r="D185" s="339"/>
    </row>
    <row r="186" spans="2:4">
      <c r="B186" s="474" t="s">
        <v>31</v>
      </c>
      <c r="C186" s="475" t="s">
        <v>346</v>
      </c>
      <c r="D186" s="336">
        <v>-2260</v>
      </c>
    </row>
    <row r="187" spans="2:4">
      <c r="B187" s="329" t="s">
        <v>382</v>
      </c>
      <c r="C187" s="473"/>
      <c r="D187" s="339"/>
    </row>
    <row r="188" spans="2:4">
      <c r="B188" s="329" t="s">
        <v>387</v>
      </c>
      <c r="C188" s="473"/>
      <c r="D188" s="339"/>
    </row>
    <row r="189" spans="2:4">
      <c r="B189" s="329"/>
      <c r="C189" s="473"/>
      <c r="D189" s="339"/>
    </row>
    <row r="190" spans="2:4">
      <c r="B190" s="474" t="s">
        <v>37</v>
      </c>
      <c r="C190" s="475" t="s">
        <v>346</v>
      </c>
      <c r="D190" s="336">
        <v>-2460</v>
      </c>
    </row>
    <row r="191" spans="2:4">
      <c r="B191" s="329" t="s">
        <v>388</v>
      </c>
      <c r="C191" s="473"/>
      <c r="D191" s="339"/>
    </row>
    <row r="192" spans="2:4">
      <c r="B192" s="329"/>
      <c r="C192" s="473"/>
      <c r="D192" s="339"/>
    </row>
    <row r="193" spans="2:4">
      <c r="B193" s="474" t="s">
        <v>103</v>
      </c>
      <c r="C193" s="475" t="s">
        <v>346</v>
      </c>
      <c r="D193" s="336">
        <f>SUM(D194:D197)</f>
        <v>-768</v>
      </c>
    </row>
    <row r="194" spans="2:4">
      <c r="B194" s="329" t="s">
        <v>384</v>
      </c>
      <c r="C194" s="473"/>
      <c r="D194" s="339"/>
    </row>
    <row r="195" spans="2:4">
      <c r="B195" s="329" t="s">
        <v>385</v>
      </c>
      <c r="C195" s="473"/>
      <c r="D195" s="339">
        <v>-700</v>
      </c>
    </row>
    <row r="196" spans="2:4">
      <c r="B196" s="329" t="s">
        <v>384</v>
      </c>
      <c r="C196" s="473"/>
      <c r="D196" s="339"/>
    </row>
    <row r="197" spans="2:4">
      <c r="B197" s="329" t="s">
        <v>386</v>
      </c>
      <c r="C197" s="473"/>
      <c r="D197" s="339">
        <v>-68</v>
      </c>
    </row>
    <row r="198" spans="2:4">
      <c r="B198" s="329"/>
      <c r="C198" s="473"/>
      <c r="D198" s="339"/>
    </row>
    <row r="199" spans="2:4">
      <c r="B199" s="474" t="s">
        <v>104</v>
      </c>
      <c r="C199" s="475" t="s">
        <v>346</v>
      </c>
      <c r="D199" s="336">
        <v>-1200</v>
      </c>
    </row>
    <row r="200" spans="2:4">
      <c r="B200" s="329" t="s">
        <v>384</v>
      </c>
      <c r="C200" s="473"/>
      <c r="D200" s="339"/>
    </row>
    <row r="201" spans="2:4">
      <c r="B201" s="329" t="s">
        <v>385</v>
      </c>
      <c r="C201" s="473"/>
      <c r="D201" s="339"/>
    </row>
    <row r="202" spans="2:4">
      <c r="B202" s="329"/>
      <c r="C202" s="473"/>
      <c r="D202" s="339"/>
    </row>
    <row r="203" spans="2:4">
      <c r="B203" s="474" t="s">
        <v>389</v>
      </c>
      <c r="C203" s="475" t="s">
        <v>346</v>
      </c>
      <c r="D203" s="336">
        <v>-92.4</v>
      </c>
    </row>
    <row r="204" spans="2:4">
      <c r="B204" s="329" t="s">
        <v>380</v>
      </c>
      <c r="C204" s="473"/>
      <c r="D204" s="339"/>
    </row>
    <row r="205" spans="2:4">
      <c r="B205" s="329" t="s">
        <v>390</v>
      </c>
      <c r="C205" s="473"/>
      <c r="D205" s="339"/>
    </row>
    <row r="207" spans="2:4">
      <c r="B207" s="474" t="s">
        <v>391</v>
      </c>
      <c r="C207" s="475" t="s">
        <v>346</v>
      </c>
      <c r="D207" s="336">
        <f>SUM(D208:D211)</f>
        <v>-700</v>
      </c>
    </row>
    <row r="208" spans="2:4">
      <c r="B208" s="329" t="s">
        <v>384</v>
      </c>
      <c r="C208" s="473"/>
      <c r="D208" s="339"/>
    </row>
    <row r="209" spans="2:8">
      <c r="B209" s="329" t="s">
        <v>386</v>
      </c>
      <c r="C209" s="473"/>
      <c r="D209" s="339">
        <v>-346</v>
      </c>
      <c r="E209" s="339"/>
      <c r="F209" s="339"/>
      <c r="G209" s="339"/>
      <c r="H209" s="339"/>
    </row>
    <row r="210" spans="2:8">
      <c r="B210" s="329" t="s">
        <v>380</v>
      </c>
      <c r="C210" s="473"/>
      <c r="D210" s="339"/>
      <c r="E210" s="339"/>
      <c r="F210" s="339"/>
      <c r="G210" s="339"/>
      <c r="H210" s="339"/>
    </row>
    <row r="211" spans="2:8">
      <c r="B211" s="329" t="s">
        <v>390</v>
      </c>
      <c r="C211" s="473"/>
      <c r="D211" s="339">
        <v>-354</v>
      </c>
      <c r="E211" s="339"/>
      <c r="F211" s="339"/>
      <c r="G211" s="339"/>
      <c r="H211" s="339"/>
    </row>
    <row r="212" spans="2:8">
      <c r="B212" s="329"/>
      <c r="C212" s="477"/>
      <c r="D212" s="515"/>
      <c r="E212" s="339"/>
      <c r="F212" s="339"/>
      <c r="G212" s="339"/>
      <c r="H212" s="339"/>
    </row>
    <row r="214" spans="2:8">
      <c r="B214" s="329" t="s">
        <v>358</v>
      </c>
      <c r="C214" s="473"/>
      <c r="D214" s="339"/>
      <c r="E214" s="339"/>
      <c r="F214" s="339"/>
      <c r="G214" s="339" t="s">
        <v>359</v>
      </c>
      <c r="H214" s="339"/>
    </row>
  </sheetData>
  <autoFilter ref="A2:AD72" xr:uid="{00000000-0009-0000-0000-000008000000}"/>
  <mergeCells count="2">
    <mergeCell ref="J1:K1"/>
    <mergeCell ref="Q1:U1"/>
  </mergeCells>
  <printOptions horizontalCentered="1" verticalCentered="1"/>
  <pageMargins left="0.70866141732283472" right="7.874015748031496E-2" top="7.874015748031496E-2" bottom="7.874015748031496E-2" header="0" footer="0"/>
  <pageSetup paperSize="9" scale="28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214"/>
  <sheetViews>
    <sheetView topLeftCell="A100" zoomScaleNormal="100" workbookViewId="0">
      <selection activeCell="B107" sqref="B107"/>
    </sheetView>
  </sheetViews>
  <sheetFormatPr defaultColWidth="9.28515625" defaultRowHeight="13.15"/>
  <cols>
    <col min="1" max="1" width="5.7109375" style="305" bestFit="1" customWidth="1"/>
    <col min="2" max="2" width="35.5703125" style="306" customWidth="1"/>
    <col min="3" max="3" width="5" style="331" customWidth="1"/>
    <col min="4" max="4" width="12.28515625" style="307" bestFit="1" customWidth="1"/>
    <col min="5" max="5" width="13.42578125" style="307" bestFit="1" customWidth="1"/>
    <col min="6" max="6" width="14.5703125" style="307" customWidth="1"/>
    <col min="7" max="7" width="14.7109375" style="331" bestFit="1" customWidth="1"/>
    <col min="8" max="8" width="13.5703125" style="339" customWidth="1"/>
    <col min="9" max="9" width="13.28515625" style="307" bestFit="1" customWidth="1"/>
    <col min="10" max="11" width="13.7109375" style="307" bestFit="1" customWidth="1"/>
    <col min="12" max="12" width="41.7109375" style="307" bestFit="1" customWidth="1"/>
    <col min="13" max="13" width="1.42578125" style="307" bestFit="1" customWidth="1"/>
    <col min="14" max="14" width="14" style="307" bestFit="1" customWidth="1"/>
    <col min="15" max="15" width="13" style="307" bestFit="1" customWidth="1"/>
    <col min="16" max="16" width="3.42578125" style="307" customWidth="1"/>
    <col min="17" max="17" width="15.7109375" style="307" bestFit="1" customWidth="1"/>
    <col min="18" max="18" width="11.28515625" style="317" bestFit="1" customWidth="1"/>
    <col min="19" max="19" width="45.28515625" style="307" bestFit="1" customWidth="1"/>
    <col min="20" max="20" width="14.7109375" style="309" bestFit="1" customWidth="1"/>
    <col min="21" max="21" width="13.7109375" style="307" bestFit="1" customWidth="1"/>
    <col min="22" max="22" width="9.28515625" style="306"/>
    <col min="23" max="23" width="34.28515625" style="306" bestFit="1" customWidth="1"/>
    <col min="24" max="25" width="9.28515625" style="306"/>
    <col min="26" max="27" width="9.42578125" style="306" bestFit="1" customWidth="1"/>
    <col min="28" max="28" width="9.28515625" style="306"/>
    <col min="29" max="29" width="10.28515625" style="306" bestFit="1" customWidth="1"/>
    <col min="30" max="16384" width="9.28515625" style="306"/>
  </cols>
  <sheetData>
    <row r="1" spans="1:29">
      <c r="A1" s="496"/>
      <c r="B1" s="291" t="str">
        <f>SUMMARY!B95</f>
        <v>HARUMI Stock - JUN 2026</v>
      </c>
      <c r="C1" s="337"/>
      <c r="D1" s="344"/>
      <c r="E1" s="344"/>
      <c r="F1" s="344"/>
      <c r="G1" s="344"/>
      <c r="H1" s="344"/>
      <c r="I1" s="497"/>
      <c r="J1" s="852"/>
      <c r="K1" s="852"/>
      <c r="L1" s="498"/>
      <c r="M1" s="498"/>
      <c r="N1" s="498"/>
      <c r="O1" s="339"/>
      <c r="P1" s="339"/>
      <c r="Q1" s="853" t="s">
        <v>330</v>
      </c>
      <c r="R1" s="853"/>
      <c r="S1" s="853"/>
      <c r="T1" s="853"/>
      <c r="U1" s="853"/>
      <c r="V1" s="329"/>
      <c r="W1" s="329"/>
      <c r="X1" s="329"/>
      <c r="Y1" s="329"/>
      <c r="Z1" s="329"/>
      <c r="AA1" s="329"/>
      <c r="AB1" s="329"/>
      <c r="AC1" s="329"/>
    </row>
    <row r="2" spans="1:29" s="305" customFormat="1" ht="26.45">
      <c r="A2" s="311" t="s">
        <v>331</v>
      </c>
      <c r="B2" s="312" t="s">
        <v>332</v>
      </c>
      <c r="C2" s="313" t="s">
        <v>333</v>
      </c>
      <c r="D2" s="313" t="s">
        <v>334</v>
      </c>
      <c r="E2" s="313" t="s">
        <v>335</v>
      </c>
      <c r="F2" s="313" t="s">
        <v>166</v>
      </c>
      <c r="G2" s="313" t="s">
        <v>168</v>
      </c>
      <c r="H2" s="313" t="s">
        <v>336</v>
      </c>
      <c r="I2" s="293" t="s">
        <v>337</v>
      </c>
      <c r="J2" s="294" t="s">
        <v>338</v>
      </c>
      <c r="K2" s="313" t="s">
        <v>339</v>
      </c>
      <c r="L2" s="313" t="s">
        <v>170</v>
      </c>
      <c r="M2" s="314"/>
      <c r="N2" s="294" t="s">
        <v>340</v>
      </c>
      <c r="O2" s="313" t="s">
        <v>330</v>
      </c>
      <c r="P2" s="315"/>
      <c r="Q2" s="297" t="s">
        <v>341</v>
      </c>
      <c r="R2" s="304" t="s">
        <v>164</v>
      </c>
      <c r="S2" s="298" t="s">
        <v>342</v>
      </c>
      <c r="T2" s="316" t="s">
        <v>343</v>
      </c>
      <c r="U2" s="298" t="s">
        <v>344</v>
      </c>
      <c r="V2" s="496"/>
      <c r="W2" s="496"/>
      <c r="X2" s="496"/>
      <c r="Y2" s="496"/>
      <c r="Z2" s="496"/>
      <c r="AA2" s="496"/>
      <c r="AB2" s="496"/>
      <c r="AC2" s="496"/>
    </row>
    <row r="3" spans="1:29">
      <c r="A3" s="311"/>
      <c r="B3" s="290" t="s">
        <v>345</v>
      </c>
      <c r="C3" s="313"/>
      <c r="D3" s="292"/>
      <c r="E3" s="292"/>
      <c r="F3" s="292"/>
      <c r="G3" s="313"/>
      <c r="H3" s="292"/>
      <c r="I3" s="293"/>
      <c r="J3" s="294"/>
      <c r="K3" s="292"/>
      <c r="L3" s="292"/>
      <c r="M3" s="295"/>
      <c r="N3" s="294"/>
      <c r="O3" s="292"/>
      <c r="P3" s="296"/>
      <c r="Q3" s="297"/>
      <c r="R3" s="304"/>
      <c r="S3" s="298"/>
      <c r="T3" s="308"/>
      <c r="U3" s="298"/>
      <c r="V3" s="329"/>
      <c r="W3" s="329"/>
      <c r="X3" s="329"/>
      <c r="Y3" s="329"/>
      <c r="Z3" s="329"/>
      <c r="AA3" s="329"/>
      <c r="AB3" s="329"/>
      <c r="AC3" s="329"/>
    </row>
    <row r="4" spans="1:29">
      <c r="A4" s="338"/>
      <c r="B4" s="413" t="str">
        <f>SUMMARY!B3</f>
        <v>MAIZE/CORN</v>
      </c>
      <c r="C4" s="338" t="s">
        <v>346</v>
      </c>
      <c r="D4" s="336">
        <f>SUMMARY!B39</f>
        <v>244343.40000000008</v>
      </c>
      <c r="E4" s="336">
        <f>SUMMARY!B40</f>
        <v>462870</v>
      </c>
      <c r="F4" s="336">
        <f>SUMMARY!B41</f>
        <v>566158.56999999995</v>
      </c>
      <c r="G4" s="475">
        <f>SUMMARY!B42</f>
        <v>-37447.030000000028</v>
      </c>
      <c r="H4" s="336">
        <f>SUMMARY!B43</f>
        <v>103607.80000000006</v>
      </c>
      <c r="I4" s="336"/>
      <c r="J4" s="336"/>
      <c r="K4" s="336"/>
      <c r="L4" s="336"/>
      <c r="M4" s="339"/>
      <c r="N4" s="336"/>
      <c r="O4" s="413">
        <f>N4-H4</f>
        <v>-103607.80000000006</v>
      </c>
      <c r="P4" s="339"/>
      <c r="Q4" s="336"/>
      <c r="R4" s="499"/>
      <c r="S4" s="336"/>
      <c r="T4" s="500"/>
      <c r="U4" s="336"/>
      <c r="V4" s="329"/>
      <c r="W4" s="501"/>
      <c r="X4" s="329"/>
      <c r="Y4" s="502"/>
      <c r="Z4" s="502"/>
      <c r="AA4" s="502"/>
      <c r="AB4" s="502"/>
      <c r="AC4" s="502"/>
    </row>
    <row r="5" spans="1:29">
      <c r="A5" s="338"/>
      <c r="B5" s="413" t="str">
        <f>SUMMARY!C3</f>
        <v>SOYBEAN MEAL (ARG)</v>
      </c>
      <c r="C5" s="338" t="s">
        <v>346</v>
      </c>
      <c r="D5" s="336">
        <f>SUMMARY!C39</f>
        <v>105957.20000000007</v>
      </c>
      <c r="E5" s="336">
        <f>SUMMARY!C40</f>
        <v>230900</v>
      </c>
      <c r="F5" s="336">
        <f>SUMMARY!C41</f>
        <v>285356.79000000004</v>
      </c>
      <c r="G5" s="475">
        <f>SUMMARY!C42</f>
        <v>-1.2099999999870761</v>
      </c>
      <c r="H5" s="336">
        <f>SUMMARY!C43</f>
        <v>51499.20000000007</v>
      </c>
      <c r="I5" s="336"/>
      <c r="J5" s="336"/>
      <c r="K5" s="336"/>
      <c r="L5" s="336"/>
      <c r="M5" s="339"/>
      <c r="N5" s="336"/>
      <c r="O5" s="413">
        <f t="shared" ref="O5:O56" si="0">N5-H5</f>
        <v>-51499.20000000007</v>
      </c>
      <c r="P5" s="339"/>
      <c r="Q5" s="336"/>
      <c r="R5" s="499"/>
      <c r="S5" s="336"/>
      <c r="T5" s="500"/>
      <c r="U5" s="336"/>
      <c r="V5" s="329"/>
      <c r="W5" s="501"/>
      <c r="X5" s="329"/>
      <c r="Y5" s="502"/>
      <c r="Z5" s="502"/>
      <c r="AA5" s="502"/>
      <c r="AB5" s="502"/>
      <c r="AC5" s="502"/>
    </row>
    <row r="6" spans="1:29">
      <c r="A6" s="338"/>
      <c r="B6" s="413" t="str">
        <f>SUMMARY!D3</f>
        <v>SOYBEAN FULL FAT</v>
      </c>
      <c r="C6" s="338" t="s">
        <v>346</v>
      </c>
      <c r="D6" s="336">
        <f>SUMMARY!D39</f>
        <v>44686.299999999974</v>
      </c>
      <c r="E6" s="336">
        <f>SUMMARY!D40</f>
        <v>45100</v>
      </c>
      <c r="F6" s="336">
        <f>SUMMARY!D41</f>
        <v>57040</v>
      </c>
      <c r="G6" s="475">
        <f>SUMMARY!D42</f>
        <v>-14.2999999999995</v>
      </c>
      <c r="H6" s="336">
        <f>SUMMARY!D43</f>
        <v>32731.999999999971</v>
      </c>
      <c r="I6" s="336"/>
      <c r="J6" s="336"/>
      <c r="K6" s="336"/>
      <c r="L6" s="336"/>
      <c r="M6" s="339"/>
      <c r="N6" s="336"/>
      <c r="O6" s="413">
        <f t="shared" si="0"/>
        <v>-32731.999999999971</v>
      </c>
      <c r="P6" s="339"/>
      <c r="Q6" s="336"/>
      <c r="R6" s="499"/>
      <c r="S6" s="336"/>
      <c r="T6" s="500"/>
      <c r="U6" s="336"/>
      <c r="V6" s="329"/>
      <c r="W6" s="501"/>
      <c r="X6" s="329"/>
      <c r="Y6" s="502"/>
      <c r="Z6" s="502"/>
      <c r="AA6" s="502"/>
      <c r="AB6" s="502"/>
      <c r="AC6" s="502"/>
    </row>
    <row r="7" spans="1:29">
      <c r="A7" s="338"/>
      <c r="B7" s="413" t="str">
        <f>SUMMARY!E3</f>
        <v>WHEAT POLLARD</v>
      </c>
      <c r="C7" s="338" t="s">
        <v>346</v>
      </c>
      <c r="D7" s="336">
        <f>SUMMARY!E39</f>
        <v>12193.400000000018</v>
      </c>
      <c r="E7" s="336">
        <f>SUMMARY!E40</f>
        <v>22380</v>
      </c>
      <c r="F7" s="336">
        <f>SUMMARY!E41</f>
        <v>1200</v>
      </c>
      <c r="G7" s="475">
        <f>SUMMARY!E42</f>
        <v>-0.69999999999993179</v>
      </c>
      <c r="H7" s="336">
        <f>SUMMARY!E43</f>
        <v>33372.700000000019</v>
      </c>
      <c r="I7" s="336"/>
      <c r="J7" s="336"/>
      <c r="K7" s="336"/>
      <c r="L7" s="336"/>
      <c r="M7" s="339"/>
      <c r="N7" s="336"/>
      <c r="O7" s="413">
        <f t="shared" si="0"/>
        <v>-33372.700000000019</v>
      </c>
      <c r="P7" s="339"/>
      <c r="Q7" s="503"/>
      <c r="R7" s="504"/>
      <c r="S7" s="505"/>
      <c r="T7" s="505"/>
      <c r="U7" s="336"/>
      <c r="V7" s="329"/>
      <c r="W7" s="501"/>
      <c r="X7" s="329"/>
      <c r="Y7" s="502"/>
      <c r="Z7" s="502"/>
      <c r="AA7" s="502"/>
      <c r="AB7" s="502"/>
      <c r="AC7" s="502"/>
    </row>
    <row r="8" spans="1:29">
      <c r="A8" s="338"/>
      <c r="B8" s="413" t="str">
        <f>SUMMARY!F3</f>
        <v>WHEAT</v>
      </c>
      <c r="C8" s="338" t="s">
        <v>346</v>
      </c>
      <c r="D8" s="336">
        <f>SUMMARY!F39</f>
        <v>0</v>
      </c>
      <c r="E8" s="336">
        <f>SUMMARY!F40</f>
        <v>0</v>
      </c>
      <c r="F8" s="336">
        <f>SUMMARY!F41</f>
        <v>0</v>
      </c>
      <c r="G8" s="475">
        <f>SUMMARY!F42</f>
        <v>0</v>
      </c>
      <c r="H8" s="336">
        <f>SUMMARY!F43</f>
        <v>0</v>
      </c>
      <c r="I8" s="336"/>
      <c r="J8" s="336"/>
      <c r="K8" s="336"/>
      <c r="L8" s="336"/>
      <c r="M8" s="339"/>
      <c r="N8" s="336"/>
      <c r="O8" s="413">
        <f t="shared" si="0"/>
        <v>0</v>
      </c>
      <c r="P8" s="339"/>
      <c r="Q8" s="336"/>
      <c r="R8" s="499"/>
      <c r="S8" s="336"/>
      <c r="T8" s="500"/>
      <c r="U8" s="336"/>
      <c r="V8" s="329"/>
      <c r="W8" s="501"/>
      <c r="X8" s="329"/>
      <c r="Y8" s="502"/>
      <c r="Z8" s="502"/>
      <c r="AA8" s="502"/>
      <c r="AB8" s="502"/>
      <c r="AC8" s="502"/>
    </row>
    <row r="9" spans="1:29">
      <c r="A9" s="338"/>
      <c r="B9" s="413" t="str">
        <f>SUMMARY!G3</f>
        <v>MEAT AND BONE MEAL</v>
      </c>
      <c r="C9" s="338" t="s">
        <v>346</v>
      </c>
      <c r="D9" s="336">
        <f>SUMMARY!G39</f>
        <v>18566.699999999997</v>
      </c>
      <c r="E9" s="336">
        <f>SUMMARY!G40</f>
        <v>0</v>
      </c>
      <c r="F9" s="336">
        <f>SUMMARY!G41</f>
        <v>4620</v>
      </c>
      <c r="G9" s="475">
        <f>SUMMARY!G42</f>
        <v>-0.49999999999981526</v>
      </c>
      <c r="H9" s="336">
        <f>SUMMARY!G43</f>
        <v>13946.199999999997</v>
      </c>
      <c r="I9" s="336"/>
      <c r="J9" s="336"/>
      <c r="K9" s="336"/>
      <c r="L9" s="336"/>
      <c r="M9" s="339"/>
      <c r="N9" s="336"/>
      <c r="O9" s="413">
        <f t="shared" si="0"/>
        <v>-13946.199999999997</v>
      </c>
      <c r="P9" s="339"/>
      <c r="Q9" s="336"/>
      <c r="R9" s="499"/>
      <c r="S9" s="336"/>
      <c r="T9" s="500"/>
      <c r="U9" s="336"/>
      <c r="V9" s="329"/>
      <c r="W9" s="501"/>
      <c r="X9" s="329"/>
      <c r="Y9" s="502"/>
      <c r="Z9" s="502"/>
      <c r="AA9" s="502"/>
      <c r="AB9" s="502"/>
      <c r="AC9" s="502"/>
    </row>
    <row r="10" spans="1:29">
      <c r="A10" s="338"/>
      <c r="B10" s="413" t="str">
        <f>SUMMARY!H3</f>
        <v>CORN GLUTEN MEAL</v>
      </c>
      <c r="C10" s="338" t="s">
        <v>346</v>
      </c>
      <c r="D10" s="336">
        <f>SUMMARY!H39</f>
        <v>34163.999999999993</v>
      </c>
      <c r="E10" s="336">
        <f>SUMMARY!H40</f>
        <v>11000</v>
      </c>
      <c r="F10" s="336">
        <f>SUMMARY!H41</f>
        <v>8613</v>
      </c>
      <c r="G10" s="475">
        <f>SUMMARY!H42</f>
        <v>396.69999999999982</v>
      </c>
      <c r="H10" s="336">
        <f>SUMMARY!H43</f>
        <v>36947.699999999997</v>
      </c>
      <c r="I10" s="336"/>
      <c r="J10" s="336"/>
      <c r="K10" s="336"/>
      <c r="L10" s="336"/>
      <c r="M10" s="339"/>
      <c r="N10" s="336"/>
      <c r="O10" s="413">
        <f t="shared" si="0"/>
        <v>-36947.699999999997</v>
      </c>
      <c r="P10" s="339"/>
      <c r="Q10" s="336"/>
      <c r="R10" s="499"/>
      <c r="S10" s="336"/>
      <c r="T10" s="500"/>
      <c r="U10" s="336"/>
      <c r="V10" s="329"/>
      <c r="W10" s="501"/>
      <c r="X10" s="329"/>
      <c r="Y10" s="502"/>
      <c r="Z10" s="502"/>
      <c r="AA10" s="502"/>
      <c r="AB10" s="502"/>
      <c r="AC10" s="502"/>
    </row>
    <row r="11" spans="1:29">
      <c r="A11" s="338"/>
      <c r="B11" s="413" t="str">
        <f>SUMMARY!I3</f>
        <v>MEGAFAT (HARUMI)</v>
      </c>
      <c r="C11" s="338" t="s">
        <v>346</v>
      </c>
      <c r="D11" s="336">
        <f>SUMMARY!I39</f>
        <v>0</v>
      </c>
      <c r="E11" s="336">
        <f>SUMMARY!I40</f>
        <v>12039.3</v>
      </c>
      <c r="F11" s="336">
        <f>SUMMARY!I41</f>
        <v>11039</v>
      </c>
      <c r="G11" s="475">
        <f>SUMMARY!I42</f>
        <v>-1000.3000000000001</v>
      </c>
      <c r="H11" s="336">
        <f>SUMMARY!I43</f>
        <v>0</v>
      </c>
      <c r="I11" s="336"/>
      <c r="J11" s="300"/>
      <c r="K11" s="300"/>
      <c r="L11" s="336"/>
      <c r="M11" s="339"/>
      <c r="N11" s="336"/>
      <c r="O11" s="413">
        <f t="shared" si="0"/>
        <v>0</v>
      </c>
      <c r="P11" s="339"/>
      <c r="Q11" s="336"/>
      <c r="R11" s="499"/>
      <c r="S11" s="336"/>
      <c r="T11" s="500"/>
      <c r="U11" s="336"/>
      <c r="V11" s="329"/>
      <c r="W11" s="501"/>
      <c r="X11" s="329"/>
      <c r="Y11" s="502"/>
      <c r="Z11" s="502"/>
      <c r="AA11" s="502"/>
      <c r="AB11" s="502"/>
      <c r="AC11" s="502"/>
    </row>
    <row r="12" spans="1:29">
      <c r="A12" s="338"/>
      <c r="B12" s="413" t="str">
        <f>SUMMARY!J3</f>
        <v>DCP 18%</v>
      </c>
      <c r="C12" s="338" t="s">
        <v>346</v>
      </c>
      <c r="D12" s="336">
        <f>SUMMARY!J39</f>
        <v>5083.1299999999992</v>
      </c>
      <c r="E12" s="336">
        <f>SUMMARY!J40</f>
        <v>0</v>
      </c>
      <c r="F12" s="336">
        <f>SUMMARY!J41</f>
        <v>4131.72</v>
      </c>
      <c r="G12" s="475">
        <f>SUMMARY!J42</f>
        <v>1437.3700000000001</v>
      </c>
      <c r="H12" s="336">
        <f>SUMMARY!J43</f>
        <v>2388.7799999999988</v>
      </c>
      <c r="I12" s="336"/>
      <c r="J12" s="301"/>
      <c r="K12" s="336"/>
      <c r="L12" s="336"/>
      <c r="M12" s="339"/>
      <c r="N12" s="336"/>
      <c r="O12" s="413">
        <f t="shared" si="0"/>
        <v>-2388.7799999999988</v>
      </c>
      <c r="P12" s="339"/>
      <c r="Q12" s="336"/>
      <c r="R12" s="499"/>
      <c r="S12" s="336"/>
      <c r="T12" s="500"/>
      <c r="U12" s="336"/>
      <c r="V12" s="329"/>
      <c r="W12" s="501"/>
      <c r="X12" s="329"/>
      <c r="Y12" s="502"/>
      <c r="Z12" s="502"/>
      <c r="AA12" s="502"/>
      <c r="AB12" s="502"/>
      <c r="AC12" s="502"/>
    </row>
    <row r="13" spans="1:29">
      <c r="A13" s="338"/>
      <c r="B13" s="413" t="str">
        <f>SUMMARY!K3</f>
        <v>LIMESTONE POWDER (HARUMI)</v>
      </c>
      <c r="C13" s="338" t="s">
        <v>346</v>
      </c>
      <c r="D13" s="336">
        <f>SUMMARY!K39</f>
        <v>0</v>
      </c>
      <c r="E13" s="336">
        <f>SUMMARY!K40</f>
        <v>6166.9700000000012</v>
      </c>
      <c r="F13" s="336">
        <f>SUMMARY!K41</f>
        <v>2052.36</v>
      </c>
      <c r="G13" s="475">
        <f>SUMMARY!K42</f>
        <v>-4114.6100000000006</v>
      </c>
      <c r="H13" s="336">
        <f>SUMMARY!K43</f>
        <v>0</v>
      </c>
      <c r="I13" s="336"/>
      <c r="J13" s="301"/>
      <c r="K13" s="336"/>
      <c r="L13" s="336"/>
      <c r="M13" s="339"/>
      <c r="N13" s="336"/>
      <c r="O13" s="413">
        <f t="shared" si="0"/>
        <v>0</v>
      </c>
      <c r="P13" s="339"/>
      <c r="Q13" s="336"/>
      <c r="R13" s="499"/>
      <c r="S13" s="336"/>
      <c r="T13" s="500"/>
      <c r="U13" s="336"/>
      <c r="V13" s="329"/>
      <c r="W13" s="501"/>
      <c r="X13" s="329"/>
      <c r="Y13" s="502"/>
      <c r="Z13" s="502"/>
      <c r="AA13" s="502"/>
      <c r="AB13" s="502"/>
      <c r="AC13" s="502"/>
    </row>
    <row r="14" spans="1:29">
      <c r="A14" s="338"/>
      <c r="B14" s="413" t="str">
        <f>SUMMARY!L3</f>
        <v>CHOLINE CHLORIDE 60%</v>
      </c>
      <c r="C14" s="338" t="s">
        <v>346</v>
      </c>
      <c r="D14" s="336">
        <f>SUMMARY!L39</f>
        <v>0</v>
      </c>
      <c r="E14" s="336">
        <f>SUMMARY!L40</f>
        <v>0</v>
      </c>
      <c r="F14" s="336">
        <f>SUMMARY!L41</f>
        <v>0</v>
      </c>
      <c r="G14" s="475">
        <f>SUMMARY!L42</f>
        <v>0</v>
      </c>
      <c r="H14" s="336">
        <f>SUMMARY!L43</f>
        <v>0</v>
      </c>
      <c r="I14" s="336"/>
      <c r="J14" s="301"/>
      <c r="K14" s="336"/>
      <c r="L14" s="336"/>
      <c r="M14" s="339"/>
      <c r="N14" s="336"/>
      <c r="O14" s="413">
        <f t="shared" si="0"/>
        <v>0</v>
      </c>
      <c r="P14" s="339"/>
      <c r="Q14" s="336"/>
      <c r="R14" s="499"/>
      <c r="S14" s="336"/>
      <c r="T14" s="500"/>
      <c r="U14" s="336"/>
      <c r="V14" s="329"/>
      <c r="W14" s="501"/>
      <c r="X14" s="329"/>
      <c r="Y14" s="502"/>
      <c r="Z14" s="502"/>
      <c r="AA14" s="502"/>
      <c r="AB14" s="502"/>
      <c r="AC14" s="502"/>
    </row>
    <row r="15" spans="1:29">
      <c r="A15" s="338"/>
      <c r="B15" s="413" t="str">
        <f>SUMMARY!M3</f>
        <v>INDUSTRY FLOUR</v>
      </c>
      <c r="C15" s="338" t="s">
        <v>346</v>
      </c>
      <c r="D15" s="336">
        <f>SUMMARY!M39</f>
        <v>19623.900000000005</v>
      </c>
      <c r="E15" s="336">
        <f>SUMMARY!M40</f>
        <v>1880.8</v>
      </c>
      <c r="F15" s="336">
        <f>SUMMARY!M41</f>
        <v>12480</v>
      </c>
      <c r="G15" s="475">
        <f>SUMMARY!M42</f>
        <v>-534.79999999999995</v>
      </c>
      <c r="H15" s="336">
        <f>SUMMARY!M43</f>
        <v>8489.9000000000069</v>
      </c>
      <c r="I15" s="336"/>
      <c r="J15" s="300"/>
      <c r="K15" s="336"/>
      <c r="L15" s="336"/>
      <c r="M15" s="339"/>
      <c r="N15" s="336"/>
      <c r="O15" s="413">
        <f t="shared" si="0"/>
        <v>-8489.9000000000069</v>
      </c>
      <c r="P15" s="339"/>
      <c r="Q15" s="336"/>
      <c r="R15" s="499"/>
      <c r="S15" s="336"/>
      <c r="T15" s="500"/>
      <c r="U15" s="336"/>
      <c r="V15" s="329"/>
      <c r="W15" s="501"/>
      <c r="X15" s="329"/>
      <c r="Y15" s="502"/>
      <c r="Z15" s="502"/>
      <c r="AA15" s="502"/>
      <c r="AB15" s="502"/>
      <c r="AC15" s="502"/>
    </row>
    <row r="16" spans="1:29">
      <c r="A16" s="338"/>
      <c r="B16" s="413" t="str">
        <f>SUMMARY!N3</f>
        <v>RICE BRAN</v>
      </c>
      <c r="C16" s="338" t="s">
        <v>346</v>
      </c>
      <c r="D16" s="336">
        <f>SUMMARY!N39</f>
        <v>35234.999999999985</v>
      </c>
      <c r="E16" s="336">
        <f>SUMMARY!N40</f>
        <v>0</v>
      </c>
      <c r="F16" s="336">
        <f>SUMMARY!N41</f>
        <v>300</v>
      </c>
      <c r="G16" s="475">
        <f>SUMMARY!N42</f>
        <v>-0.5</v>
      </c>
      <c r="H16" s="336">
        <f>SUMMARY!N43</f>
        <v>34934.499999999985</v>
      </c>
      <c r="I16" s="336"/>
      <c r="J16" s="300"/>
      <c r="K16" s="336"/>
      <c r="L16" s="336"/>
      <c r="M16" s="339"/>
      <c r="N16" s="336"/>
      <c r="O16" s="413">
        <f t="shared" si="0"/>
        <v>-34934.499999999985</v>
      </c>
      <c r="P16" s="339"/>
      <c r="Q16" s="336"/>
      <c r="R16" s="499"/>
      <c r="S16" s="336"/>
      <c r="T16" s="500"/>
      <c r="U16" s="336"/>
      <c r="V16" s="329"/>
      <c r="W16" s="501"/>
      <c r="X16" s="329"/>
      <c r="Y16" s="502"/>
      <c r="Z16" s="502"/>
      <c r="AA16" s="502"/>
      <c r="AB16" s="502"/>
      <c r="AC16" s="502"/>
    </row>
    <row r="17" spans="1:29">
      <c r="A17" s="338"/>
      <c r="B17" s="413" t="str">
        <f>SUMMARY!O3</f>
        <v>EP 200</v>
      </c>
      <c r="C17" s="338" t="s">
        <v>346</v>
      </c>
      <c r="D17" s="336">
        <f>SUMMARY!O39</f>
        <v>5800</v>
      </c>
      <c r="E17" s="336">
        <f>SUMMARY!O40</f>
        <v>0</v>
      </c>
      <c r="F17" s="336">
        <f>SUMMARY!O41</f>
        <v>0</v>
      </c>
      <c r="G17" s="475">
        <f>SUMMARY!O42</f>
        <v>0</v>
      </c>
      <c r="H17" s="336">
        <f>SUMMARY!O43</f>
        <v>5800</v>
      </c>
      <c r="I17" s="336"/>
      <c r="J17" s="300"/>
      <c r="K17" s="336"/>
      <c r="L17" s="336"/>
      <c r="M17" s="339"/>
      <c r="N17" s="336"/>
      <c r="O17" s="413">
        <f t="shared" si="0"/>
        <v>-5800</v>
      </c>
      <c r="P17" s="339"/>
      <c r="Q17" s="336"/>
      <c r="R17" s="499"/>
      <c r="S17" s="336"/>
      <c r="T17" s="500"/>
      <c r="U17" s="336"/>
      <c r="V17" s="329"/>
      <c r="W17" s="501"/>
      <c r="X17" s="329"/>
      <c r="Y17" s="502"/>
      <c r="Z17" s="502"/>
      <c r="AA17" s="502"/>
      <c r="AB17" s="502"/>
      <c r="AC17" s="502"/>
    </row>
    <row r="18" spans="1:29">
      <c r="A18" s="338"/>
      <c r="B18" s="413" t="str">
        <f>SUMMARY!P3</f>
        <v>SOYTIDE</v>
      </c>
      <c r="C18" s="338" t="s">
        <v>346</v>
      </c>
      <c r="D18" s="336">
        <f>SUMMARY!P39</f>
        <v>0</v>
      </c>
      <c r="E18" s="336">
        <f>SUMMARY!P40</f>
        <v>0</v>
      </c>
      <c r="F18" s="336">
        <f>SUMMARY!P41</f>
        <v>0</v>
      </c>
      <c r="G18" s="475">
        <f>SUMMARY!P42</f>
        <v>0</v>
      </c>
      <c r="H18" s="336">
        <f>SUMMARY!P43</f>
        <v>0</v>
      </c>
      <c r="I18" s="336"/>
      <c r="J18" s="336"/>
      <c r="K18" s="336"/>
      <c r="L18" s="336"/>
      <c r="M18" s="339"/>
      <c r="N18" s="336"/>
      <c r="O18" s="413">
        <f t="shared" si="0"/>
        <v>0</v>
      </c>
      <c r="P18" s="339"/>
      <c r="Q18" s="336"/>
      <c r="R18" s="499"/>
      <c r="S18" s="336"/>
      <c r="T18" s="500"/>
      <c r="U18" s="336"/>
      <c r="V18" s="329"/>
      <c r="W18" s="501"/>
      <c r="X18" s="329"/>
      <c r="Y18" s="502"/>
      <c r="Z18" s="502"/>
      <c r="AA18" s="502"/>
      <c r="AB18" s="502"/>
      <c r="AC18" s="502"/>
    </row>
    <row r="19" spans="1:29">
      <c r="A19" s="338"/>
      <c r="B19" s="413" t="str">
        <f>SUMMARY!Q3</f>
        <v>DCP 18% (HARUMI)</v>
      </c>
      <c r="C19" s="338" t="s">
        <v>346</v>
      </c>
      <c r="D19" s="336">
        <f>SUMMARY!Q39</f>
        <v>0</v>
      </c>
      <c r="E19" s="336">
        <f>SUMMARY!Q40</f>
        <v>351.76</v>
      </c>
      <c r="F19" s="336">
        <f>SUMMARY!Q41</f>
        <v>0</v>
      </c>
      <c r="G19" s="475">
        <f>SUMMARY!Q42</f>
        <v>-351.76</v>
      </c>
      <c r="H19" s="336">
        <f>SUMMARY!Q43</f>
        <v>0</v>
      </c>
      <c r="I19" s="336"/>
      <c r="J19" s="336"/>
      <c r="K19" s="336"/>
      <c r="L19" s="336"/>
      <c r="M19" s="339"/>
      <c r="N19" s="336"/>
      <c r="O19" s="413">
        <f t="shared" si="0"/>
        <v>0</v>
      </c>
      <c r="P19" s="339"/>
      <c r="Q19" s="336"/>
      <c r="R19" s="499"/>
      <c r="S19" s="336"/>
      <c r="T19" s="500"/>
      <c r="U19" s="336"/>
      <c r="V19" s="329"/>
      <c r="W19" s="501"/>
      <c r="X19" s="329"/>
      <c r="Y19" s="502"/>
      <c r="Z19" s="502"/>
      <c r="AA19" s="502"/>
      <c r="AB19" s="502"/>
      <c r="AC19" s="502"/>
    </row>
    <row r="20" spans="1:29">
      <c r="A20" s="338"/>
      <c r="B20" s="413">
        <f>SUMMARY!R3</f>
        <v>1</v>
      </c>
      <c r="C20" s="338" t="s">
        <v>346</v>
      </c>
      <c r="D20" s="336">
        <f>SUMMARY!R39</f>
        <v>0</v>
      </c>
      <c r="E20" s="336">
        <f>SUMMARY!R40</f>
        <v>0</v>
      </c>
      <c r="F20" s="336">
        <f>SUMMARY!R41</f>
        <v>0</v>
      </c>
      <c r="G20" s="475">
        <f>SUMMARY!R42</f>
        <v>0</v>
      </c>
      <c r="H20" s="336">
        <f>SUMMARY!R43</f>
        <v>0</v>
      </c>
      <c r="I20" s="336"/>
      <c r="J20" s="336"/>
      <c r="K20" s="336"/>
      <c r="L20" s="336"/>
      <c r="M20" s="339"/>
      <c r="N20" s="336"/>
      <c r="O20" s="413">
        <f t="shared" si="0"/>
        <v>0</v>
      </c>
      <c r="P20" s="339"/>
      <c r="Q20" s="336"/>
      <c r="R20" s="499"/>
      <c r="S20" s="336"/>
      <c r="T20" s="500"/>
      <c r="U20" s="336"/>
      <c r="V20" s="329"/>
      <c r="W20" s="501"/>
      <c r="X20" s="329"/>
      <c r="Y20" s="502"/>
      <c r="Z20" s="502"/>
      <c r="AA20" s="502"/>
      <c r="AB20" s="502"/>
      <c r="AC20" s="502"/>
    </row>
    <row r="21" spans="1:29">
      <c r="A21" s="338"/>
      <c r="B21" s="413">
        <f>SUMMARY!S3</f>
        <v>2</v>
      </c>
      <c r="C21" s="338" t="s">
        <v>346</v>
      </c>
      <c r="D21" s="336">
        <f>SUMMARY!S39</f>
        <v>0</v>
      </c>
      <c r="E21" s="336">
        <f>SUMMARY!S40</f>
        <v>0</v>
      </c>
      <c r="F21" s="336">
        <f>SUMMARY!S41</f>
        <v>0</v>
      </c>
      <c r="G21" s="475">
        <f>SUMMARY!S42</f>
        <v>0</v>
      </c>
      <c r="H21" s="336">
        <f>SUMMARY!S43</f>
        <v>0</v>
      </c>
      <c r="I21" s="336"/>
      <c r="J21" s="336"/>
      <c r="K21" s="336"/>
      <c r="L21" s="336"/>
      <c r="M21" s="339"/>
      <c r="N21" s="336"/>
      <c r="O21" s="413">
        <f t="shared" si="0"/>
        <v>0</v>
      </c>
      <c r="P21" s="339"/>
      <c r="Q21" s="336"/>
      <c r="R21" s="499"/>
      <c r="S21" s="336"/>
      <c r="T21" s="500"/>
      <c r="U21" s="336"/>
      <c r="V21" s="329"/>
      <c r="W21" s="501"/>
      <c r="X21" s="329"/>
      <c r="Y21" s="502"/>
      <c r="Z21" s="502"/>
      <c r="AA21" s="502"/>
      <c r="AB21" s="502"/>
      <c r="AC21" s="502"/>
    </row>
    <row r="22" spans="1:29">
      <c r="A22" s="338"/>
      <c r="B22" s="413">
        <f>SUMMARY!T3</f>
        <v>3</v>
      </c>
      <c r="C22" s="338" t="s">
        <v>346</v>
      </c>
      <c r="D22" s="336">
        <f>SUMMARY!T39</f>
        <v>0</v>
      </c>
      <c r="E22" s="336">
        <f>SUMMARY!T40</f>
        <v>0</v>
      </c>
      <c r="F22" s="336">
        <f>SUMMARY!T41</f>
        <v>0</v>
      </c>
      <c r="G22" s="475">
        <f>SUMMARY!T42</f>
        <v>0</v>
      </c>
      <c r="H22" s="336">
        <f>SUMMARY!T43</f>
        <v>0</v>
      </c>
      <c r="I22" s="336"/>
      <c r="J22" s="336"/>
      <c r="K22" s="336"/>
      <c r="L22" s="336"/>
      <c r="M22" s="339"/>
      <c r="N22" s="336"/>
      <c r="O22" s="413">
        <f t="shared" si="0"/>
        <v>0</v>
      </c>
      <c r="P22" s="339"/>
      <c r="Q22" s="336"/>
      <c r="R22" s="499"/>
      <c r="S22" s="336"/>
      <c r="T22" s="500"/>
      <c r="U22" s="336"/>
      <c r="V22" s="329"/>
      <c r="W22" s="501"/>
      <c r="X22" s="329"/>
      <c r="Y22" s="502"/>
      <c r="Z22" s="502"/>
      <c r="AA22" s="502"/>
      <c r="AB22" s="502"/>
      <c r="AC22" s="502"/>
    </row>
    <row r="23" spans="1:29">
      <c r="A23" s="338"/>
      <c r="B23" s="413"/>
      <c r="C23" s="338"/>
      <c r="D23" s="336"/>
      <c r="E23" s="336"/>
      <c r="F23" s="336"/>
      <c r="G23" s="475"/>
      <c r="H23" s="336"/>
      <c r="I23" s="336"/>
      <c r="J23" s="336"/>
      <c r="K23" s="336"/>
      <c r="L23" s="336"/>
      <c r="M23" s="339"/>
      <c r="N23" s="336"/>
      <c r="O23" s="413"/>
      <c r="P23" s="339"/>
      <c r="Q23" s="336"/>
      <c r="R23" s="499"/>
      <c r="S23" s="336"/>
      <c r="T23" s="500"/>
      <c r="U23" s="336"/>
      <c r="V23" s="329"/>
      <c r="W23" s="501"/>
      <c r="X23" s="329"/>
      <c r="Y23" s="502"/>
      <c r="Z23" s="502"/>
      <c r="AA23" s="502"/>
      <c r="AB23" s="502"/>
      <c r="AC23" s="502"/>
    </row>
    <row r="24" spans="1:29">
      <c r="A24" s="338"/>
      <c r="B24" s="310" t="s">
        <v>347</v>
      </c>
      <c r="C24" s="338"/>
      <c r="D24" s="336"/>
      <c r="E24" s="336"/>
      <c r="F24" s="336"/>
      <c r="G24" s="475"/>
      <c r="H24" s="336"/>
      <c r="I24" s="336"/>
      <c r="J24" s="336"/>
      <c r="K24" s="336"/>
      <c r="L24" s="336"/>
      <c r="M24" s="339"/>
      <c r="N24" s="336"/>
      <c r="O24" s="413"/>
      <c r="P24" s="339"/>
      <c r="Q24" s="336"/>
      <c r="R24" s="499"/>
      <c r="S24" s="336"/>
      <c r="T24" s="500"/>
      <c r="U24" s="336"/>
      <c r="V24" s="329"/>
      <c r="W24" s="501"/>
      <c r="X24" s="329"/>
      <c r="Y24" s="502"/>
      <c r="Z24" s="502"/>
      <c r="AA24" s="502"/>
      <c r="AB24" s="502"/>
      <c r="AC24" s="502"/>
    </row>
    <row r="25" spans="1:29">
      <c r="A25" s="338"/>
      <c r="B25" s="413" t="str">
        <f>SUMMARY!U3</f>
        <v>PREMIX 1101 (20KG)</v>
      </c>
      <c r="C25" s="338" t="s">
        <v>346</v>
      </c>
      <c r="D25" s="336">
        <f>SUMMARY!U39</f>
        <v>4140</v>
      </c>
      <c r="E25" s="336">
        <f>SUMMARY!U40</f>
        <v>0</v>
      </c>
      <c r="F25" s="336">
        <f>SUMMARY!U41</f>
        <v>0</v>
      </c>
      <c r="G25" s="475">
        <f>SUMMARY!U42</f>
        <v>-2980</v>
      </c>
      <c r="H25" s="336">
        <f>SUMMARY!U43</f>
        <v>1160</v>
      </c>
      <c r="I25" s="336"/>
      <c r="J25" s="336"/>
      <c r="K25" s="336"/>
      <c r="L25" s="336"/>
      <c r="M25" s="339"/>
      <c r="N25" s="336"/>
      <c r="O25" s="413">
        <f t="shared" si="0"/>
        <v>-1160</v>
      </c>
      <c r="P25" s="339"/>
      <c r="Q25" s="336"/>
      <c r="R25" s="499"/>
      <c r="S25" s="336"/>
      <c r="T25" s="500"/>
      <c r="U25" s="336"/>
      <c r="V25" s="329"/>
      <c r="W25" s="501"/>
      <c r="X25" s="329"/>
      <c r="Y25" s="502"/>
      <c r="Z25" s="502"/>
      <c r="AA25" s="502"/>
      <c r="AB25" s="502"/>
      <c r="AC25" s="502"/>
    </row>
    <row r="26" spans="1:29">
      <c r="A26" s="338"/>
      <c r="B26" s="413" t="str">
        <f>SUMMARY!V3</f>
        <v>PREMIX 1102 (20KG)</v>
      </c>
      <c r="C26" s="338" t="s">
        <v>346</v>
      </c>
      <c r="D26" s="336">
        <f>SUMMARY!V39</f>
        <v>5040</v>
      </c>
      <c r="E26" s="336">
        <f>SUMMARY!V40</f>
        <v>0</v>
      </c>
      <c r="F26" s="336">
        <f>SUMMARY!V41</f>
        <v>0</v>
      </c>
      <c r="G26" s="475">
        <f>SUMMARY!V42</f>
        <v>-4080</v>
      </c>
      <c r="H26" s="336">
        <f>SUMMARY!V43</f>
        <v>960</v>
      </c>
      <c r="I26" s="336"/>
      <c r="J26" s="336"/>
      <c r="K26" s="336"/>
      <c r="L26" s="336"/>
      <c r="M26" s="339"/>
      <c r="N26" s="336"/>
      <c r="O26" s="413">
        <f t="shared" si="0"/>
        <v>-960</v>
      </c>
      <c r="P26" s="339"/>
      <c r="Q26" s="336"/>
      <c r="R26" s="499"/>
      <c r="S26" s="336"/>
      <c r="T26" s="500"/>
      <c r="U26" s="336"/>
      <c r="V26" s="329"/>
      <c r="W26" s="501"/>
      <c r="X26" s="329"/>
      <c r="Y26" s="502"/>
      <c r="Z26" s="502"/>
      <c r="AA26" s="502"/>
      <c r="AB26" s="502"/>
      <c r="AC26" s="502"/>
    </row>
    <row r="27" spans="1:29">
      <c r="A27" s="338"/>
      <c r="B27" s="413" t="str">
        <f>SUMMARY!W3</f>
        <v>PREMIX 1103 (20KG)</v>
      </c>
      <c r="C27" s="338" t="s">
        <v>346</v>
      </c>
      <c r="D27" s="336">
        <f>SUMMARY!W39</f>
        <v>1760</v>
      </c>
      <c r="E27" s="336">
        <f>SUMMARY!W40</f>
        <v>0</v>
      </c>
      <c r="F27" s="336">
        <f>SUMMARY!W41</f>
        <v>0</v>
      </c>
      <c r="G27" s="475">
        <f>SUMMARY!W42</f>
        <v>0</v>
      </c>
      <c r="H27" s="336">
        <f>SUMMARY!W43</f>
        <v>1760</v>
      </c>
      <c r="I27" s="336"/>
      <c r="J27" s="336"/>
      <c r="K27" s="336"/>
      <c r="L27" s="336"/>
      <c r="M27" s="339"/>
      <c r="N27" s="336"/>
      <c r="O27" s="413">
        <f t="shared" si="0"/>
        <v>-1760</v>
      </c>
      <c r="P27" s="339"/>
      <c r="Q27" s="336"/>
      <c r="R27" s="499"/>
      <c r="S27" s="336"/>
      <c r="T27" s="500"/>
      <c r="U27" s="336"/>
      <c r="V27" s="329"/>
      <c r="W27" s="501"/>
      <c r="X27" s="329"/>
      <c r="Y27" s="502"/>
      <c r="Z27" s="502"/>
      <c r="AA27" s="502"/>
      <c r="AB27" s="502"/>
      <c r="AC27" s="502"/>
    </row>
    <row r="28" spans="1:29">
      <c r="A28" s="338"/>
      <c r="B28" s="413" t="str">
        <f>SUMMARY!X3</f>
        <v>PREMIX 311 (20KG)</v>
      </c>
      <c r="C28" s="338" t="s">
        <v>346</v>
      </c>
      <c r="D28" s="336">
        <f>SUMMARY!X39</f>
        <v>600</v>
      </c>
      <c r="E28" s="336">
        <f>SUMMARY!X40</f>
        <v>1000</v>
      </c>
      <c r="F28" s="336">
        <f>SUMMARY!X41</f>
        <v>1200</v>
      </c>
      <c r="G28" s="475">
        <f>SUMMARY!X42</f>
        <v>0</v>
      </c>
      <c r="H28" s="336">
        <f>SUMMARY!X43</f>
        <v>400</v>
      </c>
      <c r="I28" s="336"/>
      <c r="J28" s="336"/>
      <c r="K28" s="336"/>
      <c r="L28" s="336"/>
      <c r="M28" s="339"/>
      <c r="N28" s="336"/>
      <c r="O28" s="413">
        <f t="shared" si="0"/>
        <v>-400</v>
      </c>
      <c r="P28" s="339"/>
      <c r="Q28" s="336"/>
      <c r="R28" s="499"/>
      <c r="S28" s="336"/>
      <c r="T28" s="500"/>
      <c r="U28" s="336"/>
      <c r="V28" s="329"/>
      <c r="W28" s="501"/>
      <c r="X28" s="329"/>
      <c r="Y28" s="502"/>
      <c r="Z28" s="502"/>
      <c r="AA28" s="502"/>
      <c r="AB28" s="502"/>
      <c r="AC28" s="502"/>
    </row>
    <row r="29" spans="1:29">
      <c r="A29" s="338"/>
      <c r="B29" s="413" t="str">
        <f>SUMMARY!Y3</f>
        <v>PREMIX 312 (20KG)</v>
      </c>
      <c r="C29" s="338" t="s">
        <v>346</v>
      </c>
      <c r="D29" s="336">
        <f>SUMMARY!Y39</f>
        <v>3600</v>
      </c>
      <c r="E29" s="336">
        <f>SUMMARY!Y40</f>
        <v>0</v>
      </c>
      <c r="F29" s="336">
        <f>SUMMARY!Y41</f>
        <v>0</v>
      </c>
      <c r="G29" s="475">
        <f>SUMMARY!Y42</f>
        <v>0</v>
      </c>
      <c r="H29" s="336">
        <f>SUMMARY!Y43</f>
        <v>3600</v>
      </c>
      <c r="I29" s="336"/>
      <c r="J29" s="336"/>
      <c r="K29" s="336"/>
      <c r="L29" s="336"/>
      <c r="M29" s="339"/>
      <c r="N29" s="336"/>
      <c r="O29" s="413">
        <f t="shared" si="0"/>
        <v>-3600</v>
      </c>
      <c r="P29" s="339"/>
      <c r="Q29" s="336"/>
      <c r="R29" s="499"/>
      <c r="S29" s="336"/>
      <c r="T29" s="500"/>
      <c r="U29" s="336"/>
      <c r="V29" s="329"/>
      <c r="W29" s="501"/>
      <c r="X29" s="329"/>
      <c r="Y29" s="502"/>
      <c r="Z29" s="502"/>
      <c r="AA29" s="502"/>
      <c r="AB29" s="502"/>
      <c r="AC29" s="502"/>
    </row>
    <row r="30" spans="1:29">
      <c r="A30" s="338"/>
      <c r="B30" s="413">
        <f>SUMMARY!Z3</f>
        <v>1</v>
      </c>
      <c r="C30" s="338" t="s">
        <v>346</v>
      </c>
      <c r="D30" s="336">
        <f>SUMMARY!Z39</f>
        <v>0</v>
      </c>
      <c r="E30" s="336">
        <f>SUMMARY!Z40</f>
        <v>0</v>
      </c>
      <c r="F30" s="336">
        <f>SUMMARY!Z41</f>
        <v>0</v>
      </c>
      <c r="G30" s="475">
        <f>SUMMARY!Z42</f>
        <v>0</v>
      </c>
      <c r="H30" s="336">
        <f>SUMMARY!Z43</f>
        <v>0</v>
      </c>
      <c r="I30" s="336"/>
      <c r="J30" s="336"/>
      <c r="K30" s="336"/>
      <c r="L30" s="336"/>
      <c r="M30" s="339"/>
      <c r="N30" s="336"/>
      <c r="O30" s="413">
        <f t="shared" si="0"/>
        <v>0</v>
      </c>
      <c r="P30" s="339"/>
      <c r="Q30" s="336"/>
      <c r="R30" s="499"/>
      <c r="S30" s="336"/>
      <c r="T30" s="500"/>
      <c r="U30" s="336"/>
      <c r="V30" s="329"/>
      <c r="W30" s="501"/>
      <c r="X30" s="329"/>
      <c r="Y30" s="502"/>
      <c r="Z30" s="502"/>
      <c r="AA30" s="502"/>
      <c r="AB30" s="502"/>
      <c r="AC30" s="502"/>
    </row>
    <row r="31" spans="1:29">
      <c r="A31" s="338"/>
      <c r="B31" s="413" t="str">
        <f>SUMMARY!AA3</f>
        <v>PREMIX 8100 (20KG)</v>
      </c>
      <c r="C31" s="338" t="s">
        <v>346</v>
      </c>
      <c r="D31" s="336">
        <f>SUMMARY!AA39</f>
        <v>6800</v>
      </c>
      <c r="E31" s="336">
        <f>SUMMARY!AA40</f>
        <v>0</v>
      </c>
      <c r="F31" s="336">
        <f>SUMMARY!AA41</f>
        <v>120</v>
      </c>
      <c r="G31" s="475">
        <f>SUMMARY!AA42</f>
        <v>0</v>
      </c>
      <c r="H31" s="336">
        <f>SUMMARY!AA43</f>
        <v>6680</v>
      </c>
      <c r="I31" s="336"/>
      <c r="J31" s="336"/>
      <c r="K31" s="336"/>
      <c r="L31" s="336"/>
      <c r="M31" s="339"/>
      <c r="N31" s="336"/>
      <c r="O31" s="413">
        <f t="shared" si="0"/>
        <v>-6680</v>
      </c>
      <c r="P31" s="339"/>
      <c r="Q31" s="336"/>
      <c r="R31" s="499"/>
      <c r="S31" s="336"/>
      <c r="T31" s="500"/>
      <c r="U31" s="336"/>
      <c r="V31" s="329"/>
      <c r="W31" s="501"/>
      <c r="X31" s="329"/>
      <c r="Y31" s="502"/>
      <c r="Z31" s="502"/>
      <c r="AA31" s="502"/>
      <c r="AB31" s="502"/>
      <c r="AC31" s="502"/>
    </row>
    <row r="32" spans="1:29">
      <c r="A32" s="338"/>
      <c r="B32" s="413" t="str">
        <f>SUMMARY!AB3</f>
        <v>PREMIX 8101 (20KG)</v>
      </c>
      <c r="C32" s="338" t="s">
        <v>346</v>
      </c>
      <c r="D32" s="336">
        <f>SUMMARY!AB39</f>
        <v>720</v>
      </c>
      <c r="E32" s="336">
        <f>SUMMARY!AB40</f>
        <v>0</v>
      </c>
      <c r="F32" s="336">
        <f>SUMMARY!AB41</f>
        <v>0</v>
      </c>
      <c r="G32" s="475">
        <f>SUMMARY!AB42</f>
        <v>0</v>
      </c>
      <c r="H32" s="336">
        <f>SUMMARY!AB43</f>
        <v>720</v>
      </c>
      <c r="I32" s="336"/>
      <c r="J32" s="336"/>
      <c r="K32" s="336"/>
      <c r="L32" s="336"/>
      <c r="M32" s="339"/>
      <c r="N32" s="336"/>
      <c r="O32" s="413">
        <f t="shared" si="0"/>
        <v>-720</v>
      </c>
      <c r="P32" s="339"/>
      <c r="Q32" s="336"/>
      <c r="R32" s="499"/>
      <c r="S32" s="336"/>
      <c r="T32" s="500"/>
      <c r="U32" s="336"/>
      <c r="V32" s="329"/>
      <c r="W32" s="501"/>
      <c r="X32" s="329"/>
      <c r="Y32" s="502"/>
      <c r="Z32" s="502"/>
      <c r="AA32" s="502"/>
      <c r="AB32" s="502"/>
      <c r="AC32" s="502"/>
    </row>
    <row r="33" spans="1:29">
      <c r="A33" s="338"/>
      <c r="B33" s="413" t="str">
        <f>SUMMARY!AC3</f>
        <v>PREMIX 8102 (20KG)</v>
      </c>
      <c r="C33" s="338" t="s">
        <v>346</v>
      </c>
      <c r="D33" s="336">
        <f>SUMMARY!AC39</f>
        <v>8140</v>
      </c>
      <c r="E33" s="336">
        <f>SUMMARY!AC40</f>
        <v>0</v>
      </c>
      <c r="F33" s="336">
        <f>SUMMARY!AC41</f>
        <v>0</v>
      </c>
      <c r="G33" s="475">
        <f>SUMMARY!AC42</f>
        <v>-1620</v>
      </c>
      <c r="H33" s="336">
        <f>SUMMARY!AC43</f>
        <v>6520</v>
      </c>
      <c r="I33" s="336"/>
      <c r="J33" s="336"/>
      <c r="K33" s="336"/>
      <c r="L33" s="336"/>
      <c r="M33" s="339"/>
      <c r="N33" s="336"/>
      <c r="O33" s="413">
        <f t="shared" si="0"/>
        <v>-6520</v>
      </c>
      <c r="P33" s="339"/>
      <c r="Q33" s="336"/>
      <c r="R33" s="499"/>
      <c r="S33" s="336"/>
      <c r="T33" s="500"/>
      <c r="U33" s="336"/>
      <c r="V33" s="329"/>
      <c r="W33" s="501"/>
      <c r="X33" s="329"/>
      <c r="Y33" s="502"/>
      <c r="Z33" s="502"/>
      <c r="AA33" s="502"/>
      <c r="AB33" s="502"/>
      <c r="AC33" s="502"/>
    </row>
    <row r="34" spans="1:29">
      <c r="A34" s="338"/>
      <c r="B34" s="413" t="str">
        <f>SUMMARY!AD3</f>
        <v>PREMIX 8103 (20KG)</v>
      </c>
      <c r="C34" s="338" t="s">
        <v>346</v>
      </c>
      <c r="D34" s="336">
        <f>SUMMARY!AD39</f>
        <v>4960</v>
      </c>
      <c r="E34" s="336">
        <f>SUMMARY!AD40</f>
        <v>0</v>
      </c>
      <c r="F34" s="336">
        <f>SUMMARY!AD41</f>
        <v>0</v>
      </c>
      <c r="G34" s="475">
        <f>SUMMARY!AD42</f>
        <v>0</v>
      </c>
      <c r="H34" s="336">
        <f>SUMMARY!AD43</f>
        <v>4960</v>
      </c>
      <c r="I34" s="336"/>
      <c r="J34" s="336"/>
      <c r="K34" s="336"/>
      <c r="L34" s="336"/>
      <c r="M34" s="339"/>
      <c r="N34" s="336"/>
      <c r="O34" s="413">
        <f t="shared" si="0"/>
        <v>-4960</v>
      </c>
      <c r="P34" s="339"/>
      <c r="Q34" s="336"/>
      <c r="R34" s="499"/>
      <c r="S34" s="336"/>
      <c r="T34" s="500"/>
      <c r="U34" s="336"/>
      <c r="V34" s="329"/>
      <c r="W34" s="501"/>
      <c r="X34" s="329"/>
      <c r="Y34" s="502"/>
      <c r="Z34" s="502"/>
      <c r="AA34" s="502"/>
      <c r="AB34" s="502"/>
      <c r="AC34" s="502"/>
    </row>
    <row r="35" spans="1:29">
      <c r="A35" s="338"/>
      <c r="B35" s="413" t="str">
        <f>SUMMARY!AE3</f>
        <v>PREMIX 8108 (20KG)</v>
      </c>
      <c r="C35" s="338" t="s">
        <v>346</v>
      </c>
      <c r="D35" s="336">
        <f>SUMMARY!AE39</f>
        <v>0</v>
      </c>
      <c r="E35" s="336">
        <f>SUMMARY!AE40</f>
        <v>0</v>
      </c>
      <c r="F35" s="336">
        <f>SUMMARY!AE41</f>
        <v>0</v>
      </c>
      <c r="G35" s="475">
        <f>SUMMARY!AE42</f>
        <v>0</v>
      </c>
      <c r="H35" s="336">
        <f>SUMMARY!AE43</f>
        <v>0</v>
      </c>
      <c r="I35" s="336"/>
      <c r="J35" s="336"/>
      <c r="K35" s="336"/>
      <c r="L35" s="336"/>
      <c r="M35" s="339"/>
      <c r="N35" s="336"/>
      <c r="O35" s="413">
        <f t="shared" si="0"/>
        <v>0</v>
      </c>
      <c r="P35" s="339"/>
      <c r="Q35" s="336"/>
      <c r="R35" s="499"/>
      <c r="S35" s="336"/>
      <c r="T35" s="500"/>
      <c r="U35" s="336"/>
      <c r="V35" s="329"/>
      <c r="W35" s="501"/>
      <c r="X35" s="329"/>
      <c r="Y35" s="502"/>
      <c r="Z35" s="502"/>
      <c r="AA35" s="502"/>
      <c r="AB35" s="502"/>
      <c r="AC35" s="502"/>
    </row>
    <row r="36" spans="1:29">
      <c r="A36" s="338"/>
      <c r="B36" s="413" t="str">
        <f>SUMMARY!AF3</f>
        <v>PREMIX 8109 (20KG)</v>
      </c>
      <c r="C36" s="338" t="s">
        <v>346</v>
      </c>
      <c r="D36" s="336">
        <f>SUMMARY!AF39</f>
        <v>3340</v>
      </c>
      <c r="E36" s="336">
        <f>SUMMARY!AF40</f>
        <v>0</v>
      </c>
      <c r="F36" s="336">
        <f>SUMMARY!AF41</f>
        <v>6280</v>
      </c>
      <c r="G36" s="475">
        <f>SUMMARY!AF42</f>
        <v>2940</v>
      </c>
      <c r="H36" s="336">
        <f>SUMMARY!AF43</f>
        <v>0</v>
      </c>
      <c r="I36" s="336"/>
      <c r="J36" s="336"/>
      <c r="K36" s="336"/>
      <c r="L36" s="336"/>
      <c r="M36" s="339"/>
      <c r="N36" s="336"/>
      <c r="O36" s="413">
        <f t="shared" si="0"/>
        <v>0</v>
      </c>
      <c r="P36" s="339"/>
      <c r="Q36" s="336"/>
      <c r="R36" s="499"/>
      <c r="S36" s="336"/>
      <c r="T36" s="500"/>
      <c r="U36" s="336"/>
      <c r="V36" s="329"/>
      <c r="W36" s="501"/>
      <c r="X36" s="329"/>
      <c r="Y36" s="502"/>
      <c r="Z36" s="502"/>
      <c r="AA36" s="502"/>
      <c r="AB36" s="502"/>
      <c r="AC36" s="502"/>
    </row>
    <row r="37" spans="1:29">
      <c r="A37" s="338"/>
      <c r="B37" s="413" t="str">
        <f>SUMMARY!AG3</f>
        <v>YENMIX 121 (20KG)</v>
      </c>
      <c r="C37" s="338" t="s">
        <v>346</v>
      </c>
      <c r="D37" s="336">
        <f>SUMMARY!AG39</f>
        <v>2540</v>
      </c>
      <c r="E37" s="336">
        <f>SUMMARY!AG40</f>
        <v>0</v>
      </c>
      <c r="F37" s="336">
        <f>SUMMARY!AG41</f>
        <v>0</v>
      </c>
      <c r="G37" s="475">
        <f>SUMMARY!AG42</f>
        <v>0</v>
      </c>
      <c r="H37" s="336">
        <f>SUMMARY!AG43</f>
        <v>2540</v>
      </c>
      <c r="I37" s="336"/>
      <c r="J37" s="336"/>
      <c r="K37" s="336"/>
      <c r="L37" s="336"/>
      <c r="M37" s="339"/>
      <c r="N37" s="336"/>
      <c r="O37" s="413">
        <f t="shared" si="0"/>
        <v>-2540</v>
      </c>
      <c r="P37" s="339"/>
      <c r="Q37" s="336"/>
      <c r="R37" s="499"/>
      <c r="S37" s="336"/>
      <c r="T37" s="500"/>
      <c r="U37" s="336"/>
      <c r="V37" s="329"/>
      <c r="W37" s="501"/>
      <c r="X37" s="329"/>
      <c r="Y37" s="502"/>
      <c r="Z37" s="502"/>
      <c r="AA37" s="502"/>
      <c r="AB37" s="502"/>
      <c r="AC37" s="502"/>
    </row>
    <row r="38" spans="1:29">
      <c r="A38" s="338"/>
      <c r="B38" s="413" t="str">
        <f>SUMMARY!AH3</f>
        <v>YENMIX 122 (19.50KG)</v>
      </c>
      <c r="C38" s="338" t="s">
        <v>346</v>
      </c>
      <c r="D38" s="336">
        <f>SUMMARY!AH39</f>
        <v>2359.5</v>
      </c>
      <c r="E38" s="336">
        <f>SUMMARY!AH40</f>
        <v>0</v>
      </c>
      <c r="F38" s="336">
        <f>SUMMARY!AH41</f>
        <v>0</v>
      </c>
      <c r="G38" s="475">
        <f>SUMMARY!AH42</f>
        <v>0</v>
      </c>
      <c r="H38" s="336">
        <f>SUMMARY!AH43</f>
        <v>2359.5</v>
      </c>
      <c r="I38" s="336"/>
      <c r="J38" s="336"/>
      <c r="K38" s="336"/>
      <c r="L38" s="336"/>
      <c r="M38" s="339"/>
      <c r="N38" s="336"/>
      <c r="O38" s="413">
        <f t="shared" si="0"/>
        <v>-2359.5</v>
      </c>
      <c r="P38" s="339"/>
      <c r="Q38" s="336"/>
      <c r="R38" s="499"/>
      <c r="S38" s="336"/>
      <c r="T38" s="500"/>
      <c r="U38" s="336"/>
      <c r="V38" s="329"/>
      <c r="W38" s="501"/>
      <c r="X38" s="329"/>
      <c r="Y38" s="502"/>
      <c r="Z38" s="502"/>
      <c r="AA38" s="502"/>
      <c r="AB38" s="502"/>
      <c r="AC38" s="502"/>
    </row>
    <row r="39" spans="1:29">
      <c r="A39" s="338"/>
      <c r="B39" s="413" t="str">
        <f>SUMMARY!AI3</f>
        <v>YENMIX 123 (18.90KG)</v>
      </c>
      <c r="C39" s="338" t="s">
        <v>346</v>
      </c>
      <c r="D39" s="336">
        <f>SUMMARY!AI39</f>
        <v>1890</v>
      </c>
      <c r="E39" s="336">
        <f>SUMMARY!AI40</f>
        <v>0</v>
      </c>
      <c r="F39" s="336">
        <f>SUMMARY!AI41</f>
        <v>0</v>
      </c>
      <c r="G39" s="475">
        <f>SUMMARY!AI42</f>
        <v>0</v>
      </c>
      <c r="H39" s="336">
        <f>SUMMARY!AI43</f>
        <v>1890</v>
      </c>
      <c r="I39" s="336"/>
      <c r="J39" s="336"/>
      <c r="K39" s="336"/>
      <c r="L39" s="336"/>
      <c r="M39" s="339"/>
      <c r="N39" s="336"/>
      <c r="O39" s="413">
        <f t="shared" si="0"/>
        <v>-1890</v>
      </c>
      <c r="P39" s="339"/>
      <c r="Q39" s="336"/>
      <c r="R39" s="499"/>
      <c r="S39" s="336"/>
      <c r="T39" s="500"/>
      <c r="U39" s="336"/>
      <c r="V39" s="329"/>
      <c r="W39" s="501"/>
      <c r="X39" s="329"/>
      <c r="Y39" s="502"/>
      <c r="Z39" s="502"/>
      <c r="AA39" s="502"/>
      <c r="AB39" s="502"/>
      <c r="AC39" s="502"/>
    </row>
    <row r="40" spans="1:29">
      <c r="A40" s="338"/>
      <c r="B40" s="413" t="str">
        <f>SUMMARY!AJ3</f>
        <v>YENMIX 122 (20.50KG)</v>
      </c>
      <c r="C40" s="338" t="s">
        <v>346</v>
      </c>
      <c r="D40" s="336">
        <f>SUMMARY!AJ39</f>
        <v>3690</v>
      </c>
      <c r="E40" s="336">
        <f>SUMMARY!AJ40</f>
        <v>0</v>
      </c>
      <c r="F40" s="336">
        <f>SUMMARY!AJ41</f>
        <v>0</v>
      </c>
      <c r="G40" s="475">
        <f>SUMMARY!AJ42</f>
        <v>0</v>
      </c>
      <c r="H40" s="336">
        <f>SUMMARY!AJ43</f>
        <v>3690</v>
      </c>
      <c r="I40" s="336"/>
      <c r="J40" s="336"/>
      <c r="K40" s="336"/>
      <c r="L40" s="336"/>
      <c r="M40" s="339"/>
      <c r="N40" s="336"/>
      <c r="O40" s="413">
        <f t="shared" si="0"/>
        <v>-3690</v>
      </c>
      <c r="P40" s="339"/>
      <c r="Q40" s="336"/>
      <c r="R40" s="499"/>
      <c r="S40" s="336"/>
      <c r="T40" s="500"/>
      <c r="U40" s="336"/>
      <c r="V40" s="329"/>
      <c r="W40" s="501"/>
      <c r="X40" s="329"/>
      <c r="Y40" s="502"/>
      <c r="Z40" s="502"/>
      <c r="AA40" s="502"/>
      <c r="AB40" s="502"/>
      <c r="AC40" s="502"/>
    </row>
    <row r="41" spans="1:29">
      <c r="A41" s="338"/>
      <c r="B41" s="413" t="str">
        <f>SUMMARY!AK3</f>
        <v>YENMIX 123 (20.00KG)</v>
      </c>
      <c r="C41" s="338" t="s">
        <v>346</v>
      </c>
      <c r="D41" s="336">
        <f>SUMMARY!AK39</f>
        <v>4000</v>
      </c>
      <c r="E41" s="336">
        <f>SUMMARY!AK40</f>
        <v>0</v>
      </c>
      <c r="F41" s="336">
        <f>SUMMARY!AK41</f>
        <v>0</v>
      </c>
      <c r="G41" s="475">
        <f>SUMMARY!AK42</f>
        <v>0</v>
      </c>
      <c r="H41" s="336">
        <f>SUMMARY!AK43</f>
        <v>4000</v>
      </c>
      <c r="I41" s="336"/>
      <c r="J41" s="336"/>
      <c r="K41" s="336"/>
      <c r="L41" s="336"/>
      <c r="M41" s="339"/>
      <c r="N41" s="336"/>
      <c r="O41" s="413">
        <f t="shared" si="0"/>
        <v>-4000</v>
      </c>
      <c r="P41" s="339"/>
      <c r="Q41" s="336"/>
      <c r="R41" s="499"/>
      <c r="S41" s="336"/>
      <c r="T41" s="500"/>
      <c r="U41" s="336"/>
      <c r="V41" s="329"/>
      <c r="W41" s="501"/>
      <c r="X41" s="329"/>
      <c r="Y41" s="502"/>
      <c r="Z41" s="502"/>
      <c r="AA41" s="502"/>
      <c r="AB41" s="502"/>
      <c r="AC41" s="502"/>
    </row>
    <row r="42" spans="1:29">
      <c r="A42" s="338"/>
      <c r="B42" s="413">
        <f>SUMMARY!AL3</f>
        <v>1</v>
      </c>
      <c r="C42" s="338" t="s">
        <v>346</v>
      </c>
      <c r="D42" s="336">
        <f>SUMMARY!AL39</f>
        <v>0</v>
      </c>
      <c r="E42" s="336">
        <f>SUMMARY!AL40</f>
        <v>0</v>
      </c>
      <c r="F42" s="336">
        <f>SUMMARY!AL41</f>
        <v>0</v>
      </c>
      <c r="G42" s="475">
        <f>SUMMARY!AL42</f>
        <v>0</v>
      </c>
      <c r="H42" s="336">
        <f>SUMMARY!AL43</f>
        <v>0</v>
      </c>
      <c r="I42" s="336"/>
      <c r="J42" s="336"/>
      <c r="K42" s="336"/>
      <c r="L42" s="336"/>
      <c r="M42" s="339"/>
      <c r="N42" s="336"/>
      <c r="O42" s="413">
        <f t="shared" si="0"/>
        <v>0</v>
      </c>
      <c r="P42" s="339"/>
      <c r="Q42" s="336"/>
      <c r="R42" s="336"/>
      <c r="S42" s="336"/>
      <c r="T42" s="336"/>
      <c r="U42" s="336"/>
      <c r="V42" s="329"/>
      <c r="W42" s="501"/>
      <c r="X42" s="329"/>
      <c r="Y42" s="502"/>
      <c r="Z42" s="502"/>
      <c r="AA42" s="502"/>
      <c r="AB42" s="502"/>
      <c r="AC42" s="502"/>
    </row>
    <row r="43" spans="1:29">
      <c r="A43" s="338"/>
      <c r="B43" s="413">
        <f>SUMMARY!AM3</f>
        <v>2</v>
      </c>
      <c r="C43" s="338" t="s">
        <v>346</v>
      </c>
      <c r="D43" s="336">
        <f>SUMMARY!AM39</f>
        <v>0</v>
      </c>
      <c r="E43" s="336">
        <f>SUMMARY!AM40</f>
        <v>0</v>
      </c>
      <c r="F43" s="336">
        <f>SUMMARY!AM41</f>
        <v>0</v>
      </c>
      <c r="G43" s="475">
        <f>SUMMARY!AM42</f>
        <v>0</v>
      </c>
      <c r="H43" s="336">
        <f>SUMMARY!AM43</f>
        <v>0</v>
      </c>
      <c r="I43" s="336"/>
      <c r="J43" s="336"/>
      <c r="K43" s="336"/>
      <c r="L43" s="336"/>
      <c r="M43" s="339"/>
      <c r="N43" s="336"/>
      <c r="O43" s="413">
        <f t="shared" si="0"/>
        <v>0</v>
      </c>
      <c r="P43" s="339"/>
      <c r="Q43" s="336"/>
      <c r="R43" s="336"/>
      <c r="S43" s="336"/>
      <c r="T43" s="336"/>
      <c r="U43" s="336"/>
      <c r="V43" s="329"/>
      <c r="W43" s="501"/>
      <c r="X43" s="329"/>
      <c r="Y43" s="502"/>
      <c r="Z43" s="502"/>
      <c r="AA43" s="502"/>
      <c r="AB43" s="502"/>
      <c r="AC43" s="502"/>
    </row>
    <row r="44" spans="1:29">
      <c r="A44" s="338"/>
      <c r="B44" s="413">
        <f>SUMMARY!AN3</f>
        <v>3</v>
      </c>
      <c r="C44" s="338" t="s">
        <v>346</v>
      </c>
      <c r="D44" s="336">
        <f>SUMMARY!AN39</f>
        <v>0</v>
      </c>
      <c r="E44" s="336">
        <f>SUMMARY!AN40</f>
        <v>0</v>
      </c>
      <c r="F44" s="336">
        <f>SUMMARY!AN41</f>
        <v>0</v>
      </c>
      <c r="G44" s="475">
        <f>SUMMARY!AN42</f>
        <v>0</v>
      </c>
      <c r="H44" s="336">
        <f>SUMMARY!AN43</f>
        <v>0</v>
      </c>
      <c r="I44" s="336"/>
      <c r="J44" s="336"/>
      <c r="K44" s="336"/>
      <c r="L44" s="336"/>
      <c r="M44" s="339"/>
      <c r="N44" s="336"/>
      <c r="O44" s="413">
        <f t="shared" si="0"/>
        <v>0</v>
      </c>
      <c r="P44" s="339"/>
      <c r="Q44" s="336"/>
      <c r="R44" s="336"/>
      <c r="S44" s="336"/>
      <c r="T44" s="336"/>
      <c r="U44" s="336"/>
      <c r="V44" s="329"/>
      <c r="W44" s="501"/>
      <c r="X44" s="329"/>
      <c r="Y44" s="502"/>
      <c r="Z44" s="502"/>
      <c r="AA44" s="502"/>
      <c r="AB44" s="502"/>
      <c r="AC44" s="502"/>
    </row>
    <row r="45" spans="1:29">
      <c r="A45" s="338"/>
      <c r="B45" s="413" t="str">
        <f>SUMMARY!AO3</f>
        <v>TOXISORB PREMIUM</v>
      </c>
      <c r="C45" s="338" t="s">
        <v>346</v>
      </c>
      <c r="D45" s="336">
        <f>SUMMARY!AO39</f>
        <v>3724</v>
      </c>
      <c r="E45" s="336">
        <f>SUMMARY!AO40</f>
        <v>144</v>
      </c>
      <c r="F45" s="336">
        <f>SUMMARY!AO41</f>
        <v>3</v>
      </c>
      <c r="G45" s="475">
        <f>SUMMARY!AO42</f>
        <v>0</v>
      </c>
      <c r="H45" s="336">
        <f>SUMMARY!AO43</f>
        <v>3595</v>
      </c>
      <c r="I45" s="336"/>
      <c r="J45" s="336"/>
      <c r="K45" s="336"/>
      <c r="L45" s="336"/>
      <c r="M45" s="339"/>
      <c r="N45" s="336"/>
      <c r="O45" s="413">
        <f t="shared" si="0"/>
        <v>-3595</v>
      </c>
      <c r="P45" s="339"/>
      <c r="Q45" s="336"/>
      <c r="R45" s="499"/>
      <c r="S45" s="336"/>
      <c r="T45" s="500"/>
      <c r="U45" s="336"/>
      <c r="V45" s="329"/>
      <c r="W45" s="501"/>
      <c r="X45" s="329"/>
      <c r="Y45" s="502"/>
      <c r="Z45" s="502"/>
      <c r="AA45" s="502"/>
      <c r="AB45" s="502"/>
      <c r="AC45" s="502"/>
    </row>
    <row r="46" spans="1:29">
      <c r="A46" s="338"/>
      <c r="B46" s="413" t="str">
        <f>SUMMARY!AP3</f>
        <v>SODIUM HUMATE 3.8% (HARUMI)</v>
      </c>
      <c r="C46" s="338" t="s">
        <v>346</v>
      </c>
      <c r="D46" s="336">
        <f>SUMMARY!AP39</f>
        <v>0</v>
      </c>
      <c r="E46" s="336">
        <f>SUMMARY!AP40</f>
        <v>6990</v>
      </c>
      <c r="F46" s="336">
        <f>SUMMARY!AP41</f>
        <v>1260</v>
      </c>
      <c r="G46" s="475">
        <f>SUMMARY!AP42</f>
        <v>0</v>
      </c>
      <c r="H46" s="336">
        <f>SUMMARY!AP43</f>
        <v>0</v>
      </c>
      <c r="I46" s="336"/>
      <c r="J46" s="336"/>
      <c r="K46" s="336"/>
      <c r="L46" s="336"/>
      <c r="M46" s="339"/>
      <c r="N46" s="336"/>
      <c r="O46" s="413">
        <f t="shared" si="0"/>
        <v>0</v>
      </c>
      <c r="P46" s="339"/>
      <c r="Q46" s="336"/>
      <c r="R46" s="499"/>
      <c r="S46" s="336"/>
      <c r="T46" s="500"/>
      <c r="U46" s="336"/>
      <c r="V46" s="329"/>
      <c r="W46" s="501"/>
      <c r="X46" s="329"/>
      <c r="Y46" s="502"/>
      <c r="Z46" s="502"/>
      <c r="AA46" s="502"/>
      <c r="AB46" s="502"/>
      <c r="AC46" s="502"/>
    </row>
    <row r="47" spans="1:29">
      <c r="A47" s="338"/>
      <c r="B47" s="413" t="s">
        <v>41</v>
      </c>
      <c r="C47" s="338" t="s">
        <v>346</v>
      </c>
      <c r="D47" s="336">
        <f>SUMMARY!AQ39</f>
        <v>1127</v>
      </c>
      <c r="E47" s="336"/>
      <c r="F47" s="336"/>
      <c r="G47" s="475"/>
      <c r="H47" s="336">
        <f>SUMMARY!AQ43</f>
        <v>1127</v>
      </c>
      <c r="I47" s="336"/>
      <c r="J47" s="336"/>
      <c r="K47" s="336"/>
      <c r="L47" s="336"/>
      <c r="M47" s="339"/>
      <c r="N47" s="336"/>
      <c r="O47" s="413"/>
      <c r="P47" s="339"/>
      <c r="Q47" s="336"/>
      <c r="R47" s="499"/>
      <c r="S47" s="336"/>
      <c r="T47" s="500"/>
      <c r="U47" s="336"/>
      <c r="V47" s="329"/>
      <c r="W47" s="501"/>
      <c r="X47" s="329"/>
      <c r="Y47" s="502"/>
      <c r="Z47" s="502"/>
      <c r="AA47" s="502"/>
      <c r="AB47" s="502"/>
      <c r="AC47" s="502"/>
    </row>
    <row r="48" spans="1:29">
      <c r="A48" s="338"/>
      <c r="B48" s="413" t="str">
        <f>SUMMARY!AR3</f>
        <v>SODIUM BICARBONATE</v>
      </c>
      <c r="C48" s="338" t="s">
        <v>346</v>
      </c>
      <c r="D48" s="336">
        <f>SUMMARY!AR39</f>
        <v>3111.9999999999995</v>
      </c>
      <c r="E48" s="336">
        <f>SUMMARY!AR40</f>
        <v>0</v>
      </c>
      <c r="F48" s="336">
        <f>SUMMARY!AR41</f>
        <v>0</v>
      </c>
      <c r="G48" s="475">
        <f>SUMMARY!AR42</f>
        <v>0</v>
      </c>
      <c r="H48" s="336">
        <f>SUMMARY!AR43</f>
        <v>3111.9999999999995</v>
      </c>
      <c r="I48" s="336"/>
      <c r="J48" s="336"/>
      <c r="K48" s="336"/>
      <c r="L48" s="336"/>
      <c r="M48" s="339"/>
      <c r="N48" s="336"/>
      <c r="O48" s="413"/>
      <c r="P48" s="339"/>
      <c r="Q48" s="336"/>
      <c r="R48" s="499"/>
      <c r="S48" s="336"/>
      <c r="T48" s="500"/>
      <c r="U48" s="336"/>
      <c r="V48" s="329"/>
      <c r="W48" s="501"/>
      <c r="X48" s="329"/>
      <c r="Y48" s="502"/>
      <c r="Z48" s="502"/>
      <c r="AA48" s="502"/>
      <c r="AB48" s="502"/>
      <c r="AC48" s="502"/>
    </row>
    <row r="49" spans="1:29">
      <c r="A49" s="338"/>
      <c r="B49" s="413" t="str">
        <f>SUMMARY!AS3</f>
        <v>BMD 10%</v>
      </c>
      <c r="C49" s="338" t="s">
        <v>346</v>
      </c>
      <c r="D49" s="336">
        <f>SUMMARY!AS39</f>
        <v>1680.5</v>
      </c>
      <c r="E49" s="336">
        <f>SUMMARY!AS40</f>
        <v>0</v>
      </c>
      <c r="F49" s="336">
        <f>SUMMARY!AS41</f>
        <v>0</v>
      </c>
      <c r="G49" s="475">
        <f>SUMMARY!AS42</f>
        <v>0</v>
      </c>
      <c r="H49" s="336">
        <f>SUMMARY!AS43</f>
        <v>1680.5</v>
      </c>
      <c r="I49" s="336"/>
      <c r="J49" s="336"/>
      <c r="K49" s="336"/>
      <c r="L49" s="336"/>
      <c r="M49" s="339"/>
      <c r="N49" s="336"/>
      <c r="O49" s="413">
        <f t="shared" si="0"/>
        <v>-1680.5</v>
      </c>
      <c r="P49" s="339"/>
      <c r="Q49" s="336"/>
      <c r="R49" s="499"/>
      <c r="S49" s="336"/>
      <c r="T49" s="500"/>
      <c r="U49" s="336"/>
      <c r="V49" s="329"/>
      <c r="W49" s="501"/>
      <c r="X49" s="329"/>
      <c r="Y49" s="502"/>
      <c r="Z49" s="502"/>
      <c r="AA49" s="502"/>
      <c r="AB49" s="502"/>
      <c r="AC49" s="502"/>
    </row>
    <row r="50" spans="1:29">
      <c r="A50" s="338"/>
      <c r="B50" s="413" t="str">
        <f>SUMMARY!AT3</f>
        <v>SALT (HARUMI)</v>
      </c>
      <c r="C50" s="338" t="s">
        <v>346</v>
      </c>
      <c r="D50" s="336">
        <f>SUMMARY!AT39</f>
        <v>0</v>
      </c>
      <c r="E50" s="336">
        <f>SUMMARY!AT40</f>
        <v>1209.4000000000001</v>
      </c>
      <c r="F50" s="336">
        <f>SUMMARY!AT41</f>
        <v>1209.4000000000001</v>
      </c>
      <c r="G50" s="475">
        <f>SUMMARY!AT42</f>
        <v>0</v>
      </c>
      <c r="H50" s="336">
        <f>SUMMARY!AT43</f>
        <v>0</v>
      </c>
      <c r="I50" s="336"/>
      <c r="J50" s="336"/>
      <c r="K50" s="336"/>
      <c r="L50" s="336"/>
      <c r="M50" s="339"/>
      <c r="N50" s="336"/>
      <c r="O50" s="413">
        <f t="shared" si="0"/>
        <v>0</v>
      </c>
      <c r="P50" s="339"/>
      <c r="Q50" s="336"/>
      <c r="R50" s="499"/>
      <c r="S50" s="336"/>
      <c r="T50" s="500"/>
      <c r="U50" s="336"/>
      <c r="V50" s="329"/>
      <c r="W50" s="501"/>
      <c r="X50" s="329"/>
      <c r="Y50" s="502"/>
      <c r="Z50" s="502"/>
      <c r="AA50" s="502"/>
      <c r="AB50" s="502"/>
      <c r="AC50" s="502"/>
    </row>
    <row r="51" spans="1:29">
      <c r="A51" s="338"/>
      <c r="B51" s="413" t="str">
        <f>SUMMARY!AU3</f>
        <v>VISTABET 91</v>
      </c>
      <c r="C51" s="338" t="s">
        <v>346</v>
      </c>
      <c r="D51" s="336">
        <f>SUMMARY!AU39</f>
        <v>1482</v>
      </c>
      <c r="E51" s="336">
        <f>SUMMARY!AU40</f>
        <v>0</v>
      </c>
      <c r="F51" s="336">
        <f>SUMMARY!AU41</f>
        <v>0</v>
      </c>
      <c r="G51" s="475">
        <f>SUMMARY!AU42</f>
        <v>0</v>
      </c>
      <c r="H51" s="336">
        <f>SUMMARY!AU43</f>
        <v>1482</v>
      </c>
      <c r="I51" s="336"/>
      <c r="J51" s="336"/>
      <c r="K51" s="336"/>
      <c r="L51" s="336"/>
      <c r="M51" s="339"/>
      <c r="N51" s="336"/>
      <c r="O51" s="413">
        <f t="shared" si="0"/>
        <v>-1482</v>
      </c>
      <c r="P51" s="339"/>
      <c r="Q51" s="336"/>
      <c r="R51" s="499"/>
      <c r="S51" s="336"/>
      <c r="T51" s="500"/>
      <c r="U51" s="336"/>
      <c r="V51" s="329"/>
      <c r="W51" s="501"/>
      <c r="X51" s="329"/>
      <c r="Y51" s="502"/>
      <c r="Z51" s="502"/>
      <c r="AA51" s="502"/>
      <c r="AB51" s="502"/>
      <c r="AC51" s="502"/>
    </row>
    <row r="52" spans="1:29">
      <c r="A52" s="338"/>
      <c r="B52" s="413" t="str">
        <f>SUMMARY!AV3</f>
        <v>BETAFIN</v>
      </c>
      <c r="C52" s="338" t="s">
        <v>346</v>
      </c>
      <c r="D52" s="336">
        <f>SUMMARY!AV39</f>
        <v>0</v>
      </c>
      <c r="E52" s="336">
        <f>SUMMARY!AV40</f>
        <v>0</v>
      </c>
      <c r="F52" s="336">
        <f>SUMMARY!AV41</f>
        <v>0</v>
      </c>
      <c r="G52" s="475">
        <f>SUMMARY!AV42</f>
        <v>0</v>
      </c>
      <c r="H52" s="336">
        <f>SUMMARY!AV43</f>
        <v>0</v>
      </c>
      <c r="I52" s="336"/>
      <c r="J52" s="336"/>
      <c r="K52" s="336"/>
      <c r="L52" s="336"/>
      <c r="M52" s="339"/>
      <c r="N52" s="336"/>
      <c r="O52" s="413">
        <f t="shared" si="0"/>
        <v>0</v>
      </c>
      <c r="P52" s="339"/>
      <c r="Q52" s="336"/>
      <c r="R52" s="499"/>
      <c r="S52" s="336"/>
      <c r="T52" s="500"/>
      <c r="U52" s="336"/>
      <c r="V52" s="329"/>
      <c r="W52" s="501"/>
      <c r="X52" s="329"/>
      <c r="Y52" s="502"/>
      <c r="Z52" s="502"/>
      <c r="AA52" s="502"/>
      <c r="AB52" s="502"/>
      <c r="AC52" s="502"/>
    </row>
    <row r="53" spans="1:29">
      <c r="A53" s="338"/>
      <c r="B53" s="413" t="str">
        <f>SUMMARY!AW3</f>
        <v>8101 TOP UP</v>
      </c>
      <c r="C53" s="338" t="s">
        <v>346</v>
      </c>
      <c r="D53" s="336">
        <f>SUMMARY!AW39</f>
        <v>100</v>
      </c>
      <c r="E53" s="336">
        <f>SUMMARY!AW40</f>
        <v>0</v>
      </c>
      <c r="F53" s="336">
        <f>SUMMARY!AW41</f>
        <v>0</v>
      </c>
      <c r="G53" s="475">
        <f>SUMMARY!AW42</f>
        <v>0</v>
      </c>
      <c r="H53" s="336">
        <f>SUMMARY!AW43</f>
        <v>100</v>
      </c>
      <c r="I53" s="336"/>
      <c r="J53" s="336"/>
      <c r="K53" s="336"/>
      <c r="L53" s="336"/>
      <c r="M53" s="339"/>
      <c r="N53" s="336"/>
      <c r="O53" s="413">
        <f t="shared" si="0"/>
        <v>-100</v>
      </c>
      <c r="P53" s="339"/>
      <c r="Q53" s="336"/>
      <c r="R53" s="499"/>
      <c r="S53" s="336"/>
      <c r="T53" s="500"/>
      <c r="U53" s="336"/>
      <c r="V53" s="329"/>
      <c r="W53" s="501"/>
      <c r="X53" s="329"/>
      <c r="Y53" s="502"/>
      <c r="Z53" s="502"/>
      <c r="AA53" s="502"/>
      <c r="AB53" s="502"/>
      <c r="AC53" s="502"/>
    </row>
    <row r="54" spans="1:29">
      <c r="A54" s="338"/>
      <c r="B54" s="413" t="str">
        <f>SUMMARY!AX3</f>
        <v>NORPONIN X03 (8102 TOP UP)</v>
      </c>
      <c r="C54" s="338" t="s">
        <v>346</v>
      </c>
      <c r="D54" s="336">
        <f>SUMMARY!AX39</f>
        <v>13.960000000000036</v>
      </c>
      <c r="E54" s="336">
        <f>SUMMARY!AX40</f>
        <v>0</v>
      </c>
      <c r="F54" s="336">
        <f>SUMMARY!AX41</f>
        <v>0</v>
      </c>
      <c r="G54" s="475">
        <f>SUMMARY!AX42</f>
        <v>0</v>
      </c>
      <c r="H54" s="336">
        <f>SUMMARY!AX43</f>
        <v>13.960000000000036</v>
      </c>
      <c r="I54" s="336"/>
      <c r="J54" s="336"/>
      <c r="K54" s="336"/>
      <c r="L54" s="336"/>
      <c r="M54" s="339"/>
      <c r="N54" s="336"/>
      <c r="O54" s="413">
        <f t="shared" si="0"/>
        <v>-13.960000000000036</v>
      </c>
      <c r="P54" s="339"/>
      <c r="Q54" s="336"/>
      <c r="R54" s="499"/>
      <c r="S54" s="336"/>
      <c r="T54" s="500"/>
      <c r="U54" s="336"/>
      <c r="V54" s="329"/>
      <c r="W54" s="501"/>
      <c r="X54" s="329"/>
      <c r="Y54" s="502"/>
      <c r="Z54" s="502"/>
      <c r="AA54" s="502"/>
      <c r="AB54" s="502"/>
      <c r="AC54" s="502"/>
    </row>
    <row r="55" spans="1:29">
      <c r="A55" s="338"/>
      <c r="B55" s="413" t="str">
        <f>SUMMARY!AY3</f>
        <v>8102 TOP UP (4KG)</v>
      </c>
      <c r="C55" s="338" t="s">
        <v>346</v>
      </c>
      <c r="D55" s="336">
        <f>SUMMARY!AY39</f>
        <v>108</v>
      </c>
      <c r="E55" s="336">
        <f>SUMMARY!AY40</f>
        <v>1628</v>
      </c>
      <c r="F55" s="336">
        <f>SUMMARY!AY41</f>
        <v>0</v>
      </c>
      <c r="G55" s="475">
        <f>SUMMARY!AY42</f>
        <v>0</v>
      </c>
      <c r="H55" s="336">
        <f>SUMMARY!AY43</f>
        <v>1736</v>
      </c>
      <c r="I55" s="336"/>
      <c r="J55" s="336"/>
      <c r="K55" s="336"/>
      <c r="L55" s="336"/>
      <c r="M55" s="339"/>
      <c r="N55" s="336"/>
      <c r="O55" s="413">
        <f t="shared" si="0"/>
        <v>-1736</v>
      </c>
      <c r="P55" s="339"/>
      <c r="Q55" s="336"/>
      <c r="R55" s="499"/>
      <c r="S55" s="336"/>
      <c r="T55" s="500"/>
      <c r="U55" s="336"/>
      <c r="V55" s="329"/>
      <c r="W55" s="501"/>
      <c r="X55" s="329"/>
      <c r="Y55" s="502"/>
      <c r="Z55" s="502"/>
      <c r="AA55" s="502"/>
      <c r="AB55" s="502"/>
      <c r="AC55" s="502"/>
    </row>
    <row r="56" spans="1:29">
      <c r="A56" s="338"/>
      <c r="B56" s="413" t="str">
        <f>SUMMARY!AZ3</f>
        <v>8103 TOP UP (5KG)</v>
      </c>
      <c r="C56" s="338" t="s">
        <v>346</v>
      </c>
      <c r="D56" s="336">
        <f>SUMMARY!AZ39</f>
        <v>245</v>
      </c>
      <c r="E56" s="336">
        <f>SUMMARY!AZ40</f>
        <v>625</v>
      </c>
      <c r="F56" s="336">
        <f>SUMMARY!AZ41</f>
        <v>620</v>
      </c>
      <c r="G56" s="475">
        <f>SUMMARY!AZ42</f>
        <v>0</v>
      </c>
      <c r="H56" s="336">
        <f>SUMMARY!AZ43</f>
        <v>250</v>
      </c>
      <c r="I56" s="336"/>
      <c r="J56" s="336"/>
      <c r="K56" s="336"/>
      <c r="L56" s="336"/>
      <c r="M56" s="339"/>
      <c r="N56" s="336"/>
      <c r="O56" s="413">
        <f t="shared" si="0"/>
        <v>-250</v>
      </c>
      <c r="P56" s="339"/>
      <c r="Q56" s="336"/>
      <c r="R56" s="499"/>
      <c r="S56" s="336"/>
      <c r="T56" s="500"/>
      <c r="U56" s="336"/>
      <c r="V56" s="329"/>
      <c r="W56" s="501"/>
      <c r="X56" s="329"/>
      <c r="Y56" s="502"/>
      <c r="Z56" s="502"/>
      <c r="AA56" s="502"/>
      <c r="AB56" s="502"/>
      <c r="AC56" s="502"/>
    </row>
    <row r="57" spans="1:29">
      <c r="A57" s="338"/>
      <c r="B57" s="413" t="str">
        <f>SUMMARY!BA3</f>
        <v>L-ARGININE</v>
      </c>
      <c r="C57" s="338" t="s">
        <v>346</v>
      </c>
      <c r="D57" s="336"/>
      <c r="E57" s="336"/>
      <c r="F57" s="336"/>
      <c r="G57" s="475"/>
      <c r="H57" s="336"/>
      <c r="I57" s="336"/>
      <c r="J57" s="336"/>
      <c r="K57" s="336"/>
      <c r="L57" s="336"/>
      <c r="M57" s="339"/>
      <c r="N57" s="336"/>
      <c r="O57" s="413"/>
      <c r="P57" s="339"/>
      <c r="Q57" s="336"/>
      <c r="R57" s="499"/>
      <c r="S57" s="336"/>
      <c r="T57" s="500"/>
      <c r="U57" s="336"/>
      <c r="V57" s="329"/>
      <c r="W57" s="501"/>
      <c r="X57" s="329"/>
      <c r="Y57" s="502"/>
      <c r="Z57" s="502"/>
      <c r="AA57" s="502"/>
      <c r="AB57" s="502"/>
      <c r="AC57" s="502"/>
    </row>
    <row r="58" spans="1:29">
      <c r="A58" s="338"/>
      <c r="B58" s="413" t="str">
        <f>SUMMARY!BB3</f>
        <v>DL-METHIONINE</v>
      </c>
      <c r="C58" s="338" t="s">
        <v>346</v>
      </c>
      <c r="D58" s="336"/>
      <c r="E58" s="336"/>
      <c r="F58" s="336"/>
      <c r="G58" s="475"/>
      <c r="H58" s="336"/>
      <c r="I58" s="336"/>
      <c r="J58" s="336"/>
      <c r="K58" s="336"/>
      <c r="L58" s="336"/>
      <c r="M58" s="339"/>
      <c r="N58" s="336"/>
      <c r="O58" s="413"/>
      <c r="P58" s="339"/>
      <c r="Q58" s="336"/>
      <c r="R58" s="499"/>
      <c r="S58" s="336"/>
      <c r="T58" s="500"/>
      <c r="U58" s="336"/>
      <c r="V58" s="329"/>
      <c r="W58" s="501"/>
      <c r="X58" s="329"/>
      <c r="Y58" s="502"/>
      <c r="Z58" s="502"/>
      <c r="AA58" s="502"/>
      <c r="AB58" s="502"/>
      <c r="AC58" s="502"/>
    </row>
    <row r="59" spans="1:29">
      <c r="A59" s="338"/>
      <c r="B59" s="413" t="str">
        <f>SUMMARY!BC3</f>
        <v>L-THREONINE</v>
      </c>
      <c r="C59" s="338" t="s">
        <v>346</v>
      </c>
      <c r="D59" s="336"/>
      <c r="E59" s="336"/>
      <c r="F59" s="336"/>
      <c r="G59" s="475"/>
      <c r="H59" s="336"/>
      <c r="I59" s="336"/>
      <c r="J59" s="336"/>
      <c r="K59" s="336"/>
      <c r="L59" s="336"/>
      <c r="M59" s="339"/>
      <c r="N59" s="303"/>
      <c r="O59" s="303"/>
      <c r="P59" s="339"/>
      <c r="Q59" s="336"/>
      <c r="R59" s="499"/>
      <c r="S59" s="336"/>
      <c r="T59" s="500"/>
      <c r="U59" s="336"/>
      <c r="V59" s="329"/>
      <c r="W59" s="329"/>
      <c r="X59" s="329"/>
      <c r="Y59" s="329"/>
      <c r="Z59" s="329"/>
      <c r="AA59" s="329"/>
      <c r="AB59" s="329"/>
      <c r="AC59" s="329"/>
    </row>
    <row r="60" spans="1:29">
      <c r="A60" s="338"/>
      <c r="B60" s="413" t="str">
        <f>SUMMARY!BD3</f>
        <v>L-LYSINE</v>
      </c>
      <c r="C60" s="338" t="s">
        <v>346</v>
      </c>
      <c r="D60" s="356"/>
      <c r="E60" s="356"/>
      <c r="F60" s="356"/>
      <c r="G60" s="516"/>
      <c r="H60" s="356"/>
      <c r="I60" s="336"/>
      <c r="J60" s="336"/>
      <c r="K60" s="356"/>
      <c r="L60" s="336"/>
      <c r="M60" s="339"/>
      <c r="N60" s="303"/>
      <c r="O60" s="303"/>
      <c r="P60" s="339"/>
      <c r="Q60" s="336"/>
      <c r="R60" s="499"/>
      <c r="S60" s="336"/>
      <c r="T60" s="500"/>
      <c r="U60" s="336"/>
      <c r="V60" s="329"/>
      <c r="W60" s="329"/>
      <c r="X60" s="329"/>
      <c r="Y60" s="329"/>
      <c r="Z60" s="329"/>
      <c r="AA60" s="329"/>
      <c r="AB60" s="329"/>
      <c r="AC60" s="329"/>
    </row>
    <row r="61" spans="1:29">
      <c r="A61" s="338"/>
      <c r="B61" s="413"/>
      <c r="C61" s="338"/>
      <c r="D61" s="356"/>
      <c r="E61" s="356"/>
      <c r="F61" s="356"/>
      <c r="G61" s="516"/>
      <c r="H61" s="356"/>
      <c r="I61" s="336"/>
      <c r="J61" s="336"/>
      <c r="K61" s="356"/>
      <c r="L61" s="336"/>
      <c r="M61" s="339"/>
      <c r="N61" s="303"/>
      <c r="O61" s="303"/>
      <c r="P61" s="339"/>
      <c r="Q61" s="336"/>
      <c r="R61" s="499"/>
      <c r="S61" s="336"/>
      <c r="T61" s="500"/>
      <c r="U61" s="336"/>
      <c r="V61" s="329"/>
      <c r="W61" s="329"/>
      <c r="X61" s="329"/>
      <c r="Y61" s="329"/>
      <c r="Z61" s="329"/>
      <c r="AA61" s="329"/>
      <c r="AB61" s="329"/>
      <c r="AC61" s="329"/>
    </row>
    <row r="62" spans="1:29">
      <c r="A62" s="338"/>
      <c r="B62" s="310" t="s">
        <v>348</v>
      </c>
      <c r="C62" s="338"/>
      <c r="D62" s="356"/>
      <c r="E62" s="356"/>
      <c r="F62" s="356"/>
      <c r="G62" s="516"/>
      <c r="H62" s="356"/>
      <c r="I62" s="336"/>
      <c r="J62" s="336"/>
      <c r="K62" s="356"/>
      <c r="L62" s="336"/>
      <c r="M62" s="339"/>
      <c r="N62" s="303"/>
      <c r="O62" s="303"/>
      <c r="P62" s="339"/>
      <c r="Q62" s="336"/>
      <c r="R62" s="499"/>
      <c r="S62" s="336"/>
      <c r="T62" s="500"/>
      <c r="U62" s="336"/>
      <c r="V62" s="329"/>
      <c r="W62" s="329"/>
      <c r="X62" s="329"/>
      <c r="Y62" s="329"/>
      <c r="Z62" s="329"/>
      <c r="AA62" s="329"/>
      <c r="AB62" s="329"/>
      <c r="AC62" s="329"/>
    </row>
    <row r="63" spans="1:29">
      <c r="A63" s="338"/>
      <c r="B63" s="413"/>
      <c r="C63" s="338" t="s">
        <v>349</v>
      </c>
      <c r="D63" s="356"/>
      <c r="E63" s="356"/>
      <c r="F63" s="356"/>
      <c r="G63" s="516"/>
      <c r="H63" s="356"/>
      <c r="I63" s="336"/>
      <c r="J63" s="336"/>
      <c r="K63" s="356"/>
      <c r="L63" s="336"/>
      <c r="M63" s="339"/>
      <c r="N63" s="303"/>
      <c r="O63" s="303"/>
      <c r="P63" s="339"/>
      <c r="Q63" s="336"/>
      <c r="R63" s="499"/>
      <c r="S63" s="336"/>
      <c r="T63" s="500"/>
      <c r="U63" s="336"/>
      <c r="V63" s="329"/>
      <c r="W63" s="329"/>
      <c r="X63" s="329"/>
      <c r="Y63" s="329"/>
      <c r="Z63" s="329"/>
      <c r="AA63" s="329"/>
      <c r="AB63" s="329"/>
      <c r="AC63" s="329"/>
    </row>
    <row r="64" spans="1:29">
      <c r="A64" s="338"/>
      <c r="B64" s="413"/>
      <c r="C64" s="338" t="s">
        <v>349</v>
      </c>
      <c r="D64" s="356"/>
      <c r="E64" s="356"/>
      <c r="F64" s="356"/>
      <c r="G64" s="516"/>
      <c r="H64" s="356"/>
      <c r="I64" s="336"/>
      <c r="J64" s="336"/>
      <c r="K64" s="356"/>
      <c r="L64" s="336"/>
      <c r="M64" s="339"/>
      <c r="N64" s="303"/>
      <c r="O64" s="303"/>
      <c r="P64" s="339"/>
      <c r="Q64" s="336"/>
      <c r="R64" s="499"/>
      <c r="S64" s="336"/>
      <c r="T64" s="500"/>
      <c r="U64" s="336"/>
      <c r="V64" s="329"/>
      <c r="W64" s="329"/>
      <c r="X64" s="329"/>
      <c r="Y64" s="329"/>
      <c r="Z64" s="329"/>
      <c r="AA64" s="329"/>
      <c r="AB64" s="329"/>
      <c r="AC64" s="329"/>
    </row>
    <row r="65" spans="1:29">
      <c r="A65" s="338"/>
      <c r="B65" s="413"/>
      <c r="C65" s="338"/>
      <c r="D65" s="356"/>
      <c r="E65" s="356"/>
      <c r="F65" s="356"/>
      <c r="G65" s="516"/>
      <c r="H65" s="356"/>
      <c r="I65" s="336"/>
      <c r="J65" s="336"/>
      <c r="K65" s="356"/>
      <c r="L65" s="336"/>
      <c r="M65" s="339"/>
      <c r="N65" s="303"/>
      <c r="O65" s="303"/>
      <c r="P65" s="339"/>
      <c r="Q65" s="336"/>
      <c r="R65" s="499"/>
      <c r="S65" s="336"/>
      <c r="T65" s="500"/>
      <c r="U65" s="336"/>
      <c r="V65" s="329"/>
      <c r="W65" s="329"/>
      <c r="X65" s="329"/>
      <c r="Y65" s="329"/>
      <c r="Z65" s="329"/>
      <c r="AA65" s="329"/>
      <c r="AB65" s="329"/>
      <c r="AC65" s="329"/>
    </row>
    <row r="66" spans="1:29">
      <c r="A66" s="338"/>
      <c r="B66" s="413"/>
      <c r="C66" s="338"/>
      <c r="D66" s="356"/>
      <c r="E66" s="356"/>
      <c r="F66" s="356"/>
      <c r="G66" s="516"/>
      <c r="H66" s="356"/>
      <c r="I66" s="336"/>
      <c r="J66" s="336"/>
      <c r="K66" s="356"/>
      <c r="L66" s="336"/>
      <c r="M66" s="339"/>
      <c r="N66" s="303"/>
      <c r="O66" s="303"/>
      <c r="P66" s="339"/>
      <c r="Q66" s="336"/>
      <c r="R66" s="499"/>
      <c r="S66" s="336"/>
      <c r="T66" s="500"/>
      <c r="U66" s="336"/>
      <c r="V66" s="329"/>
      <c r="W66" s="329"/>
      <c r="X66" s="329"/>
      <c r="Y66" s="329"/>
      <c r="Z66" s="329"/>
      <c r="AA66" s="329"/>
      <c r="AB66" s="329"/>
      <c r="AC66" s="329"/>
    </row>
    <row r="67" spans="1:29">
      <c r="A67" s="338"/>
      <c r="B67" s="413"/>
      <c r="C67" s="338"/>
      <c r="D67" s="356"/>
      <c r="E67" s="356"/>
      <c r="F67" s="356"/>
      <c r="G67" s="516"/>
      <c r="H67" s="356"/>
      <c r="I67" s="336"/>
      <c r="J67" s="336"/>
      <c r="K67" s="356"/>
      <c r="L67" s="336"/>
      <c r="M67" s="339"/>
      <c r="N67" s="303"/>
      <c r="O67" s="303"/>
      <c r="P67" s="339"/>
      <c r="Q67" s="336"/>
      <c r="R67" s="499"/>
      <c r="S67" s="336"/>
      <c r="T67" s="500"/>
      <c r="U67" s="336"/>
      <c r="V67" s="329"/>
      <c r="W67" s="329"/>
      <c r="X67" s="329"/>
      <c r="Y67" s="329"/>
      <c r="Z67" s="329"/>
      <c r="AA67" s="329"/>
      <c r="AB67" s="329"/>
      <c r="AC67" s="329"/>
    </row>
    <row r="68" spans="1:29">
      <c r="A68" s="338"/>
      <c r="B68" s="413"/>
      <c r="C68" s="338"/>
      <c r="D68" s="356"/>
      <c r="E68" s="356"/>
      <c r="F68" s="356"/>
      <c r="G68" s="516"/>
      <c r="H68" s="356"/>
      <c r="I68" s="336"/>
      <c r="J68" s="336"/>
      <c r="K68" s="356"/>
      <c r="L68" s="336"/>
      <c r="M68" s="339"/>
      <c r="N68" s="303"/>
      <c r="O68" s="303"/>
      <c r="P68" s="339"/>
      <c r="Q68" s="336"/>
      <c r="R68" s="499"/>
      <c r="S68" s="336"/>
      <c r="T68" s="500"/>
      <c r="U68" s="336"/>
      <c r="V68" s="329"/>
      <c r="W68" s="329"/>
      <c r="X68" s="329"/>
      <c r="Y68" s="329"/>
      <c r="Z68" s="329"/>
      <c r="AA68" s="329"/>
      <c r="AB68" s="329"/>
      <c r="AC68" s="329"/>
    </row>
    <row r="69" spans="1:29" ht="13.9" thickBot="1">
      <c r="A69" s="338"/>
      <c r="B69" s="302" t="s">
        <v>72</v>
      </c>
      <c r="C69" s="475"/>
      <c r="D69" s="506">
        <f>SUM(D4:D59)</f>
        <v>590824.99000000022</v>
      </c>
      <c r="E69" s="506">
        <f>SUM(E4:E59)</f>
        <v>804285.2300000001</v>
      </c>
      <c r="F69" s="506">
        <f>SUM(F4:F59)</f>
        <v>963683.83999999997</v>
      </c>
      <c r="G69" s="506">
        <f>SUM(G4:G59)</f>
        <v>-47371.640000000021</v>
      </c>
      <c r="H69" s="506">
        <f>SUM(H4:H59)</f>
        <v>378054.74000000017</v>
      </c>
      <c r="I69" s="336"/>
      <c r="J69" s="336"/>
      <c r="K69" s="507">
        <f>SUM(K4:K59)</f>
        <v>0</v>
      </c>
      <c r="L69" s="508"/>
      <c r="M69" s="339"/>
      <c r="N69" s="303"/>
      <c r="O69" s="303"/>
      <c r="P69" s="339"/>
      <c r="Q69" s="336"/>
      <c r="R69" s="499"/>
      <c r="S69" s="336"/>
      <c r="T69" s="500"/>
      <c r="U69" s="336"/>
      <c r="V69" s="329"/>
      <c r="W69" s="329"/>
      <c r="X69" s="329"/>
      <c r="Y69" s="329"/>
      <c r="Z69" s="329"/>
      <c r="AA69" s="329"/>
      <c r="AB69" s="329"/>
      <c r="AC69" s="329"/>
    </row>
    <row r="70" spans="1:29">
      <c r="A70" s="496"/>
      <c r="B70" s="501"/>
      <c r="C70" s="473"/>
      <c r="D70" s="339"/>
      <c r="E70" s="339"/>
      <c r="F70" s="339"/>
      <c r="G70" s="473"/>
      <c r="I70" s="339"/>
      <c r="J70" s="339"/>
      <c r="K70" s="339"/>
      <c r="L70" s="339"/>
      <c r="M70" s="339"/>
      <c r="N70" s="299"/>
      <c r="O70" s="299"/>
      <c r="P70" s="339"/>
      <c r="Q70" s="339"/>
      <c r="R70" s="509"/>
      <c r="S70" s="339"/>
      <c r="T70" s="510"/>
      <c r="U70" s="339"/>
      <c r="V70" s="329"/>
      <c r="W70" s="329"/>
      <c r="X70" s="329"/>
      <c r="Y70" s="329"/>
      <c r="Z70" s="329"/>
      <c r="AA70" s="329"/>
      <c r="AB70" s="329"/>
      <c r="AC70" s="329"/>
    </row>
    <row r="71" spans="1:29">
      <c r="A71" s="496"/>
      <c r="B71" s="501"/>
      <c r="C71" s="473"/>
      <c r="D71" s="339">
        <f>D69-SUM(SUMMARY!B39:AZ39)</f>
        <v>0</v>
      </c>
      <c r="E71" s="339">
        <f>E262-SUM(SUMMARY!B40:AZ40)</f>
        <v>-804285.2300000001</v>
      </c>
      <c r="F71" s="339">
        <f>F69-SUM(SUMMARY!B41:AZ41)</f>
        <v>0</v>
      </c>
      <c r="G71" s="473">
        <f>G69-SUM(SUMMARY!B42:AZ42)</f>
        <v>0</v>
      </c>
      <c r="H71" s="339">
        <f>H69-SUM(SUMMARY!B43:AZ43)</f>
        <v>0</v>
      </c>
      <c r="I71" s="339"/>
      <c r="J71" s="339"/>
      <c r="K71" s="339"/>
      <c r="L71" s="339"/>
      <c r="M71" s="339"/>
      <c r="N71" s="299"/>
      <c r="O71" s="299"/>
      <c r="P71" s="339"/>
      <c r="Q71" s="339"/>
      <c r="R71" s="509"/>
      <c r="S71" s="339"/>
      <c r="T71" s="510"/>
      <c r="U71" s="339"/>
      <c r="V71" s="329"/>
      <c r="W71" s="329"/>
      <c r="X71" s="329"/>
      <c r="Y71" s="329"/>
      <c r="Z71" s="329"/>
      <c r="AA71" s="329"/>
      <c r="AB71" s="329"/>
      <c r="AC71" s="329"/>
    </row>
    <row r="72" spans="1:29">
      <c r="A72" s="496"/>
      <c r="B72" s="329"/>
      <c r="C72" s="496"/>
      <c r="D72" s="339"/>
      <c r="E72" s="339"/>
      <c r="F72" s="339"/>
      <c r="G72" s="473"/>
      <c r="I72" s="339"/>
      <c r="J72" s="339"/>
      <c r="K72" s="339"/>
      <c r="L72" s="339"/>
      <c r="M72" s="339"/>
      <c r="N72" s="299"/>
      <c r="O72" s="299"/>
      <c r="P72" s="339"/>
      <c r="Q72" s="339"/>
      <c r="R72" s="509"/>
      <c r="S72" s="339"/>
      <c r="T72" s="510"/>
      <c r="U72" s="339"/>
      <c r="V72" s="329"/>
      <c r="W72" s="329"/>
      <c r="X72" s="329"/>
      <c r="Y72" s="329"/>
      <c r="Z72" s="329"/>
      <c r="AA72" s="329"/>
      <c r="AB72" s="329"/>
      <c r="AC72" s="329"/>
    </row>
    <row r="73" spans="1:29">
      <c r="A73" s="338"/>
      <c r="B73" s="467" t="s">
        <v>323</v>
      </c>
      <c r="C73" s="475"/>
      <c r="D73" s="336"/>
      <c r="E73" s="336"/>
      <c r="F73" s="336"/>
      <c r="G73" s="475"/>
      <c r="H73" s="336"/>
      <c r="I73" s="339"/>
      <c r="J73" s="339"/>
      <c r="K73" s="339"/>
      <c r="L73" s="339"/>
      <c r="M73" s="339"/>
      <c r="N73" s="339"/>
      <c r="O73" s="339"/>
      <c r="P73" s="339"/>
      <c r="Q73" s="339"/>
      <c r="R73" s="509"/>
      <c r="S73" s="339"/>
      <c r="T73" s="510"/>
      <c r="U73" s="339"/>
      <c r="V73" s="329"/>
      <c r="W73" s="329"/>
      <c r="X73" s="329"/>
      <c r="Y73" s="329"/>
      <c r="Z73" s="329"/>
      <c r="AA73" s="329"/>
      <c r="AB73" s="329"/>
      <c r="AC73" s="329"/>
    </row>
    <row r="74" spans="1:29">
      <c r="A74" s="338" t="s">
        <v>331</v>
      </c>
      <c r="B74" s="474" t="s">
        <v>332</v>
      </c>
      <c r="C74" s="475" t="s">
        <v>333</v>
      </c>
      <c r="D74" s="475" t="s">
        <v>334</v>
      </c>
      <c r="E74" s="475" t="s">
        <v>335</v>
      </c>
      <c r="F74" s="475" t="s">
        <v>166</v>
      </c>
      <c r="G74" s="475" t="s">
        <v>168</v>
      </c>
      <c r="H74" s="475" t="s">
        <v>336</v>
      </c>
      <c r="I74" s="339"/>
      <c r="J74" s="339"/>
      <c r="K74" s="339"/>
      <c r="L74" s="339"/>
      <c r="M74" s="339"/>
      <c r="N74" s="339"/>
      <c r="O74" s="339"/>
      <c r="P74" s="339"/>
      <c r="Q74" s="339"/>
      <c r="R74" s="509"/>
      <c r="S74" s="339"/>
      <c r="T74" s="510"/>
      <c r="U74" s="339"/>
      <c r="V74" s="329"/>
      <c r="W74" s="329"/>
      <c r="X74" s="329"/>
      <c r="Y74" s="329"/>
      <c r="Z74" s="329"/>
      <c r="AA74" s="329"/>
      <c r="AB74" s="329"/>
      <c r="AC74" s="329"/>
    </row>
    <row r="75" spans="1:29">
      <c r="A75" s="338"/>
      <c r="B75" s="467" t="s">
        <v>345</v>
      </c>
      <c r="C75" s="475"/>
      <c r="D75" s="336"/>
      <c r="E75" s="336"/>
      <c r="F75" s="336"/>
      <c r="G75" s="475"/>
      <c r="H75" s="336"/>
      <c r="I75" s="339"/>
      <c r="J75" s="339"/>
      <c r="K75" s="339"/>
      <c r="L75" s="339"/>
      <c r="M75" s="339"/>
      <c r="N75" s="339"/>
      <c r="O75" s="339"/>
      <c r="P75" s="339"/>
      <c r="Q75" s="339"/>
      <c r="R75" s="509"/>
      <c r="S75" s="339"/>
      <c r="T75" s="510"/>
      <c r="U75" s="339"/>
      <c r="V75" s="329"/>
      <c r="W75" s="329"/>
      <c r="X75" s="329"/>
      <c r="Y75" s="329"/>
      <c r="Z75" s="329"/>
      <c r="AA75" s="329"/>
      <c r="AB75" s="329"/>
      <c r="AC75" s="329"/>
    </row>
    <row r="76" spans="1:29">
      <c r="A76" s="338">
        <v>1</v>
      </c>
      <c r="B76" s="474" t="s">
        <v>7</v>
      </c>
      <c r="C76" s="475" t="s">
        <v>346</v>
      </c>
      <c r="D76" s="336">
        <v>244343.40000000008</v>
      </c>
      <c r="E76" s="336">
        <v>462870</v>
      </c>
      <c r="F76" s="336">
        <f>603605.6-37505.8</f>
        <v>566099.79999999993</v>
      </c>
      <c r="G76" s="475">
        <v>-37505.800000000003</v>
      </c>
      <c r="H76" s="468">
        <f t="shared" ref="H76:H88" si="1">D76+E76-F76+G76</f>
        <v>103607.80000000021</v>
      </c>
      <c r="I76" s="339">
        <v>244343.39999999991</v>
      </c>
      <c r="J76" s="339" t="s">
        <v>7</v>
      </c>
      <c r="K76" s="339"/>
      <c r="L76" s="339"/>
      <c r="M76" s="339"/>
      <c r="N76" s="339"/>
      <c r="O76" s="339"/>
      <c r="P76" s="339"/>
      <c r="Q76" s="339"/>
      <c r="R76" s="509"/>
      <c r="S76" s="339"/>
      <c r="T76" s="510"/>
      <c r="U76" s="339"/>
      <c r="V76" s="329"/>
      <c r="W76" s="329"/>
      <c r="X76" s="329"/>
      <c r="Y76" s="329"/>
      <c r="Z76" s="329"/>
      <c r="AA76" s="329"/>
      <c r="AB76" s="329"/>
      <c r="AC76" s="329"/>
    </row>
    <row r="77" spans="1:29">
      <c r="A77" s="338">
        <v>2</v>
      </c>
      <c r="B77" s="474" t="s">
        <v>8</v>
      </c>
      <c r="C77" s="475" t="s">
        <v>346</v>
      </c>
      <c r="D77" s="336">
        <v>105957.20000000007</v>
      </c>
      <c r="E77" s="336">
        <v>230900</v>
      </c>
      <c r="F77" s="336">
        <v>285358</v>
      </c>
      <c r="G77" s="475"/>
      <c r="H77" s="468">
        <f t="shared" si="1"/>
        <v>51499.20000000007</v>
      </c>
      <c r="I77" s="339">
        <v>105957.20000000013</v>
      </c>
      <c r="J77" s="339" t="s">
        <v>8</v>
      </c>
      <c r="K77" s="339"/>
      <c r="L77" s="339"/>
      <c r="M77" s="339"/>
      <c r="N77" s="339"/>
      <c r="O77" s="339"/>
      <c r="P77" s="339"/>
      <c r="Q77" s="339"/>
      <c r="R77" s="509"/>
      <c r="S77" s="339"/>
      <c r="T77" s="510"/>
      <c r="U77" s="339"/>
      <c r="V77" s="329"/>
      <c r="W77" s="329"/>
      <c r="X77" s="329"/>
      <c r="Y77" s="329"/>
      <c r="Z77" s="329"/>
      <c r="AA77" s="329"/>
      <c r="AB77" s="329"/>
      <c r="AC77" s="329"/>
    </row>
    <row r="78" spans="1:29">
      <c r="A78" s="338">
        <v>3</v>
      </c>
      <c r="B78" s="474" t="s">
        <v>9</v>
      </c>
      <c r="C78" s="475" t="s">
        <v>346</v>
      </c>
      <c r="D78" s="336">
        <v>44686.299999999974</v>
      </c>
      <c r="E78" s="336">
        <v>45100</v>
      </c>
      <c r="F78" s="336">
        <v>57054.30000000001</v>
      </c>
      <c r="G78" s="475"/>
      <c r="H78" s="468">
        <f t="shared" si="1"/>
        <v>32731.999999999964</v>
      </c>
      <c r="I78" s="339">
        <v>44686.299999999974</v>
      </c>
      <c r="J78" s="339" t="s">
        <v>9</v>
      </c>
      <c r="K78" s="339"/>
      <c r="L78" s="339"/>
      <c r="M78" s="339"/>
      <c r="N78" s="339"/>
      <c r="O78" s="339"/>
      <c r="P78" s="339"/>
      <c r="Q78" s="339"/>
      <c r="R78" s="509"/>
      <c r="S78" s="339"/>
      <c r="T78" s="510"/>
      <c r="U78" s="339"/>
      <c r="V78" s="329"/>
      <c r="W78" s="329"/>
      <c r="X78" s="329"/>
      <c r="Y78" s="329"/>
      <c r="Z78" s="329"/>
      <c r="AA78" s="329"/>
      <c r="AB78" s="329"/>
      <c r="AC78" s="329"/>
    </row>
    <row r="79" spans="1:29">
      <c r="A79" s="338">
        <v>4</v>
      </c>
      <c r="B79" s="474" t="s">
        <v>10</v>
      </c>
      <c r="C79" s="475" t="s">
        <v>346</v>
      </c>
      <c r="D79" s="336">
        <v>12193.400000000018</v>
      </c>
      <c r="E79" s="336">
        <v>22380</v>
      </c>
      <c r="F79" s="336">
        <v>1200.6999999999998</v>
      </c>
      <c r="G79" s="475"/>
      <c r="H79" s="468">
        <f t="shared" si="1"/>
        <v>33372.700000000019</v>
      </c>
      <c r="I79" s="339">
        <v>12193.400000000014</v>
      </c>
      <c r="J79" s="339" t="s">
        <v>10</v>
      </c>
      <c r="K79" s="339"/>
      <c r="L79" s="339"/>
      <c r="M79" s="339"/>
      <c r="N79" s="339"/>
      <c r="O79" s="339"/>
      <c r="P79" s="339"/>
      <c r="Q79" s="339"/>
      <c r="R79" s="509"/>
      <c r="S79" s="339"/>
      <c r="T79" s="510"/>
      <c r="U79" s="339"/>
      <c r="V79" s="329"/>
      <c r="W79" s="329"/>
      <c r="X79" s="329"/>
      <c r="Y79" s="329"/>
      <c r="Z79" s="329"/>
      <c r="AA79" s="329"/>
      <c r="AB79" s="329"/>
      <c r="AC79" s="329"/>
    </row>
    <row r="80" spans="1:29">
      <c r="A80" s="338">
        <v>5</v>
      </c>
      <c r="B80" s="474" t="s">
        <v>12</v>
      </c>
      <c r="C80" s="475" t="s">
        <v>346</v>
      </c>
      <c r="D80" s="336">
        <v>18566.699999999997</v>
      </c>
      <c r="E80" s="336">
        <v>0</v>
      </c>
      <c r="F80" s="336">
        <v>4620.5</v>
      </c>
      <c r="G80" s="475"/>
      <c r="H80" s="468">
        <f t="shared" si="1"/>
        <v>13946.199999999997</v>
      </c>
      <c r="I80" s="339">
        <v>18566.699999999997</v>
      </c>
      <c r="J80" s="339" t="s">
        <v>12</v>
      </c>
      <c r="K80" s="339"/>
      <c r="L80" s="339"/>
      <c r="M80" s="339"/>
      <c r="N80" s="339"/>
      <c r="O80" s="339"/>
      <c r="P80" s="339"/>
      <c r="Q80" s="339"/>
      <c r="R80" s="509"/>
      <c r="S80" s="339"/>
      <c r="T80" s="510"/>
      <c r="U80" s="339"/>
      <c r="V80" s="329"/>
      <c r="W80" s="329"/>
      <c r="X80" s="329"/>
      <c r="Y80" s="329"/>
      <c r="Z80" s="329"/>
      <c r="AA80" s="329"/>
      <c r="AB80" s="329"/>
      <c r="AC80" s="329"/>
    </row>
    <row r="81" spans="1:12">
      <c r="A81" s="338">
        <v>6</v>
      </c>
      <c r="B81" s="474" t="s">
        <v>13</v>
      </c>
      <c r="C81" s="475" t="s">
        <v>346</v>
      </c>
      <c r="D81" s="336">
        <v>34163.999999999993</v>
      </c>
      <c r="E81" s="336">
        <v>11000</v>
      </c>
      <c r="F81" s="336">
        <v>8216.3000000000011</v>
      </c>
      <c r="G81" s="475"/>
      <c r="H81" s="468">
        <f t="shared" si="1"/>
        <v>36947.69999999999</v>
      </c>
      <c r="I81" s="339">
        <v>34163.999999999985</v>
      </c>
      <c r="J81" s="339" t="s">
        <v>13</v>
      </c>
      <c r="K81" s="339"/>
      <c r="L81" s="339"/>
    </row>
    <row r="82" spans="1:12">
      <c r="A82" s="338">
        <v>7</v>
      </c>
      <c r="B82" s="474" t="s">
        <v>14</v>
      </c>
      <c r="C82" s="475" t="s">
        <v>346</v>
      </c>
      <c r="D82" s="336">
        <v>0</v>
      </c>
      <c r="E82" s="336">
        <v>12039.3</v>
      </c>
      <c r="F82" s="336">
        <v>12039.3</v>
      </c>
      <c r="G82" s="475"/>
      <c r="H82" s="468">
        <f t="shared" si="1"/>
        <v>0</v>
      </c>
      <c r="I82" s="339">
        <v>0</v>
      </c>
      <c r="J82" s="339" t="s">
        <v>14</v>
      </c>
      <c r="K82" s="339"/>
      <c r="L82" s="339"/>
    </row>
    <row r="83" spans="1:12">
      <c r="A83" s="338">
        <v>8</v>
      </c>
      <c r="B83" s="474" t="s">
        <v>15</v>
      </c>
      <c r="C83" s="475" t="s">
        <v>346</v>
      </c>
      <c r="D83" s="336">
        <v>5083.1299999999992</v>
      </c>
      <c r="E83" s="336">
        <v>0</v>
      </c>
      <c r="F83" s="336">
        <v>2694.3500000000004</v>
      </c>
      <c r="G83" s="475"/>
      <c r="H83" s="468">
        <f t="shared" si="1"/>
        <v>2388.7799999999988</v>
      </c>
      <c r="I83" s="339">
        <v>5083.1299999999992</v>
      </c>
      <c r="J83" s="339" t="s">
        <v>15</v>
      </c>
      <c r="K83" s="339"/>
      <c r="L83" s="339"/>
    </row>
    <row r="84" spans="1:12">
      <c r="A84" s="338">
        <v>9</v>
      </c>
      <c r="B84" s="474" t="s">
        <v>16</v>
      </c>
      <c r="C84" s="475" t="s">
        <v>346</v>
      </c>
      <c r="D84" s="336">
        <v>0</v>
      </c>
      <c r="E84" s="336">
        <v>6166.9700000000012</v>
      </c>
      <c r="F84" s="336">
        <v>6166.9700000000012</v>
      </c>
      <c r="G84" s="475"/>
      <c r="H84" s="468">
        <f t="shared" si="1"/>
        <v>0</v>
      </c>
      <c r="I84" s="339">
        <v>0</v>
      </c>
      <c r="J84" s="339" t="s">
        <v>16</v>
      </c>
      <c r="K84" s="339"/>
      <c r="L84" s="339"/>
    </row>
    <row r="85" spans="1:12">
      <c r="A85" s="338">
        <v>10</v>
      </c>
      <c r="B85" s="474" t="s">
        <v>18</v>
      </c>
      <c r="C85" s="475" t="s">
        <v>346</v>
      </c>
      <c r="D85" s="336">
        <v>19623.900000000005</v>
      </c>
      <c r="E85" s="336"/>
      <c r="F85" s="336">
        <f>13014.8-530.5</f>
        <v>12484.3</v>
      </c>
      <c r="G85" s="475">
        <f>1880.8-530.5</f>
        <v>1350.3</v>
      </c>
      <c r="H85" s="468">
        <f t="shared" si="1"/>
        <v>8489.9000000000051</v>
      </c>
      <c r="I85" s="339">
        <v>19623.900000000001</v>
      </c>
      <c r="J85" s="339" t="s">
        <v>18</v>
      </c>
      <c r="K85" s="339"/>
      <c r="L85" s="339">
        <f>1880.8-530.5</f>
        <v>1350.3</v>
      </c>
    </row>
    <row r="86" spans="1:12">
      <c r="A86" s="338">
        <v>11</v>
      </c>
      <c r="B86" s="474" t="s">
        <v>19</v>
      </c>
      <c r="C86" s="475" t="s">
        <v>346</v>
      </c>
      <c r="D86" s="336">
        <v>35234.999999999985</v>
      </c>
      <c r="E86" s="336">
        <v>0</v>
      </c>
      <c r="F86" s="336">
        <v>300.5</v>
      </c>
      <c r="G86" s="475"/>
      <c r="H86" s="468">
        <f t="shared" si="1"/>
        <v>34934.499999999985</v>
      </c>
      <c r="I86" s="339">
        <v>35234.999999999985</v>
      </c>
      <c r="J86" s="339" t="s">
        <v>19</v>
      </c>
      <c r="K86" s="339"/>
      <c r="L86" s="339"/>
    </row>
    <row r="87" spans="1:12">
      <c r="A87" s="338">
        <v>12</v>
      </c>
      <c r="B87" s="474" t="s">
        <v>20</v>
      </c>
      <c r="C87" s="475" t="s">
        <v>346</v>
      </c>
      <c r="D87" s="336">
        <v>5800</v>
      </c>
      <c r="E87" s="336">
        <v>0</v>
      </c>
      <c r="F87" s="336">
        <v>0</v>
      </c>
      <c r="G87" s="475"/>
      <c r="H87" s="468">
        <f t="shared" si="1"/>
        <v>5800</v>
      </c>
      <c r="I87" s="339">
        <v>5800</v>
      </c>
      <c r="J87" s="339" t="s">
        <v>20</v>
      </c>
      <c r="K87" s="339"/>
      <c r="L87" s="339"/>
    </row>
    <row r="88" spans="1:12">
      <c r="A88" s="338">
        <v>13</v>
      </c>
      <c r="B88" s="474" t="s">
        <v>22</v>
      </c>
      <c r="C88" s="475" t="s">
        <v>346</v>
      </c>
      <c r="D88" s="336">
        <v>0</v>
      </c>
      <c r="E88" s="336">
        <v>351.76</v>
      </c>
      <c r="F88" s="336">
        <v>351.76</v>
      </c>
      <c r="G88" s="475"/>
      <c r="H88" s="468">
        <f t="shared" si="1"/>
        <v>0</v>
      </c>
      <c r="I88" s="339">
        <v>0</v>
      </c>
      <c r="J88" s="339" t="s">
        <v>22</v>
      </c>
      <c r="K88" s="339"/>
      <c r="L88" s="339"/>
    </row>
    <row r="89" spans="1:12">
      <c r="A89" s="338"/>
      <c r="B89" s="474"/>
      <c r="C89" s="475"/>
      <c r="D89" s="336"/>
      <c r="E89" s="336"/>
      <c r="F89" s="336"/>
      <c r="G89" s="475"/>
      <c r="H89" s="336"/>
      <c r="I89" s="339"/>
      <c r="J89" s="339"/>
      <c r="K89" s="339"/>
      <c r="L89" s="339"/>
    </row>
    <row r="90" spans="1:12">
      <c r="A90" s="338"/>
      <c r="B90" s="467" t="s">
        <v>347</v>
      </c>
      <c r="C90" s="475"/>
      <c r="D90" s="336"/>
      <c r="E90" s="336"/>
      <c r="F90" s="336"/>
      <c r="G90" s="475"/>
      <c r="H90" s="336"/>
      <c r="I90" s="339"/>
      <c r="J90" s="339"/>
      <c r="K90" s="339"/>
      <c r="L90" s="339"/>
    </row>
    <row r="91" spans="1:12">
      <c r="A91" s="338">
        <v>1</v>
      </c>
      <c r="B91" s="474" t="s">
        <v>23</v>
      </c>
      <c r="C91" s="475" t="s">
        <v>346</v>
      </c>
      <c r="D91" s="336">
        <v>4140</v>
      </c>
      <c r="E91" s="336">
        <v>0</v>
      </c>
      <c r="F91" s="336">
        <v>0</v>
      </c>
      <c r="G91" s="475">
        <v>-2980</v>
      </c>
      <c r="H91" s="468">
        <f t="shared" ref="H91:H128" si="2">D91+E91-F91+G91</f>
        <v>1160</v>
      </c>
      <c r="I91" s="339">
        <v>4140</v>
      </c>
      <c r="J91" s="339" t="s">
        <v>23</v>
      </c>
      <c r="K91" s="339"/>
      <c r="L91" s="339"/>
    </row>
    <row r="92" spans="1:12">
      <c r="A92" s="338">
        <v>2</v>
      </c>
      <c r="B92" s="474" t="s">
        <v>24</v>
      </c>
      <c r="C92" s="475" t="s">
        <v>346</v>
      </c>
      <c r="D92" s="336">
        <v>5040</v>
      </c>
      <c r="E92" s="336">
        <v>0</v>
      </c>
      <c r="F92" s="336">
        <v>0</v>
      </c>
      <c r="G92" s="475">
        <v>-4080</v>
      </c>
      <c r="H92" s="468">
        <f t="shared" si="2"/>
        <v>960</v>
      </c>
      <c r="I92" s="339">
        <v>5040</v>
      </c>
      <c r="J92" s="339" t="s">
        <v>24</v>
      </c>
      <c r="K92" s="339"/>
      <c r="L92" s="339"/>
    </row>
    <row r="93" spans="1:12">
      <c r="A93" s="338">
        <v>3</v>
      </c>
      <c r="B93" s="474" t="s">
        <v>25</v>
      </c>
      <c r="C93" s="475" t="s">
        <v>346</v>
      </c>
      <c r="D93" s="336">
        <v>1760</v>
      </c>
      <c r="E93" s="336">
        <v>0</v>
      </c>
      <c r="F93" s="336">
        <v>0</v>
      </c>
      <c r="G93" s="475"/>
      <c r="H93" s="468">
        <f t="shared" si="2"/>
        <v>1760</v>
      </c>
      <c r="I93" s="339">
        <v>1760</v>
      </c>
      <c r="J93" s="339" t="s">
        <v>25</v>
      </c>
      <c r="K93" s="339"/>
      <c r="L93" s="339"/>
    </row>
    <row r="94" spans="1:12">
      <c r="A94" s="338">
        <v>4</v>
      </c>
      <c r="B94" s="474" t="s">
        <v>26</v>
      </c>
      <c r="C94" s="475" t="s">
        <v>346</v>
      </c>
      <c r="D94" s="336">
        <v>600</v>
      </c>
      <c r="E94" s="336">
        <v>1000</v>
      </c>
      <c r="F94" s="336">
        <v>1200</v>
      </c>
      <c r="G94" s="475"/>
      <c r="H94" s="468">
        <f t="shared" si="2"/>
        <v>400</v>
      </c>
      <c r="I94" s="339">
        <v>600</v>
      </c>
      <c r="J94" s="339" t="s">
        <v>26</v>
      </c>
      <c r="K94" s="339"/>
      <c r="L94" s="339"/>
    </row>
    <row r="95" spans="1:12">
      <c r="A95" s="338">
        <v>5</v>
      </c>
      <c r="B95" s="474" t="s">
        <v>27</v>
      </c>
      <c r="C95" s="475" t="s">
        <v>346</v>
      </c>
      <c r="D95" s="336">
        <v>3600</v>
      </c>
      <c r="E95" s="336">
        <v>0</v>
      </c>
      <c r="F95" s="336">
        <v>0</v>
      </c>
      <c r="G95" s="475"/>
      <c r="H95" s="468">
        <f t="shared" si="2"/>
        <v>3600</v>
      </c>
      <c r="I95" s="339">
        <v>3600</v>
      </c>
      <c r="J95" s="339" t="s">
        <v>27</v>
      </c>
      <c r="K95" s="339"/>
      <c r="L95" s="339"/>
    </row>
    <row r="96" spans="1:12">
      <c r="A96" s="338">
        <v>6</v>
      </c>
      <c r="B96" s="474" t="s">
        <v>28</v>
      </c>
      <c r="C96" s="475" t="s">
        <v>346</v>
      </c>
      <c r="D96" s="336">
        <v>6800</v>
      </c>
      <c r="E96" s="336">
        <v>0</v>
      </c>
      <c r="F96" s="336">
        <v>120</v>
      </c>
      <c r="G96" s="475"/>
      <c r="H96" s="468">
        <f t="shared" si="2"/>
        <v>6680</v>
      </c>
      <c r="I96" s="339">
        <v>6800</v>
      </c>
      <c r="J96" s="339" t="s">
        <v>28</v>
      </c>
      <c r="K96" s="339"/>
      <c r="L96" s="339"/>
    </row>
    <row r="97" spans="1:10">
      <c r="A97" s="338">
        <v>7</v>
      </c>
      <c r="B97" s="474" t="s">
        <v>29</v>
      </c>
      <c r="C97" s="475" t="s">
        <v>346</v>
      </c>
      <c r="D97" s="336">
        <v>720</v>
      </c>
      <c r="E97" s="336">
        <v>0</v>
      </c>
      <c r="F97" s="336">
        <v>0</v>
      </c>
      <c r="G97" s="475"/>
      <c r="H97" s="468">
        <f t="shared" si="2"/>
        <v>720</v>
      </c>
      <c r="I97" s="339">
        <v>720</v>
      </c>
      <c r="J97" s="339" t="s">
        <v>29</v>
      </c>
    </row>
    <row r="98" spans="1:10">
      <c r="A98" s="338">
        <v>8</v>
      </c>
      <c r="B98" s="474" t="s">
        <v>30</v>
      </c>
      <c r="C98" s="475" t="s">
        <v>346</v>
      </c>
      <c r="D98" s="336">
        <v>8140</v>
      </c>
      <c r="E98" s="336">
        <v>0</v>
      </c>
      <c r="F98" s="336">
        <v>1620</v>
      </c>
      <c r="G98" s="475"/>
      <c r="H98" s="468">
        <f t="shared" si="2"/>
        <v>6520</v>
      </c>
      <c r="I98" s="339">
        <v>8140</v>
      </c>
      <c r="J98" s="339" t="s">
        <v>30</v>
      </c>
    </row>
    <row r="99" spans="1:10">
      <c r="A99" s="338">
        <v>9</v>
      </c>
      <c r="B99" s="474" t="s">
        <v>31</v>
      </c>
      <c r="C99" s="475" t="s">
        <v>346</v>
      </c>
      <c r="D99" s="336">
        <v>4960</v>
      </c>
      <c r="E99" s="336">
        <v>0</v>
      </c>
      <c r="F99" s="336">
        <v>0</v>
      </c>
      <c r="G99" s="475"/>
      <c r="H99" s="468">
        <f t="shared" si="2"/>
        <v>4960</v>
      </c>
      <c r="I99" s="339">
        <v>4960</v>
      </c>
      <c r="J99" s="339" t="s">
        <v>31</v>
      </c>
    </row>
    <row r="100" spans="1:10">
      <c r="A100" s="338">
        <v>10</v>
      </c>
      <c r="B100" s="474" t="s">
        <v>33</v>
      </c>
      <c r="C100" s="475" t="s">
        <v>346</v>
      </c>
      <c r="D100" s="336">
        <v>3340</v>
      </c>
      <c r="E100" s="336">
        <v>0</v>
      </c>
      <c r="F100" s="336">
        <v>3340</v>
      </c>
      <c r="G100" s="475"/>
      <c r="H100" s="468">
        <f t="shared" si="2"/>
        <v>0</v>
      </c>
      <c r="I100" s="339">
        <v>3340</v>
      </c>
      <c r="J100" s="339" t="s">
        <v>33</v>
      </c>
    </row>
    <row r="101" spans="1:10">
      <c r="A101" s="338">
        <v>11</v>
      </c>
      <c r="B101" s="474" t="s">
        <v>34</v>
      </c>
      <c r="C101" s="475" t="s">
        <v>346</v>
      </c>
      <c r="D101" s="336">
        <v>2540</v>
      </c>
      <c r="E101" s="336">
        <v>0</v>
      </c>
      <c r="F101" s="336">
        <v>0</v>
      </c>
      <c r="G101" s="475"/>
      <c r="H101" s="468">
        <f t="shared" si="2"/>
        <v>2540</v>
      </c>
      <c r="I101" s="339">
        <v>2540</v>
      </c>
      <c r="J101" s="339" t="s">
        <v>34</v>
      </c>
    </row>
    <row r="102" spans="1:10">
      <c r="A102" s="338">
        <v>12</v>
      </c>
      <c r="B102" s="474" t="s">
        <v>35</v>
      </c>
      <c r="C102" s="475" t="s">
        <v>346</v>
      </c>
      <c r="D102" s="336">
        <v>2359.5</v>
      </c>
      <c r="E102" s="336">
        <v>0</v>
      </c>
      <c r="F102" s="336">
        <v>0</v>
      </c>
      <c r="G102" s="475"/>
      <c r="H102" s="468">
        <f t="shared" si="2"/>
        <v>2359.5</v>
      </c>
      <c r="I102" s="339">
        <v>2359.5</v>
      </c>
      <c r="J102" s="339" t="s">
        <v>35</v>
      </c>
    </row>
    <row r="103" spans="1:10">
      <c r="A103" s="338">
        <v>13</v>
      </c>
      <c r="B103" s="474" t="s">
        <v>36</v>
      </c>
      <c r="C103" s="475" t="s">
        <v>346</v>
      </c>
      <c r="D103" s="336">
        <v>1890</v>
      </c>
      <c r="E103" s="336">
        <v>0</v>
      </c>
      <c r="F103" s="336">
        <v>0</v>
      </c>
      <c r="G103" s="475"/>
      <c r="H103" s="468">
        <f t="shared" si="2"/>
        <v>1890</v>
      </c>
      <c r="I103" s="339">
        <v>1890</v>
      </c>
      <c r="J103" s="339" t="s">
        <v>36</v>
      </c>
    </row>
    <row r="104" spans="1:10">
      <c r="A104" s="338">
        <v>14</v>
      </c>
      <c r="B104" s="474" t="s">
        <v>37</v>
      </c>
      <c r="C104" s="475" t="s">
        <v>346</v>
      </c>
      <c r="D104" s="336">
        <v>3690</v>
      </c>
      <c r="E104" s="336">
        <v>0</v>
      </c>
      <c r="F104" s="336">
        <v>0</v>
      </c>
      <c r="G104" s="475"/>
      <c r="H104" s="468">
        <f t="shared" si="2"/>
        <v>3690</v>
      </c>
      <c r="I104" s="339">
        <v>3690</v>
      </c>
      <c r="J104" s="339" t="s">
        <v>37</v>
      </c>
    </row>
    <row r="105" spans="1:10">
      <c r="A105" s="338">
        <v>15</v>
      </c>
      <c r="B105" s="474" t="s">
        <v>38</v>
      </c>
      <c r="C105" s="475" t="s">
        <v>346</v>
      </c>
      <c r="D105" s="336">
        <v>4000</v>
      </c>
      <c r="E105" s="336">
        <v>0</v>
      </c>
      <c r="F105" s="336">
        <v>0</v>
      </c>
      <c r="G105" s="475"/>
      <c r="H105" s="468">
        <f t="shared" si="2"/>
        <v>4000</v>
      </c>
      <c r="I105" s="339">
        <v>4000</v>
      </c>
      <c r="J105" s="339" t="s">
        <v>38</v>
      </c>
    </row>
    <row r="106" spans="1:10">
      <c r="A106" s="338">
        <v>16</v>
      </c>
      <c r="B106" s="474" t="s">
        <v>39</v>
      </c>
      <c r="C106" s="475" t="s">
        <v>346</v>
      </c>
      <c r="D106" s="336">
        <v>3724</v>
      </c>
      <c r="E106" s="336">
        <v>0</v>
      </c>
      <c r="F106" s="336">
        <v>273</v>
      </c>
      <c r="G106" s="475">
        <v>144</v>
      </c>
      <c r="H106" s="468">
        <f t="shared" si="2"/>
        <v>3595</v>
      </c>
      <c r="I106" s="339">
        <v>3724</v>
      </c>
      <c r="J106" s="339" t="s">
        <v>39</v>
      </c>
    </row>
    <row r="107" spans="1:10">
      <c r="A107" s="338">
        <v>17</v>
      </c>
      <c r="B107" s="474" t="s">
        <v>40</v>
      </c>
      <c r="C107" s="475" t="s">
        <v>346</v>
      </c>
      <c r="D107" s="336">
        <v>0</v>
      </c>
      <c r="E107" s="336">
        <v>6990</v>
      </c>
      <c r="F107" s="336">
        <v>6990</v>
      </c>
      <c r="G107" s="475"/>
      <c r="H107" s="468">
        <f t="shared" si="2"/>
        <v>0</v>
      </c>
      <c r="I107" s="339">
        <v>0</v>
      </c>
      <c r="J107" s="339" t="s">
        <v>40</v>
      </c>
    </row>
    <row r="108" spans="1:10">
      <c r="A108" s="338">
        <v>18</v>
      </c>
      <c r="B108" s="474" t="s">
        <v>41</v>
      </c>
      <c r="C108" s="475" t="s">
        <v>346</v>
      </c>
      <c r="D108" s="336">
        <v>1127</v>
      </c>
      <c r="E108" s="336">
        <v>0</v>
      </c>
      <c r="F108" s="336">
        <v>0</v>
      </c>
      <c r="G108" s="475"/>
      <c r="H108" s="468">
        <f t="shared" si="2"/>
        <v>1127</v>
      </c>
      <c r="I108" s="339">
        <v>1127</v>
      </c>
      <c r="J108" s="339" t="s">
        <v>41</v>
      </c>
    </row>
    <row r="109" spans="1:10">
      <c r="A109" s="338">
        <v>19</v>
      </c>
      <c r="B109" s="474" t="s">
        <v>42</v>
      </c>
      <c r="C109" s="475" t="s">
        <v>346</v>
      </c>
      <c r="D109" s="336">
        <v>3112</v>
      </c>
      <c r="E109" s="336">
        <v>0</v>
      </c>
      <c r="F109" s="336">
        <v>0</v>
      </c>
      <c r="G109" s="475"/>
      <c r="H109" s="468">
        <f t="shared" si="2"/>
        <v>3112</v>
      </c>
      <c r="I109" s="339">
        <v>3112</v>
      </c>
      <c r="J109" s="339" t="s">
        <v>42</v>
      </c>
    </row>
    <row r="110" spans="1:10">
      <c r="A110" s="338">
        <v>20</v>
      </c>
      <c r="B110" s="474" t="s">
        <v>43</v>
      </c>
      <c r="C110" s="475" t="s">
        <v>346</v>
      </c>
      <c r="D110" s="336">
        <v>1680.5</v>
      </c>
      <c r="E110" s="336">
        <v>0</v>
      </c>
      <c r="F110" s="336">
        <v>0</v>
      </c>
      <c r="G110" s="475"/>
      <c r="H110" s="468">
        <f t="shared" si="2"/>
        <v>1680.5</v>
      </c>
      <c r="I110" s="339">
        <v>1680.5</v>
      </c>
      <c r="J110" s="339" t="s">
        <v>43</v>
      </c>
    </row>
    <row r="111" spans="1:10">
      <c r="A111" s="338">
        <v>21</v>
      </c>
      <c r="B111" s="474" t="s">
        <v>44</v>
      </c>
      <c r="C111" s="475" t="s">
        <v>346</v>
      </c>
      <c r="D111" s="336">
        <v>0</v>
      </c>
      <c r="E111" s="336">
        <v>1209.4000000000001</v>
      </c>
      <c r="F111" s="336">
        <v>1209.4000000000001</v>
      </c>
      <c r="G111" s="475"/>
      <c r="H111" s="468">
        <f t="shared" si="2"/>
        <v>0</v>
      </c>
      <c r="I111" s="339">
        <v>0</v>
      </c>
      <c r="J111" s="339" t="s">
        <v>44</v>
      </c>
    </row>
    <row r="112" spans="1:10">
      <c r="A112" s="338">
        <v>22</v>
      </c>
      <c r="B112" s="474" t="s">
        <v>45</v>
      </c>
      <c r="C112" s="475" t="s">
        <v>346</v>
      </c>
      <c r="D112" s="336">
        <v>1482</v>
      </c>
      <c r="E112" s="336">
        <v>0</v>
      </c>
      <c r="F112" s="336">
        <v>0</v>
      </c>
      <c r="G112" s="475"/>
      <c r="H112" s="468">
        <f t="shared" si="2"/>
        <v>1482</v>
      </c>
      <c r="I112" s="339">
        <v>1482</v>
      </c>
      <c r="J112" s="339" t="s">
        <v>45</v>
      </c>
    </row>
    <row r="113" spans="1:10">
      <c r="A113" s="338">
        <v>23</v>
      </c>
      <c r="B113" s="474" t="s">
        <v>47</v>
      </c>
      <c r="C113" s="475" t="s">
        <v>346</v>
      </c>
      <c r="D113" s="336">
        <v>100</v>
      </c>
      <c r="E113" s="336">
        <v>0</v>
      </c>
      <c r="F113" s="336">
        <v>0</v>
      </c>
      <c r="G113" s="475"/>
      <c r="H113" s="468">
        <f t="shared" si="2"/>
        <v>100</v>
      </c>
      <c r="I113" s="339">
        <v>100</v>
      </c>
      <c r="J113" s="339" t="s">
        <v>47</v>
      </c>
    </row>
    <row r="114" spans="1:10">
      <c r="A114" s="338">
        <v>24</v>
      </c>
      <c r="B114" s="474" t="s">
        <v>48</v>
      </c>
      <c r="C114" s="475" t="s">
        <v>346</v>
      </c>
      <c r="D114" s="336">
        <v>13.960000000000036</v>
      </c>
      <c r="E114" s="336">
        <v>0</v>
      </c>
      <c r="F114" s="336">
        <v>0</v>
      </c>
      <c r="G114" s="475"/>
      <c r="H114" s="468">
        <f t="shared" si="2"/>
        <v>13.960000000000036</v>
      </c>
      <c r="I114" s="339">
        <v>13.960000000000036</v>
      </c>
      <c r="J114" s="339" t="s">
        <v>48</v>
      </c>
    </row>
    <row r="115" spans="1:10">
      <c r="A115" s="338">
        <v>25</v>
      </c>
      <c r="B115" s="474" t="s">
        <v>103</v>
      </c>
      <c r="C115" s="475" t="s">
        <v>346</v>
      </c>
      <c r="D115" s="336">
        <v>108</v>
      </c>
      <c r="E115" s="336">
        <v>1628</v>
      </c>
      <c r="F115" s="336">
        <v>0</v>
      </c>
      <c r="G115" s="475"/>
      <c r="H115" s="468">
        <f t="shared" si="2"/>
        <v>1736</v>
      </c>
      <c r="I115" s="339">
        <v>108</v>
      </c>
      <c r="J115" s="339" t="s">
        <v>49</v>
      </c>
    </row>
    <row r="116" spans="1:10">
      <c r="A116" s="338">
        <v>26</v>
      </c>
      <c r="B116" s="474" t="s">
        <v>104</v>
      </c>
      <c r="C116" s="475" t="s">
        <v>346</v>
      </c>
      <c r="D116" s="336">
        <v>245</v>
      </c>
      <c r="E116" s="336">
        <v>625</v>
      </c>
      <c r="F116" s="336">
        <v>620</v>
      </c>
      <c r="G116" s="475"/>
      <c r="H116" s="468">
        <f t="shared" si="2"/>
        <v>250</v>
      </c>
      <c r="I116" s="339">
        <v>245</v>
      </c>
      <c r="J116" s="339" t="s">
        <v>50</v>
      </c>
    </row>
    <row r="117" spans="1:10">
      <c r="A117" s="338">
        <v>27</v>
      </c>
      <c r="B117" s="474" t="s">
        <v>51</v>
      </c>
      <c r="C117" s="475" t="s">
        <v>346</v>
      </c>
      <c r="D117" s="336">
        <v>207.6</v>
      </c>
      <c r="E117" s="336">
        <v>0</v>
      </c>
      <c r="F117" s="336">
        <v>0</v>
      </c>
      <c r="G117" s="475"/>
      <c r="H117" s="468">
        <f t="shared" si="2"/>
        <v>207.6</v>
      </c>
      <c r="I117" s="339">
        <v>207.6</v>
      </c>
      <c r="J117" s="339" t="s">
        <v>51</v>
      </c>
    </row>
    <row r="118" spans="1:10">
      <c r="A118" s="338">
        <v>28</v>
      </c>
      <c r="B118" s="474" t="s">
        <v>52</v>
      </c>
      <c r="C118" s="475" t="s">
        <v>346</v>
      </c>
      <c r="D118" s="336">
        <v>147.04000000000002</v>
      </c>
      <c r="E118" s="336">
        <v>0</v>
      </c>
      <c r="F118" s="336">
        <v>0</v>
      </c>
      <c r="G118" s="475"/>
      <c r="H118" s="468">
        <f t="shared" si="2"/>
        <v>147.04000000000002</v>
      </c>
      <c r="I118" s="339">
        <v>147.04000000000002</v>
      </c>
      <c r="J118" s="339" t="s">
        <v>52</v>
      </c>
    </row>
    <row r="119" spans="1:10">
      <c r="A119" s="338">
        <v>29</v>
      </c>
      <c r="B119" s="474" t="s">
        <v>53</v>
      </c>
      <c r="C119" s="475" t="s">
        <v>346</v>
      </c>
      <c r="D119" s="336">
        <v>46.8</v>
      </c>
      <c r="E119" s="336">
        <v>0</v>
      </c>
      <c r="F119" s="336">
        <v>0</v>
      </c>
      <c r="G119" s="475"/>
      <c r="H119" s="468">
        <f t="shared" si="2"/>
        <v>46.8</v>
      </c>
      <c r="I119" s="339">
        <v>46.8</v>
      </c>
      <c r="J119" s="339" t="s">
        <v>53</v>
      </c>
    </row>
    <row r="120" spans="1:10">
      <c r="A120" s="338">
        <v>30</v>
      </c>
      <c r="B120" s="474" t="s">
        <v>55</v>
      </c>
      <c r="C120" s="475" t="s">
        <v>346</v>
      </c>
      <c r="D120" s="336">
        <v>24.200000000000003</v>
      </c>
      <c r="E120" s="336">
        <v>0</v>
      </c>
      <c r="F120" s="336">
        <v>0</v>
      </c>
      <c r="G120" s="475"/>
      <c r="H120" s="468">
        <f t="shared" si="2"/>
        <v>24.200000000000003</v>
      </c>
      <c r="I120" s="339">
        <v>24.200000000000003</v>
      </c>
      <c r="J120" s="339" t="s">
        <v>55</v>
      </c>
    </row>
    <row r="121" spans="1:10">
      <c r="A121" s="338">
        <v>31</v>
      </c>
      <c r="B121" s="474" t="s">
        <v>56</v>
      </c>
      <c r="C121" s="475" t="s">
        <v>346</v>
      </c>
      <c r="D121" s="336">
        <v>32</v>
      </c>
      <c r="E121" s="336">
        <v>0</v>
      </c>
      <c r="F121" s="336">
        <v>0</v>
      </c>
      <c r="G121" s="475"/>
      <c r="H121" s="468">
        <f t="shared" si="2"/>
        <v>32</v>
      </c>
      <c r="I121" s="339">
        <v>32</v>
      </c>
      <c r="J121" s="339" t="s">
        <v>56</v>
      </c>
    </row>
    <row r="122" spans="1:10">
      <c r="A122" s="338">
        <v>32</v>
      </c>
      <c r="B122" s="474" t="s">
        <v>58</v>
      </c>
      <c r="C122" s="475" t="s">
        <v>346</v>
      </c>
      <c r="D122" s="336">
        <v>0</v>
      </c>
      <c r="E122" s="336">
        <v>0</v>
      </c>
      <c r="F122" s="336">
        <v>0</v>
      </c>
      <c r="G122" s="475"/>
      <c r="H122" s="468">
        <f t="shared" si="2"/>
        <v>0</v>
      </c>
      <c r="I122" s="339">
        <v>0</v>
      </c>
      <c r="J122" s="339" t="s">
        <v>58</v>
      </c>
    </row>
    <row r="123" spans="1:10">
      <c r="A123" s="338">
        <v>33</v>
      </c>
      <c r="B123" s="474" t="s">
        <v>59</v>
      </c>
      <c r="C123" s="475" t="s">
        <v>346</v>
      </c>
      <c r="D123" s="336">
        <v>0</v>
      </c>
      <c r="E123" s="336">
        <v>82.4</v>
      </c>
      <c r="F123" s="336">
        <v>0</v>
      </c>
      <c r="G123" s="475">
        <v>-60</v>
      </c>
      <c r="H123" s="468">
        <f t="shared" si="2"/>
        <v>22.400000000000006</v>
      </c>
      <c r="I123" s="339">
        <v>0</v>
      </c>
      <c r="J123" s="339" t="s">
        <v>59</v>
      </c>
    </row>
    <row r="124" spans="1:10">
      <c r="A124" s="338">
        <v>34</v>
      </c>
      <c r="B124" s="474" t="s">
        <v>60</v>
      </c>
      <c r="C124" s="475" t="s">
        <v>346</v>
      </c>
      <c r="D124" s="336">
        <v>135.6</v>
      </c>
      <c r="E124" s="336">
        <v>33.6</v>
      </c>
      <c r="F124" s="336">
        <v>0</v>
      </c>
      <c r="G124" s="475">
        <v>-122.4</v>
      </c>
      <c r="H124" s="468">
        <f t="shared" si="2"/>
        <v>46.799999999999983</v>
      </c>
      <c r="I124" s="339">
        <v>135.6</v>
      </c>
      <c r="J124" s="339" t="s">
        <v>60</v>
      </c>
    </row>
    <row r="125" spans="1:10">
      <c r="A125" s="338">
        <v>35</v>
      </c>
      <c r="B125" s="474" t="s">
        <v>61</v>
      </c>
      <c r="C125" s="475" t="s">
        <v>346</v>
      </c>
      <c r="D125" s="336">
        <v>128</v>
      </c>
      <c r="E125" s="336">
        <v>76</v>
      </c>
      <c r="F125" s="336">
        <v>0</v>
      </c>
      <c r="G125" s="475"/>
      <c r="H125" s="468">
        <f t="shared" si="2"/>
        <v>204</v>
      </c>
      <c r="I125" s="339">
        <v>128</v>
      </c>
      <c r="J125" s="339" t="s">
        <v>61</v>
      </c>
    </row>
    <row r="126" spans="1:10">
      <c r="A126" s="338">
        <v>36</v>
      </c>
      <c r="B126" s="474" t="s">
        <v>62</v>
      </c>
      <c r="C126" s="475" t="s">
        <v>346</v>
      </c>
      <c r="D126" s="336">
        <v>11.25</v>
      </c>
      <c r="E126" s="336">
        <v>240</v>
      </c>
      <c r="F126" s="336">
        <v>0</v>
      </c>
      <c r="G126" s="475"/>
      <c r="H126" s="468">
        <f t="shared" si="2"/>
        <v>251.25</v>
      </c>
      <c r="I126" s="339">
        <v>11.25</v>
      </c>
      <c r="J126" s="339" t="s">
        <v>62</v>
      </c>
    </row>
    <row r="127" spans="1:10">
      <c r="A127" s="338">
        <v>37</v>
      </c>
      <c r="B127" s="474" t="s">
        <v>63</v>
      </c>
      <c r="C127" s="475" t="s">
        <v>346</v>
      </c>
      <c r="D127" s="336">
        <v>41.599999999999909</v>
      </c>
      <c r="E127" s="336">
        <v>0</v>
      </c>
      <c r="F127" s="336">
        <v>0</v>
      </c>
      <c r="G127" s="475"/>
      <c r="H127" s="468">
        <f t="shared" si="2"/>
        <v>41.599999999999909</v>
      </c>
      <c r="I127" s="339">
        <v>41.599999999999909</v>
      </c>
      <c r="J127" s="339" t="s">
        <v>63</v>
      </c>
    </row>
    <row r="128" spans="1:10">
      <c r="A128" s="338">
        <v>38</v>
      </c>
      <c r="B128" s="474" t="s">
        <v>64</v>
      </c>
      <c r="C128" s="475" t="s">
        <v>346</v>
      </c>
      <c r="D128" s="336">
        <v>0</v>
      </c>
      <c r="E128" s="336">
        <v>250</v>
      </c>
      <c r="F128" s="336">
        <v>40</v>
      </c>
      <c r="G128" s="475"/>
      <c r="H128" s="468">
        <f t="shared" si="2"/>
        <v>210</v>
      </c>
      <c r="I128" s="339">
        <v>0</v>
      </c>
      <c r="J128" s="339" t="s">
        <v>64</v>
      </c>
    </row>
    <row r="129" spans="1:8">
      <c r="A129" s="338"/>
      <c r="B129" s="474"/>
      <c r="C129" s="475"/>
      <c r="D129" s="336"/>
      <c r="E129" s="336"/>
      <c r="F129" s="336"/>
      <c r="G129" s="475"/>
      <c r="H129" s="336"/>
    </row>
    <row r="130" spans="1:8">
      <c r="A130" s="338"/>
      <c r="B130" s="467" t="s">
        <v>348</v>
      </c>
      <c r="C130" s="475"/>
      <c r="D130" s="336"/>
      <c r="E130" s="336"/>
      <c r="F130" s="336"/>
      <c r="G130" s="475"/>
      <c r="H130" s="336"/>
    </row>
    <row r="131" spans="1:8">
      <c r="A131" s="338">
        <v>1</v>
      </c>
      <c r="B131" s="474" t="s">
        <v>65</v>
      </c>
      <c r="C131" s="475" t="s">
        <v>349</v>
      </c>
      <c r="D131" s="336">
        <v>1199</v>
      </c>
      <c r="E131" s="336"/>
      <c r="F131" s="336"/>
      <c r="G131" s="475">
        <v>-142</v>
      </c>
      <c r="H131" s="468">
        <f t="shared" ref="H131:H136" si="3">D131+E131-F131+G131</f>
        <v>1057</v>
      </c>
    </row>
    <row r="132" spans="1:8">
      <c r="A132" s="338">
        <v>2</v>
      </c>
      <c r="B132" s="474" t="s">
        <v>66</v>
      </c>
      <c r="C132" s="475" t="s">
        <v>349</v>
      </c>
      <c r="D132" s="336">
        <v>0</v>
      </c>
      <c r="E132" s="336"/>
      <c r="F132" s="336"/>
      <c r="G132" s="475"/>
      <c r="H132" s="468">
        <f t="shared" si="3"/>
        <v>0</v>
      </c>
    </row>
    <row r="133" spans="1:8">
      <c r="A133" s="338">
        <v>3</v>
      </c>
      <c r="B133" s="474" t="s">
        <v>67</v>
      </c>
      <c r="C133" s="475" t="s">
        <v>349</v>
      </c>
      <c r="D133" s="336">
        <v>6813</v>
      </c>
      <c r="E133" s="336"/>
      <c r="F133" s="336"/>
      <c r="G133" s="475">
        <v>694</v>
      </c>
      <c r="H133" s="468">
        <f t="shared" si="3"/>
        <v>7507</v>
      </c>
    </row>
    <row r="134" spans="1:8">
      <c r="A134" s="338">
        <v>4</v>
      </c>
      <c r="B134" s="474" t="s">
        <v>68</v>
      </c>
      <c r="C134" s="475" t="s">
        <v>349</v>
      </c>
      <c r="D134" s="336">
        <v>7824</v>
      </c>
      <c r="E134" s="336"/>
      <c r="F134" s="336">
        <v>3989</v>
      </c>
      <c r="G134" s="475">
        <v>417</v>
      </c>
      <c r="H134" s="468">
        <f t="shared" si="3"/>
        <v>4252</v>
      </c>
    </row>
    <row r="135" spans="1:8">
      <c r="A135" s="338">
        <v>5</v>
      </c>
      <c r="B135" s="474" t="s">
        <v>69</v>
      </c>
      <c r="C135" s="475" t="s">
        <v>349</v>
      </c>
      <c r="D135" s="336">
        <v>1621</v>
      </c>
      <c r="E135" s="336"/>
      <c r="F135" s="336"/>
      <c r="G135" s="475">
        <v>558</v>
      </c>
      <c r="H135" s="468">
        <f t="shared" si="3"/>
        <v>2179</v>
      </c>
    </row>
    <row r="136" spans="1:8">
      <c r="A136" s="338">
        <v>6</v>
      </c>
      <c r="B136" s="474" t="s">
        <v>70</v>
      </c>
      <c r="C136" s="475" t="s">
        <v>349</v>
      </c>
      <c r="D136" s="336">
        <v>6193</v>
      </c>
      <c r="E136" s="336"/>
      <c r="F136" s="336">
        <v>2295</v>
      </c>
      <c r="G136" s="475">
        <v>121</v>
      </c>
      <c r="H136" s="468">
        <f t="shared" si="3"/>
        <v>4019</v>
      </c>
    </row>
    <row r="137" spans="1:8">
      <c r="A137" s="338"/>
      <c r="B137" s="474"/>
      <c r="C137" s="475"/>
      <c r="D137" s="336"/>
      <c r="E137" s="336"/>
      <c r="F137" s="336"/>
      <c r="G137" s="475"/>
      <c r="H137" s="336"/>
    </row>
    <row r="138" spans="1:8" ht="13.9" thickBot="1">
      <c r="A138" s="338"/>
      <c r="B138" s="467" t="s">
        <v>72</v>
      </c>
      <c r="C138" s="298"/>
      <c r="D138" s="469">
        <f t="shared" ref="D138:G138" si="4">SUM(D76:D137)</f>
        <v>615249.08000000019</v>
      </c>
      <c r="E138" s="469">
        <f t="shared" si="4"/>
        <v>802942.43</v>
      </c>
      <c r="F138" s="469">
        <f t="shared" si="4"/>
        <v>978283.18</v>
      </c>
      <c r="G138" s="469">
        <f t="shared" si="4"/>
        <v>-41605.9</v>
      </c>
      <c r="H138" s="469">
        <f>SUM(H76:H137)</f>
        <v>398302.43000000023</v>
      </c>
    </row>
    <row r="139" spans="1:8" ht="13.9" thickTop="1">
      <c r="A139" s="496"/>
      <c r="B139" s="329"/>
      <c r="C139" s="473"/>
      <c r="D139" s="339"/>
      <c r="E139" s="339"/>
      <c r="F139" s="339"/>
      <c r="G139" s="473"/>
    </row>
    <row r="145" spans="2:7">
      <c r="B145" s="329" t="s">
        <v>358</v>
      </c>
      <c r="C145" s="473"/>
      <c r="D145" s="339"/>
      <c r="E145" s="339"/>
      <c r="F145" s="339"/>
      <c r="G145" s="339" t="s">
        <v>359</v>
      </c>
    </row>
    <row r="146" spans="2:7">
      <c r="B146" s="329"/>
      <c r="C146" s="473"/>
      <c r="D146" s="339"/>
      <c r="E146" s="339"/>
      <c r="F146" s="339"/>
      <c r="G146" s="339"/>
    </row>
    <row r="147" spans="2:7">
      <c r="B147" s="329"/>
      <c r="C147" s="473"/>
      <c r="D147" s="339"/>
      <c r="E147" s="339"/>
      <c r="F147" s="339"/>
      <c r="G147" s="339"/>
    </row>
    <row r="148" spans="2:7">
      <c r="B148" s="472" t="s">
        <v>392</v>
      </c>
      <c r="C148" s="473"/>
      <c r="D148" s="339"/>
      <c r="E148" s="339"/>
      <c r="F148" s="339"/>
      <c r="G148" s="339"/>
    </row>
    <row r="150" spans="2:7">
      <c r="B150" s="472" t="s">
        <v>353</v>
      </c>
      <c r="C150" s="473"/>
      <c r="D150" s="339"/>
      <c r="E150" s="339"/>
      <c r="F150" s="339"/>
      <c r="G150" s="473"/>
    </row>
    <row r="151" spans="2:7">
      <c r="B151" s="474" t="s">
        <v>18</v>
      </c>
      <c r="C151" s="475" t="s">
        <v>346</v>
      </c>
      <c r="D151" s="475">
        <f>1880.8-530.5</f>
        <v>1350.3</v>
      </c>
      <c r="E151" s="339"/>
      <c r="F151" s="339"/>
      <c r="G151" s="473"/>
    </row>
    <row r="152" spans="2:7">
      <c r="B152" s="474" t="s">
        <v>39</v>
      </c>
      <c r="C152" s="475" t="s">
        <v>346</v>
      </c>
      <c r="D152" s="336">
        <v>144</v>
      </c>
      <c r="E152" s="339"/>
      <c r="F152" s="339"/>
      <c r="G152" s="473"/>
    </row>
    <row r="153" spans="2:7">
      <c r="B153" s="474" t="s">
        <v>67</v>
      </c>
      <c r="C153" s="475" t="s">
        <v>349</v>
      </c>
      <c r="D153" s="475">
        <v>694</v>
      </c>
      <c r="E153" s="339"/>
      <c r="F153" s="339"/>
      <c r="G153" s="473"/>
    </row>
    <row r="154" spans="2:7">
      <c r="B154" s="474" t="s">
        <v>68</v>
      </c>
      <c r="C154" s="475" t="s">
        <v>349</v>
      </c>
      <c r="D154" s="475">
        <v>417</v>
      </c>
      <c r="E154" s="339"/>
      <c r="F154" s="339"/>
      <c r="G154" s="473"/>
    </row>
    <row r="155" spans="2:7">
      <c r="B155" s="474" t="s">
        <v>69</v>
      </c>
      <c r="C155" s="475" t="s">
        <v>349</v>
      </c>
      <c r="D155" s="475">
        <v>558</v>
      </c>
      <c r="E155" s="339"/>
      <c r="F155" s="339"/>
      <c r="G155" s="473"/>
    </row>
    <row r="156" spans="2:7">
      <c r="B156" s="474" t="s">
        <v>70</v>
      </c>
      <c r="C156" s="475" t="s">
        <v>349</v>
      </c>
      <c r="D156" s="475">
        <v>121</v>
      </c>
      <c r="E156" s="339"/>
      <c r="F156" s="339"/>
      <c r="G156" s="473"/>
    </row>
    <row r="157" spans="2:7">
      <c r="B157" s="329" t="s">
        <v>354</v>
      </c>
      <c r="C157" s="473"/>
      <c r="D157" s="339"/>
      <c r="E157" s="339"/>
      <c r="F157" s="339"/>
      <c r="G157" s="473"/>
    </row>
    <row r="159" spans="2:7">
      <c r="B159" s="472" t="s">
        <v>357</v>
      </c>
      <c r="C159" s="473"/>
      <c r="D159" s="339"/>
      <c r="E159" s="339"/>
      <c r="F159" s="339"/>
      <c r="G159" s="473"/>
    </row>
    <row r="160" spans="2:7">
      <c r="B160" s="474" t="s">
        <v>7</v>
      </c>
      <c r="C160" s="475" t="s">
        <v>346</v>
      </c>
      <c r="D160" s="475">
        <v>-37505.800000000003</v>
      </c>
      <c r="E160" s="339"/>
      <c r="F160" s="339"/>
      <c r="G160" s="473"/>
    </row>
    <row r="161" spans="2:4">
      <c r="B161" s="474" t="s">
        <v>65</v>
      </c>
      <c r="C161" s="475" t="s">
        <v>349</v>
      </c>
      <c r="D161" s="475">
        <v>-142</v>
      </c>
    </row>
    <row r="162" spans="2:4">
      <c r="B162" s="329" t="s">
        <v>354</v>
      </c>
      <c r="C162" s="473"/>
      <c r="D162" s="339"/>
    </row>
    <row r="164" spans="2:4">
      <c r="B164" s="474" t="s">
        <v>23</v>
      </c>
      <c r="C164" s="475" t="s">
        <v>346</v>
      </c>
      <c r="D164" s="336">
        <f>SUM(D165:D168)</f>
        <v>-2980</v>
      </c>
    </row>
    <row r="165" spans="2:4">
      <c r="B165" s="329" t="s">
        <v>380</v>
      </c>
      <c r="C165" s="473"/>
      <c r="D165" s="339"/>
    </row>
    <row r="166" spans="2:4">
      <c r="B166" s="329" t="s">
        <v>393</v>
      </c>
      <c r="C166" s="473"/>
      <c r="D166" s="339">
        <v>-960</v>
      </c>
    </row>
    <row r="167" spans="2:4">
      <c r="B167" s="329" t="s">
        <v>384</v>
      </c>
      <c r="C167" s="473"/>
      <c r="D167" s="329"/>
    </row>
    <row r="168" spans="2:4">
      <c r="B168" s="329" t="s">
        <v>394</v>
      </c>
      <c r="C168" s="473"/>
      <c r="D168" s="339">
        <v>-2020</v>
      </c>
    </row>
    <row r="169" spans="2:4">
      <c r="B169" s="329"/>
      <c r="C169" s="473"/>
      <c r="D169" s="339"/>
    </row>
    <row r="170" spans="2:4">
      <c r="B170" s="474" t="s">
        <v>24</v>
      </c>
      <c r="C170" s="475" t="s">
        <v>346</v>
      </c>
      <c r="D170" s="336">
        <f>SUM(D171:D174)</f>
        <v>-4080</v>
      </c>
    </row>
    <row r="171" spans="2:4">
      <c r="B171" s="329" t="s">
        <v>380</v>
      </c>
      <c r="C171" s="473"/>
      <c r="D171" s="339"/>
    </row>
    <row r="172" spans="2:4">
      <c r="B172" s="329" t="s">
        <v>393</v>
      </c>
      <c r="C172" s="473"/>
      <c r="D172" s="339">
        <v>-3000</v>
      </c>
    </row>
    <row r="173" spans="2:4">
      <c r="B173" s="329" t="s">
        <v>384</v>
      </c>
      <c r="C173" s="473"/>
      <c r="D173" s="339"/>
    </row>
    <row r="174" spans="2:4">
      <c r="B174" s="329" t="s">
        <v>394</v>
      </c>
      <c r="C174" s="473"/>
      <c r="D174" s="339">
        <v>-1080</v>
      </c>
    </row>
    <row r="175" spans="2:4">
      <c r="B175" s="329"/>
      <c r="C175" s="473"/>
      <c r="D175" s="339"/>
    </row>
    <row r="176" spans="2:4">
      <c r="B176" s="474" t="s">
        <v>395</v>
      </c>
      <c r="C176" s="475" t="s">
        <v>346</v>
      </c>
      <c r="D176" s="336">
        <f>SUM(D177:D180)</f>
        <v>-60</v>
      </c>
    </row>
    <row r="177" spans="2:4">
      <c r="B177" s="329" t="s">
        <v>380</v>
      </c>
      <c r="C177" s="473"/>
      <c r="D177" s="339"/>
    </row>
    <row r="178" spans="2:4">
      <c r="B178" s="329" t="s">
        <v>393</v>
      </c>
      <c r="C178" s="473"/>
      <c r="D178" s="339">
        <v>-19.2</v>
      </c>
    </row>
    <row r="179" spans="2:4">
      <c r="B179" s="329" t="s">
        <v>384</v>
      </c>
      <c r="C179" s="473"/>
      <c r="D179" s="339"/>
    </row>
    <row r="180" spans="2:4">
      <c r="B180" s="329" t="s">
        <v>394</v>
      </c>
      <c r="C180" s="473"/>
      <c r="D180" s="339">
        <v>-40.799999999999997</v>
      </c>
    </row>
    <row r="181" spans="2:4">
      <c r="B181" s="329"/>
      <c r="C181" s="473"/>
      <c r="D181" s="339"/>
    </row>
    <row r="182" spans="2:4">
      <c r="B182" s="474" t="s">
        <v>389</v>
      </c>
      <c r="C182" s="475" t="s">
        <v>346</v>
      </c>
      <c r="D182" s="336">
        <f>SUM(D183:D186)</f>
        <v>-122.4</v>
      </c>
    </row>
    <row r="183" spans="2:4">
      <c r="B183" s="329" t="s">
        <v>380</v>
      </c>
      <c r="C183" s="473"/>
      <c r="D183" s="339"/>
    </row>
    <row r="184" spans="2:4">
      <c r="B184" s="329" t="s">
        <v>393</v>
      </c>
      <c r="C184" s="473"/>
      <c r="D184" s="339">
        <v>-90</v>
      </c>
    </row>
    <row r="185" spans="2:4">
      <c r="B185" s="329" t="s">
        <v>384</v>
      </c>
      <c r="C185" s="473"/>
      <c r="D185" s="339"/>
    </row>
    <row r="186" spans="2:4">
      <c r="B186" s="329" t="s">
        <v>394</v>
      </c>
      <c r="C186" s="473"/>
      <c r="D186" s="339">
        <v>-32.4</v>
      </c>
    </row>
    <row r="214" spans="2:7">
      <c r="B214" s="329" t="s">
        <v>358</v>
      </c>
      <c r="C214" s="473"/>
      <c r="D214" s="339"/>
      <c r="E214" s="339"/>
      <c r="F214" s="339"/>
      <c r="G214" s="339" t="s">
        <v>359</v>
      </c>
    </row>
  </sheetData>
  <autoFilter ref="A2:AC72" xr:uid="{00000000-0009-0000-0000-000009000000}"/>
  <mergeCells count="2">
    <mergeCell ref="J1:K1"/>
    <mergeCell ref="Q1:U1"/>
  </mergeCells>
  <printOptions horizontalCentered="1" verticalCentered="1"/>
  <pageMargins left="0.70866141732283472" right="7.874015748031496E-2" top="7.874015748031496E-2" bottom="7.874015748031496E-2" header="0" footer="0"/>
  <pageSetup paperSize="9" scale="28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C81"/>
  <sheetViews>
    <sheetView topLeftCell="A29" workbookViewId="0">
      <selection activeCell="D4" sqref="D4"/>
    </sheetView>
  </sheetViews>
  <sheetFormatPr defaultColWidth="9.28515625" defaultRowHeight="13.15"/>
  <cols>
    <col min="1" max="1" width="6" style="305" bestFit="1" customWidth="1"/>
    <col min="2" max="2" width="34.42578125" style="306" bestFit="1" customWidth="1"/>
    <col min="3" max="3" width="5" style="331" customWidth="1"/>
    <col min="4" max="4" width="12.28515625" style="307" bestFit="1" customWidth="1"/>
    <col min="5" max="5" width="13.42578125" style="307" bestFit="1" customWidth="1"/>
    <col min="6" max="6" width="11.42578125" style="307" bestFit="1" customWidth="1"/>
    <col min="7" max="7" width="14.7109375" style="307" bestFit="1" customWidth="1"/>
    <col min="8" max="8" width="12" style="307" bestFit="1" customWidth="1"/>
    <col min="9" max="9" width="13.28515625" style="307" bestFit="1" customWidth="1"/>
    <col min="10" max="11" width="13.7109375" style="307" bestFit="1" customWidth="1"/>
    <col min="12" max="12" width="41.7109375" style="307" bestFit="1" customWidth="1"/>
    <col min="13" max="13" width="1.42578125" style="307" bestFit="1" customWidth="1"/>
    <col min="14" max="14" width="14" style="307" bestFit="1" customWidth="1"/>
    <col min="15" max="15" width="13" style="307" bestFit="1" customWidth="1"/>
    <col min="16" max="16" width="3.42578125" style="307" customWidth="1"/>
    <col min="17" max="17" width="15.7109375" style="307" bestFit="1" customWidth="1"/>
    <col min="18" max="18" width="11.28515625" style="317" bestFit="1" customWidth="1"/>
    <col min="19" max="19" width="45.28515625" style="307" bestFit="1" customWidth="1"/>
    <col min="20" max="20" width="14.7109375" style="309" bestFit="1" customWidth="1"/>
    <col min="21" max="21" width="13.7109375" style="307" bestFit="1" customWidth="1"/>
    <col min="22" max="22" width="9.28515625" style="306"/>
    <col min="23" max="23" width="34.28515625" style="306" bestFit="1" customWidth="1"/>
    <col min="24" max="25" width="9.28515625" style="306"/>
    <col min="26" max="27" width="9.42578125" style="306" bestFit="1" customWidth="1"/>
    <col min="28" max="28" width="9.28515625" style="306"/>
    <col min="29" max="29" width="10.28515625" style="306" bestFit="1" customWidth="1"/>
    <col min="30" max="16384" width="9.28515625" style="306"/>
  </cols>
  <sheetData>
    <row r="1" spans="1:29">
      <c r="A1" s="496"/>
      <c r="B1" s="291" t="str">
        <f>SUMMARY!B96</f>
        <v>HARUMI Stock - JUL 2026</v>
      </c>
      <c r="C1" s="337"/>
      <c r="D1" s="344"/>
      <c r="E1" s="344"/>
      <c r="F1" s="344"/>
      <c r="G1" s="344"/>
      <c r="H1" s="344"/>
      <c r="I1" s="497"/>
      <c r="J1" s="852"/>
      <c r="K1" s="852"/>
      <c r="L1" s="498"/>
      <c r="M1" s="498"/>
      <c r="N1" s="498"/>
      <c r="O1" s="339"/>
      <c r="P1" s="339"/>
      <c r="Q1" s="853" t="s">
        <v>330</v>
      </c>
      <c r="R1" s="853"/>
      <c r="S1" s="853"/>
      <c r="T1" s="853"/>
      <c r="U1" s="853"/>
      <c r="V1" s="329"/>
      <c r="W1" s="329"/>
      <c r="X1" s="329"/>
      <c r="Y1" s="329"/>
      <c r="Z1" s="329"/>
      <c r="AA1" s="329"/>
      <c r="AB1" s="329"/>
      <c r="AC1" s="329"/>
    </row>
    <row r="2" spans="1:29" s="305" customFormat="1" ht="26.45">
      <c r="A2" s="311" t="s">
        <v>331</v>
      </c>
      <c r="B2" s="312" t="s">
        <v>332</v>
      </c>
      <c r="C2" s="313" t="s">
        <v>333</v>
      </c>
      <c r="D2" s="313" t="s">
        <v>334</v>
      </c>
      <c r="E2" s="313" t="s">
        <v>335</v>
      </c>
      <c r="F2" s="313" t="s">
        <v>166</v>
      </c>
      <c r="G2" s="313" t="s">
        <v>168</v>
      </c>
      <c r="H2" s="313" t="s">
        <v>336</v>
      </c>
      <c r="I2" s="293" t="s">
        <v>337</v>
      </c>
      <c r="J2" s="294" t="s">
        <v>338</v>
      </c>
      <c r="K2" s="313" t="s">
        <v>339</v>
      </c>
      <c r="L2" s="313" t="s">
        <v>170</v>
      </c>
      <c r="M2" s="314"/>
      <c r="N2" s="294" t="s">
        <v>340</v>
      </c>
      <c r="O2" s="313" t="s">
        <v>330</v>
      </c>
      <c r="P2" s="315"/>
      <c r="Q2" s="297" t="s">
        <v>341</v>
      </c>
      <c r="R2" s="304" t="s">
        <v>164</v>
      </c>
      <c r="S2" s="298" t="s">
        <v>342</v>
      </c>
      <c r="T2" s="316" t="s">
        <v>343</v>
      </c>
      <c r="U2" s="298" t="s">
        <v>344</v>
      </c>
      <c r="V2" s="496"/>
      <c r="W2" s="496"/>
      <c r="X2" s="496"/>
      <c r="Y2" s="496"/>
      <c r="Z2" s="496"/>
      <c r="AA2" s="496"/>
      <c r="AB2" s="496"/>
      <c r="AC2" s="496"/>
    </row>
    <row r="3" spans="1:29">
      <c r="A3" s="311"/>
      <c r="B3" s="290" t="s">
        <v>345</v>
      </c>
      <c r="C3" s="313"/>
      <c r="D3" s="292"/>
      <c r="E3" s="292"/>
      <c r="F3" s="292"/>
      <c r="G3" s="292"/>
      <c r="H3" s="292"/>
      <c r="I3" s="293"/>
      <c r="J3" s="294"/>
      <c r="K3" s="292"/>
      <c r="L3" s="292"/>
      <c r="M3" s="295"/>
      <c r="N3" s="294"/>
      <c r="O3" s="292"/>
      <c r="P3" s="296"/>
      <c r="Q3" s="297"/>
      <c r="R3" s="304"/>
      <c r="S3" s="298"/>
      <c r="T3" s="308"/>
      <c r="U3" s="298"/>
      <c r="V3" s="329"/>
      <c r="W3" s="329"/>
      <c r="X3" s="329"/>
      <c r="Y3" s="329"/>
      <c r="Z3" s="329"/>
      <c r="AA3" s="329"/>
      <c r="AB3" s="329"/>
      <c r="AC3" s="329"/>
    </row>
    <row r="4" spans="1:29">
      <c r="A4" s="338"/>
      <c r="B4" s="413" t="str">
        <f>SUMMARY!B3</f>
        <v>MAIZE/CORN</v>
      </c>
      <c r="C4" s="338" t="s">
        <v>346</v>
      </c>
      <c r="D4" s="336">
        <f>SUMMARY!B46</f>
        <v>103607.80000000006</v>
      </c>
      <c r="E4" s="336">
        <f>SUMMARY!B47</f>
        <v>786310</v>
      </c>
      <c r="F4" s="336">
        <f>SUMMARY!B48</f>
        <v>345123.8</v>
      </c>
      <c r="G4" s="336">
        <f>SUMMARY!B49</f>
        <v>-353844.60000000003</v>
      </c>
      <c r="H4" s="336">
        <f>SUMMARY!B50</f>
        <v>190949.40000000002</v>
      </c>
      <c r="I4" s="336"/>
      <c r="J4" s="336"/>
      <c r="K4" s="336"/>
      <c r="L4" s="336"/>
      <c r="M4" s="339"/>
      <c r="N4" s="336"/>
      <c r="O4" s="413">
        <f>N4-H4</f>
        <v>-190949.40000000002</v>
      </c>
      <c r="P4" s="339"/>
      <c r="Q4" s="336"/>
      <c r="R4" s="499"/>
      <c r="S4" s="336"/>
      <c r="T4" s="500"/>
      <c r="U4" s="336"/>
      <c r="V4" s="329"/>
      <c r="W4" s="501"/>
      <c r="X4" s="329"/>
      <c r="Y4" s="502"/>
      <c r="Z4" s="502"/>
      <c r="AA4" s="502"/>
      <c r="AB4" s="502"/>
      <c r="AC4" s="502"/>
    </row>
    <row r="5" spans="1:29">
      <c r="A5" s="338"/>
      <c r="B5" s="413" t="str">
        <f>SUMMARY!C3</f>
        <v>SOYBEAN MEAL (ARG)</v>
      </c>
      <c r="C5" s="338" t="s">
        <v>346</v>
      </c>
      <c r="D5" s="336">
        <f>SUMMARY!C46</f>
        <v>51499.20000000007</v>
      </c>
      <c r="E5" s="336">
        <f>SUMMARY!C47</f>
        <v>339170</v>
      </c>
      <c r="F5" s="336">
        <f>SUMMARY!C48</f>
        <v>193692.6</v>
      </c>
      <c r="G5" s="336">
        <f>SUMMARY!C49</f>
        <v>-143959.00000000003</v>
      </c>
      <c r="H5" s="336">
        <f>SUMMARY!C50</f>
        <v>53017.600000000071</v>
      </c>
      <c r="I5" s="336"/>
      <c r="J5" s="336"/>
      <c r="K5" s="336"/>
      <c r="L5" s="336"/>
      <c r="M5" s="339"/>
      <c r="N5" s="336"/>
      <c r="O5" s="413">
        <f t="shared" ref="O5:O56" si="0">N5-H5</f>
        <v>-53017.600000000071</v>
      </c>
      <c r="P5" s="339"/>
      <c r="Q5" s="336"/>
      <c r="R5" s="499"/>
      <c r="S5" s="336"/>
      <c r="T5" s="500"/>
      <c r="U5" s="336"/>
      <c r="V5" s="329"/>
      <c r="W5" s="501"/>
      <c r="X5" s="329"/>
      <c r="Y5" s="502"/>
      <c r="Z5" s="502"/>
      <c r="AA5" s="502"/>
      <c r="AB5" s="502"/>
      <c r="AC5" s="502"/>
    </row>
    <row r="6" spans="1:29">
      <c r="A6" s="338"/>
      <c r="B6" s="413" t="str">
        <f>SUMMARY!D3</f>
        <v>SOYBEAN FULL FAT</v>
      </c>
      <c r="C6" s="338" t="s">
        <v>346</v>
      </c>
      <c r="D6" s="336">
        <f>SUMMARY!D46</f>
        <v>32731.999999999971</v>
      </c>
      <c r="E6" s="336">
        <f>SUMMARY!D47</f>
        <v>80250</v>
      </c>
      <c r="F6" s="336">
        <f>SUMMARY!D48</f>
        <v>32980</v>
      </c>
      <c r="G6" s="336">
        <f>SUMMARY!D49</f>
        <v>-37327.80000000001</v>
      </c>
      <c r="H6" s="336">
        <f>SUMMARY!D50</f>
        <v>42674.199999999968</v>
      </c>
      <c r="I6" s="336"/>
      <c r="J6" s="336"/>
      <c r="K6" s="336"/>
      <c r="L6" s="336"/>
      <c r="M6" s="339"/>
      <c r="N6" s="336"/>
      <c r="O6" s="413">
        <f t="shared" si="0"/>
        <v>-42674.199999999968</v>
      </c>
      <c r="P6" s="339"/>
      <c r="Q6" s="336"/>
      <c r="R6" s="499"/>
      <c r="S6" s="336"/>
      <c r="T6" s="500"/>
      <c r="U6" s="336"/>
      <c r="V6" s="329"/>
      <c r="W6" s="501"/>
      <c r="X6" s="329"/>
      <c r="Y6" s="502"/>
      <c r="Z6" s="502"/>
      <c r="AA6" s="502"/>
      <c r="AB6" s="502"/>
      <c r="AC6" s="502"/>
    </row>
    <row r="7" spans="1:29">
      <c r="A7" s="338"/>
      <c r="B7" s="413" t="str">
        <f>SUMMARY!E3</f>
        <v>WHEAT POLLARD</v>
      </c>
      <c r="C7" s="338" t="s">
        <v>346</v>
      </c>
      <c r="D7" s="336">
        <f>SUMMARY!E46</f>
        <v>33372.700000000019</v>
      </c>
      <c r="E7" s="336">
        <f>SUMMARY!E47</f>
        <v>0</v>
      </c>
      <c r="F7" s="336">
        <f>SUMMARY!E48</f>
        <v>1500</v>
      </c>
      <c r="G7" s="336">
        <f>SUMMARY!E49</f>
        <v>-27350.5</v>
      </c>
      <c r="H7" s="336">
        <f>SUMMARY!E50</f>
        <v>4522.2000000000189</v>
      </c>
      <c r="I7" s="336"/>
      <c r="J7" s="336"/>
      <c r="K7" s="336"/>
      <c r="L7" s="336"/>
      <c r="M7" s="339"/>
      <c r="N7" s="336"/>
      <c r="O7" s="413">
        <f t="shared" si="0"/>
        <v>-4522.2000000000189</v>
      </c>
      <c r="P7" s="339"/>
      <c r="Q7" s="503"/>
      <c r="R7" s="504"/>
      <c r="S7" s="505"/>
      <c r="T7" s="505"/>
      <c r="U7" s="336"/>
      <c r="V7" s="329"/>
      <c r="W7" s="501"/>
      <c r="X7" s="329"/>
      <c r="Y7" s="502"/>
      <c r="Z7" s="502"/>
      <c r="AA7" s="502"/>
      <c r="AB7" s="502"/>
      <c r="AC7" s="502"/>
    </row>
    <row r="8" spans="1:29">
      <c r="A8" s="338"/>
      <c r="B8" s="413" t="str">
        <f>SUMMARY!F3</f>
        <v>WHEAT</v>
      </c>
      <c r="C8" s="338" t="s">
        <v>346</v>
      </c>
      <c r="D8" s="336">
        <f>SUMMARY!F46</f>
        <v>0</v>
      </c>
      <c r="E8" s="336">
        <f>SUMMARY!F47</f>
        <v>0</v>
      </c>
      <c r="F8" s="336">
        <f>SUMMARY!F48</f>
        <v>0</v>
      </c>
      <c r="G8" s="336">
        <f>SUMMARY!F49</f>
        <v>0</v>
      </c>
      <c r="H8" s="336">
        <f>SUMMARY!F50</f>
        <v>0</v>
      </c>
      <c r="I8" s="336"/>
      <c r="J8" s="336"/>
      <c r="K8" s="336"/>
      <c r="L8" s="336"/>
      <c r="M8" s="339"/>
      <c r="N8" s="336"/>
      <c r="O8" s="413">
        <f t="shared" si="0"/>
        <v>0</v>
      </c>
      <c r="P8" s="339"/>
      <c r="Q8" s="336"/>
      <c r="R8" s="499"/>
      <c r="S8" s="336"/>
      <c r="T8" s="500"/>
      <c r="U8" s="336"/>
      <c r="V8" s="329"/>
      <c r="W8" s="501"/>
      <c r="X8" s="329"/>
      <c r="Y8" s="502"/>
      <c r="Z8" s="502"/>
      <c r="AA8" s="502"/>
      <c r="AB8" s="502"/>
      <c r="AC8" s="502"/>
    </row>
    <row r="9" spans="1:29">
      <c r="A9" s="338"/>
      <c r="B9" s="413" t="str">
        <f>SUMMARY!G3</f>
        <v>MEAT AND BONE MEAL</v>
      </c>
      <c r="C9" s="338" t="s">
        <v>346</v>
      </c>
      <c r="D9" s="336">
        <f>SUMMARY!G46</f>
        <v>13946.199999999997</v>
      </c>
      <c r="E9" s="336">
        <f>SUMMARY!G47</f>
        <v>0</v>
      </c>
      <c r="F9" s="336">
        <f>SUMMARY!G48</f>
        <v>1826</v>
      </c>
      <c r="G9" s="336">
        <f>SUMMARY!G49</f>
        <v>-11995.2</v>
      </c>
      <c r="H9" s="336">
        <f>SUMMARY!G50</f>
        <v>124.99999999999523</v>
      </c>
      <c r="I9" s="336"/>
      <c r="J9" s="336"/>
      <c r="K9" s="336"/>
      <c r="L9" s="336"/>
      <c r="M9" s="339"/>
      <c r="N9" s="336"/>
      <c r="O9" s="413">
        <f t="shared" si="0"/>
        <v>-124.99999999999523</v>
      </c>
      <c r="P9" s="339"/>
      <c r="Q9" s="336"/>
      <c r="R9" s="499"/>
      <c r="S9" s="336"/>
      <c r="T9" s="500"/>
      <c r="U9" s="336"/>
      <c r="V9" s="329"/>
      <c r="W9" s="501"/>
      <c r="X9" s="329"/>
      <c r="Y9" s="502"/>
      <c r="Z9" s="502"/>
      <c r="AA9" s="502"/>
      <c r="AB9" s="502"/>
      <c r="AC9" s="502"/>
    </row>
    <row r="10" spans="1:29">
      <c r="A10" s="338"/>
      <c r="B10" s="413" t="str">
        <f>SUMMARY!H3</f>
        <v>CORN GLUTEN MEAL</v>
      </c>
      <c r="C10" s="338" t="s">
        <v>346</v>
      </c>
      <c r="D10" s="336">
        <f>SUMMARY!H46</f>
        <v>36947.699999999997</v>
      </c>
      <c r="E10" s="336">
        <f>SUMMARY!H47</f>
        <v>0</v>
      </c>
      <c r="F10" s="336">
        <f>SUMMARY!H48</f>
        <v>4416</v>
      </c>
      <c r="G10" s="336">
        <f>SUMMARY!H49</f>
        <v>-6379.8000000000011</v>
      </c>
      <c r="H10" s="336">
        <f>SUMMARY!H50</f>
        <v>26151.899999999998</v>
      </c>
      <c r="I10" s="336"/>
      <c r="J10" s="336"/>
      <c r="K10" s="336"/>
      <c r="L10" s="336"/>
      <c r="M10" s="339"/>
      <c r="N10" s="336"/>
      <c r="O10" s="413">
        <f t="shared" si="0"/>
        <v>-26151.899999999998</v>
      </c>
      <c r="P10" s="339"/>
      <c r="Q10" s="336"/>
      <c r="R10" s="499"/>
      <c r="S10" s="336"/>
      <c r="T10" s="500"/>
      <c r="U10" s="336"/>
      <c r="V10" s="329"/>
      <c r="W10" s="501"/>
      <c r="X10" s="329"/>
      <c r="Y10" s="502"/>
      <c r="Z10" s="502"/>
      <c r="AA10" s="502"/>
      <c r="AB10" s="502"/>
      <c r="AC10" s="502"/>
    </row>
    <row r="11" spans="1:29">
      <c r="A11" s="338"/>
      <c r="B11" s="413" t="str">
        <f>SUMMARY!I3</f>
        <v>MEGAFAT (HARUMI)</v>
      </c>
      <c r="C11" s="338" t="s">
        <v>346</v>
      </c>
      <c r="D11" s="336">
        <f>SUMMARY!I46</f>
        <v>0</v>
      </c>
      <c r="E11" s="336">
        <f>SUMMARY!I47</f>
        <v>13602.5</v>
      </c>
      <c r="F11" s="336">
        <f>SUMMARY!I48</f>
        <v>6673</v>
      </c>
      <c r="G11" s="336">
        <f>SUMMARY!I49</f>
        <v>-6929.4999999999982</v>
      </c>
      <c r="H11" s="336">
        <f>SUMMARY!I50</f>
        <v>0</v>
      </c>
      <c r="I11" s="336"/>
      <c r="J11" s="300"/>
      <c r="K11" s="300"/>
      <c r="L11" s="336"/>
      <c r="M11" s="339"/>
      <c r="N11" s="336"/>
      <c r="O11" s="413">
        <f t="shared" si="0"/>
        <v>0</v>
      </c>
      <c r="P11" s="339"/>
      <c r="Q11" s="336"/>
      <c r="R11" s="499"/>
      <c r="S11" s="336"/>
      <c r="T11" s="500"/>
      <c r="U11" s="336"/>
      <c r="V11" s="329"/>
      <c r="W11" s="501"/>
      <c r="X11" s="329"/>
      <c r="Y11" s="502"/>
      <c r="Z11" s="502"/>
      <c r="AA11" s="502"/>
      <c r="AB11" s="502"/>
      <c r="AC11" s="502"/>
    </row>
    <row r="12" spans="1:29">
      <c r="A12" s="338"/>
      <c r="B12" s="413" t="str">
        <f>SUMMARY!J3</f>
        <v>DCP 18%</v>
      </c>
      <c r="C12" s="338" t="s">
        <v>346</v>
      </c>
      <c r="D12" s="336">
        <f>SUMMARY!J46</f>
        <v>2388.7799999999988</v>
      </c>
      <c r="E12" s="336">
        <f>SUMMARY!J47</f>
        <v>6000</v>
      </c>
      <c r="F12" s="336">
        <f>SUMMARY!J48</f>
        <v>3159.8300000000004</v>
      </c>
      <c r="G12" s="336">
        <f>SUMMARY!J49</f>
        <v>-1906.4499999999998</v>
      </c>
      <c r="H12" s="336">
        <f>SUMMARY!J50</f>
        <v>3322.4999999999986</v>
      </c>
      <c r="I12" s="336"/>
      <c r="J12" s="301"/>
      <c r="K12" s="336"/>
      <c r="L12" s="336"/>
      <c r="M12" s="339"/>
      <c r="N12" s="336"/>
      <c r="O12" s="413">
        <f t="shared" si="0"/>
        <v>-3322.4999999999986</v>
      </c>
      <c r="P12" s="339"/>
      <c r="Q12" s="336"/>
      <c r="R12" s="499"/>
      <c r="S12" s="336"/>
      <c r="T12" s="500"/>
      <c r="U12" s="336"/>
      <c r="V12" s="329"/>
      <c r="W12" s="501"/>
      <c r="X12" s="329"/>
      <c r="Y12" s="502"/>
      <c r="Z12" s="502"/>
      <c r="AA12" s="502"/>
      <c r="AB12" s="502"/>
      <c r="AC12" s="502"/>
    </row>
    <row r="13" spans="1:29">
      <c r="A13" s="338"/>
      <c r="B13" s="413" t="str">
        <f>SUMMARY!K3</f>
        <v>LIMESTONE POWDER (HARUMI)</v>
      </c>
      <c r="C13" s="338" t="s">
        <v>346</v>
      </c>
      <c r="D13" s="336">
        <f>SUMMARY!K46</f>
        <v>0</v>
      </c>
      <c r="E13" s="336">
        <f>SUMMARY!K47</f>
        <v>0</v>
      </c>
      <c r="F13" s="336">
        <f>SUMMARY!K48</f>
        <v>1394</v>
      </c>
      <c r="G13" s="336">
        <f>SUMMARY!K49</f>
        <v>-8883.0799999999981</v>
      </c>
      <c r="H13" s="336">
        <f>SUMMARY!K50</f>
        <v>-10277.079999999998</v>
      </c>
      <c r="I13" s="336"/>
      <c r="J13" s="301"/>
      <c r="K13" s="336"/>
      <c r="L13" s="336"/>
      <c r="M13" s="339"/>
      <c r="N13" s="336"/>
      <c r="O13" s="413">
        <f t="shared" si="0"/>
        <v>10277.079999999998</v>
      </c>
      <c r="P13" s="339"/>
      <c r="Q13" s="336"/>
      <c r="R13" s="499"/>
      <c r="S13" s="336"/>
      <c r="T13" s="500"/>
      <c r="U13" s="336"/>
      <c r="V13" s="329"/>
      <c r="W13" s="501"/>
      <c r="X13" s="329"/>
      <c r="Y13" s="502"/>
      <c r="Z13" s="502"/>
      <c r="AA13" s="502"/>
      <c r="AB13" s="502"/>
      <c r="AC13" s="502"/>
    </row>
    <row r="14" spans="1:29">
      <c r="A14" s="338"/>
      <c r="B14" s="413" t="str">
        <f>SUMMARY!L3</f>
        <v>CHOLINE CHLORIDE 60%</v>
      </c>
      <c r="C14" s="338" t="s">
        <v>346</v>
      </c>
      <c r="D14" s="336">
        <f>SUMMARY!L46</f>
        <v>0</v>
      </c>
      <c r="E14" s="336">
        <f>SUMMARY!L47</f>
        <v>0</v>
      </c>
      <c r="F14" s="336">
        <f>SUMMARY!L48</f>
        <v>0</v>
      </c>
      <c r="G14" s="336">
        <f>SUMMARY!L49</f>
        <v>0</v>
      </c>
      <c r="H14" s="336">
        <f>SUMMARY!L50</f>
        <v>0</v>
      </c>
      <c r="I14" s="336"/>
      <c r="J14" s="301"/>
      <c r="K14" s="336"/>
      <c r="L14" s="336"/>
      <c r="M14" s="339"/>
      <c r="N14" s="336"/>
      <c r="O14" s="413">
        <f t="shared" si="0"/>
        <v>0</v>
      </c>
      <c r="P14" s="339"/>
      <c r="Q14" s="336"/>
      <c r="R14" s="499"/>
      <c r="S14" s="336"/>
      <c r="T14" s="500"/>
      <c r="U14" s="336"/>
      <c r="V14" s="329"/>
      <c r="W14" s="501"/>
      <c r="X14" s="329"/>
      <c r="Y14" s="502"/>
      <c r="Z14" s="502"/>
      <c r="AA14" s="502"/>
      <c r="AB14" s="502"/>
      <c r="AC14" s="502"/>
    </row>
    <row r="15" spans="1:29">
      <c r="A15" s="338"/>
      <c r="B15" s="413" t="str">
        <f>SUMMARY!M3</f>
        <v>INDUSTRY FLOUR</v>
      </c>
      <c r="C15" s="338" t="s">
        <v>346</v>
      </c>
      <c r="D15" s="336">
        <f>SUMMARY!M46</f>
        <v>8489.9000000000069</v>
      </c>
      <c r="E15" s="336">
        <f>SUMMARY!M47</f>
        <v>35201.4</v>
      </c>
      <c r="F15" s="336">
        <f>SUMMARY!M48</f>
        <v>7320</v>
      </c>
      <c r="G15" s="336">
        <f>SUMMARY!M49</f>
        <v>-8933.1</v>
      </c>
      <c r="H15" s="336">
        <f>SUMMARY!M50</f>
        <v>27438.200000000012</v>
      </c>
      <c r="I15" s="336"/>
      <c r="J15" s="300"/>
      <c r="K15" s="336"/>
      <c r="L15" s="336"/>
      <c r="M15" s="339"/>
      <c r="N15" s="336"/>
      <c r="O15" s="413">
        <f t="shared" si="0"/>
        <v>-27438.200000000012</v>
      </c>
      <c r="P15" s="339"/>
      <c r="Q15" s="336"/>
      <c r="R15" s="499"/>
      <c r="S15" s="336"/>
      <c r="T15" s="500"/>
      <c r="U15" s="336"/>
      <c r="V15" s="329"/>
      <c r="W15" s="501"/>
      <c r="X15" s="329"/>
      <c r="Y15" s="502"/>
      <c r="Z15" s="502"/>
      <c r="AA15" s="502"/>
      <c r="AB15" s="502"/>
      <c r="AC15" s="502"/>
    </row>
    <row r="16" spans="1:29">
      <c r="A16" s="338"/>
      <c r="B16" s="413" t="str">
        <f>SUMMARY!N3</f>
        <v>RICE BRAN</v>
      </c>
      <c r="C16" s="338" t="s">
        <v>346</v>
      </c>
      <c r="D16" s="336">
        <f>SUMMARY!N46</f>
        <v>34934.499999999985</v>
      </c>
      <c r="E16" s="336">
        <f>SUMMARY!N47</f>
        <v>0</v>
      </c>
      <c r="F16" s="336">
        <f>SUMMARY!N48</f>
        <v>2650</v>
      </c>
      <c r="G16" s="336">
        <f>SUMMARY!N49</f>
        <v>-13502.2</v>
      </c>
      <c r="H16" s="336">
        <f>SUMMARY!N50</f>
        <v>18782.299999999981</v>
      </c>
      <c r="I16" s="336"/>
      <c r="J16" s="300"/>
      <c r="K16" s="336"/>
      <c r="L16" s="336"/>
      <c r="M16" s="339"/>
      <c r="N16" s="336"/>
      <c r="O16" s="413">
        <f t="shared" si="0"/>
        <v>-18782.299999999981</v>
      </c>
      <c r="P16" s="339"/>
      <c r="Q16" s="336"/>
      <c r="R16" s="499"/>
      <c r="S16" s="336"/>
      <c r="T16" s="500"/>
      <c r="U16" s="336"/>
      <c r="V16" s="329"/>
      <c r="W16" s="501"/>
      <c r="X16" s="329"/>
      <c r="Y16" s="502"/>
      <c r="Z16" s="502"/>
      <c r="AA16" s="502"/>
      <c r="AB16" s="502"/>
      <c r="AC16" s="502"/>
    </row>
    <row r="17" spans="1:29">
      <c r="A17" s="338"/>
      <c r="B17" s="413" t="str">
        <f>SUMMARY!O3</f>
        <v>EP 200</v>
      </c>
      <c r="C17" s="338" t="s">
        <v>346</v>
      </c>
      <c r="D17" s="336">
        <f>SUMMARY!O46</f>
        <v>5800</v>
      </c>
      <c r="E17" s="336">
        <f>SUMMARY!O47</f>
        <v>0</v>
      </c>
      <c r="F17" s="336">
        <f>SUMMARY!O48</f>
        <v>0</v>
      </c>
      <c r="G17" s="336">
        <f>SUMMARY!O49</f>
        <v>0</v>
      </c>
      <c r="H17" s="336">
        <f>SUMMARY!O50</f>
        <v>5800</v>
      </c>
      <c r="I17" s="336"/>
      <c r="J17" s="300"/>
      <c r="K17" s="336"/>
      <c r="L17" s="336"/>
      <c r="M17" s="339"/>
      <c r="N17" s="336"/>
      <c r="O17" s="413">
        <f t="shared" si="0"/>
        <v>-5800</v>
      </c>
      <c r="P17" s="339"/>
      <c r="Q17" s="336"/>
      <c r="R17" s="499"/>
      <c r="S17" s="336"/>
      <c r="T17" s="500"/>
      <c r="U17" s="336"/>
      <c r="V17" s="329"/>
      <c r="W17" s="501"/>
      <c r="X17" s="329"/>
      <c r="Y17" s="502"/>
      <c r="Z17" s="502"/>
      <c r="AA17" s="502"/>
      <c r="AB17" s="502"/>
      <c r="AC17" s="502"/>
    </row>
    <row r="18" spans="1:29">
      <c r="A18" s="338"/>
      <c r="B18" s="413" t="str">
        <f>SUMMARY!P3</f>
        <v>SOYTIDE</v>
      </c>
      <c r="C18" s="338" t="s">
        <v>346</v>
      </c>
      <c r="D18" s="336">
        <f>SUMMARY!P46</f>
        <v>0</v>
      </c>
      <c r="E18" s="336">
        <f>SUMMARY!P47</f>
        <v>0</v>
      </c>
      <c r="F18" s="336">
        <f>SUMMARY!P48</f>
        <v>0</v>
      </c>
      <c r="G18" s="336">
        <f>SUMMARY!P49</f>
        <v>0</v>
      </c>
      <c r="H18" s="336">
        <f>SUMMARY!P50</f>
        <v>0</v>
      </c>
      <c r="I18" s="336"/>
      <c r="J18" s="336"/>
      <c r="K18" s="336"/>
      <c r="L18" s="336"/>
      <c r="M18" s="339"/>
      <c r="N18" s="336"/>
      <c r="O18" s="413">
        <f t="shared" si="0"/>
        <v>0</v>
      </c>
      <c r="P18" s="339"/>
      <c r="Q18" s="336"/>
      <c r="R18" s="499"/>
      <c r="S18" s="336"/>
      <c r="T18" s="500"/>
      <c r="U18" s="336"/>
      <c r="V18" s="329"/>
      <c r="W18" s="501"/>
      <c r="X18" s="329"/>
      <c r="Y18" s="502"/>
      <c r="Z18" s="502"/>
      <c r="AA18" s="502"/>
      <c r="AB18" s="502"/>
      <c r="AC18" s="502"/>
    </row>
    <row r="19" spans="1:29">
      <c r="A19" s="338"/>
      <c r="B19" s="413" t="str">
        <f>SUMMARY!Q3</f>
        <v>DCP 18% (HARUMI)</v>
      </c>
      <c r="C19" s="338" t="s">
        <v>346</v>
      </c>
      <c r="D19" s="336">
        <f>SUMMARY!Q46</f>
        <v>0</v>
      </c>
      <c r="E19" s="336">
        <f>SUMMARY!Q47</f>
        <v>4011.58</v>
      </c>
      <c r="F19" s="336">
        <f>SUMMARY!Q48</f>
        <v>0</v>
      </c>
      <c r="G19" s="336">
        <f>SUMMARY!Q49</f>
        <v>-4011.58</v>
      </c>
      <c r="H19" s="336">
        <f>SUMMARY!Q50</f>
        <v>0</v>
      </c>
      <c r="I19" s="336"/>
      <c r="J19" s="336"/>
      <c r="K19" s="336"/>
      <c r="L19" s="336"/>
      <c r="M19" s="339"/>
      <c r="N19" s="336"/>
      <c r="O19" s="413">
        <f t="shared" si="0"/>
        <v>0</v>
      </c>
      <c r="P19" s="339"/>
      <c r="Q19" s="336"/>
      <c r="R19" s="499"/>
      <c r="S19" s="336"/>
      <c r="T19" s="500"/>
      <c r="U19" s="336"/>
      <c r="V19" s="329"/>
      <c r="W19" s="501"/>
      <c r="X19" s="329"/>
      <c r="Y19" s="502"/>
      <c r="Z19" s="502"/>
      <c r="AA19" s="502"/>
      <c r="AB19" s="502"/>
      <c r="AC19" s="502"/>
    </row>
    <row r="20" spans="1:29">
      <c r="A20" s="338"/>
      <c r="B20" s="413">
        <f>SUMMARY!R3</f>
        <v>1</v>
      </c>
      <c r="C20" s="338" t="s">
        <v>346</v>
      </c>
      <c r="D20" s="336">
        <f>SUMMARY!R46</f>
        <v>0</v>
      </c>
      <c r="E20" s="336">
        <f>SUMMARY!R47</f>
        <v>0</v>
      </c>
      <c r="F20" s="336">
        <f>SUMMARY!R48</f>
        <v>0</v>
      </c>
      <c r="G20" s="336">
        <f>SUMMARY!R49</f>
        <v>0</v>
      </c>
      <c r="H20" s="336">
        <f>SUMMARY!R50</f>
        <v>0</v>
      </c>
      <c r="I20" s="336"/>
      <c r="J20" s="336"/>
      <c r="K20" s="336"/>
      <c r="L20" s="336"/>
      <c r="M20" s="339"/>
      <c r="N20" s="336"/>
      <c r="O20" s="413">
        <f t="shared" si="0"/>
        <v>0</v>
      </c>
      <c r="P20" s="339"/>
      <c r="Q20" s="336"/>
      <c r="R20" s="499"/>
      <c r="S20" s="336"/>
      <c r="T20" s="500"/>
      <c r="U20" s="336"/>
      <c r="V20" s="329"/>
      <c r="W20" s="501"/>
      <c r="X20" s="329"/>
      <c r="Y20" s="502"/>
      <c r="Z20" s="502"/>
      <c r="AA20" s="502"/>
      <c r="AB20" s="502"/>
      <c r="AC20" s="502"/>
    </row>
    <row r="21" spans="1:29">
      <c r="A21" s="338"/>
      <c r="B21" s="413">
        <f>SUMMARY!S3</f>
        <v>2</v>
      </c>
      <c r="C21" s="338" t="s">
        <v>346</v>
      </c>
      <c r="D21" s="336">
        <f>SUMMARY!S46</f>
        <v>0</v>
      </c>
      <c r="E21" s="336">
        <f>SUMMARY!S47</f>
        <v>0</v>
      </c>
      <c r="F21" s="336">
        <f>SUMMARY!S48</f>
        <v>0</v>
      </c>
      <c r="G21" s="336">
        <f>SUMMARY!S49</f>
        <v>0</v>
      </c>
      <c r="H21" s="336">
        <f>SUMMARY!S50</f>
        <v>0</v>
      </c>
      <c r="I21" s="336"/>
      <c r="J21" s="336"/>
      <c r="K21" s="336"/>
      <c r="L21" s="336"/>
      <c r="M21" s="339"/>
      <c r="N21" s="336"/>
      <c r="O21" s="413">
        <f t="shared" si="0"/>
        <v>0</v>
      </c>
      <c r="P21" s="339"/>
      <c r="Q21" s="336"/>
      <c r="R21" s="499"/>
      <c r="S21" s="336"/>
      <c r="T21" s="500"/>
      <c r="U21" s="336"/>
      <c r="V21" s="329"/>
      <c r="W21" s="501"/>
      <c r="X21" s="329"/>
      <c r="Y21" s="502"/>
      <c r="Z21" s="502"/>
      <c r="AA21" s="502"/>
      <c r="AB21" s="502"/>
      <c r="AC21" s="502"/>
    </row>
    <row r="22" spans="1:29">
      <c r="A22" s="338"/>
      <c r="B22" s="413">
        <f>SUMMARY!T3</f>
        <v>3</v>
      </c>
      <c r="C22" s="338" t="s">
        <v>346</v>
      </c>
      <c r="D22" s="336">
        <f>SUMMARY!T46</f>
        <v>0</v>
      </c>
      <c r="E22" s="336">
        <f>SUMMARY!T47</f>
        <v>0</v>
      </c>
      <c r="F22" s="336">
        <f>SUMMARY!T48</f>
        <v>0</v>
      </c>
      <c r="G22" s="336">
        <f>SUMMARY!T49</f>
        <v>0</v>
      </c>
      <c r="H22" s="336">
        <f>SUMMARY!T50</f>
        <v>0</v>
      </c>
      <c r="I22" s="336"/>
      <c r="J22" s="336"/>
      <c r="K22" s="336"/>
      <c r="L22" s="336"/>
      <c r="M22" s="339"/>
      <c r="N22" s="336"/>
      <c r="O22" s="413">
        <f t="shared" si="0"/>
        <v>0</v>
      </c>
      <c r="P22" s="339"/>
      <c r="Q22" s="336"/>
      <c r="R22" s="499"/>
      <c r="S22" s="336"/>
      <c r="T22" s="500"/>
      <c r="U22" s="336"/>
      <c r="V22" s="329"/>
      <c r="W22" s="501"/>
      <c r="X22" s="329"/>
      <c r="Y22" s="502"/>
      <c r="Z22" s="502"/>
      <c r="AA22" s="502"/>
      <c r="AB22" s="502"/>
      <c r="AC22" s="502"/>
    </row>
    <row r="23" spans="1:29">
      <c r="A23" s="338"/>
      <c r="B23" s="413"/>
      <c r="C23" s="338"/>
      <c r="D23" s="336"/>
      <c r="E23" s="336"/>
      <c r="F23" s="336"/>
      <c r="G23" s="336"/>
      <c r="H23" s="336"/>
      <c r="I23" s="336"/>
      <c r="J23" s="336"/>
      <c r="K23" s="336"/>
      <c r="L23" s="336"/>
      <c r="M23" s="339"/>
      <c r="N23" s="336"/>
      <c r="O23" s="413"/>
      <c r="P23" s="339"/>
      <c r="Q23" s="336"/>
      <c r="R23" s="499"/>
      <c r="S23" s="336"/>
      <c r="T23" s="500"/>
      <c r="U23" s="336"/>
      <c r="V23" s="329"/>
      <c r="W23" s="501"/>
      <c r="X23" s="329"/>
      <c r="Y23" s="502"/>
      <c r="Z23" s="502"/>
      <c r="AA23" s="502"/>
      <c r="AB23" s="502"/>
      <c r="AC23" s="502"/>
    </row>
    <row r="24" spans="1:29">
      <c r="A24" s="338"/>
      <c r="B24" s="310" t="s">
        <v>347</v>
      </c>
      <c r="C24" s="338"/>
      <c r="D24" s="336"/>
      <c r="E24" s="336"/>
      <c r="F24" s="336"/>
      <c r="G24" s="336"/>
      <c r="H24" s="336"/>
      <c r="I24" s="336"/>
      <c r="J24" s="336"/>
      <c r="K24" s="336"/>
      <c r="L24" s="336"/>
      <c r="M24" s="339"/>
      <c r="N24" s="336"/>
      <c r="O24" s="413"/>
      <c r="P24" s="339"/>
      <c r="Q24" s="336"/>
      <c r="R24" s="499"/>
      <c r="S24" s="336"/>
      <c r="T24" s="500"/>
      <c r="U24" s="336"/>
      <c r="V24" s="329"/>
      <c r="W24" s="501"/>
      <c r="X24" s="329"/>
      <c r="Y24" s="502"/>
      <c r="Z24" s="502"/>
      <c r="AA24" s="502"/>
      <c r="AB24" s="502"/>
      <c r="AC24" s="502"/>
    </row>
    <row r="25" spans="1:29">
      <c r="A25" s="338"/>
      <c r="B25" s="413" t="str">
        <f>SUMMARY!U3</f>
        <v>PREMIX 1101 (20KG)</v>
      </c>
      <c r="C25" s="338" t="s">
        <v>346</v>
      </c>
      <c r="D25" s="336">
        <f>SUMMARY!U46</f>
        <v>1160</v>
      </c>
      <c r="E25" s="336">
        <f>SUMMARY!U47</f>
        <v>0</v>
      </c>
      <c r="F25" s="336">
        <f>SUMMARY!U48</f>
        <v>320</v>
      </c>
      <c r="G25" s="336">
        <f>SUMMARY!U49</f>
        <v>-300</v>
      </c>
      <c r="H25" s="336">
        <f>SUMMARY!U50</f>
        <v>540</v>
      </c>
      <c r="I25" s="336"/>
      <c r="J25" s="336"/>
      <c r="K25" s="336"/>
      <c r="L25" s="336"/>
      <c r="M25" s="339"/>
      <c r="N25" s="336"/>
      <c r="O25" s="413">
        <f t="shared" si="0"/>
        <v>-540</v>
      </c>
      <c r="P25" s="339"/>
      <c r="Q25" s="336"/>
      <c r="R25" s="499"/>
      <c r="S25" s="336"/>
      <c r="T25" s="500"/>
      <c r="U25" s="336"/>
      <c r="V25" s="329"/>
      <c r="W25" s="501"/>
      <c r="X25" s="329"/>
      <c r="Y25" s="502"/>
      <c r="Z25" s="502"/>
      <c r="AA25" s="502"/>
      <c r="AB25" s="502"/>
      <c r="AC25" s="502"/>
    </row>
    <row r="26" spans="1:29">
      <c r="A26" s="338"/>
      <c r="B26" s="413" t="str">
        <f>SUMMARY!V3</f>
        <v>PREMIX 1102 (20KG)</v>
      </c>
      <c r="C26" s="338" t="s">
        <v>346</v>
      </c>
      <c r="D26" s="336">
        <f>SUMMARY!V46</f>
        <v>960</v>
      </c>
      <c r="E26" s="336">
        <f>SUMMARY!V47</f>
        <v>0</v>
      </c>
      <c r="F26" s="336">
        <f>SUMMARY!V48</f>
        <v>280</v>
      </c>
      <c r="G26" s="336">
        <f>SUMMARY!V49</f>
        <v>280</v>
      </c>
      <c r="H26" s="336">
        <f>SUMMARY!V50</f>
        <v>960</v>
      </c>
      <c r="I26" s="336"/>
      <c r="J26" s="336"/>
      <c r="K26" s="336"/>
      <c r="L26" s="336"/>
      <c r="M26" s="339"/>
      <c r="N26" s="336"/>
      <c r="O26" s="413">
        <f t="shared" si="0"/>
        <v>-960</v>
      </c>
      <c r="P26" s="339"/>
      <c r="Q26" s="336"/>
      <c r="R26" s="499"/>
      <c r="S26" s="336"/>
      <c r="T26" s="500"/>
      <c r="U26" s="336"/>
      <c r="V26" s="329"/>
      <c r="W26" s="501"/>
      <c r="X26" s="329"/>
      <c r="Y26" s="502"/>
      <c r="Z26" s="502"/>
      <c r="AA26" s="502"/>
      <c r="AB26" s="502"/>
      <c r="AC26" s="502"/>
    </row>
    <row r="27" spans="1:29">
      <c r="A27" s="338"/>
      <c r="B27" s="413" t="str">
        <f>SUMMARY!W3</f>
        <v>PREMIX 1103 (20KG)</v>
      </c>
      <c r="C27" s="338" t="s">
        <v>346</v>
      </c>
      <c r="D27" s="336">
        <f>SUMMARY!W46</f>
        <v>1760</v>
      </c>
      <c r="E27" s="336">
        <f>SUMMARY!W47</f>
        <v>0</v>
      </c>
      <c r="F27" s="336">
        <f>SUMMARY!W48</f>
        <v>0</v>
      </c>
      <c r="G27" s="336">
        <f>SUMMARY!W49</f>
        <v>0</v>
      </c>
      <c r="H27" s="336">
        <f>SUMMARY!W50</f>
        <v>1760</v>
      </c>
      <c r="I27" s="336"/>
      <c r="J27" s="336"/>
      <c r="K27" s="336"/>
      <c r="L27" s="336"/>
      <c r="M27" s="339"/>
      <c r="N27" s="336"/>
      <c r="O27" s="413">
        <f t="shared" si="0"/>
        <v>-1760</v>
      </c>
      <c r="P27" s="339"/>
      <c r="Q27" s="336"/>
      <c r="R27" s="499"/>
      <c r="S27" s="336"/>
      <c r="T27" s="500"/>
      <c r="U27" s="336"/>
      <c r="V27" s="329"/>
      <c r="W27" s="501"/>
      <c r="X27" s="329"/>
      <c r="Y27" s="502"/>
      <c r="Z27" s="502"/>
      <c r="AA27" s="502"/>
      <c r="AB27" s="502"/>
      <c r="AC27" s="502"/>
    </row>
    <row r="28" spans="1:29">
      <c r="A28" s="338"/>
      <c r="B28" s="413" t="str">
        <f>SUMMARY!X3</f>
        <v>PREMIX 311 (20KG)</v>
      </c>
      <c r="C28" s="338" t="s">
        <v>346</v>
      </c>
      <c r="D28" s="336">
        <f>SUMMARY!X46</f>
        <v>400</v>
      </c>
      <c r="E28" s="336">
        <f>SUMMARY!X47</f>
        <v>0</v>
      </c>
      <c r="F28" s="336">
        <f>SUMMARY!X48</f>
        <v>0</v>
      </c>
      <c r="G28" s="336">
        <f>SUMMARY!X49</f>
        <v>0</v>
      </c>
      <c r="H28" s="336">
        <f>SUMMARY!X50</f>
        <v>400</v>
      </c>
      <c r="I28" s="336"/>
      <c r="J28" s="336"/>
      <c r="K28" s="336"/>
      <c r="L28" s="336"/>
      <c r="M28" s="339"/>
      <c r="N28" s="336"/>
      <c r="O28" s="413">
        <f t="shared" si="0"/>
        <v>-400</v>
      </c>
      <c r="P28" s="339"/>
      <c r="Q28" s="336"/>
      <c r="R28" s="499"/>
      <c r="S28" s="336"/>
      <c r="T28" s="500"/>
      <c r="U28" s="336"/>
      <c r="V28" s="329"/>
      <c r="W28" s="501"/>
      <c r="X28" s="329"/>
      <c r="Y28" s="502"/>
      <c r="Z28" s="502"/>
      <c r="AA28" s="502"/>
      <c r="AB28" s="502"/>
      <c r="AC28" s="502"/>
    </row>
    <row r="29" spans="1:29">
      <c r="A29" s="338"/>
      <c r="B29" s="413" t="str">
        <f>SUMMARY!Y3</f>
        <v>PREMIX 312 (20KG)</v>
      </c>
      <c r="C29" s="338" t="s">
        <v>346</v>
      </c>
      <c r="D29" s="336">
        <f>SUMMARY!Y46</f>
        <v>3600</v>
      </c>
      <c r="E29" s="336">
        <f>SUMMARY!Y47</f>
        <v>0</v>
      </c>
      <c r="F29" s="336">
        <f>SUMMARY!Y48</f>
        <v>0</v>
      </c>
      <c r="G29" s="336">
        <f>SUMMARY!Y49</f>
        <v>0</v>
      </c>
      <c r="H29" s="336">
        <f>SUMMARY!Y50</f>
        <v>3600</v>
      </c>
      <c r="I29" s="336"/>
      <c r="J29" s="336"/>
      <c r="K29" s="336"/>
      <c r="L29" s="336"/>
      <c r="M29" s="339"/>
      <c r="N29" s="336"/>
      <c r="O29" s="413">
        <f t="shared" si="0"/>
        <v>-3600</v>
      </c>
      <c r="P29" s="339"/>
      <c r="Q29" s="336"/>
      <c r="R29" s="499"/>
      <c r="S29" s="336"/>
      <c r="T29" s="500"/>
      <c r="U29" s="336"/>
      <c r="V29" s="329"/>
      <c r="W29" s="501"/>
      <c r="X29" s="329"/>
      <c r="Y29" s="502"/>
      <c r="Z29" s="502"/>
      <c r="AA29" s="502"/>
      <c r="AB29" s="502"/>
      <c r="AC29" s="502"/>
    </row>
    <row r="30" spans="1:29">
      <c r="A30" s="338"/>
      <c r="B30" s="413">
        <f>SUMMARY!Z3</f>
        <v>1</v>
      </c>
      <c r="C30" s="338" t="s">
        <v>346</v>
      </c>
      <c r="D30" s="336">
        <f>SUMMARY!Z46</f>
        <v>0</v>
      </c>
      <c r="E30" s="336">
        <f>SUMMARY!Z47</f>
        <v>0</v>
      </c>
      <c r="F30" s="336">
        <f>SUMMARY!Z48</f>
        <v>0</v>
      </c>
      <c r="G30" s="336">
        <f>SUMMARY!Z49</f>
        <v>0</v>
      </c>
      <c r="H30" s="336">
        <f>SUMMARY!Z50</f>
        <v>0</v>
      </c>
      <c r="I30" s="336"/>
      <c r="J30" s="336"/>
      <c r="K30" s="336"/>
      <c r="L30" s="336"/>
      <c r="M30" s="339"/>
      <c r="N30" s="336"/>
      <c r="O30" s="413">
        <f t="shared" si="0"/>
        <v>0</v>
      </c>
      <c r="P30" s="339"/>
      <c r="Q30" s="336"/>
      <c r="R30" s="499"/>
      <c r="S30" s="336"/>
      <c r="T30" s="500"/>
      <c r="U30" s="336"/>
      <c r="V30" s="329"/>
      <c r="W30" s="501"/>
      <c r="X30" s="329"/>
      <c r="Y30" s="502"/>
      <c r="Z30" s="502"/>
      <c r="AA30" s="502"/>
      <c r="AB30" s="502"/>
      <c r="AC30" s="502"/>
    </row>
    <row r="31" spans="1:29">
      <c r="A31" s="338"/>
      <c r="B31" s="413" t="str">
        <f>SUMMARY!AA3</f>
        <v>PREMIX 8100 (20KG)</v>
      </c>
      <c r="C31" s="338" t="s">
        <v>346</v>
      </c>
      <c r="D31" s="336">
        <f>SUMMARY!AA46</f>
        <v>6680</v>
      </c>
      <c r="E31" s="336">
        <f>SUMMARY!AA47</f>
        <v>0</v>
      </c>
      <c r="F31" s="336">
        <f>SUMMARY!AA48</f>
        <v>760</v>
      </c>
      <c r="G31" s="336">
        <f>SUMMARY!AA49</f>
        <v>0</v>
      </c>
      <c r="H31" s="336">
        <f>SUMMARY!AA50</f>
        <v>5920</v>
      </c>
      <c r="I31" s="336"/>
      <c r="J31" s="336"/>
      <c r="K31" s="336"/>
      <c r="L31" s="336"/>
      <c r="M31" s="339"/>
      <c r="N31" s="336"/>
      <c r="O31" s="413">
        <f t="shared" si="0"/>
        <v>-5920</v>
      </c>
      <c r="P31" s="339"/>
      <c r="Q31" s="336"/>
      <c r="R31" s="499"/>
      <c r="S31" s="336"/>
      <c r="T31" s="500"/>
      <c r="U31" s="336"/>
      <c r="V31" s="329"/>
      <c r="W31" s="501"/>
      <c r="X31" s="329"/>
      <c r="Y31" s="502"/>
      <c r="Z31" s="502"/>
      <c r="AA31" s="502"/>
      <c r="AB31" s="502"/>
      <c r="AC31" s="502"/>
    </row>
    <row r="32" spans="1:29">
      <c r="A32" s="338"/>
      <c r="B32" s="413" t="str">
        <f>SUMMARY!AB3</f>
        <v>PREMIX 8101 (20KG)</v>
      </c>
      <c r="C32" s="338" t="s">
        <v>346</v>
      </c>
      <c r="D32" s="336">
        <f>SUMMARY!AB46</f>
        <v>720</v>
      </c>
      <c r="E32" s="336">
        <f>SUMMARY!AB47</f>
        <v>0</v>
      </c>
      <c r="F32" s="336">
        <f>SUMMARY!AB48</f>
        <v>0</v>
      </c>
      <c r="G32" s="336">
        <f>SUMMARY!AB49</f>
        <v>0</v>
      </c>
      <c r="H32" s="336">
        <f>SUMMARY!AB50</f>
        <v>720</v>
      </c>
      <c r="I32" s="336"/>
      <c r="J32" s="336"/>
      <c r="K32" s="336"/>
      <c r="L32" s="336"/>
      <c r="M32" s="339"/>
      <c r="N32" s="336"/>
      <c r="O32" s="413">
        <f t="shared" si="0"/>
        <v>-720</v>
      </c>
      <c r="P32" s="339"/>
      <c r="Q32" s="336"/>
      <c r="R32" s="499"/>
      <c r="S32" s="336"/>
      <c r="T32" s="500"/>
      <c r="U32" s="336"/>
      <c r="V32" s="329"/>
      <c r="W32" s="501"/>
      <c r="X32" s="329"/>
      <c r="Y32" s="502"/>
      <c r="Z32" s="502"/>
      <c r="AA32" s="502"/>
      <c r="AB32" s="502"/>
      <c r="AC32" s="502"/>
    </row>
    <row r="33" spans="1:29">
      <c r="A33" s="338"/>
      <c r="B33" s="413" t="str">
        <f>SUMMARY!AC3</f>
        <v>PREMIX 8102 (20KG)</v>
      </c>
      <c r="C33" s="338" t="s">
        <v>346</v>
      </c>
      <c r="D33" s="336">
        <f>SUMMARY!AC46</f>
        <v>6520</v>
      </c>
      <c r="E33" s="336">
        <f>SUMMARY!AC47</f>
        <v>0</v>
      </c>
      <c r="F33" s="336">
        <f>SUMMARY!AC48</f>
        <v>840</v>
      </c>
      <c r="G33" s="336">
        <f>SUMMARY!AC49</f>
        <v>-4000</v>
      </c>
      <c r="H33" s="336">
        <f>SUMMARY!AC50</f>
        <v>1680</v>
      </c>
      <c r="I33" s="336"/>
      <c r="J33" s="336"/>
      <c r="K33" s="336"/>
      <c r="L33" s="336"/>
      <c r="M33" s="339"/>
      <c r="N33" s="336"/>
      <c r="O33" s="413">
        <f t="shared" si="0"/>
        <v>-1680</v>
      </c>
      <c r="P33" s="339"/>
      <c r="Q33" s="336"/>
      <c r="R33" s="499"/>
      <c r="S33" s="336"/>
      <c r="T33" s="500"/>
      <c r="U33" s="336"/>
      <c r="V33" s="329"/>
      <c r="W33" s="501"/>
      <c r="X33" s="329"/>
      <c r="Y33" s="502"/>
      <c r="Z33" s="502"/>
      <c r="AA33" s="502"/>
      <c r="AB33" s="502"/>
      <c r="AC33" s="502"/>
    </row>
    <row r="34" spans="1:29">
      <c r="A34" s="338"/>
      <c r="B34" s="413" t="str">
        <f>SUMMARY!AD3</f>
        <v>PREMIX 8103 (20KG)</v>
      </c>
      <c r="C34" s="338" t="s">
        <v>346</v>
      </c>
      <c r="D34" s="336">
        <f>SUMMARY!AD46</f>
        <v>4960</v>
      </c>
      <c r="E34" s="336">
        <f>SUMMARY!AD47</f>
        <v>0</v>
      </c>
      <c r="F34" s="336">
        <f>SUMMARY!AD48</f>
        <v>0</v>
      </c>
      <c r="G34" s="336">
        <f>SUMMARY!AD49</f>
        <v>0</v>
      </c>
      <c r="H34" s="336">
        <f>SUMMARY!AD50</f>
        <v>4960</v>
      </c>
      <c r="I34" s="336"/>
      <c r="J34" s="336"/>
      <c r="K34" s="336"/>
      <c r="L34" s="336"/>
      <c r="M34" s="339"/>
      <c r="N34" s="336"/>
      <c r="O34" s="413">
        <f t="shared" si="0"/>
        <v>-4960</v>
      </c>
      <c r="P34" s="339"/>
      <c r="Q34" s="336"/>
      <c r="R34" s="499"/>
      <c r="S34" s="336"/>
      <c r="T34" s="500"/>
      <c r="U34" s="336"/>
      <c r="V34" s="329"/>
      <c r="W34" s="501"/>
      <c r="X34" s="329"/>
      <c r="Y34" s="502"/>
      <c r="Z34" s="502"/>
      <c r="AA34" s="502"/>
      <c r="AB34" s="502"/>
      <c r="AC34" s="502"/>
    </row>
    <row r="35" spans="1:29">
      <c r="A35" s="338"/>
      <c r="B35" s="413" t="str">
        <f>SUMMARY!AE3</f>
        <v>PREMIX 8108 (20KG)</v>
      </c>
      <c r="C35" s="338" t="s">
        <v>346</v>
      </c>
      <c r="D35" s="336">
        <f>SUMMARY!AE46</f>
        <v>0</v>
      </c>
      <c r="E35" s="336">
        <f>SUMMARY!AE47</f>
        <v>0</v>
      </c>
      <c r="F35" s="336">
        <f>SUMMARY!AE48</f>
        <v>0</v>
      </c>
      <c r="G35" s="336">
        <f>SUMMARY!AE49</f>
        <v>0</v>
      </c>
      <c r="H35" s="336">
        <f>SUMMARY!AE50</f>
        <v>0</v>
      </c>
      <c r="I35" s="336"/>
      <c r="J35" s="336"/>
      <c r="K35" s="336"/>
      <c r="L35" s="336"/>
      <c r="M35" s="339"/>
      <c r="N35" s="336"/>
      <c r="O35" s="413">
        <f t="shared" si="0"/>
        <v>0</v>
      </c>
      <c r="P35" s="339"/>
      <c r="Q35" s="336"/>
      <c r="R35" s="499"/>
      <c r="S35" s="336"/>
      <c r="T35" s="500"/>
      <c r="U35" s="336"/>
      <c r="V35" s="329"/>
      <c r="W35" s="501"/>
      <c r="X35" s="329"/>
      <c r="Y35" s="502"/>
      <c r="Z35" s="502"/>
      <c r="AA35" s="502"/>
      <c r="AB35" s="502"/>
      <c r="AC35" s="502"/>
    </row>
    <row r="36" spans="1:29">
      <c r="A36" s="338"/>
      <c r="B36" s="413" t="str">
        <f>SUMMARY!AF3</f>
        <v>PREMIX 8109 (20KG)</v>
      </c>
      <c r="C36" s="338" t="s">
        <v>346</v>
      </c>
      <c r="D36" s="336">
        <f>SUMMARY!AF46</f>
        <v>0</v>
      </c>
      <c r="E36" s="336">
        <f>SUMMARY!AF47</f>
        <v>0</v>
      </c>
      <c r="F36" s="336">
        <f>SUMMARY!AF48</f>
        <v>2520</v>
      </c>
      <c r="G36" s="336">
        <f>SUMMARY!AF49</f>
        <v>2520</v>
      </c>
      <c r="H36" s="336">
        <f>SUMMARY!AF50</f>
        <v>0</v>
      </c>
      <c r="I36" s="336"/>
      <c r="J36" s="336"/>
      <c r="K36" s="336"/>
      <c r="L36" s="336"/>
      <c r="M36" s="339"/>
      <c r="N36" s="336"/>
      <c r="O36" s="413">
        <f t="shared" si="0"/>
        <v>0</v>
      </c>
      <c r="P36" s="339"/>
      <c r="Q36" s="336"/>
      <c r="R36" s="499"/>
      <c r="S36" s="336"/>
      <c r="T36" s="500"/>
      <c r="U36" s="336"/>
      <c r="V36" s="329"/>
      <c r="W36" s="501"/>
      <c r="X36" s="329"/>
      <c r="Y36" s="502"/>
      <c r="Z36" s="502"/>
      <c r="AA36" s="502"/>
      <c r="AB36" s="502"/>
      <c r="AC36" s="502"/>
    </row>
    <row r="37" spans="1:29">
      <c r="A37" s="338"/>
      <c r="B37" s="413" t="str">
        <f>SUMMARY!AG3</f>
        <v>YENMIX 121 (20KG)</v>
      </c>
      <c r="C37" s="338" t="s">
        <v>346</v>
      </c>
      <c r="D37" s="336">
        <f>SUMMARY!AG46</f>
        <v>2540</v>
      </c>
      <c r="E37" s="336">
        <f>SUMMARY!AG47</f>
        <v>0</v>
      </c>
      <c r="F37" s="336">
        <f>SUMMARY!AG48</f>
        <v>0</v>
      </c>
      <c r="G37" s="336">
        <f>SUMMARY!AG49</f>
        <v>0</v>
      </c>
      <c r="H37" s="336">
        <f>SUMMARY!AG50</f>
        <v>2540</v>
      </c>
      <c r="I37" s="336"/>
      <c r="J37" s="336"/>
      <c r="K37" s="336"/>
      <c r="L37" s="336"/>
      <c r="M37" s="339"/>
      <c r="N37" s="336"/>
      <c r="O37" s="413">
        <f t="shared" si="0"/>
        <v>-2540</v>
      </c>
      <c r="P37" s="339"/>
      <c r="Q37" s="336"/>
      <c r="R37" s="499"/>
      <c r="S37" s="336"/>
      <c r="T37" s="500"/>
      <c r="U37" s="336"/>
      <c r="V37" s="329"/>
      <c r="W37" s="501"/>
      <c r="X37" s="329"/>
      <c r="Y37" s="502"/>
      <c r="Z37" s="502"/>
      <c r="AA37" s="502"/>
      <c r="AB37" s="502"/>
      <c r="AC37" s="502"/>
    </row>
    <row r="38" spans="1:29">
      <c r="A38" s="338"/>
      <c r="B38" s="413" t="str">
        <f>SUMMARY!AH3</f>
        <v>YENMIX 122 (19.50KG)</v>
      </c>
      <c r="C38" s="338" t="s">
        <v>346</v>
      </c>
      <c r="D38" s="336">
        <f>SUMMARY!AH46</f>
        <v>2359.5</v>
      </c>
      <c r="E38" s="336">
        <f>SUMMARY!AH47</f>
        <v>0</v>
      </c>
      <c r="F38" s="336">
        <f>SUMMARY!AH48</f>
        <v>0</v>
      </c>
      <c r="G38" s="336">
        <f>SUMMARY!AH49</f>
        <v>0</v>
      </c>
      <c r="H38" s="336">
        <f>SUMMARY!AH50</f>
        <v>2359.5</v>
      </c>
      <c r="I38" s="336"/>
      <c r="J38" s="336"/>
      <c r="K38" s="336"/>
      <c r="L38" s="336"/>
      <c r="M38" s="339"/>
      <c r="N38" s="336"/>
      <c r="O38" s="413">
        <f t="shared" si="0"/>
        <v>-2359.5</v>
      </c>
      <c r="P38" s="339"/>
      <c r="Q38" s="336"/>
      <c r="R38" s="499"/>
      <c r="S38" s="336"/>
      <c r="T38" s="500"/>
      <c r="U38" s="336"/>
      <c r="V38" s="329"/>
      <c r="W38" s="501"/>
      <c r="X38" s="329"/>
      <c r="Y38" s="502"/>
      <c r="Z38" s="502"/>
      <c r="AA38" s="502"/>
      <c r="AB38" s="502"/>
      <c r="AC38" s="502"/>
    </row>
    <row r="39" spans="1:29">
      <c r="A39" s="338"/>
      <c r="B39" s="413" t="str">
        <f>SUMMARY!AI3</f>
        <v>YENMIX 123 (18.90KG)</v>
      </c>
      <c r="C39" s="338" t="s">
        <v>346</v>
      </c>
      <c r="D39" s="336">
        <f>SUMMARY!AI46</f>
        <v>1890</v>
      </c>
      <c r="E39" s="336">
        <f>SUMMARY!AI47</f>
        <v>0</v>
      </c>
      <c r="F39" s="336">
        <f>SUMMARY!AI48</f>
        <v>0</v>
      </c>
      <c r="G39" s="336">
        <f>SUMMARY!AI49</f>
        <v>0</v>
      </c>
      <c r="H39" s="336">
        <f>SUMMARY!AI50</f>
        <v>1890</v>
      </c>
      <c r="I39" s="336"/>
      <c r="J39" s="336"/>
      <c r="K39" s="336"/>
      <c r="L39" s="336"/>
      <c r="M39" s="339"/>
      <c r="N39" s="336"/>
      <c r="O39" s="413">
        <f t="shared" si="0"/>
        <v>-1890</v>
      </c>
      <c r="P39" s="339"/>
      <c r="Q39" s="336"/>
      <c r="R39" s="499"/>
      <c r="S39" s="336"/>
      <c r="T39" s="500"/>
      <c r="U39" s="336"/>
      <c r="V39" s="329"/>
      <c r="W39" s="501"/>
      <c r="X39" s="329"/>
      <c r="Y39" s="502"/>
      <c r="Z39" s="502"/>
      <c r="AA39" s="502"/>
      <c r="AB39" s="502"/>
      <c r="AC39" s="502"/>
    </row>
    <row r="40" spans="1:29">
      <c r="A40" s="338"/>
      <c r="B40" s="413" t="str">
        <f>SUMMARY!AJ3</f>
        <v>YENMIX 122 (20.50KG)</v>
      </c>
      <c r="C40" s="338" t="s">
        <v>346</v>
      </c>
      <c r="D40" s="336">
        <f>SUMMARY!AJ46</f>
        <v>3690</v>
      </c>
      <c r="E40" s="336">
        <f>SUMMARY!AJ47</f>
        <v>0</v>
      </c>
      <c r="F40" s="336">
        <f>SUMMARY!AJ48</f>
        <v>0</v>
      </c>
      <c r="G40" s="336">
        <f>SUMMARY!AJ49</f>
        <v>0</v>
      </c>
      <c r="H40" s="336">
        <f>SUMMARY!AJ50</f>
        <v>3690</v>
      </c>
      <c r="I40" s="336"/>
      <c r="J40" s="336"/>
      <c r="K40" s="336"/>
      <c r="L40" s="336"/>
      <c r="M40" s="339"/>
      <c r="N40" s="336"/>
      <c r="O40" s="413">
        <f t="shared" si="0"/>
        <v>-3690</v>
      </c>
      <c r="P40" s="339"/>
      <c r="Q40" s="336"/>
      <c r="R40" s="499"/>
      <c r="S40" s="336"/>
      <c r="T40" s="500"/>
      <c r="U40" s="336"/>
      <c r="V40" s="329"/>
      <c r="W40" s="501"/>
      <c r="X40" s="329"/>
      <c r="Y40" s="502"/>
      <c r="Z40" s="502"/>
      <c r="AA40" s="502"/>
      <c r="AB40" s="502"/>
      <c r="AC40" s="502"/>
    </row>
    <row r="41" spans="1:29">
      <c r="A41" s="338"/>
      <c r="B41" s="413" t="str">
        <f>SUMMARY!AK3</f>
        <v>YENMIX 123 (20.00KG)</v>
      </c>
      <c r="C41" s="338" t="s">
        <v>346</v>
      </c>
      <c r="D41" s="336">
        <f>SUMMARY!AK46</f>
        <v>4000</v>
      </c>
      <c r="E41" s="336">
        <f>SUMMARY!AK47</f>
        <v>0</v>
      </c>
      <c r="F41" s="336">
        <f>SUMMARY!AK48</f>
        <v>0</v>
      </c>
      <c r="G41" s="336">
        <f>SUMMARY!AK49</f>
        <v>0</v>
      </c>
      <c r="H41" s="336">
        <f>SUMMARY!AK50</f>
        <v>4000</v>
      </c>
      <c r="I41" s="336"/>
      <c r="J41" s="336"/>
      <c r="K41" s="336"/>
      <c r="L41" s="336"/>
      <c r="M41" s="339"/>
      <c r="N41" s="336"/>
      <c r="O41" s="413">
        <f t="shared" si="0"/>
        <v>-4000</v>
      </c>
      <c r="P41" s="339"/>
      <c r="Q41" s="336"/>
      <c r="R41" s="499"/>
      <c r="S41" s="336"/>
      <c r="T41" s="500"/>
      <c r="U41" s="336"/>
      <c r="V41" s="329"/>
      <c r="W41" s="501"/>
      <c r="X41" s="329"/>
      <c r="Y41" s="502"/>
      <c r="Z41" s="502"/>
      <c r="AA41" s="502"/>
      <c r="AB41" s="502"/>
      <c r="AC41" s="502"/>
    </row>
    <row r="42" spans="1:29">
      <c r="A42" s="338"/>
      <c r="B42" s="413">
        <f>SUMMARY!AL3</f>
        <v>1</v>
      </c>
      <c r="C42" s="338" t="s">
        <v>346</v>
      </c>
      <c r="D42" s="336">
        <f>SUMMARY!AL46</f>
        <v>0</v>
      </c>
      <c r="E42" s="336">
        <f>SUMMARY!AL47</f>
        <v>0</v>
      </c>
      <c r="F42" s="336">
        <f>SUMMARY!AL48</f>
        <v>0</v>
      </c>
      <c r="G42" s="336">
        <f>SUMMARY!AL49</f>
        <v>0</v>
      </c>
      <c r="H42" s="336">
        <f>SUMMARY!AL50</f>
        <v>0</v>
      </c>
      <c r="I42" s="336"/>
      <c r="J42" s="336"/>
      <c r="K42" s="336"/>
      <c r="L42" s="336"/>
      <c r="M42" s="339"/>
      <c r="N42" s="336"/>
      <c r="O42" s="413">
        <f t="shared" si="0"/>
        <v>0</v>
      </c>
      <c r="P42" s="339"/>
      <c r="Q42" s="336"/>
      <c r="R42" s="336"/>
      <c r="S42" s="336"/>
      <c r="T42" s="336"/>
      <c r="U42" s="336"/>
      <c r="V42" s="329"/>
      <c r="W42" s="501"/>
      <c r="X42" s="329"/>
      <c r="Y42" s="502"/>
      <c r="Z42" s="502"/>
      <c r="AA42" s="502"/>
      <c r="AB42" s="502"/>
      <c r="AC42" s="502"/>
    </row>
    <row r="43" spans="1:29">
      <c r="A43" s="338"/>
      <c r="B43" s="413">
        <f>SUMMARY!AM3</f>
        <v>2</v>
      </c>
      <c r="C43" s="338" t="s">
        <v>346</v>
      </c>
      <c r="D43" s="336">
        <f>SUMMARY!AM46</f>
        <v>0</v>
      </c>
      <c r="E43" s="336">
        <f>SUMMARY!AM47</f>
        <v>0</v>
      </c>
      <c r="F43" s="336">
        <f>SUMMARY!AM48</f>
        <v>0</v>
      </c>
      <c r="G43" s="336">
        <f>SUMMARY!AM49</f>
        <v>0</v>
      </c>
      <c r="H43" s="336">
        <f>SUMMARY!AM50</f>
        <v>0</v>
      </c>
      <c r="I43" s="336"/>
      <c r="J43" s="336"/>
      <c r="K43" s="336"/>
      <c r="L43" s="336"/>
      <c r="M43" s="339"/>
      <c r="N43" s="336"/>
      <c r="O43" s="413">
        <f t="shared" si="0"/>
        <v>0</v>
      </c>
      <c r="P43" s="339"/>
      <c r="Q43" s="336"/>
      <c r="R43" s="336"/>
      <c r="S43" s="336"/>
      <c r="T43" s="336"/>
      <c r="U43" s="336"/>
      <c r="V43" s="329"/>
      <c r="W43" s="501"/>
      <c r="X43" s="329"/>
      <c r="Y43" s="502"/>
      <c r="Z43" s="502"/>
      <c r="AA43" s="502"/>
      <c r="AB43" s="502"/>
      <c r="AC43" s="502"/>
    </row>
    <row r="44" spans="1:29">
      <c r="A44" s="338"/>
      <c r="B44" s="413">
        <f>SUMMARY!AN3</f>
        <v>3</v>
      </c>
      <c r="C44" s="338" t="s">
        <v>346</v>
      </c>
      <c r="D44" s="336">
        <f>SUMMARY!AN46</f>
        <v>0</v>
      </c>
      <c r="E44" s="336">
        <f>SUMMARY!AN47</f>
        <v>0</v>
      </c>
      <c r="F44" s="336">
        <f>SUMMARY!AN48</f>
        <v>0</v>
      </c>
      <c r="G44" s="336">
        <f>SUMMARY!AN49</f>
        <v>0</v>
      </c>
      <c r="H44" s="336">
        <f>SUMMARY!AN50</f>
        <v>0</v>
      </c>
      <c r="I44" s="336"/>
      <c r="J44" s="336"/>
      <c r="K44" s="336"/>
      <c r="L44" s="336"/>
      <c r="M44" s="339"/>
      <c r="N44" s="336"/>
      <c r="O44" s="413">
        <f t="shared" si="0"/>
        <v>0</v>
      </c>
      <c r="P44" s="339"/>
      <c r="Q44" s="336"/>
      <c r="R44" s="336"/>
      <c r="S44" s="336"/>
      <c r="T44" s="336"/>
      <c r="U44" s="336"/>
      <c r="V44" s="329"/>
      <c r="W44" s="501"/>
      <c r="X44" s="329"/>
      <c r="Y44" s="502"/>
      <c r="Z44" s="502"/>
      <c r="AA44" s="502"/>
      <c r="AB44" s="502"/>
      <c r="AC44" s="502"/>
    </row>
    <row r="45" spans="1:29">
      <c r="A45" s="338"/>
      <c r="B45" s="413" t="str">
        <f>SUMMARY!AO3</f>
        <v>TOXISORB PREMIUM</v>
      </c>
      <c r="C45" s="338" t="s">
        <v>346</v>
      </c>
      <c r="D45" s="336">
        <f>SUMMARY!AO46</f>
        <v>3595</v>
      </c>
      <c r="E45" s="336">
        <f>SUMMARY!AO47</f>
        <v>0</v>
      </c>
      <c r="F45" s="336">
        <f>SUMMARY!AO48</f>
        <v>34</v>
      </c>
      <c r="G45" s="336">
        <f>SUMMARY!AO49</f>
        <v>0</v>
      </c>
      <c r="H45" s="336">
        <f>SUMMARY!AO50</f>
        <v>2216</v>
      </c>
      <c r="I45" s="336"/>
      <c r="J45" s="336"/>
      <c r="K45" s="336"/>
      <c r="L45" s="336"/>
      <c r="M45" s="339"/>
      <c r="N45" s="336"/>
      <c r="O45" s="413">
        <f t="shared" si="0"/>
        <v>-2216</v>
      </c>
      <c r="P45" s="339"/>
      <c r="Q45" s="336"/>
      <c r="R45" s="499"/>
      <c r="S45" s="336"/>
      <c r="T45" s="500"/>
      <c r="U45" s="336"/>
      <c r="V45" s="329"/>
      <c r="W45" s="501"/>
      <c r="X45" s="329"/>
      <c r="Y45" s="502"/>
      <c r="Z45" s="502"/>
      <c r="AA45" s="502"/>
      <c r="AB45" s="502"/>
      <c r="AC45" s="502"/>
    </row>
    <row r="46" spans="1:29">
      <c r="A46" s="338"/>
      <c r="B46" s="413" t="str">
        <f>SUMMARY!AP3</f>
        <v>SODIUM HUMATE 3.8% (HARUMI)</v>
      </c>
      <c r="C46" s="338" t="s">
        <v>346</v>
      </c>
      <c r="D46" s="336">
        <f>SUMMARY!AP46</f>
        <v>0</v>
      </c>
      <c r="E46" s="336">
        <f>SUMMARY!AP47</f>
        <v>12006</v>
      </c>
      <c r="F46" s="336">
        <f>SUMMARY!AP48</f>
        <v>618</v>
      </c>
      <c r="G46" s="336">
        <f>SUMMARY!AP49</f>
        <v>0</v>
      </c>
      <c r="H46" s="336">
        <f>SUMMARY!AP50</f>
        <v>0</v>
      </c>
      <c r="I46" s="336"/>
      <c r="J46" s="336"/>
      <c r="K46" s="336"/>
      <c r="L46" s="336"/>
      <c r="M46" s="339"/>
      <c r="N46" s="336"/>
      <c r="O46" s="413">
        <f t="shared" si="0"/>
        <v>0</v>
      </c>
      <c r="P46" s="339"/>
      <c r="Q46" s="336"/>
      <c r="R46" s="499"/>
      <c r="S46" s="336"/>
      <c r="T46" s="500"/>
      <c r="U46" s="336"/>
      <c r="V46" s="329"/>
      <c r="W46" s="501"/>
      <c r="X46" s="329"/>
      <c r="Y46" s="502"/>
      <c r="Z46" s="502"/>
      <c r="AA46" s="502"/>
      <c r="AB46" s="502"/>
      <c r="AC46" s="502"/>
    </row>
    <row r="47" spans="1:29">
      <c r="A47" s="338"/>
      <c r="B47" s="413" t="s">
        <v>41</v>
      </c>
      <c r="C47" s="338" t="s">
        <v>346</v>
      </c>
      <c r="D47" s="336"/>
      <c r="E47" s="336"/>
      <c r="F47" s="336"/>
      <c r="G47" s="336"/>
      <c r="H47" s="336"/>
      <c r="I47" s="336"/>
      <c r="J47" s="336"/>
      <c r="K47" s="336"/>
      <c r="L47" s="336"/>
      <c r="M47" s="339"/>
      <c r="N47" s="336"/>
      <c r="O47" s="413"/>
      <c r="P47" s="339"/>
      <c r="Q47" s="336"/>
      <c r="R47" s="499"/>
      <c r="S47" s="336"/>
      <c r="T47" s="500"/>
      <c r="U47" s="336"/>
      <c r="V47" s="329"/>
      <c r="W47" s="501"/>
      <c r="X47" s="329"/>
      <c r="Y47" s="502"/>
      <c r="Z47" s="502"/>
      <c r="AA47" s="502"/>
      <c r="AB47" s="502"/>
      <c r="AC47" s="502"/>
    </row>
    <row r="48" spans="1:29">
      <c r="A48" s="338"/>
      <c r="B48" s="413" t="str">
        <f>SUMMARY!AR3</f>
        <v>SODIUM BICARBONATE</v>
      </c>
      <c r="C48" s="338" t="s">
        <v>346</v>
      </c>
      <c r="D48" s="336">
        <f>SUMMARY!AR46</f>
        <v>3111.9999999999995</v>
      </c>
      <c r="E48" s="336">
        <f>SUMMARY!AR47</f>
        <v>0</v>
      </c>
      <c r="F48" s="336">
        <f>SUMMARY!AR48</f>
        <v>0</v>
      </c>
      <c r="G48" s="336">
        <f>SUMMARY!AR49</f>
        <v>0</v>
      </c>
      <c r="H48" s="336">
        <f>SUMMARY!AR50</f>
        <v>3111.9999999999995</v>
      </c>
      <c r="I48" s="336"/>
      <c r="J48" s="336"/>
      <c r="K48" s="336"/>
      <c r="L48" s="336"/>
      <c r="M48" s="339"/>
      <c r="N48" s="336"/>
      <c r="O48" s="413"/>
      <c r="P48" s="339"/>
      <c r="Q48" s="336"/>
      <c r="R48" s="499"/>
      <c r="S48" s="336"/>
      <c r="T48" s="500"/>
      <c r="U48" s="336"/>
      <c r="V48" s="329"/>
      <c r="W48" s="501"/>
      <c r="X48" s="329"/>
      <c r="Y48" s="502"/>
      <c r="Z48" s="502"/>
      <c r="AA48" s="502"/>
      <c r="AB48" s="502"/>
      <c r="AC48" s="502"/>
    </row>
    <row r="49" spans="1:29">
      <c r="A49" s="338"/>
      <c r="B49" s="413" t="str">
        <f>SUMMARY!AS3</f>
        <v>BMD 10%</v>
      </c>
      <c r="C49" s="338" t="s">
        <v>346</v>
      </c>
      <c r="D49" s="336">
        <f>SUMMARY!AS46</f>
        <v>1680.5</v>
      </c>
      <c r="E49" s="336">
        <f>SUMMARY!AS47</f>
        <v>0</v>
      </c>
      <c r="F49" s="336">
        <f>SUMMARY!AS48</f>
        <v>0</v>
      </c>
      <c r="G49" s="336">
        <f>SUMMARY!AS49</f>
        <v>0</v>
      </c>
      <c r="H49" s="336">
        <f>SUMMARY!AS50</f>
        <v>1680.5</v>
      </c>
      <c r="I49" s="336"/>
      <c r="J49" s="336"/>
      <c r="K49" s="336"/>
      <c r="L49" s="336"/>
      <c r="M49" s="339"/>
      <c r="N49" s="336"/>
      <c r="O49" s="413">
        <f t="shared" si="0"/>
        <v>-1680.5</v>
      </c>
      <c r="P49" s="339"/>
      <c r="Q49" s="336"/>
      <c r="R49" s="499"/>
      <c r="S49" s="336"/>
      <c r="T49" s="500"/>
      <c r="U49" s="336"/>
      <c r="V49" s="329"/>
      <c r="W49" s="501"/>
      <c r="X49" s="329"/>
      <c r="Y49" s="502"/>
      <c r="Z49" s="502"/>
      <c r="AA49" s="502"/>
      <c r="AB49" s="502"/>
      <c r="AC49" s="502"/>
    </row>
    <row r="50" spans="1:29">
      <c r="A50" s="338"/>
      <c r="B50" s="413" t="str">
        <f>SUMMARY!AT3</f>
        <v>SALT (HARUMI)</v>
      </c>
      <c r="C50" s="338" t="s">
        <v>346</v>
      </c>
      <c r="D50" s="336">
        <f>SUMMARY!AT46</f>
        <v>0</v>
      </c>
      <c r="E50" s="336">
        <f>SUMMARY!AT47</f>
        <v>2089.6</v>
      </c>
      <c r="F50" s="336">
        <f>SUMMARY!AT48</f>
        <v>2089.6</v>
      </c>
      <c r="G50" s="336">
        <f>SUMMARY!AT49</f>
        <v>0</v>
      </c>
      <c r="H50" s="336">
        <f>SUMMARY!AT50</f>
        <v>0</v>
      </c>
      <c r="I50" s="336"/>
      <c r="J50" s="336"/>
      <c r="K50" s="336"/>
      <c r="L50" s="336"/>
      <c r="M50" s="339"/>
      <c r="N50" s="336"/>
      <c r="O50" s="413">
        <f t="shared" si="0"/>
        <v>0</v>
      </c>
      <c r="P50" s="339"/>
      <c r="Q50" s="336"/>
      <c r="R50" s="499"/>
      <c r="S50" s="336"/>
      <c r="T50" s="500"/>
      <c r="U50" s="336"/>
      <c r="V50" s="329"/>
      <c r="W50" s="501"/>
      <c r="X50" s="329"/>
      <c r="Y50" s="502"/>
      <c r="Z50" s="502"/>
      <c r="AA50" s="502"/>
      <c r="AB50" s="502"/>
      <c r="AC50" s="502"/>
    </row>
    <row r="51" spans="1:29">
      <c r="A51" s="338"/>
      <c r="B51" s="413" t="str">
        <f>SUMMARY!AU3</f>
        <v>VISTABET 91</v>
      </c>
      <c r="C51" s="338" t="s">
        <v>346</v>
      </c>
      <c r="D51" s="336">
        <f>SUMMARY!AU46</f>
        <v>1482</v>
      </c>
      <c r="E51" s="336">
        <f>SUMMARY!AU47</f>
        <v>0</v>
      </c>
      <c r="F51" s="336">
        <f>SUMMARY!AU48</f>
        <v>0</v>
      </c>
      <c r="G51" s="336">
        <f>SUMMARY!AU49</f>
        <v>0</v>
      </c>
      <c r="H51" s="336">
        <f>SUMMARY!AU50</f>
        <v>1482</v>
      </c>
      <c r="I51" s="336"/>
      <c r="J51" s="336"/>
      <c r="K51" s="336"/>
      <c r="L51" s="336"/>
      <c r="M51" s="339"/>
      <c r="N51" s="336"/>
      <c r="O51" s="413">
        <f t="shared" si="0"/>
        <v>-1482</v>
      </c>
      <c r="P51" s="339"/>
      <c r="Q51" s="336"/>
      <c r="R51" s="499"/>
      <c r="S51" s="336"/>
      <c r="T51" s="500"/>
      <c r="U51" s="336"/>
      <c r="V51" s="329"/>
      <c r="W51" s="501"/>
      <c r="X51" s="329"/>
      <c r="Y51" s="502"/>
      <c r="Z51" s="502"/>
      <c r="AA51" s="502"/>
      <c r="AB51" s="502"/>
      <c r="AC51" s="502"/>
    </row>
    <row r="52" spans="1:29">
      <c r="A52" s="338"/>
      <c r="B52" s="413" t="str">
        <f>SUMMARY!AV3</f>
        <v>BETAFIN</v>
      </c>
      <c r="C52" s="338" t="s">
        <v>346</v>
      </c>
      <c r="D52" s="336">
        <f>SUMMARY!AV46</f>
        <v>0</v>
      </c>
      <c r="E52" s="336">
        <f>SUMMARY!AV47</f>
        <v>0</v>
      </c>
      <c r="F52" s="336">
        <f>SUMMARY!AV48</f>
        <v>0</v>
      </c>
      <c r="G52" s="336">
        <f>SUMMARY!AV49</f>
        <v>0</v>
      </c>
      <c r="H52" s="336">
        <f>SUMMARY!AV50</f>
        <v>0</v>
      </c>
      <c r="I52" s="336"/>
      <c r="J52" s="336"/>
      <c r="K52" s="336"/>
      <c r="L52" s="336"/>
      <c r="M52" s="339"/>
      <c r="N52" s="336"/>
      <c r="O52" s="413">
        <f t="shared" si="0"/>
        <v>0</v>
      </c>
      <c r="P52" s="339"/>
      <c r="Q52" s="336"/>
      <c r="R52" s="499"/>
      <c r="S52" s="336"/>
      <c r="T52" s="500"/>
      <c r="U52" s="336"/>
      <c r="V52" s="329"/>
      <c r="W52" s="501"/>
      <c r="X52" s="329"/>
      <c r="Y52" s="502"/>
      <c r="Z52" s="502"/>
      <c r="AA52" s="502"/>
      <c r="AB52" s="502"/>
      <c r="AC52" s="502"/>
    </row>
    <row r="53" spans="1:29">
      <c r="A53" s="338"/>
      <c r="B53" s="413" t="str">
        <f>SUMMARY!AW3</f>
        <v>8101 TOP UP</v>
      </c>
      <c r="C53" s="338" t="s">
        <v>346</v>
      </c>
      <c r="D53" s="336">
        <f>SUMMARY!AW46</f>
        <v>100</v>
      </c>
      <c r="E53" s="336">
        <f>SUMMARY!AW47</f>
        <v>0</v>
      </c>
      <c r="F53" s="336">
        <f>SUMMARY!AW48</f>
        <v>0</v>
      </c>
      <c r="G53" s="336">
        <f>SUMMARY!AW49</f>
        <v>0</v>
      </c>
      <c r="H53" s="336">
        <f>SUMMARY!AW50</f>
        <v>100</v>
      </c>
      <c r="I53" s="336"/>
      <c r="J53" s="336"/>
      <c r="K53" s="336"/>
      <c r="L53" s="336"/>
      <c r="M53" s="339"/>
      <c r="N53" s="336"/>
      <c r="O53" s="413">
        <f t="shared" si="0"/>
        <v>-100</v>
      </c>
      <c r="P53" s="339"/>
      <c r="Q53" s="336"/>
      <c r="R53" s="499"/>
      <c r="S53" s="336"/>
      <c r="T53" s="500"/>
      <c r="U53" s="336"/>
      <c r="V53" s="329"/>
      <c r="W53" s="501"/>
      <c r="X53" s="329"/>
      <c r="Y53" s="502"/>
      <c r="Z53" s="502"/>
      <c r="AA53" s="502"/>
      <c r="AB53" s="502"/>
      <c r="AC53" s="502"/>
    </row>
    <row r="54" spans="1:29">
      <c r="A54" s="338"/>
      <c r="B54" s="413" t="str">
        <f>SUMMARY!AX3</f>
        <v>NORPONIN X03 (8102 TOP UP)</v>
      </c>
      <c r="C54" s="338" t="s">
        <v>346</v>
      </c>
      <c r="D54" s="336">
        <f>SUMMARY!AX46</f>
        <v>13.960000000000036</v>
      </c>
      <c r="E54" s="336">
        <f>SUMMARY!AX47</f>
        <v>0</v>
      </c>
      <c r="F54" s="336">
        <f>SUMMARY!AX48</f>
        <v>0</v>
      </c>
      <c r="G54" s="336">
        <f>SUMMARY!AX49</f>
        <v>0</v>
      </c>
      <c r="H54" s="336">
        <f>SUMMARY!AX50</f>
        <v>13.960000000000036</v>
      </c>
      <c r="I54" s="336"/>
      <c r="J54" s="336"/>
      <c r="K54" s="336"/>
      <c r="L54" s="336"/>
      <c r="M54" s="339"/>
      <c r="N54" s="336"/>
      <c r="O54" s="413">
        <f t="shared" si="0"/>
        <v>-13.960000000000036</v>
      </c>
      <c r="P54" s="339"/>
      <c r="Q54" s="336"/>
      <c r="R54" s="499"/>
      <c r="S54" s="336"/>
      <c r="T54" s="500"/>
      <c r="U54" s="336"/>
      <c r="V54" s="329"/>
      <c r="W54" s="501"/>
      <c r="X54" s="329"/>
      <c r="Y54" s="502"/>
      <c r="Z54" s="502"/>
      <c r="AA54" s="502"/>
      <c r="AB54" s="502"/>
      <c r="AC54" s="502"/>
    </row>
    <row r="55" spans="1:29">
      <c r="A55" s="338"/>
      <c r="B55" s="413" t="str">
        <f>SUMMARY!AY3</f>
        <v>8102 TOP UP (4KG)</v>
      </c>
      <c r="C55" s="338" t="s">
        <v>346</v>
      </c>
      <c r="D55" s="336">
        <f>SUMMARY!AY46</f>
        <v>1736</v>
      </c>
      <c r="E55" s="336">
        <f>SUMMARY!AY47</f>
        <v>484</v>
      </c>
      <c r="F55" s="336">
        <f>SUMMARY!AY48</f>
        <v>936</v>
      </c>
      <c r="G55" s="336">
        <f>SUMMARY!AY49</f>
        <v>0</v>
      </c>
      <c r="H55" s="336">
        <f>SUMMARY!AY50</f>
        <v>1284</v>
      </c>
      <c r="I55" s="336"/>
      <c r="J55" s="336"/>
      <c r="K55" s="336"/>
      <c r="L55" s="336"/>
      <c r="M55" s="339"/>
      <c r="N55" s="336"/>
      <c r="O55" s="413">
        <f t="shared" si="0"/>
        <v>-1284</v>
      </c>
      <c r="P55" s="339"/>
      <c r="Q55" s="336"/>
      <c r="R55" s="499"/>
      <c r="S55" s="336"/>
      <c r="T55" s="500"/>
      <c r="U55" s="336"/>
      <c r="V55" s="329"/>
      <c r="W55" s="501"/>
      <c r="X55" s="329"/>
      <c r="Y55" s="502"/>
      <c r="Z55" s="502"/>
      <c r="AA55" s="502"/>
      <c r="AB55" s="502"/>
      <c r="AC55" s="502"/>
    </row>
    <row r="56" spans="1:29">
      <c r="A56" s="338"/>
      <c r="B56" s="413" t="str">
        <f>SUMMARY!AZ3</f>
        <v>8103 TOP UP (5KG)</v>
      </c>
      <c r="C56" s="338" t="s">
        <v>346</v>
      </c>
      <c r="D56" s="336">
        <f>SUMMARY!AZ46</f>
        <v>250</v>
      </c>
      <c r="E56" s="336">
        <f>SUMMARY!AZ47</f>
        <v>0</v>
      </c>
      <c r="F56" s="336">
        <f>SUMMARY!AZ48</f>
        <v>250</v>
      </c>
      <c r="G56" s="336">
        <f>SUMMARY!AZ49</f>
        <v>0</v>
      </c>
      <c r="H56" s="336">
        <f>SUMMARY!AZ50</f>
        <v>0</v>
      </c>
      <c r="I56" s="336"/>
      <c r="J56" s="336"/>
      <c r="K56" s="336"/>
      <c r="L56" s="336"/>
      <c r="M56" s="339"/>
      <c r="N56" s="336"/>
      <c r="O56" s="413">
        <f t="shared" si="0"/>
        <v>0</v>
      </c>
      <c r="P56" s="339"/>
      <c r="Q56" s="336"/>
      <c r="R56" s="499"/>
      <c r="S56" s="336"/>
      <c r="T56" s="500"/>
      <c r="U56" s="336"/>
      <c r="V56" s="329"/>
      <c r="W56" s="501"/>
      <c r="X56" s="329"/>
      <c r="Y56" s="502"/>
      <c r="Z56" s="502"/>
      <c r="AA56" s="502"/>
      <c r="AB56" s="502"/>
      <c r="AC56" s="502"/>
    </row>
    <row r="57" spans="1:29">
      <c r="A57" s="338"/>
      <c r="B57" s="413" t="s">
        <v>51</v>
      </c>
      <c r="C57" s="338" t="s">
        <v>346</v>
      </c>
      <c r="D57" s="336"/>
      <c r="E57" s="336"/>
      <c r="F57" s="336"/>
      <c r="G57" s="336"/>
      <c r="H57" s="336"/>
      <c r="I57" s="336"/>
      <c r="J57" s="336"/>
      <c r="K57" s="336"/>
      <c r="L57" s="336"/>
      <c r="M57" s="339"/>
      <c r="N57" s="336"/>
      <c r="O57" s="413"/>
      <c r="P57" s="339"/>
      <c r="Q57" s="336"/>
      <c r="R57" s="499"/>
      <c r="S57" s="336"/>
      <c r="T57" s="500"/>
      <c r="U57" s="336"/>
      <c r="V57" s="329"/>
      <c r="W57" s="501"/>
      <c r="X57" s="329"/>
      <c r="Y57" s="502"/>
      <c r="Z57" s="502"/>
      <c r="AA57" s="502"/>
      <c r="AB57" s="502"/>
      <c r="AC57" s="502"/>
    </row>
    <row r="58" spans="1:29">
      <c r="A58" s="338"/>
      <c r="B58" s="413" t="s">
        <v>52</v>
      </c>
      <c r="C58" s="338" t="s">
        <v>346</v>
      </c>
      <c r="D58" s="336"/>
      <c r="E58" s="336"/>
      <c r="F58" s="336"/>
      <c r="G58" s="336"/>
      <c r="H58" s="336"/>
      <c r="I58" s="336"/>
      <c r="J58" s="336"/>
      <c r="K58" s="336"/>
      <c r="L58" s="336"/>
      <c r="M58" s="339"/>
      <c r="N58" s="336"/>
      <c r="O58" s="413"/>
      <c r="P58" s="339"/>
      <c r="Q58" s="336"/>
      <c r="R58" s="499"/>
      <c r="S58" s="336"/>
      <c r="T58" s="500"/>
      <c r="U58" s="336"/>
      <c r="V58" s="329"/>
      <c r="W58" s="501"/>
      <c r="X58" s="329"/>
      <c r="Y58" s="502"/>
      <c r="Z58" s="502"/>
      <c r="AA58" s="502"/>
      <c r="AB58" s="502"/>
      <c r="AC58" s="502"/>
    </row>
    <row r="59" spans="1:29">
      <c r="A59" s="338"/>
      <c r="B59" s="413" t="s">
        <v>53</v>
      </c>
      <c r="C59" s="338" t="s">
        <v>346</v>
      </c>
      <c r="D59" s="336"/>
      <c r="E59" s="336"/>
      <c r="F59" s="336"/>
      <c r="G59" s="336"/>
      <c r="H59" s="336"/>
      <c r="I59" s="336"/>
      <c r="J59" s="336"/>
      <c r="K59" s="336"/>
      <c r="L59" s="336"/>
      <c r="M59" s="339"/>
      <c r="N59" s="336"/>
      <c r="O59" s="413"/>
      <c r="P59" s="339"/>
      <c r="Q59" s="336"/>
      <c r="R59" s="499"/>
      <c r="S59" s="336"/>
      <c r="T59" s="500"/>
      <c r="U59" s="336"/>
      <c r="V59" s="329"/>
      <c r="W59" s="501"/>
      <c r="X59" s="329"/>
      <c r="Y59" s="502"/>
      <c r="Z59" s="502"/>
      <c r="AA59" s="502"/>
      <c r="AB59" s="502"/>
      <c r="AC59" s="502"/>
    </row>
    <row r="60" spans="1:29">
      <c r="A60" s="338"/>
      <c r="B60" s="413" t="s">
        <v>54</v>
      </c>
      <c r="C60" s="338" t="s">
        <v>346</v>
      </c>
      <c r="D60" s="336"/>
      <c r="E60" s="336"/>
      <c r="F60" s="336"/>
      <c r="G60" s="336"/>
      <c r="H60" s="336"/>
      <c r="I60" s="336"/>
      <c r="J60" s="336"/>
      <c r="K60" s="336"/>
      <c r="L60" s="336"/>
      <c r="M60" s="339"/>
      <c r="N60" s="336"/>
      <c r="O60" s="413"/>
      <c r="P60" s="339"/>
      <c r="Q60" s="336"/>
      <c r="R60" s="499"/>
      <c r="S60" s="336"/>
      <c r="T60" s="500"/>
      <c r="U60" s="336"/>
      <c r="V60" s="329"/>
      <c r="W60" s="501"/>
      <c r="X60" s="329"/>
      <c r="Y60" s="502"/>
      <c r="Z60" s="502"/>
      <c r="AA60" s="502"/>
      <c r="AB60" s="502"/>
      <c r="AC60" s="502"/>
    </row>
    <row r="61" spans="1:29">
      <c r="A61" s="338"/>
      <c r="B61" s="413" t="s">
        <v>55</v>
      </c>
      <c r="C61" s="338" t="s">
        <v>346</v>
      </c>
      <c r="D61" s="336"/>
      <c r="E61" s="336"/>
      <c r="F61" s="336"/>
      <c r="G61" s="336"/>
      <c r="H61" s="336"/>
      <c r="I61" s="336"/>
      <c r="J61" s="336"/>
      <c r="K61" s="336"/>
      <c r="L61" s="336"/>
      <c r="M61" s="339"/>
      <c r="N61" s="336"/>
      <c r="O61" s="413"/>
      <c r="P61" s="339"/>
      <c r="Q61" s="336"/>
      <c r="R61" s="499"/>
      <c r="S61" s="336"/>
      <c r="T61" s="500"/>
      <c r="U61" s="336"/>
      <c r="V61" s="329"/>
      <c r="W61" s="501"/>
      <c r="X61" s="329"/>
      <c r="Y61" s="502"/>
      <c r="Z61" s="502"/>
      <c r="AA61" s="502"/>
      <c r="AB61" s="502"/>
      <c r="AC61" s="502"/>
    </row>
    <row r="62" spans="1:29">
      <c r="A62" s="338"/>
      <c r="B62" s="413" t="s">
        <v>56</v>
      </c>
      <c r="C62" s="338" t="s">
        <v>346</v>
      </c>
      <c r="D62" s="336"/>
      <c r="E62" s="336"/>
      <c r="F62" s="336"/>
      <c r="G62" s="336"/>
      <c r="H62" s="336"/>
      <c r="I62" s="336"/>
      <c r="J62" s="336"/>
      <c r="K62" s="336"/>
      <c r="L62" s="336"/>
      <c r="M62" s="339"/>
      <c r="N62" s="336"/>
      <c r="O62" s="413"/>
      <c r="P62" s="339"/>
      <c r="Q62" s="336"/>
      <c r="R62" s="499"/>
      <c r="S62" s="336"/>
      <c r="T62" s="500"/>
      <c r="U62" s="336"/>
      <c r="V62" s="329"/>
      <c r="W62" s="501"/>
      <c r="X62" s="329"/>
      <c r="Y62" s="502"/>
      <c r="Z62" s="502"/>
      <c r="AA62" s="502"/>
      <c r="AB62" s="502"/>
      <c r="AC62" s="502"/>
    </row>
    <row r="63" spans="1:29">
      <c r="A63" s="338"/>
      <c r="B63" s="413" t="s">
        <v>57</v>
      </c>
      <c r="C63" s="338" t="s">
        <v>346</v>
      </c>
      <c r="D63" s="336"/>
      <c r="E63" s="336"/>
      <c r="F63" s="336"/>
      <c r="G63" s="336"/>
      <c r="H63" s="336"/>
      <c r="I63" s="336"/>
      <c r="J63" s="336"/>
      <c r="K63" s="336"/>
      <c r="L63" s="336"/>
      <c r="M63" s="339"/>
      <c r="N63" s="336"/>
      <c r="O63" s="413"/>
      <c r="P63" s="339"/>
      <c r="Q63" s="336"/>
      <c r="R63" s="499"/>
      <c r="S63" s="336"/>
      <c r="T63" s="500"/>
      <c r="U63" s="336"/>
      <c r="V63" s="329"/>
      <c r="W63" s="501"/>
      <c r="X63" s="329"/>
      <c r="Y63" s="502"/>
      <c r="Z63" s="502"/>
      <c r="AA63" s="502"/>
      <c r="AB63" s="502"/>
      <c r="AC63" s="502"/>
    </row>
    <row r="64" spans="1:29">
      <c r="A64" s="338"/>
      <c r="B64" s="413" t="s">
        <v>58</v>
      </c>
      <c r="C64" s="338" t="s">
        <v>346</v>
      </c>
      <c r="D64" s="336"/>
      <c r="E64" s="336"/>
      <c r="F64" s="336"/>
      <c r="G64" s="336"/>
      <c r="H64" s="336"/>
      <c r="I64" s="336"/>
      <c r="J64" s="336"/>
      <c r="K64" s="336"/>
      <c r="L64" s="336"/>
      <c r="M64" s="339"/>
      <c r="N64" s="336"/>
      <c r="O64" s="413"/>
      <c r="P64" s="339"/>
      <c r="Q64" s="336"/>
      <c r="R64" s="499"/>
      <c r="S64" s="336"/>
      <c r="T64" s="500"/>
      <c r="U64" s="336"/>
      <c r="V64" s="329"/>
      <c r="W64" s="501"/>
      <c r="X64" s="329"/>
      <c r="Y64" s="502"/>
      <c r="Z64" s="502"/>
      <c r="AA64" s="502"/>
      <c r="AB64" s="502"/>
      <c r="AC64" s="502"/>
    </row>
    <row r="65" spans="1:29">
      <c r="A65" s="338"/>
      <c r="B65" s="413" t="s">
        <v>59</v>
      </c>
      <c r="C65" s="338" t="s">
        <v>346</v>
      </c>
      <c r="D65" s="336"/>
      <c r="E65" s="336"/>
      <c r="F65" s="336"/>
      <c r="G65" s="336"/>
      <c r="H65" s="336"/>
      <c r="I65" s="336"/>
      <c r="J65" s="336"/>
      <c r="K65" s="336"/>
      <c r="L65" s="336"/>
      <c r="M65" s="339"/>
      <c r="N65" s="336"/>
      <c r="O65" s="413"/>
      <c r="P65" s="339"/>
      <c r="Q65" s="336"/>
      <c r="R65" s="499"/>
      <c r="S65" s="336"/>
      <c r="T65" s="500"/>
      <c r="U65" s="336"/>
      <c r="V65" s="329"/>
      <c r="W65" s="501"/>
      <c r="X65" s="329"/>
      <c r="Y65" s="502"/>
      <c r="Z65" s="502"/>
      <c r="AA65" s="502"/>
      <c r="AB65" s="502"/>
      <c r="AC65" s="502"/>
    </row>
    <row r="66" spans="1:29">
      <c r="A66" s="338"/>
      <c r="B66" s="413" t="s">
        <v>60</v>
      </c>
      <c r="C66" s="338" t="s">
        <v>346</v>
      </c>
      <c r="D66" s="336"/>
      <c r="E66" s="336"/>
      <c r="F66" s="336"/>
      <c r="G66" s="336"/>
      <c r="H66" s="336"/>
      <c r="I66" s="336"/>
      <c r="J66" s="336"/>
      <c r="K66" s="336"/>
      <c r="L66" s="336"/>
      <c r="M66" s="339"/>
      <c r="N66" s="336"/>
      <c r="O66" s="413"/>
      <c r="P66" s="339"/>
      <c r="Q66" s="336"/>
      <c r="R66" s="499"/>
      <c r="S66" s="336"/>
      <c r="T66" s="500"/>
      <c r="U66" s="336"/>
      <c r="V66" s="329"/>
      <c r="W66" s="501"/>
      <c r="X66" s="329"/>
      <c r="Y66" s="502"/>
      <c r="Z66" s="502"/>
      <c r="AA66" s="502"/>
      <c r="AB66" s="502"/>
      <c r="AC66" s="502"/>
    </row>
    <row r="67" spans="1:29">
      <c r="A67" s="338"/>
      <c r="B67" s="413" t="s">
        <v>61</v>
      </c>
      <c r="C67" s="338" t="s">
        <v>346</v>
      </c>
      <c r="D67" s="336"/>
      <c r="E67" s="336"/>
      <c r="F67" s="336"/>
      <c r="G67" s="336"/>
      <c r="H67" s="336"/>
      <c r="I67" s="336"/>
      <c r="J67" s="336"/>
      <c r="K67" s="336"/>
      <c r="L67" s="336"/>
      <c r="M67" s="339"/>
      <c r="N67" s="336"/>
      <c r="O67" s="413"/>
      <c r="P67" s="339"/>
      <c r="Q67" s="336"/>
      <c r="R67" s="499"/>
      <c r="S67" s="336"/>
      <c r="T67" s="500"/>
      <c r="U67" s="336"/>
      <c r="V67" s="329"/>
      <c r="W67" s="501"/>
      <c r="X67" s="329"/>
      <c r="Y67" s="502"/>
      <c r="Z67" s="502"/>
      <c r="AA67" s="502"/>
      <c r="AB67" s="502"/>
      <c r="AC67" s="502"/>
    </row>
    <row r="68" spans="1:29">
      <c r="A68" s="338"/>
      <c r="B68" s="413" t="s">
        <v>62</v>
      </c>
      <c r="C68" s="338" t="s">
        <v>346</v>
      </c>
      <c r="D68" s="336"/>
      <c r="E68" s="336"/>
      <c r="F68" s="336"/>
      <c r="G68" s="336"/>
      <c r="H68" s="336"/>
      <c r="I68" s="336"/>
      <c r="J68" s="336"/>
      <c r="K68" s="336"/>
      <c r="L68" s="336"/>
      <c r="M68" s="339"/>
      <c r="N68" s="336"/>
      <c r="O68" s="413"/>
      <c r="P68" s="339"/>
      <c r="Q68" s="336"/>
      <c r="R68" s="499"/>
      <c r="S68" s="336"/>
      <c r="T68" s="500"/>
      <c r="U68" s="336"/>
      <c r="V68" s="329"/>
      <c r="W68" s="501"/>
      <c r="X68" s="329"/>
      <c r="Y68" s="502"/>
      <c r="Z68" s="502"/>
      <c r="AA68" s="502"/>
      <c r="AB68" s="502"/>
      <c r="AC68" s="502"/>
    </row>
    <row r="69" spans="1:29">
      <c r="A69" s="338"/>
      <c r="B69" s="413" t="s">
        <v>63</v>
      </c>
      <c r="C69" s="338" t="s">
        <v>346</v>
      </c>
      <c r="D69" s="336"/>
      <c r="E69" s="336"/>
      <c r="F69" s="336"/>
      <c r="G69" s="336"/>
      <c r="H69" s="336"/>
      <c r="I69" s="336"/>
      <c r="J69" s="336"/>
      <c r="K69" s="336"/>
      <c r="L69" s="336"/>
      <c r="M69" s="339"/>
      <c r="N69" s="336"/>
      <c r="O69" s="413"/>
      <c r="P69" s="339"/>
      <c r="Q69" s="336"/>
      <c r="R69" s="499"/>
      <c r="S69" s="336"/>
      <c r="T69" s="500"/>
      <c r="U69" s="336"/>
      <c r="V69" s="329"/>
      <c r="W69" s="501"/>
      <c r="X69" s="329"/>
      <c r="Y69" s="502"/>
      <c r="Z69" s="502"/>
      <c r="AA69" s="502"/>
      <c r="AB69" s="502"/>
      <c r="AC69" s="502"/>
    </row>
    <row r="70" spans="1:29">
      <c r="A70" s="338"/>
      <c r="B70" s="413" t="s">
        <v>64</v>
      </c>
      <c r="C70" s="338" t="s">
        <v>346</v>
      </c>
      <c r="D70" s="336"/>
      <c r="E70" s="336"/>
      <c r="F70" s="336"/>
      <c r="G70" s="336"/>
      <c r="H70" s="336"/>
      <c r="I70" s="336"/>
      <c r="J70" s="336"/>
      <c r="K70" s="336"/>
      <c r="L70" s="336"/>
      <c r="M70" s="339"/>
      <c r="N70" s="336"/>
      <c r="O70" s="413"/>
      <c r="P70" s="339"/>
      <c r="Q70" s="336"/>
      <c r="R70" s="499"/>
      <c r="S70" s="336"/>
      <c r="T70" s="500"/>
      <c r="U70" s="336"/>
      <c r="V70" s="329"/>
      <c r="W70" s="501"/>
      <c r="X70" s="329"/>
      <c r="Y70" s="502"/>
      <c r="Z70" s="502"/>
      <c r="AA70" s="502"/>
      <c r="AB70" s="502"/>
      <c r="AC70" s="502"/>
    </row>
    <row r="71" spans="1:29">
      <c r="A71" s="338"/>
      <c r="B71" s="413"/>
      <c r="C71" s="338"/>
      <c r="D71" s="356"/>
      <c r="E71" s="356"/>
      <c r="F71" s="356"/>
      <c r="G71" s="356"/>
      <c r="H71" s="356"/>
      <c r="I71" s="336"/>
      <c r="J71" s="336"/>
      <c r="K71" s="356"/>
      <c r="L71" s="336"/>
      <c r="M71" s="339"/>
      <c r="N71" s="303"/>
      <c r="O71" s="303"/>
      <c r="P71" s="339"/>
      <c r="Q71" s="336"/>
      <c r="R71" s="499"/>
      <c r="S71" s="336"/>
      <c r="T71" s="500"/>
      <c r="U71" s="336"/>
      <c r="V71" s="329"/>
      <c r="W71" s="329"/>
      <c r="X71" s="329"/>
      <c r="Y71" s="329"/>
      <c r="Z71" s="329"/>
      <c r="AA71" s="329"/>
      <c r="AB71" s="329"/>
      <c r="AC71" s="329"/>
    </row>
    <row r="72" spans="1:29">
      <c r="A72" s="338"/>
      <c r="B72" s="310" t="s">
        <v>348</v>
      </c>
      <c r="C72" s="338"/>
      <c r="D72" s="356"/>
      <c r="E72" s="356"/>
      <c r="F72" s="356"/>
      <c r="G72" s="356"/>
      <c r="H72" s="356"/>
      <c r="I72" s="336"/>
      <c r="J72" s="336"/>
      <c r="K72" s="356"/>
      <c r="L72" s="336"/>
      <c r="M72" s="339"/>
      <c r="N72" s="303"/>
      <c r="O72" s="303"/>
      <c r="P72" s="339"/>
      <c r="Q72" s="336"/>
      <c r="R72" s="499"/>
      <c r="S72" s="336"/>
      <c r="T72" s="500"/>
      <c r="U72" s="336"/>
      <c r="V72" s="329"/>
      <c r="W72" s="329"/>
      <c r="X72" s="329"/>
      <c r="Y72" s="329"/>
      <c r="Z72" s="329"/>
      <c r="AA72" s="329"/>
      <c r="AB72" s="329"/>
      <c r="AC72" s="329"/>
    </row>
    <row r="73" spans="1:29">
      <c r="A73" s="338"/>
      <c r="B73" s="413"/>
      <c r="C73" s="338" t="s">
        <v>349</v>
      </c>
      <c r="D73" s="356"/>
      <c r="E73" s="356"/>
      <c r="F73" s="356"/>
      <c r="G73" s="356"/>
      <c r="H73" s="356"/>
      <c r="I73" s="336"/>
      <c r="J73" s="336"/>
      <c r="K73" s="356"/>
      <c r="L73" s="336"/>
      <c r="M73" s="339"/>
      <c r="N73" s="303"/>
      <c r="O73" s="303"/>
      <c r="P73" s="339"/>
      <c r="Q73" s="336"/>
      <c r="R73" s="499"/>
      <c r="S73" s="336"/>
      <c r="T73" s="500"/>
      <c r="U73" s="336"/>
      <c r="V73" s="329"/>
      <c r="W73" s="329"/>
      <c r="X73" s="329"/>
      <c r="Y73" s="329"/>
      <c r="Z73" s="329"/>
      <c r="AA73" s="329"/>
      <c r="AB73" s="329"/>
      <c r="AC73" s="329"/>
    </row>
    <row r="74" spans="1:29">
      <c r="A74" s="338"/>
      <c r="B74" s="413"/>
      <c r="C74" s="338" t="s">
        <v>349</v>
      </c>
      <c r="D74" s="356"/>
      <c r="E74" s="356"/>
      <c r="F74" s="356"/>
      <c r="G74" s="356"/>
      <c r="H74" s="356"/>
      <c r="I74" s="336"/>
      <c r="J74" s="336"/>
      <c r="K74" s="356"/>
      <c r="L74" s="336"/>
      <c r="M74" s="339"/>
      <c r="N74" s="303"/>
      <c r="O74" s="303"/>
      <c r="P74" s="339"/>
      <c r="Q74" s="336"/>
      <c r="R74" s="499"/>
      <c r="S74" s="336"/>
      <c r="T74" s="500"/>
      <c r="U74" s="336"/>
      <c r="V74" s="329"/>
      <c r="W74" s="329"/>
      <c r="X74" s="329"/>
      <c r="Y74" s="329"/>
      <c r="Z74" s="329"/>
      <c r="AA74" s="329"/>
      <c r="AB74" s="329"/>
      <c r="AC74" s="329"/>
    </row>
    <row r="75" spans="1:29">
      <c r="A75" s="338"/>
      <c r="B75" s="413"/>
      <c r="C75" s="338"/>
      <c r="D75" s="356"/>
      <c r="E75" s="356"/>
      <c r="F75" s="356"/>
      <c r="G75" s="356"/>
      <c r="H75" s="356"/>
      <c r="I75" s="336"/>
      <c r="J75" s="336"/>
      <c r="K75" s="356"/>
      <c r="L75" s="336"/>
      <c r="M75" s="339"/>
      <c r="N75" s="303"/>
      <c r="O75" s="303"/>
      <c r="P75" s="339"/>
      <c r="Q75" s="336"/>
      <c r="R75" s="499"/>
      <c r="S75" s="336"/>
      <c r="T75" s="500"/>
      <c r="U75" s="336"/>
      <c r="V75" s="329"/>
      <c r="W75" s="329"/>
      <c r="X75" s="329"/>
      <c r="Y75" s="329"/>
      <c r="Z75" s="329"/>
      <c r="AA75" s="329"/>
      <c r="AB75" s="329"/>
      <c r="AC75" s="329"/>
    </row>
    <row r="76" spans="1:29">
      <c r="A76" s="338"/>
      <c r="B76" s="413"/>
      <c r="C76" s="338"/>
      <c r="D76" s="356"/>
      <c r="E76" s="356"/>
      <c r="F76" s="356"/>
      <c r="G76" s="356"/>
      <c r="H76" s="356"/>
      <c r="I76" s="336"/>
      <c r="J76" s="336"/>
      <c r="K76" s="356"/>
      <c r="L76" s="336"/>
      <c r="M76" s="339"/>
      <c r="N76" s="303"/>
      <c r="O76" s="303"/>
      <c r="P76" s="339"/>
      <c r="Q76" s="336"/>
      <c r="R76" s="499"/>
      <c r="S76" s="336"/>
      <c r="T76" s="500"/>
      <c r="U76" s="336"/>
      <c r="V76" s="329"/>
      <c r="W76" s="329"/>
      <c r="X76" s="329"/>
      <c r="Y76" s="329"/>
      <c r="Z76" s="329"/>
      <c r="AA76" s="329"/>
      <c r="AB76" s="329"/>
      <c r="AC76" s="329"/>
    </row>
    <row r="77" spans="1:29">
      <c r="A77" s="338"/>
      <c r="B77" s="413"/>
      <c r="C77" s="338"/>
      <c r="D77" s="356"/>
      <c r="E77" s="356"/>
      <c r="F77" s="356"/>
      <c r="G77" s="356"/>
      <c r="H77" s="356"/>
      <c r="I77" s="336"/>
      <c r="J77" s="336"/>
      <c r="K77" s="356"/>
      <c r="L77" s="336"/>
      <c r="M77" s="339"/>
      <c r="N77" s="303"/>
      <c r="O77" s="303"/>
      <c r="P77" s="339"/>
      <c r="Q77" s="336"/>
      <c r="R77" s="499"/>
      <c r="S77" s="336"/>
      <c r="T77" s="500"/>
      <c r="U77" s="336"/>
      <c r="V77" s="329"/>
      <c r="W77" s="329"/>
      <c r="X77" s="329"/>
      <c r="Y77" s="329"/>
      <c r="Z77" s="329"/>
      <c r="AA77" s="329"/>
      <c r="AB77" s="329"/>
      <c r="AC77" s="329"/>
    </row>
    <row r="78" spans="1:29" ht="13.9" thickBot="1">
      <c r="A78" s="338"/>
      <c r="B78" s="302" t="s">
        <v>72</v>
      </c>
      <c r="C78" s="475"/>
      <c r="D78" s="506">
        <f>SUM(D4:D70)</f>
        <v>376927.74000000017</v>
      </c>
      <c r="E78" s="506">
        <f>SUM(E4:E70)</f>
        <v>1279125.08</v>
      </c>
      <c r="F78" s="506">
        <f>SUM(F4:F70)</f>
        <v>609382.82999999996</v>
      </c>
      <c r="G78" s="506">
        <f>SUM(G4:G70)</f>
        <v>-626522.80999999994</v>
      </c>
      <c r="H78" s="506">
        <f>SUM(H4:H70)</f>
        <v>407414.18000000011</v>
      </c>
      <c r="I78" s="336"/>
      <c r="J78" s="336"/>
      <c r="K78" s="507">
        <f>SUM(K4:K70)</f>
        <v>0</v>
      </c>
      <c r="L78" s="508"/>
      <c r="M78" s="339"/>
      <c r="N78" s="303"/>
      <c r="O78" s="303"/>
      <c r="P78" s="339"/>
      <c r="Q78" s="336"/>
      <c r="R78" s="499"/>
      <c r="S78" s="336"/>
      <c r="T78" s="500"/>
      <c r="U78" s="336"/>
      <c r="V78" s="329"/>
      <c r="W78" s="329"/>
      <c r="X78" s="329"/>
      <c r="Y78" s="329"/>
      <c r="Z78" s="329"/>
      <c r="AA78" s="329"/>
      <c r="AB78" s="329"/>
      <c r="AC78" s="329"/>
    </row>
    <row r="79" spans="1:29">
      <c r="A79" s="496"/>
      <c r="B79" s="501"/>
      <c r="C79" s="473"/>
      <c r="D79" s="339"/>
      <c r="E79" s="339"/>
      <c r="F79" s="339"/>
      <c r="G79" s="339"/>
      <c r="H79" s="339"/>
      <c r="I79" s="339"/>
      <c r="J79" s="339"/>
      <c r="K79" s="339"/>
      <c r="L79" s="339"/>
      <c r="M79" s="339"/>
      <c r="N79" s="299"/>
      <c r="O79" s="299"/>
      <c r="P79" s="339"/>
      <c r="Q79" s="339"/>
      <c r="R79" s="509"/>
      <c r="S79" s="339"/>
      <c r="T79" s="510"/>
      <c r="U79" s="339"/>
      <c r="V79" s="329"/>
      <c r="W79" s="329"/>
      <c r="X79" s="329"/>
      <c r="Y79" s="329"/>
      <c r="Z79" s="329"/>
      <c r="AA79" s="329"/>
      <c r="AB79" s="329"/>
      <c r="AC79" s="329"/>
    </row>
    <row r="80" spans="1:29">
      <c r="A80" s="496"/>
      <c r="B80" s="501"/>
      <c r="C80" s="473"/>
      <c r="D80" s="339">
        <f>D78-SUM(SUMMARY!B46:AZ46)</f>
        <v>-1127</v>
      </c>
      <c r="E80" s="339">
        <f>E354-SUM(SUMMARY!B47:AZ47)</f>
        <v>-1279125.08</v>
      </c>
      <c r="F80" s="339">
        <f>F78-SUM(SUMMARY!B48:AZ48)</f>
        <v>0</v>
      </c>
      <c r="G80" s="339">
        <f>G78-SUM(SUMMARY!B49:AZ49)</f>
        <v>0</v>
      </c>
      <c r="H80" s="339">
        <f>H78-SUM(SUMMARY!B50:AZ50)</f>
        <v>-1127</v>
      </c>
      <c r="I80" s="339"/>
      <c r="J80" s="339"/>
      <c r="K80" s="339"/>
      <c r="L80" s="339"/>
      <c r="M80" s="339"/>
      <c r="N80" s="299"/>
      <c r="O80" s="299"/>
      <c r="P80" s="339"/>
      <c r="Q80" s="339"/>
      <c r="R80" s="509"/>
      <c r="S80" s="339"/>
      <c r="T80" s="510"/>
      <c r="U80" s="339"/>
      <c r="V80" s="329"/>
      <c r="W80" s="329"/>
      <c r="X80" s="329"/>
      <c r="Y80" s="329"/>
      <c r="Z80" s="329"/>
      <c r="AA80" s="329"/>
      <c r="AB80" s="329"/>
      <c r="AC80" s="329"/>
    </row>
    <row r="81" spans="1:21">
      <c r="A81" s="496"/>
      <c r="B81" s="329"/>
      <c r="C81" s="496"/>
      <c r="D81" s="339"/>
      <c r="E81" s="339"/>
      <c r="F81" s="339"/>
      <c r="G81" s="339"/>
      <c r="H81" s="339"/>
      <c r="I81" s="339"/>
      <c r="J81" s="339"/>
      <c r="K81" s="339"/>
      <c r="L81" s="339"/>
      <c r="M81" s="339"/>
      <c r="N81" s="299"/>
      <c r="O81" s="299"/>
      <c r="P81" s="339"/>
      <c r="Q81" s="339"/>
      <c r="R81" s="509"/>
      <c r="S81" s="339"/>
      <c r="T81" s="510"/>
      <c r="U81" s="339"/>
    </row>
  </sheetData>
  <autoFilter ref="A2:X81" xr:uid="{00000000-0009-0000-0000-00000A000000}"/>
  <mergeCells count="2">
    <mergeCell ref="J1:K1"/>
    <mergeCell ref="Q1:U1"/>
  </mergeCells>
  <printOptions horizontalCentered="1"/>
  <pageMargins left="0.39370078740157483" right="0.70866141732283472" top="0.70866141732283472" bottom="0.39370078740157483" header="0" footer="0"/>
  <pageSetup paperSize="9" scale="28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C73"/>
  <sheetViews>
    <sheetView zoomScaleNormal="100" workbookViewId="0">
      <selection activeCell="B6" sqref="B6"/>
    </sheetView>
  </sheetViews>
  <sheetFormatPr defaultColWidth="9.28515625" defaultRowHeight="13.15"/>
  <cols>
    <col min="1" max="1" width="5.7109375" style="305" bestFit="1" customWidth="1"/>
    <col min="2" max="2" width="34.42578125" style="306" bestFit="1" customWidth="1"/>
    <col min="3" max="3" width="5" style="331" customWidth="1"/>
    <col min="4" max="4" width="12.28515625" style="307" bestFit="1" customWidth="1"/>
    <col min="5" max="5" width="13.42578125" style="307" bestFit="1" customWidth="1"/>
    <col min="6" max="6" width="11.42578125" style="307" bestFit="1" customWidth="1"/>
    <col min="7" max="7" width="14.7109375" style="307" bestFit="1" customWidth="1"/>
    <col min="8" max="8" width="12" style="307" bestFit="1" customWidth="1"/>
    <col min="9" max="9" width="13.28515625" style="307" bestFit="1" customWidth="1"/>
    <col min="10" max="11" width="13.7109375" style="307" bestFit="1" customWidth="1"/>
    <col min="12" max="12" width="41.7109375" style="307" bestFit="1" customWidth="1"/>
    <col min="13" max="13" width="1.42578125" style="307" bestFit="1" customWidth="1"/>
    <col min="14" max="14" width="14" style="307" bestFit="1" customWidth="1"/>
    <col min="15" max="15" width="13" style="307" bestFit="1" customWidth="1"/>
    <col min="16" max="16" width="3.42578125" style="307" customWidth="1"/>
    <col min="17" max="17" width="15.7109375" style="307" bestFit="1" customWidth="1"/>
    <col min="18" max="18" width="11.28515625" style="317" bestFit="1" customWidth="1"/>
    <col min="19" max="19" width="45.28515625" style="307" bestFit="1" customWidth="1"/>
    <col min="20" max="20" width="14.7109375" style="309" bestFit="1" customWidth="1"/>
    <col min="21" max="21" width="13.7109375" style="307" bestFit="1" customWidth="1"/>
    <col min="22" max="22" width="9.28515625" style="306"/>
    <col min="23" max="23" width="34.28515625" style="306" bestFit="1" customWidth="1"/>
    <col min="24" max="25" width="9.28515625" style="306"/>
    <col min="26" max="27" width="9.42578125" style="306" bestFit="1" customWidth="1"/>
    <col min="28" max="28" width="9.28515625" style="306"/>
    <col min="29" max="29" width="10.28515625" style="306" bestFit="1" customWidth="1"/>
    <col min="30" max="16384" width="9.28515625" style="306"/>
  </cols>
  <sheetData>
    <row r="1" spans="1:29">
      <c r="A1" s="496"/>
      <c r="B1" s="291" t="str">
        <f>SUMMARY!B97</f>
        <v>HARUMI Stock - AUG 2026</v>
      </c>
      <c r="C1" s="337"/>
      <c r="D1" s="344"/>
      <c r="E1" s="344"/>
      <c r="F1" s="344"/>
      <c r="G1" s="344"/>
      <c r="H1" s="344"/>
      <c r="I1" s="497"/>
      <c r="J1" s="852"/>
      <c r="K1" s="852"/>
      <c r="L1" s="498"/>
      <c r="M1" s="498"/>
      <c r="N1" s="498"/>
      <c r="O1" s="339"/>
      <c r="P1" s="339"/>
      <c r="Q1" s="853" t="s">
        <v>330</v>
      </c>
      <c r="R1" s="853"/>
      <c r="S1" s="853"/>
      <c r="T1" s="853"/>
      <c r="U1" s="853"/>
      <c r="V1" s="329"/>
      <c r="W1" s="329"/>
      <c r="X1" s="329"/>
      <c r="Y1" s="329"/>
      <c r="Z1" s="329"/>
      <c r="AA1" s="329"/>
      <c r="AB1" s="329"/>
      <c r="AC1" s="329"/>
    </row>
    <row r="2" spans="1:29" s="305" customFormat="1" ht="26.45">
      <c r="A2" s="311" t="s">
        <v>331</v>
      </c>
      <c r="B2" s="312" t="s">
        <v>332</v>
      </c>
      <c r="C2" s="313" t="s">
        <v>333</v>
      </c>
      <c r="D2" s="313" t="s">
        <v>334</v>
      </c>
      <c r="E2" s="313" t="s">
        <v>335</v>
      </c>
      <c r="F2" s="313" t="s">
        <v>166</v>
      </c>
      <c r="G2" s="313" t="s">
        <v>168</v>
      </c>
      <c r="H2" s="313" t="s">
        <v>336</v>
      </c>
      <c r="I2" s="293" t="s">
        <v>337</v>
      </c>
      <c r="J2" s="294" t="s">
        <v>338</v>
      </c>
      <c r="K2" s="313" t="s">
        <v>339</v>
      </c>
      <c r="L2" s="313" t="s">
        <v>170</v>
      </c>
      <c r="M2" s="314"/>
      <c r="N2" s="294" t="s">
        <v>340</v>
      </c>
      <c r="O2" s="313" t="s">
        <v>330</v>
      </c>
      <c r="P2" s="315"/>
      <c r="Q2" s="297" t="s">
        <v>341</v>
      </c>
      <c r="R2" s="304" t="s">
        <v>164</v>
      </c>
      <c r="S2" s="298" t="s">
        <v>342</v>
      </c>
      <c r="T2" s="316" t="s">
        <v>343</v>
      </c>
      <c r="U2" s="298" t="s">
        <v>344</v>
      </c>
      <c r="V2" s="496"/>
      <c r="W2" s="496"/>
      <c r="X2" s="496"/>
      <c r="Y2" s="496"/>
      <c r="Z2" s="496"/>
      <c r="AA2" s="496"/>
      <c r="AB2" s="496"/>
      <c r="AC2" s="496"/>
    </row>
    <row r="3" spans="1:29">
      <c r="A3" s="311"/>
      <c r="B3" s="290" t="s">
        <v>345</v>
      </c>
      <c r="C3" s="313"/>
      <c r="D3" s="292"/>
      <c r="E3" s="292"/>
      <c r="F3" s="292"/>
      <c r="G3" s="292"/>
      <c r="H3" s="292"/>
      <c r="I3" s="293"/>
      <c r="J3" s="294"/>
      <c r="K3" s="292"/>
      <c r="L3" s="292"/>
      <c r="M3" s="295"/>
      <c r="N3" s="294"/>
      <c r="O3" s="292"/>
      <c r="P3" s="296"/>
      <c r="Q3" s="297"/>
      <c r="R3" s="304"/>
      <c r="S3" s="298"/>
      <c r="T3" s="308"/>
      <c r="U3" s="298"/>
      <c r="V3" s="329"/>
      <c r="W3" s="329"/>
      <c r="X3" s="329"/>
      <c r="Y3" s="329"/>
      <c r="Z3" s="329"/>
      <c r="AA3" s="329"/>
      <c r="AB3" s="329"/>
      <c r="AC3" s="329"/>
    </row>
    <row r="4" spans="1:29">
      <c r="A4" s="338"/>
      <c r="B4" s="413" t="str">
        <f>SUMMARY!B3</f>
        <v>MAIZE/CORN</v>
      </c>
      <c r="C4" s="338" t="s">
        <v>346</v>
      </c>
      <c r="D4" s="336">
        <f>SUMMARY!B53</f>
        <v>190949.40000000002</v>
      </c>
      <c r="E4" s="336">
        <f>SUMMARY!B54</f>
        <v>98452</v>
      </c>
      <c r="F4" s="336">
        <f>SUMMARY!B55</f>
        <v>139911.36000000002</v>
      </c>
      <c r="G4" s="336">
        <f>SUMMARY!B56</f>
        <v>87446.560000000012</v>
      </c>
      <c r="H4" s="336">
        <f>SUMMARY!B57</f>
        <v>236936.6</v>
      </c>
      <c r="I4" s="336"/>
      <c r="J4" s="336"/>
      <c r="K4" s="336"/>
      <c r="L4" s="336"/>
      <c r="M4" s="339"/>
      <c r="N4" s="336"/>
      <c r="O4" s="413">
        <f>N4-H4</f>
        <v>-236936.6</v>
      </c>
      <c r="P4" s="339"/>
      <c r="Q4" s="336"/>
      <c r="R4" s="499"/>
      <c r="S4" s="336"/>
      <c r="T4" s="500"/>
      <c r="U4" s="336"/>
      <c r="V4" s="329"/>
      <c r="W4" s="501"/>
      <c r="X4" s="329"/>
      <c r="Y4" s="502"/>
      <c r="Z4" s="502"/>
      <c r="AA4" s="502"/>
      <c r="AB4" s="502"/>
      <c r="AC4" s="502"/>
    </row>
    <row r="5" spans="1:29">
      <c r="A5" s="338"/>
      <c r="B5" s="413" t="str">
        <f>SUMMARY!C3</f>
        <v>SOYBEAN MEAL (ARG)</v>
      </c>
      <c r="C5" s="338" t="s">
        <v>346</v>
      </c>
      <c r="D5" s="336">
        <f>SUMMARY!C53</f>
        <v>53017.600000000071</v>
      </c>
      <c r="E5" s="336">
        <f>SUMMARY!C54</f>
        <v>0</v>
      </c>
      <c r="F5" s="336">
        <f>SUMMARY!C55</f>
        <v>71452.899999999994</v>
      </c>
      <c r="G5" s="336">
        <f>SUMMARY!C56</f>
        <v>71452.899999999994</v>
      </c>
      <c r="H5" s="336">
        <f>SUMMARY!C57</f>
        <v>53017.600000000071</v>
      </c>
      <c r="I5" s="336"/>
      <c r="J5" s="336"/>
      <c r="K5" s="336"/>
      <c r="L5" s="336"/>
      <c r="M5" s="339"/>
      <c r="N5" s="336"/>
      <c r="O5" s="413">
        <f t="shared" ref="O5:O56" si="0">N5-H5</f>
        <v>-53017.600000000071</v>
      </c>
      <c r="P5" s="339"/>
      <c r="Q5" s="336"/>
      <c r="R5" s="499"/>
      <c r="S5" s="336"/>
      <c r="T5" s="500"/>
      <c r="U5" s="336"/>
      <c r="V5" s="329"/>
      <c r="W5" s="501"/>
      <c r="X5" s="329"/>
      <c r="Y5" s="502"/>
      <c r="Z5" s="502"/>
      <c r="AA5" s="502"/>
      <c r="AB5" s="502"/>
      <c r="AC5" s="502"/>
    </row>
    <row r="6" spans="1:29">
      <c r="A6" s="338"/>
      <c r="B6" s="413" t="str">
        <f>SUMMARY!D3</f>
        <v>SOYBEAN FULL FAT</v>
      </c>
      <c r="C6" s="338" t="s">
        <v>346</v>
      </c>
      <c r="D6" s="336">
        <f>SUMMARY!D53</f>
        <v>42674.199999999968</v>
      </c>
      <c r="E6" s="336">
        <f>SUMMARY!D54</f>
        <v>0</v>
      </c>
      <c r="F6" s="336">
        <f>SUMMARY!D55</f>
        <v>13450</v>
      </c>
      <c r="G6" s="336">
        <f>SUMMARY!D56</f>
        <v>13450</v>
      </c>
      <c r="H6" s="336">
        <f>SUMMARY!D57</f>
        <v>42674.199999999968</v>
      </c>
      <c r="I6" s="336"/>
      <c r="J6" s="336"/>
      <c r="K6" s="336"/>
      <c r="L6" s="336"/>
      <c r="M6" s="339"/>
      <c r="N6" s="336"/>
      <c r="O6" s="413">
        <f t="shared" si="0"/>
        <v>-42674.199999999968</v>
      </c>
      <c r="P6" s="339"/>
      <c r="Q6" s="336"/>
      <c r="R6" s="499"/>
      <c r="S6" s="336"/>
      <c r="T6" s="500"/>
      <c r="U6" s="336"/>
      <c r="V6" s="329"/>
      <c r="W6" s="501"/>
      <c r="X6" s="329"/>
      <c r="Y6" s="502"/>
      <c r="Z6" s="502"/>
      <c r="AA6" s="502"/>
      <c r="AB6" s="502"/>
      <c r="AC6" s="502"/>
    </row>
    <row r="7" spans="1:29">
      <c r="A7" s="338"/>
      <c r="B7" s="413" t="str">
        <f>SUMMARY!E3</f>
        <v>WHEAT POLLARD</v>
      </c>
      <c r="C7" s="338" t="s">
        <v>346</v>
      </c>
      <c r="D7" s="336">
        <f>SUMMARY!E53</f>
        <v>4522.2000000000189</v>
      </c>
      <c r="E7" s="336">
        <f>SUMMARY!E54</f>
        <v>0</v>
      </c>
      <c r="F7" s="336">
        <f>SUMMARY!E55</f>
        <v>1000</v>
      </c>
      <c r="G7" s="336">
        <f>SUMMARY!E56</f>
        <v>1000</v>
      </c>
      <c r="H7" s="336">
        <f>SUMMARY!E57</f>
        <v>4522.2000000000189</v>
      </c>
      <c r="I7" s="336"/>
      <c r="J7" s="336"/>
      <c r="K7" s="336"/>
      <c r="L7" s="336"/>
      <c r="M7" s="339"/>
      <c r="N7" s="336"/>
      <c r="O7" s="413">
        <f t="shared" si="0"/>
        <v>-4522.2000000000189</v>
      </c>
      <c r="P7" s="339"/>
      <c r="Q7" s="503"/>
      <c r="R7" s="504"/>
      <c r="S7" s="505"/>
      <c r="T7" s="505"/>
      <c r="U7" s="336"/>
      <c r="V7" s="329"/>
      <c r="W7" s="501"/>
      <c r="X7" s="329"/>
      <c r="Y7" s="502"/>
      <c r="Z7" s="502"/>
      <c r="AA7" s="502"/>
      <c r="AB7" s="502"/>
      <c r="AC7" s="502"/>
    </row>
    <row r="8" spans="1:29">
      <c r="A8" s="338"/>
      <c r="B8" s="413" t="str">
        <f>SUMMARY!F3</f>
        <v>WHEAT</v>
      </c>
      <c r="C8" s="338" t="s">
        <v>346</v>
      </c>
      <c r="D8" s="336">
        <f>SUMMARY!F53</f>
        <v>0</v>
      </c>
      <c r="E8" s="336">
        <f>SUMMARY!F54</f>
        <v>0</v>
      </c>
      <c r="F8" s="336">
        <f>SUMMARY!F55</f>
        <v>0</v>
      </c>
      <c r="G8" s="336">
        <f>SUMMARY!F56</f>
        <v>0</v>
      </c>
      <c r="H8" s="336">
        <f>SUMMARY!F57</f>
        <v>0</v>
      </c>
      <c r="I8" s="336"/>
      <c r="J8" s="336"/>
      <c r="K8" s="336"/>
      <c r="L8" s="336"/>
      <c r="M8" s="339"/>
      <c r="N8" s="336"/>
      <c r="O8" s="413">
        <f t="shared" si="0"/>
        <v>0</v>
      </c>
      <c r="P8" s="339"/>
      <c r="Q8" s="336"/>
      <c r="R8" s="499"/>
      <c r="S8" s="336"/>
      <c r="T8" s="500"/>
      <c r="U8" s="336"/>
      <c r="V8" s="329"/>
      <c r="W8" s="501"/>
      <c r="X8" s="329"/>
      <c r="Y8" s="502"/>
      <c r="Z8" s="502"/>
      <c r="AA8" s="502"/>
      <c r="AB8" s="502"/>
      <c r="AC8" s="502"/>
    </row>
    <row r="9" spans="1:29">
      <c r="A9" s="338"/>
      <c r="B9" s="413" t="str">
        <f>SUMMARY!G3</f>
        <v>MEAT AND BONE MEAL</v>
      </c>
      <c r="C9" s="338" t="s">
        <v>346</v>
      </c>
      <c r="D9" s="336">
        <f>SUMMARY!G53</f>
        <v>124.99999999999523</v>
      </c>
      <c r="E9" s="336">
        <f>SUMMARY!G54</f>
        <v>0</v>
      </c>
      <c r="F9" s="336">
        <f>SUMMARY!G55</f>
        <v>2255.1999999999998</v>
      </c>
      <c r="G9" s="336">
        <f>SUMMARY!G56</f>
        <v>2255.1999999999998</v>
      </c>
      <c r="H9" s="336">
        <f>SUMMARY!G57</f>
        <v>124.99999999999523</v>
      </c>
      <c r="I9" s="336"/>
      <c r="J9" s="336"/>
      <c r="K9" s="336"/>
      <c r="L9" s="336"/>
      <c r="M9" s="339"/>
      <c r="N9" s="336"/>
      <c r="O9" s="413">
        <f t="shared" si="0"/>
        <v>-124.99999999999523</v>
      </c>
      <c r="P9" s="339"/>
      <c r="Q9" s="336"/>
      <c r="R9" s="499"/>
      <c r="S9" s="336"/>
      <c r="T9" s="500"/>
      <c r="U9" s="336"/>
      <c r="V9" s="329"/>
      <c r="W9" s="501"/>
      <c r="X9" s="329"/>
      <c r="Y9" s="502"/>
      <c r="Z9" s="502"/>
      <c r="AA9" s="502"/>
      <c r="AB9" s="502"/>
      <c r="AC9" s="502"/>
    </row>
    <row r="10" spans="1:29">
      <c r="A10" s="338"/>
      <c r="B10" s="413" t="str">
        <f>SUMMARY!H3</f>
        <v>CORN GLUTEN MEAL</v>
      </c>
      <c r="C10" s="338" t="s">
        <v>346</v>
      </c>
      <c r="D10" s="336">
        <f>SUMMARY!H53</f>
        <v>26151.899999999998</v>
      </c>
      <c r="E10" s="336">
        <f>SUMMARY!H54</f>
        <v>0</v>
      </c>
      <c r="F10" s="336">
        <f>SUMMARY!H55</f>
        <v>1279.5</v>
      </c>
      <c r="G10" s="336">
        <f>SUMMARY!H56</f>
        <v>1279.5</v>
      </c>
      <c r="H10" s="336">
        <f>SUMMARY!H57</f>
        <v>26151.899999999998</v>
      </c>
      <c r="I10" s="336"/>
      <c r="J10" s="336"/>
      <c r="K10" s="336"/>
      <c r="L10" s="336"/>
      <c r="M10" s="339"/>
      <c r="N10" s="336"/>
      <c r="O10" s="413">
        <f t="shared" si="0"/>
        <v>-26151.899999999998</v>
      </c>
      <c r="P10" s="339"/>
      <c r="Q10" s="336"/>
      <c r="R10" s="499"/>
      <c r="S10" s="336"/>
      <c r="T10" s="500"/>
      <c r="U10" s="336"/>
      <c r="V10" s="329"/>
      <c r="W10" s="501"/>
      <c r="X10" s="329"/>
      <c r="Y10" s="502"/>
      <c r="Z10" s="502"/>
      <c r="AA10" s="502"/>
      <c r="AB10" s="502"/>
      <c r="AC10" s="502"/>
    </row>
    <row r="11" spans="1:29">
      <c r="A11" s="338"/>
      <c r="B11" s="413" t="str">
        <f>SUMMARY!I3</f>
        <v>MEGAFAT (HARUMI)</v>
      </c>
      <c r="C11" s="338" t="s">
        <v>346</v>
      </c>
      <c r="D11" s="336">
        <f>SUMMARY!I53</f>
        <v>0</v>
      </c>
      <c r="E11" s="336">
        <f>SUMMARY!I54</f>
        <v>0</v>
      </c>
      <c r="F11" s="336">
        <f>SUMMARY!I55</f>
        <v>2622.5</v>
      </c>
      <c r="G11" s="336">
        <f>SUMMARY!I56</f>
        <v>2622.5</v>
      </c>
      <c r="H11" s="336">
        <f>SUMMARY!I57</f>
        <v>0</v>
      </c>
      <c r="I11" s="336"/>
      <c r="J11" s="300"/>
      <c r="K11" s="300"/>
      <c r="L11" s="336"/>
      <c r="M11" s="339"/>
      <c r="N11" s="336"/>
      <c r="O11" s="413">
        <f t="shared" si="0"/>
        <v>0</v>
      </c>
      <c r="P11" s="339"/>
      <c r="Q11" s="336"/>
      <c r="R11" s="499"/>
      <c r="S11" s="336"/>
      <c r="T11" s="500"/>
      <c r="U11" s="336"/>
      <c r="V11" s="329"/>
      <c r="W11" s="501"/>
      <c r="X11" s="329"/>
      <c r="Y11" s="502"/>
      <c r="Z11" s="502"/>
      <c r="AA11" s="502"/>
      <c r="AB11" s="502"/>
      <c r="AC11" s="502"/>
    </row>
    <row r="12" spans="1:29">
      <c r="A12" s="338"/>
      <c r="B12" s="413" t="str">
        <f>SUMMARY!J3</f>
        <v>DCP 18%</v>
      </c>
      <c r="C12" s="338" t="s">
        <v>346</v>
      </c>
      <c r="D12" s="336">
        <f>SUMMARY!J53</f>
        <v>3322.4999999999986</v>
      </c>
      <c r="E12" s="336">
        <f>SUMMARY!J54</f>
        <v>0</v>
      </c>
      <c r="F12" s="336">
        <f>SUMMARY!J55</f>
        <v>1067.1500000000001</v>
      </c>
      <c r="G12" s="336">
        <f>SUMMARY!J56</f>
        <v>-158.00999999999988</v>
      </c>
      <c r="H12" s="336">
        <f>SUMMARY!J57</f>
        <v>2097.3399999999992</v>
      </c>
      <c r="I12" s="336"/>
      <c r="J12" s="301"/>
      <c r="K12" s="336"/>
      <c r="L12" s="336"/>
      <c r="M12" s="339"/>
      <c r="N12" s="336"/>
      <c r="O12" s="413">
        <f t="shared" si="0"/>
        <v>-2097.3399999999992</v>
      </c>
      <c r="P12" s="339"/>
      <c r="Q12" s="336"/>
      <c r="R12" s="499"/>
      <c r="S12" s="336"/>
      <c r="T12" s="500"/>
      <c r="U12" s="336"/>
      <c r="V12" s="329"/>
      <c r="W12" s="501"/>
      <c r="X12" s="329"/>
      <c r="Y12" s="502"/>
      <c r="Z12" s="502"/>
      <c r="AA12" s="502"/>
      <c r="AB12" s="502"/>
      <c r="AC12" s="502"/>
    </row>
    <row r="13" spans="1:29">
      <c r="A13" s="338"/>
      <c r="B13" s="413" t="str">
        <f>SUMMARY!K3</f>
        <v>LIMESTONE POWDER (HARUMI)</v>
      </c>
      <c r="C13" s="338" t="s">
        <v>346</v>
      </c>
      <c r="D13" s="336">
        <f>SUMMARY!K53</f>
        <v>-10277.079999999998</v>
      </c>
      <c r="E13" s="336">
        <f>SUMMARY!K54</f>
        <v>0</v>
      </c>
      <c r="F13" s="336">
        <f>SUMMARY!K55</f>
        <v>299.43999999999994</v>
      </c>
      <c r="G13" s="336">
        <f>SUMMARY!K56</f>
        <v>299.43999999999994</v>
      </c>
      <c r="H13" s="336">
        <f>SUMMARY!K57</f>
        <v>-10277.079999999998</v>
      </c>
      <c r="I13" s="336"/>
      <c r="J13" s="301"/>
      <c r="K13" s="336"/>
      <c r="L13" s="336"/>
      <c r="M13" s="339"/>
      <c r="N13" s="336"/>
      <c r="O13" s="413">
        <f t="shared" si="0"/>
        <v>10277.079999999998</v>
      </c>
      <c r="P13" s="339"/>
      <c r="Q13" s="336"/>
      <c r="R13" s="499"/>
      <c r="S13" s="336"/>
      <c r="T13" s="500"/>
      <c r="U13" s="336"/>
      <c r="V13" s="329"/>
      <c r="W13" s="501"/>
      <c r="X13" s="329"/>
      <c r="Y13" s="502"/>
      <c r="Z13" s="502"/>
      <c r="AA13" s="502"/>
      <c r="AB13" s="502"/>
      <c r="AC13" s="502"/>
    </row>
    <row r="14" spans="1:29">
      <c r="A14" s="338"/>
      <c r="B14" s="413" t="str">
        <f>SUMMARY!L3</f>
        <v>CHOLINE CHLORIDE 60%</v>
      </c>
      <c r="C14" s="338" t="s">
        <v>346</v>
      </c>
      <c r="D14" s="336">
        <f>SUMMARY!L53</f>
        <v>0</v>
      </c>
      <c r="E14" s="336">
        <f>SUMMARY!L54</f>
        <v>0</v>
      </c>
      <c r="F14" s="336">
        <f>SUMMARY!L55</f>
        <v>0</v>
      </c>
      <c r="G14" s="336">
        <f>SUMMARY!L56</f>
        <v>0</v>
      </c>
      <c r="H14" s="336">
        <f>SUMMARY!L57</f>
        <v>0</v>
      </c>
      <c r="I14" s="336"/>
      <c r="J14" s="301"/>
      <c r="K14" s="336"/>
      <c r="L14" s="336"/>
      <c r="M14" s="339"/>
      <c r="N14" s="336"/>
      <c r="O14" s="413">
        <f t="shared" si="0"/>
        <v>0</v>
      </c>
      <c r="P14" s="339"/>
      <c r="Q14" s="336"/>
      <c r="R14" s="499"/>
      <c r="S14" s="336"/>
      <c r="T14" s="500"/>
      <c r="U14" s="336"/>
      <c r="V14" s="329"/>
      <c r="W14" s="501"/>
      <c r="X14" s="329"/>
      <c r="Y14" s="502"/>
      <c r="Z14" s="502"/>
      <c r="AA14" s="502"/>
      <c r="AB14" s="502"/>
      <c r="AC14" s="502"/>
    </row>
    <row r="15" spans="1:29">
      <c r="A15" s="338"/>
      <c r="B15" s="413" t="str">
        <f>SUMMARY!M3</f>
        <v>INDUSTRY FLOUR</v>
      </c>
      <c r="C15" s="338" t="s">
        <v>346</v>
      </c>
      <c r="D15" s="336">
        <f>SUMMARY!M53</f>
        <v>27438.200000000012</v>
      </c>
      <c r="E15" s="336">
        <f>SUMMARY!M54</f>
        <v>0</v>
      </c>
      <c r="F15" s="336">
        <f>SUMMARY!M55</f>
        <v>2600</v>
      </c>
      <c r="G15" s="336">
        <f>SUMMARY!M56</f>
        <v>2600</v>
      </c>
      <c r="H15" s="336">
        <f>SUMMARY!M57</f>
        <v>27438.200000000012</v>
      </c>
      <c r="I15" s="336"/>
      <c r="J15" s="300"/>
      <c r="K15" s="336"/>
      <c r="L15" s="336"/>
      <c r="M15" s="339"/>
      <c r="N15" s="336"/>
      <c r="O15" s="413">
        <f t="shared" si="0"/>
        <v>-27438.200000000012</v>
      </c>
      <c r="P15" s="339"/>
      <c r="Q15" s="336"/>
      <c r="R15" s="499"/>
      <c r="S15" s="336"/>
      <c r="T15" s="500"/>
      <c r="U15" s="336"/>
      <c r="V15" s="329"/>
      <c r="W15" s="501"/>
      <c r="X15" s="329"/>
      <c r="Y15" s="502"/>
      <c r="Z15" s="502"/>
      <c r="AA15" s="502"/>
      <c r="AB15" s="502"/>
      <c r="AC15" s="502"/>
    </row>
    <row r="16" spans="1:29">
      <c r="A16" s="338"/>
      <c r="B16" s="413" t="str">
        <f>SUMMARY!N3</f>
        <v>RICE BRAN</v>
      </c>
      <c r="C16" s="338" t="s">
        <v>346</v>
      </c>
      <c r="D16" s="336">
        <f>SUMMARY!N53</f>
        <v>18782.299999999981</v>
      </c>
      <c r="E16" s="336">
        <f>SUMMARY!N54</f>
        <v>0</v>
      </c>
      <c r="F16" s="336">
        <f>SUMMARY!N55</f>
        <v>3750</v>
      </c>
      <c r="G16" s="336">
        <f>SUMMARY!N56</f>
        <v>3750</v>
      </c>
      <c r="H16" s="336">
        <f>SUMMARY!N57</f>
        <v>18782.299999999981</v>
      </c>
      <c r="I16" s="336"/>
      <c r="J16" s="300"/>
      <c r="K16" s="336"/>
      <c r="L16" s="336"/>
      <c r="M16" s="339"/>
      <c r="N16" s="336"/>
      <c r="O16" s="413">
        <f t="shared" si="0"/>
        <v>-18782.299999999981</v>
      </c>
      <c r="P16" s="339"/>
      <c r="Q16" s="336"/>
      <c r="R16" s="499"/>
      <c r="S16" s="336"/>
      <c r="T16" s="500"/>
      <c r="U16" s="336"/>
      <c r="V16" s="329"/>
      <c r="W16" s="501"/>
      <c r="X16" s="329"/>
      <c r="Y16" s="502"/>
      <c r="Z16" s="502"/>
      <c r="AA16" s="502"/>
      <c r="AB16" s="502"/>
      <c r="AC16" s="502"/>
    </row>
    <row r="17" spans="1:29">
      <c r="A17" s="338"/>
      <c r="B17" s="413" t="str">
        <f>SUMMARY!O3</f>
        <v>EP 200</v>
      </c>
      <c r="C17" s="338" t="s">
        <v>346</v>
      </c>
      <c r="D17" s="336">
        <f>SUMMARY!O53</f>
        <v>5800</v>
      </c>
      <c r="E17" s="336">
        <f>SUMMARY!O54</f>
        <v>0</v>
      </c>
      <c r="F17" s="336">
        <f>SUMMARY!O55</f>
        <v>0</v>
      </c>
      <c r="G17" s="336">
        <f>SUMMARY!O56</f>
        <v>0</v>
      </c>
      <c r="H17" s="336">
        <f>SUMMARY!O57</f>
        <v>5800</v>
      </c>
      <c r="I17" s="336"/>
      <c r="J17" s="300"/>
      <c r="K17" s="336"/>
      <c r="L17" s="336"/>
      <c r="M17" s="339"/>
      <c r="N17" s="336"/>
      <c r="O17" s="413">
        <f t="shared" si="0"/>
        <v>-5800</v>
      </c>
      <c r="P17" s="339"/>
      <c r="Q17" s="336"/>
      <c r="R17" s="499"/>
      <c r="S17" s="336"/>
      <c r="T17" s="500"/>
      <c r="U17" s="336"/>
      <c r="V17" s="329"/>
      <c r="W17" s="501"/>
      <c r="X17" s="329"/>
      <c r="Y17" s="502"/>
      <c r="Z17" s="502"/>
      <c r="AA17" s="502"/>
      <c r="AB17" s="502"/>
      <c r="AC17" s="502"/>
    </row>
    <row r="18" spans="1:29">
      <c r="A18" s="338"/>
      <c r="B18" s="413" t="str">
        <f>SUMMARY!P3</f>
        <v>SOYTIDE</v>
      </c>
      <c r="C18" s="338" t="s">
        <v>346</v>
      </c>
      <c r="D18" s="336">
        <f>SUMMARY!P53</f>
        <v>0</v>
      </c>
      <c r="E18" s="336">
        <f>SUMMARY!P54</f>
        <v>0</v>
      </c>
      <c r="F18" s="336">
        <f>SUMMARY!P55</f>
        <v>0</v>
      </c>
      <c r="G18" s="336">
        <f>SUMMARY!P56</f>
        <v>0</v>
      </c>
      <c r="H18" s="336">
        <f>SUMMARY!P57</f>
        <v>0</v>
      </c>
      <c r="I18" s="336"/>
      <c r="J18" s="336"/>
      <c r="K18" s="336"/>
      <c r="L18" s="336"/>
      <c r="M18" s="339"/>
      <c r="N18" s="336"/>
      <c r="O18" s="413">
        <f t="shared" si="0"/>
        <v>0</v>
      </c>
      <c r="P18" s="339"/>
      <c r="Q18" s="336"/>
      <c r="R18" s="499"/>
      <c r="S18" s="336"/>
      <c r="T18" s="500"/>
      <c r="U18" s="336"/>
      <c r="V18" s="329"/>
      <c r="W18" s="501"/>
      <c r="X18" s="329"/>
      <c r="Y18" s="502"/>
      <c r="Z18" s="502"/>
      <c r="AA18" s="502"/>
      <c r="AB18" s="502"/>
      <c r="AC18" s="502"/>
    </row>
    <row r="19" spans="1:29">
      <c r="A19" s="338"/>
      <c r="B19" s="413" t="str">
        <f>SUMMARY!Q3</f>
        <v>DCP 18% (HARUMI)</v>
      </c>
      <c r="C19" s="338" t="s">
        <v>346</v>
      </c>
      <c r="D19" s="336">
        <f>SUMMARY!Q53</f>
        <v>0</v>
      </c>
      <c r="E19" s="336">
        <f>SUMMARY!Q54</f>
        <v>0</v>
      </c>
      <c r="F19" s="336">
        <f>SUMMARY!Q55</f>
        <v>0</v>
      </c>
      <c r="G19" s="336">
        <f>SUMMARY!Q56</f>
        <v>0</v>
      </c>
      <c r="H19" s="336">
        <f>SUMMARY!Q57</f>
        <v>0</v>
      </c>
      <c r="I19" s="336"/>
      <c r="J19" s="336"/>
      <c r="K19" s="336"/>
      <c r="L19" s="336"/>
      <c r="M19" s="339"/>
      <c r="N19" s="336"/>
      <c r="O19" s="413">
        <f t="shared" si="0"/>
        <v>0</v>
      </c>
      <c r="P19" s="339"/>
      <c r="Q19" s="336"/>
      <c r="R19" s="499"/>
      <c r="S19" s="336"/>
      <c r="T19" s="500"/>
      <c r="U19" s="336"/>
      <c r="V19" s="329"/>
      <c r="W19" s="501"/>
      <c r="X19" s="329"/>
      <c r="Y19" s="502"/>
      <c r="Z19" s="502"/>
      <c r="AA19" s="502"/>
      <c r="AB19" s="502"/>
      <c r="AC19" s="502"/>
    </row>
    <row r="20" spans="1:29">
      <c r="A20" s="338"/>
      <c r="B20" s="413">
        <f>SUMMARY!R3</f>
        <v>1</v>
      </c>
      <c r="C20" s="338" t="s">
        <v>346</v>
      </c>
      <c r="D20" s="336">
        <f>SUMMARY!R53</f>
        <v>0</v>
      </c>
      <c r="E20" s="336">
        <f>SUMMARY!R54</f>
        <v>0</v>
      </c>
      <c r="F20" s="336">
        <f>SUMMARY!R55</f>
        <v>0</v>
      </c>
      <c r="G20" s="336">
        <f>SUMMARY!R56</f>
        <v>0</v>
      </c>
      <c r="H20" s="336">
        <f>SUMMARY!R57</f>
        <v>0</v>
      </c>
      <c r="I20" s="336"/>
      <c r="J20" s="336"/>
      <c r="K20" s="336"/>
      <c r="L20" s="336"/>
      <c r="M20" s="339"/>
      <c r="N20" s="336"/>
      <c r="O20" s="413">
        <f t="shared" si="0"/>
        <v>0</v>
      </c>
      <c r="P20" s="339"/>
      <c r="Q20" s="336"/>
      <c r="R20" s="499"/>
      <c r="S20" s="336"/>
      <c r="T20" s="500"/>
      <c r="U20" s="336"/>
      <c r="V20" s="329"/>
      <c r="W20" s="501"/>
      <c r="X20" s="329"/>
      <c r="Y20" s="502"/>
      <c r="Z20" s="502"/>
      <c r="AA20" s="502"/>
      <c r="AB20" s="502"/>
      <c r="AC20" s="502"/>
    </row>
    <row r="21" spans="1:29">
      <c r="A21" s="338"/>
      <c r="B21" s="413">
        <f>SUMMARY!S3</f>
        <v>2</v>
      </c>
      <c r="C21" s="338" t="s">
        <v>346</v>
      </c>
      <c r="D21" s="336">
        <f>SUMMARY!S53</f>
        <v>0</v>
      </c>
      <c r="E21" s="336">
        <f>SUMMARY!S54</f>
        <v>0</v>
      </c>
      <c r="F21" s="336">
        <f>SUMMARY!S55</f>
        <v>0</v>
      </c>
      <c r="G21" s="336">
        <f>SUMMARY!S56</f>
        <v>0</v>
      </c>
      <c r="H21" s="336">
        <f>SUMMARY!S57</f>
        <v>0</v>
      </c>
      <c r="I21" s="336"/>
      <c r="J21" s="336"/>
      <c r="K21" s="336"/>
      <c r="L21" s="336"/>
      <c r="M21" s="339"/>
      <c r="N21" s="336"/>
      <c r="O21" s="413">
        <f t="shared" si="0"/>
        <v>0</v>
      </c>
      <c r="P21" s="339"/>
      <c r="Q21" s="336"/>
      <c r="R21" s="499"/>
      <c r="S21" s="336"/>
      <c r="T21" s="500"/>
      <c r="U21" s="336"/>
      <c r="V21" s="329"/>
      <c r="W21" s="501"/>
      <c r="X21" s="329"/>
      <c r="Y21" s="502"/>
      <c r="Z21" s="502"/>
      <c r="AA21" s="502"/>
      <c r="AB21" s="502"/>
      <c r="AC21" s="502"/>
    </row>
    <row r="22" spans="1:29">
      <c r="A22" s="338"/>
      <c r="B22" s="413">
        <f>SUMMARY!T3</f>
        <v>3</v>
      </c>
      <c r="C22" s="338" t="s">
        <v>346</v>
      </c>
      <c r="D22" s="336">
        <f>SUMMARY!T53</f>
        <v>0</v>
      </c>
      <c r="E22" s="336">
        <f>SUMMARY!T54</f>
        <v>0</v>
      </c>
      <c r="F22" s="336">
        <f>SUMMARY!T55</f>
        <v>0</v>
      </c>
      <c r="G22" s="336">
        <f>SUMMARY!T56</f>
        <v>0</v>
      </c>
      <c r="H22" s="336">
        <f>SUMMARY!T57</f>
        <v>0</v>
      </c>
      <c r="I22" s="336"/>
      <c r="J22" s="336"/>
      <c r="K22" s="336"/>
      <c r="L22" s="336"/>
      <c r="M22" s="339"/>
      <c r="N22" s="336"/>
      <c r="O22" s="413">
        <f t="shared" si="0"/>
        <v>0</v>
      </c>
      <c r="P22" s="339"/>
      <c r="Q22" s="336"/>
      <c r="R22" s="499"/>
      <c r="S22" s="336"/>
      <c r="T22" s="500"/>
      <c r="U22" s="336"/>
      <c r="V22" s="329"/>
      <c r="W22" s="501"/>
      <c r="X22" s="329"/>
      <c r="Y22" s="502"/>
      <c r="Z22" s="502"/>
      <c r="AA22" s="502"/>
      <c r="AB22" s="502"/>
      <c r="AC22" s="502"/>
    </row>
    <row r="23" spans="1:29">
      <c r="A23" s="338"/>
      <c r="B23" s="413"/>
      <c r="C23" s="338"/>
      <c r="D23" s="336"/>
      <c r="E23" s="336"/>
      <c r="F23" s="336"/>
      <c r="G23" s="336"/>
      <c r="H23" s="336"/>
      <c r="I23" s="336"/>
      <c r="J23" s="336"/>
      <c r="K23" s="336"/>
      <c r="L23" s="336"/>
      <c r="M23" s="339"/>
      <c r="N23" s="336"/>
      <c r="O23" s="413"/>
      <c r="P23" s="339"/>
      <c r="Q23" s="336"/>
      <c r="R23" s="499"/>
      <c r="S23" s="336"/>
      <c r="T23" s="500"/>
      <c r="U23" s="336"/>
      <c r="V23" s="329"/>
      <c r="W23" s="501"/>
      <c r="X23" s="329"/>
      <c r="Y23" s="502"/>
      <c r="Z23" s="502"/>
      <c r="AA23" s="502"/>
      <c r="AB23" s="502"/>
      <c r="AC23" s="502"/>
    </row>
    <row r="24" spans="1:29">
      <c r="A24" s="338"/>
      <c r="B24" s="310" t="s">
        <v>347</v>
      </c>
      <c r="C24" s="338"/>
      <c r="D24" s="336"/>
      <c r="E24" s="336"/>
      <c r="F24" s="336"/>
      <c r="G24" s="336"/>
      <c r="H24" s="336"/>
      <c r="I24" s="336"/>
      <c r="J24" s="336"/>
      <c r="K24" s="336"/>
      <c r="L24" s="336"/>
      <c r="M24" s="339"/>
      <c r="N24" s="336"/>
      <c r="O24" s="413"/>
      <c r="P24" s="339"/>
      <c r="Q24" s="336"/>
      <c r="R24" s="499"/>
      <c r="S24" s="336"/>
      <c r="T24" s="500"/>
      <c r="U24" s="336"/>
      <c r="V24" s="329"/>
      <c r="W24" s="501"/>
      <c r="X24" s="329"/>
      <c r="Y24" s="502"/>
      <c r="Z24" s="502"/>
      <c r="AA24" s="502"/>
      <c r="AB24" s="502"/>
      <c r="AC24" s="502"/>
    </row>
    <row r="25" spans="1:29">
      <c r="A25" s="338"/>
      <c r="B25" s="413" t="str">
        <f>SUMMARY!U3</f>
        <v>PREMIX 1101 (20KG)</v>
      </c>
      <c r="C25" s="338" t="s">
        <v>346</v>
      </c>
      <c r="D25" s="336">
        <f>SUMMARY!U53</f>
        <v>540</v>
      </c>
      <c r="E25" s="336">
        <f>SUMMARY!U54</f>
        <v>2000</v>
      </c>
      <c r="F25" s="336">
        <f>SUMMARY!U55</f>
        <v>400</v>
      </c>
      <c r="G25" s="336">
        <f>SUMMARY!U56</f>
        <v>-120</v>
      </c>
      <c r="H25" s="336">
        <f>SUMMARY!U57</f>
        <v>2020</v>
      </c>
      <c r="I25" s="336"/>
      <c r="J25" s="336"/>
      <c r="K25" s="336"/>
      <c r="L25" s="336"/>
      <c r="M25" s="339"/>
      <c r="N25" s="336"/>
      <c r="O25" s="413">
        <f t="shared" si="0"/>
        <v>-2020</v>
      </c>
      <c r="P25" s="339"/>
      <c r="Q25" s="336"/>
      <c r="R25" s="499"/>
      <c r="S25" s="336"/>
      <c r="T25" s="500"/>
      <c r="U25" s="336"/>
      <c r="V25" s="329"/>
      <c r="W25" s="501"/>
      <c r="X25" s="329"/>
      <c r="Y25" s="502"/>
      <c r="Z25" s="502"/>
      <c r="AA25" s="502"/>
      <c r="AB25" s="502"/>
      <c r="AC25" s="502"/>
    </row>
    <row r="26" spans="1:29">
      <c r="A26" s="338"/>
      <c r="B26" s="413" t="str">
        <f>SUMMARY!V3</f>
        <v>PREMIX 1102 (20KG)</v>
      </c>
      <c r="C26" s="338" t="s">
        <v>346</v>
      </c>
      <c r="D26" s="336">
        <f>SUMMARY!V53</f>
        <v>960</v>
      </c>
      <c r="E26" s="336">
        <f>SUMMARY!V54</f>
        <v>0</v>
      </c>
      <c r="F26" s="336">
        <f>SUMMARY!V55</f>
        <v>0</v>
      </c>
      <c r="G26" s="336">
        <f>SUMMARY!V56</f>
        <v>0</v>
      </c>
      <c r="H26" s="336">
        <f>SUMMARY!V57</f>
        <v>960</v>
      </c>
      <c r="I26" s="336"/>
      <c r="J26" s="336"/>
      <c r="K26" s="336"/>
      <c r="L26" s="336"/>
      <c r="M26" s="339"/>
      <c r="N26" s="336"/>
      <c r="O26" s="413">
        <f t="shared" si="0"/>
        <v>-960</v>
      </c>
      <c r="P26" s="339"/>
      <c r="Q26" s="336"/>
      <c r="R26" s="499"/>
      <c r="S26" s="336"/>
      <c r="T26" s="500"/>
      <c r="U26" s="336"/>
      <c r="V26" s="329"/>
      <c r="W26" s="501"/>
      <c r="X26" s="329"/>
      <c r="Y26" s="502"/>
      <c r="Z26" s="502"/>
      <c r="AA26" s="502"/>
      <c r="AB26" s="502"/>
      <c r="AC26" s="502"/>
    </row>
    <row r="27" spans="1:29">
      <c r="A27" s="338"/>
      <c r="B27" s="413" t="str">
        <f>SUMMARY!W3</f>
        <v>PREMIX 1103 (20KG)</v>
      </c>
      <c r="C27" s="338" t="s">
        <v>346</v>
      </c>
      <c r="D27" s="336">
        <f>SUMMARY!W53</f>
        <v>1760</v>
      </c>
      <c r="E27" s="336">
        <f>SUMMARY!W54</f>
        <v>0</v>
      </c>
      <c r="F27" s="336">
        <f>SUMMARY!W55</f>
        <v>600</v>
      </c>
      <c r="G27" s="336">
        <f>SUMMARY!W56</f>
        <v>600</v>
      </c>
      <c r="H27" s="336">
        <f>SUMMARY!W57</f>
        <v>1760</v>
      </c>
      <c r="I27" s="336"/>
      <c r="J27" s="336"/>
      <c r="K27" s="336"/>
      <c r="L27" s="336"/>
      <c r="M27" s="339"/>
      <c r="N27" s="336"/>
      <c r="O27" s="413">
        <f t="shared" si="0"/>
        <v>-1760</v>
      </c>
      <c r="P27" s="339"/>
      <c r="Q27" s="336"/>
      <c r="R27" s="499"/>
      <c r="S27" s="336"/>
      <c r="T27" s="500"/>
      <c r="U27" s="336"/>
      <c r="V27" s="329"/>
      <c r="W27" s="501"/>
      <c r="X27" s="329"/>
      <c r="Y27" s="502"/>
      <c r="Z27" s="502"/>
      <c r="AA27" s="502"/>
      <c r="AB27" s="502"/>
      <c r="AC27" s="502"/>
    </row>
    <row r="28" spans="1:29">
      <c r="A28" s="338"/>
      <c r="B28" s="413" t="str">
        <f>SUMMARY!X3</f>
        <v>PREMIX 311 (20KG)</v>
      </c>
      <c r="C28" s="338" t="s">
        <v>346</v>
      </c>
      <c r="D28" s="336">
        <f>SUMMARY!X53</f>
        <v>400</v>
      </c>
      <c r="E28" s="336">
        <f>SUMMARY!X54</f>
        <v>0</v>
      </c>
      <c r="F28" s="336">
        <f>SUMMARY!X55</f>
        <v>0</v>
      </c>
      <c r="G28" s="336">
        <f>SUMMARY!X56</f>
        <v>0</v>
      </c>
      <c r="H28" s="336">
        <f>SUMMARY!X57</f>
        <v>400</v>
      </c>
      <c r="I28" s="336"/>
      <c r="J28" s="336"/>
      <c r="K28" s="336"/>
      <c r="L28" s="336"/>
      <c r="M28" s="339"/>
      <c r="N28" s="336"/>
      <c r="O28" s="413">
        <f t="shared" si="0"/>
        <v>-400</v>
      </c>
      <c r="P28" s="339"/>
      <c r="Q28" s="336"/>
      <c r="R28" s="499"/>
      <c r="S28" s="336"/>
      <c r="T28" s="500"/>
      <c r="U28" s="336"/>
      <c r="V28" s="329"/>
      <c r="W28" s="501"/>
      <c r="X28" s="329"/>
      <c r="Y28" s="502"/>
      <c r="Z28" s="502"/>
      <c r="AA28" s="502"/>
      <c r="AB28" s="502"/>
      <c r="AC28" s="502"/>
    </row>
    <row r="29" spans="1:29">
      <c r="A29" s="338"/>
      <c r="B29" s="413" t="str">
        <f>SUMMARY!Y3</f>
        <v>PREMIX 312 (20KG)</v>
      </c>
      <c r="C29" s="338" t="s">
        <v>346</v>
      </c>
      <c r="D29" s="336">
        <f>SUMMARY!Y53</f>
        <v>3600</v>
      </c>
      <c r="E29" s="336">
        <f>SUMMARY!Y54</f>
        <v>0</v>
      </c>
      <c r="F29" s="336">
        <f>SUMMARY!Y55</f>
        <v>0</v>
      </c>
      <c r="G29" s="336">
        <f>SUMMARY!Y56</f>
        <v>0</v>
      </c>
      <c r="H29" s="336">
        <f>SUMMARY!Y57</f>
        <v>3600</v>
      </c>
      <c r="I29" s="336"/>
      <c r="J29" s="336"/>
      <c r="K29" s="336"/>
      <c r="L29" s="336"/>
      <c r="M29" s="339"/>
      <c r="N29" s="336"/>
      <c r="O29" s="413">
        <f t="shared" si="0"/>
        <v>-3600</v>
      </c>
      <c r="P29" s="339"/>
      <c r="Q29" s="336"/>
      <c r="R29" s="499"/>
      <c r="S29" s="336"/>
      <c r="T29" s="500"/>
      <c r="U29" s="336"/>
      <c r="V29" s="329"/>
      <c r="W29" s="501"/>
      <c r="X29" s="329"/>
      <c r="Y29" s="502"/>
      <c r="Z29" s="502"/>
      <c r="AA29" s="502"/>
      <c r="AB29" s="502"/>
      <c r="AC29" s="502"/>
    </row>
    <row r="30" spans="1:29">
      <c r="A30" s="338"/>
      <c r="B30" s="413">
        <f>SUMMARY!Z3</f>
        <v>1</v>
      </c>
      <c r="C30" s="338" t="s">
        <v>346</v>
      </c>
      <c r="D30" s="336">
        <f>SUMMARY!Z53</f>
        <v>0</v>
      </c>
      <c r="E30" s="336">
        <f>SUMMARY!Z54</f>
        <v>0</v>
      </c>
      <c r="F30" s="336">
        <f>SUMMARY!Z55</f>
        <v>0</v>
      </c>
      <c r="G30" s="336">
        <f>SUMMARY!Z56</f>
        <v>0</v>
      </c>
      <c r="H30" s="336">
        <f>SUMMARY!Z57</f>
        <v>0</v>
      </c>
      <c r="I30" s="336"/>
      <c r="J30" s="336"/>
      <c r="K30" s="336"/>
      <c r="L30" s="336"/>
      <c r="M30" s="339"/>
      <c r="N30" s="336"/>
      <c r="O30" s="413">
        <f t="shared" si="0"/>
        <v>0</v>
      </c>
      <c r="P30" s="339"/>
      <c r="Q30" s="336"/>
      <c r="R30" s="499"/>
      <c r="S30" s="336"/>
      <c r="T30" s="500"/>
      <c r="U30" s="336"/>
      <c r="V30" s="329"/>
      <c r="W30" s="501"/>
      <c r="X30" s="329"/>
      <c r="Y30" s="502"/>
      <c r="Z30" s="502"/>
      <c r="AA30" s="502"/>
      <c r="AB30" s="502"/>
      <c r="AC30" s="502"/>
    </row>
    <row r="31" spans="1:29">
      <c r="A31" s="338"/>
      <c r="B31" s="413" t="str">
        <f>SUMMARY!AA3</f>
        <v>PREMIX 8100 (20KG)</v>
      </c>
      <c r="C31" s="338" t="s">
        <v>346</v>
      </c>
      <c r="D31" s="336">
        <f>SUMMARY!AA53</f>
        <v>5920</v>
      </c>
      <c r="E31" s="336">
        <f>SUMMARY!AA54</f>
        <v>2000</v>
      </c>
      <c r="F31" s="336">
        <f>SUMMARY!AA55</f>
        <v>880</v>
      </c>
      <c r="G31" s="336">
        <f>SUMMARY!AA56</f>
        <v>-920</v>
      </c>
      <c r="H31" s="336">
        <f>SUMMARY!AA57</f>
        <v>6120</v>
      </c>
      <c r="I31" s="336"/>
      <c r="J31" s="336"/>
      <c r="K31" s="336"/>
      <c r="L31" s="336"/>
      <c r="M31" s="339"/>
      <c r="N31" s="336"/>
      <c r="O31" s="413">
        <f t="shared" si="0"/>
        <v>-6120</v>
      </c>
      <c r="P31" s="339"/>
      <c r="Q31" s="336"/>
      <c r="R31" s="499"/>
      <c r="S31" s="336"/>
      <c r="T31" s="500"/>
      <c r="U31" s="336"/>
      <c r="V31" s="329"/>
      <c r="W31" s="501"/>
      <c r="X31" s="329"/>
      <c r="Y31" s="502"/>
      <c r="Z31" s="502"/>
      <c r="AA31" s="502"/>
      <c r="AB31" s="502"/>
      <c r="AC31" s="502"/>
    </row>
    <row r="32" spans="1:29">
      <c r="A32" s="338"/>
      <c r="B32" s="413" t="str">
        <f>SUMMARY!AB3</f>
        <v>PREMIX 8101 (20KG)</v>
      </c>
      <c r="C32" s="338" t="s">
        <v>346</v>
      </c>
      <c r="D32" s="336">
        <f>SUMMARY!AB53</f>
        <v>720</v>
      </c>
      <c r="E32" s="336">
        <f>SUMMARY!AB54</f>
        <v>0</v>
      </c>
      <c r="F32" s="336">
        <f>SUMMARY!AB55</f>
        <v>0</v>
      </c>
      <c r="G32" s="336">
        <f>SUMMARY!AB56</f>
        <v>-720</v>
      </c>
      <c r="H32" s="336">
        <f>SUMMARY!AB57</f>
        <v>0</v>
      </c>
      <c r="I32" s="336"/>
      <c r="J32" s="336"/>
      <c r="K32" s="336"/>
      <c r="L32" s="336"/>
      <c r="M32" s="339"/>
      <c r="N32" s="336"/>
      <c r="O32" s="413">
        <f t="shared" si="0"/>
        <v>0</v>
      </c>
      <c r="P32" s="339"/>
      <c r="Q32" s="336"/>
      <c r="R32" s="499"/>
      <c r="S32" s="336"/>
      <c r="T32" s="500"/>
      <c r="U32" s="336"/>
      <c r="V32" s="329"/>
      <c r="W32" s="501"/>
      <c r="X32" s="329"/>
      <c r="Y32" s="502"/>
      <c r="Z32" s="502"/>
      <c r="AA32" s="502"/>
      <c r="AB32" s="502"/>
      <c r="AC32" s="502"/>
    </row>
    <row r="33" spans="1:29">
      <c r="A33" s="338"/>
      <c r="B33" s="413" t="str">
        <f>SUMMARY!AC3</f>
        <v>PREMIX 8102 (20KG)</v>
      </c>
      <c r="C33" s="338" t="s">
        <v>346</v>
      </c>
      <c r="D33" s="336">
        <f>SUMMARY!AC53</f>
        <v>1680</v>
      </c>
      <c r="E33" s="336">
        <f>SUMMARY!AC54</f>
        <v>0</v>
      </c>
      <c r="F33" s="336">
        <f>SUMMARY!AC55</f>
        <v>0</v>
      </c>
      <c r="G33" s="336">
        <f>SUMMARY!AC56</f>
        <v>-1680</v>
      </c>
      <c r="H33" s="336">
        <f>SUMMARY!AC57</f>
        <v>0</v>
      </c>
      <c r="I33" s="336"/>
      <c r="J33" s="336"/>
      <c r="K33" s="336"/>
      <c r="L33" s="336"/>
      <c r="M33" s="339"/>
      <c r="N33" s="336"/>
      <c r="O33" s="413">
        <f t="shared" si="0"/>
        <v>0</v>
      </c>
      <c r="P33" s="339"/>
      <c r="Q33" s="336"/>
      <c r="R33" s="499"/>
      <c r="S33" s="336"/>
      <c r="T33" s="500"/>
      <c r="U33" s="336"/>
      <c r="V33" s="329"/>
      <c r="W33" s="501"/>
      <c r="X33" s="329"/>
      <c r="Y33" s="502"/>
      <c r="Z33" s="502"/>
      <c r="AA33" s="502"/>
      <c r="AB33" s="502"/>
      <c r="AC33" s="502"/>
    </row>
    <row r="34" spans="1:29">
      <c r="A34" s="338"/>
      <c r="B34" s="413" t="str">
        <f>SUMMARY!AD3</f>
        <v>PREMIX 8103 (20KG)</v>
      </c>
      <c r="C34" s="338" t="s">
        <v>346</v>
      </c>
      <c r="D34" s="336">
        <f>SUMMARY!AD53</f>
        <v>4960</v>
      </c>
      <c r="E34" s="336">
        <f>SUMMARY!AD54</f>
        <v>0</v>
      </c>
      <c r="F34" s="336">
        <f>SUMMARY!AD55</f>
        <v>0</v>
      </c>
      <c r="G34" s="336">
        <f>SUMMARY!AD56</f>
        <v>-2140</v>
      </c>
      <c r="H34" s="336">
        <f>SUMMARY!AD57</f>
        <v>2820</v>
      </c>
      <c r="I34" s="336"/>
      <c r="J34" s="336"/>
      <c r="K34" s="336"/>
      <c r="L34" s="336"/>
      <c r="M34" s="339"/>
      <c r="N34" s="336"/>
      <c r="O34" s="413">
        <f t="shared" si="0"/>
        <v>-2820</v>
      </c>
      <c r="P34" s="339"/>
      <c r="Q34" s="336"/>
      <c r="R34" s="499"/>
      <c r="S34" s="336"/>
      <c r="T34" s="500"/>
      <c r="U34" s="336"/>
      <c r="V34" s="329"/>
      <c r="W34" s="501"/>
      <c r="X34" s="329"/>
      <c r="Y34" s="502"/>
      <c r="Z34" s="502"/>
      <c r="AA34" s="502"/>
      <c r="AB34" s="502"/>
      <c r="AC34" s="502"/>
    </row>
    <row r="35" spans="1:29">
      <c r="A35" s="338"/>
      <c r="B35" s="413" t="str">
        <f>SUMMARY!AE3</f>
        <v>PREMIX 8108 (20KG)</v>
      </c>
      <c r="C35" s="338" t="s">
        <v>346</v>
      </c>
      <c r="D35" s="336">
        <f>SUMMARY!AE53</f>
        <v>0</v>
      </c>
      <c r="E35" s="336">
        <f>SUMMARY!AE54</f>
        <v>0</v>
      </c>
      <c r="F35" s="336">
        <f>SUMMARY!AE55</f>
        <v>20</v>
      </c>
      <c r="G35" s="336">
        <f>SUMMARY!AE56</f>
        <v>20</v>
      </c>
      <c r="H35" s="336">
        <f>SUMMARY!AE57</f>
        <v>0</v>
      </c>
      <c r="I35" s="336"/>
      <c r="J35" s="336"/>
      <c r="K35" s="336"/>
      <c r="L35" s="336"/>
      <c r="M35" s="339"/>
      <c r="N35" s="336"/>
      <c r="O35" s="413">
        <f t="shared" si="0"/>
        <v>0</v>
      </c>
      <c r="P35" s="339"/>
      <c r="Q35" s="336"/>
      <c r="R35" s="499"/>
      <c r="S35" s="336"/>
      <c r="T35" s="500"/>
      <c r="U35" s="336"/>
      <c r="V35" s="329"/>
      <c r="W35" s="501"/>
      <c r="X35" s="329"/>
      <c r="Y35" s="502"/>
      <c r="Z35" s="502"/>
      <c r="AA35" s="502"/>
      <c r="AB35" s="502"/>
      <c r="AC35" s="502"/>
    </row>
    <row r="36" spans="1:29">
      <c r="A36" s="338"/>
      <c r="B36" s="413" t="str">
        <f>SUMMARY!AF3</f>
        <v>PREMIX 8109 (20KG)</v>
      </c>
      <c r="C36" s="338" t="s">
        <v>346</v>
      </c>
      <c r="D36" s="336">
        <f>SUMMARY!AF53</f>
        <v>0</v>
      </c>
      <c r="E36" s="336">
        <f>SUMMARY!AF54</f>
        <v>0</v>
      </c>
      <c r="F36" s="336">
        <f>SUMMARY!AF55</f>
        <v>0</v>
      </c>
      <c r="G36" s="336">
        <f>SUMMARY!AF56</f>
        <v>0</v>
      </c>
      <c r="H36" s="336">
        <f>SUMMARY!AF57</f>
        <v>0</v>
      </c>
      <c r="I36" s="336"/>
      <c r="J36" s="336"/>
      <c r="K36" s="336"/>
      <c r="L36" s="336"/>
      <c r="M36" s="339"/>
      <c r="N36" s="336"/>
      <c r="O36" s="413">
        <f t="shared" si="0"/>
        <v>0</v>
      </c>
      <c r="P36" s="339"/>
      <c r="Q36" s="336"/>
      <c r="R36" s="499"/>
      <c r="S36" s="336"/>
      <c r="T36" s="500"/>
      <c r="U36" s="336"/>
      <c r="V36" s="329"/>
      <c r="W36" s="501"/>
      <c r="X36" s="329"/>
      <c r="Y36" s="502"/>
      <c r="Z36" s="502"/>
      <c r="AA36" s="502"/>
      <c r="AB36" s="502"/>
      <c r="AC36" s="502"/>
    </row>
    <row r="37" spans="1:29">
      <c r="A37" s="338"/>
      <c r="B37" s="413" t="str">
        <f>SUMMARY!AG3</f>
        <v>YENMIX 121 (20KG)</v>
      </c>
      <c r="C37" s="338" t="s">
        <v>346</v>
      </c>
      <c r="D37" s="336">
        <f>SUMMARY!AG53</f>
        <v>2540</v>
      </c>
      <c r="E37" s="336">
        <f>SUMMARY!AG54</f>
        <v>0</v>
      </c>
      <c r="F37" s="336">
        <f>SUMMARY!AG55</f>
        <v>0</v>
      </c>
      <c r="G37" s="336">
        <f>SUMMARY!AG56</f>
        <v>0</v>
      </c>
      <c r="H37" s="336">
        <f>SUMMARY!AG57</f>
        <v>2540</v>
      </c>
      <c r="I37" s="336"/>
      <c r="J37" s="336"/>
      <c r="K37" s="336"/>
      <c r="L37" s="336"/>
      <c r="M37" s="339"/>
      <c r="N37" s="336"/>
      <c r="O37" s="413">
        <f t="shared" si="0"/>
        <v>-2540</v>
      </c>
      <c r="P37" s="339"/>
      <c r="Q37" s="336"/>
      <c r="R37" s="499"/>
      <c r="S37" s="336"/>
      <c r="T37" s="500"/>
      <c r="U37" s="336"/>
      <c r="V37" s="329"/>
      <c r="W37" s="501"/>
      <c r="X37" s="329"/>
      <c r="Y37" s="502"/>
      <c r="Z37" s="502"/>
      <c r="AA37" s="502"/>
      <c r="AB37" s="502"/>
      <c r="AC37" s="502"/>
    </row>
    <row r="38" spans="1:29">
      <c r="A38" s="338"/>
      <c r="B38" s="413" t="str">
        <f>SUMMARY!AH3</f>
        <v>YENMIX 122 (19.50KG)</v>
      </c>
      <c r="C38" s="338" t="s">
        <v>346</v>
      </c>
      <c r="D38" s="336">
        <f>SUMMARY!AH53</f>
        <v>2359.5</v>
      </c>
      <c r="E38" s="336">
        <f>SUMMARY!AH54</f>
        <v>0</v>
      </c>
      <c r="F38" s="336">
        <f>SUMMARY!AH55</f>
        <v>0</v>
      </c>
      <c r="G38" s="336">
        <f>SUMMARY!AH56</f>
        <v>0</v>
      </c>
      <c r="H38" s="336">
        <f>SUMMARY!AH57</f>
        <v>2359.5</v>
      </c>
      <c r="I38" s="336"/>
      <c r="J38" s="336"/>
      <c r="K38" s="336"/>
      <c r="L38" s="336"/>
      <c r="M38" s="339"/>
      <c r="N38" s="336"/>
      <c r="O38" s="413">
        <f t="shared" si="0"/>
        <v>-2359.5</v>
      </c>
      <c r="P38" s="339"/>
      <c r="Q38" s="336"/>
      <c r="R38" s="499"/>
      <c r="S38" s="336"/>
      <c r="T38" s="500"/>
      <c r="U38" s="336"/>
      <c r="V38" s="329"/>
      <c r="W38" s="501"/>
      <c r="X38" s="329"/>
      <c r="Y38" s="502"/>
      <c r="Z38" s="502"/>
      <c r="AA38" s="502"/>
      <c r="AB38" s="502"/>
      <c r="AC38" s="502"/>
    </row>
    <row r="39" spans="1:29">
      <c r="A39" s="338"/>
      <c r="B39" s="413" t="str">
        <f>SUMMARY!AI3</f>
        <v>YENMIX 123 (18.90KG)</v>
      </c>
      <c r="C39" s="338" t="s">
        <v>346</v>
      </c>
      <c r="D39" s="336">
        <f>SUMMARY!AI53</f>
        <v>1890</v>
      </c>
      <c r="E39" s="336">
        <f>SUMMARY!AI54</f>
        <v>0</v>
      </c>
      <c r="F39" s="336">
        <f>SUMMARY!AI55</f>
        <v>0</v>
      </c>
      <c r="G39" s="336">
        <f>SUMMARY!AI56</f>
        <v>0</v>
      </c>
      <c r="H39" s="336">
        <f>SUMMARY!AI57</f>
        <v>1890</v>
      </c>
      <c r="I39" s="336"/>
      <c r="J39" s="336"/>
      <c r="K39" s="336"/>
      <c r="L39" s="336"/>
      <c r="M39" s="339"/>
      <c r="N39" s="336"/>
      <c r="O39" s="413">
        <f t="shared" si="0"/>
        <v>-1890</v>
      </c>
      <c r="P39" s="339"/>
      <c r="Q39" s="336"/>
      <c r="R39" s="499"/>
      <c r="S39" s="336"/>
      <c r="T39" s="500"/>
      <c r="U39" s="336"/>
      <c r="V39" s="329"/>
      <c r="W39" s="501"/>
      <c r="X39" s="329"/>
      <c r="Y39" s="502"/>
      <c r="Z39" s="502"/>
      <c r="AA39" s="502"/>
      <c r="AB39" s="502"/>
      <c r="AC39" s="502"/>
    </row>
    <row r="40" spans="1:29">
      <c r="A40" s="338"/>
      <c r="B40" s="413" t="str">
        <f>SUMMARY!AJ3</f>
        <v>YENMIX 122 (20.50KG)</v>
      </c>
      <c r="C40" s="338" t="s">
        <v>346</v>
      </c>
      <c r="D40" s="336">
        <f>SUMMARY!AJ53</f>
        <v>3690</v>
      </c>
      <c r="E40" s="336">
        <f>SUMMARY!AJ54</f>
        <v>0</v>
      </c>
      <c r="F40" s="336">
        <f>SUMMARY!AJ55</f>
        <v>0</v>
      </c>
      <c r="G40" s="336">
        <f>SUMMARY!AJ56</f>
        <v>0</v>
      </c>
      <c r="H40" s="336">
        <f>SUMMARY!AJ57</f>
        <v>3690</v>
      </c>
      <c r="I40" s="336"/>
      <c r="J40" s="336"/>
      <c r="K40" s="336"/>
      <c r="L40" s="336"/>
      <c r="M40" s="339"/>
      <c r="N40" s="336"/>
      <c r="O40" s="413">
        <f t="shared" si="0"/>
        <v>-3690</v>
      </c>
      <c r="P40" s="339"/>
      <c r="Q40" s="336"/>
      <c r="R40" s="499"/>
      <c r="S40" s="336"/>
      <c r="T40" s="500"/>
      <c r="U40" s="336"/>
      <c r="V40" s="329"/>
      <c r="W40" s="501"/>
      <c r="X40" s="329"/>
      <c r="Y40" s="502"/>
      <c r="Z40" s="502"/>
      <c r="AA40" s="502"/>
      <c r="AB40" s="502"/>
      <c r="AC40" s="502"/>
    </row>
    <row r="41" spans="1:29">
      <c r="A41" s="338"/>
      <c r="B41" s="413" t="str">
        <f>SUMMARY!AK3</f>
        <v>YENMIX 123 (20.00KG)</v>
      </c>
      <c r="C41" s="338" t="s">
        <v>346</v>
      </c>
      <c r="D41" s="336">
        <f>SUMMARY!AK53</f>
        <v>4000</v>
      </c>
      <c r="E41" s="336">
        <f>SUMMARY!AK54</f>
        <v>0</v>
      </c>
      <c r="F41" s="336">
        <f>SUMMARY!AK55</f>
        <v>0</v>
      </c>
      <c r="G41" s="336">
        <f>SUMMARY!AK56</f>
        <v>0</v>
      </c>
      <c r="H41" s="336">
        <f>SUMMARY!AK57</f>
        <v>4000</v>
      </c>
      <c r="I41" s="336"/>
      <c r="J41" s="336"/>
      <c r="K41" s="336"/>
      <c r="L41" s="336"/>
      <c r="M41" s="339"/>
      <c r="N41" s="336"/>
      <c r="O41" s="413">
        <f t="shared" si="0"/>
        <v>-4000</v>
      </c>
      <c r="P41" s="339"/>
      <c r="Q41" s="336"/>
      <c r="R41" s="499"/>
      <c r="S41" s="336"/>
      <c r="T41" s="500"/>
      <c r="U41" s="336"/>
      <c r="V41" s="329"/>
      <c r="W41" s="501"/>
      <c r="X41" s="329"/>
      <c r="Y41" s="502"/>
      <c r="Z41" s="502"/>
      <c r="AA41" s="502"/>
      <c r="AB41" s="502"/>
      <c r="AC41" s="502"/>
    </row>
    <row r="42" spans="1:29">
      <c r="A42" s="338"/>
      <c r="B42" s="413">
        <f>SUMMARY!AL3</f>
        <v>1</v>
      </c>
      <c r="C42" s="338" t="s">
        <v>346</v>
      </c>
      <c r="D42" s="336">
        <f>SUMMARY!AL53</f>
        <v>0</v>
      </c>
      <c r="E42" s="336">
        <f>SUMMARY!AL54</f>
        <v>0</v>
      </c>
      <c r="F42" s="336">
        <f>SUMMARY!AL55</f>
        <v>0</v>
      </c>
      <c r="G42" s="336">
        <f>SUMMARY!AL56</f>
        <v>0</v>
      </c>
      <c r="H42" s="336">
        <f>SUMMARY!AL57</f>
        <v>0</v>
      </c>
      <c r="I42" s="336"/>
      <c r="J42" s="336"/>
      <c r="K42" s="336"/>
      <c r="L42" s="336"/>
      <c r="M42" s="339"/>
      <c r="N42" s="336"/>
      <c r="O42" s="413">
        <f t="shared" si="0"/>
        <v>0</v>
      </c>
      <c r="P42" s="339"/>
      <c r="Q42" s="336"/>
      <c r="R42" s="336"/>
      <c r="S42" s="336"/>
      <c r="T42" s="336"/>
      <c r="U42" s="336"/>
      <c r="V42" s="329"/>
      <c r="W42" s="501"/>
      <c r="X42" s="329"/>
      <c r="Y42" s="502"/>
      <c r="Z42" s="502"/>
      <c r="AA42" s="502"/>
      <c r="AB42" s="502"/>
      <c r="AC42" s="502"/>
    </row>
    <row r="43" spans="1:29">
      <c r="A43" s="338"/>
      <c r="B43" s="413">
        <f>SUMMARY!AM3</f>
        <v>2</v>
      </c>
      <c r="C43" s="338" t="s">
        <v>346</v>
      </c>
      <c r="D43" s="336">
        <f>SUMMARY!AM53</f>
        <v>0</v>
      </c>
      <c r="E43" s="336">
        <f>SUMMARY!AM54</f>
        <v>0</v>
      </c>
      <c r="F43" s="336">
        <f>SUMMARY!AM55</f>
        <v>0</v>
      </c>
      <c r="G43" s="336">
        <f>SUMMARY!AM56</f>
        <v>0</v>
      </c>
      <c r="H43" s="336">
        <f>SUMMARY!AM57</f>
        <v>0</v>
      </c>
      <c r="I43" s="336"/>
      <c r="J43" s="336"/>
      <c r="K43" s="336"/>
      <c r="L43" s="336"/>
      <c r="M43" s="339"/>
      <c r="N43" s="336"/>
      <c r="O43" s="413">
        <f t="shared" si="0"/>
        <v>0</v>
      </c>
      <c r="P43" s="339"/>
      <c r="Q43" s="336"/>
      <c r="R43" s="336"/>
      <c r="S43" s="336"/>
      <c r="T43" s="336"/>
      <c r="U43" s="336"/>
      <c r="V43" s="329"/>
      <c r="W43" s="501"/>
      <c r="X43" s="329"/>
      <c r="Y43" s="502"/>
      <c r="Z43" s="502"/>
      <c r="AA43" s="502"/>
      <c r="AB43" s="502"/>
      <c r="AC43" s="502"/>
    </row>
    <row r="44" spans="1:29">
      <c r="A44" s="338"/>
      <c r="B44" s="413">
        <f>SUMMARY!AN3</f>
        <v>3</v>
      </c>
      <c r="C44" s="338" t="s">
        <v>346</v>
      </c>
      <c r="D44" s="336">
        <f>SUMMARY!AN53</f>
        <v>0</v>
      </c>
      <c r="E44" s="336">
        <f>SUMMARY!AN54</f>
        <v>0</v>
      </c>
      <c r="F44" s="336">
        <f>SUMMARY!AN55</f>
        <v>0</v>
      </c>
      <c r="G44" s="336">
        <f>SUMMARY!AN56</f>
        <v>0</v>
      </c>
      <c r="H44" s="336">
        <f>SUMMARY!AN57</f>
        <v>0</v>
      </c>
      <c r="I44" s="336"/>
      <c r="J44" s="336"/>
      <c r="K44" s="336"/>
      <c r="L44" s="336"/>
      <c r="M44" s="339"/>
      <c r="N44" s="336"/>
      <c r="O44" s="413">
        <f t="shared" si="0"/>
        <v>0</v>
      </c>
      <c r="P44" s="339"/>
      <c r="Q44" s="336"/>
      <c r="R44" s="336"/>
      <c r="S44" s="336"/>
      <c r="T44" s="336"/>
      <c r="U44" s="336"/>
      <c r="V44" s="329"/>
      <c r="W44" s="501"/>
      <c r="X44" s="329"/>
      <c r="Y44" s="502"/>
      <c r="Z44" s="502"/>
      <c r="AA44" s="502"/>
      <c r="AB44" s="502"/>
      <c r="AC44" s="502"/>
    </row>
    <row r="45" spans="1:29">
      <c r="A45" s="338"/>
      <c r="B45" s="413" t="str">
        <f>SUMMARY!AO3</f>
        <v>TOXISORB PREMIUM</v>
      </c>
      <c r="C45" s="338" t="s">
        <v>346</v>
      </c>
      <c r="D45" s="336">
        <f>SUMMARY!AO53</f>
        <v>2216</v>
      </c>
      <c r="E45" s="336">
        <f>SUMMARY!AO54</f>
        <v>0</v>
      </c>
      <c r="F45" s="336">
        <f>SUMMARY!AO55</f>
        <v>32</v>
      </c>
      <c r="G45" s="336">
        <f>SUMMARY!AO56</f>
        <v>0</v>
      </c>
      <c r="H45" s="336">
        <f>SUMMARY!AO57</f>
        <v>1625</v>
      </c>
      <c r="I45" s="336"/>
      <c r="J45" s="336"/>
      <c r="K45" s="336"/>
      <c r="L45" s="336"/>
      <c r="M45" s="339"/>
      <c r="N45" s="336"/>
      <c r="O45" s="413">
        <f t="shared" si="0"/>
        <v>-1625</v>
      </c>
      <c r="P45" s="339"/>
      <c r="Q45" s="336"/>
      <c r="R45" s="499"/>
      <c r="S45" s="336"/>
      <c r="T45" s="500"/>
      <c r="U45" s="336"/>
      <c r="V45" s="329"/>
      <c r="W45" s="501"/>
      <c r="X45" s="329"/>
      <c r="Y45" s="502"/>
      <c r="Z45" s="502"/>
      <c r="AA45" s="502"/>
      <c r="AB45" s="502"/>
      <c r="AC45" s="502"/>
    </row>
    <row r="46" spans="1:29">
      <c r="A46" s="338"/>
      <c r="B46" s="413" t="str">
        <f>SUMMARY!AP3</f>
        <v>SODIUM HUMATE 3.8% (HARUMI)</v>
      </c>
      <c r="C46" s="338" t="s">
        <v>346</v>
      </c>
      <c r="D46" s="336">
        <f>SUMMARY!AP53</f>
        <v>0</v>
      </c>
      <c r="E46" s="336">
        <f>SUMMARY!AP54</f>
        <v>0</v>
      </c>
      <c r="F46" s="336">
        <f>SUMMARY!AP55</f>
        <v>135</v>
      </c>
      <c r="G46" s="336">
        <f>SUMMARY!AP56</f>
        <v>0</v>
      </c>
      <c r="H46" s="336">
        <f>SUMMARY!AP57</f>
        <v>0</v>
      </c>
      <c r="I46" s="336"/>
      <c r="J46" s="336"/>
      <c r="K46" s="336"/>
      <c r="L46" s="336"/>
      <c r="M46" s="339"/>
      <c r="N46" s="336"/>
      <c r="O46" s="413">
        <f t="shared" si="0"/>
        <v>0</v>
      </c>
      <c r="P46" s="339"/>
      <c r="Q46" s="336"/>
      <c r="R46" s="499"/>
      <c r="S46" s="336"/>
      <c r="T46" s="500"/>
      <c r="U46" s="336"/>
      <c r="V46" s="329"/>
      <c r="W46" s="501"/>
      <c r="X46" s="329"/>
      <c r="Y46" s="502"/>
      <c r="Z46" s="502"/>
      <c r="AA46" s="502"/>
      <c r="AB46" s="502"/>
      <c r="AC46" s="502"/>
    </row>
    <row r="47" spans="1:29">
      <c r="A47" s="338"/>
      <c r="B47" s="413" t="s">
        <v>41</v>
      </c>
      <c r="C47" s="338"/>
      <c r="D47" s="336"/>
      <c r="E47" s="336"/>
      <c r="F47" s="336"/>
      <c r="G47" s="336"/>
      <c r="H47" s="336"/>
      <c r="I47" s="336"/>
      <c r="J47" s="336"/>
      <c r="K47" s="336"/>
      <c r="L47" s="336"/>
      <c r="M47" s="339"/>
      <c r="N47" s="336"/>
      <c r="O47" s="413"/>
      <c r="P47" s="339"/>
      <c r="Q47" s="336"/>
      <c r="R47" s="499"/>
      <c r="S47" s="336"/>
      <c r="T47" s="500"/>
      <c r="U47" s="336"/>
      <c r="V47" s="329"/>
      <c r="W47" s="501"/>
      <c r="X47" s="329"/>
      <c r="Y47" s="502"/>
      <c r="Z47" s="502"/>
      <c r="AA47" s="502"/>
      <c r="AB47" s="502"/>
      <c r="AC47" s="502"/>
    </row>
    <row r="48" spans="1:29">
      <c r="A48" s="338"/>
      <c r="B48" s="413" t="str">
        <f>SUMMARY!AR3</f>
        <v>SODIUM BICARBONATE</v>
      </c>
      <c r="C48" s="338" t="s">
        <v>346</v>
      </c>
      <c r="D48" s="336">
        <f>SUMMARY!AR53</f>
        <v>3111.9999999999995</v>
      </c>
      <c r="E48" s="336">
        <f>SUMMARY!AR54</f>
        <v>0</v>
      </c>
      <c r="F48" s="336">
        <f>SUMMARY!AR55</f>
        <v>0</v>
      </c>
      <c r="G48" s="336">
        <f>SUMMARY!AR56</f>
        <v>0</v>
      </c>
      <c r="H48" s="336">
        <f>SUMMARY!AR57</f>
        <v>3111.9999999999995</v>
      </c>
      <c r="I48" s="336"/>
      <c r="J48" s="336"/>
      <c r="K48" s="336"/>
      <c r="L48" s="336"/>
      <c r="M48" s="339"/>
      <c r="N48" s="336"/>
      <c r="O48" s="413"/>
      <c r="P48" s="339"/>
      <c r="Q48" s="336"/>
      <c r="R48" s="499"/>
      <c r="S48" s="336"/>
      <c r="T48" s="500"/>
      <c r="U48" s="336"/>
      <c r="V48" s="329"/>
      <c r="W48" s="501"/>
      <c r="X48" s="329"/>
      <c r="Y48" s="502"/>
      <c r="Z48" s="502"/>
      <c r="AA48" s="502"/>
      <c r="AB48" s="502"/>
      <c r="AC48" s="502"/>
    </row>
    <row r="49" spans="1:29">
      <c r="A49" s="338"/>
      <c r="B49" s="413" t="str">
        <f>SUMMARY!AS3</f>
        <v>BMD 10%</v>
      </c>
      <c r="C49" s="338" t="s">
        <v>346</v>
      </c>
      <c r="D49" s="336">
        <f>SUMMARY!AS53</f>
        <v>1680.5</v>
      </c>
      <c r="E49" s="336">
        <f>SUMMARY!AS54</f>
        <v>0</v>
      </c>
      <c r="F49" s="336">
        <f>SUMMARY!AS55</f>
        <v>0</v>
      </c>
      <c r="G49" s="336">
        <f>SUMMARY!AS56</f>
        <v>0</v>
      </c>
      <c r="H49" s="336">
        <f>SUMMARY!AS57</f>
        <v>1680.5</v>
      </c>
      <c r="I49" s="336"/>
      <c r="J49" s="336"/>
      <c r="K49" s="336"/>
      <c r="L49" s="336"/>
      <c r="M49" s="339"/>
      <c r="N49" s="336"/>
      <c r="O49" s="413">
        <f t="shared" si="0"/>
        <v>-1680.5</v>
      </c>
      <c r="P49" s="339"/>
      <c r="Q49" s="336"/>
      <c r="R49" s="499"/>
      <c r="S49" s="336"/>
      <c r="T49" s="500"/>
      <c r="U49" s="336"/>
      <c r="V49" s="329"/>
      <c r="W49" s="501"/>
      <c r="X49" s="329"/>
      <c r="Y49" s="502"/>
      <c r="Z49" s="502"/>
      <c r="AA49" s="502"/>
      <c r="AB49" s="502"/>
      <c r="AC49" s="502"/>
    </row>
    <row r="50" spans="1:29">
      <c r="A50" s="338"/>
      <c r="B50" s="413" t="str">
        <f>SUMMARY!AT3</f>
        <v>SALT (HARUMI)</v>
      </c>
      <c r="C50" s="338" t="s">
        <v>346</v>
      </c>
      <c r="D50" s="336">
        <f>SUMMARY!AT53</f>
        <v>0</v>
      </c>
      <c r="E50" s="336">
        <f>SUMMARY!AT54</f>
        <v>0</v>
      </c>
      <c r="F50" s="336">
        <f>SUMMARY!AT55</f>
        <v>0</v>
      </c>
      <c r="G50" s="336">
        <f>SUMMARY!AT56</f>
        <v>0</v>
      </c>
      <c r="H50" s="336">
        <f>SUMMARY!AT57</f>
        <v>0</v>
      </c>
      <c r="I50" s="336"/>
      <c r="J50" s="336"/>
      <c r="K50" s="336"/>
      <c r="L50" s="336"/>
      <c r="M50" s="339"/>
      <c r="N50" s="336"/>
      <c r="O50" s="413">
        <f t="shared" si="0"/>
        <v>0</v>
      </c>
      <c r="P50" s="339"/>
      <c r="Q50" s="336"/>
      <c r="R50" s="499"/>
      <c r="S50" s="336"/>
      <c r="T50" s="500"/>
      <c r="U50" s="336"/>
      <c r="V50" s="329"/>
      <c r="W50" s="501"/>
      <c r="X50" s="329"/>
      <c r="Y50" s="502"/>
      <c r="Z50" s="502"/>
      <c r="AA50" s="502"/>
      <c r="AB50" s="502"/>
      <c r="AC50" s="502"/>
    </row>
    <row r="51" spans="1:29">
      <c r="A51" s="338"/>
      <c r="B51" s="413" t="str">
        <f>SUMMARY!AU3</f>
        <v>VISTABET 91</v>
      </c>
      <c r="C51" s="338" t="s">
        <v>346</v>
      </c>
      <c r="D51" s="336">
        <f>SUMMARY!AU53</f>
        <v>1482</v>
      </c>
      <c r="E51" s="336">
        <f>SUMMARY!AU54</f>
        <v>0</v>
      </c>
      <c r="F51" s="336">
        <f>SUMMARY!AU55</f>
        <v>0</v>
      </c>
      <c r="G51" s="336">
        <f>SUMMARY!AU56</f>
        <v>0</v>
      </c>
      <c r="H51" s="336">
        <f>SUMMARY!AU57</f>
        <v>1482</v>
      </c>
      <c r="I51" s="336"/>
      <c r="J51" s="336"/>
      <c r="K51" s="336"/>
      <c r="L51" s="336"/>
      <c r="M51" s="339"/>
      <c r="N51" s="336"/>
      <c r="O51" s="413">
        <f t="shared" si="0"/>
        <v>-1482</v>
      </c>
      <c r="P51" s="339"/>
      <c r="Q51" s="336"/>
      <c r="R51" s="499"/>
      <c r="S51" s="336"/>
      <c r="T51" s="500"/>
      <c r="U51" s="336"/>
      <c r="V51" s="329"/>
      <c r="W51" s="501"/>
      <c r="X51" s="329"/>
      <c r="Y51" s="502"/>
      <c r="Z51" s="502"/>
      <c r="AA51" s="502"/>
      <c r="AB51" s="502"/>
      <c r="AC51" s="502"/>
    </row>
    <row r="52" spans="1:29">
      <c r="A52" s="338"/>
      <c r="B52" s="413" t="str">
        <f>SUMMARY!AV3</f>
        <v>BETAFIN</v>
      </c>
      <c r="C52" s="338" t="s">
        <v>346</v>
      </c>
      <c r="D52" s="336">
        <f>SUMMARY!AV53</f>
        <v>0</v>
      </c>
      <c r="E52" s="336">
        <f>SUMMARY!AV54</f>
        <v>0</v>
      </c>
      <c r="F52" s="336">
        <f>SUMMARY!AV55</f>
        <v>0</v>
      </c>
      <c r="G52" s="336">
        <f>SUMMARY!AV56</f>
        <v>0</v>
      </c>
      <c r="H52" s="336">
        <f>SUMMARY!AV57</f>
        <v>0</v>
      </c>
      <c r="I52" s="336"/>
      <c r="J52" s="336"/>
      <c r="K52" s="336"/>
      <c r="L52" s="336"/>
      <c r="M52" s="339"/>
      <c r="N52" s="336"/>
      <c r="O52" s="413">
        <f t="shared" si="0"/>
        <v>0</v>
      </c>
      <c r="P52" s="339"/>
      <c r="Q52" s="336"/>
      <c r="R52" s="499"/>
      <c r="S52" s="336"/>
      <c r="T52" s="500"/>
      <c r="U52" s="336"/>
      <c r="V52" s="329"/>
      <c r="W52" s="501"/>
      <c r="X52" s="329"/>
      <c r="Y52" s="502"/>
      <c r="Z52" s="502"/>
      <c r="AA52" s="502"/>
      <c r="AB52" s="502"/>
      <c r="AC52" s="502"/>
    </row>
    <row r="53" spans="1:29">
      <c r="A53" s="338"/>
      <c r="B53" s="413" t="str">
        <f>SUMMARY!AW3</f>
        <v>8101 TOP UP</v>
      </c>
      <c r="C53" s="338" t="s">
        <v>346</v>
      </c>
      <c r="D53" s="336">
        <f>SUMMARY!AW53</f>
        <v>100</v>
      </c>
      <c r="E53" s="336">
        <f>SUMMARY!AW54</f>
        <v>0</v>
      </c>
      <c r="F53" s="336">
        <f>SUMMARY!AW55</f>
        <v>0</v>
      </c>
      <c r="G53" s="336">
        <f>SUMMARY!AW56</f>
        <v>0</v>
      </c>
      <c r="H53" s="336">
        <f>SUMMARY!AW57</f>
        <v>100</v>
      </c>
      <c r="I53" s="336"/>
      <c r="J53" s="336"/>
      <c r="K53" s="336"/>
      <c r="L53" s="336"/>
      <c r="M53" s="339"/>
      <c r="N53" s="336"/>
      <c r="O53" s="413">
        <f t="shared" si="0"/>
        <v>-100</v>
      </c>
      <c r="P53" s="339"/>
      <c r="Q53" s="336"/>
      <c r="R53" s="499"/>
      <c r="S53" s="336"/>
      <c r="T53" s="500"/>
      <c r="U53" s="336"/>
      <c r="V53" s="329"/>
      <c r="W53" s="501"/>
      <c r="X53" s="329"/>
      <c r="Y53" s="502"/>
      <c r="Z53" s="502"/>
      <c r="AA53" s="502"/>
      <c r="AB53" s="502"/>
      <c r="AC53" s="502"/>
    </row>
    <row r="54" spans="1:29">
      <c r="A54" s="338"/>
      <c r="B54" s="413" t="str">
        <f>SUMMARY!AX3</f>
        <v>NORPONIN X03 (8102 TOP UP)</v>
      </c>
      <c r="C54" s="338" t="s">
        <v>346</v>
      </c>
      <c r="D54" s="336">
        <f>SUMMARY!AX53</f>
        <v>13.960000000000036</v>
      </c>
      <c r="E54" s="336">
        <f>SUMMARY!AX54</f>
        <v>0</v>
      </c>
      <c r="F54" s="336">
        <f>SUMMARY!AX55</f>
        <v>0</v>
      </c>
      <c r="G54" s="336">
        <f>SUMMARY!AX56</f>
        <v>0</v>
      </c>
      <c r="H54" s="336">
        <f>SUMMARY!AX57</f>
        <v>13.960000000000036</v>
      </c>
      <c r="I54" s="336"/>
      <c r="J54" s="336"/>
      <c r="K54" s="336"/>
      <c r="L54" s="336"/>
      <c r="M54" s="339"/>
      <c r="N54" s="336"/>
      <c r="O54" s="413">
        <f t="shared" si="0"/>
        <v>-13.960000000000036</v>
      </c>
      <c r="P54" s="339"/>
      <c r="Q54" s="336"/>
      <c r="R54" s="499"/>
      <c r="S54" s="336"/>
      <c r="T54" s="500"/>
      <c r="U54" s="336"/>
      <c r="V54" s="329"/>
      <c r="W54" s="501"/>
      <c r="X54" s="329"/>
      <c r="Y54" s="502"/>
      <c r="Z54" s="502"/>
      <c r="AA54" s="502"/>
      <c r="AB54" s="502"/>
      <c r="AC54" s="502"/>
    </row>
    <row r="55" spans="1:29">
      <c r="A55" s="338"/>
      <c r="B55" s="413" t="str">
        <f>SUMMARY!AY3</f>
        <v>8102 TOP UP (4KG)</v>
      </c>
      <c r="C55" s="338" t="s">
        <v>346</v>
      </c>
      <c r="D55" s="336">
        <f>SUMMARY!AY53</f>
        <v>1284</v>
      </c>
      <c r="E55" s="336">
        <f>SUMMARY!AY54</f>
        <v>0</v>
      </c>
      <c r="F55" s="336">
        <f>SUMMARY!AY55</f>
        <v>736</v>
      </c>
      <c r="G55" s="336">
        <f>SUMMARY!AY56</f>
        <v>0</v>
      </c>
      <c r="H55" s="336">
        <f>SUMMARY!AY57</f>
        <v>548</v>
      </c>
      <c r="I55" s="336"/>
      <c r="J55" s="336"/>
      <c r="K55" s="336"/>
      <c r="L55" s="336"/>
      <c r="M55" s="339"/>
      <c r="N55" s="336"/>
      <c r="O55" s="413">
        <f t="shared" si="0"/>
        <v>-548</v>
      </c>
      <c r="P55" s="339"/>
      <c r="Q55" s="336"/>
      <c r="R55" s="499"/>
      <c r="S55" s="336"/>
      <c r="T55" s="500"/>
      <c r="U55" s="336"/>
      <c r="V55" s="329"/>
      <c r="W55" s="501"/>
      <c r="X55" s="329"/>
      <c r="Y55" s="502"/>
      <c r="Z55" s="502"/>
      <c r="AA55" s="502"/>
      <c r="AB55" s="502"/>
      <c r="AC55" s="502"/>
    </row>
    <row r="56" spans="1:29">
      <c r="A56" s="338"/>
      <c r="B56" s="413" t="str">
        <f>SUMMARY!AZ3</f>
        <v>8103 TOP UP (5KG)</v>
      </c>
      <c r="C56" s="338" t="s">
        <v>346</v>
      </c>
      <c r="D56" s="336">
        <f>SUMMARY!AZ53</f>
        <v>0</v>
      </c>
      <c r="E56" s="336">
        <f>SUMMARY!AZ54</f>
        <v>0</v>
      </c>
      <c r="F56" s="336">
        <f>SUMMARY!AZ55</f>
        <v>0</v>
      </c>
      <c r="G56" s="336">
        <f>SUMMARY!AZ56</f>
        <v>0</v>
      </c>
      <c r="H56" s="336">
        <f>SUMMARY!AZ57</f>
        <v>0</v>
      </c>
      <c r="I56" s="336"/>
      <c r="J56" s="336"/>
      <c r="K56" s="336"/>
      <c r="L56" s="336"/>
      <c r="M56" s="339"/>
      <c r="N56" s="336"/>
      <c r="O56" s="413">
        <f t="shared" si="0"/>
        <v>0</v>
      </c>
      <c r="P56" s="339"/>
      <c r="Q56" s="336"/>
      <c r="R56" s="499"/>
      <c r="S56" s="336"/>
      <c r="T56" s="500"/>
      <c r="U56" s="336"/>
      <c r="V56" s="329"/>
      <c r="W56" s="501"/>
      <c r="X56" s="329"/>
      <c r="Y56" s="502"/>
      <c r="Z56" s="502"/>
      <c r="AA56" s="502"/>
      <c r="AB56" s="502"/>
      <c r="AC56" s="502"/>
    </row>
    <row r="57" spans="1:29">
      <c r="A57" s="338"/>
      <c r="B57" s="413" t="str">
        <f>SUMMARY!BA3</f>
        <v>L-ARGININE</v>
      </c>
      <c r="C57" s="338" t="s">
        <v>346</v>
      </c>
      <c r="D57" s="336">
        <f>SUMMARY!BA53</f>
        <v>207.6</v>
      </c>
      <c r="E57" s="336">
        <f>SUMMARY!BA54</f>
        <v>0</v>
      </c>
      <c r="F57" s="336">
        <f>SUMMARY!BA55</f>
        <v>207.6</v>
      </c>
      <c r="G57" s="336">
        <f>SUMMARY!BA56</f>
        <v>0</v>
      </c>
      <c r="H57" s="336">
        <f>SUMMARY!BA57</f>
        <v>0</v>
      </c>
      <c r="I57" s="336"/>
      <c r="J57" s="336"/>
      <c r="K57" s="336"/>
      <c r="L57" s="336"/>
      <c r="M57" s="339"/>
      <c r="N57" s="336"/>
      <c r="O57" s="413"/>
      <c r="P57" s="339"/>
      <c r="Q57" s="336"/>
      <c r="R57" s="499"/>
      <c r="S57" s="336"/>
      <c r="T57" s="500"/>
      <c r="U57" s="336"/>
      <c r="V57" s="329"/>
      <c r="W57" s="501"/>
      <c r="X57" s="329"/>
      <c r="Y57" s="502"/>
      <c r="Z57" s="502"/>
      <c r="AA57" s="502"/>
      <c r="AB57" s="502"/>
      <c r="AC57" s="502"/>
    </row>
    <row r="58" spans="1:29">
      <c r="A58" s="338"/>
      <c r="B58" s="413" t="str">
        <f>SUMMARY!BB3</f>
        <v>DL-METHIONINE</v>
      </c>
      <c r="C58" s="338" t="s">
        <v>346</v>
      </c>
      <c r="D58" s="336">
        <f>SUMMARY!BB53</f>
        <v>147.04000000000002</v>
      </c>
      <c r="E58" s="336">
        <f>SUMMARY!BB54</f>
        <v>0</v>
      </c>
      <c r="F58" s="336">
        <f>SUMMARY!BB55</f>
        <v>0</v>
      </c>
      <c r="G58" s="336">
        <f>SUMMARY!BB56</f>
        <v>0</v>
      </c>
      <c r="H58" s="336">
        <f>SUMMARY!BB57</f>
        <v>147.04000000000002</v>
      </c>
      <c r="I58" s="336"/>
      <c r="J58" s="336"/>
      <c r="K58" s="336"/>
      <c r="L58" s="336"/>
      <c r="M58" s="339"/>
      <c r="N58" s="336"/>
      <c r="O58" s="413"/>
      <c r="P58" s="339"/>
      <c r="Q58" s="336"/>
      <c r="R58" s="499"/>
      <c r="S58" s="336"/>
      <c r="T58" s="500"/>
      <c r="U58" s="336"/>
      <c r="V58" s="329"/>
      <c r="W58" s="501"/>
      <c r="X58" s="329"/>
      <c r="Y58" s="502"/>
      <c r="Z58" s="502"/>
      <c r="AA58" s="502"/>
      <c r="AB58" s="502"/>
      <c r="AC58" s="502"/>
    </row>
    <row r="59" spans="1:29">
      <c r="A59" s="338"/>
      <c r="B59" s="413" t="str">
        <f>SUMMARY!BC3</f>
        <v>L-THREONINE</v>
      </c>
      <c r="C59" s="338" t="s">
        <v>346</v>
      </c>
      <c r="D59" s="336">
        <f>SUMMARY!BC53</f>
        <v>46.8</v>
      </c>
      <c r="E59" s="336">
        <f>SUMMARY!BC54</f>
        <v>0</v>
      </c>
      <c r="F59" s="336">
        <f>SUMMARY!BC55</f>
        <v>0</v>
      </c>
      <c r="G59" s="336">
        <f>SUMMARY!BC56</f>
        <v>0</v>
      </c>
      <c r="H59" s="336">
        <f>SUMMARY!BC57</f>
        <v>46.8</v>
      </c>
      <c r="I59" s="336"/>
      <c r="J59" s="336"/>
      <c r="K59" s="336"/>
      <c r="L59" s="336"/>
      <c r="M59" s="339"/>
      <c r="N59" s="303"/>
      <c r="O59" s="303"/>
      <c r="P59" s="339"/>
      <c r="Q59" s="336"/>
      <c r="R59" s="499"/>
      <c r="S59" s="336"/>
      <c r="T59" s="500"/>
      <c r="U59" s="336"/>
      <c r="V59" s="329"/>
      <c r="W59" s="329"/>
      <c r="X59" s="329"/>
      <c r="Y59" s="329"/>
      <c r="Z59" s="329"/>
      <c r="AA59" s="329"/>
      <c r="AB59" s="329"/>
      <c r="AC59" s="329"/>
    </row>
    <row r="60" spans="1:29">
      <c r="A60" s="338"/>
      <c r="B60" s="413" t="str">
        <f>SUMMARY!BD3</f>
        <v>L-LYSINE</v>
      </c>
      <c r="C60" s="338" t="s">
        <v>346</v>
      </c>
      <c r="D60" s="356">
        <f>SUMMARY!BD53</f>
        <v>0</v>
      </c>
      <c r="E60" s="356">
        <f>SUMMARY!BD54</f>
        <v>0</v>
      </c>
      <c r="F60" s="356">
        <f>SUMMARY!BD55</f>
        <v>0</v>
      </c>
      <c r="G60" s="356">
        <f>SUMMARY!BD56</f>
        <v>0</v>
      </c>
      <c r="H60" s="356">
        <f>SUMMARY!BD57</f>
        <v>0</v>
      </c>
      <c r="I60" s="336"/>
      <c r="J60" s="336"/>
      <c r="K60" s="356"/>
      <c r="L60" s="336"/>
      <c r="M60" s="339"/>
      <c r="N60" s="303"/>
      <c r="O60" s="303"/>
      <c r="P60" s="339"/>
      <c r="Q60" s="336"/>
      <c r="R60" s="499"/>
      <c r="S60" s="336"/>
      <c r="T60" s="500"/>
      <c r="U60" s="336"/>
      <c r="V60" s="329"/>
      <c r="W60" s="329"/>
      <c r="X60" s="329"/>
      <c r="Y60" s="329"/>
      <c r="Z60" s="329"/>
      <c r="AA60" s="329"/>
      <c r="AB60" s="329"/>
      <c r="AC60" s="329"/>
    </row>
    <row r="61" spans="1:29">
      <c r="A61" s="338"/>
      <c r="B61" s="413" t="str">
        <f>SUMMARY!BE3</f>
        <v>FAECES DRY</v>
      </c>
      <c r="C61" s="338" t="s">
        <v>346</v>
      </c>
      <c r="D61" s="356">
        <f>SUMMARY!BE53</f>
        <v>24.200000000000003</v>
      </c>
      <c r="E61" s="356">
        <f>SUMMARY!BE54</f>
        <v>0</v>
      </c>
      <c r="F61" s="356">
        <f>SUMMARY!BE55</f>
        <v>0</v>
      </c>
      <c r="G61" s="356">
        <f>SUMMARY!BE56</f>
        <v>0</v>
      </c>
      <c r="H61" s="356">
        <f>SUMMARY!BE57</f>
        <v>24.200000000000003</v>
      </c>
      <c r="I61" s="336"/>
      <c r="J61" s="336"/>
      <c r="K61" s="356"/>
      <c r="L61" s="336"/>
      <c r="M61" s="339"/>
      <c r="N61" s="303"/>
      <c r="O61" s="303"/>
      <c r="P61" s="339"/>
      <c r="Q61" s="336"/>
      <c r="R61" s="499"/>
      <c r="S61" s="336"/>
      <c r="T61" s="500"/>
      <c r="U61" s="336"/>
      <c r="V61" s="329"/>
      <c r="W61" s="329"/>
      <c r="X61" s="329"/>
      <c r="Y61" s="329"/>
      <c r="Z61" s="329"/>
      <c r="AA61" s="329"/>
      <c r="AB61" s="329"/>
      <c r="AC61" s="329"/>
    </row>
    <row r="62" spans="1:29">
      <c r="A62" s="338"/>
      <c r="B62" s="413"/>
      <c r="C62" s="338"/>
      <c r="D62" s="356"/>
      <c r="E62" s="356"/>
      <c r="F62" s="356"/>
      <c r="G62" s="356"/>
      <c r="H62" s="356"/>
      <c r="I62" s="336"/>
      <c r="J62" s="336"/>
      <c r="K62" s="356"/>
      <c r="L62" s="336"/>
      <c r="M62" s="339"/>
      <c r="N62" s="303"/>
      <c r="O62" s="303"/>
      <c r="P62" s="339"/>
      <c r="Q62" s="336"/>
      <c r="R62" s="499"/>
      <c r="S62" s="336"/>
      <c r="T62" s="500"/>
      <c r="U62" s="336"/>
      <c r="V62" s="329"/>
      <c r="W62" s="329"/>
      <c r="X62" s="329"/>
      <c r="Y62" s="329"/>
      <c r="Z62" s="329"/>
      <c r="AA62" s="329"/>
      <c r="AB62" s="329"/>
      <c r="AC62" s="329"/>
    </row>
    <row r="63" spans="1:29">
      <c r="A63" s="338"/>
      <c r="B63" s="310" t="s">
        <v>348</v>
      </c>
      <c r="C63" s="338"/>
      <c r="D63" s="356"/>
      <c r="E63" s="356"/>
      <c r="F63" s="356"/>
      <c r="G63" s="356"/>
      <c r="H63" s="356"/>
      <c r="I63" s="336"/>
      <c r="J63" s="336"/>
      <c r="K63" s="356"/>
      <c r="L63" s="336"/>
      <c r="M63" s="339"/>
      <c r="N63" s="303"/>
      <c r="O63" s="303"/>
      <c r="P63" s="339"/>
      <c r="Q63" s="336"/>
      <c r="R63" s="499"/>
      <c r="S63" s="336"/>
      <c r="T63" s="500"/>
      <c r="U63" s="336"/>
      <c r="V63" s="329"/>
      <c r="W63" s="329"/>
      <c r="X63" s="329"/>
      <c r="Y63" s="329"/>
      <c r="Z63" s="329"/>
      <c r="AA63" s="329"/>
      <c r="AB63" s="329"/>
      <c r="AC63" s="329"/>
    </row>
    <row r="64" spans="1:29">
      <c r="A64" s="338"/>
      <c r="B64" s="413"/>
      <c r="C64" s="338" t="s">
        <v>349</v>
      </c>
      <c r="D64" s="356"/>
      <c r="E64" s="356"/>
      <c r="F64" s="356"/>
      <c r="G64" s="356"/>
      <c r="H64" s="356"/>
      <c r="I64" s="336"/>
      <c r="J64" s="336"/>
      <c r="K64" s="356"/>
      <c r="L64" s="336"/>
      <c r="M64" s="339"/>
      <c r="N64" s="303"/>
      <c r="O64" s="303"/>
      <c r="P64" s="339"/>
      <c r="Q64" s="336"/>
      <c r="R64" s="499"/>
      <c r="S64" s="336"/>
      <c r="T64" s="500"/>
      <c r="U64" s="336"/>
      <c r="V64" s="329"/>
      <c r="W64" s="329"/>
      <c r="X64" s="329"/>
      <c r="Y64" s="329"/>
      <c r="Z64" s="329"/>
      <c r="AA64" s="329"/>
      <c r="AB64" s="329"/>
      <c r="AC64" s="329"/>
    </row>
    <row r="65" spans="1:29">
      <c r="A65" s="338"/>
      <c r="B65" s="413"/>
      <c r="C65" s="338" t="s">
        <v>349</v>
      </c>
      <c r="D65" s="356"/>
      <c r="E65" s="356"/>
      <c r="F65" s="356"/>
      <c r="G65" s="356"/>
      <c r="H65" s="356"/>
      <c r="I65" s="336"/>
      <c r="J65" s="336"/>
      <c r="K65" s="356"/>
      <c r="L65" s="336"/>
      <c r="M65" s="339"/>
      <c r="N65" s="303"/>
      <c r="O65" s="303"/>
      <c r="P65" s="339"/>
      <c r="Q65" s="336"/>
      <c r="R65" s="499"/>
      <c r="S65" s="336"/>
      <c r="T65" s="500"/>
      <c r="U65" s="336"/>
      <c r="V65" s="329"/>
      <c r="W65" s="329"/>
      <c r="X65" s="329"/>
      <c r="Y65" s="329"/>
      <c r="Z65" s="329"/>
      <c r="AA65" s="329"/>
      <c r="AB65" s="329"/>
      <c r="AC65" s="329"/>
    </row>
    <row r="66" spans="1:29">
      <c r="A66" s="338"/>
      <c r="B66" s="413"/>
      <c r="C66" s="338"/>
      <c r="D66" s="356"/>
      <c r="E66" s="356"/>
      <c r="F66" s="356"/>
      <c r="G66" s="356"/>
      <c r="H66" s="356"/>
      <c r="I66" s="336"/>
      <c r="J66" s="336"/>
      <c r="K66" s="356"/>
      <c r="L66" s="336"/>
      <c r="M66" s="339"/>
      <c r="N66" s="303"/>
      <c r="O66" s="303"/>
      <c r="P66" s="339"/>
      <c r="Q66" s="336"/>
      <c r="R66" s="499"/>
      <c r="S66" s="336"/>
      <c r="T66" s="500"/>
      <c r="U66" s="336"/>
      <c r="V66" s="329"/>
      <c r="W66" s="329"/>
      <c r="X66" s="329"/>
      <c r="Y66" s="329"/>
      <c r="Z66" s="329"/>
      <c r="AA66" s="329"/>
      <c r="AB66" s="329"/>
      <c r="AC66" s="329"/>
    </row>
    <row r="67" spans="1:29">
      <c r="A67" s="338"/>
      <c r="B67" s="413"/>
      <c r="C67" s="338"/>
      <c r="D67" s="356"/>
      <c r="E67" s="356"/>
      <c r="F67" s="356"/>
      <c r="G67" s="356"/>
      <c r="H67" s="356"/>
      <c r="I67" s="336"/>
      <c r="J67" s="336"/>
      <c r="K67" s="356"/>
      <c r="L67" s="336"/>
      <c r="M67" s="339"/>
      <c r="N67" s="303"/>
      <c r="O67" s="303"/>
      <c r="P67" s="339"/>
      <c r="Q67" s="336"/>
      <c r="R67" s="499"/>
      <c r="S67" s="336"/>
      <c r="T67" s="500"/>
      <c r="U67" s="336"/>
      <c r="V67" s="329"/>
      <c r="W67" s="329"/>
      <c r="X67" s="329"/>
      <c r="Y67" s="329"/>
      <c r="Z67" s="329"/>
      <c r="AA67" s="329"/>
      <c r="AB67" s="329"/>
      <c r="AC67" s="329"/>
    </row>
    <row r="68" spans="1:29">
      <c r="A68" s="338"/>
      <c r="B68" s="413"/>
      <c r="C68" s="338"/>
      <c r="D68" s="356"/>
      <c r="E68" s="356"/>
      <c r="F68" s="356"/>
      <c r="G68" s="356"/>
      <c r="H68" s="356"/>
      <c r="I68" s="336"/>
      <c r="J68" s="336"/>
      <c r="K68" s="356"/>
      <c r="L68" s="336"/>
      <c r="M68" s="339"/>
      <c r="N68" s="303"/>
      <c r="O68" s="303"/>
      <c r="P68" s="339"/>
      <c r="Q68" s="336"/>
      <c r="R68" s="499"/>
      <c r="S68" s="336"/>
      <c r="T68" s="500"/>
      <c r="U68" s="336"/>
      <c r="V68" s="329"/>
      <c r="W68" s="329"/>
      <c r="X68" s="329"/>
      <c r="Y68" s="329"/>
      <c r="Z68" s="329"/>
      <c r="AA68" s="329"/>
      <c r="AB68" s="329"/>
      <c r="AC68" s="329"/>
    </row>
    <row r="69" spans="1:29">
      <c r="A69" s="338"/>
      <c r="B69" s="413"/>
      <c r="C69" s="338"/>
      <c r="D69" s="356"/>
      <c r="E69" s="356"/>
      <c r="F69" s="356"/>
      <c r="G69" s="356"/>
      <c r="H69" s="356"/>
      <c r="I69" s="336"/>
      <c r="J69" s="336"/>
      <c r="K69" s="356"/>
      <c r="L69" s="336"/>
      <c r="M69" s="339"/>
      <c r="N69" s="303"/>
      <c r="O69" s="303"/>
      <c r="P69" s="339"/>
      <c r="Q69" s="336"/>
      <c r="R69" s="499"/>
      <c r="S69" s="336"/>
      <c r="T69" s="500"/>
      <c r="U69" s="336"/>
      <c r="V69" s="329"/>
      <c r="W69" s="329"/>
      <c r="X69" s="329"/>
      <c r="Y69" s="329"/>
      <c r="Z69" s="329"/>
      <c r="AA69" s="329"/>
      <c r="AB69" s="329"/>
      <c r="AC69" s="329"/>
    </row>
    <row r="70" spans="1:29" ht="13.9" thickBot="1">
      <c r="A70" s="338"/>
      <c r="B70" s="302" t="s">
        <v>72</v>
      </c>
      <c r="C70" s="475"/>
      <c r="D70" s="506">
        <f>SUM(D4:D59)</f>
        <v>407815.62000000005</v>
      </c>
      <c r="E70" s="506">
        <f t="shared" ref="E70:H70" si="1">SUM(E4:E59)</f>
        <v>102452</v>
      </c>
      <c r="F70" s="506">
        <f t="shared" si="1"/>
        <v>242698.65000000002</v>
      </c>
      <c r="G70" s="506">
        <f t="shared" si="1"/>
        <v>181038.09000000003</v>
      </c>
      <c r="H70" s="506">
        <f t="shared" si="1"/>
        <v>448183.06000000006</v>
      </c>
      <c r="I70" s="336"/>
      <c r="J70" s="336"/>
      <c r="K70" s="507">
        <f>SUM(K4:K59)</f>
        <v>0</v>
      </c>
      <c r="L70" s="508"/>
      <c r="M70" s="339"/>
      <c r="N70" s="303"/>
      <c r="O70" s="303"/>
      <c r="P70" s="339"/>
      <c r="Q70" s="336"/>
      <c r="R70" s="499"/>
      <c r="S70" s="336"/>
      <c r="T70" s="500"/>
      <c r="U70" s="336"/>
      <c r="V70" s="329"/>
      <c r="W70" s="329"/>
      <c r="X70" s="329"/>
      <c r="Y70" s="329"/>
      <c r="Z70" s="329"/>
      <c r="AA70" s="329"/>
      <c r="AB70" s="329"/>
      <c r="AC70" s="329"/>
    </row>
    <row r="71" spans="1:29">
      <c r="A71" s="496"/>
      <c r="B71" s="501"/>
      <c r="C71" s="473"/>
      <c r="D71" s="339"/>
      <c r="E71" s="339"/>
      <c r="F71" s="339"/>
      <c r="G71" s="339"/>
      <c r="H71" s="339"/>
      <c r="I71" s="339"/>
      <c r="J71" s="339"/>
      <c r="K71" s="339"/>
      <c r="L71" s="339"/>
      <c r="M71" s="339"/>
      <c r="N71" s="299"/>
      <c r="O71" s="299"/>
      <c r="P71" s="339"/>
      <c r="Q71" s="339"/>
      <c r="R71" s="509"/>
      <c r="S71" s="339"/>
      <c r="T71" s="510"/>
      <c r="U71" s="339"/>
      <c r="V71" s="329"/>
      <c r="W71" s="329"/>
      <c r="X71" s="329"/>
      <c r="Y71" s="329"/>
      <c r="Z71" s="329"/>
      <c r="AA71" s="329"/>
      <c r="AB71" s="329"/>
      <c r="AC71" s="329"/>
    </row>
    <row r="72" spans="1:29">
      <c r="A72" s="496"/>
      <c r="B72" s="501"/>
      <c r="C72" s="473"/>
      <c r="D72" s="339">
        <f>D70-SUM(SUMMARY!B53:AZ53)</f>
        <v>-725.56000000005588</v>
      </c>
      <c r="E72" s="339">
        <f>E396-SUM(SUMMARY!B54:AZ54)</f>
        <v>-102452</v>
      </c>
      <c r="F72" s="339">
        <f>F70-SUM(SUMMARY!B55:AZ55)</f>
        <v>207.60000000000582</v>
      </c>
      <c r="G72" s="339">
        <f>G70-SUM(SUMMARY!B56:AZ56)</f>
        <v>0</v>
      </c>
      <c r="H72" s="339">
        <f>H70-SUM(SUMMARY!B57:AZ57)</f>
        <v>-933.1600000000326</v>
      </c>
      <c r="I72" s="339"/>
      <c r="J72" s="339"/>
      <c r="K72" s="339"/>
      <c r="L72" s="339"/>
      <c r="M72" s="339"/>
      <c r="N72" s="299"/>
      <c r="O72" s="299"/>
      <c r="P72" s="339"/>
      <c r="Q72" s="339"/>
      <c r="R72" s="509"/>
      <c r="S72" s="339"/>
      <c r="T72" s="510"/>
      <c r="U72" s="339"/>
      <c r="V72" s="329"/>
      <c r="W72" s="329"/>
      <c r="X72" s="329"/>
      <c r="Y72" s="329"/>
      <c r="Z72" s="329"/>
      <c r="AA72" s="329"/>
      <c r="AB72" s="329"/>
      <c r="AC72" s="329"/>
    </row>
    <row r="73" spans="1:29">
      <c r="A73" s="496"/>
      <c r="B73" s="329"/>
      <c r="C73" s="496"/>
      <c r="D73" s="339"/>
      <c r="E73" s="339"/>
      <c r="F73" s="339"/>
      <c r="G73" s="339"/>
      <c r="H73" s="339"/>
      <c r="I73" s="339"/>
      <c r="J73" s="339"/>
      <c r="K73" s="339"/>
      <c r="L73" s="339"/>
      <c r="M73" s="339"/>
      <c r="N73" s="299"/>
      <c r="O73" s="299"/>
      <c r="P73" s="339"/>
      <c r="Q73" s="339"/>
      <c r="R73" s="509"/>
      <c r="S73" s="339"/>
      <c r="T73" s="510"/>
      <c r="U73" s="339"/>
      <c r="V73" s="329"/>
      <c r="W73" s="329"/>
      <c r="X73" s="329"/>
      <c r="Y73" s="329"/>
      <c r="Z73" s="329"/>
      <c r="AA73" s="329"/>
      <c r="AB73" s="329"/>
      <c r="AC73" s="329"/>
    </row>
  </sheetData>
  <autoFilter ref="A2:X73" xr:uid="{00000000-0009-0000-0000-00000B000000}"/>
  <mergeCells count="2">
    <mergeCell ref="J1:K1"/>
    <mergeCell ref="Q1:U1"/>
  </mergeCells>
  <printOptions horizontalCentered="1" verticalCentered="1"/>
  <pageMargins left="0.39370078740157483" right="0.70866141732283472" top="0.70866141732283472" bottom="0.39370078740157483" header="0" footer="0"/>
  <pageSetup paperSize="9" scale="28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C72"/>
  <sheetViews>
    <sheetView topLeftCell="A40" workbookViewId="0">
      <selection activeCell="A49" sqref="A49:XFD51"/>
    </sheetView>
  </sheetViews>
  <sheetFormatPr defaultColWidth="9.28515625" defaultRowHeight="13.15"/>
  <cols>
    <col min="1" max="1" width="5.7109375" style="305" bestFit="1" customWidth="1"/>
    <col min="2" max="2" width="34.42578125" style="306" bestFit="1" customWidth="1"/>
    <col min="3" max="3" width="5" style="331" customWidth="1"/>
    <col min="4" max="4" width="12.28515625" style="307" bestFit="1" customWidth="1"/>
    <col min="5" max="5" width="13.42578125" style="307" bestFit="1" customWidth="1"/>
    <col min="6" max="6" width="11.42578125" style="307" bestFit="1" customWidth="1"/>
    <col min="7" max="7" width="14.7109375" style="307" bestFit="1" customWidth="1"/>
    <col min="8" max="8" width="12" style="307" bestFit="1" customWidth="1"/>
    <col min="9" max="9" width="13.28515625" style="307" bestFit="1" customWidth="1"/>
    <col min="10" max="11" width="13.7109375" style="307" bestFit="1" customWidth="1"/>
    <col min="12" max="12" width="41.7109375" style="307" bestFit="1" customWidth="1"/>
    <col min="13" max="13" width="1.42578125" style="307" bestFit="1" customWidth="1"/>
    <col min="14" max="14" width="14" style="307" bestFit="1" customWidth="1"/>
    <col min="15" max="15" width="13" style="307" bestFit="1" customWidth="1"/>
    <col min="16" max="16" width="3.42578125" style="307" customWidth="1"/>
    <col min="17" max="17" width="15.7109375" style="307" bestFit="1" customWidth="1"/>
    <col min="18" max="18" width="11.28515625" style="317" bestFit="1" customWidth="1"/>
    <col min="19" max="19" width="45.28515625" style="307" bestFit="1" customWidth="1"/>
    <col min="20" max="20" width="14.7109375" style="309" bestFit="1" customWidth="1"/>
    <col min="21" max="21" width="13.7109375" style="307" bestFit="1" customWidth="1"/>
    <col min="22" max="22" width="9.28515625" style="306"/>
    <col min="23" max="23" width="34.28515625" style="306" bestFit="1" customWidth="1"/>
    <col min="24" max="25" width="9.28515625" style="306"/>
    <col min="26" max="27" width="9.42578125" style="306" bestFit="1" customWidth="1"/>
    <col min="28" max="28" width="9.28515625" style="306"/>
    <col min="29" max="29" width="10.28515625" style="306" bestFit="1" customWidth="1"/>
    <col min="30" max="16384" width="9.28515625" style="306"/>
  </cols>
  <sheetData>
    <row r="1" spans="1:29">
      <c r="A1" s="496"/>
      <c r="B1" s="291" t="str">
        <f>SUMMARY!B98</f>
        <v>HARUMI Stock - SEP 2026</v>
      </c>
      <c r="C1" s="337"/>
      <c r="D1" s="344"/>
      <c r="E1" s="344"/>
      <c r="F1" s="344"/>
      <c r="G1" s="344"/>
      <c r="H1" s="344"/>
      <c r="I1" s="497"/>
      <c r="J1" s="852"/>
      <c r="K1" s="852"/>
      <c r="L1" s="498"/>
      <c r="M1" s="498"/>
      <c r="N1" s="498"/>
      <c r="O1" s="339"/>
      <c r="P1" s="339"/>
      <c r="Q1" s="853" t="s">
        <v>330</v>
      </c>
      <c r="R1" s="853"/>
      <c r="S1" s="853"/>
      <c r="T1" s="853"/>
      <c r="U1" s="853"/>
      <c r="V1" s="329"/>
      <c r="W1" s="329"/>
      <c r="X1" s="329"/>
      <c r="Y1" s="329"/>
      <c r="Z1" s="329"/>
      <c r="AA1" s="329"/>
      <c r="AB1" s="329"/>
      <c r="AC1" s="329"/>
    </row>
    <row r="2" spans="1:29" s="305" customFormat="1" ht="26.45">
      <c r="A2" s="311" t="s">
        <v>331</v>
      </c>
      <c r="B2" s="312" t="s">
        <v>332</v>
      </c>
      <c r="C2" s="313" t="s">
        <v>333</v>
      </c>
      <c r="D2" s="313" t="s">
        <v>334</v>
      </c>
      <c r="E2" s="313" t="s">
        <v>335</v>
      </c>
      <c r="F2" s="313" t="s">
        <v>166</v>
      </c>
      <c r="G2" s="313" t="s">
        <v>168</v>
      </c>
      <c r="H2" s="313" t="s">
        <v>336</v>
      </c>
      <c r="I2" s="293" t="s">
        <v>337</v>
      </c>
      <c r="J2" s="294" t="s">
        <v>338</v>
      </c>
      <c r="K2" s="313" t="s">
        <v>339</v>
      </c>
      <c r="L2" s="313" t="s">
        <v>170</v>
      </c>
      <c r="M2" s="314"/>
      <c r="N2" s="294" t="s">
        <v>340</v>
      </c>
      <c r="O2" s="313" t="s">
        <v>330</v>
      </c>
      <c r="P2" s="315"/>
      <c r="Q2" s="297" t="s">
        <v>341</v>
      </c>
      <c r="R2" s="304" t="s">
        <v>164</v>
      </c>
      <c r="S2" s="298" t="s">
        <v>342</v>
      </c>
      <c r="T2" s="316" t="s">
        <v>343</v>
      </c>
      <c r="U2" s="298" t="s">
        <v>344</v>
      </c>
      <c r="V2" s="496"/>
      <c r="W2" s="496"/>
      <c r="X2" s="496"/>
      <c r="Y2" s="496"/>
      <c r="Z2" s="496"/>
      <c r="AA2" s="496"/>
      <c r="AB2" s="496"/>
      <c r="AC2" s="496"/>
    </row>
    <row r="3" spans="1:29">
      <c r="A3" s="311"/>
      <c r="B3" s="290" t="s">
        <v>345</v>
      </c>
      <c r="C3" s="313"/>
      <c r="D3" s="292"/>
      <c r="E3" s="292"/>
      <c r="F3" s="292"/>
      <c r="G3" s="292"/>
      <c r="H3" s="292"/>
      <c r="I3" s="293"/>
      <c r="J3" s="294"/>
      <c r="K3" s="292"/>
      <c r="L3" s="292"/>
      <c r="M3" s="295"/>
      <c r="N3" s="294"/>
      <c r="O3" s="292"/>
      <c r="P3" s="296"/>
      <c r="Q3" s="297"/>
      <c r="R3" s="304"/>
      <c r="S3" s="298"/>
      <c r="T3" s="308"/>
      <c r="U3" s="298"/>
      <c r="V3" s="329"/>
      <c r="W3" s="329"/>
      <c r="X3" s="329"/>
      <c r="Y3" s="329"/>
      <c r="Z3" s="329"/>
      <c r="AA3" s="329"/>
      <c r="AB3" s="329"/>
      <c r="AC3" s="329"/>
    </row>
    <row r="4" spans="1:29">
      <c r="A4" s="338"/>
      <c r="B4" s="413" t="str">
        <f>SUMMARY!B3</f>
        <v>MAIZE/CORN</v>
      </c>
      <c r="C4" s="338" t="s">
        <v>346</v>
      </c>
      <c r="D4" s="336">
        <f>SUMMARY!B60</f>
        <v>236936.6</v>
      </c>
      <c r="E4" s="336">
        <f>SUMMARY!B61</f>
        <v>0</v>
      </c>
      <c r="F4" s="336">
        <f>SUMMARY!B62</f>
        <v>0</v>
      </c>
      <c r="G4" s="336">
        <f>SUMMARY!B63</f>
        <v>0</v>
      </c>
      <c r="H4" s="336">
        <f>SUMMARY!B64</f>
        <v>236936.6</v>
      </c>
      <c r="I4" s="336"/>
      <c r="J4" s="336"/>
      <c r="K4" s="336"/>
      <c r="L4" s="336"/>
      <c r="M4" s="339"/>
      <c r="N4" s="336"/>
      <c r="O4" s="413">
        <f>N4-H4</f>
        <v>-236936.6</v>
      </c>
      <c r="P4" s="339"/>
      <c r="Q4" s="336"/>
      <c r="R4" s="499"/>
      <c r="S4" s="336"/>
      <c r="T4" s="500"/>
      <c r="U4" s="336"/>
      <c r="V4" s="329"/>
      <c r="W4" s="501"/>
      <c r="X4" s="329"/>
      <c r="Y4" s="502"/>
      <c r="Z4" s="502"/>
      <c r="AA4" s="502"/>
      <c r="AB4" s="502"/>
      <c r="AC4" s="502"/>
    </row>
    <row r="5" spans="1:29">
      <c r="A5" s="338"/>
      <c r="B5" s="413" t="str">
        <f>SUMMARY!C3</f>
        <v>SOYBEAN MEAL (ARG)</v>
      </c>
      <c r="C5" s="338" t="s">
        <v>346</v>
      </c>
      <c r="D5" s="336">
        <f>SUMMARY!C60</f>
        <v>53017.600000000071</v>
      </c>
      <c r="E5" s="336">
        <f>SUMMARY!C61</f>
        <v>0</v>
      </c>
      <c r="F5" s="336">
        <f>SUMMARY!C62</f>
        <v>0</v>
      </c>
      <c r="G5" s="336">
        <f>SUMMARY!C63</f>
        <v>0</v>
      </c>
      <c r="H5" s="336">
        <f>SUMMARY!C64</f>
        <v>53017.600000000071</v>
      </c>
      <c r="I5" s="336"/>
      <c r="J5" s="336"/>
      <c r="K5" s="336"/>
      <c r="L5" s="336"/>
      <c r="M5" s="339"/>
      <c r="N5" s="336"/>
      <c r="O5" s="413">
        <f t="shared" ref="O5:O56" si="0">N5-H5</f>
        <v>-53017.600000000071</v>
      </c>
      <c r="P5" s="339"/>
      <c r="Q5" s="336"/>
      <c r="R5" s="499"/>
      <c r="S5" s="336"/>
      <c r="T5" s="500"/>
      <c r="U5" s="336"/>
      <c r="V5" s="329"/>
      <c r="W5" s="501"/>
      <c r="X5" s="329"/>
      <c r="Y5" s="502"/>
      <c r="Z5" s="502"/>
      <c r="AA5" s="502"/>
      <c r="AB5" s="502"/>
      <c r="AC5" s="502"/>
    </row>
    <row r="6" spans="1:29">
      <c r="A6" s="338"/>
      <c r="B6" s="413" t="str">
        <f>SUMMARY!D3</f>
        <v>SOYBEAN FULL FAT</v>
      </c>
      <c r="C6" s="338" t="s">
        <v>346</v>
      </c>
      <c r="D6" s="336">
        <f>SUMMARY!D60</f>
        <v>42674.199999999968</v>
      </c>
      <c r="E6" s="336">
        <f>SUMMARY!D61</f>
        <v>0</v>
      </c>
      <c r="F6" s="336">
        <f>SUMMARY!D62</f>
        <v>0</v>
      </c>
      <c r="G6" s="336">
        <f>SUMMARY!D63</f>
        <v>0</v>
      </c>
      <c r="H6" s="336">
        <f>SUMMARY!D64</f>
        <v>42674.199999999968</v>
      </c>
      <c r="I6" s="336"/>
      <c r="J6" s="336"/>
      <c r="K6" s="336"/>
      <c r="L6" s="336"/>
      <c r="M6" s="339"/>
      <c r="N6" s="336"/>
      <c r="O6" s="413">
        <f t="shared" si="0"/>
        <v>-42674.199999999968</v>
      </c>
      <c r="P6" s="339"/>
      <c r="Q6" s="336"/>
      <c r="R6" s="499"/>
      <c r="S6" s="336"/>
      <c r="T6" s="500"/>
      <c r="U6" s="336"/>
      <c r="V6" s="329"/>
      <c r="W6" s="501"/>
      <c r="X6" s="329"/>
      <c r="Y6" s="502"/>
      <c r="Z6" s="502"/>
      <c r="AA6" s="502"/>
      <c r="AB6" s="502"/>
      <c r="AC6" s="502"/>
    </row>
    <row r="7" spans="1:29">
      <c r="A7" s="338"/>
      <c r="B7" s="413" t="str">
        <f>SUMMARY!E3</f>
        <v>WHEAT POLLARD</v>
      </c>
      <c r="C7" s="338" t="s">
        <v>346</v>
      </c>
      <c r="D7" s="336">
        <f>SUMMARY!E60</f>
        <v>4522.2000000000189</v>
      </c>
      <c r="E7" s="336">
        <f>SUMMARY!E61</f>
        <v>0</v>
      </c>
      <c r="F7" s="336">
        <f>SUMMARY!E62</f>
        <v>0</v>
      </c>
      <c r="G7" s="336">
        <f>SUMMARY!E63</f>
        <v>0</v>
      </c>
      <c r="H7" s="336">
        <f>SUMMARY!E64</f>
        <v>4522.2000000000189</v>
      </c>
      <c r="I7" s="336"/>
      <c r="J7" s="336"/>
      <c r="K7" s="336"/>
      <c r="L7" s="336"/>
      <c r="M7" s="339"/>
      <c r="N7" s="336"/>
      <c r="O7" s="413">
        <f t="shared" si="0"/>
        <v>-4522.2000000000189</v>
      </c>
      <c r="P7" s="339"/>
      <c r="Q7" s="503"/>
      <c r="R7" s="504"/>
      <c r="S7" s="505"/>
      <c r="T7" s="505"/>
      <c r="U7" s="336"/>
      <c r="V7" s="329"/>
      <c r="W7" s="501"/>
      <c r="X7" s="329"/>
      <c r="Y7" s="502"/>
      <c r="Z7" s="502"/>
      <c r="AA7" s="502"/>
      <c r="AB7" s="502"/>
      <c r="AC7" s="502"/>
    </row>
    <row r="8" spans="1:29">
      <c r="A8" s="338"/>
      <c r="B8" s="413" t="str">
        <f>SUMMARY!F3</f>
        <v>WHEAT</v>
      </c>
      <c r="C8" s="338" t="s">
        <v>346</v>
      </c>
      <c r="D8" s="336">
        <f>SUMMARY!F60</f>
        <v>0</v>
      </c>
      <c r="E8" s="336">
        <f>SUMMARY!F61</f>
        <v>0</v>
      </c>
      <c r="F8" s="336">
        <f>SUMMARY!F62</f>
        <v>0</v>
      </c>
      <c r="G8" s="336">
        <f>SUMMARY!F63</f>
        <v>0</v>
      </c>
      <c r="H8" s="336">
        <f>SUMMARY!F64</f>
        <v>0</v>
      </c>
      <c r="I8" s="336"/>
      <c r="J8" s="336"/>
      <c r="K8" s="336"/>
      <c r="L8" s="336"/>
      <c r="M8" s="339"/>
      <c r="N8" s="336"/>
      <c r="O8" s="413">
        <f t="shared" si="0"/>
        <v>0</v>
      </c>
      <c r="P8" s="339"/>
      <c r="Q8" s="336"/>
      <c r="R8" s="499"/>
      <c r="S8" s="336"/>
      <c r="T8" s="500"/>
      <c r="U8" s="336"/>
      <c r="V8" s="329"/>
      <c r="W8" s="501"/>
      <c r="X8" s="329"/>
      <c r="Y8" s="502"/>
      <c r="Z8" s="502"/>
      <c r="AA8" s="502"/>
      <c r="AB8" s="502"/>
      <c r="AC8" s="502"/>
    </row>
    <row r="9" spans="1:29">
      <c r="A9" s="338"/>
      <c r="B9" s="413" t="str">
        <f>SUMMARY!G3</f>
        <v>MEAT AND BONE MEAL</v>
      </c>
      <c r="C9" s="338" t="s">
        <v>346</v>
      </c>
      <c r="D9" s="336">
        <f>SUMMARY!G60</f>
        <v>124.99999999999523</v>
      </c>
      <c r="E9" s="336">
        <f>SUMMARY!G61</f>
        <v>0</v>
      </c>
      <c r="F9" s="336">
        <f>SUMMARY!G62</f>
        <v>0</v>
      </c>
      <c r="G9" s="336">
        <f>SUMMARY!G63</f>
        <v>0</v>
      </c>
      <c r="H9" s="336">
        <f>SUMMARY!G64</f>
        <v>124.99999999999523</v>
      </c>
      <c r="I9" s="336"/>
      <c r="J9" s="336"/>
      <c r="K9" s="336"/>
      <c r="L9" s="336"/>
      <c r="M9" s="339"/>
      <c r="N9" s="336"/>
      <c r="O9" s="413">
        <f t="shared" si="0"/>
        <v>-124.99999999999523</v>
      </c>
      <c r="P9" s="339"/>
      <c r="Q9" s="336"/>
      <c r="R9" s="499"/>
      <c r="S9" s="336"/>
      <c r="T9" s="500"/>
      <c r="U9" s="336"/>
      <c r="V9" s="329"/>
      <c r="W9" s="501"/>
      <c r="X9" s="329"/>
      <c r="Y9" s="502"/>
      <c r="Z9" s="502"/>
      <c r="AA9" s="502"/>
      <c r="AB9" s="502"/>
      <c r="AC9" s="502"/>
    </row>
    <row r="10" spans="1:29">
      <c r="A10" s="338"/>
      <c r="B10" s="413" t="str">
        <f>SUMMARY!H3</f>
        <v>CORN GLUTEN MEAL</v>
      </c>
      <c r="C10" s="338" t="s">
        <v>346</v>
      </c>
      <c r="D10" s="336">
        <f>SUMMARY!H60</f>
        <v>26151.899999999998</v>
      </c>
      <c r="E10" s="336">
        <f>SUMMARY!H61</f>
        <v>0</v>
      </c>
      <c r="F10" s="336">
        <f>SUMMARY!H62</f>
        <v>0</v>
      </c>
      <c r="G10" s="336">
        <f>SUMMARY!H63</f>
        <v>0</v>
      </c>
      <c r="H10" s="336">
        <f>SUMMARY!H64</f>
        <v>26151.899999999998</v>
      </c>
      <c r="I10" s="336"/>
      <c r="J10" s="336"/>
      <c r="K10" s="336"/>
      <c r="L10" s="336"/>
      <c r="M10" s="339"/>
      <c r="N10" s="336"/>
      <c r="O10" s="413">
        <f t="shared" si="0"/>
        <v>-26151.899999999998</v>
      </c>
      <c r="P10" s="339"/>
      <c r="Q10" s="336"/>
      <c r="R10" s="499"/>
      <c r="S10" s="336"/>
      <c r="T10" s="500"/>
      <c r="U10" s="336"/>
      <c r="V10" s="329"/>
      <c r="W10" s="501"/>
      <c r="X10" s="329"/>
      <c r="Y10" s="502"/>
      <c r="Z10" s="502"/>
      <c r="AA10" s="502"/>
      <c r="AB10" s="502"/>
      <c r="AC10" s="502"/>
    </row>
    <row r="11" spans="1:29">
      <c r="A11" s="338"/>
      <c r="B11" s="413" t="str">
        <f>SUMMARY!I3</f>
        <v>MEGAFAT (HARUMI)</v>
      </c>
      <c r="C11" s="338" t="s">
        <v>346</v>
      </c>
      <c r="D11" s="336">
        <f>SUMMARY!I60</f>
        <v>0</v>
      </c>
      <c r="E11" s="336">
        <f>SUMMARY!I61</f>
        <v>0</v>
      </c>
      <c r="F11" s="336">
        <f>SUMMARY!I62</f>
        <v>0</v>
      </c>
      <c r="G11" s="336">
        <f>SUMMARY!I63</f>
        <v>0</v>
      </c>
      <c r="H11" s="336">
        <f>SUMMARY!I64</f>
        <v>0</v>
      </c>
      <c r="I11" s="336"/>
      <c r="J11" s="300"/>
      <c r="K11" s="300"/>
      <c r="L11" s="336"/>
      <c r="M11" s="339"/>
      <c r="N11" s="336"/>
      <c r="O11" s="413">
        <f t="shared" si="0"/>
        <v>0</v>
      </c>
      <c r="P11" s="339"/>
      <c r="Q11" s="336"/>
      <c r="R11" s="499"/>
      <c r="S11" s="336"/>
      <c r="T11" s="500"/>
      <c r="U11" s="336"/>
      <c r="V11" s="329"/>
      <c r="W11" s="501"/>
      <c r="X11" s="329"/>
      <c r="Y11" s="502"/>
      <c r="Z11" s="502"/>
      <c r="AA11" s="502"/>
      <c r="AB11" s="502"/>
      <c r="AC11" s="502"/>
    </row>
    <row r="12" spans="1:29">
      <c r="A12" s="338"/>
      <c r="B12" s="413" t="str">
        <f>SUMMARY!J3</f>
        <v>DCP 18%</v>
      </c>
      <c r="C12" s="338" t="s">
        <v>346</v>
      </c>
      <c r="D12" s="336">
        <f>SUMMARY!J60</f>
        <v>2097.3399999999992</v>
      </c>
      <c r="E12" s="336">
        <f>SUMMARY!J61</f>
        <v>0</v>
      </c>
      <c r="F12" s="336">
        <f>SUMMARY!J62</f>
        <v>0</v>
      </c>
      <c r="G12" s="336">
        <f>SUMMARY!J63</f>
        <v>0</v>
      </c>
      <c r="H12" s="336">
        <f>SUMMARY!J64</f>
        <v>2097.3399999999992</v>
      </c>
      <c r="I12" s="336"/>
      <c r="J12" s="301"/>
      <c r="K12" s="336"/>
      <c r="L12" s="336"/>
      <c r="M12" s="339"/>
      <c r="N12" s="336"/>
      <c r="O12" s="413">
        <f t="shared" si="0"/>
        <v>-2097.3399999999992</v>
      </c>
      <c r="P12" s="339"/>
      <c r="Q12" s="336"/>
      <c r="R12" s="499"/>
      <c r="S12" s="336"/>
      <c r="T12" s="500"/>
      <c r="U12" s="336"/>
      <c r="V12" s="329"/>
      <c r="W12" s="501"/>
      <c r="X12" s="329"/>
      <c r="Y12" s="502"/>
      <c r="Z12" s="502"/>
      <c r="AA12" s="502"/>
      <c r="AB12" s="502"/>
      <c r="AC12" s="502"/>
    </row>
    <row r="13" spans="1:29">
      <c r="A13" s="338"/>
      <c r="B13" s="413" t="str">
        <f>SUMMARY!K3</f>
        <v>LIMESTONE POWDER (HARUMI)</v>
      </c>
      <c r="C13" s="338" t="s">
        <v>346</v>
      </c>
      <c r="D13" s="336">
        <f>SUMMARY!K60</f>
        <v>-10277.079999999998</v>
      </c>
      <c r="E13" s="336">
        <f>SUMMARY!K61</f>
        <v>0</v>
      </c>
      <c r="F13" s="336">
        <f>SUMMARY!K62</f>
        <v>0</v>
      </c>
      <c r="G13" s="336">
        <f>SUMMARY!K63</f>
        <v>0</v>
      </c>
      <c r="H13" s="336">
        <f>SUMMARY!K64</f>
        <v>-10277.079999999998</v>
      </c>
      <c r="I13" s="336"/>
      <c r="J13" s="301"/>
      <c r="K13" s="336"/>
      <c r="L13" s="336"/>
      <c r="M13" s="339"/>
      <c r="N13" s="336"/>
      <c r="O13" s="413">
        <f t="shared" si="0"/>
        <v>10277.079999999998</v>
      </c>
      <c r="P13" s="339"/>
      <c r="Q13" s="336"/>
      <c r="R13" s="499"/>
      <c r="S13" s="336"/>
      <c r="T13" s="500"/>
      <c r="U13" s="336"/>
      <c r="V13" s="329"/>
      <c r="W13" s="501"/>
      <c r="X13" s="329"/>
      <c r="Y13" s="502"/>
      <c r="Z13" s="502"/>
      <c r="AA13" s="502"/>
      <c r="AB13" s="502"/>
      <c r="AC13" s="502"/>
    </row>
    <row r="14" spans="1:29">
      <c r="A14" s="338"/>
      <c r="B14" s="413" t="str">
        <f>SUMMARY!L3</f>
        <v>CHOLINE CHLORIDE 60%</v>
      </c>
      <c r="C14" s="338" t="s">
        <v>346</v>
      </c>
      <c r="D14" s="336">
        <f>SUMMARY!L60</f>
        <v>0</v>
      </c>
      <c r="E14" s="336">
        <f>SUMMARY!L61</f>
        <v>0</v>
      </c>
      <c r="F14" s="336">
        <f>SUMMARY!L62</f>
        <v>0</v>
      </c>
      <c r="G14" s="336">
        <f>SUMMARY!L63</f>
        <v>0</v>
      </c>
      <c r="H14" s="336">
        <f>SUMMARY!L64</f>
        <v>0</v>
      </c>
      <c r="I14" s="336"/>
      <c r="J14" s="301"/>
      <c r="K14" s="336"/>
      <c r="L14" s="336"/>
      <c r="M14" s="339"/>
      <c r="N14" s="336"/>
      <c r="O14" s="413">
        <f t="shared" si="0"/>
        <v>0</v>
      </c>
      <c r="P14" s="339"/>
      <c r="Q14" s="336"/>
      <c r="R14" s="499"/>
      <c r="S14" s="336"/>
      <c r="T14" s="500"/>
      <c r="U14" s="336"/>
      <c r="V14" s="329"/>
      <c r="W14" s="501"/>
      <c r="X14" s="329"/>
      <c r="Y14" s="502"/>
      <c r="Z14" s="502"/>
      <c r="AA14" s="502"/>
      <c r="AB14" s="502"/>
      <c r="AC14" s="502"/>
    </row>
    <row r="15" spans="1:29">
      <c r="A15" s="338"/>
      <c r="B15" s="413" t="str">
        <f>SUMMARY!M3</f>
        <v>INDUSTRY FLOUR</v>
      </c>
      <c r="C15" s="338" t="s">
        <v>346</v>
      </c>
      <c r="D15" s="336">
        <f>SUMMARY!M60</f>
        <v>27438.200000000012</v>
      </c>
      <c r="E15" s="336">
        <f>SUMMARY!M61</f>
        <v>0</v>
      </c>
      <c r="F15" s="336">
        <f>SUMMARY!M62</f>
        <v>0</v>
      </c>
      <c r="G15" s="336">
        <f>SUMMARY!M63</f>
        <v>0</v>
      </c>
      <c r="H15" s="336">
        <f>SUMMARY!M64</f>
        <v>27438.200000000012</v>
      </c>
      <c r="I15" s="336"/>
      <c r="J15" s="300"/>
      <c r="K15" s="336"/>
      <c r="L15" s="336"/>
      <c r="M15" s="339"/>
      <c r="N15" s="336"/>
      <c r="O15" s="413">
        <f t="shared" si="0"/>
        <v>-27438.200000000012</v>
      </c>
      <c r="P15" s="339"/>
      <c r="Q15" s="336"/>
      <c r="R15" s="499"/>
      <c r="S15" s="336"/>
      <c r="T15" s="500"/>
      <c r="U15" s="336"/>
      <c r="V15" s="329"/>
      <c r="W15" s="501"/>
      <c r="X15" s="329"/>
      <c r="Y15" s="502"/>
      <c r="Z15" s="502"/>
      <c r="AA15" s="502"/>
      <c r="AB15" s="502"/>
      <c r="AC15" s="502"/>
    </row>
    <row r="16" spans="1:29">
      <c r="A16" s="338"/>
      <c r="B16" s="413" t="str">
        <f>SUMMARY!N3</f>
        <v>RICE BRAN</v>
      </c>
      <c r="C16" s="338" t="s">
        <v>346</v>
      </c>
      <c r="D16" s="336">
        <f>SUMMARY!N60</f>
        <v>18782.299999999981</v>
      </c>
      <c r="E16" s="336">
        <f>SUMMARY!N61</f>
        <v>0</v>
      </c>
      <c r="F16" s="336">
        <f>SUMMARY!N62</f>
        <v>0</v>
      </c>
      <c r="G16" s="336">
        <f>SUMMARY!N63</f>
        <v>0</v>
      </c>
      <c r="H16" s="336">
        <f>SUMMARY!N64</f>
        <v>18782.299999999981</v>
      </c>
      <c r="I16" s="336"/>
      <c r="J16" s="300"/>
      <c r="K16" s="336"/>
      <c r="L16" s="336"/>
      <c r="M16" s="339"/>
      <c r="N16" s="336"/>
      <c r="O16" s="413">
        <f t="shared" si="0"/>
        <v>-18782.299999999981</v>
      </c>
      <c r="P16" s="339"/>
      <c r="Q16" s="336"/>
      <c r="R16" s="499"/>
      <c r="S16" s="336"/>
      <c r="T16" s="500"/>
      <c r="U16" s="336"/>
      <c r="V16" s="329"/>
      <c r="W16" s="501"/>
      <c r="X16" s="329"/>
      <c r="Y16" s="502"/>
      <c r="Z16" s="502"/>
      <c r="AA16" s="502"/>
      <c r="AB16" s="502"/>
      <c r="AC16" s="502"/>
    </row>
    <row r="17" spans="1:29">
      <c r="A17" s="338"/>
      <c r="B17" s="413" t="str">
        <f>SUMMARY!O3</f>
        <v>EP 200</v>
      </c>
      <c r="C17" s="338" t="s">
        <v>346</v>
      </c>
      <c r="D17" s="336">
        <f>SUMMARY!O60</f>
        <v>5800</v>
      </c>
      <c r="E17" s="336">
        <f>SUMMARY!O61</f>
        <v>0</v>
      </c>
      <c r="F17" s="336">
        <f>SUMMARY!O62</f>
        <v>0</v>
      </c>
      <c r="G17" s="336">
        <f>SUMMARY!O63</f>
        <v>0</v>
      </c>
      <c r="H17" s="336">
        <f>SUMMARY!O64</f>
        <v>5800</v>
      </c>
      <c r="I17" s="336"/>
      <c r="J17" s="300"/>
      <c r="K17" s="336"/>
      <c r="L17" s="336"/>
      <c r="M17" s="339"/>
      <c r="N17" s="336"/>
      <c r="O17" s="413">
        <f t="shared" si="0"/>
        <v>-5800</v>
      </c>
      <c r="P17" s="339"/>
      <c r="Q17" s="336"/>
      <c r="R17" s="499"/>
      <c r="S17" s="336"/>
      <c r="T17" s="500"/>
      <c r="U17" s="336"/>
      <c r="V17" s="329"/>
      <c r="W17" s="501"/>
      <c r="X17" s="329"/>
      <c r="Y17" s="502"/>
      <c r="Z17" s="502"/>
      <c r="AA17" s="502"/>
      <c r="AB17" s="502"/>
      <c r="AC17" s="502"/>
    </row>
    <row r="18" spans="1:29">
      <c r="A18" s="338"/>
      <c r="B18" s="413" t="str">
        <f>SUMMARY!P3</f>
        <v>SOYTIDE</v>
      </c>
      <c r="C18" s="338" t="s">
        <v>346</v>
      </c>
      <c r="D18" s="336">
        <f>SUMMARY!P60</f>
        <v>0</v>
      </c>
      <c r="E18" s="336">
        <f>SUMMARY!P61</f>
        <v>0</v>
      </c>
      <c r="F18" s="336">
        <f>SUMMARY!P62</f>
        <v>0</v>
      </c>
      <c r="G18" s="336">
        <f>SUMMARY!P63</f>
        <v>0</v>
      </c>
      <c r="H18" s="336">
        <f>SUMMARY!P64</f>
        <v>0</v>
      </c>
      <c r="I18" s="336"/>
      <c r="J18" s="336"/>
      <c r="K18" s="336"/>
      <c r="L18" s="336"/>
      <c r="M18" s="339"/>
      <c r="N18" s="336"/>
      <c r="O18" s="413">
        <f t="shared" si="0"/>
        <v>0</v>
      </c>
      <c r="P18" s="339"/>
      <c r="Q18" s="336"/>
      <c r="R18" s="499"/>
      <c r="S18" s="336"/>
      <c r="T18" s="500"/>
      <c r="U18" s="336"/>
      <c r="V18" s="329"/>
      <c r="W18" s="501"/>
      <c r="X18" s="329"/>
      <c r="Y18" s="502"/>
      <c r="Z18" s="502"/>
      <c r="AA18" s="502"/>
      <c r="AB18" s="502"/>
      <c r="AC18" s="502"/>
    </row>
    <row r="19" spans="1:29">
      <c r="A19" s="338"/>
      <c r="B19" s="413" t="str">
        <f>SUMMARY!Q3</f>
        <v>DCP 18% (HARUMI)</v>
      </c>
      <c r="C19" s="338" t="s">
        <v>346</v>
      </c>
      <c r="D19" s="336">
        <f>SUMMARY!Q60</f>
        <v>0</v>
      </c>
      <c r="E19" s="336">
        <f>SUMMARY!Q61</f>
        <v>0</v>
      </c>
      <c r="F19" s="336">
        <f>SUMMARY!Q62</f>
        <v>0</v>
      </c>
      <c r="G19" s="336">
        <f>SUMMARY!Q63</f>
        <v>0</v>
      </c>
      <c r="H19" s="336">
        <f>SUMMARY!Q64</f>
        <v>0</v>
      </c>
      <c r="I19" s="336"/>
      <c r="J19" s="336"/>
      <c r="K19" s="336"/>
      <c r="L19" s="336"/>
      <c r="M19" s="339"/>
      <c r="N19" s="336"/>
      <c r="O19" s="413">
        <f t="shared" si="0"/>
        <v>0</v>
      </c>
      <c r="P19" s="339"/>
      <c r="Q19" s="336"/>
      <c r="R19" s="499"/>
      <c r="S19" s="336"/>
      <c r="T19" s="500"/>
      <c r="U19" s="336"/>
      <c r="V19" s="329"/>
      <c r="W19" s="501"/>
      <c r="X19" s="329"/>
      <c r="Y19" s="502"/>
      <c r="Z19" s="502"/>
      <c r="AA19" s="502"/>
      <c r="AB19" s="502"/>
      <c r="AC19" s="502"/>
    </row>
    <row r="20" spans="1:29">
      <c r="A20" s="338"/>
      <c r="B20" s="413">
        <f>SUMMARY!R3</f>
        <v>1</v>
      </c>
      <c r="C20" s="338" t="s">
        <v>346</v>
      </c>
      <c r="D20" s="336">
        <f>SUMMARY!R60</f>
        <v>0</v>
      </c>
      <c r="E20" s="336">
        <f>SUMMARY!R61</f>
        <v>0</v>
      </c>
      <c r="F20" s="336">
        <f>SUMMARY!R62</f>
        <v>0</v>
      </c>
      <c r="G20" s="336">
        <f>SUMMARY!R63</f>
        <v>0</v>
      </c>
      <c r="H20" s="336">
        <f>SUMMARY!R64</f>
        <v>0</v>
      </c>
      <c r="I20" s="336"/>
      <c r="J20" s="336"/>
      <c r="K20" s="336"/>
      <c r="L20" s="336"/>
      <c r="M20" s="339"/>
      <c r="N20" s="336"/>
      <c r="O20" s="413">
        <f t="shared" si="0"/>
        <v>0</v>
      </c>
      <c r="P20" s="339"/>
      <c r="Q20" s="336"/>
      <c r="R20" s="499"/>
      <c r="S20" s="336"/>
      <c r="T20" s="500"/>
      <c r="U20" s="336"/>
      <c r="V20" s="329"/>
      <c r="W20" s="501"/>
      <c r="X20" s="329"/>
      <c r="Y20" s="502"/>
      <c r="Z20" s="502"/>
      <c r="AA20" s="502"/>
      <c r="AB20" s="502"/>
      <c r="AC20" s="502"/>
    </row>
    <row r="21" spans="1:29">
      <c r="A21" s="338"/>
      <c r="B21" s="413">
        <f>SUMMARY!S3</f>
        <v>2</v>
      </c>
      <c r="C21" s="338" t="s">
        <v>346</v>
      </c>
      <c r="D21" s="336">
        <f>SUMMARY!S60</f>
        <v>0</v>
      </c>
      <c r="E21" s="336">
        <f>SUMMARY!S61</f>
        <v>0</v>
      </c>
      <c r="F21" s="336">
        <f>SUMMARY!S62</f>
        <v>0</v>
      </c>
      <c r="G21" s="336">
        <f>SUMMARY!S63</f>
        <v>0</v>
      </c>
      <c r="H21" s="336">
        <f>SUMMARY!S64</f>
        <v>0</v>
      </c>
      <c r="I21" s="336"/>
      <c r="J21" s="336"/>
      <c r="K21" s="336"/>
      <c r="L21" s="336"/>
      <c r="M21" s="339"/>
      <c r="N21" s="336"/>
      <c r="O21" s="413">
        <f t="shared" si="0"/>
        <v>0</v>
      </c>
      <c r="P21" s="339"/>
      <c r="Q21" s="336"/>
      <c r="R21" s="499"/>
      <c r="S21" s="336"/>
      <c r="T21" s="500"/>
      <c r="U21" s="336"/>
      <c r="V21" s="329"/>
      <c r="W21" s="501"/>
      <c r="X21" s="329"/>
      <c r="Y21" s="502"/>
      <c r="Z21" s="502"/>
      <c r="AA21" s="502"/>
      <c r="AB21" s="502"/>
      <c r="AC21" s="502"/>
    </row>
    <row r="22" spans="1:29">
      <c r="A22" s="338"/>
      <c r="B22" s="413">
        <f>SUMMARY!T3</f>
        <v>3</v>
      </c>
      <c r="C22" s="338" t="s">
        <v>346</v>
      </c>
      <c r="D22" s="336">
        <f>SUMMARY!T60</f>
        <v>0</v>
      </c>
      <c r="E22" s="336">
        <f>SUMMARY!T61</f>
        <v>0</v>
      </c>
      <c r="F22" s="336">
        <f>SUMMARY!T62</f>
        <v>0</v>
      </c>
      <c r="G22" s="336">
        <f>SUMMARY!T63</f>
        <v>0</v>
      </c>
      <c r="H22" s="336">
        <f>SUMMARY!T64</f>
        <v>0</v>
      </c>
      <c r="I22" s="336"/>
      <c r="J22" s="336"/>
      <c r="K22" s="336"/>
      <c r="L22" s="336"/>
      <c r="M22" s="339"/>
      <c r="N22" s="336"/>
      <c r="O22" s="413">
        <f t="shared" si="0"/>
        <v>0</v>
      </c>
      <c r="P22" s="339"/>
      <c r="Q22" s="336"/>
      <c r="R22" s="499"/>
      <c r="S22" s="336"/>
      <c r="T22" s="500"/>
      <c r="U22" s="336"/>
      <c r="V22" s="329"/>
      <c r="W22" s="501"/>
      <c r="X22" s="329"/>
      <c r="Y22" s="502"/>
      <c r="Z22" s="502"/>
      <c r="AA22" s="502"/>
      <c r="AB22" s="502"/>
      <c r="AC22" s="502"/>
    </row>
    <row r="23" spans="1:29">
      <c r="A23" s="338"/>
      <c r="B23" s="413"/>
      <c r="C23" s="338"/>
      <c r="D23" s="336"/>
      <c r="E23" s="336"/>
      <c r="F23" s="336"/>
      <c r="G23" s="336"/>
      <c r="H23" s="336"/>
      <c r="I23" s="336"/>
      <c r="J23" s="336"/>
      <c r="K23" s="336"/>
      <c r="L23" s="336"/>
      <c r="M23" s="339"/>
      <c r="N23" s="336"/>
      <c r="O23" s="413"/>
      <c r="P23" s="339"/>
      <c r="Q23" s="336"/>
      <c r="R23" s="499"/>
      <c r="S23" s="336"/>
      <c r="T23" s="500"/>
      <c r="U23" s="336"/>
      <c r="V23" s="329"/>
      <c r="W23" s="501"/>
      <c r="X23" s="329"/>
      <c r="Y23" s="502"/>
      <c r="Z23" s="502"/>
      <c r="AA23" s="502"/>
      <c r="AB23" s="502"/>
      <c r="AC23" s="502"/>
    </row>
    <row r="24" spans="1:29">
      <c r="A24" s="338"/>
      <c r="B24" s="310" t="s">
        <v>347</v>
      </c>
      <c r="C24" s="338"/>
      <c r="D24" s="336"/>
      <c r="E24" s="336"/>
      <c r="F24" s="336"/>
      <c r="G24" s="336"/>
      <c r="H24" s="336"/>
      <c r="I24" s="336"/>
      <c r="J24" s="336"/>
      <c r="K24" s="336"/>
      <c r="L24" s="336"/>
      <c r="M24" s="339"/>
      <c r="N24" s="336"/>
      <c r="O24" s="413"/>
      <c r="P24" s="339"/>
      <c r="Q24" s="336"/>
      <c r="R24" s="499"/>
      <c r="S24" s="336"/>
      <c r="T24" s="500"/>
      <c r="U24" s="336"/>
      <c r="V24" s="329"/>
      <c r="W24" s="501"/>
      <c r="X24" s="329"/>
      <c r="Y24" s="502"/>
      <c r="Z24" s="502"/>
      <c r="AA24" s="502"/>
      <c r="AB24" s="502"/>
      <c r="AC24" s="502"/>
    </row>
    <row r="25" spans="1:29">
      <c r="A25" s="338"/>
      <c r="B25" s="413" t="str">
        <f>SUMMARY!U3</f>
        <v>PREMIX 1101 (20KG)</v>
      </c>
      <c r="C25" s="338" t="s">
        <v>346</v>
      </c>
      <c r="D25" s="336">
        <f>SUMMARY!U60</f>
        <v>2020</v>
      </c>
      <c r="E25" s="336">
        <f>SUMMARY!U61</f>
        <v>0</v>
      </c>
      <c r="F25" s="336">
        <f>SUMMARY!U62</f>
        <v>0</v>
      </c>
      <c r="G25" s="336">
        <f>SUMMARY!U63</f>
        <v>0</v>
      </c>
      <c r="H25" s="336">
        <f>SUMMARY!U64</f>
        <v>2020</v>
      </c>
      <c r="I25" s="336"/>
      <c r="J25" s="336"/>
      <c r="K25" s="336"/>
      <c r="L25" s="336"/>
      <c r="M25" s="339"/>
      <c r="N25" s="336"/>
      <c r="O25" s="413">
        <f t="shared" si="0"/>
        <v>-2020</v>
      </c>
      <c r="P25" s="339"/>
      <c r="Q25" s="336"/>
      <c r="R25" s="499"/>
      <c r="S25" s="336"/>
      <c r="T25" s="500"/>
      <c r="U25" s="336"/>
      <c r="V25" s="329"/>
      <c r="W25" s="501"/>
      <c r="X25" s="329"/>
      <c r="Y25" s="502"/>
      <c r="Z25" s="502"/>
      <c r="AA25" s="502"/>
      <c r="AB25" s="502"/>
      <c r="AC25" s="502"/>
    </row>
    <row r="26" spans="1:29">
      <c r="A26" s="338"/>
      <c r="B26" s="413" t="str">
        <f>SUMMARY!V3</f>
        <v>PREMIX 1102 (20KG)</v>
      </c>
      <c r="C26" s="338" t="s">
        <v>346</v>
      </c>
      <c r="D26" s="336">
        <f>SUMMARY!V60</f>
        <v>960</v>
      </c>
      <c r="E26" s="336">
        <f>SUMMARY!V61</f>
        <v>0</v>
      </c>
      <c r="F26" s="336">
        <f>SUMMARY!V62</f>
        <v>0</v>
      </c>
      <c r="G26" s="336">
        <f>SUMMARY!V63</f>
        <v>0</v>
      </c>
      <c r="H26" s="336">
        <f>SUMMARY!V64</f>
        <v>960</v>
      </c>
      <c r="I26" s="336"/>
      <c r="J26" s="336"/>
      <c r="K26" s="336"/>
      <c r="L26" s="336"/>
      <c r="M26" s="339"/>
      <c r="N26" s="336"/>
      <c r="O26" s="413">
        <f t="shared" si="0"/>
        <v>-960</v>
      </c>
      <c r="P26" s="339"/>
      <c r="Q26" s="336"/>
      <c r="R26" s="499"/>
      <c r="S26" s="336"/>
      <c r="T26" s="500"/>
      <c r="U26" s="336"/>
      <c r="V26" s="329"/>
      <c r="W26" s="501"/>
      <c r="X26" s="329"/>
      <c r="Y26" s="502"/>
      <c r="Z26" s="502"/>
      <c r="AA26" s="502"/>
      <c r="AB26" s="502"/>
      <c r="AC26" s="502"/>
    </row>
    <row r="27" spans="1:29">
      <c r="A27" s="338"/>
      <c r="B27" s="413" t="str">
        <f>SUMMARY!W3</f>
        <v>PREMIX 1103 (20KG)</v>
      </c>
      <c r="C27" s="338" t="s">
        <v>346</v>
      </c>
      <c r="D27" s="336">
        <f>SUMMARY!W60</f>
        <v>1760</v>
      </c>
      <c r="E27" s="336">
        <f>SUMMARY!W61</f>
        <v>0</v>
      </c>
      <c r="F27" s="336">
        <f>SUMMARY!W62</f>
        <v>0</v>
      </c>
      <c r="G27" s="336">
        <f>SUMMARY!W63</f>
        <v>0</v>
      </c>
      <c r="H27" s="336">
        <f>SUMMARY!W64</f>
        <v>1760</v>
      </c>
      <c r="I27" s="336"/>
      <c r="J27" s="336"/>
      <c r="K27" s="336"/>
      <c r="L27" s="336"/>
      <c r="M27" s="339"/>
      <c r="N27" s="336"/>
      <c r="O27" s="413">
        <f t="shared" si="0"/>
        <v>-1760</v>
      </c>
      <c r="P27" s="339"/>
      <c r="Q27" s="336"/>
      <c r="R27" s="499"/>
      <c r="S27" s="336"/>
      <c r="T27" s="500"/>
      <c r="U27" s="336"/>
      <c r="V27" s="329"/>
      <c r="W27" s="501"/>
      <c r="X27" s="329"/>
      <c r="Y27" s="502"/>
      <c r="Z27" s="502"/>
      <c r="AA27" s="502"/>
      <c r="AB27" s="502"/>
      <c r="AC27" s="502"/>
    </row>
    <row r="28" spans="1:29">
      <c r="A28" s="338"/>
      <c r="B28" s="413" t="str">
        <f>SUMMARY!X3</f>
        <v>PREMIX 311 (20KG)</v>
      </c>
      <c r="C28" s="338" t="s">
        <v>346</v>
      </c>
      <c r="D28" s="336">
        <f>SUMMARY!X60</f>
        <v>400</v>
      </c>
      <c r="E28" s="336">
        <f>SUMMARY!X61</f>
        <v>0</v>
      </c>
      <c r="F28" s="336">
        <f>SUMMARY!X62</f>
        <v>0</v>
      </c>
      <c r="G28" s="336">
        <f>SUMMARY!X63</f>
        <v>0</v>
      </c>
      <c r="H28" s="336">
        <f>SUMMARY!X64</f>
        <v>400</v>
      </c>
      <c r="I28" s="336"/>
      <c r="J28" s="336"/>
      <c r="K28" s="336"/>
      <c r="L28" s="336"/>
      <c r="M28" s="339"/>
      <c r="N28" s="336"/>
      <c r="O28" s="413">
        <f t="shared" si="0"/>
        <v>-400</v>
      </c>
      <c r="P28" s="339"/>
      <c r="Q28" s="336"/>
      <c r="R28" s="499"/>
      <c r="S28" s="336"/>
      <c r="T28" s="500"/>
      <c r="U28" s="336"/>
      <c r="V28" s="329"/>
      <c r="W28" s="501"/>
      <c r="X28" s="329"/>
      <c r="Y28" s="502"/>
      <c r="Z28" s="502"/>
      <c r="AA28" s="502"/>
      <c r="AB28" s="502"/>
      <c r="AC28" s="502"/>
    </row>
    <row r="29" spans="1:29">
      <c r="A29" s="338"/>
      <c r="B29" s="413" t="str">
        <f>SUMMARY!Y3</f>
        <v>PREMIX 312 (20KG)</v>
      </c>
      <c r="C29" s="338" t="s">
        <v>346</v>
      </c>
      <c r="D29" s="336">
        <f>SUMMARY!Y60</f>
        <v>3600</v>
      </c>
      <c r="E29" s="336">
        <f>SUMMARY!Y61</f>
        <v>0</v>
      </c>
      <c r="F29" s="336">
        <f>SUMMARY!Y62</f>
        <v>0</v>
      </c>
      <c r="G29" s="336">
        <f>SUMMARY!Y63</f>
        <v>0</v>
      </c>
      <c r="H29" s="336">
        <f>SUMMARY!Y64</f>
        <v>3600</v>
      </c>
      <c r="I29" s="336"/>
      <c r="J29" s="336"/>
      <c r="K29" s="336"/>
      <c r="L29" s="336"/>
      <c r="M29" s="339"/>
      <c r="N29" s="336"/>
      <c r="O29" s="413">
        <f t="shared" si="0"/>
        <v>-3600</v>
      </c>
      <c r="P29" s="339"/>
      <c r="Q29" s="336"/>
      <c r="R29" s="499"/>
      <c r="S29" s="336"/>
      <c r="T29" s="500"/>
      <c r="U29" s="336"/>
      <c r="V29" s="329"/>
      <c r="W29" s="501"/>
      <c r="X29" s="329"/>
      <c r="Y29" s="502"/>
      <c r="Z29" s="502"/>
      <c r="AA29" s="502"/>
      <c r="AB29" s="502"/>
      <c r="AC29" s="502"/>
    </row>
    <row r="30" spans="1:29">
      <c r="A30" s="338"/>
      <c r="B30" s="413">
        <f>SUMMARY!Z3</f>
        <v>1</v>
      </c>
      <c r="C30" s="338" t="s">
        <v>346</v>
      </c>
      <c r="D30" s="336">
        <f>SUMMARY!Z60</f>
        <v>0</v>
      </c>
      <c r="E30" s="336">
        <f>SUMMARY!Z61</f>
        <v>0</v>
      </c>
      <c r="F30" s="336">
        <f>SUMMARY!Z62</f>
        <v>0</v>
      </c>
      <c r="G30" s="336">
        <f>SUMMARY!Z63</f>
        <v>0</v>
      </c>
      <c r="H30" s="336">
        <f>SUMMARY!Z64</f>
        <v>0</v>
      </c>
      <c r="I30" s="336"/>
      <c r="J30" s="336"/>
      <c r="K30" s="336"/>
      <c r="L30" s="336"/>
      <c r="M30" s="339"/>
      <c r="N30" s="336"/>
      <c r="O30" s="413">
        <f t="shared" si="0"/>
        <v>0</v>
      </c>
      <c r="P30" s="339"/>
      <c r="Q30" s="336"/>
      <c r="R30" s="499"/>
      <c r="S30" s="336"/>
      <c r="T30" s="500"/>
      <c r="U30" s="336"/>
      <c r="V30" s="329"/>
      <c r="W30" s="501"/>
      <c r="X30" s="329"/>
      <c r="Y30" s="502"/>
      <c r="Z30" s="502"/>
      <c r="AA30" s="502"/>
      <c r="AB30" s="502"/>
      <c r="AC30" s="502"/>
    </row>
    <row r="31" spans="1:29">
      <c r="A31" s="338"/>
      <c r="B31" s="413" t="str">
        <f>SUMMARY!AA3</f>
        <v>PREMIX 8100 (20KG)</v>
      </c>
      <c r="C31" s="338" t="s">
        <v>346</v>
      </c>
      <c r="D31" s="336">
        <f>SUMMARY!AA60</f>
        <v>6120</v>
      </c>
      <c r="E31" s="336">
        <f>SUMMARY!AA61</f>
        <v>0</v>
      </c>
      <c r="F31" s="336">
        <f>SUMMARY!AA62</f>
        <v>0</v>
      </c>
      <c r="G31" s="336">
        <f>SUMMARY!AA63</f>
        <v>0</v>
      </c>
      <c r="H31" s="336">
        <f>SUMMARY!AA64</f>
        <v>6120</v>
      </c>
      <c r="I31" s="336"/>
      <c r="J31" s="336"/>
      <c r="K31" s="336"/>
      <c r="L31" s="336"/>
      <c r="M31" s="339"/>
      <c r="N31" s="336"/>
      <c r="O31" s="413">
        <f t="shared" si="0"/>
        <v>-6120</v>
      </c>
      <c r="P31" s="339"/>
      <c r="Q31" s="336"/>
      <c r="R31" s="499"/>
      <c r="S31" s="336"/>
      <c r="T31" s="500"/>
      <c r="U31" s="336"/>
      <c r="V31" s="329"/>
      <c r="W31" s="501"/>
      <c r="X31" s="329"/>
      <c r="Y31" s="502"/>
      <c r="Z31" s="502"/>
      <c r="AA31" s="502"/>
      <c r="AB31" s="502"/>
      <c r="AC31" s="502"/>
    </row>
    <row r="32" spans="1:29">
      <c r="A32" s="338"/>
      <c r="B32" s="413" t="str">
        <f>SUMMARY!AB3</f>
        <v>PREMIX 8101 (20KG)</v>
      </c>
      <c r="C32" s="338" t="s">
        <v>346</v>
      </c>
      <c r="D32" s="336">
        <f>SUMMARY!AB60</f>
        <v>0</v>
      </c>
      <c r="E32" s="336">
        <f>SUMMARY!AB61</f>
        <v>0</v>
      </c>
      <c r="F32" s="336">
        <f>SUMMARY!AB62</f>
        <v>0</v>
      </c>
      <c r="G32" s="336">
        <f>SUMMARY!AB63</f>
        <v>0</v>
      </c>
      <c r="H32" s="336">
        <f>SUMMARY!AB64</f>
        <v>0</v>
      </c>
      <c r="I32" s="336"/>
      <c r="J32" s="336"/>
      <c r="K32" s="336"/>
      <c r="L32" s="336"/>
      <c r="M32" s="339"/>
      <c r="N32" s="336"/>
      <c r="O32" s="413">
        <f t="shared" si="0"/>
        <v>0</v>
      </c>
      <c r="P32" s="339"/>
      <c r="Q32" s="336"/>
      <c r="R32" s="499"/>
      <c r="S32" s="336"/>
      <c r="T32" s="500"/>
      <c r="U32" s="336"/>
      <c r="V32" s="329"/>
      <c r="W32" s="501"/>
      <c r="X32" s="329"/>
      <c r="Y32" s="502"/>
      <c r="Z32" s="502"/>
      <c r="AA32" s="502"/>
      <c r="AB32" s="502"/>
      <c r="AC32" s="502"/>
    </row>
    <row r="33" spans="1:29">
      <c r="A33" s="338"/>
      <c r="B33" s="413" t="str">
        <f>SUMMARY!AC3</f>
        <v>PREMIX 8102 (20KG)</v>
      </c>
      <c r="C33" s="338" t="s">
        <v>346</v>
      </c>
      <c r="D33" s="336">
        <f>SUMMARY!AC60</f>
        <v>0</v>
      </c>
      <c r="E33" s="336">
        <f>SUMMARY!AC61</f>
        <v>0</v>
      </c>
      <c r="F33" s="336">
        <f>SUMMARY!AC62</f>
        <v>0</v>
      </c>
      <c r="G33" s="336">
        <f>SUMMARY!AC63</f>
        <v>0</v>
      </c>
      <c r="H33" s="336">
        <f>SUMMARY!AC64</f>
        <v>0</v>
      </c>
      <c r="I33" s="336"/>
      <c r="J33" s="336"/>
      <c r="K33" s="336"/>
      <c r="L33" s="336"/>
      <c r="M33" s="339"/>
      <c r="N33" s="336"/>
      <c r="O33" s="413">
        <f t="shared" si="0"/>
        <v>0</v>
      </c>
      <c r="P33" s="339"/>
      <c r="Q33" s="336"/>
      <c r="R33" s="499"/>
      <c r="S33" s="336"/>
      <c r="T33" s="500"/>
      <c r="U33" s="336"/>
      <c r="V33" s="329"/>
      <c r="W33" s="501"/>
      <c r="X33" s="329"/>
      <c r="Y33" s="502"/>
      <c r="Z33" s="502"/>
      <c r="AA33" s="502"/>
      <c r="AB33" s="502"/>
      <c r="AC33" s="502"/>
    </row>
    <row r="34" spans="1:29">
      <c r="A34" s="338"/>
      <c r="B34" s="413" t="str">
        <f>SUMMARY!AD3</f>
        <v>PREMIX 8103 (20KG)</v>
      </c>
      <c r="C34" s="338" t="s">
        <v>346</v>
      </c>
      <c r="D34" s="336">
        <f>SUMMARY!AD60</f>
        <v>2820</v>
      </c>
      <c r="E34" s="336">
        <f>SUMMARY!AD61</f>
        <v>0</v>
      </c>
      <c r="F34" s="336">
        <f>SUMMARY!AD62</f>
        <v>0</v>
      </c>
      <c r="G34" s="336">
        <f>SUMMARY!AD63</f>
        <v>0</v>
      </c>
      <c r="H34" s="336">
        <f>SUMMARY!AD64</f>
        <v>2820</v>
      </c>
      <c r="I34" s="336"/>
      <c r="J34" s="336"/>
      <c r="K34" s="336"/>
      <c r="L34" s="336"/>
      <c r="M34" s="339"/>
      <c r="N34" s="336"/>
      <c r="O34" s="413">
        <f t="shared" si="0"/>
        <v>-2820</v>
      </c>
      <c r="P34" s="339"/>
      <c r="Q34" s="336"/>
      <c r="R34" s="499"/>
      <c r="S34" s="336"/>
      <c r="T34" s="500"/>
      <c r="U34" s="336"/>
      <c r="V34" s="329"/>
      <c r="W34" s="501"/>
      <c r="X34" s="329"/>
      <c r="Y34" s="502"/>
      <c r="Z34" s="502"/>
      <c r="AA34" s="502"/>
      <c r="AB34" s="502"/>
      <c r="AC34" s="502"/>
    </row>
    <row r="35" spans="1:29">
      <c r="A35" s="338"/>
      <c r="B35" s="413" t="str">
        <f>SUMMARY!AE3</f>
        <v>PREMIX 8108 (20KG)</v>
      </c>
      <c r="C35" s="338" t="s">
        <v>346</v>
      </c>
      <c r="D35" s="336">
        <f>SUMMARY!AE60</f>
        <v>0</v>
      </c>
      <c r="E35" s="336">
        <f>SUMMARY!AE61</f>
        <v>0</v>
      </c>
      <c r="F35" s="336">
        <f>SUMMARY!AE62</f>
        <v>0</v>
      </c>
      <c r="G35" s="336">
        <f>SUMMARY!AE63</f>
        <v>0</v>
      </c>
      <c r="H35" s="336">
        <f>SUMMARY!AE64</f>
        <v>0</v>
      </c>
      <c r="I35" s="336"/>
      <c r="J35" s="336"/>
      <c r="K35" s="336"/>
      <c r="L35" s="336"/>
      <c r="M35" s="339"/>
      <c r="N35" s="336"/>
      <c r="O35" s="413">
        <f t="shared" si="0"/>
        <v>0</v>
      </c>
      <c r="P35" s="339"/>
      <c r="Q35" s="336"/>
      <c r="R35" s="499"/>
      <c r="S35" s="336"/>
      <c r="T35" s="500"/>
      <c r="U35" s="336"/>
      <c r="V35" s="329"/>
      <c r="W35" s="501"/>
      <c r="X35" s="329"/>
      <c r="Y35" s="502"/>
      <c r="Z35" s="502"/>
      <c r="AA35" s="502"/>
      <c r="AB35" s="502"/>
      <c r="AC35" s="502"/>
    </row>
    <row r="36" spans="1:29">
      <c r="A36" s="338"/>
      <c r="B36" s="413" t="str">
        <f>SUMMARY!AF3</f>
        <v>PREMIX 8109 (20KG)</v>
      </c>
      <c r="C36" s="338" t="s">
        <v>346</v>
      </c>
      <c r="D36" s="336">
        <f>SUMMARY!AF60</f>
        <v>0</v>
      </c>
      <c r="E36" s="336">
        <f>SUMMARY!AF61</f>
        <v>0</v>
      </c>
      <c r="F36" s="336">
        <f>SUMMARY!AF62</f>
        <v>0</v>
      </c>
      <c r="G36" s="336">
        <f>SUMMARY!AF63</f>
        <v>0</v>
      </c>
      <c r="H36" s="336">
        <f>SUMMARY!AF64</f>
        <v>0</v>
      </c>
      <c r="I36" s="336"/>
      <c r="J36" s="336"/>
      <c r="K36" s="336"/>
      <c r="L36" s="336"/>
      <c r="M36" s="339"/>
      <c r="N36" s="336"/>
      <c r="O36" s="413">
        <f t="shared" si="0"/>
        <v>0</v>
      </c>
      <c r="P36" s="339"/>
      <c r="Q36" s="336"/>
      <c r="R36" s="499"/>
      <c r="S36" s="336"/>
      <c r="T36" s="500"/>
      <c r="U36" s="336"/>
      <c r="V36" s="329"/>
      <c r="W36" s="501"/>
      <c r="X36" s="329"/>
      <c r="Y36" s="502"/>
      <c r="Z36" s="502"/>
      <c r="AA36" s="502"/>
      <c r="AB36" s="502"/>
      <c r="AC36" s="502"/>
    </row>
    <row r="37" spans="1:29">
      <c r="A37" s="338"/>
      <c r="B37" s="413" t="str">
        <f>SUMMARY!AG3</f>
        <v>YENMIX 121 (20KG)</v>
      </c>
      <c r="C37" s="338" t="s">
        <v>346</v>
      </c>
      <c r="D37" s="336">
        <f>SUMMARY!AG60</f>
        <v>2540</v>
      </c>
      <c r="E37" s="336">
        <f>SUMMARY!AG61</f>
        <v>0</v>
      </c>
      <c r="F37" s="336">
        <f>SUMMARY!AG62</f>
        <v>0</v>
      </c>
      <c r="G37" s="336">
        <f>SUMMARY!AG63</f>
        <v>0</v>
      </c>
      <c r="H37" s="336">
        <f>SUMMARY!AG64</f>
        <v>2540</v>
      </c>
      <c r="I37" s="336"/>
      <c r="J37" s="336"/>
      <c r="K37" s="336"/>
      <c r="L37" s="336"/>
      <c r="M37" s="339"/>
      <c r="N37" s="336"/>
      <c r="O37" s="413">
        <f t="shared" si="0"/>
        <v>-2540</v>
      </c>
      <c r="P37" s="339"/>
      <c r="Q37" s="336"/>
      <c r="R37" s="499"/>
      <c r="S37" s="336"/>
      <c r="T37" s="500"/>
      <c r="U37" s="336"/>
      <c r="V37" s="329"/>
      <c r="W37" s="501"/>
      <c r="X37" s="329"/>
      <c r="Y37" s="502"/>
      <c r="Z37" s="502"/>
      <c r="AA37" s="502"/>
      <c r="AB37" s="502"/>
      <c r="AC37" s="502"/>
    </row>
    <row r="38" spans="1:29">
      <c r="A38" s="338"/>
      <c r="B38" s="413" t="str">
        <f>SUMMARY!AH3</f>
        <v>YENMIX 122 (19.50KG)</v>
      </c>
      <c r="C38" s="338" t="s">
        <v>346</v>
      </c>
      <c r="D38" s="336">
        <f>SUMMARY!AH60</f>
        <v>2359.5</v>
      </c>
      <c r="E38" s="336">
        <f>SUMMARY!AH61</f>
        <v>0</v>
      </c>
      <c r="F38" s="336">
        <f>SUMMARY!AH62</f>
        <v>0</v>
      </c>
      <c r="G38" s="336">
        <f>SUMMARY!AH63</f>
        <v>0</v>
      </c>
      <c r="H38" s="336">
        <f>SUMMARY!AH64</f>
        <v>2359.5</v>
      </c>
      <c r="I38" s="336"/>
      <c r="J38" s="336"/>
      <c r="K38" s="336"/>
      <c r="L38" s="336"/>
      <c r="M38" s="339"/>
      <c r="N38" s="336"/>
      <c r="O38" s="413">
        <f t="shared" si="0"/>
        <v>-2359.5</v>
      </c>
      <c r="P38" s="339"/>
      <c r="Q38" s="336"/>
      <c r="R38" s="499"/>
      <c r="S38" s="336"/>
      <c r="T38" s="500"/>
      <c r="U38" s="336"/>
      <c r="V38" s="329"/>
      <c r="W38" s="501"/>
      <c r="X38" s="329"/>
      <c r="Y38" s="502"/>
      <c r="Z38" s="502"/>
      <c r="AA38" s="502"/>
      <c r="AB38" s="502"/>
      <c r="AC38" s="502"/>
    </row>
    <row r="39" spans="1:29">
      <c r="A39" s="338"/>
      <c r="B39" s="413" t="str">
        <f>SUMMARY!AI3</f>
        <v>YENMIX 123 (18.90KG)</v>
      </c>
      <c r="C39" s="338" t="s">
        <v>346</v>
      </c>
      <c r="D39" s="336">
        <f>SUMMARY!AI60</f>
        <v>1890</v>
      </c>
      <c r="E39" s="336">
        <f>SUMMARY!AI61</f>
        <v>0</v>
      </c>
      <c r="F39" s="336">
        <f>SUMMARY!AI62</f>
        <v>0</v>
      </c>
      <c r="G39" s="336">
        <f>SUMMARY!AI63</f>
        <v>0</v>
      </c>
      <c r="H39" s="336">
        <f>SUMMARY!AI64</f>
        <v>1890</v>
      </c>
      <c r="I39" s="336"/>
      <c r="J39" s="336"/>
      <c r="K39" s="336"/>
      <c r="L39" s="336"/>
      <c r="M39" s="339"/>
      <c r="N39" s="336"/>
      <c r="O39" s="413">
        <f t="shared" si="0"/>
        <v>-1890</v>
      </c>
      <c r="P39" s="339"/>
      <c r="Q39" s="336"/>
      <c r="R39" s="499"/>
      <c r="S39" s="336"/>
      <c r="T39" s="500"/>
      <c r="U39" s="336"/>
      <c r="V39" s="329"/>
      <c r="W39" s="501"/>
      <c r="X39" s="329"/>
      <c r="Y39" s="502"/>
      <c r="Z39" s="502"/>
      <c r="AA39" s="502"/>
      <c r="AB39" s="502"/>
      <c r="AC39" s="502"/>
    </row>
    <row r="40" spans="1:29">
      <c r="A40" s="338"/>
      <c r="B40" s="413" t="str">
        <f>SUMMARY!AJ3</f>
        <v>YENMIX 122 (20.50KG)</v>
      </c>
      <c r="C40" s="338" t="s">
        <v>346</v>
      </c>
      <c r="D40" s="336">
        <f>SUMMARY!AJ60</f>
        <v>3690</v>
      </c>
      <c r="E40" s="336">
        <f>SUMMARY!AJ61</f>
        <v>0</v>
      </c>
      <c r="F40" s="336">
        <f>SUMMARY!AJ62</f>
        <v>0</v>
      </c>
      <c r="G40" s="336">
        <f>SUMMARY!AJ63</f>
        <v>0</v>
      </c>
      <c r="H40" s="336">
        <f>SUMMARY!AJ64</f>
        <v>3690</v>
      </c>
      <c r="I40" s="336"/>
      <c r="J40" s="336"/>
      <c r="K40" s="336"/>
      <c r="L40" s="336"/>
      <c r="M40" s="339"/>
      <c r="N40" s="336"/>
      <c r="O40" s="413">
        <f t="shared" si="0"/>
        <v>-3690</v>
      </c>
      <c r="P40" s="339"/>
      <c r="Q40" s="336"/>
      <c r="R40" s="499"/>
      <c r="S40" s="336"/>
      <c r="T40" s="500"/>
      <c r="U40" s="336"/>
      <c r="V40" s="329"/>
      <c r="W40" s="501"/>
      <c r="X40" s="329"/>
      <c r="Y40" s="502"/>
      <c r="Z40" s="502"/>
      <c r="AA40" s="502"/>
      <c r="AB40" s="502"/>
      <c r="AC40" s="502"/>
    </row>
    <row r="41" spans="1:29">
      <c r="A41" s="338"/>
      <c r="B41" s="413" t="str">
        <f>SUMMARY!AK3</f>
        <v>YENMIX 123 (20.00KG)</v>
      </c>
      <c r="C41" s="338" t="s">
        <v>346</v>
      </c>
      <c r="D41" s="336">
        <f>SUMMARY!AK60</f>
        <v>4000</v>
      </c>
      <c r="E41" s="336">
        <f>SUMMARY!AK61</f>
        <v>0</v>
      </c>
      <c r="F41" s="336">
        <f>SUMMARY!AK62</f>
        <v>0</v>
      </c>
      <c r="G41" s="336">
        <f>SUMMARY!AK63</f>
        <v>0</v>
      </c>
      <c r="H41" s="336">
        <f>SUMMARY!AK64</f>
        <v>4000</v>
      </c>
      <c r="I41" s="336"/>
      <c r="J41" s="336"/>
      <c r="K41" s="336"/>
      <c r="L41" s="336"/>
      <c r="M41" s="339"/>
      <c r="N41" s="336"/>
      <c r="O41" s="413">
        <f t="shared" si="0"/>
        <v>-4000</v>
      </c>
      <c r="P41" s="339"/>
      <c r="Q41" s="336"/>
      <c r="R41" s="499"/>
      <c r="S41" s="336"/>
      <c r="T41" s="500"/>
      <c r="U41" s="336"/>
      <c r="V41" s="329"/>
      <c r="W41" s="501"/>
      <c r="X41" s="329"/>
      <c r="Y41" s="502"/>
      <c r="Z41" s="502"/>
      <c r="AA41" s="502"/>
      <c r="AB41" s="502"/>
      <c r="AC41" s="502"/>
    </row>
    <row r="42" spans="1:29">
      <c r="A42" s="338"/>
      <c r="B42" s="413">
        <f>SUMMARY!AL3</f>
        <v>1</v>
      </c>
      <c r="C42" s="338" t="s">
        <v>346</v>
      </c>
      <c r="D42" s="336">
        <f>SUMMARY!AL60</f>
        <v>0</v>
      </c>
      <c r="E42" s="336">
        <f>SUMMARY!AL61</f>
        <v>0</v>
      </c>
      <c r="F42" s="336">
        <f>SUMMARY!AL62</f>
        <v>0</v>
      </c>
      <c r="G42" s="336">
        <f>SUMMARY!AL63</f>
        <v>0</v>
      </c>
      <c r="H42" s="336">
        <f>SUMMARY!AL64</f>
        <v>0</v>
      </c>
      <c r="I42" s="336"/>
      <c r="J42" s="336"/>
      <c r="K42" s="336"/>
      <c r="L42" s="336"/>
      <c r="M42" s="339"/>
      <c r="N42" s="336"/>
      <c r="O42" s="413">
        <f t="shared" si="0"/>
        <v>0</v>
      </c>
      <c r="P42" s="339"/>
      <c r="Q42" s="336"/>
      <c r="R42" s="336"/>
      <c r="S42" s="336"/>
      <c r="T42" s="336"/>
      <c r="U42" s="336"/>
      <c r="V42" s="329"/>
      <c r="W42" s="501"/>
      <c r="X42" s="329"/>
      <c r="Y42" s="502"/>
      <c r="Z42" s="502"/>
      <c r="AA42" s="502"/>
      <c r="AB42" s="502"/>
      <c r="AC42" s="502"/>
    </row>
    <row r="43" spans="1:29">
      <c r="A43" s="338"/>
      <c r="B43" s="413">
        <f>SUMMARY!AM3</f>
        <v>2</v>
      </c>
      <c r="C43" s="338" t="s">
        <v>346</v>
      </c>
      <c r="D43" s="336">
        <f>SUMMARY!AM60</f>
        <v>0</v>
      </c>
      <c r="E43" s="336">
        <f>SUMMARY!AM61</f>
        <v>0</v>
      </c>
      <c r="F43" s="336">
        <f>SUMMARY!AM62</f>
        <v>0</v>
      </c>
      <c r="G43" s="336">
        <f>SUMMARY!AM63</f>
        <v>0</v>
      </c>
      <c r="H43" s="336">
        <f>SUMMARY!AM64</f>
        <v>0</v>
      </c>
      <c r="I43" s="336"/>
      <c r="J43" s="336"/>
      <c r="K43" s="336"/>
      <c r="L43" s="336"/>
      <c r="M43" s="339"/>
      <c r="N43" s="336"/>
      <c r="O43" s="413">
        <f t="shared" si="0"/>
        <v>0</v>
      </c>
      <c r="P43" s="339"/>
      <c r="Q43" s="336"/>
      <c r="R43" s="336"/>
      <c r="S43" s="336"/>
      <c r="T43" s="336"/>
      <c r="U43" s="336"/>
      <c r="V43" s="329"/>
      <c r="W43" s="501"/>
      <c r="X43" s="329"/>
      <c r="Y43" s="502"/>
      <c r="Z43" s="502"/>
      <c r="AA43" s="502"/>
      <c r="AB43" s="502"/>
      <c r="AC43" s="502"/>
    </row>
    <row r="44" spans="1:29">
      <c r="A44" s="338"/>
      <c r="B44" s="413">
        <f>SUMMARY!AN3</f>
        <v>3</v>
      </c>
      <c r="C44" s="338" t="s">
        <v>346</v>
      </c>
      <c r="D44" s="336">
        <f>SUMMARY!AN60</f>
        <v>0</v>
      </c>
      <c r="E44" s="336">
        <f>SUMMARY!AN61</f>
        <v>0</v>
      </c>
      <c r="F44" s="336">
        <f>SUMMARY!AN62</f>
        <v>0</v>
      </c>
      <c r="G44" s="336">
        <f>SUMMARY!AN63</f>
        <v>0</v>
      </c>
      <c r="H44" s="336">
        <f>SUMMARY!AN64</f>
        <v>0</v>
      </c>
      <c r="I44" s="336"/>
      <c r="J44" s="336"/>
      <c r="K44" s="336"/>
      <c r="L44" s="336"/>
      <c r="M44" s="339"/>
      <c r="N44" s="336"/>
      <c r="O44" s="413">
        <f t="shared" si="0"/>
        <v>0</v>
      </c>
      <c r="P44" s="339"/>
      <c r="Q44" s="336"/>
      <c r="R44" s="336"/>
      <c r="S44" s="336"/>
      <c r="T44" s="336"/>
      <c r="U44" s="336"/>
      <c r="V44" s="329"/>
      <c r="W44" s="501"/>
      <c r="X44" s="329"/>
      <c r="Y44" s="502"/>
      <c r="Z44" s="502"/>
      <c r="AA44" s="502"/>
      <c r="AB44" s="502"/>
      <c r="AC44" s="502"/>
    </row>
    <row r="45" spans="1:29">
      <c r="A45" s="338"/>
      <c r="B45" s="413" t="str">
        <f>SUMMARY!AO3</f>
        <v>TOXISORB PREMIUM</v>
      </c>
      <c r="C45" s="338" t="s">
        <v>346</v>
      </c>
      <c r="D45" s="336">
        <f>SUMMARY!AO60</f>
        <v>1625</v>
      </c>
      <c r="E45" s="336">
        <f>SUMMARY!AO61</f>
        <v>0</v>
      </c>
      <c r="F45" s="336">
        <f>SUMMARY!AO62</f>
        <v>0</v>
      </c>
      <c r="G45" s="336">
        <f>SUMMARY!AO63</f>
        <v>0</v>
      </c>
      <c r="H45" s="336">
        <f>SUMMARY!AO64</f>
        <v>1625</v>
      </c>
      <c r="I45" s="336"/>
      <c r="J45" s="336"/>
      <c r="K45" s="336"/>
      <c r="L45" s="336"/>
      <c r="M45" s="339"/>
      <c r="N45" s="336"/>
      <c r="O45" s="413">
        <f t="shared" si="0"/>
        <v>-1625</v>
      </c>
      <c r="P45" s="339"/>
      <c r="Q45" s="336"/>
      <c r="R45" s="499"/>
      <c r="S45" s="336"/>
      <c r="T45" s="500"/>
      <c r="U45" s="336"/>
      <c r="V45" s="329"/>
      <c r="W45" s="501"/>
      <c r="X45" s="329"/>
      <c r="Y45" s="502"/>
      <c r="Z45" s="502"/>
      <c r="AA45" s="502"/>
      <c r="AB45" s="502"/>
      <c r="AC45" s="502"/>
    </row>
    <row r="46" spans="1:29">
      <c r="A46" s="338"/>
      <c r="B46" s="413" t="str">
        <f>SUMMARY!AP3</f>
        <v>SODIUM HUMATE 3.8% (HARUMI)</v>
      </c>
      <c r="C46" s="338" t="s">
        <v>346</v>
      </c>
      <c r="D46" s="336">
        <f>SUMMARY!AP60</f>
        <v>0</v>
      </c>
      <c r="E46" s="336">
        <f>SUMMARY!AP61</f>
        <v>0</v>
      </c>
      <c r="F46" s="336">
        <f>SUMMARY!AP62</f>
        <v>0</v>
      </c>
      <c r="G46" s="336">
        <f>SUMMARY!AP63</f>
        <v>0</v>
      </c>
      <c r="H46" s="336">
        <f>SUMMARY!AP64</f>
        <v>0</v>
      </c>
      <c r="I46" s="336"/>
      <c r="J46" s="336"/>
      <c r="K46" s="336"/>
      <c r="L46" s="336"/>
      <c r="M46" s="339"/>
      <c r="N46" s="336"/>
      <c r="O46" s="413">
        <f t="shared" si="0"/>
        <v>0</v>
      </c>
      <c r="P46" s="339"/>
      <c r="Q46" s="336"/>
      <c r="R46" s="499"/>
      <c r="S46" s="336"/>
      <c r="T46" s="500"/>
      <c r="U46" s="336"/>
      <c r="V46" s="329"/>
      <c r="W46" s="501"/>
      <c r="X46" s="329"/>
      <c r="Y46" s="502"/>
      <c r="Z46" s="502"/>
      <c r="AA46" s="502"/>
      <c r="AB46" s="502"/>
      <c r="AC46" s="502"/>
    </row>
    <row r="47" spans="1:29">
      <c r="A47" s="338"/>
      <c r="B47" s="413" t="s">
        <v>41</v>
      </c>
      <c r="C47" s="338"/>
      <c r="D47" s="336"/>
      <c r="E47" s="336"/>
      <c r="F47" s="336"/>
      <c r="G47" s="336"/>
      <c r="H47" s="336"/>
      <c r="I47" s="336"/>
      <c r="J47" s="336"/>
      <c r="K47" s="336"/>
      <c r="L47" s="336"/>
      <c r="M47" s="339"/>
      <c r="N47" s="336"/>
      <c r="O47" s="413"/>
      <c r="P47" s="339"/>
      <c r="Q47" s="336"/>
      <c r="R47" s="499"/>
      <c r="S47" s="336"/>
      <c r="T47" s="500"/>
      <c r="U47" s="336"/>
      <c r="V47" s="329"/>
      <c r="W47" s="501"/>
      <c r="X47" s="329"/>
      <c r="Y47" s="502"/>
      <c r="Z47" s="502"/>
      <c r="AA47" s="502"/>
      <c r="AB47" s="502"/>
      <c r="AC47" s="502"/>
    </row>
    <row r="48" spans="1:29">
      <c r="A48" s="338"/>
      <c r="B48" s="413" t="str">
        <f>SUMMARY!AR3</f>
        <v>SODIUM BICARBONATE</v>
      </c>
      <c r="C48" s="338" t="s">
        <v>346</v>
      </c>
      <c r="D48" s="336">
        <f>SUMMARY!AR60</f>
        <v>3111.9999999999995</v>
      </c>
      <c r="E48" s="336">
        <f>SUMMARY!AR61</f>
        <v>0</v>
      </c>
      <c r="F48" s="336">
        <f>SUMMARY!AR62</f>
        <v>0</v>
      </c>
      <c r="G48" s="336">
        <f>SUMMARY!AR63</f>
        <v>0</v>
      </c>
      <c r="H48" s="336">
        <f>SUMMARY!AR64</f>
        <v>3111.9999999999995</v>
      </c>
      <c r="I48" s="336"/>
      <c r="J48" s="336"/>
      <c r="K48" s="336"/>
      <c r="L48" s="336"/>
      <c r="M48" s="339"/>
      <c r="N48" s="336"/>
      <c r="O48" s="413"/>
      <c r="P48" s="339"/>
      <c r="Q48" s="336"/>
      <c r="R48" s="499"/>
      <c r="S48" s="336"/>
      <c r="T48" s="500"/>
      <c r="U48" s="336"/>
      <c r="V48" s="329"/>
      <c r="W48" s="501"/>
      <c r="X48" s="329"/>
      <c r="Y48" s="502"/>
      <c r="Z48" s="502"/>
      <c r="AA48" s="502"/>
      <c r="AB48" s="502"/>
      <c r="AC48" s="502"/>
    </row>
    <row r="49" spans="1:29">
      <c r="A49" s="338"/>
      <c r="B49" s="413" t="str">
        <f>SUMMARY!AS3</f>
        <v>BMD 10%</v>
      </c>
      <c r="C49" s="338" t="s">
        <v>346</v>
      </c>
      <c r="D49" s="336">
        <f>SUMMARY!AS60</f>
        <v>1680.5</v>
      </c>
      <c r="E49" s="336">
        <f>SUMMARY!AS61</f>
        <v>0</v>
      </c>
      <c r="F49" s="336">
        <f>SUMMARY!AS62</f>
        <v>0</v>
      </c>
      <c r="G49" s="336">
        <f>SUMMARY!AS63</f>
        <v>0</v>
      </c>
      <c r="H49" s="336">
        <f>SUMMARY!AS64</f>
        <v>1680.5</v>
      </c>
      <c r="I49" s="336"/>
      <c r="J49" s="336"/>
      <c r="K49" s="336"/>
      <c r="L49" s="336"/>
      <c r="M49" s="339"/>
      <c r="N49" s="336"/>
      <c r="O49" s="413">
        <f t="shared" si="0"/>
        <v>-1680.5</v>
      </c>
      <c r="P49" s="339"/>
      <c r="Q49" s="336"/>
      <c r="R49" s="499"/>
      <c r="S49" s="336"/>
      <c r="T49" s="500"/>
      <c r="U49" s="336"/>
      <c r="V49" s="329"/>
      <c r="W49" s="501"/>
      <c r="X49" s="329"/>
      <c r="Y49" s="502"/>
      <c r="Z49" s="502"/>
      <c r="AA49" s="502"/>
      <c r="AB49" s="502"/>
      <c r="AC49" s="502"/>
    </row>
    <row r="50" spans="1:29">
      <c r="A50" s="338"/>
      <c r="B50" s="413" t="str">
        <f>SUMMARY!AT3</f>
        <v>SALT (HARUMI)</v>
      </c>
      <c r="C50" s="338" t="s">
        <v>346</v>
      </c>
      <c r="D50" s="336">
        <f>SUMMARY!AT60</f>
        <v>0</v>
      </c>
      <c r="E50" s="336">
        <f>SUMMARY!AT61</f>
        <v>0</v>
      </c>
      <c r="F50" s="336">
        <f>SUMMARY!AT62</f>
        <v>0</v>
      </c>
      <c r="G50" s="336">
        <f>SUMMARY!AT63</f>
        <v>0</v>
      </c>
      <c r="H50" s="336">
        <f>SUMMARY!AT64</f>
        <v>0</v>
      </c>
      <c r="I50" s="336"/>
      <c r="J50" s="336"/>
      <c r="K50" s="336"/>
      <c r="L50" s="336"/>
      <c r="M50" s="339"/>
      <c r="N50" s="336"/>
      <c r="O50" s="413">
        <f t="shared" si="0"/>
        <v>0</v>
      </c>
      <c r="P50" s="339"/>
      <c r="Q50" s="336"/>
      <c r="R50" s="499"/>
      <c r="S50" s="336"/>
      <c r="T50" s="500"/>
      <c r="U50" s="336"/>
      <c r="V50" s="329"/>
      <c r="W50" s="501"/>
      <c r="X50" s="329"/>
      <c r="Y50" s="502"/>
      <c r="Z50" s="502"/>
      <c r="AA50" s="502"/>
      <c r="AB50" s="502"/>
      <c r="AC50" s="502"/>
    </row>
    <row r="51" spans="1:29">
      <c r="A51" s="338"/>
      <c r="B51" s="413" t="str">
        <f>SUMMARY!AU3</f>
        <v>VISTABET 91</v>
      </c>
      <c r="C51" s="338" t="s">
        <v>346</v>
      </c>
      <c r="D51" s="336">
        <f>SUMMARY!AU60</f>
        <v>1482</v>
      </c>
      <c r="E51" s="336">
        <f>SUMMARY!AU61</f>
        <v>0</v>
      </c>
      <c r="F51" s="336">
        <f>SUMMARY!AU62</f>
        <v>0</v>
      </c>
      <c r="G51" s="336">
        <f>SUMMARY!AU63</f>
        <v>0</v>
      </c>
      <c r="H51" s="336">
        <f>SUMMARY!AU64</f>
        <v>1482</v>
      </c>
      <c r="I51" s="336"/>
      <c r="J51" s="336"/>
      <c r="K51" s="336"/>
      <c r="L51" s="336"/>
      <c r="M51" s="339"/>
      <c r="N51" s="336"/>
      <c r="O51" s="413">
        <f t="shared" si="0"/>
        <v>-1482</v>
      </c>
      <c r="P51" s="339"/>
      <c r="Q51" s="336"/>
      <c r="R51" s="499"/>
      <c r="S51" s="336"/>
      <c r="T51" s="500"/>
      <c r="U51" s="336"/>
      <c r="V51" s="329"/>
      <c r="W51" s="501"/>
      <c r="X51" s="329"/>
      <c r="Y51" s="502"/>
      <c r="Z51" s="502"/>
      <c r="AA51" s="502"/>
      <c r="AB51" s="502"/>
      <c r="AC51" s="502"/>
    </row>
    <row r="52" spans="1:29">
      <c r="A52" s="338"/>
      <c r="B52" s="413" t="str">
        <f>SUMMARY!AV3</f>
        <v>BETAFIN</v>
      </c>
      <c r="C52" s="338" t="s">
        <v>346</v>
      </c>
      <c r="D52" s="336">
        <f>SUMMARY!AV60</f>
        <v>0</v>
      </c>
      <c r="E52" s="336">
        <f>SUMMARY!AV61</f>
        <v>0</v>
      </c>
      <c r="F52" s="336">
        <f>SUMMARY!AV62</f>
        <v>0</v>
      </c>
      <c r="G52" s="336">
        <f>SUMMARY!AV63</f>
        <v>0</v>
      </c>
      <c r="H52" s="336">
        <f>SUMMARY!AV64</f>
        <v>0</v>
      </c>
      <c r="I52" s="336"/>
      <c r="J52" s="336"/>
      <c r="K52" s="336"/>
      <c r="L52" s="336"/>
      <c r="M52" s="339"/>
      <c r="N52" s="336"/>
      <c r="O52" s="413">
        <f t="shared" si="0"/>
        <v>0</v>
      </c>
      <c r="P52" s="339"/>
      <c r="Q52" s="336"/>
      <c r="R52" s="499"/>
      <c r="S52" s="336"/>
      <c r="T52" s="500"/>
      <c r="U52" s="336"/>
      <c r="V52" s="329"/>
      <c r="W52" s="501"/>
      <c r="X52" s="329"/>
      <c r="Y52" s="502"/>
      <c r="Z52" s="502"/>
      <c r="AA52" s="502"/>
      <c r="AB52" s="502"/>
      <c r="AC52" s="502"/>
    </row>
    <row r="53" spans="1:29">
      <c r="A53" s="338"/>
      <c r="B53" s="413" t="str">
        <f>SUMMARY!AW3</f>
        <v>8101 TOP UP</v>
      </c>
      <c r="C53" s="338" t="s">
        <v>346</v>
      </c>
      <c r="D53" s="336">
        <f>SUMMARY!AW60</f>
        <v>100</v>
      </c>
      <c r="E53" s="336">
        <f>SUMMARY!AW61</f>
        <v>0</v>
      </c>
      <c r="F53" s="336">
        <f>SUMMARY!AW62</f>
        <v>0</v>
      </c>
      <c r="G53" s="336">
        <f>SUMMARY!AW63</f>
        <v>0</v>
      </c>
      <c r="H53" s="336">
        <f>SUMMARY!AW64</f>
        <v>100</v>
      </c>
      <c r="I53" s="336"/>
      <c r="J53" s="336"/>
      <c r="K53" s="336"/>
      <c r="L53" s="336"/>
      <c r="M53" s="339"/>
      <c r="N53" s="336"/>
      <c r="O53" s="413">
        <f t="shared" si="0"/>
        <v>-100</v>
      </c>
      <c r="P53" s="339"/>
      <c r="Q53" s="336"/>
      <c r="R53" s="499"/>
      <c r="S53" s="336"/>
      <c r="T53" s="500"/>
      <c r="U53" s="336"/>
      <c r="V53" s="329"/>
      <c r="W53" s="501"/>
      <c r="X53" s="329"/>
      <c r="Y53" s="502"/>
      <c r="Z53" s="502"/>
      <c r="AA53" s="502"/>
      <c r="AB53" s="502"/>
      <c r="AC53" s="502"/>
    </row>
    <row r="54" spans="1:29">
      <c r="A54" s="338"/>
      <c r="B54" s="413" t="str">
        <f>SUMMARY!AX3</f>
        <v>NORPONIN X03 (8102 TOP UP)</v>
      </c>
      <c r="C54" s="338" t="s">
        <v>346</v>
      </c>
      <c r="D54" s="336">
        <f>SUMMARY!AX60</f>
        <v>13.960000000000036</v>
      </c>
      <c r="E54" s="336">
        <f>SUMMARY!AX61</f>
        <v>0</v>
      </c>
      <c r="F54" s="336">
        <f>SUMMARY!AX62</f>
        <v>0</v>
      </c>
      <c r="G54" s="336">
        <f>SUMMARY!AX63</f>
        <v>0</v>
      </c>
      <c r="H54" s="336">
        <f>SUMMARY!AX64</f>
        <v>13.960000000000036</v>
      </c>
      <c r="I54" s="336"/>
      <c r="J54" s="336"/>
      <c r="K54" s="336"/>
      <c r="L54" s="336"/>
      <c r="M54" s="339"/>
      <c r="N54" s="336"/>
      <c r="O54" s="413">
        <f t="shared" si="0"/>
        <v>-13.960000000000036</v>
      </c>
      <c r="P54" s="339"/>
      <c r="Q54" s="336"/>
      <c r="R54" s="499"/>
      <c r="S54" s="336"/>
      <c r="T54" s="500"/>
      <c r="U54" s="336"/>
      <c r="V54" s="329"/>
      <c r="W54" s="501"/>
      <c r="X54" s="329"/>
      <c r="Y54" s="502"/>
      <c r="Z54" s="502"/>
      <c r="AA54" s="502"/>
      <c r="AB54" s="502"/>
      <c r="AC54" s="502"/>
    </row>
    <row r="55" spans="1:29">
      <c r="A55" s="338"/>
      <c r="B55" s="413" t="str">
        <f>SUMMARY!AY3</f>
        <v>8102 TOP UP (4KG)</v>
      </c>
      <c r="C55" s="338" t="s">
        <v>346</v>
      </c>
      <c r="D55" s="336">
        <f>SUMMARY!AY60</f>
        <v>548</v>
      </c>
      <c r="E55" s="336">
        <f>SUMMARY!AY61</f>
        <v>0</v>
      </c>
      <c r="F55" s="336">
        <f>SUMMARY!AY62</f>
        <v>0</v>
      </c>
      <c r="G55" s="336">
        <f>SUMMARY!AY63</f>
        <v>0</v>
      </c>
      <c r="H55" s="336">
        <f>SUMMARY!AY64</f>
        <v>548</v>
      </c>
      <c r="I55" s="336"/>
      <c r="J55" s="336"/>
      <c r="K55" s="336"/>
      <c r="L55" s="336"/>
      <c r="M55" s="339"/>
      <c r="N55" s="336"/>
      <c r="O55" s="413">
        <f t="shared" si="0"/>
        <v>-548</v>
      </c>
      <c r="P55" s="339"/>
      <c r="Q55" s="336"/>
      <c r="R55" s="499"/>
      <c r="S55" s="336"/>
      <c r="T55" s="500"/>
      <c r="U55" s="336"/>
      <c r="V55" s="329"/>
      <c r="W55" s="501"/>
      <c r="X55" s="329"/>
      <c r="Y55" s="502"/>
      <c r="Z55" s="502"/>
      <c r="AA55" s="502"/>
      <c r="AB55" s="502"/>
      <c r="AC55" s="502"/>
    </row>
    <row r="56" spans="1:29">
      <c r="A56" s="338"/>
      <c r="B56" s="413" t="str">
        <f>SUMMARY!AZ3</f>
        <v>8103 TOP UP (5KG)</v>
      </c>
      <c r="C56" s="338" t="s">
        <v>346</v>
      </c>
      <c r="D56" s="336">
        <f>SUMMARY!AZ60</f>
        <v>0</v>
      </c>
      <c r="E56" s="336">
        <f>SUMMARY!AZ61</f>
        <v>0</v>
      </c>
      <c r="F56" s="336">
        <f>SUMMARY!AZ62</f>
        <v>0</v>
      </c>
      <c r="G56" s="336">
        <f>SUMMARY!AZ63</f>
        <v>0</v>
      </c>
      <c r="H56" s="336">
        <f>SUMMARY!AZ64</f>
        <v>0</v>
      </c>
      <c r="I56" s="336"/>
      <c r="J56" s="336"/>
      <c r="K56" s="336"/>
      <c r="L56" s="336"/>
      <c r="M56" s="339"/>
      <c r="N56" s="336"/>
      <c r="O56" s="413">
        <f t="shared" si="0"/>
        <v>0</v>
      </c>
      <c r="P56" s="339"/>
      <c r="Q56" s="336"/>
      <c r="R56" s="499"/>
      <c r="S56" s="336"/>
      <c r="T56" s="500"/>
      <c r="U56" s="336"/>
      <c r="V56" s="329"/>
      <c r="W56" s="501"/>
      <c r="X56" s="329"/>
      <c r="Y56" s="502"/>
      <c r="Z56" s="502"/>
      <c r="AA56" s="502"/>
      <c r="AB56" s="502"/>
      <c r="AC56" s="502"/>
    </row>
    <row r="57" spans="1:29">
      <c r="A57" s="338"/>
      <c r="B57" s="413" t="str">
        <f>SUMMARY!BA3</f>
        <v>L-ARGININE</v>
      </c>
      <c r="C57" s="338" t="s">
        <v>346</v>
      </c>
      <c r="D57" s="336">
        <f>SUMMARY!BA60</f>
        <v>0</v>
      </c>
      <c r="E57" s="336">
        <f>SUMMARY!BA61</f>
        <v>0</v>
      </c>
      <c r="F57" s="336">
        <f>SUMMARY!BA62</f>
        <v>0</v>
      </c>
      <c r="G57" s="336">
        <f>SUMMARY!BA63</f>
        <v>0</v>
      </c>
      <c r="H57" s="336">
        <f>SUMMARY!BA64</f>
        <v>0</v>
      </c>
      <c r="I57" s="336"/>
      <c r="J57" s="336"/>
      <c r="K57" s="336"/>
      <c r="L57" s="336"/>
      <c r="M57" s="339"/>
      <c r="N57" s="336"/>
      <c r="O57" s="413"/>
      <c r="P57" s="339"/>
      <c r="Q57" s="336"/>
      <c r="R57" s="499"/>
      <c r="S57" s="336"/>
      <c r="T57" s="500"/>
      <c r="U57" s="336"/>
      <c r="V57" s="329"/>
      <c r="W57" s="501"/>
      <c r="X57" s="329"/>
      <c r="Y57" s="502"/>
      <c r="Z57" s="502"/>
      <c r="AA57" s="502"/>
      <c r="AB57" s="502"/>
      <c r="AC57" s="502"/>
    </row>
    <row r="58" spans="1:29">
      <c r="A58" s="338"/>
      <c r="B58" s="413" t="str">
        <f>SUMMARY!BB3</f>
        <v>DL-METHIONINE</v>
      </c>
      <c r="C58" s="338" t="s">
        <v>346</v>
      </c>
      <c r="D58" s="336">
        <f>SUMMARY!BB60</f>
        <v>147.04000000000002</v>
      </c>
      <c r="E58" s="336">
        <f>SUMMARY!BB61</f>
        <v>0</v>
      </c>
      <c r="F58" s="336">
        <f>SUMMARY!BB62</f>
        <v>0</v>
      </c>
      <c r="G58" s="336">
        <f>SUMMARY!BB63</f>
        <v>0</v>
      </c>
      <c r="H58" s="336">
        <f>SUMMARY!BB64</f>
        <v>147.04000000000002</v>
      </c>
      <c r="I58" s="336"/>
      <c r="J58" s="336"/>
      <c r="K58" s="336"/>
      <c r="L58" s="336"/>
      <c r="M58" s="339"/>
      <c r="N58" s="336"/>
      <c r="O58" s="413"/>
      <c r="P58" s="339"/>
      <c r="Q58" s="336"/>
      <c r="R58" s="499"/>
      <c r="S58" s="336"/>
      <c r="T58" s="500"/>
      <c r="U58" s="336"/>
      <c r="V58" s="329"/>
      <c r="W58" s="501"/>
      <c r="X58" s="329"/>
      <c r="Y58" s="502"/>
      <c r="Z58" s="502"/>
      <c r="AA58" s="502"/>
      <c r="AB58" s="502"/>
      <c r="AC58" s="502"/>
    </row>
    <row r="59" spans="1:29">
      <c r="A59" s="338"/>
      <c r="B59" s="413" t="str">
        <f>SUMMARY!BC3</f>
        <v>L-THREONINE</v>
      </c>
      <c r="C59" s="338" t="s">
        <v>346</v>
      </c>
      <c r="D59" s="336">
        <f>SUMMARY!BC60</f>
        <v>46.8</v>
      </c>
      <c r="E59" s="336">
        <f>SUMMARY!BC61</f>
        <v>0</v>
      </c>
      <c r="F59" s="336">
        <f>SUMMARY!BC62</f>
        <v>0</v>
      </c>
      <c r="G59" s="336">
        <f>SUMMARY!BC63</f>
        <v>0</v>
      </c>
      <c r="H59" s="336">
        <f>SUMMARY!BC64</f>
        <v>46.8</v>
      </c>
      <c r="I59" s="336"/>
      <c r="J59" s="336"/>
      <c r="K59" s="336"/>
      <c r="L59" s="336"/>
      <c r="M59" s="339"/>
      <c r="N59" s="303"/>
      <c r="O59" s="303"/>
      <c r="P59" s="339"/>
      <c r="Q59" s="336"/>
      <c r="R59" s="499"/>
      <c r="S59" s="336"/>
      <c r="T59" s="500"/>
      <c r="U59" s="336"/>
      <c r="V59" s="329"/>
      <c r="W59" s="329"/>
      <c r="X59" s="329"/>
      <c r="Y59" s="329"/>
      <c r="Z59" s="329"/>
      <c r="AA59" s="329"/>
      <c r="AB59" s="329"/>
      <c r="AC59" s="329"/>
    </row>
    <row r="60" spans="1:29">
      <c r="A60" s="338"/>
      <c r="B60" s="413" t="str">
        <f>SUMMARY!BD3</f>
        <v>L-LYSINE</v>
      </c>
      <c r="C60" s="338" t="s">
        <v>346</v>
      </c>
      <c r="D60" s="356">
        <f>SUMMARY!BD60</f>
        <v>0</v>
      </c>
      <c r="E60" s="356">
        <f>SUMMARY!BD61</f>
        <v>0</v>
      </c>
      <c r="F60" s="356">
        <f>SUMMARY!BD62</f>
        <v>0</v>
      </c>
      <c r="G60" s="356">
        <f>SUMMARY!BD63</f>
        <v>0</v>
      </c>
      <c r="H60" s="356">
        <f>SUMMARY!BD64</f>
        <v>0</v>
      </c>
      <c r="I60" s="336"/>
      <c r="J60" s="336"/>
      <c r="K60" s="356"/>
      <c r="L60" s="336"/>
      <c r="M60" s="339"/>
      <c r="N60" s="303"/>
      <c r="O60" s="303"/>
      <c r="P60" s="339"/>
      <c r="Q60" s="336"/>
      <c r="R60" s="499"/>
      <c r="S60" s="336"/>
      <c r="T60" s="500"/>
      <c r="U60" s="336"/>
      <c r="V60" s="329"/>
      <c r="W60" s="329"/>
      <c r="X60" s="329"/>
      <c r="Y60" s="329"/>
      <c r="Z60" s="329"/>
      <c r="AA60" s="329"/>
      <c r="AB60" s="329"/>
      <c r="AC60" s="329"/>
    </row>
    <row r="61" spans="1:29">
      <c r="A61" s="338"/>
      <c r="B61" s="413" t="str">
        <f>SUMMARY!BE3</f>
        <v>FAECES DRY</v>
      </c>
      <c r="C61" s="338" t="s">
        <v>346</v>
      </c>
      <c r="D61" s="356">
        <f>SUMMARY!BE60</f>
        <v>24.200000000000003</v>
      </c>
      <c r="E61" s="356">
        <f>SUMMARY!BE61</f>
        <v>0</v>
      </c>
      <c r="F61" s="356">
        <f>SUMMARY!BE62</f>
        <v>0</v>
      </c>
      <c r="G61" s="356">
        <f>SUMMARY!BE63</f>
        <v>0</v>
      </c>
      <c r="H61" s="356">
        <f>SUMMARY!BE64</f>
        <v>24.200000000000003</v>
      </c>
      <c r="I61" s="336"/>
      <c r="J61" s="336"/>
      <c r="K61" s="356"/>
      <c r="L61" s="336"/>
      <c r="M61" s="339"/>
      <c r="N61" s="303"/>
      <c r="O61" s="303"/>
      <c r="P61" s="339"/>
      <c r="Q61" s="336"/>
      <c r="R61" s="499"/>
      <c r="S61" s="336"/>
      <c r="T61" s="500"/>
      <c r="U61" s="336"/>
      <c r="V61" s="329"/>
      <c r="W61" s="329"/>
      <c r="X61" s="329"/>
      <c r="Y61" s="329"/>
      <c r="Z61" s="329"/>
      <c r="AA61" s="329"/>
      <c r="AB61" s="329"/>
      <c r="AC61" s="329"/>
    </row>
    <row r="62" spans="1:29">
      <c r="A62" s="338"/>
      <c r="B62" s="413"/>
      <c r="C62" s="338"/>
      <c r="D62" s="356"/>
      <c r="E62" s="356"/>
      <c r="F62" s="356"/>
      <c r="G62" s="356"/>
      <c r="H62" s="356"/>
      <c r="I62" s="336"/>
      <c r="J62" s="336"/>
      <c r="K62" s="356"/>
      <c r="L62" s="336"/>
      <c r="M62" s="339"/>
      <c r="N62" s="303"/>
      <c r="O62" s="303"/>
      <c r="P62" s="339"/>
      <c r="Q62" s="336"/>
      <c r="R62" s="499"/>
      <c r="S62" s="336"/>
      <c r="T62" s="500"/>
      <c r="U62" s="336"/>
      <c r="V62" s="329"/>
      <c r="W62" s="329"/>
      <c r="X62" s="329"/>
      <c r="Y62" s="329"/>
      <c r="Z62" s="329"/>
      <c r="AA62" s="329"/>
      <c r="AB62" s="329"/>
      <c r="AC62" s="329"/>
    </row>
    <row r="63" spans="1:29">
      <c r="A63" s="338"/>
      <c r="B63" s="310" t="s">
        <v>348</v>
      </c>
      <c r="C63" s="338"/>
      <c r="D63" s="356"/>
      <c r="E63" s="356"/>
      <c r="F63" s="356"/>
      <c r="G63" s="356"/>
      <c r="H63" s="356"/>
      <c r="I63" s="336"/>
      <c r="J63" s="336"/>
      <c r="K63" s="356"/>
      <c r="L63" s="336"/>
      <c r="M63" s="339"/>
      <c r="N63" s="303"/>
      <c r="O63" s="303"/>
      <c r="P63" s="339"/>
      <c r="Q63" s="336"/>
      <c r="R63" s="499"/>
      <c r="S63" s="336"/>
      <c r="T63" s="500"/>
      <c r="U63" s="336"/>
      <c r="V63" s="329"/>
      <c r="W63" s="329"/>
      <c r="X63" s="329"/>
      <c r="Y63" s="329"/>
      <c r="Z63" s="329"/>
      <c r="AA63" s="329"/>
      <c r="AB63" s="329"/>
      <c r="AC63" s="329"/>
    </row>
    <row r="64" spans="1:29">
      <c r="A64" s="338"/>
      <c r="B64" s="413"/>
      <c r="C64" s="338" t="s">
        <v>349</v>
      </c>
      <c r="D64" s="356"/>
      <c r="E64" s="356"/>
      <c r="F64" s="356"/>
      <c r="G64" s="356"/>
      <c r="H64" s="356"/>
      <c r="I64" s="336"/>
      <c r="J64" s="336"/>
      <c r="K64" s="356"/>
      <c r="L64" s="336"/>
      <c r="M64" s="339"/>
      <c r="N64" s="303"/>
      <c r="O64" s="303"/>
      <c r="P64" s="339"/>
      <c r="Q64" s="336"/>
      <c r="R64" s="499"/>
      <c r="S64" s="336"/>
      <c r="T64" s="500"/>
      <c r="U64" s="336"/>
      <c r="V64" s="329"/>
      <c r="W64" s="329"/>
      <c r="X64" s="329"/>
      <c r="Y64" s="329"/>
      <c r="Z64" s="329"/>
      <c r="AA64" s="329"/>
      <c r="AB64" s="329"/>
      <c r="AC64" s="329"/>
    </row>
    <row r="65" spans="1:29">
      <c r="A65" s="338"/>
      <c r="B65" s="413"/>
      <c r="C65" s="338" t="s">
        <v>349</v>
      </c>
      <c r="D65" s="356"/>
      <c r="E65" s="356"/>
      <c r="F65" s="356"/>
      <c r="G65" s="356"/>
      <c r="H65" s="356"/>
      <c r="I65" s="336"/>
      <c r="J65" s="336"/>
      <c r="K65" s="356"/>
      <c r="L65" s="336"/>
      <c r="M65" s="339"/>
      <c r="N65" s="303"/>
      <c r="O65" s="303"/>
      <c r="P65" s="339"/>
      <c r="Q65" s="336"/>
      <c r="R65" s="499"/>
      <c r="S65" s="336"/>
      <c r="T65" s="500"/>
      <c r="U65" s="336"/>
      <c r="V65" s="329"/>
      <c r="W65" s="329"/>
      <c r="X65" s="329"/>
      <c r="Y65" s="329"/>
      <c r="Z65" s="329"/>
      <c r="AA65" s="329"/>
      <c r="AB65" s="329"/>
      <c r="AC65" s="329"/>
    </row>
    <row r="66" spans="1:29">
      <c r="A66" s="338"/>
      <c r="B66" s="413"/>
      <c r="C66" s="338"/>
      <c r="D66" s="356"/>
      <c r="E66" s="356"/>
      <c r="F66" s="356"/>
      <c r="G66" s="356"/>
      <c r="H66" s="356"/>
      <c r="I66" s="336"/>
      <c r="J66" s="336"/>
      <c r="K66" s="356"/>
      <c r="L66" s="336"/>
      <c r="M66" s="339"/>
      <c r="N66" s="303"/>
      <c r="O66" s="303"/>
      <c r="P66" s="339"/>
      <c r="Q66" s="336"/>
      <c r="R66" s="499"/>
      <c r="S66" s="336"/>
      <c r="T66" s="500"/>
      <c r="U66" s="336"/>
      <c r="V66" s="329"/>
      <c r="W66" s="329"/>
      <c r="X66" s="329"/>
      <c r="Y66" s="329"/>
      <c r="Z66" s="329"/>
      <c r="AA66" s="329"/>
      <c r="AB66" s="329"/>
      <c r="AC66" s="329"/>
    </row>
    <row r="67" spans="1:29">
      <c r="A67" s="338"/>
      <c r="B67" s="413"/>
      <c r="C67" s="338"/>
      <c r="D67" s="356"/>
      <c r="E67" s="356"/>
      <c r="F67" s="356"/>
      <c r="G67" s="356"/>
      <c r="H67" s="356"/>
      <c r="I67" s="336"/>
      <c r="J67" s="336"/>
      <c r="K67" s="356"/>
      <c r="L67" s="336"/>
      <c r="M67" s="339"/>
      <c r="N67" s="303"/>
      <c r="O67" s="303"/>
      <c r="P67" s="339"/>
      <c r="Q67" s="336"/>
      <c r="R67" s="499"/>
      <c r="S67" s="336"/>
      <c r="T67" s="500"/>
      <c r="U67" s="336"/>
      <c r="V67" s="329"/>
      <c r="W67" s="329"/>
      <c r="X67" s="329"/>
      <c r="Y67" s="329"/>
      <c r="Z67" s="329"/>
      <c r="AA67" s="329"/>
      <c r="AB67" s="329"/>
      <c r="AC67" s="329"/>
    </row>
    <row r="68" spans="1:29">
      <c r="A68" s="338"/>
      <c r="B68" s="413"/>
      <c r="C68" s="338"/>
      <c r="D68" s="356"/>
      <c r="E68" s="356"/>
      <c r="F68" s="356"/>
      <c r="G68" s="356"/>
      <c r="H68" s="356"/>
      <c r="I68" s="336"/>
      <c r="J68" s="336"/>
      <c r="K68" s="356"/>
      <c r="L68" s="336"/>
      <c r="M68" s="339"/>
      <c r="N68" s="303"/>
      <c r="O68" s="303"/>
      <c r="P68" s="339"/>
      <c r="Q68" s="336"/>
      <c r="R68" s="499"/>
      <c r="S68" s="336"/>
      <c r="T68" s="500"/>
      <c r="U68" s="336"/>
      <c r="V68" s="329"/>
      <c r="W68" s="329"/>
      <c r="X68" s="329"/>
      <c r="Y68" s="329"/>
      <c r="Z68" s="329"/>
      <c r="AA68" s="329"/>
      <c r="AB68" s="329"/>
      <c r="AC68" s="329"/>
    </row>
    <row r="69" spans="1:29" ht="13.9" thickBot="1">
      <c r="A69" s="338"/>
      <c r="B69" s="302" t="s">
        <v>72</v>
      </c>
      <c r="C69" s="475"/>
      <c r="D69" s="506">
        <f>SUM(D4:D59)</f>
        <v>448183.06000000006</v>
      </c>
      <c r="E69" s="506">
        <f t="shared" ref="E69:H69" si="1">SUM(E4:E59)</f>
        <v>0</v>
      </c>
      <c r="F69" s="506">
        <f t="shared" si="1"/>
        <v>0</v>
      </c>
      <c r="G69" s="506">
        <f t="shared" si="1"/>
        <v>0</v>
      </c>
      <c r="H69" s="506">
        <f t="shared" si="1"/>
        <v>448183.06000000006</v>
      </c>
      <c r="I69" s="336"/>
      <c r="J69" s="336"/>
      <c r="K69" s="507">
        <f>SUM(K4:K59)</f>
        <v>0</v>
      </c>
      <c r="L69" s="508"/>
      <c r="M69" s="339"/>
      <c r="N69" s="303"/>
      <c r="O69" s="303"/>
      <c r="P69" s="339"/>
      <c r="Q69" s="336"/>
      <c r="R69" s="499"/>
      <c r="S69" s="336"/>
      <c r="T69" s="500"/>
      <c r="U69" s="336"/>
      <c r="V69" s="329"/>
      <c r="W69" s="329"/>
      <c r="X69" s="329"/>
      <c r="Y69" s="329"/>
      <c r="Z69" s="329"/>
      <c r="AA69" s="329"/>
      <c r="AB69" s="329"/>
      <c r="AC69" s="329"/>
    </row>
    <row r="70" spans="1:29">
      <c r="A70" s="496"/>
      <c r="B70" s="501"/>
      <c r="C70" s="473"/>
      <c r="D70" s="339"/>
      <c r="E70" s="339"/>
      <c r="F70" s="339"/>
      <c r="G70" s="339"/>
      <c r="H70" s="339"/>
      <c r="I70" s="339"/>
      <c r="J70" s="339"/>
      <c r="K70" s="339"/>
      <c r="L70" s="339"/>
      <c r="M70" s="339"/>
      <c r="N70" s="299"/>
      <c r="O70" s="299"/>
      <c r="P70" s="339"/>
      <c r="Q70" s="339"/>
      <c r="R70" s="509"/>
      <c r="S70" s="339"/>
      <c r="T70" s="510"/>
      <c r="U70" s="339"/>
      <c r="V70" s="329"/>
      <c r="W70" s="329"/>
      <c r="X70" s="329"/>
      <c r="Y70" s="329"/>
      <c r="Z70" s="329"/>
      <c r="AA70" s="329"/>
      <c r="AB70" s="329"/>
      <c r="AC70" s="329"/>
    </row>
    <row r="71" spans="1:29">
      <c r="A71" s="496"/>
      <c r="B71" s="501"/>
      <c r="C71" s="473"/>
      <c r="D71" s="339">
        <f>D69-SUM(SUMMARY!B60:AZ60)</f>
        <v>-933.1600000000326</v>
      </c>
      <c r="E71" s="339">
        <f>E472-SUM(SUMMARY!B61:AZ61)</f>
        <v>0</v>
      </c>
      <c r="F71" s="339">
        <f>F69-SUM(SUMMARY!B62:AZ62)</f>
        <v>0</v>
      </c>
      <c r="G71" s="339">
        <f>G69-SUM(SUMMARY!B63:AZ63)</f>
        <v>0</v>
      </c>
      <c r="H71" s="339">
        <f>H69-SUM(SUMMARY!B64:AZ64)</f>
        <v>-933.1600000000326</v>
      </c>
      <c r="I71" s="339"/>
      <c r="J71" s="339"/>
      <c r="K71" s="339"/>
      <c r="L71" s="339"/>
      <c r="M71" s="339"/>
      <c r="N71" s="299"/>
      <c r="O71" s="299"/>
      <c r="P71" s="339"/>
      <c r="Q71" s="339"/>
      <c r="R71" s="509"/>
      <c r="S71" s="339"/>
      <c r="T71" s="510"/>
      <c r="U71" s="339"/>
      <c r="V71" s="329"/>
      <c r="W71" s="329"/>
      <c r="X71" s="329"/>
      <c r="Y71" s="329"/>
      <c r="Z71" s="329"/>
      <c r="AA71" s="329"/>
      <c r="AB71" s="329"/>
      <c r="AC71" s="329"/>
    </row>
    <row r="72" spans="1:29">
      <c r="A72" s="496"/>
      <c r="B72" s="329"/>
      <c r="C72" s="496"/>
      <c r="D72" s="339"/>
      <c r="E72" s="339"/>
      <c r="F72" s="339"/>
      <c r="G72" s="339"/>
      <c r="H72" s="339"/>
      <c r="I72" s="339"/>
      <c r="J72" s="339"/>
      <c r="K72" s="339"/>
      <c r="L72" s="339"/>
      <c r="M72" s="339"/>
      <c r="N72" s="299"/>
      <c r="O72" s="299"/>
      <c r="P72" s="339"/>
      <c r="Q72" s="339"/>
      <c r="R72" s="509"/>
      <c r="S72" s="339"/>
      <c r="T72" s="510"/>
      <c r="U72" s="339"/>
      <c r="V72" s="329"/>
      <c r="W72" s="329"/>
      <c r="X72" s="329"/>
      <c r="Y72" s="329"/>
      <c r="Z72" s="329"/>
      <c r="AA72" s="329"/>
      <c r="AB72" s="329"/>
      <c r="AC72" s="329"/>
    </row>
  </sheetData>
  <autoFilter ref="A2:X72" xr:uid="{00000000-0009-0000-0000-00000C000000}"/>
  <mergeCells count="2">
    <mergeCell ref="J1:K1"/>
    <mergeCell ref="Q1:U1"/>
  </mergeCells>
  <printOptions horizontalCentered="1" verticalCentered="1"/>
  <pageMargins left="7.874015748031496E-2" right="0.39370078740157483" top="0.39370078740157483" bottom="7.874015748031496E-2" header="0" footer="0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71"/>
  <sheetViews>
    <sheetView topLeftCell="A31" workbookViewId="0">
      <selection activeCell="B49" sqref="B49"/>
    </sheetView>
  </sheetViews>
  <sheetFormatPr defaultColWidth="9.28515625" defaultRowHeight="13.15"/>
  <cols>
    <col min="1" max="1" width="5.7109375" style="305" bestFit="1" customWidth="1"/>
    <col min="2" max="2" width="37.85546875" style="306" customWidth="1"/>
    <col min="3" max="3" width="5" style="331" customWidth="1"/>
    <col min="4" max="4" width="12.28515625" style="307" bestFit="1" customWidth="1"/>
    <col min="5" max="5" width="13.42578125" style="307" bestFit="1" customWidth="1"/>
    <col min="6" max="6" width="11.42578125" style="307" bestFit="1" customWidth="1"/>
    <col min="7" max="7" width="14.7109375" style="307" bestFit="1" customWidth="1"/>
    <col min="8" max="8" width="12" style="307" bestFit="1" customWidth="1"/>
    <col min="9" max="9" width="13.28515625" style="307" bestFit="1" customWidth="1"/>
    <col min="10" max="11" width="13.7109375" style="307" bestFit="1" customWidth="1"/>
    <col min="12" max="12" width="41.7109375" style="307" bestFit="1" customWidth="1"/>
    <col min="13" max="13" width="1.42578125" style="307" bestFit="1" customWidth="1"/>
    <col min="14" max="14" width="14" style="307" bestFit="1" customWidth="1"/>
    <col min="15" max="15" width="13" style="307" bestFit="1" customWidth="1"/>
    <col min="16" max="16" width="3.42578125" style="307" customWidth="1"/>
    <col min="17" max="17" width="15.7109375" style="307" bestFit="1" customWidth="1"/>
    <col min="18" max="18" width="11.28515625" style="317" bestFit="1" customWidth="1"/>
    <col min="19" max="19" width="45.28515625" style="307" bestFit="1" customWidth="1"/>
    <col min="20" max="20" width="14.7109375" style="309" bestFit="1" customWidth="1"/>
    <col min="21" max="21" width="13.7109375" style="307" bestFit="1" customWidth="1"/>
    <col min="22" max="22" width="9.28515625" style="306"/>
    <col min="23" max="23" width="34.28515625" style="306" bestFit="1" customWidth="1"/>
    <col min="24" max="25" width="9.28515625" style="306"/>
    <col min="26" max="27" width="9.42578125" style="306" bestFit="1" customWidth="1"/>
    <col min="28" max="28" width="9.28515625" style="306"/>
    <col min="29" max="29" width="10.28515625" style="306" bestFit="1" customWidth="1"/>
    <col min="30" max="16384" width="9.28515625" style="306"/>
  </cols>
  <sheetData>
    <row r="1" spans="1:29">
      <c r="A1" s="496"/>
      <c r="B1" s="291" t="str">
        <f>SUMMARY!B99</f>
        <v>HARUMI Stock - OCT 2026</v>
      </c>
      <c r="C1" s="337"/>
      <c r="D1" s="344"/>
      <c r="E1" s="344"/>
      <c r="F1" s="344"/>
      <c r="G1" s="344"/>
      <c r="H1" s="344"/>
      <c r="I1" s="497"/>
      <c r="J1" s="852"/>
      <c r="K1" s="852"/>
      <c r="L1" s="498"/>
      <c r="M1" s="498"/>
      <c r="N1" s="498"/>
      <c r="O1" s="339"/>
      <c r="P1" s="339"/>
      <c r="Q1" s="853" t="s">
        <v>330</v>
      </c>
      <c r="R1" s="853"/>
      <c r="S1" s="853"/>
      <c r="T1" s="853"/>
      <c r="U1" s="853"/>
      <c r="V1" s="329"/>
      <c r="W1" s="329"/>
      <c r="X1" s="329"/>
      <c r="Y1" s="329"/>
      <c r="Z1" s="329"/>
      <c r="AA1" s="329"/>
      <c r="AB1" s="329"/>
      <c r="AC1" s="329"/>
    </row>
    <row r="2" spans="1:29" s="305" customFormat="1" ht="26.45">
      <c r="A2" s="311" t="s">
        <v>331</v>
      </c>
      <c r="B2" s="312" t="s">
        <v>332</v>
      </c>
      <c r="C2" s="313" t="s">
        <v>333</v>
      </c>
      <c r="D2" s="313" t="s">
        <v>334</v>
      </c>
      <c r="E2" s="313" t="s">
        <v>335</v>
      </c>
      <c r="F2" s="313" t="s">
        <v>166</v>
      </c>
      <c r="G2" s="313" t="s">
        <v>168</v>
      </c>
      <c r="H2" s="313" t="s">
        <v>336</v>
      </c>
      <c r="I2" s="293" t="s">
        <v>337</v>
      </c>
      <c r="J2" s="294" t="s">
        <v>338</v>
      </c>
      <c r="K2" s="313" t="s">
        <v>339</v>
      </c>
      <c r="L2" s="313" t="s">
        <v>170</v>
      </c>
      <c r="M2" s="314"/>
      <c r="N2" s="294" t="s">
        <v>340</v>
      </c>
      <c r="O2" s="313" t="s">
        <v>330</v>
      </c>
      <c r="P2" s="315"/>
      <c r="Q2" s="297" t="s">
        <v>341</v>
      </c>
      <c r="R2" s="304" t="s">
        <v>164</v>
      </c>
      <c r="S2" s="298" t="s">
        <v>342</v>
      </c>
      <c r="T2" s="316" t="s">
        <v>343</v>
      </c>
      <c r="U2" s="298" t="s">
        <v>344</v>
      </c>
      <c r="V2" s="496"/>
      <c r="W2" s="496"/>
      <c r="X2" s="496"/>
      <c r="Y2" s="496"/>
      <c r="Z2" s="496"/>
      <c r="AA2" s="496"/>
      <c r="AB2" s="496"/>
      <c r="AC2" s="496"/>
    </row>
    <row r="3" spans="1:29">
      <c r="A3" s="311"/>
      <c r="B3" s="290" t="s">
        <v>345</v>
      </c>
      <c r="C3" s="313"/>
      <c r="D3" s="292"/>
      <c r="E3" s="292"/>
      <c r="F3" s="292"/>
      <c r="G3" s="292"/>
      <c r="H3" s="292"/>
      <c r="I3" s="293"/>
      <c r="J3" s="294"/>
      <c r="K3" s="292"/>
      <c r="L3" s="292"/>
      <c r="M3" s="295"/>
      <c r="N3" s="294"/>
      <c r="O3" s="292"/>
      <c r="P3" s="296"/>
      <c r="Q3" s="297"/>
      <c r="R3" s="304"/>
      <c r="S3" s="298"/>
      <c r="T3" s="308"/>
      <c r="U3" s="298"/>
      <c r="V3" s="329"/>
      <c r="W3" s="329"/>
      <c r="X3" s="329"/>
      <c r="Y3" s="329"/>
      <c r="Z3" s="329"/>
      <c r="AA3" s="329"/>
      <c r="AB3" s="329"/>
      <c r="AC3" s="329"/>
    </row>
    <row r="4" spans="1:29">
      <c r="A4" s="338"/>
      <c r="B4" s="413" t="str">
        <f>SUMMARY!B3</f>
        <v>MAIZE/CORN</v>
      </c>
      <c r="C4" s="338" t="s">
        <v>346</v>
      </c>
      <c r="D4" s="336">
        <f>SUMMARY!B67</f>
        <v>236936.6</v>
      </c>
      <c r="E4" s="336">
        <f>SUMMARY!B68</f>
        <v>0</v>
      </c>
      <c r="F4" s="336">
        <f>SUMMARY!B69</f>
        <v>0</v>
      </c>
      <c r="G4" s="336">
        <f>SUMMARY!B70</f>
        <v>0</v>
      </c>
      <c r="H4" s="336">
        <f>SUMMARY!B71</f>
        <v>236936.6</v>
      </c>
      <c r="I4" s="336"/>
      <c r="J4" s="336"/>
      <c r="K4" s="336"/>
      <c r="L4" s="336"/>
      <c r="M4" s="339"/>
      <c r="N4" s="336"/>
      <c r="O4" s="413">
        <f>N4-H4</f>
        <v>-236936.6</v>
      </c>
      <c r="P4" s="339"/>
      <c r="Q4" s="336"/>
      <c r="R4" s="499"/>
      <c r="S4" s="336"/>
      <c r="T4" s="500"/>
      <c r="U4" s="336"/>
      <c r="V4" s="329"/>
      <c r="W4" s="501"/>
      <c r="X4" s="329"/>
      <c r="Y4" s="502"/>
      <c r="Z4" s="502"/>
      <c r="AA4" s="502"/>
      <c r="AB4" s="502"/>
      <c r="AC4" s="502"/>
    </row>
    <row r="5" spans="1:29">
      <c r="A5" s="338"/>
      <c r="B5" s="413" t="str">
        <f>SUMMARY!C3</f>
        <v>SOYBEAN MEAL (ARG)</v>
      </c>
      <c r="C5" s="338" t="s">
        <v>346</v>
      </c>
      <c r="D5" s="336">
        <f>SUMMARY!C67</f>
        <v>53017.600000000071</v>
      </c>
      <c r="E5" s="336">
        <f>SUMMARY!C68</f>
        <v>0</v>
      </c>
      <c r="F5" s="336">
        <f>SUMMARY!C69</f>
        <v>0</v>
      </c>
      <c r="G5" s="336">
        <f>SUMMARY!C70</f>
        <v>0</v>
      </c>
      <c r="H5" s="336">
        <f>SUMMARY!C71</f>
        <v>53017.600000000071</v>
      </c>
      <c r="I5" s="336"/>
      <c r="J5" s="336"/>
      <c r="K5" s="336"/>
      <c r="L5" s="336"/>
      <c r="M5" s="339"/>
      <c r="N5" s="336"/>
      <c r="O5" s="413">
        <f t="shared" ref="O5:O56" si="0">N5-H5</f>
        <v>-53017.600000000071</v>
      </c>
      <c r="P5" s="339"/>
      <c r="Q5" s="336"/>
      <c r="R5" s="499"/>
      <c r="S5" s="336"/>
      <c r="T5" s="500"/>
      <c r="U5" s="336"/>
      <c r="V5" s="329"/>
      <c r="W5" s="501"/>
      <c r="X5" s="329"/>
      <c r="Y5" s="502"/>
      <c r="Z5" s="502"/>
      <c r="AA5" s="502"/>
      <c r="AB5" s="502"/>
      <c r="AC5" s="502"/>
    </row>
    <row r="6" spans="1:29">
      <c r="A6" s="338"/>
      <c r="B6" s="413" t="str">
        <f>SUMMARY!D3</f>
        <v>SOYBEAN FULL FAT</v>
      </c>
      <c r="C6" s="338" t="s">
        <v>346</v>
      </c>
      <c r="D6" s="336">
        <f>SUMMARY!D67</f>
        <v>42674.199999999968</v>
      </c>
      <c r="E6" s="336">
        <f>SUMMARY!D68</f>
        <v>0</v>
      </c>
      <c r="F6" s="336">
        <f>SUMMARY!D69</f>
        <v>0</v>
      </c>
      <c r="G6" s="336">
        <f>SUMMARY!D70</f>
        <v>0</v>
      </c>
      <c r="H6" s="336">
        <f>SUMMARY!D71</f>
        <v>42674.199999999968</v>
      </c>
      <c r="I6" s="336"/>
      <c r="J6" s="336"/>
      <c r="K6" s="336"/>
      <c r="L6" s="336"/>
      <c r="M6" s="339"/>
      <c r="N6" s="336"/>
      <c r="O6" s="413">
        <f t="shared" si="0"/>
        <v>-42674.199999999968</v>
      </c>
      <c r="P6" s="339"/>
      <c r="Q6" s="336"/>
      <c r="R6" s="499"/>
      <c r="S6" s="336"/>
      <c r="T6" s="500"/>
      <c r="U6" s="336"/>
      <c r="V6" s="329"/>
      <c r="W6" s="501"/>
      <c r="X6" s="329"/>
      <c r="Y6" s="502"/>
      <c r="Z6" s="502"/>
      <c r="AA6" s="502"/>
      <c r="AB6" s="502"/>
      <c r="AC6" s="502"/>
    </row>
    <row r="7" spans="1:29">
      <c r="A7" s="338"/>
      <c r="B7" s="413" t="str">
        <f>SUMMARY!E3</f>
        <v>WHEAT POLLARD</v>
      </c>
      <c r="C7" s="338" t="s">
        <v>346</v>
      </c>
      <c r="D7" s="336">
        <f>SUMMARY!E67</f>
        <v>4522.2000000000189</v>
      </c>
      <c r="E7" s="336">
        <f>SUMMARY!E68</f>
        <v>0</v>
      </c>
      <c r="F7" s="336">
        <f>SUMMARY!E69</f>
        <v>0</v>
      </c>
      <c r="G7" s="336">
        <f>SUMMARY!E70</f>
        <v>0</v>
      </c>
      <c r="H7" s="336">
        <f>SUMMARY!E71</f>
        <v>4522.2000000000189</v>
      </c>
      <c r="I7" s="336"/>
      <c r="J7" s="336"/>
      <c r="K7" s="336"/>
      <c r="L7" s="336"/>
      <c r="M7" s="339"/>
      <c r="N7" s="336"/>
      <c r="O7" s="413">
        <f t="shared" si="0"/>
        <v>-4522.2000000000189</v>
      </c>
      <c r="P7" s="339"/>
      <c r="Q7" s="503"/>
      <c r="R7" s="504"/>
      <c r="S7" s="505"/>
      <c r="T7" s="505"/>
      <c r="U7" s="336"/>
      <c r="V7" s="329"/>
      <c r="W7" s="501"/>
      <c r="X7" s="329"/>
      <c r="Y7" s="502"/>
      <c r="Z7" s="502"/>
      <c r="AA7" s="502"/>
      <c r="AB7" s="502"/>
      <c r="AC7" s="502"/>
    </row>
    <row r="8" spans="1:29">
      <c r="A8" s="338"/>
      <c r="B8" s="413" t="str">
        <f>SUMMARY!F3</f>
        <v>WHEAT</v>
      </c>
      <c r="C8" s="338" t="s">
        <v>346</v>
      </c>
      <c r="D8" s="336">
        <f>SUMMARY!F67</f>
        <v>0</v>
      </c>
      <c r="E8" s="336">
        <f>SUMMARY!F68</f>
        <v>0</v>
      </c>
      <c r="F8" s="336">
        <f>SUMMARY!F69</f>
        <v>0</v>
      </c>
      <c r="G8" s="336">
        <f>SUMMARY!F70</f>
        <v>0</v>
      </c>
      <c r="H8" s="336">
        <f>SUMMARY!F71</f>
        <v>0</v>
      </c>
      <c r="I8" s="336"/>
      <c r="J8" s="336"/>
      <c r="K8" s="336"/>
      <c r="L8" s="336"/>
      <c r="M8" s="339"/>
      <c r="N8" s="336"/>
      <c r="O8" s="413">
        <f t="shared" si="0"/>
        <v>0</v>
      </c>
      <c r="P8" s="339"/>
      <c r="Q8" s="336"/>
      <c r="R8" s="499"/>
      <c r="S8" s="336"/>
      <c r="T8" s="500"/>
      <c r="U8" s="336"/>
      <c r="V8" s="329"/>
      <c r="W8" s="501"/>
      <c r="X8" s="329"/>
      <c r="Y8" s="502"/>
      <c r="Z8" s="502"/>
      <c r="AA8" s="502"/>
      <c r="AB8" s="502"/>
      <c r="AC8" s="502"/>
    </row>
    <row r="9" spans="1:29">
      <c r="A9" s="338"/>
      <c r="B9" s="413" t="str">
        <f>SUMMARY!G3</f>
        <v>MEAT AND BONE MEAL</v>
      </c>
      <c r="C9" s="338" t="s">
        <v>346</v>
      </c>
      <c r="D9" s="336">
        <f>SUMMARY!G67</f>
        <v>124.99999999999523</v>
      </c>
      <c r="E9" s="336">
        <f>SUMMARY!G68</f>
        <v>0</v>
      </c>
      <c r="F9" s="336">
        <f>SUMMARY!G69</f>
        <v>0</v>
      </c>
      <c r="G9" s="336">
        <f>SUMMARY!G70</f>
        <v>0</v>
      </c>
      <c r="H9" s="336">
        <f>SUMMARY!G71</f>
        <v>124.99999999999523</v>
      </c>
      <c r="I9" s="336"/>
      <c r="J9" s="336"/>
      <c r="K9" s="336"/>
      <c r="L9" s="336"/>
      <c r="M9" s="339"/>
      <c r="N9" s="336"/>
      <c r="O9" s="413">
        <f t="shared" si="0"/>
        <v>-124.99999999999523</v>
      </c>
      <c r="P9" s="339"/>
      <c r="Q9" s="336"/>
      <c r="R9" s="499"/>
      <c r="S9" s="336"/>
      <c r="T9" s="500"/>
      <c r="U9" s="336"/>
      <c r="V9" s="329"/>
      <c r="W9" s="501"/>
      <c r="X9" s="329"/>
      <c r="Y9" s="502"/>
      <c r="Z9" s="502"/>
      <c r="AA9" s="502"/>
      <c r="AB9" s="502"/>
      <c r="AC9" s="502"/>
    </row>
    <row r="10" spans="1:29">
      <c r="A10" s="338"/>
      <c r="B10" s="413" t="str">
        <f>SUMMARY!H3</f>
        <v>CORN GLUTEN MEAL</v>
      </c>
      <c r="C10" s="338" t="s">
        <v>346</v>
      </c>
      <c r="D10" s="336">
        <f>SUMMARY!H67</f>
        <v>26151.899999999998</v>
      </c>
      <c r="E10" s="336">
        <f>SUMMARY!H68</f>
        <v>0</v>
      </c>
      <c r="F10" s="336">
        <f>SUMMARY!H69</f>
        <v>0</v>
      </c>
      <c r="G10" s="336">
        <f>SUMMARY!H70</f>
        <v>0</v>
      </c>
      <c r="H10" s="336">
        <f>SUMMARY!H71</f>
        <v>26151.899999999998</v>
      </c>
      <c r="I10" s="336"/>
      <c r="J10" s="336"/>
      <c r="K10" s="336"/>
      <c r="L10" s="336"/>
      <c r="M10" s="339"/>
      <c r="N10" s="336"/>
      <c r="O10" s="413">
        <f t="shared" si="0"/>
        <v>-26151.899999999998</v>
      </c>
      <c r="P10" s="339"/>
      <c r="Q10" s="336"/>
      <c r="R10" s="499"/>
      <c r="S10" s="336"/>
      <c r="T10" s="500"/>
      <c r="U10" s="336"/>
      <c r="V10" s="329"/>
      <c r="W10" s="501"/>
      <c r="X10" s="329"/>
      <c r="Y10" s="502"/>
      <c r="Z10" s="502"/>
      <c r="AA10" s="502"/>
      <c r="AB10" s="502"/>
      <c r="AC10" s="502"/>
    </row>
    <row r="11" spans="1:29">
      <c r="A11" s="338"/>
      <c r="B11" s="413" t="str">
        <f>SUMMARY!I3</f>
        <v>MEGAFAT (HARUMI)</v>
      </c>
      <c r="C11" s="338" t="s">
        <v>346</v>
      </c>
      <c r="D11" s="336">
        <f>SUMMARY!I67</f>
        <v>0</v>
      </c>
      <c r="E11" s="336">
        <f>SUMMARY!I68</f>
        <v>0</v>
      </c>
      <c r="F11" s="336">
        <f>SUMMARY!I69</f>
        <v>0</v>
      </c>
      <c r="G11" s="336">
        <f>SUMMARY!I70</f>
        <v>0</v>
      </c>
      <c r="H11" s="336">
        <f>SUMMARY!I71</f>
        <v>0</v>
      </c>
      <c r="I11" s="336"/>
      <c r="J11" s="300"/>
      <c r="K11" s="300"/>
      <c r="L11" s="336"/>
      <c r="M11" s="339"/>
      <c r="N11" s="336"/>
      <c r="O11" s="413">
        <f t="shared" si="0"/>
        <v>0</v>
      </c>
      <c r="P11" s="339"/>
      <c r="Q11" s="336"/>
      <c r="R11" s="499"/>
      <c r="S11" s="336"/>
      <c r="T11" s="500"/>
      <c r="U11" s="336"/>
      <c r="V11" s="329"/>
      <c r="W11" s="501"/>
      <c r="X11" s="329"/>
      <c r="Y11" s="502"/>
      <c r="Z11" s="502"/>
      <c r="AA11" s="502"/>
      <c r="AB11" s="502"/>
      <c r="AC11" s="502"/>
    </row>
    <row r="12" spans="1:29">
      <c r="A12" s="338"/>
      <c r="B12" s="413" t="str">
        <f>SUMMARY!J3</f>
        <v>DCP 18%</v>
      </c>
      <c r="C12" s="338" t="s">
        <v>346</v>
      </c>
      <c r="D12" s="336">
        <f>SUMMARY!J67</f>
        <v>2097.3399999999992</v>
      </c>
      <c r="E12" s="336">
        <f>SUMMARY!J68</f>
        <v>0</v>
      </c>
      <c r="F12" s="336">
        <f>SUMMARY!J69</f>
        <v>0</v>
      </c>
      <c r="G12" s="336">
        <f>SUMMARY!J70</f>
        <v>0</v>
      </c>
      <c r="H12" s="336">
        <f>SUMMARY!J71</f>
        <v>2097.3399999999992</v>
      </c>
      <c r="I12" s="336"/>
      <c r="J12" s="301"/>
      <c r="K12" s="336"/>
      <c r="L12" s="336"/>
      <c r="M12" s="339"/>
      <c r="N12" s="336"/>
      <c r="O12" s="413">
        <f t="shared" si="0"/>
        <v>-2097.3399999999992</v>
      </c>
      <c r="P12" s="339"/>
      <c r="Q12" s="336"/>
      <c r="R12" s="499"/>
      <c r="S12" s="336"/>
      <c r="T12" s="500"/>
      <c r="U12" s="336"/>
      <c r="V12" s="329"/>
      <c r="W12" s="501"/>
      <c r="X12" s="329"/>
      <c r="Y12" s="502"/>
      <c r="Z12" s="502"/>
      <c r="AA12" s="502"/>
      <c r="AB12" s="502"/>
      <c r="AC12" s="502"/>
    </row>
    <row r="13" spans="1:29">
      <c r="A13" s="338"/>
      <c r="B13" s="413" t="str">
        <f>SUMMARY!K3</f>
        <v>LIMESTONE POWDER (HARUMI)</v>
      </c>
      <c r="C13" s="338" t="s">
        <v>346</v>
      </c>
      <c r="D13" s="336">
        <f>SUMMARY!K67</f>
        <v>-10277.079999999998</v>
      </c>
      <c r="E13" s="336">
        <f>SUMMARY!K68</f>
        <v>0</v>
      </c>
      <c r="F13" s="336">
        <f>SUMMARY!K69</f>
        <v>0</v>
      </c>
      <c r="G13" s="336">
        <f>SUMMARY!K70</f>
        <v>0</v>
      </c>
      <c r="H13" s="336">
        <f>SUMMARY!K71</f>
        <v>-10277.079999999998</v>
      </c>
      <c r="I13" s="336"/>
      <c r="J13" s="301"/>
      <c r="K13" s="336"/>
      <c r="L13" s="336"/>
      <c r="M13" s="339"/>
      <c r="N13" s="336"/>
      <c r="O13" s="413">
        <f t="shared" si="0"/>
        <v>10277.079999999998</v>
      </c>
      <c r="P13" s="339"/>
      <c r="Q13" s="336"/>
      <c r="R13" s="499"/>
      <c r="S13" s="336"/>
      <c r="T13" s="500"/>
      <c r="U13" s="336"/>
      <c r="V13" s="329"/>
      <c r="W13" s="501"/>
      <c r="X13" s="329"/>
      <c r="Y13" s="502"/>
      <c r="Z13" s="502"/>
      <c r="AA13" s="502"/>
      <c r="AB13" s="502"/>
      <c r="AC13" s="502"/>
    </row>
    <row r="14" spans="1:29">
      <c r="A14" s="338"/>
      <c r="B14" s="413" t="str">
        <f>SUMMARY!L3</f>
        <v>CHOLINE CHLORIDE 60%</v>
      </c>
      <c r="C14" s="338" t="s">
        <v>346</v>
      </c>
      <c r="D14" s="336">
        <f>SUMMARY!L67</f>
        <v>0</v>
      </c>
      <c r="E14" s="336">
        <f>SUMMARY!L68</f>
        <v>0</v>
      </c>
      <c r="F14" s="336">
        <f>SUMMARY!L69</f>
        <v>0</v>
      </c>
      <c r="G14" s="336">
        <f>SUMMARY!L70</f>
        <v>0</v>
      </c>
      <c r="H14" s="336">
        <f>SUMMARY!L71</f>
        <v>0</v>
      </c>
      <c r="I14" s="336"/>
      <c r="J14" s="301"/>
      <c r="K14" s="336"/>
      <c r="L14" s="336"/>
      <c r="M14" s="339"/>
      <c r="N14" s="336"/>
      <c r="O14" s="413">
        <f t="shared" si="0"/>
        <v>0</v>
      </c>
      <c r="P14" s="339"/>
      <c r="Q14" s="336"/>
      <c r="R14" s="499"/>
      <c r="S14" s="336"/>
      <c r="T14" s="500"/>
      <c r="U14" s="336"/>
      <c r="V14" s="329"/>
      <c r="W14" s="501"/>
      <c r="X14" s="329"/>
      <c r="Y14" s="502"/>
      <c r="Z14" s="502"/>
      <c r="AA14" s="502"/>
      <c r="AB14" s="502"/>
      <c r="AC14" s="502"/>
    </row>
    <row r="15" spans="1:29">
      <c r="A15" s="338"/>
      <c r="B15" s="413" t="str">
        <f>SUMMARY!M3</f>
        <v>INDUSTRY FLOUR</v>
      </c>
      <c r="C15" s="338" t="s">
        <v>346</v>
      </c>
      <c r="D15" s="336">
        <f>SUMMARY!M67</f>
        <v>27438.200000000012</v>
      </c>
      <c r="E15" s="336">
        <f>SUMMARY!M68</f>
        <v>0</v>
      </c>
      <c r="F15" s="336">
        <f>SUMMARY!M69</f>
        <v>0</v>
      </c>
      <c r="G15" s="336">
        <f>SUMMARY!M70</f>
        <v>0</v>
      </c>
      <c r="H15" s="336">
        <f>SUMMARY!M71</f>
        <v>27438.200000000012</v>
      </c>
      <c r="I15" s="336"/>
      <c r="J15" s="300"/>
      <c r="K15" s="336"/>
      <c r="L15" s="336"/>
      <c r="M15" s="339"/>
      <c r="N15" s="336"/>
      <c r="O15" s="413">
        <f t="shared" si="0"/>
        <v>-27438.200000000012</v>
      </c>
      <c r="P15" s="339"/>
      <c r="Q15" s="336"/>
      <c r="R15" s="499"/>
      <c r="S15" s="336"/>
      <c r="T15" s="500"/>
      <c r="U15" s="336"/>
      <c r="V15" s="329"/>
      <c r="W15" s="501"/>
      <c r="X15" s="329"/>
      <c r="Y15" s="502"/>
      <c r="Z15" s="502"/>
      <c r="AA15" s="502"/>
      <c r="AB15" s="502"/>
      <c r="AC15" s="502"/>
    </row>
    <row r="16" spans="1:29">
      <c r="A16" s="338"/>
      <c r="B16" s="413" t="str">
        <f>SUMMARY!N3</f>
        <v>RICE BRAN</v>
      </c>
      <c r="C16" s="338" t="s">
        <v>346</v>
      </c>
      <c r="D16" s="336">
        <f>SUMMARY!N67</f>
        <v>18782.299999999981</v>
      </c>
      <c r="E16" s="336">
        <f>SUMMARY!N68</f>
        <v>0</v>
      </c>
      <c r="F16" s="336">
        <f>SUMMARY!N69</f>
        <v>0</v>
      </c>
      <c r="G16" s="336">
        <f>SUMMARY!N70</f>
        <v>0</v>
      </c>
      <c r="H16" s="336">
        <f>SUMMARY!N71</f>
        <v>18782.299999999981</v>
      </c>
      <c r="I16" s="336"/>
      <c r="J16" s="300"/>
      <c r="K16" s="336"/>
      <c r="L16" s="336"/>
      <c r="M16" s="339"/>
      <c r="N16" s="336"/>
      <c r="O16" s="413">
        <f t="shared" si="0"/>
        <v>-18782.299999999981</v>
      </c>
      <c r="P16" s="339"/>
      <c r="Q16" s="336"/>
      <c r="R16" s="499"/>
      <c r="S16" s="336"/>
      <c r="T16" s="500"/>
      <c r="U16" s="336"/>
      <c r="V16" s="329"/>
      <c r="W16" s="501"/>
      <c r="X16" s="329"/>
      <c r="Y16" s="502"/>
      <c r="Z16" s="502"/>
      <c r="AA16" s="502"/>
      <c r="AB16" s="502"/>
      <c r="AC16" s="502"/>
    </row>
    <row r="17" spans="1:29">
      <c r="A17" s="338"/>
      <c r="B17" s="413" t="str">
        <f>SUMMARY!O3</f>
        <v>EP 200</v>
      </c>
      <c r="C17" s="338" t="s">
        <v>346</v>
      </c>
      <c r="D17" s="336">
        <f>SUMMARY!O67</f>
        <v>5800</v>
      </c>
      <c r="E17" s="336">
        <f>SUMMARY!O68</f>
        <v>0</v>
      </c>
      <c r="F17" s="336">
        <f>SUMMARY!O69</f>
        <v>0</v>
      </c>
      <c r="G17" s="336">
        <f>SUMMARY!O70</f>
        <v>0</v>
      </c>
      <c r="H17" s="336">
        <f>SUMMARY!O71</f>
        <v>5800</v>
      </c>
      <c r="I17" s="336"/>
      <c r="J17" s="300"/>
      <c r="K17" s="336"/>
      <c r="L17" s="336"/>
      <c r="M17" s="339"/>
      <c r="N17" s="336"/>
      <c r="O17" s="413">
        <f t="shared" si="0"/>
        <v>-5800</v>
      </c>
      <c r="P17" s="339"/>
      <c r="Q17" s="336"/>
      <c r="R17" s="499"/>
      <c r="S17" s="336"/>
      <c r="T17" s="500"/>
      <c r="U17" s="336"/>
      <c r="V17" s="329"/>
      <c r="W17" s="501"/>
      <c r="X17" s="329"/>
      <c r="Y17" s="502"/>
      <c r="Z17" s="502"/>
      <c r="AA17" s="502"/>
      <c r="AB17" s="502"/>
      <c r="AC17" s="502"/>
    </row>
    <row r="18" spans="1:29">
      <c r="A18" s="338"/>
      <c r="B18" s="413" t="str">
        <f>SUMMARY!P3</f>
        <v>SOYTIDE</v>
      </c>
      <c r="C18" s="338" t="s">
        <v>346</v>
      </c>
      <c r="D18" s="336">
        <f>SUMMARY!P67</f>
        <v>0</v>
      </c>
      <c r="E18" s="336">
        <f>SUMMARY!P68</f>
        <v>0</v>
      </c>
      <c r="F18" s="336">
        <f>SUMMARY!P69</f>
        <v>0</v>
      </c>
      <c r="G18" s="336">
        <f>SUMMARY!P70</f>
        <v>0</v>
      </c>
      <c r="H18" s="336">
        <f>SUMMARY!P71</f>
        <v>0</v>
      </c>
      <c r="I18" s="336"/>
      <c r="J18" s="336"/>
      <c r="K18" s="336"/>
      <c r="L18" s="336"/>
      <c r="M18" s="339"/>
      <c r="N18" s="336"/>
      <c r="O18" s="413">
        <f t="shared" si="0"/>
        <v>0</v>
      </c>
      <c r="P18" s="339"/>
      <c r="Q18" s="336"/>
      <c r="R18" s="499"/>
      <c r="S18" s="336"/>
      <c r="T18" s="500"/>
      <c r="U18" s="336"/>
      <c r="V18" s="329"/>
      <c r="W18" s="501"/>
      <c r="X18" s="329"/>
      <c r="Y18" s="502"/>
      <c r="Z18" s="502"/>
      <c r="AA18" s="502"/>
      <c r="AB18" s="502"/>
      <c r="AC18" s="502"/>
    </row>
    <row r="19" spans="1:29">
      <c r="A19" s="338"/>
      <c r="B19" s="413" t="str">
        <f>SUMMARY!Q3</f>
        <v>DCP 18% (HARUMI)</v>
      </c>
      <c r="C19" s="338" t="s">
        <v>346</v>
      </c>
      <c r="D19" s="336">
        <f>SUMMARY!Q67</f>
        <v>0</v>
      </c>
      <c r="E19" s="336">
        <f>SUMMARY!Q68</f>
        <v>0</v>
      </c>
      <c r="F19" s="336">
        <f>SUMMARY!Q69</f>
        <v>0</v>
      </c>
      <c r="G19" s="336">
        <f>SUMMARY!Q70</f>
        <v>0</v>
      </c>
      <c r="H19" s="336">
        <f>SUMMARY!Q71</f>
        <v>0</v>
      </c>
      <c r="I19" s="336"/>
      <c r="J19" s="336"/>
      <c r="K19" s="336"/>
      <c r="L19" s="336"/>
      <c r="M19" s="339"/>
      <c r="N19" s="336"/>
      <c r="O19" s="413">
        <f t="shared" si="0"/>
        <v>0</v>
      </c>
      <c r="P19" s="339"/>
      <c r="Q19" s="336"/>
      <c r="R19" s="499"/>
      <c r="S19" s="336"/>
      <c r="T19" s="500"/>
      <c r="U19" s="336"/>
      <c r="V19" s="329"/>
      <c r="W19" s="501"/>
      <c r="X19" s="329"/>
      <c r="Y19" s="502"/>
      <c r="Z19" s="502"/>
      <c r="AA19" s="502"/>
      <c r="AB19" s="502"/>
      <c r="AC19" s="502"/>
    </row>
    <row r="20" spans="1:29">
      <c r="A20" s="338"/>
      <c r="B20" s="413">
        <f>SUMMARY!R3</f>
        <v>1</v>
      </c>
      <c r="C20" s="338" t="s">
        <v>346</v>
      </c>
      <c r="D20" s="336">
        <f>SUMMARY!R67</f>
        <v>0</v>
      </c>
      <c r="E20" s="336">
        <f>SUMMARY!R68</f>
        <v>0</v>
      </c>
      <c r="F20" s="336">
        <f>SUMMARY!R69</f>
        <v>0</v>
      </c>
      <c r="G20" s="336">
        <f>SUMMARY!R70</f>
        <v>0</v>
      </c>
      <c r="H20" s="336">
        <f>SUMMARY!R71</f>
        <v>0</v>
      </c>
      <c r="I20" s="336"/>
      <c r="J20" s="336"/>
      <c r="K20" s="336"/>
      <c r="L20" s="336"/>
      <c r="M20" s="339"/>
      <c r="N20" s="336"/>
      <c r="O20" s="413">
        <f t="shared" si="0"/>
        <v>0</v>
      </c>
      <c r="P20" s="339"/>
      <c r="Q20" s="336"/>
      <c r="R20" s="499"/>
      <c r="S20" s="336"/>
      <c r="T20" s="500"/>
      <c r="U20" s="336"/>
      <c r="V20" s="329"/>
      <c r="W20" s="501"/>
      <c r="X20" s="329"/>
      <c r="Y20" s="502"/>
      <c r="Z20" s="502"/>
      <c r="AA20" s="502"/>
      <c r="AB20" s="502"/>
      <c r="AC20" s="502"/>
    </row>
    <row r="21" spans="1:29">
      <c r="A21" s="338"/>
      <c r="B21" s="413">
        <f>SUMMARY!S3</f>
        <v>2</v>
      </c>
      <c r="C21" s="338" t="s">
        <v>346</v>
      </c>
      <c r="D21" s="336">
        <f>SUMMARY!S67</f>
        <v>0</v>
      </c>
      <c r="E21" s="336">
        <f>SUMMARY!S68</f>
        <v>0</v>
      </c>
      <c r="F21" s="336">
        <f>SUMMARY!S69</f>
        <v>0</v>
      </c>
      <c r="G21" s="336">
        <f>SUMMARY!S70</f>
        <v>0</v>
      </c>
      <c r="H21" s="336">
        <f>SUMMARY!S71</f>
        <v>0</v>
      </c>
      <c r="I21" s="336"/>
      <c r="J21" s="336"/>
      <c r="K21" s="336"/>
      <c r="L21" s="336"/>
      <c r="M21" s="339"/>
      <c r="N21" s="336"/>
      <c r="O21" s="413">
        <f t="shared" si="0"/>
        <v>0</v>
      </c>
      <c r="P21" s="339"/>
      <c r="Q21" s="336"/>
      <c r="R21" s="499"/>
      <c r="S21" s="336"/>
      <c r="T21" s="500"/>
      <c r="U21" s="336"/>
      <c r="V21" s="329"/>
      <c r="W21" s="501"/>
      <c r="X21" s="329"/>
      <c r="Y21" s="502"/>
      <c r="Z21" s="502"/>
      <c r="AA21" s="502"/>
      <c r="AB21" s="502"/>
      <c r="AC21" s="502"/>
    </row>
    <row r="22" spans="1:29">
      <c r="A22" s="338"/>
      <c r="B22" s="413">
        <f>SUMMARY!T3</f>
        <v>3</v>
      </c>
      <c r="C22" s="338" t="s">
        <v>346</v>
      </c>
      <c r="D22" s="336">
        <f>SUMMARY!T67</f>
        <v>0</v>
      </c>
      <c r="E22" s="336">
        <f>SUMMARY!T68</f>
        <v>0</v>
      </c>
      <c r="F22" s="336">
        <f>SUMMARY!T69</f>
        <v>0</v>
      </c>
      <c r="G22" s="336">
        <f>SUMMARY!T70</f>
        <v>0</v>
      </c>
      <c r="H22" s="336">
        <f>SUMMARY!T71</f>
        <v>0</v>
      </c>
      <c r="I22" s="336"/>
      <c r="J22" s="336"/>
      <c r="K22" s="336"/>
      <c r="L22" s="336"/>
      <c r="M22" s="339"/>
      <c r="N22" s="336"/>
      <c r="O22" s="413">
        <f t="shared" si="0"/>
        <v>0</v>
      </c>
      <c r="P22" s="339"/>
      <c r="Q22" s="336"/>
      <c r="R22" s="499"/>
      <c r="S22" s="336"/>
      <c r="T22" s="500"/>
      <c r="U22" s="336"/>
      <c r="V22" s="329"/>
      <c r="W22" s="501"/>
      <c r="X22" s="329"/>
      <c r="Y22" s="502"/>
      <c r="Z22" s="502"/>
      <c r="AA22" s="502"/>
      <c r="AB22" s="502"/>
      <c r="AC22" s="502"/>
    </row>
    <row r="23" spans="1:29">
      <c r="A23" s="338"/>
      <c r="B23" s="413"/>
      <c r="C23" s="338"/>
      <c r="D23" s="336"/>
      <c r="E23" s="336"/>
      <c r="F23" s="336"/>
      <c r="G23" s="336"/>
      <c r="H23" s="336"/>
      <c r="I23" s="336"/>
      <c r="J23" s="336"/>
      <c r="K23" s="336"/>
      <c r="L23" s="336"/>
      <c r="M23" s="339"/>
      <c r="N23" s="336"/>
      <c r="O23" s="413"/>
      <c r="P23" s="339"/>
      <c r="Q23" s="336"/>
      <c r="R23" s="499"/>
      <c r="S23" s="336"/>
      <c r="T23" s="500"/>
      <c r="U23" s="336"/>
      <c r="V23" s="329"/>
      <c r="W23" s="501"/>
      <c r="X23" s="329"/>
      <c r="Y23" s="502"/>
      <c r="Z23" s="502"/>
      <c r="AA23" s="502"/>
      <c r="AB23" s="502"/>
      <c r="AC23" s="502"/>
    </row>
    <row r="24" spans="1:29">
      <c r="A24" s="338"/>
      <c r="B24" s="310" t="s">
        <v>347</v>
      </c>
      <c r="C24" s="338"/>
      <c r="D24" s="336"/>
      <c r="E24" s="336"/>
      <c r="F24" s="336"/>
      <c r="G24" s="336"/>
      <c r="H24" s="336"/>
      <c r="I24" s="336"/>
      <c r="J24" s="336"/>
      <c r="K24" s="336"/>
      <c r="L24" s="336"/>
      <c r="M24" s="339"/>
      <c r="N24" s="336"/>
      <c r="O24" s="413"/>
      <c r="P24" s="339"/>
      <c r="Q24" s="336"/>
      <c r="R24" s="499"/>
      <c r="S24" s="336"/>
      <c r="T24" s="500"/>
      <c r="U24" s="336"/>
      <c r="V24" s="329"/>
      <c r="W24" s="501"/>
      <c r="X24" s="329"/>
      <c r="Y24" s="502"/>
      <c r="Z24" s="502"/>
      <c r="AA24" s="502"/>
      <c r="AB24" s="502"/>
      <c r="AC24" s="502"/>
    </row>
    <row r="25" spans="1:29">
      <c r="A25" s="338"/>
      <c r="B25" s="413" t="str">
        <f>SUMMARY!U3</f>
        <v>PREMIX 1101 (20KG)</v>
      </c>
      <c r="C25" s="338" t="s">
        <v>346</v>
      </c>
      <c r="D25" s="336">
        <f>SUMMARY!U67</f>
        <v>2020</v>
      </c>
      <c r="E25" s="336">
        <f>SUMMARY!U68</f>
        <v>0</v>
      </c>
      <c r="F25" s="336">
        <f>SUMMARY!U69</f>
        <v>0</v>
      </c>
      <c r="G25" s="336">
        <f>SUMMARY!U70</f>
        <v>0</v>
      </c>
      <c r="H25" s="336">
        <f>SUMMARY!U71</f>
        <v>2020</v>
      </c>
      <c r="I25" s="336"/>
      <c r="J25" s="336"/>
      <c r="K25" s="336"/>
      <c r="L25" s="336"/>
      <c r="M25" s="339"/>
      <c r="N25" s="336"/>
      <c r="O25" s="413">
        <f t="shared" si="0"/>
        <v>-2020</v>
      </c>
      <c r="P25" s="339"/>
      <c r="Q25" s="336"/>
      <c r="R25" s="499"/>
      <c r="S25" s="336"/>
      <c r="T25" s="500"/>
      <c r="U25" s="336"/>
      <c r="V25" s="329"/>
      <c r="W25" s="501"/>
      <c r="X25" s="329"/>
      <c r="Y25" s="502"/>
      <c r="Z25" s="502"/>
      <c r="AA25" s="502"/>
      <c r="AB25" s="502"/>
      <c r="AC25" s="502"/>
    </row>
    <row r="26" spans="1:29">
      <c r="A26" s="338"/>
      <c r="B26" s="413" t="str">
        <f>SUMMARY!V3</f>
        <v>PREMIX 1102 (20KG)</v>
      </c>
      <c r="C26" s="338" t="s">
        <v>346</v>
      </c>
      <c r="D26" s="336">
        <f>SUMMARY!V67</f>
        <v>960</v>
      </c>
      <c r="E26" s="336">
        <f>SUMMARY!V68</f>
        <v>0</v>
      </c>
      <c r="F26" s="336">
        <f>SUMMARY!V69</f>
        <v>0</v>
      </c>
      <c r="G26" s="336">
        <f>SUMMARY!V70</f>
        <v>0</v>
      </c>
      <c r="H26" s="336">
        <f>SUMMARY!V71</f>
        <v>960</v>
      </c>
      <c r="I26" s="336"/>
      <c r="J26" s="336"/>
      <c r="K26" s="336"/>
      <c r="L26" s="336"/>
      <c r="M26" s="339"/>
      <c r="N26" s="336"/>
      <c r="O26" s="413">
        <f t="shared" si="0"/>
        <v>-960</v>
      </c>
      <c r="P26" s="339"/>
      <c r="Q26" s="336"/>
      <c r="R26" s="499"/>
      <c r="S26" s="336"/>
      <c r="T26" s="500"/>
      <c r="U26" s="336"/>
      <c r="V26" s="329"/>
      <c r="W26" s="501"/>
      <c r="X26" s="329"/>
      <c r="Y26" s="502"/>
      <c r="Z26" s="502"/>
      <c r="AA26" s="502"/>
      <c r="AB26" s="502"/>
      <c r="AC26" s="502"/>
    </row>
    <row r="27" spans="1:29">
      <c r="A27" s="338"/>
      <c r="B27" s="413" t="str">
        <f>SUMMARY!W3</f>
        <v>PREMIX 1103 (20KG)</v>
      </c>
      <c r="C27" s="338" t="s">
        <v>346</v>
      </c>
      <c r="D27" s="336">
        <f>SUMMARY!W67</f>
        <v>1760</v>
      </c>
      <c r="E27" s="336">
        <f>SUMMARY!W68</f>
        <v>0</v>
      </c>
      <c r="F27" s="336">
        <f>SUMMARY!W69</f>
        <v>0</v>
      </c>
      <c r="G27" s="336">
        <f>SUMMARY!W70</f>
        <v>0</v>
      </c>
      <c r="H27" s="336">
        <f>SUMMARY!W71</f>
        <v>1760</v>
      </c>
      <c r="I27" s="336"/>
      <c r="J27" s="336"/>
      <c r="K27" s="336"/>
      <c r="L27" s="336"/>
      <c r="M27" s="339"/>
      <c r="N27" s="336"/>
      <c r="O27" s="413">
        <f t="shared" si="0"/>
        <v>-1760</v>
      </c>
      <c r="P27" s="339"/>
      <c r="Q27" s="336"/>
      <c r="R27" s="499"/>
      <c r="S27" s="336"/>
      <c r="T27" s="500"/>
      <c r="U27" s="336"/>
      <c r="V27" s="329"/>
      <c r="W27" s="501"/>
      <c r="X27" s="329"/>
      <c r="Y27" s="502"/>
      <c r="Z27" s="502"/>
      <c r="AA27" s="502"/>
      <c r="AB27" s="502"/>
      <c r="AC27" s="502"/>
    </row>
    <row r="28" spans="1:29">
      <c r="A28" s="338"/>
      <c r="B28" s="413" t="str">
        <f>SUMMARY!X3</f>
        <v>PREMIX 311 (20KG)</v>
      </c>
      <c r="C28" s="338" t="s">
        <v>346</v>
      </c>
      <c r="D28" s="336">
        <f>SUMMARY!X67</f>
        <v>400</v>
      </c>
      <c r="E28" s="336">
        <f>SUMMARY!X68</f>
        <v>0</v>
      </c>
      <c r="F28" s="336">
        <f>SUMMARY!X69</f>
        <v>0</v>
      </c>
      <c r="G28" s="336">
        <f>SUMMARY!X70</f>
        <v>0</v>
      </c>
      <c r="H28" s="336">
        <f>SUMMARY!X71</f>
        <v>400</v>
      </c>
      <c r="I28" s="336"/>
      <c r="J28" s="336"/>
      <c r="K28" s="336"/>
      <c r="L28" s="336"/>
      <c r="M28" s="339"/>
      <c r="N28" s="336"/>
      <c r="O28" s="413">
        <f t="shared" si="0"/>
        <v>-400</v>
      </c>
      <c r="P28" s="339"/>
      <c r="Q28" s="336"/>
      <c r="R28" s="499"/>
      <c r="S28" s="336"/>
      <c r="T28" s="500"/>
      <c r="U28" s="336"/>
      <c r="V28" s="329"/>
      <c r="W28" s="501"/>
      <c r="X28" s="329"/>
      <c r="Y28" s="502"/>
      <c r="Z28" s="502"/>
      <c r="AA28" s="502"/>
      <c r="AB28" s="502"/>
      <c r="AC28" s="502"/>
    </row>
    <row r="29" spans="1:29">
      <c r="A29" s="338"/>
      <c r="B29" s="413" t="str">
        <f>SUMMARY!Y3</f>
        <v>PREMIX 312 (20KG)</v>
      </c>
      <c r="C29" s="338" t="s">
        <v>346</v>
      </c>
      <c r="D29" s="336">
        <f>SUMMARY!Y67</f>
        <v>3600</v>
      </c>
      <c r="E29" s="336">
        <f>SUMMARY!Y68</f>
        <v>0</v>
      </c>
      <c r="F29" s="336">
        <f>SUMMARY!Y69</f>
        <v>0</v>
      </c>
      <c r="G29" s="336">
        <f>SUMMARY!Y70</f>
        <v>0</v>
      </c>
      <c r="H29" s="336">
        <f>SUMMARY!Y71</f>
        <v>3600</v>
      </c>
      <c r="I29" s="336"/>
      <c r="J29" s="336"/>
      <c r="K29" s="336"/>
      <c r="L29" s="336"/>
      <c r="M29" s="339"/>
      <c r="N29" s="336"/>
      <c r="O29" s="413">
        <f t="shared" si="0"/>
        <v>-3600</v>
      </c>
      <c r="P29" s="339"/>
      <c r="Q29" s="336"/>
      <c r="R29" s="499"/>
      <c r="S29" s="336"/>
      <c r="T29" s="500"/>
      <c r="U29" s="336"/>
      <c r="V29" s="329"/>
      <c r="W29" s="501"/>
      <c r="X29" s="329"/>
      <c r="Y29" s="502"/>
      <c r="Z29" s="502"/>
      <c r="AA29" s="502"/>
      <c r="AB29" s="502"/>
      <c r="AC29" s="502"/>
    </row>
    <row r="30" spans="1:29">
      <c r="A30" s="338"/>
      <c r="B30" s="413">
        <f>SUMMARY!Z3</f>
        <v>1</v>
      </c>
      <c r="C30" s="338" t="s">
        <v>346</v>
      </c>
      <c r="D30" s="336">
        <f>SUMMARY!Z67</f>
        <v>0</v>
      </c>
      <c r="E30" s="336">
        <f>SUMMARY!Z68</f>
        <v>0</v>
      </c>
      <c r="F30" s="336">
        <f>SUMMARY!Z69</f>
        <v>0</v>
      </c>
      <c r="G30" s="336">
        <f>SUMMARY!Z70</f>
        <v>0</v>
      </c>
      <c r="H30" s="336">
        <f>SUMMARY!Z71</f>
        <v>0</v>
      </c>
      <c r="I30" s="336"/>
      <c r="J30" s="336"/>
      <c r="K30" s="336"/>
      <c r="L30" s="336"/>
      <c r="M30" s="339"/>
      <c r="N30" s="336"/>
      <c r="O30" s="413">
        <f t="shared" si="0"/>
        <v>0</v>
      </c>
      <c r="P30" s="339"/>
      <c r="Q30" s="336"/>
      <c r="R30" s="499"/>
      <c r="S30" s="336"/>
      <c r="T30" s="500"/>
      <c r="U30" s="336"/>
      <c r="V30" s="329"/>
      <c r="W30" s="501"/>
      <c r="X30" s="329"/>
      <c r="Y30" s="502"/>
      <c r="Z30" s="502"/>
      <c r="AA30" s="502"/>
      <c r="AB30" s="502"/>
      <c r="AC30" s="502"/>
    </row>
    <row r="31" spans="1:29">
      <c r="A31" s="338"/>
      <c r="B31" s="413" t="str">
        <f>SUMMARY!AA3</f>
        <v>PREMIX 8100 (20KG)</v>
      </c>
      <c r="C31" s="338" t="s">
        <v>346</v>
      </c>
      <c r="D31" s="336">
        <f>SUMMARY!AA67</f>
        <v>6120</v>
      </c>
      <c r="E31" s="336">
        <f>SUMMARY!AA68</f>
        <v>0</v>
      </c>
      <c r="F31" s="336">
        <f>SUMMARY!AA69</f>
        <v>0</v>
      </c>
      <c r="G31" s="336">
        <f>SUMMARY!AA70</f>
        <v>0</v>
      </c>
      <c r="H31" s="336">
        <f>SUMMARY!AA71</f>
        <v>6120</v>
      </c>
      <c r="I31" s="336"/>
      <c r="J31" s="336"/>
      <c r="K31" s="336"/>
      <c r="L31" s="336"/>
      <c r="M31" s="339"/>
      <c r="N31" s="336"/>
      <c r="O31" s="413">
        <f t="shared" si="0"/>
        <v>-6120</v>
      </c>
      <c r="P31" s="339"/>
      <c r="Q31" s="336"/>
      <c r="R31" s="499"/>
      <c r="S31" s="336"/>
      <c r="T31" s="500"/>
      <c r="U31" s="336"/>
      <c r="V31" s="329"/>
      <c r="W31" s="501"/>
      <c r="X31" s="329"/>
      <c r="Y31" s="502"/>
      <c r="Z31" s="502"/>
      <c r="AA31" s="502"/>
      <c r="AB31" s="502"/>
      <c r="AC31" s="502"/>
    </row>
    <row r="32" spans="1:29">
      <c r="A32" s="338"/>
      <c r="B32" s="413" t="str">
        <f>SUMMARY!AB3</f>
        <v>PREMIX 8101 (20KG)</v>
      </c>
      <c r="C32" s="338" t="s">
        <v>346</v>
      </c>
      <c r="D32" s="336">
        <f>SUMMARY!AB67</f>
        <v>0</v>
      </c>
      <c r="E32" s="336">
        <f>SUMMARY!AB68</f>
        <v>0</v>
      </c>
      <c r="F32" s="336">
        <f>SUMMARY!AB69</f>
        <v>0</v>
      </c>
      <c r="G32" s="336">
        <f>SUMMARY!AB70</f>
        <v>0</v>
      </c>
      <c r="H32" s="336">
        <f>SUMMARY!AB71</f>
        <v>0</v>
      </c>
      <c r="I32" s="336"/>
      <c r="J32" s="336"/>
      <c r="K32" s="336"/>
      <c r="L32" s="336"/>
      <c r="M32" s="339"/>
      <c r="N32" s="336"/>
      <c r="O32" s="413">
        <f t="shared" si="0"/>
        <v>0</v>
      </c>
      <c r="P32" s="339"/>
      <c r="Q32" s="336"/>
      <c r="R32" s="499"/>
      <c r="S32" s="336"/>
      <c r="T32" s="500"/>
      <c r="U32" s="336"/>
      <c r="V32" s="329"/>
      <c r="W32" s="501"/>
      <c r="X32" s="329"/>
      <c r="Y32" s="502"/>
      <c r="Z32" s="502"/>
      <c r="AA32" s="502"/>
      <c r="AB32" s="502"/>
      <c r="AC32" s="502"/>
    </row>
    <row r="33" spans="1:29">
      <c r="A33" s="338"/>
      <c r="B33" s="413" t="str">
        <f>SUMMARY!AC3</f>
        <v>PREMIX 8102 (20KG)</v>
      </c>
      <c r="C33" s="338" t="s">
        <v>346</v>
      </c>
      <c r="D33" s="336">
        <f>SUMMARY!AC67</f>
        <v>0</v>
      </c>
      <c r="E33" s="336">
        <f>SUMMARY!AC68</f>
        <v>0</v>
      </c>
      <c r="F33" s="336">
        <f>SUMMARY!AC69</f>
        <v>0</v>
      </c>
      <c r="G33" s="336">
        <f>SUMMARY!AC70</f>
        <v>0</v>
      </c>
      <c r="H33" s="336">
        <f>SUMMARY!AC71</f>
        <v>0</v>
      </c>
      <c r="I33" s="336"/>
      <c r="J33" s="336"/>
      <c r="K33" s="336"/>
      <c r="L33" s="336"/>
      <c r="M33" s="339"/>
      <c r="N33" s="336"/>
      <c r="O33" s="413">
        <f t="shared" si="0"/>
        <v>0</v>
      </c>
      <c r="P33" s="339"/>
      <c r="Q33" s="336"/>
      <c r="R33" s="499"/>
      <c r="S33" s="336"/>
      <c r="T33" s="500"/>
      <c r="U33" s="336"/>
      <c r="V33" s="329"/>
      <c r="W33" s="501"/>
      <c r="X33" s="329"/>
      <c r="Y33" s="502"/>
      <c r="Z33" s="502"/>
      <c r="AA33" s="502"/>
      <c r="AB33" s="502"/>
      <c r="AC33" s="502"/>
    </row>
    <row r="34" spans="1:29">
      <c r="A34" s="338"/>
      <c r="B34" s="413" t="str">
        <f>SUMMARY!AD3</f>
        <v>PREMIX 8103 (20KG)</v>
      </c>
      <c r="C34" s="338" t="s">
        <v>346</v>
      </c>
      <c r="D34" s="336">
        <f>SUMMARY!AD67</f>
        <v>2820</v>
      </c>
      <c r="E34" s="336">
        <f>SUMMARY!AD68</f>
        <v>0</v>
      </c>
      <c r="F34" s="336">
        <f>SUMMARY!AD69</f>
        <v>0</v>
      </c>
      <c r="G34" s="336">
        <f>SUMMARY!AD70</f>
        <v>0</v>
      </c>
      <c r="H34" s="336">
        <f>SUMMARY!AD71</f>
        <v>2820</v>
      </c>
      <c r="I34" s="336"/>
      <c r="J34" s="336"/>
      <c r="K34" s="336"/>
      <c r="L34" s="336"/>
      <c r="M34" s="339"/>
      <c r="N34" s="336"/>
      <c r="O34" s="413">
        <f t="shared" si="0"/>
        <v>-2820</v>
      </c>
      <c r="P34" s="339"/>
      <c r="Q34" s="336"/>
      <c r="R34" s="499"/>
      <c r="S34" s="336"/>
      <c r="T34" s="500"/>
      <c r="U34" s="336"/>
      <c r="V34" s="329"/>
      <c r="W34" s="501"/>
      <c r="X34" s="329"/>
      <c r="Y34" s="502"/>
      <c r="Z34" s="502"/>
      <c r="AA34" s="502"/>
      <c r="AB34" s="502"/>
      <c r="AC34" s="502"/>
    </row>
    <row r="35" spans="1:29">
      <c r="A35" s="338"/>
      <c r="B35" s="413" t="str">
        <f>SUMMARY!AE3</f>
        <v>PREMIX 8108 (20KG)</v>
      </c>
      <c r="C35" s="338" t="s">
        <v>346</v>
      </c>
      <c r="D35" s="336">
        <f>SUMMARY!AE67</f>
        <v>0</v>
      </c>
      <c r="E35" s="336">
        <f>SUMMARY!AE68</f>
        <v>0</v>
      </c>
      <c r="F35" s="336">
        <f>SUMMARY!AE69</f>
        <v>0</v>
      </c>
      <c r="G35" s="336">
        <f>SUMMARY!AE70</f>
        <v>0</v>
      </c>
      <c r="H35" s="336">
        <f>SUMMARY!AE71</f>
        <v>0</v>
      </c>
      <c r="I35" s="336"/>
      <c r="J35" s="336"/>
      <c r="K35" s="336"/>
      <c r="L35" s="336"/>
      <c r="M35" s="339"/>
      <c r="N35" s="336"/>
      <c r="O35" s="413">
        <f t="shared" si="0"/>
        <v>0</v>
      </c>
      <c r="P35" s="339"/>
      <c r="Q35" s="336"/>
      <c r="R35" s="499"/>
      <c r="S35" s="336"/>
      <c r="T35" s="500"/>
      <c r="U35" s="336"/>
      <c r="V35" s="329"/>
      <c r="W35" s="501"/>
      <c r="X35" s="329"/>
      <c r="Y35" s="502"/>
      <c r="Z35" s="502"/>
      <c r="AA35" s="502"/>
      <c r="AB35" s="502"/>
      <c r="AC35" s="502"/>
    </row>
    <row r="36" spans="1:29">
      <c r="A36" s="338"/>
      <c r="B36" s="413" t="str">
        <f>SUMMARY!AF3</f>
        <v>PREMIX 8109 (20KG)</v>
      </c>
      <c r="C36" s="338" t="s">
        <v>346</v>
      </c>
      <c r="D36" s="336">
        <f>SUMMARY!AF67</f>
        <v>0</v>
      </c>
      <c r="E36" s="336">
        <f>SUMMARY!AF68</f>
        <v>0</v>
      </c>
      <c r="F36" s="336">
        <f>SUMMARY!AF69</f>
        <v>0</v>
      </c>
      <c r="G36" s="336">
        <f>SUMMARY!AF70</f>
        <v>0</v>
      </c>
      <c r="H36" s="336">
        <f>SUMMARY!AF71</f>
        <v>0</v>
      </c>
      <c r="I36" s="336"/>
      <c r="J36" s="336"/>
      <c r="K36" s="336"/>
      <c r="L36" s="336"/>
      <c r="M36" s="339"/>
      <c r="N36" s="336"/>
      <c r="O36" s="413">
        <f t="shared" si="0"/>
        <v>0</v>
      </c>
      <c r="P36" s="339"/>
      <c r="Q36" s="336"/>
      <c r="R36" s="499"/>
      <c r="S36" s="336"/>
      <c r="T36" s="500"/>
      <c r="U36" s="336"/>
      <c r="V36" s="329"/>
      <c r="W36" s="501"/>
      <c r="X36" s="329"/>
      <c r="Y36" s="502"/>
      <c r="Z36" s="502"/>
      <c r="AA36" s="502"/>
      <c r="AB36" s="502"/>
      <c r="AC36" s="502"/>
    </row>
    <row r="37" spans="1:29">
      <c r="A37" s="338"/>
      <c r="B37" s="413" t="str">
        <f>SUMMARY!AG3</f>
        <v>YENMIX 121 (20KG)</v>
      </c>
      <c r="C37" s="338" t="s">
        <v>346</v>
      </c>
      <c r="D37" s="336">
        <f>SUMMARY!AG67</f>
        <v>2540</v>
      </c>
      <c r="E37" s="336">
        <f>SUMMARY!AG68</f>
        <v>0</v>
      </c>
      <c r="F37" s="336">
        <f>SUMMARY!AG69</f>
        <v>0</v>
      </c>
      <c r="G37" s="336">
        <f>SUMMARY!AG70</f>
        <v>0</v>
      </c>
      <c r="H37" s="336">
        <f>SUMMARY!AG71</f>
        <v>2540</v>
      </c>
      <c r="I37" s="336"/>
      <c r="J37" s="336"/>
      <c r="K37" s="336"/>
      <c r="L37" s="336"/>
      <c r="M37" s="339"/>
      <c r="N37" s="336"/>
      <c r="O37" s="413">
        <f t="shared" si="0"/>
        <v>-2540</v>
      </c>
      <c r="P37" s="339"/>
      <c r="Q37" s="336"/>
      <c r="R37" s="499"/>
      <c r="S37" s="336"/>
      <c r="T37" s="500"/>
      <c r="U37" s="336"/>
      <c r="V37" s="329"/>
      <c r="W37" s="501"/>
      <c r="X37" s="329"/>
      <c r="Y37" s="502"/>
      <c r="Z37" s="502"/>
      <c r="AA37" s="502"/>
      <c r="AB37" s="502"/>
      <c r="AC37" s="502"/>
    </row>
    <row r="38" spans="1:29">
      <c r="A38" s="338"/>
      <c r="B38" s="413" t="str">
        <f>SUMMARY!AH3</f>
        <v>YENMIX 122 (19.50KG)</v>
      </c>
      <c r="C38" s="338" t="s">
        <v>346</v>
      </c>
      <c r="D38" s="336">
        <f>SUMMARY!AH67</f>
        <v>2359.5</v>
      </c>
      <c r="E38" s="336">
        <f>SUMMARY!AH68</f>
        <v>0</v>
      </c>
      <c r="F38" s="336">
        <f>SUMMARY!AH69</f>
        <v>0</v>
      </c>
      <c r="G38" s="336">
        <f>SUMMARY!AH70</f>
        <v>0</v>
      </c>
      <c r="H38" s="336">
        <f>SUMMARY!AH71</f>
        <v>2359.5</v>
      </c>
      <c r="I38" s="336"/>
      <c r="J38" s="336"/>
      <c r="K38" s="336"/>
      <c r="L38" s="336"/>
      <c r="M38" s="339"/>
      <c r="N38" s="336"/>
      <c r="O38" s="413">
        <f t="shared" si="0"/>
        <v>-2359.5</v>
      </c>
      <c r="P38" s="339"/>
      <c r="Q38" s="336"/>
      <c r="R38" s="499"/>
      <c r="S38" s="336"/>
      <c r="T38" s="500"/>
      <c r="U38" s="336"/>
      <c r="V38" s="329"/>
      <c r="W38" s="501"/>
      <c r="X38" s="329"/>
      <c r="Y38" s="502"/>
      <c r="Z38" s="502"/>
      <c r="AA38" s="502"/>
      <c r="AB38" s="502"/>
      <c r="AC38" s="502"/>
    </row>
    <row r="39" spans="1:29">
      <c r="A39" s="338"/>
      <c r="B39" s="413" t="str">
        <f>SUMMARY!AI3</f>
        <v>YENMIX 123 (18.90KG)</v>
      </c>
      <c r="C39" s="338" t="s">
        <v>346</v>
      </c>
      <c r="D39" s="336">
        <f>SUMMARY!AI67</f>
        <v>1890</v>
      </c>
      <c r="E39" s="336">
        <f>SUMMARY!AI68</f>
        <v>0</v>
      </c>
      <c r="F39" s="336">
        <f>SUMMARY!AI69</f>
        <v>0</v>
      </c>
      <c r="G39" s="336">
        <f>SUMMARY!AI70</f>
        <v>0</v>
      </c>
      <c r="H39" s="336">
        <f>SUMMARY!AI71</f>
        <v>1890</v>
      </c>
      <c r="I39" s="336"/>
      <c r="J39" s="336"/>
      <c r="K39" s="336"/>
      <c r="L39" s="336"/>
      <c r="M39" s="339"/>
      <c r="N39" s="336"/>
      <c r="O39" s="413">
        <f t="shared" si="0"/>
        <v>-1890</v>
      </c>
      <c r="P39" s="339"/>
      <c r="Q39" s="336"/>
      <c r="R39" s="499"/>
      <c r="S39" s="336"/>
      <c r="T39" s="500"/>
      <c r="U39" s="336"/>
      <c r="V39" s="329"/>
      <c r="W39" s="501"/>
      <c r="X39" s="329"/>
      <c r="Y39" s="502"/>
      <c r="Z39" s="502"/>
      <c r="AA39" s="502"/>
      <c r="AB39" s="502"/>
      <c r="AC39" s="502"/>
    </row>
    <row r="40" spans="1:29">
      <c r="A40" s="338"/>
      <c r="B40" s="413" t="str">
        <f>SUMMARY!AJ3</f>
        <v>YENMIX 122 (20.50KG)</v>
      </c>
      <c r="C40" s="338" t="s">
        <v>346</v>
      </c>
      <c r="D40" s="336">
        <f>SUMMARY!AJ67</f>
        <v>3690</v>
      </c>
      <c r="E40" s="336">
        <f>SUMMARY!AJ68</f>
        <v>0</v>
      </c>
      <c r="F40" s="336">
        <f>SUMMARY!AJ69</f>
        <v>0</v>
      </c>
      <c r="G40" s="336">
        <f>SUMMARY!AJ70</f>
        <v>0</v>
      </c>
      <c r="H40" s="336">
        <f>SUMMARY!AJ71</f>
        <v>3690</v>
      </c>
      <c r="I40" s="336"/>
      <c r="J40" s="336"/>
      <c r="K40" s="336"/>
      <c r="L40" s="336"/>
      <c r="M40" s="339"/>
      <c r="N40" s="336"/>
      <c r="O40" s="413">
        <f t="shared" si="0"/>
        <v>-3690</v>
      </c>
      <c r="P40" s="339"/>
      <c r="Q40" s="336"/>
      <c r="R40" s="499"/>
      <c r="S40" s="336"/>
      <c r="T40" s="500"/>
      <c r="U40" s="336"/>
      <c r="V40" s="329"/>
      <c r="W40" s="501"/>
      <c r="X40" s="329"/>
      <c r="Y40" s="502"/>
      <c r="Z40" s="502"/>
      <c r="AA40" s="502"/>
      <c r="AB40" s="502"/>
      <c r="AC40" s="502"/>
    </row>
    <row r="41" spans="1:29">
      <c r="A41" s="338"/>
      <c r="B41" s="413" t="str">
        <f>SUMMARY!AK3</f>
        <v>YENMIX 123 (20.00KG)</v>
      </c>
      <c r="C41" s="338" t="s">
        <v>346</v>
      </c>
      <c r="D41" s="336">
        <f>SUMMARY!AK67</f>
        <v>4000</v>
      </c>
      <c r="E41" s="336">
        <f>SUMMARY!AK68</f>
        <v>0</v>
      </c>
      <c r="F41" s="336">
        <f>SUMMARY!AK69</f>
        <v>0</v>
      </c>
      <c r="G41" s="336">
        <f>SUMMARY!AK70</f>
        <v>0</v>
      </c>
      <c r="H41" s="336">
        <f>SUMMARY!AK71</f>
        <v>4000</v>
      </c>
      <c r="I41" s="336"/>
      <c r="J41" s="336"/>
      <c r="K41" s="336"/>
      <c r="L41" s="336"/>
      <c r="M41" s="339"/>
      <c r="N41" s="336"/>
      <c r="O41" s="413">
        <f t="shared" si="0"/>
        <v>-4000</v>
      </c>
      <c r="P41" s="339"/>
      <c r="Q41" s="336"/>
      <c r="R41" s="499"/>
      <c r="S41" s="336"/>
      <c r="T41" s="500"/>
      <c r="U41" s="336"/>
      <c r="V41" s="329"/>
      <c r="W41" s="501"/>
      <c r="X41" s="329"/>
      <c r="Y41" s="502"/>
      <c r="Z41" s="502"/>
      <c r="AA41" s="502"/>
      <c r="AB41" s="502"/>
      <c r="AC41" s="502"/>
    </row>
    <row r="42" spans="1:29">
      <c r="A42" s="338"/>
      <c r="B42" s="413">
        <f>SUMMARY!AL3</f>
        <v>1</v>
      </c>
      <c r="C42" s="338" t="s">
        <v>346</v>
      </c>
      <c r="D42" s="336">
        <f>SUMMARY!AL67</f>
        <v>0</v>
      </c>
      <c r="E42" s="336">
        <f>SUMMARY!AL68</f>
        <v>0</v>
      </c>
      <c r="F42" s="336">
        <f>SUMMARY!AL69</f>
        <v>0</v>
      </c>
      <c r="G42" s="336">
        <f>SUMMARY!AL70</f>
        <v>0</v>
      </c>
      <c r="H42" s="336">
        <f>SUMMARY!AL71</f>
        <v>0</v>
      </c>
      <c r="I42" s="336"/>
      <c r="J42" s="336"/>
      <c r="K42" s="336"/>
      <c r="L42" s="336"/>
      <c r="M42" s="339"/>
      <c r="N42" s="336"/>
      <c r="O42" s="413">
        <f t="shared" si="0"/>
        <v>0</v>
      </c>
      <c r="P42" s="339"/>
      <c r="Q42" s="336"/>
      <c r="R42" s="336"/>
      <c r="S42" s="336"/>
      <c r="T42" s="336"/>
      <c r="U42" s="336"/>
      <c r="V42" s="329"/>
      <c r="W42" s="501"/>
      <c r="X42" s="329"/>
      <c r="Y42" s="502"/>
      <c r="Z42" s="502"/>
      <c r="AA42" s="502"/>
      <c r="AB42" s="502"/>
      <c r="AC42" s="502"/>
    </row>
    <row r="43" spans="1:29">
      <c r="A43" s="338"/>
      <c r="B43" s="413">
        <f>SUMMARY!AM3</f>
        <v>2</v>
      </c>
      <c r="C43" s="338" t="s">
        <v>346</v>
      </c>
      <c r="D43" s="336">
        <f>SUMMARY!AM67</f>
        <v>0</v>
      </c>
      <c r="E43" s="336">
        <f>SUMMARY!AM68</f>
        <v>0</v>
      </c>
      <c r="F43" s="336">
        <f>SUMMARY!AM69</f>
        <v>0</v>
      </c>
      <c r="G43" s="336">
        <f>SUMMARY!AM70</f>
        <v>0</v>
      </c>
      <c r="H43" s="336">
        <f>SUMMARY!AM71</f>
        <v>0</v>
      </c>
      <c r="I43" s="336"/>
      <c r="J43" s="336"/>
      <c r="K43" s="336"/>
      <c r="L43" s="336"/>
      <c r="M43" s="339"/>
      <c r="N43" s="336"/>
      <c r="O43" s="413">
        <f t="shared" si="0"/>
        <v>0</v>
      </c>
      <c r="P43" s="339"/>
      <c r="Q43" s="336"/>
      <c r="R43" s="336"/>
      <c r="S43" s="336"/>
      <c r="T43" s="336"/>
      <c r="U43" s="336"/>
      <c r="V43" s="329"/>
      <c r="W43" s="501"/>
      <c r="X43" s="329"/>
      <c r="Y43" s="502"/>
      <c r="Z43" s="502"/>
      <c r="AA43" s="502"/>
      <c r="AB43" s="502"/>
      <c r="AC43" s="502"/>
    </row>
    <row r="44" spans="1:29">
      <c r="A44" s="338"/>
      <c r="B44" s="413">
        <f>SUMMARY!AN3</f>
        <v>3</v>
      </c>
      <c r="C44" s="338" t="s">
        <v>346</v>
      </c>
      <c r="D44" s="336">
        <f>SUMMARY!AN67</f>
        <v>0</v>
      </c>
      <c r="E44" s="336">
        <f>SUMMARY!AN68</f>
        <v>0</v>
      </c>
      <c r="F44" s="336">
        <f>SUMMARY!AN69</f>
        <v>0</v>
      </c>
      <c r="G44" s="336">
        <f>SUMMARY!AN70</f>
        <v>0</v>
      </c>
      <c r="H44" s="336">
        <f>SUMMARY!AN71</f>
        <v>0</v>
      </c>
      <c r="I44" s="336"/>
      <c r="J44" s="336"/>
      <c r="K44" s="336"/>
      <c r="L44" s="336"/>
      <c r="M44" s="339"/>
      <c r="N44" s="336"/>
      <c r="O44" s="413">
        <f t="shared" si="0"/>
        <v>0</v>
      </c>
      <c r="P44" s="339"/>
      <c r="Q44" s="336"/>
      <c r="R44" s="336"/>
      <c r="S44" s="336"/>
      <c r="T44" s="336"/>
      <c r="U44" s="336"/>
      <c r="V44" s="329"/>
      <c r="W44" s="501"/>
      <c r="X44" s="329"/>
      <c r="Y44" s="502"/>
      <c r="Z44" s="502"/>
      <c r="AA44" s="502"/>
      <c r="AB44" s="502"/>
      <c r="AC44" s="502"/>
    </row>
    <row r="45" spans="1:29">
      <c r="A45" s="338"/>
      <c r="B45" s="413" t="str">
        <f>SUMMARY!AO3</f>
        <v>TOXISORB PREMIUM</v>
      </c>
      <c r="C45" s="338" t="s">
        <v>346</v>
      </c>
      <c r="D45" s="336">
        <f>SUMMARY!AO67</f>
        <v>1625</v>
      </c>
      <c r="E45" s="336">
        <f>SUMMARY!AO68</f>
        <v>0</v>
      </c>
      <c r="F45" s="336">
        <f>SUMMARY!AO69</f>
        <v>0</v>
      </c>
      <c r="G45" s="336">
        <f>SUMMARY!AO70</f>
        <v>0</v>
      </c>
      <c r="H45" s="336">
        <f>SUMMARY!AO71</f>
        <v>1625</v>
      </c>
      <c r="I45" s="336"/>
      <c r="J45" s="336"/>
      <c r="K45" s="336"/>
      <c r="L45" s="336"/>
      <c r="M45" s="339"/>
      <c r="N45" s="336"/>
      <c r="O45" s="413">
        <f t="shared" si="0"/>
        <v>-1625</v>
      </c>
      <c r="P45" s="339"/>
      <c r="Q45" s="336"/>
      <c r="R45" s="499"/>
      <c r="S45" s="336"/>
      <c r="T45" s="500"/>
      <c r="U45" s="336"/>
      <c r="V45" s="329"/>
      <c r="W45" s="501"/>
      <c r="X45" s="329"/>
      <c r="Y45" s="502"/>
      <c r="Z45" s="502"/>
      <c r="AA45" s="502"/>
      <c r="AB45" s="502"/>
      <c r="AC45" s="502"/>
    </row>
    <row r="46" spans="1:29">
      <c r="A46" s="338"/>
      <c r="B46" s="413" t="str">
        <f>SUMMARY!AP3</f>
        <v>SODIUM HUMATE 3.8% (HARUMI)</v>
      </c>
      <c r="C46" s="338" t="s">
        <v>346</v>
      </c>
      <c r="D46" s="336">
        <f>SUMMARY!AP67</f>
        <v>0</v>
      </c>
      <c r="E46" s="336">
        <f>SUMMARY!AP68</f>
        <v>0</v>
      </c>
      <c r="F46" s="336">
        <f>SUMMARY!AP69</f>
        <v>0</v>
      </c>
      <c r="G46" s="336">
        <f>SUMMARY!AP70</f>
        <v>0</v>
      </c>
      <c r="H46" s="336">
        <f>SUMMARY!AP71</f>
        <v>0</v>
      </c>
      <c r="I46" s="336"/>
      <c r="J46" s="336"/>
      <c r="K46" s="336"/>
      <c r="L46" s="336"/>
      <c r="M46" s="339"/>
      <c r="N46" s="336"/>
      <c r="O46" s="413">
        <f t="shared" si="0"/>
        <v>0</v>
      </c>
      <c r="P46" s="339"/>
      <c r="Q46" s="336"/>
      <c r="R46" s="499"/>
      <c r="S46" s="336"/>
      <c r="T46" s="500"/>
      <c r="U46" s="336"/>
      <c r="V46" s="329"/>
      <c r="W46" s="501"/>
      <c r="X46" s="329"/>
      <c r="Y46" s="502"/>
      <c r="Z46" s="502"/>
      <c r="AA46" s="502"/>
      <c r="AB46" s="502"/>
      <c r="AC46" s="502"/>
    </row>
    <row r="47" spans="1:29">
      <c r="A47" s="338"/>
      <c r="B47" s="413" t="s">
        <v>41</v>
      </c>
      <c r="C47" s="338"/>
      <c r="D47" s="336"/>
      <c r="E47" s="336"/>
      <c r="F47" s="336"/>
      <c r="G47" s="336"/>
      <c r="H47" s="336"/>
      <c r="I47" s="336"/>
      <c r="J47" s="336"/>
      <c r="K47" s="336"/>
      <c r="L47" s="336"/>
      <c r="M47" s="339"/>
      <c r="N47" s="336"/>
      <c r="O47" s="413"/>
      <c r="P47" s="339"/>
      <c r="Q47" s="336"/>
      <c r="R47" s="499"/>
      <c r="S47" s="336"/>
      <c r="T47" s="500"/>
      <c r="U47" s="336"/>
      <c r="V47" s="329"/>
      <c r="W47" s="501"/>
      <c r="X47" s="329"/>
      <c r="Y47" s="502"/>
      <c r="Z47" s="502"/>
      <c r="AA47" s="502"/>
      <c r="AB47" s="502"/>
      <c r="AC47" s="502"/>
    </row>
    <row r="48" spans="1:29">
      <c r="A48" s="338"/>
      <c r="B48" s="413" t="str">
        <f>SUMMARY!AR3</f>
        <v>SODIUM BICARBONATE</v>
      </c>
      <c r="C48" s="338" t="s">
        <v>346</v>
      </c>
      <c r="D48" s="336">
        <f>SUMMARY!AR67</f>
        <v>3111.9999999999995</v>
      </c>
      <c r="E48" s="336">
        <f>SUMMARY!AR68</f>
        <v>0</v>
      </c>
      <c r="F48" s="336">
        <f>SUMMARY!AR69</f>
        <v>0</v>
      </c>
      <c r="G48" s="336">
        <f>SUMMARY!AR70</f>
        <v>0</v>
      </c>
      <c r="H48" s="336">
        <f>SUMMARY!AR71</f>
        <v>3111.9999999999995</v>
      </c>
      <c r="I48" s="336"/>
      <c r="J48" s="336"/>
      <c r="K48" s="336"/>
      <c r="L48" s="336"/>
      <c r="M48" s="339"/>
      <c r="N48" s="336"/>
      <c r="O48" s="413"/>
      <c r="P48" s="339"/>
      <c r="Q48" s="336"/>
      <c r="R48" s="499"/>
      <c r="S48" s="336"/>
      <c r="T48" s="500"/>
      <c r="U48" s="336"/>
      <c r="V48" s="329"/>
      <c r="W48" s="501"/>
      <c r="X48" s="329"/>
      <c r="Y48" s="502"/>
      <c r="Z48" s="502"/>
      <c r="AA48" s="502"/>
      <c r="AB48" s="502"/>
      <c r="AC48" s="502"/>
    </row>
    <row r="49" spans="1:29">
      <c r="A49" s="338"/>
      <c r="B49" s="413" t="str">
        <f>SUMMARY!AS3</f>
        <v>BMD 10%</v>
      </c>
      <c r="C49" s="338" t="s">
        <v>346</v>
      </c>
      <c r="D49" s="336">
        <f>SUMMARY!AS67</f>
        <v>1680.5</v>
      </c>
      <c r="E49" s="336">
        <f>SUMMARY!AS68</f>
        <v>0</v>
      </c>
      <c r="F49" s="336">
        <f>SUMMARY!AS69</f>
        <v>0</v>
      </c>
      <c r="G49" s="336">
        <f>SUMMARY!AS70</f>
        <v>0</v>
      </c>
      <c r="H49" s="336">
        <f>SUMMARY!AS71</f>
        <v>1680.5</v>
      </c>
      <c r="I49" s="336"/>
      <c r="J49" s="336"/>
      <c r="K49" s="336"/>
      <c r="L49" s="336"/>
      <c r="M49" s="339"/>
      <c r="N49" s="336"/>
      <c r="O49" s="413">
        <f t="shared" si="0"/>
        <v>-1680.5</v>
      </c>
      <c r="P49" s="339"/>
      <c r="Q49" s="336"/>
      <c r="R49" s="499"/>
      <c r="S49" s="336"/>
      <c r="T49" s="500"/>
      <c r="U49" s="336"/>
      <c r="V49" s="329"/>
      <c r="W49" s="501"/>
      <c r="X49" s="329"/>
      <c r="Y49" s="502"/>
      <c r="Z49" s="502"/>
      <c r="AA49" s="502"/>
      <c r="AB49" s="502"/>
      <c r="AC49" s="502"/>
    </row>
    <row r="50" spans="1:29">
      <c r="A50" s="338"/>
      <c r="B50" s="413" t="str">
        <f>SUMMARY!AT3</f>
        <v>SALT (HARUMI)</v>
      </c>
      <c r="C50" s="338" t="s">
        <v>346</v>
      </c>
      <c r="D50" s="336">
        <f>SUMMARY!AT67</f>
        <v>0</v>
      </c>
      <c r="E50" s="336">
        <f>SUMMARY!AT68</f>
        <v>0</v>
      </c>
      <c r="F50" s="336">
        <f>SUMMARY!AT69</f>
        <v>0</v>
      </c>
      <c r="G50" s="336">
        <f>SUMMARY!AT70</f>
        <v>0</v>
      </c>
      <c r="H50" s="336">
        <f>SUMMARY!AT71</f>
        <v>0</v>
      </c>
      <c r="I50" s="336"/>
      <c r="J50" s="336"/>
      <c r="K50" s="336"/>
      <c r="L50" s="336"/>
      <c r="M50" s="339"/>
      <c r="N50" s="336"/>
      <c r="O50" s="413">
        <f t="shared" si="0"/>
        <v>0</v>
      </c>
      <c r="P50" s="339"/>
      <c r="Q50" s="336"/>
      <c r="R50" s="499"/>
      <c r="S50" s="336"/>
      <c r="T50" s="500"/>
      <c r="U50" s="336"/>
      <c r="V50" s="329"/>
      <c r="W50" s="501"/>
      <c r="X50" s="329"/>
      <c r="Y50" s="502"/>
      <c r="Z50" s="502"/>
      <c r="AA50" s="502"/>
      <c r="AB50" s="502"/>
      <c r="AC50" s="502"/>
    </row>
    <row r="51" spans="1:29">
      <c r="A51" s="338"/>
      <c r="B51" s="413" t="str">
        <f>SUMMARY!AU3</f>
        <v>VISTABET 91</v>
      </c>
      <c r="C51" s="338" t="s">
        <v>346</v>
      </c>
      <c r="D51" s="336">
        <f>SUMMARY!AU67</f>
        <v>1482</v>
      </c>
      <c r="E51" s="336">
        <f>SUMMARY!AU68</f>
        <v>0</v>
      </c>
      <c r="F51" s="336">
        <f>SUMMARY!AU69</f>
        <v>0</v>
      </c>
      <c r="G51" s="336">
        <f>SUMMARY!AU70</f>
        <v>0</v>
      </c>
      <c r="H51" s="336">
        <f>SUMMARY!AU71</f>
        <v>1482</v>
      </c>
      <c r="I51" s="336"/>
      <c r="J51" s="336"/>
      <c r="K51" s="336"/>
      <c r="L51" s="336"/>
      <c r="M51" s="339"/>
      <c r="N51" s="336"/>
      <c r="O51" s="413">
        <f t="shared" si="0"/>
        <v>-1482</v>
      </c>
      <c r="P51" s="339"/>
      <c r="Q51" s="336"/>
      <c r="R51" s="499"/>
      <c r="S51" s="336"/>
      <c r="T51" s="500"/>
      <c r="U51" s="336"/>
      <c r="V51" s="329"/>
      <c r="W51" s="501"/>
      <c r="X51" s="329"/>
      <c r="Y51" s="502"/>
      <c r="Z51" s="502"/>
      <c r="AA51" s="502"/>
      <c r="AB51" s="502"/>
      <c r="AC51" s="502"/>
    </row>
    <row r="52" spans="1:29">
      <c r="A52" s="338"/>
      <c r="B52" s="413" t="str">
        <f>SUMMARY!AV3</f>
        <v>BETAFIN</v>
      </c>
      <c r="C52" s="338" t="s">
        <v>346</v>
      </c>
      <c r="D52" s="336">
        <f>SUMMARY!AV67</f>
        <v>0</v>
      </c>
      <c r="E52" s="336">
        <f>SUMMARY!AV68</f>
        <v>0</v>
      </c>
      <c r="F52" s="336">
        <f>SUMMARY!AV69</f>
        <v>0</v>
      </c>
      <c r="G52" s="336">
        <f>SUMMARY!AV70</f>
        <v>0</v>
      </c>
      <c r="H52" s="336">
        <f>SUMMARY!AV71</f>
        <v>0</v>
      </c>
      <c r="I52" s="336"/>
      <c r="J52" s="336"/>
      <c r="K52" s="336"/>
      <c r="L52" s="336"/>
      <c r="M52" s="339"/>
      <c r="N52" s="336"/>
      <c r="O52" s="413">
        <f t="shared" si="0"/>
        <v>0</v>
      </c>
      <c r="P52" s="339"/>
      <c r="Q52" s="336"/>
      <c r="R52" s="499"/>
      <c r="S52" s="336"/>
      <c r="T52" s="500"/>
      <c r="U52" s="336"/>
      <c r="V52" s="329"/>
      <c r="W52" s="501"/>
      <c r="X52" s="329"/>
      <c r="Y52" s="502"/>
      <c r="Z52" s="502"/>
      <c r="AA52" s="502"/>
      <c r="AB52" s="502"/>
      <c r="AC52" s="502"/>
    </row>
    <row r="53" spans="1:29">
      <c r="A53" s="338"/>
      <c r="B53" s="413" t="str">
        <f>SUMMARY!AW3</f>
        <v>8101 TOP UP</v>
      </c>
      <c r="C53" s="338" t="s">
        <v>346</v>
      </c>
      <c r="D53" s="336">
        <f>SUMMARY!AW67</f>
        <v>100</v>
      </c>
      <c r="E53" s="336">
        <f>SUMMARY!AW68</f>
        <v>0</v>
      </c>
      <c r="F53" s="336">
        <f>SUMMARY!AW69</f>
        <v>0</v>
      </c>
      <c r="G53" s="336">
        <f>SUMMARY!AW70</f>
        <v>0</v>
      </c>
      <c r="H53" s="336">
        <f>SUMMARY!AW71</f>
        <v>100</v>
      </c>
      <c r="I53" s="336"/>
      <c r="J53" s="336"/>
      <c r="K53" s="336"/>
      <c r="L53" s="336"/>
      <c r="M53" s="339"/>
      <c r="N53" s="336"/>
      <c r="O53" s="413">
        <f t="shared" si="0"/>
        <v>-100</v>
      </c>
      <c r="P53" s="339"/>
      <c r="Q53" s="336"/>
      <c r="R53" s="499"/>
      <c r="S53" s="336"/>
      <c r="T53" s="500"/>
      <c r="U53" s="336"/>
      <c r="V53" s="329"/>
      <c r="W53" s="501"/>
      <c r="X53" s="329"/>
      <c r="Y53" s="502"/>
      <c r="Z53" s="502"/>
      <c r="AA53" s="502"/>
      <c r="AB53" s="502"/>
      <c r="AC53" s="502"/>
    </row>
    <row r="54" spans="1:29">
      <c r="A54" s="338"/>
      <c r="B54" s="413" t="str">
        <f>SUMMARY!AX3</f>
        <v>NORPONIN X03 (8102 TOP UP)</v>
      </c>
      <c r="C54" s="338" t="s">
        <v>346</v>
      </c>
      <c r="D54" s="336">
        <f>SUMMARY!AX67</f>
        <v>13.960000000000036</v>
      </c>
      <c r="E54" s="336">
        <f>SUMMARY!AX68</f>
        <v>0</v>
      </c>
      <c r="F54" s="336">
        <f>SUMMARY!AX69</f>
        <v>0</v>
      </c>
      <c r="G54" s="336">
        <f>SUMMARY!AX70</f>
        <v>0</v>
      </c>
      <c r="H54" s="336">
        <f>SUMMARY!AX71</f>
        <v>13.960000000000036</v>
      </c>
      <c r="I54" s="336"/>
      <c r="J54" s="336"/>
      <c r="K54" s="336"/>
      <c r="L54" s="336"/>
      <c r="M54" s="339"/>
      <c r="N54" s="336"/>
      <c r="O54" s="413">
        <f t="shared" si="0"/>
        <v>-13.960000000000036</v>
      </c>
      <c r="P54" s="339"/>
      <c r="Q54" s="336"/>
      <c r="R54" s="499"/>
      <c r="S54" s="336"/>
      <c r="T54" s="500"/>
      <c r="U54" s="336"/>
      <c r="V54" s="329"/>
      <c r="W54" s="501"/>
      <c r="X54" s="329"/>
      <c r="Y54" s="502"/>
      <c r="Z54" s="502"/>
      <c r="AA54" s="502"/>
      <c r="AB54" s="502"/>
      <c r="AC54" s="502"/>
    </row>
    <row r="55" spans="1:29">
      <c r="A55" s="338"/>
      <c r="B55" s="413" t="str">
        <f>SUMMARY!AY3</f>
        <v>8102 TOP UP (4KG)</v>
      </c>
      <c r="C55" s="338" t="s">
        <v>346</v>
      </c>
      <c r="D55" s="336">
        <f>SUMMARY!AY67</f>
        <v>548</v>
      </c>
      <c r="E55" s="336">
        <f>SUMMARY!AY68</f>
        <v>0</v>
      </c>
      <c r="F55" s="336">
        <f>SUMMARY!AY69</f>
        <v>0</v>
      </c>
      <c r="G55" s="336">
        <f>SUMMARY!AY70</f>
        <v>0</v>
      </c>
      <c r="H55" s="336">
        <f>SUMMARY!AY71</f>
        <v>548</v>
      </c>
      <c r="I55" s="336"/>
      <c r="J55" s="336"/>
      <c r="K55" s="336"/>
      <c r="L55" s="336"/>
      <c r="M55" s="339"/>
      <c r="N55" s="336"/>
      <c r="O55" s="413">
        <f t="shared" si="0"/>
        <v>-548</v>
      </c>
      <c r="P55" s="339"/>
      <c r="Q55" s="336"/>
      <c r="R55" s="499"/>
      <c r="S55" s="336"/>
      <c r="T55" s="500"/>
      <c r="U55" s="336"/>
      <c r="V55" s="329"/>
      <c r="W55" s="501"/>
      <c r="X55" s="329"/>
      <c r="Y55" s="502"/>
      <c r="Z55" s="502"/>
      <c r="AA55" s="502"/>
      <c r="AB55" s="502"/>
      <c r="AC55" s="502"/>
    </row>
    <row r="56" spans="1:29">
      <c r="A56" s="338"/>
      <c r="B56" s="413" t="str">
        <f>SUMMARY!AZ3</f>
        <v>8103 TOP UP (5KG)</v>
      </c>
      <c r="C56" s="338" t="s">
        <v>346</v>
      </c>
      <c r="D56" s="336">
        <f>SUMMARY!AZ67</f>
        <v>0</v>
      </c>
      <c r="E56" s="336">
        <f>SUMMARY!AZ68</f>
        <v>0</v>
      </c>
      <c r="F56" s="336">
        <f>SUMMARY!AZ69</f>
        <v>0</v>
      </c>
      <c r="G56" s="336">
        <f>SUMMARY!AZ70</f>
        <v>0</v>
      </c>
      <c r="H56" s="336">
        <f>SUMMARY!AZ71</f>
        <v>0</v>
      </c>
      <c r="I56" s="336"/>
      <c r="J56" s="336"/>
      <c r="K56" s="336"/>
      <c r="L56" s="336"/>
      <c r="M56" s="339"/>
      <c r="N56" s="336"/>
      <c r="O56" s="413">
        <f t="shared" si="0"/>
        <v>0</v>
      </c>
      <c r="P56" s="339"/>
      <c r="Q56" s="336"/>
      <c r="R56" s="499"/>
      <c r="S56" s="336"/>
      <c r="T56" s="500"/>
      <c r="U56" s="336"/>
      <c r="V56" s="329"/>
      <c r="W56" s="501"/>
      <c r="X56" s="329"/>
      <c r="Y56" s="502"/>
      <c r="Z56" s="502"/>
      <c r="AA56" s="502"/>
      <c r="AB56" s="502"/>
      <c r="AC56" s="502"/>
    </row>
    <row r="57" spans="1:29">
      <c r="A57" s="338"/>
      <c r="B57" s="413" t="str">
        <f>SUMMARY!BA3</f>
        <v>L-ARGININE</v>
      </c>
      <c r="C57" s="338" t="s">
        <v>346</v>
      </c>
      <c r="D57" s="336">
        <f>SUMMARY!BA67</f>
        <v>0</v>
      </c>
      <c r="E57" s="336">
        <f>SUMMARY!BA68</f>
        <v>0</v>
      </c>
      <c r="F57" s="336">
        <f>SUMMARY!BA69</f>
        <v>0</v>
      </c>
      <c r="G57" s="336">
        <f>-SUMMARY!BA70</f>
        <v>0</v>
      </c>
      <c r="H57" s="336">
        <f>SUMMARY!BA71</f>
        <v>0</v>
      </c>
      <c r="I57" s="336"/>
      <c r="J57" s="336"/>
      <c r="K57" s="336"/>
      <c r="L57" s="336"/>
      <c r="M57" s="339"/>
      <c r="N57" s="336"/>
      <c r="O57" s="413"/>
      <c r="P57" s="339"/>
      <c r="Q57" s="336"/>
      <c r="R57" s="499"/>
      <c r="S57" s="336"/>
      <c r="T57" s="500"/>
      <c r="U57" s="336"/>
      <c r="V57" s="329"/>
      <c r="W57" s="501"/>
      <c r="X57" s="329"/>
      <c r="Y57" s="502"/>
      <c r="Z57" s="502"/>
      <c r="AA57" s="502"/>
      <c r="AB57" s="502"/>
      <c r="AC57" s="502"/>
    </row>
    <row r="58" spans="1:29">
      <c r="A58" s="338"/>
      <c r="B58" s="413" t="str">
        <f>SUMMARY!BB3</f>
        <v>DL-METHIONINE</v>
      </c>
      <c r="C58" s="338" t="s">
        <v>346</v>
      </c>
      <c r="D58" s="336">
        <f>SUMMARY!BB67</f>
        <v>147.04000000000002</v>
      </c>
      <c r="E58" s="336">
        <f>SUMMARY!BB68</f>
        <v>0</v>
      </c>
      <c r="F58" s="336">
        <f>SUMMARY!BB69</f>
        <v>0</v>
      </c>
      <c r="G58" s="336">
        <f>SUMMARY!BB70</f>
        <v>0</v>
      </c>
      <c r="H58" s="336">
        <f>SUMMARY!BB71</f>
        <v>147.04000000000002</v>
      </c>
      <c r="I58" s="336"/>
      <c r="J58" s="336"/>
      <c r="K58" s="336"/>
      <c r="L58" s="336"/>
      <c r="M58" s="339"/>
      <c r="N58" s="336"/>
      <c r="O58" s="413"/>
      <c r="P58" s="339"/>
      <c r="Q58" s="336"/>
      <c r="R58" s="499"/>
      <c r="S58" s="336"/>
      <c r="T58" s="500"/>
      <c r="U58" s="336"/>
      <c r="V58" s="329"/>
      <c r="W58" s="501"/>
      <c r="X58" s="329"/>
      <c r="Y58" s="502"/>
      <c r="Z58" s="502"/>
      <c r="AA58" s="502"/>
      <c r="AB58" s="502"/>
      <c r="AC58" s="502"/>
    </row>
    <row r="59" spans="1:29">
      <c r="A59" s="338"/>
      <c r="B59" s="413" t="str">
        <f>SUMMARY!BC3</f>
        <v>L-THREONINE</v>
      </c>
      <c r="C59" s="338" t="s">
        <v>346</v>
      </c>
      <c r="D59" s="336">
        <f>SUMMARY!BC67</f>
        <v>46.8</v>
      </c>
      <c r="E59" s="336">
        <f>SUMMARY!BC68</f>
        <v>0</v>
      </c>
      <c r="F59" s="336">
        <f>SUMMARY!BC69</f>
        <v>0</v>
      </c>
      <c r="G59" s="336">
        <f>-SUMMARY!BC70</f>
        <v>0</v>
      </c>
      <c r="H59" s="336">
        <f>SUMMARY!BC71</f>
        <v>46.8</v>
      </c>
      <c r="I59" s="336"/>
      <c r="J59" s="336"/>
      <c r="K59" s="336"/>
      <c r="L59" s="336"/>
      <c r="M59" s="339"/>
      <c r="N59" s="303"/>
      <c r="O59" s="303"/>
      <c r="P59" s="339"/>
      <c r="Q59" s="336"/>
      <c r="R59" s="499"/>
      <c r="S59" s="336"/>
      <c r="T59" s="500"/>
      <c r="U59" s="336"/>
      <c r="V59" s="329"/>
      <c r="W59" s="329"/>
      <c r="X59" s="329"/>
      <c r="Y59" s="329"/>
      <c r="Z59" s="329"/>
      <c r="AA59" s="329"/>
      <c r="AB59" s="329"/>
      <c r="AC59" s="329"/>
    </row>
    <row r="60" spans="1:29">
      <c r="A60" s="338"/>
      <c r="B60" s="413" t="str">
        <f>SUMMARY!BD3</f>
        <v>L-LYSINE</v>
      </c>
      <c r="C60" s="338" t="s">
        <v>346</v>
      </c>
      <c r="D60" s="356">
        <f>SUMMARY!BD67</f>
        <v>0</v>
      </c>
      <c r="E60" s="356">
        <f>SUMMARY!BD68</f>
        <v>0</v>
      </c>
      <c r="F60" s="356">
        <f>SUMMARY!BD69</f>
        <v>0</v>
      </c>
      <c r="G60" s="356">
        <f>SUMMARY!BD70</f>
        <v>0</v>
      </c>
      <c r="H60" s="356">
        <f>SUMMARY!BD71</f>
        <v>0</v>
      </c>
      <c r="I60" s="336"/>
      <c r="J60" s="336"/>
      <c r="K60" s="356"/>
      <c r="L60" s="336"/>
      <c r="M60" s="339"/>
      <c r="N60" s="303"/>
      <c r="O60" s="303"/>
      <c r="P60" s="339"/>
      <c r="Q60" s="336"/>
      <c r="R60" s="499"/>
      <c r="S60" s="336"/>
      <c r="T60" s="500"/>
      <c r="U60" s="336"/>
      <c r="V60" s="329"/>
      <c r="W60" s="329"/>
      <c r="X60" s="329"/>
      <c r="Y60" s="329"/>
      <c r="Z60" s="329"/>
      <c r="AA60" s="329"/>
      <c r="AB60" s="329"/>
      <c r="AC60" s="329"/>
    </row>
    <row r="61" spans="1:29">
      <c r="A61" s="338"/>
      <c r="B61" s="413" t="str">
        <f>SUMMARY!BE3</f>
        <v>FAECES DRY</v>
      </c>
      <c r="C61" s="338" t="s">
        <v>346</v>
      </c>
      <c r="D61" s="356">
        <f>SUMMARY!BE67</f>
        <v>24.200000000000003</v>
      </c>
      <c r="E61" s="356">
        <f>SUMMARY!BE68</f>
        <v>0</v>
      </c>
      <c r="F61" s="356">
        <f>SUMMARY!BE69</f>
        <v>0</v>
      </c>
      <c r="G61" s="356">
        <f>SUMMARY!BE70</f>
        <v>0</v>
      </c>
      <c r="H61" s="356">
        <f>SUMMARY!BE71</f>
        <v>24.200000000000003</v>
      </c>
      <c r="I61" s="336"/>
      <c r="J61" s="336"/>
      <c r="K61" s="356"/>
      <c r="L61" s="336"/>
      <c r="M61" s="339"/>
      <c r="N61" s="303"/>
      <c r="O61" s="303"/>
      <c r="P61" s="339"/>
      <c r="Q61" s="336"/>
      <c r="R61" s="499"/>
      <c r="S61" s="336"/>
      <c r="T61" s="500"/>
      <c r="U61" s="336"/>
      <c r="V61" s="329"/>
      <c r="W61" s="329"/>
      <c r="X61" s="329"/>
      <c r="Y61" s="329"/>
      <c r="Z61" s="329"/>
      <c r="AA61" s="329"/>
      <c r="AB61" s="329"/>
      <c r="AC61" s="329"/>
    </row>
    <row r="62" spans="1:29">
      <c r="A62" s="338"/>
      <c r="B62" s="413"/>
      <c r="C62" s="338"/>
      <c r="D62" s="356"/>
      <c r="E62" s="356"/>
      <c r="F62" s="356"/>
      <c r="G62" s="356"/>
      <c r="H62" s="356"/>
      <c r="I62" s="336"/>
      <c r="J62" s="336"/>
      <c r="K62" s="356"/>
      <c r="L62" s="336"/>
      <c r="M62" s="339"/>
      <c r="N62" s="303"/>
      <c r="O62" s="303"/>
      <c r="P62" s="339"/>
      <c r="Q62" s="336"/>
      <c r="R62" s="499"/>
      <c r="S62" s="336"/>
      <c r="T62" s="500"/>
      <c r="U62" s="336"/>
      <c r="V62" s="329"/>
      <c r="W62" s="329"/>
      <c r="X62" s="329"/>
      <c r="Y62" s="329"/>
      <c r="Z62" s="329"/>
      <c r="AA62" s="329"/>
      <c r="AB62" s="329"/>
      <c r="AC62" s="329"/>
    </row>
    <row r="63" spans="1:29">
      <c r="A63" s="338"/>
      <c r="B63" s="310" t="s">
        <v>348</v>
      </c>
      <c r="C63" s="338"/>
      <c r="D63" s="356"/>
      <c r="E63" s="356"/>
      <c r="F63" s="356"/>
      <c r="G63" s="356"/>
      <c r="H63" s="356"/>
      <c r="I63" s="336"/>
      <c r="J63" s="336"/>
      <c r="K63" s="356"/>
      <c r="L63" s="336"/>
      <c r="M63" s="339"/>
      <c r="N63" s="303"/>
      <c r="O63" s="303"/>
      <c r="P63" s="339"/>
      <c r="Q63" s="336"/>
      <c r="R63" s="499"/>
      <c r="S63" s="336"/>
      <c r="T63" s="500"/>
      <c r="U63" s="336"/>
      <c r="V63" s="329"/>
      <c r="W63" s="329"/>
      <c r="X63" s="329"/>
      <c r="Y63" s="329"/>
      <c r="Z63" s="329"/>
      <c r="AA63" s="329"/>
      <c r="AB63" s="329"/>
      <c r="AC63" s="329"/>
    </row>
    <row r="64" spans="1:29">
      <c r="A64" s="338"/>
      <c r="B64" s="413"/>
      <c r="C64" s="338" t="s">
        <v>349</v>
      </c>
      <c r="D64" s="356"/>
      <c r="E64" s="356"/>
      <c r="F64" s="356"/>
      <c r="G64" s="356"/>
      <c r="H64" s="356"/>
      <c r="I64" s="336"/>
      <c r="J64" s="336"/>
      <c r="K64" s="356"/>
      <c r="L64" s="336"/>
      <c r="M64" s="339"/>
      <c r="N64" s="303"/>
      <c r="O64" s="303"/>
      <c r="P64" s="339"/>
      <c r="Q64" s="336"/>
      <c r="R64" s="499"/>
      <c r="S64" s="336"/>
      <c r="T64" s="500"/>
      <c r="U64" s="336"/>
      <c r="V64" s="329"/>
      <c r="W64" s="329"/>
      <c r="X64" s="329"/>
      <c r="Y64" s="329"/>
      <c r="Z64" s="329"/>
      <c r="AA64" s="329"/>
      <c r="AB64" s="329"/>
      <c r="AC64" s="329"/>
    </row>
    <row r="65" spans="1:29">
      <c r="A65" s="338"/>
      <c r="B65" s="413"/>
      <c r="C65" s="338" t="s">
        <v>349</v>
      </c>
      <c r="D65" s="356"/>
      <c r="E65" s="356"/>
      <c r="F65" s="356"/>
      <c r="G65" s="356"/>
      <c r="H65" s="356"/>
      <c r="I65" s="336"/>
      <c r="J65" s="336"/>
      <c r="K65" s="356"/>
      <c r="L65" s="336"/>
      <c r="M65" s="339"/>
      <c r="N65" s="303"/>
      <c r="O65" s="303"/>
      <c r="P65" s="339"/>
      <c r="Q65" s="336"/>
      <c r="R65" s="499"/>
      <c r="S65" s="336"/>
      <c r="T65" s="500"/>
      <c r="U65" s="336"/>
      <c r="V65" s="329"/>
      <c r="W65" s="329"/>
      <c r="X65" s="329"/>
      <c r="Y65" s="329"/>
      <c r="Z65" s="329"/>
      <c r="AA65" s="329"/>
      <c r="AB65" s="329"/>
      <c r="AC65" s="329"/>
    </row>
    <row r="66" spans="1:29">
      <c r="A66" s="338"/>
      <c r="B66" s="413"/>
      <c r="C66" s="338"/>
      <c r="D66" s="356"/>
      <c r="E66" s="356"/>
      <c r="F66" s="356"/>
      <c r="G66" s="356"/>
      <c r="H66" s="356"/>
      <c r="I66" s="336"/>
      <c r="J66" s="336"/>
      <c r="K66" s="356"/>
      <c r="L66" s="336"/>
      <c r="M66" s="339"/>
      <c r="N66" s="303"/>
      <c r="O66" s="303"/>
      <c r="P66" s="339"/>
      <c r="Q66" s="336"/>
      <c r="R66" s="499"/>
      <c r="S66" s="336"/>
      <c r="T66" s="500"/>
      <c r="U66" s="336"/>
      <c r="V66" s="329"/>
      <c r="W66" s="329"/>
      <c r="X66" s="329"/>
      <c r="Y66" s="329"/>
      <c r="Z66" s="329"/>
      <c r="AA66" s="329"/>
      <c r="AB66" s="329"/>
      <c r="AC66" s="329"/>
    </row>
    <row r="67" spans="1:29">
      <c r="A67" s="338"/>
      <c r="B67" s="413"/>
      <c r="C67" s="338"/>
      <c r="D67" s="356"/>
      <c r="E67" s="356"/>
      <c r="F67" s="356"/>
      <c r="G67" s="356"/>
      <c r="H67" s="356"/>
      <c r="I67" s="336"/>
      <c r="J67" s="336"/>
      <c r="K67" s="356"/>
      <c r="L67" s="336"/>
      <c r="M67" s="339"/>
      <c r="N67" s="303"/>
      <c r="O67" s="303"/>
      <c r="P67" s="339"/>
      <c r="Q67" s="336"/>
      <c r="R67" s="499"/>
      <c r="S67" s="336"/>
      <c r="T67" s="500"/>
      <c r="U67" s="336"/>
      <c r="V67" s="329"/>
      <c r="W67" s="329"/>
      <c r="X67" s="329"/>
      <c r="Y67" s="329"/>
      <c r="Z67" s="329"/>
      <c r="AA67" s="329"/>
      <c r="AB67" s="329"/>
      <c r="AC67" s="329"/>
    </row>
    <row r="68" spans="1:29" ht="13.9" thickBot="1">
      <c r="A68" s="338"/>
      <c r="B68" s="302" t="s">
        <v>72</v>
      </c>
      <c r="C68" s="475"/>
      <c r="D68" s="506">
        <f>SUM(D4:D59)</f>
        <v>448183.06000000006</v>
      </c>
      <c r="E68" s="506">
        <f t="shared" ref="E68:H68" si="1">SUM(E4:E59)</f>
        <v>0</v>
      </c>
      <c r="F68" s="506">
        <f t="shared" si="1"/>
        <v>0</v>
      </c>
      <c r="G68" s="506">
        <f t="shared" si="1"/>
        <v>0</v>
      </c>
      <c r="H68" s="506">
        <f t="shared" si="1"/>
        <v>448183.06000000006</v>
      </c>
      <c r="I68" s="336"/>
      <c r="J68" s="336"/>
      <c r="K68" s="507">
        <f>SUM(K4:K59)</f>
        <v>0</v>
      </c>
      <c r="L68" s="508"/>
      <c r="M68" s="339"/>
      <c r="N68" s="303"/>
      <c r="O68" s="303"/>
      <c r="P68" s="339"/>
      <c r="Q68" s="336"/>
      <c r="R68" s="499"/>
      <c r="S68" s="336"/>
      <c r="T68" s="500"/>
      <c r="U68" s="336"/>
      <c r="V68" s="329"/>
      <c r="W68" s="329"/>
      <c r="X68" s="329"/>
      <c r="Y68" s="329"/>
      <c r="Z68" s="329"/>
      <c r="AA68" s="329"/>
      <c r="AB68" s="329"/>
      <c r="AC68" s="329"/>
    </row>
    <row r="69" spans="1:29">
      <c r="A69" s="496"/>
      <c r="B69" s="501"/>
      <c r="C69" s="473"/>
      <c r="D69" s="339"/>
      <c r="E69" s="339"/>
      <c r="F69" s="339"/>
      <c r="G69" s="339"/>
      <c r="H69" s="339"/>
      <c r="I69" s="339"/>
      <c r="J69" s="339"/>
      <c r="K69" s="339"/>
      <c r="L69" s="339"/>
      <c r="M69" s="339"/>
      <c r="N69" s="299"/>
      <c r="O69" s="299"/>
      <c r="P69" s="339"/>
      <c r="Q69" s="339"/>
      <c r="R69" s="509"/>
      <c r="S69" s="339"/>
      <c r="T69" s="510"/>
      <c r="U69" s="339"/>
      <c r="V69" s="329"/>
      <c r="W69" s="329"/>
      <c r="X69" s="329"/>
      <c r="Y69" s="329"/>
      <c r="Z69" s="329"/>
      <c r="AA69" s="329"/>
      <c r="AB69" s="329"/>
      <c r="AC69" s="329"/>
    </row>
    <row r="70" spans="1:29">
      <c r="A70" s="496"/>
      <c r="B70" s="501"/>
      <c r="C70" s="473"/>
      <c r="D70" s="339">
        <f>D68-SUM(SUMMARY!B67:AZ67)</f>
        <v>-933.1600000000326</v>
      </c>
      <c r="E70" s="339">
        <f>E615-SUM(SUMMARY!B68:AZ68)</f>
        <v>0</v>
      </c>
      <c r="F70" s="339">
        <f>F68-SUM(SUMMARY!B69:AZ69)</f>
        <v>0</v>
      </c>
      <c r="G70" s="339">
        <f>G68-SUM(SUMMARY!B70:AZ70)</f>
        <v>0</v>
      </c>
      <c r="H70" s="339">
        <f>H68-SUM(SUMMARY!B71:AZ71)</f>
        <v>-933.1600000000326</v>
      </c>
      <c r="I70" s="339"/>
      <c r="J70" s="339"/>
      <c r="K70" s="339"/>
      <c r="L70" s="339"/>
      <c r="M70" s="339"/>
      <c r="N70" s="299"/>
      <c r="O70" s="299"/>
      <c r="P70" s="339"/>
      <c r="Q70" s="339"/>
      <c r="R70" s="509"/>
      <c r="S70" s="339"/>
      <c r="T70" s="510"/>
      <c r="U70" s="339"/>
      <c r="V70" s="329"/>
      <c r="W70" s="329"/>
      <c r="X70" s="329"/>
      <c r="Y70" s="329"/>
      <c r="Z70" s="329"/>
      <c r="AA70" s="329"/>
      <c r="AB70" s="329"/>
      <c r="AC70" s="329"/>
    </row>
    <row r="71" spans="1:29">
      <c r="A71" s="496"/>
      <c r="B71" s="329"/>
      <c r="C71" s="496"/>
      <c r="D71" s="339"/>
      <c r="E71" s="339"/>
      <c r="F71" s="339"/>
      <c r="G71" s="339"/>
      <c r="H71" s="339"/>
      <c r="I71" s="339"/>
      <c r="J71" s="339"/>
      <c r="K71" s="339"/>
      <c r="L71" s="339"/>
      <c r="M71" s="339"/>
      <c r="N71" s="299"/>
      <c r="O71" s="299"/>
      <c r="P71" s="339"/>
      <c r="Q71" s="339"/>
      <c r="R71" s="509"/>
      <c r="S71" s="339"/>
      <c r="T71" s="510"/>
      <c r="U71" s="339"/>
      <c r="V71" s="329"/>
      <c r="W71" s="329"/>
      <c r="X71" s="329"/>
      <c r="Y71" s="329"/>
      <c r="Z71" s="329"/>
      <c r="AA71" s="329"/>
      <c r="AB71" s="329"/>
      <c r="AC71" s="329"/>
    </row>
  </sheetData>
  <autoFilter ref="A2:X71" xr:uid="{00000000-0009-0000-0000-00000D000000}"/>
  <mergeCells count="2">
    <mergeCell ref="J1:K1"/>
    <mergeCell ref="Q1:U1"/>
  </mergeCells>
  <printOptions horizontalCentered="1" verticalCentered="1"/>
  <pageMargins left="0.39370078740157483" right="0.70866141732283472" top="0.70866141732283472" bottom="0.39370078740157483" header="0" footer="0"/>
  <pageSetup paperSize="9" scale="6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C72"/>
  <sheetViews>
    <sheetView topLeftCell="A43" workbookViewId="0">
      <selection activeCell="B49" sqref="B49"/>
    </sheetView>
  </sheetViews>
  <sheetFormatPr defaultColWidth="9.28515625" defaultRowHeight="13.15"/>
  <cols>
    <col min="1" max="1" width="5.7109375" style="305" bestFit="1" customWidth="1"/>
    <col min="2" max="2" width="36.85546875" style="306" customWidth="1"/>
    <col min="3" max="3" width="5" style="331" customWidth="1"/>
    <col min="4" max="4" width="12.28515625" style="307" bestFit="1" customWidth="1"/>
    <col min="5" max="5" width="13.42578125" style="307" bestFit="1" customWidth="1"/>
    <col min="6" max="6" width="12.28515625" style="307" bestFit="1" customWidth="1"/>
    <col min="7" max="7" width="14.7109375" style="307" bestFit="1" customWidth="1"/>
    <col min="8" max="8" width="12" style="307" bestFit="1" customWidth="1"/>
    <col min="9" max="9" width="13.28515625" style="307" bestFit="1" customWidth="1"/>
    <col min="10" max="11" width="13.7109375" style="307" bestFit="1" customWidth="1"/>
    <col min="12" max="12" width="41.7109375" style="307" bestFit="1" customWidth="1"/>
    <col min="13" max="13" width="1.42578125" style="307" bestFit="1" customWidth="1"/>
    <col min="14" max="14" width="14" style="307" bestFit="1" customWidth="1"/>
    <col min="15" max="15" width="13" style="307" bestFit="1" customWidth="1"/>
    <col min="16" max="16" width="3.42578125" style="307" customWidth="1"/>
    <col min="17" max="17" width="15.7109375" style="307" bestFit="1" customWidth="1"/>
    <col min="18" max="18" width="11.28515625" style="317" bestFit="1" customWidth="1"/>
    <col min="19" max="19" width="45.28515625" style="307" bestFit="1" customWidth="1"/>
    <col min="20" max="20" width="14.7109375" style="309" bestFit="1" customWidth="1"/>
    <col min="21" max="21" width="13.7109375" style="307" bestFit="1" customWidth="1"/>
    <col min="22" max="22" width="9.28515625" style="306"/>
    <col min="23" max="23" width="34.28515625" style="306" bestFit="1" customWidth="1"/>
    <col min="24" max="25" width="9.28515625" style="306"/>
    <col min="26" max="27" width="9.42578125" style="306" bestFit="1" customWidth="1"/>
    <col min="28" max="28" width="9.28515625" style="306"/>
    <col min="29" max="29" width="10.28515625" style="306" bestFit="1" customWidth="1"/>
    <col min="30" max="16384" width="9.28515625" style="306"/>
  </cols>
  <sheetData>
    <row r="1" spans="1:29">
      <c r="A1" s="496"/>
      <c r="B1" s="291" t="str">
        <f>SUMMARY!B100</f>
        <v>HARUMI Stock - NOV 2026</v>
      </c>
      <c r="C1" s="337"/>
      <c r="D1" s="344"/>
      <c r="E1" s="344"/>
      <c r="F1" s="344"/>
      <c r="G1" s="344"/>
      <c r="H1" s="344"/>
      <c r="I1" s="497"/>
      <c r="J1" s="852"/>
      <c r="K1" s="852"/>
      <c r="L1" s="498"/>
      <c r="M1" s="498"/>
      <c r="N1" s="498"/>
      <c r="O1" s="339"/>
      <c r="P1" s="339"/>
      <c r="Q1" s="853" t="s">
        <v>330</v>
      </c>
      <c r="R1" s="853"/>
      <c r="S1" s="853"/>
      <c r="T1" s="853"/>
      <c r="U1" s="853"/>
      <c r="V1" s="329"/>
      <c r="W1" s="329"/>
      <c r="X1" s="329"/>
      <c r="Y1" s="329"/>
      <c r="Z1" s="329"/>
      <c r="AA1" s="329"/>
      <c r="AB1" s="329"/>
      <c r="AC1" s="329"/>
    </row>
    <row r="2" spans="1:29" s="305" customFormat="1" ht="26.45">
      <c r="A2" s="311" t="s">
        <v>331</v>
      </c>
      <c r="B2" s="312" t="s">
        <v>332</v>
      </c>
      <c r="C2" s="313" t="s">
        <v>333</v>
      </c>
      <c r="D2" s="313" t="s">
        <v>334</v>
      </c>
      <c r="E2" s="313" t="s">
        <v>335</v>
      </c>
      <c r="F2" s="313" t="s">
        <v>166</v>
      </c>
      <c r="G2" s="313" t="s">
        <v>168</v>
      </c>
      <c r="H2" s="313" t="s">
        <v>336</v>
      </c>
      <c r="I2" s="293" t="s">
        <v>337</v>
      </c>
      <c r="J2" s="294" t="s">
        <v>338</v>
      </c>
      <c r="K2" s="313" t="s">
        <v>339</v>
      </c>
      <c r="L2" s="313" t="s">
        <v>170</v>
      </c>
      <c r="M2" s="314"/>
      <c r="N2" s="294" t="s">
        <v>340</v>
      </c>
      <c r="O2" s="313" t="s">
        <v>330</v>
      </c>
      <c r="P2" s="315"/>
      <c r="Q2" s="297" t="s">
        <v>341</v>
      </c>
      <c r="R2" s="304" t="s">
        <v>164</v>
      </c>
      <c r="S2" s="298" t="s">
        <v>342</v>
      </c>
      <c r="T2" s="316" t="s">
        <v>343</v>
      </c>
      <c r="U2" s="298" t="s">
        <v>344</v>
      </c>
      <c r="V2" s="496"/>
      <c r="W2" s="496"/>
      <c r="X2" s="496"/>
      <c r="Y2" s="496"/>
      <c r="Z2" s="496"/>
      <c r="AA2" s="496"/>
      <c r="AB2" s="496"/>
      <c r="AC2" s="496"/>
    </row>
    <row r="3" spans="1:29">
      <c r="A3" s="311"/>
      <c r="B3" s="290" t="s">
        <v>345</v>
      </c>
      <c r="C3" s="313"/>
      <c r="D3" s="292"/>
      <c r="E3" s="292"/>
      <c r="F3" s="292"/>
      <c r="G3" s="292"/>
      <c r="H3" s="292"/>
      <c r="I3" s="293"/>
      <c r="J3" s="294"/>
      <c r="K3" s="292"/>
      <c r="L3" s="292"/>
      <c r="M3" s="295"/>
      <c r="N3" s="294"/>
      <c r="O3" s="292"/>
      <c r="P3" s="296"/>
      <c r="Q3" s="297"/>
      <c r="R3" s="304"/>
      <c r="S3" s="298"/>
      <c r="T3" s="308"/>
      <c r="U3" s="298"/>
      <c r="V3" s="329"/>
      <c r="W3" s="329"/>
      <c r="X3" s="329"/>
      <c r="Y3" s="329"/>
      <c r="Z3" s="329"/>
      <c r="AA3" s="329"/>
      <c r="AB3" s="329"/>
      <c r="AC3" s="329"/>
    </row>
    <row r="4" spans="1:29">
      <c r="A4" s="338"/>
      <c r="B4" s="413" t="str">
        <f>SUMMARY!B3</f>
        <v>MAIZE/CORN</v>
      </c>
      <c r="C4" s="338" t="s">
        <v>346</v>
      </c>
      <c r="D4" s="336">
        <f>SUMMARY!B74</f>
        <v>236936.6</v>
      </c>
      <c r="E4" s="336">
        <f>SUMMARY!B75</f>
        <v>0</v>
      </c>
      <c r="F4" s="336">
        <f>SUMMARY!B76</f>
        <v>0</v>
      </c>
      <c r="G4" s="336">
        <f>SUMMARY!B77</f>
        <v>0</v>
      </c>
      <c r="H4" s="336">
        <f>SUMMARY!B78</f>
        <v>236936.6</v>
      </c>
      <c r="I4" s="336"/>
      <c r="J4" s="336"/>
      <c r="K4" s="336"/>
      <c r="L4" s="336"/>
      <c r="M4" s="339"/>
      <c r="N4" s="336"/>
      <c r="O4" s="413">
        <f>N4-H4</f>
        <v>-236936.6</v>
      </c>
      <c r="P4" s="339"/>
      <c r="Q4" s="336"/>
      <c r="R4" s="499"/>
      <c r="S4" s="336"/>
      <c r="T4" s="500"/>
      <c r="U4" s="336"/>
      <c r="V4" s="329"/>
      <c r="W4" s="501"/>
      <c r="X4" s="329"/>
      <c r="Y4" s="502"/>
      <c r="Z4" s="502"/>
      <c r="AA4" s="502"/>
      <c r="AB4" s="502"/>
      <c r="AC4" s="502"/>
    </row>
    <row r="5" spans="1:29">
      <c r="A5" s="338"/>
      <c r="B5" s="413" t="str">
        <f>SUMMARY!C3</f>
        <v>SOYBEAN MEAL (ARG)</v>
      </c>
      <c r="C5" s="338" t="s">
        <v>346</v>
      </c>
      <c r="D5" s="336">
        <f>SUMMARY!C74</f>
        <v>53017.600000000071</v>
      </c>
      <c r="E5" s="336">
        <f>SUMMARY!C75</f>
        <v>0</v>
      </c>
      <c r="F5" s="336">
        <f>SUMMARY!C76</f>
        <v>0</v>
      </c>
      <c r="G5" s="336">
        <f>SUMMARY!C77</f>
        <v>0</v>
      </c>
      <c r="H5" s="336">
        <f>SUMMARY!C78</f>
        <v>53017.600000000071</v>
      </c>
      <c r="I5" s="336"/>
      <c r="J5" s="336"/>
      <c r="K5" s="336"/>
      <c r="L5" s="336"/>
      <c r="M5" s="339"/>
      <c r="N5" s="336"/>
      <c r="O5" s="413">
        <f t="shared" ref="O5:O57" si="0">N5-H5</f>
        <v>-53017.600000000071</v>
      </c>
      <c r="P5" s="339"/>
      <c r="Q5" s="336"/>
      <c r="R5" s="499"/>
      <c r="S5" s="336"/>
      <c r="T5" s="500"/>
      <c r="U5" s="336"/>
      <c r="V5" s="329"/>
      <c r="W5" s="501"/>
      <c r="X5" s="329"/>
      <c r="Y5" s="502"/>
      <c r="Z5" s="502"/>
      <c r="AA5" s="502"/>
      <c r="AB5" s="502"/>
      <c r="AC5" s="502"/>
    </row>
    <row r="6" spans="1:29">
      <c r="A6" s="338"/>
      <c r="B6" s="413" t="str">
        <f>SUMMARY!D3</f>
        <v>SOYBEAN FULL FAT</v>
      </c>
      <c r="C6" s="338" t="s">
        <v>346</v>
      </c>
      <c r="D6" s="336">
        <f>SUMMARY!D74</f>
        <v>42674.199999999968</v>
      </c>
      <c r="E6" s="336">
        <f>SUMMARY!D75</f>
        <v>0</v>
      </c>
      <c r="F6" s="336">
        <f>SUMMARY!D76</f>
        <v>0</v>
      </c>
      <c r="G6" s="336">
        <f>SUMMARY!D77</f>
        <v>0</v>
      </c>
      <c r="H6" s="336">
        <f>SUMMARY!D78</f>
        <v>42674.199999999968</v>
      </c>
      <c r="I6" s="336"/>
      <c r="J6" s="336"/>
      <c r="K6" s="336"/>
      <c r="L6" s="336"/>
      <c r="M6" s="339"/>
      <c r="N6" s="336"/>
      <c r="O6" s="413">
        <f t="shared" si="0"/>
        <v>-42674.199999999968</v>
      </c>
      <c r="P6" s="339"/>
      <c r="Q6" s="336"/>
      <c r="R6" s="499"/>
      <c r="S6" s="336"/>
      <c r="T6" s="500"/>
      <c r="U6" s="336"/>
      <c r="V6" s="329"/>
      <c r="W6" s="501"/>
      <c r="X6" s="329"/>
      <c r="Y6" s="502"/>
      <c r="Z6" s="502"/>
      <c r="AA6" s="502"/>
      <c r="AB6" s="502"/>
      <c r="AC6" s="502"/>
    </row>
    <row r="7" spans="1:29">
      <c r="A7" s="338"/>
      <c r="B7" s="413" t="str">
        <f>SUMMARY!E3</f>
        <v>WHEAT POLLARD</v>
      </c>
      <c r="C7" s="338" t="s">
        <v>346</v>
      </c>
      <c r="D7" s="336">
        <f>SUMMARY!E74</f>
        <v>4522.2000000000189</v>
      </c>
      <c r="E7" s="336">
        <f>SUMMARY!E75</f>
        <v>0</v>
      </c>
      <c r="F7" s="336">
        <f>SUMMARY!E76</f>
        <v>0</v>
      </c>
      <c r="G7" s="336">
        <f>SUMMARY!E77</f>
        <v>0</v>
      </c>
      <c r="H7" s="336">
        <f>SUMMARY!E78</f>
        <v>4522.2000000000189</v>
      </c>
      <c r="I7" s="336"/>
      <c r="J7" s="336"/>
      <c r="K7" s="336"/>
      <c r="L7" s="336"/>
      <c r="M7" s="339"/>
      <c r="N7" s="336"/>
      <c r="O7" s="413">
        <f t="shared" si="0"/>
        <v>-4522.2000000000189</v>
      </c>
      <c r="P7" s="339"/>
      <c r="Q7" s="503"/>
      <c r="R7" s="504"/>
      <c r="S7" s="505"/>
      <c r="T7" s="505"/>
      <c r="U7" s="336"/>
      <c r="V7" s="329"/>
      <c r="W7" s="501"/>
      <c r="X7" s="329"/>
      <c r="Y7" s="502"/>
      <c r="Z7" s="502"/>
      <c r="AA7" s="502"/>
      <c r="AB7" s="502"/>
      <c r="AC7" s="502"/>
    </row>
    <row r="8" spans="1:29">
      <c r="A8" s="338"/>
      <c r="B8" s="413" t="str">
        <f>SUMMARY!F3</f>
        <v>WHEAT</v>
      </c>
      <c r="C8" s="338" t="s">
        <v>346</v>
      </c>
      <c r="D8" s="336">
        <f>SUMMARY!F74</f>
        <v>0</v>
      </c>
      <c r="E8" s="336">
        <f>SUMMARY!F75</f>
        <v>0</v>
      </c>
      <c r="F8" s="336">
        <f>SUMMARY!F76</f>
        <v>0</v>
      </c>
      <c r="G8" s="336">
        <f>SUMMARY!F77</f>
        <v>0</v>
      </c>
      <c r="H8" s="336">
        <f>SUMMARY!F78</f>
        <v>0</v>
      </c>
      <c r="I8" s="336"/>
      <c r="J8" s="336"/>
      <c r="K8" s="336"/>
      <c r="L8" s="336"/>
      <c r="M8" s="339"/>
      <c r="N8" s="336"/>
      <c r="O8" s="413">
        <f t="shared" si="0"/>
        <v>0</v>
      </c>
      <c r="P8" s="339"/>
      <c r="Q8" s="336"/>
      <c r="R8" s="499"/>
      <c r="S8" s="336"/>
      <c r="T8" s="500"/>
      <c r="U8" s="336"/>
      <c r="V8" s="329"/>
      <c r="W8" s="501"/>
      <c r="X8" s="329"/>
      <c r="Y8" s="502"/>
      <c r="Z8" s="502"/>
      <c r="AA8" s="502"/>
      <c r="AB8" s="502"/>
      <c r="AC8" s="502"/>
    </row>
    <row r="9" spans="1:29">
      <c r="A9" s="338"/>
      <c r="B9" s="413" t="str">
        <f>SUMMARY!G3</f>
        <v>MEAT AND BONE MEAL</v>
      </c>
      <c r="C9" s="338" t="s">
        <v>346</v>
      </c>
      <c r="D9" s="336">
        <f>SUMMARY!G74</f>
        <v>124.99999999999523</v>
      </c>
      <c r="E9" s="336">
        <f>SUMMARY!G75</f>
        <v>0</v>
      </c>
      <c r="F9" s="336">
        <f>SUMMARY!G76</f>
        <v>0</v>
      </c>
      <c r="G9" s="336">
        <f>SUMMARY!G77</f>
        <v>0</v>
      </c>
      <c r="H9" s="336">
        <f>SUMMARY!G78</f>
        <v>124.99999999999523</v>
      </c>
      <c r="I9" s="336"/>
      <c r="J9" s="336"/>
      <c r="K9" s="336"/>
      <c r="L9" s="336"/>
      <c r="M9" s="339"/>
      <c r="N9" s="336"/>
      <c r="O9" s="413">
        <f t="shared" si="0"/>
        <v>-124.99999999999523</v>
      </c>
      <c r="P9" s="339"/>
      <c r="Q9" s="336"/>
      <c r="R9" s="499"/>
      <c r="S9" s="336"/>
      <c r="T9" s="500"/>
      <c r="U9" s="336"/>
      <c r="V9" s="329"/>
      <c r="W9" s="501"/>
      <c r="X9" s="329"/>
      <c r="Y9" s="502"/>
      <c r="Z9" s="502"/>
      <c r="AA9" s="502"/>
      <c r="AB9" s="502"/>
      <c r="AC9" s="502"/>
    </row>
    <row r="10" spans="1:29">
      <c r="A10" s="338"/>
      <c r="B10" s="413" t="str">
        <f>SUMMARY!H3</f>
        <v>CORN GLUTEN MEAL</v>
      </c>
      <c r="C10" s="338" t="s">
        <v>346</v>
      </c>
      <c r="D10" s="336">
        <f>SUMMARY!H74</f>
        <v>26151.899999999998</v>
      </c>
      <c r="E10" s="336">
        <f>SUMMARY!H75</f>
        <v>0</v>
      </c>
      <c r="F10" s="336">
        <f>SUMMARY!H76</f>
        <v>0</v>
      </c>
      <c r="G10" s="336">
        <f>SUMMARY!H77</f>
        <v>0</v>
      </c>
      <c r="H10" s="336">
        <f>SUMMARY!H78</f>
        <v>26151.899999999998</v>
      </c>
      <c r="I10" s="336"/>
      <c r="J10" s="336"/>
      <c r="K10" s="336"/>
      <c r="L10" s="336"/>
      <c r="M10" s="339"/>
      <c r="N10" s="336"/>
      <c r="O10" s="413">
        <f t="shared" si="0"/>
        <v>-26151.899999999998</v>
      </c>
      <c r="P10" s="339"/>
      <c r="Q10" s="336"/>
      <c r="R10" s="499"/>
      <c r="S10" s="336"/>
      <c r="T10" s="500"/>
      <c r="U10" s="336"/>
      <c r="V10" s="329"/>
      <c r="W10" s="501"/>
      <c r="X10" s="329"/>
      <c r="Y10" s="502"/>
      <c r="Z10" s="502"/>
      <c r="AA10" s="502"/>
      <c r="AB10" s="502"/>
      <c r="AC10" s="502"/>
    </row>
    <row r="11" spans="1:29">
      <c r="A11" s="338"/>
      <c r="B11" s="413" t="str">
        <f>SUMMARY!I3</f>
        <v>MEGAFAT (HARUMI)</v>
      </c>
      <c r="C11" s="338" t="s">
        <v>346</v>
      </c>
      <c r="D11" s="336">
        <f>SUMMARY!I74</f>
        <v>0</v>
      </c>
      <c r="E11" s="336">
        <f>SUMMARY!I75</f>
        <v>0</v>
      </c>
      <c r="F11" s="336">
        <f>SUMMARY!I76</f>
        <v>0</v>
      </c>
      <c r="G11" s="336">
        <f>SUMMARY!I77</f>
        <v>0</v>
      </c>
      <c r="H11" s="336">
        <f>SUMMARY!I78</f>
        <v>0</v>
      </c>
      <c r="I11" s="336"/>
      <c r="J11" s="300"/>
      <c r="K11" s="300"/>
      <c r="L11" s="336"/>
      <c r="M11" s="339"/>
      <c r="N11" s="336"/>
      <c r="O11" s="413">
        <f t="shared" si="0"/>
        <v>0</v>
      </c>
      <c r="P11" s="339"/>
      <c r="Q11" s="336"/>
      <c r="R11" s="499"/>
      <c r="S11" s="336"/>
      <c r="T11" s="500"/>
      <c r="U11" s="336"/>
      <c r="V11" s="329"/>
      <c r="W11" s="501"/>
      <c r="X11" s="329"/>
      <c r="Y11" s="502"/>
      <c r="Z11" s="502"/>
      <c r="AA11" s="502"/>
      <c r="AB11" s="502"/>
      <c r="AC11" s="502"/>
    </row>
    <row r="12" spans="1:29">
      <c r="A12" s="338"/>
      <c r="B12" s="413" t="str">
        <f>SUMMARY!J3</f>
        <v>DCP 18%</v>
      </c>
      <c r="C12" s="338" t="s">
        <v>346</v>
      </c>
      <c r="D12" s="336">
        <f>SUMMARY!J74</f>
        <v>2097.3399999999992</v>
      </c>
      <c r="E12" s="336">
        <f>SUMMARY!J75</f>
        <v>0</v>
      </c>
      <c r="F12" s="336">
        <f>SUMMARY!J76</f>
        <v>0</v>
      </c>
      <c r="G12" s="336">
        <f>SUMMARY!J77</f>
        <v>0</v>
      </c>
      <c r="H12" s="336">
        <f>SUMMARY!J78</f>
        <v>2097.3399999999992</v>
      </c>
      <c r="I12" s="336"/>
      <c r="J12" s="301"/>
      <c r="K12" s="336"/>
      <c r="L12" s="336"/>
      <c r="M12" s="339"/>
      <c r="N12" s="336"/>
      <c r="O12" s="413">
        <f t="shared" si="0"/>
        <v>-2097.3399999999992</v>
      </c>
      <c r="P12" s="339"/>
      <c r="Q12" s="336"/>
      <c r="R12" s="499"/>
      <c r="S12" s="336"/>
      <c r="T12" s="500"/>
      <c r="U12" s="336"/>
      <c r="V12" s="329"/>
      <c r="W12" s="501"/>
      <c r="X12" s="329"/>
      <c r="Y12" s="502"/>
      <c r="Z12" s="502"/>
      <c r="AA12" s="502"/>
      <c r="AB12" s="502"/>
      <c r="AC12" s="502"/>
    </row>
    <row r="13" spans="1:29">
      <c r="A13" s="338"/>
      <c r="B13" s="413" t="str">
        <f>SUMMARY!K3</f>
        <v>LIMESTONE POWDER (HARUMI)</v>
      </c>
      <c r="C13" s="338" t="s">
        <v>346</v>
      </c>
      <c r="D13" s="336">
        <f>SUMMARY!K74</f>
        <v>-10277.079999999998</v>
      </c>
      <c r="E13" s="336">
        <f>SUMMARY!K75</f>
        <v>0</v>
      </c>
      <c r="F13" s="336">
        <f>SUMMARY!K76</f>
        <v>0</v>
      </c>
      <c r="G13" s="336">
        <f>SUMMARY!K77</f>
        <v>0</v>
      </c>
      <c r="H13" s="336">
        <f>SUMMARY!K78</f>
        <v>-10277.079999999998</v>
      </c>
      <c r="I13" s="336"/>
      <c r="J13" s="301"/>
      <c r="K13" s="336"/>
      <c r="L13" s="336"/>
      <c r="M13" s="339"/>
      <c r="N13" s="336"/>
      <c r="O13" s="413">
        <f t="shared" si="0"/>
        <v>10277.079999999998</v>
      </c>
      <c r="P13" s="339"/>
      <c r="Q13" s="336"/>
      <c r="R13" s="499"/>
      <c r="S13" s="336"/>
      <c r="T13" s="500"/>
      <c r="U13" s="336"/>
      <c r="V13" s="329"/>
      <c r="W13" s="501"/>
      <c r="X13" s="329"/>
      <c r="Y13" s="502"/>
      <c r="Z13" s="502"/>
      <c r="AA13" s="502"/>
      <c r="AB13" s="502"/>
      <c r="AC13" s="502"/>
    </row>
    <row r="14" spans="1:29">
      <c r="A14" s="338"/>
      <c r="B14" s="413" t="str">
        <f>SUMMARY!L3</f>
        <v>CHOLINE CHLORIDE 60%</v>
      </c>
      <c r="C14" s="338" t="s">
        <v>346</v>
      </c>
      <c r="D14" s="336">
        <f>SUMMARY!L74</f>
        <v>0</v>
      </c>
      <c r="E14" s="336">
        <f>SUMMARY!L75</f>
        <v>0</v>
      </c>
      <c r="F14" s="336">
        <f>SUMMARY!L76</f>
        <v>0</v>
      </c>
      <c r="G14" s="336">
        <f>SUMMARY!L77</f>
        <v>0</v>
      </c>
      <c r="H14" s="336">
        <f>SUMMARY!L78</f>
        <v>0</v>
      </c>
      <c r="I14" s="336"/>
      <c r="J14" s="301"/>
      <c r="K14" s="336"/>
      <c r="L14" s="336"/>
      <c r="M14" s="339"/>
      <c r="N14" s="336"/>
      <c r="O14" s="413">
        <f t="shared" si="0"/>
        <v>0</v>
      </c>
      <c r="P14" s="339"/>
      <c r="Q14" s="336"/>
      <c r="R14" s="499"/>
      <c r="S14" s="336"/>
      <c r="T14" s="500"/>
      <c r="U14" s="336"/>
      <c r="V14" s="329"/>
      <c r="W14" s="501"/>
      <c r="X14" s="329"/>
      <c r="Y14" s="502"/>
      <c r="Z14" s="502"/>
      <c r="AA14" s="502"/>
      <c r="AB14" s="502"/>
      <c r="AC14" s="502"/>
    </row>
    <row r="15" spans="1:29">
      <c r="A15" s="338"/>
      <c r="B15" s="413" t="str">
        <f>SUMMARY!M3</f>
        <v>INDUSTRY FLOUR</v>
      </c>
      <c r="C15" s="338" t="s">
        <v>346</v>
      </c>
      <c r="D15" s="336">
        <f>SUMMARY!M74</f>
        <v>27438.200000000012</v>
      </c>
      <c r="E15" s="336">
        <f>SUMMARY!M75</f>
        <v>0</v>
      </c>
      <c r="F15" s="336">
        <f>SUMMARY!M76</f>
        <v>0</v>
      </c>
      <c r="G15" s="336">
        <f>SUMMARY!M77</f>
        <v>0</v>
      </c>
      <c r="H15" s="336">
        <f>SUMMARY!M78</f>
        <v>27438.200000000012</v>
      </c>
      <c r="I15" s="336"/>
      <c r="J15" s="300"/>
      <c r="K15" s="336"/>
      <c r="L15" s="336"/>
      <c r="M15" s="339"/>
      <c r="N15" s="336"/>
      <c r="O15" s="413">
        <f t="shared" si="0"/>
        <v>-27438.200000000012</v>
      </c>
      <c r="P15" s="339"/>
      <c r="Q15" s="336"/>
      <c r="R15" s="499"/>
      <c r="S15" s="336"/>
      <c r="T15" s="500"/>
      <c r="U15" s="336"/>
      <c r="V15" s="329"/>
      <c r="W15" s="501"/>
      <c r="X15" s="329"/>
      <c r="Y15" s="502"/>
      <c r="Z15" s="502"/>
      <c r="AA15" s="502"/>
      <c r="AB15" s="502"/>
      <c r="AC15" s="502"/>
    </row>
    <row r="16" spans="1:29">
      <c r="A16" s="338"/>
      <c r="B16" s="413" t="str">
        <f>SUMMARY!N3</f>
        <v>RICE BRAN</v>
      </c>
      <c r="C16" s="338" t="s">
        <v>346</v>
      </c>
      <c r="D16" s="336">
        <f>SUMMARY!N74</f>
        <v>18782.299999999981</v>
      </c>
      <c r="E16" s="336">
        <f>SUMMARY!N75</f>
        <v>0</v>
      </c>
      <c r="F16" s="336">
        <f>SUMMARY!N76</f>
        <v>0</v>
      </c>
      <c r="G16" s="336">
        <f>SUMMARY!N77</f>
        <v>0</v>
      </c>
      <c r="H16" s="336">
        <f>SUMMARY!N78</f>
        <v>18782.299999999981</v>
      </c>
      <c r="I16" s="336"/>
      <c r="J16" s="300"/>
      <c r="K16" s="336"/>
      <c r="L16" s="336"/>
      <c r="M16" s="339"/>
      <c r="N16" s="336"/>
      <c r="O16" s="413">
        <f t="shared" si="0"/>
        <v>-18782.299999999981</v>
      </c>
      <c r="P16" s="339"/>
      <c r="Q16" s="336"/>
      <c r="R16" s="499"/>
      <c r="S16" s="336"/>
      <c r="T16" s="500"/>
      <c r="U16" s="336"/>
      <c r="V16" s="329"/>
      <c r="W16" s="501"/>
      <c r="X16" s="329"/>
      <c r="Y16" s="502"/>
      <c r="Z16" s="502"/>
      <c r="AA16" s="502"/>
      <c r="AB16" s="502"/>
      <c r="AC16" s="502"/>
    </row>
    <row r="17" spans="1:29">
      <c r="A17" s="338"/>
      <c r="B17" s="413" t="str">
        <f>SUMMARY!O3</f>
        <v>EP 200</v>
      </c>
      <c r="C17" s="338" t="s">
        <v>346</v>
      </c>
      <c r="D17" s="336">
        <f>SUMMARY!O74</f>
        <v>5800</v>
      </c>
      <c r="E17" s="336">
        <f>SUMMARY!O75</f>
        <v>0</v>
      </c>
      <c r="F17" s="336">
        <f>SUMMARY!O76</f>
        <v>0</v>
      </c>
      <c r="G17" s="336">
        <f>SUMMARY!O77</f>
        <v>0</v>
      </c>
      <c r="H17" s="336">
        <f>SUMMARY!O78</f>
        <v>5800</v>
      </c>
      <c r="I17" s="336"/>
      <c r="J17" s="300"/>
      <c r="K17" s="336"/>
      <c r="L17" s="336"/>
      <c r="M17" s="339"/>
      <c r="N17" s="336"/>
      <c r="O17" s="413">
        <f t="shared" si="0"/>
        <v>-5800</v>
      </c>
      <c r="P17" s="339"/>
      <c r="Q17" s="336"/>
      <c r="R17" s="499"/>
      <c r="S17" s="336"/>
      <c r="T17" s="500"/>
      <c r="U17" s="336"/>
      <c r="V17" s="329"/>
      <c r="W17" s="501"/>
      <c r="X17" s="329"/>
      <c r="Y17" s="502"/>
      <c r="Z17" s="502"/>
      <c r="AA17" s="502"/>
      <c r="AB17" s="502"/>
      <c r="AC17" s="502"/>
    </row>
    <row r="18" spans="1:29">
      <c r="A18" s="338"/>
      <c r="B18" s="413" t="str">
        <f>SUMMARY!P3</f>
        <v>SOYTIDE</v>
      </c>
      <c r="C18" s="338" t="s">
        <v>346</v>
      </c>
      <c r="D18" s="336">
        <f>SUMMARY!P74</f>
        <v>0</v>
      </c>
      <c r="E18" s="336">
        <f>SUMMARY!P75</f>
        <v>0</v>
      </c>
      <c r="F18" s="336">
        <f>SUMMARY!P76</f>
        <v>0</v>
      </c>
      <c r="G18" s="336">
        <f>SUMMARY!P77</f>
        <v>0</v>
      </c>
      <c r="H18" s="336">
        <f>SUMMARY!P78</f>
        <v>0</v>
      </c>
      <c r="I18" s="336"/>
      <c r="J18" s="336"/>
      <c r="K18" s="336"/>
      <c r="L18" s="336"/>
      <c r="M18" s="339"/>
      <c r="N18" s="336"/>
      <c r="O18" s="413">
        <f t="shared" si="0"/>
        <v>0</v>
      </c>
      <c r="P18" s="339"/>
      <c r="Q18" s="336"/>
      <c r="R18" s="499"/>
      <c r="S18" s="336"/>
      <c r="T18" s="500"/>
      <c r="U18" s="336"/>
      <c r="V18" s="329"/>
      <c r="W18" s="501"/>
      <c r="X18" s="329"/>
      <c r="Y18" s="502"/>
      <c r="Z18" s="502"/>
      <c r="AA18" s="502"/>
      <c r="AB18" s="502"/>
      <c r="AC18" s="502"/>
    </row>
    <row r="19" spans="1:29">
      <c r="A19" s="338"/>
      <c r="B19" s="413" t="str">
        <f>SUMMARY!Q3</f>
        <v>DCP 18% (HARUMI)</v>
      </c>
      <c r="C19" s="338" t="s">
        <v>346</v>
      </c>
      <c r="D19" s="336">
        <f>SUMMARY!Q74</f>
        <v>0</v>
      </c>
      <c r="E19" s="336">
        <f>SUMMARY!Q75</f>
        <v>0</v>
      </c>
      <c r="F19" s="336">
        <f>SUMMARY!Q76</f>
        <v>0</v>
      </c>
      <c r="G19" s="336">
        <f>SUMMARY!Q77</f>
        <v>0</v>
      </c>
      <c r="H19" s="336">
        <f>SUMMARY!Q78</f>
        <v>0</v>
      </c>
      <c r="I19" s="336"/>
      <c r="J19" s="336"/>
      <c r="K19" s="336"/>
      <c r="L19" s="336"/>
      <c r="M19" s="339"/>
      <c r="N19" s="336"/>
      <c r="O19" s="413">
        <f t="shared" si="0"/>
        <v>0</v>
      </c>
      <c r="P19" s="339"/>
      <c r="Q19" s="336"/>
      <c r="R19" s="499"/>
      <c r="S19" s="336"/>
      <c r="T19" s="500"/>
      <c r="U19" s="336"/>
      <c r="V19" s="329"/>
      <c r="W19" s="501"/>
      <c r="X19" s="329"/>
      <c r="Y19" s="502"/>
      <c r="Z19" s="502"/>
      <c r="AA19" s="502"/>
      <c r="AB19" s="502"/>
      <c r="AC19" s="502"/>
    </row>
    <row r="20" spans="1:29">
      <c r="A20" s="338"/>
      <c r="B20" s="413">
        <f>SUMMARY!R3</f>
        <v>1</v>
      </c>
      <c r="C20" s="338" t="s">
        <v>346</v>
      </c>
      <c r="D20" s="336">
        <f>SUMMARY!R74</f>
        <v>0</v>
      </c>
      <c r="E20" s="336">
        <f>SUMMARY!R75</f>
        <v>0</v>
      </c>
      <c r="F20" s="336">
        <f>SUMMARY!R76</f>
        <v>0</v>
      </c>
      <c r="G20" s="336">
        <f>SUMMARY!R77</f>
        <v>0</v>
      </c>
      <c r="H20" s="336">
        <f>SUMMARY!R78</f>
        <v>0</v>
      </c>
      <c r="I20" s="336"/>
      <c r="J20" s="336"/>
      <c r="K20" s="336"/>
      <c r="L20" s="336"/>
      <c r="M20" s="339"/>
      <c r="N20" s="336"/>
      <c r="O20" s="413">
        <f t="shared" si="0"/>
        <v>0</v>
      </c>
      <c r="P20" s="339"/>
      <c r="Q20" s="336"/>
      <c r="R20" s="499"/>
      <c r="S20" s="336"/>
      <c r="T20" s="500"/>
      <c r="U20" s="336"/>
      <c r="V20" s="329"/>
      <c r="W20" s="501"/>
      <c r="X20" s="329"/>
      <c r="Y20" s="502"/>
      <c r="Z20" s="502"/>
      <c r="AA20" s="502"/>
      <c r="AB20" s="502"/>
      <c r="AC20" s="502"/>
    </row>
    <row r="21" spans="1:29">
      <c r="A21" s="338"/>
      <c r="B21" s="413">
        <f>SUMMARY!S3</f>
        <v>2</v>
      </c>
      <c r="C21" s="338" t="s">
        <v>346</v>
      </c>
      <c r="D21" s="336">
        <f>SUMMARY!S74</f>
        <v>0</v>
      </c>
      <c r="E21" s="336">
        <f>SUMMARY!S75</f>
        <v>0</v>
      </c>
      <c r="F21" s="336">
        <f>SUMMARY!S76</f>
        <v>0</v>
      </c>
      <c r="G21" s="336">
        <f>SUMMARY!S77</f>
        <v>0</v>
      </c>
      <c r="H21" s="336">
        <f>SUMMARY!S78</f>
        <v>0</v>
      </c>
      <c r="I21" s="336"/>
      <c r="J21" s="336"/>
      <c r="K21" s="336"/>
      <c r="L21" s="336"/>
      <c r="M21" s="339"/>
      <c r="N21" s="336"/>
      <c r="O21" s="413">
        <f t="shared" si="0"/>
        <v>0</v>
      </c>
      <c r="P21" s="339"/>
      <c r="Q21" s="336"/>
      <c r="R21" s="499"/>
      <c r="S21" s="336"/>
      <c r="T21" s="500"/>
      <c r="U21" s="336"/>
      <c r="V21" s="329"/>
      <c r="W21" s="501"/>
      <c r="X21" s="329"/>
      <c r="Y21" s="502"/>
      <c r="Z21" s="502"/>
      <c r="AA21" s="502"/>
      <c r="AB21" s="502"/>
      <c r="AC21" s="502"/>
    </row>
    <row r="22" spans="1:29">
      <c r="A22" s="338"/>
      <c r="B22" s="413">
        <f>SUMMARY!T3</f>
        <v>3</v>
      </c>
      <c r="C22" s="338" t="s">
        <v>346</v>
      </c>
      <c r="D22" s="336">
        <f>SUMMARY!T74</f>
        <v>0</v>
      </c>
      <c r="E22" s="336">
        <f>SUMMARY!T75</f>
        <v>0</v>
      </c>
      <c r="F22" s="336">
        <f>SUMMARY!T76</f>
        <v>0</v>
      </c>
      <c r="G22" s="336">
        <f>SUMMARY!T77</f>
        <v>0</v>
      </c>
      <c r="H22" s="336">
        <f>SUMMARY!T78</f>
        <v>0</v>
      </c>
      <c r="I22" s="336"/>
      <c r="J22" s="336"/>
      <c r="K22" s="336"/>
      <c r="L22" s="336"/>
      <c r="M22" s="339"/>
      <c r="N22" s="336"/>
      <c r="O22" s="413">
        <f t="shared" si="0"/>
        <v>0</v>
      </c>
      <c r="P22" s="339"/>
      <c r="Q22" s="336"/>
      <c r="R22" s="499"/>
      <c r="S22" s="336"/>
      <c r="T22" s="500"/>
      <c r="U22" s="336"/>
      <c r="V22" s="329"/>
      <c r="W22" s="501"/>
      <c r="X22" s="329"/>
      <c r="Y22" s="502"/>
      <c r="Z22" s="502"/>
      <c r="AA22" s="502"/>
      <c r="AB22" s="502"/>
      <c r="AC22" s="502"/>
    </row>
    <row r="23" spans="1:29">
      <c r="A23" s="338"/>
      <c r="B23" s="413"/>
      <c r="C23" s="338"/>
      <c r="D23" s="336"/>
      <c r="E23" s="336"/>
      <c r="F23" s="336"/>
      <c r="G23" s="336"/>
      <c r="H23" s="336"/>
      <c r="I23" s="336"/>
      <c r="J23" s="336"/>
      <c r="K23" s="336"/>
      <c r="L23" s="336"/>
      <c r="M23" s="339"/>
      <c r="N23" s="336"/>
      <c r="O23" s="413"/>
      <c r="P23" s="339"/>
      <c r="Q23" s="336"/>
      <c r="R23" s="499"/>
      <c r="S23" s="336"/>
      <c r="T23" s="500"/>
      <c r="U23" s="336"/>
      <c r="V23" s="329"/>
      <c r="W23" s="501"/>
      <c r="X23" s="329"/>
      <c r="Y23" s="502"/>
      <c r="Z23" s="502"/>
      <c r="AA23" s="502"/>
      <c r="AB23" s="502"/>
      <c r="AC23" s="502"/>
    </row>
    <row r="24" spans="1:29">
      <c r="A24" s="338"/>
      <c r="B24" s="310" t="s">
        <v>347</v>
      </c>
      <c r="C24" s="338"/>
      <c r="D24" s="336"/>
      <c r="E24" s="336"/>
      <c r="F24" s="336"/>
      <c r="G24" s="336"/>
      <c r="H24" s="336"/>
      <c r="I24" s="336"/>
      <c r="J24" s="336"/>
      <c r="K24" s="336"/>
      <c r="L24" s="336"/>
      <c r="M24" s="339"/>
      <c r="N24" s="336"/>
      <c r="O24" s="413"/>
      <c r="P24" s="339"/>
      <c r="Q24" s="336"/>
      <c r="R24" s="499"/>
      <c r="S24" s="336"/>
      <c r="T24" s="500"/>
      <c r="U24" s="336"/>
      <c r="V24" s="329"/>
      <c r="W24" s="501"/>
      <c r="X24" s="329"/>
      <c r="Y24" s="502"/>
      <c r="Z24" s="502"/>
      <c r="AA24" s="502"/>
      <c r="AB24" s="502"/>
      <c r="AC24" s="502"/>
    </row>
    <row r="25" spans="1:29">
      <c r="A25" s="338"/>
      <c r="B25" s="413" t="str">
        <f>SUMMARY!U3</f>
        <v>PREMIX 1101 (20KG)</v>
      </c>
      <c r="C25" s="338" t="s">
        <v>346</v>
      </c>
      <c r="D25" s="336">
        <f>SUMMARY!U74</f>
        <v>2020</v>
      </c>
      <c r="E25" s="336">
        <f>SUMMARY!U75</f>
        <v>0</v>
      </c>
      <c r="F25" s="336">
        <f>SUMMARY!U76</f>
        <v>0</v>
      </c>
      <c r="G25" s="336">
        <f>SUMMARY!U77</f>
        <v>0</v>
      </c>
      <c r="H25" s="336">
        <f>SUMMARY!U78</f>
        <v>2020</v>
      </c>
      <c r="I25" s="336"/>
      <c r="J25" s="336"/>
      <c r="K25" s="336"/>
      <c r="L25" s="336"/>
      <c r="M25" s="339"/>
      <c r="N25" s="336"/>
      <c r="O25" s="413">
        <f t="shared" si="0"/>
        <v>-2020</v>
      </c>
      <c r="P25" s="339"/>
      <c r="Q25" s="336"/>
      <c r="R25" s="499"/>
      <c r="S25" s="336"/>
      <c r="T25" s="500"/>
      <c r="U25" s="336"/>
      <c r="V25" s="329"/>
      <c r="W25" s="501"/>
      <c r="X25" s="329"/>
      <c r="Y25" s="502"/>
      <c r="Z25" s="502"/>
      <c r="AA25" s="502"/>
      <c r="AB25" s="502"/>
      <c r="AC25" s="502"/>
    </row>
    <row r="26" spans="1:29">
      <c r="A26" s="338"/>
      <c r="B26" s="413" t="str">
        <f>SUMMARY!V3</f>
        <v>PREMIX 1102 (20KG)</v>
      </c>
      <c r="C26" s="338" t="s">
        <v>346</v>
      </c>
      <c r="D26" s="336">
        <f>SUMMARY!V74</f>
        <v>960</v>
      </c>
      <c r="E26" s="336">
        <f>SUMMARY!V75</f>
        <v>0</v>
      </c>
      <c r="F26" s="336">
        <f>SUMMARY!V76</f>
        <v>0</v>
      </c>
      <c r="G26" s="336">
        <f>SUMMARY!V77</f>
        <v>0</v>
      </c>
      <c r="H26" s="336">
        <f>SUMMARY!V78</f>
        <v>960</v>
      </c>
      <c r="I26" s="336"/>
      <c r="J26" s="336"/>
      <c r="K26" s="336"/>
      <c r="L26" s="336"/>
      <c r="M26" s="339"/>
      <c r="N26" s="336"/>
      <c r="O26" s="413">
        <f t="shared" si="0"/>
        <v>-960</v>
      </c>
      <c r="P26" s="339"/>
      <c r="Q26" s="336"/>
      <c r="R26" s="499"/>
      <c r="S26" s="336"/>
      <c r="T26" s="500"/>
      <c r="U26" s="336"/>
      <c r="V26" s="329"/>
      <c r="W26" s="501"/>
      <c r="X26" s="329"/>
      <c r="Y26" s="502"/>
      <c r="Z26" s="502"/>
      <c r="AA26" s="502"/>
      <c r="AB26" s="502"/>
      <c r="AC26" s="502"/>
    </row>
    <row r="27" spans="1:29">
      <c r="A27" s="338"/>
      <c r="B27" s="413" t="str">
        <f>SUMMARY!W3</f>
        <v>PREMIX 1103 (20KG)</v>
      </c>
      <c r="C27" s="338" t="s">
        <v>346</v>
      </c>
      <c r="D27" s="336">
        <f>SUMMARY!W74</f>
        <v>1760</v>
      </c>
      <c r="E27" s="336">
        <f>SUMMARY!W75</f>
        <v>0</v>
      </c>
      <c r="F27" s="336">
        <f>SUMMARY!W76</f>
        <v>0</v>
      </c>
      <c r="G27" s="336">
        <f>SUMMARY!W77</f>
        <v>0</v>
      </c>
      <c r="H27" s="336">
        <f>SUMMARY!W78</f>
        <v>1760</v>
      </c>
      <c r="I27" s="336"/>
      <c r="J27" s="336"/>
      <c r="K27" s="336"/>
      <c r="L27" s="336"/>
      <c r="M27" s="339"/>
      <c r="N27" s="336"/>
      <c r="O27" s="413">
        <f t="shared" si="0"/>
        <v>-1760</v>
      </c>
      <c r="P27" s="339"/>
      <c r="Q27" s="336"/>
      <c r="R27" s="499"/>
      <c r="S27" s="336"/>
      <c r="T27" s="500"/>
      <c r="U27" s="336"/>
      <c r="V27" s="329"/>
      <c r="W27" s="501"/>
      <c r="X27" s="329"/>
      <c r="Y27" s="502"/>
      <c r="Z27" s="502"/>
      <c r="AA27" s="502"/>
      <c r="AB27" s="502"/>
      <c r="AC27" s="502"/>
    </row>
    <row r="28" spans="1:29">
      <c r="A28" s="338"/>
      <c r="B28" s="413" t="str">
        <f>SUMMARY!X3</f>
        <v>PREMIX 311 (20KG)</v>
      </c>
      <c r="C28" s="338" t="s">
        <v>346</v>
      </c>
      <c r="D28" s="336">
        <f>SUMMARY!X74</f>
        <v>400</v>
      </c>
      <c r="E28" s="336">
        <f>SUMMARY!X75</f>
        <v>0</v>
      </c>
      <c r="F28" s="336">
        <f>SUMMARY!X76</f>
        <v>0</v>
      </c>
      <c r="G28" s="336">
        <f>SUMMARY!X77</f>
        <v>0</v>
      </c>
      <c r="H28" s="336">
        <f>SUMMARY!X78</f>
        <v>400</v>
      </c>
      <c r="I28" s="336"/>
      <c r="J28" s="336"/>
      <c r="K28" s="336"/>
      <c r="L28" s="336"/>
      <c r="M28" s="339"/>
      <c r="N28" s="336"/>
      <c r="O28" s="413">
        <f t="shared" si="0"/>
        <v>-400</v>
      </c>
      <c r="P28" s="339"/>
      <c r="Q28" s="336"/>
      <c r="R28" s="499"/>
      <c r="S28" s="336"/>
      <c r="T28" s="500"/>
      <c r="U28" s="336"/>
      <c r="V28" s="329"/>
      <c r="W28" s="501"/>
      <c r="X28" s="329"/>
      <c r="Y28" s="502"/>
      <c r="Z28" s="502"/>
      <c r="AA28" s="502"/>
      <c r="AB28" s="502"/>
      <c r="AC28" s="502"/>
    </row>
    <row r="29" spans="1:29">
      <c r="A29" s="338"/>
      <c r="B29" s="413" t="str">
        <f>SUMMARY!Y3</f>
        <v>PREMIX 312 (20KG)</v>
      </c>
      <c r="C29" s="338" t="s">
        <v>346</v>
      </c>
      <c r="D29" s="336">
        <f>SUMMARY!Y74</f>
        <v>3600</v>
      </c>
      <c r="E29" s="336">
        <f>SUMMARY!Y75</f>
        <v>0</v>
      </c>
      <c r="F29" s="336">
        <f>SUMMARY!Y76</f>
        <v>0</v>
      </c>
      <c r="G29" s="336">
        <f>SUMMARY!Y77</f>
        <v>0</v>
      </c>
      <c r="H29" s="336">
        <f>SUMMARY!Y78</f>
        <v>3600</v>
      </c>
      <c r="I29" s="336"/>
      <c r="J29" s="336"/>
      <c r="K29" s="336"/>
      <c r="L29" s="336"/>
      <c r="M29" s="339"/>
      <c r="N29" s="336"/>
      <c r="O29" s="413">
        <f t="shared" si="0"/>
        <v>-3600</v>
      </c>
      <c r="P29" s="339"/>
      <c r="Q29" s="336"/>
      <c r="R29" s="499"/>
      <c r="S29" s="336"/>
      <c r="T29" s="500"/>
      <c r="U29" s="336"/>
      <c r="V29" s="329"/>
      <c r="W29" s="501"/>
      <c r="X29" s="329"/>
      <c r="Y29" s="502"/>
      <c r="Z29" s="502"/>
      <c r="AA29" s="502"/>
      <c r="AB29" s="502"/>
      <c r="AC29" s="502"/>
    </row>
    <row r="30" spans="1:29">
      <c r="A30" s="338"/>
      <c r="B30" s="413">
        <f>SUMMARY!Z3</f>
        <v>1</v>
      </c>
      <c r="C30" s="338" t="s">
        <v>346</v>
      </c>
      <c r="D30" s="336">
        <f>SUMMARY!Z74</f>
        <v>0</v>
      </c>
      <c r="E30" s="336">
        <f>SUMMARY!Z75</f>
        <v>0</v>
      </c>
      <c r="F30" s="336">
        <f>SUMMARY!Z76</f>
        <v>0</v>
      </c>
      <c r="G30" s="336">
        <f>SUMMARY!Z77</f>
        <v>0</v>
      </c>
      <c r="H30" s="336">
        <f>SUMMARY!Z78</f>
        <v>0</v>
      </c>
      <c r="I30" s="336"/>
      <c r="J30" s="336"/>
      <c r="K30" s="336"/>
      <c r="L30" s="336"/>
      <c r="M30" s="339"/>
      <c r="N30" s="336"/>
      <c r="O30" s="413">
        <f t="shared" si="0"/>
        <v>0</v>
      </c>
      <c r="P30" s="339"/>
      <c r="Q30" s="336"/>
      <c r="R30" s="499"/>
      <c r="S30" s="336"/>
      <c r="T30" s="500"/>
      <c r="U30" s="336"/>
      <c r="V30" s="329"/>
      <c r="W30" s="501"/>
      <c r="X30" s="329"/>
      <c r="Y30" s="502"/>
      <c r="Z30" s="502"/>
      <c r="AA30" s="502"/>
      <c r="AB30" s="502"/>
      <c r="AC30" s="502"/>
    </row>
    <row r="31" spans="1:29">
      <c r="A31" s="338"/>
      <c r="B31" s="413" t="str">
        <f>SUMMARY!AA3</f>
        <v>PREMIX 8100 (20KG)</v>
      </c>
      <c r="C31" s="338" t="s">
        <v>346</v>
      </c>
      <c r="D31" s="336">
        <f>SUMMARY!AA74</f>
        <v>6120</v>
      </c>
      <c r="E31" s="336">
        <f>SUMMARY!AA75</f>
        <v>0</v>
      </c>
      <c r="F31" s="336">
        <f>SUMMARY!AA76</f>
        <v>0</v>
      </c>
      <c r="G31" s="336">
        <f>SUMMARY!AA77</f>
        <v>0</v>
      </c>
      <c r="H31" s="336">
        <f>SUMMARY!AA78</f>
        <v>6120</v>
      </c>
      <c r="I31" s="336"/>
      <c r="J31" s="336"/>
      <c r="K31" s="336"/>
      <c r="L31" s="336"/>
      <c r="M31" s="339"/>
      <c r="N31" s="336"/>
      <c r="O31" s="413">
        <f t="shared" si="0"/>
        <v>-6120</v>
      </c>
      <c r="P31" s="339"/>
      <c r="Q31" s="336"/>
      <c r="R31" s="499"/>
      <c r="S31" s="336"/>
      <c r="T31" s="500"/>
      <c r="U31" s="336"/>
      <c r="V31" s="329"/>
      <c r="W31" s="501"/>
      <c r="X31" s="329"/>
      <c r="Y31" s="502"/>
      <c r="Z31" s="502"/>
      <c r="AA31" s="502"/>
      <c r="AB31" s="502"/>
      <c r="AC31" s="502"/>
    </row>
    <row r="32" spans="1:29">
      <c r="A32" s="338"/>
      <c r="B32" s="413" t="str">
        <f>SUMMARY!AB3</f>
        <v>PREMIX 8101 (20KG)</v>
      </c>
      <c r="C32" s="338" t="s">
        <v>346</v>
      </c>
      <c r="D32" s="336">
        <f>SUMMARY!AB74</f>
        <v>0</v>
      </c>
      <c r="E32" s="336">
        <f>SUMMARY!AB75</f>
        <v>0</v>
      </c>
      <c r="F32" s="336">
        <f>SUMMARY!AB76</f>
        <v>0</v>
      </c>
      <c r="G32" s="336">
        <f>SUMMARY!AB77</f>
        <v>0</v>
      </c>
      <c r="H32" s="336">
        <f>SUMMARY!AB78</f>
        <v>0</v>
      </c>
      <c r="I32" s="336"/>
      <c r="J32" s="336"/>
      <c r="K32" s="336"/>
      <c r="L32" s="336"/>
      <c r="M32" s="339"/>
      <c r="N32" s="336"/>
      <c r="O32" s="413">
        <f t="shared" si="0"/>
        <v>0</v>
      </c>
      <c r="P32" s="339"/>
      <c r="Q32" s="336"/>
      <c r="R32" s="499"/>
      <c r="S32" s="336"/>
      <c r="T32" s="500"/>
      <c r="U32" s="336"/>
      <c r="V32" s="329"/>
      <c r="W32" s="501"/>
      <c r="X32" s="329"/>
      <c r="Y32" s="502"/>
      <c r="Z32" s="502"/>
      <c r="AA32" s="502"/>
      <c r="AB32" s="502"/>
      <c r="AC32" s="502"/>
    </row>
    <row r="33" spans="1:29">
      <c r="A33" s="338"/>
      <c r="B33" s="413" t="str">
        <f>SUMMARY!AC3</f>
        <v>PREMIX 8102 (20KG)</v>
      </c>
      <c r="C33" s="338" t="s">
        <v>346</v>
      </c>
      <c r="D33" s="336">
        <f>SUMMARY!AC74</f>
        <v>0</v>
      </c>
      <c r="E33" s="336">
        <f>SUMMARY!AC75</f>
        <v>0</v>
      </c>
      <c r="F33" s="336">
        <f>SUMMARY!AC76</f>
        <v>0</v>
      </c>
      <c r="G33" s="336">
        <f>SUMMARY!AC77</f>
        <v>0</v>
      </c>
      <c r="H33" s="336">
        <f>SUMMARY!AC78</f>
        <v>0</v>
      </c>
      <c r="I33" s="336"/>
      <c r="J33" s="336"/>
      <c r="K33" s="336"/>
      <c r="L33" s="336"/>
      <c r="M33" s="339"/>
      <c r="N33" s="336"/>
      <c r="O33" s="413">
        <f t="shared" si="0"/>
        <v>0</v>
      </c>
      <c r="P33" s="339"/>
      <c r="Q33" s="336"/>
      <c r="R33" s="499"/>
      <c r="S33" s="336"/>
      <c r="T33" s="500"/>
      <c r="U33" s="336"/>
      <c r="V33" s="329"/>
      <c r="W33" s="501"/>
      <c r="X33" s="329"/>
      <c r="Y33" s="502"/>
      <c r="Z33" s="502"/>
      <c r="AA33" s="502"/>
      <c r="AB33" s="502"/>
      <c r="AC33" s="502"/>
    </row>
    <row r="34" spans="1:29">
      <c r="A34" s="338"/>
      <c r="B34" s="413" t="str">
        <f>SUMMARY!AD3</f>
        <v>PREMIX 8103 (20KG)</v>
      </c>
      <c r="C34" s="338" t="s">
        <v>346</v>
      </c>
      <c r="D34" s="336">
        <f>SUMMARY!AD74</f>
        <v>2820</v>
      </c>
      <c r="E34" s="336">
        <f>SUMMARY!AD75</f>
        <v>0</v>
      </c>
      <c r="F34" s="336">
        <f>SUMMARY!AD76</f>
        <v>0</v>
      </c>
      <c r="G34" s="336">
        <f>SUMMARY!AD77</f>
        <v>0</v>
      </c>
      <c r="H34" s="336">
        <f>SUMMARY!AD78</f>
        <v>2820</v>
      </c>
      <c r="I34" s="336"/>
      <c r="J34" s="336"/>
      <c r="K34" s="336"/>
      <c r="L34" s="336"/>
      <c r="M34" s="339"/>
      <c r="N34" s="336"/>
      <c r="O34" s="413">
        <f t="shared" si="0"/>
        <v>-2820</v>
      </c>
      <c r="P34" s="339"/>
      <c r="Q34" s="336"/>
      <c r="R34" s="499"/>
      <c r="S34" s="336"/>
      <c r="T34" s="500"/>
      <c r="U34" s="336"/>
      <c r="V34" s="329"/>
      <c r="W34" s="501"/>
      <c r="X34" s="329"/>
      <c r="Y34" s="502"/>
      <c r="Z34" s="502"/>
      <c r="AA34" s="502"/>
      <c r="AB34" s="502"/>
      <c r="AC34" s="502"/>
    </row>
    <row r="35" spans="1:29">
      <c r="A35" s="338"/>
      <c r="B35" s="413" t="str">
        <f>SUMMARY!AE3</f>
        <v>PREMIX 8108 (20KG)</v>
      </c>
      <c r="C35" s="338" t="s">
        <v>346</v>
      </c>
      <c r="D35" s="336">
        <f>SUMMARY!AE74</f>
        <v>0</v>
      </c>
      <c r="E35" s="336">
        <f>SUMMARY!AE75</f>
        <v>0</v>
      </c>
      <c r="F35" s="336">
        <f>SUMMARY!AE76</f>
        <v>0</v>
      </c>
      <c r="G35" s="336">
        <f>SUMMARY!AE77</f>
        <v>0</v>
      </c>
      <c r="H35" s="336">
        <f>SUMMARY!AE78</f>
        <v>0</v>
      </c>
      <c r="I35" s="336"/>
      <c r="J35" s="336"/>
      <c r="K35" s="336"/>
      <c r="L35" s="336"/>
      <c r="M35" s="339"/>
      <c r="N35" s="336"/>
      <c r="O35" s="413">
        <f t="shared" si="0"/>
        <v>0</v>
      </c>
      <c r="P35" s="339"/>
      <c r="Q35" s="336"/>
      <c r="R35" s="499"/>
      <c r="S35" s="336"/>
      <c r="T35" s="500"/>
      <c r="U35" s="336"/>
      <c r="V35" s="329"/>
      <c r="W35" s="501"/>
      <c r="X35" s="329"/>
      <c r="Y35" s="502"/>
      <c r="Z35" s="502"/>
      <c r="AA35" s="502"/>
      <c r="AB35" s="502"/>
      <c r="AC35" s="502"/>
    </row>
    <row r="36" spans="1:29">
      <c r="A36" s="338"/>
      <c r="B36" s="413" t="str">
        <f>SUMMARY!AF3</f>
        <v>PREMIX 8109 (20KG)</v>
      </c>
      <c r="C36" s="338" t="s">
        <v>346</v>
      </c>
      <c r="D36" s="336">
        <f>SUMMARY!AF74</f>
        <v>0</v>
      </c>
      <c r="E36" s="336">
        <f>SUMMARY!AF75</f>
        <v>0</v>
      </c>
      <c r="F36" s="336">
        <f>SUMMARY!AF76</f>
        <v>0</v>
      </c>
      <c r="G36" s="336">
        <f>SUMMARY!AF77</f>
        <v>0</v>
      </c>
      <c r="H36" s="336">
        <f>SUMMARY!AF78</f>
        <v>0</v>
      </c>
      <c r="I36" s="336"/>
      <c r="J36" s="336"/>
      <c r="K36" s="336"/>
      <c r="L36" s="336"/>
      <c r="M36" s="339"/>
      <c r="N36" s="336"/>
      <c r="O36" s="413">
        <f t="shared" si="0"/>
        <v>0</v>
      </c>
      <c r="P36" s="339"/>
      <c r="Q36" s="336"/>
      <c r="R36" s="499"/>
      <c r="S36" s="336"/>
      <c r="T36" s="500"/>
      <c r="U36" s="336"/>
      <c r="V36" s="329"/>
      <c r="W36" s="501"/>
      <c r="X36" s="329"/>
      <c r="Y36" s="502"/>
      <c r="Z36" s="502"/>
      <c r="AA36" s="502"/>
      <c r="AB36" s="502"/>
      <c r="AC36" s="502"/>
    </row>
    <row r="37" spans="1:29">
      <c r="A37" s="338"/>
      <c r="B37" s="413" t="str">
        <f>SUMMARY!AG3</f>
        <v>YENMIX 121 (20KG)</v>
      </c>
      <c r="C37" s="338" t="s">
        <v>346</v>
      </c>
      <c r="D37" s="336">
        <f>SUMMARY!AG74</f>
        <v>2540</v>
      </c>
      <c r="E37" s="336">
        <f>SUMMARY!AG75</f>
        <v>0</v>
      </c>
      <c r="F37" s="336">
        <f>SUMMARY!AG76</f>
        <v>0</v>
      </c>
      <c r="G37" s="336">
        <f>SUMMARY!AG77</f>
        <v>0</v>
      </c>
      <c r="H37" s="336">
        <f>SUMMARY!AG78</f>
        <v>2540</v>
      </c>
      <c r="I37" s="336"/>
      <c r="J37" s="336"/>
      <c r="K37" s="336"/>
      <c r="L37" s="336"/>
      <c r="M37" s="339"/>
      <c r="N37" s="336"/>
      <c r="O37" s="413">
        <f t="shared" si="0"/>
        <v>-2540</v>
      </c>
      <c r="P37" s="339"/>
      <c r="Q37" s="336"/>
      <c r="R37" s="499"/>
      <c r="S37" s="336"/>
      <c r="T37" s="500"/>
      <c r="U37" s="336"/>
      <c r="V37" s="329"/>
      <c r="W37" s="501"/>
      <c r="X37" s="329"/>
      <c r="Y37" s="502"/>
      <c r="Z37" s="502"/>
      <c r="AA37" s="502"/>
      <c r="AB37" s="502"/>
      <c r="AC37" s="502"/>
    </row>
    <row r="38" spans="1:29">
      <c r="A38" s="338"/>
      <c r="B38" s="413" t="str">
        <f>SUMMARY!AH3</f>
        <v>YENMIX 122 (19.50KG)</v>
      </c>
      <c r="C38" s="338" t="s">
        <v>346</v>
      </c>
      <c r="D38" s="336">
        <f>SUMMARY!AH74</f>
        <v>2359.5</v>
      </c>
      <c r="E38" s="336">
        <f>SUMMARY!AH75</f>
        <v>0</v>
      </c>
      <c r="F38" s="336">
        <f>SUMMARY!AH76</f>
        <v>0</v>
      </c>
      <c r="G38" s="336">
        <f>SUMMARY!AH77</f>
        <v>0</v>
      </c>
      <c r="H38" s="336">
        <f>SUMMARY!AH78</f>
        <v>2359.5</v>
      </c>
      <c r="I38" s="336"/>
      <c r="J38" s="336"/>
      <c r="K38" s="336"/>
      <c r="L38" s="336"/>
      <c r="M38" s="339"/>
      <c r="N38" s="336"/>
      <c r="O38" s="413">
        <f t="shared" si="0"/>
        <v>-2359.5</v>
      </c>
      <c r="P38" s="339"/>
      <c r="Q38" s="336"/>
      <c r="R38" s="499"/>
      <c r="S38" s="336"/>
      <c r="T38" s="500"/>
      <c r="U38" s="336"/>
      <c r="V38" s="329"/>
      <c r="W38" s="501"/>
      <c r="X38" s="329"/>
      <c r="Y38" s="502"/>
      <c r="Z38" s="502"/>
      <c r="AA38" s="502"/>
      <c r="AB38" s="502"/>
      <c r="AC38" s="502"/>
    </row>
    <row r="39" spans="1:29">
      <c r="A39" s="338"/>
      <c r="B39" s="413" t="str">
        <f>SUMMARY!AI3</f>
        <v>YENMIX 123 (18.90KG)</v>
      </c>
      <c r="C39" s="338" t="s">
        <v>346</v>
      </c>
      <c r="D39" s="336">
        <f>SUMMARY!AI74</f>
        <v>1890</v>
      </c>
      <c r="E39" s="336">
        <f>SUMMARY!AI75</f>
        <v>0</v>
      </c>
      <c r="F39" s="336">
        <f>SUMMARY!AI76</f>
        <v>0</v>
      </c>
      <c r="G39" s="336">
        <f>SUMMARY!AI77</f>
        <v>0</v>
      </c>
      <c r="H39" s="336">
        <f>SUMMARY!AI78</f>
        <v>1890</v>
      </c>
      <c r="I39" s="336"/>
      <c r="J39" s="336"/>
      <c r="K39" s="336"/>
      <c r="L39" s="336"/>
      <c r="M39" s="339"/>
      <c r="N39" s="336"/>
      <c r="O39" s="413">
        <f t="shared" si="0"/>
        <v>-1890</v>
      </c>
      <c r="P39" s="339"/>
      <c r="Q39" s="336"/>
      <c r="R39" s="499"/>
      <c r="S39" s="336"/>
      <c r="T39" s="500"/>
      <c r="U39" s="336"/>
      <c r="V39" s="329"/>
      <c r="W39" s="501"/>
      <c r="X39" s="329"/>
      <c r="Y39" s="502"/>
      <c r="Z39" s="502"/>
      <c r="AA39" s="502"/>
      <c r="AB39" s="502"/>
      <c r="AC39" s="502"/>
    </row>
    <row r="40" spans="1:29">
      <c r="A40" s="338"/>
      <c r="B40" s="413" t="str">
        <f>SUMMARY!AJ3</f>
        <v>YENMIX 122 (20.50KG)</v>
      </c>
      <c r="C40" s="338" t="s">
        <v>346</v>
      </c>
      <c r="D40" s="336">
        <f>SUMMARY!AJ74</f>
        <v>3690</v>
      </c>
      <c r="E40" s="336">
        <f>SUMMARY!AJ75</f>
        <v>0</v>
      </c>
      <c r="F40" s="336">
        <f>SUMMARY!AJ76</f>
        <v>0</v>
      </c>
      <c r="G40" s="336">
        <f>SUMMARY!AJ77</f>
        <v>0</v>
      </c>
      <c r="H40" s="336">
        <f>SUMMARY!AJ78</f>
        <v>3690</v>
      </c>
      <c r="I40" s="336"/>
      <c r="J40" s="336"/>
      <c r="K40" s="336"/>
      <c r="L40" s="336"/>
      <c r="M40" s="339"/>
      <c r="N40" s="336"/>
      <c r="O40" s="413">
        <f t="shared" si="0"/>
        <v>-3690</v>
      </c>
      <c r="P40" s="339"/>
      <c r="Q40" s="336"/>
      <c r="R40" s="499"/>
      <c r="S40" s="336"/>
      <c r="T40" s="500"/>
      <c r="U40" s="336"/>
      <c r="V40" s="329"/>
      <c r="W40" s="501"/>
      <c r="X40" s="329"/>
      <c r="Y40" s="502"/>
      <c r="Z40" s="502"/>
      <c r="AA40" s="502"/>
      <c r="AB40" s="502"/>
      <c r="AC40" s="502"/>
    </row>
    <row r="41" spans="1:29">
      <c r="A41" s="338"/>
      <c r="B41" s="413" t="str">
        <f>SUMMARY!AK3</f>
        <v>YENMIX 123 (20.00KG)</v>
      </c>
      <c r="C41" s="338" t="s">
        <v>346</v>
      </c>
      <c r="D41" s="336">
        <f>SUMMARY!AK74</f>
        <v>4000</v>
      </c>
      <c r="E41" s="336">
        <f>SUMMARY!AK75</f>
        <v>0</v>
      </c>
      <c r="F41" s="336">
        <f>SUMMARY!AK76</f>
        <v>0</v>
      </c>
      <c r="G41" s="336">
        <f>SUMMARY!AK77</f>
        <v>0</v>
      </c>
      <c r="H41" s="336">
        <f>SUMMARY!AK78</f>
        <v>4000</v>
      </c>
      <c r="I41" s="336"/>
      <c r="J41" s="336"/>
      <c r="K41" s="336"/>
      <c r="L41" s="336"/>
      <c r="M41" s="339"/>
      <c r="N41" s="336"/>
      <c r="O41" s="413">
        <f t="shared" si="0"/>
        <v>-4000</v>
      </c>
      <c r="P41" s="339"/>
      <c r="Q41" s="336"/>
      <c r="R41" s="499"/>
      <c r="S41" s="336"/>
      <c r="T41" s="500"/>
      <c r="U41" s="336"/>
      <c r="V41" s="329"/>
      <c r="W41" s="501"/>
      <c r="X41" s="329"/>
      <c r="Y41" s="502"/>
      <c r="Z41" s="502"/>
      <c r="AA41" s="502"/>
      <c r="AB41" s="502"/>
      <c r="AC41" s="502"/>
    </row>
    <row r="42" spans="1:29">
      <c r="A42" s="338"/>
      <c r="B42" s="413">
        <f>SUMMARY!AL3</f>
        <v>1</v>
      </c>
      <c r="C42" s="338" t="s">
        <v>346</v>
      </c>
      <c r="D42" s="336">
        <f>SUMMARY!AL74</f>
        <v>0</v>
      </c>
      <c r="E42" s="336">
        <f>SUMMARY!AL75</f>
        <v>0</v>
      </c>
      <c r="F42" s="336">
        <f>SUMMARY!AL76</f>
        <v>0</v>
      </c>
      <c r="G42" s="336">
        <f>SUMMARY!AL77</f>
        <v>0</v>
      </c>
      <c r="H42" s="336">
        <f>SUMMARY!AL78</f>
        <v>0</v>
      </c>
      <c r="I42" s="336"/>
      <c r="J42" s="336"/>
      <c r="K42" s="336"/>
      <c r="L42" s="336"/>
      <c r="M42" s="339"/>
      <c r="N42" s="336"/>
      <c r="O42" s="413">
        <f t="shared" si="0"/>
        <v>0</v>
      </c>
      <c r="P42" s="339"/>
      <c r="Q42" s="336"/>
      <c r="R42" s="336"/>
      <c r="S42" s="336"/>
      <c r="T42" s="336"/>
      <c r="U42" s="336"/>
      <c r="V42" s="329"/>
      <c r="W42" s="501"/>
      <c r="X42" s="329"/>
      <c r="Y42" s="502"/>
      <c r="Z42" s="502"/>
      <c r="AA42" s="502"/>
      <c r="AB42" s="502"/>
      <c r="AC42" s="502"/>
    </row>
    <row r="43" spans="1:29">
      <c r="A43" s="338"/>
      <c r="B43" s="413">
        <f>SUMMARY!AM3</f>
        <v>2</v>
      </c>
      <c r="C43" s="338" t="s">
        <v>346</v>
      </c>
      <c r="D43" s="336">
        <f>SUMMARY!AM74</f>
        <v>0</v>
      </c>
      <c r="E43" s="336">
        <f>SUMMARY!AM75</f>
        <v>0</v>
      </c>
      <c r="F43" s="336">
        <f>SUMMARY!AM76</f>
        <v>0</v>
      </c>
      <c r="G43" s="336">
        <f>SUMMARY!AM77</f>
        <v>0</v>
      </c>
      <c r="H43" s="336">
        <f>SUMMARY!AM78</f>
        <v>0</v>
      </c>
      <c r="I43" s="336"/>
      <c r="J43" s="336"/>
      <c r="K43" s="336"/>
      <c r="L43" s="336"/>
      <c r="M43" s="339"/>
      <c r="N43" s="336"/>
      <c r="O43" s="413">
        <f t="shared" si="0"/>
        <v>0</v>
      </c>
      <c r="P43" s="339"/>
      <c r="Q43" s="336"/>
      <c r="R43" s="336"/>
      <c r="S43" s="336"/>
      <c r="T43" s="336"/>
      <c r="U43" s="336"/>
      <c r="V43" s="329"/>
      <c r="W43" s="501"/>
      <c r="X43" s="329"/>
      <c r="Y43" s="502"/>
      <c r="Z43" s="502"/>
      <c r="AA43" s="502"/>
      <c r="AB43" s="502"/>
      <c r="AC43" s="502"/>
    </row>
    <row r="44" spans="1:29">
      <c r="A44" s="338"/>
      <c r="B44" s="413">
        <f>SUMMARY!AN3</f>
        <v>3</v>
      </c>
      <c r="C44" s="338" t="s">
        <v>346</v>
      </c>
      <c r="D44" s="336">
        <f>SUMMARY!AN74</f>
        <v>0</v>
      </c>
      <c r="E44" s="336">
        <f>SUMMARY!AN75</f>
        <v>0</v>
      </c>
      <c r="F44" s="336">
        <f>SUMMARY!AN76</f>
        <v>0</v>
      </c>
      <c r="G44" s="336">
        <f>SUMMARY!AN77</f>
        <v>0</v>
      </c>
      <c r="H44" s="336">
        <f>SUMMARY!AN78</f>
        <v>0</v>
      </c>
      <c r="I44" s="336"/>
      <c r="J44" s="336"/>
      <c r="K44" s="336"/>
      <c r="L44" s="336"/>
      <c r="M44" s="339"/>
      <c r="N44" s="336"/>
      <c r="O44" s="413">
        <f t="shared" si="0"/>
        <v>0</v>
      </c>
      <c r="P44" s="339"/>
      <c r="Q44" s="336"/>
      <c r="R44" s="336"/>
      <c r="S44" s="336"/>
      <c r="T44" s="336"/>
      <c r="U44" s="336"/>
      <c r="V44" s="329"/>
      <c r="W44" s="501"/>
      <c r="X44" s="329"/>
      <c r="Y44" s="502"/>
      <c r="Z44" s="502"/>
      <c r="AA44" s="502"/>
      <c r="AB44" s="502"/>
      <c r="AC44" s="502"/>
    </row>
    <row r="45" spans="1:29">
      <c r="A45" s="338"/>
      <c r="B45" s="413" t="str">
        <f>SUMMARY!AO3</f>
        <v>TOXISORB PREMIUM</v>
      </c>
      <c r="C45" s="338" t="s">
        <v>346</v>
      </c>
      <c r="D45" s="336">
        <f>SUMMARY!AO74</f>
        <v>1625</v>
      </c>
      <c r="E45" s="336">
        <f>SUMMARY!AO75</f>
        <v>0</v>
      </c>
      <c r="F45" s="336">
        <f>SUMMARY!AO76</f>
        <v>0</v>
      </c>
      <c r="G45" s="336">
        <f>SUMMARY!AO77</f>
        <v>0</v>
      </c>
      <c r="H45" s="336">
        <f>SUMMARY!AO78</f>
        <v>1625</v>
      </c>
      <c r="I45" s="336"/>
      <c r="J45" s="336"/>
      <c r="K45" s="336"/>
      <c r="L45" s="336"/>
      <c r="M45" s="339"/>
      <c r="N45" s="336"/>
      <c r="O45" s="413">
        <f t="shared" si="0"/>
        <v>-1625</v>
      </c>
      <c r="P45" s="339"/>
      <c r="Q45" s="336"/>
      <c r="R45" s="499"/>
      <c r="S45" s="336"/>
      <c r="T45" s="500"/>
      <c r="U45" s="336"/>
      <c r="V45" s="329"/>
      <c r="W45" s="501"/>
      <c r="X45" s="329"/>
      <c r="Y45" s="502"/>
      <c r="Z45" s="502"/>
      <c r="AA45" s="502"/>
      <c r="AB45" s="502"/>
      <c r="AC45" s="502"/>
    </row>
    <row r="46" spans="1:29">
      <c r="A46" s="338"/>
      <c r="B46" s="413" t="str">
        <f>SUMMARY!AP3</f>
        <v>SODIUM HUMATE 3.8% (HARUMI)</v>
      </c>
      <c r="C46" s="338" t="s">
        <v>346</v>
      </c>
      <c r="D46" s="336">
        <f>SUMMARY!AP74</f>
        <v>0</v>
      </c>
      <c r="E46" s="336">
        <f>SUMMARY!AP75</f>
        <v>0</v>
      </c>
      <c r="F46" s="336">
        <f>SUMMARY!AP76</f>
        <v>0</v>
      </c>
      <c r="G46" s="336">
        <f>SUMMARY!AP77</f>
        <v>0</v>
      </c>
      <c r="H46" s="336">
        <f>SUMMARY!AP78</f>
        <v>0</v>
      </c>
      <c r="I46" s="336"/>
      <c r="J46" s="336"/>
      <c r="K46" s="336"/>
      <c r="L46" s="336"/>
      <c r="M46" s="339"/>
      <c r="N46" s="336"/>
      <c r="O46" s="413">
        <f t="shared" si="0"/>
        <v>0</v>
      </c>
      <c r="P46" s="339"/>
      <c r="Q46" s="336"/>
      <c r="R46" s="499"/>
      <c r="S46" s="336"/>
      <c r="T46" s="500"/>
      <c r="U46" s="336"/>
      <c r="V46" s="329"/>
      <c r="W46" s="501"/>
      <c r="X46" s="329"/>
      <c r="Y46" s="502"/>
      <c r="Z46" s="502"/>
      <c r="AA46" s="502"/>
      <c r="AB46" s="502"/>
      <c r="AC46" s="502"/>
    </row>
    <row r="47" spans="1:29">
      <c r="A47" s="338"/>
      <c r="B47" s="413" t="s">
        <v>41</v>
      </c>
      <c r="C47" s="338"/>
      <c r="D47" s="336"/>
      <c r="E47" s="336"/>
      <c r="F47" s="336"/>
      <c r="G47" s="336"/>
      <c r="H47" s="336"/>
      <c r="I47" s="336"/>
      <c r="J47" s="336"/>
      <c r="K47" s="336"/>
      <c r="L47" s="336"/>
      <c r="M47" s="339"/>
      <c r="N47" s="336"/>
      <c r="O47" s="413"/>
      <c r="P47" s="339"/>
      <c r="Q47" s="336"/>
      <c r="R47" s="499"/>
      <c r="S47" s="336"/>
      <c r="T47" s="500"/>
      <c r="U47" s="336"/>
      <c r="V47" s="329"/>
      <c r="W47" s="501"/>
      <c r="X47" s="329"/>
      <c r="Y47" s="502"/>
      <c r="Z47" s="502"/>
      <c r="AA47" s="502"/>
      <c r="AB47" s="502"/>
      <c r="AC47" s="502"/>
    </row>
    <row r="48" spans="1:29">
      <c r="A48" s="338"/>
      <c r="B48" s="413" t="str">
        <f>SUMMARY!AR3</f>
        <v>SODIUM BICARBONATE</v>
      </c>
      <c r="C48" s="338" t="s">
        <v>346</v>
      </c>
      <c r="D48" s="336">
        <f>SUMMARY!AR74</f>
        <v>3111.9999999999995</v>
      </c>
      <c r="E48" s="336">
        <f>SUMMARY!AR75</f>
        <v>0</v>
      </c>
      <c r="F48" s="336">
        <f>SUMMARY!AR76</f>
        <v>0</v>
      </c>
      <c r="G48" s="336">
        <f>SUMMARY!AS77</f>
        <v>0</v>
      </c>
      <c r="H48" s="336">
        <f>SUMMARY!AR78</f>
        <v>3111.9999999999995</v>
      </c>
      <c r="I48" s="336"/>
      <c r="J48" s="336"/>
      <c r="K48" s="336"/>
      <c r="L48" s="336"/>
      <c r="M48" s="339"/>
      <c r="N48" s="336"/>
      <c r="O48" s="413"/>
      <c r="P48" s="339"/>
      <c r="Q48" s="336"/>
      <c r="R48" s="499"/>
      <c r="S48" s="336"/>
      <c r="T48" s="500"/>
      <c r="U48" s="336"/>
      <c r="V48" s="329"/>
      <c r="W48" s="501"/>
      <c r="X48" s="329"/>
      <c r="Y48" s="502"/>
      <c r="Z48" s="502"/>
      <c r="AA48" s="502"/>
      <c r="AB48" s="502"/>
      <c r="AC48" s="502"/>
    </row>
    <row r="49" spans="1:29">
      <c r="A49" s="338"/>
      <c r="B49" s="413" t="str">
        <f>SUMMARY!AQ3</f>
        <v>TOXIWALL</v>
      </c>
      <c r="C49" s="338" t="s">
        <v>346</v>
      </c>
      <c r="D49" s="336">
        <f>SUMMARY!AQ74</f>
        <v>1127</v>
      </c>
      <c r="E49" s="336">
        <f>SUMMARY!AQ75</f>
        <v>0</v>
      </c>
      <c r="F49" s="336">
        <f>SUMMARY!AQ76</f>
        <v>0</v>
      </c>
      <c r="G49" s="336">
        <f>SUMMARY!AQ77</f>
        <v>0</v>
      </c>
      <c r="H49" s="336">
        <f>SUMMARY!AQ78</f>
        <v>1127</v>
      </c>
      <c r="I49" s="336"/>
      <c r="J49" s="336"/>
      <c r="K49" s="336"/>
      <c r="L49" s="336"/>
      <c r="M49" s="339"/>
      <c r="N49" s="336"/>
      <c r="O49" s="413">
        <f t="shared" si="0"/>
        <v>-1127</v>
      </c>
      <c r="P49" s="339"/>
      <c r="Q49" s="336"/>
      <c r="R49" s="499"/>
      <c r="S49" s="336"/>
      <c r="T49" s="500"/>
      <c r="U49" s="336"/>
      <c r="V49" s="329"/>
      <c r="W49" s="501"/>
      <c r="X49" s="329"/>
      <c r="Y49" s="502"/>
      <c r="Z49" s="502"/>
      <c r="AA49" s="502"/>
      <c r="AB49" s="502"/>
      <c r="AC49" s="502"/>
    </row>
    <row r="50" spans="1:29">
      <c r="A50" s="338"/>
      <c r="B50" s="413" t="str">
        <f>SUMMARY!AS3</f>
        <v>BMD 10%</v>
      </c>
      <c r="C50" s="338" t="s">
        <v>346</v>
      </c>
      <c r="D50" s="336">
        <f>SUMMARY!AS74</f>
        <v>1680.5</v>
      </c>
      <c r="E50" s="336">
        <f>SUMMARY!AS75</f>
        <v>0</v>
      </c>
      <c r="F50" s="336">
        <f>SUMMARY!AS76</f>
        <v>0</v>
      </c>
      <c r="G50" s="336">
        <f>SUMMARY!AS77</f>
        <v>0</v>
      </c>
      <c r="H50" s="336">
        <f>SUMMARY!AS78</f>
        <v>1680.5</v>
      </c>
      <c r="I50" s="336"/>
      <c r="J50" s="336"/>
      <c r="K50" s="336"/>
      <c r="L50" s="336"/>
      <c r="M50" s="339"/>
      <c r="N50" s="336"/>
      <c r="O50" s="413">
        <f t="shared" si="0"/>
        <v>-1680.5</v>
      </c>
      <c r="P50" s="339"/>
      <c r="Q50" s="336"/>
      <c r="R50" s="499"/>
      <c r="S50" s="336"/>
      <c r="T50" s="500"/>
      <c r="U50" s="336"/>
      <c r="V50" s="329"/>
      <c r="W50" s="501"/>
      <c r="X50" s="329"/>
      <c r="Y50" s="502"/>
      <c r="Z50" s="502"/>
      <c r="AA50" s="502"/>
      <c r="AB50" s="502"/>
      <c r="AC50" s="502"/>
    </row>
    <row r="51" spans="1:29">
      <c r="A51" s="338"/>
      <c r="B51" s="413" t="str">
        <f>SUMMARY!AT3</f>
        <v>SALT (HARUMI)</v>
      </c>
      <c r="C51" s="338" t="s">
        <v>346</v>
      </c>
      <c r="D51" s="336">
        <f>SUMMARY!AT74</f>
        <v>0</v>
      </c>
      <c r="E51" s="336">
        <f>SUMMARY!AT75</f>
        <v>0</v>
      </c>
      <c r="F51" s="336">
        <f>SUMMARY!AT76</f>
        <v>0</v>
      </c>
      <c r="G51" s="336">
        <f>SUMMARY!AT77</f>
        <v>0</v>
      </c>
      <c r="H51" s="336">
        <f>SUMMARY!AT78</f>
        <v>0</v>
      </c>
      <c r="I51" s="336"/>
      <c r="J51" s="336"/>
      <c r="K51" s="336"/>
      <c r="L51" s="336"/>
      <c r="M51" s="339"/>
      <c r="N51" s="336"/>
      <c r="O51" s="413">
        <f t="shared" si="0"/>
        <v>0</v>
      </c>
      <c r="P51" s="339"/>
      <c r="Q51" s="336"/>
      <c r="R51" s="499"/>
      <c r="S51" s="336"/>
      <c r="T51" s="500"/>
      <c r="U51" s="336"/>
      <c r="V51" s="329"/>
      <c r="W51" s="501"/>
      <c r="X51" s="329"/>
      <c r="Y51" s="502"/>
      <c r="Z51" s="502"/>
      <c r="AA51" s="502"/>
      <c r="AB51" s="502"/>
      <c r="AC51" s="502"/>
    </row>
    <row r="52" spans="1:29">
      <c r="A52" s="338"/>
      <c r="B52" s="413" t="str">
        <f>SUMMARY!AU3</f>
        <v>VISTABET 91</v>
      </c>
      <c r="C52" s="338" t="s">
        <v>346</v>
      </c>
      <c r="D52" s="336">
        <f>SUMMARY!AU74</f>
        <v>1482</v>
      </c>
      <c r="E52" s="336">
        <f>SUMMARY!AU75</f>
        <v>0</v>
      </c>
      <c r="F52" s="336">
        <f>SUMMARY!AU76</f>
        <v>0</v>
      </c>
      <c r="G52" s="336">
        <f>SUMMARY!AU77</f>
        <v>0</v>
      </c>
      <c r="H52" s="336">
        <f>SUMMARY!AU78</f>
        <v>1482</v>
      </c>
      <c r="I52" s="336"/>
      <c r="J52" s="336"/>
      <c r="K52" s="336"/>
      <c r="L52" s="336"/>
      <c r="M52" s="339"/>
      <c r="N52" s="336"/>
      <c r="O52" s="413">
        <f t="shared" si="0"/>
        <v>-1482</v>
      </c>
      <c r="P52" s="339"/>
      <c r="Q52" s="336"/>
      <c r="R52" s="499"/>
      <c r="S52" s="336"/>
      <c r="T52" s="500"/>
      <c r="U52" s="336"/>
      <c r="V52" s="329"/>
      <c r="W52" s="501"/>
      <c r="X52" s="329"/>
      <c r="Y52" s="502"/>
      <c r="Z52" s="502"/>
      <c r="AA52" s="502"/>
      <c r="AB52" s="502"/>
      <c r="AC52" s="502"/>
    </row>
    <row r="53" spans="1:29">
      <c r="A53" s="338"/>
      <c r="B53" s="413" t="str">
        <f>SUMMARY!AV3</f>
        <v>BETAFIN</v>
      </c>
      <c r="C53" s="338" t="s">
        <v>346</v>
      </c>
      <c r="D53" s="336">
        <f>SUMMARY!AV74</f>
        <v>0</v>
      </c>
      <c r="E53" s="336">
        <f>SUMMARY!AV75</f>
        <v>0</v>
      </c>
      <c r="F53" s="336">
        <f>SUMMARY!AV76</f>
        <v>0</v>
      </c>
      <c r="G53" s="336">
        <f>SUMMARY!AV77</f>
        <v>0</v>
      </c>
      <c r="H53" s="336">
        <f>SUMMARY!AV78</f>
        <v>0</v>
      </c>
      <c r="I53" s="336"/>
      <c r="J53" s="336"/>
      <c r="K53" s="336"/>
      <c r="L53" s="336"/>
      <c r="M53" s="339"/>
      <c r="N53" s="336"/>
      <c r="O53" s="413">
        <f t="shared" si="0"/>
        <v>0</v>
      </c>
      <c r="P53" s="339"/>
      <c r="Q53" s="336"/>
      <c r="R53" s="499"/>
      <c r="S53" s="336"/>
      <c r="T53" s="500"/>
      <c r="U53" s="336"/>
      <c r="V53" s="329"/>
      <c r="W53" s="501"/>
      <c r="X53" s="329"/>
      <c r="Y53" s="502"/>
      <c r="Z53" s="502"/>
      <c r="AA53" s="502"/>
      <c r="AB53" s="502"/>
      <c r="AC53" s="502"/>
    </row>
    <row r="54" spans="1:29">
      <c r="A54" s="338"/>
      <c r="B54" s="413" t="str">
        <f>SUMMARY!AW3</f>
        <v>8101 TOP UP</v>
      </c>
      <c r="C54" s="338" t="s">
        <v>346</v>
      </c>
      <c r="D54" s="336">
        <f>SUMMARY!AW74</f>
        <v>100</v>
      </c>
      <c r="E54" s="336">
        <f>SUMMARY!AW75</f>
        <v>0</v>
      </c>
      <c r="F54" s="336">
        <f>SUMMARY!AW76</f>
        <v>0</v>
      </c>
      <c r="G54" s="336">
        <f>SUMMARY!AW77</f>
        <v>0</v>
      </c>
      <c r="H54" s="336">
        <f>SUMMARY!AW78</f>
        <v>100</v>
      </c>
      <c r="I54" s="336"/>
      <c r="J54" s="336"/>
      <c r="K54" s="336"/>
      <c r="L54" s="336"/>
      <c r="M54" s="339"/>
      <c r="N54" s="336"/>
      <c r="O54" s="413">
        <f t="shared" si="0"/>
        <v>-100</v>
      </c>
      <c r="P54" s="339"/>
      <c r="Q54" s="336"/>
      <c r="R54" s="499"/>
      <c r="S54" s="336"/>
      <c r="T54" s="500"/>
      <c r="U54" s="336"/>
      <c r="V54" s="329"/>
      <c r="W54" s="501"/>
      <c r="X54" s="329"/>
      <c r="Y54" s="502"/>
      <c r="Z54" s="502"/>
      <c r="AA54" s="502"/>
      <c r="AB54" s="502"/>
      <c r="AC54" s="502"/>
    </row>
    <row r="55" spans="1:29">
      <c r="A55" s="338"/>
      <c r="B55" s="413" t="str">
        <f>SUMMARY!AX3</f>
        <v>NORPONIN X03 (8102 TOP UP)</v>
      </c>
      <c r="C55" s="338" t="s">
        <v>346</v>
      </c>
      <c r="D55" s="336">
        <f>SUMMARY!AX74</f>
        <v>13.960000000000036</v>
      </c>
      <c r="E55" s="336">
        <f>SUMMARY!AX75</f>
        <v>0</v>
      </c>
      <c r="F55" s="336">
        <f>SUMMARY!AX76</f>
        <v>0</v>
      </c>
      <c r="G55" s="336">
        <f>SUMMARY!AX77</f>
        <v>0</v>
      </c>
      <c r="H55" s="336">
        <f>SUMMARY!AX78</f>
        <v>13.960000000000036</v>
      </c>
      <c r="I55" s="336"/>
      <c r="J55" s="336"/>
      <c r="K55" s="336"/>
      <c r="L55" s="336"/>
      <c r="M55" s="339"/>
      <c r="N55" s="336"/>
      <c r="O55" s="413">
        <f t="shared" si="0"/>
        <v>-13.960000000000036</v>
      </c>
      <c r="P55" s="339"/>
      <c r="Q55" s="336"/>
      <c r="R55" s="499"/>
      <c r="S55" s="336"/>
      <c r="T55" s="500"/>
      <c r="U55" s="336"/>
      <c r="V55" s="329"/>
      <c r="W55" s="501"/>
      <c r="X55" s="329"/>
      <c r="Y55" s="502"/>
      <c r="Z55" s="502"/>
      <c r="AA55" s="502"/>
      <c r="AB55" s="502"/>
      <c r="AC55" s="502"/>
    </row>
    <row r="56" spans="1:29">
      <c r="A56" s="338"/>
      <c r="B56" s="413" t="str">
        <f>SUMMARY!AY3</f>
        <v>8102 TOP UP (4KG)</v>
      </c>
      <c r="C56" s="338" t="s">
        <v>346</v>
      </c>
      <c r="D56" s="336">
        <f>SUMMARY!AY74</f>
        <v>548</v>
      </c>
      <c r="E56" s="336">
        <f>SUMMARY!AY75</f>
        <v>0</v>
      </c>
      <c r="F56" s="336">
        <f>SUMMARY!AY76</f>
        <v>0</v>
      </c>
      <c r="G56" s="336">
        <f>SUMMARY!AY77</f>
        <v>0</v>
      </c>
      <c r="H56" s="336">
        <f>SUMMARY!AY78</f>
        <v>548</v>
      </c>
      <c r="I56" s="336"/>
      <c r="J56" s="336"/>
      <c r="K56" s="336"/>
      <c r="L56" s="336"/>
      <c r="M56" s="339"/>
      <c r="N56" s="336"/>
      <c r="O56" s="413">
        <f t="shared" si="0"/>
        <v>-548</v>
      </c>
      <c r="P56" s="339"/>
      <c r="Q56" s="336"/>
      <c r="R56" s="499"/>
      <c r="S56" s="336"/>
      <c r="T56" s="500"/>
      <c r="U56" s="336"/>
      <c r="V56" s="329"/>
      <c r="W56" s="501"/>
      <c r="X56" s="329"/>
      <c r="Y56" s="502"/>
      <c r="Z56" s="502"/>
      <c r="AA56" s="502"/>
      <c r="AB56" s="502"/>
      <c r="AC56" s="502"/>
    </row>
    <row r="57" spans="1:29">
      <c r="A57" s="338"/>
      <c r="B57" s="413" t="str">
        <f>SUMMARY!AZ3</f>
        <v>8103 TOP UP (5KG)</v>
      </c>
      <c r="C57" s="338" t="s">
        <v>346</v>
      </c>
      <c r="D57" s="336">
        <f>SUMMARY!AZ74</f>
        <v>0</v>
      </c>
      <c r="E57" s="336">
        <f>SUMMARY!AZ75</f>
        <v>0</v>
      </c>
      <c r="F57" s="336">
        <f>SUMMARY!AZ76</f>
        <v>0</v>
      </c>
      <c r="G57" s="336">
        <f>SUMMARY!AZ77</f>
        <v>0</v>
      </c>
      <c r="H57" s="336">
        <f>SUMMARY!AZ78</f>
        <v>0</v>
      </c>
      <c r="I57" s="336"/>
      <c r="J57" s="336"/>
      <c r="K57" s="336"/>
      <c r="L57" s="336"/>
      <c r="M57" s="339"/>
      <c r="N57" s="336"/>
      <c r="O57" s="413">
        <f t="shared" si="0"/>
        <v>0</v>
      </c>
      <c r="P57" s="339"/>
      <c r="Q57" s="336"/>
      <c r="R57" s="499"/>
      <c r="S57" s="336"/>
      <c r="T57" s="500"/>
      <c r="U57" s="336"/>
      <c r="V57" s="329"/>
      <c r="W57" s="501"/>
      <c r="X57" s="329"/>
      <c r="Y57" s="502"/>
      <c r="Z57" s="502"/>
      <c r="AA57" s="502"/>
      <c r="AB57" s="502"/>
      <c r="AC57" s="502"/>
    </row>
    <row r="58" spans="1:29">
      <c r="A58" s="338"/>
      <c r="B58" s="413" t="str">
        <f>SUMMARY!BA3</f>
        <v>L-ARGININE</v>
      </c>
      <c r="C58" s="338" t="s">
        <v>346</v>
      </c>
      <c r="D58" s="336">
        <f>SUMMARY!BA74</f>
        <v>0</v>
      </c>
      <c r="E58" s="336">
        <f>SUMMARY!BA75</f>
        <v>0</v>
      </c>
      <c r="F58" s="336">
        <f>SUMMARY!BA76</f>
        <v>0</v>
      </c>
      <c r="G58" s="336">
        <f>SUMMARY!BA77</f>
        <v>0</v>
      </c>
      <c r="H58" s="336">
        <f>SUMMARY!BA78</f>
        <v>0</v>
      </c>
      <c r="I58" s="336"/>
      <c r="J58" s="336"/>
      <c r="K58" s="336"/>
      <c r="L58" s="336"/>
      <c r="M58" s="339"/>
      <c r="N58" s="336"/>
      <c r="O58" s="413"/>
      <c r="P58" s="339"/>
      <c r="Q58" s="336"/>
      <c r="R58" s="499"/>
      <c r="S58" s="336"/>
      <c r="T58" s="500"/>
      <c r="U58" s="336"/>
      <c r="V58" s="329"/>
      <c r="W58" s="501"/>
      <c r="X58" s="329"/>
      <c r="Y58" s="502"/>
      <c r="Z58" s="502"/>
      <c r="AA58" s="502"/>
      <c r="AB58" s="502"/>
      <c r="AC58" s="502"/>
    </row>
    <row r="59" spans="1:29">
      <c r="A59" s="338"/>
      <c r="B59" s="413" t="str">
        <f>SUMMARY!BB3</f>
        <v>DL-METHIONINE</v>
      </c>
      <c r="C59" s="338" t="s">
        <v>346</v>
      </c>
      <c r="D59" s="336">
        <f>SUMMARY!BB74</f>
        <v>147.04000000000002</v>
      </c>
      <c r="E59" s="336">
        <f>SUMMARY!BB75</f>
        <v>0</v>
      </c>
      <c r="F59" s="336">
        <f>SUMMARY!BB76</f>
        <v>0</v>
      </c>
      <c r="G59" s="336">
        <f>SUMMARY!BB77</f>
        <v>0</v>
      </c>
      <c r="H59" s="336">
        <f>SUMMARY!BB78</f>
        <v>147.04000000000002</v>
      </c>
      <c r="I59" s="336"/>
      <c r="J59" s="336"/>
      <c r="K59" s="336"/>
      <c r="L59" s="336"/>
      <c r="M59" s="339"/>
      <c r="N59" s="336"/>
      <c r="O59" s="413"/>
      <c r="P59" s="339"/>
      <c r="Q59" s="336"/>
      <c r="R59" s="499"/>
      <c r="S59" s="336"/>
      <c r="T59" s="500"/>
      <c r="U59" s="336"/>
      <c r="V59" s="329"/>
      <c r="W59" s="501"/>
      <c r="X59" s="329"/>
      <c r="Y59" s="502"/>
      <c r="Z59" s="502"/>
      <c r="AA59" s="502"/>
      <c r="AB59" s="502"/>
      <c r="AC59" s="502"/>
    </row>
    <row r="60" spans="1:29">
      <c r="A60" s="338"/>
      <c r="B60" s="413" t="str">
        <f>SUMMARY!BC3</f>
        <v>L-THREONINE</v>
      </c>
      <c r="C60" s="338" t="s">
        <v>346</v>
      </c>
      <c r="D60" s="336">
        <f>SUMMARY!BC74</f>
        <v>46.8</v>
      </c>
      <c r="E60" s="336">
        <f>SUMMARY!BC75</f>
        <v>0</v>
      </c>
      <c r="F60" s="336">
        <f>SUMMARY!BC76</f>
        <v>0</v>
      </c>
      <c r="G60" s="336">
        <f>SUMMARY!BC77</f>
        <v>0</v>
      </c>
      <c r="H60" s="336">
        <f>SUMMARY!BC78</f>
        <v>46.8</v>
      </c>
      <c r="I60" s="336"/>
      <c r="J60" s="336"/>
      <c r="K60" s="336"/>
      <c r="L60" s="336"/>
      <c r="M60" s="339"/>
      <c r="N60" s="303"/>
      <c r="O60" s="303"/>
      <c r="P60" s="339"/>
      <c r="Q60" s="336"/>
      <c r="R60" s="499"/>
      <c r="S60" s="336"/>
      <c r="T60" s="500"/>
      <c r="U60" s="336"/>
      <c r="V60" s="329"/>
      <c r="W60" s="329"/>
      <c r="X60" s="329"/>
      <c r="Y60" s="329"/>
      <c r="Z60" s="329"/>
      <c r="AA60" s="329"/>
      <c r="AB60" s="329"/>
      <c r="AC60" s="329"/>
    </row>
    <row r="61" spans="1:29">
      <c r="A61" s="338"/>
      <c r="B61" s="413" t="str">
        <f>SUMMARY!BD3</f>
        <v>L-LYSINE</v>
      </c>
      <c r="C61" s="338" t="s">
        <v>346</v>
      </c>
      <c r="D61" s="356">
        <f>SUMMARY!BD74</f>
        <v>0</v>
      </c>
      <c r="E61" s="356">
        <f>SUMMARY!BD75</f>
        <v>0</v>
      </c>
      <c r="F61" s="356">
        <f>SUMMARY!BD76</f>
        <v>0</v>
      </c>
      <c r="G61" s="356">
        <f>SUMMARY!BD77</f>
        <v>0</v>
      </c>
      <c r="H61" s="356">
        <f>SUMMARY!BD78</f>
        <v>0</v>
      </c>
      <c r="I61" s="336"/>
      <c r="J61" s="336"/>
      <c r="K61" s="356"/>
      <c r="L61" s="336"/>
      <c r="M61" s="339"/>
      <c r="N61" s="303"/>
      <c r="O61" s="303"/>
      <c r="P61" s="339"/>
      <c r="Q61" s="336"/>
      <c r="R61" s="499"/>
      <c r="S61" s="336"/>
      <c r="T61" s="500"/>
      <c r="U61" s="336"/>
      <c r="V61" s="329"/>
      <c r="W61" s="329"/>
      <c r="X61" s="329"/>
      <c r="Y61" s="329"/>
      <c r="Z61" s="329"/>
      <c r="AA61" s="329"/>
      <c r="AB61" s="329"/>
      <c r="AC61" s="329"/>
    </row>
    <row r="62" spans="1:29">
      <c r="A62" s="338"/>
      <c r="B62" s="413" t="str">
        <f>SUMMARY!BE3</f>
        <v>FAECES DRY</v>
      </c>
      <c r="C62" s="338" t="s">
        <v>346</v>
      </c>
      <c r="D62" s="356">
        <f>SUMMARY!BE74</f>
        <v>24.200000000000003</v>
      </c>
      <c r="E62" s="356">
        <f>SUMMARY!BE75</f>
        <v>0</v>
      </c>
      <c r="F62" s="356">
        <f>SUMMARY!BE76</f>
        <v>0</v>
      </c>
      <c r="G62" s="356">
        <f>SUMMARY!BE77</f>
        <v>0</v>
      </c>
      <c r="H62" s="356">
        <f>SUMMARY!BE78</f>
        <v>24.200000000000003</v>
      </c>
      <c r="I62" s="336"/>
      <c r="J62" s="336"/>
      <c r="K62" s="356"/>
      <c r="L62" s="336"/>
      <c r="M62" s="339"/>
      <c r="N62" s="303"/>
      <c r="O62" s="303"/>
      <c r="P62" s="339"/>
      <c r="Q62" s="336"/>
      <c r="R62" s="499"/>
      <c r="S62" s="336"/>
      <c r="T62" s="500"/>
      <c r="U62" s="336"/>
      <c r="V62" s="329"/>
      <c r="W62" s="329"/>
      <c r="X62" s="329"/>
      <c r="Y62" s="329"/>
      <c r="Z62" s="329"/>
      <c r="AA62" s="329"/>
      <c r="AB62" s="329"/>
      <c r="AC62" s="329"/>
    </row>
    <row r="63" spans="1:29">
      <c r="A63" s="338"/>
      <c r="B63" s="413"/>
      <c r="C63" s="338"/>
      <c r="D63" s="356"/>
      <c r="E63" s="356"/>
      <c r="F63" s="356"/>
      <c r="G63" s="356"/>
      <c r="H63" s="356"/>
      <c r="I63" s="336"/>
      <c r="J63" s="336"/>
      <c r="K63" s="356"/>
      <c r="L63" s="336"/>
      <c r="M63" s="339"/>
      <c r="N63" s="303"/>
      <c r="O63" s="303"/>
      <c r="P63" s="339"/>
      <c r="Q63" s="336"/>
      <c r="R63" s="499"/>
      <c r="S63" s="336"/>
      <c r="T63" s="500"/>
      <c r="U63" s="336"/>
      <c r="V63" s="329"/>
      <c r="W63" s="329"/>
      <c r="X63" s="329"/>
      <c r="Y63" s="329"/>
      <c r="Z63" s="329"/>
      <c r="AA63" s="329"/>
      <c r="AB63" s="329"/>
      <c r="AC63" s="329"/>
    </row>
    <row r="64" spans="1:29">
      <c r="A64" s="338"/>
      <c r="B64" s="310" t="s">
        <v>348</v>
      </c>
      <c r="C64" s="338"/>
      <c r="D64" s="356"/>
      <c r="E64" s="356"/>
      <c r="F64" s="356"/>
      <c r="G64" s="356"/>
      <c r="H64" s="356"/>
      <c r="I64" s="336"/>
      <c r="J64" s="336"/>
      <c r="K64" s="356"/>
      <c r="L64" s="336"/>
      <c r="M64" s="339"/>
      <c r="N64" s="303"/>
      <c r="O64" s="303"/>
      <c r="P64" s="339"/>
      <c r="Q64" s="336"/>
      <c r="R64" s="499"/>
      <c r="S64" s="336"/>
      <c r="T64" s="500"/>
      <c r="U64" s="336"/>
      <c r="V64" s="329"/>
      <c r="W64" s="329"/>
      <c r="X64" s="329"/>
      <c r="Y64" s="329"/>
      <c r="Z64" s="329"/>
      <c r="AA64" s="329"/>
      <c r="AB64" s="329"/>
      <c r="AC64" s="329"/>
    </row>
    <row r="65" spans="1:29">
      <c r="A65" s="338"/>
      <c r="B65" s="413"/>
      <c r="C65" s="338" t="s">
        <v>349</v>
      </c>
      <c r="D65" s="356"/>
      <c r="E65" s="356"/>
      <c r="F65" s="356"/>
      <c r="G65" s="356"/>
      <c r="H65" s="356"/>
      <c r="I65" s="336"/>
      <c r="J65" s="336"/>
      <c r="K65" s="356"/>
      <c r="L65" s="336"/>
      <c r="M65" s="339"/>
      <c r="N65" s="303"/>
      <c r="O65" s="303"/>
      <c r="P65" s="339"/>
      <c r="Q65" s="336"/>
      <c r="R65" s="499"/>
      <c r="S65" s="336"/>
      <c r="T65" s="500"/>
      <c r="U65" s="336"/>
      <c r="V65" s="329"/>
      <c r="W65" s="329"/>
      <c r="X65" s="329"/>
      <c r="Y65" s="329"/>
      <c r="Z65" s="329"/>
      <c r="AA65" s="329"/>
      <c r="AB65" s="329"/>
      <c r="AC65" s="329"/>
    </row>
    <row r="66" spans="1:29">
      <c r="A66" s="338"/>
      <c r="B66" s="413"/>
      <c r="C66" s="338" t="s">
        <v>349</v>
      </c>
      <c r="D66" s="356"/>
      <c r="E66" s="356"/>
      <c r="F66" s="356"/>
      <c r="G66" s="356"/>
      <c r="H66" s="356"/>
      <c r="I66" s="336"/>
      <c r="J66" s="336"/>
      <c r="K66" s="356"/>
      <c r="L66" s="336"/>
      <c r="M66" s="339"/>
      <c r="N66" s="303"/>
      <c r="O66" s="303"/>
      <c r="P66" s="339"/>
      <c r="Q66" s="336"/>
      <c r="R66" s="499"/>
      <c r="S66" s="336"/>
      <c r="T66" s="500"/>
      <c r="U66" s="336"/>
      <c r="V66" s="329"/>
      <c r="W66" s="329"/>
      <c r="X66" s="329"/>
      <c r="Y66" s="329"/>
      <c r="Z66" s="329"/>
      <c r="AA66" s="329"/>
      <c r="AB66" s="329"/>
      <c r="AC66" s="329"/>
    </row>
    <row r="67" spans="1:29">
      <c r="A67" s="338"/>
      <c r="B67" s="413"/>
      <c r="C67" s="338"/>
      <c r="D67" s="356"/>
      <c r="E67" s="356"/>
      <c r="F67" s="356"/>
      <c r="G67" s="356"/>
      <c r="H67" s="356"/>
      <c r="I67" s="336"/>
      <c r="J67" s="336"/>
      <c r="K67" s="356"/>
      <c r="L67" s="336"/>
      <c r="M67" s="339"/>
      <c r="N67" s="303"/>
      <c r="O67" s="303"/>
      <c r="P67" s="339"/>
      <c r="Q67" s="336"/>
      <c r="R67" s="499"/>
      <c r="S67" s="336"/>
      <c r="T67" s="500"/>
      <c r="U67" s="336"/>
      <c r="V67" s="329"/>
      <c r="W67" s="329"/>
      <c r="X67" s="329"/>
      <c r="Y67" s="329"/>
      <c r="Z67" s="329"/>
      <c r="AA67" s="329"/>
      <c r="AB67" s="329"/>
      <c r="AC67" s="329"/>
    </row>
    <row r="68" spans="1:29">
      <c r="A68" s="338"/>
      <c r="B68" s="413"/>
      <c r="C68" s="338"/>
      <c r="D68" s="356"/>
      <c r="E68" s="356"/>
      <c r="F68" s="356"/>
      <c r="G68" s="356"/>
      <c r="H68" s="356"/>
      <c r="I68" s="336"/>
      <c r="J68" s="336"/>
      <c r="K68" s="356"/>
      <c r="L68" s="336"/>
      <c r="M68" s="339"/>
      <c r="N68" s="303"/>
      <c r="O68" s="303"/>
      <c r="P68" s="339"/>
      <c r="Q68" s="336"/>
      <c r="R68" s="499"/>
      <c r="S68" s="336"/>
      <c r="T68" s="500"/>
      <c r="U68" s="336"/>
      <c r="V68" s="329"/>
      <c r="W68" s="329"/>
      <c r="X68" s="329"/>
      <c r="Y68" s="329"/>
      <c r="Z68" s="329"/>
      <c r="AA68" s="329"/>
      <c r="AB68" s="329"/>
      <c r="AC68" s="329"/>
    </row>
    <row r="69" spans="1:29" ht="13.9" thickBot="1">
      <c r="A69" s="338"/>
      <c r="B69" s="302" t="s">
        <v>72</v>
      </c>
      <c r="C69" s="475"/>
      <c r="D69" s="506">
        <f>SUM(D4:D60)</f>
        <v>449310.06000000006</v>
      </c>
      <c r="E69" s="506">
        <f t="shared" ref="E69:H69" si="1">SUM(E4:E60)</f>
        <v>0</v>
      </c>
      <c r="F69" s="506">
        <f t="shared" si="1"/>
        <v>0</v>
      </c>
      <c r="G69" s="506">
        <f t="shared" si="1"/>
        <v>0</v>
      </c>
      <c r="H69" s="506">
        <f t="shared" si="1"/>
        <v>449310.06000000006</v>
      </c>
      <c r="I69" s="336"/>
      <c r="J69" s="336"/>
      <c r="K69" s="507">
        <f>SUM(K4:K60)</f>
        <v>0</v>
      </c>
      <c r="L69" s="508"/>
      <c r="M69" s="339"/>
      <c r="N69" s="303"/>
      <c r="O69" s="303"/>
      <c r="P69" s="339"/>
      <c r="Q69" s="336"/>
      <c r="R69" s="499"/>
      <c r="S69" s="336"/>
      <c r="T69" s="500"/>
      <c r="U69" s="336"/>
      <c r="V69" s="329"/>
      <c r="W69" s="329"/>
      <c r="X69" s="329"/>
      <c r="Y69" s="329"/>
      <c r="Z69" s="329"/>
      <c r="AA69" s="329"/>
      <c r="AB69" s="329"/>
      <c r="AC69" s="329"/>
    </row>
    <row r="70" spans="1:29">
      <c r="A70" s="496"/>
      <c r="B70" s="501"/>
      <c r="C70" s="473"/>
      <c r="D70" s="339"/>
      <c r="E70" s="339"/>
      <c r="F70" s="339"/>
      <c r="G70" s="339"/>
      <c r="H70" s="339"/>
      <c r="I70" s="339"/>
      <c r="J70" s="339"/>
      <c r="K70" s="339"/>
      <c r="L70" s="339"/>
      <c r="M70" s="339"/>
      <c r="N70" s="299"/>
      <c r="O70" s="299"/>
      <c r="P70" s="339"/>
      <c r="Q70" s="339"/>
      <c r="R70" s="509"/>
      <c r="S70" s="339"/>
      <c r="T70" s="510"/>
      <c r="U70" s="339"/>
      <c r="V70" s="329"/>
      <c r="W70" s="329"/>
      <c r="X70" s="329"/>
      <c r="Y70" s="329"/>
      <c r="Z70" s="329"/>
      <c r="AA70" s="329"/>
      <c r="AB70" s="329"/>
      <c r="AC70" s="329"/>
    </row>
    <row r="71" spans="1:29">
      <c r="A71" s="496"/>
      <c r="B71" s="501"/>
      <c r="C71" s="473"/>
      <c r="D71" s="339">
        <f>D69-SUM(SUMMARY!B74:AZ74)</f>
        <v>193.8399999999674</v>
      </c>
      <c r="E71" s="339">
        <f>E686-SUM(SUMMARY!B75:AZ75)</f>
        <v>0</v>
      </c>
      <c r="F71" s="339">
        <f>F69-SUM(SUMMARY!B76:AZ76)</f>
        <v>0</v>
      </c>
      <c r="G71" s="339">
        <f>G69-SUM(SUMMARY!B77:AZ77)</f>
        <v>0</v>
      </c>
      <c r="H71" s="339">
        <f>H69-SUM(SUMMARY!B78:AZ78)</f>
        <v>193.8399999999674</v>
      </c>
      <c r="I71" s="339"/>
      <c r="J71" s="339"/>
      <c r="K71" s="339"/>
      <c r="L71" s="339"/>
      <c r="M71" s="339"/>
      <c r="N71" s="299"/>
      <c r="O71" s="299"/>
      <c r="P71" s="339"/>
      <c r="Q71" s="339"/>
      <c r="R71" s="509"/>
      <c r="S71" s="339"/>
      <c r="T71" s="510"/>
      <c r="U71" s="339"/>
      <c r="V71" s="329"/>
      <c r="W71" s="329"/>
      <c r="X71" s="329"/>
      <c r="Y71" s="329"/>
      <c r="Z71" s="329"/>
      <c r="AA71" s="329"/>
      <c r="AB71" s="329"/>
      <c r="AC71" s="329"/>
    </row>
    <row r="72" spans="1:29">
      <c r="A72" s="496"/>
      <c r="B72" s="329"/>
      <c r="C72" s="496"/>
      <c r="D72" s="339"/>
      <c r="E72" s="339"/>
      <c r="F72" s="339"/>
      <c r="G72" s="339"/>
      <c r="H72" s="339"/>
      <c r="I72" s="339"/>
      <c r="J72" s="339"/>
      <c r="K72" s="339"/>
      <c r="L72" s="339"/>
      <c r="M72" s="339"/>
      <c r="N72" s="299"/>
      <c r="O72" s="299"/>
      <c r="P72" s="339"/>
      <c r="Q72" s="339"/>
      <c r="R72" s="509"/>
      <c r="S72" s="339"/>
      <c r="T72" s="510"/>
      <c r="U72" s="339"/>
      <c r="V72" s="329"/>
      <c r="W72" s="329"/>
      <c r="X72" s="329"/>
      <c r="Y72" s="329"/>
      <c r="Z72" s="329"/>
      <c r="AA72" s="329"/>
      <c r="AB72" s="329"/>
      <c r="AC72" s="329"/>
    </row>
  </sheetData>
  <autoFilter ref="A2:X72" xr:uid="{00000000-0009-0000-0000-00000E000000}"/>
  <mergeCells count="2">
    <mergeCell ref="J1:K1"/>
    <mergeCell ref="Q1:U1"/>
  </mergeCells>
  <printOptions horizontalCentered="1"/>
  <pageMargins left="0.39370078740157483" right="0.59055118110236227" top="0.39370078740157483" bottom="0.19685039370078741" header="0" footer="0"/>
  <pageSetup paperSize="9" scale="28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AC71"/>
  <sheetViews>
    <sheetView topLeftCell="A46" workbookViewId="0">
      <selection activeCell="K62" sqref="K62"/>
    </sheetView>
  </sheetViews>
  <sheetFormatPr defaultColWidth="9.28515625" defaultRowHeight="13.15"/>
  <cols>
    <col min="1" max="1" width="5.7109375" style="305" bestFit="1" customWidth="1"/>
    <col min="2" max="2" width="34.42578125" style="306" bestFit="1" customWidth="1"/>
    <col min="3" max="3" width="5" style="331" customWidth="1"/>
    <col min="4" max="4" width="14.140625" style="307" bestFit="1" customWidth="1"/>
    <col min="5" max="5" width="13.42578125" style="307" bestFit="1" customWidth="1"/>
    <col min="6" max="6" width="11.42578125" style="307" bestFit="1" customWidth="1"/>
    <col min="7" max="7" width="14.7109375" style="307" bestFit="1" customWidth="1"/>
    <col min="8" max="8" width="14.28515625" style="307" bestFit="1" customWidth="1"/>
    <col min="9" max="9" width="13.28515625" style="307" bestFit="1" customWidth="1"/>
    <col min="10" max="11" width="13.7109375" style="307" bestFit="1" customWidth="1"/>
    <col min="12" max="12" width="41.7109375" style="307" bestFit="1" customWidth="1"/>
    <col min="13" max="13" width="1.42578125" style="307" bestFit="1" customWidth="1"/>
    <col min="14" max="14" width="14" style="307" bestFit="1" customWidth="1"/>
    <col min="15" max="15" width="13" style="307" bestFit="1" customWidth="1"/>
    <col min="16" max="16" width="3.42578125" style="307" customWidth="1"/>
    <col min="17" max="17" width="15.7109375" style="307" bestFit="1" customWidth="1"/>
    <col min="18" max="18" width="11.28515625" style="317" bestFit="1" customWidth="1"/>
    <col min="19" max="19" width="45.28515625" style="307" bestFit="1" customWidth="1"/>
    <col min="20" max="20" width="14.7109375" style="309" bestFit="1" customWidth="1"/>
    <col min="21" max="21" width="13.7109375" style="307" bestFit="1" customWidth="1"/>
    <col min="22" max="22" width="9.28515625" style="306"/>
    <col min="23" max="23" width="34.28515625" style="306" bestFit="1" customWidth="1"/>
    <col min="24" max="25" width="9.28515625" style="306"/>
    <col min="26" max="27" width="9.42578125" style="306" bestFit="1" customWidth="1"/>
    <col min="28" max="28" width="9.28515625" style="306"/>
    <col min="29" max="29" width="10.28515625" style="306" bestFit="1" customWidth="1"/>
    <col min="30" max="16384" width="9.28515625" style="306"/>
  </cols>
  <sheetData>
    <row r="1" spans="1:29">
      <c r="A1" s="496"/>
      <c r="B1" s="291" t="str">
        <f>SUMMARY!B101</f>
        <v>HARUMI Stock - DEC 2026</v>
      </c>
      <c r="C1" s="337"/>
      <c r="D1" s="344"/>
      <c r="E1" s="344"/>
      <c r="F1" s="344"/>
      <c r="G1" s="344"/>
      <c r="H1" s="344"/>
      <c r="I1" s="497"/>
      <c r="J1" s="852"/>
      <c r="K1" s="852"/>
      <c r="L1" s="498"/>
      <c r="M1" s="498"/>
      <c r="N1" s="498"/>
      <c r="O1" s="339"/>
      <c r="P1" s="339"/>
      <c r="Q1" s="853" t="s">
        <v>330</v>
      </c>
      <c r="R1" s="853"/>
      <c r="S1" s="853"/>
      <c r="T1" s="853"/>
      <c r="U1" s="853"/>
      <c r="V1" s="329"/>
      <c r="W1" s="329"/>
      <c r="X1" s="329"/>
      <c r="Y1" s="329"/>
      <c r="Z1" s="329"/>
      <c r="AA1" s="329"/>
      <c r="AB1" s="329"/>
      <c r="AC1" s="329"/>
    </row>
    <row r="2" spans="1:29" s="305" customFormat="1" ht="26.45">
      <c r="A2" s="311" t="s">
        <v>331</v>
      </c>
      <c r="B2" s="312" t="s">
        <v>332</v>
      </c>
      <c r="C2" s="313" t="s">
        <v>333</v>
      </c>
      <c r="D2" s="313" t="s">
        <v>334</v>
      </c>
      <c r="E2" s="313" t="s">
        <v>335</v>
      </c>
      <c r="F2" s="313" t="s">
        <v>166</v>
      </c>
      <c r="G2" s="313" t="s">
        <v>168</v>
      </c>
      <c r="H2" s="313" t="s">
        <v>336</v>
      </c>
      <c r="I2" s="293" t="s">
        <v>337</v>
      </c>
      <c r="J2" s="294" t="s">
        <v>338</v>
      </c>
      <c r="K2" s="313" t="s">
        <v>339</v>
      </c>
      <c r="L2" s="313" t="s">
        <v>170</v>
      </c>
      <c r="M2" s="314"/>
      <c r="N2" s="294" t="s">
        <v>340</v>
      </c>
      <c r="O2" s="313" t="s">
        <v>330</v>
      </c>
      <c r="P2" s="315"/>
      <c r="Q2" s="297" t="s">
        <v>341</v>
      </c>
      <c r="R2" s="304" t="s">
        <v>164</v>
      </c>
      <c r="S2" s="298" t="s">
        <v>342</v>
      </c>
      <c r="T2" s="316" t="s">
        <v>343</v>
      </c>
      <c r="U2" s="298" t="s">
        <v>344</v>
      </c>
      <c r="V2" s="496"/>
      <c r="W2" s="496"/>
      <c r="X2" s="496"/>
      <c r="Y2" s="496"/>
      <c r="Z2" s="496"/>
      <c r="AA2" s="496"/>
      <c r="AB2" s="496"/>
      <c r="AC2" s="496"/>
    </row>
    <row r="3" spans="1:29">
      <c r="A3" s="311"/>
      <c r="B3" s="290" t="s">
        <v>345</v>
      </c>
      <c r="C3" s="313"/>
      <c r="D3" s="292"/>
      <c r="E3" s="292"/>
      <c r="F3" s="292"/>
      <c r="G3" s="292"/>
      <c r="H3" s="292"/>
      <c r="I3" s="293"/>
      <c r="J3" s="294"/>
      <c r="K3" s="292"/>
      <c r="L3" s="292"/>
      <c r="M3" s="295"/>
      <c r="N3" s="294"/>
      <c r="O3" s="292"/>
      <c r="P3" s="296"/>
      <c r="Q3" s="297"/>
      <c r="R3" s="304"/>
      <c r="S3" s="298"/>
      <c r="T3" s="308"/>
      <c r="U3" s="298"/>
      <c r="V3" s="329"/>
      <c r="W3" s="329"/>
      <c r="X3" s="329"/>
      <c r="Y3" s="329"/>
      <c r="Z3" s="329"/>
      <c r="AA3" s="329"/>
      <c r="AB3" s="329"/>
      <c r="AC3" s="329"/>
    </row>
    <row r="4" spans="1:29">
      <c r="A4" s="338"/>
      <c r="B4" s="413" t="str">
        <f>SUMMARY!B3</f>
        <v>MAIZE/CORN</v>
      </c>
      <c r="C4" s="338" t="s">
        <v>346</v>
      </c>
      <c r="D4" s="336">
        <f>SUMMARY!B81</f>
        <v>236936.6</v>
      </c>
      <c r="E4" s="336">
        <f>SUMMARY!B82</f>
        <v>0</v>
      </c>
      <c r="F4" s="336">
        <f>SUMMARY!B83</f>
        <v>0</v>
      </c>
      <c r="G4" s="336">
        <f>SUMMARY!B84</f>
        <v>0</v>
      </c>
      <c r="H4" s="336">
        <f>SUMMARY!B85</f>
        <v>236936.6</v>
      </c>
      <c r="I4" s="336"/>
      <c r="J4" s="336"/>
      <c r="K4" s="336"/>
      <c r="L4" s="336"/>
      <c r="M4" s="339"/>
      <c r="N4" s="336"/>
      <c r="O4" s="413">
        <f>N4-H4</f>
        <v>-236936.6</v>
      </c>
      <c r="P4" s="339"/>
      <c r="Q4" s="336"/>
      <c r="R4" s="499"/>
      <c r="S4" s="336"/>
      <c r="T4" s="500"/>
      <c r="U4" s="336"/>
      <c r="V4" s="329"/>
      <c r="W4" s="501"/>
      <c r="X4" s="329"/>
      <c r="Y4" s="502"/>
      <c r="Z4" s="502"/>
      <c r="AA4" s="502"/>
      <c r="AB4" s="502"/>
      <c r="AC4" s="502"/>
    </row>
    <row r="5" spans="1:29">
      <c r="A5" s="338"/>
      <c r="B5" s="413" t="str">
        <f>SUMMARY!C3</f>
        <v>SOYBEAN MEAL (ARG)</v>
      </c>
      <c r="C5" s="338" t="s">
        <v>346</v>
      </c>
      <c r="D5" s="336">
        <f>SUMMARY!C81</f>
        <v>53017.600000000071</v>
      </c>
      <c r="E5" s="336">
        <f>SUMMARY!C82</f>
        <v>0</v>
      </c>
      <c r="F5" s="336">
        <f>SUMMARY!C83</f>
        <v>0</v>
      </c>
      <c r="G5" s="336">
        <f>SUMMARY!C84</f>
        <v>0</v>
      </c>
      <c r="H5" s="336">
        <f>SUMMARY!C85</f>
        <v>53017.600000000071</v>
      </c>
      <c r="I5" s="336"/>
      <c r="J5" s="336"/>
      <c r="K5" s="336"/>
      <c r="L5" s="336"/>
      <c r="M5" s="339"/>
      <c r="N5" s="336"/>
      <c r="O5" s="413">
        <f t="shared" ref="O5:O56" si="0">N5-H5</f>
        <v>-53017.600000000071</v>
      </c>
      <c r="P5" s="339"/>
      <c r="Q5" s="336"/>
      <c r="R5" s="499"/>
      <c r="S5" s="336"/>
      <c r="T5" s="500"/>
      <c r="U5" s="336"/>
      <c r="V5" s="329"/>
      <c r="W5" s="501"/>
      <c r="X5" s="329"/>
      <c r="Y5" s="502"/>
      <c r="Z5" s="502"/>
      <c r="AA5" s="502"/>
      <c r="AB5" s="502"/>
      <c r="AC5" s="502"/>
    </row>
    <row r="6" spans="1:29">
      <c r="A6" s="338"/>
      <c r="B6" s="413" t="str">
        <f>SUMMARY!D3</f>
        <v>SOYBEAN FULL FAT</v>
      </c>
      <c r="C6" s="338" t="s">
        <v>346</v>
      </c>
      <c r="D6" s="336">
        <f>SUMMARY!D81</f>
        <v>42674.199999999968</v>
      </c>
      <c r="E6" s="336">
        <f>SUMMARY!D82</f>
        <v>0</v>
      </c>
      <c r="F6" s="336">
        <f>SUMMARY!D83</f>
        <v>0</v>
      </c>
      <c r="G6" s="336">
        <f>SUMMARY!D84</f>
        <v>0</v>
      </c>
      <c r="H6" s="336">
        <f>SUMMARY!D85</f>
        <v>42674.199999999968</v>
      </c>
      <c r="I6" s="336"/>
      <c r="J6" s="336"/>
      <c r="K6" s="336"/>
      <c r="L6" s="336"/>
      <c r="M6" s="339"/>
      <c r="N6" s="336"/>
      <c r="O6" s="413">
        <f t="shared" si="0"/>
        <v>-42674.199999999968</v>
      </c>
      <c r="P6" s="339"/>
      <c r="Q6" s="336"/>
      <c r="R6" s="499"/>
      <c r="S6" s="336"/>
      <c r="T6" s="500"/>
      <c r="U6" s="336"/>
      <c r="V6" s="329"/>
      <c r="W6" s="501"/>
      <c r="X6" s="329"/>
      <c r="Y6" s="502"/>
      <c r="Z6" s="502"/>
      <c r="AA6" s="502"/>
      <c r="AB6" s="502"/>
      <c r="AC6" s="502"/>
    </row>
    <row r="7" spans="1:29">
      <c r="A7" s="338"/>
      <c r="B7" s="413" t="str">
        <f>SUMMARY!E3</f>
        <v>WHEAT POLLARD</v>
      </c>
      <c r="C7" s="338" t="s">
        <v>346</v>
      </c>
      <c r="D7" s="336">
        <f>SUMMARY!E81</f>
        <v>4522.2000000000189</v>
      </c>
      <c r="E7" s="336">
        <f>SUMMARY!E82</f>
        <v>0</v>
      </c>
      <c r="F7" s="336">
        <f>SUMMARY!E83</f>
        <v>0</v>
      </c>
      <c r="G7" s="336">
        <f>SUMMARY!E84</f>
        <v>0</v>
      </c>
      <c r="H7" s="336">
        <f>SUMMARY!E85</f>
        <v>4522.2000000000189</v>
      </c>
      <c r="I7" s="336"/>
      <c r="J7" s="336"/>
      <c r="K7" s="336"/>
      <c r="L7" s="336"/>
      <c r="M7" s="339"/>
      <c r="N7" s="336"/>
      <c r="O7" s="413">
        <f t="shared" si="0"/>
        <v>-4522.2000000000189</v>
      </c>
      <c r="P7" s="339"/>
      <c r="Q7" s="503"/>
      <c r="R7" s="504"/>
      <c r="S7" s="505"/>
      <c r="T7" s="505"/>
      <c r="U7" s="336"/>
      <c r="V7" s="329"/>
      <c r="W7" s="501"/>
      <c r="X7" s="329"/>
      <c r="Y7" s="502"/>
      <c r="Z7" s="502"/>
      <c r="AA7" s="502"/>
      <c r="AB7" s="502"/>
      <c r="AC7" s="502"/>
    </row>
    <row r="8" spans="1:29">
      <c r="A8" s="338"/>
      <c r="B8" s="413" t="str">
        <f>SUMMARY!F3</f>
        <v>WHEAT</v>
      </c>
      <c r="C8" s="338" t="s">
        <v>346</v>
      </c>
      <c r="D8" s="336">
        <f>SUMMARY!F81</f>
        <v>0</v>
      </c>
      <c r="E8" s="336">
        <f>SUMMARY!F82</f>
        <v>0</v>
      </c>
      <c r="F8" s="336">
        <f>SUMMARY!F83</f>
        <v>0</v>
      </c>
      <c r="G8" s="336">
        <f>SUMMARY!F84</f>
        <v>0</v>
      </c>
      <c r="H8" s="336">
        <f>SUMMARY!F85</f>
        <v>0</v>
      </c>
      <c r="I8" s="336"/>
      <c r="J8" s="336"/>
      <c r="K8" s="336"/>
      <c r="L8" s="336"/>
      <c r="M8" s="339"/>
      <c r="N8" s="336"/>
      <c r="O8" s="413">
        <f t="shared" si="0"/>
        <v>0</v>
      </c>
      <c r="P8" s="339"/>
      <c r="Q8" s="336"/>
      <c r="R8" s="499"/>
      <c r="S8" s="336"/>
      <c r="T8" s="500"/>
      <c r="U8" s="336"/>
      <c r="V8" s="329"/>
      <c r="W8" s="501"/>
      <c r="X8" s="329"/>
      <c r="Y8" s="502"/>
      <c r="Z8" s="502"/>
      <c r="AA8" s="502"/>
      <c r="AB8" s="502"/>
      <c r="AC8" s="502"/>
    </row>
    <row r="9" spans="1:29">
      <c r="A9" s="338"/>
      <c r="B9" s="413" t="str">
        <f>SUMMARY!G3</f>
        <v>MEAT AND BONE MEAL</v>
      </c>
      <c r="C9" s="338" t="s">
        <v>346</v>
      </c>
      <c r="D9" s="336">
        <f>SUMMARY!G81</f>
        <v>124.99999999999523</v>
      </c>
      <c r="E9" s="336">
        <f>SUMMARY!G82</f>
        <v>0</v>
      </c>
      <c r="F9" s="336">
        <f>SUMMARY!G83</f>
        <v>0</v>
      </c>
      <c r="G9" s="336">
        <f>SUMMARY!G84</f>
        <v>0</v>
      </c>
      <c r="H9" s="336">
        <f>SUMMARY!G85</f>
        <v>124.99999999999523</v>
      </c>
      <c r="I9" s="336"/>
      <c r="J9" s="336"/>
      <c r="K9" s="336"/>
      <c r="L9" s="336"/>
      <c r="M9" s="339"/>
      <c r="N9" s="336"/>
      <c r="O9" s="413">
        <f t="shared" si="0"/>
        <v>-124.99999999999523</v>
      </c>
      <c r="P9" s="339"/>
      <c r="Q9" s="336"/>
      <c r="R9" s="499"/>
      <c r="S9" s="336"/>
      <c r="T9" s="500"/>
      <c r="U9" s="336"/>
      <c r="V9" s="329"/>
      <c r="W9" s="501"/>
      <c r="X9" s="329"/>
      <c r="Y9" s="502"/>
      <c r="Z9" s="502"/>
      <c r="AA9" s="502"/>
      <c r="AB9" s="502"/>
      <c r="AC9" s="502"/>
    </row>
    <row r="10" spans="1:29">
      <c r="A10" s="338"/>
      <c r="B10" s="413" t="str">
        <f>SUMMARY!H3</f>
        <v>CORN GLUTEN MEAL</v>
      </c>
      <c r="C10" s="338" t="s">
        <v>346</v>
      </c>
      <c r="D10" s="336">
        <f>SUMMARY!H81</f>
        <v>26151.899999999998</v>
      </c>
      <c r="E10" s="336">
        <f>SUMMARY!H82</f>
        <v>0</v>
      </c>
      <c r="F10" s="336">
        <f>SUMMARY!H83</f>
        <v>0</v>
      </c>
      <c r="G10" s="336">
        <f>SUMMARY!H84</f>
        <v>0</v>
      </c>
      <c r="H10" s="336">
        <f>SUMMARY!H85</f>
        <v>26151.899999999998</v>
      </c>
      <c r="I10" s="336"/>
      <c r="J10" s="336"/>
      <c r="K10" s="336"/>
      <c r="L10" s="336"/>
      <c r="M10" s="339"/>
      <c r="N10" s="336"/>
      <c r="O10" s="413">
        <f t="shared" si="0"/>
        <v>-26151.899999999998</v>
      </c>
      <c r="P10" s="339"/>
      <c r="Q10" s="336"/>
      <c r="R10" s="499"/>
      <c r="S10" s="336"/>
      <c r="T10" s="500"/>
      <c r="U10" s="336"/>
      <c r="V10" s="329"/>
      <c r="W10" s="501"/>
      <c r="X10" s="329"/>
      <c r="Y10" s="502"/>
      <c r="Z10" s="502"/>
      <c r="AA10" s="502"/>
      <c r="AB10" s="502"/>
      <c r="AC10" s="502"/>
    </row>
    <row r="11" spans="1:29">
      <c r="A11" s="338"/>
      <c r="B11" s="413" t="str">
        <f>SUMMARY!I3</f>
        <v>MEGAFAT (HARUMI)</v>
      </c>
      <c r="C11" s="338" t="s">
        <v>346</v>
      </c>
      <c r="D11" s="336">
        <f>SUMMARY!I81</f>
        <v>0</v>
      </c>
      <c r="E11" s="336">
        <f>SUMMARY!I82</f>
        <v>0</v>
      </c>
      <c r="F11" s="336">
        <f>SUMMARY!I83</f>
        <v>0</v>
      </c>
      <c r="G11" s="336">
        <f>SUMMARY!I84</f>
        <v>0</v>
      </c>
      <c r="H11" s="336">
        <f>SUMMARY!I85</f>
        <v>0</v>
      </c>
      <c r="I11" s="336"/>
      <c r="J11" s="300"/>
      <c r="K11" s="300"/>
      <c r="L11" s="336"/>
      <c r="M11" s="339"/>
      <c r="N11" s="336"/>
      <c r="O11" s="413">
        <f t="shared" si="0"/>
        <v>0</v>
      </c>
      <c r="P11" s="339"/>
      <c r="Q11" s="336"/>
      <c r="R11" s="499"/>
      <c r="S11" s="336"/>
      <c r="T11" s="500"/>
      <c r="U11" s="336"/>
      <c r="V11" s="329"/>
      <c r="W11" s="501"/>
      <c r="X11" s="329"/>
      <c r="Y11" s="502"/>
      <c r="Z11" s="502"/>
      <c r="AA11" s="502"/>
      <c r="AB11" s="502"/>
      <c r="AC11" s="502"/>
    </row>
    <row r="12" spans="1:29">
      <c r="A12" s="338"/>
      <c r="B12" s="413" t="str">
        <f>SUMMARY!J3</f>
        <v>DCP 18%</v>
      </c>
      <c r="C12" s="338" t="s">
        <v>346</v>
      </c>
      <c r="D12" s="336">
        <f>SUMMARY!J81</f>
        <v>2097.3399999999992</v>
      </c>
      <c r="E12" s="336">
        <f>SUMMARY!J82</f>
        <v>0</v>
      </c>
      <c r="F12" s="336">
        <f>SUMMARY!J83</f>
        <v>0</v>
      </c>
      <c r="G12" s="336">
        <f>SUMMARY!J84</f>
        <v>0</v>
      </c>
      <c r="H12" s="336">
        <f>SUMMARY!J85</f>
        <v>2097.3399999999992</v>
      </c>
      <c r="I12" s="336"/>
      <c r="J12" s="301"/>
      <c r="K12" s="336"/>
      <c r="L12" s="336"/>
      <c r="M12" s="339"/>
      <c r="N12" s="336"/>
      <c r="O12" s="413">
        <f t="shared" si="0"/>
        <v>-2097.3399999999992</v>
      </c>
      <c r="P12" s="339"/>
      <c r="Q12" s="336"/>
      <c r="R12" s="499"/>
      <c r="S12" s="336"/>
      <c r="T12" s="500"/>
      <c r="U12" s="336"/>
      <c r="V12" s="329"/>
      <c r="W12" s="501"/>
      <c r="X12" s="329"/>
      <c r="Y12" s="502"/>
      <c r="Z12" s="502"/>
      <c r="AA12" s="502"/>
      <c r="AB12" s="502"/>
      <c r="AC12" s="502"/>
    </row>
    <row r="13" spans="1:29">
      <c r="A13" s="338"/>
      <c r="B13" s="413" t="str">
        <f>SUMMARY!K3</f>
        <v>LIMESTONE POWDER (HARUMI)</v>
      </c>
      <c r="C13" s="338" t="s">
        <v>346</v>
      </c>
      <c r="D13" s="336">
        <f>SUMMARY!K81</f>
        <v>-10277.079999999998</v>
      </c>
      <c r="E13" s="336">
        <f>SUMMARY!K82</f>
        <v>0</v>
      </c>
      <c r="F13" s="336">
        <f>SUMMARY!K83</f>
        <v>0</v>
      </c>
      <c r="G13" s="336">
        <f>SUMMARY!K84</f>
        <v>0</v>
      </c>
      <c r="H13" s="336">
        <f>SUMMARY!K85</f>
        <v>-10277.079999999998</v>
      </c>
      <c r="I13" s="336"/>
      <c r="J13" s="301"/>
      <c r="K13" s="336"/>
      <c r="L13" s="336"/>
      <c r="M13" s="339"/>
      <c r="N13" s="336"/>
      <c r="O13" s="413">
        <f t="shared" si="0"/>
        <v>10277.079999999998</v>
      </c>
      <c r="P13" s="339"/>
      <c r="Q13" s="336"/>
      <c r="R13" s="499"/>
      <c r="S13" s="336"/>
      <c r="T13" s="500"/>
      <c r="U13" s="336"/>
      <c r="V13" s="329"/>
      <c r="W13" s="501"/>
      <c r="X13" s="329"/>
      <c r="Y13" s="502"/>
      <c r="Z13" s="502"/>
      <c r="AA13" s="502"/>
      <c r="AB13" s="502"/>
      <c r="AC13" s="502"/>
    </row>
    <row r="14" spans="1:29">
      <c r="A14" s="338"/>
      <c r="B14" s="413" t="str">
        <f>SUMMARY!L3</f>
        <v>CHOLINE CHLORIDE 60%</v>
      </c>
      <c r="C14" s="338" t="s">
        <v>346</v>
      </c>
      <c r="D14" s="336">
        <f>SUMMARY!L81</f>
        <v>0</v>
      </c>
      <c r="E14" s="336">
        <f>SUMMARY!L82</f>
        <v>0</v>
      </c>
      <c r="F14" s="336">
        <f>SUMMARY!L83</f>
        <v>0</v>
      </c>
      <c r="G14" s="336">
        <f>SUMMARY!L84</f>
        <v>0</v>
      </c>
      <c r="H14" s="336">
        <f>SUMMARY!L85</f>
        <v>0</v>
      </c>
      <c r="I14" s="336"/>
      <c r="J14" s="301"/>
      <c r="K14" s="336"/>
      <c r="L14" s="336"/>
      <c r="M14" s="339"/>
      <c r="N14" s="336"/>
      <c r="O14" s="413">
        <f t="shared" si="0"/>
        <v>0</v>
      </c>
      <c r="P14" s="339"/>
      <c r="Q14" s="336"/>
      <c r="R14" s="499"/>
      <c r="S14" s="336"/>
      <c r="T14" s="500"/>
      <c r="U14" s="336"/>
      <c r="V14" s="329"/>
      <c r="W14" s="501"/>
      <c r="X14" s="329"/>
      <c r="Y14" s="502"/>
      <c r="Z14" s="502"/>
      <c r="AA14" s="502"/>
      <c r="AB14" s="502"/>
      <c r="AC14" s="502"/>
    </row>
    <row r="15" spans="1:29">
      <c r="A15" s="338"/>
      <c r="B15" s="413" t="str">
        <f>SUMMARY!M3</f>
        <v>INDUSTRY FLOUR</v>
      </c>
      <c r="C15" s="338" t="s">
        <v>346</v>
      </c>
      <c r="D15" s="336">
        <f>SUMMARY!M81</f>
        <v>27438.200000000012</v>
      </c>
      <c r="E15" s="336">
        <f>SUMMARY!M82</f>
        <v>0</v>
      </c>
      <c r="F15" s="336">
        <f>SUMMARY!M83</f>
        <v>0</v>
      </c>
      <c r="G15" s="336">
        <f>SUMMARY!M84</f>
        <v>0</v>
      </c>
      <c r="H15" s="336">
        <f>SUMMARY!M85</f>
        <v>27438.200000000012</v>
      </c>
      <c r="I15" s="336"/>
      <c r="J15" s="300"/>
      <c r="K15" s="336"/>
      <c r="L15" s="336"/>
      <c r="M15" s="339"/>
      <c r="N15" s="336"/>
      <c r="O15" s="413">
        <f t="shared" si="0"/>
        <v>-27438.200000000012</v>
      </c>
      <c r="P15" s="339"/>
      <c r="Q15" s="336"/>
      <c r="R15" s="499"/>
      <c r="S15" s="336"/>
      <c r="T15" s="500"/>
      <c r="U15" s="336"/>
      <c r="V15" s="329"/>
      <c r="W15" s="501"/>
      <c r="X15" s="329"/>
      <c r="Y15" s="502"/>
      <c r="Z15" s="502"/>
      <c r="AA15" s="502"/>
      <c r="AB15" s="502"/>
      <c r="AC15" s="502"/>
    </row>
    <row r="16" spans="1:29">
      <c r="A16" s="338"/>
      <c r="B16" s="413" t="str">
        <f>SUMMARY!N3</f>
        <v>RICE BRAN</v>
      </c>
      <c r="C16" s="338" t="s">
        <v>346</v>
      </c>
      <c r="D16" s="336">
        <f>SUMMARY!N81</f>
        <v>18782.299999999981</v>
      </c>
      <c r="E16" s="336">
        <f>SUMMARY!N82</f>
        <v>0</v>
      </c>
      <c r="F16" s="336">
        <f>SUMMARY!N83</f>
        <v>0</v>
      </c>
      <c r="G16" s="336">
        <f>SUMMARY!N84</f>
        <v>0</v>
      </c>
      <c r="H16" s="336">
        <f>SUMMARY!N85</f>
        <v>18782.299999999981</v>
      </c>
      <c r="I16" s="336"/>
      <c r="J16" s="300"/>
      <c r="K16" s="336"/>
      <c r="L16" s="336"/>
      <c r="M16" s="339"/>
      <c r="N16" s="336"/>
      <c r="O16" s="413">
        <f t="shared" si="0"/>
        <v>-18782.299999999981</v>
      </c>
      <c r="P16" s="339"/>
      <c r="Q16" s="336"/>
      <c r="R16" s="499"/>
      <c r="S16" s="336"/>
      <c r="T16" s="500"/>
      <c r="U16" s="336"/>
      <c r="V16" s="329"/>
      <c r="W16" s="501"/>
      <c r="X16" s="329"/>
      <c r="Y16" s="502"/>
      <c r="Z16" s="502"/>
      <c r="AA16" s="502"/>
      <c r="AB16" s="502"/>
      <c r="AC16" s="502"/>
    </row>
    <row r="17" spans="1:29">
      <c r="A17" s="338"/>
      <c r="B17" s="413" t="str">
        <f>SUMMARY!O3</f>
        <v>EP 200</v>
      </c>
      <c r="C17" s="338" t="s">
        <v>346</v>
      </c>
      <c r="D17" s="336">
        <f>SUMMARY!O81</f>
        <v>5800</v>
      </c>
      <c r="E17" s="336">
        <f>SUMMARY!O82</f>
        <v>0</v>
      </c>
      <c r="F17" s="336">
        <f>SUMMARY!O83</f>
        <v>0</v>
      </c>
      <c r="G17" s="336">
        <f>SUMMARY!O84</f>
        <v>0</v>
      </c>
      <c r="H17" s="336">
        <f>SUMMARY!O85</f>
        <v>5800</v>
      </c>
      <c r="I17" s="336"/>
      <c r="J17" s="300"/>
      <c r="K17" s="336"/>
      <c r="L17" s="336"/>
      <c r="M17" s="339"/>
      <c r="N17" s="336"/>
      <c r="O17" s="413">
        <f t="shared" si="0"/>
        <v>-5800</v>
      </c>
      <c r="P17" s="339"/>
      <c r="Q17" s="336"/>
      <c r="R17" s="499"/>
      <c r="S17" s="336"/>
      <c r="T17" s="500"/>
      <c r="U17" s="336"/>
      <c r="V17" s="329"/>
      <c r="W17" s="501"/>
      <c r="X17" s="329"/>
      <c r="Y17" s="502"/>
      <c r="Z17" s="502"/>
      <c r="AA17" s="502"/>
      <c r="AB17" s="502"/>
      <c r="AC17" s="502"/>
    </row>
    <row r="18" spans="1:29">
      <c r="A18" s="338"/>
      <c r="B18" s="413" t="str">
        <f>SUMMARY!P3</f>
        <v>SOYTIDE</v>
      </c>
      <c r="C18" s="338" t="s">
        <v>346</v>
      </c>
      <c r="D18" s="336">
        <f>SUMMARY!P81</f>
        <v>0</v>
      </c>
      <c r="E18" s="336">
        <f>SUMMARY!P82</f>
        <v>0</v>
      </c>
      <c r="F18" s="336">
        <f>SUMMARY!P83</f>
        <v>0</v>
      </c>
      <c r="G18" s="336">
        <f>SUMMARY!P84</f>
        <v>0</v>
      </c>
      <c r="H18" s="336">
        <f>SUMMARY!P85</f>
        <v>0</v>
      </c>
      <c r="I18" s="336"/>
      <c r="J18" s="336"/>
      <c r="K18" s="336"/>
      <c r="L18" s="336"/>
      <c r="M18" s="339"/>
      <c r="N18" s="336"/>
      <c r="O18" s="413">
        <f t="shared" si="0"/>
        <v>0</v>
      </c>
      <c r="P18" s="339"/>
      <c r="Q18" s="336"/>
      <c r="R18" s="499"/>
      <c r="S18" s="336"/>
      <c r="T18" s="500"/>
      <c r="U18" s="336"/>
      <c r="V18" s="329"/>
      <c r="W18" s="501"/>
      <c r="X18" s="329"/>
      <c r="Y18" s="502"/>
      <c r="Z18" s="502"/>
      <c r="AA18" s="502"/>
      <c r="AB18" s="502"/>
      <c r="AC18" s="502"/>
    </row>
    <row r="19" spans="1:29">
      <c r="A19" s="338"/>
      <c r="B19" s="413" t="str">
        <f>SUMMARY!Q3</f>
        <v>DCP 18% (HARUMI)</v>
      </c>
      <c r="C19" s="338" t="s">
        <v>346</v>
      </c>
      <c r="D19" s="336">
        <f>SUMMARY!Q81</f>
        <v>0</v>
      </c>
      <c r="E19" s="336">
        <f>SUMMARY!Q82</f>
        <v>0</v>
      </c>
      <c r="F19" s="336">
        <f>SUMMARY!Q83</f>
        <v>0</v>
      </c>
      <c r="G19" s="336">
        <f>SUMMARY!Q84</f>
        <v>0</v>
      </c>
      <c r="H19" s="336">
        <f>SUMMARY!Q85</f>
        <v>0</v>
      </c>
      <c r="I19" s="336"/>
      <c r="J19" s="336"/>
      <c r="K19" s="336"/>
      <c r="L19" s="336"/>
      <c r="M19" s="339"/>
      <c r="N19" s="336"/>
      <c r="O19" s="413">
        <f t="shared" si="0"/>
        <v>0</v>
      </c>
      <c r="P19" s="339"/>
      <c r="Q19" s="336"/>
      <c r="R19" s="499"/>
      <c r="S19" s="336"/>
      <c r="T19" s="500"/>
      <c r="U19" s="336"/>
      <c r="V19" s="329"/>
      <c r="W19" s="501"/>
      <c r="X19" s="329"/>
      <c r="Y19" s="502"/>
      <c r="Z19" s="502"/>
      <c r="AA19" s="502"/>
      <c r="AB19" s="502"/>
      <c r="AC19" s="502"/>
    </row>
    <row r="20" spans="1:29">
      <c r="A20" s="338"/>
      <c r="B20" s="413">
        <f>SUMMARY!R3</f>
        <v>1</v>
      </c>
      <c r="C20" s="338" t="s">
        <v>346</v>
      </c>
      <c r="D20" s="336">
        <f>SUMMARY!R81</f>
        <v>0</v>
      </c>
      <c r="E20" s="336">
        <f>SUMMARY!R82</f>
        <v>0</v>
      </c>
      <c r="F20" s="336">
        <f>SUMMARY!R83</f>
        <v>0</v>
      </c>
      <c r="G20" s="336">
        <f>SUMMARY!R84</f>
        <v>0</v>
      </c>
      <c r="H20" s="336">
        <f>SUMMARY!R85</f>
        <v>0</v>
      </c>
      <c r="I20" s="336"/>
      <c r="J20" s="336"/>
      <c r="K20" s="336"/>
      <c r="L20" s="336"/>
      <c r="M20" s="339"/>
      <c r="N20" s="336"/>
      <c r="O20" s="413">
        <f t="shared" si="0"/>
        <v>0</v>
      </c>
      <c r="P20" s="339"/>
      <c r="Q20" s="336"/>
      <c r="R20" s="499"/>
      <c r="S20" s="336"/>
      <c r="T20" s="500"/>
      <c r="U20" s="336"/>
      <c r="V20" s="329"/>
      <c r="W20" s="501"/>
      <c r="X20" s="329"/>
      <c r="Y20" s="502"/>
      <c r="Z20" s="502"/>
      <c r="AA20" s="502"/>
      <c r="AB20" s="502"/>
      <c r="AC20" s="502"/>
    </row>
    <row r="21" spans="1:29">
      <c r="A21" s="338"/>
      <c r="B21" s="413">
        <f>SUMMARY!S3</f>
        <v>2</v>
      </c>
      <c r="C21" s="338" t="s">
        <v>346</v>
      </c>
      <c r="D21" s="336">
        <f>SUMMARY!S81</f>
        <v>0</v>
      </c>
      <c r="E21" s="336">
        <f>SUMMARY!S82</f>
        <v>0</v>
      </c>
      <c r="F21" s="336">
        <f>SUMMARY!S83</f>
        <v>0</v>
      </c>
      <c r="G21" s="336">
        <f>SUMMARY!S84</f>
        <v>0</v>
      </c>
      <c r="H21" s="336">
        <f>SUMMARY!S85</f>
        <v>0</v>
      </c>
      <c r="I21" s="336"/>
      <c r="J21" s="336"/>
      <c r="K21" s="336"/>
      <c r="L21" s="336"/>
      <c r="M21" s="339"/>
      <c r="N21" s="336"/>
      <c r="O21" s="413">
        <f t="shared" si="0"/>
        <v>0</v>
      </c>
      <c r="P21" s="339"/>
      <c r="Q21" s="336"/>
      <c r="R21" s="499"/>
      <c r="S21" s="336"/>
      <c r="T21" s="500"/>
      <c r="U21" s="336"/>
      <c r="V21" s="329"/>
      <c r="W21" s="501"/>
      <c r="X21" s="329"/>
      <c r="Y21" s="502"/>
      <c r="Z21" s="502"/>
      <c r="AA21" s="502"/>
      <c r="AB21" s="502"/>
      <c r="AC21" s="502"/>
    </row>
    <row r="22" spans="1:29">
      <c r="A22" s="338"/>
      <c r="B22" s="413">
        <f>SUMMARY!T3</f>
        <v>3</v>
      </c>
      <c r="C22" s="338" t="s">
        <v>346</v>
      </c>
      <c r="D22" s="336">
        <f>SUMMARY!T81</f>
        <v>0</v>
      </c>
      <c r="E22" s="336">
        <f>SUMMARY!T82</f>
        <v>0</v>
      </c>
      <c r="F22" s="336">
        <f>SUMMARY!T83</f>
        <v>0</v>
      </c>
      <c r="G22" s="336">
        <f>SUMMARY!T84</f>
        <v>0</v>
      </c>
      <c r="H22" s="336">
        <f>SUMMARY!T85</f>
        <v>0</v>
      </c>
      <c r="I22" s="336"/>
      <c r="J22" s="336"/>
      <c r="K22" s="336"/>
      <c r="L22" s="336"/>
      <c r="M22" s="339"/>
      <c r="N22" s="336"/>
      <c r="O22" s="413">
        <f t="shared" si="0"/>
        <v>0</v>
      </c>
      <c r="P22" s="339"/>
      <c r="Q22" s="336"/>
      <c r="R22" s="499"/>
      <c r="S22" s="336"/>
      <c r="T22" s="500"/>
      <c r="U22" s="336"/>
      <c r="V22" s="329"/>
      <c r="W22" s="501"/>
      <c r="X22" s="329"/>
      <c r="Y22" s="502"/>
      <c r="Z22" s="502"/>
      <c r="AA22" s="502"/>
      <c r="AB22" s="502"/>
      <c r="AC22" s="502"/>
    </row>
    <row r="23" spans="1:29">
      <c r="A23" s="338"/>
      <c r="B23" s="413"/>
      <c r="C23" s="338"/>
      <c r="D23" s="336"/>
      <c r="E23" s="336"/>
      <c r="F23" s="336"/>
      <c r="G23" s="336"/>
      <c r="H23" s="336"/>
      <c r="I23" s="336"/>
      <c r="J23" s="336"/>
      <c r="K23" s="336"/>
      <c r="L23" s="336"/>
      <c r="M23" s="339"/>
      <c r="N23" s="336"/>
      <c r="O23" s="413"/>
      <c r="P23" s="339"/>
      <c r="Q23" s="336"/>
      <c r="R23" s="499"/>
      <c r="S23" s="336"/>
      <c r="T23" s="500"/>
      <c r="U23" s="336"/>
      <c r="V23" s="329"/>
      <c r="W23" s="501"/>
      <c r="X23" s="329"/>
      <c r="Y23" s="502"/>
      <c r="Z23" s="502"/>
      <c r="AA23" s="502"/>
      <c r="AB23" s="502"/>
      <c r="AC23" s="502"/>
    </row>
    <row r="24" spans="1:29">
      <c r="A24" s="338"/>
      <c r="B24" s="310" t="s">
        <v>347</v>
      </c>
      <c r="C24" s="338"/>
      <c r="D24" s="336"/>
      <c r="E24" s="336"/>
      <c r="F24" s="336"/>
      <c r="G24" s="336"/>
      <c r="H24" s="336"/>
      <c r="I24" s="336"/>
      <c r="J24" s="336"/>
      <c r="K24" s="336"/>
      <c r="L24" s="336"/>
      <c r="M24" s="339"/>
      <c r="N24" s="336"/>
      <c r="O24" s="413"/>
      <c r="P24" s="339"/>
      <c r="Q24" s="336"/>
      <c r="R24" s="499"/>
      <c r="S24" s="336"/>
      <c r="T24" s="500"/>
      <c r="U24" s="336"/>
      <c r="V24" s="329"/>
      <c r="W24" s="501"/>
      <c r="X24" s="329"/>
      <c r="Y24" s="502"/>
      <c r="Z24" s="502"/>
      <c r="AA24" s="502"/>
      <c r="AB24" s="502"/>
      <c r="AC24" s="502"/>
    </row>
    <row r="25" spans="1:29">
      <c r="A25" s="338"/>
      <c r="B25" s="413" t="str">
        <f>SUMMARY!U3</f>
        <v>PREMIX 1101 (20KG)</v>
      </c>
      <c r="C25" s="338" t="s">
        <v>346</v>
      </c>
      <c r="D25" s="336">
        <f>SUMMARY!U81</f>
        <v>2020</v>
      </c>
      <c r="E25" s="336">
        <f>SUMMARY!U82</f>
        <v>0</v>
      </c>
      <c r="F25" s="336">
        <f>SUMMARY!U83</f>
        <v>0</v>
      </c>
      <c r="G25" s="336">
        <f>SUMMARY!U84</f>
        <v>0</v>
      </c>
      <c r="H25" s="336">
        <f>SUMMARY!U85</f>
        <v>2020</v>
      </c>
      <c r="I25" s="336"/>
      <c r="J25" s="336"/>
      <c r="K25" s="336"/>
      <c r="L25" s="336"/>
      <c r="M25" s="339"/>
      <c r="N25" s="336"/>
      <c r="O25" s="413">
        <f t="shared" si="0"/>
        <v>-2020</v>
      </c>
      <c r="P25" s="339"/>
      <c r="Q25" s="336"/>
      <c r="R25" s="499"/>
      <c r="S25" s="336"/>
      <c r="T25" s="500"/>
      <c r="U25" s="336"/>
      <c r="V25" s="329"/>
      <c r="W25" s="501"/>
      <c r="X25" s="329"/>
      <c r="Y25" s="502"/>
      <c r="Z25" s="502"/>
      <c r="AA25" s="502"/>
      <c r="AB25" s="502"/>
      <c r="AC25" s="502"/>
    </row>
    <row r="26" spans="1:29">
      <c r="A26" s="338"/>
      <c r="B26" s="413" t="str">
        <f>SUMMARY!V3</f>
        <v>PREMIX 1102 (20KG)</v>
      </c>
      <c r="C26" s="338" t="s">
        <v>346</v>
      </c>
      <c r="D26" s="336">
        <f>SUMMARY!V81</f>
        <v>960</v>
      </c>
      <c r="E26" s="336">
        <f>SUMMARY!V82</f>
        <v>0</v>
      </c>
      <c r="F26" s="336">
        <f>SUMMARY!V83</f>
        <v>0</v>
      </c>
      <c r="G26" s="336">
        <f>SUMMARY!V84</f>
        <v>0</v>
      </c>
      <c r="H26" s="336">
        <f>SUMMARY!V85</f>
        <v>960</v>
      </c>
      <c r="I26" s="336"/>
      <c r="J26" s="336"/>
      <c r="K26" s="336"/>
      <c r="L26" s="336"/>
      <c r="M26" s="339"/>
      <c r="N26" s="336"/>
      <c r="O26" s="413">
        <f t="shared" si="0"/>
        <v>-960</v>
      </c>
      <c r="P26" s="339"/>
      <c r="Q26" s="336"/>
      <c r="R26" s="499"/>
      <c r="S26" s="336"/>
      <c r="T26" s="500"/>
      <c r="U26" s="336"/>
      <c r="V26" s="329"/>
      <c r="W26" s="501"/>
      <c r="X26" s="329"/>
      <c r="Y26" s="502"/>
      <c r="Z26" s="502"/>
      <c r="AA26" s="502"/>
      <c r="AB26" s="502"/>
      <c r="AC26" s="502"/>
    </row>
    <row r="27" spans="1:29">
      <c r="A27" s="338"/>
      <c r="B27" s="413" t="str">
        <f>SUMMARY!W3</f>
        <v>PREMIX 1103 (20KG)</v>
      </c>
      <c r="C27" s="338" t="s">
        <v>346</v>
      </c>
      <c r="D27" s="336">
        <f>SUMMARY!W81</f>
        <v>1760</v>
      </c>
      <c r="E27" s="336">
        <f>SUMMARY!W82</f>
        <v>0</v>
      </c>
      <c r="F27" s="336">
        <f>SUMMARY!W83</f>
        <v>0</v>
      </c>
      <c r="G27" s="336">
        <f>SUMMARY!W84</f>
        <v>0</v>
      </c>
      <c r="H27" s="336">
        <f>SUMMARY!W85</f>
        <v>1760</v>
      </c>
      <c r="I27" s="336"/>
      <c r="J27" s="336"/>
      <c r="K27" s="336"/>
      <c r="L27" s="336"/>
      <c r="M27" s="339"/>
      <c r="N27" s="336"/>
      <c r="O27" s="413">
        <f t="shared" si="0"/>
        <v>-1760</v>
      </c>
      <c r="P27" s="339"/>
      <c r="Q27" s="336"/>
      <c r="R27" s="499"/>
      <c r="S27" s="336"/>
      <c r="T27" s="500"/>
      <c r="U27" s="336"/>
      <c r="V27" s="329"/>
      <c r="W27" s="501"/>
      <c r="X27" s="329"/>
      <c r="Y27" s="502"/>
      <c r="Z27" s="502"/>
      <c r="AA27" s="502"/>
      <c r="AB27" s="502"/>
      <c r="AC27" s="502"/>
    </row>
    <row r="28" spans="1:29">
      <c r="A28" s="338"/>
      <c r="B28" s="413" t="str">
        <f>SUMMARY!X3</f>
        <v>PREMIX 311 (20KG)</v>
      </c>
      <c r="C28" s="338" t="s">
        <v>346</v>
      </c>
      <c r="D28" s="336">
        <f>SUMMARY!X81</f>
        <v>400</v>
      </c>
      <c r="E28" s="336">
        <f>SUMMARY!X82</f>
        <v>0</v>
      </c>
      <c r="F28" s="336">
        <f>SUMMARY!X83</f>
        <v>0</v>
      </c>
      <c r="G28" s="336">
        <f>SUMMARY!X84</f>
        <v>0</v>
      </c>
      <c r="H28" s="336">
        <f>SUMMARY!X85</f>
        <v>400</v>
      </c>
      <c r="I28" s="336"/>
      <c r="J28" s="336"/>
      <c r="K28" s="336"/>
      <c r="L28" s="336"/>
      <c r="M28" s="339"/>
      <c r="N28" s="336"/>
      <c r="O28" s="413">
        <f t="shared" si="0"/>
        <v>-400</v>
      </c>
      <c r="P28" s="339"/>
      <c r="Q28" s="336"/>
      <c r="R28" s="499"/>
      <c r="S28" s="336"/>
      <c r="T28" s="500"/>
      <c r="U28" s="336"/>
      <c r="V28" s="329"/>
      <c r="W28" s="501"/>
      <c r="X28" s="329"/>
      <c r="Y28" s="502"/>
      <c r="Z28" s="502"/>
      <c r="AA28" s="502"/>
      <c r="AB28" s="502"/>
      <c r="AC28" s="502"/>
    </row>
    <row r="29" spans="1:29">
      <c r="A29" s="338"/>
      <c r="B29" s="413" t="str">
        <f>SUMMARY!Y3</f>
        <v>PREMIX 312 (20KG)</v>
      </c>
      <c r="C29" s="338" t="s">
        <v>346</v>
      </c>
      <c r="D29" s="336">
        <f>SUMMARY!Y81</f>
        <v>3600</v>
      </c>
      <c r="E29" s="336">
        <f>SUMMARY!Y82</f>
        <v>0</v>
      </c>
      <c r="F29" s="336">
        <f>SUMMARY!Y83</f>
        <v>0</v>
      </c>
      <c r="G29" s="336">
        <f>SUMMARY!Y84</f>
        <v>0</v>
      </c>
      <c r="H29" s="336">
        <f>SUMMARY!Y85</f>
        <v>3600</v>
      </c>
      <c r="I29" s="336"/>
      <c r="J29" s="336"/>
      <c r="K29" s="336"/>
      <c r="L29" s="336"/>
      <c r="M29" s="339"/>
      <c r="N29" s="336"/>
      <c r="O29" s="413">
        <f t="shared" si="0"/>
        <v>-3600</v>
      </c>
      <c r="P29" s="339"/>
      <c r="Q29" s="336"/>
      <c r="R29" s="499"/>
      <c r="S29" s="336"/>
      <c r="T29" s="500"/>
      <c r="U29" s="336"/>
      <c r="V29" s="329"/>
      <c r="W29" s="501"/>
      <c r="X29" s="329"/>
      <c r="Y29" s="502"/>
      <c r="Z29" s="502"/>
      <c r="AA29" s="502"/>
      <c r="AB29" s="502"/>
      <c r="AC29" s="502"/>
    </row>
    <row r="30" spans="1:29">
      <c r="A30" s="338"/>
      <c r="B30" s="413">
        <f>SUMMARY!Z3</f>
        <v>1</v>
      </c>
      <c r="C30" s="338" t="s">
        <v>346</v>
      </c>
      <c r="D30" s="336">
        <f>SUMMARY!Z81</f>
        <v>0</v>
      </c>
      <c r="E30" s="336">
        <f>SUMMARY!Z82</f>
        <v>0</v>
      </c>
      <c r="F30" s="336">
        <f>SUMMARY!Z83</f>
        <v>0</v>
      </c>
      <c r="G30" s="336">
        <f>SUMMARY!Z84</f>
        <v>0</v>
      </c>
      <c r="H30" s="336">
        <f>SUMMARY!Z85</f>
        <v>0</v>
      </c>
      <c r="I30" s="336"/>
      <c r="J30" s="336"/>
      <c r="K30" s="336"/>
      <c r="L30" s="336"/>
      <c r="M30" s="339"/>
      <c r="N30" s="336"/>
      <c r="O30" s="413">
        <f t="shared" si="0"/>
        <v>0</v>
      </c>
      <c r="P30" s="339"/>
      <c r="Q30" s="336"/>
      <c r="R30" s="499"/>
      <c r="S30" s="336"/>
      <c r="T30" s="500"/>
      <c r="U30" s="336"/>
      <c r="V30" s="329"/>
      <c r="W30" s="501"/>
      <c r="X30" s="329"/>
      <c r="Y30" s="502"/>
      <c r="Z30" s="502"/>
      <c r="AA30" s="502"/>
      <c r="AB30" s="502"/>
      <c r="AC30" s="502"/>
    </row>
    <row r="31" spans="1:29">
      <c r="A31" s="338"/>
      <c r="B31" s="413" t="str">
        <f>SUMMARY!AA3</f>
        <v>PREMIX 8100 (20KG)</v>
      </c>
      <c r="C31" s="338" t="s">
        <v>346</v>
      </c>
      <c r="D31" s="336">
        <f>SUMMARY!AA81</f>
        <v>6120</v>
      </c>
      <c r="E31" s="336">
        <f>SUMMARY!AA82</f>
        <v>0</v>
      </c>
      <c r="F31" s="336">
        <f>SUMMARY!AA83</f>
        <v>0</v>
      </c>
      <c r="G31" s="336">
        <f>SUMMARY!AA84</f>
        <v>0</v>
      </c>
      <c r="H31" s="336">
        <f>SUMMARY!AA85</f>
        <v>6120</v>
      </c>
      <c r="I31" s="336"/>
      <c r="J31" s="336"/>
      <c r="K31" s="336"/>
      <c r="L31" s="336"/>
      <c r="M31" s="339"/>
      <c r="N31" s="336"/>
      <c r="O31" s="413">
        <f t="shared" si="0"/>
        <v>-6120</v>
      </c>
      <c r="P31" s="339"/>
      <c r="Q31" s="336"/>
      <c r="R31" s="499"/>
      <c r="S31" s="336"/>
      <c r="T31" s="500"/>
      <c r="U31" s="336"/>
      <c r="V31" s="329"/>
      <c r="W31" s="501"/>
      <c r="X31" s="329"/>
      <c r="Y31" s="502"/>
      <c r="Z31" s="502"/>
      <c r="AA31" s="502"/>
      <c r="AB31" s="502"/>
      <c r="AC31" s="502"/>
    </row>
    <row r="32" spans="1:29">
      <c r="A32" s="338"/>
      <c r="B32" s="413" t="str">
        <f>SUMMARY!AB3</f>
        <v>PREMIX 8101 (20KG)</v>
      </c>
      <c r="C32" s="338" t="s">
        <v>346</v>
      </c>
      <c r="D32" s="336">
        <f>SUMMARY!AB81</f>
        <v>0</v>
      </c>
      <c r="E32" s="336">
        <f>SUMMARY!AB82</f>
        <v>0</v>
      </c>
      <c r="F32" s="336">
        <f>SUMMARY!AB83</f>
        <v>0</v>
      </c>
      <c r="G32" s="336">
        <f>SUMMARY!AB84</f>
        <v>0</v>
      </c>
      <c r="H32" s="336">
        <f>SUMMARY!AB85</f>
        <v>0</v>
      </c>
      <c r="I32" s="336"/>
      <c r="J32" s="336"/>
      <c r="K32" s="336"/>
      <c r="L32" s="336"/>
      <c r="M32" s="339"/>
      <c r="N32" s="336"/>
      <c r="O32" s="413">
        <f t="shared" si="0"/>
        <v>0</v>
      </c>
      <c r="P32" s="339"/>
      <c r="Q32" s="336"/>
      <c r="R32" s="499"/>
      <c r="S32" s="336"/>
      <c r="T32" s="500"/>
      <c r="U32" s="336"/>
      <c r="V32" s="329"/>
      <c r="W32" s="501"/>
      <c r="X32" s="329"/>
      <c r="Y32" s="502"/>
      <c r="Z32" s="502"/>
      <c r="AA32" s="502"/>
      <c r="AB32" s="502"/>
      <c r="AC32" s="502"/>
    </row>
    <row r="33" spans="1:29">
      <c r="A33" s="338"/>
      <c r="B33" s="413" t="str">
        <f>SUMMARY!AC3</f>
        <v>PREMIX 8102 (20KG)</v>
      </c>
      <c r="C33" s="338" t="s">
        <v>346</v>
      </c>
      <c r="D33" s="336">
        <f>SUMMARY!AC81</f>
        <v>0</v>
      </c>
      <c r="E33" s="336">
        <f>SUMMARY!AC82</f>
        <v>0</v>
      </c>
      <c r="F33" s="336">
        <f>SUMMARY!AC83</f>
        <v>0</v>
      </c>
      <c r="G33" s="336">
        <f>SUMMARY!AC84</f>
        <v>0</v>
      </c>
      <c r="H33" s="336">
        <f>SUMMARY!AC85</f>
        <v>0</v>
      </c>
      <c r="I33" s="336"/>
      <c r="J33" s="336"/>
      <c r="K33" s="336"/>
      <c r="L33" s="336"/>
      <c r="M33" s="339"/>
      <c r="N33" s="336"/>
      <c r="O33" s="413">
        <f t="shared" si="0"/>
        <v>0</v>
      </c>
      <c r="P33" s="339"/>
      <c r="Q33" s="336"/>
      <c r="R33" s="499"/>
      <c r="S33" s="336"/>
      <c r="T33" s="500"/>
      <c r="U33" s="336"/>
      <c r="V33" s="329"/>
      <c r="W33" s="501"/>
      <c r="X33" s="329"/>
      <c r="Y33" s="502"/>
      <c r="Z33" s="502"/>
      <c r="AA33" s="502"/>
      <c r="AB33" s="502"/>
      <c r="AC33" s="502"/>
    </row>
    <row r="34" spans="1:29">
      <c r="A34" s="338"/>
      <c r="B34" s="413" t="str">
        <f>SUMMARY!AD3</f>
        <v>PREMIX 8103 (20KG)</v>
      </c>
      <c r="C34" s="338" t="s">
        <v>346</v>
      </c>
      <c r="D34" s="336">
        <f>SUMMARY!AD81</f>
        <v>2820</v>
      </c>
      <c r="E34" s="336">
        <f>SUMMARY!AD82</f>
        <v>0</v>
      </c>
      <c r="F34" s="336">
        <f>SUMMARY!AD83</f>
        <v>0</v>
      </c>
      <c r="G34" s="336">
        <f>SUMMARY!AD84</f>
        <v>0</v>
      </c>
      <c r="H34" s="336">
        <f>SUMMARY!AD85</f>
        <v>2820</v>
      </c>
      <c r="I34" s="336"/>
      <c r="J34" s="336"/>
      <c r="K34" s="336"/>
      <c r="L34" s="336"/>
      <c r="M34" s="339"/>
      <c r="N34" s="336"/>
      <c r="O34" s="413">
        <f t="shared" si="0"/>
        <v>-2820</v>
      </c>
      <c r="P34" s="339"/>
      <c r="Q34" s="336"/>
      <c r="R34" s="499"/>
      <c r="S34" s="336"/>
      <c r="T34" s="500"/>
      <c r="U34" s="336"/>
      <c r="V34" s="329"/>
      <c r="W34" s="501"/>
      <c r="X34" s="329"/>
      <c r="Y34" s="502"/>
      <c r="Z34" s="502"/>
      <c r="AA34" s="502"/>
      <c r="AB34" s="502"/>
      <c r="AC34" s="502"/>
    </row>
    <row r="35" spans="1:29">
      <c r="A35" s="338"/>
      <c r="B35" s="413" t="str">
        <f>SUMMARY!AE3</f>
        <v>PREMIX 8108 (20KG)</v>
      </c>
      <c r="C35" s="338" t="s">
        <v>346</v>
      </c>
      <c r="D35" s="336">
        <f>SUMMARY!AE81</f>
        <v>0</v>
      </c>
      <c r="E35" s="336">
        <f>SUMMARY!AE82</f>
        <v>0</v>
      </c>
      <c r="F35" s="336">
        <f>SUMMARY!AE83</f>
        <v>0</v>
      </c>
      <c r="G35" s="336">
        <f>SUMMARY!AE84</f>
        <v>0</v>
      </c>
      <c r="H35" s="336">
        <f>SUMMARY!AE85</f>
        <v>0</v>
      </c>
      <c r="I35" s="336"/>
      <c r="J35" s="336"/>
      <c r="K35" s="336"/>
      <c r="L35" s="336"/>
      <c r="M35" s="339"/>
      <c r="N35" s="336"/>
      <c r="O35" s="413">
        <f t="shared" si="0"/>
        <v>0</v>
      </c>
      <c r="P35" s="339"/>
      <c r="Q35" s="336"/>
      <c r="R35" s="499"/>
      <c r="S35" s="336"/>
      <c r="T35" s="500"/>
      <c r="U35" s="336"/>
      <c r="V35" s="329"/>
      <c r="W35" s="501"/>
      <c r="X35" s="329"/>
      <c r="Y35" s="502"/>
      <c r="Z35" s="502"/>
      <c r="AA35" s="502"/>
      <c r="AB35" s="502"/>
      <c r="AC35" s="502"/>
    </row>
    <row r="36" spans="1:29">
      <c r="A36" s="338"/>
      <c r="B36" s="413" t="str">
        <f>SUMMARY!AF3</f>
        <v>PREMIX 8109 (20KG)</v>
      </c>
      <c r="C36" s="338" t="s">
        <v>346</v>
      </c>
      <c r="D36" s="336">
        <f>SUMMARY!AF81</f>
        <v>0</v>
      </c>
      <c r="E36" s="336">
        <f>SUMMARY!AF82</f>
        <v>0</v>
      </c>
      <c r="F36" s="336">
        <f>SUMMARY!AF83</f>
        <v>0</v>
      </c>
      <c r="G36" s="336">
        <f>SUMMARY!AF84</f>
        <v>0</v>
      </c>
      <c r="H36" s="336">
        <f>SUMMARY!AF85</f>
        <v>0</v>
      </c>
      <c r="I36" s="336"/>
      <c r="J36" s="336"/>
      <c r="K36" s="336"/>
      <c r="L36" s="336"/>
      <c r="M36" s="339"/>
      <c r="N36" s="336"/>
      <c r="O36" s="413">
        <f t="shared" si="0"/>
        <v>0</v>
      </c>
      <c r="P36" s="339"/>
      <c r="Q36" s="336"/>
      <c r="R36" s="499"/>
      <c r="S36" s="336"/>
      <c r="T36" s="500"/>
      <c r="U36" s="336"/>
      <c r="V36" s="329"/>
      <c r="W36" s="501"/>
      <c r="X36" s="329"/>
      <c r="Y36" s="502"/>
      <c r="Z36" s="502"/>
      <c r="AA36" s="502"/>
      <c r="AB36" s="502"/>
      <c r="AC36" s="502"/>
    </row>
    <row r="37" spans="1:29">
      <c r="A37" s="338"/>
      <c r="B37" s="413" t="str">
        <f>SUMMARY!AG3</f>
        <v>YENMIX 121 (20KG)</v>
      </c>
      <c r="C37" s="338" t="s">
        <v>346</v>
      </c>
      <c r="D37" s="336">
        <f>SUMMARY!AG81</f>
        <v>2540</v>
      </c>
      <c r="E37" s="336">
        <f>SUMMARY!AG82</f>
        <v>0</v>
      </c>
      <c r="F37" s="336">
        <f>SUMMARY!AG83</f>
        <v>0</v>
      </c>
      <c r="G37" s="336">
        <f>SUMMARY!AG84</f>
        <v>0</v>
      </c>
      <c r="H37" s="336">
        <f>SUMMARY!AG85</f>
        <v>2540</v>
      </c>
      <c r="I37" s="336"/>
      <c r="J37" s="336"/>
      <c r="K37" s="336"/>
      <c r="L37" s="336"/>
      <c r="M37" s="339"/>
      <c r="N37" s="336"/>
      <c r="O37" s="413">
        <f t="shared" si="0"/>
        <v>-2540</v>
      </c>
      <c r="P37" s="339"/>
      <c r="Q37" s="336"/>
      <c r="R37" s="499"/>
      <c r="S37" s="336"/>
      <c r="T37" s="500"/>
      <c r="U37" s="336"/>
      <c r="V37" s="329"/>
      <c r="W37" s="501"/>
      <c r="X37" s="329"/>
      <c r="Y37" s="502"/>
      <c r="Z37" s="502"/>
      <c r="AA37" s="502"/>
      <c r="AB37" s="502"/>
      <c r="AC37" s="502"/>
    </row>
    <row r="38" spans="1:29">
      <c r="A38" s="338"/>
      <c r="B38" s="413" t="str">
        <f>SUMMARY!AH3</f>
        <v>YENMIX 122 (19.50KG)</v>
      </c>
      <c r="C38" s="338" t="s">
        <v>346</v>
      </c>
      <c r="D38" s="336">
        <f>SUMMARY!AH81</f>
        <v>2359.5</v>
      </c>
      <c r="E38" s="336">
        <f>SUMMARY!AH82</f>
        <v>0</v>
      </c>
      <c r="F38" s="336">
        <f>SUMMARY!AH83</f>
        <v>0</v>
      </c>
      <c r="G38" s="336">
        <f>SUMMARY!AH84</f>
        <v>0</v>
      </c>
      <c r="H38" s="336">
        <f>SUMMARY!AH85</f>
        <v>2359.5</v>
      </c>
      <c r="I38" s="336"/>
      <c r="J38" s="336"/>
      <c r="K38" s="336"/>
      <c r="L38" s="336"/>
      <c r="M38" s="339"/>
      <c r="N38" s="336"/>
      <c r="O38" s="413">
        <f t="shared" si="0"/>
        <v>-2359.5</v>
      </c>
      <c r="P38" s="339"/>
      <c r="Q38" s="336"/>
      <c r="R38" s="499"/>
      <c r="S38" s="336"/>
      <c r="T38" s="500"/>
      <c r="U38" s="336"/>
      <c r="V38" s="329"/>
      <c r="W38" s="501"/>
      <c r="X38" s="329"/>
      <c r="Y38" s="502"/>
      <c r="Z38" s="502"/>
      <c r="AA38" s="502"/>
      <c r="AB38" s="502"/>
      <c r="AC38" s="502"/>
    </row>
    <row r="39" spans="1:29">
      <c r="A39" s="338"/>
      <c r="B39" s="413" t="str">
        <f>SUMMARY!AI3</f>
        <v>YENMIX 123 (18.90KG)</v>
      </c>
      <c r="C39" s="338" t="s">
        <v>346</v>
      </c>
      <c r="D39" s="336">
        <f>SUMMARY!AI81</f>
        <v>1890</v>
      </c>
      <c r="E39" s="336">
        <f>SUMMARY!AI82</f>
        <v>0</v>
      </c>
      <c r="F39" s="336">
        <f>SUMMARY!AI83</f>
        <v>0</v>
      </c>
      <c r="G39" s="336">
        <f>SUMMARY!AI84</f>
        <v>0</v>
      </c>
      <c r="H39" s="336">
        <f>SUMMARY!AI85</f>
        <v>1890</v>
      </c>
      <c r="I39" s="336"/>
      <c r="J39" s="336"/>
      <c r="K39" s="336"/>
      <c r="L39" s="336"/>
      <c r="M39" s="339"/>
      <c r="N39" s="336"/>
      <c r="O39" s="413">
        <f t="shared" si="0"/>
        <v>-1890</v>
      </c>
      <c r="P39" s="339"/>
      <c r="Q39" s="336"/>
      <c r="R39" s="499"/>
      <c r="S39" s="336"/>
      <c r="T39" s="500"/>
      <c r="U39" s="336"/>
      <c r="V39" s="329"/>
      <c r="W39" s="501"/>
      <c r="X39" s="329"/>
      <c r="Y39" s="502"/>
      <c r="Z39" s="502"/>
      <c r="AA39" s="502"/>
      <c r="AB39" s="502"/>
      <c r="AC39" s="502"/>
    </row>
    <row r="40" spans="1:29">
      <c r="A40" s="338"/>
      <c r="B40" s="413" t="str">
        <f>SUMMARY!AJ3</f>
        <v>YENMIX 122 (20.50KG)</v>
      </c>
      <c r="C40" s="338" t="s">
        <v>346</v>
      </c>
      <c r="D40" s="336">
        <f>SUMMARY!AJ81</f>
        <v>3690</v>
      </c>
      <c r="E40" s="336">
        <f>SUMMARY!AJ82</f>
        <v>0</v>
      </c>
      <c r="F40" s="336">
        <f>SUMMARY!AJ83</f>
        <v>0</v>
      </c>
      <c r="G40" s="336">
        <f>SUMMARY!AJ84</f>
        <v>0</v>
      </c>
      <c r="H40" s="336">
        <f>SUMMARY!AJ85</f>
        <v>3690</v>
      </c>
      <c r="I40" s="336"/>
      <c r="J40" s="336"/>
      <c r="K40" s="336"/>
      <c r="L40" s="336"/>
      <c r="M40" s="339"/>
      <c r="N40" s="336"/>
      <c r="O40" s="413">
        <f t="shared" si="0"/>
        <v>-3690</v>
      </c>
      <c r="P40" s="339"/>
      <c r="Q40" s="336"/>
      <c r="R40" s="499"/>
      <c r="S40" s="336"/>
      <c r="T40" s="500"/>
      <c r="U40" s="336"/>
      <c r="V40" s="329"/>
      <c r="W40" s="501"/>
      <c r="X40" s="329"/>
      <c r="Y40" s="502"/>
      <c r="Z40" s="502"/>
      <c r="AA40" s="502"/>
      <c r="AB40" s="502"/>
      <c r="AC40" s="502"/>
    </row>
    <row r="41" spans="1:29">
      <c r="A41" s="338"/>
      <c r="B41" s="413" t="str">
        <f>SUMMARY!AK3</f>
        <v>YENMIX 123 (20.00KG)</v>
      </c>
      <c r="C41" s="338" t="s">
        <v>346</v>
      </c>
      <c r="D41" s="336">
        <f>SUMMARY!AK81</f>
        <v>4000</v>
      </c>
      <c r="E41" s="336">
        <f>SUMMARY!AK82</f>
        <v>0</v>
      </c>
      <c r="F41" s="336">
        <f>SUMMARY!AK83</f>
        <v>0</v>
      </c>
      <c r="G41" s="336">
        <f>SUMMARY!AK84</f>
        <v>0</v>
      </c>
      <c r="H41" s="336">
        <f>SUMMARY!AK85</f>
        <v>4000</v>
      </c>
      <c r="I41" s="336"/>
      <c r="J41" s="336"/>
      <c r="K41" s="336"/>
      <c r="L41" s="336"/>
      <c r="M41" s="339"/>
      <c r="N41" s="336"/>
      <c r="O41" s="413">
        <f t="shared" si="0"/>
        <v>-4000</v>
      </c>
      <c r="P41" s="339"/>
      <c r="Q41" s="336"/>
      <c r="R41" s="499"/>
      <c r="S41" s="336"/>
      <c r="T41" s="500"/>
      <c r="U41" s="336"/>
      <c r="V41" s="329"/>
      <c r="W41" s="501"/>
      <c r="X41" s="329"/>
      <c r="Y41" s="502"/>
      <c r="Z41" s="502"/>
      <c r="AA41" s="502"/>
      <c r="AB41" s="502"/>
      <c r="AC41" s="502"/>
    </row>
    <row r="42" spans="1:29">
      <c r="A42" s="338"/>
      <c r="B42" s="413">
        <f>SUMMARY!AL3</f>
        <v>1</v>
      </c>
      <c r="C42" s="338" t="s">
        <v>346</v>
      </c>
      <c r="D42" s="336">
        <f>SUMMARY!AL81</f>
        <v>0</v>
      </c>
      <c r="E42" s="336">
        <f>SUMMARY!AL82</f>
        <v>0</v>
      </c>
      <c r="F42" s="336">
        <f>SUMMARY!AL83</f>
        <v>0</v>
      </c>
      <c r="G42" s="336">
        <f>SUMMARY!AL84</f>
        <v>0</v>
      </c>
      <c r="H42" s="336">
        <f>SUMMARY!AL85</f>
        <v>0</v>
      </c>
      <c r="I42" s="336"/>
      <c r="J42" s="336"/>
      <c r="K42" s="336"/>
      <c r="L42" s="336"/>
      <c r="M42" s="339"/>
      <c r="N42" s="336"/>
      <c r="O42" s="413">
        <f t="shared" si="0"/>
        <v>0</v>
      </c>
      <c r="P42" s="339"/>
      <c r="Q42" s="336"/>
      <c r="R42" s="336"/>
      <c r="S42" s="336"/>
      <c r="T42" s="336"/>
      <c r="U42" s="336"/>
      <c r="V42" s="329"/>
      <c r="W42" s="501"/>
      <c r="X42" s="329"/>
      <c r="Y42" s="502"/>
      <c r="Z42" s="502"/>
      <c r="AA42" s="502"/>
      <c r="AB42" s="502"/>
      <c r="AC42" s="502"/>
    </row>
    <row r="43" spans="1:29">
      <c r="A43" s="338"/>
      <c r="B43" s="413">
        <f>SUMMARY!AM3</f>
        <v>2</v>
      </c>
      <c r="C43" s="338" t="s">
        <v>346</v>
      </c>
      <c r="D43" s="336">
        <f>SUMMARY!AM81</f>
        <v>0</v>
      </c>
      <c r="E43" s="336">
        <f>SUMMARY!AM82</f>
        <v>0</v>
      </c>
      <c r="F43" s="336">
        <f>SUMMARY!AM83</f>
        <v>0</v>
      </c>
      <c r="G43" s="336">
        <f>SUMMARY!AM84</f>
        <v>0</v>
      </c>
      <c r="H43" s="336">
        <f>SUMMARY!AM85</f>
        <v>0</v>
      </c>
      <c r="I43" s="336"/>
      <c r="J43" s="336"/>
      <c r="K43" s="336"/>
      <c r="L43" s="336"/>
      <c r="M43" s="339"/>
      <c r="N43" s="336"/>
      <c r="O43" s="413">
        <f t="shared" si="0"/>
        <v>0</v>
      </c>
      <c r="P43" s="339"/>
      <c r="Q43" s="336"/>
      <c r="R43" s="336"/>
      <c r="S43" s="336"/>
      <c r="T43" s="336"/>
      <c r="U43" s="336"/>
      <c r="V43" s="329"/>
      <c r="W43" s="501"/>
      <c r="X43" s="329"/>
      <c r="Y43" s="502"/>
      <c r="Z43" s="502"/>
      <c r="AA43" s="502"/>
      <c r="AB43" s="502"/>
      <c r="AC43" s="502"/>
    </row>
    <row r="44" spans="1:29">
      <c r="A44" s="338"/>
      <c r="B44" s="413">
        <f>SUMMARY!AN3</f>
        <v>3</v>
      </c>
      <c r="C44" s="338" t="s">
        <v>346</v>
      </c>
      <c r="D44" s="336">
        <f>SUMMARY!AN81</f>
        <v>0</v>
      </c>
      <c r="E44" s="336">
        <f>SUMMARY!AN82</f>
        <v>0</v>
      </c>
      <c r="F44" s="336">
        <f>SUMMARY!AN83</f>
        <v>0</v>
      </c>
      <c r="G44" s="336">
        <f>SUMMARY!AN84</f>
        <v>0</v>
      </c>
      <c r="H44" s="336">
        <f>SUMMARY!AN85</f>
        <v>-18</v>
      </c>
      <c r="I44" s="336"/>
      <c r="J44" s="336"/>
      <c r="K44" s="336"/>
      <c r="L44" s="336"/>
      <c r="M44" s="339"/>
      <c r="N44" s="336"/>
      <c r="O44" s="413">
        <f t="shared" si="0"/>
        <v>18</v>
      </c>
      <c r="P44" s="339"/>
      <c r="Q44" s="336"/>
      <c r="R44" s="336"/>
      <c r="S44" s="336"/>
      <c r="T44" s="336"/>
      <c r="U44" s="336"/>
      <c r="V44" s="329"/>
      <c r="W44" s="501"/>
      <c r="X44" s="329"/>
      <c r="Y44" s="502"/>
      <c r="Z44" s="502"/>
      <c r="AA44" s="502"/>
      <c r="AB44" s="502"/>
      <c r="AC44" s="502"/>
    </row>
    <row r="45" spans="1:29">
      <c r="A45" s="338"/>
      <c r="B45" s="413" t="str">
        <f>SUMMARY!AO3</f>
        <v>TOXISORB PREMIUM</v>
      </c>
      <c r="C45" s="338" t="s">
        <v>346</v>
      </c>
      <c r="D45" s="336">
        <f>SUMMARY!AO81</f>
        <v>1625</v>
      </c>
      <c r="E45" s="336">
        <f>SUMMARY!AO82</f>
        <v>0</v>
      </c>
      <c r="F45" s="336">
        <f>SUMMARY!AO83</f>
        <v>0</v>
      </c>
      <c r="G45" s="336">
        <f>SUMMARY!AO84</f>
        <v>0</v>
      </c>
      <c r="H45" s="336">
        <f>SUMMARY!AO85</f>
        <v>1559</v>
      </c>
      <c r="I45" s="336"/>
      <c r="J45" s="336"/>
      <c r="K45" s="336"/>
      <c r="L45" s="336"/>
      <c r="M45" s="339"/>
      <c r="N45" s="336"/>
      <c r="O45" s="413">
        <f t="shared" si="0"/>
        <v>-1559</v>
      </c>
      <c r="P45" s="339"/>
      <c r="Q45" s="336"/>
      <c r="R45" s="499"/>
      <c r="S45" s="336"/>
      <c r="T45" s="500"/>
      <c r="U45" s="336"/>
      <c r="V45" s="329"/>
      <c r="W45" s="501"/>
      <c r="X45" s="329"/>
      <c r="Y45" s="502"/>
      <c r="Z45" s="502"/>
      <c r="AA45" s="502"/>
      <c r="AB45" s="502"/>
      <c r="AC45" s="502"/>
    </row>
    <row r="46" spans="1:29">
      <c r="A46" s="338"/>
      <c r="B46" s="413" t="str">
        <f>SUMMARY!AP3</f>
        <v>SODIUM HUMATE 3.8% (HARUMI)</v>
      </c>
      <c r="C46" s="338" t="s">
        <v>346</v>
      </c>
      <c r="D46" s="336">
        <f>SUMMARY!AP81</f>
        <v>0</v>
      </c>
      <c r="E46" s="336">
        <f>SUMMARY!AP82</f>
        <v>0</v>
      </c>
      <c r="F46" s="336">
        <f>SUMMARY!AP83</f>
        <v>0</v>
      </c>
      <c r="G46" s="336">
        <f>SUMMARY!AP84</f>
        <v>0</v>
      </c>
      <c r="H46" s="336">
        <f>SUMMARY!AP85</f>
        <v>0</v>
      </c>
      <c r="I46" s="336"/>
      <c r="J46" s="336"/>
      <c r="K46" s="336"/>
      <c r="L46" s="336"/>
      <c r="M46" s="339"/>
      <c r="N46" s="336"/>
      <c r="O46" s="413">
        <f t="shared" si="0"/>
        <v>0</v>
      </c>
      <c r="P46" s="339"/>
      <c r="Q46" s="336"/>
      <c r="R46" s="499"/>
      <c r="S46" s="336"/>
      <c r="T46" s="500"/>
      <c r="U46" s="336"/>
      <c r="V46" s="329"/>
      <c r="W46" s="501"/>
      <c r="X46" s="329"/>
      <c r="Y46" s="502"/>
      <c r="Z46" s="502"/>
      <c r="AA46" s="502"/>
      <c r="AB46" s="502"/>
      <c r="AC46" s="502"/>
    </row>
    <row r="47" spans="1:29">
      <c r="A47" s="338"/>
      <c r="B47" s="413" t="s">
        <v>41</v>
      </c>
      <c r="C47" s="338"/>
      <c r="D47" s="336"/>
      <c r="E47" s="336"/>
      <c r="F47" s="336"/>
      <c r="G47" s="336"/>
      <c r="H47" s="336"/>
      <c r="I47" s="336"/>
      <c r="J47" s="336"/>
      <c r="K47" s="336"/>
      <c r="L47" s="336"/>
      <c r="M47" s="339"/>
      <c r="N47" s="336"/>
      <c r="O47" s="413"/>
      <c r="P47" s="339"/>
      <c r="Q47" s="336"/>
      <c r="R47" s="499"/>
      <c r="S47" s="336"/>
      <c r="T47" s="500"/>
      <c r="U47" s="336"/>
      <c r="V47" s="329"/>
      <c r="W47" s="501"/>
      <c r="X47" s="329"/>
      <c r="Y47" s="502"/>
      <c r="Z47" s="502"/>
      <c r="AA47" s="502"/>
      <c r="AB47" s="502"/>
      <c r="AC47" s="502"/>
    </row>
    <row r="48" spans="1:29">
      <c r="A48" s="338"/>
      <c r="B48" s="413" t="str">
        <f>SUMMARY!AR3</f>
        <v>SODIUM BICARBONATE</v>
      </c>
      <c r="C48" s="338" t="s">
        <v>346</v>
      </c>
      <c r="D48" s="336">
        <f>SUMMARY!AR81</f>
        <v>3111.9999999999995</v>
      </c>
      <c r="E48" s="336">
        <f>SUMMARY!AR82</f>
        <v>0</v>
      </c>
      <c r="F48" s="336">
        <f>SUMMARY!AR83</f>
        <v>0</v>
      </c>
      <c r="G48" s="336">
        <f>SUMMARY!AR84</f>
        <v>0</v>
      </c>
      <c r="H48" s="336">
        <f>SUMMARY!AR85</f>
        <v>3111.9999999999995</v>
      </c>
      <c r="I48" s="336"/>
      <c r="J48" s="336"/>
      <c r="K48" s="336"/>
      <c r="L48" s="336"/>
      <c r="M48" s="339"/>
      <c r="N48" s="336"/>
      <c r="O48" s="413"/>
      <c r="P48" s="339"/>
      <c r="Q48" s="336"/>
      <c r="R48" s="499"/>
      <c r="S48" s="336"/>
      <c r="T48" s="500"/>
      <c r="U48" s="336"/>
      <c r="V48" s="329"/>
      <c r="W48" s="501"/>
      <c r="X48" s="329"/>
      <c r="Y48" s="502"/>
      <c r="Z48" s="502"/>
      <c r="AA48" s="502"/>
      <c r="AB48" s="502"/>
      <c r="AC48" s="502"/>
    </row>
    <row r="49" spans="1:29">
      <c r="A49" s="338"/>
      <c r="B49" s="413" t="str">
        <f>SUMMARY!AS3</f>
        <v>BMD 10%</v>
      </c>
      <c r="C49" s="338" t="s">
        <v>346</v>
      </c>
      <c r="D49" s="336">
        <f>SUMMARY!AS81</f>
        <v>1680.5</v>
      </c>
      <c r="E49" s="336">
        <f>SUMMARY!AS82</f>
        <v>0</v>
      </c>
      <c r="F49" s="336">
        <f>SUMMARY!AS83</f>
        <v>0</v>
      </c>
      <c r="G49" s="336">
        <f>SUMMARY!AS84</f>
        <v>0</v>
      </c>
      <c r="H49" s="336">
        <f>SUMMARY!AS85</f>
        <v>1680.5</v>
      </c>
      <c r="I49" s="336"/>
      <c r="J49" s="336"/>
      <c r="K49" s="336"/>
      <c r="L49" s="336"/>
      <c r="M49" s="339"/>
      <c r="N49" s="336"/>
      <c r="O49" s="413">
        <f t="shared" si="0"/>
        <v>-1680.5</v>
      </c>
      <c r="P49" s="339"/>
      <c r="Q49" s="336"/>
      <c r="R49" s="499"/>
      <c r="S49" s="336"/>
      <c r="T49" s="500"/>
      <c r="U49" s="336"/>
      <c r="V49" s="329"/>
      <c r="W49" s="501"/>
      <c r="X49" s="329"/>
      <c r="Y49" s="502"/>
      <c r="Z49" s="502"/>
      <c r="AA49" s="502"/>
      <c r="AB49" s="502"/>
      <c r="AC49" s="502"/>
    </row>
    <row r="50" spans="1:29">
      <c r="A50" s="338"/>
      <c r="B50" s="413" t="str">
        <f>SUMMARY!AT3</f>
        <v>SALT (HARUMI)</v>
      </c>
      <c r="C50" s="338" t="s">
        <v>346</v>
      </c>
      <c r="D50" s="336">
        <f>SUMMARY!AT81</f>
        <v>0</v>
      </c>
      <c r="E50" s="336">
        <f>SUMMARY!AT82</f>
        <v>0</v>
      </c>
      <c r="F50" s="336">
        <f>SUMMARY!AT83</f>
        <v>0</v>
      </c>
      <c r="G50" s="336">
        <f>SUMMARY!AT84</f>
        <v>0</v>
      </c>
      <c r="H50" s="336">
        <f>SUMMARY!AT85</f>
        <v>0</v>
      </c>
      <c r="I50" s="336"/>
      <c r="J50" s="336"/>
      <c r="K50" s="336"/>
      <c r="L50" s="336"/>
      <c r="M50" s="339"/>
      <c r="N50" s="336"/>
      <c r="O50" s="413">
        <f t="shared" si="0"/>
        <v>0</v>
      </c>
      <c r="P50" s="339"/>
      <c r="Q50" s="336"/>
      <c r="R50" s="499"/>
      <c r="S50" s="336"/>
      <c r="T50" s="500"/>
      <c r="U50" s="336"/>
      <c r="V50" s="329"/>
      <c r="W50" s="501"/>
      <c r="X50" s="329"/>
      <c r="Y50" s="502"/>
      <c r="Z50" s="502"/>
      <c r="AA50" s="502"/>
      <c r="AB50" s="502"/>
      <c r="AC50" s="502"/>
    </row>
    <row r="51" spans="1:29">
      <c r="A51" s="338"/>
      <c r="B51" s="413" t="str">
        <f>SUMMARY!AU3</f>
        <v>VISTABET 91</v>
      </c>
      <c r="C51" s="338" t="s">
        <v>346</v>
      </c>
      <c r="D51" s="336">
        <f>SUMMARY!AU81</f>
        <v>1482</v>
      </c>
      <c r="E51" s="336">
        <f>SUMMARY!AU82</f>
        <v>0</v>
      </c>
      <c r="F51" s="336">
        <f>SUMMARY!AU83</f>
        <v>0</v>
      </c>
      <c r="G51" s="336">
        <f>SUMMARY!AU84</f>
        <v>0</v>
      </c>
      <c r="H51" s="336">
        <f>SUMMARY!AU85</f>
        <v>1482</v>
      </c>
      <c r="I51" s="336"/>
      <c r="J51" s="336"/>
      <c r="K51" s="336"/>
      <c r="L51" s="336"/>
      <c r="M51" s="339"/>
      <c r="N51" s="336"/>
      <c r="O51" s="413">
        <f t="shared" si="0"/>
        <v>-1482</v>
      </c>
      <c r="P51" s="339"/>
      <c r="Q51" s="336"/>
      <c r="R51" s="499"/>
      <c r="S51" s="336"/>
      <c r="T51" s="500"/>
      <c r="U51" s="336"/>
      <c r="V51" s="329"/>
      <c r="W51" s="501"/>
      <c r="X51" s="329"/>
      <c r="Y51" s="502"/>
      <c r="Z51" s="502"/>
      <c r="AA51" s="502"/>
      <c r="AB51" s="502"/>
      <c r="AC51" s="502"/>
    </row>
    <row r="52" spans="1:29">
      <c r="A52" s="338"/>
      <c r="B52" s="413" t="str">
        <f>SUMMARY!AV3</f>
        <v>BETAFIN</v>
      </c>
      <c r="C52" s="338" t="s">
        <v>346</v>
      </c>
      <c r="D52" s="336">
        <f>SUMMARY!AV81</f>
        <v>0</v>
      </c>
      <c r="E52" s="336">
        <f>SUMMARY!AV82</f>
        <v>0</v>
      </c>
      <c r="F52" s="336">
        <f>SUMMARY!AV83</f>
        <v>0</v>
      </c>
      <c r="G52" s="336">
        <f>SUMMARY!AV84</f>
        <v>0</v>
      </c>
      <c r="H52" s="336">
        <f>SUMMARY!AV85</f>
        <v>0</v>
      </c>
      <c r="I52" s="336"/>
      <c r="J52" s="336"/>
      <c r="K52" s="336"/>
      <c r="L52" s="336"/>
      <c r="M52" s="339"/>
      <c r="N52" s="336"/>
      <c r="O52" s="413">
        <f t="shared" si="0"/>
        <v>0</v>
      </c>
      <c r="P52" s="339"/>
      <c r="Q52" s="336"/>
      <c r="R52" s="499"/>
      <c r="S52" s="336"/>
      <c r="T52" s="500"/>
      <c r="U52" s="336"/>
      <c r="V52" s="329"/>
      <c r="W52" s="501"/>
      <c r="X52" s="329"/>
      <c r="Y52" s="502"/>
      <c r="Z52" s="502"/>
      <c r="AA52" s="502"/>
      <c r="AB52" s="502"/>
      <c r="AC52" s="502"/>
    </row>
    <row r="53" spans="1:29">
      <c r="A53" s="338"/>
      <c r="B53" s="413" t="str">
        <f>SUMMARY!AW3</f>
        <v>8101 TOP UP</v>
      </c>
      <c r="C53" s="338" t="s">
        <v>346</v>
      </c>
      <c r="D53" s="336">
        <f>SUMMARY!AW81</f>
        <v>100</v>
      </c>
      <c r="E53" s="336">
        <f>SUMMARY!AW82</f>
        <v>0</v>
      </c>
      <c r="F53" s="336">
        <f>SUMMARY!AW83</f>
        <v>0</v>
      </c>
      <c r="G53" s="336">
        <f>SUMMARY!AW84</f>
        <v>0</v>
      </c>
      <c r="H53" s="336">
        <f>SUMMARY!AW85</f>
        <v>100</v>
      </c>
      <c r="I53" s="336"/>
      <c r="J53" s="336"/>
      <c r="K53" s="336"/>
      <c r="L53" s="336"/>
      <c r="M53" s="339"/>
      <c r="N53" s="336"/>
      <c r="O53" s="413">
        <f t="shared" si="0"/>
        <v>-100</v>
      </c>
      <c r="P53" s="339"/>
      <c r="Q53" s="336"/>
      <c r="R53" s="499"/>
      <c r="S53" s="336"/>
      <c r="T53" s="500"/>
      <c r="U53" s="336"/>
      <c r="V53" s="329"/>
      <c r="W53" s="501"/>
      <c r="X53" s="329"/>
      <c r="Y53" s="502"/>
      <c r="Z53" s="502"/>
      <c r="AA53" s="502"/>
      <c r="AB53" s="502"/>
      <c r="AC53" s="502"/>
    </row>
    <row r="54" spans="1:29">
      <c r="A54" s="338"/>
      <c r="B54" s="413" t="str">
        <f>SUMMARY!AX3</f>
        <v>NORPONIN X03 (8102 TOP UP)</v>
      </c>
      <c r="C54" s="338" t="s">
        <v>346</v>
      </c>
      <c r="D54" s="336">
        <f>SUMMARY!AX81</f>
        <v>13.960000000000036</v>
      </c>
      <c r="E54" s="336">
        <f>SUMMARY!AX82</f>
        <v>0</v>
      </c>
      <c r="F54" s="336">
        <f>SUMMARY!AX83</f>
        <v>0</v>
      </c>
      <c r="G54" s="336">
        <f>SUMMARY!AX84</f>
        <v>0</v>
      </c>
      <c r="H54" s="336">
        <f>SUMMARY!AX85</f>
        <v>13.960000000000036</v>
      </c>
      <c r="I54" s="336"/>
      <c r="J54" s="336"/>
      <c r="K54" s="336"/>
      <c r="L54" s="336"/>
      <c r="M54" s="339"/>
      <c r="N54" s="336"/>
      <c r="O54" s="413">
        <f t="shared" si="0"/>
        <v>-13.960000000000036</v>
      </c>
      <c r="P54" s="339"/>
      <c r="Q54" s="336"/>
      <c r="R54" s="499"/>
      <c r="S54" s="336"/>
      <c r="T54" s="500"/>
      <c r="U54" s="336"/>
      <c r="V54" s="329"/>
      <c r="W54" s="501"/>
      <c r="X54" s="329"/>
      <c r="Y54" s="502"/>
      <c r="Z54" s="502"/>
      <c r="AA54" s="502"/>
      <c r="AB54" s="502"/>
      <c r="AC54" s="502"/>
    </row>
    <row r="55" spans="1:29">
      <c r="A55" s="338"/>
      <c r="B55" s="413" t="str">
        <f>SUMMARY!AY3</f>
        <v>8102 TOP UP (4KG)</v>
      </c>
      <c r="C55" s="338" t="s">
        <v>346</v>
      </c>
      <c r="D55" s="336">
        <f>SUMMARY!AY81</f>
        <v>548</v>
      </c>
      <c r="E55" s="336">
        <f>SUMMARY!AY82</f>
        <v>0</v>
      </c>
      <c r="F55" s="336">
        <f>SUMMARY!AY83</f>
        <v>0</v>
      </c>
      <c r="G55" s="336">
        <f>SUMMARY!AY84</f>
        <v>0</v>
      </c>
      <c r="H55" s="336">
        <f>SUMMARY!AY85</f>
        <v>548</v>
      </c>
      <c r="I55" s="336"/>
      <c r="J55" s="336"/>
      <c r="K55" s="336"/>
      <c r="L55" s="336"/>
      <c r="M55" s="339"/>
      <c r="N55" s="336"/>
      <c r="O55" s="413">
        <f t="shared" si="0"/>
        <v>-548</v>
      </c>
      <c r="P55" s="339"/>
      <c r="Q55" s="336"/>
      <c r="R55" s="499"/>
      <c r="S55" s="336"/>
      <c r="T55" s="500"/>
      <c r="U55" s="336"/>
      <c r="V55" s="329"/>
      <c r="W55" s="501"/>
      <c r="X55" s="329"/>
      <c r="Y55" s="502"/>
      <c r="Z55" s="502"/>
      <c r="AA55" s="502"/>
      <c r="AB55" s="502"/>
      <c r="AC55" s="502"/>
    </row>
    <row r="56" spans="1:29">
      <c r="A56" s="338"/>
      <c r="B56" s="413" t="str">
        <f>SUMMARY!AZ3</f>
        <v>8103 TOP UP (5KG)</v>
      </c>
      <c r="C56" s="338" t="s">
        <v>346</v>
      </c>
      <c r="D56" s="336">
        <f>SUMMARY!AZ81</f>
        <v>0</v>
      </c>
      <c r="E56" s="336">
        <f>SUMMARY!AZ82</f>
        <v>0</v>
      </c>
      <c r="F56" s="336">
        <f>SUMMARY!AZ83</f>
        <v>0</v>
      </c>
      <c r="G56" s="336">
        <f>SUMMARY!AZ84</f>
        <v>0</v>
      </c>
      <c r="H56" s="336">
        <f>SUMMARY!AZ85</f>
        <v>0</v>
      </c>
      <c r="I56" s="336"/>
      <c r="J56" s="336"/>
      <c r="K56" s="336"/>
      <c r="L56" s="336"/>
      <c r="M56" s="339"/>
      <c r="N56" s="336"/>
      <c r="O56" s="413">
        <f t="shared" si="0"/>
        <v>0</v>
      </c>
      <c r="P56" s="339"/>
      <c r="Q56" s="336"/>
      <c r="R56" s="499"/>
      <c r="S56" s="336"/>
      <c r="T56" s="500"/>
      <c r="U56" s="336"/>
      <c r="V56" s="329"/>
      <c r="W56" s="501"/>
      <c r="X56" s="329"/>
      <c r="Y56" s="502"/>
      <c r="Z56" s="502"/>
      <c r="AA56" s="502"/>
      <c r="AB56" s="502"/>
      <c r="AC56" s="502"/>
    </row>
    <row r="57" spans="1:29">
      <c r="A57" s="338"/>
      <c r="B57" s="413" t="str">
        <f>SUMMARY!BA3</f>
        <v>L-ARGININE</v>
      </c>
      <c r="C57" s="338" t="s">
        <v>346</v>
      </c>
      <c r="D57" s="336">
        <f>SUMMARY!BA81</f>
        <v>0</v>
      </c>
      <c r="E57" s="336">
        <f>SUMMARY!BA82</f>
        <v>0</v>
      </c>
      <c r="F57" s="336">
        <f>SUMMARY!BA83</f>
        <v>0</v>
      </c>
      <c r="G57" s="336">
        <f>SUMMARY!BA84</f>
        <v>0</v>
      </c>
      <c r="H57" s="336">
        <f>SUMMARY!BA85</f>
        <v>0</v>
      </c>
      <c r="I57" s="336"/>
      <c r="J57" s="336"/>
      <c r="K57" s="336"/>
      <c r="L57" s="336"/>
      <c r="M57" s="339"/>
      <c r="N57" s="336"/>
      <c r="O57" s="413"/>
      <c r="P57" s="339"/>
      <c r="Q57" s="336"/>
      <c r="R57" s="499"/>
      <c r="S57" s="336"/>
      <c r="T57" s="500"/>
      <c r="U57" s="336"/>
      <c r="V57" s="329"/>
      <c r="W57" s="501"/>
      <c r="X57" s="329"/>
      <c r="Y57" s="502"/>
      <c r="Z57" s="502"/>
      <c r="AA57" s="502"/>
      <c r="AB57" s="502"/>
      <c r="AC57" s="502"/>
    </row>
    <row r="58" spans="1:29">
      <c r="A58" s="338"/>
      <c r="B58" s="413" t="str">
        <f>SUMMARY!BB3</f>
        <v>DL-METHIONINE</v>
      </c>
      <c r="C58" s="338" t="s">
        <v>346</v>
      </c>
      <c r="D58" s="336">
        <f>SUMMARY!BB81</f>
        <v>147.04000000000002</v>
      </c>
      <c r="E58" s="336">
        <f>SUMMARY!BB82</f>
        <v>0</v>
      </c>
      <c r="F58" s="336">
        <f>SUMMARY!BB83</f>
        <v>0</v>
      </c>
      <c r="G58" s="336">
        <f>SUMMARY!BB84</f>
        <v>0</v>
      </c>
      <c r="H58" s="336">
        <f>SUMMARY!BB85</f>
        <v>147.04000000000002</v>
      </c>
      <c r="I58" s="336"/>
      <c r="J58" s="336"/>
      <c r="K58" s="336"/>
      <c r="L58" s="336"/>
      <c r="M58" s="339"/>
      <c r="N58" s="336"/>
      <c r="O58" s="413"/>
      <c r="P58" s="339"/>
      <c r="Q58" s="336"/>
      <c r="R58" s="499"/>
      <c r="S58" s="336"/>
      <c r="T58" s="500"/>
      <c r="U58" s="336"/>
      <c r="V58" s="329"/>
      <c r="W58" s="501"/>
      <c r="X58" s="329"/>
      <c r="Y58" s="502"/>
      <c r="Z58" s="502"/>
      <c r="AA58" s="502"/>
      <c r="AB58" s="502"/>
      <c r="AC58" s="502"/>
    </row>
    <row r="59" spans="1:29">
      <c r="A59" s="338"/>
      <c r="B59" s="413" t="str">
        <f>SUMMARY!BC3</f>
        <v>L-THREONINE</v>
      </c>
      <c r="C59" s="338" t="s">
        <v>346</v>
      </c>
      <c r="D59" s="336">
        <f>SUMMARY!BC81</f>
        <v>46.8</v>
      </c>
      <c r="E59" s="336">
        <f>SUMMARY!BC82</f>
        <v>0</v>
      </c>
      <c r="F59" s="336">
        <f>SUMMARY!BC83</f>
        <v>0</v>
      </c>
      <c r="G59" s="336">
        <f>SUMMARY!BD84</f>
        <v>0</v>
      </c>
      <c r="H59" s="336">
        <f>SUMMARY!BC85</f>
        <v>46.8</v>
      </c>
      <c r="I59" s="336"/>
      <c r="J59" s="336"/>
      <c r="K59" s="336"/>
      <c r="L59" s="336"/>
      <c r="M59" s="339"/>
      <c r="N59" s="303"/>
      <c r="O59" s="303"/>
      <c r="P59" s="339"/>
      <c r="Q59" s="336"/>
      <c r="R59" s="499"/>
      <c r="S59" s="336"/>
      <c r="T59" s="500"/>
      <c r="U59" s="336"/>
      <c r="V59" s="329"/>
      <c r="W59" s="329"/>
      <c r="X59" s="329"/>
      <c r="Y59" s="329"/>
      <c r="Z59" s="329"/>
      <c r="AA59" s="329"/>
      <c r="AB59" s="329"/>
      <c r="AC59" s="329"/>
    </row>
    <row r="60" spans="1:29">
      <c r="A60" s="338"/>
      <c r="B60" s="413" t="str">
        <f>SUMMARY!BD3</f>
        <v>L-LYSINE</v>
      </c>
      <c r="C60" s="338" t="s">
        <v>346</v>
      </c>
      <c r="D60" s="356">
        <f>SUMMARY!BD81</f>
        <v>0</v>
      </c>
      <c r="E60" s="356">
        <f>SUMMARY!BD82</f>
        <v>0</v>
      </c>
      <c r="F60" s="356">
        <f>SUMMARY!BD83</f>
        <v>0</v>
      </c>
      <c r="G60" s="356">
        <f>SUMMARY!BD84</f>
        <v>0</v>
      </c>
      <c r="H60" s="356">
        <f>SUMMARY!BD85</f>
        <v>0</v>
      </c>
      <c r="I60" s="336"/>
      <c r="J60" s="336"/>
      <c r="K60" s="356"/>
      <c r="L60" s="336"/>
      <c r="M60" s="339"/>
      <c r="N60" s="303"/>
      <c r="O60" s="303"/>
      <c r="P60" s="339"/>
      <c r="Q60" s="336"/>
      <c r="R60" s="499"/>
      <c r="S60" s="336"/>
      <c r="T60" s="500"/>
      <c r="U60" s="336"/>
      <c r="V60" s="329"/>
      <c r="W60" s="329"/>
      <c r="X60" s="329"/>
      <c r="Y60" s="329"/>
      <c r="Z60" s="329"/>
      <c r="AA60" s="329"/>
      <c r="AB60" s="329"/>
      <c r="AC60" s="329"/>
    </row>
    <row r="61" spans="1:29">
      <c r="A61" s="338"/>
      <c r="B61" s="413" t="str">
        <f>SUMMARY!BE3</f>
        <v>FAECES DRY</v>
      </c>
      <c r="C61" s="338" t="s">
        <v>346</v>
      </c>
      <c r="D61" s="356">
        <f>SUMMARY!BE81</f>
        <v>24.200000000000003</v>
      </c>
      <c r="E61" s="356">
        <f>SUMMARY!BE82</f>
        <v>0</v>
      </c>
      <c r="F61" s="356">
        <f>SUMMARY!BE83</f>
        <v>0</v>
      </c>
      <c r="G61" s="356">
        <f>SUMMARY!BE84</f>
        <v>0</v>
      </c>
      <c r="H61" s="356">
        <f>SUMMARY!BE85</f>
        <v>24.200000000000003</v>
      </c>
      <c r="I61" s="336"/>
      <c r="J61" s="336"/>
      <c r="K61" s="356"/>
      <c r="L61" s="336"/>
      <c r="M61" s="339"/>
      <c r="N61" s="303"/>
      <c r="O61" s="303"/>
      <c r="P61" s="339"/>
      <c r="Q61" s="336"/>
      <c r="R61" s="499"/>
      <c r="S61" s="336"/>
      <c r="T61" s="500"/>
      <c r="U61" s="336"/>
      <c r="V61" s="329"/>
      <c r="W61" s="329"/>
      <c r="X61" s="329"/>
      <c r="Y61" s="329"/>
      <c r="Z61" s="329"/>
      <c r="AA61" s="329"/>
      <c r="AB61" s="329"/>
      <c r="AC61" s="329"/>
    </row>
    <row r="62" spans="1:29">
      <c r="A62" s="338"/>
      <c r="B62" s="413"/>
      <c r="C62" s="338"/>
      <c r="D62" s="356"/>
      <c r="E62" s="356"/>
      <c r="F62" s="356"/>
      <c r="G62" s="356"/>
      <c r="H62" s="356"/>
      <c r="I62" s="336"/>
      <c r="J62" s="336"/>
      <c r="K62" s="356"/>
      <c r="L62" s="336"/>
      <c r="M62" s="339"/>
      <c r="N62" s="303"/>
      <c r="O62" s="303"/>
      <c r="P62" s="339"/>
      <c r="Q62" s="336"/>
      <c r="R62" s="499"/>
      <c r="S62" s="336"/>
      <c r="T62" s="500"/>
      <c r="U62" s="336"/>
      <c r="V62" s="329"/>
      <c r="W62" s="329"/>
      <c r="X62" s="329"/>
      <c r="Y62" s="329"/>
      <c r="Z62" s="329"/>
      <c r="AA62" s="329"/>
      <c r="AB62" s="329"/>
      <c r="AC62" s="329"/>
    </row>
    <row r="63" spans="1:29">
      <c r="A63" s="338"/>
      <c r="B63" s="310" t="s">
        <v>348</v>
      </c>
      <c r="C63" s="338"/>
      <c r="D63" s="356"/>
      <c r="E63" s="356"/>
      <c r="F63" s="356"/>
      <c r="G63" s="356"/>
      <c r="H63" s="356"/>
      <c r="I63" s="336"/>
      <c r="J63" s="336"/>
      <c r="K63" s="356"/>
      <c r="L63" s="336"/>
      <c r="M63" s="339"/>
      <c r="N63" s="303"/>
      <c r="O63" s="303"/>
      <c r="P63" s="339"/>
      <c r="Q63" s="336"/>
      <c r="R63" s="499"/>
      <c r="S63" s="336"/>
      <c r="T63" s="500"/>
      <c r="U63" s="336"/>
      <c r="V63" s="329"/>
      <c r="W63" s="329"/>
      <c r="X63" s="329"/>
      <c r="Y63" s="329"/>
      <c r="Z63" s="329"/>
      <c r="AA63" s="329"/>
      <c r="AB63" s="329"/>
      <c r="AC63" s="329"/>
    </row>
    <row r="64" spans="1:29">
      <c r="A64" s="338"/>
      <c r="B64" s="413"/>
      <c r="C64" s="338" t="s">
        <v>349</v>
      </c>
      <c r="D64" s="356"/>
      <c r="E64" s="356"/>
      <c r="F64" s="356"/>
      <c r="G64" s="356"/>
      <c r="H64" s="356"/>
      <c r="I64" s="336"/>
      <c r="J64" s="336"/>
      <c r="K64" s="356"/>
      <c r="L64" s="336"/>
      <c r="M64" s="339"/>
      <c r="N64" s="303"/>
      <c r="O64" s="303"/>
      <c r="P64" s="339"/>
      <c r="Q64" s="336"/>
      <c r="R64" s="499"/>
      <c r="S64" s="336"/>
      <c r="T64" s="500"/>
      <c r="U64" s="336"/>
      <c r="V64" s="329"/>
      <c r="W64" s="329"/>
      <c r="X64" s="329"/>
      <c r="Y64" s="329"/>
      <c r="Z64" s="329"/>
      <c r="AA64" s="329"/>
      <c r="AB64" s="329"/>
      <c r="AC64" s="329"/>
    </row>
    <row r="65" spans="1:29">
      <c r="A65" s="338"/>
      <c r="B65" s="413"/>
      <c r="C65" s="338" t="s">
        <v>349</v>
      </c>
      <c r="D65" s="356"/>
      <c r="E65" s="356"/>
      <c r="F65" s="356"/>
      <c r="G65" s="356"/>
      <c r="H65" s="356"/>
      <c r="I65" s="336"/>
      <c r="J65" s="336"/>
      <c r="K65" s="356"/>
      <c r="L65" s="336"/>
      <c r="M65" s="339"/>
      <c r="N65" s="303"/>
      <c r="O65" s="303"/>
      <c r="P65" s="339"/>
      <c r="Q65" s="336"/>
      <c r="R65" s="499"/>
      <c r="S65" s="336"/>
      <c r="T65" s="500"/>
      <c r="U65" s="336"/>
      <c r="V65" s="329"/>
      <c r="W65" s="329"/>
      <c r="X65" s="329"/>
      <c r="Y65" s="329"/>
      <c r="Z65" s="329"/>
      <c r="AA65" s="329"/>
      <c r="AB65" s="329"/>
      <c r="AC65" s="329"/>
    </row>
    <row r="66" spans="1:29">
      <c r="A66" s="338"/>
      <c r="B66" s="413"/>
      <c r="C66" s="338"/>
      <c r="D66" s="356"/>
      <c r="E66" s="356"/>
      <c r="F66" s="356"/>
      <c r="G66" s="356"/>
      <c r="H66" s="356"/>
      <c r="I66" s="336"/>
      <c r="J66" s="336"/>
      <c r="K66" s="356"/>
      <c r="L66" s="336"/>
      <c r="M66" s="339"/>
      <c r="N66" s="303"/>
      <c r="O66" s="303"/>
      <c r="P66" s="339"/>
      <c r="Q66" s="336"/>
      <c r="R66" s="499"/>
      <c r="S66" s="336"/>
      <c r="T66" s="500"/>
      <c r="U66" s="336"/>
      <c r="V66" s="329"/>
      <c r="W66" s="329"/>
      <c r="X66" s="329"/>
      <c r="Y66" s="329"/>
      <c r="Z66" s="329"/>
      <c r="AA66" s="329"/>
      <c r="AB66" s="329"/>
      <c r="AC66" s="329"/>
    </row>
    <row r="67" spans="1:29">
      <c r="A67" s="338"/>
      <c r="B67" s="413"/>
      <c r="C67" s="338"/>
      <c r="D67" s="356"/>
      <c r="E67" s="356"/>
      <c r="F67" s="356"/>
      <c r="G67" s="356"/>
      <c r="H67" s="356"/>
      <c r="I67" s="336"/>
      <c r="J67" s="336"/>
      <c r="K67" s="356"/>
      <c r="L67" s="336"/>
      <c r="M67" s="339"/>
      <c r="N67" s="303"/>
      <c r="O67" s="303"/>
      <c r="P67" s="339"/>
      <c r="Q67" s="336"/>
      <c r="R67" s="499"/>
      <c r="S67" s="336"/>
      <c r="T67" s="500"/>
      <c r="U67" s="336"/>
      <c r="V67" s="329"/>
      <c r="W67" s="329"/>
      <c r="X67" s="329"/>
      <c r="Y67" s="329"/>
      <c r="Z67" s="329"/>
      <c r="AA67" s="329"/>
      <c r="AB67" s="329"/>
      <c r="AC67" s="329"/>
    </row>
    <row r="68" spans="1:29" ht="13.9" thickBot="1">
      <c r="A68" s="338"/>
      <c r="B68" s="302" t="s">
        <v>72</v>
      </c>
      <c r="C68" s="475"/>
      <c r="D68" s="506">
        <f>SUM(D4:D59)</f>
        <v>448183.06000000006</v>
      </c>
      <c r="E68" s="506">
        <f t="shared" ref="E68:H68" si="1">SUM(E4:E59)</f>
        <v>0</v>
      </c>
      <c r="F68" s="506">
        <f t="shared" si="1"/>
        <v>0</v>
      </c>
      <c r="G68" s="506">
        <f t="shared" si="1"/>
        <v>0</v>
      </c>
      <c r="H68" s="506">
        <f t="shared" si="1"/>
        <v>448099.06000000006</v>
      </c>
      <c r="I68" s="336"/>
      <c r="J68" s="336"/>
      <c r="K68" s="507">
        <f>SUM(K4:K59)</f>
        <v>0</v>
      </c>
      <c r="L68" s="508"/>
      <c r="M68" s="339"/>
      <c r="N68" s="303"/>
      <c r="O68" s="303"/>
      <c r="P68" s="339"/>
      <c r="Q68" s="336"/>
      <c r="R68" s="499"/>
      <c r="S68" s="336"/>
      <c r="T68" s="500"/>
      <c r="U68" s="336"/>
      <c r="V68" s="329"/>
      <c r="W68" s="329"/>
      <c r="X68" s="329"/>
      <c r="Y68" s="329"/>
      <c r="Z68" s="329"/>
      <c r="AA68" s="329"/>
      <c r="AB68" s="329"/>
      <c r="AC68" s="329"/>
    </row>
    <row r="69" spans="1:29">
      <c r="A69" s="496"/>
      <c r="B69" s="501"/>
      <c r="C69" s="473"/>
      <c r="D69" s="339"/>
      <c r="E69" s="339"/>
      <c r="F69" s="339"/>
      <c r="G69" s="339"/>
      <c r="H69" s="339"/>
      <c r="I69" s="339"/>
      <c r="J69" s="339"/>
      <c r="K69" s="339"/>
      <c r="L69" s="339"/>
      <c r="M69" s="339"/>
      <c r="N69" s="299"/>
      <c r="O69" s="299"/>
      <c r="P69" s="339"/>
      <c r="Q69" s="339"/>
      <c r="R69" s="509"/>
      <c r="S69" s="339"/>
      <c r="T69" s="510"/>
      <c r="U69" s="339"/>
      <c r="V69" s="329"/>
      <c r="W69" s="329"/>
      <c r="X69" s="329"/>
      <c r="Y69" s="329"/>
      <c r="Z69" s="329"/>
      <c r="AA69" s="329"/>
      <c r="AB69" s="329"/>
      <c r="AC69" s="329"/>
    </row>
    <row r="70" spans="1:29">
      <c r="A70" s="496"/>
      <c r="B70" s="501"/>
      <c r="C70" s="473"/>
      <c r="D70" s="339">
        <f>D68-SUM(SUMMARY!B81:AZ81)</f>
        <v>-933.1600000000326</v>
      </c>
      <c r="E70" s="339">
        <f>E779-SUM(SUMMARY!B82:AZ82)</f>
        <v>0</v>
      </c>
      <c r="F70" s="339">
        <f>F68-SUM(SUMMARY!B83:AZ83)</f>
        <v>0</v>
      </c>
      <c r="G70" s="339">
        <f>G68-SUM(SUMMARY!B84:AZ84)</f>
        <v>0</v>
      </c>
      <c r="H70" s="339">
        <f>H68-SUM(SUMMARY!B85:AZ85)</f>
        <v>-933.1600000000326</v>
      </c>
      <c r="I70" s="339"/>
      <c r="J70" s="339"/>
      <c r="K70" s="339"/>
      <c r="L70" s="339"/>
      <c r="M70" s="339"/>
      <c r="N70" s="299"/>
      <c r="O70" s="299"/>
      <c r="P70" s="339"/>
      <c r="Q70" s="339"/>
      <c r="R70" s="509"/>
      <c r="S70" s="339"/>
      <c r="T70" s="510"/>
      <c r="U70" s="339"/>
      <c r="V70" s="329"/>
      <c r="W70" s="329"/>
      <c r="X70" s="329"/>
      <c r="Y70" s="329"/>
      <c r="Z70" s="329"/>
      <c r="AA70" s="329"/>
      <c r="AB70" s="329"/>
      <c r="AC70" s="329"/>
    </row>
    <row r="71" spans="1:29">
      <c r="A71" s="496"/>
      <c r="B71" s="329"/>
      <c r="C71" s="496"/>
      <c r="D71" s="339"/>
      <c r="E71" s="339"/>
      <c r="F71" s="339"/>
      <c r="G71" s="339"/>
      <c r="H71" s="339"/>
      <c r="I71" s="339"/>
      <c r="J71" s="339"/>
      <c r="K71" s="339"/>
      <c r="L71" s="339"/>
      <c r="M71" s="339"/>
      <c r="N71" s="299"/>
      <c r="O71" s="299"/>
      <c r="P71" s="339"/>
      <c r="Q71" s="339"/>
      <c r="R71" s="509"/>
      <c r="S71" s="339"/>
      <c r="T71" s="510"/>
      <c r="U71" s="339"/>
      <c r="V71" s="329"/>
      <c r="W71" s="329"/>
      <c r="X71" s="329"/>
      <c r="Y71" s="329"/>
      <c r="Z71" s="329"/>
      <c r="AA71" s="329"/>
      <c r="AB71" s="329"/>
      <c r="AC71" s="329"/>
    </row>
  </sheetData>
  <autoFilter ref="A2:X71" xr:uid="{00000000-0009-0000-0000-00000F000000}"/>
  <mergeCells count="2">
    <mergeCell ref="J1:K1"/>
    <mergeCell ref="Q1:U1"/>
  </mergeCells>
  <printOptions horizontalCentered="1"/>
  <pageMargins left="0.39370078740157483" right="0.70866141732283472" top="0.70866141732283472" bottom="0.39370078740157483" header="0" footer="0"/>
  <pageSetup scale="2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D1B03A1BFCD34F8C3D85512F21D9F8" ma:contentTypeVersion="3" ma:contentTypeDescription="Create a new document." ma:contentTypeScope="" ma:versionID="e9ed0a9b9be6ef457915f007eb006591">
  <xsd:schema xmlns:xsd="http://www.w3.org/2001/XMLSchema" xmlns:xs="http://www.w3.org/2001/XMLSchema" xmlns:p="http://schemas.microsoft.com/office/2006/metadata/properties" xmlns:ns2="ef7feb77-2eff-4d3b-b840-6defd5b4db2d" targetNamespace="http://schemas.microsoft.com/office/2006/metadata/properties" ma:root="true" ma:fieldsID="0b7ac3589b43613ceb6c263239bd5593" ns2:_="">
    <xsd:import namespace="ef7feb77-2eff-4d3b-b840-6defd5b4db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feb77-2eff-4d3b-b840-6defd5b4db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D9A6E5-A3AC-4C66-B0AA-806A6959DA06}"/>
</file>

<file path=customXml/itemProps2.xml><?xml version="1.0" encoding="utf-8"?>
<ds:datastoreItem xmlns:ds="http://schemas.openxmlformats.org/officeDocument/2006/customXml" ds:itemID="{189E9539-0BE5-438D-9B44-149C1D2B683B}"/>
</file>

<file path=customXml/itemProps3.xml><?xml version="1.0" encoding="utf-8"?>
<ds:datastoreItem xmlns:ds="http://schemas.openxmlformats.org/officeDocument/2006/customXml" ds:itemID="{E16094DE-FEE6-4307-B585-AE71B14AE9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End User</dc:creator>
  <cp:keywords/>
  <dc:description/>
  <cp:lastModifiedBy/>
  <cp:revision/>
  <dcterms:created xsi:type="dcterms:W3CDTF">2017-04-06T01:29:01Z</dcterms:created>
  <dcterms:modified xsi:type="dcterms:W3CDTF">2026-09-14T11:41:49Z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0x0101001ED1B03A1BFCD34F8C3D85512F21D9F8</vt:lpwstr>
  </property>
</Properties>
</file>